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1.xml" ContentType="application/vnd.ms-excel.threaded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2.xml" ContentType="application/vnd.ms-excel.threadedcomments+xml"/>
  <Override PartName="/xl/comments14.xml" ContentType="application/vnd.openxmlformats-officedocument.spreadsheetml.comments+xml"/>
  <Override PartName="/xl/comments15.xml" ContentType="application/vnd.openxmlformats-officedocument.spreadsheetml.comments+xml"/>
  <Override PartName="/xl/threadedComments/threadedComment3.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defaultThemeVersion="166925"/>
  <mc:AlternateContent xmlns:mc="http://schemas.openxmlformats.org/markup-compatibility/2006">
    <mc:Choice Requires="x15">
      <x15ac:absPath xmlns:x15ac="http://schemas.microsoft.com/office/spreadsheetml/2010/11/ac" url="https://energiforetagensverige-my.sharepoint.com/personal/raziyeh_khodayari_energiforetagen_se/Documents/Miljo/Miljövärdering av fjärrvärme/Lokala miljövärden/Lokala Miljövärden 2019/Publicering o komm/"/>
    </mc:Choice>
  </mc:AlternateContent>
  <xr:revisionPtr revIDLastSave="2" documentId="13_ncr:1_{57C3F6C4-0128-49A3-9CF3-A061FA368E3A}" xr6:coauthVersionLast="45" xr6:coauthVersionMax="45" xr10:uidLastSave="{AADDDFE6-F9FC-4B92-B585-91E5CB968DC4}"/>
  <workbookProtection workbookAlgorithmName="SHA-512" workbookHashValue="nyyAIpHuuM0vSlYEoddCckj0dfZdnW+g06nDwgWrEwNve+kJr5vreGp3LTDau7Sqj8IwV8sfOwZKildJyJDwmA==" workbookSaltValue="AbAoh/N3Iw8TRrRvm/X3qA==" workbookSpinCount="100000" lockStructure="1"/>
  <bookViews>
    <workbookView xWindow="-98" yWindow="-98" windowWidth="20715" windowHeight="13276" firstSheet="20" activeTab="20" xr2:uid="{2440EFE2-DCA7-4232-82BB-C16F6F870FD1}"/>
  </bookViews>
  <sheets>
    <sheet name="Balans köpt_såld fjv" sheetId="35" state="hidden" r:id="rId1"/>
    <sheet name="Dublettnamn" sheetId="1" state="hidden" r:id="rId2"/>
    <sheet name="Egen hetvattenprod" sheetId="4" state="hidden" r:id="rId3"/>
    <sheet name="Köpt hetvatten" sheetId="6" state="hidden" r:id="rId4"/>
    <sheet name="Kraftvärmeprod" sheetId="5" state="hidden" r:id="rId5"/>
    <sheet name="Slutlig allokering kvv" sheetId="12" state="hidden" r:id="rId6"/>
    <sheet name="Allokerat till el" sheetId="14" state="hidden" r:id="rId7"/>
    <sheet name="Spillvärme" sheetId="7" state="hidden" r:id="rId8"/>
    <sheet name="Miljö" sheetId="15" state="hidden" r:id="rId9"/>
    <sheet name="Leveranser" sheetId="9" state="hidden" r:id="rId10"/>
    <sheet name="Tillförd energi" sheetId="24" state="hidden" r:id="rId11"/>
    <sheet name="Totalt" sheetId="17" state="hidden" r:id="rId12"/>
    <sheet name="Tillförda bränslen per nät" sheetId="19" state="hidden" r:id="rId13"/>
    <sheet name="Sammanfattning bränslen" sheetId="20" state="hidden" r:id="rId14"/>
    <sheet name="Viktade värden el" sheetId="25" state="hidden" r:id="rId15"/>
    <sheet name="Miljövärden" sheetId="10" state="hidden" r:id="rId16"/>
    <sheet name="Miljövärden urval för publ" sheetId="26" state="hidden" r:id="rId17"/>
    <sheet name="Miljövärden för publ företag" sheetId="27" state="hidden" r:id="rId18"/>
    <sheet name="Underlagsinformation" sheetId="28" state="hidden" r:id="rId19"/>
    <sheet name="Underlag till diagram" sheetId="33" state="hidden" r:id="rId20"/>
    <sheet name="Redovisning för kunder" sheetId="31" r:id="rId21"/>
    <sheet name="Emissionsfaktorer" sheetId="32" r:id="rId22"/>
  </sheets>
  <definedNames>
    <definedName name="_xlnm._FilterDatabase" localSheetId="6" hidden="1">'Allokerat till el'!$A$2:$BA$409</definedName>
    <definedName name="_xlnm._FilterDatabase" localSheetId="2" hidden="1">'Egen hetvattenprod'!$A$1:$BK$1</definedName>
    <definedName name="_xlnm._FilterDatabase" localSheetId="4" hidden="1">Kraftvärmeprod!$A$1:$BD$1</definedName>
    <definedName name="_xlnm._FilterDatabase" localSheetId="3" hidden="1">'Köpt hetvatten'!$A$1:$X$409</definedName>
    <definedName name="_xlnm._FilterDatabase" localSheetId="9" hidden="1">Leveranser!$A$1:$Y$409</definedName>
    <definedName name="_xlnm._FilterDatabase" localSheetId="8" hidden="1">Miljö!$A$1:$AF$411</definedName>
    <definedName name="_xlnm._FilterDatabase" localSheetId="15" hidden="1">Miljövärden!$A$2:$H$515</definedName>
    <definedName name="_xlnm._FilterDatabase" localSheetId="16" hidden="1">'Miljövärden urval för publ'!$A$2:$R$411</definedName>
    <definedName name="_xlnm._FilterDatabase" localSheetId="5" hidden="1">'Slutlig allokering kvv'!$A$1:$BA$1</definedName>
    <definedName name="_xlnm._FilterDatabase" localSheetId="7" hidden="1">Spillvärme!$A$1:$J$1</definedName>
    <definedName name="_xlnm._FilterDatabase" localSheetId="12" hidden="1">'Tillförda bränslen per nät'!$A$2:$BU$409</definedName>
    <definedName name="_xlnm._FilterDatabase" localSheetId="11" hidden="1">Totalt!$A$1:$CA$408</definedName>
    <definedName name="_xlnm._FilterDatabase" localSheetId="14" hidden="1">'Viktade värden el'!$A$1:$Q$408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397" i="19" l="1"/>
  <c r="AP409" i="17" l="1"/>
  <c r="AP410" i="17"/>
  <c r="AP411" i="17"/>
  <c r="C408" i="14" l="1"/>
  <c r="AP3" i="17" l="1"/>
  <c r="AP4" i="17"/>
  <c r="AP5" i="17"/>
  <c r="AP6" i="17"/>
  <c r="AP7" i="17"/>
  <c r="AP8" i="17"/>
  <c r="AP9" i="17"/>
  <c r="AP10" i="17"/>
  <c r="AP11" i="17"/>
  <c r="AP12" i="17"/>
  <c r="AP13" i="17"/>
  <c r="AP14" i="17"/>
  <c r="AP15" i="17"/>
  <c r="AP16" i="17"/>
  <c r="AP17" i="17"/>
  <c r="AP18" i="17"/>
  <c r="AP19" i="17"/>
  <c r="AP20" i="17"/>
  <c r="AP21" i="17"/>
  <c r="AP22" i="17"/>
  <c r="AP23" i="17"/>
  <c r="AP24" i="17"/>
  <c r="AP25" i="17"/>
  <c r="AP26" i="17"/>
  <c r="AP27" i="17"/>
  <c r="AP28" i="17"/>
  <c r="AP29" i="17"/>
  <c r="AP30" i="17"/>
  <c r="AP31" i="17"/>
  <c r="AP32" i="17"/>
  <c r="AP33" i="17"/>
  <c r="AP34" i="17"/>
  <c r="AP35" i="17"/>
  <c r="AP36" i="17"/>
  <c r="AP37" i="17"/>
  <c r="AP38" i="17"/>
  <c r="AP39" i="17"/>
  <c r="AP40" i="17"/>
  <c r="AP41" i="17"/>
  <c r="AP42" i="17"/>
  <c r="AP43" i="17"/>
  <c r="AP44" i="17"/>
  <c r="AP45" i="17"/>
  <c r="AP46" i="17"/>
  <c r="AP47" i="17"/>
  <c r="AP48" i="17"/>
  <c r="AP49" i="17"/>
  <c r="AP50" i="17"/>
  <c r="AP51" i="17"/>
  <c r="AP52" i="17"/>
  <c r="AP53" i="17"/>
  <c r="AP54" i="17"/>
  <c r="AP55" i="17"/>
  <c r="AP56" i="17"/>
  <c r="AP57" i="17"/>
  <c r="AP58" i="17"/>
  <c r="AP59" i="17"/>
  <c r="AP60" i="17"/>
  <c r="AP61" i="17"/>
  <c r="AP62" i="17"/>
  <c r="AP63" i="17"/>
  <c r="AP64" i="17"/>
  <c r="AP65" i="17"/>
  <c r="AP66" i="17"/>
  <c r="AP67" i="17"/>
  <c r="AP68" i="17"/>
  <c r="AP69" i="17"/>
  <c r="AP70" i="17"/>
  <c r="AP71" i="17"/>
  <c r="AP72" i="17"/>
  <c r="AP73" i="17"/>
  <c r="AP74" i="17"/>
  <c r="AP75" i="17"/>
  <c r="AP76" i="17"/>
  <c r="AP77" i="17"/>
  <c r="AP78" i="17"/>
  <c r="AP79" i="17"/>
  <c r="AP80" i="17"/>
  <c r="AP81" i="17"/>
  <c r="AP82" i="17"/>
  <c r="AP83" i="17"/>
  <c r="AP84" i="17"/>
  <c r="AP85" i="17"/>
  <c r="AP86" i="17"/>
  <c r="AP87" i="17"/>
  <c r="AP88" i="17"/>
  <c r="AP89" i="17"/>
  <c r="AP90" i="17"/>
  <c r="AP91" i="17"/>
  <c r="AP92" i="17"/>
  <c r="AP93" i="17"/>
  <c r="AP94" i="17"/>
  <c r="AP95" i="17"/>
  <c r="AP96" i="17"/>
  <c r="AP97" i="17"/>
  <c r="AP98" i="17"/>
  <c r="AP99" i="17"/>
  <c r="AP100" i="17"/>
  <c r="AP101" i="17"/>
  <c r="AP102" i="17"/>
  <c r="AP103" i="17"/>
  <c r="AP104" i="17"/>
  <c r="AP105" i="17"/>
  <c r="AP106" i="17"/>
  <c r="AP107" i="17"/>
  <c r="AP108" i="17"/>
  <c r="AP109" i="17"/>
  <c r="AP110" i="17"/>
  <c r="AP111" i="17"/>
  <c r="AP112" i="17"/>
  <c r="AP113" i="17"/>
  <c r="AP114" i="17"/>
  <c r="AP115" i="17"/>
  <c r="AP116" i="17"/>
  <c r="AP117" i="17"/>
  <c r="AP118" i="17"/>
  <c r="AP119" i="17"/>
  <c r="AP120" i="17"/>
  <c r="AP121" i="17"/>
  <c r="AP122" i="17"/>
  <c r="AP123" i="17"/>
  <c r="AP124" i="17"/>
  <c r="AP125" i="17"/>
  <c r="AP126" i="17"/>
  <c r="AP127" i="17"/>
  <c r="AP128" i="17"/>
  <c r="AP129" i="17"/>
  <c r="AP130" i="17"/>
  <c r="AP131" i="17"/>
  <c r="AP132" i="17"/>
  <c r="AP133" i="17"/>
  <c r="AP134" i="17"/>
  <c r="AP135" i="17"/>
  <c r="AP136" i="17"/>
  <c r="AP137" i="17"/>
  <c r="AP138" i="17"/>
  <c r="AP139" i="17"/>
  <c r="AP140" i="17"/>
  <c r="AP141" i="17"/>
  <c r="AP142" i="17"/>
  <c r="AP143" i="17"/>
  <c r="AP144" i="17"/>
  <c r="AP145" i="17"/>
  <c r="AP146" i="17"/>
  <c r="AP147" i="17"/>
  <c r="AP148" i="17"/>
  <c r="AP149" i="17"/>
  <c r="AP150" i="17"/>
  <c r="AP151" i="17"/>
  <c r="AP152" i="17"/>
  <c r="AP153" i="17"/>
  <c r="AP154" i="17"/>
  <c r="AP155" i="17"/>
  <c r="AP156" i="17"/>
  <c r="AP157" i="17"/>
  <c r="AP158" i="17"/>
  <c r="AP159" i="17"/>
  <c r="AP160" i="17"/>
  <c r="AP161" i="17"/>
  <c r="AP162" i="17"/>
  <c r="AP163" i="17"/>
  <c r="AP164" i="17"/>
  <c r="AP165" i="17"/>
  <c r="AP166" i="17"/>
  <c r="AP167" i="17"/>
  <c r="AP168" i="17"/>
  <c r="AP169" i="17"/>
  <c r="AP170" i="17"/>
  <c r="AP171" i="17"/>
  <c r="AP172" i="17"/>
  <c r="AP173" i="17"/>
  <c r="AP174" i="17"/>
  <c r="AP175" i="17"/>
  <c r="AP176" i="17"/>
  <c r="AP177" i="17"/>
  <c r="AP178" i="17"/>
  <c r="AP179" i="17"/>
  <c r="AP180" i="17"/>
  <c r="AP181" i="17"/>
  <c r="AP182" i="17"/>
  <c r="AP183" i="17"/>
  <c r="AP184" i="17"/>
  <c r="AP185" i="17"/>
  <c r="AP186" i="17"/>
  <c r="AP187" i="17"/>
  <c r="AP188" i="17"/>
  <c r="AP189" i="17"/>
  <c r="AP190" i="17"/>
  <c r="AP191" i="17"/>
  <c r="AP192" i="17"/>
  <c r="AP193" i="17"/>
  <c r="AP194" i="17"/>
  <c r="AP195" i="17"/>
  <c r="AP196" i="17"/>
  <c r="AP197" i="17"/>
  <c r="AP198" i="17"/>
  <c r="AP199" i="17"/>
  <c r="AP200" i="17"/>
  <c r="AP201" i="17"/>
  <c r="AP202" i="17"/>
  <c r="AP203" i="17"/>
  <c r="AP204" i="17"/>
  <c r="AP205" i="17"/>
  <c r="AP206" i="17"/>
  <c r="AP207" i="17"/>
  <c r="AP208" i="17"/>
  <c r="AP209" i="17"/>
  <c r="AP210" i="17"/>
  <c r="AP211" i="17"/>
  <c r="AP212" i="17"/>
  <c r="AP213" i="17"/>
  <c r="AP214" i="17"/>
  <c r="AP215" i="17"/>
  <c r="AP216" i="17"/>
  <c r="AP217" i="17"/>
  <c r="AP218" i="17"/>
  <c r="AP219" i="17"/>
  <c r="AP220" i="17"/>
  <c r="AP221" i="17"/>
  <c r="AP222" i="17"/>
  <c r="AP223" i="17"/>
  <c r="AP224" i="17"/>
  <c r="AP225" i="17"/>
  <c r="AP226" i="17"/>
  <c r="AP227" i="17"/>
  <c r="AP228" i="17"/>
  <c r="AP229" i="17"/>
  <c r="AP230" i="17"/>
  <c r="AP231" i="17"/>
  <c r="AP232" i="17"/>
  <c r="AP233" i="17"/>
  <c r="AP234" i="17"/>
  <c r="AP235" i="17"/>
  <c r="AP236" i="17"/>
  <c r="AP237" i="17"/>
  <c r="AP238" i="17"/>
  <c r="AP239" i="17"/>
  <c r="AP240" i="17"/>
  <c r="AP241" i="17"/>
  <c r="AP242" i="17"/>
  <c r="AP243" i="17"/>
  <c r="AP244" i="17"/>
  <c r="AP245" i="17"/>
  <c r="AP246" i="17"/>
  <c r="AP247" i="17"/>
  <c r="AP248" i="17"/>
  <c r="AP249" i="17"/>
  <c r="AP250" i="17"/>
  <c r="AP251" i="17"/>
  <c r="AP252" i="17"/>
  <c r="AP253" i="17"/>
  <c r="AP254" i="17"/>
  <c r="AP255" i="17"/>
  <c r="AP256" i="17"/>
  <c r="AP257" i="17"/>
  <c r="AP258" i="17"/>
  <c r="AP259" i="17"/>
  <c r="AP260" i="17"/>
  <c r="AP261" i="17"/>
  <c r="AP262" i="17"/>
  <c r="AP263" i="17"/>
  <c r="AP264" i="17"/>
  <c r="AP265" i="17"/>
  <c r="AP266" i="17"/>
  <c r="AP267" i="17"/>
  <c r="AP268" i="17"/>
  <c r="AP269" i="17"/>
  <c r="AP270" i="17"/>
  <c r="AP271" i="17"/>
  <c r="AP272" i="17"/>
  <c r="AP273" i="17"/>
  <c r="AP274" i="17"/>
  <c r="AP275" i="17"/>
  <c r="AP276" i="17"/>
  <c r="AP277" i="17"/>
  <c r="AP278" i="17"/>
  <c r="AP279" i="17"/>
  <c r="AP280" i="17"/>
  <c r="AP281" i="17"/>
  <c r="AP282" i="17"/>
  <c r="AP283" i="17"/>
  <c r="AP284" i="17"/>
  <c r="AP285" i="17"/>
  <c r="AP286" i="17"/>
  <c r="AP287" i="17"/>
  <c r="AP288" i="17"/>
  <c r="AP289" i="17"/>
  <c r="AP290" i="17"/>
  <c r="AP291" i="17"/>
  <c r="AP292" i="17"/>
  <c r="AP293" i="17"/>
  <c r="AP294" i="17"/>
  <c r="AP295" i="17"/>
  <c r="AP296" i="17"/>
  <c r="AP297" i="17"/>
  <c r="AP298" i="17"/>
  <c r="AP299" i="17"/>
  <c r="AP300" i="17"/>
  <c r="AP301" i="17"/>
  <c r="AP302" i="17"/>
  <c r="AP303" i="17"/>
  <c r="AP304" i="17"/>
  <c r="AP305" i="17"/>
  <c r="AP306" i="17"/>
  <c r="AP307" i="17"/>
  <c r="AP308" i="17"/>
  <c r="AP309" i="17"/>
  <c r="AP310" i="17"/>
  <c r="AP311" i="17"/>
  <c r="AP312" i="17"/>
  <c r="AP313" i="17"/>
  <c r="AP314" i="17"/>
  <c r="AP315" i="17"/>
  <c r="AP316" i="17"/>
  <c r="AP317" i="17"/>
  <c r="AP318" i="17"/>
  <c r="AP319" i="17"/>
  <c r="AP320" i="17"/>
  <c r="AP321" i="17"/>
  <c r="AP322" i="17"/>
  <c r="AP323" i="17"/>
  <c r="AP324" i="17"/>
  <c r="AP325" i="17"/>
  <c r="AP326" i="17"/>
  <c r="AP327" i="17"/>
  <c r="AP328" i="17"/>
  <c r="AP329" i="17"/>
  <c r="AP330" i="17"/>
  <c r="AP331" i="17"/>
  <c r="AP332" i="17"/>
  <c r="AP333" i="17"/>
  <c r="AP334" i="17"/>
  <c r="AP335" i="17"/>
  <c r="AP336" i="17"/>
  <c r="AP337" i="17"/>
  <c r="AP338" i="17"/>
  <c r="AP339" i="17"/>
  <c r="AP340" i="17"/>
  <c r="AP341" i="17"/>
  <c r="AP342" i="17"/>
  <c r="AP343" i="17"/>
  <c r="AP344" i="17"/>
  <c r="AP345" i="17"/>
  <c r="AP346" i="17"/>
  <c r="AP347" i="17"/>
  <c r="AP348" i="17"/>
  <c r="AP349" i="17"/>
  <c r="AP350" i="17"/>
  <c r="AP351" i="17"/>
  <c r="AP352" i="17"/>
  <c r="AP353" i="17"/>
  <c r="AP354" i="17"/>
  <c r="AP355" i="17"/>
  <c r="AP356" i="17"/>
  <c r="AP357" i="17"/>
  <c r="AP358" i="17"/>
  <c r="AP359" i="17"/>
  <c r="AP360" i="17"/>
  <c r="AP361" i="17"/>
  <c r="AP362" i="17"/>
  <c r="AP363" i="17"/>
  <c r="AP364" i="17"/>
  <c r="AP365" i="17"/>
  <c r="AP366" i="17"/>
  <c r="C366" i="25" s="1"/>
  <c r="AP367" i="17"/>
  <c r="AP368" i="17"/>
  <c r="AP369" i="17"/>
  <c r="AP370" i="17"/>
  <c r="AP371" i="17"/>
  <c r="AP372" i="17"/>
  <c r="AP373" i="17"/>
  <c r="AP374" i="17"/>
  <c r="C374" i="25" s="1"/>
  <c r="AP375" i="17"/>
  <c r="AP376" i="17"/>
  <c r="AP377" i="17"/>
  <c r="AP378" i="17"/>
  <c r="AP379" i="17"/>
  <c r="AP380" i="17"/>
  <c r="AP381" i="17"/>
  <c r="AP382" i="17"/>
  <c r="C382" i="25" s="1"/>
  <c r="AP383" i="17"/>
  <c r="AP384" i="17"/>
  <c r="AP385" i="17"/>
  <c r="AP386" i="17"/>
  <c r="AP387" i="17"/>
  <c r="AP388" i="17"/>
  <c r="AP389" i="17"/>
  <c r="AP390" i="17"/>
  <c r="C390" i="25" s="1"/>
  <c r="AP391" i="17"/>
  <c r="AP392" i="17"/>
  <c r="AP393" i="17"/>
  <c r="AP394" i="17"/>
  <c r="AP395" i="17"/>
  <c r="AP396" i="17"/>
  <c r="AP397" i="17"/>
  <c r="AP398" i="17"/>
  <c r="C398" i="25" s="1"/>
  <c r="AP399" i="17"/>
  <c r="AP400" i="17"/>
  <c r="AP401" i="17"/>
  <c r="AP402" i="17"/>
  <c r="AP403" i="17"/>
  <c r="AP404" i="17"/>
  <c r="AP405" i="17"/>
  <c r="AP406" i="17"/>
  <c r="AP407" i="17"/>
  <c r="AP408" i="17"/>
  <c r="AP2" i="17"/>
  <c r="C405" i="25"/>
  <c r="C3" i="25"/>
  <c r="C4" i="25"/>
  <c r="C5" i="25"/>
  <c r="C6" i="25"/>
  <c r="C7" i="25"/>
  <c r="C8" i="25"/>
  <c r="C9" i="25"/>
  <c r="C11" i="25"/>
  <c r="C12" i="25"/>
  <c r="C13" i="25"/>
  <c r="C14" i="25"/>
  <c r="C15" i="25"/>
  <c r="C16" i="25"/>
  <c r="C17" i="25"/>
  <c r="C19" i="25"/>
  <c r="C20" i="25"/>
  <c r="C21" i="25"/>
  <c r="C22" i="25"/>
  <c r="C23" i="25"/>
  <c r="C24" i="25"/>
  <c r="C25" i="25"/>
  <c r="C27" i="25"/>
  <c r="C28" i="25"/>
  <c r="C29" i="25"/>
  <c r="C30" i="25"/>
  <c r="C31" i="25"/>
  <c r="C32" i="25"/>
  <c r="C33" i="25"/>
  <c r="C35" i="25"/>
  <c r="C36" i="25"/>
  <c r="C37" i="25"/>
  <c r="C38" i="25"/>
  <c r="C39" i="25"/>
  <c r="C40" i="25"/>
  <c r="C41" i="25"/>
  <c r="C43" i="25"/>
  <c r="C44" i="25"/>
  <c r="C45" i="25"/>
  <c r="C46" i="25"/>
  <c r="C47" i="25"/>
  <c r="C48" i="25"/>
  <c r="C49" i="25"/>
  <c r="C51" i="25"/>
  <c r="C52" i="25"/>
  <c r="C53" i="25"/>
  <c r="C54" i="25"/>
  <c r="C55" i="25"/>
  <c r="C56" i="25"/>
  <c r="C57" i="25"/>
  <c r="C59" i="25"/>
  <c r="C60" i="25"/>
  <c r="C61" i="25"/>
  <c r="C62" i="25"/>
  <c r="C63" i="25"/>
  <c r="C64" i="25"/>
  <c r="C65" i="25"/>
  <c r="C67" i="25"/>
  <c r="C68" i="25"/>
  <c r="C69" i="25"/>
  <c r="C70" i="25"/>
  <c r="C71" i="25"/>
  <c r="C72" i="25"/>
  <c r="C73" i="25"/>
  <c r="C75" i="25"/>
  <c r="C76" i="25"/>
  <c r="C77" i="25"/>
  <c r="C78" i="25"/>
  <c r="C79" i="25"/>
  <c r="C80" i="25"/>
  <c r="C81" i="25"/>
  <c r="C83" i="25"/>
  <c r="C84" i="25"/>
  <c r="C85" i="25"/>
  <c r="C86" i="25"/>
  <c r="C87" i="25"/>
  <c r="C88" i="25"/>
  <c r="C89" i="25"/>
  <c r="C91" i="25"/>
  <c r="C92" i="25"/>
  <c r="C93" i="25"/>
  <c r="C94" i="25"/>
  <c r="C95" i="25"/>
  <c r="C96" i="25"/>
  <c r="C97" i="25"/>
  <c r="C99" i="25"/>
  <c r="C100" i="25"/>
  <c r="C101" i="25"/>
  <c r="C102" i="25"/>
  <c r="C103" i="25"/>
  <c r="C104" i="25"/>
  <c r="C105" i="25"/>
  <c r="C107" i="25"/>
  <c r="C108" i="25"/>
  <c r="C109" i="25"/>
  <c r="C110" i="25"/>
  <c r="C111" i="25"/>
  <c r="C112" i="25"/>
  <c r="C113" i="25"/>
  <c r="C115" i="25"/>
  <c r="C116" i="25"/>
  <c r="C117" i="25"/>
  <c r="C118" i="25"/>
  <c r="C119" i="25"/>
  <c r="C120" i="25"/>
  <c r="C121" i="25"/>
  <c r="C123" i="25"/>
  <c r="C124" i="25"/>
  <c r="C125" i="25"/>
  <c r="C126" i="25"/>
  <c r="C127" i="25"/>
  <c r="C128" i="25"/>
  <c r="C129" i="25"/>
  <c r="C131" i="25"/>
  <c r="C132" i="25"/>
  <c r="C133" i="25"/>
  <c r="C134" i="25"/>
  <c r="C135" i="25"/>
  <c r="C136" i="25"/>
  <c r="C137" i="25"/>
  <c r="C139" i="25"/>
  <c r="C140" i="25"/>
  <c r="C141" i="25"/>
  <c r="C142" i="25"/>
  <c r="C143" i="25"/>
  <c r="C144" i="25"/>
  <c r="C145" i="25"/>
  <c r="C147" i="25"/>
  <c r="C148" i="25"/>
  <c r="C149" i="25"/>
  <c r="C150" i="25"/>
  <c r="C151" i="25"/>
  <c r="C152" i="25"/>
  <c r="C153" i="25"/>
  <c r="C155" i="25"/>
  <c r="C156" i="25"/>
  <c r="C157" i="25"/>
  <c r="C158" i="25"/>
  <c r="C159" i="25"/>
  <c r="C160" i="25"/>
  <c r="C161" i="25"/>
  <c r="C163" i="25"/>
  <c r="C164" i="25"/>
  <c r="C165" i="25"/>
  <c r="C166" i="25"/>
  <c r="C167" i="25"/>
  <c r="C168" i="25"/>
  <c r="C169" i="25"/>
  <c r="C171" i="25"/>
  <c r="C172" i="25"/>
  <c r="C173" i="25"/>
  <c r="C174" i="25"/>
  <c r="C175" i="25"/>
  <c r="C176" i="25"/>
  <c r="C177" i="25"/>
  <c r="C179" i="25"/>
  <c r="C180" i="25"/>
  <c r="C181" i="25"/>
  <c r="C182" i="25"/>
  <c r="C183" i="25"/>
  <c r="C184" i="25"/>
  <c r="C185" i="25"/>
  <c r="C187" i="25"/>
  <c r="C188" i="25"/>
  <c r="C189" i="25"/>
  <c r="C190" i="25"/>
  <c r="C191" i="25"/>
  <c r="C192" i="25"/>
  <c r="C193" i="25"/>
  <c r="C195" i="25"/>
  <c r="C196" i="25"/>
  <c r="C197" i="25"/>
  <c r="C198" i="25"/>
  <c r="C199" i="25"/>
  <c r="C200" i="25"/>
  <c r="C201" i="25"/>
  <c r="C203" i="25"/>
  <c r="C204" i="25"/>
  <c r="C205" i="25"/>
  <c r="C206" i="25"/>
  <c r="C207" i="25"/>
  <c r="C208" i="25"/>
  <c r="C209" i="25"/>
  <c r="C211" i="25"/>
  <c r="C212" i="25"/>
  <c r="C213" i="25"/>
  <c r="C214" i="25"/>
  <c r="C215" i="25"/>
  <c r="C216" i="25"/>
  <c r="C217" i="25"/>
  <c r="C219" i="25"/>
  <c r="C220" i="25"/>
  <c r="C221" i="25"/>
  <c r="C222" i="25"/>
  <c r="C223" i="25"/>
  <c r="C224" i="25"/>
  <c r="C225" i="25"/>
  <c r="C227" i="25"/>
  <c r="C228" i="25"/>
  <c r="C229" i="25"/>
  <c r="C230" i="25"/>
  <c r="C231" i="25"/>
  <c r="C232" i="25"/>
  <c r="C233" i="25"/>
  <c r="C235" i="25"/>
  <c r="C236" i="25"/>
  <c r="C237" i="25"/>
  <c r="C238" i="25"/>
  <c r="C239" i="25"/>
  <c r="C240" i="25"/>
  <c r="C241" i="25"/>
  <c r="C243" i="25"/>
  <c r="C244" i="25"/>
  <c r="C245" i="25"/>
  <c r="C246" i="25"/>
  <c r="C247" i="25"/>
  <c r="C248" i="25"/>
  <c r="C249" i="25"/>
  <c r="C251" i="25"/>
  <c r="C252" i="25"/>
  <c r="C253" i="25"/>
  <c r="C254" i="25"/>
  <c r="C255" i="25"/>
  <c r="C256" i="25"/>
  <c r="C257" i="25"/>
  <c r="C259" i="25"/>
  <c r="C260" i="25"/>
  <c r="C261" i="25"/>
  <c r="C262" i="25"/>
  <c r="C263" i="25"/>
  <c r="C264" i="25"/>
  <c r="C265" i="25"/>
  <c r="C267" i="25"/>
  <c r="C268" i="25"/>
  <c r="C269" i="25"/>
  <c r="C270" i="25"/>
  <c r="C271" i="25"/>
  <c r="C272" i="25"/>
  <c r="C273" i="25"/>
  <c r="C275" i="25"/>
  <c r="C276" i="25"/>
  <c r="C277" i="25"/>
  <c r="C278" i="25"/>
  <c r="C279" i="25"/>
  <c r="C280" i="25"/>
  <c r="C281" i="25"/>
  <c r="C283" i="25"/>
  <c r="C284" i="25"/>
  <c r="C285" i="25"/>
  <c r="C286" i="25"/>
  <c r="C287" i="25"/>
  <c r="C288" i="25"/>
  <c r="C289" i="25"/>
  <c r="C291" i="25"/>
  <c r="C292" i="25"/>
  <c r="C293" i="25"/>
  <c r="C294" i="25"/>
  <c r="C295" i="25"/>
  <c r="C296" i="25"/>
  <c r="C297" i="25"/>
  <c r="C299" i="25"/>
  <c r="C300" i="25"/>
  <c r="C301" i="25"/>
  <c r="C302" i="25"/>
  <c r="C303" i="25"/>
  <c r="C304" i="25"/>
  <c r="C305" i="25"/>
  <c r="C307" i="25"/>
  <c r="C308" i="25"/>
  <c r="C309" i="25"/>
  <c r="C310" i="25"/>
  <c r="C311" i="25"/>
  <c r="C312" i="25"/>
  <c r="C313" i="25"/>
  <c r="C315" i="25"/>
  <c r="C316" i="25"/>
  <c r="C317" i="25"/>
  <c r="C318" i="25"/>
  <c r="C319" i="25"/>
  <c r="C320" i="25"/>
  <c r="C321" i="25"/>
  <c r="C323" i="25"/>
  <c r="C325" i="25"/>
  <c r="C326" i="25"/>
  <c r="C327" i="25"/>
  <c r="C328" i="25"/>
  <c r="C329" i="25"/>
  <c r="C331" i="25"/>
  <c r="C333" i="25"/>
  <c r="C334" i="25"/>
  <c r="C335" i="25"/>
  <c r="C337" i="25"/>
  <c r="C339" i="25"/>
  <c r="C341" i="25"/>
  <c r="C342" i="25"/>
  <c r="C343" i="25"/>
  <c r="C345" i="25"/>
  <c r="C347" i="25"/>
  <c r="C348" i="25"/>
  <c r="C349" i="25"/>
  <c r="C350" i="25"/>
  <c r="C351" i="25"/>
  <c r="C352" i="25"/>
  <c r="C353" i="25"/>
  <c r="C355" i="25"/>
  <c r="C356" i="25"/>
  <c r="C357" i="25"/>
  <c r="C358" i="25"/>
  <c r="C359" i="25"/>
  <c r="C360" i="25"/>
  <c r="C361" i="25"/>
  <c r="C363" i="25"/>
  <c r="C365" i="25"/>
  <c r="C367" i="25"/>
  <c r="C369" i="25"/>
  <c r="C371" i="25"/>
  <c r="C372" i="25"/>
  <c r="C373" i="25"/>
  <c r="C375" i="25"/>
  <c r="C376" i="25"/>
  <c r="C377" i="25"/>
  <c r="C379" i="25"/>
  <c r="C380" i="25"/>
  <c r="C381" i="25"/>
  <c r="C383" i="25"/>
  <c r="C384" i="25"/>
  <c r="C385" i="25"/>
  <c r="C387" i="25"/>
  <c r="C388" i="25"/>
  <c r="C389" i="25"/>
  <c r="C391" i="25"/>
  <c r="C392" i="25"/>
  <c r="C393" i="25"/>
  <c r="C395" i="25"/>
  <c r="C397" i="25"/>
  <c r="C399" i="25"/>
  <c r="C401" i="25"/>
  <c r="C403" i="25"/>
  <c r="C404" i="25"/>
  <c r="C407" i="25"/>
  <c r="C408" i="25"/>
  <c r="AX406" i="12" l="1"/>
  <c r="C402" i="25"/>
  <c r="AX398" i="12"/>
  <c r="C394" i="25"/>
  <c r="AX390" i="12"/>
  <c r="C386" i="25"/>
  <c r="AX382" i="12"/>
  <c r="C378" i="25"/>
  <c r="AX374" i="12"/>
  <c r="C370" i="25"/>
  <c r="AX366" i="12"/>
  <c r="C362" i="25"/>
  <c r="AX358" i="12"/>
  <c r="C354" i="25"/>
  <c r="AX350" i="12"/>
  <c r="C346" i="25"/>
  <c r="AX342" i="12"/>
  <c r="C338" i="25"/>
  <c r="AX334" i="12"/>
  <c r="C330" i="25"/>
  <c r="AX326" i="12"/>
  <c r="C322" i="25"/>
  <c r="AX318" i="12"/>
  <c r="C314" i="25"/>
  <c r="AX310" i="12"/>
  <c r="C306" i="25"/>
  <c r="AX302" i="12"/>
  <c r="C298" i="25"/>
  <c r="AX294" i="12"/>
  <c r="C290" i="25"/>
  <c r="AX286" i="12"/>
  <c r="C282" i="25"/>
  <c r="AX278" i="12"/>
  <c r="AX270" i="12"/>
  <c r="AX262" i="12"/>
  <c r="AX254" i="12"/>
  <c r="AX246" i="12"/>
  <c r="AX238" i="12"/>
  <c r="AX230" i="12"/>
  <c r="AX222" i="12"/>
  <c r="AX214" i="12"/>
  <c r="AX206" i="12"/>
  <c r="AX198" i="12"/>
  <c r="AX190" i="12"/>
  <c r="AX182" i="12"/>
  <c r="AX174" i="12"/>
  <c r="AX166" i="12"/>
  <c r="AX158" i="12"/>
  <c r="AX150" i="12"/>
  <c r="AX142" i="12"/>
  <c r="AX134" i="12"/>
  <c r="AX126" i="12"/>
  <c r="AX118" i="12"/>
  <c r="AX110" i="12"/>
  <c r="AX102" i="12"/>
  <c r="AX94" i="12"/>
  <c r="AX86" i="12"/>
  <c r="AX78" i="12"/>
  <c r="AX70" i="12"/>
  <c r="AX62" i="12"/>
  <c r="AX54" i="12"/>
  <c r="AX46" i="12"/>
  <c r="AX38" i="12"/>
  <c r="AX30" i="12"/>
  <c r="AX22" i="12"/>
  <c r="AX14" i="12"/>
  <c r="AX6" i="12"/>
  <c r="AX2" i="12"/>
  <c r="AX405" i="12"/>
  <c r="AX401" i="12"/>
  <c r="AX397" i="12"/>
  <c r="AX393" i="12"/>
  <c r="AX389" i="12"/>
  <c r="AX385" i="12"/>
  <c r="AX381" i="12"/>
  <c r="AX377" i="12"/>
  <c r="AX373" i="12"/>
  <c r="AX369" i="12"/>
  <c r="AX365" i="12"/>
  <c r="AX361" i="12"/>
  <c r="AX357" i="12"/>
  <c r="AX353" i="12"/>
  <c r="AX349" i="12"/>
  <c r="AX345" i="12"/>
  <c r="AX341" i="12"/>
  <c r="AX337" i="12"/>
  <c r="AX333" i="12"/>
  <c r="AX329" i="12"/>
  <c r="AX325" i="12"/>
  <c r="AX321" i="12"/>
  <c r="AX317" i="12"/>
  <c r="AX313" i="12"/>
  <c r="AX309" i="12"/>
  <c r="AX305" i="12"/>
  <c r="AX301" i="12"/>
  <c r="AX297" i="12"/>
  <c r="AX293" i="12"/>
  <c r="AX289" i="12"/>
  <c r="AX285" i="12"/>
  <c r="AX281" i="12"/>
  <c r="AX277" i="12"/>
  <c r="AX273" i="12"/>
  <c r="AX269" i="12"/>
  <c r="AX265" i="12"/>
  <c r="AX261" i="12"/>
  <c r="AX257" i="12"/>
  <c r="AX253" i="12"/>
  <c r="AX249" i="12"/>
  <c r="AX245" i="12"/>
  <c r="AX241" i="12"/>
  <c r="AX237" i="12"/>
  <c r="AX233" i="12"/>
  <c r="AX229" i="12"/>
  <c r="AX225" i="12"/>
  <c r="AX221" i="12"/>
  <c r="AX217" i="12"/>
  <c r="AX213" i="12"/>
  <c r="AX209" i="12"/>
  <c r="AX205" i="12"/>
  <c r="AX201" i="12"/>
  <c r="AX197" i="12"/>
  <c r="AX193" i="12"/>
  <c r="AX189" i="12"/>
  <c r="AX185" i="12"/>
  <c r="AX181" i="12"/>
  <c r="AX177" i="12"/>
  <c r="AX173" i="12"/>
  <c r="AX169" i="12"/>
  <c r="AX165" i="12"/>
  <c r="AX161" i="12"/>
  <c r="AX157" i="12"/>
  <c r="AX153" i="12"/>
  <c r="AX149" i="12"/>
  <c r="AX145" i="12"/>
  <c r="AX141" i="12"/>
  <c r="AX137" i="12"/>
  <c r="AX133" i="12"/>
  <c r="AX129" i="12"/>
  <c r="AX125" i="12"/>
  <c r="AX121" i="12"/>
  <c r="AX117" i="12"/>
  <c r="AX113" i="12"/>
  <c r="AX109" i="12"/>
  <c r="AX105" i="12"/>
  <c r="AX101" i="12"/>
  <c r="AX97" i="12"/>
  <c r="AX93" i="12"/>
  <c r="AX89" i="12"/>
  <c r="AX85" i="12"/>
  <c r="AX81" i="12"/>
  <c r="AX77" i="12"/>
  <c r="AX73" i="12"/>
  <c r="AX69" i="12"/>
  <c r="AX65" i="12"/>
  <c r="AX61" i="12"/>
  <c r="AX57" i="12"/>
  <c r="AX53" i="12"/>
  <c r="AX49" i="12"/>
  <c r="AX45" i="12"/>
  <c r="AX41" i="12"/>
  <c r="AX37" i="12"/>
  <c r="AX33" i="12"/>
  <c r="AX29" i="12"/>
  <c r="AX25" i="12"/>
  <c r="AX21" i="12"/>
  <c r="AX17" i="12"/>
  <c r="AX13" i="12"/>
  <c r="AX9" i="12"/>
  <c r="AX5" i="12"/>
  <c r="AX408" i="12"/>
  <c r="AX404" i="12"/>
  <c r="C400" i="25"/>
  <c r="C396" i="25"/>
  <c r="AX392" i="12"/>
  <c r="AX388" i="12"/>
  <c r="AX384" i="12"/>
  <c r="AX380" i="12"/>
  <c r="AX376" i="12"/>
  <c r="AX372" i="12"/>
  <c r="C368" i="25"/>
  <c r="C364" i="25"/>
  <c r="AX360" i="12"/>
  <c r="AX356" i="12"/>
  <c r="AX352" i="12"/>
  <c r="AX348" i="12"/>
  <c r="AX344" i="12"/>
  <c r="AX340" i="12"/>
  <c r="AX336" i="12"/>
  <c r="AX332" i="12"/>
  <c r="AX328" i="12"/>
  <c r="AX324" i="12"/>
  <c r="AX320" i="12"/>
  <c r="AX316" i="12"/>
  <c r="AX312" i="12"/>
  <c r="AX308" i="12"/>
  <c r="AX304" i="12"/>
  <c r="AX300" i="12"/>
  <c r="AX296" i="12"/>
  <c r="AX292" i="12"/>
  <c r="AX288" i="12"/>
  <c r="AX284" i="12"/>
  <c r="AX280" i="12"/>
  <c r="AX276" i="12"/>
  <c r="AX272" i="12"/>
  <c r="AX268" i="12"/>
  <c r="AX264" i="12"/>
  <c r="AX260" i="12"/>
  <c r="AX256" i="12"/>
  <c r="AX252" i="12"/>
  <c r="AX248" i="12"/>
  <c r="AX244" i="12"/>
  <c r="AX240" i="12"/>
  <c r="AX236" i="12"/>
  <c r="AX232" i="12"/>
  <c r="AX228" i="12"/>
  <c r="AX224" i="12"/>
  <c r="AX220" i="12"/>
  <c r="AX216" i="12"/>
  <c r="AX212" i="12"/>
  <c r="AX208" i="12"/>
  <c r="AX204" i="12"/>
  <c r="AX200" i="12"/>
  <c r="AX196" i="12"/>
  <c r="AX192" i="12"/>
  <c r="AX188" i="12"/>
  <c r="AX184" i="12"/>
  <c r="AX180" i="12"/>
  <c r="AX176" i="12"/>
  <c r="AX172" i="12"/>
  <c r="AX168" i="12"/>
  <c r="AX164" i="12"/>
  <c r="AX160" i="12"/>
  <c r="AX156" i="12"/>
  <c r="AX152" i="12"/>
  <c r="AX148" i="12"/>
  <c r="AX144" i="12"/>
  <c r="AX140" i="12"/>
  <c r="AX136" i="12"/>
  <c r="AX132" i="12"/>
  <c r="AX128" i="12"/>
  <c r="AX124" i="12"/>
  <c r="AX120" i="12"/>
  <c r="AX116" i="12"/>
  <c r="AX112" i="12"/>
  <c r="AX108" i="12"/>
  <c r="AX104" i="12"/>
  <c r="AX100" i="12"/>
  <c r="AX96" i="12"/>
  <c r="AX92" i="12"/>
  <c r="AX88" i="12"/>
  <c r="AX84" i="12"/>
  <c r="AX80" i="12"/>
  <c r="AX76" i="12"/>
  <c r="AX72" i="12"/>
  <c r="AX68" i="12"/>
  <c r="AX64" i="12"/>
  <c r="AX60" i="12"/>
  <c r="AX56" i="12"/>
  <c r="AX52" i="12"/>
  <c r="AX48" i="12"/>
  <c r="AX44" i="12"/>
  <c r="AX40" i="12"/>
  <c r="AX36" i="12"/>
  <c r="AX32" i="12"/>
  <c r="AX28" i="12"/>
  <c r="AX24" i="12"/>
  <c r="AX20" i="12"/>
  <c r="AX16" i="12"/>
  <c r="AX12" i="12"/>
  <c r="AX8" i="12"/>
  <c r="AX4" i="12"/>
  <c r="C406" i="25"/>
  <c r="AX407" i="12"/>
  <c r="AX403" i="12"/>
  <c r="AX399" i="12"/>
  <c r="AX395" i="12"/>
  <c r="AX391" i="12"/>
  <c r="AX387" i="12"/>
  <c r="AX383" i="12"/>
  <c r="AX379" i="12"/>
  <c r="AX375" i="12"/>
  <c r="AX371" i="12"/>
  <c r="AX367" i="12"/>
  <c r="AX363" i="12"/>
  <c r="AX359" i="12"/>
  <c r="AX355" i="12"/>
  <c r="AX351" i="12"/>
  <c r="AX347" i="12"/>
  <c r="AX343" i="12"/>
  <c r="AX339" i="12"/>
  <c r="AX335" i="12"/>
  <c r="AX331" i="12"/>
  <c r="AX327" i="12"/>
  <c r="AX323" i="12"/>
  <c r="AX319" i="12"/>
  <c r="AX315" i="12"/>
  <c r="AX311" i="12"/>
  <c r="AX307" i="12"/>
  <c r="AX303" i="12"/>
  <c r="AX299" i="12"/>
  <c r="AX295" i="12"/>
  <c r="AX291" i="12"/>
  <c r="AX287" i="12"/>
  <c r="AX283" i="12"/>
  <c r="AX279" i="12"/>
  <c r="AX275" i="12"/>
  <c r="AX271" i="12"/>
  <c r="AX267" i="12"/>
  <c r="AX263" i="12"/>
  <c r="AX259" i="12"/>
  <c r="AX255" i="12"/>
  <c r="AX251" i="12"/>
  <c r="AX247" i="12"/>
  <c r="AX243" i="12"/>
  <c r="AX239" i="12"/>
  <c r="AX235" i="12"/>
  <c r="AX231" i="12"/>
  <c r="AX227" i="12"/>
  <c r="AX223" i="12"/>
  <c r="AX219" i="12"/>
  <c r="AX215" i="12"/>
  <c r="AX211" i="12"/>
  <c r="AX207" i="12"/>
  <c r="AX203" i="12"/>
  <c r="AX199" i="12"/>
  <c r="AX195" i="12"/>
  <c r="AX191" i="12"/>
  <c r="AX187" i="12"/>
  <c r="AX183" i="12"/>
  <c r="AX179" i="12"/>
  <c r="AX175" i="12"/>
  <c r="AX171" i="12"/>
  <c r="AX167" i="12"/>
  <c r="AX163" i="12"/>
  <c r="AX159" i="12"/>
  <c r="AX155" i="12"/>
  <c r="AX151" i="12"/>
  <c r="AX147" i="12"/>
  <c r="AX143" i="12"/>
  <c r="AX139" i="12"/>
  <c r="AX135" i="12"/>
  <c r="AX131" i="12"/>
  <c r="AX127" i="12"/>
  <c r="AX123" i="12"/>
  <c r="AX119" i="12"/>
  <c r="AX115" i="12"/>
  <c r="AX111" i="12"/>
  <c r="AX107" i="12"/>
  <c r="AX103" i="12"/>
  <c r="AX99" i="12"/>
  <c r="AX95" i="12"/>
  <c r="AX91" i="12"/>
  <c r="AX87" i="12"/>
  <c r="AX83" i="12"/>
  <c r="AX79" i="12"/>
  <c r="AX75" i="12"/>
  <c r="AX71" i="12"/>
  <c r="AX67" i="12"/>
  <c r="AX63" i="12"/>
  <c r="AX59" i="12"/>
  <c r="AX55" i="12"/>
  <c r="AX51" i="12"/>
  <c r="AX47" i="12"/>
  <c r="AX43" i="12"/>
  <c r="AX39" i="12"/>
  <c r="AX35" i="12"/>
  <c r="AX31" i="12"/>
  <c r="AX27" i="12"/>
  <c r="AX23" i="12"/>
  <c r="AX19" i="12"/>
  <c r="AX15" i="12"/>
  <c r="AX11" i="12"/>
  <c r="AX7" i="12"/>
  <c r="AX3" i="12"/>
  <c r="C324" i="25"/>
  <c r="C344" i="25"/>
  <c r="C340" i="25"/>
  <c r="C274" i="25"/>
  <c r="AX274" i="12"/>
  <c r="C266" i="25"/>
  <c r="AX266" i="12"/>
  <c r="C258" i="25"/>
  <c r="AX258" i="12"/>
  <c r="C250" i="25"/>
  <c r="AX250" i="12"/>
  <c r="C242" i="25"/>
  <c r="AX242" i="12"/>
  <c r="C234" i="25"/>
  <c r="AX234" i="12"/>
  <c r="C226" i="25"/>
  <c r="AX226" i="12"/>
  <c r="C218" i="25"/>
  <c r="AX218" i="12"/>
  <c r="C210" i="25"/>
  <c r="AX210" i="12"/>
  <c r="C202" i="25"/>
  <c r="AX202" i="12"/>
  <c r="C194" i="25"/>
  <c r="AX194" i="12"/>
  <c r="C186" i="25"/>
  <c r="AX186" i="12"/>
  <c r="C178" i="25"/>
  <c r="AX178" i="12"/>
  <c r="C170" i="25"/>
  <c r="AX170" i="12"/>
  <c r="C162" i="25"/>
  <c r="AX162" i="12"/>
  <c r="C154" i="25"/>
  <c r="AX154" i="12"/>
  <c r="C146" i="25"/>
  <c r="AX146" i="12"/>
  <c r="C138" i="25"/>
  <c r="AX138" i="12"/>
  <c r="C130" i="25"/>
  <c r="AX130" i="12"/>
  <c r="C122" i="25"/>
  <c r="AX122" i="12"/>
  <c r="C114" i="25"/>
  <c r="AX114" i="12"/>
  <c r="C106" i="25"/>
  <c r="AX106" i="12"/>
  <c r="C98" i="25"/>
  <c r="AX98" i="12"/>
  <c r="C90" i="25"/>
  <c r="AX90" i="12"/>
  <c r="C82" i="25"/>
  <c r="AX82" i="12"/>
  <c r="C74" i="25"/>
  <c r="AX74" i="12"/>
  <c r="C66" i="25"/>
  <c r="AX66" i="12"/>
  <c r="C58" i="25"/>
  <c r="AX58" i="12"/>
  <c r="C50" i="25"/>
  <c r="AX50" i="12"/>
  <c r="C42" i="25"/>
  <c r="AX42" i="12"/>
  <c r="C34" i="25"/>
  <c r="AX34" i="12"/>
  <c r="C26" i="25"/>
  <c r="AX26" i="12"/>
  <c r="C18" i="25"/>
  <c r="AX18" i="12"/>
  <c r="C10" i="25"/>
  <c r="AX10" i="12"/>
  <c r="AX322" i="12"/>
  <c r="AX306" i="12"/>
  <c r="AX290" i="12"/>
  <c r="AX400" i="12"/>
  <c r="AX396" i="12"/>
  <c r="AX368" i="12"/>
  <c r="AX364" i="12"/>
  <c r="AX338" i="12"/>
  <c r="AX330" i="12"/>
  <c r="AX314" i="12"/>
  <c r="AX298" i="12"/>
  <c r="AX282" i="12"/>
  <c r="C336" i="25"/>
  <c r="C332" i="25"/>
  <c r="AX402" i="12"/>
  <c r="AX394" i="12"/>
  <c r="AX386" i="12"/>
  <c r="AX378" i="12"/>
  <c r="AX370" i="12"/>
  <c r="AX362" i="12"/>
  <c r="AX354" i="12"/>
  <c r="AX346" i="12"/>
  <c r="AR410" i="14" l="1"/>
  <c r="D4" i="14"/>
  <c r="D5" i="14"/>
  <c r="AE5" i="14" s="1"/>
  <c r="D6" i="14"/>
  <c r="D7" i="14"/>
  <c r="D8" i="14"/>
  <c r="D9" i="14"/>
  <c r="D10" i="14"/>
  <c r="D11" i="14"/>
  <c r="AE11" i="14" s="1"/>
  <c r="D12" i="14"/>
  <c r="D13" i="14"/>
  <c r="AE13" i="14" s="1"/>
  <c r="D14" i="14"/>
  <c r="D15" i="14"/>
  <c r="D16" i="14"/>
  <c r="AE16" i="14" s="1"/>
  <c r="D17" i="14"/>
  <c r="D18" i="14"/>
  <c r="D19" i="14"/>
  <c r="AE19" i="14" s="1"/>
  <c r="D20" i="14"/>
  <c r="AE20" i="14" s="1"/>
  <c r="D21" i="14"/>
  <c r="AE21" i="14" s="1"/>
  <c r="D22" i="14"/>
  <c r="AE22" i="14" s="1"/>
  <c r="D23" i="14"/>
  <c r="AE23" i="14" s="1"/>
  <c r="D24" i="14"/>
  <c r="AE24" i="14" s="1"/>
  <c r="D25" i="14"/>
  <c r="AE25" i="14" s="1"/>
  <c r="D26" i="14"/>
  <c r="AE26" i="14" s="1"/>
  <c r="D27" i="14"/>
  <c r="AE27" i="14" s="1"/>
  <c r="D28" i="14"/>
  <c r="D29" i="14"/>
  <c r="AE29" i="14" s="1"/>
  <c r="D30" i="14"/>
  <c r="AE30" i="14" s="1"/>
  <c r="D31" i="14"/>
  <c r="AE31" i="14" s="1"/>
  <c r="D32" i="14"/>
  <c r="AE32" i="14" s="1"/>
  <c r="D33" i="14"/>
  <c r="AE33" i="14" s="1"/>
  <c r="D34" i="14"/>
  <c r="AE34" i="14" s="1"/>
  <c r="D35" i="14"/>
  <c r="AE35" i="14" s="1"/>
  <c r="D36" i="14"/>
  <c r="AE36" i="14" s="1"/>
  <c r="D37" i="14"/>
  <c r="AE37" i="14" s="1"/>
  <c r="D38" i="14"/>
  <c r="AE38" i="14" s="1"/>
  <c r="D39" i="14"/>
  <c r="AE39" i="14" s="1"/>
  <c r="D40" i="14"/>
  <c r="AE40" i="14" s="1"/>
  <c r="D41" i="14"/>
  <c r="AE41" i="14" s="1"/>
  <c r="D42" i="14"/>
  <c r="AE42" i="14" s="1"/>
  <c r="D43" i="14"/>
  <c r="AE43" i="14" s="1"/>
  <c r="D44" i="14"/>
  <c r="AE44" i="14" s="1"/>
  <c r="D45" i="14"/>
  <c r="AE45" i="14" s="1"/>
  <c r="D46" i="14"/>
  <c r="AE46" i="14" s="1"/>
  <c r="D47" i="14"/>
  <c r="AE47" i="14" s="1"/>
  <c r="D48" i="14"/>
  <c r="AE48" i="14" s="1"/>
  <c r="D49" i="14"/>
  <c r="AE49" i="14" s="1"/>
  <c r="D50" i="14"/>
  <c r="AE50" i="14" s="1"/>
  <c r="D51" i="14"/>
  <c r="AE51" i="14" s="1"/>
  <c r="D52" i="14"/>
  <c r="AE52" i="14" s="1"/>
  <c r="D53" i="14"/>
  <c r="AE53" i="14" s="1"/>
  <c r="D54" i="14"/>
  <c r="AE54" i="14" s="1"/>
  <c r="D55" i="14"/>
  <c r="AE55" i="14" s="1"/>
  <c r="D56" i="14"/>
  <c r="AE56" i="14" s="1"/>
  <c r="D57" i="14"/>
  <c r="AE57" i="14" s="1"/>
  <c r="D58" i="14"/>
  <c r="AE58" i="14" s="1"/>
  <c r="D59" i="14"/>
  <c r="AE59" i="14" s="1"/>
  <c r="D60" i="14"/>
  <c r="AE60" i="14" s="1"/>
  <c r="D61" i="14"/>
  <c r="AE61" i="14" s="1"/>
  <c r="D62" i="14"/>
  <c r="AE62" i="14" s="1"/>
  <c r="D63" i="14"/>
  <c r="AE63" i="14" s="1"/>
  <c r="D64" i="14"/>
  <c r="AE64" i="14" s="1"/>
  <c r="D65" i="14"/>
  <c r="AE65" i="14" s="1"/>
  <c r="D66" i="14"/>
  <c r="AE66" i="14" s="1"/>
  <c r="D67" i="14"/>
  <c r="AE67" i="14" s="1"/>
  <c r="D68" i="14"/>
  <c r="AE68" i="14" s="1"/>
  <c r="D69" i="14"/>
  <c r="AE69" i="14" s="1"/>
  <c r="D70" i="14"/>
  <c r="AE70" i="14" s="1"/>
  <c r="D71" i="14"/>
  <c r="AE71" i="14" s="1"/>
  <c r="D72" i="14"/>
  <c r="AE72" i="14" s="1"/>
  <c r="D73" i="14"/>
  <c r="AE73" i="14" s="1"/>
  <c r="D74" i="14"/>
  <c r="AE74" i="14" s="1"/>
  <c r="D75" i="14"/>
  <c r="AE75" i="14" s="1"/>
  <c r="D76" i="14"/>
  <c r="AE76" i="14" s="1"/>
  <c r="D77" i="14"/>
  <c r="AE77" i="14" s="1"/>
  <c r="D78" i="14"/>
  <c r="AE78" i="14" s="1"/>
  <c r="D79" i="14"/>
  <c r="AE79" i="14" s="1"/>
  <c r="D80" i="14"/>
  <c r="AE80" i="14" s="1"/>
  <c r="D81" i="14"/>
  <c r="AE81" i="14" s="1"/>
  <c r="D82" i="14"/>
  <c r="AE82" i="14" s="1"/>
  <c r="D83" i="14"/>
  <c r="AE83" i="14" s="1"/>
  <c r="D84" i="14"/>
  <c r="AE84" i="14" s="1"/>
  <c r="D85" i="14"/>
  <c r="AE85" i="14" s="1"/>
  <c r="D86" i="14"/>
  <c r="AE86" i="14" s="1"/>
  <c r="D87" i="14"/>
  <c r="AE87" i="14" s="1"/>
  <c r="D88" i="14"/>
  <c r="AE88" i="14" s="1"/>
  <c r="D89" i="14"/>
  <c r="AE89" i="14" s="1"/>
  <c r="D90" i="14"/>
  <c r="AE90" i="14" s="1"/>
  <c r="D91" i="14"/>
  <c r="AE91" i="14" s="1"/>
  <c r="D92" i="14"/>
  <c r="AE92" i="14" s="1"/>
  <c r="D93" i="14"/>
  <c r="AE93" i="14" s="1"/>
  <c r="D94" i="14"/>
  <c r="AE94" i="14" s="1"/>
  <c r="D95" i="14"/>
  <c r="AE95" i="14" s="1"/>
  <c r="D96" i="14"/>
  <c r="AE96" i="14" s="1"/>
  <c r="D97" i="14"/>
  <c r="AE97" i="14" s="1"/>
  <c r="D98" i="14"/>
  <c r="AE98" i="14" s="1"/>
  <c r="D99" i="14"/>
  <c r="AE99" i="14" s="1"/>
  <c r="D100" i="14"/>
  <c r="AE100" i="14" s="1"/>
  <c r="D101" i="14"/>
  <c r="AE101" i="14" s="1"/>
  <c r="D102" i="14"/>
  <c r="AE102" i="14" s="1"/>
  <c r="D103" i="14"/>
  <c r="AE103" i="14" s="1"/>
  <c r="D104" i="14"/>
  <c r="AE104" i="14" s="1"/>
  <c r="D105" i="14"/>
  <c r="AE105" i="14" s="1"/>
  <c r="D106" i="14"/>
  <c r="AE106" i="14" s="1"/>
  <c r="D107" i="14"/>
  <c r="AE107" i="14" s="1"/>
  <c r="D108" i="14"/>
  <c r="AE108" i="14" s="1"/>
  <c r="D109" i="14"/>
  <c r="AE109" i="14" s="1"/>
  <c r="D110" i="14"/>
  <c r="AE110" i="14" s="1"/>
  <c r="D111" i="14"/>
  <c r="AE111" i="14" s="1"/>
  <c r="D112" i="14"/>
  <c r="AE112" i="14" s="1"/>
  <c r="D113" i="14"/>
  <c r="AE113" i="14" s="1"/>
  <c r="D114" i="14"/>
  <c r="AE114" i="14" s="1"/>
  <c r="D115" i="14"/>
  <c r="AE115" i="14" s="1"/>
  <c r="D116" i="14"/>
  <c r="AE116" i="14" s="1"/>
  <c r="D117" i="14"/>
  <c r="AE117" i="14" s="1"/>
  <c r="D118" i="14"/>
  <c r="AE118" i="14" s="1"/>
  <c r="D119" i="14"/>
  <c r="AE119" i="14" s="1"/>
  <c r="D120" i="14"/>
  <c r="AE120" i="14" s="1"/>
  <c r="D121" i="14"/>
  <c r="AE121" i="14" s="1"/>
  <c r="D122" i="14"/>
  <c r="AE122" i="14" s="1"/>
  <c r="D123" i="14"/>
  <c r="AE123" i="14" s="1"/>
  <c r="D124" i="14"/>
  <c r="AE124" i="14" s="1"/>
  <c r="D125" i="14"/>
  <c r="AE125" i="14" s="1"/>
  <c r="D126" i="14"/>
  <c r="AE126" i="14" s="1"/>
  <c r="D127" i="14"/>
  <c r="AE127" i="14" s="1"/>
  <c r="D128" i="14"/>
  <c r="AE128" i="14" s="1"/>
  <c r="D129" i="14"/>
  <c r="AE129" i="14" s="1"/>
  <c r="D130" i="14"/>
  <c r="AE130" i="14" s="1"/>
  <c r="D131" i="14"/>
  <c r="AE131" i="14" s="1"/>
  <c r="D132" i="14"/>
  <c r="AE132" i="14" s="1"/>
  <c r="D133" i="14"/>
  <c r="AE133" i="14" s="1"/>
  <c r="D134" i="14"/>
  <c r="AE134" i="14" s="1"/>
  <c r="D135" i="14"/>
  <c r="AE135" i="14" s="1"/>
  <c r="D136" i="14"/>
  <c r="AE136" i="14" s="1"/>
  <c r="D137" i="14"/>
  <c r="AE137" i="14" s="1"/>
  <c r="D138" i="14"/>
  <c r="AE138" i="14" s="1"/>
  <c r="D139" i="14"/>
  <c r="AE139" i="14" s="1"/>
  <c r="D140" i="14"/>
  <c r="AE140" i="14" s="1"/>
  <c r="D141" i="14"/>
  <c r="AE141" i="14" s="1"/>
  <c r="D142" i="14"/>
  <c r="AE142" i="14" s="1"/>
  <c r="D143" i="14"/>
  <c r="AE143" i="14" s="1"/>
  <c r="D144" i="14"/>
  <c r="AE144" i="14" s="1"/>
  <c r="D145" i="14"/>
  <c r="AE145" i="14" s="1"/>
  <c r="D146" i="14"/>
  <c r="AE146" i="14" s="1"/>
  <c r="D147" i="14"/>
  <c r="AE147" i="14" s="1"/>
  <c r="D148" i="14"/>
  <c r="AE148" i="14" s="1"/>
  <c r="D149" i="14"/>
  <c r="AE149" i="14" s="1"/>
  <c r="D150" i="14"/>
  <c r="AE150" i="14" s="1"/>
  <c r="D151" i="14"/>
  <c r="AE151" i="14" s="1"/>
  <c r="D152" i="14"/>
  <c r="AE152" i="14" s="1"/>
  <c r="D153" i="14"/>
  <c r="AE153" i="14" s="1"/>
  <c r="D154" i="14"/>
  <c r="AE154" i="14" s="1"/>
  <c r="D155" i="14"/>
  <c r="D156" i="14"/>
  <c r="AE156" i="14" s="1"/>
  <c r="D157" i="14"/>
  <c r="AE157" i="14" s="1"/>
  <c r="D158" i="14"/>
  <c r="AE158" i="14" s="1"/>
  <c r="D159" i="14"/>
  <c r="AE159" i="14" s="1"/>
  <c r="D160" i="14"/>
  <c r="AE160" i="14" s="1"/>
  <c r="D161" i="14"/>
  <c r="AE161" i="14" s="1"/>
  <c r="D162" i="14"/>
  <c r="AE162" i="14" s="1"/>
  <c r="D163" i="14"/>
  <c r="AE163" i="14" s="1"/>
  <c r="D164" i="14"/>
  <c r="AE164" i="14" s="1"/>
  <c r="D165" i="14"/>
  <c r="AE165" i="14" s="1"/>
  <c r="D166" i="14"/>
  <c r="AE166" i="14" s="1"/>
  <c r="D167" i="14"/>
  <c r="AE167" i="14" s="1"/>
  <c r="D168" i="14"/>
  <c r="AE168" i="14" s="1"/>
  <c r="D169" i="14"/>
  <c r="AE169" i="14" s="1"/>
  <c r="D170" i="14"/>
  <c r="AE170" i="14" s="1"/>
  <c r="D171" i="14"/>
  <c r="AE171" i="14" s="1"/>
  <c r="D172" i="14"/>
  <c r="AE172" i="14" s="1"/>
  <c r="D173" i="14"/>
  <c r="AE173" i="14" s="1"/>
  <c r="D174" i="14"/>
  <c r="AE174" i="14" s="1"/>
  <c r="D175" i="14"/>
  <c r="AE175" i="14" s="1"/>
  <c r="D176" i="14"/>
  <c r="AE176" i="14" s="1"/>
  <c r="D177" i="14"/>
  <c r="AE177" i="14" s="1"/>
  <c r="D178" i="14"/>
  <c r="AE178" i="14" s="1"/>
  <c r="D179" i="14"/>
  <c r="AE179" i="14" s="1"/>
  <c r="D180" i="14"/>
  <c r="AE180" i="14" s="1"/>
  <c r="D181" i="14"/>
  <c r="AE181" i="14" s="1"/>
  <c r="D182" i="14"/>
  <c r="AE182" i="14" s="1"/>
  <c r="D183" i="14"/>
  <c r="AE183" i="14" s="1"/>
  <c r="D184" i="14"/>
  <c r="AE184" i="14" s="1"/>
  <c r="D185" i="14"/>
  <c r="AE185" i="14" s="1"/>
  <c r="D186" i="14"/>
  <c r="AE186" i="14" s="1"/>
  <c r="D187" i="14"/>
  <c r="AE187" i="14" s="1"/>
  <c r="D188" i="14"/>
  <c r="AE188" i="14" s="1"/>
  <c r="D189" i="14"/>
  <c r="AE189" i="14" s="1"/>
  <c r="D190" i="14"/>
  <c r="AE190" i="14" s="1"/>
  <c r="D191" i="14"/>
  <c r="AE191" i="14" s="1"/>
  <c r="D192" i="14"/>
  <c r="AE192" i="14" s="1"/>
  <c r="D193" i="14"/>
  <c r="AE193" i="14" s="1"/>
  <c r="D194" i="14"/>
  <c r="AE194" i="14" s="1"/>
  <c r="D195" i="14"/>
  <c r="AE195" i="14" s="1"/>
  <c r="D196" i="14"/>
  <c r="AE196" i="14" s="1"/>
  <c r="D197" i="14"/>
  <c r="AE197" i="14" s="1"/>
  <c r="D198" i="14"/>
  <c r="AE198" i="14" s="1"/>
  <c r="D199" i="14"/>
  <c r="AE199" i="14" s="1"/>
  <c r="D200" i="14"/>
  <c r="AE200" i="14" s="1"/>
  <c r="D201" i="14"/>
  <c r="AE201" i="14" s="1"/>
  <c r="D202" i="14"/>
  <c r="AE202" i="14" s="1"/>
  <c r="D203" i="14"/>
  <c r="AE203" i="14" s="1"/>
  <c r="D204" i="14"/>
  <c r="AE204" i="14" s="1"/>
  <c r="D205" i="14"/>
  <c r="AE205" i="14" s="1"/>
  <c r="D206" i="14"/>
  <c r="AE206" i="14" s="1"/>
  <c r="D207" i="14"/>
  <c r="AE207" i="14" s="1"/>
  <c r="D208" i="14"/>
  <c r="AE208" i="14" s="1"/>
  <c r="D209" i="14"/>
  <c r="AE209" i="14" s="1"/>
  <c r="D210" i="14"/>
  <c r="AE210" i="14" s="1"/>
  <c r="D211" i="14"/>
  <c r="AE211" i="14" s="1"/>
  <c r="D212" i="14"/>
  <c r="AE212" i="14" s="1"/>
  <c r="D213" i="14"/>
  <c r="AE213" i="14" s="1"/>
  <c r="D214" i="14"/>
  <c r="AE214" i="14" s="1"/>
  <c r="D215" i="14"/>
  <c r="AE215" i="14" s="1"/>
  <c r="D216" i="14"/>
  <c r="AE216" i="14" s="1"/>
  <c r="D217" i="14"/>
  <c r="AE217" i="14" s="1"/>
  <c r="D218" i="14"/>
  <c r="AE218" i="14" s="1"/>
  <c r="D219" i="14"/>
  <c r="D220" i="14"/>
  <c r="AE220" i="14" s="1"/>
  <c r="D221" i="14"/>
  <c r="AE221" i="14" s="1"/>
  <c r="D222" i="14"/>
  <c r="AE222" i="14" s="1"/>
  <c r="D223" i="14"/>
  <c r="AE223" i="14" s="1"/>
  <c r="D224" i="14"/>
  <c r="AE224" i="14" s="1"/>
  <c r="D225" i="14"/>
  <c r="AE225" i="14" s="1"/>
  <c r="D226" i="14"/>
  <c r="AE226" i="14" s="1"/>
  <c r="D227" i="14"/>
  <c r="AE227" i="14" s="1"/>
  <c r="D228" i="14"/>
  <c r="AE228" i="14" s="1"/>
  <c r="D229" i="14"/>
  <c r="AE229" i="14" s="1"/>
  <c r="D230" i="14"/>
  <c r="AE230" i="14" s="1"/>
  <c r="D231" i="14"/>
  <c r="AE231" i="14" s="1"/>
  <c r="D232" i="14"/>
  <c r="AE232" i="14" s="1"/>
  <c r="D233" i="14"/>
  <c r="AE233" i="14" s="1"/>
  <c r="D234" i="14"/>
  <c r="AE234" i="14" s="1"/>
  <c r="D235" i="14"/>
  <c r="AE235" i="14" s="1"/>
  <c r="D236" i="14"/>
  <c r="AE236" i="14" s="1"/>
  <c r="D237" i="14"/>
  <c r="AE237" i="14" s="1"/>
  <c r="D238" i="14"/>
  <c r="AE238" i="14" s="1"/>
  <c r="D239" i="14"/>
  <c r="AE239" i="14" s="1"/>
  <c r="D240" i="14"/>
  <c r="AE240" i="14" s="1"/>
  <c r="D241" i="14"/>
  <c r="AE241" i="14" s="1"/>
  <c r="D242" i="14"/>
  <c r="AE242" i="14" s="1"/>
  <c r="D243" i="14"/>
  <c r="AE243" i="14" s="1"/>
  <c r="D244" i="14"/>
  <c r="AE244" i="14" s="1"/>
  <c r="D245" i="14"/>
  <c r="AE245" i="14" s="1"/>
  <c r="D246" i="14"/>
  <c r="AE246" i="14" s="1"/>
  <c r="D247" i="14"/>
  <c r="AE247" i="14" s="1"/>
  <c r="D248" i="14"/>
  <c r="AE248" i="14" s="1"/>
  <c r="D249" i="14"/>
  <c r="AE249" i="14" s="1"/>
  <c r="D250" i="14"/>
  <c r="AE250" i="14" s="1"/>
  <c r="D251" i="14"/>
  <c r="AE251" i="14" s="1"/>
  <c r="D252" i="14"/>
  <c r="AE252" i="14" s="1"/>
  <c r="D253" i="14"/>
  <c r="AE253" i="14" s="1"/>
  <c r="D254" i="14"/>
  <c r="AE254" i="14" s="1"/>
  <c r="D255" i="14"/>
  <c r="AE255" i="14" s="1"/>
  <c r="D256" i="14"/>
  <c r="AE256" i="14" s="1"/>
  <c r="D257" i="14"/>
  <c r="AE257" i="14" s="1"/>
  <c r="D258" i="14"/>
  <c r="AE258" i="14" s="1"/>
  <c r="D259" i="14"/>
  <c r="AE259" i="14" s="1"/>
  <c r="D260" i="14"/>
  <c r="AE260" i="14" s="1"/>
  <c r="D261" i="14"/>
  <c r="AE261" i="14" s="1"/>
  <c r="D262" i="14"/>
  <c r="AE262" i="14" s="1"/>
  <c r="D263" i="14"/>
  <c r="AE263" i="14" s="1"/>
  <c r="D264" i="14"/>
  <c r="AE264" i="14" s="1"/>
  <c r="D265" i="14"/>
  <c r="AE265" i="14" s="1"/>
  <c r="D266" i="14"/>
  <c r="AE266" i="14" s="1"/>
  <c r="D267" i="14"/>
  <c r="AE267" i="14" s="1"/>
  <c r="D268" i="14"/>
  <c r="AE268" i="14" s="1"/>
  <c r="D269" i="14"/>
  <c r="AE269" i="14" s="1"/>
  <c r="D270" i="14"/>
  <c r="AE270" i="14" s="1"/>
  <c r="D271" i="14"/>
  <c r="AE271" i="14" s="1"/>
  <c r="D272" i="14"/>
  <c r="AE272" i="14" s="1"/>
  <c r="D273" i="14"/>
  <c r="AE273" i="14" s="1"/>
  <c r="D274" i="14"/>
  <c r="AE274" i="14" s="1"/>
  <c r="D275" i="14"/>
  <c r="AE275" i="14" s="1"/>
  <c r="D276" i="14"/>
  <c r="AE276" i="14" s="1"/>
  <c r="D277" i="14"/>
  <c r="AE277" i="14" s="1"/>
  <c r="D278" i="14"/>
  <c r="AE278" i="14" s="1"/>
  <c r="D279" i="14"/>
  <c r="AE279" i="14" s="1"/>
  <c r="D280" i="14"/>
  <c r="AE280" i="14" s="1"/>
  <c r="D281" i="14"/>
  <c r="AE281" i="14" s="1"/>
  <c r="D282" i="14"/>
  <c r="AE282" i="14" s="1"/>
  <c r="D283" i="14"/>
  <c r="D284" i="14"/>
  <c r="AE284" i="14" s="1"/>
  <c r="D285" i="14"/>
  <c r="AE285" i="14" s="1"/>
  <c r="D286" i="14"/>
  <c r="AE286" i="14" s="1"/>
  <c r="D287" i="14"/>
  <c r="AE287" i="14" s="1"/>
  <c r="D288" i="14"/>
  <c r="AE288" i="14" s="1"/>
  <c r="D289" i="14"/>
  <c r="AE289" i="14" s="1"/>
  <c r="D290" i="14"/>
  <c r="AE290" i="14" s="1"/>
  <c r="D291" i="14"/>
  <c r="AE291" i="14" s="1"/>
  <c r="D292" i="14"/>
  <c r="AE292" i="14" s="1"/>
  <c r="D293" i="14"/>
  <c r="AE293" i="14" s="1"/>
  <c r="D294" i="14"/>
  <c r="AE294" i="14" s="1"/>
  <c r="D295" i="14"/>
  <c r="AE295" i="14" s="1"/>
  <c r="D296" i="14"/>
  <c r="AE296" i="14" s="1"/>
  <c r="D297" i="14"/>
  <c r="AE297" i="14" s="1"/>
  <c r="D298" i="14"/>
  <c r="AE298" i="14" s="1"/>
  <c r="D299" i="14"/>
  <c r="AE299" i="14" s="1"/>
  <c r="D300" i="14"/>
  <c r="AE300" i="14" s="1"/>
  <c r="D301" i="14"/>
  <c r="AE301" i="14" s="1"/>
  <c r="D302" i="14"/>
  <c r="AE302" i="14" s="1"/>
  <c r="D303" i="14"/>
  <c r="AE303" i="14" s="1"/>
  <c r="D304" i="14"/>
  <c r="AE304" i="14" s="1"/>
  <c r="D305" i="14"/>
  <c r="AE305" i="14" s="1"/>
  <c r="D306" i="14"/>
  <c r="AE306" i="14" s="1"/>
  <c r="D307" i="14"/>
  <c r="AE307" i="14" s="1"/>
  <c r="D308" i="14"/>
  <c r="AE308" i="14" s="1"/>
  <c r="D309" i="14"/>
  <c r="AE309" i="14" s="1"/>
  <c r="D310" i="14"/>
  <c r="AE310" i="14" s="1"/>
  <c r="D311" i="14"/>
  <c r="AE311" i="14" s="1"/>
  <c r="D312" i="14"/>
  <c r="AE312" i="14" s="1"/>
  <c r="D313" i="14"/>
  <c r="AE313" i="14" s="1"/>
  <c r="D314" i="14"/>
  <c r="D315" i="14"/>
  <c r="AE315" i="14" s="1"/>
  <c r="D316" i="14"/>
  <c r="AE316" i="14" s="1"/>
  <c r="D317" i="14"/>
  <c r="AE317" i="14" s="1"/>
  <c r="D318" i="14"/>
  <c r="AE318" i="14" s="1"/>
  <c r="D319" i="14"/>
  <c r="AE319" i="14" s="1"/>
  <c r="D320" i="14"/>
  <c r="AE320" i="14" s="1"/>
  <c r="D321" i="14"/>
  <c r="AE321" i="14" s="1"/>
  <c r="D322" i="14"/>
  <c r="AE322" i="14" s="1"/>
  <c r="D323" i="14"/>
  <c r="AE323" i="14" s="1"/>
  <c r="D324" i="14"/>
  <c r="AE324" i="14" s="1"/>
  <c r="D325" i="14"/>
  <c r="AE325" i="14" s="1"/>
  <c r="D326" i="14"/>
  <c r="AE326" i="14" s="1"/>
  <c r="D327" i="14"/>
  <c r="AE327" i="14" s="1"/>
  <c r="D328" i="14"/>
  <c r="AE328" i="14" s="1"/>
  <c r="D329" i="14"/>
  <c r="AE329" i="14" s="1"/>
  <c r="D330" i="14"/>
  <c r="AE330" i="14" s="1"/>
  <c r="D331" i="14"/>
  <c r="AE331" i="14" s="1"/>
  <c r="D332" i="14"/>
  <c r="AE332" i="14" s="1"/>
  <c r="D333" i="14"/>
  <c r="AE333" i="14" s="1"/>
  <c r="D334" i="14"/>
  <c r="AE334" i="14" s="1"/>
  <c r="D335" i="14"/>
  <c r="AE335" i="14" s="1"/>
  <c r="D336" i="14"/>
  <c r="AE336" i="14" s="1"/>
  <c r="D337" i="14"/>
  <c r="AE337" i="14" s="1"/>
  <c r="D338" i="14"/>
  <c r="AE338" i="14" s="1"/>
  <c r="D339" i="14"/>
  <c r="AE339" i="14" s="1"/>
  <c r="D340" i="14"/>
  <c r="AE340" i="14" s="1"/>
  <c r="D341" i="14"/>
  <c r="AE341" i="14" s="1"/>
  <c r="D342" i="14"/>
  <c r="AE342" i="14" s="1"/>
  <c r="D343" i="14"/>
  <c r="AE343" i="14" s="1"/>
  <c r="D344" i="14"/>
  <c r="AE344" i="14" s="1"/>
  <c r="D345" i="14"/>
  <c r="AE345" i="14" s="1"/>
  <c r="D346" i="14"/>
  <c r="D347" i="14"/>
  <c r="D348" i="14"/>
  <c r="AE348" i="14" s="1"/>
  <c r="D349" i="14"/>
  <c r="AE349" i="14" s="1"/>
  <c r="D350" i="14"/>
  <c r="AE350" i="14" s="1"/>
  <c r="D351" i="14"/>
  <c r="AE351" i="14" s="1"/>
  <c r="D352" i="14"/>
  <c r="AE352" i="14" s="1"/>
  <c r="D353" i="14"/>
  <c r="AE353" i="14" s="1"/>
  <c r="D354" i="14"/>
  <c r="AE354" i="14" s="1"/>
  <c r="D355" i="14"/>
  <c r="AE355" i="14" s="1"/>
  <c r="D356" i="14"/>
  <c r="AE356" i="14" s="1"/>
  <c r="D357" i="14"/>
  <c r="AE357" i="14" s="1"/>
  <c r="D358" i="14"/>
  <c r="AE358" i="14" s="1"/>
  <c r="D359" i="14"/>
  <c r="AE359" i="14" s="1"/>
  <c r="D360" i="14"/>
  <c r="AE360" i="14" s="1"/>
  <c r="D361" i="14"/>
  <c r="AE361" i="14" s="1"/>
  <c r="D362" i="14"/>
  <c r="AE362" i="14" s="1"/>
  <c r="D363" i="14"/>
  <c r="AE363" i="14" s="1"/>
  <c r="D364" i="14"/>
  <c r="AE364" i="14" s="1"/>
  <c r="D365" i="14"/>
  <c r="AE365" i="14" s="1"/>
  <c r="D366" i="14"/>
  <c r="AE366" i="14" s="1"/>
  <c r="D367" i="14"/>
  <c r="AE367" i="14" s="1"/>
  <c r="D368" i="14"/>
  <c r="AE368" i="14" s="1"/>
  <c r="D369" i="14"/>
  <c r="AE369" i="14" s="1"/>
  <c r="D370" i="14"/>
  <c r="AE370" i="14" s="1"/>
  <c r="D371" i="14"/>
  <c r="AE371" i="14" s="1"/>
  <c r="D372" i="14"/>
  <c r="AE372" i="14" s="1"/>
  <c r="D373" i="14"/>
  <c r="AE373" i="14" s="1"/>
  <c r="D374" i="14"/>
  <c r="AE374" i="14" s="1"/>
  <c r="D375" i="14"/>
  <c r="AE375" i="14" s="1"/>
  <c r="D376" i="14"/>
  <c r="AE376" i="14" s="1"/>
  <c r="D377" i="14"/>
  <c r="AE377" i="14" s="1"/>
  <c r="D378" i="14"/>
  <c r="D379" i="14"/>
  <c r="AE379" i="14" s="1"/>
  <c r="D380" i="14"/>
  <c r="AE380" i="14" s="1"/>
  <c r="D381" i="14"/>
  <c r="AE381" i="14" s="1"/>
  <c r="D382" i="14"/>
  <c r="AE382" i="14" s="1"/>
  <c r="D383" i="14"/>
  <c r="AE383" i="14" s="1"/>
  <c r="D384" i="14"/>
  <c r="AE384" i="14" s="1"/>
  <c r="D385" i="14"/>
  <c r="AE385" i="14" s="1"/>
  <c r="D386" i="14"/>
  <c r="AE386" i="14" s="1"/>
  <c r="D387" i="14"/>
  <c r="AE387" i="14" s="1"/>
  <c r="D388" i="14"/>
  <c r="AE388" i="14" s="1"/>
  <c r="D389" i="14"/>
  <c r="AE389" i="14" s="1"/>
  <c r="D390" i="14"/>
  <c r="AE390" i="14" s="1"/>
  <c r="D391" i="14"/>
  <c r="AE391" i="14" s="1"/>
  <c r="D392" i="14"/>
  <c r="AE392" i="14" s="1"/>
  <c r="D393" i="14"/>
  <c r="AE393" i="14" s="1"/>
  <c r="D394" i="14"/>
  <c r="AE394" i="14" s="1"/>
  <c r="D395" i="14"/>
  <c r="AE395" i="14" s="1"/>
  <c r="D396" i="14"/>
  <c r="AE396" i="14" s="1"/>
  <c r="D397" i="14"/>
  <c r="AE397" i="14" s="1"/>
  <c r="D398" i="14"/>
  <c r="AE398" i="14" s="1"/>
  <c r="D399" i="14"/>
  <c r="AE399" i="14" s="1"/>
  <c r="D400" i="14"/>
  <c r="AE400" i="14" s="1"/>
  <c r="D401" i="14"/>
  <c r="AE401" i="14" s="1"/>
  <c r="D402" i="14"/>
  <c r="AE402" i="14" s="1"/>
  <c r="D403" i="14"/>
  <c r="AE403" i="14" s="1"/>
  <c r="D404" i="14"/>
  <c r="AE404" i="14" s="1"/>
  <c r="D405" i="14"/>
  <c r="AE405" i="14" s="1"/>
  <c r="D406" i="14"/>
  <c r="AE406" i="14" s="1"/>
  <c r="D407" i="14"/>
  <c r="AE407" i="14" s="1"/>
  <c r="D408" i="14"/>
  <c r="AE408" i="14" s="1"/>
  <c r="D409" i="14"/>
  <c r="AE409" i="14" s="1"/>
  <c r="D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207" i="14"/>
  <c r="C20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C238" i="14"/>
  <c r="C239" i="14"/>
  <c r="C240" i="14"/>
  <c r="C241" i="14"/>
  <c r="C242" i="14"/>
  <c r="C243" i="14"/>
  <c r="C244" i="14"/>
  <c r="C245" i="14"/>
  <c r="C246" i="14"/>
  <c r="C247" i="14"/>
  <c r="C248" i="14"/>
  <c r="C249" i="14"/>
  <c r="C250" i="14"/>
  <c r="C251" i="14"/>
  <c r="C252" i="14"/>
  <c r="C253" i="14"/>
  <c r="C254" i="14"/>
  <c r="C255" i="14"/>
  <c r="C256" i="14"/>
  <c r="C257" i="14"/>
  <c r="C258" i="14"/>
  <c r="C259" i="14"/>
  <c r="C260" i="14"/>
  <c r="C261" i="14"/>
  <c r="C262" i="14"/>
  <c r="C263" i="14"/>
  <c r="C264" i="14"/>
  <c r="C265" i="14"/>
  <c r="C266" i="14"/>
  <c r="C267" i="14"/>
  <c r="C268" i="14"/>
  <c r="C269" i="14"/>
  <c r="C270" i="14"/>
  <c r="C271" i="14"/>
  <c r="C272" i="14"/>
  <c r="C273" i="14"/>
  <c r="C274" i="14"/>
  <c r="C275" i="14"/>
  <c r="C276" i="14"/>
  <c r="C277" i="14"/>
  <c r="C278" i="14"/>
  <c r="C279" i="14"/>
  <c r="C280" i="14"/>
  <c r="C281" i="14"/>
  <c r="C282" i="14"/>
  <c r="C283" i="14"/>
  <c r="C284" i="14"/>
  <c r="C285" i="14"/>
  <c r="C286" i="14"/>
  <c r="C287" i="14"/>
  <c r="C288" i="14"/>
  <c r="C289" i="14"/>
  <c r="C290" i="14"/>
  <c r="C291" i="14"/>
  <c r="C292" i="14"/>
  <c r="C293" i="14"/>
  <c r="C294" i="14"/>
  <c r="C295" i="14"/>
  <c r="C296" i="14"/>
  <c r="C297" i="14"/>
  <c r="C298" i="14"/>
  <c r="C299" i="14"/>
  <c r="C300" i="14"/>
  <c r="C301" i="14"/>
  <c r="C302" i="14"/>
  <c r="C303" i="14"/>
  <c r="C304" i="14"/>
  <c r="C305" i="14"/>
  <c r="C306" i="14"/>
  <c r="C307" i="14"/>
  <c r="C308" i="14"/>
  <c r="C309" i="14"/>
  <c r="C310" i="14"/>
  <c r="C311" i="14"/>
  <c r="C312" i="14"/>
  <c r="C313" i="14"/>
  <c r="C314" i="14"/>
  <c r="C315" i="14"/>
  <c r="C316" i="14"/>
  <c r="C317" i="14"/>
  <c r="C318" i="14"/>
  <c r="C319" i="14"/>
  <c r="C320" i="14"/>
  <c r="C321" i="14"/>
  <c r="C322" i="14"/>
  <c r="C323" i="14"/>
  <c r="C324" i="14"/>
  <c r="C325" i="14"/>
  <c r="C326" i="14"/>
  <c r="C327" i="14"/>
  <c r="C328" i="14"/>
  <c r="C329" i="14"/>
  <c r="C330" i="14"/>
  <c r="C331" i="14"/>
  <c r="C332" i="14"/>
  <c r="C333" i="14"/>
  <c r="C334" i="14"/>
  <c r="C335" i="14"/>
  <c r="C336" i="14"/>
  <c r="C337" i="14"/>
  <c r="C338" i="14"/>
  <c r="C339" i="14"/>
  <c r="C340" i="14"/>
  <c r="C341" i="14"/>
  <c r="C342" i="14"/>
  <c r="C343" i="14"/>
  <c r="C344" i="14"/>
  <c r="C345" i="14"/>
  <c r="C346" i="14"/>
  <c r="C347" i="14"/>
  <c r="C348" i="14"/>
  <c r="C349" i="14"/>
  <c r="C350" i="14"/>
  <c r="C351" i="14"/>
  <c r="C352" i="14"/>
  <c r="C353" i="14"/>
  <c r="C354" i="14"/>
  <c r="C355" i="14"/>
  <c r="C356" i="14"/>
  <c r="C357" i="14"/>
  <c r="C358" i="14"/>
  <c r="C359" i="14"/>
  <c r="C360" i="14"/>
  <c r="C361" i="14"/>
  <c r="C362" i="14"/>
  <c r="C363" i="14"/>
  <c r="C364" i="14"/>
  <c r="C365" i="14"/>
  <c r="C366" i="14"/>
  <c r="C367" i="14"/>
  <c r="C368" i="14"/>
  <c r="C369" i="14"/>
  <c r="C370" i="14"/>
  <c r="C371" i="14"/>
  <c r="C372" i="14"/>
  <c r="C373" i="14"/>
  <c r="C374" i="14"/>
  <c r="C375" i="14"/>
  <c r="C376" i="14"/>
  <c r="C377" i="14"/>
  <c r="C378" i="14"/>
  <c r="C379" i="14"/>
  <c r="C380" i="14"/>
  <c r="C381" i="14"/>
  <c r="C382" i="14"/>
  <c r="C383" i="14"/>
  <c r="C384" i="14"/>
  <c r="C385" i="14"/>
  <c r="C386" i="14"/>
  <c r="C387" i="14"/>
  <c r="C388" i="14"/>
  <c r="C389" i="14"/>
  <c r="C390" i="14"/>
  <c r="C391" i="14"/>
  <c r="C392" i="14"/>
  <c r="C393" i="14"/>
  <c r="C394" i="14"/>
  <c r="C395" i="14"/>
  <c r="C396" i="14"/>
  <c r="C397" i="14"/>
  <c r="C398" i="14"/>
  <c r="C399" i="14"/>
  <c r="C400" i="14"/>
  <c r="C401" i="14"/>
  <c r="C402" i="14"/>
  <c r="C403" i="14"/>
  <c r="C404" i="14"/>
  <c r="C405" i="14"/>
  <c r="C406" i="14"/>
  <c r="C407" i="14"/>
  <c r="C409" i="14"/>
  <c r="C3" i="14"/>
  <c r="F3" i="14" l="1"/>
  <c r="AE3" i="14"/>
  <c r="F378" i="14"/>
  <c r="AE378" i="14"/>
  <c r="F346" i="14"/>
  <c r="AE346" i="14"/>
  <c r="F314" i="14"/>
  <c r="AE314" i="14"/>
  <c r="F18" i="14"/>
  <c r="AE18" i="14"/>
  <c r="F14" i="14"/>
  <c r="AE14" i="14"/>
  <c r="F10" i="14"/>
  <c r="AE10" i="14"/>
  <c r="F6" i="14"/>
  <c r="AE6" i="14"/>
  <c r="F17" i="14"/>
  <c r="AE17" i="14"/>
  <c r="F9" i="14"/>
  <c r="AE9" i="14"/>
  <c r="F28" i="14"/>
  <c r="AE28" i="14"/>
  <c r="F12" i="14"/>
  <c r="AE12" i="14"/>
  <c r="F8" i="14"/>
  <c r="AE8" i="14"/>
  <c r="F4" i="14"/>
  <c r="AE4" i="14"/>
  <c r="G347" i="14"/>
  <c r="AE347" i="14"/>
  <c r="G283" i="14"/>
  <c r="AE283" i="14"/>
  <c r="G219" i="14"/>
  <c r="AE219" i="14"/>
  <c r="G155" i="14"/>
  <c r="AE155" i="14"/>
  <c r="F15" i="14"/>
  <c r="AE15" i="14"/>
  <c r="F7" i="14"/>
  <c r="AE7" i="14"/>
  <c r="AD404" i="14"/>
  <c r="AB404" i="14"/>
  <c r="AC404" i="14"/>
  <c r="AA404" i="14"/>
  <c r="Z404" i="14"/>
  <c r="X404" i="14"/>
  <c r="Y404" i="14"/>
  <c r="W404" i="14"/>
  <c r="T404" i="14"/>
  <c r="U404" i="14"/>
  <c r="S404" i="14"/>
  <c r="V404" i="14"/>
  <c r="R404" i="14"/>
  <c r="P404" i="14"/>
  <c r="Q404" i="14"/>
  <c r="N404" i="14"/>
  <c r="L404" i="14"/>
  <c r="M404" i="14"/>
  <c r="O404" i="14"/>
  <c r="K404" i="14"/>
  <c r="G404" i="14"/>
  <c r="H404" i="14"/>
  <c r="I404" i="14"/>
  <c r="J404" i="14"/>
  <c r="AD396" i="14"/>
  <c r="AB396" i="14"/>
  <c r="AC396" i="14"/>
  <c r="Z396" i="14"/>
  <c r="AA396" i="14"/>
  <c r="Y396" i="14"/>
  <c r="X396" i="14"/>
  <c r="V396" i="14"/>
  <c r="T396" i="14"/>
  <c r="U396" i="14"/>
  <c r="W396" i="14"/>
  <c r="S396" i="14"/>
  <c r="P396" i="14"/>
  <c r="R396" i="14"/>
  <c r="Q396" i="14"/>
  <c r="N396" i="14"/>
  <c r="L396" i="14"/>
  <c r="O396" i="14"/>
  <c r="M396" i="14"/>
  <c r="K396" i="14"/>
  <c r="G396" i="14"/>
  <c r="H396" i="14"/>
  <c r="I396" i="14"/>
  <c r="J396" i="14"/>
  <c r="AD388" i="14"/>
  <c r="AB388" i="14"/>
  <c r="AC388" i="14"/>
  <c r="AA388" i="14"/>
  <c r="Z388" i="14"/>
  <c r="Y388" i="14"/>
  <c r="X388" i="14"/>
  <c r="W388" i="14"/>
  <c r="V388" i="14"/>
  <c r="T388" i="14"/>
  <c r="U388" i="14"/>
  <c r="S388" i="14"/>
  <c r="R388" i="14"/>
  <c r="P388" i="14"/>
  <c r="Q388" i="14"/>
  <c r="N388" i="14"/>
  <c r="L388" i="14"/>
  <c r="M388" i="14"/>
  <c r="K388" i="14"/>
  <c r="O388" i="14"/>
  <c r="G388" i="14"/>
  <c r="H388" i="14"/>
  <c r="I388" i="14"/>
  <c r="J388" i="14"/>
  <c r="AD380" i="14"/>
  <c r="AC380" i="14"/>
  <c r="AB380" i="14"/>
  <c r="Z380" i="14"/>
  <c r="Y380" i="14"/>
  <c r="X380" i="14"/>
  <c r="AA380" i="14"/>
  <c r="T380" i="14"/>
  <c r="W380" i="14"/>
  <c r="V380" i="14"/>
  <c r="U380" i="14"/>
  <c r="S380" i="14"/>
  <c r="P380" i="14"/>
  <c r="R380" i="14"/>
  <c r="Q380" i="14"/>
  <c r="N380" i="14"/>
  <c r="L380" i="14"/>
  <c r="O380" i="14"/>
  <c r="M380" i="14"/>
  <c r="K380" i="14"/>
  <c r="G380" i="14"/>
  <c r="H380" i="14"/>
  <c r="I380" i="14"/>
  <c r="J380" i="14"/>
  <c r="AB372" i="14"/>
  <c r="AD372" i="14"/>
  <c r="AC372" i="14"/>
  <c r="AA372" i="14"/>
  <c r="Z372" i="14"/>
  <c r="X372" i="14"/>
  <c r="T372" i="14"/>
  <c r="U372" i="14"/>
  <c r="V372" i="14"/>
  <c r="W372" i="14"/>
  <c r="Y372" i="14"/>
  <c r="S372" i="14"/>
  <c r="R372" i="14"/>
  <c r="P372" i="14"/>
  <c r="Q372" i="14"/>
  <c r="N372" i="14"/>
  <c r="O372" i="14"/>
  <c r="L372" i="14"/>
  <c r="M372" i="14"/>
  <c r="K372" i="14"/>
  <c r="G372" i="14"/>
  <c r="H372" i="14"/>
  <c r="I372" i="14"/>
  <c r="J372" i="14"/>
  <c r="AD364" i="14"/>
  <c r="AB364" i="14"/>
  <c r="AC364" i="14"/>
  <c r="Z364" i="14"/>
  <c r="X364" i="14"/>
  <c r="Y364" i="14"/>
  <c r="AA364" i="14"/>
  <c r="V364" i="14"/>
  <c r="W364" i="14"/>
  <c r="T364" i="14"/>
  <c r="U364" i="14"/>
  <c r="S364" i="14"/>
  <c r="P364" i="14"/>
  <c r="R364" i="14"/>
  <c r="Q364" i="14"/>
  <c r="O364" i="14"/>
  <c r="N364" i="14"/>
  <c r="L364" i="14"/>
  <c r="M364" i="14"/>
  <c r="K364" i="14"/>
  <c r="J364" i="14"/>
  <c r="G364" i="14"/>
  <c r="H364" i="14"/>
  <c r="I364" i="14"/>
  <c r="AD356" i="14"/>
  <c r="AB356" i="14"/>
  <c r="AA356" i="14"/>
  <c r="AC356" i="14"/>
  <c r="Z356" i="14"/>
  <c r="Y356" i="14"/>
  <c r="X356" i="14"/>
  <c r="V356" i="14"/>
  <c r="T356" i="14"/>
  <c r="W356" i="14"/>
  <c r="U356" i="14"/>
  <c r="S356" i="14"/>
  <c r="R356" i="14"/>
  <c r="P356" i="14"/>
  <c r="Q356" i="14"/>
  <c r="N356" i="14"/>
  <c r="L356" i="14"/>
  <c r="O356" i="14"/>
  <c r="M356" i="14"/>
  <c r="K356" i="14"/>
  <c r="G356" i="14"/>
  <c r="H356" i="14"/>
  <c r="J356" i="14"/>
  <c r="I356" i="14"/>
  <c r="AD348" i="14"/>
  <c r="AB348" i="14"/>
  <c r="AC348" i="14"/>
  <c r="AA348" i="14"/>
  <c r="Z348" i="14"/>
  <c r="Y348" i="14"/>
  <c r="X348" i="14"/>
  <c r="W348" i="14"/>
  <c r="T348" i="14"/>
  <c r="V348" i="14"/>
  <c r="U348" i="14"/>
  <c r="S348" i="14"/>
  <c r="P348" i="14"/>
  <c r="R348" i="14"/>
  <c r="Q348" i="14"/>
  <c r="N348" i="14"/>
  <c r="L348" i="14"/>
  <c r="M348" i="14"/>
  <c r="K348" i="14"/>
  <c r="O348" i="14"/>
  <c r="G348" i="14"/>
  <c r="H348" i="14"/>
  <c r="J348" i="14"/>
  <c r="I348" i="14"/>
  <c r="AC340" i="14"/>
  <c r="AB340" i="14"/>
  <c r="AD340" i="14"/>
  <c r="AA340" i="14"/>
  <c r="Z340" i="14"/>
  <c r="X340" i="14"/>
  <c r="Y340" i="14"/>
  <c r="V340" i="14"/>
  <c r="W340" i="14"/>
  <c r="T340" i="14"/>
  <c r="U340" i="14"/>
  <c r="S340" i="14"/>
  <c r="R340" i="14"/>
  <c r="P340" i="14"/>
  <c r="Q340" i="14"/>
  <c r="N340" i="14"/>
  <c r="L340" i="14"/>
  <c r="O340" i="14"/>
  <c r="M340" i="14"/>
  <c r="K340" i="14"/>
  <c r="G340" i="14"/>
  <c r="H340" i="14"/>
  <c r="J340" i="14"/>
  <c r="I340" i="14"/>
  <c r="AD332" i="14"/>
  <c r="AB332" i="14"/>
  <c r="AC332" i="14"/>
  <c r="AA332" i="14"/>
  <c r="Z332" i="14"/>
  <c r="Y332" i="14"/>
  <c r="X332" i="14"/>
  <c r="V332" i="14"/>
  <c r="T332" i="14"/>
  <c r="U332" i="14"/>
  <c r="W332" i="14"/>
  <c r="S332" i="14"/>
  <c r="P332" i="14"/>
  <c r="R332" i="14"/>
  <c r="Q332" i="14"/>
  <c r="N332" i="14"/>
  <c r="O332" i="14"/>
  <c r="L332" i="14"/>
  <c r="M332" i="14"/>
  <c r="K332" i="14"/>
  <c r="J332" i="14"/>
  <c r="G332" i="14"/>
  <c r="H332" i="14"/>
  <c r="I332" i="14"/>
  <c r="AD324" i="14"/>
  <c r="AB324" i="14"/>
  <c r="AA324" i="14"/>
  <c r="AC324" i="14"/>
  <c r="Z324" i="14"/>
  <c r="Y324" i="14"/>
  <c r="W324" i="14"/>
  <c r="T324" i="14"/>
  <c r="X324" i="14"/>
  <c r="U324" i="14"/>
  <c r="V324" i="14"/>
  <c r="S324" i="14"/>
  <c r="R324" i="14"/>
  <c r="P324" i="14"/>
  <c r="Q324" i="14"/>
  <c r="N324" i="14"/>
  <c r="L324" i="14"/>
  <c r="M324" i="14"/>
  <c r="O324" i="14"/>
  <c r="K324" i="14"/>
  <c r="G324" i="14"/>
  <c r="H324" i="14"/>
  <c r="J324" i="14"/>
  <c r="I324" i="14"/>
  <c r="AD316" i="14"/>
  <c r="AC316" i="14"/>
  <c r="AB316" i="14"/>
  <c r="AA316" i="14"/>
  <c r="Z316" i="14"/>
  <c r="Y316" i="14"/>
  <c r="X316" i="14"/>
  <c r="V316" i="14"/>
  <c r="T316" i="14"/>
  <c r="W316" i="14"/>
  <c r="U316" i="14"/>
  <c r="S316" i="14"/>
  <c r="P316" i="14"/>
  <c r="R316" i="14"/>
  <c r="Q316" i="14"/>
  <c r="N316" i="14"/>
  <c r="L316" i="14"/>
  <c r="O316" i="14"/>
  <c r="M316" i="14"/>
  <c r="K316" i="14"/>
  <c r="G316" i="14"/>
  <c r="H316" i="14"/>
  <c r="J316" i="14"/>
  <c r="I316" i="14"/>
  <c r="AD308" i="14"/>
  <c r="AC308" i="14"/>
  <c r="AB308" i="14"/>
  <c r="AA308" i="14"/>
  <c r="Z308" i="14"/>
  <c r="X308" i="14"/>
  <c r="T308" i="14"/>
  <c r="Y308" i="14"/>
  <c r="V308" i="14"/>
  <c r="U308" i="14"/>
  <c r="W308" i="14"/>
  <c r="S308" i="14"/>
  <c r="R308" i="14"/>
  <c r="P308" i="14"/>
  <c r="Q308" i="14"/>
  <c r="N308" i="14"/>
  <c r="O308" i="14"/>
  <c r="L308" i="14"/>
  <c r="M308" i="14"/>
  <c r="K308" i="14"/>
  <c r="G308" i="14"/>
  <c r="H308" i="14"/>
  <c r="J308" i="14"/>
  <c r="I308" i="14"/>
  <c r="AD300" i="14"/>
  <c r="AC300" i="14"/>
  <c r="AB300" i="14"/>
  <c r="AA300" i="14"/>
  <c r="Z300" i="14"/>
  <c r="X300" i="14"/>
  <c r="Y300" i="14"/>
  <c r="W300" i="14"/>
  <c r="T300" i="14"/>
  <c r="U300" i="14"/>
  <c r="V300" i="14"/>
  <c r="S300" i="14"/>
  <c r="P300" i="14"/>
  <c r="R300" i="14"/>
  <c r="Q300" i="14"/>
  <c r="O300" i="14"/>
  <c r="N300" i="14"/>
  <c r="L300" i="14"/>
  <c r="M300" i="14"/>
  <c r="K300" i="14"/>
  <c r="J300" i="14"/>
  <c r="G300" i="14"/>
  <c r="H300" i="14"/>
  <c r="I300" i="14"/>
  <c r="AD292" i="14"/>
  <c r="AC292" i="14"/>
  <c r="AB292" i="14"/>
  <c r="AA292" i="14"/>
  <c r="Z292" i="14"/>
  <c r="Y292" i="14"/>
  <c r="X292" i="14"/>
  <c r="T292" i="14"/>
  <c r="W292" i="14"/>
  <c r="U292" i="14"/>
  <c r="S292" i="14"/>
  <c r="V292" i="14"/>
  <c r="R292" i="14"/>
  <c r="P292" i="14"/>
  <c r="Q292" i="14"/>
  <c r="N292" i="14"/>
  <c r="L292" i="14"/>
  <c r="M292" i="14"/>
  <c r="O292" i="14"/>
  <c r="K292" i="14"/>
  <c r="G292" i="14"/>
  <c r="H292" i="14"/>
  <c r="J292" i="14"/>
  <c r="I292" i="14"/>
  <c r="AD284" i="14"/>
  <c r="AC284" i="14"/>
  <c r="AB284" i="14"/>
  <c r="AA284" i="14"/>
  <c r="Z284" i="14"/>
  <c r="Y284" i="14"/>
  <c r="X284" i="14"/>
  <c r="W284" i="14"/>
  <c r="T284" i="14"/>
  <c r="V284" i="14"/>
  <c r="U284" i="14"/>
  <c r="S284" i="14"/>
  <c r="P284" i="14"/>
  <c r="R284" i="14"/>
  <c r="Q284" i="14"/>
  <c r="N284" i="14"/>
  <c r="L284" i="14"/>
  <c r="O284" i="14"/>
  <c r="M284" i="14"/>
  <c r="K284" i="14"/>
  <c r="G284" i="14"/>
  <c r="H284" i="14"/>
  <c r="J284" i="14"/>
  <c r="I284" i="14"/>
  <c r="AD276" i="14"/>
  <c r="AC276" i="14"/>
  <c r="AB276" i="14"/>
  <c r="AA276" i="14"/>
  <c r="Z276" i="14"/>
  <c r="X276" i="14"/>
  <c r="Y276" i="14"/>
  <c r="V276" i="14"/>
  <c r="W276" i="14"/>
  <c r="T276" i="14"/>
  <c r="U276" i="14"/>
  <c r="S276" i="14"/>
  <c r="R276" i="14"/>
  <c r="P276" i="14"/>
  <c r="Q276" i="14"/>
  <c r="N276" i="14"/>
  <c r="L276" i="14"/>
  <c r="O276" i="14"/>
  <c r="M276" i="14"/>
  <c r="K276" i="14"/>
  <c r="G276" i="14"/>
  <c r="H276" i="14"/>
  <c r="J276" i="14"/>
  <c r="I276" i="14"/>
  <c r="AD268" i="14"/>
  <c r="AC268" i="14"/>
  <c r="AB268" i="14"/>
  <c r="AA268" i="14"/>
  <c r="Z268" i="14"/>
  <c r="Y268" i="14"/>
  <c r="X268" i="14"/>
  <c r="V268" i="14"/>
  <c r="T268" i="14"/>
  <c r="U268" i="14"/>
  <c r="W268" i="14"/>
  <c r="S268" i="14"/>
  <c r="P268" i="14"/>
  <c r="R268" i="14"/>
  <c r="Q268" i="14"/>
  <c r="N268" i="14"/>
  <c r="O268" i="14"/>
  <c r="L268" i="14"/>
  <c r="M268" i="14"/>
  <c r="K268" i="14"/>
  <c r="J268" i="14"/>
  <c r="G268" i="14"/>
  <c r="H268" i="14"/>
  <c r="I268" i="14"/>
  <c r="AD260" i="14"/>
  <c r="AC260" i="14"/>
  <c r="AB260" i="14"/>
  <c r="AA260" i="14"/>
  <c r="Z260" i="14"/>
  <c r="Y260" i="14"/>
  <c r="W260" i="14"/>
  <c r="T260" i="14"/>
  <c r="U260" i="14"/>
  <c r="V260" i="14"/>
  <c r="S260" i="14"/>
  <c r="X260" i="14"/>
  <c r="R260" i="14"/>
  <c r="P260" i="14"/>
  <c r="Q260" i="14"/>
  <c r="N260" i="14"/>
  <c r="L260" i="14"/>
  <c r="M260" i="14"/>
  <c r="K260" i="14"/>
  <c r="O260" i="14"/>
  <c r="G260" i="14"/>
  <c r="H260" i="14"/>
  <c r="J260" i="14"/>
  <c r="I260" i="14"/>
  <c r="AD252" i="14"/>
  <c r="AC252" i="14"/>
  <c r="AB252" i="14"/>
  <c r="AA252" i="14"/>
  <c r="Y252" i="14"/>
  <c r="X252" i="14"/>
  <c r="Z252" i="14"/>
  <c r="V252" i="14"/>
  <c r="T252" i="14"/>
  <c r="W252" i="14"/>
  <c r="U252" i="14"/>
  <c r="S252" i="14"/>
  <c r="P252" i="14"/>
  <c r="R252" i="14"/>
  <c r="N252" i="14"/>
  <c r="Q252" i="14"/>
  <c r="L252" i="14"/>
  <c r="O252" i="14"/>
  <c r="M252" i="14"/>
  <c r="K252" i="14"/>
  <c r="G252" i="14"/>
  <c r="H252" i="14"/>
  <c r="J252" i="14"/>
  <c r="I252" i="14"/>
  <c r="AD244" i="14"/>
  <c r="AC244" i="14"/>
  <c r="AB244" i="14"/>
  <c r="AA244" i="14"/>
  <c r="Z244" i="14"/>
  <c r="X244" i="14"/>
  <c r="Y244" i="14"/>
  <c r="T244" i="14"/>
  <c r="V244" i="14"/>
  <c r="U244" i="14"/>
  <c r="S244" i="14"/>
  <c r="W244" i="14"/>
  <c r="R244" i="14"/>
  <c r="Q244" i="14"/>
  <c r="N244" i="14"/>
  <c r="P244" i="14"/>
  <c r="O244" i="14"/>
  <c r="L244" i="14"/>
  <c r="M244" i="14"/>
  <c r="K244" i="14"/>
  <c r="G244" i="14"/>
  <c r="H244" i="14"/>
  <c r="J244" i="14"/>
  <c r="I244" i="14"/>
  <c r="AD236" i="14"/>
  <c r="AC236" i="14"/>
  <c r="AB236" i="14"/>
  <c r="AA236" i="14"/>
  <c r="X236" i="14"/>
  <c r="Y236" i="14"/>
  <c r="W236" i="14"/>
  <c r="T236" i="14"/>
  <c r="U236" i="14"/>
  <c r="Z236" i="14"/>
  <c r="S236" i="14"/>
  <c r="V236" i="14"/>
  <c r="P236" i="14"/>
  <c r="R236" i="14"/>
  <c r="N236" i="14"/>
  <c r="Q236" i="14"/>
  <c r="O236" i="14"/>
  <c r="L236" i="14"/>
  <c r="M236" i="14"/>
  <c r="K236" i="14"/>
  <c r="J236" i="14"/>
  <c r="G236" i="14"/>
  <c r="H236" i="14"/>
  <c r="I236" i="14"/>
  <c r="AD228" i="14"/>
  <c r="AC228" i="14"/>
  <c r="AB228" i="14"/>
  <c r="AA228" i="14"/>
  <c r="Z228" i="14"/>
  <c r="Y228" i="14"/>
  <c r="X228" i="14"/>
  <c r="T228" i="14"/>
  <c r="W228" i="14"/>
  <c r="U228" i="14"/>
  <c r="V228" i="14"/>
  <c r="S228" i="14"/>
  <c r="R228" i="14"/>
  <c r="Q228" i="14"/>
  <c r="N228" i="14"/>
  <c r="P228" i="14"/>
  <c r="L228" i="14"/>
  <c r="O228" i="14"/>
  <c r="M228" i="14"/>
  <c r="K228" i="14"/>
  <c r="G228" i="14"/>
  <c r="H228" i="14"/>
  <c r="J228" i="14"/>
  <c r="I228" i="14"/>
  <c r="AD220" i="14"/>
  <c r="AC220" i="14"/>
  <c r="AB220" i="14"/>
  <c r="AA220" i="14"/>
  <c r="Z220" i="14"/>
  <c r="Y220" i="14"/>
  <c r="X220" i="14"/>
  <c r="W220" i="14"/>
  <c r="T220" i="14"/>
  <c r="V220" i="14"/>
  <c r="U220" i="14"/>
  <c r="S220" i="14"/>
  <c r="P220" i="14"/>
  <c r="R220" i="14"/>
  <c r="N220" i="14"/>
  <c r="Q220" i="14"/>
  <c r="O220" i="14"/>
  <c r="L220" i="14"/>
  <c r="M220" i="14"/>
  <c r="K220" i="14"/>
  <c r="G220" i="14"/>
  <c r="H220" i="14"/>
  <c r="J220" i="14"/>
  <c r="I220" i="14"/>
  <c r="AD212" i="14"/>
  <c r="AC212" i="14"/>
  <c r="AB212" i="14"/>
  <c r="AA212" i="14"/>
  <c r="Z212" i="14"/>
  <c r="X212" i="14"/>
  <c r="Y212" i="14"/>
  <c r="V212" i="14"/>
  <c r="W212" i="14"/>
  <c r="T212" i="14"/>
  <c r="U212" i="14"/>
  <c r="S212" i="14"/>
  <c r="R212" i="14"/>
  <c r="Q212" i="14"/>
  <c r="N212" i="14"/>
  <c r="P212" i="14"/>
  <c r="L212" i="14"/>
  <c r="O212" i="14"/>
  <c r="M212" i="14"/>
  <c r="K212" i="14"/>
  <c r="G212" i="14"/>
  <c r="J212" i="14"/>
  <c r="H212" i="14"/>
  <c r="I212" i="14"/>
  <c r="AD204" i="14"/>
  <c r="AC204" i="14"/>
  <c r="AB204" i="14"/>
  <c r="AA204" i="14"/>
  <c r="Z204" i="14"/>
  <c r="Y204" i="14"/>
  <c r="X204" i="14"/>
  <c r="V204" i="14"/>
  <c r="T204" i="14"/>
  <c r="U204" i="14"/>
  <c r="W204" i="14"/>
  <c r="S204" i="14"/>
  <c r="P204" i="14"/>
  <c r="R204" i="14"/>
  <c r="N204" i="14"/>
  <c r="Q204" i="14"/>
  <c r="O204" i="14"/>
  <c r="L204" i="14"/>
  <c r="M204" i="14"/>
  <c r="K204" i="14"/>
  <c r="G204" i="14"/>
  <c r="H204" i="14"/>
  <c r="J204" i="14"/>
  <c r="I204" i="14"/>
  <c r="AD196" i="14"/>
  <c r="AC196" i="14"/>
  <c r="AB196" i="14"/>
  <c r="AA196" i="14"/>
  <c r="Z196" i="14"/>
  <c r="Y196" i="14"/>
  <c r="W196" i="14"/>
  <c r="X196" i="14"/>
  <c r="T196" i="14"/>
  <c r="U196" i="14"/>
  <c r="V196" i="14"/>
  <c r="S196" i="14"/>
  <c r="R196" i="14"/>
  <c r="Q196" i="14"/>
  <c r="N196" i="14"/>
  <c r="P196" i="14"/>
  <c r="O196" i="14"/>
  <c r="L196" i="14"/>
  <c r="M196" i="14"/>
  <c r="K196" i="14"/>
  <c r="J196" i="14"/>
  <c r="G196" i="14"/>
  <c r="H196" i="14"/>
  <c r="I196" i="14"/>
  <c r="AD188" i="14"/>
  <c r="AC188" i="14"/>
  <c r="AB188" i="14"/>
  <c r="AA188" i="14"/>
  <c r="Y188" i="14"/>
  <c r="X188" i="14"/>
  <c r="Z188" i="14"/>
  <c r="V188" i="14"/>
  <c r="T188" i="14"/>
  <c r="W188" i="14"/>
  <c r="U188" i="14"/>
  <c r="S188" i="14"/>
  <c r="P188" i="14"/>
  <c r="R188" i="14"/>
  <c r="N188" i="14"/>
  <c r="Q188" i="14"/>
  <c r="L188" i="14"/>
  <c r="O188" i="14"/>
  <c r="M188" i="14"/>
  <c r="K188" i="14"/>
  <c r="G188" i="14"/>
  <c r="H188" i="14"/>
  <c r="J188" i="14"/>
  <c r="I188" i="14"/>
  <c r="AD180" i="14"/>
  <c r="AC180" i="14"/>
  <c r="AB180" i="14"/>
  <c r="AA180" i="14"/>
  <c r="Z180" i="14"/>
  <c r="W180" i="14"/>
  <c r="X180" i="14"/>
  <c r="T180" i="14"/>
  <c r="V180" i="14"/>
  <c r="U180" i="14"/>
  <c r="Y180" i="14"/>
  <c r="S180" i="14"/>
  <c r="R180" i="14"/>
  <c r="Q180" i="14"/>
  <c r="N180" i="14"/>
  <c r="P180" i="14"/>
  <c r="O180" i="14"/>
  <c r="L180" i="14"/>
  <c r="M180" i="14"/>
  <c r="K180" i="14"/>
  <c r="J180" i="14"/>
  <c r="G180" i="14"/>
  <c r="H180" i="14"/>
  <c r="I180" i="14"/>
  <c r="AD172" i="14"/>
  <c r="AC172" i="14"/>
  <c r="AB172" i="14"/>
  <c r="AA172" i="14"/>
  <c r="Z172" i="14"/>
  <c r="W172" i="14"/>
  <c r="Y172" i="14"/>
  <c r="X172" i="14"/>
  <c r="T172" i="14"/>
  <c r="U172" i="14"/>
  <c r="V172" i="14"/>
  <c r="S172" i="14"/>
  <c r="P172" i="14"/>
  <c r="R172" i="14"/>
  <c r="N172" i="14"/>
  <c r="Q172" i="14"/>
  <c r="O172" i="14"/>
  <c r="L172" i="14"/>
  <c r="M172" i="14"/>
  <c r="K172" i="14"/>
  <c r="G172" i="14"/>
  <c r="H172" i="14"/>
  <c r="J172" i="14"/>
  <c r="I172" i="14"/>
  <c r="AD164" i="14"/>
  <c r="AC164" i="14"/>
  <c r="AB164" i="14"/>
  <c r="AA164" i="14"/>
  <c r="Z164" i="14"/>
  <c r="Y164" i="14"/>
  <c r="X164" i="14"/>
  <c r="W164" i="14"/>
  <c r="V164" i="14"/>
  <c r="T164" i="14"/>
  <c r="U164" i="14"/>
  <c r="S164" i="14"/>
  <c r="R164" i="14"/>
  <c r="Q164" i="14"/>
  <c r="N164" i="14"/>
  <c r="P164" i="14"/>
  <c r="L164" i="14"/>
  <c r="O164" i="14"/>
  <c r="M164" i="14"/>
  <c r="K164" i="14"/>
  <c r="J164" i="14"/>
  <c r="G164" i="14"/>
  <c r="H164" i="14"/>
  <c r="I164" i="14"/>
  <c r="AD156" i="14"/>
  <c r="AC156" i="14"/>
  <c r="AB156" i="14"/>
  <c r="AA156" i="14"/>
  <c r="Z156" i="14"/>
  <c r="W156" i="14"/>
  <c r="Y156" i="14"/>
  <c r="X156" i="14"/>
  <c r="T156" i="14"/>
  <c r="V156" i="14"/>
  <c r="U156" i="14"/>
  <c r="S156" i="14"/>
  <c r="P156" i="14"/>
  <c r="R156" i="14"/>
  <c r="N156" i="14"/>
  <c r="Q156" i="14"/>
  <c r="O156" i="14"/>
  <c r="L156" i="14"/>
  <c r="M156" i="14"/>
  <c r="K156" i="14"/>
  <c r="G156" i="14"/>
  <c r="H156" i="14"/>
  <c r="J156" i="14"/>
  <c r="I156" i="14"/>
  <c r="AD148" i="14"/>
  <c r="AC148" i="14"/>
  <c r="AB148" i="14"/>
  <c r="AA148" i="14"/>
  <c r="Z148" i="14"/>
  <c r="W148" i="14"/>
  <c r="Y148" i="14"/>
  <c r="X148" i="14"/>
  <c r="V148" i="14"/>
  <c r="T148" i="14"/>
  <c r="U148" i="14"/>
  <c r="S148" i="14"/>
  <c r="R148" i="14"/>
  <c r="Q148" i="14"/>
  <c r="N148" i="14"/>
  <c r="P148" i="14"/>
  <c r="L148" i="14"/>
  <c r="O148" i="14"/>
  <c r="M148" i="14"/>
  <c r="K148" i="14"/>
  <c r="J148" i="14"/>
  <c r="G148" i="14"/>
  <c r="H148" i="14"/>
  <c r="I148" i="14"/>
  <c r="AD140" i="14"/>
  <c r="AC140" i="14"/>
  <c r="AB140" i="14"/>
  <c r="AA140" i="14"/>
  <c r="Z140" i="14"/>
  <c r="Y140" i="14"/>
  <c r="X140" i="14"/>
  <c r="W140" i="14"/>
  <c r="V140" i="14"/>
  <c r="T140" i="14"/>
  <c r="U140" i="14"/>
  <c r="S140" i="14"/>
  <c r="P140" i="14"/>
  <c r="R140" i="14"/>
  <c r="N140" i="14"/>
  <c r="Q140" i="14"/>
  <c r="O140" i="14"/>
  <c r="L140" i="14"/>
  <c r="M140" i="14"/>
  <c r="K140" i="14"/>
  <c r="G140" i="14"/>
  <c r="H140" i="14"/>
  <c r="J140" i="14"/>
  <c r="I140" i="14"/>
  <c r="AD132" i="14"/>
  <c r="AC132" i="14"/>
  <c r="AB132" i="14"/>
  <c r="AA132" i="14"/>
  <c r="Z132" i="14"/>
  <c r="W132" i="14"/>
  <c r="Y132" i="14"/>
  <c r="X132" i="14"/>
  <c r="T132" i="14"/>
  <c r="U132" i="14"/>
  <c r="V132" i="14"/>
  <c r="S132" i="14"/>
  <c r="R132" i="14"/>
  <c r="Q132" i="14"/>
  <c r="N132" i="14"/>
  <c r="P132" i="14"/>
  <c r="O132" i="14"/>
  <c r="L132" i="14"/>
  <c r="M132" i="14"/>
  <c r="K132" i="14"/>
  <c r="J132" i="14"/>
  <c r="G132" i="14"/>
  <c r="H132" i="14"/>
  <c r="I132" i="14"/>
  <c r="AD124" i="14"/>
  <c r="AC124" i="14"/>
  <c r="AB124" i="14"/>
  <c r="AA124" i="14"/>
  <c r="Z124" i="14"/>
  <c r="W124" i="14"/>
  <c r="Y124" i="14"/>
  <c r="X124" i="14"/>
  <c r="V124" i="14"/>
  <c r="T124" i="14"/>
  <c r="U124" i="14"/>
  <c r="S124" i="14"/>
  <c r="P124" i="14"/>
  <c r="R124" i="14"/>
  <c r="N124" i="14"/>
  <c r="Q124" i="14"/>
  <c r="L124" i="14"/>
  <c r="O124" i="14"/>
  <c r="M124" i="14"/>
  <c r="K124" i="14"/>
  <c r="G124" i="14"/>
  <c r="H124" i="14"/>
  <c r="J124" i="14"/>
  <c r="I124" i="14"/>
  <c r="AD116" i="14"/>
  <c r="AC116" i="14"/>
  <c r="AA116" i="14"/>
  <c r="AB116" i="14"/>
  <c r="Z116" i="14"/>
  <c r="W116" i="14"/>
  <c r="Y116" i="14"/>
  <c r="T116" i="14"/>
  <c r="V116" i="14"/>
  <c r="U116" i="14"/>
  <c r="X116" i="14"/>
  <c r="S116" i="14"/>
  <c r="R116" i="14"/>
  <c r="Q116" i="14"/>
  <c r="N116" i="14"/>
  <c r="P116" i="14"/>
  <c r="O116" i="14"/>
  <c r="L116" i="14"/>
  <c r="M116" i="14"/>
  <c r="K116" i="14"/>
  <c r="J116" i="14"/>
  <c r="G116" i="14"/>
  <c r="H116" i="14"/>
  <c r="I116" i="14"/>
  <c r="AD108" i="14"/>
  <c r="AC108" i="14"/>
  <c r="AB108" i="14"/>
  <c r="AA108" i="14"/>
  <c r="Z108" i="14"/>
  <c r="W108" i="14"/>
  <c r="Y108" i="14"/>
  <c r="X108" i="14"/>
  <c r="T108" i="14"/>
  <c r="U108" i="14"/>
  <c r="V108" i="14"/>
  <c r="S108" i="14"/>
  <c r="P108" i="14"/>
  <c r="R108" i="14"/>
  <c r="N108" i="14"/>
  <c r="Q108" i="14"/>
  <c r="O108" i="14"/>
  <c r="L108" i="14"/>
  <c r="M108" i="14"/>
  <c r="K108" i="14"/>
  <c r="G108" i="14"/>
  <c r="H108" i="14"/>
  <c r="J108" i="14"/>
  <c r="I108" i="14"/>
  <c r="AD100" i="14"/>
  <c r="AC100" i="14"/>
  <c r="AB100" i="14"/>
  <c r="AA100" i="14"/>
  <c r="Z100" i="14"/>
  <c r="Y100" i="14"/>
  <c r="X100" i="14"/>
  <c r="W100" i="14"/>
  <c r="V100" i="14"/>
  <c r="T100" i="14"/>
  <c r="U100" i="14"/>
  <c r="S100" i="14"/>
  <c r="R100" i="14"/>
  <c r="Q100" i="14"/>
  <c r="N100" i="14"/>
  <c r="P100" i="14"/>
  <c r="L100" i="14"/>
  <c r="O100" i="14"/>
  <c r="M100" i="14"/>
  <c r="K100" i="14"/>
  <c r="J100" i="14"/>
  <c r="G100" i="14"/>
  <c r="H100" i="14"/>
  <c r="I100" i="14"/>
  <c r="AD92" i="14"/>
  <c r="AC92" i="14"/>
  <c r="AB92" i="14"/>
  <c r="AA92" i="14"/>
  <c r="Z92" i="14"/>
  <c r="W92" i="14"/>
  <c r="Y92" i="14"/>
  <c r="X92" i="14"/>
  <c r="T92" i="14"/>
  <c r="V92" i="14"/>
  <c r="U92" i="14"/>
  <c r="S92" i="14"/>
  <c r="P92" i="14"/>
  <c r="N92" i="14"/>
  <c r="R92" i="14"/>
  <c r="Q92" i="14"/>
  <c r="O92" i="14"/>
  <c r="L92" i="14"/>
  <c r="M92" i="14"/>
  <c r="K92" i="14"/>
  <c r="G92" i="14"/>
  <c r="H92" i="14"/>
  <c r="J92" i="14"/>
  <c r="I92" i="14"/>
  <c r="AD84" i="14"/>
  <c r="AC84" i="14"/>
  <c r="AB84" i="14"/>
  <c r="AA84" i="14"/>
  <c r="Z84" i="14"/>
  <c r="W84" i="14"/>
  <c r="Y84" i="14"/>
  <c r="X84" i="14"/>
  <c r="V84" i="14"/>
  <c r="U84" i="14"/>
  <c r="T84" i="14"/>
  <c r="S84" i="14"/>
  <c r="Q84" i="14"/>
  <c r="R84" i="14"/>
  <c r="N84" i="14"/>
  <c r="P84" i="14"/>
  <c r="O84" i="14"/>
  <c r="L84" i="14"/>
  <c r="M84" i="14"/>
  <c r="K84" i="14"/>
  <c r="G84" i="14"/>
  <c r="J84" i="14"/>
  <c r="H84" i="14"/>
  <c r="I84" i="14"/>
  <c r="AD76" i="14"/>
  <c r="AC76" i="14"/>
  <c r="AB76" i="14"/>
  <c r="AA76" i="14"/>
  <c r="Z76" i="14"/>
  <c r="Y76" i="14"/>
  <c r="X76" i="14"/>
  <c r="W76" i="14"/>
  <c r="V76" i="14"/>
  <c r="T76" i="14"/>
  <c r="U76" i="14"/>
  <c r="S76" i="14"/>
  <c r="R76" i="14"/>
  <c r="P76" i="14"/>
  <c r="N76" i="14"/>
  <c r="Q76" i="14"/>
  <c r="O76" i="14"/>
  <c r="L76" i="14"/>
  <c r="K76" i="14"/>
  <c r="M76" i="14"/>
  <c r="G76" i="14"/>
  <c r="H76" i="14"/>
  <c r="J76" i="14"/>
  <c r="I76" i="14"/>
  <c r="AD68" i="14"/>
  <c r="AC68" i="14"/>
  <c r="AB68" i="14"/>
  <c r="AA68" i="14"/>
  <c r="Z68" i="14"/>
  <c r="W68" i="14"/>
  <c r="Y68" i="14"/>
  <c r="X68" i="14"/>
  <c r="T68" i="14"/>
  <c r="U68" i="14"/>
  <c r="V68" i="14"/>
  <c r="S68" i="14"/>
  <c r="Q68" i="14"/>
  <c r="N68" i="14"/>
  <c r="R68" i="14"/>
  <c r="P68" i="14"/>
  <c r="L68" i="14"/>
  <c r="O68" i="14"/>
  <c r="M68" i="14"/>
  <c r="G68" i="14"/>
  <c r="H68" i="14"/>
  <c r="J68" i="14"/>
  <c r="K68" i="14"/>
  <c r="I68" i="14"/>
  <c r="AD60" i="14"/>
  <c r="AC60" i="14"/>
  <c r="AA60" i="14"/>
  <c r="AB60" i="14"/>
  <c r="Z60" i="14"/>
  <c r="W60" i="14"/>
  <c r="Y60" i="14"/>
  <c r="X60" i="14"/>
  <c r="V60" i="14"/>
  <c r="T60" i="14"/>
  <c r="U60" i="14"/>
  <c r="S60" i="14"/>
  <c r="R60" i="14"/>
  <c r="P60" i="14"/>
  <c r="N60" i="14"/>
  <c r="Q60" i="14"/>
  <c r="L60" i="14"/>
  <c r="O60" i="14"/>
  <c r="K60" i="14"/>
  <c r="M60" i="14"/>
  <c r="J60" i="14"/>
  <c r="G60" i="14"/>
  <c r="H60" i="14"/>
  <c r="I60" i="14"/>
  <c r="AD52" i="14"/>
  <c r="AC52" i="14"/>
  <c r="AB52" i="14"/>
  <c r="Z52" i="14"/>
  <c r="AA52" i="14"/>
  <c r="W52" i="14"/>
  <c r="Y52" i="14"/>
  <c r="U52" i="14"/>
  <c r="X52" i="14"/>
  <c r="T52" i="14"/>
  <c r="V52" i="14"/>
  <c r="R52" i="14"/>
  <c r="S52" i="14"/>
  <c r="Q52" i="14"/>
  <c r="N52" i="14"/>
  <c r="P52" i="14"/>
  <c r="L52" i="14"/>
  <c r="O52" i="14"/>
  <c r="M52" i="14"/>
  <c r="K52" i="14"/>
  <c r="G52" i="14"/>
  <c r="H52" i="14"/>
  <c r="J52" i="14"/>
  <c r="I52" i="14"/>
  <c r="AD44" i="14"/>
  <c r="AC44" i="14"/>
  <c r="AB44" i="14"/>
  <c r="AA44" i="14"/>
  <c r="Z44" i="14"/>
  <c r="Y44" i="14"/>
  <c r="X44" i="14"/>
  <c r="W44" i="14"/>
  <c r="T44" i="14"/>
  <c r="S44" i="14"/>
  <c r="V44" i="14"/>
  <c r="U44" i="14"/>
  <c r="R44" i="14"/>
  <c r="P44" i="14"/>
  <c r="N44" i="14"/>
  <c r="Q44" i="14"/>
  <c r="O44" i="14"/>
  <c r="L44" i="14"/>
  <c r="K44" i="14"/>
  <c r="M44" i="14"/>
  <c r="G44" i="14"/>
  <c r="H44" i="14"/>
  <c r="J44" i="14"/>
  <c r="I44" i="14"/>
  <c r="AD36" i="14"/>
  <c r="AC36" i="14"/>
  <c r="AB36" i="14"/>
  <c r="AA36" i="14"/>
  <c r="Z36" i="14"/>
  <c r="Y36" i="14"/>
  <c r="X36" i="14"/>
  <c r="W36" i="14"/>
  <c r="V36" i="14"/>
  <c r="T36" i="14"/>
  <c r="U36" i="14"/>
  <c r="S36" i="14"/>
  <c r="R36" i="14"/>
  <c r="Q36" i="14"/>
  <c r="N36" i="14"/>
  <c r="P36" i="14"/>
  <c r="O36" i="14"/>
  <c r="L36" i="14"/>
  <c r="M36" i="14"/>
  <c r="G36" i="14"/>
  <c r="H36" i="14"/>
  <c r="I36" i="14"/>
  <c r="K36" i="14"/>
  <c r="J36" i="14"/>
  <c r="AD28" i="14"/>
  <c r="AC28" i="14"/>
  <c r="AB28" i="14"/>
  <c r="AA28" i="14"/>
  <c r="Z28" i="14"/>
  <c r="W28" i="14"/>
  <c r="Y28" i="14"/>
  <c r="X28" i="14"/>
  <c r="T28" i="14"/>
  <c r="V28" i="14"/>
  <c r="U28" i="14"/>
  <c r="S28" i="14"/>
  <c r="R28" i="14"/>
  <c r="P28" i="14"/>
  <c r="N28" i="14"/>
  <c r="Q28" i="14"/>
  <c r="O28" i="14"/>
  <c r="L28" i="14"/>
  <c r="K28" i="14"/>
  <c r="M28" i="14"/>
  <c r="G28" i="14"/>
  <c r="H28" i="14"/>
  <c r="J28" i="14"/>
  <c r="I28" i="14"/>
  <c r="AD20" i="14"/>
  <c r="AC20" i="14"/>
  <c r="AB20" i="14"/>
  <c r="AA20" i="14"/>
  <c r="Z20" i="14"/>
  <c r="W20" i="14"/>
  <c r="Y20" i="14"/>
  <c r="X20" i="14"/>
  <c r="V20" i="14"/>
  <c r="U20" i="14"/>
  <c r="T20" i="14"/>
  <c r="S20" i="14"/>
  <c r="R20" i="14"/>
  <c r="Q20" i="14"/>
  <c r="N20" i="14"/>
  <c r="P20" i="14"/>
  <c r="O20" i="14"/>
  <c r="L20" i="14"/>
  <c r="M20" i="14"/>
  <c r="K20" i="14"/>
  <c r="G20" i="14"/>
  <c r="J20" i="14"/>
  <c r="H20" i="14"/>
  <c r="I20" i="14"/>
  <c r="F380" i="14"/>
  <c r="F348" i="14"/>
  <c r="F316" i="14"/>
  <c r="F260" i="14"/>
  <c r="F196" i="14"/>
  <c r="F132" i="14"/>
  <c r="F68" i="14"/>
  <c r="AC403" i="14"/>
  <c r="AD403" i="14"/>
  <c r="AB403" i="14"/>
  <c r="Y403" i="14"/>
  <c r="AA403" i="14"/>
  <c r="Z403" i="14"/>
  <c r="X403" i="14"/>
  <c r="V403" i="14"/>
  <c r="W403" i="14"/>
  <c r="U403" i="14"/>
  <c r="T403" i="14"/>
  <c r="Q403" i="14"/>
  <c r="R403" i="14"/>
  <c r="P403" i="14"/>
  <c r="O403" i="14"/>
  <c r="S403" i="14"/>
  <c r="N403" i="14"/>
  <c r="M403" i="14"/>
  <c r="L403" i="14"/>
  <c r="H403" i="14"/>
  <c r="K403" i="14"/>
  <c r="I403" i="14"/>
  <c r="J403" i="14"/>
  <c r="F403" i="14"/>
  <c r="AC395" i="14"/>
  <c r="AB395" i="14"/>
  <c r="AD395" i="14"/>
  <c r="Y395" i="14"/>
  <c r="Z395" i="14"/>
  <c r="AA395" i="14"/>
  <c r="X395" i="14"/>
  <c r="V395" i="14"/>
  <c r="U395" i="14"/>
  <c r="W395" i="14"/>
  <c r="T395" i="14"/>
  <c r="S395" i="14"/>
  <c r="Q395" i="14"/>
  <c r="R395" i="14"/>
  <c r="P395" i="14"/>
  <c r="O395" i="14"/>
  <c r="L395" i="14"/>
  <c r="N395" i="14"/>
  <c r="M395" i="14"/>
  <c r="H395" i="14"/>
  <c r="I395" i="14"/>
  <c r="K395" i="14"/>
  <c r="J395" i="14"/>
  <c r="F395" i="14"/>
  <c r="AC387" i="14"/>
  <c r="AD387" i="14"/>
  <c r="AB387" i="14"/>
  <c r="Y387" i="14"/>
  <c r="AA387" i="14"/>
  <c r="Z387" i="14"/>
  <c r="X387" i="14"/>
  <c r="V387" i="14"/>
  <c r="W387" i="14"/>
  <c r="U387" i="14"/>
  <c r="T387" i="14"/>
  <c r="Q387" i="14"/>
  <c r="S387" i="14"/>
  <c r="R387" i="14"/>
  <c r="P387" i="14"/>
  <c r="O387" i="14"/>
  <c r="L387" i="14"/>
  <c r="N387" i="14"/>
  <c r="M387" i="14"/>
  <c r="H387" i="14"/>
  <c r="K387" i="14"/>
  <c r="I387" i="14"/>
  <c r="J387" i="14"/>
  <c r="F387" i="14"/>
  <c r="AC379" i="14"/>
  <c r="AD379" i="14"/>
  <c r="AB379" i="14"/>
  <c r="Y379" i="14"/>
  <c r="Z379" i="14"/>
  <c r="AA379" i="14"/>
  <c r="X379" i="14"/>
  <c r="V379" i="14"/>
  <c r="W379" i="14"/>
  <c r="U379" i="14"/>
  <c r="T379" i="14"/>
  <c r="Q379" i="14"/>
  <c r="R379" i="14"/>
  <c r="S379" i="14"/>
  <c r="P379" i="14"/>
  <c r="O379" i="14"/>
  <c r="L379" i="14"/>
  <c r="N379" i="14"/>
  <c r="M379" i="14"/>
  <c r="K379" i="14"/>
  <c r="H379" i="14"/>
  <c r="I379" i="14"/>
  <c r="J379" i="14"/>
  <c r="F379" i="14"/>
  <c r="AD371" i="14"/>
  <c r="AC371" i="14"/>
  <c r="AB371" i="14"/>
  <c r="Y371" i="14"/>
  <c r="AA371" i="14"/>
  <c r="Z371" i="14"/>
  <c r="X371" i="14"/>
  <c r="V371" i="14"/>
  <c r="U371" i="14"/>
  <c r="W371" i="14"/>
  <c r="Q371" i="14"/>
  <c r="R371" i="14"/>
  <c r="P371" i="14"/>
  <c r="S371" i="14"/>
  <c r="T371" i="14"/>
  <c r="O371" i="14"/>
  <c r="L371" i="14"/>
  <c r="N371" i="14"/>
  <c r="M371" i="14"/>
  <c r="H371" i="14"/>
  <c r="K371" i="14"/>
  <c r="I371" i="14"/>
  <c r="J371" i="14"/>
  <c r="F371" i="14"/>
  <c r="AC363" i="14"/>
  <c r="AD363" i="14"/>
  <c r="AB363" i="14"/>
  <c r="Y363" i="14"/>
  <c r="Z363" i="14"/>
  <c r="AA363" i="14"/>
  <c r="X363" i="14"/>
  <c r="V363" i="14"/>
  <c r="W363" i="14"/>
  <c r="U363" i="14"/>
  <c r="T363" i="14"/>
  <c r="S363" i="14"/>
  <c r="Q363" i="14"/>
  <c r="R363" i="14"/>
  <c r="P363" i="14"/>
  <c r="O363" i="14"/>
  <c r="L363" i="14"/>
  <c r="N363" i="14"/>
  <c r="M363" i="14"/>
  <c r="H363" i="14"/>
  <c r="K363" i="14"/>
  <c r="I363" i="14"/>
  <c r="F363" i="14"/>
  <c r="J363" i="14"/>
  <c r="AC355" i="14"/>
  <c r="AB355" i="14"/>
  <c r="AD355" i="14"/>
  <c r="Y355" i="14"/>
  <c r="Z355" i="14"/>
  <c r="AA355" i="14"/>
  <c r="X355" i="14"/>
  <c r="V355" i="14"/>
  <c r="W355" i="14"/>
  <c r="U355" i="14"/>
  <c r="T355" i="14"/>
  <c r="Q355" i="14"/>
  <c r="S355" i="14"/>
  <c r="R355" i="14"/>
  <c r="P355" i="14"/>
  <c r="O355" i="14"/>
  <c r="L355" i="14"/>
  <c r="N355" i="14"/>
  <c r="M355" i="14"/>
  <c r="H355" i="14"/>
  <c r="J355" i="14"/>
  <c r="I355" i="14"/>
  <c r="F355" i="14"/>
  <c r="K355" i="14"/>
  <c r="AC347" i="14"/>
  <c r="AD347" i="14"/>
  <c r="AB347" i="14"/>
  <c r="AA347" i="14"/>
  <c r="Y347" i="14"/>
  <c r="Z347" i="14"/>
  <c r="X347" i="14"/>
  <c r="V347" i="14"/>
  <c r="U347" i="14"/>
  <c r="T347" i="14"/>
  <c r="W347" i="14"/>
  <c r="Q347" i="14"/>
  <c r="R347" i="14"/>
  <c r="S347" i="14"/>
  <c r="P347" i="14"/>
  <c r="O347" i="14"/>
  <c r="L347" i="14"/>
  <c r="N347" i="14"/>
  <c r="M347" i="14"/>
  <c r="H347" i="14"/>
  <c r="J347" i="14"/>
  <c r="K347" i="14"/>
  <c r="I347" i="14"/>
  <c r="F347" i="14"/>
  <c r="AD339" i="14"/>
  <c r="AC339" i="14"/>
  <c r="AB339" i="14"/>
  <c r="AA339" i="14"/>
  <c r="Y339" i="14"/>
  <c r="Z339" i="14"/>
  <c r="X339" i="14"/>
  <c r="V339" i="14"/>
  <c r="W339" i="14"/>
  <c r="U339" i="14"/>
  <c r="S339" i="14"/>
  <c r="Q339" i="14"/>
  <c r="T339" i="14"/>
  <c r="R339" i="14"/>
  <c r="P339" i="14"/>
  <c r="O339" i="14"/>
  <c r="L339" i="14"/>
  <c r="N339" i="14"/>
  <c r="M339" i="14"/>
  <c r="H339" i="14"/>
  <c r="K339" i="14"/>
  <c r="J339" i="14"/>
  <c r="I339" i="14"/>
  <c r="F339" i="14"/>
  <c r="AC331" i="14"/>
  <c r="AD331" i="14"/>
  <c r="AB331" i="14"/>
  <c r="Y331" i="14"/>
  <c r="AA331" i="14"/>
  <c r="Z331" i="14"/>
  <c r="X331" i="14"/>
  <c r="V331" i="14"/>
  <c r="U331" i="14"/>
  <c r="W331" i="14"/>
  <c r="T331" i="14"/>
  <c r="Q331" i="14"/>
  <c r="R331" i="14"/>
  <c r="S331" i="14"/>
  <c r="P331" i="14"/>
  <c r="O331" i="14"/>
  <c r="L331" i="14"/>
  <c r="N331" i="14"/>
  <c r="M331" i="14"/>
  <c r="H331" i="14"/>
  <c r="I331" i="14"/>
  <c r="K331" i="14"/>
  <c r="F331" i="14"/>
  <c r="J331" i="14"/>
  <c r="AC323" i="14"/>
  <c r="AB323" i="14"/>
  <c r="AD323" i="14"/>
  <c r="Y323" i="14"/>
  <c r="Z323" i="14"/>
  <c r="X323" i="14"/>
  <c r="AA323" i="14"/>
  <c r="V323" i="14"/>
  <c r="W323" i="14"/>
  <c r="U323" i="14"/>
  <c r="T323" i="14"/>
  <c r="S323" i="14"/>
  <c r="Q323" i="14"/>
  <c r="R323" i="14"/>
  <c r="P323" i="14"/>
  <c r="O323" i="14"/>
  <c r="L323" i="14"/>
  <c r="N323" i="14"/>
  <c r="M323" i="14"/>
  <c r="H323" i="14"/>
  <c r="J323" i="14"/>
  <c r="K323" i="14"/>
  <c r="I323" i="14"/>
  <c r="F323" i="14"/>
  <c r="AD315" i="14"/>
  <c r="AC315" i="14"/>
  <c r="AB315" i="14"/>
  <c r="Y315" i="14"/>
  <c r="Z315" i="14"/>
  <c r="AA315" i="14"/>
  <c r="X315" i="14"/>
  <c r="V315" i="14"/>
  <c r="W315" i="14"/>
  <c r="U315" i="14"/>
  <c r="Q315" i="14"/>
  <c r="R315" i="14"/>
  <c r="T315" i="14"/>
  <c r="S315" i="14"/>
  <c r="P315" i="14"/>
  <c r="O315" i="14"/>
  <c r="L315" i="14"/>
  <c r="N315" i="14"/>
  <c r="M315" i="14"/>
  <c r="K315" i="14"/>
  <c r="H315" i="14"/>
  <c r="J315" i="14"/>
  <c r="I315" i="14"/>
  <c r="F315" i="14"/>
  <c r="AD307" i="14"/>
  <c r="AC307" i="14"/>
  <c r="AB307" i="14"/>
  <c r="AA307" i="14"/>
  <c r="Y307" i="14"/>
  <c r="Z307" i="14"/>
  <c r="X307" i="14"/>
  <c r="V307" i="14"/>
  <c r="U307" i="14"/>
  <c r="W307" i="14"/>
  <c r="S307" i="14"/>
  <c r="Q307" i="14"/>
  <c r="T307" i="14"/>
  <c r="R307" i="14"/>
  <c r="P307" i="14"/>
  <c r="O307" i="14"/>
  <c r="L307" i="14"/>
  <c r="N307" i="14"/>
  <c r="M307" i="14"/>
  <c r="H307" i="14"/>
  <c r="K307" i="14"/>
  <c r="J307" i="14"/>
  <c r="I307" i="14"/>
  <c r="F307" i="14"/>
  <c r="AD299" i="14"/>
  <c r="AC299" i="14"/>
  <c r="AB299" i="14"/>
  <c r="Y299" i="14"/>
  <c r="Z299" i="14"/>
  <c r="AA299" i="14"/>
  <c r="X299" i="14"/>
  <c r="V299" i="14"/>
  <c r="W299" i="14"/>
  <c r="U299" i="14"/>
  <c r="T299" i="14"/>
  <c r="Q299" i="14"/>
  <c r="R299" i="14"/>
  <c r="S299" i="14"/>
  <c r="P299" i="14"/>
  <c r="O299" i="14"/>
  <c r="L299" i="14"/>
  <c r="N299" i="14"/>
  <c r="M299" i="14"/>
  <c r="H299" i="14"/>
  <c r="K299" i="14"/>
  <c r="I299" i="14"/>
  <c r="F299" i="14"/>
  <c r="J299" i="14"/>
  <c r="AD291" i="14"/>
  <c r="AC291" i="14"/>
  <c r="AB291" i="14"/>
  <c r="Y291" i="14"/>
  <c r="Z291" i="14"/>
  <c r="AA291" i="14"/>
  <c r="X291" i="14"/>
  <c r="V291" i="14"/>
  <c r="W291" i="14"/>
  <c r="U291" i="14"/>
  <c r="S291" i="14"/>
  <c r="Q291" i="14"/>
  <c r="R291" i="14"/>
  <c r="T291" i="14"/>
  <c r="P291" i="14"/>
  <c r="O291" i="14"/>
  <c r="L291" i="14"/>
  <c r="N291" i="14"/>
  <c r="M291" i="14"/>
  <c r="H291" i="14"/>
  <c r="J291" i="14"/>
  <c r="I291" i="14"/>
  <c r="F291" i="14"/>
  <c r="K291" i="14"/>
  <c r="AD283" i="14"/>
  <c r="AC283" i="14"/>
  <c r="AB283" i="14"/>
  <c r="AA283" i="14"/>
  <c r="Y283" i="14"/>
  <c r="Z283" i="14"/>
  <c r="X283" i="14"/>
  <c r="V283" i="14"/>
  <c r="U283" i="14"/>
  <c r="T283" i="14"/>
  <c r="Q283" i="14"/>
  <c r="R283" i="14"/>
  <c r="W283" i="14"/>
  <c r="S283" i="14"/>
  <c r="P283" i="14"/>
  <c r="O283" i="14"/>
  <c r="L283" i="14"/>
  <c r="N283" i="14"/>
  <c r="M283" i="14"/>
  <c r="H283" i="14"/>
  <c r="J283" i="14"/>
  <c r="K283" i="14"/>
  <c r="I283" i="14"/>
  <c r="F283" i="14"/>
  <c r="AD275" i="14"/>
  <c r="AC275" i="14"/>
  <c r="AB275" i="14"/>
  <c r="AA275" i="14"/>
  <c r="Y275" i="14"/>
  <c r="Z275" i="14"/>
  <c r="X275" i="14"/>
  <c r="V275" i="14"/>
  <c r="W275" i="14"/>
  <c r="U275" i="14"/>
  <c r="T275" i="14"/>
  <c r="S275" i="14"/>
  <c r="Q275" i="14"/>
  <c r="R275" i="14"/>
  <c r="P275" i="14"/>
  <c r="O275" i="14"/>
  <c r="L275" i="14"/>
  <c r="N275" i="14"/>
  <c r="M275" i="14"/>
  <c r="H275" i="14"/>
  <c r="K275" i="14"/>
  <c r="J275" i="14"/>
  <c r="I275" i="14"/>
  <c r="F275" i="14"/>
  <c r="AD267" i="14"/>
  <c r="AC267" i="14"/>
  <c r="AB267" i="14"/>
  <c r="Y267" i="14"/>
  <c r="AA267" i="14"/>
  <c r="Z267" i="14"/>
  <c r="X267" i="14"/>
  <c r="V267" i="14"/>
  <c r="U267" i="14"/>
  <c r="W267" i="14"/>
  <c r="T267" i="14"/>
  <c r="Q267" i="14"/>
  <c r="R267" i="14"/>
  <c r="S267" i="14"/>
  <c r="P267" i="14"/>
  <c r="O267" i="14"/>
  <c r="L267" i="14"/>
  <c r="N267" i="14"/>
  <c r="M267" i="14"/>
  <c r="H267" i="14"/>
  <c r="I267" i="14"/>
  <c r="K267" i="14"/>
  <c r="F267" i="14"/>
  <c r="J267" i="14"/>
  <c r="AD259" i="14"/>
  <c r="AC259" i="14"/>
  <c r="AB259" i="14"/>
  <c r="Y259" i="14"/>
  <c r="Z259" i="14"/>
  <c r="X259" i="14"/>
  <c r="AA259" i="14"/>
  <c r="V259" i="14"/>
  <c r="W259" i="14"/>
  <c r="U259" i="14"/>
  <c r="T259" i="14"/>
  <c r="S259" i="14"/>
  <c r="Q259" i="14"/>
  <c r="R259" i="14"/>
  <c r="P259" i="14"/>
  <c r="N259" i="14"/>
  <c r="O259" i="14"/>
  <c r="L259" i="14"/>
  <c r="M259" i="14"/>
  <c r="H259" i="14"/>
  <c r="J259" i="14"/>
  <c r="K259" i="14"/>
  <c r="I259" i="14"/>
  <c r="F259" i="14"/>
  <c r="AD251" i="14"/>
  <c r="AC251" i="14"/>
  <c r="AB251" i="14"/>
  <c r="Y251" i="14"/>
  <c r="AA251" i="14"/>
  <c r="Z251" i="14"/>
  <c r="X251" i="14"/>
  <c r="V251" i="14"/>
  <c r="W251" i="14"/>
  <c r="U251" i="14"/>
  <c r="P251" i="14"/>
  <c r="Q251" i="14"/>
  <c r="R251" i="14"/>
  <c r="T251" i="14"/>
  <c r="S251" i="14"/>
  <c r="N251" i="14"/>
  <c r="O251" i="14"/>
  <c r="L251" i="14"/>
  <c r="M251" i="14"/>
  <c r="K251" i="14"/>
  <c r="H251" i="14"/>
  <c r="J251" i="14"/>
  <c r="I251" i="14"/>
  <c r="F251" i="14"/>
  <c r="AD243" i="14"/>
  <c r="AC243" i="14"/>
  <c r="AB243" i="14"/>
  <c r="AA243" i="14"/>
  <c r="Y243" i="14"/>
  <c r="X243" i="14"/>
  <c r="Z243" i="14"/>
  <c r="V243" i="14"/>
  <c r="U243" i="14"/>
  <c r="W243" i="14"/>
  <c r="T243" i="14"/>
  <c r="P243" i="14"/>
  <c r="S243" i="14"/>
  <c r="Q243" i="14"/>
  <c r="R243" i="14"/>
  <c r="N243" i="14"/>
  <c r="O243" i="14"/>
  <c r="L243" i="14"/>
  <c r="M243" i="14"/>
  <c r="H243" i="14"/>
  <c r="K243" i="14"/>
  <c r="J243" i="14"/>
  <c r="I243" i="14"/>
  <c r="F243" i="14"/>
  <c r="AD235" i="14"/>
  <c r="AC235" i="14"/>
  <c r="AB235" i="14"/>
  <c r="Y235" i="14"/>
  <c r="Z235" i="14"/>
  <c r="AA235" i="14"/>
  <c r="X235" i="14"/>
  <c r="V235" i="14"/>
  <c r="W235" i="14"/>
  <c r="U235" i="14"/>
  <c r="T235" i="14"/>
  <c r="P235" i="14"/>
  <c r="Q235" i="14"/>
  <c r="R235" i="14"/>
  <c r="S235" i="14"/>
  <c r="N235" i="14"/>
  <c r="O235" i="14"/>
  <c r="L235" i="14"/>
  <c r="M235" i="14"/>
  <c r="H235" i="14"/>
  <c r="K235" i="14"/>
  <c r="I235" i="14"/>
  <c r="F235" i="14"/>
  <c r="J235" i="14"/>
  <c r="AD227" i="14"/>
  <c r="AC227" i="14"/>
  <c r="AB227" i="14"/>
  <c r="Y227" i="14"/>
  <c r="AA227" i="14"/>
  <c r="X227" i="14"/>
  <c r="Z227" i="14"/>
  <c r="V227" i="14"/>
  <c r="W227" i="14"/>
  <c r="U227" i="14"/>
  <c r="T227" i="14"/>
  <c r="P227" i="14"/>
  <c r="S227" i="14"/>
  <c r="Q227" i="14"/>
  <c r="R227" i="14"/>
  <c r="N227" i="14"/>
  <c r="O227" i="14"/>
  <c r="L227" i="14"/>
  <c r="M227" i="14"/>
  <c r="H227" i="14"/>
  <c r="J227" i="14"/>
  <c r="I227" i="14"/>
  <c r="F227" i="14"/>
  <c r="K227" i="14"/>
  <c r="AD219" i="14"/>
  <c r="AC219" i="14"/>
  <c r="AB219" i="14"/>
  <c r="AA219" i="14"/>
  <c r="Y219" i="14"/>
  <c r="Z219" i="14"/>
  <c r="X219" i="14"/>
  <c r="V219" i="14"/>
  <c r="U219" i="14"/>
  <c r="T219" i="14"/>
  <c r="W219" i="14"/>
  <c r="P219" i="14"/>
  <c r="Q219" i="14"/>
  <c r="R219" i="14"/>
  <c r="S219" i="14"/>
  <c r="N219" i="14"/>
  <c r="O219" i="14"/>
  <c r="L219" i="14"/>
  <c r="M219" i="14"/>
  <c r="H219" i="14"/>
  <c r="K219" i="14"/>
  <c r="J219" i="14"/>
  <c r="I219" i="14"/>
  <c r="F219" i="14"/>
  <c r="AD211" i="14"/>
  <c r="AC211" i="14"/>
  <c r="AB211" i="14"/>
  <c r="AA211" i="14"/>
  <c r="Y211" i="14"/>
  <c r="X211" i="14"/>
  <c r="Z211" i="14"/>
  <c r="V211" i="14"/>
  <c r="W211" i="14"/>
  <c r="U211" i="14"/>
  <c r="T211" i="14"/>
  <c r="P211" i="14"/>
  <c r="S211" i="14"/>
  <c r="Q211" i="14"/>
  <c r="R211" i="14"/>
  <c r="N211" i="14"/>
  <c r="O211" i="14"/>
  <c r="L211" i="14"/>
  <c r="M211" i="14"/>
  <c r="J211" i="14"/>
  <c r="H211" i="14"/>
  <c r="K211" i="14"/>
  <c r="I211" i="14"/>
  <c r="F211" i="14"/>
  <c r="AD203" i="14"/>
  <c r="AC203" i="14"/>
  <c r="AB203" i="14"/>
  <c r="Z203" i="14"/>
  <c r="Y203" i="14"/>
  <c r="AA203" i="14"/>
  <c r="X203" i="14"/>
  <c r="V203" i="14"/>
  <c r="U203" i="14"/>
  <c r="W203" i="14"/>
  <c r="T203" i="14"/>
  <c r="P203" i="14"/>
  <c r="Q203" i="14"/>
  <c r="R203" i="14"/>
  <c r="S203" i="14"/>
  <c r="N203" i="14"/>
  <c r="O203" i="14"/>
  <c r="L203" i="14"/>
  <c r="M203" i="14"/>
  <c r="K203" i="14"/>
  <c r="H203" i="14"/>
  <c r="J203" i="14"/>
  <c r="I203" i="14"/>
  <c r="F203" i="14"/>
  <c r="AD195" i="14"/>
  <c r="AC195" i="14"/>
  <c r="AB195" i="14"/>
  <c r="Y195" i="14"/>
  <c r="Z195" i="14"/>
  <c r="X195" i="14"/>
  <c r="AA195" i="14"/>
  <c r="V195" i="14"/>
  <c r="W195" i="14"/>
  <c r="U195" i="14"/>
  <c r="T195" i="14"/>
  <c r="P195" i="14"/>
  <c r="S195" i="14"/>
  <c r="Q195" i="14"/>
  <c r="R195" i="14"/>
  <c r="N195" i="14"/>
  <c r="O195" i="14"/>
  <c r="L195" i="14"/>
  <c r="M195" i="14"/>
  <c r="K195" i="14"/>
  <c r="H195" i="14"/>
  <c r="I195" i="14"/>
  <c r="F195" i="14"/>
  <c r="J195" i="14"/>
  <c r="AD187" i="14"/>
  <c r="AC187" i="14"/>
  <c r="AB187" i="14"/>
  <c r="AA187" i="14"/>
  <c r="Y187" i="14"/>
  <c r="Z187" i="14"/>
  <c r="X187" i="14"/>
  <c r="V187" i="14"/>
  <c r="W187" i="14"/>
  <c r="U187" i="14"/>
  <c r="T187" i="14"/>
  <c r="P187" i="14"/>
  <c r="Q187" i="14"/>
  <c r="R187" i="14"/>
  <c r="S187" i="14"/>
  <c r="N187" i="14"/>
  <c r="O187" i="14"/>
  <c r="L187" i="14"/>
  <c r="M187" i="14"/>
  <c r="K187" i="14"/>
  <c r="H187" i="14"/>
  <c r="J187" i="14"/>
  <c r="I187" i="14"/>
  <c r="F187" i="14"/>
  <c r="AD179" i="14"/>
  <c r="AC179" i="14"/>
  <c r="AB179" i="14"/>
  <c r="Y179" i="14"/>
  <c r="Z179" i="14"/>
  <c r="AA179" i="14"/>
  <c r="X179" i="14"/>
  <c r="W179" i="14"/>
  <c r="V179" i="14"/>
  <c r="U179" i="14"/>
  <c r="T179" i="14"/>
  <c r="P179" i="14"/>
  <c r="S179" i="14"/>
  <c r="Q179" i="14"/>
  <c r="R179" i="14"/>
  <c r="N179" i="14"/>
  <c r="O179" i="14"/>
  <c r="L179" i="14"/>
  <c r="M179" i="14"/>
  <c r="K179" i="14"/>
  <c r="H179" i="14"/>
  <c r="I179" i="14"/>
  <c r="F179" i="14"/>
  <c r="J179" i="14"/>
  <c r="AD171" i="14"/>
  <c r="AC171" i="14"/>
  <c r="AB171" i="14"/>
  <c r="AA171" i="14"/>
  <c r="Y171" i="14"/>
  <c r="Z171" i="14"/>
  <c r="X171" i="14"/>
  <c r="W171" i="14"/>
  <c r="V171" i="14"/>
  <c r="U171" i="14"/>
  <c r="T171" i="14"/>
  <c r="P171" i="14"/>
  <c r="Q171" i="14"/>
  <c r="R171" i="14"/>
  <c r="S171" i="14"/>
  <c r="N171" i="14"/>
  <c r="O171" i="14"/>
  <c r="L171" i="14"/>
  <c r="M171" i="14"/>
  <c r="K171" i="14"/>
  <c r="H171" i="14"/>
  <c r="J171" i="14"/>
  <c r="I171" i="14"/>
  <c r="F171" i="14"/>
  <c r="AD163" i="14"/>
  <c r="AC163" i="14"/>
  <c r="AB163" i="14"/>
  <c r="Y163" i="14"/>
  <c r="X163" i="14"/>
  <c r="W163" i="14"/>
  <c r="Z163" i="14"/>
  <c r="AA163" i="14"/>
  <c r="V163" i="14"/>
  <c r="U163" i="14"/>
  <c r="T163" i="14"/>
  <c r="P163" i="14"/>
  <c r="S163" i="14"/>
  <c r="Q163" i="14"/>
  <c r="R163" i="14"/>
  <c r="N163" i="14"/>
  <c r="O163" i="14"/>
  <c r="L163" i="14"/>
  <c r="M163" i="14"/>
  <c r="K163" i="14"/>
  <c r="H163" i="14"/>
  <c r="I163" i="14"/>
  <c r="F163" i="14"/>
  <c r="J163" i="14"/>
  <c r="AD155" i="14"/>
  <c r="AC155" i="14"/>
  <c r="AB155" i="14"/>
  <c r="AA155" i="14"/>
  <c r="Y155" i="14"/>
  <c r="Z155" i="14"/>
  <c r="X155" i="14"/>
  <c r="W155" i="14"/>
  <c r="V155" i="14"/>
  <c r="U155" i="14"/>
  <c r="T155" i="14"/>
  <c r="P155" i="14"/>
  <c r="Q155" i="14"/>
  <c r="R155" i="14"/>
  <c r="S155" i="14"/>
  <c r="N155" i="14"/>
  <c r="O155" i="14"/>
  <c r="L155" i="14"/>
  <c r="M155" i="14"/>
  <c r="K155" i="14"/>
  <c r="H155" i="14"/>
  <c r="J155" i="14"/>
  <c r="I155" i="14"/>
  <c r="F155" i="14"/>
  <c r="AD147" i="14"/>
  <c r="AC147" i="14"/>
  <c r="AB147" i="14"/>
  <c r="Y147" i="14"/>
  <c r="AA147" i="14"/>
  <c r="Z147" i="14"/>
  <c r="X147" i="14"/>
  <c r="W147" i="14"/>
  <c r="V147" i="14"/>
  <c r="U147" i="14"/>
  <c r="T147" i="14"/>
  <c r="P147" i="14"/>
  <c r="S147" i="14"/>
  <c r="Q147" i="14"/>
  <c r="R147" i="14"/>
  <c r="N147" i="14"/>
  <c r="O147" i="14"/>
  <c r="L147" i="14"/>
  <c r="M147" i="14"/>
  <c r="K147" i="14"/>
  <c r="H147" i="14"/>
  <c r="I147" i="14"/>
  <c r="F147" i="14"/>
  <c r="J147" i="14"/>
  <c r="AD139" i="14"/>
  <c r="AC139" i="14"/>
  <c r="AB139" i="14"/>
  <c r="AA139" i="14"/>
  <c r="Z139" i="14"/>
  <c r="Y139" i="14"/>
  <c r="X139" i="14"/>
  <c r="W139" i="14"/>
  <c r="V139" i="14"/>
  <c r="U139" i="14"/>
  <c r="T139" i="14"/>
  <c r="P139" i="14"/>
  <c r="Q139" i="14"/>
  <c r="R139" i="14"/>
  <c r="S139" i="14"/>
  <c r="N139" i="14"/>
  <c r="O139" i="14"/>
  <c r="L139" i="14"/>
  <c r="M139" i="14"/>
  <c r="K139" i="14"/>
  <c r="H139" i="14"/>
  <c r="J139" i="14"/>
  <c r="I139" i="14"/>
  <c r="F139" i="14"/>
  <c r="AD131" i="14"/>
  <c r="AC131" i="14"/>
  <c r="Y131" i="14"/>
  <c r="AB131" i="14"/>
  <c r="Z131" i="14"/>
  <c r="X131" i="14"/>
  <c r="W131" i="14"/>
  <c r="AA131" i="14"/>
  <c r="V131" i="14"/>
  <c r="U131" i="14"/>
  <c r="T131" i="14"/>
  <c r="P131" i="14"/>
  <c r="S131" i="14"/>
  <c r="Q131" i="14"/>
  <c r="R131" i="14"/>
  <c r="N131" i="14"/>
  <c r="O131" i="14"/>
  <c r="L131" i="14"/>
  <c r="M131" i="14"/>
  <c r="K131" i="14"/>
  <c r="H131" i="14"/>
  <c r="I131" i="14"/>
  <c r="F131" i="14"/>
  <c r="J131" i="14"/>
  <c r="AD123" i="14"/>
  <c r="AC123" i="14"/>
  <c r="AB123" i="14"/>
  <c r="AA123" i="14"/>
  <c r="Y123" i="14"/>
  <c r="Z123" i="14"/>
  <c r="X123" i="14"/>
  <c r="W123" i="14"/>
  <c r="V123" i="14"/>
  <c r="U123" i="14"/>
  <c r="T123" i="14"/>
  <c r="P123" i="14"/>
  <c r="Q123" i="14"/>
  <c r="R123" i="14"/>
  <c r="S123" i="14"/>
  <c r="N123" i="14"/>
  <c r="O123" i="14"/>
  <c r="L123" i="14"/>
  <c r="M123" i="14"/>
  <c r="K123" i="14"/>
  <c r="H123" i="14"/>
  <c r="J123" i="14"/>
  <c r="I123" i="14"/>
  <c r="F123" i="14"/>
  <c r="AD115" i="14"/>
  <c r="AC115" i="14"/>
  <c r="AB115" i="14"/>
  <c r="Y115" i="14"/>
  <c r="Z115" i="14"/>
  <c r="AA115" i="14"/>
  <c r="X115" i="14"/>
  <c r="W115" i="14"/>
  <c r="V115" i="14"/>
  <c r="U115" i="14"/>
  <c r="T115" i="14"/>
  <c r="P115" i="14"/>
  <c r="S115" i="14"/>
  <c r="Q115" i="14"/>
  <c r="R115" i="14"/>
  <c r="N115" i="14"/>
  <c r="O115" i="14"/>
  <c r="L115" i="14"/>
  <c r="M115" i="14"/>
  <c r="K115" i="14"/>
  <c r="H115" i="14"/>
  <c r="I115" i="14"/>
  <c r="F115" i="14"/>
  <c r="J115" i="14"/>
  <c r="AD107" i="14"/>
  <c r="AC107" i="14"/>
  <c r="AA107" i="14"/>
  <c r="AB107" i="14"/>
  <c r="Y107" i="14"/>
  <c r="Z107" i="14"/>
  <c r="X107" i="14"/>
  <c r="W107" i="14"/>
  <c r="V107" i="14"/>
  <c r="U107" i="14"/>
  <c r="T107" i="14"/>
  <c r="P107" i="14"/>
  <c r="Q107" i="14"/>
  <c r="R107" i="14"/>
  <c r="S107" i="14"/>
  <c r="N107" i="14"/>
  <c r="O107" i="14"/>
  <c r="L107" i="14"/>
  <c r="M107" i="14"/>
  <c r="K107" i="14"/>
  <c r="H107" i="14"/>
  <c r="J107" i="14"/>
  <c r="I107" i="14"/>
  <c r="F107" i="14"/>
  <c r="AD99" i="14"/>
  <c r="AC99" i="14"/>
  <c r="AA99" i="14"/>
  <c r="Y99" i="14"/>
  <c r="AB99" i="14"/>
  <c r="X99" i="14"/>
  <c r="W99" i="14"/>
  <c r="V99" i="14"/>
  <c r="Z99" i="14"/>
  <c r="U99" i="14"/>
  <c r="T99" i="14"/>
  <c r="P99" i="14"/>
  <c r="S99" i="14"/>
  <c r="Q99" i="14"/>
  <c r="R99" i="14"/>
  <c r="N99" i="14"/>
  <c r="O99" i="14"/>
  <c r="L99" i="14"/>
  <c r="M99" i="14"/>
  <c r="K99" i="14"/>
  <c r="H99" i="14"/>
  <c r="I99" i="14"/>
  <c r="F99" i="14"/>
  <c r="J99" i="14"/>
  <c r="G99" i="14"/>
  <c r="AD91" i="14"/>
  <c r="AC91" i="14"/>
  <c r="AB91" i="14"/>
  <c r="AA91" i="14"/>
  <c r="Y91" i="14"/>
  <c r="Z91" i="14"/>
  <c r="X91" i="14"/>
  <c r="W91" i="14"/>
  <c r="U91" i="14"/>
  <c r="V91" i="14"/>
  <c r="S91" i="14"/>
  <c r="T91" i="14"/>
  <c r="P91" i="14"/>
  <c r="Q91" i="14"/>
  <c r="R91" i="14"/>
  <c r="N91" i="14"/>
  <c r="O91" i="14"/>
  <c r="L91" i="14"/>
  <c r="M91" i="14"/>
  <c r="K91" i="14"/>
  <c r="H91" i="14"/>
  <c r="J91" i="14"/>
  <c r="I91" i="14"/>
  <c r="F91" i="14"/>
  <c r="G91" i="14"/>
  <c r="AD83" i="14"/>
  <c r="AC83" i="14"/>
  <c r="AB83" i="14"/>
  <c r="AA83" i="14"/>
  <c r="Y83" i="14"/>
  <c r="Z83" i="14"/>
  <c r="X83" i="14"/>
  <c r="W83" i="14"/>
  <c r="U83" i="14"/>
  <c r="V83" i="14"/>
  <c r="S83" i="14"/>
  <c r="P83" i="14"/>
  <c r="T83" i="14"/>
  <c r="Q83" i="14"/>
  <c r="R83" i="14"/>
  <c r="N83" i="14"/>
  <c r="O83" i="14"/>
  <c r="L83" i="14"/>
  <c r="M83" i="14"/>
  <c r="K83" i="14"/>
  <c r="J83" i="14"/>
  <c r="H83" i="14"/>
  <c r="I83" i="14"/>
  <c r="F83" i="14"/>
  <c r="G83" i="14"/>
  <c r="AD75" i="14"/>
  <c r="AC75" i="14"/>
  <c r="AB75" i="14"/>
  <c r="AA75" i="14"/>
  <c r="Z75" i="14"/>
  <c r="Y75" i="14"/>
  <c r="X75" i="14"/>
  <c r="W75" i="14"/>
  <c r="U75" i="14"/>
  <c r="V75" i="14"/>
  <c r="S75" i="14"/>
  <c r="T75" i="14"/>
  <c r="P75" i="14"/>
  <c r="Q75" i="14"/>
  <c r="R75" i="14"/>
  <c r="N75" i="14"/>
  <c r="O75" i="14"/>
  <c r="L75" i="14"/>
  <c r="M75" i="14"/>
  <c r="K75" i="14"/>
  <c r="H75" i="14"/>
  <c r="J75" i="14"/>
  <c r="I75" i="14"/>
  <c r="F75" i="14"/>
  <c r="G75" i="14"/>
  <c r="AD67" i="14"/>
  <c r="AC67" i="14"/>
  <c r="AB67" i="14"/>
  <c r="Z67" i="14"/>
  <c r="Y67" i="14"/>
  <c r="AA67" i="14"/>
  <c r="X67" i="14"/>
  <c r="W67" i="14"/>
  <c r="U67" i="14"/>
  <c r="V67" i="14"/>
  <c r="S67" i="14"/>
  <c r="T67" i="14"/>
  <c r="P67" i="14"/>
  <c r="Q67" i="14"/>
  <c r="R67" i="14"/>
  <c r="N67" i="14"/>
  <c r="O67" i="14"/>
  <c r="L67" i="14"/>
  <c r="M67" i="14"/>
  <c r="K67" i="14"/>
  <c r="H67" i="14"/>
  <c r="J67" i="14"/>
  <c r="I67" i="14"/>
  <c r="F67" i="14"/>
  <c r="G67" i="14"/>
  <c r="AD59" i="14"/>
  <c r="AC59" i="14"/>
  <c r="AB59" i="14"/>
  <c r="AA59" i="14"/>
  <c r="Z59" i="14"/>
  <c r="Y59" i="14"/>
  <c r="X59" i="14"/>
  <c r="W59" i="14"/>
  <c r="U59" i="14"/>
  <c r="V59" i="14"/>
  <c r="S59" i="14"/>
  <c r="T59" i="14"/>
  <c r="P59" i="14"/>
  <c r="Q59" i="14"/>
  <c r="R59" i="14"/>
  <c r="N59" i="14"/>
  <c r="O59" i="14"/>
  <c r="L59" i="14"/>
  <c r="M59" i="14"/>
  <c r="H59" i="14"/>
  <c r="K59" i="14"/>
  <c r="I59" i="14"/>
  <c r="F59" i="14"/>
  <c r="J59" i="14"/>
  <c r="G59" i="14"/>
  <c r="AD51" i="14"/>
  <c r="AC51" i="14"/>
  <c r="AB51" i="14"/>
  <c r="Z51" i="14"/>
  <c r="Y51" i="14"/>
  <c r="AA51" i="14"/>
  <c r="X51" i="14"/>
  <c r="W51" i="14"/>
  <c r="U51" i="14"/>
  <c r="V51" i="14"/>
  <c r="S51" i="14"/>
  <c r="T51" i="14"/>
  <c r="P51" i="14"/>
  <c r="Q51" i="14"/>
  <c r="R51" i="14"/>
  <c r="N51" i="14"/>
  <c r="O51" i="14"/>
  <c r="L51" i="14"/>
  <c r="M51" i="14"/>
  <c r="K51" i="14"/>
  <c r="H51" i="14"/>
  <c r="J51" i="14"/>
  <c r="I51" i="14"/>
  <c r="F51" i="14"/>
  <c r="G51" i="14"/>
  <c r="AD43" i="14"/>
  <c r="AC43" i="14"/>
  <c r="AA43" i="14"/>
  <c r="Z43" i="14"/>
  <c r="Y43" i="14"/>
  <c r="X43" i="14"/>
  <c r="AB43" i="14"/>
  <c r="W43" i="14"/>
  <c r="U43" i="14"/>
  <c r="V43" i="14"/>
  <c r="S43" i="14"/>
  <c r="T43" i="14"/>
  <c r="P43" i="14"/>
  <c r="Q43" i="14"/>
  <c r="N43" i="14"/>
  <c r="O43" i="14"/>
  <c r="R43" i="14"/>
  <c r="L43" i="14"/>
  <c r="M43" i="14"/>
  <c r="K43" i="14"/>
  <c r="H43" i="14"/>
  <c r="J43" i="14"/>
  <c r="I43" i="14"/>
  <c r="F43" i="14"/>
  <c r="G43" i="14"/>
  <c r="AD35" i="14"/>
  <c r="AC35" i="14"/>
  <c r="AB35" i="14"/>
  <c r="Z35" i="14"/>
  <c r="Y35" i="14"/>
  <c r="AA35" i="14"/>
  <c r="X35" i="14"/>
  <c r="U35" i="14"/>
  <c r="W35" i="14"/>
  <c r="V35" i="14"/>
  <c r="S35" i="14"/>
  <c r="T35" i="14"/>
  <c r="P35" i="14"/>
  <c r="Q35" i="14"/>
  <c r="R35" i="14"/>
  <c r="N35" i="14"/>
  <c r="O35" i="14"/>
  <c r="L35" i="14"/>
  <c r="M35" i="14"/>
  <c r="K35" i="14"/>
  <c r="H35" i="14"/>
  <c r="I35" i="14"/>
  <c r="J35" i="14"/>
  <c r="F35" i="14"/>
  <c r="G35" i="14"/>
  <c r="AD27" i="14"/>
  <c r="AC27" i="14"/>
  <c r="AA27" i="14"/>
  <c r="AB27" i="14"/>
  <c r="Z27" i="14"/>
  <c r="Y27" i="14"/>
  <c r="X27" i="14"/>
  <c r="U27" i="14"/>
  <c r="V27" i="14"/>
  <c r="S27" i="14"/>
  <c r="W27" i="14"/>
  <c r="T27" i="14"/>
  <c r="P27" i="14"/>
  <c r="Q27" i="14"/>
  <c r="R27" i="14"/>
  <c r="N27" i="14"/>
  <c r="O27" i="14"/>
  <c r="L27" i="14"/>
  <c r="M27" i="14"/>
  <c r="H27" i="14"/>
  <c r="J27" i="14"/>
  <c r="I27" i="14"/>
  <c r="K27" i="14"/>
  <c r="F27" i="14"/>
  <c r="G27" i="14"/>
  <c r="AD19" i="14"/>
  <c r="AC19" i="14"/>
  <c r="AB19" i="14"/>
  <c r="AA19" i="14"/>
  <c r="Z19" i="14"/>
  <c r="Y19" i="14"/>
  <c r="X19" i="14"/>
  <c r="W19" i="14"/>
  <c r="U19" i="14"/>
  <c r="V19" i="14"/>
  <c r="S19" i="14"/>
  <c r="P19" i="14"/>
  <c r="Q19" i="14"/>
  <c r="T19" i="14"/>
  <c r="R19" i="14"/>
  <c r="N19" i="14"/>
  <c r="O19" i="14"/>
  <c r="L19" i="14"/>
  <c r="M19" i="14"/>
  <c r="K19" i="14"/>
  <c r="J19" i="14"/>
  <c r="H19" i="14"/>
  <c r="I19" i="14"/>
  <c r="F19" i="14"/>
  <c r="G19" i="14"/>
  <c r="AD11" i="14"/>
  <c r="AC11" i="14"/>
  <c r="AB11" i="14"/>
  <c r="AA11" i="14"/>
  <c r="Z11" i="14"/>
  <c r="Y11" i="14"/>
  <c r="X11" i="14"/>
  <c r="W11" i="14"/>
  <c r="U11" i="14"/>
  <c r="V11" i="14"/>
  <c r="S11" i="14"/>
  <c r="T11" i="14"/>
  <c r="P11" i="14"/>
  <c r="R11" i="14"/>
  <c r="Q11" i="14"/>
  <c r="N11" i="14"/>
  <c r="O11" i="14"/>
  <c r="L11" i="14"/>
  <c r="M11" i="14"/>
  <c r="K11" i="14"/>
  <c r="H11" i="14"/>
  <c r="J11" i="14"/>
  <c r="I11" i="14"/>
  <c r="F11" i="14"/>
  <c r="G11" i="14"/>
  <c r="F252" i="14"/>
  <c r="F188" i="14"/>
  <c r="F124" i="14"/>
  <c r="F60" i="14"/>
  <c r="G403" i="14"/>
  <c r="G339" i="14"/>
  <c r="G275" i="14"/>
  <c r="G211" i="14"/>
  <c r="G147" i="14"/>
  <c r="K3" i="14"/>
  <c r="P3" i="14"/>
  <c r="X3" i="14"/>
  <c r="I3" i="14"/>
  <c r="Q3" i="14"/>
  <c r="Y3" i="14"/>
  <c r="R3" i="14"/>
  <c r="Z3" i="14"/>
  <c r="S3" i="14"/>
  <c r="AA3" i="14"/>
  <c r="L3" i="14"/>
  <c r="T3" i="14"/>
  <c r="AB3" i="14"/>
  <c r="J3" i="14"/>
  <c r="M3" i="14"/>
  <c r="U3" i="14"/>
  <c r="AC3" i="14"/>
  <c r="N3" i="14"/>
  <c r="V3" i="14"/>
  <c r="AD3" i="14"/>
  <c r="G3" i="14"/>
  <c r="O3" i="14"/>
  <c r="W3" i="14"/>
  <c r="H3" i="14"/>
  <c r="AD402" i="14"/>
  <c r="AC402" i="14"/>
  <c r="AB402" i="14"/>
  <c r="AA402" i="14"/>
  <c r="X402" i="14"/>
  <c r="Z402" i="14"/>
  <c r="Y402" i="14"/>
  <c r="W402" i="14"/>
  <c r="U402" i="14"/>
  <c r="V402" i="14"/>
  <c r="T402" i="14"/>
  <c r="S402" i="14"/>
  <c r="Q402" i="14"/>
  <c r="O402" i="14"/>
  <c r="R402" i="14"/>
  <c r="M402" i="14"/>
  <c r="P402" i="14"/>
  <c r="N402" i="14"/>
  <c r="L402" i="14"/>
  <c r="K402" i="14"/>
  <c r="I402" i="14"/>
  <c r="J402" i="14"/>
  <c r="G402" i="14"/>
  <c r="H402" i="14"/>
  <c r="AD394" i="14"/>
  <c r="AC394" i="14"/>
  <c r="AB394" i="14"/>
  <c r="AA394" i="14"/>
  <c r="X394" i="14"/>
  <c r="Y394" i="14"/>
  <c r="V394" i="14"/>
  <c r="U394" i="14"/>
  <c r="W394" i="14"/>
  <c r="Z394" i="14"/>
  <c r="S394" i="14"/>
  <c r="T394" i="14"/>
  <c r="R394" i="14"/>
  <c r="O394" i="14"/>
  <c r="Q394" i="14"/>
  <c r="M394" i="14"/>
  <c r="P394" i="14"/>
  <c r="N394" i="14"/>
  <c r="L394" i="14"/>
  <c r="I394" i="14"/>
  <c r="K394" i="14"/>
  <c r="J394" i="14"/>
  <c r="G394" i="14"/>
  <c r="H394" i="14"/>
  <c r="AD386" i="14"/>
  <c r="AB386" i="14"/>
  <c r="AC386" i="14"/>
  <c r="AA386" i="14"/>
  <c r="Z386" i="14"/>
  <c r="Y386" i="14"/>
  <c r="X386" i="14"/>
  <c r="U386" i="14"/>
  <c r="T386" i="14"/>
  <c r="S386" i="14"/>
  <c r="V386" i="14"/>
  <c r="W386" i="14"/>
  <c r="Q386" i="14"/>
  <c r="O386" i="14"/>
  <c r="R386" i="14"/>
  <c r="P386" i="14"/>
  <c r="M386" i="14"/>
  <c r="N386" i="14"/>
  <c r="K386" i="14"/>
  <c r="I386" i="14"/>
  <c r="J386" i="14"/>
  <c r="L386" i="14"/>
  <c r="G386" i="14"/>
  <c r="H386" i="14"/>
  <c r="AD378" i="14"/>
  <c r="AB378" i="14"/>
  <c r="AC378" i="14"/>
  <c r="AA378" i="14"/>
  <c r="Z378" i="14"/>
  <c r="Y378" i="14"/>
  <c r="X378" i="14"/>
  <c r="W378" i="14"/>
  <c r="U378" i="14"/>
  <c r="V378" i="14"/>
  <c r="T378" i="14"/>
  <c r="S378" i="14"/>
  <c r="R378" i="14"/>
  <c r="O378" i="14"/>
  <c r="Q378" i="14"/>
  <c r="P378" i="14"/>
  <c r="M378" i="14"/>
  <c r="N378" i="14"/>
  <c r="L378" i="14"/>
  <c r="I378" i="14"/>
  <c r="J378" i="14"/>
  <c r="G378" i="14"/>
  <c r="K378" i="14"/>
  <c r="H378" i="14"/>
  <c r="AD370" i="14"/>
  <c r="AC370" i="14"/>
  <c r="AB370" i="14"/>
  <c r="AA370" i="14"/>
  <c r="X370" i="14"/>
  <c r="Z370" i="14"/>
  <c r="Y370" i="14"/>
  <c r="U370" i="14"/>
  <c r="W370" i="14"/>
  <c r="V370" i="14"/>
  <c r="T370" i="14"/>
  <c r="S370" i="14"/>
  <c r="Q370" i="14"/>
  <c r="O370" i="14"/>
  <c r="R370" i="14"/>
  <c r="P370" i="14"/>
  <c r="M370" i="14"/>
  <c r="N370" i="14"/>
  <c r="L370" i="14"/>
  <c r="K370" i="14"/>
  <c r="I370" i="14"/>
  <c r="J370" i="14"/>
  <c r="G370" i="14"/>
  <c r="H370" i="14"/>
  <c r="AD362" i="14"/>
  <c r="AC362" i="14"/>
  <c r="AA362" i="14"/>
  <c r="AB362" i="14"/>
  <c r="Z362" i="14"/>
  <c r="Y362" i="14"/>
  <c r="W362" i="14"/>
  <c r="V362" i="14"/>
  <c r="U362" i="14"/>
  <c r="X362" i="14"/>
  <c r="T362" i="14"/>
  <c r="S362" i="14"/>
  <c r="R362" i="14"/>
  <c r="O362" i="14"/>
  <c r="Q362" i="14"/>
  <c r="P362" i="14"/>
  <c r="M362" i="14"/>
  <c r="N362" i="14"/>
  <c r="J362" i="14"/>
  <c r="L362" i="14"/>
  <c r="K362" i="14"/>
  <c r="I362" i="14"/>
  <c r="G362" i="14"/>
  <c r="H362" i="14"/>
  <c r="AD354" i="14"/>
  <c r="AC354" i="14"/>
  <c r="AB354" i="14"/>
  <c r="AA354" i="14"/>
  <c r="Z354" i="14"/>
  <c r="Y354" i="14"/>
  <c r="X354" i="14"/>
  <c r="W354" i="14"/>
  <c r="U354" i="14"/>
  <c r="V354" i="14"/>
  <c r="T354" i="14"/>
  <c r="S354" i="14"/>
  <c r="Q354" i="14"/>
  <c r="O354" i="14"/>
  <c r="R354" i="14"/>
  <c r="P354" i="14"/>
  <c r="M354" i="14"/>
  <c r="J354" i="14"/>
  <c r="N354" i="14"/>
  <c r="L354" i="14"/>
  <c r="I354" i="14"/>
  <c r="K354" i="14"/>
  <c r="G354" i="14"/>
  <c r="H354" i="14"/>
  <c r="AD346" i="14"/>
  <c r="AB346" i="14"/>
  <c r="AC346" i="14"/>
  <c r="AA346" i="14"/>
  <c r="Z346" i="14"/>
  <c r="Y346" i="14"/>
  <c r="X346" i="14"/>
  <c r="U346" i="14"/>
  <c r="V346" i="14"/>
  <c r="W346" i="14"/>
  <c r="S346" i="14"/>
  <c r="R346" i="14"/>
  <c r="T346" i="14"/>
  <c r="O346" i="14"/>
  <c r="Q346" i="14"/>
  <c r="M346" i="14"/>
  <c r="P346" i="14"/>
  <c r="N346" i="14"/>
  <c r="J346" i="14"/>
  <c r="L346" i="14"/>
  <c r="K346" i="14"/>
  <c r="I346" i="14"/>
  <c r="G346" i="14"/>
  <c r="H346" i="14"/>
  <c r="AD338" i="14"/>
  <c r="AC338" i="14"/>
  <c r="AA338" i="14"/>
  <c r="AB338" i="14"/>
  <c r="X338" i="14"/>
  <c r="Z338" i="14"/>
  <c r="Y338" i="14"/>
  <c r="W338" i="14"/>
  <c r="U338" i="14"/>
  <c r="T338" i="14"/>
  <c r="V338" i="14"/>
  <c r="S338" i="14"/>
  <c r="Q338" i="14"/>
  <c r="O338" i="14"/>
  <c r="R338" i="14"/>
  <c r="M338" i="14"/>
  <c r="P338" i="14"/>
  <c r="J338" i="14"/>
  <c r="N338" i="14"/>
  <c r="L338" i="14"/>
  <c r="K338" i="14"/>
  <c r="I338" i="14"/>
  <c r="G338" i="14"/>
  <c r="H338" i="14"/>
  <c r="AD330" i="14"/>
  <c r="AC330" i="14"/>
  <c r="AA330" i="14"/>
  <c r="AB330" i="14"/>
  <c r="X330" i="14"/>
  <c r="Z330" i="14"/>
  <c r="U330" i="14"/>
  <c r="W330" i="14"/>
  <c r="Y330" i="14"/>
  <c r="V330" i="14"/>
  <c r="T330" i="14"/>
  <c r="S330" i="14"/>
  <c r="R330" i="14"/>
  <c r="O330" i="14"/>
  <c r="Q330" i="14"/>
  <c r="M330" i="14"/>
  <c r="P330" i="14"/>
  <c r="N330" i="14"/>
  <c r="J330" i="14"/>
  <c r="L330" i="14"/>
  <c r="I330" i="14"/>
  <c r="K330" i="14"/>
  <c r="G330" i="14"/>
  <c r="H330" i="14"/>
  <c r="AD322" i="14"/>
  <c r="AB322" i="14"/>
  <c r="AC322" i="14"/>
  <c r="AA322" i="14"/>
  <c r="Z322" i="14"/>
  <c r="Y322" i="14"/>
  <c r="X322" i="14"/>
  <c r="U322" i="14"/>
  <c r="V322" i="14"/>
  <c r="W322" i="14"/>
  <c r="T322" i="14"/>
  <c r="S322" i="14"/>
  <c r="Q322" i="14"/>
  <c r="O322" i="14"/>
  <c r="R322" i="14"/>
  <c r="P322" i="14"/>
  <c r="M322" i="14"/>
  <c r="J322" i="14"/>
  <c r="N322" i="14"/>
  <c r="K322" i="14"/>
  <c r="I322" i="14"/>
  <c r="L322" i="14"/>
  <c r="G322" i="14"/>
  <c r="H322" i="14"/>
  <c r="AD314" i="14"/>
  <c r="AC314" i="14"/>
  <c r="AB314" i="14"/>
  <c r="AA314" i="14"/>
  <c r="Z314" i="14"/>
  <c r="Y314" i="14"/>
  <c r="X314" i="14"/>
  <c r="V314" i="14"/>
  <c r="W314" i="14"/>
  <c r="U314" i="14"/>
  <c r="T314" i="14"/>
  <c r="S314" i="14"/>
  <c r="R314" i="14"/>
  <c r="O314" i="14"/>
  <c r="Q314" i="14"/>
  <c r="P314" i="14"/>
  <c r="M314" i="14"/>
  <c r="N314" i="14"/>
  <c r="J314" i="14"/>
  <c r="L314" i="14"/>
  <c r="I314" i="14"/>
  <c r="G314" i="14"/>
  <c r="K314" i="14"/>
  <c r="H314" i="14"/>
  <c r="AD306" i="14"/>
  <c r="AB306" i="14"/>
  <c r="AC306" i="14"/>
  <c r="AA306" i="14"/>
  <c r="X306" i="14"/>
  <c r="Z306" i="14"/>
  <c r="Y306" i="14"/>
  <c r="V306" i="14"/>
  <c r="U306" i="14"/>
  <c r="W306" i="14"/>
  <c r="T306" i="14"/>
  <c r="S306" i="14"/>
  <c r="Q306" i="14"/>
  <c r="O306" i="14"/>
  <c r="R306" i="14"/>
  <c r="P306" i="14"/>
  <c r="M306" i="14"/>
  <c r="J306" i="14"/>
  <c r="N306" i="14"/>
  <c r="L306" i="14"/>
  <c r="K306" i="14"/>
  <c r="I306" i="14"/>
  <c r="F306" i="14"/>
  <c r="G306" i="14"/>
  <c r="H306" i="14"/>
  <c r="AD298" i="14"/>
  <c r="AC298" i="14"/>
  <c r="AB298" i="14"/>
  <c r="AA298" i="14"/>
  <c r="Z298" i="14"/>
  <c r="Y298" i="14"/>
  <c r="W298" i="14"/>
  <c r="X298" i="14"/>
  <c r="U298" i="14"/>
  <c r="V298" i="14"/>
  <c r="T298" i="14"/>
  <c r="S298" i="14"/>
  <c r="R298" i="14"/>
  <c r="O298" i="14"/>
  <c r="Q298" i="14"/>
  <c r="P298" i="14"/>
  <c r="M298" i="14"/>
  <c r="N298" i="14"/>
  <c r="J298" i="14"/>
  <c r="L298" i="14"/>
  <c r="K298" i="14"/>
  <c r="I298" i="14"/>
  <c r="F298" i="14"/>
  <c r="G298" i="14"/>
  <c r="H298" i="14"/>
  <c r="AD290" i="14"/>
  <c r="AC290" i="14"/>
  <c r="AB290" i="14"/>
  <c r="AA290" i="14"/>
  <c r="Z290" i="14"/>
  <c r="Y290" i="14"/>
  <c r="X290" i="14"/>
  <c r="V290" i="14"/>
  <c r="W290" i="14"/>
  <c r="U290" i="14"/>
  <c r="S290" i="14"/>
  <c r="T290" i="14"/>
  <c r="Q290" i="14"/>
  <c r="O290" i="14"/>
  <c r="R290" i="14"/>
  <c r="P290" i="14"/>
  <c r="M290" i="14"/>
  <c r="J290" i="14"/>
  <c r="N290" i="14"/>
  <c r="L290" i="14"/>
  <c r="I290" i="14"/>
  <c r="F290" i="14"/>
  <c r="K290" i="14"/>
  <c r="G290" i="14"/>
  <c r="H290" i="14"/>
  <c r="AD282" i="14"/>
  <c r="AB282" i="14"/>
  <c r="AA282" i="14"/>
  <c r="AC282" i="14"/>
  <c r="Z282" i="14"/>
  <c r="Y282" i="14"/>
  <c r="X282" i="14"/>
  <c r="U282" i="14"/>
  <c r="V282" i="14"/>
  <c r="W282" i="14"/>
  <c r="T282" i="14"/>
  <c r="S282" i="14"/>
  <c r="R282" i="14"/>
  <c r="O282" i="14"/>
  <c r="Q282" i="14"/>
  <c r="P282" i="14"/>
  <c r="M282" i="14"/>
  <c r="N282" i="14"/>
  <c r="J282" i="14"/>
  <c r="L282" i="14"/>
  <c r="K282" i="14"/>
  <c r="I282" i="14"/>
  <c r="F282" i="14"/>
  <c r="G282" i="14"/>
  <c r="H282" i="14"/>
  <c r="AD274" i="14"/>
  <c r="AC274" i="14"/>
  <c r="AA274" i="14"/>
  <c r="AB274" i="14"/>
  <c r="X274" i="14"/>
  <c r="Z274" i="14"/>
  <c r="Y274" i="14"/>
  <c r="W274" i="14"/>
  <c r="U274" i="14"/>
  <c r="V274" i="14"/>
  <c r="T274" i="14"/>
  <c r="S274" i="14"/>
  <c r="Q274" i="14"/>
  <c r="O274" i="14"/>
  <c r="R274" i="14"/>
  <c r="P274" i="14"/>
  <c r="M274" i="14"/>
  <c r="J274" i="14"/>
  <c r="N274" i="14"/>
  <c r="L274" i="14"/>
  <c r="K274" i="14"/>
  <c r="I274" i="14"/>
  <c r="F274" i="14"/>
  <c r="G274" i="14"/>
  <c r="H274" i="14"/>
  <c r="AD266" i="14"/>
  <c r="AC266" i="14"/>
  <c r="AA266" i="14"/>
  <c r="AB266" i="14"/>
  <c r="X266" i="14"/>
  <c r="Y266" i="14"/>
  <c r="U266" i="14"/>
  <c r="W266" i="14"/>
  <c r="Z266" i="14"/>
  <c r="V266" i="14"/>
  <c r="T266" i="14"/>
  <c r="S266" i="14"/>
  <c r="R266" i="14"/>
  <c r="O266" i="14"/>
  <c r="Q266" i="14"/>
  <c r="P266" i="14"/>
  <c r="M266" i="14"/>
  <c r="N266" i="14"/>
  <c r="J266" i="14"/>
  <c r="L266" i="14"/>
  <c r="I266" i="14"/>
  <c r="K266" i="14"/>
  <c r="F266" i="14"/>
  <c r="G266" i="14"/>
  <c r="H266" i="14"/>
  <c r="AD258" i="14"/>
  <c r="AC258" i="14"/>
  <c r="AB258" i="14"/>
  <c r="Z258" i="14"/>
  <c r="AA258" i="14"/>
  <c r="Y258" i="14"/>
  <c r="X258" i="14"/>
  <c r="U258" i="14"/>
  <c r="V258" i="14"/>
  <c r="W258" i="14"/>
  <c r="T258" i="14"/>
  <c r="S258" i="14"/>
  <c r="Q258" i="14"/>
  <c r="O258" i="14"/>
  <c r="R258" i="14"/>
  <c r="P258" i="14"/>
  <c r="M258" i="14"/>
  <c r="N258" i="14"/>
  <c r="J258" i="14"/>
  <c r="K258" i="14"/>
  <c r="I258" i="14"/>
  <c r="F258" i="14"/>
  <c r="L258" i="14"/>
  <c r="G258" i="14"/>
  <c r="H258" i="14"/>
  <c r="AD250" i="14"/>
  <c r="AC250" i="14"/>
  <c r="AB250" i="14"/>
  <c r="AA250" i="14"/>
  <c r="Z250" i="14"/>
  <c r="Y250" i="14"/>
  <c r="X250" i="14"/>
  <c r="V250" i="14"/>
  <c r="W250" i="14"/>
  <c r="U250" i="14"/>
  <c r="T250" i="14"/>
  <c r="S250" i="14"/>
  <c r="P250" i="14"/>
  <c r="R250" i="14"/>
  <c r="O250" i="14"/>
  <c r="Q250" i="14"/>
  <c r="M250" i="14"/>
  <c r="J250" i="14"/>
  <c r="N250" i="14"/>
  <c r="L250" i="14"/>
  <c r="I250" i="14"/>
  <c r="F250" i="14"/>
  <c r="G250" i="14"/>
  <c r="K250" i="14"/>
  <c r="H250" i="14"/>
  <c r="AD242" i="14"/>
  <c r="AC242" i="14"/>
  <c r="AB242" i="14"/>
  <c r="AA242" i="14"/>
  <c r="Z242" i="14"/>
  <c r="X242" i="14"/>
  <c r="Y242" i="14"/>
  <c r="V242" i="14"/>
  <c r="U242" i="14"/>
  <c r="W242" i="14"/>
  <c r="T242" i="14"/>
  <c r="S242" i="14"/>
  <c r="Q242" i="14"/>
  <c r="P242" i="14"/>
  <c r="O242" i="14"/>
  <c r="R242" i="14"/>
  <c r="N242" i="14"/>
  <c r="M242" i="14"/>
  <c r="J242" i="14"/>
  <c r="L242" i="14"/>
  <c r="K242" i="14"/>
  <c r="I242" i="14"/>
  <c r="F242" i="14"/>
  <c r="G242" i="14"/>
  <c r="H242" i="14"/>
  <c r="AD234" i="14"/>
  <c r="AC234" i="14"/>
  <c r="Z234" i="14"/>
  <c r="AA234" i="14"/>
  <c r="AB234" i="14"/>
  <c r="Y234" i="14"/>
  <c r="W234" i="14"/>
  <c r="U234" i="14"/>
  <c r="X234" i="14"/>
  <c r="V234" i="14"/>
  <c r="T234" i="14"/>
  <c r="S234" i="14"/>
  <c r="P234" i="14"/>
  <c r="R234" i="14"/>
  <c r="O234" i="14"/>
  <c r="Q234" i="14"/>
  <c r="M234" i="14"/>
  <c r="J234" i="14"/>
  <c r="N234" i="14"/>
  <c r="L234" i="14"/>
  <c r="K234" i="14"/>
  <c r="I234" i="14"/>
  <c r="F234" i="14"/>
  <c r="G234" i="14"/>
  <c r="H234" i="14"/>
  <c r="AD226" i="14"/>
  <c r="AC226" i="14"/>
  <c r="Z226" i="14"/>
  <c r="AB226" i="14"/>
  <c r="AA226" i="14"/>
  <c r="Y226" i="14"/>
  <c r="X226" i="14"/>
  <c r="V226" i="14"/>
  <c r="W226" i="14"/>
  <c r="U226" i="14"/>
  <c r="T226" i="14"/>
  <c r="S226" i="14"/>
  <c r="Q226" i="14"/>
  <c r="P226" i="14"/>
  <c r="O226" i="14"/>
  <c r="R226" i="14"/>
  <c r="M226" i="14"/>
  <c r="N226" i="14"/>
  <c r="J226" i="14"/>
  <c r="L226" i="14"/>
  <c r="I226" i="14"/>
  <c r="F226" i="14"/>
  <c r="K226" i="14"/>
  <c r="G226" i="14"/>
  <c r="H226" i="14"/>
  <c r="AD218" i="14"/>
  <c r="AB218" i="14"/>
  <c r="AA218" i="14"/>
  <c r="Z218" i="14"/>
  <c r="AC218" i="14"/>
  <c r="Y218" i="14"/>
  <c r="X218" i="14"/>
  <c r="U218" i="14"/>
  <c r="V218" i="14"/>
  <c r="W218" i="14"/>
  <c r="T218" i="14"/>
  <c r="S218" i="14"/>
  <c r="P218" i="14"/>
  <c r="R218" i="14"/>
  <c r="O218" i="14"/>
  <c r="Q218" i="14"/>
  <c r="M218" i="14"/>
  <c r="J218" i="14"/>
  <c r="N218" i="14"/>
  <c r="L218" i="14"/>
  <c r="K218" i="14"/>
  <c r="I218" i="14"/>
  <c r="F218" i="14"/>
  <c r="G218" i="14"/>
  <c r="H218" i="14"/>
  <c r="AD210" i="14"/>
  <c r="AC210" i="14"/>
  <c r="AA210" i="14"/>
  <c r="Z210" i="14"/>
  <c r="X210" i="14"/>
  <c r="Y210" i="14"/>
  <c r="AB210" i="14"/>
  <c r="W210" i="14"/>
  <c r="U210" i="14"/>
  <c r="T210" i="14"/>
  <c r="V210" i="14"/>
  <c r="S210" i="14"/>
  <c r="Q210" i="14"/>
  <c r="P210" i="14"/>
  <c r="O210" i="14"/>
  <c r="R210" i="14"/>
  <c r="N210" i="14"/>
  <c r="M210" i="14"/>
  <c r="J210" i="14"/>
  <c r="L210" i="14"/>
  <c r="K210" i="14"/>
  <c r="I210" i="14"/>
  <c r="F210" i="14"/>
  <c r="G210" i="14"/>
  <c r="H210" i="14"/>
  <c r="AD202" i="14"/>
  <c r="AC202" i="14"/>
  <c r="Z202" i="14"/>
  <c r="AA202" i="14"/>
  <c r="AB202" i="14"/>
  <c r="X202" i="14"/>
  <c r="U202" i="14"/>
  <c r="W202" i="14"/>
  <c r="T202" i="14"/>
  <c r="V202" i="14"/>
  <c r="Y202" i="14"/>
  <c r="S202" i="14"/>
  <c r="P202" i="14"/>
  <c r="R202" i="14"/>
  <c r="O202" i="14"/>
  <c r="Q202" i="14"/>
  <c r="M202" i="14"/>
  <c r="N202" i="14"/>
  <c r="J202" i="14"/>
  <c r="L202" i="14"/>
  <c r="I202" i="14"/>
  <c r="F202" i="14"/>
  <c r="K202" i="14"/>
  <c r="G202" i="14"/>
  <c r="H202" i="14"/>
  <c r="AD194" i="14"/>
  <c r="AC194" i="14"/>
  <c r="AB194" i="14"/>
  <c r="Z194" i="14"/>
  <c r="AA194" i="14"/>
  <c r="Y194" i="14"/>
  <c r="X194" i="14"/>
  <c r="U194" i="14"/>
  <c r="V194" i="14"/>
  <c r="T194" i="14"/>
  <c r="S194" i="14"/>
  <c r="W194" i="14"/>
  <c r="Q194" i="14"/>
  <c r="P194" i="14"/>
  <c r="O194" i="14"/>
  <c r="R194" i="14"/>
  <c r="M194" i="14"/>
  <c r="N194" i="14"/>
  <c r="J194" i="14"/>
  <c r="K194" i="14"/>
  <c r="I194" i="14"/>
  <c r="F194" i="14"/>
  <c r="L194" i="14"/>
  <c r="G194" i="14"/>
  <c r="H194" i="14"/>
  <c r="AD186" i="14"/>
  <c r="AC186" i="14"/>
  <c r="AB186" i="14"/>
  <c r="AA186" i="14"/>
  <c r="Z186" i="14"/>
  <c r="Y186" i="14"/>
  <c r="X186" i="14"/>
  <c r="V186" i="14"/>
  <c r="W186" i="14"/>
  <c r="U186" i="14"/>
  <c r="T186" i="14"/>
  <c r="S186" i="14"/>
  <c r="P186" i="14"/>
  <c r="R186" i="14"/>
  <c r="O186" i="14"/>
  <c r="Q186" i="14"/>
  <c r="M186" i="14"/>
  <c r="J186" i="14"/>
  <c r="N186" i="14"/>
  <c r="L186" i="14"/>
  <c r="K186" i="14"/>
  <c r="I186" i="14"/>
  <c r="F186" i="14"/>
  <c r="G186" i="14"/>
  <c r="H186" i="14"/>
  <c r="AD178" i="14"/>
  <c r="AC178" i="14"/>
  <c r="AB178" i="14"/>
  <c r="Z178" i="14"/>
  <c r="AA178" i="14"/>
  <c r="Y178" i="14"/>
  <c r="X178" i="14"/>
  <c r="V178" i="14"/>
  <c r="U178" i="14"/>
  <c r="T178" i="14"/>
  <c r="S178" i="14"/>
  <c r="W178" i="14"/>
  <c r="Q178" i="14"/>
  <c r="P178" i="14"/>
  <c r="O178" i="14"/>
  <c r="R178" i="14"/>
  <c r="N178" i="14"/>
  <c r="M178" i="14"/>
  <c r="J178" i="14"/>
  <c r="K178" i="14"/>
  <c r="L178" i="14"/>
  <c r="I178" i="14"/>
  <c r="F178" i="14"/>
  <c r="G178" i="14"/>
  <c r="H178" i="14"/>
  <c r="AD170" i="14"/>
  <c r="AC170" i="14"/>
  <c r="AB170" i="14"/>
  <c r="AA170" i="14"/>
  <c r="Z170" i="14"/>
  <c r="Y170" i="14"/>
  <c r="X170" i="14"/>
  <c r="U170" i="14"/>
  <c r="W170" i="14"/>
  <c r="V170" i="14"/>
  <c r="T170" i="14"/>
  <c r="S170" i="14"/>
  <c r="P170" i="14"/>
  <c r="R170" i="14"/>
  <c r="O170" i="14"/>
  <c r="Q170" i="14"/>
  <c r="M170" i="14"/>
  <c r="J170" i="14"/>
  <c r="N170" i="14"/>
  <c r="L170" i="14"/>
  <c r="I170" i="14"/>
  <c r="F170" i="14"/>
  <c r="K170" i="14"/>
  <c r="G170" i="14"/>
  <c r="H170" i="14"/>
  <c r="AD162" i="14"/>
  <c r="AC162" i="14"/>
  <c r="AB162" i="14"/>
  <c r="Z162" i="14"/>
  <c r="AA162" i="14"/>
  <c r="Y162" i="14"/>
  <c r="X162" i="14"/>
  <c r="V162" i="14"/>
  <c r="U162" i="14"/>
  <c r="W162" i="14"/>
  <c r="T162" i="14"/>
  <c r="S162" i="14"/>
  <c r="Q162" i="14"/>
  <c r="P162" i="14"/>
  <c r="O162" i="14"/>
  <c r="R162" i="14"/>
  <c r="M162" i="14"/>
  <c r="N162" i="14"/>
  <c r="J162" i="14"/>
  <c r="L162" i="14"/>
  <c r="K162" i="14"/>
  <c r="I162" i="14"/>
  <c r="F162" i="14"/>
  <c r="G162" i="14"/>
  <c r="H162" i="14"/>
  <c r="AD154" i="14"/>
  <c r="AC154" i="14"/>
  <c r="AB154" i="14"/>
  <c r="AA154" i="14"/>
  <c r="Z154" i="14"/>
  <c r="Y154" i="14"/>
  <c r="X154" i="14"/>
  <c r="U154" i="14"/>
  <c r="W154" i="14"/>
  <c r="V154" i="14"/>
  <c r="T154" i="14"/>
  <c r="S154" i="14"/>
  <c r="P154" i="14"/>
  <c r="R154" i="14"/>
  <c r="O154" i="14"/>
  <c r="Q154" i="14"/>
  <c r="M154" i="14"/>
  <c r="J154" i="14"/>
  <c r="N154" i="14"/>
  <c r="L154" i="14"/>
  <c r="K154" i="14"/>
  <c r="I154" i="14"/>
  <c r="F154" i="14"/>
  <c r="G154" i="14"/>
  <c r="H154" i="14"/>
  <c r="AD146" i="14"/>
  <c r="AB146" i="14"/>
  <c r="AC146" i="14"/>
  <c r="Z146" i="14"/>
  <c r="AA146" i="14"/>
  <c r="Y146" i="14"/>
  <c r="X146" i="14"/>
  <c r="W146" i="14"/>
  <c r="U146" i="14"/>
  <c r="T146" i="14"/>
  <c r="V146" i="14"/>
  <c r="S146" i="14"/>
  <c r="Q146" i="14"/>
  <c r="P146" i="14"/>
  <c r="O146" i="14"/>
  <c r="R146" i="14"/>
  <c r="N146" i="14"/>
  <c r="M146" i="14"/>
  <c r="J146" i="14"/>
  <c r="L146" i="14"/>
  <c r="K146" i="14"/>
  <c r="I146" i="14"/>
  <c r="F146" i="14"/>
  <c r="G146" i="14"/>
  <c r="H146" i="14"/>
  <c r="AD138" i="14"/>
  <c r="AC138" i="14"/>
  <c r="AB138" i="14"/>
  <c r="AA138" i="14"/>
  <c r="Z138" i="14"/>
  <c r="W138" i="14"/>
  <c r="V138" i="14"/>
  <c r="U138" i="14"/>
  <c r="Y138" i="14"/>
  <c r="T138" i="14"/>
  <c r="X138" i="14"/>
  <c r="S138" i="14"/>
  <c r="P138" i="14"/>
  <c r="R138" i="14"/>
  <c r="O138" i="14"/>
  <c r="Q138" i="14"/>
  <c r="M138" i="14"/>
  <c r="N138" i="14"/>
  <c r="J138" i="14"/>
  <c r="L138" i="14"/>
  <c r="I138" i="14"/>
  <c r="F138" i="14"/>
  <c r="K138" i="14"/>
  <c r="G138" i="14"/>
  <c r="H138" i="14"/>
  <c r="AD130" i="14"/>
  <c r="AC130" i="14"/>
  <c r="Z130" i="14"/>
  <c r="AB130" i="14"/>
  <c r="AA130" i="14"/>
  <c r="Y130" i="14"/>
  <c r="X130" i="14"/>
  <c r="W130" i="14"/>
  <c r="U130" i="14"/>
  <c r="V130" i="14"/>
  <c r="T130" i="14"/>
  <c r="S130" i="14"/>
  <c r="Q130" i="14"/>
  <c r="P130" i="14"/>
  <c r="O130" i="14"/>
  <c r="R130" i="14"/>
  <c r="M130" i="14"/>
  <c r="N130" i="14"/>
  <c r="J130" i="14"/>
  <c r="K130" i="14"/>
  <c r="I130" i="14"/>
  <c r="F130" i="14"/>
  <c r="L130" i="14"/>
  <c r="G130" i="14"/>
  <c r="H130" i="14"/>
  <c r="AD122" i="14"/>
  <c r="AC122" i="14"/>
  <c r="AA122" i="14"/>
  <c r="Z122" i="14"/>
  <c r="AB122" i="14"/>
  <c r="Y122" i="14"/>
  <c r="X122" i="14"/>
  <c r="W122" i="14"/>
  <c r="V122" i="14"/>
  <c r="U122" i="14"/>
  <c r="T122" i="14"/>
  <c r="S122" i="14"/>
  <c r="P122" i="14"/>
  <c r="R122" i="14"/>
  <c r="O122" i="14"/>
  <c r="Q122" i="14"/>
  <c r="M122" i="14"/>
  <c r="J122" i="14"/>
  <c r="N122" i="14"/>
  <c r="L122" i="14"/>
  <c r="K122" i="14"/>
  <c r="I122" i="14"/>
  <c r="F122" i="14"/>
  <c r="G122" i="14"/>
  <c r="H122" i="14"/>
  <c r="AD114" i="14"/>
  <c r="AC114" i="14"/>
  <c r="AB114" i="14"/>
  <c r="Z114" i="14"/>
  <c r="AA114" i="14"/>
  <c r="Y114" i="14"/>
  <c r="X114" i="14"/>
  <c r="V114" i="14"/>
  <c r="U114" i="14"/>
  <c r="W114" i="14"/>
  <c r="T114" i="14"/>
  <c r="S114" i="14"/>
  <c r="R114" i="14"/>
  <c r="Q114" i="14"/>
  <c r="P114" i="14"/>
  <c r="O114" i="14"/>
  <c r="N114" i="14"/>
  <c r="M114" i="14"/>
  <c r="J114" i="14"/>
  <c r="K114" i="14"/>
  <c r="L114" i="14"/>
  <c r="I114" i="14"/>
  <c r="F114" i="14"/>
  <c r="G114" i="14"/>
  <c r="H114" i="14"/>
  <c r="AD106" i="14"/>
  <c r="AC106" i="14"/>
  <c r="AB106" i="14"/>
  <c r="AA106" i="14"/>
  <c r="Z106" i="14"/>
  <c r="Y106" i="14"/>
  <c r="X106" i="14"/>
  <c r="T106" i="14"/>
  <c r="U106" i="14"/>
  <c r="W106" i="14"/>
  <c r="V106" i="14"/>
  <c r="R106" i="14"/>
  <c r="S106" i="14"/>
  <c r="P106" i="14"/>
  <c r="O106" i="14"/>
  <c r="Q106" i="14"/>
  <c r="M106" i="14"/>
  <c r="J106" i="14"/>
  <c r="N106" i="14"/>
  <c r="L106" i="14"/>
  <c r="I106" i="14"/>
  <c r="F106" i="14"/>
  <c r="K106" i="14"/>
  <c r="G106" i="14"/>
  <c r="H106" i="14"/>
  <c r="AD98" i="14"/>
  <c r="AC98" i="14"/>
  <c r="AB98" i="14"/>
  <c r="AA98" i="14"/>
  <c r="Z98" i="14"/>
  <c r="Y98" i="14"/>
  <c r="X98" i="14"/>
  <c r="V98" i="14"/>
  <c r="T98" i="14"/>
  <c r="U98" i="14"/>
  <c r="W98" i="14"/>
  <c r="S98" i="14"/>
  <c r="R98" i="14"/>
  <c r="Q98" i="14"/>
  <c r="P98" i="14"/>
  <c r="O98" i="14"/>
  <c r="M98" i="14"/>
  <c r="N98" i="14"/>
  <c r="J98" i="14"/>
  <c r="L98" i="14"/>
  <c r="K98" i="14"/>
  <c r="I98" i="14"/>
  <c r="F98" i="14"/>
  <c r="G98" i="14"/>
  <c r="H98" i="14"/>
  <c r="AD90" i="14"/>
  <c r="AC90" i="14"/>
  <c r="AA90" i="14"/>
  <c r="Z90" i="14"/>
  <c r="AB90" i="14"/>
  <c r="Y90" i="14"/>
  <c r="X90" i="14"/>
  <c r="T90" i="14"/>
  <c r="W90" i="14"/>
  <c r="V90" i="14"/>
  <c r="U90" i="14"/>
  <c r="R90" i="14"/>
  <c r="S90" i="14"/>
  <c r="P90" i="14"/>
  <c r="O90" i="14"/>
  <c r="Q90" i="14"/>
  <c r="M90" i="14"/>
  <c r="J90" i="14"/>
  <c r="K90" i="14"/>
  <c r="N90" i="14"/>
  <c r="L90" i="14"/>
  <c r="I90" i="14"/>
  <c r="F90" i="14"/>
  <c r="G90" i="14"/>
  <c r="H90" i="14"/>
  <c r="AD82" i="14"/>
  <c r="AC82" i="14"/>
  <c r="AB82" i="14"/>
  <c r="AA82" i="14"/>
  <c r="Z82" i="14"/>
  <c r="Y82" i="14"/>
  <c r="X82" i="14"/>
  <c r="T82" i="14"/>
  <c r="W82" i="14"/>
  <c r="U82" i="14"/>
  <c r="S82" i="14"/>
  <c r="V82" i="14"/>
  <c r="R82" i="14"/>
  <c r="Q82" i="14"/>
  <c r="P82" i="14"/>
  <c r="O82" i="14"/>
  <c r="N82" i="14"/>
  <c r="M82" i="14"/>
  <c r="J82" i="14"/>
  <c r="K82" i="14"/>
  <c r="L82" i="14"/>
  <c r="I82" i="14"/>
  <c r="F82" i="14"/>
  <c r="G82" i="14"/>
  <c r="H82" i="14"/>
  <c r="AD74" i="14"/>
  <c r="AC74" i="14"/>
  <c r="AB74" i="14"/>
  <c r="Z74" i="14"/>
  <c r="AA74" i="14"/>
  <c r="Y74" i="14"/>
  <c r="U74" i="14"/>
  <c r="T74" i="14"/>
  <c r="W74" i="14"/>
  <c r="V74" i="14"/>
  <c r="X74" i="14"/>
  <c r="S74" i="14"/>
  <c r="R74" i="14"/>
  <c r="P74" i="14"/>
  <c r="O74" i="14"/>
  <c r="Q74" i="14"/>
  <c r="M74" i="14"/>
  <c r="N74" i="14"/>
  <c r="J74" i="14"/>
  <c r="K74" i="14"/>
  <c r="L74" i="14"/>
  <c r="I74" i="14"/>
  <c r="F74" i="14"/>
  <c r="G74" i="14"/>
  <c r="H74" i="14"/>
  <c r="AD66" i="14"/>
  <c r="AC66" i="14"/>
  <c r="AB66" i="14"/>
  <c r="Z66" i="14"/>
  <c r="AA66" i="14"/>
  <c r="Y66" i="14"/>
  <c r="X66" i="14"/>
  <c r="W66" i="14"/>
  <c r="T66" i="14"/>
  <c r="U66" i="14"/>
  <c r="V66" i="14"/>
  <c r="S66" i="14"/>
  <c r="R66" i="14"/>
  <c r="Q66" i="14"/>
  <c r="P66" i="14"/>
  <c r="O66" i="14"/>
  <c r="M66" i="14"/>
  <c r="N66" i="14"/>
  <c r="K66" i="14"/>
  <c r="J66" i="14"/>
  <c r="I66" i="14"/>
  <c r="F66" i="14"/>
  <c r="L66" i="14"/>
  <c r="G66" i="14"/>
  <c r="H66" i="14"/>
  <c r="AD58" i="14"/>
  <c r="AC58" i="14"/>
  <c r="AA58" i="14"/>
  <c r="AB58" i="14"/>
  <c r="Z58" i="14"/>
  <c r="Y58" i="14"/>
  <c r="X58" i="14"/>
  <c r="W58" i="14"/>
  <c r="V58" i="14"/>
  <c r="T58" i="14"/>
  <c r="U58" i="14"/>
  <c r="R58" i="14"/>
  <c r="S58" i="14"/>
  <c r="P58" i="14"/>
  <c r="N58" i="14"/>
  <c r="O58" i="14"/>
  <c r="Q58" i="14"/>
  <c r="M58" i="14"/>
  <c r="J58" i="14"/>
  <c r="L58" i="14"/>
  <c r="K58" i="14"/>
  <c r="I58" i="14"/>
  <c r="F58" i="14"/>
  <c r="G58" i="14"/>
  <c r="H58" i="14"/>
  <c r="AD50" i="14"/>
  <c r="AC50" i="14"/>
  <c r="AB50" i="14"/>
  <c r="AA50" i="14"/>
  <c r="Z50" i="14"/>
  <c r="W50" i="14"/>
  <c r="Y50" i="14"/>
  <c r="X50" i="14"/>
  <c r="T50" i="14"/>
  <c r="V50" i="14"/>
  <c r="U50" i="14"/>
  <c r="R50" i="14"/>
  <c r="S50" i="14"/>
  <c r="Q50" i="14"/>
  <c r="N50" i="14"/>
  <c r="P50" i="14"/>
  <c r="O50" i="14"/>
  <c r="M50" i="14"/>
  <c r="J50" i="14"/>
  <c r="K50" i="14"/>
  <c r="L50" i="14"/>
  <c r="I50" i="14"/>
  <c r="F50" i="14"/>
  <c r="G50" i="14"/>
  <c r="H50" i="14"/>
  <c r="AD42" i="14"/>
  <c r="AC42" i="14"/>
  <c r="AA42" i="14"/>
  <c r="Z42" i="14"/>
  <c r="AB42" i="14"/>
  <c r="W42" i="14"/>
  <c r="Y42" i="14"/>
  <c r="X42" i="14"/>
  <c r="U42" i="14"/>
  <c r="T42" i="14"/>
  <c r="V42" i="14"/>
  <c r="R42" i="14"/>
  <c r="S42" i="14"/>
  <c r="P42" i="14"/>
  <c r="N42" i="14"/>
  <c r="O42" i="14"/>
  <c r="Q42" i="14"/>
  <c r="M42" i="14"/>
  <c r="J42" i="14"/>
  <c r="K42" i="14"/>
  <c r="L42" i="14"/>
  <c r="I42" i="14"/>
  <c r="F42" i="14"/>
  <c r="G42" i="14"/>
  <c r="H42" i="14"/>
  <c r="AD34" i="14"/>
  <c r="AC34" i="14"/>
  <c r="AB34" i="14"/>
  <c r="AA34" i="14"/>
  <c r="Z34" i="14"/>
  <c r="Y34" i="14"/>
  <c r="X34" i="14"/>
  <c r="W34" i="14"/>
  <c r="V34" i="14"/>
  <c r="T34" i="14"/>
  <c r="U34" i="14"/>
  <c r="S34" i="14"/>
  <c r="R34" i="14"/>
  <c r="Q34" i="14"/>
  <c r="N34" i="14"/>
  <c r="P34" i="14"/>
  <c r="O34" i="14"/>
  <c r="M34" i="14"/>
  <c r="K34" i="14"/>
  <c r="J34" i="14"/>
  <c r="L34" i="14"/>
  <c r="I34" i="14"/>
  <c r="F34" i="14"/>
  <c r="G34" i="14"/>
  <c r="H34" i="14"/>
  <c r="AD26" i="14"/>
  <c r="AB26" i="14"/>
  <c r="AA26" i="14"/>
  <c r="AC26" i="14"/>
  <c r="Z26" i="14"/>
  <c r="Y26" i="14"/>
  <c r="X26" i="14"/>
  <c r="W26" i="14"/>
  <c r="T26" i="14"/>
  <c r="V26" i="14"/>
  <c r="U26" i="14"/>
  <c r="R26" i="14"/>
  <c r="S26" i="14"/>
  <c r="P26" i="14"/>
  <c r="N26" i="14"/>
  <c r="O26" i="14"/>
  <c r="Q26" i="14"/>
  <c r="M26" i="14"/>
  <c r="J26" i="14"/>
  <c r="L26" i="14"/>
  <c r="I26" i="14"/>
  <c r="K26" i="14"/>
  <c r="F26" i="14"/>
  <c r="G26" i="14"/>
  <c r="H26" i="14"/>
  <c r="F404" i="14"/>
  <c r="F372" i="14"/>
  <c r="F340" i="14"/>
  <c r="F308" i="14"/>
  <c r="F244" i="14"/>
  <c r="F180" i="14"/>
  <c r="F116" i="14"/>
  <c r="F52" i="14"/>
  <c r="G395" i="14"/>
  <c r="G331" i="14"/>
  <c r="G267" i="14"/>
  <c r="G203" i="14"/>
  <c r="G139" i="14"/>
  <c r="AD409" i="14"/>
  <c r="AC409" i="14"/>
  <c r="AB409" i="14"/>
  <c r="AA409" i="14"/>
  <c r="Z409" i="14"/>
  <c r="Y409" i="14"/>
  <c r="V409" i="14"/>
  <c r="X409" i="14"/>
  <c r="W409" i="14"/>
  <c r="T409" i="14"/>
  <c r="U409" i="14"/>
  <c r="Q409" i="14"/>
  <c r="R409" i="14"/>
  <c r="S409" i="14"/>
  <c r="O409" i="14"/>
  <c r="P409" i="14"/>
  <c r="M409" i="14"/>
  <c r="N409" i="14"/>
  <c r="L409" i="14"/>
  <c r="K409" i="14"/>
  <c r="I409" i="14"/>
  <c r="J409" i="14"/>
  <c r="F409" i="14"/>
  <c r="G409" i="14"/>
  <c r="H409" i="14"/>
  <c r="AD401" i="14"/>
  <c r="AC401" i="14"/>
  <c r="AB401" i="14"/>
  <c r="AA401" i="14"/>
  <c r="Z401" i="14"/>
  <c r="Y401" i="14"/>
  <c r="V401" i="14"/>
  <c r="W401" i="14"/>
  <c r="T401" i="14"/>
  <c r="X401" i="14"/>
  <c r="U401" i="14"/>
  <c r="Q401" i="14"/>
  <c r="R401" i="14"/>
  <c r="S401" i="14"/>
  <c r="O401" i="14"/>
  <c r="P401" i="14"/>
  <c r="M401" i="14"/>
  <c r="N401" i="14"/>
  <c r="I401" i="14"/>
  <c r="J401" i="14"/>
  <c r="F401" i="14"/>
  <c r="G401" i="14"/>
  <c r="H401" i="14"/>
  <c r="L401" i="14"/>
  <c r="K401" i="14"/>
  <c r="AD393" i="14"/>
  <c r="AC393" i="14"/>
  <c r="AB393" i="14"/>
  <c r="AA393" i="14"/>
  <c r="Z393" i="14"/>
  <c r="Y393" i="14"/>
  <c r="X393" i="14"/>
  <c r="V393" i="14"/>
  <c r="W393" i="14"/>
  <c r="T393" i="14"/>
  <c r="Q393" i="14"/>
  <c r="R393" i="14"/>
  <c r="U393" i="14"/>
  <c r="O393" i="14"/>
  <c r="S393" i="14"/>
  <c r="P393" i="14"/>
  <c r="M393" i="14"/>
  <c r="N393" i="14"/>
  <c r="L393" i="14"/>
  <c r="I393" i="14"/>
  <c r="K393" i="14"/>
  <c r="J393" i="14"/>
  <c r="F393" i="14"/>
  <c r="G393" i="14"/>
  <c r="H393" i="14"/>
  <c r="AD385" i="14"/>
  <c r="AC385" i="14"/>
  <c r="AB385" i="14"/>
  <c r="AA385" i="14"/>
  <c r="Z385" i="14"/>
  <c r="Y385" i="14"/>
  <c r="V385" i="14"/>
  <c r="X385" i="14"/>
  <c r="W385" i="14"/>
  <c r="T385" i="14"/>
  <c r="U385" i="14"/>
  <c r="Q385" i="14"/>
  <c r="S385" i="14"/>
  <c r="R385" i="14"/>
  <c r="O385" i="14"/>
  <c r="P385" i="14"/>
  <c r="M385" i="14"/>
  <c r="N385" i="14"/>
  <c r="K385" i="14"/>
  <c r="I385" i="14"/>
  <c r="J385" i="14"/>
  <c r="F385" i="14"/>
  <c r="L385" i="14"/>
  <c r="G385" i="14"/>
  <c r="H385" i="14"/>
  <c r="AD377" i="14"/>
  <c r="AC377" i="14"/>
  <c r="AB377" i="14"/>
  <c r="AA377" i="14"/>
  <c r="Z377" i="14"/>
  <c r="Y377" i="14"/>
  <c r="X377" i="14"/>
  <c r="V377" i="14"/>
  <c r="W377" i="14"/>
  <c r="T377" i="14"/>
  <c r="U377" i="14"/>
  <c r="Q377" i="14"/>
  <c r="R377" i="14"/>
  <c r="S377" i="14"/>
  <c r="O377" i="14"/>
  <c r="P377" i="14"/>
  <c r="M377" i="14"/>
  <c r="N377" i="14"/>
  <c r="L377" i="14"/>
  <c r="I377" i="14"/>
  <c r="J377" i="14"/>
  <c r="F377" i="14"/>
  <c r="G377" i="14"/>
  <c r="K377" i="14"/>
  <c r="H377" i="14"/>
  <c r="AD369" i="14"/>
  <c r="AC369" i="14"/>
  <c r="AA369" i="14"/>
  <c r="AB369" i="14"/>
  <c r="Z369" i="14"/>
  <c r="Y369" i="14"/>
  <c r="X369" i="14"/>
  <c r="V369" i="14"/>
  <c r="W369" i="14"/>
  <c r="T369" i="14"/>
  <c r="U369" i="14"/>
  <c r="Q369" i="14"/>
  <c r="R369" i="14"/>
  <c r="S369" i="14"/>
  <c r="O369" i="14"/>
  <c r="P369" i="14"/>
  <c r="M369" i="14"/>
  <c r="N369" i="14"/>
  <c r="L369" i="14"/>
  <c r="K369" i="14"/>
  <c r="I369" i="14"/>
  <c r="J369" i="14"/>
  <c r="F369" i="14"/>
  <c r="G369" i="14"/>
  <c r="H369" i="14"/>
  <c r="AD361" i="14"/>
  <c r="AC361" i="14"/>
  <c r="AB361" i="14"/>
  <c r="AA361" i="14"/>
  <c r="Z361" i="14"/>
  <c r="Y361" i="14"/>
  <c r="V361" i="14"/>
  <c r="X361" i="14"/>
  <c r="W361" i="14"/>
  <c r="T361" i="14"/>
  <c r="Q361" i="14"/>
  <c r="U361" i="14"/>
  <c r="R361" i="14"/>
  <c r="S361" i="14"/>
  <c r="O361" i="14"/>
  <c r="P361" i="14"/>
  <c r="M361" i="14"/>
  <c r="N361" i="14"/>
  <c r="L361" i="14"/>
  <c r="K361" i="14"/>
  <c r="I361" i="14"/>
  <c r="F361" i="14"/>
  <c r="G361" i="14"/>
  <c r="J361" i="14"/>
  <c r="H361" i="14"/>
  <c r="AD353" i="14"/>
  <c r="AC353" i="14"/>
  <c r="AB353" i="14"/>
  <c r="Z353" i="14"/>
  <c r="AA353" i="14"/>
  <c r="Y353" i="14"/>
  <c r="X353" i="14"/>
  <c r="V353" i="14"/>
  <c r="W353" i="14"/>
  <c r="T353" i="14"/>
  <c r="U353" i="14"/>
  <c r="Q353" i="14"/>
  <c r="S353" i="14"/>
  <c r="R353" i="14"/>
  <c r="O353" i="14"/>
  <c r="P353" i="14"/>
  <c r="M353" i="14"/>
  <c r="N353" i="14"/>
  <c r="J353" i="14"/>
  <c r="L353" i="14"/>
  <c r="I353" i="14"/>
  <c r="F353" i="14"/>
  <c r="K353" i="14"/>
  <c r="G353" i="14"/>
  <c r="H353" i="14"/>
  <c r="AD345" i="14"/>
  <c r="AC345" i="14"/>
  <c r="AB345" i="14"/>
  <c r="Z345" i="14"/>
  <c r="Y345" i="14"/>
  <c r="X345" i="14"/>
  <c r="V345" i="14"/>
  <c r="AA345" i="14"/>
  <c r="W345" i="14"/>
  <c r="T345" i="14"/>
  <c r="U345" i="14"/>
  <c r="Q345" i="14"/>
  <c r="R345" i="14"/>
  <c r="S345" i="14"/>
  <c r="O345" i="14"/>
  <c r="P345" i="14"/>
  <c r="M345" i="14"/>
  <c r="N345" i="14"/>
  <c r="L345" i="14"/>
  <c r="K345" i="14"/>
  <c r="J345" i="14"/>
  <c r="I345" i="14"/>
  <c r="F345" i="14"/>
  <c r="G345" i="14"/>
  <c r="H345" i="14"/>
  <c r="AD337" i="14"/>
  <c r="AC337" i="14"/>
  <c r="Z337" i="14"/>
  <c r="AB337" i="14"/>
  <c r="AA337" i="14"/>
  <c r="Y337" i="14"/>
  <c r="V337" i="14"/>
  <c r="W337" i="14"/>
  <c r="T337" i="14"/>
  <c r="X337" i="14"/>
  <c r="U337" i="14"/>
  <c r="S337" i="14"/>
  <c r="Q337" i="14"/>
  <c r="R337" i="14"/>
  <c r="O337" i="14"/>
  <c r="P337" i="14"/>
  <c r="M337" i="14"/>
  <c r="N337" i="14"/>
  <c r="I337" i="14"/>
  <c r="J337" i="14"/>
  <c r="F337" i="14"/>
  <c r="G337" i="14"/>
  <c r="H337" i="14"/>
  <c r="L337" i="14"/>
  <c r="K337" i="14"/>
  <c r="AD329" i="14"/>
  <c r="AC329" i="14"/>
  <c r="AA329" i="14"/>
  <c r="AB329" i="14"/>
  <c r="Z329" i="14"/>
  <c r="Y329" i="14"/>
  <c r="X329" i="14"/>
  <c r="V329" i="14"/>
  <c r="W329" i="14"/>
  <c r="T329" i="14"/>
  <c r="U329" i="14"/>
  <c r="Q329" i="14"/>
  <c r="R329" i="14"/>
  <c r="S329" i="14"/>
  <c r="O329" i="14"/>
  <c r="P329" i="14"/>
  <c r="M329" i="14"/>
  <c r="N329" i="14"/>
  <c r="L329" i="14"/>
  <c r="I329" i="14"/>
  <c r="K329" i="14"/>
  <c r="F329" i="14"/>
  <c r="G329" i="14"/>
  <c r="J329" i="14"/>
  <c r="H329" i="14"/>
  <c r="AC321" i="14"/>
  <c r="AB321" i="14"/>
  <c r="AD321" i="14"/>
  <c r="Z321" i="14"/>
  <c r="AA321" i="14"/>
  <c r="Y321" i="14"/>
  <c r="V321" i="14"/>
  <c r="X321" i="14"/>
  <c r="W321" i="14"/>
  <c r="T321" i="14"/>
  <c r="U321" i="14"/>
  <c r="S321" i="14"/>
  <c r="Q321" i="14"/>
  <c r="R321" i="14"/>
  <c r="O321" i="14"/>
  <c r="P321" i="14"/>
  <c r="M321" i="14"/>
  <c r="N321" i="14"/>
  <c r="J321" i="14"/>
  <c r="K321" i="14"/>
  <c r="I321" i="14"/>
  <c r="F321" i="14"/>
  <c r="L321" i="14"/>
  <c r="G321" i="14"/>
  <c r="H321" i="14"/>
  <c r="AD313" i="14"/>
  <c r="AC313" i="14"/>
  <c r="Z313" i="14"/>
  <c r="AA313" i="14"/>
  <c r="Y313" i="14"/>
  <c r="X313" i="14"/>
  <c r="V313" i="14"/>
  <c r="W313" i="14"/>
  <c r="T313" i="14"/>
  <c r="AB313" i="14"/>
  <c r="U313" i="14"/>
  <c r="Q313" i="14"/>
  <c r="R313" i="14"/>
  <c r="S313" i="14"/>
  <c r="O313" i="14"/>
  <c r="P313" i="14"/>
  <c r="M313" i="14"/>
  <c r="N313" i="14"/>
  <c r="L313" i="14"/>
  <c r="J313" i="14"/>
  <c r="I313" i="14"/>
  <c r="F313" i="14"/>
  <c r="G313" i="14"/>
  <c r="K313" i="14"/>
  <c r="H313" i="14"/>
  <c r="AC305" i="14"/>
  <c r="AD305" i="14"/>
  <c r="AA305" i="14"/>
  <c r="Z305" i="14"/>
  <c r="AB305" i="14"/>
  <c r="Y305" i="14"/>
  <c r="X305" i="14"/>
  <c r="V305" i="14"/>
  <c r="W305" i="14"/>
  <c r="T305" i="14"/>
  <c r="U305" i="14"/>
  <c r="S305" i="14"/>
  <c r="Q305" i="14"/>
  <c r="R305" i="14"/>
  <c r="O305" i="14"/>
  <c r="P305" i="14"/>
  <c r="M305" i="14"/>
  <c r="N305" i="14"/>
  <c r="L305" i="14"/>
  <c r="K305" i="14"/>
  <c r="I305" i="14"/>
  <c r="J305" i="14"/>
  <c r="F305" i="14"/>
  <c r="G305" i="14"/>
  <c r="H305" i="14"/>
  <c r="AD297" i="14"/>
  <c r="AC297" i="14"/>
  <c r="AB297" i="14"/>
  <c r="AA297" i="14"/>
  <c r="Z297" i="14"/>
  <c r="Y297" i="14"/>
  <c r="V297" i="14"/>
  <c r="X297" i="14"/>
  <c r="W297" i="14"/>
  <c r="T297" i="14"/>
  <c r="Q297" i="14"/>
  <c r="R297" i="14"/>
  <c r="S297" i="14"/>
  <c r="U297" i="14"/>
  <c r="O297" i="14"/>
  <c r="P297" i="14"/>
  <c r="M297" i="14"/>
  <c r="N297" i="14"/>
  <c r="L297" i="14"/>
  <c r="K297" i="14"/>
  <c r="I297" i="14"/>
  <c r="F297" i="14"/>
  <c r="G297" i="14"/>
  <c r="J297" i="14"/>
  <c r="H297" i="14"/>
  <c r="AC289" i="14"/>
  <c r="AD289" i="14"/>
  <c r="AB289" i="14"/>
  <c r="Z289" i="14"/>
  <c r="AA289" i="14"/>
  <c r="Y289" i="14"/>
  <c r="X289" i="14"/>
  <c r="V289" i="14"/>
  <c r="W289" i="14"/>
  <c r="T289" i="14"/>
  <c r="U289" i="14"/>
  <c r="S289" i="14"/>
  <c r="Q289" i="14"/>
  <c r="R289" i="14"/>
  <c r="O289" i="14"/>
  <c r="P289" i="14"/>
  <c r="M289" i="14"/>
  <c r="N289" i="14"/>
  <c r="J289" i="14"/>
  <c r="L289" i="14"/>
  <c r="I289" i="14"/>
  <c r="F289" i="14"/>
  <c r="K289" i="14"/>
  <c r="G289" i="14"/>
  <c r="H289" i="14"/>
  <c r="AC281" i="14"/>
  <c r="AD281" i="14"/>
  <c r="AB281" i="14"/>
  <c r="Z281" i="14"/>
  <c r="Y281" i="14"/>
  <c r="AA281" i="14"/>
  <c r="X281" i="14"/>
  <c r="V281" i="14"/>
  <c r="W281" i="14"/>
  <c r="T281" i="14"/>
  <c r="U281" i="14"/>
  <c r="Q281" i="14"/>
  <c r="R281" i="14"/>
  <c r="S281" i="14"/>
  <c r="O281" i="14"/>
  <c r="P281" i="14"/>
  <c r="M281" i="14"/>
  <c r="N281" i="14"/>
  <c r="L281" i="14"/>
  <c r="K281" i="14"/>
  <c r="J281" i="14"/>
  <c r="I281" i="14"/>
  <c r="F281" i="14"/>
  <c r="G281" i="14"/>
  <c r="H281" i="14"/>
  <c r="AC273" i="14"/>
  <c r="AD273" i="14"/>
  <c r="AB273" i="14"/>
  <c r="Z273" i="14"/>
  <c r="AA273" i="14"/>
  <c r="Y273" i="14"/>
  <c r="V273" i="14"/>
  <c r="W273" i="14"/>
  <c r="X273" i="14"/>
  <c r="T273" i="14"/>
  <c r="U273" i="14"/>
  <c r="S273" i="14"/>
  <c r="Q273" i="14"/>
  <c r="R273" i="14"/>
  <c r="O273" i="14"/>
  <c r="P273" i="14"/>
  <c r="M273" i="14"/>
  <c r="N273" i="14"/>
  <c r="I273" i="14"/>
  <c r="J273" i="14"/>
  <c r="F273" i="14"/>
  <c r="G273" i="14"/>
  <c r="H273" i="14"/>
  <c r="L273" i="14"/>
  <c r="K273" i="14"/>
  <c r="AC265" i="14"/>
  <c r="AD265" i="14"/>
  <c r="AB265" i="14"/>
  <c r="AA265" i="14"/>
  <c r="Z265" i="14"/>
  <c r="Y265" i="14"/>
  <c r="X265" i="14"/>
  <c r="V265" i="14"/>
  <c r="W265" i="14"/>
  <c r="T265" i="14"/>
  <c r="Q265" i="14"/>
  <c r="R265" i="14"/>
  <c r="U265" i="14"/>
  <c r="S265" i="14"/>
  <c r="O265" i="14"/>
  <c r="P265" i="14"/>
  <c r="M265" i="14"/>
  <c r="N265" i="14"/>
  <c r="L265" i="14"/>
  <c r="I265" i="14"/>
  <c r="K265" i="14"/>
  <c r="F265" i="14"/>
  <c r="G265" i="14"/>
  <c r="J265" i="14"/>
  <c r="H265" i="14"/>
  <c r="AC257" i="14"/>
  <c r="AD257" i="14"/>
  <c r="AB257" i="14"/>
  <c r="Z257" i="14"/>
  <c r="AA257" i="14"/>
  <c r="Y257" i="14"/>
  <c r="V257" i="14"/>
  <c r="X257" i="14"/>
  <c r="W257" i="14"/>
  <c r="T257" i="14"/>
  <c r="U257" i="14"/>
  <c r="S257" i="14"/>
  <c r="Q257" i="14"/>
  <c r="R257" i="14"/>
  <c r="O257" i="14"/>
  <c r="P257" i="14"/>
  <c r="M257" i="14"/>
  <c r="N257" i="14"/>
  <c r="J257" i="14"/>
  <c r="K257" i="14"/>
  <c r="I257" i="14"/>
  <c r="F257" i="14"/>
  <c r="L257" i="14"/>
  <c r="G257" i="14"/>
  <c r="H257" i="14"/>
  <c r="AC249" i="14"/>
  <c r="AD249" i="14"/>
  <c r="Z249" i="14"/>
  <c r="AB249" i="14"/>
  <c r="AA249" i="14"/>
  <c r="Y249" i="14"/>
  <c r="X249" i="14"/>
  <c r="V249" i="14"/>
  <c r="W249" i="14"/>
  <c r="T249" i="14"/>
  <c r="U249" i="14"/>
  <c r="Q249" i="14"/>
  <c r="R249" i="14"/>
  <c r="S249" i="14"/>
  <c r="P249" i="14"/>
  <c r="O249" i="14"/>
  <c r="N249" i="14"/>
  <c r="M249" i="14"/>
  <c r="L249" i="14"/>
  <c r="J249" i="14"/>
  <c r="I249" i="14"/>
  <c r="F249" i="14"/>
  <c r="G249" i="14"/>
  <c r="K249" i="14"/>
  <c r="H249" i="14"/>
  <c r="AC241" i="14"/>
  <c r="AD241" i="14"/>
  <c r="Z241" i="14"/>
  <c r="AA241" i="14"/>
  <c r="AB241" i="14"/>
  <c r="Y241" i="14"/>
  <c r="X241" i="14"/>
  <c r="V241" i="14"/>
  <c r="W241" i="14"/>
  <c r="T241" i="14"/>
  <c r="U241" i="14"/>
  <c r="S241" i="14"/>
  <c r="Q241" i="14"/>
  <c r="R241" i="14"/>
  <c r="P241" i="14"/>
  <c r="O241" i="14"/>
  <c r="M241" i="14"/>
  <c r="N241" i="14"/>
  <c r="L241" i="14"/>
  <c r="K241" i="14"/>
  <c r="I241" i="14"/>
  <c r="J241" i="14"/>
  <c r="F241" i="14"/>
  <c r="G241" i="14"/>
  <c r="H241" i="14"/>
  <c r="AC233" i="14"/>
  <c r="AD233" i="14"/>
  <c r="AB233" i="14"/>
  <c r="Z233" i="14"/>
  <c r="AA233" i="14"/>
  <c r="Y233" i="14"/>
  <c r="V233" i="14"/>
  <c r="X233" i="14"/>
  <c r="W233" i="14"/>
  <c r="T233" i="14"/>
  <c r="Q233" i="14"/>
  <c r="U233" i="14"/>
  <c r="R233" i="14"/>
  <c r="S233" i="14"/>
  <c r="P233" i="14"/>
  <c r="O233" i="14"/>
  <c r="M233" i="14"/>
  <c r="N233" i="14"/>
  <c r="L233" i="14"/>
  <c r="K233" i="14"/>
  <c r="I233" i="14"/>
  <c r="F233" i="14"/>
  <c r="G233" i="14"/>
  <c r="J233" i="14"/>
  <c r="H233" i="14"/>
  <c r="AC225" i="14"/>
  <c r="AD225" i="14"/>
  <c r="AB225" i="14"/>
  <c r="Z225" i="14"/>
  <c r="AA225" i="14"/>
  <c r="Y225" i="14"/>
  <c r="X225" i="14"/>
  <c r="V225" i="14"/>
  <c r="W225" i="14"/>
  <c r="T225" i="14"/>
  <c r="U225" i="14"/>
  <c r="S225" i="14"/>
  <c r="Q225" i="14"/>
  <c r="R225" i="14"/>
  <c r="P225" i="14"/>
  <c r="O225" i="14"/>
  <c r="M225" i="14"/>
  <c r="N225" i="14"/>
  <c r="L225" i="14"/>
  <c r="J225" i="14"/>
  <c r="I225" i="14"/>
  <c r="F225" i="14"/>
  <c r="K225" i="14"/>
  <c r="G225" i="14"/>
  <c r="H225" i="14"/>
  <c r="AC217" i="14"/>
  <c r="AD217" i="14"/>
  <c r="AB217" i="14"/>
  <c r="Z217" i="14"/>
  <c r="Y217" i="14"/>
  <c r="X217" i="14"/>
  <c r="V217" i="14"/>
  <c r="W217" i="14"/>
  <c r="T217" i="14"/>
  <c r="AA217" i="14"/>
  <c r="U217" i="14"/>
  <c r="Q217" i="14"/>
  <c r="R217" i="14"/>
  <c r="S217" i="14"/>
  <c r="P217" i="14"/>
  <c r="O217" i="14"/>
  <c r="N217" i="14"/>
  <c r="M217" i="14"/>
  <c r="L217" i="14"/>
  <c r="K217" i="14"/>
  <c r="I217" i="14"/>
  <c r="J217" i="14"/>
  <c r="F217" i="14"/>
  <c r="G217" i="14"/>
  <c r="H217" i="14"/>
  <c r="AC209" i="14"/>
  <c r="AD209" i="14"/>
  <c r="Z209" i="14"/>
  <c r="AA209" i="14"/>
  <c r="AB209" i="14"/>
  <c r="Y209" i="14"/>
  <c r="V209" i="14"/>
  <c r="W209" i="14"/>
  <c r="T209" i="14"/>
  <c r="X209" i="14"/>
  <c r="U209" i="14"/>
  <c r="S209" i="14"/>
  <c r="Q209" i="14"/>
  <c r="R209" i="14"/>
  <c r="P209" i="14"/>
  <c r="O209" i="14"/>
  <c r="M209" i="14"/>
  <c r="N209" i="14"/>
  <c r="I209" i="14"/>
  <c r="F209" i="14"/>
  <c r="G209" i="14"/>
  <c r="H209" i="14"/>
  <c r="L209" i="14"/>
  <c r="K209" i="14"/>
  <c r="J209" i="14"/>
  <c r="AC201" i="14"/>
  <c r="AD201" i="14"/>
  <c r="Z201" i="14"/>
  <c r="AA201" i="14"/>
  <c r="AB201" i="14"/>
  <c r="Y201" i="14"/>
  <c r="X201" i="14"/>
  <c r="V201" i="14"/>
  <c r="W201" i="14"/>
  <c r="T201" i="14"/>
  <c r="U201" i="14"/>
  <c r="Q201" i="14"/>
  <c r="R201" i="14"/>
  <c r="S201" i="14"/>
  <c r="P201" i="14"/>
  <c r="O201" i="14"/>
  <c r="M201" i="14"/>
  <c r="N201" i="14"/>
  <c r="J201" i="14"/>
  <c r="L201" i="14"/>
  <c r="I201" i="14"/>
  <c r="F201" i="14"/>
  <c r="K201" i="14"/>
  <c r="G201" i="14"/>
  <c r="H201" i="14"/>
  <c r="AC193" i="14"/>
  <c r="AD193" i="14"/>
  <c r="AB193" i="14"/>
  <c r="AA193" i="14"/>
  <c r="Z193" i="14"/>
  <c r="Y193" i="14"/>
  <c r="V193" i="14"/>
  <c r="X193" i="14"/>
  <c r="W193" i="14"/>
  <c r="T193" i="14"/>
  <c r="U193" i="14"/>
  <c r="S193" i="14"/>
  <c r="Q193" i="14"/>
  <c r="R193" i="14"/>
  <c r="P193" i="14"/>
  <c r="O193" i="14"/>
  <c r="M193" i="14"/>
  <c r="J193" i="14"/>
  <c r="N193" i="14"/>
  <c r="K193" i="14"/>
  <c r="I193" i="14"/>
  <c r="F193" i="14"/>
  <c r="L193" i="14"/>
  <c r="G193" i="14"/>
  <c r="H193" i="14"/>
  <c r="AC185" i="14"/>
  <c r="AD185" i="14"/>
  <c r="AA185" i="14"/>
  <c r="Z185" i="14"/>
  <c r="AB185" i="14"/>
  <c r="X185" i="14"/>
  <c r="Y185" i="14"/>
  <c r="V185" i="14"/>
  <c r="W185" i="14"/>
  <c r="T185" i="14"/>
  <c r="U185" i="14"/>
  <c r="Q185" i="14"/>
  <c r="R185" i="14"/>
  <c r="S185" i="14"/>
  <c r="P185" i="14"/>
  <c r="O185" i="14"/>
  <c r="N185" i="14"/>
  <c r="M185" i="14"/>
  <c r="J185" i="14"/>
  <c r="L185" i="14"/>
  <c r="K185" i="14"/>
  <c r="I185" i="14"/>
  <c r="F185" i="14"/>
  <c r="G185" i="14"/>
  <c r="H185" i="14"/>
  <c r="AC177" i="14"/>
  <c r="AD177" i="14"/>
  <c r="AA177" i="14"/>
  <c r="Z177" i="14"/>
  <c r="AB177" i="14"/>
  <c r="X177" i="14"/>
  <c r="Y177" i="14"/>
  <c r="V177" i="14"/>
  <c r="W177" i="14"/>
  <c r="T177" i="14"/>
  <c r="U177" i="14"/>
  <c r="S177" i="14"/>
  <c r="Q177" i="14"/>
  <c r="R177" i="14"/>
  <c r="P177" i="14"/>
  <c r="O177" i="14"/>
  <c r="M177" i="14"/>
  <c r="J177" i="14"/>
  <c r="N177" i="14"/>
  <c r="L177" i="14"/>
  <c r="I177" i="14"/>
  <c r="F177" i="14"/>
  <c r="G177" i="14"/>
  <c r="H177" i="14"/>
  <c r="K177" i="14"/>
  <c r="AC169" i="14"/>
  <c r="AD169" i="14"/>
  <c r="AB169" i="14"/>
  <c r="AA169" i="14"/>
  <c r="Z169" i="14"/>
  <c r="X169" i="14"/>
  <c r="Y169" i="14"/>
  <c r="V169" i="14"/>
  <c r="W169" i="14"/>
  <c r="T169" i="14"/>
  <c r="Q169" i="14"/>
  <c r="R169" i="14"/>
  <c r="S169" i="14"/>
  <c r="U169" i="14"/>
  <c r="P169" i="14"/>
  <c r="O169" i="14"/>
  <c r="M169" i="14"/>
  <c r="N169" i="14"/>
  <c r="J169" i="14"/>
  <c r="L169" i="14"/>
  <c r="I169" i="14"/>
  <c r="F169" i="14"/>
  <c r="K169" i="14"/>
  <c r="G169" i="14"/>
  <c r="H169" i="14"/>
  <c r="AC161" i="14"/>
  <c r="AD161" i="14"/>
  <c r="AA161" i="14"/>
  <c r="AB161" i="14"/>
  <c r="Z161" i="14"/>
  <c r="X161" i="14"/>
  <c r="Y161" i="14"/>
  <c r="V161" i="14"/>
  <c r="W161" i="14"/>
  <c r="T161" i="14"/>
  <c r="U161" i="14"/>
  <c r="S161" i="14"/>
  <c r="Q161" i="14"/>
  <c r="R161" i="14"/>
  <c r="P161" i="14"/>
  <c r="O161" i="14"/>
  <c r="M161" i="14"/>
  <c r="J161" i="14"/>
  <c r="N161" i="14"/>
  <c r="L161" i="14"/>
  <c r="K161" i="14"/>
  <c r="I161" i="14"/>
  <c r="F161" i="14"/>
  <c r="G161" i="14"/>
  <c r="H161" i="14"/>
  <c r="AC153" i="14"/>
  <c r="AD153" i="14"/>
  <c r="AB153" i="14"/>
  <c r="AA153" i="14"/>
  <c r="Z153" i="14"/>
  <c r="X153" i="14"/>
  <c r="Y153" i="14"/>
  <c r="V153" i="14"/>
  <c r="W153" i="14"/>
  <c r="T153" i="14"/>
  <c r="U153" i="14"/>
  <c r="Q153" i="14"/>
  <c r="R153" i="14"/>
  <c r="S153" i="14"/>
  <c r="P153" i="14"/>
  <c r="O153" i="14"/>
  <c r="N153" i="14"/>
  <c r="M153" i="14"/>
  <c r="J153" i="14"/>
  <c r="L153" i="14"/>
  <c r="K153" i="14"/>
  <c r="I153" i="14"/>
  <c r="F153" i="14"/>
  <c r="G153" i="14"/>
  <c r="H153" i="14"/>
  <c r="AC145" i="14"/>
  <c r="AB145" i="14"/>
  <c r="AD145" i="14"/>
  <c r="AA145" i="14"/>
  <c r="Z145" i="14"/>
  <c r="X145" i="14"/>
  <c r="Y145" i="14"/>
  <c r="V145" i="14"/>
  <c r="W145" i="14"/>
  <c r="T145" i="14"/>
  <c r="U145" i="14"/>
  <c r="S145" i="14"/>
  <c r="Q145" i="14"/>
  <c r="R145" i="14"/>
  <c r="P145" i="14"/>
  <c r="O145" i="14"/>
  <c r="M145" i="14"/>
  <c r="J145" i="14"/>
  <c r="N145" i="14"/>
  <c r="I145" i="14"/>
  <c r="F145" i="14"/>
  <c r="G145" i="14"/>
  <c r="H145" i="14"/>
  <c r="L145" i="14"/>
  <c r="K145" i="14"/>
  <c r="AC137" i="14"/>
  <c r="AD137" i="14"/>
  <c r="AB137" i="14"/>
  <c r="AA137" i="14"/>
  <c r="Z137" i="14"/>
  <c r="X137" i="14"/>
  <c r="Y137" i="14"/>
  <c r="V137" i="14"/>
  <c r="W137" i="14"/>
  <c r="T137" i="14"/>
  <c r="Q137" i="14"/>
  <c r="R137" i="14"/>
  <c r="U137" i="14"/>
  <c r="S137" i="14"/>
  <c r="P137" i="14"/>
  <c r="O137" i="14"/>
  <c r="M137" i="14"/>
  <c r="N137" i="14"/>
  <c r="J137" i="14"/>
  <c r="L137" i="14"/>
  <c r="I137" i="14"/>
  <c r="F137" i="14"/>
  <c r="K137" i="14"/>
  <c r="G137" i="14"/>
  <c r="H137" i="14"/>
  <c r="AC129" i="14"/>
  <c r="AB129" i="14"/>
  <c r="AD129" i="14"/>
  <c r="AA129" i="14"/>
  <c r="Z129" i="14"/>
  <c r="X129" i="14"/>
  <c r="Y129" i="14"/>
  <c r="V129" i="14"/>
  <c r="W129" i="14"/>
  <c r="T129" i="14"/>
  <c r="U129" i="14"/>
  <c r="S129" i="14"/>
  <c r="Q129" i="14"/>
  <c r="R129" i="14"/>
  <c r="P129" i="14"/>
  <c r="O129" i="14"/>
  <c r="M129" i="14"/>
  <c r="J129" i="14"/>
  <c r="N129" i="14"/>
  <c r="K129" i="14"/>
  <c r="I129" i="14"/>
  <c r="F129" i="14"/>
  <c r="L129" i="14"/>
  <c r="G129" i="14"/>
  <c r="H129" i="14"/>
  <c r="AC121" i="14"/>
  <c r="AD121" i="14"/>
  <c r="AB121" i="14"/>
  <c r="AA121" i="14"/>
  <c r="Z121" i="14"/>
  <c r="X121" i="14"/>
  <c r="Y121" i="14"/>
  <c r="V121" i="14"/>
  <c r="W121" i="14"/>
  <c r="T121" i="14"/>
  <c r="U121" i="14"/>
  <c r="Q121" i="14"/>
  <c r="R121" i="14"/>
  <c r="S121" i="14"/>
  <c r="P121" i="14"/>
  <c r="O121" i="14"/>
  <c r="N121" i="14"/>
  <c r="M121" i="14"/>
  <c r="J121" i="14"/>
  <c r="L121" i="14"/>
  <c r="K121" i="14"/>
  <c r="I121" i="14"/>
  <c r="F121" i="14"/>
  <c r="G121" i="14"/>
  <c r="H121" i="14"/>
  <c r="AC113" i="14"/>
  <c r="AD113" i="14"/>
  <c r="AB113" i="14"/>
  <c r="AA113" i="14"/>
  <c r="Z113" i="14"/>
  <c r="X113" i="14"/>
  <c r="Y113" i="14"/>
  <c r="V113" i="14"/>
  <c r="W113" i="14"/>
  <c r="T113" i="14"/>
  <c r="U113" i="14"/>
  <c r="S113" i="14"/>
  <c r="Q113" i="14"/>
  <c r="R113" i="14"/>
  <c r="P113" i="14"/>
  <c r="O113" i="14"/>
  <c r="M113" i="14"/>
  <c r="J113" i="14"/>
  <c r="N113" i="14"/>
  <c r="L113" i="14"/>
  <c r="I113" i="14"/>
  <c r="F113" i="14"/>
  <c r="G113" i="14"/>
  <c r="H113" i="14"/>
  <c r="K113" i="14"/>
  <c r="AC105" i="14"/>
  <c r="AD105" i="14"/>
  <c r="AB105" i="14"/>
  <c r="AA105" i="14"/>
  <c r="Z105" i="14"/>
  <c r="X105" i="14"/>
  <c r="Y105" i="14"/>
  <c r="V105" i="14"/>
  <c r="W105" i="14"/>
  <c r="T105" i="14"/>
  <c r="Q105" i="14"/>
  <c r="U105" i="14"/>
  <c r="R105" i="14"/>
  <c r="S105" i="14"/>
  <c r="P105" i="14"/>
  <c r="O105" i="14"/>
  <c r="M105" i="14"/>
  <c r="N105" i="14"/>
  <c r="J105" i="14"/>
  <c r="L105" i="14"/>
  <c r="I105" i="14"/>
  <c r="F105" i="14"/>
  <c r="K105" i="14"/>
  <c r="G105" i="14"/>
  <c r="H105" i="14"/>
  <c r="AC97" i="14"/>
  <c r="AD97" i="14"/>
  <c r="AB97" i="14"/>
  <c r="AA97" i="14"/>
  <c r="Z97" i="14"/>
  <c r="X97" i="14"/>
  <c r="Y97" i="14"/>
  <c r="V97" i="14"/>
  <c r="W97" i="14"/>
  <c r="T97" i="14"/>
  <c r="U97" i="14"/>
  <c r="S97" i="14"/>
  <c r="Q97" i="14"/>
  <c r="R97" i="14"/>
  <c r="P97" i="14"/>
  <c r="O97" i="14"/>
  <c r="M97" i="14"/>
  <c r="J97" i="14"/>
  <c r="N97" i="14"/>
  <c r="L97" i="14"/>
  <c r="K97" i="14"/>
  <c r="I97" i="14"/>
  <c r="F97" i="14"/>
  <c r="G97" i="14"/>
  <c r="H97" i="14"/>
  <c r="AC89" i="14"/>
  <c r="AD89" i="14"/>
  <c r="AB89" i="14"/>
  <c r="AA89" i="14"/>
  <c r="Z89" i="14"/>
  <c r="X89" i="14"/>
  <c r="Y89" i="14"/>
  <c r="V89" i="14"/>
  <c r="W89" i="14"/>
  <c r="T89" i="14"/>
  <c r="U89" i="14"/>
  <c r="S89" i="14"/>
  <c r="Q89" i="14"/>
  <c r="R89" i="14"/>
  <c r="P89" i="14"/>
  <c r="O89" i="14"/>
  <c r="N89" i="14"/>
  <c r="M89" i="14"/>
  <c r="J89" i="14"/>
  <c r="L89" i="14"/>
  <c r="K89" i="14"/>
  <c r="I89" i="14"/>
  <c r="F89" i="14"/>
  <c r="G89" i="14"/>
  <c r="H89" i="14"/>
  <c r="AC81" i="14"/>
  <c r="AB81" i="14"/>
  <c r="AD81" i="14"/>
  <c r="AA81" i="14"/>
  <c r="Z81" i="14"/>
  <c r="X81" i="14"/>
  <c r="Y81" i="14"/>
  <c r="V81" i="14"/>
  <c r="W81" i="14"/>
  <c r="T81" i="14"/>
  <c r="U81" i="14"/>
  <c r="S81" i="14"/>
  <c r="Q81" i="14"/>
  <c r="R81" i="14"/>
  <c r="P81" i="14"/>
  <c r="O81" i="14"/>
  <c r="M81" i="14"/>
  <c r="J81" i="14"/>
  <c r="N81" i="14"/>
  <c r="K81" i="14"/>
  <c r="I81" i="14"/>
  <c r="F81" i="14"/>
  <c r="G81" i="14"/>
  <c r="H81" i="14"/>
  <c r="L81" i="14"/>
  <c r="AC73" i="14"/>
  <c r="AD73" i="14"/>
  <c r="AB73" i="14"/>
  <c r="AA73" i="14"/>
  <c r="Z73" i="14"/>
  <c r="X73" i="14"/>
  <c r="Y73" i="14"/>
  <c r="V73" i="14"/>
  <c r="W73" i="14"/>
  <c r="U73" i="14"/>
  <c r="T73" i="14"/>
  <c r="S73" i="14"/>
  <c r="Q73" i="14"/>
  <c r="R73" i="14"/>
  <c r="P73" i="14"/>
  <c r="O73" i="14"/>
  <c r="K73" i="14"/>
  <c r="M73" i="14"/>
  <c r="N73" i="14"/>
  <c r="J73" i="14"/>
  <c r="L73" i="14"/>
  <c r="I73" i="14"/>
  <c r="F73" i="14"/>
  <c r="G73" i="14"/>
  <c r="H73" i="14"/>
  <c r="AC65" i="14"/>
  <c r="AB65" i="14"/>
  <c r="AA65" i="14"/>
  <c r="AD65" i="14"/>
  <c r="Z65" i="14"/>
  <c r="X65" i="14"/>
  <c r="Y65" i="14"/>
  <c r="V65" i="14"/>
  <c r="W65" i="14"/>
  <c r="T65" i="14"/>
  <c r="S65" i="14"/>
  <c r="U65" i="14"/>
  <c r="Q65" i="14"/>
  <c r="R65" i="14"/>
  <c r="P65" i="14"/>
  <c r="O65" i="14"/>
  <c r="K65" i="14"/>
  <c r="M65" i="14"/>
  <c r="J65" i="14"/>
  <c r="N65" i="14"/>
  <c r="I65" i="14"/>
  <c r="F65" i="14"/>
  <c r="L65" i="14"/>
  <c r="G65" i="14"/>
  <c r="H65" i="14"/>
  <c r="AC57" i="14"/>
  <c r="AD57" i="14"/>
  <c r="AB57" i="14"/>
  <c r="AA57" i="14"/>
  <c r="Z57" i="14"/>
  <c r="X57" i="14"/>
  <c r="Y57" i="14"/>
  <c r="V57" i="14"/>
  <c r="W57" i="14"/>
  <c r="T57" i="14"/>
  <c r="U57" i="14"/>
  <c r="S57" i="14"/>
  <c r="Q57" i="14"/>
  <c r="R57" i="14"/>
  <c r="P57" i="14"/>
  <c r="O57" i="14"/>
  <c r="K57" i="14"/>
  <c r="M57" i="14"/>
  <c r="J57" i="14"/>
  <c r="N57" i="14"/>
  <c r="L57" i="14"/>
  <c r="I57" i="14"/>
  <c r="F57" i="14"/>
  <c r="G57" i="14"/>
  <c r="H57" i="14"/>
  <c r="AC49" i="14"/>
  <c r="AD49" i="14"/>
  <c r="AB49" i="14"/>
  <c r="AA49" i="14"/>
  <c r="Z49" i="14"/>
  <c r="W49" i="14"/>
  <c r="X49" i="14"/>
  <c r="Y49" i="14"/>
  <c r="V49" i="14"/>
  <c r="T49" i="14"/>
  <c r="U49" i="14"/>
  <c r="S49" i="14"/>
  <c r="Q49" i="14"/>
  <c r="R49" i="14"/>
  <c r="P49" i="14"/>
  <c r="O49" i="14"/>
  <c r="K49" i="14"/>
  <c r="M49" i="14"/>
  <c r="N49" i="14"/>
  <c r="J49" i="14"/>
  <c r="L49" i="14"/>
  <c r="I49" i="14"/>
  <c r="F49" i="14"/>
  <c r="G49" i="14"/>
  <c r="H49" i="14"/>
  <c r="AC41" i="14"/>
  <c r="AD41" i="14"/>
  <c r="AB41" i="14"/>
  <c r="AA41" i="14"/>
  <c r="Z41" i="14"/>
  <c r="W41" i="14"/>
  <c r="X41" i="14"/>
  <c r="Y41" i="14"/>
  <c r="V41" i="14"/>
  <c r="U41" i="14"/>
  <c r="T41" i="14"/>
  <c r="S41" i="14"/>
  <c r="R41" i="14"/>
  <c r="Q41" i="14"/>
  <c r="P41" i="14"/>
  <c r="O41" i="14"/>
  <c r="K41" i="14"/>
  <c r="M41" i="14"/>
  <c r="J41" i="14"/>
  <c r="N41" i="14"/>
  <c r="L41" i="14"/>
  <c r="I41" i="14"/>
  <c r="F41" i="14"/>
  <c r="G41" i="14"/>
  <c r="H41" i="14"/>
  <c r="AC33" i="14"/>
  <c r="AB33" i="14"/>
  <c r="AD33" i="14"/>
  <c r="AA33" i="14"/>
  <c r="Z33" i="14"/>
  <c r="W33" i="14"/>
  <c r="X33" i="14"/>
  <c r="Y33" i="14"/>
  <c r="V33" i="14"/>
  <c r="T33" i="14"/>
  <c r="S33" i="14"/>
  <c r="U33" i="14"/>
  <c r="Q33" i="14"/>
  <c r="R33" i="14"/>
  <c r="P33" i="14"/>
  <c r="O33" i="14"/>
  <c r="K33" i="14"/>
  <c r="M33" i="14"/>
  <c r="J33" i="14"/>
  <c r="N33" i="14"/>
  <c r="L33" i="14"/>
  <c r="I33" i="14"/>
  <c r="F33" i="14"/>
  <c r="G33" i="14"/>
  <c r="H33" i="14"/>
  <c r="AC25" i="14"/>
  <c r="AD25" i="14"/>
  <c r="AB25" i="14"/>
  <c r="AA25" i="14"/>
  <c r="Z25" i="14"/>
  <c r="W25" i="14"/>
  <c r="X25" i="14"/>
  <c r="Y25" i="14"/>
  <c r="V25" i="14"/>
  <c r="T25" i="14"/>
  <c r="U25" i="14"/>
  <c r="S25" i="14"/>
  <c r="Q25" i="14"/>
  <c r="R25" i="14"/>
  <c r="P25" i="14"/>
  <c r="O25" i="14"/>
  <c r="K25" i="14"/>
  <c r="M25" i="14"/>
  <c r="J25" i="14"/>
  <c r="N25" i="14"/>
  <c r="L25" i="14"/>
  <c r="I25" i="14"/>
  <c r="F25" i="14"/>
  <c r="G25" i="14"/>
  <c r="H25" i="14"/>
  <c r="F402" i="14"/>
  <c r="F370" i="14"/>
  <c r="F338" i="14"/>
  <c r="F300" i="14"/>
  <c r="F236" i="14"/>
  <c r="F172" i="14"/>
  <c r="F108" i="14"/>
  <c r="F44" i="14"/>
  <c r="G387" i="14"/>
  <c r="G323" i="14"/>
  <c r="G259" i="14"/>
  <c r="G195" i="14"/>
  <c r="G131" i="14"/>
  <c r="AD408" i="14"/>
  <c r="AC408" i="14"/>
  <c r="AA408" i="14"/>
  <c r="AB408" i="14"/>
  <c r="Z408" i="14"/>
  <c r="Y408" i="14"/>
  <c r="X408" i="14"/>
  <c r="U408" i="14"/>
  <c r="V408" i="14"/>
  <c r="W408" i="14"/>
  <c r="S408" i="14"/>
  <c r="T408" i="14"/>
  <c r="R408" i="14"/>
  <c r="O408" i="14"/>
  <c r="Q408" i="14"/>
  <c r="P408" i="14"/>
  <c r="L408" i="14"/>
  <c r="N408" i="14"/>
  <c r="K408" i="14"/>
  <c r="I408" i="14"/>
  <c r="J408" i="14"/>
  <c r="F408" i="14"/>
  <c r="G408" i="14"/>
  <c r="H408" i="14"/>
  <c r="M408" i="14"/>
  <c r="AD400" i="14"/>
  <c r="AC400" i="14"/>
  <c r="AB400" i="14"/>
  <c r="AA400" i="14"/>
  <c r="X400" i="14"/>
  <c r="Z400" i="14"/>
  <c r="Y400" i="14"/>
  <c r="W400" i="14"/>
  <c r="U400" i="14"/>
  <c r="V400" i="14"/>
  <c r="S400" i="14"/>
  <c r="T400" i="14"/>
  <c r="Q400" i="14"/>
  <c r="O400" i="14"/>
  <c r="P400" i="14"/>
  <c r="R400" i="14"/>
  <c r="L400" i="14"/>
  <c r="N400" i="14"/>
  <c r="K400" i="14"/>
  <c r="M400" i="14"/>
  <c r="I400" i="14"/>
  <c r="J400" i="14"/>
  <c r="F400" i="14"/>
  <c r="G400" i="14"/>
  <c r="H400" i="14"/>
  <c r="AC392" i="14"/>
  <c r="AD392" i="14"/>
  <c r="AB392" i="14"/>
  <c r="AA392" i="14"/>
  <c r="X392" i="14"/>
  <c r="Z392" i="14"/>
  <c r="Y392" i="14"/>
  <c r="U392" i="14"/>
  <c r="W392" i="14"/>
  <c r="S392" i="14"/>
  <c r="V392" i="14"/>
  <c r="T392" i="14"/>
  <c r="R392" i="14"/>
  <c r="O392" i="14"/>
  <c r="Q392" i="14"/>
  <c r="P392" i="14"/>
  <c r="L392" i="14"/>
  <c r="N392" i="14"/>
  <c r="K392" i="14"/>
  <c r="I392" i="14"/>
  <c r="J392" i="14"/>
  <c r="F392" i="14"/>
  <c r="M392" i="14"/>
  <c r="G392" i="14"/>
  <c r="H392" i="14"/>
  <c r="AC384" i="14"/>
  <c r="AB384" i="14"/>
  <c r="AD384" i="14"/>
  <c r="AA384" i="14"/>
  <c r="X384" i="14"/>
  <c r="Z384" i="14"/>
  <c r="Y384" i="14"/>
  <c r="V384" i="14"/>
  <c r="U384" i="14"/>
  <c r="W384" i="14"/>
  <c r="S384" i="14"/>
  <c r="T384" i="14"/>
  <c r="Q384" i="14"/>
  <c r="O384" i="14"/>
  <c r="P384" i="14"/>
  <c r="R384" i="14"/>
  <c r="L384" i="14"/>
  <c r="N384" i="14"/>
  <c r="K384" i="14"/>
  <c r="M384" i="14"/>
  <c r="I384" i="14"/>
  <c r="J384" i="14"/>
  <c r="F384" i="14"/>
  <c r="G384" i="14"/>
  <c r="H384" i="14"/>
  <c r="AD376" i="14"/>
  <c r="AC376" i="14"/>
  <c r="AB376" i="14"/>
  <c r="AA376" i="14"/>
  <c r="X376" i="14"/>
  <c r="Z376" i="14"/>
  <c r="Y376" i="14"/>
  <c r="W376" i="14"/>
  <c r="U376" i="14"/>
  <c r="V376" i="14"/>
  <c r="T376" i="14"/>
  <c r="S376" i="14"/>
  <c r="R376" i="14"/>
  <c r="O376" i="14"/>
  <c r="Q376" i="14"/>
  <c r="P376" i="14"/>
  <c r="L376" i="14"/>
  <c r="N376" i="14"/>
  <c r="K376" i="14"/>
  <c r="M376" i="14"/>
  <c r="I376" i="14"/>
  <c r="J376" i="14"/>
  <c r="F376" i="14"/>
  <c r="G376" i="14"/>
  <c r="H376" i="14"/>
  <c r="AC368" i="14"/>
  <c r="AD368" i="14"/>
  <c r="AB368" i="14"/>
  <c r="AA368" i="14"/>
  <c r="X368" i="14"/>
  <c r="Z368" i="14"/>
  <c r="Y368" i="14"/>
  <c r="U368" i="14"/>
  <c r="W368" i="14"/>
  <c r="V368" i="14"/>
  <c r="S368" i="14"/>
  <c r="T368" i="14"/>
  <c r="Q368" i="14"/>
  <c r="O368" i="14"/>
  <c r="P368" i="14"/>
  <c r="R368" i="14"/>
  <c r="L368" i="14"/>
  <c r="N368" i="14"/>
  <c r="K368" i="14"/>
  <c r="M368" i="14"/>
  <c r="I368" i="14"/>
  <c r="J368" i="14"/>
  <c r="F368" i="14"/>
  <c r="G368" i="14"/>
  <c r="H368" i="14"/>
  <c r="AD360" i="14"/>
  <c r="AC360" i="14"/>
  <c r="AB360" i="14"/>
  <c r="AA360" i="14"/>
  <c r="X360" i="14"/>
  <c r="Z360" i="14"/>
  <c r="Y360" i="14"/>
  <c r="U360" i="14"/>
  <c r="W360" i="14"/>
  <c r="S360" i="14"/>
  <c r="V360" i="14"/>
  <c r="T360" i="14"/>
  <c r="R360" i="14"/>
  <c r="O360" i="14"/>
  <c r="Q360" i="14"/>
  <c r="P360" i="14"/>
  <c r="L360" i="14"/>
  <c r="N360" i="14"/>
  <c r="K360" i="14"/>
  <c r="M360" i="14"/>
  <c r="I360" i="14"/>
  <c r="F360" i="14"/>
  <c r="G360" i="14"/>
  <c r="J360" i="14"/>
  <c r="H360" i="14"/>
  <c r="AC352" i="14"/>
  <c r="AD352" i="14"/>
  <c r="AA352" i="14"/>
  <c r="AB352" i="14"/>
  <c r="X352" i="14"/>
  <c r="V352" i="14"/>
  <c r="U352" i="14"/>
  <c r="W352" i="14"/>
  <c r="Z352" i="14"/>
  <c r="Y352" i="14"/>
  <c r="S352" i="14"/>
  <c r="T352" i="14"/>
  <c r="Q352" i="14"/>
  <c r="O352" i="14"/>
  <c r="P352" i="14"/>
  <c r="R352" i="14"/>
  <c r="L352" i="14"/>
  <c r="N352" i="14"/>
  <c r="K352" i="14"/>
  <c r="M352" i="14"/>
  <c r="I352" i="14"/>
  <c r="F352" i="14"/>
  <c r="G352" i="14"/>
  <c r="H352" i="14"/>
  <c r="J352" i="14"/>
  <c r="AD344" i="14"/>
  <c r="AC344" i="14"/>
  <c r="AA344" i="14"/>
  <c r="X344" i="14"/>
  <c r="AB344" i="14"/>
  <c r="V344" i="14"/>
  <c r="Z344" i="14"/>
  <c r="Y344" i="14"/>
  <c r="U344" i="14"/>
  <c r="W344" i="14"/>
  <c r="S344" i="14"/>
  <c r="T344" i="14"/>
  <c r="R344" i="14"/>
  <c r="O344" i="14"/>
  <c r="Q344" i="14"/>
  <c r="P344" i="14"/>
  <c r="L344" i="14"/>
  <c r="N344" i="14"/>
  <c r="K344" i="14"/>
  <c r="M344" i="14"/>
  <c r="J344" i="14"/>
  <c r="I344" i="14"/>
  <c r="F344" i="14"/>
  <c r="G344" i="14"/>
  <c r="H344" i="14"/>
  <c r="AD336" i="14"/>
  <c r="AC336" i="14"/>
  <c r="AA336" i="14"/>
  <c r="AB336" i="14"/>
  <c r="X336" i="14"/>
  <c r="Z336" i="14"/>
  <c r="Y336" i="14"/>
  <c r="V336" i="14"/>
  <c r="W336" i="14"/>
  <c r="U336" i="14"/>
  <c r="S336" i="14"/>
  <c r="T336" i="14"/>
  <c r="Q336" i="14"/>
  <c r="O336" i="14"/>
  <c r="P336" i="14"/>
  <c r="R336" i="14"/>
  <c r="L336" i="14"/>
  <c r="N336" i="14"/>
  <c r="K336" i="14"/>
  <c r="M336" i="14"/>
  <c r="I336" i="14"/>
  <c r="J336" i="14"/>
  <c r="F336" i="14"/>
  <c r="G336" i="14"/>
  <c r="H336" i="14"/>
  <c r="AD328" i="14"/>
  <c r="AC328" i="14"/>
  <c r="AA328" i="14"/>
  <c r="AB328" i="14"/>
  <c r="X328" i="14"/>
  <c r="V328" i="14"/>
  <c r="Z328" i="14"/>
  <c r="Y328" i="14"/>
  <c r="U328" i="14"/>
  <c r="W328" i="14"/>
  <c r="S328" i="14"/>
  <c r="T328" i="14"/>
  <c r="R328" i="14"/>
  <c r="O328" i="14"/>
  <c r="Q328" i="14"/>
  <c r="P328" i="14"/>
  <c r="L328" i="14"/>
  <c r="N328" i="14"/>
  <c r="K328" i="14"/>
  <c r="M328" i="14"/>
  <c r="I328" i="14"/>
  <c r="F328" i="14"/>
  <c r="G328" i="14"/>
  <c r="J328" i="14"/>
  <c r="H328" i="14"/>
  <c r="AD320" i="14"/>
  <c r="AC320" i="14"/>
  <c r="AB320" i="14"/>
  <c r="AA320" i="14"/>
  <c r="X320" i="14"/>
  <c r="Z320" i="14"/>
  <c r="Y320" i="14"/>
  <c r="V320" i="14"/>
  <c r="U320" i="14"/>
  <c r="W320" i="14"/>
  <c r="S320" i="14"/>
  <c r="Q320" i="14"/>
  <c r="T320" i="14"/>
  <c r="O320" i="14"/>
  <c r="P320" i="14"/>
  <c r="R320" i="14"/>
  <c r="L320" i="14"/>
  <c r="N320" i="14"/>
  <c r="K320" i="14"/>
  <c r="M320" i="14"/>
  <c r="I320" i="14"/>
  <c r="F320" i="14"/>
  <c r="G320" i="14"/>
  <c r="H320" i="14"/>
  <c r="J320" i="14"/>
  <c r="AC312" i="14"/>
  <c r="AD312" i="14"/>
  <c r="AA312" i="14"/>
  <c r="X312" i="14"/>
  <c r="AB312" i="14"/>
  <c r="Z312" i="14"/>
  <c r="Y312" i="14"/>
  <c r="V312" i="14"/>
  <c r="W312" i="14"/>
  <c r="U312" i="14"/>
  <c r="T312" i="14"/>
  <c r="S312" i="14"/>
  <c r="R312" i="14"/>
  <c r="O312" i="14"/>
  <c r="Q312" i="14"/>
  <c r="P312" i="14"/>
  <c r="L312" i="14"/>
  <c r="N312" i="14"/>
  <c r="K312" i="14"/>
  <c r="M312" i="14"/>
  <c r="J312" i="14"/>
  <c r="I312" i="14"/>
  <c r="F312" i="14"/>
  <c r="G312" i="14"/>
  <c r="H312" i="14"/>
  <c r="AD304" i="14"/>
  <c r="AC304" i="14"/>
  <c r="AA304" i="14"/>
  <c r="AB304" i="14"/>
  <c r="X304" i="14"/>
  <c r="V304" i="14"/>
  <c r="Z304" i="14"/>
  <c r="Y304" i="14"/>
  <c r="U304" i="14"/>
  <c r="W304" i="14"/>
  <c r="S304" i="14"/>
  <c r="T304" i="14"/>
  <c r="Q304" i="14"/>
  <c r="O304" i="14"/>
  <c r="P304" i="14"/>
  <c r="R304" i="14"/>
  <c r="L304" i="14"/>
  <c r="N304" i="14"/>
  <c r="K304" i="14"/>
  <c r="M304" i="14"/>
  <c r="I304" i="14"/>
  <c r="J304" i="14"/>
  <c r="F304" i="14"/>
  <c r="G304" i="14"/>
  <c r="H304" i="14"/>
  <c r="AD296" i="14"/>
  <c r="AC296" i="14"/>
  <c r="AB296" i="14"/>
  <c r="AA296" i="14"/>
  <c r="X296" i="14"/>
  <c r="Z296" i="14"/>
  <c r="Y296" i="14"/>
  <c r="V296" i="14"/>
  <c r="U296" i="14"/>
  <c r="S296" i="14"/>
  <c r="T296" i="14"/>
  <c r="W296" i="14"/>
  <c r="R296" i="14"/>
  <c r="O296" i="14"/>
  <c r="Q296" i="14"/>
  <c r="P296" i="14"/>
  <c r="L296" i="14"/>
  <c r="N296" i="14"/>
  <c r="K296" i="14"/>
  <c r="M296" i="14"/>
  <c r="I296" i="14"/>
  <c r="F296" i="14"/>
  <c r="G296" i="14"/>
  <c r="J296" i="14"/>
  <c r="H296" i="14"/>
  <c r="AC288" i="14"/>
  <c r="AD288" i="14"/>
  <c r="AA288" i="14"/>
  <c r="AB288" i="14"/>
  <c r="X288" i="14"/>
  <c r="V288" i="14"/>
  <c r="Z288" i="14"/>
  <c r="U288" i="14"/>
  <c r="W288" i="14"/>
  <c r="Y288" i="14"/>
  <c r="S288" i="14"/>
  <c r="T288" i="14"/>
  <c r="Q288" i="14"/>
  <c r="O288" i="14"/>
  <c r="P288" i="14"/>
  <c r="R288" i="14"/>
  <c r="L288" i="14"/>
  <c r="N288" i="14"/>
  <c r="K288" i="14"/>
  <c r="M288" i="14"/>
  <c r="I288" i="14"/>
  <c r="F288" i="14"/>
  <c r="G288" i="14"/>
  <c r="H288" i="14"/>
  <c r="J288" i="14"/>
  <c r="AD280" i="14"/>
  <c r="AC280" i="14"/>
  <c r="AA280" i="14"/>
  <c r="AB280" i="14"/>
  <c r="X280" i="14"/>
  <c r="V280" i="14"/>
  <c r="Z280" i="14"/>
  <c r="Y280" i="14"/>
  <c r="U280" i="14"/>
  <c r="W280" i="14"/>
  <c r="S280" i="14"/>
  <c r="T280" i="14"/>
  <c r="R280" i="14"/>
  <c r="O280" i="14"/>
  <c r="Q280" i="14"/>
  <c r="P280" i="14"/>
  <c r="L280" i="14"/>
  <c r="N280" i="14"/>
  <c r="K280" i="14"/>
  <c r="M280" i="14"/>
  <c r="J280" i="14"/>
  <c r="I280" i="14"/>
  <c r="F280" i="14"/>
  <c r="G280" i="14"/>
  <c r="H280" i="14"/>
  <c r="AC272" i="14"/>
  <c r="AD272" i="14"/>
  <c r="AA272" i="14"/>
  <c r="AB272" i="14"/>
  <c r="X272" i="14"/>
  <c r="Z272" i="14"/>
  <c r="Y272" i="14"/>
  <c r="V272" i="14"/>
  <c r="W272" i="14"/>
  <c r="U272" i="14"/>
  <c r="S272" i="14"/>
  <c r="T272" i="14"/>
  <c r="Q272" i="14"/>
  <c r="O272" i="14"/>
  <c r="P272" i="14"/>
  <c r="R272" i="14"/>
  <c r="L272" i="14"/>
  <c r="N272" i="14"/>
  <c r="K272" i="14"/>
  <c r="M272" i="14"/>
  <c r="I272" i="14"/>
  <c r="J272" i="14"/>
  <c r="F272" i="14"/>
  <c r="G272" i="14"/>
  <c r="H272" i="14"/>
  <c r="AC264" i="14"/>
  <c r="AD264" i="14"/>
  <c r="AA264" i="14"/>
  <c r="AB264" i="14"/>
  <c r="X264" i="14"/>
  <c r="V264" i="14"/>
  <c r="Z264" i="14"/>
  <c r="Y264" i="14"/>
  <c r="U264" i="14"/>
  <c r="W264" i="14"/>
  <c r="S264" i="14"/>
  <c r="T264" i="14"/>
  <c r="R264" i="14"/>
  <c r="O264" i="14"/>
  <c r="Q264" i="14"/>
  <c r="P264" i="14"/>
  <c r="L264" i="14"/>
  <c r="N264" i="14"/>
  <c r="K264" i="14"/>
  <c r="M264" i="14"/>
  <c r="I264" i="14"/>
  <c r="F264" i="14"/>
  <c r="G264" i="14"/>
  <c r="J264" i="14"/>
  <c r="H264" i="14"/>
  <c r="AD256" i="14"/>
  <c r="AC256" i="14"/>
  <c r="AB256" i="14"/>
  <c r="AA256" i="14"/>
  <c r="Z256" i="14"/>
  <c r="X256" i="14"/>
  <c r="Y256" i="14"/>
  <c r="V256" i="14"/>
  <c r="U256" i="14"/>
  <c r="W256" i="14"/>
  <c r="S256" i="14"/>
  <c r="T256" i="14"/>
  <c r="Q256" i="14"/>
  <c r="O256" i="14"/>
  <c r="P256" i="14"/>
  <c r="R256" i="14"/>
  <c r="L256" i="14"/>
  <c r="K256" i="14"/>
  <c r="N256" i="14"/>
  <c r="M256" i="14"/>
  <c r="I256" i="14"/>
  <c r="F256" i="14"/>
  <c r="G256" i="14"/>
  <c r="H256" i="14"/>
  <c r="J256" i="14"/>
  <c r="AA248" i="14"/>
  <c r="AD248" i="14"/>
  <c r="AB248" i="14"/>
  <c r="AC248" i="14"/>
  <c r="X248" i="14"/>
  <c r="Y248" i="14"/>
  <c r="Z248" i="14"/>
  <c r="V248" i="14"/>
  <c r="W248" i="14"/>
  <c r="U248" i="14"/>
  <c r="T248" i="14"/>
  <c r="S248" i="14"/>
  <c r="P248" i="14"/>
  <c r="R248" i="14"/>
  <c r="O248" i="14"/>
  <c r="Q248" i="14"/>
  <c r="L248" i="14"/>
  <c r="N248" i="14"/>
  <c r="K248" i="14"/>
  <c r="M248" i="14"/>
  <c r="J248" i="14"/>
  <c r="I248" i="14"/>
  <c r="F248" i="14"/>
  <c r="G248" i="14"/>
  <c r="H248" i="14"/>
  <c r="AC240" i="14"/>
  <c r="AD240" i="14"/>
  <c r="AA240" i="14"/>
  <c r="AB240" i="14"/>
  <c r="Z240" i="14"/>
  <c r="X240" i="14"/>
  <c r="V240" i="14"/>
  <c r="Y240" i="14"/>
  <c r="U240" i="14"/>
  <c r="W240" i="14"/>
  <c r="S240" i="14"/>
  <c r="T240" i="14"/>
  <c r="Q240" i="14"/>
  <c r="O240" i="14"/>
  <c r="P240" i="14"/>
  <c r="R240" i="14"/>
  <c r="L240" i="14"/>
  <c r="K240" i="14"/>
  <c r="N240" i="14"/>
  <c r="M240" i="14"/>
  <c r="I240" i="14"/>
  <c r="J240" i="14"/>
  <c r="F240" i="14"/>
  <c r="G240" i="14"/>
  <c r="H240" i="14"/>
  <c r="AC232" i="14"/>
  <c r="AD232" i="14"/>
  <c r="AB232" i="14"/>
  <c r="AA232" i="14"/>
  <c r="Z232" i="14"/>
  <c r="X232" i="14"/>
  <c r="Y232" i="14"/>
  <c r="V232" i="14"/>
  <c r="U232" i="14"/>
  <c r="S232" i="14"/>
  <c r="W232" i="14"/>
  <c r="T232" i="14"/>
  <c r="P232" i="14"/>
  <c r="R232" i="14"/>
  <c r="O232" i="14"/>
  <c r="Q232" i="14"/>
  <c r="L232" i="14"/>
  <c r="N232" i="14"/>
  <c r="K232" i="14"/>
  <c r="M232" i="14"/>
  <c r="J232" i="14"/>
  <c r="I232" i="14"/>
  <c r="F232" i="14"/>
  <c r="G232" i="14"/>
  <c r="H232" i="14"/>
  <c r="AC224" i="14"/>
  <c r="AD224" i="14"/>
  <c r="AA224" i="14"/>
  <c r="AB224" i="14"/>
  <c r="X224" i="14"/>
  <c r="Z224" i="14"/>
  <c r="V224" i="14"/>
  <c r="Y224" i="14"/>
  <c r="U224" i="14"/>
  <c r="W224" i="14"/>
  <c r="S224" i="14"/>
  <c r="T224" i="14"/>
  <c r="Q224" i="14"/>
  <c r="O224" i="14"/>
  <c r="P224" i="14"/>
  <c r="R224" i="14"/>
  <c r="L224" i="14"/>
  <c r="N224" i="14"/>
  <c r="K224" i="14"/>
  <c r="M224" i="14"/>
  <c r="J224" i="14"/>
  <c r="I224" i="14"/>
  <c r="F224" i="14"/>
  <c r="G224" i="14"/>
  <c r="H224" i="14"/>
  <c r="AD216" i="14"/>
  <c r="AC216" i="14"/>
  <c r="AA216" i="14"/>
  <c r="AB216" i="14"/>
  <c r="X216" i="14"/>
  <c r="Z216" i="14"/>
  <c r="V216" i="14"/>
  <c r="Y216" i="14"/>
  <c r="U216" i="14"/>
  <c r="W216" i="14"/>
  <c r="S216" i="14"/>
  <c r="T216" i="14"/>
  <c r="P216" i="14"/>
  <c r="R216" i="14"/>
  <c r="O216" i="14"/>
  <c r="Q216" i="14"/>
  <c r="L216" i="14"/>
  <c r="N216" i="14"/>
  <c r="K216" i="14"/>
  <c r="M216" i="14"/>
  <c r="J216" i="14"/>
  <c r="I216" i="14"/>
  <c r="F216" i="14"/>
  <c r="G216" i="14"/>
  <c r="H216" i="14"/>
  <c r="AD208" i="14"/>
  <c r="AA208" i="14"/>
  <c r="AB208" i="14"/>
  <c r="AC208" i="14"/>
  <c r="X208" i="14"/>
  <c r="Z208" i="14"/>
  <c r="Y208" i="14"/>
  <c r="V208" i="14"/>
  <c r="W208" i="14"/>
  <c r="U208" i="14"/>
  <c r="S208" i="14"/>
  <c r="T208" i="14"/>
  <c r="Q208" i="14"/>
  <c r="O208" i="14"/>
  <c r="P208" i="14"/>
  <c r="R208" i="14"/>
  <c r="L208" i="14"/>
  <c r="K208" i="14"/>
  <c r="N208" i="14"/>
  <c r="M208" i="14"/>
  <c r="J208" i="14"/>
  <c r="I208" i="14"/>
  <c r="F208" i="14"/>
  <c r="G208" i="14"/>
  <c r="H208" i="14"/>
  <c r="AD200" i="14"/>
  <c r="AC200" i="14"/>
  <c r="AA200" i="14"/>
  <c r="AB200" i="14"/>
  <c r="X200" i="14"/>
  <c r="V200" i="14"/>
  <c r="Y200" i="14"/>
  <c r="U200" i="14"/>
  <c r="W200" i="14"/>
  <c r="Z200" i="14"/>
  <c r="S200" i="14"/>
  <c r="T200" i="14"/>
  <c r="P200" i="14"/>
  <c r="R200" i="14"/>
  <c r="O200" i="14"/>
  <c r="Q200" i="14"/>
  <c r="L200" i="14"/>
  <c r="N200" i="14"/>
  <c r="K200" i="14"/>
  <c r="M200" i="14"/>
  <c r="J200" i="14"/>
  <c r="I200" i="14"/>
  <c r="F200" i="14"/>
  <c r="G200" i="14"/>
  <c r="H200" i="14"/>
  <c r="AD192" i="14"/>
  <c r="AC192" i="14"/>
  <c r="AB192" i="14"/>
  <c r="AA192" i="14"/>
  <c r="Z192" i="14"/>
  <c r="X192" i="14"/>
  <c r="Y192" i="14"/>
  <c r="V192" i="14"/>
  <c r="U192" i="14"/>
  <c r="W192" i="14"/>
  <c r="S192" i="14"/>
  <c r="T192" i="14"/>
  <c r="Q192" i="14"/>
  <c r="O192" i="14"/>
  <c r="P192" i="14"/>
  <c r="R192" i="14"/>
  <c r="L192" i="14"/>
  <c r="K192" i="14"/>
  <c r="N192" i="14"/>
  <c r="M192" i="14"/>
  <c r="J192" i="14"/>
  <c r="I192" i="14"/>
  <c r="F192" i="14"/>
  <c r="G192" i="14"/>
  <c r="H192" i="14"/>
  <c r="AD184" i="14"/>
  <c r="AC184" i="14"/>
  <c r="AA184" i="14"/>
  <c r="AB184" i="14"/>
  <c r="X184" i="14"/>
  <c r="Z184" i="14"/>
  <c r="Y184" i="14"/>
  <c r="V184" i="14"/>
  <c r="W184" i="14"/>
  <c r="U184" i="14"/>
  <c r="S184" i="14"/>
  <c r="T184" i="14"/>
  <c r="P184" i="14"/>
  <c r="R184" i="14"/>
  <c r="O184" i="14"/>
  <c r="Q184" i="14"/>
  <c r="L184" i="14"/>
  <c r="N184" i="14"/>
  <c r="K184" i="14"/>
  <c r="M184" i="14"/>
  <c r="J184" i="14"/>
  <c r="I184" i="14"/>
  <c r="F184" i="14"/>
  <c r="G184" i="14"/>
  <c r="H184" i="14"/>
  <c r="AD176" i="14"/>
  <c r="AC176" i="14"/>
  <c r="AA176" i="14"/>
  <c r="AB176" i="14"/>
  <c r="Z176" i="14"/>
  <c r="X176" i="14"/>
  <c r="V176" i="14"/>
  <c r="Y176" i="14"/>
  <c r="W176" i="14"/>
  <c r="U176" i="14"/>
  <c r="S176" i="14"/>
  <c r="T176" i="14"/>
  <c r="Q176" i="14"/>
  <c r="O176" i="14"/>
  <c r="P176" i="14"/>
  <c r="R176" i="14"/>
  <c r="L176" i="14"/>
  <c r="K176" i="14"/>
  <c r="N176" i="14"/>
  <c r="M176" i="14"/>
  <c r="J176" i="14"/>
  <c r="I176" i="14"/>
  <c r="F176" i="14"/>
  <c r="G176" i="14"/>
  <c r="H176" i="14"/>
  <c r="AC168" i="14"/>
  <c r="AD168" i="14"/>
  <c r="AB168" i="14"/>
  <c r="AA168" i="14"/>
  <c r="Z168" i="14"/>
  <c r="X168" i="14"/>
  <c r="Y168" i="14"/>
  <c r="V168" i="14"/>
  <c r="W168" i="14"/>
  <c r="U168" i="14"/>
  <c r="S168" i="14"/>
  <c r="T168" i="14"/>
  <c r="P168" i="14"/>
  <c r="R168" i="14"/>
  <c r="O168" i="14"/>
  <c r="Q168" i="14"/>
  <c r="L168" i="14"/>
  <c r="N168" i="14"/>
  <c r="K168" i="14"/>
  <c r="M168" i="14"/>
  <c r="J168" i="14"/>
  <c r="I168" i="14"/>
  <c r="F168" i="14"/>
  <c r="G168" i="14"/>
  <c r="H168" i="14"/>
  <c r="AC160" i="14"/>
  <c r="AD160" i="14"/>
  <c r="AA160" i="14"/>
  <c r="X160" i="14"/>
  <c r="Z160" i="14"/>
  <c r="V160" i="14"/>
  <c r="AB160" i="14"/>
  <c r="W160" i="14"/>
  <c r="U160" i="14"/>
  <c r="Y160" i="14"/>
  <c r="S160" i="14"/>
  <c r="T160" i="14"/>
  <c r="Q160" i="14"/>
  <c r="O160" i="14"/>
  <c r="P160" i="14"/>
  <c r="R160" i="14"/>
  <c r="L160" i="14"/>
  <c r="N160" i="14"/>
  <c r="K160" i="14"/>
  <c r="M160" i="14"/>
  <c r="J160" i="14"/>
  <c r="I160" i="14"/>
  <c r="F160" i="14"/>
  <c r="G160" i="14"/>
  <c r="H160" i="14"/>
  <c r="AD152" i="14"/>
  <c r="AC152" i="14"/>
  <c r="AB152" i="14"/>
  <c r="AA152" i="14"/>
  <c r="Z152" i="14"/>
  <c r="X152" i="14"/>
  <c r="V152" i="14"/>
  <c r="Y152" i="14"/>
  <c r="W152" i="14"/>
  <c r="U152" i="14"/>
  <c r="S152" i="14"/>
  <c r="T152" i="14"/>
  <c r="P152" i="14"/>
  <c r="R152" i="14"/>
  <c r="O152" i="14"/>
  <c r="Q152" i="14"/>
  <c r="L152" i="14"/>
  <c r="N152" i="14"/>
  <c r="K152" i="14"/>
  <c r="M152" i="14"/>
  <c r="J152" i="14"/>
  <c r="I152" i="14"/>
  <c r="F152" i="14"/>
  <c r="G152" i="14"/>
  <c r="H152" i="14"/>
  <c r="AA144" i="14"/>
  <c r="AD144" i="14"/>
  <c r="AB144" i="14"/>
  <c r="X144" i="14"/>
  <c r="Z144" i="14"/>
  <c r="AC144" i="14"/>
  <c r="Y144" i="14"/>
  <c r="V144" i="14"/>
  <c r="W144" i="14"/>
  <c r="U144" i="14"/>
  <c r="S144" i="14"/>
  <c r="T144" i="14"/>
  <c r="Q144" i="14"/>
  <c r="O144" i="14"/>
  <c r="P144" i="14"/>
  <c r="R144" i="14"/>
  <c r="L144" i="14"/>
  <c r="K144" i="14"/>
  <c r="N144" i="14"/>
  <c r="M144" i="14"/>
  <c r="J144" i="14"/>
  <c r="I144" i="14"/>
  <c r="F144" i="14"/>
  <c r="G144" i="14"/>
  <c r="H144" i="14"/>
  <c r="AC136" i="14"/>
  <c r="AB136" i="14"/>
  <c r="AA136" i="14"/>
  <c r="AD136" i="14"/>
  <c r="X136" i="14"/>
  <c r="Z136" i="14"/>
  <c r="V136" i="14"/>
  <c r="W136" i="14"/>
  <c r="Y136" i="14"/>
  <c r="U136" i="14"/>
  <c r="S136" i="14"/>
  <c r="T136" i="14"/>
  <c r="P136" i="14"/>
  <c r="R136" i="14"/>
  <c r="O136" i="14"/>
  <c r="Q136" i="14"/>
  <c r="L136" i="14"/>
  <c r="N136" i="14"/>
  <c r="K136" i="14"/>
  <c r="M136" i="14"/>
  <c r="J136" i="14"/>
  <c r="I136" i="14"/>
  <c r="F136" i="14"/>
  <c r="G136" i="14"/>
  <c r="H136" i="14"/>
  <c r="AD128" i="14"/>
  <c r="AB128" i="14"/>
  <c r="AC128" i="14"/>
  <c r="AA128" i="14"/>
  <c r="Z128" i="14"/>
  <c r="X128" i="14"/>
  <c r="Y128" i="14"/>
  <c r="V128" i="14"/>
  <c r="W128" i="14"/>
  <c r="U128" i="14"/>
  <c r="S128" i="14"/>
  <c r="T128" i="14"/>
  <c r="Q128" i="14"/>
  <c r="O128" i="14"/>
  <c r="P128" i="14"/>
  <c r="R128" i="14"/>
  <c r="L128" i="14"/>
  <c r="K128" i="14"/>
  <c r="N128" i="14"/>
  <c r="M128" i="14"/>
  <c r="J128" i="14"/>
  <c r="I128" i="14"/>
  <c r="F128" i="14"/>
  <c r="G128" i="14"/>
  <c r="H128" i="14"/>
  <c r="AC120" i="14"/>
  <c r="AD120" i="14"/>
  <c r="AA120" i="14"/>
  <c r="AB120" i="14"/>
  <c r="X120" i="14"/>
  <c r="Z120" i="14"/>
  <c r="Y120" i="14"/>
  <c r="V120" i="14"/>
  <c r="W120" i="14"/>
  <c r="U120" i="14"/>
  <c r="S120" i="14"/>
  <c r="T120" i="14"/>
  <c r="P120" i="14"/>
  <c r="R120" i="14"/>
  <c r="O120" i="14"/>
  <c r="Q120" i="14"/>
  <c r="L120" i="14"/>
  <c r="N120" i="14"/>
  <c r="K120" i="14"/>
  <c r="M120" i="14"/>
  <c r="J120" i="14"/>
  <c r="I120" i="14"/>
  <c r="F120" i="14"/>
  <c r="G120" i="14"/>
  <c r="H120" i="14"/>
  <c r="AC112" i="14"/>
  <c r="AA112" i="14"/>
  <c r="AB112" i="14"/>
  <c r="AD112" i="14"/>
  <c r="Z112" i="14"/>
  <c r="X112" i="14"/>
  <c r="V112" i="14"/>
  <c r="Y112" i="14"/>
  <c r="W112" i="14"/>
  <c r="U112" i="14"/>
  <c r="S112" i="14"/>
  <c r="T112" i="14"/>
  <c r="Q112" i="14"/>
  <c r="O112" i="14"/>
  <c r="P112" i="14"/>
  <c r="R112" i="14"/>
  <c r="L112" i="14"/>
  <c r="K112" i="14"/>
  <c r="N112" i="14"/>
  <c r="M112" i="14"/>
  <c r="J112" i="14"/>
  <c r="I112" i="14"/>
  <c r="F112" i="14"/>
  <c r="G112" i="14"/>
  <c r="H112" i="14"/>
  <c r="AC104" i="14"/>
  <c r="AD104" i="14"/>
  <c r="AB104" i="14"/>
  <c r="AA104" i="14"/>
  <c r="Z104" i="14"/>
  <c r="X104" i="14"/>
  <c r="Y104" i="14"/>
  <c r="V104" i="14"/>
  <c r="W104" i="14"/>
  <c r="U104" i="14"/>
  <c r="T104" i="14"/>
  <c r="S104" i="14"/>
  <c r="P104" i="14"/>
  <c r="O104" i="14"/>
  <c r="R104" i="14"/>
  <c r="Q104" i="14"/>
  <c r="L104" i="14"/>
  <c r="N104" i="14"/>
  <c r="K104" i="14"/>
  <c r="M104" i="14"/>
  <c r="J104" i="14"/>
  <c r="I104" i="14"/>
  <c r="F104" i="14"/>
  <c r="G104" i="14"/>
  <c r="H104" i="14"/>
  <c r="AC96" i="14"/>
  <c r="AD96" i="14"/>
  <c r="AB96" i="14"/>
  <c r="AA96" i="14"/>
  <c r="X96" i="14"/>
  <c r="Z96" i="14"/>
  <c r="V96" i="14"/>
  <c r="W96" i="14"/>
  <c r="U96" i="14"/>
  <c r="Y96" i="14"/>
  <c r="S96" i="14"/>
  <c r="T96" i="14"/>
  <c r="R96" i="14"/>
  <c r="Q96" i="14"/>
  <c r="O96" i="14"/>
  <c r="P96" i="14"/>
  <c r="L96" i="14"/>
  <c r="N96" i="14"/>
  <c r="K96" i="14"/>
  <c r="M96" i="14"/>
  <c r="J96" i="14"/>
  <c r="I96" i="14"/>
  <c r="F96" i="14"/>
  <c r="G96" i="14"/>
  <c r="H96" i="14"/>
  <c r="AD88" i="14"/>
  <c r="AC88" i="14"/>
  <c r="AB88" i="14"/>
  <c r="Z88" i="14"/>
  <c r="X88" i="14"/>
  <c r="AA88" i="14"/>
  <c r="V88" i="14"/>
  <c r="Y88" i="14"/>
  <c r="W88" i="14"/>
  <c r="U88" i="14"/>
  <c r="T88" i="14"/>
  <c r="S88" i="14"/>
  <c r="P88" i="14"/>
  <c r="O88" i="14"/>
  <c r="Q88" i="14"/>
  <c r="R88" i="14"/>
  <c r="L88" i="14"/>
  <c r="N88" i="14"/>
  <c r="M88" i="14"/>
  <c r="J88" i="14"/>
  <c r="K88" i="14"/>
  <c r="I88" i="14"/>
  <c r="F88" i="14"/>
  <c r="G88" i="14"/>
  <c r="H88" i="14"/>
  <c r="AD80" i="14"/>
  <c r="AB80" i="14"/>
  <c r="AA80" i="14"/>
  <c r="AC80" i="14"/>
  <c r="X80" i="14"/>
  <c r="Z80" i="14"/>
  <c r="Y80" i="14"/>
  <c r="V80" i="14"/>
  <c r="W80" i="14"/>
  <c r="U80" i="14"/>
  <c r="T80" i="14"/>
  <c r="S80" i="14"/>
  <c r="Q80" i="14"/>
  <c r="R80" i="14"/>
  <c r="O80" i="14"/>
  <c r="P80" i="14"/>
  <c r="L80" i="14"/>
  <c r="N80" i="14"/>
  <c r="M80" i="14"/>
  <c r="J80" i="14"/>
  <c r="K80" i="14"/>
  <c r="I80" i="14"/>
  <c r="F80" i="14"/>
  <c r="G80" i="14"/>
  <c r="H80" i="14"/>
  <c r="AD72" i="14"/>
  <c r="AC72" i="14"/>
  <c r="AB72" i="14"/>
  <c r="Z72" i="14"/>
  <c r="AA72" i="14"/>
  <c r="X72" i="14"/>
  <c r="V72" i="14"/>
  <c r="W72" i="14"/>
  <c r="Y72" i="14"/>
  <c r="T72" i="14"/>
  <c r="S72" i="14"/>
  <c r="U72" i="14"/>
  <c r="R72" i="14"/>
  <c r="P72" i="14"/>
  <c r="O72" i="14"/>
  <c r="Q72" i="14"/>
  <c r="L72" i="14"/>
  <c r="N72" i="14"/>
  <c r="M72" i="14"/>
  <c r="K72" i="14"/>
  <c r="J72" i="14"/>
  <c r="I72" i="14"/>
  <c r="F72" i="14"/>
  <c r="G72" i="14"/>
  <c r="H72" i="14"/>
  <c r="AD64" i="14"/>
  <c r="AB64" i="14"/>
  <c r="AA64" i="14"/>
  <c r="AC64" i="14"/>
  <c r="X64" i="14"/>
  <c r="Z64" i="14"/>
  <c r="Y64" i="14"/>
  <c r="V64" i="14"/>
  <c r="W64" i="14"/>
  <c r="U64" i="14"/>
  <c r="T64" i="14"/>
  <c r="S64" i="14"/>
  <c r="Q64" i="14"/>
  <c r="O64" i="14"/>
  <c r="P64" i="14"/>
  <c r="R64" i="14"/>
  <c r="L64" i="14"/>
  <c r="N64" i="14"/>
  <c r="M64" i="14"/>
  <c r="K64" i="14"/>
  <c r="J64" i="14"/>
  <c r="I64" i="14"/>
  <c r="F64" i="14"/>
  <c r="G64" i="14"/>
  <c r="H64" i="14"/>
  <c r="AD56" i="14"/>
  <c r="AC56" i="14"/>
  <c r="AB56" i="14"/>
  <c r="AA56" i="14"/>
  <c r="Z56" i="14"/>
  <c r="X56" i="14"/>
  <c r="Y56" i="14"/>
  <c r="V56" i="14"/>
  <c r="W56" i="14"/>
  <c r="U56" i="14"/>
  <c r="T56" i="14"/>
  <c r="S56" i="14"/>
  <c r="R56" i="14"/>
  <c r="P56" i="14"/>
  <c r="O56" i="14"/>
  <c r="Q56" i="14"/>
  <c r="N56" i="14"/>
  <c r="L56" i="14"/>
  <c r="K56" i="14"/>
  <c r="M56" i="14"/>
  <c r="J56" i="14"/>
  <c r="I56" i="14"/>
  <c r="F56" i="14"/>
  <c r="G56" i="14"/>
  <c r="H56" i="14"/>
  <c r="AD48" i="14"/>
  <c r="AC48" i="14"/>
  <c r="AA48" i="14"/>
  <c r="AB48" i="14"/>
  <c r="X48" i="14"/>
  <c r="Z48" i="14"/>
  <c r="V48" i="14"/>
  <c r="Y48" i="14"/>
  <c r="U48" i="14"/>
  <c r="W48" i="14"/>
  <c r="S48" i="14"/>
  <c r="R48" i="14"/>
  <c r="Q48" i="14"/>
  <c r="O48" i="14"/>
  <c r="P48" i="14"/>
  <c r="T48" i="14"/>
  <c r="L48" i="14"/>
  <c r="N48" i="14"/>
  <c r="M48" i="14"/>
  <c r="J48" i="14"/>
  <c r="K48" i="14"/>
  <c r="I48" i="14"/>
  <c r="F48" i="14"/>
  <c r="G48" i="14"/>
  <c r="H48" i="14"/>
  <c r="AC40" i="14"/>
  <c r="AB40" i="14"/>
  <c r="AA40" i="14"/>
  <c r="Z40" i="14"/>
  <c r="AD40" i="14"/>
  <c r="X40" i="14"/>
  <c r="W40" i="14"/>
  <c r="Y40" i="14"/>
  <c r="V40" i="14"/>
  <c r="T40" i="14"/>
  <c r="S40" i="14"/>
  <c r="U40" i="14"/>
  <c r="P40" i="14"/>
  <c r="O40" i="14"/>
  <c r="Q40" i="14"/>
  <c r="R40" i="14"/>
  <c r="N40" i="14"/>
  <c r="L40" i="14"/>
  <c r="M40" i="14"/>
  <c r="K40" i="14"/>
  <c r="J40" i="14"/>
  <c r="I40" i="14"/>
  <c r="F40" i="14"/>
  <c r="G40" i="14"/>
  <c r="H40" i="14"/>
  <c r="AC32" i="14"/>
  <c r="AD32" i="14"/>
  <c r="AB32" i="14"/>
  <c r="AA32" i="14"/>
  <c r="X32" i="14"/>
  <c r="Z32" i="14"/>
  <c r="W32" i="14"/>
  <c r="V32" i="14"/>
  <c r="U32" i="14"/>
  <c r="T32" i="14"/>
  <c r="S32" i="14"/>
  <c r="Y32" i="14"/>
  <c r="Q32" i="14"/>
  <c r="O32" i="14"/>
  <c r="R32" i="14"/>
  <c r="P32" i="14"/>
  <c r="L32" i="14"/>
  <c r="N32" i="14"/>
  <c r="M32" i="14"/>
  <c r="K32" i="14"/>
  <c r="J32" i="14"/>
  <c r="I32" i="14"/>
  <c r="F32" i="14"/>
  <c r="G32" i="14"/>
  <c r="H32" i="14"/>
  <c r="AD24" i="14"/>
  <c r="AC24" i="14"/>
  <c r="AB24" i="14"/>
  <c r="Z24" i="14"/>
  <c r="AA24" i="14"/>
  <c r="X24" i="14"/>
  <c r="V24" i="14"/>
  <c r="Y24" i="14"/>
  <c r="W24" i="14"/>
  <c r="U24" i="14"/>
  <c r="T24" i="14"/>
  <c r="S24" i="14"/>
  <c r="R24" i="14"/>
  <c r="P24" i="14"/>
  <c r="O24" i="14"/>
  <c r="Q24" i="14"/>
  <c r="N24" i="14"/>
  <c r="L24" i="14"/>
  <c r="K24" i="14"/>
  <c r="M24" i="14"/>
  <c r="J24" i="14"/>
  <c r="I24" i="14"/>
  <c r="F24" i="14"/>
  <c r="G24" i="14"/>
  <c r="H24" i="14"/>
  <c r="AC16" i="14"/>
  <c r="AB16" i="14"/>
  <c r="AA16" i="14"/>
  <c r="AD16" i="14"/>
  <c r="X16" i="14"/>
  <c r="Z16" i="14"/>
  <c r="Y16" i="14"/>
  <c r="V16" i="14"/>
  <c r="W16" i="14"/>
  <c r="U16" i="14"/>
  <c r="T16" i="14"/>
  <c r="R16" i="14"/>
  <c r="Q16" i="14"/>
  <c r="O16" i="14"/>
  <c r="P16" i="14"/>
  <c r="S16" i="14"/>
  <c r="L16" i="14"/>
  <c r="N16" i="14"/>
  <c r="M16" i="14"/>
  <c r="J16" i="14"/>
  <c r="I16" i="14"/>
  <c r="F16" i="14"/>
  <c r="K16" i="14"/>
  <c r="G16" i="14"/>
  <c r="H16" i="14"/>
  <c r="F396" i="14"/>
  <c r="F364" i="14"/>
  <c r="F332" i="14"/>
  <c r="F292" i="14"/>
  <c r="F228" i="14"/>
  <c r="F164" i="14"/>
  <c r="F100" i="14"/>
  <c r="F36" i="14"/>
  <c r="G379" i="14"/>
  <c r="G315" i="14"/>
  <c r="G251" i="14"/>
  <c r="G187" i="14"/>
  <c r="G123" i="14"/>
  <c r="AD407" i="14"/>
  <c r="AC407" i="14"/>
  <c r="AB407" i="14"/>
  <c r="AA407" i="14"/>
  <c r="X407" i="14"/>
  <c r="Y407" i="14"/>
  <c r="Z407" i="14"/>
  <c r="W407" i="14"/>
  <c r="U407" i="14"/>
  <c r="T407" i="14"/>
  <c r="V407" i="14"/>
  <c r="R407" i="14"/>
  <c r="S407" i="14"/>
  <c r="Q407" i="14"/>
  <c r="P407" i="14"/>
  <c r="N407" i="14"/>
  <c r="K407" i="14"/>
  <c r="O407" i="14"/>
  <c r="L407" i="14"/>
  <c r="I407" i="14"/>
  <c r="J407" i="14"/>
  <c r="F407" i="14"/>
  <c r="G407" i="14"/>
  <c r="H407" i="14"/>
  <c r="M407" i="14"/>
  <c r="AD399" i="14"/>
  <c r="AC399" i="14"/>
  <c r="AB399" i="14"/>
  <c r="AA399" i="14"/>
  <c r="X399" i="14"/>
  <c r="Y399" i="14"/>
  <c r="Z399" i="14"/>
  <c r="W399" i="14"/>
  <c r="U399" i="14"/>
  <c r="V399" i="14"/>
  <c r="T399" i="14"/>
  <c r="R399" i="14"/>
  <c r="S399" i="14"/>
  <c r="Q399" i="14"/>
  <c r="P399" i="14"/>
  <c r="N399" i="14"/>
  <c r="L399" i="14"/>
  <c r="K399" i="14"/>
  <c r="O399" i="14"/>
  <c r="M399" i="14"/>
  <c r="I399" i="14"/>
  <c r="J399" i="14"/>
  <c r="F399" i="14"/>
  <c r="G399" i="14"/>
  <c r="H399" i="14"/>
  <c r="AD391" i="14"/>
  <c r="AC391" i="14"/>
  <c r="AB391" i="14"/>
  <c r="AA391" i="14"/>
  <c r="X391" i="14"/>
  <c r="Y391" i="14"/>
  <c r="Z391" i="14"/>
  <c r="W391" i="14"/>
  <c r="U391" i="14"/>
  <c r="V391" i="14"/>
  <c r="T391" i="14"/>
  <c r="R391" i="14"/>
  <c r="S391" i="14"/>
  <c r="Q391" i="14"/>
  <c r="P391" i="14"/>
  <c r="N391" i="14"/>
  <c r="L391" i="14"/>
  <c r="O391" i="14"/>
  <c r="K391" i="14"/>
  <c r="I391" i="14"/>
  <c r="J391" i="14"/>
  <c r="F391" i="14"/>
  <c r="M391" i="14"/>
  <c r="G391" i="14"/>
  <c r="H391" i="14"/>
  <c r="AD383" i="14"/>
  <c r="AC383" i="14"/>
  <c r="AB383" i="14"/>
  <c r="AA383" i="14"/>
  <c r="X383" i="14"/>
  <c r="Y383" i="14"/>
  <c r="Z383" i="14"/>
  <c r="W383" i="14"/>
  <c r="V383" i="14"/>
  <c r="U383" i="14"/>
  <c r="T383" i="14"/>
  <c r="S383" i="14"/>
  <c r="R383" i="14"/>
  <c r="Q383" i="14"/>
  <c r="P383" i="14"/>
  <c r="N383" i="14"/>
  <c r="L383" i="14"/>
  <c r="K383" i="14"/>
  <c r="O383" i="14"/>
  <c r="M383" i="14"/>
  <c r="I383" i="14"/>
  <c r="J383" i="14"/>
  <c r="F383" i="14"/>
  <c r="G383" i="14"/>
  <c r="H383" i="14"/>
  <c r="AD375" i="14"/>
  <c r="AC375" i="14"/>
  <c r="AB375" i="14"/>
  <c r="AA375" i="14"/>
  <c r="X375" i="14"/>
  <c r="Y375" i="14"/>
  <c r="Z375" i="14"/>
  <c r="W375" i="14"/>
  <c r="U375" i="14"/>
  <c r="T375" i="14"/>
  <c r="V375" i="14"/>
  <c r="R375" i="14"/>
  <c r="S375" i="14"/>
  <c r="Q375" i="14"/>
  <c r="P375" i="14"/>
  <c r="N375" i="14"/>
  <c r="L375" i="14"/>
  <c r="K375" i="14"/>
  <c r="O375" i="14"/>
  <c r="M375" i="14"/>
  <c r="I375" i="14"/>
  <c r="J375" i="14"/>
  <c r="F375" i="14"/>
  <c r="G375" i="14"/>
  <c r="H375" i="14"/>
  <c r="AD367" i="14"/>
  <c r="AC367" i="14"/>
  <c r="AB367" i="14"/>
  <c r="AA367" i="14"/>
  <c r="X367" i="14"/>
  <c r="Y367" i="14"/>
  <c r="Z367" i="14"/>
  <c r="W367" i="14"/>
  <c r="U367" i="14"/>
  <c r="V367" i="14"/>
  <c r="T367" i="14"/>
  <c r="R367" i="14"/>
  <c r="S367" i="14"/>
  <c r="Q367" i="14"/>
  <c r="P367" i="14"/>
  <c r="N367" i="14"/>
  <c r="L367" i="14"/>
  <c r="K367" i="14"/>
  <c r="O367" i="14"/>
  <c r="M367" i="14"/>
  <c r="I367" i="14"/>
  <c r="J367" i="14"/>
  <c r="F367" i="14"/>
  <c r="G367" i="14"/>
  <c r="H367" i="14"/>
  <c r="AD359" i="14"/>
  <c r="AC359" i="14"/>
  <c r="AB359" i="14"/>
  <c r="AA359" i="14"/>
  <c r="X359" i="14"/>
  <c r="Y359" i="14"/>
  <c r="Z359" i="14"/>
  <c r="W359" i="14"/>
  <c r="U359" i="14"/>
  <c r="V359" i="14"/>
  <c r="T359" i="14"/>
  <c r="R359" i="14"/>
  <c r="S359" i="14"/>
  <c r="Q359" i="14"/>
  <c r="P359" i="14"/>
  <c r="N359" i="14"/>
  <c r="O359" i="14"/>
  <c r="L359" i="14"/>
  <c r="K359" i="14"/>
  <c r="M359" i="14"/>
  <c r="I359" i="14"/>
  <c r="F359" i="14"/>
  <c r="G359" i="14"/>
  <c r="J359" i="14"/>
  <c r="H359" i="14"/>
  <c r="AC351" i="14"/>
  <c r="AD351" i="14"/>
  <c r="AB351" i="14"/>
  <c r="AA351" i="14"/>
  <c r="X351" i="14"/>
  <c r="Y351" i="14"/>
  <c r="Z351" i="14"/>
  <c r="W351" i="14"/>
  <c r="V351" i="14"/>
  <c r="U351" i="14"/>
  <c r="T351" i="14"/>
  <c r="S351" i="14"/>
  <c r="R351" i="14"/>
  <c r="Q351" i="14"/>
  <c r="P351" i="14"/>
  <c r="N351" i="14"/>
  <c r="O351" i="14"/>
  <c r="L351" i="14"/>
  <c r="K351" i="14"/>
  <c r="M351" i="14"/>
  <c r="I351" i="14"/>
  <c r="F351" i="14"/>
  <c r="G351" i="14"/>
  <c r="H351" i="14"/>
  <c r="J351" i="14"/>
  <c r="AD343" i="14"/>
  <c r="AC343" i="14"/>
  <c r="AB343" i="14"/>
  <c r="X343" i="14"/>
  <c r="Y343" i="14"/>
  <c r="AA343" i="14"/>
  <c r="Z343" i="14"/>
  <c r="W343" i="14"/>
  <c r="U343" i="14"/>
  <c r="V343" i="14"/>
  <c r="T343" i="14"/>
  <c r="S343" i="14"/>
  <c r="R343" i="14"/>
  <c r="Q343" i="14"/>
  <c r="P343" i="14"/>
  <c r="N343" i="14"/>
  <c r="L343" i="14"/>
  <c r="K343" i="14"/>
  <c r="M343" i="14"/>
  <c r="O343" i="14"/>
  <c r="J343" i="14"/>
  <c r="I343" i="14"/>
  <c r="F343" i="14"/>
  <c r="G343" i="14"/>
  <c r="H343" i="14"/>
  <c r="AD335" i="14"/>
  <c r="AC335" i="14"/>
  <c r="AB335" i="14"/>
  <c r="AA335" i="14"/>
  <c r="X335" i="14"/>
  <c r="Y335" i="14"/>
  <c r="Z335" i="14"/>
  <c r="W335" i="14"/>
  <c r="U335" i="14"/>
  <c r="V335" i="14"/>
  <c r="T335" i="14"/>
  <c r="S335" i="14"/>
  <c r="R335" i="14"/>
  <c r="Q335" i="14"/>
  <c r="P335" i="14"/>
  <c r="N335" i="14"/>
  <c r="L335" i="14"/>
  <c r="K335" i="14"/>
  <c r="O335" i="14"/>
  <c r="M335" i="14"/>
  <c r="I335" i="14"/>
  <c r="J335" i="14"/>
  <c r="F335" i="14"/>
  <c r="G335" i="14"/>
  <c r="H335" i="14"/>
  <c r="AD327" i="14"/>
  <c r="AC327" i="14"/>
  <c r="AB327" i="14"/>
  <c r="AA327" i="14"/>
  <c r="X327" i="14"/>
  <c r="Y327" i="14"/>
  <c r="Z327" i="14"/>
  <c r="W327" i="14"/>
  <c r="U327" i="14"/>
  <c r="V327" i="14"/>
  <c r="T327" i="14"/>
  <c r="S327" i="14"/>
  <c r="R327" i="14"/>
  <c r="Q327" i="14"/>
  <c r="P327" i="14"/>
  <c r="O327" i="14"/>
  <c r="N327" i="14"/>
  <c r="L327" i="14"/>
  <c r="K327" i="14"/>
  <c r="M327" i="14"/>
  <c r="I327" i="14"/>
  <c r="F327" i="14"/>
  <c r="G327" i="14"/>
  <c r="J327" i="14"/>
  <c r="H327" i="14"/>
  <c r="AC319" i="14"/>
  <c r="AB319" i="14"/>
  <c r="AD319" i="14"/>
  <c r="AA319" i="14"/>
  <c r="X319" i="14"/>
  <c r="Y319" i="14"/>
  <c r="Z319" i="14"/>
  <c r="W319" i="14"/>
  <c r="U319" i="14"/>
  <c r="V319" i="14"/>
  <c r="T319" i="14"/>
  <c r="S319" i="14"/>
  <c r="R319" i="14"/>
  <c r="Q319" i="14"/>
  <c r="P319" i="14"/>
  <c r="O319" i="14"/>
  <c r="N319" i="14"/>
  <c r="L319" i="14"/>
  <c r="K319" i="14"/>
  <c r="M319" i="14"/>
  <c r="I319" i="14"/>
  <c r="F319" i="14"/>
  <c r="G319" i="14"/>
  <c r="H319" i="14"/>
  <c r="J319" i="14"/>
  <c r="AD311" i="14"/>
  <c r="AC311" i="14"/>
  <c r="AB311" i="14"/>
  <c r="AA311" i="14"/>
  <c r="X311" i="14"/>
  <c r="Y311" i="14"/>
  <c r="Z311" i="14"/>
  <c r="W311" i="14"/>
  <c r="U311" i="14"/>
  <c r="T311" i="14"/>
  <c r="V311" i="14"/>
  <c r="S311" i="14"/>
  <c r="R311" i="14"/>
  <c r="Q311" i="14"/>
  <c r="P311" i="14"/>
  <c r="N311" i="14"/>
  <c r="L311" i="14"/>
  <c r="O311" i="14"/>
  <c r="K311" i="14"/>
  <c r="M311" i="14"/>
  <c r="J311" i="14"/>
  <c r="I311" i="14"/>
  <c r="F311" i="14"/>
  <c r="G311" i="14"/>
  <c r="H311" i="14"/>
  <c r="AC303" i="14"/>
  <c r="AD303" i="14"/>
  <c r="AB303" i="14"/>
  <c r="AA303" i="14"/>
  <c r="X303" i="14"/>
  <c r="Y303" i="14"/>
  <c r="Z303" i="14"/>
  <c r="W303" i="14"/>
  <c r="U303" i="14"/>
  <c r="T303" i="14"/>
  <c r="V303" i="14"/>
  <c r="S303" i="14"/>
  <c r="R303" i="14"/>
  <c r="Q303" i="14"/>
  <c r="P303" i="14"/>
  <c r="N303" i="14"/>
  <c r="L303" i="14"/>
  <c r="K303" i="14"/>
  <c r="M303" i="14"/>
  <c r="O303" i="14"/>
  <c r="I303" i="14"/>
  <c r="J303" i="14"/>
  <c r="F303" i="14"/>
  <c r="G303" i="14"/>
  <c r="H303" i="14"/>
  <c r="AD295" i="14"/>
  <c r="AC295" i="14"/>
  <c r="AB295" i="14"/>
  <c r="AA295" i="14"/>
  <c r="X295" i="14"/>
  <c r="Y295" i="14"/>
  <c r="Z295" i="14"/>
  <c r="W295" i="14"/>
  <c r="U295" i="14"/>
  <c r="V295" i="14"/>
  <c r="T295" i="14"/>
  <c r="S295" i="14"/>
  <c r="R295" i="14"/>
  <c r="Q295" i="14"/>
  <c r="P295" i="14"/>
  <c r="N295" i="14"/>
  <c r="O295" i="14"/>
  <c r="L295" i="14"/>
  <c r="K295" i="14"/>
  <c r="M295" i="14"/>
  <c r="I295" i="14"/>
  <c r="F295" i="14"/>
  <c r="G295" i="14"/>
  <c r="J295" i="14"/>
  <c r="H295" i="14"/>
  <c r="AD287" i="14"/>
  <c r="AC287" i="14"/>
  <c r="AB287" i="14"/>
  <c r="AA287" i="14"/>
  <c r="X287" i="14"/>
  <c r="Y287" i="14"/>
  <c r="Z287" i="14"/>
  <c r="W287" i="14"/>
  <c r="V287" i="14"/>
  <c r="U287" i="14"/>
  <c r="T287" i="14"/>
  <c r="S287" i="14"/>
  <c r="R287" i="14"/>
  <c r="Q287" i="14"/>
  <c r="P287" i="14"/>
  <c r="N287" i="14"/>
  <c r="O287" i="14"/>
  <c r="L287" i="14"/>
  <c r="K287" i="14"/>
  <c r="M287" i="14"/>
  <c r="I287" i="14"/>
  <c r="F287" i="14"/>
  <c r="G287" i="14"/>
  <c r="H287" i="14"/>
  <c r="J287" i="14"/>
  <c r="AD279" i="14"/>
  <c r="AC279" i="14"/>
  <c r="AB279" i="14"/>
  <c r="X279" i="14"/>
  <c r="Y279" i="14"/>
  <c r="AA279" i="14"/>
  <c r="Z279" i="14"/>
  <c r="W279" i="14"/>
  <c r="U279" i="14"/>
  <c r="V279" i="14"/>
  <c r="T279" i="14"/>
  <c r="S279" i="14"/>
  <c r="R279" i="14"/>
  <c r="Q279" i="14"/>
  <c r="P279" i="14"/>
  <c r="N279" i="14"/>
  <c r="L279" i="14"/>
  <c r="K279" i="14"/>
  <c r="O279" i="14"/>
  <c r="M279" i="14"/>
  <c r="J279" i="14"/>
  <c r="I279" i="14"/>
  <c r="F279" i="14"/>
  <c r="G279" i="14"/>
  <c r="H279" i="14"/>
  <c r="AD271" i="14"/>
  <c r="AC271" i="14"/>
  <c r="AB271" i="14"/>
  <c r="AA271" i="14"/>
  <c r="X271" i="14"/>
  <c r="Y271" i="14"/>
  <c r="Z271" i="14"/>
  <c r="W271" i="14"/>
  <c r="U271" i="14"/>
  <c r="V271" i="14"/>
  <c r="T271" i="14"/>
  <c r="S271" i="14"/>
  <c r="R271" i="14"/>
  <c r="Q271" i="14"/>
  <c r="P271" i="14"/>
  <c r="N271" i="14"/>
  <c r="L271" i="14"/>
  <c r="K271" i="14"/>
  <c r="O271" i="14"/>
  <c r="M271" i="14"/>
  <c r="I271" i="14"/>
  <c r="J271" i="14"/>
  <c r="F271" i="14"/>
  <c r="G271" i="14"/>
  <c r="H271" i="14"/>
  <c r="AD263" i="14"/>
  <c r="AC263" i="14"/>
  <c r="AB263" i="14"/>
  <c r="Z263" i="14"/>
  <c r="AA263" i="14"/>
  <c r="X263" i="14"/>
  <c r="Y263" i="14"/>
  <c r="W263" i="14"/>
  <c r="U263" i="14"/>
  <c r="V263" i="14"/>
  <c r="T263" i="14"/>
  <c r="S263" i="14"/>
  <c r="R263" i="14"/>
  <c r="Q263" i="14"/>
  <c r="P263" i="14"/>
  <c r="O263" i="14"/>
  <c r="N263" i="14"/>
  <c r="L263" i="14"/>
  <c r="K263" i="14"/>
  <c r="M263" i="14"/>
  <c r="I263" i="14"/>
  <c r="F263" i="14"/>
  <c r="G263" i="14"/>
  <c r="J263" i="14"/>
  <c r="H263" i="14"/>
  <c r="AD255" i="14"/>
  <c r="AC255" i="14"/>
  <c r="AB255" i="14"/>
  <c r="Z255" i="14"/>
  <c r="AA255" i="14"/>
  <c r="X255" i="14"/>
  <c r="Y255" i="14"/>
  <c r="W255" i="14"/>
  <c r="U255" i="14"/>
  <c r="V255" i="14"/>
  <c r="T255" i="14"/>
  <c r="S255" i="14"/>
  <c r="R255" i="14"/>
  <c r="Q255" i="14"/>
  <c r="P255" i="14"/>
  <c r="O255" i="14"/>
  <c r="N255" i="14"/>
  <c r="L255" i="14"/>
  <c r="K255" i="14"/>
  <c r="M255" i="14"/>
  <c r="I255" i="14"/>
  <c r="F255" i="14"/>
  <c r="G255" i="14"/>
  <c r="H255" i="14"/>
  <c r="J255" i="14"/>
  <c r="AD247" i="14"/>
  <c r="AB247" i="14"/>
  <c r="AC247" i="14"/>
  <c r="Z247" i="14"/>
  <c r="AA247" i="14"/>
  <c r="X247" i="14"/>
  <c r="Y247" i="14"/>
  <c r="W247" i="14"/>
  <c r="U247" i="14"/>
  <c r="T247" i="14"/>
  <c r="V247" i="14"/>
  <c r="S247" i="14"/>
  <c r="R247" i="14"/>
  <c r="P247" i="14"/>
  <c r="Q247" i="14"/>
  <c r="L247" i="14"/>
  <c r="K247" i="14"/>
  <c r="N247" i="14"/>
  <c r="M247" i="14"/>
  <c r="O247" i="14"/>
  <c r="J247" i="14"/>
  <c r="I247" i="14"/>
  <c r="F247" i="14"/>
  <c r="G247" i="14"/>
  <c r="H247" i="14"/>
  <c r="AC239" i="14"/>
  <c r="AD239" i="14"/>
  <c r="AB239" i="14"/>
  <c r="AA239" i="14"/>
  <c r="Z239" i="14"/>
  <c r="X239" i="14"/>
  <c r="Y239" i="14"/>
  <c r="W239" i="14"/>
  <c r="U239" i="14"/>
  <c r="T239" i="14"/>
  <c r="S239" i="14"/>
  <c r="R239" i="14"/>
  <c r="P239" i="14"/>
  <c r="V239" i="14"/>
  <c r="Q239" i="14"/>
  <c r="N239" i="14"/>
  <c r="O239" i="14"/>
  <c r="L239" i="14"/>
  <c r="K239" i="14"/>
  <c r="M239" i="14"/>
  <c r="I239" i="14"/>
  <c r="J239" i="14"/>
  <c r="F239" i="14"/>
  <c r="G239" i="14"/>
  <c r="H239" i="14"/>
  <c r="AD231" i="14"/>
  <c r="AB231" i="14"/>
  <c r="Z231" i="14"/>
  <c r="AA231" i="14"/>
  <c r="X231" i="14"/>
  <c r="Y231" i="14"/>
  <c r="AC231" i="14"/>
  <c r="W231" i="14"/>
  <c r="U231" i="14"/>
  <c r="V231" i="14"/>
  <c r="T231" i="14"/>
  <c r="S231" i="14"/>
  <c r="R231" i="14"/>
  <c r="P231" i="14"/>
  <c r="Q231" i="14"/>
  <c r="O231" i="14"/>
  <c r="L231" i="14"/>
  <c r="K231" i="14"/>
  <c r="M231" i="14"/>
  <c r="N231" i="14"/>
  <c r="I231" i="14"/>
  <c r="F231" i="14"/>
  <c r="G231" i="14"/>
  <c r="H231" i="14"/>
  <c r="J231" i="14"/>
  <c r="AC223" i="14"/>
  <c r="AB223" i="14"/>
  <c r="AD223" i="14"/>
  <c r="Z223" i="14"/>
  <c r="AA223" i="14"/>
  <c r="X223" i="14"/>
  <c r="Y223" i="14"/>
  <c r="W223" i="14"/>
  <c r="V223" i="14"/>
  <c r="U223" i="14"/>
  <c r="T223" i="14"/>
  <c r="S223" i="14"/>
  <c r="R223" i="14"/>
  <c r="P223" i="14"/>
  <c r="Q223" i="14"/>
  <c r="O223" i="14"/>
  <c r="N223" i="14"/>
  <c r="L223" i="14"/>
  <c r="K223" i="14"/>
  <c r="M223" i="14"/>
  <c r="J223" i="14"/>
  <c r="I223" i="14"/>
  <c r="F223" i="14"/>
  <c r="G223" i="14"/>
  <c r="H223" i="14"/>
  <c r="AD215" i="14"/>
  <c r="AC215" i="14"/>
  <c r="AB215" i="14"/>
  <c r="Z215" i="14"/>
  <c r="X215" i="14"/>
  <c r="Y215" i="14"/>
  <c r="AA215" i="14"/>
  <c r="W215" i="14"/>
  <c r="U215" i="14"/>
  <c r="V215" i="14"/>
  <c r="T215" i="14"/>
  <c r="S215" i="14"/>
  <c r="R215" i="14"/>
  <c r="P215" i="14"/>
  <c r="Q215" i="14"/>
  <c r="L215" i="14"/>
  <c r="K215" i="14"/>
  <c r="O215" i="14"/>
  <c r="M215" i="14"/>
  <c r="N215" i="14"/>
  <c r="I215" i="14"/>
  <c r="F215" i="14"/>
  <c r="J215" i="14"/>
  <c r="G215" i="14"/>
  <c r="H215" i="14"/>
  <c r="AC207" i="14"/>
  <c r="AD207" i="14"/>
  <c r="AB207" i="14"/>
  <c r="AA207" i="14"/>
  <c r="Z207" i="14"/>
  <c r="X207" i="14"/>
  <c r="Y207" i="14"/>
  <c r="W207" i="14"/>
  <c r="U207" i="14"/>
  <c r="V207" i="14"/>
  <c r="T207" i="14"/>
  <c r="S207" i="14"/>
  <c r="R207" i="14"/>
  <c r="P207" i="14"/>
  <c r="Q207" i="14"/>
  <c r="N207" i="14"/>
  <c r="O207" i="14"/>
  <c r="L207" i="14"/>
  <c r="K207" i="14"/>
  <c r="M207" i="14"/>
  <c r="I207" i="14"/>
  <c r="F207" i="14"/>
  <c r="G207" i="14"/>
  <c r="H207" i="14"/>
  <c r="J207" i="14"/>
  <c r="AD199" i="14"/>
  <c r="AC199" i="14"/>
  <c r="AB199" i="14"/>
  <c r="Z199" i="14"/>
  <c r="AA199" i="14"/>
  <c r="X199" i="14"/>
  <c r="Y199" i="14"/>
  <c r="W199" i="14"/>
  <c r="U199" i="14"/>
  <c r="V199" i="14"/>
  <c r="T199" i="14"/>
  <c r="S199" i="14"/>
  <c r="R199" i="14"/>
  <c r="P199" i="14"/>
  <c r="Q199" i="14"/>
  <c r="O199" i="14"/>
  <c r="L199" i="14"/>
  <c r="K199" i="14"/>
  <c r="M199" i="14"/>
  <c r="N199" i="14"/>
  <c r="I199" i="14"/>
  <c r="J199" i="14"/>
  <c r="F199" i="14"/>
  <c r="G199" i="14"/>
  <c r="H199" i="14"/>
  <c r="AC191" i="14"/>
  <c r="AB191" i="14"/>
  <c r="AA191" i="14"/>
  <c r="AD191" i="14"/>
  <c r="Z191" i="14"/>
  <c r="X191" i="14"/>
  <c r="Y191" i="14"/>
  <c r="W191" i="14"/>
  <c r="U191" i="14"/>
  <c r="V191" i="14"/>
  <c r="T191" i="14"/>
  <c r="S191" i="14"/>
  <c r="R191" i="14"/>
  <c r="P191" i="14"/>
  <c r="Q191" i="14"/>
  <c r="O191" i="14"/>
  <c r="N191" i="14"/>
  <c r="L191" i="14"/>
  <c r="K191" i="14"/>
  <c r="M191" i="14"/>
  <c r="I191" i="14"/>
  <c r="F191" i="14"/>
  <c r="G191" i="14"/>
  <c r="H191" i="14"/>
  <c r="J191" i="14"/>
  <c r="AD183" i="14"/>
  <c r="AB183" i="14"/>
  <c r="AA183" i="14"/>
  <c r="AC183" i="14"/>
  <c r="Z183" i="14"/>
  <c r="X183" i="14"/>
  <c r="Y183" i="14"/>
  <c r="W183" i="14"/>
  <c r="U183" i="14"/>
  <c r="T183" i="14"/>
  <c r="S183" i="14"/>
  <c r="R183" i="14"/>
  <c r="V183" i="14"/>
  <c r="P183" i="14"/>
  <c r="Q183" i="14"/>
  <c r="O183" i="14"/>
  <c r="L183" i="14"/>
  <c r="K183" i="14"/>
  <c r="N183" i="14"/>
  <c r="M183" i="14"/>
  <c r="I183" i="14"/>
  <c r="J183" i="14"/>
  <c r="F183" i="14"/>
  <c r="G183" i="14"/>
  <c r="H183" i="14"/>
  <c r="AC175" i="14"/>
  <c r="AB175" i="14"/>
  <c r="AD175" i="14"/>
  <c r="AA175" i="14"/>
  <c r="Z175" i="14"/>
  <c r="X175" i="14"/>
  <c r="Y175" i="14"/>
  <c r="W175" i="14"/>
  <c r="U175" i="14"/>
  <c r="V175" i="14"/>
  <c r="T175" i="14"/>
  <c r="S175" i="14"/>
  <c r="R175" i="14"/>
  <c r="P175" i="14"/>
  <c r="Q175" i="14"/>
  <c r="N175" i="14"/>
  <c r="O175" i="14"/>
  <c r="L175" i="14"/>
  <c r="K175" i="14"/>
  <c r="M175" i="14"/>
  <c r="I175" i="14"/>
  <c r="F175" i="14"/>
  <c r="G175" i="14"/>
  <c r="H175" i="14"/>
  <c r="J175" i="14"/>
  <c r="AD167" i="14"/>
  <c r="AB167" i="14"/>
  <c r="AA167" i="14"/>
  <c r="AC167" i="14"/>
  <c r="Z167" i="14"/>
  <c r="X167" i="14"/>
  <c r="Y167" i="14"/>
  <c r="W167" i="14"/>
  <c r="U167" i="14"/>
  <c r="V167" i="14"/>
  <c r="T167" i="14"/>
  <c r="S167" i="14"/>
  <c r="R167" i="14"/>
  <c r="P167" i="14"/>
  <c r="Q167" i="14"/>
  <c r="O167" i="14"/>
  <c r="L167" i="14"/>
  <c r="K167" i="14"/>
  <c r="M167" i="14"/>
  <c r="N167" i="14"/>
  <c r="I167" i="14"/>
  <c r="J167" i="14"/>
  <c r="F167" i="14"/>
  <c r="G167" i="14"/>
  <c r="H167" i="14"/>
  <c r="AD159" i="14"/>
  <c r="AB159" i="14"/>
  <c r="AA159" i="14"/>
  <c r="AC159" i="14"/>
  <c r="Z159" i="14"/>
  <c r="X159" i="14"/>
  <c r="Y159" i="14"/>
  <c r="W159" i="14"/>
  <c r="V159" i="14"/>
  <c r="U159" i="14"/>
  <c r="T159" i="14"/>
  <c r="S159" i="14"/>
  <c r="R159" i="14"/>
  <c r="P159" i="14"/>
  <c r="Q159" i="14"/>
  <c r="O159" i="14"/>
  <c r="N159" i="14"/>
  <c r="L159" i="14"/>
  <c r="K159" i="14"/>
  <c r="M159" i="14"/>
  <c r="I159" i="14"/>
  <c r="F159" i="14"/>
  <c r="G159" i="14"/>
  <c r="H159" i="14"/>
  <c r="J159" i="14"/>
  <c r="AD151" i="14"/>
  <c r="AC151" i="14"/>
  <c r="AA151" i="14"/>
  <c r="Z151" i="14"/>
  <c r="X151" i="14"/>
  <c r="Y151" i="14"/>
  <c r="AB151" i="14"/>
  <c r="W151" i="14"/>
  <c r="U151" i="14"/>
  <c r="V151" i="14"/>
  <c r="T151" i="14"/>
  <c r="S151" i="14"/>
  <c r="R151" i="14"/>
  <c r="P151" i="14"/>
  <c r="Q151" i="14"/>
  <c r="O151" i="14"/>
  <c r="L151" i="14"/>
  <c r="K151" i="14"/>
  <c r="M151" i="14"/>
  <c r="N151" i="14"/>
  <c r="I151" i="14"/>
  <c r="J151" i="14"/>
  <c r="F151" i="14"/>
  <c r="G151" i="14"/>
  <c r="H151" i="14"/>
  <c r="AD143" i="14"/>
  <c r="AC143" i="14"/>
  <c r="AA143" i="14"/>
  <c r="Z143" i="14"/>
  <c r="AB143" i="14"/>
  <c r="X143" i="14"/>
  <c r="Y143" i="14"/>
  <c r="W143" i="14"/>
  <c r="U143" i="14"/>
  <c r="V143" i="14"/>
  <c r="T143" i="14"/>
  <c r="S143" i="14"/>
  <c r="R143" i="14"/>
  <c r="P143" i="14"/>
  <c r="Q143" i="14"/>
  <c r="N143" i="14"/>
  <c r="O143" i="14"/>
  <c r="L143" i="14"/>
  <c r="K143" i="14"/>
  <c r="M143" i="14"/>
  <c r="I143" i="14"/>
  <c r="F143" i="14"/>
  <c r="G143" i="14"/>
  <c r="H143" i="14"/>
  <c r="J143" i="14"/>
  <c r="AD135" i="14"/>
  <c r="AC135" i="14"/>
  <c r="AA135" i="14"/>
  <c r="Z135" i="14"/>
  <c r="X135" i="14"/>
  <c r="AB135" i="14"/>
  <c r="Y135" i="14"/>
  <c r="W135" i="14"/>
  <c r="U135" i="14"/>
  <c r="V135" i="14"/>
  <c r="T135" i="14"/>
  <c r="S135" i="14"/>
  <c r="R135" i="14"/>
  <c r="P135" i="14"/>
  <c r="Q135" i="14"/>
  <c r="O135" i="14"/>
  <c r="L135" i="14"/>
  <c r="K135" i="14"/>
  <c r="M135" i="14"/>
  <c r="N135" i="14"/>
  <c r="I135" i="14"/>
  <c r="J135" i="14"/>
  <c r="F135" i="14"/>
  <c r="G135" i="14"/>
  <c r="H135" i="14"/>
  <c r="AD127" i="14"/>
  <c r="AC127" i="14"/>
  <c r="AB127" i="14"/>
  <c r="AA127" i="14"/>
  <c r="Z127" i="14"/>
  <c r="X127" i="14"/>
  <c r="Y127" i="14"/>
  <c r="W127" i="14"/>
  <c r="U127" i="14"/>
  <c r="V127" i="14"/>
  <c r="T127" i="14"/>
  <c r="S127" i="14"/>
  <c r="R127" i="14"/>
  <c r="P127" i="14"/>
  <c r="Q127" i="14"/>
  <c r="O127" i="14"/>
  <c r="N127" i="14"/>
  <c r="L127" i="14"/>
  <c r="K127" i="14"/>
  <c r="M127" i="14"/>
  <c r="I127" i="14"/>
  <c r="F127" i="14"/>
  <c r="G127" i="14"/>
  <c r="H127" i="14"/>
  <c r="J127" i="14"/>
  <c r="AD119" i="14"/>
  <c r="AC119" i="14"/>
  <c r="AB119" i="14"/>
  <c r="AA119" i="14"/>
  <c r="Z119" i="14"/>
  <c r="X119" i="14"/>
  <c r="Y119" i="14"/>
  <c r="W119" i="14"/>
  <c r="U119" i="14"/>
  <c r="T119" i="14"/>
  <c r="V119" i="14"/>
  <c r="S119" i="14"/>
  <c r="R119" i="14"/>
  <c r="P119" i="14"/>
  <c r="Q119" i="14"/>
  <c r="O119" i="14"/>
  <c r="L119" i="14"/>
  <c r="K119" i="14"/>
  <c r="N119" i="14"/>
  <c r="M119" i="14"/>
  <c r="I119" i="14"/>
  <c r="J119" i="14"/>
  <c r="F119" i="14"/>
  <c r="G119" i="14"/>
  <c r="H119" i="14"/>
  <c r="AC111" i="14"/>
  <c r="AD111" i="14"/>
  <c r="AA111" i="14"/>
  <c r="AB111" i="14"/>
  <c r="Z111" i="14"/>
  <c r="X111" i="14"/>
  <c r="Y111" i="14"/>
  <c r="W111" i="14"/>
  <c r="U111" i="14"/>
  <c r="V111" i="14"/>
  <c r="T111" i="14"/>
  <c r="S111" i="14"/>
  <c r="R111" i="14"/>
  <c r="P111" i="14"/>
  <c r="Q111" i="14"/>
  <c r="N111" i="14"/>
  <c r="O111" i="14"/>
  <c r="L111" i="14"/>
  <c r="K111" i="14"/>
  <c r="M111" i="14"/>
  <c r="I111" i="14"/>
  <c r="F111" i="14"/>
  <c r="G111" i="14"/>
  <c r="H111" i="14"/>
  <c r="J111" i="14"/>
  <c r="AD103" i="14"/>
  <c r="AC103" i="14"/>
  <c r="AA103" i="14"/>
  <c r="AB103" i="14"/>
  <c r="Z103" i="14"/>
  <c r="X103" i="14"/>
  <c r="Y103" i="14"/>
  <c r="W103" i="14"/>
  <c r="U103" i="14"/>
  <c r="V103" i="14"/>
  <c r="T103" i="14"/>
  <c r="S103" i="14"/>
  <c r="R103" i="14"/>
  <c r="P103" i="14"/>
  <c r="Q103" i="14"/>
  <c r="O103" i="14"/>
  <c r="L103" i="14"/>
  <c r="K103" i="14"/>
  <c r="M103" i="14"/>
  <c r="N103" i="14"/>
  <c r="I103" i="14"/>
  <c r="J103" i="14"/>
  <c r="F103" i="14"/>
  <c r="G103" i="14"/>
  <c r="H103" i="14"/>
  <c r="AD95" i="14"/>
  <c r="AB95" i="14"/>
  <c r="Z95" i="14"/>
  <c r="AC95" i="14"/>
  <c r="X95" i="14"/>
  <c r="Y95" i="14"/>
  <c r="AA95" i="14"/>
  <c r="W95" i="14"/>
  <c r="V95" i="14"/>
  <c r="U95" i="14"/>
  <c r="T95" i="14"/>
  <c r="S95" i="14"/>
  <c r="R95" i="14"/>
  <c r="P95" i="14"/>
  <c r="Q95" i="14"/>
  <c r="O95" i="14"/>
  <c r="N95" i="14"/>
  <c r="L95" i="14"/>
  <c r="K95" i="14"/>
  <c r="M95" i="14"/>
  <c r="I95" i="14"/>
  <c r="F95" i="14"/>
  <c r="G95" i="14"/>
  <c r="H95" i="14"/>
  <c r="J95" i="14"/>
  <c r="AD87" i="14"/>
  <c r="AC87" i="14"/>
  <c r="Z87" i="14"/>
  <c r="AB87" i="14"/>
  <c r="AA87" i="14"/>
  <c r="X87" i="14"/>
  <c r="Y87" i="14"/>
  <c r="W87" i="14"/>
  <c r="V87" i="14"/>
  <c r="T87" i="14"/>
  <c r="U87" i="14"/>
  <c r="R87" i="14"/>
  <c r="S87" i="14"/>
  <c r="P87" i="14"/>
  <c r="Q87" i="14"/>
  <c r="O87" i="14"/>
  <c r="L87" i="14"/>
  <c r="K87" i="14"/>
  <c r="M87" i="14"/>
  <c r="N87" i="14"/>
  <c r="J87" i="14"/>
  <c r="I87" i="14"/>
  <c r="F87" i="14"/>
  <c r="G87" i="14"/>
  <c r="H87" i="14"/>
  <c r="AC79" i="14"/>
  <c r="AD79" i="14"/>
  <c r="AB79" i="14"/>
  <c r="AA79" i="14"/>
  <c r="Z79" i="14"/>
  <c r="X79" i="14"/>
  <c r="Y79" i="14"/>
  <c r="W79" i="14"/>
  <c r="U79" i="14"/>
  <c r="V79" i="14"/>
  <c r="T79" i="14"/>
  <c r="S79" i="14"/>
  <c r="R79" i="14"/>
  <c r="P79" i="14"/>
  <c r="Q79" i="14"/>
  <c r="O79" i="14"/>
  <c r="N79" i="14"/>
  <c r="L79" i="14"/>
  <c r="M79" i="14"/>
  <c r="J79" i="14"/>
  <c r="I79" i="14"/>
  <c r="F79" i="14"/>
  <c r="G79" i="14"/>
  <c r="H79" i="14"/>
  <c r="K79" i="14"/>
  <c r="AD71" i="14"/>
  <c r="AC71" i="14"/>
  <c r="AA71" i="14"/>
  <c r="Z71" i="14"/>
  <c r="X71" i="14"/>
  <c r="AB71" i="14"/>
  <c r="Y71" i="14"/>
  <c r="W71" i="14"/>
  <c r="V71" i="14"/>
  <c r="U71" i="14"/>
  <c r="T71" i="14"/>
  <c r="S71" i="14"/>
  <c r="R71" i="14"/>
  <c r="P71" i="14"/>
  <c r="Q71" i="14"/>
  <c r="O71" i="14"/>
  <c r="L71" i="14"/>
  <c r="M71" i="14"/>
  <c r="K71" i="14"/>
  <c r="J71" i="14"/>
  <c r="N71" i="14"/>
  <c r="I71" i="14"/>
  <c r="F71" i="14"/>
  <c r="G71" i="14"/>
  <c r="H71" i="14"/>
  <c r="AC63" i="14"/>
  <c r="AB63" i="14"/>
  <c r="AD63" i="14"/>
  <c r="Z63" i="14"/>
  <c r="AA63" i="14"/>
  <c r="X63" i="14"/>
  <c r="Y63" i="14"/>
  <c r="W63" i="14"/>
  <c r="U63" i="14"/>
  <c r="V63" i="14"/>
  <c r="T63" i="14"/>
  <c r="R63" i="14"/>
  <c r="P63" i="14"/>
  <c r="S63" i="14"/>
  <c r="Q63" i="14"/>
  <c r="O63" i="14"/>
  <c r="N63" i="14"/>
  <c r="L63" i="14"/>
  <c r="M63" i="14"/>
  <c r="K63" i="14"/>
  <c r="J63" i="14"/>
  <c r="I63" i="14"/>
  <c r="F63" i="14"/>
  <c r="G63" i="14"/>
  <c r="H63" i="14"/>
  <c r="AD55" i="14"/>
  <c r="AC55" i="14"/>
  <c r="AB55" i="14"/>
  <c r="AA55" i="14"/>
  <c r="Z55" i="14"/>
  <c r="X55" i="14"/>
  <c r="Y55" i="14"/>
  <c r="W55" i="14"/>
  <c r="T55" i="14"/>
  <c r="V55" i="14"/>
  <c r="U55" i="14"/>
  <c r="R55" i="14"/>
  <c r="S55" i="14"/>
  <c r="P55" i="14"/>
  <c r="Q55" i="14"/>
  <c r="O55" i="14"/>
  <c r="N55" i="14"/>
  <c r="L55" i="14"/>
  <c r="K55" i="14"/>
  <c r="M55" i="14"/>
  <c r="J55" i="14"/>
  <c r="I55" i="14"/>
  <c r="F55" i="14"/>
  <c r="G55" i="14"/>
  <c r="H55" i="14"/>
  <c r="AC47" i="14"/>
  <c r="AD47" i="14"/>
  <c r="AA47" i="14"/>
  <c r="AB47" i="14"/>
  <c r="Z47" i="14"/>
  <c r="X47" i="14"/>
  <c r="Y47" i="14"/>
  <c r="W47" i="14"/>
  <c r="V47" i="14"/>
  <c r="U47" i="14"/>
  <c r="T47" i="14"/>
  <c r="S47" i="14"/>
  <c r="R47" i="14"/>
  <c r="P47" i="14"/>
  <c r="Q47" i="14"/>
  <c r="O47" i="14"/>
  <c r="N47" i="14"/>
  <c r="L47" i="14"/>
  <c r="M47" i="14"/>
  <c r="J47" i="14"/>
  <c r="K47" i="14"/>
  <c r="I47" i="14"/>
  <c r="F47" i="14"/>
  <c r="G47" i="14"/>
  <c r="H47" i="14"/>
  <c r="AD39" i="14"/>
  <c r="AB39" i="14"/>
  <c r="AA39" i="14"/>
  <c r="Z39" i="14"/>
  <c r="X39" i="14"/>
  <c r="AC39" i="14"/>
  <c r="Y39" i="14"/>
  <c r="W39" i="14"/>
  <c r="V39" i="14"/>
  <c r="U39" i="14"/>
  <c r="T39" i="14"/>
  <c r="P39" i="14"/>
  <c r="S39" i="14"/>
  <c r="R39" i="14"/>
  <c r="Q39" i="14"/>
  <c r="O39" i="14"/>
  <c r="N39" i="14"/>
  <c r="L39" i="14"/>
  <c r="M39" i="14"/>
  <c r="K39" i="14"/>
  <c r="J39" i="14"/>
  <c r="I39" i="14"/>
  <c r="F39" i="14"/>
  <c r="G39" i="14"/>
  <c r="H39" i="14"/>
  <c r="AD31" i="14"/>
  <c r="AC31" i="14"/>
  <c r="Z31" i="14"/>
  <c r="X31" i="14"/>
  <c r="AA31" i="14"/>
  <c r="Y31" i="14"/>
  <c r="AB31" i="14"/>
  <c r="W31" i="14"/>
  <c r="V31" i="14"/>
  <c r="U31" i="14"/>
  <c r="T31" i="14"/>
  <c r="S31" i="14"/>
  <c r="R31" i="14"/>
  <c r="P31" i="14"/>
  <c r="Q31" i="14"/>
  <c r="O31" i="14"/>
  <c r="N31" i="14"/>
  <c r="L31" i="14"/>
  <c r="M31" i="14"/>
  <c r="K31" i="14"/>
  <c r="J31" i="14"/>
  <c r="I31" i="14"/>
  <c r="F31" i="14"/>
  <c r="G31" i="14"/>
  <c r="H31" i="14"/>
  <c r="AD23" i="14"/>
  <c r="AC23" i="14"/>
  <c r="AB23" i="14"/>
  <c r="Z23" i="14"/>
  <c r="AA23" i="14"/>
  <c r="X23" i="14"/>
  <c r="Y23" i="14"/>
  <c r="W23" i="14"/>
  <c r="V23" i="14"/>
  <c r="T23" i="14"/>
  <c r="S23" i="14"/>
  <c r="R23" i="14"/>
  <c r="P23" i="14"/>
  <c r="U23" i="14"/>
  <c r="Q23" i="14"/>
  <c r="O23" i="14"/>
  <c r="N23" i="14"/>
  <c r="L23" i="14"/>
  <c r="K23" i="14"/>
  <c r="M23" i="14"/>
  <c r="J23" i="14"/>
  <c r="I23" i="14"/>
  <c r="F23" i="14"/>
  <c r="G23" i="14"/>
  <c r="H23" i="14"/>
  <c r="F394" i="14"/>
  <c r="F362" i="14"/>
  <c r="F330" i="14"/>
  <c r="F284" i="14"/>
  <c r="F220" i="14"/>
  <c r="F156" i="14"/>
  <c r="F92" i="14"/>
  <c r="G371" i="14"/>
  <c r="G307" i="14"/>
  <c r="G243" i="14"/>
  <c r="G179" i="14"/>
  <c r="G115" i="14"/>
  <c r="AC406" i="14"/>
  <c r="AD406" i="14"/>
  <c r="AB406" i="14"/>
  <c r="Y406" i="14"/>
  <c r="AA406" i="14"/>
  <c r="Z406" i="14"/>
  <c r="X406" i="14"/>
  <c r="W406" i="14"/>
  <c r="V406" i="14"/>
  <c r="U406" i="14"/>
  <c r="S406" i="14"/>
  <c r="T406" i="14"/>
  <c r="R406" i="14"/>
  <c r="P406" i="14"/>
  <c r="Q406" i="14"/>
  <c r="M406" i="14"/>
  <c r="O406" i="14"/>
  <c r="L406" i="14"/>
  <c r="N406" i="14"/>
  <c r="K406" i="14"/>
  <c r="I406" i="14"/>
  <c r="J406" i="14"/>
  <c r="F406" i="14"/>
  <c r="G406" i="14"/>
  <c r="H406" i="14"/>
  <c r="AC398" i="14"/>
  <c r="AB398" i="14"/>
  <c r="AD398" i="14"/>
  <c r="AA398" i="14"/>
  <c r="Y398" i="14"/>
  <c r="Z398" i="14"/>
  <c r="W398" i="14"/>
  <c r="X398" i="14"/>
  <c r="V398" i="14"/>
  <c r="U398" i="14"/>
  <c r="T398" i="14"/>
  <c r="S398" i="14"/>
  <c r="Q398" i="14"/>
  <c r="P398" i="14"/>
  <c r="R398" i="14"/>
  <c r="O398" i="14"/>
  <c r="M398" i="14"/>
  <c r="L398" i="14"/>
  <c r="N398" i="14"/>
  <c r="K398" i="14"/>
  <c r="I398" i="14"/>
  <c r="J398" i="14"/>
  <c r="F398" i="14"/>
  <c r="G398" i="14"/>
  <c r="H398" i="14"/>
  <c r="AC390" i="14"/>
  <c r="AD390" i="14"/>
  <c r="AB390" i="14"/>
  <c r="Y390" i="14"/>
  <c r="AA390" i="14"/>
  <c r="X390" i="14"/>
  <c r="W390" i="14"/>
  <c r="Z390" i="14"/>
  <c r="V390" i="14"/>
  <c r="U390" i="14"/>
  <c r="T390" i="14"/>
  <c r="S390" i="14"/>
  <c r="R390" i="14"/>
  <c r="P390" i="14"/>
  <c r="Q390" i="14"/>
  <c r="M390" i="14"/>
  <c r="O390" i="14"/>
  <c r="L390" i="14"/>
  <c r="N390" i="14"/>
  <c r="K390" i="14"/>
  <c r="I390" i="14"/>
  <c r="J390" i="14"/>
  <c r="F390" i="14"/>
  <c r="G390" i="14"/>
  <c r="H390" i="14"/>
  <c r="AD382" i="14"/>
  <c r="AC382" i="14"/>
  <c r="AA382" i="14"/>
  <c r="AB382" i="14"/>
  <c r="Y382" i="14"/>
  <c r="Z382" i="14"/>
  <c r="W382" i="14"/>
  <c r="X382" i="14"/>
  <c r="U382" i="14"/>
  <c r="T382" i="14"/>
  <c r="V382" i="14"/>
  <c r="Q382" i="14"/>
  <c r="P382" i="14"/>
  <c r="S382" i="14"/>
  <c r="R382" i="14"/>
  <c r="O382" i="14"/>
  <c r="M382" i="14"/>
  <c r="L382" i="14"/>
  <c r="N382" i="14"/>
  <c r="K382" i="14"/>
  <c r="I382" i="14"/>
  <c r="J382" i="14"/>
  <c r="F382" i="14"/>
  <c r="G382" i="14"/>
  <c r="H382" i="14"/>
  <c r="AD374" i="14"/>
  <c r="AC374" i="14"/>
  <c r="AB374" i="14"/>
  <c r="Y374" i="14"/>
  <c r="AA374" i="14"/>
  <c r="W374" i="14"/>
  <c r="X374" i="14"/>
  <c r="V374" i="14"/>
  <c r="Z374" i="14"/>
  <c r="U374" i="14"/>
  <c r="T374" i="14"/>
  <c r="S374" i="14"/>
  <c r="R374" i="14"/>
  <c r="O374" i="14"/>
  <c r="P374" i="14"/>
  <c r="Q374" i="14"/>
  <c r="M374" i="14"/>
  <c r="L374" i="14"/>
  <c r="N374" i="14"/>
  <c r="K374" i="14"/>
  <c r="I374" i="14"/>
  <c r="J374" i="14"/>
  <c r="F374" i="14"/>
  <c r="G374" i="14"/>
  <c r="H374" i="14"/>
  <c r="AC366" i="14"/>
  <c r="AD366" i="14"/>
  <c r="AB366" i="14"/>
  <c r="AA366" i="14"/>
  <c r="Y366" i="14"/>
  <c r="X366" i="14"/>
  <c r="W366" i="14"/>
  <c r="Z366" i="14"/>
  <c r="V366" i="14"/>
  <c r="U366" i="14"/>
  <c r="S366" i="14"/>
  <c r="T366" i="14"/>
  <c r="Q366" i="14"/>
  <c r="O366" i="14"/>
  <c r="P366" i="14"/>
  <c r="R366" i="14"/>
  <c r="M366" i="14"/>
  <c r="L366" i="14"/>
  <c r="N366" i="14"/>
  <c r="J366" i="14"/>
  <c r="K366" i="14"/>
  <c r="I366" i="14"/>
  <c r="F366" i="14"/>
  <c r="G366" i="14"/>
  <c r="H366" i="14"/>
  <c r="AC358" i="14"/>
  <c r="AD358" i="14"/>
  <c r="AB358" i="14"/>
  <c r="Y358" i="14"/>
  <c r="AA358" i="14"/>
  <c r="Z358" i="14"/>
  <c r="W358" i="14"/>
  <c r="X358" i="14"/>
  <c r="V358" i="14"/>
  <c r="U358" i="14"/>
  <c r="T358" i="14"/>
  <c r="S358" i="14"/>
  <c r="R358" i="14"/>
  <c r="O358" i="14"/>
  <c r="P358" i="14"/>
  <c r="Q358" i="14"/>
  <c r="M358" i="14"/>
  <c r="L358" i="14"/>
  <c r="J358" i="14"/>
  <c r="N358" i="14"/>
  <c r="K358" i="14"/>
  <c r="I358" i="14"/>
  <c r="F358" i="14"/>
  <c r="G358" i="14"/>
  <c r="H358" i="14"/>
  <c r="AD350" i="14"/>
  <c r="AC350" i="14"/>
  <c r="AB350" i="14"/>
  <c r="AA350" i="14"/>
  <c r="Y350" i="14"/>
  <c r="X350" i="14"/>
  <c r="W350" i="14"/>
  <c r="Z350" i="14"/>
  <c r="U350" i="14"/>
  <c r="T350" i="14"/>
  <c r="V350" i="14"/>
  <c r="S350" i="14"/>
  <c r="Q350" i="14"/>
  <c r="O350" i="14"/>
  <c r="P350" i="14"/>
  <c r="R350" i="14"/>
  <c r="M350" i="14"/>
  <c r="L350" i="14"/>
  <c r="N350" i="14"/>
  <c r="J350" i="14"/>
  <c r="K350" i="14"/>
  <c r="I350" i="14"/>
  <c r="F350" i="14"/>
  <c r="G350" i="14"/>
  <c r="H350" i="14"/>
  <c r="AC342" i="14"/>
  <c r="AB342" i="14"/>
  <c r="AD342" i="14"/>
  <c r="Y342" i="14"/>
  <c r="AA342" i="14"/>
  <c r="Z342" i="14"/>
  <c r="X342" i="14"/>
  <c r="W342" i="14"/>
  <c r="U342" i="14"/>
  <c r="S342" i="14"/>
  <c r="V342" i="14"/>
  <c r="T342" i="14"/>
  <c r="R342" i="14"/>
  <c r="O342" i="14"/>
  <c r="P342" i="14"/>
  <c r="Q342" i="14"/>
  <c r="M342" i="14"/>
  <c r="L342" i="14"/>
  <c r="J342" i="14"/>
  <c r="N342" i="14"/>
  <c r="K342" i="14"/>
  <c r="I342" i="14"/>
  <c r="F342" i="14"/>
  <c r="G342" i="14"/>
  <c r="H342" i="14"/>
  <c r="AC334" i="14"/>
  <c r="AB334" i="14"/>
  <c r="AD334" i="14"/>
  <c r="AA334" i="14"/>
  <c r="Y334" i="14"/>
  <c r="Z334" i="14"/>
  <c r="W334" i="14"/>
  <c r="X334" i="14"/>
  <c r="V334" i="14"/>
  <c r="U334" i="14"/>
  <c r="T334" i="14"/>
  <c r="S334" i="14"/>
  <c r="Q334" i="14"/>
  <c r="O334" i="14"/>
  <c r="P334" i="14"/>
  <c r="R334" i="14"/>
  <c r="M334" i="14"/>
  <c r="L334" i="14"/>
  <c r="N334" i="14"/>
  <c r="J334" i="14"/>
  <c r="K334" i="14"/>
  <c r="I334" i="14"/>
  <c r="F334" i="14"/>
  <c r="G334" i="14"/>
  <c r="H334" i="14"/>
  <c r="AD326" i="14"/>
  <c r="AC326" i="14"/>
  <c r="AB326" i="14"/>
  <c r="AA326" i="14"/>
  <c r="Y326" i="14"/>
  <c r="X326" i="14"/>
  <c r="W326" i="14"/>
  <c r="Z326" i="14"/>
  <c r="V326" i="14"/>
  <c r="S326" i="14"/>
  <c r="T326" i="14"/>
  <c r="R326" i="14"/>
  <c r="O326" i="14"/>
  <c r="P326" i="14"/>
  <c r="Q326" i="14"/>
  <c r="U326" i="14"/>
  <c r="M326" i="14"/>
  <c r="L326" i="14"/>
  <c r="J326" i="14"/>
  <c r="N326" i="14"/>
  <c r="K326" i="14"/>
  <c r="I326" i="14"/>
  <c r="F326" i="14"/>
  <c r="G326" i="14"/>
  <c r="H326" i="14"/>
  <c r="AD318" i="14"/>
  <c r="AC318" i="14"/>
  <c r="AA318" i="14"/>
  <c r="AB318" i="14"/>
  <c r="Y318" i="14"/>
  <c r="Z318" i="14"/>
  <c r="W318" i="14"/>
  <c r="X318" i="14"/>
  <c r="V318" i="14"/>
  <c r="U318" i="14"/>
  <c r="T318" i="14"/>
  <c r="S318" i="14"/>
  <c r="Q318" i="14"/>
  <c r="O318" i="14"/>
  <c r="P318" i="14"/>
  <c r="R318" i="14"/>
  <c r="M318" i="14"/>
  <c r="L318" i="14"/>
  <c r="N318" i="14"/>
  <c r="J318" i="14"/>
  <c r="K318" i="14"/>
  <c r="I318" i="14"/>
  <c r="F318" i="14"/>
  <c r="G318" i="14"/>
  <c r="H318" i="14"/>
  <c r="AC310" i="14"/>
  <c r="AD310" i="14"/>
  <c r="AB310" i="14"/>
  <c r="AA310" i="14"/>
  <c r="Y310" i="14"/>
  <c r="W310" i="14"/>
  <c r="Z310" i="14"/>
  <c r="X310" i="14"/>
  <c r="V310" i="14"/>
  <c r="U310" i="14"/>
  <c r="S310" i="14"/>
  <c r="T310" i="14"/>
  <c r="R310" i="14"/>
  <c r="O310" i="14"/>
  <c r="P310" i="14"/>
  <c r="Q310" i="14"/>
  <c r="M310" i="14"/>
  <c r="L310" i="14"/>
  <c r="J310" i="14"/>
  <c r="N310" i="14"/>
  <c r="K310" i="14"/>
  <c r="I310" i="14"/>
  <c r="F310" i="14"/>
  <c r="G310" i="14"/>
  <c r="H310" i="14"/>
  <c r="AD302" i="14"/>
  <c r="AC302" i="14"/>
  <c r="AB302" i="14"/>
  <c r="Y302" i="14"/>
  <c r="X302" i="14"/>
  <c r="AA302" i="14"/>
  <c r="W302" i="14"/>
  <c r="Z302" i="14"/>
  <c r="V302" i="14"/>
  <c r="U302" i="14"/>
  <c r="S302" i="14"/>
  <c r="T302" i="14"/>
  <c r="Q302" i="14"/>
  <c r="O302" i="14"/>
  <c r="P302" i="14"/>
  <c r="R302" i="14"/>
  <c r="M302" i="14"/>
  <c r="L302" i="14"/>
  <c r="N302" i="14"/>
  <c r="J302" i="14"/>
  <c r="K302" i="14"/>
  <c r="I302" i="14"/>
  <c r="F302" i="14"/>
  <c r="G302" i="14"/>
  <c r="H302" i="14"/>
  <c r="AD294" i="14"/>
  <c r="AC294" i="14"/>
  <c r="AB294" i="14"/>
  <c r="Y294" i="14"/>
  <c r="AA294" i="14"/>
  <c r="Z294" i="14"/>
  <c r="W294" i="14"/>
  <c r="X294" i="14"/>
  <c r="V294" i="14"/>
  <c r="S294" i="14"/>
  <c r="U294" i="14"/>
  <c r="R294" i="14"/>
  <c r="O294" i="14"/>
  <c r="T294" i="14"/>
  <c r="P294" i="14"/>
  <c r="Q294" i="14"/>
  <c r="M294" i="14"/>
  <c r="L294" i="14"/>
  <c r="J294" i="14"/>
  <c r="N294" i="14"/>
  <c r="K294" i="14"/>
  <c r="I294" i="14"/>
  <c r="F294" i="14"/>
  <c r="G294" i="14"/>
  <c r="H294" i="14"/>
  <c r="AD286" i="14"/>
  <c r="AC286" i="14"/>
  <c r="AA286" i="14"/>
  <c r="AB286" i="14"/>
  <c r="Y286" i="14"/>
  <c r="X286" i="14"/>
  <c r="W286" i="14"/>
  <c r="Z286" i="14"/>
  <c r="U286" i="14"/>
  <c r="T286" i="14"/>
  <c r="S286" i="14"/>
  <c r="Q286" i="14"/>
  <c r="O286" i="14"/>
  <c r="V286" i="14"/>
  <c r="P286" i="14"/>
  <c r="R286" i="14"/>
  <c r="M286" i="14"/>
  <c r="L286" i="14"/>
  <c r="N286" i="14"/>
  <c r="J286" i="14"/>
  <c r="K286" i="14"/>
  <c r="I286" i="14"/>
  <c r="F286" i="14"/>
  <c r="G286" i="14"/>
  <c r="H286" i="14"/>
  <c r="AD278" i="14"/>
  <c r="AC278" i="14"/>
  <c r="AB278" i="14"/>
  <c r="Y278" i="14"/>
  <c r="AA278" i="14"/>
  <c r="Z278" i="14"/>
  <c r="X278" i="14"/>
  <c r="W278" i="14"/>
  <c r="V278" i="14"/>
  <c r="U278" i="14"/>
  <c r="S278" i="14"/>
  <c r="T278" i="14"/>
  <c r="R278" i="14"/>
  <c r="O278" i="14"/>
  <c r="P278" i="14"/>
  <c r="Q278" i="14"/>
  <c r="M278" i="14"/>
  <c r="L278" i="14"/>
  <c r="J278" i="14"/>
  <c r="N278" i="14"/>
  <c r="K278" i="14"/>
  <c r="I278" i="14"/>
  <c r="F278" i="14"/>
  <c r="G278" i="14"/>
  <c r="H278" i="14"/>
  <c r="AD270" i="14"/>
  <c r="AB270" i="14"/>
  <c r="AC270" i="14"/>
  <c r="AA270" i="14"/>
  <c r="Y270" i="14"/>
  <c r="Z270" i="14"/>
  <c r="W270" i="14"/>
  <c r="X270" i="14"/>
  <c r="V270" i="14"/>
  <c r="U270" i="14"/>
  <c r="T270" i="14"/>
  <c r="S270" i="14"/>
  <c r="Q270" i="14"/>
  <c r="O270" i="14"/>
  <c r="P270" i="14"/>
  <c r="R270" i="14"/>
  <c r="M270" i="14"/>
  <c r="L270" i="14"/>
  <c r="N270" i="14"/>
  <c r="J270" i="14"/>
  <c r="K270" i="14"/>
  <c r="I270" i="14"/>
  <c r="F270" i="14"/>
  <c r="G270" i="14"/>
  <c r="H270" i="14"/>
  <c r="AD262" i="14"/>
  <c r="AC262" i="14"/>
  <c r="AA262" i="14"/>
  <c r="Y262" i="14"/>
  <c r="Z262" i="14"/>
  <c r="X262" i="14"/>
  <c r="W262" i="14"/>
  <c r="AB262" i="14"/>
  <c r="V262" i="14"/>
  <c r="T262" i="14"/>
  <c r="S262" i="14"/>
  <c r="U262" i="14"/>
  <c r="R262" i="14"/>
  <c r="O262" i="14"/>
  <c r="P262" i="14"/>
  <c r="Q262" i="14"/>
  <c r="M262" i="14"/>
  <c r="L262" i="14"/>
  <c r="J262" i="14"/>
  <c r="N262" i="14"/>
  <c r="K262" i="14"/>
  <c r="I262" i="14"/>
  <c r="F262" i="14"/>
  <c r="G262" i="14"/>
  <c r="H262" i="14"/>
  <c r="AD254" i="14"/>
  <c r="AC254" i="14"/>
  <c r="AA254" i="14"/>
  <c r="Y254" i="14"/>
  <c r="AB254" i="14"/>
  <c r="W254" i="14"/>
  <c r="Z254" i="14"/>
  <c r="X254" i="14"/>
  <c r="V254" i="14"/>
  <c r="U254" i="14"/>
  <c r="T254" i="14"/>
  <c r="S254" i="14"/>
  <c r="Q254" i="14"/>
  <c r="O254" i="14"/>
  <c r="P254" i="14"/>
  <c r="R254" i="14"/>
  <c r="M254" i="14"/>
  <c r="N254" i="14"/>
  <c r="L254" i="14"/>
  <c r="J254" i="14"/>
  <c r="K254" i="14"/>
  <c r="I254" i="14"/>
  <c r="F254" i="14"/>
  <c r="G254" i="14"/>
  <c r="H254" i="14"/>
  <c r="AC246" i="14"/>
  <c r="AB246" i="14"/>
  <c r="AD246" i="14"/>
  <c r="AA246" i="14"/>
  <c r="Y246" i="14"/>
  <c r="Z246" i="14"/>
  <c r="W246" i="14"/>
  <c r="X246" i="14"/>
  <c r="V246" i="14"/>
  <c r="U246" i="14"/>
  <c r="S246" i="14"/>
  <c r="T246" i="14"/>
  <c r="R246" i="14"/>
  <c r="O246" i="14"/>
  <c r="Q246" i="14"/>
  <c r="P246" i="14"/>
  <c r="M246" i="14"/>
  <c r="N246" i="14"/>
  <c r="L246" i="14"/>
  <c r="J246" i="14"/>
  <c r="K246" i="14"/>
  <c r="I246" i="14"/>
  <c r="F246" i="14"/>
  <c r="G246" i="14"/>
  <c r="H246" i="14"/>
  <c r="AD238" i="14"/>
  <c r="AC238" i="14"/>
  <c r="AB238" i="14"/>
  <c r="Y238" i="14"/>
  <c r="AA238" i="14"/>
  <c r="Z238" i="14"/>
  <c r="X238" i="14"/>
  <c r="W238" i="14"/>
  <c r="V238" i="14"/>
  <c r="U238" i="14"/>
  <c r="S238" i="14"/>
  <c r="T238" i="14"/>
  <c r="Q238" i="14"/>
  <c r="O238" i="14"/>
  <c r="P238" i="14"/>
  <c r="R238" i="14"/>
  <c r="M238" i="14"/>
  <c r="N238" i="14"/>
  <c r="L238" i="14"/>
  <c r="J238" i="14"/>
  <c r="K238" i="14"/>
  <c r="I238" i="14"/>
  <c r="F238" i="14"/>
  <c r="G238" i="14"/>
  <c r="H238" i="14"/>
  <c r="AD230" i="14"/>
  <c r="AC230" i="14"/>
  <c r="AB230" i="14"/>
  <c r="Z230" i="14"/>
  <c r="Y230" i="14"/>
  <c r="AA230" i="14"/>
  <c r="W230" i="14"/>
  <c r="X230" i="14"/>
  <c r="V230" i="14"/>
  <c r="T230" i="14"/>
  <c r="S230" i="14"/>
  <c r="U230" i="14"/>
  <c r="R230" i="14"/>
  <c r="O230" i="14"/>
  <c r="Q230" i="14"/>
  <c r="P230" i="14"/>
  <c r="M230" i="14"/>
  <c r="N230" i="14"/>
  <c r="L230" i="14"/>
  <c r="J230" i="14"/>
  <c r="K230" i="14"/>
  <c r="I230" i="14"/>
  <c r="F230" i="14"/>
  <c r="G230" i="14"/>
  <c r="H230" i="14"/>
  <c r="AD222" i="14"/>
  <c r="AC222" i="14"/>
  <c r="AB222" i="14"/>
  <c r="AA222" i="14"/>
  <c r="Y222" i="14"/>
  <c r="X222" i="14"/>
  <c r="W222" i="14"/>
  <c r="Z222" i="14"/>
  <c r="V222" i="14"/>
  <c r="U222" i="14"/>
  <c r="S222" i="14"/>
  <c r="T222" i="14"/>
  <c r="Q222" i="14"/>
  <c r="O222" i="14"/>
  <c r="P222" i="14"/>
  <c r="R222" i="14"/>
  <c r="M222" i="14"/>
  <c r="N222" i="14"/>
  <c r="L222" i="14"/>
  <c r="J222" i="14"/>
  <c r="K222" i="14"/>
  <c r="I222" i="14"/>
  <c r="F222" i="14"/>
  <c r="G222" i="14"/>
  <c r="H222" i="14"/>
  <c r="AC214" i="14"/>
  <c r="AD214" i="14"/>
  <c r="AB214" i="14"/>
  <c r="Z214" i="14"/>
  <c r="Y214" i="14"/>
  <c r="AA214" i="14"/>
  <c r="X214" i="14"/>
  <c r="W214" i="14"/>
  <c r="U214" i="14"/>
  <c r="T214" i="14"/>
  <c r="S214" i="14"/>
  <c r="V214" i="14"/>
  <c r="R214" i="14"/>
  <c r="O214" i="14"/>
  <c r="Q214" i="14"/>
  <c r="P214" i="14"/>
  <c r="M214" i="14"/>
  <c r="N214" i="14"/>
  <c r="L214" i="14"/>
  <c r="J214" i="14"/>
  <c r="K214" i="14"/>
  <c r="I214" i="14"/>
  <c r="F214" i="14"/>
  <c r="G214" i="14"/>
  <c r="H214" i="14"/>
  <c r="AD206" i="14"/>
  <c r="AC206" i="14"/>
  <c r="AB206" i="14"/>
  <c r="AA206" i="14"/>
  <c r="Z206" i="14"/>
  <c r="Y206" i="14"/>
  <c r="W206" i="14"/>
  <c r="X206" i="14"/>
  <c r="V206" i="14"/>
  <c r="U206" i="14"/>
  <c r="S206" i="14"/>
  <c r="T206" i="14"/>
  <c r="Q206" i="14"/>
  <c r="O206" i="14"/>
  <c r="P206" i="14"/>
  <c r="R206" i="14"/>
  <c r="M206" i="14"/>
  <c r="N206" i="14"/>
  <c r="L206" i="14"/>
  <c r="J206" i="14"/>
  <c r="K206" i="14"/>
  <c r="I206" i="14"/>
  <c r="F206" i="14"/>
  <c r="G206" i="14"/>
  <c r="H206" i="14"/>
  <c r="AD198" i="14"/>
  <c r="AC198" i="14"/>
  <c r="AB198" i="14"/>
  <c r="AA198" i="14"/>
  <c r="Y198" i="14"/>
  <c r="Z198" i="14"/>
  <c r="X198" i="14"/>
  <c r="W198" i="14"/>
  <c r="V198" i="14"/>
  <c r="T198" i="14"/>
  <c r="S198" i="14"/>
  <c r="R198" i="14"/>
  <c r="O198" i="14"/>
  <c r="U198" i="14"/>
  <c r="Q198" i="14"/>
  <c r="P198" i="14"/>
  <c r="M198" i="14"/>
  <c r="L198" i="14"/>
  <c r="J198" i="14"/>
  <c r="N198" i="14"/>
  <c r="K198" i="14"/>
  <c r="I198" i="14"/>
  <c r="F198" i="14"/>
  <c r="G198" i="14"/>
  <c r="H198" i="14"/>
  <c r="AD190" i="14"/>
  <c r="AC190" i="14"/>
  <c r="Z190" i="14"/>
  <c r="Y190" i="14"/>
  <c r="AB190" i="14"/>
  <c r="AA190" i="14"/>
  <c r="W190" i="14"/>
  <c r="X190" i="14"/>
  <c r="V190" i="14"/>
  <c r="U190" i="14"/>
  <c r="S190" i="14"/>
  <c r="T190" i="14"/>
  <c r="Q190" i="14"/>
  <c r="O190" i="14"/>
  <c r="P190" i="14"/>
  <c r="R190" i="14"/>
  <c r="M190" i="14"/>
  <c r="N190" i="14"/>
  <c r="L190" i="14"/>
  <c r="J190" i="14"/>
  <c r="K190" i="14"/>
  <c r="I190" i="14"/>
  <c r="F190" i="14"/>
  <c r="G190" i="14"/>
  <c r="H190" i="14"/>
  <c r="AC182" i="14"/>
  <c r="AD182" i="14"/>
  <c r="AB182" i="14"/>
  <c r="Y182" i="14"/>
  <c r="AA182" i="14"/>
  <c r="Z182" i="14"/>
  <c r="X182" i="14"/>
  <c r="W182" i="14"/>
  <c r="V182" i="14"/>
  <c r="U182" i="14"/>
  <c r="T182" i="14"/>
  <c r="S182" i="14"/>
  <c r="R182" i="14"/>
  <c r="O182" i="14"/>
  <c r="Q182" i="14"/>
  <c r="P182" i="14"/>
  <c r="M182" i="14"/>
  <c r="N182" i="14"/>
  <c r="L182" i="14"/>
  <c r="J182" i="14"/>
  <c r="K182" i="14"/>
  <c r="I182" i="14"/>
  <c r="F182" i="14"/>
  <c r="G182" i="14"/>
  <c r="H182" i="14"/>
  <c r="AD174" i="14"/>
  <c r="AC174" i="14"/>
  <c r="AB174" i="14"/>
  <c r="AA174" i="14"/>
  <c r="Y174" i="14"/>
  <c r="W174" i="14"/>
  <c r="Z174" i="14"/>
  <c r="X174" i="14"/>
  <c r="V174" i="14"/>
  <c r="U174" i="14"/>
  <c r="S174" i="14"/>
  <c r="T174" i="14"/>
  <c r="Q174" i="14"/>
  <c r="O174" i="14"/>
  <c r="P174" i="14"/>
  <c r="R174" i="14"/>
  <c r="M174" i="14"/>
  <c r="N174" i="14"/>
  <c r="L174" i="14"/>
  <c r="J174" i="14"/>
  <c r="K174" i="14"/>
  <c r="I174" i="14"/>
  <c r="F174" i="14"/>
  <c r="G174" i="14"/>
  <c r="H174" i="14"/>
  <c r="AD166" i="14"/>
  <c r="AC166" i="14"/>
  <c r="AB166" i="14"/>
  <c r="AA166" i="14"/>
  <c r="Z166" i="14"/>
  <c r="Y166" i="14"/>
  <c r="X166" i="14"/>
  <c r="W166" i="14"/>
  <c r="V166" i="14"/>
  <c r="T166" i="14"/>
  <c r="S166" i="14"/>
  <c r="U166" i="14"/>
  <c r="R166" i="14"/>
  <c r="O166" i="14"/>
  <c r="Q166" i="14"/>
  <c r="P166" i="14"/>
  <c r="M166" i="14"/>
  <c r="N166" i="14"/>
  <c r="L166" i="14"/>
  <c r="J166" i="14"/>
  <c r="K166" i="14"/>
  <c r="I166" i="14"/>
  <c r="F166" i="14"/>
  <c r="G166" i="14"/>
  <c r="H166" i="14"/>
  <c r="AD158" i="14"/>
  <c r="AC158" i="14"/>
  <c r="Y158" i="14"/>
  <c r="AA158" i="14"/>
  <c r="Z158" i="14"/>
  <c r="AB158" i="14"/>
  <c r="W158" i="14"/>
  <c r="X158" i="14"/>
  <c r="V158" i="14"/>
  <c r="U158" i="14"/>
  <c r="S158" i="14"/>
  <c r="T158" i="14"/>
  <c r="Q158" i="14"/>
  <c r="O158" i="14"/>
  <c r="P158" i="14"/>
  <c r="R158" i="14"/>
  <c r="M158" i="14"/>
  <c r="N158" i="14"/>
  <c r="L158" i="14"/>
  <c r="J158" i="14"/>
  <c r="K158" i="14"/>
  <c r="I158" i="14"/>
  <c r="F158" i="14"/>
  <c r="G158" i="14"/>
  <c r="H158" i="14"/>
  <c r="AD150" i="14"/>
  <c r="AC150" i="14"/>
  <c r="AB150" i="14"/>
  <c r="Z150" i="14"/>
  <c r="Y150" i="14"/>
  <c r="AA150" i="14"/>
  <c r="W150" i="14"/>
  <c r="X150" i="14"/>
  <c r="V150" i="14"/>
  <c r="U150" i="14"/>
  <c r="T150" i="14"/>
  <c r="S150" i="14"/>
  <c r="R150" i="14"/>
  <c r="O150" i="14"/>
  <c r="Q150" i="14"/>
  <c r="P150" i="14"/>
  <c r="M150" i="14"/>
  <c r="N150" i="14"/>
  <c r="L150" i="14"/>
  <c r="J150" i="14"/>
  <c r="K150" i="14"/>
  <c r="I150" i="14"/>
  <c r="F150" i="14"/>
  <c r="G150" i="14"/>
  <c r="H150" i="14"/>
  <c r="AD142" i="14"/>
  <c r="AC142" i="14"/>
  <c r="AB142" i="14"/>
  <c r="AA142" i="14"/>
  <c r="Z142" i="14"/>
  <c r="Y142" i="14"/>
  <c r="X142" i="14"/>
  <c r="W142" i="14"/>
  <c r="V142" i="14"/>
  <c r="U142" i="14"/>
  <c r="S142" i="14"/>
  <c r="Q142" i="14"/>
  <c r="O142" i="14"/>
  <c r="P142" i="14"/>
  <c r="R142" i="14"/>
  <c r="T142" i="14"/>
  <c r="M142" i="14"/>
  <c r="N142" i="14"/>
  <c r="L142" i="14"/>
  <c r="J142" i="14"/>
  <c r="K142" i="14"/>
  <c r="I142" i="14"/>
  <c r="F142" i="14"/>
  <c r="G142" i="14"/>
  <c r="H142" i="14"/>
  <c r="AD134" i="14"/>
  <c r="AC134" i="14"/>
  <c r="AB134" i="14"/>
  <c r="AA134" i="14"/>
  <c r="Y134" i="14"/>
  <c r="Z134" i="14"/>
  <c r="W134" i="14"/>
  <c r="X134" i="14"/>
  <c r="V134" i="14"/>
  <c r="T134" i="14"/>
  <c r="S134" i="14"/>
  <c r="U134" i="14"/>
  <c r="R134" i="14"/>
  <c r="O134" i="14"/>
  <c r="Q134" i="14"/>
  <c r="P134" i="14"/>
  <c r="M134" i="14"/>
  <c r="L134" i="14"/>
  <c r="J134" i="14"/>
  <c r="N134" i="14"/>
  <c r="K134" i="14"/>
  <c r="I134" i="14"/>
  <c r="F134" i="14"/>
  <c r="G134" i="14"/>
  <c r="H134" i="14"/>
  <c r="AD126" i="14"/>
  <c r="AC126" i="14"/>
  <c r="AB126" i="14"/>
  <c r="Z126" i="14"/>
  <c r="Y126" i="14"/>
  <c r="AA126" i="14"/>
  <c r="X126" i="14"/>
  <c r="W126" i="14"/>
  <c r="V126" i="14"/>
  <c r="U126" i="14"/>
  <c r="S126" i="14"/>
  <c r="T126" i="14"/>
  <c r="Q126" i="14"/>
  <c r="O126" i="14"/>
  <c r="P126" i="14"/>
  <c r="R126" i="14"/>
  <c r="M126" i="14"/>
  <c r="N126" i="14"/>
  <c r="L126" i="14"/>
  <c r="J126" i="14"/>
  <c r="K126" i="14"/>
  <c r="I126" i="14"/>
  <c r="F126" i="14"/>
  <c r="G126" i="14"/>
  <c r="H126" i="14"/>
  <c r="AC118" i="14"/>
  <c r="AB118" i="14"/>
  <c r="AD118" i="14"/>
  <c r="Y118" i="14"/>
  <c r="AA118" i="14"/>
  <c r="Z118" i="14"/>
  <c r="X118" i="14"/>
  <c r="W118" i="14"/>
  <c r="V118" i="14"/>
  <c r="U118" i="14"/>
  <c r="T118" i="14"/>
  <c r="S118" i="14"/>
  <c r="R118" i="14"/>
  <c r="O118" i="14"/>
  <c r="Q118" i="14"/>
  <c r="P118" i="14"/>
  <c r="M118" i="14"/>
  <c r="N118" i="14"/>
  <c r="L118" i="14"/>
  <c r="J118" i="14"/>
  <c r="K118" i="14"/>
  <c r="I118" i="14"/>
  <c r="F118" i="14"/>
  <c r="G118" i="14"/>
  <c r="H118" i="14"/>
  <c r="AD110" i="14"/>
  <c r="AC110" i="14"/>
  <c r="AB110" i="14"/>
  <c r="AA110" i="14"/>
  <c r="Y110" i="14"/>
  <c r="Z110" i="14"/>
  <c r="W110" i="14"/>
  <c r="X110" i="14"/>
  <c r="V110" i="14"/>
  <c r="U110" i="14"/>
  <c r="S110" i="14"/>
  <c r="T110" i="14"/>
  <c r="Q110" i="14"/>
  <c r="O110" i="14"/>
  <c r="P110" i="14"/>
  <c r="R110" i="14"/>
  <c r="M110" i="14"/>
  <c r="N110" i="14"/>
  <c r="L110" i="14"/>
  <c r="J110" i="14"/>
  <c r="K110" i="14"/>
  <c r="I110" i="14"/>
  <c r="F110" i="14"/>
  <c r="G110" i="14"/>
  <c r="H110" i="14"/>
  <c r="AD102" i="14"/>
  <c r="AC102" i="14"/>
  <c r="AA102" i="14"/>
  <c r="Z102" i="14"/>
  <c r="Y102" i="14"/>
  <c r="X102" i="14"/>
  <c r="AB102" i="14"/>
  <c r="W102" i="14"/>
  <c r="V102" i="14"/>
  <c r="T102" i="14"/>
  <c r="S102" i="14"/>
  <c r="U102" i="14"/>
  <c r="O102" i="14"/>
  <c r="R102" i="14"/>
  <c r="Q102" i="14"/>
  <c r="P102" i="14"/>
  <c r="M102" i="14"/>
  <c r="N102" i="14"/>
  <c r="L102" i="14"/>
  <c r="J102" i="14"/>
  <c r="K102" i="14"/>
  <c r="I102" i="14"/>
  <c r="F102" i="14"/>
  <c r="G102" i="14"/>
  <c r="H102" i="14"/>
  <c r="AD94" i="14"/>
  <c r="AB94" i="14"/>
  <c r="AC94" i="14"/>
  <c r="Y94" i="14"/>
  <c r="Z94" i="14"/>
  <c r="AA94" i="14"/>
  <c r="W94" i="14"/>
  <c r="X94" i="14"/>
  <c r="T94" i="14"/>
  <c r="U94" i="14"/>
  <c r="S94" i="14"/>
  <c r="V94" i="14"/>
  <c r="R94" i="14"/>
  <c r="Q94" i="14"/>
  <c r="O94" i="14"/>
  <c r="P94" i="14"/>
  <c r="M94" i="14"/>
  <c r="N94" i="14"/>
  <c r="L94" i="14"/>
  <c r="J94" i="14"/>
  <c r="K94" i="14"/>
  <c r="I94" i="14"/>
  <c r="F94" i="14"/>
  <c r="G94" i="14"/>
  <c r="H94" i="14"/>
  <c r="AC86" i="14"/>
  <c r="AB86" i="14"/>
  <c r="AD86" i="14"/>
  <c r="AA86" i="14"/>
  <c r="Z86" i="14"/>
  <c r="Y86" i="14"/>
  <c r="W86" i="14"/>
  <c r="X86" i="14"/>
  <c r="U86" i="14"/>
  <c r="V86" i="14"/>
  <c r="S86" i="14"/>
  <c r="T86" i="14"/>
  <c r="O86" i="14"/>
  <c r="Q86" i="14"/>
  <c r="R86" i="14"/>
  <c r="P86" i="14"/>
  <c r="M86" i="14"/>
  <c r="K86" i="14"/>
  <c r="N86" i="14"/>
  <c r="L86" i="14"/>
  <c r="J86" i="14"/>
  <c r="I86" i="14"/>
  <c r="F86" i="14"/>
  <c r="G86" i="14"/>
  <c r="H86" i="14"/>
  <c r="AD78" i="14"/>
  <c r="AC78" i="14"/>
  <c r="Z78" i="14"/>
  <c r="Y78" i="14"/>
  <c r="AB78" i="14"/>
  <c r="AA78" i="14"/>
  <c r="X78" i="14"/>
  <c r="W78" i="14"/>
  <c r="U78" i="14"/>
  <c r="S78" i="14"/>
  <c r="V78" i="14"/>
  <c r="T78" i="14"/>
  <c r="Q78" i="14"/>
  <c r="O78" i="14"/>
  <c r="R78" i="14"/>
  <c r="P78" i="14"/>
  <c r="M78" i="14"/>
  <c r="N78" i="14"/>
  <c r="L78" i="14"/>
  <c r="K78" i="14"/>
  <c r="J78" i="14"/>
  <c r="I78" i="14"/>
  <c r="F78" i="14"/>
  <c r="G78" i="14"/>
  <c r="H78" i="14"/>
  <c r="AC70" i="14"/>
  <c r="AD70" i="14"/>
  <c r="AA70" i="14"/>
  <c r="AB70" i="14"/>
  <c r="Y70" i="14"/>
  <c r="W70" i="14"/>
  <c r="Z70" i="14"/>
  <c r="X70" i="14"/>
  <c r="V70" i="14"/>
  <c r="S70" i="14"/>
  <c r="U70" i="14"/>
  <c r="T70" i="14"/>
  <c r="O70" i="14"/>
  <c r="Q70" i="14"/>
  <c r="R70" i="14"/>
  <c r="P70" i="14"/>
  <c r="M70" i="14"/>
  <c r="L70" i="14"/>
  <c r="J70" i="14"/>
  <c r="N70" i="14"/>
  <c r="I70" i="14"/>
  <c r="F70" i="14"/>
  <c r="G70" i="14"/>
  <c r="H70" i="14"/>
  <c r="K70" i="14"/>
  <c r="AD62" i="14"/>
  <c r="AC62" i="14"/>
  <c r="AA62" i="14"/>
  <c r="AB62" i="14"/>
  <c r="Z62" i="14"/>
  <c r="Y62" i="14"/>
  <c r="X62" i="14"/>
  <c r="W62" i="14"/>
  <c r="V62" i="14"/>
  <c r="S62" i="14"/>
  <c r="T62" i="14"/>
  <c r="R62" i="14"/>
  <c r="Q62" i="14"/>
  <c r="O62" i="14"/>
  <c r="U62" i="14"/>
  <c r="P62" i="14"/>
  <c r="M62" i="14"/>
  <c r="N62" i="14"/>
  <c r="L62" i="14"/>
  <c r="K62" i="14"/>
  <c r="J62" i="14"/>
  <c r="I62" i="14"/>
  <c r="F62" i="14"/>
  <c r="G62" i="14"/>
  <c r="H62" i="14"/>
  <c r="AC54" i="14"/>
  <c r="AD54" i="14"/>
  <c r="AB54" i="14"/>
  <c r="AA54" i="14"/>
  <c r="Y54" i="14"/>
  <c r="X54" i="14"/>
  <c r="W54" i="14"/>
  <c r="Z54" i="14"/>
  <c r="U54" i="14"/>
  <c r="S54" i="14"/>
  <c r="T54" i="14"/>
  <c r="V54" i="14"/>
  <c r="R54" i="14"/>
  <c r="O54" i="14"/>
  <c r="Q54" i="14"/>
  <c r="P54" i="14"/>
  <c r="M54" i="14"/>
  <c r="N54" i="14"/>
  <c r="L54" i="14"/>
  <c r="J54" i="14"/>
  <c r="K54" i="14"/>
  <c r="I54" i="14"/>
  <c r="F54" i="14"/>
  <c r="G54" i="14"/>
  <c r="H54" i="14"/>
  <c r="AD46" i="14"/>
  <c r="AC46" i="14"/>
  <c r="AB46" i="14"/>
  <c r="Z46" i="14"/>
  <c r="Y46" i="14"/>
  <c r="AA46" i="14"/>
  <c r="X46" i="14"/>
  <c r="W46" i="14"/>
  <c r="V46" i="14"/>
  <c r="U46" i="14"/>
  <c r="S46" i="14"/>
  <c r="T46" i="14"/>
  <c r="R46" i="14"/>
  <c r="Q46" i="14"/>
  <c r="O46" i="14"/>
  <c r="P46" i="14"/>
  <c r="M46" i="14"/>
  <c r="L46" i="14"/>
  <c r="K46" i="14"/>
  <c r="J46" i="14"/>
  <c r="N46" i="14"/>
  <c r="I46" i="14"/>
  <c r="F46" i="14"/>
  <c r="G46" i="14"/>
  <c r="H46" i="14"/>
  <c r="AD38" i="14"/>
  <c r="AC38" i="14"/>
  <c r="AB38" i="14"/>
  <c r="AA38" i="14"/>
  <c r="Y38" i="14"/>
  <c r="X38" i="14"/>
  <c r="Z38" i="14"/>
  <c r="S38" i="14"/>
  <c r="V38" i="14"/>
  <c r="U38" i="14"/>
  <c r="T38" i="14"/>
  <c r="W38" i="14"/>
  <c r="R38" i="14"/>
  <c r="O38" i="14"/>
  <c r="Q38" i="14"/>
  <c r="P38" i="14"/>
  <c r="M38" i="14"/>
  <c r="N38" i="14"/>
  <c r="L38" i="14"/>
  <c r="J38" i="14"/>
  <c r="K38" i="14"/>
  <c r="I38" i="14"/>
  <c r="F38" i="14"/>
  <c r="G38" i="14"/>
  <c r="H38" i="14"/>
  <c r="AD30" i="14"/>
  <c r="AC30" i="14"/>
  <c r="AB30" i="14"/>
  <c r="AA30" i="14"/>
  <c r="Z30" i="14"/>
  <c r="Y30" i="14"/>
  <c r="W30" i="14"/>
  <c r="X30" i="14"/>
  <c r="S30" i="14"/>
  <c r="T30" i="14"/>
  <c r="U30" i="14"/>
  <c r="R30" i="14"/>
  <c r="V30" i="14"/>
  <c r="Q30" i="14"/>
  <c r="O30" i="14"/>
  <c r="P30" i="14"/>
  <c r="M30" i="14"/>
  <c r="L30" i="14"/>
  <c r="N30" i="14"/>
  <c r="K30" i="14"/>
  <c r="J30" i="14"/>
  <c r="I30" i="14"/>
  <c r="F30" i="14"/>
  <c r="G30" i="14"/>
  <c r="H30" i="14"/>
  <c r="AD22" i="14"/>
  <c r="AC22" i="14"/>
  <c r="AB22" i="14"/>
  <c r="AA22" i="14"/>
  <c r="Y22" i="14"/>
  <c r="Z22" i="14"/>
  <c r="W22" i="14"/>
  <c r="X22" i="14"/>
  <c r="U22" i="14"/>
  <c r="V22" i="14"/>
  <c r="S22" i="14"/>
  <c r="T22" i="14"/>
  <c r="R22" i="14"/>
  <c r="O22" i="14"/>
  <c r="Q22" i="14"/>
  <c r="P22" i="14"/>
  <c r="M22" i="14"/>
  <c r="N22" i="14"/>
  <c r="L22" i="14"/>
  <c r="J22" i="14"/>
  <c r="K22" i="14"/>
  <c r="I22" i="14"/>
  <c r="F22" i="14"/>
  <c r="G22" i="14"/>
  <c r="H22" i="14"/>
  <c r="F388" i="14"/>
  <c r="F356" i="14"/>
  <c r="F324" i="14"/>
  <c r="F276" i="14"/>
  <c r="F212" i="14"/>
  <c r="F148" i="14"/>
  <c r="F84" i="14"/>
  <c r="F20" i="14"/>
  <c r="G363" i="14"/>
  <c r="G299" i="14"/>
  <c r="G235" i="14"/>
  <c r="G171" i="14"/>
  <c r="G107" i="14"/>
  <c r="AD405" i="14"/>
  <c r="AB405" i="14"/>
  <c r="AA405" i="14"/>
  <c r="Y405" i="14"/>
  <c r="AC405" i="14"/>
  <c r="Z405" i="14"/>
  <c r="X405" i="14"/>
  <c r="V405" i="14"/>
  <c r="W405" i="14"/>
  <c r="U405" i="14"/>
  <c r="S405" i="14"/>
  <c r="T405" i="14"/>
  <c r="Q405" i="14"/>
  <c r="R405" i="14"/>
  <c r="P405" i="14"/>
  <c r="O405" i="14"/>
  <c r="M405" i="14"/>
  <c r="L405" i="14"/>
  <c r="N405" i="14"/>
  <c r="K405" i="14"/>
  <c r="J405" i="14"/>
  <c r="F405" i="14"/>
  <c r="G405" i="14"/>
  <c r="H405" i="14"/>
  <c r="I405" i="14"/>
  <c r="AB397" i="14"/>
  <c r="AC397" i="14"/>
  <c r="AA397" i="14"/>
  <c r="AD397" i="14"/>
  <c r="Y397" i="14"/>
  <c r="Z397" i="14"/>
  <c r="X397" i="14"/>
  <c r="U397" i="14"/>
  <c r="V397" i="14"/>
  <c r="W397" i="14"/>
  <c r="S397" i="14"/>
  <c r="Q397" i="14"/>
  <c r="R397" i="14"/>
  <c r="P397" i="14"/>
  <c r="T397" i="14"/>
  <c r="O397" i="14"/>
  <c r="M397" i="14"/>
  <c r="L397" i="14"/>
  <c r="N397" i="14"/>
  <c r="K397" i="14"/>
  <c r="J397" i="14"/>
  <c r="F397" i="14"/>
  <c r="G397" i="14"/>
  <c r="H397" i="14"/>
  <c r="I397" i="14"/>
  <c r="AD389" i="14"/>
  <c r="AC389" i="14"/>
  <c r="AA389" i="14"/>
  <c r="AB389" i="14"/>
  <c r="Y389" i="14"/>
  <c r="Z389" i="14"/>
  <c r="X389" i="14"/>
  <c r="W389" i="14"/>
  <c r="V389" i="14"/>
  <c r="U389" i="14"/>
  <c r="T389" i="14"/>
  <c r="S389" i="14"/>
  <c r="Q389" i="14"/>
  <c r="R389" i="14"/>
  <c r="P389" i="14"/>
  <c r="O389" i="14"/>
  <c r="M389" i="14"/>
  <c r="L389" i="14"/>
  <c r="N389" i="14"/>
  <c r="K389" i="14"/>
  <c r="J389" i="14"/>
  <c r="F389" i="14"/>
  <c r="G389" i="14"/>
  <c r="H389" i="14"/>
  <c r="I389" i="14"/>
  <c r="AC381" i="14"/>
  <c r="AD381" i="14"/>
  <c r="AA381" i="14"/>
  <c r="AB381" i="14"/>
  <c r="Y381" i="14"/>
  <c r="Z381" i="14"/>
  <c r="X381" i="14"/>
  <c r="W381" i="14"/>
  <c r="V381" i="14"/>
  <c r="U381" i="14"/>
  <c r="T381" i="14"/>
  <c r="Q381" i="14"/>
  <c r="S381" i="14"/>
  <c r="R381" i="14"/>
  <c r="P381" i="14"/>
  <c r="O381" i="14"/>
  <c r="M381" i="14"/>
  <c r="L381" i="14"/>
  <c r="N381" i="14"/>
  <c r="K381" i="14"/>
  <c r="J381" i="14"/>
  <c r="F381" i="14"/>
  <c r="G381" i="14"/>
  <c r="H381" i="14"/>
  <c r="I381" i="14"/>
  <c r="AD373" i="14"/>
  <c r="AB373" i="14"/>
  <c r="AA373" i="14"/>
  <c r="AC373" i="14"/>
  <c r="Y373" i="14"/>
  <c r="Z373" i="14"/>
  <c r="X373" i="14"/>
  <c r="W373" i="14"/>
  <c r="V373" i="14"/>
  <c r="U373" i="14"/>
  <c r="T373" i="14"/>
  <c r="S373" i="14"/>
  <c r="Q373" i="14"/>
  <c r="R373" i="14"/>
  <c r="P373" i="14"/>
  <c r="O373" i="14"/>
  <c r="M373" i="14"/>
  <c r="L373" i="14"/>
  <c r="N373" i="14"/>
  <c r="K373" i="14"/>
  <c r="J373" i="14"/>
  <c r="F373" i="14"/>
  <c r="G373" i="14"/>
  <c r="H373" i="14"/>
  <c r="I373" i="14"/>
  <c r="AD365" i="14"/>
  <c r="AC365" i="14"/>
  <c r="AA365" i="14"/>
  <c r="Y365" i="14"/>
  <c r="Z365" i="14"/>
  <c r="AB365" i="14"/>
  <c r="X365" i="14"/>
  <c r="W365" i="14"/>
  <c r="U365" i="14"/>
  <c r="V365" i="14"/>
  <c r="S365" i="14"/>
  <c r="T365" i="14"/>
  <c r="Q365" i="14"/>
  <c r="R365" i="14"/>
  <c r="P365" i="14"/>
  <c r="M365" i="14"/>
  <c r="L365" i="14"/>
  <c r="O365" i="14"/>
  <c r="N365" i="14"/>
  <c r="K365" i="14"/>
  <c r="F365" i="14"/>
  <c r="J365" i="14"/>
  <c r="G365" i="14"/>
  <c r="H365" i="14"/>
  <c r="I365" i="14"/>
  <c r="AD357" i="14"/>
  <c r="AC357" i="14"/>
  <c r="AA357" i="14"/>
  <c r="Y357" i="14"/>
  <c r="Z357" i="14"/>
  <c r="AB357" i="14"/>
  <c r="X357" i="14"/>
  <c r="V357" i="14"/>
  <c r="W357" i="14"/>
  <c r="U357" i="14"/>
  <c r="T357" i="14"/>
  <c r="S357" i="14"/>
  <c r="Q357" i="14"/>
  <c r="R357" i="14"/>
  <c r="P357" i="14"/>
  <c r="M357" i="14"/>
  <c r="O357" i="14"/>
  <c r="L357" i="14"/>
  <c r="N357" i="14"/>
  <c r="K357" i="14"/>
  <c r="F357" i="14"/>
  <c r="G357" i="14"/>
  <c r="H357" i="14"/>
  <c r="J357" i="14"/>
  <c r="I357" i="14"/>
  <c r="AD349" i="14"/>
  <c r="AB349" i="14"/>
  <c r="AC349" i="14"/>
  <c r="AA349" i="14"/>
  <c r="Y349" i="14"/>
  <c r="Z349" i="14"/>
  <c r="W349" i="14"/>
  <c r="X349" i="14"/>
  <c r="V349" i="14"/>
  <c r="U349" i="14"/>
  <c r="T349" i="14"/>
  <c r="Q349" i="14"/>
  <c r="R349" i="14"/>
  <c r="S349" i="14"/>
  <c r="P349" i="14"/>
  <c r="O349" i="14"/>
  <c r="M349" i="14"/>
  <c r="L349" i="14"/>
  <c r="N349" i="14"/>
  <c r="K349" i="14"/>
  <c r="F349" i="14"/>
  <c r="G349" i="14"/>
  <c r="H349" i="14"/>
  <c r="J349" i="14"/>
  <c r="I349" i="14"/>
  <c r="AD341" i="14"/>
  <c r="AB341" i="14"/>
  <c r="AA341" i="14"/>
  <c r="AC341" i="14"/>
  <c r="Y341" i="14"/>
  <c r="Z341" i="14"/>
  <c r="X341" i="14"/>
  <c r="V341" i="14"/>
  <c r="W341" i="14"/>
  <c r="U341" i="14"/>
  <c r="S341" i="14"/>
  <c r="Q341" i="14"/>
  <c r="T341" i="14"/>
  <c r="R341" i="14"/>
  <c r="P341" i="14"/>
  <c r="O341" i="14"/>
  <c r="M341" i="14"/>
  <c r="L341" i="14"/>
  <c r="N341" i="14"/>
  <c r="K341" i="14"/>
  <c r="F341" i="14"/>
  <c r="G341" i="14"/>
  <c r="H341" i="14"/>
  <c r="J341" i="14"/>
  <c r="I341" i="14"/>
  <c r="AD333" i="14"/>
  <c r="AB333" i="14"/>
  <c r="AC333" i="14"/>
  <c r="AA333" i="14"/>
  <c r="Y333" i="14"/>
  <c r="Z333" i="14"/>
  <c r="X333" i="14"/>
  <c r="V333" i="14"/>
  <c r="U333" i="14"/>
  <c r="W333" i="14"/>
  <c r="T333" i="14"/>
  <c r="Q333" i="14"/>
  <c r="R333" i="14"/>
  <c r="S333" i="14"/>
  <c r="P333" i="14"/>
  <c r="M333" i="14"/>
  <c r="L333" i="14"/>
  <c r="N333" i="14"/>
  <c r="O333" i="14"/>
  <c r="K333" i="14"/>
  <c r="F333" i="14"/>
  <c r="J333" i="14"/>
  <c r="G333" i="14"/>
  <c r="H333" i="14"/>
  <c r="I333" i="14"/>
  <c r="AD325" i="14"/>
  <c r="AC325" i="14"/>
  <c r="AA325" i="14"/>
  <c r="AB325" i="14"/>
  <c r="Y325" i="14"/>
  <c r="Z325" i="14"/>
  <c r="X325" i="14"/>
  <c r="W325" i="14"/>
  <c r="U325" i="14"/>
  <c r="V325" i="14"/>
  <c r="T325" i="14"/>
  <c r="S325" i="14"/>
  <c r="Q325" i="14"/>
  <c r="R325" i="14"/>
  <c r="P325" i="14"/>
  <c r="M325" i="14"/>
  <c r="O325" i="14"/>
  <c r="L325" i="14"/>
  <c r="N325" i="14"/>
  <c r="K325" i="14"/>
  <c r="F325" i="14"/>
  <c r="G325" i="14"/>
  <c r="H325" i="14"/>
  <c r="J325" i="14"/>
  <c r="I325" i="14"/>
  <c r="AD317" i="14"/>
  <c r="AC317" i="14"/>
  <c r="AB317" i="14"/>
  <c r="AA317" i="14"/>
  <c r="Y317" i="14"/>
  <c r="Z317" i="14"/>
  <c r="X317" i="14"/>
  <c r="W317" i="14"/>
  <c r="U317" i="14"/>
  <c r="V317" i="14"/>
  <c r="Q317" i="14"/>
  <c r="T317" i="14"/>
  <c r="R317" i="14"/>
  <c r="S317" i="14"/>
  <c r="P317" i="14"/>
  <c r="O317" i="14"/>
  <c r="M317" i="14"/>
  <c r="L317" i="14"/>
  <c r="N317" i="14"/>
  <c r="K317" i="14"/>
  <c r="F317" i="14"/>
  <c r="G317" i="14"/>
  <c r="H317" i="14"/>
  <c r="J317" i="14"/>
  <c r="I317" i="14"/>
  <c r="AD309" i="14"/>
  <c r="AB309" i="14"/>
  <c r="AC309" i="14"/>
  <c r="AA309" i="14"/>
  <c r="Y309" i="14"/>
  <c r="Z309" i="14"/>
  <c r="X309" i="14"/>
  <c r="W309" i="14"/>
  <c r="V309" i="14"/>
  <c r="U309" i="14"/>
  <c r="T309" i="14"/>
  <c r="S309" i="14"/>
  <c r="Q309" i="14"/>
  <c r="R309" i="14"/>
  <c r="P309" i="14"/>
  <c r="O309" i="14"/>
  <c r="M309" i="14"/>
  <c r="L309" i="14"/>
  <c r="N309" i="14"/>
  <c r="K309" i="14"/>
  <c r="F309" i="14"/>
  <c r="G309" i="14"/>
  <c r="H309" i="14"/>
  <c r="J309" i="14"/>
  <c r="I309" i="14"/>
  <c r="AD301" i="14"/>
  <c r="AC301" i="14"/>
  <c r="AB301" i="14"/>
  <c r="Y301" i="14"/>
  <c r="Z301" i="14"/>
  <c r="AA301" i="14"/>
  <c r="X301" i="14"/>
  <c r="V301" i="14"/>
  <c r="W301" i="14"/>
  <c r="U301" i="14"/>
  <c r="T301" i="14"/>
  <c r="Q301" i="14"/>
  <c r="R301" i="14"/>
  <c r="P301" i="14"/>
  <c r="S301" i="14"/>
  <c r="M301" i="14"/>
  <c r="L301" i="14"/>
  <c r="N301" i="14"/>
  <c r="O301" i="14"/>
  <c r="K301" i="14"/>
  <c r="F301" i="14"/>
  <c r="J301" i="14"/>
  <c r="G301" i="14"/>
  <c r="H301" i="14"/>
  <c r="I301" i="14"/>
  <c r="AD293" i="14"/>
  <c r="AC293" i="14"/>
  <c r="AA293" i="14"/>
  <c r="Y293" i="14"/>
  <c r="AB293" i="14"/>
  <c r="Z293" i="14"/>
  <c r="X293" i="14"/>
  <c r="V293" i="14"/>
  <c r="W293" i="14"/>
  <c r="U293" i="14"/>
  <c r="T293" i="14"/>
  <c r="S293" i="14"/>
  <c r="Q293" i="14"/>
  <c r="R293" i="14"/>
  <c r="P293" i="14"/>
  <c r="M293" i="14"/>
  <c r="L293" i="14"/>
  <c r="O293" i="14"/>
  <c r="N293" i="14"/>
  <c r="K293" i="14"/>
  <c r="F293" i="14"/>
  <c r="G293" i="14"/>
  <c r="H293" i="14"/>
  <c r="J293" i="14"/>
  <c r="I293" i="14"/>
  <c r="AD285" i="14"/>
  <c r="AC285" i="14"/>
  <c r="AB285" i="14"/>
  <c r="AA285" i="14"/>
  <c r="Y285" i="14"/>
  <c r="Z285" i="14"/>
  <c r="X285" i="14"/>
  <c r="W285" i="14"/>
  <c r="V285" i="14"/>
  <c r="U285" i="14"/>
  <c r="T285" i="14"/>
  <c r="Q285" i="14"/>
  <c r="R285" i="14"/>
  <c r="P285" i="14"/>
  <c r="S285" i="14"/>
  <c r="O285" i="14"/>
  <c r="M285" i="14"/>
  <c r="L285" i="14"/>
  <c r="N285" i="14"/>
  <c r="K285" i="14"/>
  <c r="F285" i="14"/>
  <c r="G285" i="14"/>
  <c r="H285" i="14"/>
  <c r="J285" i="14"/>
  <c r="I285" i="14"/>
  <c r="AD277" i="14"/>
  <c r="AC277" i="14"/>
  <c r="AB277" i="14"/>
  <c r="AA277" i="14"/>
  <c r="Y277" i="14"/>
  <c r="Z277" i="14"/>
  <c r="X277" i="14"/>
  <c r="V277" i="14"/>
  <c r="W277" i="14"/>
  <c r="U277" i="14"/>
  <c r="T277" i="14"/>
  <c r="S277" i="14"/>
  <c r="Q277" i="14"/>
  <c r="R277" i="14"/>
  <c r="P277" i="14"/>
  <c r="O277" i="14"/>
  <c r="M277" i="14"/>
  <c r="L277" i="14"/>
  <c r="N277" i="14"/>
  <c r="K277" i="14"/>
  <c r="F277" i="14"/>
  <c r="G277" i="14"/>
  <c r="H277" i="14"/>
  <c r="J277" i="14"/>
  <c r="I277" i="14"/>
  <c r="AD269" i="14"/>
  <c r="AC269" i="14"/>
  <c r="AB269" i="14"/>
  <c r="AA269" i="14"/>
  <c r="Y269" i="14"/>
  <c r="Z269" i="14"/>
  <c r="X269" i="14"/>
  <c r="V269" i="14"/>
  <c r="U269" i="14"/>
  <c r="W269" i="14"/>
  <c r="T269" i="14"/>
  <c r="Q269" i="14"/>
  <c r="R269" i="14"/>
  <c r="P269" i="14"/>
  <c r="S269" i="14"/>
  <c r="M269" i="14"/>
  <c r="O269" i="14"/>
  <c r="L269" i="14"/>
  <c r="N269" i="14"/>
  <c r="K269" i="14"/>
  <c r="F269" i="14"/>
  <c r="J269" i="14"/>
  <c r="G269" i="14"/>
  <c r="H269" i="14"/>
  <c r="I269" i="14"/>
  <c r="AD261" i="14"/>
  <c r="AC261" i="14"/>
  <c r="AA261" i="14"/>
  <c r="Y261" i="14"/>
  <c r="AB261" i="14"/>
  <c r="X261" i="14"/>
  <c r="Z261" i="14"/>
  <c r="W261" i="14"/>
  <c r="U261" i="14"/>
  <c r="T261" i="14"/>
  <c r="V261" i="14"/>
  <c r="S261" i="14"/>
  <c r="Q261" i="14"/>
  <c r="R261" i="14"/>
  <c r="P261" i="14"/>
  <c r="M261" i="14"/>
  <c r="L261" i="14"/>
  <c r="N261" i="14"/>
  <c r="K261" i="14"/>
  <c r="O261" i="14"/>
  <c r="F261" i="14"/>
  <c r="G261" i="14"/>
  <c r="H261" i="14"/>
  <c r="J261" i="14"/>
  <c r="I261" i="14"/>
  <c r="AD253" i="14"/>
  <c r="AC253" i="14"/>
  <c r="AA253" i="14"/>
  <c r="AB253" i="14"/>
  <c r="Z253" i="14"/>
  <c r="Y253" i="14"/>
  <c r="X253" i="14"/>
  <c r="W253" i="14"/>
  <c r="U253" i="14"/>
  <c r="V253" i="14"/>
  <c r="P253" i="14"/>
  <c r="Q253" i="14"/>
  <c r="T253" i="14"/>
  <c r="R253" i="14"/>
  <c r="S253" i="14"/>
  <c r="O253" i="14"/>
  <c r="M253" i="14"/>
  <c r="L253" i="14"/>
  <c r="N253" i="14"/>
  <c r="K253" i="14"/>
  <c r="F253" i="14"/>
  <c r="G253" i="14"/>
  <c r="H253" i="14"/>
  <c r="J253" i="14"/>
  <c r="I253" i="14"/>
  <c r="AD245" i="14"/>
  <c r="AC245" i="14"/>
  <c r="AB245" i="14"/>
  <c r="AA245" i="14"/>
  <c r="Y245" i="14"/>
  <c r="Z245" i="14"/>
  <c r="X245" i="14"/>
  <c r="W245" i="14"/>
  <c r="V245" i="14"/>
  <c r="U245" i="14"/>
  <c r="T245" i="14"/>
  <c r="P245" i="14"/>
  <c r="S245" i="14"/>
  <c r="Q245" i="14"/>
  <c r="R245" i="14"/>
  <c r="O245" i="14"/>
  <c r="N245" i="14"/>
  <c r="M245" i="14"/>
  <c r="L245" i="14"/>
  <c r="K245" i="14"/>
  <c r="F245" i="14"/>
  <c r="G245" i="14"/>
  <c r="H245" i="14"/>
  <c r="J245" i="14"/>
  <c r="I245" i="14"/>
  <c r="AD237" i="14"/>
  <c r="AC237" i="14"/>
  <c r="Y237" i="14"/>
  <c r="AB237" i="14"/>
  <c r="AA237" i="14"/>
  <c r="Z237" i="14"/>
  <c r="X237" i="14"/>
  <c r="V237" i="14"/>
  <c r="W237" i="14"/>
  <c r="T237" i="14"/>
  <c r="U237" i="14"/>
  <c r="P237" i="14"/>
  <c r="Q237" i="14"/>
  <c r="R237" i="14"/>
  <c r="S237" i="14"/>
  <c r="M237" i="14"/>
  <c r="L237" i="14"/>
  <c r="O237" i="14"/>
  <c r="N237" i="14"/>
  <c r="K237" i="14"/>
  <c r="F237" i="14"/>
  <c r="J237" i="14"/>
  <c r="G237" i="14"/>
  <c r="H237" i="14"/>
  <c r="I237" i="14"/>
  <c r="AD229" i="14"/>
  <c r="AC229" i="14"/>
  <c r="AA229" i="14"/>
  <c r="AB229" i="14"/>
  <c r="Y229" i="14"/>
  <c r="X229" i="14"/>
  <c r="Z229" i="14"/>
  <c r="V229" i="14"/>
  <c r="T229" i="14"/>
  <c r="W229" i="14"/>
  <c r="U229" i="14"/>
  <c r="P229" i="14"/>
  <c r="S229" i="14"/>
  <c r="Q229" i="14"/>
  <c r="R229" i="14"/>
  <c r="N229" i="14"/>
  <c r="M229" i="14"/>
  <c r="O229" i="14"/>
  <c r="L229" i="14"/>
  <c r="K229" i="14"/>
  <c r="F229" i="14"/>
  <c r="G229" i="14"/>
  <c r="H229" i="14"/>
  <c r="J229" i="14"/>
  <c r="I229" i="14"/>
  <c r="AD221" i="14"/>
  <c r="AC221" i="14"/>
  <c r="AB221" i="14"/>
  <c r="AA221" i="14"/>
  <c r="Y221" i="14"/>
  <c r="Z221" i="14"/>
  <c r="W221" i="14"/>
  <c r="X221" i="14"/>
  <c r="T221" i="14"/>
  <c r="V221" i="14"/>
  <c r="U221" i="14"/>
  <c r="P221" i="14"/>
  <c r="Q221" i="14"/>
  <c r="R221" i="14"/>
  <c r="S221" i="14"/>
  <c r="O221" i="14"/>
  <c r="M221" i="14"/>
  <c r="L221" i="14"/>
  <c r="K221" i="14"/>
  <c r="N221" i="14"/>
  <c r="F221" i="14"/>
  <c r="G221" i="14"/>
  <c r="H221" i="14"/>
  <c r="J221" i="14"/>
  <c r="I221" i="14"/>
  <c r="AD213" i="14"/>
  <c r="AC213" i="14"/>
  <c r="AB213" i="14"/>
  <c r="AA213" i="14"/>
  <c r="Y213" i="14"/>
  <c r="Z213" i="14"/>
  <c r="X213" i="14"/>
  <c r="V213" i="14"/>
  <c r="W213" i="14"/>
  <c r="T213" i="14"/>
  <c r="U213" i="14"/>
  <c r="P213" i="14"/>
  <c r="S213" i="14"/>
  <c r="Q213" i="14"/>
  <c r="R213" i="14"/>
  <c r="O213" i="14"/>
  <c r="N213" i="14"/>
  <c r="M213" i="14"/>
  <c r="L213" i="14"/>
  <c r="K213" i="14"/>
  <c r="F213" i="14"/>
  <c r="G213" i="14"/>
  <c r="J213" i="14"/>
  <c r="H213" i="14"/>
  <c r="I213" i="14"/>
  <c r="AD205" i="14"/>
  <c r="AC205" i="14"/>
  <c r="AB205" i="14"/>
  <c r="AA205" i="14"/>
  <c r="Z205" i="14"/>
  <c r="Y205" i="14"/>
  <c r="X205" i="14"/>
  <c r="V205" i="14"/>
  <c r="T205" i="14"/>
  <c r="U205" i="14"/>
  <c r="W205" i="14"/>
  <c r="P205" i="14"/>
  <c r="Q205" i="14"/>
  <c r="R205" i="14"/>
  <c r="S205" i="14"/>
  <c r="O205" i="14"/>
  <c r="M205" i="14"/>
  <c r="L205" i="14"/>
  <c r="N205" i="14"/>
  <c r="K205" i="14"/>
  <c r="F205" i="14"/>
  <c r="G205" i="14"/>
  <c r="H205" i="14"/>
  <c r="J205" i="14"/>
  <c r="I205" i="14"/>
  <c r="AD197" i="14"/>
  <c r="AC197" i="14"/>
  <c r="AA197" i="14"/>
  <c r="AB197" i="14"/>
  <c r="Y197" i="14"/>
  <c r="Z197" i="14"/>
  <c r="X197" i="14"/>
  <c r="W197" i="14"/>
  <c r="T197" i="14"/>
  <c r="U197" i="14"/>
  <c r="V197" i="14"/>
  <c r="P197" i="14"/>
  <c r="S197" i="14"/>
  <c r="Q197" i="14"/>
  <c r="R197" i="14"/>
  <c r="N197" i="14"/>
  <c r="O197" i="14"/>
  <c r="M197" i="14"/>
  <c r="L197" i="14"/>
  <c r="K197" i="14"/>
  <c r="F197" i="14"/>
  <c r="J197" i="14"/>
  <c r="G197" i="14"/>
  <c r="H197" i="14"/>
  <c r="I197" i="14"/>
  <c r="AD189" i="14"/>
  <c r="AC189" i="14"/>
  <c r="AB189" i="14"/>
  <c r="AA189" i="14"/>
  <c r="Z189" i="14"/>
  <c r="Y189" i="14"/>
  <c r="X189" i="14"/>
  <c r="T189" i="14"/>
  <c r="W189" i="14"/>
  <c r="U189" i="14"/>
  <c r="P189" i="14"/>
  <c r="V189" i="14"/>
  <c r="Q189" i="14"/>
  <c r="R189" i="14"/>
  <c r="S189" i="14"/>
  <c r="O189" i="14"/>
  <c r="M189" i="14"/>
  <c r="L189" i="14"/>
  <c r="N189" i="14"/>
  <c r="K189" i="14"/>
  <c r="F189" i="14"/>
  <c r="G189" i="14"/>
  <c r="H189" i="14"/>
  <c r="J189" i="14"/>
  <c r="I189" i="14"/>
  <c r="AD181" i="14"/>
  <c r="AC181" i="14"/>
  <c r="AB181" i="14"/>
  <c r="AA181" i="14"/>
  <c r="X181" i="14"/>
  <c r="Y181" i="14"/>
  <c r="Z181" i="14"/>
  <c r="W181" i="14"/>
  <c r="T181" i="14"/>
  <c r="V181" i="14"/>
  <c r="U181" i="14"/>
  <c r="P181" i="14"/>
  <c r="S181" i="14"/>
  <c r="Q181" i="14"/>
  <c r="R181" i="14"/>
  <c r="O181" i="14"/>
  <c r="N181" i="14"/>
  <c r="M181" i="14"/>
  <c r="L181" i="14"/>
  <c r="K181" i="14"/>
  <c r="F181" i="14"/>
  <c r="J181" i="14"/>
  <c r="G181" i="14"/>
  <c r="H181" i="14"/>
  <c r="I181" i="14"/>
  <c r="AD173" i="14"/>
  <c r="AC173" i="14"/>
  <c r="AB173" i="14"/>
  <c r="AA173" i="14"/>
  <c r="X173" i="14"/>
  <c r="Y173" i="14"/>
  <c r="Z173" i="14"/>
  <c r="W173" i="14"/>
  <c r="V173" i="14"/>
  <c r="T173" i="14"/>
  <c r="U173" i="14"/>
  <c r="P173" i="14"/>
  <c r="Q173" i="14"/>
  <c r="R173" i="14"/>
  <c r="S173" i="14"/>
  <c r="O173" i="14"/>
  <c r="M173" i="14"/>
  <c r="L173" i="14"/>
  <c r="N173" i="14"/>
  <c r="K173" i="14"/>
  <c r="F173" i="14"/>
  <c r="G173" i="14"/>
  <c r="H173" i="14"/>
  <c r="J173" i="14"/>
  <c r="I173" i="14"/>
  <c r="AD165" i="14"/>
  <c r="AC165" i="14"/>
  <c r="AA165" i="14"/>
  <c r="AB165" i="14"/>
  <c r="X165" i="14"/>
  <c r="Z165" i="14"/>
  <c r="Y165" i="14"/>
  <c r="W165" i="14"/>
  <c r="V165" i="14"/>
  <c r="T165" i="14"/>
  <c r="U165" i="14"/>
  <c r="P165" i="14"/>
  <c r="S165" i="14"/>
  <c r="Q165" i="14"/>
  <c r="R165" i="14"/>
  <c r="N165" i="14"/>
  <c r="O165" i="14"/>
  <c r="M165" i="14"/>
  <c r="L165" i="14"/>
  <c r="K165" i="14"/>
  <c r="F165" i="14"/>
  <c r="J165" i="14"/>
  <c r="G165" i="14"/>
  <c r="H165" i="14"/>
  <c r="I165" i="14"/>
  <c r="AD157" i="14"/>
  <c r="AC157" i="14"/>
  <c r="AB157" i="14"/>
  <c r="AA157" i="14"/>
  <c r="X157" i="14"/>
  <c r="Y157" i="14"/>
  <c r="Z157" i="14"/>
  <c r="W157" i="14"/>
  <c r="T157" i="14"/>
  <c r="V157" i="14"/>
  <c r="U157" i="14"/>
  <c r="P157" i="14"/>
  <c r="Q157" i="14"/>
  <c r="R157" i="14"/>
  <c r="S157" i="14"/>
  <c r="O157" i="14"/>
  <c r="M157" i="14"/>
  <c r="L157" i="14"/>
  <c r="K157" i="14"/>
  <c r="N157" i="14"/>
  <c r="F157" i="14"/>
  <c r="G157" i="14"/>
  <c r="H157" i="14"/>
  <c r="J157" i="14"/>
  <c r="I157" i="14"/>
  <c r="AD149" i="14"/>
  <c r="AC149" i="14"/>
  <c r="AA149" i="14"/>
  <c r="AB149" i="14"/>
  <c r="X149" i="14"/>
  <c r="Y149" i="14"/>
  <c r="W149" i="14"/>
  <c r="Z149" i="14"/>
  <c r="V149" i="14"/>
  <c r="T149" i="14"/>
  <c r="U149" i="14"/>
  <c r="P149" i="14"/>
  <c r="S149" i="14"/>
  <c r="Q149" i="14"/>
  <c r="R149" i="14"/>
  <c r="O149" i="14"/>
  <c r="N149" i="14"/>
  <c r="M149" i="14"/>
  <c r="L149" i="14"/>
  <c r="K149" i="14"/>
  <c r="F149" i="14"/>
  <c r="J149" i="14"/>
  <c r="G149" i="14"/>
  <c r="H149" i="14"/>
  <c r="I149" i="14"/>
  <c r="AD141" i="14"/>
  <c r="AC141" i="14"/>
  <c r="AB141" i="14"/>
  <c r="AA141" i="14"/>
  <c r="X141" i="14"/>
  <c r="Z141" i="14"/>
  <c r="Y141" i="14"/>
  <c r="W141" i="14"/>
  <c r="V141" i="14"/>
  <c r="T141" i="14"/>
  <c r="U141" i="14"/>
  <c r="P141" i="14"/>
  <c r="Q141" i="14"/>
  <c r="R141" i="14"/>
  <c r="S141" i="14"/>
  <c r="O141" i="14"/>
  <c r="M141" i="14"/>
  <c r="L141" i="14"/>
  <c r="N141" i="14"/>
  <c r="K141" i="14"/>
  <c r="F141" i="14"/>
  <c r="G141" i="14"/>
  <c r="H141" i="14"/>
  <c r="J141" i="14"/>
  <c r="I141" i="14"/>
  <c r="AD133" i="14"/>
  <c r="AC133" i="14"/>
  <c r="AB133" i="14"/>
  <c r="AA133" i="14"/>
  <c r="X133" i="14"/>
  <c r="Y133" i="14"/>
  <c r="Z133" i="14"/>
  <c r="W133" i="14"/>
  <c r="T133" i="14"/>
  <c r="U133" i="14"/>
  <c r="V133" i="14"/>
  <c r="P133" i="14"/>
  <c r="S133" i="14"/>
  <c r="Q133" i="14"/>
  <c r="R133" i="14"/>
  <c r="N133" i="14"/>
  <c r="O133" i="14"/>
  <c r="M133" i="14"/>
  <c r="L133" i="14"/>
  <c r="K133" i="14"/>
  <c r="F133" i="14"/>
  <c r="J133" i="14"/>
  <c r="G133" i="14"/>
  <c r="H133" i="14"/>
  <c r="I133" i="14"/>
  <c r="AD125" i="14"/>
  <c r="AC125" i="14"/>
  <c r="AB125" i="14"/>
  <c r="AA125" i="14"/>
  <c r="Z125" i="14"/>
  <c r="X125" i="14"/>
  <c r="Y125" i="14"/>
  <c r="W125" i="14"/>
  <c r="V125" i="14"/>
  <c r="T125" i="14"/>
  <c r="U125" i="14"/>
  <c r="P125" i="14"/>
  <c r="Q125" i="14"/>
  <c r="R125" i="14"/>
  <c r="S125" i="14"/>
  <c r="O125" i="14"/>
  <c r="M125" i="14"/>
  <c r="L125" i="14"/>
  <c r="N125" i="14"/>
  <c r="K125" i="14"/>
  <c r="F125" i="14"/>
  <c r="G125" i="14"/>
  <c r="H125" i="14"/>
  <c r="J125" i="14"/>
  <c r="I125" i="14"/>
  <c r="AD117" i="14"/>
  <c r="AB117" i="14"/>
  <c r="AA117" i="14"/>
  <c r="X117" i="14"/>
  <c r="Y117" i="14"/>
  <c r="Z117" i="14"/>
  <c r="AC117" i="14"/>
  <c r="W117" i="14"/>
  <c r="T117" i="14"/>
  <c r="V117" i="14"/>
  <c r="U117" i="14"/>
  <c r="P117" i="14"/>
  <c r="S117" i="14"/>
  <c r="Q117" i="14"/>
  <c r="R117" i="14"/>
  <c r="O117" i="14"/>
  <c r="N117" i="14"/>
  <c r="M117" i="14"/>
  <c r="L117" i="14"/>
  <c r="K117" i="14"/>
  <c r="F117" i="14"/>
  <c r="J117" i="14"/>
  <c r="G117" i="14"/>
  <c r="H117" i="14"/>
  <c r="I117" i="14"/>
  <c r="AD109" i="14"/>
  <c r="AB109" i="14"/>
  <c r="AA109" i="14"/>
  <c r="AC109" i="14"/>
  <c r="X109" i="14"/>
  <c r="Y109" i="14"/>
  <c r="Z109" i="14"/>
  <c r="W109" i="14"/>
  <c r="V109" i="14"/>
  <c r="T109" i="14"/>
  <c r="U109" i="14"/>
  <c r="P109" i="14"/>
  <c r="Q109" i="14"/>
  <c r="R109" i="14"/>
  <c r="S109" i="14"/>
  <c r="O109" i="14"/>
  <c r="M109" i="14"/>
  <c r="L109" i="14"/>
  <c r="N109" i="14"/>
  <c r="K109" i="14"/>
  <c r="F109" i="14"/>
  <c r="G109" i="14"/>
  <c r="H109" i="14"/>
  <c r="J109" i="14"/>
  <c r="I109" i="14"/>
  <c r="AD101" i="14"/>
  <c r="AC101" i="14"/>
  <c r="AA101" i="14"/>
  <c r="AB101" i="14"/>
  <c r="X101" i="14"/>
  <c r="Z101" i="14"/>
  <c r="Y101" i="14"/>
  <c r="W101" i="14"/>
  <c r="V101" i="14"/>
  <c r="T101" i="14"/>
  <c r="U101" i="14"/>
  <c r="P101" i="14"/>
  <c r="S101" i="14"/>
  <c r="Q101" i="14"/>
  <c r="R101" i="14"/>
  <c r="N101" i="14"/>
  <c r="O101" i="14"/>
  <c r="M101" i="14"/>
  <c r="L101" i="14"/>
  <c r="K101" i="14"/>
  <c r="F101" i="14"/>
  <c r="J101" i="14"/>
  <c r="G101" i="14"/>
  <c r="H101" i="14"/>
  <c r="I101" i="14"/>
  <c r="AD93" i="14"/>
  <c r="AC93" i="14"/>
  <c r="AA93" i="14"/>
  <c r="X93" i="14"/>
  <c r="Y93" i="14"/>
  <c r="Z93" i="14"/>
  <c r="AB93" i="14"/>
  <c r="W93" i="14"/>
  <c r="U93" i="14"/>
  <c r="T93" i="14"/>
  <c r="V93" i="14"/>
  <c r="P93" i="14"/>
  <c r="Q93" i="14"/>
  <c r="R93" i="14"/>
  <c r="S93" i="14"/>
  <c r="O93" i="14"/>
  <c r="K93" i="14"/>
  <c r="M93" i="14"/>
  <c r="L93" i="14"/>
  <c r="N93" i="14"/>
  <c r="F93" i="14"/>
  <c r="G93" i="14"/>
  <c r="H93" i="14"/>
  <c r="J93" i="14"/>
  <c r="I93" i="14"/>
  <c r="AD85" i="14"/>
  <c r="AC85" i="14"/>
  <c r="AA85" i="14"/>
  <c r="AB85" i="14"/>
  <c r="X85" i="14"/>
  <c r="Y85" i="14"/>
  <c r="W85" i="14"/>
  <c r="Z85" i="14"/>
  <c r="U85" i="14"/>
  <c r="V85" i="14"/>
  <c r="T85" i="14"/>
  <c r="S85" i="14"/>
  <c r="P85" i="14"/>
  <c r="Q85" i="14"/>
  <c r="R85" i="14"/>
  <c r="O85" i="14"/>
  <c r="N85" i="14"/>
  <c r="K85" i="14"/>
  <c r="M85" i="14"/>
  <c r="L85" i="14"/>
  <c r="F85" i="14"/>
  <c r="G85" i="14"/>
  <c r="J85" i="14"/>
  <c r="H85" i="14"/>
  <c r="I85" i="14"/>
  <c r="AD77" i="14"/>
  <c r="AC77" i="14"/>
  <c r="AA77" i="14"/>
  <c r="AB77" i="14"/>
  <c r="X77" i="14"/>
  <c r="Z77" i="14"/>
  <c r="Y77" i="14"/>
  <c r="W77" i="14"/>
  <c r="U77" i="14"/>
  <c r="V77" i="14"/>
  <c r="T77" i="14"/>
  <c r="S77" i="14"/>
  <c r="P77" i="14"/>
  <c r="Q77" i="14"/>
  <c r="R77" i="14"/>
  <c r="O77" i="14"/>
  <c r="K77" i="14"/>
  <c r="M77" i="14"/>
  <c r="L77" i="14"/>
  <c r="N77" i="14"/>
  <c r="F77" i="14"/>
  <c r="G77" i="14"/>
  <c r="H77" i="14"/>
  <c r="J77" i="14"/>
  <c r="I77" i="14"/>
  <c r="AD69" i="14"/>
  <c r="AA69" i="14"/>
  <c r="AC69" i="14"/>
  <c r="AB69" i="14"/>
  <c r="X69" i="14"/>
  <c r="Y69" i="14"/>
  <c r="Z69" i="14"/>
  <c r="W69" i="14"/>
  <c r="U69" i="14"/>
  <c r="T69" i="14"/>
  <c r="V69" i="14"/>
  <c r="S69" i="14"/>
  <c r="P69" i="14"/>
  <c r="Q69" i="14"/>
  <c r="R69" i="14"/>
  <c r="O69" i="14"/>
  <c r="N69" i="14"/>
  <c r="K69" i="14"/>
  <c r="M69" i="14"/>
  <c r="L69" i="14"/>
  <c r="F69" i="14"/>
  <c r="G69" i="14"/>
  <c r="H69" i="14"/>
  <c r="J69" i="14"/>
  <c r="I69" i="14"/>
  <c r="AD61" i="14"/>
  <c r="AC61" i="14"/>
  <c r="AA61" i="14"/>
  <c r="AB61" i="14"/>
  <c r="X61" i="14"/>
  <c r="Z61" i="14"/>
  <c r="Y61" i="14"/>
  <c r="W61" i="14"/>
  <c r="U61" i="14"/>
  <c r="V61" i="14"/>
  <c r="T61" i="14"/>
  <c r="P61" i="14"/>
  <c r="S61" i="14"/>
  <c r="Q61" i="14"/>
  <c r="O61" i="14"/>
  <c r="R61" i="14"/>
  <c r="K61" i="14"/>
  <c r="M61" i="14"/>
  <c r="L61" i="14"/>
  <c r="N61" i="14"/>
  <c r="F61" i="14"/>
  <c r="J61" i="14"/>
  <c r="G61" i="14"/>
  <c r="H61" i="14"/>
  <c r="I61" i="14"/>
  <c r="AD53" i="14"/>
  <c r="AC53" i="14"/>
  <c r="AA53" i="14"/>
  <c r="AB53" i="14"/>
  <c r="X53" i="14"/>
  <c r="Y53" i="14"/>
  <c r="Z53" i="14"/>
  <c r="W53" i="14"/>
  <c r="U53" i="14"/>
  <c r="T53" i="14"/>
  <c r="V53" i="14"/>
  <c r="S53" i="14"/>
  <c r="P53" i="14"/>
  <c r="Q53" i="14"/>
  <c r="O53" i="14"/>
  <c r="R53" i="14"/>
  <c r="N53" i="14"/>
  <c r="K53" i="14"/>
  <c r="M53" i="14"/>
  <c r="L53" i="14"/>
  <c r="F53" i="14"/>
  <c r="G53" i="14"/>
  <c r="H53" i="14"/>
  <c r="J53" i="14"/>
  <c r="I53" i="14"/>
  <c r="AD45" i="14"/>
  <c r="AB45" i="14"/>
  <c r="AA45" i="14"/>
  <c r="AC45" i="14"/>
  <c r="X45" i="14"/>
  <c r="Z45" i="14"/>
  <c r="Y45" i="14"/>
  <c r="W45" i="14"/>
  <c r="U45" i="14"/>
  <c r="V45" i="14"/>
  <c r="T45" i="14"/>
  <c r="S45" i="14"/>
  <c r="P45" i="14"/>
  <c r="R45" i="14"/>
  <c r="Q45" i="14"/>
  <c r="O45" i="14"/>
  <c r="N45" i="14"/>
  <c r="K45" i="14"/>
  <c r="M45" i="14"/>
  <c r="L45" i="14"/>
  <c r="F45" i="14"/>
  <c r="G45" i="14"/>
  <c r="H45" i="14"/>
  <c r="J45" i="14"/>
  <c r="I45" i="14"/>
  <c r="AD37" i="14"/>
  <c r="AB37" i="14"/>
  <c r="AC37" i="14"/>
  <c r="AA37" i="14"/>
  <c r="X37" i="14"/>
  <c r="Y37" i="14"/>
  <c r="Z37" i="14"/>
  <c r="W37" i="14"/>
  <c r="U37" i="14"/>
  <c r="V37" i="14"/>
  <c r="T37" i="14"/>
  <c r="P37" i="14"/>
  <c r="Q37" i="14"/>
  <c r="S37" i="14"/>
  <c r="O37" i="14"/>
  <c r="R37" i="14"/>
  <c r="N37" i="14"/>
  <c r="K37" i="14"/>
  <c r="M37" i="14"/>
  <c r="L37" i="14"/>
  <c r="J37" i="14"/>
  <c r="F37" i="14"/>
  <c r="G37" i="14"/>
  <c r="H37" i="14"/>
  <c r="I37" i="14"/>
  <c r="AD29" i="14"/>
  <c r="AC29" i="14"/>
  <c r="AB29" i="14"/>
  <c r="AA29" i="14"/>
  <c r="X29" i="14"/>
  <c r="Z29" i="14"/>
  <c r="Y29" i="14"/>
  <c r="W29" i="14"/>
  <c r="U29" i="14"/>
  <c r="T29" i="14"/>
  <c r="V29" i="14"/>
  <c r="P29" i="14"/>
  <c r="S29" i="14"/>
  <c r="Q29" i="14"/>
  <c r="O29" i="14"/>
  <c r="R29" i="14"/>
  <c r="N29" i="14"/>
  <c r="K29" i="14"/>
  <c r="M29" i="14"/>
  <c r="L29" i="14"/>
  <c r="F29" i="14"/>
  <c r="G29" i="14"/>
  <c r="H29" i="14"/>
  <c r="J29" i="14"/>
  <c r="I29" i="14"/>
  <c r="AD21" i="14"/>
  <c r="AB21" i="14"/>
  <c r="AC21" i="14"/>
  <c r="AA21" i="14"/>
  <c r="X21" i="14"/>
  <c r="Y21" i="14"/>
  <c r="Z21" i="14"/>
  <c r="W21" i="14"/>
  <c r="U21" i="14"/>
  <c r="V21" i="14"/>
  <c r="T21" i="14"/>
  <c r="S21" i="14"/>
  <c r="R21" i="14"/>
  <c r="P21" i="14"/>
  <c r="Q21" i="14"/>
  <c r="O21" i="14"/>
  <c r="N21" i="14"/>
  <c r="K21" i="14"/>
  <c r="M21" i="14"/>
  <c r="L21" i="14"/>
  <c r="F21" i="14"/>
  <c r="G21" i="14"/>
  <c r="J21" i="14"/>
  <c r="H21" i="14"/>
  <c r="I21" i="14"/>
  <c r="AD13" i="14"/>
  <c r="AB13" i="14"/>
  <c r="AC13" i="14"/>
  <c r="AA13" i="14"/>
  <c r="X13" i="14"/>
  <c r="Z13" i="14"/>
  <c r="Y13" i="14"/>
  <c r="W13" i="14"/>
  <c r="U13" i="14"/>
  <c r="V13" i="14"/>
  <c r="T13" i="14"/>
  <c r="P13" i="14"/>
  <c r="R13" i="14"/>
  <c r="Q13" i="14"/>
  <c r="S13" i="14"/>
  <c r="O13" i="14"/>
  <c r="N13" i="14"/>
  <c r="K13" i="14"/>
  <c r="M13" i="14"/>
  <c r="L13" i="14"/>
  <c r="F13" i="14"/>
  <c r="G13" i="14"/>
  <c r="H13" i="14"/>
  <c r="J13" i="14"/>
  <c r="I13" i="14"/>
  <c r="AD5" i="14"/>
  <c r="AB5" i="14"/>
  <c r="AA5" i="14"/>
  <c r="X5" i="14"/>
  <c r="Y5" i="14"/>
  <c r="AC5" i="14"/>
  <c r="Z5" i="14"/>
  <c r="W5" i="14"/>
  <c r="U5" i="14"/>
  <c r="T5" i="14"/>
  <c r="V5" i="14"/>
  <c r="S5" i="14"/>
  <c r="P5" i="14"/>
  <c r="Q5" i="14"/>
  <c r="R5" i="14"/>
  <c r="O5" i="14"/>
  <c r="N5" i="14"/>
  <c r="K5" i="14"/>
  <c r="M5" i="14"/>
  <c r="L5" i="14"/>
  <c r="F5" i="14"/>
  <c r="G5" i="14"/>
  <c r="H5" i="14"/>
  <c r="J5" i="14"/>
  <c r="I5" i="14"/>
  <c r="F386" i="14"/>
  <c r="F354" i="14"/>
  <c r="F322" i="14"/>
  <c r="F268" i="14"/>
  <c r="F204" i="14"/>
  <c r="F140" i="14"/>
  <c r="F76" i="14"/>
  <c r="G355" i="14"/>
  <c r="G291" i="14"/>
  <c r="G227" i="14"/>
  <c r="G163" i="14"/>
  <c r="H18" i="14"/>
  <c r="H10" i="14"/>
  <c r="L17" i="14"/>
  <c r="AD12" i="14"/>
  <c r="AC12" i="14"/>
  <c r="AA12" i="14"/>
  <c r="AB12" i="14"/>
  <c r="Z12" i="14"/>
  <c r="Y12" i="14"/>
  <c r="X12" i="14"/>
  <c r="W12" i="14"/>
  <c r="V12" i="14"/>
  <c r="T12" i="14"/>
  <c r="U12" i="14"/>
  <c r="R12" i="14"/>
  <c r="S12" i="14"/>
  <c r="P12" i="14"/>
  <c r="N12" i="14"/>
  <c r="Q12" i="14"/>
  <c r="O12" i="14"/>
  <c r="L12" i="14"/>
  <c r="K12" i="14"/>
  <c r="M12" i="14"/>
  <c r="AD4" i="14"/>
  <c r="AC4" i="14"/>
  <c r="AA4" i="14"/>
  <c r="AB4" i="14"/>
  <c r="Z4" i="14"/>
  <c r="Y4" i="14"/>
  <c r="X4" i="14"/>
  <c r="W4" i="14"/>
  <c r="T4" i="14"/>
  <c r="U4" i="14"/>
  <c r="V4" i="14"/>
  <c r="S4" i="14"/>
  <c r="R4" i="14"/>
  <c r="Q4" i="14"/>
  <c r="N4" i="14"/>
  <c r="P4" i="14"/>
  <c r="L4" i="14"/>
  <c r="O4" i="14"/>
  <c r="M4" i="14"/>
  <c r="G18" i="14"/>
  <c r="G10" i="14"/>
  <c r="H17" i="14"/>
  <c r="H9" i="14"/>
  <c r="I12" i="14"/>
  <c r="I4" i="14"/>
  <c r="J12" i="14"/>
  <c r="G17" i="14"/>
  <c r="G9" i="14"/>
  <c r="H8" i="14"/>
  <c r="AD18" i="14"/>
  <c r="AB18" i="14"/>
  <c r="AC18" i="14"/>
  <c r="AA18" i="14"/>
  <c r="Z18" i="14"/>
  <c r="W18" i="14"/>
  <c r="Y18" i="14"/>
  <c r="X18" i="14"/>
  <c r="T18" i="14"/>
  <c r="R18" i="14"/>
  <c r="V18" i="14"/>
  <c r="S18" i="14"/>
  <c r="U18" i="14"/>
  <c r="Q18" i="14"/>
  <c r="N18" i="14"/>
  <c r="P18" i="14"/>
  <c r="O18" i="14"/>
  <c r="M18" i="14"/>
  <c r="J18" i="14"/>
  <c r="K18" i="14"/>
  <c r="AD10" i="14"/>
  <c r="AC10" i="14"/>
  <c r="AB10" i="14"/>
  <c r="Z10" i="14"/>
  <c r="AA10" i="14"/>
  <c r="W10" i="14"/>
  <c r="X10" i="14"/>
  <c r="U10" i="14"/>
  <c r="T10" i="14"/>
  <c r="V10" i="14"/>
  <c r="Y10" i="14"/>
  <c r="R10" i="14"/>
  <c r="S10" i="14"/>
  <c r="P10" i="14"/>
  <c r="N10" i="14"/>
  <c r="O10" i="14"/>
  <c r="Q10" i="14"/>
  <c r="M10" i="14"/>
  <c r="J10" i="14"/>
  <c r="K10" i="14"/>
  <c r="L10" i="14"/>
  <c r="G8" i="14"/>
  <c r="H15" i="14"/>
  <c r="H7" i="14"/>
  <c r="I18" i="14"/>
  <c r="I10" i="14"/>
  <c r="AC17" i="14"/>
  <c r="AB17" i="14"/>
  <c r="AD17" i="14"/>
  <c r="AA17" i="14"/>
  <c r="Z17" i="14"/>
  <c r="W17" i="14"/>
  <c r="X17" i="14"/>
  <c r="Y17" i="14"/>
  <c r="V17" i="14"/>
  <c r="T17" i="14"/>
  <c r="U17" i="14"/>
  <c r="S17" i="14"/>
  <c r="Q17" i="14"/>
  <c r="R17" i="14"/>
  <c r="P17" i="14"/>
  <c r="O17" i="14"/>
  <c r="K17" i="14"/>
  <c r="M17" i="14"/>
  <c r="N17" i="14"/>
  <c r="J17" i="14"/>
  <c r="AC9" i="14"/>
  <c r="AD9" i="14"/>
  <c r="AB9" i="14"/>
  <c r="AA9" i="14"/>
  <c r="Z9" i="14"/>
  <c r="W9" i="14"/>
  <c r="X9" i="14"/>
  <c r="Y9" i="14"/>
  <c r="V9" i="14"/>
  <c r="U9" i="14"/>
  <c r="T9" i="14"/>
  <c r="S9" i="14"/>
  <c r="R9" i="14"/>
  <c r="Q9" i="14"/>
  <c r="P9" i="14"/>
  <c r="O9" i="14"/>
  <c r="K9" i="14"/>
  <c r="M9" i="14"/>
  <c r="J9" i="14"/>
  <c r="N9" i="14"/>
  <c r="L9" i="14"/>
  <c r="G15" i="14"/>
  <c r="G7" i="14"/>
  <c r="H14" i="14"/>
  <c r="H6" i="14"/>
  <c r="I17" i="14"/>
  <c r="I9" i="14"/>
  <c r="J4" i="14"/>
  <c r="K15" i="14"/>
  <c r="AC8" i="14"/>
  <c r="AB8" i="14"/>
  <c r="AD8" i="14"/>
  <c r="Z8" i="14"/>
  <c r="X8" i="14"/>
  <c r="AA8" i="14"/>
  <c r="W8" i="14"/>
  <c r="V8" i="14"/>
  <c r="Y8" i="14"/>
  <c r="U8" i="14"/>
  <c r="T8" i="14"/>
  <c r="S8" i="14"/>
  <c r="R8" i="14"/>
  <c r="P8" i="14"/>
  <c r="O8" i="14"/>
  <c r="Q8" i="14"/>
  <c r="N8" i="14"/>
  <c r="L8" i="14"/>
  <c r="M8" i="14"/>
  <c r="K8" i="14"/>
  <c r="J8" i="14"/>
  <c r="G14" i="14"/>
  <c r="G6" i="14"/>
  <c r="I8" i="14"/>
  <c r="K6" i="14"/>
  <c r="AD15" i="14"/>
  <c r="AC15" i="14"/>
  <c r="AB15" i="14"/>
  <c r="AA15" i="14"/>
  <c r="Z15" i="14"/>
  <c r="X15" i="14"/>
  <c r="Y15" i="14"/>
  <c r="W15" i="14"/>
  <c r="U15" i="14"/>
  <c r="V15" i="14"/>
  <c r="T15" i="14"/>
  <c r="S15" i="14"/>
  <c r="R15" i="14"/>
  <c r="P15" i="14"/>
  <c r="Q15" i="14"/>
  <c r="O15" i="14"/>
  <c r="N15" i="14"/>
  <c r="L15" i="14"/>
  <c r="M15" i="14"/>
  <c r="J15" i="14"/>
  <c r="AD7" i="14"/>
  <c r="AC7" i="14"/>
  <c r="AA7" i="14"/>
  <c r="AB7" i="14"/>
  <c r="Z7" i="14"/>
  <c r="X7" i="14"/>
  <c r="Y7" i="14"/>
  <c r="W7" i="14"/>
  <c r="V7" i="14"/>
  <c r="U7" i="14"/>
  <c r="T7" i="14"/>
  <c r="S7" i="14"/>
  <c r="P7" i="14"/>
  <c r="R7" i="14"/>
  <c r="Q7" i="14"/>
  <c r="O7" i="14"/>
  <c r="N7" i="14"/>
  <c r="L7" i="14"/>
  <c r="M7" i="14"/>
  <c r="K7" i="14"/>
  <c r="J7" i="14"/>
  <c r="H12" i="14"/>
  <c r="H4" i="14"/>
  <c r="I15" i="14"/>
  <c r="I7" i="14"/>
  <c r="K4" i="14"/>
  <c r="AD14" i="14"/>
  <c r="AC14" i="14"/>
  <c r="AB14" i="14"/>
  <c r="AA14" i="14"/>
  <c r="Z14" i="14"/>
  <c r="Y14" i="14"/>
  <c r="X14" i="14"/>
  <c r="W14" i="14"/>
  <c r="U14" i="14"/>
  <c r="S14" i="14"/>
  <c r="V14" i="14"/>
  <c r="T14" i="14"/>
  <c r="R14" i="14"/>
  <c r="Q14" i="14"/>
  <c r="O14" i="14"/>
  <c r="P14" i="14"/>
  <c r="M14" i="14"/>
  <c r="L14" i="14"/>
  <c r="K14" i="14"/>
  <c r="J14" i="14"/>
  <c r="N14" i="14"/>
  <c r="AD6" i="14"/>
  <c r="AA6" i="14"/>
  <c r="AC6" i="14"/>
  <c r="AB6" i="14"/>
  <c r="Y6" i="14"/>
  <c r="Z6" i="14"/>
  <c r="X6" i="14"/>
  <c r="V6" i="14"/>
  <c r="W6" i="14"/>
  <c r="S6" i="14"/>
  <c r="U6" i="14"/>
  <c r="T6" i="14"/>
  <c r="R6" i="14"/>
  <c r="O6" i="14"/>
  <c r="Q6" i="14"/>
  <c r="P6" i="14"/>
  <c r="M6" i="14"/>
  <c r="N6" i="14"/>
  <c r="L6" i="14"/>
  <c r="J6" i="14"/>
  <c r="G12" i="14"/>
  <c r="G4" i="14"/>
  <c r="I14" i="14"/>
  <c r="I6" i="14"/>
  <c r="L18" i="14"/>
  <c r="AI3" i="14"/>
  <c r="C67" i="26" l="1"/>
  <c r="H67" i="26"/>
  <c r="F67" i="26" l="1"/>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F392" i="26"/>
  <c r="F393" i="26"/>
  <c r="F394" i="26"/>
  <c r="F395" i="26"/>
  <c r="F396" i="26"/>
  <c r="F397" i="26"/>
  <c r="F398" i="26"/>
  <c r="F399" i="26"/>
  <c r="F400" i="26"/>
  <c r="F401" i="26"/>
  <c r="F402" i="26"/>
  <c r="F403" i="26"/>
  <c r="F404" i="26"/>
  <c r="F405" i="26"/>
  <c r="F406" i="26"/>
  <c r="F407" i="26"/>
  <c r="F408" i="26"/>
  <c r="F409" i="26"/>
  <c r="F410" i="26"/>
  <c r="F411"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140" i="26"/>
  <c r="E141" i="26"/>
  <c r="E142" i="26"/>
  <c r="E143" i="26"/>
  <c r="E144" i="26"/>
  <c r="E145" i="26"/>
  <c r="E146" i="26"/>
  <c r="E147" i="26"/>
  <c r="E148" i="26"/>
  <c r="E149" i="26"/>
  <c r="E150" i="26"/>
  <c r="E151" i="26"/>
  <c r="E152" i="26"/>
  <c r="E153" i="26"/>
  <c r="E154" i="26"/>
  <c r="E155" i="26"/>
  <c r="E156" i="26"/>
  <c r="E157" i="26"/>
  <c r="E158" i="26"/>
  <c r="E159" i="26"/>
  <c r="E160" i="26"/>
  <c r="E161" i="26"/>
  <c r="E162" i="26"/>
  <c r="E163" i="26"/>
  <c r="E164" i="26"/>
  <c r="E165" i="26"/>
  <c r="E166" i="26"/>
  <c r="E167" i="26"/>
  <c r="E168" i="26"/>
  <c r="E169" i="26"/>
  <c r="E170" i="26"/>
  <c r="E171" i="26"/>
  <c r="E172" i="26"/>
  <c r="E173" i="26"/>
  <c r="E174" i="26"/>
  <c r="E175" i="26"/>
  <c r="E176" i="26"/>
  <c r="E177" i="26"/>
  <c r="E178" i="26"/>
  <c r="E179" i="26"/>
  <c r="E180" i="26"/>
  <c r="E181" i="26"/>
  <c r="E182" i="26"/>
  <c r="E183" i="26"/>
  <c r="E184" i="26"/>
  <c r="E185" i="26"/>
  <c r="E186" i="26"/>
  <c r="E187" i="26"/>
  <c r="E188" i="26"/>
  <c r="E189" i="26"/>
  <c r="E190" i="26"/>
  <c r="E191" i="26"/>
  <c r="E192" i="26"/>
  <c r="E193" i="26"/>
  <c r="E194" i="26"/>
  <c r="E195" i="26"/>
  <c r="E196" i="26"/>
  <c r="E197" i="26"/>
  <c r="E198" i="26"/>
  <c r="E199" i="26"/>
  <c r="E200" i="26"/>
  <c r="E201" i="26"/>
  <c r="E202" i="26"/>
  <c r="E203" i="26"/>
  <c r="E204" i="26"/>
  <c r="E205" i="26"/>
  <c r="E206" i="26"/>
  <c r="E207" i="26"/>
  <c r="E208" i="26"/>
  <c r="E209" i="26"/>
  <c r="E210" i="26"/>
  <c r="E211" i="26"/>
  <c r="E212" i="26"/>
  <c r="E213" i="26"/>
  <c r="E214" i="26"/>
  <c r="E215" i="26"/>
  <c r="E216" i="26"/>
  <c r="E217" i="26"/>
  <c r="E218" i="26"/>
  <c r="E219" i="26"/>
  <c r="E220" i="26"/>
  <c r="E221" i="26"/>
  <c r="E222" i="26"/>
  <c r="E223" i="26"/>
  <c r="E224" i="26"/>
  <c r="E225" i="26"/>
  <c r="E226" i="26"/>
  <c r="E227" i="26"/>
  <c r="E228" i="26"/>
  <c r="E229" i="26"/>
  <c r="E230" i="26"/>
  <c r="E231" i="26"/>
  <c r="E232" i="26"/>
  <c r="E233" i="26"/>
  <c r="E234" i="26"/>
  <c r="E235" i="26"/>
  <c r="E236" i="26"/>
  <c r="E237" i="26"/>
  <c r="E238" i="26"/>
  <c r="E239" i="26"/>
  <c r="E240" i="26"/>
  <c r="E241" i="26"/>
  <c r="E242" i="26"/>
  <c r="E243" i="26"/>
  <c r="E244" i="26"/>
  <c r="E245" i="26"/>
  <c r="E246" i="26"/>
  <c r="E247" i="26"/>
  <c r="E248" i="26"/>
  <c r="E249" i="26"/>
  <c r="E250" i="26"/>
  <c r="E251" i="26"/>
  <c r="E252" i="26"/>
  <c r="E253" i="26"/>
  <c r="E254" i="26"/>
  <c r="E255" i="26"/>
  <c r="E256" i="26"/>
  <c r="E257" i="26"/>
  <c r="E258" i="26"/>
  <c r="E259" i="26"/>
  <c r="E260" i="26"/>
  <c r="E261" i="26"/>
  <c r="E262" i="26"/>
  <c r="E263" i="26"/>
  <c r="E264" i="26"/>
  <c r="E265" i="26"/>
  <c r="E266" i="26"/>
  <c r="E267" i="26"/>
  <c r="E268" i="26"/>
  <c r="E269" i="26"/>
  <c r="E270" i="26"/>
  <c r="E271" i="26"/>
  <c r="E272" i="26"/>
  <c r="E273" i="26"/>
  <c r="E274" i="26"/>
  <c r="E275" i="26"/>
  <c r="E276" i="26"/>
  <c r="E277" i="26"/>
  <c r="E278" i="26"/>
  <c r="E279" i="26"/>
  <c r="E280" i="26"/>
  <c r="E281" i="26"/>
  <c r="E282" i="26"/>
  <c r="E283" i="26"/>
  <c r="E284" i="26"/>
  <c r="E285" i="26"/>
  <c r="E286" i="26"/>
  <c r="E287" i="26"/>
  <c r="E288" i="26"/>
  <c r="E289" i="26"/>
  <c r="E290" i="26"/>
  <c r="E291" i="26"/>
  <c r="E292" i="26"/>
  <c r="E293" i="26"/>
  <c r="E294" i="26"/>
  <c r="E295" i="26"/>
  <c r="E296" i="26"/>
  <c r="E297" i="26"/>
  <c r="E298" i="26"/>
  <c r="E299" i="26"/>
  <c r="E300" i="26"/>
  <c r="E301" i="26"/>
  <c r="E302" i="26"/>
  <c r="E303" i="26"/>
  <c r="E304" i="26"/>
  <c r="E305" i="26"/>
  <c r="E306" i="26"/>
  <c r="E307" i="26"/>
  <c r="E308" i="26"/>
  <c r="E309" i="26"/>
  <c r="E310" i="26"/>
  <c r="E311" i="26"/>
  <c r="E312" i="26"/>
  <c r="E313" i="26"/>
  <c r="E314" i="26"/>
  <c r="E315" i="26"/>
  <c r="E316" i="26"/>
  <c r="E317" i="26"/>
  <c r="E318" i="26"/>
  <c r="E319" i="26"/>
  <c r="E320" i="26"/>
  <c r="E321" i="26"/>
  <c r="E322" i="26"/>
  <c r="E323" i="26"/>
  <c r="E324" i="26"/>
  <c r="E325" i="26"/>
  <c r="E326" i="26"/>
  <c r="E327" i="26"/>
  <c r="E328" i="26"/>
  <c r="E329" i="26"/>
  <c r="E330" i="26"/>
  <c r="E331" i="26"/>
  <c r="E332" i="26"/>
  <c r="E333" i="26"/>
  <c r="E334" i="26"/>
  <c r="E335" i="26"/>
  <c r="E336" i="26"/>
  <c r="E337" i="26"/>
  <c r="E338" i="26"/>
  <c r="E339" i="26"/>
  <c r="E340" i="26"/>
  <c r="E341" i="26"/>
  <c r="E342" i="26"/>
  <c r="E343" i="26"/>
  <c r="E344" i="26"/>
  <c r="E345" i="26"/>
  <c r="E346" i="26"/>
  <c r="E347" i="26"/>
  <c r="E348" i="26"/>
  <c r="E349" i="26"/>
  <c r="E350" i="26"/>
  <c r="E351" i="26"/>
  <c r="E352" i="26"/>
  <c r="E353" i="26"/>
  <c r="E354" i="26"/>
  <c r="E355" i="26"/>
  <c r="E356" i="26"/>
  <c r="E357" i="26"/>
  <c r="E358" i="26"/>
  <c r="E359" i="26"/>
  <c r="E360" i="26"/>
  <c r="E361" i="26"/>
  <c r="E362" i="26"/>
  <c r="E363" i="26"/>
  <c r="E364" i="26"/>
  <c r="E365" i="26"/>
  <c r="E366" i="26"/>
  <c r="E367" i="26"/>
  <c r="E368" i="26"/>
  <c r="E369" i="26"/>
  <c r="E370" i="26"/>
  <c r="E371" i="26"/>
  <c r="E372" i="26"/>
  <c r="E373" i="26"/>
  <c r="E374" i="26"/>
  <c r="E375" i="26"/>
  <c r="E376" i="26"/>
  <c r="E377" i="26"/>
  <c r="E378" i="26"/>
  <c r="E379" i="26"/>
  <c r="E380" i="26"/>
  <c r="E381" i="26"/>
  <c r="E382" i="26"/>
  <c r="E383" i="26"/>
  <c r="E384" i="26"/>
  <c r="E385" i="26"/>
  <c r="E386" i="26"/>
  <c r="E387" i="26"/>
  <c r="E388" i="26"/>
  <c r="E389" i="26"/>
  <c r="E390" i="26"/>
  <c r="E391" i="26"/>
  <c r="E392" i="26"/>
  <c r="E393" i="26"/>
  <c r="E394" i="26"/>
  <c r="E395" i="26"/>
  <c r="E396" i="26"/>
  <c r="E397" i="26"/>
  <c r="E398" i="26"/>
  <c r="E399" i="26"/>
  <c r="E400" i="26"/>
  <c r="E401" i="26"/>
  <c r="E402" i="26"/>
  <c r="E403" i="26"/>
  <c r="E404" i="26"/>
  <c r="E405" i="26"/>
  <c r="E406" i="26"/>
  <c r="E407" i="26"/>
  <c r="E408" i="26"/>
  <c r="E409" i="26"/>
  <c r="E410" i="26"/>
  <c r="E411" i="26"/>
  <c r="D67" i="26"/>
  <c r="D68" i="26"/>
  <c r="D69" i="26"/>
  <c r="D70" i="26"/>
  <c r="D71" i="26"/>
  <c r="D72" i="26"/>
  <c r="D73" i="26"/>
  <c r="D74" i="26"/>
  <c r="D75" i="26"/>
  <c r="D76" i="26"/>
  <c r="D77" i="26"/>
  <c r="D78" i="26"/>
  <c r="D79" i="26"/>
  <c r="D80" i="26"/>
  <c r="D81" i="26"/>
  <c r="D82" i="26"/>
  <c r="D83" i="26"/>
  <c r="D84" i="26"/>
  <c r="D85" i="26"/>
  <c r="D86" i="26"/>
  <c r="D87" i="26"/>
  <c r="D88" i="26"/>
  <c r="D89" i="26"/>
  <c r="D90" i="26"/>
  <c r="D91" i="26"/>
  <c r="D92" i="26"/>
  <c r="D93" i="26"/>
  <c r="D94" i="26"/>
  <c r="D95" i="26"/>
  <c r="D96" i="26"/>
  <c r="D97" i="26"/>
  <c r="D98" i="26"/>
  <c r="D99" i="26"/>
  <c r="D100" i="26"/>
  <c r="D101" i="26"/>
  <c r="D102" i="26"/>
  <c r="D103" i="26"/>
  <c r="D104" i="26"/>
  <c r="D105" i="26"/>
  <c r="D106" i="26"/>
  <c r="D107" i="26"/>
  <c r="D108" i="26"/>
  <c r="D109" i="26"/>
  <c r="D110" i="26"/>
  <c r="D111" i="26"/>
  <c r="D112" i="26"/>
  <c r="D113" i="26"/>
  <c r="D114" i="26"/>
  <c r="D115" i="26"/>
  <c r="D116" i="26"/>
  <c r="D117" i="26"/>
  <c r="D118" i="26"/>
  <c r="D119" i="26"/>
  <c r="D120" i="26"/>
  <c r="D121" i="26"/>
  <c r="D122" i="26"/>
  <c r="D123" i="26"/>
  <c r="D124" i="26"/>
  <c r="D125" i="26"/>
  <c r="D126" i="26"/>
  <c r="D127" i="26"/>
  <c r="D128" i="26"/>
  <c r="D129" i="26"/>
  <c r="D130" i="26"/>
  <c r="D131" i="26"/>
  <c r="D132" i="26"/>
  <c r="D133" i="26"/>
  <c r="D134" i="26"/>
  <c r="D135" i="26"/>
  <c r="D136" i="26"/>
  <c r="D137" i="26"/>
  <c r="D138" i="26"/>
  <c r="D139" i="26"/>
  <c r="D140" i="26"/>
  <c r="D141" i="26"/>
  <c r="D142" i="26"/>
  <c r="D143" i="26"/>
  <c r="D144" i="26"/>
  <c r="D145" i="26"/>
  <c r="D146" i="26"/>
  <c r="D147" i="26"/>
  <c r="D148" i="26"/>
  <c r="D149" i="26"/>
  <c r="D150" i="26"/>
  <c r="D151" i="26"/>
  <c r="D152" i="26"/>
  <c r="D153" i="26"/>
  <c r="D154" i="26"/>
  <c r="D155" i="26"/>
  <c r="D156" i="26"/>
  <c r="D157" i="26"/>
  <c r="D158" i="26"/>
  <c r="D159" i="26"/>
  <c r="D160" i="26"/>
  <c r="D161" i="26"/>
  <c r="D162" i="26"/>
  <c r="D163" i="26"/>
  <c r="D164" i="26"/>
  <c r="D165" i="26"/>
  <c r="D166" i="26"/>
  <c r="D167" i="26"/>
  <c r="D168" i="26"/>
  <c r="D169" i="26"/>
  <c r="D170" i="26"/>
  <c r="D171" i="26"/>
  <c r="D172" i="26"/>
  <c r="D173" i="26"/>
  <c r="D174" i="26"/>
  <c r="D175" i="26"/>
  <c r="D176" i="26"/>
  <c r="D177" i="26"/>
  <c r="D178" i="26"/>
  <c r="D179" i="26"/>
  <c r="D180" i="26"/>
  <c r="D181" i="26"/>
  <c r="D182" i="26"/>
  <c r="D183" i="26"/>
  <c r="D184" i="26"/>
  <c r="D185" i="26"/>
  <c r="D186" i="26"/>
  <c r="D187" i="26"/>
  <c r="D188" i="26"/>
  <c r="D189" i="26"/>
  <c r="D190" i="26"/>
  <c r="D191" i="26"/>
  <c r="D192" i="26"/>
  <c r="D193" i="26"/>
  <c r="D194" i="26"/>
  <c r="D195" i="26"/>
  <c r="D196" i="26"/>
  <c r="D197" i="26"/>
  <c r="D198" i="26"/>
  <c r="D199" i="26"/>
  <c r="D200" i="26"/>
  <c r="D201" i="26"/>
  <c r="D202" i="26"/>
  <c r="D203" i="26"/>
  <c r="D204" i="26"/>
  <c r="D205" i="26"/>
  <c r="D206" i="26"/>
  <c r="D207" i="26"/>
  <c r="D208" i="26"/>
  <c r="D209" i="26"/>
  <c r="D210" i="26"/>
  <c r="D211" i="26"/>
  <c r="D212" i="26"/>
  <c r="D213" i="26"/>
  <c r="D214" i="26"/>
  <c r="D215" i="26"/>
  <c r="D216" i="26"/>
  <c r="D217" i="26"/>
  <c r="D218" i="26"/>
  <c r="D219" i="26"/>
  <c r="D220" i="26"/>
  <c r="D221" i="26"/>
  <c r="D222" i="26"/>
  <c r="D223" i="26"/>
  <c r="D224" i="26"/>
  <c r="D225" i="26"/>
  <c r="D226" i="26"/>
  <c r="D227" i="26"/>
  <c r="D228" i="26"/>
  <c r="D229" i="26"/>
  <c r="D230" i="26"/>
  <c r="D231" i="26"/>
  <c r="D232" i="26"/>
  <c r="D233" i="26"/>
  <c r="D234" i="26"/>
  <c r="D235" i="26"/>
  <c r="D236" i="26"/>
  <c r="D237" i="26"/>
  <c r="D238" i="26"/>
  <c r="D239" i="26"/>
  <c r="D240" i="26"/>
  <c r="D241" i="26"/>
  <c r="D242" i="26"/>
  <c r="D243" i="26"/>
  <c r="D244" i="26"/>
  <c r="D245" i="26"/>
  <c r="D246" i="26"/>
  <c r="D247" i="26"/>
  <c r="D248" i="26"/>
  <c r="D249" i="26"/>
  <c r="D250" i="26"/>
  <c r="D251" i="26"/>
  <c r="D252" i="26"/>
  <c r="D253" i="26"/>
  <c r="D254" i="26"/>
  <c r="D255" i="26"/>
  <c r="D256" i="26"/>
  <c r="D257" i="26"/>
  <c r="D258" i="26"/>
  <c r="D259" i="26"/>
  <c r="D260" i="26"/>
  <c r="D261" i="26"/>
  <c r="D262" i="26"/>
  <c r="D263" i="26"/>
  <c r="D264" i="26"/>
  <c r="D265" i="26"/>
  <c r="D266" i="26"/>
  <c r="D267" i="26"/>
  <c r="D268" i="26"/>
  <c r="D269" i="26"/>
  <c r="D270" i="26"/>
  <c r="D271" i="26"/>
  <c r="D272" i="26"/>
  <c r="D273" i="26"/>
  <c r="D274" i="26"/>
  <c r="D275" i="26"/>
  <c r="D276" i="26"/>
  <c r="D277" i="26"/>
  <c r="D278" i="26"/>
  <c r="D279" i="26"/>
  <c r="D280" i="26"/>
  <c r="D281" i="26"/>
  <c r="D282" i="26"/>
  <c r="D283" i="26"/>
  <c r="D284" i="26"/>
  <c r="D285" i="26"/>
  <c r="D286" i="26"/>
  <c r="D287" i="26"/>
  <c r="D288" i="26"/>
  <c r="D289" i="26"/>
  <c r="D290" i="26"/>
  <c r="D291" i="26"/>
  <c r="D292" i="26"/>
  <c r="D293" i="26"/>
  <c r="D294" i="26"/>
  <c r="D295" i="26"/>
  <c r="D296" i="26"/>
  <c r="D297" i="26"/>
  <c r="D298" i="26"/>
  <c r="D299" i="26"/>
  <c r="D300" i="26"/>
  <c r="D301" i="26"/>
  <c r="D302" i="26"/>
  <c r="D303" i="26"/>
  <c r="D304" i="26"/>
  <c r="D305" i="26"/>
  <c r="D306" i="26"/>
  <c r="D307" i="26"/>
  <c r="D308" i="26"/>
  <c r="D309" i="26"/>
  <c r="D310" i="26"/>
  <c r="D311" i="26"/>
  <c r="D312" i="26"/>
  <c r="D313" i="26"/>
  <c r="D314" i="26"/>
  <c r="D315" i="26"/>
  <c r="D316" i="26"/>
  <c r="D317" i="26"/>
  <c r="D318" i="26"/>
  <c r="D319" i="26"/>
  <c r="D320" i="26"/>
  <c r="D321" i="26"/>
  <c r="D322" i="26"/>
  <c r="D323" i="26"/>
  <c r="D324" i="26"/>
  <c r="D325" i="26"/>
  <c r="D326" i="26"/>
  <c r="D327" i="26"/>
  <c r="D328" i="26"/>
  <c r="D329" i="26"/>
  <c r="D330" i="26"/>
  <c r="D331" i="26"/>
  <c r="D332" i="26"/>
  <c r="D333" i="26"/>
  <c r="D334" i="26"/>
  <c r="D335" i="26"/>
  <c r="D336" i="26"/>
  <c r="D337" i="26"/>
  <c r="D338" i="26"/>
  <c r="D339" i="26"/>
  <c r="D340" i="26"/>
  <c r="D341" i="26"/>
  <c r="D342" i="26"/>
  <c r="D343" i="26"/>
  <c r="D344" i="26"/>
  <c r="D345" i="26"/>
  <c r="D346" i="26"/>
  <c r="D347" i="26"/>
  <c r="D348" i="26"/>
  <c r="D349" i="26"/>
  <c r="D350" i="26"/>
  <c r="D351" i="26"/>
  <c r="D352" i="26"/>
  <c r="D353" i="26"/>
  <c r="D354" i="26"/>
  <c r="D355" i="26"/>
  <c r="D356" i="26"/>
  <c r="D357" i="26"/>
  <c r="D358" i="26"/>
  <c r="D359" i="26"/>
  <c r="D360" i="26"/>
  <c r="D361" i="26"/>
  <c r="D362" i="26"/>
  <c r="D363" i="26"/>
  <c r="D364" i="26"/>
  <c r="D365" i="26"/>
  <c r="D366" i="26"/>
  <c r="D367" i="26"/>
  <c r="D368" i="26"/>
  <c r="D369" i="26"/>
  <c r="D370" i="26"/>
  <c r="D371" i="26"/>
  <c r="D372" i="26"/>
  <c r="D373" i="26"/>
  <c r="D374" i="26"/>
  <c r="D375" i="26"/>
  <c r="D376" i="26"/>
  <c r="D377" i="26"/>
  <c r="D378" i="26"/>
  <c r="D379" i="26"/>
  <c r="D380" i="26"/>
  <c r="D381" i="26"/>
  <c r="D382" i="26"/>
  <c r="D383" i="26"/>
  <c r="D384" i="26"/>
  <c r="D385" i="26"/>
  <c r="D386" i="26"/>
  <c r="D387" i="26"/>
  <c r="D388" i="26"/>
  <c r="D389" i="26"/>
  <c r="D390" i="26"/>
  <c r="D391" i="26"/>
  <c r="D392" i="26"/>
  <c r="D393" i="26"/>
  <c r="D394" i="26"/>
  <c r="D395" i="26"/>
  <c r="D396" i="26"/>
  <c r="D397" i="26"/>
  <c r="D398" i="26"/>
  <c r="D399" i="26"/>
  <c r="D400" i="26"/>
  <c r="D401" i="26"/>
  <c r="D402" i="26"/>
  <c r="D403" i="26"/>
  <c r="D404" i="26"/>
  <c r="D405" i="26"/>
  <c r="D406" i="26"/>
  <c r="D407" i="26"/>
  <c r="D408" i="26"/>
  <c r="D409" i="26"/>
  <c r="D410" i="26"/>
  <c r="D411"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205" i="26"/>
  <c r="C206" i="26"/>
  <c r="C207" i="26"/>
  <c r="C208" i="26"/>
  <c r="C209" i="26"/>
  <c r="C210" i="26"/>
  <c r="C211" i="26"/>
  <c r="C212" i="26"/>
  <c r="C213" i="26"/>
  <c r="C214" i="26"/>
  <c r="C215" i="26"/>
  <c r="C216" i="26"/>
  <c r="C217" i="26"/>
  <c r="C218" i="26"/>
  <c r="C219" i="26"/>
  <c r="C220" i="26"/>
  <c r="C221" i="26"/>
  <c r="C222" i="26"/>
  <c r="C223" i="26"/>
  <c r="C224" i="26"/>
  <c r="C225" i="26"/>
  <c r="C226" i="26"/>
  <c r="C227" i="26"/>
  <c r="C228" i="26"/>
  <c r="C229" i="26"/>
  <c r="C230" i="26"/>
  <c r="C231" i="26"/>
  <c r="C232" i="26"/>
  <c r="C233" i="26"/>
  <c r="C234" i="26"/>
  <c r="C235" i="26"/>
  <c r="C236" i="26"/>
  <c r="C237" i="26"/>
  <c r="C238" i="26"/>
  <c r="C239" i="26"/>
  <c r="C240" i="26"/>
  <c r="C241" i="26"/>
  <c r="C242" i="26"/>
  <c r="C243" i="26"/>
  <c r="C244" i="26"/>
  <c r="C245" i="26"/>
  <c r="C246" i="26"/>
  <c r="C247" i="26"/>
  <c r="C248" i="26"/>
  <c r="C249" i="26"/>
  <c r="C250" i="26"/>
  <c r="C251" i="26"/>
  <c r="C252" i="26"/>
  <c r="C253" i="26"/>
  <c r="C254" i="26"/>
  <c r="C255" i="26"/>
  <c r="C256" i="26"/>
  <c r="C257" i="26"/>
  <c r="C258" i="26"/>
  <c r="C259" i="26"/>
  <c r="C260" i="26"/>
  <c r="C261" i="26"/>
  <c r="C262" i="26"/>
  <c r="C263" i="26"/>
  <c r="C264" i="26"/>
  <c r="C265" i="26"/>
  <c r="C266" i="26"/>
  <c r="C267" i="26"/>
  <c r="C268" i="26"/>
  <c r="C269" i="26"/>
  <c r="C270" i="26"/>
  <c r="C271" i="26"/>
  <c r="C272" i="26"/>
  <c r="C273" i="26"/>
  <c r="C274" i="26"/>
  <c r="C275" i="26"/>
  <c r="C276" i="26"/>
  <c r="C277" i="26"/>
  <c r="C278" i="26"/>
  <c r="C279" i="26"/>
  <c r="C280" i="26"/>
  <c r="C281" i="26"/>
  <c r="C282" i="26"/>
  <c r="C283" i="26"/>
  <c r="C284" i="26"/>
  <c r="C285" i="26"/>
  <c r="C286" i="26"/>
  <c r="C287" i="26"/>
  <c r="C288" i="26"/>
  <c r="C289" i="26"/>
  <c r="C290" i="26"/>
  <c r="C291" i="26"/>
  <c r="C292" i="26"/>
  <c r="C293" i="26"/>
  <c r="C294" i="26"/>
  <c r="C295" i="26"/>
  <c r="C296" i="26"/>
  <c r="C297" i="26"/>
  <c r="C298" i="26"/>
  <c r="C299" i="26"/>
  <c r="C300" i="26"/>
  <c r="C301" i="26"/>
  <c r="C302" i="26"/>
  <c r="C303" i="26"/>
  <c r="C304" i="26"/>
  <c r="C305" i="26"/>
  <c r="C306" i="26"/>
  <c r="C307" i="26"/>
  <c r="C308" i="26"/>
  <c r="C309" i="26"/>
  <c r="C310" i="26"/>
  <c r="C311" i="26"/>
  <c r="C312" i="26"/>
  <c r="C313" i="26"/>
  <c r="C314" i="26"/>
  <c r="C315" i="26"/>
  <c r="C316" i="26"/>
  <c r="C317" i="26"/>
  <c r="C318" i="26"/>
  <c r="C319" i="26"/>
  <c r="C320" i="26"/>
  <c r="C321" i="26"/>
  <c r="C322" i="26"/>
  <c r="C323" i="26"/>
  <c r="C324" i="26"/>
  <c r="C325" i="26"/>
  <c r="C326" i="26"/>
  <c r="C327" i="26"/>
  <c r="C328" i="26"/>
  <c r="C329" i="26"/>
  <c r="C330" i="26"/>
  <c r="C331" i="26"/>
  <c r="C332" i="26"/>
  <c r="C333" i="26"/>
  <c r="C334" i="26"/>
  <c r="C335" i="26"/>
  <c r="C336" i="26"/>
  <c r="C337" i="26"/>
  <c r="C338" i="26"/>
  <c r="C339" i="26"/>
  <c r="C340" i="26"/>
  <c r="C341" i="26"/>
  <c r="C342" i="26"/>
  <c r="C343" i="26"/>
  <c r="C344" i="26"/>
  <c r="C345" i="26"/>
  <c r="C346" i="26"/>
  <c r="C347" i="26"/>
  <c r="C348" i="26"/>
  <c r="C349" i="26"/>
  <c r="C350" i="26"/>
  <c r="C351" i="26"/>
  <c r="C352" i="26"/>
  <c r="C353" i="26"/>
  <c r="C354" i="26"/>
  <c r="C355" i="26"/>
  <c r="C356" i="26"/>
  <c r="C357" i="26"/>
  <c r="C358" i="26"/>
  <c r="C359" i="26"/>
  <c r="C360" i="26"/>
  <c r="C361" i="26"/>
  <c r="C362" i="26"/>
  <c r="C363" i="26"/>
  <c r="C364" i="26"/>
  <c r="C365" i="26"/>
  <c r="C366" i="26"/>
  <c r="C367" i="26"/>
  <c r="C368" i="26"/>
  <c r="C369" i="26"/>
  <c r="C370" i="26"/>
  <c r="C371" i="26"/>
  <c r="C372" i="26"/>
  <c r="C373" i="26"/>
  <c r="C374" i="26"/>
  <c r="C375" i="26"/>
  <c r="C376" i="26"/>
  <c r="C377" i="26"/>
  <c r="C378" i="26"/>
  <c r="C379" i="26"/>
  <c r="C380" i="26"/>
  <c r="C381" i="26"/>
  <c r="C382" i="26"/>
  <c r="C383" i="26"/>
  <c r="C384" i="26"/>
  <c r="C385" i="26"/>
  <c r="C386" i="26"/>
  <c r="C387" i="26"/>
  <c r="C388" i="26"/>
  <c r="C389" i="26"/>
  <c r="C390" i="26"/>
  <c r="C391" i="26"/>
  <c r="C392" i="26"/>
  <c r="C393" i="26"/>
  <c r="C394" i="26"/>
  <c r="C395" i="26"/>
  <c r="C396" i="26"/>
  <c r="C397" i="26"/>
  <c r="C398" i="26"/>
  <c r="C399" i="26"/>
  <c r="C400" i="26"/>
  <c r="C401" i="26"/>
  <c r="C402" i="26"/>
  <c r="C403" i="26"/>
  <c r="C404" i="26"/>
  <c r="C405" i="26"/>
  <c r="C406" i="26"/>
  <c r="C407" i="26"/>
  <c r="C408" i="26"/>
  <c r="C409" i="26"/>
  <c r="C410" i="26"/>
  <c r="C411" i="26"/>
  <c r="K2" i="33"/>
  <c r="A2" i="33"/>
  <c r="P67" i="26"/>
  <c r="H4" i="26"/>
  <c r="H5" i="26"/>
  <c r="H6" i="26"/>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263" i="26"/>
  <c r="H264" i="26"/>
  <c r="H265" i="26"/>
  <c r="H266" i="26"/>
  <c r="H267" i="26"/>
  <c r="H268" i="26"/>
  <c r="H269" i="26"/>
  <c r="H270" i="26"/>
  <c r="H271" i="26"/>
  <c r="H272" i="26"/>
  <c r="H273" i="26"/>
  <c r="H274" i="26"/>
  <c r="H275" i="26"/>
  <c r="H276" i="26"/>
  <c r="H277" i="26"/>
  <c r="H278" i="26"/>
  <c r="H279" i="26"/>
  <c r="H280" i="26"/>
  <c r="H281" i="26"/>
  <c r="H282" i="26"/>
  <c r="H283" i="26"/>
  <c r="H284" i="26"/>
  <c r="H285" i="26"/>
  <c r="H286" i="26"/>
  <c r="H287" i="26"/>
  <c r="H288" i="26"/>
  <c r="H289" i="26"/>
  <c r="H290" i="26"/>
  <c r="H291" i="26"/>
  <c r="H292" i="26"/>
  <c r="H293" i="26"/>
  <c r="H294" i="26"/>
  <c r="H295" i="26"/>
  <c r="H296" i="26"/>
  <c r="H297" i="26"/>
  <c r="H298" i="26"/>
  <c r="H299" i="26"/>
  <c r="H300" i="26"/>
  <c r="H301" i="26"/>
  <c r="H302" i="26"/>
  <c r="H303" i="26"/>
  <c r="H304" i="26"/>
  <c r="H305" i="26"/>
  <c r="H306" i="26"/>
  <c r="H307" i="26"/>
  <c r="H308" i="26"/>
  <c r="H309" i="26"/>
  <c r="H310" i="26"/>
  <c r="H311" i="26"/>
  <c r="H312" i="26"/>
  <c r="H313" i="26"/>
  <c r="H314" i="26"/>
  <c r="H315" i="26"/>
  <c r="H316" i="26"/>
  <c r="H317" i="26"/>
  <c r="H318" i="26"/>
  <c r="H319" i="26"/>
  <c r="H320" i="26"/>
  <c r="H321" i="26"/>
  <c r="H322" i="26"/>
  <c r="H323" i="26"/>
  <c r="H324" i="26"/>
  <c r="H325" i="26"/>
  <c r="H326" i="26"/>
  <c r="H327" i="26"/>
  <c r="H328" i="26"/>
  <c r="H329" i="26"/>
  <c r="H330" i="26"/>
  <c r="H331" i="26"/>
  <c r="H332" i="26"/>
  <c r="H333" i="26"/>
  <c r="H334" i="26"/>
  <c r="H335" i="26"/>
  <c r="H336" i="26"/>
  <c r="H337" i="26"/>
  <c r="H338" i="26"/>
  <c r="H339" i="26"/>
  <c r="H340" i="26"/>
  <c r="H341" i="26"/>
  <c r="H342" i="26"/>
  <c r="H343" i="26"/>
  <c r="H344" i="26"/>
  <c r="H345" i="26"/>
  <c r="H346" i="26"/>
  <c r="H347" i="26"/>
  <c r="H348" i="26"/>
  <c r="H349" i="26"/>
  <c r="H350" i="26"/>
  <c r="H351" i="26"/>
  <c r="H352" i="26"/>
  <c r="H353" i="26"/>
  <c r="H354" i="26"/>
  <c r="H355" i="26"/>
  <c r="H356" i="26"/>
  <c r="H357" i="26"/>
  <c r="H358" i="26"/>
  <c r="H359" i="26"/>
  <c r="H360" i="26"/>
  <c r="H361" i="26"/>
  <c r="H362" i="26"/>
  <c r="H363" i="26"/>
  <c r="H364" i="26"/>
  <c r="H365" i="26"/>
  <c r="H366" i="26"/>
  <c r="H367" i="26"/>
  <c r="H368" i="26"/>
  <c r="H369" i="26"/>
  <c r="H370" i="26"/>
  <c r="H371" i="26"/>
  <c r="H372" i="26"/>
  <c r="H373" i="26"/>
  <c r="H374" i="26"/>
  <c r="H375" i="26"/>
  <c r="H376" i="26"/>
  <c r="H377" i="26"/>
  <c r="H378" i="26"/>
  <c r="H379" i="26"/>
  <c r="H380" i="26"/>
  <c r="H381" i="26"/>
  <c r="H382" i="26"/>
  <c r="H383" i="26"/>
  <c r="H384" i="26"/>
  <c r="H385" i="26"/>
  <c r="H386" i="26"/>
  <c r="H387" i="26"/>
  <c r="H388" i="26"/>
  <c r="H389" i="26"/>
  <c r="H390" i="26"/>
  <c r="H391" i="26"/>
  <c r="H392" i="26"/>
  <c r="H393" i="26"/>
  <c r="H394" i="26"/>
  <c r="H395" i="26"/>
  <c r="H396" i="26"/>
  <c r="H397" i="26"/>
  <c r="H398" i="26"/>
  <c r="H399" i="26"/>
  <c r="H400" i="26"/>
  <c r="H401" i="26"/>
  <c r="H402" i="26"/>
  <c r="H403" i="26"/>
  <c r="H404" i="26"/>
  <c r="H405" i="26"/>
  <c r="H406" i="26"/>
  <c r="H407" i="26"/>
  <c r="H408" i="26"/>
  <c r="H409" i="26"/>
  <c r="H410" i="26"/>
  <c r="H411" i="26"/>
  <c r="J66" i="28"/>
  <c r="G3" i="28"/>
  <c r="G4" i="28"/>
  <c r="G5" i="28"/>
  <c r="G6" i="28"/>
  <c r="G7" i="28"/>
  <c r="G8"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208" i="28"/>
  <c r="G209" i="28"/>
  <c r="G210" i="28"/>
  <c r="G211" i="28"/>
  <c r="G212" i="28"/>
  <c r="G213" i="28"/>
  <c r="G214" i="28"/>
  <c r="G215" i="28"/>
  <c r="G216" i="28"/>
  <c r="G217" i="28"/>
  <c r="G218" i="28"/>
  <c r="G219" i="28"/>
  <c r="G220" i="28"/>
  <c r="G221" i="28"/>
  <c r="G222" i="28"/>
  <c r="G223" i="28"/>
  <c r="G224" i="28"/>
  <c r="G225" i="28"/>
  <c r="G226" i="28"/>
  <c r="G227" i="28"/>
  <c r="G228" i="28"/>
  <c r="G229" i="28"/>
  <c r="G230" i="28"/>
  <c r="G231" i="28"/>
  <c r="G232" i="28"/>
  <c r="G233" i="28"/>
  <c r="G234" i="28"/>
  <c r="G235" i="28"/>
  <c r="G236" i="28"/>
  <c r="G237" i="28"/>
  <c r="G238" i="28"/>
  <c r="G239" i="28"/>
  <c r="G240" i="28"/>
  <c r="G241" i="28"/>
  <c r="G242" i="28"/>
  <c r="G243" i="28"/>
  <c r="G244" i="28"/>
  <c r="G245" i="28"/>
  <c r="G246" i="28"/>
  <c r="G247" i="28"/>
  <c r="G248" i="28"/>
  <c r="G249" i="28"/>
  <c r="G250" i="28"/>
  <c r="G251" i="28"/>
  <c r="G252" i="28"/>
  <c r="G253" i="28"/>
  <c r="G254" i="28"/>
  <c r="G255" i="28"/>
  <c r="G256" i="28"/>
  <c r="G257" i="28"/>
  <c r="G258" i="28"/>
  <c r="G259" i="28"/>
  <c r="G260" i="28"/>
  <c r="G261" i="28"/>
  <c r="G262" i="28"/>
  <c r="G263" i="28"/>
  <c r="G264" i="28"/>
  <c r="G265" i="28"/>
  <c r="G266" i="28"/>
  <c r="G267" i="28"/>
  <c r="G268" i="28"/>
  <c r="G269" i="28"/>
  <c r="G270" i="28"/>
  <c r="G271" i="28"/>
  <c r="G272" i="28"/>
  <c r="G273" i="28"/>
  <c r="G274" i="28"/>
  <c r="G275" i="28"/>
  <c r="G276" i="28"/>
  <c r="G277" i="28"/>
  <c r="G278" i="28"/>
  <c r="G279" i="28"/>
  <c r="G280" i="28"/>
  <c r="G281" i="28"/>
  <c r="G282" i="28"/>
  <c r="G283" i="28"/>
  <c r="G284" i="28"/>
  <c r="G285" i="28"/>
  <c r="G286" i="28"/>
  <c r="G287" i="28"/>
  <c r="G288" i="28"/>
  <c r="G289" i="28"/>
  <c r="G290" i="28"/>
  <c r="G291" i="28"/>
  <c r="G292" i="28"/>
  <c r="G293" i="28"/>
  <c r="G294" i="28"/>
  <c r="G295" i="28"/>
  <c r="G296" i="28"/>
  <c r="G297" i="28"/>
  <c r="G298" i="28"/>
  <c r="G299" i="28"/>
  <c r="G300" i="28"/>
  <c r="G301" i="28"/>
  <c r="G302" i="28"/>
  <c r="G303" i="28"/>
  <c r="G304" i="28"/>
  <c r="G305" i="28"/>
  <c r="G306" i="28"/>
  <c r="G307" i="28"/>
  <c r="G308" i="28"/>
  <c r="G309" i="28"/>
  <c r="G310" i="28"/>
  <c r="G311" i="28"/>
  <c r="G312" i="28"/>
  <c r="G313" i="28"/>
  <c r="G314" i="28"/>
  <c r="G315" i="28"/>
  <c r="G316" i="28"/>
  <c r="G317" i="28"/>
  <c r="G318" i="28"/>
  <c r="G319" i="28"/>
  <c r="G320" i="28"/>
  <c r="G321" i="28"/>
  <c r="G322" i="28"/>
  <c r="G323" i="28"/>
  <c r="G324" i="28"/>
  <c r="G325" i="28"/>
  <c r="G326" i="28"/>
  <c r="G327" i="28"/>
  <c r="G328" i="28"/>
  <c r="G329" i="28"/>
  <c r="G330" i="28"/>
  <c r="G331" i="28"/>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70" i="28"/>
  <c r="G371" i="28"/>
  <c r="G372" i="28"/>
  <c r="G373" i="28"/>
  <c r="G374" i="28"/>
  <c r="G375" i="28"/>
  <c r="G376" i="28"/>
  <c r="G377" i="28"/>
  <c r="G378" i="28"/>
  <c r="G379" i="28"/>
  <c r="G380" i="28"/>
  <c r="G381" i="28"/>
  <c r="G382" i="28"/>
  <c r="G383" i="28"/>
  <c r="G384" i="28"/>
  <c r="G385" i="28"/>
  <c r="G386" i="28"/>
  <c r="G387" i="28"/>
  <c r="G388" i="28"/>
  <c r="G389" i="28"/>
  <c r="G390" i="28"/>
  <c r="G391" i="28"/>
  <c r="G392" i="28"/>
  <c r="G393" i="28"/>
  <c r="G394" i="28"/>
  <c r="G395" i="28"/>
  <c r="G396" i="28"/>
  <c r="G397" i="28"/>
  <c r="G398" i="28"/>
  <c r="G399" i="28"/>
  <c r="G400" i="28"/>
  <c r="G401" i="28"/>
  <c r="G402" i="28"/>
  <c r="G403" i="28"/>
  <c r="G404" i="28"/>
  <c r="G405" i="28"/>
  <c r="G406" i="28"/>
  <c r="G407" i="28"/>
  <c r="G408" i="28"/>
  <c r="G409" i="28"/>
  <c r="G410" i="28"/>
  <c r="F3" i="28"/>
  <c r="F4" i="28"/>
  <c r="F5" i="28"/>
  <c r="F6" i="28"/>
  <c r="F7" i="28"/>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F90" i="28"/>
  <c r="F91" i="28"/>
  <c r="F92" i="28"/>
  <c r="F93" i="28"/>
  <c r="F94" i="28"/>
  <c r="F95"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F132" i="28"/>
  <c r="F133" i="28"/>
  <c r="F134" i="28"/>
  <c r="F135" i="28"/>
  <c r="F136" i="28"/>
  <c r="F137" i="28"/>
  <c r="F138" i="28"/>
  <c r="F139" i="28"/>
  <c r="F140" i="28"/>
  <c r="F141" i="28"/>
  <c r="F142" i="28"/>
  <c r="F143" i="28"/>
  <c r="F144" i="28"/>
  <c r="F145" i="28"/>
  <c r="F146" i="28"/>
  <c r="F147" i="28"/>
  <c r="F148" i="28"/>
  <c r="F149" i="28"/>
  <c r="F150" i="28"/>
  <c r="F151" i="28"/>
  <c r="F152" i="28"/>
  <c r="F153" i="28"/>
  <c r="F154" i="28"/>
  <c r="F155" i="28"/>
  <c r="F156" i="28"/>
  <c r="F157" i="28"/>
  <c r="F158" i="28"/>
  <c r="F159" i="28"/>
  <c r="F160" i="28"/>
  <c r="F161" i="28"/>
  <c r="F162" i="28"/>
  <c r="F163" i="28"/>
  <c r="F164" i="28"/>
  <c r="F165" i="28"/>
  <c r="F166" i="28"/>
  <c r="F167" i="28"/>
  <c r="F168" i="28"/>
  <c r="F169" i="28"/>
  <c r="F170" i="28"/>
  <c r="F171" i="28"/>
  <c r="F172" i="28"/>
  <c r="F173" i="28"/>
  <c r="F174" i="28"/>
  <c r="F175" i="28"/>
  <c r="F176" i="28"/>
  <c r="F177" i="28"/>
  <c r="F178" i="28"/>
  <c r="F179" i="28"/>
  <c r="F180" i="28"/>
  <c r="F181" i="28"/>
  <c r="F182" i="28"/>
  <c r="F183" i="28"/>
  <c r="F184" i="28"/>
  <c r="F185" i="28"/>
  <c r="F186" i="28"/>
  <c r="F187" i="28"/>
  <c r="F188" i="28"/>
  <c r="F189" i="28"/>
  <c r="F190" i="28"/>
  <c r="F191" i="28"/>
  <c r="F192" i="28"/>
  <c r="F193" i="28"/>
  <c r="F194" i="28"/>
  <c r="F195" i="28"/>
  <c r="F196" i="28"/>
  <c r="F197" i="28"/>
  <c r="F198" i="28"/>
  <c r="F199" i="28"/>
  <c r="F200" i="28"/>
  <c r="F201" i="28"/>
  <c r="F202" i="28"/>
  <c r="F203" i="28"/>
  <c r="F204" i="28"/>
  <c r="F205" i="28"/>
  <c r="F206" i="28"/>
  <c r="F207" i="28"/>
  <c r="F208" i="28"/>
  <c r="F209" i="28"/>
  <c r="F210" i="28"/>
  <c r="F211" i="28"/>
  <c r="F212" i="28"/>
  <c r="F213" i="28"/>
  <c r="F214" i="28"/>
  <c r="F215" i="28"/>
  <c r="F216" i="28"/>
  <c r="F217" i="28"/>
  <c r="F218" i="28"/>
  <c r="F219" i="28"/>
  <c r="F220" i="28"/>
  <c r="F221" i="28"/>
  <c r="F222" i="28"/>
  <c r="F223" i="28"/>
  <c r="F224" i="28"/>
  <c r="F225" i="28"/>
  <c r="F226" i="28"/>
  <c r="F227" i="28"/>
  <c r="F228" i="28"/>
  <c r="F229" i="28"/>
  <c r="F230" i="28"/>
  <c r="F231" i="28"/>
  <c r="F232" i="28"/>
  <c r="F233" i="28"/>
  <c r="F234" i="28"/>
  <c r="F235" i="28"/>
  <c r="F236" i="28"/>
  <c r="F237"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70" i="28"/>
  <c r="F371" i="28"/>
  <c r="F372" i="28"/>
  <c r="F373" i="28"/>
  <c r="F374" i="28"/>
  <c r="F375" i="28"/>
  <c r="F376" i="28"/>
  <c r="F377" i="28"/>
  <c r="F378" i="28"/>
  <c r="F379" i="28"/>
  <c r="F380" i="28"/>
  <c r="F381" i="28"/>
  <c r="F382" i="28"/>
  <c r="F383" i="28"/>
  <c r="F384" i="28"/>
  <c r="F385" i="28"/>
  <c r="F386" i="28"/>
  <c r="F387" i="28"/>
  <c r="F388" i="28"/>
  <c r="F389" i="28"/>
  <c r="F390" i="28"/>
  <c r="F391" i="28"/>
  <c r="F392" i="28"/>
  <c r="F393" i="28"/>
  <c r="F394" i="28"/>
  <c r="F395" i="28"/>
  <c r="F396" i="28"/>
  <c r="F397" i="28"/>
  <c r="F398" i="28"/>
  <c r="F399" i="28"/>
  <c r="F400" i="28"/>
  <c r="F401" i="28"/>
  <c r="F402" i="28"/>
  <c r="F403" i="28"/>
  <c r="F404" i="28"/>
  <c r="F405" i="28"/>
  <c r="F406" i="28"/>
  <c r="F407" i="28"/>
  <c r="F408" i="28"/>
  <c r="F409" i="28"/>
  <c r="F410" i="28"/>
  <c r="E3" i="28"/>
  <c r="E4" i="28"/>
  <c r="E5" i="28"/>
  <c r="E6" i="28"/>
  <c r="E7" i="28"/>
  <c r="E8" i="28"/>
  <c r="E9" i="28"/>
  <c r="E10" i="28"/>
  <c r="E11" i="28"/>
  <c r="E12" i="28"/>
  <c r="E13" i="28"/>
  <c r="E14" i="28"/>
  <c r="E15" i="28"/>
  <c r="E16" i="28"/>
  <c r="E17" i="28"/>
  <c r="E18" i="28"/>
  <c r="E19" i="28"/>
  <c r="E20" i="28"/>
  <c r="E21" i="28"/>
  <c r="E22" i="28"/>
  <c r="E24" i="28"/>
  <c r="E25" i="28"/>
  <c r="E26" i="28"/>
  <c r="E27" i="28"/>
  <c r="E28" i="28"/>
  <c r="E29" i="28"/>
  <c r="E30" i="28"/>
  <c r="E31" i="28"/>
  <c r="E32" i="28"/>
  <c r="E33" i="28"/>
  <c r="E35" i="28"/>
  <c r="E37" i="28"/>
  <c r="E38" i="28"/>
  <c r="E39" i="28"/>
  <c r="E41" i="28"/>
  <c r="E42" i="28"/>
  <c r="E44" i="28"/>
  <c r="E45" i="28"/>
  <c r="E46" i="28"/>
  <c r="E47" i="28"/>
  <c r="E49" i="28"/>
  <c r="E50" i="28"/>
  <c r="E51" i="28"/>
  <c r="E52" i="28"/>
  <c r="E53" i="28"/>
  <c r="E54" i="28"/>
  <c r="E55" i="28"/>
  <c r="E56" i="28"/>
  <c r="E57" i="28"/>
  <c r="E59" i="28"/>
  <c r="E60" i="28"/>
  <c r="E63" i="28"/>
  <c r="E64" i="28"/>
  <c r="E65" i="28"/>
  <c r="E66" i="28"/>
  <c r="E67" i="28"/>
  <c r="E69" i="28"/>
  <c r="E70" i="28"/>
  <c r="E71" i="28"/>
  <c r="E74" i="28"/>
  <c r="E75" i="28"/>
  <c r="E77" i="28"/>
  <c r="E78" i="28"/>
  <c r="E79" i="28"/>
  <c r="E80" i="28"/>
  <c r="E81" i="28"/>
  <c r="E82" i="28"/>
  <c r="E84" i="28"/>
  <c r="E85" i="28"/>
  <c r="E86" i="28"/>
  <c r="E87" i="28"/>
  <c r="E88" i="28"/>
  <c r="E89" i="28"/>
  <c r="E90" i="28"/>
  <c r="E91" i="28"/>
  <c r="E92" i="28"/>
  <c r="E93" i="28"/>
  <c r="E96" i="28"/>
  <c r="E99" i="28"/>
  <c r="E100" i="28"/>
  <c r="E101" i="28"/>
  <c r="E102" i="28"/>
  <c r="E103" i="28"/>
  <c r="E104" i="28"/>
  <c r="E105" i="28"/>
  <c r="E106" i="28"/>
  <c r="E107" i="28"/>
  <c r="E109" i="28"/>
  <c r="E110" i="28"/>
  <c r="E111" i="28"/>
  <c r="E113" i="28"/>
  <c r="E114" i="28"/>
  <c r="E116" i="28"/>
  <c r="E117" i="28"/>
  <c r="E120" i="28"/>
  <c r="E121" i="28"/>
  <c r="E122" i="28"/>
  <c r="E123" i="28"/>
  <c r="E124" i="28"/>
  <c r="E125" i="28"/>
  <c r="E127" i="28"/>
  <c r="E128" i="28"/>
  <c r="E129" i="28"/>
  <c r="E131" i="28"/>
  <c r="E133" i="28"/>
  <c r="E134" i="28"/>
  <c r="E137" i="28"/>
  <c r="E139" i="28"/>
  <c r="E141" i="28"/>
  <c r="E142" i="28"/>
  <c r="E143" i="28"/>
  <c r="E144" i="28"/>
  <c r="E147" i="28"/>
  <c r="E148" i="28"/>
  <c r="E149" i="28"/>
  <c r="E150" i="28"/>
  <c r="E151" i="28"/>
  <c r="E152" i="28"/>
  <c r="E153" i="28"/>
  <c r="E154" i="28"/>
  <c r="E155" i="28"/>
  <c r="E156" i="28"/>
  <c r="E157" i="28"/>
  <c r="E158" i="28"/>
  <c r="E159" i="28"/>
  <c r="E160" i="28"/>
  <c r="E161" i="28"/>
  <c r="E162" i="28"/>
  <c r="E165" i="28"/>
  <c r="E166" i="28"/>
  <c r="E167" i="28"/>
  <c r="E168" i="28"/>
  <c r="E169" i="28"/>
  <c r="E170" i="28"/>
  <c r="E172" i="28"/>
  <c r="E173" i="28"/>
  <c r="E174" i="28"/>
  <c r="E175" i="28"/>
  <c r="E176" i="28"/>
  <c r="E177" i="28"/>
  <c r="E178" i="28"/>
  <c r="E180" i="28"/>
  <c r="E182" i="28"/>
  <c r="E183" i="28"/>
  <c r="E184" i="28"/>
  <c r="E185" i="28"/>
  <c r="E190" i="28"/>
  <c r="E191" i="28"/>
  <c r="E192" i="28"/>
  <c r="E193" i="28"/>
  <c r="E194" i="28"/>
  <c r="E195" i="28"/>
  <c r="E196" i="28"/>
  <c r="E197" i="28"/>
  <c r="E198" i="28"/>
  <c r="E199" i="28"/>
  <c r="E200" i="28"/>
  <c r="E201" i="28"/>
  <c r="E202" i="28"/>
  <c r="E203" i="28"/>
  <c r="E204" i="28"/>
  <c r="E205" i="28"/>
  <c r="E206" i="28"/>
  <c r="E207" i="28"/>
  <c r="E208" i="28"/>
  <c r="E209" i="28"/>
  <c r="E211" i="28"/>
  <c r="E212" i="28"/>
  <c r="E213" i="28"/>
  <c r="E215" i="28"/>
  <c r="E216" i="28"/>
  <c r="E218" i="28"/>
  <c r="E219" i="28"/>
  <c r="E221" i="28"/>
  <c r="E222" i="28"/>
  <c r="E223" i="28"/>
  <c r="E225" i="28"/>
  <c r="E226" i="28"/>
  <c r="E227" i="28"/>
  <c r="E228" i="28"/>
  <c r="E229" i="28"/>
  <c r="E230" i="28"/>
  <c r="E231" i="28"/>
  <c r="E232" i="28"/>
  <c r="E233" i="28"/>
  <c r="E234" i="28"/>
  <c r="E235" i="28"/>
  <c r="E236" i="28"/>
  <c r="E237" i="28"/>
  <c r="E239" i="28"/>
  <c r="E241" i="28"/>
  <c r="E243" i="28"/>
  <c r="E244" i="28"/>
  <c r="E245" i="28"/>
  <c r="E246" i="28"/>
  <c r="E247" i="28"/>
  <c r="E248" i="28"/>
  <c r="E249" i="28"/>
  <c r="E250" i="28"/>
  <c r="E252" i="28"/>
  <c r="E254" i="28"/>
  <c r="E255" i="28"/>
  <c r="E257" i="28"/>
  <c r="E258" i="28"/>
  <c r="E259" i="28"/>
  <c r="E260" i="28"/>
  <c r="E261" i="28"/>
  <c r="E263" i="28"/>
  <c r="E264" i="28"/>
  <c r="E265" i="28"/>
  <c r="E266" i="28"/>
  <c r="E267" i="28"/>
  <c r="E268" i="28"/>
  <c r="E269" i="28"/>
  <c r="E270" i="28"/>
  <c r="E271" i="28"/>
  <c r="E272" i="28"/>
  <c r="E273" i="28"/>
  <c r="E274" i="28"/>
  <c r="E275" i="28"/>
  <c r="E276" i="28"/>
  <c r="E277" i="28"/>
  <c r="E278" i="28"/>
  <c r="E280" i="28"/>
  <c r="E281" i="28"/>
  <c r="E282" i="28"/>
  <c r="E283" i="28"/>
  <c r="E284" i="28"/>
  <c r="E285" i="28"/>
  <c r="E286" i="28"/>
  <c r="E288" i="28"/>
  <c r="E290" i="28"/>
  <c r="E291" i="28"/>
  <c r="E292" i="28"/>
  <c r="E293" i="28"/>
  <c r="E294" i="28"/>
  <c r="E297" i="28"/>
  <c r="E298" i="28"/>
  <c r="E300" i="28"/>
  <c r="E302" i="28"/>
  <c r="E303" i="28"/>
  <c r="E304" i="28"/>
  <c r="E307" i="28"/>
  <c r="E308" i="28"/>
  <c r="E309" i="28"/>
  <c r="E310" i="28"/>
  <c r="E311" i="28"/>
  <c r="E313" i="28"/>
  <c r="E315" i="28"/>
  <c r="E316" i="28"/>
  <c r="E318" i="28"/>
  <c r="E319" i="28"/>
  <c r="E320" i="28"/>
  <c r="E321" i="28"/>
  <c r="E322" i="28"/>
  <c r="E323" i="28"/>
  <c r="E325" i="28"/>
  <c r="E326" i="28"/>
  <c r="E327" i="28"/>
  <c r="E328" i="28"/>
  <c r="E329" i="28"/>
  <c r="E330" i="28"/>
  <c r="E331" i="28"/>
  <c r="E332" i="28"/>
  <c r="E333" i="28"/>
  <c r="E334" i="28"/>
  <c r="E335" i="28"/>
  <c r="E336" i="28"/>
  <c r="E338" i="28"/>
  <c r="E339" i="28"/>
  <c r="E342" i="28"/>
  <c r="E343" i="28"/>
  <c r="E345" i="28"/>
  <c r="E346" i="28"/>
  <c r="E347" i="28"/>
  <c r="E348" i="28"/>
  <c r="E349" i="28"/>
  <c r="E350" i="28"/>
  <c r="E351" i="28"/>
  <c r="E353" i="28"/>
  <c r="E355" i="28"/>
  <c r="E356" i="28"/>
  <c r="E357" i="28"/>
  <c r="E358" i="28"/>
  <c r="E359" i="28"/>
  <c r="E362" i="28"/>
  <c r="E363" i="28"/>
  <c r="E364" i="28"/>
  <c r="E365" i="28"/>
  <c r="E367" i="28"/>
  <c r="E368" i="28"/>
  <c r="E369" i="28"/>
  <c r="E370" i="28"/>
  <c r="E371" i="28"/>
  <c r="E372" i="28"/>
  <c r="E373" i="28"/>
  <c r="E374" i="28"/>
  <c r="E375" i="28"/>
  <c r="E376" i="28"/>
  <c r="E378" i="28"/>
  <c r="E379" i="28"/>
  <c r="E380" i="28"/>
  <c r="E381" i="28"/>
  <c r="E382" i="28"/>
  <c r="E383" i="28"/>
  <c r="E385" i="28"/>
  <c r="E386" i="28"/>
  <c r="E387" i="28"/>
  <c r="E388" i="28"/>
  <c r="E389" i="28"/>
  <c r="E390" i="28"/>
  <c r="E391" i="28"/>
  <c r="E392" i="28"/>
  <c r="E394" i="28"/>
  <c r="E395" i="28"/>
  <c r="E396" i="28"/>
  <c r="E397" i="28"/>
  <c r="E399" i="28"/>
  <c r="E400" i="28"/>
  <c r="E401" i="28"/>
  <c r="E402" i="28"/>
  <c r="E403" i="28"/>
  <c r="E404" i="28"/>
  <c r="E405" i="28"/>
  <c r="E406" i="28"/>
  <c r="E407" i="28"/>
  <c r="E408"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D392" i="28"/>
  <c r="D393" i="28"/>
  <c r="D394" i="28"/>
  <c r="D395" i="28"/>
  <c r="D396" i="28"/>
  <c r="D397" i="28"/>
  <c r="D398" i="28"/>
  <c r="D399" i="28"/>
  <c r="D400" i="28"/>
  <c r="D401" i="28"/>
  <c r="D402" i="28"/>
  <c r="D403" i="28"/>
  <c r="D404" i="28"/>
  <c r="D405" i="28"/>
  <c r="D406" i="28"/>
  <c r="D407" i="28"/>
  <c r="D408" i="28"/>
  <c r="D409" i="28"/>
  <c r="D410" i="28"/>
  <c r="D65" i="28"/>
  <c r="D2" i="33" l="1"/>
  <c r="C78" i="31" s="1"/>
  <c r="AW411" i="17" l="1"/>
  <c r="AV411" i="17"/>
  <c r="K175" i="17" l="1"/>
  <c r="K176" i="17"/>
  <c r="K174" i="17"/>
  <c r="AA411" i="17" l="1"/>
  <c r="AU411" i="17" s="1"/>
  <c r="L411" i="25" s="1"/>
  <c r="W411" i="17"/>
  <c r="V411" i="17"/>
  <c r="R411" i="17"/>
  <c r="I411" i="17"/>
  <c r="D47" i="35"/>
  <c r="D24" i="35"/>
  <c r="AJ411" i="17" l="1"/>
  <c r="AI411" i="17"/>
  <c r="AZ411" i="17"/>
  <c r="AX411" i="17"/>
  <c r="D51" i="35"/>
  <c r="C96" i="17" l="1"/>
  <c r="C95" i="17"/>
  <c r="F60" i="26" l="1"/>
  <c r="H3" i="26" l="1"/>
  <c r="P3" i="26" s="1"/>
  <c r="R3" i="26" s="1"/>
  <c r="C3" i="26" l="1"/>
  <c r="BW2" i="17"/>
  <c r="BK2" i="17" l="1"/>
  <c r="J3" i="28"/>
  <c r="J4"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14" i="28"/>
  <c r="J115" i="28"/>
  <c r="J116" i="28"/>
  <c r="J117" i="28"/>
  <c r="J118" i="28"/>
  <c r="J119" i="28"/>
  <c r="J120" i="28"/>
  <c r="J121" i="28"/>
  <c r="J122" i="28"/>
  <c r="J123" i="28"/>
  <c r="J124" i="28"/>
  <c r="J125" i="28"/>
  <c r="J126" i="28"/>
  <c r="J127" i="28"/>
  <c r="J128" i="28"/>
  <c r="J129" i="28"/>
  <c r="J130" i="28"/>
  <c r="J131" i="28"/>
  <c r="J132" i="28"/>
  <c r="J133" i="28"/>
  <c r="J134" i="28"/>
  <c r="J135" i="28"/>
  <c r="J136" i="28"/>
  <c r="J137" i="28"/>
  <c r="J138" i="28"/>
  <c r="J139" i="28"/>
  <c r="J140" i="28"/>
  <c r="J141" i="28"/>
  <c r="J142" i="28"/>
  <c r="J143" i="28"/>
  <c r="J144" i="28"/>
  <c r="J145" i="28"/>
  <c r="J146" i="28"/>
  <c r="J147" i="28"/>
  <c r="J148" i="28"/>
  <c r="J149" i="28"/>
  <c r="J150" i="28"/>
  <c r="J151" i="28"/>
  <c r="J152" i="28"/>
  <c r="J153" i="28"/>
  <c r="J154" i="28"/>
  <c r="J155" i="28"/>
  <c r="J156" i="28"/>
  <c r="J157" i="28"/>
  <c r="J158" i="28"/>
  <c r="J159" i="28"/>
  <c r="J160" i="28"/>
  <c r="J161" i="28"/>
  <c r="J162" i="28"/>
  <c r="J163" i="28"/>
  <c r="J164" i="28"/>
  <c r="J165" i="28"/>
  <c r="J166" i="28"/>
  <c r="J167" i="28"/>
  <c r="J168" i="28"/>
  <c r="J169" i="28"/>
  <c r="J170" i="28"/>
  <c r="J171" i="28"/>
  <c r="J172" i="28"/>
  <c r="J173" i="28"/>
  <c r="J174" i="28"/>
  <c r="J175" i="28"/>
  <c r="J176" i="28"/>
  <c r="J177" i="28"/>
  <c r="J178" i="28"/>
  <c r="J179" i="28"/>
  <c r="J180" i="28"/>
  <c r="J181" i="28"/>
  <c r="J182" i="28"/>
  <c r="J183" i="28"/>
  <c r="J184" i="28"/>
  <c r="J185" i="28"/>
  <c r="J186" i="28"/>
  <c r="J187" i="28"/>
  <c r="J188" i="28"/>
  <c r="J189" i="28"/>
  <c r="J190" i="28"/>
  <c r="J191" i="28"/>
  <c r="J192" i="28"/>
  <c r="J193" i="28"/>
  <c r="J194" i="28"/>
  <c r="J195" i="28"/>
  <c r="J196" i="28"/>
  <c r="J197" i="28"/>
  <c r="J198" i="28"/>
  <c r="J199" i="28"/>
  <c r="J200" i="28"/>
  <c r="J201" i="28"/>
  <c r="J202" i="28"/>
  <c r="J203" i="28"/>
  <c r="J204" i="28"/>
  <c r="J205" i="28"/>
  <c r="J206" i="28"/>
  <c r="J207" i="28"/>
  <c r="J208" i="28"/>
  <c r="J209" i="28"/>
  <c r="J210" i="28"/>
  <c r="J211" i="28"/>
  <c r="J212" i="28"/>
  <c r="J213" i="28"/>
  <c r="J214" i="28"/>
  <c r="J215" i="28"/>
  <c r="J216" i="28"/>
  <c r="J217" i="28"/>
  <c r="J218" i="28"/>
  <c r="J219" i="28"/>
  <c r="J220" i="28"/>
  <c r="J221" i="28"/>
  <c r="J222" i="28"/>
  <c r="J223" i="28"/>
  <c r="J224" i="28"/>
  <c r="J225" i="28"/>
  <c r="J226" i="28"/>
  <c r="J227" i="28"/>
  <c r="J228" i="28"/>
  <c r="J229" i="28"/>
  <c r="J230" i="28"/>
  <c r="J231" i="28"/>
  <c r="J232" i="28"/>
  <c r="J233" i="28"/>
  <c r="J234" i="28"/>
  <c r="J235" i="28"/>
  <c r="J236" i="28"/>
  <c r="J237" i="28"/>
  <c r="J238" i="28"/>
  <c r="J239" i="28"/>
  <c r="J240" i="28"/>
  <c r="J241" i="28"/>
  <c r="J242" i="28"/>
  <c r="J243" i="28"/>
  <c r="J244" i="28"/>
  <c r="J245" i="28"/>
  <c r="J246" i="28"/>
  <c r="J247" i="28"/>
  <c r="J248" i="28"/>
  <c r="J249" i="28"/>
  <c r="J250" i="28"/>
  <c r="J251" i="28"/>
  <c r="J252" i="28"/>
  <c r="J253" i="28"/>
  <c r="J254" i="28"/>
  <c r="J255" i="28"/>
  <c r="J256" i="28"/>
  <c r="J257" i="28"/>
  <c r="J258" i="28"/>
  <c r="J259" i="28"/>
  <c r="J260" i="28"/>
  <c r="J261" i="28"/>
  <c r="J262" i="28"/>
  <c r="J263" i="28"/>
  <c r="J264" i="28"/>
  <c r="J265" i="28"/>
  <c r="J266" i="28"/>
  <c r="J267" i="28"/>
  <c r="J268" i="28"/>
  <c r="J269" i="28"/>
  <c r="J270" i="28"/>
  <c r="J271" i="28"/>
  <c r="J272" i="28"/>
  <c r="J273" i="28"/>
  <c r="J274" i="28"/>
  <c r="J275" i="28"/>
  <c r="J276" i="28"/>
  <c r="J277" i="28"/>
  <c r="J278" i="28"/>
  <c r="J279" i="28"/>
  <c r="J280" i="28"/>
  <c r="J281" i="28"/>
  <c r="J282" i="28"/>
  <c r="J283" i="28"/>
  <c r="J284" i="28"/>
  <c r="J285" i="28"/>
  <c r="J286" i="28"/>
  <c r="J287" i="28"/>
  <c r="J288" i="28"/>
  <c r="J289" i="28"/>
  <c r="J290" i="28"/>
  <c r="J291" i="28"/>
  <c r="J292" i="28"/>
  <c r="J293" i="28"/>
  <c r="J294" i="28"/>
  <c r="J295" i="28"/>
  <c r="J296" i="28"/>
  <c r="J297" i="28"/>
  <c r="J298" i="28"/>
  <c r="J299" i="28"/>
  <c r="J300" i="28"/>
  <c r="J301" i="28"/>
  <c r="J302" i="28"/>
  <c r="J303" i="28"/>
  <c r="J304" i="28"/>
  <c r="J305" i="28"/>
  <c r="J306" i="28"/>
  <c r="J307" i="28"/>
  <c r="J308" i="28"/>
  <c r="J309" i="28"/>
  <c r="J310" i="28"/>
  <c r="J311" i="28"/>
  <c r="J312" i="28"/>
  <c r="J313" i="28"/>
  <c r="J314" i="28"/>
  <c r="J315" i="28"/>
  <c r="J316" i="28"/>
  <c r="J317" i="28"/>
  <c r="J318" i="28"/>
  <c r="J319" i="28"/>
  <c r="J320" i="28"/>
  <c r="J321" i="28"/>
  <c r="J322" i="28"/>
  <c r="J323" i="28"/>
  <c r="J324" i="28"/>
  <c r="J325" i="28"/>
  <c r="J326" i="28"/>
  <c r="J327" i="28"/>
  <c r="J328" i="28"/>
  <c r="J329" i="28"/>
  <c r="J330" i="28"/>
  <c r="J331" i="28"/>
  <c r="J332" i="28"/>
  <c r="J333" i="28"/>
  <c r="J334" i="28"/>
  <c r="J335" i="28"/>
  <c r="J336" i="28"/>
  <c r="J337" i="28"/>
  <c r="J338" i="28"/>
  <c r="J339" i="28"/>
  <c r="J340" i="28"/>
  <c r="J341" i="28"/>
  <c r="J342" i="28"/>
  <c r="J343" i="28"/>
  <c r="J344" i="28"/>
  <c r="J345" i="28"/>
  <c r="J346" i="28"/>
  <c r="J347" i="28"/>
  <c r="J348" i="28"/>
  <c r="J349" i="28"/>
  <c r="J350" i="28"/>
  <c r="J351" i="28"/>
  <c r="J352" i="28"/>
  <c r="J353" i="28"/>
  <c r="J354" i="28"/>
  <c r="J355" i="28"/>
  <c r="J356" i="28"/>
  <c r="J357" i="28"/>
  <c r="J358" i="28"/>
  <c r="J359" i="28"/>
  <c r="J360" i="28"/>
  <c r="J361" i="28"/>
  <c r="J362" i="28"/>
  <c r="J363" i="28"/>
  <c r="J364" i="28"/>
  <c r="J365" i="28"/>
  <c r="J366" i="28"/>
  <c r="J367" i="28"/>
  <c r="J368" i="28"/>
  <c r="J369" i="28"/>
  <c r="J370" i="28"/>
  <c r="J371" i="28"/>
  <c r="J372" i="28"/>
  <c r="J373" i="28"/>
  <c r="J374" i="28"/>
  <c r="J375" i="28"/>
  <c r="J376" i="28"/>
  <c r="J377" i="28"/>
  <c r="J378" i="28"/>
  <c r="J379" i="28"/>
  <c r="J380" i="28"/>
  <c r="J381" i="28"/>
  <c r="J382" i="28"/>
  <c r="J383" i="28"/>
  <c r="J384" i="28"/>
  <c r="J385" i="28"/>
  <c r="J386" i="28"/>
  <c r="J387" i="28"/>
  <c r="J388" i="28"/>
  <c r="J389" i="28"/>
  <c r="J390" i="28"/>
  <c r="J391" i="28"/>
  <c r="J392" i="28"/>
  <c r="J393" i="28"/>
  <c r="J394" i="28"/>
  <c r="J395" i="28"/>
  <c r="J396" i="28"/>
  <c r="J397" i="28"/>
  <c r="J398" i="28"/>
  <c r="J399" i="28"/>
  <c r="J400" i="28"/>
  <c r="J401" i="28"/>
  <c r="J402" i="28"/>
  <c r="J403" i="28"/>
  <c r="J404" i="28"/>
  <c r="J405" i="28"/>
  <c r="J406" i="28"/>
  <c r="J407" i="28"/>
  <c r="J408" i="28"/>
  <c r="J409" i="28"/>
  <c r="J410" i="28"/>
  <c r="J2" i="28"/>
  <c r="G2" i="28"/>
  <c r="F2" i="28"/>
  <c r="E2" i="28"/>
  <c r="D3" i="28"/>
  <c r="D4" i="28"/>
  <c r="D5" i="28"/>
  <c r="D6" i="28"/>
  <c r="D7" i="28"/>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2" i="28"/>
  <c r="F46" i="33"/>
  <c r="I46" i="33" s="1"/>
  <c r="F55" i="33"/>
  <c r="F62" i="33"/>
  <c r="F67" i="33"/>
  <c r="B5" i="27"/>
  <c r="R2" i="27"/>
  <c r="P4" i="26"/>
  <c r="R4" i="26" s="1"/>
  <c r="P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46" i="26"/>
  <c r="P47" i="26"/>
  <c r="P48" i="26"/>
  <c r="P49" i="26"/>
  <c r="P50" i="26"/>
  <c r="P51" i="26"/>
  <c r="P52" i="26"/>
  <c r="P53" i="26"/>
  <c r="P54" i="26"/>
  <c r="P55" i="26"/>
  <c r="P56" i="26"/>
  <c r="P57" i="26"/>
  <c r="P58" i="26"/>
  <c r="P59" i="26"/>
  <c r="P60" i="26"/>
  <c r="P61" i="26"/>
  <c r="P62" i="26"/>
  <c r="P63" i="26"/>
  <c r="P64" i="26"/>
  <c r="P65" i="26"/>
  <c r="P66" i="26"/>
  <c r="P68" i="26"/>
  <c r="P69" i="26"/>
  <c r="P70" i="26"/>
  <c r="P71" i="26"/>
  <c r="P72" i="26"/>
  <c r="P73" i="26"/>
  <c r="P74" i="26"/>
  <c r="P75" i="26"/>
  <c r="P76" i="26"/>
  <c r="P77" i="26"/>
  <c r="P78" i="26"/>
  <c r="P79" i="26"/>
  <c r="P80" i="26"/>
  <c r="P81" i="26"/>
  <c r="P82" i="26"/>
  <c r="P83" i="26"/>
  <c r="P84" i="26"/>
  <c r="P85" i="26"/>
  <c r="P86" i="26"/>
  <c r="P87" i="26"/>
  <c r="P88" i="26"/>
  <c r="P89" i="26"/>
  <c r="P90" i="26"/>
  <c r="P91" i="26"/>
  <c r="P92" i="26"/>
  <c r="P93" i="26"/>
  <c r="P94" i="26"/>
  <c r="P95" i="26"/>
  <c r="P96" i="26"/>
  <c r="P97" i="26"/>
  <c r="P98" i="26"/>
  <c r="P99" i="26"/>
  <c r="P100" i="26"/>
  <c r="P101" i="26"/>
  <c r="P102" i="26"/>
  <c r="P103" i="26"/>
  <c r="P104" i="26"/>
  <c r="P105" i="26"/>
  <c r="P106" i="26"/>
  <c r="P107" i="26"/>
  <c r="P108" i="26"/>
  <c r="P109" i="26"/>
  <c r="P110" i="26"/>
  <c r="P111" i="26"/>
  <c r="P112" i="26"/>
  <c r="P113" i="26"/>
  <c r="P114" i="26"/>
  <c r="P115" i="26"/>
  <c r="P116" i="26"/>
  <c r="P117" i="26"/>
  <c r="P118" i="26"/>
  <c r="P119" i="26"/>
  <c r="P120" i="26"/>
  <c r="P121" i="26"/>
  <c r="P122" i="26"/>
  <c r="P123" i="26"/>
  <c r="P124" i="26"/>
  <c r="P125" i="26"/>
  <c r="P126" i="26"/>
  <c r="P127" i="26"/>
  <c r="P128" i="26"/>
  <c r="P129" i="26"/>
  <c r="P130" i="26"/>
  <c r="P131" i="26"/>
  <c r="P132" i="26"/>
  <c r="P133" i="26"/>
  <c r="P134" i="26"/>
  <c r="P135" i="26"/>
  <c r="P136" i="26"/>
  <c r="P137" i="26"/>
  <c r="P138" i="26"/>
  <c r="P139" i="26"/>
  <c r="P140" i="26"/>
  <c r="P141" i="26"/>
  <c r="P142" i="26"/>
  <c r="P143" i="26"/>
  <c r="P144" i="26"/>
  <c r="P145" i="26"/>
  <c r="P146" i="26"/>
  <c r="P147" i="26"/>
  <c r="P148" i="26"/>
  <c r="P149" i="26"/>
  <c r="P150" i="26"/>
  <c r="P151" i="26"/>
  <c r="P152" i="26"/>
  <c r="P153" i="26"/>
  <c r="P154" i="26"/>
  <c r="P155" i="26"/>
  <c r="P156" i="26"/>
  <c r="P157" i="26"/>
  <c r="P158" i="26"/>
  <c r="P159" i="26"/>
  <c r="P160" i="26"/>
  <c r="P161" i="26"/>
  <c r="P162" i="26"/>
  <c r="P163" i="26"/>
  <c r="P164" i="26"/>
  <c r="P165" i="26"/>
  <c r="P166" i="26"/>
  <c r="P167" i="26"/>
  <c r="P168" i="26"/>
  <c r="P169" i="26"/>
  <c r="P170" i="26"/>
  <c r="P171" i="26"/>
  <c r="P172" i="26"/>
  <c r="P173" i="26"/>
  <c r="P174" i="26"/>
  <c r="P175" i="26"/>
  <c r="P176" i="26"/>
  <c r="P177" i="26"/>
  <c r="P178" i="26"/>
  <c r="P179" i="26"/>
  <c r="P180" i="26"/>
  <c r="P181" i="26"/>
  <c r="P182" i="26"/>
  <c r="P183" i="26"/>
  <c r="P184" i="26"/>
  <c r="P185" i="26"/>
  <c r="P186" i="26"/>
  <c r="P187" i="26"/>
  <c r="P188" i="26"/>
  <c r="P189" i="26"/>
  <c r="P190" i="26"/>
  <c r="P191" i="26"/>
  <c r="P192" i="26"/>
  <c r="P193" i="26"/>
  <c r="P194" i="26"/>
  <c r="P195" i="26"/>
  <c r="P196" i="26"/>
  <c r="P197" i="26"/>
  <c r="P198" i="26"/>
  <c r="P199" i="26"/>
  <c r="P200" i="26"/>
  <c r="P201" i="26"/>
  <c r="P202" i="26"/>
  <c r="P203" i="26"/>
  <c r="P204" i="26"/>
  <c r="P205" i="26"/>
  <c r="P206" i="26"/>
  <c r="P207" i="26"/>
  <c r="P208" i="26"/>
  <c r="P209" i="26"/>
  <c r="P210" i="26"/>
  <c r="P211" i="26"/>
  <c r="P212" i="26"/>
  <c r="P213" i="26"/>
  <c r="P214" i="26"/>
  <c r="P215" i="26"/>
  <c r="P216" i="26"/>
  <c r="P217" i="26"/>
  <c r="P218" i="26"/>
  <c r="P219" i="26"/>
  <c r="P220" i="26"/>
  <c r="P221" i="26"/>
  <c r="P222" i="26"/>
  <c r="P223" i="26"/>
  <c r="P224" i="26"/>
  <c r="P225" i="26"/>
  <c r="P226" i="26"/>
  <c r="P227" i="26"/>
  <c r="P228" i="26"/>
  <c r="P229" i="26"/>
  <c r="P230" i="26"/>
  <c r="P231" i="26"/>
  <c r="P232" i="26"/>
  <c r="P233" i="26"/>
  <c r="P234" i="26"/>
  <c r="P235" i="26"/>
  <c r="P236" i="26"/>
  <c r="P237" i="26"/>
  <c r="P238" i="26"/>
  <c r="P239" i="26"/>
  <c r="P240" i="26"/>
  <c r="P241" i="26"/>
  <c r="P242" i="26"/>
  <c r="P243" i="26"/>
  <c r="P244" i="26"/>
  <c r="P245" i="26"/>
  <c r="P246" i="26"/>
  <c r="P247" i="26"/>
  <c r="P248" i="26"/>
  <c r="P249" i="26"/>
  <c r="P250" i="26"/>
  <c r="P251" i="26"/>
  <c r="P252" i="26"/>
  <c r="P253" i="26"/>
  <c r="P254" i="26"/>
  <c r="P255" i="26"/>
  <c r="P256" i="26"/>
  <c r="P257" i="26"/>
  <c r="P258" i="26"/>
  <c r="P259" i="26"/>
  <c r="P260" i="26"/>
  <c r="P261" i="26"/>
  <c r="P262" i="26"/>
  <c r="P263" i="26"/>
  <c r="P264" i="26"/>
  <c r="P265" i="26"/>
  <c r="P266" i="26"/>
  <c r="P267" i="26"/>
  <c r="P268" i="26"/>
  <c r="P269" i="26"/>
  <c r="P270" i="26"/>
  <c r="P271" i="26"/>
  <c r="P272" i="26"/>
  <c r="P273" i="26"/>
  <c r="P274" i="26"/>
  <c r="P275" i="26"/>
  <c r="P276" i="26"/>
  <c r="P277" i="26"/>
  <c r="P278" i="26"/>
  <c r="P279" i="26"/>
  <c r="P280" i="26"/>
  <c r="P281" i="26"/>
  <c r="P282" i="26"/>
  <c r="P283" i="26"/>
  <c r="P284" i="26"/>
  <c r="P285" i="26"/>
  <c r="P286" i="26"/>
  <c r="P287" i="26"/>
  <c r="P288" i="26"/>
  <c r="P289" i="26"/>
  <c r="P290" i="26"/>
  <c r="P291" i="26"/>
  <c r="P292" i="26"/>
  <c r="P293" i="26"/>
  <c r="P294" i="26"/>
  <c r="P295" i="26"/>
  <c r="P296" i="26"/>
  <c r="P297" i="26"/>
  <c r="P298" i="26"/>
  <c r="P299" i="26"/>
  <c r="P300" i="26"/>
  <c r="P301" i="26"/>
  <c r="P302" i="26"/>
  <c r="P303" i="26"/>
  <c r="P304" i="26"/>
  <c r="P305" i="26"/>
  <c r="P306" i="26"/>
  <c r="P307" i="26"/>
  <c r="P308" i="26"/>
  <c r="P309" i="26"/>
  <c r="P310" i="26"/>
  <c r="P311" i="26"/>
  <c r="P312" i="26"/>
  <c r="P313" i="26"/>
  <c r="P314" i="26"/>
  <c r="P315" i="26"/>
  <c r="P316" i="26"/>
  <c r="P317" i="26"/>
  <c r="P318" i="26"/>
  <c r="P319" i="26"/>
  <c r="P320" i="26"/>
  <c r="P321" i="26"/>
  <c r="P322" i="26"/>
  <c r="P323" i="26"/>
  <c r="P324" i="26"/>
  <c r="P325" i="26"/>
  <c r="P326" i="26"/>
  <c r="P327" i="26"/>
  <c r="P328" i="26"/>
  <c r="P329" i="26"/>
  <c r="P330" i="26"/>
  <c r="P331" i="26"/>
  <c r="P332" i="26"/>
  <c r="P333" i="26"/>
  <c r="P334" i="26"/>
  <c r="P335" i="26"/>
  <c r="P336" i="26"/>
  <c r="P337" i="26"/>
  <c r="P338" i="26"/>
  <c r="P339" i="26"/>
  <c r="P340" i="26"/>
  <c r="P341" i="26"/>
  <c r="P342" i="26"/>
  <c r="P343" i="26"/>
  <c r="P344" i="26"/>
  <c r="P345" i="26"/>
  <c r="P346" i="26"/>
  <c r="P347" i="26"/>
  <c r="P348" i="26"/>
  <c r="P349" i="26"/>
  <c r="P350" i="26"/>
  <c r="P351" i="26"/>
  <c r="P352" i="26"/>
  <c r="P353" i="26"/>
  <c r="P354" i="26"/>
  <c r="P355" i="26"/>
  <c r="P356" i="26"/>
  <c r="P357" i="26"/>
  <c r="P358" i="26"/>
  <c r="P359" i="26"/>
  <c r="P360" i="26"/>
  <c r="P361" i="26"/>
  <c r="P362" i="26"/>
  <c r="P363" i="26"/>
  <c r="P364" i="26"/>
  <c r="P365" i="26"/>
  <c r="P366" i="26"/>
  <c r="P367" i="26"/>
  <c r="P368" i="26"/>
  <c r="P369" i="26"/>
  <c r="P370" i="26"/>
  <c r="P371" i="26"/>
  <c r="P372" i="26"/>
  <c r="P373" i="26"/>
  <c r="P374" i="26"/>
  <c r="P375" i="26"/>
  <c r="P376" i="26"/>
  <c r="P377" i="26"/>
  <c r="P378" i="26"/>
  <c r="P379" i="26"/>
  <c r="P380" i="26"/>
  <c r="P381" i="26"/>
  <c r="P382" i="26"/>
  <c r="P383" i="26"/>
  <c r="P384" i="26"/>
  <c r="P385" i="26"/>
  <c r="P386" i="26"/>
  <c r="P387" i="26"/>
  <c r="P388" i="26"/>
  <c r="P389" i="26"/>
  <c r="P390" i="26"/>
  <c r="P391" i="26"/>
  <c r="P392" i="26"/>
  <c r="P393" i="26"/>
  <c r="P394" i="26"/>
  <c r="P395" i="26"/>
  <c r="P396" i="26"/>
  <c r="P397" i="26"/>
  <c r="P398" i="26"/>
  <c r="P399" i="26"/>
  <c r="P400" i="26"/>
  <c r="P401" i="26"/>
  <c r="P402" i="26"/>
  <c r="P403" i="26"/>
  <c r="P404" i="26"/>
  <c r="P405" i="26"/>
  <c r="P406" i="26"/>
  <c r="P407" i="26"/>
  <c r="P408" i="26"/>
  <c r="P409" i="26"/>
  <c r="P410" i="26"/>
  <c r="P411" i="26"/>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2" i="26"/>
  <c r="G213" i="26"/>
  <c r="G214" i="26"/>
  <c r="G215"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39" i="26"/>
  <c r="G240" i="26"/>
  <c r="G241" i="26"/>
  <c r="G242" i="26"/>
  <c r="G243" i="26"/>
  <c r="G244" i="26"/>
  <c r="G245" i="26"/>
  <c r="G246" i="26"/>
  <c r="G247" i="26"/>
  <c r="G248" i="26"/>
  <c r="G249" i="26"/>
  <c r="G250" i="26"/>
  <c r="G251" i="26"/>
  <c r="G252" i="26"/>
  <c r="G253" i="26"/>
  <c r="G254" i="26"/>
  <c r="G255" i="26"/>
  <c r="G256" i="26"/>
  <c r="G257" i="26"/>
  <c r="G258" i="26"/>
  <c r="G259" i="26"/>
  <c r="G260" i="26"/>
  <c r="G261" i="26"/>
  <c r="G262" i="26"/>
  <c r="G263" i="26"/>
  <c r="G264" i="26"/>
  <c r="G265" i="26"/>
  <c r="G266" i="26"/>
  <c r="G267" i="26"/>
  <c r="G268" i="26"/>
  <c r="G269" i="26"/>
  <c r="G270" i="26"/>
  <c r="G271" i="26"/>
  <c r="G272" i="26"/>
  <c r="G273" i="26"/>
  <c r="G274" i="26"/>
  <c r="G275" i="26"/>
  <c r="G276" i="26"/>
  <c r="G277" i="26"/>
  <c r="G278" i="26"/>
  <c r="G279" i="26"/>
  <c r="G280" i="26"/>
  <c r="G281" i="26"/>
  <c r="G282" i="26"/>
  <c r="G283" i="26"/>
  <c r="G284" i="26"/>
  <c r="G285" i="26"/>
  <c r="G286" i="26"/>
  <c r="G287" i="26"/>
  <c r="G288" i="26"/>
  <c r="G289" i="26"/>
  <c r="G290" i="26"/>
  <c r="G291" i="26"/>
  <c r="G292" i="26"/>
  <c r="G293" i="26"/>
  <c r="G294" i="26"/>
  <c r="G295" i="26"/>
  <c r="G296" i="26"/>
  <c r="G297" i="26"/>
  <c r="G298" i="26"/>
  <c r="G299" i="26"/>
  <c r="G300" i="26"/>
  <c r="G301" i="26"/>
  <c r="G302" i="26"/>
  <c r="G303" i="26"/>
  <c r="G304" i="26"/>
  <c r="G305" i="26"/>
  <c r="G306" i="26"/>
  <c r="G307" i="26"/>
  <c r="G308" i="26"/>
  <c r="G309" i="26"/>
  <c r="G310" i="26"/>
  <c r="G311" i="26"/>
  <c r="G312" i="26"/>
  <c r="G313" i="26"/>
  <c r="G314" i="26"/>
  <c r="G315" i="26"/>
  <c r="G316" i="26"/>
  <c r="G317" i="26"/>
  <c r="G318" i="26"/>
  <c r="G319" i="26"/>
  <c r="G320" i="26"/>
  <c r="G321" i="26"/>
  <c r="G322" i="26"/>
  <c r="G323" i="26"/>
  <c r="G324" i="26"/>
  <c r="G325" i="26"/>
  <c r="G326" i="26"/>
  <c r="G327" i="26"/>
  <c r="G328" i="26"/>
  <c r="G329" i="26"/>
  <c r="G330" i="26"/>
  <c r="G331" i="26"/>
  <c r="G332" i="26"/>
  <c r="G333" i="26"/>
  <c r="G334" i="26"/>
  <c r="G335" i="26"/>
  <c r="G336" i="26"/>
  <c r="G337" i="26"/>
  <c r="G338" i="26"/>
  <c r="G339" i="26"/>
  <c r="G340" i="26"/>
  <c r="G341" i="26"/>
  <c r="G342" i="26"/>
  <c r="G343" i="26"/>
  <c r="G344" i="26"/>
  <c r="G345" i="26"/>
  <c r="G346" i="26"/>
  <c r="G347" i="26"/>
  <c r="G348" i="26"/>
  <c r="G349" i="26"/>
  <c r="G350" i="26"/>
  <c r="G351" i="26"/>
  <c r="G352" i="26"/>
  <c r="G353" i="26"/>
  <c r="G354" i="26"/>
  <c r="G355" i="26"/>
  <c r="G356" i="26"/>
  <c r="G357" i="26"/>
  <c r="G358" i="26"/>
  <c r="G359" i="26"/>
  <c r="G360" i="26"/>
  <c r="G361" i="26"/>
  <c r="G362" i="26"/>
  <c r="G363" i="26"/>
  <c r="G364" i="26"/>
  <c r="G365" i="26"/>
  <c r="G366" i="26"/>
  <c r="G367" i="26"/>
  <c r="G368" i="26"/>
  <c r="G369" i="26"/>
  <c r="G370" i="26"/>
  <c r="G371" i="26"/>
  <c r="G372" i="26"/>
  <c r="G373" i="26"/>
  <c r="G374" i="26"/>
  <c r="G375" i="26"/>
  <c r="G376" i="26"/>
  <c r="G377" i="26"/>
  <c r="G378" i="26"/>
  <c r="G379" i="26"/>
  <c r="G380" i="26"/>
  <c r="G381" i="26"/>
  <c r="G382" i="26"/>
  <c r="G383" i="26"/>
  <c r="G384" i="26"/>
  <c r="G385" i="26"/>
  <c r="G386" i="26"/>
  <c r="G387" i="26"/>
  <c r="G388" i="26"/>
  <c r="G389" i="26"/>
  <c r="G390" i="26"/>
  <c r="G391" i="26"/>
  <c r="G392" i="26"/>
  <c r="G393" i="26"/>
  <c r="G394" i="26"/>
  <c r="G395" i="26"/>
  <c r="G396" i="26"/>
  <c r="G397" i="26"/>
  <c r="G398" i="26"/>
  <c r="G399" i="26"/>
  <c r="G400" i="26"/>
  <c r="G401" i="26"/>
  <c r="G402" i="26"/>
  <c r="G403" i="26"/>
  <c r="G404" i="26"/>
  <c r="G405" i="26"/>
  <c r="G406" i="26"/>
  <c r="G407" i="26"/>
  <c r="G408" i="26"/>
  <c r="G409" i="26"/>
  <c r="G410" i="26"/>
  <c r="G411" i="26"/>
  <c r="G3" i="26"/>
  <c r="F4" i="26"/>
  <c r="F5"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1" i="26"/>
  <c r="F62" i="26"/>
  <c r="F63" i="26"/>
  <c r="F64" i="26"/>
  <c r="F65" i="26"/>
  <c r="F66" i="26"/>
  <c r="F3" i="26"/>
  <c r="E4" i="26"/>
  <c r="E5" i="26"/>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45" i="26"/>
  <c r="E46" i="26"/>
  <c r="E47" i="26"/>
  <c r="E48" i="26"/>
  <c r="E49" i="26"/>
  <c r="E50" i="26"/>
  <c r="E51" i="26"/>
  <c r="E52" i="26"/>
  <c r="E53" i="26"/>
  <c r="E54" i="26"/>
  <c r="E55" i="26"/>
  <c r="E56" i="26"/>
  <c r="E57" i="26"/>
  <c r="E58" i="26"/>
  <c r="E59" i="26"/>
  <c r="E60" i="26"/>
  <c r="E61" i="26"/>
  <c r="E62" i="26"/>
  <c r="E63" i="26"/>
  <c r="E64" i="26"/>
  <c r="E65" i="26"/>
  <c r="E66" i="26"/>
  <c r="E3" i="26"/>
  <c r="D4" i="26"/>
  <c r="D5" i="26"/>
  <c r="D6" i="26"/>
  <c r="D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D51" i="26"/>
  <c r="D52" i="26"/>
  <c r="D53" i="26"/>
  <c r="D54" i="26"/>
  <c r="D55" i="26"/>
  <c r="D56" i="26"/>
  <c r="D57" i="26"/>
  <c r="D58" i="26"/>
  <c r="D59" i="26"/>
  <c r="D60" i="26"/>
  <c r="D61" i="26"/>
  <c r="D62" i="26"/>
  <c r="D63" i="26"/>
  <c r="D64" i="26"/>
  <c r="D65" i="26"/>
  <c r="D66" i="26"/>
  <c r="D3" i="26"/>
  <c r="C4" i="26"/>
  <c r="C5"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J3" i="25"/>
  <c r="J4" i="25"/>
  <c r="J5" i="25"/>
  <c r="J6" i="25"/>
  <c r="J7" i="25"/>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411" i="25" s="1"/>
  <c r="Q411" i="25" s="1"/>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2" i="25"/>
  <c r="I3"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411" i="25" s="1"/>
  <c r="P411" i="25" s="1"/>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2" i="25"/>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411" i="25" s="1"/>
  <c r="O411" i="25" s="1"/>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2" i="25"/>
  <c r="G3" i="25"/>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411" i="25" s="1"/>
  <c r="N411" i="25" s="1"/>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2" i="25"/>
  <c r="F3" i="25"/>
  <c r="F4" i="25"/>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411" i="25" s="1"/>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2" i="25"/>
  <c r="C2" i="25"/>
  <c r="C3" i="20"/>
  <c r="C10" i="20"/>
  <c r="C4" i="19"/>
  <c r="D4" i="19"/>
  <c r="E4" i="19"/>
  <c r="F4" i="19"/>
  <c r="G4" i="19"/>
  <c r="H4" i="19"/>
  <c r="I4" i="19"/>
  <c r="J4" i="19"/>
  <c r="K4" i="19"/>
  <c r="L4" i="19"/>
  <c r="M4" i="19"/>
  <c r="N4" i="19"/>
  <c r="O4" i="19"/>
  <c r="P4" i="19"/>
  <c r="Q4" i="19"/>
  <c r="R4" i="19"/>
  <c r="S4" i="19"/>
  <c r="T4" i="19"/>
  <c r="U4" i="19"/>
  <c r="V4" i="19"/>
  <c r="W4" i="19"/>
  <c r="X4" i="19"/>
  <c r="Y4" i="19"/>
  <c r="Z4" i="19"/>
  <c r="AA4" i="19"/>
  <c r="AB4" i="19"/>
  <c r="AC4" i="19"/>
  <c r="AD4" i="19"/>
  <c r="AE4" i="19"/>
  <c r="AF4" i="19"/>
  <c r="C5" i="19"/>
  <c r="D5" i="19"/>
  <c r="E5" i="19"/>
  <c r="F5" i="19"/>
  <c r="G5" i="19"/>
  <c r="H5" i="19"/>
  <c r="I5" i="19"/>
  <c r="J5" i="19"/>
  <c r="K5" i="19"/>
  <c r="L5" i="19"/>
  <c r="M5" i="19"/>
  <c r="N5" i="19"/>
  <c r="O5" i="19"/>
  <c r="P5" i="19"/>
  <c r="Q5" i="19"/>
  <c r="R5" i="19"/>
  <c r="S5" i="19"/>
  <c r="T5" i="19"/>
  <c r="U5" i="19"/>
  <c r="V5" i="19"/>
  <c r="W5" i="19"/>
  <c r="X5" i="19"/>
  <c r="Y5" i="19"/>
  <c r="Z5" i="19"/>
  <c r="AA5" i="19"/>
  <c r="AB5" i="19"/>
  <c r="AC5" i="19"/>
  <c r="AD5" i="19"/>
  <c r="AE5" i="19"/>
  <c r="AF5" i="19"/>
  <c r="C6" i="19"/>
  <c r="D6" i="19"/>
  <c r="E6" i="19"/>
  <c r="F6" i="19"/>
  <c r="G6" i="19"/>
  <c r="H6" i="19"/>
  <c r="I6" i="19"/>
  <c r="J6" i="19"/>
  <c r="K6" i="19"/>
  <c r="L6" i="19"/>
  <c r="M6" i="19"/>
  <c r="N6" i="19"/>
  <c r="O6" i="19"/>
  <c r="P6" i="19"/>
  <c r="Q6" i="19"/>
  <c r="R6" i="19"/>
  <c r="S6" i="19"/>
  <c r="T6" i="19"/>
  <c r="U6" i="19"/>
  <c r="V6" i="19"/>
  <c r="W6" i="19"/>
  <c r="X6" i="19"/>
  <c r="Y6" i="19"/>
  <c r="Z6" i="19"/>
  <c r="AA6" i="19"/>
  <c r="AB6" i="19"/>
  <c r="AC6" i="19"/>
  <c r="AD6" i="19"/>
  <c r="AE6" i="19"/>
  <c r="AF6" i="19"/>
  <c r="C7" i="19"/>
  <c r="D7" i="19"/>
  <c r="E7" i="19"/>
  <c r="F7" i="19"/>
  <c r="G7" i="19"/>
  <c r="H7" i="19"/>
  <c r="I7" i="19"/>
  <c r="J7" i="19"/>
  <c r="K7" i="19"/>
  <c r="L7" i="19"/>
  <c r="M7" i="19"/>
  <c r="N7" i="19"/>
  <c r="O7" i="19"/>
  <c r="P7" i="19"/>
  <c r="Q7" i="19"/>
  <c r="R7" i="19"/>
  <c r="S7" i="19"/>
  <c r="T7" i="19"/>
  <c r="U7" i="19"/>
  <c r="V7" i="19"/>
  <c r="W7" i="19"/>
  <c r="X7" i="19"/>
  <c r="Y7" i="19"/>
  <c r="Z7" i="19"/>
  <c r="AA7" i="19"/>
  <c r="AB7" i="19"/>
  <c r="AC7" i="19"/>
  <c r="AD7" i="19"/>
  <c r="AE7" i="19"/>
  <c r="AF7" i="19"/>
  <c r="C8" i="19"/>
  <c r="D8" i="19"/>
  <c r="E8" i="19"/>
  <c r="F8" i="19"/>
  <c r="G8" i="19"/>
  <c r="H8" i="19"/>
  <c r="I8" i="19"/>
  <c r="J8" i="19"/>
  <c r="K8" i="19"/>
  <c r="L8" i="19"/>
  <c r="M8" i="19"/>
  <c r="N8" i="19"/>
  <c r="O8" i="19"/>
  <c r="P8" i="19"/>
  <c r="Q8" i="19"/>
  <c r="R8" i="19"/>
  <c r="S8" i="19"/>
  <c r="T8" i="19"/>
  <c r="U8" i="19"/>
  <c r="V8" i="19"/>
  <c r="W8" i="19"/>
  <c r="X8" i="19"/>
  <c r="Y8" i="19"/>
  <c r="Z8" i="19"/>
  <c r="AA8" i="19"/>
  <c r="AB8" i="19"/>
  <c r="AC8" i="19"/>
  <c r="AD8" i="19"/>
  <c r="AE8" i="19"/>
  <c r="AF8" i="19"/>
  <c r="C9" i="19"/>
  <c r="D9" i="19"/>
  <c r="E9" i="19"/>
  <c r="F9" i="19"/>
  <c r="G9" i="19"/>
  <c r="H9" i="19"/>
  <c r="I9" i="19"/>
  <c r="J9" i="19"/>
  <c r="K9" i="19"/>
  <c r="L9" i="19"/>
  <c r="M9" i="19"/>
  <c r="N9" i="19"/>
  <c r="O9" i="19"/>
  <c r="P9" i="19"/>
  <c r="Q9" i="19"/>
  <c r="R9" i="19"/>
  <c r="S9" i="19"/>
  <c r="T9" i="19"/>
  <c r="U9" i="19"/>
  <c r="V9" i="19"/>
  <c r="W9" i="19"/>
  <c r="X9" i="19"/>
  <c r="Y9" i="19"/>
  <c r="Z9" i="19"/>
  <c r="AA9" i="19"/>
  <c r="AB9" i="19"/>
  <c r="AC9" i="19"/>
  <c r="AD9" i="19"/>
  <c r="AE9" i="19"/>
  <c r="AF9" i="19"/>
  <c r="C10" i="19"/>
  <c r="D10" i="19"/>
  <c r="E10" i="19"/>
  <c r="F10" i="19"/>
  <c r="G10" i="19"/>
  <c r="H10" i="19"/>
  <c r="I10" i="19"/>
  <c r="J10" i="19"/>
  <c r="K10" i="19"/>
  <c r="L10" i="19"/>
  <c r="M10" i="19"/>
  <c r="N10" i="19"/>
  <c r="O10" i="19"/>
  <c r="P10" i="19"/>
  <c r="Q10" i="19"/>
  <c r="R10" i="19"/>
  <c r="S10" i="19"/>
  <c r="T10" i="19"/>
  <c r="U10" i="19"/>
  <c r="V10" i="19"/>
  <c r="W10" i="19"/>
  <c r="X10" i="19"/>
  <c r="Y10" i="19"/>
  <c r="Z10" i="19"/>
  <c r="AA10" i="19"/>
  <c r="AB10" i="19"/>
  <c r="AC10" i="19"/>
  <c r="AD10" i="19"/>
  <c r="AE10" i="19"/>
  <c r="AF10" i="19"/>
  <c r="C11" i="19"/>
  <c r="D11" i="19"/>
  <c r="E11" i="19"/>
  <c r="F11" i="19"/>
  <c r="G11" i="19"/>
  <c r="H11" i="19"/>
  <c r="I11" i="19"/>
  <c r="J11" i="19"/>
  <c r="K11" i="19"/>
  <c r="L11" i="19"/>
  <c r="M11" i="19"/>
  <c r="N11" i="19"/>
  <c r="O11" i="19"/>
  <c r="P11" i="19"/>
  <c r="Q11" i="19"/>
  <c r="R11" i="19"/>
  <c r="S11" i="19"/>
  <c r="T11" i="19"/>
  <c r="U11" i="19"/>
  <c r="V11" i="19"/>
  <c r="W11" i="19"/>
  <c r="X11" i="19"/>
  <c r="Y11" i="19"/>
  <c r="Z11" i="19"/>
  <c r="AA11" i="19"/>
  <c r="AB11" i="19"/>
  <c r="AC11" i="19"/>
  <c r="AD11" i="19"/>
  <c r="AE11" i="19"/>
  <c r="AF11" i="19"/>
  <c r="C12" i="19"/>
  <c r="D12"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C13"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C14" i="19"/>
  <c r="D14" i="19"/>
  <c r="E14" i="19"/>
  <c r="F14" i="19"/>
  <c r="G14" i="19"/>
  <c r="H14" i="19"/>
  <c r="I14" i="19"/>
  <c r="J14" i="19"/>
  <c r="K14" i="19"/>
  <c r="L14" i="19"/>
  <c r="M14" i="19"/>
  <c r="N14" i="19"/>
  <c r="O14" i="19"/>
  <c r="P14" i="19"/>
  <c r="Q14" i="19"/>
  <c r="R14" i="19"/>
  <c r="S14" i="19"/>
  <c r="T14" i="19"/>
  <c r="U14" i="19"/>
  <c r="V14" i="19"/>
  <c r="W14" i="19"/>
  <c r="X14" i="19"/>
  <c r="Y14" i="19"/>
  <c r="Z14" i="19"/>
  <c r="AA14" i="19"/>
  <c r="AB14" i="19"/>
  <c r="AC14" i="19"/>
  <c r="AD14" i="19"/>
  <c r="AE14" i="19"/>
  <c r="AF14" i="19"/>
  <c r="C15" i="19"/>
  <c r="D15" i="19"/>
  <c r="E15" i="19"/>
  <c r="F15" i="19"/>
  <c r="G15" i="19"/>
  <c r="H15" i="19"/>
  <c r="I15" i="19"/>
  <c r="J15" i="19"/>
  <c r="K15" i="19"/>
  <c r="L15" i="19"/>
  <c r="M15" i="19"/>
  <c r="N15" i="19"/>
  <c r="O15" i="19"/>
  <c r="P15" i="19"/>
  <c r="Q15" i="19"/>
  <c r="R15" i="19"/>
  <c r="S15" i="19"/>
  <c r="T15" i="19"/>
  <c r="U15" i="19"/>
  <c r="V15" i="19"/>
  <c r="W15" i="19"/>
  <c r="X15" i="19"/>
  <c r="Y15" i="19"/>
  <c r="Z15" i="19"/>
  <c r="AA15" i="19"/>
  <c r="AB15" i="19"/>
  <c r="AC15" i="19"/>
  <c r="AD15" i="19"/>
  <c r="AE15" i="19"/>
  <c r="AF15" i="19"/>
  <c r="C16" i="19"/>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C17"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C18"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C19" i="19"/>
  <c r="D19" i="19"/>
  <c r="E19"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C20" i="19"/>
  <c r="D20" i="19"/>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C21"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C22" i="19"/>
  <c r="D22"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C23"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C25" i="19"/>
  <c r="D25"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C26"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C27"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C28" i="19"/>
  <c r="D28" i="19"/>
  <c r="E28"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AF28" i="19"/>
  <c r="C29" i="19"/>
  <c r="D29" i="19"/>
  <c r="E29" i="19"/>
  <c r="F29" i="19"/>
  <c r="G29" i="19"/>
  <c r="H29" i="19"/>
  <c r="I29" i="19"/>
  <c r="J29" i="19"/>
  <c r="K29" i="19"/>
  <c r="L29" i="19"/>
  <c r="M29" i="19"/>
  <c r="N29" i="19"/>
  <c r="O29" i="19"/>
  <c r="P29" i="19"/>
  <c r="Q29" i="19"/>
  <c r="R29" i="19"/>
  <c r="S29" i="19"/>
  <c r="T29" i="19"/>
  <c r="U29" i="19"/>
  <c r="V29" i="19"/>
  <c r="W29" i="19"/>
  <c r="X29" i="19"/>
  <c r="Y29" i="19"/>
  <c r="Z29" i="19"/>
  <c r="AA29" i="19"/>
  <c r="AB29" i="19"/>
  <c r="AC29" i="19"/>
  <c r="AD29" i="19"/>
  <c r="AE29" i="19"/>
  <c r="AF29" i="19"/>
  <c r="C30" i="19"/>
  <c r="D30" i="19"/>
  <c r="E30"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AF30" i="19"/>
  <c r="C31" i="19"/>
  <c r="D31" i="19"/>
  <c r="E31"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AF31" i="19"/>
  <c r="C32"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C33" i="19"/>
  <c r="D33" i="19"/>
  <c r="E33"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AF33" i="19"/>
  <c r="C34"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C35"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AF35" i="19"/>
  <c r="C36"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C37"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C38"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C40"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C41"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C42"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C43"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C44" i="19"/>
  <c r="D44"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C45"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C46"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C47" i="19"/>
  <c r="D47"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C48" i="19"/>
  <c r="D48"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C49"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C50"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C51" i="19"/>
  <c r="D51" i="19"/>
  <c r="E51" i="19"/>
  <c r="F51" i="19"/>
  <c r="G51" i="19"/>
  <c r="H51" i="19"/>
  <c r="I51" i="19"/>
  <c r="J51" i="19"/>
  <c r="K51" i="19"/>
  <c r="L51" i="19"/>
  <c r="M51" i="19"/>
  <c r="N51" i="19"/>
  <c r="O51" i="19"/>
  <c r="P51" i="19"/>
  <c r="Q51" i="19"/>
  <c r="R51" i="19"/>
  <c r="S51" i="19"/>
  <c r="T51" i="19"/>
  <c r="U51" i="19"/>
  <c r="V51" i="19"/>
  <c r="W51" i="19"/>
  <c r="X51" i="19"/>
  <c r="Y51" i="19"/>
  <c r="Z51" i="19"/>
  <c r="AA51" i="19"/>
  <c r="AB51" i="19"/>
  <c r="AC51" i="19"/>
  <c r="AD51" i="19"/>
  <c r="AE51" i="19"/>
  <c r="AF51" i="19"/>
  <c r="C52"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C53"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C54" i="19"/>
  <c r="D54"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C56"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C57"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C58"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C59"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C60"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C61"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C69"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C70"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C75"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C82"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C83"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AF83" i="19"/>
  <c r="C84"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C91"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C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C107"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C108"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C111"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C112"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C113"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C114"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AF114" i="19"/>
  <c r="C115"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C116"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C117"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C118" i="19"/>
  <c r="D118" i="19"/>
  <c r="E118" i="19"/>
  <c r="F118" i="19"/>
  <c r="G118" i="19"/>
  <c r="H118" i="19"/>
  <c r="I118" i="19"/>
  <c r="J118" i="19"/>
  <c r="K118" i="19"/>
  <c r="L118" i="19"/>
  <c r="M118" i="19"/>
  <c r="N118" i="19"/>
  <c r="O118" i="19"/>
  <c r="P118" i="19"/>
  <c r="Q118" i="19"/>
  <c r="R118" i="19"/>
  <c r="S118" i="19"/>
  <c r="T118" i="19"/>
  <c r="U118" i="19"/>
  <c r="V118" i="19"/>
  <c r="W118" i="19"/>
  <c r="X118" i="19"/>
  <c r="Y118" i="19"/>
  <c r="Z118" i="19"/>
  <c r="AA118" i="19"/>
  <c r="AB118" i="19"/>
  <c r="AC118" i="19"/>
  <c r="AD118" i="19"/>
  <c r="AE118" i="19"/>
  <c r="AF118" i="19"/>
  <c r="C119"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C120"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C121" i="19"/>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A121" i="19"/>
  <c r="AB121" i="19"/>
  <c r="AC121" i="19"/>
  <c r="AD121" i="19"/>
  <c r="AE121" i="19"/>
  <c r="AF121"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C124"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C125" i="19"/>
  <c r="D125" i="19"/>
  <c r="E125" i="19"/>
  <c r="F125" i="19"/>
  <c r="G125" i="19"/>
  <c r="H125" i="19"/>
  <c r="I125" i="19"/>
  <c r="J125" i="19"/>
  <c r="K125" i="19"/>
  <c r="L125" i="19"/>
  <c r="M125" i="19"/>
  <c r="N125" i="19"/>
  <c r="O125" i="19"/>
  <c r="P125" i="19"/>
  <c r="Q125" i="19"/>
  <c r="R125" i="19"/>
  <c r="S125" i="19"/>
  <c r="T125" i="19"/>
  <c r="U125" i="19"/>
  <c r="V125" i="19"/>
  <c r="W125" i="19"/>
  <c r="X125" i="19"/>
  <c r="Y125" i="19"/>
  <c r="Z125" i="19"/>
  <c r="AA125" i="19"/>
  <c r="AB125" i="19"/>
  <c r="AC125" i="19"/>
  <c r="AD125" i="19"/>
  <c r="AE125" i="19"/>
  <c r="AF125" i="19"/>
  <c r="C126" i="19"/>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C127"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C128"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C129" i="19"/>
  <c r="D129" i="19"/>
  <c r="E129" i="19"/>
  <c r="F129" i="19"/>
  <c r="G129" i="19"/>
  <c r="H129" i="19"/>
  <c r="I129" i="19"/>
  <c r="J129" i="19"/>
  <c r="K129" i="19"/>
  <c r="L129" i="19"/>
  <c r="M129" i="19"/>
  <c r="N129" i="19"/>
  <c r="O129" i="19"/>
  <c r="P129" i="19"/>
  <c r="Q129" i="19"/>
  <c r="R129" i="19"/>
  <c r="S129" i="19"/>
  <c r="T129" i="19"/>
  <c r="U129" i="19"/>
  <c r="V129" i="19"/>
  <c r="W129" i="19"/>
  <c r="X129" i="19"/>
  <c r="Y129" i="19"/>
  <c r="Z129" i="19"/>
  <c r="AA129" i="19"/>
  <c r="AB129" i="19"/>
  <c r="AC129" i="19"/>
  <c r="AD129" i="19"/>
  <c r="AE129" i="19"/>
  <c r="AF129" i="19"/>
  <c r="C130"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C131"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C132" i="19"/>
  <c r="D132" i="19"/>
  <c r="E132" i="19"/>
  <c r="F132" i="19"/>
  <c r="G132" i="19"/>
  <c r="H132" i="19"/>
  <c r="I132" i="19"/>
  <c r="J132" i="19"/>
  <c r="K132" i="19"/>
  <c r="L132" i="19"/>
  <c r="M132" i="19"/>
  <c r="N132" i="19"/>
  <c r="O132" i="19"/>
  <c r="P132" i="19"/>
  <c r="Q132" i="19"/>
  <c r="R132" i="19"/>
  <c r="S132" i="19"/>
  <c r="T132" i="19"/>
  <c r="U132" i="19"/>
  <c r="V132" i="19"/>
  <c r="W132" i="19"/>
  <c r="X132" i="19"/>
  <c r="Y132" i="19"/>
  <c r="Z132" i="19"/>
  <c r="AA132" i="19"/>
  <c r="AB132" i="19"/>
  <c r="AC132" i="19"/>
  <c r="AD132" i="19"/>
  <c r="AE132" i="19"/>
  <c r="AF132" i="19"/>
  <c r="C133" i="19"/>
  <c r="D133" i="19"/>
  <c r="E133" i="19"/>
  <c r="F133" i="19"/>
  <c r="G133" i="19"/>
  <c r="H133" i="19"/>
  <c r="I133" i="19"/>
  <c r="J133" i="19"/>
  <c r="K133" i="19"/>
  <c r="L133" i="19"/>
  <c r="M133" i="19"/>
  <c r="N133" i="19"/>
  <c r="O133" i="19"/>
  <c r="P133" i="19"/>
  <c r="Q133" i="19"/>
  <c r="R133" i="19"/>
  <c r="S133" i="19"/>
  <c r="T133" i="19"/>
  <c r="U133" i="19"/>
  <c r="V133" i="19"/>
  <c r="W133" i="19"/>
  <c r="X133" i="19"/>
  <c r="Y133" i="19"/>
  <c r="Z133" i="19"/>
  <c r="AA133" i="19"/>
  <c r="AB133" i="19"/>
  <c r="AC133" i="19"/>
  <c r="AD133" i="19"/>
  <c r="AE133" i="19"/>
  <c r="AF133" i="19"/>
  <c r="C134" i="19"/>
  <c r="D134" i="19"/>
  <c r="E134" i="19"/>
  <c r="F134" i="19"/>
  <c r="G134" i="19"/>
  <c r="H134" i="19"/>
  <c r="I134" i="19"/>
  <c r="J134" i="19"/>
  <c r="K134" i="19"/>
  <c r="L134" i="19"/>
  <c r="M134" i="19"/>
  <c r="N134" i="19"/>
  <c r="O134" i="19"/>
  <c r="P134" i="19"/>
  <c r="Q134" i="19"/>
  <c r="R134" i="19"/>
  <c r="S134" i="19"/>
  <c r="T134" i="19"/>
  <c r="U134" i="19"/>
  <c r="V134" i="19"/>
  <c r="W134" i="19"/>
  <c r="X134" i="19"/>
  <c r="Y134" i="19"/>
  <c r="Z134" i="19"/>
  <c r="AA134" i="19"/>
  <c r="AB134" i="19"/>
  <c r="AC134" i="19"/>
  <c r="AD134" i="19"/>
  <c r="AE134" i="19"/>
  <c r="AF134" i="19"/>
  <c r="C135" i="19"/>
  <c r="D135" i="19"/>
  <c r="E135" i="19"/>
  <c r="F135" i="19"/>
  <c r="G135" i="19"/>
  <c r="H135" i="19"/>
  <c r="I135" i="19"/>
  <c r="J135" i="19"/>
  <c r="K135" i="19"/>
  <c r="L135" i="19"/>
  <c r="M135" i="19"/>
  <c r="N135" i="19"/>
  <c r="O135" i="19"/>
  <c r="P135" i="19"/>
  <c r="Q135" i="19"/>
  <c r="R135" i="19"/>
  <c r="S135" i="19"/>
  <c r="T135" i="19"/>
  <c r="U135" i="19"/>
  <c r="V135" i="19"/>
  <c r="W135" i="19"/>
  <c r="X135" i="19"/>
  <c r="Y135" i="19"/>
  <c r="Z135" i="19"/>
  <c r="AA135" i="19"/>
  <c r="AB135" i="19"/>
  <c r="AC135" i="19"/>
  <c r="AD135" i="19"/>
  <c r="AE135" i="19"/>
  <c r="AF135" i="19"/>
  <c r="C136" i="19"/>
  <c r="D136" i="19"/>
  <c r="E136" i="19"/>
  <c r="F136" i="19"/>
  <c r="G136" i="19"/>
  <c r="H136" i="19"/>
  <c r="I136" i="19"/>
  <c r="J136" i="19"/>
  <c r="K136" i="19"/>
  <c r="L136" i="19"/>
  <c r="M136" i="19"/>
  <c r="N136" i="19"/>
  <c r="O136" i="19"/>
  <c r="P136" i="19"/>
  <c r="Q136" i="19"/>
  <c r="R136" i="19"/>
  <c r="S136" i="19"/>
  <c r="T136" i="19"/>
  <c r="U136" i="19"/>
  <c r="V136" i="19"/>
  <c r="W136" i="19"/>
  <c r="X136" i="19"/>
  <c r="Y136" i="19"/>
  <c r="Z136" i="19"/>
  <c r="AA136" i="19"/>
  <c r="AB136" i="19"/>
  <c r="AC136" i="19"/>
  <c r="AD136" i="19"/>
  <c r="AE136" i="19"/>
  <c r="AF136" i="19"/>
  <c r="C137" i="19"/>
  <c r="D137" i="19"/>
  <c r="E137" i="19"/>
  <c r="F137" i="19"/>
  <c r="G137" i="19"/>
  <c r="H137" i="19"/>
  <c r="I137" i="19"/>
  <c r="J137" i="19"/>
  <c r="K137" i="19"/>
  <c r="L137" i="19"/>
  <c r="M137" i="19"/>
  <c r="N137" i="19"/>
  <c r="O137" i="19"/>
  <c r="P137" i="19"/>
  <c r="Q137" i="19"/>
  <c r="R137" i="19"/>
  <c r="S137" i="19"/>
  <c r="T137" i="19"/>
  <c r="U137" i="19"/>
  <c r="V137" i="19"/>
  <c r="W137" i="19"/>
  <c r="X137" i="19"/>
  <c r="Y137" i="19"/>
  <c r="Z137" i="19"/>
  <c r="AA137" i="19"/>
  <c r="AB137" i="19"/>
  <c r="AC137" i="19"/>
  <c r="AD137" i="19"/>
  <c r="AE137" i="19"/>
  <c r="AF137" i="19"/>
  <c r="C138" i="19"/>
  <c r="D138" i="19"/>
  <c r="E138" i="19"/>
  <c r="F138" i="19"/>
  <c r="G138" i="19"/>
  <c r="H138" i="19"/>
  <c r="I138" i="19"/>
  <c r="J138" i="19"/>
  <c r="K138" i="19"/>
  <c r="L138" i="19"/>
  <c r="M138" i="19"/>
  <c r="N138" i="19"/>
  <c r="O138" i="19"/>
  <c r="P138" i="19"/>
  <c r="Q138" i="19"/>
  <c r="R138" i="19"/>
  <c r="S138" i="19"/>
  <c r="T138" i="19"/>
  <c r="U138" i="19"/>
  <c r="V138" i="19"/>
  <c r="W138" i="19"/>
  <c r="X138" i="19"/>
  <c r="Y138" i="19"/>
  <c r="Z138" i="19"/>
  <c r="AA138" i="19"/>
  <c r="AB138" i="19"/>
  <c r="AC138" i="19"/>
  <c r="AD138" i="19"/>
  <c r="AE138" i="19"/>
  <c r="AF138" i="19"/>
  <c r="C139" i="19"/>
  <c r="D139" i="19"/>
  <c r="E139" i="19"/>
  <c r="F139" i="19"/>
  <c r="G139" i="19"/>
  <c r="H139" i="19"/>
  <c r="I139" i="19"/>
  <c r="J139" i="19"/>
  <c r="K139" i="19"/>
  <c r="L139" i="19"/>
  <c r="M139" i="19"/>
  <c r="N139" i="19"/>
  <c r="O139" i="19"/>
  <c r="P139" i="19"/>
  <c r="Q139" i="19"/>
  <c r="R139" i="19"/>
  <c r="S139" i="19"/>
  <c r="T139" i="19"/>
  <c r="U139" i="19"/>
  <c r="V139" i="19"/>
  <c r="W139" i="19"/>
  <c r="X139" i="19"/>
  <c r="Y139" i="19"/>
  <c r="Z139" i="19"/>
  <c r="AA139" i="19"/>
  <c r="AB139" i="19"/>
  <c r="AC139" i="19"/>
  <c r="AD139" i="19"/>
  <c r="AE139" i="19"/>
  <c r="AF139" i="19"/>
  <c r="C140" i="19"/>
  <c r="D140" i="19"/>
  <c r="E140" i="19"/>
  <c r="F140" i="19"/>
  <c r="G140" i="19"/>
  <c r="H140" i="19"/>
  <c r="I140" i="19"/>
  <c r="J140" i="19"/>
  <c r="K140" i="19"/>
  <c r="L140" i="19"/>
  <c r="M140" i="19"/>
  <c r="N140" i="19"/>
  <c r="O140" i="19"/>
  <c r="P140" i="19"/>
  <c r="Q140" i="19"/>
  <c r="R140" i="19"/>
  <c r="S140" i="19"/>
  <c r="T140" i="19"/>
  <c r="U140" i="19"/>
  <c r="V140" i="19"/>
  <c r="W140" i="19"/>
  <c r="X140" i="19"/>
  <c r="Y140" i="19"/>
  <c r="Z140" i="19"/>
  <c r="AA140" i="19"/>
  <c r="AB140" i="19"/>
  <c r="AC140" i="19"/>
  <c r="AD140" i="19"/>
  <c r="AE140" i="19"/>
  <c r="AF140" i="19"/>
  <c r="C141" i="19"/>
  <c r="D141" i="19"/>
  <c r="E141" i="19"/>
  <c r="F141" i="19"/>
  <c r="G141" i="19"/>
  <c r="H141" i="19"/>
  <c r="I141" i="19"/>
  <c r="J141" i="19"/>
  <c r="K141" i="19"/>
  <c r="L141" i="19"/>
  <c r="M141" i="19"/>
  <c r="N141" i="19"/>
  <c r="O141" i="19"/>
  <c r="P141" i="19"/>
  <c r="Q141" i="19"/>
  <c r="R141" i="19"/>
  <c r="S141" i="19"/>
  <c r="T141" i="19"/>
  <c r="U141" i="19"/>
  <c r="V141" i="19"/>
  <c r="W141" i="19"/>
  <c r="X141" i="19"/>
  <c r="Y141" i="19"/>
  <c r="Z141" i="19"/>
  <c r="AA141" i="19"/>
  <c r="AB141" i="19"/>
  <c r="AC141" i="19"/>
  <c r="AD141" i="19"/>
  <c r="AE141" i="19"/>
  <c r="AF141" i="19"/>
  <c r="C142" i="19"/>
  <c r="D142" i="19"/>
  <c r="E142" i="19"/>
  <c r="F142" i="19"/>
  <c r="G142" i="19"/>
  <c r="H142" i="19"/>
  <c r="I142" i="19"/>
  <c r="J142" i="19"/>
  <c r="K142" i="19"/>
  <c r="L142" i="19"/>
  <c r="M142" i="19"/>
  <c r="N142" i="19"/>
  <c r="O142" i="19"/>
  <c r="P142" i="19"/>
  <c r="Q142" i="19"/>
  <c r="R142" i="19"/>
  <c r="S142" i="19"/>
  <c r="T142" i="19"/>
  <c r="U142" i="19"/>
  <c r="V142" i="19"/>
  <c r="W142" i="19"/>
  <c r="X142" i="19"/>
  <c r="Y142" i="19"/>
  <c r="Z142" i="19"/>
  <c r="AA142" i="19"/>
  <c r="AB142" i="19"/>
  <c r="AC142" i="19"/>
  <c r="AD142" i="19"/>
  <c r="AE142" i="19"/>
  <c r="AF142" i="19"/>
  <c r="C143" i="19"/>
  <c r="D143" i="19"/>
  <c r="E143" i="19"/>
  <c r="F143" i="19"/>
  <c r="G143" i="19"/>
  <c r="H143" i="19"/>
  <c r="I143" i="19"/>
  <c r="J143" i="19"/>
  <c r="K143" i="19"/>
  <c r="L143" i="19"/>
  <c r="M143" i="19"/>
  <c r="N143" i="19"/>
  <c r="O143" i="19"/>
  <c r="P143" i="19"/>
  <c r="Q143" i="19"/>
  <c r="R143" i="19"/>
  <c r="S143" i="19"/>
  <c r="T143" i="19"/>
  <c r="U143" i="19"/>
  <c r="V143" i="19"/>
  <c r="W143" i="19"/>
  <c r="X143" i="19"/>
  <c r="Y143" i="19"/>
  <c r="Z143" i="19"/>
  <c r="AA143" i="19"/>
  <c r="AB143" i="19"/>
  <c r="AC143" i="19"/>
  <c r="AD143" i="19"/>
  <c r="AE143" i="19"/>
  <c r="AF143" i="19"/>
  <c r="C144" i="19"/>
  <c r="D144" i="19"/>
  <c r="E144" i="19"/>
  <c r="F144" i="19"/>
  <c r="G144" i="19"/>
  <c r="H144" i="19"/>
  <c r="I144" i="19"/>
  <c r="J144" i="19"/>
  <c r="K144" i="19"/>
  <c r="L144" i="19"/>
  <c r="M144" i="19"/>
  <c r="N144" i="19"/>
  <c r="O144" i="19"/>
  <c r="P144" i="19"/>
  <c r="Q144" i="19"/>
  <c r="R144" i="19"/>
  <c r="S144" i="19"/>
  <c r="T144" i="19"/>
  <c r="U144" i="19"/>
  <c r="V144" i="19"/>
  <c r="W144" i="19"/>
  <c r="X144" i="19"/>
  <c r="Y144" i="19"/>
  <c r="Z144" i="19"/>
  <c r="AA144" i="19"/>
  <c r="AB144" i="19"/>
  <c r="AC144" i="19"/>
  <c r="AD144" i="19"/>
  <c r="AE144" i="19"/>
  <c r="AF144" i="19"/>
  <c r="C145" i="19"/>
  <c r="D145" i="19"/>
  <c r="E145" i="19"/>
  <c r="F145" i="19"/>
  <c r="G145" i="19"/>
  <c r="H145" i="19"/>
  <c r="I145" i="19"/>
  <c r="J145" i="19"/>
  <c r="K145" i="19"/>
  <c r="L145" i="19"/>
  <c r="M145" i="19"/>
  <c r="N145" i="19"/>
  <c r="O145" i="19"/>
  <c r="P145" i="19"/>
  <c r="Q145" i="19"/>
  <c r="R145" i="19"/>
  <c r="S145" i="19"/>
  <c r="T145" i="19"/>
  <c r="U145" i="19"/>
  <c r="V145" i="19"/>
  <c r="W145" i="19"/>
  <c r="X145" i="19"/>
  <c r="Y145" i="19"/>
  <c r="Z145" i="19"/>
  <c r="AA145" i="19"/>
  <c r="AB145" i="19"/>
  <c r="AC145" i="19"/>
  <c r="AD145" i="19"/>
  <c r="AE145" i="19"/>
  <c r="AF145" i="19"/>
  <c r="C146" i="19"/>
  <c r="D146" i="19"/>
  <c r="E146" i="19"/>
  <c r="F146" i="19"/>
  <c r="G146" i="19"/>
  <c r="H146" i="19"/>
  <c r="I146" i="19"/>
  <c r="J146" i="19"/>
  <c r="K146" i="19"/>
  <c r="L146" i="19"/>
  <c r="M146" i="19"/>
  <c r="N146" i="19"/>
  <c r="O146" i="19"/>
  <c r="P146" i="19"/>
  <c r="Q146" i="19"/>
  <c r="R146" i="19"/>
  <c r="S146" i="19"/>
  <c r="T146" i="19"/>
  <c r="U146" i="19"/>
  <c r="V146" i="19"/>
  <c r="W146" i="19"/>
  <c r="X146" i="19"/>
  <c r="Y146" i="19"/>
  <c r="Z146" i="19"/>
  <c r="AA146" i="19"/>
  <c r="AB146" i="19"/>
  <c r="AC146" i="19"/>
  <c r="AD146" i="19"/>
  <c r="AE146" i="19"/>
  <c r="AF146" i="19"/>
  <c r="C147" i="19"/>
  <c r="D147" i="19"/>
  <c r="E147" i="19"/>
  <c r="F147" i="19"/>
  <c r="G147" i="19"/>
  <c r="H147" i="19"/>
  <c r="I147" i="19"/>
  <c r="J147" i="19"/>
  <c r="K147" i="19"/>
  <c r="L147" i="19"/>
  <c r="M147" i="19"/>
  <c r="N147" i="19"/>
  <c r="O147" i="19"/>
  <c r="P147" i="19"/>
  <c r="Q147" i="19"/>
  <c r="R147" i="19"/>
  <c r="S147" i="19"/>
  <c r="T147" i="19"/>
  <c r="U147" i="19"/>
  <c r="V147" i="19"/>
  <c r="W147" i="19"/>
  <c r="X147" i="19"/>
  <c r="Y147" i="19"/>
  <c r="Z147" i="19"/>
  <c r="AA147" i="19"/>
  <c r="AB147" i="19"/>
  <c r="AC147" i="19"/>
  <c r="AD147" i="19"/>
  <c r="AE147" i="19"/>
  <c r="AF147" i="19"/>
  <c r="C148" i="19"/>
  <c r="D148" i="19"/>
  <c r="E148" i="19"/>
  <c r="F148" i="19"/>
  <c r="G148" i="19"/>
  <c r="H148" i="19"/>
  <c r="I148" i="19"/>
  <c r="J148" i="19"/>
  <c r="K148" i="19"/>
  <c r="L148" i="19"/>
  <c r="M148" i="19"/>
  <c r="N148" i="19"/>
  <c r="O148" i="19"/>
  <c r="P148" i="19"/>
  <c r="Q148" i="19"/>
  <c r="R148" i="19"/>
  <c r="S148" i="19"/>
  <c r="T148" i="19"/>
  <c r="U148" i="19"/>
  <c r="V148" i="19"/>
  <c r="W148" i="19"/>
  <c r="X148" i="19"/>
  <c r="Y148" i="19"/>
  <c r="Z148" i="19"/>
  <c r="AA148" i="19"/>
  <c r="AB148" i="19"/>
  <c r="AC148" i="19"/>
  <c r="AD148" i="19"/>
  <c r="AE148" i="19"/>
  <c r="AF148" i="19"/>
  <c r="C149" i="19"/>
  <c r="D149" i="19"/>
  <c r="E149" i="19"/>
  <c r="F149" i="19"/>
  <c r="G149" i="19"/>
  <c r="H149" i="19"/>
  <c r="I149" i="19"/>
  <c r="J149" i="19"/>
  <c r="K149" i="19"/>
  <c r="L149" i="19"/>
  <c r="M149" i="19"/>
  <c r="N149" i="19"/>
  <c r="O149" i="19"/>
  <c r="P149" i="19"/>
  <c r="Q149" i="19"/>
  <c r="R149" i="19"/>
  <c r="S149" i="19"/>
  <c r="T149" i="19"/>
  <c r="U149" i="19"/>
  <c r="V149" i="19"/>
  <c r="W149" i="19"/>
  <c r="X149" i="19"/>
  <c r="Y149" i="19"/>
  <c r="Z149" i="19"/>
  <c r="AA149" i="19"/>
  <c r="AB149" i="19"/>
  <c r="AC149" i="19"/>
  <c r="AD149" i="19"/>
  <c r="AE149" i="19"/>
  <c r="AF149" i="19"/>
  <c r="C150" i="19"/>
  <c r="D150" i="19"/>
  <c r="E150" i="19"/>
  <c r="F150" i="19"/>
  <c r="G150" i="19"/>
  <c r="H150" i="19"/>
  <c r="I150" i="19"/>
  <c r="J150" i="19"/>
  <c r="K150" i="19"/>
  <c r="L150" i="19"/>
  <c r="M150" i="19"/>
  <c r="N150" i="19"/>
  <c r="O150" i="19"/>
  <c r="P150" i="19"/>
  <c r="Q150" i="19"/>
  <c r="R150" i="19"/>
  <c r="S150" i="19"/>
  <c r="T150" i="19"/>
  <c r="U150" i="19"/>
  <c r="V150" i="19"/>
  <c r="W150" i="19"/>
  <c r="X150" i="19"/>
  <c r="Y150" i="19"/>
  <c r="Z150" i="19"/>
  <c r="AA150" i="19"/>
  <c r="AB150" i="19"/>
  <c r="AC150" i="19"/>
  <c r="AD150" i="19"/>
  <c r="AE150" i="19"/>
  <c r="AF150" i="19"/>
  <c r="C151" i="19"/>
  <c r="D151" i="19"/>
  <c r="E151" i="19"/>
  <c r="F151" i="19"/>
  <c r="G151" i="19"/>
  <c r="H151" i="19"/>
  <c r="I151" i="19"/>
  <c r="J151" i="19"/>
  <c r="K151" i="19"/>
  <c r="L151" i="19"/>
  <c r="M151" i="19"/>
  <c r="N151" i="19"/>
  <c r="O151" i="19"/>
  <c r="P151" i="19"/>
  <c r="Q151" i="19"/>
  <c r="R151" i="19"/>
  <c r="S151" i="19"/>
  <c r="T151" i="19"/>
  <c r="U151" i="19"/>
  <c r="V151" i="19"/>
  <c r="W151" i="19"/>
  <c r="X151" i="19"/>
  <c r="Y151" i="19"/>
  <c r="Z151" i="19"/>
  <c r="AA151" i="19"/>
  <c r="AB151" i="19"/>
  <c r="AC151" i="19"/>
  <c r="AD151" i="19"/>
  <c r="AE151" i="19"/>
  <c r="AF151" i="19"/>
  <c r="C152" i="19"/>
  <c r="D152" i="19"/>
  <c r="E152" i="19"/>
  <c r="F152" i="19"/>
  <c r="G152" i="19"/>
  <c r="H152" i="19"/>
  <c r="I152" i="19"/>
  <c r="J152" i="19"/>
  <c r="K152" i="19"/>
  <c r="L152" i="19"/>
  <c r="M152" i="19"/>
  <c r="N152" i="19"/>
  <c r="O152" i="19"/>
  <c r="P152" i="19"/>
  <c r="Q152" i="19"/>
  <c r="R152" i="19"/>
  <c r="S152" i="19"/>
  <c r="T152" i="19"/>
  <c r="U152" i="19"/>
  <c r="V152" i="19"/>
  <c r="W152" i="19"/>
  <c r="X152" i="19"/>
  <c r="Y152" i="19"/>
  <c r="Z152" i="19"/>
  <c r="AA152" i="19"/>
  <c r="AB152" i="19"/>
  <c r="AC152" i="19"/>
  <c r="AD152" i="19"/>
  <c r="AE152" i="19"/>
  <c r="AF152" i="19"/>
  <c r="C153" i="19"/>
  <c r="D153" i="19"/>
  <c r="E153" i="19"/>
  <c r="F153" i="19"/>
  <c r="G153" i="19"/>
  <c r="H153" i="19"/>
  <c r="I153" i="19"/>
  <c r="J153" i="19"/>
  <c r="K153" i="19"/>
  <c r="L153" i="19"/>
  <c r="M153" i="19"/>
  <c r="N153" i="19"/>
  <c r="O153" i="19"/>
  <c r="P153" i="19"/>
  <c r="Q153" i="19"/>
  <c r="R153" i="19"/>
  <c r="S153" i="19"/>
  <c r="T153" i="19"/>
  <c r="U153" i="19"/>
  <c r="V153" i="19"/>
  <c r="W153" i="19"/>
  <c r="X153" i="19"/>
  <c r="Y153" i="19"/>
  <c r="Z153" i="19"/>
  <c r="AA153" i="19"/>
  <c r="AB153" i="19"/>
  <c r="AC153" i="19"/>
  <c r="AD153" i="19"/>
  <c r="AE153" i="19"/>
  <c r="AF153" i="19"/>
  <c r="C154" i="19"/>
  <c r="D154" i="19"/>
  <c r="E154" i="19"/>
  <c r="F154" i="19"/>
  <c r="G154" i="19"/>
  <c r="H154" i="19"/>
  <c r="I154" i="19"/>
  <c r="J154" i="19"/>
  <c r="K154" i="19"/>
  <c r="L154" i="19"/>
  <c r="M154" i="19"/>
  <c r="N154" i="19"/>
  <c r="O154" i="19"/>
  <c r="P154" i="19"/>
  <c r="Q154" i="19"/>
  <c r="R154" i="19"/>
  <c r="S154" i="19"/>
  <c r="T154" i="19"/>
  <c r="U154" i="19"/>
  <c r="V154" i="19"/>
  <c r="W154" i="19"/>
  <c r="X154" i="19"/>
  <c r="Y154" i="19"/>
  <c r="Z154" i="19"/>
  <c r="AA154" i="19"/>
  <c r="AB154" i="19"/>
  <c r="AC154" i="19"/>
  <c r="AD154" i="19"/>
  <c r="AE154" i="19"/>
  <c r="AF154" i="19"/>
  <c r="C155" i="19"/>
  <c r="D155" i="19"/>
  <c r="E155" i="19"/>
  <c r="F155" i="19"/>
  <c r="G155" i="19"/>
  <c r="H155" i="19"/>
  <c r="I155" i="19"/>
  <c r="J155" i="19"/>
  <c r="K155" i="19"/>
  <c r="L155" i="19"/>
  <c r="M155" i="19"/>
  <c r="N155" i="19"/>
  <c r="O155" i="19"/>
  <c r="P155" i="19"/>
  <c r="Q155" i="19"/>
  <c r="R155" i="19"/>
  <c r="S155" i="19"/>
  <c r="T155" i="19"/>
  <c r="U155" i="19"/>
  <c r="V155" i="19"/>
  <c r="W155" i="19"/>
  <c r="X155" i="19"/>
  <c r="Y155" i="19"/>
  <c r="Z155" i="19"/>
  <c r="AA155" i="19"/>
  <c r="AB155" i="19"/>
  <c r="AC155" i="19"/>
  <c r="AD155" i="19"/>
  <c r="AE155" i="19"/>
  <c r="AF155" i="19"/>
  <c r="C156" i="19"/>
  <c r="D156" i="19"/>
  <c r="E156" i="19"/>
  <c r="F156" i="19"/>
  <c r="G156" i="19"/>
  <c r="H156" i="19"/>
  <c r="I156" i="19"/>
  <c r="J156" i="19"/>
  <c r="K156" i="19"/>
  <c r="L156" i="19"/>
  <c r="M156" i="19"/>
  <c r="N156" i="19"/>
  <c r="O156" i="19"/>
  <c r="P156" i="19"/>
  <c r="Q156" i="19"/>
  <c r="R156" i="19"/>
  <c r="S156" i="19"/>
  <c r="T156" i="19"/>
  <c r="U156" i="19"/>
  <c r="V156" i="19"/>
  <c r="W156" i="19"/>
  <c r="X156" i="19"/>
  <c r="Y156" i="19"/>
  <c r="Z156" i="19"/>
  <c r="AA156" i="19"/>
  <c r="AB156" i="19"/>
  <c r="AC156" i="19"/>
  <c r="AD156" i="19"/>
  <c r="AE156" i="19"/>
  <c r="AF156" i="19"/>
  <c r="C157" i="19"/>
  <c r="D157" i="19"/>
  <c r="E157" i="19"/>
  <c r="F157" i="19"/>
  <c r="G157" i="19"/>
  <c r="H157" i="19"/>
  <c r="I157" i="19"/>
  <c r="J157" i="19"/>
  <c r="K157" i="19"/>
  <c r="L157" i="19"/>
  <c r="M157" i="19"/>
  <c r="N157" i="19"/>
  <c r="O157" i="19"/>
  <c r="P157" i="19"/>
  <c r="Q157" i="19"/>
  <c r="R157" i="19"/>
  <c r="S157" i="19"/>
  <c r="T157" i="19"/>
  <c r="U157" i="19"/>
  <c r="V157" i="19"/>
  <c r="W157" i="19"/>
  <c r="X157" i="19"/>
  <c r="Y157" i="19"/>
  <c r="Z157" i="19"/>
  <c r="AA157" i="19"/>
  <c r="AB157" i="19"/>
  <c r="AC157" i="19"/>
  <c r="AD157" i="19"/>
  <c r="AE157" i="19"/>
  <c r="AF157" i="19"/>
  <c r="C158" i="19"/>
  <c r="D158" i="19"/>
  <c r="E158" i="19"/>
  <c r="F158" i="19"/>
  <c r="G158" i="19"/>
  <c r="H158" i="19"/>
  <c r="I158" i="19"/>
  <c r="J158" i="19"/>
  <c r="K158" i="19"/>
  <c r="L158" i="19"/>
  <c r="M158" i="19"/>
  <c r="N158" i="19"/>
  <c r="O158" i="19"/>
  <c r="P158" i="19"/>
  <c r="Q158" i="19"/>
  <c r="R158" i="19"/>
  <c r="S158" i="19"/>
  <c r="T158" i="19"/>
  <c r="U158" i="19"/>
  <c r="V158" i="19"/>
  <c r="W158" i="19"/>
  <c r="X158" i="19"/>
  <c r="Y158" i="19"/>
  <c r="Z158" i="19"/>
  <c r="AA158" i="19"/>
  <c r="AB158" i="19"/>
  <c r="AC158" i="19"/>
  <c r="AD158" i="19"/>
  <c r="AE158" i="19"/>
  <c r="AF158" i="19"/>
  <c r="C159" i="19"/>
  <c r="D159" i="19"/>
  <c r="E159" i="19"/>
  <c r="F159" i="19"/>
  <c r="G159" i="19"/>
  <c r="H159" i="19"/>
  <c r="I159" i="19"/>
  <c r="J159" i="19"/>
  <c r="K159" i="19"/>
  <c r="L159" i="19"/>
  <c r="M159" i="19"/>
  <c r="N159" i="19"/>
  <c r="O159" i="19"/>
  <c r="P159" i="19"/>
  <c r="Q159" i="19"/>
  <c r="R159" i="19"/>
  <c r="S159" i="19"/>
  <c r="T159" i="19"/>
  <c r="U159" i="19"/>
  <c r="V159" i="19"/>
  <c r="W159" i="19"/>
  <c r="X159" i="19"/>
  <c r="Y159" i="19"/>
  <c r="Z159" i="19"/>
  <c r="AA159" i="19"/>
  <c r="AB159" i="19"/>
  <c r="AC159" i="19"/>
  <c r="AD159" i="19"/>
  <c r="AE159" i="19"/>
  <c r="AF159" i="19"/>
  <c r="C160" i="19"/>
  <c r="D160" i="19"/>
  <c r="E160" i="19"/>
  <c r="F160" i="19"/>
  <c r="G160" i="19"/>
  <c r="H160" i="19"/>
  <c r="I160" i="19"/>
  <c r="J160" i="19"/>
  <c r="K160" i="19"/>
  <c r="L160" i="19"/>
  <c r="M160" i="19"/>
  <c r="N160" i="19"/>
  <c r="O160" i="19"/>
  <c r="P160" i="19"/>
  <c r="Q160" i="19"/>
  <c r="R160" i="19"/>
  <c r="S160" i="19"/>
  <c r="T160" i="19"/>
  <c r="U160" i="19"/>
  <c r="V160" i="19"/>
  <c r="W160" i="19"/>
  <c r="X160" i="19"/>
  <c r="Y160" i="19"/>
  <c r="Z160" i="19"/>
  <c r="AA160" i="19"/>
  <c r="AB160" i="19"/>
  <c r="AC160" i="19"/>
  <c r="AD160" i="19"/>
  <c r="AE160" i="19"/>
  <c r="AF160" i="19"/>
  <c r="C161" i="19"/>
  <c r="D161" i="19"/>
  <c r="E161" i="19"/>
  <c r="F161" i="19"/>
  <c r="G161" i="19"/>
  <c r="H161" i="19"/>
  <c r="I161" i="19"/>
  <c r="J161" i="19"/>
  <c r="K161" i="19"/>
  <c r="L161" i="19"/>
  <c r="M161" i="19"/>
  <c r="N161" i="19"/>
  <c r="O161" i="19"/>
  <c r="P161" i="19"/>
  <c r="Q161" i="19"/>
  <c r="R161" i="19"/>
  <c r="S161" i="19"/>
  <c r="T161" i="19"/>
  <c r="U161" i="19"/>
  <c r="V161" i="19"/>
  <c r="W161" i="19"/>
  <c r="X161" i="19"/>
  <c r="Y161" i="19"/>
  <c r="Z161" i="19"/>
  <c r="AA161" i="19"/>
  <c r="AB161" i="19"/>
  <c r="AC161" i="19"/>
  <c r="AD161" i="19"/>
  <c r="AE161" i="19"/>
  <c r="AF161" i="19"/>
  <c r="C162" i="19"/>
  <c r="D162" i="19"/>
  <c r="E162" i="19"/>
  <c r="F162" i="19"/>
  <c r="G162" i="19"/>
  <c r="H162" i="19"/>
  <c r="I162" i="19"/>
  <c r="J162" i="19"/>
  <c r="K162" i="19"/>
  <c r="L162" i="19"/>
  <c r="M162" i="19"/>
  <c r="N162" i="19"/>
  <c r="O162" i="19"/>
  <c r="P162" i="19"/>
  <c r="Q162" i="19"/>
  <c r="R162" i="19"/>
  <c r="S162" i="19"/>
  <c r="T162" i="19"/>
  <c r="U162" i="19"/>
  <c r="V162" i="19"/>
  <c r="W162" i="19"/>
  <c r="X162" i="19"/>
  <c r="Y162" i="19"/>
  <c r="Z162" i="19"/>
  <c r="AA162" i="19"/>
  <c r="AB162" i="19"/>
  <c r="AC162" i="19"/>
  <c r="AD162" i="19"/>
  <c r="AE162" i="19"/>
  <c r="AF162" i="19"/>
  <c r="C163" i="19"/>
  <c r="D163" i="19"/>
  <c r="E163" i="19"/>
  <c r="F163" i="19"/>
  <c r="G163" i="19"/>
  <c r="H163" i="19"/>
  <c r="I163" i="19"/>
  <c r="J163" i="19"/>
  <c r="K163" i="19"/>
  <c r="L163" i="19"/>
  <c r="M163" i="19"/>
  <c r="N163" i="19"/>
  <c r="O163" i="19"/>
  <c r="P163" i="19"/>
  <c r="Q163" i="19"/>
  <c r="R163" i="19"/>
  <c r="S163" i="19"/>
  <c r="T163" i="19"/>
  <c r="U163" i="19"/>
  <c r="V163" i="19"/>
  <c r="W163" i="19"/>
  <c r="X163" i="19"/>
  <c r="Y163" i="19"/>
  <c r="Z163" i="19"/>
  <c r="AA163" i="19"/>
  <c r="AB163" i="19"/>
  <c r="AC163" i="19"/>
  <c r="AD163" i="19"/>
  <c r="AE163" i="19"/>
  <c r="AF163" i="19"/>
  <c r="C164" i="19"/>
  <c r="D164" i="19"/>
  <c r="E164" i="19"/>
  <c r="F164" i="19"/>
  <c r="G164" i="19"/>
  <c r="H164" i="19"/>
  <c r="I164" i="19"/>
  <c r="J164" i="19"/>
  <c r="K164" i="19"/>
  <c r="L164" i="19"/>
  <c r="M164" i="19"/>
  <c r="N164" i="19"/>
  <c r="O164" i="19"/>
  <c r="P164" i="19"/>
  <c r="Q164" i="19"/>
  <c r="R164" i="19"/>
  <c r="S164" i="19"/>
  <c r="T164" i="19"/>
  <c r="U164" i="19"/>
  <c r="V164" i="19"/>
  <c r="W164" i="19"/>
  <c r="X164" i="19"/>
  <c r="Y164" i="19"/>
  <c r="Z164" i="19"/>
  <c r="AA164" i="19"/>
  <c r="AB164" i="19"/>
  <c r="AC164" i="19"/>
  <c r="AD164" i="19"/>
  <c r="AE164" i="19"/>
  <c r="AF164" i="19"/>
  <c r="C165" i="19"/>
  <c r="D165" i="19"/>
  <c r="E165" i="19"/>
  <c r="F165" i="19"/>
  <c r="G165" i="19"/>
  <c r="H165" i="19"/>
  <c r="I165" i="19"/>
  <c r="J165" i="19"/>
  <c r="K165" i="19"/>
  <c r="L165" i="19"/>
  <c r="M165" i="19"/>
  <c r="N165" i="19"/>
  <c r="O165" i="19"/>
  <c r="P165" i="19"/>
  <c r="Q165" i="19"/>
  <c r="R165" i="19"/>
  <c r="S165" i="19"/>
  <c r="T165" i="19"/>
  <c r="U165" i="19"/>
  <c r="V165" i="19"/>
  <c r="W165" i="19"/>
  <c r="X165" i="19"/>
  <c r="Y165" i="19"/>
  <c r="Z165" i="19"/>
  <c r="AA165" i="19"/>
  <c r="AB165" i="19"/>
  <c r="AC165" i="19"/>
  <c r="AD165" i="19"/>
  <c r="AE165" i="19"/>
  <c r="AF165" i="19"/>
  <c r="C166" i="19"/>
  <c r="D166" i="19"/>
  <c r="E166" i="19"/>
  <c r="F166" i="19"/>
  <c r="G166" i="19"/>
  <c r="H166" i="19"/>
  <c r="I166" i="19"/>
  <c r="J166" i="19"/>
  <c r="K166" i="19"/>
  <c r="L166" i="19"/>
  <c r="M166" i="19"/>
  <c r="N166" i="19"/>
  <c r="O166" i="19"/>
  <c r="P166" i="19"/>
  <c r="Q166" i="19"/>
  <c r="R166" i="19"/>
  <c r="S166" i="19"/>
  <c r="T166" i="19"/>
  <c r="U166" i="19"/>
  <c r="V166" i="19"/>
  <c r="W166" i="19"/>
  <c r="X166" i="19"/>
  <c r="Y166" i="19"/>
  <c r="Z166" i="19"/>
  <c r="AA166" i="19"/>
  <c r="AB166" i="19"/>
  <c r="AC166" i="19"/>
  <c r="AD166" i="19"/>
  <c r="AE166" i="19"/>
  <c r="AF166" i="19"/>
  <c r="C167" i="19"/>
  <c r="D167" i="19"/>
  <c r="E167" i="19"/>
  <c r="F167" i="19"/>
  <c r="G167" i="19"/>
  <c r="H167" i="19"/>
  <c r="I167" i="19"/>
  <c r="J167" i="19"/>
  <c r="K167" i="19"/>
  <c r="L167" i="19"/>
  <c r="M167" i="19"/>
  <c r="N167" i="19"/>
  <c r="O167" i="19"/>
  <c r="P167" i="19"/>
  <c r="Q167" i="19"/>
  <c r="R167" i="19"/>
  <c r="S167" i="19"/>
  <c r="T167" i="19"/>
  <c r="U167" i="19"/>
  <c r="V167" i="19"/>
  <c r="W167" i="19"/>
  <c r="X167" i="19"/>
  <c r="Y167" i="19"/>
  <c r="Z167" i="19"/>
  <c r="AA167" i="19"/>
  <c r="AB167" i="19"/>
  <c r="AC167" i="19"/>
  <c r="AD167" i="19"/>
  <c r="AE167" i="19"/>
  <c r="AF167" i="19"/>
  <c r="C168" i="19"/>
  <c r="D168" i="19"/>
  <c r="E168" i="19"/>
  <c r="F168" i="19"/>
  <c r="G168" i="19"/>
  <c r="H168" i="19"/>
  <c r="I168" i="19"/>
  <c r="J168" i="19"/>
  <c r="K168" i="19"/>
  <c r="L168" i="19"/>
  <c r="M168" i="19"/>
  <c r="N168" i="19"/>
  <c r="O168" i="19"/>
  <c r="P168" i="19"/>
  <c r="Q168" i="19"/>
  <c r="R168" i="19"/>
  <c r="S168" i="19"/>
  <c r="T168" i="19"/>
  <c r="U168" i="19"/>
  <c r="V168" i="19"/>
  <c r="W168" i="19"/>
  <c r="X168" i="19"/>
  <c r="Y168" i="19"/>
  <c r="Z168" i="19"/>
  <c r="AA168" i="19"/>
  <c r="AB168" i="19"/>
  <c r="AC168" i="19"/>
  <c r="AD168" i="19"/>
  <c r="AE168" i="19"/>
  <c r="AF168" i="19"/>
  <c r="C169" i="19"/>
  <c r="D169" i="19"/>
  <c r="E169" i="19"/>
  <c r="F169" i="19"/>
  <c r="G169" i="19"/>
  <c r="H169" i="19"/>
  <c r="I169" i="19"/>
  <c r="J169" i="19"/>
  <c r="K169" i="19"/>
  <c r="L169" i="19"/>
  <c r="M169" i="19"/>
  <c r="N169" i="19"/>
  <c r="O169" i="19"/>
  <c r="P169" i="19"/>
  <c r="Q169" i="19"/>
  <c r="R169" i="19"/>
  <c r="S169" i="19"/>
  <c r="T169" i="19"/>
  <c r="U169" i="19"/>
  <c r="V169" i="19"/>
  <c r="W169" i="19"/>
  <c r="X169" i="19"/>
  <c r="Y169" i="19"/>
  <c r="Z169" i="19"/>
  <c r="AA169" i="19"/>
  <c r="AB169" i="19"/>
  <c r="AC169" i="19"/>
  <c r="AD169" i="19"/>
  <c r="AE169" i="19"/>
  <c r="AF169" i="19"/>
  <c r="C170" i="19"/>
  <c r="D170" i="19"/>
  <c r="E170" i="19"/>
  <c r="F170" i="19"/>
  <c r="G170" i="19"/>
  <c r="H170" i="19"/>
  <c r="I170" i="19"/>
  <c r="J170" i="19"/>
  <c r="K170" i="19"/>
  <c r="L170" i="19"/>
  <c r="M170" i="19"/>
  <c r="N170" i="19"/>
  <c r="O170" i="19"/>
  <c r="P170" i="19"/>
  <c r="Q170" i="19"/>
  <c r="R170" i="19"/>
  <c r="S170" i="19"/>
  <c r="T170" i="19"/>
  <c r="U170" i="19"/>
  <c r="V170" i="19"/>
  <c r="W170" i="19"/>
  <c r="X170" i="19"/>
  <c r="Y170" i="19"/>
  <c r="Z170" i="19"/>
  <c r="AA170" i="19"/>
  <c r="AB170" i="19"/>
  <c r="AC170" i="19"/>
  <c r="AD170" i="19"/>
  <c r="AE170" i="19"/>
  <c r="AF170" i="19"/>
  <c r="C171" i="19"/>
  <c r="D171" i="19"/>
  <c r="E171" i="19"/>
  <c r="F171" i="19"/>
  <c r="G171" i="19"/>
  <c r="H171" i="19"/>
  <c r="I171" i="19"/>
  <c r="J171" i="19"/>
  <c r="K171" i="19"/>
  <c r="L171" i="19"/>
  <c r="M171" i="19"/>
  <c r="N171" i="19"/>
  <c r="O171" i="19"/>
  <c r="P171" i="19"/>
  <c r="Q171" i="19"/>
  <c r="R171" i="19"/>
  <c r="S171" i="19"/>
  <c r="T171" i="19"/>
  <c r="U171" i="19"/>
  <c r="V171" i="19"/>
  <c r="W171" i="19"/>
  <c r="X171" i="19"/>
  <c r="Y171" i="19"/>
  <c r="Z171" i="19"/>
  <c r="AA171" i="19"/>
  <c r="AB171" i="19"/>
  <c r="AC171" i="19"/>
  <c r="AD171" i="19"/>
  <c r="AE171" i="19"/>
  <c r="AF171" i="19"/>
  <c r="C172" i="19"/>
  <c r="D172" i="19"/>
  <c r="E172" i="19"/>
  <c r="F172" i="19"/>
  <c r="G172" i="19"/>
  <c r="H172" i="19"/>
  <c r="I172" i="19"/>
  <c r="J172" i="19"/>
  <c r="K172" i="19"/>
  <c r="L172" i="19"/>
  <c r="M172" i="19"/>
  <c r="N172" i="19"/>
  <c r="O172" i="19"/>
  <c r="P172" i="19"/>
  <c r="Q172" i="19"/>
  <c r="R172" i="19"/>
  <c r="S172" i="19"/>
  <c r="T172" i="19"/>
  <c r="U172" i="19"/>
  <c r="V172" i="19"/>
  <c r="W172" i="19"/>
  <c r="X172" i="19"/>
  <c r="Y172" i="19"/>
  <c r="Z172" i="19"/>
  <c r="AA172" i="19"/>
  <c r="AB172" i="19"/>
  <c r="AC172" i="19"/>
  <c r="AD172" i="19"/>
  <c r="AE172" i="19"/>
  <c r="AF172" i="19"/>
  <c r="C173" i="19"/>
  <c r="D173" i="19"/>
  <c r="E173" i="19"/>
  <c r="F173" i="19"/>
  <c r="G173" i="19"/>
  <c r="H173" i="19"/>
  <c r="I173" i="19"/>
  <c r="J173" i="19"/>
  <c r="K173" i="19"/>
  <c r="L173" i="19"/>
  <c r="M173" i="19"/>
  <c r="N173" i="19"/>
  <c r="O173" i="19"/>
  <c r="P173" i="19"/>
  <c r="Q173" i="19"/>
  <c r="R173" i="19"/>
  <c r="S173" i="19"/>
  <c r="T173" i="19"/>
  <c r="U173" i="19"/>
  <c r="V173" i="19"/>
  <c r="W173" i="19"/>
  <c r="X173" i="19"/>
  <c r="Y173" i="19"/>
  <c r="Z173" i="19"/>
  <c r="AA173" i="19"/>
  <c r="AB173" i="19"/>
  <c r="AC173" i="19"/>
  <c r="AD173" i="19"/>
  <c r="AE173" i="19"/>
  <c r="AF173" i="19"/>
  <c r="C174" i="19"/>
  <c r="D174" i="19"/>
  <c r="E174" i="19"/>
  <c r="F174" i="19"/>
  <c r="G174" i="19"/>
  <c r="H174" i="19"/>
  <c r="I174" i="19"/>
  <c r="J174" i="19"/>
  <c r="K174" i="19"/>
  <c r="L174" i="19"/>
  <c r="M174" i="19"/>
  <c r="N174" i="19"/>
  <c r="O174" i="19"/>
  <c r="P174" i="19"/>
  <c r="Q174" i="19"/>
  <c r="R174" i="19"/>
  <c r="S174" i="19"/>
  <c r="T174" i="19"/>
  <c r="U174" i="19"/>
  <c r="V174" i="19"/>
  <c r="W174" i="19"/>
  <c r="X174" i="19"/>
  <c r="Y174" i="19"/>
  <c r="Z174" i="19"/>
  <c r="AA174" i="19"/>
  <c r="AB174" i="19"/>
  <c r="AC174" i="19"/>
  <c r="AD174" i="19"/>
  <c r="AE174" i="19"/>
  <c r="AF174" i="19"/>
  <c r="C175" i="19"/>
  <c r="D175" i="19"/>
  <c r="E175" i="19"/>
  <c r="F175" i="19"/>
  <c r="G175" i="19"/>
  <c r="H175" i="19"/>
  <c r="I175" i="19"/>
  <c r="J175" i="19"/>
  <c r="K175" i="19"/>
  <c r="L175" i="19"/>
  <c r="M175" i="19"/>
  <c r="N175" i="19"/>
  <c r="O175" i="19"/>
  <c r="P175" i="19"/>
  <c r="Q175" i="19"/>
  <c r="R175" i="19"/>
  <c r="S175" i="19"/>
  <c r="T175" i="19"/>
  <c r="U175" i="19"/>
  <c r="V175" i="19"/>
  <c r="W175" i="19"/>
  <c r="X175" i="19"/>
  <c r="Y175" i="19"/>
  <c r="Z175" i="19"/>
  <c r="AA175" i="19"/>
  <c r="AB175" i="19"/>
  <c r="AC175" i="19"/>
  <c r="AD175" i="19"/>
  <c r="AE175" i="19"/>
  <c r="AF175" i="19"/>
  <c r="C176" i="19"/>
  <c r="D176" i="19"/>
  <c r="E176" i="19"/>
  <c r="F176" i="19"/>
  <c r="G176" i="19"/>
  <c r="H176" i="19"/>
  <c r="I176" i="19"/>
  <c r="J176" i="19"/>
  <c r="K176" i="19"/>
  <c r="L176" i="19"/>
  <c r="M176" i="19"/>
  <c r="N176" i="19"/>
  <c r="O176" i="19"/>
  <c r="P176" i="19"/>
  <c r="Q176" i="19"/>
  <c r="R176" i="19"/>
  <c r="S176" i="19"/>
  <c r="T176" i="19"/>
  <c r="U176" i="19"/>
  <c r="V176" i="19"/>
  <c r="W176" i="19"/>
  <c r="X176" i="19"/>
  <c r="Y176" i="19"/>
  <c r="Z176" i="19"/>
  <c r="AA176" i="19"/>
  <c r="AB176" i="19"/>
  <c r="AC176" i="19"/>
  <c r="AD176" i="19"/>
  <c r="AE176" i="19"/>
  <c r="AF176" i="19"/>
  <c r="C177" i="19"/>
  <c r="D177" i="19"/>
  <c r="E177" i="19"/>
  <c r="F177" i="19"/>
  <c r="G177" i="19"/>
  <c r="H177" i="19"/>
  <c r="I177" i="19"/>
  <c r="J177" i="19"/>
  <c r="K177" i="19"/>
  <c r="L177" i="19"/>
  <c r="M177" i="19"/>
  <c r="N177" i="19"/>
  <c r="O177" i="19"/>
  <c r="P177" i="19"/>
  <c r="Q177" i="19"/>
  <c r="R177" i="19"/>
  <c r="S177" i="19"/>
  <c r="T177" i="19"/>
  <c r="U177" i="19"/>
  <c r="V177" i="19"/>
  <c r="W177" i="19"/>
  <c r="X177" i="19"/>
  <c r="Y177" i="19"/>
  <c r="Z177" i="19"/>
  <c r="AA177" i="19"/>
  <c r="AB177" i="19"/>
  <c r="AC177" i="19"/>
  <c r="AD177" i="19"/>
  <c r="AE177" i="19"/>
  <c r="AF177" i="19"/>
  <c r="C178" i="19"/>
  <c r="D178" i="19"/>
  <c r="E178" i="19"/>
  <c r="F178" i="19"/>
  <c r="G178" i="19"/>
  <c r="H178" i="19"/>
  <c r="I178" i="19"/>
  <c r="J178" i="19"/>
  <c r="K178" i="19"/>
  <c r="L178" i="19"/>
  <c r="M178" i="19"/>
  <c r="N178" i="19"/>
  <c r="O178" i="19"/>
  <c r="P178" i="19"/>
  <c r="Q178" i="19"/>
  <c r="R178" i="19"/>
  <c r="S178" i="19"/>
  <c r="T178" i="19"/>
  <c r="U178" i="19"/>
  <c r="V178" i="19"/>
  <c r="W178" i="19"/>
  <c r="X178" i="19"/>
  <c r="Y178" i="19"/>
  <c r="Z178" i="19"/>
  <c r="AA178" i="19"/>
  <c r="AB178" i="19"/>
  <c r="AC178" i="19"/>
  <c r="AD178" i="19"/>
  <c r="AE178" i="19"/>
  <c r="AF178" i="19"/>
  <c r="C179" i="19"/>
  <c r="D179" i="19"/>
  <c r="E179" i="19"/>
  <c r="F179" i="19"/>
  <c r="G179" i="19"/>
  <c r="H179" i="19"/>
  <c r="I179" i="19"/>
  <c r="J179" i="19"/>
  <c r="K179" i="19"/>
  <c r="L179" i="19"/>
  <c r="M179" i="19"/>
  <c r="N179" i="19"/>
  <c r="O179" i="19"/>
  <c r="P179" i="19"/>
  <c r="Q179" i="19"/>
  <c r="R179" i="19"/>
  <c r="S179" i="19"/>
  <c r="T179" i="19"/>
  <c r="U179" i="19"/>
  <c r="V179" i="19"/>
  <c r="W179" i="19"/>
  <c r="X179" i="19"/>
  <c r="Y179" i="19"/>
  <c r="Z179" i="19"/>
  <c r="AA179" i="19"/>
  <c r="AB179" i="19"/>
  <c r="AC179" i="19"/>
  <c r="AD179" i="19"/>
  <c r="AE179" i="19"/>
  <c r="AF179" i="19"/>
  <c r="C180" i="19"/>
  <c r="D180" i="19"/>
  <c r="E180" i="19"/>
  <c r="F180" i="19"/>
  <c r="G180" i="19"/>
  <c r="H180" i="19"/>
  <c r="I180" i="19"/>
  <c r="J180" i="19"/>
  <c r="K180" i="19"/>
  <c r="L180" i="19"/>
  <c r="M180" i="19"/>
  <c r="N180" i="19"/>
  <c r="O180" i="19"/>
  <c r="P180" i="19"/>
  <c r="Q180" i="19"/>
  <c r="R180" i="19"/>
  <c r="S180" i="19"/>
  <c r="T180" i="19"/>
  <c r="U180" i="19"/>
  <c r="V180" i="19"/>
  <c r="W180" i="19"/>
  <c r="X180" i="19"/>
  <c r="Y180" i="19"/>
  <c r="Z180" i="19"/>
  <c r="AA180" i="19"/>
  <c r="AB180" i="19"/>
  <c r="AC180" i="19"/>
  <c r="AD180" i="19"/>
  <c r="AE180" i="19"/>
  <c r="AF180" i="19"/>
  <c r="C181" i="19"/>
  <c r="D181" i="19"/>
  <c r="E181" i="19"/>
  <c r="F181" i="19"/>
  <c r="G181" i="19"/>
  <c r="H181" i="19"/>
  <c r="I181" i="19"/>
  <c r="J181" i="19"/>
  <c r="K181" i="19"/>
  <c r="L181" i="19"/>
  <c r="M181" i="19"/>
  <c r="N181" i="19"/>
  <c r="O181" i="19"/>
  <c r="P181" i="19"/>
  <c r="Q181" i="19"/>
  <c r="R181" i="19"/>
  <c r="S181" i="19"/>
  <c r="T181" i="19"/>
  <c r="U181" i="19"/>
  <c r="V181" i="19"/>
  <c r="W181" i="19"/>
  <c r="X181" i="19"/>
  <c r="Y181" i="19"/>
  <c r="Z181" i="19"/>
  <c r="AA181" i="19"/>
  <c r="AB181" i="19"/>
  <c r="AC181" i="19"/>
  <c r="AD181" i="19"/>
  <c r="AE181" i="19"/>
  <c r="AF181" i="19"/>
  <c r="C182" i="19"/>
  <c r="D182" i="19"/>
  <c r="E182" i="19"/>
  <c r="F182" i="19"/>
  <c r="G182" i="19"/>
  <c r="H182" i="19"/>
  <c r="I182" i="19"/>
  <c r="J182" i="19"/>
  <c r="K182" i="19"/>
  <c r="L182" i="19"/>
  <c r="M182" i="19"/>
  <c r="N182" i="19"/>
  <c r="O182" i="19"/>
  <c r="P182" i="19"/>
  <c r="Q182" i="19"/>
  <c r="R182" i="19"/>
  <c r="S182" i="19"/>
  <c r="T182" i="19"/>
  <c r="U182" i="19"/>
  <c r="V182" i="19"/>
  <c r="W182" i="19"/>
  <c r="X182" i="19"/>
  <c r="Y182" i="19"/>
  <c r="Z182" i="19"/>
  <c r="AA182" i="19"/>
  <c r="AB182" i="19"/>
  <c r="AC182" i="19"/>
  <c r="AD182" i="19"/>
  <c r="AE182" i="19"/>
  <c r="AF182" i="19"/>
  <c r="C183" i="19"/>
  <c r="D183" i="19"/>
  <c r="E183" i="19"/>
  <c r="F183" i="19"/>
  <c r="G183" i="19"/>
  <c r="H183" i="19"/>
  <c r="I183" i="19"/>
  <c r="J183" i="19"/>
  <c r="K183" i="19"/>
  <c r="L183" i="19"/>
  <c r="M183" i="19"/>
  <c r="N183" i="19"/>
  <c r="O183" i="19"/>
  <c r="P183" i="19"/>
  <c r="Q183" i="19"/>
  <c r="R183" i="19"/>
  <c r="S183" i="19"/>
  <c r="T183" i="19"/>
  <c r="U183" i="19"/>
  <c r="V183" i="19"/>
  <c r="W183" i="19"/>
  <c r="X183" i="19"/>
  <c r="Y183" i="19"/>
  <c r="Z183" i="19"/>
  <c r="AA183" i="19"/>
  <c r="AB183" i="19"/>
  <c r="AC183" i="19"/>
  <c r="AD183" i="19"/>
  <c r="AE183" i="19"/>
  <c r="AF183" i="19"/>
  <c r="C184" i="19"/>
  <c r="D184" i="19"/>
  <c r="E184" i="19"/>
  <c r="F184" i="19"/>
  <c r="G184" i="19"/>
  <c r="H184" i="19"/>
  <c r="I184" i="19"/>
  <c r="J184" i="19"/>
  <c r="K184" i="19"/>
  <c r="L184" i="19"/>
  <c r="M184" i="19"/>
  <c r="N184" i="19"/>
  <c r="O184" i="19"/>
  <c r="P184" i="19"/>
  <c r="Q184" i="19"/>
  <c r="R184" i="19"/>
  <c r="S184" i="19"/>
  <c r="T184" i="19"/>
  <c r="U184" i="19"/>
  <c r="V184" i="19"/>
  <c r="W184" i="19"/>
  <c r="X184" i="19"/>
  <c r="Y184" i="19"/>
  <c r="Z184" i="19"/>
  <c r="AA184" i="19"/>
  <c r="AB184" i="19"/>
  <c r="AC184" i="19"/>
  <c r="AD184" i="19"/>
  <c r="AE184" i="19"/>
  <c r="AF184" i="19"/>
  <c r="C185" i="19"/>
  <c r="D185" i="19"/>
  <c r="E185" i="19"/>
  <c r="F185" i="19"/>
  <c r="G185" i="19"/>
  <c r="H185" i="19"/>
  <c r="I185" i="19"/>
  <c r="J185" i="19"/>
  <c r="K185" i="19"/>
  <c r="L185" i="19"/>
  <c r="M185" i="19"/>
  <c r="N185" i="19"/>
  <c r="O185" i="19"/>
  <c r="P185" i="19"/>
  <c r="Q185" i="19"/>
  <c r="R185" i="19"/>
  <c r="S185" i="19"/>
  <c r="T185" i="19"/>
  <c r="U185" i="19"/>
  <c r="V185" i="19"/>
  <c r="W185" i="19"/>
  <c r="X185" i="19"/>
  <c r="Y185" i="19"/>
  <c r="Z185" i="19"/>
  <c r="AA185" i="19"/>
  <c r="AB185" i="19"/>
  <c r="AC185" i="19"/>
  <c r="AD185" i="19"/>
  <c r="AE185" i="19"/>
  <c r="AF185" i="19"/>
  <c r="C186" i="19"/>
  <c r="D186" i="19"/>
  <c r="E186" i="19"/>
  <c r="F186" i="19"/>
  <c r="G186" i="19"/>
  <c r="H186" i="19"/>
  <c r="I186" i="19"/>
  <c r="J186" i="19"/>
  <c r="K186" i="19"/>
  <c r="L186" i="19"/>
  <c r="M186" i="19"/>
  <c r="N186" i="19"/>
  <c r="O186" i="19"/>
  <c r="P186" i="19"/>
  <c r="Q186" i="19"/>
  <c r="R186" i="19"/>
  <c r="S186" i="19"/>
  <c r="T186" i="19"/>
  <c r="U186" i="19"/>
  <c r="V186" i="19"/>
  <c r="W186" i="19"/>
  <c r="X186" i="19"/>
  <c r="Y186" i="19"/>
  <c r="Z186" i="19"/>
  <c r="AA186" i="19"/>
  <c r="AB186" i="19"/>
  <c r="AC186" i="19"/>
  <c r="AD186" i="19"/>
  <c r="AE186" i="19"/>
  <c r="AF186" i="19"/>
  <c r="C187" i="19"/>
  <c r="D187" i="19"/>
  <c r="E187" i="19"/>
  <c r="F187" i="19"/>
  <c r="G187" i="19"/>
  <c r="H187" i="19"/>
  <c r="I187" i="19"/>
  <c r="J187" i="19"/>
  <c r="K187" i="19"/>
  <c r="L187" i="19"/>
  <c r="M187" i="19"/>
  <c r="N187" i="19"/>
  <c r="O187" i="19"/>
  <c r="P187" i="19"/>
  <c r="Q187" i="19"/>
  <c r="R187" i="19"/>
  <c r="S187" i="19"/>
  <c r="T187" i="19"/>
  <c r="U187" i="19"/>
  <c r="V187" i="19"/>
  <c r="W187" i="19"/>
  <c r="X187" i="19"/>
  <c r="Y187" i="19"/>
  <c r="Z187" i="19"/>
  <c r="AA187" i="19"/>
  <c r="AB187" i="19"/>
  <c r="AC187" i="19"/>
  <c r="AD187" i="19"/>
  <c r="AE187" i="19"/>
  <c r="AF187" i="19"/>
  <c r="C188" i="19"/>
  <c r="D188" i="19"/>
  <c r="E188" i="19"/>
  <c r="F188" i="19"/>
  <c r="G188" i="19"/>
  <c r="H188" i="19"/>
  <c r="I188" i="19"/>
  <c r="J188" i="19"/>
  <c r="K188" i="19"/>
  <c r="L188" i="19"/>
  <c r="M188" i="19"/>
  <c r="N188" i="19"/>
  <c r="O188" i="19"/>
  <c r="P188" i="19"/>
  <c r="Q188" i="19"/>
  <c r="R188" i="19"/>
  <c r="S188" i="19"/>
  <c r="T188" i="19"/>
  <c r="U188" i="19"/>
  <c r="V188" i="19"/>
  <c r="W188" i="19"/>
  <c r="X188" i="19"/>
  <c r="Y188" i="19"/>
  <c r="Z188" i="19"/>
  <c r="AA188" i="19"/>
  <c r="AB188" i="19"/>
  <c r="AC188" i="19"/>
  <c r="AD188" i="19"/>
  <c r="AE188" i="19"/>
  <c r="AF188" i="19"/>
  <c r="C189" i="19"/>
  <c r="D189" i="19"/>
  <c r="E189" i="19"/>
  <c r="F189" i="19"/>
  <c r="G189" i="19"/>
  <c r="H189" i="19"/>
  <c r="I189" i="19"/>
  <c r="J189" i="19"/>
  <c r="K189" i="19"/>
  <c r="L189" i="19"/>
  <c r="M189" i="19"/>
  <c r="N189" i="19"/>
  <c r="O189" i="19"/>
  <c r="P189" i="19"/>
  <c r="Q189" i="19"/>
  <c r="R189" i="19"/>
  <c r="S189" i="19"/>
  <c r="T189" i="19"/>
  <c r="U189" i="19"/>
  <c r="V189" i="19"/>
  <c r="W189" i="19"/>
  <c r="X189" i="19"/>
  <c r="Y189" i="19"/>
  <c r="Z189" i="19"/>
  <c r="AA189" i="19"/>
  <c r="AB189" i="19"/>
  <c r="AC189" i="19"/>
  <c r="AD189" i="19"/>
  <c r="AE189" i="19"/>
  <c r="AF189" i="19"/>
  <c r="C190" i="19"/>
  <c r="D190" i="19"/>
  <c r="E190" i="19"/>
  <c r="F190" i="19"/>
  <c r="G190" i="19"/>
  <c r="H190" i="19"/>
  <c r="I190" i="19"/>
  <c r="J190" i="19"/>
  <c r="K190" i="19"/>
  <c r="L190" i="19"/>
  <c r="M190" i="19"/>
  <c r="N190" i="19"/>
  <c r="O190" i="19"/>
  <c r="P190" i="19"/>
  <c r="Q190" i="19"/>
  <c r="R190" i="19"/>
  <c r="S190" i="19"/>
  <c r="T190" i="19"/>
  <c r="U190" i="19"/>
  <c r="V190" i="19"/>
  <c r="W190" i="19"/>
  <c r="X190" i="19"/>
  <c r="Y190" i="19"/>
  <c r="Z190" i="19"/>
  <c r="AA190" i="19"/>
  <c r="AB190" i="19"/>
  <c r="AC190" i="19"/>
  <c r="AD190" i="19"/>
  <c r="AE190" i="19"/>
  <c r="AF190" i="19"/>
  <c r="C191" i="19"/>
  <c r="D191" i="19"/>
  <c r="E191" i="19"/>
  <c r="F191" i="19"/>
  <c r="G191" i="19"/>
  <c r="H191" i="19"/>
  <c r="I191" i="19"/>
  <c r="J191" i="19"/>
  <c r="K191" i="19"/>
  <c r="L191" i="19"/>
  <c r="M191" i="19"/>
  <c r="N191" i="19"/>
  <c r="O191" i="19"/>
  <c r="P191" i="19"/>
  <c r="Q191" i="19"/>
  <c r="R191" i="19"/>
  <c r="S191" i="19"/>
  <c r="T191" i="19"/>
  <c r="U191" i="19"/>
  <c r="V191" i="19"/>
  <c r="W191" i="19"/>
  <c r="X191" i="19"/>
  <c r="Y191" i="19"/>
  <c r="Z191" i="19"/>
  <c r="AA191" i="19"/>
  <c r="AB191" i="19"/>
  <c r="AC191" i="19"/>
  <c r="AD191" i="19"/>
  <c r="AE191" i="19"/>
  <c r="AF191" i="19"/>
  <c r="C192" i="19"/>
  <c r="D192" i="19"/>
  <c r="E192" i="19"/>
  <c r="F192" i="19"/>
  <c r="G192" i="19"/>
  <c r="H192" i="19"/>
  <c r="I192" i="19"/>
  <c r="J192" i="19"/>
  <c r="K192" i="19"/>
  <c r="L192" i="19"/>
  <c r="M192" i="19"/>
  <c r="N192" i="19"/>
  <c r="O192" i="19"/>
  <c r="P192" i="19"/>
  <c r="Q192" i="19"/>
  <c r="R192" i="19"/>
  <c r="S192" i="19"/>
  <c r="T192" i="19"/>
  <c r="U192" i="19"/>
  <c r="V192" i="19"/>
  <c r="W192" i="19"/>
  <c r="X192" i="19"/>
  <c r="Y192" i="19"/>
  <c r="Z192" i="19"/>
  <c r="AA192" i="19"/>
  <c r="AB192" i="19"/>
  <c r="AC192" i="19"/>
  <c r="AD192" i="19"/>
  <c r="AE192" i="19"/>
  <c r="AF192" i="19"/>
  <c r="C193" i="19"/>
  <c r="D193" i="19"/>
  <c r="E193" i="19"/>
  <c r="F193" i="19"/>
  <c r="G193" i="19"/>
  <c r="H193" i="19"/>
  <c r="I193" i="19"/>
  <c r="J193" i="19"/>
  <c r="K193" i="19"/>
  <c r="L193" i="19"/>
  <c r="M193" i="19"/>
  <c r="N193" i="19"/>
  <c r="O193" i="19"/>
  <c r="P193" i="19"/>
  <c r="Q193" i="19"/>
  <c r="R193" i="19"/>
  <c r="S193" i="19"/>
  <c r="T193" i="19"/>
  <c r="U193" i="19"/>
  <c r="V193" i="19"/>
  <c r="W193" i="19"/>
  <c r="X193" i="19"/>
  <c r="Y193" i="19"/>
  <c r="Z193" i="19"/>
  <c r="AA193" i="19"/>
  <c r="AB193" i="19"/>
  <c r="AC193" i="19"/>
  <c r="AD193" i="19"/>
  <c r="AE193" i="19"/>
  <c r="AF193" i="19"/>
  <c r="C194" i="19"/>
  <c r="D194" i="19"/>
  <c r="E194" i="19"/>
  <c r="F194" i="19"/>
  <c r="G194" i="19"/>
  <c r="H194" i="19"/>
  <c r="I194" i="19"/>
  <c r="J194" i="19"/>
  <c r="K194" i="19"/>
  <c r="L194" i="19"/>
  <c r="M194" i="19"/>
  <c r="N194" i="19"/>
  <c r="O194" i="19"/>
  <c r="P194" i="19"/>
  <c r="Q194" i="19"/>
  <c r="R194" i="19"/>
  <c r="S194" i="19"/>
  <c r="T194" i="19"/>
  <c r="U194" i="19"/>
  <c r="V194" i="19"/>
  <c r="W194" i="19"/>
  <c r="X194" i="19"/>
  <c r="Y194" i="19"/>
  <c r="Z194" i="19"/>
  <c r="AA194" i="19"/>
  <c r="AB194" i="19"/>
  <c r="AC194" i="19"/>
  <c r="AD194" i="19"/>
  <c r="AE194" i="19"/>
  <c r="AF194" i="19"/>
  <c r="C195" i="19"/>
  <c r="D195" i="19"/>
  <c r="E195" i="19"/>
  <c r="F195" i="19"/>
  <c r="G195" i="19"/>
  <c r="H195" i="19"/>
  <c r="I195" i="19"/>
  <c r="J195" i="19"/>
  <c r="K195" i="19"/>
  <c r="L195" i="19"/>
  <c r="M195" i="19"/>
  <c r="N195" i="19"/>
  <c r="O195" i="19"/>
  <c r="P195" i="19"/>
  <c r="Q195" i="19"/>
  <c r="R195" i="19"/>
  <c r="S195" i="19"/>
  <c r="T195" i="19"/>
  <c r="U195" i="19"/>
  <c r="V195" i="19"/>
  <c r="W195" i="19"/>
  <c r="X195" i="19"/>
  <c r="Y195" i="19"/>
  <c r="Z195" i="19"/>
  <c r="AA195" i="19"/>
  <c r="AB195" i="19"/>
  <c r="AC195" i="19"/>
  <c r="AD195" i="19"/>
  <c r="AE195" i="19"/>
  <c r="AF195" i="19"/>
  <c r="C196" i="19"/>
  <c r="D196" i="19"/>
  <c r="E196" i="19"/>
  <c r="F196" i="19"/>
  <c r="G196" i="19"/>
  <c r="H196" i="19"/>
  <c r="I196" i="19"/>
  <c r="J196" i="19"/>
  <c r="K196" i="19"/>
  <c r="L196" i="19"/>
  <c r="M196" i="19"/>
  <c r="N196" i="19"/>
  <c r="O196" i="19"/>
  <c r="P196" i="19"/>
  <c r="Q196" i="19"/>
  <c r="R196" i="19"/>
  <c r="S196" i="19"/>
  <c r="T196" i="19"/>
  <c r="U196" i="19"/>
  <c r="V196" i="19"/>
  <c r="W196" i="19"/>
  <c r="X196" i="19"/>
  <c r="Y196" i="19"/>
  <c r="Z196" i="19"/>
  <c r="AA196" i="19"/>
  <c r="AB196" i="19"/>
  <c r="AC196" i="19"/>
  <c r="AD196" i="19"/>
  <c r="AE196" i="19"/>
  <c r="AF196" i="19"/>
  <c r="C197" i="19"/>
  <c r="D197" i="19"/>
  <c r="E197" i="19"/>
  <c r="F197" i="19"/>
  <c r="G197" i="19"/>
  <c r="H197" i="19"/>
  <c r="I197" i="19"/>
  <c r="J197" i="19"/>
  <c r="K197" i="19"/>
  <c r="L197" i="19"/>
  <c r="M197" i="19"/>
  <c r="N197" i="19"/>
  <c r="O197" i="19"/>
  <c r="P197" i="19"/>
  <c r="Q197" i="19"/>
  <c r="R197" i="19"/>
  <c r="S197" i="19"/>
  <c r="T197" i="19"/>
  <c r="U197" i="19"/>
  <c r="V197" i="19"/>
  <c r="W197" i="19"/>
  <c r="X197" i="19"/>
  <c r="Y197" i="19"/>
  <c r="Z197" i="19"/>
  <c r="AA197" i="19"/>
  <c r="AB197" i="19"/>
  <c r="AC197" i="19"/>
  <c r="AD197" i="19"/>
  <c r="AE197" i="19"/>
  <c r="AF197" i="19"/>
  <c r="C198" i="19"/>
  <c r="D198" i="19"/>
  <c r="E198" i="19"/>
  <c r="F198" i="19"/>
  <c r="G198" i="19"/>
  <c r="H198" i="19"/>
  <c r="I198" i="19"/>
  <c r="J198" i="19"/>
  <c r="K198" i="19"/>
  <c r="L198" i="19"/>
  <c r="M198" i="19"/>
  <c r="N198" i="19"/>
  <c r="O198" i="19"/>
  <c r="P198" i="19"/>
  <c r="Q198" i="19"/>
  <c r="R198" i="19"/>
  <c r="S198" i="19"/>
  <c r="T198" i="19"/>
  <c r="U198" i="19"/>
  <c r="V198" i="19"/>
  <c r="W198" i="19"/>
  <c r="X198" i="19"/>
  <c r="Y198" i="19"/>
  <c r="Z198" i="19"/>
  <c r="AA198" i="19"/>
  <c r="AB198" i="19"/>
  <c r="AC198" i="19"/>
  <c r="AD198" i="19"/>
  <c r="AE198" i="19"/>
  <c r="AF198" i="19"/>
  <c r="C199" i="19"/>
  <c r="D199" i="19"/>
  <c r="E199" i="19"/>
  <c r="F199" i="19"/>
  <c r="G199" i="19"/>
  <c r="H199" i="19"/>
  <c r="I199" i="19"/>
  <c r="J199" i="19"/>
  <c r="K199" i="19"/>
  <c r="L199" i="19"/>
  <c r="M199" i="19"/>
  <c r="N199" i="19"/>
  <c r="O199" i="19"/>
  <c r="P199" i="19"/>
  <c r="Q199" i="19"/>
  <c r="R199" i="19"/>
  <c r="S199" i="19"/>
  <c r="T199" i="19"/>
  <c r="U199" i="19"/>
  <c r="V199" i="19"/>
  <c r="W199" i="19"/>
  <c r="X199" i="19"/>
  <c r="Y199" i="19"/>
  <c r="Z199" i="19"/>
  <c r="AA199" i="19"/>
  <c r="AB199" i="19"/>
  <c r="AC199" i="19"/>
  <c r="AD199" i="19"/>
  <c r="AE199" i="19"/>
  <c r="AF199" i="19"/>
  <c r="C200" i="19"/>
  <c r="D200" i="19"/>
  <c r="E200" i="19"/>
  <c r="F200" i="19"/>
  <c r="G200" i="19"/>
  <c r="H200" i="19"/>
  <c r="I200" i="19"/>
  <c r="J200" i="19"/>
  <c r="K200" i="19"/>
  <c r="L200" i="19"/>
  <c r="M200" i="19"/>
  <c r="N200" i="19"/>
  <c r="O200" i="19"/>
  <c r="P200" i="19"/>
  <c r="Q200" i="19"/>
  <c r="R200" i="19"/>
  <c r="S200" i="19"/>
  <c r="T200" i="19"/>
  <c r="U200" i="19"/>
  <c r="V200" i="19"/>
  <c r="W200" i="19"/>
  <c r="X200" i="19"/>
  <c r="Y200" i="19"/>
  <c r="Z200" i="19"/>
  <c r="AA200" i="19"/>
  <c r="AB200" i="19"/>
  <c r="AC200" i="19"/>
  <c r="AD200" i="19"/>
  <c r="AE200" i="19"/>
  <c r="AF200" i="19"/>
  <c r="C201" i="19"/>
  <c r="D201" i="19"/>
  <c r="E201" i="19"/>
  <c r="F201" i="19"/>
  <c r="G201" i="19"/>
  <c r="H201" i="19"/>
  <c r="I201" i="19"/>
  <c r="J201" i="19"/>
  <c r="K201" i="19"/>
  <c r="L201" i="19"/>
  <c r="M201" i="19"/>
  <c r="N201" i="19"/>
  <c r="O201" i="19"/>
  <c r="P201" i="19"/>
  <c r="Q201" i="19"/>
  <c r="R201" i="19"/>
  <c r="S201" i="19"/>
  <c r="T201" i="19"/>
  <c r="U201" i="19"/>
  <c r="V201" i="19"/>
  <c r="W201" i="19"/>
  <c r="X201" i="19"/>
  <c r="Y201" i="19"/>
  <c r="Z201" i="19"/>
  <c r="AA201" i="19"/>
  <c r="AB201" i="19"/>
  <c r="AC201" i="19"/>
  <c r="AD201" i="19"/>
  <c r="AE201" i="19"/>
  <c r="AF201" i="19"/>
  <c r="C202" i="19"/>
  <c r="D202" i="19"/>
  <c r="E202" i="19"/>
  <c r="F202" i="19"/>
  <c r="G202" i="19"/>
  <c r="H202" i="19"/>
  <c r="I202" i="19"/>
  <c r="J202" i="19"/>
  <c r="K202" i="19"/>
  <c r="L202" i="19"/>
  <c r="M202" i="19"/>
  <c r="N202" i="19"/>
  <c r="O202" i="19"/>
  <c r="P202" i="19"/>
  <c r="Q202" i="19"/>
  <c r="R202" i="19"/>
  <c r="S202" i="19"/>
  <c r="T202" i="19"/>
  <c r="U202" i="19"/>
  <c r="V202" i="19"/>
  <c r="W202" i="19"/>
  <c r="X202" i="19"/>
  <c r="Y202" i="19"/>
  <c r="Z202" i="19"/>
  <c r="AA202" i="19"/>
  <c r="AB202" i="19"/>
  <c r="AC202" i="19"/>
  <c r="AD202" i="19"/>
  <c r="AE202" i="19"/>
  <c r="AF202" i="19"/>
  <c r="C203" i="19"/>
  <c r="D203" i="19"/>
  <c r="E203" i="19"/>
  <c r="F203" i="19"/>
  <c r="G203" i="19"/>
  <c r="H203" i="19"/>
  <c r="I203" i="19"/>
  <c r="J203" i="19"/>
  <c r="K203" i="19"/>
  <c r="L203" i="19"/>
  <c r="M203" i="19"/>
  <c r="N203" i="19"/>
  <c r="O203" i="19"/>
  <c r="P203" i="19"/>
  <c r="Q203" i="19"/>
  <c r="R203" i="19"/>
  <c r="S203" i="19"/>
  <c r="T203" i="19"/>
  <c r="U203" i="19"/>
  <c r="V203" i="19"/>
  <c r="W203" i="19"/>
  <c r="X203" i="19"/>
  <c r="Y203" i="19"/>
  <c r="Z203" i="19"/>
  <c r="AA203" i="19"/>
  <c r="AB203" i="19"/>
  <c r="AC203" i="19"/>
  <c r="AD203" i="19"/>
  <c r="AE203" i="19"/>
  <c r="AF203" i="19"/>
  <c r="C204" i="19"/>
  <c r="D204" i="19"/>
  <c r="E204" i="19"/>
  <c r="F204" i="19"/>
  <c r="G204" i="19"/>
  <c r="H204" i="19"/>
  <c r="I204" i="19"/>
  <c r="J204" i="19"/>
  <c r="K204" i="19"/>
  <c r="L204" i="19"/>
  <c r="M204" i="19"/>
  <c r="N204" i="19"/>
  <c r="O204" i="19"/>
  <c r="P204" i="19"/>
  <c r="Q204" i="19"/>
  <c r="R204" i="19"/>
  <c r="S204" i="19"/>
  <c r="T204" i="19"/>
  <c r="U204" i="19"/>
  <c r="V204" i="19"/>
  <c r="W204" i="19"/>
  <c r="X204" i="19"/>
  <c r="Y204" i="19"/>
  <c r="Z204" i="19"/>
  <c r="AA204" i="19"/>
  <c r="AB204" i="19"/>
  <c r="AC204" i="19"/>
  <c r="AD204" i="19"/>
  <c r="AE204" i="19"/>
  <c r="AF204" i="19"/>
  <c r="C205" i="19"/>
  <c r="D205" i="19"/>
  <c r="E205" i="19"/>
  <c r="F205" i="19"/>
  <c r="G205" i="19"/>
  <c r="H205" i="19"/>
  <c r="I205" i="19"/>
  <c r="J205" i="19"/>
  <c r="K205" i="19"/>
  <c r="L205" i="19"/>
  <c r="M205" i="19"/>
  <c r="N205" i="19"/>
  <c r="O205" i="19"/>
  <c r="P205" i="19"/>
  <c r="Q205" i="19"/>
  <c r="R205" i="19"/>
  <c r="S205" i="19"/>
  <c r="T205" i="19"/>
  <c r="U205" i="19"/>
  <c r="V205" i="19"/>
  <c r="W205" i="19"/>
  <c r="X205" i="19"/>
  <c r="Y205" i="19"/>
  <c r="Z205" i="19"/>
  <c r="AA205" i="19"/>
  <c r="AB205" i="19"/>
  <c r="AC205" i="19"/>
  <c r="AD205" i="19"/>
  <c r="AE205" i="19"/>
  <c r="AF205" i="19"/>
  <c r="C206" i="19"/>
  <c r="D206" i="19"/>
  <c r="E206" i="19"/>
  <c r="F206" i="19"/>
  <c r="G206" i="19"/>
  <c r="H206" i="19"/>
  <c r="I206" i="19"/>
  <c r="J206" i="19"/>
  <c r="K206" i="19"/>
  <c r="L206" i="19"/>
  <c r="M206" i="19"/>
  <c r="N206" i="19"/>
  <c r="O206" i="19"/>
  <c r="P206" i="19"/>
  <c r="Q206" i="19"/>
  <c r="R206" i="19"/>
  <c r="S206" i="19"/>
  <c r="T206" i="19"/>
  <c r="U206" i="19"/>
  <c r="V206" i="19"/>
  <c r="W206" i="19"/>
  <c r="X206" i="19"/>
  <c r="Y206" i="19"/>
  <c r="Z206" i="19"/>
  <c r="AA206" i="19"/>
  <c r="AB206" i="19"/>
  <c r="AC206" i="19"/>
  <c r="AD206" i="19"/>
  <c r="AE206" i="19"/>
  <c r="AF206" i="19"/>
  <c r="C207" i="19"/>
  <c r="D207" i="19"/>
  <c r="E207" i="19"/>
  <c r="F207" i="19"/>
  <c r="G207" i="19"/>
  <c r="H207" i="19"/>
  <c r="I207" i="19"/>
  <c r="J207" i="19"/>
  <c r="K207" i="19"/>
  <c r="L207" i="19"/>
  <c r="M207" i="19"/>
  <c r="N207" i="19"/>
  <c r="O207" i="19"/>
  <c r="P207" i="19"/>
  <c r="Q207" i="19"/>
  <c r="R207" i="19"/>
  <c r="S207" i="19"/>
  <c r="T207" i="19"/>
  <c r="U207" i="19"/>
  <c r="V207" i="19"/>
  <c r="W207" i="19"/>
  <c r="X207" i="19"/>
  <c r="Y207" i="19"/>
  <c r="Z207" i="19"/>
  <c r="AA207" i="19"/>
  <c r="AB207" i="19"/>
  <c r="AC207" i="19"/>
  <c r="AD207" i="19"/>
  <c r="AE207" i="19"/>
  <c r="AF207" i="19"/>
  <c r="C208" i="19"/>
  <c r="D208" i="19"/>
  <c r="E208" i="19"/>
  <c r="F208" i="19"/>
  <c r="G208" i="19"/>
  <c r="H208" i="19"/>
  <c r="I208" i="19"/>
  <c r="J208" i="19"/>
  <c r="K208" i="19"/>
  <c r="L208" i="19"/>
  <c r="M208" i="19"/>
  <c r="N208" i="19"/>
  <c r="O208" i="19"/>
  <c r="P208" i="19"/>
  <c r="Q208" i="19"/>
  <c r="R208" i="19"/>
  <c r="S208" i="19"/>
  <c r="T208" i="19"/>
  <c r="U208" i="19"/>
  <c r="V208" i="19"/>
  <c r="W208" i="19"/>
  <c r="X208" i="19"/>
  <c r="Y208" i="19"/>
  <c r="Z208" i="19"/>
  <c r="AA208" i="19"/>
  <c r="AB208" i="19"/>
  <c r="AC208" i="19"/>
  <c r="AD208" i="19"/>
  <c r="AE208" i="19"/>
  <c r="AF208" i="19"/>
  <c r="C209" i="19"/>
  <c r="D209" i="19"/>
  <c r="E209" i="19"/>
  <c r="F209" i="19"/>
  <c r="G209" i="19"/>
  <c r="H209" i="19"/>
  <c r="I209" i="19"/>
  <c r="J209" i="19"/>
  <c r="K209" i="19"/>
  <c r="L209" i="19"/>
  <c r="M209" i="19"/>
  <c r="N209" i="19"/>
  <c r="O209" i="19"/>
  <c r="P209" i="19"/>
  <c r="Q209" i="19"/>
  <c r="R209" i="19"/>
  <c r="S209" i="19"/>
  <c r="T209" i="19"/>
  <c r="U209" i="19"/>
  <c r="V209" i="19"/>
  <c r="W209" i="19"/>
  <c r="X209" i="19"/>
  <c r="Y209" i="19"/>
  <c r="Z209" i="19"/>
  <c r="AA209" i="19"/>
  <c r="AB209" i="19"/>
  <c r="AC209" i="19"/>
  <c r="AD209" i="19"/>
  <c r="AE209" i="19"/>
  <c r="AF209" i="19"/>
  <c r="C210" i="19"/>
  <c r="D210" i="19"/>
  <c r="E210" i="19"/>
  <c r="F210" i="19"/>
  <c r="G210" i="19"/>
  <c r="H210" i="19"/>
  <c r="I210" i="19"/>
  <c r="J210" i="19"/>
  <c r="K210" i="19"/>
  <c r="L210" i="19"/>
  <c r="M210" i="19"/>
  <c r="N210" i="19"/>
  <c r="O210" i="19"/>
  <c r="P210" i="19"/>
  <c r="Q210" i="19"/>
  <c r="R210" i="19"/>
  <c r="S210" i="19"/>
  <c r="T210" i="19"/>
  <c r="U210" i="19"/>
  <c r="V210" i="19"/>
  <c r="W210" i="19"/>
  <c r="X210" i="19"/>
  <c r="Y210" i="19"/>
  <c r="Z210" i="19"/>
  <c r="AA210" i="19"/>
  <c r="AB210" i="19"/>
  <c r="AC210" i="19"/>
  <c r="AD210" i="19"/>
  <c r="AE210" i="19"/>
  <c r="AF210" i="19"/>
  <c r="C211" i="19"/>
  <c r="D211" i="19"/>
  <c r="E211" i="19"/>
  <c r="F211" i="19"/>
  <c r="G211" i="19"/>
  <c r="H211" i="19"/>
  <c r="I211" i="19"/>
  <c r="J211" i="19"/>
  <c r="K211" i="19"/>
  <c r="L211" i="19"/>
  <c r="M211" i="19"/>
  <c r="N211" i="19"/>
  <c r="O211" i="19"/>
  <c r="P211" i="19"/>
  <c r="Q211" i="19"/>
  <c r="R211" i="19"/>
  <c r="S211" i="19"/>
  <c r="T211" i="19"/>
  <c r="U211" i="19"/>
  <c r="V211" i="19"/>
  <c r="W211" i="19"/>
  <c r="X211" i="19"/>
  <c r="Y211" i="19"/>
  <c r="Z211" i="19"/>
  <c r="AA211" i="19"/>
  <c r="AB211" i="19"/>
  <c r="AC211" i="19"/>
  <c r="AD211" i="19"/>
  <c r="AE211" i="19"/>
  <c r="AF211" i="19"/>
  <c r="C212" i="19"/>
  <c r="D212" i="19"/>
  <c r="E212" i="19"/>
  <c r="F212" i="19"/>
  <c r="G212" i="19"/>
  <c r="H212" i="19"/>
  <c r="I212" i="19"/>
  <c r="J212" i="19"/>
  <c r="K212" i="19"/>
  <c r="L212" i="19"/>
  <c r="M212" i="19"/>
  <c r="N212" i="19"/>
  <c r="O212" i="19"/>
  <c r="P212" i="19"/>
  <c r="Q212" i="19"/>
  <c r="R212" i="19"/>
  <c r="S212" i="19"/>
  <c r="T212" i="19"/>
  <c r="U212" i="19"/>
  <c r="V212" i="19"/>
  <c r="W212" i="19"/>
  <c r="X212" i="19"/>
  <c r="Y212" i="19"/>
  <c r="Z212" i="19"/>
  <c r="AA212" i="19"/>
  <c r="AB212" i="19"/>
  <c r="AC212" i="19"/>
  <c r="AD212" i="19"/>
  <c r="AE212" i="19"/>
  <c r="AF212" i="19"/>
  <c r="C213" i="19"/>
  <c r="D213" i="19"/>
  <c r="E213" i="19"/>
  <c r="F213" i="19"/>
  <c r="G213" i="19"/>
  <c r="H213" i="19"/>
  <c r="I213" i="19"/>
  <c r="J213" i="19"/>
  <c r="K213" i="19"/>
  <c r="L213" i="19"/>
  <c r="M213" i="19"/>
  <c r="N213" i="19"/>
  <c r="O213" i="19"/>
  <c r="P213" i="19"/>
  <c r="Q213" i="19"/>
  <c r="R213" i="19"/>
  <c r="S213" i="19"/>
  <c r="T213" i="19"/>
  <c r="U213" i="19"/>
  <c r="V213" i="19"/>
  <c r="W213" i="19"/>
  <c r="X213" i="19"/>
  <c r="Y213" i="19"/>
  <c r="Z213" i="19"/>
  <c r="AA213" i="19"/>
  <c r="AB213" i="19"/>
  <c r="AC213" i="19"/>
  <c r="AD213" i="19"/>
  <c r="AE213" i="19"/>
  <c r="AF213" i="19"/>
  <c r="C214" i="19"/>
  <c r="D214" i="19"/>
  <c r="E214" i="19"/>
  <c r="F214" i="19"/>
  <c r="G214" i="19"/>
  <c r="H214" i="19"/>
  <c r="I214" i="19"/>
  <c r="J214" i="19"/>
  <c r="K214" i="19"/>
  <c r="L214" i="19"/>
  <c r="M214" i="19"/>
  <c r="N214" i="19"/>
  <c r="O214" i="19"/>
  <c r="P214" i="19"/>
  <c r="Q214" i="19"/>
  <c r="R214" i="19"/>
  <c r="S214" i="19"/>
  <c r="T214" i="19"/>
  <c r="U214" i="19"/>
  <c r="V214" i="19"/>
  <c r="W214" i="19"/>
  <c r="X214" i="19"/>
  <c r="Y214" i="19"/>
  <c r="Z214" i="19"/>
  <c r="AA214" i="19"/>
  <c r="AB214" i="19"/>
  <c r="AC214" i="19"/>
  <c r="AD214" i="19"/>
  <c r="AE214" i="19"/>
  <c r="AF214" i="19"/>
  <c r="C215" i="19"/>
  <c r="D215" i="19"/>
  <c r="E215" i="19"/>
  <c r="F215" i="19"/>
  <c r="G215" i="19"/>
  <c r="H215" i="19"/>
  <c r="I215" i="19"/>
  <c r="J215" i="19"/>
  <c r="K215" i="19"/>
  <c r="L215" i="19"/>
  <c r="M215" i="19"/>
  <c r="N215" i="19"/>
  <c r="O215" i="19"/>
  <c r="P215" i="19"/>
  <c r="Q215" i="19"/>
  <c r="R215" i="19"/>
  <c r="S215" i="19"/>
  <c r="T215" i="19"/>
  <c r="U215" i="19"/>
  <c r="V215" i="19"/>
  <c r="W215" i="19"/>
  <c r="X215" i="19"/>
  <c r="Y215" i="19"/>
  <c r="Z215" i="19"/>
  <c r="AA215" i="19"/>
  <c r="AB215" i="19"/>
  <c r="AC215" i="19"/>
  <c r="AD215" i="19"/>
  <c r="AE215" i="19"/>
  <c r="AF215" i="19"/>
  <c r="C216" i="19"/>
  <c r="D216" i="19"/>
  <c r="E216" i="19"/>
  <c r="F216" i="19"/>
  <c r="G216" i="19"/>
  <c r="H216" i="19"/>
  <c r="I216" i="19"/>
  <c r="J216" i="19"/>
  <c r="K216" i="19"/>
  <c r="L216" i="19"/>
  <c r="M216" i="19"/>
  <c r="N216" i="19"/>
  <c r="O216" i="19"/>
  <c r="P216" i="19"/>
  <c r="Q216" i="19"/>
  <c r="R216" i="19"/>
  <c r="S216" i="19"/>
  <c r="T216" i="19"/>
  <c r="U216" i="19"/>
  <c r="V216" i="19"/>
  <c r="W216" i="19"/>
  <c r="X216" i="19"/>
  <c r="Y216" i="19"/>
  <c r="Z216" i="19"/>
  <c r="AA216" i="19"/>
  <c r="AB216" i="19"/>
  <c r="AC216" i="19"/>
  <c r="AD216" i="19"/>
  <c r="AE216" i="19"/>
  <c r="AF216" i="19"/>
  <c r="C217" i="19"/>
  <c r="D217" i="19"/>
  <c r="E217" i="19"/>
  <c r="F217" i="19"/>
  <c r="G217" i="19"/>
  <c r="H217" i="19"/>
  <c r="I217" i="19"/>
  <c r="J217" i="19"/>
  <c r="K217" i="19"/>
  <c r="L217" i="19"/>
  <c r="M217" i="19"/>
  <c r="N217" i="19"/>
  <c r="O217" i="19"/>
  <c r="P217" i="19"/>
  <c r="Q217" i="19"/>
  <c r="R217" i="19"/>
  <c r="S217" i="19"/>
  <c r="T217" i="19"/>
  <c r="U217" i="19"/>
  <c r="V217" i="19"/>
  <c r="W217" i="19"/>
  <c r="X217" i="19"/>
  <c r="Y217" i="19"/>
  <c r="Z217" i="19"/>
  <c r="AA217" i="19"/>
  <c r="AB217" i="19"/>
  <c r="AC217" i="19"/>
  <c r="AD217" i="19"/>
  <c r="AE217" i="19"/>
  <c r="AF217" i="19"/>
  <c r="C218" i="19"/>
  <c r="D218" i="19"/>
  <c r="E218" i="19"/>
  <c r="F218" i="19"/>
  <c r="G218" i="19"/>
  <c r="H218" i="19"/>
  <c r="I218" i="19"/>
  <c r="J218" i="19"/>
  <c r="K218" i="19"/>
  <c r="L218" i="19"/>
  <c r="M218" i="19"/>
  <c r="N218" i="19"/>
  <c r="O218" i="19"/>
  <c r="P218" i="19"/>
  <c r="Q218" i="19"/>
  <c r="R218" i="19"/>
  <c r="S218" i="19"/>
  <c r="T218" i="19"/>
  <c r="U218" i="19"/>
  <c r="V218" i="19"/>
  <c r="W218" i="19"/>
  <c r="X218" i="19"/>
  <c r="Y218" i="19"/>
  <c r="Z218" i="19"/>
  <c r="AA218" i="19"/>
  <c r="AB218" i="19"/>
  <c r="AC218" i="19"/>
  <c r="AD218" i="19"/>
  <c r="AE218" i="19"/>
  <c r="AF218" i="19"/>
  <c r="C219" i="19"/>
  <c r="D219" i="19"/>
  <c r="E219" i="19"/>
  <c r="F219" i="19"/>
  <c r="G219" i="19"/>
  <c r="H219" i="19"/>
  <c r="I219" i="19"/>
  <c r="J219" i="19"/>
  <c r="K219" i="19"/>
  <c r="L219" i="19"/>
  <c r="M219" i="19"/>
  <c r="N219" i="19"/>
  <c r="O219" i="19"/>
  <c r="P219" i="19"/>
  <c r="Q219" i="19"/>
  <c r="R219" i="19"/>
  <c r="S219" i="19"/>
  <c r="T219" i="19"/>
  <c r="U219" i="19"/>
  <c r="V219" i="19"/>
  <c r="W219" i="19"/>
  <c r="X219" i="19"/>
  <c r="Y219" i="19"/>
  <c r="Z219" i="19"/>
  <c r="AA219" i="19"/>
  <c r="AB219" i="19"/>
  <c r="AC219" i="19"/>
  <c r="AD219" i="19"/>
  <c r="AE219" i="19"/>
  <c r="AF219" i="19"/>
  <c r="C220" i="19"/>
  <c r="D220" i="19"/>
  <c r="E220" i="19"/>
  <c r="F220" i="19"/>
  <c r="G220" i="19"/>
  <c r="H220" i="19"/>
  <c r="I220" i="19"/>
  <c r="J220" i="19"/>
  <c r="K220" i="19"/>
  <c r="L220" i="19"/>
  <c r="M220" i="19"/>
  <c r="N220" i="19"/>
  <c r="O220" i="19"/>
  <c r="P220" i="19"/>
  <c r="Q220" i="19"/>
  <c r="R220" i="19"/>
  <c r="S220" i="19"/>
  <c r="T220" i="19"/>
  <c r="U220" i="19"/>
  <c r="V220" i="19"/>
  <c r="W220" i="19"/>
  <c r="X220" i="19"/>
  <c r="Y220" i="19"/>
  <c r="Z220" i="19"/>
  <c r="AA220" i="19"/>
  <c r="AB220" i="19"/>
  <c r="AC220" i="19"/>
  <c r="AD220" i="19"/>
  <c r="AE220" i="19"/>
  <c r="AF220" i="19"/>
  <c r="C221" i="19"/>
  <c r="D221" i="19"/>
  <c r="E221" i="19"/>
  <c r="F221" i="19"/>
  <c r="G221" i="19"/>
  <c r="H221" i="19"/>
  <c r="I221" i="19"/>
  <c r="J221" i="19"/>
  <c r="K221" i="19"/>
  <c r="L221" i="19"/>
  <c r="M221" i="19"/>
  <c r="N221" i="19"/>
  <c r="O221" i="19"/>
  <c r="P221" i="19"/>
  <c r="Q221" i="19"/>
  <c r="R221" i="19"/>
  <c r="S221" i="19"/>
  <c r="T221" i="19"/>
  <c r="U221" i="19"/>
  <c r="V221" i="19"/>
  <c r="W221" i="19"/>
  <c r="X221" i="19"/>
  <c r="Y221" i="19"/>
  <c r="Z221" i="19"/>
  <c r="AA221" i="19"/>
  <c r="AB221" i="19"/>
  <c r="AC221" i="19"/>
  <c r="AD221" i="19"/>
  <c r="AE221" i="19"/>
  <c r="AF221" i="19"/>
  <c r="C222" i="19"/>
  <c r="D222" i="19"/>
  <c r="E222" i="19"/>
  <c r="F222" i="19"/>
  <c r="G222" i="19"/>
  <c r="H222" i="19"/>
  <c r="I222" i="19"/>
  <c r="J222" i="19"/>
  <c r="K222" i="19"/>
  <c r="L222" i="19"/>
  <c r="M222" i="19"/>
  <c r="N222" i="19"/>
  <c r="O222" i="19"/>
  <c r="P222" i="19"/>
  <c r="Q222" i="19"/>
  <c r="R222" i="19"/>
  <c r="S222" i="19"/>
  <c r="T222" i="19"/>
  <c r="U222" i="19"/>
  <c r="V222" i="19"/>
  <c r="W222" i="19"/>
  <c r="X222" i="19"/>
  <c r="Y222" i="19"/>
  <c r="Z222" i="19"/>
  <c r="AA222" i="19"/>
  <c r="AB222" i="19"/>
  <c r="AC222" i="19"/>
  <c r="AD222" i="19"/>
  <c r="AE222" i="19"/>
  <c r="AF222" i="19"/>
  <c r="C223" i="19"/>
  <c r="D223" i="19"/>
  <c r="E223" i="19"/>
  <c r="F223" i="19"/>
  <c r="G223" i="19"/>
  <c r="H223" i="19"/>
  <c r="I223" i="19"/>
  <c r="J223" i="19"/>
  <c r="K223" i="19"/>
  <c r="L223" i="19"/>
  <c r="M223" i="19"/>
  <c r="N223" i="19"/>
  <c r="O223" i="19"/>
  <c r="P223" i="19"/>
  <c r="Q223" i="19"/>
  <c r="R223" i="19"/>
  <c r="S223" i="19"/>
  <c r="T223" i="19"/>
  <c r="U223" i="19"/>
  <c r="V223" i="19"/>
  <c r="W223" i="19"/>
  <c r="X223" i="19"/>
  <c r="Y223" i="19"/>
  <c r="Z223" i="19"/>
  <c r="AA223" i="19"/>
  <c r="AB223" i="19"/>
  <c r="AC223" i="19"/>
  <c r="AD223" i="19"/>
  <c r="AE223" i="19"/>
  <c r="AF223" i="19"/>
  <c r="C224" i="19"/>
  <c r="D224" i="19"/>
  <c r="E224" i="19"/>
  <c r="F224" i="19"/>
  <c r="G224" i="19"/>
  <c r="H224" i="19"/>
  <c r="I224" i="19"/>
  <c r="J224" i="19"/>
  <c r="K224" i="19"/>
  <c r="L224" i="19"/>
  <c r="M224" i="19"/>
  <c r="N224" i="19"/>
  <c r="O224" i="19"/>
  <c r="P224" i="19"/>
  <c r="Q224" i="19"/>
  <c r="R224" i="19"/>
  <c r="S224" i="19"/>
  <c r="T224" i="19"/>
  <c r="U224" i="19"/>
  <c r="V224" i="19"/>
  <c r="W224" i="19"/>
  <c r="X224" i="19"/>
  <c r="Y224" i="19"/>
  <c r="Z224" i="19"/>
  <c r="AA224" i="19"/>
  <c r="AB224" i="19"/>
  <c r="AC224" i="19"/>
  <c r="AD224" i="19"/>
  <c r="AE224" i="19"/>
  <c r="AF224" i="19"/>
  <c r="C225" i="19"/>
  <c r="D225" i="19"/>
  <c r="E225" i="19"/>
  <c r="F225" i="19"/>
  <c r="G225" i="19"/>
  <c r="H225" i="19"/>
  <c r="I225" i="19"/>
  <c r="J225" i="19"/>
  <c r="K225" i="19"/>
  <c r="L225" i="19"/>
  <c r="M225" i="19"/>
  <c r="N225" i="19"/>
  <c r="O225" i="19"/>
  <c r="P225" i="19"/>
  <c r="Q225" i="19"/>
  <c r="R225" i="19"/>
  <c r="S225" i="19"/>
  <c r="T225" i="19"/>
  <c r="U225" i="19"/>
  <c r="V225" i="19"/>
  <c r="W225" i="19"/>
  <c r="X225" i="19"/>
  <c r="Y225" i="19"/>
  <c r="Z225" i="19"/>
  <c r="AA225" i="19"/>
  <c r="AB225" i="19"/>
  <c r="AC225" i="19"/>
  <c r="AD225" i="19"/>
  <c r="AE225" i="19"/>
  <c r="AF225" i="19"/>
  <c r="C226" i="19"/>
  <c r="D226" i="19"/>
  <c r="E226" i="19"/>
  <c r="F226" i="19"/>
  <c r="G226" i="19"/>
  <c r="H226" i="19"/>
  <c r="I226" i="19"/>
  <c r="J226" i="19"/>
  <c r="K226" i="19"/>
  <c r="L226" i="19"/>
  <c r="M226" i="19"/>
  <c r="N226" i="19"/>
  <c r="O226" i="19"/>
  <c r="P226" i="19"/>
  <c r="Q226" i="19"/>
  <c r="R226" i="19"/>
  <c r="S226" i="19"/>
  <c r="T226" i="19"/>
  <c r="U226" i="19"/>
  <c r="V226" i="19"/>
  <c r="W226" i="19"/>
  <c r="X226" i="19"/>
  <c r="Y226" i="19"/>
  <c r="Z226" i="19"/>
  <c r="AA226" i="19"/>
  <c r="AB226" i="19"/>
  <c r="AC226" i="19"/>
  <c r="AD226" i="19"/>
  <c r="AE226" i="19"/>
  <c r="AF226" i="19"/>
  <c r="C227" i="19"/>
  <c r="D227" i="19"/>
  <c r="E227" i="19"/>
  <c r="F227" i="19"/>
  <c r="G227" i="19"/>
  <c r="H227" i="19"/>
  <c r="I227" i="19"/>
  <c r="J227" i="19"/>
  <c r="K227" i="19"/>
  <c r="L227" i="19"/>
  <c r="M227" i="19"/>
  <c r="N227" i="19"/>
  <c r="O227" i="19"/>
  <c r="P227" i="19"/>
  <c r="Q227" i="19"/>
  <c r="R227" i="19"/>
  <c r="S227" i="19"/>
  <c r="T227" i="19"/>
  <c r="U227" i="19"/>
  <c r="V227" i="19"/>
  <c r="W227" i="19"/>
  <c r="X227" i="19"/>
  <c r="Y227" i="19"/>
  <c r="Z227" i="19"/>
  <c r="AA227" i="19"/>
  <c r="AB227" i="19"/>
  <c r="AC227" i="19"/>
  <c r="AD227" i="19"/>
  <c r="AE227" i="19"/>
  <c r="AF227" i="19"/>
  <c r="C228" i="19"/>
  <c r="D228" i="19"/>
  <c r="E228" i="19"/>
  <c r="F228" i="19"/>
  <c r="G228" i="19"/>
  <c r="H228" i="19"/>
  <c r="I228" i="19"/>
  <c r="J228" i="19"/>
  <c r="K228" i="19"/>
  <c r="L228" i="19"/>
  <c r="M228" i="19"/>
  <c r="N228" i="19"/>
  <c r="O228" i="19"/>
  <c r="P228" i="19"/>
  <c r="Q228" i="19"/>
  <c r="R228" i="19"/>
  <c r="S228" i="19"/>
  <c r="T228" i="19"/>
  <c r="U228" i="19"/>
  <c r="V228" i="19"/>
  <c r="W228" i="19"/>
  <c r="X228" i="19"/>
  <c r="Y228" i="19"/>
  <c r="Z228" i="19"/>
  <c r="AA228" i="19"/>
  <c r="AB228" i="19"/>
  <c r="AC228" i="19"/>
  <c r="AD228" i="19"/>
  <c r="AE228" i="19"/>
  <c r="AF228" i="19"/>
  <c r="C229" i="19"/>
  <c r="D229" i="19"/>
  <c r="E229" i="19"/>
  <c r="F229" i="19"/>
  <c r="G229" i="19"/>
  <c r="H229" i="19"/>
  <c r="I229" i="19"/>
  <c r="J229" i="19"/>
  <c r="K229" i="19"/>
  <c r="L229" i="19"/>
  <c r="M229" i="19"/>
  <c r="N229" i="19"/>
  <c r="O229" i="19"/>
  <c r="P229" i="19"/>
  <c r="Q229" i="19"/>
  <c r="R229" i="19"/>
  <c r="S229" i="19"/>
  <c r="T229" i="19"/>
  <c r="U229" i="19"/>
  <c r="V229" i="19"/>
  <c r="W229" i="19"/>
  <c r="X229" i="19"/>
  <c r="Y229" i="19"/>
  <c r="Z229" i="19"/>
  <c r="AA229" i="19"/>
  <c r="AB229" i="19"/>
  <c r="AC229" i="19"/>
  <c r="AD229" i="19"/>
  <c r="AE229" i="19"/>
  <c r="AF229" i="19"/>
  <c r="C230" i="19"/>
  <c r="D230" i="19"/>
  <c r="E230" i="19"/>
  <c r="F230" i="19"/>
  <c r="G230" i="19"/>
  <c r="H230" i="19"/>
  <c r="I230" i="19"/>
  <c r="J230" i="19"/>
  <c r="K230" i="19"/>
  <c r="L230" i="19"/>
  <c r="M230" i="19"/>
  <c r="N230" i="19"/>
  <c r="O230" i="19"/>
  <c r="P230" i="19"/>
  <c r="Q230" i="19"/>
  <c r="R230" i="19"/>
  <c r="S230" i="19"/>
  <c r="T230" i="19"/>
  <c r="U230" i="19"/>
  <c r="V230" i="19"/>
  <c r="W230" i="19"/>
  <c r="X230" i="19"/>
  <c r="Y230" i="19"/>
  <c r="Z230" i="19"/>
  <c r="AA230" i="19"/>
  <c r="AB230" i="19"/>
  <c r="AC230" i="19"/>
  <c r="AD230" i="19"/>
  <c r="AE230" i="19"/>
  <c r="AF230" i="19"/>
  <c r="C231" i="19"/>
  <c r="D231" i="19"/>
  <c r="E231" i="19"/>
  <c r="F231" i="19"/>
  <c r="G231" i="19"/>
  <c r="H231" i="19"/>
  <c r="I231" i="19"/>
  <c r="J231" i="19"/>
  <c r="K231" i="19"/>
  <c r="L231" i="19"/>
  <c r="M231" i="19"/>
  <c r="N231" i="19"/>
  <c r="O231" i="19"/>
  <c r="P231" i="19"/>
  <c r="Q231" i="19"/>
  <c r="R231" i="19"/>
  <c r="S231" i="19"/>
  <c r="T231" i="19"/>
  <c r="U231" i="19"/>
  <c r="V231" i="19"/>
  <c r="W231" i="19"/>
  <c r="X231" i="19"/>
  <c r="Y231" i="19"/>
  <c r="Z231" i="19"/>
  <c r="AA231" i="19"/>
  <c r="AB231" i="19"/>
  <c r="AC231" i="19"/>
  <c r="AD231" i="19"/>
  <c r="AE231" i="19"/>
  <c r="AF231" i="19"/>
  <c r="C232" i="19"/>
  <c r="D232" i="19"/>
  <c r="E232" i="19"/>
  <c r="F232" i="19"/>
  <c r="G232" i="19"/>
  <c r="H232" i="19"/>
  <c r="I232" i="19"/>
  <c r="J232" i="19"/>
  <c r="K232" i="19"/>
  <c r="L232" i="19"/>
  <c r="M232" i="19"/>
  <c r="N232" i="19"/>
  <c r="O232" i="19"/>
  <c r="P232" i="19"/>
  <c r="Q232" i="19"/>
  <c r="R232" i="19"/>
  <c r="S232" i="19"/>
  <c r="T232" i="19"/>
  <c r="U232" i="19"/>
  <c r="V232" i="19"/>
  <c r="W232" i="19"/>
  <c r="X232" i="19"/>
  <c r="Y232" i="19"/>
  <c r="Z232" i="19"/>
  <c r="AA232" i="19"/>
  <c r="AB232" i="19"/>
  <c r="AC232" i="19"/>
  <c r="AD232" i="19"/>
  <c r="AE232" i="19"/>
  <c r="AF232" i="19"/>
  <c r="C233" i="19"/>
  <c r="D233" i="19"/>
  <c r="E233" i="19"/>
  <c r="F233" i="19"/>
  <c r="G233" i="19"/>
  <c r="H233" i="19"/>
  <c r="I233" i="19"/>
  <c r="J233" i="19"/>
  <c r="K233" i="19"/>
  <c r="L233" i="19"/>
  <c r="M233" i="19"/>
  <c r="N233" i="19"/>
  <c r="O233" i="19"/>
  <c r="P233" i="19"/>
  <c r="Q233" i="19"/>
  <c r="R233" i="19"/>
  <c r="S233" i="19"/>
  <c r="T233" i="19"/>
  <c r="U233" i="19"/>
  <c r="V233" i="19"/>
  <c r="W233" i="19"/>
  <c r="X233" i="19"/>
  <c r="Y233" i="19"/>
  <c r="Z233" i="19"/>
  <c r="AA233" i="19"/>
  <c r="AB233" i="19"/>
  <c r="AC233" i="19"/>
  <c r="AD233" i="19"/>
  <c r="AE233" i="19"/>
  <c r="AF233" i="19"/>
  <c r="C234" i="19"/>
  <c r="D234" i="19"/>
  <c r="E234" i="19"/>
  <c r="F234" i="19"/>
  <c r="G234" i="19"/>
  <c r="H234" i="19"/>
  <c r="I234" i="19"/>
  <c r="J234" i="19"/>
  <c r="K234" i="19"/>
  <c r="L234" i="19"/>
  <c r="M234" i="19"/>
  <c r="N234" i="19"/>
  <c r="O234" i="19"/>
  <c r="P234" i="19"/>
  <c r="Q234" i="19"/>
  <c r="R234" i="19"/>
  <c r="S234" i="19"/>
  <c r="T234" i="19"/>
  <c r="U234" i="19"/>
  <c r="V234" i="19"/>
  <c r="W234" i="19"/>
  <c r="X234" i="19"/>
  <c r="Y234" i="19"/>
  <c r="Z234" i="19"/>
  <c r="AA234" i="19"/>
  <c r="AB234" i="19"/>
  <c r="AC234" i="19"/>
  <c r="AD234" i="19"/>
  <c r="AE234" i="19"/>
  <c r="AF234" i="19"/>
  <c r="C235" i="19"/>
  <c r="D235" i="19"/>
  <c r="E235" i="19"/>
  <c r="F235" i="19"/>
  <c r="G235" i="19"/>
  <c r="H235" i="19"/>
  <c r="I235" i="19"/>
  <c r="J235" i="19"/>
  <c r="K235" i="19"/>
  <c r="L235" i="19"/>
  <c r="M235" i="19"/>
  <c r="N235" i="19"/>
  <c r="O235" i="19"/>
  <c r="P235" i="19"/>
  <c r="Q235" i="19"/>
  <c r="R235" i="19"/>
  <c r="S235" i="19"/>
  <c r="T235" i="19"/>
  <c r="U235" i="19"/>
  <c r="V235" i="19"/>
  <c r="W235" i="19"/>
  <c r="X235" i="19"/>
  <c r="Y235" i="19"/>
  <c r="Z235" i="19"/>
  <c r="AA235" i="19"/>
  <c r="AB235" i="19"/>
  <c r="AC235" i="19"/>
  <c r="AD235" i="19"/>
  <c r="AE235" i="19"/>
  <c r="AF235" i="19"/>
  <c r="C236" i="19"/>
  <c r="D236" i="19"/>
  <c r="E236" i="19"/>
  <c r="F236" i="19"/>
  <c r="G236" i="19"/>
  <c r="H236" i="19"/>
  <c r="I236" i="19"/>
  <c r="J236" i="19"/>
  <c r="K236" i="19"/>
  <c r="L236" i="19"/>
  <c r="M236" i="19"/>
  <c r="N236" i="19"/>
  <c r="O236" i="19"/>
  <c r="P236" i="19"/>
  <c r="Q236" i="19"/>
  <c r="R236" i="19"/>
  <c r="S236" i="19"/>
  <c r="T236" i="19"/>
  <c r="U236" i="19"/>
  <c r="V236" i="19"/>
  <c r="W236" i="19"/>
  <c r="X236" i="19"/>
  <c r="Y236" i="19"/>
  <c r="Z236" i="19"/>
  <c r="AA236" i="19"/>
  <c r="AB236" i="19"/>
  <c r="AC236" i="19"/>
  <c r="AD236" i="19"/>
  <c r="AE236" i="19"/>
  <c r="AF236" i="19"/>
  <c r="C237" i="19"/>
  <c r="D237" i="19"/>
  <c r="E237" i="19"/>
  <c r="F237" i="19"/>
  <c r="G237" i="19"/>
  <c r="H237" i="19"/>
  <c r="I237" i="19"/>
  <c r="J237" i="19"/>
  <c r="K237" i="19"/>
  <c r="L237" i="19"/>
  <c r="M237" i="19"/>
  <c r="N237" i="19"/>
  <c r="O237" i="19"/>
  <c r="P237" i="19"/>
  <c r="Q237" i="19"/>
  <c r="R237" i="19"/>
  <c r="S237" i="19"/>
  <c r="T237" i="19"/>
  <c r="U237" i="19"/>
  <c r="V237" i="19"/>
  <c r="W237" i="19"/>
  <c r="X237" i="19"/>
  <c r="Y237" i="19"/>
  <c r="Z237" i="19"/>
  <c r="AA237" i="19"/>
  <c r="AB237" i="19"/>
  <c r="AC237" i="19"/>
  <c r="AD237" i="19"/>
  <c r="AE237" i="19"/>
  <c r="AF237" i="19"/>
  <c r="C238" i="19"/>
  <c r="D238" i="19"/>
  <c r="E238" i="19"/>
  <c r="F238" i="19"/>
  <c r="G238" i="19"/>
  <c r="H238" i="19"/>
  <c r="I238" i="19"/>
  <c r="J238" i="19"/>
  <c r="K238" i="19"/>
  <c r="L238" i="19"/>
  <c r="M238" i="19"/>
  <c r="N238" i="19"/>
  <c r="O238" i="19"/>
  <c r="P238" i="19"/>
  <c r="Q238" i="19"/>
  <c r="R238" i="19"/>
  <c r="S238" i="19"/>
  <c r="T238" i="19"/>
  <c r="U238" i="19"/>
  <c r="V238" i="19"/>
  <c r="W238" i="19"/>
  <c r="X238" i="19"/>
  <c r="Y238" i="19"/>
  <c r="Z238" i="19"/>
  <c r="AA238" i="19"/>
  <c r="AB238" i="19"/>
  <c r="AC238" i="19"/>
  <c r="AD238" i="19"/>
  <c r="AE238" i="19"/>
  <c r="AF238" i="19"/>
  <c r="C239" i="19"/>
  <c r="D239" i="19"/>
  <c r="E239" i="19"/>
  <c r="F239" i="19"/>
  <c r="G239" i="19"/>
  <c r="H239" i="19"/>
  <c r="I239" i="19"/>
  <c r="J239" i="19"/>
  <c r="K239" i="19"/>
  <c r="L239" i="19"/>
  <c r="M239" i="19"/>
  <c r="N239" i="19"/>
  <c r="O239" i="19"/>
  <c r="P239" i="19"/>
  <c r="Q239" i="19"/>
  <c r="R239" i="19"/>
  <c r="S239" i="19"/>
  <c r="T239" i="19"/>
  <c r="U239" i="19"/>
  <c r="V239" i="19"/>
  <c r="W239" i="19"/>
  <c r="X239" i="19"/>
  <c r="Y239" i="19"/>
  <c r="Z239" i="19"/>
  <c r="AA239" i="19"/>
  <c r="AB239" i="19"/>
  <c r="AC239" i="19"/>
  <c r="AD239" i="19"/>
  <c r="AE239" i="19"/>
  <c r="AF239" i="19"/>
  <c r="C240" i="19"/>
  <c r="D240" i="19"/>
  <c r="E240" i="19"/>
  <c r="F240" i="19"/>
  <c r="G240" i="19"/>
  <c r="H240" i="19"/>
  <c r="I240" i="19"/>
  <c r="J240" i="19"/>
  <c r="K240" i="19"/>
  <c r="L240" i="19"/>
  <c r="M240" i="19"/>
  <c r="N240" i="19"/>
  <c r="O240" i="19"/>
  <c r="P240" i="19"/>
  <c r="Q240" i="19"/>
  <c r="R240" i="19"/>
  <c r="S240" i="19"/>
  <c r="T240" i="19"/>
  <c r="U240" i="19"/>
  <c r="V240" i="19"/>
  <c r="W240" i="19"/>
  <c r="X240" i="19"/>
  <c r="Y240" i="19"/>
  <c r="Z240" i="19"/>
  <c r="AA240" i="19"/>
  <c r="AB240" i="19"/>
  <c r="AC240" i="19"/>
  <c r="AD240" i="19"/>
  <c r="AE240" i="19"/>
  <c r="AF240" i="19"/>
  <c r="C241" i="19"/>
  <c r="D241" i="19"/>
  <c r="E241" i="19"/>
  <c r="F241" i="19"/>
  <c r="G241" i="19"/>
  <c r="H241" i="19"/>
  <c r="I241" i="19"/>
  <c r="J241" i="19"/>
  <c r="K241" i="19"/>
  <c r="L241" i="19"/>
  <c r="M241" i="19"/>
  <c r="N241" i="19"/>
  <c r="O241" i="19"/>
  <c r="P241" i="19"/>
  <c r="Q241" i="19"/>
  <c r="R241" i="19"/>
  <c r="S241" i="19"/>
  <c r="T241" i="19"/>
  <c r="U241" i="19"/>
  <c r="V241" i="19"/>
  <c r="W241" i="19"/>
  <c r="X241" i="19"/>
  <c r="Y241" i="19"/>
  <c r="Z241" i="19"/>
  <c r="AA241" i="19"/>
  <c r="AB241" i="19"/>
  <c r="AC241" i="19"/>
  <c r="AD241" i="19"/>
  <c r="AE241" i="19"/>
  <c r="AF241" i="19"/>
  <c r="C242" i="19"/>
  <c r="D242" i="19"/>
  <c r="E242" i="19"/>
  <c r="F242" i="19"/>
  <c r="G242" i="19"/>
  <c r="H242" i="19"/>
  <c r="I242" i="19"/>
  <c r="J242" i="19"/>
  <c r="K242" i="19"/>
  <c r="L242" i="19"/>
  <c r="M242" i="19"/>
  <c r="N242" i="19"/>
  <c r="O242" i="19"/>
  <c r="P242" i="19"/>
  <c r="Q242" i="19"/>
  <c r="R242" i="19"/>
  <c r="S242" i="19"/>
  <c r="T242" i="19"/>
  <c r="U242" i="19"/>
  <c r="V242" i="19"/>
  <c r="W242" i="19"/>
  <c r="X242" i="19"/>
  <c r="Y242" i="19"/>
  <c r="Z242" i="19"/>
  <c r="AA242" i="19"/>
  <c r="AB242" i="19"/>
  <c r="AC242" i="19"/>
  <c r="AD242" i="19"/>
  <c r="AE242" i="19"/>
  <c r="AF242" i="19"/>
  <c r="C243" i="19"/>
  <c r="D243" i="19"/>
  <c r="E243" i="19"/>
  <c r="F243" i="19"/>
  <c r="G243" i="19"/>
  <c r="H243" i="19"/>
  <c r="I243" i="19"/>
  <c r="J243" i="19"/>
  <c r="K243" i="19"/>
  <c r="L243" i="19"/>
  <c r="M243" i="19"/>
  <c r="N243" i="19"/>
  <c r="O243" i="19"/>
  <c r="P243" i="19"/>
  <c r="Q243" i="19"/>
  <c r="R243" i="19"/>
  <c r="S243" i="19"/>
  <c r="T243" i="19"/>
  <c r="U243" i="19"/>
  <c r="V243" i="19"/>
  <c r="W243" i="19"/>
  <c r="X243" i="19"/>
  <c r="Y243" i="19"/>
  <c r="Z243" i="19"/>
  <c r="AA243" i="19"/>
  <c r="AB243" i="19"/>
  <c r="AC243" i="19"/>
  <c r="AD243" i="19"/>
  <c r="AE243" i="19"/>
  <c r="AF243" i="19"/>
  <c r="C244" i="19"/>
  <c r="D244" i="19"/>
  <c r="E244" i="19"/>
  <c r="F244" i="19"/>
  <c r="G244" i="19"/>
  <c r="H244" i="19"/>
  <c r="I244" i="19"/>
  <c r="J244" i="19"/>
  <c r="K244" i="19"/>
  <c r="L244" i="19"/>
  <c r="M244" i="19"/>
  <c r="N244" i="19"/>
  <c r="O244" i="19"/>
  <c r="P244" i="19"/>
  <c r="Q244" i="19"/>
  <c r="R244" i="19"/>
  <c r="S244" i="19"/>
  <c r="T244" i="19"/>
  <c r="U244" i="19"/>
  <c r="V244" i="19"/>
  <c r="W244" i="19"/>
  <c r="X244" i="19"/>
  <c r="Y244" i="19"/>
  <c r="Z244" i="19"/>
  <c r="AA244" i="19"/>
  <c r="AB244" i="19"/>
  <c r="AC244" i="19"/>
  <c r="AD244" i="19"/>
  <c r="AE244" i="19"/>
  <c r="AF244" i="19"/>
  <c r="C245" i="19"/>
  <c r="D245" i="19"/>
  <c r="E245" i="19"/>
  <c r="F245" i="19"/>
  <c r="G245" i="19"/>
  <c r="H245" i="19"/>
  <c r="I245" i="19"/>
  <c r="J245" i="19"/>
  <c r="K245" i="19"/>
  <c r="L245" i="19"/>
  <c r="M245" i="19"/>
  <c r="N245" i="19"/>
  <c r="O245" i="19"/>
  <c r="P245" i="19"/>
  <c r="Q245" i="19"/>
  <c r="R245" i="19"/>
  <c r="S245" i="19"/>
  <c r="T245" i="19"/>
  <c r="U245" i="19"/>
  <c r="V245" i="19"/>
  <c r="W245" i="19"/>
  <c r="X245" i="19"/>
  <c r="Y245" i="19"/>
  <c r="Z245" i="19"/>
  <c r="AA245" i="19"/>
  <c r="AB245" i="19"/>
  <c r="AC245" i="19"/>
  <c r="AD245" i="19"/>
  <c r="AE245" i="19"/>
  <c r="AF245" i="19"/>
  <c r="C246" i="19"/>
  <c r="D246" i="19"/>
  <c r="E246" i="19"/>
  <c r="F246" i="19"/>
  <c r="G246" i="19"/>
  <c r="H246" i="19"/>
  <c r="I246" i="19"/>
  <c r="J246" i="19"/>
  <c r="K246" i="19"/>
  <c r="L246" i="19"/>
  <c r="M246" i="19"/>
  <c r="N246" i="19"/>
  <c r="O246" i="19"/>
  <c r="P246" i="19"/>
  <c r="Q246" i="19"/>
  <c r="R246" i="19"/>
  <c r="S246" i="19"/>
  <c r="T246" i="19"/>
  <c r="U246" i="19"/>
  <c r="V246" i="19"/>
  <c r="W246" i="19"/>
  <c r="X246" i="19"/>
  <c r="Y246" i="19"/>
  <c r="Z246" i="19"/>
  <c r="AA246" i="19"/>
  <c r="AB246" i="19"/>
  <c r="AC246" i="19"/>
  <c r="AD246" i="19"/>
  <c r="AE246" i="19"/>
  <c r="AF246" i="19"/>
  <c r="C247" i="19"/>
  <c r="D247" i="19"/>
  <c r="E247" i="19"/>
  <c r="F247" i="19"/>
  <c r="G247" i="19"/>
  <c r="H247" i="19"/>
  <c r="I247" i="19"/>
  <c r="J247" i="19"/>
  <c r="K247" i="19"/>
  <c r="L247" i="19"/>
  <c r="M247" i="19"/>
  <c r="N247" i="19"/>
  <c r="O247" i="19"/>
  <c r="P247" i="19"/>
  <c r="Q247" i="19"/>
  <c r="R247" i="19"/>
  <c r="S247" i="19"/>
  <c r="T247" i="19"/>
  <c r="U247" i="19"/>
  <c r="V247" i="19"/>
  <c r="W247" i="19"/>
  <c r="X247" i="19"/>
  <c r="Y247" i="19"/>
  <c r="Z247" i="19"/>
  <c r="AA247" i="19"/>
  <c r="AB247" i="19"/>
  <c r="AC247" i="19"/>
  <c r="AD247" i="19"/>
  <c r="AE247" i="19"/>
  <c r="AF247" i="19"/>
  <c r="C248" i="19"/>
  <c r="D248" i="19"/>
  <c r="E248" i="19"/>
  <c r="F248" i="19"/>
  <c r="G248" i="19"/>
  <c r="H248" i="19"/>
  <c r="I248" i="19"/>
  <c r="J248" i="19"/>
  <c r="K248" i="19"/>
  <c r="L248" i="19"/>
  <c r="M248" i="19"/>
  <c r="N248" i="19"/>
  <c r="O248" i="19"/>
  <c r="P248" i="19"/>
  <c r="Q248" i="19"/>
  <c r="R248" i="19"/>
  <c r="S248" i="19"/>
  <c r="T248" i="19"/>
  <c r="U248" i="19"/>
  <c r="V248" i="19"/>
  <c r="W248" i="19"/>
  <c r="X248" i="19"/>
  <c r="Y248" i="19"/>
  <c r="Z248" i="19"/>
  <c r="AA248" i="19"/>
  <c r="AB248" i="19"/>
  <c r="AC248" i="19"/>
  <c r="AD248" i="19"/>
  <c r="AE248" i="19"/>
  <c r="AF248" i="19"/>
  <c r="C249" i="19"/>
  <c r="D249" i="19"/>
  <c r="E249" i="19"/>
  <c r="F249" i="19"/>
  <c r="G249" i="19"/>
  <c r="H249" i="19"/>
  <c r="I249" i="19"/>
  <c r="J249" i="19"/>
  <c r="K249" i="19"/>
  <c r="L249" i="19"/>
  <c r="M249" i="19"/>
  <c r="N249" i="19"/>
  <c r="O249" i="19"/>
  <c r="P249" i="19"/>
  <c r="Q249" i="19"/>
  <c r="R249" i="19"/>
  <c r="S249" i="19"/>
  <c r="T249" i="19"/>
  <c r="U249" i="19"/>
  <c r="V249" i="19"/>
  <c r="W249" i="19"/>
  <c r="X249" i="19"/>
  <c r="Y249" i="19"/>
  <c r="Z249" i="19"/>
  <c r="AA249" i="19"/>
  <c r="AB249" i="19"/>
  <c r="AC249" i="19"/>
  <c r="AD249" i="19"/>
  <c r="AE249" i="19"/>
  <c r="AF249" i="19"/>
  <c r="C250" i="19"/>
  <c r="D250" i="19"/>
  <c r="E250" i="19"/>
  <c r="F250" i="19"/>
  <c r="G250" i="19"/>
  <c r="H250" i="19"/>
  <c r="I250" i="19"/>
  <c r="J250" i="19"/>
  <c r="K250" i="19"/>
  <c r="L250" i="19"/>
  <c r="M250" i="19"/>
  <c r="N250" i="19"/>
  <c r="O250" i="19"/>
  <c r="P250" i="19"/>
  <c r="Q250" i="19"/>
  <c r="R250" i="19"/>
  <c r="S250" i="19"/>
  <c r="T250" i="19"/>
  <c r="U250" i="19"/>
  <c r="V250" i="19"/>
  <c r="W250" i="19"/>
  <c r="X250" i="19"/>
  <c r="Y250" i="19"/>
  <c r="Z250" i="19"/>
  <c r="AA250" i="19"/>
  <c r="AB250" i="19"/>
  <c r="AC250" i="19"/>
  <c r="AD250" i="19"/>
  <c r="AE250" i="19"/>
  <c r="AF250" i="19"/>
  <c r="C251" i="19"/>
  <c r="D251" i="19"/>
  <c r="E251" i="19"/>
  <c r="F251" i="19"/>
  <c r="G251" i="19"/>
  <c r="H251" i="19"/>
  <c r="I251" i="19"/>
  <c r="J251" i="19"/>
  <c r="K251" i="19"/>
  <c r="L251" i="19"/>
  <c r="M251" i="19"/>
  <c r="N251" i="19"/>
  <c r="O251" i="19"/>
  <c r="P251" i="19"/>
  <c r="Q251" i="19"/>
  <c r="R251" i="19"/>
  <c r="S251" i="19"/>
  <c r="T251" i="19"/>
  <c r="U251" i="19"/>
  <c r="V251" i="19"/>
  <c r="W251" i="19"/>
  <c r="X251" i="19"/>
  <c r="Y251" i="19"/>
  <c r="Z251" i="19"/>
  <c r="AA251" i="19"/>
  <c r="AB251" i="19"/>
  <c r="AC251" i="19"/>
  <c r="AD251" i="19"/>
  <c r="AE251" i="19"/>
  <c r="AF251" i="19"/>
  <c r="C252" i="19"/>
  <c r="D252" i="19"/>
  <c r="E252" i="19"/>
  <c r="F252" i="19"/>
  <c r="G252" i="19"/>
  <c r="H252" i="19"/>
  <c r="I252" i="19"/>
  <c r="J252" i="19"/>
  <c r="K252" i="19"/>
  <c r="L252" i="19"/>
  <c r="M252" i="19"/>
  <c r="N252" i="19"/>
  <c r="O252" i="19"/>
  <c r="P252" i="19"/>
  <c r="Q252" i="19"/>
  <c r="R252" i="19"/>
  <c r="S252" i="19"/>
  <c r="T252" i="19"/>
  <c r="U252" i="19"/>
  <c r="V252" i="19"/>
  <c r="W252" i="19"/>
  <c r="X252" i="19"/>
  <c r="Y252" i="19"/>
  <c r="Z252" i="19"/>
  <c r="AA252" i="19"/>
  <c r="AB252" i="19"/>
  <c r="AC252" i="19"/>
  <c r="AD252" i="19"/>
  <c r="AE252" i="19"/>
  <c r="AF252" i="19"/>
  <c r="C253" i="19"/>
  <c r="D253" i="19"/>
  <c r="E253" i="19"/>
  <c r="F253" i="19"/>
  <c r="G253" i="19"/>
  <c r="H253" i="19"/>
  <c r="I253" i="19"/>
  <c r="J253" i="19"/>
  <c r="K253" i="19"/>
  <c r="L253" i="19"/>
  <c r="M253" i="19"/>
  <c r="N253" i="19"/>
  <c r="O253" i="19"/>
  <c r="P253" i="19"/>
  <c r="Q253" i="19"/>
  <c r="R253" i="19"/>
  <c r="S253" i="19"/>
  <c r="T253" i="19"/>
  <c r="U253" i="19"/>
  <c r="V253" i="19"/>
  <c r="W253" i="19"/>
  <c r="X253" i="19"/>
  <c r="Y253" i="19"/>
  <c r="Z253" i="19"/>
  <c r="AA253" i="19"/>
  <c r="AB253" i="19"/>
  <c r="AC253" i="19"/>
  <c r="AD253" i="19"/>
  <c r="AE253" i="19"/>
  <c r="AF253" i="19"/>
  <c r="C254" i="19"/>
  <c r="D254" i="19"/>
  <c r="E254" i="19"/>
  <c r="F254" i="19"/>
  <c r="G254" i="19"/>
  <c r="H254" i="19"/>
  <c r="I254" i="19"/>
  <c r="J254" i="19"/>
  <c r="K254" i="19"/>
  <c r="L254" i="19"/>
  <c r="M254" i="19"/>
  <c r="N254" i="19"/>
  <c r="O254" i="19"/>
  <c r="P254" i="19"/>
  <c r="Q254" i="19"/>
  <c r="R254" i="19"/>
  <c r="S254" i="19"/>
  <c r="T254" i="19"/>
  <c r="U254" i="19"/>
  <c r="V254" i="19"/>
  <c r="W254" i="19"/>
  <c r="X254" i="19"/>
  <c r="Y254" i="19"/>
  <c r="Z254" i="19"/>
  <c r="AA254" i="19"/>
  <c r="AB254" i="19"/>
  <c r="AC254" i="19"/>
  <c r="AD254" i="19"/>
  <c r="AE254" i="19"/>
  <c r="AF254" i="19"/>
  <c r="C255" i="19"/>
  <c r="D255" i="19"/>
  <c r="E255" i="19"/>
  <c r="F255" i="19"/>
  <c r="G255" i="19"/>
  <c r="H255" i="19"/>
  <c r="I255" i="19"/>
  <c r="J255" i="19"/>
  <c r="K255" i="19"/>
  <c r="L255" i="19"/>
  <c r="M255" i="19"/>
  <c r="N255" i="19"/>
  <c r="O255" i="19"/>
  <c r="P255" i="19"/>
  <c r="Q255" i="19"/>
  <c r="R255" i="19"/>
  <c r="S255" i="19"/>
  <c r="T255" i="19"/>
  <c r="U255" i="19"/>
  <c r="V255" i="19"/>
  <c r="W255" i="19"/>
  <c r="X255" i="19"/>
  <c r="Y255" i="19"/>
  <c r="Z255" i="19"/>
  <c r="AA255" i="19"/>
  <c r="AB255" i="19"/>
  <c r="AC255" i="19"/>
  <c r="AD255" i="19"/>
  <c r="AE255" i="19"/>
  <c r="AF255" i="19"/>
  <c r="C256" i="19"/>
  <c r="D256" i="19"/>
  <c r="E256" i="19"/>
  <c r="F256" i="19"/>
  <c r="G256" i="19"/>
  <c r="H256" i="19"/>
  <c r="I256" i="19"/>
  <c r="J256" i="19"/>
  <c r="K256" i="19"/>
  <c r="L256" i="19"/>
  <c r="M256" i="19"/>
  <c r="N256" i="19"/>
  <c r="O256" i="19"/>
  <c r="P256" i="19"/>
  <c r="Q256" i="19"/>
  <c r="R256" i="19"/>
  <c r="S256" i="19"/>
  <c r="T256" i="19"/>
  <c r="U256" i="19"/>
  <c r="V256" i="19"/>
  <c r="W256" i="19"/>
  <c r="X256" i="19"/>
  <c r="Y256" i="19"/>
  <c r="Z256" i="19"/>
  <c r="AA256" i="19"/>
  <c r="AB256" i="19"/>
  <c r="AC256" i="19"/>
  <c r="AD256" i="19"/>
  <c r="AE256" i="19"/>
  <c r="AF256" i="19"/>
  <c r="C257" i="19"/>
  <c r="D257" i="19"/>
  <c r="E257" i="19"/>
  <c r="F257" i="19"/>
  <c r="G257" i="19"/>
  <c r="H257" i="19"/>
  <c r="I257" i="19"/>
  <c r="J257" i="19"/>
  <c r="K257" i="19"/>
  <c r="L257" i="19"/>
  <c r="M257" i="19"/>
  <c r="N257" i="19"/>
  <c r="O257" i="19"/>
  <c r="P257" i="19"/>
  <c r="Q257" i="19"/>
  <c r="R257" i="19"/>
  <c r="S257" i="19"/>
  <c r="T257" i="19"/>
  <c r="U257" i="19"/>
  <c r="V257" i="19"/>
  <c r="W257" i="19"/>
  <c r="X257" i="19"/>
  <c r="Y257" i="19"/>
  <c r="Z257" i="19"/>
  <c r="AA257" i="19"/>
  <c r="AB257" i="19"/>
  <c r="AC257" i="19"/>
  <c r="AD257" i="19"/>
  <c r="AE257" i="19"/>
  <c r="AF257" i="19"/>
  <c r="C258" i="19"/>
  <c r="D258" i="19"/>
  <c r="E258" i="19"/>
  <c r="F258" i="19"/>
  <c r="G258" i="19"/>
  <c r="H258" i="19"/>
  <c r="I258" i="19"/>
  <c r="J258" i="19"/>
  <c r="K258" i="19"/>
  <c r="L258" i="19"/>
  <c r="M258" i="19"/>
  <c r="N258" i="19"/>
  <c r="O258" i="19"/>
  <c r="P258" i="19"/>
  <c r="Q258" i="19"/>
  <c r="R258" i="19"/>
  <c r="S258" i="19"/>
  <c r="T258" i="19"/>
  <c r="U258" i="19"/>
  <c r="V258" i="19"/>
  <c r="W258" i="19"/>
  <c r="X258" i="19"/>
  <c r="Y258" i="19"/>
  <c r="Z258" i="19"/>
  <c r="AA258" i="19"/>
  <c r="AB258" i="19"/>
  <c r="AC258" i="19"/>
  <c r="AD258" i="19"/>
  <c r="AE258" i="19"/>
  <c r="AF258" i="19"/>
  <c r="C259" i="19"/>
  <c r="D259" i="19"/>
  <c r="E259" i="19"/>
  <c r="F259" i="19"/>
  <c r="G259" i="19"/>
  <c r="H259" i="19"/>
  <c r="I259" i="19"/>
  <c r="J259" i="19"/>
  <c r="K259" i="19"/>
  <c r="L259" i="19"/>
  <c r="M259" i="19"/>
  <c r="N259" i="19"/>
  <c r="O259" i="19"/>
  <c r="P259" i="19"/>
  <c r="Q259" i="19"/>
  <c r="R259" i="19"/>
  <c r="S259" i="19"/>
  <c r="T259" i="19"/>
  <c r="U259" i="19"/>
  <c r="V259" i="19"/>
  <c r="W259" i="19"/>
  <c r="X259" i="19"/>
  <c r="Y259" i="19"/>
  <c r="Z259" i="19"/>
  <c r="AA259" i="19"/>
  <c r="AB259" i="19"/>
  <c r="AC259" i="19"/>
  <c r="AD259" i="19"/>
  <c r="AE259" i="19"/>
  <c r="AF259" i="19"/>
  <c r="C260" i="19"/>
  <c r="D260" i="19"/>
  <c r="E260" i="19"/>
  <c r="F260" i="19"/>
  <c r="G260" i="19"/>
  <c r="H260" i="19"/>
  <c r="I260" i="19"/>
  <c r="J260" i="19"/>
  <c r="K260" i="19"/>
  <c r="L260" i="19"/>
  <c r="M260" i="19"/>
  <c r="N260" i="19"/>
  <c r="O260" i="19"/>
  <c r="P260" i="19"/>
  <c r="Q260" i="19"/>
  <c r="R260" i="19"/>
  <c r="S260" i="19"/>
  <c r="T260" i="19"/>
  <c r="U260" i="19"/>
  <c r="V260" i="19"/>
  <c r="W260" i="19"/>
  <c r="X260" i="19"/>
  <c r="Y260" i="19"/>
  <c r="Z260" i="19"/>
  <c r="AA260" i="19"/>
  <c r="AB260" i="19"/>
  <c r="AC260" i="19"/>
  <c r="AD260" i="19"/>
  <c r="AE260" i="19"/>
  <c r="AF260" i="19"/>
  <c r="C261" i="19"/>
  <c r="D261" i="19"/>
  <c r="E261" i="19"/>
  <c r="F261" i="19"/>
  <c r="G261" i="19"/>
  <c r="H261" i="19"/>
  <c r="I261" i="19"/>
  <c r="J261" i="19"/>
  <c r="K261" i="19"/>
  <c r="L261" i="19"/>
  <c r="M261" i="19"/>
  <c r="N261" i="19"/>
  <c r="O261" i="19"/>
  <c r="P261" i="19"/>
  <c r="Q261" i="19"/>
  <c r="R261" i="19"/>
  <c r="S261" i="19"/>
  <c r="T261" i="19"/>
  <c r="U261" i="19"/>
  <c r="V261" i="19"/>
  <c r="W261" i="19"/>
  <c r="X261" i="19"/>
  <c r="Y261" i="19"/>
  <c r="Z261" i="19"/>
  <c r="AA261" i="19"/>
  <c r="AB261" i="19"/>
  <c r="AC261" i="19"/>
  <c r="AD261" i="19"/>
  <c r="AE261" i="19"/>
  <c r="AF261" i="19"/>
  <c r="C262" i="19"/>
  <c r="D262" i="19"/>
  <c r="E262" i="19"/>
  <c r="F262" i="19"/>
  <c r="G262" i="19"/>
  <c r="H262" i="19"/>
  <c r="I262" i="19"/>
  <c r="J262" i="19"/>
  <c r="K262" i="19"/>
  <c r="L262" i="19"/>
  <c r="M262" i="19"/>
  <c r="N262" i="19"/>
  <c r="O262" i="19"/>
  <c r="P262" i="19"/>
  <c r="Q262" i="19"/>
  <c r="R262" i="19"/>
  <c r="S262" i="19"/>
  <c r="T262" i="19"/>
  <c r="U262" i="19"/>
  <c r="V262" i="19"/>
  <c r="W262" i="19"/>
  <c r="X262" i="19"/>
  <c r="Y262" i="19"/>
  <c r="Z262" i="19"/>
  <c r="AA262" i="19"/>
  <c r="AB262" i="19"/>
  <c r="AC262" i="19"/>
  <c r="AD262" i="19"/>
  <c r="AE262" i="19"/>
  <c r="AF262" i="19"/>
  <c r="C263" i="19"/>
  <c r="D263" i="19"/>
  <c r="E263" i="19"/>
  <c r="F263" i="19"/>
  <c r="G263" i="19"/>
  <c r="H263" i="19"/>
  <c r="I263" i="19"/>
  <c r="J263" i="19"/>
  <c r="K263" i="19"/>
  <c r="L263" i="19"/>
  <c r="M263" i="19"/>
  <c r="N263" i="19"/>
  <c r="O263" i="19"/>
  <c r="P263" i="19"/>
  <c r="Q263" i="19"/>
  <c r="R263" i="19"/>
  <c r="S263" i="19"/>
  <c r="T263" i="19"/>
  <c r="U263" i="19"/>
  <c r="V263" i="19"/>
  <c r="W263" i="19"/>
  <c r="X263" i="19"/>
  <c r="Y263" i="19"/>
  <c r="Z263" i="19"/>
  <c r="AA263" i="19"/>
  <c r="AB263" i="19"/>
  <c r="AC263" i="19"/>
  <c r="AD263" i="19"/>
  <c r="AE263" i="19"/>
  <c r="AF263" i="19"/>
  <c r="C264" i="19"/>
  <c r="D264" i="19"/>
  <c r="E264" i="19"/>
  <c r="F264" i="19"/>
  <c r="G264" i="19"/>
  <c r="H264" i="19"/>
  <c r="I264" i="19"/>
  <c r="J264" i="19"/>
  <c r="K264" i="19"/>
  <c r="L264" i="19"/>
  <c r="M264" i="19"/>
  <c r="N264" i="19"/>
  <c r="O264" i="19"/>
  <c r="P264" i="19"/>
  <c r="Q264" i="19"/>
  <c r="R264" i="19"/>
  <c r="S264" i="19"/>
  <c r="T264" i="19"/>
  <c r="U264" i="19"/>
  <c r="V264" i="19"/>
  <c r="W264" i="19"/>
  <c r="X264" i="19"/>
  <c r="Y264" i="19"/>
  <c r="Z264" i="19"/>
  <c r="AA264" i="19"/>
  <c r="AB264" i="19"/>
  <c r="AC264" i="19"/>
  <c r="AD264" i="19"/>
  <c r="AE264" i="19"/>
  <c r="AF264" i="19"/>
  <c r="C265" i="19"/>
  <c r="D265" i="19"/>
  <c r="E265" i="19"/>
  <c r="F265" i="19"/>
  <c r="G265" i="19"/>
  <c r="H265" i="19"/>
  <c r="I265" i="19"/>
  <c r="J265" i="19"/>
  <c r="K265" i="19"/>
  <c r="L265" i="19"/>
  <c r="M265" i="19"/>
  <c r="N265" i="19"/>
  <c r="O265" i="19"/>
  <c r="P265" i="19"/>
  <c r="Q265" i="19"/>
  <c r="R265" i="19"/>
  <c r="S265" i="19"/>
  <c r="T265" i="19"/>
  <c r="U265" i="19"/>
  <c r="V265" i="19"/>
  <c r="W265" i="19"/>
  <c r="X265" i="19"/>
  <c r="Y265" i="19"/>
  <c r="Z265" i="19"/>
  <c r="AA265" i="19"/>
  <c r="AB265" i="19"/>
  <c r="AC265" i="19"/>
  <c r="AD265" i="19"/>
  <c r="AE265" i="19"/>
  <c r="AF265" i="19"/>
  <c r="C266" i="19"/>
  <c r="D266" i="19"/>
  <c r="E266" i="19"/>
  <c r="F266" i="19"/>
  <c r="G266" i="19"/>
  <c r="H266" i="19"/>
  <c r="I266" i="19"/>
  <c r="J266" i="19"/>
  <c r="K266" i="19"/>
  <c r="L266" i="19"/>
  <c r="M266" i="19"/>
  <c r="N266" i="19"/>
  <c r="O266" i="19"/>
  <c r="P266" i="19"/>
  <c r="Q266" i="19"/>
  <c r="R266" i="19"/>
  <c r="S266" i="19"/>
  <c r="T266" i="19"/>
  <c r="U266" i="19"/>
  <c r="V266" i="19"/>
  <c r="W266" i="19"/>
  <c r="X266" i="19"/>
  <c r="Y266" i="19"/>
  <c r="Z266" i="19"/>
  <c r="AA266" i="19"/>
  <c r="AB266" i="19"/>
  <c r="AC266" i="19"/>
  <c r="AD266" i="19"/>
  <c r="AE266" i="19"/>
  <c r="AF266" i="19"/>
  <c r="C267" i="19"/>
  <c r="D267" i="19"/>
  <c r="E267" i="19"/>
  <c r="F267" i="19"/>
  <c r="G267" i="19"/>
  <c r="H267" i="19"/>
  <c r="I267" i="19"/>
  <c r="J267" i="19"/>
  <c r="K267" i="19"/>
  <c r="L267" i="19"/>
  <c r="M267" i="19"/>
  <c r="N267" i="19"/>
  <c r="O267" i="19"/>
  <c r="P267" i="19"/>
  <c r="Q267" i="19"/>
  <c r="R267" i="19"/>
  <c r="S267" i="19"/>
  <c r="T267" i="19"/>
  <c r="U267" i="19"/>
  <c r="V267" i="19"/>
  <c r="W267" i="19"/>
  <c r="X267" i="19"/>
  <c r="Y267" i="19"/>
  <c r="Z267" i="19"/>
  <c r="AA267" i="19"/>
  <c r="AB267" i="19"/>
  <c r="AC267" i="19"/>
  <c r="AD267" i="19"/>
  <c r="AE267" i="19"/>
  <c r="AF267" i="19"/>
  <c r="C268" i="19"/>
  <c r="D268" i="19"/>
  <c r="E268" i="19"/>
  <c r="F268" i="19"/>
  <c r="G268" i="19"/>
  <c r="H268" i="19"/>
  <c r="I268" i="19"/>
  <c r="J268" i="19"/>
  <c r="K268" i="19"/>
  <c r="L268" i="19"/>
  <c r="M268" i="19"/>
  <c r="N268" i="19"/>
  <c r="O268" i="19"/>
  <c r="P268" i="19"/>
  <c r="Q268" i="19"/>
  <c r="R268" i="19"/>
  <c r="S268" i="19"/>
  <c r="T268" i="19"/>
  <c r="U268" i="19"/>
  <c r="V268" i="19"/>
  <c r="W268" i="19"/>
  <c r="X268" i="19"/>
  <c r="Y268" i="19"/>
  <c r="Z268" i="19"/>
  <c r="AA268" i="19"/>
  <c r="AB268" i="19"/>
  <c r="AC268" i="19"/>
  <c r="AD268" i="19"/>
  <c r="AE268" i="19"/>
  <c r="AF268" i="19"/>
  <c r="C269" i="19"/>
  <c r="D269" i="19"/>
  <c r="E269" i="19"/>
  <c r="F269" i="19"/>
  <c r="G269" i="19"/>
  <c r="H269" i="19"/>
  <c r="I269" i="19"/>
  <c r="J269" i="19"/>
  <c r="K269" i="19"/>
  <c r="L269" i="19"/>
  <c r="M269" i="19"/>
  <c r="N269" i="19"/>
  <c r="O269" i="19"/>
  <c r="P269" i="19"/>
  <c r="Q269" i="19"/>
  <c r="R269" i="19"/>
  <c r="S269" i="19"/>
  <c r="T269" i="19"/>
  <c r="U269" i="19"/>
  <c r="V269" i="19"/>
  <c r="W269" i="19"/>
  <c r="X269" i="19"/>
  <c r="Y269" i="19"/>
  <c r="Z269" i="19"/>
  <c r="AA269" i="19"/>
  <c r="AB269" i="19"/>
  <c r="AC269" i="19"/>
  <c r="AD269" i="19"/>
  <c r="AE269" i="19"/>
  <c r="AF269" i="19"/>
  <c r="C270" i="19"/>
  <c r="D270" i="19"/>
  <c r="E270" i="19"/>
  <c r="F270" i="19"/>
  <c r="G270" i="19"/>
  <c r="H270" i="19"/>
  <c r="I270" i="19"/>
  <c r="J270" i="19"/>
  <c r="K270" i="19"/>
  <c r="L270" i="19"/>
  <c r="M270" i="19"/>
  <c r="N270" i="19"/>
  <c r="O270" i="19"/>
  <c r="P270" i="19"/>
  <c r="Q270" i="19"/>
  <c r="R270" i="19"/>
  <c r="S270" i="19"/>
  <c r="T270" i="19"/>
  <c r="U270" i="19"/>
  <c r="V270" i="19"/>
  <c r="W270" i="19"/>
  <c r="X270" i="19"/>
  <c r="Y270" i="19"/>
  <c r="Z270" i="19"/>
  <c r="AA270" i="19"/>
  <c r="AB270" i="19"/>
  <c r="AC270" i="19"/>
  <c r="AD270" i="19"/>
  <c r="AE270" i="19"/>
  <c r="AF270" i="19"/>
  <c r="C271" i="19"/>
  <c r="D271" i="19"/>
  <c r="E271" i="19"/>
  <c r="F271" i="19"/>
  <c r="G271" i="19"/>
  <c r="H271" i="19"/>
  <c r="I271" i="19"/>
  <c r="J271" i="19"/>
  <c r="K271" i="19"/>
  <c r="L271" i="19"/>
  <c r="M271" i="19"/>
  <c r="N271" i="19"/>
  <c r="O271" i="19"/>
  <c r="P271" i="19"/>
  <c r="Q271" i="19"/>
  <c r="R271" i="19"/>
  <c r="S271" i="19"/>
  <c r="T271" i="19"/>
  <c r="U271" i="19"/>
  <c r="V271" i="19"/>
  <c r="W271" i="19"/>
  <c r="X271" i="19"/>
  <c r="Y271" i="19"/>
  <c r="Z271" i="19"/>
  <c r="AA271" i="19"/>
  <c r="AB271" i="19"/>
  <c r="AC271" i="19"/>
  <c r="AD271" i="19"/>
  <c r="AE271" i="19"/>
  <c r="AF271" i="19"/>
  <c r="C272" i="19"/>
  <c r="D272" i="19"/>
  <c r="E272" i="19"/>
  <c r="F272" i="19"/>
  <c r="G272" i="19"/>
  <c r="H272" i="19"/>
  <c r="I272" i="19"/>
  <c r="J272" i="19"/>
  <c r="K272" i="19"/>
  <c r="L272" i="19"/>
  <c r="M272" i="19"/>
  <c r="N272" i="19"/>
  <c r="O272" i="19"/>
  <c r="P272" i="19"/>
  <c r="Q272" i="19"/>
  <c r="R272" i="19"/>
  <c r="S272" i="19"/>
  <c r="T272" i="19"/>
  <c r="U272" i="19"/>
  <c r="V272" i="19"/>
  <c r="W272" i="19"/>
  <c r="X272" i="19"/>
  <c r="Y272" i="19"/>
  <c r="Z272" i="19"/>
  <c r="AA272" i="19"/>
  <c r="AB272" i="19"/>
  <c r="AC272" i="19"/>
  <c r="AD272" i="19"/>
  <c r="AE272" i="19"/>
  <c r="AF272" i="19"/>
  <c r="C273" i="19"/>
  <c r="D273" i="19"/>
  <c r="E273" i="19"/>
  <c r="F273" i="19"/>
  <c r="G273" i="19"/>
  <c r="H273" i="19"/>
  <c r="I273" i="19"/>
  <c r="J273" i="19"/>
  <c r="K273" i="19"/>
  <c r="L273" i="19"/>
  <c r="M273" i="19"/>
  <c r="N273" i="19"/>
  <c r="O273" i="19"/>
  <c r="P273" i="19"/>
  <c r="Q273" i="19"/>
  <c r="R273" i="19"/>
  <c r="S273" i="19"/>
  <c r="T273" i="19"/>
  <c r="U273" i="19"/>
  <c r="V273" i="19"/>
  <c r="W273" i="19"/>
  <c r="X273" i="19"/>
  <c r="Y273" i="19"/>
  <c r="Z273" i="19"/>
  <c r="AA273" i="19"/>
  <c r="AB273" i="19"/>
  <c r="AC273" i="19"/>
  <c r="AD273" i="19"/>
  <c r="AE273" i="19"/>
  <c r="AF273" i="19"/>
  <c r="C274" i="19"/>
  <c r="D274" i="19"/>
  <c r="E274" i="19"/>
  <c r="F274" i="19"/>
  <c r="G274" i="19"/>
  <c r="H274" i="19"/>
  <c r="I274" i="19"/>
  <c r="J274" i="19"/>
  <c r="K274" i="19"/>
  <c r="L274" i="19"/>
  <c r="M274" i="19"/>
  <c r="N274" i="19"/>
  <c r="O274" i="19"/>
  <c r="P274" i="19"/>
  <c r="Q274" i="19"/>
  <c r="R274" i="19"/>
  <c r="S274" i="19"/>
  <c r="T274" i="19"/>
  <c r="U274" i="19"/>
  <c r="V274" i="19"/>
  <c r="W274" i="19"/>
  <c r="X274" i="19"/>
  <c r="Y274" i="19"/>
  <c r="Z274" i="19"/>
  <c r="AA274" i="19"/>
  <c r="AB274" i="19"/>
  <c r="AC274" i="19"/>
  <c r="AD274" i="19"/>
  <c r="AE274" i="19"/>
  <c r="AF274" i="19"/>
  <c r="C275" i="19"/>
  <c r="D275" i="19"/>
  <c r="E275" i="19"/>
  <c r="F275" i="19"/>
  <c r="G275" i="19"/>
  <c r="H275" i="19"/>
  <c r="I275" i="19"/>
  <c r="J275" i="19"/>
  <c r="K275" i="19"/>
  <c r="L275" i="19"/>
  <c r="M275" i="19"/>
  <c r="N275" i="19"/>
  <c r="O275" i="19"/>
  <c r="P275" i="19"/>
  <c r="Q275" i="19"/>
  <c r="R275" i="19"/>
  <c r="S275" i="19"/>
  <c r="T275" i="19"/>
  <c r="U275" i="19"/>
  <c r="V275" i="19"/>
  <c r="W275" i="19"/>
  <c r="X275" i="19"/>
  <c r="Y275" i="19"/>
  <c r="Z275" i="19"/>
  <c r="AA275" i="19"/>
  <c r="AB275" i="19"/>
  <c r="AC275" i="19"/>
  <c r="AD275" i="19"/>
  <c r="AE275" i="19"/>
  <c r="AF275" i="19"/>
  <c r="C276" i="19"/>
  <c r="D276" i="19"/>
  <c r="E276" i="19"/>
  <c r="F276" i="19"/>
  <c r="G276" i="19"/>
  <c r="H276" i="19"/>
  <c r="I276" i="19"/>
  <c r="J276" i="19"/>
  <c r="K276" i="19"/>
  <c r="L276" i="19"/>
  <c r="M276" i="19"/>
  <c r="N276" i="19"/>
  <c r="O276" i="19"/>
  <c r="P276" i="19"/>
  <c r="Q276" i="19"/>
  <c r="R276" i="19"/>
  <c r="S276" i="19"/>
  <c r="T276" i="19"/>
  <c r="U276" i="19"/>
  <c r="V276" i="19"/>
  <c r="W276" i="19"/>
  <c r="X276" i="19"/>
  <c r="Y276" i="19"/>
  <c r="Z276" i="19"/>
  <c r="AA276" i="19"/>
  <c r="AB276" i="19"/>
  <c r="AC276" i="19"/>
  <c r="AD276" i="19"/>
  <c r="AE276" i="19"/>
  <c r="AF276" i="19"/>
  <c r="C277" i="19"/>
  <c r="D277" i="19"/>
  <c r="E277" i="19"/>
  <c r="F277" i="19"/>
  <c r="G277" i="19"/>
  <c r="H277" i="19"/>
  <c r="I277" i="19"/>
  <c r="J277" i="19"/>
  <c r="K277" i="19"/>
  <c r="L277" i="19"/>
  <c r="M277" i="19"/>
  <c r="N277" i="19"/>
  <c r="O277" i="19"/>
  <c r="P277" i="19"/>
  <c r="Q277" i="19"/>
  <c r="R277" i="19"/>
  <c r="S277" i="19"/>
  <c r="T277" i="19"/>
  <c r="U277" i="19"/>
  <c r="V277" i="19"/>
  <c r="W277" i="19"/>
  <c r="X277" i="19"/>
  <c r="Y277" i="19"/>
  <c r="Z277" i="19"/>
  <c r="AA277" i="19"/>
  <c r="AB277" i="19"/>
  <c r="AC277" i="19"/>
  <c r="AD277" i="19"/>
  <c r="AE277" i="19"/>
  <c r="AF277" i="19"/>
  <c r="C278" i="19"/>
  <c r="D278" i="19"/>
  <c r="E278" i="19"/>
  <c r="F278" i="19"/>
  <c r="G278" i="19"/>
  <c r="H278" i="19"/>
  <c r="I278" i="19"/>
  <c r="J278" i="19"/>
  <c r="K278" i="19"/>
  <c r="L278" i="19"/>
  <c r="M278" i="19"/>
  <c r="N278" i="19"/>
  <c r="O278" i="19"/>
  <c r="P278" i="19"/>
  <c r="Q278" i="19"/>
  <c r="R278" i="19"/>
  <c r="S278" i="19"/>
  <c r="T278" i="19"/>
  <c r="U278" i="19"/>
  <c r="V278" i="19"/>
  <c r="W278" i="19"/>
  <c r="X278" i="19"/>
  <c r="Y278" i="19"/>
  <c r="Z278" i="19"/>
  <c r="AA278" i="19"/>
  <c r="AB278" i="19"/>
  <c r="AC278" i="19"/>
  <c r="AD278" i="19"/>
  <c r="AE278" i="19"/>
  <c r="AF278" i="19"/>
  <c r="C279" i="19"/>
  <c r="D279" i="19"/>
  <c r="E279" i="19"/>
  <c r="F279" i="19"/>
  <c r="G279" i="19"/>
  <c r="H279" i="19"/>
  <c r="I279" i="19"/>
  <c r="J279" i="19"/>
  <c r="K279" i="19"/>
  <c r="L279" i="19"/>
  <c r="M279" i="19"/>
  <c r="N279" i="19"/>
  <c r="O279" i="19"/>
  <c r="P279" i="19"/>
  <c r="Q279" i="19"/>
  <c r="R279" i="19"/>
  <c r="S279" i="19"/>
  <c r="T279" i="19"/>
  <c r="U279" i="19"/>
  <c r="V279" i="19"/>
  <c r="W279" i="19"/>
  <c r="X279" i="19"/>
  <c r="Y279" i="19"/>
  <c r="Z279" i="19"/>
  <c r="AA279" i="19"/>
  <c r="AB279" i="19"/>
  <c r="AC279" i="19"/>
  <c r="AD279" i="19"/>
  <c r="AE279" i="19"/>
  <c r="AF279" i="19"/>
  <c r="C280" i="19"/>
  <c r="D280" i="19"/>
  <c r="E280" i="19"/>
  <c r="F280" i="19"/>
  <c r="G280" i="19"/>
  <c r="H280" i="19"/>
  <c r="I280" i="19"/>
  <c r="J280" i="19"/>
  <c r="K280" i="19"/>
  <c r="L280" i="19"/>
  <c r="M280" i="19"/>
  <c r="N280" i="19"/>
  <c r="O280" i="19"/>
  <c r="P280" i="19"/>
  <c r="Q280" i="19"/>
  <c r="R280" i="19"/>
  <c r="S280" i="19"/>
  <c r="T280" i="19"/>
  <c r="U280" i="19"/>
  <c r="V280" i="19"/>
  <c r="W280" i="19"/>
  <c r="X280" i="19"/>
  <c r="Y280" i="19"/>
  <c r="Z280" i="19"/>
  <c r="AA280" i="19"/>
  <c r="AB280" i="19"/>
  <c r="AC280" i="19"/>
  <c r="AD280" i="19"/>
  <c r="AE280" i="19"/>
  <c r="AF280" i="19"/>
  <c r="C281" i="19"/>
  <c r="D281" i="19"/>
  <c r="E281" i="19"/>
  <c r="F281" i="19"/>
  <c r="G281" i="19"/>
  <c r="H281" i="19"/>
  <c r="I281" i="19"/>
  <c r="J281" i="19"/>
  <c r="K281" i="19"/>
  <c r="L281" i="19"/>
  <c r="M281" i="19"/>
  <c r="N281" i="19"/>
  <c r="O281" i="19"/>
  <c r="P281" i="19"/>
  <c r="Q281" i="19"/>
  <c r="R281" i="19"/>
  <c r="S281" i="19"/>
  <c r="T281" i="19"/>
  <c r="U281" i="19"/>
  <c r="V281" i="19"/>
  <c r="W281" i="19"/>
  <c r="X281" i="19"/>
  <c r="Y281" i="19"/>
  <c r="Z281" i="19"/>
  <c r="AA281" i="19"/>
  <c r="AB281" i="19"/>
  <c r="AC281" i="19"/>
  <c r="AD281" i="19"/>
  <c r="AE281" i="19"/>
  <c r="AF281" i="19"/>
  <c r="C282" i="19"/>
  <c r="D282" i="19"/>
  <c r="E282" i="19"/>
  <c r="F282" i="19"/>
  <c r="G282" i="19"/>
  <c r="H282" i="19"/>
  <c r="I282" i="19"/>
  <c r="J282" i="19"/>
  <c r="K282" i="19"/>
  <c r="L282" i="19"/>
  <c r="M282" i="19"/>
  <c r="N282" i="19"/>
  <c r="O282" i="19"/>
  <c r="P282" i="19"/>
  <c r="Q282" i="19"/>
  <c r="R282" i="19"/>
  <c r="S282" i="19"/>
  <c r="T282" i="19"/>
  <c r="U282" i="19"/>
  <c r="V282" i="19"/>
  <c r="W282" i="19"/>
  <c r="X282" i="19"/>
  <c r="Y282" i="19"/>
  <c r="Z282" i="19"/>
  <c r="AA282" i="19"/>
  <c r="AB282" i="19"/>
  <c r="AC282" i="19"/>
  <c r="AD282" i="19"/>
  <c r="AE282" i="19"/>
  <c r="AF282" i="19"/>
  <c r="C283" i="19"/>
  <c r="D283" i="19"/>
  <c r="E283" i="19"/>
  <c r="F283" i="19"/>
  <c r="G283" i="19"/>
  <c r="H283" i="19"/>
  <c r="I283" i="19"/>
  <c r="J283" i="19"/>
  <c r="K283" i="19"/>
  <c r="L283" i="19"/>
  <c r="M283" i="19"/>
  <c r="N283" i="19"/>
  <c r="O283" i="19"/>
  <c r="P283" i="19"/>
  <c r="Q283" i="19"/>
  <c r="R283" i="19"/>
  <c r="S283" i="19"/>
  <c r="T283" i="19"/>
  <c r="U283" i="19"/>
  <c r="V283" i="19"/>
  <c r="W283" i="19"/>
  <c r="X283" i="19"/>
  <c r="Y283" i="19"/>
  <c r="Z283" i="19"/>
  <c r="AA283" i="19"/>
  <c r="AB283" i="19"/>
  <c r="AC283" i="19"/>
  <c r="AD283" i="19"/>
  <c r="AE283" i="19"/>
  <c r="AF283" i="19"/>
  <c r="C284" i="19"/>
  <c r="D284" i="19"/>
  <c r="E284" i="19"/>
  <c r="F284" i="19"/>
  <c r="G284" i="19"/>
  <c r="H284" i="19"/>
  <c r="I284" i="19"/>
  <c r="J284" i="19"/>
  <c r="K284" i="19"/>
  <c r="L284" i="19"/>
  <c r="M284" i="19"/>
  <c r="N284" i="19"/>
  <c r="O284" i="19"/>
  <c r="P284" i="19"/>
  <c r="Q284" i="19"/>
  <c r="R284" i="19"/>
  <c r="S284" i="19"/>
  <c r="T284" i="19"/>
  <c r="U284" i="19"/>
  <c r="V284" i="19"/>
  <c r="W284" i="19"/>
  <c r="X284" i="19"/>
  <c r="Y284" i="19"/>
  <c r="Z284" i="19"/>
  <c r="AA284" i="19"/>
  <c r="AB284" i="19"/>
  <c r="AC284" i="19"/>
  <c r="AD284" i="19"/>
  <c r="AE284" i="19"/>
  <c r="AF284" i="19"/>
  <c r="C285" i="19"/>
  <c r="D285" i="19"/>
  <c r="E285" i="19"/>
  <c r="F285" i="19"/>
  <c r="G285" i="19"/>
  <c r="H285" i="19"/>
  <c r="I285" i="19"/>
  <c r="J285" i="19"/>
  <c r="K285" i="19"/>
  <c r="L285" i="19"/>
  <c r="M285" i="19"/>
  <c r="N285" i="19"/>
  <c r="O285" i="19"/>
  <c r="P285" i="19"/>
  <c r="Q285" i="19"/>
  <c r="R285" i="19"/>
  <c r="S285" i="19"/>
  <c r="T285" i="19"/>
  <c r="U285" i="19"/>
  <c r="V285" i="19"/>
  <c r="W285" i="19"/>
  <c r="X285" i="19"/>
  <c r="Y285" i="19"/>
  <c r="Z285" i="19"/>
  <c r="AA285" i="19"/>
  <c r="AB285" i="19"/>
  <c r="AC285" i="19"/>
  <c r="AD285" i="19"/>
  <c r="AE285" i="19"/>
  <c r="AF285" i="19"/>
  <c r="C286" i="19"/>
  <c r="D286" i="19"/>
  <c r="E286" i="19"/>
  <c r="F286" i="19"/>
  <c r="G286" i="19"/>
  <c r="H286" i="19"/>
  <c r="I286" i="19"/>
  <c r="J286" i="19"/>
  <c r="K286" i="19"/>
  <c r="L286" i="19"/>
  <c r="M286" i="19"/>
  <c r="N286" i="19"/>
  <c r="O286" i="19"/>
  <c r="P286" i="19"/>
  <c r="Q286" i="19"/>
  <c r="R286" i="19"/>
  <c r="S286" i="19"/>
  <c r="T286" i="19"/>
  <c r="U286" i="19"/>
  <c r="V286" i="19"/>
  <c r="W286" i="19"/>
  <c r="X286" i="19"/>
  <c r="Y286" i="19"/>
  <c r="Z286" i="19"/>
  <c r="AA286" i="19"/>
  <c r="AB286" i="19"/>
  <c r="AC286" i="19"/>
  <c r="AD286" i="19"/>
  <c r="AE286" i="19"/>
  <c r="AF286" i="19"/>
  <c r="C287" i="19"/>
  <c r="D287" i="19"/>
  <c r="E287" i="19"/>
  <c r="F287" i="19"/>
  <c r="G287" i="19"/>
  <c r="H287" i="19"/>
  <c r="I287" i="19"/>
  <c r="J287" i="19"/>
  <c r="K287" i="19"/>
  <c r="L287" i="19"/>
  <c r="M287" i="19"/>
  <c r="N287" i="19"/>
  <c r="O287" i="19"/>
  <c r="P287" i="19"/>
  <c r="Q287" i="19"/>
  <c r="R287" i="19"/>
  <c r="S287" i="19"/>
  <c r="T287" i="19"/>
  <c r="U287" i="19"/>
  <c r="V287" i="19"/>
  <c r="W287" i="19"/>
  <c r="X287" i="19"/>
  <c r="Y287" i="19"/>
  <c r="Z287" i="19"/>
  <c r="AA287" i="19"/>
  <c r="AB287" i="19"/>
  <c r="AC287" i="19"/>
  <c r="AD287" i="19"/>
  <c r="AE287" i="19"/>
  <c r="AF287" i="19"/>
  <c r="C288" i="19"/>
  <c r="D288" i="19"/>
  <c r="E288" i="19"/>
  <c r="F288" i="19"/>
  <c r="G288" i="19"/>
  <c r="H288" i="19"/>
  <c r="I288" i="19"/>
  <c r="J288" i="19"/>
  <c r="K288" i="19"/>
  <c r="L288" i="19"/>
  <c r="M288" i="19"/>
  <c r="N288" i="19"/>
  <c r="O288" i="19"/>
  <c r="P288" i="19"/>
  <c r="Q288" i="19"/>
  <c r="R288" i="19"/>
  <c r="S288" i="19"/>
  <c r="T288" i="19"/>
  <c r="U288" i="19"/>
  <c r="V288" i="19"/>
  <c r="W288" i="19"/>
  <c r="X288" i="19"/>
  <c r="Y288" i="19"/>
  <c r="Z288" i="19"/>
  <c r="AA288" i="19"/>
  <c r="AB288" i="19"/>
  <c r="AC288" i="19"/>
  <c r="AD288" i="19"/>
  <c r="AE288" i="19"/>
  <c r="AF288" i="19"/>
  <c r="C289" i="19"/>
  <c r="D289" i="19"/>
  <c r="E289" i="19"/>
  <c r="F289" i="19"/>
  <c r="G289" i="19"/>
  <c r="H289" i="19"/>
  <c r="I289" i="19"/>
  <c r="J289" i="19"/>
  <c r="K289" i="19"/>
  <c r="L289" i="19"/>
  <c r="M289" i="19"/>
  <c r="N289" i="19"/>
  <c r="O289" i="19"/>
  <c r="P289" i="19"/>
  <c r="Q289" i="19"/>
  <c r="R289" i="19"/>
  <c r="S289" i="19"/>
  <c r="T289" i="19"/>
  <c r="U289" i="19"/>
  <c r="V289" i="19"/>
  <c r="W289" i="19"/>
  <c r="X289" i="19"/>
  <c r="Y289" i="19"/>
  <c r="Z289" i="19"/>
  <c r="AA289" i="19"/>
  <c r="AB289" i="19"/>
  <c r="AC289" i="19"/>
  <c r="AD289" i="19"/>
  <c r="AE289" i="19"/>
  <c r="AF289" i="19"/>
  <c r="C290" i="19"/>
  <c r="D290" i="19"/>
  <c r="E290" i="19"/>
  <c r="F290" i="19"/>
  <c r="G290" i="19"/>
  <c r="H290" i="19"/>
  <c r="I290" i="19"/>
  <c r="J290" i="19"/>
  <c r="K290" i="19"/>
  <c r="L290" i="19"/>
  <c r="M290" i="19"/>
  <c r="N290" i="19"/>
  <c r="O290" i="19"/>
  <c r="P290" i="19"/>
  <c r="Q290" i="19"/>
  <c r="R290" i="19"/>
  <c r="S290" i="19"/>
  <c r="T290" i="19"/>
  <c r="U290" i="19"/>
  <c r="V290" i="19"/>
  <c r="W290" i="19"/>
  <c r="X290" i="19"/>
  <c r="Y290" i="19"/>
  <c r="Z290" i="19"/>
  <c r="AA290" i="19"/>
  <c r="AB290" i="19"/>
  <c r="AC290" i="19"/>
  <c r="AD290" i="19"/>
  <c r="AE290" i="19"/>
  <c r="AF290" i="19"/>
  <c r="C291" i="19"/>
  <c r="D291" i="19"/>
  <c r="E291" i="19"/>
  <c r="F291" i="19"/>
  <c r="G291" i="19"/>
  <c r="H291" i="19"/>
  <c r="I291" i="19"/>
  <c r="J291" i="19"/>
  <c r="K291" i="19"/>
  <c r="L291" i="19"/>
  <c r="M291" i="19"/>
  <c r="N291" i="19"/>
  <c r="O291" i="19"/>
  <c r="P291" i="19"/>
  <c r="Q291" i="19"/>
  <c r="R291" i="19"/>
  <c r="S291" i="19"/>
  <c r="T291" i="19"/>
  <c r="U291" i="19"/>
  <c r="V291" i="19"/>
  <c r="W291" i="19"/>
  <c r="X291" i="19"/>
  <c r="Y291" i="19"/>
  <c r="Z291" i="19"/>
  <c r="AA291" i="19"/>
  <c r="AB291" i="19"/>
  <c r="AC291" i="19"/>
  <c r="AD291" i="19"/>
  <c r="AE291" i="19"/>
  <c r="AF291" i="19"/>
  <c r="C292" i="19"/>
  <c r="D292" i="19"/>
  <c r="E292" i="19"/>
  <c r="F292" i="19"/>
  <c r="G292" i="19"/>
  <c r="H292" i="19"/>
  <c r="I292" i="19"/>
  <c r="J292" i="19"/>
  <c r="K292" i="19"/>
  <c r="L292" i="19"/>
  <c r="M292" i="19"/>
  <c r="N292" i="19"/>
  <c r="O292" i="19"/>
  <c r="P292" i="19"/>
  <c r="Q292" i="19"/>
  <c r="R292" i="19"/>
  <c r="S292" i="19"/>
  <c r="T292" i="19"/>
  <c r="U292" i="19"/>
  <c r="V292" i="19"/>
  <c r="W292" i="19"/>
  <c r="X292" i="19"/>
  <c r="Y292" i="19"/>
  <c r="Z292" i="19"/>
  <c r="AA292" i="19"/>
  <c r="AB292" i="19"/>
  <c r="AC292" i="19"/>
  <c r="AD292" i="19"/>
  <c r="AE292" i="19"/>
  <c r="AF292" i="19"/>
  <c r="C293" i="19"/>
  <c r="D293" i="19"/>
  <c r="E293" i="19"/>
  <c r="F293" i="19"/>
  <c r="G293" i="19"/>
  <c r="H293" i="19"/>
  <c r="I293" i="19"/>
  <c r="J293" i="19"/>
  <c r="K293" i="19"/>
  <c r="L293" i="19"/>
  <c r="M293" i="19"/>
  <c r="N293" i="19"/>
  <c r="O293" i="19"/>
  <c r="P293" i="19"/>
  <c r="Q293" i="19"/>
  <c r="R293" i="19"/>
  <c r="S293" i="19"/>
  <c r="T293" i="19"/>
  <c r="U293" i="19"/>
  <c r="V293" i="19"/>
  <c r="W293" i="19"/>
  <c r="X293" i="19"/>
  <c r="Y293" i="19"/>
  <c r="Z293" i="19"/>
  <c r="AA293" i="19"/>
  <c r="AB293" i="19"/>
  <c r="AC293" i="19"/>
  <c r="AD293" i="19"/>
  <c r="AE293" i="19"/>
  <c r="AF293" i="19"/>
  <c r="C294" i="19"/>
  <c r="D294" i="19"/>
  <c r="E294" i="19"/>
  <c r="F294" i="19"/>
  <c r="G294" i="19"/>
  <c r="H294" i="19"/>
  <c r="I294" i="19"/>
  <c r="J294" i="19"/>
  <c r="K294" i="19"/>
  <c r="L294" i="19"/>
  <c r="M294" i="19"/>
  <c r="N294" i="19"/>
  <c r="O294" i="19"/>
  <c r="P294" i="19"/>
  <c r="Q294" i="19"/>
  <c r="R294" i="19"/>
  <c r="S294" i="19"/>
  <c r="T294" i="19"/>
  <c r="U294" i="19"/>
  <c r="V294" i="19"/>
  <c r="W294" i="19"/>
  <c r="X294" i="19"/>
  <c r="Y294" i="19"/>
  <c r="Z294" i="19"/>
  <c r="AA294" i="19"/>
  <c r="AB294" i="19"/>
  <c r="AC294" i="19"/>
  <c r="AD294" i="19"/>
  <c r="AE294" i="19"/>
  <c r="AF294" i="19"/>
  <c r="C295" i="19"/>
  <c r="D295" i="19"/>
  <c r="E295" i="19"/>
  <c r="F295" i="19"/>
  <c r="G295" i="19"/>
  <c r="H295" i="19"/>
  <c r="I295" i="19"/>
  <c r="J295" i="19"/>
  <c r="K295" i="19"/>
  <c r="L295" i="19"/>
  <c r="M295" i="19"/>
  <c r="N295" i="19"/>
  <c r="O295" i="19"/>
  <c r="P295" i="19"/>
  <c r="Q295" i="19"/>
  <c r="R295" i="19"/>
  <c r="S295" i="19"/>
  <c r="T295" i="19"/>
  <c r="U295" i="19"/>
  <c r="V295" i="19"/>
  <c r="W295" i="19"/>
  <c r="X295" i="19"/>
  <c r="Y295" i="19"/>
  <c r="Z295" i="19"/>
  <c r="AA295" i="19"/>
  <c r="AB295" i="19"/>
  <c r="AC295" i="19"/>
  <c r="AD295" i="19"/>
  <c r="AE295" i="19"/>
  <c r="AF295" i="19"/>
  <c r="C296" i="19"/>
  <c r="D296" i="19"/>
  <c r="E296" i="19"/>
  <c r="F296" i="19"/>
  <c r="G296" i="19"/>
  <c r="H296" i="19"/>
  <c r="I296" i="19"/>
  <c r="J296" i="19"/>
  <c r="K296" i="19"/>
  <c r="L296" i="19"/>
  <c r="M296" i="19"/>
  <c r="N296" i="19"/>
  <c r="O296" i="19"/>
  <c r="P296" i="19"/>
  <c r="Q296" i="19"/>
  <c r="R296" i="19"/>
  <c r="S296" i="19"/>
  <c r="T296" i="19"/>
  <c r="U296" i="19"/>
  <c r="V296" i="19"/>
  <c r="W296" i="19"/>
  <c r="X296" i="19"/>
  <c r="Y296" i="19"/>
  <c r="Z296" i="19"/>
  <c r="AA296" i="19"/>
  <c r="AB296" i="19"/>
  <c r="AC296" i="19"/>
  <c r="AD296" i="19"/>
  <c r="AE296" i="19"/>
  <c r="AF296" i="19"/>
  <c r="C297" i="19"/>
  <c r="D297" i="19"/>
  <c r="E297" i="19"/>
  <c r="F297" i="19"/>
  <c r="G297" i="19"/>
  <c r="H297" i="19"/>
  <c r="I297" i="19"/>
  <c r="J297" i="19"/>
  <c r="K297" i="19"/>
  <c r="L297" i="19"/>
  <c r="M297" i="19"/>
  <c r="N297" i="19"/>
  <c r="O297" i="19"/>
  <c r="P297" i="19"/>
  <c r="Q297" i="19"/>
  <c r="R297" i="19"/>
  <c r="S297" i="19"/>
  <c r="T297" i="19"/>
  <c r="U297" i="19"/>
  <c r="V297" i="19"/>
  <c r="W297" i="19"/>
  <c r="X297" i="19"/>
  <c r="Y297" i="19"/>
  <c r="Z297" i="19"/>
  <c r="AA297" i="19"/>
  <c r="AB297" i="19"/>
  <c r="AC297" i="19"/>
  <c r="AD297" i="19"/>
  <c r="AE297" i="19"/>
  <c r="AF297" i="19"/>
  <c r="C298" i="19"/>
  <c r="D298" i="19"/>
  <c r="E298" i="19"/>
  <c r="F298" i="19"/>
  <c r="G298" i="19"/>
  <c r="H298" i="19"/>
  <c r="I298" i="19"/>
  <c r="J298" i="19"/>
  <c r="K298" i="19"/>
  <c r="L298" i="19"/>
  <c r="M298" i="19"/>
  <c r="N298" i="19"/>
  <c r="O298" i="19"/>
  <c r="P298" i="19"/>
  <c r="Q298" i="19"/>
  <c r="R298" i="19"/>
  <c r="S298" i="19"/>
  <c r="T298" i="19"/>
  <c r="U298" i="19"/>
  <c r="V298" i="19"/>
  <c r="W298" i="19"/>
  <c r="X298" i="19"/>
  <c r="Y298" i="19"/>
  <c r="Z298" i="19"/>
  <c r="AA298" i="19"/>
  <c r="AB298" i="19"/>
  <c r="AC298" i="19"/>
  <c r="AD298" i="19"/>
  <c r="AE298" i="19"/>
  <c r="AF298" i="19"/>
  <c r="C299" i="19"/>
  <c r="D299" i="19"/>
  <c r="E299" i="19"/>
  <c r="F299" i="19"/>
  <c r="G299" i="19"/>
  <c r="H299" i="19"/>
  <c r="I299" i="19"/>
  <c r="J299" i="19"/>
  <c r="K299" i="19"/>
  <c r="L299" i="19"/>
  <c r="M299" i="19"/>
  <c r="N299" i="19"/>
  <c r="O299" i="19"/>
  <c r="P299" i="19"/>
  <c r="Q299" i="19"/>
  <c r="R299" i="19"/>
  <c r="S299" i="19"/>
  <c r="T299" i="19"/>
  <c r="U299" i="19"/>
  <c r="V299" i="19"/>
  <c r="W299" i="19"/>
  <c r="X299" i="19"/>
  <c r="Y299" i="19"/>
  <c r="Z299" i="19"/>
  <c r="AA299" i="19"/>
  <c r="AB299" i="19"/>
  <c r="AC299" i="19"/>
  <c r="AD299" i="19"/>
  <c r="AE299" i="19"/>
  <c r="AF299" i="19"/>
  <c r="C300" i="19"/>
  <c r="D300" i="19"/>
  <c r="E300" i="19"/>
  <c r="F300" i="19"/>
  <c r="G300" i="19"/>
  <c r="H300" i="19"/>
  <c r="I300" i="19"/>
  <c r="J300" i="19"/>
  <c r="K300" i="19"/>
  <c r="L300" i="19"/>
  <c r="M300" i="19"/>
  <c r="N300" i="19"/>
  <c r="O300" i="19"/>
  <c r="P300" i="19"/>
  <c r="Q300" i="19"/>
  <c r="R300" i="19"/>
  <c r="S300" i="19"/>
  <c r="T300" i="19"/>
  <c r="U300" i="19"/>
  <c r="V300" i="19"/>
  <c r="W300" i="19"/>
  <c r="X300" i="19"/>
  <c r="Y300" i="19"/>
  <c r="Z300" i="19"/>
  <c r="AA300" i="19"/>
  <c r="AB300" i="19"/>
  <c r="AC300" i="19"/>
  <c r="AD300" i="19"/>
  <c r="AE300" i="19"/>
  <c r="AF300" i="19"/>
  <c r="C301" i="19"/>
  <c r="D301" i="19"/>
  <c r="E301" i="19"/>
  <c r="F301" i="19"/>
  <c r="G301" i="19"/>
  <c r="H301" i="19"/>
  <c r="I301" i="19"/>
  <c r="J301" i="19"/>
  <c r="K301" i="19"/>
  <c r="L301" i="19"/>
  <c r="M301" i="19"/>
  <c r="N301" i="19"/>
  <c r="O301" i="19"/>
  <c r="P301" i="19"/>
  <c r="Q301" i="19"/>
  <c r="R301" i="19"/>
  <c r="S301" i="19"/>
  <c r="T301" i="19"/>
  <c r="U301" i="19"/>
  <c r="V301" i="19"/>
  <c r="W301" i="19"/>
  <c r="X301" i="19"/>
  <c r="Y301" i="19"/>
  <c r="Z301" i="19"/>
  <c r="AA301" i="19"/>
  <c r="AB301" i="19"/>
  <c r="AC301" i="19"/>
  <c r="AD301" i="19"/>
  <c r="AE301" i="19"/>
  <c r="AF301" i="19"/>
  <c r="C302" i="19"/>
  <c r="D302" i="19"/>
  <c r="E302" i="19"/>
  <c r="F302" i="19"/>
  <c r="G302" i="19"/>
  <c r="H302" i="19"/>
  <c r="I302" i="19"/>
  <c r="J302" i="19"/>
  <c r="K302" i="19"/>
  <c r="L302" i="19"/>
  <c r="M302" i="19"/>
  <c r="N302" i="19"/>
  <c r="O302" i="19"/>
  <c r="P302" i="19"/>
  <c r="Q302" i="19"/>
  <c r="R302" i="19"/>
  <c r="S302" i="19"/>
  <c r="T302" i="19"/>
  <c r="U302" i="19"/>
  <c r="V302" i="19"/>
  <c r="W302" i="19"/>
  <c r="X302" i="19"/>
  <c r="Y302" i="19"/>
  <c r="Z302" i="19"/>
  <c r="AA302" i="19"/>
  <c r="AB302" i="19"/>
  <c r="AC302" i="19"/>
  <c r="AD302" i="19"/>
  <c r="AE302" i="19"/>
  <c r="AF302" i="19"/>
  <c r="C303" i="19"/>
  <c r="D303" i="19"/>
  <c r="E303" i="19"/>
  <c r="F303" i="19"/>
  <c r="G303" i="19"/>
  <c r="H303" i="19"/>
  <c r="I303" i="19"/>
  <c r="J303" i="19"/>
  <c r="K303" i="19"/>
  <c r="L303" i="19"/>
  <c r="M303" i="19"/>
  <c r="N303" i="19"/>
  <c r="O303" i="19"/>
  <c r="P303" i="19"/>
  <c r="Q303" i="19"/>
  <c r="R303" i="19"/>
  <c r="S303" i="19"/>
  <c r="T303" i="19"/>
  <c r="U303" i="19"/>
  <c r="V303" i="19"/>
  <c r="W303" i="19"/>
  <c r="X303" i="19"/>
  <c r="Y303" i="19"/>
  <c r="Z303" i="19"/>
  <c r="AA303" i="19"/>
  <c r="AB303" i="19"/>
  <c r="AC303" i="19"/>
  <c r="AD303" i="19"/>
  <c r="AE303" i="19"/>
  <c r="AF303" i="19"/>
  <c r="C304" i="19"/>
  <c r="D304" i="19"/>
  <c r="E304" i="19"/>
  <c r="F304" i="19"/>
  <c r="G304" i="19"/>
  <c r="H304" i="19"/>
  <c r="I304" i="19"/>
  <c r="J304" i="19"/>
  <c r="K304" i="19"/>
  <c r="L304" i="19"/>
  <c r="M304" i="19"/>
  <c r="N304" i="19"/>
  <c r="O304" i="19"/>
  <c r="P304" i="19"/>
  <c r="Q304" i="19"/>
  <c r="R304" i="19"/>
  <c r="S304" i="19"/>
  <c r="T304" i="19"/>
  <c r="U304" i="19"/>
  <c r="V304" i="19"/>
  <c r="W304" i="19"/>
  <c r="X304" i="19"/>
  <c r="Y304" i="19"/>
  <c r="Z304" i="19"/>
  <c r="AA304" i="19"/>
  <c r="AB304" i="19"/>
  <c r="AC304" i="19"/>
  <c r="AD304" i="19"/>
  <c r="AE304" i="19"/>
  <c r="AF304" i="19"/>
  <c r="C305" i="19"/>
  <c r="D305" i="19"/>
  <c r="E305" i="19"/>
  <c r="F305" i="19"/>
  <c r="G305" i="19"/>
  <c r="H305" i="19"/>
  <c r="I305" i="19"/>
  <c r="J305" i="19"/>
  <c r="K305" i="19"/>
  <c r="L305" i="19"/>
  <c r="M305" i="19"/>
  <c r="N305" i="19"/>
  <c r="O305" i="19"/>
  <c r="P305" i="19"/>
  <c r="Q305" i="19"/>
  <c r="R305" i="19"/>
  <c r="S305" i="19"/>
  <c r="T305" i="19"/>
  <c r="U305" i="19"/>
  <c r="V305" i="19"/>
  <c r="W305" i="19"/>
  <c r="X305" i="19"/>
  <c r="Y305" i="19"/>
  <c r="Z305" i="19"/>
  <c r="AA305" i="19"/>
  <c r="AB305" i="19"/>
  <c r="AC305" i="19"/>
  <c r="AD305" i="19"/>
  <c r="AE305" i="19"/>
  <c r="AF305" i="19"/>
  <c r="C306" i="19"/>
  <c r="D306" i="19"/>
  <c r="E306" i="19"/>
  <c r="F306" i="19"/>
  <c r="G306" i="19"/>
  <c r="H306" i="19"/>
  <c r="I306" i="19"/>
  <c r="J306" i="19"/>
  <c r="K306" i="19"/>
  <c r="L306" i="19"/>
  <c r="M306" i="19"/>
  <c r="N306" i="19"/>
  <c r="O306" i="19"/>
  <c r="P306" i="19"/>
  <c r="Q306" i="19"/>
  <c r="R306" i="19"/>
  <c r="S306" i="19"/>
  <c r="T306" i="19"/>
  <c r="U306" i="19"/>
  <c r="V306" i="19"/>
  <c r="W306" i="19"/>
  <c r="X306" i="19"/>
  <c r="Y306" i="19"/>
  <c r="Z306" i="19"/>
  <c r="AA306" i="19"/>
  <c r="AB306" i="19"/>
  <c r="AC306" i="19"/>
  <c r="AD306" i="19"/>
  <c r="AE306" i="19"/>
  <c r="AF306" i="19"/>
  <c r="C307" i="19"/>
  <c r="D307" i="19"/>
  <c r="E307" i="19"/>
  <c r="F307" i="19"/>
  <c r="G307" i="19"/>
  <c r="H307" i="19"/>
  <c r="I307" i="19"/>
  <c r="J307" i="19"/>
  <c r="K307" i="19"/>
  <c r="L307" i="19"/>
  <c r="M307" i="19"/>
  <c r="N307" i="19"/>
  <c r="O307" i="19"/>
  <c r="P307" i="19"/>
  <c r="Q307" i="19"/>
  <c r="R307" i="19"/>
  <c r="S307" i="19"/>
  <c r="T307" i="19"/>
  <c r="U307" i="19"/>
  <c r="V307" i="19"/>
  <c r="W307" i="19"/>
  <c r="X307" i="19"/>
  <c r="Y307" i="19"/>
  <c r="Z307" i="19"/>
  <c r="AA307" i="19"/>
  <c r="AB307" i="19"/>
  <c r="AC307" i="19"/>
  <c r="AD307" i="19"/>
  <c r="AE307" i="19"/>
  <c r="AF307" i="19"/>
  <c r="C308" i="19"/>
  <c r="D308" i="19"/>
  <c r="E308" i="19"/>
  <c r="F308" i="19"/>
  <c r="G308" i="19"/>
  <c r="H308" i="19"/>
  <c r="I308" i="19"/>
  <c r="J308" i="19"/>
  <c r="K308" i="19"/>
  <c r="L308" i="19"/>
  <c r="M308" i="19"/>
  <c r="N308" i="19"/>
  <c r="O308" i="19"/>
  <c r="P308" i="19"/>
  <c r="Q308" i="19"/>
  <c r="R308" i="19"/>
  <c r="S308" i="19"/>
  <c r="T308" i="19"/>
  <c r="U308" i="19"/>
  <c r="V308" i="19"/>
  <c r="W308" i="19"/>
  <c r="X308" i="19"/>
  <c r="Y308" i="19"/>
  <c r="Z308" i="19"/>
  <c r="AA308" i="19"/>
  <c r="AB308" i="19"/>
  <c r="AC308" i="19"/>
  <c r="AD308" i="19"/>
  <c r="AE308" i="19"/>
  <c r="AF308" i="19"/>
  <c r="C309" i="19"/>
  <c r="D309" i="19"/>
  <c r="E309" i="19"/>
  <c r="F309" i="19"/>
  <c r="G309" i="19"/>
  <c r="H309" i="19"/>
  <c r="I309" i="19"/>
  <c r="J309" i="19"/>
  <c r="K309" i="19"/>
  <c r="L309" i="19"/>
  <c r="M309" i="19"/>
  <c r="N309" i="19"/>
  <c r="O309" i="19"/>
  <c r="P309" i="19"/>
  <c r="Q309" i="19"/>
  <c r="R309" i="19"/>
  <c r="S309" i="19"/>
  <c r="T309" i="19"/>
  <c r="U309" i="19"/>
  <c r="V309" i="19"/>
  <c r="W309" i="19"/>
  <c r="X309" i="19"/>
  <c r="Y309" i="19"/>
  <c r="Z309" i="19"/>
  <c r="AA309" i="19"/>
  <c r="AB309" i="19"/>
  <c r="AC309" i="19"/>
  <c r="AD309" i="19"/>
  <c r="AE309" i="19"/>
  <c r="AF309" i="19"/>
  <c r="C310" i="19"/>
  <c r="D310" i="19"/>
  <c r="E310" i="19"/>
  <c r="F310" i="19"/>
  <c r="G310" i="19"/>
  <c r="H310" i="19"/>
  <c r="I310" i="19"/>
  <c r="J310" i="19"/>
  <c r="K310" i="19"/>
  <c r="L310" i="19"/>
  <c r="M310" i="19"/>
  <c r="N310" i="19"/>
  <c r="O310" i="19"/>
  <c r="P310" i="19"/>
  <c r="Q310" i="19"/>
  <c r="R310" i="19"/>
  <c r="S310" i="19"/>
  <c r="T310" i="19"/>
  <c r="U310" i="19"/>
  <c r="V310" i="19"/>
  <c r="W310" i="19"/>
  <c r="X310" i="19"/>
  <c r="Y310" i="19"/>
  <c r="Z310" i="19"/>
  <c r="AA310" i="19"/>
  <c r="AB310" i="19"/>
  <c r="AC310" i="19"/>
  <c r="AD310" i="19"/>
  <c r="AE310" i="19"/>
  <c r="AF310" i="19"/>
  <c r="C311" i="19"/>
  <c r="D311" i="19"/>
  <c r="E311" i="19"/>
  <c r="F311" i="19"/>
  <c r="G311" i="19"/>
  <c r="H311" i="19"/>
  <c r="I311" i="19"/>
  <c r="J311" i="19"/>
  <c r="K311" i="19"/>
  <c r="L311" i="19"/>
  <c r="M311" i="19"/>
  <c r="N311" i="19"/>
  <c r="O311" i="19"/>
  <c r="P311" i="19"/>
  <c r="Q311" i="19"/>
  <c r="R311" i="19"/>
  <c r="S311" i="19"/>
  <c r="T311" i="19"/>
  <c r="U311" i="19"/>
  <c r="V311" i="19"/>
  <c r="W311" i="19"/>
  <c r="X311" i="19"/>
  <c r="Y311" i="19"/>
  <c r="Z311" i="19"/>
  <c r="AA311" i="19"/>
  <c r="AB311" i="19"/>
  <c r="AC311" i="19"/>
  <c r="AD311" i="19"/>
  <c r="AE311" i="19"/>
  <c r="AF311" i="19"/>
  <c r="C312" i="19"/>
  <c r="D312" i="19"/>
  <c r="E312" i="19"/>
  <c r="F312" i="19"/>
  <c r="G312" i="19"/>
  <c r="H312" i="19"/>
  <c r="I312" i="19"/>
  <c r="J312" i="19"/>
  <c r="K312" i="19"/>
  <c r="L312" i="19"/>
  <c r="M312" i="19"/>
  <c r="N312" i="19"/>
  <c r="O312" i="19"/>
  <c r="P312" i="19"/>
  <c r="Q312" i="19"/>
  <c r="R312" i="19"/>
  <c r="S312" i="19"/>
  <c r="T312" i="19"/>
  <c r="U312" i="19"/>
  <c r="V312" i="19"/>
  <c r="W312" i="19"/>
  <c r="X312" i="19"/>
  <c r="Y312" i="19"/>
  <c r="Z312" i="19"/>
  <c r="AA312" i="19"/>
  <c r="AB312" i="19"/>
  <c r="AC312" i="19"/>
  <c r="AD312" i="19"/>
  <c r="AE312" i="19"/>
  <c r="AF312" i="19"/>
  <c r="C313" i="19"/>
  <c r="D313" i="19"/>
  <c r="E313" i="19"/>
  <c r="F313" i="19"/>
  <c r="G313" i="19"/>
  <c r="H313" i="19"/>
  <c r="I313" i="19"/>
  <c r="J313" i="19"/>
  <c r="K313" i="19"/>
  <c r="L313" i="19"/>
  <c r="M313" i="19"/>
  <c r="N313" i="19"/>
  <c r="O313" i="19"/>
  <c r="P313" i="19"/>
  <c r="Q313" i="19"/>
  <c r="R313" i="19"/>
  <c r="S313" i="19"/>
  <c r="T313" i="19"/>
  <c r="U313" i="19"/>
  <c r="V313" i="19"/>
  <c r="W313" i="19"/>
  <c r="X313" i="19"/>
  <c r="Y313" i="19"/>
  <c r="Z313" i="19"/>
  <c r="AA313" i="19"/>
  <c r="AB313" i="19"/>
  <c r="AC313" i="19"/>
  <c r="AD313" i="19"/>
  <c r="AE313" i="19"/>
  <c r="AF313" i="19"/>
  <c r="C314" i="19"/>
  <c r="D314" i="19"/>
  <c r="E314" i="19"/>
  <c r="F314" i="19"/>
  <c r="G314" i="19"/>
  <c r="H314" i="19"/>
  <c r="I314" i="19"/>
  <c r="J314" i="19"/>
  <c r="K314" i="19"/>
  <c r="L314" i="19"/>
  <c r="M314" i="19"/>
  <c r="N314" i="19"/>
  <c r="O314" i="19"/>
  <c r="P314" i="19"/>
  <c r="Q314" i="19"/>
  <c r="R314" i="19"/>
  <c r="S314" i="19"/>
  <c r="T314" i="19"/>
  <c r="U314" i="19"/>
  <c r="V314" i="19"/>
  <c r="W314" i="19"/>
  <c r="X314" i="19"/>
  <c r="Y314" i="19"/>
  <c r="Z314" i="19"/>
  <c r="AA314" i="19"/>
  <c r="AB314" i="19"/>
  <c r="AC314" i="19"/>
  <c r="AD314" i="19"/>
  <c r="AE314" i="19"/>
  <c r="AF314" i="19"/>
  <c r="C315" i="19"/>
  <c r="D315" i="19"/>
  <c r="E315" i="19"/>
  <c r="F315" i="19"/>
  <c r="G315" i="19"/>
  <c r="H315" i="19"/>
  <c r="I315" i="19"/>
  <c r="J315" i="19"/>
  <c r="K315" i="19"/>
  <c r="L315" i="19"/>
  <c r="M315" i="19"/>
  <c r="N315" i="19"/>
  <c r="O315" i="19"/>
  <c r="P315" i="19"/>
  <c r="Q315" i="19"/>
  <c r="R315" i="19"/>
  <c r="S315" i="19"/>
  <c r="T315" i="19"/>
  <c r="U315" i="19"/>
  <c r="V315" i="19"/>
  <c r="W315" i="19"/>
  <c r="X315" i="19"/>
  <c r="Y315" i="19"/>
  <c r="Z315" i="19"/>
  <c r="AA315" i="19"/>
  <c r="AB315" i="19"/>
  <c r="AC315" i="19"/>
  <c r="AD315" i="19"/>
  <c r="AE315" i="19"/>
  <c r="AF315" i="19"/>
  <c r="C316" i="19"/>
  <c r="D316" i="19"/>
  <c r="E316" i="19"/>
  <c r="F316" i="19"/>
  <c r="G316" i="19"/>
  <c r="H316" i="19"/>
  <c r="I316" i="19"/>
  <c r="J316" i="19"/>
  <c r="K316" i="19"/>
  <c r="L316" i="19"/>
  <c r="M316" i="19"/>
  <c r="N316" i="19"/>
  <c r="O316" i="19"/>
  <c r="P316" i="19"/>
  <c r="Q316" i="19"/>
  <c r="R316" i="19"/>
  <c r="S316" i="19"/>
  <c r="T316" i="19"/>
  <c r="U316" i="19"/>
  <c r="V316" i="19"/>
  <c r="W316" i="19"/>
  <c r="X316" i="19"/>
  <c r="Y316" i="19"/>
  <c r="Z316" i="19"/>
  <c r="AA316" i="19"/>
  <c r="AB316" i="19"/>
  <c r="AC316" i="19"/>
  <c r="AD316" i="19"/>
  <c r="AE316" i="19"/>
  <c r="AF316" i="19"/>
  <c r="C317" i="19"/>
  <c r="D317" i="19"/>
  <c r="E317" i="19"/>
  <c r="F317" i="19"/>
  <c r="G317" i="19"/>
  <c r="H317" i="19"/>
  <c r="I317" i="19"/>
  <c r="J317" i="19"/>
  <c r="K317" i="19"/>
  <c r="L317" i="19"/>
  <c r="M317" i="19"/>
  <c r="N317" i="19"/>
  <c r="O317" i="19"/>
  <c r="P317" i="19"/>
  <c r="Q317" i="19"/>
  <c r="R317" i="19"/>
  <c r="S317" i="19"/>
  <c r="T317" i="19"/>
  <c r="U317" i="19"/>
  <c r="V317" i="19"/>
  <c r="W317" i="19"/>
  <c r="X317" i="19"/>
  <c r="Y317" i="19"/>
  <c r="Z317" i="19"/>
  <c r="AA317" i="19"/>
  <c r="AB317" i="19"/>
  <c r="AC317" i="19"/>
  <c r="AD317" i="19"/>
  <c r="AE317" i="19"/>
  <c r="AF317" i="19"/>
  <c r="C318" i="19"/>
  <c r="D318" i="19"/>
  <c r="E318" i="19"/>
  <c r="F318" i="19"/>
  <c r="G318" i="19"/>
  <c r="H318" i="19"/>
  <c r="I318" i="19"/>
  <c r="J318" i="19"/>
  <c r="K318" i="19"/>
  <c r="L318" i="19"/>
  <c r="M318" i="19"/>
  <c r="N318" i="19"/>
  <c r="O318" i="19"/>
  <c r="P318" i="19"/>
  <c r="Q318" i="19"/>
  <c r="R318" i="19"/>
  <c r="S318" i="19"/>
  <c r="T318" i="19"/>
  <c r="U318" i="19"/>
  <c r="V318" i="19"/>
  <c r="W318" i="19"/>
  <c r="X318" i="19"/>
  <c r="Y318" i="19"/>
  <c r="Z318" i="19"/>
  <c r="AA318" i="19"/>
  <c r="AB318" i="19"/>
  <c r="AC318" i="19"/>
  <c r="AD318" i="19"/>
  <c r="AE318" i="19"/>
  <c r="AF318" i="19"/>
  <c r="C319" i="19"/>
  <c r="D319" i="19"/>
  <c r="E319" i="19"/>
  <c r="F319" i="19"/>
  <c r="G319" i="19"/>
  <c r="H319" i="19"/>
  <c r="I319" i="19"/>
  <c r="J319" i="19"/>
  <c r="K319" i="19"/>
  <c r="L319" i="19"/>
  <c r="M319" i="19"/>
  <c r="N319" i="19"/>
  <c r="O319" i="19"/>
  <c r="P319" i="19"/>
  <c r="Q319" i="19"/>
  <c r="R319" i="19"/>
  <c r="S319" i="19"/>
  <c r="T319" i="19"/>
  <c r="U319" i="19"/>
  <c r="V319" i="19"/>
  <c r="W319" i="19"/>
  <c r="X319" i="19"/>
  <c r="Y319" i="19"/>
  <c r="Z319" i="19"/>
  <c r="AA319" i="19"/>
  <c r="AB319" i="19"/>
  <c r="AC319" i="19"/>
  <c r="AD319" i="19"/>
  <c r="AE319" i="19"/>
  <c r="AF319" i="19"/>
  <c r="C320" i="19"/>
  <c r="D320" i="19"/>
  <c r="E320" i="19"/>
  <c r="F320" i="19"/>
  <c r="G320" i="19"/>
  <c r="H320" i="19"/>
  <c r="I320" i="19"/>
  <c r="J320" i="19"/>
  <c r="K320" i="19"/>
  <c r="L320" i="19"/>
  <c r="M320" i="19"/>
  <c r="N320" i="19"/>
  <c r="O320" i="19"/>
  <c r="P320" i="19"/>
  <c r="Q320" i="19"/>
  <c r="R320" i="19"/>
  <c r="S320" i="19"/>
  <c r="T320" i="19"/>
  <c r="U320" i="19"/>
  <c r="V320" i="19"/>
  <c r="W320" i="19"/>
  <c r="X320" i="19"/>
  <c r="Y320" i="19"/>
  <c r="Z320" i="19"/>
  <c r="AA320" i="19"/>
  <c r="AB320" i="19"/>
  <c r="AC320" i="19"/>
  <c r="AD320" i="19"/>
  <c r="AE320" i="19"/>
  <c r="AF320" i="19"/>
  <c r="C321" i="19"/>
  <c r="D321" i="19"/>
  <c r="E321" i="19"/>
  <c r="F321" i="19"/>
  <c r="G321" i="19"/>
  <c r="H321" i="19"/>
  <c r="I321" i="19"/>
  <c r="J321" i="19"/>
  <c r="K321" i="19"/>
  <c r="L321" i="19"/>
  <c r="M321" i="19"/>
  <c r="N321" i="19"/>
  <c r="O321" i="19"/>
  <c r="P321" i="19"/>
  <c r="Q321" i="19"/>
  <c r="R321" i="19"/>
  <c r="S321" i="19"/>
  <c r="T321" i="19"/>
  <c r="U321" i="19"/>
  <c r="V321" i="19"/>
  <c r="W321" i="19"/>
  <c r="X321" i="19"/>
  <c r="Y321" i="19"/>
  <c r="Z321" i="19"/>
  <c r="AA321" i="19"/>
  <c r="AB321" i="19"/>
  <c r="AC321" i="19"/>
  <c r="AD321" i="19"/>
  <c r="AE321" i="19"/>
  <c r="AF321" i="19"/>
  <c r="C322" i="19"/>
  <c r="D322" i="19"/>
  <c r="E322" i="19"/>
  <c r="F322" i="19"/>
  <c r="G322" i="19"/>
  <c r="H322" i="19"/>
  <c r="I322" i="19"/>
  <c r="J322" i="19"/>
  <c r="K322" i="19"/>
  <c r="L322" i="19"/>
  <c r="M322" i="19"/>
  <c r="N322" i="19"/>
  <c r="O322" i="19"/>
  <c r="P322" i="19"/>
  <c r="Q322" i="19"/>
  <c r="R322" i="19"/>
  <c r="S322" i="19"/>
  <c r="T322" i="19"/>
  <c r="U322" i="19"/>
  <c r="V322" i="19"/>
  <c r="W322" i="19"/>
  <c r="X322" i="19"/>
  <c r="Y322" i="19"/>
  <c r="Z322" i="19"/>
  <c r="AA322" i="19"/>
  <c r="AB322" i="19"/>
  <c r="AC322" i="19"/>
  <c r="AD322" i="19"/>
  <c r="AE322" i="19"/>
  <c r="AF322" i="19"/>
  <c r="C323" i="19"/>
  <c r="D323" i="19"/>
  <c r="E323" i="19"/>
  <c r="F323" i="19"/>
  <c r="G323" i="19"/>
  <c r="H323" i="19"/>
  <c r="I323" i="19"/>
  <c r="J323" i="19"/>
  <c r="K323" i="19"/>
  <c r="L323" i="19"/>
  <c r="M323" i="19"/>
  <c r="N323" i="19"/>
  <c r="O323" i="19"/>
  <c r="P323" i="19"/>
  <c r="Q323" i="19"/>
  <c r="R323" i="19"/>
  <c r="S323" i="19"/>
  <c r="T323" i="19"/>
  <c r="U323" i="19"/>
  <c r="V323" i="19"/>
  <c r="W323" i="19"/>
  <c r="X323" i="19"/>
  <c r="Y323" i="19"/>
  <c r="Z323" i="19"/>
  <c r="AA323" i="19"/>
  <c r="AB323" i="19"/>
  <c r="AC323" i="19"/>
  <c r="AD323" i="19"/>
  <c r="AE323" i="19"/>
  <c r="AF323" i="19"/>
  <c r="C324" i="19"/>
  <c r="D324" i="19"/>
  <c r="E324" i="19"/>
  <c r="F324" i="19"/>
  <c r="G324" i="19"/>
  <c r="H324" i="19"/>
  <c r="I324" i="19"/>
  <c r="J324" i="19"/>
  <c r="K324" i="19"/>
  <c r="L324" i="19"/>
  <c r="M324" i="19"/>
  <c r="N324" i="19"/>
  <c r="O324" i="19"/>
  <c r="P324" i="19"/>
  <c r="Q324" i="19"/>
  <c r="R324" i="19"/>
  <c r="S324" i="19"/>
  <c r="T324" i="19"/>
  <c r="U324" i="19"/>
  <c r="V324" i="19"/>
  <c r="W324" i="19"/>
  <c r="X324" i="19"/>
  <c r="Y324" i="19"/>
  <c r="Z324" i="19"/>
  <c r="AA324" i="19"/>
  <c r="AB324" i="19"/>
  <c r="AC324" i="19"/>
  <c r="AD324" i="19"/>
  <c r="AE324" i="19"/>
  <c r="AF324" i="19"/>
  <c r="C325" i="19"/>
  <c r="D325" i="19"/>
  <c r="E325" i="19"/>
  <c r="F325" i="19"/>
  <c r="G325" i="19"/>
  <c r="H325" i="19"/>
  <c r="I325" i="19"/>
  <c r="J325" i="19"/>
  <c r="K325" i="19"/>
  <c r="L325" i="19"/>
  <c r="M325" i="19"/>
  <c r="N325" i="19"/>
  <c r="O325" i="19"/>
  <c r="P325" i="19"/>
  <c r="Q325" i="19"/>
  <c r="R325" i="19"/>
  <c r="S325" i="19"/>
  <c r="T325" i="19"/>
  <c r="U325" i="19"/>
  <c r="V325" i="19"/>
  <c r="W325" i="19"/>
  <c r="X325" i="19"/>
  <c r="Y325" i="19"/>
  <c r="Z325" i="19"/>
  <c r="AA325" i="19"/>
  <c r="AB325" i="19"/>
  <c r="AC325" i="19"/>
  <c r="AD325" i="19"/>
  <c r="AE325" i="19"/>
  <c r="AF325" i="19"/>
  <c r="C326" i="19"/>
  <c r="D326" i="19"/>
  <c r="E326" i="19"/>
  <c r="F326" i="19"/>
  <c r="G326" i="19"/>
  <c r="H326" i="19"/>
  <c r="I326" i="19"/>
  <c r="J326" i="19"/>
  <c r="K326" i="19"/>
  <c r="L326" i="19"/>
  <c r="M326" i="19"/>
  <c r="N326" i="19"/>
  <c r="O326" i="19"/>
  <c r="P326" i="19"/>
  <c r="Q326" i="19"/>
  <c r="R326" i="19"/>
  <c r="S326" i="19"/>
  <c r="T326" i="19"/>
  <c r="U326" i="19"/>
  <c r="V326" i="19"/>
  <c r="W326" i="19"/>
  <c r="X326" i="19"/>
  <c r="Y326" i="19"/>
  <c r="Z326" i="19"/>
  <c r="AA326" i="19"/>
  <c r="AB326" i="19"/>
  <c r="AC326" i="19"/>
  <c r="AD326" i="19"/>
  <c r="AE326" i="19"/>
  <c r="AF326" i="19"/>
  <c r="C327" i="19"/>
  <c r="D327" i="19"/>
  <c r="E327" i="19"/>
  <c r="F327" i="19"/>
  <c r="G327" i="19"/>
  <c r="H327" i="19"/>
  <c r="I327" i="19"/>
  <c r="J327" i="19"/>
  <c r="K327" i="19"/>
  <c r="L327" i="19"/>
  <c r="M327" i="19"/>
  <c r="N327" i="19"/>
  <c r="O327" i="19"/>
  <c r="P327" i="19"/>
  <c r="Q327" i="19"/>
  <c r="R327" i="19"/>
  <c r="S327" i="19"/>
  <c r="T327" i="19"/>
  <c r="U327" i="19"/>
  <c r="V327" i="19"/>
  <c r="W327" i="19"/>
  <c r="X327" i="19"/>
  <c r="Y327" i="19"/>
  <c r="Z327" i="19"/>
  <c r="AA327" i="19"/>
  <c r="AB327" i="19"/>
  <c r="AC327" i="19"/>
  <c r="AD327" i="19"/>
  <c r="AE327" i="19"/>
  <c r="AF327" i="19"/>
  <c r="C328" i="19"/>
  <c r="D328" i="19"/>
  <c r="E328" i="19"/>
  <c r="F328" i="19"/>
  <c r="G328" i="19"/>
  <c r="H328" i="19"/>
  <c r="I328" i="19"/>
  <c r="J328" i="19"/>
  <c r="K328" i="19"/>
  <c r="L328" i="19"/>
  <c r="M328" i="19"/>
  <c r="N328" i="19"/>
  <c r="O328" i="19"/>
  <c r="P328" i="19"/>
  <c r="Q328" i="19"/>
  <c r="R328" i="19"/>
  <c r="S328" i="19"/>
  <c r="T328" i="19"/>
  <c r="U328" i="19"/>
  <c r="V328" i="19"/>
  <c r="W328" i="19"/>
  <c r="X328" i="19"/>
  <c r="Y328" i="19"/>
  <c r="Z328" i="19"/>
  <c r="AA328" i="19"/>
  <c r="AB328" i="19"/>
  <c r="AC328" i="19"/>
  <c r="AD328" i="19"/>
  <c r="AE328" i="19"/>
  <c r="AF328" i="19"/>
  <c r="C329" i="19"/>
  <c r="D329" i="19"/>
  <c r="E329" i="19"/>
  <c r="F329" i="19"/>
  <c r="G329" i="19"/>
  <c r="H329" i="19"/>
  <c r="I329" i="19"/>
  <c r="J329" i="19"/>
  <c r="K329" i="19"/>
  <c r="L329" i="19"/>
  <c r="M329" i="19"/>
  <c r="N329" i="19"/>
  <c r="O329" i="19"/>
  <c r="P329" i="19"/>
  <c r="Q329" i="19"/>
  <c r="R329" i="19"/>
  <c r="S329" i="19"/>
  <c r="T329" i="19"/>
  <c r="U329" i="19"/>
  <c r="V329" i="19"/>
  <c r="W329" i="19"/>
  <c r="X329" i="19"/>
  <c r="Y329" i="19"/>
  <c r="Z329" i="19"/>
  <c r="AA329" i="19"/>
  <c r="AB329" i="19"/>
  <c r="AC329" i="19"/>
  <c r="AD329" i="19"/>
  <c r="AE329" i="19"/>
  <c r="AF329" i="19"/>
  <c r="C330" i="19"/>
  <c r="D330" i="19"/>
  <c r="E330" i="19"/>
  <c r="F330" i="19"/>
  <c r="G330" i="19"/>
  <c r="H330" i="19"/>
  <c r="I330" i="19"/>
  <c r="J330" i="19"/>
  <c r="K330" i="19"/>
  <c r="L330" i="19"/>
  <c r="M330" i="19"/>
  <c r="N330" i="19"/>
  <c r="O330" i="19"/>
  <c r="P330" i="19"/>
  <c r="Q330" i="19"/>
  <c r="R330" i="19"/>
  <c r="S330" i="19"/>
  <c r="T330" i="19"/>
  <c r="U330" i="19"/>
  <c r="V330" i="19"/>
  <c r="W330" i="19"/>
  <c r="X330" i="19"/>
  <c r="Y330" i="19"/>
  <c r="Z330" i="19"/>
  <c r="AA330" i="19"/>
  <c r="AB330" i="19"/>
  <c r="AC330" i="19"/>
  <c r="AD330" i="19"/>
  <c r="AE330" i="19"/>
  <c r="AF330" i="19"/>
  <c r="C331" i="19"/>
  <c r="D331" i="19"/>
  <c r="E331" i="19"/>
  <c r="F331" i="19"/>
  <c r="G331" i="19"/>
  <c r="H331" i="19"/>
  <c r="I331" i="19"/>
  <c r="J331" i="19"/>
  <c r="K331" i="19"/>
  <c r="L331" i="19"/>
  <c r="M331" i="19"/>
  <c r="N331" i="19"/>
  <c r="O331" i="19"/>
  <c r="P331" i="19"/>
  <c r="Q331" i="19"/>
  <c r="R331" i="19"/>
  <c r="S331" i="19"/>
  <c r="T331" i="19"/>
  <c r="U331" i="19"/>
  <c r="V331" i="19"/>
  <c r="W331" i="19"/>
  <c r="X331" i="19"/>
  <c r="Y331" i="19"/>
  <c r="Z331" i="19"/>
  <c r="AA331" i="19"/>
  <c r="AB331" i="19"/>
  <c r="AC331" i="19"/>
  <c r="AD331" i="19"/>
  <c r="AE331" i="19"/>
  <c r="AF331" i="19"/>
  <c r="C332" i="19"/>
  <c r="D332" i="19"/>
  <c r="E332" i="19"/>
  <c r="F332" i="19"/>
  <c r="G332" i="19"/>
  <c r="H332" i="19"/>
  <c r="I332" i="19"/>
  <c r="J332" i="19"/>
  <c r="K332" i="19"/>
  <c r="L332" i="19"/>
  <c r="M332" i="19"/>
  <c r="N332" i="19"/>
  <c r="O332" i="19"/>
  <c r="P332" i="19"/>
  <c r="Q332" i="19"/>
  <c r="R332" i="19"/>
  <c r="S332" i="19"/>
  <c r="T332" i="19"/>
  <c r="U332" i="19"/>
  <c r="V332" i="19"/>
  <c r="W332" i="19"/>
  <c r="X332" i="19"/>
  <c r="Y332" i="19"/>
  <c r="Z332" i="19"/>
  <c r="AA332" i="19"/>
  <c r="AB332" i="19"/>
  <c r="AC332" i="19"/>
  <c r="AD332" i="19"/>
  <c r="AE332" i="19"/>
  <c r="AF332" i="19"/>
  <c r="C333" i="19"/>
  <c r="D333" i="19"/>
  <c r="E333" i="19"/>
  <c r="F333" i="19"/>
  <c r="G333" i="19"/>
  <c r="H333" i="19"/>
  <c r="I333" i="19"/>
  <c r="J333" i="19"/>
  <c r="K333" i="19"/>
  <c r="L333" i="19"/>
  <c r="M333" i="19"/>
  <c r="N333" i="19"/>
  <c r="O333" i="19"/>
  <c r="P333" i="19"/>
  <c r="Q333" i="19"/>
  <c r="R333" i="19"/>
  <c r="S333" i="19"/>
  <c r="T333" i="19"/>
  <c r="U333" i="19"/>
  <c r="V333" i="19"/>
  <c r="W333" i="19"/>
  <c r="X333" i="19"/>
  <c r="Y333" i="19"/>
  <c r="Z333" i="19"/>
  <c r="AA333" i="19"/>
  <c r="AB333" i="19"/>
  <c r="AC333" i="19"/>
  <c r="AD333" i="19"/>
  <c r="AE333" i="19"/>
  <c r="AF333" i="19"/>
  <c r="C334" i="19"/>
  <c r="D334" i="19"/>
  <c r="E334" i="19"/>
  <c r="F334" i="19"/>
  <c r="G334" i="19"/>
  <c r="H334" i="19"/>
  <c r="I334" i="19"/>
  <c r="J334" i="19"/>
  <c r="K334" i="19"/>
  <c r="L334" i="19"/>
  <c r="M334" i="19"/>
  <c r="N334" i="19"/>
  <c r="O334" i="19"/>
  <c r="P334" i="19"/>
  <c r="Q334" i="19"/>
  <c r="R334" i="19"/>
  <c r="S334" i="19"/>
  <c r="T334" i="19"/>
  <c r="U334" i="19"/>
  <c r="V334" i="19"/>
  <c r="W334" i="19"/>
  <c r="X334" i="19"/>
  <c r="Y334" i="19"/>
  <c r="Z334" i="19"/>
  <c r="AA334" i="19"/>
  <c r="AB334" i="19"/>
  <c r="AC334" i="19"/>
  <c r="AD334" i="19"/>
  <c r="AE334" i="19"/>
  <c r="AF334" i="19"/>
  <c r="C335" i="19"/>
  <c r="D335" i="19"/>
  <c r="E335" i="19"/>
  <c r="F335" i="19"/>
  <c r="G335" i="19"/>
  <c r="H335" i="19"/>
  <c r="I335" i="19"/>
  <c r="J335" i="19"/>
  <c r="K335" i="19"/>
  <c r="L335" i="19"/>
  <c r="M335" i="19"/>
  <c r="N335" i="19"/>
  <c r="O335" i="19"/>
  <c r="P335" i="19"/>
  <c r="Q335" i="19"/>
  <c r="R335" i="19"/>
  <c r="S335" i="19"/>
  <c r="T335" i="19"/>
  <c r="U335" i="19"/>
  <c r="V335" i="19"/>
  <c r="W335" i="19"/>
  <c r="X335" i="19"/>
  <c r="Y335" i="19"/>
  <c r="Z335" i="19"/>
  <c r="AA335" i="19"/>
  <c r="AB335" i="19"/>
  <c r="AC335" i="19"/>
  <c r="AD335" i="19"/>
  <c r="AE335" i="19"/>
  <c r="AF335" i="19"/>
  <c r="C336" i="19"/>
  <c r="D336" i="19"/>
  <c r="E336" i="19"/>
  <c r="F336" i="19"/>
  <c r="G336" i="19"/>
  <c r="H336" i="19"/>
  <c r="I336" i="19"/>
  <c r="J336" i="19"/>
  <c r="K336" i="19"/>
  <c r="L336" i="19"/>
  <c r="M336" i="19"/>
  <c r="N336" i="19"/>
  <c r="O336" i="19"/>
  <c r="P336" i="19"/>
  <c r="Q336" i="19"/>
  <c r="R336" i="19"/>
  <c r="S336" i="19"/>
  <c r="T336" i="19"/>
  <c r="U336" i="19"/>
  <c r="V336" i="19"/>
  <c r="W336" i="19"/>
  <c r="X336" i="19"/>
  <c r="Y336" i="19"/>
  <c r="Z336" i="19"/>
  <c r="AA336" i="19"/>
  <c r="AB336" i="19"/>
  <c r="AC336" i="19"/>
  <c r="AD336" i="19"/>
  <c r="AE336" i="19"/>
  <c r="AF336" i="19"/>
  <c r="C337" i="19"/>
  <c r="D337" i="19"/>
  <c r="E337" i="19"/>
  <c r="F337" i="19"/>
  <c r="G337" i="19"/>
  <c r="H337" i="19"/>
  <c r="I337" i="19"/>
  <c r="J337" i="19"/>
  <c r="K337" i="19"/>
  <c r="L337" i="19"/>
  <c r="M337" i="19"/>
  <c r="N337" i="19"/>
  <c r="O337" i="19"/>
  <c r="P337" i="19"/>
  <c r="Q337" i="19"/>
  <c r="R337" i="19"/>
  <c r="S337" i="19"/>
  <c r="T337" i="19"/>
  <c r="U337" i="19"/>
  <c r="V337" i="19"/>
  <c r="W337" i="19"/>
  <c r="X337" i="19"/>
  <c r="Y337" i="19"/>
  <c r="Z337" i="19"/>
  <c r="AA337" i="19"/>
  <c r="AB337" i="19"/>
  <c r="AC337" i="19"/>
  <c r="AD337" i="19"/>
  <c r="AE337" i="19"/>
  <c r="AF337" i="19"/>
  <c r="C338" i="19"/>
  <c r="D338" i="19"/>
  <c r="E338" i="19"/>
  <c r="F338" i="19"/>
  <c r="G338" i="19"/>
  <c r="H338" i="19"/>
  <c r="I338" i="19"/>
  <c r="J338" i="19"/>
  <c r="K338" i="19"/>
  <c r="L338" i="19"/>
  <c r="M338" i="19"/>
  <c r="N338" i="19"/>
  <c r="O338" i="19"/>
  <c r="P338" i="19"/>
  <c r="Q338" i="19"/>
  <c r="R338" i="19"/>
  <c r="S338" i="19"/>
  <c r="T338" i="19"/>
  <c r="U338" i="19"/>
  <c r="V338" i="19"/>
  <c r="W338" i="19"/>
  <c r="X338" i="19"/>
  <c r="Y338" i="19"/>
  <c r="Z338" i="19"/>
  <c r="AA338" i="19"/>
  <c r="AB338" i="19"/>
  <c r="AC338" i="19"/>
  <c r="AD338" i="19"/>
  <c r="AE338" i="19"/>
  <c r="AF338" i="19"/>
  <c r="C339" i="19"/>
  <c r="D339" i="19"/>
  <c r="E339" i="19"/>
  <c r="F339" i="19"/>
  <c r="G339" i="19"/>
  <c r="H339" i="19"/>
  <c r="I339" i="19"/>
  <c r="J339" i="19"/>
  <c r="K339" i="19"/>
  <c r="L339" i="19"/>
  <c r="M339" i="19"/>
  <c r="N339" i="19"/>
  <c r="O339" i="19"/>
  <c r="P339" i="19"/>
  <c r="Q339" i="19"/>
  <c r="R339" i="19"/>
  <c r="S339" i="19"/>
  <c r="T339" i="19"/>
  <c r="U339" i="19"/>
  <c r="V339" i="19"/>
  <c r="W339" i="19"/>
  <c r="X339" i="19"/>
  <c r="Y339" i="19"/>
  <c r="Z339" i="19"/>
  <c r="AA339" i="19"/>
  <c r="AB339" i="19"/>
  <c r="AC339" i="19"/>
  <c r="AD339" i="19"/>
  <c r="AE339" i="19"/>
  <c r="AF339" i="19"/>
  <c r="C340" i="19"/>
  <c r="D340" i="19"/>
  <c r="E340" i="19"/>
  <c r="F340" i="19"/>
  <c r="G340" i="19"/>
  <c r="H340" i="19"/>
  <c r="I340" i="19"/>
  <c r="J340" i="19"/>
  <c r="K340" i="19"/>
  <c r="L340" i="19"/>
  <c r="M340" i="19"/>
  <c r="N340" i="19"/>
  <c r="O340" i="19"/>
  <c r="P340" i="19"/>
  <c r="Q340" i="19"/>
  <c r="R340" i="19"/>
  <c r="S340" i="19"/>
  <c r="T340" i="19"/>
  <c r="U340" i="19"/>
  <c r="V340" i="19"/>
  <c r="W340" i="19"/>
  <c r="X340" i="19"/>
  <c r="Y340" i="19"/>
  <c r="Z340" i="19"/>
  <c r="AA340" i="19"/>
  <c r="AB340" i="19"/>
  <c r="AC340" i="19"/>
  <c r="AD340" i="19"/>
  <c r="AE340" i="19"/>
  <c r="AF340" i="19"/>
  <c r="C341" i="19"/>
  <c r="D341" i="19"/>
  <c r="E341" i="19"/>
  <c r="F341" i="19"/>
  <c r="G341" i="19"/>
  <c r="H341" i="19"/>
  <c r="I341" i="19"/>
  <c r="J341" i="19"/>
  <c r="K341" i="19"/>
  <c r="L341" i="19"/>
  <c r="M341" i="19"/>
  <c r="N341" i="19"/>
  <c r="O341" i="19"/>
  <c r="P341" i="19"/>
  <c r="Q341" i="19"/>
  <c r="R341" i="19"/>
  <c r="S341" i="19"/>
  <c r="T341" i="19"/>
  <c r="U341" i="19"/>
  <c r="V341" i="19"/>
  <c r="W341" i="19"/>
  <c r="X341" i="19"/>
  <c r="Y341" i="19"/>
  <c r="Z341" i="19"/>
  <c r="AA341" i="19"/>
  <c r="AB341" i="19"/>
  <c r="AC341" i="19"/>
  <c r="AD341" i="19"/>
  <c r="AE341" i="19"/>
  <c r="AF341" i="19"/>
  <c r="C342" i="19"/>
  <c r="D342" i="19"/>
  <c r="E342" i="19"/>
  <c r="F342" i="19"/>
  <c r="G342" i="19"/>
  <c r="H342" i="19"/>
  <c r="I342" i="19"/>
  <c r="J342" i="19"/>
  <c r="K342" i="19"/>
  <c r="L342" i="19"/>
  <c r="M342" i="19"/>
  <c r="N342" i="19"/>
  <c r="O342" i="19"/>
  <c r="P342" i="19"/>
  <c r="Q342" i="19"/>
  <c r="R342" i="19"/>
  <c r="S342" i="19"/>
  <c r="T342" i="19"/>
  <c r="U342" i="19"/>
  <c r="V342" i="19"/>
  <c r="W342" i="19"/>
  <c r="X342" i="19"/>
  <c r="Y342" i="19"/>
  <c r="Z342" i="19"/>
  <c r="AA342" i="19"/>
  <c r="AB342" i="19"/>
  <c r="AC342" i="19"/>
  <c r="AD342" i="19"/>
  <c r="AE342" i="19"/>
  <c r="AF342" i="19"/>
  <c r="C343" i="19"/>
  <c r="D343" i="19"/>
  <c r="E343" i="19"/>
  <c r="F343" i="19"/>
  <c r="G343" i="19"/>
  <c r="H343" i="19"/>
  <c r="I343" i="19"/>
  <c r="J343" i="19"/>
  <c r="K343" i="19"/>
  <c r="L343" i="19"/>
  <c r="M343" i="19"/>
  <c r="N343" i="19"/>
  <c r="O343" i="19"/>
  <c r="P343" i="19"/>
  <c r="Q343" i="19"/>
  <c r="R343" i="19"/>
  <c r="S343" i="19"/>
  <c r="T343" i="19"/>
  <c r="U343" i="19"/>
  <c r="V343" i="19"/>
  <c r="W343" i="19"/>
  <c r="X343" i="19"/>
  <c r="Y343" i="19"/>
  <c r="Z343" i="19"/>
  <c r="AA343" i="19"/>
  <c r="AB343" i="19"/>
  <c r="AC343" i="19"/>
  <c r="AD343" i="19"/>
  <c r="AE343" i="19"/>
  <c r="AF343" i="19"/>
  <c r="C344" i="19"/>
  <c r="D344" i="19"/>
  <c r="E344" i="19"/>
  <c r="F344" i="19"/>
  <c r="G344" i="19"/>
  <c r="H344" i="19"/>
  <c r="I344" i="19"/>
  <c r="J344" i="19"/>
  <c r="K344" i="19"/>
  <c r="L344" i="19"/>
  <c r="M344" i="19"/>
  <c r="N344" i="19"/>
  <c r="O344" i="19"/>
  <c r="P344" i="19"/>
  <c r="Q344" i="19"/>
  <c r="R344" i="19"/>
  <c r="S344" i="19"/>
  <c r="T344" i="19"/>
  <c r="U344" i="19"/>
  <c r="V344" i="19"/>
  <c r="W344" i="19"/>
  <c r="X344" i="19"/>
  <c r="Y344" i="19"/>
  <c r="Z344" i="19"/>
  <c r="AA344" i="19"/>
  <c r="AB344" i="19"/>
  <c r="AC344" i="19"/>
  <c r="AD344" i="19"/>
  <c r="AE344" i="19"/>
  <c r="AF344" i="19"/>
  <c r="C345" i="19"/>
  <c r="D345" i="19"/>
  <c r="E345" i="19"/>
  <c r="F345" i="19"/>
  <c r="G345" i="19"/>
  <c r="H345" i="19"/>
  <c r="I345" i="19"/>
  <c r="J345" i="19"/>
  <c r="K345" i="19"/>
  <c r="L345" i="19"/>
  <c r="M345" i="19"/>
  <c r="N345" i="19"/>
  <c r="O345" i="19"/>
  <c r="P345" i="19"/>
  <c r="Q345" i="19"/>
  <c r="R345" i="19"/>
  <c r="S345" i="19"/>
  <c r="T345" i="19"/>
  <c r="U345" i="19"/>
  <c r="V345" i="19"/>
  <c r="W345" i="19"/>
  <c r="X345" i="19"/>
  <c r="Y345" i="19"/>
  <c r="Z345" i="19"/>
  <c r="AA345" i="19"/>
  <c r="AB345" i="19"/>
  <c r="AC345" i="19"/>
  <c r="AD345" i="19"/>
  <c r="AE345" i="19"/>
  <c r="AF345" i="19"/>
  <c r="C346" i="19"/>
  <c r="D346" i="19"/>
  <c r="E346" i="19"/>
  <c r="F346" i="19"/>
  <c r="G346" i="19"/>
  <c r="H346" i="19"/>
  <c r="I346" i="19"/>
  <c r="J346" i="19"/>
  <c r="K346" i="19"/>
  <c r="L346" i="19"/>
  <c r="M346" i="19"/>
  <c r="N346" i="19"/>
  <c r="O346" i="19"/>
  <c r="P346" i="19"/>
  <c r="Q346" i="19"/>
  <c r="R346" i="19"/>
  <c r="S346" i="19"/>
  <c r="T346" i="19"/>
  <c r="U346" i="19"/>
  <c r="V346" i="19"/>
  <c r="W346" i="19"/>
  <c r="X346" i="19"/>
  <c r="Y346" i="19"/>
  <c r="Z346" i="19"/>
  <c r="AA346" i="19"/>
  <c r="AB346" i="19"/>
  <c r="AC346" i="19"/>
  <c r="AD346" i="19"/>
  <c r="AE346" i="19"/>
  <c r="AF346" i="19"/>
  <c r="C347" i="19"/>
  <c r="D347" i="19"/>
  <c r="E347" i="19"/>
  <c r="F347" i="19"/>
  <c r="G347" i="19"/>
  <c r="H347" i="19"/>
  <c r="I347" i="19"/>
  <c r="J347" i="19"/>
  <c r="K347" i="19"/>
  <c r="L347" i="19"/>
  <c r="M347" i="19"/>
  <c r="N347" i="19"/>
  <c r="O347" i="19"/>
  <c r="P347" i="19"/>
  <c r="Q347" i="19"/>
  <c r="R347" i="19"/>
  <c r="S347" i="19"/>
  <c r="T347" i="19"/>
  <c r="U347" i="19"/>
  <c r="V347" i="19"/>
  <c r="W347" i="19"/>
  <c r="X347" i="19"/>
  <c r="Y347" i="19"/>
  <c r="Z347" i="19"/>
  <c r="AA347" i="19"/>
  <c r="AB347" i="19"/>
  <c r="AC347" i="19"/>
  <c r="AD347" i="19"/>
  <c r="AE347" i="19"/>
  <c r="AF347" i="19"/>
  <c r="C348" i="19"/>
  <c r="D348" i="19"/>
  <c r="E348" i="19"/>
  <c r="F348" i="19"/>
  <c r="G348" i="19"/>
  <c r="H348" i="19"/>
  <c r="I348" i="19"/>
  <c r="J348" i="19"/>
  <c r="K348" i="19"/>
  <c r="L348" i="19"/>
  <c r="M348" i="19"/>
  <c r="N348" i="19"/>
  <c r="O348" i="19"/>
  <c r="P348" i="19"/>
  <c r="Q348" i="19"/>
  <c r="R348" i="19"/>
  <c r="S348" i="19"/>
  <c r="T348" i="19"/>
  <c r="U348" i="19"/>
  <c r="V348" i="19"/>
  <c r="W348" i="19"/>
  <c r="X348" i="19"/>
  <c r="Y348" i="19"/>
  <c r="Z348" i="19"/>
  <c r="AA348" i="19"/>
  <c r="AB348" i="19"/>
  <c r="AC348" i="19"/>
  <c r="AD348" i="19"/>
  <c r="AE348" i="19"/>
  <c r="AF348" i="19"/>
  <c r="C349" i="19"/>
  <c r="D349" i="19"/>
  <c r="E349" i="19"/>
  <c r="F349" i="19"/>
  <c r="G349" i="19"/>
  <c r="H349" i="19"/>
  <c r="I349" i="19"/>
  <c r="J349" i="19"/>
  <c r="K349" i="19"/>
  <c r="L349" i="19"/>
  <c r="M349" i="19"/>
  <c r="N349" i="19"/>
  <c r="O349" i="19"/>
  <c r="P349" i="19"/>
  <c r="Q349" i="19"/>
  <c r="R349" i="19"/>
  <c r="S349" i="19"/>
  <c r="T349" i="19"/>
  <c r="U349" i="19"/>
  <c r="V349" i="19"/>
  <c r="W349" i="19"/>
  <c r="X349" i="19"/>
  <c r="Y349" i="19"/>
  <c r="Z349" i="19"/>
  <c r="AA349" i="19"/>
  <c r="AB349" i="19"/>
  <c r="AC349" i="19"/>
  <c r="AD349" i="19"/>
  <c r="AE349" i="19"/>
  <c r="AF349" i="19"/>
  <c r="C350" i="19"/>
  <c r="D350" i="19"/>
  <c r="E350" i="19"/>
  <c r="F350" i="19"/>
  <c r="G350" i="19"/>
  <c r="H350" i="19"/>
  <c r="I350" i="19"/>
  <c r="J350" i="19"/>
  <c r="K350" i="19"/>
  <c r="L350" i="19"/>
  <c r="M350" i="19"/>
  <c r="N350" i="19"/>
  <c r="O350" i="19"/>
  <c r="P350" i="19"/>
  <c r="Q350" i="19"/>
  <c r="R350" i="19"/>
  <c r="S350" i="19"/>
  <c r="T350" i="19"/>
  <c r="U350" i="19"/>
  <c r="V350" i="19"/>
  <c r="W350" i="19"/>
  <c r="X350" i="19"/>
  <c r="Y350" i="19"/>
  <c r="Z350" i="19"/>
  <c r="AA350" i="19"/>
  <c r="AB350" i="19"/>
  <c r="AC350" i="19"/>
  <c r="AD350" i="19"/>
  <c r="AE350" i="19"/>
  <c r="AF350" i="19"/>
  <c r="C351" i="19"/>
  <c r="D351" i="19"/>
  <c r="E351" i="19"/>
  <c r="F351" i="19"/>
  <c r="G351" i="19"/>
  <c r="H351" i="19"/>
  <c r="I351" i="19"/>
  <c r="J351" i="19"/>
  <c r="K351" i="19"/>
  <c r="L351" i="19"/>
  <c r="M351" i="19"/>
  <c r="N351" i="19"/>
  <c r="O351" i="19"/>
  <c r="P351" i="19"/>
  <c r="Q351" i="19"/>
  <c r="R351" i="19"/>
  <c r="S351" i="19"/>
  <c r="T351" i="19"/>
  <c r="U351" i="19"/>
  <c r="V351" i="19"/>
  <c r="W351" i="19"/>
  <c r="X351" i="19"/>
  <c r="Y351" i="19"/>
  <c r="Z351" i="19"/>
  <c r="AA351" i="19"/>
  <c r="AB351" i="19"/>
  <c r="AC351" i="19"/>
  <c r="AD351" i="19"/>
  <c r="AE351" i="19"/>
  <c r="AF351" i="19"/>
  <c r="C352" i="19"/>
  <c r="D352" i="19"/>
  <c r="E352" i="19"/>
  <c r="F352" i="19"/>
  <c r="G352" i="19"/>
  <c r="H352" i="19"/>
  <c r="I352" i="19"/>
  <c r="J352" i="19"/>
  <c r="K352" i="19"/>
  <c r="L352" i="19"/>
  <c r="M352" i="19"/>
  <c r="N352" i="19"/>
  <c r="O352" i="19"/>
  <c r="P352" i="19"/>
  <c r="Q352" i="19"/>
  <c r="R352" i="19"/>
  <c r="S352" i="19"/>
  <c r="T352" i="19"/>
  <c r="U352" i="19"/>
  <c r="V352" i="19"/>
  <c r="W352" i="19"/>
  <c r="X352" i="19"/>
  <c r="Y352" i="19"/>
  <c r="Z352" i="19"/>
  <c r="AA352" i="19"/>
  <c r="AB352" i="19"/>
  <c r="AC352" i="19"/>
  <c r="AD352" i="19"/>
  <c r="AE352" i="19"/>
  <c r="AF352" i="19"/>
  <c r="C353" i="19"/>
  <c r="D353" i="19"/>
  <c r="E353" i="19"/>
  <c r="F353" i="19"/>
  <c r="G353" i="19"/>
  <c r="H353" i="19"/>
  <c r="I353" i="19"/>
  <c r="J353" i="19"/>
  <c r="K353" i="19"/>
  <c r="L353" i="19"/>
  <c r="M353" i="19"/>
  <c r="N353" i="19"/>
  <c r="O353" i="19"/>
  <c r="P353" i="19"/>
  <c r="Q353" i="19"/>
  <c r="R353" i="19"/>
  <c r="S353" i="19"/>
  <c r="T353" i="19"/>
  <c r="U353" i="19"/>
  <c r="V353" i="19"/>
  <c r="W353" i="19"/>
  <c r="X353" i="19"/>
  <c r="Y353" i="19"/>
  <c r="Z353" i="19"/>
  <c r="AA353" i="19"/>
  <c r="AB353" i="19"/>
  <c r="AC353" i="19"/>
  <c r="AD353" i="19"/>
  <c r="AE353" i="19"/>
  <c r="AF353" i="19"/>
  <c r="C354" i="19"/>
  <c r="D354" i="19"/>
  <c r="E354" i="19"/>
  <c r="F354" i="19"/>
  <c r="G354" i="19"/>
  <c r="H354" i="19"/>
  <c r="I354" i="19"/>
  <c r="J354" i="19"/>
  <c r="K354" i="19"/>
  <c r="L354" i="19"/>
  <c r="M354" i="19"/>
  <c r="N354" i="19"/>
  <c r="O354" i="19"/>
  <c r="P354" i="19"/>
  <c r="Q354" i="19"/>
  <c r="R354" i="19"/>
  <c r="S354" i="19"/>
  <c r="T354" i="19"/>
  <c r="U354" i="19"/>
  <c r="V354" i="19"/>
  <c r="W354" i="19"/>
  <c r="X354" i="19"/>
  <c r="Y354" i="19"/>
  <c r="Z354" i="19"/>
  <c r="AA354" i="19"/>
  <c r="AB354" i="19"/>
  <c r="AC354" i="19"/>
  <c r="AD354" i="19"/>
  <c r="AE354" i="19"/>
  <c r="AF354" i="19"/>
  <c r="C355" i="19"/>
  <c r="D355" i="19"/>
  <c r="E355" i="19"/>
  <c r="F355" i="19"/>
  <c r="G355" i="19"/>
  <c r="H355" i="19"/>
  <c r="I355" i="19"/>
  <c r="J355" i="19"/>
  <c r="K355" i="19"/>
  <c r="L355" i="19"/>
  <c r="M355" i="19"/>
  <c r="N355" i="19"/>
  <c r="O355" i="19"/>
  <c r="P355" i="19"/>
  <c r="Q355" i="19"/>
  <c r="R355" i="19"/>
  <c r="S355" i="19"/>
  <c r="T355" i="19"/>
  <c r="U355" i="19"/>
  <c r="V355" i="19"/>
  <c r="W355" i="19"/>
  <c r="X355" i="19"/>
  <c r="Y355" i="19"/>
  <c r="Z355" i="19"/>
  <c r="AA355" i="19"/>
  <c r="AB355" i="19"/>
  <c r="AC355" i="19"/>
  <c r="AD355" i="19"/>
  <c r="AE355" i="19"/>
  <c r="AF355" i="19"/>
  <c r="C356" i="19"/>
  <c r="D356" i="19"/>
  <c r="E356" i="19"/>
  <c r="F356" i="19"/>
  <c r="G356" i="19"/>
  <c r="H356" i="19"/>
  <c r="I356" i="19"/>
  <c r="J356" i="19"/>
  <c r="K356" i="19"/>
  <c r="L356" i="19"/>
  <c r="M356" i="19"/>
  <c r="N356" i="19"/>
  <c r="O356" i="19"/>
  <c r="P356" i="19"/>
  <c r="Q356" i="19"/>
  <c r="R356" i="19"/>
  <c r="S356" i="19"/>
  <c r="T356" i="19"/>
  <c r="U356" i="19"/>
  <c r="V356" i="19"/>
  <c r="W356" i="19"/>
  <c r="X356" i="19"/>
  <c r="Y356" i="19"/>
  <c r="Z356" i="19"/>
  <c r="AA356" i="19"/>
  <c r="AB356" i="19"/>
  <c r="AC356" i="19"/>
  <c r="AD356" i="19"/>
  <c r="AE356" i="19"/>
  <c r="AF356" i="19"/>
  <c r="C357" i="19"/>
  <c r="D357" i="19"/>
  <c r="E357" i="19"/>
  <c r="F357" i="19"/>
  <c r="G357" i="19"/>
  <c r="H357" i="19"/>
  <c r="I357" i="19"/>
  <c r="J357" i="19"/>
  <c r="K357" i="19"/>
  <c r="L357" i="19"/>
  <c r="M357" i="19"/>
  <c r="N357" i="19"/>
  <c r="O357" i="19"/>
  <c r="P357" i="19"/>
  <c r="Q357" i="19"/>
  <c r="R357" i="19"/>
  <c r="S357" i="19"/>
  <c r="T357" i="19"/>
  <c r="U357" i="19"/>
  <c r="V357" i="19"/>
  <c r="W357" i="19"/>
  <c r="X357" i="19"/>
  <c r="Y357" i="19"/>
  <c r="Z357" i="19"/>
  <c r="AA357" i="19"/>
  <c r="AB357" i="19"/>
  <c r="AC357" i="19"/>
  <c r="AD357" i="19"/>
  <c r="AE357" i="19"/>
  <c r="AF357" i="19"/>
  <c r="C358" i="19"/>
  <c r="D358" i="19"/>
  <c r="E358" i="19"/>
  <c r="F358" i="19"/>
  <c r="G358" i="19"/>
  <c r="H358" i="19"/>
  <c r="I358" i="19"/>
  <c r="J358" i="19"/>
  <c r="K358" i="19"/>
  <c r="L358" i="19"/>
  <c r="M358" i="19"/>
  <c r="N358" i="19"/>
  <c r="O358" i="19"/>
  <c r="P358" i="19"/>
  <c r="Q358" i="19"/>
  <c r="R358" i="19"/>
  <c r="S358" i="19"/>
  <c r="T358" i="19"/>
  <c r="U358" i="19"/>
  <c r="V358" i="19"/>
  <c r="W358" i="19"/>
  <c r="X358" i="19"/>
  <c r="Y358" i="19"/>
  <c r="Z358" i="19"/>
  <c r="AA358" i="19"/>
  <c r="AB358" i="19"/>
  <c r="AC358" i="19"/>
  <c r="AD358" i="19"/>
  <c r="AE358" i="19"/>
  <c r="AF358" i="19"/>
  <c r="C359" i="19"/>
  <c r="D359" i="19"/>
  <c r="E359" i="19"/>
  <c r="F359" i="19"/>
  <c r="G359" i="19"/>
  <c r="H359" i="19"/>
  <c r="I359" i="19"/>
  <c r="J359" i="19"/>
  <c r="K359" i="19"/>
  <c r="L359" i="19"/>
  <c r="M359" i="19"/>
  <c r="N359" i="19"/>
  <c r="O359" i="19"/>
  <c r="P359" i="19"/>
  <c r="Q359" i="19"/>
  <c r="R359" i="19"/>
  <c r="S359" i="19"/>
  <c r="T359" i="19"/>
  <c r="U359" i="19"/>
  <c r="V359" i="19"/>
  <c r="W359" i="19"/>
  <c r="X359" i="19"/>
  <c r="Y359" i="19"/>
  <c r="Z359" i="19"/>
  <c r="AA359" i="19"/>
  <c r="AB359" i="19"/>
  <c r="AC359" i="19"/>
  <c r="AD359" i="19"/>
  <c r="AE359" i="19"/>
  <c r="AF359" i="19"/>
  <c r="C360" i="19"/>
  <c r="D360" i="19"/>
  <c r="E360" i="19"/>
  <c r="F360" i="19"/>
  <c r="G360" i="19"/>
  <c r="H360" i="19"/>
  <c r="I360" i="19"/>
  <c r="J360" i="19"/>
  <c r="K360" i="19"/>
  <c r="L360" i="19"/>
  <c r="M360" i="19"/>
  <c r="N360" i="19"/>
  <c r="O360" i="19"/>
  <c r="P360" i="19"/>
  <c r="Q360" i="19"/>
  <c r="R360" i="19"/>
  <c r="S360" i="19"/>
  <c r="T360" i="19"/>
  <c r="U360" i="19"/>
  <c r="V360" i="19"/>
  <c r="W360" i="19"/>
  <c r="X360" i="19"/>
  <c r="Y360" i="19"/>
  <c r="Z360" i="19"/>
  <c r="AA360" i="19"/>
  <c r="AB360" i="19"/>
  <c r="AC360" i="19"/>
  <c r="AD360" i="19"/>
  <c r="AE360" i="19"/>
  <c r="AF360" i="19"/>
  <c r="C361" i="19"/>
  <c r="D361" i="19"/>
  <c r="E361" i="19"/>
  <c r="F361" i="19"/>
  <c r="G361" i="19"/>
  <c r="H361" i="19"/>
  <c r="I361" i="19"/>
  <c r="J361" i="19"/>
  <c r="K361" i="19"/>
  <c r="L361" i="19"/>
  <c r="M361" i="19"/>
  <c r="N361" i="19"/>
  <c r="O361" i="19"/>
  <c r="P361" i="19"/>
  <c r="Q361" i="19"/>
  <c r="R361" i="19"/>
  <c r="S361" i="19"/>
  <c r="T361" i="19"/>
  <c r="U361" i="19"/>
  <c r="V361" i="19"/>
  <c r="W361" i="19"/>
  <c r="X361" i="19"/>
  <c r="Y361" i="19"/>
  <c r="Z361" i="19"/>
  <c r="AA361" i="19"/>
  <c r="AB361" i="19"/>
  <c r="AC361" i="19"/>
  <c r="AD361" i="19"/>
  <c r="AE361" i="19"/>
  <c r="AF361" i="19"/>
  <c r="C362" i="19"/>
  <c r="D362" i="19"/>
  <c r="E362" i="19"/>
  <c r="F362" i="19"/>
  <c r="G362" i="19"/>
  <c r="H362" i="19"/>
  <c r="I362" i="19"/>
  <c r="J362" i="19"/>
  <c r="K362" i="19"/>
  <c r="L362" i="19"/>
  <c r="M362" i="19"/>
  <c r="N362" i="19"/>
  <c r="O362" i="19"/>
  <c r="P362" i="19"/>
  <c r="Q362" i="19"/>
  <c r="R362" i="19"/>
  <c r="S362" i="19"/>
  <c r="T362" i="19"/>
  <c r="U362" i="19"/>
  <c r="V362" i="19"/>
  <c r="W362" i="19"/>
  <c r="X362" i="19"/>
  <c r="Y362" i="19"/>
  <c r="Z362" i="19"/>
  <c r="AA362" i="19"/>
  <c r="AB362" i="19"/>
  <c r="AC362" i="19"/>
  <c r="AD362" i="19"/>
  <c r="AE362" i="19"/>
  <c r="AF362" i="19"/>
  <c r="C363" i="19"/>
  <c r="D363" i="19"/>
  <c r="E363" i="19"/>
  <c r="F363" i="19"/>
  <c r="G363" i="19"/>
  <c r="H363" i="19"/>
  <c r="I363" i="19"/>
  <c r="J363" i="19"/>
  <c r="K363" i="19"/>
  <c r="L363" i="19"/>
  <c r="M363" i="19"/>
  <c r="N363" i="19"/>
  <c r="O363" i="19"/>
  <c r="P363" i="19"/>
  <c r="Q363" i="19"/>
  <c r="R363" i="19"/>
  <c r="S363" i="19"/>
  <c r="T363" i="19"/>
  <c r="U363" i="19"/>
  <c r="V363" i="19"/>
  <c r="W363" i="19"/>
  <c r="X363" i="19"/>
  <c r="Y363" i="19"/>
  <c r="Z363" i="19"/>
  <c r="AA363" i="19"/>
  <c r="AB363" i="19"/>
  <c r="AC363" i="19"/>
  <c r="AD363" i="19"/>
  <c r="AE363" i="19"/>
  <c r="AF363" i="19"/>
  <c r="C364" i="19"/>
  <c r="D364" i="19"/>
  <c r="E364" i="19"/>
  <c r="F364" i="19"/>
  <c r="G364" i="19"/>
  <c r="H364" i="19"/>
  <c r="I364" i="19"/>
  <c r="J364" i="19"/>
  <c r="K364" i="19"/>
  <c r="L364" i="19"/>
  <c r="M364" i="19"/>
  <c r="N364" i="19"/>
  <c r="O364" i="19"/>
  <c r="P364" i="19"/>
  <c r="Q364" i="19"/>
  <c r="R364" i="19"/>
  <c r="S364" i="19"/>
  <c r="T364" i="19"/>
  <c r="U364" i="19"/>
  <c r="V364" i="19"/>
  <c r="W364" i="19"/>
  <c r="X364" i="19"/>
  <c r="Y364" i="19"/>
  <c r="Z364" i="19"/>
  <c r="AA364" i="19"/>
  <c r="AB364" i="19"/>
  <c r="AC364" i="19"/>
  <c r="AD364" i="19"/>
  <c r="AE364" i="19"/>
  <c r="AF364" i="19"/>
  <c r="C365" i="19"/>
  <c r="D365" i="19"/>
  <c r="E365" i="19"/>
  <c r="F365" i="19"/>
  <c r="G365" i="19"/>
  <c r="H365" i="19"/>
  <c r="I365" i="19"/>
  <c r="J365" i="19"/>
  <c r="K365" i="19"/>
  <c r="L365" i="19"/>
  <c r="M365" i="19"/>
  <c r="N365" i="19"/>
  <c r="O365" i="19"/>
  <c r="P365" i="19"/>
  <c r="Q365" i="19"/>
  <c r="R365" i="19"/>
  <c r="S365" i="19"/>
  <c r="T365" i="19"/>
  <c r="U365" i="19"/>
  <c r="V365" i="19"/>
  <c r="W365" i="19"/>
  <c r="X365" i="19"/>
  <c r="Y365" i="19"/>
  <c r="Z365" i="19"/>
  <c r="AA365" i="19"/>
  <c r="AB365" i="19"/>
  <c r="AC365" i="19"/>
  <c r="AD365" i="19"/>
  <c r="AE365" i="19"/>
  <c r="AF365" i="19"/>
  <c r="C366" i="19"/>
  <c r="D366" i="19"/>
  <c r="E366" i="19"/>
  <c r="F366" i="19"/>
  <c r="G366" i="19"/>
  <c r="H366" i="19"/>
  <c r="I366" i="19"/>
  <c r="J366" i="19"/>
  <c r="K366" i="19"/>
  <c r="L366" i="19"/>
  <c r="M366" i="19"/>
  <c r="N366" i="19"/>
  <c r="O366" i="19"/>
  <c r="P366" i="19"/>
  <c r="Q366" i="19"/>
  <c r="R366" i="19"/>
  <c r="S366" i="19"/>
  <c r="T366" i="19"/>
  <c r="U366" i="19"/>
  <c r="V366" i="19"/>
  <c r="W366" i="19"/>
  <c r="X366" i="19"/>
  <c r="Y366" i="19"/>
  <c r="Z366" i="19"/>
  <c r="AA366" i="19"/>
  <c r="AB366" i="19"/>
  <c r="AC366" i="19"/>
  <c r="AD366" i="19"/>
  <c r="AE366" i="19"/>
  <c r="AF366" i="19"/>
  <c r="C367" i="19"/>
  <c r="D367" i="19"/>
  <c r="E367" i="19"/>
  <c r="F367" i="19"/>
  <c r="G367" i="19"/>
  <c r="H367" i="19"/>
  <c r="I367" i="19"/>
  <c r="J367" i="19"/>
  <c r="K367" i="19"/>
  <c r="L367" i="19"/>
  <c r="M367" i="19"/>
  <c r="N367" i="19"/>
  <c r="O367" i="19"/>
  <c r="P367" i="19"/>
  <c r="Q367" i="19"/>
  <c r="R367" i="19"/>
  <c r="S367" i="19"/>
  <c r="T367" i="19"/>
  <c r="U367" i="19"/>
  <c r="V367" i="19"/>
  <c r="W367" i="19"/>
  <c r="X367" i="19"/>
  <c r="Y367" i="19"/>
  <c r="Z367" i="19"/>
  <c r="AA367" i="19"/>
  <c r="AB367" i="19"/>
  <c r="AC367" i="19"/>
  <c r="AD367" i="19"/>
  <c r="AE367" i="19"/>
  <c r="AF367" i="19"/>
  <c r="C368" i="19"/>
  <c r="D368" i="19"/>
  <c r="E368" i="19"/>
  <c r="F368" i="19"/>
  <c r="G368" i="19"/>
  <c r="H368" i="19"/>
  <c r="I368" i="19"/>
  <c r="J368" i="19"/>
  <c r="K368" i="19"/>
  <c r="L368" i="19"/>
  <c r="M368" i="19"/>
  <c r="N368" i="19"/>
  <c r="O368" i="19"/>
  <c r="P368" i="19"/>
  <c r="Q368" i="19"/>
  <c r="R368" i="19"/>
  <c r="S368" i="19"/>
  <c r="T368" i="19"/>
  <c r="U368" i="19"/>
  <c r="V368" i="19"/>
  <c r="W368" i="19"/>
  <c r="X368" i="19"/>
  <c r="Y368" i="19"/>
  <c r="Z368" i="19"/>
  <c r="AA368" i="19"/>
  <c r="AB368" i="19"/>
  <c r="AC368" i="19"/>
  <c r="AD368" i="19"/>
  <c r="AE368" i="19"/>
  <c r="AF368" i="19"/>
  <c r="C369" i="19"/>
  <c r="D369" i="19"/>
  <c r="E369" i="19"/>
  <c r="F369" i="19"/>
  <c r="G369" i="19"/>
  <c r="H369" i="19"/>
  <c r="I369" i="19"/>
  <c r="J369" i="19"/>
  <c r="K369" i="19"/>
  <c r="L369" i="19"/>
  <c r="M369" i="19"/>
  <c r="N369" i="19"/>
  <c r="O369" i="19"/>
  <c r="P369" i="19"/>
  <c r="Q369" i="19"/>
  <c r="R369" i="19"/>
  <c r="S369" i="19"/>
  <c r="T369" i="19"/>
  <c r="U369" i="19"/>
  <c r="V369" i="19"/>
  <c r="W369" i="19"/>
  <c r="X369" i="19"/>
  <c r="Y369" i="19"/>
  <c r="Z369" i="19"/>
  <c r="AA369" i="19"/>
  <c r="AB369" i="19"/>
  <c r="AC369" i="19"/>
  <c r="AD369" i="19"/>
  <c r="AE369" i="19"/>
  <c r="AF369" i="19"/>
  <c r="C370" i="19"/>
  <c r="D370" i="19"/>
  <c r="E370" i="19"/>
  <c r="F370" i="19"/>
  <c r="G370" i="19"/>
  <c r="H370" i="19"/>
  <c r="I370" i="19"/>
  <c r="J370" i="19"/>
  <c r="K370" i="19"/>
  <c r="L370" i="19"/>
  <c r="M370" i="19"/>
  <c r="N370" i="19"/>
  <c r="O370" i="19"/>
  <c r="P370" i="19"/>
  <c r="Q370" i="19"/>
  <c r="R370" i="19"/>
  <c r="S370" i="19"/>
  <c r="T370" i="19"/>
  <c r="U370" i="19"/>
  <c r="V370" i="19"/>
  <c r="W370" i="19"/>
  <c r="X370" i="19"/>
  <c r="Y370" i="19"/>
  <c r="Z370" i="19"/>
  <c r="AA370" i="19"/>
  <c r="AB370" i="19"/>
  <c r="AC370" i="19"/>
  <c r="AD370" i="19"/>
  <c r="AE370" i="19"/>
  <c r="AF370" i="19"/>
  <c r="C371" i="19"/>
  <c r="D371" i="19"/>
  <c r="E371" i="19"/>
  <c r="F371" i="19"/>
  <c r="G371" i="19"/>
  <c r="H371" i="19"/>
  <c r="I371" i="19"/>
  <c r="J371" i="19"/>
  <c r="K371" i="19"/>
  <c r="L371" i="19"/>
  <c r="M371" i="19"/>
  <c r="N371" i="19"/>
  <c r="O371" i="19"/>
  <c r="P371" i="19"/>
  <c r="Q371" i="19"/>
  <c r="R371" i="19"/>
  <c r="S371" i="19"/>
  <c r="T371" i="19"/>
  <c r="U371" i="19"/>
  <c r="V371" i="19"/>
  <c r="W371" i="19"/>
  <c r="X371" i="19"/>
  <c r="Y371" i="19"/>
  <c r="Z371" i="19"/>
  <c r="AA371" i="19"/>
  <c r="AB371" i="19"/>
  <c r="AC371" i="19"/>
  <c r="AD371" i="19"/>
  <c r="AE371" i="19"/>
  <c r="AF371" i="19"/>
  <c r="C372" i="19"/>
  <c r="D372" i="19"/>
  <c r="E372" i="19"/>
  <c r="F372" i="19"/>
  <c r="G372" i="19"/>
  <c r="H372" i="19"/>
  <c r="I372" i="19"/>
  <c r="J372" i="19"/>
  <c r="K372" i="19"/>
  <c r="L372" i="19"/>
  <c r="M372" i="19"/>
  <c r="N372" i="19"/>
  <c r="O372" i="19"/>
  <c r="P372" i="19"/>
  <c r="Q372" i="19"/>
  <c r="R372" i="19"/>
  <c r="S372" i="19"/>
  <c r="T372" i="19"/>
  <c r="U372" i="19"/>
  <c r="V372" i="19"/>
  <c r="W372" i="19"/>
  <c r="X372" i="19"/>
  <c r="Y372" i="19"/>
  <c r="Z372" i="19"/>
  <c r="AA372" i="19"/>
  <c r="AB372" i="19"/>
  <c r="AC372" i="19"/>
  <c r="AD372" i="19"/>
  <c r="AE372" i="19"/>
  <c r="AF372" i="19"/>
  <c r="C373" i="19"/>
  <c r="D373" i="19"/>
  <c r="E373" i="19"/>
  <c r="F373" i="19"/>
  <c r="G373" i="19"/>
  <c r="H373" i="19"/>
  <c r="I373" i="19"/>
  <c r="J373" i="19"/>
  <c r="K373" i="19"/>
  <c r="L373" i="19"/>
  <c r="M373" i="19"/>
  <c r="N373" i="19"/>
  <c r="O373" i="19"/>
  <c r="P373" i="19"/>
  <c r="Q373" i="19"/>
  <c r="R373" i="19"/>
  <c r="S373" i="19"/>
  <c r="T373" i="19"/>
  <c r="U373" i="19"/>
  <c r="V373" i="19"/>
  <c r="W373" i="19"/>
  <c r="X373" i="19"/>
  <c r="Y373" i="19"/>
  <c r="Z373" i="19"/>
  <c r="AA373" i="19"/>
  <c r="AB373" i="19"/>
  <c r="AC373" i="19"/>
  <c r="AD373" i="19"/>
  <c r="AE373" i="19"/>
  <c r="AF373" i="19"/>
  <c r="C374" i="19"/>
  <c r="D374" i="19"/>
  <c r="E374" i="19"/>
  <c r="F374" i="19"/>
  <c r="G374" i="19"/>
  <c r="H374" i="19"/>
  <c r="I374" i="19"/>
  <c r="J374" i="19"/>
  <c r="K374" i="19"/>
  <c r="L374" i="19"/>
  <c r="M374" i="19"/>
  <c r="N374" i="19"/>
  <c r="O374" i="19"/>
  <c r="P374" i="19"/>
  <c r="Q374" i="19"/>
  <c r="R374" i="19"/>
  <c r="S374" i="19"/>
  <c r="T374" i="19"/>
  <c r="U374" i="19"/>
  <c r="V374" i="19"/>
  <c r="W374" i="19"/>
  <c r="X374" i="19"/>
  <c r="Y374" i="19"/>
  <c r="Z374" i="19"/>
  <c r="AA374" i="19"/>
  <c r="AB374" i="19"/>
  <c r="AC374" i="19"/>
  <c r="AD374" i="19"/>
  <c r="AE374" i="19"/>
  <c r="AF374" i="19"/>
  <c r="C375" i="19"/>
  <c r="D375" i="19"/>
  <c r="E375" i="19"/>
  <c r="F375" i="19"/>
  <c r="G375" i="19"/>
  <c r="H375" i="19"/>
  <c r="I375" i="19"/>
  <c r="J375" i="19"/>
  <c r="K375" i="19"/>
  <c r="L375" i="19"/>
  <c r="M375" i="19"/>
  <c r="N375" i="19"/>
  <c r="O375" i="19"/>
  <c r="P375" i="19"/>
  <c r="Q375" i="19"/>
  <c r="R375" i="19"/>
  <c r="S375" i="19"/>
  <c r="T375" i="19"/>
  <c r="U375" i="19"/>
  <c r="V375" i="19"/>
  <c r="W375" i="19"/>
  <c r="X375" i="19"/>
  <c r="Y375" i="19"/>
  <c r="Z375" i="19"/>
  <c r="AA375" i="19"/>
  <c r="AB375" i="19"/>
  <c r="AC375" i="19"/>
  <c r="AD375" i="19"/>
  <c r="AE375" i="19"/>
  <c r="AF375" i="19"/>
  <c r="C376" i="19"/>
  <c r="D376" i="19"/>
  <c r="E376" i="19"/>
  <c r="F376" i="19"/>
  <c r="G376" i="19"/>
  <c r="H376" i="19"/>
  <c r="I376" i="19"/>
  <c r="J376" i="19"/>
  <c r="K376" i="19"/>
  <c r="L376" i="19"/>
  <c r="M376" i="19"/>
  <c r="N376" i="19"/>
  <c r="O376" i="19"/>
  <c r="P376" i="19"/>
  <c r="Q376" i="19"/>
  <c r="R376" i="19"/>
  <c r="S376" i="19"/>
  <c r="T376" i="19"/>
  <c r="U376" i="19"/>
  <c r="V376" i="19"/>
  <c r="W376" i="19"/>
  <c r="X376" i="19"/>
  <c r="Y376" i="19"/>
  <c r="Z376" i="19"/>
  <c r="AA376" i="19"/>
  <c r="AB376" i="19"/>
  <c r="AC376" i="19"/>
  <c r="AD376" i="19"/>
  <c r="AE376" i="19"/>
  <c r="AF376" i="19"/>
  <c r="C377" i="19"/>
  <c r="D377" i="19"/>
  <c r="E377" i="19"/>
  <c r="F377" i="19"/>
  <c r="G377" i="19"/>
  <c r="H377" i="19"/>
  <c r="I377" i="19"/>
  <c r="J377" i="19"/>
  <c r="K377" i="19"/>
  <c r="L377" i="19"/>
  <c r="M377" i="19"/>
  <c r="N377" i="19"/>
  <c r="O377" i="19"/>
  <c r="P377" i="19"/>
  <c r="Q377" i="19"/>
  <c r="R377" i="19"/>
  <c r="S377" i="19"/>
  <c r="T377" i="19"/>
  <c r="U377" i="19"/>
  <c r="V377" i="19"/>
  <c r="W377" i="19"/>
  <c r="X377" i="19"/>
  <c r="Y377" i="19"/>
  <c r="Z377" i="19"/>
  <c r="AA377" i="19"/>
  <c r="AB377" i="19"/>
  <c r="AC377" i="19"/>
  <c r="AD377" i="19"/>
  <c r="AE377" i="19"/>
  <c r="AF377" i="19"/>
  <c r="C378" i="19"/>
  <c r="D378" i="19"/>
  <c r="E378" i="19"/>
  <c r="F378" i="19"/>
  <c r="G378" i="19"/>
  <c r="H378" i="19"/>
  <c r="I378" i="19"/>
  <c r="J378" i="19"/>
  <c r="K378" i="19"/>
  <c r="L378" i="19"/>
  <c r="M378" i="19"/>
  <c r="N378" i="19"/>
  <c r="O378" i="19"/>
  <c r="P378" i="19"/>
  <c r="Q378" i="19"/>
  <c r="R378" i="19"/>
  <c r="S378" i="19"/>
  <c r="T378" i="19"/>
  <c r="U378" i="19"/>
  <c r="V378" i="19"/>
  <c r="W378" i="19"/>
  <c r="X378" i="19"/>
  <c r="Y378" i="19"/>
  <c r="Z378" i="19"/>
  <c r="AA378" i="19"/>
  <c r="AB378" i="19"/>
  <c r="AC378" i="19"/>
  <c r="AD378" i="19"/>
  <c r="AE378" i="19"/>
  <c r="AF378" i="19"/>
  <c r="C379" i="19"/>
  <c r="D379" i="19"/>
  <c r="E379" i="19"/>
  <c r="F379" i="19"/>
  <c r="G379" i="19"/>
  <c r="H379" i="19"/>
  <c r="I379" i="19"/>
  <c r="J379" i="19"/>
  <c r="K379" i="19"/>
  <c r="L379" i="19"/>
  <c r="M379" i="19"/>
  <c r="N379" i="19"/>
  <c r="O379" i="19"/>
  <c r="P379" i="19"/>
  <c r="Q379" i="19"/>
  <c r="R379" i="19"/>
  <c r="S379" i="19"/>
  <c r="T379" i="19"/>
  <c r="U379" i="19"/>
  <c r="V379" i="19"/>
  <c r="W379" i="19"/>
  <c r="X379" i="19"/>
  <c r="Y379" i="19"/>
  <c r="Z379" i="19"/>
  <c r="AA379" i="19"/>
  <c r="AB379" i="19"/>
  <c r="AC379" i="19"/>
  <c r="AD379" i="19"/>
  <c r="AE379" i="19"/>
  <c r="AF379" i="19"/>
  <c r="C380" i="19"/>
  <c r="D380" i="19"/>
  <c r="E380" i="19"/>
  <c r="F380" i="19"/>
  <c r="G380" i="19"/>
  <c r="H380" i="19"/>
  <c r="I380" i="19"/>
  <c r="J380" i="19"/>
  <c r="K380" i="19"/>
  <c r="L380" i="19"/>
  <c r="M380" i="19"/>
  <c r="N380" i="19"/>
  <c r="O380" i="19"/>
  <c r="P380" i="19"/>
  <c r="Q380" i="19"/>
  <c r="R380" i="19"/>
  <c r="S380" i="19"/>
  <c r="T380" i="19"/>
  <c r="U380" i="19"/>
  <c r="V380" i="19"/>
  <c r="W380" i="19"/>
  <c r="X380" i="19"/>
  <c r="Y380" i="19"/>
  <c r="Z380" i="19"/>
  <c r="AA380" i="19"/>
  <c r="AB380" i="19"/>
  <c r="AC380" i="19"/>
  <c r="AD380" i="19"/>
  <c r="AE380" i="19"/>
  <c r="AF380" i="19"/>
  <c r="C381" i="19"/>
  <c r="D381" i="19"/>
  <c r="E381" i="19"/>
  <c r="F381" i="19"/>
  <c r="G381" i="19"/>
  <c r="H381" i="19"/>
  <c r="I381" i="19"/>
  <c r="J381" i="19"/>
  <c r="K381" i="19"/>
  <c r="L381" i="19"/>
  <c r="M381" i="19"/>
  <c r="N381" i="19"/>
  <c r="O381" i="19"/>
  <c r="P381" i="19"/>
  <c r="Q381" i="19"/>
  <c r="R381" i="19"/>
  <c r="S381" i="19"/>
  <c r="T381" i="19"/>
  <c r="U381" i="19"/>
  <c r="V381" i="19"/>
  <c r="W381" i="19"/>
  <c r="X381" i="19"/>
  <c r="Y381" i="19"/>
  <c r="Z381" i="19"/>
  <c r="AA381" i="19"/>
  <c r="AB381" i="19"/>
  <c r="AC381" i="19"/>
  <c r="AD381" i="19"/>
  <c r="AE381" i="19"/>
  <c r="AF381" i="19"/>
  <c r="C382" i="19"/>
  <c r="D382" i="19"/>
  <c r="E382" i="19"/>
  <c r="F382" i="19"/>
  <c r="G382" i="19"/>
  <c r="H382" i="19"/>
  <c r="I382" i="19"/>
  <c r="J382" i="19"/>
  <c r="K382" i="19"/>
  <c r="L382" i="19"/>
  <c r="M382" i="19"/>
  <c r="N382" i="19"/>
  <c r="O382" i="19"/>
  <c r="P382" i="19"/>
  <c r="Q382" i="19"/>
  <c r="R382" i="19"/>
  <c r="S382" i="19"/>
  <c r="T382" i="19"/>
  <c r="U382" i="19"/>
  <c r="V382" i="19"/>
  <c r="W382" i="19"/>
  <c r="X382" i="19"/>
  <c r="Y382" i="19"/>
  <c r="Z382" i="19"/>
  <c r="AA382" i="19"/>
  <c r="AB382" i="19"/>
  <c r="AC382" i="19"/>
  <c r="AD382" i="19"/>
  <c r="AE382" i="19"/>
  <c r="AF382" i="19"/>
  <c r="C383" i="19"/>
  <c r="D383" i="19"/>
  <c r="E383" i="19"/>
  <c r="F383" i="19"/>
  <c r="G383" i="19"/>
  <c r="H383" i="19"/>
  <c r="I383" i="19"/>
  <c r="J383" i="19"/>
  <c r="K383" i="19"/>
  <c r="L383" i="19"/>
  <c r="M383" i="19"/>
  <c r="N383" i="19"/>
  <c r="O383" i="19"/>
  <c r="P383" i="19"/>
  <c r="Q383" i="19"/>
  <c r="R383" i="19"/>
  <c r="S383" i="19"/>
  <c r="T383" i="19"/>
  <c r="U383" i="19"/>
  <c r="V383" i="19"/>
  <c r="W383" i="19"/>
  <c r="X383" i="19"/>
  <c r="Y383" i="19"/>
  <c r="Z383" i="19"/>
  <c r="AA383" i="19"/>
  <c r="AB383" i="19"/>
  <c r="AC383" i="19"/>
  <c r="AD383" i="19"/>
  <c r="AE383" i="19"/>
  <c r="AF383" i="19"/>
  <c r="C384" i="19"/>
  <c r="D384" i="19"/>
  <c r="E384" i="19"/>
  <c r="F384" i="19"/>
  <c r="G384" i="19"/>
  <c r="H384" i="19"/>
  <c r="I384" i="19"/>
  <c r="J384" i="19"/>
  <c r="K384" i="19"/>
  <c r="L384" i="19"/>
  <c r="M384" i="19"/>
  <c r="N384" i="19"/>
  <c r="O384" i="19"/>
  <c r="P384" i="19"/>
  <c r="Q384" i="19"/>
  <c r="R384" i="19"/>
  <c r="S384" i="19"/>
  <c r="T384" i="19"/>
  <c r="U384" i="19"/>
  <c r="V384" i="19"/>
  <c r="W384" i="19"/>
  <c r="X384" i="19"/>
  <c r="Y384" i="19"/>
  <c r="Z384" i="19"/>
  <c r="AA384" i="19"/>
  <c r="AB384" i="19"/>
  <c r="AC384" i="19"/>
  <c r="AD384" i="19"/>
  <c r="AE384" i="19"/>
  <c r="AF384" i="19"/>
  <c r="C385" i="19"/>
  <c r="D385" i="19"/>
  <c r="E385" i="19"/>
  <c r="F385" i="19"/>
  <c r="G385" i="19"/>
  <c r="H385" i="19"/>
  <c r="I385" i="19"/>
  <c r="J385" i="19"/>
  <c r="K385" i="19"/>
  <c r="L385" i="19"/>
  <c r="M385" i="19"/>
  <c r="N385" i="19"/>
  <c r="O385" i="19"/>
  <c r="P385" i="19"/>
  <c r="Q385" i="19"/>
  <c r="R385" i="19"/>
  <c r="S385" i="19"/>
  <c r="T385" i="19"/>
  <c r="U385" i="19"/>
  <c r="V385" i="19"/>
  <c r="W385" i="19"/>
  <c r="X385" i="19"/>
  <c r="Y385" i="19"/>
  <c r="Z385" i="19"/>
  <c r="AA385" i="19"/>
  <c r="AB385" i="19"/>
  <c r="AC385" i="19"/>
  <c r="AD385" i="19"/>
  <c r="AE385" i="19"/>
  <c r="AF385" i="19"/>
  <c r="C386" i="19"/>
  <c r="D386" i="19"/>
  <c r="E386" i="19"/>
  <c r="F386" i="19"/>
  <c r="G386" i="19"/>
  <c r="H386" i="19"/>
  <c r="I386" i="19"/>
  <c r="J386" i="19"/>
  <c r="K386" i="19"/>
  <c r="L386" i="19"/>
  <c r="M386" i="19"/>
  <c r="N386" i="19"/>
  <c r="O386" i="19"/>
  <c r="P386" i="19"/>
  <c r="Q386" i="19"/>
  <c r="R386" i="19"/>
  <c r="S386" i="19"/>
  <c r="T386" i="19"/>
  <c r="U386" i="19"/>
  <c r="V386" i="19"/>
  <c r="W386" i="19"/>
  <c r="X386" i="19"/>
  <c r="Y386" i="19"/>
  <c r="Z386" i="19"/>
  <c r="AA386" i="19"/>
  <c r="AB386" i="19"/>
  <c r="AC386" i="19"/>
  <c r="AD386" i="19"/>
  <c r="AE386" i="19"/>
  <c r="AF386" i="19"/>
  <c r="C387" i="19"/>
  <c r="D387" i="19"/>
  <c r="E387" i="19"/>
  <c r="F387" i="19"/>
  <c r="G387" i="19"/>
  <c r="H387" i="19"/>
  <c r="I387" i="19"/>
  <c r="J387" i="19"/>
  <c r="K387" i="19"/>
  <c r="L387" i="19"/>
  <c r="M387" i="19"/>
  <c r="N387" i="19"/>
  <c r="O387" i="19"/>
  <c r="P387" i="19"/>
  <c r="Q387" i="19"/>
  <c r="R387" i="19"/>
  <c r="S387" i="19"/>
  <c r="T387" i="19"/>
  <c r="U387" i="19"/>
  <c r="V387" i="19"/>
  <c r="W387" i="19"/>
  <c r="X387" i="19"/>
  <c r="Y387" i="19"/>
  <c r="Z387" i="19"/>
  <c r="AA387" i="19"/>
  <c r="AB387" i="19"/>
  <c r="AC387" i="19"/>
  <c r="AD387" i="19"/>
  <c r="AE387" i="19"/>
  <c r="AF387" i="19"/>
  <c r="C388" i="19"/>
  <c r="D388" i="19"/>
  <c r="E388" i="19"/>
  <c r="F388" i="19"/>
  <c r="G388" i="19"/>
  <c r="H388" i="19"/>
  <c r="I388" i="19"/>
  <c r="J388" i="19"/>
  <c r="K388" i="19"/>
  <c r="L388" i="19"/>
  <c r="M388" i="19"/>
  <c r="N388" i="19"/>
  <c r="O388" i="19"/>
  <c r="P388" i="19"/>
  <c r="Q388" i="19"/>
  <c r="R388" i="19"/>
  <c r="S388" i="19"/>
  <c r="T388" i="19"/>
  <c r="U388" i="19"/>
  <c r="V388" i="19"/>
  <c r="W388" i="19"/>
  <c r="X388" i="19"/>
  <c r="Y388" i="19"/>
  <c r="Z388" i="19"/>
  <c r="AA388" i="19"/>
  <c r="AB388" i="19"/>
  <c r="AC388" i="19"/>
  <c r="AD388" i="19"/>
  <c r="AE388" i="19"/>
  <c r="AF388" i="19"/>
  <c r="C389" i="19"/>
  <c r="D389" i="19"/>
  <c r="E389" i="19"/>
  <c r="F389" i="19"/>
  <c r="G389" i="19"/>
  <c r="H389" i="19"/>
  <c r="I389" i="19"/>
  <c r="J389" i="19"/>
  <c r="K389" i="19"/>
  <c r="L389" i="19"/>
  <c r="M389" i="19"/>
  <c r="N389" i="19"/>
  <c r="O389" i="19"/>
  <c r="P389" i="19"/>
  <c r="Q389" i="19"/>
  <c r="R389" i="19"/>
  <c r="S389" i="19"/>
  <c r="T389" i="19"/>
  <c r="U389" i="19"/>
  <c r="V389" i="19"/>
  <c r="W389" i="19"/>
  <c r="X389" i="19"/>
  <c r="Y389" i="19"/>
  <c r="Z389" i="19"/>
  <c r="AA389" i="19"/>
  <c r="AB389" i="19"/>
  <c r="AC389" i="19"/>
  <c r="AD389" i="19"/>
  <c r="AE389" i="19"/>
  <c r="AF389" i="19"/>
  <c r="C390" i="19"/>
  <c r="D390" i="19"/>
  <c r="E390" i="19"/>
  <c r="F390" i="19"/>
  <c r="G390" i="19"/>
  <c r="H390" i="19"/>
  <c r="I390" i="19"/>
  <c r="J390" i="19"/>
  <c r="K390" i="19"/>
  <c r="L390" i="19"/>
  <c r="M390" i="19"/>
  <c r="N390" i="19"/>
  <c r="O390" i="19"/>
  <c r="P390" i="19"/>
  <c r="Q390" i="19"/>
  <c r="R390" i="19"/>
  <c r="S390" i="19"/>
  <c r="T390" i="19"/>
  <c r="U390" i="19"/>
  <c r="V390" i="19"/>
  <c r="W390" i="19"/>
  <c r="X390" i="19"/>
  <c r="Y390" i="19"/>
  <c r="Z390" i="19"/>
  <c r="AA390" i="19"/>
  <c r="AB390" i="19"/>
  <c r="AC390" i="19"/>
  <c r="AD390" i="19"/>
  <c r="AE390" i="19"/>
  <c r="AF390" i="19"/>
  <c r="C391" i="19"/>
  <c r="D391" i="19"/>
  <c r="E391" i="19"/>
  <c r="F391" i="19"/>
  <c r="G391" i="19"/>
  <c r="H391" i="19"/>
  <c r="I391" i="19"/>
  <c r="J391" i="19"/>
  <c r="K391" i="19"/>
  <c r="L391" i="19"/>
  <c r="M391" i="19"/>
  <c r="N391" i="19"/>
  <c r="O391" i="19"/>
  <c r="P391" i="19"/>
  <c r="Q391" i="19"/>
  <c r="R391" i="19"/>
  <c r="S391" i="19"/>
  <c r="T391" i="19"/>
  <c r="U391" i="19"/>
  <c r="V391" i="19"/>
  <c r="W391" i="19"/>
  <c r="X391" i="19"/>
  <c r="Y391" i="19"/>
  <c r="Z391" i="19"/>
  <c r="AA391" i="19"/>
  <c r="AB391" i="19"/>
  <c r="AC391" i="19"/>
  <c r="AD391" i="19"/>
  <c r="AE391" i="19"/>
  <c r="AF391" i="19"/>
  <c r="C392" i="19"/>
  <c r="D392" i="19"/>
  <c r="E392" i="19"/>
  <c r="F392" i="19"/>
  <c r="G392" i="19"/>
  <c r="H392" i="19"/>
  <c r="I392" i="19"/>
  <c r="J392" i="19"/>
  <c r="K392" i="19"/>
  <c r="L392" i="19"/>
  <c r="M392" i="19"/>
  <c r="N392" i="19"/>
  <c r="O392" i="19"/>
  <c r="P392" i="19"/>
  <c r="Q392" i="19"/>
  <c r="R392" i="19"/>
  <c r="S392" i="19"/>
  <c r="T392" i="19"/>
  <c r="U392" i="19"/>
  <c r="V392" i="19"/>
  <c r="W392" i="19"/>
  <c r="X392" i="19"/>
  <c r="Y392" i="19"/>
  <c r="Z392" i="19"/>
  <c r="AA392" i="19"/>
  <c r="AB392" i="19"/>
  <c r="AC392" i="19"/>
  <c r="AD392" i="19"/>
  <c r="AE392" i="19"/>
  <c r="AF392" i="19"/>
  <c r="C393" i="19"/>
  <c r="D393" i="19"/>
  <c r="E393" i="19"/>
  <c r="F393" i="19"/>
  <c r="G393" i="19"/>
  <c r="H393" i="19"/>
  <c r="I393" i="19"/>
  <c r="J393" i="19"/>
  <c r="K393" i="19"/>
  <c r="L393" i="19"/>
  <c r="M393" i="19"/>
  <c r="N393" i="19"/>
  <c r="O393" i="19"/>
  <c r="P393" i="19"/>
  <c r="Q393" i="19"/>
  <c r="R393" i="19"/>
  <c r="S393" i="19"/>
  <c r="T393" i="19"/>
  <c r="U393" i="19"/>
  <c r="V393" i="19"/>
  <c r="W393" i="19"/>
  <c r="X393" i="19"/>
  <c r="Y393" i="19"/>
  <c r="Z393" i="19"/>
  <c r="AA393" i="19"/>
  <c r="AB393" i="19"/>
  <c r="AC393" i="19"/>
  <c r="AD393" i="19"/>
  <c r="AE393" i="19"/>
  <c r="AF393" i="19"/>
  <c r="C394" i="19"/>
  <c r="D394" i="19"/>
  <c r="E394" i="19"/>
  <c r="F394" i="19"/>
  <c r="G394" i="19"/>
  <c r="H394" i="19"/>
  <c r="I394" i="19"/>
  <c r="J394" i="19"/>
  <c r="K394" i="19"/>
  <c r="L394" i="19"/>
  <c r="M394" i="19"/>
  <c r="N394" i="19"/>
  <c r="O394" i="19"/>
  <c r="P394" i="19"/>
  <c r="Q394" i="19"/>
  <c r="R394" i="19"/>
  <c r="S394" i="19"/>
  <c r="T394" i="19"/>
  <c r="U394" i="19"/>
  <c r="V394" i="19"/>
  <c r="W394" i="19"/>
  <c r="X394" i="19"/>
  <c r="Y394" i="19"/>
  <c r="Z394" i="19"/>
  <c r="AA394" i="19"/>
  <c r="AB394" i="19"/>
  <c r="AC394" i="19"/>
  <c r="AD394" i="19"/>
  <c r="AE394" i="19"/>
  <c r="AF394" i="19"/>
  <c r="C395" i="19"/>
  <c r="D395" i="19"/>
  <c r="E395" i="19"/>
  <c r="F395" i="19"/>
  <c r="G395" i="19"/>
  <c r="H395" i="19"/>
  <c r="I395" i="19"/>
  <c r="J395" i="19"/>
  <c r="K395" i="19"/>
  <c r="L395" i="19"/>
  <c r="M395" i="19"/>
  <c r="N395" i="19"/>
  <c r="O395" i="19"/>
  <c r="P395" i="19"/>
  <c r="Q395" i="19"/>
  <c r="R395" i="19"/>
  <c r="S395" i="19"/>
  <c r="T395" i="19"/>
  <c r="U395" i="19"/>
  <c r="V395" i="19"/>
  <c r="W395" i="19"/>
  <c r="X395" i="19"/>
  <c r="Y395" i="19"/>
  <c r="Z395" i="19"/>
  <c r="AA395" i="19"/>
  <c r="AB395" i="19"/>
  <c r="AC395" i="19"/>
  <c r="AD395" i="19"/>
  <c r="AE395" i="19"/>
  <c r="AF395" i="19"/>
  <c r="C396" i="19"/>
  <c r="D396" i="19"/>
  <c r="E396" i="19"/>
  <c r="F396" i="19"/>
  <c r="G396" i="19"/>
  <c r="H396" i="19"/>
  <c r="I396" i="19"/>
  <c r="J396" i="19"/>
  <c r="K396" i="19"/>
  <c r="L396" i="19"/>
  <c r="M396" i="19"/>
  <c r="N396" i="19"/>
  <c r="O396" i="19"/>
  <c r="P396" i="19"/>
  <c r="Q396" i="19"/>
  <c r="R396" i="19"/>
  <c r="S396" i="19"/>
  <c r="T396" i="19"/>
  <c r="U396" i="19"/>
  <c r="V396" i="19"/>
  <c r="W396" i="19"/>
  <c r="X396" i="19"/>
  <c r="Y396" i="19"/>
  <c r="Z396" i="19"/>
  <c r="AA396" i="19"/>
  <c r="AB396" i="19"/>
  <c r="AC396" i="19"/>
  <c r="AD396" i="19"/>
  <c r="AE396" i="19"/>
  <c r="AF396" i="19"/>
  <c r="C397" i="19"/>
  <c r="D397" i="19"/>
  <c r="E397" i="19"/>
  <c r="F397" i="19"/>
  <c r="G397" i="19"/>
  <c r="H397" i="19"/>
  <c r="I397" i="19"/>
  <c r="J397" i="19"/>
  <c r="K397" i="19"/>
  <c r="L397" i="19"/>
  <c r="M397" i="19"/>
  <c r="N397" i="19"/>
  <c r="O397" i="19"/>
  <c r="P397" i="19"/>
  <c r="Q397" i="19"/>
  <c r="R397" i="19"/>
  <c r="S397" i="19"/>
  <c r="T397" i="19"/>
  <c r="U397" i="19"/>
  <c r="V397" i="19"/>
  <c r="W397" i="19"/>
  <c r="X397" i="19"/>
  <c r="Y397" i="19"/>
  <c r="Z397" i="19"/>
  <c r="AA397" i="19"/>
  <c r="AB397" i="19"/>
  <c r="AD397" i="19"/>
  <c r="AE397" i="19"/>
  <c r="AF397" i="19"/>
  <c r="C398" i="19"/>
  <c r="D398" i="19"/>
  <c r="E398" i="19"/>
  <c r="F398" i="19"/>
  <c r="G398" i="19"/>
  <c r="H398" i="19"/>
  <c r="I398" i="19"/>
  <c r="J398" i="19"/>
  <c r="K398" i="19"/>
  <c r="L398" i="19"/>
  <c r="M398" i="19"/>
  <c r="N398" i="19"/>
  <c r="O398" i="19"/>
  <c r="P398" i="19"/>
  <c r="Q398" i="19"/>
  <c r="R398" i="19"/>
  <c r="S398" i="19"/>
  <c r="T398" i="19"/>
  <c r="U398" i="19"/>
  <c r="V398" i="19"/>
  <c r="W398" i="19"/>
  <c r="X398" i="19"/>
  <c r="Y398" i="19"/>
  <c r="Z398" i="19"/>
  <c r="AA398" i="19"/>
  <c r="AB398" i="19"/>
  <c r="AC398" i="19"/>
  <c r="AD398" i="19"/>
  <c r="AE398" i="19"/>
  <c r="AF398" i="19"/>
  <c r="C399" i="19"/>
  <c r="D399" i="19"/>
  <c r="E399" i="19"/>
  <c r="F399" i="19"/>
  <c r="G399" i="19"/>
  <c r="H399" i="19"/>
  <c r="I399" i="19"/>
  <c r="J399" i="19"/>
  <c r="K399" i="19"/>
  <c r="L399" i="19"/>
  <c r="M399" i="19"/>
  <c r="N399" i="19"/>
  <c r="O399" i="19"/>
  <c r="P399" i="19"/>
  <c r="Q399" i="19"/>
  <c r="R399" i="19"/>
  <c r="S399" i="19"/>
  <c r="T399" i="19"/>
  <c r="U399" i="19"/>
  <c r="V399" i="19"/>
  <c r="W399" i="19"/>
  <c r="X399" i="19"/>
  <c r="Y399" i="19"/>
  <c r="Z399" i="19"/>
  <c r="AA399" i="19"/>
  <c r="AB399" i="19"/>
  <c r="AC399" i="19"/>
  <c r="AD399" i="19"/>
  <c r="AE399" i="19"/>
  <c r="AF399" i="19"/>
  <c r="C400" i="19"/>
  <c r="D400" i="19"/>
  <c r="E400" i="19"/>
  <c r="F400" i="19"/>
  <c r="G400" i="19"/>
  <c r="H400" i="19"/>
  <c r="I400" i="19"/>
  <c r="J400" i="19"/>
  <c r="K400" i="19"/>
  <c r="L400" i="19"/>
  <c r="M400" i="19"/>
  <c r="N400" i="19"/>
  <c r="O400" i="19"/>
  <c r="P400" i="19"/>
  <c r="Q400" i="19"/>
  <c r="R400" i="19"/>
  <c r="S400" i="19"/>
  <c r="T400" i="19"/>
  <c r="U400" i="19"/>
  <c r="V400" i="19"/>
  <c r="W400" i="19"/>
  <c r="X400" i="19"/>
  <c r="Y400" i="19"/>
  <c r="Z400" i="19"/>
  <c r="AA400" i="19"/>
  <c r="AB400" i="19"/>
  <c r="AC400" i="19"/>
  <c r="AD400" i="19"/>
  <c r="AE400" i="19"/>
  <c r="AF400" i="19"/>
  <c r="C401" i="19"/>
  <c r="D401" i="19"/>
  <c r="E401" i="19"/>
  <c r="F401" i="19"/>
  <c r="G401" i="19"/>
  <c r="H401" i="19"/>
  <c r="I401" i="19"/>
  <c r="J401" i="19"/>
  <c r="K401" i="19"/>
  <c r="L401" i="19"/>
  <c r="M401" i="19"/>
  <c r="N401" i="19"/>
  <c r="O401" i="19"/>
  <c r="P401" i="19"/>
  <c r="Q401" i="19"/>
  <c r="R401" i="19"/>
  <c r="S401" i="19"/>
  <c r="T401" i="19"/>
  <c r="U401" i="19"/>
  <c r="V401" i="19"/>
  <c r="W401" i="19"/>
  <c r="X401" i="19"/>
  <c r="Y401" i="19"/>
  <c r="Z401" i="19"/>
  <c r="AA401" i="19"/>
  <c r="AB401" i="19"/>
  <c r="AC401" i="19"/>
  <c r="AD401" i="19"/>
  <c r="AE401" i="19"/>
  <c r="AF401" i="19"/>
  <c r="C402" i="19"/>
  <c r="D402" i="19"/>
  <c r="E402" i="19"/>
  <c r="F402" i="19"/>
  <c r="G402" i="19"/>
  <c r="H402" i="19"/>
  <c r="I402" i="19"/>
  <c r="J402" i="19"/>
  <c r="K402" i="19"/>
  <c r="L402" i="19"/>
  <c r="M402" i="19"/>
  <c r="N402" i="19"/>
  <c r="O402" i="19"/>
  <c r="P402" i="19"/>
  <c r="Q402" i="19"/>
  <c r="R402" i="19"/>
  <c r="S402" i="19"/>
  <c r="T402" i="19"/>
  <c r="U402" i="19"/>
  <c r="V402" i="19"/>
  <c r="W402" i="19"/>
  <c r="X402" i="19"/>
  <c r="Y402" i="19"/>
  <c r="Z402" i="19"/>
  <c r="AA402" i="19"/>
  <c r="AB402" i="19"/>
  <c r="AC402" i="19"/>
  <c r="AD402" i="19"/>
  <c r="AE402" i="19"/>
  <c r="AF402" i="19"/>
  <c r="C403" i="19"/>
  <c r="D403" i="19"/>
  <c r="E403" i="19"/>
  <c r="F403" i="19"/>
  <c r="G403" i="19"/>
  <c r="H403" i="19"/>
  <c r="I403" i="19"/>
  <c r="J403" i="19"/>
  <c r="K403" i="19"/>
  <c r="L403" i="19"/>
  <c r="M403" i="19"/>
  <c r="N403" i="19"/>
  <c r="O403" i="19"/>
  <c r="P403" i="19"/>
  <c r="Q403" i="19"/>
  <c r="R403" i="19"/>
  <c r="S403" i="19"/>
  <c r="T403" i="19"/>
  <c r="U403" i="19"/>
  <c r="V403" i="19"/>
  <c r="W403" i="19"/>
  <c r="X403" i="19"/>
  <c r="Y403" i="19"/>
  <c r="Z403" i="19"/>
  <c r="AA403" i="19"/>
  <c r="AB403" i="19"/>
  <c r="AC403" i="19"/>
  <c r="AD403" i="19"/>
  <c r="AE403" i="19"/>
  <c r="AF403" i="19"/>
  <c r="C404" i="19"/>
  <c r="D404" i="19"/>
  <c r="E404" i="19"/>
  <c r="F404" i="19"/>
  <c r="G404" i="19"/>
  <c r="H404" i="19"/>
  <c r="I404" i="19"/>
  <c r="J404" i="19"/>
  <c r="K404" i="19"/>
  <c r="L404" i="19"/>
  <c r="M404" i="19"/>
  <c r="N404" i="19"/>
  <c r="O404" i="19"/>
  <c r="P404" i="19"/>
  <c r="Q404" i="19"/>
  <c r="R404" i="19"/>
  <c r="S404" i="19"/>
  <c r="T404" i="19"/>
  <c r="U404" i="19"/>
  <c r="V404" i="19"/>
  <c r="W404" i="19"/>
  <c r="X404" i="19"/>
  <c r="Y404" i="19"/>
  <c r="Z404" i="19"/>
  <c r="AA404" i="19"/>
  <c r="AB404" i="19"/>
  <c r="AC404" i="19"/>
  <c r="AD404" i="19"/>
  <c r="AE404" i="19"/>
  <c r="AF404" i="19"/>
  <c r="C405" i="19"/>
  <c r="D405" i="19"/>
  <c r="E405" i="19"/>
  <c r="F405" i="19"/>
  <c r="G405" i="19"/>
  <c r="H405" i="19"/>
  <c r="I405" i="19"/>
  <c r="J405" i="19"/>
  <c r="K405" i="19"/>
  <c r="L405" i="19"/>
  <c r="M405" i="19"/>
  <c r="N405" i="19"/>
  <c r="O405" i="19"/>
  <c r="P405" i="19"/>
  <c r="Q405" i="19"/>
  <c r="R405" i="19"/>
  <c r="S405" i="19"/>
  <c r="T405" i="19"/>
  <c r="U405" i="19"/>
  <c r="V405" i="19"/>
  <c r="W405" i="19"/>
  <c r="X405" i="19"/>
  <c r="Y405" i="19"/>
  <c r="Z405" i="19"/>
  <c r="AA405" i="19"/>
  <c r="AB405" i="19"/>
  <c r="AC405" i="19"/>
  <c r="AD405" i="19"/>
  <c r="AE405" i="19"/>
  <c r="AF405" i="19"/>
  <c r="C406" i="19"/>
  <c r="D406" i="19"/>
  <c r="E406" i="19"/>
  <c r="F406" i="19"/>
  <c r="G406" i="19"/>
  <c r="H406" i="19"/>
  <c r="I406" i="19"/>
  <c r="J406" i="19"/>
  <c r="K406" i="19"/>
  <c r="L406" i="19"/>
  <c r="M406" i="19"/>
  <c r="N406" i="19"/>
  <c r="O406" i="19"/>
  <c r="P406" i="19"/>
  <c r="Q406" i="19"/>
  <c r="R406" i="19"/>
  <c r="S406" i="19"/>
  <c r="T406" i="19"/>
  <c r="U406" i="19"/>
  <c r="V406" i="19"/>
  <c r="W406" i="19"/>
  <c r="X406" i="19"/>
  <c r="Y406" i="19"/>
  <c r="Z406" i="19"/>
  <c r="AA406" i="19"/>
  <c r="AB406" i="19"/>
  <c r="AC406" i="19"/>
  <c r="AD406" i="19"/>
  <c r="AE406" i="19"/>
  <c r="AF406" i="19"/>
  <c r="C407" i="19"/>
  <c r="D407" i="19"/>
  <c r="E407" i="19"/>
  <c r="F407" i="19"/>
  <c r="G407" i="19"/>
  <c r="H407" i="19"/>
  <c r="I407" i="19"/>
  <c r="J407" i="19"/>
  <c r="K407" i="19"/>
  <c r="L407" i="19"/>
  <c r="M407" i="19"/>
  <c r="N407" i="19"/>
  <c r="O407" i="19"/>
  <c r="P407" i="19"/>
  <c r="Q407" i="19"/>
  <c r="R407" i="19"/>
  <c r="S407" i="19"/>
  <c r="T407" i="19"/>
  <c r="U407" i="19"/>
  <c r="V407" i="19"/>
  <c r="W407" i="19"/>
  <c r="X407" i="19"/>
  <c r="Y407" i="19"/>
  <c r="Z407" i="19"/>
  <c r="AA407" i="19"/>
  <c r="AB407" i="19"/>
  <c r="AC407" i="19"/>
  <c r="AD407" i="19"/>
  <c r="AE407" i="19"/>
  <c r="AF407" i="19"/>
  <c r="C408" i="19"/>
  <c r="D408" i="19"/>
  <c r="E408" i="19"/>
  <c r="F408" i="19"/>
  <c r="G408" i="19"/>
  <c r="H408" i="19"/>
  <c r="I408" i="19"/>
  <c r="J408" i="19"/>
  <c r="K408" i="19"/>
  <c r="L408" i="19"/>
  <c r="M408" i="19"/>
  <c r="N408" i="19"/>
  <c r="O408" i="19"/>
  <c r="P408" i="19"/>
  <c r="Q408" i="19"/>
  <c r="R408" i="19"/>
  <c r="S408" i="19"/>
  <c r="T408" i="19"/>
  <c r="U408" i="19"/>
  <c r="V408" i="19"/>
  <c r="W408" i="19"/>
  <c r="X408" i="19"/>
  <c r="Y408" i="19"/>
  <c r="Z408" i="19"/>
  <c r="AA408" i="19"/>
  <c r="AB408" i="19"/>
  <c r="AC408" i="19"/>
  <c r="AD408" i="19"/>
  <c r="AE408" i="19"/>
  <c r="AF408" i="19"/>
  <c r="C409" i="19"/>
  <c r="D409" i="19"/>
  <c r="E409" i="19"/>
  <c r="F409" i="19"/>
  <c r="G409" i="19"/>
  <c r="H409" i="19"/>
  <c r="I409" i="19"/>
  <c r="J409" i="19"/>
  <c r="K409" i="19"/>
  <c r="L409" i="19"/>
  <c r="M409" i="19"/>
  <c r="N409" i="19"/>
  <c r="O409" i="19"/>
  <c r="P409" i="19"/>
  <c r="Q409" i="19"/>
  <c r="R409" i="19"/>
  <c r="S409" i="19"/>
  <c r="T409" i="19"/>
  <c r="U409" i="19"/>
  <c r="V409" i="19"/>
  <c r="W409" i="19"/>
  <c r="X409" i="19"/>
  <c r="Y409" i="19"/>
  <c r="Z409" i="19"/>
  <c r="AA409" i="19"/>
  <c r="AB409" i="19"/>
  <c r="AC409" i="19"/>
  <c r="AD409" i="19"/>
  <c r="AE409" i="19"/>
  <c r="AF409" i="19"/>
  <c r="E3" i="19"/>
  <c r="F3" i="19"/>
  <c r="G3" i="19"/>
  <c r="H3" i="19"/>
  <c r="I3" i="19"/>
  <c r="J3" i="19"/>
  <c r="K3" i="19"/>
  <c r="L3" i="19"/>
  <c r="M3" i="19"/>
  <c r="N3" i="19"/>
  <c r="O3" i="19"/>
  <c r="P3" i="19"/>
  <c r="Q3" i="19"/>
  <c r="R3" i="19"/>
  <c r="S3" i="19"/>
  <c r="T3" i="19"/>
  <c r="U3" i="19"/>
  <c r="V3" i="19"/>
  <c r="W3" i="19"/>
  <c r="X3" i="19"/>
  <c r="Y3" i="19"/>
  <c r="Z3" i="19"/>
  <c r="AA3" i="19"/>
  <c r="AB3" i="19"/>
  <c r="AC3" i="19"/>
  <c r="AD3" i="19"/>
  <c r="AE3" i="19"/>
  <c r="AF3" i="19"/>
  <c r="D3" i="19"/>
  <c r="C3" i="19"/>
  <c r="D3" i="17"/>
  <c r="E3" i="17"/>
  <c r="F3" i="17"/>
  <c r="G3" i="17"/>
  <c r="H3" i="17"/>
  <c r="I3" i="17"/>
  <c r="J3" i="17"/>
  <c r="K3" i="17"/>
  <c r="L3" i="17"/>
  <c r="M3" i="17"/>
  <c r="N3" i="17"/>
  <c r="O3" i="17"/>
  <c r="P3" i="17"/>
  <c r="Q3" i="17"/>
  <c r="R3" i="17"/>
  <c r="S3" i="17"/>
  <c r="T3" i="17"/>
  <c r="U3" i="17"/>
  <c r="V3" i="17"/>
  <c r="W3" i="17"/>
  <c r="X3" i="17"/>
  <c r="Y3" i="17"/>
  <c r="Z3" i="17"/>
  <c r="AA3" i="17"/>
  <c r="AB3" i="17"/>
  <c r="AC3" i="17"/>
  <c r="AD3" i="17"/>
  <c r="AE3" i="17"/>
  <c r="AF3" i="17"/>
  <c r="D4" i="17"/>
  <c r="E4" i="17"/>
  <c r="F4" i="17"/>
  <c r="G4" i="17"/>
  <c r="H4" i="17"/>
  <c r="I4" i="17"/>
  <c r="J4" i="17"/>
  <c r="K4" i="17"/>
  <c r="L4" i="17"/>
  <c r="M4" i="17"/>
  <c r="N4" i="17"/>
  <c r="O4" i="17"/>
  <c r="P4" i="17"/>
  <c r="Q4" i="17"/>
  <c r="R4" i="17"/>
  <c r="S4" i="17"/>
  <c r="T4" i="17"/>
  <c r="U4" i="17"/>
  <c r="V4" i="17"/>
  <c r="W4" i="17"/>
  <c r="X4" i="17"/>
  <c r="Y4" i="17"/>
  <c r="Z4" i="17"/>
  <c r="AA4" i="17"/>
  <c r="AB4" i="17"/>
  <c r="AC4" i="17"/>
  <c r="AD4" i="17"/>
  <c r="AE4" i="17"/>
  <c r="AF4" i="17"/>
  <c r="D5" i="17"/>
  <c r="E5" i="17"/>
  <c r="F5" i="17"/>
  <c r="G5" i="17"/>
  <c r="H5" i="17"/>
  <c r="I5" i="17"/>
  <c r="J5" i="17"/>
  <c r="K5" i="17"/>
  <c r="L5" i="17"/>
  <c r="M5" i="17"/>
  <c r="N5" i="17"/>
  <c r="O5" i="17"/>
  <c r="P5" i="17"/>
  <c r="Q5" i="17"/>
  <c r="R5" i="17"/>
  <c r="S5" i="17"/>
  <c r="T5" i="17"/>
  <c r="U5" i="17"/>
  <c r="V5" i="17"/>
  <c r="W5" i="17"/>
  <c r="X5" i="17"/>
  <c r="Y5" i="17"/>
  <c r="Z5" i="17"/>
  <c r="AA5" i="17"/>
  <c r="AB5" i="17"/>
  <c r="AC5" i="17"/>
  <c r="AD5" i="17"/>
  <c r="AE5" i="17"/>
  <c r="AF5" i="17"/>
  <c r="D6" i="17"/>
  <c r="E6" i="17"/>
  <c r="F6" i="17"/>
  <c r="G6" i="17"/>
  <c r="H6" i="17"/>
  <c r="I6" i="17"/>
  <c r="J6" i="17"/>
  <c r="K6" i="17"/>
  <c r="L6" i="17"/>
  <c r="M6" i="17"/>
  <c r="N6" i="17"/>
  <c r="O6" i="17"/>
  <c r="P6" i="17"/>
  <c r="Q6" i="17"/>
  <c r="R6" i="17"/>
  <c r="S6" i="17"/>
  <c r="T6" i="17"/>
  <c r="U6" i="17"/>
  <c r="V6" i="17"/>
  <c r="W6" i="17"/>
  <c r="X6" i="17"/>
  <c r="Y6" i="17"/>
  <c r="Z6" i="17"/>
  <c r="AA6" i="17"/>
  <c r="AB6" i="17"/>
  <c r="AC6" i="17"/>
  <c r="AD6" i="17"/>
  <c r="AE6" i="17"/>
  <c r="AF6" i="17"/>
  <c r="D7" i="17"/>
  <c r="E7" i="17"/>
  <c r="F7" i="17"/>
  <c r="G7" i="17"/>
  <c r="H7" i="17"/>
  <c r="I7" i="17"/>
  <c r="J7" i="17"/>
  <c r="K7" i="17"/>
  <c r="L7" i="17"/>
  <c r="M7" i="17"/>
  <c r="N7" i="17"/>
  <c r="O7" i="17"/>
  <c r="P7" i="17"/>
  <c r="Q7" i="17"/>
  <c r="R7" i="17"/>
  <c r="S7" i="17"/>
  <c r="T7" i="17"/>
  <c r="U7" i="17"/>
  <c r="V7" i="17"/>
  <c r="W7" i="17"/>
  <c r="X7" i="17"/>
  <c r="Y7" i="17"/>
  <c r="Z7" i="17"/>
  <c r="AA7" i="17"/>
  <c r="AB7" i="17"/>
  <c r="AC7" i="17"/>
  <c r="AD7" i="17"/>
  <c r="AE7" i="17"/>
  <c r="AF7" i="17"/>
  <c r="D8" i="17"/>
  <c r="E8" i="17"/>
  <c r="F8" i="17"/>
  <c r="G8" i="17"/>
  <c r="H8" i="17"/>
  <c r="I8" i="17"/>
  <c r="J8" i="17"/>
  <c r="K8" i="17"/>
  <c r="L8" i="17"/>
  <c r="M8" i="17"/>
  <c r="N8" i="17"/>
  <c r="O8" i="17"/>
  <c r="P8" i="17"/>
  <c r="Q8" i="17"/>
  <c r="R8" i="17"/>
  <c r="S8" i="17"/>
  <c r="T8" i="17"/>
  <c r="U8" i="17"/>
  <c r="V8" i="17"/>
  <c r="W8" i="17"/>
  <c r="X8" i="17"/>
  <c r="Y8" i="17"/>
  <c r="Z8" i="17"/>
  <c r="AA8" i="17"/>
  <c r="AB8" i="17"/>
  <c r="AC8" i="17"/>
  <c r="AD8" i="17"/>
  <c r="AE8" i="17"/>
  <c r="AF8" i="17"/>
  <c r="D9" i="17"/>
  <c r="E9" i="17"/>
  <c r="F9" i="17"/>
  <c r="G9" i="17"/>
  <c r="H9" i="17"/>
  <c r="I9" i="17"/>
  <c r="J9" i="17"/>
  <c r="K9" i="17"/>
  <c r="L9" i="17"/>
  <c r="M9" i="17"/>
  <c r="N9" i="17"/>
  <c r="O9" i="17"/>
  <c r="P9" i="17"/>
  <c r="Q9" i="17"/>
  <c r="R9" i="17"/>
  <c r="S9" i="17"/>
  <c r="T9" i="17"/>
  <c r="U9" i="17"/>
  <c r="V9" i="17"/>
  <c r="W9" i="17"/>
  <c r="X9" i="17"/>
  <c r="Y9" i="17"/>
  <c r="Z9" i="17"/>
  <c r="AA9" i="17"/>
  <c r="AB9" i="17"/>
  <c r="AC9" i="17"/>
  <c r="AD9" i="17"/>
  <c r="AE9" i="17"/>
  <c r="AF9" i="17"/>
  <c r="D10" i="17"/>
  <c r="E10" i="17"/>
  <c r="F10" i="17"/>
  <c r="G10" i="17"/>
  <c r="H10" i="17"/>
  <c r="I10" i="17"/>
  <c r="J10" i="17"/>
  <c r="K10" i="17"/>
  <c r="L10" i="17"/>
  <c r="M10" i="17"/>
  <c r="N10" i="17"/>
  <c r="O10" i="17"/>
  <c r="P10" i="17"/>
  <c r="Q10" i="17"/>
  <c r="R10" i="17"/>
  <c r="S10" i="17"/>
  <c r="T10" i="17"/>
  <c r="U10" i="17"/>
  <c r="V10" i="17"/>
  <c r="W10" i="17"/>
  <c r="X10" i="17"/>
  <c r="Y10" i="17"/>
  <c r="Z10" i="17"/>
  <c r="AA10" i="17"/>
  <c r="AB10" i="17"/>
  <c r="AC10" i="17"/>
  <c r="AD10" i="17"/>
  <c r="AE10" i="17"/>
  <c r="AF10" i="17"/>
  <c r="D11" i="17"/>
  <c r="E11" i="17"/>
  <c r="F11" i="17"/>
  <c r="G11" i="17"/>
  <c r="H11" i="17"/>
  <c r="I11" i="17"/>
  <c r="J11" i="17"/>
  <c r="K11" i="17"/>
  <c r="L11" i="17"/>
  <c r="M11" i="17"/>
  <c r="N11" i="17"/>
  <c r="O11" i="17"/>
  <c r="P11" i="17"/>
  <c r="Q11" i="17"/>
  <c r="R11" i="17"/>
  <c r="S11" i="17"/>
  <c r="T11" i="17"/>
  <c r="U11" i="17"/>
  <c r="V11" i="17"/>
  <c r="W11" i="17"/>
  <c r="X11" i="17"/>
  <c r="Y11" i="17"/>
  <c r="Z11" i="17"/>
  <c r="AA11" i="17"/>
  <c r="AB11" i="17"/>
  <c r="AC11" i="17"/>
  <c r="AD11" i="17"/>
  <c r="AE11" i="17"/>
  <c r="AF11" i="17"/>
  <c r="D12" i="17"/>
  <c r="E12" i="17"/>
  <c r="F12" i="17"/>
  <c r="G12" i="17"/>
  <c r="H12" i="17"/>
  <c r="I12" i="17"/>
  <c r="J12" i="17"/>
  <c r="K12" i="17"/>
  <c r="L12" i="17"/>
  <c r="M12" i="17"/>
  <c r="N12" i="17"/>
  <c r="O12" i="17"/>
  <c r="P12" i="17"/>
  <c r="Q12" i="17"/>
  <c r="R12" i="17"/>
  <c r="S12" i="17"/>
  <c r="T12" i="17"/>
  <c r="U12" i="17"/>
  <c r="V12" i="17"/>
  <c r="W12" i="17"/>
  <c r="X12" i="17"/>
  <c r="Y12" i="17"/>
  <c r="Z12" i="17"/>
  <c r="AA12" i="17"/>
  <c r="AB12" i="17"/>
  <c r="AC12" i="17"/>
  <c r="AD12" i="17"/>
  <c r="AE12" i="17"/>
  <c r="AF12" i="17"/>
  <c r="D13" i="17"/>
  <c r="E13" i="17"/>
  <c r="F13" i="17"/>
  <c r="G13" i="17"/>
  <c r="H13" i="17"/>
  <c r="I13" i="17"/>
  <c r="J13" i="17"/>
  <c r="K13" i="17"/>
  <c r="L13" i="17"/>
  <c r="M13" i="17"/>
  <c r="N13" i="17"/>
  <c r="O13" i="17"/>
  <c r="P13" i="17"/>
  <c r="Q13" i="17"/>
  <c r="R13" i="17"/>
  <c r="S13" i="17"/>
  <c r="T13" i="17"/>
  <c r="U13" i="17"/>
  <c r="V13" i="17"/>
  <c r="W13" i="17"/>
  <c r="X13" i="17"/>
  <c r="Y13" i="17"/>
  <c r="Z13" i="17"/>
  <c r="AA13" i="17"/>
  <c r="AB13" i="17"/>
  <c r="AC13" i="17"/>
  <c r="AD13" i="17"/>
  <c r="AE13" i="17"/>
  <c r="AF13" i="17"/>
  <c r="D14" i="17"/>
  <c r="E14" i="17"/>
  <c r="F14" i="17"/>
  <c r="G14" i="17"/>
  <c r="H14" i="17"/>
  <c r="I14" i="17"/>
  <c r="J14" i="17"/>
  <c r="K14" i="17"/>
  <c r="L14" i="17"/>
  <c r="M14" i="17"/>
  <c r="N14" i="17"/>
  <c r="O14" i="17"/>
  <c r="P14" i="17"/>
  <c r="Q14" i="17"/>
  <c r="R14" i="17"/>
  <c r="S14" i="17"/>
  <c r="T14" i="17"/>
  <c r="U14" i="17"/>
  <c r="V14" i="17"/>
  <c r="W14" i="17"/>
  <c r="X14" i="17"/>
  <c r="Y14" i="17"/>
  <c r="Z14" i="17"/>
  <c r="AA14" i="17"/>
  <c r="AB14" i="17"/>
  <c r="AC14" i="17"/>
  <c r="AD14" i="17"/>
  <c r="AE14" i="17"/>
  <c r="AF14" i="17"/>
  <c r="D15" i="17"/>
  <c r="E15" i="17"/>
  <c r="F15" i="17"/>
  <c r="G15" i="17"/>
  <c r="H15" i="17"/>
  <c r="I15" i="17"/>
  <c r="J15" i="17"/>
  <c r="K15" i="17"/>
  <c r="L15" i="17"/>
  <c r="M15" i="17"/>
  <c r="N15" i="17"/>
  <c r="O15" i="17"/>
  <c r="P15" i="17"/>
  <c r="Q15" i="17"/>
  <c r="R15" i="17"/>
  <c r="S15" i="17"/>
  <c r="T15" i="17"/>
  <c r="U15" i="17"/>
  <c r="V15" i="17"/>
  <c r="W15" i="17"/>
  <c r="X15" i="17"/>
  <c r="Y15" i="17"/>
  <c r="Z15" i="17"/>
  <c r="AA15" i="17"/>
  <c r="AB15" i="17"/>
  <c r="AC15" i="17"/>
  <c r="AD15" i="17"/>
  <c r="AE15" i="17"/>
  <c r="AF15" i="17"/>
  <c r="D16" i="17"/>
  <c r="E16" i="17"/>
  <c r="F16" i="17"/>
  <c r="G16" i="17"/>
  <c r="H16" i="17"/>
  <c r="I16" i="17"/>
  <c r="J16" i="17"/>
  <c r="K16" i="17"/>
  <c r="L16" i="17"/>
  <c r="M16" i="17"/>
  <c r="N16" i="17"/>
  <c r="O16" i="17"/>
  <c r="P16" i="17"/>
  <c r="Q16" i="17"/>
  <c r="R16" i="17"/>
  <c r="S16" i="17"/>
  <c r="T16" i="17"/>
  <c r="U16" i="17"/>
  <c r="V16" i="17"/>
  <c r="W16" i="17"/>
  <c r="X16" i="17"/>
  <c r="Y16" i="17"/>
  <c r="Z16" i="17"/>
  <c r="AA16" i="17"/>
  <c r="AB16" i="17"/>
  <c r="AC16" i="17"/>
  <c r="AD16" i="17"/>
  <c r="AE16" i="17"/>
  <c r="AF16" i="17"/>
  <c r="D17" i="17"/>
  <c r="E17" i="17"/>
  <c r="F17" i="17"/>
  <c r="G17" i="17"/>
  <c r="H17" i="17"/>
  <c r="I17" i="17"/>
  <c r="J17" i="17"/>
  <c r="K17" i="17"/>
  <c r="L17" i="17"/>
  <c r="M17" i="17"/>
  <c r="N17" i="17"/>
  <c r="O17" i="17"/>
  <c r="P17" i="17"/>
  <c r="Q17" i="17"/>
  <c r="R17" i="17"/>
  <c r="S17" i="17"/>
  <c r="T17" i="17"/>
  <c r="U17" i="17"/>
  <c r="V17" i="17"/>
  <c r="W17" i="17"/>
  <c r="X17" i="17"/>
  <c r="Y17" i="17"/>
  <c r="Z17" i="17"/>
  <c r="AA17" i="17"/>
  <c r="AB17" i="17"/>
  <c r="AC17" i="17"/>
  <c r="AD17" i="17"/>
  <c r="AE17" i="17"/>
  <c r="AF17" i="17"/>
  <c r="D18" i="17"/>
  <c r="E18" i="17"/>
  <c r="F18" i="17"/>
  <c r="G18" i="17"/>
  <c r="H18" i="17"/>
  <c r="I18" i="17"/>
  <c r="J18" i="17"/>
  <c r="K18" i="17"/>
  <c r="L18" i="17"/>
  <c r="M18" i="17"/>
  <c r="N18" i="17"/>
  <c r="O18" i="17"/>
  <c r="P18" i="17"/>
  <c r="Q18" i="17"/>
  <c r="R18" i="17"/>
  <c r="S18" i="17"/>
  <c r="T18" i="17"/>
  <c r="U18" i="17"/>
  <c r="V18" i="17"/>
  <c r="W18" i="17"/>
  <c r="X18" i="17"/>
  <c r="Y18" i="17"/>
  <c r="Z18" i="17"/>
  <c r="AA18" i="17"/>
  <c r="AB18" i="17"/>
  <c r="AC18" i="17"/>
  <c r="AD18" i="17"/>
  <c r="AE18" i="17"/>
  <c r="AF18" i="17"/>
  <c r="D19" i="17"/>
  <c r="E19" i="17"/>
  <c r="F19" i="17"/>
  <c r="G19" i="17"/>
  <c r="H19" i="17"/>
  <c r="I19" i="17"/>
  <c r="J19" i="17"/>
  <c r="K19" i="17"/>
  <c r="L19" i="17"/>
  <c r="M19" i="17"/>
  <c r="N19" i="17"/>
  <c r="O19" i="17"/>
  <c r="P19" i="17"/>
  <c r="Q19" i="17"/>
  <c r="R19" i="17"/>
  <c r="S19" i="17"/>
  <c r="T19" i="17"/>
  <c r="U19" i="17"/>
  <c r="V19" i="17"/>
  <c r="W19" i="17"/>
  <c r="X19" i="17"/>
  <c r="Y19" i="17"/>
  <c r="Z19" i="17"/>
  <c r="AA19" i="17"/>
  <c r="AB19" i="17"/>
  <c r="AC19" i="17"/>
  <c r="AD19" i="17"/>
  <c r="AE19" i="17"/>
  <c r="AF19" i="17"/>
  <c r="D20" i="17"/>
  <c r="E20" i="17"/>
  <c r="F20" i="17"/>
  <c r="G20" i="17"/>
  <c r="H20" i="17"/>
  <c r="I20" i="17"/>
  <c r="J20" i="17"/>
  <c r="K20" i="17"/>
  <c r="L20" i="17"/>
  <c r="M20" i="17"/>
  <c r="N20" i="17"/>
  <c r="O20" i="17"/>
  <c r="P20" i="17"/>
  <c r="Q20" i="17"/>
  <c r="R20" i="17"/>
  <c r="S20" i="17"/>
  <c r="T20" i="17"/>
  <c r="U20" i="17"/>
  <c r="V20" i="17"/>
  <c r="W20" i="17"/>
  <c r="X20" i="17"/>
  <c r="Y20" i="17"/>
  <c r="Z20" i="17"/>
  <c r="AA20" i="17"/>
  <c r="AB20" i="17"/>
  <c r="AC20" i="17"/>
  <c r="AD20" i="17"/>
  <c r="AE20" i="17"/>
  <c r="AF20" i="17"/>
  <c r="D21" i="17"/>
  <c r="E21" i="17"/>
  <c r="F21" i="17"/>
  <c r="G21" i="17"/>
  <c r="H21" i="17"/>
  <c r="I21" i="17"/>
  <c r="J21" i="17"/>
  <c r="K21" i="17"/>
  <c r="L21" i="17"/>
  <c r="M21" i="17"/>
  <c r="N21" i="17"/>
  <c r="O21" i="17"/>
  <c r="P21" i="17"/>
  <c r="Q21" i="17"/>
  <c r="R21" i="17"/>
  <c r="S21" i="17"/>
  <c r="T21" i="17"/>
  <c r="U21" i="17"/>
  <c r="V21" i="17"/>
  <c r="W21" i="17"/>
  <c r="X21" i="17"/>
  <c r="Y21" i="17"/>
  <c r="Z21" i="17"/>
  <c r="AA21" i="17"/>
  <c r="AB21" i="17"/>
  <c r="AC21" i="17"/>
  <c r="AD21" i="17"/>
  <c r="AE21" i="17"/>
  <c r="AF21" i="17"/>
  <c r="D22" i="17"/>
  <c r="E22" i="17"/>
  <c r="F22" i="17"/>
  <c r="G22" i="17"/>
  <c r="H22" i="17"/>
  <c r="I22" i="17"/>
  <c r="J22" i="17"/>
  <c r="K22" i="17"/>
  <c r="L22" i="17"/>
  <c r="M22" i="17"/>
  <c r="N22" i="17"/>
  <c r="O22" i="17"/>
  <c r="P22" i="17"/>
  <c r="Q22" i="17"/>
  <c r="R22" i="17"/>
  <c r="S22" i="17"/>
  <c r="T22" i="17"/>
  <c r="U22" i="17"/>
  <c r="V22" i="17"/>
  <c r="W22" i="17"/>
  <c r="X22" i="17"/>
  <c r="Y22" i="17"/>
  <c r="Z22" i="17"/>
  <c r="AA22" i="17"/>
  <c r="AB22" i="17"/>
  <c r="AC22" i="17"/>
  <c r="AD22" i="17"/>
  <c r="AE22" i="17"/>
  <c r="AF22" i="17"/>
  <c r="D23" i="17"/>
  <c r="E23" i="17"/>
  <c r="F23" i="17"/>
  <c r="G23" i="17"/>
  <c r="H23" i="17"/>
  <c r="I23" i="17"/>
  <c r="J23" i="17"/>
  <c r="K23" i="17"/>
  <c r="L23" i="17"/>
  <c r="M23" i="17"/>
  <c r="N23" i="17"/>
  <c r="O23" i="17"/>
  <c r="P23" i="17"/>
  <c r="Q23" i="17"/>
  <c r="R23" i="17"/>
  <c r="S23" i="17"/>
  <c r="T23" i="17"/>
  <c r="U23" i="17"/>
  <c r="V23" i="17"/>
  <c r="W23" i="17"/>
  <c r="X23" i="17"/>
  <c r="Y23" i="17"/>
  <c r="Z23" i="17"/>
  <c r="AA23" i="17"/>
  <c r="AB23" i="17"/>
  <c r="AC23" i="17"/>
  <c r="AD23" i="17"/>
  <c r="AE23" i="17"/>
  <c r="AF23" i="17"/>
  <c r="D24" i="17"/>
  <c r="E24" i="17"/>
  <c r="F24" i="17"/>
  <c r="G24" i="17"/>
  <c r="H24" i="17"/>
  <c r="I24" i="17"/>
  <c r="J24" i="17"/>
  <c r="K24" i="17"/>
  <c r="L24" i="17"/>
  <c r="M24" i="17"/>
  <c r="N24" i="17"/>
  <c r="O24" i="17"/>
  <c r="P24" i="17"/>
  <c r="Q24" i="17"/>
  <c r="R24" i="17"/>
  <c r="S24" i="17"/>
  <c r="T24" i="17"/>
  <c r="U24" i="17"/>
  <c r="V24" i="17"/>
  <c r="W24" i="17"/>
  <c r="X24" i="17"/>
  <c r="Y24" i="17"/>
  <c r="Z24" i="17"/>
  <c r="AA24" i="17"/>
  <c r="AB24" i="17"/>
  <c r="AC24" i="17"/>
  <c r="AD24" i="17"/>
  <c r="AE24" i="17"/>
  <c r="AF24" i="17"/>
  <c r="D25" i="17"/>
  <c r="E25" i="17"/>
  <c r="F25" i="17"/>
  <c r="G25" i="17"/>
  <c r="H25" i="17"/>
  <c r="I25" i="17"/>
  <c r="J25" i="17"/>
  <c r="K25" i="17"/>
  <c r="L25" i="17"/>
  <c r="M25" i="17"/>
  <c r="N25" i="17"/>
  <c r="O25" i="17"/>
  <c r="P25" i="17"/>
  <c r="Q25" i="17"/>
  <c r="R25" i="17"/>
  <c r="S25" i="17"/>
  <c r="T25" i="17"/>
  <c r="U25" i="17"/>
  <c r="V25" i="17"/>
  <c r="W25" i="17"/>
  <c r="X25" i="17"/>
  <c r="Y25" i="17"/>
  <c r="Z25" i="17"/>
  <c r="AA25" i="17"/>
  <c r="AB25" i="17"/>
  <c r="AC25" i="17"/>
  <c r="AD25" i="17"/>
  <c r="AE25" i="17"/>
  <c r="AF25" i="17"/>
  <c r="D26" i="17"/>
  <c r="E26" i="17"/>
  <c r="F26" i="17"/>
  <c r="G26" i="17"/>
  <c r="H26" i="17"/>
  <c r="I26" i="17"/>
  <c r="J26" i="17"/>
  <c r="K26" i="17"/>
  <c r="L26" i="17"/>
  <c r="M26" i="17"/>
  <c r="N26" i="17"/>
  <c r="O26" i="17"/>
  <c r="P26" i="17"/>
  <c r="Q26" i="17"/>
  <c r="R26" i="17"/>
  <c r="S26" i="17"/>
  <c r="T26" i="17"/>
  <c r="U26" i="17"/>
  <c r="V26" i="17"/>
  <c r="W26" i="17"/>
  <c r="X26" i="17"/>
  <c r="Y26" i="17"/>
  <c r="Z26" i="17"/>
  <c r="AA26" i="17"/>
  <c r="AB26" i="17"/>
  <c r="AC26" i="17"/>
  <c r="AD26" i="17"/>
  <c r="AE26" i="17"/>
  <c r="AF26" i="17"/>
  <c r="D27" i="17"/>
  <c r="E27" i="17"/>
  <c r="F27" i="17"/>
  <c r="G27" i="17"/>
  <c r="H27" i="17"/>
  <c r="I27" i="17"/>
  <c r="J27" i="17"/>
  <c r="K27" i="17"/>
  <c r="L27" i="17"/>
  <c r="M27" i="17"/>
  <c r="N27" i="17"/>
  <c r="O27" i="17"/>
  <c r="P27" i="17"/>
  <c r="Q27" i="17"/>
  <c r="R27" i="17"/>
  <c r="S27" i="17"/>
  <c r="T27" i="17"/>
  <c r="U27" i="17"/>
  <c r="V27" i="17"/>
  <c r="W27" i="17"/>
  <c r="X27" i="17"/>
  <c r="Y27" i="17"/>
  <c r="Z27" i="17"/>
  <c r="AA27" i="17"/>
  <c r="AB27" i="17"/>
  <c r="AC27" i="17"/>
  <c r="AD27" i="17"/>
  <c r="AE27" i="17"/>
  <c r="AF27" i="17"/>
  <c r="D28" i="17"/>
  <c r="E28" i="17"/>
  <c r="F28" i="17"/>
  <c r="G28" i="17"/>
  <c r="H28" i="17"/>
  <c r="I28" i="17"/>
  <c r="J28" i="17"/>
  <c r="K28" i="17"/>
  <c r="L28" i="17"/>
  <c r="M28" i="17"/>
  <c r="N28" i="17"/>
  <c r="O28" i="17"/>
  <c r="P28" i="17"/>
  <c r="Q28" i="17"/>
  <c r="R28" i="17"/>
  <c r="S28" i="17"/>
  <c r="T28" i="17"/>
  <c r="U28" i="17"/>
  <c r="V28" i="17"/>
  <c r="W28" i="17"/>
  <c r="X28" i="17"/>
  <c r="Y28" i="17"/>
  <c r="Z28" i="17"/>
  <c r="AA28" i="17"/>
  <c r="AB28" i="17"/>
  <c r="AC28" i="17"/>
  <c r="AD28" i="17"/>
  <c r="AE28" i="17"/>
  <c r="AF28" i="17"/>
  <c r="D29" i="17"/>
  <c r="E29" i="17"/>
  <c r="F29" i="17"/>
  <c r="G29" i="17"/>
  <c r="H29" i="17"/>
  <c r="I29" i="17"/>
  <c r="J29" i="17"/>
  <c r="K29" i="17"/>
  <c r="L29" i="17"/>
  <c r="M29" i="17"/>
  <c r="N29" i="17"/>
  <c r="O29" i="17"/>
  <c r="P29" i="17"/>
  <c r="Q29" i="17"/>
  <c r="R29" i="17"/>
  <c r="S29" i="17"/>
  <c r="T29" i="17"/>
  <c r="U29" i="17"/>
  <c r="V29" i="17"/>
  <c r="W29" i="17"/>
  <c r="X29" i="17"/>
  <c r="Y29" i="17"/>
  <c r="Z29" i="17"/>
  <c r="AA29" i="17"/>
  <c r="AB29" i="17"/>
  <c r="AC29" i="17"/>
  <c r="AD29" i="17"/>
  <c r="AE29" i="17"/>
  <c r="AF29" i="17"/>
  <c r="D30" i="17"/>
  <c r="E30" i="17"/>
  <c r="F30" i="17"/>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AF30" i="17"/>
  <c r="D31" i="17"/>
  <c r="E31" i="17"/>
  <c r="F31" i="17"/>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AF31" i="17"/>
  <c r="D32" i="17"/>
  <c r="E32" i="17"/>
  <c r="F32" i="17"/>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D33" i="17"/>
  <c r="E33" i="17"/>
  <c r="F33" i="17"/>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D34" i="17"/>
  <c r="E34" i="17"/>
  <c r="F34" i="17"/>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D35" i="17"/>
  <c r="E35" i="17"/>
  <c r="F35" i="17"/>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D36" i="17"/>
  <c r="E36" i="17"/>
  <c r="F36" i="17"/>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D37" i="17"/>
  <c r="E37" i="17"/>
  <c r="F37" i="17"/>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D38" i="17"/>
  <c r="E38" i="17"/>
  <c r="F38" i="17"/>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D39" i="17"/>
  <c r="E39" i="17"/>
  <c r="F39" i="17"/>
  <c r="G39" i="17"/>
  <c r="H39" i="17"/>
  <c r="I39" i="17"/>
  <c r="J39" i="17"/>
  <c r="K39" i="17"/>
  <c r="L39" i="17"/>
  <c r="M39" i="17"/>
  <c r="N39" i="17"/>
  <c r="O39" i="17"/>
  <c r="P39" i="17"/>
  <c r="Q39" i="17"/>
  <c r="R39" i="17"/>
  <c r="S39" i="17"/>
  <c r="T39" i="17"/>
  <c r="U39" i="17"/>
  <c r="V39" i="17"/>
  <c r="W39" i="17"/>
  <c r="X39" i="17"/>
  <c r="Y39" i="17"/>
  <c r="Z39" i="17"/>
  <c r="AA39" i="17"/>
  <c r="AB39" i="17"/>
  <c r="AC39" i="17"/>
  <c r="AD39" i="17"/>
  <c r="AE39" i="17"/>
  <c r="AF39" i="17"/>
  <c r="D40" i="17"/>
  <c r="E40" i="17"/>
  <c r="F40" i="17"/>
  <c r="G40" i="17"/>
  <c r="H40" i="17"/>
  <c r="I40" i="17"/>
  <c r="J40" i="17"/>
  <c r="K40" i="17"/>
  <c r="L40" i="17"/>
  <c r="M40" i="17"/>
  <c r="N40" i="17"/>
  <c r="O40" i="17"/>
  <c r="P40" i="17"/>
  <c r="Q40" i="17"/>
  <c r="R40" i="17"/>
  <c r="S40" i="17"/>
  <c r="T40" i="17"/>
  <c r="U40" i="17"/>
  <c r="V40" i="17"/>
  <c r="W40" i="17"/>
  <c r="X40" i="17"/>
  <c r="Y40" i="17"/>
  <c r="Z40" i="17"/>
  <c r="AA40" i="17"/>
  <c r="AB40" i="17"/>
  <c r="AC40" i="17"/>
  <c r="AD40" i="17"/>
  <c r="AE40" i="17"/>
  <c r="AF40" i="17"/>
  <c r="D41" i="17"/>
  <c r="E41" i="17"/>
  <c r="F41" i="17"/>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AF41" i="17"/>
  <c r="D42" i="17"/>
  <c r="E42" i="17"/>
  <c r="F42" i="17"/>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D43" i="17"/>
  <c r="E43" i="17"/>
  <c r="F43" i="17"/>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D44" i="17"/>
  <c r="E44" i="17"/>
  <c r="F44" i="17"/>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D45" i="17"/>
  <c r="E45" i="17"/>
  <c r="F45" i="17"/>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D46" i="17"/>
  <c r="E46" i="17"/>
  <c r="F46" i="17"/>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D47" i="17"/>
  <c r="E47" i="17"/>
  <c r="F47" i="17"/>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D48" i="17"/>
  <c r="E48" i="17"/>
  <c r="F48" i="17"/>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D49" i="17"/>
  <c r="E49" i="17"/>
  <c r="F49" i="17"/>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D50" i="17"/>
  <c r="E50" i="17"/>
  <c r="F50" i="17"/>
  <c r="G50" i="17"/>
  <c r="H50" i="17"/>
  <c r="I50" i="17"/>
  <c r="J50" i="17"/>
  <c r="K50" i="17"/>
  <c r="L50" i="17"/>
  <c r="M50" i="17"/>
  <c r="N50" i="17"/>
  <c r="O50" i="17"/>
  <c r="P50" i="17"/>
  <c r="Q50" i="17"/>
  <c r="R50" i="17"/>
  <c r="S50" i="17"/>
  <c r="T50" i="17"/>
  <c r="U50" i="17"/>
  <c r="V50" i="17"/>
  <c r="W50" i="17"/>
  <c r="X50" i="17"/>
  <c r="Y50" i="17"/>
  <c r="Z50" i="17"/>
  <c r="AA50" i="17"/>
  <c r="AB50" i="17"/>
  <c r="AC50" i="17"/>
  <c r="AD50" i="17"/>
  <c r="AE50" i="17"/>
  <c r="AF50" i="17"/>
  <c r="D51" i="17"/>
  <c r="E51" i="17"/>
  <c r="F51" i="17"/>
  <c r="G51" i="17"/>
  <c r="H51" i="17"/>
  <c r="I51" i="17"/>
  <c r="J51" i="17"/>
  <c r="K51" i="17"/>
  <c r="L51" i="17"/>
  <c r="M51" i="17"/>
  <c r="N51" i="17"/>
  <c r="O51" i="17"/>
  <c r="P51" i="17"/>
  <c r="Q51" i="17"/>
  <c r="R51" i="17"/>
  <c r="S51" i="17"/>
  <c r="T51" i="17"/>
  <c r="U51" i="17"/>
  <c r="V51" i="17"/>
  <c r="W51" i="17"/>
  <c r="X51" i="17"/>
  <c r="Y51" i="17"/>
  <c r="Z51" i="17"/>
  <c r="AA51" i="17"/>
  <c r="AB51" i="17"/>
  <c r="AC51" i="17"/>
  <c r="AD51" i="17"/>
  <c r="AE51" i="17"/>
  <c r="AF51" i="17"/>
  <c r="D52" i="17"/>
  <c r="E52" i="17"/>
  <c r="F52" i="17"/>
  <c r="G52" i="17"/>
  <c r="H52" i="17"/>
  <c r="I52" i="17"/>
  <c r="J52" i="17"/>
  <c r="K52" i="17"/>
  <c r="L52" i="17"/>
  <c r="M52" i="17"/>
  <c r="N52" i="17"/>
  <c r="O52" i="17"/>
  <c r="P52" i="17"/>
  <c r="Q52" i="17"/>
  <c r="R52" i="17"/>
  <c r="S52" i="17"/>
  <c r="T52" i="17"/>
  <c r="U52" i="17"/>
  <c r="V52" i="17"/>
  <c r="W52" i="17"/>
  <c r="X52" i="17"/>
  <c r="Y52" i="17"/>
  <c r="Z52" i="17"/>
  <c r="AA52" i="17"/>
  <c r="AB52" i="17"/>
  <c r="AC52" i="17"/>
  <c r="AD52" i="17"/>
  <c r="AE52" i="17"/>
  <c r="AF52" i="17"/>
  <c r="D53" i="17"/>
  <c r="E53" i="17"/>
  <c r="F53" i="17"/>
  <c r="G53" i="17"/>
  <c r="H53" i="17"/>
  <c r="I53" i="17"/>
  <c r="J53" i="17"/>
  <c r="K53" i="17"/>
  <c r="L53" i="17"/>
  <c r="M53" i="17"/>
  <c r="N53" i="17"/>
  <c r="O53" i="17"/>
  <c r="P53" i="17"/>
  <c r="Q53" i="17"/>
  <c r="R53" i="17"/>
  <c r="S53" i="17"/>
  <c r="T53" i="17"/>
  <c r="U53" i="17"/>
  <c r="V53" i="17"/>
  <c r="W53" i="17"/>
  <c r="X53" i="17"/>
  <c r="Y53" i="17"/>
  <c r="Z53" i="17"/>
  <c r="AA53" i="17"/>
  <c r="AB53" i="17"/>
  <c r="AC53" i="17"/>
  <c r="AD53" i="17"/>
  <c r="AE53" i="17"/>
  <c r="AF53" i="17"/>
  <c r="D54" i="17"/>
  <c r="E54" i="17"/>
  <c r="F54" i="17"/>
  <c r="G54" i="17"/>
  <c r="H54" i="17"/>
  <c r="I54" i="17"/>
  <c r="J54" i="17"/>
  <c r="K54" i="17"/>
  <c r="L54" i="17"/>
  <c r="M54" i="17"/>
  <c r="N54" i="17"/>
  <c r="O54" i="17"/>
  <c r="P54" i="17"/>
  <c r="Q54" i="17"/>
  <c r="R54" i="17"/>
  <c r="S54" i="17"/>
  <c r="T54" i="17"/>
  <c r="U54" i="17"/>
  <c r="V54" i="17"/>
  <c r="W54" i="17"/>
  <c r="X54" i="17"/>
  <c r="Y54" i="17"/>
  <c r="Z54" i="17"/>
  <c r="AA54" i="17"/>
  <c r="AB54" i="17"/>
  <c r="AC54" i="17"/>
  <c r="AD54" i="17"/>
  <c r="AE54" i="17"/>
  <c r="AF54" i="17"/>
  <c r="D55" i="17"/>
  <c r="E55" i="17"/>
  <c r="F55" i="17"/>
  <c r="G55" i="17"/>
  <c r="H55" i="17"/>
  <c r="I55" i="17"/>
  <c r="J55" i="17"/>
  <c r="K55" i="17"/>
  <c r="L55" i="17"/>
  <c r="M55" i="17"/>
  <c r="N55" i="17"/>
  <c r="O55" i="17"/>
  <c r="P55" i="17"/>
  <c r="Q55" i="17"/>
  <c r="R55" i="17"/>
  <c r="S55" i="17"/>
  <c r="T55" i="17"/>
  <c r="U55" i="17"/>
  <c r="V55" i="17"/>
  <c r="W55" i="17"/>
  <c r="X55" i="17"/>
  <c r="Y55" i="17"/>
  <c r="Z55" i="17"/>
  <c r="AA55" i="17"/>
  <c r="AB55" i="17"/>
  <c r="AC55" i="17"/>
  <c r="AD55" i="17"/>
  <c r="AE55" i="17"/>
  <c r="AF55" i="17"/>
  <c r="D56" i="17"/>
  <c r="E56" i="17"/>
  <c r="F56" i="17"/>
  <c r="G56" i="17"/>
  <c r="H56" i="17"/>
  <c r="I56" i="17"/>
  <c r="J56" i="17"/>
  <c r="K56" i="17"/>
  <c r="L56" i="17"/>
  <c r="M56" i="17"/>
  <c r="N56" i="17"/>
  <c r="O56" i="17"/>
  <c r="P56" i="17"/>
  <c r="Q56" i="17"/>
  <c r="R56" i="17"/>
  <c r="S56" i="17"/>
  <c r="T56" i="17"/>
  <c r="U56" i="17"/>
  <c r="V56" i="17"/>
  <c r="W56" i="17"/>
  <c r="X56" i="17"/>
  <c r="Y56" i="17"/>
  <c r="Z56" i="17"/>
  <c r="AA56" i="17"/>
  <c r="AB56" i="17"/>
  <c r="AC56" i="17"/>
  <c r="AD56" i="17"/>
  <c r="AE56" i="17"/>
  <c r="AF56" i="17"/>
  <c r="D57" i="17"/>
  <c r="E57" i="17"/>
  <c r="F57" i="17"/>
  <c r="G57" i="17"/>
  <c r="H57" i="17"/>
  <c r="I57" i="17"/>
  <c r="J57" i="17"/>
  <c r="K57" i="17"/>
  <c r="L57" i="17"/>
  <c r="M57" i="17"/>
  <c r="N57" i="17"/>
  <c r="O57" i="17"/>
  <c r="P57" i="17"/>
  <c r="Q57" i="17"/>
  <c r="R57" i="17"/>
  <c r="S57" i="17"/>
  <c r="T57" i="17"/>
  <c r="U57" i="17"/>
  <c r="V57" i="17"/>
  <c r="W57" i="17"/>
  <c r="X57" i="17"/>
  <c r="Y57" i="17"/>
  <c r="Z57" i="17"/>
  <c r="AA57" i="17"/>
  <c r="AB57" i="17"/>
  <c r="AC57" i="17"/>
  <c r="AD57" i="17"/>
  <c r="AE57" i="17"/>
  <c r="AF57" i="17"/>
  <c r="D58" i="17"/>
  <c r="E58" i="17"/>
  <c r="F58" i="17"/>
  <c r="G58" i="17"/>
  <c r="H58" i="17"/>
  <c r="I58" i="17"/>
  <c r="J58" i="17"/>
  <c r="K58" i="17"/>
  <c r="L58" i="17"/>
  <c r="M58" i="17"/>
  <c r="N58" i="17"/>
  <c r="O58" i="17"/>
  <c r="P58" i="17"/>
  <c r="Q58" i="17"/>
  <c r="R58" i="17"/>
  <c r="S58" i="17"/>
  <c r="T58" i="17"/>
  <c r="U58" i="17"/>
  <c r="V58" i="17"/>
  <c r="W58" i="17"/>
  <c r="X58" i="17"/>
  <c r="Y58" i="17"/>
  <c r="Z58" i="17"/>
  <c r="AA58" i="17"/>
  <c r="AB58" i="17"/>
  <c r="AC58" i="17"/>
  <c r="AD58" i="17"/>
  <c r="AE58" i="17"/>
  <c r="AF58" i="17"/>
  <c r="D59" i="17"/>
  <c r="E59" i="17"/>
  <c r="F59" i="17"/>
  <c r="G59" i="17"/>
  <c r="H59" i="17"/>
  <c r="I59" i="17"/>
  <c r="J59" i="17"/>
  <c r="K59" i="17"/>
  <c r="L59" i="17"/>
  <c r="M59" i="17"/>
  <c r="N59" i="17"/>
  <c r="O59" i="17"/>
  <c r="P59" i="17"/>
  <c r="Q59" i="17"/>
  <c r="R59" i="17"/>
  <c r="S59" i="17"/>
  <c r="T59" i="17"/>
  <c r="U59" i="17"/>
  <c r="V59" i="17"/>
  <c r="W59" i="17"/>
  <c r="X59" i="17"/>
  <c r="Y59" i="17"/>
  <c r="Z59" i="17"/>
  <c r="AA59" i="17"/>
  <c r="AB59" i="17"/>
  <c r="AC59" i="17"/>
  <c r="AD59" i="17"/>
  <c r="AE59" i="17"/>
  <c r="AF59" i="17"/>
  <c r="D60" i="17"/>
  <c r="E60" i="17"/>
  <c r="F60" i="17"/>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AF60" i="17"/>
  <c r="D61" i="17"/>
  <c r="E61" i="17"/>
  <c r="F61" i="17"/>
  <c r="G61" i="17"/>
  <c r="H61" i="17"/>
  <c r="I61" i="17"/>
  <c r="J61" i="17"/>
  <c r="K61" i="17"/>
  <c r="L61" i="17"/>
  <c r="M61" i="17"/>
  <c r="N61" i="17"/>
  <c r="O61" i="17"/>
  <c r="P61" i="17"/>
  <c r="Q61" i="17"/>
  <c r="R61" i="17"/>
  <c r="S61" i="17"/>
  <c r="T61" i="17"/>
  <c r="U61" i="17"/>
  <c r="V61" i="17"/>
  <c r="W61" i="17"/>
  <c r="X61" i="17"/>
  <c r="Y61" i="17"/>
  <c r="Z61" i="17"/>
  <c r="AA61" i="17"/>
  <c r="AB61" i="17"/>
  <c r="AC61" i="17"/>
  <c r="AD61" i="17"/>
  <c r="AE61" i="17"/>
  <c r="AF61" i="17"/>
  <c r="D62" i="17"/>
  <c r="E62" i="17"/>
  <c r="F62" i="17"/>
  <c r="G62" i="17"/>
  <c r="H62" i="17"/>
  <c r="I62" i="17"/>
  <c r="J62" i="17"/>
  <c r="K62" i="17"/>
  <c r="L62" i="17"/>
  <c r="M62" i="17"/>
  <c r="N62" i="17"/>
  <c r="O62" i="17"/>
  <c r="P62" i="17"/>
  <c r="Q62" i="17"/>
  <c r="R62" i="17"/>
  <c r="S62" i="17"/>
  <c r="T62" i="17"/>
  <c r="U62" i="17"/>
  <c r="V62" i="17"/>
  <c r="W62" i="17"/>
  <c r="X62" i="17"/>
  <c r="Y62" i="17"/>
  <c r="Z62" i="17"/>
  <c r="AA62" i="17"/>
  <c r="AB62" i="17"/>
  <c r="AC62" i="17"/>
  <c r="AD62" i="17"/>
  <c r="AE62" i="17"/>
  <c r="AF62" i="17"/>
  <c r="D63" i="17"/>
  <c r="E63" i="17"/>
  <c r="F63" i="17"/>
  <c r="G63" i="17"/>
  <c r="H63" i="17"/>
  <c r="I63" i="17"/>
  <c r="J63" i="17"/>
  <c r="K63" i="17"/>
  <c r="L63" i="17"/>
  <c r="M63" i="17"/>
  <c r="N63" i="17"/>
  <c r="O63" i="17"/>
  <c r="P63" i="17"/>
  <c r="Q63" i="17"/>
  <c r="R63" i="17"/>
  <c r="S63" i="17"/>
  <c r="T63" i="17"/>
  <c r="U63" i="17"/>
  <c r="V63" i="17"/>
  <c r="W63" i="17"/>
  <c r="X63" i="17"/>
  <c r="Y63" i="17"/>
  <c r="Z63" i="17"/>
  <c r="AA63" i="17"/>
  <c r="AB63" i="17"/>
  <c r="AC63" i="17"/>
  <c r="AD63" i="17"/>
  <c r="AE63" i="17"/>
  <c r="AF63" i="17"/>
  <c r="D64" i="17"/>
  <c r="E64" i="17"/>
  <c r="F64" i="17"/>
  <c r="G64" i="17"/>
  <c r="H64" i="17"/>
  <c r="I64" i="17"/>
  <c r="J64" i="17"/>
  <c r="K64" i="17"/>
  <c r="L64" i="17"/>
  <c r="M64" i="17"/>
  <c r="N64" i="17"/>
  <c r="O64" i="17"/>
  <c r="P64" i="17"/>
  <c r="Q64" i="17"/>
  <c r="R64" i="17"/>
  <c r="S64" i="17"/>
  <c r="T64" i="17"/>
  <c r="U64" i="17"/>
  <c r="V64" i="17"/>
  <c r="W64" i="17"/>
  <c r="X64" i="17"/>
  <c r="Y64" i="17"/>
  <c r="Z64" i="17"/>
  <c r="AA64" i="17"/>
  <c r="AB64" i="17"/>
  <c r="AC64" i="17"/>
  <c r="AD64" i="17"/>
  <c r="AE64" i="17"/>
  <c r="AF64" i="17"/>
  <c r="D65" i="17"/>
  <c r="E65" i="17"/>
  <c r="F65" i="17"/>
  <c r="G65" i="17"/>
  <c r="H65" i="17"/>
  <c r="I65" i="17"/>
  <c r="J65" i="17"/>
  <c r="K65" i="17"/>
  <c r="L65" i="17"/>
  <c r="M65" i="17"/>
  <c r="N65" i="17"/>
  <c r="O65" i="17"/>
  <c r="P65" i="17"/>
  <c r="Q65" i="17"/>
  <c r="R65" i="17"/>
  <c r="S65" i="17"/>
  <c r="T65" i="17"/>
  <c r="U65" i="17"/>
  <c r="V65" i="17"/>
  <c r="W65" i="17"/>
  <c r="X65" i="17"/>
  <c r="Y65" i="17"/>
  <c r="Z65" i="17"/>
  <c r="AA65" i="17"/>
  <c r="AB65" i="17"/>
  <c r="AC65" i="17"/>
  <c r="AD65" i="17"/>
  <c r="AE65" i="17"/>
  <c r="AF65" i="17"/>
  <c r="D66" i="17"/>
  <c r="E66" i="17"/>
  <c r="F66" i="17"/>
  <c r="G66" i="17"/>
  <c r="H66" i="17"/>
  <c r="I66" i="17"/>
  <c r="J66" i="17"/>
  <c r="K66" i="17"/>
  <c r="L66" i="17"/>
  <c r="M66" i="17"/>
  <c r="N66" i="17"/>
  <c r="O66" i="17"/>
  <c r="P66" i="17"/>
  <c r="Q66" i="17"/>
  <c r="R66" i="17"/>
  <c r="S66" i="17"/>
  <c r="T66" i="17"/>
  <c r="U66" i="17"/>
  <c r="V66" i="17"/>
  <c r="W66" i="17"/>
  <c r="X66" i="17"/>
  <c r="Y66" i="17"/>
  <c r="Z66" i="17"/>
  <c r="AA66" i="17"/>
  <c r="AB66" i="17"/>
  <c r="AC66" i="17"/>
  <c r="AD66" i="17"/>
  <c r="AE66" i="17"/>
  <c r="AF66" i="17"/>
  <c r="D67" i="17"/>
  <c r="E67" i="17"/>
  <c r="F67" i="17"/>
  <c r="G67" i="17"/>
  <c r="H67" i="17"/>
  <c r="I67" i="17"/>
  <c r="J67" i="17"/>
  <c r="K67" i="17"/>
  <c r="L67" i="17"/>
  <c r="M67" i="17"/>
  <c r="N67" i="17"/>
  <c r="O67" i="17"/>
  <c r="P67" i="17"/>
  <c r="Q67" i="17"/>
  <c r="R67" i="17"/>
  <c r="S67" i="17"/>
  <c r="T67" i="17"/>
  <c r="U67" i="17"/>
  <c r="V67" i="17"/>
  <c r="W67" i="17"/>
  <c r="X67" i="17"/>
  <c r="Y67" i="17"/>
  <c r="Z67" i="17"/>
  <c r="AA67" i="17"/>
  <c r="AB67" i="17"/>
  <c r="AC67" i="17"/>
  <c r="AD67" i="17"/>
  <c r="AE67" i="17"/>
  <c r="AF67" i="17"/>
  <c r="D68" i="17"/>
  <c r="E68" i="17"/>
  <c r="F68" i="17"/>
  <c r="G68" i="17"/>
  <c r="H68" i="17"/>
  <c r="I68" i="17"/>
  <c r="J68" i="17"/>
  <c r="K68" i="17"/>
  <c r="L68" i="17"/>
  <c r="M68" i="17"/>
  <c r="N68" i="17"/>
  <c r="O68" i="17"/>
  <c r="P68" i="17"/>
  <c r="Q68" i="17"/>
  <c r="R68" i="17"/>
  <c r="S68" i="17"/>
  <c r="T68" i="17"/>
  <c r="U68" i="17"/>
  <c r="V68" i="17"/>
  <c r="W68" i="17"/>
  <c r="X68" i="17"/>
  <c r="Y68" i="17"/>
  <c r="Z68" i="17"/>
  <c r="AA68" i="17"/>
  <c r="AB68" i="17"/>
  <c r="AC68" i="17"/>
  <c r="AD68" i="17"/>
  <c r="AE68" i="17"/>
  <c r="AF68" i="17"/>
  <c r="D69" i="17"/>
  <c r="E69" i="17"/>
  <c r="F69" i="17"/>
  <c r="G69" i="17"/>
  <c r="H69" i="17"/>
  <c r="I69" i="17"/>
  <c r="J69" i="17"/>
  <c r="K69" i="17"/>
  <c r="L69" i="17"/>
  <c r="M69" i="17"/>
  <c r="N69" i="17"/>
  <c r="O69" i="17"/>
  <c r="P69" i="17"/>
  <c r="Q69" i="17"/>
  <c r="R69" i="17"/>
  <c r="S69" i="17"/>
  <c r="T69" i="17"/>
  <c r="U69" i="17"/>
  <c r="V69" i="17"/>
  <c r="W69" i="17"/>
  <c r="X69" i="17"/>
  <c r="Y69" i="17"/>
  <c r="Z69" i="17"/>
  <c r="AA69" i="17"/>
  <c r="AB69" i="17"/>
  <c r="AC69" i="17"/>
  <c r="AD69" i="17"/>
  <c r="AE69" i="17"/>
  <c r="AF69" i="17"/>
  <c r="D70" i="17"/>
  <c r="E70" i="17"/>
  <c r="F70" i="17"/>
  <c r="G70" i="17"/>
  <c r="H70" i="17"/>
  <c r="I70" i="17"/>
  <c r="J70" i="17"/>
  <c r="K70" i="17"/>
  <c r="L70" i="17"/>
  <c r="M70" i="17"/>
  <c r="N70" i="17"/>
  <c r="O70" i="17"/>
  <c r="P70" i="17"/>
  <c r="Q70" i="17"/>
  <c r="R70" i="17"/>
  <c r="S70" i="17"/>
  <c r="T70" i="17"/>
  <c r="U70" i="17"/>
  <c r="V70" i="17"/>
  <c r="W70" i="17"/>
  <c r="X70" i="17"/>
  <c r="Y70" i="17"/>
  <c r="Z70" i="17"/>
  <c r="AA70" i="17"/>
  <c r="AB70" i="17"/>
  <c r="AC70" i="17"/>
  <c r="AD70" i="17"/>
  <c r="AE70" i="17"/>
  <c r="AF70" i="17"/>
  <c r="D71" i="17"/>
  <c r="E71" i="17"/>
  <c r="F71" i="17"/>
  <c r="G71" i="17"/>
  <c r="H71" i="17"/>
  <c r="I71" i="17"/>
  <c r="J71" i="17"/>
  <c r="K71" i="17"/>
  <c r="L71" i="17"/>
  <c r="M71" i="17"/>
  <c r="N71" i="17"/>
  <c r="O71" i="17"/>
  <c r="P71" i="17"/>
  <c r="Q71" i="17"/>
  <c r="R71" i="17"/>
  <c r="S71" i="17"/>
  <c r="T71" i="17"/>
  <c r="U71" i="17"/>
  <c r="V71" i="17"/>
  <c r="W71" i="17"/>
  <c r="X71" i="17"/>
  <c r="Y71" i="17"/>
  <c r="Z71" i="17"/>
  <c r="AA71" i="17"/>
  <c r="AB71" i="17"/>
  <c r="AC71" i="17"/>
  <c r="AD71" i="17"/>
  <c r="AE71" i="17"/>
  <c r="AF71" i="17"/>
  <c r="D72" i="17"/>
  <c r="E72" i="17"/>
  <c r="F72" i="17"/>
  <c r="G72" i="17"/>
  <c r="H72" i="17"/>
  <c r="I72" i="17"/>
  <c r="J72" i="17"/>
  <c r="K72" i="17"/>
  <c r="L72" i="17"/>
  <c r="M72" i="17"/>
  <c r="N72" i="17"/>
  <c r="O72" i="17"/>
  <c r="P72" i="17"/>
  <c r="Q72" i="17"/>
  <c r="R72" i="17"/>
  <c r="S72" i="17"/>
  <c r="T72" i="17"/>
  <c r="U72" i="17"/>
  <c r="V72" i="17"/>
  <c r="W72" i="17"/>
  <c r="X72" i="17"/>
  <c r="Y72" i="17"/>
  <c r="Z72" i="17"/>
  <c r="AA72" i="17"/>
  <c r="AB72" i="17"/>
  <c r="AC72" i="17"/>
  <c r="AD72" i="17"/>
  <c r="AE72" i="17"/>
  <c r="AF72" i="17"/>
  <c r="D73" i="17"/>
  <c r="E73" i="17"/>
  <c r="F73" i="17"/>
  <c r="G73" i="17"/>
  <c r="H73" i="17"/>
  <c r="I73" i="17"/>
  <c r="J73" i="17"/>
  <c r="K73" i="17"/>
  <c r="L73" i="17"/>
  <c r="M73" i="17"/>
  <c r="N73" i="17"/>
  <c r="O73" i="17"/>
  <c r="P73" i="17"/>
  <c r="Q73" i="17"/>
  <c r="R73" i="17"/>
  <c r="S73" i="17"/>
  <c r="T73" i="17"/>
  <c r="U73" i="17"/>
  <c r="V73" i="17"/>
  <c r="W73" i="17"/>
  <c r="X73" i="17"/>
  <c r="Y73" i="17"/>
  <c r="Z73" i="17"/>
  <c r="AA73" i="17"/>
  <c r="AB73" i="17"/>
  <c r="AC73" i="17"/>
  <c r="AD73" i="17"/>
  <c r="AE73" i="17"/>
  <c r="AF73" i="17"/>
  <c r="D74" i="17"/>
  <c r="E74" i="17"/>
  <c r="F74" i="17"/>
  <c r="G74" i="17"/>
  <c r="H74" i="17"/>
  <c r="I74" i="17"/>
  <c r="J74" i="17"/>
  <c r="K74" i="17"/>
  <c r="L74" i="17"/>
  <c r="M74" i="17"/>
  <c r="N74" i="17"/>
  <c r="O74" i="17"/>
  <c r="P74" i="17"/>
  <c r="Q74" i="17"/>
  <c r="R74" i="17"/>
  <c r="S74" i="17"/>
  <c r="T74" i="17"/>
  <c r="U74" i="17"/>
  <c r="V74" i="17"/>
  <c r="W74" i="17"/>
  <c r="X74" i="17"/>
  <c r="Y74" i="17"/>
  <c r="Z74" i="17"/>
  <c r="AA74" i="17"/>
  <c r="AB74" i="17"/>
  <c r="AC74" i="17"/>
  <c r="AD74" i="17"/>
  <c r="AE74" i="17"/>
  <c r="AF74" i="17"/>
  <c r="D75" i="17"/>
  <c r="E75" i="17"/>
  <c r="F75" i="17"/>
  <c r="G75" i="17"/>
  <c r="H75" i="17"/>
  <c r="I75" i="17"/>
  <c r="J75" i="17"/>
  <c r="K75" i="17"/>
  <c r="L75" i="17"/>
  <c r="M75" i="17"/>
  <c r="N75" i="17"/>
  <c r="O75" i="17"/>
  <c r="P75" i="17"/>
  <c r="Q75" i="17"/>
  <c r="R75" i="17"/>
  <c r="S75" i="17"/>
  <c r="T75" i="17"/>
  <c r="U75" i="17"/>
  <c r="V75" i="17"/>
  <c r="W75" i="17"/>
  <c r="X75" i="17"/>
  <c r="Y75" i="17"/>
  <c r="Z75" i="17"/>
  <c r="AA75" i="17"/>
  <c r="AB75" i="17"/>
  <c r="AC75" i="17"/>
  <c r="AD75" i="17"/>
  <c r="AE75" i="17"/>
  <c r="AF75" i="17"/>
  <c r="D76" i="17"/>
  <c r="E76" i="17"/>
  <c r="F76" i="17"/>
  <c r="G76" i="17"/>
  <c r="H76" i="17"/>
  <c r="I76" i="17"/>
  <c r="J76" i="17"/>
  <c r="K76" i="17"/>
  <c r="L76" i="17"/>
  <c r="M76" i="17"/>
  <c r="N76" i="17"/>
  <c r="O76" i="17"/>
  <c r="P76" i="17"/>
  <c r="Q76" i="17"/>
  <c r="R76" i="17"/>
  <c r="S76" i="17"/>
  <c r="T76" i="17"/>
  <c r="U76" i="17"/>
  <c r="V76" i="17"/>
  <c r="W76" i="17"/>
  <c r="X76" i="17"/>
  <c r="Y76" i="17"/>
  <c r="Z76" i="17"/>
  <c r="AA76" i="17"/>
  <c r="AB76" i="17"/>
  <c r="AC76" i="17"/>
  <c r="AD76" i="17"/>
  <c r="AE76" i="17"/>
  <c r="AF76" i="17"/>
  <c r="D77" i="17"/>
  <c r="E77" i="17"/>
  <c r="F77" i="17"/>
  <c r="G77" i="17"/>
  <c r="H77" i="17"/>
  <c r="I77" i="17"/>
  <c r="J77" i="17"/>
  <c r="K77" i="17"/>
  <c r="L77" i="17"/>
  <c r="M77" i="17"/>
  <c r="N77" i="17"/>
  <c r="O77" i="17"/>
  <c r="P77" i="17"/>
  <c r="Q77" i="17"/>
  <c r="R77" i="17"/>
  <c r="S77" i="17"/>
  <c r="T77" i="17"/>
  <c r="U77" i="17"/>
  <c r="V77" i="17"/>
  <c r="W77" i="17"/>
  <c r="X77" i="17"/>
  <c r="Y77" i="17"/>
  <c r="Z77" i="17"/>
  <c r="AA77" i="17"/>
  <c r="AB77" i="17"/>
  <c r="AC77" i="17"/>
  <c r="AD77" i="17"/>
  <c r="AE77" i="17"/>
  <c r="AF77" i="17"/>
  <c r="D78" i="17"/>
  <c r="E78" i="17"/>
  <c r="F78" i="17"/>
  <c r="G78" i="17"/>
  <c r="H78" i="17"/>
  <c r="I78" i="17"/>
  <c r="J78" i="17"/>
  <c r="K78" i="17"/>
  <c r="L78" i="17"/>
  <c r="M78" i="17"/>
  <c r="N78" i="17"/>
  <c r="O78" i="17"/>
  <c r="P78" i="17"/>
  <c r="Q78" i="17"/>
  <c r="R78" i="17"/>
  <c r="S78" i="17"/>
  <c r="T78" i="17"/>
  <c r="U78" i="17"/>
  <c r="V78" i="17"/>
  <c r="W78" i="17"/>
  <c r="X78" i="17"/>
  <c r="Y78" i="17"/>
  <c r="Z78" i="17"/>
  <c r="AA78" i="17"/>
  <c r="AB78" i="17"/>
  <c r="AC78" i="17"/>
  <c r="AD78" i="17"/>
  <c r="AE78" i="17"/>
  <c r="AF78" i="17"/>
  <c r="D79" i="17"/>
  <c r="E79" i="17"/>
  <c r="F79" i="17"/>
  <c r="G79" i="17"/>
  <c r="H79" i="17"/>
  <c r="I79" i="17"/>
  <c r="J79" i="17"/>
  <c r="K79" i="17"/>
  <c r="L79" i="17"/>
  <c r="M79" i="17"/>
  <c r="N79" i="17"/>
  <c r="O79" i="17"/>
  <c r="P79" i="17"/>
  <c r="Q79" i="17"/>
  <c r="R79" i="17"/>
  <c r="S79" i="17"/>
  <c r="T79" i="17"/>
  <c r="U79" i="17"/>
  <c r="V79" i="17"/>
  <c r="W79" i="17"/>
  <c r="X79" i="17"/>
  <c r="Y79" i="17"/>
  <c r="Z79" i="17"/>
  <c r="AA79" i="17"/>
  <c r="AB79" i="17"/>
  <c r="AC79" i="17"/>
  <c r="AD79" i="17"/>
  <c r="AE79" i="17"/>
  <c r="AF79" i="17"/>
  <c r="D80" i="17"/>
  <c r="E80" i="17"/>
  <c r="F80" i="17"/>
  <c r="G80" i="17"/>
  <c r="H80" i="17"/>
  <c r="I80" i="17"/>
  <c r="J80" i="17"/>
  <c r="K80" i="17"/>
  <c r="L80" i="17"/>
  <c r="M80" i="17"/>
  <c r="N80" i="17"/>
  <c r="O80" i="17"/>
  <c r="P80" i="17"/>
  <c r="Q80" i="17"/>
  <c r="R80" i="17"/>
  <c r="S80" i="17"/>
  <c r="T80" i="17"/>
  <c r="U80" i="17"/>
  <c r="V80" i="17"/>
  <c r="W80" i="17"/>
  <c r="X80" i="17"/>
  <c r="Y80" i="17"/>
  <c r="Z80" i="17"/>
  <c r="AA80" i="17"/>
  <c r="AB80" i="17"/>
  <c r="AC80" i="17"/>
  <c r="AD80" i="17"/>
  <c r="AE80" i="17"/>
  <c r="AF80" i="17"/>
  <c r="D81" i="17"/>
  <c r="E81" i="17"/>
  <c r="F81" i="17"/>
  <c r="G81" i="17"/>
  <c r="H81" i="17"/>
  <c r="I81" i="17"/>
  <c r="J81" i="17"/>
  <c r="K81" i="17"/>
  <c r="L81" i="17"/>
  <c r="M81" i="17"/>
  <c r="N81" i="17"/>
  <c r="O81" i="17"/>
  <c r="P81" i="17"/>
  <c r="Q81" i="17"/>
  <c r="R81" i="17"/>
  <c r="S81" i="17"/>
  <c r="T81" i="17"/>
  <c r="U81" i="17"/>
  <c r="V81" i="17"/>
  <c r="W81" i="17"/>
  <c r="X81" i="17"/>
  <c r="Y81" i="17"/>
  <c r="Z81" i="17"/>
  <c r="AA81" i="17"/>
  <c r="AB81" i="17"/>
  <c r="AC81" i="17"/>
  <c r="AD81" i="17"/>
  <c r="AE81" i="17"/>
  <c r="AF81" i="17"/>
  <c r="D82" i="17"/>
  <c r="E82" i="17"/>
  <c r="F82" i="17"/>
  <c r="G82" i="17"/>
  <c r="H82" i="17"/>
  <c r="I82" i="17"/>
  <c r="J82" i="17"/>
  <c r="K82" i="17"/>
  <c r="L82" i="17"/>
  <c r="M82" i="17"/>
  <c r="N82" i="17"/>
  <c r="O82" i="17"/>
  <c r="P82" i="17"/>
  <c r="Q82" i="17"/>
  <c r="R82" i="17"/>
  <c r="S82" i="17"/>
  <c r="T82" i="17"/>
  <c r="U82" i="17"/>
  <c r="V82" i="17"/>
  <c r="W82" i="17"/>
  <c r="X82" i="17"/>
  <c r="Y82" i="17"/>
  <c r="Z82" i="17"/>
  <c r="AA82" i="17"/>
  <c r="AB82" i="17"/>
  <c r="AC82" i="17"/>
  <c r="AD82" i="17"/>
  <c r="AE82" i="17"/>
  <c r="AF82" i="17"/>
  <c r="D83" i="17"/>
  <c r="E83" i="17"/>
  <c r="F83" i="17"/>
  <c r="G83" i="17"/>
  <c r="H83" i="17"/>
  <c r="I83" i="17"/>
  <c r="J83" i="17"/>
  <c r="K83" i="17"/>
  <c r="L83" i="17"/>
  <c r="M83" i="17"/>
  <c r="N83" i="17"/>
  <c r="O83" i="17"/>
  <c r="P83" i="17"/>
  <c r="Q83" i="17"/>
  <c r="R83" i="17"/>
  <c r="S83" i="17"/>
  <c r="T83" i="17"/>
  <c r="U83" i="17"/>
  <c r="V83" i="17"/>
  <c r="W83" i="17"/>
  <c r="X83" i="17"/>
  <c r="Y83" i="17"/>
  <c r="Z83" i="17"/>
  <c r="AA83" i="17"/>
  <c r="AB83" i="17"/>
  <c r="AC83" i="17"/>
  <c r="AD83" i="17"/>
  <c r="AE83" i="17"/>
  <c r="AF83" i="17"/>
  <c r="D84" i="17"/>
  <c r="E84" i="17"/>
  <c r="F84" i="17"/>
  <c r="G84" i="17"/>
  <c r="H84" i="17"/>
  <c r="I84" i="17"/>
  <c r="J84" i="17"/>
  <c r="K84" i="17"/>
  <c r="L84" i="17"/>
  <c r="M84" i="17"/>
  <c r="N84" i="17"/>
  <c r="O84" i="17"/>
  <c r="P84" i="17"/>
  <c r="Q84" i="17"/>
  <c r="R84" i="17"/>
  <c r="S84" i="17"/>
  <c r="T84" i="17"/>
  <c r="U84" i="17"/>
  <c r="V84" i="17"/>
  <c r="W84" i="17"/>
  <c r="X84" i="17"/>
  <c r="Y84" i="17"/>
  <c r="Z84" i="17"/>
  <c r="AA84" i="17"/>
  <c r="AB84" i="17"/>
  <c r="AC84" i="17"/>
  <c r="AD84" i="17"/>
  <c r="AE84" i="17"/>
  <c r="AF84" i="17"/>
  <c r="D85" i="17"/>
  <c r="E85" i="17"/>
  <c r="F85" i="17"/>
  <c r="G85" i="17"/>
  <c r="H85" i="17"/>
  <c r="I85" i="17"/>
  <c r="J85" i="17"/>
  <c r="K85" i="17"/>
  <c r="L85" i="17"/>
  <c r="M85" i="17"/>
  <c r="N85" i="17"/>
  <c r="O85" i="17"/>
  <c r="P85" i="17"/>
  <c r="Q85" i="17"/>
  <c r="R85" i="17"/>
  <c r="S85" i="17"/>
  <c r="T85" i="17"/>
  <c r="U85" i="17"/>
  <c r="V85" i="17"/>
  <c r="W85" i="17"/>
  <c r="X85" i="17"/>
  <c r="Y85" i="17"/>
  <c r="Z85" i="17"/>
  <c r="AA85" i="17"/>
  <c r="AB85" i="17"/>
  <c r="AC85" i="17"/>
  <c r="AD85" i="17"/>
  <c r="AE85" i="17"/>
  <c r="AF85" i="17"/>
  <c r="D86" i="17"/>
  <c r="E86" i="17"/>
  <c r="F86" i="17"/>
  <c r="G86" i="17"/>
  <c r="H86" i="17"/>
  <c r="I86" i="17"/>
  <c r="J86" i="17"/>
  <c r="K86" i="17"/>
  <c r="L86" i="17"/>
  <c r="M86" i="17"/>
  <c r="N86" i="17"/>
  <c r="O86" i="17"/>
  <c r="P86" i="17"/>
  <c r="Q86" i="17"/>
  <c r="R86" i="17"/>
  <c r="S86" i="17"/>
  <c r="T86" i="17"/>
  <c r="U86" i="17"/>
  <c r="V86" i="17"/>
  <c r="W86" i="17"/>
  <c r="X86" i="17"/>
  <c r="Y86" i="17"/>
  <c r="Z86" i="17"/>
  <c r="AA86" i="17"/>
  <c r="AB86" i="17"/>
  <c r="AC86" i="17"/>
  <c r="AD86" i="17"/>
  <c r="AE86" i="17"/>
  <c r="AF86" i="17"/>
  <c r="D87" i="17"/>
  <c r="E87" i="17"/>
  <c r="F87" i="17"/>
  <c r="G87" i="17"/>
  <c r="H87" i="17"/>
  <c r="I87" i="17"/>
  <c r="J87" i="17"/>
  <c r="K87" i="17"/>
  <c r="L87" i="17"/>
  <c r="M87" i="17"/>
  <c r="N87" i="17"/>
  <c r="O87" i="17"/>
  <c r="P87" i="17"/>
  <c r="Q87" i="17"/>
  <c r="R87" i="17"/>
  <c r="S87" i="17"/>
  <c r="T87" i="17"/>
  <c r="U87" i="17"/>
  <c r="V87" i="17"/>
  <c r="W87" i="17"/>
  <c r="X87" i="17"/>
  <c r="Y87" i="17"/>
  <c r="Z87" i="17"/>
  <c r="AA87" i="17"/>
  <c r="AB87" i="17"/>
  <c r="AC87" i="17"/>
  <c r="AD87" i="17"/>
  <c r="AE87" i="17"/>
  <c r="AF87" i="17"/>
  <c r="D88" i="17"/>
  <c r="E88" i="17"/>
  <c r="F88" i="17"/>
  <c r="G88" i="17"/>
  <c r="H88" i="17"/>
  <c r="I88" i="17"/>
  <c r="J88" i="17"/>
  <c r="K88" i="17"/>
  <c r="L88" i="17"/>
  <c r="M88" i="17"/>
  <c r="N88" i="17"/>
  <c r="O88" i="17"/>
  <c r="P88" i="17"/>
  <c r="Q88" i="17"/>
  <c r="R88" i="17"/>
  <c r="S88" i="17"/>
  <c r="T88" i="17"/>
  <c r="U88" i="17"/>
  <c r="V88" i="17"/>
  <c r="W88" i="17"/>
  <c r="X88" i="17"/>
  <c r="Y88" i="17"/>
  <c r="Z88" i="17"/>
  <c r="AA88" i="17"/>
  <c r="AB88" i="17"/>
  <c r="AC88" i="17"/>
  <c r="AD88" i="17"/>
  <c r="AE88" i="17"/>
  <c r="AF88" i="17"/>
  <c r="D89" i="17"/>
  <c r="E89" i="17"/>
  <c r="F89" i="17"/>
  <c r="G89" i="17"/>
  <c r="H89" i="17"/>
  <c r="I89" i="17"/>
  <c r="J89" i="17"/>
  <c r="K89" i="17"/>
  <c r="L89" i="17"/>
  <c r="M89" i="17"/>
  <c r="N89" i="17"/>
  <c r="O89" i="17"/>
  <c r="P89" i="17"/>
  <c r="Q89" i="17"/>
  <c r="R89" i="17"/>
  <c r="S89" i="17"/>
  <c r="T89" i="17"/>
  <c r="U89" i="17"/>
  <c r="V89" i="17"/>
  <c r="W89" i="17"/>
  <c r="X89" i="17"/>
  <c r="Y89" i="17"/>
  <c r="Z89" i="17"/>
  <c r="AA89" i="17"/>
  <c r="AB89" i="17"/>
  <c r="AC89" i="17"/>
  <c r="AD89" i="17"/>
  <c r="AE89" i="17"/>
  <c r="AF89" i="17"/>
  <c r="D90" i="17"/>
  <c r="E90" i="17"/>
  <c r="F90" i="17"/>
  <c r="G90" i="17"/>
  <c r="H90" i="17"/>
  <c r="I90" i="17"/>
  <c r="J90" i="17"/>
  <c r="K90" i="17"/>
  <c r="L90" i="17"/>
  <c r="M90" i="17"/>
  <c r="N90" i="17"/>
  <c r="O90" i="17"/>
  <c r="P90" i="17"/>
  <c r="Q90" i="17"/>
  <c r="R90" i="17"/>
  <c r="S90" i="17"/>
  <c r="T90" i="17"/>
  <c r="U90" i="17"/>
  <c r="V90" i="17"/>
  <c r="W90" i="17"/>
  <c r="X90" i="17"/>
  <c r="Y90" i="17"/>
  <c r="Z90" i="17"/>
  <c r="AA90" i="17"/>
  <c r="AB90" i="17"/>
  <c r="AC90" i="17"/>
  <c r="AD90" i="17"/>
  <c r="AE90" i="17"/>
  <c r="AF90" i="17"/>
  <c r="D91" i="17"/>
  <c r="E91" i="17"/>
  <c r="F91" i="17"/>
  <c r="G91" i="17"/>
  <c r="H91" i="17"/>
  <c r="I91" i="17"/>
  <c r="J91" i="17"/>
  <c r="K91" i="17"/>
  <c r="L91" i="17"/>
  <c r="M91" i="17"/>
  <c r="N91" i="17"/>
  <c r="O91" i="17"/>
  <c r="P91" i="17"/>
  <c r="Q91" i="17"/>
  <c r="R91" i="17"/>
  <c r="S91" i="17"/>
  <c r="T91" i="17"/>
  <c r="U91" i="17"/>
  <c r="V91" i="17"/>
  <c r="W91" i="17"/>
  <c r="X91" i="17"/>
  <c r="Y91" i="17"/>
  <c r="Z91" i="17"/>
  <c r="AA91" i="17"/>
  <c r="AB91" i="17"/>
  <c r="AC91" i="17"/>
  <c r="AD91" i="17"/>
  <c r="AE91" i="17"/>
  <c r="AF91" i="17"/>
  <c r="D92" i="17"/>
  <c r="E92" i="17"/>
  <c r="F92" i="17"/>
  <c r="G92" i="17"/>
  <c r="H92" i="17"/>
  <c r="I92" i="17"/>
  <c r="J92" i="17"/>
  <c r="K92" i="17"/>
  <c r="L92" i="17"/>
  <c r="M92" i="17"/>
  <c r="N92" i="17"/>
  <c r="O92" i="17"/>
  <c r="P92" i="17"/>
  <c r="Q92" i="17"/>
  <c r="R92" i="17"/>
  <c r="S92" i="17"/>
  <c r="T92" i="17"/>
  <c r="U92" i="17"/>
  <c r="V92" i="17"/>
  <c r="W92" i="17"/>
  <c r="X92" i="17"/>
  <c r="Y92" i="17"/>
  <c r="Z92" i="17"/>
  <c r="AA92" i="17"/>
  <c r="AB92" i="17"/>
  <c r="AC92" i="17"/>
  <c r="AD92" i="17"/>
  <c r="AE92" i="17"/>
  <c r="AF92" i="17"/>
  <c r="D93" i="17"/>
  <c r="E93" i="17"/>
  <c r="F93" i="17"/>
  <c r="G93" i="17"/>
  <c r="H93" i="17"/>
  <c r="I93" i="17"/>
  <c r="J93" i="17"/>
  <c r="K93" i="17"/>
  <c r="L93" i="17"/>
  <c r="M93" i="17"/>
  <c r="N93" i="17"/>
  <c r="O93" i="17"/>
  <c r="P93" i="17"/>
  <c r="Q93" i="17"/>
  <c r="R93" i="17"/>
  <c r="S93" i="17"/>
  <c r="T93" i="17"/>
  <c r="U93" i="17"/>
  <c r="V93" i="17"/>
  <c r="W93" i="17"/>
  <c r="X93" i="17"/>
  <c r="Y93" i="17"/>
  <c r="Z93" i="17"/>
  <c r="AA93" i="17"/>
  <c r="AB93" i="17"/>
  <c r="AC93" i="17"/>
  <c r="AD93" i="17"/>
  <c r="AE93" i="17"/>
  <c r="AF93" i="17"/>
  <c r="D94" i="17"/>
  <c r="E94" i="17"/>
  <c r="F94" i="17"/>
  <c r="G94" i="17"/>
  <c r="H94" i="17"/>
  <c r="I94" i="17"/>
  <c r="J94" i="17"/>
  <c r="K94" i="17"/>
  <c r="L94" i="17"/>
  <c r="M94" i="17"/>
  <c r="N94" i="17"/>
  <c r="O94" i="17"/>
  <c r="P94" i="17"/>
  <c r="Q94" i="17"/>
  <c r="R94" i="17"/>
  <c r="S94" i="17"/>
  <c r="T94" i="17"/>
  <c r="U94" i="17"/>
  <c r="V94" i="17"/>
  <c r="W94" i="17"/>
  <c r="X94" i="17"/>
  <c r="Y94" i="17"/>
  <c r="Z94" i="17"/>
  <c r="AA94" i="17"/>
  <c r="AB94" i="17"/>
  <c r="AC94" i="17"/>
  <c r="AD94" i="17"/>
  <c r="AE94" i="17"/>
  <c r="AF94" i="17"/>
  <c r="D95" i="17"/>
  <c r="E95" i="17"/>
  <c r="F95" i="17"/>
  <c r="G95" i="17"/>
  <c r="H95" i="17"/>
  <c r="I95" i="17"/>
  <c r="J95" i="17"/>
  <c r="K95" i="17"/>
  <c r="L95" i="17"/>
  <c r="M95" i="17"/>
  <c r="N95" i="17"/>
  <c r="O95" i="17"/>
  <c r="P95" i="17"/>
  <c r="Q95" i="17"/>
  <c r="R95" i="17"/>
  <c r="S95" i="17"/>
  <c r="T95" i="17"/>
  <c r="U95" i="17"/>
  <c r="V95" i="17"/>
  <c r="W95" i="17"/>
  <c r="X95" i="17"/>
  <c r="Y95" i="17"/>
  <c r="BD95" i="17" s="1"/>
  <c r="Z95" i="17"/>
  <c r="AA95" i="17"/>
  <c r="AB95" i="17"/>
  <c r="AC95" i="17"/>
  <c r="AD95" i="17"/>
  <c r="AE95" i="17"/>
  <c r="AF95" i="17"/>
  <c r="D96" i="17"/>
  <c r="E96" i="17"/>
  <c r="F96" i="17"/>
  <c r="G96" i="17"/>
  <c r="H96" i="17"/>
  <c r="I96" i="17"/>
  <c r="J96" i="17"/>
  <c r="K96" i="17"/>
  <c r="L96" i="17"/>
  <c r="M96" i="17"/>
  <c r="N96" i="17"/>
  <c r="O96" i="17"/>
  <c r="P96" i="17"/>
  <c r="Q96" i="17"/>
  <c r="R96" i="17"/>
  <c r="S96" i="17"/>
  <c r="T96" i="17"/>
  <c r="U96" i="17"/>
  <c r="V96" i="17"/>
  <c r="W96" i="17"/>
  <c r="X96" i="17"/>
  <c r="Y96" i="17"/>
  <c r="Z96" i="17"/>
  <c r="AA96" i="17"/>
  <c r="AB96" i="17"/>
  <c r="AC96" i="17"/>
  <c r="AD96" i="17"/>
  <c r="AE96" i="17"/>
  <c r="AF96" i="17"/>
  <c r="D97" i="17"/>
  <c r="E97" i="17"/>
  <c r="F97" i="17"/>
  <c r="G97" i="17"/>
  <c r="H97" i="17"/>
  <c r="I97" i="17"/>
  <c r="J97" i="17"/>
  <c r="K97" i="17"/>
  <c r="L97" i="17"/>
  <c r="M97" i="17"/>
  <c r="N97" i="17"/>
  <c r="O97" i="17"/>
  <c r="P97" i="17"/>
  <c r="Q97" i="17"/>
  <c r="R97" i="17"/>
  <c r="S97" i="17"/>
  <c r="T97" i="17"/>
  <c r="U97" i="17"/>
  <c r="V97" i="17"/>
  <c r="W97" i="17"/>
  <c r="X97" i="17"/>
  <c r="Y97" i="17"/>
  <c r="Z97" i="17"/>
  <c r="AA97" i="17"/>
  <c r="AB97" i="17"/>
  <c r="AC97" i="17"/>
  <c r="AD97" i="17"/>
  <c r="AE97" i="17"/>
  <c r="AF97" i="17"/>
  <c r="D98" i="17"/>
  <c r="E98" i="17"/>
  <c r="F98" i="17"/>
  <c r="G98" i="17"/>
  <c r="H98" i="17"/>
  <c r="I98" i="17"/>
  <c r="J98" i="17"/>
  <c r="K98" i="17"/>
  <c r="L98" i="17"/>
  <c r="M98" i="17"/>
  <c r="N98" i="17"/>
  <c r="O98" i="17"/>
  <c r="P98" i="17"/>
  <c r="Q98" i="17"/>
  <c r="R98" i="17"/>
  <c r="S98" i="17"/>
  <c r="T98" i="17"/>
  <c r="U98" i="17"/>
  <c r="V98" i="17"/>
  <c r="W98" i="17"/>
  <c r="X98" i="17"/>
  <c r="Y98" i="17"/>
  <c r="Z98" i="17"/>
  <c r="AA98" i="17"/>
  <c r="AB98" i="17"/>
  <c r="AC98" i="17"/>
  <c r="AD98" i="17"/>
  <c r="AE98" i="17"/>
  <c r="AF98" i="17"/>
  <c r="D99" i="17"/>
  <c r="E99" i="17"/>
  <c r="F99" i="17"/>
  <c r="G99" i="17"/>
  <c r="H99" i="17"/>
  <c r="I99" i="17"/>
  <c r="J99" i="17"/>
  <c r="K99" i="17"/>
  <c r="L99" i="17"/>
  <c r="M99" i="17"/>
  <c r="N99" i="17"/>
  <c r="O99" i="17"/>
  <c r="P99" i="17"/>
  <c r="Q99" i="17"/>
  <c r="R99" i="17"/>
  <c r="S99" i="17"/>
  <c r="T99" i="17"/>
  <c r="U99" i="17"/>
  <c r="V99" i="17"/>
  <c r="W99" i="17"/>
  <c r="X99" i="17"/>
  <c r="Y99" i="17"/>
  <c r="Z99" i="17"/>
  <c r="AA99" i="17"/>
  <c r="AB99" i="17"/>
  <c r="AC99" i="17"/>
  <c r="AD99" i="17"/>
  <c r="AE99" i="17"/>
  <c r="AF99" i="17"/>
  <c r="D100" i="17"/>
  <c r="E100" i="17"/>
  <c r="F100" i="17"/>
  <c r="G100" i="17"/>
  <c r="H100" i="17"/>
  <c r="I100" i="17"/>
  <c r="J100" i="17"/>
  <c r="K100" i="17"/>
  <c r="L100" i="17"/>
  <c r="M100" i="17"/>
  <c r="N100" i="17"/>
  <c r="O100" i="17"/>
  <c r="P100" i="17"/>
  <c r="Q100" i="17"/>
  <c r="R100" i="17"/>
  <c r="S100" i="17"/>
  <c r="T100" i="17"/>
  <c r="U100" i="17"/>
  <c r="V100" i="17"/>
  <c r="W100" i="17"/>
  <c r="X100" i="17"/>
  <c r="Y100" i="17"/>
  <c r="Z100" i="17"/>
  <c r="AA100" i="17"/>
  <c r="AB100" i="17"/>
  <c r="AC100" i="17"/>
  <c r="AD100" i="17"/>
  <c r="AE100" i="17"/>
  <c r="AF100" i="17"/>
  <c r="D101" i="17"/>
  <c r="E101" i="17"/>
  <c r="F101" i="17"/>
  <c r="G101" i="17"/>
  <c r="H101" i="17"/>
  <c r="I101" i="17"/>
  <c r="J101" i="17"/>
  <c r="K101" i="17"/>
  <c r="L101" i="17"/>
  <c r="M101" i="17"/>
  <c r="N101" i="17"/>
  <c r="O101" i="17"/>
  <c r="P101" i="17"/>
  <c r="Q101" i="17"/>
  <c r="R101" i="17"/>
  <c r="S101" i="17"/>
  <c r="T101" i="17"/>
  <c r="U101" i="17"/>
  <c r="V101" i="17"/>
  <c r="W101" i="17"/>
  <c r="X101" i="17"/>
  <c r="Y101" i="17"/>
  <c r="Z101" i="17"/>
  <c r="AA101" i="17"/>
  <c r="AB101" i="17"/>
  <c r="AC101" i="17"/>
  <c r="AD101" i="17"/>
  <c r="AE101" i="17"/>
  <c r="AF101" i="17"/>
  <c r="D102" i="17"/>
  <c r="E102" i="17"/>
  <c r="F102" i="17"/>
  <c r="G102" i="17"/>
  <c r="H102" i="17"/>
  <c r="I102" i="17"/>
  <c r="J102" i="17"/>
  <c r="K102" i="17"/>
  <c r="L102" i="17"/>
  <c r="M102" i="17"/>
  <c r="N102" i="17"/>
  <c r="O102" i="17"/>
  <c r="P102" i="17"/>
  <c r="Q102" i="17"/>
  <c r="R102" i="17"/>
  <c r="S102" i="17"/>
  <c r="T102" i="17"/>
  <c r="U102" i="17"/>
  <c r="V102" i="17"/>
  <c r="W102" i="17"/>
  <c r="X102" i="17"/>
  <c r="Y102" i="17"/>
  <c r="Z102" i="17"/>
  <c r="AA102" i="17"/>
  <c r="AB102" i="17"/>
  <c r="AC102" i="17"/>
  <c r="AD102" i="17"/>
  <c r="AE102" i="17"/>
  <c r="AF102" i="17"/>
  <c r="D103" i="17"/>
  <c r="E103" i="17"/>
  <c r="F103" i="17"/>
  <c r="G103" i="17"/>
  <c r="H103" i="17"/>
  <c r="I103" i="17"/>
  <c r="J103" i="17"/>
  <c r="K103" i="17"/>
  <c r="L103" i="17"/>
  <c r="M103" i="17"/>
  <c r="N103" i="17"/>
  <c r="O103" i="17"/>
  <c r="P103" i="17"/>
  <c r="Q103" i="17"/>
  <c r="R103" i="17"/>
  <c r="S103" i="17"/>
  <c r="T103" i="17"/>
  <c r="U103" i="17"/>
  <c r="V103" i="17"/>
  <c r="W103" i="17"/>
  <c r="X103" i="17"/>
  <c r="Y103" i="17"/>
  <c r="Z103" i="17"/>
  <c r="AA103" i="17"/>
  <c r="AB103" i="17"/>
  <c r="AC103" i="17"/>
  <c r="AD103" i="17"/>
  <c r="AE103" i="17"/>
  <c r="AF103" i="17"/>
  <c r="D104" i="17"/>
  <c r="E104" i="17"/>
  <c r="F104" i="17"/>
  <c r="G104" i="17"/>
  <c r="H104" i="17"/>
  <c r="I104" i="17"/>
  <c r="J104" i="17"/>
  <c r="K104" i="17"/>
  <c r="L104" i="17"/>
  <c r="M104" i="17"/>
  <c r="N104" i="17"/>
  <c r="O104" i="17"/>
  <c r="P104" i="17"/>
  <c r="Q104" i="17"/>
  <c r="R104" i="17"/>
  <c r="S104" i="17"/>
  <c r="T104" i="17"/>
  <c r="U104" i="17"/>
  <c r="V104" i="17"/>
  <c r="W104" i="17"/>
  <c r="X104" i="17"/>
  <c r="Y104" i="17"/>
  <c r="Z104" i="17"/>
  <c r="AA104" i="17"/>
  <c r="AB104" i="17"/>
  <c r="AC104" i="17"/>
  <c r="AD104" i="17"/>
  <c r="AE104" i="17"/>
  <c r="AF104" i="17"/>
  <c r="D105" i="17"/>
  <c r="E105" i="17"/>
  <c r="F105" i="17"/>
  <c r="G105" i="17"/>
  <c r="H105" i="17"/>
  <c r="I105" i="17"/>
  <c r="J105" i="17"/>
  <c r="K105" i="17"/>
  <c r="L105" i="17"/>
  <c r="M105" i="17"/>
  <c r="N105" i="17"/>
  <c r="O105" i="17"/>
  <c r="P105" i="17"/>
  <c r="Q105" i="17"/>
  <c r="R105" i="17"/>
  <c r="S105" i="17"/>
  <c r="T105" i="17"/>
  <c r="U105" i="17"/>
  <c r="V105" i="17"/>
  <c r="W105" i="17"/>
  <c r="X105" i="17"/>
  <c r="Y105" i="17"/>
  <c r="Z105" i="17"/>
  <c r="AA105" i="17"/>
  <c r="AB105" i="17"/>
  <c r="AC105" i="17"/>
  <c r="AD105" i="17"/>
  <c r="AE105" i="17"/>
  <c r="AF105" i="17"/>
  <c r="D106" i="17"/>
  <c r="E106" i="17"/>
  <c r="F106" i="17"/>
  <c r="G106" i="17"/>
  <c r="H106" i="17"/>
  <c r="I106" i="17"/>
  <c r="J106" i="17"/>
  <c r="K106" i="17"/>
  <c r="L106" i="17"/>
  <c r="M106" i="17"/>
  <c r="N106" i="17"/>
  <c r="O106" i="17"/>
  <c r="P106" i="17"/>
  <c r="Q106" i="17"/>
  <c r="R106" i="17"/>
  <c r="S106" i="17"/>
  <c r="T106" i="17"/>
  <c r="U106" i="17"/>
  <c r="V106" i="17"/>
  <c r="W106" i="17"/>
  <c r="X106" i="17"/>
  <c r="Y106" i="17"/>
  <c r="Z106" i="17"/>
  <c r="AA106" i="17"/>
  <c r="AB106" i="17"/>
  <c r="AC106" i="17"/>
  <c r="AD106" i="17"/>
  <c r="AE106" i="17"/>
  <c r="AF106" i="17"/>
  <c r="D107" i="17"/>
  <c r="E107" i="17"/>
  <c r="F107" i="17"/>
  <c r="G107" i="17"/>
  <c r="H107" i="17"/>
  <c r="I107" i="17"/>
  <c r="J107" i="17"/>
  <c r="K107" i="17"/>
  <c r="L107" i="17"/>
  <c r="M107" i="17"/>
  <c r="N107" i="17"/>
  <c r="O107" i="17"/>
  <c r="P107" i="17"/>
  <c r="Q107" i="17"/>
  <c r="R107" i="17"/>
  <c r="S107" i="17"/>
  <c r="T107" i="17"/>
  <c r="U107" i="17"/>
  <c r="V107" i="17"/>
  <c r="W107" i="17"/>
  <c r="X107" i="17"/>
  <c r="Y107" i="17"/>
  <c r="Z107" i="17"/>
  <c r="AA107" i="17"/>
  <c r="AB107" i="17"/>
  <c r="AC107" i="17"/>
  <c r="AD107" i="17"/>
  <c r="AE107" i="17"/>
  <c r="AF107" i="17"/>
  <c r="D108" i="17"/>
  <c r="E108" i="17"/>
  <c r="F108" i="17"/>
  <c r="G108" i="17"/>
  <c r="H108" i="17"/>
  <c r="I108" i="17"/>
  <c r="J108" i="17"/>
  <c r="K108" i="17"/>
  <c r="L108" i="17"/>
  <c r="M108" i="17"/>
  <c r="N108" i="17"/>
  <c r="O108" i="17"/>
  <c r="P108" i="17"/>
  <c r="Q108" i="17"/>
  <c r="R108" i="17"/>
  <c r="S108" i="17"/>
  <c r="T108" i="17"/>
  <c r="U108" i="17"/>
  <c r="V108" i="17"/>
  <c r="W108" i="17"/>
  <c r="X108" i="17"/>
  <c r="Y108" i="17"/>
  <c r="Z108" i="17"/>
  <c r="AA108" i="17"/>
  <c r="AB108" i="17"/>
  <c r="AC108" i="17"/>
  <c r="AD108" i="17"/>
  <c r="AE108" i="17"/>
  <c r="AF108" i="17"/>
  <c r="D109" i="17"/>
  <c r="E109" i="17"/>
  <c r="F109" i="17"/>
  <c r="G109" i="17"/>
  <c r="H109" i="17"/>
  <c r="I109" i="17"/>
  <c r="J109" i="17"/>
  <c r="K109" i="17"/>
  <c r="L109" i="17"/>
  <c r="M109" i="17"/>
  <c r="N109" i="17"/>
  <c r="O109" i="17"/>
  <c r="P109" i="17"/>
  <c r="Q109" i="17"/>
  <c r="R109" i="17"/>
  <c r="S109" i="17"/>
  <c r="T109" i="17"/>
  <c r="U109" i="17"/>
  <c r="V109" i="17"/>
  <c r="W109" i="17"/>
  <c r="X109" i="17"/>
  <c r="Y109" i="17"/>
  <c r="Z109" i="17"/>
  <c r="AA109" i="17"/>
  <c r="AB109" i="17"/>
  <c r="AC109" i="17"/>
  <c r="AD109" i="17"/>
  <c r="AE109" i="17"/>
  <c r="AF109" i="17"/>
  <c r="D110" i="17"/>
  <c r="E110" i="17"/>
  <c r="F110" i="17"/>
  <c r="G110" i="17"/>
  <c r="H110" i="17"/>
  <c r="I110" i="17"/>
  <c r="J110" i="17"/>
  <c r="K110" i="17"/>
  <c r="L110" i="17"/>
  <c r="M110" i="17"/>
  <c r="N110" i="17"/>
  <c r="O110" i="17"/>
  <c r="P110" i="17"/>
  <c r="Q110" i="17"/>
  <c r="R110" i="17"/>
  <c r="S110" i="17"/>
  <c r="T110" i="17"/>
  <c r="U110" i="17"/>
  <c r="V110" i="17"/>
  <c r="W110" i="17"/>
  <c r="X110" i="17"/>
  <c r="Y110" i="17"/>
  <c r="Z110" i="17"/>
  <c r="AA110" i="17"/>
  <c r="AB110" i="17"/>
  <c r="AC110" i="17"/>
  <c r="AD110" i="17"/>
  <c r="AE110" i="17"/>
  <c r="AF110" i="17"/>
  <c r="D111" i="17"/>
  <c r="E111" i="17"/>
  <c r="F111" i="17"/>
  <c r="G111" i="17"/>
  <c r="H111" i="17"/>
  <c r="I111" i="17"/>
  <c r="J111" i="17"/>
  <c r="K111" i="17"/>
  <c r="L111" i="17"/>
  <c r="M111" i="17"/>
  <c r="N111" i="17"/>
  <c r="O111" i="17"/>
  <c r="P111" i="17"/>
  <c r="Q111" i="17"/>
  <c r="R111" i="17"/>
  <c r="S111" i="17"/>
  <c r="T111" i="17"/>
  <c r="U111" i="17"/>
  <c r="V111" i="17"/>
  <c r="W111" i="17"/>
  <c r="X111" i="17"/>
  <c r="Y111" i="17"/>
  <c r="Z111" i="17"/>
  <c r="AA111" i="17"/>
  <c r="AB111" i="17"/>
  <c r="AC111" i="17"/>
  <c r="AD111" i="17"/>
  <c r="AE111" i="17"/>
  <c r="AF111" i="17"/>
  <c r="D112" i="17"/>
  <c r="E112" i="17"/>
  <c r="F112" i="17"/>
  <c r="G112" i="17"/>
  <c r="H112" i="17"/>
  <c r="I112" i="17"/>
  <c r="J112" i="17"/>
  <c r="K112" i="17"/>
  <c r="L112" i="17"/>
  <c r="M112" i="17"/>
  <c r="N112" i="17"/>
  <c r="O112" i="17"/>
  <c r="P112" i="17"/>
  <c r="Q112" i="17"/>
  <c r="R112" i="17"/>
  <c r="S112" i="17"/>
  <c r="T112" i="17"/>
  <c r="U112" i="17"/>
  <c r="V112" i="17"/>
  <c r="W112" i="17"/>
  <c r="X112" i="17"/>
  <c r="Y112" i="17"/>
  <c r="Z112" i="17"/>
  <c r="AA112" i="17"/>
  <c r="AB112" i="17"/>
  <c r="AC112" i="17"/>
  <c r="AD112" i="17"/>
  <c r="AE112" i="17"/>
  <c r="AF112" i="17"/>
  <c r="D113" i="17"/>
  <c r="E113" i="17"/>
  <c r="F113" i="17"/>
  <c r="G113" i="17"/>
  <c r="H113" i="17"/>
  <c r="I113" i="17"/>
  <c r="J113" i="17"/>
  <c r="K113" i="17"/>
  <c r="L113" i="17"/>
  <c r="M113" i="17"/>
  <c r="N113" i="17"/>
  <c r="O113" i="17"/>
  <c r="P113" i="17"/>
  <c r="Q113" i="17"/>
  <c r="R113" i="17"/>
  <c r="S113" i="17"/>
  <c r="T113" i="17"/>
  <c r="U113" i="17"/>
  <c r="V113" i="17"/>
  <c r="W113" i="17"/>
  <c r="X113" i="17"/>
  <c r="Y113" i="17"/>
  <c r="Z113" i="17"/>
  <c r="AA113" i="17"/>
  <c r="AB113" i="17"/>
  <c r="AC113" i="17"/>
  <c r="AD113" i="17"/>
  <c r="AE113" i="17"/>
  <c r="AF113" i="17"/>
  <c r="D114" i="17"/>
  <c r="E114" i="17"/>
  <c r="F114" i="17"/>
  <c r="G114" i="17"/>
  <c r="H114" i="17"/>
  <c r="I114" i="17"/>
  <c r="J114" i="17"/>
  <c r="K114" i="17"/>
  <c r="L114" i="17"/>
  <c r="M114" i="17"/>
  <c r="N114" i="17"/>
  <c r="O114" i="17"/>
  <c r="P114" i="17"/>
  <c r="Q114" i="17"/>
  <c r="R114" i="17"/>
  <c r="S114" i="17"/>
  <c r="T114" i="17"/>
  <c r="U114" i="17"/>
  <c r="V114" i="17"/>
  <c r="W114" i="17"/>
  <c r="X114" i="17"/>
  <c r="Y114" i="17"/>
  <c r="Z114" i="17"/>
  <c r="AA114" i="17"/>
  <c r="AB114" i="17"/>
  <c r="AC114" i="17"/>
  <c r="AD114" i="17"/>
  <c r="AE114" i="17"/>
  <c r="AF114" i="17"/>
  <c r="D115" i="17"/>
  <c r="E115" i="17"/>
  <c r="F115" i="17"/>
  <c r="G115" i="17"/>
  <c r="H115" i="17"/>
  <c r="I115" i="17"/>
  <c r="J115" i="17"/>
  <c r="K115" i="17"/>
  <c r="L115" i="17"/>
  <c r="M115" i="17"/>
  <c r="N115" i="17"/>
  <c r="O115" i="17"/>
  <c r="P115" i="17"/>
  <c r="Q115" i="17"/>
  <c r="R115" i="17"/>
  <c r="S115" i="17"/>
  <c r="T115" i="17"/>
  <c r="U115" i="17"/>
  <c r="V115" i="17"/>
  <c r="W115" i="17"/>
  <c r="X115" i="17"/>
  <c r="Y115" i="17"/>
  <c r="Z115" i="17"/>
  <c r="AA115" i="17"/>
  <c r="AB115" i="17"/>
  <c r="AC115" i="17"/>
  <c r="AD115" i="17"/>
  <c r="AE115" i="17"/>
  <c r="AF115" i="17"/>
  <c r="D116" i="17"/>
  <c r="E116" i="17"/>
  <c r="F116" i="17"/>
  <c r="G116" i="17"/>
  <c r="H116" i="17"/>
  <c r="I116" i="17"/>
  <c r="J116" i="17"/>
  <c r="K116" i="17"/>
  <c r="L116" i="17"/>
  <c r="M116" i="17"/>
  <c r="N116" i="17"/>
  <c r="O116" i="17"/>
  <c r="P116" i="17"/>
  <c r="Q116" i="17"/>
  <c r="R116" i="17"/>
  <c r="S116" i="17"/>
  <c r="T116" i="17"/>
  <c r="U116" i="17"/>
  <c r="V116" i="17"/>
  <c r="W116" i="17"/>
  <c r="X116" i="17"/>
  <c r="Y116" i="17"/>
  <c r="Z116" i="17"/>
  <c r="AA116" i="17"/>
  <c r="AB116" i="17"/>
  <c r="AC116" i="17"/>
  <c r="AD116" i="17"/>
  <c r="AE116" i="17"/>
  <c r="AF116" i="17"/>
  <c r="D117" i="17"/>
  <c r="E117" i="17"/>
  <c r="F117" i="17"/>
  <c r="G117" i="17"/>
  <c r="H117" i="17"/>
  <c r="I117" i="17"/>
  <c r="J117" i="17"/>
  <c r="K117" i="17"/>
  <c r="L117" i="17"/>
  <c r="M117" i="17"/>
  <c r="N117" i="17"/>
  <c r="O117" i="17"/>
  <c r="P117" i="17"/>
  <c r="Q117" i="17"/>
  <c r="R117" i="17"/>
  <c r="S117" i="17"/>
  <c r="T117" i="17"/>
  <c r="U117" i="17"/>
  <c r="V117" i="17"/>
  <c r="W117" i="17"/>
  <c r="X117" i="17"/>
  <c r="Y117" i="17"/>
  <c r="Z117" i="17"/>
  <c r="AA117" i="17"/>
  <c r="AB117" i="17"/>
  <c r="AC117" i="17"/>
  <c r="AD117" i="17"/>
  <c r="AE117" i="17"/>
  <c r="AF117" i="17"/>
  <c r="D118" i="17"/>
  <c r="E118" i="17"/>
  <c r="F118" i="17"/>
  <c r="G118" i="17"/>
  <c r="H118" i="17"/>
  <c r="I118" i="17"/>
  <c r="J118" i="17"/>
  <c r="K118" i="17"/>
  <c r="L118" i="17"/>
  <c r="M118" i="17"/>
  <c r="N118" i="17"/>
  <c r="O118" i="17"/>
  <c r="P118" i="17"/>
  <c r="Q118" i="17"/>
  <c r="R118" i="17"/>
  <c r="S118" i="17"/>
  <c r="T118" i="17"/>
  <c r="U118" i="17"/>
  <c r="V118" i="17"/>
  <c r="W118" i="17"/>
  <c r="X118" i="17"/>
  <c r="Y118" i="17"/>
  <c r="Z118" i="17"/>
  <c r="AA118" i="17"/>
  <c r="AB118" i="17"/>
  <c r="AC118" i="17"/>
  <c r="AD118" i="17"/>
  <c r="AE118" i="17"/>
  <c r="AF118" i="17"/>
  <c r="D119" i="17"/>
  <c r="E119" i="17"/>
  <c r="F119" i="17"/>
  <c r="G119" i="17"/>
  <c r="H119" i="17"/>
  <c r="I119" i="17"/>
  <c r="J119" i="17"/>
  <c r="K119" i="17"/>
  <c r="L119" i="17"/>
  <c r="M119" i="17"/>
  <c r="N119" i="17"/>
  <c r="O119" i="17"/>
  <c r="P119" i="17"/>
  <c r="Q119" i="17"/>
  <c r="R119" i="17"/>
  <c r="S119" i="17"/>
  <c r="T119" i="17"/>
  <c r="U119" i="17"/>
  <c r="V119" i="17"/>
  <c r="W119" i="17"/>
  <c r="X119" i="17"/>
  <c r="Y119" i="17"/>
  <c r="Z119" i="17"/>
  <c r="AA119" i="17"/>
  <c r="AB119" i="17"/>
  <c r="AC119" i="17"/>
  <c r="AD119" i="17"/>
  <c r="AE119" i="17"/>
  <c r="AF119" i="17"/>
  <c r="D120" i="17"/>
  <c r="E120" i="17"/>
  <c r="F120" i="17"/>
  <c r="G120" i="17"/>
  <c r="H120" i="17"/>
  <c r="I120" i="17"/>
  <c r="J120" i="17"/>
  <c r="K120" i="17"/>
  <c r="L120" i="17"/>
  <c r="M120" i="17"/>
  <c r="N120" i="17"/>
  <c r="O120" i="17"/>
  <c r="P120" i="17"/>
  <c r="Q120" i="17"/>
  <c r="R120" i="17"/>
  <c r="S120" i="17"/>
  <c r="T120" i="17"/>
  <c r="U120" i="17"/>
  <c r="V120" i="17"/>
  <c r="W120" i="17"/>
  <c r="X120" i="17"/>
  <c r="Y120" i="17"/>
  <c r="Z120" i="17"/>
  <c r="AA120" i="17"/>
  <c r="AB120" i="17"/>
  <c r="AC120" i="17"/>
  <c r="AD120" i="17"/>
  <c r="AE120" i="17"/>
  <c r="AF120" i="17"/>
  <c r="D121" i="17"/>
  <c r="E121" i="17"/>
  <c r="F121" i="17"/>
  <c r="G121" i="17"/>
  <c r="H121" i="17"/>
  <c r="I121" i="17"/>
  <c r="J121" i="17"/>
  <c r="K121" i="17"/>
  <c r="L121" i="17"/>
  <c r="M121" i="17"/>
  <c r="N121" i="17"/>
  <c r="O121" i="17"/>
  <c r="P121" i="17"/>
  <c r="Q121" i="17"/>
  <c r="R121" i="17"/>
  <c r="S121" i="17"/>
  <c r="T121" i="17"/>
  <c r="U121" i="17"/>
  <c r="V121" i="17"/>
  <c r="W121" i="17"/>
  <c r="X121" i="17"/>
  <c r="Y121" i="17"/>
  <c r="Z121" i="17"/>
  <c r="AA121" i="17"/>
  <c r="AB121" i="17"/>
  <c r="AC121" i="17"/>
  <c r="AD121" i="17"/>
  <c r="AE121" i="17"/>
  <c r="AF121" i="17"/>
  <c r="D122" i="17"/>
  <c r="E122" i="17"/>
  <c r="F122" i="17"/>
  <c r="G122" i="17"/>
  <c r="H122" i="17"/>
  <c r="I122" i="17"/>
  <c r="J122" i="17"/>
  <c r="K122" i="17"/>
  <c r="L122" i="17"/>
  <c r="M122" i="17"/>
  <c r="N122" i="17"/>
  <c r="O122" i="17"/>
  <c r="P122" i="17"/>
  <c r="Q122" i="17"/>
  <c r="R122" i="17"/>
  <c r="S122" i="17"/>
  <c r="T122" i="17"/>
  <c r="U122" i="17"/>
  <c r="V122" i="17"/>
  <c r="W122" i="17"/>
  <c r="X122" i="17"/>
  <c r="Y122" i="17"/>
  <c r="Z122" i="17"/>
  <c r="AA122" i="17"/>
  <c r="AB122" i="17"/>
  <c r="AC122" i="17"/>
  <c r="AD122" i="17"/>
  <c r="AE122" i="17"/>
  <c r="AF122" i="17"/>
  <c r="D123" i="17"/>
  <c r="E123" i="17"/>
  <c r="F123" i="17"/>
  <c r="G123" i="17"/>
  <c r="H123" i="17"/>
  <c r="I123" i="17"/>
  <c r="J123" i="17"/>
  <c r="K123" i="17"/>
  <c r="L123" i="17"/>
  <c r="M123" i="17"/>
  <c r="N123" i="17"/>
  <c r="O123" i="17"/>
  <c r="P123" i="17"/>
  <c r="Q123" i="17"/>
  <c r="R123" i="17"/>
  <c r="S123" i="17"/>
  <c r="T123" i="17"/>
  <c r="U123" i="17"/>
  <c r="V123" i="17"/>
  <c r="W123" i="17"/>
  <c r="X123" i="17"/>
  <c r="Y123" i="17"/>
  <c r="Z123" i="17"/>
  <c r="AA123" i="17"/>
  <c r="AB123" i="17"/>
  <c r="AC123" i="17"/>
  <c r="AD123" i="17"/>
  <c r="AE123" i="17"/>
  <c r="AF123" i="17"/>
  <c r="D124" i="17"/>
  <c r="E124" i="17"/>
  <c r="F124" i="17"/>
  <c r="G124" i="17"/>
  <c r="H124" i="17"/>
  <c r="I124" i="17"/>
  <c r="J124" i="17"/>
  <c r="K124" i="17"/>
  <c r="L124" i="17"/>
  <c r="M124" i="17"/>
  <c r="N124" i="17"/>
  <c r="O124" i="17"/>
  <c r="P124" i="17"/>
  <c r="Q124" i="17"/>
  <c r="R124" i="17"/>
  <c r="S124" i="17"/>
  <c r="T124" i="17"/>
  <c r="U124" i="17"/>
  <c r="V124" i="17"/>
  <c r="W124" i="17"/>
  <c r="X124" i="17"/>
  <c r="Y124" i="17"/>
  <c r="Z124" i="17"/>
  <c r="AA124" i="17"/>
  <c r="AB124" i="17"/>
  <c r="AC124" i="17"/>
  <c r="AD124" i="17"/>
  <c r="AE124" i="17"/>
  <c r="AF124" i="17"/>
  <c r="D125" i="17"/>
  <c r="E125" i="17"/>
  <c r="F125" i="17"/>
  <c r="G125" i="17"/>
  <c r="H125" i="17"/>
  <c r="I125" i="17"/>
  <c r="J125" i="17"/>
  <c r="K125" i="17"/>
  <c r="L125" i="17"/>
  <c r="M125" i="17"/>
  <c r="N125" i="17"/>
  <c r="O125" i="17"/>
  <c r="P125" i="17"/>
  <c r="Q125" i="17"/>
  <c r="R125" i="17"/>
  <c r="S125" i="17"/>
  <c r="T125" i="17"/>
  <c r="U125" i="17"/>
  <c r="V125" i="17"/>
  <c r="W125" i="17"/>
  <c r="X125" i="17"/>
  <c r="Y125" i="17"/>
  <c r="Z125" i="17"/>
  <c r="AA125" i="17"/>
  <c r="AB125" i="17"/>
  <c r="AC125" i="17"/>
  <c r="AD125" i="17"/>
  <c r="AE125" i="17"/>
  <c r="AF125" i="17"/>
  <c r="D126" i="17"/>
  <c r="E126" i="17"/>
  <c r="F126" i="17"/>
  <c r="G126" i="17"/>
  <c r="H126" i="17"/>
  <c r="I126" i="17"/>
  <c r="J126" i="17"/>
  <c r="K126" i="17"/>
  <c r="L126" i="17"/>
  <c r="M126" i="17"/>
  <c r="N126" i="17"/>
  <c r="O126" i="17"/>
  <c r="P126" i="17"/>
  <c r="Q126" i="17"/>
  <c r="R126" i="17"/>
  <c r="S126" i="17"/>
  <c r="T126" i="17"/>
  <c r="U126" i="17"/>
  <c r="V126" i="17"/>
  <c r="W126" i="17"/>
  <c r="X126" i="17"/>
  <c r="Y126" i="17"/>
  <c r="Z126" i="17"/>
  <c r="AA126" i="17"/>
  <c r="AB126" i="17"/>
  <c r="AC126" i="17"/>
  <c r="AD126" i="17"/>
  <c r="AE126" i="17"/>
  <c r="AF126" i="17"/>
  <c r="D127" i="17"/>
  <c r="E127" i="17"/>
  <c r="F127" i="17"/>
  <c r="G127" i="17"/>
  <c r="H127" i="17"/>
  <c r="I127" i="17"/>
  <c r="J127" i="17"/>
  <c r="K127" i="17"/>
  <c r="L127" i="17"/>
  <c r="M127" i="17"/>
  <c r="N127" i="17"/>
  <c r="O127" i="17"/>
  <c r="P127" i="17"/>
  <c r="Q127" i="17"/>
  <c r="R127" i="17"/>
  <c r="S127" i="17"/>
  <c r="T127" i="17"/>
  <c r="U127" i="17"/>
  <c r="V127" i="17"/>
  <c r="W127" i="17"/>
  <c r="X127" i="17"/>
  <c r="Y127" i="17"/>
  <c r="Z127" i="17"/>
  <c r="AA127" i="17"/>
  <c r="AB127" i="17"/>
  <c r="AC127" i="17"/>
  <c r="AD127" i="17"/>
  <c r="AE127" i="17"/>
  <c r="AF127" i="17"/>
  <c r="D128" i="17"/>
  <c r="E128" i="17"/>
  <c r="F128" i="17"/>
  <c r="G128" i="17"/>
  <c r="H128" i="17"/>
  <c r="I128" i="17"/>
  <c r="J128" i="17"/>
  <c r="K128" i="17"/>
  <c r="L128" i="17"/>
  <c r="M128" i="17"/>
  <c r="N128" i="17"/>
  <c r="O128" i="17"/>
  <c r="P128" i="17"/>
  <c r="Q128" i="17"/>
  <c r="R128" i="17"/>
  <c r="S128" i="17"/>
  <c r="T128" i="17"/>
  <c r="U128" i="17"/>
  <c r="V128" i="17"/>
  <c r="W128" i="17"/>
  <c r="X128" i="17"/>
  <c r="Y128" i="17"/>
  <c r="Z128" i="17"/>
  <c r="AA128" i="17"/>
  <c r="AB128" i="17"/>
  <c r="AC128" i="17"/>
  <c r="AD128" i="17"/>
  <c r="AE128" i="17"/>
  <c r="AF128" i="17"/>
  <c r="D129" i="17"/>
  <c r="E129" i="17"/>
  <c r="F129" i="17"/>
  <c r="G129" i="17"/>
  <c r="H129" i="17"/>
  <c r="I129" i="17"/>
  <c r="J129" i="17"/>
  <c r="K129" i="17"/>
  <c r="L129" i="17"/>
  <c r="M129" i="17"/>
  <c r="N129" i="17"/>
  <c r="O129" i="17"/>
  <c r="P129" i="17"/>
  <c r="Q129" i="17"/>
  <c r="R129" i="17"/>
  <c r="S129" i="17"/>
  <c r="T129" i="17"/>
  <c r="U129" i="17"/>
  <c r="V129" i="17"/>
  <c r="W129" i="17"/>
  <c r="X129" i="17"/>
  <c r="Y129" i="17"/>
  <c r="Z129" i="17"/>
  <c r="AA129" i="17"/>
  <c r="AB129" i="17"/>
  <c r="AC129" i="17"/>
  <c r="AD129" i="17"/>
  <c r="AE129" i="17"/>
  <c r="AF129" i="17"/>
  <c r="D130" i="17"/>
  <c r="E130" i="17"/>
  <c r="F130" i="17"/>
  <c r="G130" i="17"/>
  <c r="H130" i="17"/>
  <c r="I130" i="17"/>
  <c r="J130" i="17"/>
  <c r="K130" i="17"/>
  <c r="L130" i="17"/>
  <c r="M130" i="17"/>
  <c r="N130" i="17"/>
  <c r="O130" i="17"/>
  <c r="P130" i="17"/>
  <c r="Q130" i="17"/>
  <c r="R130" i="17"/>
  <c r="S130" i="17"/>
  <c r="T130" i="17"/>
  <c r="U130" i="17"/>
  <c r="V130" i="17"/>
  <c r="W130" i="17"/>
  <c r="X130" i="17"/>
  <c r="Y130" i="17"/>
  <c r="Z130" i="17"/>
  <c r="AA130" i="17"/>
  <c r="AB130" i="17"/>
  <c r="AC130" i="17"/>
  <c r="AD130" i="17"/>
  <c r="AE130" i="17"/>
  <c r="AF130" i="17"/>
  <c r="D131" i="17"/>
  <c r="E131" i="17"/>
  <c r="F131" i="17"/>
  <c r="G131" i="17"/>
  <c r="H131" i="17"/>
  <c r="I131" i="17"/>
  <c r="J131" i="17"/>
  <c r="K131" i="17"/>
  <c r="L131" i="17"/>
  <c r="M131" i="17"/>
  <c r="N131" i="17"/>
  <c r="O131" i="17"/>
  <c r="P131" i="17"/>
  <c r="Q131" i="17"/>
  <c r="R131" i="17"/>
  <c r="S131" i="17"/>
  <c r="T131" i="17"/>
  <c r="U131" i="17"/>
  <c r="V131" i="17"/>
  <c r="W131" i="17"/>
  <c r="X131" i="17"/>
  <c r="Y131" i="17"/>
  <c r="Z131" i="17"/>
  <c r="AA131" i="17"/>
  <c r="AB131" i="17"/>
  <c r="AC131" i="17"/>
  <c r="AD131" i="17"/>
  <c r="AE131" i="17"/>
  <c r="AF131" i="17"/>
  <c r="D132" i="17"/>
  <c r="E132" i="17"/>
  <c r="F132" i="17"/>
  <c r="G132" i="17"/>
  <c r="H132" i="17"/>
  <c r="I132" i="17"/>
  <c r="J132" i="17"/>
  <c r="K132" i="17"/>
  <c r="L132" i="17"/>
  <c r="M132" i="17"/>
  <c r="N132" i="17"/>
  <c r="O132" i="17"/>
  <c r="P132" i="17"/>
  <c r="Q132" i="17"/>
  <c r="R132" i="17"/>
  <c r="S132" i="17"/>
  <c r="T132" i="17"/>
  <c r="U132" i="17"/>
  <c r="V132" i="17"/>
  <c r="W132" i="17"/>
  <c r="X132" i="17"/>
  <c r="Y132" i="17"/>
  <c r="Z132" i="17"/>
  <c r="AA132" i="17"/>
  <c r="AB132" i="17"/>
  <c r="AC132" i="17"/>
  <c r="AD132" i="17"/>
  <c r="AE132" i="17"/>
  <c r="AF132" i="17"/>
  <c r="D133" i="17"/>
  <c r="E133" i="17"/>
  <c r="F133" i="17"/>
  <c r="G133" i="17"/>
  <c r="H133" i="17"/>
  <c r="I133" i="17"/>
  <c r="J133" i="17"/>
  <c r="K133" i="17"/>
  <c r="L133" i="17"/>
  <c r="M133" i="17"/>
  <c r="N133" i="17"/>
  <c r="O133" i="17"/>
  <c r="P133" i="17"/>
  <c r="Q133" i="17"/>
  <c r="R133" i="17"/>
  <c r="S133" i="17"/>
  <c r="T133" i="17"/>
  <c r="U133" i="17"/>
  <c r="V133" i="17"/>
  <c r="W133" i="17"/>
  <c r="X133" i="17"/>
  <c r="Y133" i="17"/>
  <c r="Z133" i="17"/>
  <c r="AA133" i="17"/>
  <c r="AB133" i="17"/>
  <c r="AC133" i="17"/>
  <c r="AD133" i="17"/>
  <c r="AE133" i="17"/>
  <c r="AF133" i="17"/>
  <c r="D134" i="17"/>
  <c r="E134" i="17"/>
  <c r="F134" i="17"/>
  <c r="G134" i="17"/>
  <c r="H134" i="17"/>
  <c r="I134" i="17"/>
  <c r="J134" i="17"/>
  <c r="K134" i="17"/>
  <c r="L134" i="17"/>
  <c r="M134" i="17"/>
  <c r="N134" i="17"/>
  <c r="O134" i="17"/>
  <c r="P134" i="17"/>
  <c r="Q134" i="17"/>
  <c r="R134" i="17"/>
  <c r="S134" i="17"/>
  <c r="T134" i="17"/>
  <c r="U134" i="17"/>
  <c r="V134" i="17"/>
  <c r="W134" i="17"/>
  <c r="X134" i="17"/>
  <c r="Y134" i="17"/>
  <c r="Z134" i="17"/>
  <c r="AA134" i="17"/>
  <c r="AB134" i="17"/>
  <c r="AC134" i="17"/>
  <c r="AD134" i="17"/>
  <c r="AE134" i="17"/>
  <c r="AF134" i="17"/>
  <c r="D135" i="17"/>
  <c r="E135" i="17"/>
  <c r="F135" i="17"/>
  <c r="G135" i="17"/>
  <c r="H135" i="17"/>
  <c r="I135" i="17"/>
  <c r="J135" i="17"/>
  <c r="K135" i="17"/>
  <c r="L135" i="17"/>
  <c r="M135" i="17"/>
  <c r="N135" i="17"/>
  <c r="O135" i="17"/>
  <c r="P135" i="17"/>
  <c r="Q135" i="17"/>
  <c r="R135" i="17"/>
  <c r="S135" i="17"/>
  <c r="T135" i="17"/>
  <c r="U135" i="17"/>
  <c r="V135" i="17"/>
  <c r="W135" i="17"/>
  <c r="X135" i="17"/>
  <c r="Y135" i="17"/>
  <c r="Z135" i="17"/>
  <c r="AA135" i="17"/>
  <c r="AB135" i="17"/>
  <c r="AC135" i="17"/>
  <c r="AD135" i="17"/>
  <c r="AE135" i="17"/>
  <c r="AF135" i="17"/>
  <c r="D136" i="17"/>
  <c r="E136" i="17"/>
  <c r="F136" i="17"/>
  <c r="G136" i="17"/>
  <c r="H136" i="17"/>
  <c r="I136" i="17"/>
  <c r="J136" i="17"/>
  <c r="K136" i="17"/>
  <c r="L136" i="17"/>
  <c r="M136" i="17"/>
  <c r="N136" i="17"/>
  <c r="O136" i="17"/>
  <c r="P136" i="17"/>
  <c r="Q136" i="17"/>
  <c r="R136" i="17"/>
  <c r="S136" i="17"/>
  <c r="T136" i="17"/>
  <c r="U136" i="17"/>
  <c r="V136" i="17"/>
  <c r="W136" i="17"/>
  <c r="X136" i="17"/>
  <c r="Y136" i="17"/>
  <c r="Z136" i="17"/>
  <c r="AA136" i="17"/>
  <c r="AB136" i="17"/>
  <c r="AC136" i="17"/>
  <c r="AD136" i="17"/>
  <c r="AE136" i="17"/>
  <c r="AF136" i="17"/>
  <c r="D137" i="17"/>
  <c r="E137" i="17"/>
  <c r="F137" i="17"/>
  <c r="G137" i="17"/>
  <c r="H137" i="17"/>
  <c r="I137" i="17"/>
  <c r="J137" i="17"/>
  <c r="K137" i="17"/>
  <c r="L137" i="17"/>
  <c r="M137" i="17"/>
  <c r="N137" i="17"/>
  <c r="O137" i="17"/>
  <c r="P137" i="17"/>
  <c r="Q137" i="17"/>
  <c r="R137" i="17"/>
  <c r="S137" i="17"/>
  <c r="T137" i="17"/>
  <c r="U137" i="17"/>
  <c r="V137" i="17"/>
  <c r="W137" i="17"/>
  <c r="X137" i="17"/>
  <c r="Y137" i="17"/>
  <c r="Z137" i="17"/>
  <c r="AA137" i="17"/>
  <c r="AB137" i="17"/>
  <c r="AC137" i="17"/>
  <c r="AD137" i="17"/>
  <c r="AE137" i="17"/>
  <c r="AF137" i="17"/>
  <c r="D138" i="17"/>
  <c r="E138" i="17"/>
  <c r="F138" i="17"/>
  <c r="G138" i="17"/>
  <c r="H138" i="17"/>
  <c r="I138" i="17"/>
  <c r="J138" i="17"/>
  <c r="K138" i="17"/>
  <c r="L138" i="17"/>
  <c r="M138" i="17"/>
  <c r="N138" i="17"/>
  <c r="O138" i="17"/>
  <c r="P138" i="17"/>
  <c r="Q138" i="17"/>
  <c r="R138" i="17"/>
  <c r="S138" i="17"/>
  <c r="T138" i="17"/>
  <c r="U138" i="17"/>
  <c r="V138" i="17"/>
  <c r="W138" i="17"/>
  <c r="X138" i="17"/>
  <c r="Y138" i="17"/>
  <c r="Z138" i="17"/>
  <c r="AA138" i="17"/>
  <c r="AB138" i="17"/>
  <c r="AC138" i="17"/>
  <c r="AD138" i="17"/>
  <c r="AE138" i="17"/>
  <c r="AF138" i="17"/>
  <c r="D139" i="17"/>
  <c r="E139" i="17"/>
  <c r="F139" i="17"/>
  <c r="G139" i="17"/>
  <c r="H139" i="17"/>
  <c r="I139" i="17"/>
  <c r="J139" i="17"/>
  <c r="K139" i="17"/>
  <c r="L139" i="17"/>
  <c r="M139" i="17"/>
  <c r="N139" i="17"/>
  <c r="O139" i="17"/>
  <c r="P139" i="17"/>
  <c r="Q139" i="17"/>
  <c r="R139" i="17"/>
  <c r="S139" i="17"/>
  <c r="T139" i="17"/>
  <c r="U139" i="17"/>
  <c r="V139" i="17"/>
  <c r="W139" i="17"/>
  <c r="X139" i="17"/>
  <c r="Y139" i="17"/>
  <c r="Z139" i="17"/>
  <c r="AA139" i="17"/>
  <c r="AB139" i="17"/>
  <c r="AC139" i="17"/>
  <c r="AD139" i="17"/>
  <c r="AE139" i="17"/>
  <c r="AF139" i="17"/>
  <c r="D140" i="17"/>
  <c r="E140" i="17"/>
  <c r="F140" i="17"/>
  <c r="G140" i="17"/>
  <c r="H140" i="17"/>
  <c r="I140" i="17"/>
  <c r="J140" i="17"/>
  <c r="K140" i="17"/>
  <c r="L140" i="17"/>
  <c r="M140" i="17"/>
  <c r="N140" i="17"/>
  <c r="O140" i="17"/>
  <c r="P140" i="17"/>
  <c r="Q140" i="17"/>
  <c r="R140" i="17"/>
  <c r="S140" i="17"/>
  <c r="T140" i="17"/>
  <c r="U140" i="17"/>
  <c r="V140" i="17"/>
  <c r="W140" i="17"/>
  <c r="X140" i="17"/>
  <c r="Y140" i="17"/>
  <c r="Z140" i="17"/>
  <c r="AA140" i="17"/>
  <c r="AB140" i="17"/>
  <c r="AC140" i="17"/>
  <c r="AD140" i="17"/>
  <c r="AE140" i="17"/>
  <c r="AF140" i="17"/>
  <c r="D141" i="17"/>
  <c r="E141" i="17"/>
  <c r="F141" i="17"/>
  <c r="G141" i="17"/>
  <c r="H141" i="17"/>
  <c r="I141" i="17"/>
  <c r="J141" i="17"/>
  <c r="K141" i="17"/>
  <c r="L141" i="17"/>
  <c r="M141" i="17"/>
  <c r="N141" i="17"/>
  <c r="O141" i="17"/>
  <c r="P141" i="17"/>
  <c r="Q141" i="17"/>
  <c r="R141" i="17"/>
  <c r="S141" i="17"/>
  <c r="T141" i="17"/>
  <c r="U141" i="17"/>
  <c r="V141" i="17"/>
  <c r="W141" i="17"/>
  <c r="X141" i="17"/>
  <c r="Y141" i="17"/>
  <c r="Z141" i="17"/>
  <c r="AA141" i="17"/>
  <c r="AB141" i="17"/>
  <c r="AC141" i="17"/>
  <c r="AD141" i="17"/>
  <c r="AE141" i="17"/>
  <c r="AF141" i="17"/>
  <c r="D142" i="17"/>
  <c r="E142" i="17"/>
  <c r="F142" i="17"/>
  <c r="G142" i="17"/>
  <c r="H142" i="17"/>
  <c r="I142" i="17"/>
  <c r="J142" i="17"/>
  <c r="K142" i="17"/>
  <c r="L142" i="17"/>
  <c r="M142" i="17"/>
  <c r="N142" i="17"/>
  <c r="O142" i="17"/>
  <c r="P142" i="17"/>
  <c r="Q142" i="17"/>
  <c r="R142" i="17"/>
  <c r="S142" i="17"/>
  <c r="T142" i="17"/>
  <c r="U142" i="17"/>
  <c r="V142" i="17"/>
  <c r="W142" i="17"/>
  <c r="X142" i="17"/>
  <c r="Y142" i="17"/>
  <c r="Z142" i="17"/>
  <c r="AA142" i="17"/>
  <c r="AB142" i="17"/>
  <c r="AC142" i="17"/>
  <c r="AD142" i="17"/>
  <c r="AE142" i="17"/>
  <c r="AF142" i="17"/>
  <c r="D143" i="17"/>
  <c r="E143" i="17"/>
  <c r="F143" i="17"/>
  <c r="G143" i="17"/>
  <c r="H143" i="17"/>
  <c r="I143" i="17"/>
  <c r="J143" i="17"/>
  <c r="K143" i="17"/>
  <c r="L143" i="17"/>
  <c r="M143" i="17"/>
  <c r="N143" i="17"/>
  <c r="O143" i="17"/>
  <c r="P143" i="17"/>
  <c r="Q143" i="17"/>
  <c r="R143" i="17"/>
  <c r="S143" i="17"/>
  <c r="T143" i="17"/>
  <c r="U143" i="17"/>
  <c r="V143" i="17"/>
  <c r="W143" i="17"/>
  <c r="X143" i="17"/>
  <c r="Y143" i="17"/>
  <c r="Z143" i="17"/>
  <c r="AA143" i="17"/>
  <c r="AB143" i="17"/>
  <c r="AC143" i="17"/>
  <c r="AD143" i="17"/>
  <c r="AE143" i="17"/>
  <c r="AF143" i="17"/>
  <c r="D144" i="17"/>
  <c r="E144" i="17"/>
  <c r="F144" i="17"/>
  <c r="G144" i="17"/>
  <c r="H144" i="17"/>
  <c r="I144" i="17"/>
  <c r="J144" i="17"/>
  <c r="K144" i="17"/>
  <c r="L144" i="17"/>
  <c r="M144" i="17"/>
  <c r="N144" i="17"/>
  <c r="O144" i="17"/>
  <c r="P144" i="17"/>
  <c r="Q144" i="17"/>
  <c r="R144" i="17"/>
  <c r="S144" i="17"/>
  <c r="T144" i="17"/>
  <c r="U144" i="17"/>
  <c r="V144" i="17"/>
  <c r="W144" i="17"/>
  <c r="X144" i="17"/>
  <c r="Y144" i="17"/>
  <c r="Z144" i="17"/>
  <c r="AA144" i="17"/>
  <c r="AB144" i="17"/>
  <c r="AC144" i="17"/>
  <c r="AD144" i="17"/>
  <c r="AE144" i="17"/>
  <c r="AF144" i="17"/>
  <c r="D145" i="17"/>
  <c r="E145" i="17"/>
  <c r="F145" i="17"/>
  <c r="G145" i="17"/>
  <c r="H145" i="17"/>
  <c r="I145" i="17"/>
  <c r="J145" i="17"/>
  <c r="K145" i="17"/>
  <c r="L145" i="17"/>
  <c r="M145" i="17"/>
  <c r="N145" i="17"/>
  <c r="O145" i="17"/>
  <c r="P145" i="17"/>
  <c r="Q145" i="17"/>
  <c r="R145" i="17"/>
  <c r="S145" i="17"/>
  <c r="T145" i="17"/>
  <c r="U145" i="17"/>
  <c r="V145" i="17"/>
  <c r="W145" i="17"/>
  <c r="X145" i="17"/>
  <c r="Y145" i="17"/>
  <c r="Z145" i="17"/>
  <c r="AA145" i="17"/>
  <c r="AB145" i="17"/>
  <c r="AC145" i="17"/>
  <c r="AD145" i="17"/>
  <c r="AE145" i="17"/>
  <c r="AF145" i="17"/>
  <c r="D146" i="17"/>
  <c r="E146" i="17"/>
  <c r="F146" i="17"/>
  <c r="G146" i="17"/>
  <c r="H146" i="17"/>
  <c r="I146" i="17"/>
  <c r="J146" i="17"/>
  <c r="K146" i="17"/>
  <c r="L146" i="17"/>
  <c r="M146" i="17"/>
  <c r="N146" i="17"/>
  <c r="O146" i="17"/>
  <c r="P146" i="17"/>
  <c r="Q146" i="17"/>
  <c r="R146" i="17"/>
  <c r="S146" i="17"/>
  <c r="T146" i="17"/>
  <c r="U146" i="17"/>
  <c r="V146" i="17"/>
  <c r="W146" i="17"/>
  <c r="X146" i="17"/>
  <c r="Y146" i="17"/>
  <c r="Z146" i="17"/>
  <c r="AA146" i="17"/>
  <c r="AB146" i="17"/>
  <c r="AC146" i="17"/>
  <c r="AD146" i="17"/>
  <c r="AE146" i="17"/>
  <c r="AF146" i="17"/>
  <c r="D147" i="17"/>
  <c r="E147" i="17"/>
  <c r="F147" i="17"/>
  <c r="G147" i="17"/>
  <c r="H147" i="17"/>
  <c r="I147" i="17"/>
  <c r="J147" i="17"/>
  <c r="K147" i="17"/>
  <c r="L147" i="17"/>
  <c r="M147" i="17"/>
  <c r="N147" i="17"/>
  <c r="O147" i="17"/>
  <c r="P147" i="17"/>
  <c r="Q147" i="17"/>
  <c r="R147" i="17"/>
  <c r="S147" i="17"/>
  <c r="T147" i="17"/>
  <c r="U147" i="17"/>
  <c r="V147" i="17"/>
  <c r="W147" i="17"/>
  <c r="X147" i="17"/>
  <c r="Y147" i="17"/>
  <c r="Z147" i="17"/>
  <c r="AA147" i="17"/>
  <c r="AB147" i="17"/>
  <c r="AC147" i="17"/>
  <c r="AD147" i="17"/>
  <c r="AE147" i="17"/>
  <c r="AF147" i="17"/>
  <c r="D148" i="17"/>
  <c r="E148" i="17"/>
  <c r="F148" i="17"/>
  <c r="G148" i="17"/>
  <c r="H148" i="17"/>
  <c r="I148" i="17"/>
  <c r="J148" i="17"/>
  <c r="K148" i="17"/>
  <c r="L148" i="17"/>
  <c r="M148" i="17"/>
  <c r="N148" i="17"/>
  <c r="O148" i="17"/>
  <c r="P148" i="17"/>
  <c r="Q148" i="17"/>
  <c r="R148" i="17"/>
  <c r="S148" i="17"/>
  <c r="T148" i="17"/>
  <c r="U148" i="17"/>
  <c r="V148" i="17"/>
  <c r="W148" i="17"/>
  <c r="X148" i="17"/>
  <c r="Y148" i="17"/>
  <c r="Z148" i="17"/>
  <c r="AA148" i="17"/>
  <c r="AB148" i="17"/>
  <c r="AC148" i="17"/>
  <c r="AD148" i="17"/>
  <c r="AE148" i="17"/>
  <c r="AF148" i="17"/>
  <c r="D149" i="17"/>
  <c r="E149" i="17"/>
  <c r="F149" i="17"/>
  <c r="G149" i="17"/>
  <c r="H149" i="17"/>
  <c r="I149" i="17"/>
  <c r="J149" i="17"/>
  <c r="K149" i="17"/>
  <c r="L149" i="17"/>
  <c r="M149" i="17"/>
  <c r="N149" i="17"/>
  <c r="O149" i="17"/>
  <c r="P149" i="17"/>
  <c r="Q149" i="17"/>
  <c r="R149" i="17"/>
  <c r="S149" i="17"/>
  <c r="T149" i="17"/>
  <c r="U149" i="17"/>
  <c r="V149" i="17"/>
  <c r="W149" i="17"/>
  <c r="X149" i="17"/>
  <c r="Y149" i="17"/>
  <c r="Z149" i="17"/>
  <c r="AA149" i="17"/>
  <c r="AB149" i="17"/>
  <c r="AC149" i="17"/>
  <c r="AD149" i="17"/>
  <c r="AE149" i="17"/>
  <c r="AF149" i="17"/>
  <c r="D150" i="17"/>
  <c r="E150" i="17"/>
  <c r="F150" i="17"/>
  <c r="G150" i="17"/>
  <c r="H150" i="17"/>
  <c r="I150" i="17"/>
  <c r="J150" i="17"/>
  <c r="K150" i="17"/>
  <c r="L150" i="17"/>
  <c r="M150" i="17"/>
  <c r="N150" i="17"/>
  <c r="O150" i="17"/>
  <c r="P150" i="17"/>
  <c r="Q150" i="17"/>
  <c r="R150" i="17"/>
  <c r="S150" i="17"/>
  <c r="T150" i="17"/>
  <c r="U150" i="17"/>
  <c r="V150" i="17"/>
  <c r="W150" i="17"/>
  <c r="X150" i="17"/>
  <c r="Y150" i="17"/>
  <c r="Z150" i="17"/>
  <c r="AA150" i="17"/>
  <c r="AB150" i="17"/>
  <c r="AC150" i="17"/>
  <c r="AD150" i="17"/>
  <c r="AE150" i="17"/>
  <c r="AF150" i="17"/>
  <c r="D151" i="17"/>
  <c r="E151" i="17"/>
  <c r="F151" i="17"/>
  <c r="G151" i="17"/>
  <c r="H151" i="17"/>
  <c r="I151" i="17"/>
  <c r="J151" i="17"/>
  <c r="K151" i="17"/>
  <c r="L151" i="17"/>
  <c r="M151" i="17"/>
  <c r="N151" i="17"/>
  <c r="O151" i="17"/>
  <c r="P151" i="17"/>
  <c r="Q151" i="17"/>
  <c r="R151" i="17"/>
  <c r="S151" i="17"/>
  <c r="T151" i="17"/>
  <c r="U151" i="17"/>
  <c r="V151" i="17"/>
  <c r="W151" i="17"/>
  <c r="X151" i="17"/>
  <c r="Y151" i="17"/>
  <c r="Z151" i="17"/>
  <c r="AA151" i="17"/>
  <c r="AB151" i="17"/>
  <c r="AC151" i="17"/>
  <c r="AD151" i="17"/>
  <c r="AE151" i="17"/>
  <c r="AF151" i="17"/>
  <c r="D152" i="17"/>
  <c r="E152" i="17"/>
  <c r="F152" i="17"/>
  <c r="G152" i="17"/>
  <c r="H152" i="17"/>
  <c r="I152" i="17"/>
  <c r="J152" i="17"/>
  <c r="K152" i="17"/>
  <c r="L152" i="17"/>
  <c r="M152" i="17"/>
  <c r="N152" i="17"/>
  <c r="O152" i="17"/>
  <c r="P152" i="17"/>
  <c r="Q152" i="17"/>
  <c r="R152" i="17"/>
  <c r="S152" i="17"/>
  <c r="T152" i="17"/>
  <c r="U152" i="17"/>
  <c r="V152" i="17"/>
  <c r="W152" i="17"/>
  <c r="X152" i="17"/>
  <c r="Y152" i="17"/>
  <c r="Z152" i="17"/>
  <c r="AA152" i="17"/>
  <c r="AB152" i="17"/>
  <c r="AC152" i="17"/>
  <c r="AD152" i="17"/>
  <c r="AE152" i="17"/>
  <c r="AF152" i="17"/>
  <c r="D153" i="17"/>
  <c r="E153" i="17"/>
  <c r="F153" i="17"/>
  <c r="G153" i="17"/>
  <c r="H153" i="17"/>
  <c r="I153" i="17"/>
  <c r="J153" i="17"/>
  <c r="K153" i="17"/>
  <c r="L153" i="17"/>
  <c r="M153" i="17"/>
  <c r="N153" i="17"/>
  <c r="O153" i="17"/>
  <c r="P153" i="17"/>
  <c r="Q153" i="17"/>
  <c r="R153" i="17"/>
  <c r="S153" i="17"/>
  <c r="T153" i="17"/>
  <c r="U153" i="17"/>
  <c r="V153" i="17"/>
  <c r="W153" i="17"/>
  <c r="X153" i="17"/>
  <c r="Y153" i="17"/>
  <c r="Z153" i="17"/>
  <c r="AA153" i="17"/>
  <c r="AB153" i="17"/>
  <c r="AC153" i="17"/>
  <c r="AD153" i="17"/>
  <c r="AE153" i="17"/>
  <c r="AF153" i="17"/>
  <c r="D154" i="17"/>
  <c r="E154" i="17"/>
  <c r="F154" i="17"/>
  <c r="G154" i="17"/>
  <c r="H154" i="17"/>
  <c r="I154" i="17"/>
  <c r="J154" i="17"/>
  <c r="K154" i="17"/>
  <c r="L154" i="17"/>
  <c r="M154" i="17"/>
  <c r="N154" i="17"/>
  <c r="O154" i="17"/>
  <c r="P154" i="17"/>
  <c r="Q154" i="17"/>
  <c r="R154" i="17"/>
  <c r="S154" i="17"/>
  <c r="T154" i="17"/>
  <c r="U154" i="17"/>
  <c r="V154" i="17"/>
  <c r="W154" i="17"/>
  <c r="X154" i="17"/>
  <c r="Y154" i="17"/>
  <c r="Z154" i="17"/>
  <c r="AA154" i="17"/>
  <c r="AB154" i="17"/>
  <c r="AC154" i="17"/>
  <c r="AD154" i="17"/>
  <c r="AE154" i="17"/>
  <c r="AF154" i="17"/>
  <c r="D155" i="17"/>
  <c r="E155" i="17"/>
  <c r="F155" i="17"/>
  <c r="G155" i="17"/>
  <c r="H155" i="17"/>
  <c r="I155" i="17"/>
  <c r="J155" i="17"/>
  <c r="K155" i="17"/>
  <c r="L155" i="17"/>
  <c r="M155" i="17"/>
  <c r="N155" i="17"/>
  <c r="O155" i="17"/>
  <c r="P155" i="17"/>
  <c r="Q155" i="17"/>
  <c r="R155" i="17"/>
  <c r="S155" i="17"/>
  <c r="T155" i="17"/>
  <c r="U155" i="17"/>
  <c r="V155" i="17"/>
  <c r="W155" i="17"/>
  <c r="X155" i="17"/>
  <c r="Y155" i="17"/>
  <c r="Z155" i="17"/>
  <c r="AA155" i="17"/>
  <c r="AB155" i="17"/>
  <c r="AC155" i="17"/>
  <c r="AD155" i="17"/>
  <c r="AE155" i="17"/>
  <c r="AF155" i="17"/>
  <c r="D156" i="17"/>
  <c r="E156" i="17"/>
  <c r="F156" i="17"/>
  <c r="G156" i="17"/>
  <c r="H156" i="17"/>
  <c r="I156" i="17"/>
  <c r="J156" i="17"/>
  <c r="K156" i="17"/>
  <c r="L156" i="17"/>
  <c r="M156" i="17"/>
  <c r="N156" i="17"/>
  <c r="O156" i="17"/>
  <c r="P156" i="17"/>
  <c r="Q156" i="17"/>
  <c r="R156" i="17"/>
  <c r="S156" i="17"/>
  <c r="T156" i="17"/>
  <c r="U156" i="17"/>
  <c r="V156" i="17"/>
  <c r="W156" i="17"/>
  <c r="X156" i="17"/>
  <c r="Y156" i="17"/>
  <c r="Z156" i="17"/>
  <c r="AA156" i="17"/>
  <c r="AB156" i="17"/>
  <c r="AC156" i="17"/>
  <c r="AD156" i="17"/>
  <c r="AE156" i="17"/>
  <c r="AF156" i="17"/>
  <c r="D157" i="17"/>
  <c r="E157" i="17"/>
  <c r="F157" i="17"/>
  <c r="G157" i="17"/>
  <c r="H157" i="17"/>
  <c r="I157" i="17"/>
  <c r="J157" i="17"/>
  <c r="K157" i="17"/>
  <c r="L157" i="17"/>
  <c r="M157" i="17"/>
  <c r="N157" i="17"/>
  <c r="O157" i="17"/>
  <c r="P157" i="17"/>
  <c r="Q157" i="17"/>
  <c r="R157" i="17"/>
  <c r="S157" i="17"/>
  <c r="T157" i="17"/>
  <c r="U157" i="17"/>
  <c r="V157" i="17"/>
  <c r="W157" i="17"/>
  <c r="X157" i="17"/>
  <c r="Y157" i="17"/>
  <c r="Z157" i="17"/>
  <c r="AA157" i="17"/>
  <c r="AB157" i="17"/>
  <c r="AC157" i="17"/>
  <c r="AD157" i="17"/>
  <c r="AE157" i="17"/>
  <c r="AF157" i="17"/>
  <c r="D158" i="17"/>
  <c r="E158" i="17"/>
  <c r="F158" i="17"/>
  <c r="G158" i="17"/>
  <c r="H158" i="17"/>
  <c r="I158" i="17"/>
  <c r="J158" i="17"/>
  <c r="K158" i="17"/>
  <c r="L158" i="17"/>
  <c r="M158" i="17"/>
  <c r="N158" i="17"/>
  <c r="O158" i="17"/>
  <c r="P158" i="17"/>
  <c r="Q158" i="17"/>
  <c r="R158" i="17"/>
  <c r="S158" i="17"/>
  <c r="T158" i="17"/>
  <c r="U158" i="17"/>
  <c r="V158" i="17"/>
  <c r="W158" i="17"/>
  <c r="X158" i="17"/>
  <c r="Y158" i="17"/>
  <c r="Z158" i="17"/>
  <c r="AA158" i="17"/>
  <c r="AB158" i="17"/>
  <c r="AC158" i="17"/>
  <c r="AD158" i="17"/>
  <c r="AE158" i="17"/>
  <c r="AF158" i="17"/>
  <c r="D159" i="17"/>
  <c r="E159" i="17"/>
  <c r="F159" i="17"/>
  <c r="G159" i="17"/>
  <c r="H159" i="17"/>
  <c r="I159" i="17"/>
  <c r="J159" i="17"/>
  <c r="K159" i="17"/>
  <c r="L159" i="17"/>
  <c r="M159" i="17"/>
  <c r="N159" i="17"/>
  <c r="O159" i="17"/>
  <c r="P159" i="17"/>
  <c r="Q159" i="17"/>
  <c r="R159" i="17"/>
  <c r="S159" i="17"/>
  <c r="T159" i="17"/>
  <c r="U159" i="17"/>
  <c r="V159" i="17"/>
  <c r="W159" i="17"/>
  <c r="X159" i="17"/>
  <c r="Y159" i="17"/>
  <c r="Z159" i="17"/>
  <c r="AA159" i="17"/>
  <c r="AB159" i="17"/>
  <c r="AC159" i="17"/>
  <c r="AD159" i="17"/>
  <c r="AE159" i="17"/>
  <c r="AF159" i="17"/>
  <c r="D160" i="17"/>
  <c r="E160" i="17"/>
  <c r="F160" i="17"/>
  <c r="G160" i="17"/>
  <c r="H160" i="17"/>
  <c r="I160" i="17"/>
  <c r="J160" i="17"/>
  <c r="K160" i="17"/>
  <c r="L160" i="17"/>
  <c r="M160" i="17"/>
  <c r="N160" i="17"/>
  <c r="O160" i="17"/>
  <c r="P160" i="17"/>
  <c r="Q160" i="17"/>
  <c r="R160" i="17"/>
  <c r="S160" i="17"/>
  <c r="T160" i="17"/>
  <c r="U160" i="17"/>
  <c r="V160" i="17"/>
  <c r="W160" i="17"/>
  <c r="X160" i="17"/>
  <c r="Y160" i="17"/>
  <c r="Z160" i="17"/>
  <c r="AA160" i="17"/>
  <c r="AB160" i="17"/>
  <c r="AC160" i="17"/>
  <c r="AD160" i="17"/>
  <c r="AE160" i="17"/>
  <c r="AF160" i="17"/>
  <c r="D161" i="17"/>
  <c r="E161" i="17"/>
  <c r="F161" i="17"/>
  <c r="G161" i="17"/>
  <c r="H161" i="17"/>
  <c r="I161" i="17"/>
  <c r="J161" i="17"/>
  <c r="K161" i="17"/>
  <c r="L161" i="17"/>
  <c r="M161" i="17"/>
  <c r="N161" i="17"/>
  <c r="O161" i="17"/>
  <c r="P161" i="17"/>
  <c r="Q161" i="17"/>
  <c r="R161" i="17"/>
  <c r="S161" i="17"/>
  <c r="T161" i="17"/>
  <c r="U161" i="17"/>
  <c r="V161" i="17"/>
  <c r="W161" i="17"/>
  <c r="X161" i="17"/>
  <c r="Y161" i="17"/>
  <c r="Z161" i="17"/>
  <c r="AA161" i="17"/>
  <c r="AB161" i="17"/>
  <c r="AC161" i="17"/>
  <c r="AD161" i="17"/>
  <c r="AE161" i="17"/>
  <c r="AF161" i="17"/>
  <c r="D162" i="17"/>
  <c r="E162" i="17"/>
  <c r="F162" i="17"/>
  <c r="G162" i="17"/>
  <c r="H162" i="17"/>
  <c r="I162" i="17"/>
  <c r="J162" i="17"/>
  <c r="K162" i="17"/>
  <c r="L162" i="17"/>
  <c r="M162" i="17"/>
  <c r="N162" i="17"/>
  <c r="O162" i="17"/>
  <c r="P162" i="17"/>
  <c r="Q162" i="17"/>
  <c r="R162" i="17"/>
  <c r="S162" i="17"/>
  <c r="T162" i="17"/>
  <c r="U162" i="17"/>
  <c r="V162" i="17"/>
  <c r="W162" i="17"/>
  <c r="X162" i="17"/>
  <c r="Y162" i="17"/>
  <c r="Z162" i="17"/>
  <c r="AA162" i="17"/>
  <c r="AB162" i="17"/>
  <c r="AC162" i="17"/>
  <c r="AD162" i="17"/>
  <c r="AE162" i="17"/>
  <c r="AF162" i="17"/>
  <c r="D163" i="17"/>
  <c r="E163" i="17"/>
  <c r="F163" i="17"/>
  <c r="G163" i="17"/>
  <c r="H163" i="17"/>
  <c r="I163" i="17"/>
  <c r="J163" i="17"/>
  <c r="K163" i="17"/>
  <c r="L163" i="17"/>
  <c r="M163" i="17"/>
  <c r="N163" i="17"/>
  <c r="O163" i="17"/>
  <c r="P163" i="17"/>
  <c r="Q163" i="17"/>
  <c r="R163" i="17"/>
  <c r="S163" i="17"/>
  <c r="T163" i="17"/>
  <c r="U163" i="17"/>
  <c r="V163" i="17"/>
  <c r="W163" i="17"/>
  <c r="X163" i="17"/>
  <c r="Y163" i="17"/>
  <c r="Z163" i="17"/>
  <c r="AA163" i="17"/>
  <c r="AB163" i="17"/>
  <c r="AC163" i="17"/>
  <c r="AD163" i="17"/>
  <c r="AE163" i="17"/>
  <c r="AF163" i="17"/>
  <c r="D164" i="17"/>
  <c r="E164" i="17"/>
  <c r="F164" i="17"/>
  <c r="G164" i="17"/>
  <c r="H164" i="17"/>
  <c r="I164" i="17"/>
  <c r="J164" i="17"/>
  <c r="K164" i="17"/>
  <c r="L164" i="17"/>
  <c r="M164" i="17"/>
  <c r="N164" i="17"/>
  <c r="O164" i="17"/>
  <c r="P164" i="17"/>
  <c r="Q164" i="17"/>
  <c r="R164" i="17"/>
  <c r="S164" i="17"/>
  <c r="T164" i="17"/>
  <c r="U164" i="17"/>
  <c r="V164" i="17"/>
  <c r="W164" i="17"/>
  <c r="X164" i="17"/>
  <c r="Y164" i="17"/>
  <c r="Z164" i="17"/>
  <c r="AA164" i="17"/>
  <c r="AB164" i="17"/>
  <c r="AC164" i="17"/>
  <c r="AD164" i="17"/>
  <c r="AE164" i="17"/>
  <c r="AF164" i="17"/>
  <c r="D165" i="17"/>
  <c r="E165" i="17"/>
  <c r="F165" i="17"/>
  <c r="G165" i="17"/>
  <c r="H165" i="17"/>
  <c r="I165" i="17"/>
  <c r="J165" i="17"/>
  <c r="K165" i="17"/>
  <c r="L165" i="17"/>
  <c r="M165" i="17"/>
  <c r="N165" i="17"/>
  <c r="O165" i="17"/>
  <c r="P165" i="17"/>
  <c r="Q165" i="17"/>
  <c r="R165" i="17"/>
  <c r="S165" i="17"/>
  <c r="T165" i="17"/>
  <c r="U165" i="17"/>
  <c r="V165" i="17"/>
  <c r="W165" i="17"/>
  <c r="X165" i="17"/>
  <c r="Y165" i="17"/>
  <c r="Z165" i="17"/>
  <c r="AA165" i="17"/>
  <c r="AB165" i="17"/>
  <c r="AC165" i="17"/>
  <c r="AD165" i="17"/>
  <c r="AE165" i="17"/>
  <c r="AF165" i="17"/>
  <c r="D166" i="17"/>
  <c r="E166" i="17"/>
  <c r="F166" i="17"/>
  <c r="G166" i="17"/>
  <c r="H166" i="17"/>
  <c r="I166" i="17"/>
  <c r="J166" i="17"/>
  <c r="K166" i="17"/>
  <c r="L166" i="17"/>
  <c r="M166" i="17"/>
  <c r="N166" i="17"/>
  <c r="O166" i="17"/>
  <c r="P166" i="17"/>
  <c r="Q166" i="17"/>
  <c r="R166" i="17"/>
  <c r="S166" i="17"/>
  <c r="T166" i="17"/>
  <c r="U166" i="17"/>
  <c r="V166" i="17"/>
  <c r="W166" i="17"/>
  <c r="X166" i="17"/>
  <c r="Y166" i="17"/>
  <c r="Z166" i="17"/>
  <c r="AA166" i="17"/>
  <c r="AB166" i="17"/>
  <c r="AC166" i="17"/>
  <c r="AD166" i="17"/>
  <c r="AE166" i="17"/>
  <c r="AF166" i="17"/>
  <c r="D167" i="17"/>
  <c r="E167" i="17"/>
  <c r="F167" i="17"/>
  <c r="G167" i="17"/>
  <c r="H167" i="17"/>
  <c r="I167" i="17"/>
  <c r="J167" i="17"/>
  <c r="K167" i="17"/>
  <c r="L167" i="17"/>
  <c r="M167" i="17"/>
  <c r="N167" i="17"/>
  <c r="O167" i="17"/>
  <c r="P167" i="17"/>
  <c r="Q167" i="17"/>
  <c r="R167" i="17"/>
  <c r="S167" i="17"/>
  <c r="T167" i="17"/>
  <c r="U167" i="17"/>
  <c r="V167" i="17"/>
  <c r="W167" i="17"/>
  <c r="X167" i="17"/>
  <c r="Y167" i="17"/>
  <c r="Z167" i="17"/>
  <c r="AA167" i="17"/>
  <c r="AB167" i="17"/>
  <c r="AC167" i="17"/>
  <c r="AD167" i="17"/>
  <c r="AE167" i="17"/>
  <c r="AF167" i="17"/>
  <c r="D168" i="17"/>
  <c r="E168" i="17"/>
  <c r="F168" i="17"/>
  <c r="G168" i="17"/>
  <c r="H168" i="17"/>
  <c r="I168" i="17"/>
  <c r="J168" i="17"/>
  <c r="K168" i="17"/>
  <c r="L168" i="17"/>
  <c r="M168" i="17"/>
  <c r="N168" i="17"/>
  <c r="O168" i="17"/>
  <c r="P168" i="17"/>
  <c r="Q168" i="17"/>
  <c r="R168" i="17"/>
  <c r="S168" i="17"/>
  <c r="T168" i="17"/>
  <c r="U168" i="17"/>
  <c r="V168" i="17"/>
  <c r="W168" i="17"/>
  <c r="X168" i="17"/>
  <c r="Y168" i="17"/>
  <c r="Z168" i="17"/>
  <c r="AA168" i="17"/>
  <c r="AB168" i="17"/>
  <c r="AC168" i="17"/>
  <c r="AD168" i="17"/>
  <c r="AE168" i="17"/>
  <c r="AF168" i="17"/>
  <c r="D169" i="17"/>
  <c r="E169" i="17"/>
  <c r="F169" i="17"/>
  <c r="G169" i="17"/>
  <c r="H169" i="17"/>
  <c r="I169" i="17"/>
  <c r="J169" i="17"/>
  <c r="K169" i="17"/>
  <c r="L169" i="17"/>
  <c r="M169" i="17"/>
  <c r="N169" i="17"/>
  <c r="O169" i="17"/>
  <c r="P169" i="17"/>
  <c r="Q169" i="17"/>
  <c r="R169" i="17"/>
  <c r="S169" i="17"/>
  <c r="T169" i="17"/>
  <c r="U169" i="17"/>
  <c r="V169" i="17"/>
  <c r="W169" i="17"/>
  <c r="X169" i="17"/>
  <c r="Y169" i="17"/>
  <c r="Z169" i="17"/>
  <c r="AA169" i="17"/>
  <c r="AB169" i="17"/>
  <c r="AC169" i="17"/>
  <c r="AD169" i="17"/>
  <c r="AE169" i="17"/>
  <c r="AF169" i="17"/>
  <c r="D170" i="17"/>
  <c r="E170" i="17"/>
  <c r="F170" i="17"/>
  <c r="G170" i="17"/>
  <c r="H170" i="17"/>
  <c r="I170" i="17"/>
  <c r="J170" i="17"/>
  <c r="K170" i="17"/>
  <c r="L170" i="17"/>
  <c r="M170" i="17"/>
  <c r="N170" i="17"/>
  <c r="O170" i="17"/>
  <c r="P170" i="17"/>
  <c r="Q170" i="17"/>
  <c r="R170" i="17"/>
  <c r="S170" i="17"/>
  <c r="T170" i="17"/>
  <c r="U170" i="17"/>
  <c r="V170" i="17"/>
  <c r="W170" i="17"/>
  <c r="X170" i="17"/>
  <c r="Y170" i="17"/>
  <c r="Z170" i="17"/>
  <c r="AA170" i="17"/>
  <c r="AB170" i="17"/>
  <c r="AC170" i="17"/>
  <c r="AD170" i="17"/>
  <c r="AE170" i="17"/>
  <c r="AF170" i="17"/>
  <c r="D171" i="17"/>
  <c r="E171" i="17"/>
  <c r="F171" i="17"/>
  <c r="G171" i="17"/>
  <c r="H171" i="17"/>
  <c r="I171" i="17"/>
  <c r="J171" i="17"/>
  <c r="K171" i="17"/>
  <c r="L171" i="17"/>
  <c r="M171" i="17"/>
  <c r="N171" i="17"/>
  <c r="O171" i="17"/>
  <c r="P171" i="17"/>
  <c r="Q171" i="17"/>
  <c r="R171" i="17"/>
  <c r="S171" i="17"/>
  <c r="T171" i="17"/>
  <c r="U171" i="17"/>
  <c r="V171" i="17"/>
  <c r="W171" i="17"/>
  <c r="X171" i="17"/>
  <c r="Y171" i="17"/>
  <c r="Z171" i="17"/>
  <c r="AA171" i="17"/>
  <c r="AB171" i="17"/>
  <c r="AC171" i="17"/>
  <c r="AD171" i="17"/>
  <c r="AE171" i="17"/>
  <c r="AF171" i="17"/>
  <c r="D172" i="17"/>
  <c r="E172" i="17"/>
  <c r="F172" i="17"/>
  <c r="G172" i="17"/>
  <c r="H172" i="17"/>
  <c r="I172" i="17"/>
  <c r="J172" i="17"/>
  <c r="K172" i="17"/>
  <c r="L172" i="17"/>
  <c r="M172" i="17"/>
  <c r="N172" i="17"/>
  <c r="O172" i="17"/>
  <c r="P172" i="17"/>
  <c r="Q172" i="17"/>
  <c r="R172" i="17"/>
  <c r="S172" i="17"/>
  <c r="T172" i="17"/>
  <c r="U172" i="17"/>
  <c r="V172" i="17"/>
  <c r="W172" i="17"/>
  <c r="X172" i="17"/>
  <c r="Y172" i="17"/>
  <c r="Z172" i="17"/>
  <c r="AA172" i="17"/>
  <c r="AB172" i="17"/>
  <c r="AC172" i="17"/>
  <c r="AD172" i="17"/>
  <c r="AE172" i="17"/>
  <c r="AF172" i="17"/>
  <c r="D173" i="17"/>
  <c r="E173" i="17"/>
  <c r="F173" i="17"/>
  <c r="G173" i="17"/>
  <c r="H173" i="17"/>
  <c r="I173" i="17"/>
  <c r="J173" i="17"/>
  <c r="K173" i="17"/>
  <c r="L173" i="17"/>
  <c r="M173" i="17"/>
  <c r="N173" i="17"/>
  <c r="O173" i="17"/>
  <c r="P173" i="17"/>
  <c r="Q173" i="17"/>
  <c r="R173" i="17"/>
  <c r="S173" i="17"/>
  <c r="T173" i="17"/>
  <c r="U173" i="17"/>
  <c r="V173" i="17"/>
  <c r="W173" i="17"/>
  <c r="X173" i="17"/>
  <c r="Y173" i="17"/>
  <c r="Z173" i="17"/>
  <c r="AA173" i="17"/>
  <c r="AB173" i="17"/>
  <c r="AC173" i="17"/>
  <c r="AD173" i="17"/>
  <c r="AE173" i="17"/>
  <c r="AF173" i="17"/>
  <c r="D174" i="17"/>
  <c r="E174" i="17"/>
  <c r="F174" i="17"/>
  <c r="G174" i="17"/>
  <c r="H174" i="17"/>
  <c r="I174" i="17"/>
  <c r="J174" i="17"/>
  <c r="L174" i="17"/>
  <c r="M174" i="17"/>
  <c r="N174" i="17"/>
  <c r="O174" i="17"/>
  <c r="P174" i="17"/>
  <c r="Q174" i="17"/>
  <c r="R174" i="17"/>
  <c r="S174" i="17"/>
  <c r="T174" i="17"/>
  <c r="U174" i="17"/>
  <c r="V174" i="17"/>
  <c r="W174" i="17"/>
  <c r="X174" i="17"/>
  <c r="Y174" i="17"/>
  <c r="Z174" i="17"/>
  <c r="AA174" i="17"/>
  <c r="AB174" i="17"/>
  <c r="AC174" i="17"/>
  <c r="AE174" i="17"/>
  <c r="AF174" i="17"/>
  <c r="D175" i="17"/>
  <c r="E175" i="17"/>
  <c r="F175" i="17"/>
  <c r="G175" i="17"/>
  <c r="H175" i="17"/>
  <c r="I175" i="17"/>
  <c r="J175" i="17"/>
  <c r="L175" i="17"/>
  <c r="M175" i="17"/>
  <c r="N175" i="17"/>
  <c r="O175" i="17"/>
  <c r="P175" i="17"/>
  <c r="Q175" i="17"/>
  <c r="R175" i="17"/>
  <c r="S175" i="17"/>
  <c r="T175" i="17"/>
  <c r="U175" i="17"/>
  <c r="V175" i="17"/>
  <c r="W175" i="17"/>
  <c r="X175" i="17"/>
  <c r="Y175" i="17"/>
  <c r="Z175" i="17"/>
  <c r="AA175" i="17"/>
  <c r="AB175" i="17"/>
  <c r="AC175" i="17"/>
  <c r="AD175" i="17"/>
  <c r="AE175" i="17"/>
  <c r="AF175" i="17"/>
  <c r="D176" i="17"/>
  <c r="E176" i="17"/>
  <c r="F176" i="17"/>
  <c r="G176" i="17"/>
  <c r="H176" i="17"/>
  <c r="I176" i="17"/>
  <c r="J176" i="17"/>
  <c r="L176" i="17"/>
  <c r="M176" i="17"/>
  <c r="N176" i="17"/>
  <c r="O176" i="17"/>
  <c r="P176" i="17"/>
  <c r="Q176" i="17"/>
  <c r="R176" i="17"/>
  <c r="S176" i="17"/>
  <c r="T176" i="17"/>
  <c r="U176" i="17"/>
  <c r="V176" i="17"/>
  <c r="W176" i="17"/>
  <c r="X176" i="17"/>
  <c r="Y176" i="17"/>
  <c r="Z176" i="17"/>
  <c r="AA176" i="17"/>
  <c r="AB176" i="17"/>
  <c r="AC176" i="17"/>
  <c r="AE176" i="17"/>
  <c r="AF176" i="17"/>
  <c r="D177" i="17"/>
  <c r="E177" i="17"/>
  <c r="F177" i="17"/>
  <c r="G177" i="17"/>
  <c r="H177" i="17"/>
  <c r="I177" i="17"/>
  <c r="J177" i="17"/>
  <c r="K177" i="17"/>
  <c r="L177" i="17"/>
  <c r="M177" i="17"/>
  <c r="N177" i="17"/>
  <c r="O177" i="17"/>
  <c r="P177" i="17"/>
  <c r="Q177" i="17"/>
  <c r="R177" i="17"/>
  <c r="S177" i="17"/>
  <c r="T177" i="17"/>
  <c r="U177" i="17"/>
  <c r="V177" i="17"/>
  <c r="W177" i="17"/>
  <c r="X177" i="17"/>
  <c r="Y177" i="17"/>
  <c r="Z177" i="17"/>
  <c r="AA177" i="17"/>
  <c r="AB177" i="17"/>
  <c r="AC177" i="17"/>
  <c r="AD177" i="17"/>
  <c r="AE177" i="17"/>
  <c r="AF177" i="17"/>
  <c r="D178" i="17"/>
  <c r="E178" i="17"/>
  <c r="F178" i="17"/>
  <c r="G178" i="17"/>
  <c r="H178" i="17"/>
  <c r="I178" i="17"/>
  <c r="J178" i="17"/>
  <c r="K178" i="17"/>
  <c r="L178" i="17"/>
  <c r="M178" i="17"/>
  <c r="N178" i="17"/>
  <c r="O178" i="17"/>
  <c r="P178" i="17"/>
  <c r="Q178" i="17"/>
  <c r="R178" i="17"/>
  <c r="S178" i="17"/>
  <c r="T178" i="17"/>
  <c r="U178" i="17"/>
  <c r="V178" i="17"/>
  <c r="W178" i="17"/>
  <c r="X178" i="17"/>
  <c r="Y178" i="17"/>
  <c r="Z178" i="17"/>
  <c r="AA178" i="17"/>
  <c r="AB178" i="17"/>
  <c r="AC178" i="17"/>
  <c r="AD178" i="17"/>
  <c r="AE178" i="17"/>
  <c r="AF178" i="17"/>
  <c r="D179" i="17"/>
  <c r="E179" i="17"/>
  <c r="F179" i="17"/>
  <c r="G179" i="17"/>
  <c r="H179" i="17"/>
  <c r="I179" i="17"/>
  <c r="J179" i="17"/>
  <c r="K179" i="17"/>
  <c r="L179" i="17"/>
  <c r="M179" i="17"/>
  <c r="N179" i="17"/>
  <c r="O179" i="17"/>
  <c r="P179" i="17"/>
  <c r="Q179" i="17"/>
  <c r="R179" i="17"/>
  <c r="S179" i="17"/>
  <c r="T179" i="17"/>
  <c r="U179" i="17"/>
  <c r="V179" i="17"/>
  <c r="W179" i="17"/>
  <c r="X179" i="17"/>
  <c r="Y179" i="17"/>
  <c r="Z179" i="17"/>
  <c r="AA179" i="17"/>
  <c r="AB179" i="17"/>
  <c r="AC179" i="17"/>
  <c r="AD179" i="17"/>
  <c r="AE179" i="17"/>
  <c r="AF179" i="17"/>
  <c r="D180" i="17"/>
  <c r="E180" i="17"/>
  <c r="F180" i="17"/>
  <c r="G180" i="17"/>
  <c r="H180" i="17"/>
  <c r="I180" i="17"/>
  <c r="J180" i="17"/>
  <c r="K180" i="17"/>
  <c r="L180" i="17"/>
  <c r="M180" i="17"/>
  <c r="N180" i="17"/>
  <c r="O180" i="17"/>
  <c r="P180" i="17"/>
  <c r="Q180" i="17"/>
  <c r="R180" i="17"/>
  <c r="S180" i="17"/>
  <c r="T180" i="17"/>
  <c r="U180" i="17"/>
  <c r="V180" i="17"/>
  <c r="W180" i="17"/>
  <c r="X180" i="17"/>
  <c r="Y180" i="17"/>
  <c r="Z180" i="17"/>
  <c r="AA180" i="17"/>
  <c r="AB180" i="17"/>
  <c r="AC180" i="17"/>
  <c r="AD180" i="17"/>
  <c r="AE180" i="17"/>
  <c r="AF180" i="17"/>
  <c r="D181" i="17"/>
  <c r="E181" i="17"/>
  <c r="F181" i="17"/>
  <c r="G181" i="17"/>
  <c r="H181" i="17"/>
  <c r="I181" i="17"/>
  <c r="J181" i="17"/>
  <c r="K181" i="17"/>
  <c r="L181" i="17"/>
  <c r="M181" i="17"/>
  <c r="N181" i="17"/>
  <c r="O181" i="17"/>
  <c r="P181" i="17"/>
  <c r="Q181" i="17"/>
  <c r="R181" i="17"/>
  <c r="S181" i="17"/>
  <c r="T181" i="17"/>
  <c r="U181" i="17"/>
  <c r="V181" i="17"/>
  <c r="W181" i="17"/>
  <c r="X181" i="17"/>
  <c r="Y181" i="17"/>
  <c r="Z181" i="17"/>
  <c r="AA181" i="17"/>
  <c r="AB181" i="17"/>
  <c r="AC181" i="17"/>
  <c r="AD181" i="17"/>
  <c r="AE181" i="17"/>
  <c r="AF181" i="17"/>
  <c r="D182" i="17"/>
  <c r="E182" i="17"/>
  <c r="F182" i="17"/>
  <c r="G182" i="17"/>
  <c r="H182" i="17"/>
  <c r="I182" i="17"/>
  <c r="J182" i="17"/>
  <c r="K182" i="17"/>
  <c r="L182" i="17"/>
  <c r="M182" i="17"/>
  <c r="N182" i="17"/>
  <c r="O182" i="17"/>
  <c r="P182" i="17"/>
  <c r="Q182" i="17"/>
  <c r="R182" i="17"/>
  <c r="S182" i="17"/>
  <c r="T182" i="17"/>
  <c r="U182" i="17"/>
  <c r="V182" i="17"/>
  <c r="W182" i="17"/>
  <c r="X182" i="17"/>
  <c r="Y182" i="17"/>
  <c r="Z182" i="17"/>
  <c r="AA182" i="17"/>
  <c r="AB182" i="17"/>
  <c r="AC182" i="17"/>
  <c r="AD182" i="17"/>
  <c r="AE182" i="17"/>
  <c r="AF182" i="17"/>
  <c r="D183" i="17"/>
  <c r="E183" i="17"/>
  <c r="F183" i="17"/>
  <c r="G183" i="17"/>
  <c r="H183" i="17"/>
  <c r="I183" i="17"/>
  <c r="J183" i="17"/>
  <c r="K183" i="17"/>
  <c r="L183" i="17"/>
  <c r="M183" i="17"/>
  <c r="N183" i="17"/>
  <c r="O183" i="17"/>
  <c r="P183" i="17"/>
  <c r="Q183" i="17"/>
  <c r="R183" i="17"/>
  <c r="S183" i="17"/>
  <c r="T183" i="17"/>
  <c r="U183" i="17"/>
  <c r="V183" i="17"/>
  <c r="W183" i="17"/>
  <c r="X183" i="17"/>
  <c r="Y183" i="17"/>
  <c r="Z183" i="17"/>
  <c r="AA183" i="17"/>
  <c r="AB183" i="17"/>
  <c r="AC183" i="17"/>
  <c r="AD183" i="17"/>
  <c r="AE183" i="17"/>
  <c r="AF183" i="17"/>
  <c r="D184" i="17"/>
  <c r="E184" i="17"/>
  <c r="F184" i="17"/>
  <c r="G184" i="17"/>
  <c r="H184" i="17"/>
  <c r="I184" i="17"/>
  <c r="J184" i="17"/>
  <c r="K184" i="17"/>
  <c r="L184" i="17"/>
  <c r="M184" i="17"/>
  <c r="N184" i="17"/>
  <c r="O184" i="17"/>
  <c r="P184" i="17"/>
  <c r="Q184" i="17"/>
  <c r="R184" i="17"/>
  <c r="S184" i="17"/>
  <c r="T184" i="17"/>
  <c r="U184" i="17"/>
  <c r="V184" i="17"/>
  <c r="W184" i="17"/>
  <c r="X184" i="17"/>
  <c r="Y184" i="17"/>
  <c r="Z184" i="17"/>
  <c r="AA184" i="17"/>
  <c r="AB184" i="17"/>
  <c r="AC184" i="17"/>
  <c r="AD184" i="17"/>
  <c r="AE184" i="17"/>
  <c r="AF184" i="17"/>
  <c r="D185" i="17"/>
  <c r="E185" i="17"/>
  <c r="F185" i="17"/>
  <c r="G185" i="17"/>
  <c r="H185" i="17"/>
  <c r="I185" i="17"/>
  <c r="J185" i="17"/>
  <c r="K185" i="17"/>
  <c r="L185" i="17"/>
  <c r="M185" i="17"/>
  <c r="N185" i="17"/>
  <c r="O185" i="17"/>
  <c r="P185" i="17"/>
  <c r="Q185" i="17"/>
  <c r="R185" i="17"/>
  <c r="S185" i="17"/>
  <c r="T185" i="17"/>
  <c r="U185" i="17"/>
  <c r="V185" i="17"/>
  <c r="W185" i="17"/>
  <c r="X185" i="17"/>
  <c r="Y185" i="17"/>
  <c r="Z185" i="17"/>
  <c r="AA185" i="17"/>
  <c r="AB185" i="17"/>
  <c r="AC185" i="17"/>
  <c r="AD185" i="17"/>
  <c r="AE185" i="17"/>
  <c r="AF185" i="17"/>
  <c r="D186" i="17"/>
  <c r="E186" i="17"/>
  <c r="F186" i="17"/>
  <c r="G186" i="17"/>
  <c r="H186" i="17"/>
  <c r="I186" i="17"/>
  <c r="J186" i="17"/>
  <c r="K186" i="17"/>
  <c r="L186" i="17"/>
  <c r="M186" i="17"/>
  <c r="N186" i="17"/>
  <c r="O186" i="17"/>
  <c r="P186" i="17"/>
  <c r="Q186" i="17"/>
  <c r="R186" i="17"/>
  <c r="S186" i="17"/>
  <c r="T186" i="17"/>
  <c r="U186" i="17"/>
  <c r="V186" i="17"/>
  <c r="W186" i="17"/>
  <c r="X186" i="17"/>
  <c r="Y186" i="17"/>
  <c r="Z186" i="17"/>
  <c r="AA186" i="17"/>
  <c r="AB186" i="17"/>
  <c r="AC186" i="17"/>
  <c r="AD186" i="17"/>
  <c r="AE186" i="17"/>
  <c r="AF186" i="17"/>
  <c r="D187" i="17"/>
  <c r="E187" i="17"/>
  <c r="F187" i="17"/>
  <c r="G187" i="17"/>
  <c r="H187" i="17"/>
  <c r="I187" i="17"/>
  <c r="J187" i="17"/>
  <c r="K187" i="17"/>
  <c r="L187" i="17"/>
  <c r="M187" i="17"/>
  <c r="N187" i="17"/>
  <c r="O187" i="17"/>
  <c r="P187" i="17"/>
  <c r="Q187" i="17"/>
  <c r="R187" i="17"/>
  <c r="S187" i="17"/>
  <c r="T187" i="17"/>
  <c r="U187" i="17"/>
  <c r="V187" i="17"/>
  <c r="W187" i="17"/>
  <c r="X187" i="17"/>
  <c r="Y187" i="17"/>
  <c r="Z187" i="17"/>
  <c r="AA187" i="17"/>
  <c r="AB187" i="17"/>
  <c r="AC187" i="17"/>
  <c r="AD187" i="17"/>
  <c r="AE187" i="17"/>
  <c r="AF187" i="17"/>
  <c r="D188" i="17"/>
  <c r="E188" i="17"/>
  <c r="F188" i="17"/>
  <c r="G188" i="17"/>
  <c r="H188" i="17"/>
  <c r="I188" i="17"/>
  <c r="J188" i="17"/>
  <c r="K188" i="17"/>
  <c r="L188" i="17"/>
  <c r="M188" i="17"/>
  <c r="N188" i="17"/>
  <c r="O188" i="17"/>
  <c r="P188" i="17"/>
  <c r="Q188" i="17"/>
  <c r="R188" i="17"/>
  <c r="S188" i="17"/>
  <c r="T188" i="17"/>
  <c r="U188" i="17"/>
  <c r="V188" i="17"/>
  <c r="W188" i="17"/>
  <c r="X188" i="17"/>
  <c r="Y188" i="17"/>
  <c r="Z188" i="17"/>
  <c r="AA188" i="17"/>
  <c r="AB188" i="17"/>
  <c r="AC188" i="17"/>
  <c r="AD188" i="17"/>
  <c r="AE188" i="17"/>
  <c r="AF188" i="17"/>
  <c r="D189" i="17"/>
  <c r="E189" i="17"/>
  <c r="F189" i="17"/>
  <c r="G189" i="17"/>
  <c r="H189" i="17"/>
  <c r="I189" i="17"/>
  <c r="J189" i="17"/>
  <c r="K189" i="17"/>
  <c r="L189" i="17"/>
  <c r="M189" i="17"/>
  <c r="N189" i="17"/>
  <c r="O189" i="17"/>
  <c r="P189" i="17"/>
  <c r="Q189" i="17"/>
  <c r="R189" i="17"/>
  <c r="S189" i="17"/>
  <c r="T189" i="17"/>
  <c r="U189" i="17"/>
  <c r="V189" i="17"/>
  <c r="W189" i="17"/>
  <c r="X189" i="17"/>
  <c r="Y189" i="17"/>
  <c r="Z189" i="17"/>
  <c r="AA189" i="17"/>
  <c r="AB189" i="17"/>
  <c r="AC189" i="17"/>
  <c r="AD189" i="17"/>
  <c r="AE189" i="17"/>
  <c r="AF189" i="17"/>
  <c r="D190" i="17"/>
  <c r="E190" i="17"/>
  <c r="F190" i="17"/>
  <c r="G190" i="17"/>
  <c r="H190" i="17"/>
  <c r="I190" i="17"/>
  <c r="J190" i="17"/>
  <c r="K190" i="17"/>
  <c r="L190" i="17"/>
  <c r="M190" i="17"/>
  <c r="N190" i="17"/>
  <c r="O190" i="17"/>
  <c r="P190" i="17"/>
  <c r="Q190" i="17"/>
  <c r="R190" i="17"/>
  <c r="S190" i="17"/>
  <c r="T190" i="17"/>
  <c r="U190" i="17"/>
  <c r="V190" i="17"/>
  <c r="W190" i="17"/>
  <c r="X190" i="17"/>
  <c r="Y190" i="17"/>
  <c r="Z190" i="17"/>
  <c r="AA190" i="17"/>
  <c r="AB190" i="17"/>
  <c r="AC190" i="17"/>
  <c r="AD190" i="17"/>
  <c r="AE190" i="17"/>
  <c r="AF190" i="17"/>
  <c r="D191" i="17"/>
  <c r="E191" i="17"/>
  <c r="F191" i="17"/>
  <c r="G191" i="17"/>
  <c r="H191" i="17"/>
  <c r="I191" i="17"/>
  <c r="J191" i="17"/>
  <c r="K191" i="17"/>
  <c r="L191" i="17"/>
  <c r="M191" i="17"/>
  <c r="N191" i="17"/>
  <c r="O191" i="17"/>
  <c r="P191" i="17"/>
  <c r="Q191" i="17"/>
  <c r="R191" i="17"/>
  <c r="S191" i="17"/>
  <c r="T191" i="17"/>
  <c r="U191" i="17"/>
  <c r="V191" i="17"/>
  <c r="W191" i="17"/>
  <c r="X191" i="17"/>
  <c r="Y191" i="17"/>
  <c r="Z191" i="17"/>
  <c r="AA191" i="17"/>
  <c r="AB191" i="17"/>
  <c r="AC191" i="17"/>
  <c r="AD191" i="17"/>
  <c r="AE191" i="17"/>
  <c r="AF191" i="17"/>
  <c r="D192" i="17"/>
  <c r="E192" i="17"/>
  <c r="F192" i="17"/>
  <c r="G192" i="17"/>
  <c r="H192" i="17"/>
  <c r="I192" i="17"/>
  <c r="J192" i="17"/>
  <c r="K192" i="17"/>
  <c r="L192" i="17"/>
  <c r="M192" i="17"/>
  <c r="N192" i="17"/>
  <c r="O192" i="17"/>
  <c r="P192" i="17"/>
  <c r="Q192" i="17"/>
  <c r="R192" i="17"/>
  <c r="S192" i="17"/>
  <c r="T192" i="17"/>
  <c r="U192" i="17"/>
  <c r="V192" i="17"/>
  <c r="W192" i="17"/>
  <c r="X192" i="17"/>
  <c r="Y192" i="17"/>
  <c r="Z192" i="17"/>
  <c r="AA192" i="17"/>
  <c r="AB192" i="17"/>
  <c r="AC192" i="17"/>
  <c r="AD192" i="17"/>
  <c r="AE192" i="17"/>
  <c r="AF192" i="17"/>
  <c r="D193" i="17"/>
  <c r="E193" i="17"/>
  <c r="F193" i="17"/>
  <c r="G193" i="17"/>
  <c r="H193" i="17"/>
  <c r="I193" i="17"/>
  <c r="J193" i="17"/>
  <c r="K193" i="17"/>
  <c r="L193" i="17"/>
  <c r="M193" i="17"/>
  <c r="N193" i="17"/>
  <c r="O193" i="17"/>
  <c r="P193" i="17"/>
  <c r="Q193" i="17"/>
  <c r="R193" i="17"/>
  <c r="S193" i="17"/>
  <c r="T193" i="17"/>
  <c r="U193" i="17"/>
  <c r="V193" i="17"/>
  <c r="W193" i="17"/>
  <c r="X193" i="17"/>
  <c r="Y193" i="17"/>
  <c r="Z193" i="17"/>
  <c r="AA193" i="17"/>
  <c r="AB193" i="17"/>
  <c r="AC193" i="17"/>
  <c r="AD193" i="17"/>
  <c r="AE193" i="17"/>
  <c r="AF193" i="17"/>
  <c r="D194" i="17"/>
  <c r="E194" i="17"/>
  <c r="F194" i="17"/>
  <c r="G194" i="17"/>
  <c r="H194" i="17"/>
  <c r="I194" i="17"/>
  <c r="J194" i="17"/>
  <c r="K194" i="17"/>
  <c r="L194" i="17"/>
  <c r="M194" i="17"/>
  <c r="N194" i="17"/>
  <c r="O194" i="17"/>
  <c r="P194" i="17"/>
  <c r="Q194" i="17"/>
  <c r="R194" i="17"/>
  <c r="S194" i="17"/>
  <c r="T194" i="17"/>
  <c r="U194" i="17"/>
  <c r="V194" i="17"/>
  <c r="W194" i="17"/>
  <c r="X194" i="17"/>
  <c r="Y194" i="17"/>
  <c r="Z194" i="17"/>
  <c r="AA194" i="17"/>
  <c r="AB194" i="17"/>
  <c r="AC194" i="17"/>
  <c r="AD194" i="17"/>
  <c r="AE194" i="17"/>
  <c r="AF194" i="17"/>
  <c r="D195" i="17"/>
  <c r="E195" i="17"/>
  <c r="F195" i="17"/>
  <c r="G195" i="17"/>
  <c r="H195" i="17"/>
  <c r="I195" i="17"/>
  <c r="J195" i="17"/>
  <c r="K195" i="17"/>
  <c r="L195" i="17"/>
  <c r="M195" i="17"/>
  <c r="N195" i="17"/>
  <c r="O195" i="17"/>
  <c r="P195" i="17"/>
  <c r="Q195" i="17"/>
  <c r="R195" i="17"/>
  <c r="S195" i="17"/>
  <c r="T195" i="17"/>
  <c r="U195" i="17"/>
  <c r="V195" i="17"/>
  <c r="W195" i="17"/>
  <c r="X195" i="17"/>
  <c r="Y195" i="17"/>
  <c r="Z195" i="17"/>
  <c r="AA195" i="17"/>
  <c r="AB195" i="17"/>
  <c r="AC195" i="17"/>
  <c r="AD195" i="17"/>
  <c r="AE195" i="17"/>
  <c r="AF195" i="17"/>
  <c r="D196" i="17"/>
  <c r="E196" i="17"/>
  <c r="F196" i="17"/>
  <c r="G196" i="17"/>
  <c r="H196" i="17"/>
  <c r="I196" i="17"/>
  <c r="J196" i="17"/>
  <c r="K196" i="17"/>
  <c r="L196" i="17"/>
  <c r="M196" i="17"/>
  <c r="N196" i="17"/>
  <c r="O196" i="17"/>
  <c r="P196" i="17"/>
  <c r="Q196" i="17"/>
  <c r="R196" i="17"/>
  <c r="S196" i="17"/>
  <c r="T196" i="17"/>
  <c r="U196" i="17"/>
  <c r="V196" i="17"/>
  <c r="W196" i="17"/>
  <c r="X196" i="17"/>
  <c r="Y196" i="17"/>
  <c r="Z196" i="17"/>
  <c r="AA196" i="17"/>
  <c r="AB196" i="17"/>
  <c r="AC196" i="17"/>
  <c r="AD196" i="17"/>
  <c r="AE196" i="17"/>
  <c r="AF196" i="17"/>
  <c r="D197" i="17"/>
  <c r="E197" i="17"/>
  <c r="F197" i="17"/>
  <c r="G197" i="17"/>
  <c r="H197" i="17"/>
  <c r="I197" i="17"/>
  <c r="J197" i="17"/>
  <c r="K197" i="17"/>
  <c r="L197" i="17"/>
  <c r="M197" i="17"/>
  <c r="N197" i="17"/>
  <c r="O197" i="17"/>
  <c r="P197" i="17"/>
  <c r="Q197" i="17"/>
  <c r="R197" i="17"/>
  <c r="S197" i="17"/>
  <c r="T197" i="17"/>
  <c r="U197" i="17"/>
  <c r="V197" i="17"/>
  <c r="W197" i="17"/>
  <c r="X197" i="17"/>
  <c r="Y197" i="17"/>
  <c r="Z197" i="17"/>
  <c r="AA197" i="17"/>
  <c r="AB197" i="17"/>
  <c r="AC197" i="17"/>
  <c r="AD197" i="17"/>
  <c r="AE197" i="17"/>
  <c r="AF197" i="17"/>
  <c r="D198" i="17"/>
  <c r="E198" i="17"/>
  <c r="F198" i="17"/>
  <c r="G198" i="17"/>
  <c r="H198" i="17"/>
  <c r="I198" i="17"/>
  <c r="J198" i="17"/>
  <c r="K198" i="17"/>
  <c r="L198" i="17"/>
  <c r="M198" i="17"/>
  <c r="N198" i="17"/>
  <c r="O198" i="17"/>
  <c r="P198" i="17"/>
  <c r="Q198" i="17"/>
  <c r="R198" i="17"/>
  <c r="S198" i="17"/>
  <c r="T198" i="17"/>
  <c r="U198" i="17"/>
  <c r="V198" i="17"/>
  <c r="W198" i="17"/>
  <c r="X198" i="17"/>
  <c r="Y198" i="17"/>
  <c r="Z198" i="17"/>
  <c r="AA198" i="17"/>
  <c r="AB198" i="17"/>
  <c r="AC198" i="17"/>
  <c r="AD198" i="17"/>
  <c r="AE198" i="17"/>
  <c r="AF198" i="17"/>
  <c r="D199" i="17"/>
  <c r="E199" i="17"/>
  <c r="F199" i="17"/>
  <c r="G199" i="17"/>
  <c r="H199" i="17"/>
  <c r="I199" i="17"/>
  <c r="J199" i="17"/>
  <c r="K199" i="17"/>
  <c r="L199" i="17"/>
  <c r="M199" i="17"/>
  <c r="N199" i="17"/>
  <c r="O199" i="17"/>
  <c r="P199" i="17"/>
  <c r="Q199" i="17"/>
  <c r="R199" i="17"/>
  <c r="S199" i="17"/>
  <c r="T199" i="17"/>
  <c r="U199" i="17"/>
  <c r="V199" i="17"/>
  <c r="W199" i="17"/>
  <c r="X199" i="17"/>
  <c r="Y199" i="17"/>
  <c r="Z199" i="17"/>
  <c r="AA199" i="17"/>
  <c r="AB199" i="17"/>
  <c r="AC199" i="17"/>
  <c r="AD199" i="17"/>
  <c r="AE199" i="17"/>
  <c r="AF199" i="17"/>
  <c r="D200" i="17"/>
  <c r="E200" i="17"/>
  <c r="F200" i="17"/>
  <c r="G200" i="17"/>
  <c r="H200" i="17"/>
  <c r="I200" i="17"/>
  <c r="J200" i="17"/>
  <c r="K200" i="17"/>
  <c r="L200" i="17"/>
  <c r="M200" i="17"/>
  <c r="N200" i="17"/>
  <c r="O200" i="17"/>
  <c r="P200" i="17"/>
  <c r="Q200" i="17"/>
  <c r="R200" i="17"/>
  <c r="S200" i="17"/>
  <c r="T200" i="17"/>
  <c r="U200" i="17"/>
  <c r="V200" i="17"/>
  <c r="W200" i="17"/>
  <c r="X200" i="17"/>
  <c r="Y200" i="17"/>
  <c r="Z200" i="17"/>
  <c r="AA200" i="17"/>
  <c r="AB200" i="17"/>
  <c r="AC200" i="17"/>
  <c r="AD200" i="17"/>
  <c r="AE200" i="17"/>
  <c r="AF200" i="17"/>
  <c r="D201" i="17"/>
  <c r="E201" i="17"/>
  <c r="F201" i="17"/>
  <c r="G201" i="17"/>
  <c r="H201" i="17"/>
  <c r="I201" i="17"/>
  <c r="J201" i="17"/>
  <c r="K201" i="17"/>
  <c r="L201" i="17"/>
  <c r="M201" i="17"/>
  <c r="N201" i="17"/>
  <c r="O201" i="17"/>
  <c r="P201" i="17"/>
  <c r="Q201" i="17"/>
  <c r="R201" i="17"/>
  <c r="S201" i="17"/>
  <c r="T201" i="17"/>
  <c r="U201" i="17"/>
  <c r="V201" i="17"/>
  <c r="W201" i="17"/>
  <c r="X201" i="17"/>
  <c r="Y201" i="17"/>
  <c r="Z201" i="17"/>
  <c r="AA201" i="17"/>
  <c r="AB201" i="17"/>
  <c r="AC201" i="17"/>
  <c r="AD201" i="17"/>
  <c r="AE201" i="17"/>
  <c r="AF201" i="17"/>
  <c r="D202" i="17"/>
  <c r="E202" i="17"/>
  <c r="F202" i="17"/>
  <c r="G202" i="17"/>
  <c r="H202" i="17"/>
  <c r="I202" i="17"/>
  <c r="J202" i="17"/>
  <c r="K202" i="17"/>
  <c r="L202" i="17"/>
  <c r="M202" i="17"/>
  <c r="N202" i="17"/>
  <c r="O202" i="17"/>
  <c r="P202" i="17"/>
  <c r="Q202" i="17"/>
  <c r="R202" i="17"/>
  <c r="S202" i="17"/>
  <c r="T202" i="17"/>
  <c r="U202" i="17"/>
  <c r="V202" i="17"/>
  <c r="W202" i="17"/>
  <c r="X202" i="17"/>
  <c r="Y202" i="17"/>
  <c r="Z202" i="17"/>
  <c r="AA202" i="17"/>
  <c r="AB202" i="17"/>
  <c r="AC202" i="17"/>
  <c r="AD202" i="17"/>
  <c r="AE202" i="17"/>
  <c r="AF202" i="17"/>
  <c r="D203" i="17"/>
  <c r="E203" i="17"/>
  <c r="F203" i="17"/>
  <c r="G203" i="17"/>
  <c r="H203" i="17"/>
  <c r="I203" i="17"/>
  <c r="J203" i="17"/>
  <c r="K203" i="17"/>
  <c r="L203" i="17"/>
  <c r="M203" i="17"/>
  <c r="N203" i="17"/>
  <c r="O203" i="17"/>
  <c r="P203" i="17"/>
  <c r="Q203" i="17"/>
  <c r="R203" i="17"/>
  <c r="S203" i="17"/>
  <c r="T203" i="17"/>
  <c r="U203" i="17"/>
  <c r="V203" i="17"/>
  <c r="W203" i="17"/>
  <c r="X203" i="17"/>
  <c r="Y203" i="17"/>
  <c r="Z203" i="17"/>
  <c r="AA203" i="17"/>
  <c r="AB203" i="17"/>
  <c r="AC203" i="17"/>
  <c r="AD203" i="17"/>
  <c r="AE203" i="17"/>
  <c r="AF203" i="17"/>
  <c r="D204" i="17"/>
  <c r="E204" i="17"/>
  <c r="F204" i="17"/>
  <c r="G204" i="17"/>
  <c r="H204" i="17"/>
  <c r="I204" i="17"/>
  <c r="J204" i="17"/>
  <c r="K204" i="17"/>
  <c r="L204" i="17"/>
  <c r="M204" i="17"/>
  <c r="N204" i="17"/>
  <c r="O204" i="17"/>
  <c r="P204" i="17"/>
  <c r="Q204" i="17"/>
  <c r="R204" i="17"/>
  <c r="S204" i="17"/>
  <c r="T204" i="17"/>
  <c r="U204" i="17"/>
  <c r="V204" i="17"/>
  <c r="W204" i="17"/>
  <c r="X204" i="17"/>
  <c r="Y204" i="17"/>
  <c r="Z204" i="17"/>
  <c r="AA204" i="17"/>
  <c r="AB204" i="17"/>
  <c r="AC204" i="17"/>
  <c r="AD204" i="17"/>
  <c r="AE204" i="17"/>
  <c r="AF204" i="17"/>
  <c r="D205" i="17"/>
  <c r="E205" i="17"/>
  <c r="F205" i="17"/>
  <c r="G205" i="17"/>
  <c r="H205" i="17"/>
  <c r="I205" i="17"/>
  <c r="J205" i="17"/>
  <c r="K205" i="17"/>
  <c r="L205" i="17"/>
  <c r="M205" i="17"/>
  <c r="N205" i="17"/>
  <c r="O205" i="17"/>
  <c r="P205" i="17"/>
  <c r="Q205" i="17"/>
  <c r="R205" i="17"/>
  <c r="S205" i="17"/>
  <c r="T205" i="17"/>
  <c r="U205" i="17"/>
  <c r="V205" i="17"/>
  <c r="W205" i="17"/>
  <c r="X205" i="17"/>
  <c r="Y205" i="17"/>
  <c r="Z205" i="17"/>
  <c r="AA205" i="17"/>
  <c r="AB205" i="17"/>
  <c r="AC205" i="17"/>
  <c r="AD205" i="17"/>
  <c r="AE205" i="17"/>
  <c r="AF205" i="17"/>
  <c r="D206" i="17"/>
  <c r="E206" i="17"/>
  <c r="F206" i="17"/>
  <c r="G206" i="17"/>
  <c r="H206" i="17"/>
  <c r="I206" i="17"/>
  <c r="J206" i="17"/>
  <c r="K206" i="17"/>
  <c r="L206" i="17"/>
  <c r="M206" i="17"/>
  <c r="N206" i="17"/>
  <c r="O206" i="17"/>
  <c r="P206" i="17"/>
  <c r="Q206" i="17"/>
  <c r="R206" i="17"/>
  <c r="S206" i="17"/>
  <c r="T206" i="17"/>
  <c r="U206" i="17"/>
  <c r="V206" i="17"/>
  <c r="W206" i="17"/>
  <c r="X206" i="17"/>
  <c r="Y206" i="17"/>
  <c r="Z206" i="17"/>
  <c r="AA206" i="17"/>
  <c r="AB206" i="17"/>
  <c r="AC206" i="17"/>
  <c r="AD206" i="17"/>
  <c r="AE206" i="17"/>
  <c r="AF206" i="17"/>
  <c r="D207" i="17"/>
  <c r="E207" i="17"/>
  <c r="F207" i="17"/>
  <c r="G207" i="17"/>
  <c r="H207" i="17"/>
  <c r="I207" i="17"/>
  <c r="J207" i="17"/>
  <c r="K207" i="17"/>
  <c r="L207" i="17"/>
  <c r="M207" i="17"/>
  <c r="N207" i="17"/>
  <c r="O207" i="17"/>
  <c r="P207" i="17"/>
  <c r="Q207" i="17"/>
  <c r="R207" i="17"/>
  <c r="S207" i="17"/>
  <c r="T207" i="17"/>
  <c r="U207" i="17"/>
  <c r="V207" i="17"/>
  <c r="W207" i="17"/>
  <c r="X207" i="17"/>
  <c r="Y207" i="17"/>
  <c r="Z207" i="17"/>
  <c r="AA207" i="17"/>
  <c r="AB207" i="17"/>
  <c r="AC207" i="17"/>
  <c r="AD207" i="17"/>
  <c r="AE207" i="17"/>
  <c r="AF207" i="17"/>
  <c r="D208" i="17"/>
  <c r="E208" i="17"/>
  <c r="F208" i="17"/>
  <c r="G208" i="17"/>
  <c r="H208" i="17"/>
  <c r="I208" i="17"/>
  <c r="J208" i="17"/>
  <c r="K208" i="17"/>
  <c r="L208" i="17"/>
  <c r="M208" i="17"/>
  <c r="N208" i="17"/>
  <c r="O208" i="17"/>
  <c r="P208" i="17"/>
  <c r="Q208" i="17"/>
  <c r="R208" i="17"/>
  <c r="S208" i="17"/>
  <c r="T208" i="17"/>
  <c r="U208" i="17"/>
  <c r="V208" i="17"/>
  <c r="W208" i="17"/>
  <c r="X208" i="17"/>
  <c r="Y208" i="17"/>
  <c r="Z208" i="17"/>
  <c r="AA208" i="17"/>
  <c r="AB208" i="17"/>
  <c r="AC208" i="17"/>
  <c r="AD208" i="17"/>
  <c r="AE208" i="17"/>
  <c r="AF208" i="17"/>
  <c r="D209" i="17"/>
  <c r="E209" i="17"/>
  <c r="F209" i="17"/>
  <c r="G209" i="17"/>
  <c r="H209" i="17"/>
  <c r="I209" i="17"/>
  <c r="J209" i="17"/>
  <c r="K209" i="17"/>
  <c r="L209" i="17"/>
  <c r="M209" i="17"/>
  <c r="N209" i="17"/>
  <c r="O209" i="17"/>
  <c r="P209" i="17"/>
  <c r="Q209" i="17"/>
  <c r="R209" i="17"/>
  <c r="S209" i="17"/>
  <c r="T209" i="17"/>
  <c r="U209" i="17"/>
  <c r="V209" i="17"/>
  <c r="W209" i="17"/>
  <c r="X209" i="17"/>
  <c r="Y209" i="17"/>
  <c r="Z209" i="17"/>
  <c r="AA209" i="17"/>
  <c r="AB209" i="17"/>
  <c r="AC209" i="17"/>
  <c r="AD209" i="17"/>
  <c r="AE209" i="17"/>
  <c r="AF209" i="17"/>
  <c r="D210" i="17"/>
  <c r="E210" i="17"/>
  <c r="F210" i="17"/>
  <c r="G210" i="17"/>
  <c r="H210" i="17"/>
  <c r="I210" i="17"/>
  <c r="J210" i="17"/>
  <c r="K210" i="17"/>
  <c r="L210" i="17"/>
  <c r="M210" i="17"/>
  <c r="N210" i="17"/>
  <c r="O210" i="17"/>
  <c r="P210" i="17"/>
  <c r="Q210" i="17"/>
  <c r="R210" i="17"/>
  <c r="S210" i="17"/>
  <c r="T210" i="17"/>
  <c r="U210" i="17"/>
  <c r="V210" i="17"/>
  <c r="W210" i="17"/>
  <c r="X210" i="17"/>
  <c r="Y210" i="17"/>
  <c r="Z210" i="17"/>
  <c r="AA210" i="17"/>
  <c r="AB210" i="17"/>
  <c r="AC210" i="17"/>
  <c r="AD210" i="17"/>
  <c r="AE210" i="17"/>
  <c r="AF210" i="17"/>
  <c r="D211" i="17"/>
  <c r="E211" i="17"/>
  <c r="F211" i="17"/>
  <c r="G211" i="17"/>
  <c r="H211" i="17"/>
  <c r="I211" i="17"/>
  <c r="J211" i="17"/>
  <c r="K211" i="17"/>
  <c r="L211" i="17"/>
  <c r="M211" i="17"/>
  <c r="N211" i="17"/>
  <c r="O211" i="17"/>
  <c r="P211" i="17"/>
  <c r="Q211" i="17"/>
  <c r="R211" i="17"/>
  <c r="S211" i="17"/>
  <c r="T211" i="17"/>
  <c r="U211" i="17"/>
  <c r="V211" i="17"/>
  <c r="W211" i="17"/>
  <c r="X211" i="17"/>
  <c r="Y211" i="17"/>
  <c r="Z211" i="17"/>
  <c r="AA211" i="17"/>
  <c r="AB211" i="17"/>
  <c r="AC211" i="17"/>
  <c r="AD211" i="17"/>
  <c r="AE211" i="17"/>
  <c r="AF211" i="17"/>
  <c r="D212" i="17"/>
  <c r="E212" i="17"/>
  <c r="F212" i="17"/>
  <c r="G212" i="17"/>
  <c r="H212" i="17"/>
  <c r="I212" i="17"/>
  <c r="J212" i="17"/>
  <c r="K212" i="17"/>
  <c r="L212" i="17"/>
  <c r="M212" i="17"/>
  <c r="N212" i="17"/>
  <c r="O212" i="17"/>
  <c r="P212" i="17"/>
  <c r="Q212" i="17"/>
  <c r="R212" i="17"/>
  <c r="S212" i="17"/>
  <c r="T212" i="17"/>
  <c r="U212" i="17"/>
  <c r="V212" i="17"/>
  <c r="W212" i="17"/>
  <c r="X212" i="17"/>
  <c r="Y212" i="17"/>
  <c r="Z212" i="17"/>
  <c r="AA212" i="17"/>
  <c r="AB212" i="17"/>
  <c r="AC212" i="17"/>
  <c r="AD212" i="17"/>
  <c r="AE212" i="17"/>
  <c r="AF212" i="17"/>
  <c r="D213" i="17"/>
  <c r="E213" i="17"/>
  <c r="F213" i="17"/>
  <c r="G213" i="17"/>
  <c r="H213" i="17"/>
  <c r="I213" i="17"/>
  <c r="J213" i="17"/>
  <c r="K213" i="17"/>
  <c r="L213" i="17"/>
  <c r="M213" i="17"/>
  <c r="N213" i="17"/>
  <c r="O213" i="17"/>
  <c r="P213" i="17"/>
  <c r="Q213" i="17"/>
  <c r="R213" i="17"/>
  <c r="S213" i="17"/>
  <c r="T213" i="17"/>
  <c r="U213" i="17"/>
  <c r="V213" i="17"/>
  <c r="W213" i="17"/>
  <c r="X213" i="17"/>
  <c r="Y213" i="17"/>
  <c r="Z213" i="17"/>
  <c r="AA213" i="17"/>
  <c r="AB213" i="17"/>
  <c r="AC213" i="17"/>
  <c r="AD213" i="17"/>
  <c r="AE213" i="17"/>
  <c r="AF213" i="17"/>
  <c r="D214" i="17"/>
  <c r="E214" i="17"/>
  <c r="F214" i="17"/>
  <c r="G214" i="17"/>
  <c r="H214" i="17"/>
  <c r="I214" i="17"/>
  <c r="J214" i="17"/>
  <c r="K214" i="17"/>
  <c r="L214" i="17"/>
  <c r="M214" i="17"/>
  <c r="N214" i="17"/>
  <c r="O214" i="17"/>
  <c r="P214" i="17"/>
  <c r="Q214" i="17"/>
  <c r="R214" i="17"/>
  <c r="S214" i="17"/>
  <c r="T214" i="17"/>
  <c r="U214" i="17"/>
  <c r="V214" i="17"/>
  <c r="W214" i="17"/>
  <c r="X214" i="17"/>
  <c r="Y214" i="17"/>
  <c r="Z214" i="17"/>
  <c r="AA214" i="17"/>
  <c r="AB214" i="17"/>
  <c r="AC214" i="17"/>
  <c r="AD214" i="17"/>
  <c r="AE214" i="17"/>
  <c r="AF214" i="17"/>
  <c r="D215" i="17"/>
  <c r="E215" i="17"/>
  <c r="F215" i="17"/>
  <c r="G215" i="17"/>
  <c r="H215" i="17"/>
  <c r="I215" i="17"/>
  <c r="J215" i="17"/>
  <c r="K215" i="17"/>
  <c r="L215" i="17"/>
  <c r="M215" i="17"/>
  <c r="N215" i="17"/>
  <c r="O215" i="17"/>
  <c r="P215" i="17"/>
  <c r="Q215" i="17"/>
  <c r="R215" i="17"/>
  <c r="S215" i="17"/>
  <c r="T215" i="17"/>
  <c r="U215" i="17"/>
  <c r="V215" i="17"/>
  <c r="W215" i="17"/>
  <c r="X215" i="17"/>
  <c r="Y215" i="17"/>
  <c r="Z215" i="17"/>
  <c r="AA215" i="17"/>
  <c r="AB215" i="17"/>
  <c r="AC215" i="17"/>
  <c r="AD215" i="17"/>
  <c r="AE215" i="17"/>
  <c r="AF215" i="17"/>
  <c r="D216" i="17"/>
  <c r="E216" i="17"/>
  <c r="F216" i="17"/>
  <c r="G216" i="17"/>
  <c r="H216" i="17"/>
  <c r="I216" i="17"/>
  <c r="J216" i="17"/>
  <c r="K216" i="17"/>
  <c r="L216" i="17"/>
  <c r="M216" i="17"/>
  <c r="N216" i="17"/>
  <c r="O216" i="17"/>
  <c r="P216" i="17"/>
  <c r="Q216" i="17"/>
  <c r="R216" i="17"/>
  <c r="S216" i="17"/>
  <c r="T216" i="17"/>
  <c r="U216" i="17"/>
  <c r="V216" i="17"/>
  <c r="W216" i="17"/>
  <c r="X216" i="17"/>
  <c r="Y216" i="17"/>
  <c r="Z216" i="17"/>
  <c r="AA216" i="17"/>
  <c r="AB216" i="17"/>
  <c r="AC216" i="17"/>
  <c r="AD216" i="17"/>
  <c r="AE216" i="17"/>
  <c r="AF216" i="17"/>
  <c r="D217" i="17"/>
  <c r="E217" i="17"/>
  <c r="F217" i="17"/>
  <c r="G217" i="17"/>
  <c r="H217" i="17"/>
  <c r="I217" i="17"/>
  <c r="J217" i="17"/>
  <c r="K217" i="17"/>
  <c r="L217" i="17"/>
  <c r="M217" i="17"/>
  <c r="N217" i="17"/>
  <c r="O217" i="17"/>
  <c r="P217" i="17"/>
  <c r="Q217" i="17"/>
  <c r="R217" i="17"/>
  <c r="S217" i="17"/>
  <c r="T217" i="17"/>
  <c r="U217" i="17"/>
  <c r="V217" i="17"/>
  <c r="W217" i="17"/>
  <c r="X217" i="17"/>
  <c r="Y217" i="17"/>
  <c r="Z217" i="17"/>
  <c r="AA217" i="17"/>
  <c r="AB217" i="17"/>
  <c r="AC217" i="17"/>
  <c r="AD217" i="17"/>
  <c r="AE217" i="17"/>
  <c r="AF217" i="17"/>
  <c r="D218" i="17"/>
  <c r="E218" i="17"/>
  <c r="F218" i="17"/>
  <c r="G218" i="17"/>
  <c r="H218" i="17"/>
  <c r="I218" i="17"/>
  <c r="J218" i="17"/>
  <c r="K218" i="17"/>
  <c r="L218" i="17"/>
  <c r="M218" i="17"/>
  <c r="N218" i="17"/>
  <c r="O218" i="17"/>
  <c r="P218" i="17"/>
  <c r="Q218" i="17"/>
  <c r="R218" i="17"/>
  <c r="S218" i="17"/>
  <c r="T218" i="17"/>
  <c r="U218" i="17"/>
  <c r="V218" i="17"/>
  <c r="W218" i="17"/>
  <c r="X218" i="17"/>
  <c r="Y218" i="17"/>
  <c r="Z218" i="17"/>
  <c r="AA218" i="17"/>
  <c r="AB218" i="17"/>
  <c r="AC218" i="17"/>
  <c r="AD218" i="17"/>
  <c r="AE218" i="17"/>
  <c r="AF218" i="17"/>
  <c r="D219" i="17"/>
  <c r="E219" i="17"/>
  <c r="F219" i="17"/>
  <c r="G219" i="17"/>
  <c r="H219" i="17"/>
  <c r="I219" i="17"/>
  <c r="J219" i="17"/>
  <c r="K219" i="17"/>
  <c r="L219" i="17"/>
  <c r="M219" i="17"/>
  <c r="N219" i="17"/>
  <c r="O219" i="17"/>
  <c r="P219" i="17"/>
  <c r="Q219" i="17"/>
  <c r="R219" i="17"/>
  <c r="S219" i="17"/>
  <c r="T219" i="17"/>
  <c r="U219" i="17"/>
  <c r="V219" i="17"/>
  <c r="W219" i="17"/>
  <c r="X219" i="17"/>
  <c r="Y219" i="17"/>
  <c r="Z219" i="17"/>
  <c r="AA219" i="17"/>
  <c r="AB219" i="17"/>
  <c r="AC219" i="17"/>
  <c r="AD219" i="17"/>
  <c r="AE219" i="17"/>
  <c r="AF219" i="17"/>
  <c r="D220" i="17"/>
  <c r="E220" i="17"/>
  <c r="F220" i="17"/>
  <c r="G220" i="17"/>
  <c r="H220" i="17"/>
  <c r="I220" i="17"/>
  <c r="J220" i="17"/>
  <c r="K220" i="17"/>
  <c r="L220" i="17"/>
  <c r="M220" i="17"/>
  <c r="N220" i="17"/>
  <c r="O220" i="17"/>
  <c r="P220" i="17"/>
  <c r="Q220" i="17"/>
  <c r="R220" i="17"/>
  <c r="S220" i="17"/>
  <c r="T220" i="17"/>
  <c r="U220" i="17"/>
  <c r="V220" i="17"/>
  <c r="W220" i="17"/>
  <c r="X220" i="17"/>
  <c r="Y220" i="17"/>
  <c r="Z220" i="17"/>
  <c r="AA220" i="17"/>
  <c r="AB220" i="17"/>
  <c r="AC220" i="17"/>
  <c r="AD220" i="17"/>
  <c r="AE220" i="17"/>
  <c r="AF220" i="17"/>
  <c r="D221" i="17"/>
  <c r="E221" i="17"/>
  <c r="F221" i="17"/>
  <c r="G221" i="17"/>
  <c r="H221" i="17"/>
  <c r="I221" i="17"/>
  <c r="J221" i="17"/>
  <c r="K221" i="17"/>
  <c r="L221" i="17"/>
  <c r="M221" i="17"/>
  <c r="N221" i="17"/>
  <c r="O221" i="17"/>
  <c r="P221" i="17"/>
  <c r="Q221" i="17"/>
  <c r="R221" i="17"/>
  <c r="S221" i="17"/>
  <c r="T221" i="17"/>
  <c r="U221" i="17"/>
  <c r="V221" i="17"/>
  <c r="W221" i="17"/>
  <c r="X221" i="17"/>
  <c r="Y221" i="17"/>
  <c r="Z221" i="17"/>
  <c r="AA221" i="17"/>
  <c r="AB221" i="17"/>
  <c r="AC221" i="17"/>
  <c r="AD221" i="17"/>
  <c r="AE221" i="17"/>
  <c r="AF221" i="17"/>
  <c r="D222" i="17"/>
  <c r="E222" i="17"/>
  <c r="F222" i="17"/>
  <c r="G222" i="17"/>
  <c r="H222" i="17"/>
  <c r="I222" i="17"/>
  <c r="J222" i="17"/>
  <c r="K222" i="17"/>
  <c r="L222" i="17"/>
  <c r="M222" i="17"/>
  <c r="N222" i="17"/>
  <c r="O222" i="17"/>
  <c r="P222" i="17"/>
  <c r="Q222" i="17"/>
  <c r="R222" i="17"/>
  <c r="S222" i="17"/>
  <c r="T222" i="17"/>
  <c r="U222" i="17"/>
  <c r="V222" i="17"/>
  <c r="W222" i="17"/>
  <c r="X222" i="17"/>
  <c r="Y222" i="17"/>
  <c r="Z222" i="17"/>
  <c r="AA222" i="17"/>
  <c r="AB222" i="17"/>
  <c r="AC222" i="17"/>
  <c r="AD222" i="17"/>
  <c r="AE222" i="17"/>
  <c r="AF222" i="17"/>
  <c r="D223" i="17"/>
  <c r="E223" i="17"/>
  <c r="F223" i="17"/>
  <c r="G223" i="17"/>
  <c r="H223" i="17"/>
  <c r="I223" i="17"/>
  <c r="J223" i="17"/>
  <c r="K223" i="17"/>
  <c r="L223" i="17"/>
  <c r="M223" i="17"/>
  <c r="N223" i="17"/>
  <c r="O223" i="17"/>
  <c r="P223" i="17"/>
  <c r="Q223" i="17"/>
  <c r="R223" i="17"/>
  <c r="S223" i="17"/>
  <c r="T223" i="17"/>
  <c r="U223" i="17"/>
  <c r="V223" i="17"/>
  <c r="W223" i="17"/>
  <c r="X223" i="17"/>
  <c r="Y223" i="17"/>
  <c r="Z223" i="17"/>
  <c r="AA223" i="17"/>
  <c r="AB223" i="17"/>
  <c r="AC223" i="17"/>
  <c r="AD223" i="17"/>
  <c r="AE223" i="17"/>
  <c r="AF223" i="17"/>
  <c r="D224" i="17"/>
  <c r="E224" i="17"/>
  <c r="F224" i="17"/>
  <c r="G224" i="17"/>
  <c r="H224" i="17"/>
  <c r="I224" i="17"/>
  <c r="J224" i="17"/>
  <c r="K224" i="17"/>
  <c r="L224" i="17"/>
  <c r="M224" i="17"/>
  <c r="N224" i="17"/>
  <c r="O224" i="17"/>
  <c r="P224" i="17"/>
  <c r="Q224" i="17"/>
  <c r="R224" i="17"/>
  <c r="S224" i="17"/>
  <c r="T224" i="17"/>
  <c r="U224" i="17"/>
  <c r="V224" i="17"/>
  <c r="W224" i="17"/>
  <c r="X224" i="17"/>
  <c r="Y224" i="17"/>
  <c r="Z224" i="17"/>
  <c r="AA224" i="17"/>
  <c r="AB224" i="17"/>
  <c r="AC224" i="17"/>
  <c r="AD224" i="17"/>
  <c r="AE224" i="17"/>
  <c r="AF224" i="17"/>
  <c r="D225" i="17"/>
  <c r="E225" i="17"/>
  <c r="F225" i="17"/>
  <c r="G225" i="17"/>
  <c r="H225" i="17"/>
  <c r="I225" i="17"/>
  <c r="J225" i="17"/>
  <c r="K225" i="17"/>
  <c r="L225" i="17"/>
  <c r="M225" i="17"/>
  <c r="N225" i="17"/>
  <c r="O225" i="17"/>
  <c r="P225" i="17"/>
  <c r="Q225" i="17"/>
  <c r="R225" i="17"/>
  <c r="S225" i="17"/>
  <c r="T225" i="17"/>
  <c r="U225" i="17"/>
  <c r="V225" i="17"/>
  <c r="W225" i="17"/>
  <c r="X225" i="17"/>
  <c r="Y225" i="17"/>
  <c r="Z225" i="17"/>
  <c r="AA225" i="17"/>
  <c r="AB225" i="17"/>
  <c r="AC225" i="17"/>
  <c r="AD225" i="17"/>
  <c r="AE225" i="17"/>
  <c r="AF225" i="17"/>
  <c r="D226" i="17"/>
  <c r="E226" i="17"/>
  <c r="F226" i="17"/>
  <c r="G226" i="17"/>
  <c r="H226" i="17"/>
  <c r="I226" i="17"/>
  <c r="J226" i="17"/>
  <c r="K226" i="17"/>
  <c r="L226" i="17"/>
  <c r="M226" i="17"/>
  <c r="N226" i="17"/>
  <c r="O226" i="17"/>
  <c r="P226" i="17"/>
  <c r="Q226" i="17"/>
  <c r="R226" i="17"/>
  <c r="S226" i="17"/>
  <c r="T226" i="17"/>
  <c r="U226" i="17"/>
  <c r="V226" i="17"/>
  <c r="W226" i="17"/>
  <c r="X226" i="17"/>
  <c r="Y226" i="17"/>
  <c r="Z226" i="17"/>
  <c r="AA226" i="17"/>
  <c r="AB226" i="17"/>
  <c r="AC226" i="17"/>
  <c r="AD226" i="17"/>
  <c r="AE226" i="17"/>
  <c r="AF226" i="17"/>
  <c r="D227" i="17"/>
  <c r="E227" i="17"/>
  <c r="F227" i="17"/>
  <c r="G227" i="17"/>
  <c r="H227" i="17"/>
  <c r="I227" i="17"/>
  <c r="J227" i="17"/>
  <c r="K227" i="17"/>
  <c r="L227" i="17"/>
  <c r="M227" i="17"/>
  <c r="N227" i="17"/>
  <c r="O227" i="17"/>
  <c r="P227" i="17"/>
  <c r="Q227" i="17"/>
  <c r="R227" i="17"/>
  <c r="S227" i="17"/>
  <c r="T227" i="17"/>
  <c r="U227" i="17"/>
  <c r="V227" i="17"/>
  <c r="W227" i="17"/>
  <c r="X227" i="17"/>
  <c r="Y227" i="17"/>
  <c r="Z227" i="17"/>
  <c r="AA227" i="17"/>
  <c r="AB227" i="17"/>
  <c r="AC227" i="17"/>
  <c r="AD227" i="17"/>
  <c r="AE227" i="17"/>
  <c r="AF227" i="17"/>
  <c r="D228" i="17"/>
  <c r="E228" i="17"/>
  <c r="F228" i="17"/>
  <c r="G228" i="17"/>
  <c r="H228" i="17"/>
  <c r="I228" i="17"/>
  <c r="J228" i="17"/>
  <c r="K228" i="17"/>
  <c r="L228" i="17"/>
  <c r="M228" i="17"/>
  <c r="N228" i="17"/>
  <c r="O228" i="17"/>
  <c r="P228" i="17"/>
  <c r="Q228" i="17"/>
  <c r="R228" i="17"/>
  <c r="S228" i="17"/>
  <c r="T228" i="17"/>
  <c r="U228" i="17"/>
  <c r="V228" i="17"/>
  <c r="W228" i="17"/>
  <c r="X228" i="17"/>
  <c r="Y228" i="17"/>
  <c r="Z228" i="17"/>
  <c r="AA228" i="17"/>
  <c r="AB228" i="17"/>
  <c r="AC228" i="17"/>
  <c r="AD228" i="17"/>
  <c r="AE228" i="17"/>
  <c r="AF228" i="17"/>
  <c r="D229" i="17"/>
  <c r="E229" i="17"/>
  <c r="F229" i="17"/>
  <c r="G229" i="17"/>
  <c r="H229" i="17"/>
  <c r="I229" i="17"/>
  <c r="J229" i="17"/>
  <c r="K229" i="17"/>
  <c r="L229" i="17"/>
  <c r="M229" i="17"/>
  <c r="N229" i="17"/>
  <c r="O229" i="17"/>
  <c r="P229" i="17"/>
  <c r="Q229" i="17"/>
  <c r="R229" i="17"/>
  <c r="S229" i="17"/>
  <c r="T229" i="17"/>
  <c r="U229" i="17"/>
  <c r="V229" i="17"/>
  <c r="W229" i="17"/>
  <c r="X229" i="17"/>
  <c r="Y229" i="17"/>
  <c r="Z229" i="17"/>
  <c r="AA229" i="17"/>
  <c r="AB229" i="17"/>
  <c r="AC229" i="17"/>
  <c r="AD229" i="17"/>
  <c r="AE229" i="17"/>
  <c r="AF229" i="17"/>
  <c r="D230" i="17"/>
  <c r="E230" i="17"/>
  <c r="F230" i="17"/>
  <c r="G230" i="17"/>
  <c r="H230" i="17"/>
  <c r="I230" i="17"/>
  <c r="J230" i="17"/>
  <c r="K230" i="17"/>
  <c r="L230" i="17"/>
  <c r="M230" i="17"/>
  <c r="N230" i="17"/>
  <c r="O230" i="17"/>
  <c r="P230" i="17"/>
  <c r="Q230" i="17"/>
  <c r="R230" i="17"/>
  <c r="S230" i="17"/>
  <c r="T230" i="17"/>
  <c r="U230" i="17"/>
  <c r="V230" i="17"/>
  <c r="W230" i="17"/>
  <c r="X230" i="17"/>
  <c r="Y230" i="17"/>
  <c r="Z230" i="17"/>
  <c r="AA230" i="17"/>
  <c r="AB230" i="17"/>
  <c r="AC230" i="17"/>
  <c r="AD230" i="17"/>
  <c r="AE230" i="17"/>
  <c r="AF230" i="17"/>
  <c r="D231" i="17"/>
  <c r="E231" i="17"/>
  <c r="F231" i="17"/>
  <c r="G231" i="17"/>
  <c r="H231" i="17"/>
  <c r="I231" i="17"/>
  <c r="J231" i="17"/>
  <c r="K231" i="17"/>
  <c r="L231" i="17"/>
  <c r="M231" i="17"/>
  <c r="N231" i="17"/>
  <c r="O231" i="17"/>
  <c r="P231" i="17"/>
  <c r="Q231" i="17"/>
  <c r="R231" i="17"/>
  <c r="S231" i="17"/>
  <c r="T231" i="17"/>
  <c r="U231" i="17"/>
  <c r="V231" i="17"/>
  <c r="W231" i="17"/>
  <c r="X231" i="17"/>
  <c r="Y231" i="17"/>
  <c r="Z231" i="17"/>
  <c r="AA231" i="17"/>
  <c r="AB231" i="17"/>
  <c r="AC231" i="17"/>
  <c r="AD231" i="17"/>
  <c r="AE231" i="17"/>
  <c r="AF231" i="17"/>
  <c r="D232" i="17"/>
  <c r="E232" i="17"/>
  <c r="F232" i="17"/>
  <c r="G232" i="17"/>
  <c r="H232" i="17"/>
  <c r="I232" i="17"/>
  <c r="J232" i="17"/>
  <c r="K232" i="17"/>
  <c r="L232" i="17"/>
  <c r="M232" i="17"/>
  <c r="N232" i="17"/>
  <c r="O232" i="17"/>
  <c r="P232" i="17"/>
  <c r="Q232" i="17"/>
  <c r="R232" i="17"/>
  <c r="S232" i="17"/>
  <c r="T232" i="17"/>
  <c r="U232" i="17"/>
  <c r="V232" i="17"/>
  <c r="W232" i="17"/>
  <c r="X232" i="17"/>
  <c r="Y232" i="17"/>
  <c r="Z232" i="17"/>
  <c r="AA232" i="17"/>
  <c r="AB232" i="17"/>
  <c r="AC232" i="17"/>
  <c r="AD232" i="17"/>
  <c r="AE232" i="17"/>
  <c r="AF232" i="17"/>
  <c r="D233" i="17"/>
  <c r="E233" i="17"/>
  <c r="F233" i="17"/>
  <c r="G233" i="17"/>
  <c r="H233" i="17"/>
  <c r="I233" i="17"/>
  <c r="J233" i="17"/>
  <c r="K233" i="17"/>
  <c r="L233" i="17"/>
  <c r="M233" i="17"/>
  <c r="N233" i="17"/>
  <c r="O233" i="17"/>
  <c r="P233" i="17"/>
  <c r="Q233" i="17"/>
  <c r="R233" i="17"/>
  <c r="S233" i="17"/>
  <c r="T233" i="17"/>
  <c r="U233" i="17"/>
  <c r="V233" i="17"/>
  <c r="W233" i="17"/>
  <c r="X233" i="17"/>
  <c r="Y233" i="17"/>
  <c r="Z233" i="17"/>
  <c r="AA233" i="17"/>
  <c r="AB233" i="17"/>
  <c r="AC233" i="17"/>
  <c r="AD233" i="17"/>
  <c r="AE233" i="17"/>
  <c r="AF233" i="17"/>
  <c r="D234" i="17"/>
  <c r="E234" i="17"/>
  <c r="F234" i="17"/>
  <c r="G234" i="17"/>
  <c r="H234" i="17"/>
  <c r="I234" i="17"/>
  <c r="J234" i="17"/>
  <c r="K234" i="17"/>
  <c r="L234" i="17"/>
  <c r="M234" i="17"/>
  <c r="N234" i="17"/>
  <c r="O234" i="17"/>
  <c r="P234" i="17"/>
  <c r="Q234" i="17"/>
  <c r="R234" i="17"/>
  <c r="S234" i="17"/>
  <c r="T234" i="17"/>
  <c r="U234" i="17"/>
  <c r="V234" i="17"/>
  <c r="W234" i="17"/>
  <c r="X234" i="17"/>
  <c r="Y234" i="17"/>
  <c r="Z234" i="17"/>
  <c r="AA234" i="17"/>
  <c r="AB234" i="17"/>
  <c r="AC234" i="17"/>
  <c r="AD234" i="17"/>
  <c r="AE234" i="17"/>
  <c r="AF234" i="17"/>
  <c r="D235" i="17"/>
  <c r="E235" i="17"/>
  <c r="F235" i="17"/>
  <c r="G235" i="17"/>
  <c r="H235" i="17"/>
  <c r="I235" i="17"/>
  <c r="J235" i="17"/>
  <c r="K235" i="17"/>
  <c r="L235" i="17"/>
  <c r="M235" i="17"/>
  <c r="N235" i="17"/>
  <c r="O235" i="17"/>
  <c r="P235" i="17"/>
  <c r="Q235" i="17"/>
  <c r="R235" i="17"/>
  <c r="S235" i="17"/>
  <c r="T235" i="17"/>
  <c r="U235" i="17"/>
  <c r="V235" i="17"/>
  <c r="W235" i="17"/>
  <c r="X235" i="17"/>
  <c r="Y235" i="17"/>
  <c r="Z235" i="17"/>
  <c r="AA235" i="17"/>
  <c r="AB235" i="17"/>
  <c r="AC235" i="17"/>
  <c r="AD235" i="17"/>
  <c r="AE235" i="17"/>
  <c r="AF235" i="17"/>
  <c r="D236" i="17"/>
  <c r="E236" i="17"/>
  <c r="F236" i="17"/>
  <c r="G236" i="17"/>
  <c r="H236" i="17"/>
  <c r="I236" i="17"/>
  <c r="J236" i="17"/>
  <c r="K236" i="17"/>
  <c r="L236" i="17"/>
  <c r="M236" i="17"/>
  <c r="N236" i="17"/>
  <c r="O236" i="17"/>
  <c r="P236" i="17"/>
  <c r="Q236" i="17"/>
  <c r="R236" i="17"/>
  <c r="S236" i="17"/>
  <c r="T236" i="17"/>
  <c r="U236" i="17"/>
  <c r="V236" i="17"/>
  <c r="W236" i="17"/>
  <c r="X236" i="17"/>
  <c r="Y236" i="17"/>
  <c r="Z236" i="17"/>
  <c r="AA236" i="17"/>
  <c r="AB236" i="17"/>
  <c r="AC236" i="17"/>
  <c r="AD236" i="17"/>
  <c r="AE236" i="17"/>
  <c r="AF236" i="17"/>
  <c r="D237" i="17"/>
  <c r="E237" i="17"/>
  <c r="F237" i="17"/>
  <c r="G237" i="17"/>
  <c r="H237" i="17"/>
  <c r="I237" i="17"/>
  <c r="J237" i="17"/>
  <c r="K237" i="17"/>
  <c r="L237" i="17"/>
  <c r="M237" i="17"/>
  <c r="N237" i="17"/>
  <c r="O237" i="17"/>
  <c r="P237" i="17"/>
  <c r="Q237" i="17"/>
  <c r="R237" i="17"/>
  <c r="S237" i="17"/>
  <c r="T237" i="17"/>
  <c r="U237" i="17"/>
  <c r="V237" i="17"/>
  <c r="W237" i="17"/>
  <c r="X237" i="17"/>
  <c r="Y237" i="17"/>
  <c r="Z237" i="17"/>
  <c r="AA237" i="17"/>
  <c r="AB237" i="17"/>
  <c r="AC237" i="17"/>
  <c r="AD237" i="17"/>
  <c r="AE237" i="17"/>
  <c r="AF237" i="17"/>
  <c r="D238" i="17"/>
  <c r="E238" i="17"/>
  <c r="F238" i="17"/>
  <c r="G238" i="17"/>
  <c r="H238" i="17"/>
  <c r="I238" i="17"/>
  <c r="J238" i="17"/>
  <c r="K238" i="17"/>
  <c r="L238" i="17"/>
  <c r="M238" i="17"/>
  <c r="N238" i="17"/>
  <c r="O238" i="17"/>
  <c r="P238" i="17"/>
  <c r="Q238" i="17"/>
  <c r="R238" i="17"/>
  <c r="S238" i="17"/>
  <c r="T238" i="17"/>
  <c r="U238" i="17"/>
  <c r="V238" i="17"/>
  <c r="W238" i="17"/>
  <c r="X238" i="17"/>
  <c r="Y238" i="17"/>
  <c r="Z238" i="17"/>
  <c r="AA238" i="17"/>
  <c r="AB238" i="17"/>
  <c r="AC238" i="17"/>
  <c r="AD238" i="17"/>
  <c r="AE238" i="17"/>
  <c r="AF238" i="17"/>
  <c r="D239" i="17"/>
  <c r="E239" i="17"/>
  <c r="F239" i="17"/>
  <c r="G239" i="17"/>
  <c r="H239" i="17"/>
  <c r="I239" i="17"/>
  <c r="J239" i="17"/>
  <c r="K239" i="17"/>
  <c r="L239" i="17"/>
  <c r="M239" i="17"/>
  <c r="N239" i="17"/>
  <c r="O239" i="17"/>
  <c r="P239" i="17"/>
  <c r="Q239" i="17"/>
  <c r="R239" i="17"/>
  <c r="S239" i="17"/>
  <c r="T239" i="17"/>
  <c r="U239" i="17"/>
  <c r="V239" i="17"/>
  <c r="W239" i="17"/>
  <c r="X239" i="17"/>
  <c r="Y239" i="17"/>
  <c r="Z239" i="17"/>
  <c r="AA239" i="17"/>
  <c r="AB239" i="17"/>
  <c r="AC239" i="17"/>
  <c r="AD239" i="17"/>
  <c r="AE239" i="17"/>
  <c r="AF239" i="17"/>
  <c r="D240" i="17"/>
  <c r="E240" i="17"/>
  <c r="F240" i="17"/>
  <c r="G240" i="17"/>
  <c r="H240" i="17"/>
  <c r="I240" i="17"/>
  <c r="J240" i="17"/>
  <c r="K240" i="17"/>
  <c r="L240" i="17"/>
  <c r="M240" i="17"/>
  <c r="N240" i="17"/>
  <c r="O240" i="17"/>
  <c r="P240" i="17"/>
  <c r="Q240" i="17"/>
  <c r="R240" i="17"/>
  <c r="S240" i="17"/>
  <c r="T240" i="17"/>
  <c r="U240" i="17"/>
  <c r="V240" i="17"/>
  <c r="W240" i="17"/>
  <c r="X240" i="17"/>
  <c r="Y240" i="17"/>
  <c r="Z240" i="17"/>
  <c r="AA240" i="17"/>
  <c r="AB240" i="17"/>
  <c r="AC240" i="17"/>
  <c r="AD240" i="17"/>
  <c r="AE240" i="17"/>
  <c r="AF240" i="17"/>
  <c r="D241" i="17"/>
  <c r="E241" i="17"/>
  <c r="F241" i="17"/>
  <c r="G241" i="17"/>
  <c r="H241" i="17"/>
  <c r="I241" i="17"/>
  <c r="J241" i="17"/>
  <c r="K241" i="17"/>
  <c r="L241" i="17"/>
  <c r="M241" i="17"/>
  <c r="N241" i="17"/>
  <c r="O241" i="17"/>
  <c r="P241" i="17"/>
  <c r="Q241" i="17"/>
  <c r="R241" i="17"/>
  <c r="S241" i="17"/>
  <c r="T241" i="17"/>
  <c r="U241" i="17"/>
  <c r="V241" i="17"/>
  <c r="W241" i="17"/>
  <c r="X241" i="17"/>
  <c r="Y241" i="17"/>
  <c r="Z241" i="17"/>
  <c r="AA241" i="17"/>
  <c r="AB241" i="17"/>
  <c r="AC241" i="17"/>
  <c r="AD241" i="17"/>
  <c r="AE241" i="17"/>
  <c r="AF241" i="17"/>
  <c r="D242" i="17"/>
  <c r="E242" i="17"/>
  <c r="F242" i="17"/>
  <c r="G242" i="17"/>
  <c r="H242" i="17"/>
  <c r="I242" i="17"/>
  <c r="J242" i="17"/>
  <c r="K242" i="17"/>
  <c r="L242" i="17"/>
  <c r="M242" i="17"/>
  <c r="N242" i="17"/>
  <c r="O242" i="17"/>
  <c r="P242" i="17"/>
  <c r="Q242" i="17"/>
  <c r="R242" i="17"/>
  <c r="S242" i="17"/>
  <c r="T242" i="17"/>
  <c r="U242" i="17"/>
  <c r="V242" i="17"/>
  <c r="W242" i="17"/>
  <c r="X242" i="17"/>
  <c r="Y242" i="17"/>
  <c r="Z242" i="17"/>
  <c r="AA242" i="17"/>
  <c r="AB242" i="17"/>
  <c r="AC242" i="17"/>
  <c r="AD242" i="17"/>
  <c r="AE242" i="17"/>
  <c r="AF242" i="17"/>
  <c r="D243" i="17"/>
  <c r="E243" i="17"/>
  <c r="F243" i="17"/>
  <c r="G243" i="17"/>
  <c r="H243" i="17"/>
  <c r="I243" i="17"/>
  <c r="J243" i="17"/>
  <c r="K243" i="17"/>
  <c r="L243" i="17"/>
  <c r="M243" i="17"/>
  <c r="N243" i="17"/>
  <c r="O243" i="17"/>
  <c r="P243" i="17"/>
  <c r="Q243" i="17"/>
  <c r="R243" i="17"/>
  <c r="S243" i="17"/>
  <c r="T243" i="17"/>
  <c r="U243" i="17"/>
  <c r="V243" i="17"/>
  <c r="W243" i="17"/>
  <c r="X243" i="17"/>
  <c r="Y243" i="17"/>
  <c r="Z243" i="17"/>
  <c r="AA243" i="17"/>
  <c r="AB243" i="17"/>
  <c r="AC243" i="17"/>
  <c r="AD243" i="17"/>
  <c r="AE243" i="17"/>
  <c r="AF243" i="17"/>
  <c r="D244" i="17"/>
  <c r="E244" i="17"/>
  <c r="F244" i="17"/>
  <c r="G244" i="17"/>
  <c r="H244" i="17"/>
  <c r="I244" i="17"/>
  <c r="J244" i="17"/>
  <c r="K244" i="17"/>
  <c r="L244" i="17"/>
  <c r="M244" i="17"/>
  <c r="N244" i="17"/>
  <c r="O244" i="17"/>
  <c r="P244" i="17"/>
  <c r="Q244" i="17"/>
  <c r="R244" i="17"/>
  <c r="S244" i="17"/>
  <c r="T244" i="17"/>
  <c r="U244" i="17"/>
  <c r="V244" i="17"/>
  <c r="W244" i="17"/>
  <c r="X244" i="17"/>
  <c r="Y244" i="17"/>
  <c r="Z244" i="17"/>
  <c r="AA244" i="17"/>
  <c r="AB244" i="17"/>
  <c r="AC244" i="17"/>
  <c r="AD244" i="17"/>
  <c r="AE244" i="17"/>
  <c r="AF244" i="17"/>
  <c r="D245" i="17"/>
  <c r="E245" i="17"/>
  <c r="F245" i="17"/>
  <c r="G245" i="17"/>
  <c r="H245" i="17"/>
  <c r="I245" i="17"/>
  <c r="J245" i="17"/>
  <c r="K245" i="17"/>
  <c r="L245" i="17"/>
  <c r="M245" i="17"/>
  <c r="N245" i="17"/>
  <c r="O245" i="17"/>
  <c r="P245" i="17"/>
  <c r="Q245" i="17"/>
  <c r="R245" i="17"/>
  <c r="S245" i="17"/>
  <c r="T245" i="17"/>
  <c r="U245" i="17"/>
  <c r="V245" i="17"/>
  <c r="W245" i="17"/>
  <c r="X245" i="17"/>
  <c r="Y245" i="17"/>
  <c r="Z245" i="17"/>
  <c r="AA245" i="17"/>
  <c r="AB245" i="17"/>
  <c r="AC245" i="17"/>
  <c r="AD245" i="17"/>
  <c r="AE245" i="17"/>
  <c r="AF245" i="17"/>
  <c r="D246" i="17"/>
  <c r="E246" i="17"/>
  <c r="F246" i="17"/>
  <c r="G246" i="17"/>
  <c r="H246" i="17"/>
  <c r="I246" i="17"/>
  <c r="J246" i="17"/>
  <c r="K246" i="17"/>
  <c r="L246" i="17"/>
  <c r="M246" i="17"/>
  <c r="N246" i="17"/>
  <c r="O246" i="17"/>
  <c r="P246" i="17"/>
  <c r="Q246" i="17"/>
  <c r="R246" i="17"/>
  <c r="S246" i="17"/>
  <c r="T246" i="17"/>
  <c r="U246" i="17"/>
  <c r="V246" i="17"/>
  <c r="W246" i="17"/>
  <c r="X246" i="17"/>
  <c r="Y246" i="17"/>
  <c r="Z246" i="17"/>
  <c r="AA246" i="17"/>
  <c r="AB246" i="17"/>
  <c r="AC246" i="17"/>
  <c r="AD246" i="17"/>
  <c r="AE246" i="17"/>
  <c r="AF246" i="17"/>
  <c r="D247" i="17"/>
  <c r="E247" i="17"/>
  <c r="F247" i="17"/>
  <c r="G247" i="17"/>
  <c r="H247" i="17"/>
  <c r="I247" i="17"/>
  <c r="J247" i="17"/>
  <c r="K247" i="17"/>
  <c r="L247" i="17"/>
  <c r="M247" i="17"/>
  <c r="N247" i="17"/>
  <c r="O247" i="17"/>
  <c r="P247" i="17"/>
  <c r="Q247" i="17"/>
  <c r="R247" i="17"/>
  <c r="S247" i="17"/>
  <c r="T247" i="17"/>
  <c r="U247" i="17"/>
  <c r="V247" i="17"/>
  <c r="W247" i="17"/>
  <c r="X247" i="17"/>
  <c r="Y247" i="17"/>
  <c r="Z247" i="17"/>
  <c r="AA247" i="17"/>
  <c r="AB247" i="17"/>
  <c r="AC247" i="17"/>
  <c r="AD247" i="17"/>
  <c r="AE247" i="17"/>
  <c r="AF247" i="17"/>
  <c r="D248" i="17"/>
  <c r="E248" i="17"/>
  <c r="F248" i="17"/>
  <c r="G248" i="17"/>
  <c r="H248" i="17"/>
  <c r="I248" i="17"/>
  <c r="J248" i="17"/>
  <c r="K248" i="17"/>
  <c r="L248" i="17"/>
  <c r="M248" i="17"/>
  <c r="N248" i="17"/>
  <c r="O248" i="17"/>
  <c r="P248" i="17"/>
  <c r="Q248" i="17"/>
  <c r="R248" i="17"/>
  <c r="S248" i="17"/>
  <c r="T248" i="17"/>
  <c r="U248" i="17"/>
  <c r="V248" i="17"/>
  <c r="W248" i="17"/>
  <c r="X248" i="17"/>
  <c r="Y248" i="17"/>
  <c r="Z248" i="17"/>
  <c r="AA248" i="17"/>
  <c r="AB248" i="17"/>
  <c r="AC248" i="17"/>
  <c r="AD248" i="17"/>
  <c r="AE248" i="17"/>
  <c r="AF248" i="17"/>
  <c r="D249" i="17"/>
  <c r="E249" i="17"/>
  <c r="F249" i="17"/>
  <c r="G249" i="17"/>
  <c r="H249" i="17"/>
  <c r="I249" i="17"/>
  <c r="J249" i="17"/>
  <c r="K249" i="17"/>
  <c r="L249" i="17"/>
  <c r="M249" i="17"/>
  <c r="N249" i="17"/>
  <c r="O249" i="17"/>
  <c r="P249" i="17"/>
  <c r="Q249" i="17"/>
  <c r="R249" i="17"/>
  <c r="S249" i="17"/>
  <c r="T249" i="17"/>
  <c r="U249" i="17"/>
  <c r="V249" i="17"/>
  <c r="W249" i="17"/>
  <c r="X249" i="17"/>
  <c r="Y249" i="17"/>
  <c r="Z249" i="17"/>
  <c r="AA249" i="17"/>
  <c r="AB249" i="17"/>
  <c r="AC249" i="17"/>
  <c r="AD249" i="17"/>
  <c r="AE249" i="17"/>
  <c r="AF249" i="17"/>
  <c r="D250" i="17"/>
  <c r="E250" i="17"/>
  <c r="F250" i="17"/>
  <c r="G250" i="17"/>
  <c r="H250" i="17"/>
  <c r="I250" i="17"/>
  <c r="J250" i="17"/>
  <c r="K250" i="17"/>
  <c r="L250" i="17"/>
  <c r="M250" i="17"/>
  <c r="N250" i="17"/>
  <c r="O250" i="17"/>
  <c r="P250" i="17"/>
  <c r="Q250" i="17"/>
  <c r="R250" i="17"/>
  <c r="S250" i="17"/>
  <c r="T250" i="17"/>
  <c r="U250" i="17"/>
  <c r="V250" i="17"/>
  <c r="W250" i="17"/>
  <c r="X250" i="17"/>
  <c r="Y250" i="17"/>
  <c r="Z250" i="17"/>
  <c r="AA250" i="17"/>
  <c r="AB250" i="17"/>
  <c r="AC250" i="17"/>
  <c r="AD250" i="17"/>
  <c r="AE250" i="17"/>
  <c r="AF250" i="17"/>
  <c r="D251" i="17"/>
  <c r="E251" i="17"/>
  <c r="F251" i="17"/>
  <c r="G251" i="17"/>
  <c r="H251" i="17"/>
  <c r="I251" i="17"/>
  <c r="J251" i="17"/>
  <c r="K251" i="17"/>
  <c r="L251" i="17"/>
  <c r="M251" i="17"/>
  <c r="N251" i="17"/>
  <c r="O251" i="17"/>
  <c r="P251" i="17"/>
  <c r="Q251" i="17"/>
  <c r="R251" i="17"/>
  <c r="S251" i="17"/>
  <c r="T251" i="17"/>
  <c r="U251" i="17"/>
  <c r="V251" i="17"/>
  <c r="W251" i="17"/>
  <c r="X251" i="17"/>
  <c r="Y251" i="17"/>
  <c r="Z251" i="17"/>
  <c r="AA251" i="17"/>
  <c r="AB251" i="17"/>
  <c r="AC251" i="17"/>
  <c r="AD251" i="17"/>
  <c r="AE251" i="17"/>
  <c r="AF251" i="17"/>
  <c r="D252" i="17"/>
  <c r="E252" i="17"/>
  <c r="F252" i="17"/>
  <c r="G252" i="17"/>
  <c r="H252" i="17"/>
  <c r="I252" i="17"/>
  <c r="J252" i="17"/>
  <c r="K252" i="17"/>
  <c r="L252" i="17"/>
  <c r="M252" i="17"/>
  <c r="N252" i="17"/>
  <c r="O252" i="17"/>
  <c r="P252" i="17"/>
  <c r="Q252" i="17"/>
  <c r="R252" i="17"/>
  <c r="S252" i="17"/>
  <c r="T252" i="17"/>
  <c r="U252" i="17"/>
  <c r="V252" i="17"/>
  <c r="W252" i="17"/>
  <c r="X252" i="17"/>
  <c r="Y252" i="17"/>
  <c r="Z252" i="17"/>
  <c r="AA252" i="17"/>
  <c r="AB252" i="17"/>
  <c r="AC252" i="17"/>
  <c r="AD252" i="17"/>
  <c r="AE252" i="17"/>
  <c r="AF252" i="17"/>
  <c r="D253" i="17"/>
  <c r="E253" i="17"/>
  <c r="F253" i="17"/>
  <c r="G253" i="17"/>
  <c r="H253" i="17"/>
  <c r="I253" i="17"/>
  <c r="J253" i="17"/>
  <c r="K253" i="17"/>
  <c r="L253" i="17"/>
  <c r="M253" i="17"/>
  <c r="N253" i="17"/>
  <c r="O253" i="17"/>
  <c r="P253" i="17"/>
  <c r="Q253" i="17"/>
  <c r="R253" i="17"/>
  <c r="S253" i="17"/>
  <c r="T253" i="17"/>
  <c r="U253" i="17"/>
  <c r="V253" i="17"/>
  <c r="W253" i="17"/>
  <c r="X253" i="17"/>
  <c r="Y253" i="17"/>
  <c r="Z253" i="17"/>
  <c r="AA253" i="17"/>
  <c r="AB253" i="17"/>
  <c r="AC253" i="17"/>
  <c r="AD253" i="17"/>
  <c r="AE253" i="17"/>
  <c r="AF253" i="17"/>
  <c r="D254" i="17"/>
  <c r="E254" i="17"/>
  <c r="F254" i="17"/>
  <c r="G254" i="17"/>
  <c r="H254" i="17"/>
  <c r="I254" i="17"/>
  <c r="J254" i="17"/>
  <c r="K254" i="17"/>
  <c r="L254" i="17"/>
  <c r="M254" i="17"/>
  <c r="N254" i="17"/>
  <c r="O254" i="17"/>
  <c r="P254" i="17"/>
  <c r="Q254" i="17"/>
  <c r="R254" i="17"/>
  <c r="S254" i="17"/>
  <c r="T254" i="17"/>
  <c r="U254" i="17"/>
  <c r="V254" i="17"/>
  <c r="W254" i="17"/>
  <c r="X254" i="17"/>
  <c r="Y254" i="17"/>
  <c r="Z254" i="17"/>
  <c r="AA254" i="17"/>
  <c r="AB254" i="17"/>
  <c r="AC254" i="17"/>
  <c r="AD254" i="17"/>
  <c r="AE254" i="17"/>
  <c r="AF254" i="17"/>
  <c r="D255" i="17"/>
  <c r="E255" i="17"/>
  <c r="F255" i="17"/>
  <c r="G255" i="17"/>
  <c r="H255" i="17"/>
  <c r="I255" i="17"/>
  <c r="J255" i="17"/>
  <c r="K255" i="17"/>
  <c r="L255" i="17"/>
  <c r="M255" i="17"/>
  <c r="N255" i="17"/>
  <c r="O255" i="17"/>
  <c r="P255" i="17"/>
  <c r="Q255" i="17"/>
  <c r="R255" i="17"/>
  <c r="S255" i="17"/>
  <c r="T255" i="17"/>
  <c r="U255" i="17"/>
  <c r="V255" i="17"/>
  <c r="W255" i="17"/>
  <c r="X255" i="17"/>
  <c r="Y255" i="17"/>
  <c r="Z255" i="17"/>
  <c r="AA255" i="17"/>
  <c r="AB255" i="17"/>
  <c r="AC255" i="17"/>
  <c r="AD255" i="17"/>
  <c r="AE255" i="17"/>
  <c r="AF255" i="17"/>
  <c r="D256" i="17"/>
  <c r="E256" i="17"/>
  <c r="F256" i="17"/>
  <c r="G256" i="17"/>
  <c r="H256" i="17"/>
  <c r="I256" i="17"/>
  <c r="J256" i="17"/>
  <c r="K256" i="17"/>
  <c r="L256" i="17"/>
  <c r="M256" i="17"/>
  <c r="N256" i="17"/>
  <c r="O256" i="17"/>
  <c r="P256" i="17"/>
  <c r="Q256" i="17"/>
  <c r="R256" i="17"/>
  <c r="S256" i="17"/>
  <c r="T256" i="17"/>
  <c r="U256" i="17"/>
  <c r="V256" i="17"/>
  <c r="W256" i="17"/>
  <c r="X256" i="17"/>
  <c r="Y256" i="17"/>
  <c r="Z256" i="17"/>
  <c r="AA256" i="17"/>
  <c r="AB256" i="17"/>
  <c r="AC256" i="17"/>
  <c r="AD256" i="17"/>
  <c r="AE256" i="17"/>
  <c r="AF256" i="17"/>
  <c r="D257" i="17"/>
  <c r="E257" i="17"/>
  <c r="F257" i="17"/>
  <c r="G257" i="17"/>
  <c r="H257" i="17"/>
  <c r="I257" i="17"/>
  <c r="J257" i="17"/>
  <c r="K257" i="17"/>
  <c r="L257" i="17"/>
  <c r="M257" i="17"/>
  <c r="N257" i="17"/>
  <c r="O257" i="17"/>
  <c r="P257" i="17"/>
  <c r="Q257" i="17"/>
  <c r="R257" i="17"/>
  <c r="S257" i="17"/>
  <c r="T257" i="17"/>
  <c r="U257" i="17"/>
  <c r="V257" i="17"/>
  <c r="W257" i="17"/>
  <c r="X257" i="17"/>
  <c r="Y257" i="17"/>
  <c r="Z257" i="17"/>
  <c r="AA257" i="17"/>
  <c r="AB257" i="17"/>
  <c r="AC257" i="17"/>
  <c r="AD257" i="17"/>
  <c r="AE257" i="17"/>
  <c r="AF257" i="17"/>
  <c r="D258" i="17"/>
  <c r="E258" i="17"/>
  <c r="F258" i="17"/>
  <c r="G258" i="17"/>
  <c r="H258" i="17"/>
  <c r="I258" i="17"/>
  <c r="J258" i="17"/>
  <c r="K258" i="17"/>
  <c r="L258" i="17"/>
  <c r="M258" i="17"/>
  <c r="N258" i="17"/>
  <c r="O258" i="17"/>
  <c r="P258" i="17"/>
  <c r="Q258" i="17"/>
  <c r="R258" i="17"/>
  <c r="S258" i="17"/>
  <c r="T258" i="17"/>
  <c r="U258" i="17"/>
  <c r="V258" i="17"/>
  <c r="W258" i="17"/>
  <c r="X258" i="17"/>
  <c r="Y258" i="17"/>
  <c r="Z258" i="17"/>
  <c r="AA258" i="17"/>
  <c r="AB258" i="17"/>
  <c r="AC258" i="17"/>
  <c r="AD258" i="17"/>
  <c r="AE258" i="17"/>
  <c r="AF258" i="17"/>
  <c r="D259" i="17"/>
  <c r="E259" i="17"/>
  <c r="F259" i="17"/>
  <c r="G259" i="17"/>
  <c r="H259" i="17"/>
  <c r="I259" i="17"/>
  <c r="J259" i="17"/>
  <c r="K259" i="17"/>
  <c r="L259" i="17"/>
  <c r="M259" i="17"/>
  <c r="N259" i="17"/>
  <c r="O259" i="17"/>
  <c r="P259" i="17"/>
  <c r="Q259" i="17"/>
  <c r="R259" i="17"/>
  <c r="S259" i="17"/>
  <c r="T259" i="17"/>
  <c r="U259" i="17"/>
  <c r="V259" i="17"/>
  <c r="W259" i="17"/>
  <c r="X259" i="17"/>
  <c r="Y259" i="17"/>
  <c r="Z259" i="17"/>
  <c r="AA259" i="17"/>
  <c r="AB259" i="17"/>
  <c r="AC259" i="17"/>
  <c r="AD259" i="17"/>
  <c r="AE259" i="17"/>
  <c r="AF259" i="17"/>
  <c r="D260" i="17"/>
  <c r="E260" i="17"/>
  <c r="F260" i="17"/>
  <c r="G260" i="17"/>
  <c r="H260" i="17"/>
  <c r="I260" i="17"/>
  <c r="J260" i="17"/>
  <c r="K260" i="17"/>
  <c r="L260" i="17"/>
  <c r="M260" i="17"/>
  <c r="N260" i="17"/>
  <c r="O260" i="17"/>
  <c r="P260" i="17"/>
  <c r="Q260" i="17"/>
  <c r="R260" i="17"/>
  <c r="S260" i="17"/>
  <c r="T260" i="17"/>
  <c r="U260" i="17"/>
  <c r="V260" i="17"/>
  <c r="W260" i="17"/>
  <c r="X260" i="17"/>
  <c r="Y260" i="17"/>
  <c r="Z260" i="17"/>
  <c r="AA260" i="17"/>
  <c r="AB260" i="17"/>
  <c r="AC260" i="17"/>
  <c r="AD260" i="17"/>
  <c r="AE260" i="17"/>
  <c r="AF260" i="17"/>
  <c r="D261" i="17"/>
  <c r="E261" i="17"/>
  <c r="F261" i="17"/>
  <c r="G261" i="17"/>
  <c r="H261" i="17"/>
  <c r="I261" i="17"/>
  <c r="J261" i="17"/>
  <c r="K261" i="17"/>
  <c r="L261" i="17"/>
  <c r="M261" i="17"/>
  <c r="N261" i="17"/>
  <c r="O261" i="17"/>
  <c r="P261" i="17"/>
  <c r="Q261" i="17"/>
  <c r="R261" i="17"/>
  <c r="S261" i="17"/>
  <c r="T261" i="17"/>
  <c r="U261" i="17"/>
  <c r="V261" i="17"/>
  <c r="W261" i="17"/>
  <c r="X261" i="17"/>
  <c r="Y261" i="17"/>
  <c r="Z261" i="17"/>
  <c r="AA261" i="17"/>
  <c r="AB261" i="17"/>
  <c r="AC261" i="17"/>
  <c r="AD261" i="17"/>
  <c r="AE261" i="17"/>
  <c r="AF261" i="17"/>
  <c r="D262" i="17"/>
  <c r="E262" i="17"/>
  <c r="F262" i="17"/>
  <c r="G262" i="17"/>
  <c r="H262" i="17"/>
  <c r="I262" i="17"/>
  <c r="J262" i="17"/>
  <c r="K262" i="17"/>
  <c r="L262" i="17"/>
  <c r="M262" i="17"/>
  <c r="N262" i="17"/>
  <c r="O262" i="17"/>
  <c r="P262" i="17"/>
  <c r="Q262" i="17"/>
  <c r="R262" i="17"/>
  <c r="S262" i="17"/>
  <c r="T262" i="17"/>
  <c r="U262" i="17"/>
  <c r="V262" i="17"/>
  <c r="W262" i="17"/>
  <c r="X262" i="17"/>
  <c r="Y262" i="17"/>
  <c r="Z262" i="17"/>
  <c r="AA262" i="17"/>
  <c r="AB262" i="17"/>
  <c r="AC262" i="17"/>
  <c r="AD262" i="17"/>
  <c r="AE262" i="17"/>
  <c r="AF262" i="17"/>
  <c r="D263" i="17"/>
  <c r="E263" i="17"/>
  <c r="F263" i="17"/>
  <c r="G263" i="17"/>
  <c r="H263" i="17"/>
  <c r="I263" i="17"/>
  <c r="J263" i="17"/>
  <c r="K263" i="17"/>
  <c r="L263" i="17"/>
  <c r="M263" i="17"/>
  <c r="N263" i="17"/>
  <c r="O263" i="17"/>
  <c r="P263" i="17"/>
  <c r="Q263" i="17"/>
  <c r="R263" i="17"/>
  <c r="S263" i="17"/>
  <c r="T263" i="17"/>
  <c r="U263" i="17"/>
  <c r="V263" i="17"/>
  <c r="W263" i="17"/>
  <c r="X263" i="17"/>
  <c r="Y263" i="17"/>
  <c r="Z263" i="17"/>
  <c r="AA263" i="17"/>
  <c r="AB263" i="17"/>
  <c r="AC263" i="17"/>
  <c r="AD263" i="17"/>
  <c r="AE263" i="17"/>
  <c r="AF263" i="17"/>
  <c r="D264" i="17"/>
  <c r="E264" i="17"/>
  <c r="F264" i="17"/>
  <c r="G264" i="17"/>
  <c r="H264" i="17"/>
  <c r="I264" i="17"/>
  <c r="J264" i="17"/>
  <c r="K264" i="17"/>
  <c r="L264" i="17"/>
  <c r="M264" i="17"/>
  <c r="N264" i="17"/>
  <c r="O264" i="17"/>
  <c r="P264" i="17"/>
  <c r="Q264" i="17"/>
  <c r="R264" i="17"/>
  <c r="S264" i="17"/>
  <c r="T264" i="17"/>
  <c r="U264" i="17"/>
  <c r="V264" i="17"/>
  <c r="W264" i="17"/>
  <c r="X264" i="17"/>
  <c r="Y264" i="17"/>
  <c r="Z264" i="17"/>
  <c r="AA264" i="17"/>
  <c r="AB264" i="17"/>
  <c r="AC264" i="17"/>
  <c r="AD264" i="17"/>
  <c r="AE264" i="17"/>
  <c r="AF264" i="17"/>
  <c r="D265" i="17"/>
  <c r="E265" i="17"/>
  <c r="F265" i="17"/>
  <c r="G265" i="17"/>
  <c r="H265" i="17"/>
  <c r="I265" i="17"/>
  <c r="J265" i="17"/>
  <c r="K265" i="17"/>
  <c r="L265" i="17"/>
  <c r="M265" i="17"/>
  <c r="N265" i="17"/>
  <c r="O265" i="17"/>
  <c r="P265" i="17"/>
  <c r="Q265" i="17"/>
  <c r="R265" i="17"/>
  <c r="S265" i="17"/>
  <c r="T265" i="17"/>
  <c r="U265" i="17"/>
  <c r="V265" i="17"/>
  <c r="W265" i="17"/>
  <c r="X265" i="17"/>
  <c r="Y265" i="17"/>
  <c r="Z265" i="17"/>
  <c r="AA265" i="17"/>
  <c r="AB265" i="17"/>
  <c r="AC265" i="17"/>
  <c r="AD265" i="17"/>
  <c r="AE265" i="17"/>
  <c r="AF265" i="17"/>
  <c r="D266" i="17"/>
  <c r="E266" i="17"/>
  <c r="F266" i="17"/>
  <c r="G266" i="17"/>
  <c r="H266" i="17"/>
  <c r="I266" i="17"/>
  <c r="J266" i="17"/>
  <c r="K266" i="17"/>
  <c r="L266" i="17"/>
  <c r="M266" i="17"/>
  <c r="N266" i="17"/>
  <c r="O266" i="17"/>
  <c r="P266" i="17"/>
  <c r="Q266" i="17"/>
  <c r="R266" i="17"/>
  <c r="S266" i="17"/>
  <c r="T266" i="17"/>
  <c r="U266" i="17"/>
  <c r="V266" i="17"/>
  <c r="W266" i="17"/>
  <c r="X266" i="17"/>
  <c r="Y266" i="17"/>
  <c r="Z266" i="17"/>
  <c r="AA266" i="17"/>
  <c r="AB266" i="17"/>
  <c r="AC266" i="17"/>
  <c r="AD266" i="17"/>
  <c r="AE266" i="17"/>
  <c r="AF266" i="17"/>
  <c r="D267" i="17"/>
  <c r="E267" i="17"/>
  <c r="F267" i="17"/>
  <c r="G267" i="17"/>
  <c r="H267" i="17"/>
  <c r="I267" i="17"/>
  <c r="J267" i="17"/>
  <c r="K267" i="17"/>
  <c r="L267" i="17"/>
  <c r="M267" i="17"/>
  <c r="N267" i="17"/>
  <c r="O267" i="17"/>
  <c r="P267" i="17"/>
  <c r="Q267" i="17"/>
  <c r="R267" i="17"/>
  <c r="S267" i="17"/>
  <c r="T267" i="17"/>
  <c r="U267" i="17"/>
  <c r="V267" i="17"/>
  <c r="W267" i="17"/>
  <c r="X267" i="17"/>
  <c r="Y267" i="17"/>
  <c r="Z267" i="17"/>
  <c r="AA267" i="17"/>
  <c r="AB267" i="17"/>
  <c r="AC267" i="17"/>
  <c r="AD267" i="17"/>
  <c r="AE267" i="17"/>
  <c r="AF267" i="17"/>
  <c r="D268" i="17"/>
  <c r="E268" i="17"/>
  <c r="F268" i="17"/>
  <c r="G268" i="17"/>
  <c r="H268" i="17"/>
  <c r="I268" i="17"/>
  <c r="J268" i="17"/>
  <c r="K268" i="17"/>
  <c r="L268" i="17"/>
  <c r="M268" i="17"/>
  <c r="N268" i="17"/>
  <c r="O268" i="17"/>
  <c r="P268" i="17"/>
  <c r="Q268" i="17"/>
  <c r="R268" i="17"/>
  <c r="S268" i="17"/>
  <c r="T268" i="17"/>
  <c r="U268" i="17"/>
  <c r="V268" i="17"/>
  <c r="W268" i="17"/>
  <c r="X268" i="17"/>
  <c r="Y268" i="17"/>
  <c r="Z268" i="17"/>
  <c r="AA268" i="17"/>
  <c r="AB268" i="17"/>
  <c r="AC268" i="17"/>
  <c r="AD268" i="17"/>
  <c r="AE268" i="17"/>
  <c r="AF268" i="17"/>
  <c r="D269" i="17"/>
  <c r="E269" i="17"/>
  <c r="F269" i="17"/>
  <c r="G269" i="17"/>
  <c r="H269" i="17"/>
  <c r="I269" i="17"/>
  <c r="J269" i="17"/>
  <c r="K269" i="17"/>
  <c r="L269" i="17"/>
  <c r="M269" i="17"/>
  <c r="N269" i="17"/>
  <c r="O269" i="17"/>
  <c r="P269" i="17"/>
  <c r="Q269" i="17"/>
  <c r="R269" i="17"/>
  <c r="S269" i="17"/>
  <c r="T269" i="17"/>
  <c r="U269" i="17"/>
  <c r="V269" i="17"/>
  <c r="W269" i="17"/>
  <c r="X269" i="17"/>
  <c r="Y269" i="17"/>
  <c r="Z269" i="17"/>
  <c r="AA269" i="17"/>
  <c r="AB269" i="17"/>
  <c r="AC269" i="17"/>
  <c r="AD269" i="17"/>
  <c r="AE269" i="17"/>
  <c r="AF269" i="17"/>
  <c r="D270" i="17"/>
  <c r="E270" i="17"/>
  <c r="F270" i="17"/>
  <c r="G270" i="17"/>
  <c r="H270" i="17"/>
  <c r="I270" i="17"/>
  <c r="J270" i="17"/>
  <c r="K270" i="17"/>
  <c r="L270" i="17"/>
  <c r="M270" i="17"/>
  <c r="N270" i="17"/>
  <c r="O270" i="17"/>
  <c r="P270" i="17"/>
  <c r="Q270" i="17"/>
  <c r="R270" i="17"/>
  <c r="S270" i="17"/>
  <c r="T270" i="17"/>
  <c r="U270" i="17"/>
  <c r="V270" i="17"/>
  <c r="W270" i="17"/>
  <c r="X270" i="17"/>
  <c r="Y270" i="17"/>
  <c r="Z270" i="17"/>
  <c r="AA270" i="17"/>
  <c r="AB270" i="17"/>
  <c r="AC270" i="17"/>
  <c r="AD270" i="17"/>
  <c r="AE270" i="17"/>
  <c r="AF270" i="17"/>
  <c r="D271" i="17"/>
  <c r="E271" i="17"/>
  <c r="F271" i="17"/>
  <c r="G271" i="17"/>
  <c r="H271" i="17"/>
  <c r="I271" i="17"/>
  <c r="J271" i="17"/>
  <c r="K271" i="17"/>
  <c r="L271" i="17"/>
  <c r="M271" i="17"/>
  <c r="N271" i="17"/>
  <c r="O271" i="17"/>
  <c r="P271" i="17"/>
  <c r="Q271" i="17"/>
  <c r="R271" i="17"/>
  <c r="S271" i="17"/>
  <c r="T271" i="17"/>
  <c r="U271" i="17"/>
  <c r="V271" i="17"/>
  <c r="W271" i="17"/>
  <c r="X271" i="17"/>
  <c r="Y271" i="17"/>
  <c r="Z271" i="17"/>
  <c r="AA271" i="17"/>
  <c r="AB271" i="17"/>
  <c r="AC271" i="17"/>
  <c r="AD271" i="17"/>
  <c r="AE271" i="17"/>
  <c r="AF271" i="17"/>
  <c r="D272" i="17"/>
  <c r="E272" i="17"/>
  <c r="F272" i="17"/>
  <c r="G272" i="17"/>
  <c r="H272" i="17"/>
  <c r="I272" i="17"/>
  <c r="J272" i="17"/>
  <c r="K272" i="17"/>
  <c r="L272" i="17"/>
  <c r="M272" i="17"/>
  <c r="N272" i="17"/>
  <c r="O272" i="17"/>
  <c r="P272" i="17"/>
  <c r="Q272" i="17"/>
  <c r="R272" i="17"/>
  <c r="S272" i="17"/>
  <c r="T272" i="17"/>
  <c r="U272" i="17"/>
  <c r="V272" i="17"/>
  <c r="W272" i="17"/>
  <c r="X272" i="17"/>
  <c r="Y272" i="17"/>
  <c r="Z272" i="17"/>
  <c r="AA272" i="17"/>
  <c r="AB272" i="17"/>
  <c r="AC272" i="17"/>
  <c r="AD272" i="17"/>
  <c r="AE272" i="17"/>
  <c r="AF272" i="17"/>
  <c r="D273" i="17"/>
  <c r="E273" i="17"/>
  <c r="F273" i="17"/>
  <c r="G273" i="17"/>
  <c r="H273" i="17"/>
  <c r="I273" i="17"/>
  <c r="J273" i="17"/>
  <c r="K273" i="17"/>
  <c r="L273" i="17"/>
  <c r="M273" i="17"/>
  <c r="N273" i="17"/>
  <c r="O273" i="17"/>
  <c r="P273" i="17"/>
  <c r="Q273" i="17"/>
  <c r="R273" i="17"/>
  <c r="S273" i="17"/>
  <c r="T273" i="17"/>
  <c r="U273" i="17"/>
  <c r="V273" i="17"/>
  <c r="W273" i="17"/>
  <c r="X273" i="17"/>
  <c r="Y273" i="17"/>
  <c r="Z273" i="17"/>
  <c r="AA273" i="17"/>
  <c r="AB273" i="17"/>
  <c r="AC273" i="17"/>
  <c r="AD273" i="17"/>
  <c r="AE273" i="17"/>
  <c r="AF273" i="17"/>
  <c r="D274" i="17"/>
  <c r="E274" i="17"/>
  <c r="F274" i="17"/>
  <c r="G274" i="17"/>
  <c r="H274" i="17"/>
  <c r="I274" i="17"/>
  <c r="J274" i="17"/>
  <c r="K274" i="17"/>
  <c r="L274" i="17"/>
  <c r="M274" i="17"/>
  <c r="N274" i="17"/>
  <c r="O274" i="17"/>
  <c r="P274" i="17"/>
  <c r="Q274" i="17"/>
  <c r="R274" i="17"/>
  <c r="S274" i="17"/>
  <c r="T274" i="17"/>
  <c r="U274" i="17"/>
  <c r="V274" i="17"/>
  <c r="W274" i="17"/>
  <c r="X274" i="17"/>
  <c r="Y274" i="17"/>
  <c r="Z274" i="17"/>
  <c r="AA274" i="17"/>
  <c r="AB274" i="17"/>
  <c r="AC274" i="17"/>
  <c r="AD274" i="17"/>
  <c r="AE274" i="17"/>
  <c r="AF274" i="17"/>
  <c r="D275" i="17"/>
  <c r="E275" i="17"/>
  <c r="F275" i="17"/>
  <c r="G275" i="17"/>
  <c r="H275" i="17"/>
  <c r="I275" i="17"/>
  <c r="J275" i="17"/>
  <c r="K275" i="17"/>
  <c r="L275" i="17"/>
  <c r="M275" i="17"/>
  <c r="N275" i="17"/>
  <c r="O275" i="17"/>
  <c r="P275" i="17"/>
  <c r="Q275" i="17"/>
  <c r="R275" i="17"/>
  <c r="S275" i="17"/>
  <c r="T275" i="17"/>
  <c r="U275" i="17"/>
  <c r="V275" i="17"/>
  <c r="W275" i="17"/>
  <c r="X275" i="17"/>
  <c r="Y275" i="17"/>
  <c r="Z275" i="17"/>
  <c r="AA275" i="17"/>
  <c r="AB275" i="17"/>
  <c r="AC275" i="17"/>
  <c r="AD275" i="17"/>
  <c r="AE275" i="17"/>
  <c r="AF275" i="17"/>
  <c r="D276" i="17"/>
  <c r="E276" i="17"/>
  <c r="F276" i="17"/>
  <c r="G276" i="17"/>
  <c r="H276" i="17"/>
  <c r="I276" i="17"/>
  <c r="J276" i="17"/>
  <c r="K276" i="17"/>
  <c r="L276" i="17"/>
  <c r="M276" i="17"/>
  <c r="N276" i="17"/>
  <c r="O276" i="17"/>
  <c r="P276" i="17"/>
  <c r="Q276" i="17"/>
  <c r="R276" i="17"/>
  <c r="S276" i="17"/>
  <c r="T276" i="17"/>
  <c r="U276" i="17"/>
  <c r="V276" i="17"/>
  <c r="W276" i="17"/>
  <c r="X276" i="17"/>
  <c r="Y276" i="17"/>
  <c r="Z276" i="17"/>
  <c r="AA276" i="17"/>
  <c r="AB276" i="17"/>
  <c r="AC276" i="17"/>
  <c r="AD276" i="17"/>
  <c r="AE276" i="17"/>
  <c r="AF276" i="17"/>
  <c r="D277" i="17"/>
  <c r="E277" i="17"/>
  <c r="F277" i="17"/>
  <c r="G277" i="17"/>
  <c r="H277" i="17"/>
  <c r="I277" i="17"/>
  <c r="J277" i="17"/>
  <c r="K277" i="17"/>
  <c r="L277" i="17"/>
  <c r="M277" i="17"/>
  <c r="N277" i="17"/>
  <c r="O277" i="17"/>
  <c r="P277" i="17"/>
  <c r="Q277" i="17"/>
  <c r="R277" i="17"/>
  <c r="S277" i="17"/>
  <c r="T277" i="17"/>
  <c r="U277" i="17"/>
  <c r="V277" i="17"/>
  <c r="W277" i="17"/>
  <c r="X277" i="17"/>
  <c r="Y277" i="17"/>
  <c r="Z277" i="17"/>
  <c r="AA277" i="17"/>
  <c r="AB277" i="17"/>
  <c r="AC277" i="17"/>
  <c r="AD277" i="17"/>
  <c r="AE277" i="17"/>
  <c r="AF277" i="17"/>
  <c r="D278" i="17"/>
  <c r="E278" i="17"/>
  <c r="F278" i="17"/>
  <c r="G278" i="17"/>
  <c r="H278" i="17"/>
  <c r="I278" i="17"/>
  <c r="J278" i="17"/>
  <c r="K278" i="17"/>
  <c r="L278" i="17"/>
  <c r="M278" i="17"/>
  <c r="N278" i="17"/>
  <c r="O278" i="17"/>
  <c r="P278" i="17"/>
  <c r="Q278" i="17"/>
  <c r="R278" i="17"/>
  <c r="S278" i="17"/>
  <c r="T278" i="17"/>
  <c r="U278" i="17"/>
  <c r="V278" i="17"/>
  <c r="W278" i="17"/>
  <c r="X278" i="17"/>
  <c r="Y278" i="17"/>
  <c r="Z278" i="17"/>
  <c r="AA278" i="17"/>
  <c r="AB278" i="17"/>
  <c r="AC278" i="17"/>
  <c r="AD278" i="17"/>
  <c r="AE278" i="17"/>
  <c r="AF278" i="17"/>
  <c r="D279" i="17"/>
  <c r="E279" i="17"/>
  <c r="F279" i="17"/>
  <c r="G279" i="17"/>
  <c r="H279" i="17"/>
  <c r="I279" i="17"/>
  <c r="J279" i="17"/>
  <c r="K279" i="17"/>
  <c r="L279" i="17"/>
  <c r="M279" i="17"/>
  <c r="N279" i="17"/>
  <c r="O279" i="17"/>
  <c r="P279" i="17"/>
  <c r="Q279" i="17"/>
  <c r="R279" i="17"/>
  <c r="S279" i="17"/>
  <c r="T279" i="17"/>
  <c r="U279" i="17"/>
  <c r="V279" i="17"/>
  <c r="W279" i="17"/>
  <c r="X279" i="17"/>
  <c r="Y279" i="17"/>
  <c r="Z279" i="17"/>
  <c r="AA279" i="17"/>
  <c r="AB279" i="17"/>
  <c r="AC279" i="17"/>
  <c r="AD279" i="17"/>
  <c r="AE279" i="17"/>
  <c r="AF279" i="17"/>
  <c r="D280" i="17"/>
  <c r="E280" i="17"/>
  <c r="F280" i="17"/>
  <c r="G280" i="17"/>
  <c r="H280" i="17"/>
  <c r="I280" i="17"/>
  <c r="J280" i="17"/>
  <c r="K280" i="17"/>
  <c r="L280" i="17"/>
  <c r="M280" i="17"/>
  <c r="N280" i="17"/>
  <c r="O280" i="17"/>
  <c r="P280" i="17"/>
  <c r="Q280" i="17"/>
  <c r="R280" i="17"/>
  <c r="S280" i="17"/>
  <c r="T280" i="17"/>
  <c r="U280" i="17"/>
  <c r="V280" i="17"/>
  <c r="W280" i="17"/>
  <c r="X280" i="17"/>
  <c r="Y280" i="17"/>
  <c r="Z280" i="17"/>
  <c r="AA280" i="17"/>
  <c r="AB280" i="17"/>
  <c r="AC280" i="17"/>
  <c r="AD280" i="17"/>
  <c r="AE280" i="17"/>
  <c r="AF280" i="17"/>
  <c r="D281" i="17"/>
  <c r="E281" i="17"/>
  <c r="F281" i="17"/>
  <c r="G281" i="17"/>
  <c r="H281" i="17"/>
  <c r="I281" i="17"/>
  <c r="J281" i="17"/>
  <c r="K281" i="17"/>
  <c r="L281" i="17"/>
  <c r="M281" i="17"/>
  <c r="N281" i="17"/>
  <c r="O281" i="17"/>
  <c r="P281" i="17"/>
  <c r="Q281" i="17"/>
  <c r="R281" i="17"/>
  <c r="S281" i="17"/>
  <c r="T281" i="17"/>
  <c r="U281" i="17"/>
  <c r="V281" i="17"/>
  <c r="W281" i="17"/>
  <c r="X281" i="17"/>
  <c r="Y281" i="17"/>
  <c r="Z281" i="17"/>
  <c r="AA281" i="17"/>
  <c r="AB281" i="17"/>
  <c r="AC281" i="17"/>
  <c r="AD281" i="17"/>
  <c r="AE281" i="17"/>
  <c r="AF281" i="17"/>
  <c r="D282" i="17"/>
  <c r="E282" i="17"/>
  <c r="F282" i="17"/>
  <c r="G282" i="17"/>
  <c r="H282" i="17"/>
  <c r="I282" i="17"/>
  <c r="J282" i="17"/>
  <c r="K282" i="17"/>
  <c r="L282" i="17"/>
  <c r="M282" i="17"/>
  <c r="N282" i="17"/>
  <c r="O282" i="17"/>
  <c r="P282" i="17"/>
  <c r="Q282" i="17"/>
  <c r="R282" i="17"/>
  <c r="S282" i="17"/>
  <c r="T282" i="17"/>
  <c r="U282" i="17"/>
  <c r="V282" i="17"/>
  <c r="W282" i="17"/>
  <c r="X282" i="17"/>
  <c r="Y282" i="17"/>
  <c r="Z282" i="17"/>
  <c r="AA282" i="17"/>
  <c r="AB282" i="17"/>
  <c r="AC282" i="17"/>
  <c r="AD282" i="17"/>
  <c r="AE282" i="17"/>
  <c r="AF282" i="17"/>
  <c r="D283" i="17"/>
  <c r="E283" i="17"/>
  <c r="F283" i="17"/>
  <c r="G283" i="17"/>
  <c r="H283" i="17"/>
  <c r="I283" i="17"/>
  <c r="J283" i="17"/>
  <c r="K283" i="17"/>
  <c r="L283" i="17"/>
  <c r="M283" i="17"/>
  <c r="N283" i="17"/>
  <c r="O283" i="17"/>
  <c r="P283" i="17"/>
  <c r="Q283" i="17"/>
  <c r="R283" i="17"/>
  <c r="S283" i="17"/>
  <c r="T283" i="17"/>
  <c r="U283" i="17"/>
  <c r="V283" i="17"/>
  <c r="W283" i="17"/>
  <c r="X283" i="17"/>
  <c r="Y283" i="17"/>
  <c r="Z283" i="17"/>
  <c r="AA283" i="17"/>
  <c r="AB283" i="17"/>
  <c r="AC283" i="17"/>
  <c r="AD283" i="17"/>
  <c r="AE283" i="17"/>
  <c r="AF283" i="17"/>
  <c r="D284" i="17"/>
  <c r="E284" i="17"/>
  <c r="F284" i="17"/>
  <c r="G284" i="17"/>
  <c r="H284" i="17"/>
  <c r="I284" i="17"/>
  <c r="J284" i="17"/>
  <c r="K284" i="17"/>
  <c r="L284" i="17"/>
  <c r="M284" i="17"/>
  <c r="N284" i="17"/>
  <c r="O284" i="17"/>
  <c r="P284" i="17"/>
  <c r="Q284" i="17"/>
  <c r="R284" i="17"/>
  <c r="S284" i="17"/>
  <c r="T284" i="17"/>
  <c r="U284" i="17"/>
  <c r="V284" i="17"/>
  <c r="W284" i="17"/>
  <c r="X284" i="17"/>
  <c r="Y284" i="17"/>
  <c r="Z284" i="17"/>
  <c r="AA284" i="17"/>
  <c r="AB284" i="17"/>
  <c r="AC284" i="17"/>
  <c r="AD284" i="17"/>
  <c r="AE284" i="17"/>
  <c r="AF284" i="17"/>
  <c r="D285" i="17"/>
  <c r="E285" i="17"/>
  <c r="F285" i="17"/>
  <c r="G285" i="17"/>
  <c r="H285" i="17"/>
  <c r="I285" i="17"/>
  <c r="J285" i="17"/>
  <c r="K285" i="17"/>
  <c r="L285" i="17"/>
  <c r="M285" i="17"/>
  <c r="N285" i="17"/>
  <c r="O285" i="17"/>
  <c r="P285" i="17"/>
  <c r="Q285" i="17"/>
  <c r="R285" i="17"/>
  <c r="S285" i="17"/>
  <c r="T285" i="17"/>
  <c r="U285" i="17"/>
  <c r="V285" i="17"/>
  <c r="W285" i="17"/>
  <c r="X285" i="17"/>
  <c r="Y285" i="17"/>
  <c r="Z285" i="17"/>
  <c r="AA285" i="17"/>
  <c r="AB285" i="17"/>
  <c r="AC285" i="17"/>
  <c r="AD285" i="17"/>
  <c r="AE285" i="17"/>
  <c r="AF285" i="17"/>
  <c r="D286" i="17"/>
  <c r="E286" i="17"/>
  <c r="F286" i="17"/>
  <c r="G286" i="17"/>
  <c r="H286" i="17"/>
  <c r="I286" i="17"/>
  <c r="J286" i="17"/>
  <c r="K286" i="17"/>
  <c r="L286" i="17"/>
  <c r="M286" i="17"/>
  <c r="N286" i="17"/>
  <c r="O286" i="17"/>
  <c r="P286" i="17"/>
  <c r="Q286" i="17"/>
  <c r="R286" i="17"/>
  <c r="S286" i="17"/>
  <c r="T286" i="17"/>
  <c r="U286" i="17"/>
  <c r="V286" i="17"/>
  <c r="W286" i="17"/>
  <c r="X286" i="17"/>
  <c r="Y286" i="17"/>
  <c r="Z286" i="17"/>
  <c r="AA286" i="17"/>
  <c r="AB286" i="17"/>
  <c r="AC286" i="17"/>
  <c r="AD286" i="17"/>
  <c r="AE286" i="17"/>
  <c r="AF286" i="17"/>
  <c r="D287" i="17"/>
  <c r="E287" i="17"/>
  <c r="F287" i="17"/>
  <c r="G287" i="17"/>
  <c r="H287" i="17"/>
  <c r="I287" i="17"/>
  <c r="J287" i="17"/>
  <c r="K287" i="17"/>
  <c r="L287" i="17"/>
  <c r="M287" i="17"/>
  <c r="N287" i="17"/>
  <c r="O287" i="17"/>
  <c r="P287" i="17"/>
  <c r="Q287" i="17"/>
  <c r="R287" i="17"/>
  <c r="S287" i="17"/>
  <c r="T287" i="17"/>
  <c r="U287" i="17"/>
  <c r="V287" i="17"/>
  <c r="W287" i="17"/>
  <c r="X287" i="17"/>
  <c r="Y287" i="17"/>
  <c r="Z287" i="17"/>
  <c r="AA287" i="17"/>
  <c r="AB287" i="17"/>
  <c r="AC287" i="17"/>
  <c r="AD287" i="17"/>
  <c r="AE287" i="17"/>
  <c r="AF287" i="17"/>
  <c r="D288" i="17"/>
  <c r="E288" i="17"/>
  <c r="F288" i="17"/>
  <c r="G288" i="17"/>
  <c r="H288" i="17"/>
  <c r="I288" i="17"/>
  <c r="J288" i="17"/>
  <c r="K288" i="17"/>
  <c r="L288" i="17"/>
  <c r="M288" i="17"/>
  <c r="N288" i="17"/>
  <c r="O288" i="17"/>
  <c r="P288" i="17"/>
  <c r="Q288" i="17"/>
  <c r="R288" i="17"/>
  <c r="S288" i="17"/>
  <c r="T288" i="17"/>
  <c r="U288" i="17"/>
  <c r="V288" i="17"/>
  <c r="W288" i="17"/>
  <c r="X288" i="17"/>
  <c r="Y288" i="17"/>
  <c r="Z288" i="17"/>
  <c r="AA288" i="17"/>
  <c r="AB288" i="17"/>
  <c r="AC288" i="17"/>
  <c r="AD288" i="17"/>
  <c r="AE288" i="17"/>
  <c r="AF288" i="17"/>
  <c r="D289" i="17"/>
  <c r="E289" i="17"/>
  <c r="F289" i="17"/>
  <c r="G289" i="17"/>
  <c r="H289" i="17"/>
  <c r="I289" i="17"/>
  <c r="J289" i="17"/>
  <c r="K289" i="17"/>
  <c r="L289" i="17"/>
  <c r="M289" i="17"/>
  <c r="N289" i="17"/>
  <c r="O289" i="17"/>
  <c r="P289" i="17"/>
  <c r="Q289" i="17"/>
  <c r="R289" i="17"/>
  <c r="S289" i="17"/>
  <c r="T289" i="17"/>
  <c r="U289" i="17"/>
  <c r="V289" i="17"/>
  <c r="W289" i="17"/>
  <c r="X289" i="17"/>
  <c r="Y289" i="17"/>
  <c r="Z289" i="17"/>
  <c r="AA289" i="17"/>
  <c r="AB289" i="17"/>
  <c r="AC289" i="17"/>
  <c r="AD289" i="17"/>
  <c r="AE289" i="17"/>
  <c r="AF289" i="17"/>
  <c r="D290" i="17"/>
  <c r="E290" i="17"/>
  <c r="F290" i="17"/>
  <c r="G290" i="17"/>
  <c r="H290" i="17"/>
  <c r="I290" i="17"/>
  <c r="J290" i="17"/>
  <c r="K290" i="17"/>
  <c r="L290" i="17"/>
  <c r="M290" i="17"/>
  <c r="N290" i="17"/>
  <c r="O290" i="17"/>
  <c r="P290" i="17"/>
  <c r="Q290" i="17"/>
  <c r="R290" i="17"/>
  <c r="S290" i="17"/>
  <c r="T290" i="17"/>
  <c r="U290" i="17"/>
  <c r="V290" i="17"/>
  <c r="W290" i="17"/>
  <c r="X290" i="17"/>
  <c r="Y290" i="17"/>
  <c r="Z290" i="17"/>
  <c r="AA290" i="17"/>
  <c r="AB290" i="17"/>
  <c r="AC290" i="17"/>
  <c r="AD290" i="17"/>
  <c r="AE290" i="17"/>
  <c r="AF290" i="17"/>
  <c r="D291" i="17"/>
  <c r="E291" i="17"/>
  <c r="F291" i="17"/>
  <c r="G291" i="17"/>
  <c r="H291" i="17"/>
  <c r="I291" i="17"/>
  <c r="J291" i="17"/>
  <c r="K291" i="17"/>
  <c r="L291" i="17"/>
  <c r="M291" i="17"/>
  <c r="N291" i="17"/>
  <c r="O291" i="17"/>
  <c r="P291" i="17"/>
  <c r="Q291" i="17"/>
  <c r="R291" i="17"/>
  <c r="S291" i="17"/>
  <c r="T291" i="17"/>
  <c r="U291" i="17"/>
  <c r="V291" i="17"/>
  <c r="W291" i="17"/>
  <c r="X291" i="17"/>
  <c r="Y291" i="17"/>
  <c r="Z291" i="17"/>
  <c r="AA291" i="17"/>
  <c r="AB291" i="17"/>
  <c r="AC291" i="17"/>
  <c r="AD291" i="17"/>
  <c r="AE291" i="17"/>
  <c r="AF291" i="17"/>
  <c r="D292" i="17"/>
  <c r="E292" i="17"/>
  <c r="F292" i="17"/>
  <c r="G292" i="17"/>
  <c r="H292" i="17"/>
  <c r="I292" i="17"/>
  <c r="J292" i="17"/>
  <c r="K292" i="17"/>
  <c r="L292" i="17"/>
  <c r="M292" i="17"/>
  <c r="N292" i="17"/>
  <c r="O292" i="17"/>
  <c r="P292" i="17"/>
  <c r="Q292" i="17"/>
  <c r="R292" i="17"/>
  <c r="S292" i="17"/>
  <c r="T292" i="17"/>
  <c r="U292" i="17"/>
  <c r="V292" i="17"/>
  <c r="W292" i="17"/>
  <c r="X292" i="17"/>
  <c r="Y292" i="17"/>
  <c r="Z292" i="17"/>
  <c r="AA292" i="17"/>
  <c r="AB292" i="17"/>
  <c r="AC292" i="17"/>
  <c r="AD292" i="17"/>
  <c r="AE292" i="17"/>
  <c r="AF292" i="17"/>
  <c r="D293" i="17"/>
  <c r="E293" i="17"/>
  <c r="F293" i="17"/>
  <c r="G293" i="17"/>
  <c r="H293" i="17"/>
  <c r="I293" i="17"/>
  <c r="J293" i="17"/>
  <c r="K293" i="17"/>
  <c r="L293" i="17"/>
  <c r="M293" i="17"/>
  <c r="N293" i="17"/>
  <c r="O293" i="17"/>
  <c r="P293" i="17"/>
  <c r="Q293" i="17"/>
  <c r="R293" i="17"/>
  <c r="S293" i="17"/>
  <c r="T293" i="17"/>
  <c r="U293" i="17"/>
  <c r="V293" i="17"/>
  <c r="W293" i="17"/>
  <c r="X293" i="17"/>
  <c r="Y293" i="17"/>
  <c r="Z293" i="17"/>
  <c r="AA293" i="17"/>
  <c r="AB293" i="17"/>
  <c r="AC293" i="17"/>
  <c r="AD293" i="17"/>
  <c r="AE293" i="17"/>
  <c r="AF293" i="17"/>
  <c r="D294" i="17"/>
  <c r="E294" i="17"/>
  <c r="F294" i="17"/>
  <c r="G294" i="17"/>
  <c r="H294" i="17"/>
  <c r="I294" i="17"/>
  <c r="J294" i="17"/>
  <c r="K294" i="17"/>
  <c r="L294" i="17"/>
  <c r="M294" i="17"/>
  <c r="N294" i="17"/>
  <c r="O294" i="17"/>
  <c r="P294" i="17"/>
  <c r="Q294" i="17"/>
  <c r="R294" i="17"/>
  <c r="S294" i="17"/>
  <c r="T294" i="17"/>
  <c r="U294" i="17"/>
  <c r="V294" i="17"/>
  <c r="W294" i="17"/>
  <c r="X294" i="17"/>
  <c r="Y294" i="17"/>
  <c r="Z294" i="17"/>
  <c r="AA294" i="17"/>
  <c r="AB294" i="17"/>
  <c r="AC294" i="17"/>
  <c r="AD294" i="17"/>
  <c r="AE294" i="17"/>
  <c r="AF294" i="17"/>
  <c r="D295" i="17"/>
  <c r="E295" i="17"/>
  <c r="F295" i="17"/>
  <c r="G295" i="17"/>
  <c r="H295" i="17"/>
  <c r="I295" i="17"/>
  <c r="J295" i="17"/>
  <c r="K295" i="17"/>
  <c r="L295" i="17"/>
  <c r="M295" i="17"/>
  <c r="N295" i="17"/>
  <c r="O295" i="17"/>
  <c r="P295" i="17"/>
  <c r="Q295" i="17"/>
  <c r="R295" i="17"/>
  <c r="S295" i="17"/>
  <c r="T295" i="17"/>
  <c r="U295" i="17"/>
  <c r="V295" i="17"/>
  <c r="W295" i="17"/>
  <c r="X295" i="17"/>
  <c r="Y295" i="17"/>
  <c r="Z295" i="17"/>
  <c r="AA295" i="17"/>
  <c r="AB295" i="17"/>
  <c r="AC295" i="17"/>
  <c r="AD295" i="17"/>
  <c r="AE295" i="17"/>
  <c r="AF295" i="17"/>
  <c r="D296" i="17"/>
  <c r="E296" i="17"/>
  <c r="F296" i="17"/>
  <c r="G296" i="17"/>
  <c r="H296" i="17"/>
  <c r="I296" i="17"/>
  <c r="J296" i="17"/>
  <c r="K296" i="17"/>
  <c r="L296" i="17"/>
  <c r="M296" i="17"/>
  <c r="N296" i="17"/>
  <c r="O296" i="17"/>
  <c r="P296" i="17"/>
  <c r="Q296" i="17"/>
  <c r="R296" i="17"/>
  <c r="S296" i="17"/>
  <c r="T296" i="17"/>
  <c r="U296" i="17"/>
  <c r="V296" i="17"/>
  <c r="W296" i="17"/>
  <c r="X296" i="17"/>
  <c r="Y296" i="17"/>
  <c r="Z296" i="17"/>
  <c r="AA296" i="17"/>
  <c r="AB296" i="17"/>
  <c r="AC296" i="17"/>
  <c r="AD296" i="17"/>
  <c r="AE296" i="17"/>
  <c r="AF296" i="17"/>
  <c r="D297" i="17"/>
  <c r="E297" i="17"/>
  <c r="F297" i="17"/>
  <c r="G297" i="17"/>
  <c r="H297" i="17"/>
  <c r="I297" i="17"/>
  <c r="J297" i="17"/>
  <c r="K297" i="17"/>
  <c r="L297" i="17"/>
  <c r="M297" i="17"/>
  <c r="N297" i="17"/>
  <c r="O297" i="17"/>
  <c r="P297" i="17"/>
  <c r="Q297" i="17"/>
  <c r="R297" i="17"/>
  <c r="S297" i="17"/>
  <c r="T297" i="17"/>
  <c r="U297" i="17"/>
  <c r="V297" i="17"/>
  <c r="W297" i="17"/>
  <c r="X297" i="17"/>
  <c r="Y297" i="17"/>
  <c r="Z297" i="17"/>
  <c r="AA297" i="17"/>
  <c r="AB297" i="17"/>
  <c r="AC297" i="17"/>
  <c r="AD297" i="17"/>
  <c r="AE297" i="17"/>
  <c r="AF297" i="17"/>
  <c r="D298" i="17"/>
  <c r="E298" i="17"/>
  <c r="F298" i="17"/>
  <c r="G298" i="17"/>
  <c r="H298" i="17"/>
  <c r="I298" i="17"/>
  <c r="J298" i="17"/>
  <c r="K298" i="17"/>
  <c r="L298" i="17"/>
  <c r="M298" i="17"/>
  <c r="N298" i="17"/>
  <c r="O298" i="17"/>
  <c r="P298" i="17"/>
  <c r="Q298" i="17"/>
  <c r="R298" i="17"/>
  <c r="S298" i="17"/>
  <c r="T298" i="17"/>
  <c r="U298" i="17"/>
  <c r="V298" i="17"/>
  <c r="W298" i="17"/>
  <c r="X298" i="17"/>
  <c r="Y298" i="17"/>
  <c r="Z298" i="17"/>
  <c r="AA298" i="17"/>
  <c r="AB298" i="17"/>
  <c r="AC298" i="17"/>
  <c r="AD298" i="17"/>
  <c r="AE298" i="17"/>
  <c r="AF298" i="17"/>
  <c r="D299" i="17"/>
  <c r="E299" i="17"/>
  <c r="F299" i="17"/>
  <c r="G299" i="17"/>
  <c r="H299" i="17"/>
  <c r="I299" i="17"/>
  <c r="J299" i="17"/>
  <c r="K299" i="17"/>
  <c r="L299" i="17"/>
  <c r="M299" i="17"/>
  <c r="N299" i="17"/>
  <c r="O299" i="17"/>
  <c r="P299" i="17"/>
  <c r="Q299" i="17"/>
  <c r="R299" i="17"/>
  <c r="S299" i="17"/>
  <c r="T299" i="17"/>
  <c r="U299" i="17"/>
  <c r="V299" i="17"/>
  <c r="W299" i="17"/>
  <c r="X299" i="17"/>
  <c r="Y299" i="17"/>
  <c r="Z299" i="17"/>
  <c r="AA299" i="17"/>
  <c r="AB299" i="17"/>
  <c r="AC299" i="17"/>
  <c r="AD299" i="17"/>
  <c r="AE299" i="17"/>
  <c r="AF299" i="17"/>
  <c r="D300" i="17"/>
  <c r="E300" i="17"/>
  <c r="F300" i="17"/>
  <c r="G300" i="17"/>
  <c r="H300" i="17"/>
  <c r="I300" i="17"/>
  <c r="J300" i="17"/>
  <c r="K300" i="17"/>
  <c r="L300" i="17"/>
  <c r="M300" i="17"/>
  <c r="N300" i="17"/>
  <c r="O300" i="17"/>
  <c r="P300" i="17"/>
  <c r="Q300" i="17"/>
  <c r="R300" i="17"/>
  <c r="S300" i="17"/>
  <c r="T300" i="17"/>
  <c r="U300" i="17"/>
  <c r="V300" i="17"/>
  <c r="W300" i="17"/>
  <c r="X300" i="17"/>
  <c r="Y300" i="17"/>
  <c r="Z300" i="17"/>
  <c r="AA300" i="17"/>
  <c r="AB300" i="17"/>
  <c r="AC300" i="17"/>
  <c r="AD300" i="17"/>
  <c r="AE300" i="17"/>
  <c r="AF300" i="17"/>
  <c r="D301" i="17"/>
  <c r="E301" i="17"/>
  <c r="F301" i="17"/>
  <c r="G301" i="17"/>
  <c r="H301" i="17"/>
  <c r="I301" i="17"/>
  <c r="J301" i="17"/>
  <c r="K301" i="17"/>
  <c r="L301" i="17"/>
  <c r="M301" i="17"/>
  <c r="N301" i="17"/>
  <c r="O301" i="17"/>
  <c r="P301" i="17"/>
  <c r="Q301" i="17"/>
  <c r="R301" i="17"/>
  <c r="S301" i="17"/>
  <c r="T301" i="17"/>
  <c r="U301" i="17"/>
  <c r="V301" i="17"/>
  <c r="W301" i="17"/>
  <c r="X301" i="17"/>
  <c r="Y301" i="17"/>
  <c r="Z301" i="17"/>
  <c r="AA301" i="17"/>
  <c r="AB301" i="17"/>
  <c r="AC301" i="17"/>
  <c r="AD301" i="17"/>
  <c r="AE301" i="17"/>
  <c r="AF301" i="17"/>
  <c r="D302" i="17"/>
  <c r="E302" i="17"/>
  <c r="F302" i="17"/>
  <c r="G302" i="17"/>
  <c r="H302" i="17"/>
  <c r="I302" i="17"/>
  <c r="J302" i="17"/>
  <c r="K302" i="17"/>
  <c r="L302" i="17"/>
  <c r="M302" i="17"/>
  <c r="N302" i="17"/>
  <c r="O302" i="17"/>
  <c r="P302" i="17"/>
  <c r="Q302" i="17"/>
  <c r="R302" i="17"/>
  <c r="S302" i="17"/>
  <c r="T302" i="17"/>
  <c r="U302" i="17"/>
  <c r="V302" i="17"/>
  <c r="W302" i="17"/>
  <c r="X302" i="17"/>
  <c r="Y302" i="17"/>
  <c r="Z302" i="17"/>
  <c r="AA302" i="17"/>
  <c r="AB302" i="17"/>
  <c r="AC302" i="17"/>
  <c r="AD302" i="17"/>
  <c r="AE302" i="17"/>
  <c r="AF302" i="17"/>
  <c r="D303" i="17"/>
  <c r="E303" i="17"/>
  <c r="F303" i="17"/>
  <c r="G303" i="17"/>
  <c r="H303" i="17"/>
  <c r="I303" i="17"/>
  <c r="J303" i="17"/>
  <c r="K303" i="17"/>
  <c r="L303" i="17"/>
  <c r="M303" i="17"/>
  <c r="N303" i="17"/>
  <c r="O303" i="17"/>
  <c r="P303" i="17"/>
  <c r="Q303" i="17"/>
  <c r="R303" i="17"/>
  <c r="S303" i="17"/>
  <c r="T303" i="17"/>
  <c r="U303" i="17"/>
  <c r="V303" i="17"/>
  <c r="W303" i="17"/>
  <c r="X303" i="17"/>
  <c r="Y303" i="17"/>
  <c r="Z303" i="17"/>
  <c r="AA303" i="17"/>
  <c r="AB303" i="17"/>
  <c r="AC303" i="17"/>
  <c r="AD303" i="17"/>
  <c r="AE303" i="17"/>
  <c r="AF303" i="17"/>
  <c r="D304" i="17"/>
  <c r="E304" i="17"/>
  <c r="F304" i="17"/>
  <c r="G304" i="17"/>
  <c r="H304" i="17"/>
  <c r="I304" i="17"/>
  <c r="J304" i="17"/>
  <c r="K304" i="17"/>
  <c r="L304" i="17"/>
  <c r="M304" i="17"/>
  <c r="N304" i="17"/>
  <c r="O304" i="17"/>
  <c r="P304" i="17"/>
  <c r="Q304" i="17"/>
  <c r="R304" i="17"/>
  <c r="S304" i="17"/>
  <c r="T304" i="17"/>
  <c r="U304" i="17"/>
  <c r="V304" i="17"/>
  <c r="W304" i="17"/>
  <c r="X304" i="17"/>
  <c r="Y304" i="17"/>
  <c r="Z304" i="17"/>
  <c r="AA304" i="17"/>
  <c r="AB304" i="17"/>
  <c r="AC304" i="17"/>
  <c r="AD304" i="17"/>
  <c r="AE304" i="17"/>
  <c r="AF304" i="17"/>
  <c r="D305" i="17"/>
  <c r="E305" i="17"/>
  <c r="F305" i="17"/>
  <c r="G305" i="17"/>
  <c r="H305" i="17"/>
  <c r="I305" i="17"/>
  <c r="J305" i="17"/>
  <c r="K305" i="17"/>
  <c r="L305" i="17"/>
  <c r="M305" i="17"/>
  <c r="N305" i="17"/>
  <c r="O305" i="17"/>
  <c r="P305" i="17"/>
  <c r="Q305" i="17"/>
  <c r="R305" i="17"/>
  <c r="S305" i="17"/>
  <c r="T305" i="17"/>
  <c r="U305" i="17"/>
  <c r="V305" i="17"/>
  <c r="W305" i="17"/>
  <c r="X305" i="17"/>
  <c r="Y305" i="17"/>
  <c r="Z305" i="17"/>
  <c r="AA305" i="17"/>
  <c r="AB305" i="17"/>
  <c r="AC305" i="17"/>
  <c r="AD305" i="17"/>
  <c r="AE305" i="17"/>
  <c r="AF305" i="17"/>
  <c r="D306" i="17"/>
  <c r="E306" i="17"/>
  <c r="F306" i="17"/>
  <c r="G306" i="17"/>
  <c r="H306" i="17"/>
  <c r="I306" i="17"/>
  <c r="J306" i="17"/>
  <c r="K306" i="17"/>
  <c r="L306" i="17"/>
  <c r="M306" i="17"/>
  <c r="N306" i="17"/>
  <c r="O306" i="17"/>
  <c r="P306" i="17"/>
  <c r="Q306" i="17"/>
  <c r="R306" i="17"/>
  <c r="S306" i="17"/>
  <c r="T306" i="17"/>
  <c r="U306" i="17"/>
  <c r="V306" i="17"/>
  <c r="W306" i="17"/>
  <c r="X306" i="17"/>
  <c r="Y306" i="17"/>
  <c r="Z306" i="17"/>
  <c r="AA306" i="17"/>
  <c r="AB306" i="17"/>
  <c r="AC306" i="17"/>
  <c r="AD306" i="17"/>
  <c r="AE306" i="17"/>
  <c r="AF306" i="17"/>
  <c r="D307" i="17"/>
  <c r="E307" i="17"/>
  <c r="F307" i="17"/>
  <c r="G307" i="17"/>
  <c r="H307" i="17"/>
  <c r="I307" i="17"/>
  <c r="J307" i="17"/>
  <c r="K307" i="17"/>
  <c r="L307" i="17"/>
  <c r="M307" i="17"/>
  <c r="N307" i="17"/>
  <c r="O307" i="17"/>
  <c r="P307" i="17"/>
  <c r="Q307" i="17"/>
  <c r="R307" i="17"/>
  <c r="S307" i="17"/>
  <c r="T307" i="17"/>
  <c r="U307" i="17"/>
  <c r="V307" i="17"/>
  <c r="W307" i="17"/>
  <c r="X307" i="17"/>
  <c r="Y307" i="17"/>
  <c r="Z307" i="17"/>
  <c r="AA307" i="17"/>
  <c r="AB307" i="17"/>
  <c r="AC307" i="17"/>
  <c r="AD307" i="17"/>
  <c r="AE307" i="17"/>
  <c r="AF307" i="17"/>
  <c r="D308" i="17"/>
  <c r="E308" i="17"/>
  <c r="F308" i="17"/>
  <c r="G308" i="17"/>
  <c r="H308" i="17"/>
  <c r="I308" i="17"/>
  <c r="J308" i="17"/>
  <c r="K308" i="17"/>
  <c r="L308" i="17"/>
  <c r="M308" i="17"/>
  <c r="N308" i="17"/>
  <c r="O308" i="17"/>
  <c r="P308" i="17"/>
  <c r="Q308" i="17"/>
  <c r="R308" i="17"/>
  <c r="S308" i="17"/>
  <c r="T308" i="17"/>
  <c r="U308" i="17"/>
  <c r="V308" i="17"/>
  <c r="W308" i="17"/>
  <c r="X308" i="17"/>
  <c r="Y308" i="17"/>
  <c r="Z308" i="17"/>
  <c r="AA308" i="17"/>
  <c r="AB308" i="17"/>
  <c r="AC308" i="17"/>
  <c r="AD308" i="17"/>
  <c r="AE308" i="17"/>
  <c r="AF308" i="17"/>
  <c r="D309" i="17"/>
  <c r="E309" i="17"/>
  <c r="F309" i="17"/>
  <c r="G309" i="17"/>
  <c r="H309" i="17"/>
  <c r="I309" i="17"/>
  <c r="J309" i="17"/>
  <c r="K309" i="17"/>
  <c r="L309" i="17"/>
  <c r="M309" i="17"/>
  <c r="N309" i="17"/>
  <c r="O309" i="17"/>
  <c r="P309" i="17"/>
  <c r="Q309" i="17"/>
  <c r="R309" i="17"/>
  <c r="S309" i="17"/>
  <c r="T309" i="17"/>
  <c r="U309" i="17"/>
  <c r="V309" i="17"/>
  <c r="W309" i="17"/>
  <c r="X309" i="17"/>
  <c r="Y309" i="17"/>
  <c r="Z309" i="17"/>
  <c r="AA309" i="17"/>
  <c r="AB309" i="17"/>
  <c r="AC309" i="17"/>
  <c r="AD309" i="17"/>
  <c r="AE309" i="17"/>
  <c r="AF309" i="17"/>
  <c r="D310" i="17"/>
  <c r="E310" i="17"/>
  <c r="F310" i="17"/>
  <c r="G310" i="17"/>
  <c r="H310" i="17"/>
  <c r="I310" i="17"/>
  <c r="J310" i="17"/>
  <c r="K310" i="17"/>
  <c r="L310" i="17"/>
  <c r="M310" i="17"/>
  <c r="N310" i="17"/>
  <c r="O310" i="17"/>
  <c r="P310" i="17"/>
  <c r="Q310" i="17"/>
  <c r="R310" i="17"/>
  <c r="S310" i="17"/>
  <c r="T310" i="17"/>
  <c r="U310" i="17"/>
  <c r="V310" i="17"/>
  <c r="W310" i="17"/>
  <c r="X310" i="17"/>
  <c r="Y310" i="17"/>
  <c r="Z310" i="17"/>
  <c r="AA310" i="17"/>
  <c r="AB310" i="17"/>
  <c r="AC310" i="17"/>
  <c r="AD310" i="17"/>
  <c r="AE310" i="17"/>
  <c r="AF310" i="17"/>
  <c r="D311" i="17"/>
  <c r="E311" i="17"/>
  <c r="F311" i="17"/>
  <c r="G311" i="17"/>
  <c r="H311" i="17"/>
  <c r="I311" i="17"/>
  <c r="J311" i="17"/>
  <c r="K311" i="17"/>
  <c r="L311" i="17"/>
  <c r="M311" i="17"/>
  <c r="N311" i="17"/>
  <c r="O311" i="17"/>
  <c r="P311" i="17"/>
  <c r="Q311" i="17"/>
  <c r="R311" i="17"/>
  <c r="S311" i="17"/>
  <c r="T311" i="17"/>
  <c r="U311" i="17"/>
  <c r="V311" i="17"/>
  <c r="W311" i="17"/>
  <c r="X311" i="17"/>
  <c r="Y311" i="17"/>
  <c r="Z311" i="17"/>
  <c r="AA311" i="17"/>
  <c r="AB311" i="17"/>
  <c r="AC311" i="17"/>
  <c r="AD311" i="17"/>
  <c r="AE311" i="17"/>
  <c r="AF311" i="17"/>
  <c r="D312" i="17"/>
  <c r="E312" i="17"/>
  <c r="F312" i="17"/>
  <c r="G312" i="17"/>
  <c r="H312" i="17"/>
  <c r="I312" i="17"/>
  <c r="J312" i="17"/>
  <c r="K312" i="17"/>
  <c r="L312" i="17"/>
  <c r="M312" i="17"/>
  <c r="N312" i="17"/>
  <c r="O312" i="17"/>
  <c r="P312" i="17"/>
  <c r="Q312" i="17"/>
  <c r="R312" i="17"/>
  <c r="S312" i="17"/>
  <c r="T312" i="17"/>
  <c r="U312" i="17"/>
  <c r="V312" i="17"/>
  <c r="W312" i="17"/>
  <c r="X312" i="17"/>
  <c r="Y312" i="17"/>
  <c r="Z312" i="17"/>
  <c r="AA312" i="17"/>
  <c r="AB312" i="17"/>
  <c r="AC312" i="17"/>
  <c r="AD312" i="17"/>
  <c r="AE312" i="17"/>
  <c r="AF312" i="17"/>
  <c r="D313" i="17"/>
  <c r="E313" i="17"/>
  <c r="F313" i="17"/>
  <c r="G313" i="17"/>
  <c r="H313" i="17"/>
  <c r="I313" i="17"/>
  <c r="J313" i="17"/>
  <c r="K313" i="17"/>
  <c r="L313" i="17"/>
  <c r="M313" i="17"/>
  <c r="N313" i="17"/>
  <c r="O313" i="17"/>
  <c r="P313" i="17"/>
  <c r="Q313" i="17"/>
  <c r="R313" i="17"/>
  <c r="S313" i="17"/>
  <c r="T313" i="17"/>
  <c r="U313" i="17"/>
  <c r="V313" i="17"/>
  <c r="W313" i="17"/>
  <c r="X313" i="17"/>
  <c r="Y313" i="17"/>
  <c r="Z313" i="17"/>
  <c r="AA313" i="17"/>
  <c r="AB313" i="17"/>
  <c r="AC313" i="17"/>
  <c r="AD313" i="17"/>
  <c r="AE313" i="17"/>
  <c r="AF313" i="17"/>
  <c r="D314" i="17"/>
  <c r="E314" i="17"/>
  <c r="F314" i="17"/>
  <c r="G314" i="17"/>
  <c r="H314" i="17"/>
  <c r="I314" i="17"/>
  <c r="J314" i="17"/>
  <c r="K314" i="17"/>
  <c r="L314" i="17"/>
  <c r="M314" i="17"/>
  <c r="N314" i="17"/>
  <c r="O314" i="17"/>
  <c r="P314" i="17"/>
  <c r="Q314" i="17"/>
  <c r="R314" i="17"/>
  <c r="S314" i="17"/>
  <c r="T314" i="17"/>
  <c r="U314" i="17"/>
  <c r="V314" i="17"/>
  <c r="W314" i="17"/>
  <c r="X314" i="17"/>
  <c r="Y314" i="17"/>
  <c r="Z314" i="17"/>
  <c r="AA314" i="17"/>
  <c r="AB314" i="17"/>
  <c r="AC314" i="17"/>
  <c r="AD314" i="17"/>
  <c r="AE314" i="17"/>
  <c r="AF314" i="17"/>
  <c r="D315" i="17"/>
  <c r="E315" i="17"/>
  <c r="F315" i="17"/>
  <c r="G315" i="17"/>
  <c r="H315" i="17"/>
  <c r="I315" i="17"/>
  <c r="J315" i="17"/>
  <c r="K315" i="17"/>
  <c r="L315" i="17"/>
  <c r="M315" i="17"/>
  <c r="N315" i="17"/>
  <c r="O315" i="17"/>
  <c r="P315" i="17"/>
  <c r="Q315" i="17"/>
  <c r="R315" i="17"/>
  <c r="S315" i="17"/>
  <c r="T315" i="17"/>
  <c r="U315" i="17"/>
  <c r="V315" i="17"/>
  <c r="W315" i="17"/>
  <c r="X315" i="17"/>
  <c r="Y315" i="17"/>
  <c r="Z315" i="17"/>
  <c r="AA315" i="17"/>
  <c r="AB315" i="17"/>
  <c r="AC315" i="17"/>
  <c r="AD315" i="17"/>
  <c r="AE315" i="17"/>
  <c r="AF315" i="17"/>
  <c r="D316" i="17"/>
  <c r="E316" i="17"/>
  <c r="F316" i="17"/>
  <c r="G316" i="17"/>
  <c r="H316" i="17"/>
  <c r="I316" i="17"/>
  <c r="J316" i="17"/>
  <c r="K316" i="17"/>
  <c r="L316" i="17"/>
  <c r="M316" i="17"/>
  <c r="N316" i="17"/>
  <c r="O316" i="17"/>
  <c r="P316" i="17"/>
  <c r="Q316" i="17"/>
  <c r="R316" i="17"/>
  <c r="S316" i="17"/>
  <c r="T316" i="17"/>
  <c r="U316" i="17"/>
  <c r="V316" i="17"/>
  <c r="W316" i="17"/>
  <c r="X316" i="17"/>
  <c r="Y316" i="17"/>
  <c r="Z316" i="17"/>
  <c r="AA316" i="17"/>
  <c r="AB316" i="17"/>
  <c r="AC316" i="17"/>
  <c r="AD316" i="17"/>
  <c r="AE316" i="17"/>
  <c r="AF316" i="17"/>
  <c r="D317" i="17"/>
  <c r="E317" i="17"/>
  <c r="F317" i="17"/>
  <c r="G317" i="17"/>
  <c r="H317" i="17"/>
  <c r="I317" i="17"/>
  <c r="J317" i="17"/>
  <c r="K317" i="17"/>
  <c r="L317" i="17"/>
  <c r="M317" i="17"/>
  <c r="N317" i="17"/>
  <c r="O317" i="17"/>
  <c r="P317" i="17"/>
  <c r="Q317" i="17"/>
  <c r="R317" i="17"/>
  <c r="S317" i="17"/>
  <c r="T317" i="17"/>
  <c r="U317" i="17"/>
  <c r="V317" i="17"/>
  <c r="W317" i="17"/>
  <c r="X317" i="17"/>
  <c r="Y317" i="17"/>
  <c r="Z317" i="17"/>
  <c r="AA317" i="17"/>
  <c r="AB317" i="17"/>
  <c r="AC317" i="17"/>
  <c r="AD317" i="17"/>
  <c r="AE317" i="17"/>
  <c r="AF317" i="17"/>
  <c r="D318" i="17"/>
  <c r="E318" i="17"/>
  <c r="F318" i="17"/>
  <c r="G318" i="17"/>
  <c r="H318" i="17"/>
  <c r="I318" i="17"/>
  <c r="J318" i="17"/>
  <c r="K318" i="17"/>
  <c r="L318" i="17"/>
  <c r="M318" i="17"/>
  <c r="N318" i="17"/>
  <c r="O318" i="17"/>
  <c r="P318" i="17"/>
  <c r="Q318" i="17"/>
  <c r="R318" i="17"/>
  <c r="S318" i="17"/>
  <c r="T318" i="17"/>
  <c r="U318" i="17"/>
  <c r="V318" i="17"/>
  <c r="W318" i="17"/>
  <c r="X318" i="17"/>
  <c r="Y318" i="17"/>
  <c r="Z318" i="17"/>
  <c r="AA318" i="17"/>
  <c r="AB318" i="17"/>
  <c r="AC318" i="17"/>
  <c r="AD318" i="17"/>
  <c r="AE318" i="17"/>
  <c r="AF318" i="17"/>
  <c r="D319" i="17"/>
  <c r="E319" i="17"/>
  <c r="F319" i="17"/>
  <c r="G319" i="17"/>
  <c r="H319" i="17"/>
  <c r="I319" i="17"/>
  <c r="J319" i="17"/>
  <c r="K319" i="17"/>
  <c r="L319" i="17"/>
  <c r="M319" i="17"/>
  <c r="N319" i="17"/>
  <c r="O319" i="17"/>
  <c r="P319" i="17"/>
  <c r="Q319" i="17"/>
  <c r="R319" i="17"/>
  <c r="S319" i="17"/>
  <c r="T319" i="17"/>
  <c r="U319" i="17"/>
  <c r="V319" i="17"/>
  <c r="W319" i="17"/>
  <c r="X319" i="17"/>
  <c r="Y319" i="17"/>
  <c r="Z319" i="17"/>
  <c r="AA319" i="17"/>
  <c r="AB319" i="17"/>
  <c r="AC319" i="17"/>
  <c r="AD319" i="17"/>
  <c r="AE319" i="17"/>
  <c r="AF319" i="17"/>
  <c r="D320" i="17"/>
  <c r="E320" i="17"/>
  <c r="F320" i="17"/>
  <c r="G320" i="17"/>
  <c r="H320" i="17"/>
  <c r="I320" i="17"/>
  <c r="J320" i="17"/>
  <c r="K320" i="17"/>
  <c r="L320" i="17"/>
  <c r="M320" i="17"/>
  <c r="N320" i="17"/>
  <c r="O320" i="17"/>
  <c r="P320" i="17"/>
  <c r="Q320" i="17"/>
  <c r="R320" i="17"/>
  <c r="S320" i="17"/>
  <c r="T320" i="17"/>
  <c r="U320" i="17"/>
  <c r="V320" i="17"/>
  <c r="W320" i="17"/>
  <c r="X320" i="17"/>
  <c r="Y320" i="17"/>
  <c r="Z320" i="17"/>
  <c r="AA320" i="17"/>
  <c r="AB320" i="17"/>
  <c r="AC320" i="17"/>
  <c r="AD320" i="17"/>
  <c r="AE320" i="17"/>
  <c r="AF320" i="17"/>
  <c r="D321" i="17"/>
  <c r="E321" i="17"/>
  <c r="F321" i="17"/>
  <c r="G321" i="17"/>
  <c r="H321" i="17"/>
  <c r="I321" i="17"/>
  <c r="J321" i="17"/>
  <c r="K321" i="17"/>
  <c r="L321" i="17"/>
  <c r="M321" i="17"/>
  <c r="N321" i="17"/>
  <c r="O321" i="17"/>
  <c r="P321" i="17"/>
  <c r="Q321" i="17"/>
  <c r="R321" i="17"/>
  <c r="S321" i="17"/>
  <c r="T321" i="17"/>
  <c r="U321" i="17"/>
  <c r="V321" i="17"/>
  <c r="W321" i="17"/>
  <c r="X321" i="17"/>
  <c r="Y321" i="17"/>
  <c r="Z321" i="17"/>
  <c r="AA321" i="17"/>
  <c r="AB321" i="17"/>
  <c r="AC321" i="17"/>
  <c r="AD321" i="17"/>
  <c r="AE321" i="17"/>
  <c r="AF321" i="17"/>
  <c r="D322" i="17"/>
  <c r="E322" i="17"/>
  <c r="F322" i="17"/>
  <c r="G322" i="17"/>
  <c r="H322" i="17"/>
  <c r="I322" i="17"/>
  <c r="J322" i="17"/>
  <c r="K322" i="17"/>
  <c r="L322" i="17"/>
  <c r="M322" i="17"/>
  <c r="N322" i="17"/>
  <c r="O322" i="17"/>
  <c r="P322" i="17"/>
  <c r="Q322" i="17"/>
  <c r="R322" i="17"/>
  <c r="S322" i="17"/>
  <c r="T322" i="17"/>
  <c r="U322" i="17"/>
  <c r="V322" i="17"/>
  <c r="W322" i="17"/>
  <c r="X322" i="17"/>
  <c r="Y322" i="17"/>
  <c r="Z322" i="17"/>
  <c r="AA322" i="17"/>
  <c r="AB322" i="17"/>
  <c r="AC322" i="17"/>
  <c r="AD322" i="17"/>
  <c r="AE322" i="17"/>
  <c r="AF322" i="17"/>
  <c r="D323" i="17"/>
  <c r="E323" i="17"/>
  <c r="F323" i="17"/>
  <c r="G323" i="17"/>
  <c r="H323" i="17"/>
  <c r="I323" i="17"/>
  <c r="J323" i="17"/>
  <c r="K323" i="17"/>
  <c r="L323" i="17"/>
  <c r="M323" i="17"/>
  <c r="N323" i="17"/>
  <c r="O323" i="17"/>
  <c r="P323" i="17"/>
  <c r="Q323" i="17"/>
  <c r="R323" i="17"/>
  <c r="S323" i="17"/>
  <c r="T323" i="17"/>
  <c r="U323" i="17"/>
  <c r="V323" i="17"/>
  <c r="W323" i="17"/>
  <c r="X323" i="17"/>
  <c r="Y323" i="17"/>
  <c r="Z323" i="17"/>
  <c r="AA323" i="17"/>
  <c r="AB323" i="17"/>
  <c r="AC323" i="17"/>
  <c r="AD323" i="17"/>
  <c r="AE323" i="17"/>
  <c r="AF323" i="17"/>
  <c r="D324" i="17"/>
  <c r="E324" i="17"/>
  <c r="F324" i="17"/>
  <c r="G324" i="17"/>
  <c r="H324" i="17"/>
  <c r="I324" i="17"/>
  <c r="J324" i="17"/>
  <c r="K324" i="17"/>
  <c r="L324" i="17"/>
  <c r="M324" i="17"/>
  <c r="N324" i="17"/>
  <c r="O324" i="17"/>
  <c r="P324" i="17"/>
  <c r="Q324" i="17"/>
  <c r="R324" i="17"/>
  <c r="S324" i="17"/>
  <c r="T324" i="17"/>
  <c r="U324" i="17"/>
  <c r="V324" i="17"/>
  <c r="W324" i="17"/>
  <c r="X324" i="17"/>
  <c r="Y324" i="17"/>
  <c r="Z324" i="17"/>
  <c r="AA324" i="17"/>
  <c r="AB324" i="17"/>
  <c r="AC324" i="17"/>
  <c r="AD324" i="17"/>
  <c r="AE324" i="17"/>
  <c r="AF324" i="17"/>
  <c r="D325" i="17"/>
  <c r="E325" i="17"/>
  <c r="F325" i="17"/>
  <c r="G325" i="17"/>
  <c r="H325" i="17"/>
  <c r="I325" i="17"/>
  <c r="J325" i="17"/>
  <c r="K325" i="17"/>
  <c r="L325" i="17"/>
  <c r="M325" i="17"/>
  <c r="N325" i="17"/>
  <c r="O325" i="17"/>
  <c r="P325" i="17"/>
  <c r="Q325" i="17"/>
  <c r="R325" i="17"/>
  <c r="S325" i="17"/>
  <c r="T325" i="17"/>
  <c r="U325" i="17"/>
  <c r="V325" i="17"/>
  <c r="W325" i="17"/>
  <c r="X325" i="17"/>
  <c r="Y325" i="17"/>
  <c r="Z325" i="17"/>
  <c r="AA325" i="17"/>
  <c r="AB325" i="17"/>
  <c r="AC325" i="17"/>
  <c r="AD325" i="17"/>
  <c r="AE325" i="17"/>
  <c r="AF325" i="17"/>
  <c r="D326" i="17"/>
  <c r="E326" i="17"/>
  <c r="F326" i="17"/>
  <c r="G326" i="17"/>
  <c r="H326" i="17"/>
  <c r="I326" i="17"/>
  <c r="J326" i="17"/>
  <c r="K326" i="17"/>
  <c r="L326" i="17"/>
  <c r="M326" i="17"/>
  <c r="N326" i="17"/>
  <c r="O326" i="17"/>
  <c r="P326" i="17"/>
  <c r="Q326" i="17"/>
  <c r="R326" i="17"/>
  <c r="S326" i="17"/>
  <c r="T326" i="17"/>
  <c r="U326" i="17"/>
  <c r="V326" i="17"/>
  <c r="W326" i="17"/>
  <c r="X326" i="17"/>
  <c r="Y326" i="17"/>
  <c r="Z326" i="17"/>
  <c r="AA326" i="17"/>
  <c r="AB326" i="17"/>
  <c r="AC326" i="17"/>
  <c r="AD326" i="17"/>
  <c r="AE326" i="17"/>
  <c r="AF326" i="17"/>
  <c r="D327" i="17"/>
  <c r="E327" i="17"/>
  <c r="F327" i="17"/>
  <c r="G327" i="17"/>
  <c r="H327" i="17"/>
  <c r="I327" i="17"/>
  <c r="J327" i="17"/>
  <c r="K327" i="17"/>
  <c r="L327" i="17"/>
  <c r="M327" i="17"/>
  <c r="N327" i="17"/>
  <c r="O327" i="17"/>
  <c r="P327" i="17"/>
  <c r="Q327" i="17"/>
  <c r="R327" i="17"/>
  <c r="S327" i="17"/>
  <c r="T327" i="17"/>
  <c r="U327" i="17"/>
  <c r="V327" i="17"/>
  <c r="W327" i="17"/>
  <c r="X327" i="17"/>
  <c r="Y327" i="17"/>
  <c r="Z327" i="17"/>
  <c r="AA327" i="17"/>
  <c r="AB327" i="17"/>
  <c r="AC327" i="17"/>
  <c r="AD327" i="17"/>
  <c r="AE327" i="17"/>
  <c r="AF327" i="17"/>
  <c r="D328" i="17"/>
  <c r="E328" i="17"/>
  <c r="F328" i="17"/>
  <c r="G328" i="17"/>
  <c r="H328" i="17"/>
  <c r="I328" i="17"/>
  <c r="J328" i="17"/>
  <c r="K328" i="17"/>
  <c r="L328" i="17"/>
  <c r="M328" i="17"/>
  <c r="N328" i="17"/>
  <c r="O328" i="17"/>
  <c r="P328" i="17"/>
  <c r="Q328" i="17"/>
  <c r="R328" i="17"/>
  <c r="S328" i="17"/>
  <c r="T328" i="17"/>
  <c r="U328" i="17"/>
  <c r="V328" i="17"/>
  <c r="W328" i="17"/>
  <c r="X328" i="17"/>
  <c r="Y328" i="17"/>
  <c r="Z328" i="17"/>
  <c r="AA328" i="17"/>
  <c r="AB328" i="17"/>
  <c r="AC328" i="17"/>
  <c r="AD328" i="17"/>
  <c r="AE328" i="17"/>
  <c r="AF328" i="17"/>
  <c r="D329" i="17"/>
  <c r="E329" i="17"/>
  <c r="F329" i="17"/>
  <c r="G329" i="17"/>
  <c r="H329" i="17"/>
  <c r="I329" i="17"/>
  <c r="J329" i="17"/>
  <c r="K329" i="17"/>
  <c r="L329" i="17"/>
  <c r="M329" i="17"/>
  <c r="N329" i="17"/>
  <c r="O329" i="17"/>
  <c r="P329" i="17"/>
  <c r="Q329" i="17"/>
  <c r="R329" i="17"/>
  <c r="S329" i="17"/>
  <c r="T329" i="17"/>
  <c r="U329" i="17"/>
  <c r="V329" i="17"/>
  <c r="W329" i="17"/>
  <c r="X329" i="17"/>
  <c r="Y329" i="17"/>
  <c r="Z329" i="17"/>
  <c r="AA329" i="17"/>
  <c r="AB329" i="17"/>
  <c r="AC329" i="17"/>
  <c r="AD329" i="17"/>
  <c r="AE329" i="17"/>
  <c r="AF329" i="17"/>
  <c r="D330" i="17"/>
  <c r="E330" i="17"/>
  <c r="F330" i="17"/>
  <c r="G330" i="17"/>
  <c r="H330" i="17"/>
  <c r="I330" i="17"/>
  <c r="J330" i="17"/>
  <c r="K330" i="17"/>
  <c r="L330" i="17"/>
  <c r="M330" i="17"/>
  <c r="N330" i="17"/>
  <c r="O330" i="17"/>
  <c r="P330" i="17"/>
  <c r="Q330" i="17"/>
  <c r="R330" i="17"/>
  <c r="S330" i="17"/>
  <c r="T330" i="17"/>
  <c r="U330" i="17"/>
  <c r="V330" i="17"/>
  <c r="W330" i="17"/>
  <c r="X330" i="17"/>
  <c r="Y330" i="17"/>
  <c r="Z330" i="17"/>
  <c r="AA330" i="17"/>
  <c r="AB330" i="17"/>
  <c r="AC330" i="17"/>
  <c r="AD330" i="17"/>
  <c r="AE330" i="17"/>
  <c r="AF330" i="17"/>
  <c r="D331" i="17"/>
  <c r="E331" i="17"/>
  <c r="F331" i="17"/>
  <c r="G331" i="17"/>
  <c r="H331" i="17"/>
  <c r="I331" i="17"/>
  <c r="J331" i="17"/>
  <c r="K331" i="17"/>
  <c r="L331" i="17"/>
  <c r="M331" i="17"/>
  <c r="N331" i="17"/>
  <c r="O331" i="17"/>
  <c r="P331" i="17"/>
  <c r="Q331" i="17"/>
  <c r="R331" i="17"/>
  <c r="S331" i="17"/>
  <c r="T331" i="17"/>
  <c r="U331" i="17"/>
  <c r="V331" i="17"/>
  <c r="W331" i="17"/>
  <c r="X331" i="17"/>
  <c r="Y331" i="17"/>
  <c r="Z331" i="17"/>
  <c r="AA331" i="17"/>
  <c r="AB331" i="17"/>
  <c r="AC331" i="17"/>
  <c r="AD331" i="17"/>
  <c r="AE331" i="17"/>
  <c r="AF331" i="17"/>
  <c r="D332" i="17"/>
  <c r="E332" i="17"/>
  <c r="F332" i="17"/>
  <c r="G332" i="17"/>
  <c r="H332" i="17"/>
  <c r="I332" i="17"/>
  <c r="J332" i="17"/>
  <c r="K332" i="17"/>
  <c r="L332" i="17"/>
  <c r="M332" i="17"/>
  <c r="N332" i="17"/>
  <c r="O332" i="17"/>
  <c r="P332" i="17"/>
  <c r="Q332" i="17"/>
  <c r="R332" i="17"/>
  <c r="S332" i="17"/>
  <c r="T332" i="17"/>
  <c r="U332" i="17"/>
  <c r="V332" i="17"/>
  <c r="W332" i="17"/>
  <c r="X332" i="17"/>
  <c r="Y332" i="17"/>
  <c r="Z332" i="17"/>
  <c r="AA332" i="17"/>
  <c r="AB332" i="17"/>
  <c r="AC332" i="17"/>
  <c r="AD332" i="17"/>
  <c r="AE332" i="17"/>
  <c r="AF332" i="17"/>
  <c r="D333" i="17"/>
  <c r="E333" i="17"/>
  <c r="F333" i="17"/>
  <c r="G333" i="17"/>
  <c r="H333" i="17"/>
  <c r="I333" i="17"/>
  <c r="J333" i="17"/>
  <c r="K333" i="17"/>
  <c r="L333" i="17"/>
  <c r="M333" i="17"/>
  <c r="N333" i="17"/>
  <c r="O333" i="17"/>
  <c r="P333" i="17"/>
  <c r="Q333" i="17"/>
  <c r="R333" i="17"/>
  <c r="S333" i="17"/>
  <c r="T333" i="17"/>
  <c r="U333" i="17"/>
  <c r="V333" i="17"/>
  <c r="W333" i="17"/>
  <c r="X333" i="17"/>
  <c r="Y333" i="17"/>
  <c r="Z333" i="17"/>
  <c r="AA333" i="17"/>
  <c r="AB333" i="17"/>
  <c r="AC333" i="17"/>
  <c r="AD333" i="17"/>
  <c r="AE333" i="17"/>
  <c r="AF333" i="17"/>
  <c r="D334" i="17"/>
  <c r="E334" i="17"/>
  <c r="F334" i="17"/>
  <c r="G334" i="17"/>
  <c r="H334" i="17"/>
  <c r="I334" i="17"/>
  <c r="J334" i="17"/>
  <c r="K334" i="17"/>
  <c r="L334" i="17"/>
  <c r="M334" i="17"/>
  <c r="N334" i="17"/>
  <c r="O334" i="17"/>
  <c r="P334" i="17"/>
  <c r="Q334" i="17"/>
  <c r="R334" i="17"/>
  <c r="S334" i="17"/>
  <c r="T334" i="17"/>
  <c r="U334" i="17"/>
  <c r="V334" i="17"/>
  <c r="W334" i="17"/>
  <c r="X334" i="17"/>
  <c r="Y334" i="17"/>
  <c r="Z334" i="17"/>
  <c r="AA334" i="17"/>
  <c r="AB334" i="17"/>
  <c r="AC334" i="17"/>
  <c r="AD334" i="17"/>
  <c r="AE334" i="17"/>
  <c r="AF334" i="17"/>
  <c r="D335" i="17"/>
  <c r="E335" i="17"/>
  <c r="F335" i="17"/>
  <c r="G335" i="17"/>
  <c r="H335" i="17"/>
  <c r="I335" i="17"/>
  <c r="J335" i="17"/>
  <c r="K335" i="17"/>
  <c r="L335" i="17"/>
  <c r="M335" i="17"/>
  <c r="N335" i="17"/>
  <c r="O335" i="17"/>
  <c r="P335" i="17"/>
  <c r="Q335" i="17"/>
  <c r="R335" i="17"/>
  <c r="S335" i="17"/>
  <c r="T335" i="17"/>
  <c r="U335" i="17"/>
  <c r="V335" i="17"/>
  <c r="W335" i="17"/>
  <c r="X335" i="17"/>
  <c r="Y335" i="17"/>
  <c r="Z335" i="17"/>
  <c r="AA335" i="17"/>
  <c r="AB335" i="17"/>
  <c r="AC335" i="17"/>
  <c r="AD335" i="17"/>
  <c r="AE335" i="17"/>
  <c r="AF335" i="17"/>
  <c r="D336" i="17"/>
  <c r="E336" i="17"/>
  <c r="F336" i="17"/>
  <c r="G336" i="17"/>
  <c r="H336" i="17"/>
  <c r="I336" i="17"/>
  <c r="J336" i="17"/>
  <c r="K336" i="17"/>
  <c r="L336" i="17"/>
  <c r="M336" i="17"/>
  <c r="N336" i="17"/>
  <c r="O336" i="17"/>
  <c r="P336" i="17"/>
  <c r="Q336" i="17"/>
  <c r="R336" i="17"/>
  <c r="S336" i="17"/>
  <c r="T336" i="17"/>
  <c r="U336" i="17"/>
  <c r="V336" i="17"/>
  <c r="W336" i="17"/>
  <c r="X336" i="17"/>
  <c r="Y336" i="17"/>
  <c r="Z336" i="17"/>
  <c r="AA336" i="17"/>
  <c r="AB336" i="17"/>
  <c r="AC336" i="17"/>
  <c r="AD336" i="17"/>
  <c r="AE336" i="17"/>
  <c r="AF336" i="17"/>
  <c r="D337" i="17"/>
  <c r="E337" i="17"/>
  <c r="F337" i="17"/>
  <c r="G337" i="17"/>
  <c r="H337" i="17"/>
  <c r="I337" i="17"/>
  <c r="J337" i="17"/>
  <c r="K337" i="17"/>
  <c r="L337" i="17"/>
  <c r="M337" i="17"/>
  <c r="N337" i="17"/>
  <c r="O337" i="17"/>
  <c r="P337" i="17"/>
  <c r="Q337" i="17"/>
  <c r="R337" i="17"/>
  <c r="S337" i="17"/>
  <c r="T337" i="17"/>
  <c r="U337" i="17"/>
  <c r="V337" i="17"/>
  <c r="W337" i="17"/>
  <c r="X337" i="17"/>
  <c r="Y337" i="17"/>
  <c r="Z337" i="17"/>
  <c r="AA337" i="17"/>
  <c r="AB337" i="17"/>
  <c r="AC337" i="17"/>
  <c r="AD337" i="17"/>
  <c r="AE337" i="17"/>
  <c r="AF337" i="17"/>
  <c r="D338" i="17"/>
  <c r="E338" i="17"/>
  <c r="F338" i="17"/>
  <c r="G338" i="17"/>
  <c r="H338" i="17"/>
  <c r="I338" i="17"/>
  <c r="J338" i="17"/>
  <c r="K338" i="17"/>
  <c r="L338" i="17"/>
  <c r="M338" i="17"/>
  <c r="N338" i="17"/>
  <c r="O338" i="17"/>
  <c r="P338" i="17"/>
  <c r="Q338" i="17"/>
  <c r="R338" i="17"/>
  <c r="S338" i="17"/>
  <c r="T338" i="17"/>
  <c r="U338" i="17"/>
  <c r="V338" i="17"/>
  <c r="W338" i="17"/>
  <c r="X338" i="17"/>
  <c r="Y338" i="17"/>
  <c r="Z338" i="17"/>
  <c r="AA338" i="17"/>
  <c r="AB338" i="17"/>
  <c r="AC338" i="17"/>
  <c r="AD338" i="17"/>
  <c r="AE338" i="17"/>
  <c r="AF338" i="17"/>
  <c r="D339" i="17"/>
  <c r="E339" i="17"/>
  <c r="F339" i="17"/>
  <c r="G339" i="17"/>
  <c r="H339" i="17"/>
  <c r="I339" i="17"/>
  <c r="J339" i="17"/>
  <c r="K339" i="17"/>
  <c r="L339" i="17"/>
  <c r="M339" i="17"/>
  <c r="N339" i="17"/>
  <c r="O339" i="17"/>
  <c r="P339" i="17"/>
  <c r="Q339" i="17"/>
  <c r="R339" i="17"/>
  <c r="S339" i="17"/>
  <c r="T339" i="17"/>
  <c r="U339" i="17"/>
  <c r="V339" i="17"/>
  <c r="W339" i="17"/>
  <c r="X339" i="17"/>
  <c r="Y339" i="17"/>
  <c r="Z339" i="17"/>
  <c r="AA339" i="17"/>
  <c r="AB339" i="17"/>
  <c r="AC339" i="17"/>
  <c r="AD339" i="17"/>
  <c r="AE339" i="17"/>
  <c r="AF339" i="17"/>
  <c r="D340" i="17"/>
  <c r="E340" i="17"/>
  <c r="F340" i="17"/>
  <c r="G340" i="17"/>
  <c r="H340" i="17"/>
  <c r="I340" i="17"/>
  <c r="J340" i="17"/>
  <c r="K340" i="17"/>
  <c r="L340" i="17"/>
  <c r="M340" i="17"/>
  <c r="N340" i="17"/>
  <c r="O340" i="17"/>
  <c r="P340" i="17"/>
  <c r="Q340" i="17"/>
  <c r="R340" i="17"/>
  <c r="S340" i="17"/>
  <c r="T340" i="17"/>
  <c r="U340" i="17"/>
  <c r="V340" i="17"/>
  <c r="W340" i="17"/>
  <c r="X340" i="17"/>
  <c r="Y340" i="17"/>
  <c r="Z340" i="17"/>
  <c r="AA340" i="17"/>
  <c r="AB340" i="17"/>
  <c r="AC340" i="17"/>
  <c r="AD340" i="17"/>
  <c r="AE340" i="17"/>
  <c r="AF340" i="17"/>
  <c r="D341" i="17"/>
  <c r="E341" i="17"/>
  <c r="F341" i="17"/>
  <c r="G341" i="17"/>
  <c r="H341" i="17"/>
  <c r="I341" i="17"/>
  <c r="J341" i="17"/>
  <c r="K341" i="17"/>
  <c r="L341" i="17"/>
  <c r="M341" i="17"/>
  <c r="N341" i="17"/>
  <c r="O341" i="17"/>
  <c r="P341" i="17"/>
  <c r="Q341" i="17"/>
  <c r="R341" i="17"/>
  <c r="S341" i="17"/>
  <c r="T341" i="17"/>
  <c r="U341" i="17"/>
  <c r="V341" i="17"/>
  <c r="W341" i="17"/>
  <c r="X341" i="17"/>
  <c r="Y341" i="17"/>
  <c r="Z341" i="17"/>
  <c r="AA341" i="17"/>
  <c r="AB341" i="17"/>
  <c r="AC341" i="17"/>
  <c r="AD341" i="17"/>
  <c r="AE341" i="17"/>
  <c r="AF341" i="17"/>
  <c r="D342" i="17"/>
  <c r="E342" i="17"/>
  <c r="F342" i="17"/>
  <c r="G342" i="17"/>
  <c r="H342" i="17"/>
  <c r="I342" i="17"/>
  <c r="J342" i="17"/>
  <c r="K342" i="17"/>
  <c r="L342" i="17"/>
  <c r="M342" i="17"/>
  <c r="N342" i="17"/>
  <c r="O342" i="17"/>
  <c r="P342" i="17"/>
  <c r="Q342" i="17"/>
  <c r="R342" i="17"/>
  <c r="S342" i="17"/>
  <c r="T342" i="17"/>
  <c r="U342" i="17"/>
  <c r="V342" i="17"/>
  <c r="W342" i="17"/>
  <c r="X342" i="17"/>
  <c r="Y342" i="17"/>
  <c r="Z342" i="17"/>
  <c r="AA342" i="17"/>
  <c r="AB342" i="17"/>
  <c r="AC342" i="17"/>
  <c r="AD342" i="17"/>
  <c r="AE342" i="17"/>
  <c r="AF342" i="17"/>
  <c r="D343" i="17"/>
  <c r="E343" i="17"/>
  <c r="F343" i="17"/>
  <c r="G343" i="17"/>
  <c r="H343" i="17"/>
  <c r="I343" i="17"/>
  <c r="J343" i="17"/>
  <c r="K343" i="17"/>
  <c r="L343" i="17"/>
  <c r="M343" i="17"/>
  <c r="N343" i="17"/>
  <c r="O343" i="17"/>
  <c r="P343" i="17"/>
  <c r="Q343" i="17"/>
  <c r="R343" i="17"/>
  <c r="S343" i="17"/>
  <c r="T343" i="17"/>
  <c r="U343" i="17"/>
  <c r="V343" i="17"/>
  <c r="W343" i="17"/>
  <c r="X343" i="17"/>
  <c r="Y343" i="17"/>
  <c r="Z343" i="17"/>
  <c r="AA343" i="17"/>
  <c r="AB343" i="17"/>
  <c r="AC343" i="17"/>
  <c r="AD343" i="17"/>
  <c r="AE343" i="17"/>
  <c r="AF343" i="17"/>
  <c r="D344" i="17"/>
  <c r="E344" i="17"/>
  <c r="F344" i="17"/>
  <c r="G344" i="17"/>
  <c r="H344" i="17"/>
  <c r="I344" i="17"/>
  <c r="J344" i="17"/>
  <c r="K344" i="17"/>
  <c r="L344" i="17"/>
  <c r="M344" i="17"/>
  <c r="N344" i="17"/>
  <c r="O344" i="17"/>
  <c r="P344" i="17"/>
  <c r="Q344" i="17"/>
  <c r="R344" i="17"/>
  <c r="S344" i="17"/>
  <c r="T344" i="17"/>
  <c r="U344" i="17"/>
  <c r="V344" i="17"/>
  <c r="W344" i="17"/>
  <c r="X344" i="17"/>
  <c r="Y344" i="17"/>
  <c r="Z344" i="17"/>
  <c r="AA344" i="17"/>
  <c r="AB344" i="17"/>
  <c r="AC344" i="17"/>
  <c r="AD344" i="17"/>
  <c r="AE344" i="17"/>
  <c r="AF344" i="17"/>
  <c r="D345" i="17"/>
  <c r="E345" i="17"/>
  <c r="F345" i="17"/>
  <c r="G345" i="17"/>
  <c r="H345" i="17"/>
  <c r="I345" i="17"/>
  <c r="J345" i="17"/>
  <c r="K345" i="17"/>
  <c r="L345" i="17"/>
  <c r="M345" i="17"/>
  <c r="N345" i="17"/>
  <c r="O345" i="17"/>
  <c r="P345" i="17"/>
  <c r="Q345" i="17"/>
  <c r="R345" i="17"/>
  <c r="S345" i="17"/>
  <c r="T345" i="17"/>
  <c r="U345" i="17"/>
  <c r="V345" i="17"/>
  <c r="W345" i="17"/>
  <c r="X345" i="17"/>
  <c r="Y345" i="17"/>
  <c r="Z345" i="17"/>
  <c r="AA345" i="17"/>
  <c r="AB345" i="17"/>
  <c r="AC345" i="17"/>
  <c r="AD345" i="17"/>
  <c r="AE345" i="17"/>
  <c r="AF345" i="17"/>
  <c r="D346" i="17"/>
  <c r="E346" i="17"/>
  <c r="F346" i="17"/>
  <c r="G346" i="17"/>
  <c r="H346" i="17"/>
  <c r="I346" i="17"/>
  <c r="J346" i="17"/>
  <c r="K346" i="17"/>
  <c r="L346" i="17"/>
  <c r="M346" i="17"/>
  <c r="N346" i="17"/>
  <c r="O346" i="17"/>
  <c r="P346" i="17"/>
  <c r="Q346" i="17"/>
  <c r="R346" i="17"/>
  <c r="S346" i="17"/>
  <c r="T346" i="17"/>
  <c r="U346" i="17"/>
  <c r="V346" i="17"/>
  <c r="W346" i="17"/>
  <c r="X346" i="17"/>
  <c r="Y346" i="17"/>
  <c r="Z346" i="17"/>
  <c r="AA346" i="17"/>
  <c r="AB346" i="17"/>
  <c r="AC346" i="17"/>
  <c r="AD346" i="17"/>
  <c r="AE346" i="17"/>
  <c r="AF346" i="17"/>
  <c r="D347" i="17"/>
  <c r="E347" i="17"/>
  <c r="F347" i="17"/>
  <c r="G347" i="17"/>
  <c r="H347" i="17"/>
  <c r="I347" i="17"/>
  <c r="J347" i="17"/>
  <c r="K347" i="17"/>
  <c r="L347" i="17"/>
  <c r="M347" i="17"/>
  <c r="N347" i="17"/>
  <c r="O347" i="17"/>
  <c r="P347" i="17"/>
  <c r="Q347" i="17"/>
  <c r="R347" i="17"/>
  <c r="S347" i="17"/>
  <c r="T347" i="17"/>
  <c r="U347" i="17"/>
  <c r="V347" i="17"/>
  <c r="W347" i="17"/>
  <c r="X347" i="17"/>
  <c r="Y347" i="17"/>
  <c r="Z347" i="17"/>
  <c r="AA347" i="17"/>
  <c r="AB347" i="17"/>
  <c r="AC347" i="17"/>
  <c r="AD347" i="17"/>
  <c r="AE347" i="17"/>
  <c r="AF347" i="17"/>
  <c r="D348" i="17"/>
  <c r="E348" i="17"/>
  <c r="F348" i="17"/>
  <c r="G348" i="17"/>
  <c r="H348" i="17"/>
  <c r="I348" i="17"/>
  <c r="J348" i="17"/>
  <c r="K348" i="17"/>
  <c r="L348" i="17"/>
  <c r="M348" i="17"/>
  <c r="N348" i="17"/>
  <c r="O348" i="17"/>
  <c r="P348" i="17"/>
  <c r="Q348" i="17"/>
  <c r="R348" i="17"/>
  <c r="S348" i="17"/>
  <c r="T348" i="17"/>
  <c r="U348" i="17"/>
  <c r="V348" i="17"/>
  <c r="W348" i="17"/>
  <c r="X348" i="17"/>
  <c r="Y348" i="17"/>
  <c r="Z348" i="17"/>
  <c r="AA348" i="17"/>
  <c r="AB348" i="17"/>
  <c r="AC348" i="17"/>
  <c r="AD348" i="17"/>
  <c r="AE348" i="17"/>
  <c r="AF348" i="17"/>
  <c r="D349" i="17"/>
  <c r="E349" i="17"/>
  <c r="F349" i="17"/>
  <c r="G349" i="17"/>
  <c r="H349" i="17"/>
  <c r="I349" i="17"/>
  <c r="J349" i="17"/>
  <c r="K349" i="17"/>
  <c r="L349" i="17"/>
  <c r="M349" i="17"/>
  <c r="N349" i="17"/>
  <c r="O349" i="17"/>
  <c r="P349" i="17"/>
  <c r="Q349" i="17"/>
  <c r="R349" i="17"/>
  <c r="S349" i="17"/>
  <c r="T349" i="17"/>
  <c r="U349" i="17"/>
  <c r="V349" i="17"/>
  <c r="W349" i="17"/>
  <c r="X349" i="17"/>
  <c r="Y349" i="17"/>
  <c r="Z349" i="17"/>
  <c r="AA349" i="17"/>
  <c r="AB349" i="17"/>
  <c r="AC349" i="17"/>
  <c r="AD349" i="17"/>
  <c r="AE349" i="17"/>
  <c r="AF349" i="17"/>
  <c r="D350" i="17"/>
  <c r="E350" i="17"/>
  <c r="F350" i="17"/>
  <c r="G350" i="17"/>
  <c r="H350" i="17"/>
  <c r="I350" i="17"/>
  <c r="J350" i="17"/>
  <c r="K350" i="17"/>
  <c r="L350" i="17"/>
  <c r="M350" i="17"/>
  <c r="N350" i="17"/>
  <c r="O350" i="17"/>
  <c r="P350" i="17"/>
  <c r="Q350" i="17"/>
  <c r="R350" i="17"/>
  <c r="S350" i="17"/>
  <c r="T350" i="17"/>
  <c r="U350" i="17"/>
  <c r="V350" i="17"/>
  <c r="W350" i="17"/>
  <c r="X350" i="17"/>
  <c r="Y350" i="17"/>
  <c r="Z350" i="17"/>
  <c r="AA350" i="17"/>
  <c r="AB350" i="17"/>
  <c r="AC350" i="17"/>
  <c r="AD350" i="17"/>
  <c r="AE350" i="17"/>
  <c r="AF350" i="17"/>
  <c r="D351" i="17"/>
  <c r="E351" i="17"/>
  <c r="F351" i="17"/>
  <c r="G351" i="17"/>
  <c r="H351" i="17"/>
  <c r="I351" i="17"/>
  <c r="J351" i="17"/>
  <c r="K351" i="17"/>
  <c r="L351" i="17"/>
  <c r="M351" i="17"/>
  <c r="N351" i="17"/>
  <c r="O351" i="17"/>
  <c r="P351" i="17"/>
  <c r="Q351" i="17"/>
  <c r="R351" i="17"/>
  <c r="S351" i="17"/>
  <c r="T351" i="17"/>
  <c r="U351" i="17"/>
  <c r="V351" i="17"/>
  <c r="W351" i="17"/>
  <c r="X351" i="17"/>
  <c r="Y351" i="17"/>
  <c r="Z351" i="17"/>
  <c r="AA351" i="17"/>
  <c r="AB351" i="17"/>
  <c r="AC351" i="17"/>
  <c r="AD351" i="17"/>
  <c r="AE351" i="17"/>
  <c r="AF351" i="17"/>
  <c r="D352" i="17"/>
  <c r="E352" i="17"/>
  <c r="F352" i="17"/>
  <c r="G352" i="17"/>
  <c r="H352" i="17"/>
  <c r="I352" i="17"/>
  <c r="J352" i="17"/>
  <c r="K352" i="17"/>
  <c r="L352" i="17"/>
  <c r="M352" i="17"/>
  <c r="N352" i="17"/>
  <c r="O352" i="17"/>
  <c r="P352" i="17"/>
  <c r="Q352" i="17"/>
  <c r="R352" i="17"/>
  <c r="S352" i="17"/>
  <c r="T352" i="17"/>
  <c r="U352" i="17"/>
  <c r="V352" i="17"/>
  <c r="W352" i="17"/>
  <c r="X352" i="17"/>
  <c r="Y352" i="17"/>
  <c r="Z352" i="17"/>
  <c r="AA352" i="17"/>
  <c r="AB352" i="17"/>
  <c r="AC352" i="17"/>
  <c r="AD352" i="17"/>
  <c r="AE352" i="17"/>
  <c r="AF352" i="17"/>
  <c r="D353" i="17"/>
  <c r="E353" i="17"/>
  <c r="F353" i="17"/>
  <c r="G353" i="17"/>
  <c r="H353" i="17"/>
  <c r="I353" i="17"/>
  <c r="J353" i="17"/>
  <c r="K353" i="17"/>
  <c r="L353" i="17"/>
  <c r="M353" i="17"/>
  <c r="N353" i="17"/>
  <c r="O353" i="17"/>
  <c r="P353" i="17"/>
  <c r="Q353" i="17"/>
  <c r="R353" i="17"/>
  <c r="S353" i="17"/>
  <c r="T353" i="17"/>
  <c r="U353" i="17"/>
  <c r="V353" i="17"/>
  <c r="W353" i="17"/>
  <c r="X353" i="17"/>
  <c r="Y353" i="17"/>
  <c r="Z353" i="17"/>
  <c r="AA353" i="17"/>
  <c r="AB353" i="17"/>
  <c r="AC353" i="17"/>
  <c r="AD353" i="17"/>
  <c r="AE353" i="17"/>
  <c r="AF353" i="17"/>
  <c r="D354" i="17"/>
  <c r="E354" i="17"/>
  <c r="F354" i="17"/>
  <c r="G354" i="17"/>
  <c r="H354" i="17"/>
  <c r="I354" i="17"/>
  <c r="J354" i="17"/>
  <c r="K354" i="17"/>
  <c r="L354" i="17"/>
  <c r="M354" i="17"/>
  <c r="N354" i="17"/>
  <c r="O354" i="17"/>
  <c r="P354" i="17"/>
  <c r="Q354" i="17"/>
  <c r="R354" i="17"/>
  <c r="S354" i="17"/>
  <c r="T354" i="17"/>
  <c r="U354" i="17"/>
  <c r="V354" i="17"/>
  <c r="W354" i="17"/>
  <c r="X354" i="17"/>
  <c r="Y354" i="17"/>
  <c r="Z354" i="17"/>
  <c r="AA354" i="17"/>
  <c r="AB354" i="17"/>
  <c r="AC354" i="17"/>
  <c r="AD354" i="17"/>
  <c r="AE354" i="17"/>
  <c r="AF354" i="17"/>
  <c r="D355" i="17"/>
  <c r="E355" i="17"/>
  <c r="F355" i="17"/>
  <c r="G355" i="17"/>
  <c r="H355" i="17"/>
  <c r="I355" i="17"/>
  <c r="J355" i="17"/>
  <c r="K355" i="17"/>
  <c r="L355" i="17"/>
  <c r="M355" i="17"/>
  <c r="N355" i="17"/>
  <c r="O355" i="17"/>
  <c r="P355" i="17"/>
  <c r="Q355" i="17"/>
  <c r="R355" i="17"/>
  <c r="S355" i="17"/>
  <c r="T355" i="17"/>
  <c r="U355" i="17"/>
  <c r="V355" i="17"/>
  <c r="W355" i="17"/>
  <c r="X355" i="17"/>
  <c r="Y355" i="17"/>
  <c r="Z355" i="17"/>
  <c r="AA355" i="17"/>
  <c r="AB355" i="17"/>
  <c r="AC355" i="17"/>
  <c r="AD355" i="17"/>
  <c r="AE355" i="17"/>
  <c r="AF355" i="17"/>
  <c r="D356" i="17"/>
  <c r="E356" i="17"/>
  <c r="F356" i="17"/>
  <c r="G356" i="17"/>
  <c r="H356" i="17"/>
  <c r="I356" i="17"/>
  <c r="J356" i="17"/>
  <c r="K356" i="17"/>
  <c r="L356" i="17"/>
  <c r="M356" i="17"/>
  <c r="N356" i="17"/>
  <c r="O356" i="17"/>
  <c r="P356" i="17"/>
  <c r="Q356" i="17"/>
  <c r="R356" i="17"/>
  <c r="S356" i="17"/>
  <c r="T356" i="17"/>
  <c r="U356" i="17"/>
  <c r="V356" i="17"/>
  <c r="W356" i="17"/>
  <c r="X356" i="17"/>
  <c r="Y356" i="17"/>
  <c r="Z356" i="17"/>
  <c r="AA356" i="17"/>
  <c r="AB356" i="17"/>
  <c r="AC356" i="17"/>
  <c r="AD356" i="17"/>
  <c r="AE356" i="17"/>
  <c r="AF356" i="17"/>
  <c r="D357" i="17"/>
  <c r="E357" i="17"/>
  <c r="F357" i="17"/>
  <c r="G357" i="17"/>
  <c r="H357" i="17"/>
  <c r="I357" i="17"/>
  <c r="J357" i="17"/>
  <c r="K357" i="17"/>
  <c r="L357" i="17"/>
  <c r="M357" i="17"/>
  <c r="N357" i="17"/>
  <c r="O357" i="17"/>
  <c r="P357" i="17"/>
  <c r="Q357" i="17"/>
  <c r="R357" i="17"/>
  <c r="S357" i="17"/>
  <c r="T357" i="17"/>
  <c r="U357" i="17"/>
  <c r="V357" i="17"/>
  <c r="W357" i="17"/>
  <c r="X357" i="17"/>
  <c r="Y357" i="17"/>
  <c r="Z357" i="17"/>
  <c r="AA357" i="17"/>
  <c r="AB357" i="17"/>
  <c r="AC357" i="17"/>
  <c r="AD357" i="17"/>
  <c r="AE357" i="17"/>
  <c r="AF357" i="17"/>
  <c r="D358" i="17"/>
  <c r="E358" i="17"/>
  <c r="F358" i="17"/>
  <c r="G358" i="17"/>
  <c r="H358" i="17"/>
  <c r="I358" i="17"/>
  <c r="J358" i="17"/>
  <c r="K358" i="17"/>
  <c r="L358" i="17"/>
  <c r="M358" i="17"/>
  <c r="N358" i="17"/>
  <c r="O358" i="17"/>
  <c r="P358" i="17"/>
  <c r="Q358" i="17"/>
  <c r="R358" i="17"/>
  <c r="S358" i="17"/>
  <c r="T358" i="17"/>
  <c r="U358" i="17"/>
  <c r="V358" i="17"/>
  <c r="W358" i="17"/>
  <c r="X358" i="17"/>
  <c r="Y358" i="17"/>
  <c r="Z358" i="17"/>
  <c r="AA358" i="17"/>
  <c r="AB358" i="17"/>
  <c r="AC358" i="17"/>
  <c r="AD358" i="17"/>
  <c r="AE358" i="17"/>
  <c r="AF358" i="17"/>
  <c r="D359" i="17"/>
  <c r="E359" i="17"/>
  <c r="F359" i="17"/>
  <c r="G359" i="17"/>
  <c r="H359" i="17"/>
  <c r="I359" i="17"/>
  <c r="J359" i="17"/>
  <c r="K359" i="17"/>
  <c r="L359" i="17"/>
  <c r="M359" i="17"/>
  <c r="N359" i="17"/>
  <c r="O359" i="17"/>
  <c r="P359" i="17"/>
  <c r="Q359" i="17"/>
  <c r="R359" i="17"/>
  <c r="S359" i="17"/>
  <c r="T359" i="17"/>
  <c r="U359" i="17"/>
  <c r="V359" i="17"/>
  <c r="W359" i="17"/>
  <c r="X359" i="17"/>
  <c r="Y359" i="17"/>
  <c r="Z359" i="17"/>
  <c r="AA359" i="17"/>
  <c r="AB359" i="17"/>
  <c r="AC359" i="17"/>
  <c r="AD359" i="17"/>
  <c r="AE359" i="17"/>
  <c r="AF359" i="17"/>
  <c r="D360" i="17"/>
  <c r="E360" i="17"/>
  <c r="F360" i="17"/>
  <c r="G360" i="17"/>
  <c r="H360" i="17"/>
  <c r="I360" i="17"/>
  <c r="J360" i="17"/>
  <c r="K360" i="17"/>
  <c r="L360" i="17"/>
  <c r="M360" i="17"/>
  <c r="N360" i="17"/>
  <c r="O360" i="17"/>
  <c r="P360" i="17"/>
  <c r="Q360" i="17"/>
  <c r="R360" i="17"/>
  <c r="S360" i="17"/>
  <c r="T360" i="17"/>
  <c r="U360" i="17"/>
  <c r="V360" i="17"/>
  <c r="W360" i="17"/>
  <c r="X360" i="17"/>
  <c r="Y360" i="17"/>
  <c r="Z360" i="17"/>
  <c r="AA360" i="17"/>
  <c r="AB360" i="17"/>
  <c r="AC360" i="17"/>
  <c r="AD360" i="17"/>
  <c r="AE360" i="17"/>
  <c r="AF360" i="17"/>
  <c r="D361" i="17"/>
  <c r="E361" i="17"/>
  <c r="F361" i="17"/>
  <c r="G361" i="17"/>
  <c r="H361" i="17"/>
  <c r="I361" i="17"/>
  <c r="J361" i="17"/>
  <c r="K361" i="17"/>
  <c r="L361" i="17"/>
  <c r="M361" i="17"/>
  <c r="N361" i="17"/>
  <c r="O361" i="17"/>
  <c r="P361" i="17"/>
  <c r="Q361" i="17"/>
  <c r="R361" i="17"/>
  <c r="S361" i="17"/>
  <c r="T361" i="17"/>
  <c r="U361" i="17"/>
  <c r="V361" i="17"/>
  <c r="W361" i="17"/>
  <c r="X361" i="17"/>
  <c r="Y361" i="17"/>
  <c r="Z361" i="17"/>
  <c r="AA361" i="17"/>
  <c r="AB361" i="17"/>
  <c r="AC361" i="17"/>
  <c r="AD361" i="17"/>
  <c r="AE361" i="17"/>
  <c r="AF361" i="17"/>
  <c r="D362" i="17"/>
  <c r="E362" i="17"/>
  <c r="F362" i="17"/>
  <c r="G362" i="17"/>
  <c r="H362" i="17"/>
  <c r="I362" i="17"/>
  <c r="J362" i="17"/>
  <c r="K362" i="17"/>
  <c r="L362" i="17"/>
  <c r="M362" i="17"/>
  <c r="N362" i="17"/>
  <c r="O362" i="17"/>
  <c r="P362" i="17"/>
  <c r="Q362" i="17"/>
  <c r="R362" i="17"/>
  <c r="S362" i="17"/>
  <c r="T362" i="17"/>
  <c r="U362" i="17"/>
  <c r="V362" i="17"/>
  <c r="W362" i="17"/>
  <c r="X362" i="17"/>
  <c r="Y362" i="17"/>
  <c r="Z362" i="17"/>
  <c r="AA362" i="17"/>
  <c r="AB362" i="17"/>
  <c r="AC362" i="17"/>
  <c r="AD362" i="17"/>
  <c r="AE362" i="17"/>
  <c r="AF362" i="17"/>
  <c r="D363" i="17"/>
  <c r="E363" i="17"/>
  <c r="F363" i="17"/>
  <c r="G363" i="17"/>
  <c r="H363" i="17"/>
  <c r="I363" i="17"/>
  <c r="J363" i="17"/>
  <c r="K363" i="17"/>
  <c r="L363" i="17"/>
  <c r="M363" i="17"/>
  <c r="N363" i="17"/>
  <c r="O363" i="17"/>
  <c r="P363" i="17"/>
  <c r="Q363" i="17"/>
  <c r="R363" i="17"/>
  <c r="S363" i="17"/>
  <c r="T363" i="17"/>
  <c r="U363" i="17"/>
  <c r="V363" i="17"/>
  <c r="W363" i="17"/>
  <c r="X363" i="17"/>
  <c r="Y363" i="17"/>
  <c r="Z363" i="17"/>
  <c r="AA363" i="17"/>
  <c r="AB363" i="17"/>
  <c r="AC363" i="17"/>
  <c r="AD363" i="17"/>
  <c r="AE363" i="17"/>
  <c r="AF363" i="17"/>
  <c r="D364" i="17"/>
  <c r="E364" i="17"/>
  <c r="F364" i="17"/>
  <c r="G364" i="17"/>
  <c r="H364" i="17"/>
  <c r="I364" i="17"/>
  <c r="J364" i="17"/>
  <c r="K364" i="17"/>
  <c r="L364" i="17"/>
  <c r="M364" i="17"/>
  <c r="N364" i="17"/>
  <c r="O364" i="17"/>
  <c r="P364" i="17"/>
  <c r="Q364" i="17"/>
  <c r="R364" i="17"/>
  <c r="S364" i="17"/>
  <c r="T364" i="17"/>
  <c r="U364" i="17"/>
  <c r="V364" i="17"/>
  <c r="W364" i="17"/>
  <c r="X364" i="17"/>
  <c r="Y364" i="17"/>
  <c r="Z364" i="17"/>
  <c r="AA364" i="17"/>
  <c r="AB364" i="17"/>
  <c r="AC364" i="17"/>
  <c r="AD364" i="17"/>
  <c r="AE364" i="17"/>
  <c r="AF364" i="17"/>
  <c r="D365" i="17"/>
  <c r="E365" i="17"/>
  <c r="F365" i="17"/>
  <c r="G365" i="17"/>
  <c r="H365" i="17"/>
  <c r="I365" i="17"/>
  <c r="J365" i="17"/>
  <c r="K365" i="17"/>
  <c r="L365" i="17"/>
  <c r="M365" i="17"/>
  <c r="N365" i="17"/>
  <c r="O365" i="17"/>
  <c r="P365" i="17"/>
  <c r="Q365" i="17"/>
  <c r="R365" i="17"/>
  <c r="S365" i="17"/>
  <c r="T365" i="17"/>
  <c r="U365" i="17"/>
  <c r="V365" i="17"/>
  <c r="W365" i="17"/>
  <c r="X365" i="17"/>
  <c r="Y365" i="17"/>
  <c r="Z365" i="17"/>
  <c r="AA365" i="17"/>
  <c r="AB365" i="17"/>
  <c r="AC365" i="17"/>
  <c r="AD365" i="17"/>
  <c r="AE365" i="17"/>
  <c r="AF365" i="17"/>
  <c r="D366" i="17"/>
  <c r="E366" i="17"/>
  <c r="F366" i="17"/>
  <c r="G366" i="17"/>
  <c r="H366" i="17"/>
  <c r="I366" i="17"/>
  <c r="J366" i="17"/>
  <c r="K366" i="17"/>
  <c r="L366" i="17"/>
  <c r="M366" i="17"/>
  <c r="N366" i="17"/>
  <c r="O366" i="17"/>
  <c r="P366" i="17"/>
  <c r="Q366" i="17"/>
  <c r="R366" i="17"/>
  <c r="S366" i="17"/>
  <c r="T366" i="17"/>
  <c r="U366" i="17"/>
  <c r="V366" i="17"/>
  <c r="W366" i="17"/>
  <c r="X366" i="17"/>
  <c r="Y366" i="17"/>
  <c r="Z366" i="17"/>
  <c r="AA366" i="17"/>
  <c r="AB366" i="17"/>
  <c r="AC366" i="17"/>
  <c r="AD366" i="17"/>
  <c r="AE366" i="17"/>
  <c r="AF366" i="17"/>
  <c r="D367" i="17"/>
  <c r="E367" i="17"/>
  <c r="F367" i="17"/>
  <c r="G367" i="17"/>
  <c r="H367" i="17"/>
  <c r="I367" i="17"/>
  <c r="J367" i="17"/>
  <c r="K367" i="17"/>
  <c r="L367" i="17"/>
  <c r="M367" i="17"/>
  <c r="N367" i="17"/>
  <c r="O367" i="17"/>
  <c r="P367" i="17"/>
  <c r="Q367" i="17"/>
  <c r="R367" i="17"/>
  <c r="S367" i="17"/>
  <c r="T367" i="17"/>
  <c r="U367" i="17"/>
  <c r="V367" i="17"/>
  <c r="W367" i="17"/>
  <c r="X367" i="17"/>
  <c r="Y367" i="17"/>
  <c r="Z367" i="17"/>
  <c r="AA367" i="17"/>
  <c r="AB367" i="17"/>
  <c r="AC367" i="17"/>
  <c r="AD367" i="17"/>
  <c r="AE367" i="17"/>
  <c r="AF367" i="17"/>
  <c r="D368" i="17"/>
  <c r="E368" i="17"/>
  <c r="F368" i="17"/>
  <c r="G368" i="17"/>
  <c r="H368" i="17"/>
  <c r="I368" i="17"/>
  <c r="J368" i="17"/>
  <c r="K368" i="17"/>
  <c r="L368" i="17"/>
  <c r="M368" i="17"/>
  <c r="N368" i="17"/>
  <c r="O368" i="17"/>
  <c r="P368" i="17"/>
  <c r="Q368" i="17"/>
  <c r="R368" i="17"/>
  <c r="S368" i="17"/>
  <c r="T368" i="17"/>
  <c r="U368" i="17"/>
  <c r="V368" i="17"/>
  <c r="W368" i="17"/>
  <c r="X368" i="17"/>
  <c r="Y368" i="17"/>
  <c r="Z368" i="17"/>
  <c r="AA368" i="17"/>
  <c r="AB368" i="17"/>
  <c r="AC368" i="17"/>
  <c r="AD368" i="17"/>
  <c r="AE368" i="17"/>
  <c r="AF368" i="17"/>
  <c r="D369" i="17"/>
  <c r="E369" i="17"/>
  <c r="F369" i="17"/>
  <c r="G369" i="17"/>
  <c r="H369" i="17"/>
  <c r="I369" i="17"/>
  <c r="J369" i="17"/>
  <c r="K369" i="17"/>
  <c r="L369" i="17"/>
  <c r="M369" i="17"/>
  <c r="N369" i="17"/>
  <c r="O369" i="17"/>
  <c r="P369" i="17"/>
  <c r="Q369" i="17"/>
  <c r="R369" i="17"/>
  <c r="S369" i="17"/>
  <c r="T369" i="17"/>
  <c r="U369" i="17"/>
  <c r="V369" i="17"/>
  <c r="W369" i="17"/>
  <c r="X369" i="17"/>
  <c r="Y369" i="17"/>
  <c r="Z369" i="17"/>
  <c r="AA369" i="17"/>
  <c r="AB369" i="17"/>
  <c r="AC369" i="17"/>
  <c r="AD369" i="17"/>
  <c r="AE369" i="17"/>
  <c r="AF369" i="17"/>
  <c r="D370" i="17"/>
  <c r="E370" i="17"/>
  <c r="F370" i="17"/>
  <c r="G370" i="17"/>
  <c r="H370" i="17"/>
  <c r="I370" i="17"/>
  <c r="J370" i="17"/>
  <c r="K370" i="17"/>
  <c r="L370" i="17"/>
  <c r="M370" i="17"/>
  <c r="N370" i="17"/>
  <c r="O370" i="17"/>
  <c r="P370" i="17"/>
  <c r="Q370" i="17"/>
  <c r="R370" i="17"/>
  <c r="S370" i="17"/>
  <c r="T370" i="17"/>
  <c r="U370" i="17"/>
  <c r="V370" i="17"/>
  <c r="W370" i="17"/>
  <c r="X370" i="17"/>
  <c r="Y370" i="17"/>
  <c r="Z370" i="17"/>
  <c r="AA370" i="17"/>
  <c r="AB370" i="17"/>
  <c r="AC370" i="17"/>
  <c r="AD370" i="17"/>
  <c r="AE370" i="17"/>
  <c r="AF370" i="17"/>
  <c r="D371" i="17"/>
  <c r="E371" i="17"/>
  <c r="F371" i="17"/>
  <c r="G371" i="17"/>
  <c r="H371" i="17"/>
  <c r="I371" i="17"/>
  <c r="J371" i="17"/>
  <c r="K371" i="17"/>
  <c r="L371" i="17"/>
  <c r="M371" i="17"/>
  <c r="N371" i="17"/>
  <c r="O371" i="17"/>
  <c r="P371" i="17"/>
  <c r="Q371" i="17"/>
  <c r="R371" i="17"/>
  <c r="S371" i="17"/>
  <c r="T371" i="17"/>
  <c r="U371" i="17"/>
  <c r="V371" i="17"/>
  <c r="W371" i="17"/>
  <c r="X371" i="17"/>
  <c r="Y371" i="17"/>
  <c r="Z371" i="17"/>
  <c r="AA371" i="17"/>
  <c r="AB371" i="17"/>
  <c r="AC371" i="17"/>
  <c r="AD371" i="17"/>
  <c r="AE371" i="17"/>
  <c r="AF371" i="17"/>
  <c r="D372" i="17"/>
  <c r="E372" i="17"/>
  <c r="F372" i="17"/>
  <c r="G372" i="17"/>
  <c r="H372" i="17"/>
  <c r="I372" i="17"/>
  <c r="J372" i="17"/>
  <c r="K372" i="17"/>
  <c r="L372" i="17"/>
  <c r="M372" i="17"/>
  <c r="N372" i="17"/>
  <c r="O372" i="17"/>
  <c r="P372" i="17"/>
  <c r="Q372" i="17"/>
  <c r="R372" i="17"/>
  <c r="S372" i="17"/>
  <c r="T372" i="17"/>
  <c r="U372" i="17"/>
  <c r="V372" i="17"/>
  <c r="W372" i="17"/>
  <c r="X372" i="17"/>
  <c r="Y372" i="17"/>
  <c r="Z372" i="17"/>
  <c r="AA372" i="17"/>
  <c r="AB372" i="17"/>
  <c r="AC372" i="17"/>
  <c r="AD372" i="17"/>
  <c r="AE372" i="17"/>
  <c r="AF372" i="17"/>
  <c r="D373" i="17"/>
  <c r="E373" i="17"/>
  <c r="F373" i="17"/>
  <c r="G373" i="17"/>
  <c r="H373" i="17"/>
  <c r="I373" i="17"/>
  <c r="J373" i="17"/>
  <c r="K373" i="17"/>
  <c r="L373" i="17"/>
  <c r="M373" i="17"/>
  <c r="N373" i="17"/>
  <c r="O373" i="17"/>
  <c r="P373" i="17"/>
  <c r="Q373" i="17"/>
  <c r="R373" i="17"/>
  <c r="S373" i="17"/>
  <c r="T373" i="17"/>
  <c r="U373" i="17"/>
  <c r="V373" i="17"/>
  <c r="W373" i="17"/>
  <c r="X373" i="17"/>
  <c r="Y373" i="17"/>
  <c r="Z373" i="17"/>
  <c r="AA373" i="17"/>
  <c r="AB373" i="17"/>
  <c r="AC373" i="17"/>
  <c r="AD373" i="17"/>
  <c r="AE373" i="17"/>
  <c r="AF373" i="17"/>
  <c r="D374" i="17"/>
  <c r="E374" i="17"/>
  <c r="F374" i="17"/>
  <c r="G374" i="17"/>
  <c r="H374" i="17"/>
  <c r="I374" i="17"/>
  <c r="J374" i="17"/>
  <c r="K374" i="17"/>
  <c r="L374" i="17"/>
  <c r="M374" i="17"/>
  <c r="N374" i="17"/>
  <c r="O374" i="17"/>
  <c r="P374" i="17"/>
  <c r="Q374" i="17"/>
  <c r="R374" i="17"/>
  <c r="S374" i="17"/>
  <c r="T374" i="17"/>
  <c r="U374" i="17"/>
  <c r="V374" i="17"/>
  <c r="W374" i="17"/>
  <c r="X374" i="17"/>
  <c r="Y374" i="17"/>
  <c r="Z374" i="17"/>
  <c r="AA374" i="17"/>
  <c r="AB374" i="17"/>
  <c r="AC374" i="17"/>
  <c r="AD374" i="17"/>
  <c r="AE374" i="17"/>
  <c r="AF374" i="17"/>
  <c r="D375" i="17"/>
  <c r="E375" i="17"/>
  <c r="F375" i="17"/>
  <c r="G375" i="17"/>
  <c r="H375" i="17"/>
  <c r="I375" i="17"/>
  <c r="J375" i="17"/>
  <c r="K375" i="17"/>
  <c r="L375" i="17"/>
  <c r="M375" i="17"/>
  <c r="N375" i="17"/>
  <c r="O375" i="17"/>
  <c r="P375" i="17"/>
  <c r="Q375" i="17"/>
  <c r="R375" i="17"/>
  <c r="S375" i="17"/>
  <c r="T375" i="17"/>
  <c r="U375" i="17"/>
  <c r="V375" i="17"/>
  <c r="W375" i="17"/>
  <c r="X375" i="17"/>
  <c r="Y375" i="17"/>
  <c r="Z375" i="17"/>
  <c r="AA375" i="17"/>
  <c r="AB375" i="17"/>
  <c r="AC375" i="17"/>
  <c r="AD375" i="17"/>
  <c r="AE375" i="17"/>
  <c r="AF375" i="17"/>
  <c r="D376" i="17"/>
  <c r="E376" i="17"/>
  <c r="F376" i="17"/>
  <c r="G376" i="17"/>
  <c r="H376" i="17"/>
  <c r="I376" i="17"/>
  <c r="J376" i="17"/>
  <c r="K376" i="17"/>
  <c r="L376" i="17"/>
  <c r="M376" i="17"/>
  <c r="N376" i="17"/>
  <c r="O376" i="17"/>
  <c r="P376" i="17"/>
  <c r="Q376" i="17"/>
  <c r="R376" i="17"/>
  <c r="S376" i="17"/>
  <c r="T376" i="17"/>
  <c r="U376" i="17"/>
  <c r="V376" i="17"/>
  <c r="W376" i="17"/>
  <c r="X376" i="17"/>
  <c r="Y376" i="17"/>
  <c r="Z376" i="17"/>
  <c r="AA376" i="17"/>
  <c r="AB376" i="17"/>
  <c r="AC376" i="17"/>
  <c r="AD376" i="17"/>
  <c r="AE376" i="17"/>
  <c r="AF376" i="17"/>
  <c r="D377" i="17"/>
  <c r="E377" i="17"/>
  <c r="F377" i="17"/>
  <c r="G377" i="17"/>
  <c r="H377" i="17"/>
  <c r="I377" i="17"/>
  <c r="J377" i="17"/>
  <c r="K377" i="17"/>
  <c r="L377" i="17"/>
  <c r="M377" i="17"/>
  <c r="N377" i="17"/>
  <c r="O377" i="17"/>
  <c r="P377" i="17"/>
  <c r="Q377" i="17"/>
  <c r="R377" i="17"/>
  <c r="S377" i="17"/>
  <c r="T377" i="17"/>
  <c r="U377" i="17"/>
  <c r="V377" i="17"/>
  <c r="W377" i="17"/>
  <c r="X377" i="17"/>
  <c r="Y377" i="17"/>
  <c r="Z377" i="17"/>
  <c r="AA377" i="17"/>
  <c r="AB377" i="17"/>
  <c r="AC377" i="17"/>
  <c r="AD377" i="17"/>
  <c r="AE377" i="17"/>
  <c r="AF377" i="17"/>
  <c r="D378" i="17"/>
  <c r="E378" i="17"/>
  <c r="F378" i="17"/>
  <c r="G378" i="17"/>
  <c r="H378" i="17"/>
  <c r="I378" i="17"/>
  <c r="J378" i="17"/>
  <c r="K378" i="17"/>
  <c r="L378" i="17"/>
  <c r="M378" i="17"/>
  <c r="N378" i="17"/>
  <c r="O378" i="17"/>
  <c r="P378" i="17"/>
  <c r="Q378" i="17"/>
  <c r="R378" i="17"/>
  <c r="S378" i="17"/>
  <c r="T378" i="17"/>
  <c r="U378" i="17"/>
  <c r="V378" i="17"/>
  <c r="W378" i="17"/>
  <c r="X378" i="17"/>
  <c r="Y378" i="17"/>
  <c r="Z378" i="17"/>
  <c r="AA378" i="17"/>
  <c r="AB378" i="17"/>
  <c r="AC378" i="17"/>
  <c r="AD378" i="17"/>
  <c r="AE378" i="17"/>
  <c r="AF378" i="17"/>
  <c r="D379" i="17"/>
  <c r="E379" i="17"/>
  <c r="F379" i="17"/>
  <c r="G379" i="17"/>
  <c r="H379" i="17"/>
  <c r="I379" i="17"/>
  <c r="J379" i="17"/>
  <c r="K379" i="17"/>
  <c r="L379" i="17"/>
  <c r="M379" i="17"/>
  <c r="N379" i="17"/>
  <c r="O379" i="17"/>
  <c r="P379" i="17"/>
  <c r="Q379" i="17"/>
  <c r="R379" i="17"/>
  <c r="S379" i="17"/>
  <c r="T379" i="17"/>
  <c r="U379" i="17"/>
  <c r="V379" i="17"/>
  <c r="W379" i="17"/>
  <c r="X379" i="17"/>
  <c r="Y379" i="17"/>
  <c r="Z379" i="17"/>
  <c r="AA379" i="17"/>
  <c r="AB379" i="17"/>
  <c r="AC379" i="17"/>
  <c r="AD379" i="17"/>
  <c r="AE379" i="17"/>
  <c r="AF379" i="17"/>
  <c r="D380" i="17"/>
  <c r="E380" i="17"/>
  <c r="F380" i="17"/>
  <c r="G380" i="17"/>
  <c r="H380" i="17"/>
  <c r="I380" i="17"/>
  <c r="J380" i="17"/>
  <c r="K380" i="17"/>
  <c r="L380" i="17"/>
  <c r="M380" i="17"/>
  <c r="N380" i="17"/>
  <c r="O380" i="17"/>
  <c r="P380" i="17"/>
  <c r="Q380" i="17"/>
  <c r="R380" i="17"/>
  <c r="S380" i="17"/>
  <c r="T380" i="17"/>
  <c r="U380" i="17"/>
  <c r="V380" i="17"/>
  <c r="W380" i="17"/>
  <c r="X380" i="17"/>
  <c r="Y380" i="17"/>
  <c r="Z380" i="17"/>
  <c r="AA380" i="17"/>
  <c r="AB380" i="17"/>
  <c r="AC380" i="17"/>
  <c r="AD380" i="17"/>
  <c r="AE380" i="17"/>
  <c r="AF380" i="17"/>
  <c r="D381" i="17"/>
  <c r="E381" i="17"/>
  <c r="F381" i="17"/>
  <c r="G381" i="17"/>
  <c r="H381" i="17"/>
  <c r="I381" i="17"/>
  <c r="J381" i="17"/>
  <c r="K381" i="17"/>
  <c r="L381" i="17"/>
  <c r="M381" i="17"/>
  <c r="N381" i="17"/>
  <c r="O381" i="17"/>
  <c r="P381" i="17"/>
  <c r="Q381" i="17"/>
  <c r="R381" i="17"/>
  <c r="S381" i="17"/>
  <c r="T381" i="17"/>
  <c r="U381" i="17"/>
  <c r="V381" i="17"/>
  <c r="W381" i="17"/>
  <c r="X381" i="17"/>
  <c r="Y381" i="17"/>
  <c r="Z381" i="17"/>
  <c r="AA381" i="17"/>
  <c r="AB381" i="17"/>
  <c r="AC381" i="17"/>
  <c r="AD381" i="17"/>
  <c r="AE381" i="17"/>
  <c r="AF381" i="17"/>
  <c r="D382" i="17"/>
  <c r="E382" i="17"/>
  <c r="F382" i="17"/>
  <c r="G382" i="17"/>
  <c r="H382" i="17"/>
  <c r="I382" i="17"/>
  <c r="J382" i="17"/>
  <c r="K382" i="17"/>
  <c r="L382" i="17"/>
  <c r="M382" i="17"/>
  <c r="N382" i="17"/>
  <c r="O382" i="17"/>
  <c r="P382" i="17"/>
  <c r="Q382" i="17"/>
  <c r="R382" i="17"/>
  <c r="S382" i="17"/>
  <c r="T382" i="17"/>
  <c r="U382" i="17"/>
  <c r="V382" i="17"/>
  <c r="W382" i="17"/>
  <c r="X382" i="17"/>
  <c r="Y382" i="17"/>
  <c r="Z382" i="17"/>
  <c r="AA382" i="17"/>
  <c r="AB382" i="17"/>
  <c r="AC382" i="17"/>
  <c r="AD382" i="17"/>
  <c r="AE382" i="17"/>
  <c r="AF382" i="17"/>
  <c r="D383" i="17"/>
  <c r="E383" i="17"/>
  <c r="F383" i="17"/>
  <c r="G383" i="17"/>
  <c r="H383" i="17"/>
  <c r="I383" i="17"/>
  <c r="J383" i="17"/>
  <c r="K383" i="17"/>
  <c r="L383" i="17"/>
  <c r="M383" i="17"/>
  <c r="N383" i="17"/>
  <c r="O383" i="17"/>
  <c r="P383" i="17"/>
  <c r="Q383" i="17"/>
  <c r="R383" i="17"/>
  <c r="S383" i="17"/>
  <c r="T383" i="17"/>
  <c r="U383" i="17"/>
  <c r="V383" i="17"/>
  <c r="W383" i="17"/>
  <c r="X383" i="17"/>
  <c r="Y383" i="17"/>
  <c r="Z383" i="17"/>
  <c r="AA383" i="17"/>
  <c r="AB383" i="17"/>
  <c r="AC383" i="17"/>
  <c r="AD383" i="17"/>
  <c r="AE383" i="17"/>
  <c r="AF383" i="17"/>
  <c r="D384" i="17"/>
  <c r="E384" i="17"/>
  <c r="F384" i="17"/>
  <c r="G384" i="17"/>
  <c r="H384" i="17"/>
  <c r="I384" i="17"/>
  <c r="J384" i="17"/>
  <c r="K384" i="17"/>
  <c r="L384" i="17"/>
  <c r="M384" i="17"/>
  <c r="N384" i="17"/>
  <c r="O384" i="17"/>
  <c r="P384" i="17"/>
  <c r="Q384" i="17"/>
  <c r="R384" i="17"/>
  <c r="S384" i="17"/>
  <c r="T384" i="17"/>
  <c r="U384" i="17"/>
  <c r="V384" i="17"/>
  <c r="W384" i="17"/>
  <c r="X384" i="17"/>
  <c r="Y384" i="17"/>
  <c r="Z384" i="17"/>
  <c r="AA384" i="17"/>
  <c r="AB384" i="17"/>
  <c r="AC384" i="17"/>
  <c r="AD384" i="17"/>
  <c r="AE384" i="17"/>
  <c r="AF384" i="17"/>
  <c r="D385" i="17"/>
  <c r="E385" i="17"/>
  <c r="F385" i="17"/>
  <c r="G385" i="17"/>
  <c r="H385" i="17"/>
  <c r="I385" i="17"/>
  <c r="J385" i="17"/>
  <c r="K385" i="17"/>
  <c r="L385" i="17"/>
  <c r="M385" i="17"/>
  <c r="N385" i="17"/>
  <c r="O385" i="17"/>
  <c r="P385" i="17"/>
  <c r="Q385" i="17"/>
  <c r="R385" i="17"/>
  <c r="S385" i="17"/>
  <c r="T385" i="17"/>
  <c r="U385" i="17"/>
  <c r="V385" i="17"/>
  <c r="W385" i="17"/>
  <c r="X385" i="17"/>
  <c r="Y385" i="17"/>
  <c r="Z385" i="17"/>
  <c r="AA385" i="17"/>
  <c r="AB385" i="17"/>
  <c r="AC385" i="17"/>
  <c r="AD385" i="17"/>
  <c r="AE385" i="17"/>
  <c r="AF385" i="17"/>
  <c r="D386" i="17"/>
  <c r="E386" i="17"/>
  <c r="F386" i="17"/>
  <c r="G386" i="17"/>
  <c r="H386" i="17"/>
  <c r="I386" i="17"/>
  <c r="J386" i="17"/>
  <c r="K386" i="17"/>
  <c r="L386" i="17"/>
  <c r="M386" i="17"/>
  <c r="N386" i="17"/>
  <c r="O386" i="17"/>
  <c r="P386" i="17"/>
  <c r="Q386" i="17"/>
  <c r="R386" i="17"/>
  <c r="S386" i="17"/>
  <c r="T386" i="17"/>
  <c r="U386" i="17"/>
  <c r="V386" i="17"/>
  <c r="W386" i="17"/>
  <c r="X386" i="17"/>
  <c r="Y386" i="17"/>
  <c r="Z386" i="17"/>
  <c r="AA386" i="17"/>
  <c r="AB386" i="17"/>
  <c r="AC386" i="17"/>
  <c r="AD386" i="17"/>
  <c r="AE386" i="17"/>
  <c r="AF386" i="17"/>
  <c r="D387" i="17"/>
  <c r="E387" i="17"/>
  <c r="F387" i="17"/>
  <c r="G387" i="17"/>
  <c r="H387" i="17"/>
  <c r="I387" i="17"/>
  <c r="J387" i="17"/>
  <c r="K387" i="17"/>
  <c r="L387" i="17"/>
  <c r="M387" i="17"/>
  <c r="N387" i="17"/>
  <c r="O387" i="17"/>
  <c r="P387" i="17"/>
  <c r="Q387" i="17"/>
  <c r="R387" i="17"/>
  <c r="S387" i="17"/>
  <c r="T387" i="17"/>
  <c r="U387" i="17"/>
  <c r="V387" i="17"/>
  <c r="W387" i="17"/>
  <c r="X387" i="17"/>
  <c r="Y387" i="17"/>
  <c r="Z387" i="17"/>
  <c r="AA387" i="17"/>
  <c r="AB387" i="17"/>
  <c r="AC387" i="17"/>
  <c r="AD387" i="17"/>
  <c r="AE387" i="17"/>
  <c r="AF387" i="17"/>
  <c r="D388" i="17"/>
  <c r="E388" i="17"/>
  <c r="F388" i="17"/>
  <c r="G388" i="17"/>
  <c r="H388" i="17"/>
  <c r="I388" i="17"/>
  <c r="J388" i="17"/>
  <c r="K388" i="17"/>
  <c r="L388" i="17"/>
  <c r="M388" i="17"/>
  <c r="N388" i="17"/>
  <c r="O388" i="17"/>
  <c r="P388" i="17"/>
  <c r="Q388" i="17"/>
  <c r="R388" i="17"/>
  <c r="S388" i="17"/>
  <c r="T388" i="17"/>
  <c r="U388" i="17"/>
  <c r="V388" i="17"/>
  <c r="W388" i="17"/>
  <c r="X388" i="17"/>
  <c r="Y388" i="17"/>
  <c r="Z388" i="17"/>
  <c r="AA388" i="17"/>
  <c r="AB388" i="17"/>
  <c r="AC388" i="17"/>
  <c r="AD388" i="17"/>
  <c r="AE388" i="17"/>
  <c r="AF388" i="17"/>
  <c r="D389" i="17"/>
  <c r="E389" i="17"/>
  <c r="F389" i="17"/>
  <c r="G389" i="17"/>
  <c r="H389" i="17"/>
  <c r="I389" i="17"/>
  <c r="J389" i="17"/>
  <c r="K389" i="17"/>
  <c r="L389" i="17"/>
  <c r="M389" i="17"/>
  <c r="N389" i="17"/>
  <c r="O389" i="17"/>
  <c r="P389" i="17"/>
  <c r="Q389" i="17"/>
  <c r="R389" i="17"/>
  <c r="S389" i="17"/>
  <c r="T389" i="17"/>
  <c r="U389" i="17"/>
  <c r="V389" i="17"/>
  <c r="W389" i="17"/>
  <c r="X389" i="17"/>
  <c r="Y389" i="17"/>
  <c r="Z389" i="17"/>
  <c r="AA389" i="17"/>
  <c r="AB389" i="17"/>
  <c r="AC389" i="17"/>
  <c r="AD389" i="17"/>
  <c r="AE389" i="17"/>
  <c r="AF389" i="17"/>
  <c r="D390" i="17"/>
  <c r="E390" i="17"/>
  <c r="F390" i="17"/>
  <c r="G390" i="17"/>
  <c r="H390" i="17"/>
  <c r="I390" i="17"/>
  <c r="J390" i="17"/>
  <c r="K390" i="17"/>
  <c r="L390" i="17"/>
  <c r="M390" i="17"/>
  <c r="N390" i="17"/>
  <c r="O390" i="17"/>
  <c r="P390" i="17"/>
  <c r="Q390" i="17"/>
  <c r="R390" i="17"/>
  <c r="S390" i="17"/>
  <c r="T390" i="17"/>
  <c r="U390" i="17"/>
  <c r="V390" i="17"/>
  <c r="W390" i="17"/>
  <c r="X390" i="17"/>
  <c r="Y390" i="17"/>
  <c r="Z390" i="17"/>
  <c r="AA390" i="17"/>
  <c r="AB390" i="17"/>
  <c r="AC390" i="17"/>
  <c r="AD390" i="17"/>
  <c r="AE390" i="17"/>
  <c r="AF390" i="17"/>
  <c r="D391" i="17"/>
  <c r="E391" i="17"/>
  <c r="F391" i="17"/>
  <c r="G391" i="17"/>
  <c r="H391" i="17"/>
  <c r="I391" i="17"/>
  <c r="J391" i="17"/>
  <c r="K391" i="17"/>
  <c r="L391" i="17"/>
  <c r="M391" i="17"/>
  <c r="N391" i="17"/>
  <c r="O391" i="17"/>
  <c r="P391" i="17"/>
  <c r="Q391" i="17"/>
  <c r="R391" i="17"/>
  <c r="S391" i="17"/>
  <c r="T391" i="17"/>
  <c r="U391" i="17"/>
  <c r="V391" i="17"/>
  <c r="W391" i="17"/>
  <c r="X391" i="17"/>
  <c r="Y391" i="17"/>
  <c r="Z391" i="17"/>
  <c r="AA391" i="17"/>
  <c r="AB391" i="17"/>
  <c r="AC391" i="17"/>
  <c r="AD391" i="17"/>
  <c r="AE391" i="17"/>
  <c r="AF391" i="17"/>
  <c r="D392" i="17"/>
  <c r="E392" i="17"/>
  <c r="F392" i="17"/>
  <c r="G392" i="17"/>
  <c r="H392" i="17"/>
  <c r="I392" i="17"/>
  <c r="J392" i="17"/>
  <c r="K392" i="17"/>
  <c r="L392" i="17"/>
  <c r="M392" i="17"/>
  <c r="N392" i="17"/>
  <c r="O392" i="17"/>
  <c r="P392" i="17"/>
  <c r="Q392" i="17"/>
  <c r="R392" i="17"/>
  <c r="S392" i="17"/>
  <c r="T392" i="17"/>
  <c r="U392" i="17"/>
  <c r="V392" i="17"/>
  <c r="W392" i="17"/>
  <c r="X392" i="17"/>
  <c r="Y392" i="17"/>
  <c r="Z392" i="17"/>
  <c r="AA392" i="17"/>
  <c r="AB392" i="17"/>
  <c r="AC392" i="17"/>
  <c r="AD392" i="17"/>
  <c r="AE392" i="17"/>
  <c r="AF392" i="17"/>
  <c r="D393" i="17"/>
  <c r="E393" i="17"/>
  <c r="F393" i="17"/>
  <c r="G393" i="17"/>
  <c r="H393" i="17"/>
  <c r="I393" i="17"/>
  <c r="J393" i="17"/>
  <c r="K393" i="17"/>
  <c r="L393" i="17"/>
  <c r="M393" i="17"/>
  <c r="N393" i="17"/>
  <c r="O393" i="17"/>
  <c r="P393" i="17"/>
  <c r="Q393" i="17"/>
  <c r="R393" i="17"/>
  <c r="S393" i="17"/>
  <c r="T393" i="17"/>
  <c r="U393" i="17"/>
  <c r="V393" i="17"/>
  <c r="W393" i="17"/>
  <c r="X393" i="17"/>
  <c r="Y393" i="17"/>
  <c r="Z393" i="17"/>
  <c r="AA393" i="17"/>
  <c r="AB393" i="17"/>
  <c r="AC393" i="17"/>
  <c r="AD393" i="17"/>
  <c r="AE393" i="17"/>
  <c r="AF393" i="17"/>
  <c r="D394" i="17"/>
  <c r="E394" i="17"/>
  <c r="F394" i="17"/>
  <c r="G394" i="17"/>
  <c r="H394" i="17"/>
  <c r="I394" i="17"/>
  <c r="J394" i="17"/>
  <c r="K394" i="17"/>
  <c r="L394" i="17"/>
  <c r="M394" i="17"/>
  <c r="N394" i="17"/>
  <c r="O394" i="17"/>
  <c r="P394" i="17"/>
  <c r="Q394" i="17"/>
  <c r="R394" i="17"/>
  <c r="S394" i="17"/>
  <c r="T394" i="17"/>
  <c r="U394" i="17"/>
  <c r="V394" i="17"/>
  <c r="W394" i="17"/>
  <c r="X394" i="17"/>
  <c r="Y394" i="17"/>
  <c r="Z394" i="17"/>
  <c r="AA394" i="17"/>
  <c r="AB394" i="17"/>
  <c r="AC394" i="17"/>
  <c r="AD394" i="17"/>
  <c r="AE394" i="17"/>
  <c r="AF394" i="17"/>
  <c r="D395" i="17"/>
  <c r="E395" i="17"/>
  <c r="F395" i="17"/>
  <c r="G395" i="17"/>
  <c r="H395" i="17"/>
  <c r="I395" i="17"/>
  <c r="J395" i="17"/>
  <c r="K395" i="17"/>
  <c r="L395" i="17"/>
  <c r="M395" i="17"/>
  <c r="N395" i="17"/>
  <c r="O395" i="17"/>
  <c r="P395" i="17"/>
  <c r="Q395" i="17"/>
  <c r="R395" i="17"/>
  <c r="S395" i="17"/>
  <c r="T395" i="17"/>
  <c r="U395" i="17"/>
  <c r="V395" i="17"/>
  <c r="W395" i="17"/>
  <c r="X395" i="17"/>
  <c r="Y395" i="17"/>
  <c r="Z395" i="17"/>
  <c r="AA395" i="17"/>
  <c r="AB395" i="17"/>
  <c r="AC395" i="17"/>
  <c r="AD395" i="17"/>
  <c r="AE395" i="17"/>
  <c r="AF395" i="17"/>
  <c r="D396" i="17"/>
  <c r="E396" i="17"/>
  <c r="F396" i="17"/>
  <c r="G396" i="17"/>
  <c r="H396" i="17"/>
  <c r="I396" i="17"/>
  <c r="J396" i="17"/>
  <c r="K396" i="17"/>
  <c r="L396" i="17"/>
  <c r="M396" i="17"/>
  <c r="N396" i="17"/>
  <c r="O396" i="17"/>
  <c r="P396" i="17"/>
  <c r="Q396" i="17"/>
  <c r="R396" i="17"/>
  <c r="S396" i="17"/>
  <c r="T396" i="17"/>
  <c r="U396" i="17"/>
  <c r="V396" i="17"/>
  <c r="W396" i="17"/>
  <c r="X396" i="17"/>
  <c r="Y396" i="17"/>
  <c r="Z396" i="17"/>
  <c r="AA396" i="17"/>
  <c r="AB396" i="17"/>
  <c r="AC396" i="17"/>
  <c r="AD396" i="17"/>
  <c r="AE396" i="17"/>
  <c r="AF396" i="17"/>
  <c r="D397" i="17"/>
  <c r="E397" i="17"/>
  <c r="F397" i="17"/>
  <c r="G397" i="17"/>
  <c r="H397" i="17"/>
  <c r="I397" i="17"/>
  <c r="J397" i="17"/>
  <c r="K397" i="17"/>
  <c r="L397" i="17"/>
  <c r="M397" i="17"/>
  <c r="N397" i="17"/>
  <c r="O397" i="17"/>
  <c r="P397" i="17"/>
  <c r="Q397" i="17"/>
  <c r="R397" i="17"/>
  <c r="S397" i="17"/>
  <c r="T397" i="17"/>
  <c r="U397" i="17"/>
  <c r="V397" i="17"/>
  <c r="W397" i="17"/>
  <c r="X397" i="17"/>
  <c r="Y397" i="17"/>
  <c r="Z397" i="17"/>
  <c r="AA397" i="17"/>
  <c r="AB397" i="17"/>
  <c r="AC397" i="17"/>
  <c r="AD397" i="17"/>
  <c r="AE397" i="17"/>
  <c r="AF397" i="17"/>
  <c r="D398" i="17"/>
  <c r="E398" i="17"/>
  <c r="F398" i="17"/>
  <c r="G398" i="17"/>
  <c r="H398" i="17"/>
  <c r="I398" i="17"/>
  <c r="J398" i="17"/>
  <c r="K398" i="17"/>
  <c r="L398" i="17"/>
  <c r="M398" i="17"/>
  <c r="N398" i="17"/>
  <c r="O398" i="17"/>
  <c r="P398" i="17"/>
  <c r="Q398" i="17"/>
  <c r="R398" i="17"/>
  <c r="S398" i="17"/>
  <c r="T398" i="17"/>
  <c r="U398" i="17"/>
  <c r="V398" i="17"/>
  <c r="W398" i="17"/>
  <c r="X398" i="17"/>
  <c r="Y398" i="17"/>
  <c r="Z398" i="17"/>
  <c r="AA398" i="17"/>
  <c r="AB398" i="17"/>
  <c r="AC398" i="17"/>
  <c r="AD398" i="17"/>
  <c r="AE398" i="17"/>
  <c r="AF398" i="17"/>
  <c r="D399" i="17"/>
  <c r="E399" i="17"/>
  <c r="F399" i="17"/>
  <c r="G399" i="17"/>
  <c r="H399" i="17"/>
  <c r="I399" i="17"/>
  <c r="J399" i="17"/>
  <c r="K399" i="17"/>
  <c r="L399" i="17"/>
  <c r="M399" i="17"/>
  <c r="N399" i="17"/>
  <c r="O399" i="17"/>
  <c r="P399" i="17"/>
  <c r="Q399" i="17"/>
  <c r="R399" i="17"/>
  <c r="S399" i="17"/>
  <c r="T399" i="17"/>
  <c r="U399" i="17"/>
  <c r="V399" i="17"/>
  <c r="W399" i="17"/>
  <c r="X399" i="17"/>
  <c r="Y399" i="17"/>
  <c r="Z399" i="17"/>
  <c r="AA399" i="17"/>
  <c r="AB399" i="17"/>
  <c r="AC399" i="17"/>
  <c r="AD399" i="17"/>
  <c r="AE399" i="17"/>
  <c r="AF399" i="17"/>
  <c r="D400" i="17"/>
  <c r="E400" i="17"/>
  <c r="F400" i="17"/>
  <c r="G400" i="17"/>
  <c r="H400" i="17"/>
  <c r="I400" i="17"/>
  <c r="J400" i="17"/>
  <c r="K400" i="17"/>
  <c r="L400" i="17"/>
  <c r="M400" i="17"/>
  <c r="N400" i="17"/>
  <c r="O400" i="17"/>
  <c r="P400" i="17"/>
  <c r="Q400" i="17"/>
  <c r="R400" i="17"/>
  <c r="S400" i="17"/>
  <c r="T400" i="17"/>
  <c r="U400" i="17"/>
  <c r="V400" i="17"/>
  <c r="W400" i="17"/>
  <c r="X400" i="17"/>
  <c r="Y400" i="17"/>
  <c r="Z400" i="17"/>
  <c r="AA400" i="17"/>
  <c r="AB400" i="17"/>
  <c r="AC400" i="17"/>
  <c r="AD400" i="17"/>
  <c r="AE400" i="17"/>
  <c r="AF400" i="17"/>
  <c r="D401" i="17"/>
  <c r="E401" i="17"/>
  <c r="F401" i="17"/>
  <c r="G401" i="17"/>
  <c r="H401" i="17"/>
  <c r="I401" i="17"/>
  <c r="J401" i="17"/>
  <c r="K401" i="17"/>
  <c r="L401" i="17"/>
  <c r="M401" i="17"/>
  <c r="N401" i="17"/>
  <c r="O401" i="17"/>
  <c r="P401" i="17"/>
  <c r="Q401" i="17"/>
  <c r="R401" i="17"/>
  <c r="S401" i="17"/>
  <c r="T401" i="17"/>
  <c r="U401" i="17"/>
  <c r="V401" i="17"/>
  <c r="W401" i="17"/>
  <c r="X401" i="17"/>
  <c r="Y401" i="17"/>
  <c r="Z401" i="17"/>
  <c r="AA401" i="17"/>
  <c r="AB401" i="17"/>
  <c r="AC401" i="17"/>
  <c r="AD401" i="17"/>
  <c r="AE401" i="17"/>
  <c r="AF401" i="17"/>
  <c r="D402" i="17"/>
  <c r="E402" i="17"/>
  <c r="F402" i="17"/>
  <c r="G402" i="17"/>
  <c r="H402" i="17"/>
  <c r="I402" i="17"/>
  <c r="J402" i="17"/>
  <c r="K402" i="17"/>
  <c r="L402" i="17"/>
  <c r="M402" i="17"/>
  <c r="N402" i="17"/>
  <c r="O402" i="17"/>
  <c r="P402" i="17"/>
  <c r="Q402" i="17"/>
  <c r="R402" i="17"/>
  <c r="S402" i="17"/>
  <c r="T402" i="17"/>
  <c r="U402" i="17"/>
  <c r="V402" i="17"/>
  <c r="W402" i="17"/>
  <c r="X402" i="17"/>
  <c r="Y402" i="17"/>
  <c r="Z402" i="17"/>
  <c r="AA402" i="17"/>
  <c r="AB402" i="17"/>
  <c r="AC402" i="17"/>
  <c r="AD402" i="17"/>
  <c r="AE402" i="17"/>
  <c r="AF402" i="17"/>
  <c r="D403" i="17"/>
  <c r="E403" i="17"/>
  <c r="F403" i="17"/>
  <c r="G403" i="17"/>
  <c r="H403" i="17"/>
  <c r="I403" i="17"/>
  <c r="J403" i="17"/>
  <c r="K403" i="17"/>
  <c r="L403" i="17"/>
  <c r="M403" i="17"/>
  <c r="N403" i="17"/>
  <c r="O403" i="17"/>
  <c r="P403" i="17"/>
  <c r="Q403" i="17"/>
  <c r="R403" i="17"/>
  <c r="S403" i="17"/>
  <c r="T403" i="17"/>
  <c r="U403" i="17"/>
  <c r="V403" i="17"/>
  <c r="W403" i="17"/>
  <c r="X403" i="17"/>
  <c r="Y403" i="17"/>
  <c r="Z403" i="17"/>
  <c r="AA403" i="17"/>
  <c r="AB403" i="17"/>
  <c r="AC403" i="17"/>
  <c r="AD403" i="17"/>
  <c r="AE403" i="17"/>
  <c r="AF403" i="17"/>
  <c r="D404" i="17"/>
  <c r="E404" i="17"/>
  <c r="F404" i="17"/>
  <c r="G404" i="17"/>
  <c r="H404" i="17"/>
  <c r="I404" i="17"/>
  <c r="J404" i="17"/>
  <c r="K404" i="17"/>
  <c r="L404" i="17"/>
  <c r="M404" i="17"/>
  <c r="N404" i="17"/>
  <c r="O404" i="17"/>
  <c r="P404" i="17"/>
  <c r="Q404" i="17"/>
  <c r="R404" i="17"/>
  <c r="S404" i="17"/>
  <c r="T404" i="17"/>
  <c r="U404" i="17"/>
  <c r="V404" i="17"/>
  <c r="W404" i="17"/>
  <c r="X404" i="17"/>
  <c r="Y404" i="17"/>
  <c r="Z404" i="17"/>
  <c r="AA404" i="17"/>
  <c r="AB404" i="17"/>
  <c r="AC404" i="17"/>
  <c r="AD404" i="17"/>
  <c r="AE404" i="17"/>
  <c r="AF404" i="17"/>
  <c r="D405" i="17"/>
  <c r="E405" i="17"/>
  <c r="F405" i="17"/>
  <c r="G405" i="17"/>
  <c r="H405" i="17"/>
  <c r="I405" i="17"/>
  <c r="J405" i="17"/>
  <c r="K405" i="17"/>
  <c r="L405" i="17"/>
  <c r="M405" i="17"/>
  <c r="N405" i="17"/>
  <c r="O405" i="17"/>
  <c r="P405" i="17"/>
  <c r="Q405" i="17"/>
  <c r="R405" i="17"/>
  <c r="S405" i="17"/>
  <c r="T405" i="17"/>
  <c r="U405" i="17"/>
  <c r="V405" i="17"/>
  <c r="W405" i="17"/>
  <c r="X405" i="17"/>
  <c r="Y405" i="17"/>
  <c r="Z405" i="17"/>
  <c r="AA405" i="17"/>
  <c r="AB405" i="17"/>
  <c r="AC405" i="17"/>
  <c r="AD405" i="17"/>
  <c r="AE405" i="17"/>
  <c r="AF405" i="17"/>
  <c r="D406" i="17"/>
  <c r="E406" i="17"/>
  <c r="F406" i="17"/>
  <c r="G406" i="17"/>
  <c r="H406" i="17"/>
  <c r="I406" i="17"/>
  <c r="J406" i="17"/>
  <c r="K406" i="17"/>
  <c r="L406" i="17"/>
  <c r="M406" i="17"/>
  <c r="N406" i="17"/>
  <c r="O406" i="17"/>
  <c r="P406" i="17"/>
  <c r="Q406" i="17"/>
  <c r="R406" i="17"/>
  <c r="S406" i="17"/>
  <c r="T406" i="17"/>
  <c r="U406" i="17"/>
  <c r="V406" i="17"/>
  <c r="W406" i="17"/>
  <c r="X406" i="17"/>
  <c r="Y406" i="17"/>
  <c r="Z406" i="17"/>
  <c r="AA406" i="17"/>
  <c r="AB406" i="17"/>
  <c r="AC406" i="17"/>
  <c r="AD406" i="17"/>
  <c r="AE406" i="17"/>
  <c r="AF406" i="17"/>
  <c r="D407" i="17"/>
  <c r="E407" i="17"/>
  <c r="F407" i="17"/>
  <c r="G407" i="17"/>
  <c r="H407" i="17"/>
  <c r="I407" i="17"/>
  <c r="J407" i="17"/>
  <c r="K407" i="17"/>
  <c r="L407" i="17"/>
  <c r="M407" i="17"/>
  <c r="N407" i="17"/>
  <c r="O407" i="17"/>
  <c r="P407" i="17"/>
  <c r="Q407" i="17"/>
  <c r="R407" i="17"/>
  <c r="S407" i="17"/>
  <c r="T407" i="17"/>
  <c r="U407" i="17"/>
  <c r="V407" i="17"/>
  <c r="W407" i="17"/>
  <c r="X407" i="17"/>
  <c r="Y407" i="17"/>
  <c r="Z407" i="17"/>
  <c r="AA407" i="17"/>
  <c r="AB407" i="17"/>
  <c r="AC407" i="17"/>
  <c r="AD407" i="17"/>
  <c r="AE407" i="17"/>
  <c r="AF407" i="17"/>
  <c r="D408" i="17"/>
  <c r="E408" i="17"/>
  <c r="F408" i="17"/>
  <c r="G408" i="17"/>
  <c r="H408" i="17"/>
  <c r="I408" i="17"/>
  <c r="J408" i="17"/>
  <c r="K408" i="17"/>
  <c r="L408" i="17"/>
  <c r="M408" i="17"/>
  <c r="N408" i="17"/>
  <c r="O408" i="17"/>
  <c r="P408" i="17"/>
  <c r="Q408" i="17"/>
  <c r="R408" i="17"/>
  <c r="S408" i="17"/>
  <c r="T408" i="17"/>
  <c r="U408" i="17"/>
  <c r="V408" i="17"/>
  <c r="W408" i="17"/>
  <c r="X408" i="17"/>
  <c r="Y408" i="17"/>
  <c r="Z408" i="17"/>
  <c r="AA408" i="17"/>
  <c r="AB408" i="17"/>
  <c r="AC408" i="17"/>
  <c r="AD408" i="17"/>
  <c r="AE408" i="17"/>
  <c r="AF408" i="17"/>
  <c r="E2" i="17"/>
  <c r="F2" i="17"/>
  <c r="G2" i="17"/>
  <c r="H2" i="17"/>
  <c r="I2" i="17"/>
  <c r="J2" i="17"/>
  <c r="K2" i="17"/>
  <c r="L2" i="17"/>
  <c r="M2" i="17"/>
  <c r="N2" i="17"/>
  <c r="O2" i="17"/>
  <c r="P2" i="17"/>
  <c r="Q2" i="17"/>
  <c r="R2" i="17"/>
  <c r="S2" i="17"/>
  <c r="T2" i="17"/>
  <c r="U2" i="17"/>
  <c r="V2" i="17"/>
  <c r="W2" i="17"/>
  <c r="X2" i="17"/>
  <c r="Y2" i="17"/>
  <c r="Z2" i="17"/>
  <c r="AA2" i="17"/>
  <c r="AB2" i="17"/>
  <c r="AC2" i="17"/>
  <c r="AD2" i="17"/>
  <c r="AE2" i="17"/>
  <c r="AF2" i="17"/>
  <c r="D2" i="17"/>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2" i="17"/>
  <c r="K26" i="20"/>
  <c r="K28" i="20" s="1"/>
  <c r="J26" i="20"/>
  <c r="J28" i="20" s="1"/>
  <c r="H26" i="20"/>
  <c r="H28" i="20" s="1"/>
  <c r="F418" i="25" l="1"/>
  <c r="R5" i="26"/>
  <c r="R6" i="26" s="1"/>
  <c r="R7" i="26" s="1"/>
  <c r="R8" i="26" s="1"/>
  <c r="R9" i="26" s="1"/>
  <c r="R10" i="26" s="1"/>
  <c r="R11" i="26" s="1"/>
  <c r="R12" i="26" s="1"/>
  <c r="R13" i="26" s="1"/>
  <c r="R14" i="26" s="1"/>
  <c r="R15" i="26" s="1"/>
  <c r="R16" i="26" s="1"/>
  <c r="R17" i="26" s="1"/>
  <c r="R18" i="26" s="1"/>
  <c r="R19" i="26" s="1"/>
  <c r="R20" i="26" s="1"/>
  <c r="R21" i="26" s="1"/>
  <c r="R22" i="26" s="1"/>
  <c r="R23" i="26" s="1"/>
  <c r="R24" i="26" s="1"/>
  <c r="R25" i="26" s="1"/>
  <c r="R26" i="26" s="1"/>
  <c r="R27" i="26" s="1"/>
  <c r="R28" i="26" s="1"/>
  <c r="R29" i="26" s="1"/>
  <c r="R30" i="26" s="1"/>
  <c r="R31" i="26" s="1"/>
  <c r="R32" i="26" s="1"/>
  <c r="R33" i="26" s="1"/>
  <c r="R34" i="26" s="1"/>
  <c r="R35" i="26" s="1"/>
  <c r="R36" i="26" s="1"/>
  <c r="R37" i="26" s="1"/>
  <c r="R38" i="26" s="1"/>
  <c r="R39" i="26" s="1"/>
  <c r="R40" i="26" s="1"/>
  <c r="R41" i="26" s="1"/>
  <c r="R42" i="26" s="1"/>
  <c r="R43" i="26" s="1"/>
  <c r="R44" i="26" s="1"/>
  <c r="R45" i="26" s="1"/>
  <c r="R46" i="26" s="1"/>
  <c r="R47" i="26" s="1"/>
  <c r="R48" i="26" s="1"/>
  <c r="R49" i="26" s="1"/>
  <c r="R50" i="26" s="1"/>
  <c r="R51" i="26" s="1"/>
  <c r="R52" i="26" s="1"/>
  <c r="R53" i="26" s="1"/>
  <c r="R54" i="26" s="1"/>
  <c r="R55" i="26" s="1"/>
  <c r="R56" i="26" s="1"/>
  <c r="R57" i="26" s="1"/>
  <c r="R58" i="26" s="1"/>
  <c r="R59" i="26" s="1"/>
  <c r="R60" i="26" s="1"/>
  <c r="R61" i="26" s="1"/>
  <c r="R62" i="26" s="1"/>
  <c r="R63" i="26" s="1"/>
  <c r="R64" i="26" s="1"/>
  <c r="R65" i="26" s="1"/>
  <c r="R66" i="26" s="1"/>
  <c r="R67" i="26" s="1"/>
  <c r="R68" i="26" s="1"/>
  <c r="R69" i="26" s="1"/>
  <c r="R70" i="26" s="1"/>
  <c r="R71" i="26" s="1"/>
  <c r="R72" i="26" s="1"/>
  <c r="R73" i="26" s="1"/>
  <c r="R74" i="26" s="1"/>
  <c r="R75" i="26" s="1"/>
  <c r="R76" i="26" s="1"/>
  <c r="R77" i="26" s="1"/>
  <c r="R78" i="26" s="1"/>
  <c r="R79" i="26" s="1"/>
  <c r="R80" i="26" s="1"/>
  <c r="R81" i="26" s="1"/>
  <c r="R82" i="26" s="1"/>
  <c r="R83" i="26" s="1"/>
  <c r="R84" i="26" s="1"/>
  <c r="R85" i="26" s="1"/>
  <c r="R86" i="26" s="1"/>
  <c r="R87" i="26" s="1"/>
  <c r="R88" i="26" s="1"/>
  <c r="R89" i="26" s="1"/>
  <c r="R90" i="26" s="1"/>
  <c r="R91" i="26" s="1"/>
  <c r="R92" i="26" s="1"/>
  <c r="R93" i="26" s="1"/>
  <c r="R94" i="26" s="1"/>
  <c r="R95" i="26" s="1"/>
  <c r="R96" i="26" s="1"/>
  <c r="R97" i="26" s="1"/>
  <c r="R98" i="26" s="1"/>
  <c r="R99" i="26" s="1"/>
  <c r="R100" i="26" s="1"/>
  <c r="R101" i="26" s="1"/>
  <c r="R102" i="26" s="1"/>
  <c r="R103" i="26" s="1"/>
  <c r="R104" i="26" s="1"/>
  <c r="R105" i="26" s="1"/>
  <c r="R106" i="26" s="1"/>
  <c r="R107" i="26" s="1"/>
  <c r="R108" i="26" s="1"/>
  <c r="R109" i="26" s="1"/>
  <c r="R110" i="26" s="1"/>
  <c r="R111" i="26" s="1"/>
  <c r="R112" i="26" s="1"/>
  <c r="R113" i="26" s="1"/>
  <c r="R114" i="26" s="1"/>
  <c r="R115" i="26" s="1"/>
  <c r="R116" i="26" s="1"/>
  <c r="R117" i="26" s="1"/>
  <c r="R118" i="26" s="1"/>
  <c r="R119" i="26" s="1"/>
  <c r="R120" i="26" s="1"/>
  <c r="R121" i="26" s="1"/>
  <c r="R122" i="26" s="1"/>
  <c r="R123" i="26" s="1"/>
  <c r="R124" i="26" s="1"/>
  <c r="R125" i="26" s="1"/>
  <c r="R126" i="26" s="1"/>
  <c r="R127" i="26" s="1"/>
  <c r="R128" i="26" s="1"/>
  <c r="R129" i="26" s="1"/>
  <c r="R130" i="26" s="1"/>
  <c r="R131" i="26" s="1"/>
  <c r="R132" i="26" s="1"/>
  <c r="R133" i="26" s="1"/>
  <c r="R134" i="26" s="1"/>
  <c r="R135" i="26" s="1"/>
  <c r="R136" i="26" s="1"/>
  <c r="R137" i="26" s="1"/>
  <c r="R138" i="26" s="1"/>
  <c r="R139" i="26" s="1"/>
  <c r="R140" i="26" s="1"/>
  <c r="R141" i="26" s="1"/>
  <c r="R142" i="26" s="1"/>
  <c r="R143" i="26" s="1"/>
  <c r="R144" i="26" s="1"/>
  <c r="R145" i="26" s="1"/>
  <c r="R146" i="26" s="1"/>
  <c r="R147" i="26" s="1"/>
  <c r="R148" i="26" s="1"/>
  <c r="R149" i="26" s="1"/>
  <c r="R150" i="26" s="1"/>
  <c r="R151" i="26" s="1"/>
  <c r="R152" i="26" s="1"/>
  <c r="R153" i="26" s="1"/>
  <c r="R154" i="26" s="1"/>
  <c r="R155" i="26" s="1"/>
  <c r="R156" i="26" s="1"/>
  <c r="R157" i="26" s="1"/>
  <c r="R158" i="26" s="1"/>
  <c r="R159" i="26" s="1"/>
  <c r="R160" i="26" s="1"/>
  <c r="R161" i="26" s="1"/>
  <c r="R162" i="26" s="1"/>
  <c r="R163" i="26" s="1"/>
  <c r="R164" i="26" s="1"/>
  <c r="R165" i="26" s="1"/>
  <c r="R166" i="26" s="1"/>
  <c r="R167" i="26" s="1"/>
  <c r="R168" i="26" s="1"/>
  <c r="R169" i="26" s="1"/>
  <c r="R170" i="26" s="1"/>
  <c r="R171" i="26" s="1"/>
  <c r="R172" i="26" s="1"/>
  <c r="R173" i="26" s="1"/>
  <c r="R174" i="26" s="1"/>
  <c r="R175" i="26" s="1"/>
  <c r="R176" i="26" s="1"/>
  <c r="R177" i="26" s="1"/>
  <c r="R178" i="26" s="1"/>
  <c r="R179" i="26" s="1"/>
  <c r="R180" i="26" s="1"/>
  <c r="R181" i="26" s="1"/>
  <c r="R182" i="26" s="1"/>
  <c r="R183" i="26" s="1"/>
  <c r="R184" i="26" s="1"/>
  <c r="R185" i="26" s="1"/>
  <c r="R186" i="26" s="1"/>
  <c r="R187" i="26" s="1"/>
  <c r="R188" i="26" s="1"/>
  <c r="R189" i="26" s="1"/>
  <c r="R190" i="26" s="1"/>
  <c r="R191" i="26" s="1"/>
  <c r="R192" i="26" s="1"/>
  <c r="R193" i="26" s="1"/>
  <c r="R194" i="26" s="1"/>
  <c r="R195" i="26" s="1"/>
  <c r="R196" i="26" s="1"/>
  <c r="R197" i="26" s="1"/>
  <c r="R198" i="26" s="1"/>
  <c r="R199" i="26" s="1"/>
  <c r="R200" i="26" s="1"/>
  <c r="R201" i="26" s="1"/>
  <c r="R202" i="26" s="1"/>
  <c r="R203" i="26" s="1"/>
  <c r="R204" i="26" s="1"/>
  <c r="R205" i="26" s="1"/>
  <c r="R206" i="26" s="1"/>
  <c r="R207" i="26" s="1"/>
  <c r="R208" i="26" s="1"/>
  <c r="R209" i="26" s="1"/>
  <c r="R210" i="26" s="1"/>
  <c r="R211" i="26" s="1"/>
  <c r="R212" i="26" s="1"/>
  <c r="R213" i="26" s="1"/>
  <c r="R214" i="26" s="1"/>
  <c r="R215" i="26" s="1"/>
  <c r="R216" i="26" s="1"/>
  <c r="R217" i="26" s="1"/>
  <c r="R218" i="26" s="1"/>
  <c r="R219" i="26" s="1"/>
  <c r="R220" i="26" s="1"/>
  <c r="R221" i="26" s="1"/>
  <c r="R222" i="26" s="1"/>
  <c r="R223" i="26" s="1"/>
  <c r="R224" i="26" s="1"/>
  <c r="R225" i="26" s="1"/>
  <c r="R226" i="26" s="1"/>
  <c r="R227" i="26" s="1"/>
  <c r="R228" i="26" s="1"/>
  <c r="R229" i="26" s="1"/>
  <c r="R230" i="26" s="1"/>
  <c r="R231" i="26" s="1"/>
  <c r="R232" i="26" s="1"/>
  <c r="R233" i="26" s="1"/>
  <c r="R234" i="26" s="1"/>
  <c r="R235" i="26" s="1"/>
  <c r="R236" i="26" s="1"/>
  <c r="R237" i="26" s="1"/>
  <c r="R238" i="26" s="1"/>
  <c r="R239" i="26" s="1"/>
  <c r="R240" i="26" s="1"/>
  <c r="R241" i="26" s="1"/>
  <c r="R242" i="26" s="1"/>
  <c r="R243" i="26" s="1"/>
  <c r="R244" i="26" s="1"/>
  <c r="R245" i="26" s="1"/>
  <c r="R246" i="26" s="1"/>
  <c r="R247" i="26" s="1"/>
  <c r="R248" i="26" s="1"/>
  <c r="R249" i="26" s="1"/>
  <c r="R250" i="26" s="1"/>
  <c r="R251" i="26" s="1"/>
  <c r="R252" i="26" s="1"/>
  <c r="R253" i="26" s="1"/>
  <c r="R254" i="26" s="1"/>
  <c r="R255" i="26" s="1"/>
  <c r="R256" i="26" s="1"/>
  <c r="R257" i="26" s="1"/>
  <c r="R258" i="26" s="1"/>
  <c r="R259" i="26" s="1"/>
  <c r="R260" i="26" s="1"/>
  <c r="R261" i="26" s="1"/>
  <c r="R262" i="26" s="1"/>
  <c r="R263" i="26" s="1"/>
  <c r="R264" i="26" s="1"/>
  <c r="R265" i="26" s="1"/>
  <c r="R266" i="26" s="1"/>
  <c r="R267" i="26" s="1"/>
  <c r="R268" i="26" s="1"/>
  <c r="R269" i="26" s="1"/>
  <c r="R270" i="26" s="1"/>
  <c r="R271" i="26" s="1"/>
  <c r="R272" i="26" s="1"/>
  <c r="R273" i="26" s="1"/>
  <c r="R274" i="26" s="1"/>
  <c r="R275" i="26" s="1"/>
  <c r="R276" i="26" s="1"/>
  <c r="R277" i="26" s="1"/>
  <c r="R278" i="26" s="1"/>
  <c r="R279" i="26" s="1"/>
  <c r="R280" i="26" s="1"/>
  <c r="R281" i="26" s="1"/>
  <c r="R282" i="26" s="1"/>
  <c r="R283" i="26" s="1"/>
  <c r="R284" i="26" s="1"/>
  <c r="R285" i="26" s="1"/>
  <c r="R286" i="26" s="1"/>
  <c r="R287" i="26" s="1"/>
  <c r="R288" i="26" s="1"/>
  <c r="R289" i="26" s="1"/>
  <c r="R290" i="26" s="1"/>
  <c r="R291" i="26" s="1"/>
  <c r="R292" i="26" s="1"/>
  <c r="R293" i="26" s="1"/>
  <c r="R294" i="26" s="1"/>
  <c r="R295" i="26" s="1"/>
  <c r="R296" i="26" s="1"/>
  <c r="R297" i="26" s="1"/>
  <c r="R298" i="26" s="1"/>
  <c r="R299" i="26" s="1"/>
  <c r="R300" i="26" s="1"/>
  <c r="R301" i="26" s="1"/>
  <c r="R302" i="26" s="1"/>
  <c r="R303" i="26" s="1"/>
  <c r="R304" i="26" s="1"/>
  <c r="R305" i="26" s="1"/>
  <c r="R306" i="26" s="1"/>
  <c r="R307" i="26" s="1"/>
  <c r="R308" i="26" s="1"/>
  <c r="R309" i="26" s="1"/>
  <c r="R310" i="26" s="1"/>
  <c r="R311" i="26" s="1"/>
  <c r="R312" i="26" s="1"/>
  <c r="R313" i="26" s="1"/>
  <c r="R314" i="26" s="1"/>
  <c r="R315" i="26" s="1"/>
  <c r="R316" i="26" s="1"/>
  <c r="R317" i="26" s="1"/>
  <c r="R318" i="26" s="1"/>
  <c r="R319" i="26" s="1"/>
  <c r="R320" i="26" s="1"/>
  <c r="R321" i="26" s="1"/>
  <c r="R322" i="26" s="1"/>
  <c r="R323" i="26" s="1"/>
  <c r="R324" i="26" s="1"/>
  <c r="R325" i="26" s="1"/>
  <c r="R326" i="26" s="1"/>
  <c r="R327" i="26" s="1"/>
  <c r="R328" i="26" s="1"/>
  <c r="R329" i="26" s="1"/>
  <c r="R330" i="26" s="1"/>
  <c r="R331" i="26" s="1"/>
  <c r="R332" i="26" s="1"/>
  <c r="R333" i="26" s="1"/>
  <c r="R334" i="26" s="1"/>
  <c r="R335" i="26" s="1"/>
  <c r="R336" i="26" s="1"/>
  <c r="R337" i="26" s="1"/>
  <c r="R338" i="26" s="1"/>
  <c r="R339" i="26" s="1"/>
  <c r="R340" i="26" s="1"/>
  <c r="R341" i="26" s="1"/>
  <c r="R342" i="26" s="1"/>
  <c r="R343" i="26" s="1"/>
  <c r="R344" i="26" s="1"/>
  <c r="R345" i="26" s="1"/>
  <c r="R346" i="26" s="1"/>
  <c r="R347" i="26" s="1"/>
  <c r="R348" i="26" s="1"/>
  <c r="R349" i="26" s="1"/>
  <c r="R350" i="26" s="1"/>
  <c r="R351" i="26" s="1"/>
  <c r="R352" i="26" s="1"/>
  <c r="R353" i="26" s="1"/>
  <c r="R354" i="26" s="1"/>
  <c r="R355" i="26" s="1"/>
  <c r="R356" i="26" s="1"/>
  <c r="R357" i="26" s="1"/>
  <c r="R358" i="26" s="1"/>
  <c r="R359" i="26" s="1"/>
  <c r="R360" i="26" s="1"/>
  <c r="R361" i="26" s="1"/>
  <c r="R362" i="26" s="1"/>
  <c r="R363" i="26" s="1"/>
  <c r="R364" i="26" s="1"/>
  <c r="R365" i="26" s="1"/>
  <c r="R366" i="26" s="1"/>
  <c r="R367" i="26" s="1"/>
  <c r="R368" i="26" s="1"/>
  <c r="R369" i="26" s="1"/>
  <c r="R370" i="26" s="1"/>
  <c r="R371" i="26" s="1"/>
  <c r="R372" i="26" s="1"/>
  <c r="R373" i="26" s="1"/>
  <c r="R374" i="26" s="1"/>
  <c r="R375" i="26" s="1"/>
  <c r="R376" i="26" s="1"/>
  <c r="R377" i="26" s="1"/>
  <c r="R378" i="26" s="1"/>
  <c r="R379" i="26" s="1"/>
  <c r="R380" i="26" s="1"/>
  <c r="R381" i="26" s="1"/>
  <c r="R382" i="26" s="1"/>
  <c r="R383" i="26" s="1"/>
  <c r="R384" i="26" s="1"/>
  <c r="R385" i="26" s="1"/>
  <c r="R386" i="26" s="1"/>
  <c r="R387" i="26" s="1"/>
  <c r="R388" i="26" s="1"/>
  <c r="R389" i="26" s="1"/>
  <c r="R390" i="26" s="1"/>
  <c r="R391" i="26" s="1"/>
  <c r="R392" i="26" s="1"/>
  <c r="R393" i="26" s="1"/>
  <c r="R394" i="26" s="1"/>
  <c r="R395" i="26" s="1"/>
  <c r="R396" i="26" s="1"/>
  <c r="R397" i="26" s="1"/>
  <c r="R398" i="26" s="1"/>
  <c r="R399" i="26" s="1"/>
  <c r="R400" i="26" s="1"/>
  <c r="R401" i="26" s="1"/>
  <c r="R402" i="26" s="1"/>
  <c r="R403" i="26" s="1"/>
  <c r="R404" i="26" s="1"/>
  <c r="R405" i="26" s="1"/>
  <c r="R406" i="26" s="1"/>
  <c r="R407" i="26" s="1"/>
  <c r="R408" i="26" s="1"/>
  <c r="R409" i="26" s="1"/>
  <c r="R410" i="26" s="1"/>
  <c r="R411" i="26" s="1"/>
  <c r="Q5" i="27"/>
  <c r="P5" i="27" s="1"/>
  <c r="AA419" i="17"/>
  <c r="AA414" i="17"/>
  <c r="D17" i="20" s="1"/>
  <c r="K419" i="17"/>
  <c r="K414" i="17"/>
  <c r="J414" i="17"/>
  <c r="J419" i="17"/>
  <c r="Y414" i="17"/>
  <c r="D15" i="20" s="1"/>
  <c r="Y419" i="17"/>
  <c r="I414" i="17"/>
  <c r="D4" i="20" s="1"/>
  <c r="I419" i="17"/>
  <c r="P414" i="17"/>
  <c r="P419" i="17"/>
  <c r="AE414" i="17"/>
  <c r="D16" i="20" s="1"/>
  <c r="AE419" i="17"/>
  <c r="W414" i="17"/>
  <c r="D12" i="20" s="1"/>
  <c r="W419" i="17"/>
  <c r="O414" i="17"/>
  <c r="O419" i="17"/>
  <c r="G414" i="17"/>
  <c r="D21" i="20" s="1"/>
  <c r="G419" i="17"/>
  <c r="C414" i="17"/>
  <c r="D23" i="20" s="1"/>
  <c r="AD419" i="17"/>
  <c r="AD414" i="17"/>
  <c r="D2" i="20" s="1"/>
  <c r="V419" i="17"/>
  <c r="V414" i="17"/>
  <c r="D11" i="20" s="1"/>
  <c r="N419" i="17"/>
  <c r="N414" i="17"/>
  <c r="F414" i="17"/>
  <c r="F419" i="17"/>
  <c r="S419" i="17"/>
  <c r="S414" i="17"/>
  <c r="Z414" i="17"/>
  <c r="D19" i="20" s="1"/>
  <c r="Z419" i="17"/>
  <c r="D419" i="17"/>
  <c r="D414" i="17"/>
  <c r="Q414" i="17"/>
  <c r="Q419" i="17"/>
  <c r="AF414" i="17"/>
  <c r="D20" i="20" s="1"/>
  <c r="AF419" i="17"/>
  <c r="H414" i="17"/>
  <c r="D24" i="20" s="1"/>
  <c r="H419" i="17"/>
  <c r="AC419" i="17"/>
  <c r="AC414" i="17"/>
  <c r="D25" i="20" s="1"/>
  <c r="R414" i="17"/>
  <c r="R419" i="17"/>
  <c r="X414" i="17"/>
  <c r="X419" i="17"/>
  <c r="U419" i="17"/>
  <c r="U414" i="17"/>
  <c r="M419" i="17"/>
  <c r="M414" i="17"/>
  <c r="E419" i="17"/>
  <c r="E414" i="17"/>
  <c r="AB414" i="17"/>
  <c r="AB419" i="17"/>
  <c r="D18" i="20" s="1"/>
  <c r="T414" i="17"/>
  <c r="T419" i="17"/>
  <c r="L419" i="17"/>
  <c r="L414" i="17"/>
  <c r="D6" i="20" s="1"/>
  <c r="C5" i="27"/>
  <c r="J5" i="27"/>
  <c r="M46" i="33"/>
  <c r="S46" i="33" s="1"/>
  <c r="Q4" i="27"/>
  <c r="N5" i="27" l="1"/>
  <c r="D5" i="20"/>
  <c r="D22" i="20"/>
  <c r="C2" i="20"/>
  <c r="B2" i="20"/>
  <c r="D5" i="27"/>
  <c r="B6" i="27"/>
  <c r="C9" i="27"/>
  <c r="C10" i="27"/>
  <c r="C7" i="27"/>
  <c r="B9" i="27"/>
  <c r="C6" i="27"/>
  <c r="C8" i="27"/>
  <c r="B10" i="27"/>
  <c r="B8" i="27"/>
  <c r="B7" i="27"/>
  <c r="X46" i="33"/>
  <c r="Y46" i="33" l="1"/>
  <c r="J47" i="31"/>
  <c r="G8" i="27"/>
  <c r="F8" i="27"/>
  <c r="E8" i="27"/>
  <c r="D8" i="27"/>
  <c r="B11" i="27"/>
  <c r="C11" i="27"/>
  <c r="G6" i="27"/>
  <c r="F6" i="27"/>
  <c r="E6" i="27"/>
  <c r="D6" i="27"/>
  <c r="G7" i="27"/>
  <c r="F7" i="27"/>
  <c r="E7" i="27"/>
  <c r="D7" i="27"/>
  <c r="F9" i="27"/>
  <c r="E9" i="27"/>
  <c r="G9" i="27"/>
  <c r="D9" i="27"/>
  <c r="G10" i="27"/>
  <c r="F10" i="27"/>
  <c r="E10" i="27"/>
  <c r="D10" i="27"/>
  <c r="B12" i="27" l="1"/>
  <c r="F11" i="27"/>
  <c r="E11" i="27"/>
  <c r="G11" i="27"/>
  <c r="D11" i="27"/>
  <c r="C12" i="27"/>
  <c r="E12" i="27" l="1"/>
  <c r="F12" i="27"/>
  <c r="G12" i="27"/>
  <c r="D12" i="27"/>
  <c r="B13" i="27"/>
  <c r="C13" i="27"/>
  <c r="C14" i="27" l="1"/>
  <c r="F13" i="27"/>
  <c r="E13" i="27"/>
  <c r="D13" i="27"/>
  <c r="G13" i="27"/>
  <c r="B14" i="27"/>
  <c r="G14" i="27" l="1"/>
  <c r="F14" i="27"/>
  <c r="E14" i="27"/>
  <c r="D14" i="27"/>
  <c r="B38" i="27" l="1"/>
  <c r="Q38" i="27" s="1"/>
  <c r="B36" i="27"/>
  <c r="Q36" i="27" s="1"/>
  <c r="B51" i="27"/>
  <c r="Q51" i="27" s="1"/>
  <c r="C57" i="27"/>
  <c r="C39" i="27"/>
  <c r="C28" i="27"/>
  <c r="C24" i="27"/>
  <c r="C43" i="27"/>
  <c r="C30" i="27"/>
  <c r="C56" i="27"/>
  <c r="C41" i="27"/>
  <c r="C45" i="27"/>
  <c r="B55" i="27"/>
  <c r="Q55" i="27" s="1"/>
  <c r="B33" i="27"/>
  <c r="C52" i="27"/>
  <c r="B29" i="27"/>
  <c r="Q29" i="27" s="1"/>
  <c r="B28" i="27"/>
  <c r="B24" i="27"/>
  <c r="Q24" i="27" s="1"/>
  <c r="B43" i="27"/>
  <c r="Q43" i="27" s="1"/>
  <c r="C47" i="27"/>
  <c r="C22" i="27"/>
  <c r="C29" i="27"/>
  <c r="B27" i="27"/>
  <c r="C38" i="27"/>
  <c r="C16" i="27"/>
  <c r="B17" i="27"/>
  <c r="B40" i="27"/>
  <c r="Q40" i="27" s="1"/>
  <c r="C27" i="27"/>
  <c r="C34" i="27"/>
  <c r="C19" i="27"/>
  <c r="C26" i="27"/>
  <c r="B53" i="27"/>
  <c r="Q53" i="27" s="1"/>
  <c r="B32" i="27"/>
  <c r="C40" i="27"/>
  <c r="B18" i="27"/>
  <c r="C31" i="27"/>
  <c r="B49" i="27"/>
  <c r="Q49" i="27" s="1"/>
  <c r="C17" i="27"/>
  <c r="B50" i="27"/>
  <c r="Q50" i="27" s="1"/>
  <c r="C33" i="27"/>
  <c r="B37" i="27"/>
  <c r="Q37" i="27" s="1"/>
  <c r="B16" i="27"/>
  <c r="C42" i="27"/>
  <c r="C50" i="27"/>
  <c r="C51" i="27"/>
  <c r="C48" i="27"/>
  <c r="B25" i="27"/>
  <c r="C15" i="27"/>
  <c r="B23" i="27"/>
  <c r="B46" i="27"/>
  <c r="Q46" i="27" s="1"/>
  <c r="C36" i="27"/>
  <c r="B34" i="27"/>
  <c r="Q34" i="27" s="1"/>
  <c r="C37" i="27"/>
  <c r="C53" i="27"/>
  <c r="B21" i="27"/>
  <c r="B26" i="27"/>
  <c r="Q26" i="27" s="1"/>
  <c r="B52" i="27"/>
  <c r="Q52" i="27" s="1"/>
  <c r="B15" i="27"/>
  <c r="Q15" i="27" s="1"/>
  <c r="C54" i="27"/>
  <c r="B20" i="27"/>
  <c r="B47" i="27"/>
  <c r="Q47" i="27" s="1"/>
  <c r="C18" i="27"/>
  <c r="B56" i="27"/>
  <c r="Q56" i="27" s="1"/>
  <c r="C46" i="27"/>
  <c r="B42" i="27"/>
  <c r="Q42" i="27" s="1"/>
  <c r="B31" i="27"/>
  <c r="Q31" i="27" s="1"/>
  <c r="B44" i="27"/>
  <c r="Q44" i="27" s="1"/>
  <c r="B41" i="27"/>
  <c r="Q41" i="27" s="1"/>
  <c r="B22" i="27"/>
  <c r="C44" i="27"/>
  <c r="B39" i="27"/>
  <c r="Q39" i="27" s="1"/>
  <c r="C25" i="27"/>
  <c r="B35" i="27"/>
  <c r="Q35" i="27" s="1"/>
  <c r="C21" i="27"/>
  <c r="C49" i="27"/>
  <c r="B45" i="27"/>
  <c r="Q45" i="27" s="1"/>
  <c r="C35" i="27"/>
  <c r="B30" i="27"/>
  <c r="Q30" i="27" s="1"/>
  <c r="B54" i="27"/>
  <c r="Q54" i="27" s="1"/>
  <c r="C23" i="27"/>
  <c r="B48" i="27"/>
  <c r="Q48" i="27" s="1"/>
  <c r="C32" i="27"/>
  <c r="C55" i="27"/>
  <c r="C20" i="27"/>
  <c r="B19" i="27"/>
  <c r="Q33" i="27"/>
  <c r="Q13" i="27"/>
  <c r="Q10" i="27"/>
  <c r="Q32" i="27"/>
  <c r="Q14" i="27"/>
  <c r="Q11" i="27"/>
  <c r="Q12" i="27"/>
  <c r="Q25" i="27" l="1"/>
  <c r="Q27" i="27"/>
  <c r="Q28" i="27"/>
  <c r="Q21" i="27"/>
  <c r="Q18" i="27"/>
  <c r="Q23" i="27"/>
  <c r="Q22" i="27"/>
  <c r="Q17" i="27"/>
  <c r="Q19" i="27"/>
  <c r="Q16" i="27"/>
  <c r="Q20" i="27"/>
  <c r="G35" i="27"/>
  <c r="F35" i="27"/>
  <c r="E35" i="27"/>
  <c r="D35" i="27"/>
  <c r="E49" i="27"/>
  <c r="F49" i="27"/>
  <c r="G49" i="27"/>
  <c r="D49" i="27"/>
  <c r="E20" i="27"/>
  <c r="G20" i="27"/>
  <c r="F20" i="27"/>
  <c r="D20" i="27"/>
  <c r="G15" i="27"/>
  <c r="F15" i="27"/>
  <c r="E15" i="27"/>
  <c r="D15" i="27"/>
  <c r="G34" i="27"/>
  <c r="F34" i="27"/>
  <c r="E34" i="27"/>
  <c r="D34" i="27"/>
  <c r="G16" i="27"/>
  <c r="F16" i="27"/>
  <c r="E16" i="27"/>
  <c r="D16" i="27"/>
  <c r="F29" i="27"/>
  <c r="E29" i="27"/>
  <c r="D29" i="27"/>
  <c r="G29" i="27"/>
  <c r="G43" i="27"/>
  <c r="F43" i="27"/>
  <c r="E43" i="27"/>
  <c r="D43" i="27"/>
  <c r="F37" i="27"/>
  <c r="E37" i="27"/>
  <c r="D37" i="27"/>
  <c r="G37" i="27"/>
  <c r="G42" i="27"/>
  <c r="F42" i="27"/>
  <c r="E42" i="27"/>
  <c r="D42" i="27"/>
  <c r="G47" i="27"/>
  <c r="F47" i="27"/>
  <c r="E47" i="27"/>
  <c r="D47" i="27"/>
  <c r="F18" i="27"/>
  <c r="G18" i="27"/>
  <c r="E18" i="27"/>
  <c r="D18" i="27"/>
  <c r="G56" i="27"/>
  <c r="F56" i="27"/>
  <c r="D56" i="27"/>
  <c r="E56" i="27"/>
  <c r="G23" i="27"/>
  <c r="F23" i="27"/>
  <c r="E23" i="27"/>
  <c r="D23" i="27"/>
  <c r="G17" i="27"/>
  <c r="E17" i="27"/>
  <c r="F17" i="27"/>
  <c r="D17" i="27"/>
  <c r="G41" i="27"/>
  <c r="E41" i="27"/>
  <c r="F41" i="27"/>
  <c r="D41" i="27"/>
  <c r="G44" i="27"/>
  <c r="E44" i="27"/>
  <c r="F44" i="27"/>
  <c r="D44" i="27"/>
  <c r="F48" i="27"/>
  <c r="G48" i="27"/>
  <c r="E48" i="27"/>
  <c r="D48" i="27"/>
  <c r="F26" i="27"/>
  <c r="G26" i="27"/>
  <c r="D26" i="27"/>
  <c r="E26" i="27"/>
  <c r="G19" i="27"/>
  <c r="F19" i="27"/>
  <c r="E19" i="27"/>
  <c r="D19" i="27"/>
  <c r="G30" i="27"/>
  <c r="F30" i="27"/>
  <c r="D30" i="27"/>
  <c r="E30" i="27"/>
  <c r="F40" i="27"/>
  <c r="E40" i="27"/>
  <c r="G40" i="27"/>
  <c r="D40" i="27"/>
  <c r="G32" i="27"/>
  <c r="F32" i="27"/>
  <c r="E32" i="27"/>
  <c r="D32" i="27"/>
  <c r="G51" i="27"/>
  <c r="F51" i="27"/>
  <c r="D51" i="27"/>
  <c r="E51" i="27"/>
  <c r="G50" i="27"/>
  <c r="F50" i="27"/>
  <c r="E50" i="27"/>
  <c r="D50" i="27"/>
  <c r="G22" i="27"/>
  <c r="F22" i="27"/>
  <c r="E22" i="27"/>
  <c r="D22" i="27"/>
  <c r="G28" i="27"/>
  <c r="E28" i="27"/>
  <c r="F28" i="27"/>
  <c r="D28" i="27"/>
  <c r="G39" i="27"/>
  <c r="D39" i="27"/>
  <c r="F39" i="27"/>
  <c r="E39" i="27"/>
  <c r="G55" i="27"/>
  <c r="E55" i="27"/>
  <c r="F55" i="27"/>
  <c r="D55" i="27"/>
  <c r="G46" i="27"/>
  <c r="E46" i="27"/>
  <c r="D46" i="27"/>
  <c r="F46" i="27"/>
  <c r="F53" i="27"/>
  <c r="E53" i="27"/>
  <c r="G53" i="27"/>
  <c r="D53" i="27"/>
  <c r="G36" i="27"/>
  <c r="E36" i="27"/>
  <c r="F36" i="27"/>
  <c r="D36" i="27"/>
  <c r="G31" i="27"/>
  <c r="E31" i="27"/>
  <c r="F31" i="27"/>
  <c r="D31" i="27"/>
  <c r="F45" i="27"/>
  <c r="E45" i="27"/>
  <c r="D45" i="27"/>
  <c r="G45" i="27"/>
  <c r="G24" i="27"/>
  <c r="F24" i="27"/>
  <c r="E24" i="27"/>
  <c r="D24" i="27"/>
  <c r="E57" i="27"/>
  <c r="G57" i="27"/>
  <c r="F57" i="27"/>
  <c r="D57" i="27"/>
  <c r="F21" i="27"/>
  <c r="E21" i="27"/>
  <c r="D21" i="27"/>
  <c r="G21" i="27"/>
  <c r="F27" i="27"/>
  <c r="G27" i="27"/>
  <c r="E27" i="27"/>
  <c r="D27" i="27"/>
  <c r="G25" i="27"/>
  <c r="E25" i="27"/>
  <c r="F25" i="27"/>
  <c r="D25" i="27"/>
  <c r="F54" i="27"/>
  <c r="G54" i="27"/>
  <c r="D54" i="27"/>
  <c r="E54" i="27"/>
  <c r="E33" i="27"/>
  <c r="G33" i="27"/>
  <c r="D33" i="27"/>
  <c r="F33" i="27"/>
  <c r="G38" i="27"/>
  <c r="F38" i="27"/>
  <c r="E38" i="27"/>
  <c r="D38" i="27"/>
  <c r="G52" i="27"/>
  <c r="F52" i="27"/>
  <c r="E52" i="27"/>
  <c r="D52" i="27"/>
  <c r="Q8" i="27"/>
  <c r="G5" i="27"/>
  <c r="E5" i="27"/>
  <c r="F5" i="27"/>
  <c r="Q9" i="27"/>
  <c r="Q6" i="27"/>
  <c r="J6" i="27"/>
  <c r="Q7" i="27"/>
  <c r="J7" i="27" l="1"/>
  <c r="J8" i="27" s="1"/>
  <c r="J9" i="27" s="1"/>
  <c r="J10" i="27" s="1"/>
  <c r="J11" i="27" s="1"/>
  <c r="J12" i="27" s="1"/>
  <c r="J13" i="27" s="1"/>
  <c r="J14" i="27" s="1"/>
  <c r="J15" i="27" s="1"/>
  <c r="J16" i="27" s="1"/>
  <c r="J17" i="27" s="1"/>
  <c r="J18" i="27" s="1"/>
  <c r="J19" i="27" s="1"/>
  <c r="J20" i="27" s="1"/>
  <c r="J21" i="27" s="1"/>
  <c r="J22" i="27" s="1"/>
  <c r="J23" i="27" s="1"/>
  <c r="J24" i="27" s="1"/>
  <c r="J25" i="27" s="1"/>
  <c r="J26" i="27" s="1"/>
  <c r="J27" i="27" s="1"/>
  <c r="J28" i="27" s="1"/>
  <c r="J29" i="27" s="1"/>
  <c r="J30" i="27" s="1"/>
  <c r="J31" i="27" s="1"/>
  <c r="J32" i="27" s="1"/>
  <c r="J33" i="27" s="1"/>
  <c r="J34" i="27" s="1"/>
  <c r="J35" i="27" s="1"/>
  <c r="J36" i="27" s="1"/>
  <c r="J37" i="27" s="1"/>
  <c r="J38" i="27" s="1"/>
  <c r="J39" i="27" s="1"/>
  <c r="J40" i="27" s="1"/>
  <c r="J41" i="27" s="1"/>
  <c r="J42" i="27" s="1"/>
  <c r="J43" i="27" s="1"/>
  <c r="J44" i="27" s="1"/>
  <c r="J45" i="27" s="1"/>
  <c r="J46" i="27" s="1"/>
  <c r="J47" i="27" s="1"/>
  <c r="J48" i="27" s="1"/>
  <c r="J49" i="27" s="1"/>
  <c r="J50" i="27" s="1"/>
  <c r="J51" i="27" s="1"/>
  <c r="J52" i="27" s="1"/>
  <c r="J53" i="27" s="1"/>
  <c r="J54" i="27" s="1"/>
  <c r="J55" i="27" s="1"/>
  <c r="J56" i="27" s="1"/>
  <c r="P6" i="27"/>
  <c r="P7" i="27" l="1"/>
  <c r="P8" i="27" s="1"/>
  <c r="P9" i="27" s="1"/>
  <c r="P10" i="27" s="1"/>
  <c r="B58" i="27"/>
  <c r="Q58" i="27" s="1"/>
  <c r="C58" i="27"/>
  <c r="N15" i="27"/>
  <c r="N14" i="27"/>
  <c r="N10" i="27"/>
  <c r="N16" i="27"/>
  <c r="N22" i="27"/>
  <c r="N17" i="27"/>
  <c r="N6" i="27"/>
  <c r="N23" i="27"/>
  <c r="N12" i="27"/>
  <c r="N18" i="27"/>
  <c r="N11" i="27"/>
  <c r="N7" i="27"/>
  <c r="N13" i="27"/>
  <c r="N19" i="27"/>
  <c r="N8" i="27"/>
  <c r="N21" i="27"/>
  <c r="N20" i="27"/>
  <c r="N9" i="27"/>
  <c r="P11" i="27" l="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F58" i="27"/>
  <c r="E58" i="27"/>
  <c r="D58" i="27"/>
  <c r="G58" i="27"/>
  <c r="C41" i="31"/>
  <c r="B59" i="27" l="1"/>
  <c r="Q59" i="27" s="1"/>
  <c r="C59" i="27"/>
  <c r="G59" i="27" l="1"/>
  <c r="F59" i="27"/>
  <c r="E59" i="27"/>
  <c r="D59" i="27"/>
  <c r="B60" i="27"/>
  <c r="Q60" i="27" s="1"/>
  <c r="C60" i="27"/>
  <c r="C61" i="27"/>
  <c r="M47" i="31"/>
  <c r="E60" i="27" l="1"/>
  <c r="G60" i="27"/>
  <c r="F60" i="27"/>
  <c r="D60" i="27"/>
  <c r="E61" i="27"/>
  <c r="G61" i="27"/>
  <c r="D61" i="27"/>
  <c r="F61" i="27"/>
  <c r="B62" i="27"/>
  <c r="Q62" i="27" s="1"/>
  <c r="B61" i="27"/>
  <c r="Q61" i="27" s="1"/>
  <c r="E26" i="20"/>
  <c r="E28" i="20" s="1"/>
  <c r="C62" i="27" l="1"/>
  <c r="BK3" i="17"/>
  <c r="BK4" i="17"/>
  <c r="BK5" i="17"/>
  <c r="BK6" i="17"/>
  <c r="BK7" i="17"/>
  <c r="BK8" i="17"/>
  <c r="BK9" i="17"/>
  <c r="BK10" i="17"/>
  <c r="BK11" i="17"/>
  <c r="BK12" i="17"/>
  <c r="BK13" i="17"/>
  <c r="BK14" i="17"/>
  <c r="BK15" i="17"/>
  <c r="BK16" i="17"/>
  <c r="BK17" i="17"/>
  <c r="BK18" i="17"/>
  <c r="BK19" i="17"/>
  <c r="BK20" i="17"/>
  <c r="BK21" i="17"/>
  <c r="BK22" i="17"/>
  <c r="BK23" i="17"/>
  <c r="BK24" i="17"/>
  <c r="BK25" i="17"/>
  <c r="BK26" i="17"/>
  <c r="BK27" i="17"/>
  <c r="BK28" i="17"/>
  <c r="BK29" i="17"/>
  <c r="BK30" i="17"/>
  <c r="BK31" i="17"/>
  <c r="BK32" i="17"/>
  <c r="BK33" i="17"/>
  <c r="BK34" i="17"/>
  <c r="BK35" i="17"/>
  <c r="BK36" i="17"/>
  <c r="BK37" i="17"/>
  <c r="BK38" i="17"/>
  <c r="BK39" i="17"/>
  <c r="BK40" i="17"/>
  <c r="BK41" i="17"/>
  <c r="BK42" i="17"/>
  <c r="BK43" i="17"/>
  <c r="BK44" i="17"/>
  <c r="BK45" i="17"/>
  <c r="BK46" i="17"/>
  <c r="BK47" i="17"/>
  <c r="BK48" i="17"/>
  <c r="BK49" i="17"/>
  <c r="BK50" i="17"/>
  <c r="BK51" i="17"/>
  <c r="BK52" i="17"/>
  <c r="BK53" i="17"/>
  <c r="BK54" i="17"/>
  <c r="BK55" i="17"/>
  <c r="BK56" i="17"/>
  <c r="BK57" i="17"/>
  <c r="BK58" i="17"/>
  <c r="BK59" i="17"/>
  <c r="BK60" i="17"/>
  <c r="BK61" i="17"/>
  <c r="BK62" i="17"/>
  <c r="BK63" i="17"/>
  <c r="BK64" i="17"/>
  <c r="BK65" i="17"/>
  <c r="BK66" i="17"/>
  <c r="BK67" i="17"/>
  <c r="BK68" i="17"/>
  <c r="BK69" i="17"/>
  <c r="BK70" i="17"/>
  <c r="BK71" i="17"/>
  <c r="BK72" i="17"/>
  <c r="BK73" i="17"/>
  <c r="BK74" i="17"/>
  <c r="BK75" i="17"/>
  <c r="BK76" i="17"/>
  <c r="BK77" i="17"/>
  <c r="BK78" i="17"/>
  <c r="BK79" i="17"/>
  <c r="BK80" i="17"/>
  <c r="BK81" i="17"/>
  <c r="BK82" i="17"/>
  <c r="BK83" i="17"/>
  <c r="BK84" i="17"/>
  <c r="BK85" i="17"/>
  <c r="BK86" i="17"/>
  <c r="BK87" i="17"/>
  <c r="BK88" i="17"/>
  <c r="BK89" i="17"/>
  <c r="BK90" i="17"/>
  <c r="BK91" i="17"/>
  <c r="BK92" i="17"/>
  <c r="BK93" i="17"/>
  <c r="BK94" i="17"/>
  <c r="BK95" i="17"/>
  <c r="BK96" i="17"/>
  <c r="BK97" i="17"/>
  <c r="BK98" i="17"/>
  <c r="BK99" i="17"/>
  <c r="BK100" i="17"/>
  <c r="BK101" i="17"/>
  <c r="BK102" i="17"/>
  <c r="BK103" i="17"/>
  <c r="BK104" i="17"/>
  <c r="BK105" i="17"/>
  <c r="BK106" i="17"/>
  <c r="BK107" i="17"/>
  <c r="BK108" i="17"/>
  <c r="BK109" i="17"/>
  <c r="BK110" i="17"/>
  <c r="BK111" i="17"/>
  <c r="BK112" i="17"/>
  <c r="BK113" i="17"/>
  <c r="BK114" i="17"/>
  <c r="BK115" i="17"/>
  <c r="BK116" i="17"/>
  <c r="BK117" i="17"/>
  <c r="BK118" i="17"/>
  <c r="BK119" i="17"/>
  <c r="BK120" i="17"/>
  <c r="BK121" i="17"/>
  <c r="BK122" i="17"/>
  <c r="BK123" i="17"/>
  <c r="BK124" i="17"/>
  <c r="BK125" i="17"/>
  <c r="BK126" i="17"/>
  <c r="BK127" i="17"/>
  <c r="BK128" i="17"/>
  <c r="BK129" i="17"/>
  <c r="BK130" i="17"/>
  <c r="BK131" i="17"/>
  <c r="BK132" i="17"/>
  <c r="BK133" i="17"/>
  <c r="BK134" i="17"/>
  <c r="BK135" i="17"/>
  <c r="BK136" i="17"/>
  <c r="BK137" i="17"/>
  <c r="BK138" i="17"/>
  <c r="BK139" i="17"/>
  <c r="BK140" i="17"/>
  <c r="BK141" i="17"/>
  <c r="BK142" i="17"/>
  <c r="BK143" i="17"/>
  <c r="BK144" i="17"/>
  <c r="BK145" i="17"/>
  <c r="BK146" i="17"/>
  <c r="BK147" i="17"/>
  <c r="BK148" i="17"/>
  <c r="BK149" i="17"/>
  <c r="BK150" i="17"/>
  <c r="BK151" i="17"/>
  <c r="BK152" i="17"/>
  <c r="BK153" i="17"/>
  <c r="BK154" i="17"/>
  <c r="BK155" i="17"/>
  <c r="BK156" i="17"/>
  <c r="BK157" i="17"/>
  <c r="BK158" i="17"/>
  <c r="BK159" i="17"/>
  <c r="BK160" i="17"/>
  <c r="BK161" i="17"/>
  <c r="BK162" i="17"/>
  <c r="BK163" i="17"/>
  <c r="BK164" i="17"/>
  <c r="BK165" i="17"/>
  <c r="BK166" i="17"/>
  <c r="BK167" i="17"/>
  <c r="BK168" i="17"/>
  <c r="BK169" i="17"/>
  <c r="BK170" i="17"/>
  <c r="BK171" i="17"/>
  <c r="BK172" i="17"/>
  <c r="BK173" i="17"/>
  <c r="BK174" i="17"/>
  <c r="BK175" i="17"/>
  <c r="BK176" i="17"/>
  <c r="BK177" i="17"/>
  <c r="BK178" i="17"/>
  <c r="BK179" i="17"/>
  <c r="BK180" i="17"/>
  <c r="BK181" i="17"/>
  <c r="BK182" i="17"/>
  <c r="BK183" i="17"/>
  <c r="BK184" i="17"/>
  <c r="BK185" i="17"/>
  <c r="BK186" i="17"/>
  <c r="BK187" i="17"/>
  <c r="BK188" i="17"/>
  <c r="BK189" i="17"/>
  <c r="BK190" i="17"/>
  <c r="BK191" i="17"/>
  <c r="BK192" i="17"/>
  <c r="BK193" i="17"/>
  <c r="BK194" i="17"/>
  <c r="BK195" i="17"/>
  <c r="BK196" i="17"/>
  <c r="BK197" i="17"/>
  <c r="BK198" i="17"/>
  <c r="BK199" i="17"/>
  <c r="BK200" i="17"/>
  <c r="BK201" i="17"/>
  <c r="BK202" i="17"/>
  <c r="BK203" i="17"/>
  <c r="BK204" i="17"/>
  <c r="BK205" i="17"/>
  <c r="BK206" i="17"/>
  <c r="BK207" i="17"/>
  <c r="BK208" i="17"/>
  <c r="BK209" i="17"/>
  <c r="BK210" i="17"/>
  <c r="BK211" i="17"/>
  <c r="BK212" i="17"/>
  <c r="BK213" i="17"/>
  <c r="BK214" i="17"/>
  <c r="BK215" i="17"/>
  <c r="BK216" i="17"/>
  <c r="BK217" i="17"/>
  <c r="BK218" i="17"/>
  <c r="BK219" i="17"/>
  <c r="BK220" i="17"/>
  <c r="BK221" i="17"/>
  <c r="BK222" i="17"/>
  <c r="BK223" i="17"/>
  <c r="BK224" i="17"/>
  <c r="BK225" i="17"/>
  <c r="BK226" i="17"/>
  <c r="BK227" i="17"/>
  <c r="BK228" i="17"/>
  <c r="BK229" i="17"/>
  <c r="BK230" i="17"/>
  <c r="BK231" i="17"/>
  <c r="BK232" i="17"/>
  <c r="BK233" i="17"/>
  <c r="BK234" i="17"/>
  <c r="BK235" i="17"/>
  <c r="BK236" i="17"/>
  <c r="BK237" i="17"/>
  <c r="BK238" i="17"/>
  <c r="BK239" i="17"/>
  <c r="BK240" i="17"/>
  <c r="BK241" i="17"/>
  <c r="BK242" i="17"/>
  <c r="BK243" i="17"/>
  <c r="BK244" i="17"/>
  <c r="BK245" i="17"/>
  <c r="BK246" i="17"/>
  <c r="BK247" i="17"/>
  <c r="BK248" i="17"/>
  <c r="BK249" i="17"/>
  <c r="BK250" i="17"/>
  <c r="BK251" i="17"/>
  <c r="BK252" i="17"/>
  <c r="BK253" i="17"/>
  <c r="BK254" i="17"/>
  <c r="BK255" i="17"/>
  <c r="BK256" i="17"/>
  <c r="BK257" i="17"/>
  <c r="BK258" i="17"/>
  <c r="BK259" i="17"/>
  <c r="BK260" i="17"/>
  <c r="BK261" i="17"/>
  <c r="BK262" i="17"/>
  <c r="BK263" i="17"/>
  <c r="BK264" i="17"/>
  <c r="BK265" i="17"/>
  <c r="BK266" i="17"/>
  <c r="BK267" i="17"/>
  <c r="BK268" i="17"/>
  <c r="BK269" i="17"/>
  <c r="BK270" i="17"/>
  <c r="BK271" i="17"/>
  <c r="BK272" i="17"/>
  <c r="BK273" i="17"/>
  <c r="BK274" i="17"/>
  <c r="BK275" i="17"/>
  <c r="BK276" i="17"/>
  <c r="BK277" i="17"/>
  <c r="BK278" i="17"/>
  <c r="BK279" i="17"/>
  <c r="BK280" i="17"/>
  <c r="BK281" i="17"/>
  <c r="BK282" i="17"/>
  <c r="BK283" i="17"/>
  <c r="BK284" i="17"/>
  <c r="BK285" i="17"/>
  <c r="BK286" i="17"/>
  <c r="BK287" i="17"/>
  <c r="BK288" i="17"/>
  <c r="BK289" i="17"/>
  <c r="BK290" i="17"/>
  <c r="BK291" i="17"/>
  <c r="BK292" i="17"/>
  <c r="BK293" i="17"/>
  <c r="BK294" i="17"/>
  <c r="BK295" i="17"/>
  <c r="BK296" i="17"/>
  <c r="BK297" i="17"/>
  <c r="BK298" i="17"/>
  <c r="BK299" i="17"/>
  <c r="BK300" i="17"/>
  <c r="BK301" i="17"/>
  <c r="BK302" i="17"/>
  <c r="BK303" i="17"/>
  <c r="BK304" i="17"/>
  <c r="BK305" i="17"/>
  <c r="BK306" i="17"/>
  <c r="BK307" i="17"/>
  <c r="BK308" i="17"/>
  <c r="BK309" i="17"/>
  <c r="BK310" i="17"/>
  <c r="BK311" i="17"/>
  <c r="BK312" i="17"/>
  <c r="BK313" i="17"/>
  <c r="BK314" i="17"/>
  <c r="BK315" i="17"/>
  <c r="BK316" i="17"/>
  <c r="BK317" i="17"/>
  <c r="BK318" i="17"/>
  <c r="BK319" i="17"/>
  <c r="BK320" i="17"/>
  <c r="BK321" i="17"/>
  <c r="BK322" i="17"/>
  <c r="BK323" i="17"/>
  <c r="BK324" i="17"/>
  <c r="BK325" i="17"/>
  <c r="BK326" i="17"/>
  <c r="BK327" i="17"/>
  <c r="BK328" i="17"/>
  <c r="BK329" i="17"/>
  <c r="BK330" i="17"/>
  <c r="BK331" i="17"/>
  <c r="BK332" i="17"/>
  <c r="BK333" i="17"/>
  <c r="BK334" i="17"/>
  <c r="BK335" i="17"/>
  <c r="BK336" i="17"/>
  <c r="BK337" i="17"/>
  <c r="BK338" i="17"/>
  <c r="BK339" i="17"/>
  <c r="BK340" i="17"/>
  <c r="BK341" i="17"/>
  <c r="BK342" i="17"/>
  <c r="BK343" i="17"/>
  <c r="BK344" i="17"/>
  <c r="BK345" i="17"/>
  <c r="BK346" i="17"/>
  <c r="BK347" i="17"/>
  <c r="BK348" i="17"/>
  <c r="BK349" i="17"/>
  <c r="BK350" i="17"/>
  <c r="BK351" i="17"/>
  <c r="BK352" i="17"/>
  <c r="BK353" i="17"/>
  <c r="BK354" i="17"/>
  <c r="BK355" i="17"/>
  <c r="BK356" i="17"/>
  <c r="BK357" i="17"/>
  <c r="BK358" i="17"/>
  <c r="BK359" i="17"/>
  <c r="BK360" i="17"/>
  <c r="BK361" i="17"/>
  <c r="BK362" i="17"/>
  <c r="BK363" i="17"/>
  <c r="BK364" i="17"/>
  <c r="BK365" i="17"/>
  <c r="BK366" i="17"/>
  <c r="BK367" i="17"/>
  <c r="BK368" i="17"/>
  <c r="BK369" i="17"/>
  <c r="BK370" i="17"/>
  <c r="BK371" i="17"/>
  <c r="BK372" i="17"/>
  <c r="BK373" i="17"/>
  <c r="BK374" i="17"/>
  <c r="BK375" i="17"/>
  <c r="BK376" i="17"/>
  <c r="BK377" i="17"/>
  <c r="BK378" i="17"/>
  <c r="BK379" i="17"/>
  <c r="BK380" i="17"/>
  <c r="BK381" i="17"/>
  <c r="BK382" i="17"/>
  <c r="BK383" i="17"/>
  <c r="BK384" i="17"/>
  <c r="BK385" i="17"/>
  <c r="BK386" i="17"/>
  <c r="BK387" i="17"/>
  <c r="BK388" i="17"/>
  <c r="BK389" i="17"/>
  <c r="BK390" i="17"/>
  <c r="BK391" i="17"/>
  <c r="BK392" i="17"/>
  <c r="BK393" i="17"/>
  <c r="BK394" i="17"/>
  <c r="BK395" i="17"/>
  <c r="BK396" i="17"/>
  <c r="BK397" i="17"/>
  <c r="BK398" i="17"/>
  <c r="BK399" i="17"/>
  <c r="BK400" i="17"/>
  <c r="BK401" i="17"/>
  <c r="BK402" i="17"/>
  <c r="BK403" i="17"/>
  <c r="BK404" i="17"/>
  <c r="BK405" i="17"/>
  <c r="BK406" i="17"/>
  <c r="BK407" i="17"/>
  <c r="BK408" i="17"/>
  <c r="AM403" i="19"/>
  <c r="BI2" i="17"/>
  <c r="BH2" i="17"/>
  <c r="C63" i="27" l="1"/>
  <c r="B63" i="27"/>
  <c r="Q63" i="27" s="1"/>
  <c r="C64" i="27"/>
  <c r="B64" i="27"/>
  <c r="Q64" i="27" s="1"/>
  <c r="F62" i="27"/>
  <c r="E62" i="27"/>
  <c r="D62" i="27"/>
  <c r="G62" i="27"/>
  <c r="AQ403" i="19"/>
  <c r="AO403" i="19"/>
  <c r="AN403" i="19"/>
  <c r="AQ2" i="17"/>
  <c r="AM2" i="17"/>
  <c r="BD408" i="17"/>
  <c r="AV408" i="17"/>
  <c r="BD407" i="17"/>
  <c r="AV407" i="17"/>
  <c r="BD406" i="17"/>
  <c r="AV406" i="17"/>
  <c r="BD405" i="17"/>
  <c r="AV405" i="17"/>
  <c r="BD404" i="17"/>
  <c r="AV404" i="17"/>
  <c r="BD403" i="17"/>
  <c r="AV403" i="17"/>
  <c r="BD402" i="17"/>
  <c r="AV402" i="17"/>
  <c r="BD401" i="17"/>
  <c r="AV401" i="17"/>
  <c r="BD400" i="17"/>
  <c r="AV400" i="17"/>
  <c r="BD399" i="17"/>
  <c r="AV399" i="17"/>
  <c r="BD398" i="17"/>
  <c r="AV398" i="17"/>
  <c r="BD397" i="17"/>
  <c r="AV397" i="17"/>
  <c r="BD396" i="17"/>
  <c r="AV396" i="17"/>
  <c r="BD395" i="17"/>
  <c r="AV395" i="17"/>
  <c r="BD394" i="17"/>
  <c r="AV394" i="17"/>
  <c r="BD393" i="17"/>
  <c r="AV393" i="17"/>
  <c r="BD392" i="17"/>
  <c r="AV392" i="17"/>
  <c r="BD391" i="17"/>
  <c r="AV391" i="17"/>
  <c r="BD390" i="17"/>
  <c r="AV390" i="17"/>
  <c r="BD389" i="17"/>
  <c r="AV389" i="17"/>
  <c r="BD388" i="17"/>
  <c r="AV388" i="17"/>
  <c r="BD387" i="17"/>
  <c r="AV387" i="17"/>
  <c r="BD386" i="17"/>
  <c r="AV386" i="17"/>
  <c r="BD385" i="17"/>
  <c r="AV385" i="17"/>
  <c r="BD384" i="17"/>
  <c r="AV384" i="17"/>
  <c r="BD383" i="17"/>
  <c r="AV383" i="17"/>
  <c r="BD382" i="17"/>
  <c r="AV382" i="17"/>
  <c r="BD381" i="17"/>
  <c r="AV381" i="17"/>
  <c r="BD380" i="17"/>
  <c r="AV380" i="17"/>
  <c r="BD379" i="17"/>
  <c r="AV379" i="17"/>
  <c r="BD378" i="17"/>
  <c r="AV378" i="17"/>
  <c r="BD377" i="17"/>
  <c r="AV377" i="17"/>
  <c r="BD376" i="17"/>
  <c r="AV376" i="17"/>
  <c r="BD375" i="17"/>
  <c r="AV375" i="17"/>
  <c r="BD374" i="17"/>
  <c r="AV374" i="17"/>
  <c r="BD373" i="17"/>
  <c r="AV373" i="17"/>
  <c r="BD372" i="17"/>
  <c r="AV372" i="17"/>
  <c r="BD371" i="17"/>
  <c r="AV371" i="17"/>
  <c r="BD370" i="17"/>
  <c r="AV370" i="17"/>
  <c r="BD369" i="17"/>
  <c r="AV369" i="17"/>
  <c r="BD368" i="17"/>
  <c r="AV368" i="17"/>
  <c r="BD367" i="17"/>
  <c r="AV367" i="17"/>
  <c r="BD366" i="17"/>
  <c r="AV366" i="17"/>
  <c r="BD365" i="17"/>
  <c r="AV365" i="17"/>
  <c r="BD364" i="17"/>
  <c r="AV364" i="17"/>
  <c r="BD363" i="17"/>
  <c r="AV363" i="17"/>
  <c r="BD362" i="17"/>
  <c r="AV362" i="17"/>
  <c r="BD361" i="17"/>
  <c r="AV361" i="17"/>
  <c r="BD360" i="17"/>
  <c r="AV360" i="17"/>
  <c r="BD359" i="17"/>
  <c r="AV359" i="17"/>
  <c r="BD358" i="17"/>
  <c r="AV358" i="17"/>
  <c r="BD357" i="17"/>
  <c r="AV357" i="17"/>
  <c r="BD356" i="17"/>
  <c r="AV356" i="17"/>
  <c r="BD355" i="17"/>
  <c r="AV355" i="17"/>
  <c r="BD354" i="17"/>
  <c r="AV354" i="17"/>
  <c r="BD353" i="17"/>
  <c r="AV353" i="17"/>
  <c r="BD352" i="17"/>
  <c r="AV352" i="17"/>
  <c r="BD351" i="17"/>
  <c r="AV351" i="17"/>
  <c r="BD350" i="17"/>
  <c r="AV350" i="17"/>
  <c r="BD349" i="17"/>
  <c r="AV349" i="17"/>
  <c r="BD348" i="17"/>
  <c r="AV348" i="17"/>
  <c r="BD347" i="17"/>
  <c r="AV347" i="17"/>
  <c r="BD346" i="17"/>
  <c r="AV346" i="17"/>
  <c r="BD345" i="17"/>
  <c r="AV345" i="17"/>
  <c r="BD344" i="17"/>
  <c r="AV344" i="17"/>
  <c r="BD343" i="17"/>
  <c r="AV343" i="17"/>
  <c r="BD342" i="17"/>
  <c r="AV342" i="17"/>
  <c r="BD341" i="17"/>
  <c r="AV341" i="17"/>
  <c r="BD340" i="17"/>
  <c r="AV340" i="17"/>
  <c r="BD339" i="17"/>
  <c r="AV339" i="17"/>
  <c r="BD338" i="17"/>
  <c r="AV338" i="17"/>
  <c r="BD337" i="17"/>
  <c r="AV337" i="17"/>
  <c r="BD336" i="17"/>
  <c r="AV336" i="17"/>
  <c r="BD335" i="17"/>
  <c r="AV335" i="17"/>
  <c r="BD334" i="17"/>
  <c r="AV334" i="17"/>
  <c r="BD333" i="17"/>
  <c r="AV333" i="17"/>
  <c r="BD332" i="17"/>
  <c r="AV332" i="17"/>
  <c r="BD331" i="17"/>
  <c r="AV331" i="17"/>
  <c r="BD330" i="17"/>
  <c r="AV330" i="17"/>
  <c r="BD329" i="17"/>
  <c r="AV329" i="17"/>
  <c r="BD328" i="17"/>
  <c r="AV328" i="17"/>
  <c r="BD327" i="17"/>
  <c r="AV327" i="17"/>
  <c r="BD326" i="17"/>
  <c r="AV326" i="17"/>
  <c r="BD325" i="17"/>
  <c r="AV325" i="17"/>
  <c r="BD324" i="17"/>
  <c r="AV324" i="17"/>
  <c r="BD323" i="17"/>
  <c r="AV323" i="17"/>
  <c r="BD322" i="17"/>
  <c r="AV322" i="17"/>
  <c r="BD321" i="17"/>
  <c r="AV321" i="17"/>
  <c r="BD320" i="17"/>
  <c r="AV320" i="17"/>
  <c r="BD319" i="17"/>
  <c r="AV319" i="17"/>
  <c r="BD318" i="17"/>
  <c r="AV318" i="17"/>
  <c r="BD317" i="17"/>
  <c r="AV317" i="17"/>
  <c r="BD316" i="17"/>
  <c r="AV316" i="17"/>
  <c r="BD315" i="17"/>
  <c r="AV315" i="17"/>
  <c r="BD314" i="17"/>
  <c r="AV314" i="17"/>
  <c r="BD313" i="17"/>
  <c r="AV313" i="17"/>
  <c r="BD312" i="17"/>
  <c r="AV312" i="17"/>
  <c r="BD311" i="17"/>
  <c r="AV311" i="17"/>
  <c r="BD310" i="17"/>
  <c r="AV310" i="17"/>
  <c r="BD309" i="17"/>
  <c r="AV309" i="17"/>
  <c r="BD308" i="17"/>
  <c r="AV308" i="17"/>
  <c r="BD307" i="17"/>
  <c r="AV307" i="17"/>
  <c r="BD306" i="17"/>
  <c r="AV306" i="17"/>
  <c r="BD305" i="17"/>
  <c r="AV305" i="17"/>
  <c r="BD304" i="17"/>
  <c r="AV304" i="17"/>
  <c r="BD303" i="17"/>
  <c r="AV303" i="17"/>
  <c r="BD302" i="17"/>
  <c r="AV302" i="17"/>
  <c r="BD301" i="17"/>
  <c r="AV301" i="17"/>
  <c r="BD300" i="17"/>
  <c r="AV300" i="17"/>
  <c r="BD299" i="17"/>
  <c r="AV299" i="17"/>
  <c r="BD298" i="17"/>
  <c r="AV298" i="17"/>
  <c r="BD297" i="17"/>
  <c r="AV297" i="17"/>
  <c r="BD296" i="17"/>
  <c r="AV296" i="17"/>
  <c r="BD295" i="17"/>
  <c r="AV295" i="17"/>
  <c r="BD294" i="17"/>
  <c r="AV294" i="17"/>
  <c r="BD293" i="17"/>
  <c r="AV293" i="17"/>
  <c r="BD292" i="17"/>
  <c r="AV292" i="17"/>
  <c r="BD291" i="17"/>
  <c r="AV291" i="17"/>
  <c r="BD290" i="17"/>
  <c r="AV290" i="17"/>
  <c r="BD289" i="17"/>
  <c r="AV289" i="17"/>
  <c r="BD288" i="17"/>
  <c r="AV288" i="17"/>
  <c r="BD287" i="17"/>
  <c r="AV287" i="17"/>
  <c r="BD286" i="17"/>
  <c r="AV286" i="17"/>
  <c r="BD285" i="17"/>
  <c r="AV285" i="17"/>
  <c r="BD284" i="17"/>
  <c r="AV284" i="17"/>
  <c r="BD283" i="17"/>
  <c r="AV283" i="17"/>
  <c r="BD282" i="17"/>
  <c r="AV282" i="17"/>
  <c r="BD281" i="17"/>
  <c r="AV281" i="17"/>
  <c r="BD280" i="17"/>
  <c r="AV280" i="17"/>
  <c r="BD279" i="17"/>
  <c r="AV279" i="17"/>
  <c r="BD278" i="17"/>
  <c r="AV278" i="17"/>
  <c r="BD277" i="17"/>
  <c r="AV277" i="17"/>
  <c r="BD276" i="17"/>
  <c r="AV276" i="17"/>
  <c r="BD275" i="17"/>
  <c r="AV275" i="17"/>
  <c r="BD274" i="17"/>
  <c r="AV274" i="17"/>
  <c r="BD273" i="17"/>
  <c r="AV273" i="17"/>
  <c r="BD272" i="17"/>
  <c r="AV272" i="17"/>
  <c r="BD271" i="17"/>
  <c r="AV271" i="17"/>
  <c r="BD270" i="17"/>
  <c r="AV270" i="17"/>
  <c r="BD269" i="17"/>
  <c r="AV269" i="17"/>
  <c r="BD268" i="17"/>
  <c r="AV268" i="17"/>
  <c r="BD267" i="17"/>
  <c r="AV267" i="17"/>
  <c r="BD266" i="17"/>
  <c r="AV266" i="17"/>
  <c r="BD265" i="17"/>
  <c r="AV265" i="17"/>
  <c r="BD264" i="17"/>
  <c r="AV264" i="17"/>
  <c r="BD263" i="17"/>
  <c r="AV263" i="17"/>
  <c r="BD262" i="17"/>
  <c r="AV262" i="17"/>
  <c r="BD261" i="17"/>
  <c r="AV261" i="17"/>
  <c r="BD260" i="17"/>
  <c r="AV260" i="17"/>
  <c r="BD259" i="17"/>
  <c r="AV259" i="17"/>
  <c r="BD258" i="17"/>
  <c r="AV258" i="17"/>
  <c r="BD257" i="17"/>
  <c r="AV257" i="17"/>
  <c r="BD256" i="17"/>
  <c r="AV256" i="17"/>
  <c r="BD255" i="17"/>
  <c r="AV255" i="17"/>
  <c r="BD254" i="17"/>
  <c r="AV254" i="17"/>
  <c r="BD253" i="17"/>
  <c r="AV253" i="17"/>
  <c r="BD252" i="17"/>
  <c r="AV252" i="17"/>
  <c r="BD251" i="17"/>
  <c r="AV251" i="17"/>
  <c r="BD250" i="17"/>
  <c r="AV250" i="17"/>
  <c r="BD249" i="17"/>
  <c r="AV249" i="17"/>
  <c r="BD248" i="17"/>
  <c r="AV248" i="17"/>
  <c r="BD247" i="17"/>
  <c r="AV247" i="17"/>
  <c r="BD246" i="17"/>
  <c r="AV246" i="17"/>
  <c r="BD245" i="17"/>
  <c r="AV245" i="17"/>
  <c r="BD244" i="17"/>
  <c r="AV244" i="17"/>
  <c r="BD243" i="17"/>
  <c r="AV243" i="17"/>
  <c r="BD242" i="17"/>
  <c r="AV242" i="17"/>
  <c r="BD241" i="17"/>
  <c r="AV241" i="17"/>
  <c r="BD240" i="17"/>
  <c r="AV240" i="17"/>
  <c r="BD239" i="17"/>
  <c r="AV239" i="17"/>
  <c r="BD238" i="17"/>
  <c r="AV238" i="17"/>
  <c r="BD237" i="17"/>
  <c r="AV237" i="17"/>
  <c r="BD236" i="17"/>
  <c r="AV236" i="17"/>
  <c r="BD235" i="17"/>
  <c r="AV235" i="17"/>
  <c r="BD234" i="17"/>
  <c r="AV234" i="17"/>
  <c r="BD233" i="17"/>
  <c r="AV233" i="17"/>
  <c r="BD232" i="17"/>
  <c r="AV232" i="17"/>
  <c r="BD231" i="17"/>
  <c r="AV231" i="17"/>
  <c r="BD230" i="17"/>
  <c r="AV230" i="17"/>
  <c r="BD229" i="17"/>
  <c r="AV229" i="17"/>
  <c r="BD228" i="17"/>
  <c r="AV228" i="17"/>
  <c r="BD227" i="17"/>
  <c r="AV227" i="17"/>
  <c r="BD226" i="17"/>
  <c r="AV226" i="17"/>
  <c r="BD225" i="17"/>
  <c r="AV225" i="17"/>
  <c r="BD224" i="17"/>
  <c r="AV224" i="17"/>
  <c r="BD223" i="17"/>
  <c r="AV223" i="17"/>
  <c r="BD222" i="17"/>
  <c r="AV222" i="17"/>
  <c r="BD221" i="17"/>
  <c r="AV221" i="17"/>
  <c r="BD220" i="17"/>
  <c r="AV220" i="17"/>
  <c r="BD219" i="17"/>
  <c r="AV219" i="17"/>
  <c r="BD218" i="17"/>
  <c r="AV218" i="17"/>
  <c r="BD217" i="17"/>
  <c r="AV217" i="17"/>
  <c r="BD216" i="17"/>
  <c r="AV216" i="17"/>
  <c r="BD215" i="17"/>
  <c r="AV215" i="17"/>
  <c r="BD214" i="17"/>
  <c r="AV214" i="17"/>
  <c r="BD213" i="17"/>
  <c r="AV213" i="17"/>
  <c r="BD212" i="17"/>
  <c r="AV212" i="17"/>
  <c r="BD211" i="17"/>
  <c r="AV211" i="17"/>
  <c r="BD210" i="17"/>
  <c r="AV210" i="17"/>
  <c r="BD209" i="17"/>
  <c r="AV209" i="17"/>
  <c r="BD208" i="17"/>
  <c r="AV208" i="17"/>
  <c r="BD207" i="17"/>
  <c r="AV207" i="17"/>
  <c r="BD206" i="17"/>
  <c r="AV206" i="17"/>
  <c r="BD205" i="17"/>
  <c r="AV205" i="17"/>
  <c r="BD203" i="17"/>
  <c r="AV203" i="17"/>
  <c r="BD202" i="17"/>
  <c r="AV202" i="17"/>
  <c r="BD201" i="17"/>
  <c r="AV201" i="17"/>
  <c r="BD200" i="17"/>
  <c r="AV200" i="17"/>
  <c r="BD199" i="17"/>
  <c r="AV199" i="17"/>
  <c r="BD198" i="17"/>
  <c r="AV198" i="17"/>
  <c r="BD197" i="17"/>
  <c r="AV197" i="17"/>
  <c r="BD196" i="17"/>
  <c r="AV196" i="17"/>
  <c r="BD195" i="17"/>
  <c r="AV195" i="17"/>
  <c r="BD194" i="17"/>
  <c r="AV194" i="17"/>
  <c r="BD193" i="17"/>
  <c r="AV193" i="17"/>
  <c r="BD192" i="17"/>
  <c r="AV192" i="17"/>
  <c r="BD191" i="17"/>
  <c r="AV191" i="17"/>
  <c r="BD190" i="17"/>
  <c r="AV190" i="17"/>
  <c r="BD189" i="17"/>
  <c r="AV189" i="17"/>
  <c r="BD188" i="17"/>
  <c r="AV188" i="17"/>
  <c r="BD187" i="17"/>
  <c r="AV187" i="17"/>
  <c r="BD186" i="17"/>
  <c r="AV186" i="17"/>
  <c r="BD185" i="17"/>
  <c r="AV185" i="17"/>
  <c r="BD184" i="17"/>
  <c r="AV184" i="17"/>
  <c r="BD183" i="17"/>
  <c r="AV183" i="17"/>
  <c r="BD182" i="17"/>
  <c r="AV182" i="17"/>
  <c r="BD181" i="17"/>
  <c r="AV181" i="17"/>
  <c r="BD180" i="17"/>
  <c r="AV180" i="17"/>
  <c r="BD179" i="17"/>
  <c r="AV179" i="17"/>
  <c r="BD178" i="17"/>
  <c r="AV178" i="17"/>
  <c r="BD177" i="17"/>
  <c r="AV177" i="17"/>
  <c r="BD176" i="17"/>
  <c r="AV176" i="17"/>
  <c r="BD175" i="17"/>
  <c r="AV175" i="17"/>
  <c r="BD174" i="17"/>
  <c r="AV174" i="17"/>
  <c r="BD173" i="17"/>
  <c r="AV173" i="17"/>
  <c r="BD172" i="17"/>
  <c r="AV172" i="17"/>
  <c r="BD171" i="17"/>
  <c r="AV171" i="17"/>
  <c r="BD170" i="17"/>
  <c r="AV170" i="17"/>
  <c r="BD169" i="17"/>
  <c r="AV169" i="17"/>
  <c r="BD168" i="17"/>
  <c r="AV168" i="17"/>
  <c r="BD167" i="17"/>
  <c r="AV167" i="17"/>
  <c r="BD166" i="17"/>
  <c r="AV166" i="17"/>
  <c r="BD165" i="17"/>
  <c r="AV165" i="17"/>
  <c r="BD164" i="17"/>
  <c r="AV164" i="17"/>
  <c r="BD163" i="17"/>
  <c r="AV163" i="17"/>
  <c r="BD162" i="17"/>
  <c r="AV162" i="17"/>
  <c r="BD161" i="17"/>
  <c r="AV161" i="17"/>
  <c r="BD160" i="17"/>
  <c r="AV160" i="17"/>
  <c r="BD159" i="17"/>
  <c r="AV159" i="17"/>
  <c r="BD158" i="17"/>
  <c r="AV158" i="17"/>
  <c r="BD157" i="17"/>
  <c r="AV157" i="17"/>
  <c r="BD156" i="17"/>
  <c r="AV156" i="17"/>
  <c r="BD155" i="17"/>
  <c r="AV155" i="17"/>
  <c r="BD154" i="17"/>
  <c r="AV154" i="17"/>
  <c r="BD153" i="17"/>
  <c r="AV153" i="17"/>
  <c r="BD152" i="17"/>
  <c r="AV152" i="17"/>
  <c r="BD151" i="17"/>
  <c r="AV151" i="17"/>
  <c r="BD150" i="17"/>
  <c r="AV150" i="17"/>
  <c r="BD149" i="17"/>
  <c r="AV149" i="17"/>
  <c r="BD148" i="17"/>
  <c r="AV148" i="17"/>
  <c r="BD147" i="17"/>
  <c r="AV147" i="17"/>
  <c r="BD146" i="17"/>
  <c r="AV146" i="17"/>
  <c r="BD145" i="17"/>
  <c r="AV145" i="17"/>
  <c r="BD144" i="17"/>
  <c r="AV144" i="17"/>
  <c r="BD143" i="17"/>
  <c r="AV143" i="17"/>
  <c r="BD142" i="17"/>
  <c r="AV142" i="17"/>
  <c r="BD141" i="17"/>
  <c r="AV141" i="17"/>
  <c r="BD140" i="17"/>
  <c r="AV140" i="17"/>
  <c r="BD139" i="17"/>
  <c r="AV139" i="17"/>
  <c r="BD138" i="17"/>
  <c r="AV138" i="17"/>
  <c r="BD137" i="17"/>
  <c r="AV137" i="17"/>
  <c r="BD136" i="17"/>
  <c r="AV136" i="17"/>
  <c r="BD135" i="17"/>
  <c r="AV135" i="17"/>
  <c r="BD134" i="17"/>
  <c r="AV134" i="17"/>
  <c r="BD133" i="17"/>
  <c r="AV133" i="17"/>
  <c r="BD132" i="17"/>
  <c r="AV132" i="17"/>
  <c r="BD131" i="17"/>
  <c r="AV131" i="17"/>
  <c r="BD130" i="17"/>
  <c r="AV130" i="17"/>
  <c r="BD129" i="17"/>
  <c r="AV129" i="17"/>
  <c r="BD128" i="17"/>
  <c r="AV128" i="17"/>
  <c r="BD127" i="17"/>
  <c r="AV127" i="17"/>
  <c r="BD126" i="17"/>
  <c r="AV126" i="17"/>
  <c r="BD125" i="17"/>
  <c r="AV125" i="17"/>
  <c r="BD124" i="17"/>
  <c r="AV124" i="17"/>
  <c r="BD123" i="17"/>
  <c r="AV123" i="17"/>
  <c r="BD122" i="17"/>
  <c r="AV122" i="17"/>
  <c r="BD121" i="17"/>
  <c r="AV121" i="17"/>
  <c r="BD120" i="17"/>
  <c r="AV120" i="17"/>
  <c r="BD119" i="17"/>
  <c r="AV119" i="17"/>
  <c r="BD118" i="17"/>
  <c r="AV118" i="17"/>
  <c r="BD117" i="17"/>
  <c r="AV117" i="17"/>
  <c r="BD116" i="17"/>
  <c r="AV116" i="17"/>
  <c r="BD115" i="17"/>
  <c r="AV115" i="17"/>
  <c r="BD114" i="17"/>
  <c r="AV114" i="17"/>
  <c r="BD113" i="17"/>
  <c r="AV113" i="17"/>
  <c r="BD112" i="17"/>
  <c r="AV112" i="17"/>
  <c r="BD111" i="17"/>
  <c r="AV111" i="17"/>
  <c r="BD110" i="17"/>
  <c r="AV110" i="17"/>
  <c r="BD109" i="17"/>
  <c r="AV109" i="17"/>
  <c r="BD108" i="17"/>
  <c r="AV108" i="17"/>
  <c r="BD107" i="17"/>
  <c r="AV107" i="17"/>
  <c r="BD106" i="17"/>
  <c r="AV106" i="17"/>
  <c r="BD105" i="17"/>
  <c r="AV105" i="17"/>
  <c r="BD104" i="17"/>
  <c r="AV104" i="17"/>
  <c r="BD103" i="17"/>
  <c r="AV103" i="17"/>
  <c r="BD102" i="17"/>
  <c r="AV102" i="17"/>
  <c r="BD101" i="17"/>
  <c r="AV101" i="17"/>
  <c r="BD100" i="17"/>
  <c r="AV100" i="17"/>
  <c r="BD99" i="17"/>
  <c r="AV99" i="17"/>
  <c r="BD98" i="17"/>
  <c r="AV98" i="17"/>
  <c r="BD97" i="17"/>
  <c r="AV97" i="17"/>
  <c r="BD96" i="17"/>
  <c r="AV96" i="17"/>
  <c r="AV95" i="17"/>
  <c r="BD94" i="17"/>
  <c r="AV94" i="17"/>
  <c r="BD93" i="17"/>
  <c r="AV93" i="17"/>
  <c r="BD92" i="17"/>
  <c r="AV92" i="17"/>
  <c r="BD91" i="17"/>
  <c r="AV91" i="17"/>
  <c r="BD90" i="17"/>
  <c r="AV90" i="17"/>
  <c r="BD89" i="17"/>
  <c r="AV89" i="17"/>
  <c r="BD88" i="17"/>
  <c r="AV88" i="17"/>
  <c r="BD87" i="17"/>
  <c r="AV87" i="17"/>
  <c r="BD86" i="17"/>
  <c r="AV86" i="17"/>
  <c r="BD85" i="17"/>
  <c r="AV85" i="17"/>
  <c r="BD84" i="17"/>
  <c r="AV84" i="17"/>
  <c r="BD83" i="17"/>
  <c r="AV83" i="17"/>
  <c r="BD82" i="17"/>
  <c r="AV82" i="17"/>
  <c r="BD81" i="17"/>
  <c r="AV81" i="17"/>
  <c r="BD80" i="17"/>
  <c r="AV80" i="17"/>
  <c r="BD79" i="17"/>
  <c r="AV79" i="17"/>
  <c r="BD78" i="17"/>
  <c r="AV78" i="17"/>
  <c r="BD77" i="17"/>
  <c r="AV77" i="17"/>
  <c r="BD76" i="17"/>
  <c r="AV76" i="17"/>
  <c r="BD75" i="17"/>
  <c r="AV75" i="17"/>
  <c r="BD74" i="17"/>
  <c r="AV74" i="17"/>
  <c r="BD73" i="17"/>
  <c r="AV73" i="17"/>
  <c r="BD72" i="17"/>
  <c r="AV72" i="17"/>
  <c r="BD71" i="17"/>
  <c r="AV71" i="17"/>
  <c r="BD70" i="17"/>
  <c r="AV70" i="17"/>
  <c r="BD69" i="17"/>
  <c r="AV69" i="17"/>
  <c r="BD68" i="17"/>
  <c r="AV68" i="17"/>
  <c r="BD67" i="17"/>
  <c r="AV67" i="17"/>
  <c r="BD66" i="17"/>
  <c r="AV66" i="17"/>
  <c r="BD65" i="17"/>
  <c r="AV65" i="17"/>
  <c r="BD64" i="17"/>
  <c r="AV64" i="17"/>
  <c r="BD63" i="17"/>
  <c r="AV63" i="17"/>
  <c r="BD62" i="17"/>
  <c r="AV62" i="17"/>
  <c r="BD61" i="17"/>
  <c r="AV61" i="17"/>
  <c r="BD60" i="17"/>
  <c r="AV60" i="17"/>
  <c r="BD59" i="17"/>
  <c r="AV59" i="17"/>
  <c r="BD58" i="17"/>
  <c r="AV58" i="17"/>
  <c r="BD57" i="17"/>
  <c r="AV57" i="17"/>
  <c r="BD56" i="17"/>
  <c r="AV56" i="17"/>
  <c r="BD55" i="17"/>
  <c r="AV55" i="17"/>
  <c r="BD54" i="17"/>
  <c r="AV54" i="17"/>
  <c r="BD53" i="17"/>
  <c r="AV53" i="17"/>
  <c r="BD52" i="17"/>
  <c r="AV52" i="17"/>
  <c r="BD51" i="17"/>
  <c r="AV51" i="17"/>
  <c r="BD50" i="17"/>
  <c r="AV50" i="17"/>
  <c r="BD49" i="17"/>
  <c r="AV49" i="17"/>
  <c r="BD48" i="17"/>
  <c r="AV48" i="17"/>
  <c r="BD47" i="17"/>
  <c r="AV47" i="17"/>
  <c r="BD46" i="17"/>
  <c r="AV46" i="17"/>
  <c r="BD45" i="17"/>
  <c r="AV45" i="17"/>
  <c r="BD44" i="17"/>
  <c r="AV44" i="17"/>
  <c r="BD43" i="17"/>
  <c r="AV43" i="17"/>
  <c r="BD42" i="17"/>
  <c r="AV42" i="17"/>
  <c r="BD41" i="17"/>
  <c r="AV41" i="17"/>
  <c r="BD40" i="17"/>
  <c r="AV40" i="17"/>
  <c r="BD39" i="17"/>
  <c r="AV39" i="17"/>
  <c r="BD38" i="17"/>
  <c r="AV38" i="17"/>
  <c r="BD37" i="17"/>
  <c r="AV37" i="17"/>
  <c r="BD36" i="17"/>
  <c r="AV36" i="17"/>
  <c r="BD35" i="17"/>
  <c r="AV35" i="17"/>
  <c r="BD34" i="17"/>
  <c r="AV34" i="17"/>
  <c r="BD33" i="17"/>
  <c r="AV33" i="17"/>
  <c r="BD32" i="17"/>
  <c r="AV32" i="17"/>
  <c r="BD31" i="17"/>
  <c r="AV31" i="17"/>
  <c r="BD30" i="17"/>
  <c r="AV30" i="17"/>
  <c r="BD29" i="17"/>
  <c r="AV29" i="17"/>
  <c r="BD28" i="17"/>
  <c r="AV28" i="17"/>
  <c r="BD27" i="17"/>
  <c r="AV27" i="17"/>
  <c r="BD26" i="17"/>
  <c r="AV26" i="17"/>
  <c r="BD25" i="17"/>
  <c r="AV25" i="17"/>
  <c r="BD24" i="17"/>
  <c r="AV24" i="17"/>
  <c r="BD23" i="17"/>
  <c r="AV23" i="17"/>
  <c r="BD22" i="17"/>
  <c r="AV22" i="17"/>
  <c r="BD21" i="17"/>
  <c r="AV21" i="17"/>
  <c r="BD20" i="17"/>
  <c r="AV20" i="17"/>
  <c r="BD19" i="17"/>
  <c r="AV19" i="17"/>
  <c r="BD18" i="17"/>
  <c r="AV18" i="17"/>
  <c r="BD17" i="17"/>
  <c r="AV17" i="17"/>
  <c r="BD16" i="17"/>
  <c r="AV16" i="17"/>
  <c r="BD15" i="17"/>
  <c r="AV15" i="17"/>
  <c r="BD14" i="17"/>
  <c r="AV14" i="17"/>
  <c r="BD13" i="17"/>
  <c r="AV13" i="17"/>
  <c r="BD12" i="17"/>
  <c r="AV12" i="17"/>
  <c r="BD11" i="17"/>
  <c r="AV11" i="17"/>
  <c r="BD10" i="17"/>
  <c r="AV10" i="17"/>
  <c r="BD9" i="17"/>
  <c r="AV9" i="17"/>
  <c r="BD8" i="17"/>
  <c r="AV8" i="17"/>
  <c r="BD7" i="17"/>
  <c r="AV7" i="17"/>
  <c r="BD6" i="17"/>
  <c r="AV6" i="17"/>
  <c r="BD5" i="17"/>
  <c r="AV5" i="17"/>
  <c r="BD4" i="17"/>
  <c r="AV4" i="17"/>
  <c r="BD3" i="17"/>
  <c r="AV3" i="17"/>
  <c r="BD2" i="17"/>
  <c r="AV2" i="17"/>
  <c r="AJ3" i="19"/>
  <c r="AJ4" i="19"/>
  <c r="AJ5" i="19"/>
  <c r="AJ6" i="19"/>
  <c r="AJ7" i="19"/>
  <c r="AJ8" i="19"/>
  <c r="AJ9" i="19"/>
  <c r="AJ10" i="19"/>
  <c r="AJ11" i="19"/>
  <c r="AJ12" i="19"/>
  <c r="AJ13" i="19"/>
  <c r="AJ14" i="19"/>
  <c r="AJ15" i="19"/>
  <c r="AJ16" i="19"/>
  <c r="AJ17" i="19"/>
  <c r="AJ18" i="19"/>
  <c r="AJ19" i="19"/>
  <c r="AJ20" i="19"/>
  <c r="AJ21" i="19"/>
  <c r="AJ22" i="19"/>
  <c r="AJ23" i="19"/>
  <c r="AJ24" i="19"/>
  <c r="AJ25" i="19"/>
  <c r="AJ26" i="19"/>
  <c r="AJ27" i="19"/>
  <c r="AJ28" i="19"/>
  <c r="AJ29" i="19"/>
  <c r="AJ30" i="19"/>
  <c r="AJ31" i="19"/>
  <c r="AJ32" i="19"/>
  <c r="AJ33" i="19"/>
  <c r="AJ34" i="19"/>
  <c r="AJ35" i="19"/>
  <c r="AJ36" i="19"/>
  <c r="AJ37" i="19"/>
  <c r="AJ38" i="19"/>
  <c r="AJ39" i="19"/>
  <c r="AJ40" i="19"/>
  <c r="AJ41" i="19"/>
  <c r="AJ42" i="19"/>
  <c r="AJ43" i="19"/>
  <c r="AJ44" i="19"/>
  <c r="AJ45" i="19"/>
  <c r="AJ46" i="19"/>
  <c r="AJ47" i="19"/>
  <c r="AJ48" i="19"/>
  <c r="AJ49" i="19"/>
  <c r="AJ50" i="19"/>
  <c r="AJ51" i="19"/>
  <c r="AJ52" i="19"/>
  <c r="AJ53" i="19"/>
  <c r="AJ54" i="19"/>
  <c r="AJ55" i="19"/>
  <c r="AJ56" i="19"/>
  <c r="AJ57" i="19"/>
  <c r="AJ58" i="19"/>
  <c r="AJ59" i="19"/>
  <c r="AJ60" i="19"/>
  <c r="AJ61" i="19"/>
  <c r="AJ62" i="19"/>
  <c r="AJ63" i="19"/>
  <c r="AJ64" i="19"/>
  <c r="AJ65" i="19"/>
  <c r="AJ66" i="19"/>
  <c r="AJ67" i="19"/>
  <c r="AJ68" i="19"/>
  <c r="AJ69" i="19"/>
  <c r="AJ70" i="19"/>
  <c r="AJ71" i="19"/>
  <c r="AJ72" i="19"/>
  <c r="AJ73" i="19"/>
  <c r="AJ74" i="19"/>
  <c r="AJ75" i="19"/>
  <c r="AJ76" i="19"/>
  <c r="AJ77" i="19"/>
  <c r="AJ78" i="19"/>
  <c r="AJ79" i="19"/>
  <c r="AJ80" i="19"/>
  <c r="AJ81" i="19"/>
  <c r="AJ82" i="19"/>
  <c r="AJ83" i="19"/>
  <c r="AJ84" i="19"/>
  <c r="AJ85" i="19"/>
  <c r="AJ86" i="19"/>
  <c r="AJ87" i="19"/>
  <c r="AJ88" i="19"/>
  <c r="AJ89" i="19"/>
  <c r="AJ90" i="19"/>
  <c r="AJ91" i="19"/>
  <c r="AJ92" i="19"/>
  <c r="AJ93" i="19"/>
  <c r="AJ94" i="19"/>
  <c r="AJ95" i="19"/>
  <c r="AJ96" i="19"/>
  <c r="AJ97" i="19"/>
  <c r="AJ98" i="19"/>
  <c r="AJ99" i="19"/>
  <c r="AJ100" i="19"/>
  <c r="AJ101" i="19"/>
  <c r="AJ102" i="19"/>
  <c r="AJ103" i="19"/>
  <c r="AJ104" i="19"/>
  <c r="AJ105" i="19"/>
  <c r="AJ106" i="19"/>
  <c r="AJ107" i="19"/>
  <c r="AJ108" i="19"/>
  <c r="AJ109" i="19"/>
  <c r="AJ110" i="19"/>
  <c r="AJ111" i="19"/>
  <c r="AJ112" i="19"/>
  <c r="AJ113" i="19"/>
  <c r="AJ114" i="19"/>
  <c r="AJ115" i="19"/>
  <c r="AJ116" i="19"/>
  <c r="AJ117" i="19"/>
  <c r="AJ118" i="19"/>
  <c r="AJ119" i="19"/>
  <c r="AJ120" i="19"/>
  <c r="AJ121" i="19"/>
  <c r="AJ122" i="19"/>
  <c r="AJ123" i="19"/>
  <c r="AJ124" i="19"/>
  <c r="AJ125" i="19"/>
  <c r="AJ126" i="19"/>
  <c r="AJ127" i="19"/>
  <c r="AJ128" i="19"/>
  <c r="AJ129" i="19"/>
  <c r="AJ130" i="19"/>
  <c r="AJ131" i="19"/>
  <c r="AJ132" i="19"/>
  <c r="AJ133" i="19"/>
  <c r="AJ134" i="19"/>
  <c r="AJ135" i="19"/>
  <c r="AJ136" i="19"/>
  <c r="AJ137" i="19"/>
  <c r="AJ138" i="19"/>
  <c r="AJ139" i="19"/>
  <c r="AJ140" i="19"/>
  <c r="AJ141" i="19"/>
  <c r="AJ142" i="19"/>
  <c r="AJ143" i="19"/>
  <c r="AJ144" i="19"/>
  <c r="AJ145" i="19"/>
  <c r="AJ146" i="19"/>
  <c r="AJ147" i="19"/>
  <c r="AJ148" i="19"/>
  <c r="AJ149" i="19"/>
  <c r="AJ150" i="19"/>
  <c r="AJ151" i="19"/>
  <c r="AJ152" i="19"/>
  <c r="AJ153" i="19"/>
  <c r="AJ154" i="19"/>
  <c r="AJ155" i="19"/>
  <c r="AJ156" i="19"/>
  <c r="AJ157" i="19"/>
  <c r="AJ158" i="19"/>
  <c r="AJ159" i="19"/>
  <c r="AJ160" i="19"/>
  <c r="AJ161" i="19"/>
  <c r="AJ162" i="19"/>
  <c r="AJ163" i="19"/>
  <c r="AJ164" i="19"/>
  <c r="AJ165" i="19"/>
  <c r="AJ166" i="19"/>
  <c r="AJ167" i="19"/>
  <c r="AJ168" i="19"/>
  <c r="AJ169" i="19"/>
  <c r="AJ170" i="19"/>
  <c r="AJ171" i="19"/>
  <c r="AJ172" i="19"/>
  <c r="AJ173" i="19"/>
  <c r="AJ174" i="19"/>
  <c r="AJ175" i="19"/>
  <c r="AJ176" i="19"/>
  <c r="AJ177" i="19"/>
  <c r="AJ178" i="19"/>
  <c r="AJ179" i="19"/>
  <c r="AJ180" i="19"/>
  <c r="AJ181" i="19"/>
  <c r="AJ182" i="19"/>
  <c r="AJ183" i="19"/>
  <c r="AJ184" i="19"/>
  <c r="AJ185" i="19"/>
  <c r="AJ186" i="19"/>
  <c r="AJ187" i="19"/>
  <c r="AJ188" i="19"/>
  <c r="AJ189" i="19"/>
  <c r="AJ190" i="19"/>
  <c r="AJ191" i="19"/>
  <c r="AJ192" i="19"/>
  <c r="AJ193" i="19"/>
  <c r="AJ194" i="19"/>
  <c r="AJ195" i="19"/>
  <c r="AJ196" i="19"/>
  <c r="AJ197" i="19"/>
  <c r="AJ198" i="19"/>
  <c r="AJ199" i="19"/>
  <c r="AJ200" i="19"/>
  <c r="AJ201" i="19"/>
  <c r="AJ202" i="19"/>
  <c r="AJ203" i="19"/>
  <c r="AJ204" i="19"/>
  <c r="AJ205" i="19"/>
  <c r="AJ206" i="19"/>
  <c r="AJ207" i="19"/>
  <c r="AJ208" i="19"/>
  <c r="AJ209" i="19"/>
  <c r="AJ210" i="19"/>
  <c r="AJ211" i="19"/>
  <c r="AJ212" i="19"/>
  <c r="AJ213" i="19"/>
  <c r="AJ214" i="19"/>
  <c r="AJ215" i="19"/>
  <c r="AJ216" i="19"/>
  <c r="AJ217" i="19"/>
  <c r="AJ218" i="19"/>
  <c r="AJ219" i="19"/>
  <c r="AJ220" i="19"/>
  <c r="AJ221" i="19"/>
  <c r="AJ222" i="19"/>
  <c r="AJ223" i="19"/>
  <c r="AJ224" i="19"/>
  <c r="AJ225" i="19"/>
  <c r="AJ226" i="19"/>
  <c r="AJ227" i="19"/>
  <c r="AJ228" i="19"/>
  <c r="AJ229" i="19"/>
  <c r="AJ230" i="19"/>
  <c r="AJ231" i="19"/>
  <c r="AJ232" i="19"/>
  <c r="AJ233" i="19"/>
  <c r="AJ234" i="19"/>
  <c r="AJ235" i="19"/>
  <c r="AJ236" i="19"/>
  <c r="AJ237" i="19"/>
  <c r="AJ238" i="19"/>
  <c r="AJ239" i="19"/>
  <c r="AJ240" i="19"/>
  <c r="AJ241" i="19"/>
  <c r="AJ242" i="19"/>
  <c r="AJ243" i="19"/>
  <c r="AJ244" i="19"/>
  <c r="AJ245" i="19"/>
  <c r="AJ246" i="19"/>
  <c r="AJ247" i="19"/>
  <c r="AJ248" i="19"/>
  <c r="AJ249" i="19"/>
  <c r="AJ250" i="19"/>
  <c r="AJ251" i="19"/>
  <c r="AJ252" i="19"/>
  <c r="AJ253" i="19"/>
  <c r="AJ254" i="19"/>
  <c r="AJ255" i="19"/>
  <c r="AJ256" i="19"/>
  <c r="AJ257" i="19"/>
  <c r="AJ258" i="19"/>
  <c r="AJ259" i="19"/>
  <c r="AJ260" i="19"/>
  <c r="AJ261" i="19"/>
  <c r="AJ262" i="19"/>
  <c r="AJ263" i="19"/>
  <c r="AJ264" i="19"/>
  <c r="AJ265" i="19"/>
  <c r="AJ266" i="19"/>
  <c r="AJ267" i="19"/>
  <c r="AJ268" i="19"/>
  <c r="AJ269" i="19"/>
  <c r="AJ270" i="19"/>
  <c r="AJ271" i="19"/>
  <c r="AJ272" i="19"/>
  <c r="AJ273" i="19"/>
  <c r="AJ274" i="19"/>
  <c r="AJ275" i="19"/>
  <c r="AJ276" i="19"/>
  <c r="AJ277" i="19"/>
  <c r="AJ278" i="19"/>
  <c r="AJ279" i="19"/>
  <c r="AJ280" i="19"/>
  <c r="AJ281" i="19"/>
  <c r="AJ282" i="19"/>
  <c r="AJ283" i="19"/>
  <c r="AJ284" i="19"/>
  <c r="AJ285" i="19"/>
  <c r="AJ286" i="19"/>
  <c r="AJ287" i="19"/>
  <c r="AJ288" i="19"/>
  <c r="AJ289" i="19"/>
  <c r="AJ290" i="19"/>
  <c r="AJ291" i="19"/>
  <c r="AJ292" i="19"/>
  <c r="AJ293" i="19"/>
  <c r="AJ294" i="19"/>
  <c r="AJ295" i="19"/>
  <c r="AJ296" i="19"/>
  <c r="AJ297" i="19"/>
  <c r="AJ298" i="19"/>
  <c r="AJ299" i="19"/>
  <c r="AJ300" i="19"/>
  <c r="AJ301" i="19"/>
  <c r="AJ302" i="19"/>
  <c r="AJ303" i="19"/>
  <c r="AJ304" i="19"/>
  <c r="AJ305" i="19"/>
  <c r="AJ306" i="19"/>
  <c r="AJ307" i="19"/>
  <c r="AJ308" i="19"/>
  <c r="AJ309" i="19"/>
  <c r="AJ310" i="19"/>
  <c r="AJ311" i="19"/>
  <c r="AJ312" i="19"/>
  <c r="AJ313" i="19"/>
  <c r="AJ314" i="19"/>
  <c r="AJ315" i="19"/>
  <c r="AJ316" i="19"/>
  <c r="AJ317" i="19"/>
  <c r="AJ318" i="19"/>
  <c r="AJ319" i="19"/>
  <c r="AJ320" i="19"/>
  <c r="AJ321" i="19"/>
  <c r="AJ322" i="19"/>
  <c r="AJ323" i="19"/>
  <c r="AJ324" i="19"/>
  <c r="AJ325" i="19"/>
  <c r="AJ326" i="19"/>
  <c r="AJ327" i="19"/>
  <c r="AJ328" i="19"/>
  <c r="AJ329" i="19"/>
  <c r="AJ330" i="19"/>
  <c r="AJ331" i="19"/>
  <c r="AJ332" i="19"/>
  <c r="AJ333" i="19"/>
  <c r="AJ334" i="19"/>
  <c r="AJ335" i="19"/>
  <c r="AJ336" i="19"/>
  <c r="AJ337" i="19"/>
  <c r="AJ338" i="19"/>
  <c r="AJ339" i="19"/>
  <c r="AJ340" i="19"/>
  <c r="AJ341" i="19"/>
  <c r="AJ342" i="19"/>
  <c r="AJ343" i="19"/>
  <c r="AJ344" i="19"/>
  <c r="AJ345" i="19"/>
  <c r="AJ346" i="19"/>
  <c r="AJ347" i="19"/>
  <c r="AJ348" i="19"/>
  <c r="AJ349" i="19"/>
  <c r="AJ350" i="19"/>
  <c r="AJ351" i="19"/>
  <c r="AJ352" i="19"/>
  <c r="AJ353" i="19"/>
  <c r="AJ354" i="19"/>
  <c r="AJ355" i="19"/>
  <c r="AJ356" i="19"/>
  <c r="AJ357" i="19"/>
  <c r="AJ358" i="19"/>
  <c r="AJ359" i="19"/>
  <c r="AJ360" i="19"/>
  <c r="AJ361" i="19"/>
  <c r="AJ362" i="19"/>
  <c r="AJ363" i="19"/>
  <c r="AJ364" i="19"/>
  <c r="AJ365" i="19"/>
  <c r="AJ366" i="19"/>
  <c r="AJ367" i="19"/>
  <c r="AJ368" i="19"/>
  <c r="AJ369" i="19"/>
  <c r="AJ370" i="19"/>
  <c r="AJ371" i="19"/>
  <c r="AJ372" i="19"/>
  <c r="AJ373" i="19"/>
  <c r="AJ374" i="19"/>
  <c r="AJ375" i="19"/>
  <c r="AJ376" i="19"/>
  <c r="AJ377" i="19"/>
  <c r="AJ378" i="19"/>
  <c r="AJ379" i="19"/>
  <c r="AJ380" i="19"/>
  <c r="AJ381" i="19"/>
  <c r="AJ382" i="19"/>
  <c r="AJ383" i="19"/>
  <c r="AJ384" i="19"/>
  <c r="AJ385" i="19"/>
  <c r="AJ386" i="19"/>
  <c r="AJ387" i="19"/>
  <c r="AJ388" i="19"/>
  <c r="AJ389" i="19"/>
  <c r="AJ390" i="19"/>
  <c r="AJ391" i="19"/>
  <c r="AJ392" i="19"/>
  <c r="AJ393" i="19"/>
  <c r="AJ394" i="19"/>
  <c r="AJ395" i="19"/>
  <c r="AJ396" i="19"/>
  <c r="AJ397" i="19"/>
  <c r="AJ398" i="19"/>
  <c r="AJ399" i="19"/>
  <c r="AJ400" i="19"/>
  <c r="AJ401" i="19"/>
  <c r="AJ402" i="19"/>
  <c r="AJ403" i="19"/>
  <c r="AJ404" i="19"/>
  <c r="AJ405" i="19"/>
  <c r="AJ406" i="19"/>
  <c r="AJ407" i="19"/>
  <c r="AJ408" i="19"/>
  <c r="AJ409" i="19"/>
  <c r="AY4" i="19"/>
  <c r="AY5" i="19"/>
  <c r="AY6" i="19"/>
  <c r="AY7" i="19"/>
  <c r="AY8" i="19"/>
  <c r="AY9" i="19"/>
  <c r="AY10" i="19"/>
  <c r="AY11" i="19"/>
  <c r="AY12" i="19"/>
  <c r="AY13" i="19"/>
  <c r="AY14" i="19"/>
  <c r="AY15" i="19"/>
  <c r="AY16" i="19"/>
  <c r="AY17" i="19"/>
  <c r="AY18" i="19"/>
  <c r="AY19" i="19"/>
  <c r="AY20" i="19"/>
  <c r="AY21" i="19"/>
  <c r="AY22" i="19"/>
  <c r="AY23" i="19"/>
  <c r="AY24" i="19"/>
  <c r="AY25" i="19"/>
  <c r="AY26" i="19"/>
  <c r="AY27" i="19"/>
  <c r="AY28" i="19"/>
  <c r="AY29" i="19"/>
  <c r="AY30" i="19"/>
  <c r="AY31" i="19"/>
  <c r="AY32" i="19"/>
  <c r="AY33" i="19"/>
  <c r="AY34" i="19"/>
  <c r="AY35" i="19"/>
  <c r="AY36" i="19"/>
  <c r="AY37" i="19"/>
  <c r="AY38" i="19"/>
  <c r="AY39" i="19"/>
  <c r="AY40" i="19"/>
  <c r="AY41" i="19"/>
  <c r="AY42" i="19"/>
  <c r="AY43" i="19"/>
  <c r="AY44" i="19"/>
  <c r="AY45" i="19"/>
  <c r="AY46" i="19"/>
  <c r="AY47" i="19"/>
  <c r="AY48" i="19"/>
  <c r="AY49" i="19"/>
  <c r="AY50" i="19"/>
  <c r="AY51" i="19"/>
  <c r="AY52" i="19"/>
  <c r="AY53" i="19"/>
  <c r="AY54" i="19"/>
  <c r="AY55" i="19"/>
  <c r="AY56" i="19"/>
  <c r="AY57" i="19"/>
  <c r="AY58" i="19"/>
  <c r="AY59" i="19"/>
  <c r="AY60" i="19"/>
  <c r="AY61" i="19"/>
  <c r="AY62" i="19"/>
  <c r="AY63" i="19"/>
  <c r="AY64" i="19"/>
  <c r="AY65" i="19"/>
  <c r="AY66" i="19"/>
  <c r="AY67" i="19"/>
  <c r="AY68" i="19"/>
  <c r="AY69" i="19"/>
  <c r="AY70" i="19"/>
  <c r="AY71" i="19"/>
  <c r="AY72" i="19"/>
  <c r="AY73" i="19"/>
  <c r="AY74" i="19"/>
  <c r="AY75" i="19"/>
  <c r="AY76" i="19"/>
  <c r="AY77" i="19"/>
  <c r="AY78" i="19"/>
  <c r="AY79" i="19"/>
  <c r="AY80" i="19"/>
  <c r="AY81" i="19"/>
  <c r="AY82" i="19"/>
  <c r="AY83" i="19"/>
  <c r="AY84" i="19"/>
  <c r="AY85" i="19"/>
  <c r="AY86" i="19"/>
  <c r="AY87" i="19"/>
  <c r="AY88" i="19"/>
  <c r="AY89" i="19"/>
  <c r="AY90" i="19"/>
  <c r="AY91" i="19"/>
  <c r="AY92" i="19"/>
  <c r="AY93" i="19"/>
  <c r="AY94" i="19"/>
  <c r="AY95" i="19"/>
  <c r="AY96" i="19"/>
  <c r="AY97" i="19"/>
  <c r="AY98" i="19"/>
  <c r="AY99" i="19"/>
  <c r="AY100" i="19"/>
  <c r="AY101" i="19"/>
  <c r="AY102" i="19"/>
  <c r="AY103" i="19"/>
  <c r="AY104" i="19"/>
  <c r="AY105" i="19"/>
  <c r="AY106" i="19"/>
  <c r="AY107" i="19"/>
  <c r="AY108" i="19"/>
  <c r="AY109" i="19"/>
  <c r="AY110" i="19"/>
  <c r="AY111" i="19"/>
  <c r="AY112" i="19"/>
  <c r="AY113" i="19"/>
  <c r="AY114" i="19"/>
  <c r="AY115" i="19"/>
  <c r="AY116" i="19"/>
  <c r="AY117" i="19"/>
  <c r="AY118" i="19"/>
  <c r="AY119" i="19"/>
  <c r="AY120" i="19"/>
  <c r="AY121" i="19"/>
  <c r="AY122" i="19"/>
  <c r="AY123" i="19"/>
  <c r="AY124" i="19"/>
  <c r="AY125" i="19"/>
  <c r="AY126" i="19"/>
  <c r="AY127" i="19"/>
  <c r="AY128" i="19"/>
  <c r="AY129" i="19"/>
  <c r="AY130" i="19"/>
  <c r="AY131" i="19"/>
  <c r="AY132" i="19"/>
  <c r="AY133" i="19"/>
  <c r="AY134" i="19"/>
  <c r="AY135" i="19"/>
  <c r="AY136" i="19"/>
  <c r="AY137" i="19"/>
  <c r="AY138" i="19"/>
  <c r="AY139" i="19"/>
  <c r="AY140" i="19"/>
  <c r="AY141" i="19"/>
  <c r="AY142" i="19"/>
  <c r="AY143" i="19"/>
  <c r="AY144" i="19"/>
  <c r="AY145" i="19"/>
  <c r="AY146" i="19"/>
  <c r="AY147" i="19"/>
  <c r="AY148" i="19"/>
  <c r="AY149" i="19"/>
  <c r="AY150" i="19"/>
  <c r="AY151" i="19"/>
  <c r="AY152" i="19"/>
  <c r="AY153" i="19"/>
  <c r="AY154" i="19"/>
  <c r="AY155" i="19"/>
  <c r="AY156" i="19"/>
  <c r="AY157" i="19"/>
  <c r="AY158" i="19"/>
  <c r="AY159" i="19"/>
  <c r="AY160" i="19"/>
  <c r="AY161" i="19"/>
  <c r="AY162" i="19"/>
  <c r="AY163" i="19"/>
  <c r="AY164" i="19"/>
  <c r="AY165" i="19"/>
  <c r="AY166" i="19"/>
  <c r="AY167" i="19"/>
  <c r="AY168" i="19"/>
  <c r="AY169"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8"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Y245" i="19"/>
  <c r="AY246" i="19"/>
  <c r="AY247" i="19"/>
  <c r="AY248" i="19"/>
  <c r="AY249" i="19"/>
  <c r="AY250" i="19"/>
  <c r="AY251" i="19"/>
  <c r="AY252" i="19"/>
  <c r="AY253" i="19"/>
  <c r="AY254" i="19"/>
  <c r="AY255" i="19"/>
  <c r="AY256" i="19"/>
  <c r="AY257" i="19"/>
  <c r="AY258" i="19"/>
  <c r="AY259" i="19"/>
  <c r="AY260" i="19"/>
  <c r="AY261" i="19"/>
  <c r="AY262" i="19"/>
  <c r="AY263" i="19"/>
  <c r="AY264" i="19"/>
  <c r="AY265" i="19"/>
  <c r="AY266" i="19"/>
  <c r="AY267" i="19"/>
  <c r="AY268" i="19"/>
  <c r="AY269" i="19"/>
  <c r="AY270" i="19"/>
  <c r="AY271" i="19"/>
  <c r="AY272" i="19"/>
  <c r="AY273" i="19"/>
  <c r="AY274" i="19"/>
  <c r="AY275" i="19"/>
  <c r="AY276" i="19"/>
  <c r="AY277" i="19"/>
  <c r="AY278" i="19"/>
  <c r="AY279" i="19"/>
  <c r="AY280" i="19"/>
  <c r="AY281" i="19"/>
  <c r="AY282" i="19"/>
  <c r="AY283" i="19"/>
  <c r="AY284" i="19"/>
  <c r="AY285" i="19"/>
  <c r="AY286" i="19"/>
  <c r="AY287" i="19"/>
  <c r="AY288" i="19"/>
  <c r="AY289" i="19"/>
  <c r="AY290" i="19"/>
  <c r="AY291" i="19"/>
  <c r="AY292" i="19"/>
  <c r="AY293" i="19"/>
  <c r="AY294" i="19"/>
  <c r="AY295" i="19"/>
  <c r="AY296" i="19"/>
  <c r="AY297" i="19"/>
  <c r="AY298" i="19"/>
  <c r="AY299" i="19"/>
  <c r="AY300" i="19"/>
  <c r="AY301" i="19"/>
  <c r="AY302" i="19"/>
  <c r="AY303" i="19"/>
  <c r="AY304" i="19"/>
  <c r="AY305" i="19"/>
  <c r="AY306" i="19"/>
  <c r="AY307" i="19"/>
  <c r="AY308" i="19"/>
  <c r="AY309" i="19"/>
  <c r="AY310" i="19"/>
  <c r="AY311" i="19"/>
  <c r="AY312" i="19"/>
  <c r="AY313" i="19"/>
  <c r="AY314" i="19"/>
  <c r="AY315" i="19"/>
  <c r="AY316" i="19"/>
  <c r="AY317" i="19"/>
  <c r="AY318" i="19"/>
  <c r="AY319" i="19"/>
  <c r="AY320" i="19"/>
  <c r="AY321" i="19"/>
  <c r="AY322" i="19"/>
  <c r="AY323" i="19"/>
  <c r="AY324" i="19"/>
  <c r="AY325" i="19"/>
  <c r="AY326" i="19"/>
  <c r="AY327" i="19"/>
  <c r="AY328" i="19"/>
  <c r="AY329" i="19"/>
  <c r="AY330" i="19"/>
  <c r="AY331" i="19"/>
  <c r="AY332" i="19"/>
  <c r="AY333" i="19"/>
  <c r="AY334" i="19"/>
  <c r="AY335" i="19"/>
  <c r="AY336" i="19"/>
  <c r="AY337" i="19"/>
  <c r="AY338" i="19"/>
  <c r="AY339" i="19"/>
  <c r="AY340" i="19"/>
  <c r="AY341" i="19"/>
  <c r="AY342" i="19"/>
  <c r="AY343" i="19"/>
  <c r="AY344" i="19"/>
  <c r="AY345" i="19"/>
  <c r="AY346" i="19"/>
  <c r="AY347" i="19"/>
  <c r="AY348" i="19"/>
  <c r="AY349" i="19"/>
  <c r="AY350" i="19"/>
  <c r="AY351" i="19"/>
  <c r="AY352" i="19"/>
  <c r="AY353" i="19"/>
  <c r="AY354" i="19"/>
  <c r="AY355" i="19"/>
  <c r="AY356" i="19"/>
  <c r="AY357" i="19"/>
  <c r="AY358" i="19"/>
  <c r="AY359" i="19"/>
  <c r="AY360" i="19"/>
  <c r="AY361" i="19"/>
  <c r="AY362" i="19"/>
  <c r="AY363" i="19"/>
  <c r="AY364" i="19"/>
  <c r="AY365" i="19"/>
  <c r="AY366" i="19"/>
  <c r="AY367" i="19"/>
  <c r="AY368" i="19"/>
  <c r="AY369" i="19"/>
  <c r="AY370" i="19"/>
  <c r="AY371" i="19"/>
  <c r="AY372" i="19"/>
  <c r="AY373" i="19"/>
  <c r="AY374" i="19"/>
  <c r="AY375" i="19"/>
  <c r="AY376" i="19"/>
  <c r="AY377" i="19"/>
  <c r="AY378" i="19"/>
  <c r="AY379" i="19"/>
  <c r="AY380" i="19"/>
  <c r="AY381" i="19"/>
  <c r="AY382" i="19"/>
  <c r="AY383" i="19"/>
  <c r="AY384" i="19"/>
  <c r="AY385" i="19"/>
  <c r="AY386" i="19"/>
  <c r="AY387" i="19"/>
  <c r="AY388" i="19"/>
  <c r="AY389" i="19"/>
  <c r="AY390" i="19"/>
  <c r="AY391" i="19"/>
  <c r="AY392" i="19"/>
  <c r="AY393" i="19"/>
  <c r="AY394" i="19"/>
  <c r="AY395" i="19"/>
  <c r="AY396" i="19"/>
  <c r="AY397" i="19"/>
  <c r="AY398" i="19"/>
  <c r="AY399" i="19"/>
  <c r="AY400" i="19"/>
  <c r="AY401" i="19"/>
  <c r="AY402" i="19"/>
  <c r="AY403" i="19"/>
  <c r="AY404" i="19"/>
  <c r="AY405" i="19"/>
  <c r="AY406" i="19"/>
  <c r="AY407" i="19"/>
  <c r="AY408" i="19"/>
  <c r="AY409" i="19"/>
  <c r="AY3" i="19"/>
  <c r="AV3" i="19"/>
  <c r="AW3" i="19" s="1"/>
  <c r="AV4" i="19"/>
  <c r="AW4" i="19" s="1"/>
  <c r="AV5" i="19"/>
  <c r="AW5" i="19" s="1"/>
  <c r="AV6" i="19"/>
  <c r="AW6" i="19" s="1"/>
  <c r="AV7" i="19"/>
  <c r="AW7" i="19" s="1"/>
  <c r="AV8" i="19"/>
  <c r="AW8" i="19" s="1"/>
  <c r="AV9" i="19"/>
  <c r="AW9" i="19" s="1"/>
  <c r="AV10" i="19"/>
  <c r="AW10" i="19" s="1"/>
  <c r="AV11" i="19"/>
  <c r="AW11" i="19" s="1"/>
  <c r="AV12" i="19"/>
  <c r="AW12" i="19" s="1"/>
  <c r="AV13" i="19"/>
  <c r="AW13" i="19" s="1"/>
  <c r="AV14" i="19"/>
  <c r="AW14" i="19" s="1"/>
  <c r="AV15" i="19"/>
  <c r="AW15" i="19" s="1"/>
  <c r="AV16" i="19"/>
  <c r="AW16" i="19" s="1"/>
  <c r="AV17" i="19"/>
  <c r="AW17" i="19" s="1"/>
  <c r="AV18" i="19"/>
  <c r="AW18" i="19" s="1"/>
  <c r="AV19" i="19"/>
  <c r="AW19" i="19" s="1"/>
  <c r="AV20" i="19"/>
  <c r="AW20" i="19" s="1"/>
  <c r="AV21" i="19"/>
  <c r="AW21" i="19" s="1"/>
  <c r="AV22" i="19"/>
  <c r="AW22" i="19" s="1"/>
  <c r="AV23" i="19"/>
  <c r="AW23" i="19" s="1"/>
  <c r="AV24" i="19"/>
  <c r="AW24" i="19" s="1"/>
  <c r="AV25" i="19"/>
  <c r="AW25" i="19" s="1"/>
  <c r="AV26" i="19"/>
  <c r="AW26" i="19" s="1"/>
  <c r="AV27" i="19"/>
  <c r="AW27" i="19" s="1"/>
  <c r="AV28" i="19"/>
  <c r="AW28" i="19" s="1"/>
  <c r="AV29" i="19"/>
  <c r="AW29" i="19" s="1"/>
  <c r="AV30" i="19"/>
  <c r="AW30" i="19" s="1"/>
  <c r="AV31" i="19"/>
  <c r="AW31" i="19" s="1"/>
  <c r="AV32" i="19"/>
  <c r="AW32" i="19" s="1"/>
  <c r="AV33" i="19"/>
  <c r="AW33" i="19" s="1"/>
  <c r="AV34" i="19"/>
  <c r="AW34" i="19" s="1"/>
  <c r="AV35" i="19"/>
  <c r="AW35" i="19" s="1"/>
  <c r="AV36" i="19"/>
  <c r="AW36" i="19" s="1"/>
  <c r="AV37" i="19"/>
  <c r="AW37" i="19" s="1"/>
  <c r="AV38" i="19"/>
  <c r="AW38" i="19" s="1"/>
  <c r="AV39" i="19"/>
  <c r="AW39" i="19" s="1"/>
  <c r="AV40" i="19"/>
  <c r="AW40" i="19" s="1"/>
  <c r="AV41" i="19"/>
  <c r="AW41" i="19" s="1"/>
  <c r="AV42" i="19"/>
  <c r="AW42" i="19" s="1"/>
  <c r="AV43" i="19"/>
  <c r="AW43" i="19" s="1"/>
  <c r="AV44" i="19"/>
  <c r="AW44" i="19" s="1"/>
  <c r="AV45" i="19"/>
  <c r="AW45" i="19" s="1"/>
  <c r="AV46" i="19"/>
  <c r="AW46" i="19" s="1"/>
  <c r="AV47" i="19"/>
  <c r="AW47" i="19" s="1"/>
  <c r="AV48" i="19"/>
  <c r="AW48" i="19" s="1"/>
  <c r="AV49" i="19"/>
  <c r="AW49" i="19" s="1"/>
  <c r="AV50" i="19"/>
  <c r="AW50" i="19" s="1"/>
  <c r="AV51" i="19"/>
  <c r="AW51" i="19" s="1"/>
  <c r="AV52" i="19"/>
  <c r="AW52" i="19" s="1"/>
  <c r="AV53" i="19"/>
  <c r="AW53" i="19" s="1"/>
  <c r="AV54" i="19"/>
  <c r="AW54" i="19" s="1"/>
  <c r="AV55" i="19"/>
  <c r="AW55" i="19" s="1"/>
  <c r="AV56" i="19"/>
  <c r="AW56" i="19" s="1"/>
  <c r="AV57" i="19"/>
  <c r="AW57" i="19" s="1"/>
  <c r="AV58" i="19"/>
  <c r="AW58" i="19" s="1"/>
  <c r="AV59" i="19"/>
  <c r="AW59" i="19" s="1"/>
  <c r="AV60" i="19"/>
  <c r="AW60" i="19" s="1"/>
  <c r="AV61" i="19"/>
  <c r="AW61" i="19" s="1"/>
  <c r="AV62" i="19"/>
  <c r="AW62" i="19" s="1"/>
  <c r="AV63" i="19"/>
  <c r="AW63" i="19" s="1"/>
  <c r="AV64" i="19"/>
  <c r="AW64" i="19" s="1"/>
  <c r="AV65" i="19"/>
  <c r="AW65" i="19" s="1"/>
  <c r="AV66" i="19"/>
  <c r="AW66" i="19" s="1"/>
  <c r="AV67" i="19"/>
  <c r="AW67" i="19" s="1"/>
  <c r="AV68" i="19"/>
  <c r="AW68" i="19" s="1"/>
  <c r="AV69" i="19"/>
  <c r="AW69" i="19" s="1"/>
  <c r="AV70" i="19"/>
  <c r="AW70" i="19" s="1"/>
  <c r="AV71" i="19"/>
  <c r="AW71" i="19" s="1"/>
  <c r="AV72" i="19"/>
  <c r="AW72" i="19" s="1"/>
  <c r="AV73" i="19"/>
  <c r="AW73" i="19" s="1"/>
  <c r="AV74" i="19"/>
  <c r="AW74" i="19" s="1"/>
  <c r="AV75" i="19"/>
  <c r="AW75" i="19" s="1"/>
  <c r="AV76" i="19"/>
  <c r="AW76" i="19" s="1"/>
  <c r="AV77" i="19"/>
  <c r="AW77" i="19" s="1"/>
  <c r="AV78" i="19"/>
  <c r="AW78" i="19" s="1"/>
  <c r="AV79" i="19"/>
  <c r="AW79" i="19" s="1"/>
  <c r="AV80" i="19"/>
  <c r="AW80" i="19" s="1"/>
  <c r="AV81" i="19"/>
  <c r="AW81" i="19" s="1"/>
  <c r="AV82" i="19"/>
  <c r="AW82" i="19" s="1"/>
  <c r="AV83" i="19"/>
  <c r="AW83" i="19" s="1"/>
  <c r="AV84" i="19"/>
  <c r="AW84" i="19" s="1"/>
  <c r="AV85" i="19"/>
  <c r="AW85" i="19" s="1"/>
  <c r="AV86" i="19"/>
  <c r="AW86" i="19" s="1"/>
  <c r="AV87" i="19"/>
  <c r="AW87" i="19" s="1"/>
  <c r="AV88" i="19"/>
  <c r="AW88" i="19" s="1"/>
  <c r="AV89" i="19"/>
  <c r="AW89" i="19" s="1"/>
  <c r="AV90" i="19"/>
  <c r="AW90" i="19" s="1"/>
  <c r="AV91" i="19"/>
  <c r="AW91" i="19" s="1"/>
  <c r="AV92" i="19"/>
  <c r="AW92" i="19" s="1"/>
  <c r="AV93" i="19"/>
  <c r="AW93" i="19" s="1"/>
  <c r="AV94" i="19"/>
  <c r="AW94" i="19" s="1"/>
  <c r="AV95" i="19"/>
  <c r="AW95" i="19" s="1"/>
  <c r="AV96" i="19"/>
  <c r="AW96" i="19" s="1"/>
  <c r="AV97" i="19"/>
  <c r="AW97" i="19" s="1"/>
  <c r="AV98" i="19"/>
  <c r="AW98" i="19" s="1"/>
  <c r="AV99" i="19"/>
  <c r="AW99" i="19" s="1"/>
  <c r="AV100" i="19"/>
  <c r="AW100" i="19" s="1"/>
  <c r="AV101" i="19"/>
  <c r="AW101" i="19" s="1"/>
  <c r="AV102" i="19"/>
  <c r="AW102" i="19" s="1"/>
  <c r="AV103" i="19"/>
  <c r="AW103" i="19" s="1"/>
  <c r="AV104" i="19"/>
  <c r="AW104" i="19" s="1"/>
  <c r="AV105" i="19"/>
  <c r="AW105" i="19" s="1"/>
  <c r="AV106" i="19"/>
  <c r="AW106" i="19" s="1"/>
  <c r="AV107" i="19"/>
  <c r="AW107" i="19" s="1"/>
  <c r="AV108" i="19"/>
  <c r="AW108" i="19" s="1"/>
  <c r="AV109" i="19"/>
  <c r="AW109" i="19" s="1"/>
  <c r="AV110" i="19"/>
  <c r="AW110" i="19" s="1"/>
  <c r="AV111" i="19"/>
  <c r="AW111" i="19" s="1"/>
  <c r="AV112" i="19"/>
  <c r="AW112" i="19" s="1"/>
  <c r="AV113" i="19"/>
  <c r="AW113" i="19" s="1"/>
  <c r="AV114" i="19"/>
  <c r="AW114" i="19" s="1"/>
  <c r="AV115" i="19"/>
  <c r="AW115" i="19" s="1"/>
  <c r="AV116" i="19"/>
  <c r="AW116" i="19" s="1"/>
  <c r="AV117" i="19"/>
  <c r="AW117" i="19" s="1"/>
  <c r="AV118" i="19"/>
  <c r="AW118" i="19" s="1"/>
  <c r="AV119" i="19"/>
  <c r="AW119" i="19" s="1"/>
  <c r="AV120" i="19"/>
  <c r="AW120" i="19" s="1"/>
  <c r="AV121" i="19"/>
  <c r="AW121" i="19" s="1"/>
  <c r="AV122" i="19"/>
  <c r="AW122" i="19" s="1"/>
  <c r="AV123" i="19"/>
  <c r="AW123" i="19" s="1"/>
  <c r="AV124" i="19"/>
  <c r="AW124" i="19" s="1"/>
  <c r="AV125" i="19"/>
  <c r="AW125" i="19" s="1"/>
  <c r="AV126" i="19"/>
  <c r="AW126" i="19" s="1"/>
  <c r="AV127" i="19"/>
  <c r="AW127" i="19" s="1"/>
  <c r="AV128" i="19"/>
  <c r="AW128" i="19" s="1"/>
  <c r="AV129" i="19"/>
  <c r="AW129" i="19" s="1"/>
  <c r="AV130" i="19"/>
  <c r="AW130" i="19" s="1"/>
  <c r="AV131" i="19"/>
  <c r="AW131" i="19" s="1"/>
  <c r="AV132" i="19"/>
  <c r="AW132" i="19" s="1"/>
  <c r="AV133" i="19"/>
  <c r="AW133" i="19" s="1"/>
  <c r="AV134" i="19"/>
  <c r="AW134" i="19" s="1"/>
  <c r="AV135" i="19"/>
  <c r="AW135" i="19" s="1"/>
  <c r="AV136" i="19"/>
  <c r="AW136" i="19" s="1"/>
  <c r="AV137" i="19"/>
  <c r="AW137" i="19" s="1"/>
  <c r="AV138" i="19"/>
  <c r="AW138" i="19" s="1"/>
  <c r="AV139" i="19"/>
  <c r="AW139" i="19" s="1"/>
  <c r="AV140" i="19"/>
  <c r="AW140" i="19" s="1"/>
  <c r="AV141" i="19"/>
  <c r="AW141" i="19" s="1"/>
  <c r="AV142" i="19"/>
  <c r="AW142" i="19" s="1"/>
  <c r="AV143" i="19"/>
  <c r="AW143" i="19" s="1"/>
  <c r="AV144" i="19"/>
  <c r="AW144" i="19" s="1"/>
  <c r="AV145" i="19"/>
  <c r="AW145" i="19" s="1"/>
  <c r="AV146" i="19"/>
  <c r="AW146" i="19" s="1"/>
  <c r="AV147" i="19"/>
  <c r="AW147" i="19" s="1"/>
  <c r="AV148" i="19"/>
  <c r="AW148" i="19" s="1"/>
  <c r="AV149" i="19"/>
  <c r="AW149" i="19" s="1"/>
  <c r="AV150" i="19"/>
  <c r="AW150" i="19" s="1"/>
  <c r="AV151" i="19"/>
  <c r="AW151" i="19" s="1"/>
  <c r="AV152" i="19"/>
  <c r="AW152" i="19" s="1"/>
  <c r="AV153" i="19"/>
  <c r="AW153" i="19" s="1"/>
  <c r="AV154" i="19"/>
  <c r="AW154" i="19" s="1"/>
  <c r="AV155" i="19"/>
  <c r="AW155" i="19" s="1"/>
  <c r="AV156" i="19"/>
  <c r="AW156" i="19" s="1"/>
  <c r="AV157" i="19"/>
  <c r="AW157" i="19" s="1"/>
  <c r="AV158" i="19"/>
  <c r="AW158" i="19" s="1"/>
  <c r="AV159" i="19"/>
  <c r="AW159" i="19" s="1"/>
  <c r="AV160" i="19"/>
  <c r="AW160" i="19" s="1"/>
  <c r="AV161" i="19"/>
  <c r="AW161" i="19" s="1"/>
  <c r="AV162" i="19"/>
  <c r="AW162" i="19" s="1"/>
  <c r="AV163" i="19"/>
  <c r="AW163" i="19" s="1"/>
  <c r="AV164" i="19"/>
  <c r="AW164" i="19" s="1"/>
  <c r="AV165" i="19"/>
  <c r="AW165" i="19" s="1"/>
  <c r="AV166" i="19"/>
  <c r="AW166" i="19" s="1"/>
  <c r="AV167" i="19"/>
  <c r="AW167" i="19" s="1"/>
  <c r="AV168" i="19"/>
  <c r="AW168" i="19" s="1"/>
  <c r="AV169" i="19"/>
  <c r="AW169" i="19" s="1"/>
  <c r="AV170" i="19"/>
  <c r="AW170" i="19" s="1"/>
  <c r="AV171" i="19"/>
  <c r="AW171" i="19" s="1"/>
  <c r="AV172" i="19"/>
  <c r="AW172" i="19" s="1"/>
  <c r="AV173" i="19"/>
  <c r="AW173" i="19" s="1"/>
  <c r="AV174" i="19"/>
  <c r="AW174" i="19" s="1"/>
  <c r="AV175" i="19"/>
  <c r="AW175" i="19" s="1"/>
  <c r="AV176" i="19"/>
  <c r="AW176" i="19" s="1"/>
  <c r="AV177" i="19"/>
  <c r="AW177" i="19" s="1"/>
  <c r="AV178" i="19"/>
  <c r="AW178" i="19" s="1"/>
  <c r="AV179" i="19"/>
  <c r="AW179" i="19" s="1"/>
  <c r="AV180" i="19"/>
  <c r="AW180" i="19" s="1"/>
  <c r="AV181" i="19"/>
  <c r="AW181" i="19" s="1"/>
  <c r="AV182" i="19"/>
  <c r="AW182" i="19" s="1"/>
  <c r="AV183" i="19"/>
  <c r="AW183" i="19" s="1"/>
  <c r="AV184" i="19"/>
  <c r="AW184" i="19" s="1"/>
  <c r="AV185" i="19"/>
  <c r="AW185" i="19" s="1"/>
  <c r="AV186" i="19"/>
  <c r="AW186" i="19" s="1"/>
  <c r="AV187" i="19"/>
  <c r="AW187" i="19" s="1"/>
  <c r="AV188" i="19"/>
  <c r="AW188" i="19" s="1"/>
  <c r="AV189" i="19"/>
  <c r="AW189" i="19" s="1"/>
  <c r="AV190" i="19"/>
  <c r="AW190" i="19" s="1"/>
  <c r="AV191" i="19"/>
  <c r="AW191" i="19" s="1"/>
  <c r="AV192" i="19"/>
  <c r="AW192" i="19" s="1"/>
  <c r="AV193" i="19"/>
  <c r="AW193" i="19" s="1"/>
  <c r="AV194" i="19"/>
  <c r="AW194" i="19" s="1"/>
  <c r="AV195" i="19"/>
  <c r="AW195" i="19" s="1"/>
  <c r="AV196" i="19"/>
  <c r="AW196" i="19" s="1"/>
  <c r="AV197" i="19"/>
  <c r="AW197" i="19" s="1"/>
  <c r="AV198" i="19"/>
  <c r="AW198" i="19" s="1"/>
  <c r="AV199" i="19"/>
  <c r="AW199" i="19" s="1"/>
  <c r="AV200" i="19"/>
  <c r="AW200" i="19" s="1"/>
  <c r="AV201" i="19"/>
  <c r="AW201" i="19" s="1"/>
  <c r="AV202" i="19"/>
  <c r="AW202" i="19" s="1"/>
  <c r="AV203" i="19"/>
  <c r="AW203" i="19" s="1"/>
  <c r="AV204" i="19"/>
  <c r="AW204" i="19" s="1"/>
  <c r="AV205" i="19"/>
  <c r="AW205" i="19" s="1"/>
  <c r="AV206" i="19"/>
  <c r="AW206" i="19" s="1"/>
  <c r="AV207" i="19"/>
  <c r="AW207" i="19" s="1"/>
  <c r="AV208" i="19"/>
  <c r="AW208" i="19" s="1"/>
  <c r="AV209" i="19"/>
  <c r="AW209" i="19" s="1"/>
  <c r="AV210" i="19"/>
  <c r="AW210" i="19" s="1"/>
  <c r="AV211" i="19"/>
  <c r="AW211" i="19" s="1"/>
  <c r="AV212" i="19"/>
  <c r="AW212" i="19" s="1"/>
  <c r="AV213" i="19"/>
  <c r="AW213" i="19" s="1"/>
  <c r="AV214" i="19"/>
  <c r="AW214" i="19" s="1"/>
  <c r="AV215" i="19"/>
  <c r="AW215" i="19" s="1"/>
  <c r="AV216" i="19"/>
  <c r="AW216" i="19" s="1"/>
  <c r="AV217" i="19"/>
  <c r="AW217" i="19" s="1"/>
  <c r="AV218" i="19"/>
  <c r="AW218" i="19" s="1"/>
  <c r="AV219" i="19"/>
  <c r="AW219" i="19" s="1"/>
  <c r="AV220" i="19"/>
  <c r="AW220" i="19" s="1"/>
  <c r="AV221" i="19"/>
  <c r="AW221" i="19" s="1"/>
  <c r="AV222" i="19"/>
  <c r="AW222" i="19" s="1"/>
  <c r="AV223" i="19"/>
  <c r="AW223" i="19" s="1"/>
  <c r="AV224" i="19"/>
  <c r="AW224" i="19" s="1"/>
  <c r="AV225" i="19"/>
  <c r="AW225" i="19" s="1"/>
  <c r="AV226" i="19"/>
  <c r="AW226" i="19" s="1"/>
  <c r="AV227" i="19"/>
  <c r="AW227" i="19" s="1"/>
  <c r="AV228" i="19"/>
  <c r="AW228" i="19" s="1"/>
  <c r="AV229" i="19"/>
  <c r="AW229" i="19" s="1"/>
  <c r="AV230" i="19"/>
  <c r="AW230" i="19" s="1"/>
  <c r="AV231" i="19"/>
  <c r="AW231" i="19" s="1"/>
  <c r="AV232" i="19"/>
  <c r="AW232" i="19" s="1"/>
  <c r="AV233" i="19"/>
  <c r="AW233" i="19" s="1"/>
  <c r="AV234" i="19"/>
  <c r="AW234" i="19" s="1"/>
  <c r="AV235" i="19"/>
  <c r="AW235" i="19" s="1"/>
  <c r="AV236" i="19"/>
  <c r="AW236" i="19" s="1"/>
  <c r="AV237" i="19"/>
  <c r="AW237" i="19" s="1"/>
  <c r="AV238" i="19"/>
  <c r="AW238" i="19" s="1"/>
  <c r="AV239" i="19"/>
  <c r="AW239" i="19" s="1"/>
  <c r="AV240" i="19"/>
  <c r="AW240" i="19" s="1"/>
  <c r="AV241" i="19"/>
  <c r="AW241" i="19" s="1"/>
  <c r="AV242" i="19"/>
  <c r="AW242" i="19" s="1"/>
  <c r="AV243" i="19"/>
  <c r="AW243" i="19" s="1"/>
  <c r="AV244" i="19"/>
  <c r="AW244" i="19" s="1"/>
  <c r="AV245" i="19"/>
  <c r="AW245" i="19" s="1"/>
  <c r="AV246" i="19"/>
  <c r="AW246" i="19" s="1"/>
  <c r="AV247" i="19"/>
  <c r="AW247" i="19" s="1"/>
  <c r="AV248" i="19"/>
  <c r="AW248" i="19" s="1"/>
  <c r="AV249" i="19"/>
  <c r="AW249" i="19" s="1"/>
  <c r="AV250" i="19"/>
  <c r="AW250" i="19" s="1"/>
  <c r="AV251" i="19"/>
  <c r="AW251" i="19" s="1"/>
  <c r="AV252" i="19"/>
  <c r="AW252" i="19" s="1"/>
  <c r="AV253" i="19"/>
  <c r="AW253" i="19" s="1"/>
  <c r="AV254" i="19"/>
  <c r="AW254" i="19" s="1"/>
  <c r="AV255" i="19"/>
  <c r="AW255" i="19" s="1"/>
  <c r="AV256" i="19"/>
  <c r="AW256" i="19" s="1"/>
  <c r="AV257" i="19"/>
  <c r="AW257" i="19" s="1"/>
  <c r="AV258" i="19"/>
  <c r="AW258" i="19" s="1"/>
  <c r="AV259" i="19"/>
  <c r="AW259" i="19" s="1"/>
  <c r="AV260" i="19"/>
  <c r="AW260" i="19" s="1"/>
  <c r="AV261" i="19"/>
  <c r="AW261" i="19" s="1"/>
  <c r="AV262" i="19"/>
  <c r="AW262" i="19" s="1"/>
  <c r="AV263" i="19"/>
  <c r="AW263" i="19" s="1"/>
  <c r="AV264" i="19"/>
  <c r="AW264" i="19" s="1"/>
  <c r="AV265" i="19"/>
  <c r="AW265" i="19" s="1"/>
  <c r="AV266" i="19"/>
  <c r="AW266" i="19" s="1"/>
  <c r="AV267" i="19"/>
  <c r="AW267" i="19" s="1"/>
  <c r="AV268" i="19"/>
  <c r="AW268" i="19" s="1"/>
  <c r="AV269" i="19"/>
  <c r="AW269" i="19" s="1"/>
  <c r="AV270" i="19"/>
  <c r="AW270" i="19" s="1"/>
  <c r="AV271" i="19"/>
  <c r="AW271" i="19" s="1"/>
  <c r="AV272" i="19"/>
  <c r="AW272" i="19" s="1"/>
  <c r="AV273" i="19"/>
  <c r="AW273" i="19" s="1"/>
  <c r="AV274" i="19"/>
  <c r="AW274" i="19" s="1"/>
  <c r="AV275" i="19"/>
  <c r="AW275" i="19" s="1"/>
  <c r="AV276" i="19"/>
  <c r="AW276" i="19" s="1"/>
  <c r="AV277" i="19"/>
  <c r="AW277" i="19" s="1"/>
  <c r="AV278" i="19"/>
  <c r="AW278" i="19" s="1"/>
  <c r="AV279" i="19"/>
  <c r="AW279" i="19" s="1"/>
  <c r="AV280" i="19"/>
  <c r="AW280" i="19" s="1"/>
  <c r="AV281" i="19"/>
  <c r="AW281" i="19" s="1"/>
  <c r="AV282" i="19"/>
  <c r="AW282" i="19" s="1"/>
  <c r="AV283" i="19"/>
  <c r="AW283" i="19" s="1"/>
  <c r="AV284" i="19"/>
  <c r="AW284" i="19" s="1"/>
  <c r="AV285" i="19"/>
  <c r="AW285" i="19" s="1"/>
  <c r="AV286" i="19"/>
  <c r="AW286" i="19" s="1"/>
  <c r="AV287" i="19"/>
  <c r="AW287" i="19" s="1"/>
  <c r="AV288" i="19"/>
  <c r="AW288" i="19" s="1"/>
  <c r="AV289" i="19"/>
  <c r="AW289" i="19" s="1"/>
  <c r="AV290" i="19"/>
  <c r="AW290" i="19" s="1"/>
  <c r="AV291" i="19"/>
  <c r="AW291" i="19" s="1"/>
  <c r="AV292" i="19"/>
  <c r="AW292" i="19" s="1"/>
  <c r="AV293" i="19"/>
  <c r="AW293" i="19" s="1"/>
  <c r="AV294" i="19"/>
  <c r="AW294" i="19" s="1"/>
  <c r="AV295" i="19"/>
  <c r="AW295" i="19" s="1"/>
  <c r="AV296" i="19"/>
  <c r="AW296" i="19" s="1"/>
  <c r="AV297" i="19"/>
  <c r="AW297" i="19" s="1"/>
  <c r="AV298" i="19"/>
  <c r="AW298" i="19" s="1"/>
  <c r="AV299" i="19"/>
  <c r="AW299" i="19" s="1"/>
  <c r="AV300" i="19"/>
  <c r="AW300" i="19" s="1"/>
  <c r="AV301" i="19"/>
  <c r="AW301" i="19" s="1"/>
  <c r="AV302" i="19"/>
  <c r="AW302" i="19" s="1"/>
  <c r="AV303" i="19"/>
  <c r="AW303" i="19" s="1"/>
  <c r="AV304" i="19"/>
  <c r="AW304" i="19" s="1"/>
  <c r="AV305" i="19"/>
  <c r="AW305" i="19" s="1"/>
  <c r="AV306" i="19"/>
  <c r="AW306" i="19" s="1"/>
  <c r="AV307" i="19"/>
  <c r="AW307" i="19" s="1"/>
  <c r="AV308" i="19"/>
  <c r="AW308" i="19" s="1"/>
  <c r="AV309" i="19"/>
  <c r="AW309" i="19" s="1"/>
  <c r="AV310" i="19"/>
  <c r="AW310" i="19" s="1"/>
  <c r="AV311" i="19"/>
  <c r="AW311" i="19" s="1"/>
  <c r="AV312" i="19"/>
  <c r="AW312" i="19" s="1"/>
  <c r="AV313" i="19"/>
  <c r="AW313" i="19" s="1"/>
  <c r="AV314" i="19"/>
  <c r="AW314" i="19" s="1"/>
  <c r="AV315" i="19"/>
  <c r="AW315" i="19" s="1"/>
  <c r="AV316" i="19"/>
  <c r="AW316" i="19" s="1"/>
  <c r="AV317" i="19"/>
  <c r="AW317" i="19" s="1"/>
  <c r="AV318" i="19"/>
  <c r="AW318" i="19" s="1"/>
  <c r="AV319" i="19"/>
  <c r="AW319" i="19" s="1"/>
  <c r="AV320" i="19"/>
  <c r="AW320" i="19" s="1"/>
  <c r="AV321" i="19"/>
  <c r="AW321" i="19" s="1"/>
  <c r="AV322" i="19"/>
  <c r="AW322" i="19" s="1"/>
  <c r="AV323" i="19"/>
  <c r="AW323" i="19" s="1"/>
  <c r="AV324" i="19"/>
  <c r="AW324" i="19" s="1"/>
  <c r="AV325" i="19"/>
  <c r="AW325" i="19" s="1"/>
  <c r="AV326" i="19"/>
  <c r="AW326" i="19" s="1"/>
  <c r="AV327" i="19"/>
  <c r="AW327" i="19" s="1"/>
  <c r="AV328" i="19"/>
  <c r="AW328" i="19" s="1"/>
  <c r="AV329" i="19"/>
  <c r="AW329" i="19" s="1"/>
  <c r="AV330" i="19"/>
  <c r="AW330" i="19" s="1"/>
  <c r="AV331" i="19"/>
  <c r="AW331" i="19" s="1"/>
  <c r="AV332" i="19"/>
  <c r="AW332" i="19" s="1"/>
  <c r="AV333" i="19"/>
  <c r="AW333" i="19" s="1"/>
  <c r="AV334" i="19"/>
  <c r="AW334" i="19" s="1"/>
  <c r="AV335" i="19"/>
  <c r="AW335" i="19" s="1"/>
  <c r="AV336" i="19"/>
  <c r="AW336" i="19" s="1"/>
  <c r="AV337" i="19"/>
  <c r="AW337" i="19" s="1"/>
  <c r="AV338" i="19"/>
  <c r="AW338" i="19" s="1"/>
  <c r="AV339" i="19"/>
  <c r="AW339" i="19" s="1"/>
  <c r="AV340" i="19"/>
  <c r="AW340" i="19" s="1"/>
  <c r="AV341" i="19"/>
  <c r="AW341" i="19" s="1"/>
  <c r="AV342" i="19"/>
  <c r="AW342" i="19" s="1"/>
  <c r="AV343" i="19"/>
  <c r="AW343" i="19" s="1"/>
  <c r="AV344" i="19"/>
  <c r="AW344" i="19" s="1"/>
  <c r="AV345" i="19"/>
  <c r="AW345" i="19" s="1"/>
  <c r="AV346" i="19"/>
  <c r="AW346" i="19" s="1"/>
  <c r="AV347" i="19"/>
  <c r="AW347" i="19" s="1"/>
  <c r="AV348" i="19"/>
  <c r="AW348" i="19" s="1"/>
  <c r="AV349" i="19"/>
  <c r="AW349" i="19" s="1"/>
  <c r="AV350" i="19"/>
  <c r="AW350" i="19" s="1"/>
  <c r="AV351" i="19"/>
  <c r="AW351" i="19" s="1"/>
  <c r="AV352" i="19"/>
  <c r="AW352" i="19" s="1"/>
  <c r="AV353" i="19"/>
  <c r="AW353" i="19" s="1"/>
  <c r="AV354" i="19"/>
  <c r="AW354" i="19" s="1"/>
  <c r="AV355" i="19"/>
  <c r="AW355" i="19" s="1"/>
  <c r="AV356" i="19"/>
  <c r="AW356" i="19" s="1"/>
  <c r="AV357" i="19"/>
  <c r="AW357" i="19" s="1"/>
  <c r="AV358" i="19"/>
  <c r="AW358" i="19" s="1"/>
  <c r="AV359" i="19"/>
  <c r="AW359" i="19" s="1"/>
  <c r="AV360" i="19"/>
  <c r="AW360" i="19" s="1"/>
  <c r="AV361" i="19"/>
  <c r="AW361" i="19" s="1"/>
  <c r="AV362" i="19"/>
  <c r="AW362" i="19" s="1"/>
  <c r="AV363" i="19"/>
  <c r="AW363" i="19" s="1"/>
  <c r="AV364" i="19"/>
  <c r="AW364" i="19" s="1"/>
  <c r="AV365" i="19"/>
  <c r="AW365" i="19" s="1"/>
  <c r="AV366" i="19"/>
  <c r="AW366" i="19" s="1"/>
  <c r="AV367" i="19"/>
  <c r="AW367" i="19" s="1"/>
  <c r="AV368" i="19"/>
  <c r="AW368" i="19" s="1"/>
  <c r="AV369" i="19"/>
  <c r="AW369" i="19" s="1"/>
  <c r="AV370" i="19"/>
  <c r="AW370" i="19" s="1"/>
  <c r="AV371" i="19"/>
  <c r="AW371" i="19" s="1"/>
  <c r="AV372" i="19"/>
  <c r="AW372" i="19" s="1"/>
  <c r="AV373" i="19"/>
  <c r="AW373" i="19" s="1"/>
  <c r="AV374" i="19"/>
  <c r="AW374" i="19" s="1"/>
  <c r="AV375" i="19"/>
  <c r="AW375" i="19" s="1"/>
  <c r="AV376" i="19"/>
  <c r="AW376" i="19" s="1"/>
  <c r="AV377" i="19"/>
  <c r="AW377" i="19" s="1"/>
  <c r="AV378" i="19"/>
  <c r="AW378" i="19" s="1"/>
  <c r="AV379" i="19"/>
  <c r="AW379" i="19" s="1"/>
  <c r="AV380" i="19"/>
  <c r="AW380" i="19" s="1"/>
  <c r="AV381" i="19"/>
  <c r="AW381" i="19" s="1"/>
  <c r="AV382" i="19"/>
  <c r="AW382" i="19" s="1"/>
  <c r="AV383" i="19"/>
  <c r="AW383" i="19" s="1"/>
  <c r="AV384" i="19"/>
  <c r="AW384" i="19" s="1"/>
  <c r="AV385" i="19"/>
  <c r="AW385" i="19" s="1"/>
  <c r="AV386" i="19"/>
  <c r="AW386" i="19" s="1"/>
  <c r="AV387" i="19"/>
  <c r="AW387" i="19" s="1"/>
  <c r="AV388" i="19"/>
  <c r="AW388" i="19" s="1"/>
  <c r="AV389" i="19"/>
  <c r="AW389" i="19" s="1"/>
  <c r="AV390" i="19"/>
  <c r="AW390" i="19" s="1"/>
  <c r="AV391" i="19"/>
  <c r="AW391" i="19" s="1"/>
  <c r="AV392" i="19"/>
  <c r="AW392" i="19" s="1"/>
  <c r="AV393" i="19"/>
  <c r="AW393" i="19" s="1"/>
  <c r="AV394" i="19"/>
  <c r="AW394" i="19" s="1"/>
  <c r="AV395" i="19"/>
  <c r="AW395" i="19" s="1"/>
  <c r="AV396" i="19"/>
  <c r="AW396" i="19" s="1"/>
  <c r="AV397" i="19"/>
  <c r="AW397" i="19" s="1"/>
  <c r="AV398" i="19"/>
  <c r="AW398" i="19" s="1"/>
  <c r="AV399" i="19"/>
  <c r="AW399" i="19" s="1"/>
  <c r="AV400" i="19"/>
  <c r="AW400" i="19" s="1"/>
  <c r="AV401" i="19"/>
  <c r="AW401" i="19" s="1"/>
  <c r="AV402" i="19"/>
  <c r="AW402" i="19" s="1"/>
  <c r="AV403" i="19"/>
  <c r="AW403" i="19" s="1"/>
  <c r="AV404" i="19"/>
  <c r="AW404" i="19" s="1"/>
  <c r="AV405" i="19"/>
  <c r="AW405" i="19" s="1"/>
  <c r="AV406" i="19"/>
  <c r="AW406" i="19" s="1"/>
  <c r="AV407" i="19"/>
  <c r="AW407" i="19" s="1"/>
  <c r="AV408" i="19"/>
  <c r="AW408" i="19" s="1"/>
  <c r="AV409" i="19"/>
  <c r="AW409" i="19" s="1"/>
  <c r="BF4" i="19"/>
  <c r="BF5" i="19"/>
  <c r="BF6" i="19"/>
  <c r="BF7" i="19"/>
  <c r="BF8" i="19"/>
  <c r="BF9" i="19"/>
  <c r="BF10" i="19"/>
  <c r="BF11" i="19"/>
  <c r="BF12" i="19"/>
  <c r="BF13" i="19"/>
  <c r="BF14" i="19"/>
  <c r="BF15" i="19"/>
  <c r="BF16" i="19"/>
  <c r="BF17" i="19"/>
  <c r="BF18" i="19"/>
  <c r="BF19" i="19"/>
  <c r="BF20" i="19"/>
  <c r="BF21" i="19"/>
  <c r="BF22" i="19"/>
  <c r="BF23" i="19"/>
  <c r="BF24" i="19"/>
  <c r="BF25" i="19"/>
  <c r="BF26" i="19"/>
  <c r="BF27" i="19"/>
  <c r="BF28" i="19"/>
  <c r="BF29" i="19"/>
  <c r="BF30" i="19"/>
  <c r="BF31" i="19"/>
  <c r="BF32" i="19"/>
  <c r="BF33" i="19"/>
  <c r="BF34" i="19"/>
  <c r="BF35" i="19"/>
  <c r="BF36" i="19"/>
  <c r="BF37" i="19"/>
  <c r="BF38" i="19"/>
  <c r="BF39" i="19"/>
  <c r="BF40" i="19"/>
  <c r="BF41" i="19"/>
  <c r="BF42" i="19"/>
  <c r="BF43" i="19"/>
  <c r="BF44" i="19"/>
  <c r="BF45" i="19"/>
  <c r="BF46" i="19"/>
  <c r="BF47" i="19"/>
  <c r="BF48" i="19"/>
  <c r="BF49" i="19"/>
  <c r="BF50" i="19"/>
  <c r="BF51" i="19"/>
  <c r="BF52" i="19"/>
  <c r="BF53" i="19"/>
  <c r="BF54" i="19"/>
  <c r="BF55" i="19"/>
  <c r="BF56" i="19"/>
  <c r="BF57" i="19"/>
  <c r="BF58" i="19"/>
  <c r="BF59" i="19"/>
  <c r="BF60" i="19"/>
  <c r="BF61" i="19"/>
  <c r="BF62" i="19"/>
  <c r="BF63" i="19"/>
  <c r="BF64" i="19"/>
  <c r="BF65" i="19"/>
  <c r="BF66" i="19"/>
  <c r="BF67" i="19"/>
  <c r="BF68" i="19"/>
  <c r="BF69" i="19"/>
  <c r="BF70" i="19"/>
  <c r="BF71" i="19"/>
  <c r="BF72" i="19"/>
  <c r="BF73" i="19"/>
  <c r="BF74" i="19"/>
  <c r="BF75" i="19"/>
  <c r="BF76" i="19"/>
  <c r="BF77" i="19"/>
  <c r="BF78" i="19"/>
  <c r="BF79" i="19"/>
  <c r="BF80" i="19"/>
  <c r="BF81" i="19"/>
  <c r="BF82" i="19"/>
  <c r="BF83" i="19"/>
  <c r="BF84" i="19"/>
  <c r="BF85" i="19"/>
  <c r="BF86" i="19"/>
  <c r="BF87" i="19"/>
  <c r="BF88" i="19"/>
  <c r="BF89" i="19"/>
  <c r="BF90" i="19"/>
  <c r="BF91" i="19"/>
  <c r="BF92" i="19"/>
  <c r="BF93" i="19"/>
  <c r="BF94" i="19"/>
  <c r="BF95" i="19"/>
  <c r="BF96" i="19"/>
  <c r="BF97" i="19"/>
  <c r="BF98" i="19"/>
  <c r="BF99" i="19"/>
  <c r="BF100" i="19"/>
  <c r="BF101" i="19"/>
  <c r="BF102" i="19"/>
  <c r="BF103" i="19"/>
  <c r="BF104" i="19"/>
  <c r="BF105" i="19"/>
  <c r="BF106" i="19"/>
  <c r="BF107" i="19"/>
  <c r="BF108" i="19"/>
  <c r="BF109" i="19"/>
  <c r="BF110" i="19"/>
  <c r="BF111" i="19"/>
  <c r="BF112" i="19"/>
  <c r="BF113" i="19"/>
  <c r="BF114" i="19"/>
  <c r="BF115" i="19"/>
  <c r="BF116" i="19"/>
  <c r="BF117" i="19"/>
  <c r="BF118" i="19"/>
  <c r="BF119" i="19"/>
  <c r="BF120" i="19"/>
  <c r="BF121" i="19"/>
  <c r="BF122" i="19"/>
  <c r="BF123" i="19"/>
  <c r="BF124" i="19"/>
  <c r="BF125" i="19"/>
  <c r="BF126" i="19"/>
  <c r="BF127" i="19"/>
  <c r="BF128" i="19"/>
  <c r="BF129" i="19"/>
  <c r="BF130" i="19"/>
  <c r="BF131" i="19"/>
  <c r="BF132" i="19"/>
  <c r="BF133" i="19"/>
  <c r="BF134" i="19"/>
  <c r="BF135" i="19"/>
  <c r="BF136" i="19"/>
  <c r="BF137" i="19"/>
  <c r="BF138" i="19"/>
  <c r="BF139" i="19"/>
  <c r="BF140" i="19"/>
  <c r="BF141" i="19"/>
  <c r="BF142" i="19"/>
  <c r="BF143" i="19"/>
  <c r="BF144" i="19"/>
  <c r="BF145" i="19"/>
  <c r="BF146" i="19"/>
  <c r="BF147" i="19"/>
  <c r="BF148" i="19"/>
  <c r="BF149" i="19"/>
  <c r="BF150" i="19"/>
  <c r="BF151" i="19"/>
  <c r="BF152" i="19"/>
  <c r="BF153" i="19"/>
  <c r="BF154" i="19"/>
  <c r="BF155" i="19"/>
  <c r="BF156" i="19"/>
  <c r="BF157" i="19"/>
  <c r="BF158" i="19"/>
  <c r="BF159" i="19"/>
  <c r="BF160" i="19"/>
  <c r="BF161" i="19"/>
  <c r="BF162" i="19"/>
  <c r="BF163" i="19"/>
  <c r="BF164" i="19"/>
  <c r="BF165" i="19"/>
  <c r="BF166" i="19"/>
  <c r="BF167" i="19"/>
  <c r="BF168" i="19"/>
  <c r="BF169" i="19"/>
  <c r="BF170" i="19"/>
  <c r="BF171" i="19"/>
  <c r="BF172" i="19"/>
  <c r="BF173" i="19"/>
  <c r="BF174" i="19"/>
  <c r="BF175" i="19"/>
  <c r="BF176" i="19"/>
  <c r="BF177" i="19"/>
  <c r="BF178" i="19"/>
  <c r="BF179" i="19"/>
  <c r="BF180" i="19"/>
  <c r="BF181" i="19"/>
  <c r="BF182" i="19"/>
  <c r="BF183" i="19"/>
  <c r="BF184" i="19"/>
  <c r="BF185" i="19"/>
  <c r="BF186" i="19"/>
  <c r="BF187" i="19"/>
  <c r="BF188" i="19"/>
  <c r="BF189" i="19"/>
  <c r="BF190" i="19"/>
  <c r="BF191" i="19"/>
  <c r="BF192" i="19"/>
  <c r="BF193" i="19"/>
  <c r="BF194" i="19"/>
  <c r="BF195" i="19"/>
  <c r="BF196" i="19"/>
  <c r="BF197" i="19"/>
  <c r="BF198" i="19"/>
  <c r="BF199" i="19"/>
  <c r="BF200" i="19"/>
  <c r="BF201" i="19"/>
  <c r="BF202" i="19"/>
  <c r="BF203" i="19"/>
  <c r="BF204" i="19"/>
  <c r="BF205" i="19"/>
  <c r="BF206" i="19"/>
  <c r="BF207" i="19"/>
  <c r="BF208" i="19"/>
  <c r="BF209" i="19"/>
  <c r="BF210" i="19"/>
  <c r="BF211" i="19"/>
  <c r="BF212" i="19"/>
  <c r="BF213" i="19"/>
  <c r="BF214" i="19"/>
  <c r="BF215" i="19"/>
  <c r="BF216" i="19"/>
  <c r="BF217" i="19"/>
  <c r="BF218" i="19"/>
  <c r="BF219" i="19"/>
  <c r="BF220" i="19"/>
  <c r="BF221" i="19"/>
  <c r="BF222" i="19"/>
  <c r="BF223" i="19"/>
  <c r="BF224" i="19"/>
  <c r="BF225" i="19"/>
  <c r="BF226" i="19"/>
  <c r="BF227" i="19"/>
  <c r="BF228" i="19"/>
  <c r="BF229" i="19"/>
  <c r="BF230" i="19"/>
  <c r="BF231" i="19"/>
  <c r="BF232" i="19"/>
  <c r="BF233" i="19"/>
  <c r="BF234" i="19"/>
  <c r="BF235" i="19"/>
  <c r="BF236" i="19"/>
  <c r="BF237" i="19"/>
  <c r="BF238" i="19"/>
  <c r="BF239" i="19"/>
  <c r="BF240" i="19"/>
  <c r="BF241" i="19"/>
  <c r="BF242" i="19"/>
  <c r="BF243" i="19"/>
  <c r="BF244" i="19"/>
  <c r="BF245" i="19"/>
  <c r="BF246" i="19"/>
  <c r="BF247" i="19"/>
  <c r="BF248" i="19"/>
  <c r="BF249" i="19"/>
  <c r="BF250" i="19"/>
  <c r="BF251" i="19"/>
  <c r="BF252" i="19"/>
  <c r="BF253" i="19"/>
  <c r="BF254" i="19"/>
  <c r="BF255" i="19"/>
  <c r="BF256" i="19"/>
  <c r="BF257" i="19"/>
  <c r="BF258" i="19"/>
  <c r="BF259" i="19"/>
  <c r="BF260" i="19"/>
  <c r="BF261" i="19"/>
  <c r="BF262" i="19"/>
  <c r="BF263" i="19"/>
  <c r="BF264" i="19"/>
  <c r="BF265" i="19"/>
  <c r="BF266" i="19"/>
  <c r="BF267" i="19"/>
  <c r="BF268" i="19"/>
  <c r="BF269" i="19"/>
  <c r="BF270" i="19"/>
  <c r="BF271" i="19"/>
  <c r="BF272" i="19"/>
  <c r="BF273" i="19"/>
  <c r="BF274" i="19"/>
  <c r="BF275" i="19"/>
  <c r="BF276" i="19"/>
  <c r="BF277" i="19"/>
  <c r="BF278" i="19"/>
  <c r="BF279" i="19"/>
  <c r="BF280" i="19"/>
  <c r="BF281" i="19"/>
  <c r="BF282" i="19"/>
  <c r="BF283" i="19"/>
  <c r="BF284" i="19"/>
  <c r="BF285" i="19"/>
  <c r="BF286" i="19"/>
  <c r="BF287" i="19"/>
  <c r="BF288" i="19"/>
  <c r="BF289" i="19"/>
  <c r="BF290" i="19"/>
  <c r="BF291" i="19"/>
  <c r="BF292" i="19"/>
  <c r="BF293" i="19"/>
  <c r="BF294" i="19"/>
  <c r="BF295" i="19"/>
  <c r="BF296" i="19"/>
  <c r="BF297" i="19"/>
  <c r="BF298" i="19"/>
  <c r="BF299" i="19"/>
  <c r="BF300" i="19"/>
  <c r="BF301" i="19"/>
  <c r="BF302" i="19"/>
  <c r="BF303" i="19"/>
  <c r="BF304" i="19"/>
  <c r="BF305" i="19"/>
  <c r="BF306" i="19"/>
  <c r="BF307" i="19"/>
  <c r="BF308" i="19"/>
  <c r="BF309" i="19"/>
  <c r="BF310" i="19"/>
  <c r="BF311" i="19"/>
  <c r="BF312" i="19"/>
  <c r="BF313" i="19"/>
  <c r="BF314" i="19"/>
  <c r="BF315" i="19"/>
  <c r="BF316" i="19"/>
  <c r="BF317" i="19"/>
  <c r="BF318" i="19"/>
  <c r="BF319" i="19"/>
  <c r="BF320" i="19"/>
  <c r="BF321" i="19"/>
  <c r="BF322" i="19"/>
  <c r="BF323" i="19"/>
  <c r="BF324" i="19"/>
  <c r="BF325" i="19"/>
  <c r="BF326" i="19"/>
  <c r="BF327" i="19"/>
  <c r="BF328" i="19"/>
  <c r="BF329" i="19"/>
  <c r="BF330" i="19"/>
  <c r="BF331" i="19"/>
  <c r="BF332" i="19"/>
  <c r="BF333" i="19"/>
  <c r="BF334" i="19"/>
  <c r="BF335" i="19"/>
  <c r="BF336" i="19"/>
  <c r="BF337" i="19"/>
  <c r="BF338" i="19"/>
  <c r="BF339" i="19"/>
  <c r="BF340" i="19"/>
  <c r="BF341" i="19"/>
  <c r="BF342" i="19"/>
  <c r="BF343" i="19"/>
  <c r="BF344" i="19"/>
  <c r="BF345" i="19"/>
  <c r="BF346" i="19"/>
  <c r="BF347" i="19"/>
  <c r="BF348" i="19"/>
  <c r="BF349" i="19"/>
  <c r="BF350" i="19"/>
  <c r="BF351" i="19"/>
  <c r="BF352" i="19"/>
  <c r="BF353" i="19"/>
  <c r="BF354" i="19"/>
  <c r="BF355" i="19"/>
  <c r="BF356" i="19"/>
  <c r="BF357" i="19"/>
  <c r="BF358" i="19"/>
  <c r="BF359" i="19"/>
  <c r="BF360" i="19"/>
  <c r="BF361" i="19"/>
  <c r="BF362" i="19"/>
  <c r="BF363" i="19"/>
  <c r="BF364" i="19"/>
  <c r="BF365" i="19"/>
  <c r="BF366" i="19"/>
  <c r="BF367" i="19"/>
  <c r="BF368" i="19"/>
  <c r="BF369" i="19"/>
  <c r="BF370" i="19"/>
  <c r="BF371" i="19"/>
  <c r="BF372" i="19"/>
  <c r="BF373" i="19"/>
  <c r="BF374" i="19"/>
  <c r="BF375" i="19"/>
  <c r="BF376" i="19"/>
  <c r="BF377" i="19"/>
  <c r="BF378" i="19"/>
  <c r="BF379" i="19"/>
  <c r="BF380" i="19"/>
  <c r="BF381" i="19"/>
  <c r="BF382" i="19"/>
  <c r="BF383" i="19"/>
  <c r="BF384" i="19"/>
  <c r="BF385" i="19"/>
  <c r="BF386" i="19"/>
  <c r="BF387" i="19"/>
  <c r="BF388" i="19"/>
  <c r="BF389" i="19"/>
  <c r="BF390" i="19"/>
  <c r="BF391" i="19"/>
  <c r="BF392" i="19"/>
  <c r="BF393" i="19"/>
  <c r="BF394" i="19"/>
  <c r="BF395" i="19"/>
  <c r="BF396" i="19"/>
  <c r="BF397" i="19"/>
  <c r="BF398" i="19"/>
  <c r="BF399" i="19"/>
  <c r="BF400" i="19"/>
  <c r="BF401" i="19"/>
  <c r="BF402" i="19"/>
  <c r="BF403" i="19"/>
  <c r="BF404" i="19"/>
  <c r="BF405" i="19"/>
  <c r="BF406" i="19"/>
  <c r="BF407" i="19"/>
  <c r="BF408" i="19"/>
  <c r="BF409" i="19"/>
  <c r="BF3" i="19"/>
  <c r="E63" i="27" l="1"/>
  <c r="D63" i="27"/>
  <c r="F63" i="27"/>
  <c r="G63" i="27"/>
  <c r="G64" i="27"/>
  <c r="F64" i="27"/>
  <c r="D64" i="27"/>
  <c r="E64" i="27"/>
  <c r="BF403" i="17"/>
  <c r="AZ404" i="17"/>
  <c r="AX406" i="17"/>
  <c r="BF407" i="17"/>
  <c r="AZ408" i="17"/>
  <c r="AX103" i="17"/>
  <c r="BF104" i="17"/>
  <c r="AZ105" i="17"/>
  <c r="AX107" i="17"/>
  <c r="BF108" i="17"/>
  <c r="AZ109" i="17"/>
  <c r="AX4" i="17"/>
  <c r="BF5" i="17"/>
  <c r="AZ6" i="17"/>
  <c r="AX8" i="17"/>
  <c r="BF9" i="17"/>
  <c r="AZ10" i="17"/>
  <c r="AX12" i="17"/>
  <c r="BF13" i="17"/>
  <c r="AZ14" i="17"/>
  <c r="AX16" i="17"/>
  <c r="BF17" i="17"/>
  <c r="AZ18" i="17"/>
  <c r="AX20" i="17"/>
  <c r="BF21" i="17"/>
  <c r="AZ22" i="17"/>
  <c r="AX24" i="17"/>
  <c r="BF25" i="17"/>
  <c r="AZ26" i="17"/>
  <c r="AX28" i="17"/>
  <c r="BF29" i="17"/>
  <c r="AZ30" i="17"/>
  <c r="AX32" i="17"/>
  <c r="BF33" i="17"/>
  <c r="AZ34" i="17"/>
  <c r="AX36" i="17"/>
  <c r="BF37" i="17"/>
  <c r="AZ38" i="17"/>
  <c r="AX40" i="17"/>
  <c r="BF41" i="17"/>
  <c r="AZ42" i="17"/>
  <c r="AX44" i="17"/>
  <c r="BF45" i="17"/>
  <c r="AZ46" i="17"/>
  <c r="AX48" i="17"/>
  <c r="BF49" i="17"/>
  <c r="AZ50" i="17"/>
  <c r="AX52" i="17"/>
  <c r="BF53" i="17"/>
  <c r="AZ54" i="17"/>
  <c r="AX56" i="17"/>
  <c r="BF57" i="17"/>
  <c r="AZ58" i="17"/>
  <c r="AX60" i="17"/>
  <c r="BF61" i="17"/>
  <c r="AZ62" i="17"/>
  <c r="AX64" i="17"/>
  <c r="BF65" i="17"/>
  <c r="AZ66" i="17"/>
  <c r="AX68" i="17"/>
  <c r="BF69" i="17"/>
  <c r="AZ70" i="17"/>
  <c r="AX72" i="17"/>
  <c r="BF73" i="17"/>
  <c r="AZ74" i="17"/>
  <c r="AX76" i="17"/>
  <c r="BF77" i="17"/>
  <c r="AZ78" i="17"/>
  <c r="AX80" i="17"/>
  <c r="BF81" i="17"/>
  <c r="AZ82" i="17"/>
  <c r="AX84" i="17"/>
  <c r="BF85" i="17"/>
  <c r="AZ86" i="17"/>
  <c r="AX88" i="17"/>
  <c r="BF89" i="17"/>
  <c r="AZ90" i="17"/>
  <c r="AX92" i="17"/>
  <c r="BF93" i="17"/>
  <c r="AZ94" i="17"/>
  <c r="AX96" i="17"/>
  <c r="BF97" i="17"/>
  <c r="AZ98" i="17"/>
  <c r="AX100" i="17"/>
  <c r="BF101" i="17"/>
  <c r="AZ102" i="17"/>
  <c r="AZ110" i="17"/>
  <c r="AX112" i="17"/>
  <c r="BF113" i="17"/>
  <c r="AZ114" i="17"/>
  <c r="AX116" i="17"/>
  <c r="BF117" i="17"/>
  <c r="AZ118" i="17"/>
  <c r="AX120" i="17"/>
  <c r="BF121" i="17"/>
  <c r="AZ122" i="17"/>
  <c r="AX124" i="17"/>
  <c r="BF125" i="17"/>
  <c r="AZ126" i="17"/>
  <c r="AX128" i="17"/>
  <c r="BF129" i="17"/>
  <c r="AZ130" i="17"/>
  <c r="AX132" i="17"/>
  <c r="BF133" i="17"/>
  <c r="AZ134" i="17"/>
  <c r="AX136" i="17"/>
  <c r="BF137" i="17"/>
  <c r="AZ138" i="17"/>
  <c r="AX140" i="17"/>
  <c r="BF141" i="17"/>
  <c r="AZ142" i="17"/>
  <c r="AX144" i="17"/>
  <c r="BF145" i="17"/>
  <c r="AZ146" i="17"/>
  <c r="AX148" i="17"/>
  <c r="BF149" i="17"/>
  <c r="AZ150" i="17"/>
  <c r="AX152" i="17"/>
  <c r="BF153" i="17"/>
  <c r="AZ154" i="17"/>
  <c r="AX156" i="17"/>
  <c r="BF157" i="17"/>
  <c r="AZ158" i="17"/>
  <c r="AX160" i="17"/>
  <c r="BF161" i="17"/>
  <c r="AZ162" i="17"/>
  <c r="AX164" i="17"/>
  <c r="BF165" i="17"/>
  <c r="AZ166" i="17"/>
  <c r="AX168" i="17"/>
  <c r="BF169" i="17"/>
  <c r="AZ170" i="17"/>
  <c r="AX172" i="17"/>
  <c r="BF173" i="17"/>
  <c r="AZ174" i="17"/>
  <c r="AX176" i="17"/>
  <c r="BF177" i="17"/>
  <c r="AZ178" i="17"/>
  <c r="AX180" i="17"/>
  <c r="BF181" i="17"/>
  <c r="AZ182" i="17"/>
  <c r="AX184" i="17"/>
  <c r="BF185" i="17"/>
  <c r="AZ186" i="17"/>
  <c r="AX188" i="17"/>
  <c r="BF189" i="17"/>
  <c r="AZ190" i="17"/>
  <c r="AX192" i="17"/>
  <c r="BF193" i="17"/>
  <c r="AZ194" i="17"/>
  <c r="AX196" i="17"/>
  <c r="BF197" i="17"/>
  <c r="AZ198" i="17"/>
  <c r="AX200" i="17"/>
  <c r="BF201" i="17"/>
  <c r="AZ202" i="17"/>
  <c r="AZ206" i="17"/>
  <c r="AX208" i="17"/>
  <c r="BF209" i="17"/>
  <c r="AZ210" i="17"/>
  <c r="AX212" i="17"/>
  <c r="BF213" i="17"/>
  <c r="AZ214" i="17"/>
  <c r="AX216" i="17"/>
  <c r="BF217" i="17"/>
  <c r="AZ218" i="17"/>
  <c r="AX220" i="17"/>
  <c r="BF221" i="17"/>
  <c r="AZ222" i="17"/>
  <c r="AX224" i="17"/>
  <c r="BF225" i="17"/>
  <c r="AZ226" i="17"/>
  <c r="AX228" i="17"/>
  <c r="BF229" i="17"/>
  <c r="AZ230" i="17"/>
  <c r="AX232" i="17"/>
  <c r="BF233" i="17"/>
  <c r="AZ234" i="17"/>
  <c r="AX236" i="17"/>
  <c r="BF237" i="17"/>
  <c r="AZ238" i="17"/>
  <c r="AX240" i="17"/>
  <c r="BF241" i="17"/>
  <c r="AZ242" i="17"/>
  <c r="AX244" i="17"/>
  <c r="BF245" i="17"/>
  <c r="AZ246" i="17"/>
  <c r="AX248" i="17"/>
  <c r="BF249" i="17"/>
  <c r="AZ250" i="17"/>
  <c r="AX252" i="17"/>
  <c r="BF253" i="17"/>
  <c r="AZ254" i="17"/>
  <c r="AX256" i="17"/>
  <c r="BF257" i="17"/>
  <c r="AZ258" i="17"/>
  <c r="AX260" i="17"/>
  <c r="BF261" i="17"/>
  <c r="AZ262" i="17"/>
  <c r="AX264" i="17"/>
  <c r="BF265" i="17"/>
  <c r="AZ266" i="17"/>
  <c r="AX268" i="17"/>
  <c r="BF269" i="17"/>
  <c r="AZ270" i="17"/>
  <c r="AX272" i="17"/>
  <c r="BF273" i="17"/>
  <c r="AZ274" i="17"/>
  <c r="AX276" i="17"/>
  <c r="BF277" i="17"/>
  <c r="AZ278" i="17"/>
  <c r="AX280" i="17"/>
  <c r="BF281" i="17"/>
  <c r="AZ282" i="17"/>
  <c r="AX284" i="17"/>
  <c r="BF285" i="17"/>
  <c r="AZ286" i="17"/>
  <c r="AX288" i="17"/>
  <c r="BF289" i="17"/>
  <c r="AZ290" i="17"/>
  <c r="AX292" i="17"/>
  <c r="BF293" i="17"/>
  <c r="AZ294" i="17"/>
  <c r="AX296" i="17"/>
  <c r="BF297" i="17"/>
  <c r="AZ298" i="17"/>
  <c r="AX300" i="17"/>
  <c r="BF301" i="17"/>
  <c r="AZ302" i="17"/>
  <c r="AX304" i="17"/>
  <c r="BF305" i="17"/>
  <c r="AZ306" i="17"/>
  <c r="AX308" i="17"/>
  <c r="BF309" i="17"/>
  <c r="AZ310" i="17"/>
  <c r="AX312" i="17"/>
  <c r="BF313" i="17"/>
  <c r="AZ314" i="17"/>
  <c r="AX316" i="17"/>
  <c r="BF317" i="17"/>
  <c r="AZ318" i="17"/>
  <c r="AX320" i="17"/>
  <c r="BF321" i="17"/>
  <c r="AZ322" i="17"/>
  <c r="AX324" i="17"/>
  <c r="BF325" i="17"/>
  <c r="AZ326" i="17"/>
  <c r="AX328" i="17"/>
  <c r="BF329" i="17"/>
  <c r="AZ330" i="17"/>
  <c r="AX332" i="17"/>
  <c r="BF333" i="17"/>
  <c r="AZ334" i="17"/>
  <c r="AX337" i="17"/>
  <c r="BF338" i="17"/>
  <c r="AZ339" i="17"/>
  <c r="AX341" i="17"/>
  <c r="BF342" i="17"/>
  <c r="AZ343" i="17"/>
  <c r="AX345" i="17"/>
  <c r="BF346" i="17"/>
  <c r="AZ347" i="17"/>
  <c r="AX349" i="17"/>
  <c r="BF350" i="17"/>
  <c r="AZ351" i="17"/>
  <c r="AX353" i="17"/>
  <c r="BF354" i="17"/>
  <c r="AZ355" i="17"/>
  <c r="AX357" i="17"/>
  <c r="BF358" i="17"/>
  <c r="AZ359" i="17"/>
  <c r="AX361" i="17"/>
  <c r="BF362" i="17"/>
  <c r="AZ363" i="17"/>
  <c r="AX365" i="17"/>
  <c r="BF366" i="17"/>
  <c r="AZ367" i="17"/>
  <c r="AX369" i="17"/>
  <c r="BF370" i="17"/>
  <c r="AZ371" i="17"/>
  <c r="AX373" i="17"/>
  <c r="BF374" i="17"/>
  <c r="AZ375" i="17"/>
  <c r="AX377" i="17"/>
  <c r="BF378" i="17"/>
  <c r="AZ379" i="17"/>
  <c r="AX381" i="17"/>
  <c r="BF382" i="17"/>
  <c r="AZ383" i="17"/>
  <c r="AX385" i="17"/>
  <c r="BF386" i="17"/>
  <c r="AZ387" i="17"/>
  <c r="AX389" i="17"/>
  <c r="BF390" i="17"/>
  <c r="AZ391" i="17"/>
  <c r="AX393" i="17"/>
  <c r="BF394" i="17"/>
  <c r="AZ395" i="17"/>
  <c r="AX397" i="17"/>
  <c r="BF398" i="17"/>
  <c r="AZ399" i="17"/>
  <c r="AX401" i="17"/>
  <c r="BF402" i="17"/>
  <c r="BM3" i="19"/>
  <c r="BK3" i="19"/>
  <c r="BI3" i="19"/>
  <c r="BL3" i="19"/>
  <c r="BJ3" i="19"/>
  <c r="BH3" i="19"/>
  <c r="BG3" i="19"/>
  <c r="BM406" i="19"/>
  <c r="BI406" i="19"/>
  <c r="BK406" i="19"/>
  <c r="BL406" i="19"/>
  <c r="BJ406" i="19"/>
  <c r="BG406" i="19"/>
  <c r="BH406" i="19"/>
  <c r="BM402" i="19"/>
  <c r="BL402" i="19"/>
  <c r="BI402" i="19"/>
  <c r="BK402" i="19"/>
  <c r="BH402" i="19"/>
  <c r="BG402" i="19"/>
  <c r="BJ402" i="19"/>
  <c r="BM398" i="19"/>
  <c r="BJ398" i="19"/>
  <c r="BI398" i="19"/>
  <c r="BK398" i="19"/>
  <c r="BL398" i="19"/>
  <c r="BH398" i="19"/>
  <c r="BG398" i="19"/>
  <c r="BM394" i="19"/>
  <c r="BL394" i="19"/>
  <c r="BK394" i="19"/>
  <c r="BI394" i="19"/>
  <c r="BJ394" i="19"/>
  <c r="BH394" i="19"/>
  <c r="BG394" i="19"/>
  <c r="BM390" i="19"/>
  <c r="BI390" i="19"/>
  <c r="BJ390" i="19"/>
  <c r="BL390" i="19"/>
  <c r="BG390" i="19"/>
  <c r="BK390" i="19"/>
  <c r="BH390" i="19"/>
  <c r="BM386" i="19"/>
  <c r="BL386" i="19"/>
  <c r="BI386" i="19"/>
  <c r="BH386" i="19"/>
  <c r="BG386" i="19"/>
  <c r="BJ386" i="19"/>
  <c r="BM382" i="19"/>
  <c r="BJ382" i="19"/>
  <c r="BI382" i="19"/>
  <c r="BH382" i="19"/>
  <c r="BG382" i="19"/>
  <c r="BL382" i="19"/>
  <c r="BK382" i="19"/>
  <c r="BM378" i="19"/>
  <c r="BK378" i="19"/>
  <c r="BI378" i="19"/>
  <c r="BL378" i="19"/>
  <c r="BJ378" i="19"/>
  <c r="BG378" i="19"/>
  <c r="BH378" i="19"/>
  <c r="BM374" i="19"/>
  <c r="BI374" i="19"/>
  <c r="BK374" i="19"/>
  <c r="BG374" i="19"/>
  <c r="BL374" i="19"/>
  <c r="BH374" i="19"/>
  <c r="BJ374" i="19"/>
  <c r="BM370" i="19"/>
  <c r="BL370" i="19"/>
  <c r="BI370" i="19"/>
  <c r="BK370" i="19"/>
  <c r="BJ370" i="19"/>
  <c r="BH370" i="19"/>
  <c r="BG370" i="19"/>
  <c r="BM366" i="19"/>
  <c r="BL366" i="19"/>
  <c r="BJ366" i="19"/>
  <c r="BI366" i="19"/>
  <c r="BH366" i="19"/>
  <c r="BK366" i="19"/>
  <c r="BG366" i="19"/>
  <c r="BM362" i="19"/>
  <c r="BK362" i="19"/>
  <c r="BI362" i="19"/>
  <c r="BJ362" i="19"/>
  <c r="BL362" i="19"/>
  <c r="BH362" i="19"/>
  <c r="BG362" i="19"/>
  <c r="BM358" i="19"/>
  <c r="BL358" i="19"/>
  <c r="BI358" i="19"/>
  <c r="BK358" i="19"/>
  <c r="BG358" i="19"/>
  <c r="BJ358" i="19"/>
  <c r="BH358" i="19"/>
  <c r="BM354" i="19"/>
  <c r="BL354" i="19"/>
  <c r="BI354" i="19"/>
  <c r="BJ354" i="19"/>
  <c r="BH354" i="19"/>
  <c r="BG354" i="19"/>
  <c r="BK354" i="19"/>
  <c r="BM350" i="19"/>
  <c r="BJ350" i="19"/>
  <c r="BI350" i="19"/>
  <c r="BL350" i="19"/>
  <c r="BK350" i="19"/>
  <c r="BH350" i="19"/>
  <c r="BG350" i="19"/>
  <c r="BM346" i="19"/>
  <c r="BK346" i="19"/>
  <c r="BI346" i="19"/>
  <c r="BL346" i="19"/>
  <c r="BH346" i="19"/>
  <c r="BG346" i="19"/>
  <c r="BJ346" i="19"/>
  <c r="BM342" i="19"/>
  <c r="BI342" i="19"/>
  <c r="BK342" i="19"/>
  <c r="BJ342" i="19"/>
  <c r="BG342" i="19"/>
  <c r="BH342" i="19"/>
  <c r="BL342" i="19"/>
  <c r="BM338" i="19"/>
  <c r="BL338" i="19"/>
  <c r="BI338" i="19"/>
  <c r="BH338" i="19"/>
  <c r="BJ338" i="19"/>
  <c r="BG338" i="19"/>
  <c r="BK338" i="19"/>
  <c r="BM334" i="19"/>
  <c r="BJ334" i="19"/>
  <c r="BI334" i="19"/>
  <c r="BK334" i="19"/>
  <c r="BL334" i="19"/>
  <c r="BH334" i="19"/>
  <c r="BG334" i="19"/>
  <c r="BM330" i="19"/>
  <c r="BL330" i="19"/>
  <c r="BK330" i="19"/>
  <c r="BI330" i="19"/>
  <c r="BJ330" i="19"/>
  <c r="BH330" i="19"/>
  <c r="BG330" i="19"/>
  <c r="BI326" i="19"/>
  <c r="BJ326" i="19"/>
  <c r="BM326" i="19"/>
  <c r="BG326" i="19"/>
  <c r="BL326" i="19"/>
  <c r="BK326" i="19"/>
  <c r="BH326" i="19"/>
  <c r="BL322" i="19"/>
  <c r="BI322" i="19"/>
  <c r="BM322" i="19"/>
  <c r="BK322" i="19"/>
  <c r="BJ322" i="19"/>
  <c r="BH322" i="19"/>
  <c r="BG322" i="19"/>
  <c r="BM318" i="19"/>
  <c r="BJ318" i="19"/>
  <c r="BI318" i="19"/>
  <c r="BL318" i="19"/>
  <c r="BK318" i="19"/>
  <c r="BH318" i="19"/>
  <c r="BG318" i="19"/>
  <c r="BK314" i="19"/>
  <c r="BI314" i="19"/>
  <c r="BJ314" i="19"/>
  <c r="BL314" i="19"/>
  <c r="BG314" i="19"/>
  <c r="BM314" i="19"/>
  <c r="BH314" i="19"/>
  <c r="BM310" i="19"/>
  <c r="BI310" i="19"/>
  <c r="BL310" i="19"/>
  <c r="BG310" i="19"/>
  <c r="BJ310" i="19"/>
  <c r="BK310" i="19"/>
  <c r="BH310" i="19"/>
  <c r="BL306" i="19"/>
  <c r="BI306" i="19"/>
  <c r="BK306" i="19"/>
  <c r="BJ306" i="19"/>
  <c r="BH306" i="19"/>
  <c r="BG306" i="19"/>
  <c r="BM306" i="19"/>
  <c r="BL302" i="19"/>
  <c r="BJ302" i="19"/>
  <c r="BI302" i="19"/>
  <c r="BM302" i="19"/>
  <c r="BK302" i="19"/>
  <c r="BH302" i="19"/>
  <c r="BG302" i="19"/>
  <c r="BM298" i="19"/>
  <c r="BK298" i="19"/>
  <c r="BI298" i="19"/>
  <c r="BJ298" i="19"/>
  <c r="BL298" i="19"/>
  <c r="BH298" i="19"/>
  <c r="BG298" i="19"/>
  <c r="BM294" i="19"/>
  <c r="BL294" i="19"/>
  <c r="BI294" i="19"/>
  <c r="BK294" i="19"/>
  <c r="BJ294" i="19"/>
  <c r="BG294" i="19"/>
  <c r="BH294" i="19"/>
  <c r="BL290" i="19"/>
  <c r="BI290" i="19"/>
  <c r="BJ290" i="19"/>
  <c r="BH290" i="19"/>
  <c r="BM290" i="19"/>
  <c r="BK290" i="19"/>
  <c r="BG290" i="19"/>
  <c r="BM286" i="19"/>
  <c r="BJ286" i="19"/>
  <c r="BI286" i="19"/>
  <c r="BK286" i="19"/>
  <c r="BH286" i="19"/>
  <c r="BL286" i="19"/>
  <c r="BG286" i="19"/>
  <c r="BM282" i="19"/>
  <c r="BK282" i="19"/>
  <c r="BI282" i="19"/>
  <c r="BL282" i="19"/>
  <c r="BJ282" i="19"/>
  <c r="BH282" i="19"/>
  <c r="BG282" i="19"/>
  <c r="BM278" i="19"/>
  <c r="BI278" i="19"/>
  <c r="BK278" i="19"/>
  <c r="BJ278" i="19"/>
  <c r="BG278" i="19"/>
  <c r="BL278" i="19"/>
  <c r="BH278" i="19"/>
  <c r="BL274" i="19"/>
  <c r="BI274" i="19"/>
  <c r="BM274" i="19"/>
  <c r="BK274" i="19"/>
  <c r="BH274" i="19"/>
  <c r="BG274" i="19"/>
  <c r="BJ274" i="19"/>
  <c r="BJ270" i="19"/>
  <c r="BI270" i="19"/>
  <c r="BM270" i="19"/>
  <c r="BK270" i="19"/>
  <c r="BH270" i="19"/>
  <c r="BL270" i="19"/>
  <c r="BG270" i="19"/>
  <c r="BM266" i="19"/>
  <c r="BL266" i="19"/>
  <c r="BK266" i="19"/>
  <c r="BI266" i="19"/>
  <c r="BJ266" i="19"/>
  <c r="BH266" i="19"/>
  <c r="BG266" i="19"/>
  <c r="BI262" i="19"/>
  <c r="BL262" i="19"/>
  <c r="BJ262" i="19"/>
  <c r="BG262" i="19"/>
  <c r="BM262" i="19"/>
  <c r="BH262" i="19"/>
  <c r="BL258" i="19"/>
  <c r="BI258" i="19"/>
  <c r="BK258" i="19"/>
  <c r="BH258" i="19"/>
  <c r="BG258" i="19"/>
  <c r="BM258" i="19"/>
  <c r="BJ258" i="19"/>
  <c r="BM254" i="19"/>
  <c r="BJ254" i="19"/>
  <c r="BI254" i="19"/>
  <c r="BL254" i="19"/>
  <c r="BH254" i="19"/>
  <c r="BG254" i="19"/>
  <c r="BK254" i="19"/>
  <c r="BK250" i="19"/>
  <c r="BI250" i="19"/>
  <c r="BM250" i="19"/>
  <c r="BJ250" i="19"/>
  <c r="BL250" i="19"/>
  <c r="BG250" i="19"/>
  <c r="BH250" i="19"/>
  <c r="BI246" i="19"/>
  <c r="BM246" i="19"/>
  <c r="BL246" i="19"/>
  <c r="BK246" i="19"/>
  <c r="BG246" i="19"/>
  <c r="BJ246" i="19"/>
  <c r="BH246" i="19"/>
  <c r="BL242" i="19"/>
  <c r="BM242" i="19"/>
  <c r="BI242" i="19"/>
  <c r="BK242" i="19"/>
  <c r="BJ242" i="19"/>
  <c r="BH242" i="19"/>
  <c r="BG242" i="19"/>
  <c r="BM238" i="19"/>
  <c r="BL238" i="19"/>
  <c r="BJ238" i="19"/>
  <c r="BI238" i="19"/>
  <c r="BH238" i="19"/>
  <c r="BK238" i="19"/>
  <c r="BG238" i="19"/>
  <c r="BM234" i="19"/>
  <c r="BK234" i="19"/>
  <c r="BI234" i="19"/>
  <c r="BL234" i="19"/>
  <c r="BJ234" i="19"/>
  <c r="BH234" i="19"/>
  <c r="BG234" i="19"/>
  <c r="BL230" i="19"/>
  <c r="BI230" i="19"/>
  <c r="BK230" i="19"/>
  <c r="BM230" i="19"/>
  <c r="BG230" i="19"/>
  <c r="BJ230" i="19"/>
  <c r="BH230" i="19"/>
  <c r="BM226" i="19"/>
  <c r="BL226" i="19"/>
  <c r="BI226" i="19"/>
  <c r="BJ226" i="19"/>
  <c r="BH226" i="19"/>
  <c r="BG226" i="19"/>
  <c r="BK226" i="19"/>
  <c r="BM222" i="19"/>
  <c r="BJ222" i="19"/>
  <c r="BI222" i="19"/>
  <c r="BK222" i="19"/>
  <c r="BL222" i="19"/>
  <c r="BH222" i="19"/>
  <c r="BG222" i="19"/>
  <c r="BK218" i="19"/>
  <c r="BI218" i="19"/>
  <c r="BM218" i="19"/>
  <c r="BL218" i="19"/>
  <c r="BJ218" i="19"/>
  <c r="BH218" i="19"/>
  <c r="BG218" i="19"/>
  <c r="BI214" i="19"/>
  <c r="BL214" i="19"/>
  <c r="BK214" i="19"/>
  <c r="BJ214" i="19"/>
  <c r="BG214" i="19"/>
  <c r="BH214" i="19"/>
  <c r="BM214" i="19"/>
  <c r="BM210" i="19"/>
  <c r="BL210" i="19"/>
  <c r="BI210" i="19"/>
  <c r="BH210" i="19"/>
  <c r="BJ210" i="19"/>
  <c r="BG210" i="19"/>
  <c r="BK210" i="19"/>
  <c r="BJ206" i="19"/>
  <c r="BI206" i="19"/>
  <c r="BL206" i="19"/>
  <c r="BK206" i="19"/>
  <c r="BH206" i="19"/>
  <c r="BM206" i="19"/>
  <c r="BG206" i="19"/>
  <c r="BM202" i="19"/>
  <c r="BL202" i="19"/>
  <c r="BK202" i="19"/>
  <c r="BI202" i="19"/>
  <c r="BH202" i="19"/>
  <c r="BG202" i="19"/>
  <c r="BJ202" i="19"/>
  <c r="BI198" i="19"/>
  <c r="BJ198" i="19"/>
  <c r="BM198" i="19"/>
  <c r="BL198" i="19"/>
  <c r="BG198" i="19"/>
  <c r="BK198" i="19"/>
  <c r="BH198" i="19"/>
  <c r="BL194" i="19"/>
  <c r="BI194" i="19"/>
  <c r="BM194" i="19"/>
  <c r="BK194" i="19"/>
  <c r="BJ194" i="19"/>
  <c r="BH194" i="19"/>
  <c r="BG194" i="19"/>
  <c r="BM190" i="19"/>
  <c r="BJ190" i="19"/>
  <c r="BI190" i="19"/>
  <c r="BL190" i="19"/>
  <c r="BK190" i="19"/>
  <c r="BH190" i="19"/>
  <c r="BG190" i="19"/>
  <c r="BM186" i="19"/>
  <c r="BK186" i="19"/>
  <c r="BI186" i="19"/>
  <c r="BL186" i="19"/>
  <c r="BJ186" i="19"/>
  <c r="BG186" i="19"/>
  <c r="BH186" i="19"/>
  <c r="BM182" i="19"/>
  <c r="BI182" i="19"/>
  <c r="BL182" i="19"/>
  <c r="BG182" i="19"/>
  <c r="BJ182" i="19"/>
  <c r="BH182" i="19"/>
  <c r="BK182" i="19"/>
  <c r="BL178" i="19"/>
  <c r="BI178" i="19"/>
  <c r="BK178" i="19"/>
  <c r="BJ178" i="19"/>
  <c r="BM178" i="19"/>
  <c r="BH178" i="19"/>
  <c r="BG178" i="19"/>
  <c r="BL174" i="19"/>
  <c r="BJ174" i="19"/>
  <c r="BI174" i="19"/>
  <c r="BM174" i="19"/>
  <c r="BK174" i="19"/>
  <c r="BH174" i="19"/>
  <c r="BG174" i="19"/>
  <c r="BM170" i="19"/>
  <c r="BK170" i="19"/>
  <c r="BI170" i="19"/>
  <c r="BJ170" i="19"/>
  <c r="BL170" i="19"/>
  <c r="BH170" i="19"/>
  <c r="BG170" i="19"/>
  <c r="BM166" i="19"/>
  <c r="BL166" i="19"/>
  <c r="BI166" i="19"/>
  <c r="BK166" i="19"/>
  <c r="BJ166" i="19"/>
  <c r="BG166" i="19"/>
  <c r="BH166" i="19"/>
  <c r="BL162" i="19"/>
  <c r="BI162" i="19"/>
  <c r="BJ162" i="19"/>
  <c r="BH162" i="19"/>
  <c r="BK162" i="19"/>
  <c r="BG162" i="19"/>
  <c r="BM162" i="19"/>
  <c r="BM158" i="19"/>
  <c r="BJ158" i="19"/>
  <c r="BL158" i="19"/>
  <c r="BK158" i="19"/>
  <c r="BI158" i="19"/>
  <c r="BH158" i="19"/>
  <c r="BG158" i="19"/>
  <c r="BM154" i="19"/>
  <c r="BK154" i="19"/>
  <c r="BJ154" i="19"/>
  <c r="BL154" i="19"/>
  <c r="BI154" i="19"/>
  <c r="BH154" i="19"/>
  <c r="BG154" i="19"/>
  <c r="BK150" i="19"/>
  <c r="BM150" i="19"/>
  <c r="BL150" i="19"/>
  <c r="BJ150" i="19"/>
  <c r="BI150" i="19"/>
  <c r="BG150" i="19"/>
  <c r="BH150" i="19"/>
  <c r="BL146" i="19"/>
  <c r="BM146" i="19"/>
  <c r="BI146" i="19"/>
  <c r="BH146" i="19"/>
  <c r="BG146" i="19"/>
  <c r="BJ146" i="19"/>
  <c r="BJ142" i="19"/>
  <c r="BM142" i="19"/>
  <c r="BK142" i="19"/>
  <c r="BL142" i="19"/>
  <c r="BH142" i="19"/>
  <c r="BI142" i="19"/>
  <c r="BG142" i="19"/>
  <c r="BM138" i="19"/>
  <c r="BL138" i="19"/>
  <c r="BJ138" i="19"/>
  <c r="BI138" i="19"/>
  <c r="BH138" i="19"/>
  <c r="BG138" i="19"/>
  <c r="BJ134" i="19"/>
  <c r="BG134" i="19"/>
  <c r="BM134" i="19"/>
  <c r="BK134" i="19"/>
  <c r="BL134" i="19"/>
  <c r="BI134" i="19"/>
  <c r="BH134" i="19"/>
  <c r="BL130" i="19"/>
  <c r="BM130" i="19"/>
  <c r="BI130" i="19"/>
  <c r="BH130" i="19"/>
  <c r="BG130" i="19"/>
  <c r="BJ130" i="19"/>
  <c r="BM126" i="19"/>
  <c r="BJ126" i="19"/>
  <c r="BL126" i="19"/>
  <c r="BH126" i="19"/>
  <c r="BG126" i="19"/>
  <c r="BI126" i="19"/>
  <c r="BK126" i="19"/>
  <c r="BK122" i="19"/>
  <c r="BM122" i="19"/>
  <c r="BL122" i="19"/>
  <c r="BJ122" i="19"/>
  <c r="BI122" i="19"/>
  <c r="BG122" i="19"/>
  <c r="BH122" i="19"/>
  <c r="BK118" i="19"/>
  <c r="BM118" i="19"/>
  <c r="BG118" i="19"/>
  <c r="BI118" i="19"/>
  <c r="BH118" i="19"/>
  <c r="BL118" i="19"/>
  <c r="BJ118" i="19"/>
  <c r="BL114" i="19"/>
  <c r="BI114" i="19"/>
  <c r="BK114" i="19"/>
  <c r="BJ114" i="19"/>
  <c r="BH114" i="19"/>
  <c r="BG114" i="19"/>
  <c r="BM114" i="19"/>
  <c r="BM110" i="19"/>
  <c r="BL110" i="19"/>
  <c r="BJ110" i="19"/>
  <c r="BI110" i="19"/>
  <c r="BH110" i="19"/>
  <c r="BK110" i="19"/>
  <c r="BG110" i="19"/>
  <c r="BM106" i="19"/>
  <c r="BJ106" i="19"/>
  <c r="BL106" i="19"/>
  <c r="BK106" i="19"/>
  <c r="BH106" i="19"/>
  <c r="BI106" i="19"/>
  <c r="BG106" i="19"/>
  <c r="BL102" i="19"/>
  <c r="BK102" i="19"/>
  <c r="BG102" i="19"/>
  <c r="BI102" i="19"/>
  <c r="BJ102" i="19"/>
  <c r="BM102" i="19"/>
  <c r="BH102" i="19"/>
  <c r="BL98" i="19"/>
  <c r="BM98" i="19"/>
  <c r="BI98" i="19"/>
  <c r="BJ98" i="19"/>
  <c r="BK98" i="19"/>
  <c r="BH98" i="19"/>
  <c r="BG98" i="19"/>
  <c r="BM94" i="19"/>
  <c r="BK94" i="19"/>
  <c r="BJ94" i="19"/>
  <c r="BI94" i="19"/>
  <c r="BH94" i="19"/>
  <c r="BL94" i="19"/>
  <c r="BG94" i="19"/>
  <c r="BM90" i="19"/>
  <c r="BL90" i="19"/>
  <c r="BI90" i="19"/>
  <c r="BH90" i="19"/>
  <c r="BK90" i="19"/>
  <c r="BJ90" i="19"/>
  <c r="BG90" i="19"/>
  <c r="BL86" i="19"/>
  <c r="BJ86" i="19"/>
  <c r="BI86" i="19"/>
  <c r="BG86" i="19"/>
  <c r="BM86" i="19"/>
  <c r="BH86" i="19"/>
  <c r="BL82" i="19"/>
  <c r="BM82" i="19"/>
  <c r="BI82" i="19"/>
  <c r="BH82" i="19"/>
  <c r="BK82" i="19"/>
  <c r="BJ82" i="19"/>
  <c r="BG82" i="19"/>
  <c r="BJ78" i="19"/>
  <c r="BL78" i="19"/>
  <c r="BM78" i="19"/>
  <c r="BK78" i="19"/>
  <c r="BH78" i="19"/>
  <c r="BI78" i="19"/>
  <c r="BG78" i="19"/>
  <c r="BM74" i="19"/>
  <c r="BL74" i="19"/>
  <c r="BK74" i="19"/>
  <c r="BI74" i="19"/>
  <c r="BJ74" i="19"/>
  <c r="BH74" i="19"/>
  <c r="BG74" i="19"/>
  <c r="BK70" i="19"/>
  <c r="BM70" i="19"/>
  <c r="BJ70" i="19"/>
  <c r="BG70" i="19"/>
  <c r="BL70" i="19"/>
  <c r="BI70" i="19"/>
  <c r="BH70" i="19"/>
  <c r="BL66" i="19"/>
  <c r="BK66" i="19"/>
  <c r="BI66" i="19"/>
  <c r="BM66" i="19"/>
  <c r="BJ66" i="19"/>
  <c r="BH66" i="19"/>
  <c r="BG66" i="19"/>
  <c r="BM62" i="19"/>
  <c r="BJ62" i="19"/>
  <c r="BL62" i="19"/>
  <c r="BK62" i="19"/>
  <c r="BH62" i="19"/>
  <c r="BI62" i="19"/>
  <c r="BG62" i="19"/>
  <c r="BK58" i="19"/>
  <c r="BJ58" i="19"/>
  <c r="BI58" i="19"/>
  <c r="BL58" i="19"/>
  <c r="BM58" i="19"/>
  <c r="BH58" i="19"/>
  <c r="BG58" i="19"/>
  <c r="BM54" i="19"/>
  <c r="BK54" i="19"/>
  <c r="BL54" i="19"/>
  <c r="BG54" i="19"/>
  <c r="BJ54" i="19"/>
  <c r="BH54" i="19"/>
  <c r="BI54" i="19"/>
  <c r="BL50" i="19"/>
  <c r="BM50" i="19"/>
  <c r="BI50" i="19"/>
  <c r="BJ50" i="19"/>
  <c r="BH50" i="19"/>
  <c r="BG50" i="19"/>
  <c r="BK50" i="19"/>
  <c r="BL46" i="19"/>
  <c r="BJ46" i="19"/>
  <c r="BK46" i="19"/>
  <c r="BM46" i="19"/>
  <c r="BH46" i="19"/>
  <c r="BI46" i="19"/>
  <c r="BG46" i="19"/>
  <c r="BM42" i="19"/>
  <c r="BJ42" i="19"/>
  <c r="BI42" i="19"/>
  <c r="BK42" i="19"/>
  <c r="BL42" i="19"/>
  <c r="BH42" i="19"/>
  <c r="BG42" i="19"/>
  <c r="BM38" i="19"/>
  <c r="BL38" i="19"/>
  <c r="BK38" i="19"/>
  <c r="BJ38" i="19"/>
  <c r="BG38" i="19"/>
  <c r="BH38" i="19"/>
  <c r="BI38" i="19"/>
  <c r="BL34" i="19"/>
  <c r="BM34" i="19"/>
  <c r="BI34" i="19"/>
  <c r="BJ34" i="19"/>
  <c r="BH34" i="19"/>
  <c r="BG34" i="19"/>
  <c r="BK34" i="19"/>
  <c r="BM30" i="19"/>
  <c r="BK30" i="19"/>
  <c r="BJ30" i="19"/>
  <c r="BL30" i="19"/>
  <c r="BH30" i="19"/>
  <c r="BG30" i="19"/>
  <c r="BI30" i="19"/>
  <c r="BM26" i="19"/>
  <c r="BL26" i="19"/>
  <c r="BK26" i="19"/>
  <c r="BI26" i="19"/>
  <c r="BJ26" i="19"/>
  <c r="BH26" i="19"/>
  <c r="BG26" i="19"/>
  <c r="BK22" i="19"/>
  <c r="BL22" i="19"/>
  <c r="BM22" i="19"/>
  <c r="BJ22" i="19"/>
  <c r="BI22" i="19"/>
  <c r="BG22" i="19"/>
  <c r="BH22" i="19"/>
  <c r="BL18" i="19"/>
  <c r="BI18" i="19"/>
  <c r="BM18" i="19"/>
  <c r="BK18" i="19"/>
  <c r="BH18" i="19"/>
  <c r="BG18" i="19"/>
  <c r="BJ18" i="19"/>
  <c r="BM14" i="19"/>
  <c r="BJ14" i="19"/>
  <c r="BL14" i="19"/>
  <c r="BI14" i="19"/>
  <c r="BH14" i="19"/>
  <c r="BK14" i="19"/>
  <c r="BG14" i="19"/>
  <c r="BM10" i="19"/>
  <c r="BL10" i="19"/>
  <c r="BJ10" i="19"/>
  <c r="BH10" i="19"/>
  <c r="BI10" i="19"/>
  <c r="BG10" i="19"/>
  <c r="BM6" i="19"/>
  <c r="BK6" i="19"/>
  <c r="BL6" i="19"/>
  <c r="BJ6" i="19"/>
  <c r="BI6" i="19"/>
  <c r="BG6" i="19"/>
  <c r="BH6" i="19"/>
  <c r="BA406" i="19"/>
  <c r="BB406" i="19"/>
  <c r="BC406" i="19"/>
  <c r="BD406" i="19"/>
  <c r="AZ406" i="19"/>
  <c r="BA402" i="19"/>
  <c r="BD402" i="19"/>
  <c r="BB402" i="19"/>
  <c r="BC402" i="19"/>
  <c r="AZ402" i="19"/>
  <c r="BA398" i="19"/>
  <c r="BB398" i="19"/>
  <c r="BD398" i="19"/>
  <c r="BC398" i="19"/>
  <c r="AZ398" i="19"/>
  <c r="BA394" i="19"/>
  <c r="BD394" i="19"/>
  <c r="BB394" i="19"/>
  <c r="BC394" i="19"/>
  <c r="AZ394" i="19"/>
  <c r="BA390" i="19"/>
  <c r="BD390" i="19"/>
  <c r="BB390" i="19"/>
  <c r="BC390" i="19"/>
  <c r="AZ390" i="19"/>
  <c r="BA382" i="19"/>
  <c r="BB382" i="19"/>
  <c r="BC382" i="19"/>
  <c r="BD382" i="19"/>
  <c r="AZ382" i="19"/>
  <c r="BA378" i="19"/>
  <c r="BD378" i="19"/>
  <c r="BB378" i="19"/>
  <c r="BC378" i="19"/>
  <c r="AZ378" i="19"/>
  <c r="BA374" i="19"/>
  <c r="BB374" i="19"/>
  <c r="BD374" i="19"/>
  <c r="BC374" i="19"/>
  <c r="AZ374" i="19"/>
  <c r="BA370" i="19"/>
  <c r="BD370" i="19"/>
  <c r="BB370" i="19"/>
  <c r="BC370" i="19"/>
  <c r="AZ370" i="19"/>
  <c r="BA366" i="19"/>
  <c r="BB366" i="19"/>
  <c r="BC366" i="19"/>
  <c r="BD366" i="19"/>
  <c r="AZ366" i="19"/>
  <c r="BA362" i="19"/>
  <c r="BD362" i="19"/>
  <c r="BB362" i="19"/>
  <c r="BC362" i="19"/>
  <c r="AZ362" i="19"/>
  <c r="BA358" i="19"/>
  <c r="BD358" i="19"/>
  <c r="BB358" i="19"/>
  <c r="BC358" i="19"/>
  <c r="AZ358" i="19"/>
  <c r="BA350" i="19"/>
  <c r="BB350" i="19"/>
  <c r="BD350" i="19"/>
  <c r="BC350" i="19"/>
  <c r="AZ350" i="19"/>
  <c r="BA346" i="19"/>
  <c r="BD346" i="19"/>
  <c r="BB346" i="19"/>
  <c r="BC346" i="19"/>
  <c r="AZ346" i="19"/>
  <c r="BA342" i="19"/>
  <c r="BB342" i="19"/>
  <c r="BC342" i="19"/>
  <c r="BD342" i="19"/>
  <c r="AZ342" i="19"/>
  <c r="BA338" i="19"/>
  <c r="BD338" i="19"/>
  <c r="BB338" i="19"/>
  <c r="BC338" i="19"/>
  <c r="AZ338" i="19"/>
  <c r="BA330" i="19"/>
  <c r="BD330" i="19"/>
  <c r="BB330" i="19"/>
  <c r="BC330" i="19"/>
  <c r="AZ330" i="19"/>
  <c r="BA326" i="19"/>
  <c r="BD326" i="19"/>
  <c r="BB326" i="19"/>
  <c r="BC326" i="19"/>
  <c r="AZ326" i="19"/>
  <c r="BA322" i="19"/>
  <c r="BD322" i="19"/>
  <c r="BB322" i="19"/>
  <c r="BC322" i="19"/>
  <c r="AZ322" i="19"/>
  <c r="BA318" i="19"/>
  <c r="BB318" i="19"/>
  <c r="BC318" i="19"/>
  <c r="BD318" i="19"/>
  <c r="AZ318" i="19"/>
  <c r="BA314" i="19"/>
  <c r="BD314" i="19"/>
  <c r="BB314" i="19"/>
  <c r="BC314" i="19"/>
  <c r="AZ314" i="19"/>
  <c r="BA310" i="19"/>
  <c r="BB310" i="19"/>
  <c r="BD310" i="19"/>
  <c r="BC310" i="19"/>
  <c r="AZ310" i="19"/>
  <c r="BA298" i="19"/>
  <c r="BD298" i="19"/>
  <c r="BB298" i="19"/>
  <c r="BC298" i="19"/>
  <c r="AZ298" i="19"/>
  <c r="BA294" i="19"/>
  <c r="BD294" i="19"/>
  <c r="BB294" i="19"/>
  <c r="BC294" i="19"/>
  <c r="AZ294" i="19"/>
  <c r="BA290" i="19"/>
  <c r="BD290" i="19"/>
  <c r="BB290" i="19"/>
  <c r="BC290" i="19"/>
  <c r="AZ290" i="19"/>
  <c r="BA282" i="19"/>
  <c r="BD282" i="19"/>
  <c r="BB282" i="19"/>
  <c r="BC282" i="19"/>
  <c r="AZ282" i="19"/>
  <c r="BA278" i="19"/>
  <c r="BD278" i="19"/>
  <c r="BB278" i="19"/>
  <c r="BC278" i="19"/>
  <c r="AZ278" i="19"/>
  <c r="BA274" i="19"/>
  <c r="BD274" i="19"/>
  <c r="BB274" i="19"/>
  <c r="BC274" i="19"/>
  <c r="AZ274" i="19"/>
  <c r="BA266" i="19"/>
  <c r="BD266" i="19"/>
  <c r="BB266" i="19"/>
  <c r="BC266" i="19"/>
  <c r="AZ266" i="19"/>
  <c r="BA258" i="19"/>
  <c r="BD258" i="19"/>
  <c r="BB258" i="19"/>
  <c r="BC258" i="19"/>
  <c r="AZ258" i="19"/>
  <c r="BA254" i="19"/>
  <c r="BB254" i="19"/>
  <c r="BC254" i="19"/>
  <c r="BD254" i="19"/>
  <c r="AZ254" i="19"/>
  <c r="BA250" i="19"/>
  <c r="BD250" i="19"/>
  <c r="BB250" i="19"/>
  <c r="BC250" i="19"/>
  <c r="AZ250" i="19"/>
  <c r="BA246" i="19"/>
  <c r="BD246" i="19"/>
  <c r="BB246" i="19"/>
  <c r="BC246" i="19"/>
  <c r="AZ246" i="19"/>
  <c r="BD234" i="19"/>
  <c r="BA234" i="19"/>
  <c r="BB234" i="19"/>
  <c r="BC234" i="19"/>
  <c r="AZ234" i="19"/>
  <c r="BD230" i="19"/>
  <c r="BA230" i="19"/>
  <c r="BB230" i="19"/>
  <c r="BC230" i="19"/>
  <c r="AZ230" i="19"/>
  <c r="BD226" i="19"/>
  <c r="BA226" i="19"/>
  <c r="BB226" i="19"/>
  <c r="BC226" i="19"/>
  <c r="AZ226" i="19"/>
  <c r="BD222" i="19"/>
  <c r="BA222" i="19"/>
  <c r="BB222" i="19"/>
  <c r="BC222" i="19"/>
  <c r="AZ222" i="19"/>
  <c r="BD218" i="19"/>
  <c r="BA218" i="19"/>
  <c r="BB218" i="19"/>
  <c r="BC218" i="19"/>
  <c r="AZ218" i="19"/>
  <c r="BD206" i="19"/>
  <c r="BA206" i="19"/>
  <c r="BB206" i="19"/>
  <c r="BC206" i="19"/>
  <c r="AZ206" i="19"/>
  <c r="BD202" i="19"/>
  <c r="BA202" i="19"/>
  <c r="BB202" i="19"/>
  <c r="BC202" i="19"/>
  <c r="AZ202" i="19"/>
  <c r="BD198" i="19"/>
  <c r="BA198" i="19"/>
  <c r="BB198" i="19"/>
  <c r="BC198" i="19"/>
  <c r="AZ198" i="19"/>
  <c r="BD194" i="19"/>
  <c r="BA194" i="19"/>
  <c r="BB194" i="19"/>
  <c r="BC194" i="19"/>
  <c r="AZ194" i="19"/>
  <c r="BD186" i="19"/>
  <c r="BA186" i="19"/>
  <c r="BB186" i="19"/>
  <c r="BC186" i="19"/>
  <c r="AZ186" i="19"/>
  <c r="BD182" i="19"/>
  <c r="BA182" i="19"/>
  <c r="BB182" i="19"/>
  <c r="BC182" i="19"/>
  <c r="AZ182" i="19"/>
  <c r="BD170" i="19"/>
  <c r="BA170" i="19"/>
  <c r="BB170" i="19"/>
  <c r="BC170" i="19"/>
  <c r="AZ170" i="19"/>
  <c r="BD166" i="19"/>
  <c r="BA166" i="19"/>
  <c r="BB166" i="19"/>
  <c r="BC166" i="19"/>
  <c r="AZ166" i="19"/>
  <c r="BD162" i="19"/>
  <c r="BA162" i="19"/>
  <c r="BB162" i="19"/>
  <c r="BC162" i="19"/>
  <c r="AZ162" i="19"/>
  <c r="BD158" i="19"/>
  <c r="BA158" i="19"/>
  <c r="BB158" i="19"/>
  <c r="BC158" i="19"/>
  <c r="AZ158" i="19"/>
  <c r="BD154" i="19"/>
  <c r="BA154" i="19"/>
  <c r="BB154" i="19"/>
  <c r="BC154" i="19"/>
  <c r="AZ154" i="19"/>
  <c r="BD150" i="19"/>
  <c r="BA150" i="19"/>
  <c r="BB150" i="19"/>
  <c r="BC150" i="19"/>
  <c r="AZ150" i="19"/>
  <c r="BD142" i="19"/>
  <c r="BA142" i="19"/>
  <c r="BB142" i="19"/>
  <c r="BC142" i="19"/>
  <c r="AZ142" i="19"/>
  <c r="BD134" i="19"/>
  <c r="BA134" i="19"/>
  <c r="BB134" i="19"/>
  <c r="BC134" i="19"/>
  <c r="AZ134" i="19"/>
  <c r="BD122" i="19"/>
  <c r="BA122" i="19"/>
  <c r="BB122" i="19"/>
  <c r="BC122" i="19"/>
  <c r="AZ122" i="19"/>
  <c r="BD114" i="19"/>
  <c r="BA114" i="19"/>
  <c r="BB114" i="19"/>
  <c r="BC114" i="19"/>
  <c r="AZ114" i="19"/>
  <c r="BD110" i="19"/>
  <c r="BA110" i="19"/>
  <c r="BB110" i="19"/>
  <c r="BC110" i="19"/>
  <c r="AZ110" i="19"/>
  <c r="BD98" i="19"/>
  <c r="BA98" i="19"/>
  <c r="BB98" i="19"/>
  <c r="BC98" i="19"/>
  <c r="AZ98" i="19"/>
  <c r="BD90" i="19"/>
  <c r="BA90" i="19"/>
  <c r="BB90" i="19"/>
  <c r="BC90" i="19"/>
  <c r="AZ90" i="19"/>
  <c r="BD86" i="19"/>
  <c r="BA86" i="19"/>
  <c r="BB86" i="19"/>
  <c r="BC86" i="19"/>
  <c r="AZ86" i="19"/>
  <c r="BD82" i="19"/>
  <c r="BA82" i="19"/>
  <c r="BB82" i="19"/>
  <c r="BC82" i="19"/>
  <c r="AZ82" i="19"/>
  <c r="BD78" i="19"/>
  <c r="BA78" i="19"/>
  <c r="BB78" i="19"/>
  <c r="BC78" i="19"/>
  <c r="AZ78" i="19"/>
  <c r="BD74" i="19"/>
  <c r="BA74" i="19"/>
  <c r="BB74" i="19"/>
  <c r="BC74" i="19"/>
  <c r="AZ74" i="19"/>
  <c r="BD70" i="19"/>
  <c r="BC70" i="19"/>
  <c r="BA70" i="19"/>
  <c r="BB70" i="19"/>
  <c r="AZ70" i="19"/>
  <c r="BD62" i="19"/>
  <c r="BA62" i="19"/>
  <c r="BB62" i="19"/>
  <c r="BC62" i="19"/>
  <c r="AZ62" i="19"/>
  <c r="BD58" i="19"/>
  <c r="BA58" i="19"/>
  <c r="BB58" i="19"/>
  <c r="BC58" i="19"/>
  <c r="AZ58" i="19"/>
  <c r="BD54" i="19"/>
  <c r="BC54" i="19"/>
  <c r="BA54" i="19"/>
  <c r="BB54" i="19"/>
  <c r="AZ54" i="19"/>
  <c r="BD50" i="19"/>
  <c r="BA50" i="19"/>
  <c r="BC50" i="19"/>
  <c r="BB50" i="19"/>
  <c r="AZ50" i="19"/>
  <c r="BD46" i="19"/>
  <c r="BA46" i="19"/>
  <c r="BB46" i="19"/>
  <c r="BC46" i="19"/>
  <c r="AZ46" i="19"/>
  <c r="BD42" i="19"/>
  <c r="BA42" i="19"/>
  <c r="BB42" i="19"/>
  <c r="BC42" i="19"/>
  <c r="AZ42" i="19"/>
  <c r="BD34" i="19"/>
  <c r="BA34" i="19"/>
  <c r="BC34" i="19"/>
  <c r="BB34" i="19"/>
  <c r="AZ34" i="19"/>
  <c r="BD30" i="19"/>
  <c r="BA30" i="19"/>
  <c r="BB30" i="19"/>
  <c r="BC30" i="19"/>
  <c r="AZ30" i="19"/>
  <c r="BD26" i="19"/>
  <c r="BA26" i="19"/>
  <c r="BB26" i="19"/>
  <c r="BC26" i="19"/>
  <c r="AZ26" i="19"/>
  <c r="BD22" i="19"/>
  <c r="BC22" i="19"/>
  <c r="BA22" i="19"/>
  <c r="BB22" i="19"/>
  <c r="AZ22" i="19"/>
  <c r="BD18" i="19"/>
  <c r="BA18" i="19"/>
  <c r="BC18" i="19"/>
  <c r="BB18" i="19"/>
  <c r="AZ18" i="19"/>
  <c r="BD14" i="19"/>
  <c r="BC14" i="19"/>
  <c r="BA14" i="19"/>
  <c r="BB14" i="19"/>
  <c r="AZ14" i="19"/>
  <c r="BD6" i="19"/>
  <c r="BC6" i="19"/>
  <c r="BA6" i="19"/>
  <c r="BB6" i="19"/>
  <c r="AZ6" i="19"/>
  <c r="BF2" i="17"/>
  <c r="BE2" i="17"/>
  <c r="AW2" i="17"/>
  <c r="AX2" i="17"/>
  <c r="BG2" i="17"/>
  <c r="AU2" i="17"/>
  <c r="BF3" i="17"/>
  <c r="BE3" i="17"/>
  <c r="AW3" i="17"/>
  <c r="AZ4" i="17"/>
  <c r="AX6" i="17"/>
  <c r="BG6" i="17"/>
  <c r="AU6" i="17"/>
  <c r="L6" i="25" s="1"/>
  <c r="BF7" i="17"/>
  <c r="BE7" i="17"/>
  <c r="AW7" i="17"/>
  <c r="AZ8" i="17"/>
  <c r="AX10" i="17"/>
  <c r="BG10" i="17"/>
  <c r="AU10" i="17"/>
  <c r="L10" i="25" s="1"/>
  <c r="BF11" i="17"/>
  <c r="BE11" i="17"/>
  <c r="AW11" i="17"/>
  <c r="AZ12" i="17"/>
  <c r="AX14" i="17"/>
  <c r="BG14" i="17"/>
  <c r="AU14" i="17"/>
  <c r="L14" i="25" s="1"/>
  <c r="BF15" i="17"/>
  <c r="BE15" i="17"/>
  <c r="AW15" i="17"/>
  <c r="AZ16" i="17"/>
  <c r="AX18" i="17"/>
  <c r="BG18" i="17"/>
  <c r="AU18" i="17"/>
  <c r="L18" i="25" s="1"/>
  <c r="BF19" i="17"/>
  <c r="BE19" i="17"/>
  <c r="AW19" i="17"/>
  <c r="AZ20" i="17"/>
  <c r="AX22" i="17"/>
  <c r="BG22" i="17"/>
  <c r="AU22" i="17"/>
  <c r="L22" i="25" s="1"/>
  <c r="BF23" i="17"/>
  <c r="BE23" i="17"/>
  <c r="AW23" i="17"/>
  <c r="AZ24" i="17"/>
  <c r="AX26" i="17"/>
  <c r="BG26" i="17"/>
  <c r="AU26" i="17"/>
  <c r="L26" i="25" s="1"/>
  <c r="BF27" i="17"/>
  <c r="BE27" i="17"/>
  <c r="AW27" i="17"/>
  <c r="AZ28" i="17"/>
  <c r="AX30" i="17"/>
  <c r="BG30" i="17"/>
  <c r="AU30" i="17"/>
  <c r="L30" i="25" s="1"/>
  <c r="BF31" i="17"/>
  <c r="BE31" i="17"/>
  <c r="AW31" i="17"/>
  <c r="AZ32" i="17"/>
  <c r="AX34" i="17"/>
  <c r="BG34" i="17"/>
  <c r="AU34" i="17"/>
  <c r="L34" i="25" s="1"/>
  <c r="BF35" i="17"/>
  <c r="BE35" i="17"/>
  <c r="AW35" i="17"/>
  <c r="AZ36" i="17"/>
  <c r="AX38" i="17"/>
  <c r="BG38" i="17"/>
  <c r="AU38" i="17"/>
  <c r="L38" i="25" s="1"/>
  <c r="BF39" i="17"/>
  <c r="BE39" i="17"/>
  <c r="AW39" i="17"/>
  <c r="AZ40" i="17"/>
  <c r="AX42" i="17"/>
  <c r="BG42" i="17"/>
  <c r="AU42" i="17"/>
  <c r="L42" i="25" s="1"/>
  <c r="BF43" i="17"/>
  <c r="BE43" i="17"/>
  <c r="AW43" i="17"/>
  <c r="AZ44" i="17"/>
  <c r="AX46" i="17"/>
  <c r="BG46" i="17"/>
  <c r="AU46" i="17"/>
  <c r="L46" i="25" s="1"/>
  <c r="BF47" i="17"/>
  <c r="BE47" i="17"/>
  <c r="AW47" i="17"/>
  <c r="AZ48" i="17"/>
  <c r="AX50" i="17"/>
  <c r="BG50" i="17"/>
  <c r="AU50" i="17"/>
  <c r="L50" i="25" s="1"/>
  <c r="BF51" i="17"/>
  <c r="BE51" i="17"/>
  <c r="AW51" i="17"/>
  <c r="AZ52" i="17"/>
  <c r="AX54" i="17"/>
  <c r="BG54" i="17"/>
  <c r="AU54" i="17"/>
  <c r="L54" i="25" s="1"/>
  <c r="BF55" i="17"/>
  <c r="BE55" i="17"/>
  <c r="AW55" i="17"/>
  <c r="AZ56" i="17"/>
  <c r="AX58" i="17"/>
  <c r="BG58" i="17"/>
  <c r="AU58" i="17"/>
  <c r="L58" i="25" s="1"/>
  <c r="BF59" i="17"/>
  <c r="BE59" i="17"/>
  <c r="AW59" i="17"/>
  <c r="AZ60" i="17"/>
  <c r="AX62" i="17"/>
  <c r="BG62" i="17"/>
  <c r="AU62" i="17"/>
  <c r="L62" i="25" s="1"/>
  <c r="BF63" i="17"/>
  <c r="BE63" i="17"/>
  <c r="AW63" i="17"/>
  <c r="AZ64" i="17"/>
  <c r="AX66" i="17"/>
  <c r="BG66" i="17"/>
  <c r="AU66" i="17"/>
  <c r="L66" i="25" s="1"/>
  <c r="BF67" i="17"/>
  <c r="BE67" i="17"/>
  <c r="AW67" i="17"/>
  <c r="AZ68" i="17"/>
  <c r="AX70" i="17"/>
  <c r="BG70" i="17"/>
  <c r="AU70" i="17"/>
  <c r="L70" i="25" s="1"/>
  <c r="BF71" i="17"/>
  <c r="BE71" i="17"/>
  <c r="AW71" i="17"/>
  <c r="AZ72" i="17"/>
  <c r="AX74" i="17"/>
  <c r="BG74" i="17"/>
  <c r="AU74" i="17"/>
  <c r="L74" i="25" s="1"/>
  <c r="BF75" i="17"/>
  <c r="BE75" i="17"/>
  <c r="AW75" i="17"/>
  <c r="AZ76" i="17"/>
  <c r="AX78" i="17"/>
  <c r="BG78" i="17"/>
  <c r="AU78" i="17"/>
  <c r="L78" i="25" s="1"/>
  <c r="BF79" i="17"/>
  <c r="BE79" i="17"/>
  <c r="AW79" i="17"/>
  <c r="AZ80" i="17"/>
  <c r="AX82" i="17"/>
  <c r="BG82" i="17"/>
  <c r="AU82" i="17"/>
  <c r="L82" i="25" s="1"/>
  <c r="BF83" i="17"/>
  <c r="BE83" i="17"/>
  <c r="AW83" i="17"/>
  <c r="AZ84" i="17"/>
  <c r="AX86" i="17"/>
  <c r="BG86" i="17"/>
  <c r="AU86" i="17"/>
  <c r="L86" i="25" s="1"/>
  <c r="BF87" i="17"/>
  <c r="BE87" i="17"/>
  <c r="AW87" i="17"/>
  <c r="AZ88" i="17"/>
  <c r="AX90" i="17"/>
  <c r="BG90" i="17"/>
  <c r="AU90" i="17"/>
  <c r="L90" i="25" s="1"/>
  <c r="BF91" i="17"/>
  <c r="BE91" i="17"/>
  <c r="AW91" i="17"/>
  <c r="AZ92" i="17"/>
  <c r="AX94" i="17"/>
  <c r="BG94" i="17"/>
  <c r="AU94" i="17"/>
  <c r="L94" i="25" s="1"/>
  <c r="BF95" i="17"/>
  <c r="BE95" i="17"/>
  <c r="AW95" i="17"/>
  <c r="AZ96" i="17"/>
  <c r="AX98" i="17"/>
  <c r="BG98" i="17"/>
  <c r="AU98" i="17"/>
  <c r="L98" i="25" s="1"/>
  <c r="BF99" i="17"/>
  <c r="BE99" i="17"/>
  <c r="AW99" i="17"/>
  <c r="AZ100" i="17"/>
  <c r="AX102" i="17"/>
  <c r="BG102" i="17"/>
  <c r="AU102" i="17"/>
  <c r="L102" i="25" s="1"/>
  <c r="BF103" i="17"/>
  <c r="BE103" i="17"/>
  <c r="AW103" i="17"/>
  <c r="AZ104" i="17"/>
  <c r="AX106" i="17"/>
  <c r="BG106" i="17"/>
  <c r="AU106" i="17"/>
  <c r="L106" i="25" s="1"/>
  <c r="BF107" i="17"/>
  <c r="BE107" i="17"/>
  <c r="AW107" i="17"/>
  <c r="AZ108" i="17"/>
  <c r="AX110" i="17"/>
  <c r="BG110" i="17"/>
  <c r="AU110" i="17"/>
  <c r="L110" i="25" s="1"/>
  <c r="BF111" i="17"/>
  <c r="BE111" i="17"/>
  <c r="AW111" i="17"/>
  <c r="AZ112" i="17"/>
  <c r="AX114" i="17"/>
  <c r="BG114" i="17"/>
  <c r="AU114" i="17"/>
  <c r="L114" i="25" s="1"/>
  <c r="BF115" i="17"/>
  <c r="BE115" i="17"/>
  <c r="AW115" i="17"/>
  <c r="AZ116" i="17"/>
  <c r="AX118" i="17"/>
  <c r="BG118" i="17"/>
  <c r="AU118" i="17"/>
  <c r="L118" i="25" s="1"/>
  <c r="BF119" i="17"/>
  <c r="BE119" i="17"/>
  <c r="AW119" i="17"/>
  <c r="AZ120" i="17"/>
  <c r="AX122" i="17"/>
  <c r="BG122" i="17"/>
  <c r="AU122" i="17"/>
  <c r="L122" i="25" s="1"/>
  <c r="BF123" i="17"/>
  <c r="BE123" i="17"/>
  <c r="AW123" i="17"/>
  <c r="AZ124" i="17"/>
  <c r="AX126" i="17"/>
  <c r="BG126" i="17"/>
  <c r="AU126" i="17"/>
  <c r="L126" i="25" s="1"/>
  <c r="BF127" i="17"/>
  <c r="BE127" i="17"/>
  <c r="AW127" i="17"/>
  <c r="AZ128" i="17"/>
  <c r="AX130" i="17"/>
  <c r="BG130" i="17"/>
  <c r="AU130" i="17"/>
  <c r="L130" i="25" s="1"/>
  <c r="BF131" i="17"/>
  <c r="BE131" i="17"/>
  <c r="AW131" i="17"/>
  <c r="AZ132" i="17"/>
  <c r="AX134" i="17"/>
  <c r="BG134" i="17"/>
  <c r="AU134" i="17"/>
  <c r="L134" i="25" s="1"/>
  <c r="BF135" i="17"/>
  <c r="BE135" i="17"/>
  <c r="AW135" i="17"/>
  <c r="AZ136" i="17"/>
  <c r="AX138" i="17"/>
  <c r="BG138" i="17"/>
  <c r="AU138" i="17"/>
  <c r="L138" i="25" s="1"/>
  <c r="BF139" i="17"/>
  <c r="BE139" i="17"/>
  <c r="AW139" i="17"/>
  <c r="AZ140" i="17"/>
  <c r="AX142" i="17"/>
  <c r="BG142" i="17"/>
  <c r="AU142" i="17"/>
  <c r="L142" i="25" s="1"/>
  <c r="BF143" i="17"/>
  <c r="BE143" i="17"/>
  <c r="AW143" i="17"/>
  <c r="AZ144" i="17"/>
  <c r="AX146" i="17"/>
  <c r="BG146" i="17"/>
  <c r="AU146" i="17"/>
  <c r="L146" i="25" s="1"/>
  <c r="BF147" i="17"/>
  <c r="BE147" i="17"/>
  <c r="AW147" i="17"/>
  <c r="AZ148" i="17"/>
  <c r="AX150" i="17"/>
  <c r="BG150" i="17"/>
  <c r="AU150" i="17"/>
  <c r="L150" i="25" s="1"/>
  <c r="BF151" i="17"/>
  <c r="BE151" i="17"/>
  <c r="AW151" i="17"/>
  <c r="AZ152" i="17"/>
  <c r="AX154" i="17"/>
  <c r="BG154" i="17"/>
  <c r="AU154" i="17"/>
  <c r="L154" i="25" s="1"/>
  <c r="BF155" i="17"/>
  <c r="BE155" i="17"/>
  <c r="AW155" i="17"/>
  <c r="AZ156" i="17"/>
  <c r="AX158" i="17"/>
  <c r="BG158" i="17"/>
  <c r="AU158" i="17"/>
  <c r="L158" i="25" s="1"/>
  <c r="BF159" i="17"/>
  <c r="BE159" i="17"/>
  <c r="AW159" i="17"/>
  <c r="AZ160" i="17"/>
  <c r="AX162" i="17"/>
  <c r="BG162" i="17"/>
  <c r="AU162" i="17"/>
  <c r="L162" i="25" s="1"/>
  <c r="BF163" i="17"/>
  <c r="BE163" i="17"/>
  <c r="AW163" i="17"/>
  <c r="AZ164" i="17"/>
  <c r="AX166" i="17"/>
  <c r="BG166" i="17"/>
  <c r="AU166" i="17"/>
  <c r="L166" i="25" s="1"/>
  <c r="BF167" i="17"/>
  <c r="BE167" i="17"/>
  <c r="AW167" i="17"/>
  <c r="AZ168" i="17"/>
  <c r="AX170" i="17"/>
  <c r="BG170" i="17"/>
  <c r="AU170" i="17"/>
  <c r="L170" i="25" s="1"/>
  <c r="BF171" i="17"/>
  <c r="BE171" i="17"/>
  <c r="AW171" i="17"/>
  <c r="AZ172" i="17"/>
  <c r="AX174" i="17"/>
  <c r="BG174" i="17"/>
  <c r="AU174" i="17"/>
  <c r="L174" i="25" s="1"/>
  <c r="BF175" i="17"/>
  <c r="BE175" i="17"/>
  <c r="AW175" i="17"/>
  <c r="AZ176" i="17"/>
  <c r="AX178" i="17"/>
  <c r="BG178" i="17"/>
  <c r="AU178" i="17"/>
  <c r="L178" i="25" s="1"/>
  <c r="BF179" i="17"/>
  <c r="BE179" i="17"/>
  <c r="AW179" i="17"/>
  <c r="AZ180" i="17"/>
  <c r="AX182" i="17"/>
  <c r="BG182" i="17"/>
  <c r="AU182" i="17"/>
  <c r="L182" i="25" s="1"/>
  <c r="BF183" i="17"/>
  <c r="BE183" i="17"/>
  <c r="AW183" i="17"/>
  <c r="AZ184" i="17"/>
  <c r="AX186" i="17"/>
  <c r="BG186" i="17"/>
  <c r="AU186" i="17"/>
  <c r="L186" i="25" s="1"/>
  <c r="BF187" i="17"/>
  <c r="BE187" i="17"/>
  <c r="AW187" i="17"/>
  <c r="AZ188" i="17"/>
  <c r="AX190" i="17"/>
  <c r="BG190" i="17"/>
  <c r="AU190" i="17"/>
  <c r="L190" i="25" s="1"/>
  <c r="BF191" i="17"/>
  <c r="BE191" i="17"/>
  <c r="AW191" i="17"/>
  <c r="AZ192" i="17"/>
  <c r="AX194" i="17"/>
  <c r="BG194" i="17"/>
  <c r="AU194" i="17"/>
  <c r="L194" i="25" s="1"/>
  <c r="BF195" i="17"/>
  <c r="BE195" i="17"/>
  <c r="AW195" i="17"/>
  <c r="AZ196" i="17"/>
  <c r="AX198" i="17"/>
  <c r="BG198" i="17"/>
  <c r="AU198" i="17"/>
  <c r="L198" i="25" s="1"/>
  <c r="BF199" i="17"/>
  <c r="BE199" i="17"/>
  <c r="AW199" i="17"/>
  <c r="AZ200" i="17"/>
  <c r="AX202" i="17"/>
  <c r="BG202" i="17"/>
  <c r="AU202" i="17"/>
  <c r="L202" i="25" s="1"/>
  <c r="BF203" i="17"/>
  <c r="BE203" i="17"/>
  <c r="AW203" i="17"/>
  <c r="AX206" i="17"/>
  <c r="BG206" i="17"/>
  <c r="AU206" i="17"/>
  <c r="L206" i="25" s="1"/>
  <c r="BF207" i="17"/>
  <c r="BE207" i="17"/>
  <c r="AW207" i="17"/>
  <c r="AZ208" i="17"/>
  <c r="AX210" i="17"/>
  <c r="BG210" i="17"/>
  <c r="AU210" i="17"/>
  <c r="L210" i="25" s="1"/>
  <c r="BF211" i="17"/>
  <c r="BE211" i="17"/>
  <c r="AW211" i="17"/>
  <c r="AZ212" i="17"/>
  <c r="AX214" i="17"/>
  <c r="BG214" i="17"/>
  <c r="AU214" i="17"/>
  <c r="L214" i="25" s="1"/>
  <c r="BF215" i="17"/>
  <c r="BE215" i="17"/>
  <c r="AW215" i="17"/>
  <c r="AZ216" i="17"/>
  <c r="AX218" i="17"/>
  <c r="BG218" i="17"/>
  <c r="AU218" i="17"/>
  <c r="L218" i="25" s="1"/>
  <c r="BF219" i="17"/>
  <c r="AW219" i="17"/>
  <c r="BE219" i="17"/>
  <c r="AZ220" i="17"/>
  <c r="AX222" i="17"/>
  <c r="BG222" i="17"/>
  <c r="AU222" i="17"/>
  <c r="L222" i="25" s="1"/>
  <c r="BF223" i="17"/>
  <c r="BE223" i="17"/>
  <c r="AW223" i="17"/>
  <c r="AZ224" i="17"/>
  <c r="AX226" i="17"/>
  <c r="BG226" i="17"/>
  <c r="AU226" i="17"/>
  <c r="L226" i="25" s="1"/>
  <c r="BF227" i="17"/>
  <c r="BE227" i="17"/>
  <c r="AW227" i="17"/>
  <c r="AZ228" i="17"/>
  <c r="AX230" i="17"/>
  <c r="BG230" i="17"/>
  <c r="AU230" i="17"/>
  <c r="L230" i="25" s="1"/>
  <c r="BF231" i="17"/>
  <c r="BE231" i="17"/>
  <c r="AW231" i="17"/>
  <c r="AZ232" i="17"/>
  <c r="AX234" i="17"/>
  <c r="BG234" i="17"/>
  <c r="AU234" i="17"/>
  <c r="L234" i="25" s="1"/>
  <c r="BF235" i="17"/>
  <c r="AW235" i="17"/>
  <c r="BE235" i="17"/>
  <c r="AZ236" i="17"/>
  <c r="AX238" i="17"/>
  <c r="BG238" i="17"/>
  <c r="AU238" i="17"/>
  <c r="L238" i="25" s="1"/>
  <c r="BF239" i="17"/>
  <c r="BE239" i="17"/>
  <c r="AW239" i="17"/>
  <c r="AZ240" i="17"/>
  <c r="AX242" i="17"/>
  <c r="BG242" i="17"/>
  <c r="AU242" i="17"/>
  <c r="L242" i="25" s="1"/>
  <c r="BF243" i="17"/>
  <c r="BE243" i="17"/>
  <c r="AW243" i="17"/>
  <c r="AZ244" i="17"/>
  <c r="AX246" i="17"/>
  <c r="BG246" i="17"/>
  <c r="AU246" i="17"/>
  <c r="L246" i="25" s="1"/>
  <c r="BF247" i="17"/>
  <c r="BE247" i="17"/>
  <c r="AW247" i="17"/>
  <c r="AZ248" i="17"/>
  <c r="AX250" i="17"/>
  <c r="BG250" i="17"/>
  <c r="AU250" i="17"/>
  <c r="L250" i="25" s="1"/>
  <c r="BF251" i="17"/>
  <c r="AW251" i="17"/>
  <c r="BE251" i="17"/>
  <c r="AZ252" i="17"/>
  <c r="AX254" i="17"/>
  <c r="BG254" i="17"/>
  <c r="AU254" i="17"/>
  <c r="L254" i="25" s="1"/>
  <c r="BF255" i="17"/>
  <c r="BE255" i="17"/>
  <c r="AW255" i="17"/>
  <c r="AZ256" i="17"/>
  <c r="AX258" i="17"/>
  <c r="BG258" i="17"/>
  <c r="AU258" i="17"/>
  <c r="L258" i="25" s="1"/>
  <c r="BF259" i="17"/>
  <c r="BE259" i="17"/>
  <c r="AW259" i="17"/>
  <c r="AZ260" i="17"/>
  <c r="AX262" i="17"/>
  <c r="BG262" i="17"/>
  <c r="AU262" i="17"/>
  <c r="L262" i="25" s="1"/>
  <c r="BF263" i="17"/>
  <c r="BE263" i="17"/>
  <c r="AW263" i="17"/>
  <c r="AZ264" i="17"/>
  <c r="AX266" i="17"/>
  <c r="BG266" i="17"/>
  <c r="AU266" i="17"/>
  <c r="L266" i="25" s="1"/>
  <c r="BF267" i="17"/>
  <c r="AW267" i="17"/>
  <c r="BE267" i="17"/>
  <c r="AZ268" i="17"/>
  <c r="AX270" i="17"/>
  <c r="BG270" i="17"/>
  <c r="AU270" i="17"/>
  <c r="L270" i="25" s="1"/>
  <c r="BF271" i="17"/>
  <c r="BE271" i="17"/>
  <c r="AW271" i="17"/>
  <c r="AZ272" i="17"/>
  <c r="AX274" i="17"/>
  <c r="BG274" i="17"/>
  <c r="AU274" i="17"/>
  <c r="L274" i="25" s="1"/>
  <c r="BF275" i="17"/>
  <c r="BE275" i="17"/>
  <c r="AW275" i="17"/>
  <c r="AZ276" i="17"/>
  <c r="AX278" i="17"/>
  <c r="BG278" i="17"/>
  <c r="AU278" i="17"/>
  <c r="L278" i="25" s="1"/>
  <c r="BF279" i="17"/>
  <c r="BE279" i="17"/>
  <c r="AW279" i="17"/>
  <c r="AZ280" i="17"/>
  <c r="AX282" i="17"/>
  <c r="BG282" i="17"/>
  <c r="AU282" i="17"/>
  <c r="L282" i="25" s="1"/>
  <c r="BF283" i="17"/>
  <c r="AW283" i="17"/>
  <c r="BE283" i="17"/>
  <c r="AZ284" i="17"/>
  <c r="AX286" i="17"/>
  <c r="BG286" i="17"/>
  <c r="AU286" i="17"/>
  <c r="L286" i="25" s="1"/>
  <c r="BF287" i="17"/>
  <c r="BE287" i="17"/>
  <c r="AW287" i="17"/>
  <c r="AZ288" i="17"/>
  <c r="AX290" i="17"/>
  <c r="BG290" i="17"/>
  <c r="AU290" i="17"/>
  <c r="L290" i="25" s="1"/>
  <c r="BF291" i="17"/>
  <c r="BE291" i="17"/>
  <c r="AW291" i="17"/>
  <c r="AZ292" i="17"/>
  <c r="AX294" i="17"/>
  <c r="BG294" i="17"/>
  <c r="AU294" i="17"/>
  <c r="L294" i="25" s="1"/>
  <c r="BF295" i="17"/>
  <c r="BE295" i="17"/>
  <c r="AW295" i="17"/>
  <c r="AZ296" i="17"/>
  <c r="AX298" i="17"/>
  <c r="BG298" i="17"/>
  <c r="AU298" i="17"/>
  <c r="L298" i="25" s="1"/>
  <c r="BF299" i="17"/>
  <c r="AW299" i="17"/>
  <c r="BE299" i="17"/>
  <c r="AZ300" i="17"/>
  <c r="AX302" i="17"/>
  <c r="BG302" i="17"/>
  <c r="AU302" i="17"/>
  <c r="L302" i="25" s="1"/>
  <c r="BF303" i="17"/>
  <c r="BE303" i="17"/>
  <c r="AW303" i="17"/>
  <c r="AZ304" i="17"/>
  <c r="AX306" i="17"/>
  <c r="BG306" i="17"/>
  <c r="AU306" i="17"/>
  <c r="L306" i="25" s="1"/>
  <c r="BF307" i="17"/>
  <c r="BE307" i="17"/>
  <c r="AW307" i="17"/>
  <c r="AZ308" i="17"/>
  <c r="AX310" i="17"/>
  <c r="BG310" i="17"/>
  <c r="AU310" i="17"/>
  <c r="L310" i="25" s="1"/>
  <c r="BF311" i="17"/>
  <c r="BE311" i="17"/>
  <c r="AW311" i="17"/>
  <c r="AZ312" i="17"/>
  <c r="AX314" i="17"/>
  <c r="BG314" i="17"/>
  <c r="AU314" i="17"/>
  <c r="L314" i="25" s="1"/>
  <c r="BF315" i="17"/>
  <c r="AW315" i="17"/>
  <c r="BE315" i="17"/>
  <c r="AZ316" i="17"/>
  <c r="AX318" i="17"/>
  <c r="BG318" i="17"/>
  <c r="AU318" i="17"/>
  <c r="L318" i="25" s="1"/>
  <c r="BF319" i="17"/>
  <c r="BE319" i="17"/>
  <c r="AW319" i="17"/>
  <c r="AZ320" i="17"/>
  <c r="AX322" i="17"/>
  <c r="BG322" i="17"/>
  <c r="AU322" i="17"/>
  <c r="L322" i="25" s="1"/>
  <c r="BF323" i="17"/>
  <c r="BE323" i="17"/>
  <c r="AW323" i="17"/>
  <c r="AZ324" i="17"/>
  <c r="AX326" i="17"/>
  <c r="BG326" i="17"/>
  <c r="AU326" i="17"/>
  <c r="L326" i="25" s="1"/>
  <c r="BF327" i="17"/>
  <c r="BE327" i="17"/>
  <c r="AW327" i="17"/>
  <c r="AZ328" i="17"/>
  <c r="AX330" i="17"/>
  <c r="BG330" i="17"/>
  <c r="AU330" i="17"/>
  <c r="L330" i="25" s="1"/>
  <c r="BF331" i="17"/>
  <c r="AW331" i="17"/>
  <c r="BE331" i="17"/>
  <c r="AZ332" i="17"/>
  <c r="AX334" i="17"/>
  <c r="BG334" i="17"/>
  <c r="AU334" i="17"/>
  <c r="L334" i="25" s="1"/>
  <c r="BF335" i="17"/>
  <c r="BE335" i="17"/>
  <c r="AW335" i="17"/>
  <c r="AZ336" i="17"/>
  <c r="AX338" i="17"/>
  <c r="BG338" i="17"/>
  <c r="AU338" i="17"/>
  <c r="L338" i="25" s="1"/>
  <c r="BF339" i="17"/>
  <c r="BE339" i="17"/>
  <c r="AW339" i="17"/>
  <c r="AZ340" i="17"/>
  <c r="AX342" i="17"/>
  <c r="BG342" i="17"/>
  <c r="AU342" i="17"/>
  <c r="L342" i="25" s="1"/>
  <c r="BF343" i="17"/>
  <c r="BE343" i="17"/>
  <c r="AW343" i="17"/>
  <c r="AZ344" i="17"/>
  <c r="AX346" i="17"/>
  <c r="BG346" i="17"/>
  <c r="AU346" i="17"/>
  <c r="L346" i="25" s="1"/>
  <c r="BF347" i="17"/>
  <c r="AW347" i="17"/>
  <c r="BE347" i="17"/>
  <c r="AZ348" i="17"/>
  <c r="AX350" i="17"/>
  <c r="BG350" i="17"/>
  <c r="AU350" i="17"/>
  <c r="L350" i="25" s="1"/>
  <c r="BF351" i="17"/>
  <c r="BE351" i="17"/>
  <c r="AW351" i="17"/>
  <c r="AZ352" i="17"/>
  <c r="AX354" i="17"/>
  <c r="BG354" i="17"/>
  <c r="AU354" i="17"/>
  <c r="L354" i="25" s="1"/>
  <c r="BF355" i="17"/>
  <c r="BE355" i="17"/>
  <c r="AW355" i="17"/>
  <c r="AZ356" i="17"/>
  <c r="AX358" i="17"/>
  <c r="BG358" i="17"/>
  <c r="AU358" i="17"/>
  <c r="L358" i="25" s="1"/>
  <c r="BF359" i="17"/>
  <c r="BE359" i="17"/>
  <c r="AW359" i="17"/>
  <c r="AZ360" i="17"/>
  <c r="AX362" i="17"/>
  <c r="BG362" i="17"/>
  <c r="AU362" i="17"/>
  <c r="L362" i="25" s="1"/>
  <c r="BF363" i="17"/>
  <c r="AW363" i="17"/>
  <c r="BE363" i="17"/>
  <c r="AZ364" i="17"/>
  <c r="AX366" i="17"/>
  <c r="BG366" i="17"/>
  <c r="AU366" i="17"/>
  <c r="L366" i="25" s="1"/>
  <c r="BF367" i="17"/>
  <c r="BE367" i="17"/>
  <c r="AW367" i="17"/>
  <c r="AZ368" i="17"/>
  <c r="AX370" i="17"/>
  <c r="BG370" i="17"/>
  <c r="AU370" i="17"/>
  <c r="L370" i="25" s="1"/>
  <c r="BF371" i="17"/>
  <c r="BE371" i="17"/>
  <c r="AW371" i="17"/>
  <c r="AZ372" i="17"/>
  <c r="AX374" i="17"/>
  <c r="BG374" i="17"/>
  <c r="AU374" i="17"/>
  <c r="L374" i="25" s="1"/>
  <c r="BF375" i="17"/>
  <c r="BE375" i="17"/>
  <c r="AW375" i="17"/>
  <c r="AZ376" i="17"/>
  <c r="AX378" i="17"/>
  <c r="BG378" i="17"/>
  <c r="AU378" i="17"/>
  <c r="L378" i="25" s="1"/>
  <c r="BF379" i="17"/>
  <c r="AW379" i="17"/>
  <c r="BE379" i="17"/>
  <c r="AZ380" i="17"/>
  <c r="AX382" i="17"/>
  <c r="BG382" i="17"/>
  <c r="AU382" i="17"/>
  <c r="L382" i="25" s="1"/>
  <c r="BF383" i="17"/>
  <c r="BE383" i="17"/>
  <c r="AW383" i="17"/>
  <c r="AZ384" i="17"/>
  <c r="AX386" i="17"/>
  <c r="BG386" i="17"/>
  <c r="AU386" i="17"/>
  <c r="L386" i="25" s="1"/>
  <c r="BF387" i="17"/>
  <c r="BE387" i="17"/>
  <c r="AW387" i="17"/>
  <c r="AZ388" i="17"/>
  <c r="AX390" i="17"/>
  <c r="BG390" i="17"/>
  <c r="AU390" i="17"/>
  <c r="L390" i="25" s="1"/>
  <c r="BF391" i="17"/>
  <c r="BE391" i="17"/>
  <c r="AW391" i="17"/>
  <c r="AZ392" i="17"/>
  <c r="AX394" i="17"/>
  <c r="BG394" i="17"/>
  <c r="AU394" i="17"/>
  <c r="L394" i="25" s="1"/>
  <c r="BF395" i="17"/>
  <c r="AW395" i="17"/>
  <c r="BE395" i="17"/>
  <c r="AZ396" i="17"/>
  <c r="AX398" i="17"/>
  <c r="BG398" i="17"/>
  <c r="AU398" i="17"/>
  <c r="L398" i="25" s="1"/>
  <c r="BF399" i="17"/>
  <c r="BE399" i="17"/>
  <c r="AW399" i="17"/>
  <c r="AZ400" i="17"/>
  <c r="AX402" i="17"/>
  <c r="BG402" i="17"/>
  <c r="AU402" i="17"/>
  <c r="L402" i="25" s="1"/>
  <c r="BE403" i="17"/>
  <c r="AW403" i="17"/>
  <c r="BG406" i="17"/>
  <c r="AU406" i="17"/>
  <c r="L406" i="25" s="1"/>
  <c r="BE407" i="17"/>
  <c r="AW407" i="17"/>
  <c r="BM409" i="19"/>
  <c r="BL409" i="19"/>
  <c r="BJ409" i="19"/>
  <c r="BI409" i="19"/>
  <c r="BH409" i="19"/>
  <c r="BK409" i="19"/>
  <c r="BG409" i="19"/>
  <c r="BM405" i="19"/>
  <c r="BK405" i="19"/>
  <c r="BL405" i="19"/>
  <c r="BJ405" i="19"/>
  <c r="BI405" i="19"/>
  <c r="BH405" i="19"/>
  <c r="BG405" i="19"/>
  <c r="BL401" i="19"/>
  <c r="BK401" i="19"/>
  <c r="BG401" i="19"/>
  <c r="BM401" i="19"/>
  <c r="BJ401" i="19"/>
  <c r="BI401" i="19"/>
  <c r="BH401" i="19"/>
  <c r="BL397" i="19"/>
  <c r="BJ397" i="19"/>
  <c r="BM397" i="19"/>
  <c r="BH397" i="19"/>
  <c r="BG397" i="19"/>
  <c r="BI397" i="19"/>
  <c r="BM393" i="19"/>
  <c r="BJ393" i="19"/>
  <c r="BK393" i="19"/>
  <c r="BI393" i="19"/>
  <c r="BL393" i="19"/>
  <c r="BH393" i="19"/>
  <c r="BG393" i="19"/>
  <c r="BM389" i="19"/>
  <c r="BK389" i="19"/>
  <c r="BL389" i="19"/>
  <c r="BI389" i="19"/>
  <c r="BJ389" i="19"/>
  <c r="BH389" i="19"/>
  <c r="BG389" i="19"/>
  <c r="BM385" i="19"/>
  <c r="BL385" i="19"/>
  <c r="BK385" i="19"/>
  <c r="BJ385" i="19"/>
  <c r="BG385" i="19"/>
  <c r="BI385" i="19"/>
  <c r="BH385" i="19"/>
  <c r="BM381" i="19"/>
  <c r="BL381" i="19"/>
  <c r="BH381" i="19"/>
  <c r="BJ381" i="19"/>
  <c r="BG381" i="19"/>
  <c r="BK381" i="19"/>
  <c r="BI381" i="19"/>
  <c r="BM377" i="19"/>
  <c r="BJ377" i="19"/>
  <c r="BL377" i="19"/>
  <c r="BK377" i="19"/>
  <c r="BI377" i="19"/>
  <c r="BH377" i="19"/>
  <c r="BG377" i="19"/>
  <c r="BL373" i="19"/>
  <c r="BK373" i="19"/>
  <c r="BI373" i="19"/>
  <c r="BH373" i="19"/>
  <c r="BG373" i="19"/>
  <c r="BM373" i="19"/>
  <c r="BJ373" i="19"/>
  <c r="BM369" i="19"/>
  <c r="BJ369" i="19"/>
  <c r="BL369" i="19"/>
  <c r="BG369" i="19"/>
  <c r="BK369" i="19"/>
  <c r="BI369" i="19"/>
  <c r="BH369" i="19"/>
  <c r="BL365" i="19"/>
  <c r="BM365" i="19"/>
  <c r="BJ365" i="19"/>
  <c r="BH365" i="19"/>
  <c r="BG365" i="19"/>
  <c r="BI365" i="19"/>
  <c r="BM361" i="19"/>
  <c r="BJ361" i="19"/>
  <c r="BL361" i="19"/>
  <c r="BI361" i="19"/>
  <c r="BK361" i="19"/>
  <c r="BH361" i="19"/>
  <c r="BG361" i="19"/>
  <c r="BM357" i="19"/>
  <c r="BK357" i="19"/>
  <c r="BL357" i="19"/>
  <c r="BJ357" i="19"/>
  <c r="BI357" i="19"/>
  <c r="BG357" i="19"/>
  <c r="BH357" i="19"/>
  <c r="BM353" i="19"/>
  <c r="BL353" i="19"/>
  <c r="BG353" i="19"/>
  <c r="BJ353" i="19"/>
  <c r="BI353" i="19"/>
  <c r="BH353" i="19"/>
  <c r="BK353" i="19"/>
  <c r="BL349" i="19"/>
  <c r="BK349" i="19"/>
  <c r="BJ349" i="19"/>
  <c r="BH349" i="19"/>
  <c r="BG349" i="19"/>
  <c r="BM349" i="19"/>
  <c r="BI349" i="19"/>
  <c r="BM345" i="19"/>
  <c r="BL345" i="19"/>
  <c r="BJ345" i="19"/>
  <c r="BK345" i="19"/>
  <c r="BI345" i="19"/>
  <c r="BH345" i="19"/>
  <c r="BG345" i="19"/>
  <c r="BK341" i="19"/>
  <c r="BJ341" i="19"/>
  <c r="BL341" i="19"/>
  <c r="BM341" i="19"/>
  <c r="BI341" i="19"/>
  <c r="BH341" i="19"/>
  <c r="BG341" i="19"/>
  <c r="BM337" i="19"/>
  <c r="BL337" i="19"/>
  <c r="BK337" i="19"/>
  <c r="BJ337" i="19"/>
  <c r="BG337" i="19"/>
  <c r="BI337" i="19"/>
  <c r="BH337" i="19"/>
  <c r="BM333" i="19"/>
  <c r="BL333" i="19"/>
  <c r="BJ333" i="19"/>
  <c r="BH333" i="19"/>
  <c r="BK333" i="19"/>
  <c r="BG333" i="19"/>
  <c r="BI333" i="19"/>
  <c r="BM329" i="19"/>
  <c r="BJ329" i="19"/>
  <c r="BL329" i="19"/>
  <c r="BK329" i="19"/>
  <c r="BI329" i="19"/>
  <c r="BH329" i="19"/>
  <c r="BG329" i="19"/>
  <c r="BM325" i="19"/>
  <c r="BK325" i="19"/>
  <c r="BJ325" i="19"/>
  <c r="BI325" i="19"/>
  <c r="BL325" i="19"/>
  <c r="BH325" i="19"/>
  <c r="BG325" i="19"/>
  <c r="BM321" i="19"/>
  <c r="BK321" i="19"/>
  <c r="BL321" i="19"/>
  <c r="BJ321" i="19"/>
  <c r="BG321" i="19"/>
  <c r="BI321" i="19"/>
  <c r="BH321" i="19"/>
  <c r="BM317" i="19"/>
  <c r="BL317" i="19"/>
  <c r="BK317" i="19"/>
  <c r="BH317" i="19"/>
  <c r="BG317" i="19"/>
  <c r="BJ317" i="19"/>
  <c r="BI317" i="19"/>
  <c r="BM313" i="19"/>
  <c r="BJ313" i="19"/>
  <c r="BK313" i="19"/>
  <c r="BL313" i="19"/>
  <c r="BI313" i="19"/>
  <c r="BH313" i="19"/>
  <c r="BG313" i="19"/>
  <c r="BM309" i="19"/>
  <c r="BL309" i="19"/>
  <c r="BK309" i="19"/>
  <c r="BJ309" i="19"/>
  <c r="BI309" i="19"/>
  <c r="BH309" i="19"/>
  <c r="BG309" i="19"/>
  <c r="BM305" i="19"/>
  <c r="BJ305" i="19"/>
  <c r="BG305" i="19"/>
  <c r="BK305" i="19"/>
  <c r="BL305" i="19"/>
  <c r="BI305" i="19"/>
  <c r="BH305" i="19"/>
  <c r="BM301" i="19"/>
  <c r="BL301" i="19"/>
  <c r="BK301" i="19"/>
  <c r="BH301" i="19"/>
  <c r="BG301" i="19"/>
  <c r="BJ301" i="19"/>
  <c r="BI301" i="19"/>
  <c r="BM297" i="19"/>
  <c r="BJ297" i="19"/>
  <c r="BL297" i="19"/>
  <c r="BI297" i="19"/>
  <c r="BH297" i="19"/>
  <c r="BG297" i="19"/>
  <c r="BK297" i="19"/>
  <c r="BM293" i="19"/>
  <c r="BK293" i="19"/>
  <c r="BL293" i="19"/>
  <c r="BJ293" i="19"/>
  <c r="BI293" i="19"/>
  <c r="BG293" i="19"/>
  <c r="BH293" i="19"/>
  <c r="BM289" i="19"/>
  <c r="BG289" i="19"/>
  <c r="BI289" i="19"/>
  <c r="BL289" i="19"/>
  <c r="BH289" i="19"/>
  <c r="BJ289" i="19"/>
  <c r="BM285" i="19"/>
  <c r="BL285" i="19"/>
  <c r="BK285" i="19"/>
  <c r="BJ285" i="19"/>
  <c r="BH285" i="19"/>
  <c r="BG285" i="19"/>
  <c r="BI285" i="19"/>
  <c r="BM281" i="19"/>
  <c r="BL281" i="19"/>
  <c r="BJ281" i="19"/>
  <c r="BI281" i="19"/>
  <c r="BH281" i="19"/>
  <c r="BK281" i="19"/>
  <c r="BG281" i="19"/>
  <c r="BM277" i="19"/>
  <c r="BJ277" i="19"/>
  <c r="BL277" i="19"/>
  <c r="BI277" i="19"/>
  <c r="BH277" i="19"/>
  <c r="BG277" i="19"/>
  <c r="BM273" i="19"/>
  <c r="BL273" i="19"/>
  <c r="BK273" i="19"/>
  <c r="BG273" i="19"/>
  <c r="BJ273" i="19"/>
  <c r="BI273" i="19"/>
  <c r="BH273" i="19"/>
  <c r="BM269" i="19"/>
  <c r="BL269" i="19"/>
  <c r="BJ269" i="19"/>
  <c r="BH269" i="19"/>
  <c r="BG269" i="19"/>
  <c r="BI269" i="19"/>
  <c r="BK269" i="19"/>
  <c r="BM265" i="19"/>
  <c r="BJ265" i="19"/>
  <c r="BL265" i="19"/>
  <c r="BK265" i="19"/>
  <c r="BI265" i="19"/>
  <c r="BH265" i="19"/>
  <c r="BG265" i="19"/>
  <c r="BM261" i="19"/>
  <c r="BK261" i="19"/>
  <c r="BL261" i="19"/>
  <c r="BI261" i="19"/>
  <c r="BJ261" i="19"/>
  <c r="BH261" i="19"/>
  <c r="BG261" i="19"/>
  <c r="BM257" i="19"/>
  <c r="BK257" i="19"/>
  <c r="BJ257" i="19"/>
  <c r="BL257" i="19"/>
  <c r="BG257" i="19"/>
  <c r="BI257" i="19"/>
  <c r="BH257" i="19"/>
  <c r="BM253" i="19"/>
  <c r="BL253" i="19"/>
  <c r="BH253" i="19"/>
  <c r="BJ253" i="19"/>
  <c r="BG253" i="19"/>
  <c r="BK253" i="19"/>
  <c r="BI253" i="19"/>
  <c r="BM249" i="19"/>
  <c r="BJ249" i="19"/>
  <c r="BK249" i="19"/>
  <c r="BI249" i="19"/>
  <c r="BH249" i="19"/>
  <c r="BL249" i="19"/>
  <c r="BG249" i="19"/>
  <c r="BM245" i="19"/>
  <c r="BL245" i="19"/>
  <c r="BK245" i="19"/>
  <c r="BI245" i="19"/>
  <c r="BJ245" i="19"/>
  <c r="BH245" i="19"/>
  <c r="BG245" i="19"/>
  <c r="BM241" i="19"/>
  <c r="BJ241" i="19"/>
  <c r="BG241" i="19"/>
  <c r="BL241" i="19"/>
  <c r="BI241" i="19"/>
  <c r="BK241" i="19"/>
  <c r="BH241" i="19"/>
  <c r="BM237" i="19"/>
  <c r="BL237" i="19"/>
  <c r="BK237" i="19"/>
  <c r="BJ237" i="19"/>
  <c r="BH237" i="19"/>
  <c r="BG237" i="19"/>
  <c r="BI237" i="19"/>
  <c r="BM233" i="19"/>
  <c r="BJ233" i="19"/>
  <c r="BI233" i="19"/>
  <c r="BK233" i="19"/>
  <c r="BH233" i="19"/>
  <c r="BG233" i="19"/>
  <c r="BL233" i="19"/>
  <c r="BM229" i="19"/>
  <c r="BK229" i="19"/>
  <c r="BJ229" i="19"/>
  <c r="BI229" i="19"/>
  <c r="BL229" i="19"/>
  <c r="BG229" i="19"/>
  <c r="BH229" i="19"/>
  <c r="BM225" i="19"/>
  <c r="BL225" i="19"/>
  <c r="BG225" i="19"/>
  <c r="BJ225" i="19"/>
  <c r="BK225" i="19"/>
  <c r="BI225" i="19"/>
  <c r="BH225" i="19"/>
  <c r="BM221" i="19"/>
  <c r="BL221" i="19"/>
  <c r="BK221" i="19"/>
  <c r="BJ221" i="19"/>
  <c r="BH221" i="19"/>
  <c r="BG221" i="19"/>
  <c r="BI221" i="19"/>
  <c r="BM217" i="19"/>
  <c r="BL217" i="19"/>
  <c r="BJ217" i="19"/>
  <c r="BI217" i="19"/>
  <c r="BH217" i="19"/>
  <c r="BG217" i="19"/>
  <c r="BM213" i="19"/>
  <c r="BK213" i="19"/>
  <c r="BJ213" i="19"/>
  <c r="BI213" i="19"/>
  <c r="BH213" i="19"/>
  <c r="BL213" i="19"/>
  <c r="BG213" i="19"/>
  <c r="BM209" i="19"/>
  <c r="BL209" i="19"/>
  <c r="BK209" i="19"/>
  <c r="BJ209" i="19"/>
  <c r="BG209" i="19"/>
  <c r="BI209" i="19"/>
  <c r="BH209" i="19"/>
  <c r="BM205" i="19"/>
  <c r="BL205" i="19"/>
  <c r="BJ205" i="19"/>
  <c r="BH205" i="19"/>
  <c r="BK205" i="19"/>
  <c r="BG205" i="19"/>
  <c r="BI205" i="19"/>
  <c r="BM201" i="19"/>
  <c r="BJ201" i="19"/>
  <c r="BK201" i="19"/>
  <c r="BL201" i="19"/>
  <c r="BI201" i="19"/>
  <c r="BH201" i="19"/>
  <c r="BG201" i="19"/>
  <c r="BM197" i="19"/>
  <c r="BK197" i="19"/>
  <c r="BL197" i="19"/>
  <c r="BJ197" i="19"/>
  <c r="BI197" i="19"/>
  <c r="BH197" i="19"/>
  <c r="BG197" i="19"/>
  <c r="BM193" i="19"/>
  <c r="BK193" i="19"/>
  <c r="BJ193" i="19"/>
  <c r="BG193" i="19"/>
  <c r="BI193" i="19"/>
  <c r="BH193" i="19"/>
  <c r="BL193" i="19"/>
  <c r="BM189" i="19"/>
  <c r="BL189" i="19"/>
  <c r="BK189" i="19"/>
  <c r="BH189" i="19"/>
  <c r="BG189" i="19"/>
  <c r="BJ189" i="19"/>
  <c r="BI189" i="19"/>
  <c r="BM185" i="19"/>
  <c r="BJ185" i="19"/>
  <c r="BI185" i="19"/>
  <c r="BL185" i="19"/>
  <c r="BH185" i="19"/>
  <c r="BG185" i="19"/>
  <c r="BM181" i="19"/>
  <c r="BL181" i="19"/>
  <c r="BK181" i="19"/>
  <c r="BJ181" i="19"/>
  <c r="BI181" i="19"/>
  <c r="BH181" i="19"/>
  <c r="BG181" i="19"/>
  <c r="BM177" i="19"/>
  <c r="BL177" i="19"/>
  <c r="BJ177" i="19"/>
  <c r="BG177" i="19"/>
  <c r="BK177" i="19"/>
  <c r="BI177" i="19"/>
  <c r="BH177" i="19"/>
  <c r="BM173" i="19"/>
  <c r="BL173" i="19"/>
  <c r="BK173" i="19"/>
  <c r="BH173" i="19"/>
  <c r="BG173" i="19"/>
  <c r="BI173" i="19"/>
  <c r="BJ173" i="19"/>
  <c r="BM169" i="19"/>
  <c r="BJ169" i="19"/>
  <c r="BL169" i="19"/>
  <c r="BI169" i="19"/>
  <c r="BH169" i="19"/>
  <c r="BG169" i="19"/>
  <c r="BK169" i="19"/>
  <c r="BM165" i="19"/>
  <c r="BK165" i="19"/>
  <c r="BJ165" i="19"/>
  <c r="BL165" i="19"/>
  <c r="BI165" i="19"/>
  <c r="BG165" i="19"/>
  <c r="BH165" i="19"/>
  <c r="BM161" i="19"/>
  <c r="BI161" i="19"/>
  <c r="BL161" i="19"/>
  <c r="BK161" i="19"/>
  <c r="BG161" i="19"/>
  <c r="BJ161" i="19"/>
  <c r="BH161" i="19"/>
  <c r="BM157" i="19"/>
  <c r="BL157" i="19"/>
  <c r="BI157" i="19"/>
  <c r="BK157" i="19"/>
  <c r="BJ157" i="19"/>
  <c r="BH157" i="19"/>
  <c r="BG157" i="19"/>
  <c r="BM153" i="19"/>
  <c r="BI153" i="19"/>
  <c r="BL153" i="19"/>
  <c r="BJ153" i="19"/>
  <c r="BH153" i="19"/>
  <c r="BK153" i="19"/>
  <c r="BG153" i="19"/>
  <c r="BM149" i="19"/>
  <c r="BI149" i="19"/>
  <c r="BK149" i="19"/>
  <c r="BL149" i="19"/>
  <c r="BJ149" i="19"/>
  <c r="BH149" i="19"/>
  <c r="BG149" i="19"/>
  <c r="BM145" i="19"/>
  <c r="BI145" i="19"/>
  <c r="BL145" i="19"/>
  <c r="BK145" i="19"/>
  <c r="BG145" i="19"/>
  <c r="BJ145" i="19"/>
  <c r="BH145" i="19"/>
  <c r="BM141" i="19"/>
  <c r="BL141" i="19"/>
  <c r="BI141" i="19"/>
  <c r="BJ141" i="19"/>
  <c r="BH141" i="19"/>
  <c r="BG141" i="19"/>
  <c r="BK141" i="19"/>
  <c r="BM137" i="19"/>
  <c r="BI137" i="19"/>
  <c r="BJ137" i="19"/>
  <c r="BK137" i="19"/>
  <c r="BH137" i="19"/>
  <c r="BG137" i="19"/>
  <c r="BL137" i="19"/>
  <c r="BM133" i="19"/>
  <c r="BI133" i="19"/>
  <c r="BK133" i="19"/>
  <c r="BL133" i="19"/>
  <c r="BJ133" i="19"/>
  <c r="BH133" i="19"/>
  <c r="BG133" i="19"/>
  <c r="BM129" i="19"/>
  <c r="BI129" i="19"/>
  <c r="BL129" i="19"/>
  <c r="BK129" i="19"/>
  <c r="BJ129" i="19"/>
  <c r="BG129" i="19"/>
  <c r="BH129" i="19"/>
  <c r="BM125" i="19"/>
  <c r="BL125" i="19"/>
  <c r="BI125" i="19"/>
  <c r="BH125" i="19"/>
  <c r="BJ125" i="19"/>
  <c r="BG125" i="19"/>
  <c r="BK125" i="19"/>
  <c r="BM121" i="19"/>
  <c r="BK121" i="19"/>
  <c r="BI121" i="19"/>
  <c r="BJ121" i="19"/>
  <c r="BL121" i="19"/>
  <c r="BH121" i="19"/>
  <c r="BG121" i="19"/>
  <c r="BM117" i="19"/>
  <c r="BK117" i="19"/>
  <c r="BI117" i="19"/>
  <c r="BL117" i="19"/>
  <c r="BH117" i="19"/>
  <c r="BG117" i="19"/>
  <c r="BJ117" i="19"/>
  <c r="BM113" i="19"/>
  <c r="BK113" i="19"/>
  <c r="BI113" i="19"/>
  <c r="BJ113" i="19"/>
  <c r="BL113" i="19"/>
  <c r="BG113" i="19"/>
  <c r="BH113" i="19"/>
  <c r="BM109" i="19"/>
  <c r="BK109" i="19"/>
  <c r="BL109" i="19"/>
  <c r="BI109" i="19"/>
  <c r="BJ109" i="19"/>
  <c r="BH109" i="19"/>
  <c r="BG109" i="19"/>
  <c r="BM105" i="19"/>
  <c r="BK105" i="19"/>
  <c r="BI105" i="19"/>
  <c r="BJ105" i="19"/>
  <c r="BL105" i="19"/>
  <c r="BH105" i="19"/>
  <c r="BG105" i="19"/>
  <c r="BM101" i="19"/>
  <c r="BK101" i="19"/>
  <c r="BI101" i="19"/>
  <c r="BL101" i="19"/>
  <c r="BJ101" i="19"/>
  <c r="BH101" i="19"/>
  <c r="BG101" i="19"/>
  <c r="BM97" i="19"/>
  <c r="BK97" i="19"/>
  <c r="BI97" i="19"/>
  <c r="BG97" i="19"/>
  <c r="BJ97" i="19"/>
  <c r="BL97" i="19"/>
  <c r="BH97" i="19"/>
  <c r="BM93" i="19"/>
  <c r="BL93" i="19"/>
  <c r="BK93" i="19"/>
  <c r="BI93" i="19"/>
  <c r="BJ93" i="19"/>
  <c r="BH93" i="19"/>
  <c r="BG93" i="19"/>
  <c r="BM89" i="19"/>
  <c r="BK89" i="19"/>
  <c r="BL89" i="19"/>
  <c r="BI89" i="19"/>
  <c r="BJ89" i="19"/>
  <c r="BH89" i="19"/>
  <c r="BG89" i="19"/>
  <c r="BM85" i="19"/>
  <c r="BK85" i="19"/>
  <c r="BI85" i="19"/>
  <c r="BJ85" i="19"/>
  <c r="BL85" i="19"/>
  <c r="BH85" i="19"/>
  <c r="BG85" i="19"/>
  <c r="BM81" i="19"/>
  <c r="BK81" i="19"/>
  <c r="BL81" i="19"/>
  <c r="BI81" i="19"/>
  <c r="BJ81" i="19"/>
  <c r="BG81" i="19"/>
  <c r="BH81" i="19"/>
  <c r="BM77" i="19"/>
  <c r="BL77" i="19"/>
  <c r="BK77" i="19"/>
  <c r="BI77" i="19"/>
  <c r="BJ77" i="19"/>
  <c r="BH77" i="19"/>
  <c r="BG77" i="19"/>
  <c r="BM73" i="19"/>
  <c r="BK73" i="19"/>
  <c r="BI73" i="19"/>
  <c r="BL73" i="19"/>
  <c r="BJ73" i="19"/>
  <c r="BH73" i="19"/>
  <c r="BG73" i="19"/>
  <c r="BM69" i="19"/>
  <c r="BK69" i="19"/>
  <c r="BI69" i="19"/>
  <c r="BJ69" i="19"/>
  <c r="BL69" i="19"/>
  <c r="BH69" i="19"/>
  <c r="BG69" i="19"/>
  <c r="BM65" i="19"/>
  <c r="BK65" i="19"/>
  <c r="BI65" i="19"/>
  <c r="BL65" i="19"/>
  <c r="BJ65" i="19"/>
  <c r="BG65" i="19"/>
  <c r="BH65" i="19"/>
  <c r="BM61" i="19"/>
  <c r="BL61" i="19"/>
  <c r="BI61" i="19"/>
  <c r="BH61" i="19"/>
  <c r="BG61" i="19"/>
  <c r="BJ61" i="19"/>
  <c r="BM57" i="19"/>
  <c r="BK57" i="19"/>
  <c r="BI57" i="19"/>
  <c r="BJ57" i="19"/>
  <c r="BL57" i="19"/>
  <c r="BH57" i="19"/>
  <c r="BG57" i="19"/>
  <c r="BM53" i="19"/>
  <c r="BK53" i="19"/>
  <c r="BL53" i="19"/>
  <c r="BI53" i="19"/>
  <c r="BJ53" i="19"/>
  <c r="BH53" i="19"/>
  <c r="BG53" i="19"/>
  <c r="BM49" i="19"/>
  <c r="BK49" i="19"/>
  <c r="BI49" i="19"/>
  <c r="BL49" i="19"/>
  <c r="BJ49" i="19"/>
  <c r="BG49" i="19"/>
  <c r="BH49" i="19"/>
  <c r="BM45" i="19"/>
  <c r="BL45" i="19"/>
  <c r="BK45" i="19"/>
  <c r="BI45" i="19"/>
  <c r="BH45" i="19"/>
  <c r="BG45" i="19"/>
  <c r="BJ45" i="19"/>
  <c r="BM41" i="19"/>
  <c r="BI41" i="19"/>
  <c r="BJ41" i="19"/>
  <c r="BL41" i="19"/>
  <c r="BH41" i="19"/>
  <c r="BG41" i="19"/>
  <c r="BM37" i="19"/>
  <c r="BI37" i="19"/>
  <c r="BL37" i="19"/>
  <c r="BJ37" i="19"/>
  <c r="BH37" i="19"/>
  <c r="BG37" i="19"/>
  <c r="BM33" i="19"/>
  <c r="BK33" i="19"/>
  <c r="BI33" i="19"/>
  <c r="BG33" i="19"/>
  <c r="BL33" i="19"/>
  <c r="BH33" i="19"/>
  <c r="BJ33" i="19"/>
  <c r="BM29" i="19"/>
  <c r="BL29" i="19"/>
  <c r="BK29" i="19"/>
  <c r="BI29" i="19"/>
  <c r="BJ29" i="19"/>
  <c r="BH29" i="19"/>
  <c r="BG29" i="19"/>
  <c r="BM25" i="19"/>
  <c r="BK25" i="19"/>
  <c r="BL25" i="19"/>
  <c r="BI25" i="19"/>
  <c r="BJ25" i="19"/>
  <c r="BH25" i="19"/>
  <c r="BG25" i="19"/>
  <c r="BM21" i="19"/>
  <c r="BK21" i="19"/>
  <c r="BI21" i="19"/>
  <c r="BJ21" i="19"/>
  <c r="BH21" i="19"/>
  <c r="BG21" i="19"/>
  <c r="BL21" i="19"/>
  <c r="BM17" i="19"/>
  <c r="BK17" i="19"/>
  <c r="BL17" i="19"/>
  <c r="BI17" i="19"/>
  <c r="BG17" i="19"/>
  <c r="BJ17" i="19"/>
  <c r="BH17" i="19"/>
  <c r="BM13" i="19"/>
  <c r="BL13" i="19"/>
  <c r="BK13" i="19"/>
  <c r="BI13" i="19"/>
  <c r="BJ13" i="19"/>
  <c r="BH13" i="19"/>
  <c r="BG13" i="19"/>
  <c r="BM9" i="19"/>
  <c r="BK9" i="19"/>
  <c r="BI9" i="19"/>
  <c r="BJ9" i="19"/>
  <c r="BL9" i="19"/>
  <c r="BH9" i="19"/>
  <c r="BG9" i="19"/>
  <c r="BM5" i="19"/>
  <c r="BK5" i="19"/>
  <c r="BI5" i="19"/>
  <c r="BL5" i="19"/>
  <c r="BH5" i="19"/>
  <c r="BG5" i="19"/>
  <c r="BJ5" i="19"/>
  <c r="BD409" i="19"/>
  <c r="BB409" i="19"/>
  <c r="BC409" i="19"/>
  <c r="BA409" i="19"/>
  <c r="AZ409" i="19"/>
  <c r="BD405" i="19"/>
  <c r="BB405" i="19"/>
  <c r="BC405" i="19"/>
  <c r="BA405" i="19"/>
  <c r="AZ405" i="19"/>
  <c r="BD397" i="19"/>
  <c r="BB397" i="19"/>
  <c r="BC397" i="19"/>
  <c r="BA397" i="19"/>
  <c r="AZ397" i="19"/>
  <c r="BD389" i="19"/>
  <c r="BB389" i="19"/>
  <c r="BC389" i="19"/>
  <c r="BA389" i="19"/>
  <c r="AZ389" i="19"/>
  <c r="BD385" i="19"/>
  <c r="BB385" i="19"/>
  <c r="BC385" i="19"/>
  <c r="BA385" i="19"/>
  <c r="AZ385" i="19"/>
  <c r="BD381" i="19"/>
  <c r="BB381" i="19"/>
  <c r="BC381" i="19"/>
  <c r="BA381" i="19"/>
  <c r="AZ381" i="19"/>
  <c r="BD373" i="19"/>
  <c r="BB373" i="19"/>
  <c r="BC373" i="19"/>
  <c r="BA373" i="19"/>
  <c r="AZ373" i="19"/>
  <c r="BD357" i="19"/>
  <c r="BB357" i="19"/>
  <c r="BC357" i="19"/>
  <c r="BA357" i="19"/>
  <c r="AZ357" i="19"/>
  <c r="BD349" i="19"/>
  <c r="BB349" i="19"/>
  <c r="BC349" i="19"/>
  <c r="BA349" i="19"/>
  <c r="AZ349" i="19"/>
  <c r="BD345" i="19"/>
  <c r="BB345" i="19"/>
  <c r="BC345" i="19"/>
  <c r="BA345" i="19"/>
  <c r="AZ345" i="19"/>
  <c r="BD341" i="19"/>
  <c r="BB341" i="19"/>
  <c r="BC341" i="19"/>
  <c r="BA341" i="19"/>
  <c r="AZ341" i="19"/>
  <c r="BD329" i="19"/>
  <c r="BB329" i="19"/>
  <c r="BC329" i="19"/>
  <c r="BA329" i="19"/>
  <c r="AZ329" i="19"/>
  <c r="BD321" i="19"/>
  <c r="BB321" i="19"/>
  <c r="BC321" i="19"/>
  <c r="BA321" i="19"/>
  <c r="AZ321" i="19"/>
  <c r="BD317" i="19"/>
  <c r="BB317" i="19"/>
  <c r="BC317" i="19"/>
  <c r="BA317" i="19"/>
  <c r="AZ317" i="19"/>
  <c r="BD309" i="19"/>
  <c r="BB309" i="19"/>
  <c r="BC309" i="19"/>
  <c r="BA309" i="19"/>
  <c r="AZ309" i="19"/>
  <c r="BD305" i="19"/>
  <c r="BB305" i="19"/>
  <c r="BC305" i="19"/>
  <c r="BA305" i="19"/>
  <c r="AZ305" i="19"/>
  <c r="BD297" i="19"/>
  <c r="BB297" i="19"/>
  <c r="BC297" i="19"/>
  <c r="BA297" i="19"/>
  <c r="AZ297" i="19"/>
  <c r="BD293" i="19"/>
  <c r="BB293" i="19"/>
  <c r="BC293" i="19"/>
  <c r="BA293" i="19"/>
  <c r="AZ293" i="19"/>
  <c r="BD289" i="19"/>
  <c r="BB289" i="19"/>
  <c r="BC289" i="19"/>
  <c r="BA289" i="19"/>
  <c r="AZ289" i="19"/>
  <c r="BD281" i="19"/>
  <c r="BB281" i="19"/>
  <c r="BC281" i="19"/>
  <c r="BA281" i="19"/>
  <c r="AZ281" i="19"/>
  <c r="BD269" i="19"/>
  <c r="BB269" i="19"/>
  <c r="BC269" i="19"/>
  <c r="BA269" i="19"/>
  <c r="AZ269" i="19"/>
  <c r="BD265" i="19"/>
  <c r="BB265" i="19"/>
  <c r="BC265" i="19"/>
  <c r="BA265" i="19"/>
  <c r="AZ265" i="19"/>
  <c r="BD261" i="19"/>
  <c r="BB261" i="19"/>
  <c r="BC261" i="19"/>
  <c r="BA261" i="19"/>
  <c r="AZ261" i="19"/>
  <c r="BD257" i="19"/>
  <c r="BB257" i="19"/>
  <c r="BC257" i="19"/>
  <c r="BA257" i="19"/>
  <c r="AZ257" i="19"/>
  <c r="BD253" i="19"/>
  <c r="BB253" i="19"/>
  <c r="BC253" i="19"/>
  <c r="BA253" i="19"/>
  <c r="AZ253" i="19"/>
  <c r="BD249" i="19"/>
  <c r="BB249" i="19"/>
  <c r="BC249" i="19"/>
  <c r="BA249" i="19"/>
  <c r="AZ249" i="19"/>
  <c r="BD245" i="19"/>
  <c r="BB245" i="19"/>
  <c r="BC245" i="19"/>
  <c r="BA245" i="19"/>
  <c r="AZ245" i="19"/>
  <c r="BB237" i="19"/>
  <c r="BC237" i="19"/>
  <c r="BD237" i="19"/>
  <c r="BA237" i="19"/>
  <c r="AZ237" i="19"/>
  <c r="BB233" i="19"/>
  <c r="BC233" i="19"/>
  <c r="BD233" i="19"/>
  <c r="BA233" i="19"/>
  <c r="AZ233" i="19"/>
  <c r="BD229" i="19"/>
  <c r="BB229" i="19"/>
  <c r="BC229" i="19"/>
  <c r="BA229" i="19"/>
  <c r="AZ229" i="19"/>
  <c r="BD225" i="19"/>
  <c r="BB225" i="19"/>
  <c r="BC225" i="19"/>
  <c r="BA225" i="19"/>
  <c r="AZ225" i="19"/>
  <c r="BD217" i="19"/>
  <c r="BB217" i="19"/>
  <c r="BC217" i="19"/>
  <c r="BA217" i="19"/>
  <c r="AZ217" i="19"/>
  <c r="BD213" i="19"/>
  <c r="BB213" i="19"/>
  <c r="BC213" i="19"/>
  <c r="BA213" i="19"/>
  <c r="AZ213" i="19"/>
  <c r="BD209" i="19"/>
  <c r="BB209" i="19"/>
  <c r="BC209" i="19"/>
  <c r="BA209" i="19"/>
  <c r="AZ209" i="19"/>
  <c r="BB205" i="19"/>
  <c r="BC205" i="19"/>
  <c r="BD205" i="19"/>
  <c r="BA205" i="19"/>
  <c r="AZ205" i="19"/>
  <c r="BB201" i="19"/>
  <c r="BC201" i="19"/>
  <c r="BD201" i="19"/>
  <c r="BA201" i="19"/>
  <c r="AZ201" i="19"/>
  <c r="BD197" i="19"/>
  <c r="BB197" i="19"/>
  <c r="BC197" i="19"/>
  <c r="BA197" i="19"/>
  <c r="AZ197" i="19"/>
  <c r="BD193" i="19"/>
  <c r="BB193" i="19"/>
  <c r="BC193" i="19"/>
  <c r="BA193" i="19"/>
  <c r="AZ193" i="19"/>
  <c r="BB189" i="19"/>
  <c r="BD189" i="19"/>
  <c r="BC189" i="19"/>
  <c r="BA189" i="19"/>
  <c r="AZ189" i="19"/>
  <c r="BD177" i="19"/>
  <c r="BB177" i="19"/>
  <c r="BC177" i="19"/>
  <c r="BA177" i="19"/>
  <c r="AZ177" i="19"/>
  <c r="BB169" i="19"/>
  <c r="BC169" i="19"/>
  <c r="BD169" i="19"/>
  <c r="BA169" i="19"/>
  <c r="AZ169" i="19"/>
  <c r="BD165" i="19"/>
  <c r="BB165" i="19"/>
  <c r="BC165" i="19"/>
  <c r="BA165" i="19"/>
  <c r="AZ165" i="19"/>
  <c r="BD161" i="19"/>
  <c r="BB161" i="19"/>
  <c r="BC161" i="19"/>
  <c r="BA161" i="19"/>
  <c r="AZ161" i="19"/>
  <c r="BB157" i="19"/>
  <c r="BD157" i="19"/>
  <c r="BC157" i="19"/>
  <c r="BA157" i="19"/>
  <c r="AZ157" i="19"/>
  <c r="BD153" i="19"/>
  <c r="BB153" i="19"/>
  <c r="BC153" i="19"/>
  <c r="BA153" i="19"/>
  <c r="AZ153" i="19"/>
  <c r="BD149" i="19"/>
  <c r="BB149" i="19"/>
  <c r="BC149" i="19"/>
  <c r="BA149" i="19"/>
  <c r="AZ149" i="19"/>
  <c r="BB137" i="19"/>
  <c r="BC137" i="19"/>
  <c r="BD137" i="19"/>
  <c r="BA137" i="19"/>
  <c r="AZ137" i="19"/>
  <c r="BD133" i="19"/>
  <c r="BB133" i="19"/>
  <c r="BC133" i="19"/>
  <c r="BA133" i="19"/>
  <c r="AZ133" i="19"/>
  <c r="BD121" i="19"/>
  <c r="BB121" i="19"/>
  <c r="BC121" i="19"/>
  <c r="BA121" i="19"/>
  <c r="AZ121" i="19"/>
  <c r="BD113" i="19"/>
  <c r="BB113" i="19"/>
  <c r="BC113" i="19"/>
  <c r="BA113" i="19"/>
  <c r="AZ113" i="19"/>
  <c r="BB109" i="19"/>
  <c r="BD109" i="19"/>
  <c r="BC109" i="19"/>
  <c r="BA109" i="19"/>
  <c r="AZ109" i="19"/>
  <c r="BD101" i="19"/>
  <c r="BB101" i="19"/>
  <c r="BC101" i="19"/>
  <c r="BA101" i="19"/>
  <c r="AZ101" i="19"/>
  <c r="BD89" i="19"/>
  <c r="BB89" i="19"/>
  <c r="BC89" i="19"/>
  <c r="BA89" i="19"/>
  <c r="AZ89" i="19"/>
  <c r="BD85" i="19"/>
  <c r="BB85" i="19"/>
  <c r="BC85" i="19"/>
  <c r="BA85" i="19"/>
  <c r="AZ85" i="19"/>
  <c r="BD81" i="19"/>
  <c r="BB81" i="19"/>
  <c r="BC81" i="19"/>
  <c r="BA81" i="19"/>
  <c r="AZ81" i="19"/>
  <c r="BC77" i="19"/>
  <c r="BB77" i="19"/>
  <c r="BD77" i="19"/>
  <c r="BA77" i="19"/>
  <c r="AZ77" i="19"/>
  <c r="BD69" i="19"/>
  <c r="BC69" i="19"/>
  <c r="BB69" i="19"/>
  <c r="BA69" i="19"/>
  <c r="AZ69" i="19"/>
  <c r="BD57" i="19"/>
  <c r="BC57" i="19"/>
  <c r="BB57" i="19"/>
  <c r="BA57" i="19"/>
  <c r="AZ57" i="19"/>
  <c r="BC53" i="19"/>
  <c r="BB53" i="19"/>
  <c r="BD53" i="19"/>
  <c r="BA53" i="19"/>
  <c r="AZ53" i="19"/>
  <c r="BD45" i="19"/>
  <c r="BC45" i="19"/>
  <c r="BB45" i="19"/>
  <c r="BA45" i="19"/>
  <c r="AZ45" i="19"/>
  <c r="BD29" i="19"/>
  <c r="BC29" i="19"/>
  <c r="BB29" i="19"/>
  <c r="BA29" i="19"/>
  <c r="AZ29" i="19"/>
  <c r="BC25" i="19"/>
  <c r="BD25" i="19"/>
  <c r="BB25" i="19"/>
  <c r="BA25" i="19"/>
  <c r="AZ25" i="19"/>
  <c r="BD21" i="19"/>
  <c r="BC21" i="19"/>
  <c r="BB21" i="19"/>
  <c r="BA21" i="19"/>
  <c r="AZ21" i="19"/>
  <c r="BC17" i="19"/>
  <c r="BB17" i="19"/>
  <c r="BD17" i="19"/>
  <c r="BA17" i="19"/>
  <c r="AZ17" i="19"/>
  <c r="BD13" i="19"/>
  <c r="BC13" i="19"/>
  <c r="BB13" i="19"/>
  <c r="BA13" i="19"/>
  <c r="AZ13" i="19"/>
  <c r="BC5" i="19"/>
  <c r="BD5" i="19"/>
  <c r="BB5" i="19"/>
  <c r="BA5" i="19"/>
  <c r="AZ5" i="19"/>
  <c r="AX3" i="17"/>
  <c r="BG3" i="17"/>
  <c r="AU3" i="17"/>
  <c r="L3" i="25" s="1"/>
  <c r="BF4" i="17"/>
  <c r="BE4" i="17"/>
  <c r="AW4" i="17"/>
  <c r="AZ5" i="17"/>
  <c r="AX7" i="17"/>
  <c r="BG7" i="17"/>
  <c r="AU7" i="17"/>
  <c r="L7" i="25" s="1"/>
  <c r="BF8" i="17"/>
  <c r="BE8" i="17"/>
  <c r="AW8" i="17"/>
  <c r="AZ9" i="17"/>
  <c r="AX11" i="17"/>
  <c r="BG11" i="17"/>
  <c r="AU11" i="17"/>
  <c r="L11" i="25" s="1"/>
  <c r="BF12" i="17"/>
  <c r="BE12" i="17"/>
  <c r="AW12" i="17"/>
  <c r="AZ13" i="17"/>
  <c r="AX15" i="17"/>
  <c r="BG15" i="17"/>
  <c r="AU15" i="17"/>
  <c r="L15" i="25" s="1"/>
  <c r="BF16" i="17"/>
  <c r="BE16" i="17"/>
  <c r="AW16" i="17"/>
  <c r="AZ17" i="17"/>
  <c r="AX19" i="17"/>
  <c r="BG19" i="17"/>
  <c r="AU19" i="17"/>
  <c r="L19" i="25" s="1"/>
  <c r="BF20" i="17"/>
  <c r="BE20" i="17"/>
  <c r="AW20" i="17"/>
  <c r="AZ21" i="17"/>
  <c r="AX23" i="17"/>
  <c r="BG23" i="17"/>
  <c r="AU23" i="17"/>
  <c r="L23" i="25" s="1"/>
  <c r="BF24" i="17"/>
  <c r="BE24" i="17"/>
  <c r="AW24" i="17"/>
  <c r="AZ25" i="17"/>
  <c r="AX27" i="17"/>
  <c r="BG27" i="17"/>
  <c r="AU27" i="17"/>
  <c r="L27" i="25" s="1"/>
  <c r="BF28" i="17"/>
  <c r="BE28" i="17"/>
  <c r="AW28" i="17"/>
  <c r="AZ29" i="17"/>
  <c r="AX31" i="17"/>
  <c r="BG31" i="17"/>
  <c r="AU31" i="17"/>
  <c r="L31" i="25" s="1"/>
  <c r="BF32" i="17"/>
  <c r="BE32" i="17"/>
  <c r="AW32" i="17"/>
  <c r="AZ33" i="17"/>
  <c r="AX35" i="17"/>
  <c r="BG35" i="17"/>
  <c r="AU35" i="17"/>
  <c r="L35" i="25" s="1"/>
  <c r="BF36" i="17"/>
  <c r="BE36" i="17"/>
  <c r="AW36" i="17"/>
  <c r="AZ37" i="17"/>
  <c r="AX39" i="17"/>
  <c r="BG39" i="17"/>
  <c r="AU39" i="17"/>
  <c r="L39" i="25" s="1"/>
  <c r="BF40" i="17"/>
  <c r="BE40" i="17"/>
  <c r="AW40" i="17"/>
  <c r="AZ41" i="17"/>
  <c r="AX43" i="17"/>
  <c r="BG43" i="17"/>
  <c r="AU43" i="17"/>
  <c r="L43" i="25" s="1"/>
  <c r="BF44" i="17"/>
  <c r="BE44" i="17"/>
  <c r="AW44" i="17"/>
  <c r="AZ45" i="17"/>
  <c r="AX47" i="17"/>
  <c r="BG47" i="17"/>
  <c r="AU47" i="17"/>
  <c r="L47" i="25" s="1"/>
  <c r="BF48" i="17"/>
  <c r="BE48" i="17"/>
  <c r="AW48" i="17"/>
  <c r="AZ49" i="17"/>
  <c r="AX51" i="17"/>
  <c r="BG51" i="17"/>
  <c r="AU51" i="17"/>
  <c r="L51" i="25" s="1"/>
  <c r="BF52" i="17"/>
  <c r="BE52" i="17"/>
  <c r="AW52" i="17"/>
  <c r="AZ53" i="17"/>
  <c r="AX55" i="17"/>
  <c r="BG55" i="17"/>
  <c r="AU55" i="17"/>
  <c r="L55" i="25" s="1"/>
  <c r="BF56" i="17"/>
  <c r="BE56" i="17"/>
  <c r="AW56" i="17"/>
  <c r="AZ57" i="17"/>
  <c r="AX59" i="17"/>
  <c r="BG59" i="17"/>
  <c r="AU59" i="17"/>
  <c r="L59" i="25" s="1"/>
  <c r="BF60" i="17"/>
  <c r="BE60" i="17"/>
  <c r="AW60" i="17"/>
  <c r="AZ61" i="17"/>
  <c r="AX63" i="17"/>
  <c r="BG63" i="17"/>
  <c r="AU63" i="17"/>
  <c r="L63" i="25" s="1"/>
  <c r="BF64" i="17"/>
  <c r="BE64" i="17"/>
  <c r="AW64" i="17"/>
  <c r="AZ65" i="17"/>
  <c r="AX67" i="17"/>
  <c r="BG67" i="17"/>
  <c r="AU67" i="17"/>
  <c r="L67" i="25" s="1"/>
  <c r="BF68" i="17"/>
  <c r="BE68" i="17"/>
  <c r="AW68" i="17"/>
  <c r="AZ69" i="17"/>
  <c r="AX71" i="17"/>
  <c r="BG71" i="17"/>
  <c r="AU71" i="17"/>
  <c r="L71" i="25" s="1"/>
  <c r="BF72" i="17"/>
  <c r="BE72" i="17"/>
  <c r="AW72" i="17"/>
  <c r="AZ73" i="17"/>
  <c r="AX75" i="17"/>
  <c r="BG75" i="17"/>
  <c r="AU75" i="17"/>
  <c r="L75" i="25" s="1"/>
  <c r="BF76" i="17"/>
  <c r="BE76" i="17"/>
  <c r="AW76" i="17"/>
  <c r="AZ77" i="17"/>
  <c r="AX79" i="17"/>
  <c r="BG79" i="17"/>
  <c r="AU79" i="17"/>
  <c r="L79" i="25" s="1"/>
  <c r="BF80" i="17"/>
  <c r="BE80" i="17"/>
  <c r="AW80" i="17"/>
  <c r="AZ81" i="17"/>
  <c r="AX83" i="17"/>
  <c r="BG83" i="17"/>
  <c r="AU83" i="17"/>
  <c r="L83" i="25" s="1"/>
  <c r="BF84" i="17"/>
  <c r="BE84" i="17"/>
  <c r="AW84" i="17"/>
  <c r="AZ85" i="17"/>
  <c r="AX87" i="17"/>
  <c r="BG87" i="17"/>
  <c r="AU87" i="17"/>
  <c r="L87" i="25" s="1"/>
  <c r="BF88" i="17"/>
  <c r="BE88" i="17"/>
  <c r="AW88" i="17"/>
  <c r="AZ89" i="17"/>
  <c r="AX91" i="17"/>
  <c r="BG91" i="17"/>
  <c r="AU91" i="17"/>
  <c r="L91" i="25" s="1"/>
  <c r="BF92" i="17"/>
  <c r="BE92" i="17"/>
  <c r="AW92" i="17"/>
  <c r="AZ93" i="17"/>
  <c r="AX95" i="17"/>
  <c r="BG95" i="17"/>
  <c r="AU95" i="17"/>
  <c r="L95" i="25" s="1"/>
  <c r="BF96" i="17"/>
  <c r="BE96" i="17"/>
  <c r="AW96" i="17"/>
  <c r="AZ97" i="17"/>
  <c r="AX99" i="17"/>
  <c r="BG99" i="17"/>
  <c r="AU99" i="17"/>
  <c r="L99" i="25" s="1"/>
  <c r="BF100" i="17"/>
  <c r="BE100" i="17"/>
  <c r="AW100" i="17"/>
  <c r="AZ101" i="17"/>
  <c r="BG103" i="17"/>
  <c r="AU103" i="17"/>
  <c r="L103" i="25" s="1"/>
  <c r="BE104" i="17"/>
  <c r="AW104" i="17"/>
  <c r="BG107" i="17"/>
  <c r="AU107" i="17"/>
  <c r="L107" i="25" s="1"/>
  <c r="BE108" i="17"/>
  <c r="AW108" i="17"/>
  <c r="AX111" i="17"/>
  <c r="BG111" i="17"/>
  <c r="AU111" i="17"/>
  <c r="L111" i="25" s="1"/>
  <c r="BF112" i="17"/>
  <c r="BE112" i="17"/>
  <c r="AW112" i="17"/>
  <c r="AZ113" i="17"/>
  <c r="AX115" i="17"/>
  <c r="BG115" i="17"/>
  <c r="AU115" i="17"/>
  <c r="L115" i="25" s="1"/>
  <c r="BF116" i="17"/>
  <c r="BE116" i="17"/>
  <c r="AW116" i="17"/>
  <c r="AZ117" i="17"/>
  <c r="AX119" i="17"/>
  <c r="BG119" i="17"/>
  <c r="AU119" i="17"/>
  <c r="L119" i="25" s="1"/>
  <c r="BF120" i="17"/>
  <c r="BE120" i="17"/>
  <c r="AW120" i="17"/>
  <c r="AZ121" i="17"/>
  <c r="AX123" i="17"/>
  <c r="BG123" i="17"/>
  <c r="AU123" i="17"/>
  <c r="L123" i="25" s="1"/>
  <c r="BF124" i="17"/>
  <c r="BE124" i="17"/>
  <c r="AW124" i="17"/>
  <c r="AZ125" i="17"/>
  <c r="AX127" i="17"/>
  <c r="BG127" i="17"/>
  <c r="AU127" i="17"/>
  <c r="L127" i="25" s="1"/>
  <c r="BF128" i="17"/>
  <c r="BE128" i="17"/>
  <c r="AW128" i="17"/>
  <c r="AZ129" i="17"/>
  <c r="AX131" i="17"/>
  <c r="BG131" i="17"/>
  <c r="AU131" i="17"/>
  <c r="L131" i="25" s="1"/>
  <c r="BF132" i="17"/>
  <c r="BE132" i="17"/>
  <c r="AW132" i="17"/>
  <c r="AZ133" i="17"/>
  <c r="AX135" i="17"/>
  <c r="BG135" i="17"/>
  <c r="AU135" i="17"/>
  <c r="L135" i="25" s="1"/>
  <c r="BF136" i="17"/>
  <c r="BE136" i="17"/>
  <c r="AW136" i="17"/>
  <c r="AZ137" i="17"/>
  <c r="AX139" i="17"/>
  <c r="BG139" i="17"/>
  <c r="AU139" i="17"/>
  <c r="L139" i="25" s="1"/>
  <c r="BF140" i="17"/>
  <c r="BE140" i="17"/>
  <c r="AW140" i="17"/>
  <c r="AZ141" i="17"/>
  <c r="AX143" i="17"/>
  <c r="BG143" i="17"/>
  <c r="AU143" i="17"/>
  <c r="L143" i="25" s="1"/>
  <c r="BF144" i="17"/>
  <c r="BE144" i="17"/>
  <c r="AW144" i="17"/>
  <c r="AZ145" i="17"/>
  <c r="AX147" i="17"/>
  <c r="BG147" i="17"/>
  <c r="AU147" i="17"/>
  <c r="L147" i="25" s="1"/>
  <c r="BF148" i="17"/>
  <c r="BE148" i="17"/>
  <c r="AW148" i="17"/>
  <c r="AZ149" i="17"/>
  <c r="AX151" i="17"/>
  <c r="BG151" i="17"/>
  <c r="AU151" i="17"/>
  <c r="L151" i="25" s="1"/>
  <c r="BF152" i="17"/>
  <c r="BE152" i="17"/>
  <c r="AW152" i="17"/>
  <c r="AZ153" i="17"/>
  <c r="AX155" i="17"/>
  <c r="BG155" i="17"/>
  <c r="AU155" i="17"/>
  <c r="L155" i="25" s="1"/>
  <c r="BF156" i="17"/>
  <c r="BE156" i="17"/>
  <c r="AW156" i="17"/>
  <c r="AZ157" i="17"/>
  <c r="AX159" i="17"/>
  <c r="BG159" i="17"/>
  <c r="AU159" i="17"/>
  <c r="L159" i="25" s="1"/>
  <c r="BF160" i="17"/>
  <c r="BE160" i="17"/>
  <c r="AW160" i="17"/>
  <c r="AZ161" i="17"/>
  <c r="AX163" i="17"/>
  <c r="BG163" i="17"/>
  <c r="AU163" i="17"/>
  <c r="L163" i="25" s="1"/>
  <c r="BF164" i="17"/>
  <c r="BE164" i="17"/>
  <c r="AW164" i="17"/>
  <c r="AZ165" i="17"/>
  <c r="AX167" i="17"/>
  <c r="BG167" i="17"/>
  <c r="AU167" i="17"/>
  <c r="L167" i="25" s="1"/>
  <c r="BF168" i="17"/>
  <c r="BE168" i="17"/>
  <c r="AW168" i="17"/>
  <c r="AZ169" i="17"/>
  <c r="AX171" i="17"/>
  <c r="BG171" i="17"/>
  <c r="AU171" i="17"/>
  <c r="L171" i="25" s="1"/>
  <c r="BF172" i="17"/>
  <c r="BE172" i="17"/>
  <c r="AW172" i="17"/>
  <c r="AZ173" i="17"/>
  <c r="AX175" i="17"/>
  <c r="BG175" i="17"/>
  <c r="AU175" i="17"/>
  <c r="L175" i="25" s="1"/>
  <c r="BF176" i="17"/>
  <c r="BE176" i="17"/>
  <c r="AW176" i="17"/>
  <c r="AZ177" i="17"/>
  <c r="AX179" i="17"/>
  <c r="BG179" i="17"/>
  <c r="AU179" i="17"/>
  <c r="L179" i="25" s="1"/>
  <c r="BF180" i="17"/>
  <c r="BE180" i="17"/>
  <c r="AW180" i="17"/>
  <c r="AZ181" i="17"/>
  <c r="AX183" i="17"/>
  <c r="BG183" i="17"/>
  <c r="AU183" i="17"/>
  <c r="L183" i="25" s="1"/>
  <c r="BF184" i="17"/>
  <c r="BE184" i="17"/>
  <c r="AW184" i="17"/>
  <c r="AZ185" i="17"/>
  <c r="AX187" i="17"/>
  <c r="BG187" i="17"/>
  <c r="AU187" i="17"/>
  <c r="L187" i="25" s="1"/>
  <c r="BF188" i="17"/>
  <c r="BE188" i="17"/>
  <c r="AW188" i="17"/>
  <c r="AZ189" i="17"/>
  <c r="AX191" i="17"/>
  <c r="BG191" i="17"/>
  <c r="AU191" i="17"/>
  <c r="L191" i="25" s="1"/>
  <c r="BF192" i="17"/>
  <c r="BE192" i="17"/>
  <c r="AW192" i="17"/>
  <c r="AZ193" i="17"/>
  <c r="AX195" i="17"/>
  <c r="BG195" i="17"/>
  <c r="AU195" i="17"/>
  <c r="L195" i="25" s="1"/>
  <c r="BF196" i="17"/>
  <c r="BE196" i="17"/>
  <c r="AW196" i="17"/>
  <c r="AZ197" i="17"/>
  <c r="AX199" i="17"/>
  <c r="BG199" i="17"/>
  <c r="AU199" i="17"/>
  <c r="L199" i="25" s="1"/>
  <c r="BF200" i="17"/>
  <c r="BE200" i="17"/>
  <c r="AW200" i="17"/>
  <c r="AZ201" i="17"/>
  <c r="AX203" i="17"/>
  <c r="BG203" i="17"/>
  <c r="AU203" i="17"/>
  <c r="L203" i="25" s="1"/>
  <c r="AZ205" i="17"/>
  <c r="AX207" i="17"/>
  <c r="BG207" i="17"/>
  <c r="AU207" i="17"/>
  <c r="L207" i="25" s="1"/>
  <c r="BF208" i="17"/>
  <c r="BE208" i="17"/>
  <c r="AW208" i="17"/>
  <c r="AZ209" i="17"/>
  <c r="AX211" i="17"/>
  <c r="BG211" i="17"/>
  <c r="AU211" i="17"/>
  <c r="L211" i="25" s="1"/>
  <c r="BF212" i="17"/>
  <c r="BE212" i="17"/>
  <c r="AW212" i="17"/>
  <c r="AZ213" i="17"/>
  <c r="AX215" i="17"/>
  <c r="BG215" i="17"/>
  <c r="AU215" i="17"/>
  <c r="L215" i="25" s="1"/>
  <c r="BF216" i="17"/>
  <c r="BE216" i="17"/>
  <c r="AW216" i="17"/>
  <c r="AZ217" i="17"/>
  <c r="AX219" i="17"/>
  <c r="BG219" i="17"/>
  <c r="AU219" i="17"/>
  <c r="L219" i="25" s="1"/>
  <c r="BF220" i="17"/>
  <c r="BE220" i="17"/>
  <c r="AW220" i="17"/>
  <c r="AZ221" i="17"/>
  <c r="AX223" i="17"/>
  <c r="BG223" i="17"/>
  <c r="AU223" i="17"/>
  <c r="L223" i="25" s="1"/>
  <c r="BF224" i="17"/>
  <c r="BE224" i="17"/>
  <c r="AW224" i="17"/>
  <c r="AZ225" i="17"/>
  <c r="AX227" i="17"/>
  <c r="BG227" i="17"/>
  <c r="AU227" i="17"/>
  <c r="L227" i="25" s="1"/>
  <c r="BF228" i="17"/>
  <c r="BE228" i="17"/>
  <c r="AW228" i="17"/>
  <c r="AZ229" i="17"/>
  <c r="AX231" i="17"/>
  <c r="BG231" i="17"/>
  <c r="AU231" i="17"/>
  <c r="L231" i="25" s="1"/>
  <c r="BF232" i="17"/>
  <c r="BE232" i="17"/>
  <c r="AW232" i="17"/>
  <c r="AZ233" i="17"/>
  <c r="AX235" i="17"/>
  <c r="BG235" i="17"/>
  <c r="AU235" i="17"/>
  <c r="L235" i="25" s="1"/>
  <c r="BF236" i="17"/>
  <c r="BE236" i="17"/>
  <c r="AW236" i="17"/>
  <c r="AZ237" i="17"/>
  <c r="AX239" i="17"/>
  <c r="BG239" i="17"/>
  <c r="AU239" i="17"/>
  <c r="L239" i="25" s="1"/>
  <c r="BF240" i="17"/>
  <c r="BE240" i="17"/>
  <c r="AW240" i="17"/>
  <c r="AZ241" i="17"/>
  <c r="AX243" i="17"/>
  <c r="BG243" i="17"/>
  <c r="AU243" i="17"/>
  <c r="L243" i="25" s="1"/>
  <c r="BF244" i="17"/>
  <c r="BE244" i="17"/>
  <c r="AW244" i="17"/>
  <c r="AZ245" i="17"/>
  <c r="AX247" i="17"/>
  <c r="BG247" i="17"/>
  <c r="AU247" i="17"/>
  <c r="L247" i="25" s="1"/>
  <c r="BF248" i="17"/>
  <c r="BE248" i="17"/>
  <c r="AW248" i="17"/>
  <c r="AZ249" i="17"/>
  <c r="AX251" i="17"/>
  <c r="BG251" i="17"/>
  <c r="AU251" i="17"/>
  <c r="L251" i="25" s="1"/>
  <c r="BF252" i="17"/>
  <c r="BE252" i="17"/>
  <c r="AW252" i="17"/>
  <c r="AZ253" i="17"/>
  <c r="AX255" i="17"/>
  <c r="BG255" i="17"/>
  <c r="AU255" i="17"/>
  <c r="L255" i="25" s="1"/>
  <c r="BF256" i="17"/>
  <c r="BE256" i="17"/>
  <c r="AW256" i="17"/>
  <c r="AZ257" i="17"/>
  <c r="AX259" i="17"/>
  <c r="BG259" i="17"/>
  <c r="AU259" i="17"/>
  <c r="L259" i="25" s="1"/>
  <c r="BF260" i="17"/>
  <c r="BE260" i="17"/>
  <c r="AW260" i="17"/>
  <c r="AZ261" i="17"/>
  <c r="AX263" i="17"/>
  <c r="BG263" i="17"/>
  <c r="AU263" i="17"/>
  <c r="L263" i="25" s="1"/>
  <c r="BF264" i="17"/>
  <c r="BE264" i="17"/>
  <c r="AW264" i="17"/>
  <c r="AZ265" i="17"/>
  <c r="AX267" i="17"/>
  <c r="BG267" i="17"/>
  <c r="AU267" i="17"/>
  <c r="L267" i="25" s="1"/>
  <c r="BF268" i="17"/>
  <c r="BE268" i="17"/>
  <c r="AW268" i="17"/>
  <c r="AZ269" i="17"/>
  <c r="AX271" i="17"/>
  <c r="BG271" i="17"/>
  <c r="AU271" i="17"/>
  <c r="L271" i="25" s="1"/>
  <c r="BF272" i="17"/>
  <c r="BE272" i="17"/>
  <c r="AW272" i="17"/>
  <c r="AZ273" i="17"/>
  <c r="AX275" i="17"/>
  <c r="BG275" i="17"/>
  <c r="AU275" i="17"/>
  <c r="L275" i="25" s="1"/>
  <c r="BF276" i="17"/>
  <c r="BE276" i="17"/>
  <c r="AW276" i="17"/>
  <c r="AZ277" i="17"/>
  <c r="AX279" i="17"/>
  <c r="BG279" i="17"/>
  <c r="AU279" i="17"/>
  <c r="L279" i="25" s="1"/>
  <c r="BF280" i="17"/>
  <c r="BE280" i="17"/>
  <c r="AW280" i="17"/>
  <c r="AZ281" i="17"/>
  <c r="AX283" i="17"/>
  <c r="BG283" i="17"/>
  <c r="AU283" i="17"/>
  <c r="L283" i="25" s="1"/>
  <c r="BF284" i="17"/>
  <c r="BE284" i="17"/>
  <c r="AW284" i="17"/>
  <c r="AZ285" i="17"/>
  <c r="AX287" i="17"/>
  <c r="BG287" i="17"/>
  <c r="AU287" i="17"/>
  <c r="L287" i="25" s="1"/>
  <c r="BF288" i="17"/>
  <c r="BE288" i="17"/>
  <c r="AW288" i="17"/>
  <c r="AZ289" i="17"/>
  <c r="AX291" i="17"/>
  <c r="BG291" i="17"/>
  <c r="AU291" i="17"/>
  <c r="L291" i="25" s="1"/>
  <c r="BF292" i="17"/>
  <c r="BE292" i="17"/>
  <c r="AW292" i="17"/>
  <c r="AZ293" i="17"/>
  <c r="AX295" i="17"/>
  <c r="BG295" i="17"/>
  <c r="AU295" i="17"/>
  <c r="L295" i="25" s="1"/>
  <c r="BF296" i="17"/>
  <c r="BE296" i="17"/>
  <c r="AW296" i="17"/>
  <c r="AZ297" i="17"/>
  <c r="AX299" i="17"/>
  <c r="BG299" i="17"/>
  <c r="AU299" i="17"/>
  <c r="L299" i="25" s="1"/>
  <c r="BF300" i="17"/>
  <c r="BE300" i="17"/>
  <c r="AW300" i="17"/>
  <c r="AZ301" i="17"/>
  <c r="AX303" i="17"/>
  <c r="BG303" i="17"/>
  <c r="AU303" i="17"/>
  <c r="L303" i="25" s="1"/>
  <c r="BF304" i="17"/>
  <c r="BE304" i="17"/>
  <c r="AW304" i="17"/>
  <c r="AZ305" i="17"/>
  <c r="AX307" i="17"/>
  <c r="BG307" i="17"/>
  <c r="AU307" i="17"/>
  <c r="L307" i="25" s="1"/>
  <c r="BF308" i="17"/>
  <c r="BE308" i="17"/>
  <c r="AW308" i="17"/>
  <c r="AZ309" i="17"/>
  <c r="AX311" i="17"/>
  <c r="BG311" i="17"/>
  <c r="AU311" i="17"/>
  <c r="L311" i="25" s="1"/>
  <c r="BF312" i="17"/>
  <c r="BE312" i="17"/>
  <c r="AW312" i="17"/>
  <c r="AZ313" i="17"/>
  <c r="AX315" i="17"/>
  <c r="BG315" i="17"/>
  <c r="AU315" i="17"/>
  <c r="L315" i="25" s="1"/>
  <c r="BF316" i="17"/>
  <c r="BE316" i="17"/>
  <c r="AW316" i="17"/>
  <c r="AZ317" i="17"/>
  <c r="AX319" i="17"/>
  <c r="BG319" i="17"/>
  <c r="AU319" i="17"/>
  <c r="L319" i="25" s="1"/>
  <c r="BF320" i="17"/>
  <c r="BE320" i="17"/>
  <c r="AW320" i="17"/>
  <c r="AZ321" i="17"/>
  <c r="AX323" i="17"/>
  <c r="BG323" i="17"/>
  <c r="AU323" i="17"/>
  <c r="L323" i="25" s="1"/>
  <c r="BF324" i="17"/>
  <c r="BE324" i="17"/>
  <c r="AW324" i="17"/>
  <c r="AZ325" i="17"/>
  <c r="AX327" i="17"/>
  <c r="BG327" i="17"/>
  <c r="AU327" i="17"/>
  <c r="L327" i="25" s="1"/>
  <c r="BF328" i="17"/>
  <c r="BE328" i="17"/>
  <c r="AW328" i="17"/>
  <c r="AZ329" i="17"/>
  <c r="AX331" i="17"/>
  <c r="BG331" i="17"/>
  <c r="AU331" i="17"/>
  <c r="L331" i="25" s="1"/>
  <c r="BF332" i="17"/>
  <c r="BE332" i="17"/>
  <c r="AW332" i="17"/>
  <c r="AZ333" i="17"/>
  <c r="AX335" i="17"/>
  <c r="BG335" i="17"/>
  <c r="AU335" i="17"/>
  <c r="L335" i="25" s="1"/>
  <c r="BF336" i="17"/>
  <c r="BE336" i="17"/>
  <c r="AW336" i="17"/>
  <c r="AZ337" i="17"/>
  <c r="AX339" i="17"/>
  <c r="BG339" i="17"/>
  <c r="AU339" i="17"/>
  <c r="L339" i="25" s="1"/>
  <c r="BF340" i="17"/>
  <c r="BE340" i="17"/>
  <c r="AW340" i="17"/>
  <c r="AZ341" i="17"/>
  <c r="AX343" i="17"/>
  <c r="BG343" i="17"/>
  <c r="AU343" i="17"/>
  <c r="L343" i="25" s="1"/>
  <c r="BF344" i="17"/>
  <c r="BE344" i="17"/>
  <c r="AW344" i="17"/>
  <c r="AZ345" i="17"/>
  <c r="AX347" i="17"/>
  <c r="BG347" i="17"/>
  <c r="AU347" i="17"/>
  <c r="L347" i="25" s="1"/>
  <c r="BF348" i="17"/>
  <c r="BE348" i="17"/>
  <c r="AW348" i="17"/>
  <c r="AZ349" i="17"/>
  <c r="AX351" i="17"/>
  <c r="BG351" i="17"/>
  <c r="AU351" i="17"/>
  <c r="L351" i="25" s="1"/>
  <c r="BF352" i="17"/>
  <c r="BE352" i="17"/>
  <c r="AW352" i="17"/>
  <c r="AZ353" i="17"/>
  <c r="AX355" i="17"/>
  <c r="BG355" i="17"/>
  <c r="AU355" i="17"/>
  <c r="L355" i="25" s="1"/>
  <c r="BF356" i="17"/>
  <c r="BE356" i="17"/>
  <c r="AW356" i="17"/>
  <c r="AZ357" i="17"/>
  <c r="AX359" i="17"/>
  <c r="BG359" i="17"/>
  <c r="AU359" i="17"/>
  <c r="L359" i="25" s="1"/>
  <c r="BF360" i="17"/>
  <c r="BE360" i="17"/>
  <c r="AW360" i="17"/>
  <c r="AZ361" i="17"/>
  <c r="AX363" i="17"/>
  <c r="BG363" i="17"/>
  <c r="AU363" i="17"/>
  <c r="L363" i="25" s="1"/>
  <c r="BF364" i="17"/>
  <c r="BE364" i="17"/>
  <c r="AW364" i="17"/>
  <c r="AZ365" i="17"/>
  <c r="AX367" i="17"/>
  <c r="BG367" i="17"/>
  <c r="AU367" i="17"/>
  <c r="L367" i="25" s="1"/>
  <c r="BF368" i="17"/>
  <c r="BE368" i="17"/>
  <c r="AW368" i="17"/>
  <c r="AZ369" i="17"/>
  <c r="AX371" i="17"/>
  <c r="BG371" i="17"/>
  <c r="AU371" i="17"/>
  <c r="L371" i="25" s="1"/>
  <c r="BF372" i="17"/>
  <c r="BE372" i="17"/>
  <c r="AW372" i="17"/>
  <c r="AZ373" i="17"/>
  <c r="AX375" i="17"/>
  <c r="BG375" i="17"/>
  <c r="AU375" i="17"/>
  <c r="L375" i="25" s="1"/>
  <c r="BF376" i="17"/>
  <c r="BE376" i="17"/>
  <c r="AW376" i="17"/>
  <c r="AZ377" i="17"/>
  <c r="AX379" i="17"/>
  <c r="BG379" i="17"/>
  <c r="AU379" i="17"/>
  <c r="L379" i="25" s="1"/>
  <c r="BF380" i="17"/>
  <c r="BE380" i="17"/>
  <c r="AW380" i="17"/>
  <c r="AZ381" i="17"/>
  <c r="AX383" i="17"/>
  <c r="BG383" i="17"/>
  <c r="AU383" i="17"/>
  <c r="L383" i="25" s="1"/>
  <c r="BF384" i="17"/>
  <c r="BE384" i="17"/>
  <c r="AW384" i="17"/>
  <c r="AZ385" i="17"/>
  <c r="AX387" i="17"/>
  <c r="BG387" i="17"/>
  <c r="AU387" i="17"/>
  <c r="L387" i="25" s="1"/>
  <c r="BF388" i="17"/>
  <c r="BE388" i="17"/>
  <c r="AW388" i="17"/>
  <c r="AZ389" i="17"/>
  <c r="AX391" i="17"/>
  <c r="BG391" i="17"/>
  <c r="AU391" i="17"/>
  <c r="L391" i="25" s="1"/>
  <c r="BF392" i="17"/>
  <c r="BE392" i="17"/>
  <c r="AW392" i="17"/>
  <c r="AZ393" i="17"/>
  <c r="AX395" i="17"/>
  <c r="BG395" i="17"/>
  <c r="AU395" i="17"/>
  <c r="L395" i="25" s="1"/>
  <c r="BF396" i="17"/>
  <c r="BE396" i="17"/>
  <c r="AW396" i="17"/>
  <c r="AZ397" i="17"/>
  <c r="AX399" i="17"/>
  <c r="BG399" i="17"/>
  <c r="AU399" i="17"/>
  <c r="L399" i="25" s="1"/>
  <c r="BF400" i="17"/>
  <c r="BE400" i="17"/>
  <c r="AW400" i="17"/>
  <c r="AZ401" i="17"/>
  <c r="AX403" i="17"/>
  <c r="BG403" i="17"/>
  <c r="AU403" i="17"/>
  <c r="L403" i="25" s="1"/>
  <c r="BF404" i="17"/>
  <c r="BE404" i="17"/>
  <c r="AW404" i="17"/>
  <c r="AZ405" i="17"/>
  <c r="AX407" i="17"/>
  <c r="BG407" i="17"/>
  <c r="AU407" i="17"/>
  <c r="L407" i="25" s="1"/>
  <c r="BF408" i="17"/>
  <c r="BE408" i="17"/>
  <c r="AW408" i="17"/>
  <c r="BL408" i="19"/>
  <c r="BJ408" i="19"/>
  <c r="BG408" i="19"/>
  <c r="BM408" i="19"/>
  <c r="BK408" i="19"/>
  <c r="BH408" i="19"/>
  <c r="BI408" i="19"/>
  <c r="BL400" i="19"/>
  <c r="BJ400" i="19"/>
  <c r="BG400" i="19"/>
  <c r="BI400" i="19"/>
  <c r="BM400" i="19"/>
  <c r="BH400" i="19"/>
  <c r="BL392" i="19"/>
  <c r="BJ392" i="19"/>
  <c r="BG392" i="19"/>
  <c r="BM392" i="19"/>
  <c r="BK392" i="19"/>
  <c r="BH392" i="19"/>
  <c r="BI392" i="19"/>
  <c r="BL384" i="19"/>
  <c r="BJ384" i="19"/>
  <c r="BK384" i="19"/>
  <c r="BG384" i="19"/>
  <c r="BM384" i="19"/>
  <c r="BI384" i="19"/>
  <c r="BH384" i="19"/>
  <c r="BL376" i="19"/>
  <c r="BJ376" i="19"/>
  <c r="BM376" i="19"/>
  <c r="BG376" i="19"/>
  <c r="BH376" i="19"/>
  <c r="BK376" i="19"/>
  <c r="BI376" i="19"/>
  <c r="BL368" i="19"/>
  <c r="BM368" i="19"/>
  <c r="BJ368" i="19"/>
  <c r="BK368" i="19"/>
  <c r="BG368" i="19"/>
  <c r="BI368" i="19"/>
  <c r="BH368" i="19"/>
  <c r="BL360" i="19"/>
  <c r="BM360" i="19"/>
  <c r="BJ360" i="19"/>
  <c r="BG360" i="19"/>
  <c r="BK360" i="19"/>
  <c r="BH360" i="19"/>
  <c r="BI360" i="19"/>
  <c r="BL352" i="19"/>
  <c r="BJ352" i="19"/>
  <c r="BK352" i="19"/>
  <c r="BG352" i="19"/>
  <c r="BI352" i="19"/>
  <c r="BH352" i="19"/>
  <c r="BM352" i="19"/>
  <c r="BL344" i="19"/>
  <c r="BJ344" i="19"/>
  <c r="BG344" i="19"/>
  <c r="BM344" i="19"/>
  <c r="BK344" i="19"/>
  <c r="BH344" i="19"/>
  <c r="BI344" i="19"/>
  <c r="BM336" i="19"/>
  <c r="BL336" i="19"/>
  <c r="BJ336" i="19"/>
  <c r="BK336" i="19"/>
  <c r="BG336" i="19"/>
  <c r="BI336" i="19"/>
  <c r="BH336" i="19"/>
  <c r="BM328" i="19"/>
  <c r="BL328" i="19"/>
  <c r="BJ328" i="19"/>
  <c r="BG328" i="19"/>
  <c r="BK328" i="19"/>
  <c r="BH328" i="19"/>
  <c r="BI328" i="19"/>
  <c r="BM324" i="19"/>
  <c r="BL324" i="19"/>
  <c r="BJ324" i="19"/>
  <c r="BG324" i="19"/>
  <c r="BI324" i="19"/>
  <c r="BH324" i="19"/>
  <c r="BK324" i="19"/>
  <c r="BM316" i="19"/>
  <c r="BL316" i="19"/>
  <c r="BJ316" i="19"/>
  <c r="BG316" i="19"/>
  <c r="BI316" i="19"/>
  <c r="BH316" i="19"/>
  <c r="BM308" i="19"/>
  <c r="BL308" i="19"/>
  <c r="BJ308" i="19"/>
  <c r="BG308" i="19"/>
  <c r="BK308" i="19"/>
  <c r="BI308" i="19"/>
  <c r="BH308" i="19"/>
  <c r="BM300" i="19"/>
  <c r="BL300" i="19"/>
  <c r="BJ300" i="19"/>
  <c r="BG300" i="19"/>
  <c r="BK300" i="19"/>
  <c r="BI300" i="19"/>
  <c r="BH300" i="19"/>
  <c r="BM292" i="19"/>
  <c r="BL292" i="19"/>
  <c r="BJ292" i="19"/>
  <c r="BG292" i="19"/>
  <c r="BK292" i="19"/>
  <c r="BI292" i="19"/>
  <c r="BH292" i="19"/>
  <c r="BM284" i="19"/>
  <c r="BL284" i="19"/>
  <c r="BJ284" i="19"/>
  <c r="BG284" i="19"/>
  <c r="BK284" i="19"/>
  <c r="BI284" i="19"/>
  <c r="BH284" i="19"/>
  <c r="BM276" i="19"/>
  <c r="BL276" i="19"/>
  <c r="BJ276" i="19"/>
  <c r="BG276" i="19"/>
  <c r="BI276" i="19"/>
  <c r="BK276" i="19"/>
  <c r="BH276" i="19"/>
  <c r="BM268" i="19"/>
  <c r="BL268" i="19"/>
  <c r="BJ268" i="19"/>
  <c r="BG268" i="19"/>
  <c r="BI268" i="19"/>
  <c r="BH268" i="19"/>
  <c r="BK268" i="19"/>
  <c r="BM260" i="19"/>
  <c r="BL260" i="19"/>
  <c r="BJ260" i="19"/>
  <c r="BG260" i="19"/>
  <c r="BK260" i="19"/>
  <c r="BI260" i="19"/>
  <c r="BH260" i="19"/>
  <c r="BM252" i="19"/>
  <c r="BL252" i="19"/>
  <c r="BJ252" i="19"/>
  <c r="BG252" i="19"/>
  <c r="BK252" i="19"/>
  <c r="BI252" i="19"/>
  <c r="BH252" i="19"/>
  <c r="BM244" i="19"/>
  <c r="BL244" i="19"/>
  <c r="BJ244" i="19"/>
  <c r="BG244" i="19"/>
  <c r="BK244" i="19"/>
  <c r="BI244" i="19"/>
  <c r="BH244" i="19"/>
  <c r="BM236" i="19"/>
  <c r="BL236" i="19"/>
  <c r="BJ236" i="19"/>
  <c r="BG236" i="19"/>
  <c r="BK236" i="19"/>
  <c r="BI236" i="19"/>
  <c r="BH236" i="19"/>
  <c r="BM228" i="19"/>
  <c r="BL228" i="19"/>
  <c r="BJ228" i="19"/>
  <c r="BG228" i="19"/>
  <c r="BK228" i="19"/>
  <c r="BI228" i="19"/>
  <c r="BH228" i="19"/>
  <c r="BM220" i="19"/>
  <c r="BL220" i="19"/>
  <c r="BJ220" i="19"/>
  <c r="BG220" i="19"/>
  <c r="BK220" i="19"/>
  <c r="BI220" i="19"/>
  <c r="BH220" i="19"/>
  <c r="BM212" i="19"/>
  <c r="BL212" i="19"/>
  <c r="BJ212" i="19"/>
  <c r="BG212" i="19"/>
  <c r="BI212" i="19"/>
  <c r="BH212" i="19"/>
  <c r="BK212" i="19"/>
  <c r="BM204" i="19"/>
  <c r="BL204" i="19"/>
  <c r="BJ204" i="19"/>
  <c r="BG204" i="19"/>
  <c r="BK204" i="19"/>
  <c r="BI204" i="19"/>
  <c r="BH204" i="19"/>
  <c r="BM200" i="19"/>
  <c r="BL200" i="19"/>
  <c r="BJ200" i="19"/>
  <c r="BG200" i="19"/>
  <c r="BK200" i="19"/>
  <c r="BH200" i="19"/>
  <c r="BI200" i="19"/>
  <c r="BM192" i="19"/>
  <c r="BL192" i="19"/>
  <c r="BJ192" i="19"/>
  <c r="BK192" i="19"/>
  <c r="BG192" i="19"/>
  <c r="BI192" i="19"/>
  <c r="BH192" i="19"/>
  <c r="BM180" i="19"/>
  <c r="BL180" i="19"/>
  <c r="BJ180" i="19"/>
  <c r="BG180" i="19"/>
  <c r="BK180" i="19"/>
  <c r="BI180" i="19"/>
  <c r="BH180" i="19"/>
  <c r="BM172" i="19"/>
  <c r="BL172" i="19"/>
  <c r="BJ172" i="19"/>
  <c r="BG172" i="19"/>
  <c r="BK172" i="19"/>
  <c r="BI172" i="19"/>
  <c r="BH172" i="19"/>
  <c r="BM164" i="19"/>
  <c r="BL164" i="19"/>
  <c r="BJ164" i="19"/>
  <c r="BG164" i="19"/>
  <c r="BI164" i="19"/>
  <c r="BH164" i="19"/>
  <c r="BM160" i="19"/>
  <c r="BL160" i="19"/>
  <c r="BJ160" i="19"/>
  <c r="BK160" i="19"/>
  <c r="BG160" i="19"/>
  <c r="BI160" i="19"/>
  <c r="BH160" i="19"/>
  <c r="BM152" i="19"/>
  <c r="BL152" i="19"/>
  <c r="BJ152" i="19"/>
  <c r="BG152" i="19"/>
  <c r="BK152" i="19"/>
  <c r="BH152" i="19"/>
  <c r="BI152" i="19"/>
  <c r="BM144" i="19"/>
  <c r="BL144" i="19"/>
  <c r="BJ144" i="19"/>
  <c r="BK144" i="19"/>
  <c r="BG144" i="19"/>
  <c r="BI144" i="19"/>
  <c r="BH144" i="19"/>
  <c r="BM136" i="19"/>
  <c r="BL136" i="19"/>
  <c r="BJ136" i="19"/>
  <c r="BG136" i="19"/>
  <c r="BI136" i="19"/>
  <c r="BH136" i="19"/>
  <c r="BM128" i="19"/>
  <c r="BL128" i="19"/>
  <c r="BJ128" i="19"/>
  <c r="BK128" i="19"/>
  <c r="BG128" i="19"/>
  <c r="BI128" i="19"/>
  <c r="BH128" i="19"/>
  <c r="BM120" i="19"/>
  <c r="BL120" i="19"/>
  <c r="BJ120" i="19"/>
  <c r="BG120" i="19"/>
  <c r="BK120" i="19"/>
  <c r="BH120" i="19"/>
  <c r="BI120" i="19"/>
  <c r="BM112" i="19"/>
  <c r="BL112" i="19"/>
  <c r="BK112" i="19"/>
  <c r="BJ112" i="19"/>
  <c r="BG112" i="19"/>
  <c r="BI112" i="19"/>
  <c r="BH112" i="19"/>
  <c r="BM104" i="19"/>
  <c r="BL104" i="19"/>
  <c r="BJ104" i="19"/>
  <c r="BG104" i="19"/>
  <c r="BK104" i="19"/>
  <c r="BH104" i="19"/>
  <c r="BI104" i="19"/>
  <c r="BM96" i="19"/>
  <c r="BL96" i="19"/>
  <c r="BJ96" i="19"/>
  <c r="BG96" i="19"/>
  <c r="BH96" i="19"/>
  <c r="BI96" i="19"/>
  <c r="BM92" i="19"/>
  <c r="BJ92" i="19"/>
  <c r="BL92" i="19"/>
  <c r="BI92" i="19"/>
  <c r="BG92" i="19"/>
  <c r="BK92" i="19"/>
  <c r="BH92" i="19"/>
  <c r="BM84" i="19"/>
  <c r="BJ84" i="19"/>
  <c r="BL84" i="19"/>
  <c r="BG84" i="19"/>
  <c r="BK84" i="19"/>
  <c r="BH84" i="19"/>
  <c r="BI84" i="19"/>
  <c r="BM76" i="19"/>
  <c r="BJ76" i="19"/>
  <c r="BI76" i="19"/>
  <c r="BG76" i="19"/>
  <c r="BL76" i="19"/>
  <c r="BK76" i="19"/>
  <c r="BH76" i="19"/>
  <c r="BM68" i="19"/>
  <c r="BL68" i="19"/>
  <c r="BJ68" i="19"/>
  <c r="BG68" i="19"/>
  <c r="BH68" i="19"/>
  <c r="BI68" i="19"/>
  <c r="BM60" i="19"/>
  <c r="BL60" i="19"/>
  <c r="BJ60" i="19"/>
  <c r="BI60" i="19"/>
  <c r="BG60" i="19"/>
  <c r="BH60" i="19"/>
  <c r="BM52" i="19"/>
  <c r="BJ52" i="19"/>
  <c r="BG52" i="19"/>
  <c r="BL52" i="19"/>
  <c r="BI52" i="19"/>
  <c r="BH52" i="19"/>
  <c r="BK52" i="19"/>
  <c r="BM44" i="19"/>
  <c r="BJ44" i="19"/>
  <c r="BL44" i="19"/>
  <c r="BI44" i="19"/>
  <c r="BG44" i="19"/>
  <c r="BH44" i="19"/>
  <c r="BM36" i="19"/>
  <c r="BJ36" i="19"/>
  <c r="BL36" i="19"/>
  <c r="BK36" i="19"/>
  <c r="BG36" i="19"/>
  <c r="BH36" i="19"/>
  <c r="BI36" i="19"/>
  <c r="BM28" i="19"/>
  <c r="BJ28" i="19"/>
  <c r="BI28" i="19"/>
  <c r="BG28" i="19"/>
  <c r="BL28" i="19"/>
  <c r="BK28" i="19"/>
  <c r="BH28" i="19"/>
  <c r="BM20" i="19"/>
  <c r="BJ20" i="19"/>
  <c r="BG20" i="19"/>
  <c r="BK20" i="19"/>
  <c r="BH20" i="19"/>
  <c r="BL20" i="19"/>
  <c r="BI20" i="19"/>
  <c r="BM12" i="19"/>
  <c r="BJ12" i="19"/>
  <c r="BI12" i="19"/>
  <c r="BG12" i="19"/>
  <c r="BL12" i="19"/>
  <c r="BH12" i="19"/>
  <c r="BK12" i="19"/>
  <c r="BM8" i="19"/>
  <c r="BL8" i="19"/>
  <c r="BJ8" i="19"/>
  <c r="BK8" i="19"/>
  <c r="BG8" i="19"/>
  <c r="BH8" i="19"/>
  <c r="BI8" i="19"/>
  <c r="BM4" i="19"/>
  <c r="BL4" i="19"/>
  <c r="BJ4" i="19"/>
  <c r="BG4" i="19"/>
  <c r="BI4" i="19"/>
  <c r="BK4" i="19"/>
  <c r="BH4" i="19"/>
  <c r="BD404" i="19"/>
  <c r="BC404" i="19"/>
  <c r="BA404" i="19"/>
  <c r="BB404" i="19"/>
  <c r="AZ404" i="19"/>
  <c r="BD400" i="19"/>
  <c r="BC400" i="19"/>
  <c r="BA400" i="19"/>
  <c r="BB400" i="19"/>
  <c r="AZ400" i="19"/>
  <c r="BD396" i="19"/>
  <c r="BC396" i="19"/>
  <c r="BA396" i="19"/>
  <c r="BB396" i="19"/>
  <c r="AZ396" i="19"/>
  <c r="BD392" i="19"/>
  <c r="BC392" i="19"/>
  <c r="BA392" i="19"/>
  <c r="BB392" i="19"/>
  <c r="AZ392" i="19"/>
  <c r="BD388" i="19"/>
  <c r="BC388" i="19"/>
  <c r="BA388" i="19"/>
  <c r="BB388" i="19"/>
  <c r="AZ388" i="19"/>
  <c r="BD384" i="19"/>
  <c r="BC384" i="19"/>
  <c r="BA384" i="19"/>
  <c r="BB384" i="19"/>
  <c r="AZ384" i="19"/>
  <c r="BD380" i="19"/>
  <c r="BC380" i="19"/>
  <c r="BA380" i="19"/>
  <c r="BB380" i="19"/>
  <c r="AZ380" i="19"/>
  <c r="BD376" i="19"/>
  <c r="BC376" i="19"/>
  <c r="BA376" i="19"/>
  <c r="BB376" i="19"/>
  <c r="AZ376" i="19"/>
  <c r="BD368" i="19"/>
  <c r="BC368" i="19"/>
  <c r="BA368" i="19"/>
  <c r="BB368" i="19"/>
  <c r="AZ368" i="19"/>
  <c r="BD352" i="19"/>
  <c r="BC352" i="19"/>
  <c r="BA352" i="19"/>
  <c r="BB352" i="19"/>
  <c r="AZ352" i="19"/>
  <c r="BD348" i="19"/>
  <c r="BC348" i="19"/>
  <c r="BA348" i="19"/>
  <c r="BB348" i="19"/>
  <c r="AZ348" i="19"/>
  <c r="BD344" i="19"/>
  <c r="BC344" i="19"/>
  <c r="BA344" i="19"/>
  <c r="BB344" i="19"/>
  <c r="AZ344" i="19"/>
  <c r="BD320" i="19"/>
  <c r="BC320" i="19"/>
  <c r="BA320" i="19"/>
  <c r="BB320" i="19"/>
  <c r="AZ320" i="19"/>
  <c r="BD308" i="19"/>
  <c r="BC308" i="19"/>
  <c r="BA308" i="19"/>
  <c r="BB308" i="19"/>
  <c r="AZ308" i="19"/>
  <c r="BD300" i="19"/>
  <c r="BC300" i="19"/>
  <c r="BA300" i="19"/>
  <c r="BB300" i="19"/>
  <c r="AZ300" i="19"/>
  <c r="BD296" i="19"/>
  <c r="BC296" i="19"/>
  <c r="BA296" i="19"/>
  <c r="BB296" i="19"/>
  <c r="AZ296" i="19"/>
  <c r="BD288" i="19"/>
  <c r="BC288" i="19"/>
  <c r="BA288" i="19"/>
  <c r="BB288" i="19"/>
  <c r="AZ288" i="19"/>
  <c r="BD284" i="19"/>
  <c r="BC284" i="19"/>
  <c r="BA284" i="19"/>
  <c r="BB284" i="19"/>
  <c r="AZ284" i="19"/>
  <c r="BD280" i="19"/>
  <c r="BC280" i="19"/>
  <c r="BA280" i="19"/>
  <c r="BB280" i="19"/>
  <c r="AZ280" i="19"/>
  <c r="BD276" i="19"/>
  <c r="BC276" i="19"/>
  <c r="BA276" i="19"/>
  <c r="BB276" i="19"/>
  <c r="AZ276" i="19"/>
  <c r="BD268" i="19"/>
  <c r="BC268" i="19"/>
  <c r="BA268" i="19"/>
  <c r="BB268" i="19"/>
  <c r="AZ268" i="19"/>
  <c r="BD264" i="19"/>
  <c r="BC264" i="19"/>
  <c r="BA264" i="19"/>
  <c r="BB264" i="19"/>
  <c r="AZ264" i="19"/>
  <c r="BD260" i="19"/>
  <c r="BC260" i="19"/>
  <c r="BA260" i="19"/>
  <c r="BB260" i="19"/>
  <c r="AZ260" i="19"/>
  <c r="BD252" i="19"/>
  <c r="BC252" i="19"/>
  <c r="BA252" i="19"/>
  <c r="BB252" i="19"/>
  <c r="AZ252" i="19"/>
  <c r="BD248" i="19"/>
  <c r="BC248" i="19"/>
  <c r="BA248" i="19"/>
  <c r="BB248" i="19"/>
  <c r="AZ248" i="19"/>
  <c r="BD244" i="19"/>
  <c r="BC244" i="19"/>
  <c r="BA244" i="19"/>
  <c r="BB244" i="19"/>
  <c r="AZ244" i="19"/>
  <c r="BD236" i="19"/>
  <c r="BC236" i="19"/>
  <c r="BA236" i="19"/>
  <c r="BB236" i="19"/>
  <c r="AZ236" i="19"/>
  <c r="BC232" i="19"/>
  <c r="BD232" i="19"/>
  <c r="BA232" i="19"/>
  <c r="BB232" i="19"/>
  <c r="AZ232" i="19"/>
  <c r="BD228" i="19"/>
  <c r="BC228" i="19"/>
  <c r="BA228" i="19"/>
  <c r="BB228" i="19"/>
  <c r="AZ228" i="19"/>
  <c r="BC216" i="19"/>
  <c r="BD216" i="19"/>
  <c r="BA216" i="19"/>
  <c r="BB216" i="19"/>
  <c r="AZ216" i="19"/>
  <c r="BC212" i="19"/>
  <c r="BD212" i="19"/>
  <c r="BA212" i="19"/>
  <c r="BB212" i="19"/>
  <c r="AZ212" i="19"/>
  <c r="BD208" i="19"/>
  <c r="BC208" i="19"/>
  <c r="BA208" i="19"/>
  <c r="BB208" i="19"/>
  <c r="AZ208" i="19"/>
  <c r="BD204" i="19"/>
  <c r="BC204" i="19"/>
  <c r="BA204" i="19"/>
  <c r="BB204" i="19"/>
  <c r="AZ204" i="19"/>
  <c r="BC200" i="19"/>
  <c r="BD200" i="19"/>
  <c r="BA200" i="19"/>
  <c r="BB200" i="19"/>
  <c r="AZ200" i="19"/>
  <c r="BD196" i="19"/>
  <c r="BC196" i="19"/>
  <c r="BA196" i="19"/>
  <c r="BB196" i="19"/>
  <c r="AZ196" i="19"/>
  <c r="BD192" i="19"/>
  <c r="BC192" i="19"/>
  <c r="BA192" i="19"/>
  <c r="BB192" i="19"/>
  <c r="AZ192" i="19"/>
  <c r="BD176" i="19"/>
  <c r="BC176" i="19"/>
  <c r="BA176" i="19"/>
  <c r="BB176" i="19"/>
  <c r="AZ176" i="19"/>
  <c r="BD172" i="19"/>
  <c r="BC172" i="19"/>
  <c r="BA172" i="19"/>
  <c r="BB172" i="19"/>
  <c r="AZ172" i="19"/>
  <c r="BC168" i="19"/>
  <c r="BD168" i="19"/>
  <c r="BA168" i="19"/>
  <c r="BB168" i="19"/>
  <c r="AZ168" i="19"/>
  <c r="BD164" i="19"/>
  <c r="BC164" i="19"/>
  <c r="BA164" i="19"/>
  <c r="BB164" i="19"/>
  <c r="AZ164" i="19"/>
  <c r="BD156" i="19"/>
  <c r="BC156" i="19"/>
  <c r="BA156" i="19"/>
  <c r="BB156" i="19"/>
  <c r="AZ156" i="19"/>
  <c r="BC152" i="19"/>
  <c r="BD152" i="19"/>
  <c r="BA152" i="19"/>
  <c r="BB152" i="19"/>
  <c r="AZ152" i="19"/>
  <c r="BC148" i="19"/>
  <c r="BA148" i="19"/>
  <c r="BD148" i="19"/>
  <c r="BB148" i="19"/>
  <c r="AZ148" i="19"/>
  <c r="BD144" i="19"/>
  <c r="BC144" i="19"/>
  <c r="BA144" i="19"/>
  <c r="BB144" i="19"/>
  <c r="AZ144" i="19"/>
  <c r="BD124" i="19"/>
  <c r="BC124" i="19"/>
  <c r="BA124" i="19"/>
  <c r="BB124" i="19"/>
  <c r="AZ124" i="19"/>
  <c r="BC120" i="19"/>
  <c r="BD120" i="19"/>
  <c r="BA120" i="19"/>
  <c r="BB120" i="19"/>
  <c r="AZ120" i="19"/>
  <c r="BC116" i="19"/>
  <c r="BA116" i="19"/>
  <c r="BD116" i="19"/>
  <c r="BB116" i="19"/>
  <c r="AZ116" i="19"/>
  <c r="BC104" i="19"/>
  <c r="BA104" i="19"/>
  <c r="BD104" i="19"/>
  <c r="BB104" i="19"/>
  <c r="AZ104" i="19"/>
  <c r="BD100" i="19"/>
  <c r="BC100" i="19"/>
  <c r="BA100" i="19"/>
  <c r="BB100" i="19"/>
  <c r="AZ100" i="19"/>
  <c r="BD92" i="19"/>
  <c r="BC92" i="19"/>
  <c r="BA92" i="19"/>
  <c r="BB92" i="19"/>
  <c r="AZ92" i="19"/>
  <c r="BC88" i="19"/>
  <c r="BA88" i="19"/>
  <c r="BD88" i="19"/>
  <c r="BB88" i="19"/>
  <c r="AZ88" i="19"/>
  <c r="BC84" i="19"/>
  <c r="BA84" i="19"/>
  <c r="BD84" i="19"/>
  <c r="BB84" i="19"/>
  <c r="AZ84" i="19"/>
  <c r="BD80" i="19"/>
  <c r="BC80" i="19"/>
  <c r="BA80" i="19"/>
  <c r="BB80" i="19"/>
  <c r="AZ80" i="19"/>
  <c r="BD72" i="19"/>
  <c r="BA72" i="19"/>
  <c r="BC72" i="19"/>
  <c r="BB72" i="19"/>
  <c r="AZ72" i="19"/>
  <c r="BD68" i="19"/>
  <c r="BC68" i="19"/>
  <c r="BA68" i="19"/>
  <c r="BB68" i="19"/>
  <c r="AZ68" i="19"/>
  <c r="BD64" i="19"/>
  <c r="BC64" i="19"/>
  <c r="BA64" i="19"/>
  <c r="BB64" i="19"/>
  <c r="AZ64" i="19"/>
  <c r="BD48" i="19"/>
  <c r="BC48" i="19"/>
  <c r="BA48" i="19"/>
  <c r="BB48" i="19"/>
  <c r="AZ48" i="19"/>
  <c r="BD40" i="19"/>
  <c r="BA40" i="19"/>
  <c r="BB40" i="19"/>
  <c r="BC40" i="19"/>
  <c r="AZ40" i="19"/>
  <c r="BD28" i="19"/>
  <c r="BB28" i="19"/>
  <c r="BC28" i="19"/>
  <c r="BA28" i="19"/>
  <c r="AZ28" i="19"/>
  <c r="BD24" i="19"/>
  <c r="BC24" i="19"/>
  <c r="BA24" i="19"/>
  <c r="BB24" i="19"/>
  <c r="AZ24" i="19"/>
  <c r="BD20" i="19"/>
  <c r="BA20" i="19"/>
  <c r="BC20" i="19"/>
  <c r="BB20" i="19"/>
  <c r="AZ20" i="19"/>
  <c r="BD16" i="19"/>
  <c r="BC16" i="19"/>
  <c r="BA16" i="19"/>
  <c r="BB16" i="19"/>
  <c r="AZ16" i="19"/>
  <c r="BD12" i="19"/>
  <c r="BB12" i="19"/>
  <c r="BC12" i="19"/>
  <c r="BA12" i="19"/>
  <c r="AZ12" i="19"/>
  <c r="BD4" i="19"/>
  <c r="BA4" i="19"/>
  <c r="BB4" i="19"/>
  <c r="BC4" i="19"/>
  <c r="AZ4" i="19"/>
  <c r="BG4" i="17"/>
  <c r="AU4" i="17"/>
  <c r="L4" i="25" s="1"/>
  <c r="BE5" i="17"/>
  <c r="AW5" i="17"/>
  <c r="BG8" i="17"/>
  <c r="AU8" i="17"/>
  <c r="L8" i="25" s="1"/>
  <c r="AW9" i="17"/>
  <c r="BE9" i="17"/>
  <c r="BG12" i="17"/>
  <c r="AU12" i="17"/>
  <c r="L12" i="25" s="1"/>
  <c r="AW13" i="17"/>
  <c r="BE13" i="17"/>
  <c r="BG16" i="17"/>
  <c r="AU16" i="17"/>
  <c r="L16" i="25" s="1"/>
  <c r="BE17" i="17"/>
  <c r="AW17" i="17"/>
  <c r="BG20" i="17"/>
  <c r="AU20" i="17"/>
  <c r="L20" i="25" s="1"/>
  <c r="BE21" i="17"/>
  <c r="AW21" i="17"/>
  <c r="BG24" i="17"/>
  <c r="AU24" i="17"/>
  <c r="L24" i="25" s="1"/>
  <c r="AW25" i="17"/>
  <c r="BE25" i="17"/>
  <c r="BG28" i="17"/>
  <c r="AU28" i="17"/>
  <c r="L28" i="25" s="1"/>
  <c r="AW29" i="17"/>
  <c r="BE29" i="17"/>
  <c r="BG32" i="17"/>
  <c r="AU32" i="17"/>
  <c r="L32" i="25" s="1"/>
  <c r="BE33" i="17"/>
  <c r="AW33" i="17"/>
  <c r="BG36" i="17"/>
  <c r="AU36" i="17"/>
  <c r="L36" i="25" s="1"/>
  <c r="BE37" i="17"/>
  <c r="AW37" i="17"/>
  <c r="BG40" i="17"/>
  <c r="AU40" i="17"/>
  <c r="L40" i="25" s="1"/>
  <c r="AW41" i="17"/>
  <c r="BE41" i="17"/>
  <c r="BG44" i="17"/>
  <c r="AU44" i="17"/>
  <c r="L44" i="25" s="1"/>
  <c r="AW45" i="17"/>
  <c r="BE45" i="17"/>
  <c r="BG48" i="17"/>
  <c r="AU48" i="17"/>
  <c r="L48" i="25" s="1"/>
  <c r="BE49" i="17"/>
  <c r="AW49" i="17"/>
  <c r="BG52" i="17"/>
  <c r="AU52" i="17"/>
  <c r="L52" i="25" s="1"/>
  <c r="BE53" i="17"/>
  <c r="AW53" i="17"/>
  <c r="BG56" i="17"/>
  <c r="AU56" i="17"/>
  <c r="L56" i="25" s="1"/>
  <c r="AW57" i="17"/>
  <c r="BE57" i="17"/>
  <c r="BG60" i="17"/>
  <c r="AU60" i="17"/>
  <c r="L60" i="25" s="1"/>
  <c r="AW61" i="17"/>
  <c r="BE61" i="17"/>
  <c r="BG64" i="17"/>
  <c r="AU64" i="17"/>
  <c r="L64" i="25" s="1"/>
  <c r="BE65" i="17"/>
  <c r="AW65" i="17"/>
  <c r="BG68" i="17"/>
  <c r="AU68" i="17"/>
  <c r="L68" i="25" s="1"/>
  <c r="BE69" i="17"/>
  <c r="AW69" i="17"/>
  <c r="BG72" i="17"/>
  <c r="AU72" i="17"/>
  <c r="L72" i="25" s="1"/>
  <c r="AW73" i="17"/>
  <c r="BE73" i="17"/>
  <c r="BG76" i="17"/>
  <c r="AU76" i="17"/>
  <c r="L76" i="25" s="1"/>
  <c r="AW77" i="17"/>
  <c r="BE77" i="17"/>
  <c r="BG80" i="17"/>
  <c r="AU80" i="17"/>
  <c r="L80" i="25" s="1"/>
  <c r="BE81" i="17"/>
  <c r="AW81" i="17"/>
  <c r="BG84" i="17"/>
  <c r="AU84" i="17"/>
  <c r="L84" i="25" s="1"/>
  <c r="BE85" i="17"/>
  <c r="AW85" i="17"/>
  <c r="BG88" i="17"/>
  <c r="AU88" i="17"/>
  <c r="L88" i="25" s="1"/>
  <c r="AW89" i="17"/>
  <c r="BE89" i="17"/>
  <c r="BG92" i="17"/>
  <c r="AU92" i="17"/>
  <c r="L92" i="25" s="1"/>
  <c r="AW93" i="17"/>
  <c r="BE93" i="17"/>
  <c r="BG96" i="17"/>
  <c r="AU96" i="17"/>
  <c r="L96" i="25" s="1"/>
  <c r="BE97" i="17"/>
  <c r="AW97" i="17"/>
  <c r="BG100" i="17"/>
  <c r="AU100" i="17"/>
  <c r="L100" i="25" s="1"/>
  <c r="BE101" i="17"/>
  <c r="AW101" i="17"/>
  <c r="AX104" i="17"/>
  <c r="BG104" i="17"/>
  <c r="AU104" i="17"/>
  <c r="L104" i="25" s="1"/>
  <c r="BF105" i="17"/>
  <c r="AW105" i="17"/>
  <c r="BE105" i="17"/>
  <c r="AZ106" i="17"/>
  <c r="AX108" i="17"/>
  <c r="BG108" i="17"/>
  <c r="AU108" i="17"/>
  <c r="L108" i="25" s="1"/>
  <c r="BF109" i="17"/>
  <c r="AW109" i="17"/>
  <c r="BE109" i="17"/>
  <c r="BG112" i="17"/>
  <c r="AU112" i="17"/>
  <c r="L112" i="25" s="1"/>
  <c r="BE113" i="17"/>
  <c r="AW113" i="17"/>
  <c r="BG116" i="17"/>
  <c r="AU116" i="17"/>
  <c r="L116" i="25" s="1"/>
  <c r="BE117" i="17"/>
  <c r="AW117" i="17"/>
  <c r="BG120" i="17"/>
  <c r="AU120" i="17"/>
  <c r="L120" i="25" s="1"/>
  <c r="AW121" i="17"/>
  <c r="BE121" i="17"/>
  <c r="BG124" i="17"/>
  <c r="AU124" i="17"/>
  <c r="L124" i="25" s="1"/>
  <c r="AW125" i="17"/>
  <c r="BE125" i="17"/>
  <c r="BG128" i="17"/>
  <c r="AU128" i="17"/>
  <c r="L128" i="25" s="1"/>
  <c r="BE129" i="17"/>
  <c r="AW129" i="17"/>
  <c r="BG132" i="17"/>
  <c r="AU132" i="17"/>
  <c r="L132" i="25" s="1"/>
  <c r="BE133" i="17"/>
  <c r="AW133" i="17"/>
  <c r="BG136" i="17"/>
  <c r="AU136" i="17"/>
  <c r="L136" i="25" s="1"/>
  <c r="AW137" i="17"/>
  <c r="BE137" i="17"/>
  <c r="BG140" i="17"/>
  <c r="AU140" i="17"/>
  <c r="L140" i="25" s="1"/>
  <c r="AW141" i="17"/>
  <c r="BE141" i="17"/>
  <c r="BG144" i="17"/>
  <c r="AU144" i="17"/>
  <c r="L144" i="25" s="1"/>
  <c r="BE145" i="17"/>
  <c r="AW145" i="17"/>
  <c r="BG148" i="17"/>
  <c r="AU148" i="17"/>
  <c r="L148" i="25" s="1"/>
  <c r="BE149" i="17"/>
  <c r="AW149" i="17"/>
  <c r="BG152" i="17"/>
  <c r="AU152" i="17"/>
  <c r="L152" i="25" s="1"/>
  <c r="AW153" i="17"/>
  <c r="BE153" i="17"/>
  <c r="BG156" i="17"/>
  <c r="AU156" i="17"/>
  <c r="L156" i="25" s="1"/>
  <c r="BE157" i="17"/>
  <c r="AW157" i="17"/>
  <c r="BG160" i="17"/>
  <c r="AU160" i="17"/>
  <c r="L160" i="25" s="1"/>
  <c r="BE161" i="17"/>
  <c r="AW161" i="17"/>
  <c r="BG164" i="17"/>
  <c r="AU164" i="17"/>
  <c r="L164" i="25" s="1"/>
  <c r="BE165" i="17"/>
  <c r="AW165" i="17"/>
  <c r="BG168" i="17"/>
  <c r="AU168" i="17"/>
  <c r="L168" i="25" s="1"/>
  <c r="AW169" i="17"/>
  <c r="BE169" i="17"/>
  <c r="BG172" i="17"/>
  <c r="AU172" i="17"/>
  <c r="L172" i="25" s="1"/>
  <c r="BE173" i="17"/>
  <c r="AW173" i="17"/>
  <c r="BG176" i="17"/>
  <c r="AU176" i="17"/>
  <c r="L176" i="25" s="1"/>
  <c r="BE177" i="17"/>
  <c r="AW177" i="17"/>
  <c r="BG180" i="17"/>
  <c r="AU180" i="17"/>
  <c r="L180" i="25" s="1"/>
  <c r="BE181" i="17"/>
  <c r="AW181" i="17"/>
  <c r="BG184" i="17"/>
  <c r="AU184" i="17"/>
  <c r="L184" i="25" s="1"/>
  <c r="AW185" i="17"/>
  <c r="BE185" i="17"/>
  <c r="BG188" i="17"/>
  <c r="AU188" i="17"/>
  <c r="L188" i="25" s="1"/>
  <c r="BE189" i="17"/>
  <c r="AW189" i="17"/>
  <c r="BG192" i="17"/>
  <c r="AU192" i="17"/>
  <c r="L192" i="25" s="1"/>
  <c r="BE193" i="17"/>
  <c r="AW193" i="17"/>
  <c r="BG196" i="17"/>
  <c r="AU196" i="17"/>
  <c r="L196" i="25" s="1"/>
  <c r="BE197" i="17"/>
  <c r="AW197" i="17"/>
  <c r="BG200" i="17"/>
  <c r="AU200" i="17"/>
  <c r="L200" i="25" s="1"/>
  <c r="AW201" i="17"/>
  <c r="BE201" i="17"/>
  <c r="BG208" i="17"/>
  <c r="AU208" i="17"/>
  <c r="L208" i="25" s="1"/>
  <c r="BE209" i="17"/>
  <c r="AW209" i="17"/>
  <c r="BG212" i="17"/>
  <c r="AU212" i="17"/>
  <c r="L212" i="25" s="1"/>
  <c r="BE213" i="17"/>
  <c r="AW213" i="17"/>
  <c r="BG216" i="17"/>
  <c r="AU216" i="17"/>
  <c r="L216" i="25" s="1"/>
  <c r="BE217" i="17"/>
  <c r="AW217" i="17"/>
  <c r="BG220" i="17"/>
  <c r="AU220" i="17"/>
  <c r="L220" i="25" s="1"/>
  <c r="BE221" i="17"/>
  <c r="AW221" i="17"/>
  <c r="BG224" i="17"/>
  <c r="AU224" i="17"/>
  <c r="L224" i="25" s="1"/>
  <c r="BE225" i="17"/>
  <c r="AW225" i="17"/>
  <c r="BG228" i="17"/>
  <c r="AU228" i="17"/>
  <c r="L228" i="25" s="1"/>
  <c r="BE229" i="17"/>
  <c r="AW229" i="17"/>
  <c r="BG232" i="17"/>
  <c r="AU232" i="17"/>
  <c r="L232" i="25" s="1"/>
  <c r="BE233" i="17"/>
  <c r="AW233" i="17"/>
  <c r="BG236" i="17"/>
  <c r="AU236" i="17"/>
  <c r="L236" i="25" s="1"/>
  <c r="BE237" i="17"/>
  <c r="AW237" i="17"/>
  <c r="BG240" i="17"/>
  <c r="AU240" i="17"/>
  <c r="L240" i="25" s="1"/>
  <c r="BE241" i="17"/>
  <c r="AW241" i="17"/>
  <c r="BG244" i="17"/>
  <c r="AU244" i="17"/>
  <c r="L244" i="25" s="1"/>
  <c r="BE245" i="17"/>
  <c r="AW245" i="17"/>
  <c r="BG248" i="17"/>
  <c r="AU248" i="17"/>
  <c r="L248" i="25" s="1"/>
  <c r="BE249" i="17"/>
  <c r="AW249" i="17"/>
  <c r="BG252" i="17"/>
  <c r="AU252" i="17"/>
  <c r="L252" i="25" s="1"/>
  <c r="BE253" i="17"/>
  <c r="AW253" i="17"/>
  <c r="BG256" i="17"/>
  <c r="AU256" i="17"/>
  <c r="L256" i="25" s="1"/>
  <c r="BE257" i="17"/>
  <c r="AW257" i="17"/>
  <c r="BG260" i="17"/>
  <c r="AU260" i="17"/>
  <c r="L260" i="25" s="1"/>
  <c r="BE261" i="17"/>
  <c r="AW261" i="17"/>
  <c r="BG264" i="17"/>
  <c r="AU264" i="17"/>
  <c r="L264" i="25" s="1"/>
  <c r="BE265" i="17"/>
  <c r="AW265" i="17"/>
  <c r="BG268" i="17"/>
  <c r="AU268" i="17"/>
  <c r="L268" i="25" s="1"/>
  <c r="BE269" i="17"/>
  <c r="AW269" i="17"/>
  <c r="BG272" i="17"/>
  <c r="AU272" i="17"/>
  <c r="L272" i="25" s="1"/>
  <c r="BE273" i="17"/>
  <c r="AW273" i="17"/>
  <c r="BG276" i="17"/>
  <c r="AU276" i="17"/>
  <c r="L276" i="25" s="1"/>
  <c r="BE277" i="17"/>
  <c r="AW277" i="17"/>
  <c r="BG280" i="17"/>
  <c r="AU280" i="17"/>
  <c r="L280" i="25" s="1"/>
  <c r="BE281" i="17"/>
  <c r="AW281" i="17"/>
  <c r="BG284" i="17"/>
  <c r="AU284" i="17"/>
  <c r="L284" i="25" s="1"/>
  <c r="BE285" i="17"/>
  <c r="AW285" i="17"/>
  <c r="BG288" i="17"/>
  <c r="AU288" i="17"/>
  <c r="L288" i="25" s="1"/>
  <c r="BE289" i="17"/>
  <c r="AW289" i="17"/>
  <c r="BG292" i="17"/>
  <c r="AU292" i="17"/>
  <c r="L292" i="25" s="1"/>
  <c r="BE293" i="17"/>
  <c r="AW293" i="17"/>
  <c r="BG296" i="17"/>
  <c r="AU296" i="17"/>
  <c r="L296" i="25" s="1"/>
  <c r="BE297" i="17"/>
  <c r="AW297" i="17"/>
  <c r="BG300" i="17"/>
  <c r="AU300" i="17"/>
  <c r="L300" i="25" s="1"/>
  <c r="BE301" i="17"/>
  <c r="AW301" i="17"/>
  <c r="BG304" i="17"/>
  <c r="AU304" i="17"/>
  <c r="L304" i="25" s="1"/>
  <c r="BE305" i="17"/>
  <c r="AW305" i="17"/>
  <c r="BG308" i="17"/>
  <c r="AU308" i="17"/>
  <c r="L308" i="25" s="1"/>
  <c r="BE309" i="17"/>
  <c r="AW309" i="17"/>
  <c r="BG312" i="17"/>
  <c r="AU312" i="17"/>
  <c r="L312" i="25" s="1"/>
  <c r="BE313" i="17"/>
  <c r="AW313" i="17"/>
  <c r="BG316" i="17"/>
  <c r="AU316" i="17"/>
  <c r="L316" i="25" s="1"/>
  <c r="BE317" i="17"/>
  <c r="AW317" i="17"/>
  <c r="BG320" i="17"/>
  <c r="AU320" i="17"/>
  <c r="L320" i="25" s="1"/>
  <c r="BE321" i="17"/>
  <c r="AW321" i="17"/>
  <c r="BG324" i="17"/>
  <c r="AU324" i="17"/>
  <c r="L324" i="25" s="1"/>
  <c r="BE325" i="17"/>
  <c r="AW325" i="17"/>
  <c r="BG328" i="17"/>
  <c r="AU328" i="17"/>
  <c r="L328" i="25" s="1"/>
  <c r="BE329" i="17"/>
  <c r="AW329" i="17"/>
  <c r="BG332" i="17"/>
  <c r="AU332" i="17"/>
  <c r="L332" i="25" s="1"/>
  <c r="BE333" i="17"/>
  <c r="AW333" i="17"/>
  <c r="AX336" i="17"/>
  <c r="BG336" i="17"/>
  <c r="AU336" i="17"/>
  <c r="L336" i="25" s="1"/>
  <c r="BF337" i="17"/>
  <c r="BE337" i="17"/>
  <c r="AW337" i="17"/>
  <c r="AZ338" i="17"/>
  <c r="AX340" i="17"/>
  <c r="BG340" i="17"/>
  <c r="AU340" i="17"/>
  <c r="L340" i="25" s="1"/>
  <c r="BF341" i="17"/>
  <c r="BE341" i="17"/>
  <c r="AW341" i="17"/>
  <c r="AZ342" i="17"/>
  <c r="AX344" i="17"/>
  <c r="BG344" i="17"/>
  <c r="AU344" i="17"/>
  <c r="L344" i="25" s="1"/>
  <c r="BF345" i="17"/>
  <c r="BE345" i="17"/>
  <c r="AW345" i="17"/>
  <c r="AZ346" i="17"/>
  <c r="AX348" i="17"/>
  <c r="BG348" i="17"/>
  <c r="AU348" i="17"/>
  <c r="L348" i="25" s="1"/>
  <c r="BF349" i="17"/>
  <c r="BE349" i="17"/>
  <c r="AW349" i="17"/>
  <c r="AZ350" i="17"/>
  <c r="AX352" i="17"/>
  <c r="BG352" i="17"/>
  <c r="AU352" i="17"/>
  <c r="L352" i="25" s="1"/>
  <c r="BF353" i="17"/>
  <c r="BE353" i="17"/>
  <c r="AW353" i="17"/>
  <c r="AZ354" i="17"/>
  <c r="AX356" i="17"/>
  <c r="BG356" i="17"/>
  <c r="AU356" i="17"/>
  <c r="L356" i="25" s="1"/>
  <c r="BF357" i="17"/>
  <c r="BE357" i="17"/>
  <c r="AW357" i="17"/>
  <c r="AZ358" i="17"/>
  <c r="AX360" i="17"/>
  <c r="BG360" i="17"/>
  <c r="AU360" i="17"/>
  <c r="L360" i="25" s="1"/>
  <c r="BF361" i="17"/>
  <c r="BE361" i="17"/>
  <c r="AW361" i="17"/>
  <c r="AZ362" i="17"/>
  <c r="AX364" i="17"/>
  <c r="BG364" i="17"/>
  <c r="AU364" i="17"/>
  <c r="L364" i="25" s="1"/>
  <c r="BF365" i="17"/>
  <c r="BE365" i="17"/>
  <c r="AW365" i="17"/>
  <c r="AZ366" i="17"/>
  <c r="AX368" i="17"/>
  <c r="BG368" i="17"/>
  <c r="AU368" i="17"/>
  <c r="L368" i="25" s="1"/>
  <c r="BF369" i="17"/>
  <c r="BE369" i="17"/>
  <c r="AW369" i="17"/>
  <c r="AZ370" i="17"/>
  <c r="AX372" i="17"/>
  <c r="BG372" i="17"/>
  <c r="AU372" i="17"/>
  <c r="L372" i="25" s="1"/>
  <c r="BF373" i="17"/>
  <c r="BE373" i="17"/>
  <c r="AW373" i="17"/>
  <c r="AZ374" i="17"/>
  <c r="AX376" i="17"/>
  <c r="BG376" i="17"/>
  <c r="AU376" i="17"/>
  <c r="L376" i="25" s="1"/>
  <c r="BF377" i="17"/>
  <c r="BE377" i="17"/>
  <c r="AW377" i="17"/>
  <c r="AZ378" i="17"/>
  <c r="AX380" i="17"/>
  <c r="BG380" i="17"/>
  <c r="AU380" i="17"/>
  <c r="L380" i="25" s="1"/>
  <c r="BF381" i="17"/>
  <c r="BE381" i="17"/>
  <c r="AW381" i="17"/>
  <c r="AZ382" i="17"/>
  <c r="AX384" i="17"/>
  <c r="BG384" i="17"/>
  <c r="AU384" i="17"/>
  <c r="L384" i="25" s="1"/>
  <c r="BF385" i="17"/>
  <c r="BE385" i="17"/>
  <c r="AW385" i="17"/>
  <c r="AZ386" i="17"/>
  <c r="AX388" i="17"/>
  <c r="BG388" i="17"/>
  <c r="AU388" i="17"/>
  <c r="L388" i="25" s="1"/>
  <c r="BF389" i="17"/>
  <c r="BE389" i="17"/>
  <c r="AW389" i="17"/>
  <c r="AZ390" i="17"/>
  <c r="AX392" i="17"/>
  <c r="BG392" i="17"/>
  <c r="AU392" i="17"/>
  <c r="L392" i="25" s="1"/>
  <c r="BF393" i="17"/>
  <c r="BE393" i="17"/>
  <c r="AW393" i="17"/>
  <c r="AZ394" i="17"/>
  <c r="AX396" i="17"/>
  <c r="BG396" i="17"/>
  <c r="AU396" i="17"/>
  <c r="L396" i="25" s="1"/>
  <c r="BF397" i="17"/>
  <c r="BE397" i="17"/>
  <c r="AW397" i="17"/>
  <c r="AZ398" i="17"/>
  <c r="AX400" i="17"/>
  <c r="BG400" i="17"/>
  <c r="AU400" i="17"/>
  <c r="L400" i="25" s="1"/>
  <c r="BF401" i="17"/>
  <c r="BE401" i="17"/>
  <c r="AW401" i="17"/>
  <c r="AZ402" i="17"/>
  <c r="AX404" i="17"/>
  <c r="BG404" i="17"/>
  <c r="AU404" i="17"/>
  <c r="L404" i="25" s="1"/>
  <c r="BF405" i="17"/>
  <c r="BE405" i="17"/>
  <c r="AW405" i="17"/>
  <c r="AZ406" i="17"/>
  <c r="AX408" i="17"/>
  <c r="BG408" i="17"/>
  <c r="AU408" i="17"/>
  <c r="L408" i="25" s="1"/>
  <c r="BM404" i="19"/>
  <c r="BL404" i="19"/>
  <c r="BJ404" i="19"/>
  <c r="BG404" i="19"/>
  <c r="BI404" i="19"/>
  <c r="BK404" i="19"/>
  <c r="BH404" i="19"/>
  <c r="BL396" i="19"/>
  <c r="BM396" i="19"/>
  <c r="BJ396" i="19"/>
  <c r="BG396" i="19"/>
  <c r="BK396" i="19"/>
  <c r="BI396" i="19"/>
  <c r="BH396" i="19"/>
  <c r="BM388" i="19"/>
  <c r="BL388" i="19"/>
  <c r="BJ388" i="19"/>
  <c r="BG388" i="19"/>
  <c r="BK388" i="19"/>
  <c r="BI388" i="19"/>
  <c r="BH388" i="19"/>
  <c r="BL380" i="19"/>
  <c r="BJ380" i="19"/>
  <c r="BG380" i="19"/>
  <c r="BM380" i="19"/>
  <c r="BK380" i="19"/>
  <c r="BI380" i="19"/>
  <c r="BH380" i="19"/>
  <c r="BM372" i="19"/>
  <c r="BL372" i="19"/>
  <c r="BJ372" i="19"/>
  <c r="BG372" i="19"/>
  <c r="BK372" i="19"/>
  <c r="BI372" i="19"/>
  <c r="BH372" i="19"/>
  <c r="BL364" i="19"/>
  <c r="BJ364" i="19"/>
  <c r="BG364" i="19"/>
  <c r="BK364" i="19"/>
  <c r="BM364" i="19"/>
  <c r="BI364" i="19"/>
  <c r="BH364" i="19"/>
  <c r="BM356" i="19"/>
  <c r="BL356" i="19"/>
  <c r="BJ356" i="19"/>
  <c r="BG356" i="19"/>
  <c r="BK356" i="19"/>
  <c r="BI356" i="19"/>
  <c r="BH356" i="19"/>
  <c r="BL348" i="19"/>
  <c r="BJ348" i="19"/>
  <c r="BM348" i="19"/>
  <c r="BG348" i="19"/>
  <c r="BK348" i="19"/>
  <c r="BI348" i="19"/>
  <c r="BH348" i="19"/>
  <c r="BM340" i="19"/>
  <c r="BL340" i="19"/>
  <c r="BJ340" i="19"/>
  <c r="BG340" i="19"/>
  <c r="BI340" i="19"/>
  <c r="BH340" i="19"/>
  <c r="BM332" i="19"/>
  <c r="BL332" i="19"/>
  <c r="BJ332" i="19"/>
  <c r="BG332" i="19"/>
  <c r="BK332" i="19"/>
  <c r="BI332" i="19"/>
  <c r="BH332" i="19"/>
  <c r="BM320" i="19"/>
  <c r="BL320" i="19"/>
  <c r="BJ320" i="19"/>
  <c r="BK320" i="19"/>
  <c r="BG320" i="19"/>
  <c r="BI320" i="19"/>
  <c r="BH320" i="19"/>
  <c r="BM312" i="19"/>
  <c r="BL312" i="19"/>
  <c r="BJ312" i="19"/>
  <c r="BG312" i="19"/>
  <c r="BH312" i="19"/>
  <c r="BK312" i="19"/>
  <c r="BI312" i="19"/>
  <c r="BM304" i="19"/>
  <c r="BL304" i="19"/>
  <c r="BJ304" i="19"/>
  <c r="BG304" i="19"/>
  <c r="BI304" i="19"/>
  <c r="BH304" i="19"/>
  <c r="BM296" i="19"/>
  <c r="BL296" i="19"/>
  <c r="BJ296" i="19"/>
  <c r="BG296" i="19"/>
  <c r="BH296" i="19"/>
  <c r="BK296" i="19"/>
  <c r="BI296" i="19"/>
  <c r="BM288" i="19"/>
  <c r="BL288" i="19"/>
  <c r="BJ288" i="19"/>
  <c r="BK288" i="19"/>
  <c r="BG288" i="19"/>
  <c r="BI288" i="19"/>
  <c r="BH288" i="19"/>
  <c r="BM280" i="19"/>
  <c r="BL280" i="19"/>
  <c r="BJ280" i="19"/>
  <c r="BG280" i="19"/>
  <c r="BK280" i="19"/>
  <c r="BH280" i="19"/>
  <c r="BI280" i="19"/>
  <c r="BM272" i="19"/>
  <c r="BL272" i="19"/>
  <c r="BJ272" i="19"/>
  <c r="BK272" i="19"/>
  <c r="BG272" i="19"/>
  <c r="BI272" i="19"/>
  <c r="BH272" i="19"/>
  <c r="BM264" i="19"/>
  <c r="BL264" i="19"/>
  <c r="BJ264" i="19"/>
  <c r="BG264" i="19"/>
  <c r="BK264" i="19"/>
  <c r="BH264" i="19"/>
  <c r="BI264" i="19"/>
  <c r="BM256" i="19"/>
  <c r="BL256" i="19"/>
  <c r="BJ256" i="19"/>
  <c r="BK256" i="19"/>
  <c r="BG256" i="19"/>
  <c r="BI256" i="19"/>
  <c r="BH256" i="19"/>
  <c r="BM248" i="19"/>
  <c r="BL248" i="19"/>
  <c r="BJ248" i="19"/>
  <c r="BG248" i="19"/>
  <c r="BH248" i="19"/>
  <c r="BK248" i="19"/>
  <c r="BI248" i="19"/>
  <c r="BM240" i="19"/>
  <c r="BL240" i="19"/>
  <c r="BJ240" i="19"/>
  <c r="BK240" i="19"/>
  <c r="BG240" i="19"/>
  <c r="BI240" i="19"/>
  <c r="BH240" i="19"/>
  <c r="BM232" i="19"/>
  <c r="BL232" i="19"/>
  <c r="BJ232" i="19"/>
  <c r="BG232" i="19"/>
  <c r="BK232" i="19"/>
  <c r="BH232" i="19"/>
  <c r="BI232" i="19"/>
  <c r="BM224" i="19"/>
  <c r="BL224" i="19"/>
  <c r="BJ224" i="19"/>
  <c r="BK224" i="19"/>
  <c r="BG224" i="19"/>
  <c r="BI224" i="19"/>
  <c r="BH224" i="19"/>
  <c r="BM216" i="19"/>
  <c r="BL216" i="19"/>
  <c r="BJ216" i="19"/>
  <c r="BG216" i="19"/>
  <c r="BK216" i="19"/>
  <c r="BH216" i="19"/>
  <c r="BI216" i="19"/>
  <c r="BM208" i="19"/>
  <c r="BL208" i="19"/>
  <c r="BJ208" i="19"/>
  <c r="BK208" i="19"/>
  <c r="BG208" i="19"/>
  <c r="BI208" i="19"/>
  <c r="BH208" i="19"/>
  <c r="BM196" i="19"/>
  <c r="BL196" i="19"/>
  <c r="BJ196" i="19"/>
  <c r="BG196" i="19"/>
  <c r="BI196" i="19"/>
  <c r="BH196" i="19"/>
  <c r="BK196" i="19"/>
  <c r="BM188" i="19"/>
  <c r="BL188" i="19"/>
  <c r="BJ188" i="19"/>
  <c r="BG188" i="19"/>
  <c r="BK188" i="19"/>
  <c r="BI188" i="19"/>
  <c r="BH188" i="19"/>
  <c r="BM184" i="19"/>
  <c r="BL184" i="19"/>
  <c r="BJ184" i="19"/>
  <c r="BG184" i="19"/>
  <c r="BH184" i="19"/>
  <c r="BI184" i="19"/>
  <c r="BK184" i="19"/>
  <c r="BM176" i="19"/>
  <c r="BL176" i="19"/>
  <c r="BJ176" i="19"/>
  <c r="BK176" i="19"/>
  <c r="BG176" i="19"/>
  <c r="BI176" i="19"/>
  <c r="BH176" i="19"/>
  <c r="BM168" i="19"/>
  <c r="BL168" i="19"/>
  <c r="BJ168" i="19"/>
  <c r="BG168" i="19"/>
  <c r="BH168" i="19"/>
  <c r="BK168" i="19"/>
  <c r="BI168" i="19"/>
  <c r="BM156" i="19"/>
  <c r="BL156" i="19"/>
  <c r="BJ156" i="19"/>
  <c r="BI156" i="19"/>
  <c r="BG156" i="19"/>
  <c r="BK156" i="19"/>
  <c r="BH156" i="19"/>
  <c r="BM148" i="19"/>
  <c r="BL148" i="19"/>
  <c r="BJ148" i="19"/>
  <c r="BG148" i="19"/>
  <c r="BK148" i="19"/>
  <c r="BH148" i="19"/>
  <c r="BI148" i="19"/>
  <c r="BM140" i="19"/>
  <c r="BL140" i="19"/>
  <c r="BJ140" i="19"/>
  <c r="BI140" i="19"/>
  <c r="BG140" i="19"/>
  <c r="BK140" i="19"/>
  <c r="BH140" i="19"/>
  <c r="BM132" i="19"/>
  <c r="BL132" i="19"/>
  <c r="BJ132" i="19"/>
  <c r="BG132" i="19"/>
  <c r="BK132" i="19"/>
  <c r="BH132" i="19"/>
  <c r="BI132" i="19"/>
  <c r="BM124" i="19"/>
  <c r="BL124" i="19"/>
  <c r="BJ124" i="19"/>
  <c r="BI124" i="19"/>
  <c r="BG124" i="19"/>
  <c r="BK124" i="19"/>
  <c r="BH124" i="19"/>
  <c r="BM116" i="19"/>
  <c r="BL116" i="19"/>
  <c r="BJ116" i="19"/>
  <c r="BG116" i="19"/>
  <c r="BK116" i="19"/>
  <c r="BI116" i="19"/>
  <c r="BH116" i="19"/>
  <c r="BM108" i="19"/>
  <c r="BL108" i="19"/>
  <c r="BJ108" i="19"/>
  <c r="BI108" i="19"/>
  <c r="BG108" i="19"/>
  <c r="BH108" i="19"/>
  <c r="BM100" i="19"/>
  <c r="BJ100" i="19"/>
  <c r="BK100" i="19"/>
  <c r="BG100" i="19"/>
  <c r="BL100" i="19"/>
  <c r="BI100" i="19"/>
  <c r="BH100" i="19"/>
  <c r="BM88" i="19"/>
  <c r="BL88" i="19"/>
  <c r="BJ88" i="19"/>
  <c r="BG88" i="19"/>
  <c r="BH88" i="19"/>
  <c r="BI88" i="19"/>
  <c r="BK88" i="19"/>
  <c r="BM80" i="19"/>
  <c r="BK80" i="19"/>
  <c r="BJ80" i="19"/>
  <c r="BG80" i="19"/>
  <c r="BL80" i="19"/>
  <c r="BI80" i="19"/>
  <c r="BH80" i="19"/>
  <c r="BM72" i="19"/>
  <c r="BL72" i="19"/>
  <c r="BJ72" i="19"/>
  <c r="BK72" i="19"/>
  <c r="BG72" i="19"/>
  <c r="BI72" i="19"/>
  <c r="BH72" i="19"/>
  <c r="BM64" i="19"/>
  <c r="BK64" i="19"/>
  <c r="BJ64" i="19"/>
  <c r="BL64" i="19"/>
  <c r="BG64" i="19"/>
  <c r="BI64" i="19"/>
  <c r="BH64" i="19"/>
  <c r="BM56" i="19"/>
  <c r="BL56" i="19"/>
  <c r="BJ56" i="19"/>
  <c r="BG56" i="19"/>
  <c r="BH56" i="19"/>
  <c r="BI56" i="19"/>
  <c r="BM48" i="19"/>
  <c r="BK48" i="19"/>
  <c r="BJ48" i="19"/>
  <c r="BG48" i="19"/>
  <c r="BL48" i="19"/>
  <c r="BI48" i="19"/>
  <c r="BH48" i="19"/>
  <c r="BM40" i="19"/>
  <c r="BL40" i="19"/>
  <c r="BJ40" i="19"/>
  <c r="BG40" i="19"/>
  <c r="BI40" i="19"/>
  <c r="BK40" i="19"/>
  <c r="BH40" i="19"/>
  <c r="BM32" i="19"/>
  <c r="BL32" i="19"/>
  <c r="BK32" i="19"/>
  <c r="BJ32" i="19"/>
  <c r="BG32" i="19"/>
  <c r="BI32" i="19"/>
  <c r="BH32" i="19"/>
  <c r="BM24" i="19"/>
  <c r="BL24" i="19"/>
  <c r="BJ24" i="19"/>
  <c r="BG24" i="19"/>
  <c r="BH24" i="19"/>
  <c r="BK24" i="19"/>
  <c r="BI24" i="19"/>
  <c r="BM16" i="19"/>
  <c r="BK16" i="19"/>
  <c r="BJ16" i="19"/>
  <c r="BL16" i="19"/>
  <c r="BG16" i="19"/>
  <c r="BI16" i="19"/>
  <c r="BH16" i="19"/>
  <c r="BL407" i="19"/>
  <c r="BK407" i="19"/>
  <c r="BH407" i="19"/>
  <c r="BM407" i="19"/>
  <c r="BJ407" i="19"/>
  <c r="BG407" i="19"/>
  <c r="BI407" i="19"/>
  <c r="BM403" i="19"/>
  <c r="BK403" i="19"/>
  <c r="BJ403" i="19"/>
  <c r="BH403" i="19"/>
  <c r="BG403" i="19"/>
  <c r="BL403" i="19"/>
  <c r="BI403" i="19"/>
  <c r="BM399" i="19"/>
  <c r="BK399" i="19"/>
  <c r="BH399" i="19"/>
  <c r="BJ399" i="19"/>
  <c r="BI399" i="19"/>
  <c r="BL399" i="19"/>
  <c r="BG399" i="19"/>
  <c r="BK395" i="19"/>
  <c r="BM395" i="19"/>
  <c r="BH395" i="19"/>
  <c r="BL395" i="19"/>
  <c r="BG395" i="19"/>
  <c r="BJ395" i="19"/>
  <c r="BI395" i="19"/>
  <c r="BL391" i="19"/>
  <c r="BK391" i="19"/>
  <c r="BH391" i="19"/>
  <c r="BJ391" i="19"/>
  <c r="BM391" i="19"/>
  <c r="BG391" i="19"/>
  <c r="BI391" i="19"/>
  <c r="BK387" i="19"/>
  <c r="BL387" i="19"/>
  <c r="BJ387" i="19"/>
  <c r="BH387" i="19"/>
  <c r="BM387" i="19"/>
  <c r="BI387" i="19"/>
  <c r="BG387" i="19"/>
  <c r="BM383" i="19"/>
  <c r="BH383" i="19"/>
  <c r="BJ383" i="19"/>
  <c r="BI383" i="19"/>
  <c r="BG383" i="19"/>
  <c r="BL383" i="19"/>
  <c r="BK379" i="19"/>
  <c r="BL379" i="19"/>
  <c r="BH379" i="19"/>
  <c r="BJ379" i="19"/>
  <c r="BG379" i="19"/>
  <c r="BI379" i="19"/>
  <c r="BM379" i="19"/>
  <c r="BM375" i="19"/>
  <c r="BL375" i="19"/>
  <c r="BK375" i="19"/>
  <c r="BH375" i="19"/>
  <c r="BJ375" i="19"/>
  <c r="BG375" i="19"/>
  <c r="BI375" i="19"/>
  <c r="BK371" i="19"/>
  <c r="BJ371" i="19"/>
  <c r="BH371" i="19"/>
  <c r="BM371" i="19"/>
  <c r="BL371" i="19"/>
  <c r="BG371" i="19"/>
  <c r="BI371" i="19"/>
  <c r="BM367" i="19"/>
  <c r="BK367" i="19"/>
  <c r="BH367" i="19"/>
  <c r="BL367" i="19"/>
  <c r="BI367" i="19"/>
  <c r="BJ367" i="19"/>
  <c r="BG367" i="19"/>
  <c r="BK363" i="19"/>
  <c r="BH363" i="19"/>
  <c r="BJ363" i="19"/>
  <c r="BM363" i="19"/>
  <c r="BG363" i="19"/>
  <c r="BI363" i="19"/>
  <c r="BL363" i="19"/>
  <c r="BL359" i="19"/>
  <c r="BK359" i="19"/>
  <c r="BH359" i="19"/>
  <c r="BM359" i="19"/>
  <c r="BG359" i="19"/>
  <c r="BJ359" i="19"/>
  <c r="BI359" i="19"/>
  <c r="BJ355" i="19"/>
  <c r="BH355" i="19"/>
  <c r="BM355" i="19"/>
  <c r="BL355" i="19"/>
  <c r="BI355" i="19"/>
  <c r="BG355" i="19"/>
  <c r="BM351" i="19"/>
  <c r="BK351" i="19"/>
  <c r="BL351" i="19"/>
  <c r="BH351" i="19"/>
  <c r="BJ351" i="19"/>
  <c r="BI351" i="19"/>
  <c r="BG351" i="19"/>
  <c r="BM347" i="19"/>
  <c r="BK347" i="19"/>
  <c r="BH347" i="19"/>
  <c r="BL347" i="19"/>
  <c r="BJ347" i="19"/>
  <c r="BG347" i="19"/>
  <c r="BI347" i="19"/>
  <c r="BL343" i="19"/>
  <c r="BH343" i="19"/>
  <c r="BM343" i="19"/>
  <c r="BG343" i="19"/>
  <c r="BI343" i="19"/>
  <c r="BJ343" i="19"/>
  <c r="BM339" i="19"/>
  <c r="BK339" i="19"/>
  <c r="BJ339" i="19"/>
  <c r="BH339" i="19"/>
  <c r="BL339" i="19"/>
  <c r="BG339" i="19"/>
  <c r="BI339" i="19"/>
  <c r="BM335" i="19"/>
  <c r="BK335" i="19"/>
  <c r="BH335" i="19"/>
  <c r="BJ335" i="19"/>
  <c r="BI335" i="19"/>
  <c r="BL335" i="19"/>
  <c r="BG335" i="19"/>
  <c r="BK331" i="19"/>
  <c r="BH331" i="19"/>
  <c r="BL331" i="19"/>
  <c r="BM331" i="19"/>
  <c r="BG331" i="19"/>
  <c r="BI331" i="19"/>
  <c r="BJ331" i="19"/>
  <c r="BM327" i="19"/>
  <c r="BL327" i="19"/>
  <c r="BK327" i="19"/>
  <c r="BH327" i="19"/>
  <c r="BJ327" i="19"/>
  <c r="BG327" i="19"/>
  <c r="BI327" i="19"/>
  <c r="BM323" i="19"/>
  <c r="BL323" i="19"/>
  <c r="BJ323" i="19"/>
  <c r="BH323" i="19"/>
  <c r="BI323" i="19"/>
  <c r="BG323" i="19"/>
  <c r="BM319" i="19"/>
  <c r="BK319" i="19"/>
  <c r="BH319" i="19"/>
  <c r="BL319" i="19"/>
  <c r="BJ319" i="19"/>
  <c r="BI319" i="19"/>
  <c r="BG319" i="19"/>
  <c r="BK315" i="19"/>
  <c r="BM315" i="19"/>
  <c r="BL315" i="19"/>
  <c r="BH315" i="19"/>
  <c r="BG315" i="19"/>
  <c r="BI315" i="19"/>
  <c r="BJ315" i="19"/>
  <c r="BM311" i="19"/>
  <c r="BL311" i="19"/>
  <c r="BK311" i="19"/>
  <c r="BH311" i="19"/>
  <c r="BJ311" i="19"/>
  <c r="BG311" i="19"/>
  <c r="BI311" i="19"/>
  <c r="BM307" i="19"/>
  <c r="BK307" i="19"/>
  <c r="BJ307" i="19"/>
  <c r="BH307" i="19"/>
  <c r="BG307" i="19"/>
  <c r="BI307" i="19"/>
  <c r="BL307" i="19"/>
  <c r="BM303" i="19"/>
  <c r="BK303" i="19"/>
  <c r="BH303" i="19"/>
  <c r="BL303" i="19"/>
  <c r="BI303" i="19"/>
  <c r="BJ303" i="19"/>
  <c r="BG303" i="19"/>
  <c r="BM299" i="19"/>
  <c r="BH299" i="19"/>
  <c r="BL299" i="19"/>
  <c r="BJ299" i="19"/>
  <c r="BG299" i="19"/>
  <c r="BI299" i="19"/>
  <c r="BM295" i="19"/>
  <c r="BL295" i="19"/>
  <c r="BH295" i="19"/>
  <c r="BJ295" i="19"/>
  <c r="BG295" i="19"/>
  <c r="BI295" i="19"/>
  <c r="BK291" i="19"/>
  <c r="BJ291" i="19"/>
  <c r="BH291" i="19"/>
  <c r="BM291" i="19"/>
  <c r="BL291" i="19"/>
  <c r="BI291" i="19"/>
  <c r="BG291" i="19"/>
  <c r="BM287" i="19"/>
  <c r="BL287" i="19"/>
  <c r="BH287" i="19"/>
  <c r="BI287" i="19"/>
  <c r="BG287" i="19"/>
  <c r="BJ287" i="19"/>
  <c r="BK283" i="19"/>
  <c r="BH283" i="19"/>
  <c r="BJ283" i="19"/>
  <c r="BL283" i="19"/>
  <c r="BM283" i="19"/>
  <c r="BG283" i="19"/>
  <c r="BI283" i="19"/>
  <c r="BM279" i="19"/>
  <c r="BL279" i="19"/>
  <c r="BK279" i="19"/>
  <c r="BH279" i="19"/>
  <c r="BJ279" i="19"/>
  <c r="BG279" i="19"/>
  <c r="BI279" i="19"/>
  <c r="BM275" i="19"/>
  <c r="BK275" i="19"/>
  <c r="BJ275" i="19"/>
  <c r="BH275" i="19"/>
  <c r="BL275" i="19"/>
  <c r="BG275" i="19"/>
  <c r="BI275" i="19"/>
  <c r="BM271" i="19"/>
  <c r="BK271" i="19"/>
  <c r="BH271" i="19"/>
  <c r="BL271" i="19"/>
  <c r="BJ271" i="19"/>
  <c r="BI271" i="19"/>
  <c r="BG271" i="19"/>
  <c r="BM267" i="19"/>
  <c r="BK267" i="19"/>
  <c r="BH267" i="19"/>
  <c r="BG267" i="19"/>
  <c r="BJ267" i="19"/>
  <c r="BI267" i="19"/>
  <c r="BL267" i="19"/>
  <c r="BM263" i="19"/>
  <c r="BL263" i="19"/>
  <c r="BK263" i="19"/>
  <c r="BH263" i="19"/>
  <c r="BJ263" i="19"/>
  <c r="BG263" i="19"/>
  <c r="BI263" i="19"/>
  <c r="BK259" i="19"/>
  <c r="BM259" i="19"/>
  <c r="BL259" i="19"/>
  <c r="BJ259" i="19"/>
  <c r="BH259" i="19"/>
  <c r="BI259" i="19"/>
  <c r="BG259" i="19"/>
  <c r="BM255" i="19"/>
  <c r="BK255" i="19"/>
  <c r="BH255" i="19"/>
  <c r="BJ255" i="19"/>
  <c r="BL255" i="19"/>
  <c r="BI255" i="19"/>
  <c r="BG255" i="19"/>
  <c r="BM251" i="19"/>
  <c r="BK251" i="19"/>
  <c r="BL251" i="19"/>
  <c r="BH251" i="19"/>
  <c r="BJ251" i="19"/>
  <c r="BG251" i="19"/>
  <c r="BI251" i="19"/>
  <c r="BM247" i="19"/>
  <c r="BL247" i="19"/>
  <c r="BK247" i="19"/>
  <c r="BH247" i="19"/>
  <c r="BJ247" i="19"/>
  <c r="BG247" i="19"/>
  <c r="BI247" i="19"/>
  <c r="BM243" i="19"/>
  <c r="BK243" i="19"/>
  <c r="BJ243" i="19"/>
  <c r="BH243" i="19"/>
  <c r="BL243" i="19"/>
  <c r="BG243" i="19"/>
  <c r="BI243" i="19"/>
  <c r="BM239" i="19"/>
  <c r="BK239" i="19"/>
  <c r="BH239" i="19"/>
  <c r="BL239" i="19"/>
  <c r="BI239" i="19"/>
  <c r="BJ239" i="19"/>
  <c r="BG239" i="19"/>
  <c r="BK235" i="19"/>
  <c r="BH235" i="19"/>
  <c r="BL235" i="19"/>
  <c r="BJ235" i="19"/>
  <c r="BG235" i="19"/>
  <c r="BM235" i="19"/>
  <c r="BI235" i="19"/>
  <c r="BM231" i="19"/>
  <c r="BL231" i="19"/>
  <c r="BK231" i="19"/>
  <c r="BH231" i="19"/>
  <c r="BG231" i="19"/>
  <c r="BI231" i="19"/>
  <c r="BJ231" i="19"/>
  <c r="BK227" i="19"/>
  <c r="BJ227" i="19"/>
  <c r="BH227" i="19"/>
  <c r="BM227" i="19"/>
  <c r="BL227" i="19"/>
  <c r="BI227" i="19"/>
  <c r="BG227" i="19"/>
  <c r="BM223" i="19"/>
  <c r="BK223" i="19"/>
  <c r="BL223" i="19"/>
  <c r="BH223" i="19"/>
  <c r="BJ223" i="19"/>
  <c r="BI223" i="19"/>
  <c r="BG223" i="19"/>
  <c r="BK219" i="19"/>
  <c r="BM219" i="19"/>
  <c r="BH219" i="19"/>
  <c r="BJ219" i="19"/>
  <c r="BL219" i="19"/>
  <c r="BG219" i="19"/>
  <c r="BI219" i="19"/>
  <c r="BM215" i="19"/>
  <c r="BL215" i="19"/>
  <c r="BK215" i="19"/>
  <c r="BH215" i="19"/>
  <c r="BG215" i="19"/>
  <c r="BJ215" i="19"/>
  <c r="BI215" i="19"/>
  <c r="BM211" i="19"/>
  <c r="BK211" i="19"/>
  <c r="BJ211" i="19"/>
  <c r="BH211" i="19"/>
  <c r="BL211" i="19"/>
  <c r="BG211" i="19"/>
  <c r="BI211" i="19"/>
  <c r="BM207" i="19"/>
  <c r="BK207" i="19"/>
  <c r="BH207" i="19"/>
  <c r="BL207" i="19"/>
  <c r="BJ207" i="19"/>
  <c r="BI207" i="19"/>
  <c r="BG207" i="19"/>
  <c r="BK203" i="19"/>
  <c r="BM203" i="19"/>
  <c r="BH203" i="19"/>
  <c r="BG203" i="19"/>
  <c r="BL203" i="19"/>
  <c r="BI203" i="19"/>
  <c r="BJ203" i="19"/>
  <c r="BM199" i="19"/>
  <c r="BL199" i="19"/>
  <c r="BK199" i="19"/>
  <c r="BH199" i="19"/>
  <c r="BJ199" i="19"/>
  <c r="BG199" i="19"/>
  <c r="BI199" i="19"/>
  <c r="BM195" i="19"/>
  <c r="BK195" i="19"/>
  <c r="BL195" i="19"/>
  <c r="BJ195" i="19"/>
  <c r="BH195" i="19"/>
  <c r="BI195" i="19"/>
  <c r="BG195" i="19"/>
  <c r="BM191" i="19"/>
  <c r="BK191" i="19"/>
  <c r="BH191" i="19"/>
  <c r="BJ191" i="19"/>
  <c r="BI191" i="19"/>
  <c r="BG191" i="19"/>
  <c r="BL191" i="19"/>
  <c r="BL187" i="19"/>
  <c r="BH187" i="19"/>
  <c r="BG187" i="19"/>
  <c r="BM187" i="19"/>
  <c r="BI187" i="19"/>
  <c r="BJ187" i="19"/>
  <c r="BM183" i="19"/>
  <c r="BL183" i="19"/>
  <c r="BK183" i="19"/>
  <c r="BH183" i="19"/>
  <c r="BJ183" i="19"/>
  <c r="BG183" i="19"/>
  <c r="BI183" i="19"/>
  <c r="BM179" i="19"/>
  <c r="BK179" i="19"/>
  <c r="BJ179" i="19"/>
  <c r="BH179" i="19"/>
  <c r="BL179" i="19"/>
  <c r="BG179" i="19"/>
  <c r="BI179" i="19"/>
  <c r="BM175" i="19"/>
  <c r="BK175" i="19"/>
  <c r="BH175" i="19"/>
  <c r="BI175" i="19"/>
  <c r="BL175" i="19"/>
  <c r="BJ175" i="19"/>
  <c r="BG175" i="19"/>
  <c r="BH171" i="19"/>
  <c r="BM171" i="19"/>
  <c r="BJ171" i="19"/>
  <c r="BG171" i="19"/>
  <c r="BI171" i="19"/>
  <c r="BL171" i="19"/>
  <c r="BM167" i="19"/>
  <c r="BL167" i="19"/>
  <c r="BK167" i="19"/>
  <c r="BH167" i="19"/>
  <c r="BJ167" i="19"/>
  <c r="BG167" i="19"/>
  <c r="BI167" i="19"/>
  <c r="BM163" i="19"/>
  <c r="BJ163" i="19"/>
  <c r="BH163" i="19"/>
  <c r="BL163" i="19"/>
  <c r="BI163" i="19"/>
  <c r="BG163" i="19"/>
  <c r="BM159" i="19"/>
  <c r="BK159" i="19"/>
  <c r="BL159" i="19"/>
  <c r="BH159" i="19"/>
  <c r="BI159" i="19"/>
  <c r="BJ159" i="19"/>
  <c r="BG159" i="19"/>
  <c r="BK155" i="19"/>
  <c r="BH155" i="19"/>
  <c r="BJ155" i="19"/>
  <c r="BG155" i="19"/>
  <c r="BM155" i="19"/>
  <c r="BI155" i="19"/>
  <c r="BL155" i="19"/>
  <c r="BM151" i="19"/>
  <c r="BL151" i="19"/>
  <c r="BK151" i="19"/>
  <c r="BI151" i="19"/>
  <c r="BH151" i="19"/>
  <c r="BJ151" i="19"/>
  <c r="BG151" i="19"/>
  <c r="BM147" i="19"/>
  <c r="BK147" i="19"/>
  <c r="BJ147" i="19"/>
  <c r="BH147" i="19"/>
  <c r="BL147" i="19"/>
  <c r="BI147" i="19"/>
  <c r="BG147" i="19"/>
  <c r="BM143" i="19"/>
  <c r="BK143" i="19"/>
  <c r="BH143" i="19"/>
  <c r="BJ143" i="19"/>
  <c r="BL143" i="19"/>
  <c r="BI143" i="19"/>
  <c r="BG143" i="19"/>
  <c r="BM139" i="19"/>
  <c r="BK139" i="19"/>
  <c r="BH139" i="19"/>
  <c r="BL139" i="19"/>
  <c r="BG139" i="19"/>
  <c r="BJ139" i="19"/>
  <c r="BI139" i="19"/>
  <c r="BM135" i="19"/>
  <c r="BL135" i="19"/>
  <c r="BI135" i="19"/>
  <c r="BH135" i="19"/>
  <c r="BJ135" i="19"/>
  <c r="BG135" i="19"/>
  <c r="BK131" i="19"/>
  <c r="BL131" i="19"/>
  <c r="BJ131" i="19"/>
  <c r="BH131" i="19"/>
  <c r="BM131" i="19"/>
  <c r="BI131" i="19"/>
  <c r="BG131" i="19"/>
  <c r="BM127" i="19"/>
  <c r="BK127" i="19"/>
  <c r="BH127" i="19"/>
  <c r="BJ127" i="19"/>
  <c r="BL127" i="19"/>
  <c r="BG127" i="19"/>
  <c r="BI127" i="19"/>
  <c r="BM123" i="19"/>
  <c r="BK123" i="19"/>
  <c r="BL123" i="19"/>
  <c r="BH123" i="19"/>
  <c r="BJ123" i="19"/>
  <c r="BG123" i="19"/>
  <c r="BI123" i="19"/>
  <c r="BM119" i="19"/>
  <c r="BL119" i="19"/>
  <c r="BI119" i="19"/>
  <c r="BH119" i="19"/>
  <c r="BJ119" i="19"/>
  <c r="BG119" i="19"/>
  <c r="BM115" i="19"/>
  <c r="BK115" i="19"/>
  <c r="BJ115" i="19"/>
  <c r="BH115" i="19"/>
  <c r="BI115" i="19"/>
  <c r="BG115" i="19"/>
  <c r="BL115" i="19"/>
  <c r="BM111" i="19"/>
  <c r="BH111" i="19"/>
  <c r="BL111" i="19"/>
  <c r="BK111" i="19"/>
  <c r="BJ111" i="19"/>
  <c r="BI111" i="19"/>
  <c r="BG111" i="19"/>
  <c r="BK107" i="19"/>
  <c r="BM107" i="19"/>
  <c r="BH107" i="19"/>
  <c r="BJ107" i="19"/>
  <c r="BI107" i="19"/>
  <c r="BG107" i="19"/>
  <c r="BL107" i="19"/>
  <c r="BM103" i="19"/>
  <c r="BL103" i="19"/>
  <c r="BI103" i="19"/>
  <c r="BH103" i="19"/>
  <c r="BK103" i="19"/>
  <c r="BG103" i="19"/>
  <c r="BJ103" i="19"/>
  <c r="BL99" i="19"/>
  <c r="BJ99" i="19"/>
  <c r="BH99" i="19"/>
  <c r="BM99" i="19"/>
  <c r="BK99" i="19"/>
  <c r="BI99" i="19"/>
  <c r="BG99" i="19"/>
  <c r="BM95" i="19"/>
  <c r="BL95" i="19"/>
  <c r="BH95" i="19"/>
  <c r="BK95" i="19"/>
  <c r="BJ95" i="19"/>
  <c r="BI95" i="19"/>
  <c r="BG95" i="19"/>
  <c r="BL91" i="19"/>
  <c r="BK91" i="19"/>
  <c r="BH91" i="19"/>
  <c r="BM91" i="19"/>
  <c r="BJ91" i="19"/>
  <c r="BG91" i="19"/>
  <c r="BI91" i="19"/>
  <c r="BM87" i="19"/>
  <c r="BL87" i="19"/>
  <c r="BK87" i="19"/>
  <c r="BI87" i="19"/>
  <c r="BH87" i="19"/>
  <c r="BG87" i="19"/>
  <c r="BJ87" i="19"/>
  <c r="BL83" i="19"/>
  <c r="BM83" i="19"/>
  <c r="BJ83" i="19"/>
  <c r="BH83" i="19"/>
  <c r="BK83" i="19"/>
  <c r="BG83" i="19"/>
  <c r="BI83" i="19"/>
  <c r="BM79" i="19"/>
  <c r="BL79" i="19"/>
  <c r="BK79" i="19"/>
  <c r="BH79" i="19"/>
  <c r="BJ79" i="19"/>
  <c r="BI79" i="19"/>
  <c r="BG79" i="19"/>
  <c r="BL75" i="19"/>
  <c r="BK75" i="19"/>
  <c r="BH75" i="19"/>
  <c r="BM75" i="19"/>
  <c r="BG75" i="19"/>
  <c r="BI75" i="19"/>
  <c r="BJ75" i="19"/>
  <c r="BM71" i="19"/>
  <c r="BL71" i="19"/>
  <c r="BI71" i="19"/>
  <c r="BH71" i="19"/>
  <c r="BJ71" i="19"/>
  <c r="BG71" i="19"/>
  <c r="BK71" i="19"/>
  <c r="BL67" i="19"/>
  <c r="BM67" i="19"/>
  <c r="BJ67" i="19"/>
  <c r="BH67" i="19"/>
  <c r="BK67" i="19"/>
  <c r="BI67" i="19"/>
  <c r="BG67" i="19"/>
  <c r="BM63" i="19"/>
  <c r="BL63" i="19"/>
  <c r="BH63" i="19"/>
  <c r="BJ63" i="19"/>
  <c r="BI63" i="19"/>
  <c r="BG63" i="19"/>
  <c r="BL59" i="19"/>
  <c r="BK59" i="19"/>
  <c r="BH59" i="19"/>
  <c r="BG59" i="19"/>
  <c r="BI59" i="19"/>
  <c r="BM59" i="19"/>
  <c r="BJ59" i="19"/>
  <c r="BM55" i="19"/>
  <c r="BL55" i="19"/>
  <c r="BI55" i="19"/>
  <c r="BH55" i="19"/>
  <c r="BK55" i="19"/>
  <c r="BJ55" i="19"/>
  <c r="BG55" i="19"/>
  <c r="BL51" i="19"/>
  <c r="BM51" i="19"/>
  <c r="BK51" i="19"/>
  <c r="BJ51" i="19"/>
  <c r="BH51" i="19"/>
  <c r="BI51" i="19"/>
  <c r="BG51" i="19"/>
  <c r="BM47" i="19"/>
  <c r="BL47" i="19"/>
  <c r="BH47" i="19"/>
  <c r="BI47" i="19"/>
  <c r="BK47" i="19"/>
  <c r="BJ47" i="19"/>
  <c r="BG47" i="19"/>
  <c r="BL43" i="19"/>
  <c r="BK43" i="19"/>
  <c r="BH43" i="19"/>
  <c r="BM43" i="19"/>
  <c r="BJ43" i="19"/>
  <c r="BG43" i="19"/>
  <c r="BI43" i="19"/>
  <c r="BM39" i="19"/>
  <c r="BL39" i="19"/>
  <c r="BI39" i="19"/>
  <c r="BH39" i="19"/>
  <c r="BK39" i="19"/>
  <c r="BJ39" i="19"/>
  <c r="BG39" i="19"/>
  <c r="BL35" i="19"/>
  <c r="BJ35" i="19"/>
  <c r="BH35" i="19"/>
  <c r="BM35" i="19"/>
  <c r="BI35" i="19"/>
  <c r="BG35" i="19"/>
  <c r="BM31" i="19"/>
  <c r="BL31" i="19"/>
  <c r="BH31" i="19"/>
  <c r="BI31" i="19"/>
  <c r="BK31" i="19"/>
  <c r="BG31" i="19"/>
  <c r="BJ31" i="19"/>
  <c r="BL27" i="19"/>
  <c r="BK27" i="19"/>
  <c r="BH27" i="19"/>
  <c r="BJ27" i="19"/>
  <c r="BM27" i="19"/>
  <c r="BG27" i="19"/>
  <c r="BI27" i="19"/>
  <c r="BM23" i="19"/>
  <c r="BL23" i="19"/>
  <c r="BK23" i="19"/>
  <c r="BI23" i="19"/>
  <c r="BH23" i="19"/>
  <c r="BJ23" i="19"/>
  <c r="BG23" i="19"/>
  <c r="BL19" i="19"/>
  <c r="BM19" i="19"/>
  <c r="BJ19" i="19"/>
  <c r="BH19" i="19"/>
  <c r="BI19" i="19"/>
  <c r="BK19" i="19"/>
  <c r="BG19" i="19"/>
  <c r="BM15" i="19"/>
  <c r="BL15" i="19"/>
  <c r="BK15" i="19"/>
  <c r="BH15" i="19"/>
  <c r="BJ15" i="19"/>
  <c r="BI15" i="19"/>
  <c r="BG15" i="19"/>
  <c r="BL11" i="19"/>
  <c r="BM11" i="19"/>
  <c r="BK11" i="19"/>
  <c r="BH11" i="19"/>
  <c r="BI11" i="19"/>
  <c r="BG11" i="19"/>
  <c r="BJ11" i="19"/>
  <c r="BM7" i="19"/>
  <c r="BL7" i="19"/>
  <c r="BI7" i="19"/>
  <c r="BH7" i="19"/>
  <c r="BK7" i="19"/>
  <c r="BJ7" i="19"/>
  <c r="BG7" i="19"/>
  <c r="BD407" i="19"/>
  <c r="BA407" i="19"/>
  <c r="BC407" i="19"/>
  <c r="BB407" i="19"/>
  <c r="AZ407" i="19"/>
  <c r="BB403" i="19"/>
  <c r="BA403" i="19"/>
  <c r="BD403" i="19"/>
  <c r="BC403" i="19"/>
  <c r="AZ403" i="19"/>
  <c r="BD399" i="19"/>
  <c r="BA399" i="19"/>
  <c r="BB399" i="19"/>
  <c r="BC399" i="19"/>
  <c r="AZ399" i="19"/>
  <c r="BA387" i="19"/>
  <c r="BC387" i="19"/>
  <c r="BB387" i="19"/>
  <c r="BD387" i="19"/>
  <c r="AZ387" i="19"/>
  <c r="BD375" i="19"/>
  <c r="BC375" i="19"/>
  <c r="BA375" i="19"/>
  <c r="BB375" i="19"/>
  <c r="AZ375" i="19"/>
  <c r="BA371" i="19"/>
  <c r="BB371" i="19"/>
  <c r="BD371" i="19"/>
  <c r="BC371" i="19"/>
  <c r="AZ371" i="19"/>
  <c r="BD367" i="19"/>
  <c r="BC367" i="19"/>
  <c r="BA367" i="19"/>
  <c r="BB367" i="19"/>
  <c r="AZ367" i="19"/>
  <c r="BA363" i="19"/>
  <c r="BB363" i="19"/>
  <c r="BC363" i="19"/>
  <c r="BD363" i="19"/>
  <c r="AZ363" i="19"/>
  <c r="BA347" i="19"/>
  <c r="BD347" i="19"/>
  <c r="BB347" i="19"/>
  <c r="BC347" i="19"/>
  <c r="AZ347" i="19"/>
  <c r="BD327" i="19"/>
  <c r="BA327" i="19"/>
  <c r="BC327" i="19"/>
  <c r="BB327" i="19"/>
  <c r="AZ327" i="19"/>
  <c r="BD319" i="19"/>
  <c r="BA319" i="19"/>
  <c r="BB319" i="19"/>
  <c r="BC319" i="19"/>
  <c r="AZ319" i="19"/>
  <c r="BB315" i="19"/>
  <c r="BC315" i="19"/>
  <c r="BA315" i="19"/>
  <c r="BD315" i="19"/>
  <c r="AZ315" i="19"/>
  <c r="BA307" i="19"/>
  <c r="BD307" i="19"/>
  <c r="BB307" i="19"/>
  <c r="BC307" i="19"/>
  <c r="AZ307" i="19"/>
  <c r="BD303" i="19"/>
  <c r="BA303" i="19"/>
  <c r="BC303" i="19"/>
  <c r="BB303" i="19"/>
  <c r="AZ303" i="19"/>
  <c r="BA291" i="19"/>
  <c r="BC291" i="19"/>
  <c r="BD291" i="19"/>
  <c r="BB291" i="19"/>
  <c r="AZ291" i="19"/>
  <c r="BA283" i="19"/>
  <c r="BD283" i="19"/>
  <c r="BB283" i="19"/>
  <c r="BC283" i="19"/>
  <c r="AZ283" i="19"/>
  <c r="BD279" i="19"/>
  <c r="BA279" i="19"/>
  <c r="BC279" i="19"/>
  <c r="BB279" i="19"/>
  <c r="AZ279" i="19"/>
  <c r="BA275" i="19"/>
  <c r="BC275" i="19"/>
  <c r="BD275" i="19"/>
  <c r="BB275" i="19"/>
  <c r="AZ275" i="19"/>
  <c r="BA267" i="19"/>
  <c r="BD267" i="19"/>
  <c r="BB267" i="19"/>
  <c r="BC267" i="19"/>
  <c r="AZ267" i="19"/>
  <c r="BD263" i="19"/>
  <c r="BA263" i="19"/>
  <c r="BC263" i="19"/>
  <c r="BB263" i="19"/>
  <c r="AZ263" i="19"/>
  <c r="BC259" i="19"/>
  <c r="BA259" i="19"/>
  <c r="BD259" i="19"/>
  <c r="BB259" i="19"/>
  <c r="AZ259" i="19"/>
  <c r="BD255" i="19"/>
  <c r="BA255" i="19"/>
  <c r="BB255" i="19"/>
  <c r="BC255" i="19"/>
  <c r="AZ255" i="19"/>
  <c r="BA251" i="19"/>
  <c r="BC251" i="19"/>
  <c r="BD251" i="19"/>
  <c r="BB251" i="19"/>
  <c r="AZ251" i="19"/>
  <c r="BD247" i="19"/>
  <c r="BA247" i="19"/>
  <c r="BC247" i="19"/>
  <c r="BB247" i="19"/>
  <c r="AZ247" i="19"/>
  <c r="BD235" i="19"/>
  <c r="BC235" i="19"/>
  <c r="BA235" i="19"/>
  <c r="BB235" i="19"/>
  <c r="AZ235" i="19"/>
  <c r="BC227" i="19"/>
  <c r="BA227" i="19"/>
  <c r="BB227" i="19"/>
  <c r="BD227" i="19"/>
  <c r="AZ227" i="19"/>
  <c r="BA223" i="19"/>
  <c r="BC223" i="19"/>
  <c r="BD223" i="19"/>
  <c r="BB223" i="19"/>
  <c r="AZ223" i="19"/>
  <c r="BA211" i="19"/>
  <c r="BC211" i="19"/>
  <c r="BD211" i="19"/>
  <c r="BB211" i="19"/>
  <c r="AZ211" i="19"/>
  <c r="BD207" i="19"/>
  <c r="BA207" i="19"/>
  <c r="BB207" i="19"/>
  <c r="BC207" i="19"/>
  <c r="AZ207" i="19"/>
  <c r="BD203" i="19"/>
  <c r="BA203" i="19"/>
  <c r="BC203" i="19"/>
  <c r="BB203" i="19"/>
  <c r="AZ203" i="19"/>
  <c r="BD199" i="19"/>
  <c r="BA199" i="19"/>
  <c r="BC199" i="19"/>
  <c r="BB199" i="19"/>
  <c r="AZ199" i="19"/>
  <c r="BA195" i="19"/>
  <c r="BD195" i="19"/>
  <c r="BB195" i="19"/>
  <c r="BC195" i="19"/>
  <c r="AZ195" i="19"/>
  <c r="BA191" i="19"/>
  <c r="BC191" i="19"/>
  <c r="BD191" i="19"/>
  <c r="BB191" i="19"/>
  <c r="AZ191" i="19"/>
  <c r="BD183" i="19"/>
  <c r="BA183" i="19"/>
  <c r="BB183" i="19"/>
  <c r="BC183" i="19"/>
  <c r="AZ183" i="19"/>
  <c r="BA179" i="19"/>
  <c r="BC179" i="19"/>
  <c r="BD179" i="19"/>
  <c r="BB179" i="19"/>
  <c r="AZ179" i="19"/>
  <c r="BD175" i="19"/>
  <c r="BA175" i="19"/>
  <c r="BC175" i="19"/>
  <c r="BB175" i="19"/>
  <c r="AZ175" i="19"/>
  <c r="BD171" i="19"/>
  <c r="BA171" i="19"/>
  <c r="BB171" i="19"/>
  <c r="BC171" i="19"/>
  <c r="AZ171" i="19"/>
  <c r="BD167" i="19"/>
  <c r="BC167" i="19"/>
  <c r="BA167" i="19"/>
  <c r="BB167" i="19"/>
  <c r="AZ167" i="19"/>
  <c r="BC159" i="19"/>
  <c r="BA159" i="19"/>
  <c r="BD159" i="19"/>
  <c r="BB159" i="19"/>
  <c r="AZ159" i="19"/>
  <c r="BD155" i="19"/>
  <c r="BA155" i="19"/>
  <c r="BB155" i="19"/>
  <c r="BC155" i="19"/>
  <c r="AZ155" i="19"/>
  <c r="BD151" i="19"/>
  <c r="BA151" i="19"/>
  <c r="BC151" i="19"/>
  <c r="BB151" i="19"/>
  <c r="AZ151" i="19"/>
  <c r="BA147" i="19"/>
  <c r="BD147" i="19"/>
  <c r="BB147" i="19"/>
  <c r="BC147" i="19"/>
  <c r="AZ147" i="19"/>
  <c r="BD143" i="19"/>
  <c r="BC143" i="19"/>
  <c r="BA143" i="19"/>
  <c r="BB143" i="19"/>
  <c r="AZ143" i="19"/>
  <c r="BD139" i="19"/>
  <c r="BA139" i="19"/>
  <c r="BB139" i="19"/>
  <c r="BC139" i="19"/>
  <c r="AZ139" i="19"/>
  <c r="BA131" i="19"/>
  <c r="BB131" i="19"/>
  <c r="BD131" i="19"/>
  <c r="BC131" i="19"/>
  <c r="AZ131" i="19"/>
  <c r="BD123" i="19"/>
  <c r="BC123" i="19"/>
  <c r="BA123" i="19"/>
  <c r="BB123" i="19"/>
  <c r="AZ123" i="19"/>
  <c r="BD111" i="19"/>
  <c r="BA111" i="19"/>
  <c r="BC111" i="19"/>
  <c r="BB111" i="19"/>
  <c r="AZ111" i="19"/>
  <c r="BD107" i="19"/>
  <c r="BA107" i="19"/>
  <c r="BB107" i="19"/>
  <c r="BC107" i="19"/>
  <c r="AZ107" i="19"/>
  <c r="BD103" i="19"/>
  <c r="BC103" i="19"/>
  <c r="BA103" i="19"/>
  <c r="BB103" i="19"/>
  <c r="AZ103" i="19"/>
  <c r="BA99" i="19"/>
  <c r="BB99" i="19"/>
  <c r="BD99" i="19"/>
  <c r="BC99" i="19"/>
  <c r="AZ99" i="19"/>
  <c r="BD91" i="19"/>
  <c r="BA91" i="19"/>
  <c r="BC91" i="19"/>
  <c r="BB91" i="19"/>
  <c r="AZ91" i="19"/>
  <c r="BD75" i="19"/>
  <c r="BC75" i="19"/>
  <c r="BA75" i="19"/>
  <c r="BB75" i="19"/>
  <c r="AZ75" i="19"/>
  <c r="BA67" i="19"/>
  <c r="BC67" i="19"/>
  <c r="BB67" i="19"/>
  <c r="BD67" i="19"/>
  <c r="AZ67" i="19"/>
  <c r="BD59" i="19"/>
  <c r="BC59" i="19"/>
  <c r="BA59" i="19"/>
  <c r="BB59" i="19"/>
  <c r="AZ59" i="19"/>
  <c r="BD55" i="19"/>
  <c r="BC55" i="19"/>
  <c r="BA55" i="19"/>
  <c r="BB55" i="19"/>
  <c r="AZ55" i="19"/>
  <c r="BD51" i="19"/>
  <c r="BA51" i="19"/>
  <c r="BC51" i="19"/>
  <c r="BB51" i="19"/>
  <c r="AZ51" i="19"/>
  <c r="BD47" i="19"/>
  <c r="BA47" i="19"/>
  <c r="BB47" i="19"/>
  <c r="BC47" i="19"/>
  <c r="AZ47" i="19"/>
  <c r="BD43" i="19"/>
  <c r="BC43" i="19"/>
  <c r="BA43" i="19"/>
  <c r="BB43" i="19"/>
  <c r="AZ43" i="19"/>
  <c r="BD31" i="19"/>
  <c r="BC31" i="19"/>
  <c r="BA31" i="19"/>
  <c r="BB31" i="19"/>
  <c r="AZ31" i="19"/>
  <c r="BD19" i="19"/>
  <c r="BA19" i="19"/>
  <c r="BC19" i="19"/>
  <c r="BB19" i="19"/>
  <c r="AZ19" i="19"/>
  <c r="BD15" i="19"/>
  <c r="BA15" i="19"/>
  <c r="BB15" i="19"/>
  <c r="BC15" i="19"/>
  <c r="AZ15" i="19"/>
  <c r="AZ2" i="17"/>
  <c r="AZ3" i="17"/>
  <c r="AX5" i="17"/>
  <c r="BG5" i="17"/>
  <c r="AU5" i="17"/>
  <c r="L5" i="25" s="1"/>
  <c r="BF6" i="17"/>
  <c r="BE6" i="17"/>
  <c r="AW6" i="17"/>
  <c r="AZ7" i="17"/>
  <c r="AX9" i="17"/>
  <c r="BG9" i="17"/>
  <c r="AU9" i="17"/>
  <c r="L9" i="25" s="1"/>
  <c r="BF10" i="17"/>
  <c r="BE10" i="17"/>
  <c r="AW10" i="17"/>
  <c r="AZ11" i="17"/>
  <c r="AX13" i="17"/>
  <c r="BG13" i="17"/>
  <c r="AU13" i="17"/>
  <c r="L13" i="25" s="1"/>
  <c r="BF14" i="17"/>
  <c r="BE14" i="17"/>
  <c r="AW14" i="17"/>
  <c r="AZ15" i="17"/>
  <c r="AX17" i="17"/>
  <c r="BG17" i="17"/>
  <c r="AU17" i="17"/>
  <c r="L17" i="25" s="1"/>
  <c r="BF18" i="17"/>
  <c r="BE18" i="17"/>
  <c r="AW18" i="17"/>
  <c r="AZ19" i="17"/>
  <c r="AX21" i="17"/>
  <c r="BG21" i="17"/>
  <c r="AU21" i="17"/>
  <c r="L21" i="25" s="1"/>
  <c r="BF22" i="17"/>
  <c r="BE22" i="17"/>
  <c r="AW22" i="17"/>
  <c r="AZ23" i="17"/>
  <c r="AX25" i="17"/>
  <c r="BG25" i="17"/>
  <c r="AU25" i="17"/>
  <c r="L25" i="25" s="1"/>
  <c r="BF26" i="17"/>
  <c r="BE26" i="17"/>
  <c r="AW26" i="17"/>
  <c r="AZ27" i="17"/>
  <c r="AX29" i="17"/>
  <c r="BG29" i="17"/>
  <c r="AU29" i="17"/>
  <c r="L29" i="25" s="1"/>
  <c r="BF30" i="17"/>
  <c r="BE30" i="17"/>
  <c r="AW30" i="17"/>
  <c r="AZ31" i="17"/>
  <c r="AX33" i="17"/>
  <c r="BG33" i="17"/>
  <c r="AU33" i="17"/>
  <c r="L33" i="25" s="1"/>
  <c r="BF34" i="17"/>
  <c r="BE34" i="17"/>
  <c r="AW34" i="17"/>
  <c r="AZ35" i="17"/>
  <c r="AX37" i="17"/>
  <c r="BG37" i="17"/>
  <c r="AU37" i="17"/>
  <c r="L37" i="25" s="1"/>
  <c r="BF38" i="17"/>
  <c r="BE38" i="17"/>
  <c r="AW38" i="17"/>
  <c r="AZ39" i="17"/>
  <c r="AX41" i="17"/>
  <c r="BG41" i="17"/>
  <c r="AU41" i="17"/>
  <c r="L41" i="25" s="1"/>
  <c r="BF42" i="17"/>
  <c r="BE42" i="17"/>
  <c r="AW42" i="17"/>
  <c r="AZ43" i="17"/>
  <c r="AX45" i="17"/>
  <c r="BG45" i="17"/>
  <c r="AU45" i="17"/>
  <c r="L45" i="25" s="1"/>
  <c r="BF46" i="17"/>
  <c r="BE46" i="17"/>
  <c r="AW46" i="17"/>
  <c r="AZ47" i="17"/>
  <c r="AX49" i="17"/>
  <c r="BG49" i="17"/>
  <c r="AU49" i="17"/>
  <c r="L49" i="25" s="1"/>
  <c r="BF50" i="17"/>
  <c r="BE50" i="17"/>
  <c r="AW50" i="17"/>
  <c r="AZ51" i="17"/>
  <c r="AX53" i="17"/>
  <c r="BG53" i="17"/>
  <c r="AU53" i="17"/>
  <c r="L53" i="25" s="1"/>
  <c r="BF54" i="17"/>
  <c r="BE54" i="17"/>
  <c r="AW54" i="17"/>
  <c r="AZ55" i="17"/>
  <c r="AX57" i="17"/>
  <c r="BG57" i="17"/>
  <c r="AU57" i="17"/>
  <c r="L57" i="25" s="1"/>
  <c r="BF58" i="17"/>
  <c r="BE58" i="17"/>
  <c r="AW58" i="17"/>
  <c r="AZ59" i="17"/>
  <c r="AX61" i="17"/>
  <c r="BG61" i="17"/>
  <c r="AU61" i="17"/>
  <c r="L61" i="25" s="1"/>
  <c r="BF62" i="17"/>
  <c r="BE62" i="17"/>
  <c r="AW62" i="17"/>
  <c r="AZ63" i="17"/>
  <c r="AX65" i="17"/>
  <c r="BG65" i="17"/>
  <c r="AU65" i="17"/>
  <c r="L65" i="25" s="1"/>
  <c r="BF66" i="17"/>
  <c r="BE66" i="17"/>
  <c r="AW66" i="17"/>
  <c r="AZ67" i="17"/>
  <c r="AX69" i="17"/>
  <c r="BG69" i="17"/>
  <c r="AU69" i="17"/>
  <c r="L69" i="25" s="1"/>
  <c r="BF70" i="17"/>
  <c r="BE70" i="17"/>
  <c r="AW70" i="17"/>
  <c r="AZ71" i="17"/>
  <c r="AX73" i="17"/>
  <c r="BG73" i="17"/>
  <c r="AU73" i="17"/>
  <c r="L73" i="25" s="1"/>
  <c r="BF74" i="17"/>
  <c r="BE74" i="17"/>
  <c r="AW74" i="17"/>
  <c r="AZ75" i="17"/>
  <c r="AX77" i="17"/>
  <c r="BG77" i="17"/>
  <c r="AU77" i="17"/>
  <c r="L77" i="25" s="1"/>
  <c r="BF78" i="17"/>
  <c r="BE78" i="17"/>
  <c r="AW78" i="17"/>
  <c r="AZ79" i="17"/>
  <c r="AX81" i="17"/>
  <c r="BG81" i="17"/>
  <c r="AU81" i="17"/>
  <c r="L81" i="25" s="1"/>
  <c r="BF82" i="17"/>
  <c r="BE82" i="17"/>
  <c r="AW82" i="17"/>
  <c r="AZ83" i="17"/>
  <c r="AX85" i="17"/>
  <c r="BG85" i="17"/>
  <c r="AU85" i="17"/>
  <c r="L85" i="25" s="1"/>
  <c r="BF86" i="17"/>
  <c r="BE86" i="17"/>
  <c r="AW86" i="17"/>
  <c r="AZ87" i="17"/>
  <c r="AX89" i="17"/>
  <c r="BG89" i="17"/>
  <c r="AU89" i="17"/>
  <c r="L89" i="25" s="1"/>
  <c r="BF90" i="17"/>
  <c r="BE90" i="17"/>
  <c r="AW90" i="17"/>
  <c r="AZ91" i="17"/>
  <c r="AX93" i="17"/>
  <c r="BG93" i="17"/>
  <c r="AU93" i="17"/>
  <c r="L93" i="25" s="1"/>
  <c r="BF94" i="17"/>
  <c r="BE94" i="17"/>
  <c r="AW94" i="17"/>
  <c r="AZ95" i="17"/>
  <c r="AX97" i="17"/>
  <c r="BG97" i="17"/>
  <c r="AU97" i="17"/>
  <c r="L97" i="25" s="1"/>
  <c r="BF98" i="17"/>
  <c r="BE98" i="17"/>
  <c r="AW98" i="17"/>
  <c r="AZ99" i="17"/>
  <c r="AX101" i="17"/>
  <c r="BG101" i="17"/>
  <c r="AU101" i="17"/>
  <c r="L101" i="25" s="1"/>
  <c r="BF102" i="17"/>
  <c r="BE102" i="17"/>
  <c r="AW102" i="17"/>
  <c r="AZ103" i="17"/>
  <c r="AX105" i="17"/>
  <c r="BG105" i="17"/>
  <c r="AU105" i="17"/>
  <c r="L105" i="25" s="1"/>
  <c r="BF106" i="17"/>
  <c r="BE106" i="17"/>
  <c r="AW106" i="17"/>
  <c r="AZ107" i="17"/>
  <c r="AX109" i="17"/>
  <c r="BG109" i="17"/>
  <c r="AU109" i="17"/>
  <c r="L109" i="25" s="1"/>
  <c r="BF110" i="17"/>
  <c r="BE110" i="17"/>
  <c r="AW110" i="17"/>
  <c r="AZ111" i="17"/>
  <c r="AX113" i="17"/>
  <c r="BG113" i="17"/>
  <c r="AU113" i="17"/>
  <c r="L113" i="25" s="1"/>
  <c r="BF114" i="17"/>
  <c r="BE114" i="17"/>
  <c r="AW114" i="17"/>
  <c r="AZ115" i="17"/>
  <c r="AX117" i="17"/>
  <c r="BG117" i="17"/>
  <c r="AU117" i="17"/>
  <c r="L117" i="25" s="1"/>
  <c r="BF118" i="17"/>
  <c r="BE118" i="17"/>
  <c r="AW118" i="17"/>
  <c r="AZ119" i="17"/>
  <c r="AX121" i="17"/>
  <c r="BG121" i="17"/>
  <c r="AU121" i="17"/>
  <c r="L121" i="25" s="1"/>
  <c r="BF122" i="17"/>
  <c r="BE122" i="17"/>
  <c r="AW122" i="17"/>
  <c r="AZ123" i="17"/>
  <c r="AX125" i="17"/>
  <c r="BG125" i="17"/>
  <c r="AU125" i="17"/>
  <c r="L125" i="25" s="1"/>
  <c r="BF126" i="17"/>
  <c r="BE126" i="17"/>
  <c r="AW126" i="17"/>
  <c r="AZ127" i="17"/>
  <c r="AX129" i="17"/>
  <c r="BG129" i="17"/>
  <c r="AU129" i="17"/>
  <c r="L129" i="25" s="1"/>
  <c r="BF130" i="17"/>
  <c r="BE130" i="17"/>
  <c r="AW130" i="17"/>
  <c r="AZ131" i="17"/>
  <c r="AX133" i="17"/>
  <c r="BG133" i="17"/>
  <c r="AU133" i="17"/>
  <c r="L133" i="25" s="1"/>
  <c r="BF134" i="17"/>
  <c r="BE134" i="17"/>
  <c r="AW134" i="17"/>
  <c r="AZ135" i="17"/>
  <c r="AX137" i="17"/>
  <c r="BG137" i="17"/>
  <c r="AU137" i="17"/>
  <c r="L137" i="25" s="1"/>
  <c r="BF138" i="17"/>
  <c r="BE138" i="17"/>
  <c r="AW138" i="17"/>
  <c r="AZ139" i="17"/>
  <c r="AX141" i="17"/>
  <c r="BG141" i="17"/>
  <c r="AU141" i="17"/>
  <c r="L141" i="25" s="1"/>
  <c r="BF142" i="17"/>
  <c r="BE142" i="17"/>
  <c r="AW142" i="17"/>
  <c r="AZ143" i="17"/>
  <c r="AX145" i="17"/>
  <c r="BG145" i="17"/>
  <c r="AU145" i="17"/>
  <c r="L145" i="25" s="1"/>
  <c r="BF146" i="17"/>
  <c r="BE146" i="17"/>
  <c r="AW146" i="17"/>
  <c r="AZ147" i="17"/>
  <c r="AX149" i="17"/>
  <c r="BG149" i="17"/>
  <c r="AU149" i="17"/>
  <c r="L149" i="25" s="1"/>
  <c r="BF150" i="17"/>
  <c r="BE150" i="17"/>
  <c r="AW150" i="17"/>
  <c r="AZ151" i="17"/>
  <c r="AX153" i="17"/>
  <c r="BG153" i="17"/>
  <c r="AU153" i="17"/>
  <c r="L153" i="25" s="1"/>
  <c r="BF154" i="17"/>
  <c r="BE154" i="17"/>
  <c r="AW154" i="17"/>
  <c r="AZ155" i="17"/>
  <c r="AX157" i="17"/>
  <c r="BG157" i="17"/>
  <c r="AU157" i="17"/>
  <c r="L157" i="25" s="1"/>
  <c r="BF158" i="17"/>
  <c r="BE158" i="17"/>
  <c r="AW158" i="17"/>
  <c r="AZ159" i="17"/>
  <c r="AX161" i="17"/>
  <c r="BG161" i="17"/>
  <c r="AU161" i="17"/>
  <c r="L161" i="25" s="1"/>
  <c r="BF162" i="17"/>
  <c r="BE162" i="17"/>
  <c r="AW162" i="17"/>
  <c r="AZ163" i="17"/>
  <c r="AX165" i="17"/>
  <c r="BG165" i="17"/>
  <c r="AU165" i="17"/>
  <c r="L165" i="25" s="1"/>
  <c r="BF166" i="17"/>
  <c r="BE166" i="17"/>
  <c r="AW166" i="17"/>
  <c r="AZ167" i="17"/>
  <c r="AX169" i="17"/>
  <c r="BG169" i="17"/>
  <c r="AU169" i="17"/>
  <c r="L169" i="25" s="1"/>
  <c r="BF170" i="17"/>
  <c r="BE170" i="17"/>
  <c r="AW170" i="17"/>
  <c r="AZ171" i="17"/>
  <c r="AX173" i="17"/>
  <c r="BG173" i="17"/>
  <c r="AU173" i="17"/>
  <c r="L173" i="25" s="1"/>
  <c r="BF174" i="17"/>
  <c r="BE174" i="17"/>
  <c r="AW174" i="17"/>
  <c r="AZ175" i="17"/>
  <c r="AX177" i="17"/>
  <c r="BG177" i="17"/>
  <c r="AU177" i="17"/>
  <c r="L177" i="25" s="1"/>
  <c r="BF178" i="17"/>
  <c r="BE178" i="17"/>
  <c r="AW178" i="17"/>
  <c r="AZ179" i="17"/>
  <c r="AX181" i="17"/>
  <c r="BG181" i="17"/>
  <c r="AU181" i="17"/>
  <c r="L181" i="25" s="1"/>
  <c r="BF182" i="17"/>
  <c r="BE182" i="17"/>
  <c r="AW182" i="17"/>
  <c r="AZ183" i="17"/>
  <c r="AX185" i="17"/>
  <c r="BG185" i="17"/>
  <c r="AU185" i="17"/>
  <c r="L185" i="25" s="1"/>
  <c r="BF186" i="17"/>
  <c r="BE186" i="17"/>
  <c r="AW186" i="17"/>
  <c r="AZ187" i="17"/>
  <c r="AX189" i="17"/>
  <c r="BG189" i="17"/>
  <c r="AU189" i="17"/>
  <c r="L189" i="25" s="1"/>
  <c r="BF190" i="17"/>
  <c r="BE190" i="17"/>
  <c r="AW190" i="17"/>
  <c r="AZ191" i="17"/>
  <c r="AX193" i="17"/>
  <c r="BG193" i="17"/>
  <c r="AU193" i="17"/>
  <c r="L193" i="25" s="1"/>
  <c r="BF194" i="17"/>
  <c r="BE194" i="17"/>
  <c r="AW194" i="17"/>
  <c r="AZ195" i="17"/>
  <c r="AX197" i="17"/>
  <c r="BG197" i="17"/>
  <c r="AU197" i="17"/>
  <c r="L197" i="25" s="1"/>
  <c r="BF198" i="17"/>
  <c r="BE198" i="17"/>
  <c r="AW198" i="17"/>
  <c r="AZ199" i="17"/>
  <c r="AX201" i="17"/>
  <c r="BG201" i="17"/>
  <c r="AU201" i="17"/>
  <c r="L201" i="25" s="1"/>
  <c r="BF202" i="17"/>
  <c r="BE202" i="17"/>
  <c r="AW202" i="17"/>
  <c r="AZ203" i="17"/>
  <c r="AX205" i="17"/>
  <c r="BF206" i="17"/>
  <c r="BE206" i="17"/>
  <c r="AW206" i="17"/>
  <c r="AZ207" i="17"/>
  <c r="AX209" i="17"/>
  <c r="BG209" i="17"/>
  <c r="AU209" i="17"/>
  <c r="L209" i="25" s="1"/>
  <c r="BF210" i="17"/>
  <c r="BE210" i="17"/>
  <c r="AW210" i="17"/>
  <c r="AZ211" i="17"/>
  <c r="AX213" i="17"/>
  <c r="BG213" i="17"/>
  <c r="AU213" i="17"/>
  <c r="L213" i="25" s="1"/>
  <c r="BF214" i="17"/>
  <c r="BE214" i="17"/>
  <c r="AW214" i="17"/>
  <c r="AZ215" i="17"/>
  <c r="AX217" i="17"/>
  <c r="BG217" i="17"/>
  <c r="AU217" i="17"/>
  <c r="L217" i="25" s="1"/>
  <c r="BF218" i="17"/>
  <c r="BE218" i="17"/>
  <c r="AW218" i="17"/>
  <c r="AZ219" i="17"/>
  <c r="AX221" i="17"/>
  <c r="BG221" i="17"/>
  <c r="AU221" i="17"/>
  <c r="L221" i="25" s="1"/>
  <c r="BF222" i="17"/>
  <c r="BE222" i="17"/>
  <c r="AW222" i="17"/>
  <c r="AZ223" i="17"/>
  <c r="AX225" i="17"/>
  <c r="BG225" i="17"/>
  <c r="AU225" i="17"/>
  <c r="L225" i="25" s="1"/>
  <c r="BF226" i="17"/>
  <c r="BE226" i="17"/>
  <c r="AW226" i="17"/>
  <c r="AZ227" i="17"/>
  <c r="AX229" i="17"/>
  <c r="BG229" i="17"/>
  <c r="AU229" i="17"/>
  <c r="L229" i="25" s="1"/>
  <c r="BF230" i="17"/>
  <c r="BE230" i="17"/>
  <c r="AW230" i="17"/>
  <c r="AZ231" i="17"/>
  <c r="AX233" i="17"/>
  <c r="BG233" i="17"/>
  <c r="AU233" i="17"/>
  <c r="L233" i="25" s="1"/>
  <c r="BF234" i="17"/>
  <c r="BE234" i="17"/>
  <c r="AW234" i="17"/>
  <c r="AZ235" i="17"/>
  <c r="AX237" i="17"/>
  <c r="BG237" i="17"/>
  <c r="AU237" i="17"/>
  <c r="L237" i="25" s="1"/>
  <c r="BF238" i="17"/>
  <c r="BE238" i="17"/>
  <c r="AW238" i="17"/>
  <c r="AZ239" i="17"/>
  <c r="AX241" i="17"/>
  <c r="BG241" i="17"/>
  <c r="AU241" i="17"/>
  <c r="L241" i="25" s="1"/>
  <c r="BF242" i="17"/>
  <c r="BE242" i="17"/>
  <c r="AW242" i="17"/>
  <c r="AZ243" i="17"/>
  <c r="AX245" i="17"/>
  <c r="BG245" i="17"/>
  <c r="AU245" i="17"/>
  <c r="L245" i="25" s="1"/>
  <c r="BF246" i="17"/>
  <c r="BE246" i="17"/>
  <c r="AW246" i="17"/>
  <c r="AZ247" i="17"/>
  <c r="AX249" i="17"/>
  <c r="BG249" i="17"/>
  <c r="AU249" i="17"/>
  <c r="L249" i="25" s="1"/>
  <c r="BF250" i="17"/>
  <c r="BE250" i="17"/>
  <c r="AW250" i="17"/>
  <c r="AZ251" i="17"/>
  <c r="AX253" i="17"/>
  <c r="BG253" i="17"/>
  <c r="AU253" i="17"/>
  <c r="L253" i="25" s="1"/>
  <c r="BF254" i="17"/>
  <c r="BE254" i="17"/>
  <c r="AW254" i="17"/>
  <c r="AZ255" i="17"/>
  <c r="AX257" i="17"/>
  <c r="BG257" i="17"/>
  <c r="AU257" i="17"/>
  <c r="L257" i="25" s="1"/>
  <c r="BF258" i="17"/>
  <c r="BE258" i="17"/>
  <c r="AW258" i="17"/>
  <c r="AZ259" i="17"/>
  <c r="AX261" i="17"/>
  <c r="BG261" i="17"/>
  <c r="AU261" i="17"/>
  <c r="L261" i="25" s="1"/>
  <c r="BF262" i="17"/>
  <c r="BE262" i="17"/>
  <c r="AW262" i="17"/>
  <c r="AZ263" i="17"/>
  <c r="AX265" i="17"/>
  <c r="BG265" i="17"/>
  <c r="AU265" i="17"/>
  <c r="L265" i="25" s="1"/>
  <c r="BF266" i="17"/>
  <c r="BE266" i="17"/>
  <c r="AW266" i="17"/>
  <c r="AZ267" i="17"/>
  <c r="AX269" i="17"/>
  <c r="BG269" i="17"/>
  <c r="AU269" i="17"/>
  <c r="L269" i="25" s="1"/>
  <c r="BF270" i="17"/>
  <c r="BE270" i="17"/>
  <c r="AW270" i="17"/>
  <c r="AZ271" i="17"/>
  <c r="AX273" i="17"/>
  <c r="BG273" i="17"/>
  <c r="AU273" i="17"/>
  <c r="L273" i="25" s="1"/>
  <c r="BF274" i="17"/>
  <c r="BE274" i="17"/>
  <c r="AW274" i="17"/>
  <c r="AZ275" i="17"/>
  <c r="AX277" i="17"/>
  <c r="BG277" i="17"/>
  <c r="AU277" i="17"/>
  <c r="L277" i="25" s="1"/>
  <c r="BF278" i="17"/>
  <c r="BE278" i="17"/>
  <c r="AW278" i="17"/>
  <c r="AZ279" i="17"/>
  <c r="AX281" i="17"/>
  <c r="BG281" i="17"/>
  <c r="AU281" i="17"/>
  <c r="L281" i="25" s="1"/>
  <c r="BF282" i="17"/>
  <c r="BE282" i="17"/>
  <c r="AW282" i="17"/>
  <c r="AZ283" i="17"/>
  <c r="AX285" i="17"/>
  <c r="BG285" i="17"/>
  <c r="AU285" i="17"/>
  <c r="L285" i="25" s="1"/>
  <c r="BF286" i="17"/>
  <c r="BE286" i="17"/>
  <c r="AW286" i="17"/>
  <c r="AZ287" i="17"/>
  <c r="AX289" i="17"/>
  <c r="BG289" i="17"/>
  <c r="AU289" i="17"/>
  <c r="L289" i="25" s="1"/>
  <c r="BF290" i="17"/>
  <c r="BE290" i="17"/>
  <c r="AW290" i="17"/>
  <c r="AZ291" i="17"/>
  <c r="AX293" i="17"/>
  <c r="BG293" i="17"/>
  <c r="AU293" i="17"/>
  <c r="L293" i="25" s="1"/>
  <c r="BF294" i="17"/>
  <c r="BE294" i="17"/>
  <c r="AW294" i="17"/>
  <c r="AZ295" i="17"/>
  <c r="AX297" i="17"/>
  <c r="BG297" i="17"/>
  <c r="AU297" i="17"/>
  <c r="L297" i="25" s="1"/>
  <c r="BF298" i="17"/>
  <c r="BE298" i="17"/>
  <c r="AW298" i="17"/>
  <c r="AZ299" i="17"/>
  <c r="AX301" i="17"/>
  <c r="BG301" i="17"/>
  <c r="AU301" i="17"/>
  <c r="L301" i="25" s="1"/>
  <c r="BF302" i="17"/>
  <c r="BE302" i="17"/>
  <c r="AW302" i="17"/>
  <c r="AZ303" i="17"/>
  <c r="AX305" i="17"/>
  <c r="BG305" i="17"/>
  <c r="AU305" i="17"/>
  <c r="L305" i="25" s="1"/>
  <c r="BF306" i="17"/>
  <c r="BE306" i="17"/>
  <c r="AW306" i="17"/>
  <c r="AZ307" i="17"/>
  <c r="AX309" i="17"/>
  <c r="BG309" i="17"/>
  <c r="AU309" i="17"/>
  <c r="L309" i="25" s="1"/>
  <c r="BF310" i="17"/>
  <c r="BE310" i="17"/>
  <c r="AW310" i="17"/>
  <c r="AZ311" i="17"/>
  <c r="AX313" i="17"/>
  <c r="BG313" i="17"/>
  <c r="AU313" i="17"/>
  <c r="L313" i="25" s="1"/>
  <c r="BF314" i="17"/>
  <c r="BE314" i="17"/>
  <c r="AW314" i="17"/>
  <c r="AZ315" i="17"/>
  <c r="AX317" i="17"/>
  <c r="BG317" i="17"/>
  <c r="AU317" i="17"/>
  <c r="L317" i="25" s="1"/>
  <c r="BF318" i="17"/>
  <c r="BE318" i="17"/>
  <c r="AW318" i="17"/>
  <c r="AZ319" i="17"/>
  <c r="AX321" i="17"/>
  <c r="BG321" i="17"/>
  <c r="AU321" i="17"/>
  <c r="L321" i="25" s="1"/>
  <c r="BF322" i="17"/>
  <c r="BE322" i="17"/>
  <c r="AW322" i="17"/>
  <c r="AZ323" i="17"/>
  <c r="AX325" i="17"/>
  <c r="BG325" i="17"/>
  <c r="AU325" i="17"/>
  <c r="L325" i="25" s="1"/>
  <c r="BF326" i="17"/>
  <c r="BE326" i="17"/>
  <c r="AW326" i="17"/>
  <c r="AZ327" i="17"/>
  <c r="AX329" i="17"/>
  <c r="BG329" i="17"/>
  <c r="AU329" i="17"/>
  <c r="L329" i="25" s="1"/>
  <c r="BF330" i="17"/>
  <c r="BE330" i="17"/>
  <c r="AW330" i="17"/>
  <c r="AZ331" i="17"/>
  <c r="AX333" i="17"/>
  <c r="BG333" i="17"/>
  <c r="AU333" i="17"/>
  <c r="L333" i="25" s="1"/>
  <c r="BF334" i="17"/>
  <c r="BE334" i="17"/>
  <c r="AW334" i="17"/>
  <c r="AZ335" i="17"/>
  <c r="BG337" i="17"/>
  <c r="AU337" i="17"/>
  <c r="L337" i="25" s="1"/>
  <c r="BE338" i="17"/>
  <c r="AW338" i="17"/>
  <c r="BG341" i="17"/>
  <c r="AU341" i="17"/>
  <c r="L341" i="25" s="1"/>
  <c r="BE342" i="17"/>
  <c r="AW342" i="17"/>
  <c r="BG345" i="17"/>
  <c r="AU345" i="17"/>
  <c r="L345" i="25" s="1"/>
  <c r="BE346" i="17"/>
  <c r="AW346" i="17"/>
  <c r="BG349" i="17"/>
  <c r="AU349" i="17"/>
  <c r="L349" i="25" s="1"/>
  <c r="BE350" i="17"/>
  <c r="AW350" i="17"/>
  <c r="BG353" i="17"/>
  <c r="AU353" i="17"/>
  <c r="L353" i="25" s="1"/>
  <c r="BE354" i="17"/>
  <c r="AW354" i="17"/>
  <c r="BG357" i="17"/>
  <c r="AU357" i="17"/>
  <c r="L357" i="25" s="1"/>
  <c r="BE358" i="17"/>
  <c r="AW358" i="17"/>
  <c r="BG361" i="17"/>
  <c r="AU361" i="17"/>
  <c r="L361" i="25" s="1"/>
  <c r="BE362" i="17"/>
  <c r="AW362" i="17"/>
  <c r="BG365" i="17"/>
  <c r="AU365" i="17"/>
  <c r="L365" i="25" s="1"/>
  <c r="BE366" i="17"/>
  <c r="AW366" i="17"/>
  <c r="BG369" i="17"/>
  <c r="AU369" i="17"/>
  <c r="L369" i="25" s="1"/>
  <c r="BE370" i="17"/>
  <c r="AW370" i="17"/>
  <c r="BG373" i="17"/>
  <c r="AU373" i="17"/>
  <c r="L373" i="25" s="1"/>
  <c r="BE374" i="17"/>
  <c r="AW374" i="17"/>
  <c r="BG377" i="17"/>
  <c r="AU377" i="17"/>
  <c r="L377" i="25" s="1"/>
  <c r="BE378" i="17"/>
  <c r="AW378" i="17"/>
  <c r="BG381" i="17"/>
  <c r="AU381" i="17"/>
  <c r="L381" i="25" s="1"/>
  <c r="BE382" i="17"/>
  <c r="AW382" i="17"/>
  <c r="BG385" i="17"/>
  <c r="AU385" i="17"/>
  <c r="L385" i="25" s="1"/>
  <c r="BE386" i="17"/>
  <c r="AW386" i="17"/>
  <c r="BG389" i="17"/>
  <c r="AU389" i="17"/>
  <c r="L389" i="25" s="1"/>
  <c r="BE390" i="17"/>
  <c r="AW390" i="17"/>
  <c r="BG393" i="17"/>
  <c r="AU393" i="17"/>
  <c r="L393" i="25" s="1"/>
  <c r="BE394" i="17"/>
  <c r="AW394" i="17"/>
  <c r="BG397" i="17"/>
  <c r="AU397" i="17"/>
  <c r="L397" i="25" s="1"/>
  <c r="BE398" i="17"/>
  <c r="AW398" i="17"/>
  <c r="BG401" i="17"/>
  <c r="AU401" i="17"/>
  <c r="L401" i="25" s="1"/>
  <c r="BE402" i="17"/>
  <c r="AW402" i="17"/>
  <c r="AZ403" i="17"/>
  <c r="AX405" i="17"/>
  <c r="BG405" i="17"/>
  <c r="AU405" i="17"/>
  <c r="L405" i="25" s="1"/>
  <c r="BF406" i="17"/>
  <c r="BE406" i="17"/>
  <c r="AW406" i="17"/>
  <c r="AZ407" i="17"/>
  <c r="BF205" i="17"/>
  <c r="BE205" i="17"/>
  <c r="AW205" i="17"/>
  <c r="BG205" i="17"/>
  <c r="AU205" i="17"/>
  <c r="L205" i="25" s="1"/>
  <c r="AZ204" i="17"/>
  <c r="AV204" i="17"/>
  <c r="AV414" i="17" s="1"/>
  <c r="D9" i="20" s="1"/>
  <c r="BF204" i="17"/>
  <c r="BE204" i="17"/>
  <c r="AW204" i="17"/>
  <c r="BD204" i="17"/>
  <c r="AX204" i="17"/>
  <c r="BG204" i="17"/>
  <c r="AU204" i="17"/>
  <c r="L204" i="25" s="1"/>
  <c r="BI3" i="17"/>
  <c r="BI4" i="17"/>
  <c r="BI5" i="17"/>
  <c r="BI6" i="17"/>
  <c r="BI7" i="17"/>
  <c r="BI8" i="17"/>
  <c r="BI9" i="17"/>
  <c r="BI10" i="17"/>
  <c r="BI11" i="17"/>
  <c r="BI12" i="17"/>
  <c r="BI13" i="17"/>
  <c r="BI14" i="17"/>
  <c r="BI15" i="17"/>
  <c r="BI16" i="17"/>
  <c r="BI17" i="17"/>
  <c r="BI18" i="17"/>
  <c r="BI19" i="17"/>
  <c r="BI20" i="17"/>
  <c r="BI21" i="17"/>
  <c r="BI22" i="17"/>
  <c r="BI23" i="17"/>
  <c r="BI24" i="17"/>
  <c r="BI25" i="17"/>
  <c r="BI26" i="17"/>
  <c r="BI27" i="17"/>
  <c r="BI28" i="17"/>
  <c r="BI29" i="17"/>
  <c r="BI30" i="17"/>
  <c r="BI31" i="17"/>
  <c r="BI32" i="17"/>
  <c r="BI33" i="17"/>
  <c r="BI34" i="17"/>
  <c r="BI35" i="17"/>
  <c r="BI36" i="17"/>
  <c r="BI37" i="17"/>
  <c r="BI38" i="17"/>
  <c r="BI39" i="17"/>
  <c r="BI40" i="17"/>
  <c r="BI41" i="17"/>
  <c r="BI42" i="17"/>
  <c r="BI43" i="17"/>
  <c r="BI44" i="17"/>
  <c r="BI45" i="17"/>
  <c r="BI46" i="17"/>
  <c r="BI47" i="17"/>
  <c r="BI48" i="17"/>
  <c r="BI49" i="17"/>
  <c r="BI50" i="17"/>
  <c r="BI51" i="17"/>
  <c r="BI52" i="17"/>
  <c r="BI53" i="17"/>
  <c r="BI54" i="17"/>
  <c r="BI55" i="17"/>
  <c r="BI56" i="17"/>
  <c r="BI57" i="17"/>
  <c r="BI58" i="17"/>
  <c r="BI59" i="17"/>
  <c r="BI60" i="17"/>
  <c r="BI61" i="17"/>
  <c r="BI62" i="17"/>
  <c r="BI63" i="17"/>
  <c r="BI64" i="17"/>
  <c r="BI65" i="17"/>
  <c r="BI66" i="17"/>
  <c r="BI67" i="17"/>
  <c r="BI68" i="17"/>
  <c r="BI69" i="17"/>
  <c r="BI70" i="17"/>
  <c r="BI71" i="17"/>
  <c r="BI72" i="17"/>
  <c r="BI73" i="17"/>
  <c r="BI74" i="17"/>
  <c r="BI75" i="17"/>
  <c r="BI76" i="17"/>
  <c r="BI77" i="17"/>
  <c r="BI78" i="17"/>
  <c r="BI79" i="17"/>
  <c r="BI80" i="17"/>
  <c r="BI81" i="17"/>
  <c r="BI82" i="17"/>
  <c r="BI83" i="17"/>
  <c r="BI84" i="17"/>
  <c r="BI85" i="17"/>
  <c r="BI86" i="17"/>
  <c r="BI87" i="17"/>
  <c r="BI88" i="17"/>
  <c r="BI89" i="17"/>
  <c r="BI90" i="17"/>
  <c r="BI91" i="17"/>
  <c r="BI92" i="17"/>
  <c r="BI93" i="17"/>
  <c r="BI94" i="17"/>
  <c r="BI95" i="17"/>
  <c r="BI96" i="17"/>
  <c r="BI97" i="17"/>
  <c r="BI98" i="17"/>
  <c r="BI99" i="17"/>
  <c r="BI100" i="17"/>
  <c r="BI101" i="17"/>
  <c r="BI102" i="17"/>
  <c r="BI103" i="17"/>
  <c r="BI104" i="17"/>
  <c r="BI105" i="17"/>
  <c r="BI106" i="17"/>
  <c r="BI107" i="17"/>
  <c r="BI108" i="17"/>
  <c r="BI109" i="17"/>
  <c r="BI110" i="17"/>
  <c r="BI111" i="17"/>
  <c r="BI112" i="17"/>
  <c r="BI113" i="17"/>
  <c r="BI114" i="17"/>
  <c r="BI115" i="17"/>
  <c r="BI116" i="17"/>
  <c r="BI117" i="17"/>
  <c r="BI118" i="17"/>
  <c r="BI119" i="17"/>
  <c r="BI120" i="17"/>
  <c r="BI121" i="17"/>
  <c r="BI122" i="17"/>
  <c r="BI123" i="17"/>
  <c r="BI124" i="17"/>
  <c r="BI125" i="17"/>
  <c r="BI126" i="17"/>
  <c r="BI127" i="17"/>
  <c r="BI128" i="17"/>
  <c r="BI129" i="17"/>
  <c r="BI130" i="17"/>
  <c r="BI131" i="17"/>
  <c r="BI132" i="17"/>
  <c r="BI133" i="17"/>
  <c r="BI134" i="17"/>
  <c r="BI135" i="17"/>
  <c r="BI136" i="17"/>
  <c r="BI137" i="17"/>
  <c r="BI138" i="17"/>
  <c r="BI139" i="17"/>
  <c r="BI140" i="17"/>
  <c r="BI141" i="17"/>
  <c r="BI142" i="17"/>
  <c r="BI143" i="17"/>
  <c r="BI144" i="17"/>
  <c r="BI145" i="17"/>
  <c r="BI146" i="17"/>
  <c r="BI147" i="17"/>
  <c r="BI148" i="17"/>
  <c r="BI149" i="17"/>
  <c r="BI150" i="17"/>
  <c r="BI151" i="17"/>
  <c r="BI152" i="17"/>
  <c r="BI153" i="17"/>
  <c r="BI154" i="17"/>
  <c r="BI155" i="17"/>
  <c r="BI156" i="17"/>
  <c r="BI157" i="17"/>
  <c r="BI158" i="17"/>
  <c r="BI159" i="17"/>
  <c r="BI160" i="17"/>
  <c r="BI161" i="17"/>
  <c r="BI162" i="17"/>
  <c r="BI163" i="17"/>
  <c r="BI164" i="17"/>
  <c r="BI165" i="17"/>
  <c r="BI166" i="17"/>
  <c r="BI167" i="17"/>
  <c r="BI168" i="17"/>
  <c r="BI169" i="17"/>
  <c r="BI170" i="17"/>
  <c r="BI171" i="17"/>
  <c r="BI172" i="17"/>
  <c r="BI173" i="17"/>
  <c r="BI174" i="17"/>
  <c r="BI175" i="17"/>
  <c r="BI176" i="17"/>
  <c r="BI177" i="17"/>
  <c r="BI178" i="17"/>
  <c r="BI179" i="17"/>
  <c r="BI180" i="17"/>
  <c r="BI181" i="17"/>
  <c r="BI182" i="17"/>
  <c r="BI183" i="17"/>
  <c r="BI184" i="17"/>
  <c r="BI185" i="17"/>
  <c r="BI186" i="17"/>
  <c r="BI187" i="17"/>
  <c r="BI188" i="17"/>
  <c r="BI189" i="17"/>
  <c r="BI190" i="17"/>
  <c r="BI191" i="17"/>
  <c r="BI192" i="17"/>
  <c r="BI193" i="17"/>
  <c r="BI194" i="17"/>
  <c r="BI195" i="17"/>
  <c r="BI196" i="17"/>
  <c r="BI197" i="17"/>
  <c r="BI198" i="17"/>
  <c r="BI199" i="17"/>
  <c r="BI200" i="17"/>
  <c r="BI201" i="17"/>
  <c r="BI202" i="17"/>
  <c r="BI203" i="17"/>
  <c r="BI204" i="17"/>
  <c r="BI205" i="17"/>
  <c r="BI206" i="17"/>
  <c r="BI207" i="17"/>
  <c r="BI208" i="17"/>
  <c r="BI209" i="17"/>
  <c r="BI210" i="17"/>
  <c r="BI211" i="17"/>
  <c r="BI212" i="17"/>
  <c r="BI213" i="17"/>
  <c r="BI214" i="17"/>
  <c r="BI215" i="17"/>
  <c r="BI216" i="17"/>
  <c r="BI217" i="17"/>
  <c r="BI218" i="17"/>
  <c r="BI219" i="17"/>
  <c r="BI220" i="17"/>
  <c r="BI221" i="17"/>
  <c r="BI222" i="17"/>
  <c r="BI223" i="17"/>
  <c r="BI224" i="17"/>
  <c r="BI225" i="17"/>
  <c r="BI226" i="17"/>
  <c r="BI227" i="17"/>
  <c r="BI228" i="17"/>
  <c r="BI229" i="17"/>
  <c r="BI230" i="17"/>
  <c r="BI231" i="17"/>
  <c r="BI232" i="17"/>
  <c r="BI233" i="17"/>
  <c r="BI234" i="17"/>
  <c r="BI235" i="17"/>
  <c r="BI236" i="17"/>
  <c r="BI237" i="17"/>
  <c r="BI238" i="17"/>
  <c r="BI239" i="17"/>
  <c r="BI240" i="17"/>
  <c r="BI241" i="17"/>
  <c r="BI242" i="17"/>
  <c r="BI243" i="17"/>
  <c r="BI244" i="17"/>
  <c r="BI245" i="17"/>
  <c r="BI246" i="17"/>
  <c r="BI247" i="17"/>
  <c r="BI248" i="17"/>
  <c r="BI249" i="17"/>
  <c r="BI250" i="17"/>
  <c r="BI251" i="17"/>
  <c r="BI252" i="17"/>
  <c r="BI253" i="17"/>
  <c r="BI254" i="17"/>
  <c r="BI255" i="17"/>
  <c r="BI256" i="17"/>
  <c r="BI257" i="17"/>
  <c r="BI258" i="17"/>
  <c r="BI259" i="17"/>
  <c r="BI260" i="17"/>
  <c r="BI261" i="17"/>
  <c r="BI262" i="17"/>
  <c r="BI263" i="17"/>
  <c r="BI264" i="17"/>
  <c r="BI265" i="17"/>
  <c r="BI266" i="17"/>
  <c r="BI267" i="17"/>
  <c r="BI268" i="17"/>
  <c r="BI269" i="17"/>
  <c r="BI270" i="17"/>
  <c r="BI271" i="17"/>
  <c r="BI272" i="17"/>
  <c r="BI273" i="17"/>
  <c r="BI274" i="17"/>
  <c r="BI275" i="17"/>
  <c r="BI276" i="17"/>
  <c r="BI277" i="17"/>
  <c r="BI278" i="17"/>
  <c r="BI279" i="17"/>
  <c r="BI280" i="17"/>
  <c r="BI281" i="17"/>
  <c r="BI282" i="17"/>
  <c r="BI283" i="17"/>
  <c r="BI284" i="17"/>
  <c r="BI285" i="17"/>
  <c r="BI286" i="17"/>
  <c r="BI287" i="17"/>
  <c r="BI288" i="17"/>
  <c r="BI289" i="17"/>
  <c r="BI290" i="17"/>
  <c r="BI291" i="17"/>
  <c r="BI292" i="17"/>
  <c r="BI293" i="17"/>
  <c r="BI294" i="17"/>
  <c r="BI295" i="17"/>
  <c r="BI296" i="17"/>
  <c r="BI297" i="17"/>
  <c r="BI298" i="17"/>
  <c r="BI299" i="17"/>
  <c r="BI300" i="17"/>
  <c r="BI301" i="17"/>
  <c r="BI302" i="17"/>
  <c r="BI303" i="17"/>
  <c r="BI304" i="17"/>
  <c r="BI305" i="17"/>
  <c r="BI306" i="17"/>
  <c r="BI307" i="17"/>
  <c r="BI308" i="17"/>
  <c r="BI309" i="17"/>
  <c r="BI310" i="17"/>
  <c r="BI311" i="17"/>
  <c r="BI312" i="17"/>
  <c r="BI313" i="17"/>
  <c r="BI314" i="17"/>
  <c r="BI315" i="17"/>
  <c r="BI316" i="17"/>
  <c r="BI317" i="17"/>
  <c r="BI318" i="17"/>
  <c r="BI319" i="17"/>
  <c r="BI320" i="17"/>
  <c r="BI321" i="17"/>
  <c r="BI322" i="17"/>
  <c r="BI323" i="17"/>
  <c r="BI324" i="17"/>
  <c r="BI325" i="17"/>
  <c r="BI326" i="17"/>
  <c r="BI327" i="17"/>
  <c r="BI328" i="17"/>
  <c r="BI329" i="17"/>
  <c r="BI330" i="17"/>
  <c r="BI331" i="17"/>
  <c r="BI332" i="17"/>
  <c r="BI333" i="17"/>
  <c r="BI334" i="17"/>
  <c r="BI335" i="17"/>
  <c r="BI336" i="17"/>
  <c r="BI337" i="17"/>
  <c r="BI338" i="17"/>
  <c r="BI339" i="17"/>
  <c r="BI340" i="17"/>
  <c r="BI341" i="17"/>
  <c r="BI342" i="17"/>
  <c r="BI343" i="17"/>
  <c r="BI344" i="17"/>
  <c r="BI345" i="17"/>
  <c r="BI346" i="17"/>
  <c r="BI347" i="17"/>
  <c r="BI348" i="17"/>
  <c r="BI349" i="17"/>
  <c r="BI350" i="17"/>
  <c r="BI351" i="17"/>
  <c r="BI352" i="17"/>
  <c r="BI353" i="17"/>
  <c r="BI354" i="17"/>
  <c r="BI355" i="17"/>
  <c r="BI356" i="17"/>
  <c r="BI357" i="17"/>
  <c r="BI358" i="17"/>
  <c r="BI359" i="17"/>
  <c r="BI360" i="17"/>
  <c r="BI361" i="17"/>
  <c r="BI362" i="17"/>
  <c r="BI363" i="17"/>
  <c r="BI364" i="17"/>
  <c r="BI365" i="17"/>
  <c r="BI366" i="17"/>
  <c r="BI367" i="17"/>
  <c r="BI368" i="17"/>
  <c r="BI369" i="17"/>
  <c r="BI370" i="17"/>
  <c r="BI371" i="17"/>
  <c r="BI372" i="17"/>
  <c r="BI373" i="17"/>
  <c r="BI374" i="17"/>
  <c r="BI375" i="17"/>
  <c r="BI376" i="17"/>
  <c r="BI377" i="17"/>
  <c r="BI378" i="17"/>
  <c r="BI379" i="17"/>
  <c r="BI380" i="17"/>
  <c r="BI381" i="17"/>
  <c r="BI382" i="17"/>
  <c r="BI383" i="17"/>
  <c r="BI384" i="17"/>
  <c r="BI385" i="17"/>
  <c r="BI386" i="17"/>
  <c r="BI387" i="17"/>
  <c r="BI388" i="17"/>
  <c r="BI389" i="17"/>
  <c r="BI390" i="17"/>
  <c r="BI391" i="17"/>
  <c r="BI392" i="17"/>
  <c r="BI393" i="17"/>
  <c r="BI394" i="17"/>
  <c r="BI395" i="17"/>
  <c r="BI396" i="17"/>
  <c r="BI397" i="17"/>
  <c r="BI398" i="17"/>
  <c r="BI399" i="17"/>
  <c r="BI400" i="17"/>
  <c r="BI401" i="17"/>
  <c r="BI402" i="17"/>
  <c r="BI403" i="17"/>
  <c r="BI404" i="17"/>
  <c r="BI405" i="17"/>
  <c r="BI406" i="17"/>
  <c r="BI407" i="17"/>
  <c r="BI408" i="17"/>
  <c r="BH3" i="17"/>
  <c r="BH4" i="17"/>
  <c r="BH5" i="17"/>
  <c r="BH6" i="17"/>
  <c r="BH7" i="17"/>
  <c r="BH8" i="17"/>
  <c r="BH9" i="17"/>
  <c r="BH10" i="17"/>
  <c r="BH11" i="17"/>
  <c r="BH12" i="17"/>
  <c r="BH13" i="17"/>
  <c r="BH14" i="17"/>
  <c r="BH15" i="17"/>
  <c r="BH16" i="17"/>
  <c r="BH17" i="17"/>
  <c r="BH18" i="17"/>
  <c r="BH19" i="17"/>
  <c r="BH20" i="17"/>
  <c r="BH21" i="17"/>
  <c r="BH22" i="17"/>
  <c r="BH23" i="17"/>
  <c r="BH24" i="17"/>
  <c r="BH25" i="17"/>
  <c r="BH26" i="17"/>
  <c r="BH27" i="17"/>
  <c r="BH28" i="17"/>
  <c r="BH29" i="17"/>
  <c r="BH30" i="17"/>
  <c r="BH31" i="17"/>
  <c r="BH32" i="17"/>
  <c r="BH33" i="17"/>
  <c r="BH34" i="17"/>
  <c r="BH35" i="17"/>
  <c r="BH36" i="17"/>
  <c r="BH37" i="17"/>
  <c r="BH38" i="17"/>
  <c r="BH39" i="17"/>
  <c r="BH40" i="17"/>
  <c r="BH41" i="17"/>
  <c r="BH42" i="17"/>
  <c r="BH43" i="17"/>
  <c r="BH44" i="17"/>
  <c r="BH45" i="17"/>
  <c r="BH46" i="17"/>
  <c r="BH47" i="17"/>
  <c r="BH48" i="17"/>
  <c r="BH49" i="17"/>
  <c r="BH50" i="17"/>
  <c r="BH51" i="17"/>
  <c r="BH52" i="17"/>
  <c r="BH53" i="17"/>
  <c r="BH54" i="17"/>
  <c r="BH55" i="17"/>
  <c r="BH56" i="17"/>
  <c r="BH57" i="17"/>
  <c r="BH58" i="17"/>
  <c r="BH59" i="17"/>
  <c r="BH60" i="17"/>
  <c r="BH61" i="17"/>
  <c r="BH62" i="17"/>
  <c r="BH63" i="17"/>
  <c r="BH64" i="17"/>
  <c r="BH65" i="17"/>
  <c r="BH66" i="17"/>
  <c r="BH67" i="17"/>
  <c r="BH68" i="17"/>
  <c r="BH69" i="17"/>
  <c r="BH70" i="17"/>
  <c r="BH71" i="17"/>
  <c r="BH72" i="17"/>
  <c r="BH73" i="17"/>
  <c r="BH74" i="17"/>
  <c r="BH75" i="17"/>
  <c r="BH76" i="17"/>
  <c r="BH77" i="17"/>
  <c r="BH78" i="17"/>
  <c r="BH79" i="17"/>
  <c r="BH80" i="17"/>
  <c r="BH81" i="17"/>
  <c r="BH82" i="17"/>
  <c r="BH83" i="17"/>
  <c r="BH84" i="17"/>
  <c r="BH85" i="17"/>
  <c r="BH86" i="17"/>
  <c r="BH87" i="17"/>
  <c r="BH88" i="17"/>
  <c r="BH89" i="17"/>
  <c r="BH90" i="17"/>
  <c r="BH91" i="17"/>
  <c r="BH92" i="17"/>
  <c r="BH93" i="17"/>
  <c r="BH94" i="17"/>
  <c r="BH95" i="17"/>
  <c r="BH96" i="17"/>
  <c r="BH97" i="17"/>
  <c r="BH98" i="17"/>
  <c r="BH99" i="17"/>
  <c r="BH100" i="17"/>
  <c r="BH101" i="17"/>
  <c r="BH102" i="17"/>
  <c r="BH103" i="17"/>
  <c r="BH104" i="17"/>
  <c r="BH105" i="17"/>
  <c r="BH106" i="17"/>
  <c r="BH107" i="17"/>
  <c r="BH108" i="17"/>
  <c r="BH109" i="17"/>
  <c r="BH110" i="17"/>
  <c r="BH111" i="17"/>
  <c r="BH112" i="17"/>
  <c r="BH113" i="17"/>
  <c r="BH114" i="17"/>
  <c r="BH115" i="17"/>
  <c r="BH116" i="17"/>
  <c r="BH117" i="17"/>
  <c r="BH118" i="17"/>
  <c r="BH119" i="17"/>
  <c r="BH120" i="17"/>
  <c r="BH121" i="17"/>
  <c r="BH122" i="17"/>
  <c r="BH123" i="17"/>
  <c r="BH124" i="17"/>
  <c r="BH125" i="17"/>
  <c r="BH126" i="17"/>
  <c r="BH127" i="17"/>
  <c r="BH128" i="17"/>
  <c r="BH129" i="17"/>
  <c r="BH130" i="17"/>
  <c r="BH131" i="17"/>
  <c r="BH132" i="17"/>
  <c r="BH133" i="17"/>
  <c r="BH134" i="17"/>
  <c r="BH135" i="17"/>
  <c r="BH136" i="17"/>
  <c r="BH137" i="17"/>
  <c r="BH138" i="17"/>
  <c r="BH139" i="17"/>
  <c r="BH140" i="17"/>
  <c r="BH141" i="17"/>
  <c r="BH142" i="17"/>
  <c r="BH143" i="17"/>
  <c r="BH144" i="17"/>
  <c r="BH145" i="17"/>
  <c r="BH146" i="17"/>
  <c r="BH147" i="17"/>
  <c r="BH148" i="17"/>
  <c r="BH149" i="17"/>
  <c r="BH150" i="17"/>
  <c r="BH151" i="17"/>
  <c r="BH152" i="17"/>
  <c r="BH153" i="17"/>
  <c r="BH154" i="17"/>
  <c r="BH155" i="17"/>
  <c r="BH156" i="17"/>
  <c r="BH157" i="17"/>
  <c r="BH158" i="17"/>
  <c r="BH159" i="17"/>
  <c r="BH160" i="17"/>
  <c r="BH161" i="17"/>
  <c r="BH162" i="17"/>
  <c r="BH163" i="17"/>
  <c r="BH164" i="17"/>
  <c r="BH165" i="17"/>
  <c r="BH166" i="17"/>
  <c r="BH167" i="17"/>
  <c r="BH168" i="17"/>
  <c r="BH169" i="17"/>
  <c r="BH170" i="17"/>
  <c r="BH171" i="17"/>
  <c r="BH172" i="17"/>
  <c r="BH173" i="17"/>
  <c r="BH174" i="17"/>
  <c r="BH175" i="17"/>
  <c r="BH176" i="17"/>
  <c r="BH177" i="17"/>
  <c r="BH178" i="17"/>
  <c r="BH179" i="17"/>
  <c r="BH180" i="17"/>
  <c r="BH181" i="17"/>
  <c r="BH182" i="17"/>
  <c r="BH183" i="17"/>
  <c r="BH184" i="17"/>
  <c r="BH185" i="17"/>
  <c r="BH186" i="17"/>
  <c r="BH187" i="17"/>
  <c r="BH188" i="17"/>
  <c r="BH189" i="17"/>
  <c r="BH190" i="17"/>
  <c r="BH191" i="17"/>
  <c r="BH192" i="17"/>
  <c r="BH193" i="17"/>
  <c r="BH194" i="17"/>
  <c r="BH195" i="17"/>
  <c r="BH196" i="17"/>
  <c r="BH197" i="17"/>
  <c r="BH198" i="17"/>
  <c r="BH199" i="17"/>
  <c r="BH200" i="17"/>
  <c r="BH201" i="17"/>
  <c r="BH202" i="17"/>
  <c r="BH203" i="17"/>
  <c r="BH204" i="17"/>
  <c r="BH205" i="17"/>
  <c r="BH206" i="17"/>
  <c r="BH207" i="17"/>
  <c r="BH208" i="17"/>
  <c r="BH209" i="17"/>
  <c r="BH210" i="17"/>
  <c r="BH211" i="17"/>
  <c r="BH212" i="17"/>
  <c r="BH213" i="17"/>
  <c r="BH214" i="17"/>
  <c r="BH215" i="17"/>
  <c r="BH216" i="17"/>
  <c r="BH217" i="17"/>
  <c r="BH218" i="17"/>
  <c r="BH219" i="17"/>
  <c r="BH220" i="17"/>
  <c r="BH221" i="17"/>
  <c r="BH222" i="17"/>
  <c r="BH223" i="17"/>
  <c r="BH224" i="17"/>
  <c r="BH225" i="17"/>
  <c r="BH226" i="17"/>
  <c r="BH227" i="17"/>
  <c r="BH228" i="17"/>
  <c r="BH229" i="17"/>
  <c r="BH230" i="17"/>
  <c r="BH231" i="17"/>
  <c r="BH232" i="17"/>
  <c r="BH233" i="17"/>
  <c r="BH234" i="17"/>
  <c r="BH235" i="17"/>
  <c r="BH236" i="17"/>
  <c r="BH237" i="17"/>
  <c r="BH238" i="17"/>
  <c r="BH239" i="17"/>
  <c r="BH240" i="17"/>
  <c r="BH241" i="17"/>
  <c r="BH242" i="17"/>
  <c r="BH243" i="17"/>
  <c r="BH244" i="17"/>
  <c r="BH245" i="17"/>
  <c r="BH246" i="17"/>
  <c r="BH247" i="17"/>
  <c r="BH248" i="17"/>
  <c r="BH249" i="17"/>
  <c r="BH250" i="17"/>
  <c r="BH251" i="17"/>
  <c r="BH252" i="17"/>
  <c r="BH253" i="17"/>
  <c r="BH254" i="17"/>
  <c r="BH255" i="17"/>
  <c r="BH256" i="17"/>
  <c r="BH257" i="17"/>
  <c r="BH258" i="17"/>
  <c r="BH259" i="17"/>
  <c r="BH260" i="17"/>
  <c r="BH261" i="17"/>
  <c r="BH262" i="17"/>
  <c r="BH263" i="17"/>
  <c r="BH264" i="17"/>
  <c r="BH265" i="17"/>
  <c r="BH266" i="17"/>
  <c r="BH267" i="17"/>
  <c r="BH268" i="17"/>
  <c r="BH269" i="17"/>
  <c r="BH270" i="17"/>
  <c r="BH271" i="17"/>
  <c r="BH272" i="17"/>
  <c r="BH273" i="17"/>
  <c r="BH274" i="17"/>
  <c r="BH275" i="17"/>
  <c r="BH276" i="17"/>
  <c r="BH277" i="17"/>
  <c r="BH278" i="17"/>
  <c r="BH279" i="17"/>
  <c r="BH280" i="17"/>
  <c r="BH281" i="17"/>
  <c r="BH282" i="17"/>
  <c r="BH283" i="17"/>
  <c r="BH284" i="17"/>
  <c r="BH285" i="17"/>
  <c r="BH286" i="17"/>
  <c r="BH287" i="17"/>
  <c r="BH288" i="17"/>
  <c r="BH289" i="17"/>
  <c r="BH290" i="17"/>
  <c r="BH291" i="17"/>
  <c r="BH292" i="17"/>
  <c r="BH293" i="17"/>
  <c r="BH294" i="17"/>
  <c r="BH295" i="17"/>
  <c r="BH296" i="17"/>
  <c r="BH297" i="17"/>
  <c r="BH298" i="17"/>
  <c r="BH299" i="17"/>
  <c r="BH300" i="17"/>
  <c r="BH301" i="17"/>
  <c r="BH302" i="17"/>
  <c r="BH303" i="17"/>
  <c r="BH304" i="17"/>
  <c r="BH305" i="17"/>
  <c r="BH306" i="17"/>
  <c r="BH307" i="17"/>
  <c r="BH308" i="17"/>
  <c r="BH309" i="17"/>
  <c r="BH310" i="17"/>
  <c r="BH311" i="17"/>
  <c r="BH312" i="17"/>
  <c r="BH313" i="17"/>
  <c r="BH314" i="17"/>
  <c r="BH315" i="17"/>
  <c r="BH316" i="17"/>
  <c r="BH317" i="17"/>
  <c r="BH318" i="17"/>
  <c r="BH319" i="17"/>
  <c r="BH320" i="17"/>
  <c r="BH321" i="17"/>
  <c r="BH322" i="17"/>
  <c r="BH323" i="17"/>
  <c r="BH324" i="17"/>
  <c r="BH325" i="17"/>
  <c r="BH326" i="17"/>
  <c r="BH327" i="17"/>
  <c r="BH328" i="17"/>
  <c r="BH329" i="17"/>
  <c r="BH330" i="17"/>
  <c r="BH331" i="17"/>
  <c r="BH332" i="17"/>
  <c r="BH333" i="17"/>
  <c r="BH334" i="17"/>
  <c r="BH335" i="17"/>
  <c r="BH336" i="17"/>
  <c r="BH337" i="17"/>
  <c r="BH338" i="17"/>
  <c r="BH339" i="17"/>
  <c r="BH340" i="17"/>
  <c r="BH341" i="17"/>
  <c r="BH342" i="17"/>
  <c r="BH343" i="17"/>
  <c r="BH344" i="17"/>
  <c r="BH345" i="17"/>
  <c r="BH346" i="17"/>
  <c r="BH347" i="17"/>
  <c r="BH348" i="17"/>
  <c r="BH349" i="17"/>
  <c r="BH350" i="17"/>
  <c r="BH351" i="17"/>
  <c r="BH352" i="17"/>
  <c r="BH353" i="17"/>
  <c r="BH354" i="17"/>
  <c r="BH355" i="17"/>
  <c r="BH356" i="17"/>
  <c r="BH357" i="17"/>
  <c r="BH358" i="17"/>
  <c r="BH359" i="17"/>
  <c r="BH360" i="17"/>
  <c r="BH361" i="17"/>
  <c r="BH362" i="17"/>
  <c r="BH363" i="17"/>
  <c r="BH364" i="17"/>
  <c r="BH365" i="17"/>
  <c r="BH366" i="17"/>
  <c r="BH367" i="17"/>
  <c r="BH368" i="17"/>
  <c r="BH369" i="17"/>
  <c r="BH370" i="17"/>
  <c r="BH371" i="17"/>
  <c r="BH372" i="17"/>
  <c r="BH373" i="17"/>
  <c r="BH374" i="17"/>
  <c r="BH375" i="17"/>
  <c r="BH376" i="17"/>
  <c r="BH377" i="17"/>
  <c r="BH378" i="17"/>
  <c r="BH379" i="17"/>
  <c r="BH380" i="17"/>
  <c r="BH381" i="17"/>
  <c r="BH382" i="17"/>
  <c r="BH383" i="17"/>
  <c r="BH384" i="17"/>
  <c r="BH385" i="17"/>
  <c r="BH386" i="17"/>
  <c r="BH387" i="17"/>
  <c r="BH388" i="17"/>
  <c r="BH389" i="17"/>
  <c r="BH390" i="17"/>
  <c r="BH391" i="17"/>
  <c r="BH392" i="17"/>
  <c r="BH393" i="17"/>
  <c r="BH394" i="17"/>
  <c r="BH395" i="17"/>
  <c r="BH396" i="17"/>
  <c r="BH397" i="17"/>
  <c r="BH398" i="17"/>
  <c r="BH399" i="17"/>
  <c r="BH400" i="17"/>
  <c r="BH401" i="17"/>
  <c r="BH402" i="17"/>
  <c r="BH403" i="17"/>
  <c r="BH404" i="17"/>
  <c r="BH405" i="17"/>
  <c r="BH406" i="17"/>
  <c r="BH407" i="17"/>
  <c r="BH408" i="17"/>
  <c r="AQ3" i="17"/>
  <c r="AQ4" i="17"/>
  <c r="AQ5" i="17"/>
  <c r="AQ6" i="17"/>
  <c r="AQ7" i="17"/>
  <c r="AQ8" i="17"/>
  <c r="AQ9" i="17"/>
  <c r="AQ10" i="17"/>
  <c r="AQ11" i="17"/>
  <c r="AQ12" i="17"/>
  <c r="AQ13" i="17"/>
  <c r="AQ14" i="17"/>
  <c r="AQ15" i="17"/>
  <c r="AQ16" i="17"/>
  <c r="AQ17" i="17"/>
  <c r="AQ18" i="17"/>
  <c r="AQ19" i="17"/>
  <c r="AQ20" i="17"/>
  <c r="AQ21" i="17"/>
  <c r="AQ22" i="17"/>
  <c r="AQ23" i="17"/>
  <c r="AQ24" i="17"/>
  <c r="AQ25" i="17"/>
  <c r="AQ26" i="17"/>
  <c r="AQ27" i="17"/>
  <c r="AQ28" i="17"/>
  <c r="AQ29" i="17"/>
  <c r="AQ30" i="17"/>
  <c r="AQ31" i="17"/>
  <c r="AQ32" i="17"/>
  <c r="AQ33" i="17"/>
  <c r="AQ34" i="17"/>
  <c r="AQ35" i="17"/>
  <c r="AQ36" i="17"/>
  <c r="AQ37" i="17"/>
  <c r="AQ38" i="17"/>
  <c r="AQ39" i="17"/>
  <c r="AQ40" i="17"/>
  <c r="AQ41" i="17"/>
  <c r="AQ42" i="17"/>
  <c r="AQ43" i="17"/>
  <c r="AQ44" i="17"/>
  <c r="AQ45" i="17"/>
  <c r="AQ46" i="17"/>
  <c r="AQ47" i="17"/>
  <c r="AQ48" i="17"/>
  <c r="AQ49" i="17"/>
  <c r="AQ50" i="17"/>
  <c r="AQ51" i="17"/>
  <c r="AQ52" i="17"/>
  <c r="AQ53" i="17"/>
  <c r="AQ54" i="17"/>
  <c r="AQ55" i="17"/>
  <c r="AQ56" i="17"/>
  <c r="AQ57" i="17"/>
  <c r="AQ58" i="17"/>
  <c r="AQ59" i="17"/>
  <c r="AQ60" i="17"/>
  <c r="AQ61" i="17"/>
  <c r="AQ62" i="17"/>
  <c r="AQ63" i="17"/>
  <c r="AQ64" i="17"/>
  <c r="AQ65" i="17"/>
  <c r="AQ66" i="17"/>
  <c r="AQ67" i="17"/>
  <c r="AQ68" i="17"/>
  <c r="AQ69" i="17"/>
  <c r="AQ70" i="17"/>
  <c r="AQ71" i="17"/>
  <c r="AQ72" i="17"/>
  <c r="AQ73" i="17"/>
  <c r="AQ74" i="17"/>
  <c r="AQ75" i="17"/>
  <c r="AQ76" i="17"/>
  <c r="AQ77" i="17"/>
  <c r="AQ78" i="17"/>
  <c r="AQ79" i="17"/>
  <c r="AQ80" i="17"/>
  <c r="AQ81" i="17"/>
  <c r="AQ82" i="17"/>
  <c r="AQ83" i="17"/>
  <c r="AQ84" i="17"/>
  <c r="AQ85" i="17"/>
  <c r="AQ86" i="17"/>
  <c r="AQ87" i="17"/>
  <c r="AQ88" i="17"/>
  <c r="AQ89" i="17"/>
  <c r="AQ90" i="17"/>
  <c r="AQ91" i="17"/>
  <c r="AQ92" i="17"/>
  <c r="AQ93" i="17"/>
  <c r="AQ94" i="17"/>
  <c r="AQ95" i="17"/>
  <c r="AQ96" i="17"/>
  <c r="AQ97" i="17"/>
  <c r="AQ98" i="17"/>
  <c r="AQ99" i="17"/>
  <c r="AQ100" i="17"/>
  <c r="AQ101" i="17"/>
  <c r="AQ102" i="17"/>
  <c r="AQ103" i="17"/>
  <c r="AQ104" i="17"/>
  <c r="AQ105" i="17"/>
  <c r="AQ106" i="17"/>
  <c r="AQ107" i="17"/>
  <c r="AQ108" i="17"/>
  <c r="AQ109" i="17"/>
  <c r="AQ110" i="17"/>
  <c r="AQ111" i="17"/>
  <c r="AQ112" i="17"/>
  <c r="AQ113" i="17"/>
  <c r="AQ114" i="17"/>
  <c r="AQ115" i="17"/>
  <c r="AQ116" i="17"/>
  <c r="AQ117" i="17"/>
  <c r="AQ118" i="17"/>
  <c r="AQ119" i="17"/>
  <c r="AQ120" i="17"/>
  <c r="AQ121" i="17"/>
  <c r="AQ122" i="17"/>
  <c r="AQ123" i="17"/>
  <c r="AQ124" i="17"/>
  <c r="AQ125" i="17"/>
  <c r="AQ126" i="17"/>
  <c r="AQ127" i="17"/>
  <c r="AQ128" i="17"/>
  <c r="AQ129" i="17"/>
  <c r="AQ130" i="17"/>
  <c r="AQ131" i="17"/>
  <c r="AQ132" i="17"/>
  <c r="AQ133" i="17"/>
  <c r="AQ134" i="17"/>
  <c r="AQ135" i="17"/>
  <c r="AQ136" i="17"/>
  <c r="AQ137" i="17"/>
  <c r="AQ138" i="17"/>
  <c r="AQ139" i="17"/>
  <c r="AQ140" i="17"/>
  <c r="AQ141" i="17"/>
  <c r="AQ142" i="17"/>
  <c r="AQ143" i="17"/>
  <c r="AQ144" i="17"/>
  <c r="AQ145" i="17"/>
  <c r="AQ146" i="17"/>
  <c r="AQ147" i="17"/>
  <c r="AQ148" i="17"/>
  <c r="AQ149" i="17"/>
  <c r="AQ150" i="17"/>
  <c r="AQ151" i="17"/>
  <c r="AQ152" i="17"/>
  <c r="AQ153" i="17"/>
  <c r="AQ154" i="17"/>
  <c r="AQ155" i="17"/>
  <c r="AQ156" i="17"/>
  <c r="AQ157" i="17"/>
  <c r="AQ158" i="17"/>
  <c r="AQ159" i="17"/>
  <c r="AQ160" i="17"/>
  <c r="AQ161" i="17"/>
  <c r="AQ162" i="17"/>
  <c r="AQ163" i="17"/>
  <c r="AQ164" i="17"/>
  <c r="AQ165" i="17"/>
  <c r="AQ166" i="17"/>
  <c r="AQ167" i="17"/>
  <c r="AQ168" i="17"/>
  <c r="AQ169" i="17"/>
  <c r="AQ170" i="17"/>
  <c r="AQ171" i="17"/>
  <c r="AQ172" i="17"/>
  <c r="AQ173" i="17"/>
  <c r="AQ174" i="17"/>
  <c r="AQ175" i="17"/>
  <c r="AQ176" i="17"/>
  <c r="AQ177" i="17"/>
  <c r="AQ178" i="17"/>
  <c r="AQ179" i="17"/>
  <c r="AQ180" i="17"/>
  <c r="AQ181" i="17"/>
  <c r="AQ182" i="17"/>
  <c r="AQ183" i="17"/>
  <c r="AQ184" i="17"/>
  <c r="AQ185" i="17"/>
  <c r="AQ186" i="17"/>
  <c r="AQ187" i="17"/>
  <c r="AQ188" i="17"/>
  <c r="AQ189" i="17"/>
  <c r="AQ190" i="17"/>
  <c r="AQ191" i="17"/>
  <c r="AQ192" i="17"/>
  <c r="AQ193" i="17"/>
  <c r="AQ194" i="17"/>
  <c r="AQ195" i="17"/>
  <c r="AQ196" i="17"/>
  <c r="AQ197" i="17"/>
  <c r="AQ198" i="17"/>
  <c r="AQ199" i="17"/>
  <c r="AQ200" i="17"/>
  <c r="AQ201" i="17"/>
  <c r="AQ202" i="17"/>
  <c r="AQ203" i="17"/>
  <c r="AQ204" i="17"/>
  <c r="AQ205" i="17"/>
  <c r="AQ206" i="17"/>
  <c r="AQ207" i="17"/>
  <c r="AQ208" i="17"/>
  <c r="AQ209" i="17"/>
  <c r="AQ210" i="17"/>
  <c r="AQ211" i="17"/>
  <c r="AQ212" i="17"/>
  <c r="AQ213" i="17"/>
  <c r="AQ214" i="17"/>
  <c r="AQ215" i="17"/>
  <c r="AQ216" i="17"/>
  <c r="AQ217" i="17"/>
  <c r="AQ218" i="17"/>
  <c r="AQ219" i="17"/>
  <c r="AQ220" i="17"/>
  <c r="AQ221" i="17"/>
  <c r="AQ222" i="17"/>
  <c r="AQ223" i="17"/>
  <c r="AQ224" i="17"/>
  <c r="AQ225" i="17"/>
  <c r="AQ226" i="17"/>
  <c r="AQ227" i="17"/>
  <c r="AQ228" i="17"/>
  <c r="AQ229" i="17"/>
  <c r="AQ230" i="17"/>
  <c r="AQ231" i="17"/>
  <c r="AQ232" i="17"/>
  <c r="AQ233" i="17"/>
  <c r="AQ234" i="17"/>
  <c r="AQ235" i="17"/>
  <c r="AQ236" i="17"/>
  <c r="AQ237" i="17"/>
  <c r="AQ238" i="17"/>
  <c r="AQ239" i="17"/>
  <c r="AQ240" i="17"/>
  <c r="AQ241" i="17"/>
  <c r="AQ242" i="17"/>
  <c r="AQ243" i="17"/>
  <c r="AQ244" i="17"/>
  <c r="AQ245" i="17"/>
  <c r="AQ246" i="17"/>
  <c r="AQ247" i="17"/>
  <c r="AQ248" i="17"/>
  <c r="AQ249" i="17"/>
  <c r="AQ250" i="17"/>
  <c r="AQ251" i="17"/>
  <c r="AQ252" i="17"/>
  <c r="AQ253" i="17"/>
  <c r="AQ254" i="17"/>
  <c r="AQ255" i="17"/>
  <c r="AQ256" i="17"/>
  <c r="AQ257" i="17"/>
  <c r="AQ258" i="17"/>
  <c r="AQ259" i="17"/>
  <c r="AQ260" i="17"/>
  <c r="AQ261" i="17"/>
  <c r="AQ262" i="17"/>
  <c r="AQ263" i="17"/>
  <c r="AQ264" i="17"/>
  <c r="AQ265" i="17"/>
  <c r="AQ266" i="17"/>
  <c r="AQ267" i="17"/>
  <c r="AQ268" i="17"/>
  <c r="AQ269" i="17"/>
  <c r="AQ270" i="17"/>
  <c r="AQ271" i="17"/>
  <c r="AQ272" i="17"/>
  <c r="AQ273" i="17"/>
  <c r="AQ274" i="17"/>
  <c r="AQ275" i="17"/>
  <c r="AQ276" i="17"/>
  <c r="AQ277" i="17"/>
  <c r="AQ278" i="17"/>
  <c r="AQ279" i="17"/>
  <c r="AQ280" i="17"/>
  <c r="AQ281" i="17"/>
  <c r="AQ282" i="17"/>
  <c r="AQ283" i="17"/>
  <c r="AQ284" i="17"/>
  <c r="AQ285" i="17"/>
  <c r="AQ286" i="17"/>
  <c r="AQ287" i="17"/>
  <c r="AQ288" i="17"/>
  <c r="AQ289" i="17"/>
  <c r="AQ290" i="17"/>
  <c r="AQ291" i="17"/>
  <c r="AQ292" i="17"/>
  <c r="AQ293" i="17"/>
  <c r="AQ294" i="17"/>
  <c r="AQ295" i="17"/>
  <c r="AQ296" i="17"/>
  <c r="AQ297" i="17"/>
  <c r="AQ298" i="17"/>
  <c r="AQ299" i="17"/>
  <c r="AQ300" i="17"/>
  <c r="AQ301" i="17"/>
  <c r="AQ302" i="17"/>
  <c r="AQ303" i="17"/>
  <c r="AQ304" i="17"/>
  <c r="AQ305" i="17"/>
  <c r="AQ306" i="17"/>
  <c r="AQ307" i="17"/>
  <c r="AQ308" i="17"/>
  <c r="AQ309" i="17"/>
  <c r="AQ310" i="17"/>
  <c r="AQ311" i="17"/>
  <c r="AQ312" i="17"/>
  <c r="AQ313" i="17"/>
  <c r="AQ314" i="17"/>
  <c r="AQ315" i="17"/>
  <c r="AQ316" i="17"/>
  <c r="AQ317" i="17"/>
  <c r="AQ318" i="17"/>
  <c r="AQ319" i="17"/>
  <c r="AQ320" i="17"/>
  <c r="AQ321" i="17"/>
  <c r="AQ322" i="17"/>
  <c r="AQ323" i="17"/>
  <c r="AQ324" i="17"/>
  <c r="AQ325" i="17"/>
  <c r="AQ326" i="17"/>
  <c r="AQ327" i="17"/>
  <c r="AQ328" i="17"/>
  <c r="AQ329" i="17"/>
  <c r="AQ330" i="17"/>
  <c r="AQ331" i="17"/>
  <c r="AQ332" i="17"/>
  <c r="AQ333" i="17"/>
  <c r="AQ334" i="17"/>
  <c r="AQ335" i="17"/>
  <c r="AQ336" i="17"/>
  <c r="AQ337" i="17"/>
  <c r="AQ338" i="17"/>
  <c r="AQ339" i="17"/>
  <c r="AQ340" i="17"/>
  <c r="AQ341" i="17"/>
  <c r="AQ342" i="17"/>
  <c r="AQ343" i="17"/>
  <c r="AQ344" i="17"/>
  <c r="AQ345" i="17"/>
  <c r="AQ346" i="17"/>
  <c r="AQ347" i="17"/>
  <c r="AQ348" i="17"/>
  <c r="AQ349" i="17"/>
  <c r="AQ350" i="17"/>
  <c r="AQ351" i="17"/>
  <c r="AQ352" i="17"/>
  <c r="AQ353" i="17"/>
  <c r="AQ354" i="17"/>
  <c r="AQ355" i="17"/>
  <c r="AQ356" i="17"/>
  <c r="AQ357" i="17"/>
  <c r="AQ358" i="17"/>
  <c r="AQ359" i="17"/>
  <c r="AQ360" i="17"/>
  <c r="AQ361" i="17"/>
  <c r="AQ362" i="17"/>
  <c r="AQ363" i="17"/>
  <c r="AQ364" i="17"/>
  <c r="AQ365" i="17"/>
  <c r="AQ366" i="17"/>
  <c r="AQ367" i="17"/>
  <c r="AQ368" i="17"/>
  <c r="AQ369" i="17"/>
  <c r="AQ370" i="17"/>
  <c r="AQ371" i="17"/>
  <c r="AQ372" i="17"/>
  <c r="AQ373" i="17"/>
  <c r="AQ374" i="17"/>
  <c r="AQ375" i="17"/>
  <c r="AQ376" i="17"/>
  <c r="AQ377" i="17"/>
  <c r="AQ378" i="17"/>
  <c r="AQ379" i="17"/>
  <c r="AQ380" i="17"/>
  <c r="AQ381" i="17"/>
  <c r="AQ382" i="17"/>
  <c r="AQ383" i="17"/>
  <c r="AQ384" i="17"/>
  <c r="AQ385" i="17"/>
  <c r="AQ386" i="17"/>
  <c r="AQ387" i="17"/>
  <c r="AQ388" i="17"/>
  <c r="AQ389" i="17"/>
  <c r="AQ390" i="17"/>
  <c r="AQ391" i="17"/>
  <c r="AQ392" i="17"/>
  <c r="AQ393" i="17"/>
  <c r="AQ394" i="17"/>
  <c r="AQ395" i="17"/>
  <c r="AQ396" i="17"/>
  <c r="AQ397" i="17"/>
  <c r="AQ398" i="17"/>
  <c r="AQ399" i="17"/>
  <c r="AQ400" i="17"/>
  <c r="AQ401" i="17"/>
  <c r="AQ402" i="17"/>
  <c r="AQ403" i="17"/>
  <c r="AQ404" i="17"/>
  <c r="AQ405" i="17"/>
  <c r="AQ406" i="17"/>
  <c r="AQ407" i="17"/>
  <c r="AQ408" i="17"/>
  <c r="AM3" i="17"/>
  <c r="AM4" i="17"/>
  <c r="AM5" i="17"/>
  <c r="AM6" i="17"/>
  <c r="AM7" i="17"/>
  <c r="AM8" i="17"/>
  <c r="AM9" i="17"/>
  <c r="AM10" i="17"/>
  <c r="AM11" i="17"/>
  <c r="AM12" i="17"/>
  <c r="AM13" i="17"/>
  <c r="AM14" i="17"/>
  <c r="AM15" i="17"/>
  <c r="AM16" i="17"/>
  <c r="AM17" i="17"/>
  <c r="AM18" i="17"/>
  <c r="AM19" i="17"/>
  <c r="AM20" i="17"/>
  <c r="AM21" i="17"/>
  <c r="AM22" i="17"/>
  <c r="AM23" i="17"/>
  <c r="AM24" i="17"/>
  <c r="AM25" i="17"/>
  <c r="AM26" i="17"/>
  <c r="AM27" i="17"/>
  <c r="AM28" i="17"/>
  <c r="AM29" i="17"/>
  <c r="AM30" i="17"/>
  <c r="AM31" i="17"/>
  <c r="AM32" i="17"/>
  <c r="AM33" i="17"/>
  <c r="AM34" i="17"/>
  <c r="AM35" i="17"/>
  <c r="AM36" i="17"/>
  <c r="AM37" i="17"/>
  <c r="AM38" i="17"/>
  <c r="AM39" i="17"/>
  <c r="AM40" i="17"/>
  <c r="AM41" i="17"/>
  <c r="AM42" i="17"/>
  <c r="AM43" i="17"/>
  <c r="AM44" i="17"/>
  <c r="AM45" i="17"/>
  <c r="AM46" i="17"/>
  <c r="AM47" i="17"/>
  <c r="AM48" i="17"/>
  <c r="AM49" i="17"/>
  <c r="AM50" i="17"/>
  <c r="AM51" i="17"/>
  <c r="AM52" i="17"/>
  <c r="AM53" i="17"/>
  <c r="AM54" i="17"/>
  <c r="AM55" i="17"/>
  <c r="AM56" i="17"/>
  <c r="AM57" i="17"/>
  <c r="AM58" i="17"/>
  <c r="AM59" i="17"/>
  <c r="AM60" i="17"/>
  <c r="AM61" i="17"/>
  <c r="AM62" i="17"/>
  <c r="AM63" i="17"/>
  <c r="AM64" i="17"/>
  <c r="AM65" i="17"/>
  <c r="AM66" i="17"/>
  <c r="AM67" i="17"/>
  <c r="AM68" i="17"/>
  <c r="AM69" i="17"/>
  <c r="AM70" i="17"/>
  <c r="AM71" i="17"/>
  <c r="AM72" i="17"/>
  <c r="AM73" i="17"/>
  <c r="AM74" i="17"/>
  <c r="AM75" i="17"/>
  <c r="AM76" i="17"/>
  <c r="AM77" i="17"/>
  <c r="AM78" i="17"/>
  <c r="AM79" i="17"/>
  <c r="AM80" i="17"/>
  <c r="AM81" i="17"/>
  <c r="AM82" i="17"/>
  <c r="AM83" i="17"/>
  <c r="AM84" i="17"/>
  <c r="AM85" i="17"/>
  <c r="AM86" i="17"/>
  <c r="AM87" i="17"/>
  <c r="AM88" i="17"/>
  <c r="AM89" i="17"/>
  <c r="AM90" i="17"/>
  <c r="AM91" i="17"/>
  <c r="AM92" i="17"/>
  <c r="AM93" i="17"/>
  <c r="AM94" i="17"/>
  <c r="AM95" i="17"/>
  <c r="AM96" i="17"/>
  <c r="AM97" i="17"/>
  <c r="AM98" i="17"/>
  <c r="AM99" i="17"/>
  <c r="AM100" i="17"/>
  <c r="AM101" i="17"/>
  <c r="AM102" i="17"/>
  <c r="AM103" i="17"/>
  <c r="AM104" i="17"/>
  <c r="AM105" i="17"/>
  <c r="AM106" i="17"/>
  <c r="AM107" i="17"/>
  <c r="AM108" i="17"/>
  <c r="AM109" i="17"/>
  <c r="AM110" i="17"/>
  <c r="AM111" i="17"/>
  <c r="AM112" i="17"/>
  <c r="AM113" i="17"/>
  <c r="AM114" i="17"/>
  <c r="AM115" i="17"/>
  <c r="AM116" i="17"/>
  <c r="AM117" i="17"/>
  <c r="AM118" i="17"/>
  <c r="AM119" i="17"/>
  <c r="AM120" i="17"/>
  <c r="AM121" i="17"/>
  <c r="AM122" i="17"/>
  <c r="AM123" i="17"/>
  <c r="AM124" i="17"/>
  <c r="AM125" i="17"/>
  <c r="AM126" i="17"/>
  <c r="AM127" i="17"/>
  <c r="AM128" i="17"/>
  <c r="AM129" i="17"/>
  <c r="AM130" i="17"/>
  <c r="AM131" i="17"/>
  <c r="AM132" i="17"/>
  <c r="AM133" i="17"/>
  <c r="AM134" i="17"/>
  <c r="AM135" i="17"/>
  <c r="AM136" i="17"/>
  <c r="AM137" i="17"/>
  <c r="AM138" i="17"/>
  <c r="AM139" i="17"/>
  <c r="AM140" i="17"/>
  <c r="AM141" i="17"/>
  <c r="AM142" i="17"/>
  <c r="AM143" i="17"/>
  <c r="AM144" i="17"/>
  <c r="AM145" i="17"/>
  <c r="AM146" i="17"/>
  <c r="AM147" i="17"/>
  <c r="AM148" i="17"/>
  <c r="AM149" i="17"/>
  <c r="AM150" i="17"/>
  <c r="AM151" i="17"/>
  <c r="AM152" i="17"/>
  <c r="AM153" i="17"/>
  <c r="AM154" i="17"/>
  <c r="AM155" i="17"/>
  <c r="AM156" i="17"/>
  <c r="AM157" i="17"/>
  <c r="AM158" i="17"/>
  <c r="AM159" i="17"/>
  <c r="AM160" i="17"/>
  <c r="AM161" i="17"/>
  <c r="AM162" i="17"/>
  <c r="AM163" i="17"/>
  <c r="AM164" i="17"/>
  <c r="AM165" i="17"/>
  <c r="AM166" i="17"/>
  <c r="AM167" i="17"/>
  <c r="AM168" i="17"/>
  <c r="AM169" i="17"/>
  <c r="AM170" i="17"/>
  <c r="AM171" i="17"/>
  <c r="AM172" i="17"/>
  <c r="AM173" i="17"/>
  <c r="AM174" i="17"/>
  <c r="AM175" i="17"/>
  <c r="AM176" i="17"/>
  <c r="AM177" i="17"/>
  <c r="AM178" i="17"/>
  <c r="AM179" i="17"/>
  <c r="AM180" i="17"/>
  <c r="AM181" i="17"/>
  <c r="AM182" i="17"/>
  <c r="AM183" i="17"/>
  <c r="AM184" i="17"/>
  <c r="AM185" i="17"/>
  <c r="AM186" i="17"/>
  <c r="AM187" i="17"/>
  <c r="AM188" i="17"/>
  <c r="AM189" i="17"/>
  <c r="AM190" i="17"/>
  <c r="AM191" i="17"/>
  <c r="AM192" i="17"/>
  <c r="AM193" i="17"/>
  <c r="AM194" i="17"/>
  <c r="AM195" i="17"/>
  <c r="AM196" i="17"/>
  <c r="AM197" i="17"/>
  <c r="AM198" i="17"/>
  <c r="AM199" i="17"/>
  <c r="AM200" i="17"/>
  <c r="AM201" i="17"/>
  <c r="AM202" i="17"/>
  <c r="AM203" i="17"/>
  <c r="AM204" i="17"/>
  <c r="AM205" i="17"/>
  <c r="AM206" i="17"/>
  <c r="AM207" i="17"/>
  <c r="AM208" i="17"/>
  <c r="AM209" i="17"/>
  <c r="AM210" i="17"/>
  <c r="AM211" i="17"/>
  <c r="AM212" i="17"/>
  <c r="AM213" i="17"/>
  <c r="AM214" i="17"/>
  <c r="AM215" i="17"/>
  <c r="AM216" i="17"/>
  <c r="AM217" i="17"/>
  <c r="AM218" i="17"/>
  <c r="AM219" i="17"/>
  <c r="AM220" i="17"/>
  <c r="AM221" i="17"/>
  <c r="AM222" i="17"/>
  <c r="AM223" i="17"/>
  <c r="AM224" i="17"/>
  <c r="AM225" i="17"/>
  <c r="AM226" i="17"/>
  <c r="AM227" i="17"/>
  <c r="AM228" i="17"/>
  <c r="AM229" i="17"/>
  <c r="AM230" i="17"/>
  <c r="AM231" i="17"/>
  <c r="AM232" i="17"/>
  <c r="AM233" i="17"/>
  <c r="AM234" i="17"/>
  <c r="AM235" i="17"/>
  <c r="AM236" i="17"/>
  <c r="AM237" i="17"/>
  <c r="AM238" i="17"/>
  <c r="AM239" i="17"/>
  <c r="AM240" i="17"/>
  <c r="AM241" i="17"/>
  <c r="AM242" i="17"/>
  <c r="AM243" i="17"/>
  <c r="AM244" i="17"/>
  <c r="AM245" i="17"/>
  <c r="AM246" i="17"/>
  <c r="AM247" i="17"/>
  <c r="AM248" i="17"/>
  <c r="AM249" i="17"/>
  <c r="AM250" i="17"/>
  <c r="AM251" i="17"/>
  <c r="AM252" i="17"/>
  <c r="AM253" i="17"/>
  <c r="AM254" i="17"/>
  <c r="AM255" i="17"/>
  <c r="AM256" i="17"/>
  <c r="AM257" i="17"/>
  <c r="AM258" i="17"/>
  <c r="AM259" i="17"/>
  <c r="AM260" i="17"/>
  <c r="AM261" i="17"/>
  <c r="AM262" i="17"/>
  <c r="AM263" i="17"/>
  <c r="AM264" i="17"/>
  <c r="AM265" i="17"/>
  <c r="AM266" i="17"/>
  <c r="AM267" i="17"/>
  <c r="AM268" i="17"/>
  <c r="AM269" i="17"/>
  <c r="AM270" i="17"/>
  <c r="AM271" i="17"/>
  <c r="AM272" i="17"/>
  <c r="AM273" i="17"/>
  <c r="AM274" i="17"/>
  <c r="AM275" i="17"/>
  <c r="AM276" i="17"/>
  <c r="AM277" i="17"/>
  <c r="AM278" i="17"/>
  <c r="AM279" i="17"/>
  <c r="AM280" i="17"/>
  <c r="AM281" i="17"/>
  <c r="AM282" i="17"/>
  <c r="AM283" i="17"/>
  <c r="AM284" i="17"/>
  <c r="AM285" i="17"/>
  <c r="AM286" i="17"/>
  <c r="AM287" i="17"/>
  <c r="AM288" i="17"/>
  <c r="AM289" i="17"/>
  <c r="AM290" i="17"/>
  <c r="AM291" i="17"/>
  <c r="AM292" i="17"/>
  <c r="AM293" i="17"/>
  <c r="AM294" i="17"/>
  <c r="AM295" i="17"/>
  <c r="AM296" i="17"/>
  <c r="AM297" i="17"/>
  <c r="AM298" i="17"/>
  <c r="AM299" i="17"/>
  <c r="AM300" i="17"/>
  <c r="AM301" i="17"/>
  <c r="AM302" i="17"/>
  <c r="AM303" i="17"/>
  <c r="AM304" i="17"/>
  <c r="AM305" i="17"/>
  <c r="AM306" i="17"/>
  <c r="AM307" i="17"/>
  <c r="AM308" i="17"/>
  <c r="AM309" i="17"/>
  <c r="AM310" i="17"/>
  <c r="AM311" i="17"/>
  <c r="AM312" i="17"/>
  <c r="AM313" i="17"/>
  <c r="AM314" i="17"/>
  <c r="AM315" i="17"/>
  <c r="AM316" i="17"/>
  <c r="AM317" i="17"/>
  <c r="AM318" i="17"/>
  <c r="AM319" i="17"/>
  <c r="AM320" i="17"/>
  <c r="AM321" i="17"/>
  <c r="AM322" i="17"/>
  <c r="AM323" i="17"/>
  <c r="AM324" i="17"/>
  <c r="AM325" i="17"/>
  <c r="AM326" i="17"/>
  <c r="AM327" i="17"/>
  <c r="AM328" i="17"/>
  <c r="AM329" i="17"/>
  <c r="AM330" i="17"/>
  <c r="AM331" i="17"/>
  <c r="AM332" i="17"/>
  <c r="AM333" i="17"/>
  <c r="AM334" i="17"/>
  <c r="AM335" i="17"/>
  <c r="AM336" i="17"/>
  <c r="AM337" i="17"/>
  <c r="AM338" i="17"/>
  <c r="AM339" i="17"/>
  <c r="AM340" i="17"/>
  <c r="AM341" i="17"/>
  <c r="AM342" i="17"/>
  <c r="AM343" i="17"/>
  <c r="AM344" i="17"/>
  <c r="AM345" i="17"/>
  <c r="AM346" i="17"/>
  <c r="AM347" i="17"/>
  <c r="AM348" i="17"/>
  <c r="AM349" i="17"/>
  <c r="AM350" i="17"/>
  <c r="AM351" i="17"/>
  <c r="AM352" i="17"/>
  <c r="AM353" i="17"/>
  <c r="AM354" i="17"/>
  <c r="AM355" i="17"/>
  <c r="AM356" i="17"/>
  <c r="AM357" i="17"/>
  <c r="AM358" i="17"/>
  <c r="AM359" i="17"/>
  <c r="AM360" i="17"/>
  <c r="AM361" i="17"/>
  <c r="AM362" i="17"/>
  <c r="AM363" i="17"/>
  <c r="AM364" i="17"/>
  <c r="AM365" i="17"/>
  <c r="AM366" i="17"/>
  <c r="AM367" i="17"/>
  <c r="AM368" i="17"/>
  <c r="AM369" i="17"/>
  <c r="AM370" i="17"/>
  <c r="AM371" i="17"/>
  <c r="AM372" i="17"/>
  <c r="AM373" i="17"/>
  <c r="AM374" i="17"/>
  <c r="AM375" i="17"/>
  <c r="AM376" i="17"/>
  <c r="AM377" i="17"/>
  <c r="AM378" i="17"/>
  <c r="AM379" i="17"/>
  <c r="AM380" i="17"/>
  <c r="AM381" i="17"/>
  <c r="AM382" i="17"/>
  <c r="AM383" i="17"/>
  <c r="AM384" i="17"/>
  <c r="AM385" i="17"/>
  <c r="AM386" i="17"/>
  <c r="AM387" i="17"/>
  <c r="AM388" i="17"/>
  <c r="AM389" i="17"/>
  <c r="AM390" i="17"/>
  <c r="AM391" i="17"/>
  <c r="AM392" i="17"/>
  <c r="AM393" i="17"/>
  <c r="AM394" i="17"/>
  <c r="AM395" i="17"/>
  <c r="AM396" i="17"/>
  <c r="AM397" i="17"/>
  <c r="AM398" i="17"/>
  <c r="AM399" i="17"/>
  <c r="AM400" i="17"/>
  <c r="AM401" i="17"/>
  <c r="AM402" i="17"/>
  <c r="AM403" i="17"/>
  <c r="AM404" i="17"/>
  <c r="AM405" i="17"/>
  <c r="AM406" i="17"/>
  <c r="AM407" i="17"/>
  <c r="AM408" i="17"/>
  <c r="AK3" i="17"/>
  <c r="AK4" i="17"/>
  <c r="AK5" i="17"/>
  <c r="AK6" i="17"/>
  <c r="AK7" i="17"/>
  <c r="AK8" i="17"/>
  <c r="AK9" i="17"/>
  <c r="AK10" i="17"/>
  <c r="AK11" i="17"/>
  <c r="AK12" i="17"/>
  <c r="AK13" i="17"/>
  <c r="AK14" i="17"/>
  <c r="AK15" i="17"/>
  <c r="AK16" i="17"/>
  <c r="AK17" i="17"/>
  <c r="AK18" i="17"/>
  <c r="AK19" i="17"/>
  <c r="AK20" i="17"/>
  <c r="AK21" i="17"/>
  <c r="AK22" i="17"/>
  <c r="AK23" i="17"/>
  <c r="AK24" i="17"/>
  <c r="AK25" i="17"/>
  <c r="AK26" i="17"/>
  <c r="AK27" i="17"/>
  <c r="AK28" i="17"/>
  <c r="AK29" i="17"/>
  <c r="AK30" i="17"/>
  <c r="AK31" i="17"/>
  <c r="AK32" i="17"/>
  <c r="AK33" i="17"/>
  <c r="AK34" i="17"/>
  <c r="AK35" i="17"/>
  <c r="AK36" i="17"/>
  <c r="AK37" i="17"/>
  <c r="AK38" i="17"/>
  <c r="AK39" i="17"/>
  <c r="AK40" i="17"/>
  <c r="AK41" i="17"/>
  <c r="AK42" i="17"/>
  <c r="AK43" i="17"/>
  <c r="AK44" i="17"/>
  <c r="AK45" i="17"/>
  <c r="AK46" i="17"/>
  <c r="AK47" i="17"/>
  <c r="AK48" i="17"/>
  <c r="AK49" i="17"/>
  <c r="AK50" i="17"/>
  <c r="AK51" i="17"/>
  <c r="AK52" i="17"/>
  <c r="AK53" i="17"/>
  <c r="AK54" i="17"/>
  <c r="AK55" i="17"/>
  <c r="AK56" i="17"/>
  <c r="AK57" i="17"/>
  <c r="AK58" i="17"/>
  <c r="AK59" i="17"/>
  <c r="AK60" i="17"/>
  <c r="AK61" i="17"/>
  <c r="AK62" i="17"/>
  <c r="AK63" i="17"/>
  <c r="AK64" i="17"/>
  <c r="AK65" i="17"/>
  <c r="AK66" i="17"/>
  <c r="AK67" i="17"/>
  <c r="AK68" i="17"/>
  <c r="AK69" i="17"/>
  <c r="AK70" i="17"/>
  <c r="AK71" i="17"/>
  <c r="AK72" i="17"/>
  <c r="AK73" i="17"/>
  <c r="AK74" i="17"/>
  <c r="AK75" i="17"/>
  <c r="AK76" i="17"/>
  <c r="AK77" i="17"/>
  <c r="AK78" i="17"/>
  <c r="AK79" i="17"/>
  <c r="AK80" i="17"/>
  <c r="AK81" i="17"/>
  <c r="AK82" i="17"/>
  <c r="AK83" i="17"/>
  <c r="AK84" i="17"/>
  <c r="AK85" i="17"/>
  <c r="AK86" i="17"/>
  <c r="AK87" i="17"/>
  <c r="AK88" i="17"/>
  <c r="AK89" i="17"/>
  <c r="AK90" i="17"/>
  <c r="AK91" i="17"/>
  <c r="AK92" i="17"/>
  <c r="AK93" i="17"/>
  <c r="AK94" i="17"/>
  <c r="AK95" i="17"/>
  <c r="AK96" i="17"/>
  <c r="AK97" i="17"/>
  <c r="AK98" i="17"/>
  <c r="AK99" i="17"/>
  <c r="AK100" i="17"/>
  <c r="AK101" i="17"/>
  <c r="AK102" i="17"/>
  <c r="AK103" i="17"/>
  <c r="AK104" i="17"/>
  <c r="AK105" i="17"/>
  <c r="AK106" i="17"/>
  <c r="AK107" i="17"/>
  <c r="AK108" i="17"/>
  <c r="AK109" i="17"/>
  <c r="AK110" i="17"/>
  <c r="AK111" i="17"/>
  <c r="AK112" i="17"/>
  <c r="AK113" i="17"/>
  <c r="AK114" i="17"/>
  <c r="AK115" i="17"/>
  <c r="AK116" i="17"/>
  <c r="AK117" i="17"/>
  <c r="AK118" i="17"/>
  <c r="AK119" i="17"/>
  <c r="AK120" i="17"/>
  <c r="AK121" i="17"/>
  <c r="AK122" i="17"/>
  <c r="AK123" i="17"/>
  <c r="AK124" i="17"/>
  <c r="AK125" i="17"/>
  <c r="AK126" i="17"/>
  <c r="AK127" i="17"/>
  <c r="AK128" i="17"/>
  <c r="AK129" i="17"/>
  <c r="AK130" i="17"/>
  <c r="AK131" i="17"/>
  <c r="AK132" i="17"/>
  <c r="AK133" i="17"/>
  <c r="AK134" i="17"/>
  <c r="AK135" i="17"/>
  <c r="AK136" i="17"/>
  <c r="AK137" i="17"/>
  <c r="AK138" i="17"/>
  <c r="AK139" i="17"/>
  <c r="AK140" i="17"/>
  <c r="AK141" i="17"/>
  <c r="AK142" i="17"/>
  <c r="AK143" i="17"/>
  <c r="AK144" i="17"/>
  <c r="AK145" i="17"/>
  <c r="AK146" i="17"/>
  <c r="AK147" i="17"/>
  <c r="AK148" i="17"/>
  <c r="AK149" i="17"/>
  <c r="AK150" i="17"/>
  <c r="AK151" i="17"/>
  <c r="AK152" i="17"/>
  <c r="AK153" i="17"/>
  <c r="AK154" i="17"/>
  <c r="AK155" i="17"/>
  <c r="AK156" i="17"/>
  <c r="AK157" i="17"/>
  <c r="AK158" i="17"/>
  <c r="AK159" i="17"/>
  <c r="AK160" i="17"/>
  <c r="AK161" i="17"/>
  <c r="AK162" i="17"/>
  <c r="AK163" i="17"/>
  <c r="AK164" i="17"/>
  <c r="AK165" i="17"/>
  <c r="AK166" i="17"/>
  <c r="AK167" i="17"/>
  <c r="AK168" i="17"/>
  <c r="AK169" i="17"/>
  <c r="AK170" i="17"/>
  <c r="AK171" i="17"/>
  <c r="AK172" i="17"/>
  <c r="AK173" i="17"/>
  <c r="AK174" i="17"/>
  <c r="AK175" i="17"/>
  <c r="AK176" i="17"/>
  <c r="AK177" i="17"/>
  <c r="AK178" i="17"/>
  <c r="AK179" i="17"/>
  <c r="AK180" i="17"/>
  <c r="AK181" i="17"/>
  <c r="AK182" i="17"/>
  <c r="AK183" i="17"/>
  <c r="AK184" i="17"/>
  <c r="AK185" i="17"/>
  <c r="AK186" i="17"/>
  <c r="AK187" i="17"/>
  <c r="AK188" i="17"/>
  <c r="AK189" i="17"/>
  <c r="AK190" i="17"/>
  <c r="AK191" i="17"/>
  <c r="AK192" i="17"/>
  <c r="AK193" i="17"/>
  <c r="AK194" i="17"/>
  <c r="AK195" i="17"/>
  <c r="AK196" i="17"/>
  <c r="AK197" i="17"/>
  <c r="AK198" i="17"/>
  <c r="AK199" i="17"/>
  <c r="AK200" i="17"/>
  <c r="AK201" i="17"/>
  <c r="AK202" i="17"/>
  <c r="AK203" i="17"/>
  <c r="AK204" i="17"/>
  <c r="AK205" i="17"/>
  <c r="AK206" i="17"/>
  <c r="AK207" i="17"/>
  <c r="AK208" i="17"/>
  <c r="AK209" i="17"/>
  <c r="AK210" i="17"/>
  <c r="AK211" i="17"/>
  <c r="AK212" i="17"/>
  <c r="AK213" i="17"/>
  <c r="AK214" i="17"/>
  <c r="AK215" i="17"/>
  <c r="AK216" i="17"/>
  <c r="AK217" i="17"/>
  <c r="AK218" i="17"/>
  <c r="AK219" i="17"/>
  <c r="AK220" i="17"/>
  <c r="AK221" i="17"/>
  <c r="AK222" i="17"/>
  <c r="AK223" i="17"/>
  <c r="AK224" i="17"/>
  <c r="AK225" i="17"/>
  <c r="AK226" i="17"/>
  <c r="AK227" i="17"/>
  <c r="AK228" i="17"/>
  <c r="AK229" i="17"/>
  <c r="AK230" i="17"/>
  <c r="AK231" i="17"/>
  <c r="AK232" i="17"/>
  <c r="AK233" i="17"/>
  <c r="AK234" i="17"/>
  <c r="AK235" i="17"/>
  <c r="AK236" i="17"/>
  <c r="AK237" i="17"/>
  <c r="AK238" i="17"/>
  <c r="AK239" i="17"/>
  <c r="AK240" i="17"/>
  <c r="AK241" i="17"/>
  <c r="AK242" i="17"/>
  <c r="AK243" i="17"/>
  <c r="AK244" i="17"/>
  <c r="AK245" i="17"/>
  <c r="AK246" i="17"/>
  <c r="AK247" i="17"/>
  <c r="AK248" i="17"/>
  <c r="AK249" i="17"/>
  <c r="AK250" i="17"/>
  <c r="AK251" i="17"/>
  <c r="AK252" i="17"/>
  <c r="AK253" i="17"/>
  <c r="AK254" i="17"/>
  <c r="AK255" i="17"/>
  <c r="AK256" i="17"/>
  <c r="AK257" i="17"/>
  <c r="AK258" i="17"/>
  <c r="AK259" i="17"/>
  <c r="AK260" i="17"/>
  <c r="AK261" i="17"/>
  <c r="AK262" i="17"/>
  <c r="AK263" i="17"/>
  <c r="AK264" i="17"/>
  <c r="AK265" i="17"/>
  <c r="AK266" i="17"/>
  <c r="AK267" i="17"/>
  <c r="AK268" i="17"/>
  <c r="AK269" i="17"/>
  <c r="AK270" i="17"/>
  <c r="AK271" i="17"/>
  <c r="AK272" i="17"/>
  <c r="AK273" i="17"/>
  <c r="AK274" i="17"/>
  <c r="AK275" i="17"/>
  <c r="AK276" i="17"/>
  <c r="AK277" i="17"/>
  <c r="AK278" i="17"/>
  <c r="AK279" i="17"/>
  <c r="AK280" i="17"/>
  <c r="AK281" i="17"/>
  <c r="AK282" i="17"/>
  <c r="AK283" i="17"/>
  <c r="AK284" i="17"/>
  <c r="AK285" i="17"/>
  <c r="AK286" i="17"/>
  <c r="AK287" i="17"/>
  <c r="AK288" i="17"/>
  <c r="AK289" i="17"/>
  <c r="AK290" i="17"/>
  <c r="AK291" i="17"/>
  <c r="AK292" i="17"/>
  <c r="AK293" i="17"/>
  <c r="AK294" i="17"/>
  <c r="AK295" i="17"/>
  <c r="AK296" i="17"/>
  <c r="AK297" i="17"/>
  <c r="AK298" i="17"/>
  <c r="AK299" i="17"/>
  <c r="AK300" i="17"/>
  <c r="AK301" i="17"/>
  <c r="AK302" i="17"/>
  <c r="AK303" i="17"/>
  <c r="AK304" i="17"/>
  <c r="AK305" i="17"/>
  <c r="AK306" i="17"/>
  <c r="AK307" i="17"/>
  <c r="AK308" i="17"/>
  <c r="AK309" i="17"/>
  <c r="AK310" i="17"/>
  <c r="AK311" i="17"/>
  <c r="AK312" i="17"/>
  <c r="AK313" i="17"/>
  <c r="AK314" i="17"/>
  <c r="AK315" i="17"/>
  <c r="AK316" i="17"/>
  <c r="AK317" i="17"/>
  <c r="AK318" i="17"/>
  <c r="AK319" i="17"/>
  <c r="AK320" i="17"/>
  <c r="AK321" i="17"/>
  <c r="AK322" i="17"/>
  <c r="AK323" i="17"/>
  <c r="AK324" i="17"/>
  <c r="AK325" i="17"/>
  <c r="AK326" i="17"/>
  <c r="AK327" i="17"/>
  <c r="AK328" i="17"/>
  <c r="AK329" i="17"/>
  <c r="AK330" i="17"/>
  <c r="AK331" i="17"/>
  <c r="AK332" i="17"/>
  <c r="AK333" i="17"/>
  <c r="AK334" i="17"/>
  <c r="AK335" i="17"/>
  <c r="AK336" i="17"/>
  <c r="AK337" i="17"/>
  <c r="AK338" i="17"/>
  <c r="AK339" i="17"/>
  <c r="AK340" i="17"/>
  <c r="AK341" i="17"/>
  <c r="AK342" i="17"/>
  <c r="AK343" i="17"/>
  <c r="AK344" i="17"/>
  <c r="AK345" i="17"/>
  <c r="AK346" i="17"/>
  <c r="AK347" i="17"/>
  <c r="AK348" i="17"/>
  <c r="AK349" i="17"/>
  <c r="AK350" i="17"/>
  <c r="AK351" i="17"/>
  <c r="AK352" i="17"/>
  <c r="AK353" i="17"/>
  <c r="AK354" i="17"/>
  <c r="AK355" i="17"/>
  <c r="AK356" i="17"/>
  <c r="AK357" i="17"/>
  <c r="AK358" i="17"/>
  <c r="AK359" i="17"/>
  <c r="AK360" i="17"/>
  <c r="AK361" i="17"/>
  <c r="AK362" i="17"/>
  <c r="AK363" i="17"/>
  <c r="AK364" i="17"/>
  <c r="AK365" i="17"/>
  <c r="AK366" i="17"/>
  <c r="AK367" i="17"/>
  <c r="AK368" i="17"/>
  <c r="AK369" i="17"/>
  <c r="AK370" i="17"/>
  <c r="AK371" i="17"/>
  <c r="AK372" i="17"/>
  <c r="AK373" i="17"/>
  <c r="AK374" i="17"/>
  <c r="AK375" i="17"/>
  <c r="AK376" i="17"/>
  <c r="AK377" i="17"/>
  <c r="AK378" i="17"/>
  <c r="AK379" i="17"/>
  <c r="AK380" i="17"/>
  <c r="AK381" i="17"/>
  <c r="AK382" i="17"/>
  <c r="AK383" i="17"/>
  <c r="AK384" i="17"/>
  <c r="AK385" i="17"/>
  <c r="AK386" i="17"/>
  <c r="AK387" i="17"/>
  <c r="AK388" i="17"/>
  <c r="AK389" i="17"/>
  <c r="AK390" i="17"/>
  <c r="AK391" i="17"/>
  <c r="AK392" i="17"/>
  <c r="AK393" i="17"/>
  <c r="AK394" i="17"/>
  <c r="AK395" i="17"/>
  <c r="AK396" i="17"/>
  <c r="AK397" i="17"/>
  <c r="AK398" i="17"/>
  <c r="AK399" i="17"/>
  <c r="AK400" i="17"/>
  <c r="AK401" i="17"/>
  <c r="AK402" i="17"/>
  <c r="AK403" i="17"/>
  <c r="AK404" i="17"/>
  <c r="AK405" i="17"/>
  <c r="AK406" i="17"/>
  <c r="AK407" i="17"/>
  <c r="AK408" i="17"/>
  <c r="AK2" i="17"/>
  <c r="V3" i="9"/>
  <c r="AL4" i="17" s="1"/>
  <c r="V4" i="9"/>
  <c r="AL9" i="17" s="1"/>
  <c r="V5" i="9"/>
  <c r="AL6" i="17" s="1"/>
  <c r="V6" i="9"/>
  <c r="AL2" i="17" s="1"/>
  <c r="V7" i="9"/>
  <c r="AL8" i="17" s="1"/>
  <c r="V8" i="9"/>
  <c r="AL5" i="17" s="1"/>
  <c r="V9" i="9"/>
  <c r="AL7" i="17" s="1"/>
  <c r="V10" i="9"/>
  <c r="AL10" i="17" s="1"/>
  <c r="V11" i="9"/>
  <c r="AL11" i="17" s="1"/>
  <c r="V12" i="9"/>
  <c r="AL18" i="17" s="1"/>
  <c r="V13" i="9"/>
  <c r="AL12" i="17" s="1"/>
  <c r="V14" i="9"/>
  <c r="AL13" i="17" s="1"/>
  <c r="V15" i="9"/>
  <c r="AL14" i="17" s="1"/>
  <c r="V16" i="9"/>
  <c r="AL19" i="17" s="1"/>
  <c r="V17" i="9"/>
  <c r="AL15" i="17" s="1"/>
  <c r="V18" i="9"/>
  <c r="AL16" i="17" s="1"/>
  <c r="V19" i="9"/>
  <c r="AL17" i="17" s="1"/>
  <c r="V20" i="9"/>
  <c r="AL20" i="17" s="1"/>
  <c r="V21" i="9"/>
  <c r="AL25" i="17" s="1"/>
  <c r="V22" i="9"/>
  <c r="AL21" i="17" s="1"/>
  <c r="V23" i="9"/>
  <c r="AL22" i="17" s="1"/>
  <c r="V24" i="9"/>
  <c r="AL24" i="17" s="1"/>
  <c r="V25" i="9"/>
  <c r="AL23" i="17" s="1"/>
  <c r="V26" i="9"/>
  <c r="AL26" i="17" s="1"/>
  <c r="V27" i="9"/>
  <c r="AL27" i="17" s="1"/>
  <c r="V28" i="9"/>
  <c r="AL28" i="17" s="1"/>
  <c r="V29" i="9"/>
  <c r="AL29" i="17" s="1"/>
  <c r="V30" i="9"/>
  <c r="AL30" i="17" s="1"/>
  <c r="V31" i="9"/>
  <c r="AL31" i="17" s="1"/>
  <c r="V32" i="9"/>
  <c r="AL32" i="17" s="1"/>
  <c r="V33" i="9"/>
  <c r="AL33" i="17" s="1"/>
  <c r="V34" i="9"/>
  <c r="AL34" i="17" s="1"/>
  <c r="V35" i="9"/>
  <c r="AL35" i="17" s="1"/>
  <c r="V36" i="9"/>
  <c r="AL36" i="17" s="1"/>
  <c r="V37" i="9"/>
  <c r="AL37" i="17" s="1"/>
  <c r="V38" i="9"/>
  <c r="AL38" i="17" s="1"/>
  <c r="V39" i="9"/>
  <c r="AL39" i="17" s="1"/>
  <c r="V40" i="9"/>
  <c r="AL40" i="17" s="1"/>
  <c r="V41" i="9"/>
  <c r="AL41" i="17" s="1"/>
  <c r="V42" i="9"/>
  <c r="AL42" i="17" s="1"/>
  <c r="V43" i="9"/>
  <c r="AL43" i="17" s="1"/>
  <c r="V44" i="9"/>
  <c r="AL44" i="17" s="1"/>
  <c r="V45" i="9"/>
  <c r="AL45" i="17" s="1"/>
  <c r="V46" i="9"/>
  <c r="AL46" i="17" s="1"/>
  <c r="V47" i="9"/>
  <c r="AL47" i="17" s="1"/>
  <c r="V48" i="9"/>
  <c r="AL48" i="17" s="1"/>
  <c r="V49" i="9"/>
  <c r="AL49" i="17" s="1"/>
  <c r="V50" i="9"/>
  <c r="AL50" i="17" s="1"/>
  <c r="V51" i="9"/>
  <c r="AL51" i="17" s="1"/>
  <c r="V52" i="9"/>
  <c r="AL52" i="17" s="1"/>
  <c r="V53" i="9"/>
  <c r="AL53" i="17" s="1"/>
  <c r="V54" i="9"/>
  <c r="AL54" i="17" s="1"/>
  <c r="V55" i="9"/>
  <c r="AL56" i="17" s="1"/>
  <c r="V56" i="9"/>
  <c r="AL57" i="17" s="1"/>
  <c r="V57" i="9"/>
  <c r="AL58" i="17" s="1"/>
  <c r="V58" i="9"/>
  <c r="AL59" i="17" s="1"/>
  <c r="V59" i="9"/>
  <c r="AL60" i="17" s="1"/>
  <c r="V60" i="9"/>
  <c r="AL61" i="17" s="1"/>
  <c r="V61" i="9"/>
  <c r="AL62" i="17" s="1"/>
  <c r="V62" i="9"/>
  <c r="AL55" i="17" s="1"/>
  <c r="V63" i="9"/>
  <c r="AL65" i="17" s="1"/>
  <c r="V64" i="9"/>
  <c r="AL63" i="17" s="1"/>
  <c r="V65" i="9"/>
  <c r="AL64" i="17" s="1"/>
  <c r="V66" i="9"/>
  <c r="AL66" i="17" s="1"/>
  <c r="V67" i="9"/>
  <c r="AL67" i="17" s="1"/>
  <c r="V68" i="9"/>
  <c r="AL68" i="17" s="1"/>
  <c r="V69" i="9"/>
  <c r="AL69" i="17" s="1"/>
  <c r="V70" i="9"/>
  <c r="AL70" i="17" s="1"/>
  <c r="V71" i="9"/>
  <c r="AL71" i="17" s="1"/>
  <c r="V72" i="9"/>
  <c r="AL72" i="17" s="1"/>
  <c r="V73" i="9"/>
  <c r="AL73" i="17" s="1"/>
  <c r="V74" i="9"/>
  <c r="AL74" i="17" s="1"/>
  <c r="V75" i="9"/>
  <c r="AL75" i="17" s="1"/>
  <c r="V76" i="9"/>
  <c r="AL76" i="17" s="1"/>
  <c r="V77" i="9"/>
  <c r="AL77" i="17" s="1"/>
  <c r="V78" i="9"/>
  <c r="AL78" i="17" s="1"/>
  <c r="V79" i="9"/>
  <c r="AL79" i="17" s="1"/>
  <c r="V80" i="9"/>
  <c r="AL80" i="17" s="1"/>
  <c r="V81" i="9"/>
  <c r="AL81" i="17" s="1"/>
  <c r="V82" i="9"/>
  <c r="AL82" i="17" s="1"/>
  <c r="V83" i="9"/>
  <c r="AL83" i="17" s="1"/>
  <c r="V84" i="9"/>
  <c r="AL84" i="17" s="1"/>
  <c r="V85" i="9"/>
  <c r="AL85" i="17" s="1"/>
  <c r="V86" i="9"/>
  <c r="AL86" i="17" s="1"/>
  <c r="V87" i="9"/>
  <c r="AL87" i="17" s="1"/>
  <c r="V88" i="9"/>
  <c r="AL88" i="17" s="1"/>
  <c r="V89" i="9"/>
  <c r="AL89" i="17" s="1"/>
  <c r="V90" i="9"/>
  <c r="AL90" i="17" s="1"/>
  <c r="V91" i="9"/>
  <c r="AL91" i="17" s="1"/>
  <c r="V92" i="9"/>
  <c r="AL92" i="17" s="1"/>
  <c r="V93" i="9"/>
  <c r="AL93" i="17" s="1"/>
  <c r="V94" i="9"/>
  <c r="AL94" i="17" s="1"/>
  <c r="V95" i="9"/>
  <c r="AL99" i="17" s="1"/>
  <c r="V96" i="9"/>
  <c r="AL95" i="17" s="1"/>
  <c r="V97" i="9"/>
  <c r="AL96" i="17" s="1"/>
  <c r="V98" i="9"/>
  <c r="AL98" i="17" s="1"/>
  <c r="V99" i="9"/>
  <c r="AL100" i="17" s="1"/>
  <c r="V100" i="9"/>
  <c r="AL97" i="17" s="1"/>
  <c r="V101" i="9"/>
  <c r="AL101" i="17" s="1"/>
  <c r="V102" i="9"/>
  <c r="AL102" i="17" s="1"/>
  <c r="V103" i="9"/>
  <c r="AL103" i="17" s="1"/>
  <c r="V104" i="9"/>
  <c r="AL105" i="17" s="1"/>
  <c r="V105" i="9"/>
  <c r="AL104" i="17" s="1"/>
  <c r="V106" i="9"/>
  <c r="AL106" i="17" s="1"/>
  <c r="V107" i="9"/>
  <c r="AL107" i="17" s="1"/>
  <c r="V108" i="9"/>
  <c r="AL108" i="17" s="1"/>
  <c r="V109" i="9"/>
  <c r="AL110" i="17" s="1"/>
  <c r="V110" i="9"/>
  <c r="AL109" i="17" s="1"/>
  <c r="V111" i="9"/>
  <c r="AL111" i="17" s="1"/>
  <c r="V112" i="9"/>
  <c r="AL112" i="17" s="1"/>
  <c r="V113" i="9"/>
  <c r="AL113" i="17" s="1"/>
  <c r="V114" i="9"/>
  <c r="AL114" i="17" s="1"/>
  <c r="V115" i="9"/>
  <c r="AL115" i="17" s="1"/>
  <c r="V116" i="9"/>
  <c r="AL116" i="17" s="1"/>
  <c r="V117" i="9"/>
  <c r="AL117" i="17" s="1"/>
  <c r="V118" i="9"/>
  <c r="AL118" i="17" s="1"/>
  <c r="V119" i="9"/>
  <c r="AL119" i="17" s="1"/>
  <c r="V120" i="9"/>
  <c r="AL120" i="17" s="1"/>
  <c r="V121" i="9"/>
  <c r="AL121" i="17" s="1"/>
  <c r="V122" i="9"/>
  <c r="AL122" i="17" s="1"/>
  <c r="V123" i="9"/>
  <c r="AL123" i="17" s="1"/>
  <c r="V124" i="9"/>
  <c r="AL124" i="17" s="1"/>
  <c r="V125" i="9"/>
  <c r="AL125" i="17" s="1"/>
  <c r="V126" i="9"/>
  <c r="AL126" i="17" s="1"/>
  <c r="V127" i="9"/>
  <c r="AL127" i="17" s="1"/>
  <c r="V128" i="9"/>
  <c r="AL128" i="17" s="1"/>
  <c r="V129" i="9"/>
  <c r="AL129" i="17" s="1"/>
  <c r="V130" i="9"/>
  <c r="AL130" i="17" s="1"/>
  <c r="V131" i="9"/>
  <c r="AL131" i="17" s="1"/>
  <c r="V132" i="9"/>
  <c r="AL132" i="17" s="1"/>
  <c r="V133" i="9"/>
  <c r="AL133" i="17" s="1"/>
  <c r="V134" i="9"/>
  <c r="AL134" i="17" s="1"/>
  <c r="V135" i="9"/>
  <c r="AL135" i="17" s="1"/>
  <c r="V136" i="9"/>
  <c r="AL136" i="17" s="1"/>
  <c r="V137" i="9"/>
  <c r="AL137" i="17" s="1"/>
  <c r="V138" i="9"/>
  <c r="AL138" i="17" s="1"/>
  <c r="V139" i="9"/>
  <c r="AL139" i="17" s="1"/>
  <c r="V140" i="9"/>
  <c r="AL140" i="17" s="1"/>
  <c r="V141" i="9"/>
  <c r="AL141" i="17" s="1"/>
  <c r="V142" i="9"/>
  <c r="AL142" i="17" s="1"/>
  <c r="V143" i="9"/>
  <c r="AL143" i="17" s="1"/>
  <c r="V144" i="9"/>
  <c r="AL144" i="17" s="1"/>
  <c r="V145" i="9"/>
  <c r="AL145" i="17" s="1"/>
  <c r="V146" i="9"/>
  <c r="AL146" i="17" s="1"/>
  <c r="V147" i="9"/>
  <c r="AL147" i="17" s="1"/>
  <c r="V148" i="9"/>
  <c r="AL148" i="17" s="1"/>
  <c r="V149" i="9"/>
  <c r="AL149" i="17" s="1"/>
  <c r="V150" i="9"/>
  <c r="AL150" i="17" s="1"/>
  <c r="V151" i="9"/>
  <c r="AL151" i="17" s="1"/>
  <c r="V152" i="9"/>
  <c r="AL154" i="17" s="1"/>
  <c r="V153" i="9"/>
  <c r="AL152" i="17" s="1"/>
  <c r="V154" i="9"/>
  <c r="AL153" i="17" s="1"/>
  <c r="V155" i="9"/>
  <c r="AL155" i="17" s="1"/>
  <c r="V156" i="9"/>
  <c r="AL156" i="17" s="1"/>
  <c r="V157" i="9"/>
  <c r="AL157" i="17" s="1"/>
  <c r="V158" i="9"/>
  <c r="AL158" i="17" s="1"/>
  <c r="V159" i="9"/>
  <c r="AL159" i="17" s="1"/>
  <c r="V160" i="9"/>
  <c r="AL160" i="17" s="1"/>
  <c r="V161" i="9"/>
  <c r="AL161" i="17" s="1"/>
  <c r="V162" i="9"/>
  <c r="AL163" i="17" s="1"/>
  <c r="V163" i="9"/>
  <c r="AL162" i="17" s="1"/>
  <c r="V164" i="9"/>
  <c r="AL164" i="17" s="1"/>
  <c r="V165" i="9"/>
  <c r="AL165" i="17" s="1"/>
  <c r="V166" i="9"/>
  <c r="AL169" i="17" s="1"/>
  <c r="V167" i="9"/>
  <c r="AL166" i="17" s="1"/>
  <c r="V168" i="9"/>
  <c r="AL167" i="17" s="1"/>
  <c r="V169" i="9"/>
  <c r="AL168" i="17" s="1"/>
  <c r="V170" i="9"/>
  <c r="AL170" i="17" s="1"/>
  <c r="V171" i="9"/>
  <c r="AL171" i="17" s="1"/>
  <c r="V172" i="9"/>
  <c r="AL172" i="17" s="1"/>
  <c r="V173" i="9"/>
  <c r="AL173" i="17" s="1"/>
  <c r="V174" i="9"/>
  <c r="AL174" i="17" s="1"/>
  <c r="V175" i="9"/>
  <c r="AL176" i="17" s="1"/>
  <c r="V176" i="9"/>
  <c r="AL175" i="17" s="1"/>
  <c r="V177" i="9"/>
  <c r="AL177" i="17" s="1"/>
  <c r="V178" i="9"/>
  <c r="AL179" i="17" s="1"/>
  <c r="V179" i="9"/>
  <c r="AL178" i="17" s="1"/>
  <c r="V180" i="9"/>
  <c r="AL180" i="17" s="1"/>
  <c r="V181" i="9"/>
  <c r="AL181" i="17" s="1"/>
  <c r="V182" i="9"/>
  <c r="AL182" i="17" s="1"/>
  <c r="V183" i="9"/>
  <c r="AL183" i="17" s="1"/>
  <c r="V184" i="9"/>
  <c r="AL185" i="17" s="1"/>
  <c r="V185" i="9"/>
  <c r="AL184" i="17" s="1"/>
  <c r="V186" i="9"/>
  <c r="AL186" i="17" s="1"/>
  <c r="V187" i="9"/>
  <c r="AL187" i="17" s="1"/>
  <c r="V188" i="9"/>
  <c r="AL189" i="17" s="1"/>
  <c r="V189" i="9"/>
  <c r="AL188" i="17" s="1"/>
  <c r="V190" i="9"/>
  <c r="AL200" i="17" s="1"/>
  <c r="V191" i="9"/>
  <c r="AL190" i="17" s="1"/>
  <c r="V192" i="9"/>
  <c r="AL202" i="17" s="1"/>
  <c r="V193" i="9"/>
  <c r="AL203" i="17" s="1"/>
  <c r="V194" i="9"/>
  <c r="AL205" i="17" s="1"/>
  <c r="V195" i="9"/>
  <c r="AL191" i="17" s="1"/>
  <c r="V196" i="9"/>
  <c r="AL192" i="17" s="1"/>
  <c r="V197" i="9"/>
  <c r="AL199" i="17" s="1"/>
  <c r="V198" i="9"/>
  <c r="AL193" i="17" s="1"/>
  <c r="AL194" i="17"/>
  <c r="V200" i="9"/>
  <c r="AL195" i="17" s="1"/>
  <c r="V201" i="9"/>
  <c r="AL204" i="17" s="1"/>
  <c r="V202" i="9"/>
  <c r="AL196" i="17" s="1"/>
  <c r="V203" i="9"/>
  <c r="AL198" i="17" s="1"/>
  <c r="V204" i="9"/>
  <c r="AL201" i="17" s="1"/>
  <c r="V205" i="9"/>
  <c r="AL197" i="17" s="1"/>
  <c r="V206" i="9"/>
  <c r="AL206" i="17" s="1"/>
  <c r="V207" i="9"/>
  <c r="AL207" i="17" s="1"/>
  <c r="V208" i="9"/>
  <c r="AL208" i="17" s="1"/>
  <c r="V209" i="9"/>
  <c r="AL209" i="17" s="1"/>
  <c r="V210" i="9"/>
  <c r="AL210" i="17" s="1"/>
  <c r="V211" i="9"/>
  <c r="AL211" i="17" s="1"/>
  <c r="V212" i="9"/>
  <c r="AL212" i="17" s="1"/>
  <c r="V213" i="9"/>
  <c r="AL213" i="17" s="1"/>
  <c r="V214" i="9"/>
  <c r="AL214" i="17" s="1"/>
  <c r="V215" i="9"/>
  <c r="AL215" i="17" s="1"/>
  <c r="V216" i="9"/>
  <c r="AL216" i="17" s="1"/>
  <c r="V217" i="9"/>
  <c r="AL217" i="17" s="1"/>
  <c r="V218" i="9"/>
  <c r="AL218" i="17" s="1"/>
  <c r="V219" i="9"/>
  <c r="AL219" i="17" s="1"/>
  <c r="V220" i="9"/>
  <c r="AL220" i="17" s="1"/>
  <c r="V221" i="9"/>
  <c r="AL222" i="17" s="1"/>
  <c r="V222" i="9"/>
  <c r="AL221" i="17" s="1"/>
  <c r="V223" i="9"/>
  <c r="AL223" i="17" s="1"/>
  <c r="V224" i="9"/>
  <c r="AL224" i="17" s="1"/>
  <c r="V225" i="9"/>
  <c r="AL225" i="17" s="1"/>
  <c r="V226" i="9"/>
  <c r="AL226" i="17" s="1"/>
  <c r="V227" i="9"/>
  <c r="AL229" i="17" s="1"/>
  <c r="V228" i="9"/>
  <c r="AL228" i="17" s="1"/>
  <c r="V229" i="9"/>
  <c r="AL227" i="17" s="1"/>
  <c r="V230" i="9"/>
  <c r="AL230" i="17" s="1"/>
  <c r="V231" i="9"/>
  <c r="AL231" i="17" s="1"/>
  <c r="V232" i="9"/>
  <c r="AL232" i="17" s="1"/>
  <c r="V233" i="9"/>
  <c r="AL233" i="17" s="1"/>
  <c r="V234" i="9"/>
  <c r="AL234" i="17" s="1"/>
  <c r="V235" i="9"/>
  <c r="AL235" i="17" s="1"/>
  <c r="V236" i="9"/>
  <c r="AL236" i="17" s="1"/>
  <c r="V237" i="9"/>
  <c r="AL237" i="17" s="1"/>
  <c r="V238" i="9"/>
  <c r="AL238" i="17" s="1"/>
  <c r="V239" i="9"/>
  <c r="AL239" i="17" s="1"/>
  <c r="V240" i="9"/>
  <c r="AL240" i="17" s="1"/>
  <c r="V241" i="9"/>
  <c r="AL241" i="17" s="1"/>
  <c r="V242" i="9"/>
  <c r="AL242" i="17" s="1"/>
  <c r="V243" i="9"/>
  <c r="AL243" i="17" s="1"/>
  <c r="V244" i="9"/>
  <c r="AL244" i="17" s="1"/>
  <c r="V245" i="9"/>
  <c r="AL245" i="17" s="1"/>
  <c r="V246" i="9"/>
  <c r="AL246" i="17" s="1"/>
  <c r="V247" i="9"/>
  <c r="AL247" i="17" s="1"/>
  <c r="V248" i="9"/>
  <c r="AL248" i="17" s="1"/>
  <c r="V249" i="9"/>
  <c r="AL249" i="17" s="1"/>
  <c r="V250" i="9"/>
  <c r="AL250" i="17" s="1"/>
  <c r="V251" i="9"/>
  <c r="AL251" i="17" s="1"/>
  <c r="V252" i="9"/>
  <c r="AL252" i="17" s="1"/>
  <c r="V253" i="9"/>
  <c r="AL253" i="17" s="1"/>
  <c r="V254" i="9"/>
  <c r="AL254" i="17" s="1"/>
  <c r="V255" i="9"/>
  <c r="AL255" i="17" s="1"/>
  <c r="V256" i="9"/>
  <c r="AL256" i="17" s="1"/>
  <c r="V257" i="9"/>
  <c r="AL257" i="17" s="1"/>
  <c r="V258" i="9"/>
  <c r="AL258" i="17" s="1"/>
  <c r="V259" i="9"/>
  <c r="AL259" i="17" s="1"/>
  <c r="V260" i="9"/>
  <c r="AL260" i="17" s="1"/>
  <c r="V261" i="9"/>
  <c r="AL261" i="17" s="1"/>
  <c r="V262" i="9"/>
  <c r="AL262" i="17" s="1"/>
  <c r="V263" i="9"/>
  <c r="AL264" i="17" s="1"/>
  <c r="V264" i="9"/>
  <c r="AL263" i="17" s="1"/>
  <c r="V265" i="9"/>
  <c r="AL265" i="17" s="1"/>
  <c r="V266" i="9"/>
  <c r="AL266" i="17" s="1"/>
  <c r="V267" i="9"/>
  <c r="AL267" i="17" s="1"/>
  <c r="V268" i="9"/>
  <c r="AL268" i="17" s="1"/>
  <c r="V269" i="9"/>
  <c r="AL269" i="17" s="1"/>
  <c r="V270" i="9"/>
  <c r="AL270" i="17" s="1"/>
  <c r="V271" i="9"/>
  <c r="AL271" i="17" s="1"/>
  <c r="V272" i="9"/>
  <c r="AL272" i="17" s="1"/>
  <c r="V273" i="9"/>
  <c r="AL273" i="17" s="1"/>
  <c r="V274" i="9"/>
  <c r="AL274" i="17" s="1"/>
  <c r="V275" i="9"/>
  <c r="AL277" i="17" s="1"/>
  <c r="V276" i="9"/>
  <c r="AL278" i="17" s="1"/>
  <c r="V277" i="9"/>
  <c r="AL280" i="17" s="1"/>
  <c r="AL276" i="17"/>
  <c r="V279" i="9"/>
  <c r="AL282" i="17" s="1"/>
  <c r="V280" i="9"/>
  <c r="AL283" i="17" s="1"/>
  <c r="V281" i="9"/>
  <c r="AL281" i="17" s="1"/>
  <c r="V282" i="9"/>
  <c r="AL275" i="17" s="1"/>
  <c r="V283" i="9"/>
  <c r="AL279" i="17" s="1"/>
  <c r="V284" i="9"/>
  <c r="AL284" i="17" s="1"/>
  <c r="V285" i="9"/>
  <c r="AL285" i="17" s="1"/>
  <c r="V286" i="9"/>
  <c r="AL286" i="17" s="1"/>
  <c r="V287" i="9"/>
  <c r="AL289" i="17" s="1"/>
  <c r="V288" i="9"/>
  <c r="AL288" i="17" s="1"/>
  <c r="V289" i="9"/>
  <c r="AL287" i="17" s="1"/>
  <c r="V290" i="9"/>
  <c r="V291" i="9"/>
  <c r="AL290" i="17" s="1"/>
  <c r="V292" i="9"/>
  <c r="AL293" i="17" s="1"/>
  <c r="V293" i="9"/>
  <c r="AL292" i="17" s="1"/>
  <c r="V294" i="9"/>
  <c r="AL291" i="17" s="1"/>
  <c r="V295" i="9"/>
  <c r="AL294" i="17" s="1"/>
  <c r="V296" i="9"/>
  <c r="AL295" i="17" s="1"/>
  <c r="V297" i="9"/>
  <c r="AL296" i="17" s="1"/>
  <c r="V298" i="9"/>
  <c r="AL301" i="17" s="1"/>
  <c r="V299" i="9"/>
  <c r="AL297" i="17" s="1"/>
  <c r="V300" i="9"/>
  <c r="AL298" i="17" s="1"/>
  <c r="V301" i="9"/>
  <c r="AL299" i="17" s="1"/>
  <c r="V302" i="9"/>
  <c r="AL300" i="17" s="1"/>
  <c r="V303" i="9"/>
  <c r="AL302" i="17" s="1"/>
  <c r="V304" i="9"/>
  <c r="AL303" i="17" s="1"/>
  <c r="V305" i="9"/>
  <c r="AL304" i="17" s="1"/>
  <c r="V306" i="9"/>
  <c r="AL307" i="17" s="1"/>
  <c r="V307" i="9"/>
  <c r="AL305" i="17" s="1"/>
  <c r="V308" i="9"/>
  <c r="AL306" i="17" s="1"/>
  <c r="V309" i="9"/>
  <c r="AL308" i="17" s="1"/>
  <c r="V310" i="9"/>
  <c r="AL309" i="17" s="1"/>
  <c r="V311" i="9"/>
  <c r="AL310" i="17" s="1"/>
  <c r="V312" i="9"/>
  <c r="AL311" i="17" s="1"/>
  <c r="V313" i="9"/>
  <c r="AL312" i="17" s="1"/>
  <c r="V314" i="9"/>
  <c r="AL313" i="17" s="1"/>
  <c r="V315" i="9"/>
  <c r="AL314" i="17" s="1"/>
  <c r="V316" i="9"/>
  <c r="AL315" i="17" s="1"/>
  <c r="V317" i="9"/>
  <c r="AL316" i="17" s="1"/>
  <c r="V318" i="9"/>
  <c r="AL318" i="17" s="1"/>
  <c r="V319" i="9"/>
  <c r="AL317" i="17" s="1"/>
  <c r="V320" i="9"/>
  <c r="AL319" i="17" s="1"/>
  <c r="V321" i="9"/>
  <c r="AL320" i="17" s="1"/>
  <c r="V322" i="9"/>
  <c r="AL321" i="17" s="1"/>
  <c r="V323" i="9"/>
  <c r="AL322" i="17" s="1"/>
  <c r="V324" i="9"/>
  <c r="AL323" i="17" s="1"/>
  <c r="V325" i="9"/>
  <c r="AL324" i="17" s="1"/>
  <c r="V326" i="9"/>
  <c r="AL325" i="17" s="1"/>
  <c r="V327" i="9"/>
  <c r="AL326" i="17" s="1"/>
  <c r="V328" i="9"/>
  <c r="AL327" i="17" s="1"/>
  <c r="V329" i="9"/>
  <c r="AL328" i="17" s="1"/>
  <c r="V330" i="9"/>
  <c r="AL332" i="17" s="1"/>
  <c r="V331" i="9"/>
  <c r="AL333" i="17" s="1"/>
  <c r="V332" i="9"/>
  <c r="AL331" i="17" s="1"/>
  <c r="V333" i="9"/>
  <c r="AL329" i="17" s="1"/>
  <c r="V334" i="9"/>
  <c r="AL330" i="17" s="1"/>
  <c r="V335" i="9"/>
  <c r="AL334" i="17" s="1"/>
  <c r="V336" i="9"/>
  <c r="AL335" i="17" s="1"/>
  <c r="V337" i="9"/>
  <c r="AL336" i="17" s="1"/>
  <c r="AL337" i="17"/>
  <c r="V339" i="9"/>
  <c r="AL338" i="17" s="1"/>
  <c r="V340" i="9"/>
  <c r="AL339" i="17" s="1"/>
  <c r="V341" i="9"/>
  <c r="AL340" i="17" s="1"/>
  <c r="V342" i="9"/>
  <c r="AL341" i="17" s="1"/>
  <c r="V343" i="9"/>
  <c r="AL342" i="17" s="1"/>
  <c r="V344" i="9"/>
  <c r="AL343" i="17" s="1"/>
  <c r="V345" i="9"/>
  <c r="AL344" i="17" s="1"/>
  <c r="V346" i="9"/>
  <c r="AL345" i="17" s="1"/>
  <c r="V347" i="9"/>
  <c r="AL346" i="17" s="1"/>
  <c r="V348" i="9"/>
  <c r="AL347" i="17" s="1"/>
  <c r="V349" i="9"/>
  <c r="AL348" i="17" s="1"/>
  <c r="V350" i="9"/>
  <c r="AL349" i="17" s="1"/>
  <c r="V351" i="9"/>
  <c r="AL350" i="17" s="1"/>
  <c r="V352" i="9"/>
  <c r="AL351" i="17" s="1"/>
  <c r="V353" i="9"/>
  <c r="AL352" i="17" s="1"/>
  <c r="V354" i="9"/>
  <c r="AL353" i="17" s="1"/>
  <c r="V355" i="9"/>
  <c r="AL354" i="17" s="1"/>
  <c r="V356" i="9"/>
  <c r="AL355" i="17" s="1"/>
  <c r="V357" i="9"/>
  <c r="AL356" i="17" s="1"/>
  <c r="V358" i="9"/>
  <c r="AL357" i="17" s="1"/>
  <c r="V359" i="9"/>
  <c r="AL358" i="17" s="1"/>
  <c r="V360" i="9"/>
  <c r="AL359" i="17" s="1"/>
  <c r="V361" i="9"/>
  <c r="AL360" i="17" s="1"/>
  <c r="V362" i="9"/>
  <c r="AL361" i="17" s="1"/>
  <c r="V363" i="9"/>
  <c r="AL362" i="17" s="1"/>
  <c r="V364" i="9"/>
  <c r="AL363" i="17" s="1"/>
  <c r="V365" i="9"/>
  <c r="AL364" i="17" s="1"/>
  <c r="V366" i="9"/>
  <c r="AL365" i="17" s="1"/>
  <c r="V367" i="9"/>
  <c r="AL366" i="17" s="1"/>
  <c r="V368" i="9"/>
  <c r="AL367" i="17" s="1"/>
  <c r="V369" i="9"/>
  <c r="AL368" i="17" s="1"/>
  <c r="V370" i="9"/>
  <c r="AL369" i="17" s="1"/>
  <c r="V371" i="9"/>
  <c r="AL375" i="17" s="1"/>
  <c r="V372" i="9"/>
  <c r="AL373" i="17" s="1"/>
  <c r="V373" i="9"/>
  <c r="AL374" i="17" s="1"/>
  <c r="V374" i="9"/>
  <c r="AL372" i="17" s="1"/>
  <c r="V375" i="9"/>
  <c r="AL370" i="17" s="1"/>
  <c r="V376" i="9"/>
  <c r="AL371" i="17" s="1"/>
  <c r="V377" i="9"/>
  <c r="AL376" i="17" s="1"/>
  <c r="V378" i="9"/>
  <c r="AL377" i="17" s="1"/>
  <c r="V379" i="9"/>
  <c r="AL378" i="17" s="1"/>
  <c r="V380" i="9"/>
  <c r="AL379" i="17" s="1"/>
  <c r="V381" i="9"/>
  <c r="AL380" i="17" s="1"/>
  <c r="V382" i="9"/>
  <c r="AL381" i="17" s="1"/>
  <c r="V383" i="9"/>
  <c r="AL382" i="17" s="1"/>
  <c r="V384" i="9"/>
  <c r="AL385" i="17" s="1"/>
  <c r="V385" i="9"/>
  <c r="AL383" i="17" s="1"/>
  <c r="V386" i="9"/>
  <c r="AL386" i="17" s="1"/>
  <c r="V387" i="9"/>
  <c r="AL384" i="17" s="1"/>
  <c r="V388" i="9"/>
  <c r="AL387" i="17" s="1"/>
  <c r="V389" i="9"/>
  <c r="AL388" i="17" s="1"/>
  <c r="V390" i="9"/>
  <c r="AL389" i="17" s="1"/>
  <c r="V391" i="9"/>
  <c r="AL391" i="17" s="1"/>
  <c r="V392" i="9"/>
  <c r="AL390" i="17" s="1"/>
  <c r="V393" i="9"/>
  <c r="AL392" i="17" s="1"/>
  <c r="V394" i="9"/>
  <c r="AL393" i="17" s="1"/>
  <c r="V395" i="9"/>
  <c r="AL394" i="17" s="1"/>
  <c r="V396" i="9"/>
  <c r="AL395" i="17" s="1"/>
  <c r="V397" i="9"/>
  <c r="AL396" i="17" s="1"/>
  <c r="V398" i="9"/>
  <c r="AL397" i="17" s="1"/>
  <c r="V399" i="9"/>
  <c r="AL398" i="17" s="1"/>
  <c r="V400" i="9"/>
  <c r="AL399" i="17" s="1"/>
  <c r="V401" i="9"/>
  <c r="AL400" i="17" s="1"/>
  <c r="V402" i="9"/>
  <c r="AL401" i="17" s="1"/>
  <c r="V403" i="9"/>
  <c r="AL402" i="17" s="1"/>
  <c r="V404" i="9"/>
  <c r="AL403" i="17" s="1"/>
  <c r="V405" i="9"/>
  <c r="AL404" i="17" s="1"/>
  <c r="V406" i="9"/>
  <c r="AL405" i="17" s="1"/>
  <c r="V407" i="9"/>
  <c r="AL406" i="17" s="1"/>
  <c r="V408" i="9"/>
  <c r="AL408" i="17" s="1"/>
  <c r="V409" i="9"/>
  <c r="AL407" i="17" s="1"/>
  <c r="V2" i="9"/>
  <c r="Y2" i="9" s="1"/>
  <c r="U2" i="9"/>
  <c r="U3" i="9"/>
  <c r="U4" i="9"/>
  <c r="U5" i="9"/>
  <c r="U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1" i="9"/>
  <c r="U112" i="9"/>
  <c r="U113" i="9"/>
  <c r="U114" i="9"/>
  <c r="U115" i="9"/>
  <c r="U116" i="9"/>
  <c r="U117" i="9"/>
  <c r="U118" i="9"/>
  <c r="U119" i="9"/>
  <c r="U120" i="9"/>
  <c r="U121" i="9"/>
  <c r="U122" i="9"/>
  <c r="U123" i="9"/>
  <c r="U124" i="9"/>
  <c r="U125" i="9"/>
  <c r="U126" i="9"/>
  <c r="U127" i="9"/>
  <c r="U128" i="9"/>
  <c r="U129" i="9"/>
  <c r="U130" i="9"/>
  <c r="U131" i="9"/>
  <c r="U132" i="9"/>
  <c r="U133" i="9"/>
  <c r="U134" i="9"/>
  <c r="U135" i="9"/>
  <c r="U136" i="9"/>
  <c r="U137" i="9"/>
  <c r="U138" i="9"/>
  <c r="U139" i="9"/>
  <c r="U140" i="9"/>
  <c r="U141" i="9"/>
  <c r="U142" i="9"/>
  <c r="U143" i="9"/>
  <c r="U144" i="9"/>
  <c r="U145" i="9"/>
  <c r="U146" i="9"/>
  <c r="U147" i="9"/>
  <c r="U148" i="9"/>
  <c r="U149" i="9"/>
  <c r="U150" i="9"/>
  <c r="U151"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U201" i="9"/>
  <c r="U202" i="9"/>
  <c r="U203" i="9"/>
  <c r="U204" i="9"/>
  <c r="U205" i="9"/>
  <c r="U206" i="9"/>
  <c r="U207" i="9"/>
  <c r="U208" i="9"/>
  <c r="U209"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74" i="9"/>
  <c r="U275" i="9"/>
  <c r="U276" i="9"/>
  <c r="U277" i="9"/>
  <c r="U278" i="9"/>
  <c r="U279" i="9"/>
  <c r="U280" i="9"/>
  <c r="U281" i="9"/>
  <c r="U282" i="9"/>
  <c r="U283" i="9"/>
  <c r="U284" i="9"/>
  <c r="U285" i="9"/>
  <c r="U286" i="9"/>
  <c r="U287" i="9"/>
  <c r="U288" i="9"/>
  <c r="U289" i="9"/>
  <c r="U290" i="9"/>
  <c r="U291" i="9"/>
  <c r="U292" i="9"/>
  <c r="U293" i="9"/>
  <c r="U294" i="9"/>
  <c r="U295" i="9"/>
  <c r="U296" i="9"/>
  <c r="U297" i="9"/>
  <c r="U298" i="9"/>
  <c r="U299" i="9"/>
  <c r="U300" i="9"/>
  <c r="U301" i="9"/>
  <c r="U302" i="9"/>
  <c r="U303" i="9"/>
  <c r="U304" i="9"/>
  <c r="U305" i="9"/>
  <c r="U306" i="9"/>
  <c r="U307" i="9"/>
  <c r="U308" i="9"/>
  <c r="U309" i="9"/>
  <c r="U310" i="9"/>
  <c r="U311" i="9"/>
  <c r="U312" i="9"/>
  <c r="U313" i="9"/>
  <c r="U314" i="9"/>
  <c r="U315" i="9"/>
  <c r="U316" i="9"/>
  <c r="U317" i="9"/>
  <c r="U318" i="9"/>
  <c r="U319" i="9"/>
  <c r="U320" i="9"/>
  <c r="U321" i="9"/>
  <c r="U322" i="9"/>
  <c r="U323" i="9"/>
  <c r="U324" i="9"/>
  <c r="U325" i="9"/>
  <c r="U326" i="9"/>
  <c r="U327" i="9"/>
  <c r="U328" i="9"/>
  <c r="U329" i="9"/>
  <c r="U330" i="9"/>
  <c r="U331" i="9"/>
  <c r="U332" i="9"/>
  <c r="U333" i="9"/>
  <c r="U334" i="9"/>
  <c r="U335" i="9"/>
  <c r="U336" i="9"/>
  <c r="U337" i="9"/>
  <c r="U338" i="9"/>
  <c r="U339" i="9"/>
  <c r="U340" i="9"/>
  <c r="U341" i="9"/>
  <c r="U342" i="9"/>
  <c r="U343" i="9"/>
  <c r="U344" i="9"/>
  <c r="U345" i="9"/>
  <c r="U346" i="9"/>
  <c r="U347" i="9"/>
  <c r="U348" i="9"/>
  <c r="U349" i="9"/>
  <c r="U350" i="9"/>
  <c r="U351" i="9"/>
  <c r="U352" i="9"/>
  <c r="U353" i="9"/>
  <c r="U354" i="9"/>
  <c r="U355" i="9"/>
  <c r="U356" i="9"/>
  <c r="U357" i="9"/>
  <c r="U358" i="9"/>
  <c r="U359" i="9"/>
  <c r="U360" i="9"/>
  <c r="U361" i="9"/>
  <c r="U362" i="9"/>
  <c r="U363" i="9"/>
  <c r="U364" i="9"/>
  <c r="U365" i="9"/>
  <c r="U366" i="9"/>
  <c r="U367" i="9"/>
  <c r="U368" i="9"/>
  <c r="U369" i="9"/>
  <c r="U370" i="9"/>
  <c r="U371" i="9"/>
  <c r="U372" i="9"/>
  <c r="U373" i="9"/>
  <c r="U374" i="9"/>
  <c r="U375" i="9"/>
  <c r="U376" i="9"/>
  <c r="U377" i="9"/>
  <c r="U378" i="9"/>
  <c r="U379" i="9"/>
  <c r="U380" i="9"/>
  <c r="U381" i="9"/>
  <c r="U382" i="9"/>
  <c r="U383" i="9"/>
  <c r="U384" i="9"/>
  <c r="U385" i="9"/>
  <c r="U386" i="9"/>
  <c r="U387" i="9"/>
  <c r="U388" i="9"/>
  <c r="U389" i="9"/>
  <c r="U390" i="9"/>
  <c r="U391" i="9"/>
  <c r="U392" i="9"/>
  <c r="U393" i="9"/>
  <c r="U394" i="9"/>
  <c r="U395" i="9"/>
  <c r="U396" i="9"/>
  <c r="U397" i="9"/>
  <c r="U398" i="9"/>
  <c r="U399" i="9"/>
  <c r="U400" i="9"/>
  <c r="U401" i="9"/>
  <c r="U402" i="9"/>
  <c r="U403" i="9"/>
  <c r="U404" i="9"/>
  <c r="U405" i="9"/>
  <c r="U406" i="9"/>
  <c r="U407" i="9"/>
  <c r="U408" i="9"/>
  <c r="U409" i="9"/>
  <c r="AB93" i="15"/>
  <c r="Y93" i="15"/>
  <c r="AA93" i="15"/>
  <c r="AC93" i="15" s="1"/>
  <c r="AK419" i="17" l="1"/>
  <c r="AU419" i="17"/>
  <c r="B136" i="27"/>
  <c r="Q136" i="27" s="1"/>
  <c r="B256" i="27"/>
  <c r="Q256" i="27" s="1"/>
  <c r="B551" i="27"/>
  <c r="C222" i="27"/>
  <c r="C398" i="27"/>
  <c r="B331" i="27"/>
  <c r="Q331" i="27" s="1"/>
  <c r="C323" i="27"/>
  <c r="C181" i="27"/>
  <c r="C145" i="27"/>
  <c r="C111" i="27"/>
  <c r="C171" i="27"/>
  <c r="C569" i="27"/>
  <c r="C86" i="27"/>
  <c r="C555" i="27"/>
  <c r="C597" i="27"/>
  <c r="B208" i="27"/>
  <c r="Q208" i="27" s="1"/>
  <c r="C414" i="27"/>
  <c r="C175" i="27"/>
  <c r="B367" i="27"/>
  <c r="Q367" i="27" s="1"/>
  <c r="C508" i="27"/>
  <c r="B339" i="27"/>
  <c r="Q339" i="27" s="1"/>
  <c r="B487" i="27"/>
  <c r="C472" i="27"/>
  <c r="C248" i="27"/>
  <c r="C97" i="27"/>
  <c r="B103" i="27"/>
  <c r="Q103" i="27" s="1"/>
  <c r="C356" i="27"/>
  <c r="C118" i="27"/>
  <c r="C104" i="27"/>
  <c r="C308" i="27"/>
  <c r="B117" i="27"/>
  <c r="Q117" i="27" s="1"/>
  <c r="C230" i="27"/>
  <c r="C394" i="27"/>
  <c r="C149" i="27"/>
  <c r="C226" i="27"/>
  <c r="B124" i="27"/>
  <c r="Q124" i="27" s="1"/>
  <c r="C107" i="27"/>
  <c r="B332" i="27"/>
  <c r="Q332" i="27" s="1"/>
  <c r="B172" i="27"/>
  <c r="Q172" i="27" s="1"/>
  <c r="C180" i="27"/>
  <c r="C147" i="27"/>
  <c r="C342" i="27"/>
  <c r="B177" i="27"/>
  <c r="Q177" i="27" s="1"/>
  <c r="B419" i="27"/>
  <c r="C192" i="27"/>
  <c r="C105" i="27"/>
  <c r="B544" i="27"/>
  <c r="C515" i="27"/>
  <c r="C112" i="27"/>
  <c r="C129" i="27"/>
  <c r="B236" i="27"/>
  <c r="Q236" i="27" s="1"/>
  <c r="B207" i="27"/>
  <c r="Q207" i="27" s="1"/>
  <c r="B279" i="27"/>
  <c r="Q279" i="27" s="1"/>
  <c r="B145" i="27"/>
  <c r="Q145" i="27" s="1"/>
  <c r="C170" i="27"/>
  <c r="C402" i="27"/>
  <c r="C155" i="27"/>
  <c r="B140" i="27"/>
  <c r="Q140" i="27" s="1"/>
  <c r="B300" i="27"/>
  <c r="Q300" i="27" s="1"/>
  <c r="B179" i="27"/>
  <c r="Q179" i="27" s="1"/>
  <c r="C462" i="27"/>
  <c r="C271" i="27"/>
  <c r="B249" i="27"/>
  <c r="Q249" i="27" s="1"/>
  <c r="B402" i="27"/>
  <c r="B257" i="27"/>
  <c r="Q257" i="27" s="1"/>
  <c r="B608" i="27"/>
  <c r="B190" i="27"/>
  <c r="Q190" i="27" s="1"/>
  <c r="C177" i="27"/>
  <c r="B217" i="27"/>
  <c r="Q217" i="27" s="1"/>
  <c r="C576" i="27"/>
  <c r="B106" i="27"/>
  <c r="Q106" i="27" s="1"/>
  <c r="C523" i="27"/>
  <c r="B96" i="27"/>
  <c r="Q96" i="27" s="1"/>
  <c r="C197" i="27"/>
  <c r="C552" i="27"/>
  <c r="B258" i="27"/>
  <c r="Q258" i="27" s="1"/>
  <c r="C568" i="27"/>
  <c r="C161" i="27"/>
  <c r="C425" i="27"/>
  <c r="C540" i="27"/>
  <c r="B134" i="27"/>
  <c r="Q134" i="27" s="1"/>
  <c r="B296" i="27"/>
  <c r="Q296" i="27" s="1"/>
  <c r="C270" i="27"/>
  <c r="B400" i="27"/>
  <c r="C294" i="27"/>
  <c r="C417" i="27"/>
  <c r="C172" i="27"/>
  <c r="C440" i="27"/>
  <c r="C526" i="27"/>
  <c r="C485" i="27"/>
  <c r="C249" i="27"/>
  <c r="C344" i="27"/>
  <c r="B427" i="27"/>
  <c r="B387" i="27"/>
  <c r="C321" i="27"/>
  <c r="C499" i="27"/>
  <c r="B221" i="27"/>
  <c r="Q221" i="27" s="1"/>
  <c r="B504" i="27"/>
  <c r="C196" i="27"/>
  <c r="B441" i="27"/>
  <c r="B350" i="27"/>
  <c r="Q350" i="27" s="1"/>
  <c r="C386" i="27"/>
  <c r="C206" i="27"/>
  <c r="C596" i="27"/>
  <c r="C562" i="27"/>
  <c r="C547" i="27"/>
  <c r="B598" i="27"/>
  <c r="C369" i="27"/>
  <c r="C237" i="27"/>
  <c r="C470" i="27"/>
  <c r="B550" i="27"/>
  <c r="B248" i="27"/>
  <c r="Q248" i="27" s="1"/>
  <c r="C246" i="27"/>
  <c r="C279" i="27"/>
  <c r="C429" i="27"/>
  <c r="B447" i="27"/>
  <c r="B314" i="27"/>
  <c r="Q314" i="27" s="1"/>
  <c r="C110" i="27"/>
  <c r="C494" i="27"/>
  <c r="B306" i="27"/>
  <c r="Q306" i="27" s="1"/>
  <c r="B498" i="27"/>
  <c r="B479" i="27"/>
  <c r="C298" i="27"/>
  <c r="B587" i="27"/>
  <c r="B364" i="27"/>
  <c r="Q364" i="27" s="1"/>
  <c r="B237" i="27"/>
  <c r="Q237" i="27" s="1"/>
  <c r="B323" i="27"/>
  <c r="Q323" i="27" s="1"/>
  <c r="C330" i="27"/>
  <c r="C532" i="27"/>
  <c r="B284" i="27"/>
  <c r="Q284" i="27" s="1"/>
  <c r="B489" i="27"/>
  <c r="B269" i="27"/>
  <c r="Q269" i="27" s="1"/>
  <c r="B358" i="27"/>
  <c r="Q358" i="27" s="1"/>
  <c r="C419" i="27"/>
  <c r="B497" i="27"/>
  <c r="C500" i="27"/>
  <c r="B518" i="27"/>
  <c r="C613" i="27"/>
  <c r="C410" i="27"/>
  <c r="C257" i="27"/>
  <c r="C496" i="27"/>
  <c r="B565" i="27"/>
  <c r="B209" i="27"/>
  <c r="Q209" i="27" s="1"/>
  <c r="B482" i="27"/>
  <c r="C134" i="27"/>
  <c r="B355" i="27"/>
  <c r="Q355" i="27" s="1"/>
  <c r="C165" i="27"/>
  <c r="C346" i="27"/>
  <c r="B440" i="27"/>
  <c r="C506" i="27"/>
  <c r="B304" i="27"/>
  <c r="Q304" i="27" s="1"/>
  <c r="B92" i="27"/>
  <c r="Q92" i="27" s="1"/>
  <c r="C603" i="27"/>
  <c r="B366" i="27"/>
  <c r="Q366" i="27" s="1"/>
  <c r="C317" i="27"/>
  <c r="B202" i="27"/>
  <c r="Q202" i="27" s="1"/>
  <c r="B484" i="27"/>
  <c r="C131" i="27"/>
  <c r="B322" i="27"/>
  <c r="Q322" i="27" s="1"/>
  <c r="B618" i="27"/>
  <c r="B281" i="27"/>
  <c r="Q281" i="27" s="1"/>
  <c r="B151" i="27"/>
  <c r="Q151" i="27" s="1"/>
  <c r="B351" i="27"/>
  <c r="Q351" i="27" s="1"/>
  <c r="C544" i="27"/>
  <c r="B211" i="27"/>
  <c r="Q211" i="27" s="1"/>
  <c r="B614" i="27"/>
  <c r="C276" i="27"/>
  <c r="C332" i="27"/>
  <c r="B161" i="27"/>
  <c r="Q161" i="27" s="1"/>
  <c r="C571" i="27"/>
  <c r="C525" i="27"/>
  <c r="B321" i="27"/>
  <c r="Q321" i="27" s="1"/>
  <c r="B183" i="27"/>
  <c r="Q183" i="27" s="1"/>
  <c r="C483" i="27"/>
  <c r="B439" i="27"/>
  <c r="C387" i="27"/>
  <c r="C415" i="27"/>
  <c r="C497" i="27"/>
  <c r="B465" i="27"/>
  <c r="C297" i="27"/>
  <c r="C590" i="27"/>
  <c r="C423" i="27"/>
  <c r="B568" i="27"/>
  <c r="C428" i="27"/>
  <c r="C527" i="27"/>
  <c r="B320" i="27"/>
  <c r="Q320" i="27" s="1"/>
  <c r="C607" i="27"/>
  <c r="B405" i="27"/>
  <c r="C203" i="27"/>
  <c r="B499" i="27"/>
  <c r="B301" i="27"/>
  <c r="Q301" i="27" s="1"/>
  <c r="B128" i="27"/>
  <c r="Q128" i="27" s="1"/>
  <c r="C524" i="27"/>
  <c r="C481" i="27"/>
  <c r="B430" i="27"/>
  <c r="C475" i="27"/>
  <c r="B380" i="27"/>
  <c r="B503" i="27"/>
  <c r="C416" i="27"/>
  <c r="B564" i="27"/>
  <c r="B615" i="27"/>
  <c r="C511" i="27"/>
  <c r="C179" i="27"/>
  <c r="B365" i="27"/>
  <c r="Q365" i="27" s="1"/>
  <c r="B454" i="27"/>
  <c r="B152" i="27"/>
  <c r="Q152" i="27" s="1"/>
  <c r="C553" i="27"/>
  <c r="B558" i="27"/>
  <c r="B560" i="27"/>
  <c r="B328" i="27"/>
  <c r="Q328" i="27" s="1"/>
  <c r="B413" i="27"/>
  <c r="C313" i="27"/>
  <c r="C549" i="27"/>
  <c r="C397" i="27"/>
  <c r="C366" i="27"/>
  <c r="C247" i="27"/>
  <c r="B512" i="27"/>
  <c r="C314" i="27"/>
  <c r="C584" i="27"/>
  <c r="C329" i="27"/>
  <c r="C284" i="27"/>
  <c r="C432" i="27"/>
  <c r="C239" i="27"/>
  <c r="C265" i="27"/>
  <c r="B361" i="27"/>
  <c r="Q361" i="27" s="1"/>
  <c r="C468" i="27"/>
  <c r="C599" i="27"/>
  <c r="C455" i="27"/>
  <c r="C272" i="27"/>
  <c r="B434" i="27"/>
  <c r="C388" i="27"/>
  <c r="C382" i="27"/>
  <c r="B280" i="27"/>
  <c r="Q280" i="27" s="1"/>
  <c r="C487" i="27"/>
  <c r="C185" i="27"/>
  <c r="B178" i="27"/>
  <c r="Q178" i="27" s="1"/>
  <c r="B519" i="27"/>
  <c r="C306" i="27"/>
  <c r="C503" i="27"/>
  <c r="B392" i="27"/>
  <c r="C194" i="27"/>
  <c r="C424" i="27"/>
  <c r="B467" i="27"/>
  <c r="C305" i="27"/>
  <c r="AU414" i="17"/>
  <c r="L2" i="25"/>
  <c r="L413" i="25" s="1"/>
  <c r="AX419" i="17"/>
  <c r="AX414" i="17"/>
  <c r="D8" i="20" s="1"/>
  <c r="AW419" i="17"/>
  <c r="AW414" i="17"/>
  <c r="D7" i="20" s="1"/>
  <c r="AZ419" i="17"/>
  <c r="AZ414" i="17"/>
  <c r="AV419" i="17"/>
  <c r="C417" i="17"/>
  <c r="E93" i="25"/>
  <c r="AM94" i="19"/>
  <c r="AG93" i="17"/>
  <c r="AG94" i="19"/>
  <c r="AL3" i="17"/>
  <c r="AL414" i="17" s="1"/>
  <c r="O333" i="25"/>
  <c r="Q333" i="25"/>
  <c r="P333" i="25"/>
  <c r="N333" i="25"/>
  <c r="O301" i="25"/>
  <c r="Q301" i="25"/>
  <c r="P301" i="25"/>
  <c r="N301" i="25"/>
  <c r="O269" i="25"/>
  <c r="Q269" i="25"/>
  <c r="P269" i="25"/>
  <c r="N269" i="25"/>
  <c r="O237" i="25"/>
  <c r="Q237" i="25"/>
  <c r="P237" i="25"/>
  <c r="N237" i="25"/>
  <c r="P185" i="25"/>
  <c r="O185" i="25"/>
  <c r="Q185" i="25"/>
  <c r="N185" i="25"/>
  <c r="P153" i="25"/>
  <c r="O153" i="25"/>
  <c r="Q153" i="25"/>
  <c r="N153" i="25"/>
  <c r="Q121" i="25"/>
  <c r="O121" i="25"/>
  <c r="N121" i="25"/>
  <c r="P121" i="25"/>
  <c r="P89" i="25"/>
  <c r="O89" i="25"/>
  <c r="N89" i="25"/>
  <c r="Q89" i="25"/>
  <c r="P57" i="25"/>
  <c r="O57" i="25"/>
  <c r="N57" i="25"/>
  <c r="Q57" i="25"/>
  <c r="P25" i="25"/>
  <c r="O25" i="25"/>
  <c r="N25" i="25"/>
  <c r="Q25" i="25"/>
  <c r="P392" i="25"/>
  <c r="O392" i="25"/>
  <c r="Q392" i="25"/>
  <c r="N392" i="25"/>
  <c r="Q360" i="25"/>
  <c r="P360" i="25"/>
  <c r="O360" i="25"/>
  <c r="N360" i="25"/>
  <c r="Q196" i="25"/>
  <c r="O196" i="25"/>
  <c r="N196" i="25"/>
  <c r="P196" i="25"/>
  <c r="Q188" i="25"/>
  <c r="O188" i="25"/>
  <c r="N188" i="25"/>
  <c r="P188" i="25"/>
  <c r="Q180" i="25"/>
  <c r="O180" i="25"/>
  <c r="N180" i="25"/>
  <c r="P180" i="25"/>
  <c r="Q172" i="25"/>
  <c r="O172" i="25"/>
  <c r="N172" i="25"/>
  <c r="P172" i="25"/>
  <c r="Q164" i="25"/>
  <c r="O164" i="25"/>
  <c r="N164" i="25"/>
  <c r="P164" i="25"/>
  <c r="Q156" i="25"/>
  <c r="O156" i="25"/>
  <c r="N156" i="25"/>
  <c r="P156" i="25"/>
  <c r="Q148" i="25"/>
  <c r="O148" i="25"/>
  <c r="N148" i="25"/>
  <c r="P148" i="25"/>
  <c r="Q140" i="25"/>
  <c r="O140" i="25"/>
  <c r="N140" i="25"/>
  <c r="P140" i="25"/>
  <c r="Q132" i="25"/>
  <c r="O132" i="25"/>
  <c r="N132" i="25"/>
  <c r="P132" i="25"/>
  <c r="Q124" i="25"/>
  <c r="O124" i="25"/>
  <c r="N124" i="25"/>
  <c r="P124" i="25"/>
  <c r="Q116" i="25"/>
  <c r="O116" i="25"/>
  <c r="N116" i="25"/>
  <c r="P116" i="25"/>
  <c r="Q104" i="25"/>
  <c r="O104" i="25"/>
  <c r="N104" i="25"/>
  <c r="P104" i="25"/>
  <c r="P399" i="25"/>
  <c r="Q399" i="25"/>
  <c r="N399" i="25"/>
  <c r="O399" i="25"/>
  <c r="N367" i="25"/>
  <c r="O367" i="25"/>
  <c r="Q367" i="25"/>
  <c r="P367" i="25"/>
  <c r="P335" i="25"/>
  <c r="Q335" i="25"/>
  <c r="O335" i="25"/>
  <c r="N335" i="25"/>
  <c r="N303" i="25"/>
  <c r="P303" i="25"/>
  <c r="O303" i="25"/>
  <c r="Q303" i="25"/>
  <c r="P271" i="25"/>
  <c r="Q271" i="25"/>
  <c r="N271" i="25"/>
  <c r="O271" i="25"/>
  <c r="N239" i="25"/>
  <c r="O239" i="25"/>
  <c r="P239" i="25"/>
  <c r="Q239" i="25"/>
  <c r="P207" i="25"/>
  <c r="Q207" i="25"/>
  <c r="O207" i="25"/>
  <c r="N207" i="25"/>
  <c r="Q203" i="25"/>
  <c r="P203" i="25"/>
  <c r="O203" i="25"/>
  <c r="N203" i="25"/>
  <c r="O171" i="25"/>
  <c r="N171" i="25"/>
  <c r="P171" i="25"/>
  <c r="Q171" i="25"/>
  <c r="Q139" i="25"/>
  <c r="P139" i="25"/>
  <c r="N139" i="25"/>
  <c r="O139" i="25"/>
  <c r="Q99" i="25"/>
  <c r="O99" i="25"/>
  <c r="P99" i="25"/>
  <c r="N99" i="25"/>
  <c r="P67" i="25"/>
  <c r="Q67" i="25"/>
  <c r="O67" i="25"/>
  <c r="N67" i="25"/>
  <c r="Q35" i="25"/>
  <c r="N35" i="25"/>
  <c r="P35" i="25"/>
  <c r="O35" i="25"/>
  <c r="Q3" i="25"/>
  <c r="O3" i="25"/>
  <c r="P3" i="25"/>
  <c r="N3" i="25"/>
  <c r="N398" i="25"/>
  <c r="O398" i="25"/>
  <c r="Q398" i="25"/>
  <c r="P398" i="25"/>
  <c r="N366" i="25"/>
  <c r="O366" i="25"/>
  <c r="Q366" i="25"/>
  <c r="P366" i="25"/>
  <c r="N334" i="25"/>
  <c r="O334" i="25"/>
  <c r="Q334" i="25"/>
  <c r="P334" i="25"/>
  <c r="P302" i="25"/>
  <c r="Q302" i="25"/>
  <c r="N302" i="25"/>
  <c r="O302" i="25"/>
  <c r="Q270" i="25"/>
  <c r="P270" i="25"/>
  <c r="N270" i="25"/>
  <c r="O270" i="25"/>
  <c r="Q238" i="25"/>
  <c r="N238" i="25"/>
  <c r="O238" i="25"/>
  <c r="P238" i="25"/>
  <c r="Q206" i="25"/>
  <c r="N206" i="25"/>
  <c r="O206" i="25"/>
  <c r="P206" i="25"/>
  <c r="O186" i="25"/>
  <c r="N186" i="25"/>
  <c r="P186" i="25"/>
  <c r="Q186" i="25"/>
  <c r="Q154" i="25"/>
  <c r="P154" i="25"/>
  <c r="N154" i="25"/>
  <c r="O154" i="25"/>
  <c r="N122" i="25"/>
  <c r="P122" i="25"/>
  <c r="O122" i="25"/>
  <c r="Q122" i="25"/>
  <c r="N90" i="25"/>
  <c r="O90" i="25"/>
  <c r="P90" i="25"/>
  <c r="Q90" i="25"/>
  <c r="N58" i="25"/>
  <c r="P58" i="25"/>
  <c r="Q58" i="25"/>
  <c r="O58" i="25"/>
  <c r="N26" i="25"/>
  <c r="Q26" i="25"/>
  <c r="O26" i="25"/>
  <c r="P26" i="25"/>
  <c r="B15" i="20"/>
  <c r="C15" i="20"/>
  <c r="P305" i="25"/>
  <c r="Q305" i="25"/>
  <c r="N305" i="25"/>
  <c r="O305" i="25"/>
  <c r="P273" i="25"/>
  <c r="Q273" i="25"/>
  <c r="N273" i="25"/>
  <c r="O273" i="25"/>
  <c r="P241" i="25"/>
  <c r="Q241" i="25"/>
  <c r="O241" i="25"/>
  <c r="N241" i="25"/>
  <c r="P209" i="25"/>
  <c r="Q209" i="25"/>
  <c r="N209" i="25"/>
  <c r="O209" i="25"/>
  <c r="B16" i="20"/>
  <c r="C16" i="20"/>
  <c r="Q189" i="25"/>
  <c r="P189" i="25"/>
  <c r="O189" i="25"/>
  <c r="N189" i="25"/>
  <c r="Q157" i="25"/>
  <c r="P157" i="25"/>
  <c r="O157" i="25"/>
  <c r="N157" i="25"/>
  <c r="P125" i="25"/>
  <c r="O125" i="25"/>
  <c r="N125" i="25"/>
  <c r="Q125" i="25"/>
  <c r="Q93" i="25"/>
  <c r="O93" i="25"/>
  <c r="N93" i="25"/>
  <c r="P93" i="25"/>
  <c r="Q61" i="25"/>
  <c r="O61" i="25"/>
  <c r="N61" i="25"/>
  <c r="P61" i="25"/>
  <c r="Q29" i="25"/>
  <c r="O29" i="25"/>
  <c r="N29" i="25"/>
  <c r="P29" i="25"/>
  <c r="P396" i="25"/>
  <c r="O396" i="25"/>
  <c r="Q396" i="25"/>
  <c r="N396" i="25"/>
  <c r="O364" i="25"/>
  <c r="P364" i="25"/>
  <c r="Q364" i="25"/>
  <c r="N364" i="25"/>
  <c r="Q108" i="25"/>
  <c r="O108" i="25"/>
  <c r="N108" i="25"/>
  <c r="P108" i="25"/>
  <c r="Q96" i="25"/>
  <c r="O96" i="25"/>
  <c r="P96" i="25"/>
  <c r="N96" i="25"/>
  <c r="Q88" i="25"/>
  <c r="O88" i="25"/>
  <c r="N88" i="25"/>
  <c r="P88" i="25"/>
  <c r="Q80" i="25"/>
  <c r="O80" i="25"/>
  <c r="P80" i="25"/>
  <c r="N80" i="25"/>
  <c r="Q72" i="25"/>
  <c r="O72" i="25"/>
  <c r="N72" i="25"/>
  <c r="P72" i="25"/>
  <c r="Q64" i="25"/>
  <c r="O64" i="25"/>
  <c r="P64" i="25"/>
  <c r="N64" i="25"/>
  <c r="Q56" i="25"/>
  <c r="O56" i="25"/>
  <c r="N56" i="25"/>
  <c r="P56" i="25"/>
  <c r="Q48" i="25"/>
  <c r="O48" i="25"/>
  <c r="P48" i="25"/>
  <c r="N48" i="25"/>
  <c r="Q40" i="25"/>
  <c r="O40" i="25"/>
  <c r="N40" i="25"/>
  <c r="P40" i="25"/>
  <c r="Q32" i="25"/>
  <c r="O32" i="25"/>
  <c r="P32" i="25"/>
  <c r="N32" i="25"/>
  <c r="Q24" i="25"/>
  <c r="O24" i="25"/>
  <c r="N24" i="25"/>
  <c r="P24" i="25"/>
  <c r="Q16" i="25"/>
  <c r="O16" i="25"/>
  <c r="P16" i="25"/>
  <c r="N16" i="25"/>
  <c r="Q8" i="25"/>
  <c r="O8" i="25"/>
  <c r="N8" i="25"/>
  <c r="P8" i="25"/>
  <c r="N403" i="25"/>
  <c r="Q403" i="25"/>
  <c r="O403" i="25"/>
  <c r="P403" i="25"/>
  <c r="P371" i="25"/>
  <c r="O371" i="25"/>
  <c r="N371" i="25"/>
  <c r="Q371" i="25"/>
  <c r="Q339" i="25"/>
  <c r="N339" i="25"/>
  <c r="P339" i="25"/>
  <c r="O339" i="25"/>
  <c r="P307" i="25"/>
  <c r="O307" i="25"/>
  <c r="Q307" i="25"/>
  <c r="N307" i="25"/>
  <c r="N275" i="25"/>
  <c r="Q275" i="25"/>
  <c r="O275" i="25"/>
  <c r="P275" i="25"/>
  <c r="P243" i="25"/>
  <c r="O243" i="25"/>
  <c r="Q243" i="25"/>
  <c r="N243" i="25"/>
  <c r="Q211" i="25"/>
  <c r="N211" i="25"/>
  <c r="P211" i="25"/>
  <c r="O211" i="25"/>
  <c r="N175" i="25"/>
  <c r="O175" i="25"/>
  <c r="P175" i="25"/>
  <c r="Q175" i="25"/>
  <c r="P143" i="25"/>
  <c r="Q143" i="25"/>
  <c r="N143" i="25"/>
  <c r="O143" i="25"/>
  <c r="Q111" i="25"/>
  <c r="O111" i="25"/>
  <c r="N111" i="25"/>
  <c r="P111" i="25"/>
  <c r="N71" i="25"/>
  <c r="Q71" i="25"/>
  <c r="P71" i="25"/>
  <c r="O71" i="25"/>
  <c r="N39" i="25"/>
  <c r="Q39" i="25"/>
  <c r="P39" i="25"/>
  <c r="O39" i="25"/>
  <c r="N7" i="25"/>
  <c r="Q7" i="25"/>
  <c r="P7" i="25"/>
  <c r="O7" i="25"/>
  <c r="O402" i="25"/>
  <c r="Q402" i="25"/>
  <c r="P402" i="25"/>
  <c r="N402" i="25"/>
  <c r="O370" i="25"/>
  <c r="Q370" i="25"/>
  <c r="P370" i="25"/>
  <c r="N370" i="25"/>
  <c r="O338" i="25"/>
  <c r="P338" i="25"/>
  <c r="N338" i="25"/>
  <c r="Q338" i="25"/>
  <c r="O306" i="25"/>
  <c r="N306" i="25"/>
  <c r="P306" i="25"/>
  <c r="Q306" i="25"/>
  <c r="O274" i="25"/>
  <c r="N274" i="25"/>
  <c r="P274" i="25"/>
  <c r="Q274" i="25"/>
  <c r="O242" i="25"/>
  <c r="P242" i="25"/>
  <c r="Q242" i="25"/>
  <c r="N242" i="25"/>
  <c r="O210" i="25"/>
  <c r="P210" i="25"/>
  <c r="Q210" i="25"/>
  <c r="N210" i="25"/>
  <c r="O190" i="25"/>
  <c r="P190" i="25"/>
  <c r="Q190" i="25"/>
  <c r="N190" i="25"/>
  <c r="Q158" i="25"/>
  <c r="N158" i="25"/>
  <c r="O158" i="25"/>
  <c r="P158" i="25"/>
  <c r="Q126" i="25"/>
  <c r="P126" i="25"/>
  <c r="O126" i="25"/>
  <c r="N126" i="25"/>
  <c r="O94" i="25"/>
  <c r="N94" i="25"/>
  <c r="Q94" i="25"/>
  <c r="P94" i="25"/>
  <c r="O62" i="25"/>
  <c r="P62" i="25"/>
  <c r="N62" i="25"/>
  <c r="Q62" i="25"/>
  <c r="O30" i="25"/>
  <c r="P30" i="25"/>
  <c r="Q30" i="25"/>
  <c r="N30" i="25"/>
  <c r="B6" i="20"/>
  <c r="C6" i="20"/>
  <c r="Q401" i="25"/>
  <c r="P401" i="25"/>
  <c r="N401" i="25"/>
  <c r="O401" i="25"/>
  <c r="P393" i="25"/>
  <c r="N393" i="25"/>
  <c r="O393" i="25"/>
  <c r="Q393" i="25"/>
  <c r="P385" i="25"/>
  <c r="N385" i="25"/>
  <c r="Q385" i="25"/>
  <c r="O385" i="25"/>
  <c r="N377" i="25"/>
  <c r="P377" i="25"/>
  <c r="O377" i="25"/>
  <c r="Q377" i="25"/>
  <c r="Q369" i="25"/>
  <c r="P369" i="25"/>
  <c r="O369" i="25"/>
  <c r="N369" i="25"/>
  <c r="P361" i="25"/>
  <c r="O361" i="25"/>
  <c r="N361" i="25"/>
  <c r="Q361" i="25"/>
  <c r="P353" i="25"/>
  <c r="Q353" i="25"/>
  <c r="N353" i="25"/>
  <c r="O353" i="25"/>
  <c r="N345" i="25"/>
  <c r="P345" i="25"/>
  <c r="O345" i="25"/>
  <c r="Q345" i="25"/>
  <c r="P337" i="25"/>
  <c r="Q337" i="25"/>
  <c r="N337" i="25"/>
  <c r="O337" i="25"/>
  <c r="Q309" i="25"/>
  <c r="O309" i="25"/>
  <c r="N309" i="25"/>
  <c r="P309" i="25"/>
  <c r="Q277" i="25"/>
  <c r="O277" i="25"/>
  <c r="P277" i="25"/>
  <c r="N277" i="25"/>
  <c r="Q245" i="25"/>
  <c r="O245" i="25"/>
  <c r="P245" i="25"/>
  <c r="N245" i="25"/>
  <c r="Q213" i="25"/>
  <c r="O213" i="25"/>
  <c r="N213" i="25"/>
  <c r="P213" i="25"/>
  <c r="B17" i="20"/>
  <c r="C17" i="20"/>
  <c r="O193" i="25"/>
  <c r="P193" i="25"/>
  <c r="Q193" i="25"/>
  <c r="N193" i="25"/>
  <c r="O161" i="25"/>
  <c r="P161" i="25"/>
  <c r="Q161" i="25"/>
  <c r="N161" i="25"/>
  <c r="O129" i="25"/>
  <c r="Q129" i="25"/>
  <c r="N129" i="25"/>
  <c r="P129" i="25"/>
  <c r="P97" i="25"/>
  <c r="N97" i="25"/>
  <c r="Q97" i="25"/>
  <c r="O97" i="25"/>
  <c r="P65" i="25"/>
  <c r="N65" i="25"/>
  <c r="Q65" i="25"/>
  <c r="O65" i="25"/>
  <c r="P33" i="25"/>
  <c r="N33" i="25"/>
  <c r="Q33" i="25"/>
  <c r="O33" i="25"/>
  <c r="P400" i="25"/>
  <c r="Q400" i="25"/>
  <c r="N400" i="25"/>
  <c r="O400" i="25"/>
  <c r="P368" i="25"/>
  <c r="Q368" i="25"/>
  <c r="O368" i="25"/>
  <c r="N368" i="25"/>
  <c r="P336" i="25"/>
  <c r="O336" i="25"/>
  <c r="Q336" i="25"/>
  <c r="N336" i="25"/>
  <c r="Q407" i="25"/>
  <c r="O407" i="25"/>
  <c r="P407" i="25"/>
  <c r="N407" i="25"/>
  <c r="P375" i="25"/>
  <c r="N375" i="25"/>
  <c r="Q375" i="25"/>
  <c r="O375" i="25"/>
  <c r="O343" i="25"/>
  <c r="Q343" i="25"/>
  <c r="N343" i="25"/>
  <c r="P343" i="25"/>
  <c r="P311" i="25"/>
  <c r="N311" i="25"/>
  <c r="Q311" i="25"/>
  <c r="O311" i="25"/>
  <c r="Q279" i="25"/>
  <c r="O279" i="25"/>
  <c r="P279" i="25"/>
  <c r="N279" i="25"/>
  <c r="P247" i="25"/>
  <c r="N247" i="25"/>
  <c r="Q247" i="25"/>
  <c r="O247" i="25"/>
  <c r="O215" i="25"/>
  <c r="Q215" i="25"/>
  <c r="N215" i="25"/>
  <c r="P215" i="25"/>
  <c r="P179" i="25"/>
  <c r="O179" i="25"/>
  <c r="Q179" i="25"/>
  <c r="N179" i="25"/>
  <c r="N147" i="25"/>
  <c r="Q147" i="25"/>
  <c r="O147" i="25"/>
  <c r="P147" i="25"/>
  <c r="Q115" i="25"/>
  <c r="P115" i="25"/>
  <c r="O115" i="25"/>
  <c r="N115" i="25"/>
  <c r="N103" i="25"/>
  <c r="Q103" i="25"/>
  <c r="P103" i="25"/>
  <c r="O103" i="25"/>
  <c r="Q75" i="25"/>
  <c r="N75" i="25"/>
  <c r="P75" i="25"/>
  <c r="O75" i="25"/>
  <c r="P43" i="25"/>
  <c r="O43" i="25"/>
  <c r="N43" i="25"/>
  <c r="Q43" i="25"/>
  <c r="Q11" i="25"/>
  <c r="N11" i="25"/>
  <c r="P11" i="25"/>
  <c r="O11" i="25"/>
  <c r="Q374" i="25"/>
  <c r="P374" i="25"/>
  <c r="O374" i="25"/>
  <c r="N374" i="25"/>
  <c r="Q342" i="25"/>
  <c r="P342" i="25"/>
  <c r="O342" i="25"/>
  <c r="N342" i="25"/>
  <c r="N310" i="25"/>
  <c r="O310" i="25"/>
  <c r="Q310" i="25"/>
  <c r="P310" i="25"/>
  <c r="N278" i="25"/>
  <c r="O278" i="25"/>
  <c r="Q278" i="25"/>
  <c r="P278" i="25"/>
  <c r="O246" i="25"/>
  <c r="Q246" i="25"/>
  <c r="P246" i="25"/>
  <c r="N246" i="25"/>
  <c r="Q214" i="25"/>
  <c r="O214" i="25"/>
  <c r="P214" i="25"/>
  <c r="N214" i="25"/>
  <c r="Q194" i="25"/>
  <c r="O194" i="25"/>
  <c r="N194" i="25"/>
  <c r="P194" i="25"/>
  <c r="P162" i="25"/>
  <c r="O162" i="25"/>
  <c r="N162" i="25"/>
  <c r="Q162" i="25"/>
  <c r="N130" i="25"/>
  <c r="Q130" i="25"/>
  <c r="P130" i="25"/>
  <c r="O130" i="25"/>
  <c r="Q98" i="25"/>
  <c r="N98" i="25"/>
  <c r="P98" i="25"/>
  <c r="O98" i="25"/>
  <c r="Q66" i="25"/>
  <c r="N66" i="25"/>
  <c r="O66" i="25"/>
  <c r="P66" i="25"/>
  <c r="Q34" i="25"/>
  <c r="N34" i="25"/>
  <c r="P34" i="25"/>
  <c r="O34" i="25"/>
  <c r="Q204" i="25"/>
  <c r="O204" i="25"/>
  <c r="N204" i="25"/>
  <c r="P204" i="25"/>
  <c r="O205" i="25"/>
  <c r="Q205" i="25"/>
  <c r="P205" i="25"/>
  <c r="N205" i="25"/>
  <c r="N313" i="25"/>
  <c r="P313" i="25"/>
  <c r="O313" i="25"/>
  <c r="Q313" i="25"/>
  <c r="N281" i="25"/>
  <c r="P281" i="25"/>
  <c r="O281" i="25"/>
  <c r="Q281" i="25"/>
  <c r="N249" i="25"/>
  <c r="P249" i="25"/>
  <c r="O249" i="25"/>
  <c r="Q249" i="25"/>
  <c r="P217" i="25"/>
  <c r="O217" i="25"/>
  <c r="Q217" i="25"/>
  <c r="N217" i="25"/>
  <c r="B12" i="20"/>
  <c r="C12" i="20"/>
  <c r="N197" i="25"/>
  <c r="Q197" i="25"/>
  <c r="O197" i="25"/>
  <c r="P197" i="25"/>
  <c r="N165" i="25"/>
  <c r="Q165" i="25"/>
  <c r="O165" i="25"/>
  <c r="P165" i="25"/>
  <c r="N133" i="25"/>
  <c r="P133" i="25"/>
  <c r="O133" i="25"/>
  <c r="Q133" i="25"/>
  <c r="Q101" i="25"/>
  <c r="O101" i="25"/>
  <c r="N101" i="25"/>
  <c r="P101" i="25"/>
  <c r="Q69" i="25"/>
  <c r="O69" i="25"/>
  <c r="N69" i="25"/>
  <c r="P69" i="25"/>
  <c r="Q37" i="25"/>
  <c r="O37" i="25"/>
  <c r="N37" i="25"/>
  <c r="P37" i="25"/>
  <c r="Q5" i="25"/>
  <c r="O5" i="25"/>
  <c r="N5" i="25"/>
  <c r="P5" i="25"/>
  <c r="P404" i="25"/>
  <c r="Q404" i="25"/>
  <c r="O404" i="25"/>
  <c r="N404" i="25"/>
  <c r="O372" i="25"/>
  <c r="P372" i="25"/>
  <c r="Q372" i="25"/>
  <c r="N372" i="25"/>
  <c r="O340" i="25"/>
  <c r="Q340" i="25"/>
  <c r="P340" i="25"/>
  <c r="N340" i="25"/>
  <c r="P328" i="25"/>
  <c r="Q328" i="25"/>
  <c r="O328" i="25"/>
  <c r="N328" i="25"/>
  <c r="P320" i="25"/>
  <c r="O320" i="25"/>
  <c r="Q320" i="25"/>
  <c r="N320" i="25"/>
  <c r="Q312" i="25"/>
  <c r="P312" i="25"/>
  <c r="N312" i="25"/>
  <c r="O312" i="25"/>
  <c r="P304" i="25"/>
  <c r="O304" i="25"/>
  <c r="N304" i="25"/>
  <c r="Q304" i="25"/>
  <c r="P296" i="25"/>
  <c r="Q296" i="25"/>
  <c r="O296" i="25"/>
  <c r="N296" i="25"/>
  <c r="P288" i="25"/>
  <c r="O288" i="25"/>
  <c r="Q288" i="25"/>
  <c r="N288" i="25"/>
  <c r="Q280" i="25"/>
  <c r="P280" i="25"/>
  <c r="O280" i="25"/>
  <c r="N280" i="25"/>
  <c r="P272" i="25"/>
  <c r="O272" i="25"/>
  <c r="Q272" i="25"/>
  <c r="N272" i="25"/>
  <c r="P264" i="25"/>
  <c r="Q264" i="25"/>
  <c r="O264" i="25"/>
  <c r="N264" i="25"/>
  <c r="P256" i="25"/>
  <c r="O256" i="25"/>
  <c r="Q256" i="25"/>
  <c r="N256" i="25"/>
  <c r="Q248" i="25"/>
  <c r="P248" i="25"/>
  <c r="N248" i="25"/>
  <c r="O248" i="25"/>
  <c r="P240" i="25"/>
  <c r="O240" i="25"/>
  <c r="N240" i="25"/>
  <c r="Q240" i="25"/>
  <c r="Q232" i="25"/>
  <c r="O232" i="25"/>
  <c r="N232" i="25"/>
  <c r="P232" i="25"/>
  <c r="Q224" i="25"/>
  <c r="O224" i="25"/>
  <c r="N224" i="25"/>
  <c r="P224" i="25"/>
  <c r="Q216" i="25"/>
  <c r="O216" i="25"/>
  <c r="N216" i="25"/>
  <c r="P216" i="25"/>
  <c r="Q208" i="25"/>
  <c r="O208" i="25"/>
  <c r="N208" i="25"/>
  <c r="P208" i="25"/>
  <c r="Q379" i="25"/>
  <c r="O379" i="25"/>
  <c r="P379" i="25"/>
  <c r="N379" i="25"/>
  <c r="P347" i="25"/>
  <c r="N347" i="25"/>
  <c r="Q347" i="25"/>
  <c r="O347" i="25"/>
  <c r="P315" i="25"/>
  <c r="O315" i="25"/>
  <c r="Q315" i="25"/>
  <c r="N315" i="25"/>
  <c r="N283" i="25"/>
  <c r="Q283" i="25"/>
  <c r="O283" i="25"/>
  <c r="P283" i="25"/>
  <c r="P251" i="25"/>
  <c r="O251" i="25"/>
  <c r="Q251" i="25"/>
  <c r="N251" i="25"/>
  <c r="Q219" i="25"/>
  <c r="N219" i="25"/>
  <c r="P219" i="25"/>
  <c r="O219" i="25"/>
  <c r="O183" i="25"/>
  <c r="P183" i="25"/>
  <c r="Q183" i="25"/>
  <c r="N183" i="25"/>
  <c r="Q151" i="25"/>
  <c r="N151" i="25"/>
  <c r="O151" i="25"/>
  <c r="P151" i="25"/>
  <c r="Q119" i="25"/>
  <c r="P119" i="25"/>
  <c r="O119" i="25"/>
  <c r="N119" i="25"/>
  <c r="O79" i="25"/>
  <c r="N79" i="25"/>
  <c r="P79" i="25"/>
  <c r="Q79" i="25"/>
  <c r="O47" i="25"/>
  <c r="N47" i="25"/>
  <c r="Q47" i="25"/>
  <c r="P47" i="25"/>
  <c r="O15" i="25"/>
  <c r="N15" i="25"/>
  <c r="P15" i="25"/>
  <c r="Q15" i="25"/>
  <c r="O378" i="25"/>
  <c r="Q378" i="25"/>
  <c r="P378" i="25"/>
  <c r="N378" i="25"/>
  <c r="O346" i="25"/>
  <c r="Q346" i="25"/>
  <c r="P346" i="25"/>
  <c r="N346" i="25"/>
  <c r="O314" i="25"/>
  <c r="P314" i="25"/>
  <c r="N314" i="25"/>
  <c r="Q314" i="25"/>
  <c r="O282" i="25"/>
  <c r="P282" i="25"/>
  <c r="N282" i="25"/>
  <c r="Q282" i="25"/>
  <c r="O250" i="25"/>
  <c r="N250" i="25"/>
  <c r="Q250" i="25"/>
  <c r="P250" i="25"/>
  <c r="O218" i="25"/>
  <c r="N218" i="25"/>
  <c r="Q218" i="25"/>
  <c r="P218" i="25"/>
  <c r="B20" i="20"/>
  <c r="C20" i="20"/>
  <c r="Q198" i="25"/>
  <c r="P198" i="25"/>
  <c r="O198" i="25"/>
  <c r="N198" i="25"/>
  <c r="O166" i="25"/>
  <c r="Q166" i="25"/>
  <c r="P166" i="25"/>
  <c r="N166" i="25"/>
  <c r="Q134" i="25"/>
  <c r="N134" i="25"/>
  <c r="O134" i="25"/>
  <c r="P134" i="25"/>
  <c r="N102" i="25"/>
  <c r="O102" i="25"/>
  <c r="Q102" i="25"/>
  <c r="P102" i="25"/>
  <c r="N70" i="25"/>
  <c r="O70" i="25"/>
  <c r="P70" i="25"/>
  <c r="Q70" i="25"/>
  <c r="N38" i="25"/>
  <c r="O38" i="25"/>
  <c r="Q38" i="25"/>
  <c r="P38" i="25"/>
  <c r="N6" i="25"/>
  <c r="O6" i="25"/>
  <c r="Q6" i="25"/>
  <c r="P6" i="25"/>
  <c r="Q405" i="25"/>
  <c r="O405" i="25"/>
  <c r="P405" i="25"/>
  <c r="N405" i="25"/>
  <c r="Q317" i="25"/>
  <c r="P317" i="25"/>
  <c r="O317" i="25"/>
  <c r="N317" i="25"/>
  <c r="Q285" i="25"/>
  <c r="P285" i="25"/>
  <c r="O285" i="25"/>
  <c r="N285" i="25"/>
  <c r="Q253" i="25"/>
  <c r="P253" i="25"/>
  <c r="O253" i="25"/>
  <c r="N253" i="25"/>
  <c r="Q221" i="25"/>
  <c r="P221" i="25"/>
  <c r="O221" i="25"/>
  <c r="N221" i="25"/>
  <c r="P201" i="25"/>
  <c r="O201" i="25"/>
  <c r="Q201" i="25"/>
  <c r="N201" i="25"/>
  <c r="P169" i="25"/>
  <c r="O169" i="25"/>
  <c r="Q169" i="25"/>
  <c r="N169" i="25"/>
  <c r="P137" i="25"/>
  <c r="O137" i="25"/>
  <c r="N137" i="25"/>
  <c r="Q137" i="25"/>
  <c r="P105" i="25"/>
  <c r="O105" i="25"/>
  <c r="N105" i="25"/>
  <c r="Q105" i="25"/>
  <c r="P73" i="25"/>
  <c r="O73" i="25"/>
  <c r="N73" i="25"/>
  <c r="Q73" i="25"/>
  <c r="P41" i="25"/>
  <c r="O41" i="25"/>
  <c r="N41" i="25"/>
  <c r="Q41" i="25"/>
  <c r="P9" i="25"/>
  <c r="O9" i="25"/>
  <c r="N9" i="25"/>
  <c r="Q9" i="25"/>
  <c r="Q408" i="25"/>
  <c r="O408" i="25"/>
  <c r="P408" i="25"/>
  <c r="N408" i="25"/>
  <c r="P376" i="25"/>
  <c r="O376" i="25"/>
  <c r="N376" i="25"/>
  <c r="Q376" i="25"/>
  <c r="P344" i="25"/>
  <c r="Q344" i="25"/>
  <c r="O344" i="25"/>
  <c r="N344" i="25"/>
  <c r="Q200" i="25"/>
  <c r="O200" i="25"/>
  <c r="N200" i="25"/>
  <c r="P200" i="25"/>
  <c r="Q192" i="25"/>
  <c r="O192" i="25"/>
  <c r="N192" i="25"/>
  <c r="P192" i="25"/>
  <c r="Q184" i="25"/>
  <c r="O184" i="25"/>
  <c r="N184" i="25"/>
  <c r="P184" i="25"/>
  <c r="Q176" i="25"/>
  <c r="O176" i="25"/>
  <c r="N176" i="25"/>
  <c r="P176" i="25"/>
  <c r="Q168" i="25"/>
  <c r="O168" i="25"/>
  <c r="N168" i="25"/>
  <c r="P168" i="25"/>
  <c r="Q160" i="25"/>
  <c r="O160" i="25"/>
  <c r="N160" i="25"/>
  <c r="P160" i="25"/>
  <c r="Q152" i="25"/>
  <c r="O152" i="25"/>
  <c r="N152" i="25"/>
  <c r="P152" i="25"/>
  <c r="Q144" i="25"/>
  <c r="O144" i="25"/>
  <c r="N144" i="25"/>
  <c r="P144" i="25"/>
  <c r="Q136" i="25"/>
  <c r="O136" i="25"/>
  <c r="N136" i="25"/>
  <c r="P136" i="25"/>
  <c r="Q128" i="25"/>
  <c r="O128" i="25"/>
  <c r="N128" i="25"/>
  <c r="P128" i="25"/>
  <c r="Q120" i="25"/>
  <c r="O120" i="25"/>
  <c r="N120" i="25"/>
  <c r="P120" i="25"/>
  <c r="Q112" i="25"/>
  <c r="O112" i="25"/>
  <c r="N112" i="25"/>
  <c r="P112" i="25"/>
  <c r="P383" i="25"/>
  <c r="Q383" i="25"/>
  <c r="N383" i="25"/>
  <c r="O383" i="25"/>
  <c r="O351" i="25"/>
  <c r="N351" i="25"/>
  <c r="Q351" i="25"/>
  <c r="P351" i="25"/>
  <c r="P319" i="25"/>
  <c r="Q319" i="25"/>
  <c r="N319" i="25"/>
  <c r="O319" i="25"/>
  <c r="O287" i="25"/>
  <c r="Q287" i="25"/>
  <c r="N287" i="25"/>
  <c r="P287" i="25"/>
  <c r="P255" i="25"/>
  <c r="Q255" i="25"/>
  <c r="N255" i="25"/>
  <c r="O255" i="25"/>
  <c r="O223" i="25"/>
  <c r="N223" i="25"/>
  <c r="P223" i="25"/>
  <c r="Q223" i="25"/>
  <c r="B25" i="20"/>
  <c r="C25" i="20"/>
  <c r="P187" i="25"/>
  <c r="O187" i="25"/>
  <c r="Q187" i="25"/>
  <c r="N187" i="25"/>
  <c r="N155" i="25"/>
  <c r="Q155" i="25"/>
  <c r="O155" i="25"/>
  <c r="P155" i="25"/>
  <c r="O123" i="25"/>
  <c r="N123" i="25"/>
  <c r="Q123" i="25"/>
  <c r="P123" i="25"/>
  <c r="P83" i="25"/>
  <c r="Q83" i="25"/>
  <c r="N83" i="25"/>
  <c r="O83" i="25"/>
  <c r="P51" i="25"/>
  <c r="O51" i="25"/>
  <c r="N51" i="25"/>
  <c r="Q51" i="25"/>
  <c r="P19" i="25"/>
  <c r="O19" i="25"/>
  <c r="Q19" i="25"/>
  <c r="N19" i="25"/>
  <c r="P382" i="25"/>
  <c r="Q382" i="25"/>
  <c r="O382" i="25"/>
  <c r="N382" i="25"/>
  <c r="Q350" i="25"/>
  <c r="N350" i="25"/>
  <c r="O350" i="25"/>
  <c r="P350" i="25"/>
  <c r="N318" i="25"/>
  <c r="O318" i="25"/>
  <c r="P318" i="25"/>
  <c r="Q318" i="25"/>
  <c r="N286" i="25"/>
  <c r="O286" i="25"/>
  <c r="P286" i="25"/>
  <c r="Q286" i="25"/>
  <c r="O254" i="25"/>
  <c r="P254" i="25"/>
  <c r="Q254" i="25"/>
  <c r="N254" i="25"/>
  <c r="O222" i="25"/>
  <c r="P222" i="25"/>
  <c r="N222" i="25"/>
  <c r="Q222" i="25"/>
  <c r="Q202" i="25"/>
  <c r="P202" i="25"/>
  <c r="O202" i="25"/>
  <c r="N202" i="25"/>
  <c r="Q170" i="25"/>
  <c r="N170" i="25"/>
  <c r="P170" i="25"/>
  <c r="O170" i="25"/>
  <c r="N138" i="25"/>
  <c r="O138" i="25"/>
  <c r="Q138" i="25"/>
  <c r="P138" i="25"/>
  <c r="N106" i="25"/>
  <c r="Q106" i="25"/>
  <c r="O106" i="25"/>
  <c r="P106" i="25"/>
  <c r="N74" i="25"/>
  <c r="P74" i="25"/>
  <c r="Q74" i="25"/>
  <c r="O74" i="25"/>
  <c r="N42" i="25"/>
  <c r="Q42" i="25"/>
  <c r="O42" i="25"/>
  <c r="P42" i="25"/>
  <c r="N10" i="25"/>
  <c r="Q10" i="25"/>
  <c r="P10" i="25"/>
  <c r="O10" i="25"/>
  <c r="B19" i="20"/>
  <c r="C19" i="20"/>
  <c r="O321" i="25"/>
  <c r="N321" i="25"/>
  <c r="P321" i="25"/>
  <c r="Q321" i="25"/>
  <c r="O289" i="25"/>
  <c r="P289" i="25"/>
  <c r="N289" i="25"/>
  <c r="Q289" i="25"/>
  <c r="O257" i="25"/>
  <c r="N257" i="25"/>
  <c r="P257" i="25"/>
  <c r="Q257" i="25"/>
  <c r="O225" i="25"/>
  <c r="P225" i="25"/>
  <c r="N225" i="25"/>
  <c r="Q225" i="25"/>
  <c r="O173" i="25"/>
  <c r="Q173" i="25"/>
  <c r="P173" i="25"/>
  <c r="N173" i="25"/>
  <c r="O141" i="25"/>
  <c r="Q141" i="25"/>
  <c r="P141" i="25"/>
  <c r="N141" i="25"/>
  <c r="Q109" i="25"/>
  <c r="O109" i="25"/>
  <c r="N109" i="25"/>
  <c r="P109" i="25"/>
  <c r="Q77" i="25"/>
  <c r="O77" i="25"/>
  <c r="N77" i="25"/>
  <c r="P77" i="25"/>
  <c r="Q45" i="25"/>
  <c r="O45" i="25"/>
  <c r="N45" i="25"/>
  <c r="P45" i="25"/>
  <c r="Q13" i="25"/>
  <c r="O13" i="25"/>
  <c r="N13" i="25"/>
  <c r="P13" i="25"/>
  <c r="O380" i="25"/>
  <c r="Q380" i="25"/>
  <c r="P380" i="25"/>
  <c r="N380" i="25"/>
  <c r="P348" i="25"/>
  <c r="Q348" i="25"/>
  <c r="O348" i="25"/>
  <c r="N348" i="25"/>
  <c r="Q100" i="25"/>
  <c r="P100" i="25"/>
  <c r="O100" i="25"/>
  <c r="N100" i="25"/>
  <c r="Q92" i="25"/>
  <c r="P92" i="25"/>
  <c r="O92" i="25"/>
  <c r="N92" i="25"/>
  <c r="Q84" i="25"/>
  <c r="P84" i="25"/>
  <c r="O84" i="25"/>
  <c r="N84" i="25"/>
  <c r="Q76" i="25"/>
  <c r="P76" i="25"/>
  <c r="O76" i="25"/>
  <c r="N76" i="25"/>
  <c r="Q68" i="25"/>
  <c r="P68" i="25"/>
  <c r="O68" i="25"/>
  <c r="N68" i="25"/>
  <c r="Q60" i="25"/>
  <c r="P60" i="25"/>
  <c r="O60" i="25"/>
  <c r="N60" i="25"/>
  <c r="Q52" i="25"/>
  <c r="P52" i="25"/>
  <c r="O52" i="25"/>
  <c r="N52" i="25"/>
  <c r="Q44" i="25"/>
  <c r="P44" i="25"/>
  <c r="O44" i="25"/>
  <c r="N44" i="25"/>
  <c r="Q36" i="25"/>
  <c r="P36" i="25"/>
  <c r="O36" i="25"/>
  <c r="N36" i="25"/>
  <c r="Q28" i="25"/>
  <c r="P28" i="25"/>
  <c r="O28" i="25"/>
  <c r="N28" i="25"/>
  <c r="Q20" i="25"/>
  <c r="P20" i="25"/>
  <c r="O20" i="25"/>
  <c r="N20" i="25"/>
  <c r="Q12" i="25"/>
  <c r="P12" i="25"/>
  <c r="O12" i="25"/>
  <c r="N12" i="25"/>
  <c r="Q4" i="25"/>
  <c r="P4" i="25"/>
  <c r="O4" i="25"/>
  <c r="N4" i="25"/>
  <c r="Q387" i="25"/>
  <c r="P387" i="25"/>
  <c r="N387" i="25"/>
  <c r="O387" i="25"/>
  <c r="O355" i="25"/>
  <c r="N355" i="25"/>
  <c r="Q355" i="25"/>
  <c r="P355" i="25"/>
  <c r="Q323" i="25"/>
  <c r="P323" i="25"/>
  <c r="O323" i="25"/>
  <c r="N323" i="25"/>
  <c r="O291" i="25"/>
  <c r="N291" i="25"/>
  <c r="P291" i="25"/>
  <c r="Q291" i="25"/>
  <c r="Q259" i="25"/>
  <c r="P259" i="25"/>
  <c r="N259" i="25"/>
  <c r="O259" i="25"/>
  <c r="O227" i="25"/>
  <c r="N227" i="25"/>
  <c r="Q227" i="25"/>
  <c r="P227" i="25"/>
  <c r="P191" i="25"/>
  <c r="Q191" i="25"/>
  <c r="N191" i="25"/>
  <c r="O191" i="25"/>
  <c r="O159" i="25"/>
  <c r="Q159" i="25"/>
  <c r="P159" i="25"/>
  <c r="N159" i="25"/>
  <c r="P127" i="25"/>
  <c r="N127" i="25"/>
  <c r="O127" i="25"/>
  <c r="Q127" i="25"/>
  <c r="N87" i="25"/>
  <c r="P87" i="25"/>
  <c r="Q87" i="25"/>
  <c r="O87" i="25"/>
  <c r="N55" i="25"/>
  <c r="Q55" i="25"/>
  <c r="O55" i="25"/>
  <c r="P55" i="25"/>
  <c r="N23" i="25"/>
  <c r="P23" i="25"/>
  <c r="O23" i="25"/>
  <c r="Q23" i="25"/>
  <c r="Q406" i="25"/>
  <c r="P406" i="25"/>
  <c r="N406" i="25"/>
  <c r="O406" i="25"/>
  <c r="O386" i="25"/>
  <c r="N386" i="25"/>
  <c r="Q386" i="25"/>
  <c r="P386" i="25"/>
  <c r="O354" i="25"/>
  <c r="N354" i="25"/>
  <c r="P354" i="25"/>
  <c r="Q354" i="25"/>
  <c r="O322" i="25"/>
  <c r="P322" i="25"/>
  <c r="N322" i="25"/>
  <c r="Q322" i="25"/>
  <c r="O290" i="25"/>
  <c r="P290" i="25"/>
  <c r="N290" i="25"/>
  <c r="Q290" i="25"/>
  <c r="Q258" i="25"/>
  <c r="O258" i="25"/>
  <c r="P258" i="25"/>
  <c r="N258" i="25"/>
  <c r="O226" i="25"/>
  <c r="N226" i="25"/>
  <c r="Q226" i="25"/>
  <c r="P226" i="25"/>
  <c r="P174" i="25"/>
  <c r="Q174" i="25"/>
  <c r="N174" i="25"/>
  <c r="O174" i="25"/>
  <c r="Q142" i="25"/>
  <c r="P142" i="25"/>
  <c r="N142" i="25"/>
  <c r="O142" i="25"/>
  <c r="Q110" i="25"/>
  <c r="P110" i="25"/>
  <c r="N110" i="25"/>
  <c r="O110" i="25"/>
  <c r="O78" i="25"/>
  <c r="N78" i="25"/>
  <c r="Q78" i="25"/>
  <c r="P78" i="25"/>
  <c r="O46" i="25"/>
  <c r="Q46" i="25"/>
  <c r="P46" i="25"/>
  <c r="N46" i="25"/>
  <c r="O14" i="25"/>
  <c r="P14" i="25"/>
  <c r="N14" i="25"/>
  <c r="Q14" i="25"/>
  <c r="B4" i="20"/>
  <c r="C4" i="20"/>
  <c r="O397" i="25"/>
  <c r="Q397" i="25"/>
  <c r="P397" i="25"/>
  <c r="N397" i="25"/>
  <c r="Q389" i="25"/>
  <c r="O389" i="25"/>
  <c r="N389" i="25"/>
  <c r="P389" i="25"/>
  <c r="Q381" i="25"/>
  <c r="P381" i="25"/>
  <c r="O381" i="25"/>
  <c r="N381" i="25"/>
  <c r="Q373" i="25"/>
  <c r="O373" i="25"/>
  <c r="N373" i="25"/>
  <c r="P373" i="25"/>
  <c r="O365" i="25"/>
  <c r="Q365" i="25"/>
  <c r="P365" i="25"/>
  <c r="N365" i="25"/>
  <c r="Q357" i="25"/>
  <c r="O357" i="25"/>
  <c r="N357" i="25"/>
  <c r="P357" i="25"/>
  <c r="Q349" i="25"/>
  <c r="P349" i="25"/>
  <c r="O349" i="25"/>
  <c r="N349" i="25"/>
  <c r="Q341" i="25"/>
  <c r="O341" i="25"/>
  <c r="P341" i="25"/>
  <c r="N341" i="25"/>
  <c r="Q325" i="25"/>
  <c r="O325" i="25"/>
  <c r="P325" i="25"/>
  <c r="N325" i="25"/>
  <c r="Q293" i="25"/>
  <c r="O293" i="25"/>
  <c r="N293" i="25"/>
  <c r="P293" i="25"/>
  <c r="Q261" i="25"/>
  <c r="O261" i="25"/>
  <c r="N261" i="25"/>
  <c r="P261" i="25"/>
  <c r="Q229" i="25"/>
  <c r="O229" i="25"/>
  <c r="N229" i="25"/>
  <c r="P229" i="25"/>
  <c r="P177" i="25"/>
  <c r="O177" i="25"/>
  <c r="Q177" i="25"/>
  <c r="N177" i="25"/>
  <c r="P145" i="25"/>
  <c r="O145" i="25"/>
  <c r="N145" i="25"/>
  <c r="Q145" i="25"/>
  <c r="P113" i="25"/>
  <c r="Q113" i="25"/>
  <c r="N113" i="25"/>
  <c r="O113" i="25"/>
  <c r="P81" i="25"/>
  <c r="Q81" i="25"/>
  <c r="N81" i="25"/>
  <c r="O81" i="25"/>
  <c r="P49" i="25"/>
  <c r="Q49" i="25"/>
  <c r="N49" i="25"/>
  <c r="O49" i="25"/>
  <c r="P17" i="25"/>
  <c r="Q17" i="25"/>
  <c r="N17" i="25"/>
  <c r="O17" i="25"/>
  <c r="O384" i="25"/>
  <c r="P384" i="25"/>
  <c r="Q384" i="25"/>
  <c r="N384" i="25"/>
  <c r="Q352" i="25"/>
  <c r="O352" i="25"/>
  <c r="N352" i="25"/>
  <c r="P352" i="25"/>
  <c r="B11" i="20"/>
  <c r="C11" i="20"/>
  <c r="Q391" i="25"/>
  <c r="P391" i="25"/>
  <c r="N391" i="25"/>
  <c r="O391" i="25"/>
  <c r="N359" i="25"/>
  <c r="O359" i="25"/>
  <c r="P359" i="25"/>
  <c r="Q359" i="25"/>
  <c r="Q327" i="25"/>
  <c r="P327" i="25"/>
  <c r="O327" i="25"/>
  <c r="N327" i="25"/>
  <c r="N295" i="25"/>
  <c r="O295" i="25"/>
  <c r="Q295" i="25"/>
  <c r="P295" i="25"/>
  <c r="Q263" i="25"/>
  <c r="P263" i="25"/>
  <c r="N263" i="25"/>
  <c r="O263" i="25"/>
  <c r="N231" i="25"/>
  <c r="O231" i="25"/>
  <c r="P231" i="25"/>
  <c r="Q231" i="25"/>
  <c r="Q195" i="25"/>
  <c r="P195" i="25"/>
  <c r="O195" i="25"/>
  <c r="N195" i="25"/>
  <c r="O163" i="25"/>
  <c r="N163" i="25"/>
  <c r="P163" i="25"/>
  <c r="Q163" i="25"/>
  <c r="P131" i="25"/>
  <c r="O131" i="25"/>
  <c r="Q131" i="25"/>
  <c r="N131" i="25"/>
  <c r="P107" i="25"/>
  <c r="O107" i="25"/>
  <c r="Q107" i="25"/>
  <c r="N107" i="25"/>
  <c r="Q91" i="25"/>
  <c r="P91" i="25"/>
  <c r="O91" i="25"/>
  <c r="N91" i="25"/>
  <c r="O59" i="25"/>
  <c r="Q59" i="25"/>
  <c r="P59" i="25"/>
  <c r="N59" i="25"/>
  <c r="Q27" i="25"/>
  <c r="P27" i="25"/>
  <c r="N27" i="25"/>
  <c r="O27" i="25"/>
  <c r="N390" i="25"/>
  <c r="O390" i="25"/>
  <c r="P390" i="25"/>
  <c r="Q390" i="25"/>
  <c r="N358" i="25"/>
  <c r="O358" i="25"/>
  <c r="Q358" i="25"/>
  <c r="P358" i="25"/>
  <c r="Q326" i="25"/>
  <c r="O326" i="25"/>
  <c r="P326" i="25"/>
  <c r="N326" i="25"/>
  <c r="Q294" i="25"/>
  <c r="P294" i="25"/>
  <c r="N294" i="25"/>
  <c r="O294" i="25"/>
  <c r="Q262" i="25"/>
  <c r="P262" i="25"/>
  <c r="O262" i="25"/>
  <c r="N262" i="25"/>
  <c r="P230" i="25"/>
  <c r="N230" i="25"/>
  <c r="O230" i="25"/>
  <c r="Q230" i="25"/>
  <c r="P178" i="25"/>
  <c r="N178" i="25"/>
  <c r="O178" i="25"/>
  <c r="Q178" i="25"/>
  <c r="O146" i="25"/>
  <c r="Q146" i="25"/>
  <c r="N146" i="25"/>
  <c r="P146" i="25"/>
  <c r="N114" i="25"/>
  <c r="P114" i="25"/>
  <c r="Q114" i="25"/>
  <c r="O114" i="25"/>
  <c r="N82" i="25"/>
  <c r="P82" i="25"/>
  <c r="O82" i="25"/>
  <c r="Q82" i="25"/>
  <c r="N50" i="25"/>
  <c r="Q50" i="25"/>
  <c r="P50" i="25"/>
  <c r="O50" i="25"/>
  <c r="N18" i="25"/>
  <c r="P18" i="25"/>
  <c r="O18" i="25"/>
  <c r="Q18" i="25"/>
  <c r="B9" i="20"/>
  <c r="C9" i="20"/>
  <c r="P329" i="25"/>
  <c r="N329" i="25"/>
  <c r="O329" i="25"/>
  <c r="Q329" i="25"/>
  <c r="P297" i="25"/>
  <c r="O297" i="25"/>
  <c r="N297" i="25"/>
  <c r="Q297" i="25"/>
  <c r="P265" i="25"/>
  <c r="N265" i="25"/>
  <c r="O265" i="25"/>
  <c r="Q265" i="25"/>
  <c r="P233" i="25"/>
  <c r="O233" i="25"/>
  <c r="Q233" i="25"/>
  <c r="N233" i="25"/>
  <c r="B21" i="20"/>
  <c r="C21" i="20"/>
  <c r="Q181" i="25"/>
  <c r="O181" i="25"/>
  <c r="P181" i="25"/>
  <c r="N181" i="25"/>
  <c r="Q149" i="25"/>
  <c r="O149" i="25"/>
  <c r="N149" i="25"/>
  <c r="P149" i="25"/>
  <c r="Q117" i="25"/>
  <c r="O117" i="25"/>
  <c r="N117" i="25"/>
  <c r="P117" i="25"/>
  <c r="Q85" i="25"/>
  <c r="O85" i="25"/>
  <c r="N85" i="25"/>
  <c r="P85" i="25"/>
  <c r="Q53" i="25"/>
  <c r="O53" i="25"/>
  <c r="N53" i="25"/>
  <c r="P53" i="25"/>
  <c r="Q21" i="25"/>
  <c r="O21" i="25"/>
  <c r="N21" i="25"/>
  <c r="P21" i="25"/>
  <c r="P388" i="25"/>
  <c r="O388" i="25"/>
  <c r="Q388" i="25"/>
  <c r="N388" i="25"/>
  <c r="P356" i="25"/>
  <c r="O356" i="25"/>
  <c r="Q356" i="25"/>
  <c r="N356" i="25"/>
  <c r="Q332" i="25"/>
  <c r="O332" i="25"/>
  <c r="N332" i="25"/>
  <c r="P332" i="25"/>
  <c r="Q324" i="25"/>
  <c r="P324" i="25"/>
  <c r="O324" i="25"/>
  <c r="N324" i="25"/>
  <c r="Q316" i="25"/>
  <c r="O316" i="25"/>
  <c r="P316" i="25"/>
  <c r="N316" i="25"/>
  <c r="O308" i="25"/>
  <c r="Q308" i="25"/>
  <c r="P308" i="25"/>
  <c r="N308" i="25"/>
  <c r="Q300" i="25"/>
  <c r="O300" i="25"/>
  <c r="P300" i="25"/>
  <c r="N300" i="25"/>
  <c r="Q292" i="25"/>
  <c r="P292" i="25"/>
  <c r="O292" i="25"/>
  <c r="N292" i="25"/>
  <c r="Q284" i="25"/>
  <c r="O284" i="25"/>
  <c r="P284" i="25"/>
  <c r="N284" i="25"/>
  <c r="O276" i="25"/>
  <c r="Q276" i="25"/>
  <c r="P276" i="25"/>
  <c r="N276" i="25"/>
  <c r="Q268" i="25"/>
  <c r="O268" i="25"/>
  <c r="N268" i="25"/>
  <c r="P268" i="25"/>
  <c r="Q260" i="25"/>
  <c r="P260" i="25"/>
  <c r="O260" i="25"/>
  <c r="N260" i="25"/>
  <c r="Q252" i="25"/>
  <c r="O252" i="25"/>
  <c r="P252" i="25"/>
  <c r="N252" i="25"/>
  <c r="O244" i="25"/>
  <c r="Q244" i="25"/>
  <c r="P244" i="25"/>
  <c r="N244" i="25"/>
  <c r="Q236" i="25"/>
  <c r="O236" i="25"/>
  <c r="N236" i="25"/>
  <c r="P236" i="25"/>
  <c r="Q228" i="25"/>
  <c r="O228" i="25"/>
  <c r="N228" i="25"/>
  <c r="P228" i="25"/>
  <c r="Q220" i="25"/>
  <c r="O220" i="25"/>
  <c r="N220" i="25"/>
  <c r="P220" i="25"/>
  <c r="Q212" i="25"/>
  <c r="O212" i="25"/>
  <c r="N212" i="25"/>
  <c r="P212" i="25"/>
  <c r="P395" i="25"/>
  <c r="O395" i="25"/>
  <c r="Q395" i="25"/>
  <c r="N395" i="25"/>
  <c r="N363" i="25"/>
  <c r="Q363" i="25"/>
  <c r="P363" i="25"/>
  <c r="O363" i="25"/>
  <c r="Q331" i="25"/>
  <c r="P331" i="25"/>
  <c r="O331" i="25"/>
  <c r="N331" i="25"/>
  <c r="O299" i="25"/>
  <c r="N299" i="25"/>
  <c r="P299" i="25"/>
  <c r="Q299" i="25"/>
  <c r="Q267" i="25"/>
  <c r="P267" i="25"/>
  <c r="N267" i="25"/>
  <c r="O267" i="25"/>
  <c r="O235" i="25"/>
  <c r="N235" i="25"/>
  <c r="Q235" i="25"/>
  <c r="P235" i="25"/>
  <c r="Q199" i="25"/>
  <c r="O199" i="25"/>
  <c r="N199" i="25"/>
  <c r="P199" i="25"/>
  <c r="P167" i="25"/>
  <c r="N167" i="25"/>
  <c r="Q167" i="25"/>
  <c r="O167" i="25"/>
  <c r="Q135" i="25"/>
  <c r="O135" i="25"/>
  <c r="P135" i="25"/>
  <c r="N135" i="25"/>
  <c r="O95" i="25"/>
  <c r="N95" i="25"/>
  <c r="Q95" i="25"/>
  <c r="P95" i="25"/>
  <c r="O63" i="25"/>
  <c r="N63" i="25"/>
  <c r="Q63" i="25"/>
  <c r="P63" i="25"/>
  <c r="O31" i="25"/>
  <c r="N31" i="25"/>
  <c r="Q31" i="25"/>
  <c r="P31" i="25"/>
  <c r="P394" i="25"/>
  <c r="N394" i="25"/>
  <c r="O394" i="25"/>
  <c r="Q394" i="25"/>
  <c r="P362" i="25"/>
  <c r="N362" i="25"/>
  <c r="Q362" i="25"/>
  <c r="O362" i="25"/>
  <c r="N330" i="25"/>
  <c r="O330" i="25"/>
  <c r="Q330" i="25"/>
  <c r="P330" i="25"/>
  <c r="Q298" i="25"/>
  <c r="N298" i="25"/>
  <c r="P298" i="25"/>
  <c r="O298" i="25"/>
  <c r="Q266" i="25"/>
  <c r="P266" i="25"/>
  <c r="N266" i="25"/>
  <c r="O266" i="25"/>
  <c r="Q234" i="25"/>
  <c r="O234" i="25"/>
  <c r="P234" i="25"/>
  <c r="N234" i="25"/>
  <c r="O182" i="25"/>
  <c r="N182" i="25"/>
  <c r="Q182" i="25"/>
  <c r="P182" i="25"/>
  <c r="O150" i="25"/>
  <c r="Q150" i="25"/>
  <c r="P150" i="25"/>
  <c r="N150" i="25"/>
  <c r="Q118" i="25"/>
  <c r="N118" i="25"/>
  <c r="O118" i="25"/>
  <c r="P118" i="25"/>
  <c r="N86" i="25"/>
  <c r="Q86" i="25"/>
  <c r="O86" i="25"/>
  <c r="P86" i="25"/>
  <c r="N54" i="25"/>
  <c r="O54" i="25"/>
  <c r="Q54" i="25"/>
  <c r="P54" i="25"/>
  <c r="N22" i="25"/>
  <c r="O22" i="25"/>
  <c r="Q22" i="25"/>
  <c r="P22" i="25"/>
  <c r="B24" i="20"/>
  <c r="C24" i="20"/>
  <c r="AM419" i="17"/>
  <c r="I417" i="17"/>
  <c r="M417" i="17"/>
  <c r="Q417" i="17"/>
  <c r="U417" i="17"/>
  <c r="Y417" i="17"/>
  <c r="AC417" i="17"/>
  <c r="J416" i="17"/>
  <c r="N416" i="17"/>
  <c r="R416" i="17"/>
  <c r="V416" i="17"/>
  <c r="Z416" i="17"/>
  <c r="AD416" i="17"/>
  <c r="G415" i="17"/>
  <c r="K415" i="17"/>
  <c r="O415" i="17"/>
  <c r="S415" i="17"/>
  <c r="W415" i="17"/>
  <c r="AA415" i="17"/>
  <c r="AE415" i="17"/>
  <c r="F417" i="17"/>
  <c r="AX417" i="17"/>
  <c r="AM417" i="17"/>
  <c r="AW416" i="17"/>
  <c r="AL416" i="17"/>
  <c r="D416" i="17"/>
  <c r="AV415" i="17"/>
  <c r="AK415" i="17"/>
  <c r="AM414" i="17"/>
  <c r="E417" i="17"/>
  <c r="AZ415" i="17"/>
  <c r="AU415" i="17"/>
  <c r="J417" i="17"/>
  <c r="N417" i="17"/>
  <c r="R417" i="17"/>
  <c r="V417" i="17"/>
  <c r="Z417" i="17"/>
  <c r="AD417" i="17"/>
  <c r="G416" i="17"/>
  <c r="K416" i="17"/>
  <c r="O416" i="17"/>
  <c r="S416" i="17"/>
  <c r="W416" i="17"/>
  <c r="AA416" i="17"/>
  <c r="AE416" i="17"/>
  <c r="H415" i="17"/>
  <c r="L415" i="17"/>
  <c r="P415" i="17"/>
  <c r="T415" i="17"/>
  <c r="X415" i="17"/>
  <c r="AB415" i="17"/>
  <c r="AF415" i="17"/>
  <c r="F416" i="17"/>
  <c r="E416" i="17"/>
  <c r="C416" i="17"/>
  <c r="AW417" i="17"/>
  <c r="AL417" i="17"/>
  <c r="AV416" i="17"/>
  <c r="AK416" i="17"/>
  <c r="G417" i="17"/>
  <c r="K417" i="17"/>
  <c r="O417" i="17"/>
  <c r="S417" i="17"/>
  <c r="W417" i="17"/>
  <c r="AA417" i="17"/>
  <c r="AE417" i="17"/>
  <c r="H416" i="17"/>
  <c r="L416" i="17"/>
  <c r="P416" i="17"/>
  <c r="T416" i="17"/>
  <c r="X416" i="17"/>
  <c r="AB416" i="17"/>
  <c r="AF416" i="17"/>
  <c r="I415" i="17"/>
  <c r="M415" i="17"/>
  <c r="Q415" i="17"/>
  <c r="U415" i="17"/>
  <c r="Y415" i="17"/>
  <c r="AC415" i="17"/>
  <c r="F415" i="17"/>
  <c r="E415" i="17"/>
  <c r="D417" i="17"/>
  <c r="C415" i="17"/>
  <c r="AV417" i="17"/>
  <c r="AK417" i="17"/>
  <c r="AZ416" i="17"/>
  <c r="AU416" i="17"/>
  <c r="AX415" i="17"/>
  <c r="AM415" i="17"/>
  <c r="AK414" i="17"/>
  <c r="H417" i="17"/>
  <c r="L417" i="17"/>
  <c r="P417" i="17"/>
  <c r="T417" i="17"/>
  <c r="X417" i="17"/>
  <c r="AB417" i="17"/>
  <c r="AF417" i="17"/>
  <c r="I416" i="17"/>
  <c r="M416" i="17"/>
  <c r="Q416" i="17"/>
  <c r="U416" i="17"/>
  <c r="Y416" i="17"/>
  <c r="AC416" i="17"/>
  <c r="J415" i="17"/>
  <c r="N415" i="17"/>
  <c r="R415" i="17"/>
  <c r="V415" i="17"/>
  <c r="Z415" i="17"/>
  <c r="AD415" i="17"/>
  <c r="D415" i="17"/>
  <c r="AZ417" i="17"/>
  <c r="AU417" i="17"/>
  <c r="AX416" i="17"/>
  <c r="AM416" i="17"/>
  <c r="AW415" i="17"/>
  <c r="AL415" i="17"/>
  <c r="BW406" i="17"/>
  <c r="BW408" i="17"/>
  <c r="BW404" i="17"/>
  <c r="BW400" i="17"/>
  <c r="BW396" i="17"/>
  <c r="BW392" i="17"/>
  <c r="BW388" i="17"/>
  <c r="BW384" i="17"/>
  <c r="BW380" i="17"/>
  <c r="BW376" i="17"/>
  <c r="BW372" i="17"/>
  <c r="BW368" i="17"/>
  <c r="BW364" i="17"/>
  <c r="BW360" i="17"/>
  <c r="BW356" i="17"/>
  <c r="BW352" i="17"/>
  <c r="BW348" i="17"/>
  <c r="BW344" i="17"/>
  <c r="BW340" i="17"/>
  <c r="BW336" i="17"/>
  <c r="BW332" i="17"/>
  <c r="BW328" i="17"/>
  <c r="BW324" i="17"/>
  <c r="BW320" i="17"/>
  <c r="BW316" i="17"/>
  <c r="BW312" i="17"/>
  <c r="BW308" i="17"/>
  <c r="BW304" i="17"/>
  <c r="BW300" i="17"/>
  <c r="BW296" i="17"/>
  <c r="BW292" i="17"/>
  <c r="BW288" i="17"/>
  <c r="BW284" i="17"/>
  <c r="BW280" i="17"/>
  <c r="BW276" i="17"/>
  <c r="BW272" i="17"/>
  <c r="BW268" i="17"/>
  <c r="BW264" i="17"/>
  <c r="BW260" i="17"/>
  <c r="BW256" i="17"/>
  <c r="BW252" i="17"/>
  <c r="BW248" i="17"/>
  <c r="BW244" i="17"/>
  <c r="BW240" i="17"/>
  <c r="BW236" i="17"/>
  <c r="BW232" i="17"/>
  <c r="BW228" i="17"/>
  <c r="BW224" i="17"/>
  <c r="BW220" i="17"/>
  <c r="BW216" i="17"/>
  <c r="BW212" i="17"/>
  <c r="BW208" i="17"/>
  <c r="BW204" i="17"/>
  <c r="BW200" i="17"/>
  <c r="BW196" i="17"/>
  <c r="BW192" i="17"/>
  <c r="BW188" i="17"/>
  <c r="BW184" i="17"/>
  <c r="BW180" i="17"/>
  <c r="BW176" i="17"/>
  <c r="BW172" i="17"/>
  <c r="BW168" i="17"/>
  <c r="BW164" i="17"/>
  <c r="BW160" i="17"/>
  <c r="BW156" i="17"/>
  <c r="BW152" i="17"/>
  <c r="BW148" i="17"/>
  <c r="BW144" i="17"/>
  <c r="BW140" i="17"/>
  <c r="BW136" i="17"/>
  <c r="BW132" i="17"/>
  <c r="BW128" i="17"/>
  <c r="BW124" i="17"/>
  <c r="BW120" i="17"/>
  <c r="BW116" i="17"/>
  <c r="BW112" i="17"/>
  <c r="BW108" i="17"/>
  <c r="BW104" i="17"/>
  <c r="BW100" i="17"/>
  <c r="BW96" i="17"/>
  <c r="BW92" i="17"/>
  <c r="BW88" i="17"/>
  <c r="BW84" i="17"/>
  <c r="BW80" i="17"/>
  <c r="BW76" i="17"/>
  <c r="BW72" i="17"/>
  <c r="BW68" i="17"/>
  <c r="BW64" i="17"/>
  <c r="BW60" i="17"/>
  <c r="BW56" i="17"/>
  <c r="BW52" i="17"/>
  <c r="BW48" i="17"/>
  <c r="BW44" i="17"/>
  <c r="BW40" i="17"/>
  <c r="BW36" i="17"/>
  <c r="BW32" i="17"/>
  <c r="BW28" i="17"/>
  <c r="BW24" i="17"/>
  <c r="BW20" i="17"/>
  <c r="BW16" i="17"/>
  <c r="BW12" i="17"/>
  <c r="BW8" i="17"/>
  <c r="BW4" i="17"/>
  <c r="BW405" i="17"/>
  <c r="BW401" i="17"/>
  <c r="BW397" i="17"/>
  <c r="BW393" i="17"/>
  <c r="BW389" i="17"/>
  <c r="BW385" i="17"/>
  <c r="BW381" i="17"/>
  <c r="BW377" i="17"/>
  <c r="BW373" i="17"/>
  <c r="BW369" i="17"/>
  <c r="BW365" i="17"/>
  <c r="BW361" i="17"/>
  <c r="BW357" i="17"/>
  <c r="BW353" i="17"/>
  <c r="BW349" i="17"/>
  <c r="BW345" i="17"/>
  <c r="BW341" i="17"/>
  <c r="BW337" i="17"/>
  <c r="BW333" i="17"/>
  <c r="BW329" i="17"/>
  <c r="BW325" i="17"/>
  <c r="BW321" i="17"/>
  <c r="BW317" i="17"/>
  <c r="BW313" i="17"/>
  <c r="BW309" i="17"/>
  <c r="BW305" i="17"/>
  <c r="BW301" i="17"/>
  <c r="BW297" i="17"/>
  <c r="BW293" i="17"/>
  <c r="BW289" i="17"/>
  <c r="BW285" i="17"/>
  <c r="BW281" i="17"/>
  <c r="BW277" i="17"/>
  <c r="BW273" i="17"/>
  <c r="BW269" i="17"/>
  <c r="BW265" i="17"/>
  <c r="BW261" i="17"/>
  <c r="BW257" i="17"/>
  <c r="BW253" i="17"/>
  <c r="BW249" i="17"/>
  <c r="BW245" i="17"/>
  <c r="BW241" i="17"/>
  <c r="BW237" i="17"/>
  <c r="BW233" i="17"/>
  <c r="BW229" i="17"/>
  <c r="BW225" i="17"/>
  <c r="BW221" i="17"/>
  <c r="BW217" i="17"/>
  <c r="BW213" i="17"/>
  <c r="BW209" i="17"/>
  <c r="BW205" i="17"/>
  <c r="BW201" i="17"/>
  <c r="BW197" i="17"/>
  <c r="BW193" i="17"/>
  <c r="BW189" i="17"/>
  <c r="BW185" i="17"/>
  <c r="BW181" i="17"/>
  <c r="BW177" i="17"/>
  <c r="BW173" i="17"/>
  <c r="BW169" i="17"/>
  <c r="BW165" i="17"/>
  <c r="BW161" i="17"/>
  <c r="BW157" i="17"/>
  <c r="BW153" i="17"/>
  <c r="BW149" i="17"/>
  <c r="BW145" i="17"/>
  <c r="BW141" i="17"/>
  <c r="BW137" i="17"/>
  <c r="BW133" i="17"/>
  <c r="BW129" i="17"/>
  <c r="BW125" i="17"/>
  <c r="BW121" i="17"/>
  <c r="BW117" i="17"/>
  <c r="BW113" i="17"/>
  <c r="BW109" i="17"/>
  <c r="BW105" i="17"/>
  <c r="BW101" i="17"/>
  <c r="BW97" i="17"/>
  <c r="BW93" i="17"/>
  <c r="BW89" i="17"/>
  <c r="BW85" i="17"/>
  <c r="BW81" i="17"/>
  <c r="BW77" i="17"/>
  <c r="BW73" i="17"/>
  <c r="BW69" i="17"/>
  <c r="BW65" i="17"/>
  <c r="BW61" i="17"/>
  <c r="BW57" i="17"/>
  <c r="BW53" i="17"/>
  <c r="BW49" i="17"/>
  <c r="BW45" i="17"/>
  <c r="BW41" i="17"/>
  <c r="BW37" i="17"/>
  <c r="BW33" i="17"/>
  <c r="BW29" i="17"/>
  <c r="BW25" i="17"/>
  <c r="BW21" i="17"/>
  <c r="BW17" i="17"/>
  <c r="BW13" i="17"/>
  <c r="BW9" i="17"/>
  <c r="BW5" i="17"/>
  <c r="BW407" i="17"/>
  <c r="BW403" i="17"/>
  <c r="BW399" i="17"/>
  <c r="BW395" i="17"/>
  <c r="BW391" i="17"/>
  <c r="BW387" i="17"/>
  <c r="BW383" i="17"/>
  <c r="BW379" i="17"/>
  <c r="BW375" i="17"/>
  <c r="BW371" i="17"/>
  <c r="BW367" i="17"/>
  <c r="BW363" i="17"/>
  <c r="BW359" i="17"/>
  <c r="BW355" i="17"/>
  <c r="BW351" i="17"/>
  <c r="BW347" i="17"/>
  <c r="BW343" i="17"/>
  <c r="BW339" i="17"/>
  <c r="BW335" i="17"/>
  <c r="BW331" i="17"/>
  <c r="BW327" i="17"/>
  <c r="BW323" i="17"/>
  <c r="BW319" i="17"/>
  <c r="BW315" i="17"/>
  <c r="BW311" i="17"/>
  <c r="BW307" i="17"/>
  <c r="BW303" i="17"/>
  <c r="BW299" i="17"/>
  <c r="BW295" i="17"/>
  <c r="BW291" i="17"/>
  <c r="BW287" i="17"/>
  <c r="BW283" i="17"/>
  <c r="BW279" i="17"/>
  <c r="BW275" i="17"/>
  <c r="BW271" i="17"/>
  <c r="BW267" i="17"/>
  <c r="BW263" i="17"/>
  <c r="BW259" i="17"/>
  <c r="BW255" i="17"/>
  <c r="BW251" i="17"/>
  <c r="BW247" i="17"/>
  <c r="BW243" i="17"/>
  <c r="BW239" i="17"/>
  <c r="BW235" i="17"/>
  <c r="BW231" i="17"/>
  <c r="BW227" i="17"/>
  <c r="BW223" i="17"/>
  <c r="BW219" i="17"/>
  <c r="BW215" i="17"/>
  <c r="BW211" i="17"/>
  <c r="BW207" i="17"/>
  <c r="BW203" i="17"/>
  <c r="BW199" i="17"/>
  <c r="BW195" i="17"/>
  <c r="BW191" i="17"/>
  <c r="BW187" i="17"/>
  <c r="BW183" i="17"/>
  <c r="BW179" i="17"/>
  <c r="BW175" i="17"/>
  <c r="BW171" i="17"/>
  <c r="BW167" i="17"/>
  <c r="BW163" i="17"/>
  <c r="BW159" i="17"/>
  <c r="BW155" i="17"/>
  <c r="BW151" i="17"/>
  <c r="BW147" i="17"/>
  <c r="BW143" i="17"/>
  <c r="BW139" i="17"/>
  <c r="BW135" i="17"/>
  <c r="BW131" i="17"/>
  <c r="BW127" i="17"/>
  <c r="BW123" i="17"/>
  <c r="BW119" i="17"/>
  <c r="BW115" i="17"/>
  <c r="BW111" i="17"/>
  <c r="BW107" i="17"/>
  <c r="BW103" i="17"/>
  <c r="BW99" i="17"/>
  <c r="BW95" i="17"/>
  <c r="BW91" i="17"/>
  <c r="BW87" i="17"/>
  <c r="BW83" i="17"/>
  <c r="BW79" i="17"/>
  <c r="BW75" i="17"/>
  <c r="BW71" i="17"/>
  <c r="BW67" i="17"/>
  <c r="BW63" i="17"/>
  <c r="BW59" i="17"/>
  <c r="BW55" i="17"/>
  <c r="BW51" i="17"/>
  <c r="BW47" i="17"/>
  <c r="BW43" i="17"/>
  <c r="BW39" i="17"/>
  <c r="BW35" i="17"/>
  <c r="BW31" i="17"/>
  <c r="BW27" i="17"/>
  <c r="BW23" i="17"/>
  <c r="BW19" i="17"/>
  <c r="BW15" i="17"/>
  <c r="BW11" i="17"/>
  <c r="BW7" i="17"/>
  <c r="BW3" i="17"/>
  <c r="BW402" i="17"/>
  <c r="BW398" i="17"/>
  <c r="BW394" i="17"/>
  <c r="BW390" i="17"/>
  <c r="BW386" i="17"/>
  <c r="BW382" i="17"/>
  <c r="BW378" i="17"/>
  <c r="BW374" i="17"/>
  <c r="BW370" i="17"/>
  <c r="BW366" i="17"/>
  <c r="BW362" i="17"/>
  <c r="BW358" i="17"/>
  <c r="BW354" i="17"/>
  <c r="BW350" i="17"/>
  <c r="BW346" i="17"/>
  <c r="BW342" i="17"/>
  <c r="BW338" i="17"/>
  <c r="BW334" i="17"/>
  <c r="BW330" i="17"/>
  <c r="BW326" i="17"/>
  <c r="BW322" i="17"/>
  <c r="BW318" i="17"/>
  <c r="BW314" i="17"/>
  <c r="BW310" i="17"/>
  <c r="BW306" i="17"/>
  <c r="BW302" i="17"/>
  <c r="BW298" i="17"/>
  <c r="BW294" i="17"/>
  <c r="BW290" i="17"/>
  <c r="BW286" i="17"/>
  <c r="BW282" i="17"/>
  <c r="BW278" i="17"/>
  <c r="BW274" i="17"/>
  <c r="BW270" i="17"/>
  <c r="BW266" i="17"/>
  <c r="BW262" i="17"/>
  <c r="BW258" i="17"/>
  <c r="BW254" i="17"/>
  <c r="BW250" i="17"/>
  <c r="BW246" i="17"/>
  <c r="BW242" i="17"/>
  <c r="BW238" i="17"/>
  <c r="BW234" i="17"/>
  <c r="BW230" i="17"/>
  <c r="BW226" i="17"/>
  <c r="BW222" i="17"/>
  <c r="BW218" i="17"/>
  <c r="BW214" i="17"/>
  <c r="BW210" i="17"/>
  <c r="BW206" i="17"/>
  <c r="BW202" i="17"/>
  <c r="BW198" i="17"/>
  <c r="BW194" i="17"/>
  <c r="BW190" i="17"/>
  <c r="BW186" i="17"/>
  <c r="BW182" i="17"/>
  <c r="BW178" i="17"/>
  <c r="BW174" i="17"/>
  <c r="BW170" i="17"/>
  <c r="BW166" i="17"/>
  <c r="BW162" i="17"/>
  <c r="BW158" i="17"/>
  <c r="BW154" i="17"/>
  <c r="BW150" i="17"/>
  <c r="BW146" i="17"/>
  <c r="BW142" i="17"/>
  <c r="BW138" i="17"/>
  <c r="BW134" i="17"/>
  <c r="BW130" i="17"/>
  <c r="BW126" i="17"/>
  <c r="BW122" i="17"/>
  <c r="BW118" i="17"/>
  <c r="BW114" i="17"/>
  <c r="BW110" i="17"/>
  <c r="BW106" i="17"/>
  <c r="BW102" i="17"/>
  <c r="BW98" i="17"/>
  <c r="BW94" i="17"/>
  <c r="BW90" i="17"/>
  <c r="BW86" i="17"/>
  <c r="BW82" i="17"/>
  <c r="BW78" i="17"/>
  <c r="BW74" i="17"/>
  <c r="BW70" i="17"/>
  <c r="BW66" i="17"/>
  <c r="BW62" i="17"/>
  <c r="BW58" i="17"/>
  <c r="BW54" i="17"/>
  <c r="BW50" i="17"/>
  <c r="BW46" i="17"/>
  <c r="BW42" i="17"/>
  <c r="BW38" i="17"/>
  <c r="BW34" i="17"/>
  <c r="BW30" i="17"/>
  <c r="BW26" i="17"/>
  <c r="BW22" i="17"/>
  <c r="BW18" i="17"/>
  <c r="BW14" i="17"/>
  <c r="BW10" i="17"/>
  <c r="BW6" i="17"/>
  <c r="P2" i="25" l="1"/>
  <c r="P413" i="25" s="1"/>
  <c r="O2" i="25"/>
  <c r="O413" i="25" s="1"/>
  <c r="N2" i="25"/>
  <c r="N413" i="25" s="1"/>
  <c r="H416" i="25" s="1"/>
  <c r="C438" i="27"/>
  <c r="E438" i="27" s="1"/>
  <c r="C411" i="27"/>
  <c r="D411" i="27" s="1"/>
  <c r="C434" i="27"/>
  <c r="G434" i="27" s="1"/>
  <c r="C604" i="27"/>
  <c r="E604" i="27" s="1"/>
  <c r="B396" i="27"/>
  <c r="C351" i="27"/>
  <c r="G351" i="27" s="1"/>
  <c r="B619" i="27"/>
  <c r="C350" i="27"/>
  <c r="E350" i="27" s="1"/>
  <c r="C452" i="27"/>
  <c r="G452" i="27" s="1"/>
  <c r="C316" i="27"/>
  <c r="D316" i="27" s="1"/>
  <c r="B360" i="27"/>
  <c r="Q360" i="27" s="1"/>
  <c r="B299" i="27"/>
  <c r="Q299" i="27" s="1"/>
  <c r="C286" i="27"/>
  <c r="F286" i="27" s="1"/>
  <c r="C269" i="27"/>
  <c r="D269" i="27" s="1"/>
  <c r="B294" i="27"/>
  <c r="Q294" i="27" s="1"/>
  <c r="B493" i="27"/>
  <c r="C575" i="27"/>
  <c r="C277" i="27"/>
  <c r="G277" i="27" s="1"/>
  <c r="C349" i="27"/>
  <c r="D349" i="27" s="1"/>
  <c r="B492" i="27"/>
  <c r="C537" i="27"/>
  <c r="F537" i="27" s="1"/>
  <c r="B610" i="27"/>
  <c r="B316" i="27"/>
  <c r="Q316" i="27" s="1"/>
  <c r="C474" i="27"/>
  <c r="F474" i="27" s="1"/>
  <c r="C583" i="27"/>
  <c r="C400" i="27"/>
  <c r="E400" i="27" s="1"/>
  <c r="C564" i="27"/>
  <c r="D564" i="27" s="1"/>
  <c r="B476" i="27"/>
  <c r="C408" i="27"/>
  <c r="B458" i="27"/>
  <c r="B495" i="27"/>
  <c r="C444" i="27"/>
  <c r="D444" i="27" s="1"/>
  <c r="B556" i="27"/>
  <c r="C480" i="27"/>
  <c r="G480" i="27" s="1"/>
  <c r="B193" i="27"/>
  <c r="Q193" i="27" s="1"/>
  <c r="C243" i="27"/>
  <c r="C225" i="27"/>
  <c r="G225" i="27" s="1"/>
  <c r="C212" i="27"/>
  <c r="D212" i="27" s="1"/>
  <c r="B330" i="27"/>
  <c r="Q330" i="27" s="1"/>
  <c r="B305" i="27"/>
  <c r="Q305" i="27" s="1"/>
  <c r="C198" i="27"/>
  <c r="G198" i="27" s="1"/>
  <c r="C519" i="27"/>
  <c r="E519" i="27" s="1"/>
  <c r="C214" i="27"/>
  <c r="F214" i="27" s="1"/>
  <c r="C219" i="27"/>
  <c r="B580" i="27"/>
  <c r="C148" i="27"/>
  <c r="G148" i="27" s="1"/>
  <c r="B548" i="27"/>
  <c r="C130" i="27"/>
  <c r="G130" i="27" s="1"/>
  <c r="C183" i="27"/>
  <c r="D183" i="27" s="1"/>
  <c r="C459" i="27"/>
  <c r="E459" i="27" s="1"/>
  <c r="C258" i="27"/>
  <c r="F258" i="27" s="1"/>
  <c r="B410" i="27"/>
  <c r="C505" i="27"/>
  <c r="G505" i="27" s="1"/>
  <c r="C445" i="27"/>
  <c r="D445" i="27" s="1"/>
  <c r="B475" i="27"/>
  <c r="B411" i="27"/>
  <c r="C546" i="27"/>
  <c r="G546" i="27" s="1"/>
  <c r="B423" i="27"/>
  <c r="C456" i="27"/>
  <c r="G456" i="27" s="1"/>
  <c r="B616" i="27"/>
  <c r="B570" i="27"/>
  <c r="C364" i="27"/>
  <c r="E364" i="27" s="1"/>
  <c r="C489" i="27"/>
  <c r="E489" i="27" s="1"/>
  <c r="C426" i="27"/>
  <c r="C404" i="27"/>
  <c r="D404" i="27" s="1"/>
  <c r="B395" i="27"/>
  <c r="B415" i="27"/>
  <c r="C201" i="27"/>
  <c r="C309" i="27"/>
  <c r="F309" i="27" s="1"/>
  <c r="C299" i="27"/>
  <c r="E299" i="27" s="1"/>
  <c r="C188" i="27"/>
  <c r="G188" i="27" s="1"/>
  <c r="B435" i="27"/>
  <c r="C336" i="27"/>
  <c r="G336" i="27" s="1"/>
  <c r="C427" i="27"/>
  <c r="G427" i="27" s="1"/>
  <c r="C586" i="27"/>
  <c r="G586" i="27" s="1"/>
  <c r="C451" i="27"/>
  <c r="B620" i="27"/>
  <c r="C620" i="27"/>
  <c r="F620" i="27" s="1"/>
  <c r="B539" i="27"/>
  <c r="B218" i="27"/>
  <c r="Q218" i="27" s="1"/>
  <c r="C334" i="27"/>
  <c r="G334" i="27" s="1"/>
  <c r="B508" i="27"/>
  <c r="C545" i="27"/>
  <c r="F545" i="27" s="1"/>
  <c r="C450" i="27"/>
  <c r="B433" i="27"/>
  <c r="B348" i="27"/>
  <c r="Q348" i="27" s="1"/>
  <c r="B149" i="27"/>
  <c r="Q149" i="27" s="1"/>
  <c r="B195" i="27"/>
  <c r="Q195" i="27" s="1"/>
  <c r="C190" i="27"/>
  <c r="G190" i="27" s="1"/>
  <c r="B590" i="27"/>
  <c r="C303" i="27"/>
  <c r="F303" i="27" s="1"/>
  <c r="C176" i="27"/>
  <c r="F176" i="27" s="1"/>
  <c r="C498" i="27"/>
  <c r="D498" i="27" s="1"/>
  <c r="B452" i="27"/>
  <c r="B461" i="27"/>
  <c r="B261" i="27"/>
  <c r="Q261" i="27" s="1"/>
  <c r="B308" i="27"/>
  <c r="Q308" i="27" s="1"/>
  <c r="C361" i="27"/>
  <c r="D361" i="27" s="1"/>
  <c r="B594" i="27"/>
  <c r="C479" i="27"/>
  <c r="B515" i="27"/>
  <c r="C531" i="27"/>
  <c r="E531" i="27" s="1"/>
  <c r="C538" i="27"/>
  <c r="G538" i="27" s="1"/>
  <c r="C609" i="27"/>
  <c r="G609" i="27" s="1"/>
  <c r="B571" i="27"/>
  <c r="C490" i="27"/>
  <c r="E490" i="27" s="1"/>
  <c r="C488" i="27"/>
  <c r="E488" i="27" s="1"/>
  <c r="C556" i="27"/>
  <c r="F556" i="27" s="1"/>
  <c r="C273" i="27"/>
  <c r="E273" i="27" s="1"/>
  <c r="B356" i="27"/>
  <c r="Q356" i="27" s="1"/>
  <c r="B528" i="27"/>
  <c r="C347" i="27"/>
  <c r="B393" i="27"/>
  <c r="C363" i="27"/>
  <c r="E363" i="27" s="1"/>
  <c r="C554" i="27"/>
  <c r="F554" i="27" s="1"/>
  <c r="B554" i="27"/>
  <c r="C465" i="27"/>
  <c r="F465" i="27" s="1"/>
  <c r="B448" i="27"/>
  <c r="B216" i="27"/>
  <c r="Q216" i="27" s="1"/>
  <c r="C574" i="27"/>
  <c r="G574" i="27" s="1"/>
  <c r="B272" i="27"/>
  <c r="Q272" i="27" s="1"/>
  <c r="B251" i="27"/>
  <c r="Q251" i="27" s="1"/>
  <c r="C614" i="27"/>
  <c r="D614" i="27" s="1"/>
  <c r="C227" i="27"/>
  <c r="B414" i="27"/>
  <c r="C430" i="27"/>
  <c r="E430" i="27" s="1"/>
  <c r="B541" i="27"/>
  <c r="C420" i="27"/>
  <c r="F420" i="27" s="1"/>
  <c r="B241" i="27"/>
  <c r="Q241" i="27" s="1"/>
  <c r="C339" i="27"/>
  <c r="D339" i="27" s="1"/>
  <c r="C557" i="27"/>
  <c r="G557" i="27" s="1"/>
  <c r="C550" i="27"/>
  <c r="B353" i="27"/>
  <c r="Q353" i="27" s="1"/>
  <c r="B333" i="27"/>
  <c r="Q333" i="27" s="1"/>
  <c r="C184" i="27"/>
  <c r="G184" i="27" s="1"/>
  <c r="B165" i="27"/>
  <c r="Q165" i="27" s="1"/>
  <c r="B313" i="27"/>
  <c r="Q313" i="27" s="1"/>
  <c r="B394" i="27"/>
  <c r="C482" i="27"/>
  <c r="F482" i="27" s="1"/>
  <c r="B575" i="27"/>
  <c r="B319" i="27"/>
  <c r="Q319" i="27" s="1"/>
  <c r="B566" i="27"/>
  <c r="B443" i="27"/>
  <c r="C529" i="27"/>
  <c r="C117" i="27"/>
  <c r="E117" i="27" s="1"/>
  <c r="C460" i="27"/>
  <c r="D460" i="27" s="1"/>
  <c r="C319" i="27"/>
  <c r="D319" i="27" s="1"/>
  <c r="B399" i="27"/>
  <c r="G599" i="27"/>
  <c r="E599" i="27"/>
  <c r="D599" i="27"/>
  <c r="F599" i="27"/>
  <c r="D366" i="27"/>
  <c r="E366" i="27"/>
  <c r="G366" i="27"/>
  <c r="F366" i="27"/>
  <c r="G525" i="27"/>
  <c r="E525" i="27"/>
  <c r="D525" i="27"/>
  <c r="F525" i="27"/>
  <c r="F424" i="27"/>
  <c r="E424" i="27"/>
  <c r="D424" i="27"/>
  <c r="G424" i="27"/>
  <c r="G314" i="27"/>
  <c r="F314" i="27"/>
  <c r="E314" i="27"/>
  <c r="D314" i="27"/>
  <c r="F511" i="27"/>
  <c r="D511" i="27"/>
  <c r="G511" i="27"/>
  <c r="E511" i="27"/>
  <c r="F481" i="27"/>
  <c r="E481" i="27"/>
  <c r="D481" i="27"/>
  <c r="G481" i="27"/>
  <c r="G497" i="27"/>
  <c r="F497" i="27"/>
  <c r="E497" i="27"/>
  <c r="D497" i="27"/>
  <c r="F571" i="27"/>
  <c r="E571" i="27"/>
  <c r="D571" i="27"/>
  <c r="G571" i="27"/>
  <c r="F279" i="27"/>
  <c r="E279" i="27"/>
  <c r="D279" i="27"/>
  <c r="G279" i="27"/>
  <c r="D386" i="27"/>
  <c r="E386" i="27"/>
  <c r="G386" i="27"/>
  <c r="F386" i="27"/>
  <c r="F485" i="27"/>
  <c r="E485" i="27"/>
  <c r="D485" i="27"/>
  <c r="G485" i="27"/>
  <c r="G294" i="27"/>
  <c r="F294" i="27"/>
  <c r="D294" i="27"/>
  <c r="E294" i="27"/>
  <c r="G161" i="27"/>
  <c r="E161" i="27"/>
  <c r="F161" i="27"/>
  <c r="D161" i="27"/>
  <c r="F273" i="27"/>
  <c r="F402" i="27"/>
  <c r="E402" i="27"/>
  <c r="D402" i="27"/>
  <c r="G402" i="27"/>
  <c r="G129" i="27"/>
  <c r="E129" i="27"/>
  <c r="D129" i="27"/>
  <c r="F129" i="27"/>
  <c r="E537" i="27"/>
  <c r="F230" i="27"/>
  <c r="E230" i="27"/>
  <c r="D230" i="27"/>
  <c r="G230" i="27"/>
  <c r="F118" i="27"/>
  <c r="D118" i="27"/>
  <c r="E118" i="27"/>
  <c r="G118" i="27"/>
  <c r="G356" i="27"/>
  <c r="D356" i="27"/>
  <c r="F356" i="27"/>
  <c r="E356" i="27"/>
  <c r="E248" i="27"/>
  <c r="D248" i="27"/>
  <c r="G248" i="27"/>
  <c r="F248" i="27"/>
  <c r="D508" i="27"/>
  <c r="F508" i="27"/>
  <c r="E508" i="27"/>
  <c r="G508" i="27"/>
  <c r="F414" i="27"/>
  <c r="E414" i="27"/>
  <c r="G414" i="27"/>
  <c r="D414" i="27"/>
  <c r="F597" i="27"/>
  <c r="E597" i="27"/>
  <c r="D597" i="27"/>
  <c r="G597" i="27"/>
  <c r="F555" i="27"/>
  <c r="G555" i="27"/>
  <c r="D555" i="27"/>
  <c r="E555" i="27"/>
  <c r="E198" i="27"/>
  <c r="D111" i="27"/>
  <c r="E111" i="27"/>
  <c r="F111" i="27"/>
  <c r="G111" i="27"/>
  <c r="E145" i="27"/>
  <c r="F145" i="27"/>
  <c r="G145" i="27"/>
  <c r="D145" i="27"/>
  <c r="E181" i="27"/>
  <c r="G181" i="27"/>
  <c r="D181" i="27"/>
  <c r="F181" i="27"/>
  <c r="E323" i="27"/>
  <c r="D323" i="27"/>
  <c r="F323" i="27"/>
  <c r="G323" i="27"/>
  <c r="G398" i="27"/>
  <c r="E398" i="27"/>
  <c r="D398" i="27"/>
  <c r="F398" i="27"/>
  <c r="F503" i="27"/>
  <c r="G503" i="27"/>
  <c r="D503" i="27"/>
  <c r="E503" i="27"/>
  <c r="E239" i="27"/>
  <c r="D239" i="27"/>
  <c r="F239" i="27"/>
  <c r="G239" i="27"/>
  <c r="G179" i="27"/>
  <c r="F179" i="27"/>
  <c r="E179" i="27"/>
  <c r="D179" i="27"/>
  <c r="G487" i="27"/>
  <c r="E487" i="27"/>
  <c r="D487" i="27"/>
  <c r="F487" i="27"/>
  <c r="E432" i="27"/>
  <c r="D432" i="27"/>
  <c r="G432" i="27"/>
  <c r="F432" i="27"/>
  <c r="F483" i="27"/>
  <c r="E483" i="27"/>
  <c r="D483" i="27"/>
  <c r="G483" i="27"/>
  <c r="G419" i="27"/>
  <c r="E419" i="27"/>
  <c r="F419" i="27"/>
  <c r="D419" i="27"/>
  <c r="F470" i="27"/>
  <c r="E470" i="27"/>
  <c r="D470" i="27"/>
  <c r="G470" i="27"/>
  <c r="G272" i="27"/>
  <c r="F272" i="27"/>
  <c r="E272" i="27"/>
  <c r="D272" i="27"/>
  <c r="G284" i="27"/>
  <c r="D284" i="27"/>
  <c r="F284" i="27"/>
  <c r="E284" i="27"/>
  <c r="E549" i="27"/>
  <c r="D549" i="27"/>
  <c r="G549" i="27"/>
  <c r="F549" i="27"/>
  <c r="F524" i="27"/>
  <c r="E524" i="27"/>
  <c r="G524" i="27"/>
  <c r="D524" i="27"/>
  <c r="G527" i="27"/>
  <c r="E527" i="27"/>
  <c r="D527" i="27"/>
  <c r="F527" i="27"/>
  <c r="F590" i="27"/>
  <c r="E590" i="27"/>
  <c r="D590" i="27"/>
  <c r="G590" i="27"/>
  <c r="F415" i="27"/>
  <c r="E415" i="27"/>
  <c r="D415" i="27"/>
  <c r="G415" i="27"/>
  <c r="F603" i="27"/>
  <c r="E603" i="27"/>
  <c r="D603" i="27"/>
  <c r="G603" i="27"/>
  <c r="G134" i="27"/>
  <c r="F134" i="27"/>
  <c r="E134" i="27"/>
  <c r="D134" i="27"/>
  <c r="G496" i="27"/>
  <c r="F496" i="27"/>
  <c r="E496" i="27"/>
  <c r="D496" i="27"/>
  <c r="F532" i="27"/>
  <c r="D532" i="27"/>
  <c r="E532" i="27"/>
  <c r="G532" i="27"/>
  <c r="F246" i="27"/>
  <c r="E246" i="27"/>
  <c r="D246" i="27"/>
  <c r="G246" i="27"/>
  <c r="F237" i="27"/>
  <c r="E237" i="27"/>
  <c r="D237" i="27"/>
  <c r="G237" i="27"/>
  <c r="G562" i="27"/>
  <c r="E562" i="27"/>
  <c r="D562" i="27"/>
  <c r="F562" i="27"/>
  <c r="G526" i="27"/>
  <c r="E526" i="27"/>
  <c r="D526" i="27"/>
  <c r="F526" i="27"/>
  <c r="E172" i="27"/>
  <c r="F172" i="27"/>
  <c r="D172" i="27"/>
  <c r="G172" i="27"/>
  <c r="E540" i="27"/>
  <c r="D540" i="27"/>
  <c r="G540" i="27"/>
  <c r="F540" i="27"/>
  <c r="F425" i="27"/>
  <c r="D425" i="27"/>
  <c r="E425" i="27"/>
  <c r="G425" i="27"/>
  <c r="E568" i="27"/>
  <c r="G568" i="27"/>
  <c r="D568" i="27"/>
  <c r="F568" i="27"/>
  <c r="G552" i="27"/>
  <c r="F552" i="27"/>
  <c r="E552" i="27"/>
  <c r="D552" i="27"/>
  <c r="F523" i="27"/>
  <c r="E523" i="27"/>
  <c r="D523" i="27"/>
  <c r="G523" i="27"/>
  <c r="G576" i="27"/>
  <c r="F576" i="27"/>
  <c r="E576" i="27"/>
  <c r="D576" i="27"/>
  <c r="E177" i="27"/>
  <c r="G177" i="27"/>
  <c r="D177" i="27"/>
  <c r="F177" i="27"/>
  <c r="G271" i="27"/>
  <c r="F271" i="27"/>
  <c r="E271" i="27"/>
  <c r="D271" i="27"/>
  <c r="F462" i="27"/>
  <c r="G462" i="27"/>
  <c r="E462" i="27"/>
  <c r="D462" i="27"/>
  <c r="F170" i="27"/>
  <c r="G170" i="27"/>
  <c r="D170" i="27"/>
  <c r="E170" i="27"/>
  <c r="D112" i="27"/>
  <c r="F112" i="27"/>
  <c r="E112" i="27"/>
  <c r="G112" i="27"/>
  <c r="G105" i="27"/>
  <c r="E105" i="27"/>
  <c r="F105" i="27"/>
  <c r="D105" i="27"/>
  <c r="G342" i="27"/>
  <c r="F342" i="27"/>
  <c r="D342" i="27"/>
  <c r="E342" i="27"/>
  <c r="F107" i="27"/>
  <c r="E107" i="27"/>
  <c r="D107" i="27"/>
  <c r="G107" i="27"/>
  <c r="F308" i="27"/>
  <c r="E308" i="27"/>
  <c r="D308" i="27"/>
  <c r="G308" i="27"/>
  <c r="D472" i="27"/>
  <c r="E472" i="27"/>
  <c r="F472" i="27"/>
  <c r="G472" i="27"/>
  <c r="B391" i="27"/>
  <c r="B501" i="27"/>
  <c r="C353" i="27"/>
  <c r="C579" i="27"/>
  <c r="F175" i="27"/>
  <c r="D175" i="27"/>
  <c r="G175" i="27"/>
  <c r="E175" i="27"/>
  <c r="B389" i="27"/>
  <c r="E225" i="27"/>
  <c r="B470" i="27"/>
  <c r="C341" i="27"/>
  <c r="B471" i="27"/>
  <c r="C326" i="27"/>
  <c r="G86" i="27"/>
  <c r="E86" i="27"/>
  <c r="D86" i="27"/>
  <c r="F86" i="27"/>
  <c r="B302" i="27"/>
  <c r="Q302" i="27" s="1"/>
  <c r="F171" i="27"/>
  <c r="E171" i="27"/>
  <c r="D171" i="27"/>
  <c r="G171" i="27"/>
  <c r="C512" i="27"/>
  <c r="C454" i="27"/>
  <c r="B312" i="27"/>
  <c r="Q312" i="27" s="1"/>
  <c r="C263" i="27"/>
  <c r="B540" i="27"/>
  <c r="B234" i="27"/>
  <c r="Q234" i="27" s="1"/>
  <c r="B307" i="27"/>
  <c r="Q307" i="27" s="1"/>
  <c r="C563" i="27"/>
  <c r="C510" i="27"/>
  <c r="B464" i="27"/>
  <c r="C262" i="27"/>
  <c r="E130" i="27"/>
  <c r="C383" i="27"/>
  <c r="B315" i="27"/>
  <c r="Q315" i="27" s="1"/>
  <c r="B368" i="27"/>
  <c r="Q368" i="27" s="1"/>
  <c r="C588" i="27"/>
  <c r="B169" i="27"/>
  <c r="Q169" i="27" s="1"/>
  <c r="C245" i="27"/>
  <c r="B337" i="27"/>
  <c r="Q337" i="27" s="1"/>
  <c r="E388" i="27"/>
  <c r="F388" i="27"/>
  <c r="D388" i="27"/>
  <c r="G388" i="27"/>
  <c r="F553" i="27"/>
  <c r="E553" i="27"/>
  <c r="D553" i="27"/>
  <c r="G553" i="27"/>
  <c r="F306" i="27"/>
  <c r="D306" i="27"/>
  <c r="G306" i="27"/>
  <c r="E306" i="27"/>
  <c r="F468" i="27"/>
  <c r="E468" i="27"/>
  <c r="G468" i="27"/>
  <c r="D468" i="27"/>
  <c r="E397" i="27"/>
  <c r="G397" i="27"/>
  <c r="D397" i="27"/>
  <c r="F397" i="27"/>
  <c r="D423" i="27"/>
  <c r="F423" i="27"/>
  <c r="G423" i="27"/>
  <c r="E423" i="27"/>
  <c r="E131" i="27"/>
  <c r="D131" i="27"/>
  <c r="F131" i="27"/>
  <c r="G131" i="27"/>
  <c r="F506" i="27"/>
  <c r="E506" i="27"/>
  <c r="D506" i="27"/>
  <c r="G506" i="27"/>
  <c r="E613" i="27"/>
  <c r="D613" i="27"/>
  <c r="G613" i="27"/>
  <c r="F613" i="27"/>
  <c r="F110" i="27"/>
  <c r="E110" i="27"/>
  <c r="D110" i="27"/>
  <c r="G110" i="27"/>
  <c r="F547" i="27"/>
  <c r="E547" i="27"/>
  <c r="D547" i="27"/>
  <c r="G547" i="27"/>
  <c r="G194" i="27"/>
  <c r="E194" i="27"/>
  <c r="D194" i="27"/>
  <c r="F194" i="27"/>
  <c r="F203" i="27"/>
  <c r="D203" i="27"/>
  <c r="E203" i="27"/>
  <c r="G203" i="27"/>
  <c r="F305" i="27"/>
  <c r="D305" i="27"/>
  <c r="G305" i="27"/>
  <c r="E305" i="27"/>
  <c r="G382" i="27"/>
  <c r="F382" i="27"/>
  <c r="E382" i="27"/>
  <c r="D382" i="27"/>
  <c r="F455" i="27"/>
  <c r="E455" i="27"/>
  <c r="D455" i="27"/>
  <c r="G455" i="27"/>
  <c r="E265" i="27"/>
  <c r="G265" i="27"/>
  <c r="F265" i="27"/>
  <c r="D265" i="27"/>
  <c r="G329" i="27"/>
  <c r="F329" i="27"/>
  <c r="D329" i="27"/>
  <c r="E329" i="27"/>
  <c r="F247" i="27"/>
  <c r="E247" i="27"/>
  <c r="D247" i="27"/>
  <c r="G247" i="27"/>
  <c r="E313" i="27"/>
  <c r="F313" i="27"/>
  <c r="D313" i="27"/>
  <c r="G313" i="27"/>
  <c r="G475" i="27"/>
  <c r="E475" i="27"/>
  <c r="D475" i="27"/>
  <c r="F475" i="27"/>
  <c r="F428" i="27"/>
  <c r="E428" i="27"/>
  <c r="D428" i="27"/>
  <c r="G428" i="27"/>
  <c r="E297" i="27"/>
  <c r="F297" i="27"/>
  <c r="G297" i="27"/>
  <c r="D297" i="27"/>
  <c r="F387" i="27"/>
  <c r="E387" i="27"/>
  <c r="D387" i="27"/>
  <c r="G387" i="27"/>
  <c r="F332" i="27"/>
  <c r="D332" i="27"/>
  <c r="G332" i="27"/>
  <c r="E332" i="27"/>
  <c r="G544" i="27"/>
  <c r="F544" i="27"/>
  <c r="E544" i="27"/>
  <c r="D544" i="27"/>
  <c r="G346" i="27"/>
  <c r="E346" i="27"/>
  <c r="D346" i="27"/>
  <c r="F346" i="27"/>
  <c r="E257" i="27"/>
  <c r="F257" i="27"/>
  <c r="D257" i="27"/>
  <c r="G257" i="27"/>
  <c r="F500" i="27"/>
  <c r="G500" i="27"/>
  <c r="D500" i="27"/>
  <c r="E500" i="27"/>
  <c r="G330" i="27"/>
  <c r="F330" i="27"/>
  <c r="E330" i="27"/>
  <c r="D330" i="27"/>
  <c r="E369" i="27"/>
  <c r="F369" i="27"/>
  <c r="G369" i="27"/>
  <c r="D369" i="27"/>
  <c r="F596" i="27"/>
  <c r="E596" i="27"/>
  <c r="D596" i="27"/>
  <c r="G596" i="27"/>
  <c r="G499" i="27"/>
  <c r="E499" i="27"/>
  <c r="F499" i="27"/>
  <c r="D499" i="27"/>
  <c r="F344" i="27"/>
  <c r="E344" i="27"/>
  <c r="D344" i="27"/>
  <c r="G344" i="27"/>
  <c r="F438" i="27"/>
  <c r="F270" i="27"/>
  <c r="E270" i="27"/>
  <c r="D270" i="27"/>
  <c r="G270" i="27"/>
  <c r="D434" i="27"/>
  <c r="F604" i="27"/>
  <c r="D604" i="27"/>
  <c r="G604" i="27"/>
  <c r="E197" i="27"/>
  <c r="G197" i="27"/>
  <c r="D197" i="27"/>
  <c r="F197" i="27"/>
  <c r="G350" i="27"/>
  <c r="F350" i="27"/>
  <c r="D350" i="27"/>
  <c r="D452" i="27"/>
  <c r="F452" i="27"/>
  <c r="B474" i="27"/>
  <c r="C333" i="27"/>
  <c r="B552" i="27"/>
  <c r="C446" i="27"/>
  <c r="B485" i="27"/>
  <c r="C516" i="27"/>
  <c r="C296" i="27"/>
  <c r="B417" i="27"/>
  <c r="B472" i="27"/>
  <c r="C577" i="27"/>
  <c r="C401" i="27"/>
  <c r="G192" i="27"/>
  <c r="E192" i="27"/>
  <c r="D192" i="27"/>
  <c r="F192" i="27"/>
  <c r="C348" i="27"/>
  <c r="B456" i="27"/>
  <c r="F147" i="27"/>
  <c r="E147" i="27"/>
  <c r="D147" i="27"/>
  <c r="G147" i="27"/>
  <c r="B438" i="27"/>
  <c r="B407" i="27"/>
  <c r="B562" i="27"/>
  <c r="C282" i="27"/>
  <c r="C340" i="27"/>
  <c r="F149" i="27"/>
  <c r="E149" i="27"/>
  <c r="D149" i="27"/>
  <c r="G149" i="27"/>
  <c r="B349" i="27"/>
  <c r="Q349" i="27" s="1"/>
  <c r="B252" i="27"/>
  <c r="Q252" i="27" s="1"/>
  <c r="C267" i="27"/>
  <c r="B530" i="27"/>
  <c r="B277" i="27"/>
  <c r="Q277" i="27" s="1"/>
  <c r="G97" i="27"/>
  <c r="F97" i="27"/>
  <c r="D97" i="27"/>
  <c r="E97" i="27"/>
  <c r="C421" i="27"/>
  <c r="B191" i="27"/>
  <c r="Q191" i="27" s="1"/>
  <c r="C289" i="27"/>
  <c r="C558" i="27"/>
  <c r="B186" i="27"/>
  <c r="Q186" i="27" s="1"/>
  <c r="C367" i="27"/>
  <c r="C345" i="27"/>
  <c r="C278" i="27"/>
  <c r="C229" i="27"/>
  <c r="B607" i="27"/>
  <c r="B425" i="27"/>
  <c r="B424" i="27"/>
  <c r="C615" i="27"/>
  <c r="C300" i="27"/>
  <c r="B545" i="27"/>
  <c r="B310" i="27"/>
  <c r="Q310" i="27" s="1"/>
  <c r="B582" i="27"/>
  <c r="B592" i="27"/>
  <c r="C449" i="27"/>
  <c r="C355" i="27"/>
  <c r="C593" i="27"/>
  <c r="C182" i="27"/>
  <c r="C385" i="27"/>
  <c r="B404" i="27"/>
  <c r="C287" i="27"/>
  <c r="B453" i="27"/>
  <c r="C602" i="27"/>
  <c r="C352" i="27"/>
  <c r="C418" i="27"/>
  <c r="C380" i="27"/>
  <c r="C143" i="27"/>
  <c r="B233" i="27"/>
  <c r="Q233" i="27" s="1"/>
  <c r="B480" i="27"/>
  <c r="B597" i="27"/>
  <c r="B131" i="27"/>
  <c r="Q131" i="27" s="1"/>
  <c r="B510" i="27"/>
  <c r="C392" i="27"/>
  <c r="B111" i="27"/>
  <c r="Q111" i="27" s="1"/>
  <c r="G185" i="27"/>
  <c r="F185" i="27"/>
  <c r="D185" i="27"/>
  <c r="E185" i="27"/>
  <c r="G584" i="27"/>
  <c r="D584" i="27"/>
  <c r="E584" i="27"/>
  <c r="F584" i="27"/>
  <c r="G416" i="27"/>
  <c r="E416" i="27"/>
  <c r="D416" i="27"/>
  <c r="F416" i="27"/>
  <c r="F607" i="27"/>
  <c r="E607" i="27"/>
  <c r="D607" i="27"/>
  <c r="G607" i="27"/>
  <c r="G276" i="27"/>
  <c r="E276" i="27"/>
  <c r="F276" i="27"/>
  <c r="D276" i="27"/>
  <c r="F317" i="27"/>
  <c r="E317" i="27"/>
  <c r="G317" i="27"/>
  <c r="D317" i="27"/>
  <c r="E165" i="27"/>
  <c r="D165" i="27"/>
  <c r="G165" i="27"/>
  <c r="F165" i="27"/>
  <c r="G410" i="27"/>
  <c r="F410" i="27"/>
  <c r="D410" i="27"/>
  <c r="E410" i="27"/>
  <c r="E298" i="27"/>
  <c r="F298" i="27"/>
  <c r="D298" i="27"/>
  <c r="G298" i="27"/>
  <c r="D494" i="27"/>
  <c r="G494" i="27"/>
  <c r="F494" i="27"/>
  <c r="E494" i="27"/>
  <c r="E429" i="27"/>
  <c r="D429" i="27"/>
  <c r="G429" i="27"/>
  <c r="F429" i="27"/>
  <c r="F206" i="27"/>
  <c r="E206" i="27"/>
  <c r="D206" i="27"/>
  <c r="G206" i="27"/>
  <c r="G196" i="27"/>
  <c r="F196" i="27"/>
  <c r="D196" i="27"/>
  <c r="E196" i="27"/>
  <c r="F321" i="27"/>
  <c r="G321" i="27"/>
  <c r="D321" i="27"/>
  <c r="E321" i="27"/>
  <c r="E249" i="27"/>
  <c r="F249" i="27"/>
  <c r="D249" i="27"/>
  <c r="G249" i="27"/>
  <c r="G440" i="27"/>
  <c r="F440" i="27"/>
  <c r="E440" i="27"/>
  <c r="D440" i="27"/>
  <c r="E417" i="27"/>
  <c r="D417" i="27"/>
  <c r="F417" i="27"/>
  <c r="G417" i="27"/>
  <c r="F505" i="27"/>
  <c r="E505" i="27"/>
  <c r="D505" i="27"/>
  <c r="D546" i="27"/>
  <c r="E546" i="27"/>
  <c r="F546" i="27"/>
  <c r="D456" i="27"/>
  <c r="E286" i="27"/>
  <c r="D286" i="27"/>
  <c r="G286" i="27"/>
  <c r="F269" i="27"/>
  <c r="G155" i="27"/>
  <c r="D155" i="27"/>
  <c r="F155" i="27"/>
  <c r="E155" i="27"/>
  <c r="F347" i="27"/>
  <c r="D347" i="27"/>
  <c r="E347" i="27"/>
  <c r="G347" i="27"/>
  <c r="E426" i="27"/>
  <c r="D426" i="27"/>
  <c r="G426" i="27"/>
  <c r="F426" i="27"/>
  <c r="G575" i="27"/>
  <c r="F575" i="27"/>
  <c r="E575" i="27"/>
  <c r="D575" i="27"/>
  <c r="G554" i="27"/>
  <c r="G404" i="27"/>
  <c r="E404" i="27"/>
  <c r="F404" i="27"/>
  <c r="F515" i="27"/>
  <c r="E515" i="27"/>
  <c r="D515" i="27"/>
  <c r="G515" i="27"/>
  <c r="G465" i="27"/>
  <c r="D465" i="27"/>
  <c r="E465" i="27"/>
  <c r="G201" i="27"/>
  <c r="F201" i="27"/>
  <c r="D201" i="27"/>
  <c r="E201" i="27"/>
  <c r="F180" i="27"/>
  <c r="E180" i="27"/>
  <c r="D180" i="27"/>
  <c r="G180" i="27"/>
  <c r="G583" i="27"/>
  <c r="E583" i="27"/>
  <c r="D583" i="27"/>
  <c r="F583" i="27"/>
  <c r="E226" i="27"/>
  <c r="D226" i="27"/>
  <c r="G226" i="27"/>
  <c r="F226" i="27"/>
  <c r="E394" i="27"/>
  <c r="D394" i="27"/>
  <c r="F394" i="27"/>
  <c r="G394" i="27"/>
  <c r="F227" i="27"/>
  <c r="E227" i="27"/>
  <c r="D227" i="27"/>
  <c r="G227" i="27"/>
  <c r="F451" i="27"/>
  <c r="E451" i="27"/>
  <c r="D451" i="27"/>
  <c r="G451" i="27"/>
  <c r="F408" i="27"/>
  <c r="D408" i="27"/>
  <c r="E408" i="27"/>
  <c r="G408" i="27"/>
  <c r="D104" i="27"/>
  <c r="E104" i="27"/>
  <c r="G104" i="27"/>
  <c r="F104" i="27"/>
  <c r="G430" i="27"/>
  <c r="E339" i="27"/>
  <c r="E557" i="27"/>
  <c r="F550" i="27"/>
  <c r="E550" i="27"/>
  <c r="G550" i="27"/>
  <c r="D550" i="27"/>
  <c r="G450" i="27"/>
  <c r="D450" i="27"/>
  <c r="E450" i="27"/>
  <c r="F450" i="27"/>
  <c r="F243" i="27"/>
  <c r="D243" i="27"/>
  <c r="E243" i="27"/>
  <c r="G243" i="27"/>
  <c r="F212" i="27"/>
  <c r="F569" i="27"/>
  <c r="E569" i="27"/>
  <c r="D569" i="27"/>
  <c r="G569" i="27"/>
  <c r="F519" i="27"/>
  <c r="G482" i="27"/>
  <c r="G214" i="27"/>
  <c r="G219" i="27"/>
  <c r="F219" i="27"/>
  <c r="D219" i="27"/>
  <c r="E219" i="27"/>
  <c r="F148" i="27"/>
  <c r="D148" i="27"/>
  <c r="F529" i="27"/>
  <c r="D529" i="27"/>
  <c r="E529" i="27"/>
  <c r="G529" i="27"/>
  <c r="F222" i="27"/>
  <c r="G222" i="27"/>
  <c r="D222" i="27"/>
  <c r="E222" i="27"/>
  <c r="G361" i="27"/>
  <c r="E361" i="27"/>
  <c r="G479" i="27"/>
  <c r="F479" i="27"/>
  <c r="E479" i="27"/>
  <c r="D479" i="27"/>
  <c r="C436" i="27"/>
  <c r="B57" i="27"/>
  <c r="Q57" i="27" s="1"/>
  <c r="B180" i="27"/>
  <c r="Q180" i="27" s="1"/>
  <c r="B335" i="27"/>
  <c r="Q335" i="27" s="1"/>
  <c r="C592" i="27"/>
  <c r="B509" i="27"/>
  <c r="B450" i="27"/>
  <c r="C95" i="27"/>
  <c r="B295" i="27"/>
  <c r="Q295" i="27" s="1"/>
  <c r="B543" i="27"/>
  <c r="C453" i="27"/>
  <c r="C467" i="27"/>
  <c r="B362" i="27"/>
  <c r="Q362" i="27" s="1"/>
  <c r="B386" i="27"/>
  <c r="B526" i="27"/>
  <c r="B505" i="27"/>
  <c r="B112" i="27"/>
  <c r="Q112" i="27" s="1"/>
  <c r="B250" i="27"/>
  <c r="Q250" i="27" s="1"/>
  <c r="B317" i="27"/>
  <c r="Q317" i="27" s="1"/>
  <c r="B588" i="27"/>
  <c r="C153" i="27"/>
  <c r="C565" i="27"/>
  <c r="B431" i="27"/>
  <c r="B144" i="27"/>
  <c r="Q144" i="27" s="1"/>
  <c r="C530" i="27"/>
  <c r="C244" i="27"/>
  <c r="C228" i="27"/>
  <c r="C208" i="27"/>
  <c r="C435" i="27"/>
  <c r="B343" i="27"/>
  <c r="Q343" i="27" s="1"/>
  <c r="C195" i="27"/>
  <c r="C578" i="27"/>
  <c r="B282" i="27"/>
  <c r="Q282" i="27" s="1"/>
  <c r="B230" i="27"/>
  <c r="Q230" i="27" s="1"/>
  <c r="B95" i="27"/>
  <c r="Q95" i="27" s="1"/>
  <c r="C535" i="27"/>
  <c r="C359" i="27"/>
  <c r="B222" i="27"/>
  <c r="Q222" i="27" s="1"/>
  <c r="B514" i="27"/>
  <c r="B345" i="27"/>
  <c r="Q345" i="27" s="1"/>
  <c r="B513" i="27"/>
  <c r="B409" i="27"/>
  <c r="B596" i="27"/>
  <c r="C343" i="27"/>
  <c r="B576" i="27"/>
  <c r="B168" i="27"/>
  <c r="Q168" i="27" s="1"/>
  <c r="C200" i="27"/>
  <c r="B567" i="27"/>
  <c r="C163" i="27"/>
  <c r="B460" i="27"/>
  <c r="C141" i="27"/>
  <c r="B130" i="27"/>
  <c r="Q130" i="27" s="1"/>
  <c r="C102" i="27"/>
  <c r="B223" i="27"/>
  <c r="Q223" i="27" s="1"/>
  <c r="B147" i="27"/>
  <c r="Q147" i="27" s="1"/>
  <c r="C255" i="27"/>
  <c r="C108" i="27"/>
  <c r="C518" i="27"/>
  <c r="C96" i="27"/>
  <c r="C431" i="27"/>
  <c r="C115" i="27"/>
  <c r="B260" i="27"/>
  <c r="Q260" i="27" s="1"/>
  <c r="C70" i="27"/>
  <c r="C448" i="27"/>
  <c r="C234" i="27"/>
  <c r="B206" i="27"/>
  <c r="Q206" i="27" s="1"/>
  <c r="C301" i="27"/>
  <c r="C169" i="27"/>
  <c r="B82" i="27"/>
  <c r="Q82" i="27" s="1"/>
  <c r="C581" i="27"/>
  <c r="C122" i="27"/>
  <c r="B187" i="27"/>
  <c r="Q187" i="27" s="1"/>
  <c r="B262" i="27"/>
  <c r="Q262" i="27" s="1"/>
  <c r="B247" i="27"/>
  <c r="Q247" i="27" s="1"/>
  <c r="B581" i="27"/>
  <c r="C601" i="27"/>
  <c r="B406" i="27"/>
  <c r="B192" i="27"/>
  <c r="Q192" i="27" s="1"/>
  <c r="B156" i="27"/>
  <c r="Q156" i="27" s="1"/>
  <c r="C146" i="27"/>
  <c r="C144" i="27"/>
  <c r="B93" i="27"/>
  <c r="Q93" i="27" s="1"/>
  <c r="B449" i="27"/>
  <c r="B166" i="27"/>
  <c r="Q166" i="27" s="1"/>
  <c r="B203" i="27"/>
  <c r="Q203" i="27" s="1"/>
  <c r="B159" i="27"/>
  <c r="Q159" i="27" s="1"/>
  <c r="B102" i="27"/>
  <c r="Q102" i="27" s="1"/>
  <c r="B109" i="27"/>
  <c r="Q109" i="27" s="1"/>
  <c r="C216" i="27"/>
  <c r="C210" i="27"/>
  <c r="C125" i="27"/>
  <c r="B553" i="27"/>
  <c r="C422" i="27"/>
  <c r="C133" i="27"/>
  <c r="B344" i="27"/>
  <c r="Q344" i="27" s="1"/>
  <c r="B197" i="27"/>
  <c r="Q197" i="27" s="1"/>
  <c r="B352" i="27"/>
  <c r="Q352" i="27" s="1"/>
  <c r="C605" i="27"/>
  <c r="B267" i="27"/>
  <c r="Q267" i="27" s="1"/>
  <c r="B135" i="27"/>
  <c r="Q135" i="27" s="1"/>
  <c r="B600" i="27"/>
  <c r="B369" i="27"/>
  <c r="B341" i="27"/>
  <c r="Q341" i="27" s="1"/>
  <c r="B118" i="27"/>
  <c r="Q118" i="27" s="1"/>
  <c r="C492" i="27"/>
  <c r="C466" i="27"/>
  <c r="B270" i="27"/>
  <c r="Q270" i="27" s="1"/>
  <c r="C173" i="27"/>
  <c r="B473" i="27"/>
  <c r="B604" i="27"/>
  <c r="B401" i="27"/>
  <c r="B204" i="27"/>
  <c r="Q204" i="27" s="1"/>
  <c r="C619" i="27"/>
  <c r="C318" i="27"/>
  <c r="B90" i="27"/>
  <c r="Q90" i="27" s="1"/>
  <c r="C221" i="27"/>
  <c r="C74" i="27"/>
  <c r="B408" i="27"/>
  <c r="C113" i="27"/>
  <c r="B418" i="27"/>
  <c r="C315" i="27"/>
  <c r="C290" i="27"/>
  <c r="B381" i="27"/>
  <c r="B605" i="27"/>
  <c r="C504" i="27"/>
  <c r="C238" i="27"/>
  <c r="C240" i="27"/>
  <c r="B502" i="27"/>
  <c r="B200" i="27"/>
  <c r="Q200" i="27" s="1"/>
  <c r="C168" i="27"/>
  <c r="C154" i="27"/>
  <c r="C406" i="27"/>
  <c r="B342" i="27"/>
  <c r="Q342" i="27" s="1"/>
  <c r="B491" i="27"/>
  <c r="B385" i="27"/>
  <c r="B446" i="27"/>
  <c r="B537" i="27"/>
  <c r="B436" i="27"/>
  <c r="C507" i="27"/>
  <c r="C491" i="27"/>
  <c r="B535" i="27"/>
  <c r="B139" i="27"/>
  <c r="Q139" i="27" s="1"/>
  <c r="C399" i="27"/>
  <c r="B483" i="27"/>
  <c r="C358" i="27"/>
  <c r="C75" i="27"/>
  <c r="C331" i="27"/>
  <c r="C266" i="27"/>
  <c r="B542" i="27"/>
  <c r="B88" i="27"/>
  <c r="Q88" i="27" s="1"/>
  <c r="C137" i="27"/>
  <c r="B81" i="27"/>
  <c r="Q81" i="27" s="1"/>
  <c r="C202" i="27"/>
  <c r="B238" i="27"/>
  <c r="Q238" i="27" s="1"/>
  <c r="B486" i="27"/>
  <c r="B67" i="27"/>
  <c r="Q67" i="27" s="1"/>
  <c r="C437" i="27"/>
  <c r="C213" i="27"/>
  <c r="B274" i="27"/>
  <c r="Q274" i="27" s="1"/>
  <c r="C235" i="27"/>
  <c r="B201" i="27"/>
  <c r="Q201" i="27" s="1"/>
  <c r="B347" i="27"/>
  <c r="Q347" i="27" s="1"/>
  <c r="B65" i="27"/>
  <c r="Q65" i="27" s="1"/>
  <c r="C88" i="27"/>
  <c r="C253" i="27"/>
  <c r="B155" i="27"/>
  <c r="Q155" i="27" s="1"/>
  <c r="B167" i="27"/>
  <c r="Q167" i="27" s="1"/>
  <c r="C126" i="27"/>
  <c r="B311" i="27"/>
  <c r="Q311" i="27" s="1"/>
  <c r="C121" i="27"/>
  <c r="C135" i="27"/>
  <c r="C320" i="27"/>
  <c r="B196" i="27"/>
  <c r="Q196" i="27" s="1"/>
  <c r="C138" i="27"/>
  <c r="B141" i="27"/>
  <c r="Q141" i="27" s="1"/>
  <c r="C77" i="27"/>
  <c r="B163" i="27"/>
  <c r="Q163" i="27" s="1"/>
  <c r="B122" i="27"/>
  <c r="Q122" i="27" s="1"/>
  <c r="B231" i="27"/>
  <c r="Q231" i="27" s="1"/>
  <c r="C541" i="27"/>
  <c r="B170" i="27"/>
  <c r="Q170" i="27" s="1"/>
  <c r="B428" i="27"/>
  <c r="B89" i="27"/>
  <c r="Q89" i="27" s="1"/>
  <c r="C616" i="27"/>
  <c r="B511" i="27"/>
  <c r="C85" i="27"/>
  <c r="B606" i="27"/>
  <c r="B243" i="27"/>
  <c r="Q243" i="27" s="1"/>
  <c r="B188" i="27"/>
  <c r="Q188" i="27" s="1"/>
  <c r="B451" i="27"/>
  <c r="C256" i="27"/>
  <c r="C442" i="27"/>
  <c r="B291" i="27"/>
  <c r="Q291" i="27" s="1"/>
  <c r="B164" i="27"/>
  <c r="Q164" i="27" s="1"/>
  <c r="B340" i="27"/>
  <c r="Q340" i="27" s="1"/>
  <c r="C486" i="27"/>
  <c r="B363" i="27"/>
  <c r="Q363" i="27" s="1"/>
  <c r="C236" i="27"/>
  <c r="B114" i="27"/>
  <c r="Q114" i="27" s="1"/>
  <c r="C589" i="27"/>
  <c r="C548" i="27"/>
  <c r="C582" i="27"/>
  <c r="C610" i="27"/>
  <c r="C89" i="27"/>
  <c r="B226" i="27"/>
  <c r="Q226" i="27" s="1"/>
  <c r="C534" i="27"/>
  <c r="B154" i="27"/>
  <c r="Q154" i="27" s="1"/>
  <c r="C92" i="27"/>
  <c r="C441" i="27"/>
  <c r="B189" i="27"/>
  <c r="Q189" i="27" s="1"/>
  <c r="C469" i="27"/>
  <c r="C393" i="27"/>
  <c r="B293" i="27"/>
  <c r="Q293" i="27" s="1"/>
  <c r="B212" i="27"/>
  <c r="Q212" i="27" s="1"/>
  <c r="B116" i="27"/>
  <c r="Q116" i="27" s="1"/>
  <c r="B595" i="27"/>
  <c r="C288" i="27"/>
  <c r="B329" i="27"/>
  <c r="Q329" i="27" s="1"/>
  <c r="B601" i="27"/>
  <c r="C362" i="27"/>
  <c r="C280" i="27"/>
  <c r="B500" i="27"/>
  <c r="C84" i="27"/>
  <c r="C124" i="27"/>
  <c r="C536" i="27"/>
  <c r="C354" i="27"/>
  <c r="C91" i="27"/>
  <c r="C218" i="27"/>
  <c r="C98" i="27"/>
  <c r="B162" i="27"/>
  <c r="Q162" i="27" s="1"/>
  <c r="B77" i="27"/>
  <c r="Q77" i="27" s="1"/>
  <c r="C199" i="27"/>
  <c r="B579" i="27"/>
  <c r="C281" i="27"/>
  <c r="B488" i="27"/>
  <c r="B71" i="27"/>
  <c r="Q71" i="27" s="1"/>
  <c r="C413" i="27"/>
  <c r="B146" i="27"/>
  <c r="Q146" i="27" s="1"/>
  <c r="C140" i="27"/>
  <c r="B94" i="27"/>
  <c r="Q94" i="27" s="1"/>
  <c r="B220" i="27"/>
  <c r="Q220" i="27" s="1"/>
  <c r="B127" i="27"/>
  <c r="Q127" i="27" s="1"/>
  <c r="C391" i="27"/>
  <c r="C292" i="27"/>
  <c r="B76" i="27"/>
  <c r="Q76" i="27" s="1"/>
  <c r="B336" i="27"/>
  <c r="Q336" i="27" s="1"/>
  <c r="B574" i="27"/>
  <c r="C495" i="27"/>
  <c r="B137" i="27"/>
  <c r="Q137" i="27" s="1"/>
  <c r="B297" i="27"/>
  <c r="Q297" i="27" s="1"/>
  <c r="C231" i="27"/>
  <c r="C65" i="27"/>
  <c r="C600" i="27"/>
  <c r="C312" i="27"/>
  <c r="B273" i="27"/>
  <c r="Q273" i="27" s="1"/>
  <c r="B287" i="27"/>
  <c r="Q287" i="27" s="1"/>
  <c r="C116" i="27"/>
  <c r="C384" i="27"/>
  <c r="C337" i="27"/>
  <c r="C407" i="27"/>
  <c r="C514" i="27"/>
  <c r="C381" i="27"/>
  <c r="B210" i="27"/>
  <c r="Q210" i="27" s="1"/>
  <c r="C591" i="27"/>
  <c r="C559" i="27"/>
  <c r="C522" i="27"/>
  <c r="B455" i="27"/>
  <c r="C561" i="27"/>
  <c r="B148" i="27"/>
  <c r="Q148" i="27" s="1"/>
  <c r="C274" i="27"/>
  <c r="B199" i="27"/>
  <c r="Q199" i="27" s="1"/>
  <c r="C132" i="27"/>
  <c r="C513" i="27"/>
  <c r="B298" i="27"/>
  <c r="Q298" i="27" s="1"/>
  <c r="C293" i="27"/>
  <c r="C250" i="27"/>
  <c r="C471" i="27"/>
  <c r="C357" i="27"/>
  <c r="B583" i="27"/>
  <c r="C204" i="27"/>
  <c r="C533" i="27"/>
  <c r="B390" i="27"/>
  <c r="C232" i="27"/>
  <c r="C123" i="27"/>
  <c r="B521" i="27"/>
  <c r="B555" i="27"/>
  <c r="B531" i="27"/>
  <c r="C139" i="27"/>
  <c r="B586" i="27"/>
  <c r="B271" i="27"/>
  <c r="Q271" i="27" s="1"/>
  <c r="C142" i="27"/>
  <c r="B457" i="27"/>
  <c r="C477" i="27"/>
  <c r="B87" i="27"/>
  <c r="Q87" i="27" s="1"/>
  <c r="B286" i="27"/>
  <c r="Q286" i="27" s="1"/>
  <c r="B292" i="27"/>
  <c r="Q292" i="27" s="1"/>
  <c r="C509" i="27"/>
  <c r="C150" i="27"/>
  <c r="C368" i="27"/>
  <c r="B324" i="27"/>
  <c r="Q324" i="27" s="1"/>
  <c r="B264" i="27"/>
  <c r="Q264" i="27" s="1"/>
  <c r="B573" i="27"/>
  <c r="B527" i="27"/>
  <c r="B613" i="27"/>
  <c r="C461" i="27"/>
  <c r="B108" i="27"/>
  <c r="Q108" i="27" s="1"/>
  <c r="B421" i="27"/>
  <c r="B129" i="27"/>
  <c r="Q129" i="27" s="1"/>
  <c r="B254" i="27"/>
  <c r="Q254" i="27" s="1"/>
  <c r="C542" i="27"/>
  <c r="C260" i="27"/>
  <c r="C433" i="27"/>
  <c r="C439" i="27"/>
  <c r="B214" i="27"/>
  <c r="Q214" i="27" s="1"/>
  <c r="B288" i="27"/>
  <c r="Q288" i="27" s="1"/>
  <c r="B98" i="27"/>
  <c r="Q98" i="27" s="1"/>
  <c r="B426" i="27"/>
  <c r="C94" i="27"/>
  <c r="B490" i="27"/>
  <c r="C178" i="27"/>
  <c r="C233" i="27"/>
  <c r="B412" i="27"/>
  <c r="C285" i="27"/>
  <c r="B585" i="27"/>
  <c r="B384" i="27"/>
  <c r="B110" i="27"/>
  <c r="Q110" i="27" s="1"/>
  <c r="C128" i="27"/>
  <c r="C162" i="27"/>
  <c r="B584" i="27"/>
  <c r="B507" i="27"/>
  <c r="B309" i="27"/>
  <c r="Q309" i="27" s="1"/>
  <c r="B478" i="27"/>
  <c r="B239" i="27"/>
  <c r="Q239" i="27" s="1"/>
  <c r="B538" i="27"/>
  <c r="B173" i="27"/>
  <c r="Q173" i="27" s="1"/>
  <c r="B536" i="27"/>
  <c r="C220" i="27"/>
  <c r="C327" i="27"/>
  <c r="C120" i="27"/>
  <c r="C193" i="27"/>
  <c r="C159" i="27"/>
  <c r="B559" i="27"/>
  <c r="C464" i="27"/>
  <c r="C205" i="27"/>
  <c r="B589" i="27"/>
  <c r="C68" i="27"/>
  <c r="B78" i="27"/>
  <c r="Q78" i="27" s="1"/>
  <c r="B157" i="27"/>
  <c r="Q157" i="27" s="1"/>
  <c r="C409" i="27"/>
  <c r="C174" i="27"/>
  <c r="B278" i="27"/>
  <c r="Q278" i="27" s="1"/>
  <c r="C81" i="27"/>
  <c r="B290" i="27"/>
  <c r="Q290" i="27" s="1"/>
  <c r="B70" i="27"/>
  <c r="Q70" i="27" s="1"/>
  <c r="C390" i="27"/>
  <c r="C275" i="27"/>
  <c r="C295" i="27"/>
  <c r="C611" i="27"/>
  <c r="C395" i="27"/>
  <c r="C573" i="27"/>
  <c r="C69" i="27"/>
  <c r="C157" i="27"/>
  <c r="B303" i="27"/>
  <c r="Q303" i="27" s="1"/>
  <c r="B338" i="27"/>
  <c r="Q338" i="27" s="1"/>
  <c r="C76" i="27"/>
  <c r="C528" i="27"/>
  <c r="B213" i="27"/>
  <c r="Q213" i="27" s="1"/>
  <c r="B158" i="27"/>
  <c r="Q158" i="27" s="1"/>
  <c r="B517" i="27"/>
  <c r="C224" i="27"/>
  <c r="C160" i="27"/>
  <c r="B477" i="27"/>
  <c r="B516" i="27"/>
  <c r="C207" i="27"/>
  <c r="B569" i="27"/>
  <c r="B444" i="27"/>
  <c r="C189" i="27"/>
  <c r="B194" i="27"/>
  <c r="Q194" i="27" s="1"/>
  <c r="B133" i="27"/>
  <c r="Q133" i="27" s="1"/>
  <c r="C72" i="27"/>
  <c r="C78" i="27"/>
  <c r="B75" i="27"/>
  <c r="Q75" i="27" s="1"/>
  <c r="B80" i="27"/>
  <c r="Q80" i="27" s="1"/>
  <c r="B99" i="27"/>
  <c r="Q99" i="27" s="1"/>
  <c r="B86" i="27"/>
  <c r="Q86" i="27" s="1"/>
  <c r="C264" i="27"/>
  <c r="C73" i="27"/>
  <c r="C251" i="27"/>
  <c r="B153" i="27"/>
  <c r="Q153" i="27" s="1"/>
  <c r="C66" i="27"/>
  <c r="B532" i="27"/>
  <c r="B388" i="27"/>
  <c r="C83" i="27"/>
  <c r="B101" i="27"/>
  <c r="Q101" i="27" s="1"/>
  <c r="B602" i="27"/>
  <c r="C114" i="27"/>
  <c r="C100" i="27"/>
  <c r="C71" i="27"/>
  <c r="B244" i="27"/>
  <c r="Q244" i="27" s="1"/>
  <c r="C80" i="27"/>
  <c r="B432" i="27"/>
  <c r="C551" i="27"/>
  <c r="B253" i="27"/>
  <c r="Q253" i="27" s="1"/>
  <c r="B105" i="27"/>
  <c r="Q105" i="27" s="1"/>
  <c r="C502" i="27"/>
  <c r="C403" i="27"/>
  <c r="B79" i="27"/>
  <c r="Q79" i="27" s="1"/>
  <c r="B123" i="27"/>
  <c r="Q123" i="27" s="1"/>
  <c r="C443" i="27"/>
  <c r="B171" i="27"/>
  <c r="Q171" i="27" s="1"/>
  <c r="C328" i="27"/>
  <c r="C156" i="27"/>
  <c r="B599" i="27"/>
  <c r="C322" i="27"/>
  <c r="C79" i="27"/>
  <c r="C241" i="27"/>
  <c r="B235" i="27"/>
  <c r="Q235" i="27" s="1"/>
  <c r="B494" i="27"/>
  <c r="C259" i="27"/>
  <c r="C136" i="27"/>
  <c r="B185" i="27"/>
  <c r="Q185" i="27" s="1"/>
  <c r="B398" i="27"/>
  <c r="C311" i="27"/>
  <c r="B138" i="27"/>
  <c r="Q138" i="27" s="1"/>
  <c r="B119" i="27"/>
  <c r="Q119" i="27" s="1"/>
  <c r="B150" i="27"/>
  <c r="Q150" i="27" s="1"/>
  <c r="B325" i="27"/>
  <c r="Q325" i="27" s="1"/>
  <c r="C187" i="27"/>
  <c r="B104" i="27"/>
  <c r="Q104" i="27" s="1"/>
  <c r="C594" i="27"/>
  <c r="B85" i="27"/>
  <c r="Q85" i="27" s="1"/>
  <c r="B522" i="27"/>
  <c r="C360" i="27"/>
  <c r="B546" i="27"/>
  <c r="B612" i="27"/>
  <c r="B66" i="27"/>
  <c r="Q66" i="27" s="1"/>
  <c r="B219" i="27"/>
  <c r="Q219" i="27" s="1"/>
  <c r="C608" i="27"/>
  <c r="C223" i="27"/>
  <c r="B74" i="27"/>
  <c r="Q74" i="27" s="1"/>
  <c r="C186" i="27"/>
  <c r="C254" i="27"/>
  <c r="B268" i="27"/>
  <c r="Q268" i="27" s="1"/>
  <c r="B429" i="27"/>
  <c r="C87" i="27"/>
  <c r="B83" i="27"/>
  <c r="Q83" i="27" s="1"/>
  <c r="B115" i="27"/>
  <c r="Q115" i="27" s="1"/>
  <c r="C405" i="27"/>
  <c r="B466" i="27"/>
  <c r="B383" i="27"/>
  <c r="B113" i="27"/>
  <c r="Q113" i="27" s="1"/>
  <c r="B318" i="27"/>
  <c r="Q318" i="27" s="1"/>
  <c r="C291" i="27"/>
  <c r="B125" i="27"/>
  <c r="Q125" i="27" s="1"/>
  <c r="C268" i="27"/>
  <c r="C365" i="27"/>
  <c r="B481" i="27"/>
  <c r="C412" i="27"/>
  <c r="B496" i="27"/>
  <c r="B354" i="27"/>
  <c r="Q354" i="27" s="1"/>
  <c r="C191" i="27"/>
  <c r="B327" i="27"/>
  <c r="Q327" i="27" s="1"/>
  <c r="B142" i="27"/>
  <c r="Q142" i="27" s="1"/>
  <c r="B346" i="27"/>
  <c r="Q346" i="27" s="1"/>
  <c r="C473" i="27"/>
  <c r="C261" i="27"/>
  <c r="C567" i="27"/>
  <c r="B289" i="27"/>
  <c r="Q289" i="27" s="1"/>
  <c r="C211" i="27"/>
  <c r="C310" i="27"/>
  <c r="B382" i="27"/>
  <c r="C167" i="27"/>
  <c r="B263" i="27"/>
  <c r="Q263" i="27" s="1"/>
  <c r="C598" i="27"/>
  <c r="B525" i="27"/>
  <c r="B469" i="27"/>
  <c r="C252" i="27"/>
  <c r="C304" i="27"/>
  <c r="C539" i="27"/>
  <c r="B611" i="27"/>
  <c r="C217" i="27"/>
  <c r="B359" i="27"/>
  <c r="Q359" i="27" s="1"/>
  <c r="C572" i="27"/>
  <c r="B520" i="27"/>
  <c r="B227" i="27"/>
  <c r="Q227" i="27" s="1"/>
  <c r="C501" i="27"/>
  <c r="B224" i="27"/>
  <c r="Q224" i="27" s="1"/>
  <c r="C521" i="27"/>
  <c r="B276" i="27"/>
  <c r="Q276" i="27" s="1"/>
  <c r="B240" i="27"/>
  <c r="Q240" i="27" s="1"/>
  <c r="C209" i="27"/>
  <c r="B463" i="27"/>
  <c r="B245" i="27"/>
  <c r="Q245" i="27" s="1"/>
  <c r="B462" i="27"/>
  <c r="B246" i="27"/>
  <c r="Q246" i="27" s="1"/>
  <c r="B563" i="27"/>
  <c r="B275" i="27"/>
  <c r="Q275" i="27" s="1"/>
  <c r="C152" i="27"/>
  <c r="C447" i="27"/>
  <c r="B143" i="27"/>
  <c r="Q143" i="27" s="1"/>
  <c r="C543" i="27"/>
  <c r="C93" i="27"/>
  <c r="B184" i="27"/>
  <c r="Q184" i="27" s="1"/>
  <c r="C338" i="27"/>
  <c r="B459" i="27"/>
  <c r="C106" i="27"/>
  <c r="B73" i="27"/>
  <c r="Q73" i="27" s="1"/>
  <c r="B561" i="27"/>
  <c r="C109" i="27"/>
  <c r="B69" i="27"/>
  <c r="Q69" i="27" s="1"/>
  <c r="C457" i="27"/>
  <c r="B524" i="27"/>
  <c r="C560" i="27"/>
  <c r="C463" i="27"/>
  <c r="B617" i="27"/>
  <c r="B91" i="27"/>
  <c r="Q91" i="27" s="1"/>
  <c r="C566" i="27"/>
  <c r="B229" i="27"/>
  <c r="Q229" i="27" s="1"/>
  <c r="B176" i="27"/>
  <c r="Q176" i="27" s="1"/>
  <c r="B357" i="27"/>
  <c r="Q357" i="27" s="1"/>
  <c r="B198" i="27"/>
  <c r="Q198" i="27" s="1"/>
  <c r="B205" i="27"/>
  <c r="Q205" i="27" s="1"/>
  <c r="B557" i="27"/>
  <c r="C103" i="27"/>
  <c r="C151" i="27"/>
  <c r="C101" i="27"/>
  <c r="C476" i="27"/>
  <c r="B182" i="27"/>
  <c r="Q182" i="27" s="1"/>
  <c r="B265" i="27"/>
  <c r="Q265" i="27" s="1"/>
  <c r="B68" i="27"/>
  <c r="Q68" i="27" s="1"/>
  <c r="B107" i="27"/>
  <c r="Q107" i="27" s="1"/>
  <c r="B215" i="27"/>
  <c r="Q215" i="27" s="1"/>
  <c r="B120" i="27"/>
  <c r="Q120" i="27" s="1"/>
  <c r="B232" i="27"/>
  <c r="Q232" i="27" s="1"/>
  <c r="B593" i="27"/>
  <c r="C164" i="27"/>
  <c r="B72" i="27"/>
  <c r="Q72" i="27" s="1"/>
  <c r="C484" i="27"/>
  <c r="C127" i="27"/>
  <c r="B533" i="27"/>
  <c r="C242" i="27"/>
  <c r="B181" i="27"/>
  <c r="Q181" i="27" s="1"/>
  <c r="C478" i="27"/>
  <c r="C517" i="27"/>
  <c r="B572" i="27"/>
  <c r="B266" i="27"/>
  <c r="Q266" i="27" s="1"/>
  <c r="C302" i="27"/>
  <c r="C67" i="27"/>
  <c r="C166" i="27"/>
  <c r="C307" i="27"/>
  <c r="B100" i="27"/>
  <c r="Q100" i="27" s="1"/>
  <c r="B242" i="27"/>
  <c r="Q242" i="27" s="1"/>
  <c r="C606" i="27"/>
  <c r="B534" i="27"/>
  <c r="B255" i="27"/>
  <c r="Q255" i="27" s="1"/>
  <c r="B422" i="27"/>
  <c r="B334" i="27"/>
  <c r="Q334" i="27" s="1"/>
  <c r="B578" i="27"/>
  <c r="B285" i="27"/>
  <c r="Q285" i="27" s="1"/>
  <c r="B547" i="27"/>
  <c r="C389" i="27"/>
  <c r="C585" i="27"/>
  <c r="C618" i="27"/>
  <c r="B160" i="27"/>
  <c r="Q160" i="27" s="1"/>
  <c r="B603" i="27"/>
  <c r="C82" i="27"/>
  <c r="B121" i="27"/>
  <c r="Q121" i="27" s="1"/>
  <c r="C580" i="27"/>
  <c r="B126" i="27"/>
  <c r="Q126" i="27" s="1"/>
  <c r="C570" i="27"/>
  <c r="C119" i="27"/>
  <c r="C396" i="27"/>
  <c r="C90" i="27"/>
  <c r="C493" i="27"/>
  <c r="B549" i="27"/>
  <c r="B84" i="27"/>
  <c r="Q84" i="27" s="1"/>
  <c r="B397" i="27"/>
  <c r="B132" i="27"/>
  <c r="Q132" i="27" s="1"/>
  <c r="B283" i="27"/>
  <c r="Q283" i="27" s="1"/>
  <c r="C612" i="27"/>
  <c r="C324" i="27"/>
  <c r="B403" i="27"/>
  <c r="B326" i="27"/>
  <c r="Q326" i="27" s="1"/>
  <c r="B445" i="27"/>
  <c r="C335" i="27"/>
  <c r="C99" i="27"/>
  <c r="B225" i="27"/>
  <c r="Q225" i="27" s="1"/>
  <c r="B523" i="27"/>
  <c r="B609" i="27"/>
  <c r="B420" i="27"/>
  <c r="C283" i="27"/>
  <c r="B228" i="27"/>
  <c r="Q228" i="27" s="1"/>
  <c r="C520" i="27"/>
  <c r="C595" i="27"/>
  <c r="C215" i="27"/>
  <c r="C158" i="27"/>
  <c r="B442" i="27"/>
  <c r="B591" i="27"/>
  <c r="C458" i="27"/>
  <c r="B577" i="27"/>
  <c r="B506" i="27"/>
  <c r="B416" i="27"/>
  <c r="C325" i="27"/>
  <c r="B97" i="27"/>
  <c r="Q97" i="27" s="1"/>
  <c r="B468" i="27"/>
  <c r="C617" i="27"/>
  <c r="B175" i="27"/>
  <c r="Q175" i="27" s="1"/>
  <c r="C587" i="27"/>
  <c r="B529" i="27"/>
  <c r="B437" i="27"/>
  <c r="B174" i="27"/>
  <c r="Q174" i="27" s="1"/>
  <c r="B259" i="27"/>
  <c r="Q259" i="27" s="1"/>
  <c r="Q2" i="25"/>
  <c r="Q413" i="25" s="1"/>
  <c r="K416" i="25" s="1"/>
  <c r="AL419" i="17"/>
  <c r="D27" i="20" s="1"/>
  <c r="AN94" i="19"/>
  <c r="AO94" i="19"/>
  <c r="AQ94" i="19" s="1"/>
  <c r="B7" i="20"/>
  <c r="C7" i="20"/>
  <c r="B8" i="20"/>
  <c r="C8" i="20"/>
  <c r="B22" i="20"/>
  <c r="C22" i="20"/>
  <c r="B18" i="20"/>
  <c r="C18" i="20"/>
  <c r="B5" i="20"/>
  <c r="C5" i="20"/>
  <c r="AA2" i="15"/>
  <c r="AC2" i="15" s="1"/>
  <c r="AA3" i="15"/>
  <c r="AC3" i="15" s="1"/>
  <c r="AA4" i="15"/>
  <c r="AC4" i="15" s="1"/>
  <c r="AA5" i="15"/>
  <c r="AC5" i="15" s="1"/>
  <c r="AA6" i="15"/>
  <c r="AC6" i="15" s="1"/>
  <c r="AA7" i="15"/>
  <c r="AC7" i="15" s="1"/>
  <c r="AA8" i="15"/>
  <c r="AC8" i="15" s="1"/>
  <c r="AA9" i="15"/>
  <c r="AC9" i="15" s="1"/>
  <c r="AA10" i="15"/>
  <c r="AC10" i="15" s="1"/>
  <c r="AA11" i="15"/>
  <c r="AC11" i="15" s="1"/>
  <c r="AA12" i="15"/>
  <c r="AC12" i="15" s="1"/>
  <c r="AA13" i="15"/>
  <c r="AC13" i="15" s="1"/>
  <c r="AA14" i="15"/>
  <c r="AC14" i="15" s="1"/>
  <c r="AA15" i="15"/>
  <c r="AC15" i="15" s="1"/>
  <c r="AA16" i="15"/>
  <c r="AC16" i="15" s="1"/>
  <c r="AA17" i="15"/>
  <c r="AC17" i="15" s="1"/>
  <c r="AA18" i="15"/>
  <c r="AC18" i="15" s="1"/>
  <c r="AA19" i="15"/>
  <c r="AC19" i="15" s="1"/>
  <c r="AA20" i="15"/>
  <c r="AC20" i="15" s="1"/>
  <c r="AA21" i="15"/>
  <c r="AC21" i="15" s="1"/>
  <c r="AA22" i="15"/>
  <c r="AC22" i="15" s="1"/>
  <c r="AA23" i="15"/>
  <c r="AC23" i="15" s="1"/>
  <c r="AA24" i="15"/>
  <c r="AC24" i="15" s="1"/>
  <c r="AA25" i="15"/>
  <c r="AC25" i="15" s="1"/>
  <c r="AA26" i="15"/>
  <c r="AC26" i="15" s="1"/>
  <c r="AA27" i="15"/>
  <c r="AC27" i="15" s="1"/>
  <c r="AA28" i="15"/>
  <c r="AC28" i="15" s="1"/>
  <c r="AA29" i="15"/>
  <c r="AC29" i="15" s="1"/>
  <c r="AA30" i="15"/>
  <c r="AC30" i="15" s="1"/>
  <c r="AA31" i="15"/>
  <c r="AC31" i="15" s="1"/>
  <c r="AA32" i="15"/>
  <c r="AC32" i="15" s="1"/>
  <c r="AA33" i="15"/>
  <c r="AC33" i="15" s="1"/>
  <c r="AA34" i="15"/>
  <c r="AC34" i="15" s="1"/>
  <c r="AA35" i="15"/>
  <c r="AC35" i="15" s="1"/>
  <c r="AA36" i="15"/>
  <c r="AC36" i="15" s="1"/>
  <c r="AA37" i="15"/>
  <c r="AC37" i="15" s="1"/>
  <c r="AA38" i="15"/>
  <c r="AC38" i="15" s="1"/>
  <c r="AA39" i="15"/>
  <c r="AC39" i="15" s="1"/>
  <c r="AA40" i="15"/>
  <c r="AC40" i="15" s="1"/>
  <c r="AA41" i="15"/>
  <c r="AC41" i="15" s="1"/>
  <c r="AA42" i="15"/>
  <c r="AC42" i="15" s="1"/>
  <c r="AA43" i="15"/>
  <c r="AC43" i="15" s="1"/>
  <c r="AA44" i="15"/>
  <c r="AC44" i="15" s="1"/>
  <c r="AA45" i="15"/>
  <c r="AC45" i="15" s="1"/>
  <c r="AA46" i="15"/>
  <c r="AC46" i="15" s="1"/>
  <c r="AA47" i="15"/>
  <c r="AC47" i="15" s="1"/>
  <c r="AA48" i="15"/>
  <c r="AC48" i="15" s="1"/>
  <c r="AA49" i="15"/>
  <c r="AC49" i="15" s="1"/>
  <c r="AA50" i="15"/>
  <c r="AC50" i="15" s="1"/>
  <c r="AA51" i="15"/>
  <c r="AC51" i="15" s="1"/>
  <c r="AA52" i="15"/>
  <c r="AC52" i="15" s="1"/>
  <c r="AA53" i="15"/>
  <c r="AC53" i="15" s="1"/>
  <c r="AA54" i="15"/>
  <c r="AC54" i="15" s="1"/>
  <c r="AA55" i="15"/>
  <c r="AC55" i="15" s="1"/>
  <c r="AA56" i="15"/>
  <c r="AC56" i="15" s="1"/>
  <c r="AA57" i="15"/>
  <c r="AC57" i="15" s="1"/>
  <c r="AA58" i="15"/>
  <c r="AC58" i="15" s="1"/>
  <c r="AA59" i="15"/>
  <c r="AC59" i="15" s="1"/>
  <c r="AA60" i="15"/>
  <c r="AC60" i="15" s="1"/>
  <c r="AA61" i="15"/>
  <c r="AC61" i="15" s="1"/>
  <c r="AA62" i="15"/>
  <c r="AC62" i="15" s="1"/>
  <c r="AA63" i="15"/>
  <c r="AC63" i="15" s="1"/>
  <c r="AA64" i="15"/>
  <c r="AC64" i="15" s="1"/>
  <c r="AA65" i="15"/>
  <c r="AC65" i="15" s="1"/>
  <c r="AA66" i="15"/>
  <c r="AC66" i="15" s="1"/>
  <c r="AA67" i="15"/>
  <c r="AC67" i="15" s="1"/>
  <c r="AA68" i="15"/>
  <c r="AC68" i="15" s="1"/>
  <c r="AA69" i="15"/>
  <c r="AC69" i="15" s="1"/>
  <c r="AA70" i="15"/>
  <c r="AC70" i="15" s="1"/>
  <c r="AA71" i="15"/>
  <c r="AC71" i="15" s="1"/>
  <c r="AA72" i="15"/>
  <c r="AC72" i="15" s="1"/>
  <c r="AA73" i="15"/>
  <c r="AC73" i="15" s="1"/>
  <c r="AA74" i="15"/>
  <c r="AC74" i="15" s="1"/>
  <c r="AA75" i="15"/>
  <c r="AC75" i="15" s="1"/>
  <c r="AA76" i="15"/>
  <c r="AC76" i="15" s="1"/>
  <c r="AA77" i="15"/>
  <c r="AC77" i="15" s="1"/>
  <c r="AA78" i="15"/>
  <c r="AC78" i="15" s="1"/>
  <c r="AA79" i="15"/>
  <c r="AC79" i="15" s="1"/>
  <c r="AA80" i="15"/>
  <c r="AC80" i="15" s="1"/>
  <c r="AA81" i="15"/>
  <c r="AC81" i="15" s="1"/>
  <c r="AA82" i="15"/>
  <c r="AC82" i="15" s="1"/>
  <c r="AA83" i="15"/>
  <c r="AC83" i="15" s="1"/>
  <c r="AA84" i="15"/>
  <c r="AC84" i="15" s="1"/>
  <c r="AA85" i="15"/>
  <c r="AC85" i="15" s="1"/>
  <c r="AA86" i="15"/>
  <c r="AC86" i="15" s="1"/>
  <c r="AA87" i="15"/>
  <c r="AC87" i="15" s="1"/>
  <c r="AA88" i="15"/>
  <c r="AC88" i="15" s="1"/>
  <c r="AA89" i="15"/>
  <c r="AC89" i="15" s="1"/>
  <c r="AA90" i="15"/>
  <c r="AC90" i="15" s="1"/>
  <c r="AA91" i="15"/>
  <c r="AC91" i="15" s="1"/>
  <c r="AA92" i="15"/>
  <c r="AC92" i="15" s="1"/>
  <c r="AA94" i="15"/>
  <c r="AC94" i="15" s="1"/>
  <c r="AA95" i="15"/>
  <c r="AC95" i="15" s="1"/>
  <c r="AA96" i="15"/>
  <c r="AC96" i="15" s="1"/>
  <c r="AA97" i="15"/>
  <c r="AC97" i="15" s="1"/>
  <c r="AA98" i="15"/>
  <c r="AC98" i="15" s="1"/>
  <c r="AA99" i="15"/>
  <c r="AC99" i="15" s="1"/>
  <c r="AA100" i="15"/>
  <c r="AC100" i="15" s="1"/>
  <c r="AA101" i="15"/>
  <c r="AC101" i="15" s="1"/>
  <c r="AA102" i="15"/>
  <c r="AC102" i="15" s="1"/>
  <c r="AA103" i="15"/>
  <c r="AC103" i="15" s="1"/>
  <c r="AA104" i="15"/>
  <c r="AC104" i="15" s="1"/>
  <c r="AA105" i="15"/>
  <c r="AC105" i="15" s="1"/>
  <c r="AA106" i="15"/>
  <c r="AC106" i="15" s="1"/>
  <c r="AA107" i="15"/>
  <c r="AC107" i="15" s="1"/>
  <c r="AA108" i="15"/>
  <c r="AC108" i="15" s="1"/>
  <c r="AA109" i="15"/>
  <c r="AC109" i="15" s="1"/>
  <c r="AA110" i="15"/>
  <c r="AC110" i="15" s="1"/>
  <c r="AA111" i="15"/>
  <c r="AC111" i="15" s="1"/>
  <c r="AA112" i="15"/>
  <c r="AC112" i="15" s="1"/>
  <c r="AA113" i="15"/>
  <c r="AC113" i="15" s="1"/>
  <c r="AA114" i="15"/>
  <c r="AC114" i="15" s="1"/>
  <c r="AA115" i="15"/>
  <c r="AC115" i="15" s="1"/>
  <c r="AA116" i="15"/>
  <c r="AC116" i="15" s="1"/>
  <c r="AA117" i="15"/>
  <c r="AC117" i="15" s="1"/>
  <c r="AA118" i="15"/>
  <c r="AC118" i="15" s="1"/>
  <c r="AA119" i="15"/>
  <c r="AC119" i="15" s="1"/>
  <c r="AA120" i="15"/>
  <c r="AC120" i="15" s="1"/>
  <c r="AA121" i="15"/>
  <c r="AC121" i="15" s="1"/>
  <c r="AA122" i="15"/>
  <c r="AC122" i="15" s="1"/>
  <c r="AA123" i="15"/>
  <c r="AC123" i="15" s="1"/>
  <c r="AA124" i="15"/>
  <c r="AC124" i="15" s="1"/>
  <c r="AA125" i="15"/>
  <c r="AC125" i="15" s="1"/>
  <c r="AA126" i="15"/>
  <c r="AC126" i="15" s="1"/>
  <c r="AA127" i="15"/>
  <c r="AC127" i="15" s="1"/>
  <c r="AA128" i="15"/>
  <c r="AC128" i="15" s="1"/>
  <c r="AA129" i="15"/>
  <c r="AC129" i="15" s="1"/>
  <c r="AA130" i="15"/>
  <c r="AC130" i="15" s="1"/>
  <c r="AA131" i="15"/>
  <c r="AC131" i="15" s="1"/>
  <c r="AA132" i="15"/>
  <c r="AC132" i="15" s="1"/>
  <c r="AA133" i="15"/>
  <c r="AC133" i="15" s="1"/>
  <c r="AA134" i="15"/>
  <c r="AC134" i="15" s="1"/>
  <c r="AA135" i="15"/>
  <c r="AC135" i="15" s="1"/>
  <c r="AA136" i="15"/>
  <c r="AC136" i="15" s="1"/>
  <c r="AA137" i="15"/>
  <c r="AC137" i="15" s="1"/>
  <c r="AA138" i="15"/>
  <c r="AC138" i="15" s="1"/>
  <c r="AA139" i="15"/>
  <c r="AC139" i="15" s="1"/>
  <c r="AA140" i="15"/>
  <c r="AC140" i="15" s="1"/>
  <c r="AA141" i="15"/>
  <c r="AC141" i="15" s="1"/>
  <c r="AA142" i="15"/>
  <c r="AC142" i="15" s="1"/>
  <c r="AA143" i="15"/>
  <c r="AC143" i="15" s="1"/>
  <c r="AA144" i="15"/>
  <c r="AC144" i="15" s="1"/>
  <c r="AA145" i="15"/>
  <c r="AC145" i="15" s="1"/>
  <c r="AA146" i="15"/>
  <c r="AC146" i="15" s="1"/>
  <c r="AA147" i="15"/>
  <c r="AC147" i="15" s="1"/>
  <c r="AA148" i="15"/>
  <c r="AC148" i="15" s="1"/>
  <c r="AA149" i="15"/>
  <c r="AC149" i="15" s="1"/>
  <c r="AA150" i="15"/>
  <c r="AC150" i="15" s="1"/>
  <c r="AA151" i="15"/>
  <c r="AC151" i="15" s="1"/>
  <c r="AA152" i="15"/>
  <c r="AC152" i="15" s="1"/>
  <c r="AA153" i="15"/>
  <c r="AC153" i="15" s="1"/>
  <c r="AA154" i="15"/>
  <c r="AC154" i="15" s="1"/>
  <c r="AA155" i="15"/>
  <c r="AC155" i="15" s="1"/>
  <c r="AA156" i="15"/>
  <c r="AC156" i="15" s="1"/>
  <c r="AA157" i="15"/>
  <c r="AC157" i="15" s="1"/>
  <c r="AA158" i="15"/>
  <c r="AC158" i="15" s="1"/>
  <c r="AA159" i="15"/>
  <c r="AC159" i="15" s="1"/>
  <c r="AA160" i="15"/>
  <c r="AC160" i="15" s="1"/>
  <c r="AA161" i="15"/>
  <c r="AC161" i="15" s="1"/>
  <c r="AA162" i="15"/>
  <c r="AC162" i="15" s="1"/>
  <c r="AA163" i="15"/>
  <c r="AC163" i="15" s="1"/>
  <c r="AA164" i="15"/>
  <c r="AC164" i="15" s="1"/>
  <c r="AA165" i="15"/>
  <c r="AC165" i="15" s="1"/>
  <c r="AA166" i="15"/>
  <c r="AC166" i="15" s="1"/>
  <c r="AA167" i="15"/>
  <c r="AC167" i="15" s="1"/>
  <c r="AA168" i="15"/>
  <c r="AC168" i="15" s="1"/>
  <c r="AA169" i="15"/>
  <c r="AC169" i="15" s="1"/>
  <c r="AA170" i="15"/>
  <c r="AC170" i="15" s="1"/>
  <c r="AA171" i="15"/>
  <c r="AC171" i="15" s="1"/>
  <c r="AA172" i="15"/>
  <c r="AC172" i="15" s="1"/>
  <c r="AA173" i="15"/>
  <c r="AC173" i="15" s="1"/>
  <c r="AA174" i="15"/>
  <c r="AC174" i="15" s="1"/>
  <c r="AA175" i="15"/>
  <c r="AC175" i="15" s="1"/>
  <c r="AA176" i="15"/>
  <c r="AC176" i="15" s="1"/>
  <c r="AA177" i="15"/>
  <c r="AC177" i="15" s="1"/>
  <c r="AA178" i="15"/>
  <c r="AC178" i="15" s="1"/>
  <c r="AA179" i="15"/>
  <c r="AC179" i="15" s="1"/>
  <c r="AA180" i="15"/>
  <c r="AC180" i="15" s="1"/>
  <c r="AA181" i="15"/>
  <c r="AC181" i="15" s="1"/>
  <c r="AA182" i="15"/>
  <c r="AC182" i="15" s="1"/>
  <c r="AA183" i="15"/>
  <c r="AC183" i="15" s="1"/>
  <c r="AA184" i="15"/>
  <c r="AC184" i="15" s="1"/>
  <c r="AA185" i="15"/>
  <c r="AC185" i="15" s="1"/>
  <c r="AA186" i="15"/>
  <c r="AC186" i="15" s="1"/>
  <c r="AA187" i="15"/>
  <c r="AC187" i="15" s="1"/>
  <c r="AA188" i="15"/>
  <c r="AC188" i="15" s="1"/>
  <c r="AA189" i="15"/>
  <c r="AC189" i="15" s="1"/>
  <c r="AA190" i="15"/>
  <c r="AC190" i="15" s="1"/>
  <c r="AA191" i="15"/>
  <c r="AC191" i="15" s="1"/>
  <c r="AA192" i="15"/>
  <c r="AC192" i="15" s="1"/>
  <c r="AA193" i="15"/>
  <c r="AC193" i="15" s="1"/>
  <c r="AA194" i="15"/>
  <c r="AC194" i="15" s="1"/>
  <c r="AA195" i="15"/>
  <c r="AC195" i="15" s="1"/>
  <c r="AA196" i="15"/>
  <c r="AC196" i="15" s="1"/>
  <c r="AA197" i="15"/>
  <c r="AC197" i="15" s="1"/>
  <c r="AA198" i="15"/>
  <c r="AC198" i="15" s="1"/>
  <c r="AA199" i="15"/>
  <c r="AC199" i="15" s="1"/>
  <c r="AA200" i="15"/>
  <c r="AC200" i="15" s="1"/>
  <c r="AA201" i="15"/>
  <c r="AC201" i="15" s="1"/>
  <c r="AA202" i="15"/>
  <c r="AC202" i="15" s="1"/>
  <c r="AA203" i="15"/>
  <c r="AC203" i="15" s="1"/>
  <c r="AA204" i="15"/>
  <c r="AC204" i="15" s="1"/>
  <c r="AA205" i="15"/>
  <c r="AC205" i="15" s="1"/>
  <c r="AA206" i="15"/>
  <c r="AC206" i="15" s="1"/>
  <c r="AA207" i="15"/>
  <c r="AC207" i="15" s="1"/>
  <c r="AA208" i="15"/>
  <c r="AC208" i="15" s="1"/>
  <c r="AA209" i="15"/>
  <c r="AC209" i="15" s="1"/>
  <c r="AA210" i="15"/>
  <c r="AC210" i="15" s="1"/>
  <c r="AA211" i="15"/>
  <c r="AC211" i="15" s="1"/>
  <c r="AA212" i="15"/>
  <c r="AC212" i="15" s="1"/>
  <c r="AA213" i="15"/>
  <c r="AC213" i="15" s="1"/>
  <c r="AA214" i="15"/>
  <c r="AC214" i="15" s="1"/>
  <c r="AA215" i="15"/>
  <c r="AC215" i="15" s="1"/>
  <c r="AA216" i="15"/>
  <c r="AC216" i="15" s="1"/>
  <c r="AA217" i="15"/>
  <c r="AC217" i="15" s="1"/>
  <c r="AA218" i="15"/>
  <c r="AC218" i="15" s="1"/>
  <c r="AA219" i="15"/>
  <c r="AC219" i="15" s="1"/>
  <c r="AA220" i="15"/>
  <c r="AC220" i="15" s="1"/>
  <c r="AA221" i="15"/>
  <c r="AC221" i="15" s="1"/>
  <c r="AA222" i="15"/>
  <c r="AC222" i="15" s="1"/>
  <c r="AA223" i="15"/>
  <c r="AC223" i="15" s="1"/>
  <c r="AA224" i="15"/>
  <c r="AC224" i="15" s="1"/>
  <c r="AA225" i="15"/>
  <c r="AC225" i="15" s="1"/>
  <c r="AA226" i="15"/>
  <c r="AC226" i="15" s="1"/>
  <c r="AA227" i="15"/>
  <c r="AC227" i="15" s="1"/>
  <c r="AA228" i="15"/>
  <c r="AC228" i="15" s="1"/>
  <c r="AA229" i="15"/>
  <c r="AC229" i="15" s="1"/>
  <c r="AA230" i="15"/>
  <c r="AC230" i="15" s="1"/>
  <c r="AA231" i="15"/>
  <c r="AC231" i="15" s="1"/>
  <c r="AA232" i="15"/>
  <c r="AC232" i="15" s="1"/>
  <c r="AA233" i="15"/>
  <c r="AC233" i="15" s="1"/>
  <c r="AA234" i="15"/>
  <c r="AC234" i="15" s="1"/>
  <c r="AA235" i="15"/>
  <c r="AC235" i="15" s="1"/>
  <c r="AA236" i="15"/>
  <c r="AC236" i="15" s="1"/>
  <c r="AA237" i="15"/>
  <c r="AC237" i="15" s="1"/>
  <c r="AA238" i="15"/>
  <c r="AC238" i="15" s="1"/>
  <c r="AA239" i="15"/>
  <c r="AC239" i="15" s="1"/>
  <c r="AA240" i="15"/>
  <c r="AC240" i="15" s="1"/>
  <c r="AA241" i="15"/>
  <c r="AC241" i="15" s="1"/>
  <c r="AA242" i="15"/>
  <c r="AC242" i="15" s="1"/>
  <c r="AA243" i="15"/>
  <c r="AC243" i="15" s="1"/>
  <c r="AA244" i="15"/>
  <c r="AC244" i="15" s="1"/>
  <c r="AA245" i="15"/>
  <c r="AC245" i="15" s="1"/>
  <c r="AA246" i="15"/>
  <c r="AC246" i="15" s="1"/>
  <c r="AA247" i="15"/>
  <c r="AC247" i="15" s="1"/>
  <c r="AA248" i="15"/>
  <c r="AC248" i="15" s="1"/>
  <c r="AA249" i="15"/>
  <c r="AC249" i="15" s="1"/>
  <c r="AA250" i="15"/>
  <c r="AC250" i="15" s="1"/>
  <c r="AA251" i="15"/>
  <c r="AC251" i="15" s="1"/>
  <c r="AA252" i="15"/>
  <c r="AC252" i="15" s="1"/>
  <c r="AA253" i="15"/>
  <c r="AC253" i="15" s="1"/>
  <c r="AA254" i="15"/>
  <c r="AC254" i="15" s="1"/>
  <c r="AA255" i="15"/>
  <c r="AC255" i="15" s="1"/>
  <c r="AA256" i="15"/>
  <c r="AC256" i="15" s="1"/>
  <c r="AA257" i="15"/>
  <c r="AC257" i="15" s="1"/>
  <c r="AA258" i="15"/>
  <c r="AC258" i="15" s="1"/>
  <c r="AA259" i="15"/>
  <c r="AC259" i="15" s="1"/>
  <c r="AA260" i="15"/>
  <c r="AC260" i="15" s="1"/>
  <c r="AA261" i="15"/>
  <c r="AC261" i="15" s="1"/>
  <c r="AA262" i="15"/>
  <c r="AC262" i="15" s="1"/>
  <c r="AA263" i="15"/>
  <c r="AC263" i="15" s="1"/>
  <c r="AA264" i="15"/>
  <c r="AC264" i="15" s="1"/>
  <c r="AA265" i="15"/>
  <c r="AC265" i="15" s="1"/>
  <c r="AA266" i="15"/>
  <c r="AC266" i="15" s="1"/>
  <c r="AA267" i="15"/>
  <c r="AC267" i="15" s="1"/>
  <c r="AA268" i="15"/>
  <c r="AC268" i="15" s="1"/>
  <c r="AA269" i="15"/>
  <c r="AC269" i="15" s="1"/>
  <c r="AA270" i="15"/>
  <c r="AC270" i="15" s="1"/>
  <c r="AA271" i="15"/>
  <c r="AC271" i="15" s="1"/>
  <c r="AA272" i="15"/>
  <c r="AC272" i="15" s="1"/>
  <c r="AA273" i="15"/>
  <c r="AC273" i="15" s="1"/>
  <c r="AA274" i="15"/>
  <c r="AC274" i="15" s="1"/>
  <c r="AA275" i="15"/>
  <c r="AC275" i="15" s="1"/>
  <c r="AA276" i="15"/>
  <c r="AC276" i="15" s="1"/>
  <c r="AA277" i="15"/>
  <c r="AC277" i="15" s="1"/>
  <c r="AA278" i="15"/>
  <c r="AC278" i="15" s="1"/>
  <c r="AA279" i="15"/>
  <c r="AC279" i="15" s="1"/>
  <c r="AA280" i="15"/>
  <c r="AC280" i="15" s="1"/>
  <c r="AA281" i="15"/>
  <c r="AC281" i="15" s="1"/>
  <c r="AA282" i="15"/>
  <c r="AC282" i="15" s="1"/>
  <c r="AA283" i="15"/>
  <c r="AC283" i="15" s="1"/>
  <c r="AA284" i="15"/>
  <c r="AC284" i="15" s="1"/>
  <c r="AA285" i="15"/>
  <c r="AC285" i="15" s="1"/>
  <c r="AA286" i="15"/>
  <c r="AC286" i="15" s="1"/>
  <c r="AA287" i="15"/>
  <c r="AC287" i="15" s="1"/>
  <c r="AA288" i="15"/>
  <c r="AC288" i="15" s="1"/>
  <c r="AA289" i="15"/>
  <c r="AC289" i="15" s="1"/>
  <c r="AA290" i="15"/>
  <c r="AC290" i="15" s="1"/>
  <c r="AA291" i="15"/>
  <c r="AC291" i="15" s="1"/>
  <c r="AA292" i="15"/>
  <c r="AC292" i="15" s="1"/>
  <c r="AA293" i="15"/>
  <c r="AC293" i="15" s="1"/>
  <c r="AA294" i="15"/>
  <c r="AC294" i="15" s="1"/>
  <c r="AA295" i="15"/>
  <c r="AC295" i="15" s="1"/>
  <c r="AA296" i="15"/>
  <c r="AC296" i="15" s="1"/>
  <c r="AA297" i="15"/>
  <c r="AC297" i="15" s="1"/>
  <c r="AA298" i="15"/>
  <c r="AC298" i="15" s="1"/>
  <c r="AA299" i="15"/>
  <c r="AC299" i="15" s="1"/>
  <c r="AA300" i="15"/>
  <c r="AC300" i="15" s="1"/>
  <c r="AA301" i="15"/>
  <c r="AC301" i="15" s="1"/>
  <c r="AA302" i="15"/>
  <c r="AC302" i="15" s="1"/>
  <c r="AA303" i="15"/>
  <c r="AC303" i="15" s="1"/>
  <c r="AA304" i="15"/>
  <c r="AC304" i="15" s="1"/>
  <c r="AA305" i="15"/>
  <c r="AC305" i="15" s="1"/>
  <c r="AA306" i="15"/>
  <c r="AC306" i="15" s="1"/>
  <c r="AA307" i="15"/>
  <c r="AC307" i="15" s="1"/>
  <c r="AA308" i="15"/>
  <c r="AC308" i="15" s="1"/>
  <c r="AA309" i="15"/>
  <c r="AC309" i="15" s="1"/>
  <c r="AA310" i="15"/>
  <c r="AC310" i="15" s="1"/>
  <c r="AA311" i="15"/>
  <c r="AC311" i="15" s="1"/>
  <c r="AA312" i="15"/>
  <c r="AC312" i="15" s="1"/>
  <c r="AA313" i="15"/>
  <c r="AC313" i="15" s="1"/>
  <c r="AA314" i="15"/>
  <c r="AC314" i="15" s="1"/>
  <c r="AA315" i="15"/>
  <c r="AC315" i="15" s="1"/>
  <c r="AA316" i="15"/>
  <c r="AC316" i="15" s="1"/>
  <c r="AA317" i="15"/>
  <c r="AC317" i="15" s="1"/>
  <c r="AA318" i="15"/>
  <c r="AC318" i="15" s="1"/>
  <c r="AA319" i="15"/>
  <c r="AC319" i="15" s="1"/>
  <c r="AA320" i="15"/>
  <c r="AC320" i="15" s="1"/>
  <c r="AA321" i="15"/>
  <c r="AC321" i="15" s="1"/>
  <c r="AA322" i="15"/>
  <c r="AC322" i="15" s="1"/>
  <c r="AA323" i="15"/>
  <c r="AC323" i="15" s="1"/>
  <c r="AA324" i="15"/>
  <c r="AC324" i="15" s="1"/>
  <c r="AA325" i="15"/>
  <c r="AC325" i="15" s="1"/>
  <c r="AA326" i="15"/>
  <c r="AC326" i="15" s="1"/>
  <c r="AA327" i="15"/>
  <c r="AC327" i="15" s="1"/>
  <c r="AA328" i="15"/>
  <c r="AC328" i="15" s="1"/>
  <c r="AA329" i="15"/>
  <c r="AC329" i="15" s="1"/>
  <c r="AA330" i="15"/>
  <c r="AC330" i="15" s="1"/>
  <c r="AA331" i="15"/>
  <c r="AC331" i="15" s="1"/>
  <c r="AA332" i="15"/>
  <c r="AC332" i="15" s="1"/>
  <c r="AA333" i="15"/>
  <c r="AC333" i="15" s="1"/>
  <c r="AA334" i="15"/>
  <c r="AC334" i="15" s="1"/>
  <c r="AA335" i="15"/>
  <c r="AC335" i="15" s="1"/>
  <c r="AA336" i="15"/>
  <c r="AC336" i="15" s="1"/>
  <c r="AA337" i="15"/>
  <c r="AC337" i="15" s="1"/>
  <c r="AA338" i="15"/>
  <c r="AC338" i="15" s="1"/>
  <c r="AA339" i="15"/>
  <c r="AC339" i="15" s="1"/>
  <c r="AA340" i="15"/>
  <c r="AC340" i="15" s="1"/>
  <c r="AA341" i="15"/>
  <c r="AC341" i="15" s="1"/>
  <c r="AA342" i="15"/>
  <c r="AC342" i="15" s="1"/>
  <c r="AA343" i="15"/>
  <c r="AC343" i="15" s="1"/>
  <c r="AA344" i="15"/>
  <c r="AC344" i="15" s="1"/>
  <c r="AA345" i="15"/>
  <c r="AC345" i="15" s="1"/>
  <c r="AA346" i="15"/>
  <c r="AC346" i="15" s="1"/>
  <c r="AA347" i="15"/>
  <c r="AC347" i="15" s="1"/>
  <c r="AA348" i="15"/>
  <c r="AC348" i="15" s="1"/>
  <c r="AA349" i="15"/>
  <c r="AC349" i="15" s="1"/>
  <c r="AA350" i="15"/>
  <c r="AC350" i="15" s="1"/>
  <c r="AA351" i="15"/>
  <c r="AC351" i="15" s="1"/>
  <c r="AA352" i="15"/>
  <c r="AC352" i="15" s="1"/>
  <c r="AA353" i="15"/>
  <c r="AC353" i="15" s="1"/>
  <c r="AA354" i="15"/>
  <c r="AC354" i="15" s="1"/>
  <c r="AA355" i="15"/>
  <c r="AC355" i="15" s="1"/>
  <c r="AA356" i="15"/>
  <c r="AC356" i="15" s="1"/>
  <c r="AA357" i="15"/>
  <c r="AC357" i="15" s="1"/>
  <c r="AA358" i="15"/>
  <c r="AC358" i="15" s="1"/>
  <c r="AA359" i="15"/>
  <c r="AC359" i="15" s="1"/>
  <c r="AA360" i="15"/>
  <c r="AC360" i="15" s="1"/>
  <c r="AA361" i="15"/>
  <c r="AC361" i="15" s="1"/>
  <c r="AA362" i="15"/>
  <c r="AC362" i="15" s="1"/>
  <c r="AA363" i="15"/>
  <c r="AC363" i="15" s="1"/>
  <c r="AA364" i="15"/>
  <c r="AC364" i="15" s="1"/>
  <c r="AA365" i="15"/>
  <c r="AC365" i="15" s="1"/>
  <c r="AA366" i="15"/>
  <c r="AC366" i="15" s="1"/>
  <c r="AA367" i="15"/>
  <c r="AC367" i="15" s="1"/>
  <c r="AA368" i="15"/>
  <c r="AC368" i="15" s="1"/>
  <c r="AA369" i="15"/>
  <c r="AC369" i="15" s="1"/>
  <c r="AA370" i="15"/>
  <c r="AC370" i="15" s="1"/>
  <c r="AA371" i="15"/>
  <c r="AC371" i="15" s="1"/>
  <c r="AA372" i="15"/>
  <c r="AC372" i="15" s="1"/>
  <c r="AA373" i="15"/>
  <c r="AC373" i="15" s="1"/>
  <c r="AA374" i="15"/>
  <c r="AC374" i="15" s="1"/>
  <c r="AA375" i="15"/>
  <c r="AC375" i="15" s="1"/>
  <c r="AA376" i="15"/>
  <c r="AC376" i="15" s="1"/>
  <c r="AA377" i="15"/>
  <c r="AC377" i="15" s="1"/>
  <c r="AA378" i="15"/>
  <c r="AC378" i="15" s="1"/>
  <c r="AA379" i="15"/>
  <c r="AC379" i="15" s="1"/>
  <c r="AA380" i="15"/>
  <c r="AC380" i="15" s="1"/>
  <c r="AA381" i="15"/>
  <c r="AC381" i="15" s="1"/>
  <c r="AA382" i="15"/>
  <c r="AC382" i="15" s="1"/>
  <c r="AA383" i="15"/>
  <c r="AC383" i="15" s="1"/>
  <c r="AA384" i="15"/>
  <c r="AC384" i="15" s="1"/>
  <c r="AA385" i="15"/>
  <c r="AC385" i="15" s="1"/>
  <c r="AA386" i="15"/>
  <c r="AC386" i="15" s="1"/>
  <c r="AA387" i="15"/>
  <c r="AC387" i="15" s="1"/>
  <c r="AA388" i="15"/>
  <c r="AC388" i="15" s="1"/>
  <c r="AA389" i="15"/>
  <c r="AC389" i="15" s="1"/>
  <c r="AA390" i="15"/>
  <c r="AC390" i="15" s="1"/>
  <c r="AA391" i="15"/>
  <c r="AC391" i="15" s="1"/>
  <c r="AA392" i="15"/>
  <c r="AC392" i="15" s="1"/>
  <c r="AA393" i="15"/>
  <c r="AC393" i="15" s="1"/>
  <c r="AA394" i="15"/>
  <c r="AC394" i="15" s="1"/>
  <c r="AA395" i="15"/>
  <c r="AC395" i="15" s="1"/>
  <c r="AA396" i="15"/>
  <c r="AC396" i="15" s="1"/>
  <c r="AA397" i="15"/>
  <c r="AC397" i="15" s="1"/>
  <c r="AA398" i="15"/>
  <c r="AC398" i="15" s="1"/>
  <c r="AA399" i="15"/>
  <c r="AC399" i="15" s="1"/>
  <c r="AA400" i="15"/>
  <c r="AC400" i="15" s="1"/>
  <c r="AA401" i="15"/>
  <c r="AC401" i="15" s="1"/>
  <c r="AA402" i="15"/>
  <c r="AC402" i="15" s="1"/>
  <c r="AA403" i="15"/>
  <c r="AC403" i="15" s="1"/>
  <c r="AA404" i="15"/>
  <c r="AC404" i="15" s="1"/>
  <c r="AA405" i="15"/>
  <c r="AC405" i="15" s="1"/>
  <c r="AA406" i="15"/>
  <c r="AC406" i="15" s="1"/>
  <c r="AA407" i="15"/>
  <c r="AC407" i="15" s="1"/>
  <c r="AA408" i="15"/>
  <c r="AC408" i="15" s="1"/>
  <c r="AA409" i="15"/>
  <c r="AC409" i="15" s="1"/>
  <c r="AA410" i="15"/>
  <c r="AC410" i="15" s="1"/>
  <c r="AA411" i="15"/>
  <c r="AC411" i="15" s="1"/>
  <c r="Y2" i="15"/>
  <c r="Y3" i="15"/>
  <c r="Y4" i="15"/>
  <c r="Y5" i="15"/>
  <c r="Y6" i="15"/>
  <c r="Y7" i="15"/>
  <c r="Y8" i="15"/>
  <c r="Y9" i="15"/>
  <c r="Y10" i="15"/>
  <c r="Y11" i="15"/>
  <c r="Y12" i="15"/>
  <c r="Y13" i="15"/>
  <c r="Y14" i="15"/>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4" i="15"/>
  <c r="Y95" i="15"/>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Y146" i="15"/>
  <c r="Y147" i="15"/>
  <c r="Y148" i="15"/>
  <c r="Y149" i="15"/>
  <c r="Y150" i="15"/>
  <c r="Y151" i="15"/>
  <c r="Y152" i="15"/>
  <c r="Y153" i="15"/>
  <c r="Y154" i="15"/>
  <c r="Y155" i="15"/>
  <c r="Y156" i="15"/>
  <c r="Y157" i="15"/>
  <c r="Y158" i="15"/>
  <c r="Y159" i="15"/>
  <c r="Y160" i="15"/>
  <c r="Y161" i="15"/>
  <c r="Y162" i="15"/>
  <c r="Y163" i="15"/>
  <c r="Y164" i="15"/>
  <c r="Y165" i="15"/>
  <c r="Y166" i="15"/>
  <c r="Y167" i="15"/>
  <c r="Y168" i="15"/>
  <c r="Y169" i="15"/>
  <c r="Y170" i="15"/>
  <c r="Y171" i="15"/>
  <c r="Y172" i="15"/>
  <c r="Y173" i="15"/>
  <c r="Y174" i="15"/>
  <c r="Y175" i="15"/>
  <c r="Y176" i="15"/>
  <c r="Y177" i="15"/>
  <c r="Y178" i="15"/>
  <c r="Y179" i="15"/>
  <c r="Y180" i="15"/>
  <c r="Y181" i="15"/>
  <c r="Y182" i="15"/>
  <c r="Y183" i="15"/>
  <c r="Y184" i="15"/>
  <c r="Y185" i="15"/>
  <c r="Y186" i="15"/>
  <c r="Y187" i="15"/>
  <c r="Y188" i="15"/>
  <c r="Y189" i="15"/>
  <c r="Y190" i="15"/>
  <c r="Y191" i="15"/>
  <c r="Y192" i="15"/>
  <c r="Y193" i="15"/>
  <c r="Y194" i="15"/>
  <c r="Y195" i="15"/>
  <c r="Y196" i="15"/>
  <c r="Y197" i="15"/>
  <c r="Y198" i="15"/>
  <c r="Y199" i="15"/>
  <c r="Y200" i="15"/>
  <c r="Y201" i="15"/>
  <c r="Y202" i="15"/>
  <c r="Y203" i="15"/>
  <c r="Y204" i="15"/>
  <c r="Y205" i="15"/>
  <c r="Y206" i="15"/>
  <c r="Y207" i="15"/>
  <c r="Y208" i="15"/>
  <c r="Y209" i="15"/>
  <c r="Y210" i="15"/>
  <c r="Y211" i="15"/>
  <c r="Y212" i="15"/>
  <c r="Y213" i="15"/>
  <c r="Y214" i="15"/>
  <c r="Y215" i="15"/>
  <c r="Y216" i="15"/>
  <c r="Y217" i="15"/>
  <c r="Y218" i="15"/>
  <c r="Y219" i="15"/>
  <c r="Y220" i="15"/>
  <c r="Y221" i="15"/>
  <c r="Y222" i="15"/>
  <c r="Y223" i="15"/>
  <c r="Y224" i="15"/>
  <c r="Y225" i="15"/>
  <c r="Y226" i="15"/>
  <c r="Y227" i="15"/>
  <c r="AB227" i="15" s="1"/>
  <c r="Y228" i="15"/>
  <c r="Y229" i="15"/>
  <c r="Y230" i="15"/>
  <c r="Y231" i="15"/>
  <c r="Y232" i="15"/>
  <c r="Y233" i="15"/>
  <c r="Y234" i="15"/>
  <c r="Y235" i="15"/>
  <c r="Y236" i="15"/>
  <c r="Y237" i="15"/>
  <c r="Y238" i="15"/>
  <c r="Y239" i="15"/>
  <c r="Y240" i="15"/>
  <c r="Y241" i="15"/>
  <c r="Y242" i="15"/>
  <c r="Y243" i="15"/>
  <c r="Y244" i="15"/>
  <c r="Y245" i="15"/>
  <c r="Y246" i="15"/>
  <c r="Y247" i="15"/>
  <c r="Y248" i="15"/>
  <c r="Y249" i="15"/>
  <c r="Y250" i="15"/>
  <c r="Y251" i="15"/>
  <c r="Y252" i="15"/>
  <c r="Y253" i="15"/>
  <c r="Y254" i="15"/>
  <c r="Y255" i="15"/>
  <c r="Y256" i="15"/>
  <c r="Y257" i="15"/>
  <c r="Y258" i="15"/>
  <c r="Y259" i="15"/>
  <c r="Y260" i="15"/>
  <c r="Y261" i="15"/>
  <c r="Y262" i="15"/>
  <c r="Y263" i="15"/>
  <c r="Y264" i="15"/>
  <c r="Y265" i="15"/>
  <c r="Y266" i="15"/>
  <c r="Y267" i="15"/>
  <c r="Y268" i="15"/>
  <c r="Y269" i="15"/>
  <c r="Y270" i="15"/>
  <c r="Y271" i="15"/>
  <c r="Y272" i="15"/>
  <c r="Y273" i="15"/>
  <c r="Y274" i="15"/>
  <c r="Y275" i="15"/>
  <c r="Y276" i="15"/>
  <c r="Y277" i="15"/>
  <c r="Y278" i="15"/>
  <c r="Y279" i="15"/>
  <c r="Y280" i="15"/>
  <c r="Y281" i="15"/>
  <c r="Y282" i="15"/>
  <c r="Y283" i="15"/>
  <c r="Y284" i="15"/>
  <c r="Y285" i="15"/>
  <c r="Y286" i="15"/>
  <c r="Y287" i="15"/>
  <c r="Y288" i="15"/>
  <c r="Y289" i="15"/>
  <c r="Y290" i="15"/>
  <c r="Y291" i="15"/>
  <c r="AB291" i="15" s="1"/>
  <c r="Y292" i="15"/>
  <c r="Y293" i="15"/>
  <c r="Y294" i="15"/>
  <c r="Y295" i="15"/>
  <c r="Y296" i="15"/>
  <c r="Y297" i="15"/>
  <c r="Y298" i="15"/>
  <c r="Y299" i="15"/>
  <c r="Y300" i="15"/>
  <c r="Y301" i="15"/>
  <c r="Y302" i="15"/>
  <c r="Y303" i="15"/>
  <c r="Y304" i="15"/>
  <c r="Y305" i="15"/>
  <c r="Y306" i="15"/>
  <c r="Y307" i="15"/>
  <c r="Y308" i="15"/>
  <c r="Y309" i="15"/>
  <c r="Y310" i="15"/>
  <c r="Y311" i="15"/>
  <c r="Y312" i="15"/>
  <c r="Y313" i="15"/>
  <c r="Y314" i="15"/>
  <c r="Y315" i="15"/>
  <c r="Y316" i="15"/>
  <c r="Y317" i="15"/>
  <c r="Y318" i="15"/>
  <c r="Y319" i="15"/>
  <c r="Y320" i="15"/>
  <c r="Y321" i="15"/>
  <c r="Y322" i="15"/>
  <c r="Y323" i="15"/>
  <c r="Y324" i="15"/>
  <c r="Y325" i="15"/>
  <c r="Y326" i="15"/>
  <c r="Y327" i="15"/>
  <c r="Y328" i="15"/>
  <c r="Y329" i="15"/>
  <c r="Y330" i="15"/>
  <c r="Y331" i="15"/>
  <c r="Y332" i="15"/>
  <c r="Y333" i="15"/>
  <c r="Y334" i="15"/>
  <c r="Y335" i="15"/>
  <c r="Y336" i="15"/>
  <c r="Y337" i="15"/>
  <c r="Y338" i="15"/>
  <c r="Y339" i="15"/>
  <c r="Y340" i="15"/>
  <c r="Y341" i="15"/>
  <c r="Y342" i="15"/>
  <c r="Y343" i="15"/>
  <c r="Y344" i="15"/>
  <c r="Y345" i="15"/>
  <c r="Y346" i="15"/>
  <c r="Y347" i="15"/>
  <c r="Y348" i="15"/>
  <c r="Y349" i="15"/>
  <c r="Y350" i="15"/>
  <c r="Y351" i="15"/>
  <c r="Y352" i="15"/>
  <c r="Y353" i="15"/>
  <c r="Y354" i="15"/>
  <c r="Y355" i="15"/>
  <c r="Y356" i="15"/>
  <c r="Y357" i="15"/>
  <c r="Y358" i="15"/>
  <c r="Y359" i="15"/>
  <c r="Y360" i="15"/>
  <c r="Y361" i="15"/>
  <c r="Y362" i="15"/>
  <c r="Y363" i="15"/>
  <c r="Y364" i="15"/>
  <c r="Y365" i="15"/>
  <c r="Y366" i="15"/>
  <c r="Y367" i="15"/>
  <c r="Y368" i="15"/>
  <c r="Y369" i="15"/>
  <c r="Y370" i="15"/>
  <c r="Y371" i="15"/>
  <c r="Y372" i="15"/>
  <c r="Y373" i="15"/>
  <c r="Y374" i="15"/>
  <c r="Y375" i="15"/>
  <c r="Y376" i="15"/>
  <c r="Y377" i="15"/>
  <c r="Y378" i="15"/>
  <c r="Y379" i="15"/>
  <c r="Y380" i="15"/>
  <c r="Y381" i="15"/>
  <c r="Y382" i="15"/>
  <c r="Y383" i="15"/>
  <c r="Y384" i="15"/>
  <c r="Y385" i="15"/>
  <c r="Y386" i="15"/>
  <c r="Y387" i="15"/>
  <c r="Y388" i="15"/>
  <c r="Y389" i="15"/>
  <c r="Y390" i="15"/>
  <c r="Y391" i="15"/>
  <c r="Y392" i="15"/>
  <c r="Y393" i="15"/>
  <c r="Y394" i="15"/>
  <c r="Y395" i="15"/>
  <c r="Y396" i="15"/>
  <c r="Y397" i="15"/>
  <c r="Y398" i="15"/>
  <c r="Y399" i="15"/>
  <c r="AB399" i="15" s="1"/>
  <c r="Y400" i="15"/>
  <c r="AB400" i="15" s="1"/>
  <c r="Y401" i="15"/>
  <c r="Y402" i="15"/>
  <c r="Y403" i="15"/>
  <c r="Y404" i="15"/>
  <c r="AB404" i="15" s="1"/>
  <c r="Y405" i="15"/>
  <c r="Y406" i="15"/>
  <c r="Y407" i="15"/>
  <c r="Y408" i="15"/>
  <c r="Y409" i="15"/>
  <c r="Y410" i="15"/>
  <c r="Y411" i="15"/>
  <c r="E204" i="25" l="1"/>
  <c r="AM205" i="19"/>
  <c r="E205" i="25"/>
  <c r="AM206" i="19"/>
  <c r="AB405" i="15"/>
  <c r="AG403" i="19" s="1"/>
  <c r="E402" i="25"/>
  <c r="E190" i="27"/>
  <c r="E334" i="27"/>
  <c r="F336" i="27"/>
  <c r="D117" i="27"/>
  <c r="E452" i="27"/>
  <c r="G438" i="27"/>
  <c r="G183" i="27"/>
  <c r="E498" i="27"/>
  <c r="D198" i="27"/>
  <c r="F190" i="27"/>
  <c r="D309" i="27"/>
  <c r="D537" i="27"/>
  <c r="D438" i="27"/>
  <c r="D225" i="27"/>
  <c r="F334" i="27"/>
  <c r="E183" i="27"/>
  <c r="F498" i="27"/>
  <c r="F198" i="27"/>
  <c r="D336" i="27"/>
  <c r="G309" i="27"/>
  <c r="G537" i="27"/>
  <c r="F225" i="27"/>
  <c r="D334" i="27"/>
  <c r="F183" i="27"/>
  <c r="G498" i="27"/>
  <c r="D190" i="27"/>
  <c r="E336" i="27"/>
  <c r="E309" i="27"/>
  <c r="G273" i="27"/>
  <c r="D273" i="27"/>
  <c r="B89" i="33"/>
  <c r="G420" i="27"/>
  <c r="E456" i="27"/>
  <c r="E434" i="27"/>
  <c r="G545" i="27"/>
  <c r="D214" i="27"/>
  <c r="D482" i="27"/>
  <c r="F557" i="27"/>
  <c r="E554" i="27"/>
  <c r="E214" i="27"/>
  <c r="E482" i="27"/>
  <c r="D557" i="27"/>
  <c r="D554" i="27"/>
  <c r="F456" i="27"/>
  <c r="F434" i="27"/>
  <c r="F117" i="27"/>
  <c r="G117" i="27"/>
  <c r="E148" i="27"/>
  <c r="G519" i="27"/>
  <c r="E212" i="27"/>
  <c r="E480" i="27"/>
  <c r="G339" i="27"/>
  <c r="F430" i="27"/>
  <c r="G445" i="27"/>
  <c r="F316" i="27"/>
  <c r="D620" i="27"/>
  <c r="D400" i="27"/>
  <c r="D519" i="27"/>
  <c r="G212" i="27"/>
  <c r="D480" i="27"/>
  <c r="F339" i="27"/>
  <c r="E269" i="27"/>
  <c r="E445" i="27"/>
  <c r="G316" i="27"/>
  <c r="D351" i="27"/>
  <c r="F363" i="27"/>
  <c r="F361" i="27"/>
  <c r="F480" i="27"/>
  <c r="D430" i="27"/>
  <c r="G269" i="27"/>
  <c r="F445" i="27"/>
  <c r="F351" i="27"/>
  <c r="E411" i="27"/>
  <c r="E316" i="27"/>
  <c r="E351" i="27"/>
  <c r="F411" i="27"/>
  <c r="G620" i="27"/>
  <c r="F459" i="27"/>
  <c r="G490" i="27"/>
  <c r="G411" i="27"/>
  <c r="D427" i="27"/>
  <c r="E427" i="27"/>
  <c r="E460" i="27"/>
  <c r="F299" i="27"/>
  <c r="F531" i="27"/>
  <c r="D277" i="27"/>
  <c r="J416" i="25"/>
  <c r="D364" i="27"/>
  <c r="I416" i="25"/>
  <c r="F614" i="27"/>
  <c r="D489" i="27"/>
  <c r="E538" i="27"/>
  <c r="D586" i="27"/>
  <c r="E188" i="27"/>
  <c r="E258" i="27"/>
  <c r="D303" i="27"/>
  <c r="F564" i="27"/>
  <c r="G349" i="27"/>
  <c r="E319" i="27"/>
  <c r="E184" i="27"/>
  <c r="F488" i="27"/>
  <c r="E586" i="27"/>
  <c r="G614" i="27"/>
  <c r="D188" i="27"/>
  <c r="E349" i="27"/>
  <c r="F489" i="27"/>
  <c r="D258" i="27"/>
  <c r="F319" i="27"/>
  <c r="E303" i="27"/>
  <c r="D184" i="27"/>
  <c r="E545" i="27"/>
  <c r="E564" i="27"/>
  <c r="G488" i="27"/>
  <c r="D538" i="27"/>
  <c r="F586" i="27"/>
  <c r="E614" i="27"/>
  <c r="F188" i="27"/>
  <c r="F349" i="27"/>
  <c r="G489" i="27"/>
  <c r="G258" i="27"/>
  <c r="G319" i="27"/>
  <c r="G303" i="27"/>
  <c r="F184" i="27"/>
  <c r="D545" i="27"/>
  <c r="G564" i="27"/>
  <c r="D488" i="27"/>
  <c r="F538" i="27"/>
  <c r="E620" i="27"/>
  <c r="F427" i="27"/>
  <c r="G363" i="27"/>
  <c r="G459" i="27"/>
  <c r="F460" i="27"/>
  <c r="G400" i="27"/>
  <c r="G299" i="27"/>
  <c r="E277" i="27"/>
  <c r="G364" i="27"/>
  <c r="F490" i="27"/>
  <c r="G531" i="27"/>
  <c r="D363" i="27"/>
  <c r="D459" i="27"/>
  <c r="G460" i="27"/>
  <c r="F400" i="27"/>
  <c r="D299" i="27"/>
  <c r="F277" i="27"/>
  <c r="F364" i="27"/>
  <c r="D490" i="27"/>
  <c r="D531" i="27"/>
  <c r="K3" i="33"/>
  <c r="K4" i="33" s="1"/>
  <c r="E574" i="27"/>
  <c r="G474" i="27"/>
  <c r="G176" i="27"/>
  <c r="G556" i="27"/>
  <c r="G444" i="27"/>
  <c r="E609" i="27"/>
  <c r="D130" i="27"/>
  <c r="F574" i="27"/>
  <c r="D176" i="27"/>
  <c r="F444" i="27"/>
  <c r="D420" i="27"/>
  <c r="E474" i="27"/>
  <c r="E556" i="27"/>
  <c r="D609" i="27"/>
  <c r="F130" i="27"/>
  <c r="D574" i="27"/>
  <c r="E176" i="27"/>
  <c r="E444" i="27"/>
  <c r="E420" i="27"/>
  <c r="D474" i="27"/>
  <c r="D556" i="27"/>
  <c r="F609" i="27"/>
  <c r="F458" i="27"/>
  <c r="E458" i="27"/>
  <c r="D458" i="27"/>
  <c r="G458" i="27"/>
  <c r="E119" i="27"/>
  <c r="F119" i="27"/>
  <c r="G119" i="27"/>
  <c r="D119" i="27"/>
  <c r="F617" i="27"/>
  <c r="E617" i="27"/>
  <c r="D617" i="27"/>
  <c r="G617" i="27"/>
  <c r="F595" i="27"/>
  <c r="E595" i="27"/>
  <c r="D595" i="27"/>
  <c r="G595" i="27"/>
  <c r="D99" i="27"/>
  <c r="E99" i="27"/>
  <c r="F99" i="27"/>
  <c r="G99" i="27"/>
  <c r="G585" i="27"/>
  <c r="E585" i="27"/>
  <c r="D585" i="27"/>
  <c r="F585" i="27"/>
  <c r="D307" i="27"/>
  <c r="E307" i="27"/>
  <c r="G307" i="27"/>
  <c r="F307" i="27"/>
  <c r="F484" i="27"/>
  <c r="E484" i="27"/>
  <c r="D484" i="27"/>
  <c r="G484" i="27"/>
  <c r="E101" i="27"/>
  <c r="G101" i="27"/>
  <c r="D101" i="27"/>
  <c r="F101" i="27"/>
  <c r="F463" i="27"/>
  <c r="E463" i="27"/>
  <c r="G463" i="27"/>
  <c r="D463" i="27"/>
  <c r="E106" i="27"/>
  <c r="G106" i="27"/>
  <c r="D106" i="27"/>
  <c r="F106" i="27"/>
  <c r="E93" i="27"/>
  <c r="G93" i="27"/>
  <c r="D93" i="27"/>
  <c r="F93" i="27"/>
  <c r="E152" i="27"/>
  <c r="F152" i="27"/>
  <c r="D152" i="27"/>
  <c r="G152" i="27"/>
  <c r="E501" i="27"/>
  <c r="G501" i="27"/>
  <c r="D501" i="27"/>
  <c r="F501" i="27"/>
  <c r="F304" i="27"/>
  <c r="E304" i="27"/>
  <c r="D304" i="27"/>
  <c r="G304" i="27"/>
  <c r="G598" i="27"/>
  <c r="F598" i="27"/>
  <c r="D598" i="27"/>
  <c r="E598" i="27"/>
  <c r="F310" i="27"/>
  <c r="G310" i="27"/>
  <c r="E310" i="27"/>
  <c r="D310" i="27"/>
  <c r="E261" i="27"/>
  <c r="G261" i="27"/>
  <c r="D261" i="27"/>
  <c r="F261" i="27"/>
  <c r="G412" i="27"/>
  <c r="F412" i="27"/>
  <c r="E412" i="27"/>
  <c r="D412" i="27"/>
  <c r="G254" i="27"/>
  <c r="F254" i="27"/>
  <c r="E254" i="27"/>
  <c r="D254" i="27"/>
  <c r="E608" i="27"/>
  <c r="G608" i="27"/>
  <c r="D608" i="27"/>
  <c r="F608" i="27"/>
  <c r="F594" i="27"/>
  <c r="E594" i="27"/>
  <c r="D594" i="27"/>
  <c r="G594" i="27"/>
  <c r="D322" i="27"/>
  <c r="E322" i="27"/>
  <c r="G322" i="27"/>
  <c r="F322" i="27"/>
  <c r="F403" i="27"/>
  <c r="G403" i="27"/>
  <c r="D403" i="27"/>
  <c r="E403" i="27"/>
  <c r="F551" i="27"/>
  <c r="E551" i="27"/>
  <c r="D551" i="27"/>
  <c r="G551" i="27"/>
  <c r="G71" i="27"/>
  <c r="F71" i="27"/>
  <c r="E71" i="27"/>
  <c r="D71" i="27"/>
  <c r="E66" i="27"/>
  <c r="D66" i="27"/>
  <c r="G66" i="27"/>
  <c r="F66" i="27"/>
  <c r="E264" i="27"/>
  <c r="D264" i="27"/>
  <c r="G264" i="27"/>
  <c r="F264" i="27"/>
  <c r="E207" i="27"/>
  <c r="G207" i="27"/>
  <c r="D207" i="27"/>
  <c r="F207" i="27"/>
  <c r="G224" i="27"/>
  <c r="F224" i="27"/>
  <c r="D224" i="27"/>
  <c r="E224" i="27"/>
  <c r="F528" i="27"/>
  <c r="D528" i="27"/>
  <c r="E528" i="27"/>
  <c r="G528" i="27"/>
  <c r="E157" i="27"/>
  <c r="G157" i="27"/>
  <c r="D157" i="27"/>
  <c r="F157" i="27"/>
  <c r="G611" i="27"/>
  <c r="D611" i="27"/>
  <c r="E611" i="27"/>
  <c r="F611" i="27"/>
  <c r="F174" i="27"/>
  <c r="D174" i="27"/>
  <c r="E174" i="27"/>
  <c r="G174" i="27"/>
  <c r="F68" i="27"/>
  <c r="D68" i="27"/>
  <c r="G68" i="27"/>
  <c r="E68" i="27"/>
  <c r="G327" i="27"/>
  <c r="F327" i="27"/>
  <c r="E327" i="27"/>
  <c r="D327" i="27"/>
  <c r="F94" i="27"/>
  <c r="E94" i="27"/>
  <c r="D94" i="27"/>
  <c r="G94" i="27"/>
  <c r="G542" i="27"/>
  <c r="E542" i="27"/>
  <c r="D542" i="27"/>
  <c r="F542" i="27"/>
  <c r="F150" i="27"/>
  <c r="E150" i="27"/>
  <c r="D150" i="27"/>
  <c r="G150" i="27"/>
  <c r="F357" i="27"/>
  <c r="E357" i="27"/>
  <c r="D357" i="27"/>
  <c r="G357" i="27"/>
  <c r="F274" i="27"/>
  <c r="D274" i="27"/>
  <c r="E274" i="27"/>
  <c r="G274" i="27"/>
  <c r="G522" i="27"/>
  <c r="E522" i="27"/>
  <c r="F522" i="27"/>
  <c r="D522" i="27"/>
  <c r="E381" i="27"/>
  <c r="D381" i="27"/>
  <c r="G381" i="27"/>
  <c r="F381" i="27"/>
  <c r="G384" i="27"/>
  <c r="F384" i="27"/>
  <c r="D384" i="27"/>
  <c r="E384" i="27"/>
  <c r="F312" i="27"/>
  <c r="G312" i="27"/>
  <c r="E312" i="27"/>
  <c r="D312" i="27"/>
  <c r="G281" i="27"/>
  <c r="F281" i="27"/>
  <c r="E281" i="27"/>
  <c r="D281" i="27"/>
  <c r="F354" i="27"/>
  <c r="E354" i="27"/>
  <c r="D354" i="27"/>
  <c r="G354" i="27"/>
  <c r="F534" i="27"/>
  <c r="E534" i="27"/>
  <c r="D534" i="27"/>
  <c r="G534" i="27"/>
  <c r="F582" i="27"/>
  <c r="D582" i="27"/>
  <c r="E582" i="27"/>
  <c r="G582" i="27"/>
  <c r="G236" i="27"/>
  <c r="E236" i="27"/>
  <c r="F236" i="27"/>
  <c r="D236" i="27"/>
  <c r="E85" i="27"/>
  <c r="D85" i="27"/>
  <c r="G85" i="27"/>
  <c r="F85" i="27"/>
  <c r="F138" i="27"/>
  <c r="E138" i="27"/>
  <c r="D138" i="27"/>
  <c r="G138" i="27"/>
  <c r="E121" i="27"/>
  <c r="G121" i="27"/>
  <c r="F121" i="27"/>
  <c r="D121" i="27"/>
  <c r="F213" i="27"/>
  <c r="E213" i="27"/>
  <c r="D213" i="27"/>
  <c r="G213" i="27"/>
  <c r="G75" i="27"/>
  <c r="F75" i="27"/>
  <c r="E75" i="27"/>
  <c r="D75" i="27"/>
  <c r="E168" i="27"/>
  <c r="F168" i="27"/>
  <c r="D168" i="27"/>
  <c r="G168" i="27"/>
  <c r="F238" i="27"/>
  <c r="E238" i="27"/>
  <c r="D238" i="27"/>
  <c r="G238" i="27"/>
  <c r="G290" i="27"/>
  <c r="F290" i="27"/>
  <c r="E290" i="27"/>
  <c r="D290" i="27"/>
  <c r="G318" i="27"/>
  <c r="F318" i="27"/>
  <c r="E318" i="27"/>
  <c r="D318" i="27"/>
  <c r="G466" i="27"/>
  <c r="F466" i="27"/>
  <c r="D466" i="27"/>
  <c r="E466" i="27"/>
  <c r="Q369" i="27"/>
  <c r="D605" i="27"/>
  <c r="G605" i="27"/>
  <c r="F605" i="27"/>
  <c r="E605" i="27"/>
  <c r="F133" i="27"/>
  <c r="E133" i="27"/>
  <c r="D133" i="27"/>
  <c r="G133" i="27"/>
  <c r="D210" i="27"/>
  <c r="E210" i="27"/>
  <c r="G210" i="27"/>
  <c r="F210" i="27"/>
  <c r="E581" i="27"/>
  <c r="G581" i="27"/>
  <c r="D581" i="27"/>
  <c r="F581" i="27"/>
  <c r="F518" i="27"/>
  <c r="G518" i="27"/>
  <c r="D518" i="27"/>
  <c r="E518" i="27"/>
  <c r="G244" i="27"/>
  <c r="F244" i="27"/>
  <c r="E244" i="27"/>
  <c r="D244" i="27"/>
  <c r="F565" i="27"/>
  <c r="E565" i="27"/>
  <c r="D565" i="27"/>
  <c r="G565" i="27"/>
  <c r="P57" i="27"/>
  <c r="J57" i="27"/>
  <c r="N24" i="27" s="1"/>
  <c r="F352" i="27"/>
  <c r="G352" i="27"/>
  <c r="E352" i="27"/>
  <c r="D352" i="27"/>
  <c r="F355" i="27"/>
  <c r="E355" i="27"/>
  <c r="D355" i="27"/>
  <c r="G355" i="27"/>
  <c r="G278" i="27"/>
  <c r="F278" i="27"/>
  <c r="D278" i="27"/>
  <c r="E278" i="27"/>
  <c r="F558" i="27"/>
  <c r="D558" i="27"/>
  <c r="E558" i="27"/>
  <c r="G558" i="27"/>
  <c r="F401" i="27"/>
  <c r="D401" i="27"/>
  <c r="E401" i="27"/>
  <c r="G401" i="27"/>
  <c r="F296" i="27"/>
  <c r="E296" i="27"/>
  <c r="G296" i="27"/>
  <c r="D296" i="27"/>
  <c r="F454" i="27"/>
  <c r="G454" i="27"/>
  <c r="D454" i="27"/>
  <c r="E454" i="27"/>
  <c r="F579" i="27"/>
  <c r="E579" i="27"/>
  <c r="D579" i="27"/>
  <c r="G579" i="27"/>
  <c r="E325" i="27"/>
  <c r="D325" i="27"/>
  <c r="G325" i="27"/>
  <c r="F325" i="27"/>
  <c r="D618" i="27"/>
  <c r="E618" i="27"/>
  <c r="G618" i="27"/>
  <c r="F618" i="27"/>
  <c r="G570" i="27"/>
  <c r="F570" i="27"/>
  <c r="E570" i="27"/>
  <c r="D570" i="27"/>
  <c r="G520" i="27"/>
  <c r="F520" i="27"/>
  <c r="E520" i="27"/>
  <c r="D520" i="27"/>
  <c r="F335" i="27"/>
  <c r="E335" i="27"/>
  <c r="D335" i="27"/>
  <c r="G335" i="27"/>
  <c r="G324" i="27"/>
  <c r="F324" i="27"/>
  <c r="D324" i="27"/>
  <c r="E324" i="27"/>
  <c r="G90" i="27"/>
  <c r="E90" i="27"/>
  <c r="D90" i="27"/>
  <c r="F90" i="27"/>
  <c r="E389" i="27"/>
  <c r="G389" i="27"/>
  <c r="D389" i="27"/>
  <c r="F389" i="27"/>
  <c r="F606" i="27"/>
  <c r="D606" i="27"/>
  <c r="E606" i="27"/>
  <c r="G606" i="27"/>
  <c r="F166" i="27"/>
  <c r="E166" i="27"/>
  <c r="D166" i="27"/>
  <c r="G166" i="27"/>
  <c r="F242" i="27"/>
  <c r="E242" i="27"/>
  <c r="D242" i="27"/>
  <c r="G242" i="27"/>
  <c r="G151" i="27"/>
  <c r="F151" i="27"/>
  <c r="E151" i="27"/>
  <c r="D151" i="27"/>
  <c r="F566" i="27"/>
  <c r="D566" i="27"/>
  <c r="E566" i="27"/>
  <c r="G566" i="27"/>
  <c r="D560" i="27"/>
  <c r="F560" i="27"/>
  <c r="G560" i="27"/>
  <c r="E560" i="27"/>
  <c r="D109" i="27"/>
  <c r="G109" i="27"/>
  <c r="F109" i="27"/>
  <c r="E109" i="27"/>
  <c r="F543" i="27"/>
  <c r="E543" i="27"/>
  <c r="D543" i="27"/>
  <c r="G543" i="27"/>
  <c r="F217" i="27"/>
  <c r="E217" i="27"/>
  <c r="D217" i="27"/>
  <c r="G217" i="27"/>
  <c r="F252" i="27"/>
  <c r="G252" i="27"/>
  <c r="D252" i="27"/>
  <c r="E252" i="27"/>
  <c r="F211" i="27"/>
  <c r="E211" i="27"/>
  <c r="D211" i="27"/>
  <c r="G211" i="27"/>
  <c r="G473" i="27"/>
  <c r="D473" i="27"/>
  <c r="E473" i="27"/>
  <c r="F473" i="27"/>
  <c r="E191" i="27"/>
  <c r="F191" i="27"/>
  <c r="D191" i="27"/>
  <c r="G191" i="27"/>
  <c r="G291" i="27"/>
  <c r="E291" i="27"/>
  <c r="D291" i="27"/>
  <c r="F291" i="27"/>
  <c r="G87" i="27"/>
  <c r="F87" i="27"/>
  <c r="D87" i="27"/>
  <c r="E87" i="27"/>
  <c r="F186" i="27"/>
  <c r="D186" i="27"/>
  <c r="E186" i="27"/>
  <c r="G186" i="27"/>
  <c r="E360" i="27"/>
  <c r="G360" i="27"/>
  <c r="F360" i="27"/>
  <c r="D360" i="27"/>
  <c r="E443" i="27"/>
  <c r="F443" i="27"/>
  <c r="D443" i="27"/>
  <c r="G443" i="27"/>
  <c r="F502" i="27"/>
  <c r="E502" i="27"/>
  <c r="D502" i="27"/>
  <c r="G502" i="27"/>
  <c r="E100" i="27"/>
  <c r="F100" i="27"/>
  <c r="D100" i="27"/>
  <c r="G100" i="27"/>
  <c r="G83" i="27"/>
  <c r="F83" i="27"/>
  <c r="E83" i="27"/>
  <c r="D83" i="27"/>
  <c r="F78" i="27"/>
  <c r="E78" i="27"/>
  <c r="D78" i="27"/>
  <c r="G78" i="27"/>
  <c r="E189" i="27"/>
  <c r="G189" i="27"/>
  <c r="D189" i="27"/>
  <c r="F189" i="27"/>
  <c r="G76" i="27"/>
  <c r="D76" i="27"/>
  <c r="E76" i="27"/>
  <c r="F76" i="27"/>
  <c r="F69" i="27"/>
  <c r="E69" i="27"/>
  <c r="G69" i="27"/>
  <c r="D69" i="27"/>
  <c r="F295" i="27"/>
  <c r="D295" i="27"/>
  <c r="E295" i="27"/>
  <c r="G295" i="27"/>
  <c r="F409" i="27"/>
  <c r="G409" i="27"/>
  <c r="D409" i="27"/>
  <c r="E409" i="27"/>
  <c r="E159" i="27"/>
  <c r="F159" i="27"/>
  <c r="D159" i="27"/>
  <c r="G159" i="27"/>
  <c r="F220" i="27"/>
  <c r="E220" i="27"/>
  <c r="D220" i="27"/>
  <c r="G220" i="27"/>
  <c r="G233" i="27"/>
  <c r="F233" i="27"/>
  <c r="D233" i="27"/>
  <c r="E233" i="27"/>
  <c r="G439" i="27"/>
  <c r="D439" i="27"/>
  <c r="E439" i="27"/>
  <c r="F439" i="27"/>
  <c r="E461" i="27"/>
  <c r="G461" i="27"/>
  <c r="D461" i="27"/>
  <c r="F461" i="27"/>
  <c r="D509" i="27"/>
  <c r="G509" i="27"/>
  <c r="F509" i="27"/>
  <c r="E509" i="27"/>
  <c r="F477" i="27"/>
  <c r="E477" i="27"/>
  <c r="D477" i="27"/>
  <c r="G477" i="27"/>
  <c r="E533" i="27"/>
  <c r="G533" i="27"/>
  <c r="D533" i="27"/>
  <c r="F533" i="27"/>
  <c r="E471" i="27"/>
  <c r="G471" i="27"/>
  <c r="D471" i="27"/>
  <c r="F471" i="27"/>
  <c r="F513" i="27"/>
  <c r="G513" i="27"/>
  <c r="E513" i="27"/>
  <c r="D513" i="27"/>
  <c r="E559" i="27"/>
  <c r="G559" i="27"/>
  <c r="D559" i="27"/>
  <c r="F559" i="27"/>
  <c r="E514" i="27"/>
  <c r="F514" i="27"/>
  <c r="G514" i="27"/>
  <c r="D514" i="27"/>
  <c r="F116" i="27"/>
  <c r="E116" i="27"/>
  <c r="D116" i="27"/>
  <c r="G116" i="27"/>
  <c r="D600" i="27"/>
  <c r="F600" i="27"/>
  <c r="G600" i="27"/>
  <c r="E600" i="27"/>
  <c r="E413" i="27"/>
  <c r="D413" i="27"/>
  <c r="G413" i="27"/>
  <c r="F413" i="27"/>
  <c r="F98" i="27"/>
  <c r="E98" i="27"/>
  <c r="D98" i="27"/>
  <c r="G98" i="27"/>
  <c r="D536" i="27"/>
  <c r="E536" i="27"/>
  <c r="F536" i="27"/>
  <c r="G536" i="27"/>
  <c r="F280" i="27"/>
  <c r="E280" i="27"/>
  <c r="D280" i="27"/>
  <c r="G280" i="27"/>
  <c r="G288" i="27"/>
  <c r="F288" i="27"/>
  <c r="E288" i="27"/>
  <c r="D288" i="27"/>
  <c r="E441" i="27"/>
  <c r="D441" i="27"/>
  <c r="F441" i="27"/>
  <c r="G441" i="27"/>
  <c r="G548" i="27"/>
  <c r="D548" i="27"/>
  <c r="E548" i="27"/>
  <c r="F548" i="27"/>
  <c r="F253" i="27"/>
  <c r="E253" i="27"/>
  <c r="G253" i="27"/>
  <c r="D253" i="27"/>
  <c r="D437" i="27"/>
  <c r="G437" i="27"/>
  <c r="F437" i="27"/>
  <c r="E437" i="27"/>
  <c r="F202" i="27"/>
  <c r="E202" i="27"/>
  <c r="D202" i="27"/>
  <c r="G202" i="27"/>
  <c r="G358" i="27"/>
  <c r="D358" i="27"/>
  <c r="E358" i="27"/>
  <c r="F358" i="27"/>
  <c r="G504" i="27"/>
  <c r="F504" i="27"/>
  <c r="E504" i="27"/>
  <c r="D504" i="27"/>
  <c r="E315" i="27"/>
  <c r="D315" i="27"/>
  <c r="F315" i="27"/>
  <c r="G315" i="27"/>
  <c r="G74" i="27"/>
  <c r="F74" i="27"/>
  <c r="E74" i="27"/>
  <c r="D74" i="27"/>
  <c r="D619" i="27"/>
  <c r="E619" i="27"/>
  <c r="F619" i="27"/>
  <c r="G619" i="27"/>
  <c r="F492" i="27"/>
  <c r="E492" i="27"/>
  <c r="D492" i="27"/>
  <c r="G492" i="27"/>
  <c r="E422" i="27"/>
  <c r="D422" i="27"/>
  <c r="F422" i="27"/>
  <c r="G422" i="27"/>
  <c r="G216" i="27"/>
  <c r="F216" i="27"/>
  <c r="E216" i="27"/>
  <c r="D216" i="27"/>
  <c r="G144" i="27"/>
  <c r="F144" i="27"/>
  <c r="E144" i="27"/>
  <c r="D144" i="27"/>
  <c r="F234" i="27"/>
  <c r="E234" i="27"/>
  <c r="D234" i="27"/>
  <c r="G234" i="27"/>
  <c r="E115" i="27"/>
  <c r="F115" i="27"/>
  <c r="D115" i="27"/>
  <c r="G115" i="27"/>
  <c r="E108" i="27"/>
  <c r="F108" i="27"/>
  <c r="G108" i="27"/>
  <c r="D108" i="27"/>
  <c r="G102" i="27"/>
  <c r="F102" i="27"/>
  <c r="D102" i="27"/>
  <c r="E102" i="27"/>
  <c r="F163" i="27"/>
  <c r="E163" i="27"/>
  <c r="D163" i="27"/>
  <c r="G163" i="27"/>
  <c r="G359" i="27"/>
  <c r="F359" i="27"/>
  <c r="D359" i="27"/>
  <c r="E359" i="27"/>
  <c r="F435" i="27"/>
  <c r="E435" i="27"/>
  <c r="D435" i="27"/>
  <c r="G435" i="27"/>
  <c r="G530" i="27"/>
  <c r="F530" i="27"/>
  <c r="D530" i="27"/>
  <c r="E530" i="27"/>
  <c r="F153" i="27"/>
  <c r="E153" i="27"/>
  <c r="D153" i="27"/>
  <c r="G153" i="27"/>
  <c r="G592" i="27"/>
  <c r="E592" i="27"/>
  <c r="D592" i="27"/>
  <c r="F592" i="27"/>
  <c r="G436" i="27"/>
  <c r="D436" i="27"/>
  <c r="E436" i="27"/>
  <c r="F436" i="27"/>
  <c r="E143" i="27"/>
  <c r="F143" i="27"/>
  <c r="D143" i="27"/>
  <c r="G143" i="27"/>
  <c r="G602" i="27"/>
  <c r="F602" i="27"/>
  <c r="D602" i="27"/>
  <c r="E602" i="27"/>
  <c r="G385" i="27"/>
  <c r="E385" i="27"/>
  <c r="D385" i="27"/>
  <c r="F385" i="27"/>
  <c r="G449" i="27"/>
  <c r="D449" i="27"/>
  <c r="F449" i="27"/>
  <c r="E449" i="27"/>
  <c r="F345" i="27"/>
  <c r="E345" i="27"/>
  <c r="D345" i="27"/>
  <c r="G345" i="27"/>
  <c r="F289" i="27"/>
  <c r="D289" i="27"/>
  <c r="G289" i="27"/>
  <c r="E289" i="27"/>
  <c r="E340" i="27"/>
  <c r="F340" i="27"/>
  <c r="D340" i="27"/>
  <c r="G340" i="27"/>
  <c r="F577" i="27"/>
  <c r="E577" i="27"/>
  <c r="D577" i="27"/>
  <c r="G577" i="27"/>
  <c r="E516" i="27"/>
  <c r="F516" i="27"/>
  <c r="D516" i="27"/>
  <c r="G516" i="27"/>
  <c r="E333" i="27"/>
  <c r="D333" i="27"/>
  <c r="G333" i="27"/>
  <c r="F333" i="27"/>
  <c r="F245" i="27"/>
  <c r="E245" i="27"/>
  <c r="G245" i="27"/>
  <c r="D245" i="27"/>
  <c r="F510" i="27"/>
  <c r="G510" i="27"/>
  <c r="D510" i="27"/>
  <c r="E510" i="27"/>
  <c r="F512" i="27"/>
  <c r="E512" i="27"/>
  <c r="D512" i="27"/>
  <c r="G512" i="27"/>
  <c r="F341" i="27"/>
  <c r="E341" i="27"/>
  <c r="D341" i="27"/>
  <c r="G341" i="27"/>
  <c r="G353" i="27"/>
  <c r="D353" i="27"/>
  <c r="E353" i="27"/>
  <c r="F353" i="27"/>
  <c r="F215" i="27"/>
  <c r="G215" i="27"/>
  <c r="E215" i="27"/>
  <c r="D215" i="27"/>
  <c r="G302" i="27"/>
  <c r="E302" i="27"/>
  <c r="D302" i="27"/>
  <c r="F302" i="27"/>
  <c r="E493" i="27"/>
  <c r="G493" i="27"/>
  <c r="D493" i="27"/>
  <c r="F493" i="27"/>
  <c r="F82" i="27"/>
  <c r="E82" i="27"/>
  <c r="D82" i="27"/>
  <c r="G82" i="27"/>
  <c r="F587" i="27"/>
  <c r="G587" i="27"/>
  <c r="E587" i="27"/>
  <c r="D587" i="27"/>
  <c r="E158" i="27"/>
  <c r="D158" i="27"/>
  <c r="F158" i="27"/>
  <c r="G158" i="27"/>
  <c r="F612" i="27"/>
  <c r="G612" i="27"/>
  <c r="D612" i="27"/>
  <c r="E612" i="27"/>
  <c r="E396" i="27"/>
  <c r="D396" i="27"/>
  <c r="G396" i="27"/>
  <c r="F396" i="27"/>
  <c r="G580" i="27"/>
  <c r="E580" i="27"/>
  <c r="D580" i="27"/>
  <c r="F580" i="27"/>
  <c r="D67" i="27"/>
  <c r="G67" i="27"/>
  <c r="F67" i="27"/>
  <c r="E67" i="27"/>
  <c r="G517" i="27"/>
  <c r="D517" i="27"/>
  <c r="F517" i="27"/>
  <c r="E517" i="27"/>
  <c r="G164" i="27"/>
  <c r="D164" i="27"/>
  <c r="F164" i="27"/>
  <c r="E164" i="27"/>
  <c r="G103" i="27"/>
  <c r="F103" i="27"/>
  <c r="E103" i="27"/>
  <c r="D103" i="27"/>
  <c r="G338" i="27"/>
  <c r="F338" i="27"/>
  <c r="D338" i="27"/>
  <c r="E338" i="27"/>
  <c r="D521" i="27"/>
  <c r="E521" i="27"/>
  <c r="G521" i="27"/>
  <c r="F521" i="27"/>
  <c r="F167" i="27"/>
  <c r="E167" i="27"/>
  <c r="D167" i="27"/>
  <c r="G167" i="27"/>
  <c r="F365" i="27"/>
  <c r="E365" i="27"/>
  <c r="D365" i="27"/>
  <c r="G365" i="27"/>
  <c r="E405" i="27"/>
  <c r="G405" i="27"/>
  <c r="D405" i="27"/>
  <c r="F405" i="27"/>
  <c r="G187" i="27"/>
  <c r="F187" i="27"/>
  <c r="E187" i="27"/>
  <c r="D187" i="27"/>
  <c r="F136" i="27"/>
  <c r="D136" i="27"/>
  <c r="E136" i="27"/>
  <c r="G136" i="27"/>
  <c r="D241" i="27"/>
  <c r="F241" i="27"/>
  <c r="G241" i="27"/>
  <c r="E241" i="27"/>
  <c r="F156" i="27"/>
  <c r="E156" i="27"/>
  <c r="D156" i="27"/>
  <c r="G156" i="27"/>
  <c r="F80" i="27"/>
  <c r="E80" i="27"/>
  <c r="D80" i="27"/>
  <c r="G80" i="27"/>
  <c r="F114" i="27"/>
  <c r="E114" i="27"/>
  <c r="D114" i="27"/>
  <c r="G114" i="27"/>
  <c r="F251" i="27"/>
  <c r="G251" i="27"/>
  <c r="E251" i="27"/>
  <c r="D251" i="27"/>
  <c r="E72" i="27"/>
  <c r="D72" i="27"/>
  <c r="F72" i="27"/>
  <c r="G72" i="27"/>
  <c r="E573" i="27"/>
  <c r="D573" i="27"/>
  <c r="G573" i="27"/>
  <c r="F573" i="27"/>
  <c r="G275" i="27"/>
  <c r="D275" i="27"/>
  <c r="E275" i="27"/>
  <c r="F275" i="27"/>
  <c r="E81" i="27"/>
  <c r="F81" i="27"/>
  <c r="D81" i="27"/>
  <c r="G81" i="27"/>
  <c r="E205" i="27"/>
  <c r="D205" i="27"/>
  <c r="G205" i="27"/>
  <c r="F205" i="27"/>
  <c r="G193" i="27"/>
  <c r="E193" i="27"/>
  <c r="F193" i="27"/>
  <c r="D193" i="27"/>
  <c r="F162" i="27"/>
  <c r="D162" i="27"/>
  <c r="E162" i="27"/>
  <c r="G162" i="27"/>
  <c r="F178" i="27"/>
  <c r="E178" i="27"/>
  <c r="D178" i="27"/>
  <c r="G178" i="27"/>
  <c r="G433" i="27"/>
  <c r="F433" i="27"/>
  <c r="E433" i="27"/>
  <c r="D433" i="27"/>
  <c r="G139" i="27"/>
  <c r="F139" i="27"/>
  <c r="E139" i="27"/>
  <c r="D139" i="27"/>
  <c r="F123" i="27"/>
  <c r="E123" i="27"/>
  <c r="D123" i="27"/>
  <c r="G123" i="27"/>
  <c r="E204" i="27"/>
  <c r="F204" i="27"/>
  <c r="D204" i="27"/>
  <c r="G204" i="27"/>
  <c r="G250" i="27"/>
  <c r="E250" i="27"/>
  <c r="D250" i="27"/>
  <c r="F250" i="27"/>
  <c r="E132" i="27"/>
  <c r="F132" i="27"/>
  <c r="D132" i="27"/>
  <c r="G132" i="27"/>
  <c r="G561" i="27"/>
  <c r="F561" i="27"/>
  <c r="E561" i="27"/>
  <c r="D561" i="27"/>
  <c r="F591" i="27"/>
  <c r="D591" i="27"/>
  <c r="G591" i="27"/>
  <c r="E591" i="27"/>
  <c r="G407" i="27"/>
  <c r="E407" i="27"/>
  <c r="F407" i="27"/>
  <c r="D407" i="27"/>
  <c r="E65" i="27"/>
  <c r="F65" i="27"/>
  <c r="D65" i="27"/>
  <c r="G65" i="27"/>
  <c r="E495" i="27"/>
  <c r="F495" i="27"/>
  <c r="D495" i="27"/>
  <c r="G495" i="27"/>
  <c r="F292" i="27"/>
  <c r="D292" i="27"/>
  <c r="G292" i="27"/>
  <c r="E292" i="27"/>
  <c r="G199" i="27"/>
  <c r="F199" i="27"/>
  <c r="E199" i="27"/>
  <c r="D199" i="27"/>
  <c r="F218" i="27"/>
  <c r="E218" i="27"/>
  <c r="D218" i="27"/>
  <c r="G218" i="27"/>
  <c r="F124" i="27"/>
  <c r="D124" i="27"/>
  <c r="G124" i="27"/>
  <c r="E124" i="27"/>
  <c r="E362" i="27"/>
  <c r="G362" i="27"/>
  <c r="F362" i="27"/>
  <c r="D362" i="27"/>
  <c r="F393" i="27"/>
  <c r="E393" i="27"/>
  <c r="D393" i="27"/>
  <c r="G393" i="27"/>
  <c r="E92" i="27"/>
  <c r="D92" i="27"/>
  <c r="G92" i="27"/>
  <c r="F92" i="27"/>
  <c r="F89" i="27"/>
  <c r="E89" i="27"/>
  <c r="D89" i="27"/>
  <c r="G89" i="27"/>
  <c r="G589" i="27"/>
  <c r="D589" i="27"/>
  <c r="F589" i="27"/>
  <c r="E589" i="27"/>
  <c r="G486" i="27"/>
  <c r="F486" i="27"/>
  <c r="E486" i="27"/>
  <c r="D486" i="27"/>
  <c r="F442" i="27"/>
  <c r="E442" i="27"/>
  <c r="D442" i="27"/>
  <c r="G442" i="27"/>
  <c r="G616" i="27"/>
  <c r="F616" i="27"/>
  <c r="E616" i="27"/>
  <c r="D616" i="27"/>
  <c r="D541" i="27"/>
  <c r="G541" i="27"/>
  <c r="F541" i="27"/>
  <c r="E541" i="27"/>
  <c r="E77" i="27"/>
  <c r="D77" i="27"/>
  <c r="G77" i="27"/>
  <c r="F77" i="27"/>
  <c r="F320" i="27"/>
  <c r="D320" i="27"/>
  <c r="E320" i="27"/>
  <c r="G320" i="27"/>
  <c r="F126" i="27"/>
  <c r="E126" i="27"/>
  <c r="D126" i="27"/>
  <c r="G126" i="27"/>
  <c r="F88" i="27"/>
  <c r="D88" i="27"/>
  <c r="E88" i="27"/>
  <c r="G88" i="27"/>
  <c r="F235" i="27"/>
  <c r="E235" i="27"/>
  <c r="D235" i="27"/>
  <c r="G235" i="27"/>
  <c r="E266" i="27"/>
  <c r="G266" i="27"/>
  <c r="D266" i="27"/>
  <c r="F266" i="27"/>
  <c r="F491" i="27"/>
  <c r="E491" i="27"/>
  <c r="D491" i="27"/>
  <c r="G491" i="27"/>
  <c r="G406" i="27"/>
  <c r="F406" i="27"/>
  <c r="E406" i="27"/>
  <c r="D406" i="27"/>
  <c r="E221" i="27"/>
  <c r="G221" i="27"/>
  <c r="D221" i="27"/>
  <c r="F221" i="27"/>
  <c r="F173" i="27"/>
  <c r="E173" i="27"/>
  <c r="D173" i="27"/>
  <c r="G173" i="27"/>
  <c r="F146" i="27"/>
  <c r="E146" i="27"/>
  <c r="D146" i="27"/>
  <c r="G146" i="27"/>
  <c r="F601" i="27"/>
  <c r="E601" i="27"/>
  <c r="D601" i="27"/>
  <c r="G601" i="27"/>
  <c r="E169" i="27"/>
  <c r="F169" i="27"/>
  <c r="D169" i="27"/>
  <c r="G169" i="27"/>
  <c r="F448" i="27"/>
  <c r="E448" i="27"/>
  <c r="D448" i="27"/>
  <c r="G448" i="27"/>
  <c r="E431" i="27"/>
  <c r="D431" i="27"/>
  <c r="G431" i="27"/>
  <c r="F431" i="27"/>
  <c r="E255" i="27"/>
  <c r="D255" i="27"/>
  <c r="F255" i="27"/>
  <c r="G255" i="27"/>
  <c r="F343" i="27"/>
  <c r="E343" i="27"/>
  <c r="D343" i="27"/>
  <c r="G343" i="27"/>
  <c r="E535" i="27"/>
  <c r="F535" i="27"/>
  <c r="D535" i="27"/>
  <c r="G535" i="27"/>
  <c r="E578" i="27"/>
  <c r="F578" i="27"/>
  <c r="D578" i="27"/>
  <c r="G578" i="27"/>
  <c r="F208" i="27"/>
  <c r="E208" i="27"/>
  <c r="D208" i="27"/>
  <c r="G208" i="27"/>
  <c r="F467" i="27"/>
  <c r="D467" i="27"/>
  <c r="G467" i="27"/>
  <c r="E467" i="27"/>
  <c r="G95" i="27"/>
  <c r="E95" i="27"/>
  <c r="F95" i="27"/>
  <c r="D95" i="27"/>
  <c r="F380" i="27"/>
  <c r="E380" i="27"/>
  <c r="D380" i="27"/>
  <c r="G380" i="27"/>
  <c r="G182" i="27"/>
  <c r="D182" i="27"/>
  <c r="F182" i="27"/>
  <c r="E182" i="27"/>
  <c r="E300" i="27"/>
  <c r="G300" i="27"/>
  <c r="F300" i="27"/>
  <c r="D300" i="27"/>
  <c r="E367" i="27"/>
  <c r="G367" i="27"/>
  <c r="F367" i="27"/>
  <c r="D367" i="27"/>
  <c r="G267" i="27"/>
  <c r="F267" i="27"/>
  <c r="E267" i="27"/>
  <c r="D267" i="27"/>
  <c r="G282" i="27"/>
  <c r="F282" i="27"/>
  <c r="E282" i="27"/>
  <c r="D282" i="27"/>
  <c r="E383" i="27"/>
  <c r="D383" i="27"/>
  <c r="G383" i="27"/>
  <c r="F383" i="27"/>
  <c r="F563" i="27"/>
  <c r="E563" i="27"/>
  <c r="D563" i="27"/>
  <c r="G563" i="27"/>
  <c r="F263" i="27"/>
  <c r="E263" i="27"/>
  <c r="D263" i="27"/>
  <c r="G263" i="27"/>
  <c r="F283" i="27"/>
  <c r="E283" i="27"/>
  <c r="D283" i="27"/>
  <c r="G283" i="27"/>
  <c r="G478" i="27"/>
  <c r="D478" i="27"/>
  <c r="E478" i="27"/>
  <c r="F478" i="27"/>
  <c r="D127" i="27"/>
  <c r="F127" i="27"/>
  <c r="E127" i="27"/>
  <c r="G127" i="27"/>
  <c r="F476" i="27"/>
  <c r="G476" i="27"/>
  <c r="E476" i="27"/>
  <c r="D476" i="27"/>
  <c r="F457" i="27"/>
  <c r="D457" i="27"/>
  <c r="E457" i="27"/>
  <c r="G457" i="27"/>
  <c r="F447" i="27"/>
  <c r="E447" i="27"/>
  <c r="D447" i="27"/>
  <c r="G447" i="27"/>
  <c r="E209" i="27"/>
  <c r="G209" i="27"/>
  <c r="F209" i="27"/>
  <c r="D209" i="27"/>
  <c r="G572" i="27"/>
  <c r="D572" i="27"/>
  <c r="E572" i="27"/>
  <c r="F572" i="27"/>
  <c r="G539" i="27"/>
  <c r="E539" i="27"/>
  <c r="F539" i="27"/>
  <c r="D539" i="27"/>
  <c r="G567" i="27"/>
  <c r="E567" i="27"/>
  <c r="D567" i="27"/>
  <c r="F567" i="27"/>
  <c r="G268" i="27"/>
  <c r="F268" i="27"/>
  <c r="D268" i="27"/>
  <c r="E268" i="27"/>
  <c r="G223" i="27"/>
  <c r="F223" i="27"/>
  <c r="E223" i="27"/>
  <c r="D223" i="27"/>
  <c r="F311" i="27"/>
  <c r="D311" i="27"/>
  <c r="E311" i="27"/>
  <c r="G311" i="27"/>
  <c r="F259" i="27"/>
  <c r="E259" i="27"/>
  <c r="D259" i="27"/>
  <c r="G259" i="27"/>
  <c r="G79" i="27"/>
  <c r="E79" i="27"/>
  <c r="F79" i="27"/>
  <c r="D79" i="27"/>
  <c r="F328" i="27"/>
  <c r="E328" i="27"/>
  <c r="D328" i="27"/>
  <c r="G328" i="27"/>
  <c r="E73" i="27"/>
  <c r="F73" i="27"/>
  <c r="D73" i="27"/>
  <c r="G73" i="27"/>
  <c r="F160" i="27"/>
  <c r="E160" i="27"/>
  <c r="D160" i="27"/>
  <c r="G160" i="27"/>
  <c r="F395" i="27"/>
  <c r="D395" i="27"/>
  <c r="G395" i="27"/>
  <c r="E395" i="27"/>
  <c r="G390" i="27"/>
  <c r="F390" i="27"/>
  <c r="E390" i="27"/>
  <c r="D390" i="27"/>
  <c r="G464" i="27"/>
  <c r="D464" i="27"/>
  <c r="E464" i="27"/>
  <c r="F464" i="27"/>
  <c r="F120" i="27"/>
  <c r="E120" i="27"/>
  <c r="D120" i="27"/>
  <c r="G120" i="27"/>
  <c r="E128" i="27"/>
  <c r="D128" i="27"/>
  <c r="F128" i="27"/>
  <c r="G128" i="27"/>
  <c r="E285" i="27"/>
  <c r="D285" i="27"/>
  <c r="G285" i="27"/>
  <c r="F285" i="27"/>
  <c r="F260" i="27"/>
  <c r="G260" i="27"/>
  <c r="D260" i="27"/>
  <c r="E260" i="27"/>
  <c r="G368" i="27"/>
  <c r="D368" i="27"/>
  <c r="E368" i="27"/>
  <c r="F368" i="27"/>
  <c r="F142" i="27"/>
  <c r="E142" i="27"/>
  <c r="D142" i="27"/>
  <c r="G142" i="27"/>
  <c r="E232" i="27"/>
  <c r="D232" i="27"/>
  <c r="G232" i="27"/>
  <c r="F232" i="27"/>
  <c r="G293" i="27"/>
  <c r="D293" i="27"/>
  <c r="F293" i="27"/>
  <c r="E293" i="27"/>
  <c r="G337" i="27"/>
  <c r="F337" i="27"/>
  <c r="D337" i="27"/>
  <c r="E337" i="27"/>
  <c r="F231" i="27"/>
  <c r="E231" i="27"/>
  <c r="D231" i="27"/>
  <c r="G231" i="27"/>
  <c r="F391" i="27"/>
  <c r="G391" i="27"/>
  <c r="E391" i="27"/>
  <c r="D391" i="27"/>
  <c r="E140" i="27"/>
  <c r="F140" i="27"/>
  <c r="D140" i="27"/>
  <c r="G140" i="27"/>
  <c r="G91" i="27"/>
  <c r="F91" i="27"/>
  <c r="E91" i="27"/>
  <c r="D91" i="27"/>
  <c r="F84" i="27"/>
  <c r="G84" i="27"/>
  <c r="D84" i="27"/>
  <c r="E84" i="27"/>
  <c r="E469" i="27"/>
  <c r="F469" i="27"/>
  <c r="D469" i="27"/>
  <c r="G469" i="27"/>
  <c r="G610" i="27"/>
  <c r="D610" i="27"/>
  <c r="E610" i="27"/>
  <c r="F610" i="27"/>
  <c r="F256" i="27"/>
  <c r="D256" i="27"/>
  <c r="E256" i="27"/>
  <c r="G256" i="27"/>
  <c r="F135" i="27"/>
  <c r="E135" i="27"/>
  <c r="D135" i="27"/>
  <c r="G135" i="27"/>
  <c r="E137" i="27"/>
  <c r="F137" i="27"/>
  <c r="G137" i="27"/>
  <c r="D137" i="27"/>
  <c r="F331" i="27"/>
  <c r="E331" i="27"/>
  <c r="D331" i="27"/>
  <c r="G331" i="27"/>
  <c r="D399" i="27"/>
  <c r="E399" i="27"/>
  <c r="G399" i="27"/>
  <c r="F399" i="27"/>
  <c r="G507" i="27"/>
  <c r="E507" i="27"/>
  <c r="D507" i="27"/>
  <c r="F507" i="27"/>
  <c r="G154" i="27"/>
  <c r="F154" i="27"/>
  <c r="E154" i="27"/>
  <c r="D154" i="27"/>
  <c r="G240" i="27"/>
  <c r="D240" i="27"/>
  <c r="E240" i="27"/>
  <c r="F240" i="27"/>
  <c r="E113" i="27"/>
  <c r="F113" i="27"/>
  <c r="D113" i="27"/>
  <c r="G113" i="27"/>
  <c r="G125" i="27"/>
  <c r="D125" i="27"/>
  <c r="F125" i="27"/>
  <c r="E125" i="27"/>
  <c r="F122" i="27"/>
  <c r="E122" i="27"/>
  <c r="D122" i="27"/>
  <c r="G122" i="27"/>
  <c r="E301" i="27"/>
  <c r="D301" i="27"/>
  <c r="G301" i="27"/>
  <c r="F301" i="27"/>
  <c r="G70" i="27"/>
  <c r="E70" i="27"/>
  <c r="F70" i="27"/>
  <c r="D70" i="27"/>
  <c r="G96" i="27"/>
  <c r="F96" i="27"/>
  <c r="E96" i="27"/>
  <c r="D96" i="27"/>
  <c r="F141" i="27"/>
  <c r="E141" i="27"/>
  <c r="D141" i="27"/>
  <c r="G141" i="27"/>
  <c r="E200" i="27"/>
  <c r="D200" i="27"/>
  <c r="G200" i="27"/>
  <c r="F200" i="27"/>
  <c r="G195" i="27"/>
  <c r="F195" i="27"/>
  <c r="E195" i="27"/>
  <c r="D195" i="27"/>
  <c r="G228" i="27"/>
  <c r="D228" i="27"/>
  <c r="F228" i="27"/>
  <c r="E228" i="27"/>
  <c r="E453" i="27"/>
  <c r="D453" i="27"/>
  <c r="G453" i="27"/>
  <c r="F453" i="27"/>
  <c r="F392" i="27"/>
  <c r="D392" i="27"/>
  <c r="G392" i="27"/>
  <c r="E392" i="27"/>
  <c r="E418" i="27"/>
  <c r="D418" i="27"/>
  <c r="G418" i="27"/>
  <c r="F418" i="27"/>
  <c r="G287" i="27"/>
  <c r="F287" i="27"/>
  <c r="E287" i="27"/>
  <c r="D287" i="27"/>
  <c r="F593" i="27"/>
  <c r="E593" i="27"/>
  <c r="D593" i="27"/>
  <c r="G593" i="27"/>
  <c r="F615" i="27"/>
  <c r="G615" i="27"/>
  <c r="E615" i="27"/>
  <c r="D615" i="27"/>
  <c r="F229" i="27"/>
  <c r="E229" i="27"/>
  <c r="D229" i="27"/>
  <c r="G229" i="27"/>
  <c r="F421" i="27"/>
  <c r="D421" i="27"/>
  <c r="E421" i="27"/>
  <c r="G421" i="27"/>
  <c r="F348" i="27"/>
  <c r="E348" i="27"/>
  <c r="G348" i="27"/>
  <c r="D348" i="27"/>
  <c r="F446" i="27"/>
  <c r="D446" i="27"/>
  <c r="E446" i="27"/>
  <c r="G446" i="27"/>
  <c r="F588" i="27"/>
  <c r="E588" i="27"/>
  <c r="D588" i="27"/>
  <c r="G588" i="27"/>
  <c r="G262" i="27"/>
  <c r="D262" i="27"/>
  <c r="F262" i="27"/>
  <c r="E262" i="27"/>
  <c r="D326" i="27"/>
  <c r="G326" i="27"/>
  <c r="F326" i="27"/>
  <c r="E326" i="27"/>
  <c r="AB372" i="15"/>
  <c r="E375" i="25"/>
  <c r="AM376" i="19"/>
  <c r="AB356" i="15"/>
  <c r="E354" i="25"/>
  <c r="AM355" i="19"/>
  <c r="AB324" i="15"/>
  <c r="E322" i="25"/>
  <c r="AM323" i="19"/>
  <c r="AB292" i="15"/>
  <c r="E290" i="25"/>
  <c r="AM291" i="19"/>
  <c r="AB387" i="15"/>
  <c r="E386" i="25"/>
  <c r="AM387" i="19"/>
  <c r="AB379" i="15"/>
  <c r="E377" i="25"/>
  <c r="AM378" i="19"/>
  <c r="AB371" i="15"/>
  <c r="E369" i="25"/>
  <c r="AM370" i="19"/>
  <c r="AB363" i="15"/>
  <c r="E361" i="25"/>
  <c r="AM362" i="19"/>
  <c r="AB355" i="15"/>
  <c r="E353" i="25"/>
  <c r="AM354" i="19"/>
  <c r="AB347" i="15"/>
  <c r="E345" i="25"/>
  <c r="AM346" i="19"/>
  <c r="AB339" i="15"/>
  <c r="E337" i="25"/>
  <c r="AM338" i="19"/>
  <c r="AB331" i="15"/>
  <c r="E332" i="25"/>
  <c r="AM333" i="19"/>
  <c r="AB323" i="15"/>
  <c r="E321" i="25"/>
  <c r="AM322" i="19"/>
  <c r="AB315" i="15"/>
  <c r="E313" i="25"/>
  <c r="AM314" i="19"/>
  <c r="AB307" i="15"/>
  <c r="E307" i="25"/>
  <c r="AM308" i="19"/>
  <c r="AB299" i="15"/>
  <c r="E301" i="25"/>
  <c r="AM302" i="19"/>
  <c r="AB283" i="15"/>
  <c r="E275" i="25"/>
  <c r="AM276" i="19"/>
  <c r="AB275" i="15"/>
  <c r="E274" i="25"/>
  <c r="AM275" i="19"/>
  <c r="AB267" i="15"/>
  <c r="E266" i="25"/>
  <c r="AM267" i="19"/>
  <c r="AB259" i="15"/>
  <c r="E258" i="25"/>
  <c r="AM259" i="19"/>
  <c r="AB251" i="15"/>
  <c r="E250" i="25"/>
  <c r="AM251" i="19"/>
  <c r="AB243" i="15"/>
  <c r="E242" i="25"/>
  <c r="AM243" i="19"/>
  <c r="AB235" i="15"/>
  <c r="E234" i="25"/>
  <c r="AM235" i="19"/>
  <c r="AB219" i="15"/>
  <c r="E219" i="25"/>
  <c r="AM220" i="19"/>
  <c r="AB211" i="15"/>
  <c r="E211" i="25"/>
  <c r="AM212" i="19"/>
  <c r="AB203" i="15"/>
  <c r="E198" i="25"/>
  <c r="AM199" i="19"/>
  <c r="AB195" i="15"/>
  <c r="E191" i="25"/>
  <c r="AM192" i="19"/>
  <c r="AB187" i="15"/>
  <c r="E187" i="25"/>
  <c r="AM188" i="19"/>
  <c r="AB179" i="15"/>
  <c r="E178" i="25"/>
  <c r="AM179" i="19"/>
  <c r="AB171" i="15"/>
  <c r="E171" i="25"/>
  <c r="AM172" i="19"/>
  <c r="AB163" i="15"/>
  <c r="E162" i="25"/>
  <c r="AM163" i="19"/>
  <c r="AB155" i="15"/>
  <c r="E155" i="25"/>
  <c r="AM156" i="19"/>
  <c r="AB147" i="15"/>
  <c r="E147" i="25"/>
  <c r="AM148" i="19"/>
  <c r="AB139" i="15"/>
  <c r="E139" i="25"/>
  <c r="AM140" i="19"/>
  <c r="AB131" i="15"/>
  <c r="E131" i="25"/>
  <c r="AM132" i="19"/>
  <c r="AB123" i="15"/>
  <c r="E123" i="25"/>
  <c r="AM124" i="19"/>
  <c r="AB115" i="15"/>
  <c r="E115" i="25"/>
  <c r="AM116" i="19"/>
  <c r="AB107" i="15"/>
  <c r="E107" i="25"/>
  <c r="AM108" i="19"/>
  <c r="AB99" i="15"/>
  <c r="E100" i="25"/>
  <c r="AM101" i="19"/>
  <c r="AB90" i="15"/>
  <c r="E90" i="25"/>
  <c r="AM91" i="19"/>
  <c r="AB82" i="15"/>
  <c r="E82" i="25"/>
  <c r="AM83" i="19"/>
  <c r="AB74" i="15"/>
  <c r="E74" i="25"/>
  <c r="AM75" i="19"/>
  <c r="AB66" i="15"/>
  <c r="E66" i="25"/>
  <c r="AM67" i="19"/>
  <c r="AB58" i="15"/>
  <c r="E59" i="25"/>
  <c r="AM60" i="19"/>
  <c r="AB50" i="15"/>
  <c r="E50" i="25"/>
  <c r="AM51" i="19"/>
  <c r="AB42" i="15"/>
  <c r="E42" i="25"/>
  <c r="AM43" i="19"/>
  <c r="AB34" i="15"/>
  <c r="E34" i="25"/>
  <c r="AM35" i="19"/>
  <c r="AB26" i="15"/>
  <c r="E26" i="25"/>
  <c r="AM27" i="19"/>
  <c r="AB18" i="15"/>
  <c r="E16" i="25"/>
  <c r="AM17" i="19"/>
  <c r="AB10" i="15"/>
  <c r="E10" i="25"/>
  <c r="AM11" i="19"/>
  <c r="AB2" i="15"/>
  <c r="E3" i="25"/>
  <c r="AM4" i="19"/>
  <c r="AB398" i="15"/>
  <c r="E396" i="25"/>
  <c r="AM397" i="19"/>
  <c r="AB374" i="15"/>
  <c r="E374" i="25"/>
  <c r="AM375" i="19"/>
  <c r="AB389" i="15"/>
  <c r="E387" i="25"/>
  <c r="AM388" i="19"/>
  <c r="AB365" i="15"/>
  <c r="E363" i="25"/>
  <c r="AM364" i="19"/>
  <c r="AB380" i="15"/>
  <c r="E378" i="25"/>
  <c r="AM379" i="19"/>
  <c r="AB348" i="15"/>
  <c r="E346" i="25"/>
  <c r="AM347" i="19"/>
  <c r="AB316" i="15"/>
  <c r="E314" i="25"/>
  <c r="AM315" i="19"/>
  <c r="AB300" i="15"/>
  <c r="E297" i="25"/>
  <c r="AM298" i="19"/>
  <c r="AB411" i="15"/>
  <c r="E407" i="25"/>
  <c r="AM408" i="19"/>
  <c r="AB395" i="15"/>
  <c r="E393" i="25"/>
  <c r="AM394" i="19"/>
  <c r="AB410" i="15"/>
  <c r="E408" i="25"/>
  <c r="AM409" i="19"/>
  <c r="AB402" i="15"/>
  <c r="E400" i="25"/>
  <c r="AM401" i="19"/>
  <c r="AB394" i="15"/>
  <c r="E392" i="25"/>
  <c r="AM393" i="19"/>
  <c r="AB386" i="15"/>
  <c r="E383" i="25"/>
  <c r="AM384" i="19"/>
  <c r="AB378" i="15"/>
  <c r="E376" i="25"/>
  <c r="AM377" i="19"/>
  <c r="AB370" i="15"/>
  <c r="E368" i="25"/>
  <c r="AM369" i="19"/>
  <c r="AB362" i="15"/>
  <c r="E360" i="25"/>
  <c r="AM361" i="19"/>
  <c r="AB354" i="15"/>
  <c r="E352" i="25"/>
  <c r="AM353" i="19"/>
  <c r="AB346" i="15"/>
  <c r="E344" i="25"/>
  <c r="AM345" i="19"/>
  <c r="AB338" i="15"/>
  <c r="E336" i="25"/>
  <c r="AM337" i="19"/>
  <c r="AB330" i="15"/>
  <c r="E328" i="25"/>
  <c r="AM329" i="19"/>
  <c r="AB322" i="15"/>
  <c r="E320" i="25"/>
  <c r="AM321" i="19"/>
  <c r="AB314" i="15"/>
  <c r="E312" i="25"/>
  <c r="AM313" i="19"/>
  <c r="AB306" i="15"/>
  <c r="E304" i="25"/>
  <c r="AM305" i="19"/>
  <c r="AB298" i="15"/>
  <c r="E296" i="25"/>
  <c r="AM297" i="19"/>
  <c r="AB290" i="15"/>
  <c r="E287" i="25"/>
  <c r="AM288" i="19"/>
  <c r="AB282" i="15"/>
  <c r="E281" i="25"/>
  <c r="AM282" i="19"/>
  <c r="AB274" i="15"/>
  <c r="E273" i="25"/>
  <c r="AM274" i="19"/>
  <c r="AB266" i="15"/>
  <c r="E265" i="25"/>
  <c r="AM266" i="19"/>
  <c r="AB258" i="15"/>
  <c r="E257" i="25"/>
  <c r="AM258" i="19"/>
  <c r="AB250" i="15"/>
  <c r="E249" i="25"/>
  <c r="AM250" i="19"/>
  <c r="AB242" i="15"/>
  <c r="E241" i="25"/>
  <c r="AM242" i="19"/>
  <c r="AB234" i="15"/>
  <c r="E233" i="25"/>
  <c r="AM234" i="19"/>
  <c r="AB226" i="15"/>
  <c r="E226" i="25"/>
  <c r="AM227" i="19"/>
  <c r="AB218" i="15"/>
  <c r="E218" i="25"/>
  <c r="AM219" i="19"/>
  <c r="AB210" i="15"/>
  <c r="E210" i="25"/>
  <c r="AM211" i="19"/>
  <c r="AB202" i="15"/>
  <c r="E196" i="25"/>
  <c r="AM197" i="19"/>
  <c r="AB194" i="15"/>
  <c r="E397" i="25"/>
  <c r="AM398" i="19"/>
  <c r="AB186" i="15"/>
  <c r="E186" i="25"/>
  <c r="AM187" i="19"/>
  <c r="AB178" i="15"/>
  <c r="E179" i="25"/>
  <c r="AM180" i="19"/>
  <c r="AB170" i="15"/>
  <c r="E170" i="25"/>
  <c r="AM171" i="19"/>
  <c r="AB162" i="15"/>
  <c r="E163" i="25"/>
  <c r="AM164" i="19"/>
  <c r="AB154" i="15"/>
  <c r="E153" i="25"/>
  <c r="AM154" i="19"/>
  <c r="AB146" i="15"/>
  <c r="E146" i="25"/>
  <c r="AM147" i="19"/>
  <c r="AB138" i="15"/>
  <c r="E138" i="25"/>
  <c r="AM139" i="19"/>
  <c r="AB130" i="15"/>
  <c r="E130" i="25"/>
  <c r="AM131" i="19"/>
  <c r="AB122" i="15"/>
  <c r="E122" i="25"/>
  <c r="AM123" i="19"/>
  <c r="AB114" i="15"/>
  <c r="E114" i="25"/>
  <c r="AM115" i="19"/>
  <c r="AB106" i="15"/>
  <c r="E106" i="25"/>
  <c r="AM107" i="19"/>
  <c r="AB98" i="15"/>
  <c r="E98" i="25"/>
  <c r="AM99" i="19"/>
  <c r="AB89" i="15"/>
  <c r="E89" i="25"/>
  <c r="AM90" i="19"/>
  <c r="AB81" i="15"/>
  <c r="E81" i="25"/>
  <c r="AM82" i="19"/>
  <c r="AB73" i="15"/>
  <c r="E73" i="25"/>
  <c r="AM74" i="19"/>
  <c r="AB65" i="15"/>
  <c r="E64" i="25"/>
  <c r="AM65" i="19"/>
  <c r="AB57" i="15"/>
  <c r="E58" i="25"/>
  <c r="AM59" i="19"/>
  <c r="AB49" i="15"/>
  <c r="E49" i="25"/>
  <c r="AM50" i="19"/>
  <c r="AB41" i="15"/>
  <c r="E41" i="25"/>
  <c r="AM42" i="19"/>
  <c r="AB33" i="15"/>
  <c r="E33" i="25"/>
  <c r="AM34" i="19"/>
  <c r="AB25" i="15"/>
  <c r="E23" i="25"/>
  <c r="AM24" i="19"/>
  <c r="AB17" i="15"/>
  <c r="E15" i="25"/>
  <c r="AM16" i="19"/>
  <c r="AB9" i="15"/>
  <c r="E7" i="25"/>
  <c r="AM8" i="19"/>
  <c r="AB408" i="15"/>
  <c r="E405" i="25"/>
  <c r="AM406" i="19"/>
  <c r="AB406" i="15"/>
  <c r="E403" i="25"/>
  <c r="AM404" i="19"/>
  <c r="AB382" i="15"/>
  <c r="E380" i="25"/>
  <c r="AM381" i="19"/>
  <c r="AB381" i="15"/>
  <c r="E379" i="25"/>
  <c r="AM380" i="19"/>
  <c r="AB396" i="15"/>
  <c r="E394" i="25"/>
  <c r="AM395" i="19"/>
  <c r="AB364" i="15"/>
  <c r="E362" i="25"/>
  <c r="AM363" i="19"/>
  <c r="AB340" i="15"/>
  <c r="E338" i="25"/>
  <c r="AM339" i="19"/>
  <c r="AB284" i="15"/>
  <c r="E279" i="25"/>
  <c r="AM280" i="19"/>
  <c r="AB403" i="15"/>
  <c r="E401" i="25"/>
  <c r="AM402" i="19"/>
  <c r="AB409" i="15"/>
  <c r="E406" i="25"/>
  <c r="AM407" i="19"/>
  <c r="AB401" i="15"/>
  <c r="E399" i="25"/>
  <c r="AM400" i="19"/>
  <c r="AB393" i="15"/>
  <c r="E390" i="25"/>
  <c r="AM391" i="19"/>
  <c r="AB385" i="15"/>
  <c r="E385" i="25"/>
  <c r="AM386" i="19"/>
  <c r="AB377" i="15"/>
  <c r="E371" i="25"/>
  <c r="AM372" i="19"/>
  <c r="AB369" i="15"/>
  <c r="E367" i="25"/>
  <c r="AM368" i="19"/>
  <c r="AB361" i="15"/>
  <c r="E359" i="25"/>
  <c r="AM360" i="19"/>
  <c r="AB353" i="15"/>
  <c r="E351" i="25"/>
  <c r="AM352" i="19"/>
  <c r="AB345" i="15"/>
  <c r="E343" i="25"/>
  <c r="AM344" i="19"/>
  <c r="AB337" i="15"/>
  <c r="E335" i="25"/>
  <c r="AM336" i="19"/>
  <c r="AB329" i="15"/>
  <c r="E327" i="25"/>
  <c r="AM328" i="19"/>
  <c r="AB321" i="15"/>
  <c r="E319" i="25"/>
  <c r="AM320" i="19"/>
  <c r="AB313" i="15"/>
  <c r="E311" i="25"/>
  <c r="AM312" i="19"/>
  <c r="AB305" i="15"/>
  <c r="E303" i="25"/>
  <c r="AM304" i="19"/>
  <c r="AB297" i="15"/>
  <c r="E295" i="25"/>
  <c r="AM296" i="19"/>
  <c r="AB289" i="15"/>
  <c r="E288" i="25"/>
  <c r="AM289" i="19"/>
  <c r="AB281" i="15"/>
  <c r="E283" i="25"/>
  <c r="AM284" i="19"/>
  <c r="AB273" i="15"/>
  <c r="E272" i="25"/>
  <c r="AM273" i="19"/>
  <c r="AB265" i="15"/>
  <c r="E263" i="25"/>
  <c r="AM264" i="19"/>
  <c r="AB257" i="15"/>
  <c r="E256" i="25"/>
  <c r="AM257" i="19"/>
  <c r="AB249" i="15"/>
  <c r="E248" i="25"/>
  <c r="AM249" i="19"/>
  <c r="AB241" i="15"/>
  <c r="E240" i="25"/>
  <c r="AM241" i="19"/>
  <c r="AB233" i="15"/>
  <c r="E232" i="25"/>
  <c r="AM233" i="19"/>
  <c r="AB225" i="15"/>
  <c r="E225" i="25"/>
  <c r="AM226" i="19"/>
  <c r="AB217" i="15"/>
  <c r="E217" i="25"/>
  <c r="AM218" i="19"/>
  <c r="AB209" i="15"/>
  <c r="E209" i="25"/>
  <c r="AM210" i="19"/>
  <c r="AB201" i="15"/>
  <c r="E398" i="25"/>
  <c r="AM399" i="19"/>
  <c r="AB193" i="15"/>
  <c r="E203" i="25"/>
  <c r="AM204" i="19"/>
  <c r="AB185" i="15"/>
  <c r="E184" i="25"/>
  <c r="AM185" i="19"/>
  <c r="AB177" i="15"/>
  <c r="E177" i="25"/>
  <c r="AM178" i="19"/>
  <c r="AB169" i="15"/>
  <c r="E168" i="25"/>
  <c r="AM169" i="19"/>
  <c r="AB161" i="15"/>
  <c r="E161" i="25"/>
  <c r="AM162" i="19"/>
  <c r="AB153" i="15"/>
  <c r="E152" i="25"/>
  <c r="AM153" i="19"/>
  <c r="AB145" i="15"/>
  <c r="E145" i="25"/>
  <c r="AM146" i="19"/>
  <c r="AB137" i="15"/>
  <c r="E137" i="25"/>
  <c r="AM138" i="19"/>
  <c r="AB129" i="15"/>
  <c r="E129" i="25"/>
  <c r="AM130" i="19"/>
  <c r="AB121" i="15"/>
  <c r="E121" i="25"/>
  <c r="AM122" i="19"/>
  <c r="AB113" i="15"/>
  <c r="E113" i="25"/>
  <c r="AM114" i="19"/>
  <c r="AB105" i="15"/>
  <c r="E104" i="25"/>
  <c r="AM105" i="19"/>
  <c r="AB97" i="15"/>
  <c r="E96" i="25"/>
  <c r="AM97" i="19"/>
  <c r="AB88" i="15"/>
  <c r="E88" i="25"/>
  <c r="AM89" i="19"/>
  <c r="AB80" i="15"/>
  <c r="E80" i="25"/>
  <c r="AM81" i="19"/>
  <c r="AB72" i="15"/>
  <c r="E72" i="25"/>
  <c r="AM73" i="19"/>
  <c r="AB64" i="15"/>
  <c r="E63" i="25"/>
  <c r="AM64" i="19"/>
  <c r="AB56" i="15"/>
  <c r="E57" i="25"/>
  <c r="AM58" i="19"/>
  <c r="AB48" i="15"/>
  <c r="E48" i="25"/>
  <c r="AM49" i="19"/>
  <c r="AB40" i="15"/>
  <c r="E40" i="25"/>
  <c r="AM41" i="19"/>
  <c r="AB32" i="15"/>
  <c r="E32" i="25"/>
  <c r="AM33" i="19"/>
  <c r="AB24" i="15"/>
  <c r="E24" i="25"/>
  <c r="AM25" i="19"/>
  <c r="AB16" i="15"/>
  <c r="E19" i="25"/>
  <c r="AM20" i="19"/>
  <c r="AB8" i="15"/>
  <c r="E5" i="25"/>
  <c r="AM6" i="19"/>
  <c r="B27" i="20"/>
  <c r="AB376" i="15"/>
  <c r="E370" i="25"/>
  <c r="AM371" i="19"/>
  <c r="AB360" i="15"/>
  <c r="E358" i="25"/>
  <c r="AM359" i="19"/>
  <c r="AB352" i="15"/>
  <c r="E350" i="25"/>
  <c r="AM351" i="19"/>
  <c r="AB344" i="15"/>
  <c r="E342" i="25"/>
  <c r="AM343" i="19"/>
  <c r="AB336" i="15"/>
  <c r="E334" i="25"/>
  <c r="AM335" i="19"/>
  <c r="AB328" i="15"/>
  <c r="E326" i="25"/>
  <c r="AM327" i="19"/>
  <c r="AB320" i="15"/>
  <c r="E317" i="25"/>
  <c r="AM318" i="19"/>
  <c r="AB312" i="15"/>
  <c r="E310" i="25"/>
  <c r="AM311" i="19"/>
  <c r="AB304" i="15"/>
  <c r="E302" i="25"/>
  <c r="AM303" i="19"/>
  <c r="AB296" i="15"/>
  <c r="E294" i="25"/>
  <c r="AM295" i="19"/>
  <c r="AB288" i="15"/>
  <c r="E289" i="25"/>
  <c r="AM290" i="19"/>
  <c r="AB280" i="15"/>
  <c r="E282" i="25"/>
  <c r="AM283" i="19"/>
  <c r="AB272" i="15"/>
  <c r="E271" i="25"/>
  <c r="AM272" i="19"/>
  <c r="AB264" i="15"/>
  <c r="E264" i="25"/>
  <c r="AM265" i="19"/>
  <c r="AB256" i="15"/>
  <c r="E255" i="25"/>
  <c r="AM256" i="19"/>
  <c r="AB248" i="15"/>
  <c r="E247" i="25"/>
  <c r="AM248" i="19"/>
  <c r="AB240" i="15"/>
  <c r="E239" i="25"/>
  <c r="AM240" i="19"/>
  <c r="AB232" i="15"/>
  <c r="E231" i="25"/>
  <c r="AM232" i="19"/>
  <c r="AB224" i="15"/>
  <c r="E224" i="25"/>
  <c r="AM225" i="19"/>
  <c r="AB216" i="15"/>
  <c r="E216" i="25"/>
  <c r="AM217" i="19"/>
  <c r="AB208" i="15"/>
  <c r="E208" i="25"/>
  <c r="AM209" i="19"/>
  <c r="AB200" i="15"/>
  <c r="E195" i="25"/>
  <c r="AM196" i="19"/>
  <c r="AB192" i="15"/>
  <c r="E202" i="25"/>
  <c r="AM203" i="19"/>
  <c r="AB184" i="15"/>
  <c r="E185" i="25"/>
  <c r="AM186" i="19"/>
  <c r="AB176" i="15"/>
  <c r="E175" i="25"/>
  <c r="AM176" i="19"/>
  <c r="AB168" i="15"/>
  <c r="E167" i="25"/>
  <c r="AM168" i="19"/>
  <c r="AB160" i="15"/>
  <c r="E160" i="25"/>
  <c r="AM161" i="19"/>
  <c r="AB152" i="15"/>
  <c r="E154" i="25"/>
  <c r="AM155" i="19"/>
  <c r="AB144" i="15"/>
  <c r="E144" i="25"/>
  <c r="AM145" i="19"/>
  <c r="AB136" i="15"/>
  <c r="E136" i="25"/>
  <c r="AM137" i="19"/>
  <c r="AB128" i="15"/>
  <c r="E128" i="25"/>
  <c r="AM129" i="19"/>
  <c r="AB120" i="15"/>
  <c r="E120" i="25"/>
  <c r="AM121" i="19"/>
  <c r="AB112" i="15"/>
  <c r="E112" i="25"/>
  <c r="AM113" i="19"/>
  <c r="AB104" i="15"/>
  <c r="E105" i="25"/>
  <c r="AM106" i="19"/>
  <c r="AB96" i="15"/>
  <c r="E95" i="25"/>
  <c r="AM96" i="19"/>
  <c r="AB87" i="15"/>
  <c r="E87" i="25"/>
  <c r="AM88" i="19"/>
  <c r="AB79" i="15"/>
  <c r="E79" i="25"/>
  <c r="AM80" i="19"/>
  <c r="AB71" i="15"/>
  <c r="E71" i="25"/>
  <c r="AM72" i="19"/>
  <c r="AB63" i="15"/>
  <c r="E65" i="25"/>
  <c r="AM66" i="19"/>
  <c r="AB55" i="15"/>
  <c r="E56" i="25"/>
  <c r="AM57" i="19"/>
  <c r="AB47" i="15"/>
  <c r="E47" i="25"/>
  <c r="AM48" i="19"/>
  <c r="AB39" i="15"/>
  <c r="E39" i="25"/>
  <c r="AM40" i="19"/>
  <c r="AB31" i="15"/>
  <c r="E31" i="25"/>
  <c r="AM32" i="19"/>
  <c r="AB23" i="15"/>
  <c r="E22" i="25"/>
  <c r="AM23" i="19"/>
  <c r="AB15" i="15"/>
  <c r="E14" i="25"/>
  <c r="AM15" i="19"/>
  <c r="AB7" i="15"/>
  <c r="E8" i="25"/>
  <c r="AM9" i="19"/>
  <c r="AB392" i="15"/>
  <c r="E391" i="25"/>
  <c r="AM392" i="19"/>
  <c r="AB368" i="15"/>
  <c r="E366" i="25"/>
  <c r="AM367" i="19"/>
  <c r="AB407" i="15"/>
  <c r="E404" i="25"/>
  <c r="AM405" i="19"/>
  <c r="AB391" i="15"/>
  <c r="E389" i="25"/>
  <c r="AM390" i="19"/>
  <c r="AB383" i="15"/>
  <c r="E381" i="25"/>
  <c r="AM382" i="19"/>
  <c r="AB375" i="15"/>
  <c r="E372" i="25"/>
  <c r="AM373" i="19"/>
  <c r="AB367" i="15"/>
  <c r="E365" i="25"/>
  <c r="AM366" i="19"/>
  <c r="AB359" i="15"/>
  <c r="E357" i="25"/>
  <c r="AM358" i="19"/>
  <c r="AB351" i="15"/>
  <c r="E349" i="25"/>
  <c r="AM350" i="19"/>
  <c r="AB343" i="15"/>
  <c r="E341" i="25"/>
  <c r="AM342" i="19"/>
  <c r="AB335" i="15"/>
  <c r="E330" i="25"/>
  <c r="AM331" i="19"/>
  <c r="AB327" i="15"/>
  <c r="E325" i="25"/>
  <c r="AM326" i="19"/>
  <c r="AB319" i="15"/>
  <c r="E318" i="25"/>
  <c r="AM319" i="19"/>
  <c r="AB311" i="15"/>
  <c r="E309" i="25"/>
  <c r="AM310" i="19"/>
  <c r="AB303" i="15"/>
  <c r="E300" i="25"/>
  <c r="AM301" i="19"/>
  <c r="AB295" i="15"/>
  <c r="E291" i="25"/>
  <c r="AM292" i="19"/>
  <c r="AB287" i="15"/>
  <c r="E286" i="25"/>
  <c r="AM287" i="19"/>
  <c r="AB279" i="15"/>
  <c r="E276" i="25"/>
  <c r="AM277" i="19"/>
  <c r="AB271" i="15"/>
  <c r="E270" i="25"/>
  <c r="AM271" i="19"/>
  <c r="AB263" i="15"/>
  <c r="E262" i="25"/>
  <c r="AM263" i="19"/>
  <c r="AB255" i="15"/>
  <c r="E254" i="25"/>
  <c r="AM255" i="19"/>
  <c r="AB247" i="15"/>
  <c r="E246" i="25"/>
  <c r="AM247" i="19"/>
  <c r="AB239" i="15"/>
  <c r="E238" i="25"/>
  <c r="AM239" i="19"/>
  <c r="AB231" i="15"/>
  <c r="E230" i="25"/>
  <c r="AM231" i="19"/>
  <c r="AB223" i="15"/>
  <c r="E223" i="25"/>
  <c r="AM224" i="19"/>
  <c r="AB215" i="15"/>
  <c r="E215" i="25"/>
  <c r="AM216" i="19"/>
  <c r="AB207" i="15"/>
  <c r="E207" i="25"/>
  <c r="AM208" i="19"/>
  <c r="AB199" i="15"/>
  <c r="E194" i="25"/>
  <c r="AM195" i="19"/>
  <c r="AB191" i="15"/>
  <c r="E190" i="25"/>
  <c r="AM191" i="19"/>
  <c r="AB183" i="15"/>
  <c r="E183" i="25"/>
  <c r="AM184" i="19"/>
  <c r="AB175" i="15"/>
  <c r="E176" i="25"/>
  <c r="AM177" i="19"/>
  <c r="AB167" i="15"/>
  <c r="E166" i="25"/>
  <c r="AM167" i="19"/>
  <c r="AB159" i="15"/>
  <c r="E159" i="25"/>
  <c r="AM160" i="19"/>
  <c r="AB151" i="15"/>
  <c r="E151" i="25"/>
  <c r="AM152" i="19"/>
  <c r="AB143" i="15"/>
  <c r="E143" i="25"/>
  <c r="AM144" i="19"/>
  <c r="AB135" i="15"/>
  <c r="E135" i="25"/>
  <c r="AM136" i="19"/>
  <c r="AB127" i="15"/>
  <c r="E127" i="25"/>
  <c r="AM128" i="19"/>
  <c r="AB119" i="15"/>
  <c r="E119" i="25"/>
  <c r="AM120" i="19"/>
  <c r="AB111" i="15"/>
  <c r="E111" i="25"/>
  <c r="AM112" i="19"/>
  <c r="AB103" i="15"/>
  <c r="E103" i="25"/>
  <c r="AM104" i="19"/>
  <c r="AB95" i="15"/>
  <c r="E99" i="25"/>
  <c r="AM100" i="19"/>
  <c r="AB86" i="15"/>
  <c r="E86" i="25"/>
  <c r="AM87" i="19"/>
  <c r="AB78" i="15"/>
  <c r="E78" i="25"/>
  <c r="AM79" i="19"/>
  <c r="AB70" i="15"/>
  <c r="E70" i="25"/>
  <c r="AM71" i="19"/>
  <c r="AB62" i="15"/>
  <c r="E55" i="25"/>
  <c r="AM56" i="19"/>
  <c r="AB54" i="15"/>
  <c r="E54" i="25"/>
  <c r="AM55" i="19"/>
  <c r="AB46" i="15"/>
  <c r="E46" i="25"/>
  <c r="AM47" i="19"/>
  <c r="AB38" i="15"/>
  <c r="E38" i="25"/>
  <c r="AM39" i="19"/>
  <c r="AB30" i="15"/>
  <c r="E30" i="25"/>
  <c r="AM31" i="19"/>
  <c r="AB22" i="15"/>
  <c r="E21" i="25"/>
  <c r="AM22" i="19"/>
  <c r="AB14" i="15"/>
  <c r="E13" i="25"/>
  <c r="AM14" i="19"/>
  <c r="AB6" i="15"/>
  <c r="AM3" i="19"/>
  <c r="E2" i="25"/>
  <c r="AB390" i="15"/>
  <c r="E388" i="25"/>
  <c r="AM389" i="19"/>
  <c r="AB366" i="15"/>
  <c r="E364" i="25"/>
  <c r="AM365" i="19"/>
  <c r="AB358" i="15"/>
  <c r="E356" i="25"/>
  <c r="AM357" i="19"/>
  <c r="AB350" i="15"/>
  <c r="E348" i="25"/>
  <c r="AM349" i="19"/>
  <c r="AB342" i="15"/>
  <c r="E340" i="25"/>
  <c r="AM341" i="19"/>
  <c r="AB334" i="15"/>
  <c r="E329" i="25"/>
  <c r="AM330" i="19"/>
  <c r="AB326" i="15"/>
  <c r="E324" i="25"/>
  <c r="AM325" i="19"/>
  <c r="AB318" i="15"/>
  <c r="E316" i="25"/>
  <c r="AM317" i="19"/>
  <c r="AB310" i="15"/>
  <c r="E308" i="25"/>
  <c r="AM309" i="19"/>
  <c r="AB302" i="15"/>
  <c r="E299" i="25"/>
  <c r="AM300" i="19"/>
  <c r="AB294" i="15"/>
  <c r="E292" i="25"/>
  <c r="AM293" i="19"/>
  <c r="AB286" i="15"/>
  <c r="E285" i="25"/>
  <c r="AM286" i="19"/>
  <c r="AB278" i="15"/>
  <c r="E280" i="25"/>
  <c r="AM281" i="19"/>
  <c r="AB270" i="15"/>
  <c r="E269" i="25"/>
  <c r="AM270" i="19"/>
  <c r="AB262" i="15"/>
  <c r="E261" i="25"/>
  <c r="AM262" i="19"/>
  <c r="AB254" i="15"/>
  <c r="E253" i="25"/>
  <c r="AM254" i="19"/>
  <c r="AB246" i="15"/>
  <c r="E245" i="25"/>
  <c r="AM246" i="19"/>
  <c r="AB238" i="15"/>
  <c r="E237" i="25"/>
  <c r="AM238" i="19"/>
  <c r="AB230" i="15"/>
  <c r="E227" i="25"/>
  <c r="AM228" i="19"/>
  <c r="AB222" i="15"/>
  <c r="E221" i="25"/>
  <c r="AM222" i="19"/>
  <c r="AB214" i="15"/>
  <c r="E214" i="25"/>
  <c r="AM215" i="19"/>
  <c r="AB206" i="15"/>
  <c r="E206" i="25"/>
  <c r="AM207" i="19"/>
  <c r="AB198" i="15"/>
  <c r="E193" i="25"/>
  <c r="AM194" i="19"/>
  <c r="AB190" i="15"/>
  <c r="E200" i="25"/>
  <c r="AM201" i="19"/>
  <c r="AB182" i="15"/>
  <c r="E182" i="25"/>
  <c r="AM183" i="19"/>
  <c r="AB174" i="15"/>
  <c r="E174" i="25"/>
  <c r="AM175" i="19"/>
  <c r="AB166" i="15"/>
  <c r="E169" i="25"/>
  <c r="AM170" i="19"/>
  <c r="AB158" i="15"/>
  <c r="E158" i="25"/>
  <c r="AM159" i="19"/>
  <c r="AB150" i="15"/>
  <c r="E150" i="25"/>
  <c r="AM151" i="19"/>
  <c r="AB142" i="15"/>
  <c r="E142" i="25"/>
  <c r="AM143" i="19"/>
  <c r="AB134" i="15"/>
  <c r="E134" i="25"/>
  <c r="AM135" i="19"/>
  <c r="AB126" i="15"/>
  <c r="E126" i="25"/>
  <c r="AM127" i="19"/>
  <c r="AB118" i="15"/>
  <c r="E118" i="25"/>
  <c r="AM119" i="19"/>
  <c r="AB110" i="15"/>
  <c r="E109" i="25"/>
  <c r="AM110" i="19"/>
  <c r="AB102" i="15"/>
  <c r="E102" i="25"/>
  <c r="AM103" i="19"/>
  <c r="AB94" i="15"/>
  <c r="E94" i="25"/>
  <c r="AM95" i="19"/>
  <c r="AB85" i="15"/>
  <c r="E85" i="25"/>
  <c r="AM86" i="19"/>
  <c r="AB77" i="15"/>
  <c r="E77" i="25"/>
  <c r="AM78" i="19"/>
  <c r="AB69" i="15"/>
  <c r="E69" i="25"/>
  <c r="AM70" i="19"/>
  <c r="AB53" i="15"/>
  <c r="E53" i="25"/>
  <c r="AM54" i="19"/>
  <c r="AB45" i="15"/>
  <c r="E45" i="25"/>
  <c r="AM46" i="19"/>
  <c r="AB37" i="15"/>
  <c r="E37" i="25"/>
  <c r="AM38" i="19"/>
  <c r="AB29" i="15"/>
  <c r="E29" i="25"/>
  <c r="AM30" i="19"/>
  <c r="AB21" i="15"/>
  <c r="E25" i="25"/>
  <c r="AM26" i="19"/>
  <c r="AB13" i="15"/>
  <c r="E12" i="25"/>
  <c r="AM13" i="19"/>
  <c r="AB5" i="15"/>
  <c r="E6" i="25"/>
  <c r="AM7" i="19"/>
  <c r="AB373" i="15"/>
  <c r="E373" i="25"/>
  <c r="AM374" i="19"/>
  <c r="AB357" i="15"/>
  <c r="E355" i="25"/>
  <c r="AM356" i="19"/>
  <c r="AB349" i="15"/>
  <c r="E347" i="25"/>
  <c r="AM348" i="19"/>
  <c r="AB341" i="15"/>
  <c r="E339" i="25"/>
  <c r="AM340" i="19"/>
  <c r="AB333" i="15"/>
  <c r="E331" i="25"/>
  <c r="AM332" i="19"/>
  <c r="AB325" i="15"/>
  <c r="E323" i="25"/>
  <c r="AM324" i="19"/>
  <c r="AB317" i="15"/>
  <c r="E315" i="25"/>
  <c r="AM316" i="19"/>
  <c r="AB309" i="15"/>
  <c r="E306" i="25"/>
  <c r="AM307" i="19"/>
  <c r="AB301" i="15"/>
  <c r="E298" i="25"/>
  <c r="AM299" i="19"/>
  <c r="AB293" i="15"/>
  <c r="E293" i="25"/>
  <c r="AM294" i="19"/>
  <c r="AB285" i="15"/>
  <c r="E284" i="25"/>
  <c r="AM285" i="19"/>
  <c r="AB277" i="15"/>
  <c r="E278" i="25"/>
  <c r="AM279" i="19"/>
  <c r="AB269" i="15"/>
  <c r="E268" i="25"/>
  <c r="AM269" i="19"/>
  <c r="AB261" i="15"/>
  <c r="E260" i="25"/>
  <c r="AM261" i="19"/>
  <c r="AB253" i="15"/>
  <c r="E252" i="25"/>
  <c r="AM253" i="19"/>
  <c r="AB245" i="15"/>
  <c r="E244" i="25"/>
  <c r="AM245" i="19"/>
  <c r="AB237" i="15"/>
  <c r="E236" i="25"/>
  <c r="AM237" i="19"/>
  <c r="AB229" i="15"/>
  <c r="E228" i="25"/>
  <c r="AM229" i="19"/>
  <c r="AB221" i="15"/>
  <c r="E222" i="25"/>
  <c r="AM223" i="19"/>
  <c r="AB213" i="15"/>
  <c r="E213" i="25"/>
  <c r="AM214" i="19"/>
  <c r="AB205" i="15"/>
  <c r="E197" i="25"/>
  <c r="AM198" i="19"/>
  <c r="AB197" i="15"/>
  <c r="E199" i="25"/>
  <c r="AM200" i="19"/>
  <c r="AB189" i="15"/>
  <c r="E188" i="25"/>
  <c r="AM189" i="19"/>
  <c r="AB181" i="15"/>
  <c r="E181" i="25"/>
  <c r="AM182" i="19"/>
  <c r="AB173" i="15"/>
  <c r="E173" i="25"/>
  <c r="AM174" i="19"/>
  <c r="AB165" i="15"/>
  <c r="E165" i="25"/>
  <c r="AM166" i="19"/>
  <c r="AB157" i="15"/>
  <c r="E157" i="25"/>
  <c r="AM158" i="19"/>
  <c r="AB149" i="15"/>
  <c r="E149" i="25"/>
  <c r="AM150" i="19"/>
  <c r="AB141" i="15"/>
  <c r="E141" i="25"/>
  <c r="AM142" i="19"/>
  <c r="AB133" i="15"/>
  <c r="E133" i="25"/>
  <c r="AM134" i="19"/>
  <c r="AB125" i="15"/>
  <c r="E125" i="25"/>
  <c r="AM126" i="19"/>
  <c r="AB117" i="15"/>
  <c r="E117" i="25"/>
  <c r="AM118" i="19"/>
  <c r="AB109" i="15"/>
  <c r="E110" i="25"/>
  <c r="AM111" i="19"/>
  <c r="AB101" i="15"/>
  <c r="E101" i="25"/>
  <c r="AM102" i="19"/>
  <c r="AB92" i="15"/>
  <c r="E92" i="25"/>
  <c r="AM93" i="19"/>
  <c r="AB84" i="15"/>
  <c r="E84" i="25"/>
  <c r="AM85" i="19"/>
  <c r="AB76" i="15"/>
  <c r="E76" i="25"/>
  <c r="AM77" i="19"/>
  <c r="AB68" i="15"/>
  <c r="E68" i="25"/>
  <c r="AM69" i="19"/>
  <c r="AB60" i="15"/>
  <c r="E61" i="25"/>
  <c r="AM62" i="19"/>
  <c r="AB52" i="15"/>
  <c r="E52" i="25"/>
  <c r="AM53" i="19"/>
  <c r="AB44" i="15"/>
  <c r="E44" i="25"/>
  <c r="AM45" i="19"/>
  <c r="AB36" i="15"/>
  <c r="E36" i="25"/>
  <c r="AM37" i="19"/>
  <c r="AB28" i="15"/>
  <c r="E28" i="25"/>
  <c r="AM29" i="19"/>
  <c r="AB20" i="15"/>
  <c r="E20" i="25"/>
  <c r="AM21" i="19"/>
  <c r="AB12" i="15"/>
  <c r="E18" i="25"/>
  <c r="AM19" i="19"/>
  <c r="AB4" i="15"/>
  <c r="E9" i="25"/>
  <c r="AM10" i="19"/>
  <c r="AB384" i="15"/>
  <c r="E382" i="25"/>
  <c r="AM383" i="19"/>
  <c r="AB397" i="15"/>
  <c r="E395" i="25"/>
  <c r="AM396" i="19"/>
  <c r="AB388" i="15"/>
  <c r="E384" i="25"/>
  <c r="AM385" i="19"/>
  <c r="AB332" i="15"/>
  <c r="E333" i="25"/>
  <c r="AM334" i="19"/>
  <c r="AB308" i="15"/>
  <c r="E305" i="25"/>
  <c r="AM306" i="19"/>
  <c r="AB276" i="15"/>
  <c r="E277" i="25"/>
  <c r="AM278" i="19"/>
  <c r="AB268" i="15"/>
  <c r="E267" i="25"/>
  <c r="AM268" i="19"/>
  <c r="AB260" i="15"/>
  <c r="E259" i="25"/>
  <c r="AM260" i="19"/>
  <c r="AB252" i="15"/>
  <c r="E251" i="25"/>
  <c r="AM252" i="19"/>
  <c r="AB244" i="15"/>
  <c r="E243" i="25"/>
  <c r="AM244" i="19"/>
  <c r="AB236" i="15"/>
  <c r="E235" i="25"/>
  <c r="AM236" i="19"/>
  <c r="AB228" i="15"/>
  <c r="E229" i="25"/>
  <c r="AM230" i="19"/>
  <c r="AB220" i="15"/>
  <c r="E220" i="25"/>
  <c r="AM221" i="19"/>
  <c r="AB212" i="15"/>
  <c r="E212" i="25"/>
  <c r="AM213" i="19"/>
  <c r="AB204" i="15"/>
  <c r="E201" i="25"/>
  <c r="AM202" i="19"/>
  <c r="AB196" i="15"/>
  <c r="E192" i="25"/>
  <c r="AM193" i="19"/>
  <c r="AB188" i="15"/>
  <c r="E189" i="25"/>
  <c r="AM190" i="19"/>
  <c r="AB180" i="15"/>
  <c r="E180" i="25"/>
  <c r="AM181" i="19"/>
  <c r="AB172" i="15"/>
  <c r="E172" i="25"/>
  <c r="AM173" i="19"/>
  <c r="AB164" i="15"/>
  <c r="E164" i="25"/>
  <c r="AM165" i="19"/>
  <c r="AB156" i="15"/>
  <c r="E156" i="25"/>
  <c r="AM157" i="19"/>
  <c r="AB148" i="15"/>
  <c r="E148" i="25"/>
  <c r="AM149" i="19"/>
  <c r="AB140" i="15"/>
  <c r="E140" i="25"/>
  <c r="AM141" i="19"/>
  <c r="AB132" i="15"/>
  <c r="E132" i="25"/>
  <c r="AM133" i="19"/>
  <c r="AB124" i="15"/>
  <c r="E124" i="25"/>
  <c r="AM125" i="19"/>
  <c r="AB116" i="15"/>
  <c r="E116" i="25"/>
  <c r="AM117" i="19"/>
  <c r="AB108" i="15"/>
  <c r="E108" i="25"/>
  <c r="AM109" i="19"/>
  <c r="AB100" i="15"/>
  <c r="E97" i="25"/>
  <c r="AM98" i="19"/>
  <c r="AB91" i="15"/>
  <c r="E91" i="25"/>
  <c r="AM92" i="19"/>
  <c r="AB83" i="15"/>
  <c r="E83" i="25"/>
  <c r="AM84" i="19"/>
  <c r="AB75" i="15"/>
  <c r="E75" i="25"/>
  <c r="AM76" i="19"/>
  <c r="AB67" i="15"/>
  <c r="E67" i="25"/>
  <c r="AM68" i="19"/>
  <c r="AB51" i="15"/>
  <c r="E51" i="25"/>
  <c r="AM52" i="19"/>
  <c r="AB43" i="15"/>
  <c r="E43" i="25"/>
  <c r="AM44" i="19"/>
  <c r="AB35" i="15"/>
  <c r="E35" i="25"/>
  <c r="AM36" i="19"/>
  <c r="AB27" i="15"/>
  <c r="E27" i="25"/>
  <c r="AM28" i="19"/>
  <c r="AB19" i="15"/>
  <c r="E17" i="25"/>
  <c r="AM18" i="19"/>
  <c r="AB11" i="15"/>
  <c r="E11" i="25"/>
  <c r="AM12" i="19"/>
  <c r="AB3" i="15"/>
  <c r="E4" i="25"/>
  <c r="AM5" i="19"/>
  <c r="C27" i="20"/>
  <c r="AB59" i="15"/>
  <c r="E60" i="25"/>
  <c r="E411" i="25" s="1"/>
  <c r="AM61" i="19"/>
  <c r="AB61" i="15"/>
  <c r="E62" i="25"/>
  <c r="AM63" i="19"/>
  <c r="AG3" i="17"/>
  <c r="AG205" i="17"/>
  <c r="AG397" i="17"/>
  <c r="AG204" i="17"/>
  <c r="AG398" i="17"/>
  <c r="AR3" i="14"/>
  <c r="AM368" i="14"/>
  <c r="AM369" i="14"/>
  <c r="AM370" i="14"/>
  <c r="AM371" i="14"/>
  <c r="AM372" i="14"/>
  <c r="AM373" i="14"/>
  <c r="AM374" i="14"/>
  <c r="AM375" i="14"/>
  <c r="AM376" i="14"/>
  <c r="AM377" i="14"/>
  <c r="AM378" i="14"/>
  <c r="AM379" i="14"/>
  <c r="AM380" i="14"/>
  <c r="AM381" i="14"/>
  <c r="AM382" i="14"/>
  <c r="AM383" i="14"/>
  <c r="AM384" i="14"/>
  <c r="AM385" i="14"/>
  <c r="AM386" i="14"/>
  <c r="AM387" i="14"/>
  <c r="AM388" i="14"/>
  <c r="AM389" i="14"/>
  <c r="AM390" i="14"/>
  <c r="AM391" i="14"/>
  <c r="AM392" i="14"/>
  <c r="AM393" i="14"/>
  <c r="AM394" i="14"/>
  <c r="AM395" i="14"/>
  <c r="AM396" i="14"/>
  <c r="AM397" i="14"/>
  <c r="AM398" i="14"/>
  <c r="AM399" i="14"/>
  <c r="AM400" i="14"/>
  <c r="AM401" i="14"/>
  <c r="AM402" i="14"/>
  <c r="AM403" i="14"/>
  <c r="AM404" i="14"/>
  <c r="AM405" i="14"/>
  <c r="AM406" i="14"/>
  <c r="AM407" i="14"/>
  <c r="AM408" i="14"/>
  <c r="AM409" i="14"/>
  <c r="AK368" i="14"/>
  <c r="AK369" i="14"/>
  <c r="AK370" i="14"/>
  <c r="AK371" i="14"/>
  <c r="AK372" i="14"/>
  <c r="AK373" i="14"/>
  <c r="AK374" i="14"/>
  <c r="AK375" i="14"/>
  <c r="AK376" i="14"/>
  <c r="AK377" i="14"/>
  <c r="AK378" i="14"/>
  <c r="AK379" i="14"/>
  <c r="AK380" i="14"/>
  <c r="AK381" i="14"/>
  <c r="AK382" i="14"/>
  <c r="AK383" i="14"/>
  <c r="AK384" i="14"/>
  <c r="AK385" i="14"/>
  <c r="AK386" i="14"/>
  <c r="AK387" i="14"/>
  <c r="AK388" i="14"/>
  <c r="AK389" i="14"/>
  <c r="AK390" i="14"/>
  <c r="AK391" i="14"/>
  <c r="AK392" i="14"/>
  <c r="AK393" i="14"/>
  <c r="AK394" i="14"/>
  <c r="AK395" i="14"/>
  <c r="AK396" i="14"/>
  <c r="AK397" i="14"/>
  <c r="AK398" i="14"/>
  <c r="AK399" i="14"/>
  <c r="AK400" i="14"/>
  <c r="AK401" i="14"/>
  <c r="AK402" i="14"/>
  <c r="AK403" i="14"/>
  <c r="AK404" i="14"/>
  <c r="AK405" i="14"/>
  <c r="AK406" i="14"/>
  <c r="AK407" i="14"/>
  <c r="AK408" i="14"/>
  <c r="AK409" i="14"/>
  <c r="AK410" i="14"/>
  <c r="AI391" i="14"/>
  <c r="AR391" i="14" s="1"/>
  <c r="AI4" i="14"/>
  <c r="AR4" i="14" s="1"/>
  <c r="AI5" i="14"/>
  <c r="AR5" i="14" s="1"/>
  <c r="AI6" i="14"/>
  <c r="AR6" i="14" s="1"/>
  <c r="AI7" i="14"/>
  <c r="AR7" i="14" s="1"/>
  <c r="AI8" i="14"/>
  <c r="AR8" i="14" s="1"/>
  <c r="AI9" i="14"/>
  <c r="AI10" i="14"/>
  <c r="AR10" i="14" s="1"/>
  <c r="AI11" i="14"/>
  <c r="AR11" i="14" s="1"/>
  <c r="AI12" i="14"/>
  <c r="AR12" i="14" s="1"/>
  <c r="AI13" i="14"/>
  <c r="AR13" i="14" s="1"/>
  <c r="AI14" i="14"/>
  <c r="AR14" i="14" s="1"/>
  <c r="AI15" i="14"/>
  <c r="AR15" i="14" s="1"/>
  <c r="AI16" i="14"/>
  <c r="AR16" i="14" s="1"/>
  <c r="AI17" i="14"/>
  <c r="AR17" i="14" s="1"/>
  <c r="AI18" i="14"/>
  <c r="AR18" i="14" s="1"/>
  <c r="AI19" i="14"/>
  <c r="AR19" i="14" s="1"/>
  <c r="AI20" i="14"/>
  <c r="AR20" i="14" s="1"/>
  <c r="AI21" i="14"/>
  <c r="AR21" i="14" s="1"/>
  <c r="AI22" i="14"/>
  <c r="AR22" i="14" s="1"/>
  <c r="AI23" i="14"/>
  <c r="AR23" i="14" s="1"/>
  <c r="AI24" i="14"/>
  <c r="AR24" i="14" s="1"/>
  <c r="AI25" i="14"/>
  <c r="AR25" i="14" s="1"/>
  <c r="AI26" i="14"/>
  <c r="AR26" i="14" s="1"/>
  <c r="AI27" i="14"/>
  <c r="AR27" i="14" s="1"/>
  <c r="AI28" i="14"/>
  <c r="AR28" i="14" s="1"/>
  <c r="AI29" i="14"/>
  <c r="AR29" i="14" s="1"/>
  <c r="AI30" i="14"/>
  <c r="AR30" i="14" s="1"/>
  <c r="AI31" i="14"/>
  <c r="AR31" i="14" s="1"/>
  <c r="AI32" i="14"/>
  <c r="AR32" i="14" s="1"/>
  <c r="AI33" i="14"/>
  <c r="AR33" i="14" s="1"/>
  <c r="AI34" i="14"/>
  <c r="AR34" i="14" s="1"/>
  <c r="AI35" i="14"/>
  <c r="AR35" i="14" s="1"/>
  <c r="AI36" i="14"/>
  <c r="AR36" i="14" s="1"/>
  <c r="AI37" i="14"/>
  <c r="AR37" i="14" s="1"/>
  <c r="AI38" i="14"/>
  <c r="AR38" i="14" s="1"/>
  <c r="AI39" i="14"/>
  <c r="AR39" i="14" s="1"/>
  <c r="AI40" i="14"/>
  <c r="AR40" i="14" s="1"/>
  <c r="AI41" i="14"/>
  <c r="AR41" i="14" s="1"/>
  <c r="AI42" i="14"/>
  <c r="AR42" i="14" s="1"/>
  <c r="AI43" i="14"/>
  <c r="AR43" i="14" s="1"/>
  <c r="AI44" i="14"/>
  <c r="AR44" i="14" s="1"/>
  <c r="AI45" i="14"/>
  <c r="AR45" i="14" s="1"/>
  <c r="AI46" i="14"/>
  <c r="AR46" i="14" s="1"/>
  <c r="AI47" i="14"/>
  <c r="AR47" i="14" s="1"/>
  <c r="AI48" i="14"/>
  <c r="AR48" i="14" s="1"/>
  <c r="AI49" i="14"/>
  <c r="AR49" i="14" s="1"/>
  <c r="AI50" i="14"/>
  <c r="AR50" i="14" s="1"/>
  <c r="AI51" i="14"/>
  <c r="AR51" i="14" s="1"/>
  <c r="AI52" i="14"/>
  <c r="AR52" i="14" s="1"/>
  <c r="AI53" i="14"/>
  <c r="AR53" i="14" s="1"/>
  <c r="AI54" i="14"/>
  <c r="AR54" i="14" s="1"/>
  <c r="AI55" i="14"/>
  <c r="AR55" i="14" s="1"/>
  <c r="AI56" i="14"/>
  <c r="AR56" i="14" s="1"/>
  <c r="AI57" i="14"/>
  <c r="AR57" i="14" s="1"/>
  <c r="AI58" i="14"/>
  <c r="AR58" i="14" s="1"/>
  <c r="AI59" i="14"/>
  <c r="AR59" i="14" s="1"/>
  <c r="AI60" i="14"/>
  <c r="AR60" i="14" s="1"/>
  <c r="AI61" i="14"/>
  <c r="AR61" i="14" s="1"/>
  <c r="AI62" i="14"/>
  <c r="AR62" i="14" s="1"/>
  <c r="AI63" i="14"/>
  <c r="AR63" i="14" s="1"/>
  <c r="AI64" i="14"/>
  <c r="AR64" i="14" s="1"/>
  <c r="AI65" i="14"/>
  <c r="AR65" i="14" s="1"/>
  <c r="AI66" i="14"/>
  <c r="AR66" i="14" s="1"/>
  <c r="AI67" i="14"/>
  <c r="AR67" i="14" s="1"/>
  <c r="AI68" i="14"/>
  <c r="AR68" i="14" s="1"/>
  <c r="AI69" i="14"/>
  <c r="AR69" i="14" s="1"/>
  <c r="AI70" i="14"/>
  <c r="AR70" i="14" s="1"/>
  <c r="AI71" i="14"/>
  <c r="AR71" i="14" s="1"/>
  <c r="AI72" i="14"/>
  <c r="AR72" i="14" s="1"/>
  <c r="AI73" i="14"/>
  <c r="AI74" i="14"/>
  <c r="AR74" i="14" s="1"/>
  <c r="AI75" i="14"/>
  <c r="AR75" i="14" s="1"/>
  <c r="AI76" i="14"/>
  <c r="AR76" i="14" s="1"/>
  <c r="AI77" i="14"/>
  <c r="AR77" i="14" s="1"/>
  <c r="AI78" i="14"/>
  <c r="AR78" i="14" s="1"/>
  <c r="AI79" i="14"/>
  <c r="AR79" i="14" s="1"/>
  <c r="AI80" i="14"/>
  <c r="AR80" i="14" s="1"/>
  <c r="AI81" i="14"/>
  <c r="AR81" i="14" s="1"/>
  <c r="AI82" i="14"/>
  <c r="AR82" i="14" s="1"/>
  <c r="AI83" i="14"/>
  <c r="AR83" i="14" s="1"/>
  <c r="AI84" i="14"/>
  <c r="AR84" i="14" s="1"/>
  <c r="AI85" i="14"/>
  <c r="AR85" i="14" s="1"/>
  <c r="AI86" i="14"/>
  <c r="AR86" i="14" s="1"/>
  <c r="AI87" i="14"/>
  <c r="AR87" i="14" s="1"/>
  <c r="AI88" i="14"/>
  <c r="AR88" i="14" s="1"/>
  <c r="AI89" i="14"/>
  <c r="AR89" i="14" s="1"/>
  <c r="AI90" i="14"/>
  <c r="AR90" i="14" s="1"/>
  <c r="AI91" i="14"/>
  <c r="AR91" i="14" s="1"/>
  <c r="AI92" i="14"/>
  <c r="AR92" i="14" s="1"/>
  <c r="AI93" i="14"/>
  <c r="AR93" i="14" s="1"/>
  <c r="AI94" i="14"/>
  <c r="AR94" i="14" s="1"/>
  <c r="AI95" i="14"/>
  <c r="AR95" i="14" s="1"/>
  <c r="AI96" i="14"/>
  <c r="AR96" i="14" s="1"/>
  <c r="AI97" i="14"/>
  <c r="AR97" i="14" s="1"/>
  <c r="AI98" i="14"/>
  <c r="AR98" i="14" s="1"/>
  <c r="AI99" i="14"/>
  <c r="AR99" i="14" s="1"/>
  <c r="AI100" i="14"/>
  <c r="AR100" i="14" s="1"/>
  <c r="AI101" i="14"/>
  <c r="AR101" i="14" s="1"/>
  <c r="AI102" i="14"/>
  <c r="AR102" i="14" s="1"/>
  <c r="AI103" i="14"/>
  <c r="AR103" i="14" s="1"/>
  <c r="AI104" i="14"/>
  <c r="AR104" i="14" s="1"/>
  <c r="AI105" i="14"/>
  <c r="AR105" i="14" s="1"/>
  <c r="AI106" i="14"/>
  <c r="AR106" i="14" s="1"/>
  <c r="AI107" i="14"/>
  <c r="AR107" i="14" s="1"/>
  <c r="AI108" i="14"/>
  <c r="AR108" i="14" s="1"/>
  <c r="AI109" i="14"/>
  <c r="AR109" i="14" s="1"/>
  <c r="AI110" i="14"/>
  <c r="AR110" i="14" s="1"/>
  <c r="AI111" i="14"/>
  <c r="AR111" i="14" s="1"/>
  <c r="AI112" i="14"/>
  <c r="AR112" i="14" s="1"/>
  <c r="AI113" i="14"/>
  <c r="AR113" i="14" s="1"/>
  <c r="AI114" i="14"/>
  <c r="AR114" i="14" s="1"/>
  <c r="AI115" i="14"/>
  <c r="AR115" i="14" s="1"/>
  <c r="AI116" i="14"/>
  <c r="AR116" i="14" s="1"/>
  <c r="AI117" i="14"/>
  <c r="AR117" i="14" s="1"/>
  <c r="AI118" i="14"/>
  <c r="AR118" i="14" s="1"/>
  <c r="AI119" i="14"/>
  <c r="AR119" i="14" s="1"/>
  <c r="AI120" i="14"/>
  <c r="AR120" i="14" s="1"/>
  <c r="AI121" i="14"/>
  <c r="AR121" i="14" s="1"/>
  <c r="AI122" i="14"/>
  <c r="AR122" i="14" s="1"/>
  <c r="AI123" i="14"/>
  <c r="AR123" i="14" s="1"/>
  <c r="AI124" i="14"/>
  <c r="AR124" i="14" s="1"/>
  <c r="AI125" i="14"/>
  <c r="AR125" i="14" s="1"/>
  <c r="AI126" i="14"/>
  <c r="AR126" i="14" s="1"/>
  <c r="AI127" i="14"/>
  <c r="AR127" i="14" s="1"/>
  <c r="AI128" i="14"/>
  <c r="AR128" i="14" s="1"/>
  <c r="AI129" i="14"/>
  <c r="AR129" i="14" s="1"/>
  <c r="AI130" i="14"/>
  <c r="AR130" i="14" s="1"/>
  <c r="AI131" i="14"/>
  <c r="AR131" i="14" s="1"/>
  <c r="AI132" i="14"/>
  <c r="AR132" i="14" s="1"/>
  <c r="AI133" i="14"/>
  <c r="AR133" i="14" s="1"/>
  <c r="AI134" i="14"/>
  <c r="AR134" i="14" s="1"/>
  <c r="AI135" i="14"/>
  <c r="AR135" i="14" s="1"/>
  <c r="AI136" i="14"/>
  <c r="AR136" i="14" s="1"/>
  <c r="AI137" i="14"/>
  <c r="AI138" i="14"/>
  <c r="AR138" i="14" s="1"/>
  <c r="AI139" i="14"/>
  <c r="AR139" i="14" s="1"/>
  <c r="AI140" i="14"/>
  <c r="AR140" i="14" s="1"/>
  <c r="AI141" i="14"/>
  <c r="AR141" i="14" s="1"/>
  <c r="AI142" i="14"/>
  <c r="AR142" i="14" s="1"/>
  <c r="AI143" i="14"/>
  <c r="AR143" i="14" s="1"/>
  <c r="AI144" i="14"/>
  <c r="AR144" i="14" s="1"/>
  <c r="AI145" i="14"/>
  <c r="AR145" i="14" s="1"/>
  <c r="AI146" i="14"/>
  <c r="AR146" i="14" s="1"/>
  <c r="AI147" i="14"/>
  <c r="AR147" i="14" s="1"/>
  <c r="AI148" i="14"/>
  <c r="AR148" i="14" s="1"/>
  <c r="AI149" i="14"/>
  <c r="AR149" i="14" s="1"/>
  <c r="AI150" i="14"/>
  <c r="AR150" i="14" s="1"/>
  <c r="AI151" i="14"/>
  <c r="AR151" i="14" s="1"/>
  <c r="AI152" i="14"/>
  <c r="AR152" i="14" s="1"/>
  <c r="AI153" i="14"/>
  <c r="AR153" i="14" s="1"/>
  <c r="AI154" i="14"/>
  <c r="AR154" i="14" s="1"/>
  <c r="AI155" i="14"/>
  <c r="AR155" i="14" s="1"/>
  <c r="AI156" i="14"/>
  <c r="AR156" i="14" s="1"/>
  <c r="AI157" i="14"/>
  <c r="AR157" i="14" s="1"/>
  <c r="AI158" i="14"/>
  <c r="AR158" i="14" s="1"/>
  <c r="AI159" i="14"/>
  <c r="AR159" i="14" s="1"/>
  <c r="AI160" i="14"/>
  <c r="AR160" i="14" s="1"/>
  <c r="AI161" i="14"/>
  <c r="AR161" i="14" s="1"/>
  <c r="AI162" i="14"/>
  <c r="AR162" i="14" s="1"/>
  <c r="AI163" i="14"/>
  <c r="AR163" i="14" s="1"/>
  <c r="AI164" i="14"/>
  <c r="AR164" i="14" s="1"/>
  <c r="AI165" i="14"/>
  <c r="AR165" i="14" s="1"/>
  <c r="AI166" i="14"/>
  <c r="AR166" i="14" s="1"/>
  <c r="AI167" i="14"/>
  <c r="AR167" i="14" s="1"/>
  <c r="AI168" i="14"/>
  <c r="AR168" i="14" s="1"/>
  <c r="AI169" i="14"/>
  <c r="AR169" i="14" s="1"/>
  <c r="AI170" i="14"/>
  <c r="AR170" i="14" s="1"/>
  <c r="AI171" i="14"/>
  <c r="AR171" i="14" s="1"/>
  <c r="AI172" i="14"/>
  <c r="AR172" i="14" s="1"/>
  <c r="AI173" i="14"/>
  <c r="AR173" i="14" s="1"/>
  <c r="AI174" i="14"/>
  <c r="AR174" i="14" s="1"/>
  <c r="AI175" i="14"/>
  <c r="AR175" i="14" s="1"/>
  <c r="AI176" i="14"/>
  <c r="AR176" i="14" s="1"/>
  <c r="AI177" i="14"/>
  <c r="AR177" i="14" s="1"/>
  <c r="AI178" i="14"/>
  <c r="AR178" i="14" s="1"/>
  <c r="AI179" i="14"/>
  <c r="AR179" i="14" s="1"/>
  <c r="AI180" i="14"/>
  <c r="AR180" i="14" s="1"/>
  <c r="AI181" i="14"/>
  <c r="AR181" i="14" s="1"/>
  <c r="AI182" i="14"/>
  <c r="AR182" i="14" s="1"/>
  <c r="AI183" i="14"/>
  <c r="AR183" i="14" s="1"/>
  <c r="AI184" i="14"/>
  <c r="AR184" i="14" s="1"/>
  <c r="AI185" i="14"/>
  <c r="AR185" i="14" s="1"/>
  <c r="AI186" i="14"/>
  <c r="AR186" i="14" s="1"/>
  <c r="AI187" i="14"/>
  <c r="AR187" i="14" s="1"/>
  <c r="AI188" i="14"/>
  <c r="AR188" i="14" s="1"/>
  <c r="AI189" i="14"/>
  <c r="AR189" i="14" s="1"/>
  <c r="AI190" i="14"/>
  <c r="AR190" i="14" s="1"/>
  <c r="AI191" i="14"/>
  <c r="AR191" i="14" s="1"/>
  <c r="AI192" i="14"/>
  <c r="AR192" i="14" s="1"/>
  <c r="AI193" i="14"/>
  <c r="AR193" i="14" s="1"/>
  <c r="AI194" i="14"/>
  <c r="AR194" i="14" s="1"/>
  <c r="AI195" i="14"/>
  <c r="AR195" i="14" s="1"/>
  <c r="AI196" i="14"/>
  <c r="AR196" i="14" s="1"/>
  <c r="AI197" i="14"/>
  <c r="AR197" i="14" s="1"/>
  <c r="AI198" i="14"/>
  <c r="AR198" i="14" s="1"/>
  <c r="AI199" i="14"/>
  <c r="AR199" i="14" s="1"/>
  <c r="AI200" i="14"/>
  <c r="AR200" i="14" s="1"/>
  <c r="AI201" i="14"/>
  <c r="AI202" i="14"/>
  <c r="AR202" i="14" s="1"/>
  <c r="AI203" i="14"/>
  <c r="AR203" i="14" s="1"/>
  <c r="AI204" i="14"/>
  <c r="AR204" i="14" s="1"/>
  <c r="AI205" i="14"/>
  <c r="AR205" i="14" s="1"/>
  <c r="AI206" i="14"/>
  <c r="AR206" i="14" s="1"/>
  <c r="AI207" i="14"/>
  <c r="AR207" i="14" s="1"/>
  <c r="AI208" i="14"/>
  <c r="AR208" i="14" s="1"/>
  <c r="AI209" i="14"/>
  <c r="AR209" i="14" s="1"/>
  <c r="AI210" i="14"/>
  <c r="AR210" i="14" s="1"/>
  <c r="AI211" i="14"/>
  <c r="AR211" i="14" s="1"/>
  <c r="AI212" i="14"/>
  <c r="AR212" i="14" s="1"/>
  <c r="AI213" i="14"/>
  <c r="AR213" i="14" s="1"/>
  <c r="AI214" i="14"/>
  <c r="AR214" i="14" s="1"/>
  <c r="AI215" i="14"/>
  <c r="AR215" i="14" s="1"/>
  <c r="AI216" i="14"/>
  <c r="AR216" i="14" s="1"/>
  <c r="AI217" i="14"/>
  <c r="AR217" i="14" s="1"/>
  <c r="AI218" i="14"/>
  <c r="AR218" i="14" s="1"/>
  <c r="AI219" i="14"/>
  <c r="AR219" i="14" s="1"/>
  <c r="AI220" i="14"/>
  <c r="AR220" i="14" s="1"/>
  <c r="AI221" i="14"/>
  <c r="AR221" i="14" s="1"/>
  <c r="AI222" i="14"/>
  <c r="AR222" i="14" s="1"/>
  <c r="AI223" i="14"/>
  <c r="AR223" i="14" s="1"/>
  <c r="AI224" i="14"/>
  <c r="AR224" i="14" s="1"/>
  <c r="AI225" i="14"/>
  <c r="AR225" i="14" s="1"/>
  <c r="AI226" i="14"/>
  <c r="AR226" i="14" s="1"/>
  <c r="AI227" i="14"/>
  <c r="AR227" i="14" s="1"/>
  <c r="AI228" i="14"/>
  <c r="AR228" i="14" s="1"/>
  <c r="AI229" i="14"/>
  <c r="AR229" i="14" s="1"/>
  <c r="AI230" i="14"/>
  <c r="AR230" i="14" s="1"/>
  <c r="AI231" i="14"/>
  <c r="AR231" i="14" s="1"/>
  <c r="AI232" i="14"/>
  <c r="AR232" i="14" s="1"/>
  <c r="AI233" i="14"/>
  <c r="AR233" i="14" s="1"/>
  <c r="AI234" i="14"/>
  <c r="AR234" i="14" s="1"/>
  <c r="AI235" i="14"/>
  <c r="AR235" i="14" s="1"/>
  <c r="AI236" i="14"/>
  <c r="AR236" i="14" s="1"/>
  <c r="AI237" i="14"/>
  <c r="AR237" i="14" s="1"/>
  <c r="AI238" i="14"/>
  <c r="AR238" i="14" s="1"/>
  <c r="AI239" i="14"/>
  <c r="AR239" i="14" s="1"/>
  <c r="AI240" i="14"/>
  <c r="AR240" i="14" s="1"/>
  <c r="AI241" i="14"/>
  <c r="AR241" i="14" s="1"/>
  <c r="AI242" i="14"/>
  <c r="AR242" i="14" s="1"/>
  <c r="AI243" i="14"/>
  <c r="AR243" i="14" s="1"/>
  <c r="AI244" i="14"/>
  <c r="AR244" i="14" s="1"/>
  <c r="AI245" i="14"/>
  <c r="AR245" i="14" s="1"/>
  <c r="AI246" i="14"/>
  <c r="AR246" i="14" s="1"/>
  <c r="AI247" i="14"/>
  <c r="AR247" i="14" s="1"/>
  <c r="AI248" i="14"/>
  <c r="AR248" i="14" s="1"/>
  <c r="AI249" i="14"/>
  <c r="AR249" i="14" s="1"/>
  <c r="AI250" i="14"/>
  <c r="AR250" i="14" s="1"/>
  <c r="AI251" i="14"/>
  <c r="AR251" i="14" s="1"/>
  <c r="AI252" i="14"/>
  <c r="AR252" i="14" s="1"/>
  <c r="AI253" i="14"/>
  <c r="AR253" i="14" s="1"/>
  <c r="AI254" i="14"/>
  <c r="AR254" i="14" s="1"/>
  <c r="AI255" i="14"/>
  <c r="AR255" i="14" s="1"/>
  <c r="AI256" i="14"/>
  <c r="AR256" i="14" s="1"/>
  <c r="AI257" i="14"/>
  <c r="AR257" i="14" s="1"/>
  <c r="AI258" i="14"/>
  <c r="AR258" i="14" s="1"/>
  <c r="AI259" i="14"/>
  <c r="AR259" i="14" s="1"/>
  <c r="AI260" i="14"/>
  <c r="AR260" i="14" s="1"/>
  <c r="AI261" i="14"/>
  <c r="AR261" i="14" s="1"/>
  <c r="AI262" i="14"/>
  <c r="AR262" i="14" s="1"/>
  <c r="AI263" i="14"/>
  <c r="AR263" i="14" s="1"/>
  <c r="AI264" i="14"/>
  <c r="AR264" i="14" s="1"/>
  <c r="AI265" i="14"/>
  <c r="AR265" i="14" s="1"/>
  <c r="AI266" i="14"/>
  <c r="AR266" i="14" s="1"/>
  <c r="AI267" i="14"/>
  <c r="AR267" i="14" s="1"/>
  <c r="AI268" i="14"/>
  <c r="AR268" i="14" s="1"/>
  <c r="AI269" i="14"/>
  <c r="AR269" i="14" s="1"/>
  <c r="AI270" i="14"/>
  <c r="AR270" i="14" s="1"/>
  <c r="AI271" i="14"/>
  <c r="AR271" i="14" s="1"/>
  <c r="AI272" i="14"/>
  <c r="AR272" i="14" s="1"/>
  <c r="AI273" i="14"/>
  <c r="AR273" i="14" s="1"/>
  <c r="AI274" i="14"/>
  <c r="AR274" i="14" s="1"/>
  <c r="AI275" i="14"/>
  <c r="AR275" i="14" s="1"/>
  <c r="AI276" i="14"/>
  <c r="AR276" i="14" s="1"/>
  <c r="AI277" i="14"/>
  <c r="AR277" i="14" s="1"/>
  <c r="AI278" i="14"/>
  <c r="AR278" i="14" s="1"/>
  <c r="AI279" i="14"/>
  <c r="AR279" i="14" s="1"/>
  <c r="AI280" i="14"/>
  <c r="AR280" i="14" s="1"/>
  <c r="AI281" i="14"/>
  <c r="AR281" i="14" s="1"/>
  <c r="AI282" i="14"/>
  <c r="AR282" i="14" s="1"/>
  <c r="AI283" i="14"/>
  <c r="AR283" i="14" s="1"/>
  <c r="AI284" i="14"/>
  <c r="AR284" i="14" s="1"/>
  <c r="AI285" i="14"/>
  <c r="AR285" i="14" s="1"/>
  <c r="AI286" i="14"/>
  <c r="AR286" i="14" s="1"/>
  <c r="AI287" i="14"/>
  <c r="AR287" i="14" s="1"/>
  <c r="AI288" i="14"/>
  <c r="AI289" i="14"/>
  <c r="AR289" i="14" s="1"/>
  <c r="AI290" i="14"/>
  <c r="AR290" i="14" s="1"/>
  <c r="AI291" i="14"/>
  <c r="AR291" i="14" s="1"/>
  <c r="AI292" i="14"/>
  <c r="AR292" i="14" s="1"/>
  <c r="AI293" i="14"/>
  <c r="AR293" i="14" s="1"/>
  <c r="AI294" i="14"/>
  <c r="AR294" i="14" s="1"/>
  <c r="AI295" i="14"/>
  <c r="AR295" i="14" s="1"/>
  <c r="AI296" i="14"/>
  <c r="AR296" i="14" s="1"/>
  <c r="AI297" i="14"/>
  <c r="AR297" i="14" s="1"/>
  <c r="AI298" i="14"/>
  <c r="AR298" i="14" s="1"/>
  <c r="AI299" i="14"/>
  <c r="AR299" i="14" s="1"/>
  <c r="AI300" i="14"/>
  <c r="AR300" i="14" s="1"/>
  <c r="AI301" i="14"/>
  <c r="AR301" i="14" s="1"/>
  <c r="AI302" i="14"/>
  <c r="AR302" i="14" s="1"/>
  <c r="AI303" i="14"/>
  <c r="AR303" i="14" s="1"/>
  <c r="AI304" i="14"/>
  <c r="AR304" i="14" s="1"/>
  <c r="AI305" i="14"/>
  <c r="AR305" i="14" s="1"/>
  <c r="AI306" i="14"/>
  <c r="AR306" i="14" s="1"/>
  <c r="AI307" i="14"/>
  <c r="AR307" i="14" s="1"/>
  <c r="AI308" i="14"/>
  <c r="AR308" i="14" s="1"/>
  <c r="AI309" i="14"/>
  <c r="AR309" i="14" s="1"/>
  <c r="AI310" i="14"/>
  <c r="AR310" i="14" s="1"/>
  <c r="AI311" i="14"/>
  <c r="AR311" i="14" s="1"/>
  <c r="AI312" i="14"/>
  <c r="AR312" i="14" s="1"/>
  <c r="AI313" i="14"/>
  <c r="AR313" i="14" s="1"/>
  <c r="AI314" i="14"/>
  <c r="AR314" i="14" s="1"/>
  <c r="AI315" i="14"/>
  <c r="AR315" i="14" s="1"/>
  <c r="AI316" i="14"/>
  <c r="AR316" i="14" s="1"/>
  <c r="AI317" i="14"/>
  <c r="AR317" i="14" s="1"/>
  <c r="AI318" i="14"/>
  <c r="AR318" i="14" s="1"/>
  <c r="AI319" i="14"/>
  <c r="AR319" i="14" s="1"/>
  <c r="AI320" i="14"/>
  <c r="AR320" i="14" s="1"/>
  <c r="AI321" i="14"/>
  <c r="AR321" i="14" s="1"/>
  <c r="AI322" i="14"/>
  <c r="AR322" i="14" s="1"/>
  <c r="AI323" i="14"/>
  <c r="AR323" i="14" s="1"/>
  <c r="AI324" i="14"/>
  <c r="AR324" i="14" s="1"/>
  <c r="AI325" i="14"/>
  <c r="AR325" i="14" s="1"/>
  <c r="AI326" i="14"/>
  <c r="AR326" i="14" s="1"/>
  <c r="AI327" i="14"/>
  <c r="AR327" i="14" s="1"/>
  <c r="AI328" i="14"/>
  <c r="AR328" i="14" s="1"/>
  <c r="AI329" i="14"/>
  <c r="AR329" i="14" s="1"/>
  <c r="AI330" i="14"/>
  <c r="AR330" i="14" s="1"/>
  <c r="AI331" i="14"/>
  <c r="AR331" i="14" s="1"/>
  <c r="AI332" i="14"/>
  <c r="AR332" i="14" s="1"/>
  <c r="AI333" i="14"/>
  <c r="AR333" i="14" s="1"/>
  <c r="AI334" i="14"/>
  <c r="AR334" i="14" s="1"/>
  <c r="AI335" i="14"/>
  <c r="AR335" i="14" s="1"/>
  <c r="AI336" i="14"/>
  <c r="AR336" i="14" s="1"/>
  <c r="AI337" i="14"/>
  <c r="AR337" i="14" s="1"/>
  <c r="AI338" i="14"/>
  <c r="AR338" i="14" s="1"/>
  <c r="AI339" i="14"/>
  <c r="AR339" i="14" s="1"/>
  <c r="AI340" i="14"/>
  <c r="AR340" i="14" s="1"/>
  <c r="AI341" i="14"/>
  <c r="AR341" i="14" s="1"/>
  <c r="AI342" i="14"/>
  <c r="AR342" i="14" s="1"/>
  <c r="AI343" i="14"/>
  <c r="AR343" i="14" s="1"/>
  <c r="AI344" i="14"/>
  <c r="AR344" i="14" s="1"/>
  <c r="AI345" i="14"/>
  <c r="AR345" i="14" s="1"/>
  <c r="AI346" i="14"/>
  <c r="AR346" i="14" s="1"/>
  <c r="AI347" i="14"/>
  <c r="AR347" i="14" s="1"/>
  <c r="AI348" i="14"/>
  <c r="AR348" i="14" s="1"/>
  <c r="AI349" i="14"/>
  <c r="AR349" i="14" s="1"/>
  <c r="AI350" i="14"/>
  <c r="AR350" i="14" s="1"/>
  <c r="AI351" i="14"/>
  <c r="AR351" i="14" s="1"/>
  <c r="AI352" i="14"/>
  <c r="AR352" i="14" s="1"/>
  <c r="AI353" i="14"/>
  <c r="AR353" i="14" s="1"/>
  <c r="AI354" i="14"/>
  <c r="AR354" i="14" s="1"/>
  <c r="AI355" i="14"/>
  <c r="AR355" i="14" s="1"/>
  <c r="AI356" i="14"/>
  <c r="AR356" i="14" s="1"/>
  <c r="AI357" i="14"/>
  <c r="AR357" i="14" s="1"/>
  <c r="AI358" i="14"/>
  <c r="AR358" i="14" s="1"/>
  <c r="AI359" i="14"/>
  <c r="AR359" i="14" s="1"/>
  <c r="AI360" i="14"/>
  <c r="AR360" i="14" s="1"/>
  <c r="AI361" i="14"/>
  <c r="AR361" i="14" s="1"/>
  <c r="AI362" i="14"/>
  <c r="AR362" i="14" s="1"/>
  <c r="AI363" i="14"/>
  <c r="AR363" i="14" s="1"/>
  <c r="AI364" i="14"/>
  <c r="AR364" i="14" s="1"/>
  <c r="AI365" i="14"/>
  <c r="AR365" i="14" s="1"/>
  <c r="AI366" i="14"/>
  <c r="AR366" i="14" s="1"/>
  <c r="AI367" i="14"/>
  <c r="AR367" i="14" s="1"/>
  <c r="AI368" i="14"/>
  <c r="AR368" i="14" s="1"/>
  <c r="AI369" i="14"/>
  <c r="AR369" i="14" s="1"/>
  <c r="AI370" i="14"/>
  <c r="AR370" i="14" s="1"/>
  <c r="AI371" i="14"/>
  <c r="AR371" i="14" s="1"/>
  <c r="AI372" i="14"/>
  <c r="AR372" i="14" s="1"/>
  <c r="AI373" i="14"/>
  <c r="AR373" i="14" s="1"/>
  <c r="AI374" i="14"/>
  <c r="AR374" i="14" s="1"/>
  <c r="AI375" i="14"/>
  <c r="AR375" i="14" s="1"/>
  <c r="AI376" i="14"/>
  <c r="AR376" i="14" s="1"/>
  <c r="AI377" i="14"/>
  <c r="AR377" i="14" s="1"/>
  <c r="AI378" i="14"/>
  <c r="AR378" i="14" s="1"/>
  <c r="AI379" i="14"/>
  <c r="AR379" i="14" s="1"/>
  <c r="AI380" i="14"/>
  <c r="AI381" i="14"/>
  <c r="AR381" i="14" s="1"/>
  <c r="AI382" i="14"/>
  <c r="AR382" i="14" s="1"/>
  <c r="AI383" i="14"/>
  <c r="AR383" i="14" s="1"/>
  <c r="AI384" i="14"/>
  <c r="AR384" i="14" s="1"/>
  <c r="AI385" i="14"/>
  <c r="AR385" i="14" s="1"/>
  <c r="AI386" i="14"/>
  <c r="AR386" i="14" s="1"/>
  <c r="AI387" i="14"/>
  <c r="AR387" i="14" s="1"/>
  <c r="AI388" i="14"/>
  <c r="AR388" i="14" s="1"/>
  <c r="AI389" i="14"/>
  <c r="AR389" i="14" s="1"/>
  <c r="AI390" i="14"/>
  <c r="AR390" i="14" s="1"/>
  <c r="AI392" i="14"/>
  <c r="AR392" i="14" s="1"/>
  <c r="AI393" i="14"/>
  <c r="AR393" i="14" s="1"/>
  <c r="AI394" i="14"/>
  <c r="AR394" i="14" s="1"/>
  <c r="AI395" i="14"/>
  <c r="AR395" i="14" s="1"/>
  <c r="AI396" i="14"/>
  <c r="AR396" i="14" s="1"/>
  <c r="AI397" i="14"/>
  <c r="AR397" i="14" s="1"/>
  <c r="AI398" i="14"/>
  <c r="AR398" i="14" s="1"/>
  <c r="AI399" i="14"/>
  <c r="AR399" i="14" s="1"/>
  <c r="AI400" i="14"/>
  <c r="AR400" i="14" s="1"/>
  <c r="AI401" i="14"/>
  <c r="AR401" i="14" s="1"/>
  <c r="AI402" i="14"/>
  <c r="AR402" i="14" s="1"/>
  <c r="AI403" i="14"/>
  <c r="AR403" i="14" s="1"/>
  <c r="AI404" i="14"/>
  <c r="AR404" i="14" s="1"/>
  <c r="AI405" i="14"/>
  <c r="AR405" i="14" s="1"/>
  <c r="AI406" i="14"/>
  <c r="AR406" i="14" s="1"/>
  <c r="AI407" i="14"/>
  <c r="AR407" i="14" s="1"/>
  <c r="AI408" i="14"/>
  <c r="AR408" i="14" s="1"/>
  <c r="AI409" i="14"/>
  <c r="AR409" i="14" s="1"/>
  <c r="AV22" i="12"/>
  <c r="AV23" i="12"/>
  <c r="AV26" i="12"/>
  <c r="AV27" i="12"/>
  <c r="AV28" i="12"/>
  <c r="AV29" i="12"/>
  <c r="AV31" i="12"/>
  <c r="AV32" i="12"/>
  <c r="AV33" i="12"/>
  <c r="AV35" i="12"/>
  <c r="AV36" i="12"/>
  <c r="AV37" i="12"/>
  <c r="AV38" i="12"/>
  <c r="AV39" i="12"/>
  <c r="AV40" i="12"/>
  <c r="AV41" i="12"/>
  <c r="AV42" i="12"/>
  <c r="AV43" i="12"/>
  <c r="AV44" i="12"/>
  <c r="AV45" i="12"/>
  <c r="AV47" i="12"/>
  <c r="AV48" i="12"/>
  <c r="AV49" i="12"/>
  <c r="AV50" i="12"/>
  <c r="AV51" i="12"/>
  <c r="AV52" i="12"/>
  <c r="AV53" i="12"/>
  <c r="AV54" i="12"/>
  <c r="AV55" i="12"/>
  <c r="AV56" i="12"/>
  <c r="AV57" i="12"/>
  <c r="AV58" i="12"/>
  <c r="AV59" i="12"/>
  <c r="AV60" i="12"/>
  <c r="AV61" i="12"/>
  <c r="AV62" i="12"/>
  <c r="AV63" i="12"/>
  <c r="AV64" i="12"/>
  <c r="AV66" i="12"/>
  <c r="AV67" i="12"/>
  <c r="AV68" i="12"/>
  <c r="AV69" i="12"/>
  <c r="AV70" i="12"/>
  <c r="AV71" i="12"/>
  <c r="AV11" i="12"/>
  <c r="AV12" i="12"/>
  <c r="AV13" i="12"/>
  <c r="AV14" i="12"/>
  <c r="AV15" i="12"/>
  <c r="AV16" i="12"/>
  <c r="AV17" i="12"/>
  <c r="AV72" i="12"/>
  <c r="AV73" i="12"/>
  <c r="AV74" i="12"/>
  <c r="AV75" i="12"/>
  <c r="AV76" i="12"/>
  <c r="AV78" i="12"/>
  <c r="AV79" i="12"/>
  <c r="AV80" i="12"/>
  <c r="AV81" i="12"/>
  <c r="AV82" i="12"/>
  <c r="AV83" i="12"/>
  <c r="AV84" i="12"/>
  <c r="AV85" i="12"/>
  <c r="AV275" i="12"/>
  <c r="AV276" i="12"/>
  <c r="AV86" i="12"/>
  <c r="AV87" i="12"/>
  <c r="AV88" i="12"/>
  <c r="AV89" i="12"/>
  <c r="AV90" i="12"/>
  <c r="AV91" i="12"/>
  <c r="AV92" i="12"/>
  <c r="AV93" i="12"/>
  <c r="AV94" i="12"/>
  <c r="AV95" i="12"/>
  <c r="AV101" i="12"/>
  <c r="AV102" i="12"/>
  <c r="AV103" i="12"/>
  <c r="AV107" i="12"/>
  <c r="AV108" i="12"/>
  <c r="AV111" i="12"/>
  <c r="AV112" i="12"/>
  <c r="AV113" i="12"/>
  <c r="AV114" i="12"/>
  <c r="AV116" i="12"/>
  <c r="AV117" i="12"/>
  <c r="AV118" i="12"/>
  <c r="AV119" i="12"/>
  <c r="AV120" i="12"/>
  <c r="AV121" i="12"/>
  <c r="AV122" i="12"/>
  <c r="AV123" i="12"/>
  <c r="AV124" i="12"/>
  <c r="AV125" i="12"/>
  <c r="AV128" i="12"/>
  <c r="AV129" i="12"/>
  <c r="AV131" i="12"/>
  <c r="AV133" i="12"/>
  <c r="AV135" i="12"/>
  <c r="AV136" i="12"/>
  <c r="AV141" i="12"/>
  <c r="AV142" i="12"/>
  <c r="AV143" i="12"/>
  <c r="AV144" i="12"/>
  <c r="AV145" i="12"/>
  <c r="AV146" i="12"/>
  <c r="AV147" i="12"/>
  <c r="AV148" i="12"/>
  <c r="AV149" i="12"/>
  <c r="AV150" i="12"/>
  <c r="AV151" i="12"/>
  <c r="AV152" i="12"/>
  <c r="AV153" i="12"/>
  <c r="AV155" i="12"/>
  <c r="AV157" i="12"/>
  <c r="AV158" i="12"/>
  <c r="AV159" i="12"/>
  <c r="AV160" i="12"/>
  <c r="AV161" i="12"/>
  <c r="AV162" i="12"/>
  <c r="AV164" i="12"/>
  <c r="AV165" i="12"/>
  <c r="AV166" i="12"/>
  <c r="AV167" i="12"/>
  <c r="AV168" i="12"/>
  <c r="AV170" i="12"/>
  <c r="AV171" i="12"/>
  <c r="AV172" i="12"/>
  <c r="AV173" i="12"/>
  <c r="AV174" i="12"/>
  <c r="AV175" i="12"/>
  <c r="AV139" i="12"/>
  <c r="AV140" i="12"/>
  <c r="AV177" i="12"/>
  <c r="AV351" i="12"/>
  <c r="AV352" i="12"/>
  <c r="AV353" i="12"/>
  <c r="AV178" i="12"/>
  <c r="AV180" i="12"/>
  <c r="AV181" i="12"/>
  <c r="AV182" i="12"/>
  <c r="AV183" i="12"/>
  <c r="AV184" i="12"/>
  <c r="AV187" i="12"/>
  <c r="AV211" i="12"/>
  <c r="AV212" i="12"/>
  <c r="AV213" i="12"/>
  <c r="AV214" i="12"/>
  <c r="AV216" i="12"/>
  <c r="AV217" i="12"/>
  <c r="AV218" i="12"/>
  <c r="AV219" i="12"/>
  <c r="AV220" i="12"/>
  <c r="AV223" i="12"/>
  <c r="AV224" i="12"/>
  <c r="AV230" i="12"/>
  <c r="AV231" i="12"/>
  <c r="AV232" i="12"/>
  <c r="AV233" i="12"/>
  <c r="AV234" i="12"/>
  <c r="AV236" i="12"/>
  <c r="AV237" i="12"/>
  <c r="AV238" i="12"/>
  <c r="AV239" i="12"/>
  <c r="AV240" i="12"/>
  <c r="AV242" i="12"/>
  <c r="AV243" i="12"/>
  <c r="AV244" i="12"/>
  <c r="AV245" i="12"/>
  <c r="AV246" i="12"/>
  <c r="AV247" i="12"/>
  <c r="AV248" i="12"/>
  <c r="AV249" i="12"/>
  <c r="AV250" i="12"/>
  <c r="AV251" i="12"/>
  <c r="AV252" i="12"/>
  <c r="AV253" i="12"/>
  <c r="AV254" i="12"/>
  <c r="AV255" i="12"/>
  <c r="AV256" i="12"/>
  <c r="AV257" i="12"/>
  <c r="AV258" i="12"/>
  <c r="AV259" i="12"/>
  <c r="AV260" i="12"/>
  <c r="AV261" i="12"/>
  <c r="AV262" i="12"/>
  <c r="AV263" i="12"/>
  <c r="AV265" i="12"/>
  <c r="AV266" i="12"/>
  <c r="AV267" i="12"/>
  <c r="AV269" i="12"/>
  <c r="AV270" i="12"/>
  <c r="AV271" i="12"/>
  <c r="AV272" i="12"/>
  <c r="AV273" i="12"/>
  <c r="AV274" i="12"/>
  <c r="AV241" i="12"/>
  <c r="AV284" i="12"/>
  <c r="AV285" i="12"/>
  <c r="AV286" i="12"/>
  <c r="AV287" i="12"/>
  <c r="AV268" i="12"/>
  <c r="AV206" i="12"/>
  <c r="AV207" i="12"/>
  <c r="AV290" i="12"/>
  <c r="AV291" i="12"/>
  <c r="AV294" i="12"/>
  <c r="AV137" i="12"/>
  <c r="AV138" i="12"/>
  <c r="AV296" i="12"/>
  <c r="AV297" i="12"/>
  <c r="AV298" i="12"/>
  <c r="AV299" i="12"/>
  <c r="AV300" i="12"/>
  <c r="AV302" i="12"/>
  <c r="AV303" i="12"/>
  <c r="AV304" i="12"/>
  <c r="AV305" i="12"/>
  <c r="AV306" i="12"/>
  <c r="AV310" i="12"/>
  <c r="AV311" i="12"/>
  <c r="AV312" i="12"/>
  <c r="AV313" i="12"/>
  <c r="AV314" i="12"/>
  <c r="AV315" i="12"/>
  <c r="AV316" i="12"/>
  <c r="AV317" i="12"/>
  <c r="AV319" i="12"/>
  <c r="AV320" i="12"/>
  <c r="AV321" i="12"/>
  <c r="AV322" i="12"/>
  <c r="AV323" i="12"/>
  <c r="AV324" i="12"/>
  <c r="AV325" i="12"/>
  <c r="AV326" i="12"/>
  <c r="AV327" i="12"/>
  <c r="AV328" i="12"/>
  <c r="AV334" i="12"/>
  <c r="AV335" i="12"/>
  <c r="AV336" i="12"/>
  <c r="AV337" i="12"/>
  <c r="AV338" i="12"/>
  <c r="AV339" i="12"/>
  <c r="AV340" i="12"/>
  <c r="AV341" i="12"/>
  <c r="AV342" i="12"/>
  <c r="AV343" i="12"/>
  <c r="AV208" i="12"/>
  <c r="AV209" i="12"/>
  <c r="AV346" i="12"/>
  <c r="AV347" i="12"/>
  <c r="AV348" i="12"/>
  <c r="AV349" i="12"/>
  <c r="AV350" i="12"/>
  <c r="AV354" i="12"/>
  <c r="AV355" i="12"/>
  <c r="AV356" i="12"/>
  <c r="AV357" i="12"/>
  <c r="AV358" i="12"/>
  <c r="AV359" i="12"/>
  <c r="AV360" i="12"/>
  <c r="AV361" i="12"/>
  <c r="AV362" i="12"/>
  <c r="AV363" i="12"/>
  <c r="AV364" i="12"/>
  <c r="AV365" i="12"/>
  <c r="AV366" i="12"/>
  <c r="AV367" i="12"/>
  <c r="AV368" i="12"/>
  <c r="AV369" i="12"/>
  <c r="AV370" i="12"/>
  <c r="AV371" i="12"/>
  <c r="AV376" i="12"/>
  <c r="AV377" i="12"/>
  <c r="AV378" i="12"/>
  <c r="AV379" i="12"/>
  <c r="AV380" i="12"/>
  <c r="AV381" i="12"/>
  <c r="AV382" i="12"/>
  <c r="AV387" i="12"/>
  <c r="AV388" i="12"/>
  <c r="AV389" i="12"/>
  <c r="AV390" i="12"/>
  <c r="AV392" i="12"/>
  <c r="AV393" i="12"/>
  <c r="AV394" i="12"/>
  <c r="AV396" i="12"/>
  <c r="AV397" i="12"/>
  <c r="AV398" i="12"/>
  <c r="AV399" i="12"/>
  <c r="AV400" i="12"/>
  <c r="AV401" i="12"/>
  <c r="AV403" i="12"/>
  <c r="AV404" i="12"/>
  <c r="AV405" i="12"/>
  <c r="AV406" i="12"/>
  <c r="AV407" i="12"/>
  <c r="AV235" i="12"/>
  <c r="AV24" i="12"/>
  <c r="AV301" i="12"/>
  <c r="AV264" i="12"/>
  <c r="AV77" i="12"/>
  <c r="AV96" i="12"/>
  <c r="AV65" i="12"/>
  <c r="AV104" i="12"/>
  <c r="AV309" i="12"/>
  <c r="AV188" i="12"/>
  <c r="AV105" i="12"/>
  <c r="AV106" i="12"/>
  <c r="AV288" i="12"/>
  <c r="AV185" i="12"/>
  <c r="AV318" i="12"/>
  <c r="AV186" i="12"/>
  <c r="AV329" i="12"/>
  <c r="AV330" i="12"/>
  <c r="AV331" i="12"/>
  <c r="AV408" i="12"/>
  <c r="AV292" i="12"/>
  <c r="AV293" i="12"/>
  <c r="AV30" i="12"/>
  <c r="AV277" i="12"/>
  <c r="AV278" i="12"/>
  <c r="AV279" i="12"/>
  <c r="AV280" i="12"/>
  <c r="AV308" i="12"/>
  <c r="AV18" i="12"/>
  <c r="AV189" i="12"/>
  <c r="AV130" i="12"/>
  <c r="AV97" i="12"/>
  <c r="AV98" i="12"/>
  <c r="AV99" i="12"/>
  <c r="AV100" i="12"/>
  <c r="AV115" i="12"/>
  <c r="AV34" i="12"/>
  <c r="AV46" i="12"/>
  <c r="AV132" i="12"/>
  <c r="AV156" i="12"/>
  <c r="AV225" i="12"/>
  <c r="AV395" i="12"/>
  <c r="AV295" i="12"/>
  <c r="AV190" i="12"/>
  <c r="AV191" i="12"/>
  <c r="AV192" i="12"/>
  <c r="AV193" i="12"/>
  <c r="AV194" i="12"/>
  <c r="AV195" i="12"/>
  <c r="AV196" i="12"/>
  <c r="AV197" i="12"/>
  <c r="AV127" i="12"/>
  <c r="AV134" i="12"/>
  <c r="AV221" i="12"/>
  <c r="AV198" i="12"/>
  <c r="AV210" i="12"/>
  <c r="AV215" i="12"/>
  <c r="AV402" i="12"/>
  <c r="AV344" i="12"/>
  <c r="AV345" i="12"/>
  <c r="AV227" i="12"/>
  <c r="AV228" i="12"/>
  <c r="AV229" i="12"/>
  <c r="AV222" i="12"/>
  <c r="AV25" i="12"/>
  <c r="AV176" i="12"/>
  <c r="AV391" i="12"/>
  <c r="AV154" i="12"/>
  <c r="AV163" i="12"/>
  <c r="AV179" i="12"/>
  <c r="AV169" i="12"/>
  <c r="AV226" i="12"/>
  <c r="AV109" i="12"/>
  <c r="AV383" i="12"/>
  <c r="AV384" i="12"/>
  <c r="AV385" i="12"/>
  <c r="AV386" i="12"/>
  <c r="AV332" i="12"/>
  <c r="AV333" i="12"/>
  <c r="AV281" i="12"/>
  <c r="AV282" i="12"/>
  <c r="AV283" i="12"/>
  <c r="AV199" i="12"/>
  <c r="AV110" i="12"/>
  <c r="AV372" i="12"/>
  <c r="AV373" i="12"/>
  <c r="AV374" i="12"/>
  <c r="AV375" i="12"/>
  <c r="AV19" i="12"/>
  <c r="AV20" i="12"/>
  <c r="AV2" i="12"/>
  <c r="AV3" i="12"/>
  <c r="AV4" i="12"/>
  <c r="AV5" i="12"/>
  <c r="AV6" i="12"/>
  <c r="AV7" i="12"/>
  <c r="AV8" i="12"/>
  <c r="AV9" i="12"/>
  <c r="AV10" i="12"/>
  <c r="AV200" i="12"/>
  <c r="AV201" i="12"/>
  <c r="AV202" i="12"/>
  <c r="AV289" i="12"/>
  <c r="AV203" i="12"/>
  <c r="AV126" i="12"/>
  <c r="AV307" i="12"/>
  <c r="AV204" i="12"/>
  <c r="AV205" i="12"/>
  <c r="AV21" i="12"/>
  <c r="AN37" i="12"/>
  <c r="AN54" i="12"/>
  <c r="AN81" i="12"/>
  <c r="AN147" i="12"/>
  <c r="AN180" i="12"/>
  <c r="AN224" i="12"/>
  <c r="AN263" i="12"/>
  <c r="AN366" i="12"/>
  <c r="AN132" i="12"/>
  <c r="AM28" i="12"/>
  <c r="AN28" i="12" s="1"/>
  <c r="AM38" i="12"/>
  <c r="AN38" i="12" s="1"/>
  <c r="AM47" i="12"/>
  <c r="AN47" i="12" s="1"/>
  <c r="AM63" i="12"/>
  <c r="AN63" i="12" s="1"/>
  <c r="AM73" i="12"/>
  <c r="AN73" i="12" s="1"/>
  <c r="AM101" i="12"/>
  <c r="AN101" i="12" s="1"/>
  <c r="AM148" i="12"/>
  <c r="AN148" i="12" s="1"/>
  <c r="AM139" i="12"/>
  <c r="AN139" i="12" s="1"/>
  <c r="AM214" i="12"/>
  <c r="AN214" i="12" s="1"/>
  <c r="AM239" i="12"/>
  <c r="AN239" i="12" s="1"/>
  <c r="AM256" i="12"/>
  <c r="AN256" i="12" s="1"/>
  <c r="AM207" i="12"/>
  <c r="AN207" i="12" s="1"/>
  <c r="AM327" i="12"/>
  <c r="AN327" i="12" s="1"/>
  <c r="AM359" i="12"/>
  <c r="AN359" i="12" s="1"/>
  <c r="AM379" i="12"/>
  <c r="AN379" i="12" s="1"/>
  <c r="AM401" i="12"/>
  <c r="AN401" i="12" s="1"/>
  <c r="AM301" i="12"/>
  <c r="AN301" i="12" s="1"/>
  <c r="AM185" i="12"/>
  <c r="AN185" i="12" s="1"/>
  <c r="AT185" i="12" s="1"/>
  <c r="AM100" i="12"/>
  <c r="AN100" i="12" s="1"/>
  <c r="AT100" i="12" s="1"/>
  <c r="AM196" i="12"/>
  <c r="AN196" i="12" s="1"/>
  <c r="AM198" i="12"/>
  <c r="AN198" i="12" s="1"/>
  <c r="AM179" i="12"/>
  <c r="AN179" i="12" s="1"/>
  <c r="AM332" i="12"/>
  <c r="AN332" i="12" s="1"/>
  <c r="AM10" i="12"/>
  <c r="AN10" i="12" s="1"/>
  <c r="AL22" i="12"/>
  <c r="AM22" i="12" s="1"/>
  <c r="AN22" i="12" s="1"/>
  <c r="AL21" i="12"/>
  <c r="AM21" i="12" s="1"/>
  <c r="AN21" i="12" s="1"/>
  <c r="AL23" i="12"/>
  <c r="AM23" i="12" s="1"/>
  <c r="AN23" i="12" s="1"/>
  <c r="AL26" i="12"/>
  <c r="AM26" i="12" s="1"/>
  <c r="AN26" i="12" s="1"/>
  <c r="AL27" i="12"/>
  <c r="AM27" i="12" s="1"/>
  <c r="AN27" i="12" s="1"/>
  <c r="AL28" i="12"/>
  <c r="AL29" i="12"/>
  <c r="AM29" i="12" s="1"/>
  <c r="AN29" i="12" s="1"/>
  <c r="AL31" i="12"/>
  <c r="AM31" i="12" s="1"/>
  <c r="AN31" i="12" s="1"/>
  <c r="AL32" i="12"/>
  <c r="AM32" i="12" s="1"/>
  <c r="AN32" i="12" s="1"/>
  <c r="AL33" i="12"/>
  <c r="AM33" i="12" s="1"/>
  <c r="AN33" i="12" s="1"/>
  <c r="AL35" i="12"/>
  <c r="AM35" i="12" s="1"/>
  <c r="AN35" i="12" s="1"/>
  <c r="AL36" i="12"/>
  <c r="AM36" i="12" s="1"/>
  <c r="AN36" i="12" s="1"/>
  <c r="AL37" i="12"/>
  <c r="AM37" i="12" s="1"/>
  <c r="AL38" i="12"/>
  <c r="AL39" i="12"/>
  <c r="AM39" i="12" s="1"/>
  <c r="AN39" i="12" s="1"/>
  <c r="AL40" i="12"/>
  <c r="AM40" i="12" s="1"/>
  <c r="AN40" i="12" s="1"/>
  <c r="AL41" i="12"/>
  <c r="AM41" i="12" s="1"/>
  <c r="AN41" i="12" s="1"/>
  <c r="AL42" i="12"/>
  <c r="AM42" i="12" s="1"/>
  <c r="AN42" i="12" s="1"/>
  <c r="AL43" i="12"/>
  <c r="AM43" i="12" s="1"/>
  <c r="AN43" i="12" s="1"/>
  <c r="AL44" i="12"/>
  <c r="AM44" i="12" s="1"/>
  <c r="AN44" i="12" s="1"/>
  <c r="AL45" i="12"/>
  <c r="AM45" i="12" s="1"/>
  <c r="AN45" i="12" s="1"/>
  <c r="AL47" i="12"/>
  <c r="AL48" i="12"/>
  <c r="AM48" i="12" s="1"/>
  <c r="AN48" i="12" s="1"/>
  <c r="AL49" i="12"/>
  <c r="AM49" i="12" s="1"/>
  <c r="AN49" i="12" s="1"/>
  <c r="AL50" i="12"/>
  <c r="AM50" i="12" s="1"/>
  <c r="AN50" i="12" s="1"/>
  <c r="AL51" i="12"/>
  <c r="AM51" i="12" s="1"/>
  <c r="AN51" i="12" s="1"/>
  <c r="AL52" i="12"/>
  <c r="AM52" i="12" s="1"/>
  <c r="AN52" i="12" s="1"/>
  <c r="AT52" i="12" s="1"/>
  <c r="AL53" i="12"/>
  <c r="AM53" i="12" s="1"/>
  <c r="AN53" i="12" s="1"/>
  <c r="AL54" i="12"/>
  <c r="AM54" i="12" s="1"/>
  <c r="AL55" i="12"/>
  <c r="AM55" i="12" s="1"/>
  <c r="AN55" i="12" s="1"/>
  <c r="AL56" i="12"/>
  <c r="AM56" i="12" s="1"/>
  <c r="AN56" i="12" s="1"/>
  <c r="AT56" i="12" s="1"/>
  <c r="AL57" i="12"/>
  <c r="AM57" i="12" s="1"/>
  <c r="AN57" i="12" s="1"/>
  <c r="AL58" i="12"/>
  <c r="AM58" i="12" s="1"/>
  <c r="AN58" i="12" s="1"/>
  <c r="AT58" i="12" s="1"/>
  <c r="AL59" i="12"/>
  <c r="AM59" i="12" s="1"/>
  <c r="AN59" i="12" s="1"/>
  <c r="AL60" i="12"/>
  <c r="AM60" i="12" s="1"/>
  <c r="AN60" i="12" s="1"/>
  <c r="AL61" i="12"/>
  <c r="AM61" i="12" s="1"/>
  <c r="AN61" i="12" s="1"/>
  <c r="AT61" i="12" s="1"/>
  <c r="AL62" i="12"/>
  <c r="AM62" i="12" s="1"/>
  <c r="AN62" i="12" s="1"/>
  <c r="AL63" i="12"/>
  <c r="AL64" i="12"/>
  <c r="AM64" i="12" s="1"/>
  <c r="AN64" i="12" s="1"/>
  <c r="AL66" i="12"/>
  <c r="AM66" i="12" s="1"/>
  <c r="AN66" i="12" s="1"/>
  <c r="AT66" i="12" s="1"/>
  <c r="AL67" i="12"/>
  <c r="AM67" i="12" s="1"/>
  <c r="AN67" i="12" s="1"/>
  <c r="AL68" i="12"/>
  <c r="AM68" i="12" s="1"/>
  <c r="AN68" i="12" s="1"/>
  <c r="AL69" i="12"/>
  <c r="AM69" i="12" s="1"/>
  <c r="AN69" i="12" s="1"/>
  <c r="AL70" i="12"/>
  <c r="AM70" i="12" s="1"/>
  <c r="AN70" i="12" s="1"/>
  <c r="AL71" i="12"/>
  <c r="AM71" i="12" s="1"/>
  <c r="AN71" i="12" s="1"/>
  <c r="AL11" i="12"/>
  <c r="AM11" i="12" s="1"/>
  <c r="AN11" i="12" s="1"/>
  <c r="AL12" i="12"/>
  <c r="AM12" i="12" s="1"/>
  <c r="AN12" i="12" s="1"/>
  <c r="AL13" i="12"/>
  <c r="AM13" i="12" s="1"/>
  <c r="AN13" i="12" s="1"/>
  <c r="AL14" i="12"/>
  <c r="AM14" i="12" s="1"/>
  <c r="AN14" i="12" s="1"/>
  <c r="AL15" i="12"/>
  <c r="AM15" i="12" s="1"/>
  <c r="AN15" i="12" s="1"/>
  <c r="AL16" i="12"/>
  <c r="AM16" i="12" s="1"/>
  <c r="AN16" i="12" s="1"/>
  <c r="AL17" i="12"/>
  <c r="AM17" i="12" s="1"/>
  <c r="AN17" i="12" s="1"/>
  <c r="AL72" i="12"/>
  <c r="AM72" i="12" s="1"/>
  <c r="AN72" i="12" s="1"/>
  <c r="AL73" i="12"/>
  <c r="AL74" i="12"/>
  <c r="AM74" i="12" s="1"/>
  <c r="AN74" i="12" s="1"/>
  <c r="AL75" i="12"/>
  <c r="AM75" i="12" s="1"/>
  <c r="AN75" i="12" s="1"/>
  <c r="AL76" i="12"/>
  <c r="AM76" i="12" s="1"/>
  <c r="AN76" i="12" s="1"/>
  <c r="AL78" i="12"/>
  <c r="AM78" i="12" s="1"/>
  <c r="AN78" i="12" s="1"/>
  <c r="AL79" i="12"/>
  <c r="AM79" i="12" s="1"/>
  <c r="AN79" i="12" s="1"/>
  <c r="AL80" i="12"/>
  <c r="AM80" i="12" s="1"/>
  <c r="AN80" i="12" s="1"/>
  <c r="AL81" i="12"/>
  <c r="AM81" i="12" s="1"/>
  <c r="AL82" i="12"/>
  <c r="AM82" i="12" s="1"/>
  <c r="AN82" i="12" s="1"/>
  <c r="AL83" i="12"/>
  <c r="AM83" i="12" s="1"/>
  <c r="AN83" i="12" s="1"/>
  <c r="AL84" i="12"/>
  <c r="AM84" i="12" s="1"/>
  <c r="AN84" i="12" s="1"/>
  <c r="AL85" i="12"/>
  <c r="AM85" i="12" s="1"/>
  <c r="AN85" i="12" s="1"/>
  <c r="AL275" i="12"/>
  <c r="AM275" i="12" s="1"/>
  <c r="AN275" i="12" s="1"/>
  <c r="AL276" i="12"/>
  <c r="AM276" i="12" s="1"/>
  <c r="AN276" i="12" s="1"/>
  <c r="AL86" i="12"/>
  <c r="AM86" i="12" s="1"/>
  <c r="AN86" i="12" s="1"/>
  <c r="AL87" i="12"/>
  <c r="AM87" i="12" s="1"/>
  <c r="AN87" i="12" s="1"/>
  <c r="AL88" i="12"/>
  <c r="AM88" i="12" s="1"/>
  <c r="AN88" i="12" s="1"/>
  <c r="AL89" i="12"/>
  <c r="AM89" i="12" s="1"/>
  <c r="AN89" i="12" s="1"/>
  <c r="AL90" i="12"/>
  <c r="AM90" i="12" s="1"/>
  <c r="AN90" i="12" s="1"/>
  <c r="AL91" i="12"/>
  <c r="AM91" i="12" s="1"/>
  <c r="AN91" i="12" s="1"/>
  <c r="AL92" i="12"/>
  <c r="AM92" i="12" s="1"/>
  <c r="AN92" i="12" s="1"/>
  <c r="AL93" i="12"/>
  <c r="AM93" i="12" s="1"/>
  <c r="AN93" i="12" s="1"/>
  <c r="AL94" i="12"/>
  <c r="AM94" i="12" s="1"/>
  <c r="AN94" i="12" s="1"/>
  <c r="AL95" i="12"/>
  <c r="AM95" i="12" s="1"/>
  <c r="AN95" i="12" s="1"/>
  <c r="AL101" i="12"/>
  <c r="AL102" i="12"/>
  <c r="AM102" i="12" s="1"/>
  <c r="AN102" i="12" s="1"/>
  <c r="AL103" i="12"/>
  <c r="AM103" i="12" s="1"/>
  <c r="AN103" i="12" s="1"/>
  <c r="AL107" i="12"/>
  <c r="AM107" i="12" s="1"/>
  <c r="AN107" i="12" s="1"/>
  <c r="AL108" i="12"/>
  <c r="AM108" i="12" s="1"/>
  <c r="AN108" i="12" s="1"/>
  <c r="AL111" i="12"/>
  <c r="AM111" i="12" s="1"/>
  <c r="AN111" i="12" s="1"/>
  <c r="AL112" i="12"/>
  <c r="AM112" i="12" s="1"/>
  <c r="AN112" i="12" s="1"/>
  <c r="AL113" i="12"/>
  <c r="AM113" i="12" s="1"/>
  <c r="AN113" i="12" s="1"/>
  <c r="AL114" i="12"/>
  <c r="AM114" i="12" s="1"/>
  <c r="AN114" i="12" s="1"/>
  <c r="AL116" i="12"/>
  <c r="AM116" i="12" s="1"/>
  <c r="AN116" i="12" s="1"/>
  <c r="AL117" i="12"/>
  <c r="AM117" i="12" s="1"/>
  <c r="AN117" i="12" s="1"/>
  <c r="AL118" i="12"/>
  <c r="AM118" i="12" s="1"/>
  <c r="AN118" i="12" s="1"/>
  <c r="AL119" i="12"/>
  <c r="AM119" i="12" s="1"/>
  <c r="AN119" i="12" s="1"/>
  <c r="AL120" i="12"/>
  <c r="AM120" i="12" s="1"/>
  <c r="AN120" i="12" s="1"/>
  <c r="AL121" i="12"/>
  <c r="AM121" i="12" s="1"/>
  <c r="AN121" i="12" s="1"/>
  <c r="AL122" i="12"/>
  <c r="AM122" i="12" s="1"/>
  <c r="AN122" i="12" s="1"/>
  <c r="AT122" i="12" s="1"/>
  <c r="AL123" i="12"/>
  <c r="AM123" i="12" s="1"/>
  <c r="AN123" i="12" s="1"/>
  <c r="AL124" i="12"/>
  <c r="AM124" i="12" s="1"/>
  <c r="AN124" i="12" s="1"/>
  <c r="AL125" i="12"/>
  <c r="AM125" i="12" s="1"/>
  <c r="AN125" i="12" s="1"/>
  <c r="AL128" i="12"/>
  <c r="AM128" i="12" s="1"/>
  <c r="AN128" i="12" s="1"/>
  <c r="AL129" i="12"/>
  <c r="AM129" i="12" s="1"/>
  <c r="AN129" i="12" s="1"/>
  <c r="AL131" i="12"/>
  <c r="AM131" i="12" s="1"/>
  <c r="AN131" i="12" s="1"/>
  <c r="AL133" i="12"/>
  <c r="AM133" i="12" s="1"/>
  <c r="AN133" i="12" s="1"/>
  <c r="AL135" i="12"/>
  <c r="AM135" i="12" s="1"/>
  <c r="AN135" i="12" s="1"/>
  <c r="AL136" i="12"/>
  <c r="AM136" i="12" s="1"/>
  <c r="AN136" i="12" s="1"/>
  <c r="AL141" i="12"/>
  <c r="AM141" i="12" s="1"/>
  <c r="AN141" i="12" s="1"/>
  <c r="AL142" i="12"/>
  <c r="AM142" i="12" s="1"/>
  <c r="AN142" i="12" s="1"/>
  <c r="AL143" i="12"/>
  <c r="AM143" i="12" s="1"/>
  <c r="AN143" i="12" s="1"/>
  <c r="AL144" i="12"/>
  <c r="AM144" i="12" s="1"/>
  <c r="AN144" i="12" s="1"/>
  <c r="AL145" i="12"/>
  <c r="AM145" i="12" s="1"/>
  <c r="AN145" i="12" s="1"/>
  <c r="AL146" i="12"/>
  <c r="AM146" i="12" s="1"/>
  <c r="AN146" i="12" s="1"/>
  <c r="AL147" i="12"/>
  <c r="AM147" i="12" s="1"/>
  <c r="AL148" i="12"/>
  <c r="AL149" i="12"/>
  <c r="AM149" i="12" s="1"/>
  <c r="AN149" i="12" s="1"/>
  <c r="AL150" i="12"/>
  <c r="AM150" i="12" s="1"/>
  <c r="AN150" i="12" s="1"/>
  <c r="AL151" i="12"/>
  <c r="AM151" i="12" s="1"/>
  <c r="AN151" i="12" s="1"/>
  <c r="AL152" i="12"/>
  <c r="AM152" i="12" s="1"/>
  <c r="AN152" i="12" s="1"/>
  <c r="AL153" i="12"/>
  <c r="AM153" i="12" s="1"/>
  <c r="AN153" i="12" s="1"/>
  <c r="AL155" i="12"/>
  <c r="AM155" i="12" s="1"/>
  <c r="AN155" i="12" s="1"/>
  <c r="AL157" i="12"/>
  <c r="AM157" i="12" s="1"/>
  <c r="AN157" i="12" s="1"/>
  <c r="AL158" i="12"/>
  <c r="AM158" i="12" s="1"/>
  <c r="AN158" i="12" s="1"/>
  <c r="AL159" i="12"/>
  <c r="AM159" i="12" s="1"/>
  <c r="AN159" i="12" s="1"/>
  <c r="AL160" i="12"/>
  <c r="AM160" i="12" s="1"/>
  <c r="AN160" i="12" s="1"/>
  <c r="AL161" i="12"/>
  <c r="AM161" i="12" s="1"/>
  <c r="AN161" i="12" s="1"/>
  <c r="AL162" i="12"/>
  <c r="AM162" i="12" s="1"/>
  <c r="AN162" i="12" s="1"/>
  <c r="AL164" i="12"/>
  <c r="AM164" i="12" s="1"/>
  <c r="AN164" i="12" s="1"/>
  <c r="AL165" i="12"/>
  <c r="AM165" i="12" s="1"/>
  <c r="AN165" i="12" s="1"/>
  <c r="AL166" i="12"/>
  <c r="AM166" i="12" s="1"/>
  <c r="AN166" i="12" s="1"/>
  <c r="AL167" i="12"/>
  <c r="AM167" i="12" s="1"/>
  <c r="AN167" i="12" s="1"/>
  <c r="AT167" i="12" s="1"/>
  <c r="AL168" i="12"/>
  <c r="AM168" i="12" s="1"/>
  <c r="AN168" i="12" s="1"/>
  <c r="AL170" i="12"/>
  <c r="AM170" i="12" s="1"/>
  <c r="AN170" i="12" s="1"/>
  <c r="AL171" i="12"/>
  <c r="AM171" i="12" s="1"/>
  <c r="AN171" i="12" s="1"/>
  <c r="AL172" i="12"/>
  <c r="AM172" i="12" s="1"/>
  <c r="AN172" i="12" s="1"/>
  <c r="AL173" i="12"/>
  <c r="AM173" i="12" s="1"/>
  <c r="AN173" i="12" s="1"/>
  <c r="AL174" i="12"/>
  <c r="AM174" i="12" s="1"/>
  <c r="AN174" i="12" s="1"/>
  <c r="AL175" i="12"/>
  <c r="AM175" i="12" s="1"/>
  <c r="AN175" i="12" s="1"/>
  <c r="AL139" i="12"/>
  <c r="AL140" i="12"/>
  <c r="AM140" i="12" s="1"/>
  <c r="AN140" i="12" s="1"/>
  <c r="AL177" i="12"/>
  <c r="AM177" i="12" s="1"/>
  <c r="AN177" i="12" s="1"/>
  <c r="AL351" i="12"/>
  <c r="AM351" i="12" s="1"/>
  <c r="AN351" i="12" s="1"/>
  <c r="AL352" i="12"/>
  <c r="AM352" i="12" s="1"/>
  <c r="AN352" i="12" s="1"/>
  <c r="AL353" i="12"/>
  <c r="AM353" i="12" s="1"/>
  <c r="AN353" i="12" s="1"/>
  <c r="AL178" i="12"/>
  <c r="AM178" i="12" s="1"/>
  <c r="AN178" i="12" s="1"/>
  <c r="AL180" i="12"/>
  <c r="AM180" i="12" s="1"/>
  <c r="AL181" i="12"/>
  <c r="AM181" i="12" s="1"/>
  <c r="AN181" i="12" s="1"/>
  <c r="AT181" i="12" s="1"/>
  <c r="AL182" i="12"/>
  <c r="AM182" i="12" s="1"/>
  <c r="AN182" i="12" s="1"/>
  <c r="AT182" i="12" s="1"/>
  <c r="AL183" i="12"/>
  <c r="AM183" i="12" s="1"/>
  <c r="AN183" i="12" s="1"/>
  <c r="AL184" i="12"/>
  <c r="AM184" i="12" s="1"/>
  <c r="AN184" i="12" s="1"/>
  <c r="AL187" i="12"/>
  <c r="AM187" i="12" s="1"/>
  <c r="AN187" i="12" s="1"/>
  <c r="AL211" i="12"/>
  <c r="AM211" i="12" s="1"/>
  <c r="AN211" i="12" s="1"/>
  <c r="AL212" i="12"/>
  <c r="AM212" i="12" s="1"/>
  <c r="AN212" i="12" s="1"/>
  <c r="AL213" i="12"/>
  <c r="AM213" i="12" s="1"/>
  <c r="AN213" i="12" s="1"/>
  <c r="AL214" i="12"/>
  <c r="AL216" i="12"/>
  <c r="AM216" i="12" s="1"/>
  <c r="AN216" i="12" s="1"/>
  <c r="AL217" i="12"/>
  <c r="AM217" i="12" s="1"/>
  <c r="AN217" i="12" s="1"/>
  <c r="AL218" i="12"/>
  <c r="AM218" i="12" s="1"/>
  <c r="AN218" i="12" s="1"/>
  <c r="AL219" i="12"/>
  <c r="AM219" i="12" s="1"/>
  <c r="AN219" i="12" s="1"/>
  <c r="AL220" i="12"/>
  <c r="AM220" i="12" s="1"/>
  <c r="AN220" i="12" s="1"/>
  <c r="AL223" i="12"/>
  <c r="AM223" i="12" s="1"/>
  <c r="AN223" i="12" s="1"/>
  <c r="AL224" i="12"/>
  <c r="AM224" i="12" s="1"/>
  <c r="AL230" i="12"/>
  <c r="AM230" i="12" s="1"/>
  <c r="AN230" i="12" s="1"/>
  <c r="AL231" i="12"/>
  <c r="AM231" i="12" s="1"/>
  <c r="AN231" i="12" s="1"/>
  <c r="AL232" i="12"/>
  <c r="AM232" i="12" s="1"/>
  <c r="AN232" i="12" s="1"/>
  <c r="AL233" i="12"/>
  <c r="AM233" i="12" s="1"/>
  <c r="AN233" i="12" s="1"/>
  <c r="AL234" i="12"/>
  <c r="AM234" i="12" s="1"/>
  <c r="AN234" i="12" s="1"/>
  <c r="AL236" i="12"/>
  <c r="AM236" i="12" s="1"/>
  <c r="AN236" i="12" s="1"/>
  <c r="AL237" i="12"/>
  <c r="AM237" i="12" s="1"/>
  <c r="AN237" i="12" s="1"/>
  <c r="AL238" i="12"/>
  <c r="AM238" i="12" s="1"/>
  <c r="AN238" i="12" s="1"/>
  <c r="AL239" i="12"/>
  <c r="AL240" i="12"/>
  <c r="AM240" i="12" s="1"/>
  <c r="AN240" i="12" s="1"/>
  <c r="AL242" i="12"/>
  <c r="AM242" i="12" s="1"/>
  <c r="AN242" i="12" s="1"/>
  <c r="AL243" i="12"/>
  <c r="AM243" i="12" s="1"/>
  <c r="AN243" i="12" s="1"/>
  <c r="AL244" i="12"/>
  <c r="AM244" i="12" s="1"/>
  <c r="AN244" i="12" s="1"/>
  <c r="AL245" i="12"/>
  <c r="AM245" i="12" s="1"/>
  <c r="AN245" i="12" s="1"/>
  <c r="AL246" i="12"/>
  <c r="AM246" i="12" s="1"/>
  <c r="AN246" i="12" s="1"/>
  <c r="AL247" i="12"/>
  <c r="AM247" i="12" s="1"/>
  <c r="AN247" i="12" s="1"/>
  <c r="AL248" i="12"/>
  <c r="AM248" i="12" s="1"/>
  <c r="AN248" i="12" s="1"/>
  <c r="AL249" i="12"/>
  <c r="AM249" i="12" s="1"/>
  <c r="AN249" i="12" s="1"/>
  <c r="AL250" i="12"/>
  <c r="AM250" i="12" s="1"/>
  <c r="AN250" i="12" s="1"/>
  <c r="AL251" i="12"/>
  <c r="AM251" i="12" s="1"/>
  <c r="AN251" i="12" s="1"/>
  <c r="AL252" i="12"/>
  <c r="AM252" i="12" s="1"/>
  <c r="AN252" i="12" s="1"/>
  <c r="AL253" i="12"/>
  <c r="AM253" i="12" s="1"/>
  <c r="AN253" i="12" s="1"/>
  <c r="AL254" i="12"/>
  <c r="AM254" i="12" s="1"/>
  <c r="AN254" i="12" s="1"/>
  <c r="AL255" i="12"/>
  <c r="AM255" i="12" s="1"/>
  <c r="AN255" i="12" s="1"/>
  <c r="AL256" i="12"/>
  <c r="AL257" i="12"/>
  <c r="AM257" i="12" s="1"/>
  <c r="AN257" i="12" s="1"/>
  <c r="AL258" i="12"/>
  <c r="AM258" i="12" s="1"/>
  <c r="AN258" i="12" s="1"/>
  <c r="AL259" i="12"/>
  <c r="AM259" i="12" s="1"/>
  <c r="AN259" i="12" s="1"/>
  <c r="AL260" i="12"/>
  <c r="AM260" i="12" s="1"/>
  <c r="AN260" i="12" s="1"/>
  <c r="AL261" i="12"/>
  <c r="AM261" i="12" s="1"/>
  <c r="AN261" i="12" s="1"/>
  <c r="AL262" i="12"/>
  <c r="AM262" i="12" s="1"/>
  <c r="AN262" i="12" s="1"/>
  <c r="AL263" i="12"/>
  <c r="AM263" i="12" s="1"/>
  <c r="AL265" i="12"/>
  <c r="AM265" i="12" s="1"/>
  <c r="AN265" i="12" s="1"/>
  <c r="AL266" i="12"/>
  <c r="AM266" i="12" s="1"/>
  <c r="AN266" i="12" s="1"/>
  <c r="AL267" i="12"/>
  <c r="AM267" i="12" s="1"/>
  <c r="AN267" i="12" s="1"/>
  <c r="AL269" i="12"/>
  <c r="AM269" i="12" s="1"/>
  <c r="AN269" i="12" s="1"/>
  <c r="AL270" i="12"/>
  <c r="AM270" i="12" s="1"/>
  <c r="AN270" i="12" s="1"/>
  <c r="AL271" i="12"/>
  <c r="AM271" i="12" s="1"/>
  <c r="AN271" i="12" s="1"/>
  <c r="AL272" i="12"/>
  <c r="AM272" i="12" s="1"/>
  <c r="AN272" i="12" s="1"/>
  <c r="AL273" i="12"/>
  <c r="AM273" i="12" s="1"/>
  <c r="AN273" i="12" s="1"/>
  <c r="AL274" i="12"/>
  <c r="AM274" i="12" s="1"/>
  <c r="AN274" i="12" s="1"/>
  <c r="AL241" i="12"/>
  <c r="AM241" i="12" s="1"/>
  <c r="AN241" i="12" s="1"/>
  <c r="AL284" i="12"/>
  <c r="AM284" i="12" s="1"/>
  <c r="AN284" i="12" s="1"/>
  <c r="AL285" i="12"/>
  <c r="AM285" i="12" s="1"/>
  <c r="AN285" i="12" s="1"/>
  <c r="AL286" i="12"/>
  <c r="AM286" i="12" s="1"/>
  <c r="AN286" i="12" s="1"/>
  <c r="AL287" i="12"/>
  <c r="AM287" i="12" s="1"/>
  <c r="AN287" i="12" s="1"/>
  <c r="AL268" i="12"/>
  <c r="AM268" i="12" s="1"/>
  <c r="AN268" i="12" s="1"/>
  <c r="AT268" i="12" s="1"/>
  <c r="AL206" i="12"/>
  <c r="AM206" i="12" s="1"/>
  <c r="AN206" i="12" s="1"/>
  <c r="AL207" i="12"/>
  <c r="AL290" i="12"/>
  <c r="AM290" i="12" s="1"/>
  <c r="AN290" i="12" s="1"/>
  <c r="AL291" i="12"/>
  <c r="AM291" i="12" s="1"/>
  <c r="AN291" i="12" s="1"/>
  <c r="AL294" i="12"/>
  <c r="AM294" i="12" s="1"/>
  <c r="AN294" i="12" s="1"/>
  <c r="AL137" i="12"/>
  <c r="AM137" i="12" s="1"/>
  <c r="AN137" i="12" s="1"/>
  <c r="AL138" i="12"/>
  <c r="AM138" i="12" s="1"/>
  <c r="AN138" i="12" s="1"/>
  <c r="AL296" i="12"/>
  <c r="AM296" i="12" s="1"/>
  <c r="AN296" i="12" s="1"/>
  <c r="AL297" i="12"/>
  <c r="AM297" i="12" s="1"/>
  <c r="AN297" i="12" s="1"/>
  <c r="AL298" i="12"/>
  <c r="AM298" i="12" s="1"/>
  <c r="AN298" i="12" s="1"/>
  <c r="AL299" i="12"/>
  <c r="AM299" i="12" s="1"/>
  <c r="AN299" i="12" s="1"/>
  <c r="AL300" i="12"/>
  <c r="AM300" i="12" s="1"/>
  <c r="AN300" i="12" s="1"/>
  <c r="AL302" i="12"/>
  <c r="AM302" i="12" s="1"/>
  <c r="AN302" i="12" s="1"/>
  <c r="AL303" i="12"/>
  <c r="AM303" i="12" s="1"/>
  <c r="AN303" i="12" s="1"/>
  <c r="AL304" i="12"/>
  <c r="AM304" i="12" s="1"/>
  <c r="AN304" i="12" s="1"/>
  <c r="AL305" i="12"/>
  <c r="AM305" i="12" s="1"/>
  <c r="AN305" i="12" s="1"/>
  <c r="AL306" i="12"/>
  <c r="AM306" i="12" s="1"/>
  <c r="AN306" i="12" s="1"/>
  <c r="AL310" i="12"/>
  <c r="AM310" i="12" s="1"/>
  <c r="AN310" i="12" s="1"/>
  <c r="AL311" i="12"/>
  <c r="AM311" i="12" s="1"/>
  <c r="AN311" i="12" s="1"/>
  <c r="AL312" i="12"/>
  <c r="AM312" i="12" s="1"/>
  <c r="AN312" i="12" s="1"/>
  <c r="AL313" i="12"/>
  <c r="AM313" i="12" s="1"/>
  <c r="AN313" i="12" s="1"/>
  <c r="AL314" i="12"/>
  <c r="AM314" i="12" s="1"/>
  <c r="AN314" i="12" s="1"/>
  <c r="AL315" i="12"/>
  <c r="AM315" i="12" s="1"/>
  <c r="AN315" i="12" s="1"/>
  <c r="AL316" i="12"/>
  <c r="AM316" i="12" s="1"/>
  <c r="AN316" i="12" s="1"/>
  <c r="AL317" i="12"/>
  <c r="AM317" i="12" s="1"/>
  <c r="AN317" i="12" s="1"/>
  <c r="AL319" i="12"/>
  <c r="AM319" i="12" s="1"/>
  <c r="AN319" i="12" s="1"/>
  <c r="AL320" i="12"/>
  <c r="AM320" i="12" s="1"/>
  <c r="AN320" i="12" s="1"/>
  <c r="AL321" i="12"/>
  <c r="AM321" i="12" s="1"/>
  <c r="AN321" i="12" s="1"/>
  <c r="AL322" i="12"/>
  <c r="AM322" i="12" s="1"/>
  <c r="AN322" i="12" s="1"/>
  <c r="AL323" i="12"/>
  <c r="AM323" i="12" s="1"/>
  <c r="AN323" i="12" s="1"/>
  <c r="AL324" i="12"/>
  <c r="AM324" i="12" s="1"/>
  <c r="AN324" i="12" s="1"/>
  <c r="AL325" i="12"/>
  <c r="AM325" i="12" s="1"/>
  <c r="AN325" i="12" s="1"/>
  <c r="AL326" i="12"/>
  <c r="AM326" i="12" s="1"/>
  <c r="AN326" i="12" s="1"/>
  <c r="AL327" i="12"/>
  <c r="AL328" i="12"/>
  <c r="AM328" i="12" s="1"/>
  <c r="AN328" i="12" s="1"/>
  <c r="AL334" i="12"/>
  <c r="AM334" i="12" s="1"/>
  <c r="AN334" i="12" s="1"/>
  <c r="AL335" i="12"/>
  <c r="AM335" i="12" s="1"/>
  <c r="AN335" i="12" s="1"/>
  <c r="AL336" i="12"/>
  <c r="AM336" i="12" s="1"/>
  <c r="AN336" i="12" s="1"/>
  <c r="AL337" i="12"/>
  <c r="AM337" i="12" s="1"/>
  <c r="AN337" i="12" s="1"/>
  <c r="AL338" i="12"/>
  <c r="AM338" i="12" s="1"/>
  <c r="AN338" i="12" s="1"/>
  <c r="AL339" i="12"/>
  <c r="AM339" i="12" s="1"/>
  <c r="AN339" i="12" s="1"/>
  <c r="AL340" i="12"/>
  <c r="AM340" i="12" s="1"/>
  <c r="AN340" i="12" s="1"/>
  <c r="AL341" i="12"/>
  <c r="AM341" i="12" s="1"/>
  <c r="AN341" i="12" s="1"/>
  <c r="AL342" i="12"/>
  <c r="AM342" i="12" s="1"/>
  <c r="AN342" i="12" s="1"/>
  <c r="AL343" i="12"/>
  <c r="AM343" i="12" s="1"/>
  <c r="AN343" i="12" s="1"/>
  <c r="AL208" i="12"/>
  <c r="AM208" i="12" s="1"/>
  <c r="AN208" i="12" s="1"/>
  <c r="AL209" i="12"/>
  <c r="AM209" i="12" s="1"/>
  <c r="AN209" i="12" s="1"/>
  <c r="AL346" i="12"/>
  <c r="AM346" i="12" s="1"/>
  <c r="AN346" i="12" s="1"/>
  <c r="AL347" i="12"/>
  <c r="AM347" i="12" s="1"/>
  <c r="AN347" i="12" s="1"/>
  <c r="AL348" i="12"/>
  <c r="AM348" i="12" s="1"/>
  <c r="AN348" i="12" s="1"/>
  <c r="AL349" i="12"/>
  <c r="AM349" i="12" s="1"/>
  <c r="AN349" i="12" s="1"/>
  <c r="AL350" i="12"/>
  <c r="AM350" i="12" s="1"/>
  <c r="AN350" i="12" s="1"/>
  <c r="AL354" i="12"/>
  <c r="AM354" i="12" s="1"/>
  <c r="AN354" i="12" s="1"/>
  <c r="AL355" i="12"/>
  <c r="AM355" i="12" s="1"/>
  <c r="AN355" i="12" s="1"/>
  <c r="AL356" i="12"/>
  <c r="AM356" i="12" s="1"/>
  <c r="AN356" i="12" s="1"/>
  <c r="AL357" i="12"/>
  <c r="AM357" i="12" s="1"/>
  <c r="AN357" i="12" s="1"/>
  <c r="AL358" i="12"/>
  <c r="AM358" i="12" s="1"/>
  <c r="AN358" i="12" s="1"/>
  <c r="AL359" i="12"/>
  <c r="AL360" i="12"/>
  <c r="AM360" i="12" s="1"/>
  <c r="AN360" i="12" s="1"/>
  <c r="AL361" i="12"/>
  <c r="AM361" i="12" s="1"/>
  <c r="AN361" i="12" s="1"/>
  <c r="AL362" i="12"/>
  <c r="AM362" i="12" s="1"/>
  <c r="AN362" i="12" s="1"/>
  <c r="AL363" i="12"/>
  <c r="AM363" i="12" s="1"/>
  <c r="AN363" i="12" s="1"/>
  <c r="AL364" i="12"/>
  <c r="AM364" i="12" s="1"/>
  <c r="AN364" i="12" s="1"/>
  <c r="AL365" i="12"/>
  <c r="AM365" i="12" s="1"/>
  <c r="AN365" i="12" s="1"/>
  <c r="AL366" i="12"/>
  <c r="AM366" i="12" s="1"/>
  <c r="AL367" i="12"/>
  <c r="AM367" i="12" s="1"/>
  <c r="AN367" i="12" s="1"/>
  <c r="AL368" i="12"/>
  <c r="AM368" i="12" s="1"/>
  <c r="AN368" i="12" s="1"/>
  <c r="AL369" i="12"/>
  <c r="AM369" i="12" s="1"/>
  <c r="AN369" i="12" s="1"/>
  <c r="AT369" i="12" s="1"/>
  <c r="AL370" i="12"/>
  <c r="AM370" i="12" s="1"/>
  <c r="AN370" i="12" s="1"/>
  <c r="AL371" i="12"/>
  <c r="AM371" i="12" s="1"/>
  <c r="AN371" i="12" s="1"/>
  <c r="AL376" i="12"/>
  <c r="AM376" i="12" s="1"/>
  <c r="AN376" i="12" s="1"/>
  <c r="AL377" i="12"/>
  <c r="AM377" i="12" s="1"/>
  <c r="AN377" i="12" s="1"/>
  <c r="AL378" i="12"/>
  <c r="AM378" i="12" s="1"/>
  <c r="AN378" i="12" s="1"/>
  <c r="AL379" i="12"/>
  <c r="AL380" i="12"/>
  <c r="AM380" i="12" s="1"/>
  <c r="AN380" i="12" s="1"/>
  <c r="AL381" i="12"/>
  <c r="AM381" i="12" s="1"/>
  <c r="AN381" i="12" s="1"/>
  <c r="AL382" i="12"/>
  <c r="AM382" i="12" s="1"/>
  <c r="AN382" i="12" s="1"/>
  <c r="AL387" i="12"/>
  <c r="AM387" i="12" s="1"/>
  <c r="AN387" i="12" s="1"/>
  <c r="AL388" i="12"/>
  <c r="AM388" i="12" s="1"/>
  <c r="AN388" i="12" s="1"/>
  <c r="AL389" i="12"/>
  <c r="AM389" i="12" s="1"/>
  <c r="AN389" i="12" s="1"/>
  <c r="AL390" i="12"/>
  <c r="AM390" i="12" s="1"/>
  <c r="AN390" i="12" s="1"/>
  <c r="AL392" i="12"/>
  <c r="AM392" i="12" s="1"/>
  <c r="AN392" i="12" s="1"/>
  <c r="AL393" i="12"/>
  <c r="AM393" i="12" s="1"/>
  <c r="AN393" i="12" s="1"/>
  <c r="AL394" i="12"/>
  <c r="AM394" i="12" s="1"/>
  <c r="AN394" i="12" s="1"/>
  <c r="AL396" i="12"/>
  <c r="AM396" i="12" s="1"/>
  <c r="AN396" i="12" s="1"/>
  <c r="AL397" i="12"/>
  <c r="AM397" i="12" s="1"/>
  <c r="AN397" i="12" s="1"/>
  <c r="AL398" i="12"/>
  <c r="AM398" i="12" s="1"/>
  <c r="AN398" i="12" s="1"/>
  <c r="AL399" i="12"/>
  <c r="AM399" i="12" s="1"/>
  <c r="AN399" i="12" s="1"/>
  <c r="AL400" i="12"/>
  <c r="AM400" i="12" s="1"/>
  <c r="AN400" i="12" s="1"/>
  <c r="AL401" i="12"/>
  <c r="AL403" i="12"/>
  <c r="AM403" i="12" s="1"/>
  <c r="AN403" i="12" s="1"/>
  <c r="AL404" i="12"/>
  <c r="AM404" i="12" s="1"/>
  <c r="AN404" i="12" s="1"/>
  <c r="AL405" i="12"/>
  <c r="AM405" i="12" s="1"/>
  <c r="AN405" i="12" s="1"/>
  <c r="AL406" i="12"/>
  <c r="AM406" i="12" s="1"/>
  <c r="AN406" i="12" s="1"/>
  <c r="AL407" i="12"/>
  <c r="AM407" i="12" s="1"/>
  <c r="AN407" i="12" s="1"/>
  <c r="AL235" i="12"/>
  <c r="AM235" i="12" s="1"/>
  <c r="AN235" i="12" s="1"/>
  <c r="AT235" i="12" s="1"/>
  <c r="AL24" i="12"/>
  <c r="AM24" i="12" s="1"/>
  <c r="AN24" i="12" s="1"/>
  <c r="AL301" i="12"/>
  <c r="AL264" i="12"/>
  <c r="AM264" i="12" s="1"/>
  <c r="AN264" i="12" s="1"/>
  <c r="AL77" i="12"/>
  <c r="AM77" i="12" s="1"/>
  <c r="AN77" i="12" s="1"/>
  <c r="AL96" i="12"/>
  <c r="AM96" i="12" s="1"/>
  <c r="AN96" i="12" s="1"/>
  <c r="AL65" i="12"/>
  <c r="AM65" i="12" s="1"/>
  <c r="AN65" i="12" s="1"/>
  <c r="AL104" i="12"/>
  <c r="AM104" i="12" s="1"/>
  <c r="AN104" i="12" s="1"/>
  <c r="AL309" i="12"/>
  <c r="AM309" i="12" s="1"/>
  <c r="AN309" i="12" s="1"/>
  <c r="AL188" i="12"/>
  <c r="AM188" i="12" s="1"/>
  <c r="AN188" i="12" s="1"/>
  <c r="AT188" i="12" s="1"/>
  <c r="AL105" i="12"/>
  <c r="AM105" i="12" s="1"/>
  <c r="AN105" i="12" s="1"/>
  <c r="AL106" i="12"/>
  <c r="AM106" i="12" s="1"/>
  <c r="AN106" i="12" s="1"/>
  <c r="AL288" i="12"/>
  <c r="AM288" i="12" s="1"/>
  <c r="AN288" i="12" s="1"/>
  <c r="AL185" i="12"/>
  <c r="AL318" i="12"/>
  <c r="AM318" i="12" s="1"/>
  <c r="AN318" i="12" s="1"/>
  <c r="AL186" i="12"/>
  <c r="AM186" i="12" s="1"/>
  <c r="AN186" i="12" s="1"/>
  <c r="AL329" i="12"/>
  <c r="AM329" i="12" s="1"/>
  <c r="AN329" i="12" s="1"/>
  <c r="AL330" i="12"/>
  <c r="AM330" i="12" s="1"/>
  <c r="AN330" i="12" s="1"/>
  <c r="AL331" i="12"/>
  <c r="AM331" i="12" s="1"/>
  <c r="AN331" i="12" s="1"/>
  <c r="AL408" i="12"/>
  <c r="AM408" i="12" s="1"/>
  <c r="AN408" i="12" s="1"/>
  <c r="AL292" i="12"/>
  <c r="AM292" i="12" s="1"/>
  <c r="AN292" i="12" s="1"/>
  <c r="AL293" i="12"/>
  <c r="AM293" i="12" s="1"/>
  <c r="AN293" i="12" s="1"/>
  <c r="AT293" i="12" s="1"/>
  <c r="AL30" i="12"/>
  <c r="AM30" i="12" s="1"/>
  <c r="AN30" i="12" s="1"/>
  <c r="AL277" i="12"/>
  <c r="AM277" i="12" s="1"/>
  <c r="AN277" i="12" s="1"/>
  <c r="AT277" i="12" s="1"/>
  <c r="AL278" i="12"/>
  <c r="AM278" i="12" s="1"/>
  <c r="AN278" i="12" s="1"/>
  <c r="AT278" i="12" s="1"/>
  <c r="AL279" i="12"/>
  <c r="AM279" i="12" s="1"/>
  <c r="AN279" i="12" s="1"/>
  <c r="AT279" i="12" s="1"/>
  <c r="AL280" i="12"/>
  <c r="AM280" i="12" s="1"/>
  <c r="AN280" i="12" s="1"/>
  <c r="AT280" i="12" s="1"/>
  <c r="AL308" i="12"/>
  <c r="AM308" i="12" s="1"/>
  <c r="AN308" i="12" s="1"/>
  <c r="AT308" i="12" s="1"/>
  <c r="AL18" i="12"/>
  <c r="AM18" i="12" s="1"/>
  <c r="AN18" i="12" s="1"/>
  <c r="AL189" i="12"/>
  <c r="AM189" i="12" s="1"/>
  <c r="AN189" i="12" s="1"/>
  <c r="AL130" i="12"/>
  <c r="AM130" i="12" s="1"/>
  <c r="AN130" i="12" s="1"/>
  <c r="AL97" i="12"/>
  <c r="AM97" i="12" s="1"/>
  <c r="AN97" i="12" s="1"/>
  <c r="AT97" i="12" s="1"/>
  <c r="AL98" i="12"/>
  <c r="AM98" i="12" s="1"/>
  <c r="AN98" i="12" s="1"/>
  <c r="AT98" i="12" s="1"/>
  <c r="AL99" i="12"/>
  <c r="AM99" i="12" s="1"/>
  <c r="AN99" i="12" s="1"/>
  <c r="AT99" i="12" s="1"/>
  <c r="AL100" i="12"/>
  <c r="AL115" i="12"/>
  <c r="AM115" i="12" s="1"/>
  <c r="AN115" i="12" s="1"/>
  <c r="AT115" i="12" s="1"/>
  <c r="AL34" i="12"/>
  <c r="AM34" i="12" s="1"/>
  <c r="AN34" i="12" s="1"/>
  <c r="AL46" i="12"/>
  <c r="AM46" i="12" s="1"/>
  <c r="AN46" i="12" s="1"/>
  <c r="AL132" i="12"/>
  <c r="AM132" i="12" s="1"/>
  <c r="AL156" i="12"/>
  <c r="AM156" i="12" s="1"/>
  <c r="AN156" i="12" s="1"/>
  <c r="AT156" i="12" s="1"/>
  <c r="AL225" i="12"/>
  <c r="AM225" i="12" s="1"/>
  <c r="AN225" i="12" s="1"/>
  <c r="AL395" i="12"/>
  <c r="AM395" i="12" s="1"/>
  <c r="AN395" i="12" s="1"/>
  <c r="AT395" i="12" s="1"/>
  <c r="AL295" i="12"/>
  <c r="AM295" i="12" s="1"/>
  <c r="AN295" i="12" s="1"/>
  <c r="AL190" i="12"/>
  <c r="AM190" i="12" s="1"/>
  <c r="AN190" i="12" s="1"/>
  <c r="AL191" i="12"/>
  <c r="AM191" i="12" s="1"/>
  <c r="AN191" i="12" s="1"/>
  <c r="AL192" i="12"/>
  <c r="AM192" i="12" s="1"/>
  <c r="AN192" i="12" s="1"/>
  <c r="AL193" i="12"/>
  <c r="AM193" i="12" s="1"/>
  <c r="AN193" i="12" s="1"/>
  <c r="AL194" i="12"/>
  <c r="AM194" i="12" s="1"/>
  <c r="AN194" i="12" s="1"/>
  <c r="AL195" i="12"/>
  <c r="AM195" i="12" s="1"/>
  <c r="AN195" i="12" s="1"/>
  <c r="AL196" i="12"/>
  <c r="AL197" i="12"/>
  <c r="AM197" i="12" s="1"/>
  <c r="AN197" i="12" s="1"/>
  <c r="AL127" i="12"/>
  <c r="AM127" i="12" s="1"/>
  <c r="AN127" i="12" s="1"/>
  <c r="AL134" i="12"/>
  <c r="AM134" i="12" s="1"/>
  <c r="AN134" i="12" s="1"/>
  <c r="AL221" i="12"/>
  <c r="AM221" i="12" s="1"/>
  <c r="AN221" i="12" s="1"/>
  <c r="AT221" i="12" s="1"/>
  <c r="AL198" i="12"/>
  <c r="AL210" i="12"/>
  <c r="AM210" i="12" s="1"/>
  <c r="AN210" i="12" s="1"/>
  <c r="AL215" i="12"/>
  <c r="AM215" i="12" s="1"/>
  <c r="AN215" i="12" s="1"/>
  <c r="AL402" i="12"/>
  <c r="AM402" i="12" s="1"/>
  <c r="AN402" i="12" s="1"/>
  <c r="AT402" i="12" s="1"/>
  <c r="AL344" i="12"/>
  <c r="AM344" i="12" s="1"/>
  <c r="AN344" i="12" s="1"/>
  <c r="AT344" i="12" s="1"/>
  <c r="AL345" i="12"/>
  <c r="AM345" i="12" s="1"/>
  <c r="AN345" i="12" s="1"/>
  <c r="AT345" i="12" s="1"/>
  <c r="AL227" i="12"/>
  <c r="AM227" i="12" s="1"/>
  <c r="AN227" i="12" s="1"/>
  <c r="AT227" i="12" s="1"/>
  <c r="AL228" i="12"/>
  <c r="AM228" i="12" s="1"/>
  <c r="AN228" i="12" s="1"/>
  <c r="AT228" i="12" s="1"/>
  <c r="AL229" i="12"/>
  <c r="AM229" i="12" s="1"/>
  <c r="AN229" i="12" s="1"/>
  <c r="AT229" i="12" s="1"/>
  <c r="AL222" i="12"/>
  <c r="AM222" i="12" s="1"/>
  <c r="AN222" i="12" s="1"/>
  <c r="AT222" i="12" s="1"/>
  <c r="AL25" i="12"/>
  <c r="AM25" i="12" s="1"/>
  <c r="AN25" i="12" s="1"/>
  <c r="AL176" i="12"/>
  <c r="AM176" i="12" s="1"/>
  <c r="AN176" i="12" s="1"/>
  <c r="AL391" i="12"/>
  <c r="AM391" i="12" s="1"/>
  <c r="AN391" i="12" s="1"/>
  <c r="AL154" i="12"/>
  <c r="AM154" i="12" s="1"/>
  <c r="AN154" i="12" s="1"/>
  <c r="AL163" i="12"/>
  <c r="AM163" i="12" s="1"/>
  <c r="AN163" i="12" s="1"/>
  <c r="AL179" i="12"/>
  <c r="AL169" i="12"/>
  <c r="AM169" i="12" s="1"/>
  <c r="AN169" i="12" s="1"/>
  <c r="AL226" i="12"/>
  <c r="AM226" i="12" s="1"/>
  <c r="AN226" i="12" s="1"/>
  <c r="AL109" i="12"/>
  <c r="AM109" i="12" s="1"/>
  <c r="AN109" i="12" s="1"/>
  <c r="AL383" i="12"/>
  <c r="AM383" i="12" s="1"/>
  <c r="AN383" i="12" s="1"/>
  <c r="AT383" i="12" s="1"/>
  <c r="AL384" i="12"/>
  <c r="AM384" i="12" s="1"/>
  <c r="AN384" i="12" s="1"/>
  <c r="AT384" i="12" s="1"/>
  <c r="AL385" i="12"/>
  <c r="AM385" i="12" s="1"/>
  <c r="AN385" i="12" s="1"/>
  <c r="AL386" i="12"/>
  <c r="AM386" i="12" s="1"/>
  <c r="AN386" i="12" s="1"/>
  <c r="AT386" i="12" s="1"/>
  <c r="AL332" i="12"/>
  <c r="AL333" i="12"/>
  <c r="AM333" i="12" s="1"/>
  <c r="AN333" i="12" s="1"/>
  <c r="AL281" i="12"/>
  <c r="AM281" i="12" s="1"/>
  <c r="AN281" i="12" s="1"/>
  <c r="AT281" i="12" s="1"/>
  <c r="AL282" i="12"/>
  <c r="AM282" i="12" s="1"/>
  <c r="AN282" i="12" s="1"/>
  <c r="AT282" i="12" s="1"/>
  <c r="AL283" i="12"/>
  <c r="AM283" i="12" s="1"/>
  <c r="AN283" i="12" s="1"/>
  <c r="AT283" i="12" s="1"/>
  <c r="AL199" i="12"/>
  <c r="AM199" i="12" s="1"/>
  <c r="AN199" i="12" s="1"/>
  <c r="AL110" i="12"/>
  <c r="AM110" i="12" s="1"/>
  <c r="AN110" i="12" s="1"/>
  <c r="AL372" i="12"/>
  <c r="AM372" i="12" s="1"/>
  <c r="AN372" i="12" s="1"/>
  <c r="AL373" i="12"/>
  <c r="AM373" i="12" s="1"/>
  <c r="AN373" i="12" s="1"/>
  <c r="AL374" i="12"/>
  <c r="AM374" i="12" s="1"/>
  <c r="AN374" i="12" s="1"/>
  <c r="AL375" i="12"/>
  <c r="AM375" i="12" s="1"/>
  <c r="AN375" i="12" s="1"/>
  <c r="AL19" i="12"/>
  <c r="AM19" i="12" s="1"/>
  <c r="AN19" i="12" s="1"/>
  <c r="AL20" i="12"/>
  <c r="AM20" i="12" s="1"/>
  <c r="AN20" i="12" s="1"/>
  <c r="AL2" i="12"/>
  <c r="AM2" i="12" s="1"/>
  <c r="AN2" i="12" s="1"/>
  <c r="AL3" i="12"/>
  <c r="AM3" i="12" s="1"/>
  <c r="AN3" i="12" s="1"/>
  <c r="AL4" i="12"/>
  <c r="AM4" i="12" s="1"/>
  <c r="AN4" i="12" s="1"/>
  <c r="AL5" i="12"/>
  <c r="AM5" i="12" s="1"/>
  <c r="AN5" i="12" s="1"/>
  <c r="AL6" i="12"/>
  <c r="AM6" i="12" s="1"/>
  <c r="AN6" i="12" s="1"/>
  <c r="AL7" i="12"/>
  <c r="AM7" i="12" s="1"/>
  <c r="AN7" i="12" s="1"/>
  <c r="AL8" i="12"/>
  <c r="AM8" i="12" s="1"/>
  <c r="AN8" i="12" s="1"/>
  <c r="AL9" i="12"/>
  <c r="AM9" i="12" s="1"/>
  <c r="AN9" i="12" s="1"/>
  <c r="AL10" i="12"/>
  <c r="AL200" i="12"/>
  <c r="AM200" i="12" s="1"/>
  <c r="AN200" i="12" s="1"/>
  <c r="AL201" i="12"/>
  <c r="AM201" i="12" s="1"/>
  <c r="AN201" i="12" s="1"/>
  <c r="AL202" i="12"/>
  <c r="AM202" i="12" s="1"/>
  <c r="AN202" i="12" s="1"/>
  <c r="AL289" i="12"/>
  <c r="AM289" i="12" s="1"/>
  <c r="AN289" i="12" s="1"/>
  <c r="AT289" i="12" s="1"/>
  <c r="AL203" i="12"/>
  <c r="AM203" i="12" s="1"/>
  <c r="AN203" i="12" s="1"/>
  <c r="AL126" i="12"/>
  <c r="AM126" i="12" s="1"/>
  <c r="AN126" i="12" s="1"/>
  <c r="AL307" i="12"/>
  <c r="AM307" i="12" s="1"/>
  <c r="AN307" i="12" s="1"/>
  <c r="AL204" i="12"/>
  <c r="AM204" i="12" s="1"/>
  <c r="AN204" i="12" s="1"/>
  <c r="AL205" i="12"/>
  <c r="AM205" i="12" s="1"/>
  <c r="AN205" i="12" s="1"/>
  <c r="BC5" i="5"/>
  <c r="BC21" i="5"/>
  <c r="BC37" i="5"/>
  <c r="BC53" i="5"/>
  <c r="BC69" i="5"/>
  <c r="BC85" i="5"/>
  <c r="BC117" i="5"/>
  <c r="BC149" i="5"/>
  <c r="BC181" i="5"/>
  <c r="BC213" i="5"/>
  <c r="BC245" i="5"/>
  <c r="BC277" i="5"/>
  <c r="BC309" i="5"/>
  <c r="BC341" i="5"/>
  <c r="BC362" i="5"/>
  <c r="BC405" i="5"/>
  <c r="BB18" i="5"/>
  <c r="BB29" i="5"/>
  <c r="BB61" i="5"/>
  <c r="BB82" i="5"/>
  <c r="BB93" i="5"/>
  <c r="BB125" i="5"/>
  <c r="BB146" i="5"/>
  <c r="BB189" i="5"/>
  <c r="BB210" i="5"/>
  <c r="BB253" i="5"/>
  <c r="BB274" i="5"/>
  <c r="BB317" i="5"/>
  <c r="BB338" i="5"/>
  <c r="BB381" i="5"/>
  <c r="BB402" i="5"/>
  <c r="BA5" i="5"/>
  <c r="BA37" i="5"/>
  <c r="BA58" i="5"/>
  <c r="BA69" i="5"/>
  <c r="BA101" i="5"/>
  <c r="BA122" i="5"/>
  <c r="BA133" i="5"/>
  <c r="BA165" i="5"/>
  <c r="BA186" i="5"/>
  <c r="AZ350" i="5"/>
  <c r="AZ361" i="5"/>
  <c r="AZ366" i="5"/>
  <c r="AY3" i="5"/>
  <c r="AY4" i="5"/>
  <c r="AY5" i="5"/>
  <c r="AY6" i="5"/>
  <c r="AY7" i="5"/>
  <c r="AY8" i="5"/>
  <c r="AY9" i="5"/>
  <c r="AY10" i="5"/>
  <c r="BA10" i="5" s="1"/>
  <c r="AY11" i="5"/>
  <c r="AY12" i="5"/>
  <c r="AY13" i="5"/>
  <c r="BC13" i="5" s="1"/>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BC45" i="5" s="1"/>
  <c r="AY46" i="5"/>
  <c r="AY47" i="5"/>
  <c r="AY48" i="5"/>
  <c r="AY49" i="5"/>
  <c r="AY50" i="5"/>
  <c r="AY51" i="5"/>
  <c r="AY52" i="5"/>
  <c r="AY53" i="5"/>
  <c r="BA53" i="5" s="1"/>
  <c r="AY54" i="5"/>
  <c r="AY55" i="5"/>
  <c r="AY56" i="5"/>
  <c r="AY57" i="5"/>
  <c r="AY58" i="5"/>
  <c r="AY59" i="5"/>
  <c r="AY60" i="5"/>
  <c r="AY61" i="5"/>
  <c r="AY62" i="5"/>
  <c r="AY63" i="5"/>
  <c r="AY64" i="5"/>
  <c r="AY65" i="5"/>
  <c r="AY66" i="5"/>
  <c r="AY67" i="5"/>
  <c r="AY68" i="5"/>
  <c r="AY69" i="5"/>
  <c r="AY70" i="5"/>
  <c r="AY71" i="5"/>
  <c r="AY72" i="5"/>
  <c r="AY73" i="5"/>
  <c r="AY74" i="5"/>
  <c r="BA74" i="5" s="1"/>
  <c r="AY75" i="5"/>
  <c r="AY76" i="5"/>
  <c r="AY77" i="5"/>
  <c r="BC77" i="5" s="1"/>
  <c r="AY78" i="5"/>
  <c r="AY79" i="5"/>
  <c r="AY80" i="5"/>
  <c r="AY81" i="5"/>
  <c r="AY82" i="5"/>
  <c r="AY83" i="5"/>
  <c r="AY84" i="5"/>
  <c r="AY85" i="5"/>
  <c r="AY86" i="5"/>
  <c r="AY87" i="5"/>
  <c r="AY88" i="5"/>
  <c r="AY89" i="5"/>
  <c r="AY90" i="5"/>
  <c r="AY91" i="5"/>
  <c r="AY92" i="5"/>
  <c r="AY93" i="5"/>
  <c r="AY94" i="5"/>
  <c r="AY95" i="5"/>
  <c r="AY96" i="5"/>
  <c r="AY97" i="5"/>
  <c r="AY98" i="5"/>
  <c r="BB98" i="5" s="1"/>
  <c r="AY99" i="5"/>
  <c r="AY100" i="5"/>
  <c r="AY101" i="5"/>
  <c r="BC101" i="5" s="1"/>
  <c r="AY102" i="5"/>
  <c r="AY103" i="5"/>
  <c r="AY104" i="5"/>
  <c r="AY105" i="5"/>
  <c r="AY106" i="5"/>
  <c r="AY107" i="5"/>
  <c r="AY108" i="5"/>
  <c r="AY109" i="5"/>
  <c r="BC109" i="5" s="1"/>
  <c r="AY110" i="5"/>
  <c r="AY111" i="5"/>
  <c r="AY112" i="5"/>
  <c r="AY113" i="5"/>
  <c r="AY114" i="5"/>
  <c r="AY115" i="5"/>
  <c r="AY116" i="5"/>
  <c r="AY117" i="5"/>
  <c r="BA117" i="5" s="1"/>
  <c r="AY118" i="5"/>
  <c r="AY119" i="5"/>
  <c r="AY120" i="5"/>
  <c r="AY121" i="5"/>
  <c r="AY122" i="5"/>
  <c r="AY123" i="5"/>
  <c r="AY124" i="5"/>
  <c r="AY125" i="5"/>
  <c r="AY126" i="5"/>
  <c r="AY127" i="5"/>
  <c r="AY128" i="5"/>
  <c r="AY129" i="5"/>
  <c r="AY130" i="5"/>
  <c r="AY131" i="5"/>
  <c r="AY132" i="5"/>
  <c r="AY133" i="5"/>
  <c r="BC133" i="5" s="1"/>
  <c r="AY134" i="5"/>
  <c r="AY135" i="5"/>
  <c r="AY136" i="5"/>
  <c r="AY137" i="5"/>
  <c r="AY138" i="5"/>
  <c r="BA138" i="5" s="1"/>
  <c r="AY139" i="5"/>
  <c r="AY140" i="5"/>
  <c r="AY141" i="5"/>
  <c r="BC141" i="5" s="1"/>
  <c r="AY142" i="5"/>
  <c r="AY143" i="5"/>
  <c r="AY144" i="5"/>
  <c r="AY145" i="5"/>
  <c r="AY146" i="5"/>
  <c r="AY147" i="5"/>
  <c r="AY148" i="5"/>
  <c r="AY149" i="5"/>
  <c r="AZ149" i="5" s="1"/>
  <c r="AY150" i="5"/>
  <c r="AY151" i="5"/>
  <c r="AY152" i="5"/>
  <c r="AY153" i="5"/>
  <c r="AY154" i="5"/>
  <c r="AY155" i="5"/>
  <c r="AY156" i="5"/>
  <c r="AY157" i="5"/>
  <c r="BB157" i="5" s="1"/>
  <c r="AY158" i="5"/>
  <c r="AY159" i="5"/>
  <c r="AY160" i="5"/>
  <c r="AY161" i="5"/>
  <c r="AY162" i="5"/>
  <c r="AY163" i="5"/>
  <c r="AY164" i="5"/>
  <c r="AY165" i="5"/>
  <c r="BC165" i="5" s="1"/>
  <c r="AY166" i="5"/>
  <c r="AY167" i="5"/>
  <c r="AY168" i="5"/>
  <c r="AY169" i="5"/>
  <c r="AY170" i="5"/>
  <c r="AY171" i="5"/>
  <c r="AY172" i="5"/>
  <c r="AY173" i="5"/>
  <c r="BC173" i="5" s="1"/>
  <c r="AY174" i="5"/>
  <c r="AY175" i="5"/>
  <c r="AY176" i="5"/>
  <c r="AY177" i="5"/>
  <c r="AY178" i="5"/>
  <c r="AY179" i="5"/>
  <c r="AY180" i="5"/>
  <c r="AY181" i="5"/>
  <c r="BA181" i="5" s="1"/>
  <c r="AY182" i="5"/>
  <c r="AY183" i="5"/>
  <c r="AY184" i="5"/>
  <c r="AY185" i="5"/>
  <c r="AY186" i="5"/>
  <c r="AY187" i="5"/>
  <c r="AY188" i="5"/>
  <c r="AY189" i="5"/>
  <c r="AZ189" i="5" s="1"/>
  <c r="AY190" i="5"/>
  <c r="AY191" i="5"/>
  <c r="AY192" i="5"/>
  <c r="AY193" i="5"/>
  <c r="AY194" i="5"/>
  <c r="AY195" i="5"/>
  <c r="AY196" i="5"/>
  <c r="AY197" i="5"/>
  <c r="BC197" i="5" s="1"/>
  <c r="AY198" i="5"/>
  <c r="AY199" i="5"/>
  <c r="AY200" i="5"/>
  <c r="AY201" i="5"/>
  <c r="AY202" i="5"/>
  <c r="BA202" i="5" s="1"/>
  <c r="AY203" i="5"/>
  <c r="AY204" i="5"/>
  <c r="AY205" i="5"/>
  <c r="BC205" i="5" s="1"/>
  <c r="AY206" i="5"/>
  <c r="AY207" i="5"/>
  <c r="AY208" i="5"/>
  <c r="AY209" i="5"/>
  <c r="AY210" i="5"/>
  <c r="AY211" i="5"/>
  <c r="AY212" i="5"/>
  <c r="AY213" i="5"/>
  <c r="AZ213" i="5" s="1"/>
  <c r="AY214" i="5"/>
  <c r="AY215" i="5"/>
  <c r="AY216" i="5"/>
  <c r="AY217" i="5"/>
  <c r="AY218" i="5"/>
  <c r="AY219" i="5"/>
  <c r="AY220" i="5"/>
  <c r="AY221" i="5"/>
  <c r="BB221" i="5" s="1"/>
  <c r="AY222" i="5"/>
  <c r="AY223" i="5"/>
  <c r="AY224" i="5"/>
  <c r="AY225" i="5"/>
  <c r="AY226" i="5"/>
  <c r="BB226" i="5" s="1"/>
  <c r="AY227" i="5"/>
  <c r="AY228" i="5"/>
  <c r="AY229" i="5"/>
  <c r="BC229" i="5" s="1"/>
  <c r="AY230" i="5"/>
  <c r="AY231" i="5"/>
  <c r="AY232" i="5"/>
  <c r="BC232" i="5" s="1"/>
  <c r="AY233" i="5"/>
  <c r="AY234" i="5"/>
  <c r="AY235" i="5"/>
  <c r="AY236" i="5"/>
  <c r="AY237" i="5"/>
  <c r="BC237" i="5" s="1"/>
  <c r="AY238" i="5"/>
  <c r="AY239" i="5"/>
  <c r="AY240" i="5"/>
  <c r="AY241" i="5"/>
  <c r="AY242" i="5"/>
  <c r="AY243" i="5"/>
  <c r="AY244" i="5"/>
  <c r="AY245" i="5"/>
  <c r="AZ245" i="5" s="1"/>
  <c r="AY246" i="5"/>
  <c r="AY247" i="5"/>
  <c r="AY248" i="5"/>
  <c r="AY249" i="5"/>
  <c r="AY250" i="5"/>
  <c r="AY251" i="5"/>
  <c r="AY252" i="5"/>
  <c r="AY253" i="5"/>
  <c r="AZ253" i="5" s="1"/>
  <c r="AY254" i="5"/>
  <c r="AY255" i="5"/>
  <c r="AY256" i="5"/>
  <c r="AY257" i="5"/>
  <c r="AY258" i="5"/>
  <c r="AY259" i="5"/>
  <c r="AY260" i="5"/>
  <c r="AY261" i="5"/>
  <c r="BC261" i="5" s="1"/>
  <c r="AY262" i="5"/>
  <c r="AY263" i="5"/>
  <c r="AY264" i="5"/>
  <c r="BC264" i="5" s="1"/>
  <c r="AY265" i="5"/>
  <c r="AY266" i="5"/>
  <c r="AY267" i="5"/>
  <c r="AY268" i="5"/>
  <c r="AY269" i="5"/>
  <c r="BC269" i="5" s="1"/>
  <c r="AY270" i="5"/>
  <c r="AY271" i="5"/>
  <c r="AY272" i="5"/>
  <c r="AY273" i="5"/>
  <c r="AY274" i="5"/>
  <c r="AY275" i="5"/>
  <c r="AY276" i="5"/>
  <c r="AY277" i="5"/>
  <c r="AZ277" i="5" s="1"/>
  <c r="AY278" i="5"/>
  <c r="AY279" i="5"/>
  <c r="AY280" i="5"/>
  <c r="AY281" i="5"/>
  <c r="AY282" i="5"/>
  <c r="AY283" i="5"/>
  <c r="AY284" i="5"/>
  <c r="AY285" i="5"/>
  <c r="BB285" i="5" s="1"/>
  <c r="AY286" i="5"/>
  <c r="AY287" i="5"/>
  <c r="AY288" i="5"/>
  <c r="AY289" i="5"/>
  <c r="AY290" i="5"/>
  <c r="BB290" i="5" s="1"/>
  <c r="AY291" i="5"/>
  <c r="AY292" i="5"/>
  <c r="AY293" i="5"/>
  <c r="BC293" i="5" s="1"/>
  <c r="AY294" i="5"/>
  <c r="AY295" i="5"/>
  <c r="AY296" i="5"/>
  <c r="BC296" i="5" s="1"/>
  <c r="AY297" i="5"/>
  <c r="AY298" i="5"/>
  <c r="AY299" i="5"/>
  <c r="AY300" i="5"/>
  <c r="AY301" i="5"/>
  <c r="BC301" i="5" s="1"/>
  <c r="AY302" i="5"/>
  <c r="AY303" i="5"/>
  <c r="AY304" i="5"/>
  <c r="AY305" i="5"/>
  <c r="AY306" i="5"/>
  <c r="AY307" i="5"/>
  <c r="AY308" i="5"/>
  <c r="AY309" i="5"/>
  <c r="AZ309" i="5" s="1"/>
  <c r="AY310" i="5"/>
  <c r="AY311" i="5"/>
  <c r="AY312" i="5"/>
  <c r="AY313" i="5"/>
  <c r="AY314" i="5"/>
  <c r="AY315" i="5"/>
  <c r="AY316" i="5"/>
  <c r="AY317" i="5"/>
  <c r="AZ317" i="5" s="1"/>
  <c r="AY318" i="5"/>
  <c r="AY319" i="5"/>
  <c r="AY320" i="5"/>
  <c r="AY321" i="5"/>
  <c r="AY322" i="5"/>
  <c r="AY323" i="5"/>
  <c r="AY324" i="5"/>
  <c r="AY325" i="5"/>
  <c r="BC325" i="5" s="1"/>
  <c r="AY326" i="5"/>
  <c r="AY327" i="5"/>
  <c r="AY328" i="5"/>
  <c r="BC328" i="5" s="1"/>
  <c r="AY329" i="5"/>
  <c r="AY330" i="5"/>
  <c r="AY331" i="5"/>
  <c r="AY332" i="5"/>
  <c r="AY333" i="5"/>
  <c r="BC333" i="5" s="1"/>
  <c r="AY334" i="5"/>
  <c r="AY335" i="5"/>
  <c r="AY336" i="5"/>
  <c r="AY337" i="5"/>
  <c r="AY338" i="5"/>
  <c r="AY339" i="5"/>
  <c r="AY340" i="5"/>
  <c r="AY341" i="5"/>
  <c r="AZ341" i="5" s="1"/>
  <c r="AY342" i="5"/>
  <c r="AY343" i="5"/>
  <c r="AY344" i="5"/>
  <c r="AY345" i="5"/>
  <c r="AY346" i="5"/>
  <c r="AY347" i="5"/>
  <c r="AY348" i="5"/>
  <c r="AY349" i="5"/>
  <c r="BB349" i="5" s="1"/>
  <c r="AY350" i="5"/>
  <c r="AY351" i="5"/>
  <c r="AY352" i="5"/>
  <c r="AY353" i="5"/>
  <c r="AZ353" i="5" s="1"/>
  <c r="AY354" i="5"/>
  <c r="BB354" i="5" s="1"/>
  <c r="AY355" i="5"/>
  <c r="AY356" i="5"/>
  <c r="AY357" i="5"/>
  <c r="BC357" i="5" s="1"/>
  <c r="AY358" i="5"/>
  <c r="AY359" i="5"/>
  <c r="AY360" i="5"/>
  <c r="BC360" i="5" s="1"/>
  <c r="AY361" i="5"/>
  <c r="AY362" i="5"/>
  <c r="AY363" i="5"/>
  <c r="AY364" i="5"/>
  <c r="AY365" i="5"/>
  <c r="AZ365" i="5" s="1"/>
  <c r="AY366" i="5"/>
  <c r="AY367" i="5"/>
  <c r="AY368" i="5"/>
  <c r="AY369" i="5"/>
  <c r="AZ369" i="5" s="1"/>
  <c r="AY370" i="5"/>
  <c r="AZ370" i="5" s="1"/>
  <c r="AY371" i="5"/>
  <c r="AY372" i="5"/>
  <c r="AY373" i="5"/>
  <c r="BC373" i="5" s="1"/>
  <c r="AY374" i="5"/>
  <c r="AY375" i="5"/>
  <c r="AY376" i="5"/>
  <c r="AY377" i="5"/>
  <c r="AY378" i="5"/>
  <c r="BC378" i="5" s="1"/>
  <c r="AY379" i="5"/>
  <c r="AY380" i="5"/>
  <c r="AY381" i="5"/>
  <c r="AY382" i="5"/>
  <c r="AY383" i="5"/>
  <c r="AY384" i="5"/>
  <c r="AY385" i="5"/>
  <c r="AY386" i="5"/>
  <c r="AY387" i="5"/>
  <c r="AY388" i="5"/>
  <c r="AY389" i="5"/>
  <c r="AY390" i="5"/>
  <c r="AY391" i="5"/>
  <c r="AY392" i="5"/>
  <c r="AY393" i="5"/>
  <c r="AY394" i="5"/>
  <c r="AY395" i="5"/>
  <c r="AY396" i="5"/>
  <c r="AY397" i="5"/>
  <c r="BB397" i="5" s="1"/>
  <c r="AY398" i="5"/>
  <c r="AY399" i="5"/>
  <c r="AY400" i="5"/>
  <c r="AY401" i="5"/>
  <c r="AY402" i="5"/>
  <c r="AY403" i="5"/>
  <c r="AY404" i="5"/>
  <c r="AY405" i="5"/>
  <c r="AY406" i="5"/>
  <c r="AY407" i="5"/>
  <c r="AY408" i="5"/>
  <c r="AY409" i="5"/>
  <c r="AY2" i="5"/>
  <c r="AU3" i="5"/>
  <c r="AQ4" i="12" s="1"/>
  <c r="AU4" i="5"/>
  <c r="AQ9" i="12" s="1"/>
  <c r="AU5" i="5"/>
  <c r="AQ6" i="12" s="1"/>
  <c r="AU6" i="5"/>
  <c r="AQ2" i="12" s="1"/>
  <c r="AU7" i="5"/>
  <c r="AQ8" i="12" s="1"/>
  <c r="AU8" i="5"/>
  <c r="AQ5" i="12" s="1"/>
  <c r="AU9" i="5"/>
  <c r="AQ7" i="12" s="1"/>
  <c r="AU10" i="5"/>
  <c r="AQ10" i="12" s="1"/>
  <c r="AU11" i="5"/>
  <c r="AQ11" i="12" s="1"/>
  <c r="AU12" i="5"/>
  <c r="AQ18" i="12" s="1"/>
  <c r="AU13" i="5"/>
  <c r="AQ12" i="12" s="1"/>
  <c r="AU14" i="5"/>
  <c r="AQ13" i="12" s="1"/>
  <c r="AU15" i="5"/>
  <c r="AQ14" i="12" s="1"/>
  <c r="AU16" i="5"/>
  <c r="AQ19" i="12" s="1"/>
  <c r="AU17" i="5"/>
  <c r="AQ15" i="12" s="1"/>
  <c r="AU18" i="5"/>
  <c r="AQ16" i="12" s="1"/>
  <c r="AU19" i="5"/>
  <c r="AQ17" i="12" s="1"/>
  <c r="AU20" i="5"/>
  <c r="AQ20" i="12" s="1"/>
  <c r="AU21" i="5"/>
  <c r="AQ25" i="12" s="1"/>
  <c r="AU22" i="5"/>
  <c r="AQ21" i="12" s="1"/>
  <c r="AU23" i="5"/>
  <c r="AQ22" i="12" s="1"/>
  <c r="AU24" i="5"/>
  <c r="AQ24" i="12" s="1"/>
  <c r="AU25" i="5"/>
  <c r="AQ23" i="12" s="1"/>
  <c r="AU26" i="5"/>
  <c r="AQ26" i="12" s="1"/>
  <c r="AU27" i="5"/>
  <c r="AQ27" i="12" s="1"/>
  <c r="AU28" i="5"/>
  <c r="AQ28" i="12" s="1"/>
  <c r="AU29" i="5"/>
  <c r="AQ29" i="12" s="1"/>
  <c r="AU30" i="5"/>
  <c r="AQ30" i="12" s="1"/>
  <c r="AU31" i="5"/>
  <c r="AQ31" i="12" s="1"/>
  <c r="AU32" i="5"/>
  <c r="AQ32" i="12" s="1"/>
  <c r="AU33" i="5"/>
  <c r="AQ33" i="12" s="1"/>
  <c r="AU34" i="5"/>
  <c r="AQ34" i="12" s="1"/>
  <c r="AU35" i="5"/>
  <c r="AQ35" i="12" s="1"/>
  <c r="AU36" i="5"/>
  <c r="AQ36" i="12" s="1"/>
  <c r="AU37" i="5"/>
  <c r="AQ37" i="12" s="1"/>
  <c r="AU38" i="5"/>
  <c r="AQ38" i="12" s="1"/>
  <c r="AU39" i="5"/>
  <c r="AQ39" i="12" s="1"/>
  <c r="AU40" i="5"/>
  <c r="AQ40" i="12" s="1"/>
  <c r="AU41" i="5"/>
  <c r="AQ41" i="12" s="1"/>
  <c r="AU42" i="5"/>
  <c r="AQ42" i="12" s="1"/>
  <c r="AU43" i="5"/>
  <c r="AQ43" i="12" s="1"/>
  <c r="AU44" i="5"/>
  <c r="AQ44" i="12" s="1"/>
  <c r="AU45" i="5"/>
  <c r="AQ45" i="12" s="1"/>
  <c r="AU46" i="5"/>
  <c r="AQ46" i="12" s="1"/>
  <c r="AU47" i="5"/>
  <c r="AQ47" i="12" s="1"/>
  <c r="AU48" i="5"/>
  <c r="AQ48" i="12" s="1"/>
  <c r="AU49" i="5"/>
  <c r="AQ49" i="12" s="1"/>
  <c r="AU50" i="5"/>
  <c r="AQ50" i="12" s="1"/>
  <c r="AU51" i="5"/>
  <c r="AQ51" i="12" s="1"/>
  <c r="AU52" i="5"/>
  <c r="AQ52" i="12" s="1"/>
  <c r="AU53" i="5"/>
  <c r="AQ53" i="12" s="1"/>
  <c r="AU54" i="5"/>
  <c r="AQ54" i="12" s="1"/>
  <c r="AU55" i="5"/>
  <c r="AQ56" i="12" s="1"/>
  <c r="AU56" i="5"/>
  <c r="AQ57" i="12" s="1"/>
  <c r="AU57" i="5"/>
  <c r="AQ58" i="12" s="1"/>
  <c r="AU58" i="5"/>
  <c r="AQ59" i="12" s="1"/>
  <c r="AU59" i="5"/>
  <c r="AQ60" i="12" s="1"/>
  <c r="AU60" i="5"/>
  <c r="AQ61" i="12" s="1"/>
  <c r="AU61" i="5"/>
  <c r="AQ62" i="12" s="1"/>
  <c r="AU62" i="5"/>
  <c r="AQ55" i="12" s="1"/>
  <c r="AU63" i="5"/>
  <c r="AQ65" i="12" s="1"/>
  <c r="AU64" i="5"/>
  <c r="AQ63" i="12" s="1"/>
  <c r="AU65" i="5"/>
  <c r="AQ64" i="12" s="1"/>
  <c r="AU66" i="5"/>
  <c r="AQ66" i="12" s="1"/>
  <c r="AU67" i="5"/>
  <c r="AQ67" i="12" s="1"/>
  <c r="AU68" i="5"/>
  <c r="AQ68" i="12" s="1"/>
  <c r="AU69" i="5"/>
  <c r="AQ69" i="12" s="1"/>
  <c r="AU70" i="5"/>
  <c r="AQ70" i="12" s="1"/>
  <c r="AU71" i="5"/>
  <c r="AQ71" i="12" s="1"/>
  <c r="AU72" i="5"/>
  <c r="AQ72" i="12" s="1"/>
  <c r="AU73" i="5"/>
  <c r="AQ73" i="12" s="1"/>
  <c r="AU74" i="5"/>
  <c r="AQ74" i="12" s="1"/>
  <c r="AU75" i="5"/>
  <c r="AQ75" i="12" s="1"/>
  <c r="AU76" i="5"/>
  <c r="AQ76" i="12" s="1"/>
  <c r="AU77" i="5"/>
  <c r="AQ77" i="12" s="1"/>
  <c r="AU78" i="5"/>
  <c r="AQ78" i="12" s="1"/>
  <c r="AU79" i="5"/>
  <c r="AQ79" i="12" s="1"/>
  <c r="AU80" i="5"/>
  <c r="AQ80" i="12" s="1"/>
  <c r="AU81" i="5"/>
  <c r="AQ81" i="12" s="1"/>
  <c r="AU82" i="5"/>
  <c r="AQ82" i="12" s="1"/>
  <c r="AU83" i="5"/>
  <c r="AQ83" i="12" s="1"/>
  <c r="AU84" i="5"/>
  <c r="AQ84" i="12" s="1"/>
  <c r="AU85" i="5"/>
  <c r="AQ85" i="12" s="1"/>
  <c r="AU86" i="5"/>
  <c r="AQ86" i="12" s="1"/>
  <c r="AU87" i="5"/>
  <c r="AQ87" i="12" s="1"/>
  <c r="AU88" i="5"/>
  <c r="AQ88" i="12" s="1"/>
  <c r="AU89" i="5"/>
  <c r="AQ89" i="12" s="1"/>
  <c r="AU90" i="5"/>
  <c r="AQ90" i="12" s="1"/>
  <c r="AU91" i="5"/>
  <c r="AQ91" i="12" s="1"/>
  <c r="AU92" i="5"/>
  <c r="AQ92" i="12" s="1"/>
  <c r="AU93" i="5"/>
  <c r="AQ93" i="12" s="1"/>
  <c r="AU94" i="5"/>
  <c r="AQ94" i="12" s="1"/>
  <c r="AU95" i="5"/>
  <c r="AQ99" i="12" s="1"/>
  <c r="AU96" i="5"/>
  <c r="AQ95" i="12" s="1"/>
  <c r="AU97" i="5"/>
  <c r="AQ96" i="12" s="1"/>
  <c r="AU98" i="5"/>
  <c r="AQ98" i="12" s="1"/>
  <c r="AU99" i="5"/>
  <c r="AQ100" i="12" s="1"/>
  <c r="AU100" i="5"/>
  <c r="AQ97" i="12" s="1"/>
  <c r="AU101" i="5"/>
  <c r="AQ101" i="12" s="1"/>
  <c r="AU102" i="5"/>
  <c r="AQ102" i="12" s="1"/>
  <c r="AU103" i="5"/>
  <c r="AQ103" i="12" s="1"/>
  <c r="AU104" i="5"/>
  <c r="AQ105" i="12" s="1"/>
  <c r="AU105" i="5"/>
  <c r="AQ104" i="12" s="1"/>
  <c r="AU106" i="5"/>
  <c r="AQ106" i="12" s="1"/>
  <c r="AU107" i="5"/>
  <c r="AQ107" i="12" s="1"/>
  <c r="AU108" i="5"/>
  <c r="AQ108" i="12" s="1"/>
  <c r="AU109" i="5"/>
  <c r="AQ110" i="12" s="1"/>
  <c r="AU110" i="5"/>
  <c r="AQ109" i="12" s="1"/>
  <c r="AU111" i="5"/>
  <c r="AQ111" i="12" s="1"/>
  <c r="AU112" i="5"/>
  <c r="AQ112" i="12" s="1"/>
  <c r="AU113" i="5"/>
  <c r="AQ113" i="12" s="1"/>
  <c r="AU114" i="5"/>
  <c r="AQ114" i="12" s="1"/>
  <c r="AU115" i="5"/>
  <c r="AQ115" i="12" s="1"/>
  <c r="AU116" i="5"/>
  <c r="AQ116" i="12" s="1"/>
  <c r="AU117" i="5"/>
  <c r="AQ117" i="12" s="1"/>
  <c r="AU118" i="5"/>
  <c r="AQ118" i="12" s="1"/>
  <c r="AU119" i="5"/>
  <c r="AQ119" i="12" s="1"/>
  <c r="AU120" i="5"/>
  <c r="AQ120" i="12" s="1"/>
  <c r="AU121" i="5"/>
  <c r="AQ121" i="12" s="1"/>
  <c r="AU122" i="5"/>
  <c r="AQ122" i="12" s="1"/>
  <c r="AU123" i="5"/>
  <c r="AQ123" i="12" s="1"/>
  <c r="AU124" i="5"/>
  <c r="AQ124" i="12" s="1"/>
  <c r="AU125" i="5"/>
  <c r="AQ125" i="12" s="1"/>
  <c r="AU126" i="5"/>
  <c r="AQ126" i="12" s="1"/>
  <c r="AU127" i="5"/>
  <c r="AQ127" i="12" s="1"/>
  <c r="AU128" i="5"/>
  <c r="AQ128" i="12" s="1"/>
  <c r="AU129" i="5"/>
  <c r="AQ129" i="12" s="1"/>
  <c r="AU130" i="5"/>
  <c r="AQ130" i="12" s="1"/>
  <c r="AU131" i="5"/>
  <c r="AQ131" i="12" s="1"/>
  <c r="AU132" i="5"/>
  <c r="AQ132" i="12" s="1"/>
  <c r="AU133" i="5"/>
  <c r="AQ133" i="12" s="1"/>
  <c r="AU134" i="5"/>
  <c r="AQ134" i="12" s="1"/>
  <c r="AU135" i="5"/>
  <c r="AQ135" i="12" s="1"/>
  <c r="AU136" i="5"/>
  <c r="AQ136" i="12" s="1"/>
  <c r="AU137" i="5"/>
  <c r="AQ137" i="12" s="1"/>
  <c r="AU138" i="5"/>
  <c r="AQ138" i="12" s="1"/>
  <c r="AU139" i="5"/>
  <c r="AQ139" i="12" s="1"/>
  <c r="AU140" i="5"/>
  <c r="AQ140" i="12" s="1"/>
  <c r="AU141" i="5"/>
  <c r="AQ141" i="12" s="1"/>
  <c r="AU142" i="5"/>
  <c r="AQ142" i="12" s="1"/>
  <c r="AU143" i="5"/>
  <c r="AQ143" i="12" s="1"/>
  <c r="AU144" i="5"/>
  <c r="AQ144" i="12" s="1"/>
  <c r="AU145" i="5"/>
  <c r="AQ145" i="12" s="1"/>
  <c r="AU146" i="5"/>
  <c r="AQ146" i="12" s="1"/>
  <c r="AU147" i="5"/>
  <c r="AQ147" i="12" s="1"/>
  <c r="AU148" i="5"/>
  <c r="AQ148" i="12" s="1"/>
  <c r="AU149" i="5"/>
  <c r="AQ149" i="12" s="1"/>
  <c r="AU150" i="5"/>
  <c r="AQ150" i="12" s="1"/>
  <c r="AU151" i="5"/>
  <c r="AQ151" i="12" s="1"/>
  <c r="AU152" i="5"/>
  <c r="AQ154" i="12" s="1"/>
  <c r="AU153" i="5"/>
  <c r="AQ152" i="12" s="1"/>
  <c r="AU154" i="5"/>
  <c r="AQ153" i="12" s="1"/>
  <c r="AU155" i="5"/>
  <c r="AQ155" i="12" s="1"/>
  <c r="AU156" i="5"/>
  <c r="AQ156" i="12" s="1"/>
  <c r="AU157" i="5"/>
  <c r="AQ157" i="12" s="1"/>
  <c r="AU158" i="5"/>
  <c r="AQ158" i="12" s="1"/>
  <c r="AU159" i="5"/>
  <c r="AQ159" i="12" s="1"/>
  <c r="AU160" i="5"/>
  <c r="AQ160" i="12" s="1"/>
  <c r="AU161" i="5"/>
  <c r="AQ161" i="12" s="1"/>
  <c r="AU162" i="5"/>
  <c r="AQ163" i="12" s="1"/>
  <c r="AU163" i="5"/>
  <c r="AQ162" i="12" s="1"/>
  <c r="AU164" i="5"/>
  <c r="AQ164" i="12" s="1"/>
  <c r="AU165" i="5"/>
  <c r="AQ165" i="12" s="1"/>
  <c r="AU166" i="5"/>
  <c r="AQ169" i="12" s="1"/>
  <c r="AU167" i="5"/>
  <c r="AQ166" i="12" s="1"/>
  <c r="AU168" i="5"/>
  <c r="AQ167" i="12" s="1"/>
  <c r="AU169" i="5"/>
  <c r="AQ168" i="12" s="1"/>
  <c r="AU170" i="5"/>
  <c r="AQ170" i="12" s="1"/>
  <c r="AU171" i="5"/>
  <c r="AQ171" i="12" s="1"/>
  <c r="AU172" i="5"/>
  <c r="AQ172" i="12" s="1"/>
  <c r="AU173" i="5"/>
  <c r="AQ173" i="12" s="1"/>
  <c r="AU174" i="5"/>
  <c r="AQ174" i="12" s="1"/>
  <c r="AU175" i="5"/>
  <c r="AQ176" i="12" s="1"/>
  <c r="AU176" i="5"/>
  <c r="AQ175" i="12" s="1"/>
  <c r="AU177" i="5"/>
  <c r="AQ177" i="12" s="1"/>
  <c r="AU178" i="5"/>
  <c r="AQ179" i="12" s="1"/>
  <c r="AU179" i="5"/>
  <c r="AQ178" i="12" s="1"/>
  <c r="AU180" i="5"/>
  <c r="AQ180" i="12" s="1"/>
  <c r="AU181" i="5"/>
  <c r="AQ181" i="12" s="1"/>
  <c r="AU182" i="5"/>
  <c r="AQ182" i="12" s="1"/>
  <c r="AU183" i="5"/>
  <c r="AQ183" i="12" s="1"/>
  <c r="AU184" i="5"/>
  <c r="AQ185" i="12" s="1"/>
  <c r="AU185" i="5"/>
  <c r="AQ184" i="12" s="1"/>
  <c r="AU186" i="5"/>
  <c r="AQ186" i="12" s="1"/>
  <c r="AU187" i="5"/>
  <c r="AQ187" i="12" s="1"/>
  <c r="AU188" i="5"/>
  <c r="AQ189" i="12" s="1"/>
  <c r="AU189" i="5"/>
  <c r="AQ188" i="12" s="1"/>
  <c r="AU190" i="5"/>
  <c r="AQ200" i="12" s="1"/>
  <c r="AU191" i="5"/>
  <c r="AQ190" i="12" s="1"/>
  <c r="AU192" i="5"/>
  <c r="AQ202" i="12" s="1"/>
  <c r="AU193" i="5"/>
  <c r="AQ203" i="12" s="1"/>
  <c r="AU194" i="5"/>
  <c r="AQ205" i="12" s="1"/>
  <c r="AU195" i="5"/>
  <c r="AQ191" i="12" s="1"/>
  <c r="AU196" i="5"/>
  <c r="AQ192" i="12" s="1"/>
  <c r="AU197" i="5"/>
  <c r="AQ199" i="12" s="1"/>
  <c r="AU198" i="5"/>
  <c r="AQ193" i="12" s="1"/>
  <c r="AU199" i="5"/>
  <c r="AQ194" i="12" s="1"/>
  <c r="AU200" i="5"/>
  <c r="AQ195" i="12" s="1"/>
  <c r="AU201" i="5"/>
  <c r="AQ204" i="12" s="1"/>
  <c r="AU202" i="5"/>
  <c r="AQ196" i="12" s="1"/>
  <c r="AU203" i="5"/>
  <c r="AQ198" i="12" s="1"/>
  <c r="AU204" i="5"/>
  <c r="AQ201" i="12" s="1"/>
  <c r="AU205" i="5"/>
  <c r="AQ197" i="12" s="1"/>
  <c r="AU206" i="5"/>
  <c r="AQ206" i="12" s="1"/>
  <c r="AU207" i="5"/>
  <c r="AQ207" i="12" s="1"/>
  <c r="AU208" i="5"/>
  <c r="AQ208" i="12" s="1"/>
  <c r="AU209" i="5"/>
  <c r="AQ209" i="12" s="1"/>
  <c r="AU210" i="5"/>
  <c r="AQ210" i="12" s="1"/>
  <c r="AU211" i="5"/>
  <c r="AQ211" i="12" s="1"/>
  <c r="AU212" i="5"/>
  <c r="AQ212" i="12" s="1"/>
  <c r="AU213" i="5"/>
  <c r="AQ213" i="12" s="1"/>
  <c r="AU214" i="5"/>
  <c r="AQ214" i="12" s="1"/>
  <c r="AU215" i="5"/>
  <c r="AQ215" i="12" s="1"/>
  <c r="AU216" i="5"/>
  <c r="AQ216" i="12" s="1"/>
  <c r="AU217" i="5"/>
  <c r="AQ217" i="12" s="1"/>
  <c r="AU218" i="5"/>
  <c r="AQ218" i="12" s="1"/>
  <c r="AU219" i="5"/>
  <c r="AQ219" i="12" s="1"/>
  <c r="AU220" i="5"/>
  <c r="AQ220" i="12" s="1"/>
  <c r="AU221" i="5"/>
  <c r="AQ222" i="12" s="1"/>
  <c r="AU222" i="5"/>
  <c r="AQ221" i="12" s="1"/>
  <c r="AU223" i="5"/>
  <c r="AQ223" i="12" s="1"/>
  <c r="AU224" i="5"/>
  <c r="AQ224" i="12" s="1"/>
  <c r="AU225" i="5"/>
  <c r="AQ225" i="12" s="1"/>
  <c r="AU226" i="5"/>
  <c r="AQ226" i="12" s="1"/>
  <c r="AU227" i="5"/>
  <c r="AQ229" i="12" s="1"/>
  <c r="AU228" i="5"/>
  <c r="AQ228" i="12" s="1"/>
  <c r="AU229" i="5"/>
  <c r="AQ227" i="12" s="1"/>
  <c r="AU230" i="5"/>
  <c r="AQ230" i="12" s="1"/>
  <c r="AU231" i="5"/>
  <c r="AQ231" i="12" s="1"/>
  <c r="AU232" i="5"/>
  <c r="AQ232" i="12" s="1"/>
  <c r="AU233" i="5"/>
  <c r="AQ233" i="12" s="1"/>
  <c r="AU234" i="5"/>
  <c r="AQ234" i="12" s="1"/>
  <c r="AU235" i="5"/>
  <c r="AQ235" i="12" s="1"/>
  <c r="AU236" i="5"/>
  <c r="AQ236" i="12" s="1"/>
  <c r="AU237" i="5"/>
  <c r="AQ237" i="12" s="1"/>
  <c r="AU238" i="5"/>
  <c r="AQ238" i="12" s="1"/>
  <c r="AU239" i="5"/>
  <c r="AQ239" i="12" s="1"/>
  <c r="AU240" i="5"/>
  <c r="AQ240" i="12" s="1"/>
  <c r="AU241" i="5"/>
  <c r="AQ241" i="12" s="1"/>
  <c r="AU242" i="5"/>
  <c r="AQ242" i="12" s="1"/>
  <c r="AU243" i="5"/>
  <c r="AQ243" i="12" s="1"/>
  <c r="AU244" i="5"/>
  <c r="AQ244" i="12" s="1"/>
  <c r="AU245" i="5"/>
  <c r="AQ245" i="12" s="1"/>
  <c r="AU246" i="5"/>
  <c r="AQ246" i="12" s="1"/>
  <c r="AU247" i="5"/>
  <c r="AQ247" i="12" s="1"/>
  <c r="AU248" i="5"/>
  <c r="AQ248" i="12" s="1"/>
  <c r="AU249" i="5"/>
  <c r="AQ249" i="12" s="1"/>
  <c r="AU250" i="5"/>
  <c r="AQ250" i="12" s="1"/>
  <c r="AU251" i="5"/>
  <c r="AQ251" i="12" s="1"/>
  <c r="AU252" i="5"/>
  <c r="AQ252" i="12" s="1"/>
  <c r="AU253" i="5"/>
  <c r="AQ253" i="12" s="1"/>
  <c r="AU254" i="5"/>
  <c r="AQ254" i="12" s="1"/>
  <c r="AU255" i="5"/>
  <c r="AQ255" i="12" s="1"/>
  <c r="AU256" i="5"/>
  <c r="AQ256" i="12" s="1"/>
  <c r="AU257" i="5"/>
  <c r="AQ257" i="12" s="1"/>
  <c r="AU258" i="5"/>
  <c r="AQ258" i="12" s="1"/>
  <c r="AU259" i="5"/>
  <c r="AQ259" i="12" s="1"/>
  <c r="AU260" i="5"/>
  <c r="AQ260" i="12" s="1"/>
  <c r="AU261" i="5"/>
  <c r="AQ261" i="12" s="1"/>
  <c r="AU262" i="5"/>
  <c r="AQ262" i="12" s="1"/>
  <c r="AU263" i="5"/>
  <c r="AQ264" i="12" s="1"/>
  <c r="AU264" i="5"/>
  <c r="AQ263" i="12" s="1"/>
  <c r="AU265" i="5"/>
  <c r="AQ265" i="12" s="1"/>
  <c r="AU266" i="5"/>
  <c r="AQ266" i="12" s="1"/>
  <c r="AU267" i="5"/>
  <c r="AQ267" i="12" s="1"/>
  <c r="AU268" i="5"/>
  <c r="AQ268" i="12" s="1"/>
  <c r="AU269" i="5"/>
  <c r="AQ269" i="12" s="1"/>
  <c r="AU270" i="5"/>
  <c r="AQ270" i="12" s="1"/>
  <c r="AU271" i="5"/>
  <c r="AQ271" i="12" s="1"/>
  <c r="AU272" i="5"/>
  <c r="AQ272" i="12" s="1"/>
  <c r="AU273" i="5"/>
  <c r="AQ273" i="12" s="1"/>
  <c r="AU274" i="5"/>
  <c r="AQ274" i="12" s="1"/>
  <c r="AU275" i="5"/>
  <c r="AQ277" i="12" s="1"/>
  <c r="AU276" i="5"/>
  <c r="AQ278" i="12" s="1"/>
  <c r="AU277" i="5"/>
  <c r="AQ280" i="12" s="1"/>
  <c r="AU278" i="5"/>
  <c r="AQ276" i="12" s="1"/>
  <c r="AU279" i="5"/>
  <c r="AQ282" i="12" s="1"/>
  <c r="AU280" i="5"/>
  <c r="AQ283" i="12" s="1"/>
  <c r="AU281" i="5"/>
  <c r="AQ281" i="12" s="1"/>
  <c r="AU282" i="5"/>
  <c r="AQ275" i="12" s="1"/>
  <c r="AU283" i="5"/>
  <c r="AQ279" i="12" s="1"/>
  <c r="AU284" i="5"/>
  <c r="AQ284" i="12" s="1"/>
  <c r="AU285" i="5"/>
  <c r="AQ285" i="12" s="1"/>
  <c r="AU286" i="5"/>
  <c r="AQ286" i="12" s="1"/>
  <c r="AU287" i="5"/>
  <c r="AQ289" i="12" s="1"/>
  <c r="AU288" i="5"/>
  <c r="AQ288" i="12" s="1"/>
  <c r="AU289" i="5"/>
  <c r="AQ287" i="12" s="1"/>
  <c r="AU290" i="5"/>
  <c r="AU291" i="5"/>
  <c r="AQ290" i="12" s="1"/>
  <c r="AU292" i="5"/>
  <c r="AQ293" i="12" s="1"/>
  <c r="AU293" i="5"/>
  <c r="AQ292" i="12" s="1"/>
  <c r="AU294" i="5"/>
  <c r="AQ291" i="12" s="1"/>
  <c r="AU295" i="5"/>
  <c r="AQ294" i="12" s="1"/>
  <c r="AU296" i="5"/>
  <c r="AQ295" i="12" s="1"/>
  <c r="AU297" i="5"/>
  <c r="AQ296" i="12" s="1"/>
  <c r="AU298" i="5"/>
  <c r="AQ301" i="12" s="1"/>
  <c r="AU299" i="5"/>
  <c r="AQ297" i="12" s="1"/>
  <c r="AU300" i="5"/>
  <c r="AQ298" i="12" s="1"/>
  <c r="AU301" i="5"/>
  <c r="AQ299" i="12" s="1"/>
  <c r="AU302" i="5"/>
  <c r="AQ300" i="12" s="1"/>
  <c r="AU303" i="5"/>
  <c r="AQ302" i="12" s="1"/>
  <c r="AU304" i="5"/>
  <c r="AQ303" i="12" s="1"/>
  <c r="AU305" i="5"/>
  <c r="AQ304" i="12" s="1"/>
  <c r="AU306" i="5"/>
  <c r="AQ307" i="12" s="1"/>
  <c r="AU307" i="5"/>
  <c r="AQ305" i="12" s="1"/>
  <c r="AU308" i="5"/>
  <c r="AQ306" i="12" s="1"/>
  <c r="AU309" i="5"/>
  <c r="AQ308" i="12" s="1"/>
  <c r="AU310" i="5"/>
  <c r="AQ309" i="12" s="1"/>
  <c r="AU311" i="5"/>
  <c r="AQ310" i="12" s="1"/>
  <c r="AU312" i="5"/>
  <c r="AQ311" i="12" s="1"/>
  <c r="AU313" i="5"/>
  <c r="AQ312" i="12" s="1"/>
  <c r="AU314" i="5"/>
  <c r="AQ313" i="12" s="1"/>
  <c r="AU315" i="5"/>
  <c r="AQ314" i="12" s="1"/>
  <c r="AU316" i="5"/>
  <c r="AQ315" i="12" s="1"/>
  <c r="AU317" i="5"/>
  <c r="AQ316" i="12" s="1"/>
  <c r="AU318" i="5"/>
  <c r="AQ318" i="12" s="1"/>
  <c r="AU319" i="5"/>
  <c r="AQ317" i="12" s="1"/>
  <c r="AU320" i="5"/>
  <c r="AQ319" i="12" s="1"/>
  <c r="AU321" i="5"/>
  <c r="AQ320" i="12" s="1"/>
  <c r="AU322" i="5"/>
  <c r="AQ321" i="12" s="1"/>
  <c r="AU323" i="5"/>
  <c r="AQ322" i="12" s="1"/>
  <c r="AU324" i="5"/>
  <c r="AQ323" i="12" s="1"/>
  <c r="AU325" i="5"/>
  <c r="AQ324" i="12" s="1"/>
  <c r="AU326" i="5"/>
  <c r="AQ325" i="12" s="1"/>
  <c r="AU327" i="5"/>
  <c r="AQ326" i="12" s="1"/>
  <c r="AU328" i="5"/>
  <c r="AQ327" i="12" s="1"/>
  <c r="AU329" i="5"/>
  <c r="AQ328" i="12" s="1"/>
  <c r="AU330" i="5"/>
  <c r="AQ332" i="12" s="1"/>
  <c r="AU331" i="5"/>
  <c r="AQ333" i="12" s="1"/>
  <c r="AU332" i="5"/>
  <c r="AQ331" i="12" s="1"/>
  <c r="AU333" i="5"/>
  <c r="AQ329" i="12" s="1"/>
  <c r="AU334" i="5"/>
  <c r="AQ330" i="12" s="1"/>
  <c r="AU335" i="5"/>
  <c r="AQ334" i="12" s="1"/>
  <c r="AU336" i="5"/>
  <c r="AQ335" i="12" s="1"/>
  <c r="AU337" i="5"/>
  <c r="AQ336" i="12" s="1"/>
  <c r="AU338" i="5"/>
  <c r="AQ337" i="12" s="1"/>
  <c r="AU339" i="5"/>
  <c r="AQ338" i="12" s="1"/>
  <c r="AU340" i="5"/>
  <c r="AQ339" i="12" s="1"/>
  <c r="AU341" i="5"/>
  <c r="AQ340" i="12" s="1"/>
  <c r="AU342" i="5"/>
  <c r="AQ341" i="12" s="1"/>
  <c r="AU343" i="5"/>
  <c r="AQ342" i="12" s="1"/>
  <c r="AU344" i="5"/>
  <c r="AQ343" i="12" s="1"/>
  <c r="AU345" i="5"/>
  <c r="AQ344" i="12" s="1"/>
  <c r="AU346" i="5"/>
  <c r="AQ345" i="12" s="1"/>
  <c r="AU347" i="5"/>
  <c r="AQ346" i="12" s="1"/>
  <c r="AU348" i="5"/>
  <c r="AQ347" i="12" s="1"/>
  <c r="AU349" i="5"/>
  <c r="AQ348" i="12" s="1"/>
  <c r="AU350" i="5"/>
  <c r="AQ349" i="12" s="1"/>
  <c r="AU351" i="5"/>
  <c r="AQ350" i="12" s="1"/>
  <c r="AU352" i="5"/>
  <c r="AQ351" i="12" s="1"/>
  <c r="AU353" i="5"/>
  <c r="AQ352" i="12" s="1"/>
  <c r="AU354" i="5"/>
  <c r="AQ353" i="12" s="1"/>
  <c r="AU355" i="5"/>
  <c r="AQ354" i="12" s="1"/>
  <c r="AU356" i="5"/>
  <c r="AQ355" i="12" s="1"/>
  <c r="AU357" i="5"/>
  <c r="AQ356" i="12" s="1"/>
  <c r="AU358" i="5"/>
  <c r="AQ357" i="12" s="1"/>
  <c r="AU359" i="5"/>
  <c r="AQ358" i="12" s="1"/>
  <c r="AU360" i="5"/>
  <c r="AQ359" i="12" s="1"/>
  <c r="AU361" i="5"/>
  <c r="AQ360" i="12" s="1"/>
  <c r="AU362" i="5"/>
  <c r="AQ361" i="12" s="1"/>
  <c r="AU363" i="5"/>
  <c r="AQ362" i="12" s="1"/>
  <c r="AU364" i="5"/>
  <c r="AQ363" i="12" s="1"/>
  <c r="AU365" i="5"/>
  <c r="AQ364" i="12" s="1"/>
  <c r="AU366" i="5"/>
  <c r="AQ365" i="12" s="1"/>
  <c r="AU367" i="5"/>
  <c r="AQ366" i="12" s="1"/>
  <c r="AU368" i="5"/>
  <c r="AQ367" i="12" s="1"/>
  <c r="AU369" i="5"/>
  <c r="AQ368" i="12" s="1"/>
  <c r="AU370" i="5"/>
  <c r="AQ369" i="12" s="1"/>
  <c r="AU371" i="5"/>
  <c r="AQ375" i="12" s="1"/>
  <c r="AU372" i="5"/>
  <c r="AQ373" i="12" s="1"/>
  <c r="AU373" i="5"/>
  <c r="AQ374" i="12" s="1"/>
  <c r="AU374" i="5"/>
  <c r="AQ372" i="12" s="1"/>
  <c r="AU375" i="5"/>
  <c r="AQ370" i="12" s="1"/>
  <c r="AU376" i="5"/>
  <c r="AQ371" i="12" s="1"/>
  <c r="AU377" i="5"/>
  <c r="AQ376" i="12" s="1"/>
  <c r="AU378" i="5"/>
  <c r="AQ377" i="12" s="1"/>
  <c r="AU379" i="5"/>
  <c r="AQ378" i="12" s="1"/>
  <c r="AU380" i="5"/>
  <c r="AQ379" i="12" s="1"/>
  <c r="AU381" i="5"/>
  <c r="AQ380" i="12" s="1"/>
  <c r="AU382" i="5"/>
  <c r="AQ381" i="12" s="1"/>
  <c r="AU383" i="5"/>
  <c r="AQ382" i="12" s="1"/>
  <c r="AU384" i="5"/>
  <c r="AQ385" i="12" s="1"/>
  <c r="AU385" i="5"/>
  <c r="AQ383" i="12" s="1"/>
  <c r="AU386" i="5"/>
  <c r="AQ386" i="12" s="1"/>
  <c r="AU387" i="5"/>
  <c r="AQ384" i="12" s="1"/>
  <c r="AU388" i="5"/>
  <c r="AQ387" i="12" s="1"/>
  <c r="AU389" i="5"/>
  <c r="AQ388" i="12" s="1"/>
  <c r="AU390" i="5"/>
  <c r="AQ389" i="12" s="1"/>
  <c r="AU391" i="5"/>
  <c r="AQ391" i="12" s="1"/>
  <c r="AU392" i="5"/>
  <c r="AQ390" i="12" s="1"/>
  <c r="AU393" i="5"/>
  <c r="AQ392" i="12" s="1"/>
  <c r="AU394" i="5"/>
  <c r="AQ393" i="12" s="1"/>
  <c r="AU395" i="5"/>
  <c r="AQ394" i="12" s="1"/>
  <c r="AU396" i="5"/>
  <c r="AQ395" i="12" s="1"/>
  <c r="AU397" i="5"/>
  <c r="AQ396" i="12" s="1"/>
  <c r="AU398" i="5"/>
  <c r="AQ397" i="12" s="1"/>
  <c r="AU399" i="5"/>
  <c r="AQ398" i="12" s="1"/>
  <c r="AU400" i="5"/>
  <c r="AQ399" i="12" s="1"/>
  <c r="AU401" i="5"/>
  <c r="AQ400" i="12" s="1"/>
  <c r="AU402" i="5"/>
  <c r="AQ401" i="12" s="1"/>
  <c r="AU403" i="5"/>
  <c r="AQ402" i="12" s="1"/>
  <c r="AU404" i="5"/>
  <c r="AQ403" i="12" s="1"/>
  <c r="AU405" i="5"/>
  <c r="AQ404" i="12" s="1"/>
  <c r="AU406" i="5"/>
  <c r="AQ405" i="12" s="1"/>
  <c r="AU407" i="5"/>
  <c r="AQ406" i="12" s="1"/>
  <c r="AU408" i="5"/>
  <c r="AQ408" i="12" s="1"/>
  <c r="AU409" i="5"/>
  <c r="AQ407" i="12" s="1"/>
  <c r="AU2" i="5"/>
  <c r="AQ3" i="12" s="1"/>
  <c r="AT3" i="5"/>
  <c r="AP4" i="12" s="1"/>
  <c r="AT4" i="5"/>
  <c r="AP9" i="12" s="1"/>
  <c r="AT5" i="5"/>
  <c r="AP6" i="12" s="1"/>
  <c r="AT6" i="5"/>
  <c r="AP2" i="12" s="1"/>
  <c r="AT7" i="5"/>
  <c r="AP8" i="12" s="1"/>
  <c r="AT8" i="5"/>
  <c r="AP5" i="12" s="1"/>
  <c r="AT9" i="5"/>
  <c r="AP7" i="12" s="1"/>
  <c r="AT10" i="5"/>
  <c r="AP10" i="12" s="1"/>
  <c r="AT11" i="5"/>
  <c r="AP11" i="12" s="1"/>
  <c r="AT12" i="5"/>
  <c r="AP18" i="12" s="1"/>
  <c r="AT13" i="5"/>
  <c r="AP12" i="12" s="1"/>
  <c r="AT14" i="5"/>
  <c r="AP13" i="12" s="1"/>
  <c r="AT15" i="5"/>
  <c r="AP14" i="12" s="1"/>
  <c r="AT16" i="5"/>
  <c r="AP19" i="12" s="1"/>
  <c r="AT17" i="5"/>
  <c r="AP15" i="12" s="1"/>
  <c r="AT18" i="5"/>
  <c r="AP16" i="12" s="1"/>
  <c r="AT19" i="5"/>
  <c r="AP17" i="12" s="1"/>
  <c r="AT20" i="5"/>
  <c r="AP20" i="12" s="1"/>
  <c r="AT21" i="5"/>
  <c r="AP25" i="12" s="1"/>
  <c r="AT22" i="5"/>
  <c r="AP21" i="12" s="1"/>
  <c r="AT23" i="5"/>
  <c r="AP22" i="12" s="1"/>
  <c r="AT24" i="5"/>
  <c r="AP24" i="12" s="1"/>
  <c r="AT25" i="5"/>
  <c r="AP23" i="12" s="1"/>
  <c r="AT26" i="5"/>
  <c r="AP26" i="12" s="1"/>
  <c r="AT27" i="5"/>
  <c r="AP27" i="12" s="1"/>
  <c r="AT28" i="5"/>
  <c r="AP28" i="12" s="1"/>
  <c r="AT29" i="5"/>
  <c r="AP29" i="12" s="1"/>
  <c r="AT30" i="5"/>
  <c r="AP30" i="12" s="1"/>
  <c r="AT31" i="5"/>
  <c r="AP31" i="12" s="1"/>
  <c r="AT32" i="5"/>
  <c r="AP32" i="12" s="1"/>
  <c r="AT33" i="5"/>
  <c r="AP33" i="12" s="1"/>
  <c r="AT34" i="5"/>
  <c r="AP34" i="12" s="1"/>
  <c r="AT35" i="5"/>
  <c r="AP35" i="12" s="1"/>
  <c r="AT36" i="5"/>
  <c r="AP36" i="12" s="1"/>
  <c r="AT37" i="5"/>
  <c r="AP37" i="12" s="1"/>
  <c r="AT38" i="5"/>
  <c r="AP38" i="12" s="1"/>
  <c r="AT39" i="5"/>
  <c r="AP39" i="12" s="1"/>
  <c r="AT40" i="5"/>
  <c r="AP40" i="12" s="1"/>
  <c r="AT41" i="5"/>
  <c r="AP41" i="12" s="1"/>
  <c r="AT42" i="5"/>
  <c r="AP42" i="12" s="1"/>
  <c r="AT43" i="5"/>
  <c r="AP43" i="12" s="1"/>
  <c r="AT44" i="5"/>
  <c r="AP44" i="12" s="1"/>
  <c r="AT45" i="5"/>
  <c r="AP45" i="12" s="1"/>
  <c r="AT46" i="5"/>
  <c r="AP46" i="12" s="1"/>
  <c r="AT47" i="5"/>
  <c r="AP47" i="12" s="1"/>
  <c r="AT48" i="5"/>
  <c r="AP48" i="12" s="1"/>
  <c r="AT49" i="5"/>
  <c r="AP49" i="12" s="1"/>
  <c r="AT50" i="5"/>
  <c r="AP50" i="12" s="1"/>
  <c r="AT51" i="5"/>
  <c r="AP51" i="12" s="1"/>
  <c r="AT52" i="5"/>
  <c r="AP52" i="12" s="1"/>
  <c r="AT53" i="5"/>
  <c r="AP53" i="12" s="1"/>
  <c r="AT54" i="5"/>
  <c r="AP54" i="12" s="1"/>
  <c r="AT55" i="5"/>
  <c r="AP56" i="12" s="1"/>
  <c r="AT56" i="5"/>
  <c r="AP57" i="12" s="1"/>
  <c r="AT57" i="5"/>
  <c r="AP58" i="12" s="1"/>
  <c r="AT58" i="5"/>
  <c r="AP59" i="12" s="1"/>
  <c r="AT59" i="5"/>
  <c r="AP60" i="12" s="1"/>
  <c r="AT60" i="5"/>
  <c r="AP61" i="12" s="1"/>
  <c r="AT61" i="5"/>
  <c r="AP62" i="12" s="1"/>
  <c r="AT62" i="5"/>
  <c r="AP55" i="12" s="1"/>
  <c r="AT63" i="5"/>
  <c r="AP65" i="12" s="1"/>
  <c r="AT64" i="5"/>
  <c r="AP63" i="12" s="1"/>
  <c r="AT65" i="5"/>
  <c r="AP64" i="12" s="1"/>
  <c r="AT66" i="5"/>
  <c r="AP66" i="12" s="1"/>
  <c r="AT67" i="5"/>
  <c r="AP67" i="12" s="1"/>
  <c r="AT68" i="5"/>
  <c r="AP68" i="12" s="1"/>
  <c r="AT69" i="5"/>
  <c r="AP69" i="12" s="1"/>
  <c r="AT70" i="5"/>
  <c r="AP70" i="12" s="1"/>
  <c r="AT71" i="5"/>
  <c r="AP71" i="12" s="1"/>
  <c r="AT72" i="5"/>
  <c r="AP72" i="12" s="1"/>
  <c r="AT73" i="5"/>
  <c r="AP73" i="12" s="1"/>
  <c r="AT74" i="5"/>
  <c r="AP74" i="12" s="1"/>
  <c r="AT75" i="5"/>
  <c r="AP75" i="12" s="1"/>
  <c r="AT76" i="5"/>
  <c r="AP76" i="12" s="1"/>
  <c r="AT77" i="5"/>
  <c r="AP77" i="12" s="1"/>
  <c r="AT78" i="5"/>
  <c r="AP78" i="12" s="1"/>
  <c r="AT79" i="5"/>
  <c r="AP79" i="12" s="1"/>
  <c r="AT80" i="5"/>
  <c r="AP80" i="12" s="1"/>
  <c r="AT81" i="5"/>
  <c r="AP81" i="12" s="1"/>
  <c r="AT82" i="5"/>
  <c r="AP82" i="12" s="1"/>
  <c r="AT83" i="5"/>
  <c r="AP83" i="12" s="1"/>
  <c r="AT84" i="5"/>
  <c r="AP84" i="12" s="1"/>
  <c r="AT85" i="5"/>
  <c r="AP85" i="12" s="1"/>
  <c r="AT86" i="5"/>
  <c r="AP86" i="12" s="1"/>
  <c r="AT87" i="5"/>
  <c r="AP87" i="12" s="1"/>
  <c r="AT88" i="5"/>
  <c r="AP88" i="12" s="1"/>
  <c r="AT89" i="5"/>
  <c r="AP89" i="12" s="1"/>
  <c r="AT90" i="5"/>
  <c r="AP90" i="12" s="1"/>
  <c r="AT91" i="5"/>
  <c r="AP91" i="12" s="1"/>
  <c r="AT92" i="5"/>
  <c r="AP92" i="12" s="1"/>
  <c r="AT93" i="5"/>
  <c r="AP93" i="12" s="1"/>
  <c r="AT94" i="5"/>
  <c r="AP94" i="12" s="1"/>
  <c r="AT95" i="5"/>
  <c r="AP99" i="12" s="1"/>
  <c r="AT96" i="5"/>
  <c r="AP95" i="12" s="1"/>
  <c r="AT97" i="5"/>
  <c r="AP96" i="12" s="1"/>
  <c r="AT98" i="5"/>
  <c r="AP98" i="12" s="1"/>
  <c r="AT99" i="5"/>
  <c r="AP100" i="12" s="1"/>
  <c r="AT100" i="5"/>
  <c r="AP97" i="12" s="1"/>
  <c r="AT101" i="5"/>
  <c r="AP101" i="12" s="1"/>
  <c r="AT102" i="5"/>
  <c r="AP102" i="12" s="1"/>
  <c r="AT103" i="5"/>
  <c r="AP103" i="12" s="1"/>
  <c r="AT104" i="5"/>
  <c r="AP105" i="12" s="1"/>
  <c r="AT105" i="5"/>
  <c r="AP104" i="12" s="1"/>
  <c r="AT106" i="5"/>
  <c r="AP106" i="12" s="1"/>
  <c r="AT107" i="5"/>
  <c r="AP107" i="12" s="1"/>
  <c r="AT108" i="5"/>
  <c r="AP108" i="12" s="1"/>
  <c r="AT109" i="5"/>
  <c r="AP110" i="12" s="1"/>
  <c r="AT110" i="5"/>
  <c r="AP109" i="12" s="1"/>
  <c r="AT111" i="5"/>
  <c r="AP111" i="12" s="1"/>
  <c r="AT112" i="5"/>
  <c r="AP112" i="12" s="1"/>
  <c r="AT113" i="5"/>
  <c r="AP113" i="12" s="1"/>
  <c r="AT114" i="5"/>
  <c r="AP114" i="12" s="1"/>
  <c r="AT115" i="5"/>
  <c r="AP115" i="12" s="1"/>
  <c r="AT116" i="5"/>
  <c r="AP116" i="12" s="1"/>
  <c r="AT117" i="5"/>
  <c r="AP117" i="12" s="1"/>
  <c r="AT118" i="5"/>
  <c r="AP118" i="12" s="1"/>
  <c r="AT119" i="5"/>
  <c r="AP119" i="12" s="1"/>
  <c r="AT120" i="5"/>
  <c r="AP120" i="12" s="1"/>
  <c r="AT121" i="5"/>
  <c r="AP121" i="12" s="1"/>
  <c r="AT122" i="5"/>
  <c r="AP122" i="12" s="1"/>
  <c r="AT123" i="5"/>
  <c r="AP123" i="12" s="1"/>
  <c r="AT124" i="5"/>
  <c r="AP124" i="12" s="1"/>
  <c r="AT125" i="5"/>
  <c r="AP125" i="12" s="1"/>
  <c r="AT126" i="5"/>
  <c r="AP126" i="12" s="1"/>
  <c r="AT127" i="5"/>
  <c r="AP127" i="12" s="1"/>
  <c r="AT128" i="5"/>
  <c r="AP128" i="12" s="1"/>
  <c r="AT129" i="5"/>
  <c r="AP129" i="12" s="1"/>
  <c r="AT130" i="5"/>
  <c r="AP130" i="12" s="1"/>
  <c r="AT131" i="5"/>
  <c r="AP131" i="12" s="1"/>
  <c r="AT132" i="5"/>
  <c r="AP132" i="12" s="1"/>
  <c r="AT133" i="5"/>
  <c r="AP133" i="12" s="1"/>
  <c r="AT134" i="5"/>
  <c r="AP134" i="12" s="1"/>
  <c r="AT135" i="5"/>
  <c r="AP135" i="12" s="1"/>
  <c r="AT136" i="5"/>
  <c r="AP136" i="12" s="1"/>
  <c r="AT137" i="5"/>
  <c r="AP137" i="12" s="1"/>
  <c r="AT138" i="5"/>
  <c r="AP138" i="12" s="1"/>
  <c r="AT139" i="5"/>
  <c r="AP139" i="12" s="1"/>
  <c r="AT140" i="5"/>
  <c r="AP140" i="12" s="1"/>
  <c r="AT141" i="5"/>
  <c r="AP141" i="12" s="1"/>
  <c r="AT142" i="5"/>
  <c r="AP142" i="12" s="1"/>
  <c r="AT143" i="5"/>
  <c r="AP143" i="12" s="1"/>
  <c r="AT144" i="5"/>
  <c r="AP144" i="12" s="1"/>
  <c r="AT145" i="5"/>
  <c r="AP145" i="12" s="1"/>
  <c r="AT146" i="5"/>
  <c r="AP146" i="12" s="1"/>
  <c r="AT147" i="5"/>
  <c r="AP147" i="12" s="1"/>
  <c r="AT148" i="5"/>
  <c r="AP148" i="12" s="1"/>
  <c r="AT149" i="5"/>
  <c r="AP149" i="12" s="1"/>
  <c r="AT150" i="5"/>
  <c r="AP150" i="12" s="1"/>
  <c r="AT151" i="5"/>
  <c r="AP151" i="12" s="1"/>
  <c r="AT152" i="5"/>
  <c r="AP154" i="12" s="1"/>
  <c r="AT153" i="5"/>
  <c r="AP152" i="12" s="1"/>
  <c r="AT154" i="5"/>
  <c r="AP153" i="12" s="1"/>
  <c r="AT155" i="5"/>
  <c r="AP155" i="12" s="1"/>
  <c r="AT156" i="5"/>
  <c r="AP156" i="12" s="1"/>
  <c r="AT157" i="5"/>
  <c r="AP157" i="12" s="1"/>
  <c r="AT158" i="5"/>
  <c r="AP158" i="12" s="1"/>
  <c r="AT159" i="5"/>
  <c r="AP159" i="12" s="1"/>
  <c r="AT160" i="5"/>
  <c r="AP160" i="12" s="1"/>
  <c r="AT161" i="5"/>
  <c r="AP161" i="12" s="1"/>
  <c r="AT162" i="5"/>
  <c r="AP163" i="12" s="1"/>
  <c r="AT163" i="5"/>
  <c r="AP162" i="12" s="1"/>
  <c r="AT164" i="5"/>
  <c r="AP164" i="12" s="1"/>
  <c r="AT165" i="5"/>
  <c r="AP165" i="12" s="1"/>
  <c r="AT166" i="5"/>
  <c r="AP169" i="12" s="1"/>
  <c r="AT167" i="5"/>
  <c r="AP166" i="12" s="1"/>
  <c r="AT168" i="5"/>
  <c r="AP167" i="12" s="1"/>
  <c r="AT169" i="5"/>
  <c r="AP168" i="12" s="1"/>
  <c r="AT170" i="5"/>
  <c r="AP170" i="12" s="1"/>
  <c r="AT171" i="5"/>
  <c r="AP171" i="12" s="1"/>
  <c r="AT172" i="5"/>
  <c r="AP172" i="12" s="1"/>
  <c r="AT173" i="5"/>
  <c r="AP173" i="12" s="1"/>
  <c r="AT174" i="5"/>
  <c r="AP174" i="12" s="1"/>
  <c r="AT175" i="5"/>
  <c r="AP176" i="12" s="1"/>
  <c r="AT176" i="5"/>
  <c r="AP175" i="12" s="1"/>
  <c r="AT177" i="5"/>
  <c r="AP177" i="12" s="1"/>
  <c r="AT178" i="5"/>
  <c r="AP179" i="12" s="1"/>
  <c r="AT179" i="5"/>
  <c r="AP178" i="12" s="1"/>
  <c r="AT180" i="5"/>
  <c r="AP180" i="12" s="1"/>
  <c r="AT181" i="5"/>
  <c r="AP181" i="12" s="1"/>
  <c r="AT182" i="5"/>
  <c r="AP182" i="12" s="1"/>
  <c r="AT183" i="5"/>
  <c r="AP183" i="12" s="1"/>
  <c r="AT184" i="5"/>
  <c r="AP185" i="12" s="1"/>
  <c r="AT185" i="5"/>
  <c r="AP184" i="12" s="1"/>
  <c r="AT186" i="5"/>
  <c r="AP186" i="12" s="1"/>
  <c r="AT187" i="5"/>
  <c r="AP187" i="12" s="1"/>
  <c r="AT188" i="5"/>
  <c r="AP189" i="12" s="1"/>
  <c r="AT189" i="5"/>
  <c r="AP188" i="12" s="1"/>
  <c r="AT190" i="5"/>
  <c r="AP200" i="12" s="1"/>
  <c r="AT191" i="5"/>
  <c r="AP190" i="12" s="1"/>
  <c r="AT192" i="5"/>
  <c r="AP202" i="12" s="1"/>
  <c r="AT193" i="5"/>
  <c r="AP203" i="12" s="1"/>
  <c r="AT194" i="5"/>
  <c r="AP205" i="12" s="1"/>
  <c r="AT195" i="5"/>
  <c r="AP191" i="12" s="1"/>
  <c r="AT196" i="5"/>
  <c r="AP192" i="12" s="1"/>
  <c r="AT197" i="5"/>
  <c r="AP199" i="12" s="1"/>
  <c r="AT198" i="5"/>
  <c r="AP193" i="12" s="1"/>
  <c r="AT199" i="5"/>
  <c r="AP194" i="12" s="1"/>
  <c r="AT200" i="5"/>
  <c r="AP195" i="12" s="1"/>
  <c r="AT201" i="5"/>
  <c r="AP204" i="12" s="1"/>
  <c r="AT202" i="5"/>
  <c r="AP196" i="12" s="1"/>
  <c r="AT203" i="5"/>
  <c r="AP198" i="12" s="1"/>
  <c r="AT204" i="5"/>
  <c r="AP201" i="12" s="1"/>
  <c r="AT205" i="5"/>
  <c r="AP197" i="12" s="1"/>
  <c r="AT206" i="5"/>
  <c r="AP206" i="12" s="1"/>
  <c r="AT207" i="5"/>
  <c r="AP207" i="12" s="1"/>
  <c r="AT208" i="5"/>
  <c r="AP208" i="12" s="1"/>
  <c r="AT209" i="5"/>
  <c r="AP209" i="12" s="1"/>
  <c r="AT210" i="5"/>
  <c r="AP210" i="12" s="1"/>
  <c r="AT211" i="5"/>
  <c r="AP211" i="12" s="1"/>
  <c r="AT212" i="5"/>
  <c r="AP212" i="12" s="1"/>
  <c r="AT213" i="5"/>
  <c r="AP213" i="12" s="1"/>
  <c r="AT214" i="5"/>
  <c r="AP214" i="12" s="1"/>
  <c r="AT215" i="5"/>
  <c r="AP215" i="12" s="1"/>
  <c r="AT216" i="5"/>
  <c r="AP216" i="12" s="1"/>
  <c r="AT217" i="5"/>
  <c r="AP217" i="12" s="1"/>
  <c r="AT218" i="5"/>
  <c r="AP218" i="12" s="1"/>
  <c r="AT219" i="5"/>
  <c r="AP219" i="12" s="1"/>
  <c r="AT220" i="5"/>
  <c r="AP220" i="12" s="1"/>
  <c r="AT221" i="5"/>
  <c r="AP222" i="12" s="1"/>
  <c r="AT222" i="5"/>
  <c r="AP221" i="12" s="1"/>
  <c r="AT223" i="5"/>
  <c r="AP223" i="12" s="1"/>
  <c r="AT224" i="5"/>
  <c r="AP224" i="12" s="1"/>
  <c r="AT225" i="5"/>
  <c r="AP225" i="12" s="1"/>
  <c r="AT226" i="5"/>
  <c r="AP226" i="12" s="1"/>
  <c r="AT227" i="5"/>
  <c r="AP229" i="12" s="1"/>
  <c r="AT228" i="5"/>
  <c r="AP228" i="12" s="1"/>
  <c r="AT229" i="5"/>
  <c r="AP227" i="12" s="1"/>
  <c r="AT230" i="5"/>
  <c r="AP230" i="12" s="1"/>
  <c r="AT231" i="5"/>
  <c r="AP231" i="12" s="1"/>
  <c r="AT232" i="5"/>
  <c r="AP232" i="12" s="1"/>
  <c r="AT233" i="5"/>
  <c r="AP233" i="12" s="1"/>
  <c r="AT234" i="5"/>
  <c r="AP234" i="12" s="1"/>
  <c r="AT235" i="5"/>
  <c r="AP235" i="12" s="1"/>
  <c r="AT236" i="5"/>
  <c r="AP236" i="12" s="1"/>
  <c r="AT237" i="5"/>
  <c r="AP237" i="12" s="1"/>
  <c r="AT238" i="5"/>
  <c r="AP238" i="12" s="1"/>
  <c r="AT239" i="5"/>
  <c r="AP239" i="12" s="1"/>
  <c r="AT240" i="5"/>
  <c r="AP240" i="12" s="1"/>
  <c r="AT241" i="5"/>
  <c r="AP241" i="12" s="1"/>
  <c r="AT242" i="5"/>
  <c r="AP242" i="12" s="1"/>
  <c r="AT243" i="5"/>
  <c r="AP243" i="12" s="1"/>
  <c r="AT244" i="5"/>
  <c r="AP244" i="12" s="1"/>
  <c r="AT245" i="5"/>
  <c r="AP245" i="12" s="1"/>
  <c r="AT246" i="5"/>
  <c r="AP246" i="12" s="1"/>
  <c r="AT247" i="5"/>
  <c r="AP247" i="12" s="1"/>
  <c r="AT248" i="5"/>
  <c r="AP248" i="12" s="1"/>
  <c r="AT249" i="5"/>
  <c r="AP249" i="12" s="1"/>
  <c r="AT250" i="5"/>
  <c r="AP250" i="12" s="1"/>
  <c r="AT251" i="5"/>
  <c r="AP251" i="12" s="1"/>
  <c r="AT252" i="5"/>
  <c r="AP252" i="12" s="1"/>
  <c r="AT253" i="5"/>
  <c r="AP253" i="12" s="1"/>
  <c r="AT254" i="5"/>
  <c r="AP254" i="12" s="1"/>
  <c r="AT255" i="5"/>
  <c r="AP255" i="12" s="1"/>
  <c r="AT256" i="5"/>
  <c r="AP256" i="12" s="1"/>
  <c r="AT257" i="5"/>
  <c r="AP257" i="12" s="1"/>
  <c r="AT258" i="5"/>
  <c r="AP258" i="12" s="1"/>
  <c r="AT259" i="5"/>
  <c r="AP259" i="12" s="1"/>
  <c r="AT260" i="5"/>
  <c r="AP260" i="12" s="1"/>
  <c r="AT261" i="5"/>
  <c r="AP261" i="12" s="1"/>
  <c r="AT262" i="5"/>
  <c r="AP262" i="12" s="1"/>
  <c r="AT263" i="5"/>
  <c r="AP264" i="12" s="1"/>
  <c r="AT264" i="5"/>
  <c r="AP263" i="12" s="1"/>
  <c r="AT265" i="5"/>
  <c r="AP265" i="12" s="1"/>
  <c r="AT266" i="5"/>
  <c r="AP266" i="12" s="1"/>
  <c r="AT267" i="5"/>
  <c r="AP267" i="12" s="1"/>
  <c r="AT268" i="5"/>
  <c r="AP268" i="12" s="1"/>
  <c r="AT269" i="5"/>
  <c r="AP269" i="12" s="1"/>
  <c r="AT270" i="5"/>
  <c r="AP270" i="12" s="1"/>
  <c r="AT271" i="5"/>
  <c r="AP271" i="12" s="1"/>
  <c r="AT272" i="5"/>
  <c r="AP272" i="12" s="1"/>
  <c r="AT273" i="5"/>
  <c r="AP273" i="12" s="1"/>
  <c r="AT274" i="5"/>
  <c r="AP274" i="12" s="1"/>
  <c r="AT275" i="5"/>
  <c r="AP277" i="12" s="1"/>
  <c r="AT276" i="5"/>
  <c r="AP278" i="12" s="1"/>
  <c r="AT277" i="5"/>
  <c r="AP280" i="12" s="1"/>
  <c r="AT278" i="5"/>
  <c r="AP276" i="12" s="1"/>
  <c r="AT279" i="5"/>
  <c r="AP282" i="12" s="1"/>
  <c r="AT280" i="5"/>
  <c r="AP283" i="12" s="1"/>
  <c r="AT281" i="5"/>
  <c r="AP281" i="12" s="1"/>
  <c r="AT282" i="5"/>
  <c r="AP275" i="12" s="1"/>
  <c r="AT283" i="5"/>
  <c r="AP279" i="12" s="1"/>
  <c r="AT284" i="5"/>
  <c r="AP284" i="12" s="1"/>
  <c r="AT285" i="5"/>
  <c r="AP285" i="12" s="1"/>
  <c r="AT286" i="5"/>
  <c r="AP286" i="12" s="1"/>
  <c r="AT287" i="5"/>
  <c r="AP289" i="12" s="1"/>
  <c r="AT288" i="5"/>
  <c r="AP288" i="12" s="1"/>
  <c r="AT289" i="5"/>
  <c r="AP287" i="12" s="1"/>
  <c r="AT290" i="5"/>
  <c r="AV290" i="5" s="1"/>
  <c r="AT291" i="5"/>
  <c r="AP290" i="12" s="1"/>
  <c r="AT292" i="5"/>
  <c r="AP293" i="12" s="1"/>
  <c r="AT293" i="5"/>
  <c r="AP292" i="12" s="1"/>
  <c r="AT294" i="5"/>
  <c r="AP291" i="12" s="1"/>
  <c r="AT295" i="5"/>
  <c r="AP294" i="12" s="1"/>
  <c r="AT296" i="5"/>
  <c r="AP295" i="12" s="1"/>
  <c r="AT297" i="5"/>
  <c r="AP296" i="12" s="1"/>
  <c r="AT298" i="5"/>
  <c r="AP301" i="12" s="1"/>
  <c r="AT299" i="5"/>
  <c r="AP297" i="12" s="1"/>
  <c r="AT300" i="5"/>
  <c r="AP298" i="12" s="1"/>
  <c r="AT301" i="5"/>
  <c r="AP299" i="12" s="1"/>
  <c r="AT302" i="5"/>
  <c r="AP300" i="12" s="1"/>
  <c r="AT303" i="5"/>
  <c r="AP302" i="12" s="1"/>
  <c r="AT304" i="5"/>
  <c r="AP303" i="12" s="1"/>
  <c r="AT305" i="5"/>
  <c r="AP304" i="12" s="1"/>
  <c r="AT306" i="5"/>
  <c r="AP307" i="12" s="1"/>
  <c r="AT307" i="5"/>
  <c r="AP305" i="12" s="1"/>
  <c r="AT308" i="5"/>
  <c r="AP306" i="12" s="1"/>
  <c r="AT309" i="5"/>
  <c r="AP308" i="12" s="1"/>
  <c r="AT310" i="5"/>
  <c r="AP309" i="12" s="1"/>
  <c r="AT311" i="5"/>
  <c r="AP310" i="12" s="1"/>
  <c r="AT312" i="5"/>
  <c r="AP311" i="12" s="1"/>
  <c r="AT313" i="5"/>
  <c r="AP312" i="12" s="1"/>
  <c r="AT314" i="5"/>
  <c r="AP313" i="12" s="1"/>
  <c r="AT315" i="5"/>
  <c r="AP314" i="12" s="1"/>
  <c r="AT316" i="5"/>
  <c r="AP315" i="12" s="1"/>
  <c r="AT317" i="5"/>
  <c r="AP316" i="12" s="1"/>
  <c r="AT318" i="5"/>
  <c r="AP318" i="12" s="1"/>
  <c r="AT319" i="5"/>
  <c r="AP317" i="12" s="1"/>
  <c r="AT320" i="5"/>
  <c r="AP319" i="12" s="1"/>
  <c r="AT321" i="5"/>
  <c r="AP320" i="12" s="1"/>
  <c r="AT322" i="5"/>
  <c r="AP321" i="12" s="1"/>
  <c r="AT323" i="5"/>
  <c r="AP322" i="12" s="1"/>
  <c r="AT324" i="5"/>
  <c r="AP323" i="12" s="1"/>
  <c r="AT325" i="5"/>
  <c r="AP324" i="12" s="1"/>
  <c r="AT326" i="5"/>
  <c r="AP325" i="12" s="1"/>
  <c r="AT327" i="5"/>
  <c r="AP326" i="12" s="1"/>
  <c r="AT328" i="5"/>
  <c r="AP327" i="12" s="1"/>
  <c r="AT329" i="5"/>
  <c r="AP328" i="12" s="1"/>
  <c r="AT330" i="5"/>
  <c r="AP332" i="12" s="1"/>
  <c r="AT331" i="5"/>
  <c r="AP333" i="12" s="1"/>
  <c r="AT332" i="5"/>
  <c r="AP331" i="12" s="1"/>
  <c r="AT333" i="5"/>
  <c r="AP329" i="12" s="1"/>
  <c r="AT334" i="5"/>
  <c r="AP330" i="12" s="1"/>
  <c r="AT335" i="5"/>
  <c r="AP334" i="12" s="1"/>
  <c r="AT336" i="5"/>
  <c r="AP335" i="12" s="1"/>
  <c r="AT337" i="5"/>
  <c r="AP336" i="12" s="1"/>
  <c r="AT338" i="5"/>
  <c r="AP337" i="12" s="1"/>
  <c r="AT339" i="5"/>
  <c r="AP338" i="12" s="1"/>
  <c r="AT340" i="5"/>
  <c r="AP339" i="12" s="1"/>
  <c r="AT341" i="5"/>
  <c r="AP340" i="12" s="1"/>
  <c r="AT342" i="5"/>
  <c r="AP341" i="12" s="1"/>
  <c r="AT343" i="5"/>
  <c r="AP342" i="12" s="1"/>
  <c r="AT344" i="5"/>
  <c r="AP343" i="12" s="1"/>
  <c r="AT345" i="5"/>
  <c r="AP344" i="12" s="1"/>
  <c r="AT346" i="5"/>
  <c r="AP345" i="12" s="1"/>
  <c r="AT347" i="5"/>
  <c r="AP346" i="12" s="1"/>
  <c r="AT348" i="5"/>
  <c r="AP347" i="12" s="1"/>
  <c r="AT349" i="5"/>
  <c r="AP348" i="12" s="1"/>
  <c r="AT350" i="5"/>
  <c r="AP349" i="12" s="1"/>
  <c r="AT351" i="5"/>
  <c r="AP350" i="12" s="1"/>
  <c r="AT352" i="5"/>
  <c r="AP351" i="12" s="1"/>
  <c r="AT353" i="5"/>
  <c r="AP352" i="12" s="1"/>
  <c r="AT354" i="5"/>
  <c r="AP353" i="12" s="1"/>
  <c r="AT355" i="5"/>
  <c r="AP354" i="12" s="1"/>
  <c r="AT356" i="5"/>
  <c r="AP355" i="12" s="1"/>
  <c r="AT357" i="5"/>
  <c r="AP356" i="12" s="1"/>
  <c r="AT358" i="5"/>
  <c r="AP357" i="12" s="1"/>
  <c r="AT359" i="5"/>
  <c r="AP358" i="12" s="1"/>
  <c r="AT360" i="5"/>
  <c r="AP359" i="12" s="1"/>
  <c r="AT361" i="5"/>
  <c r="AP360" i="12" s="1"/>
  <c r="AT362" i="5"/>
  <c r="AP361" i="12" s="1"/>
  <c r="AT363" i="5"/>
  <c r="AP362" i="12" s="1"/>
  <c r="AT364" i="5"/>
  <c r="AP363" i="12" s="1"/>
  <c r="AT365" i="5"/>
  <c r="AP364" i="12" s="1"/>
  <c r="AT366" i="5"/>
  <c r="AP365" i="12" s="1"/>
  <c r="AT367" i="5"/>
  <c r="AP366" i="12" s="1"/>
  <c r="AT368" i="5"/>
  <c r="AP367" i="12" s="1"/>
  <c r="AT369" i="5"/>
  <c r="AP368" i="12" s="1"/>
  <c r="AT370" i="5"/>
  <c r="AP369" i="12" s="1"/>
  <c r="AT371" i="5"/>
  <c r="AP375" i="12" s="1"/>
  <c r="AT372" i="5"/>
  <c r="AP373" i="12" s="1"/>
  <c r="AT373" i="5"/>
  <c r="AP374" i="12" s="1"/>
  <c r="AT374" i="5"/>
  <c r="AP372" i="12" s="1"/>
  <c r="AT375" i="5"/>
  <c r="AP370" i="12" s="1"/>
  <c r="AT376" i="5"/>
  <c r="AP371" i="12" s="1"/>
  <c r="AT377" i="5"/>
  <c r="AP376" i="12" s="1"/>
  <c r="AT378" i="5"/>
  <c r="AP377" i="12" s="1"/>
  <c r="AT379" i="5"/>
  <c r="AP378" i="12" s="1"/>
  <c r="AT380" i="5"/>
  <c r="AP379" i="12" s="1"/>
  <c r="AT381" i="5"/>
  <c r="AP380" i="12" s="1"/>
  <c r="AT382" i="5"/>
  <c r="AP381" i="12" s="1"/>
  <c r="AT383" i="5"/>
  <c r="AP382" i="12" s="1"/>
  <c r="AT384" i="5"/>
  <c r="AP385" i="12" s="1"/>
  <c r="AT385" i="5"/>
  <c r="AP383" i="12" s="1"/>
  <c r="AT386" i="5"/>
  <c r="AP386" i="12" s="1"/>
  <c r="AT387" i="5"/>
  <c r="AP384" i="12" s="1"/>
  <c r="AT388" i="5"/>
  <c r="AP387" i="12" s="1"/>
  <c r="AT389" i="5"/>
  <c r="AP388" i="12" s="1"/>
  <c r="AT390" i="5"/>
  <c r="AP389" i="12" s="1"/>
  <c r="AT391" i="5"/>
  <c r="AP391" i="12" s="1"/>
  <c r="AT392" i="5"/>
  <c r="AP390" i="12" s="1"/>
  <c r="AT393" i="5"/>
  <c r="AP392" i="12" s="1"/>
  <c r="AT394" i="5"/>
  <c r="AP393" i="12" s="1"/>
  <c r="AT395" i="5"/>
  <c r="AP394" i="12" s="1"/>
  <c r="AT396" i="5"/>
  <c r="AP395" i="12" s="1"/>
  <c r="AT397" i="5"/>
  <c r="AP396" i="12" s="1"/>
  <c r="AT398" i="5"/>
  <c r="AP397" i="12" s="1"/>
  <c r="AT399" i="5"/>
  <c r="AP398" i="12" s="1"/>
  <c r="AT400" i="5"/>
  <c r="AP399" i="12" s="1"/>
  <c r="AT401" i="5"/>
  <c r="AP400" i="12" s="1"/>
  <c r="AT402" i="5"/>
  <c r="AP401" i="12" s="1"/>
  <c r="AT403" i="5"/>
  <c r="AP402" i="12" s="1"/>
  <c r="AT404" i="5"/>
  <c r="AP403" i="12" s="1"/>
  <c r="AT405" i="5"/>
  <c r="AP404" i="12" s="1"/>
  <c r="AT406" i="5"/>
  <c r="AP405" i="12" s="1"/>
  <c r="AT407" i="5"/>
  <c r="AP406" i="12" s="1"/>
  <c r="AT408" i="5"/>
  <c r="AP408" i="12" s="1"/>
  <c r="AT409" i="5"/>
  <c r="AP407" i="12" s="1"/>
  <c r="AT2" i="5"/>
  <c r="AP3" i="12" s="1"/>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2" i="5"/>
  <c r="AQ3" i="5"/>
  <c r="AR4" i="12" s="1"/>
  <c r="AQ4" i="5"/>
  <c r="AR9" i="12" s="1"/>
  <c r="AQ5" i="5"/>
  <c r="AR6" i="12" s="1"/>
  <c r="AQ6" i="5"/>
  <c r="AR2" i="12" s="1"/>
  <c r="AQ7" i="5"/>
  <c r="AR8" i="12" s="1"/>
  <c r="AQ8" i="5"/>
  <c r="AR5" i="12" s="1"/>
  <c r="AQ9" i="5"/>
  <c r="AR7" i="12" s="1"/>
  <c r="AQ10" i="5"/>
  <c r="AR10" i="12" s="1"/>
  <c r="AQ11" i="5"/>
  <c r="AR11" i="12" s="1"/>
  <c r="AQ12" i="5"/>
  <c r="AR18" i="12" s="1"/>
  <c r="AQ13" i="5"/>
  <c r="AR12" i="12" s="1"/>
  <c r="AQ14" i="5"/>
  <c r="AR13" i="12" s="1"/>
  <c r="AQ15" i="5"/>
  <c r="AR14" i="12" s="1"/>
  <c r="AQ16" i="5"/>
  <c r="AR19" i="12" s="1"/>
  <c r="AQ17" i="5"/>
  <c r="AR15" i="12" s="1"/>
  <c r="AQ18" i="5"/>
  <c r="AR16" i="12" s="1"/>
  <c r="AQ19" i="5"/>
  <c r="AR17" i="12" s="1"/>
  <c r="AQ20" i="5"/>
  <c r="AR20" i="12" s="1"/>
  <c r="AQ21" i="5"/>
  <c r="AR25" i="12" s="1"/>
  <c r="AQ22" i="5"/>
  <c r="AR21" i="12" s="1"/>
  <c r="AQ23" i="5"/>
  <c r="AR22" i="12" s="1"/>
  <c r="AQ24" i="5"/>
  <c r="AR24" i="12" s="1"/>
  <c r="AQ25" i="5"/>
  <c r="AR23" i="12" s="1"/>
  <c r="AQ26" i="5"/>
  <c r="AR26" i="12" s="1"/>
  <c r="AQ27" i="5"/>
  <c r="AR27" i="12" s="1"/>
  <c r="AQ28" i="5"/>
  <c r="AR28" i="12" s="1"/>
  <c r="AQ29" i="5"/>
  <c r="AR29" i="12" s="1"/>
  <c r="AQ30" i="5"/>
  <c r="AR30" i="12" s="1"/>
  <c r="AQ31" i="5"/>
  <c r="AR31" i="12" s="1"/>
  <c r="AQ32" i="5"/>
  <c r="AR32" i="12" s="1"/>
  <c r="AQ33" i="5"/>
  <c r="AR33" i="12" s="1"/>
  <c r="AQ34" i="5"/>
  <c r="AR34" i="12" s="1"/>
  <c r="AQ35" i="5"/>
  <c r="AR35" i="12" s="1"/>
  <c r="AQ36" i="5"/>
  <c r="AR36" i="12" s="1"/>
  <c r="AQ37" i="5"/>
  <c r="AR37" i="12" s="1"/>
  <c r="AQ38" i="5"/>
  <c r="AR38" i="12" s="1"/>
  <c r="AQ39" i="5"/>
  <c r="AR39" i="12" s="1"/>
  <c r="AQ40" i="5"/>
  <c r="AR40" i="12" s="1"/>
  <c r="AQ41" i="5"/>
  <c r="AR41" i="12" s="1"/>
  <c r="AQ42" i="5"/>
  <c r="AR42" i="12" s="1"/>
  <c r="AQ43" i="5"/>
  <c r="AR43" i="12" s="1"/>
  <c r="AQ44" i="5"/>
  <c r="AR44" i="12" s="1"/>
  <c r="AQ45" i="5"/>
  <c r="AR45" i="12" s="1"/>
  <c r="AQ46" i="5"/>
  <c r="AR46" i="12" s="1"/>
  <c r="AQ47" i="5"/>
  <c r="AR47" i="12" s="1"/>
  <c r="AQ48" i="5"/>
  <c r="AR48" i="12" s="1"/>
  <c r="AQ49" i="5"/>
  <c r="AR49" i="12" s="1"/>
  <c r="AQ50" i="5"/>
  <c r="AR50" i="12" s="1"/>
  <c r="AQ51" i="5"/>
  <c r="AR51" i="12" s="1"/>
  <c r="AQ52" i="5"/>
  <c r="AR52" i="12" s="1"/>
  <c r="AQ53" i="5"/>
  <c r="AR53" i="12" s="1"/>
  <c r="AQ54" i="5"/>
  <c r="AR54" i="12" s="1"/>
  <c r="AQ55" i="5"/>
  <c r="AR56" i="12" s="1"/>
  <c r="AQ56" i="5"/>
  <c r="AR57" i="12" s="1"/>
  <c r="AQ57" i="5"/>
  <c r="AR58" i="12" s="1"/>
  <c r="AQ58" i="5"/>
  <c r="AR59" i="12" s="1"/>
  <c r="AQ59" i="5"/>
  <c r="AR60" i="12" s="1"/>
  <c r="AQ60" i="5"/>
  <c r="AR61" i="12" s="1"/>
  <c r="AQ61" i="5"/>
  <c r="AR62" i="12" s="1"/>
  <c r="AQ62" i="5"/>
  <c r="AR55" i="12" s="1"/>
  <c r="AQ63" i="5"/>
  <c r="AR65" i="12" s="1"/>
  <c r="AQ64" i="5"/>
  <c r="AR63" i="12" s="1"/>
  <c r="AQ65" i="5"/>
  <c r="AR64" i="12" s="1"/>
  <c r="AQ66" i="5"/>
  <c r="AR66" i="12" s="1"/>
  <c r="AQ67" i="5"/>
  <c r="AR67" i="12" s="1"/>
  <c r="AQ68" i="5"/>
  <c r="AR68" i="12" s="1"/>
  <c r="AQ69" i="5"/>
  <c r="AR69" i="12" s="1"/>
  <c r="AQ70" i="5"/>
  <c r="AR70" i="12" s="1"/>
  <c r="AQ71" i="5"/>
  <c r="AR71" i="12" s="1"/>
  <c r="AQ72" i="5"/>
  <c r="AR72" i="12" s="1"/>
  <c r="AQ73" i="5"/>
  <c r="AR73" i="12" s="1"/>
  <c r="AQ74" i="5"/>
  <c r="AR74" i="12" s="1"/>
  <c r="AQ75" i="5"/>
  <c r="AR75" i="12" s="1"/>
  <c r="AQ76" i="5"/>
  <c r="AR76" i="12" s="1"/>
  <c r="AQ77" i="5"/>
  <c r="AR77" i="12" s="1"/>
  <c r="AQ78" i="5"/>
  <c r="AR78" i="12" s="1"/>
  <c r="AQ79" i="5"/>
  <c r="AR79" i="12" s="1"/>
  <c r="AQ80" i="5"/>
  <c r="AR80" i="12" s="1"/>
  <c r="AQ81" i="5"/>
  <c r="AR81" i="12" s="1"/>
  <c r="AQ82" i="5"/>
  <c r="AR82" i="12" s="1"/>
  <c r="AQ83" i="5"/>
  <c r="AR83" i="12" s="1"/>
  <c r="AQ84" i="5"/>
  <c r="AR84" i="12" s="1"/>
  <c r="AQ85" i="5"/>
  <c r="AR85" i="12" s="1"/>
  <c r="AQ86" i="5"/>
  <c r="AR86" i="12" s="1"/>
  <c r="AQ87" i="5"/>
  <c r="AR87" i="12" s="1"/>
  <c r="AQ88" i="5"/>
  <c r="AR88" i="12" s="1"/>
  <c r="AQ89" i="5"/>
  <c r="AR89" i="12" s="1"/>
  <c r="AQ90" i="5"/>
  <c r="AR90" i="12" s="1"/>
  <c r="AQ91" i="5"/>
  <c r="AR91" i="12" s="1"/>
  <c r="AQ92" i="5"/>
  <c r="AR92" i="12" s="1"/>
  <c r="AQ93" i="5"/>
  <c r="AR93" i="12" s="1"/>
  <c r="AQ94" i="5"/>
  <c r="AR94" i="12" s="1"/>
  <c r="AQ95" i="5"/>
  <c r="AR99" i="12" s="1"/>
  <c r="AQ96" i="5"/>
  <c r="AR95" i="12" s="1"/>
  <c r="AQ97" i="5"/>
  <c r="AR96" i="12" s="1"/>
  <c r="AQ98" i="5"/>
  <c r="AR98" i="12" s="1"/>
  <c r="AQ99" i="5"/>
  <c r="AR100" i="12" s="1"/>
  <c r="AQ100" i="5"/>
  <c r="AR97" i="12" s="1"/>
  <c r="AQ101" i="5"/>
  <c r="AR101" i="12" s="1"/>
  <c r="AQ102" i="5"/>
  <c r="AR102" i="12" s="1"/>
  <c r="AQ103" i="5"/>
  <c r="AR103" i="12" s="1"/>
  <c r="AQ104" i="5"/>
  <c r="AR105" i="12" s="1"/>
  <c r="AQ105" i="5"/>
  <c r="AR104" i="12" s="1"/>
  <c r="AQ106" i="5"/>
  <c r="AR106" i="12" s="1"/>
  <c r="AQ107" i="5"/>
  <c r="AR107" i="12" s="1"/>
  <c r="AQ108" i="5"/>
  <c r="AR108" i="12" s="1"/>
  <c r="AQ109" i="5"/>
  <c r="AR110" i="12" s="1"/>
  <c r="AQ110" i="5"/>
  <c r="AR109" i="12" s="1"/>
  <c r="AQ111" i="5"/>
  <c r="AR111" i="12" s="1"/>
  <c r="AQ112" i="5"/>
  <c r="AR112" i="12" s="1"/>
  <c r="AQ113" i="5"/>
  <c r="AR113" i="12" s="1"/>
  <c r="AQ114" i="5"/>
  <c r="AR114" i="12" s="1"/>
  <c r="AQ115" i="5"/>
  <c r="AR115" i="12" s="1"/>
  <c r="AQ116" i="5"/>
  <c r="AR116" i="12" s="1"/>
  <c r="AQ117" i="5"/>
  <c r="AR117" i="12" s="1"/>
  <c r="AQ118" i="5"/>
  <c r="AR118" i="12" s="1"/>
  <c r="AQ119" i="5"/>
  <c r="AR119" i="12" s="1"/>
  <c r="AQ120" i="5"/>
  <c r="AR120" i="12" s="1"/>
  <c r="AQ121" i="5"/>
  <c r="AR121" i="12" s="1"/>
  <c r="AQ122" i="5"/>
  <c r="AR122" i="12" s="1"/>
  <c r="AQ123" i="5"/>
  <c r="AR123" i="12" s="1"/>
  <c r="AQ124" i="5"/>
  <c r="AR124" i="12" s="1"/>
  <c r="AQ125" i="5"/>
  <c r="AR125" i="12" s="1"/>
  <c r="AQ126" i="5"/>
  <c r="AR126" i="12" s="1"/>
  <c r="AQ127" i="5"/>
  <c r="AR127" i="12" s="1"/>
  <c r="AQ128" i="5"/>
  <c r="AR128" i="12" s="1"/>
  <c r="AQ129" i="5"/>
  <c r="AR129" i="12" s="1"/>
  <c r="AQ130" i="5"/>
  <c r="AR130" i="12" s="1"/>
  <c r="AQ131" i="5"/>
  <c r="AR131" i="12" s="1"/>
  <c r="AQ132" i="5"/>
  <c r="AR132" i="12" s="1"/>
  <c r="AQ133" i="5"/>
  <c r="AR133" i="12" s="1"/>
  <c r="AQ134" i="5"/>
  <c r="AR134" i="12" s="1"/>
  <c r="AQ135" i="5"/>
  <c r="AR135" i="12" s="1"/>
  <c r="AQ136" i="5"/>
  <c r="AR136" i="12" s="1"/>
  <c r="AQ137" i="5"/>
  <c r="AR137" i="12" s="1"/>
  <c r="AQ138" i="5"/>
  <c r="AR138" i="12" s="1"/>
  <c r="AQ139" i="5"/>
  <c r="AR139" i="12" s="1"/>
  <c r="AQ140" i="5"/>
  <c r="AR140" i="12" s="1"/>
  <c r="AQ141" i="5"/>
  <c r="AR141" i="12" s="1"/>
  <c r="AQ142" i="5"/>
  <c r="AR142" i="12" s="1"/>
  <c r="AQ143" i="5"/>
  <c r="AR143" i="12" s="1"/>
  <c r="AQ144" i="5"/>
  <c r="AR144" i="12" s="1"/>
  <c r="AQ145" i="5"/>
  <c r="AR145" i="12" s="1"/>
  <c r="AQ146" i="5"/>
  <c r="AR146" i="12" s="1"/>
  <c r="AQ147" i="5"/>
  <c r="AR147" i="12" s="1"/>
  <c r="AQ148" i="5"/>
  <c r="AR148" i="12" s="1"/>
  <c r="AQ149" i="5"/>
  <c r="AR149" i="12" s="1"/>
  <c r="AQ150" i="5"/>
  <c r="AR150" i="12" s="1"/>
  <c r="AQ151" i="5"/>
  <c r="AR151" i="12" s="1"/>
  <c r="AQ152" i="5"/>
  <c r="AR154" i="12" s="1"/>
  <c r="AQ153" i="5"/>
  <c r="AR152" i="12" s="1"/>
  <c r="AQ154" i="5"/>
  <c r="AR153" i="12" s="1"/>
  <c r="AQ155" i="5"/>
  <c r="AR155" i="12" s="1"/>
  <c r="AQ156" i="5"/>
  <c r="AR156" i="12" s="1"/>
  <c r="AQ157" i="5"/>
  <c r="AR157" i="12" s="1"/>
  <c r="AQ158" i="5"/>
  <c r="AR158" i="12" s="1"/>
  <c r="AQ159" i="5"/>
  <c r="AR159" i="12" s="1"/>
  <c r="AQ160" i="5"/>
  <c r="AR160" i="12" s="1"/>
  <c r="AQ161" i="5"/>
  <c r="AR161" i="12" s="1"/>
  <c r="AQ162" i="5"/>
  <c r="AR163" i="12" s="1"/>
  <c r="AQ163" i="5"/>
  <c r="AR162" i="12" s="1"/>
  <c r="AQ164" i="5"/>
  <c r="AR164" i="12" s="1"/>
  <c r="AQ165" i="5"/>
  <c r="AR165" i="12" s="1"/>
  <c r="AQ166" i="5"/>
  <c r="AR169" i="12" s="1"/>
  <c r="AQ167" i="5"/>
  <c r="AR166" i="12" s="1"/>
  <c r="AQ168" i="5"/>
  <c r="AR167" i="12" s="1"/>
  <c r="AQ169" i="5"/>
  <c r="AR168" i="12" s="1"/>
  <c r="AQ170" i="5"/>
  <c r="AR170" i="12" s="1"/>
  <c r="AQ171" i="5"/>
  <c r="AR171" i="12" s="1"/>
  <c r="AQ172" i="5"/>
  <c r="AR172" i="12" s="1"/>
  <c r="AQ173" i="5"/>
  <c r="AR173" i="12" s="1"/>
  <c r="AQ174" i="5"/>
  <c r="AR174" i="12" s="1"/>
  <c r="AQ175" i="5"/>
  <c r="AR176" i="12" s="1"/>
  <c r="AQ176" i="5"/>
  <c r="AR175" i="12" s="1"/>
  <c r="AQ177" i="5"/>
  <c r="AR177" i="12" s="1"/>
  <c r="AQ178" i="5"/>
  <c r="AR179" i="12" s="1"/>
  <c r="AQ179" i="5"/>
  <c r="AR178" i="12" s="1"/>
  <c r="AQ180" i="5"/>
  <c r="AR180" i="12" s="1"/>
  <c r="AQ181" i="5"/>
  <c r="AR181" i="12" s="1"/>
  <c r="AQ182" i="5"/>
  <c r="AR182" i="12" s="1"/>
  <c r="AQ183" i="5"/>
  <c r="AR183" i="12" s="1"/>
  <c r="AQ184" i="5"/>
  <c r="AR185" i="12" s="1"/>
  <c r="AQ185" i="5"/>
  <c r="AR184" i="12" s="1"/>
  <c r="AQ186" i="5"/>
  <c r="AR186" i="12" s="1"/>
  <c r="AQ187" i="5"/>
  <c r="AR187" i="12" s="1"/>
  <c r="AQ188" i="5"/>
  <c r="AR189" i="12" s="1"/>
  <c r="AQ189" i="5"/>
  <c r="AR188" i="12" s="1"/>
  <c r="AQ190" i="5"/>
  <c r="AR200" i="12" s="1"/>
  <c r="AQ191" i="5"/>
  <c r="AR190" i="12" s="1"/>
  <c r="AQ192" i="5"/>
  <c r="AR202" i="12" s="1"/>
  <c r="AQ193" i="5"/>
  <c r="AR203" i="12" s="1"/>
  <c r="AQ194" i="5"/>
  <c r="AR205" i="12" s="1"/>
  <c r="AQ195" i="5"/>
  <c r="AR191" i="12" s="1"/>
  <c r="AQ196" i="5"/>
  <c r="AR192" i="12" s="1"/>
  <c r="AQ197" i="5"/>
  <c r="AR199" i="12" s="1"/>
  <c r="AQ198" i="5"/>
  <c r="AR193" i="12" s="1"/>
  <c r="AQ199" i="5"/>
  <c r="AR194" i="12" s="1"/>
  <c r="AQ200" i="5"/>
  <c r="AR195" i="12" s="1"/>
  <c r="AQ201" i="5"/>
  <c r="AR204" i="12" s="1"/>
  <c r="AQ202" i="5"/>
  <c r="AR196" i="12" s="1"/>
  <c r="AQ203" i="5"/>
  <c r="AR198" i="12" s="1"/>
  <c r="AQ204" i="5"/>
  <c r="AR201" i="12" s="1"/>
  <c r="AQ205" i="5"/>
  <c r="AR197" i="12" s="1"/>
  <c r="AQ206" i="5"/>
  <c r="AR206" i="12" s="1"/>
  <c r="AQ207" i="5"/>
  <c r="AR207" i="12" s="1"/>
  <c r="AQ208" i="5"/>
  <c r="AR208" i="12" s="1"/>
  <c r="AQ209" i="5"/>
  <c r="AR209" i="12" s="1"/>
  <c r="AQ210" i="5"/>
  <c r="AR210" i="12" s="1"/>
  <c r="AQ211" i="5"/>
  <c r="AR211" i="12" s="1"/>
  <c r="AQ212" i="5"/>
  <c r="AR212" i="12" s="1"/>
  <c r="AQ213" i="5"/>
  <c r="AR213" i="12" s="1"/>
  <c r="AQ214" i="5"/>
  <c r="AR214" i="12" s="1"/>
  <c r="AQ215" i="5"/>
  <c r="AR215" i="12" s="1"/>
  <c r="AQ216" i="5"/>
  <c r="AR216" i="12" s="1"/>
  <c r="AQ217" i="5"/>
  <c r="AR217" i="12" s="1"/>
  <c r="AQ218" i="5"/>
  <c r="AR218" i="12" s="1"/>
  <c r="AQ219" i="5"/>
  <c r="AR219" i="12" s="1"/>
  <c r="AQ220" i="5"/>
  <c r="AR220" i="12" s="1"/>
  <c r="AQ221" i="5"/>
  <c r="AR222" i="12" s="1"/>
  <c r="AQ222" i="5"/>
  <c r="AR221" i="12" s="1"/>
  <c r="AQ223" i="5"/>
  <c r="AR223" i="12" s="1"/>
  <c r="AQ224" i="5"/>
  <c r="AR224" i="12" s="1"/>
  <c r="AQ225" i="5"/>
  <c r="AR225" i="12" s="1"/>
  <c r="AQ226" i="5"/>
  <c r="AR226" i="12" s="1"/>
  <c r="AQ227" i="5"/>
  <c r="AR229" i="12" s="1"/>
  <c r="AQ228" i="5"/>
  <c r="AR228" i="12" s="1"/>
  <c r="AQ229" i="5"/>
  <c r="AR227" i="12" s="1"/>
  <c r="AQ230" i="5"/>
  <c r="AR230" i="12" s="1"/>
  <c r="AQ231" i="5"/>
  <c r="AR231" i="12" s="1"/>
  <c r="AQ232" i="5"/>
  <c r="AR232" i="12" s="1"/>
  <c r="AQ233" i="5"/>
  <c r="AR233" i="12" s="1"/>
  <c r="AQ234" i="5"/>
  <c r="AR234" i="12" s="1"/>
  <c r="AQ235" i="5"/>
  <c r="AR235" i="12" s="1"/>
  <c r="AQ236" i="5"/>
  <c r="AR236" i="12" s="1"/>
  <c r="AQ237" i="5"/>
  <c r="AR237" i="12" s="1"/>
  <c r="AQ238" i="5"/>
  <c r="AR238" i="12" s="1"/>
  <c r="AQ239" i="5"/>
  <c r="AR239" i="12" s="1"/>
  <c r="AQ240" i="5"/>
  <c r="AR240" i="12" s="1"/>
  <c r="AQ241" i="5"/>
  <c r="AR241" i="12" s="1"/>
  <c r="AQ242" i="5"/>
  <c r="AR242" i="12" s="1"/>
  <c r="AQ243" i="5"/>
  <c r="AR243" i="12" s="1"/>
  <c r="AQ244" i="5"/>
  <c r="AR244" i="12" s="1"/>
  <c r="AQ245" i="5"/>
  <c r="AR245" i="12" s="1"/>
  <c r="AQ246" i="5"/>
  <c r="AR246" i="12" s="1"/>
  <c r="AQ247" i="5"/>
  <c r="AR247" i="12" s="1"/>
  <c r="AQ248" i="5"/>
  <c r="AR248" i="12" s="1"/>
  <c r="AQ249" i="5"/>
  <c r="AR249" i="12" s="1"/>
  <c r="AQ250" i="5"/>
  <c r="AR250" i="12" s="1"/>
  <c r="AQ251" i="5"/>
  <c r="AR251" i="12" s="1"/>
  <c r="AQ252" i="5"/>
  <c r="AR252" i="12" s="1"/>
  <c r="AQ253" i="5"/>
  <c r="AR253" i="12" s="1"/>
  <c r="AQ254" i="5"/>
  <c r="AR254" i="12" s="1"/>
  <c r="AQ255" i="5"/>
  <c r="AR255" i="12" s="1"/>
  <c r="AQ256" i="5"/>
  <c r="AR256" i="12" s="1"/>
  <c r="AQ257" i="5"/>
  <c r="AR257" i="12" s="1"/>
  <c r="AQ258" i="5"/>
  <c r="AR258" i="12" s="1"/>
  <c r="AQ259" i="5"/>
  <c r="AR259" i="12" s="1"/>
  <c r="AQ260" i="5"/>
  <c r="AR260" i="12" s="1"/>
  <c r="AQ261" i="5"/>
  <c r="AR261" i="12" s="1"/>
  <c r="AQ262" i="5"/>
  <c r="AR262" i="12" s="1"/>
  <c r="AQ263" i="5"/>
  <c r="AR264" i="12" s="1"/>
  <c r="AQ264" i="5"/>
  <c r="AR263" i="12" s="1"/>
  <c r="AQ265" i="5"/>
  <c r="AR265" i="12" s="1"/>
  <c r="AQ266" i="5"/>
  <c r="AR266" i="12" s="1"/>
  <c r="AQ267" i="5"/>
  <c r="AR267" i="12" s="1"/>
  <c r="AQ268" i="5"/>
  <c r="AR268" i="12" s="1"/>
  <c r="AQ269" i="5"/>
  <c r="AR269" i="12" s="1"/>
  <c r="AQ270" i="5"/>
  <c r="AR270" i="12" s="1"/>
  <c r="AQ271" i="5"/>
  <c r="AR271" i="12" s="1"/>
  <c r="AQ272" i="5"/>
  <c r="AR272" i="12" s="1"/>
  <c r="AQ273" i="5"/>
  <c r="AR273" i="12" s="1"/>
  <c r="AQ274" i="5"/>
  <c r="AR274" i="12" s="1"/>
  <c r="AQ275" i="5"/>
  <c r="AR277" i="12" s="1"/>
  <c r="AQ276" i="5"/>
  <c r="AR278" i="12" s="1"/>
  <c r="AQ277" i="5"/>
  <c r="AR280" i="12" s="1"/>
  <c r="AQ278" i="5"/>
  <c r="AR276" i="12" s="1"/>
  <c r="AQ279" i="5"/>
  <c r="AR282" i="12" s="1"/>
  <c r="AQ280" i="5"/>
  <c r="AR283" i="12" s="1"/>
  <c r="AQ281" i="5"/>
  <c r="AR281" i="12" s="1"/>
  <c r="AQ282" i="5"/>
  <c r="AR275" i="12" s="1"/>
  <c r="AQ283" i="5"/>
  <c r="AR279" i="12" s="1"/>
  <c r="AQ284" i="5"/>
  <c r="AR284" i="12" s="1"/>
  <c r="AQ285" i="5"/>
  <c r="AR285" i="12" s="1"/>
  <c r="AQ286" i="5"/>
  <c r="AR286" i="12" s="1"/>
  <c r="AQ287" i="5"/>
  <c r="AR289" i="12" s="1"/>
  <c r="AQ288" i="5"/>
  <c r="AR288" i="12" s="1"/>
  <c r="AQ289" i="5"/>
  <c r="AR287" i="12" s="1"/>
  <c r="AQ290" i="5"/>
  <c r="AQ291" i="5"/>
  <c r="AR290" i="12" s="1"/>
  <c r="AQ292" i="5"/>
  <c r="AR293" i="12" s="1"/>
  <c r="AQ293" i="5"/>
  <c r="AR292" i="12" s="1"/>
  <c r="AQ294" i="5"/>
  <c r="AR291" i="12" s="1"/>
  <c r="AQ295" i="5"/>
  <c r="AR294" i="12" s="1"/>
  <c r="AQ296" i="5"/>
  <c r="AR295" i="12" s="1"/>
  <c r="AQ297" i="5"/>
  <c r="AR296" i="12" s="1"/>
  <c r="AQ298" i="5"/>
  <c r="AR301" i="12" s="1"/>
  <c r="AQ299" i="5"/>
  <c r="AR297" i="12" s="1"/>
  <c r="AQ300" i="5"/>
  <c r="AR298" i="12" s="1"/>
  <c r="AQ301" i="5"/>
  <c r="AR299" i="12" s="1"/>
  <c r="AQ302" i="5"/>
  <c r="AR300" i="12" s="1"/>
  <c r="AQ303" i="5"/>
  <c r="AR302" i="12" s="1"/>
  <c r="AQ304" i="5"/>
  <c r="AR303" i="12" s="1"/>
  <c r="AQ305" i="5"/>
  <c r="AR304" i="12" s="1"/>
  <c r="AQ306" i="5"/>
  <c r="AR307" i="12" s="1"/>
  <c r="AQ307" i="5"/>
  <c r="AR305" i="12" s="1"/>
  <c r="AQ308" i="5"/>
  <c r="AR306" i="12" s="1"/>
  <c r="AQ309" i="5"/>
  <c r="AR308" i="12" s="1"/>
  <c r="AQ310" i="5"/>
  <c r="AR309" i="12" s="1"/>
  <c r="AQ311" i="5"/>
  <c r="AR310" i="12" s="1"/>
  <c r="AQ312" i="5"/>
  <c r="AR311" i="12" s="1"/>
  <c r="AQ313" i="5"/>
  <c r="AR312" i="12" s="1"/>
  <c r="AQ314" i="5"/>
  <c r="AR313" i="12" s="1"/>
  <c r="AQ315" i="5"/>
  <c r="AR314" i="12" s="1"/>
  <c r="AQ316" i="5"/>
  <c r="AR315" i="12" s="1"/>
  <c r="AQ317" i="5"/>
  <c r="AR316" i="12" s="1"/>
  <c r="AQ318" i="5"/>
  <c r="AR318" i="12" s="1"/>
  <c r="AQ319" i="5"/>
  <c r="AR317" i="12" s="1"/>
  <c r="AQ320" i="5"/>
  <c r="AR319" i="12" s="1"/>
  <c r="AQ321" i="5"/>
  <c r="AR320" i="12" s="1"/>
  <c r="AQ322" i="5"/>
  <c r="AR321" i="12" s="1"/>
  <c r="AQ323" i="5"/>
  <c r="AR322" i="12" s="1"/>
  <c r="AQ324" i="5"/>
  <c r="AR323" i="12" s="1"/>
  <c r="AQ325" i="5"/>
  <c r="AR324" i="12" s="1"/>
  <c r="AQ326" i="5"/>
  <c r="AR325" i="12" s="1"/>
  <c r="AQ327" i="5"/>
  <c r="AR326" i="12" s="1"/>
  <c r="AQ328" i="5"/>
  <c r="AR327" i="12" s="1"/>
  <c r="AQ329" i="5"/>
  <c r="AR328" i="12" s="1"/>
  <c r="AQ330" i="5"/>
  <c r="AR332" i="12" s="1"/>
  <c r="AQ331" i="5"/>
  <c r="AR333" i="12" s="1"/>
  <c r="AQ332" i="5"/>
  <c r="AR331" i="12" s="1"/>
  <c r="AQ333" i="5"/>
  <c r="AR329" i="12" s="1"/>
  <c r="AQ334" i="5"/>
  <c r="AR330" i="12" s="1"/>
  <c r="AQ335" i="5"/>
  <c r="AR334" i="12" s="1"/>
  <c r="AQ336" i="5"/>
  <c r="AR335" i="12" s="1"/>
  <c r="AQ337" i="5"/>
  <c r="AR336" i="12" s="1"/>
  <c r="AQ338" i="5"/>
  <c r="AR337" i="12" s="1"/>
  <c r="AQ339" i="5"/>
  <c r="AR338" i="12" s="1"/>
  <c r="AQ340" i="5"/>
  <c r="AR339" i="12" s="1"/>
  <c r="AQ341" i="5"/>
  <c r="AR340" i="12" s="1"/>
  <c r="AQ342" i="5"/>
  <c r="AR341" i="12" s="1"/>
  <c r="AQ343" i="5"/>
  <c r="AR342" i="12" s="1"/>
  <c r="AQ344" i="5"/>
  <c r="AR343" i="12" s="1"/>
  <c r="AQ345" i="5"/>
  <c r="AR344" i="12" s="1"/>
  <c r="AQ346" i="5"/>
  <c r="AR345" i="12" s="1"/>
  <c r="AQ347" i="5"/>
  <c r="AR346" i="12" s="1"/>
  <c r="AQ348" i="5"/>
  <c r="AR347" i="12" s="1"/>
  <c r="AQ349" i="5"/>
  <c r="AR348" i="12" s="1"/>
  <c r="AQ350" i="5"/>
  <c r="AR349" i="12" s="1"/>
  <c r="AQ351" i="5"/>
  <c r="AR350" i="12" s="1"/>
  <c r="AQ352" i="5"/>
  <c r="AR351" i="12" s="1"/>
  <c r="AQ353" i="5"/>
  <c r="AR352" i="12" s="1"/>
  <c r="AQ354" i="5"/>
  <c r="AR353" i="12" s="1"/>
  <c r="AQ355" i="5"/>
  <c r="AR354" i="12" s="1"/>
  <c r="AQ356" i="5"/>
  <c r="AR355" i="12" s="1"/>
  <c r="AQ357" i="5"/>
  <c r="AR356" i="12" s="1"/>
  <c r="AQ358" i="5"/>
  <c r="AR357" i="12" s="1"/>
  <c r="AQ359" i="5"/>
  <c r="AR358" i="12" s="1"/>
  <c r="AQ360" i="5"/>
  <c r="AR359" i="12" s="1"/>
  <c r="AQ361" i="5"/>
  <c r="AR360" i="12" s="1"/>
  <c r="AQ362" i="5"/>
  <c r="AR361" i="12" s="1"/>
  <c r="AQ363" i="5"/>
  <c r="AR362" i="12" s="1"/>
  <c r="AQ364" i="5"/>
  <c r="AR363" i="12" s="1"/>
  <c r="AQ365" i="5"/>
  <c r="AR364" i="12" s="1"/>
  <c r="AQ366" i="5"/>
  <c r="AR365" i="12" s="1"/>
  <c r="AQ367" i="5"/>
  <c r="AR366" i="12" s="1"/>
  <c r="AQ368" i="5"/>
  <c r="AR367" i="12" s="1"/>
  <c r="AQ369" i="5"/>
  <c r="AR368" i="12" s="1"/>
  <c r="AQ370" i="5"/>
  <c r="AR369" i="12" s="1"/>
  <c r="AQ371" i="5"/>
  <c r="AR375" i="12" s="1"/>
  <c r="AQ372" i="5"/>
  <c r="AR373" i="12" s="1"/>
  <c r="AQ373" i="5"/>
  <c r="AR374" i="12" s="1"/>
  <c r="AQ374" i="5"/>
  <c r="AR372" i="12" s="1"/>
  <c r="AQ375" i="5"/>
  <c r="AR370" i="12" s="1"/>
  <c r="AQ376" i="5"/>
  <c r="AR371" i="12" s="1"/>
  <c r="AQ377" i="5"/>
  <c r="AR376" i="12" s="1"/>
  <c r="AQ378" i="5"/>
  <c r="AR377" i="12" s="1"/>
  <c r="AQ379" i="5"/>
  <c r="AR378" i="12" s="1"/>
  <c r="AQ380" i="5"/>
  <c r="AR379" i="12" s="1"/>
  <c r="AQ381" i="5"/>
  <c r="AR380" i="12" s="1"/>
  <c r="AQ382" i="5"/>
  <c r="AR381" i="12" s="1"/>
  <c r="AQ383" i="5"/>
  <c r="AR382" i="12" s="1"/>
  <c r="AQ384" i="5"/>
  <c r="AR385" i="12" s="1"/>
  <c r="AQ385" i="5"/>
  <c r="AR383" i="12" s="1"/>
  <c r="AQ386" i="5"/>
  <c r="AR386" i="12" s="1"/>
  <c r="AQ387" i="5"/>
  <c r="AR384" i="12" s="1"/>
  <c r="AQ388" i="5"/>
  <c r="AR387" i="12" s="1"/>
  <c r="AQ389" i="5"/>
  <c r="AR388" i="12" s="1"/>
  <c r="AQ390" i="5"/>
  <c r="AR389" i="12" s="1"/>
  <c r="AQ391" i="5"/>
  <c r="AR391" i="12" s="1"/>
  <c r="AQ392" i="5"/>
  <c r="AR390" i="12" s="1"/>
  <c r="AQ393" i="5"/>
  <c r="AR392" i="12" s="1"/>
  <c r="AQ394" i="5"/>
  <c r="AR393" i="12" s="1"/>
  <c r="AQ395" i="5"/>
  <c r="AR394" i="12" s="1"/>
  <c r="AQ396" i="5"/>
  <c r="AR395" i="12" s="1"/>
  <c r="AQ397" i="5"/>
  <c r="AR396" i="12" s="1"/>
  <c r="AQ398" i="5"/>
  <c r="AR397" i="12" s="1"/>
  <c r="AQ399" i="5"/>
  <c r="AR398" i="12" s="1"/>
  <c r="AQ400" i="5"/>
  <c r="AR399" i="12" s="1"/>
  <c r="AQ401" i="5"/>
  <c r="AR400" i="12" s="1"/>
  <c r="AQ402" i="5"/>
  <c r="AR401" i="12" s="1"/>
  <c r="AQ403" i="5"/>
  <c r="AR402" i="12" s="1"/>
  <c r="AQ404" i="5"/>
  <c r="AR403" i="12" s="1"/>
  <c r="AQ405" i="5"/>
  <c r="AR404" i="12" s="1"/>
  <c r="AQ406" i="5"/>
  <c r="AR405" i="12" s="1"/>
  <c r="AQ407" i="5"/>
  <c r="AR406" i="12" s="1"/>
  <c r="AQ408" i="5"/>
  <c r="AR408" i="12" s="1"/>
  <c r="AQ409" i="5"/>
  <c r="AR407" i="12" s="1"/>
  <c r="AQ2" i="5"/>
  <c r="AR3" i="12" s="1"/>
  <c r="X3" i="6"/>
  <c r="X4" i="6"/>
  <c r="BK10" i="19" s="1"/>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BK35" i="19" s="1"/>
  <c r="X35" i="6"/>
  <c r="X36" i="6"/>
  <c r="BK37" i="19" s="1"/>
  <c r="X37" i="6"/>
  <c r="X38" i="6"/>
  <c r="X39" i="6"/>
  <c r="X40" i="6"/>
  <c r="BK41" i="19" s="1"/>
  <c r="X41" i="6"/>
  <c r="X42" i="6"/>
  <c r="X43" i="6"/>
  <c r="BK44" i="19" s="1"/>
  <c r="X44" i="6"/>
  <c r="X45" i="6"/>
  <c r="X46" i="6"/>
  <c r="X47" i="6"/>
  <c r="X48" i="6"/>
  <c r="X49" i="6"/>
  <c r="X50" i="6"/>
  <c r="X51" i="6"/>
  <c r="X52" i="6"/>
  <c r="X53" i="6"/>
  <c r="X54" i="6"/>
  <c r="X55" i="6"/>
  <c r="X56" i="6"/>
  <c r="X57" i="6"/>
  <c r="X58" i="6"/>
  <c r="BK60" i="19" s="1"/>
  <c r="X59" i="6"/>
  <c r="BK61" i="19" s="1"/>
  <c r="X60" i="6"/>
  <c r="X61" i="6"/>
  <c r="BK63" i="19" s="1"/>
  <c r="X62" i="6"/>
  <c r="BK56" i="19" s="1"/>
  <c r="X63" i="6"/>
  <c r="X64" i="6"/>
  <c r="X65" i="6"/>
  <c r="X66" i="6"/>
  <c r="X67" i="6"/>
  <c r="BK68" i="19" s="1"/>
  <c r="X68" i="6"/>
  <c r="X69" i="6"/>
  <c r="X70" i="6"/>
  <c r="X71" i="6"/>
  <c r="X72" i="6"/>
  <c r="X73" i="6"/>
  <c r="X74" i="6"/>
  <c r="X75" i="6"/>
  <c r="X76" i="6"/>
  <c r="X77" i="6"/>
  <c r="X78" i="6"/>
  <c r="X79" i="6"/>
  <c r="X80" i="6"/>
  <c r="X81" i="6"/>
  <c r="X82" i="6"/>
  <c r="X83" i="6"/>
  <c r="X84" i="6"/>
  <c r="X85" i="6"/>
  <c r="BK86" i="19" s="1"/>
  <c r="X86" i="6"/>
  <c r="X87" i="6"/>
  <c r="X88" i="6"/>
  <c r="X89" i="6"/>
  <c r="X90" i="6"/>
  <c r="X91" i="6"/>
  <c r="X92" i="6"/>
  <c r="X93" i="6"/>
  <c r="X94" i="6"/>
  <c r="X95" i="6"/>
  <c r="X96" i="6"/>
  <c r="BK96" i="19" s="1"/>
  <c r="X97" i="6"/>
  <c r="X98" i="6"/>
  <c r="X99" i="6"/>
  <c r="X100" i="6"/>
  <c r="X101" i="6"/>
  <c r="X102" i="6"/>
  <c r="X103" i="6"/>
  <c r="X104" i="6"/>
  <c r="X105" i="6"/>
  <c r="X106" i="6"/>
  <c r="X107" i="6"/>
  <c r="BK108" i="19" s="1"/>
  <c r="X108" i="6"/>
  <c r="X109" i="6"/>
  <c r="X110" i="6"/>
  <c r="X111" i="6"/>
  <c r="X112" i="6"/>
  <c r="X113" i="6"/>
  <c r="X114" i="6"/>
  <c r="X115" i="6"/>
  <c r="X116" i="6"/>
  <c r="X117" i="6"/>
  <c r="X118" i="6"/>
  <c r="BK119" i="19" s="1"/>
  <c r="X119" i="6"/>
  <c r="X120" i="6"/>
  <c r="X121" i="6"/>
  <c r="X122" i="6"/>
  <c r="X123" i="6"/>
  <c r="X124" i="6"/>
  <c r="X125" i="6"/>
  <c r="X126" i="6"/>
  <c r="X127" i="6"/>
  <c r="X128" i="6"/>
  <c r="X129" i="6"/>
  <c r="BK130" i="19" s="1"/>
  <c r="X130" i="6"/>
  <c r="X131" i="6"/>
  <c r="X132" i="6"/>
  <c r="X133" i="6"/>
  <c r="X134" i="6"/>
  <c r="BK135" i="19" s="1"/>
  <c r="X135" i="6"/>
  <c r="BK136" i="19" s="1"/>
  <c r="X136" i="6"/>
  <c r="X137" i="6"/>
  <c r="BK138" i="19" s="1"/>
  <c r="X138" i="6"/>
  <c r="X139" i="6"/>
  <c r="X140" i="6"/>
  <c r="X141" i="6"/>
  <c r="X142" i="6"/>
  <c r="X143" i="6"/>
  <c r="X144" i="6"/>
  <c r="X145" i="6"/>
  <c r="BK146" i="19" s="1"/>
  <c r="X146" i="6"/>
  <c r="X147" i="6"/>
  <c r="X148" i="6"/>
  <c r="X149" i="6"/>
  <c r="X150" i="6"/>
  <c r="X151" i="6"/>
  <c r="X152" i="6"/>
  <c r="X153" i="6"/>
  <c r="X154" i="6"/>
  <c r="X155" i="6"/>
  <c r="X156" i="6"/>
  <c r="X157" i="6"/>
  <c r="X158" i="6"/>
  <c r="X159" i="6"/>
  <c r="X160" i="6"/>
  <c r="X161" i="6"/>
  <c r="X162" i="6"/>
  <c r="BK164" i="19" s="1"/>
  <c r="X163" i="6"/>
  <c r="BK163" i="19" s="1"/>
  <c r="X164" i="6"/>
  <c r="X165" i="6"/>
  <c r="X166" i="6"/>
  <c r="X167" i="6"/>
  <c r="X168" i="6"/>
  <c r="X169" i="6"/>
  <c r="X170" i="6"/>
  <c r="BK171" i="19" s="1"/>
  <c r="X171" i="6"/>
  <c r="X172" i="6"/>
  <c r="X173" i="6"/>
  <c r="X174" i="6"/>
  <c r="X175" i="6"/>
  <c r="X176" i="6"/>
  <c r="X177" i="6"/>
  <c r="X178" i="6"/>
  <c r="X179" i="6"/>
  <c r="X180" i="6"/>
  <c r="X181" i="6"/>
  <c r="X182" i="6"/>
  <c r="X183" i="6"/>
  <c r="X184" i="6"/>
  <c r="X185" i="6"/>
  <c r="BK185" i="19" s="1"/>
  <c r="X186" i="6"/>
  <c r="BK187" i="19" s="1"/>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BK217" i="19" s="1"/>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BK262" i="19" s="1"/>
  <c r="X262" i="6"/>
  <c r="X263" i="6"/>
  <c r="X264" i="6"/>
  <c r="X265" i="6"/>
  <c r="X266" i="6"/>
  <c r="X267" i="6"/>
  <c r="X268" i="6"/>
  <c r="X269" i="6"/>
  <c r="X270" i="6"/>
  <c r="X271" i="6"/>
  <c r="X272" i="6"/>
  <c r="X273" i="6"/>
  <c r="X274" i="6"/>
  <c r="X275" i="6"/>
  <c r="X276" i="6"/>
  <c r="X277" i="6"/>
  <c r="X278" i="6"/>
  <c r="BK277" i="19" s="1"/>
  <c r="X279" i="6"/>
  <c r="X280" i="6"/>
  <c r="X281" i="6"/>
  <c r="X282" i="6"/>
  <c r="X283" i="6"/>
  <c r="X284" i="6"/>
  <c r="X285" i="6"/>
  <c r="X286" i="6"/>
  <c r="BK287" i="19" s="1"/>
  <c r="X287" i="6"/>
  <c r="X288" i="6"/>
  <c r="BK289" i="19" s="1"/>
  <c r="X289" i="6"/>
  <c r="X290" i="6"/>
  <c r="X291" i="6"/>
  <c r="X292" i="6"/>
  <c r="X293" i="6"/>
  <c r="X294" i="6"/>
  <c r="X295" i="6"/>
  <c r="BK295" i="19" s="1"/>
  <c r="X296" i="6"/>
  <c r="X297" i="6"/>
  <c r="X298" i="6"/>
  <c r="X299" i="6"/>
  <c r="X300" i="6"/>
  <c r="BK299" i="19" s="1"/>
  <c r="X301" i="6"/>
  <c r="X302" i="6"/>
  <c r="X303" i="6"/>
  <c r="X304" i="6"/>
  <c r="BK304" i="19" s="1"/>
  <c r="X305" i="6"/>
  <c r="X306" i="6"/>
  <c r="X307" i="6"/>
  <c r="X308" i="6"/>
  <c r="X309" i="6"/>
  <c r="X310" i="6"/>
  <c r="X311" i="6"/>
  <c r="X312" i="6"/>
  <c r="X313" i="6"/>
  <c r="X314" i="6"/>
  <c r="X315" i="6"/>
  <c r="X316" i="6"/>
  <c r="BK316" i="19" s="1"/>
  <c r="X317" i="6"/>
  <c r="X318" i="6"/>
  <c r="X319" i="6"/>
  <c r="X320" i="6"/>
  <c r="X321" i="6"/>
  <c r="X322" i="6"/>
  <c r="X323" i="6"/>
  <c r="BK323" i="19" s="1"/>
  <c r="X324" i="6"/>
  <c r="X325" i="6"/>
  <c r="X326" i="6"/>
  <c r="X327" i="6"/>
  <c r="X328" i="6"/>
  <c r="X329" i="6"/>
  <c r="X330" i="6"/>
  <c r="X331" i="6"/>
  <c r="X332" i="6"/>
  <c r="X333" i="6"/>
  <c r="X334" i="6"/>
  <c r="X335" i="6"/>
  <c r="X336" i="6"/>
  <c r="X337" i="6"/>
  <c r="X338" i="6"/>
  <c r="X339" i="6"/>
  <c r="X340" i="6"/>
  <c r="BK340" i="19" s="1"/>
  <c r="X341" i="6"/>
  <c r="X342" i="6"/>
  <c r="X343" i="6"/>
  <c r="BK343" i="19" s="1"/>
  <c r="X344" i="6"/>
  <c r="X345" i="6"/>
  <c r="X346" i="6"/>
  <c r="X347" i="6"/>
  <c r="X348" i="6"/>
  <c r="X349" i="6"/>
  <c r="X350" i="6"/>
  <c r="X351" i="6"/>
  <c r="X352" i="6"/>
  <c r="X353" i="6"/>
  <c r="X354" i="6"/>
  <c r="X355" i="6"/>
  <c r="BK355" i="19" s="1"/>
  <c r="X356" i="6"/>
  <c r="X357" i="6"/>
  <c r="X358" i="6"/>
  <c r="X359" i="6"/>
  <c r="X360" i="6"/>
  <c r="X361" i="6"/>
  <c r="X362" i="6"/>
  <c r="X363" i="6"/>
  <c r="X364" i="6"/>
  <c r="X365" i="6"/>
  <c r="BK365" i="19" s="1"/>
  <c r="X366" i="6"/>
  <c r="X367" i="6"/>
  <c r="X368" i="6"/>
  <c r="X369" i="6"/>
  <c r="X370" i="6"/>
  <c r="X371" i="6"/>
  <c r="X372" i="6"/>
  <c r="X373" i="6"/>
  <c r="X374" i="6"/>
  <c r="X375" i="6"/>
  <c r="X376" i="6"/>
  <c r="X377" i="6"/>
  <c r="X378" i="6"/>
  <c r="X379" i="6"/>
  <c r="X380" i="6"/>
  <c r="X381" i="6"/>
  <c r="X382" i="6"/>
  <c r="X383" i="6"/>
  <c r="BK383" i="19" s="1"/>
  <c r="X384" i="6"/>
  <c r="BK386" i="19" s="1"/>
  <c r="X385" i="6"/>
  <c r="X386" i="6"/>
  <c r="X387" i="6"/>
  <c r="X388" i="6"/>
  <c r="X389" i="6"/>
  <c r="X390" i="6"/>
  <c r="X391" i="6"/>
  <c r="X392" i="6"/>
  <c r="X393" i="6"/>
  <c r="X394" i="6"/>
  <c r="X395" i="6"/>
  <c r="X396" i="6"/>
  <c r="X397" i="6"/>
  <c r="BK397" i="19" s="1"/>
  <c r="X398" i="6"/>
  <c r="X399" i="6"/>
  <c r="X400" i="6"/>
  <c r="BK400" i="19" s="1"/>
  <c r="X401" i="6"/>
  <c r="X402" i="6"/>
  <c r="X403" i="6"/>
  <c r="X404" i="6"/>
  <c r="X405" i="6"/>
  <c r="X406" i="6"/>
  <c r="X407" i="6"/>
  <c r="X408" i="6"/>
  <c r="X409" i="6"/>
  <c r="X2" i="6"/>
  <c r="BJ3" i="4"/>
  <c r="BJ4" i="4"/>
  <c r="BJ5" i="4"/>
  <c r="BJ6" i="4"/>
  <c r="BJ7" i="4"/>
  <c r="BJ8" i="4"/>
  <c r="BJ9" i="4"/>
  <c r="BJ10" i="4"/>
  <c r="BJ11" i="4"/>
  <c r="BJ12" i="4"/>
  <c r="BJ13" i="4"/>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404" i="4"/>
  <c r="BJ405" i="4"/>
  <c r="BJ406" i="4"/>
  <c r="BJ407" i="4"/>
  <c r="BJ408" i="4"/>
  <c r="BJ409" i="4"/>
  <c r="BJ2" i="4"/>
  <c r="BE7" i="4"/>
  <c r="BE15" i="4"/>
  <c r="BE23" i="4"/>
  <c r="BE27" i="4"/>
  <c r="BE31" i="4"/>
  <c r="BE43" i="4"/>
  <c r="BE59" i="4"/>
  <c r="BE71" i="4"/>
  <c r="BE79" i="4"/>
  <c r="BE87" i="4"/>
  <c r="BE95" i="4"/>
  <c r="BE107" i="4"/>
  <c r="BE123" i="4"/>
  <c r="BE135" i="4"/>
  <c r="BE143" i="4"/>
  <c r="BE151" i="4"/>
  <c r="BE159" i="4"/>
  <c r="BE171" i="4"/>
  <c r="BE187" i="4"/>
  <c r="BE199" i="4"/>
  <c r="BE207" i="4"/>
  <c r="BE215" i="4"/>
  <c r="BE223" i="4"/>
  <c r="BE235" i="4"/>
  <c r="BE251" i="4"/>
  <c r="BE263" i="4"/>
  <c r="BE271" i="4"/>
  <c r="BE279" i="4"/>
  <c r="BE287" i="4"/>
  <c r="BE299" i="4"/>
  <c r="BE315" i="4"/>
  <c r="BE327" i="4"/>
  <c r="BE335" i="4"/>
  <c r="BE343" i="4"/>
  <c r="BE351" i="4"/>
  <c r="BE363" i="4"/>
  <c r="BE379" i="4"/>
  <c r="BE391" i="4"/>
  <c r="BE399" i="4"/>
  <c r="BE407" i="4"/>
  <c r="BD3" i="4"/>
  <c r="BD7" i="4"/>
  <c r="BD19" i="4"/>
  <c r="BD31" i="4"/>
  <c r="BD35" i="4"/>
  <c r="BD39" i="4"/>
  <c r="BD47" i="4"/>
  <c r="BD55" i="4"/>
  <c r="BD63" i="4"/>
  <c r="BD67" i="4"/>
  <c r="BD71" i="4"/>
  <c r="BD83" i="4"/>
  <c r="BD99" i="4"/>
  <c r="BD111" i="4"/>
  <c r="BD119" i="4"/>
  <c r="BD127" i="4"/>
  <c r="BD135" i="4"/>
  <c r="BD147" i="4"/>
  <c r="BD163" i="4"/>
  <c r="BD175" i="4"/>
  <c r="BD183" i="4"/>
  <c r="BD191" i="4"/>
  <c r="BD199" i="4"/>
  <c r="BD211" i="4"/>
  <c r="BD227" i="4"/>
  <c r="BD239" i="4"/>
  <c r="BD247" i="4"/>
  <c r="BD255" i="4"/>
  <c r="BD263" i="4"/>
  <c r="BD275" i="4"/>
  <c r="BD291" i="4"/>
  <c r="BD303" i="4"/>
  <c r="BD311" i="4"/>
  <c r="BD319" i="4"/>
  <c r="BD324" i="4"/>
  <c r="BD327" i="4"/>
  <c r="BD332" i="4"/>
  <c r="BD339" i="4"/>
  <c r="BD355" i="4"/>
  <c r="BD360" i="4"/>
  <c r="BD367" i="4"/>
  <c r="BD375" i="4"/>
  <c r="BD383" i="4"/>
  <c r="BD388" i="4"/>
  <c r="BD391" i="4"/>
  <c r="BD396" i="4"/>
  <c r="BD403" i="4"/>
  <c r="BD404" i="4"/>
  <c r="BC4" i="4"/>
  <c r="BC7" i="4"/>
  <c r="BC11" i="4"/>
  <c r="BC15" i="4"/>
  <c r="BC16" i="4"/>
  <c r="BC23" i="4"/>
  <c r="BC31" i="4"/>
  <c r="BC32" i="4"/>
  <c r="BC39" i="4"/>
  <c r="BC43" i="4"/>
  <c r="BC44" i="4"/>
  <c r="BC47" i="4"/>
  <c r="BC52" i="4"/>
  <c r="BC59" i="4"/>
  <c r="BC60" i="4"/>
  <c r="BC68" i="4"/>
  <c r="BC71" i="4"/>
  <c r="BC75" i="4"/>
  <c r="BC79" i="4"/>
  <c r="BC80" i="4"/>
  <c r="BC87" i="4"/>
  <c r="BC95" i="4"/>
  <c r="BC96" i="4"/>
  <c r="BC103" i="4"/>
  <c r="BC107" i="4"/>
  <c r="BC108" i="4"/>
  <c r="BC111" i="4"/>
  <c r="BC116" i="4"/>
  <c r="BC123" i="4"/>
  <c r="BC124" i="4"/>
  <c r="BC132" i="4"/>
  <c r="BC135" i="4"/>
  <c r="BC139" i="4"/>
  <c r="BC143" i="4"/>
  <c r="BC144" i="4"/>
  <c r="BC151" i="4"/>
  <c r="BC159" i="4"/>
  <c r="BC160" i="4"/>
  <c r="BC167" i="4"/>
  <c r="BC171" i="4"/>
  <c r="BC172" i="4"/>
  <c r="BC175" i="4"/>
  <c r="BC180" i="4"/>
  <c r="BC187" i="4"/>
  <c r="BF187" i="4" s="1"/>
  <c r="BC188" i="4"/>
  <c r="BC196" i="4"/>
  <c r="BC203" i="4"/>
  <c r="BC208" i="4"/>
  <c r="BC215" i="4"/>
  <c r="BC223" i="4"/>
  <c r="BC224" i="4"/>
  <c r="BC231" i="4"/>
  <c r="BC236" i="4"/>
  <c r="BC239" i="4"/>
  <c r="BC244" i="4"/>
  <c r="BC251" i="4"/>
  <c r="BF251" i="4" s="1"/>
  <c r="BC252" i="4"/>
  <c r="BC260" i="4"/>
  <c r="BC267" i="4"/>
  <c r="BC272" i="4"/>
  <c r="BC279" i="4"/>
  <c r="BC287" i="4"/>
  <c r="BC288" i="4"/>
  <c r="BC295" i="4"/>
  <c r="BC300" i="4"/>
  <c r="BC303" i="4"/>
  <c r="BC308" i="4"/>
  <c r="BC315" i="4"/>
  <c r="BF315" i="4" s="1"/>
  <c r="BC316" i="4"/>
  <c r="BC324" i="4"/>
  <c r="BC331" i="4"/>
  <c r="BC336" i="4"/>
  <c r="BC343" i="4"/>
  <c r="BC351" i="4"/>
  <c r="BC352" i="4"/>
  <c r="BC359" i="4"/>
  <c r="BC364" i="4"/>
  <c r="BC367" i="4"/>
  <c r="BC372" i="4"/>
  <c r="BC379" i="4"/>
  <c r="BC380" i="4"/>
  <c r="BC388" i="4"/>
  <c r="BC395" i="4"/>
  <c r="BC400" i="4"/>
  <c r="BC407" i="4"/>
  <c r="BB3" i="4"/>
  <c r="BB7" i="4"/>
  <c r="BB11" i="4"/>
  <c r="BB19" i="4"/>
  <c r="BB27" i="4"/>
  <c r="BB35" i="4"/>
  <c r="BB39" i="4"/>
  <c r="BB43" i="4"/>
  <c r="BB55" i="4"/>
  <c r="BB67" i="4"/>
  <c r="BB71" i="4"/>
  <c r="BB75" i="4"/>
  <c r="BB83" i="4"/>
  <c r="BB91" i="4"/>
  <c r="BB99" i="4"/>
  <c r="BB103" i="4"/>
  <c r="BB107" i="4"/>
  <c r="BB112" i="4"/>
  <c r="BB124" i="4"/>
  <c r="BB128" i="4"/>
  <c r="BB140" i="4"/>
  <c r="BB144" i="4"/>
  <c r="BB156" i="4"/>
  <c r="BB160" i="4"/>
  <c r="BB163" i="4"/>
  <c r="BB164" i="4"/>
  <c r="BB167" i="4"/>
  <c r="BB168" i="4"/>
  <c r="BB171" i="4"/>
  <c r="BB172" i="4"/>
  <c r="BB175" i="4"/>
  <c r="BB176" i="4"/>
  <c r="BB179" i="4"/>
  <c r="BB180" i="4"/>
  <c r="BB183" i="4"/>
  <c r="BB184" i="4"/>
  <c r="BB187" i="4"/>
  <c r="BB188" i="4"/>
  <c r="BB191" i="4"/>
  <c r="BB192" i="4"/>
  <c r="BB195" i="4"/>
  <c r="BB196" i="4"/>
  <c r="BB199" i="4"/>
  <c r="BB200" i="4"/>
  <c r="BB203" i="4"/>
  <c r="BB204" i="4"/>
  <c r="BB207" i="4"/>
  <c r="BB208" i="4"/>
  <c r="BB211" i="4"/>
  <c r="BB212" i="4"/>
  <c r="BB215" i="4"/>
  <c r="BB216" i="4"/>
  <c r="BB219" i="4"/>
  <c r="BB220" i="4"/>
  <c r="BB223" i="4"/>
  <c r="BB224" i="4"/>
  <c r="BB227" i="4"/>
  <c r="BB228" i="4"/>
  <c r="BB231" i="4"/>
  <c r="BB232" i="4"/>
  <c r="BB235" i="4"/>
  <c r="BB236" i="4"/>
  <c r="BB239" i="4"/>
  <c r="BB240" i="4"/>
  <c r="BB243" i="4"/>
  <c r="BB244" i="4"/>
  <c r="BB247" i="4"/>
  <c r="BB248" i="4"/>
  <c r="BB251" i="4"/>
  <c r="BB252" i="4"/>
  <c r="BB255" i="4"/>
  <c r="BB256" i="4"/>
  <c r="BB259" i="4"/>
  <c r="BB260" i="4"/>
  <c r="BB263" i="4"/>
  <c r="BB264" i="4"/>
  <c r="BB267" i="4"/>
  <c r="BB268" i="4"/>
  <c r="BB271" i="4"/>
  <c r="BB272" i="4"/>
  <c r="BB275" i="4"/>
  <c r="BB276" i="4"/>
  <c r="BB279" i="4"/>
  <c r="BB280" i="4"/>
  <c r="BB283" i="4"/>
  <c r="BB284" i="4"/>
  <c r="BB287" i="4"/>
  <c r="BB288" i="4"/>
  <c r="BB291" i="4"/>
  <c r="BB292" i="4"/>
  <c r="BB295" i="4"/>
  <c r="BB296" i="4"/>
  <c r="BB299" i="4"/>
  <c r="BB300" i="4"/>
  <c r="BB303" i="4"/>
  <c r="BB304" i="4"/>
  <c r="BB307" i="4"/>
  <c r="BB308" i="4"/>
  <c r="BB311" i="4"/>
  <c r="BB312" i="4"/>
  <c r="BB315" i="4"/>
  <c r="BB316" i="4"/>
  <c r="BB319" i="4"/>
  <c r="BB320" i="4"/>
  <c r="BB323" i="4"/>
  <c r="BB324" i="4"/>
  <c r="BB327" i="4"/>
  <c r="BB328" i="4"/>
  <c r="BB331" i="4"/>
  <c r="BB332" i="4"/>
  <c r="BB335" i="4"/>
  <c r="BB336" i="4"/>
  <c r="BB339" i="4"/>
  <c r="BB340" i="4"/>
  <c r="BB343" i="4"/>
  <c r="BB344" i="4"/>
  <c r="BB347" i="4"/>
  <c r="BB348" i="4"/>
  <c r="BB351" i="4"/>
  <c r="BB352" i="4"/>
  <c r="BB355" i="4"/>
  <c r="BB356" i="4"/>
  <c r="BB359" i="4"/>
  <c r="BB360" i="4"/>
  <c r="BB363" i="4"/>
  <c r="BB364" i="4"/>
  <c r="BB367" i="4"/>
  <c r="BB368" i="4"/>
  <c r="BB371" i="4"/>
  <c r="BB372" i="4"/>
  <c r="BB375" i="4"/>
  <c r="BB376" i="4"/>
  <c r="BB379" i="4"/>
  <c r="BB380" i="4"/>
  <c r="BB383" i="4"/>
  <c r="BB384" i="4"/>
  <c r="BB387" i="4"/>
  <c r="BB388" i="4"/>
  <c r="BB391" i="4"/>
  <c r="BB392" i="4"/>
  <c r="BB395" i="4"/>
  <c r="BB396" i="4"/>
  <c r="BB399" i="4"/>
  <c r="BB400" i="4"/>
  <c r="BB403" i="4"/>
  <c r="BB404" i="4"/>
  <c r="BB407" i="4"/>
  <c r="BB408" i="4"/>
  <c r="BA3" i="4"/>
  <c r="BA4" i="4"/>
  <c r="BD4" i="4" s="1"/>
  <c r="BA5" i="4"/>
  <c r="BA6" i="4"/>
  <c r="BD6" i="4" s="1"/>
  <c r="BA7" i="4"/>
  <c r="BA8" i="4"/>
  <c r="BD8" i="4" s="1"/>
  <c r="BA9" i="4"/>
  <c r="BA10" i="4"/>
  <c r="BA11" i="4"/>
  <c r="BD11" i="4" s="1"/>
  <c r="BA12" i="4"/>
  <c r="BD12" i="4" s="1"/>
  <c r="BA13" i="4"/>
  <c r="BA14" i="4"/>
  <c r="BA15" i="4"/>
  <c r="BA16" i="4"/>
  <c r="BE16" i="4" s="1"/>
  <c r="BA17" i="4"/>
  <c r="BA18" i="4"/>
  <c r="BD18" i="4" s="1"/>
  <c r="BA19" i="4"/>
  <c r="BA20" i="4"/>
  <c r="BD20" i="4" s="1"/>
  <c r="BA21" i="4"/>
  <c r="BA22" i="4"/>
  <c r="BD22" i="4" s="1"/>
  <c r="BA23" i="4"/>
  <c r="BD23" i="4" s="1"/>
  <c r="BA24" i="4"/>
  <c r="BA25" i="4"/>
  <c r="BA26" i="4"/>
  <c r="BE26" i="4" s="1"/>
  <c r="BA27" i="4"/>
  <c r="BD27" i="4" s="1"/>
  <c r="BA28" i="4"/>
  <c r="BE28" i="4" s="1"/>
  <c r="BA29" i="4"/>
  <c r="BA30" i="4"/>
  <c r="BD30" i="4" s="1"/>
  <c r="BA31" i="4"/>
  <c r="BA32" i="4"/>
  <c r="BE32" i="4" s="1"/>
  <c r="BA33" i="4"/>
  <c r="BA34" i="4"/>
  <c r="BE34" i="4" s="1"/>
  <c r="BA35" i="4"/>
  <c r="BA36" i="4"/>
  <c r="BE36" i="4" s="1"/>
  <c r="BA37" i="4"/>
  <c r="BA38" i="4"/>
  <c r="BD38" i="4" s="1"/>
  <c r="BA39" i="4"/>
  <c r="BE39" i="4" s="1"/>
  <c r="BA40" i="4"/>
  <c r="BD40" i="4" s="1"/>
  <c r="BA41" i="4"/>
  <c r="BA42" i="4"/>
  <c r="BC42" i="4" s="1"/>
  <c r="BA43" i="4"/>
  <c r="BD43" i="4" s="1"/>
  <c r="BA44" i="4"/>
  <c r="BE44" i="4" s="1"/>
  <c r="BA45" i="4"/>
  <c r="BA46" i="4"/>
  <c r="BA47" i="4"/>
  <c r="BA48" i="4"/>
  <c r="BC48" i="4" s="1"/>
  <c r="BA49" i="4"/>
  <c r="BA50" i="4"/>
  <c r="BA51" i="4"/>
  <c r="BA52" i="4"/>
  <c r="BE52" i="4" s="1"/>
  <c r="BA53" i="4"/>
  <c r="BA54" i="4"/>
  <c r="BD54" i="4" s="1"/>
  <c r="BA55" i="4"/>
  <c r="BE55" i="4" s="1"/>
  <c r="BA56" i="4"/>
  <c r="BD56" i="4" s="1"/>
  <c r="BA57" i="4"/>
  <c r="BA58" i="4"/>
  <c r="BD58" i="4" s="1"/>
  <c r="BA59" i="4"/>
  <c r="BD59" i="4" s="1"/>
  <c r="BA60" i="4"/>
  <c r="BE60" i="4" s="1"/>
  <c r="BA61" i="4"/>
  <c r="BA62" i="4"/>
  <c r="BA63" i="4"/>
  <c r="BA64" i="4"/>
  <c r="BE64" i="4" s="1"/>
  <c r="BA65" i="4"/>
  <c r="BA66" i="4"/>
  <c r="BA67" i="4"/>
  <c r="BA68" i="4"/>
  <c r="BD68" i="4" s="1"/>
  <c r="BA69" i="4"/>
  <c r="BA70" i="4"/>
  <c r="BD70" i="4" s="1"/>
  <c r="BA71" i="4"/>
  <c r="BF71" i="4" s="1"/>
  <c r="BA72" i="4"/>
  <c r="BD72" i="4" s="1"/>
  <c r="BA73" i="4"/>
  <c r="BA74" i="4"/>
  <c r="BC74" i="4" s="1"/>
  <c r="BA75" i="4"/>
  <c r="BD75" i="4" s="1"/>
  <c r="BA76" i="4"/>
  <c r="BD76" i="4" s="1"/>
  <c r="BA77" i="4"/>
  <c r="BA78" i="4"/>
  <c r="BA79" i="4"/>
  <c r="BA80" i="4"/>
  <c r="BE80" i="4" s="1"/>
  <c r="BA81" i="4"/>
  <c r="BA82" i="4"/>
  <c r="BD82" i="4" s="1"/>
  <c r="BB83" i="19" s="1"/>
  <c r="BA83" i="4"/>
  <c r="BA84" i="4"/>
  <c r="BD84" i="4" s="1"/>
  <c r="BA85" i="4"/>
  <c r="BA86" i="4"/>
  <c r="BD86" i="4" s="1"/>
  <c r="BA87" i="4"/>
  <c r="BD87" i="4" s="1"/>
  <c r="BA88" i="4"/>
  <c r="BA89" i="4"/>
  <c r="BA90" i="4"/>
  <c r="BE90" i="4" s="1"/>
  <c r="BA91" i="4"/>
  <c r="BD91" i="4" s="1"/>
  <c r="BA92" i="4"/>
  <c r="BE92" i="4" s="1"/>
  <c r="BA93" i="4"/>
  <c r="BA94" i="4"/>
  <c r="BD94" i="4" s="1"/>
  <c r="BA95" i="4"/>
  <c r="BA96" i="4"/>
  <c r="BE96" i="4" s="1"/>
  <c r="BA97" i="4"/>
  <c r="BA98" i="4"/>
  <c r="BE98" i="4" s="1"/>
  <c r="BA99" i="4"/>
  <c r="BA100" i="4"/>
  <c r="BE100" i="4" s="1"/>
  <c r="BA101" i="4"/>
  <c r="BA102" i="4"/>
  <c r="BD102" i="4" s="1"/>
  <c r="BA103" i="4"/>
  <c r="BD103" i="4" s="1"/>
  <c r="BA104" i="4"/>
  <c r="BD104" i="4" s="1"/>
  <c r="BA105" i="4"/>
  <c r="BA106" i="4"/>
  <c r="BC106" i="4" s="1"/>
  <c r="BA107" i="4"/>
  <c r="BD107" i="4" s="1"/>
  <c r="BA108" i="4"/>
  <c r="BE108" i="4" s="1"/>
  <c r="BA109" i="4"/>
  <c r="BA110" i="4"/>
  <c r="BA111" i="4"/>
  <c r="BA112" i="4"/>
  <c r="BC112" i="4" s="1"/>
  <c r="BA113" i="4"/>
  <c r="BA114" i="4"/>
  <c r="BA115" i="4"/>
  <c r="BA116" i="4"/>
  <c r="BE116" i="4" s="1"/>
  <c r="BA117" i="4"/>
  <c r="BA118" i="4"/>
  <c r="BD118" i="4" s="1"/>
  <c r="BA119" i="4"/>
  <c r="BB119" i="4" s="1"/>
  <c r="BA120" i="4"/>
  <c r="BD120" i="4" s="1"/>
  <c r="BA121" i="4"/>
  <c r="BA122" i="4"/>
  <c r="BD122" i="4" s="1"/>
  <c r="BA123" i="4"/>
  <c r="BA124" i="4"/>
  <c r="BE124" i="4" s="1"/>
  <c r="BA125" i="4"/>
  <c r="BA126" i="4"/>
  <c r="BA127" i="4"/>
  <c r="BA128" i="4"/>
  <c r="BE128" i="4" s="1"/>
  <c r="BA129" i="4"/>
  <c r="BA130" i="4"/>
  <c r="BA131" i="4"/>
  <c r="BA132" i="4"/>
  <c r="BD132" i="4" s="1"/>
  <c r="BA133" i="4"/>
  <c r="BA134" i="4"/>
  <c r="BD134" i="4" s="1"/>
  <c r="BA135" i="4"/>
  <c r="BB135" i="4" s="1"/>
  <c r="BA136" i="4"/>
  <c r="BD136" i="4" s="1"/>
  <c r="BA137" i="4"/>
  <c r="BA138" i="4"/>
  <c r="BA139" i="4"/>
  <c r="BA140" i="4"/>
  <c r="BD140" i="4" s="1"/>
  <c r="BA141" i="4"/>
  <c r="BA142" i="4"/>
  <c r="BA143" i="4"/>
  <c r="BA144" i="4"/>
  <c r="BE144" i="4" s="1"/>
  <c r="BA145" i="4"/>
  <c r="BA146" i="4"/>
  <c r="BD146" i="4" s="1"/>
  <c r="BA147" i="4"/>
  <c r="BA148" i="4"/>
  <c r="BD148" i="4" s="1"/>
  <c r="BA149" i="4"/>
  <c r="BA150" i="4"/>
  <c r="BD150" i="4" s="1"/>
  <c r="BA151" i="4"/>
  <c r="BB151" i="4" s="1"/>
  <c r="BA152" i="4"/>
  <c r="BB152" i="4" s="1"/>
  <c r="BA153" i="4"/>
  <c r="BA154" i="4"/>
  <c r="BE154" i="4" s="1"/>
  <c r="BA155" i="4"/>
  <c r="BA156" i="4"/>
  <c r="BE156" i="4" s="1"/>
  <c r="BA157" i="4"/>
  <c r="BA158" i="4"/>
  <c r="BD158" i="4" s="1"/>
  <c r="BA159" i="4"/>
  <c r="BA160" i="4"/>
  <c r="BE160" i="4" s="1"/>
  <c r="BA161" i="4"/>
  <c r="BA162" i="4"/>
  <c r="BE162" i="4" s="1"/>
  <c r="BA163" i="4"/>
  <c r="BA164" i="4"/>
  <c r="BE164" i="4" s="1"/>
  <c r="BA165" i="4"/>
  <c r="BA166" i="4"/>
  <c r="BD166" i="4" s="1"/>
  <c r="BA167" i="4"/>
  <c r="BD167" i="4" s="1"/>
  <c r="BA168" i="4"/>
  <c r="BD168" i="4" s="1"/>
  <c r="BA169" i="4"/>
  <c r="BA170" i="4"/>
  <c r="BC170" i="4" s="1"/>
  <c r="BA171" i="4"/>
  <c r="BD171" i="4" s="1"/>
  <c r="BA172" i="4"/>
  <c r="BE172" i="4" s="1"/>
  <c r="BA173" i="4"/>
  <c r="BA174" i="4"/>
  <c r="BB174" i="4" s="1"/>
  <c r="BA175" i="4"/>
  <c r="BA176" i="4"/>
  <c r="BC176" i="4" s="1"/>
  <c r="BA177" i="4"/>
  <c r="BA178" i="4"/>
  <c r="BA179" i="4"/>
  <c r="BA180" i="4"/>
  <c r="BE180" i="4" s="1"/>
  <c r="BA181" i="4"/>
  <c r="BA182" i="4"/>
  <c r="BD182" i="4" s="1"/>
  <c r="BA183" i="4"/>
  <c r="BE183" i="4" s="1"/>
  <c r="BA184" i="4"/>
  <c r="BD184" i="4" s="1"/>
  <c r="BA185" i="4"/>
  <c r="BA186" i="4"/>
  <c r="BD186" i="4" s="1"/>
  <c r="BA187" i="4"/>
  <c r="BD187" i="4" s="1"/>
  <c r="BA188" i="4"/>
  <c r="BE188" i="4" s="1"/>
  <c r="BA189" i="4"/>
  <c r="BA190" i="4"/>
  <c r="BA191" i="4"/>
  <c r="BA192" i="4"/>
  <c r="BE192" i="4" s="1"/>
  <c r="BA193" i="4"/>
  <c r="BA194" i="4"/>
  <c r="BA195" i="4"/>
  <c r="BA196" i="4"/>
  <c r="BD196" i="4" s="1"/>
  <c r="BA197" i="4"/>
  <c r="BA198" i="4"/>
  <c r="BD198" i="4" s="1"/>
  <c r="BA199" i="4"/>
  <c r="BA200" i="4"/>
  <c r="BD200" i="4" s="1"/>
  <c r="BA201" i="4"/>
  <c r="BA202" i="4"/>
  <c r="BB202" i="4" s="1"/>
  <c r="BA203" i="4"/>
  <c r="BD203" i="4" s="1"/>
  <c r="BA204" i="4"/>
  <c r="BD204" i="4" s="1"/>
  <c r="BA205" i="4"/>
  <c r="BA206" i="4"/>
  <c r="BB206" i="4" s="1"/>
  <c r="BA207" i="4"/>
  <c r="BA208" i="4"/>
  <c r="BE208" i="4" s="1"/>
  <c r="BA209" i="4"/>
  <c r="BB209" i="4" s="1"/>
  <c r="BA210" i="4"/>
  <c r="BD210" i="4" s="1"/>
  <c r="BA211" i="4"/>
  <c r="BA212" i="4"/>
  <c r="BD212" i="4" s="1"/>
  <c r="BA213" i="4"/>
  <c r="BA214" i="4"/>
  <c r="BD214" i="4" s="1"/>
  <c r="BA215" i="4"/>
  <c r="BD215" i="4" s="1"/>
  <c r="BA216" i="4"/>
  <c r="BA217" i="4"/>
  <c r="BA218" i="4"/>
  <c r="BA219" i="4"/>
  <c r="BD219" i="4" s="1"/>
  <c r="BA220" i="4"/>
  <c r="BE220" i="4" s="1"/>
  <c r="BA221" i="4"/>
  <c r="BA222" i="4"/>
  <c r="BD222" i="4" s="1"/>
  <c r="BA223" i="4"/>
  <c r="BA224" i="4"/>
  <c r="BE224" i="4" s="1"/>
  <c r="BA225" i="4"/>
  <c r="BA226" i="4"/>
  <c r="BE226" i="4" s="1"/>
  <c r="BA227" i="4"/>
  <c r="BA228" i="4"/>
  <c r="BE228" i="4" s="1"/>
  <c r="BA229" i="4"/>
  <c r="BA230" i="4"/>
  <c r="BD230" i="4" s="1"/>
  <c r="BA231" i="4"/>
  <c r="BD231" i="4" s="1"/>
  <c r="BA232" i="4"/>
  <c r="BD232" i="4" s="1"/>
  <c r="BA233" i="4"/>
  <c r="BB233" i="4" s="1"/>
  <c r="BA234" i="4"/>
  <c r="BD234" i="4" s="1"/>
  <c r="BA235" i="4"/>
  <c r="BD235" i="4" s="1"/>
  <c r="BA236" i="4"/>
  <c r="BE236" i="4" s="1"/>
  <c r="BA237" i="4"/>
  <c r="BA238" i="4"/>
  <c r="BA239" i="4"/>
  <c r="BA240" i="4"/>
  <c r="BC240" i="4" s="1"/>
  <c r="BA241" i="4"/>
  <c r="BB241" i="4" s="1"/>
  <c r="BA242" i="4"/>
  <c r="BA243" i="4"/>
  <c r="BA244" i="4"/>
  <c r="BE244" i="4" s="1"/>
  <c r="BA245" i="4"/>
  <c r="BA246" i="4"/>
  <c r="BD246" i="4" s="1"/>
  <c r="BA247" i="4"/>
  <c r="BE247" i="4" s="1"/>
  <c r="BA248" i="4"/>
  <c r="BD248" i="4" s="1"/>
  <c r="BA249" i="4"/>
  <c r="BB249" i="4" s="1"/>
  <c r="BA250" i="4"/>
  <c r="BA251" i="4"/>
  <c r="BD251" i="4" s="1"/>
  <c r="BA252" i="4"/>
  <c r="BE252" i="4" s="1"/>
  <c r="BA253" i="4"/>
  <c r="BA254" i="4"/>
  <c r="BA255" i="4"/>
  <c r="BA256" i="4"/>
  <c r="BE256" i="4" s="1"/>
  <c r="BA257" i="4"/>
  <c r="BB257" i="4" s="1"/>
  <c r="BA258" i="4"/>
  <c r="BA259" i="4"/>
  <c r="BA260" i="4"/>
  <c r="BD260" i="4" s="1"/>
  <c r="BA261" i="4"/>
  <c r="BA262" i="4"/>
  <c r="BD262" i="4" s="1"/>
  <c r="BA263" i="4"/>
  <c r="BA264" i="4"/>
  <c r="BD264" i="4" s="1"/>
  <c r="BA265" i="4"/>
  <c r="BA266" i="4"/>
  <c r="BA267" i="4"/>
  <c r="BD267" i="4" s="1"/>
  <c r="BA268" i="4"/>
  <c r="BD268" i="4" s="1"/>
  <c r="BA269" i="4"/>
  <c r="BB269" i="4" s="1"/>
  <c r="BA270" i="4"/>
  <c r="BD270" i="4" s="1"/>
  <c r="BA271" i="4"/>
  <c r="BA272" i="4"/>
  <c r="BE272" i="4" s="1"/>
  <c r="BA273" i="4"/>
  <c r="BB273" i="4" s="1"/>
  <c r="BA274" i="4"/>
  <c r="BD274" i="4" s="1"/>
  <c r="BA275" i="4"/>
  <c r="BA276" i="4"/>
  <c r="BD276" i="4" s="1"/>
  <c r="BA277" i="4"/>
  <c r="BA278" i="4"/>
  <c r="BD278" i="4" s="1"/>
  <c r="BA279" i="4"/>
  <c r="BD279" i="4" s="1"/>
  <c r="BA280" i="4"/>
  <c r="BA281" i="4"/>
  <c r="BA282" i="4"/>
  <c r="BA283" i="4"/>
  <c r="BD283" i="4" s="1"/>
  <c r="BA284" i="4"/>
  <c r="BE284" i="4" s="1"/>
  <c r="BA285" i="4"/>
  <c r="BA286" i="4"/>
  <c r="BA287" i="4"/>
  <c r="BA288" i="4"/>
  <c r="BE288" i="4" s="1"/>
  <c r="BA289" i="4"/>
  <c r="BA290" i="4"/>
  <c r="BE290" i="4" s="1"/>
  <c r="BA291" i="4"/>
  <c r="BA292" i="4"/>
  <c r="BE292" i="4" s="1"/>
  <c r="BA293" i="4"/>
  <c r="BB293" i="4" s="1"/>
  <c r="BA294" i="4"/>
  <c r="BD294" i="4" s="1"/>
  <c r="BA295" i="4"/>
  <c r="BD295" i="4" s="1"/>
  <c r="BA296" i="4"/>
  <c r="BD296" i="4" s="1"/>
  <c r="BA297" i="4"/>
  <c r="BB297" i="4" s="1"/>
  <c r="BA298" i="4"/>
  <c r="BC298" i="4" s="1"/>
  <c r="BA299" i="4"/>
  <c r="BD299" i="4" s="1"/>
  <c r="BA300" i="4"/>
  <c r="BE300" i="4" s="1"/>
  <c r="BA301" i="4"/>
  <c r="BA302" i="4"/>
  <c r="BB302" i="4" s="1"/>
  <c r="BA303" i="4"/>
  <c r="BA304" i="4"/>
  <c r="BC304" i="4" s="1"/>
  <c r="BA305" i="4"/>
  <c r="BB305" i="4" s="1"/>
  <c r="BA306" i="4"/>
  <c r="BA307" i="4"/>
  <c r="BA308" i="4"/>
  <c r="BE308" i="4" s="1"/>
  <c r="BA309" i="4"/>
  <c r="BA310" i="4"/>
  <c r="BD310" i="4" s="1"/>
  <c r="BA311" i="4"/>
  <c r="BE311" i="4" s="1"/>
  <c r="BA312" i="4"/>
  <c r="BD312" i="4" s="1"/>
  <c r="BA313" i="4"/>
  <c r="BB313" i="4" s="1"/>
  <c r="BA314" i="4"/>
  <c r="BD314" i="4" s="1"/>
  <c r="BA315" i="4"/>
  <c r="BD315" i="4" s="1"/>
  <c r="BA316" i="4"/>
  <c r="BE316" i="4" s="1"/>
  <c r="BA317" i="4"/>
  <c r="BA318" i="4"/>
  <c r="BA319" i="4"/>
  <c r="BA320" i="4"/>
  <c r="BE320" i="4" s="1"/>
  <c r="BA321" i="4"/>
  <c r="BA322" i="4"/>
  <c r="BA323" i="4"/>
  <c r="BA324" i="4"/>
  <c r="BE324" i="4" s="1"/>
  <c r="BA325" i="4"/>
  <c r="BB325" i="4" s="1"/>
  <c r="BA326" i="4"/>
  <c r="BD326" i="4" s="1"/>
  <c r="BA327" i="4"/>
  <c r="BA328" i="4"/>
  <c r="BD328" i="4" s="1"/>
  <c r="BA329" i="4"/>
  <c r="BA330" i="4"/>
  <c r="BB330" i="4" s="1"/>
  <c r="BA331" i="4"/>
  <c r="BD331" i="4" s="1"/>
  <c r="BA332" i="4"/>
  <c r="BC332" i="4" s="1"/>
  <c r="BA333" i="4"/>
  <c r="BB333" i="4" s="1"/>
  <c r="BA334" i="4"/>
  <c r="BB334" i="4" s="1"/>
  <c r="BA335" i="4"/>
  <c r="BA336" i="4"/>
  <c r="BE336" i="4" s="1"/>
  <c r="BA337" i="4"/>
  <c r="BA338" i="4"/>
  <c r="BD338" i="4" s="1"/>
  <c r="BA339" i="4"/>
  <c r="BA340" i="4"/>
  <c r="BD340" i="4" s="1"/>
  <c r="BA341" i="4"/>
  <c r="BB341" i="4" s="1"/>
  <c r="BA342" i="4"/>
  <c r="BD342" i="4" s="1"/>
  <c r="BA343" i="4"/>
  <c r="BD343" i="4" s="1"/>
  <c r="BA344" i="4"/>
  <c r="BA345" i="4"/>
  <c r="BA346" i="4"/>
  <c r="BE346" i="4" s="1"/>
  <c r="BA347" i="4"/>
  <c r="BD347" i="4" s="1"/>
  <c r="BA348" i="4"/>
  <c r="BE348" i="4" s="1"/>
  <c r="BA349" i="4"/>
  <c r="BB349" i="4" s="1"/>
  <c r="BA350" i="4"/>
  <c r="BD350" i="4" s="1"/>
  <c r="BA351" i="4"/>
  <c r="BA352" i="4"/>
  <c r="BE352" i="4" s="1"/>
  <c r="BA353" i="4"/>
  <c r="BA354" i="4"/>
  <c r="BE354" i="4" s="1"/>
  <c r="BA355" i="4"/>
  <c r="BA356" i="4"/>
  <c r="BE356" i="4" s="1"/>
  <c r="BA357" i="4"/>
  <c r="BB357" i="4" s="1"/>
  <c r="BA358" i="4"/>
  <c r="BD358" i="4" s="1"/>
  <c r="BA359" i="4"/>
  <c r="BD359" i="4" s="1"/>
  <c r="BA360" i="4"/>
  <c r="BA361" i="4"/>
  <c r="BB361" i="4" s="1"/>
  <c r="AZ361" i="19" s="1"/>
  <c r="BA362" i="4"/>
  <c r="BC362" i="4" s="1"/>
  <c r="BA363" i="4"/>
  <c r="BD363" i="4" s="1"/>
  <c r="BA364" i="4"/>
  <c r="BE364" i="4" s="1"/>
  <c r="BA365" i="4"/>
  <c r="BA366" i="4"/>
  <c r="BB366" i="4" s="1"/>
  <c r="BA367" i="4"/>
  <c r="BA368" i="4"/>
  <c r="BC368" i="4" s="1"/>
  <c r="BA369" i="4"/>
  <c r="BB369" i="4" s="1"/>
  <c r="AZ369" i="19" s="1"/>
  <c r="BA370" i="4"/>
  <c r="BA371" i="4"/>
  <c r="BA372" i="4"/>
  <c r="BE372" i="4" s="1"/>
  <c r="BA373" i="4"/>
  <c r="BA374" i="4"/>
  <c r="BD374" i="4" s="1"/>
  <c r="BA375" i="4"/>
  <c r="BE375" i="4" s="1"/>
  <c r="BA376" i="4"/>
  <c r="BD376" i="4" s="1"/>
  <c r="BA377" i="4"/>
  <c r="BB377" i="4" s="1"/>
  <c r="BA378" i="4"/>
  <c r="BD378" i="4" s="1"/>
  <c r="BA379" i="4"/>
  <c r="BD379" i="4" s="1"/>
  <c r="BA380" i="4"/>
  <c r="BE380" i="4" s="1"/>
  <c r="BA381" i="4"/>
  <c r="BA382" i="4"/>
  <c r="BA383" i="4"/>
  <c r="BA384" i="4"/>
  <c r="BE384" i="4" s="1"/>
  <c r="BA385" i="4"/>
  <c r="BA386" i="4"/>
  <c r="BC386" i="4" s="1"/>
  <c r="BA387" i="4"/>
  <c r="BA388" i="4"/>
  <c r="BE388" i="4" s="1"/>
  <c r="BA389" i="4"/>
  <c r="BB389" i="4" s="1"/>
  <c r="BA390" i="4"/>
  <c r="BD390" i="4" s="1"/>
  <c r="BA391" i="4"/>
  <c r="BA392" i="4"/>
  <c r="BD392" i="4" s="1"/>
  <c r="BA393" i="4"/>
  <c r="BB393" i="4" s="1"/>
  <c r="BA394" i="4"/>
  <c r="BB394" i="4" s="1"/>
  <c r="BA395" i="4"/>
  <c r="BD395" i="4" s="1"/>
  <c r="BA396" i="4"/>
  <c r="BC396" i="4" s="1"/>
  <c r="BA397" i="4"/>
  <c r="BA398" i="4"/>
  <c r="BB398" i="4" s="1"/>
  <c r="BA399" i="4"/>
  <c r="BA400" i="4"/>
  <c r="BE400" i="4" s="1"/>
  <c r="BA401" i="4"/>
  <c r="BB401" i="4" s="1"/>
  <c r="BA402" i="4"/>
  <c r="BD402" i="4" s="1"/>
  <c r="BA403" i="4"/>
  <c r="BA404" i="4"/>
  <c r="BC404" i="4" s="1"/>
  <c r="BA405" i="4"/>
  <c r="BB405" i="4" s="1"/>
  <c r="BA406" i="4"/>
  <c r="BD406" i="4" s="1"/>
  <c r="BA407" i="4"/>
  <c r="BD407" i="4" s="1"/>
  <c r="BA408" i="4"/>
  <c r="BA409" i="4"/>
  <c r="BA2" i="4"/>
  <c r="AX178" i="4"/>
  <c r="AX194" i="4"/>
  <c r="AX210" i="4"/>
  <c r="AX226" i="4"/>
  <c r="AX242" i="4"/>
  <c r="AX258" i="4"/>
  <c r="AX274" i="4"/>
  <c r="AX290" i="4"/>
  <c r="AX306" i="4"/>
  <c r="AX322" i="4"/>
  <c r="AX338" i="4"/>
  <c r="AX354" i="4"/>
  <c r="AX370" i="4"/>
  <c r="AX386" i="4"/>
  <c r="AX402" i="4"/>
  <c r="AW3" i="4"/>
  <c r="AX3" i="4" s="1"/>
  <c r="AW4" i="4"/>
  <c r="AX4" i="4" s="1"/>
  <c r="AW5" i="4"/>
  <c r="AX5" i="4" s="1"/>
  <c r="AW6" i="4"/>
  <c r="AW7" i="4"/>
  <c r="AX7" i="4" s="1"/>
  <c r="AW8" i="4"/>
  <c r="AX8" i="4" s="1"/>
  <c r="AW9" i="4"/>
  <c r="AX9" i="4" s="1"/>
  <c r="AW10" i="4"/>
  <c r="AW11" i="4"/>
  <c r="AX11" i="4" s="1"/>
  <c r="AW12" i="4"/>
  <c r="AX12" i="4" s="1"/>
  <c r="AW13" i="4"/>
  <c r="AX13" i="4" s="1"/>
  <c r="AW14" i="4"/>
  <c r="AW15" i="4"/>
  <c r="AX15" i="4" s="1"/>
  <c r="AW16" i="4"/>
  <c r="AX16" i="4" s="1"/>
  <c r="AW17" i="4"/>
  <c r="AX17" i="4" s="1"/>
  <c r="AW18" i="4"/>
  <c r="AW19" i="4"/>
  <c r="AX19" i="4" s="1"/>
  <c r="AW20" i="4"/>
  <c r="AX20" i="4" s="1"/>
  <c r="AW21" i="4"/>
  <c r="AX21" i="4" s="1"/>
  <c r="AW22" i="4"/>
  <c r="AW23" i="4"/>
  <c r="AX23" i="4" s="1"/>
  <c r="AW24" i="4"/>
  <c r="AX24" i="4" s="1"/>
  <c r="AW25" i="4"/>
  <c r="AX25" i="4" s="1"/>
  <c r="AW26" i="4"/>
  <c r="AW27" i="4"/>
  <c r="AX27" i="4" s="1"/>
  <c r="AW28" i="4"/>
  <c r="AX28" i="4" s="1"/>
  <c r="AW29" i="4"/>
  <c r="AX29" i="4" s="1"/>
  <c r="AW30" i="4"/>
  <c r="AW31" i="4"/>
  <c r="AX31" i="4" s="1"/>
  <c r="AW32" i="4"/>
  <c r="AX32" i="4" s="1"/>
  <c r="AW33" i="4"/>
  <c r="AX33" i="4" s="1"/>
  <c r="AW34" i="4"/>
  <c r="AW35" i="4"/>
  <c r="AX35" i="4" s="1"/>
  <c r="AW36" i="4"/>
  <c r="AX36" i="4" s="1"/>
  <c r="AW37" i="4"/>
  <c r="AX37" i="4" s="1"/>
  <c r="AW38" i="4"/>
  <c r="AW39" i="4"/>
  <c r="AX39" i="4" s="1"/>
  <c r="AW40" i="4"/>
  <c r="AX40" i="4" s="1"/>
  <c r="AW41" i="4"/>
  <c r="AX41" i="4" s="1"/>
  <c r="AW42" i="4"/>
  <c r="AW43" i="4"/>
  <c r="AX43" i="4" s="1"/>
  <c r="AW44" i="4"/>
  <c r="AX44" i="4" s="1"/>
  <c r="AW45" i="4"/>
  <c r="AX45" i="4" s="1"/>
  <c r="AW46" i="4"/>
  <c r="AW47" i="4"/>
  <c r="AX47" i="4" s="1"/>
  <c r="AW48" i="4"/>
  <c r="AX48" i="4" s="1"/>
  <c r="AW49" i="4"/>
  <c r="AX49" i="4" s="1"/>
  <c r="AW50" i="4"/>
  <c r="AW51" i="4"/>
  <c r="AX51" i="4" s="1"/>
  <c r="AW52" i="4"/>
  <c r="AX52" i="4" s="1"/>
  <c r="AW53" i="4"/>
  <c r="AX53" i="4" s="1"/>
  <c r="AW54" i="4"/>
  <c r="AW55" i="4"/>
  <c r="AX55" i="4" s="1"/>
  <c r="AW56" i="4"/>
  <c r="AX56" i="4" s="1"/>
  <c r="AW57" i="4"/>
  <c r="AX57" i="4" s="1"/>
  <c r="AW58" i="4"/>
  <c r="AW59" i="4"/>
  <c r="AX59" i="4" s="1"/>
  <c r="AW60" i="4"/>
  <c r="AX60" i="4" s="1"/>
  <c r="AW61" i="4"/>
  <c r="AX61" i="4" s="1"/>
  <c r="AW62" i="4"/>
  <c r="AW63" i="4"/>
  <c r="AX63" i="4" s="1"/>
  <c r="AW64" i="4"/>
  <c r="AX64" i="4" s="1"/>
  <c r="AW65" i="4"/>
  <c r="AX65" i="4" s="1"/>
  <c r="AW66" i="4"/>
  <c r="AW67" i="4"/>
  <c r="AX67" i="4" s="1"/>
  <c r="AW68" i="4"/>
  <c r="AX68" i="4" s="1"/>
  <c r="AW69" i="4"/>
  <c r="AX69" i="4" s="1"/>
  <c r="AW70" i="4"/>
  <c r="AW71" i="4"/>
  <c r="AX71" i="4" s="1"/>
  <c r="AW72" i="4"/>
  <c r="AX72" i="4" s="1"/>
  <c r="AW73" i="4"/>
  <c r="AX73" i="4" s="1"/>
  <c r="AW74" i="4"/>
  <c r="AW75" i="4"/>
  <c r="AX75" i="4" s="1"/>
  <c r="AW76" i="4"/>
  <c r="AX76" i="4" s="1"/>
  <c r="AW77" i="4"/>
  <c r="AX77" i="4" s="1"/>
  <c r="AW78" i="4"/>
  <c r="AW79" i="4"/>
  <c r="AX79" i="4" s="1"/>
  <c r="AW80" i="4"/>
  <c r="AX80" i="4" s="1"/>
  <c r="AW81" i="4"/>
  <c r="AX81" i="4" s="1"/>
  <c r="AW82" i="4"/>
  <c r="AW83" i="4"/>
  <c r="AX83" i="4" s="1"/>
  <c r="AW84" i="4"/>
  <c r="AX84" i="4" s="1"/>
  <c r="AW85" i="4"/>
  <c r="AX85" i="4" s="1"/>
  <c r="AW86" i="4"/>
  <c r="AW87" i="4"/>
  <c r="AX87" i="4" s="1"/>
  <c r="AW88" i="4"/>
  <c r="AX88" i="4" s="1"/>
  <c r="AW89" i="4"/>
  <c r="AX89" i="4" s="1"/>
  <c r="AW90" i="4"/>
  <c r="AW91" i="4"/>
  <c r="AX91" i="4" s="1"/>
  <c r="AW92" i="4"/>
  <c r="AX92" i="4" s="1"/>
  <c r="AW93" i="4"/>
  <c r="AX93" i="4" s="1"/>
  <c r="AW94" i="4"/>
  <c r="AW95" i="4"/>
  <c r="AX95" i="4" s="1"/>
  <c r="AW96" i="4"/>
  <c r="AX96" i="4" s="1"/>
  <c r="AW97" i="4"/>
  <c r="AX97" i="4" s="1"/>
  <c r="AW98" i="4"/>
  <c r="AW99" i="4"/>
  <c r="AX99" i="4" s="1"/>
  <c r="AW100" i="4"/>
  <c r="AX100" i="4" s="1"/>
  <c r="AW101" i="4"/>
  <c r="AX101" i="4" s="1"/>
  <c r="AW102" i="4"/>
  <c r="AW103" i="4"/>
  <c r="AX103" i="4" s="1"/>
  <c r="AW104" i="4"/>
  <c r="AX104" i="4" s="1"/>
  <c r="AW105" i="4"/>
  <c r="AX105" i="4" s="1"/>
  <c r="AW106" i="4"/>
  <c r="AW107" i="4"/>
  <c r="AX107" i="4" s="1"/>
  <c r="AW108" i="4"/>
  <c r="AX108" i="4" s="1"/>
  <c r="AW109" i="4"/>
  <c r="AX109" i="4" s="1"/>
  <c r="AW110" i="4"/>
  <c r="AW111" i="4"/>
  <c r="AX111" i="4" s="1"/>
  <c r="AW112" i="4"/>
  <c r="AX112" i="4" s="1"/>
  <c r="AW113" i="4"/>
  <c r="AX113" i="4" s="1"/>
  <c r="AW114" i="4"/>
  <c r="AW115" i="4"/>
  <c r="AX115" i="4" s="1"/>
  <c r="AW116" i="4"/>
  <c r="AX116" i="4" s="1"/>
  <c r="AW117" i="4"/>
  <c r="AX117" i="4" s="1"/>
  <c r="AW118" i="4"/>
  <c r="AW119" i="4"/>
  <c r="AX119" i="4" s="1"/>
  <c r="AW120" i="4"/>
  <c r="AX120" i="4" s="1"/>
  <c r="AW121" i="4"/>
  <c r="AX121" i="4" s="1"/>
  <c r="AW122" i="4"/>
  <c r="AW123" i="4"/>
  <c r="AX123" i="4" s="1"/>
  <c r="AW124" i="4"/>
  <c r="AX124" i="4" s="1"/>
  <c r="AW125" i="4"/>
  <c r="AX125" i="4" s="1"/>
  <c r="AW126" i="4"/>
  <c r="AW127" i="4"/>
  <c r="AX127" i="4" s="1"/>
  <c r="AW128" i="4"/>
  <c r="AX128" i="4" s="1"/>
  <c r="AW129" i="4"/>
  <c r="AX129" i="4" s="1"/>
  <c r="AW130" i="4"/>
  <c r="AW131" i="4"/>
  <c r="AX131" i="4" s="1"/>
  <c r="AW132" i="4"/>
  <c r="AX132" i="4" s="1"/>
  <c r="AW133" i="4"/>
  <c r="AX133" i="4" s="1"/>
  <c r="AW134" i="4"/>
  <c r="AW135" i="4"/>
  <c r="AX135" i="4" s="1"/>
  <c r="AW136" i="4"/>
  <c r="AX136" i="4" s="1"/>
  <c r="AW137" i="4"/>
  <c r="AX137" i="4" s="1"/>
  <c r="AW138" i="4"/>
  <c r="AW139" i="4"/>
  <c r="AX139" i="4" s="1"/>
  <c r="AW140" i="4"/>
  <c r="AX140" i="4" s="1"/>
  <c r="AW141" i="4"/>
  <c r="AX141" i="4" s="1"/>
  <c r="AW142" i="4"/>
  <c r="AW143" i="4"/>
  <c r="AX143" i="4" s="1"/>
  <c r="AW144" i="4"/>
  <c r="AX144" i="4" s="1"/>
  <c r="AW145" i="4"/>
  <c r="AX145" i="4" s="1"/>
  <c r="AW146" i="4"/>
  <c r="AW147" i="4"/>
  <c r="AX147" i="4" s="1"/>
  <c r="AW148" i="4"/>
  <c r="AX148" i="4" s="1"/>
  <c r="AW149" i="4"/>
  <c r="AX149" i="4" s="1"/>
  <c r="AW150" i="4"/>
  <c r="AW151" i="4"/>
  <c r="AX151" i="4" s="1"/>
  <c r="AW152" i="4"/>
  <c r="AX152" i="4" s="1"/>
  <c r="AW153" i="4"/>
  <c r="AX153" i="4" s="1"/>
  <c r="AW154" i="4"/>
  <c r="AW155" i="4"/>
  <c r="AX155" i="4" s="1"/>
  <c r="AW156" i="4"/>
  <c r="AX156" i="4" s="1"/>
  <c r="AW157" i="4"/>
  <c r="AX157" i="4" s="1"/>
  <c r="AW158" i="4"/>
  <c r="AW159" i="4"/>
  <c r="AX159" i="4" s="1"/>
  <c r="AW160" i="4"/>
  <c r="AX160" i="4" s="1"/>
  <c r="AW161" i="4"/>
  <c r="AX161" i="4" s="1"/>
  <c r="AW162" i="4"/>
  <c r="AW163" i="4"/>
  <c r="AX163" i="4" s="1"/>
  <c r="AW164" i="4"/>
  <c r="AX164" i="4" s="1"/>
  <c r="AW165" i="4"/>
  <c r="AX165" i="4" s="1"/>
  <c r="AW166" i="4"/>
  <c r="AW167" i="4"/>
  <c r="AX167" i="4" s="1"/>
  <c r="AW168" i="4"/>
  <c r="AX168" i="4" s="1"/>
  <c r="AW169" i="4"/>
  <c r="AX169" i="4" s="1"/>
  <c r="AW170" i="4"/>
  <c r="AW171" i="4"/>
  <c r="AX171" i="4" s="1"/>
  <c r="AW172" i="4"/>
  <c r="AX172" i="4" s="1"/>
  <c r="AW173" i="4"/>
  <c r="AX173" i="4" s="1"/>
  <c r="AW174" i="4"/>
  <c r="AX174" i="4" s="1"/>
  <c r="AW175" i="4"/>
  <c r="AX175" i="4" s="1"/>
  <c r="AW176" i="4"/>
  <c r="AX176" i="4" s="1"/>
  <c r="AW177" i="4"/>
  <c r="AX177" i="4" s="1"/>
  <c r="AW178" i="4"/>
  <c r="AW179" i="4"/>
  <c r="AX179" i="4" s="1"/>
  <c r="AW180" i="4"/>
  <c r="AX180" i="4" s="1"/>
  <c r="AW181" i="4"/>
  <c r="AX181" i="4" s="1"/>
  <c r="AW182" i="4"/>
  <c r="AX182" i="4" s="1"/>
  <c r="AW183" i="4"/>
  <c r="AX183" i="4" s="1"/>
  <c r="AW184" i="4"/>
  <c r="AX184" i="4" s="1"/>
  <c r="AW185" i="4"/>
  <c r="AX185" i="4" s="1"/>
  <c r="AW186" i="4"/>
  <c r="AX186" i="4" s="1"/>
  <c r="AW187" i="4"/>
  <c r="AX187" i="4" s="1"/>
  <c r="AW188" i="4"/>
  <c r="AX188" i="4" s="1"/>
  <c r="AW189" i="4"/>
  <c r="AX189" i="4" s="1"/>
  <c r="AW190" i="4"/>
  <c r="AX190" i="4" s="1"/>
  <c r="AW191" i="4"/>
  <c r="AX191" i="4" s="1"/>
  <c r="AW192" i="4"/>
  <c r="AX192" i="4" s="1"/>
  <c r="AW193" i="4"/>
  <c r="AX193" i="4" s="1"/>
  <c r="AW194" i="4"/>
  <c r="AW195" i="4"/>
  <c r="AX195" i="4" s="1"/>
  <c r="AW196" i="4"/>
  <c r="AX196" i="4" s="1"/>
  <c r="AW197" i="4"/>
  <c r="AX197" i="4" s="1"/>
  <c r="AW198" i="4"/>
  <c r="AX198" i="4" s="1"/>
  <c r="AW199" i="4"/>
  <c r="AX199" i="4" s="1"/>
  <c r="AW200" i="4"/>
  <c r="AX200" i="4" s="1"/>
  <c r="AW201" i="4"/>
  <c r="AX201" i="4" s="1"/>
  <c r="AW202" i="4"/>
  <c r="AX202" i="4" s="1"/>
  <c r="AW203" i="4"/>
  <c r="AX203" i="4" s="1"/>
  <c r="AW204" i="4"/>
  <c r="AX204" i="4" s="1"/>
  <c r="AW205" i="4"/>
  <c r="AX205" i="4" s="1"/>
  <c r="AW206" i="4"/>
  <c r="AX206" i="4" s="1"/>
  <c r="AW207" i="4"/>
  <c r="AX207" i="4" s="1"/>
  <c r="AW208" i="4"/>
  <c r="AX208" i="4" s="1"/>
  <c r="AW209" i="4"/>
  <c r="AX209" i="4" s="1"/>
  <c r="AW210" i="4"/>
  <c r="AW211" i="4"/>
  <c r="AX211" i="4" s="1"/>
  <c r="AW212" i="4"/>
  <c r="AX212" i="4" s="1"/>
  <c r="AW213" i="4"/>
  <c r="AX213" i="4" s="1"/>
  <c r="AW214" i="4"/>
  <c r="AX214" i="4" s="1"/>
  <c r="AW215" i="4"/>
  <c r="AX215" i="4" s="1"/>
  <c r="AW216" i="4"/>
  <c r="AX216" i="4" s="1"/>
  <c r="AW217" i="4"/>
  <c r="AX217" i="4" s="1"/>
  <c r="AW218" i="4"/>
  <c r="AX218" i="4" s="1"/>
  <c r="AW219" i="4"/>
  <c r="AX219" i="4" s="1"/>
  <c r="AW220" i="4"/>
  <c r="AX220" i="4" s="1"/>
  <c r="AW221" i="4"/>
  <c r="AX221" i="4" s="1"/>
  <c r="AW222" i="4"/>
  <c r="AX222" i="4" s="1"/>
  <c r="AW223" i="4"/>
  <c r="AX223" i="4" s="1"/>
  <c r="AW224" i="4"/>
  <c r="AX224" i="4" s="1"/>
  <c r="AW225" i="4"/>
  <c r="AX225" i="4" s="1"/>
  <c r="AW226" i="4"/>
  <c r="AW227" i="4"/>
  <c r="AX227" i="4" s="1"/>
  <c r="AW228" i="4"/>
  <c r="AX228" i="4" s="1"/>
  <c r="AW229" i="4"/>
  <c r="AX229" i="4" s="1"/>
  <c r="AW230" i="4"/>
  <c r="AX230" i="4" s="1"/>
  <c r="AW231" i="4"/>
  <c r="AX231" i="4" s="1"/>
  <c r="AW232" i="4"/>
  <c r="AX232" i="4" s="1"/>
  <c r="AW233" i="4"/>
  <c r="AX233" i="4" s="1"/>
  <c r="AW234" i="4"/>
  <c r="AX234" i="4" s="1"/>
  <c r="AW235" i="4"/>
  <c r="AX235" i="4" s="1"/>
  <c r="AW236" i="4"/>
  <c r="AX236" i="4" s="1"/>
  <c r="AW237" i="4"/>
  <c r="AX237" i="4" s="1"/>
  <c r="AW238" i="4"/>
  <c r="AX238" i="4" s="1"/>
  <c r="AW239" i="4"/>
  <c r="AX239" i="4" s="1"/>
  <c r="AW240" i="4"/>
  <c r="AX240" i="4" s="1"/>
  <c r="AW241" i="4"/>
  <c r="AX241" i="4" s="1"/>
  <c r="AW242" i="4"/>
  <c r="AW243" i="4"/>
  <c r="AX243" i="4" s="1"/>
  <c r="AW244" i="4"/>
  <c r="AX244" i="4" s="1"/>
  <c r="AW245" i="4"/>
  <c r="AX245" i="4" s="1"/>
  <c r="AW246" i="4"/>
  <c r="AX246" i="4" s="1"/>
  <c r="AW247" i="4"/>
  <c r="AX247" i="4" s="1"/>
  <c r="AW248" i="4"/>
  <c r="AX248" i="4" s="1"/>
  <c r="AW249" i="4"/>
  <c r="AX249" i="4" s="1"/>
  <c r="AW250" i="4"/>
  <c r="AX250" i="4" s="1"/>
  <c r="AW251" i="4"/>
  <c r="AX251" i="4" s="1"/>
  <c r="AW252" i="4"/>
  <c r="AX252" i="4" s="1"/>
  <c r="AW253" i="4"/>
  <c r="AX253" i="4" s="1"/>
  <c r="AW254" i="4"/>
  <c r="AX254" i="4" s="1"/>
  <c r="AW255" i="4"/>
  <c r="AX255" i="4" s="1"/>
  <c r="AW256" i="4"/>
  <c r="AX256" i="4" s="1"/>
  <c r="AW257" i="4"/>
  <c r="AX257" i="4" s="1"/>
  <c r="AW258" i="4"/>
  <c r="AW259" i="4"/>
  <c r="AX259" i="4" s="1"/>
  <c r="AW260" i="4"/>
  <c r="AX260" i="4" s="1"/>
  <c r="AW261" i="4"/>
  <c r="AX261" i="4" s="1"/>
  <c r="AW262" i="4"/>
  <c r="AX262" i="4" s="1"/>
  <c r="AW263" i="4"/>
  <c r="AX263" i="4" s="1"/>
  <c r="AW264" i="4"/>
  <c r="AX264" i="4" s="1"/>
  <c r="AW265" i="4"/>
  <c r="AX265" i="4" s="1"/>
  <c r="AW266" i="4"/>
  <c r="AX266" i="4" s="1"/>
  <c r="AW267" i="4"/>
  <c r="AX267" i="4" s="1"/>
  <c r="AW268" i="4"/>
  <c r="AX268" i="4" s="1"/>
  <c r="AW269" i="4"/>
  <c r="AX269" i="4" s="1"/>
  <c r="AW270" i="4"/>
  <c r="AX270" i="4" s="1"/>
  <c r="AW271" i="4"/>
  <c r="AX271" i="4" s="1"/>
  <c r="AW272" i="4"/>
  <c r="AX272" i="4" s="1"/>
  <c r="AW273" i="4"/>
  <c r="AX273" i="4" s="1"/>
  <c r="AW274" i="4"/>
  <c r="AW275" i="4"/>
  <c r="AX275" i="4" s="1"/>
  <c r="AW276" i="4"/>
  <c r="AX276" i="4" s="1"/>
  <c r="AW277" i="4"/>
  <c r="AX277" i="4" s="1"/>
  <c r="AW278" i="4"/>
  <c r="AX278" i="4" s="1"/>
  <c r="AW279" i="4"/>
  <c r="AX279" i="4" s="1"/>
  <c r="AW280" i="4"/>
  <c r="AX280" i="4" s="1"/>
  <c r="AW281" i="4"/>
  <c r="AX281" i="4" s="1"/>
  <c r="AW282" i="4"/>
  <c r="AX282" i="4" s="1"/>
  <c r="AW283" i="4"/>
  <c r="AX283" i="4" s="1"/>
  <c r="AW284" i="4"/>
  <c r="AX284" i="4" s="1"/>
  <c r="AW285" i="4"/>
  <c r="AX285" i="4" s="1"/>
  <c r="AW286" i="4"/>
  <c r="AX286" i="4" s="1"/>
  <c r="AW287" i="4"/>
  <c r="AX287" i="4" s="1"/>
  <c r="AW288" i="4"/>
  <c r="AX288" i="4" s="1"/>
  <c r="AW289" i="4"/>
  <c r="AX289" i="4" s="1"/>
  <c r="AW290" i="4"/>
  <c r="AW291" i="4"/>
  <c r="AX291" i="4" s="1"/>
  <c r="AW292" i="4"/>
  <c r="AX292" i="4" s="1"/>
  <c r="AW293" i="4"/>
  <c r="AX293" i="4" s="1"/>
  <c r="AW294" i="4"/>
  <c r="AX294" i="4" s="1"/>
  <c r="AW295" i="4"/>
  <c r="AX295" i="4" s="1"/>
  <c r="AW296" i="4"/>
  <c r="AX296" i="4" s="1"/>
  <c r="AW297" i="4"/>
  <c r="AX297" i="4" s="1"/>
  <c r="AW298" i="4"/>
  <c r="AX298" i="4" s="1"/>
  <c r="AW299" i="4"/>
  <c r="AX299" i="4" s="1"/>
  <c r="AW300" i="4"/>
  <c r="AX300" i="4" s="1"/>
  <c r="AW301" i="4"/>
  <c r="AX301" i="4" s="1"/>
  <c r="AW302" i="4"/>
  <c r="AX302" i="4" s="1"/>
  <c r="AW303" i="4"/>
  <c r="AX303" i="4" s="1"/>
  <c r="AW304" i="4"/>
  <c r="AX304" i="4" s="1"/>
  <c r="AW305" i="4"/>
  <c r="AX305" i="4" s="1"/>
  <c r="AW306" i="4"/>
  <c r="AW307" i="4"/>
  <c r="AX307" i="4" s="1"/>
  <c r="AW308" i="4"/>
  <c r="AX308" i="4" s="1"/>
  <c r="AW309" i="4"/>
  <c r="AX309" i="4" s="1"/>
  <c r="AW310" i="4"/>
  <c r="AX310" i="4" s="1"/>
  <c r="AW311" i="4"/>
  <c r="AX311" i="4" s="1"/>
  <c r="AW312" i="4"/>
  <c r="AX312" i="4" s="1"/>
  <c r="AW313" i="4"/>
  <c r="AX313" i="4" s="1"/>
  <c r="AW314" i="4"/>
  <c r="AX314" i="4" s="1"/>
  <c r="AW315" i="4"/>
  <c r="AX315" i="4" s="1"/>
  <c r="AW316" i="4"/>
  <c r="AX316" i="4" s="1"/>
  <c r="AW317" i="4"/>
  <c r="AX317" i="4" s="1"/>
  <c r="AW318" i="4"/>
  <c r="AX318" i="4" s="1"/>
  <c r="AW319" i="4"/>
  <c r="AX319" i="4" s="1"/>
  <c r="AW320" i="4"/>
  <c r="AX320" i="4" s="1"/>
  <c r="AW321" i="4"/>
  <c r="AX321" i="4" s="1"/>
  <c r="AW322" i="4"/>
  <c r="AW323" i="4"/>
  <c r="AX323" i="4" s="1"/>
  <c r="AW324" i="4"/>
  <c r="AX324" i="4" s="1"/>
  <c r="AW325" i="4"/>
  <c r="AX325" i="4" s="1"/>
  <c r="AW326" i="4"/>
  <c r="AX326" i="4" s="1"/>
  <c r="AW327" i="4"/>
  <c r="AX327" i="4" s="1"/>
  <c r="AW328" i="4"/>
  <c r="AX328" i="4" s="1"/>
  <c r="AW329" i="4"/>
  <c r="AX329" i="4" s="1"/>
  <c r="AW330" i="4"/>
  <c r="AX330" i="4" s="1"/>
  <c r="AW331" i="4"/>
  <c r="AX331" i="4" s="1"/>
  <c r="AW332" i="4"/>
  <c r="AX332" i="4" s="1"/>
  <c r="AW333" i="4"/>
  <c r="AX333" i="4" s="1"/>
  <c r="AW334" i="4"/>
  <c r="AX334" i="4" s="1"/>
  <c r="AW335" i="4"/>
  <c r="AX335" i="4" s="1"/>
  <c r="AW336" i="4"/>
  <c r="AX336" i="4" s="1"/>
  <c r="AW337" i="4"/>
  <c r="AX337" i="4" s="1"/>
  <c r="AW338" i="4"/>
  <c r="AW339" i="4"/>
  <c r="AX339" i="4" s="1"/>
  <c r="AW340" i="4"/>
  <c r="AX340" i="4" s="1"/>
  <c r="AW341" i="4"/>
  <c r="AX341" i="4" s="1"/>
  <c r="AW342" i="4"/>
  <c r="AX342" i="4" s="1"/>
  <c r="AW343" i="4"/>
  <c r="AX343" i="4" s="1"/>
  <c r="AW344" i="4"/>
  <c r="AX344" i="4" s="1"/>
  <c r="AW345" i="4"/>
  <c r="AX345" i="4" s="1"/>
  <c r="AW346" i="4"/>
  <c r="AX346" i="4" s="1"/>
  <c r="AW347" i="4"/>
  <c r="AX347" i="4" s="1"/>
  <c r="AW348" i="4"/>
  <c r="AX348" i="4" s="1"/>
  <c r="AW349" i="4"/>
  <c r="AX349" i="4" s="1"/>
  <c r="AW350" i="4"/>
  <c r="AX350" i="4" s="1"/>
  <c r="AW351" i="4"/>
  <c r="AX351" i="4" s="1"/>
  <c r="AW352" i="4"/>
  <c r="AX352" i="4" s="1"/>
  <c r="AW353" i="4"/>
  <c r="AX353" i="4" s="1"/>
  <c r="AW354" i="4"/>
  <c r="AW355" i="4"/>
  <c r="AX355" i="4" s="1"/>
  <c r="AW356" i="4"/>
  <c r="AX356" i="4" s="1"/>
  <c r="AW357" i="4"/>
  <c r="AX357" i="4" s="1"/>
  <c r="AW358" i="4"/>
  <c r="AX358" i="4" s="1"/>
  <c r="AW359" i="4"/>
  <c r="AX359" i="4" s="1"/>
  <c r="AW360" i="4"/>
  <c r="AX360" i="4" s="1"/>
  <c r="AW361" i="4"/>
  <c r="AX361" i="4" s="1"/>
  <c r="AW362" i="4"/>
  <c r="AX362" i="4" s="1"/>
  <c r="AW363" i="4"/>
  <c r="AX363" i="4" s="1"/>
  <c r="AW364" i="4"/>
  <c r="AX364" i="4" s="1"/>
  <c r="AW365" i="4"/>
  <c r="AX365" i="4" s="1"/>
  <c r="AW366" i="4"/>
  <c r="AX366" i="4" s="1"/>
  <c r="AW367" i="4"/>
  <c r="AX367" i="4" s="1"/>
  <c r="AW368" i="4"/>
  <c r="AX368" i="4" s="1"/>
  <c r="AW369" i="4"/>
  <c r="AX369" i="4" s="1"/>
  <c r="AW370" i="4"/>
  <c r="AW371" i="4"/>
  <c r="AX371" i="4" s="1"/>
  <c r="AW372" i="4"/>
  <c r="AX372" i="4" s="1"/>
  <c r="AW373" i="4"/>
  <c r="AX373" i="4" s="1"/>
  <c r="AW374" i="4"/>
  <c r="AX374" i="4" s="1"/>
  <c r="AW375" i="4"/>
  <c r="AX375" i="4" s="1"/>
  <c r="AW376" i="4"/>
  <c r="AX376" i="4" s="1"/>
  <c r="AW377" i="4"/>
  <c r="AX377" i="4" s="1"/>
  <c r="AW378" i="4"/>
  <c r="AX378" i="4" s="1"/>
  <c r="AW379" i="4"/>
  <c r="AX379" i="4" s="1"/>
  <c r="AW380" i="4"/>
  <c r="AX380" i="4" s="1"/>
  <c r="AW381" i="4"/>
  <c r="AX381" i="4" s="1"/>
  <c r="AW382" i="4"/>
  <c r="AX382" i="4" s="1"/>
  <c r="AW383" i="4"/>
  <c r="AX383" i="4" s="1"/>
  <c r="AW384" i="4"/>
  <c r="AX384" i="4" s="1"/>
  <c r="AW385" i="4"/>
  <c r="AX385" i="4" s="1"/>
  <c r="AW386" i="4"/>
  <c r="AW387" i="4"/>
  <c r="AX387" i="4" s="1"/>
  <c r="AW388" i="4"/>
  <c r="AX388" i="4" s="1"/>
  <c r="AW389" i="4"/>
  <c r="AX389" i="4" s="1"/>
  <c r="AW390" i="4"/>
  <c r="AX390" i="4" s="1"/>
  <c r="AW391" i="4"/>
  <c r="AX391" i="4" s="1"/>
  <c r="AW392" i="4"/>
  <c r="AX392" i="4" s="1"/>
  <c r="AW393" i="4"/>
  <c r="AX393" i="4" s="1"/>
  <c r="AW394" i="4"/>
  <c r="AX394" i="4" s="1"/>
  <c r="AW395" i="4"/>
  <c r="AX395" i="4" s="1"/>
  <c r="AW396" i="4"/>
  <c r="AX396" i="4" s="1"/>
  <c r="AW397" i="4"/>
  <c r="AX397" i="4" s="1"/>
  <c r="AW398" i="4"/>
  <c r="AX398" i="4" s="1"/>
  <c r="AW399" i="4"/>
  <c r="AX399" i="4" s="1"/>
  <c r="AW400" i="4"/>
  <c r="AX400" i="4" s="1"/>
  <c r="AW401" i="4"/>
  <c r="AX401" i="4" s="1"/>
  <c r="AW402" i="4"/>
  <c r="AW403" i="4"/>
  <c r="AX403" i="4" s="1"/>
  <c r="AW404" i="4"/>
  <c r="AX404" i="4" s="1"/>
  <c r="AW405" i="4"/>
  <c r="AX405" i="4" s="1"/>
  <c r="AW406" i="4"/>
  <c r="AX406" i="4" s="1"/>
  <c r="AW407" i="4"/>
  <c r="AX407" i="4" s="1"/>
  <c r="AW408" i="4"/>
  <c r="AX408" i="4" s="1"/>
  <c r="AW409" i="4"/>
  <c r="AX409" i="4" s="1"/>
  <c r="AW2" i="4"/>
  <c r="AX2" i="4" s="1"/>
  <c r="AV3" i="4"/>
  <c r="AV4" i="4"/>
  <c r="AV5" i="4"/>
  <c r="AV6" i="4"/>
  <c r="AV7" i="4"/>
  <c r="AV8" i="4"/>
  <c r="AV9" i="4"/>
  <c r="AV10" i="4"/>
  <c r="AV11" i="4"/>
  <c r="AV12" i="4"/>
  <c r="AV13" i="4"/>
  <c r="AV14" i="4"/>
  <c r="AV15" i="4"/>
  <c r="AV16" i="4"/>
  <c r="AV17" i="4"/>
  <c r="AV18" i="4"/>
  <c r="AV19" i="4"/>
  <c r="AV20" i="4"/>
  <c r="AV21" i="4"/>
  <c r="AV22" i="4"/>
  <c r="AV23" i="4"/>
  <c r="AV24" i="4"/>
  <c r="AV25" i="4"/>
  <c r="AV26" i="4"/>
  <c r="AV27" i="4"/>
  <c r="AV28" i="4"/>
  <c r="AV29" i="4"/>
  <c r="AV30" i="4"/>
  <c r="AV31" i="4"/>
  <c r="AV32" i="4"/>
  <c r="AV33" i="4"/>
  <c r="AV34" i="4"/>
  <c r="AV35" i="4"/>
  <c r="AV36" i="4"/>
  <c r="AV37" i="4"/>
  <c r="AV38" i="4"/>
  <c r="AV39" i="4"/>
  <c r="AV40" i="4"/>
  <c r="AV41" i="4"/>
  <c r="AV42" i="4"/>
  <c r="AV43" i="4"/>
  <c r="AV44" i="4"/>
  <c r="AV45" i="4"/>
  <c r="AV46" i="4"/>
  <c r="AV47" i="4"/>
  <c r="AV48" i="4"/>
  <c r="AV49" i="4"/>
  <c r="AV50" i="4"/>
  <c r="AV51" i="4"/>
  <c r="AV52" i="4"/>
  <c r="AV53" i="4"/>
  <c r="AV54" i="4"/>
  <c r="AV55" i="4"/>
  <c r="AV56" i="4"/>
  <c r="AV57" i="4"/>
  <c r="AV58" i="4"/>
  <c r="AV59" i="4"/>
  <c r="AV60" i="4"/>
  <c r="AV61" i="4"/>
  <c r="AV62" i="4"/>
  <c r="AV63" i="4"/>
  <c r="AV64" i="4"/>
  <c r="AV65" i="4"/>
  <c r="AV66" i="4"/>
  <c r="AV67" i="4"/>
  <c r="AV68" i="4"/>
  <c r="AV69" i="4"/>
  <c r="AV70" i="4"/>
  <c r="AV71" i="4"/>
  <c r="AV72" i="4"/>
  <c r="AV73" i="4"/>
  <c r="AV74" i="4"/>
  <c r="AV75" i="4"/>
  <c r="AV76" i="4"/>
  <c r="AV77" i="4"/>
  <c r="AV78" i="4"/>
  <c r="AV79" i="4"/>
  <c r="AV80" i="4"/>
  <c r="AV81" i="4"/>
  <c r="AV82" i="4"/>
  <c r="AV83" i="4"/>
  <c r="AV84" i="4"/>
  <c r="AV85" i="4"/>
  <c r="AV86" i="4"/>
  <c r="AV87" i="4"/>
  <c r="AV88" i="4"/>
  <c r="AV89" i="4"/>
  <c r="AV90" i="4"/>
  <c r="AV91" i="4"/>
  <c r="AV92" i="4"/>
  <c r="AV93" i="4"/>
  <c r="AV94" i="4"/>
  <c r="AV95" i="4"/>
  <c r="AV96" i="4"/>
  <c r="AV97" i="4"/>
  <c r="AV98" i="4"/>
  <c r="AV99" i="4"/>
  <c r="AV100" i="4"/>
  <c r="AV101" i="4"/>
  <c r="AV102" i="4"/>
  <c r="AV103" i="4"/>
  <c r="AV104" i="4"/>
  <c r="AV105" i="4"/>
  <c r="AV106" i="4"/>
  <c r="AV107" i="4"/>
  <c r="AV108" i="4"/>
  <c r="AV109" i="4"/>
  <c r="AV110" i="4"/>
  <c r="AV111" i="4"/>
  <c r="AV112" i="4"/>
  <c r="AV113" i="4"/>
  <c r="AV114" i="4"/>
  <c r="AV115" i="4"/>
  <c r="AV116" i="4"/>
  <c r="AV117" i="4"/>
  <c r="AV118" i="4"/>
  <c r="AV119" i="4"/>
  <c r="AV120" i="4"/>
  <c r="AV121" i="4"/>
  <c r="AV122" i="4"/>
  <c r="AV123" i="4"/>
  <c r="AV124" i="4"/>
  <c r="AV125" i="4"/>
  <c r="AV126" i="4"/>
  <c r="AV127" i="4"/>
  <c r="AV128" i="4"/>
  <c r="AV129" i="4"/>
  <c r="AV130" i="4"/>
  <c r="AV131" i="4"/>
  <c r="AV132" i="4"/>
  <c r="AV133" i="4"/>
  <c r="AV134" i="4"/>
  <c r="AV135" i="4"/>
  <c r="AV136" i="4"/>
  <c r="AV137" i="4"/>
  <c r="AV138" i="4"/>
  <c r="AV139" i="4"/>
  <c r="AV140" i="4"/>
  <c r="AV141" i="4"/>
  <c r="AV142" i="4"/>
  <c r="AV143" i="4"/>
  <c r="AV144" i="4"/>
  <c r="AV145" i="4"/>
  <c r="AV146" i="4"/>
  <c r="AV147" i="4"/>
  <c r="AV148" i="4"/>
  <c r="AV149" i="4"/>
  <c r="AV150" i="4"/>
  <c r="AV151" i="4"/>
  <c r="AV152" i="4"/>
  <c r="AV153" i="4"/>
  <c r="AV154" i="4"/>
  <c r="AV155" i="4"/>
  <c r="AV156" i="4"/>
  <c r="AV157" i="4"/>
  <c r="AV158" i="4"/>
  <c r="AV159" i="4"/>
  <c r="AV160" i="4"/>
  <c r="AV161" i="4"/>
  <c r="AV162" i="4"/>
  <c r="AV163" i="4"/>
  <c r="AV164" i="4"/>
  <c r="AV165" i="4"/>
  <c r="AV166" i="4"/>
  <c r="AV167" i="4"/>
  <c r="AV168" i="4"/>
  <c r="AV169" i="4"/>
  <c r="AV170" i="4"/>
  <c r="AV171" i="4"/>
  <c r="AV172" i="4"/>
  <c r="AV173" i="4"/>
  <c r="AV174" i="4"/>
  <c r="AV175" i="4"/>
  <c r="AV176" i="4"/>
  <c r="AV177" i="4"/>
  <c r="AV178" i="4"/>
  <c r="AV179" i="4"/>
  <c r="AV180" i="4"/>
  <c r="AV181" i="4"/>
  <c r="AV182" i="4"/>
  <c r="AV183" i="4"/>
  <c r="AV184" i="4"/>
  <c r="AV185" i="4"/>
  <c r="AV186" i="4"/>
  <c r="AV187" i="4"/>
  <c r="AV188" i="4"/>
  <c r="AV189" i="4"/>
  <c r="AV190" i="4"/>
  <c r="AV191" i="4"/>
  <c r="AV192" i="4"/>
  <c r="AV193" i="4"/>
  <c r="AV194" i="4"/>
  <c r="AV195" i="4"/>
  <c r="AV196" i="4"/>
  <c r="AV197" i="4"/>
  <c r="AV198" i="4"/>
  <c r="AV199" i="4"/>
  <c r="AV200" i="4"/>
  <c r="AV201" i="4"/>
  <c r="AV202" i="4"/>
  <c r="AV203" i="4"/>
  <c r="AV204" i="4"/>
  <c r="AV205" i="4"/>
  <c r="AV206" i="4"/>
  <c r="AV207" i="4"/>
  <c r="AV208" i="4"/>
  <c r="AV209" i="4"/>
  <c r="AV210" i="4"/>
  <c r="AV211" i="4"/>
  <c r="AV212" i="4"/>
  <c r="AV213" i="4"/>
  <c r="AV214" i="4"/>
  <c r="AV215" i="4"/>
  <c r="AV216" i="4"/>
  <c r="AV217" i="4"/>
  <c r="AV218" i="4"/>
  <c r="AV219" i="4"/>
  <c r="AV220" i="4"/>
  <c r="AV221" i="4"/>
  <c r="AV222" i="4"/>
  <c r="AV223" i="4"/>
  <c r="AV224" i="4"/>
  <c r="AV225" i="4"/>
  <c r="AV226" i="4"/>
  <c r="AV227" i="4"/>
  <c r="AV228" i="4"/>
  <c r="AV229" i="4"/>
  <c r="AV230" i="4"/>
  <c r="AV231" i="4"/>
  <c r="AV232" i="4"/>
  <c r="AV233" i="4"/>
  <c r="AV234" i="4"/>
  <c r="AV235" i="4"/>
  <c r="AV236" i="4"/>
  <c r="AV237" i="4"/>
  <c r="AV238" i="4"/>
  <c r="AV239" i="4"/>
  <c r="AV240" i="4"/>
  <c r="AV241" i="4"/>
  <c r="AV242" i="4"/>
  <c r="AV243" i="4"/>
  <c r="AV244" i="4"/>
  <c r="AV245" i="4"/>
  <c r="AV246" i="4"/>
  <c r="AV247" i="4"/>
  <c r="AV248" i="4"/>
  <c r="AV249" i="4"/>
  <c r="AV250" i="4"/>
  <c r="AV251" i="4"/>
  <c r="AV252" i="4"/>
  <c r="AV253" i="4"/>
  <c r="AV254" i="4"/>
  <c r="AV255" i="4"/>
  <c r="AV256" i="4"/>
  <c r="AV257" i="4"/>
  <c r="AV258" i="4"/>
  <c r="AV259" i="4"/>
  <c r="AV260" i="4"/>
  <c r="AV261" i="4"/>
  <c r="AV262" i="4"/>
  <c r="AV263" i="4"/>
  <c r="AV264" i="4"/>
  <c r="AV265" i="4"/>
  <c r="AV266" i="4"/>
  <c r="AV267" i="4"/>
  <c r="AV268" i="4"/>
  <c r="AV269" i="4"/>
  <c r="AV270" i="4"/>
  <c r="AV271" i="4"/>
  <c r="AV272" i="4"/>
  <c r="AV273" i="4"/>
  <c r="AV274" i="4"/>
  <c r="AV275" i="4"/>
  <c r="AV276" i="4"/>
  <c r="AV277" i="4"/>
  <c r="AV278" i="4"/>
  <c r="AV279" i="4"/>
  <c r="AV280" i="4"/>
  <c r="AV281" i="4"/>
  <c r="AV282" i="4"/>
  <c r="AV283" i="4"/>
  <c r="AV284" i="4"/>
  <c r="AV285" i="4"/>
  <c r="AV286" i="4"/>
  <c r="AV287" i="4"/>
  <c r="AV288" i="4"/>
  <c r="AV289" i="4"/>
  <c r="AV290" i="4"/>
  <c r="AV291" i="4"/>
  <c r="AV292" i="4"/>
  <c r="AV293" i="4"/>
  <c r="AV294" i="4"/>
  <c r="AV295" i="4"/>
  <c r="AV296" i="4"/>
  <c r="AV297" i="4"/>
  <c r="AV298" i="4"/>
  <c r="AV299" i="4"/>
  <c r="AV300" i="4"/>
  <c r="AV301" i="4"/>
  <c r="AV302" i="4"/>
  <c r="AV303" i="4"/>
  <c r="AV304" i="4"/>
  <c r="AV305" i="4"/>
  <c r="AV306" i="4"/>
  <c r="AV307" i="4"/>
  <c r="AV308" i="4"/>
  <c r="AV309" i="4"/>
  <c r="AV310" i="4"/>
  <c r="AV311" i="4"/>
  <c r="AV312" i="4"/>
  <c r="AV313" i="4"/>
  <c r="AV314" i="4"/>
  <c r="AV315" i="4"/>
  <c r="AV316" i="4"/>
  <c r="AV317" i="4"/>
  <c r="AV318" i="4"/>
  <c r="AV319" i="4"/>
  <c r="AV320" i="4"/>
  <c r="AV321" i="4"/>
  <c r="AV322" i="4"/>
  <c r="AV323" i="4"/>
  <c r="AV324" i="4"/>
  <c r="AV325" i="4"/>
  <c r="AV326" i="4"/>
  <c r="AV327" i="4"/>
  <c r="AV328" i="4"/>
  <c r="AV329" i="4"/>
  <c r="AV330" i="4"/>
  <c r="AV331" i="4"/>
  <c r="AV332" i="4"/>
  <c r="AV333" i="4"/>
  <c r="AV334" i="4"/>
  <c r="AV335" i="4"/>
  <c r="AV336" i="4"/>
  <c r="AV337" i="4"/>
  <c r="AV338" i="4"/>
  <c r="AV339" i="4"/>
  <c r="AV340" i="4"/>
  <c r="AV341" i="4"/>
  <c r="AV342" i="4"/>
  <c r="AV343" i="4"/>
  <c r="AV344" i="4"/>
  <c r="AV345" i="4"/>
  <c r="AV346" i="4"/>
  <c r="AV347" i="4"/>
  <c r="AV348" i="4"/>
  <c r="AV349" i="4"/>
  <c r="AV350" i="4"/>
  <c r="AV351" i="4"/>
  <c r="AV352" i="4"/>
  <c r="AV353" i="4"/>
  <c r="AV354" i="4"/>
  <c r="AV355" i="4"/>
  <c r="AV356" i="4"/>
  <c r="AV357" i="4"/>
  <c r="AV358" i="4"/>
  <c r="AV359" i="4"/>
  <c r="AV360" i="4"/>
  <c r="AV361" i="4"/>
  <c r="AV362" i="4"/>
  <c r="AV363" i="4"/>
  <c r="AV364" i="4"/>
  <c r="AV365" i="4"/>
  <c r="AV366" i="4"/>
  <c r="AV367" i="4"/>
  <c r="AV368" i="4"/>
  <c r="AV369" i="4"/>
  <c r="AV370" i="4"/>
  <c r="AV371" i="4"/>
  <c r="AV372" i="4"/>
  <c r="AV373" i="4"/>
  <c r="AV374" i="4"/>
  <c r="AV375" i="4"/>
  <c r="AV376" i="4"/>
  <c r="AV377" i="4"/>
  <c r="AV378" i="4"/>
  <c r="AV379" i="4"/>
  <c r="AV380" i="4"/>
  <c r="AV381" i="4"/>
  <c r="AV382" i="4"/>
  <c r="AV383" i="4"/>
  <c r="AV384" i="4"/>
  <c r="AV385" i="4"/>
  <c r="AV386" i="4"/>
  <c r="AV387" i="4"/>
  <c r="AV388" i="4"/>
  <c r="AV389" i="4"/>
  <c r="AV390" i="4"/>
  <c r="AV391" i="4"/>
  <c r="AV392" i="4"/>
  <c r="AV393" i="4"/>
  <c r="AV394" i="4"/>
  <c r="AV395" i="4"/>
  <c r="AV396" i="4"/>
  <c r="AV397" i="4"/>
  <c r="AV398" i="4"/>
  <c r="AV399" i="4"/>
  <c r="AV400" i="4"/>
  <c r="AV401" i="4"/>
  <c r="AV402" i="4"/>
  <c r="AV403" i="4"/>
  <c r="AV404" i="4"/>
  <c r="AV405" i="4"/>
  <c r="AV406" i="4"/>
  <c r="AV407" i="4"/>
  <c r="AV408" i="4"/>
  <c r="AV409" i="4"/>
  <c r="AV2" i="4"/>
  <c r="AX170" i="4" l="1"/>
  <c r="AX166" i="4"/>
  <c r="AX162" i="4"/>
  <c r="AX158" i="4"/>
  <c r="AX150" i="4"/>
  <c r="AX146" i="4"/>
  <c r="AX142" i="4"/>
  <c r="AX138" i="4"/>
  <c r="AX134" i="4"/>
  <c r="AX130" i="4"/>
  <c r="AX126" i="4"/>
  <c r="AX122" i="4"/>
  <c r="AX118" i="4"/>
  <c r="AX114" i="4"/>
  <c r="AX110" i="4"/>
  <c r="AX106" i="4"/>
  <c r="AX102" i="4"/>
  <c r="AX98" i="4"/>
  <c r="AX94" i="4"/>
  <c r="AX90" i="4"/>
  <c r="AX86" i="4"/>
  <c r="AX82" i="4"/>
  <c r="AX78" i="4"/>
  <c r="AX74" i="4"/>
  <c r="AX70" i="4"/>
  <c r="AX66" i="4"/>
  <c r="AX62" i="4"/>
  <c r="AX58" i="4"/>
  <c r="AX54" i="4"/>
  <c r="AX50" i="4"/>
  <c r="AX46" i="4"/>
  <c r="AX42" i="4"/>
  <c r="AX38" i="4"/>
  <c r="AX34" i="4"/>
  <c r="AX30" i="4"/>
  <c r="AX26" i="4"/>
  <c r="AX22" i="4"/>
  <c r="AX18" i="4"/>
  <c r="AX14" i="4"/>
  <c r="AX10" i="4"/>
  <c r="AX6" i="4"/>
  <c r="BF279" i="4"/>
  <c r="BF215" i="4"/>
  <c r="BF39" i="4"/>
  <c r="AX154" i="4"/>
  <c r="BF407" i="4"/>
  <c r="BF343" i="4"/>
  <c r="BE286" i="4"/>
  <c r="BC286" i="4"/>
  <c r="BE238" i="4"/>
  <c r="BC238" i="4"/>
  <c r="BE409" i="4"/>
  <c r="BD409" i="4"/>
  <c r="BC409" i="4"/>
  <c r="BE397" i="4"/>
  <c r="BD397" i="4"/>
  <c r="BC397" i="4"/>
  <c r="BE385" i="4"/>
  <c r="BD385" i="4"/>
  <c r="BC385" i="4"/>
  <c r="BE373" i="4"/>
  <c r="BD373" i="4"/>
  <c r="BC373" i="4"/>
  <c r="BE365" i="4"/>
  <c r="BD365" i="4"/>
  <c r="BC365" i="4"/>
  <c r="BE353" i="4"/>
  <c r="BD353" i="4"/>
  <c r="BC353" i="4"/>
  <c r="BE345" i="4"/>
  <c r="BD345" i="4"/>
  <c r="BC345" i="4"/>
  <c r="BE337" i="4"/>
  <c r="BD337" i="4"/>
  <c r="BC337" i="4"/>
  <c r="BE329" i="4"/>
  <c r="BD329" i="4"/>
  <c r="BC329" i="4"/>
  <c r="BE321" i="4"/>
  <c r="BD321" i="4"/>
  <c r="BC321" i="4"/>
  <c r="BE309" i="4"/>
  <c r="BD309" i="4"/>
  <c r="BC309" i="4"/>
  <c r="BE301" i="4"/>
  <c r="BD301" i="4"/>
  <c r="BC301" i="4"/>
  <c r="BE289" i="4"/>
  <c r="BD289" i="4"/>
  <c r="BC289" i="4"/>
  <c r="BE285" i="4"/>
  <c r="BD285" i="4"/>
  <c r="BB286" i="19" s="1"/>
  <c r="BC285" i="4"/>
  <c r="BE277" i="4"/>
  <c r="BD277" i="4"/>
  <c r="BC277" i="4"/>
  <c r="BE265" i="4"/>
  <c r="BD265" i="4"/>
  <c r="BC265" i="4"/>
  <c r="BE261" i="4"/>
  <c r="BC262" i="19" s="1"/>
  <c r="BD261" i="4"/>
  <c r="BC261" i="4"/>
  <c r="BE253" i="4"/>
  <c r="BD253" i="4"/>
  <c r="BC253" i="4"/>
  <c r="BE245" i="4"/>
  <c r="BD245" i="4"/>
  <c r="BC245" i="4"/>
  <c r="BE237" i="4"/>
  <c r="BC238" i="19" s="1"/>
  <c r="BD237" i="4"/>
  <c r="BC237" i="4"/>
  <c r="BE229" i="4"/>
  <c r="BD229" i="4"/>
  <c r="BC229" i="4"/>
  <c r="BE225" i="4"/>
  <c r="BD225" i="4"/>
  <c r="BC225" i="4"/>
  <c r="BE221" i="4"/>
  <c r="BD221" i="4"/>
  <c r="BC221" i="4"/>
  <c r="BE217" i="4"/>
  <c r="BD217" i="4"/>
  <c r="BC217" i="4"/>
  <c r="BE213" i="4"/>
  <c r="BC214" i="19" s="1"/>
  <c r="BD213" i="4"/>
  <c r="BC213" i="4"/>
  <c r="BE205" i="4"/>
  <c r="BD205" i="4"/>
  <c r="BC205" i="4"/>
  <c r="BE201" i="4"/>
  <c r="BD201" i="4"/>
  <c r="BC201" i="4"/>
  <c r="BE197" i="4"/>
  <c r="BD197" i="4"/>
  <c r="BC197" i="4"/>
  <c r="BE193" i="4"/>
  <c r="BD193" i="4"/>
  <c r="BC193" i="4"/>
  <c r="BE189" i="4"/>
  <c r="BD189" i="4"/>
  <c r="BC189" i="4"/>
  <c r="BE185" i="4"/>
  <c r="BD185" i="4"/>
  <c r="BC185" i="4"/>
  <c r="BE181" i="4"/>
  <c r="BD181" i="4"/>
  <c r="BC181" i="4"/>
  <c r="BE177" i="4"/>
  <c r="BD177" i="4"/>
  <c r="BC177" i="4"/>
  <c r="BE173" i="4"/>
  <c r="BC174" i="19" s="1"/>
  <c r="BD173" i="4"/>
  <c r="BC173" i="4"/>
  <c r="BE169" i="4"/>
  <c r="BD169" i="4"/>
  <c r="BC169" i="4"/>
  <c r="BE165" i="4"/>
  <c r="BD165" i="4"/>
  <c r="BC165" i="4"/>
  <c r="BE161" i="4"/>
  <c r="BD161" i="4"/>
  <c r="BC161" i="4"/>
  <c r="BE157" i="4"/>
  <c r="BD157" i="4"/>
  <c r="BC157" i="4"/>
  <c r="BE153" i="4"/>
  <c r="BD153" i="4"/>
  <c r="BC153" i="4"/>
  <c r="BE149" i="4"/>
  <c r="BD149" i="4"/>
  <c r="BC149" i="4"/>
  <c r="BE145" i="4"/>
  <c r="BD145" i="4"/>
  <c r="BC145" i="4"/>
  <c r="BE141" i="4"/>
  <c r="BD141" i="4"/>
  <c r="BC141" i="4"/>
  <c r="BE137" i="4"/>
  <c r="BD137" i="4"/>
  <c r="BC137" i="4"/>
  <c r="BE133" i="4"/>
  <c r="BD133" i="4"/>
  <c r="BC133" i="4"/>
  <c r="BE129" i="4"/>
  <c r="BD129" i="4"/>
  <c r="BC129" i="4"/>
  <c r="BE125" i="4"/>
  <c r="BD125" i="4"/>
  <c r="BB126" i="19" s="1"/>
  <c r="BC125" i="4"/>
  <c r="BE121" i="4"/>
  <c r="BD121" i="4"/>
  <c r="BC121" i="4"/>
  <c r="BE117" i="4"/>
  <c r="BC118" i="19" s="1"/>
  <c r="BD117" i="4"/>
  <c r="BC117" i="4"/>
  <c r="BA118" i="19" s="1"/>
  <c r="BE113" i="4"/>
  <c r="BD113" i="4"/>
  <c r="BC113" i="4"/>
  <c r="BE109" i="4"/>
  <c r="BD109" i="4"/>
  <c r="BC109" i="4"/>
  <c r="BE105" i="4"/>
  <c r="BD105" i="4"/>
  <c r="BC105" i="4"/>
  <c r="BE101" i="4"/>
  <c r="BC102" i="19" s="1"/>
  <c r="BD101" i="4"/>
  <c r="BC101" i="4"/>
  <c r="BA102" i="19" s="1"/>
  <c r="BF101" i="4"/>
  <c r="BB101" i="4"/>
  <c r="BE97" i="4"/>
  <c r="BD97" i="4"/>
  <c r="BC97" i="4"/>
  <c r="BE93" i="4"/>
  <c r="BD93" i="4"/>
  <c r="BB94" i="19" s="1"/>
  <c r="BC93" i="4"/>
  <c r="BE89" i="4"/>
  <c r="BD89" i="4"/>
  <c r="BC89" i="4"/>
  <c r="BE85" i="4"/>
  <c r="BD85" i="4"/>
  <c r="BC85" i="4"/>
  <c r="BF85" i="4" s="1"/>
  <c r="BB85" i="4"/>
  <c r="BE81" i="4"/>
  <c r="BD81" i="4"/>
  <c r="BC81" i="4"/>
  <c r="BE77" i="4"/>
  <c r="BD77" i="4"/>
  <c r="BC77" i="4"/>
  <c r="BE73" i="4"/>
  <c r="BD73" i="4"/>
  <c r="BC73" i="4"/>
  <c r="BE69" i="4"/>
  <c r="BD69" i="4"/>
  <c r="BC69" i="4"/>
  <c r="BF69" i="4"/>
  <c r="BB69" i="4"/>
  <c r="BE65" i="4"/>
  <c r="BD65" i="4"/>
  <c r="BC65" i="4"/>
  <c r="BE61" i="4"/>
  <c r="BD61" i="4"/>
  <c r="BB63" i="19" s="1"/>
  <c r="BC61" i="4"/>
  <c r="BE57" i="4"/>
  <c r="BD57" i="4"/>
  <c r="BC57" i="4"/>
  <c r="BE53" i="4"/>
  <c r="BD53" i="4"/>
  <c r="BC53" i="4"/>
  <c r="BF53" i="4" s="1"/>
  <c r="BB53" i="4"/>
  <c r="BE49" i="4"/>
  <c r="BD49" i="4"/>
  <c r="BC49" i="4"/>
  <c r="BE45" i="4"/>
  <c r="BD45" i="4"/>
  <c r="BC45" i="4"/>
  <c r="BE41" i="4"/>
  <c r="BD41" i="4"/>
  <c r="BC41" i="4"/>
  <c r="BE37" i="4"/>
  <c r="BC38" i="19" s="1"/>
  <c r="BD37" i="4"/>
  <c r="BC37" i="4"/>
  <c r="BA38" i="19" s="1"/>
  <c r="BF37" i="4"/>
  <c r="BB37" i="4"/>
  <c r="BE33" i="4"/>
  <c r="BD33" i="4"/>
  <c r="BC33" i="4"/>
  <c r="BE29" i="4"/>
  <c r="BD29" i="4"/>
  <c r="BC29" i="4"/>
  <c r="BE25" i="4"/>
  <c r="BD25" i="4"/>
  <c r="BC25" i="4"/>
  <c r="BE21" i="4"/>
  <c r="BD21" i="4"/>
  <c r="BC21" i="4"/>
  <c r="BF21" i="4" s="1"/>
  <c r="BB21" i="4"/>
  <c r="BE17" i="4"/>
  <c r="BD17" i="4"/>
  <c r="BC17" i="4"/>
  <c r="BE13" i="4"/>
  <c r="BD13" i="4"/>
  <c r="BC13" i="4"/>
  <c r="BE9" i="4"/>
  <c r="BD9" i="4"/>
  <c r="BC9" i="4"/>
  <c r="BE5" i="4"/>
  <c r="BC7" i="19" s="1"/>
  <c r="BD5" i="4"/>
  <c r="BC5" i="4"/>
  <c r="BA7" i="19" s="1"/>
  <c r="BF5" i="4"/>
  <c r="BB5" i="4"/>
  <c r="BC358" i="4"/>
  <c r="BC330" i="4"/>
  <c r="BC322" i="4"/>
  <c r="BC202" i="4"/>
  <c r="BC194" i="4"/>
  <c r="BC166" i="4"/>
  <c r="BC102" i="4"/>
  <c r="BC66" i="4"/>
  <c r="BD354" i="4"/>
  <c r="BB354" i="19" s="1"/>
  <c r="BD346" i="4"/>
  <c r="BE403" i="4"/>
  <c r="BC403" i="4"/>
  <c r="BE387" i="4"/>
  <c r="BC387" i="4"/>
  <c r="BE371" i="4"/>
  <c r="BC371" i="4"/>
  <c r="BF371" i="4" s="1"/>
  <c r="BE355" i="4"/>
  <c r="BC355" i="4"/>
  <c r="BE339" i="4"/>
  <c r="BC339" i="4"/>
  <c r="BE323" i="4"/>
  <c r="BC323" i="4"/>
  <c r="BE307" i="4"/>
  <c r="BC307" i="4"/>
  <c r="BF303" i="4"/>
  <c r="BE291" i="4"/>
  <c r="BC291" i="4"/>
  <c r="BE275" i="4"/>
  <c r="BC275" i="4"/>
  <c r="BE259" i="4"/>
  <c r="BC259" i="4"/>
  <c r="BF259" i="4" s="1"/>
  <c r="BE243" i="4"/>
  <c r="BC243" i="4"/>
  <c r="BF239" i="4"/>
  <c r="BE227" i="4"/>
  <c r="BC227" i="4"/>
  <c r="BE211" i="4"/>
  <c r="BC211" i="4"/>
  <c r="BE195" i="4"/>
  <c r="BC195" i="4"/>
  <c r="BE179" i="4"/>
  <c r="BC179" i="4"/>
  <c r="BE163" i="4"/>
  <c r="BC163" i="4"/>
  <c r="BB159" i="4"/>
  <c r="BD155" i="4"/>
  <c r="BB155" i="4"/>
  <c r="BE147" i="4"/>
  <c r="BC147" i="4"/>
  <c r="BB147" i="4"/>
  <c r="BF143" i="4"/>
  <c r="BB143" i="4"/>
  <c r="BD139" i="4"/>
  <c r="BB139" i="4"/>
  <c r="BE131" i="4"/>
  <c r="BC131" i="4"/>
  <c r="BB131" i="4"/>
  <c r="BB127" i="4"/>
  <c r="BD123" i="4"/>
  <c r="BB123" i="4"/>
  <c r="BF123" i="4" s="1"/>
  <c r="BE115" i="4"/>
  <c r="BC115" i="4"/>
  <c r="BB115" i="4"/>
  <c r="BB111" i="4"/>
  <c r="BE99" i="4"/>
  <c r="BC99" i="4"/>
  <c r="BB95" i="4"/>
  <c r="BE83" i="4"/>
  <c r="BC83" i="4"/>
  <c r="BB79" i="4"/>
  <c r="BE67" i="4"/>
  <c r="BC67" i="4"/>
  <c r="BF67" i="4" s="1"/>
  <c r="BB63" i="4"/>
  <c r="BE51" i="4"/>
  <c r="BC51" i="4"/>
  <c r="BB47" i="4"/>
  <c r="BF47" i="4" s="1"/>
  <c r="BE35" i="4"/>
  <c r="BC35" i="4"/>
  <c r="BB31" i="4"/>
  <c r="BE19" i="4"/>
  <c r="BC19" i="4"/>
  <c r="BB15" i="4"/>
  <c r="BF15" i="4" s="1"/>
  <c r="BE3" i="4"/>
  <c r="BC3" i="4"/>
  <c r="BB406" i="4"/>
  <c r="BB402" i="4"/>
  <c r="BB390" i="4"/>
  <c r="BB386" i="4"/>
  <c r="BB382" i="4"/>
  <c r="BF382" i="4" s="1"/>
  <c r="BB378" i="4"/>
  <c r="BB374" i="4"/>
  <c r="BB370" i="4"/>
  <c r="BF370" i="4" s="1"/>
  <c r="BB362" i="4"/>
  <c r="BB358" i="4"/>
  <c r="BB354" i="4"/>
  <c r="BB350" i="4"/>
  <c r="BB346" i="4"/>
  <c r="BB342" i="4"/>
  <c r="BB338" i="4"/>
  <c r="BB326" i="4"/>
  <c r="BB322" i="4"/>
  <c r="BF322" i="4" s="1"/>
  <c r="BB318" i="4"/>
  <c r="BF318" i="4" s="1"/>
  <c r="BB314" i="4"/>
  <c r="BB310" i="4"/>
  <c r="BB306" i="4"/>
  <c r="BF306" i="4" s="1"/>
  <c r="BB298" i="4"/>
  <c r="BB294" i="4"/>
  <c r="BB290" i="4"/>
  <c r="BB286" i="4"/>
  <c r="BB282" i="4"/>
  <c r="BF282" i="4" s="1"/>
  <c r="BB278" i="4"/>
  <c r="BB274" i="4"/>
  <c r="BB270" i="4"/>
  <c r="BB266" i="4"/>
  <c r="BF266" i="4" s="1"/>
  <c r="BB262" i="4"/>
  <c r="BB258" i="4"/>
  <c r="BF258" i="4" s="1"/>
  <c r="BB254" i="4"/>
  <c r="BF254" i="4" s="1"/>
  <c r="BB250" i="4"/>
  <c r="BF250" i="4" s="1"/>
  <c r="BB246" i="4"/>
  <c r="BB242" i="4"/>
  <c r="BB238" i="4"/>
  <c r="BB234" i="4"/>
  <c r="BB230" i="4"/>
  <c r="BB226" i="4"/>
  <c r="BB222" i="4"/>
  <c r="BB218" i="4"/>
  <c r="BB214" i="4"/>
  <c r="BB210" i="4"/>
  <c r="BB198" i="4"/>
  <c r="BF198" i="4" s="1"/>
  <c r="BB194" i="4"/>
  <c r="BF194" i="4" s="1"/>
  <c r="BB190" i="4"/>
  <c r="BF190" i="4" s="1"/>
  <c r="BB186" i="4"/>
  <c r="BB182" i="4"/>
  <c r="BB178" i="4"/>
  <c r="BB170" i="4"/>
  <c r="BB166" i="4"/>
  <c r="BB162" i="4"/>
  <c r="BF162" i="4" s="1"/>
  <c r="BB157" i="4"/>
  <c r="BB146" i="4"/>
  <c r="BB141" i="4"/>
  <c r="BB136" i="4"/>
  <c r="BB130" i="4"/>
  <c r="BF130" i="4" s="1"/>
  <c r="BB125" i="4"/>
  <c r="BB120" i="4"/>
  <c r="BB114" i="4"/>
  <c r="BF114" i="4" s="1"/>
  <c r="BB109" i="4"/>
  <c r="BB102" i="4"/>
  <c r="BB94" i="4"/>
  <c r="BB87" i="4"/>
  <c r="BF87" i="4" s="1"/>
  <c r="BB81" i="4"/>
  <c r="BB73" i="4"/>
  <c r="BB66" i="4"/>
  <c r="BF66" i="4" s="1"/>
  <c r="BB59" i="4"/>
  <c r="BB51" i="4"/>
  <c r="BB45" i="4"/>
  <c r="BB38" i="4"/>
  <c r="BB30" i="4"/>
  <c r="BB23" i="4"/>
  <c r="BB17" i="4"/>
  <c r="BB9" i="4"/>
  <c r="BB2" i="4"/>
  <c r="BF2" i="4" s="1"/>
  <c r="BC390" i="4"/>
  <c r="BF390" i="4" s="1"/>
  <c r="BC383" i="4"/>
  <c r="BF383" i="4" s="1"/>
  <c r="BC375" i="4"/>
  <c r="BC354" i="4"/>
  <c r="BC347" i="4"/>
  <c r="BC340" i="4"/>
  <c r="BC326" i="4"/>
  <c r="BC319" i="4"/>
  <c r="BF319" i="4" s="1"/>
  <c r="BC311" i="4"/>
  <c r="BC290" i="4"/>
  <c r="BF290" i="4" s="1"/>
  <c r="BC283" i="4"/>
  <c r="BC276" i="4"/>
  <c r="BC268" i="4"/>
  <c r="BC262" i="4"/>
  <c r="BF262" i="4" s="1"/>
  <c r="BC255" i="4"/>
  <c r="BC247" i="4"/>
  <c r="BC234" i="4"/>
  <c r="BC226" i="4"/>
  <c r="BF226" i="4" s="1"/>
  <c r="BC219" i="4"/>
  <c r="BC212" i="4"/>
  <c r="BC204" i="4"/>
  <c r="BC198" i="4"/>
  <c r="BC191" i="4"/>
  <c r="BF191" i="4" s="1"/>
  <c r="BC183" i="4"/>
  <c r="BC162" i="4"/>
  <c r="BC155" i="4"/>
  <c r="BC148" i="4"/>
  <c r="BC140" i="4"/>
  <c r="BC134" i="4"/>
  <c r="BC127" i="4"/>
  <c r="BC119" i="4"/>
  <c r="BC98" i="4"/>
  <c r="BC91" i="4"/>
  <c r="BC84" i="4"/>
  <c r="BC76" i="4"/>
  <c r="BC70" i="4"/>
  <c r="BC63" i="4"/>
  <c r="BC55" i="4"/>
  <c r="BC34" i="4"/>
  <c r="BC27" i="4"/>
  <c r="BC20" i="4"/>
  <c r="BC12" i="4"/>
  <c r="BC6" i="4"/>
  <c r="BD399" i="4"/>
  <c r="BD386" i="4"/>
  <c r="BD371" i="4"/>
  <c r="BD364" i="4"/>
  <c r="BD356" i="4"/>
  <c r="BD335" i="4"/>
  <c r="BD322" i="4"/>
  <c r="BD307" i="4"/>
  <c r="BD300" i="4"/>
  <c r="BD292" i="4"/>
  <c r="BD286" i="4"/>
  <c r="BD271" i="4"/>
  <c r="BD258" i="4"/>
  <c r="BD250" i="4"/>
  <c r="BD243" i="4"/>
  <c r="BD236" i="4"/>
  <c r="BD228" i="4"/>
  <c r="BD207" i="4"/>
  <c r="BD194" i="4"/>
  <c r="BD179" i="4"/>
  <c r="BD172" i="4"/>
  <c r="BD164" i="4"/>
  <c r="BD151" i="4"/>
  <c r="BF151" i="4" s="1"/>
  <c r="BD143" i="4"/>
  <c r="BD130" i="4"/>
  <c r="BD115" i="4"/>
  <c r="BD108" i="4"/>
  <c r="BD100" i="4"/>
  <c r="BD79" i="4"/>
  <c r="BF79" i="4" s="1"/>
  <c r="BD66" i="4"/>
  <c r="BD51" i="4"/>
  <c r="BD44" i="4"/>
  <c r="BD36" i="4"/>
  <c r="BD15" i="4"/>
  <c r="BE2" i="4"/>
  <c r="BE402" i="4"/>
  <c r="BE395" i="4"/>
  <c r="BE374" i="4"/>
  <c r="BE367" i="4"/>
  <c r="BF367" i="4" s="1"/>
  <c r="BE359" i="4"/>
  <c r="BE338" i="4"/>
  <c r="BE331" i="4"/>
  <c r="BE310" i="4"/>
  <c r="BE303" i="4"/>
  <c r="BE295" i="4"/>
  <c r="BF295" i="4" s="1"/>
  <c r="BD295" i="19" s="1"/>
  <c r="BE282" i="4"/>
  <c r="BE274" i="4"/>
  <c r="BE267" i="4"/>
  <c r="BF267" i="4" s="1"/>
  <c r="BE260" i="4"/>
  <c r="BE246" i="4"/>
  <c r="BE239" i="4"/>
  <c r="BE231" i="4"/>
  <c r="BF231" i="4" s="1"/>
  <c r="BE218" i="4"/>
  <c r="BE210" i="4"/>
  <c r="BE203" i="4"/>
  <c r="BF203" i="4" s="1"/>
  <c r="BE196" i="4"/>
  <c r="BE182" i="4"/>
  <c r="BE175" i="4"/>
  <c r="BF175" i="4" s="1"/>
  <c r="BE167" i="4"/>
  <c r="BF167" i="4" s="1"/>
  <c r="BE146" i="4"/>
  <c r="BE139" i="4"/>
  <c r="BE132" i="4"/>
  <c r="BE118" i="4"/>
  <c r="BE111" i="4"/>
  <c r="BE103" i="4"/>
  <c r="BF103" i="4" s="1"/>
  <c r="BE82" i="4"/>
  <c r="BE75" i="4"/>
  <c r="BE68" i="4"/>
  <c r="BE54" i="4"/>
  <c r="BE47" i="4"/>
  <c r="BE18" i="4"/>
  <c r="BE11" i="4"/>
  <c r="BF11" i="4" s="1"/>
  <c r="BE4" i="4"/>
  <c r="BF403" i="4"/>
  <c r="BF397" i="4"/>
  <c r="BF375" i="4"/>
  <c r="BF339" i="4"/>
  <c r="BF311" i="4"/>
  <c r="BF275" i="4"/>
  <c r="BF247" i="4"/>
  <c r="BF211" i="4"/>
  <c r="BF183" i="4"/>
  <c r="BF147" i="4"/>
  <c r="BF141" i="4"/>
  <c r="BF83" i="4"/>
  <c r="BF55" i="4"/>
  <c r="BF27" i="4"/>
  <c r="BF19" i="4"/>
  <c r="BE398" i="4"/>
  <c r="BC398" i="4"/>
  <c r="BE382" i="4"/>
  <c r="BC382" i="4"/>
  <c r="BE366" i="4"/>
  <c r="BC366" i="4"/>
  <c r="BE350" i="4"/>
  <c r="BC350" i="4"/>
  <c r="BE334" i="4"/>
  <c r="BC334" i="4"/>
  <c r="BE318" i="4"/>
  <c r="BC318" i="4"/>
  <c r="BE302" i="4"/>
  <c r="BC302" i="4"/>
  <c r="BE206" i="4"/>
  <c r="BC206" i="4"/>
  <c r="BE190" i="4"/>
  <c r="BC190" i="4"/>
  <c r="BE174" i="4"/>
  <c r="BC174" i="4"/>
  <c r="BE158" i="4"/>
  <c r="BC158" i="4"/>
  <c r="BE142" i="4"/>
  <c r="BC142" i="4"/>
  <c r="BE126" i="4"/>
  <c r="BC126" i="4"/>
  <c r="BE110" i="4"/>
  <c r="BC110" i="4"/>
  <c r="BB106" i="4"/>
  <c r="BF106" i="4" s="1"/>
  <c r="BE94" i="4"/>
  <c r="BC94" i="4"/>
  <c r="BB90" i="4"/>
  <c r="BF90" i="4" s="1"/>
  <c r="BE78" i="4"/>
  <c r="BC78" i="4"/>
  <c r="BB74" i="4"/>
  <c r="BE62" i="4"/>
  <c r="BC62" i="4"/>
  <c r="BB58" i="4"/>
  <c r="BE46" i="4"/>
  <c r="BC46" i="4"/>
  <c r="BB42" i="4"/>
  <c r="BE30" i="4"/>
  <c r="BC30" i="4"/>
  <c r="BB26" i="4"/>
  <c r="BE14" i="4"/>
  <c r="BC14" i="4"/>
  <c r="BB10" i="4"/>
  <c r="BB409" i="4"/>
  <c r="BB397" i="4"/>
  <c r="BB385" i="4"/>
  <c r="BB381" i="4"/>
  <c r="BF381" i="4" s="1"/>
  <c r="BB373" i="4"/>
  <c r="BF373" i="4" s="1"/>
  <c r="BB365" i="4"/>
  <c r="AZ365" i="19" s="1"/>
  <c r="BB353" i="4"/>
  <c r="AZ353" i="19" s="1"/>
  <c r="BB345" i="4"/>
  <c r="BB337" i="4"/>
  <c r="BB329" i="4"/>
  <c r="BB321" i="4"/>
  <c r="BB317" i="4"/>
  <c r="BF317" i="4" s="1"/>
  <c r="BB309" i="4"/>
  <c r="BF309" i="4" s="1"/>
  <c r="BB301" i="4"/>
  <c r="BB289" i="4"/>
  <c r="BF289" i="4" s="1"/>
  <c r="BB285" i="4"/>
  <c r="BB281" i="4"/>
  <c r="BF281" i="4" s="1"/>
  <c r="BB277" i="4"/>
  <c r="BF277" i="4" s="1"/>
  <c r="BB265" i="4"/>
  <c r="BB261" i="4"/>
  <c r="BB253" i="4"/>
  <c r="BB245" i="4"/>
  <c r="BF245" i="4" s="1"/>
  <c r="BB237" i="4"/>
  <c r="BB229" i="4"/>
  <c r="BF229" i="4" s="1"/>
  <c r="BB225" i="4"/>
  <c r="BB221" i="4"/>
  <c r="BB217" i="4"/>
  <c r="BB213" i="4"/>
  <c r="AZ214" i="19" s="1"/>
  <c r="BB205" i="4"/>
  <c r="BF205" i="4" s="1"/>
  <c r="BB201" i="4"/>
  <c r="BB197" i="4"/>
  <c r="BF197" i="4" s="1"/>
  <c r="BB193" i="4"/>
  <c r="BB189" i="4"/>
  <c r="BB185" i="4"/>
  <c r="BB181" i="4"/>
  <c r="BF181" i="4" s="1"/>
  <c r="BB177" i="4"/>
  <c r="BB173" i="4"/>
  <c r="BB169" i="4"/>
  <c r="BF169" i="4" s="1"/>
  <c r="BB165" i="4"/>
  <c r="BF165" i="4" s="1"/>
  <c r="BB161" i="4"/>
  <c r="BF161" i="4" s="1"/>
  <c r="BB150" i="4"/>
  <c r="BB145" i="4"/>
  <c r="BB134" i="4"/>
  <c r="BB129" i="4"/>
  <c r="BB118" i="4"/>
  <c r="BB113" i="4"/>
  <c r="BF113" i="4" s="1"/>
  <c r="BB93" i="4"/>
  <c r="BB86" i="4"/>
  <c r="BB78" i="4"/>
  <c r="BB65" i="4"/>
  <c r="BB57" i="4"/>
  <c r="BB50" i="4"/>
  <c r="BF50" i="4" s="1"/>
  <c r="BB29" i="4"/>
  <c r="BB22" i="4"/>
  <c r="BB14" i="4"/>
  <c r="BC2" i="4"/>
  <c r="BC402" i="4"/>
  <c r="BF402" i="4" s="1"/>
  <c r="BC374" i="4"/>
  <c r="BC346" i="4"/>
  <c r="BF346" i="4" s="1"/>
  <c r="BC338" i="4"/>
  <c r="BF338" i="4" s="1"/>
  <c r="BC310" i="4"/>
  <c r="BC282" i="4"/>
  <c r="BC274" i="4"/>
  <c r="BC246" i="4"/>
  <c r="BF246" i="4" s="1"/>
  <c r="BC218" i="4"/>
  <c r="BC210" i="4"/>
  <c r="BC182" i="4"/>
  <c r="BC154" i="4"/>
  <c r="BC146" i="4"/>
  <c r="BC118" i="4"/>
  <c r="BC90" i="4"/>
  <c r="BC82" i="4"/>
  <c r="BC54" i="4"/>
  <c r="BC26" i="4"/>
  <c r="BC18" i="4"/>
  <c r="BD398" i="4"/>
  <c r="BD370" i="4"/>
  <c r="BD362" i="4"/>
  <c r="BF362" i="4" s="1"/>
  <c r="BD348" i="4"/>
  <c r="BD334" i="4"/>
  <c r="BD306" i="4"/>
  <c r="BD298" i="4"/>
  <c r="BD284" i="4"/>
  <c r="BD242" i="4"/>
  <c r="BD220" i="4"/>
  <c r="BD206" i="4"/>
  <c r="BD178" i="4"/>
  <c r="BD170" i="4"/>
  <c r="BF170" i="4" s="1"/>
  <c r="BD156" i="4"/>
  <c r="BD142" i="4"/>
  <c r="BD114" i="4"/>
  <c r="BD106" i="4"/>
  <c r="BD92" i="4"/>
  <c r="BD78" i="4"/>
  <c r="BD50" i="4"/>
  <c r="BD42" i="4"/>
  <c r="BF42" i="4" s="1"/>
  <c r="BD28" i="4"/>
  <c r="BD14" i="4"/>
  <c r="BE394" i="4"/>
  <c r="BE386" i="4"/>
  <c r="BE358" i="4"/>
  <c r="BE330" i="4"/>
  <c r="BE322" i="4"/>
  <c r="BE294" i="4"/>
  <c r="BE266" i="4"/>
  <c r="BE258" i="4"/>
  <c r="BE230" i="4"/>
  <c r="BE202" i="4"/>
  <c r="BE194" i="4"/>
  <c r="BE166" i="4"/>
  <c r="BE138" i="4"/>
  <c r="BE130" i="4"/>
  <c r="BE102" i="4"/>
  <c r="BE74" i="4"/>
  <c r="BE66" i="4"/>
  <c r="BE38" i="4"/>
  <c r="BE10" i="4"/>
  <c r="BF409" i="4"/>
  <c r="BF395" i="4"/>
  <c r="BF374" i="4"/>
  <c r="BF359" i="4"/>
  <c r="BF353" i="4"/>
  <c r="BF345" i="4"/>
  <c r="BF310" i="4"/>
  <c r="BF274" i="4"/>
  <c r="BF253" i="4"/>
  <c r="BF225" i="4"/>
  <c r="BF217" i="4"/>
  <c r="BF210" i="4"/>
  <c r="BF189" i="4"/>
  <c r="BF182" i="4"/>
  <c r="BF146" i="4"/>
  <c r="BF125" i="4"/>
  <c r="BF118" i="4"/>
  <c r="BF75" i="4"/>
  <c r="BE270" i="4"/>
  <c r="BC270" i="4"/>
  <c r="BE254" i="4"/>
  <c r="BC254" i="4"/>
  <c r="BE222" i="4"/>
  <c r="BC222" i="4"/>
  <c r="BE405" i="4"/>
  <c r="BD405" i="4"/>
  <c r="BC405" i="4"/>
  <c r="BF405" i="4"/>
  <c r="BE401" i="4"/>
  <c r="BD401" i="4"/>
  <c r="BC401" i="4"/>
  <c r="BE393" i="4"/>
  <c r="BD393" i="4"/>
  <c r="BC393" i="4"/>
  <c r="BE389" i="4"/>
  <c r="BD389" i="4"/>
  <c r="BC389" i="4"/>
  <c r="BF389" i="4" s="1"/>
  <c r="BE381" i="4"/>
  <c r="BD381" i="4"/>
  <c r="BC381" i="4"/>
  <c r="BE377" i="4"/>
  <c r="BD377" i="4"/>
  <c r="BC377" i="4"/>
  <c r="BE369" i="4"/>
  <c r="BD369" i="4"/>
  <c r="BC369" i="4"/>
  <c r="BF369" i="4" s="1"/>
  <c r="BE361" i="4"/>
  <c r="BD361" i="4"/>
  <c r="BC361" i="4"/>
  <c r="BE357" i="4"/>
  <c r="BD357" i="4"/>
  <c r="BC357" i="4"/>
  <c r="BF357" i="4" s="1"/>
  <c r="BE349" i="4"/>
  <c r="BD349" i="4"/>
  <c r="BC349" i="4"/>
  <c r="BE341" i="4"/>
  <c r="BD341" i="4"/>
  <c r="BC341" i="4"/>
  <c r="BF341" i="4" s="1"/>
  <c r="BE333" i="4"/>
  <c r="BD333" i="4"/>
  <c r="BC333" i="4"/>
  <c r="BF333" i="4" s="1"/>
  <c r="BE325" i="4"/>
  <c r="BC325" i="19" s="1"/>
  <c r="BD325" i="4"/>
  <c r="BC325" i="4"/>
  <c r="BF325" i="4"/>
  <c r="BE317" i="4"/>
  <c r="BD317" i="4"/>
  <c r="BC317" i="4"/>
  <c r="BE313" i="4"/>
  <c r="BD313" i="4"/>
  <c r="BC313" i="4"/>
  <c r="BE305" i="4"/>
  <c r="BD305" i="4"/>
  <c r="BC305" i="4"/>
  <c r="BF305" i="4" s="1"/>
  <c r="BE297" i="4"/>
  <c r="BD297" i="4"/>
  <c r="BC297" i="4"/>
  <c r="BF297" i="4" s="1"/>
  <c r="BE293" i="4"/>
  <c r="BD293" i="4"/>
  <c r="BC293" i="4"/>
  <c r="BF293" i="4"/>
  <c r="BE281" i="4"/>
  <c r="BD281" i="4"/>
  <c r="BC281" i="4"/>
  <c r="BE273" i="4"/>
  <c r="BD273" i="4"/>
  <c r="BC273" i="4"/>
  <c r="BE269" i="4"/>
  <c r="BC270" i="19" s="1"/>
  <c r="BD269" i="4"/>
  <c r="BC269" i="4"/>
  <c r="BE257" i="4"/>
  <c r="BD257" i="4"/>
  <c r="BC257" i="4"/>
  <c r="BE249" i="4"/>
  <c r="BD249" i="4"/>
  <c r="BC249" i="4"/>
  <c r="BE241" i="4"/>
  <c r="BD241" i="4"/>
  <c r="BC241" i="4"/>
  <c r="BF241" i="4" s="1"/>
  <c r="BE233" i="4"/>
  <c r="BD233" i="4"/>
  <c r="BC233" i="4"/>
  <c r="BF233" i="4" s="1"/>
  <c r="BE209" i="4"/>
  <c r="BD209" i="4"/>
  <c r="BC209" i="4"/>
  <c r="BB138" i="4"/>
  <c r="BF138" i="4" s="1"/>
  <c r="BB133" i="4"/>
  <c r="BF133" i="4" s="1"/>
  <c r="BB122" i="4"/>
  <c r="BF122" i="4" s="1"/>
  <c r="BB117" i="4"/>
  <c r="BB105" i="4"/>
  <c r="BB77" i="4"/>
  <c r="BF77" i="4" s="1"/>
  <c r="BB41" i="4"/>
  <c r="BF41" i="4" s="1"/>
  <c r="BB13" i="4"/>
  <c r="BF13" i="4" s="1"/>
  <c r="BC394" i="4"/>
  <c r="BF394" i="4" s="1"/>
  <c r="BC266" i="4"/>
  <c r="BC258" i="4"/>
  <c r="BC230" i="4"/>
  <c r="BC138" i="4"/>
  <c r="BC130" i="4"/>
  <c r="BC38" i="4"/>
  <c r="BC10" i="4"/>
  <c r="BA11" i="19" s="1"/>
  <c r="BD2" i="4"/>
  <c r="BD382" i="4"/>
  <c r="BD318" i="4"/>
  <c r="BD290" i="4"/>
  <c r="BD282" i="4"/>
  <c r="BD254" i="4"/>
  <c r="BD226" i="4"/>
  <c r="BD218" i="4"/>
  <c r="BD190" i="4"/>
  <c r="BD162" i="4"/>
  <c r="BD154" i="4"/>
  <c r="BD126" i="4"/>
  <c r="BD98" i="4"/>
  <c r="BD90" i="4"/>
  <c r="BD62" i="4"/>
  <c r="BD34" i="4"/>
  <c r="BD26" i="4"/>
  <c r="BE406" i="4"/>
  <c r="BE378" i="4"/>
  <c r="BE370" i="4"/>
  <c r="BE342" i="4"/>
  <c r="BE314" i="4"/>
  <c r="BE306" i="4"/>
  <c r="BE278" i="4"/>
  <c r="BE250" i="4"/>
  <c r="BE242" i="4"/>
  <c r="BE214" i="4"/>
  <c r="BE186" i="4"/>
  <c r="BE178" i="4"/>
  <c r="BE150" i="4"/>
  <c r="BE122" i="4"/>
  <c r="BE114" i="4"/>
  <c r="BE86" i="4"/>
  <c r="BE58" i="4"/>
  <c r="BE50" i="4"/>
  <c r="BE22" i="4"/>
  <c r="BF401" i="4"/>
  <c r="BF393" i="4"/>
  <c r="BF386" i="4"/>
  <c r="BF379" i="4"/>
  <c r="BF365" i="4"/>
  <c r="BF358" i="4"/>
  <c r="BF350" i="4"/>
  <c r="BF337" i="4"/>
  <c r="BF329" i="4"/>
  <c r="BF301" i="4"/>
  <c r="BF286" i="4"/>
  <c r="BF273" i="4"/>
  <c r="BF265" i="4"/>
  <c r="BF237" i="4"/>
  <c r="BF230" i="4"/>
  <c r="BF222" i="4"/>
  <c r="BF209" i="4"/>
  <c r="BF201" i="4"/>
  <c r="BF173" i="4"/>
  <c r="BF166" i="4"/>
  <c r="BF158" i="4"/>
  <c r="BF145" i="4"/>
  <c r="BF109" i="4"/>
  <c r="BF102" i="4"/>
  <c r="BF94" i="4"/>
  <c r="BF81" i="4"/>
  <c r="BF73" i="4"/>
  <c r="BF45" i="4"/>
  <c r="BF30" i="4"/>
  <c r="BF17" i="4"/>
  <c r="BF9" i="4"/>
  <c r="BB154" i="4"/>
  <c r="BF154" i="4" s="1"/>
  <c r="BB149" i="4"/>
  <c r="BF149" i="4" s="1"/>
  <c r="BB98" i="4"/>
  <c r="BF98" i="4" s="1"/>
  <c r="BB70" i="4"/>
  <c r="BF70" i="4" s="1"/>
  <c r="BB62" i="4"/>
  <c r="BF62" i="4" s="1"/>
  <c r="BB49" i="4"/>
  <c r="BF49" i="4" s="1"/>
  <c r="BB34" i="4"/>
  <c r="BB6" i="4"/>
  <c r="BF6" i="4" s="1"/>
  <c r="BC294" i="4"/>
  <c r="BF408" i="4"/>
  <c r="BE408" i="4"/>
  <c r="BC408" i="4"/>
  <c r="BF400" i="4"/>
  <c r="BD400" i="4"/>
  <c r="BE392" i="4"/>
  <c r="BC392" i="4"/>
  <c r="BF388" i="4"/>
  <c r="BD384" i="4"/>
  <c r="BE376" i="4"/>
  <c r="BC376" i="4"/>
  <c r="BD368" i="4"/>
  <c r="BF368" i="4" s="1"/>
  <c r="BF364" i="4"/>
  <c r="BE360" i="4"/>
  <c r="BC360" i="19" s="1"/>
  <c r="BC360" i="4"/>
  <c r="BF356" i="4"/>
  <c r="BD352" i="4"/>
  <c r="BF352" i="4" s="1"/>
  <c r="BF344" i="4"/>
  <c r="BE344" i="4"/>
  <c r="BC344" i="4"/>
  <c r="BF336" i="4"/>
  <c r="BD336" i="4"/>
  <c r="BE328" i="4"/>
  <c r="BC328" i="19" s="1"/>
  <c r="BC328" i="4"/>
  <c r="BF324" i="4"/>
  <c r="BD320" i="4"/>
  <c r="BE312" i="4"/>
  <c r="BC312" i="4"/>
  <c r="BD304" i="4"/>
  <c r="BF300" i="4"/>
  <c r="BE296" i="4"/>
  <c r="BC296" i="4"/>
  <c r="BF296" i="4" s="1"/>
  <c r="BF292" i="4"/>
  <c r="BD288" i="4"/>
  <c r="BF288" i="4" s="1"/>
  <c r="BE280" i="4"/>
  <c r="BC280" i="4"/>
  <c r="BF272" i="4"/>
  <c r="BD272" i="4"/>
  <c r="BE264" i="4"/>
  <c r="BF264" i="4" s="1"/>
  <c r="BC264" i="4"/>
  <c r="BF260" i="4"/>
  <c r="BD256" i="4"/>
  <c r="BE248" i="4"/>
  <c r="BC248" i="4"/>
  <c r="BF248" i="4" s="1"/>
  <c r="BD240" i="4"/>
  <c r="BF236" i="4"/>
  <c r="BE232" i="4"/>
  <c r="BC232" i="4"/>
  <c r="BF232" i="4" s="1"/>
  <c r="BF228" i="4"/>
  <c r="BF224" i="4"/>
  <c r="BD224" i="4"/>
  <c r="BF216" i="4"/>
  <c r="BE216" i="4"/>
  <c r="BC216" i="4"/>
  <c r="BF208" i="4"/>
  <c r="BD208" i="4"/>
  <c r="BE200" i="4"/>
  <c r="BF200" i="4" s="1"/>
  <c r="BC200" i="4"/>
  <c r="BF196" i="4"/>
  <c r="BD192" i="4"/>
  <c r="BE184" i="4"/>
  <c r="BC184" i="4"/>
  <c r="BF184" i="4" s="1"/>
  <c r="BD176" i="4"/>
  <c r="BF176" i="4" s="1"/>
  <c r="BF172" i="4"/>
  <c r="BE168" i="4"/>
  <c r="BC168" i="4"/>
  <c r="BF168" i="4" s="1"/>
  <c r="BF164" i="4"/>
  <c r="BF160" i="4"/>
  <c r="BD160" i="4"/>
  <c r="BF152" i="4"/>
  <c r="BE152" i="4"/>
  <c r="BC152" i="4"/>
  <c r="BF144" i="4"/>
  <c r="BD144" i="4"/>
  <c r="BE136" i="4"/>
  <c r="BF136" i="4" s="1"/>
  <c r="BC136" i="4"/>
  <c r="BD128" i="4"/>
  <c r="BE120" i="4"/>
  <c r="BC120" i="4"/>
  <c r="BF120" i="4" s="1"/>
  <c r="BD112" i="4"/>
  <c r="BF112" i="4" s="1"/>
  <c r="BF108" i="4"/>
  <c r="BB108" i="4"/>
  <c r="BB104" i="4"/>
  <c r="BE104" i="4"/>
  <c r="BC104" i="4"/>
  <c r="BB100" i="4"/>
  <c r="BF100" i="4" s="1"/>
  <c r="BF96" i="4"/>
  <c r="BB96" i="4"/>
  <c r="BD96" i="4"/>
  <c r="BB92" i="4"/>
  <c r="BB88" i="4"/>
  <c r="BE88" i="4"/>
  <c r="BC88" i="4"/>
  <c r="BF88" i="4" s="1"/>
  <c r="BB84" i="4"/>
  <c r="BB80" i="4"/>
  <c r="BF80" i="4" s="1"/>
  <c r="BD80" i="4"/>
  <c r="BB76" i="4"/>
  <c r="BF76" i="4" s="1"/>
  <c r="BF72" i="4"/>
  <c r="BB72" i="4"/>
  <c r="BE72" i="4"/>
  <c r="BC72" i="4"/>
  <c r="BF68" i="4"/>
  <c r="BB68" i="4"/>
  <c r="BB64" i="4"/>
  <c r="BF64" i="4" s="1"/>
  <c r="BD64" i="4"/>
  <c r="BB60" i="4"/>
  <c r="BB56" i="4"/>
  <c r="BF56" i="4" s="1"/>
  <c r="BE56" i="4"/>
  <c r="BC56" i="4"/>
  <c r="BB52" i="4"/>
  <c r="BF52" i="4" s="1"/>
  <c r="BB48" i="4"/>
  <c r="BD48" i="4"/>
  <c r="BF44" i="4"/>
  <c r="BB44" i="4"/>
  <c r="BB40" i="4"/>
  <c r="BE40" i="4"/>
  <c r="BC40" i="4"/>
  <c r="BB36" i="4"/>
  <c r="BF32" i="4"/>
  <c r="BB32" i="4"/>
  <c r="BD32" i="4"/>
  <c r="BB28" i="4"/>
  <c r="BF28" i="4" s="1"/>
  <c r="BB24" i="4"/>
  <c r="BE24" i="4"/>
  <c r="BC24" i="4"/>
  <c r="BF24" i="4" s="1"/>
  <c r="BB20" i="4"/>
  <c r="BB16" i="4"/>
  <c r="BF16" i="4" s="1"/>
  <c r="BD16" i="4"/>
  <c r="BB12" i="4"/>
  <c r="BF12" i="4" s="1"/>
  <c r="BF8" i="4"/>
  <c r="BB8" i="4"/>
  <c r="BE8" i="4"/>
  <c r="BC8" i="4"/>
  <c r="BF4" i="4"/>
  <c r="BB4" i="4"/>
  <c r="AZ306" i="19"/>
  <c r="AZ184" i="19"/>
  <c r="BB158" i="4"/>
  <c r="BB153" i="4"/>
  <c r="BF153" i="4" s="1"/>
  <c r="BB148" i="4"/>
  <c r="BF148" i="4" s="1"/>
  <c r="BB142" i="4"/>
  <c r="BB137" i="4"/>
  <c r="BB132" i="4"/>
  <c r="BF132" i="4" s="1"/>
  <c r="BB126" i="4"/>
  <c r="AZ127" i="19" s="1"/>
  <c r="BB121" i="4"/>
  <c r="BB116" i="4"/>
  <c r="BB110" i="4"/>
  <c r="BF110" i="4" s="1"/>
  <c r="BB97" i="4"/>
  <c r="BB89" i="4"/>
  <c r="BF89" i="4" s="1"/>
  <c r="BB82" i="4"/>
  <c r="BB61" i="4"/>
  <c r="AZ63" i="19" s="1"/>
  <c r="BB54" i="4"/>
  <c r="BF54" i="4" s="1"/>
  <c r="BB46" i="4"/>
  <c r="BF46" i="4" s="1"/>
  <c r="BB33" i="4"/>
  <c r="BF33" i="4" s="1"/>
  <c r="BB25" i="4"/>
  <c r="BF25" i="4" s="1"/>
  <c r="BB18" i="4"/>
  <c r="BF18" i="4" s="1"/>
  <c r="BC406" i="4"/>
  <c r="BC399" i="4"/>
  <c r="BF399" i="4" s="1"/>
  <c r="BC391" i="4"/>
  <c r="BF391" i="4" s="1"/>
  <c r="BC384" i="4"/>
  <c r="BF384" i="4" s="1"/>
  <c r="BC378" i="4"/>
  <c r="BF378" i="4" s="1"/>
  <c r="BC370" i="4"/>
  <c r="BC363" i="4"/>
  <c r="BC356" i="4"/>
  <c r="BC348" i="4"/>
  <c r="BF348" i="4" s="1"/>
  <c r="BC342" i="4"/>
  <c r="BC335" i="4"/>
  <c r="BC327" i="4"/>
  <c r="BF327" i="4" s="1"/>
  <c r="BC320" i="4"/>
  <c r="BF320" i="4" s="1"/>
  <c r="BC314" i="4"/>
  <c r="BF314" i="4" s="1"/>
  <c r="BC306" i="4"/>
  <c r="BC299" i="4"/>
  <c r="BC292" i="4"/>
  <c r="BC284" i="4"/>
  <c r="BC278" i="4"/>
  <c r="BC271" i="4"/>
  <c r="BF271" i="4" s="1"/>
  <c r="BC263" i="4"/>
  <c r="BF263" i="4" s="1"/>
  <c r="BC256" i="4"/>
  <c r="BF256" i="4" s="1"/>
  <c r="BC250" i="4"/>
  <c r="BC242" i="4"/>
  <c r="BC235" i="4"/>
  <c r="BC228" i="4"/>
  <c r="BC220" i="4"/>
  <c r="BC214" i="4"/>
  <c r="BC207" i="4"/>
  <c r="BF207" i="4" s="1"/>
  <c r="BC199" i="4"/>
  <c r="BF199" i="4" s="1"/>
  <c r="BC192" i="4"/>
  <c r="BF192" i="4" s="1"/>
  <c r="BC186" i="4"/>
  <c r="BA187" i="19" s="1"/>
  <c r="BC178" i="4"/>
  <c r="BC164" i="4"/>
  <c r="BC156" i="4"/>
  <c r="BF156" i="4" s="1"/>
  <c r="BC150" i="4"/>
  <c r="BC128" i="4"/>
  <c r="BC122" i="4"/>
  <c r="BC114" i="4"/>
  <c r="BC100" i="4"/>
  <c r="BC92" i="4"/>
  <c r="BC86" i="4"/>
  <c r="BC64" i="4"/>
  <c r="BC58" i="4"/>
  <c r="BA60" i="19" s="1"/>
  <c r="BC50" i="4"/>
  <c r="BC36" i="4"/>
  <c r="BC28" i="4"/>
  <c r="BC22" i="4"/>
  <c r="BF22" i="4" s="1"/>
  <c r="BD408" i="4"/>
  <c r="BD394" i="4"/>
  <c r="BD387" i="4"/>
  <c r="BF387" i="4" s="1"/>
  <c r="BD380" i="4"/>
  <c r="BF380" i="4" s="1"/>
  <c r="BD372" i="4"/>
  <c r="BF372" i="4" s="1"/>
  <c r="BD366" i="4"/>
  <c r="BF366" i="4" s="1"/>
  <c r="BD351" i="4"/>
  <c r="BB351" i="19" s="1"/>
  <c r="BD344" i="4"/>
  <c r="BD330" i="4"/>
  <c r="BD323" i="4"/>
  <c r="BD316" i="4"/>
  <c r="BB316" i="19" s="1"/>
  <c r="BD308" i="4"/>
  <c r="BF308" i="4" s="1"/>
  <c r="BD302" i="4"/>
  <c r="BD287" i="4"/>
  <c r="BF287" i="4" s="1"/>
  <c r="BD280" i="4"/>
  <c r="BF280" i="4" s="1"/>
  <c r="BD266" i="4"/>
  <c r="BD259" i="4"/>
  <c r="BD252" i="4"/>
  <c r="BF252" i="4" s="1"/>
  <c r="BD244" i="4"/>
  <c r="BF244" i="4" s="1"/>
  <c r="BD238" i="4"/>
  <c r="BF238" i="4" s="1"/>
  <c r="BD223" i="4"/>
  <c r="BF223" i="4" s="1"/>
  <c r="BD216" i="4"/>
  <c r="BD202" i="4"/>
  <c r="BF202" i="4" s="1"/>
  <c r="BD195" i="4"/>
  <c r="BD188" i="4"/>
  <c r="BD180" i="4"/>
  <c r="BD174" i="4"/>
  <c r="BF174" i="4" s="1"/>
  <c r="BD159" i="4"/>
  <c r="BD152" i="4"/>
  <c r="BD138" i="4"/>
  <c r="BD131" i="4"/>
  <c r="BD124" i="4"/>
  <c r="BD116" i="4"/>
  <c r="BB117" i="19" s="1"/>
  <c r="BD110" i="4"/>
  <c r="BD95" i="4"/>
  <c r="BF95" i="4" s="1"/>
  <c r="BD88" i="4"/>
  <c r="BD74" i="4"/>
  <c r="BF74" i="4" s="1"/>
  <c r="BD60" i="4"/>
  <c r="BF60" i="4" s="1"/>
  <c r="BD52" i="4"/>
  <c r="BD46" i="4"/>
  <c r="BB32" i="19"/>
  <c r="BD24" i="4"/>
  <c r="BD10" i="4"/>
  <c r="BB11" i="19" s="1"/>
  <c r="BE404" i="4"/>
  <c r="BF404" i="4" s="1"/>
  <c r="BE396" i="4"/>
  <c r="BF396" i="4" s="1"/>
  <c r="BE390" i="4"/>
  <c r="BE383" i="4"/>
  <c r="BC383" i="19" s="1"/>
  <c r="BE368" i="4"/>
  <c r="BE362" i="4"/>
  <c r="BE347" i="4"/>
  <c r="BF347" i="4" s="1"/>
  <c r="BE340" i="4"/>
  <c r="BE332" i="4"/>
  <c r="BF332" i="4" s="1"/>
  <c r="BE326" i="4"/>
  <c r="BF326" i="4" s="1"/>
  <c r="BE319" i="4"/>
  <c r="BE304" i="4"/>
  <c r="BE298" i="4"/>
  <c r="BF298" i="4" s="1"/>
  <c r="BE283" i="4"/>
  <c r="BF283" i="4" s="1"/>
  <c r="BE276" i="4"/>
  <c r="BF276" i="4" s="1"/>
  <c r="BE268" i="4"/>
  <c r="BF268" i="4" s="1"/>
  <c r="BE262" i="4"/>
  <c r="BE255" i="4"/>
  <c r="BC256" i="19" s="1"/>
  <c r="BE240" i="4"/>
  <c r="BE234" i="4"/>
  <c r="BF234" i="4" s="1"/>
  <c r="BE219" i="4"/>
  <c r="BF219" i="4" s="1"/>
  <c r="BE212" i="4"/>
  <c r="BF212" i="4" s="1"/>
  <c r="BE204" i="4"/>
  <c r="BF204" i="4" s="1"/>
  <c r="BE198" i="4"/>
  <c r="BE191" i="4"/>
  <c r="BE176" i="4"/>
  <c r="BE170" i="4"/>
  <c r="BE155" i="4"/>
  <c r="BF155" i="4" s="1"/>
  <c r="BE148" i="4"/>
  <c r="BE140" i="4"/>
  <c r="BC141" i="19" s="1"/>
  <c r="BE134" i="4"/>
  <c r="BE127" i="4"/>
  <c r="BC128" i="19" s="1"/>
  <c r="BE119" i="4"/>
  <c r="BF119" i="4" s="1"/>
  <c r="BE112" i="4"/>
  <c r="BE106" i="4"/>
  <c r="BE91" i="4"/>
  <c r="BF91" i="4" s="1"/>
  <c r="BE84" i="4"/>
  <c r="BF84" i="4" s="1"/>
  <c r="BE76" i="4"/>
  <c r="BE70" i="4"/>
  <c r="BE63" i="4"/>
  <c r="BC66" i="19" s="1"/>
  <c r="BE48" i="4"/>
  <c r="BE42" i="4"/>
  <c r="BE20" i="4"/>
  <c r="BF20" i="4" s="1"/>
  <c r="BE12" i="4"/>
  <c r="BE6" i="4"/>
  <c r="BF406" i="4"/>
  <c r="BF398" i="4"/>
  <c r="BF385" i="4"/>
  <c r="BF377" i="4"/>
  <c r="BF363" i="4"/>
  <c r="BF355" i="4"/>
  <c r="BF349" i="4"/>
  <c r="BF342" i="4"/>
  <c r="BF334" i="4"/>
  <c r="BF321" i="4"/>
  <c r="BF313" i="4"/>
  <c r="BF299" i="4"/>
  <c r="BF291" i="4"/>
  <c r="BF285" i="4"/>
  <c r="BF278" i="4"/>
  <c r="BF270" i="4"/>
  <c r="BF257" i="4"/>
  <c r="BF249" i="4"/>
  <c r="BF235" i="4"/>
  <c r="BF227" i="4"/>
  <c r="BF221" i="4"/>
  <c r="BF214" i="4"/>
  <c r="BF206" i="4"/>
  <c r="BF193" i="4"/>
  <c r="BF185" i="4"/>
  <c r="BF171" i="4"/>
  <c r="BF163" i="4"/>
  <c r="BF157" i="4"/>
  <c r="BF150" i="4"/>
  <c r="BF142" i="4"/>
  <c r="BF135" i="4"/>
  <c r="BF129" i="4"/>
  <c r="BF121" i="4"/>
  <c r="BF107" i="4"/>
  <c r="BF99" i="4"/>
  <c r="BF93" i="4"/>
  <c r="BF86" i="4"/>
  <c r="BF78" i="4"/>
  <c r="BF65" i="4"/>
  <c r="BF57" i="4"/>
  <c r="BF43" i="4"/>
  <c r="BF35" i="4"/>
  <c r="BF29" i="4"/>
  <c r="BF14" i="4"/>
  <c r="BF7" i="4"/>
  <c r="AV408" i="5"/>
  <c r="AV404" i="5"/>
  <c r="AV400" i="5"/>
  <c r="AV396" i="5"/>
  <c r="AV392" i="5"/>
  <c r="AV388" i="5"/>
  <c r="AV384" i="5"/>
  <c r="AV380" i="5"/>
  <c r="AV376" i="5"/>
  <c r="AV372" i="5"/>
  <c r="AV368" i="5"/>
  <c r="AV364" i="5"/>
  <c r="AV360" i="5"/>
  <c r="AV356" i="5"/>
  <c r="AV352" i="5"/>
  <c r="AV348" i="5"/>
  <c r="AV344" i="5"/>
  <c r="AV340" i="5"/>
  <c r="AV336" i="5"/>
  <c r="AV332" i="5"/>
  <c r="AV328" i="5"/>
  <c r="AV324" i="5"/>
  <c r="AV320" i="5"/>
  <c r="AV316" i="5"/>
  <c r="AV312" i="5"/>
  <c r="AV308" i="5"/>
  <c r="AV304" i="5"/>
  <c r="AV300" i="5"/>
  <c r="AV296" i="5"/>
  <c r="AV292" i="5"/>
  <c r="AV288" i="5"/>
  <c r="AV284" i="5"/>
  <c r="AV280" i="5"/>
  <c r="AV276" i="5"/>
  <c r="AV272" i="5"/>
  <c r="AV268" i="5"/>
  <c r="AV264" i="5"/>
  <c r="AV260" i="5"/>
  <c r="AV256" i="5"/>
  <c r="AV252" i="5"/>
  <c r="AV248" i="5"/>
  <c r="AV244" i="5"/>
  <c r="AV240" i="5"/>
  <c r="AV236" i="5"/>
  <c r="AV232" i="5"/>
  <c r="AV228" i="5"/>
  <c r="AV224" i="5"/>
  <c r="AV220" i="5"/>
  <c r="AV216" i="5"/>
  <c r="AV212" i="5"/>
  <c r="AV208" i="5"/>
  <c r="AV204" i="5"/>
  <c r="AV200" i="5"/>
  <c r="AV196" i="5"/>
  <c r="AV192" i="5"/>
  <c r="AV188" i="5"/>
  <c r="AV184" i="5"/>
  <c r="AV180" i="5"/>
  <c r="AV176" i="5"/>
  <c r="AV172" i="5"/>
  <c r="AV168" i="5"/>
  <c r="AV164" i="5"/>
  <c r="AV160" i="5"/>
  <c r="AV156" i="5"/>
  <c r="AV152" i="5"/>
  <c r="AV148" i="5"/>
  <c r="AV144" i="5"/>
  <c r="AV140" i="5"/>
  <c r="AV136" i="5"/>
  <c r="AV132" i="5"/>
  <c r="AV128" i="5"/>
  <c r="AV124" i="5"/>
  <c r="AV120" i="5"/>
  <c r="AV116" i="5"/>
  <c r="AV112" i="5"/>
  <c r="AV108" i="5"/>
  <c r="AV104" i="5"/>
  <c r="AV100" i="5"/>
  <c r="AV96" i="5"/>
  <c r="AV92" i="5"/>
  <c r="AV88" i="5"/>
  <c r="AV84" i="5"/>
  <c r="AV80" i="5"/>
  <c r="AV76" i="5"/>
  <c r="AV72" i="5"/>
  <c r="AV68" i="5"/>
  <c r="AV64" i="5"/>
  <c r="AV60" i="5"/>
  <c r="AV56" i="5"/>
  <c r="AV52" i="5"/>
  <c r="AV48" i="5"/>
  <c r="AV44" i="5"/>
  <c r="AV40" i="5"/>
  <c r="AV36" i="5"/>
  <c r="AV32" i="5"/>
  <c r="AV28" i="5"/>
  <c r="AV24" i="5"/>
  <c r="AV20" i="5"/>
  <c r="AV16" i="5"/>
  <c r="AV12" i="5"/>
  <c r="AV8" i="5"/>
  <c r="AV4" i="5"/>
  <c r="BC408" i="5"/>
  <c r="BD404" i="5"/>
  <c r="BC404" i="5"/>
  <c r="BB404" i="5"/>
  <c r="BB400" i="5"/>
  <c r="BB396" i="5"/>
  <c r="BC396" i="5"/>
  <c r="BC392" i="5"/>
  <c r="BC388" i="5"/>
  <c r="BB388" i="5"/>
  <c r="BD388" i="5" s="1"/>
  <c r="BB384" i="5"/>
  <c r="BB380" i="5"/>
  <c r="BC380" i="5"/>
  <c r="BC376" i="5"/>
  <c r="BC372" i="5"/>
  <c r="BB372" i="5"/>
  <c r="BB368" i="5"/>
  <c r="BB364" i="5"/>
  <c r="BC364" i="5"/>
  <c r="BC364" i="19" s="1"/>
  <c r="BD356" i="5"/>
  <c r="BC356" i="5"/>
  <c r="BC356" i="19" s="1"/>
  <c r="BB356" i="5"/>
  <c r="BB352" i="5"/>
  <c r="BB348" i="5"/>
  <c r="BC348" i="5"/>
  <c r="BD344" i="5"/>
  <c r="BC344" i="5"/>
  <c r="BC340" i="5"/>
  <c r="BB340" i="5"/>
  <c r="BB340" i="19" s="1"/>
  <c r="BC336" i="5"/>
  <c r="BC336" i="19" s="1"/>
  <c r="BB336" i="5"/>
  <c r="BC332" i="5"/>
  <c r="BB332" i="5"/>
  <c r="BB332" i="19" s="1"/>
  <c r="BC324" i="5"/>
  <c r="BC324" i="19" s="1"/>
  <c r="BD324" i="5"/>
  <c r="BB324" i="5"/>
  <c r="BB324" i="19" s="1"/>
  <c r="BC320" i="5"/>
  <c r="BB320" i="5"/>
  <c r="BC316" i="5"/>
  <c r="BC316" i="19" s="1"/>
  <c r="BB316" i="5"/>
  <c r="BC312" i="5"/>
  <c r="BC308" i="5"/>
  <c r="BB308" i="5"/>
  <c r="BC304" i="5"/>
  <c r="BB304" i="5"/>
  <c r="BD300" i="5"/>
  <c r="BC300" i="5"/>
  <c r="BC299" i="19" s="1"/>
  <c r="BB300" i="5"/>
  <c r="BC292" i="5"/>
  <c r="BD292" i="5"/>
  <c r="BB292" i="5"/>
  <c r="BC288" i="5"/>
  <c r="BB288" i="5"/>
  <c r="BC284" i="5"/>
  <c r="BC285" i="19" s="1"/>
  <c r="BB284" i="5"/>
  <c r="BC280" i="5"/>
  <c r="BC276" i="5"/>
  <c r="BB276" i="5"/>
  <c r="BC272" i="5"/>
  <c r="BC273" i="19" s="1"/>
  <c r="BB272" i="5"/>
  <c r="BC268" i="5"/>
  <c r="BB268" i="5"/>
  <c r="BC260" i="5"/>
  <c r="BD260" i="5"/>
  <c r="BB260" i="5"/>
  <c r="BC256" i="5"/>
  <c r="BB256" i="5"/>
  <c r="BC252" i="5"/>
  <c r="BB252" i="5"/>
  <c r="BC248" i="5"/>
  <c r="BC244" i="5"/>
  <c r="BB244" i="5"/>
  <c r="BC240" i="5"/>
  <c r="BB240" i="5"/>
  <c r="BD236" i="5"/>
  <c r="BC236" i="5"/>
  <c r="BB236" i="5"/>
  <c r="BC228" i="5"/>
  <c r="BD228" i="5"/>
  <c r="BB228" i="5"/>
  <c r="BC224" i="5"/>
  <c r="BB224" i="5"/>
  <c r="BC220" i="5"/>
  <c r="BC221" i="19" s="1"/>
  <c r="BB220" i="5"/>
  <c r="BA220" i="5"/>
  <c r="BC216" i="5"/>
  <c r="BD216" i="5"/>
  <c r="BA216" i="5"/>
  <c r="BC212" i="5"/>
  <c r="BD212" i="5" s="1"/>
  <c r="BA212" i="5"/>
  <c r="BB212" i="5"/>
  <c r="BC208" i="5"/>
  <c r="BB208" i="5"/>
  <c r="BC204" i="5"/>
  <c r="BB204" i="5"/>
  <c r="BA204" i="5"/>
  <c r="BC200" i="5"/>
  <c r="BA200" i="5"/>
  <c r="BD200" i="5" s="1"/>
  <c r="BC196" i="5"/>
  <c r="BA196" i="5"/>
  <c r="BB196" i="5"/>
  <c r="BD196" i="5" s="1"/>
  <c r="BC192" i="5"/>
  <c r="BB192" i="5"/>
  <c r="BC188" i="5"/>
  <c r="BC190" i="19" s="1"/>
  <c r="BB188" i="5"/>
  <c r="BA188" i="5"/>
  <c r="BA190" i="19" s="1"/>
  <c r="BC184" i="5"/>
  <c r="BA184" i="5"/>
  <c r="BD184" i="5" s="1"/>
  <c r="BC180" i="5"/>
  <c r="BC181" i="19" s="1"/>
  <c r="BA180" i="5"/>
  <c r="BA181" i="19" s="1"/>
  <c r="BB180" i="5"/>
  <c r="BC176" i="5"/>
  <c r="BB176" i="5"/>
  <c r="BC172" i="5"/>
  <c r="BC173" i="19" s="1"/>
  <c r="BB172" i="5"/>
  <c r="BA172" i="5"/>
  <c r="BA173" i="19" s="1"/>
  <c r="BC168" i="5"/>
  <c r="BD168" i="5"/>
  <c r="BA168" i="5"/>
  <c r="BD164" i="5"/>
  <c r="BC164" i="5"/>
  <c r="BA164" i="5"/>
  <c r="BB164" i="5"/>
  <c r="BD160" i="5"/>
  <c r="BC160" i="5"/>
  <c r="BB160" i="5"/>
  <c r="BC156" i="5"/>
  <c r="BB156" i="5"/>
  <c r="BA156" i="5"/>
  <c r="BC152" i="5"/>
  <c r="BA152" i="5"/>
  <c r="BC148" i="5"/>
  <c r="BA148" i="5"/>
  <c r="BD148" i="5" s="1"/>
  <c r="BB148" i="5"/>
  <c r="BC144" i="5"/>
  <c r="BC145" i="19" s="1"/>
  <c r="BB144" i="5"/>
  <c r="BC140" i="5"/>
  <c r="BB140" i="5"/>
  <c r="BB141" i="19" s="1"/>
  <c r="BA140" i="5"/>
  <c r="BC136" i="5"/>
  <c r="BA136" i="5"/>
  <c r="BD132" i="5"/>
  <c r="BC132" i="5"/>
  <c r="BA132" i="5"/>
  <c r="BB132" i="5"/>
  <c r="BD128" i="5"/>
  <c r="BC128" i="5"/>
  <c r="BC129" i="19" s="1"/>
  <c r="BB128" i="5"/>
  <c r="BC124" i="5"/>
  <c r="BC125" i="19" s="1"/>
  <c r="BB124" i="5"/>
  <c r="BA124" i="5"/>
  <c r="BA125" i="19" s="1"/>
  <c r="BC120" i="5"/>
  <c r="BA120" i="5"/>
  <c r="BC116" i="5"/>
  <c r="BC117" i="19" s="1"/>
  <c r="BA116" i="5"/>
  <c r="BA117" i="19" s="1"/>
  <c r="BB116" i="5"/>
  <c r="BC112" i="5"/>
  <c r="BB112" i="5"/>
  <c r="BD112" i="5" s="1"/>
  <c r="BC108" i="5"/>
  <c r="BB108" i="5"/>
  <c r="BA108" i="5"/>
  <c r="BD108" i="5" s="1"/>
  <c r="BC104" i="5"/>
  <c r="BA104" i="5"/>
  <c r="BD100" i="5"/>
  <c r="BC100" i="5"/>
  <c r="BA100" i="5"/>
  <c r="BB100" i="5"/>
  <c r="BC96" i="5"/>
  <c r="BC96" i="19" s="1"/>
  <c r="BB96" i="5"/>
  <c r="BC92" i="5"/>
  <c r="BC93" i="19" s="1"/>
  <c r="BB92" i="5"/>
  <c r="BA92" i="5"/>
  <c r="BC88" i="5"/>
  <c r="BA88" i="5"/>
  <c r="BC84" i="5"/>
  <c r="BA84" i="5"/>
  <c r="BB84" i="5"/>
  <c r="BC80" i="5"/>
  <c r="BB80" i="5"/>
  <c r="BC76" i="5"/>
  <c r="BB76" i="5"/>
  <c r="BA76" i="5"/>
  <c r="BC72" i="5"/>
  <c r="BA72" i="5"/>
  <c r="BD68" i="5"/>
  <c r="BC68" i="5"/>
  <c r="BA68" i="5"/>
  <c r="BB68" i="5"/>
  <c r="BD64" i="5"/>
  <c r="BC64" i="5"/>
  <c r="BB64" i="5"/>
  <c r="BC60" i="5"/>
  <c r="BB60" i="5"/>
  <c r="BA60" i="5"/>
  <c r="BC56" i="5"/>
  <c r="BA56" i="5"/>
  <c r="BC52" i="5"/>
  <c r="BA52" i="5"/>
  <c r="BB52" i="5"/>
  <c r="BC48" i="5"/>
  <c r="BB48" i="5"/>
  <c r="BD48" i="5" s="1"/>
  <c r="BC44" i="5"/>
  <c r="BB44" i="5"/>
  <c r="BA44" i="5"/>
  <c r="BD44" i="5" s="1"/>
  <c r="BC40" i="5"/>
  <c r="BA40" i="5"/>
  <c r="BD36" i="5"/>
  <c r="BC36" i="5"/>
  <c r="BC37" i="19" s="1"/>
  <c r="BA36" i="5"/>
  <c r="BB36" i="5"/>
  <c r="BC32" i="5"/>
  <c r="BC33" i="19" s="1"/>
  <c r="BB32" i="5"/>
  <c r="BC28" i="5"/>
  <c r="BB28" i="5"/>
  <c r="BA28" i="5"/>
  <c r="BC24" i="5"/>
  <c r="BA24" i="5"/>
  <c r="BC20" i="5"/>
  <c r="BA20" i="5"/>
  <c r="BB20" i="5"/>
  <c r="BC16" i="5"/>
  <c r="BB16" i="5"/>
  <c r="BD16" i="5" s="1"/>
  <c r="BC12" i="5"/>
  <c r="BB12" i="5"/>
  <c r="BA12" i="5"/>
  <c r="BC8" i="5"/>
  <c r="BA8" i="5"/>
  <c r="BD4" i="5"/>
  <c r="BC4" i="5"/>
  <c r="BA4" i="5"/>
  <c r="BA10" i="19" s="1"/>
  <c r="BB4" i="5"/>
  <c r="BB10" i="19" s="1"/>
  <c r="AZ408" i="5"/>
  <c r="BD408" i="5" s="1"/>
  <c r="AZ404" i="5"/>
  <c r="AZ400" i="5"/>
  <c r="BD400" i="5" s="1"/>
  <c r="AZ396" i="5"/>
  <c r="AZ392" i="5"/>
  <c r="AZ391" i="19" s="1"/>
  <c r="AZ388" i="5"/>
  <c r="AZ384" i="5"/>
  <c r="AZ386" i="19" s="1"/>
  <c r="AZ380" i="5"/>
  <c r="BD380" i="5" s="1"/>
  <c r="AZ376" i="5"/>
  <c r="AZ372" i="19" s="1"/>
  <c r="AZ372" i="5"/>
  <c r="BD372" i="5" s="1"/>
  <c r="AZ356" i="5"/>
  <c r="AZ356" i="19" s="1"/>
  <c r="AZ344" i="5"/>
  <c r="AZ336" i="5"/>
  <c r="AZ336" i="19" s="1"/>
  <c r="AZ328" i="5"/>
  <c r="AZ328" i="19" s="1"/>
  <c r="AZ320" i="5"/>
  <c r="BD320" i="5" s="1"/>
  <c r="AZ312" i="5"/>
  <c r="AZ312" i="19" s="1"/>
  <c r="AZ304" i="5"/>
  <c r="AZ304" i="19" s="1"/>
  <c r="AZ296" i="5"/>
  <c r="BD296" i="5" s="1"/>
  <c r="AZ288" i="5"/>
  <c r="BD288" i="5" s="1"/>
  <c r="AZ280" i="5"/>
  <c r="AZ272" i="5"/>
  <c r="AZ273" i="19" s="1"/>
  <c r="AZ264" i="5"/>
  <c r="AZ256" i="5"/>
  <c r="BD256" i="5" s="1"/>
  <c r="AZ248" i="5"/>
  <c r="AZ240" i="5"/>
  <c r="AZ241" i="19" s="1"/>
  <c r="AZ232" i="5"/>
  <c r="AZ224" i="5"/>
  <c r="BD224" i="5" s="1"/>
  <c r="AZ216" i="5"/>
  <c r="AZ208" i="5"/>
  <c r="BD208" i="5" s="1"/>
  <c r="AZ200" i="5"/>
  <c r="AZ192" i="5"/>
  <c r="BD192" i="5" s="1"/>
  <c r="AZ184" i="5"/>
  <c r="AZ176" i="5"/>
  <c r="BD176" i="5" s="1"/>
  <c r="AZ168" i="5"/>
  <c r="AZ160" i="5"/>
  <c r="AZ152" i="5"/>
  <c r="BD152" i="5" s="1"/>
  <c r="AZ144" i="5"/>
  <c r="AZ145" i="19" s="1"/>
  <c r="AZ136" i="5"/>
  <c r="BD136" i="5" s="1"/>
  <c r="AZ124" i="5"/>
  <c r="BD124" i="5" s="1"/>
  <c r="AZ108" i="5"/>
  <c r="AZ92" i="5"/>
  <c r="BD92" i="5" s="1"/>
  <c r="AZ76" i="5"/>
  <c r="BD76" i="5" s="1"/>
  <c r="AZ60" i="5"/>
  <c r="BD60" i="5" s="1"/>
  <c r="AZ44" i="5"/>
  <c r="AZ28" i="5"/>
  <c r="BD28" i="5" s="1"/>
  <c r="AZ12" i="5"/>
  <c r="BD12" i="5" s="1"/>
  <c r="BA404" i="5"/>
  <c r="BA388" i="5"/>
  <c r="BA372" i="5"/>
  <c r="BA356" i="5"/>
  <c r="BA340" i="5"/>
  <c r="BA324" i="5"/>
  <c r="BA324" i="19" s="1"/>
  <c r="BA308" i="5"/>
  <c r="BA292" i="5"/>
  <c r="BA276" i="5"/>
  <c r="BA260" i="5"/>
  <c r="BA244" i="5"/>
  <c r="BA228" i="5"/>
  <c r="BA208" i="5"/>
  <c r="BA144" i="5"/>
  <c r="BA145" i="19" s="1"/>
  <c r="BA80" i="5"/>
  <c r="BD80" i="5" s="1"/>
  <c r="BA16" i="5"/>
  <c r="BB360" i="5"/>
  <c r="BB360" i="19" s="1"/>
  <c r="BB296" i="5"/>
  <c r="BB232" i="5"/>
  <c r="BD232" i="5" s="1"/>
  <c r="BB168" i="5"/>
  <c r="BB104" i="5"/>
  <c r="BB106" i="19" s="1"/>
  <c r="BB40" i="5"/>
  <c r="BB41" i="19" s="1"/>
  <c r="BC384" i="5"/>
  <c r="BC386" i="19" s="1"/>
  <c r="AV407" i="5"/>
  <c r="AV403" i="5"/>
  <c r="AV399" i="5"/>
  <c r="AV395" i="5"/>
  <c r="AV391" i="5"/>
  <c r="AV387" i="5"/>
  <c r="AV383" i="5"/>
  <c r="AV379" i="5"/>
  <c r="AV375" i="5"/>
  <c r="AV371" i="5"/>
  <c r="AV367" i="5"/>
  <c r="AV363" i="5"/>
  <c r="AV359" i="5"/>
  <c r="AV355" i="5"/>
  <c r="AV351" i="5"/>
  <c r="AV347" i="5"/>
  <c r="AV343" i="5"/>
  <c r="AV339" i="5"/>
  <c r="AV335" i="5"/>
  <c r="AV331" i="5"/>
  <c r="AV327" i="5"/>
  <c r="AV323" i="5"/>
  <c r="AV319" i="5"/>
  <c r="AV315" i="5"/>
  <c r="AV311" i="5"/>
  <c r="AV307" i="5"/>
  <c r="AV303" i="5"/>
  <c r="AV299" i="5"/>
  <c r="AV295" i="5"/>
  <c r="AV291" i="5"/>
  <c r="AV287" i="5"/>
  <c r="AV283" i="5"/>
  <c r="AV279" i="5"/>
  <c r="AV275" i="5"/>
  <c r="AV271" i="5"/>
  <c r="AV267" i="5"/>
  <c r="AV263" i="5"/>
  <c r="AV259" i="5"/>
  <c r="AV255" i="5"/>
  <c r="AV251" i="5"/>
  <c r="AV247" i="5"/>
  <c r="AV243" i="5"/>
  <c r="AV239" i="5"/>
  <c r="AV235" i="5"/>
  <c r="AV231" i="5"/>
  <c r="AV227" i="5"/>
  <c r="AV223" i="5"/>
  <c r="AV219" i="5"/>
  <c r="AV215" i="5"/>
  <c r="AV211" i="5"/>
  <c r="AV207" i="5"/>
  <c r="AV203" i="5"/>
  <c r="AV199" i="5"/>
  <c r="AV195" i="5"/>
  <c r="AV191" i="5"/>
  <c r="AV187" i="5"/>
  <c r="AV183" i="5"/>
  <c r="AV179" i="5"/>
  <c r="AV175" i="5"/>
  <c r="AV171" i="5"/>
  <c r="AV167" i="5"/>
  <c r="AV163" i="5"/>
  <c r="AV159" i="5"/>
  <c r="AV155" i="5"/>
  <c r="AV151" i="5"/>
  <c r="AV147" i="5"/>
  <c r="AV143" i="5"/>
  <c r="AV139" i="5"/>
  <c r="AV135" i="5"/>
  <c r="AV131" i="5"/>
  <c r="AV127" i="5"/>
  <c r="AV123" i="5"/>
  <c r="AV119" i="5"/>
  <c r="AV115" i="5"/>
  <c r="AV111" i="5"/>
  <c r="AV107" i="5"/>
  <c r="AV103" i="5"/>
  <c r="AV99" i="5"/>
  <c r="AV95" i="5"/>
  <c r="AV91" i="5"/>
  <c r="AV87" i="5"/>
  <c r="AV83" i="5"/>
  <c r="AV79" i="5"/>
  <c r="AV75" i="5"/>
  <c r="AV71" i="5"/>
  <c r="AV67" i="5"/>
  <c r="AV63" i="5"/>
  <c r="AV59" i="5"/>
  <c r="AV55" i="5"/>
  <c r="AV51" i="5"/>
  <c r="AV47" i="5"/>
  <c r="AV43" i="5"/>
  <c r="AV39" i="5"/>
  <c r="AV35" i="5"/>
  <c r="AV31" i="5"/>
  <c r="AV27" i="5"/>
  <c r="AV23" i="5"/>
  <c r="AV19" i="5"/>
  <c r="AV15" i="5"/>
  <c r="AV11" i="5"/>
  <c r="AV7" i="5"/>
  <c r="AV3" i="5"/>
  <c r="BC407" i="5"/>
  <c r="BB407" i="5"/>
  <c r="BD407" i="5" s="1"/>
  <c r="BA407" i="5"/>
  <c r="BC403" i="5"/>
  <c r="BB403" i="5"/>
  <c r="BA403" i="5"/>
  <c r="BC399" i="5"/>
  <c r="BB399" i="5"/>
  <c r="BD399" i="5" s="1"/>
  <c r="BA399" i="5"/>
  <c r="BC395" i="5"/>
  <c r="BB395" i="5"/>
  <c r="BB395" i="19" s="1"/>
  <c r="BA395" i="5"/>
  <c r="BA395" i="19" s="1"/>
  <c r="BC391" i="5"/>
  <c r="BB391" i="5"/>
  <c r="BD391" i="5" s="1"/>
  <c r="BA391" i="5"/>
  <c r="BC387" i="5"/>
  <c r="BB387" i="5"/>
  <c r="BA387" i="5"/>
  <c r="BC383" i="5"/>
  <c r="BB383" i="5"/>
  <c r="BB383" i="19" s="1"/>
  <c r="BA383" i="5"/>
  <c r="BC379" i="5"/>
  <c r="BC379" i="19" s="1"/>
  <c r="BB379" i="5"/>
  <c r="BB379" i="19" s="1"/>
  <c r="BA379" i="5"/>
  <c r="BA379" i="19" s="1"/>
  <c r="BC375" i="5"/>
  <c r="BB375" i="5"/>
  <c r="BD375" i="5"/>
  <c r="BA375" i="5"/>
  <c r="BC371" i="5"/>
  <c r="BB371" i="5"/>
  <c r="BA371" i="5"/>
  <c r="BD371" i="5" s="1"/>
  <c r="AZ371" i="5"/>
  <c r="BC367" i="5"/>
  <c r="BB367" i="5"/>
  <c r="BD367" i="5"/>
  <c r="BA367" i="5"/>
  <c r="AZ367" i="5"/>
  <c r="BC363" i="5"/>
  <c r="BB363" i="5"/>
  <c r="BA363" i="5"/>
  <c r="AZ363" i="5"/>
  <c r="BD363" i="5" s="1"/>
  <c r="BC359" i="5"/>
  <c r="BB359" i="5"/>
  <c r="BB359" i="19" s="1"/>
  <c r="BA359" i="5"/>
  <c r="BA359" i="19" s="1"/>
  <c r="AZ359" i="5"/>
  <c r="AZ359" i="19" s="1"/>
  <c r="BC355" i="5"/>
  <c r="BB355" i="5"/>
  <c r="BB355" i="19" s="1"/>
  <c r="BA355" i="5"/>
  <c r="AZ355" i="5"/>
  <c r="AZ355" i="19" s="1"/>
  <c r="BC351" i="5"/>
  <c r="BC351" i="19" s="1"/>
  <c r="BB351" i="5"/>
  <c r="BA351" i="5"/>
  <c r="BA351" i="19" s="1"/>
  <c r="AZ351" i="5"/>
  <c r="AZ351" i="19" s="1"/>
  <c r="BC347" i="5"/>
  <c r="BB347" i="5"/>
  <c r="BA347" i="5"/>
  <c r="AZ347" i="5"/>
  <c r="BD347" i="5" s="1"/>
  <c r="BC343" i="5"/>
  <c r="BC343" i="19" s="1"/>
  <c r="BB343" i="5"/>
  <c r="BB343" i="19" s="1"/>
  <c r="BA343" i="5"/>
  <c r="BA343" i="19" s="1"/>
  <c r="AZ343" i="5"/>
  <c r="AZ343" i="19" s="1"/>
  <c r="BC339" i="5"/>
  <c r="BB339" i="5"/>
  <c r="BB339" i="19" s="1"/>
  <c r="BA339" i="5"/>
  <c r="AZ339" i="5"/>
  <c r="AZ339" i="19" s="1"/>
  <c r="BC335" i="5"/>
  <c r="BC335" i="19" s="1"/>
  <c r="BB335" i="5"/>
  <c r="BA335" i="5"/>
  <c r="AZ335" i="5"/>
  <c r="AZ335" i="19" s="1"/>
  <c r="BC331" i="5"/>
  <c r="BB331" i="5"/>
  <c r="BB334" i="19" s="1"/>
  <c r="BA331" i="5"/>
  <c r="BA334" i="19" s="1"/>
  <c r="AZ331" i="5"/>
  <c r="AZ334" i="19" s="1"/>
  <c r="BC327" i="5"/>
  <c r="BB327" i="5"/>
  <c r="BA327" i="5"/>
  <c r="BD327" i="5" s="1"/>
  <c r="AZ327" i="5"/>
  <c r="BC323" i="5"/>
  <c r="BB323" i="5"/>
  <c r="BA323" i="5"/>
  <c r="AZ323" i="5"/>
  <c r="AZ323" i="19" s="1"/>
  <c r="BD323" i="5"/>
  <c r="BC319" i="5"/>
  <c r="BB319" i="5"/>
  <c r="BA319" i="5"/>
  <c r="AZ319" i="5"/>
  <c r="BD319" i="5" s="1"/>
  <c r="BC315" i="5"/>
  <c r="BB315" i="5"/>
  <c r="BA315" i="5"/>
  <c r="AZ315" i="5"/>
  <c r="BD315" i="5" s="1"/>
  <c r="BC311" i="5"/>
  <c r="BC311" i="19" s="1"/>
  <c r="BB311" i="5"/>
  <c r="BB311" i="19" s="1"/>
  <c r="BA311" i="5"/>
  <c r="BD311" i="5" s="1"/>
  <c r="AZ311" i="5"/>
  <c r="AZ311" i="19" s="1"/>
  <c r="BC307" i="5"/>
  <c r="BB307" i="5"/>
  <c r="BA307" i="5"/>
  <c r="BD307" i="5" s="1"/>
  <c r="AZ307" i="5"/>
  <c r="BC303" i="5"/>
  <c r="BB303" i="5"/>
  <c r="BA303" i="5"/>
  <c r="AZ303" i="5"/>
  <c r="BD303" i="5" s="1"/>
  <c r="BC299" i="5"/>
  <c r="BB299" i="5"/>
  <c r="BA299" i="5"/>
  <c r="AZ299" i="5"/>
  <c r="BD299" i="5" s="1"/>
  <c r="BC295" i="5"/>
  <c r="BB295" i="5"/>
  <c r="BB295" i="19" s="1"/>
  <c r="BD295" i="5"/>
  <c r="BA295" i="5"/>
  <c r="BA295" i="19" s="1"/>
  <c r="AZ295" i="5"/>
  <c r="AZ295" i="19" s="1"/>
  <c r="BC291" i="5"/>
  <c r="BB291" i="5"/>
  <c r="BA291" i="5"/>
  <c r="AZ291" i="5"/>
  <c r="BD291" i="5" s="1"/>
  <c r="BC287" i="5"/>
  <c r="BB287" i="5"/>
  <c r="BA287" i="5"/>
  <c r="AZ287" i="5"/>
  <c r="BD287" i="5"/>
  <c r="BC283" i="5"/>
  <c r="BB283" i="5"/>
  <c r="BA283" i="5"/>
  <c r="AZ283" i="5"/>
  <c r="BD283" i="5" s="1"/>
  <c r="BC279" i="5"/>
  <c r="BB279" i="5"/>
  <c r="BD279" i="5"/>
  <c r="BA279" i="5"/>
  <c r="AZ279" i="5"/>
  <c r="BC275" i="5"/>
  <c r="BB275" i="5"/>
  <c r="BA275" i="5"/>
  <c r="AZ275" i="5"/>
  <c r="BC271" i="5"/>
  <c r="BC272" i="19" s="1"/>
  <c r="BB271" i="5"/>
  <c r="BA271" i="5"/>
  <c r="BD271" i="5" s="1"/>
  <c r="AZ271" i="5"/>
  <c r="AZ272" i="19" s="1"/>
  <c r="BC267" i="5"/>
  <c r="BB267" i="5"/>
  <c r="BA267" i="5"/>
  <c r="AZ267" i="5"/>
  <c r="BD267" i="5" s="1"/>
  <c r="BC263" i="5"/>
  <c r="BB263" i="5"/>
  <c r="BA263" i="5"/>
  <c r="AZ263" i="5"/>
  <c r="BD263" i="5" s="1"/>
  <c r="BC259" i="5"/>
  <c r="BB259" i="5"/>
  <c r="BA259" i="5"/>
  <c r="BD259" i="5" s="1"/>
  <c r="AZ259" i="5"/>
  <c r="BC255" i="5"/>
  <c r="BB255" i="5"/>
  <c r="BB256" i="19" s="1"/>
  <c r="BA255" i="5"/>
  <c r="AZ255" i="5"/>
  <c r="BD255" i="5" s="1"/>
  <c r="BC251" i="5"/>
  <c r="BB251" i="5"/>
  <c r="BA251" i="5"/>
  <c r="AZ251" i="5"/>
  <c r="BD251" i="5" s="1"/>
  <c r="BC247" i="5"/>
  <c r="BB247" i="5"/>
  <c r="BA247" i="5"/>
  <c r="AZ247" i="5"/>
  <c r="BD247" i="5" s="1"/>
  <c r="BC243" i="5"/>
  <c r="BB243" i="5"/>
  <c r="BA243" i="5"/>
  <c r="BD243" i="5" s="1"/>
  <c r="AZ243" i="5"/>
  <c r="BC239" i="5"/>
  <c r="BB239" i="5"/>
  <c r="BB240" i="19" s="1"/>
  <c r="BD239" i="5"/>
  <c r="BA239" i="5"/>
  <c r="BA240" i="19" s="1"/>
  <c r="AZ239" i="5"/>
  <c r="AZ240" i="19" s="1"/>
  <c r="BC235" i="5"/>
  <c r="BB235" i="5"/>
  <c r="BA235" i="5"/>
  <c r="AZ235" i="5"/>
  <c r="BD235" i="5" s="1"/>
  <c r="BC231" i="5"/>
  <c r="BB231" i="5"/>
  <c r="BA231" i="5"/>
  <c r="AZ231" i="5"/>
  <c r="BD231" i="5" s="1"/>
  <c r="BC227" i="5"/>
  <c r="BB227" i="5"/>
  <c r="BA227" i="5"/>
  <c r="AZ227" i="5"/>
  <c r="BD227" i="5" s="1"/>
  <c r="BC223" i="5"/>
  <c r="BC224" i="19" s="1"/>
  <c r="BB223" i="5"/>
  <c r="BA223" i="5"/>
  <c r="BA224" i="19" s="1"/>
  <c r="AZ223" i="5"/>
  <c r="AZ224" i="19" s="1"/>
  <c r="BC219" i="5"/>
  <c r="BB219" i="5"/>
  <c r="BB220" i="19" s="1"/>
  <c r="BA219" i="5"/>
  <c r="AZ219" i="5"/>
  <c r="BD219" i="5" s="1"/>
  <c r="BC215" i="5"/>
  <c r="BB215" i="5"/>
  <c r="BA215" i="5"/>
  <c r="AZ215" i="5"/>
  <c r="BD215" i="5" s="1"/>
  <c r="BC211" i="5"/>
  <c r="BB211" i="5"/>
  <c r="BA211" i="5"/>
  <c r="AZ211" i="5"/>
  <c r="BD211" i="5" s="1"/>
  <c r="BC207" i="5"/>
  <c r="BB207" i="5"/>
  <c r="BA207" i="5"/>
  <c r="BD207" i="5"/>
  <c r="AZ207" i="5"/>
  <c r="BC203" i="5"/>
  <c r="BB203" i="5"/>
  <c r="BA203" i="5"/>
  <c r="AZ203" i="5"/>
  <c r="BD203" i="5" s="1"/>
  <c r="BC199" i="5"/>
  <c r="BB199" i="5"/>
  <c r="BD199" i="5" s="1"/>
  <c r="BA199" i="5"/>
  <c r="AZ199" i="5"/>
  <c r="BC195" i="5"/>
  <c r="BB195" i="5"/>
  <c r="BA195" i="5"/>
  <c r="AZ195" i="5"/>
  <c r="BD195" i="5"/>
  <c r="BC191" i="5"/>
  <c r="BB191" i="5"/>
  <c r="BA191" i="5"/>
  <c r="AZ191" i="5"/>
  <c r="BD191" i="5" s="1"/>
  <c r="BC187" i="5"/>
  <c r="BC188" i="19" s="1"/>
  <c r="BB187" i="5"/>
  <c r="BB188" i="19" s="1"/>
  <c r="BA187" i="5"/>
  <c r="BA188" i="19" s="1"/>
  <c r="AZ187" i="5"/>
  <c r="AZ188" i="19" s="1"/>
  <c r="BC183" i="5"/>
  <c r="BC184" i="19" s="1"/>
  <c r="BB183" i="5"/>
  <c r="BB184" i="19" s="1"/>
  <c r="BA183" i="5"/>
  <c r="AZ183" i="5"/>
  <c r="BC179" i="5"/>
  <c r="BB179" i="5"/>
  <c r="BA179" i="5"/>
  <c r="AZ179" i="5"/>
  <c r="BD179" i="5" s="1"/>
  <c r="BC175" i="5"/>
  <c r="BB175" i="5"/>
  <c r="BA175" i="5"/>
  <c r="AZ175" i="5"/>
  <c r="BD175" i="5" s="1"/>
  <c r="BC171" i="5"/>
  <c r="BB171" i="5"/>
  <c r="BA171" i="5"/>
  <c r="AZ171" i="5"/>
  <c r="BD171" i="5" s="1"/>
  <c r="BC167" i="5"/>
  <c r="BB167" i="5"/>
  <c r="BD167" i="5" s="1"/>
  <c r="BA167" i="5"/>
  <c r="AZ167" i="5"/>
  <c r="BC163" i="5"/>
  <c r="BB163" i="5"/>
  <c r="BB163" i="19" s="1"/>
  <c r="BA163" i="5"/>
  <c r="AZ163" i="5"/>
  <c r="AZ163" i="19" s="1"/>
  <c r="BC159" i="5"/>
  <c r="BC160" i="19" s="1"/>
  <c r="BB159" i="5"/>
  <c r="BA159" i="5"/>
  <c r="BA160" i="19" s="1"/>
  <c r="BD159" i="5"/>
  <c r="AZ159" i="5"/>
  <c r="BC155" i="5"/>
  <c r="BB155" i="5"/>
  <c r="BA155" i="5"/>
  <c r="AZ155" i="5"/>
  <c r="BD155" i="5" s="1"/>
  <c r="BC151" i="5"/>
  <c r="BB151" i="5"/>
  <c r="BD151" i="5" s="1"/>
  <c r="BA151" i="5"/>
  <c r="AZ151" i="5"/>
  <c r="BC147" i="5"/>
  <c r="BB147" i="5"/>
  <c r="BA147" i="5"/>
  <c r="AZ147" i="5"/>
  <c r="BD147" i="5" s="1"/>
  <c r="BC143" i="5"/>
  <c r="BB143" i="5"/>
  <c r="BA143" i="5"/>
  <c r="BD143" i="5"/>
  <c r="AZ143" i="5"/>
  <c r="BC139" i="5"/>
  <c r="BB139" i="5"/>
  <c r="BA139" i="5"/>
  <c r="BA140" i="19" s="1"/>
  <c r="AZ139" i="5"/>
  <c r="BD139" i="5" s="1"/>
  <c r="BC135" i="5"/>
  <c r="BC136" i="19" s="1"/>
  <c r="BB135" i="5"/>
  <c r="BB136" i="19" s="1"/>
  <c r="BA135" i="5"/>
  <c r="BA136" i="19" s="1"/>
  <c r="AZ135" i="5"/>
  <c r="AZ136" i="19" s="1"/>
  <c r="BC131" i="5"/>
  <c r="BB131" i="5"/>
  <c r="BA131" i="5"/>
  <c r="AZ131" i="5"/>
  <c r="BD131" i="5" s="1"/>
  <c r="BC127" i="5"/>
  <c r="BB127" i="5"/>
  <c r="BB128" i="19" s="1"/>
  <c r="BA127" i="5"/>
  <c r="BD127" i="5"/>
  <c r="AZ127" i="5"/>
  <c r="BC123" i="5"/>
  <c r="BB123" i="5"/>
  <c r="BA123" i="5"/>
  <c r="AZ123" i="5"/>
  <c r="BD123" i="5" s="1"/>
  <c r="BC119" i="5"/>
  <c r="BB119" i="5"/>
  <c r="BD119" i="5" s="1"/>
  <c r="BA119" i="5"/>
  <c r="AZ119" i="5"/>
  <c r="BC115" i="5"/>
  <c r="BB115" i="5"/>
  <c r="BA115" i="5"/>
  <c r="AZ115" i="5"/>
  <c r="BD115" i="5" s="1"/>
  <c r="BC111" i="5"/>
  <c r="BB111" i="5"/>
  <c r="BB112" i="19" s="1"/>
  <c r="BA111" i="5"/>
  <c r="BA112" i="19" s="1"/>
  <c r="BD111" i="5"/>
  <c r="AZ111" i="5"/>
  <c r="BC107" i="5"/>
  <c r="BC108" i="19" s="1"/>
  <c r="BB107" i="5"/>
  <c r="BB108" i="19" s="1"/>
  <c r="BA107" i="5"/>
  <c r="BA108" i="19" s="1"/>
  <c r="AZ107" i="5"/>
  <c r="AZ108" i="19" s="1"/>
  <c r="BC103" i="5"/>
  <c r="BB103" i="5"/>
  <c r="BD103" i="5" s="1"/>
  <c r="BA103" i="5"/>
  <c r="AZ103" i="5"/>
  <c r="BC99" i="5"/>
  <c r="BB99" i="5"/>
  <c r="BA99" i="5"/>
  <c r="AZ99" i="5"/>
  <c r="BD99" i="5" s="1"/>
  <c r="BC95" i="5"/>
  <c r="BB95" i="5"/>
  <c r="BA95" i="5"/>
  <c r="BD95" i="5"/>
  <c r="AZ95" i="5"/>
  <c r="BC91" i="5"/>
  <c r="BB91" i="5"/>
  <c r="BA91" i="5"/>
  <c r="AZ91" i="5"/>
  <c r="BD91" i="5" s="1"/>
  <c r="BC87" i="5"/>
  <c r="BB87" i="5"/>
  <c r="BD87" i="5" s="1"/>
  <c r="BA87" i="5"/>
  <c r="AZ87" i="5"/>
  <c r="BC83" i="5"/>
  <c r="BB83" i="5"/>
  <c r="BA83" i="5"/>
  <c r="AZ83" i="5"/>
  <c r="BD83" i="5" s="1"/>
  <c r="BC79" i="5"/>
  <c r="BB79" i="5"/>
  <c r="BA79" i="5"/>
  <c r="BD79" i="5"/>
  <c r="AZ79" i="5"/>
  <c r="BC75" i="5"/>
  <c r="BB75" i="5"/>
  <c r="BB76" i="19" s="1"/>
  <c r="BA75" i="5"/>
  <c r="BA76" i="19" s="1"/>
  <c r="AZ75" i="5"/>
  <c r="AZ76" i="19" s="1"/>
  <c r="BC71" i="5"/>
  <c r="BB71" i="5"/>
  <c r="BD71" i="5" s="1"/>
  <c r="BA71" i="5"/>
  <c r="AZ71" i="5"/>
  <c r="BC67" i="5"/>
  <c r="BB67" i="5"/>
  <c r="BA67" i="5"/>
  <c r="AZ67" i="5"/>
  <c r="BD67" i="5" s="1"/>
  <c r="BC63" i="5"/>
  <c r="BB63" i="5"/>
  <c r="BB66" i="19" s="1"/>
  <c r="BA63" i="5"/>
  <c r="BD63" i="5"/>
  <c r="AZ63" i="5"/>
  <c r="BC59" i="5"/>
  <c r="BC61" i="19" s="1"/>
  <c r="BB59" i="5"/>
  <c r="BB61" i="19" s="1"/>
  <c r="BA59" i="5"/>
  <c r="BA61" i="19" s="1"/>
  <c r="AZ59" i="5"/>
  <c r="BD59" i="5" s="1"/>
  <c r="BC55" i="5"/>
  <c r="BB55" i="5"/>
  <c r="BD55" i="5" s="1"/>
  <c r="BA55" i="5"/>
  <c r="AZ55" i="5"/>
  <c r="BC51" i="5"/>
  <c r="BB51" i="5"/>
  <c r="BA51" i="5"/>
  <c r="AZ51" i="5"/>
  <c r="BD51" i="5" s="1"/>
  <c r="BC47" i="5"/>
  <c r="BB47" i="5"/>
  <c r="BA47" i="5"/>
  <c r="BD47" i="5"/>
  <c r="AZ47" i="5"/>
  <c r="BC43" i="5"/>
  <c r="BC44" i="19" s="1"/>
  <c r="BB43" i="5"/>
  <c r="BB44" i="19" s="1"/>
  <c r="BA43" i="5"/>
  <c r="BA44" i="19" s="1"/>
  <c r="AZ43" i="5"/>
  <c r="AZ44" i="19" s="1"/>
  <c r="BC39" i="5"/>
  <c r="BB39" i="5"/>
  <c r="BD39" i="5" s="1"/>
  <c r="BA39" i="5"/>
  <c r="AZ39" i="5"/>
  <c r="BC35" i="5"/>
  <c r="BB35" i="5"/>
  <c r="BB36" i="19" s="1"/>
  <c r="BA35" i="5"/>
  <c r="AZ35" i="5"/>
  <c r="AZ36" i="19" s="1"/>
  <c r="BC31" i="5"/>
  <c r="BC32" i="19" s="1"/>
  <c r="BB31" i="5"/>
  <c r="BA31" i="5"/>
  <c r="BA32" i="19" s="1"/>
  <c r="BD31" i="5"/>
  <c r="AZ31" i="5"/>
  <c r="BC27" i="5"/>
  <c r="BB27" i="5"/>
  <c r="BA27" i="5"/>
  <c r="AZ27" i="5"/>
  <c r="BD27" i="5" s="1"/>
  <c r="BC23" i="5"/>
  <c r="BC23" i="19" s="1"/>
  <c r="BB23" i="5"/>
  <c r="BB23" i="19" s="1"/>
  <c r="BA23" i="5"/>
  <c r="BA23" i="19" s="1"/>
  <c r="AZ23" i="5"/>
  <c r="BC19" i="5"/>
  <c r="BB19" i="5"/>
  <c r="BA19" i="5"/>
  <c r="AZ19" i="5"/>
  <c r="BD19" i="5" s="1"/>
  <c r="BC15" i="5"/>
  <c r="BB15" i="5"/>
  <c r="BA15" i="5"/>
  <c r="BD15" i="5"/>
  <c r="AZ15" i="5"/>
  <c r="BC11" i="5"/>
  <c r="BB11" i="5"/>
  <c r="BA11" i="5"/>
  <c r="AZ11" i="5"/>
  <c r="BD11" i="5" s="1"/>
  <c r="BC7" i="5"/>
  <c r="BC9" i="19" s="1"/>
  <c r="BB7" i="5"/>
  <c r="BB9" i="19" s="1"/>
  <c r="BA7" i="5"/>
  <c r="BA9" i="19" s="1"/>
  <c r="AZ7" i="5"/>
  <c r="AZ9" i="19" s="1"/>
  <c r="BC3" i="5"/>
  <c r="BB3" i="5"/>
  <c r="BA3" i="5"/>
  <c r="AZ3" i="5"/>
  <c r="BD3" i="5" s="1"/>
  <c r="AZ407" i="5"/>
  <c r="AZ403" i="5"/>
  <c r="BD403" i="5" s="1"/>
  <c r="AZ399" i="5"/>
  <c r="AZ395" i="5"/>
  <c r="AZ395" i="19" s="1"/>
  <c r="AZ391" i="5"/>
  <c r="AZ387" i="5"/>
  <c r="BD387" i="5" s="1"/>
  <c r="AZ383" i="5"/>
  <c r="AZ383" i="19" s="1"/>
  <c r="AZ379" i="5"/>
  <c r="AZ379" i="19" s="1"/>
  <c r="AZ375" i="5"/>
  <c r="AZ360" i="5"/>
  <c r="AZ360" i="19" s="1"/>
  <c r="AZ354" i="5"/>
  <c r="AZ349" i="5"/>
  <c r="AZ333" i="5"/>
  <c r="AZ325" i="5"/>
  <c r="AZ325" i="19" s="1"/>
  <c r="AZ301" i="5"/>
  <c r="AZ293" i="5"/>
  <c r="BD293" i="5" s="1"/>
  <c r="AZ285" i="5"/>
  <c r="AZ269" i="5"/>
  <c r="AZ270" i="19" s="1"/>
  <c r="AZ261" i="5"/>
  <c r="AZ237" i="5"/>
  <c r="AZ229" i="5"/>
  <c r="AZ221" i="5"/>
  <c r="BD221" i="5" s="1"/>
  <c r="AZ205" i="5"/>
  <c r="AZ197" i="5"/>
  <c r="BD197" i="5" s="1"/>
  <c r="AZ181" i="5"/>
  <c r="AZ173" i="5"/>
  <c r="BD173" i="5" s="1"/>
  <c r="AZ165" i="5"/>
  <c r="AZ157" i="5"/>
  <c r="BD157" i="5" s="1"/>
  <c r="AZ141" i="5"/>
  <c r="AZ133" i="5"/>
  <c r="BD133" i="5" s="1"/>
  <c r="AZ120" i="5"/>
  <c r="BD120" i="5" s="1"/>
  <c r="AZ104" i="5"/>
  <c r="BD104" i="5" s="1"/>
  <c r="AZ88" i="5"/>
  <c r="BD88" i="5" s="1"/>
  <c r="AZ72" i="5"/>
  <c r="BD72" i="5" s="1"/>
  <c r="AZ56" i="5"/>
  <c r="BD56" i="5" s="1"/>
  <c r="AZ40" i="5"/>
  <c r="BD40" i="5" s="1"/>
  <c r="AZ24" i="5"/>
  <c r="BD24" i="5" s="1"/>
  <c r="AZ8" i="5"/>
  <c r="BD8" i="5" s="1"/>
  <c r="BA400" i="5"/>
  <c r="BA384" i="5"/>
  <c r="BA368" i="5"/>
  <c r="BA352" i="5"/>
  <c r="BA336" i="5"/>
  <c r="BA336" i="19" s="1"/>
  <c r="BA320" i="5"/>
  <c r="BA304" i="5"/>
  <c r="BA304" i="19" s="1"/>
  <c r="BA288" i="5"/>
  <c r="BA272" i="5"/>
  <c r="BA273" i="19" s="1"/>
  <c r="BA256" i="5"/>
  <c r="BA240" i="5"/>
  <c r="BA241" i="19" s="1"/>
  <c r="BA224" i="5"/>
  <c r="BA160" i="5"/>
  <c r="BA96" i="5"/>
  <c r="BA96" i="19" s="1"/>
  <c r="BA32" i="5"/>
  <c r="BA33" i="19" s="1"/>
  <c r="BB376" i="5"/>
  <c r="BB372" i="19" s="1"/>
  <c r="BB333" i="5"/>
  <c r="BB312" i="5"/>
  <c r="BB312" i="19" s="1"/>
  <c r="BB269" i="5"/>
  <c r="BB248" i="5"/>
  <c r="BB205" i="5"/>
  <c r="BB184" i="5"/>
  <c r="BB162" i="5"/>
  <c r="BB141" i="5"/>
  <c r="BB120" i="5"/>
  <c r="BB77" i="5"/>
  <c r="BB56" i="5"/>
  <c r="BB34" i="5"/>
  <c r="BB13" i="5"/>
  <c r="BC400" i="5"/>
  <c r="BD264" i="5"/>
  <c r="AV2" i="5"/>
  <c r="AV406" i="5"/>
  <c r="AV402" i="5"/>
  <c r="AV398" i="5"/>
  <c r="AV394" i="5"/>
  <c r="AV390" i="5"/>
  <c r="AV386" i="5"/>
  <c r="AV382" i="5"/>
  <c r="AV378" i="5"/>
  <c r="AV374" i="5"/>
  <c r="AV370" i="5"/>
  <c r="AV366" i="5"/>
  <c r="AV362" i="5"/>
  <c r="AV358" i="5"/>
  <c r="AV354" i="5"/>
  <c r="AV350" i="5"/>
  <c r="AV346" i="5"/>
  <c r="AV342" i="5"/>
  <c r="AV338" i="5"/>
  <c r="AV334" i="5"/>
  <c r="AV330" i="5"/>
  <c r="AV326" i="5"/>
  <c r="AV322" i="5"/>
  <c r="AV318" i="5"/>
  <c r="AV314" i="5"/>
  <c r="AV310" i="5"/>
  <c r="AV306" i="5"/>
  <c r="AV302" i="5"/>
  <c r="AV298" i="5"/>
  <c r="AV294" i="5"/>
  <c r="AV286" i="5"/>
  <c r="AV282" i="5"/>
  <c r="AV278" i="5"/>
  <c r="AV274" i="5"/>
  <c r="AV270" i="5"/>
  <c r="AV266" i="5"/>
  <c r="AV262" i="5"/>
  <c r="AV258" i="5"/>
  <c r="AV254" i="5"/>
  <c r="AV250" i="5"/>
  <c r="AV246" i="5"/>
  <c r="AV242" i="5"/>
  <c r="AV238" i="5"/>
  <c r="AV234" i="5"/>
  <c r="AV230" i="5"/>
  <c r="AV226" i="5"/>
  <c r="AV222" i="5"/>
  <c r="AV218" i="5"/>
  <c r="AV214" i="5"/>
  <c r="AV210" i="5"/>
  <c r="AV206" i="5"/>
  <c r="AV202" i="5"/>
  <c r="AV198" i="5"/>
  <c r="AV194" i="5"/>
  <c r="AV190" i="5"/>
  <c r="AV186" i="5"/>
  <c r="AV182" i="5"/>
  <c r="AV178" i="5"/>
  <c r="AV174" i="5"/>
  <c r="AV170" i="5"/>
  <c r="AV166" i="5"/>
  <c r="AV162" i="5"/>
  <c r="AV158" i="5"/>
  <c r="AV154" i="5"/>
  <c r="AV150" i="5"/>
  <c r="AV146" i="5"/>
  <c r="AV142" i="5"/>
  <c r="AV138" i="5"/>
  <c r="AV134" i="5"/>
  <c r="AV130" i="5"/>
  <c r="AV126" i="5"/>
  <c r="AV122" i="5"/>
  <c r="AV118" i="5"/>
  <c r="AV114" i="5"/>
  <c r="AV110" i="5"/>
  <c r="AV106" i="5"/>
  <c r="AV102" i="5"/>
  <c r="AV98" i="5"/>
  <c r="AV94" i="5"/>
  <c r="AV90" i="5"/>
  <c r="AV86" i="5"/>
  <c r="AV82" i="5"/>
  <c r="AV78" i="5"/>
  <c r="AV74" i="5"/>
  <c r="AV70" i="5"/>
  <c r="AV66" i="5"/>
  <c r="AV62" i="5"/>
  <c r="AV58" i="5"/>
  <c r="AV54" i="5"/>
  <c r="AV50" i="5"/>
  <c r="AV46" i="5"/>
  <c r="AV42" i="5"/>
  <c r="AV38" i="5"/>
  <c r="AV34" i="5"/>
  <c r="AV30" i="5"/>
  <c r="AV26" i="5"/>
  <c r="AV22" i="5"/>
  <c r="AV18" i="5"/>
  <c r="AV14" i="5"/>
  <c r="AV10" i="5"/>
  <c r="AV6" i="5"/>
  <c r="BB2" i="5"/>
  <c r="BA2" i="5"/>
  <c r="BB406" i="5"/>
  <c r="BD406" i="5"/>
  <c r="BC406" i="5"/>
  <c r="BA406" i="5"/>
  <c r="BC402" i="5"/>
  <c r="BA402" i="5"/>
  <c r="BC398" i="5"/>
  <c r="BB398" i="5"/>
  <c r="BA398" i="5"/>
  <c r="BB394" i="5"/>
  <c r="BA394" i="5"/>
  <c r="BB390" i="5"/>
  <c r="BC390" i="5"/>
  <c r="BA390" i="5"/>
  <c r="BD390" i="5" s="1"/>
  <c r="BC386" i="5"/>
  <c r="BA386" i="5"/>
  <c r="BC382" i="5"/>
  <c r="BB382" i="5"/>
  <c r="BD382" i="5" s="1"/>
  <c r="BA382" i="5"/>
  <c r="BB378" i="5"/>
  <c r="BA378" i="5"/>
  <c r="BB374" i="5"/>
  <c r="BC374" i="5"/>
  <c r="BA374" i="5"/>
  <c r="BC370" i="5"/>
  <c r="BA370" i="5"/>
  <c r="BD370" i="5" s="1"/>
  <c r="BC366" i="5"/>
  <c r="BB366" i="5"/>
  <c r="BD366" i="5"/>
  <c r="BA366" i="5"/>
  <c r="BB362" i="5"/>
  <c r="BA362" i="5"/>
  <c r="BB358" i="5"/>
  <c r="BC358" i="5"/>
  <c r="BA358" i="5"/>
  <c r="BD358" i="5" s="1"/>
  <c r="BC354" i="5"/>
  <c r="BC354" i="19" s="1"/>
  <c r="BA354" i="5"/>
  <c r="BC350" i="5"/>
  <c r="BD350" i="5" s="1"/>
  <c r="BB350" i="5"/>
  <c r="BA350" i="5"/>
  <c r="BB346" i="5"/>
  <c r="BA346" i="5"/>
  <c r="AZ346" i="5"/>
  <c r="BD346" i="5" s="1"/>
  <c r="BB342" i="5"/>
  <c r="BC342" i="5"/>
  <c r="BA342" i="5"/>
  <c r="AZ342" i="5"/>
  <c r="BD342" i="5" s="1"/>
  <c r="BD338" i="5"/>
  <c r="BC338" i="5"/>
  <c r="BA338" i="5"/>
  <c r="AZ338" i="5"/>
  <c r="BC334" i="5"/>
  <c r="BB334" i="5"/>
  <c r="BA334" i="5"/>
  <c r="AZ334" i="5"/>
  <c r="AZ331" i="19" s="1"/>
  <c r="BC330" i="5"/>
  <c r="BB330" i="5"/>
  <c r="BA330" i="5"/>
  <c r="BD330" i="5" s="1"/>
  <c r="AZ330" i="5"/>
  <c r="AZ333" i="19" s="1"/>
  <c r="BB326" i="5"/>
  <c r="BC326" i="5"/>
  <c r="BA326" i="5"/>
  <c r="AZ326" i="5"/>
  <c r="BD326" i="5" s="1"/>
  <c r="BC322" i="5"/>
  <c r="BA322" i="5"/>
  <c r="AZ322" i="5"/>
  <c r="BD322" i="5" s="1"/>
  <c r="BC318" i="5"/>
  <c r="BB318" i="5"/>
  <c r="BA318" i="5"/>
  <c r="AZ318" i="5"/>
  <c r="BC314" i="5"/>
  <c r="BB314" i="5"/>
  <c r="BA314" i="5"/>
  <c r="AZ314" i="5"/>
  <c r="BD314" i="5" s="1"/>
  <c r="BB310" i="5"/>
  <c r="BC310" i="5"/>
  <c r="BA310" i="5"/>
  <c r="AZ310" i="5"/>
  <c r="BD310" i="5" s="1"/>
  <c r="BC306" i="5"/>
  <c r="BA306" i="5"/>
  <c r="AZ306" i="5"/>
  <c r="BD306" i="5" s="1"/>
  <c r="BC302" i="5"/>
  <c r="BB302" i="5"/>
  <c r="BA302" i="5"/>
  <c r="AZ302" i="5"/>
  <c r="BD302" i="5" s="1"/>
  <c r="BC298" i="5"/>
  <c r="BB298" i="5"/>
  <c r="BA298" i="5"/>
  <c r="BA302" i="19" s="1"/>
  <c r="AZ298" i="5"/>
  <c r="BD298" i="5" s="1"/>
  <c r="BB294" i="5"/>
  <c r="BB292" i="19" s="1"/>
  <c r="BC294" i="5"/>
  <c r="BA294" i="5"/>
  <c r="AZ294" i="5"/>
  <c r="BD294" i="5" s="1"/>
  <c r="BD290" i="5"/>
  <c r="BC290" i="5"/>
  <c r="BA290" i="5"/>
  <c r="AZ290" i="5"/>
  <c r="BC286" i="5"/>
  <c r="BB286" i="5"/>
  <c r="BA286" i="5"/>
  <c r="AZ286" i="5"/>
  <c r="BC282" i="5"/>
  <c r="BB282" i="5"/>
  <c r="BA282" i="5"/>
  <c r="AZ282" i="5"/>
  <c r="BD282" i="5" s="1"/>
  <c r="BB278" i="5"/>
  <c r="BB277" i="19" s="1"/>
  <c r="BC278" i="5"/>
  <c r="BA278" i="5"/>
  <c r="AZ278" i="5"/>
  <c r="BD278" i="5" s="1"/>
  <c r="BC274" i="5"/>
  <c r="BA274" i="5"/>
  <c r="BD274" i="5" s="1"/>
  <c r="AZ274" i="5"/>
  <c r="BC270" i="5"/>
  <c r="BB270" i="5"/>
  <c r="BB271" i="19" s="1"/>
  <c r="BD270" i="5"/>
  <c r="BA270" i="5"/>
  <c r="AZ270" i="5"/>
  <c r="BC266" i="5"/>
  <c r="BD266" i="5"/>
  <c r="BB266" i="5"/>
  <c r="BA266" i="5"/>
  <c r="AZ266" i="5"/>
  <c r="BB262" i="5"/>
  <c r="BC262" i="5"/>
  <c r="BA262" i="5"/>
  <c r="AZ262" i="5"/>
  <c r="BD262" i="5" s="1"/>
  <c r="BC258" i="5"/>
  <c r="BA258" i="5"/>
  <c r="AZ258" i="5"/>
  <c r="BD258" i="5" s="1"/>
  <c r="BC254" i="5"/>
  <c r="BB254" i="5"/>
  <c r="BA254" i="5"/>
  <c r="AZ254" i="5"/>
  <c r="BC250" i="5"/>
  <c r="BB250" i="5"/>
  <c r="BA250" i="5"/>
  <c r="AZ250" i="5"/>
  <c r="BD250" i="5" s="1"/>
  <c r="BB246" i="5"/>
  <c r="BC246" i="5"/>
  <c r="BA246" i="5"/>
  <c r="AZ246" i="5"/>
  <c r="BD246" i="5" s="1"/>
  <c r="BC242" i="5"/>
  <c r="BA242" i="5"/>
  <c r="AZ242" i="5"/>
  <c r="BD242" i="5" s="1"/>
  <c r="BC238" i="5"/>
  <c r="BB238" i="5"/>
  <c r="BA238" i="5"/>
  <c r="BD238" i="5" s="1"/>
  <c r="AZ238" i="5"/>
  <c r="BC234" i="5"/>
  <c r="BB234" i="5"/>
  <c r="BA234" i="5"/>
  <c r="AZ234" i="5"/>
  <c r="BD234" i="5" s="1"/>
  <c r="BB230" i="5"/>
  <c r="BB231" i="19" s="1"/>
  <c r="BC230" i="5"/>
  <c r="BA230" i="5"/>
  <c r="AZ230" i="5"/>
  <c r="BD230" i="5" s="1"/>
  <c r="BC226" i="5"/>
  <c r="BA226" i="5"/>
  <c r="BD226" i="5" s="1"/>
  <c r="AZ226" i="5"/>
  <c r="BA222" i="5"/>
  <c r="BC222" i="5"/>
  <c r="BB222" i="5"/>
  <c r="AZ222" i="5"/>
  <c r="BD222" i="5" s="1"/>
  <c r="BC218" i="5"/>
  <c r="BB218" i="5"/>
  <c r="BD218" i="5" s="1"/>
  <c r="AZ218" i="5"/>
  <c r="BB214" i="5"/>
  <c r="BB215" i="19" s="1"/>
  <c r="BC214" i="5"/>
  <c r="BA214" i="5"/>
  <c r="AZ214" i="5"/>
  <c r="BD214" i="5" s="1"/>
  <c r="BC210" i="5"/>
  <c r="BA210" i="5"/>
  <c r="AZ210" i="5"/>
  <c r="BD210" i="5" s="1"/>
  <c r="BA206" i="5"/>
  <c r="BC206" i="5"/>
  <c r="BD206" i="5" s="1"/>
  <c r="BB206" i="5"/>
  <c r="AZ206" i="5"/>
  <c r="BC202" i="5"/>
  <c r="BB202" i="5"/>
  <c r="BD202" i="5" s="1"/>
  <c r="AZ202" i="5"/>
  <c r="BB198" i="5"/>
  <c r="BC198" i="5"/>
  <c r="BA198" i="5"/>
  <c r="AZ198" i="5"/>
  <c r="BD198" i="5" s="1"/>
  <c r="BC194" i="5"/>
  <c r="BA194" i="5"/>
  <c r="AZ194" i="5"/>
  <c r="BD194" i="5" s="1"/>
  <c r="BA190" i="5"/>
  <c r="BC190" i="5"/>
  <c r="BB190" i="5"/>
  <c r="BD190" i="5" s="1"/>
  <c r="AZ190" i="5"/>
  <c r="BC186" i="5"/>
  <c r="BB186" i="5"/>
  <c r="BB187" i="19" s="1"/>
  <c r="AZ186" i="5"/>
  <c r="BB182" i="5"/>
  <c r="BC182" i="5"/>
  <c r="BA182" i="5"/>
  <c r="AZ182" i="5"/>
  <c r="BD182" i="5" s="1"/>
  <c r="BC178" i="5"/>
  <c r="BA178" i="5"/>
  <c r="AZ178" i="5"/>
  <c r="BD178" i="5" s="1"/>
  <c r="BA174" i="5"/>
  <c r="BC174" i="5"/>
  <c r="BD174" i="5" s="1"/>
  <c r="BB174" i="5"/>
  <c r="AZ174" i="5"/>
  <c r="BC170" i="5"/>
  <c r="BB170" i="5"/>
  <c r="AZ170" i="5"/>
  <c r="BB166" i="5"/>
  <c r="BC166" i="5"/>
  <c r="BA166" i="5"/>
  <c r="AZ166" i="5"/>
  <c r="BD166" i="5" s="1"/>
  <c r="BC162" i="5"/>
  <c r="BA162" i="5"/>
  <c r="BD162" i="5" s="1"/>
  <c r="AZ162" i="5"/>
  <c r="BA158" i="5"/>
  <c r="BC158" i="5"/>
  <c r="BB158" i="5"/>
  <c r="AZ158" i="5"/>
  <c r="BD158" i="5" s="1"/>
  <c r="BC154" i="5"/>
  <c r="BB154" i="5"/>
  <c r="AZ154" i="5"/>
  <c r="BD154" i="5" s="1"/>
  <c r="BB150" i="5"/>
  <c r="BC150" i="5"/>
  <c r="BA150" i="5"/>
  <c r="AZ150" i="5"/>
  <c r="BD150" i="5" s="1"/>
  <c r="BC146" i="5"/>
  <c r="BA146" i="5"/>
  <c r="AZ146" i="5"/>
  <c r="BD146" i="5" s="1"/>
  <c r="BA142" i="5"/>
  <c r="BC142" i="5"/>
  <c r="BB142" i="5"/>
  <c r="AZ142" i="5"/>
  <c r="BD142" i="5" s="1"/>
  <c r="BC138" i="5"/>
  <c r="BD138" i="5"/>
  <c r="BB138" i="5"/>
  <c r="AZ138" i="5"/>
  <c r="BB134" i="5"/>
  <c r="BB135" i="19" s="1"/>
  <c r="BC134" i="5"/>
  <c r="BA134" i="5"/>
  <c r="AZ134" i="5"/>
  <c r="BD134" i="5" s="1"/>
  <c r="BC130" i="5"/>
  <c r="BD130" i="5" s="1"/>
  <c r="BA130" i="5"/>
  <c r="AZ130" i="5"/>
  <c r="BA126" i="5"/>
  <c r="BC126" i="5"/>
  <c r="BB126" i="5"/>
  <c r="AZ126" i="5"/>
  <c r="BD126" i="5" s="1"/>
  <c r="BD122" i="5"/>
  <c r="BC122" i="5"/>
  <c r="BB122" i="5"/>
  <c r="AZ122" i="5"/>
  <c r="BB118" i="5"/>
  <c r="BB119" i="19" s="1"/>
  <c r="BC118" i="5"/>
  <c r="BA118" i="5"/>
  <c r="AZ118" i="5"/>
  <c r="BD118" i="5" s="1"/>
  <c r="BC114" i="5"/>
  <c r="BA114" i="5"/>
  <c r="AZ114" i="5"/>
  <c r="BD114" i="5" s="1"/>
  <c r="BA110" i="5"/>
  <c r="BC110" i="5"/>
  <c r="BB110" i="5"/>
  <c r="AZ110" i="5"/>
  <c r="BD110" i="5" s="1"/>
  <c r="BC106" i="5"/>
  <c r="BB106" i="5"/>
  <c r="AZ106" i="5"/>
  <c r="BD106" i="5" s="1"/>
  <c r="BB102" i="5"/>
  <c r="BC102" i="5"/>
  <c r="BA102" i="5"/>
  <c r="AZ102" i="5"/>
  <c r="BD102" i="5" s="1"/>
  <c r="BC98" i="5"/>
  <c r="BA98" i="5"/>
  <c r="AZ98" i="5"/>
  <c r="BD98" i="5" s="1"/>
  <c r="BA94" i="5"/>
  <c r="BC94" i="5"/>
  <c r="BB94" i="5"/>
  <c r="BB95" i="19" s="1"/>
  <c r="AZ94" i="5"/>
  <c r="BD94" i="5" s="1"/>
  <c r="BC90" i="5"/>
  <c r="BB90" i="5"/>
  <c r="AZ90" i="5"/>
  <c r="BD90" i="5" s="1"/>
  <c r="BB86" i="5"/>
  <c r="BB87" i="19" s="1"/>
  <c r="BC86" i="5"/>
  <c r="BA86" i="5"/>
  <c r="AZ86" i="5"/>
  <c r="BD86" i="5" s="1"/>
  <c r="BC82" i="5"/>
  <c r="BA82" i="5"/>
  <c r="BD82" i="5" s="1"/>
  <c r="AZ82" i="5"/>
  <c r="BA78" i="5"/>
  <c r="BC78" i="5"/>
  <c r="BB78" i="5"/>
  <c r="AZ78" i="5"/>
  <c r="BD78" i="5" s="1"/>
  <c r="BC74" i="5"/>
  <c r="BB74" i="5"/>
  <c r="AZ74" i="5"/>
  <c r="BD74" i="5" s="1"/>
  <c r="BB70" i="5"/>
  <c r="BB71" i="19" s="1"/>
  <c r="BC70" i="5"/>
  <c r="BA70" i="5"/>
  <c r="AZ70" i="5"/>
  <c r="BD70" i="5" s="1"/>
  <c r="BC66" i="5"/>
  <c r="BA66" i="5"/>
  <c r="AZ66" i="5"/>
  <c r="BA62" i="5"/>
  <c r="BC62" i="5"/>
  <c r="BB62" i="5"/>
  <c r="AZ62" i="5"/>
  <c r="BD62" i="5" s="1"/>
  <c r="BC58" i="5"/>
  <c r="BB58" i="5"/>
  <c r="BB60" i="19" s="1"/>
  <c r="AZ58" i="5"/>
  <c r="BB54" i="5"/>
  <c r="BC54" i="5"/>
  <c r="BA54" i="5"/>
  <c r="AZ54" i="5"/>
  <c r="BD54" i="5" s="1"/>
  <c r="BC50" i="5"/>
  <c r="BD50" i="5"/>
  <c r="BA50" i="5"/>
  <c r="AZ50" i="5"/>
  <c r="BA46" i="5"/>
  <c r="BC46" i="5"/>
  <c r="BB46" i="5"/>
  <c r="AZ46" i="5"/>
  <c r="BD46" i="5" s="1"/>
  <c r="BC42" i="5"/>
  <c r="BB42" i="5"/>
  <c r="AZ42" i="5"/>
  <c r="BB38" i="5"/>
  <c r="BB39" i="19" s="1"/>
  <c r="BC38" i="5"/>
  <c r="BA38" i="5"/>
  <c r="AZ38" i="5"/>
  <c r="BD38" i="5" s="1"/>
  <c r="BC34" i="5"/>
  <c r="BC35" i="19" s="1"/>
  <c r="BA34" i="5"/>
  <c r="AZ34" i="5"/>
  <c r="BD34" i="5" s="1"/>
  <c r="BA30" i="5"/>
  <c r="BC30" i="5"/>
  <c r="BB30" i="5"/>
  <c r="AZ30" i="5"/>
  <c r="BD30" i="5" s="1"/>
  <c r="BC26" i="5"/>
  <c r="BC27" i="19" s="1"/>
  <c r="BB26" i="5"/>
  <c r="AZ26" i="5"/>
  <c r="BD26" i="5" s="1"/>
  <c r="BB22" i="5"/>
  <c r="BC22" i="5"/>
  <c r="BA22" i="5"/>
  <c r="AZ22" i="5"/>
  <c r="BD22" i="5" s="1"/>
  <c r="BC18" i="5"/>
  <c r="BA18" i="5"/>
  <c r="AZ18" i="5"/>
  <c r="BD18" i="5" s="1"/>
  <c r="BA14" i="5"/>
  <c r="BC14" i="5"/>
  <c r="BB14" i="5"/>
  <c r="AZ14" i="5"/>
  <c r="BD14" i="5" s="1"/>
  <c r="BC10" i="5"/>
  <c r="BD10" i="5"/>
  <c r="BB10" i="5"/>
  <c r="AZ10" i="5"/>
  <c r="BB6" i="5"/>
  <c r="BB3" i="19" s="1"/>
  <c r="BC6" i="5"/>
  <c r="BA6" i="5"/>
  <c r="AZ6" i="5"/>
  <c r="BD6" i="5" s="1"/>
  <c r="AZ2" i="5"/>
  <c r="BD2" i="5" s="1"/>
  <c r="AZ406" i="5"/>
  <c r="AZ402" i="5"/>
  <c r="BD402" i="5" s="1"/>
  <c r="AZ398" i="5"/>
  <c r="BD398" i="5" s="1"/>
  <c r="AZ394" i="5"/>
  <c r="BD394" i="5" s="1"/>
  <c r="AZ390" i="5"/>
  <c r="AZ386" i="5"/>
  <c r="BD386" i="5" s="1"/>
  <c r="AZ382" i="5"/>
  <c r="AZ378" i="5"/>
  <c r="BD378" i="5" s="1"/>
  <c r="AZ374" i="5"/>
  <c r="BD374" i="5" s="1"/>
  <c r="AZ364" i="5"/>
  <c r="AZ364" i="19" s="1"/>
  <c r="AZ358" i="5"/>
  <c r="AZ348" i="5"/>
  <c r="BD348" i="5" s="1"/>
  <c r="AZ340" i="5"/>
  <c r="BD340" i="5" s="1"/>
  <c r="AZ332" i="5"/>
  <c r="AZ332" i="19" s="1"/>
  <c r="AZ324" i="5"/>
  <c r="AZ324" i="19" s="1"/>
  <c r="AZ316" i="5"/>
  <c r="AZ316" i="19" s="1"/>
  <c r="AZ308" i="5"/>
  <c r="BD308" i="5" s="1"/>
  <c r="AZ300" i="5"/>
  <c r="AZ299" i="19" s="1"/>
  <c r="AZ292" i="5"/>
  <c r="AZ284" i="5"/>
  <c r="AZ285" i="19" s="1"/>
  <c r="AZ276" i="5"/>
  <c r="BD276" i="5" s="1"/>
  <c r="AZ268" i="5"/>
  <c r="AZ260" i="5"/>
  <c r="AZ252" i="5"/>
  <c r="BD252" i="5" s="1"/>
  <c r="AZ244" i="5"/>
  <c r="BD244" i="5" s="1"/>
  <c r="AZ236" i="5"/>
  <c r="AZ228" i="5"/>
  <c r="AZ220" i="5"/>
  <c r="AZ221" i="19" s="1"/>
  <c r="AZ212" i="5"/>
  <c r="AZ204" i="5"/>
  <c r="BD204" i="5" s="1"/>
  <c r="AZ196" i="5"/>
  <c r="AZ188" i="5"/>
  <c r="BD188" i="5" s="1"/>
  <c r="AZ180" i="5"/>
  <c r="AZ181" i="19" s="1"/>
  <c r="AZ172" i="5"/>
  <c r="BD172" i="5" s="1"/>
  <c r="AZ164" i="5"/>
  <c r="AZ156" i="5"/>
  <c r="BD156" i="5" s="1"/>
  <c r="AZ148" i="5"/>
  <c r="AZ140" i="5"/>
  <c r="AZ141" i="19" s="1"/>
  <c r="AZ132" i="5"/>
  <c r="AZ116" i="5"/>
  <c r="BD116" i="5" s="1"/>
  <c r="AZ100" i="5"/>
  <c r="AZ84" i="5"/>
  <c r="BD84" i="5" s="1"/>
  <c r="AZ68" i="5"/>
  <c r="AZ52" i="5"/>
  <c r="BD52" i="5" s="1"/>
  <c r="AZ36" i="5"/>
  <c r="AZ20" i="5"/>
  <c r="BD20" i="5" s="1"/>
  <c r="AZ4" i="5"/>
  <c r="BA396" i="5"/>
  <c r="BD396" i="5" s="1"/>
  <c r="BA380" i="5"/>
  <c r="BA364" i="5"/>
  <c r="BA364" i="19" s="1"/>
  <c r="BA348" i="5"/>
  <c r="BA332" i="5"/>
  <c r="BD332" i="5" s="1"/>
  <c r="BA316" i="5"/>
  <c r="BA316" i="19" s="1"/>
  <c r="BA300" i="5"/>
  <c r="BA299" i="19" s="1"/>
  <c r="BA284" i="5"/>
  <c r="BA268" i="5"/>
  <c r="BD268" i="5" s="1"/>
  <c r="BA252" i="5"/>
  <c r="BA236" i="5"/>
  <c r="BA218" i="5"/>
  <c r="BA197" i="5"/>
  <c r="BA176" i="5"/>
  <c r="BA154" i="5"/>
  <c r="BA112" i="5"/>
  <c r="BA90" i="5"/>
  <c r="BA48" i="5"/>
  <c r="BA49" i="19" s="1"/>
  <c r="BA26" i="5"/>
  <c r="BB392" i="5"/>
  <c r="BB391" i="19" s="1"/>
  <c r="BB370" i="5"/>
  <c r="BB328" i="5"/>
  <c r="BD328" i="5" s="1"/>
  <c r="BB306" i="5"/>
  <c r="BB264" i="5"/>
  <c r="BB242" i="5"/>
  <c r="BB200" i="5"/>
  <c r="BB178" i="5"/>
  <c r="BB136" i="5"/>
  <c r="BB114" i="5"/>
  <c r="BB72" i="5"/>
  <c r="BB73" i="19" s="1"/>
  <c r="BB50" i="5"/>
  <c r="BB8" i="5"/>
  <c r="BC394" i="5"/>
  <c r="BC352" i="5"/>
  <c r="BD254" i="5"/>
  <c r="AT205" i="12"/>
  <c r="AM189" i="14" s="1"/>
  <c r="AK189" i="14"/>
  <c r="AT203" i="12"/>
  <c r="AM187" i="14" s="1"/>
  <c r="AK187" i="14"/>
  <c r="AT200" i="12"/>
  <c r="AM184" i="14" s="1"/>
  <c r="AK184" i="14"/>
  <c r="AT7" i="12"/>
  <c r="AM8" i="14" s="1"/>
  <c r="AK8" i="14"/>
  <c r="AT3" i="12"/>
  <c r="AM4" i="14" s="1"/>
  <c r="AK4" i="14"/>
  <c r="AO4" i="14" s="1"/>
  <c r="AT375" i="12"/>
  <c r="AM339" i="14" s="1"/>
  <c r="AK339" i="14"/>
  <c r="AT110" i="12"/>
  <c r="AM102" i="14" s="1"/>
  <c r="AK102" i="14"/>
  <c r="AT385" i="12"/>
  <c r="AM347" i="14" s="1"/>
  <c r="AK347" i="14"/>
  <c r="AT226" i="12"/>
  <c r="AM208" i="14" s="1"/>
  <c r="AK208" i="14"/>
  <c r="AT154" i="12"/>
  <c r="AM144" i="14" s="1"/>
  <c r="AK144" i="14"/>
  <c r="AT210" i="12"/>
  <c r="AM194" i="14" s="1"/>
  <c r="AK194" i="14"/>
  <c r="AT127" i="12"/>
  <c r="AM117" i="14" s="1"/>
  <c r="AK117" i="14"/>
  <c r="AT194" i="12"/>
  <c r="AM178" i="14" s="1"/>
  <c r="AK178" i="14"/>
  <c r="AT190" i="12"/>
  <c r="AM174" i="14" s="1"/>
  <c r="AK174" i="14"/>
  <c r="AT408" i="12"/>
  <c r="AK367" i="14"/>
  <c r="AT186" i="12"/>
  <c r="AK171" i="14"/>
  <c r="AT106" i="12"/>
  <c r="AM98" i="14" s="1"/>
  <c r="AK98" i="14"/>
  <c r="AO98" i="14" s="1"/>
  <c r="AT104" i="12"/>
  <c r="AM96" i="14" s="1"/>
  <c r="AK96" i="14"/>
  <c r="AT264" i="12"/>
  <c r="AM242" i="14" s="1"/>
  <c r="AK242" i="14"/>
  <c r="AT407" i="12"/>
  <c r="AK366" i="14"/>
  <c r="AT403" i="12"/>
  <c r="AM362" i="14" s="1"/>
  <c r="AK362" i="14"/>
  <c r="AT324" i="12"/>
  <c r="AM291" i="14" s="1"/>
  <c r="AK291" i="14"/>
  <c r="AT145" i="12"/>
  <c r="AK135" i="14"/>
  <c r="AV409" i="5"/>
  <c r="AV405" i="5"/>
  <c r="AV401" i="5"/>
  <c r="AV397" i="5"/>
  <c r="AV393" i="5"/>
  <c r="AV389" i="5"/>
  <c r="AV385" i="5"/>
  <c r="AV381" i="5"/>
  <c r="AV377" i="5"/>
  <c r="AV373" i="5"/>
  <c r="AV369" i="5"/>
  <c r="AV365" i="5"/>
  <c r="AV361" i="5"/>
  <c r="AV357" i="5"/>
  <c r="AV353" i="5"/>
  <c r="AV349" i="5"/>
  <c r="AV345" i="5"/>
  <c r="AV341" i="5"/>
  <c r="AV337" i="5"/>
  <c r="AV333" i="5"/>
  <c r="AV329" i="5"/>
  <c r="AV325" i="5"/>
  <c r="AV321" i="5"/>
  <c r="AV317" i="5"/>
  <c r="AV313" i="5"/>
  <c r="AV309" i="5"/>
  <c r="AV305" i="5"/>
  <c r="AV301" i="5"/>
  <c r="AV297" i="5"/>
  <c r="AV293" i="5"/>
  <c r="AV289" i="5"/>
  <c r="AV285" i="5"/>
  <c r="AV281" i="5"/>
  <c r="AV277" i="5"/>
  <c r="AV273" i="5"/>
  <c r="AV269" i="5"/>
  <c r="AV265" i="5"/>
  <c r="AV261" i="5"/>
  <c r="AV257" i="5"/>
  <c r="AV253" i="5"/>
  <c r="AV249" i="5"/>
  <c r="AV245" i="5"/>
  <c r="AV241" i="5"/>
  <c r="AV237" i="5"/>
  <c r="AV233" i="5"/>
  <c r="AV229" i="5"/>
  <c r="AV225" i="5"/>
  <c r="AV221" i="5"/>
  <c r="AV217" i="5"/>
  <c r="AV213" i="5"/>
  <c r="AV209" i="5"/>
  <c r="AV205" i="5"/>
  <c r="AV201" i="5"/>
  <c r="AV197" i="5"/>
  <c r="AV193" i="5"/>
  <c r="AV189" i="5"/>
  <c r="AV185" i="5"/>
  <c r="AV181" i="5"/>
  <c r="AV177" i="5"/>
  <c r="AV173" i="5"/>
  <c r="AV169" i="5"/>
  <c r="AV165" i="5"/>
  <c r="AV161" i="5"/>
  <c r="AV157" i="5"/>
  <c r="AV153" i="5"/>
  <c r="AV149" i="5"/>
  <c r="AV145" i="5"/>
  <c r="AV141" i="5"/>
  <c r="AV137" i="5"/>
  <c r="AV133" i="5"/>
  <c r="AV129" i="5"/>
  <c r="AV125" i="5"/>
  <c r="AV121" i="5"/>
  <c r="AV117" i="5"/>
  <c r="AV113" i="5"/>
  <c r="AV109" i="5"/>
  <c r="AV105" i="5"/>
  <c r="AV101" i="5"/>
  <c r="AV97" i="5"/>
  <c r="AV93" i="5"/>
  <c r="AV89" i="5"/>
  <c r="AV85" i="5"/>
  <c r="AV81" i="5"/>
  <c r="AV77" i="5"/>
  <c r="AV73" i="5"/>
  <c r="AV69" i="5"/>
  <c r="AV65" i="5"/>
  <c r="AV61" i="5"/>
  <c r="AV57" i="5"/>
  <c r="AV53" i="5"/>
  <c r="AV49" i="5"/>
  <c r="AV45" i="5"/>
  <c r="AV41" i="5"/>
  <c r="AV37" i="5"/>
  <c r="AV33" i="5"/>
  <c r="AV29" i="5"/>
  <c r="AV25" i="5"/>
  <c r="AV21" i="5"/>
  <c r="AV17" i="5"/>
  <c r="AV13" i="5"/>
  <c r="AV9" i="5"/>
  <c r="AV5" i="5"/>
  <c r="BC409" i="5"/>
  <c r="BB409" i="5"/>
  <c r="BD409" i="5" s="1"/>
  <c r="BA409" i="5"/>
  <c r="BA405" i="5"/>
  <c r="BB405" i="5"/>
  <c r="BB401" i="5"/>
  <c r="BC401" i="5"/>
  <c r="BA401" i="5"/>
  <c r="BD401" i="5"/>
  <c r="BA397" i="5"/>
  <c r="BC397" i="5"/>
  <c r="BC393" i="5"/>
  <c r="BB393" i="5"/>
  <c r="BD393" i="5" s="1"/>
  <c r="BA393" i="5"/>
  <c r="BA389" i="5"/>
  <c r="BB389" i="5"/>
  <c r="BB385" i="5"/>
  <c r="BC385" i="5"/>
  <c r="BA385" i="5"/>
  <c r="BD385" i="5"/>
  <c r="BA381" i="5"/>
  <c r="BC381" i="5"/>
  <c r="BC377" i="5"/>
  <c r="BB377" i="5"/>
  <c r="BA377" i="5"/>
  <c r="BA373" i="5"/>
  <c r="BB373" i="5"/>
  <c r="BB369" i="5"/>
  <c r="BC369" i="5"/>
  <c r="BD369" i="5" s="1"/>
  <c r="BA369" i="5"/>
  <c r="BA365" i="5"/>
  <c r="BC365" i="5"/>
  <c r="BC361" i="5"/>
  <c r="BB361" i="5"/>
  <c r="BA361" i="5"/>
  <c r="BD361" i="5" s="1"/>
  <c r="BA357" i="5"/>
  <c r="BB357" i="5"/>
  <c r="BD353" i="5"/>
  <c r="BB353" i="5"/>
  <c r="BC353" i="5"/>
  <c r="BA353" i="5"/>
  <c r="BD349" i="5"/>
  <c r="BA349" i="5"/>
  <c r="BC349" i="5"/>
  <c r="BC345" i="5"/>
  <c r="BB345" i="5"/>
  <c r="BA345" i="5"/>
  <c r="BA341" i="5"/>
  <c r="BD341" i="5" s="1"/>
  <c r="BB341" i="5"/>
  <c r="BB337" i="5"/>
  <c r="BA337" i="5"/>
  <c r="BC337" i="5"/>
  <c r="BD333" i="5"/>
  <c r="BA333" i="5"/>
  <c r="BD329" i="5"/>
  <c r="BB329" i="5"/>
  <c r="BA329" i="5"/>
  <c r="BC329" i="5"/>
  <c r="BD325" i="5"/>
  <c r="BA325" i="5"/>
  <c r="BB325" i="5"/>
  <c r="BB321" i="5"/>
  <c r="BA321" i="5"/>
  <c r="BC321" i="5"/>
  <c r="BA317" i="5"/>
  <c r="BD317" i="5" s="1"/>
  <c r="BB313" i="5"/>
  <c r="BD313" i="5" s="1"/>
  <c r="BA313" i="5"/>
  <c r="BC313" i="5"/>
  <c r="BA309" i="5"/>
  <c r="BD309" i="5" s="1"/>
  <c r="BB309" i="5"/>
  <c r="BB305" i="5"/>
  <c r="BA305" i="5"/>
  <c r="BC305" i="5"/>
  <c r="BD301" i="5"/>
  <c r="BA301" i="5"/>
  <c r="BB297" i="5"/>
  <c r="BA297" i="5"/>
  <c r="BD297" i="5" s="1"/>
  <c r="BC297" i="5"/>
  <c r="BA293" i="5"/>
  <c r="BB293" i="5"/>
  <c r="BB289" i="5"/>
  <c r="BA289" i="5"/>
  <c r="BC289" i="5"/>
  <c r="BA285" i="5"/>
  <c r="BD285" i="5" s="1"/>
  <c r="BB281" i="5"/>
  <c r="BA281" i="5"/>
  <c r="BC281" i="5"/>
  <c r="BA277" i="5"/>
  <c r="BD277" i="5" s="1"/>
  <c r="BB277" i="5"/>
  <c r="BB273" i="5"/>
  <c r="BA273" i="5"/>
  <c r="BC273" i="5"/>
  <c r="BD269" i="5"/>
  <c r="BA269" i="5"/>
  <c r="BD265" i="5"/>
  <c r="BB265" i="5"/>
  <c r="BA265" i="5"/>
  <c r="BC265" i="5"/>
  <c r="BD261" i="5"/>
  <c r="BA261" i="5"/>
  <c r="BB261" i="5"/>
  <c r="BB257" i="5"/>
  <c r="BA257" i="5"/>
  <c r="BC257" i="5"/>
  <c r="BA253" i="5"/>
  <c r="BD253" i="5" s="1"/>
  <c r="BB249" i="5"/>
  <c r="BD249" i="5" s="1"/>
  <c r="BA249" i="5"/>
  <c r="BC249" i="5"/>
  <c r="BA245" i="5"/>
  <c r="BD245" i="5" s="1"/>
  <c r="BB245" i="5"/>
  <c r="BB241" i="5"/>
  <c r="BA241" i="5"/>
  <c r="BC241" i="5"/>
  <c r="BA237" i="5"/>
  <c r="BB233" i="5"/>
  <c r="BA233" i="5"/>
  <c r="BD233" i="5" s="1"/>
  <c r="BC233" i="5"/>
  <c r="BA229" i="5"/>
  <c r="BB229" i="5"/>
  <c r="BD229" i="5" s="1"/>
  <c r="BB225" i="5"/>
  <c r="BA225" i="5"/>
  <c r="BC225" i="5"/>
  <c r="BA221" i="5"/>
  <c r="BA217" i="5"/>
  <c r="BB217" i="5"/>
  <c r="BC217" i="5"/>
  <c r="BB213" i="5"/>
  <c r="BB209" i="5"/>
  <c r="BA209" i="5"/>
  <c r="BC209" i="5"/>
  <c r="BA205" i="5"/>
  <c r="BD205" i="5" s="1"/>
  <c r="BA201" i="5"/>
  <c r="BB201" i="5"/>
  <c r="BC201" i="5"/>
  <c r="BB197" i="5"/>
  <c r="BB193" i="5"/>
  <c r="BA193" i="5"/>
  <c r="BC193" i="5"/>
  <c r="BA189" i="5"/>
  <c r="BD189" i="5" s="1"/>
  <c r="BA185" i="5"/>
  <c r="BB185" i="5"/>
  <c r="BC185" i="5"/>
  <c r="BB181" i="5"/>
  <c r="BD181" i="5" s="1"/>
  <c r="BB177" i="5"/>
  <c r="BA177" i="5"/>
  <c r="BC177" i="5"/>
  <c r="BA173" i="5"/>
  <c r="BA169" i="5"/>
  <c r="BB169" i="5"/>
  <c r="BC169" i="5"/>
  <c r="BB165" i="5"/>
  <c r="BD165" i="5" s="1"/>
  <c r="BB161" i="5"/>
  <c r="BA161" i="5"/>
  <c r="BC161" i="5"/>
  <c r="BA157" i="5"/>
  <c r="BA153" i="5"/>
  <c r="BB153" i="5"/>
  <c r="BC153" i="5"/>
  <c r="BB149" i="5"/>
  <c r="BB145" i="5"/>
  <c r="BA145" i="5"/>
  <c r="BC145" i="5"/>
  <c r="BA141" i="5"/>
  <c r="BD141" i="5" s="1"/>
  <c r="BA137" i="5"/>
  <c r="BB137" i="5"/>
  <c r="BC137" i="5"/>
  <c r="BB133" i="5"/>
  <c r="BB129" i="5"/>
  <c r="BA129" i="5"/>
  <c r="AZ129" i="5"/>
  <c r="BD129" i="5" s="1"/>
  <c r="BC129" i="5"/>
  <c r="AZ125" i="5"/>
  <c r="BA125" i="5"/>
  <c r="BD125" i="5" s="1"/>
  <c r="BA121" i="5"/>
  <c r="BB121" i="5"/>
  <c r="AZ121" i="5"/>
  <c r="BD121" i="5" s="1"/>
  <c r="BC121" i="5"/>
  <c r="AZ117" i="5"/>
  <c r="BB117" i="5"/>
  <c r="BD117" i="5" s="1"/>
  <c r="BB113" i="5"/>
  <c r="BA113" i="5"/>
  <c r="AZ113" i="5"/>
  <c r="BD113" i="5" s="1"/>
  <c r="BC113" i="5"/>
  <c r="AZ109" i="5"/>
  <c r="BA109" i="5"/>
  <c r="BD109" i="5" s="1"/>
  <c r="BA105" i="5"/>
  <c r="BB105" i="5"/>
  <c r="AZ105" i="5"/>
  <c r="BD105" i="5" s="1"/>
  <c r="BC105" i="5"/>
  <c r="AZ101" i="5"/>
  <c r="BB101" i="5"/>
  <c r="BD101" i="5" s="1"/>
  <c r="BB97" i="5"/>
  <c r="BA97" i="5"/>
  <c r="AZ97" i="5"/>
  <c r="BD97" i="5" s="1"/>
  <c r="BC97" i="5"/>
  <c r="AZ93" i="5"/>
  <c r="BA93" i="5"/>
  <c r="BD93" i="5" s="1"/>
  <c r="BA89" i="5"/>
  <c r="BB89" i="5"/>
  <c r="AZ89" i="5"/>
  <c r="BD89" i="5" s="1"/>
  <c r="BC89" i="5"/>
  <c r="AZ85" i="5"/>
  <c r="BB85" i="5"/>
  <c r="BB81" i="5"/>
  <c r="BA81" i="5"/>
  <c r="AZ81" i="5"/>
  <c r="BD81" i="5" s="1"/>
  <c r="BC81" i="5"/>
  <c r="AZ77" i="5"/>
  <c r="BA77" i="5"/>
  <c r="BD77" i="5" s="1"/>
  <c r="BA73" i="5"/>
  <c r="BB73" i="5"/>
  <c r="AZ73" i="5"/>
  <c r="BD73" i="5" s="1"/>
  <c r="BC73" i="5"/>
  <c r="AZ69" i="5"/>
  <c r="BB69" i="5"/>
  <c r="BD69" i="5" s="1"/>
  <c r="BB65" i="5"/>
  <c r="BA65" i="5"/>
  <c r="AZ65" i="5"/>
  <c r="BD65" i="5" s="1"/>
  <c r="BC65" i="5"/>
  <c r="AZ61" i="5"/>
  <c r="BA61" i="5"/>
  <c r="BD61" i="5" s="1"/>
  <c r="BA57" i="5"/>
  <c r="BB57" i="5"/>
  <c r="AZ57" i="5"/>
  <c r="BD57" i="5" s="1"/>
  <c r="BC57" i="5"/>
  <c r="AZ53" i="5"/>
  <c r="BB53" i="5"/>
  <c r="BD53" i="5" s="1"/>
  <c r="BB49" i="5"/>
  <c r="BA49" i="5"/>
  <c r="AZ49" i="5"/>
  <c r="BD49" i="5" s="1"/>
  <c r="BC49" i="5"/>
  <c r="AZ45" i="5"/>
  <c r="BA45" i="5"/>
  <c r="BD45" i="5" s="1"/>
  <c r="BA41" i="5"/>
  <c r="BB41" i="5"/>
  <c r="AZ41" i="5"/>
  <c r="BD41" i="5" s="1"/>
  <c r="BC41" i="5"/>
  <c r="AZ37" i="5"/>
  <c r="BB37" i="5"/>
  <c r="BD37" i="5" s="1"/>
  <c r="BB33" i="5"/>
  <c r="BA33" i="5"/>
  <c r="AZ33" i="5"/>
  <c r="BD33" i="5" s="1"/>
  <c r="BC33" i="5"/>
  <c r="AZ29" i="5"/>
  <c r="BA29" i="5"/>
  <c r="BD29" i="5" s="1"/>
  <c r="BA25" i="5"/>
  <c r="BB25" i="5"/>
  <c r="AZ25" i="5"/>
  <c r="BD25" i="5" s="1"/>
  <c r="BC25" i="5"/>
  <c r="AZ21" i="5"/>
  <c r="BB21" i="5"/>
  <c r="BD21" i="5" s="1"/>
  <c r="BB17" i="5"/>
  <c r="BA17" i="5"/>
  <c r="AZ17" i="5"/>
  <c r="BD17" i="5" s="1"/>
  <c r="BC17" i="5"/>
  <c r="AZ13" i="5"/>
  <c r="BA13" i="5"/>
  <c r="BD13" i="5" s="1"/>
  <c r="BA9" i="5"/>
  <c r="BB9" i="5"/>
  <c r="AZ9" i="5"/>
  <c r="BD9" i="5" s="1"/>
  <c r="BC9" i="5"/>
  <c r="AZ5" i="5"/>
  <c r="BB5" i="5"/>
  <c r="BD5" i="5" s="1"/>
  <c r="AZ409" i="5"/>
  <c r="AZ405" i="5"/>
  <c r="BD405" i="5" s="1"/>
  <c r="AZ401" i="5"/>
  <c r="AZ401" i="19" s="1"/>
  <c r="AZ397" i="5"/>
  <c r="BD397" i="5" s="1"/>
  <c r="AZ393" i="5"/>
  <c r="AZ393" i="19" s="1"/>
  <c r="AZ389" i="5"/>
  <c r="BD389" i="5" s="1"/>
  <c r="AZ385" i="5"/>
  <c r="AZ381" i="5"/>
  <c r="BD381" i="5" s="1"/>
  <c r="AZ377" i="5"/>
  <c r="BD377" i="5" s="1"/>
  <c r="AZ373" i="5"/>
  <c r="BD373" i="5" s="1"/>
  <c r="AZ368" i="5"/>
  <c r="BD368" i="5" s="1"/>
  <c r="AZ362" i="5"/>
  <c r="BD362" i="5" s="1"/>
  <c r="AZ357" i="5"/>
  <c r="BD357" i="5" s="1"/>
  <c r="AZ352" i="5"/>
  <c r="BD352" i="5" s="1"/>
  <c r="AZ345" i="5"/>
  <c r="BD345" i="5" s="1"/>
  <c r="AZ337" i="5"/>
  <c r="BD337" i="5" s="1"/>
  <c r="AZ329" i="5"/>
  <c r="AZ321" i="5"/>
  <c r="BD321" i="5" s="1"/>
  <c r="AZ313" i="5"/>
  <c r="AZ313" i="19" s="1"/>
  <c r="AZ305" i="5"/>
  <c r="BD305" i="5" s="1"/>
  <c r="AZ297" i="5"/>
  <c r="AZ289" i="5"/>
  <c r="BD289" i="5" s="1"/>
  <c r="AZ281" i="5"/>
  <c r="BD281" i="5" s="1"/>
  <c r="AZ273" i="5"/>
  <c r="BD273" i="5" s="1"/>
  <c r="AZ265" i="5"/>
  <c r="AZ257" i="5"/>
  <c r="BD257" i="5" s="1"/>
  <c r="AZ249" i="5"/>
  <c r="AZ241" i="5"/>
  <c r="BD241" i="5" s="1"/>
  <c r="AZ233" i="5"/>
  <c r="AZ225" i="5"/>
  <c r="BD225" i="5" s="1"/>
  <c r="AZ217" i="5"/>
  <c r="BD217" i="5" s="1"/>
  <c r="AZ209" i="5"/>
  <c r="AZ210" i="19" s="1"/>
  <c r="AZ201" i="5"/>
  <c r="BD201" i="5" s="1"/>
  <c r="AZ193" i="5"/>
  <c r="BD193" i="5" s="1"/>
  <c r="AZ185" i="5"/>
  <c r="BD185" i="5" s="1"/>
  <c r="AZ177" i="5"/>
  <c r="BD177" i="5" s="1"/>
  <c r="AZ169" i="5"/>
  <c r="BD169" i="5" s="1"/>
  <c r="AZ161" i="5"/>
  <c r="BD161" i="5" s="1"/>
  <c r="AZ153" i="5"/>
  <c r="BD153" i="5" s="1"/>
  <c r="AZ145" i="5"/>
  <c r="BD145" i="5" s="1"/>
  <c r="AZ137" i="5"/>
  <c r="BD137" i="5" s="1"/>
  <c r="AZ128" i="5"/>
  <c r="AZ129" i="19" s="1"/>
  <c r="AZ112" i="5"/>
  <c r="AZ96" i="5"/>
  <c r="BD96" i="5" s="1"/>
  <c r="AZ80" i="5"/>
  <c r="AZ64" i="5"/>
  <c r="AZ48" i="5"/>
  <c r="AZ32" i="5"/>
  <c r="BD32" i="5" s="1"/>
  <c r="AZ16" i="5"/>
  <c r="BA408" i="5"/>
  <c r="BA392" i="5"/>
  <c r="BA376" i="5"/>
  <c r="BA360" i="5"/>
  <c r="BA344" i="5"/>
  <c r="BA328" i="5"/>
  <c r="BA312" i="5"/>
  <c r="BD312" i="5" s="1"/>
  <c r="BA296" i="5"/>
  <c r="BA280" i="5"/>
  <c r="BD280" i="5" s="1"/>
  <c r="BA264" i="5"/>
  <c r="BA248" i="5"/>
  <c r="BD248" i="5" s="1"/>
  <c r="BA232" i="5"/>
  <c r="BA213" i="5"/>
  <c r="BD213" i="5" s="1"/>
  <c r="BA192" i="5"/>
  <c r="BA170" i="5"/>
  <c r="BD170" i="5" s="1"/>
  <c r="BA149" i="5"/>
  <c r="BD149" i="5" s="1"/>
  <c r="BA128" i="5"/>
  <c r="BA106" i="5"/>
  <c r="BA85" i="5"/>
  <c r="BD85" i="5" s="1"/>
  <c r="BA64" i="5"/>
  <c r="BA42" i="5"/>
  <c r="BD42" i="5" s="1"/>
  <c r="BA21" i="5"/>
  <c r="BB408" i="5"/>
  <c r="BB386" i="5"/>
  <c r="BB365" i="5"/>
  <c r="BD365" i="5" s="1"/>
  <c r="BB344" i="5"/>
  <c r="BB322" i="5"/>
  <c r="BB301" i="5"/>
  <c r="BB280" i="5"/>
  <c r="BB258" i="5"/>
  <c r="BB237" i="5"/>
  <c r="BD237" i="5" s="1"/>
  <c r="BB216" i="5"/>
  <c r="BB194" i="5"/>
  <c r="BB173" i="5"/>
  <c r="BB152" i="5"/>
  <c r="BB130" i="5"/>
  <c r="BB109" i="5"/>
  <c r="BB88" i="5"/>
  <c r="BB66" i="5"/>
  <c r="BB45" i="5"/>
  <c r="BB24" i="5"/>
  <c r="BC2" i="5"/>
  <c r="BC389" i="5"/>
  <c r="BC368" i="5"/>
  <c r="BC346" i="5"/>
  <c r="BC317" i="5"/>
  <c r="BC285" i="5"/>
  <c r="BC253" i="5"/>
  <c r="BC221" i="5"/>
  <c r="BC189" i="5"/>
  <c r="BC157" i="5"/>
  <c r="BC125" i="5"/>
  <c r="BC93" i="5"/>
  <c r="BC61" i="5"/>
  <c r="BC29" i="5"/>
  <c r="BD286" i="5"/>
  <c r="AT132" i="12"/>
  <c r="AM122" i="14" s="1"/>
  <c r="AK122" i="14"/>
  <c r="AT10" i="12"/>
  <c r="AM11" i="14" s="1"/>
  <c r="AK11" i="14"/>
  <c r="AT47" i="12"/>
  <c r="AM48" i="14" s="1"/>
  <c r="AK48" i="14"/>
  <c r="AT398" i="12"/>
  <c r="AM358" i="14" s="1"/>
  <c r="AK358" i="14"/>
  <c r="AT393" i="12"/>
  <c r="AM354" i="14" s="1"/>
  <c r="AK354" i="14"/>
  <c r="AT388" i="12"/>
  <c r="AM349" i="14" s="1"/>
  <c r="AK349" i="14"/>
  <c r="AT380" i="12"/>
  <c r="AM344" i="14" s="1"/>
  <c r="AK344" i="14"/>
  <c r="AT376" i="12"/>
  <c r="AM340" i="14" s="1"/>
  <c r="AK340" i="14"/>
  <c r="AT368" i="12"/>
  <c r="AM333" i="14" s="1"/>
  <c r="AK333" i="14"/>
  <c r="AT364" i="12"/>
  <c r="AK329" i="14"/>
  <c r="AT360" i="12"/>
  <c r="AM325" i="14" s="1"/>
  <c r="AK325" i="14"/>
  <c r="AT356" i="12"/>
  <c r="AM321" i="14" s="1"/>
  <c r="AK321" i="14"/>
  <c r="AT349" i="12"/>
  <c r="AM314" i="14" s="1"/>
  <c r="AK314" i="14"/>
  <c r="AT209" i="12"/>
  <c r="AK193" i="14"/>
  <c r="AT341" i="12"/>
  <c r="AM308" i="14" s="1"/>
  <c r="AK308" i="14"/>
  <c r="AT337" i="12"/>
  <c r="AM304" i="14" s="1"/>
  <c r="AK304" i="14"/>
  <c r="AT328" i="12"/>
  <c r="AM295" i="14" s="1"/>
  <c r="AK295" i="14"/>
  <c r="AT320" i="12"/>
  <c r="AM287" i="14" s="1"/>
  <c r="AK287" i="14"/>
  <c r="AT315" i="12"/>
  <c r="AK282" i="14"/>
  <c r="AT311" i="12"/>
  <c r="AM278" i="14" s="1"/>
  <c r="AK278" i="14"/>
  <c r="AT304" i="12"/>
  <c r="AK272" i="14"/>
  <c r="AT299" i="12"/>
  <c r="AM267" i="14" s="1"/>
  <c r="AK267" i="14"/>
  <c r="AT138" i="12"/>
  <c r="AM128" i="14" s="1"/>
  <c r="AK128" i="14"/>
  <c r="AT290" i="12"/>
  <c r="AM259" i="14" s="1"/>
  <c r="AK259" i="14"/>
  <c r="AT287" i="12"/>
  <c r="AM257" i="14" s="1"/>
  <c r="AK257" i="14"/>
  <c r="AT241" i="12"/>
  <c r="AK219" i="14"/>
  <c r="AT271" i="12"/>
  <c r="AM248" i="14" s="1"/>
  <c r="AK248" i="14"/>
  <c r="AT266" i="12"/>
  <c r="AM244" i="14" s="1"/>
  <c r="AK244" i="14"/>
  <c r="AT261" i="12"/>
  <c r="AK239" i="14"/>
  <c r="AT257" i="12"/>
  <c r="AM235" i="14" s="1"/>
  <c r="AK235" i="14"/>
  <c r="AT253" i="12"/>
  <c r="AM231" i="14" s="1"/>
  <c r="AK231" i="14"/>
  <c r="AT249" i="12"/>
  <c r="AM227" i="14" s="1"/>
  <c r="AK227" i="14"/>
  <c r="AT245" i="12"/>
  <c r="AM223" i="14" s="1"/>
  <c r="AK223" i="14"/>
  <c r="AT240" i="12"/>
  <c r="AM218" i="14" s="1"/>
  <c r="AK218" i="14"/>
  <c r="AT236" i="12"/>
  <c r="AM214" i="14" s="1"/>
  <c r="AK214" i="14"/>
  <c r="AT231" i="12"/>
  <c r="AM210" i="14" s="1"/>
  <c r="AK210" i="14"/>
  <c r="AT220" i="12"/>
  <c r="AM204" i="14" s="1"/>
  <c r="AK204" i="14"/>
  <c r="AT216" i="12"/>
  <c r="AK200" i="14"/>
  <c r="AT211" i="12"/>
  <c r="AM195" i="14" s="1"/>
  <c r="AK195" i="14"/>
  <c r="AT353" i="12"/>
  <c r="AM318" i="14" s="1"/>
  <c r="AK318" i="14"/>
  <c r="AT140" i="12"/>
  <c r="AM130" i="14" s="1"/>
  <c r="AK130" i="14"/>
  <c r="AT173" i="12"/>
  <c r="AM161" i="14" s="1"/>
  <c r="AK161" i="14"/>
  <c r="AT168" i="12"/>
  <c r="AM156" i="14" s="1"/>
  <c r="AK156" i="14"/>
  <c r="AT164" i="12"/>
  <c r="AM153" i="14" s="1"/>
  <c r="AK153" i="14"/>
  <c r="AT159" i="12"/>
  <c r="AM148" i="14" s="1"/>
  <c r="AK148" i="14"/>
  <c r="AT153" i="12"/>
  <c r="AM143" i="14" s="1"/>
  <c r="AK143" i="14"/>
  <c r="AT149" i="12"/>
  <c r="AM139" i="14" s="1"/>
  <c r="AK139" i="14"/>
  <c r="AT141" i="12"/>
  <c r="AM131" i="14" s="1"/>
  <c r="AK131" i="14"/>
  <c r="AT131" i="12"/>
  <c r="AK121" i="14"/>
  <c r="AT124" i="12"/>
  <c r="AM114" i="14" s="1"/>
  <c r="AK114" i="14"/>
  <c r="AT120" i="12"/>
  <c r="AM111" i="14" s="1"/>
  <c r="AK111" i="14"/>
  <c r="AT116" i="12"/>
  <c r="AM107" i="14" s="1"/>
  <c r="AK107" i="14"/>
  <c r="AT111" i="12"/>
  <c r="AK103" i="14"/>
  <c r="AT102" i="12"/>
  <c r="AM94" i="14" s="1"/>
  <c r="AK94" i="14"/>
  <c r="AT93" i="12"/>
  <c r="AK89" i="14"/>
  <c r="AT89" i="12"/>
  <c r="AM85" i="14" s="1"/>
  <c r="AK85" i="14"/>
  <c r="AT276" i="12"/>
  <c r="AK253" i="14"/>
  <c r="AT83" i="12"/>
  <c r="AM79" i="14" s="1"/>
  <c r="AK79" i="14"/>
  <c r="AT79" i="12"/>
  <c r="AM75" i="14" s="1"/>
  <c r="AK75" i="14"/>
  <c r="AT74" i="12"/>
  <c r="AM70" i="14" s="1"/>
  <c r="AK70" i="14"/>
  <c r="AT16" i="12"/>
  <c r="AM17" i="14" s="1"/>
  <c r="AK17" i="14"/>
  <c r="AT12" i="12"/>
  <c r="AM13" i="14" s="1"/>
  <c r="AK13" i="14"/>
  <c r="AT69" i="12"/>
  <c r="AM65" i="14" s="1"/>
  <c r="AK65" i="14"/>
  <c r="AT64" i="12"/>
  <c r="AM61" i="14" s="1"/>
  <c r="AK61" i="14"/>
  <c r="AT60" i="12"/>
  <c r="AM58" i="14" s="1"/>
  <c r="AK58" i="14"/>
  <c r="AT48" i="12"/>
  <c r="AK49" i="14"/>
  <c r="AT43" i="12"/>
  <c r="AK44" i="14"/>
  <c r="AT39" i="12"/>
  <c r="AM40" i="14" s="1"/>
  <c r="AK40" i="14"/>
  <c r="AT35" i="12"/>
  <c r="AM36" i="14" s="1"/>
  <c r="AK36" i="14"/>
  <c r="AT29" i="12"/>
  <c r="AM30" i="14" s="1"/>
  <c r="AK30" i="14"/>
  <c r="AT23" i="12"/>
  <c r="AM24" i="14" s="1"/>
  <c r="AK24" i="14"/>
  <c r="AT214" i="12"/>
  <c r="AM198" i="14" s="1"/>
  <c r="AK198" i="14"/>
  <c r="AT81" i="12"/>
  <c r="AM77" i="14" s="1"/>
  <c r="AK77" i="14"/>
  <c r="AT179" i="12"/>
  <c r="AK167" i="14"/>
  <c r="AT379" i="12"/>
  <c r="AM343" i="14" s="1"/>
  <c r="AK343" i="14"/>
  <c r="AT374" i="12"/>
  <c r="AM338" i="14" s="1"/>
  <c r="AK338" i="14"/>
  <c r="AT199" i="12"/>
  <c r="AM183" i="14" s="1"/>
  <c r="AK183" i="14"/>
  <c r="AT169" i="12"/>
  <c r="AM157" i="14" s="1"/>
  <c r="AK157" i="14"/>
  <c r="AT391" i="12"/>
  <c r="AM352" i="14" s="1"/>
  <c r="AK352" i="14"/>
  <c r="AT197" i="12"/>
  <c r="AM181" i="14" s="1"/>
  <c r="AK181" i="14"/>
  <c r="AT30" i="12"/>
  <c r="AM31" i="14" s="1"/>
  <c r="AK31" i="14"/>
  <c r="AT331" i="12"/>
  <c r="AM298" i="14" s="1"/>
  <c r="AK298" i="14"/>
  <c r="AT65" i="12"/>
  <c r="AM62" i="14" s="1"/>
  <c r="AK62" i="14"/>
  <c r="AT367" i="12"/>
  <c r="AM332" i="14" s="1"/>
  <c r="AK332" i="14"/>
  <c r="AT340" i="12"/>
  <c r="AM307" i="14" s="1"/>
  <c r="AK307" i="14"/>
  <c r="AT319" i="12"/>
  <c r="AM286" i="14" s="1"/>
  <c r="AK286" i="14"/>
  <c r="AT298" i="12"/>
  <c r="AK266" i="14"/>
  <c r="AT274" i="12"/>
  <c r="AM251" i="14" s="1"/>
  <c r="AK251" i="14"/>
  <c r="AT248" i="12"/>
  <c r="AM226" i="14" s="1"/>
  <c r="AK226" i="14"/>
  <c r="AT158" i="12"/>
  <c r="AM147" i="14" s="1"/>
  <c r="AK147" i="14"/>
  <c r="AT136" i="12"/>
  <c r="AM126" i="14" s="1"/>
  <c r="AK126" i="14"/>
  <c r="AT114" i="12"/>
  <c r="AK106" i="14"/>
  <c r="AT88" i="12"/>
  <c r="AM84" i="14" s="1"/>
  <c r="AK84" i="14"/>
  <c r="AT11" i="12"/>
  <c r="AM12" i="14" s="1"/>
  <c r="AK12" i="14"/>
  <c r="AT301" i="12"/>
  <c r="AK269" i="14"/>
  <c r="AT359" i="12"/>
  <c r="AK324" i="14"/>
  <c r="AT139" i="12"/>
  <c r="AK129" i="14"/>
  <c r="AT366" i="12"/>
  <c r="AM331" i="14" s="1"/>
  <c r="AK331" i="14"/>
  <c r="AT180" i="12"/>
  <c r="AK168" i="14"/>
  <c r="AT202" i="12"/>
  <c r="AM186" i="14" s="1"/>
  <c r="AK186" i="14"/>
  <c r="AT9" i="12"/>
  <c r="AM10" i="14" s="1"/>
  <c r="AK10" i="14"/>
  <c r="AT5" i="12"/>
  <c r="AM6" i="14" s="1"/>
  <c r="AK6" i="14"/>
  <c r="AT373" i="12"/>
  <c r="AM337" i="14" s="1"/>
  <c r="AK337" i="14"/>
  <c r="AT176" i="12"/>
  <c r="AM164" i="14" s="1"/>
  <c r="AK164" i="14"/>
  <c r="AT192" i="12"/>
  <c r="AM176" i="14" s="1"/>
  <c r="AK176" i="14"/>
  <c r="AT46" i="12"/>
  <c r="AM47" i="14" s="1"/>
  <c r="AK47" i="14"/>
  <c r="AT189" i="12"/>
  <c r="AK173" i="14"/>
  <c r="AT330" i="12"/>
  <c r="AM297" i="14" s="1"/>
  <c r="AK297" i="14"/>
  <c r="AT96" i="12"/>
  <c r="AK92" i="14"/>
  <c r="AT24" i="12"/>
  <c r="AM25" i="14" s="1"/>
  <c r="AK25" i="14"/>
  <c r="AT347" i="12"/>
  <c r="AM312" i="14" s="1"/>
  <c r="AK312" i="14"/>
  <c r="AT326" i="12"/>
  <c r="AM293" i="14" s="1"/>
  <c r="AK293" i="14"/>
  <c r="AT306" i="12"/>
  <c r="AM274" i="14" s="1"/>
  <c r="AK274" i="14"/>
  <c r="AT206" i="12"/>
  <c r="AM190" i="14" s="1"/>
  <c r="AK190" i="14"/>
  <c r="AT247" i="12"/>
  <c r="AM225" i="14" s="1"/>
  <c r="AK225" i="14"/>
  <c r="AT166" i="12"/>
  <c r="AM155" i="14" s="1"/>
  <c r="AK155" i="14"/>
  <c r="AT95" i="12"/>
  <c r="AK91" i="14"/>
  <c r="AT71" i="12"/>
  <c r="AK67" i="14"/>
  <c r="AT198" i="12"/>
  <c r="AM182" i="14" s="1"/>
  <c r="AK182" i="14"/>
  <c r="AT207" i="12"/>
  <c r="AM191" i="14" s="1"/>
  <c r="AK191" i="14"/>
  <c r="AT101" i="12"/>
  <c r="AM93" i="14" s="1"/>
  <c r="AK93" i="14"/>
  <c r="AT28" i="12"/>
  <c r="AM29" i="14" s="1"/>
  <c r="AK29" i="14"/>
  <c r="AT37" i="12"/>
  <c r="AM38" i="14" s="1"/>
  <c r="AK38" i="14"/>
  <c r="AT126" i="12"/>
  <c r="AM116" i="14" s="1"/>
  <c r="AK116" i="14"/>
  <c r="AT201" i="12"/>
  <c r="AM185" i="14" s="1"/>
  <c r="AK185" i="14"/>
  <c r="AT8" i="12"/>
  <c r="AM9" i="14" s="1"/>
  <c r="AK9" i="14"/>
  <c r="AT4" i="12"/>
  <c r="AM5" i="14" s="1"/>
  <c r="AK5" i="14"/>
  <c r="AT19" i="12"/>
  <c r="AM20" i="14" s="1"/>
  <c r="AK20" i="14"/>
  <c r="AT372" i="12"/>
  <c r="AM336" i="14" s="1"/>
  <c r="AK336" i="14"/>
  <c r="AT109" i="12"/>
  <c r="AM101" i="14" s="1"/>
  <c r="AK101" i="14"/>
  <c r="AT163" i="12"/>
  <c r="AK152" i="14"/>
  <c r="AT25" i="12"/>
  <c r="AM26" i="14" s="1"/>
  <c r="AK26" i="14"/>
  <c r="AT215" i="12"/>
  <c r="AM199" i="14" s="1"/>
  <c r="AK199" i="14"/>
  <c r="AT134" i="12"/>
  <c r="AK124" i="14"/>
  <c r="AT195" i="12"/>
  <c r="AM179" i="14" s="1"/>
  <c r="AK179" i="14"/>
  <c r="AT191" i="12"/>
  <c r="AM175" i="14" s="1"/>
  <c r="AK175" i="14"/>
  <c r="AT225" i="12"/>
  <c r="AM207" i="14" s="1"/>
  <c r="AK207" i="14"/>
  <c r="AT34" i="12"/>
  <c r="AK35" i="14"/>
  <c r="AT18" i="12"/>
  <c r="AM19" i="14" s="1"/>
  <c r="AK19" i="14"/>
  <c r="AT292" i="12"/>
  <c r="AM261" i="14" s="1"/>
  <c r="AK261" i="14"/>
  <c r="AT329" i="12"/>
  <c r="AM296" i="14" s="1"/>
  <c r="AK296" i="14"/>
  <c r="AT288" i="12"/>
  <c r="AK258" i="14"/>
  <c r="AT309" i="12"/>
  <c r="AM276" i="14" s="1"/>
  <c r="AK276" i="14"/>
  <c r="AT77" i="12"/>
  <c r="AM73" i="14" s="1"/>
  <c r="AK73" i="14"/>
  <c r="AO73" i="14" s="1"/>
  <c r="AP73" i="14" s="1"/>
  <c r="AT404" i="12"/>
  <c r="AM363" i="14" s="1"/>
  <c r="AK363" i="14"/>
  <c r="AT399" i="12"/>
  <c r="AM359" i="14" s="1"/>
  <c r="AK359" i="14"/>
  <c r="AT394" i="12"/>
  <c r="AM355" i="14" s="1"/>
  <c r="AK355" i="14"/>
  <c r="AT389" i="12"/>
  <c r="AM350" i="14" s="1"/>
  <c r="AK350" i="14"/>
  <c r="AT381" i="12"/>
  <c r="AM345" i="14" s="1"/>
  <c r="AK345" i="14"/>
  <c r="AT377" i="12"/>
  <c r="AM341" i="14" s="1"/>
  <c r="AK341" i="14"/>
  <c r="AT365" i="12"/>
  <c r="AM330" i="14" s="1"/>
  <c r="AK330" i="14"/>
  <c r="AT361" i="12"/>
  <c r="AM326" i="14" s="1"/>
  <c r="AK326" i="14"/>
  <c r="AT357" i="12"/>
  <c r="AM322" i="14" s="1"/>
  <c r="AK322" i="14"/>
  <c r="AT350" i="12"/>
  <c r="AK315" i="14"/>
  <c r="AO315" i="14" s="1"/>
  <c r="AT346" i="12"/>
  <c r="AM311" i="14" s="1"/>
  <c r="AK311" i="14"/>
  <c r="AT342" i="12"/>
  <c r="AK309" i="14"/>
  <c r="AT338" i="12"/>
  <c r="AK305" i="14"/>
  <c r="AT334" i="12"/>
  <c r="AM301" i="14" s="1"/>
  <c r="AK301" i="14"/>
  <c r="AT325" i="12"/>
  <c r="AM292" i="14" s="1"/>
  <c r="AK292" i="14"/>
  <c r="AT321" i="12"/>
  <c r="AM288" i="14" s="1"/>
  <c r="AK288" i="14"/>
  <c r="AO288" i="14" s="1"/>
  <c r="AP288" i="14" s="1"/>
  <c r="AT316" i="12"/>
  <c r="AM283" i="14" s="1"/>
  <c r="AK283" i="14"/>
  <c r="AT312" i="12"/>
  <c r="AK279" i="14"/>
  <c r="AT305" i="12"/>
  <c r="AM273" i="14" s="1"/>
  <c r="AK273" i="14"/>
  <c r="AT300" i="12"/>
  <c r="AM268" i="14" s="1"/>
  <c r="AK268" i="14"/>
  <c r="AT296" i="12"/>
  <c r="AM264" i="14" s="1"/>
  <c r="AK264" i="14"/>
  <c r="AT291" i="12"/>
  <c r="AK260" i="14"/>
  <c r="AT284" i="12"/>
  <c r="AM254" i="14" s="1"/>
  <c r="AK254" i="14"/>
  <c r="AT272" i="12"/>
  <c r="AM249" i="14" s="1"/>
  <c r="AK249" i="14"/>
  <c r="AO249" i="14" s="1"/>
  <c r="AT267" i="12"/>
  <c r="AM245" i="14" s="1"/>
  <c r="AK245" i="14"/>
  <c r="AT262" i="12"/>
  <c r="AM240" i="14" s="1"/>
  <c r="AK240" i="14"/>
  <c r="AT258" i="12"/>
  <c r="AM236" i="14" s="1"/>
  <c r="AK236" i="14"/>
  <c r="AT254" i="12"/>
  <c r="AM232" i="14" s="1"/>
  <c r="AK232" i="14"/>
  <c r="AT250" i="12"/>
  <c r="AK228" i="14"/>
  <c r="AT246" i="12"/>
  <c r="AM224" i="14" s="1"/>
  <c r="AK224" i="14"/>
  <c r="AT242" i="12"/>
  <c r="AM220" i="14" s="1"/>
  <c r="AK220" i="14"/>
  <c r="AT332" i="12"/>
  <c r="AM299" i="14" s="1"/>
  <c r="AK299" i="14"/>
  <c r="AO299" i="14" s="1"/>
  <c r="AT196" i="12"/>
  <c r="AM180" i="14" s="1"/>
  <c r="AK180" i="14"/>
  <c r="AT263" i="12"/>
  <c r="AM241" i="14" s="1"/>
  <c r="AK241" i="14"/>
  <c r="AT237" i="12"/>
  <c r="AK215" i="14"/>
  <c r="AT232" i="12"/>
  <c r="AM211" i="14" s="1"/>
  <c r="AK211" i="14"/>
  <c r="AO211" i="14" s="1"/>
  <c r="AT223" i="12"/>
  <c r="AK205" i="14"/>
  <c r="AT217" i="12"/>
  <c r="AM201" i="14" s="1"/>
  <c r="AK201" i="14"/>
  <c r="AO201" i="14" s="1"/>
  <c r="AP201" i="14" s="1"/>
  <c r="AT212" i="12"/>
  <c r="AM196" i="14" s="1"/>
  <c r="AK196" i="14"/>
  <c r="AT183" i="12"/>
  <c r="AM169" i="14" s="1"/>
  <c r="AK169" i="14"/>
  <c r="AO169" i="14" s="1"/>
  <c r="AP169" i="14" s="1"/>
  <c r="AT178" i="12"/>
  <c r="AM166" i="14" s="1"/>
  <c r="AK166" i="14"/>
  <c r="AT177" i="12"/>
  <c r="AM165" i="14" s="1"/>
  <c r="AK165" i="14"/>
  <c r="AO165" i="14" s="1"/>
  <c r="AT174" i="12"/>
  <c r="AM162" i="14" s="1"/>
  <c r="AK162" i="14"/>
  <c r="AT170" i="12"/>
  <c r="AK158" i="14"/>
  <c r="AT165" i="12"/>
  <c r="AM154" i="14" s="1"/>
  <c r="AK154" i="14"/>
  <c r="AT160" i="12"/>
  <c r="AM149" i="14" s="1"/>
  <c r="AK149" i="14"/>
  <c r="AO149" i="14" s="1"/>
  <c r="AT155" i="12"/>
  <c r="AM145" i="14" s="1"/>
  <c r="AK145" i="14"/>
  <c r="AT150" i="12"/>
  <c r="AM140" i="14" s="1"/>
  <c r="AK140" i="14"/>
  <c r="AT146" i="12"/>
  <c r="AM136" i="14" s="1"/>
  <c r="AK136" i="14"/>
  <c r="AT142" i="12"/>
  <c r="AM132" i="14" s="1"/>
  <c r="AK132" i="14"/>
  <c r="AO132" i="14" s="1"/>
  <c r="AT133" i="12"/>
  <c r="AM123" i="14" s="1"/>
  <c r="AK123" i="14"/>
  <c r="AT125" i="12"/>
  <c r="AK115" i="14"/>
  <c r="AO115" i="14" s="1"/>
  <c r="AT121" i="12"/>
  <c r="AM112" i="14" s="1"/>
  <c r="AK112" i="14"/>
  <c r="AT117" i="12"/>
  <c r="AK108" i="14"/>
  <c r="AT112" i="12"/>
  <c r="AM104" i="14" s="1"/>
  <c r="AK104" i="14"/>
  <c r="AT103" i="12"/>
  <c r="AM95" i="14" s="1"/>
  <c r="AK95" i="14"/>
  <c r="AT94" i="12"/>
  <c r="AK90" i="14"/>
  <c r="AT90" i="12"/>
  <c r="AM86" i="14" s="1"/>
  <c r="AK86" i="14"/>
  <c r="AT86" i="12"/>
  <c r="AM82" i="14" s="1"/>
  <c r="AK82" i="14"/>
  <c r="AT84" i="12"/>
  <c r="AM80" i="14" s="1"/>
  <c r="AK80" i="14"/>
  <c r="AO80" i="14" s="1"/>
  <c r="AP80" i="14" s="1"/>
  <c r="AT80" i="12"/>
  <c r="AM76" i="14" s="1"/>
  <c r="AK76" i="14"/>
  <c r="AT75" i="12"/>
  <c r="AK71" i="14"/>
  <c r="AT17" i="12"/>
  <c r="AM18" i="14" s="1"/>
  <c r="AK18" i="14"/>
  <c r="AT13" i="12"/>
  <c r="AM14" i="14" s="1"/>
  <c r="AK14" i="14"/>
  <c r="AT70" i="12"/>
  <c r="AM66" i="14" s="1"/>
  <c r="AK66" i="14"/>
  <c r="AT57" i="12"/>
  <c r="AM56" i="14" s="1"/>
  <c r="AK56" i="14"/>
  <c r="AO56" i="14" s="1"/>
  <c r="AP56" i="14" s="1"/>
  <c r="AT53" i="12"/>
  <c r="AM53" i="14" s="1"/>
  <c r="AK53" i="14"/>
  <c r="AT49" i="12"/>
  <c r="AM50" i="14" s="1"/>
  <c r="AK50" i="14"/>
  <c r="AT44" i="12"/>
  <c r="AM45" i="14" s="1"/>
  <c r="AK45" i="14"/>
  <c r="AT40" i="12"/>
  <c r="AK41" i="14"/>
  <c r="AT36" i="12"/>
  <c r="AK37" i="14"/>
  <c r="AT31" i="12"/>
  <c r="AM32" i="14" s="1"/>
  <c r="AK32" i="14"/>
  <c r="AT26" i="12"/>
  <c r="AM27" i="14" s="1"/>
  <c r="AK27" i="14"/>
  <c r="AT401" i="12"/>
  <c r="AM361" i="14" s="1"/>
  <c r="AK361" i="14"/>
  <c r="AO361" i="14" s="1"/>
  <c r="AT327" i="12"/>
  <c r="AM294" i="14" s="1"/>
  <c r="AK294" i="14"/>
  <c r="AT256" i="12"/>
  <c r="AM234" i="14" s="1"/>
  <c r="AK234" i="14"/>
  <c r="AT239" i="12"/>
  <c r="AK217" i="14"/>
  <c r="AT148" i="12"/>
  <c r="AM138" i="14" s="1"/>
  <c r="AK138" i="14"/>
  <c r="AT73" i="12"/>
  <c r="AM69" i="14" s="1"/>
  <c r="AK69" i="14"/>
  <c r="AT63" i="12"/>
  <c r="AM60" i="14" s="1"/>
  <c r="AK60" i="14"/>
  <c r="AT224" i="12"/>
  <c r="AM206" i="14" s="1"/>
  <c r="AK206" i="14"/>
  <c r="AT147" i="12"/>
  <c r="AM137" i="14" s="1"/>
  <c r="AK137" i="14"/>
  <c r="AT54" i="12"/>
  <c r="AM54" i="14" s="1"/>
  <c r="AK54" i="14"/>
  <c r="AT204" i="12"/>
  <c r="AM188" i="14" s="1"/>
  <c r="AK188" i="14"/>
  <c r="AT6" i="12"/>
  <c r="AM7" i="14" s="1"/>
  <c r="AK7" i="14"/>
  <c r="AT2" i="12"/>
  <c r="AM3" i="14" s="1"/>
  <c r="AK3" i="14"/>
  <c r="AO3" i="14" s="1"/>
  <c r="AT333" i="12"/>
  <c r="AM300" i="14" s="1"/>
  <c r="AK300" i="14"/>
  <c r="AT193" i="12"/>
  <c r="AM177" i="14" s="1"/>
  <c r="AK177" i="14"/>
  <c r="AT295" i="12"/>
  <c r="AM263" i="14" s="1"/>
  <c r="AK263" i="14"/>
  <c r="AT130" i="12"/>
  <c r="AM120" i="14" s="1"/>
  <c r="AK120" i="14"/>
  <c r="AT318" i="12"/>
  <c r="AM285" i="14" s="1"/>
  <c r="AK285" i="14"/>
  <c r="AT105" i="12"/>
  <c r="AM97" i="14" s="1"/>
  <c r="AK97" i="14"/>
  <c r="AO97" i="14" s="1"/>
  <c r="AT406" i="12"/>
  <c r="AM365" i="14" s="1"/>
  <c r="AK365" i="14"/>
  <c r="AT397" i="12"/>
  <c r="AM357" i="14" s="1"/>
  <c r="AK357" i="14"/>
  <c r="AT392" i="12"/>
  <c r="AM353" i="14" s="1"/>
  <c r="AK353" i="14"/>
  <c r="AT387" i="12"/>
  <c r="AM348" i="14" s="1"/>
  <c r="AK348" i="14"/>
  <c r="AO348" i="14" s="1"/>
  <c r="AT371" i="12"/>
  <c r="AK335" i="14"/>
  <c r="AT363" i="12"/>
  <c r="AM328" i="14" s="1"/>
  <c r="AK328" i="14"/>
  <c r="AT355" i="12"/>
  <c r="AM320" i="14" s="1"/>
  <c r="AK320" i="14"/>
  <c r="AT348" i="12"/>
  <c r="AM313" i="14" s="1"/>
  <c r="AK313" i="14"/>
  <c r="AT208" i="12"/>
  <c r="AM192" i="14" s="1"/>
  <c r="AK192" i="14"/>
  <c r="AT336" i="12"/>
  <c r="AM303" i="14" s="1"/>
  <c r="AK303" i="14"/>
  <c r="AT323" i="12"/>
  <c r="AM290" i="14" s="1"/>
  <c r="AK290" i="14"/>
  <c r="AT314" i="12"/>
  <c r="AM281" i="14" s="1"/>
  <c r="AK281" i="14"/>
  <c r="AO281" i="14" s="1"/>
  <c r="AT310" i="12"/>
  <c r="AK277" i="14"/>
  <c r="AT303" i="12"/>
  <c r="AK271" i="14"/>
  <c r="AO271" i="14" s="1"/>
  <c r="AT137" i="12"/>
  <c r="AK127" i="14"/>
  <c r="AT286" i="12"/>
  <c r="AK256" i="14"/>
  <c r="AT270" i="12"/>
  <c r="AM247" i="14" s="1"/>
  <c r="AK247" i="14"/>
  <c r="AT265" i="12"/>
  <c r="AM243" i="14" s="1"/>
  <c r="AK243" i="14"/>
  <c r="AO243" i="14" s="1"/>
  <c r="AT260" i="12"/>
  <c r="AM238" i="14" s="1"/>
  <c r="AK238" i="14"/>
  <c r="AT252" i="12"/>
  <c r="AK230" i="14"/>
  <c r="AO230" i="14" s="1"/>
  <c r="AT244" i="12"/>
  <c r="AM222" i="14" s="1"/>
  <c r="AK222" i="14"/>
  <c r="AT234" i="12"/>
  <c r="AM213" i="14" s="1"/>
  <c r="AK213" i="14"/>
  <c r="AO213" i="14" s="1"/>
  <c r="AT230" i="12"/>
  <c r="AM209" i="14" s="1"/>
  <c r="AK209" i="14"/>
  <c r="AT219" i="12"/>
  <c r="AK203" i="14"/>
  <c r="AT187" i="12"/>
  <c r="AK172" i="14"/>
  <c r="AT352" i="12"/>
  <c r="AK317" i="14"/>
  <c r="AO317" i="14" s="1"/>
  <c r="AT172" i="12"/>
  <c r="AM160" i="14" s="1"/>
  <c r="AK160" i="14"/>
  <c r="AT162" i="12"/>
  <c r="AK151" i="14"/>
  <c r="AT152" i="12"/>
  <c r="AM142" i="14" s="1"/>
  <c r="AK142" i="14"/>
  <c r="AT144" i="12"/>
  <c r="AK134" i="14"/>
  <c r="AO134" i="14" s="1"/>
  <c r="AT129" i="12"/>
  <c r="AK119" i="14"/>
  <c r="AT123" i="12"/>
  <c r="AM113" i="14" s="1"/>
  <c r="AK113" i="14"/>
  <c r="AO113" i="14" s="1"/>
  <c r="AT119" i="12"/>
  <c r="AM110" i="14" s="1"/>
  <c r="AK110" i="14"/>
  <c r="AT108" i="12"/>
  <c r="AM100" i="14" s="1"/>
  <c r="AK100" i="14"/>
  <c r="AO100" i="14" s="1"/>
  <c r="AT92" i="12"/>
  <c r="AM88" i="14" s="1"/>
  <c r="AK88" i="14"/>
  <c r="AT275" i="12"/>
  <c r="AM252" i="14" s="1"/>
  <c r="AK252" i="14"/>
  <c r="AO252" i="14" s="1"/>
  <c r="AP252" i="14" s="1"/>
  <c r="AT82" i="12"/>
  <c r="AK78" i="14"/>
  <c r="AT78" i="12"/>
  <c r="AM74" i="14" s="1"/>
  <c r="AK74" i="14"/>
  <c r="AO74" i="14" s="1"/>
  <c r="AT15" i="12"/>
  <c r="AM16" i="14" s="1"/>
  <c r="AK16" i="14"/>
  <c r="AT68" i="12"/>
  <c r="AM64" i="14" s="1"/>
  <c r="AK64" i="14"/>
  <c r="AO64" i="14" s="1"/>
  <c r="AT59" i="12"/>
  <c r="AK57" i="14"/>
  <c r="AT55" i="12"/>
  <c r="AK55" i="14"/>
  <c r="AO55" i="14" s="1"/>
  <c r="AT51" i="12"/>
  <c r="AM52" i="14" s="1"/>
  <c r="AK52" i="14"/>
  <c r="AT42" i="12"/>
  <c r="AM43" i="14" s="1"/>
  <c r="AK43" i="14"/>
  <c r="AT33" i="12"/>
  <c r="AM34" i="14" s="1"/>
  <c r="AK34" i="14"/>
  <c r="AT21" i="12"/>
  <c r="AM22" i="14" s="1"/>
  <c r="AK22" i="14"/>
  <c r="AO22" i="14" s="1"/>
  <c r="AT307" i="12"/>
  <c r="AM275" i="14" s="1"/>
  <c r="AK275" i="14"/>
  <c r="AT20" i="12"/>
  <c r="AM21" i="14" s="1"/>
  <c r="AK21" i="14"/>
  <c r="AT405" i="12"/>
  <c r="AM364" i="14" s="1"/>
  <c r="AK364" i="14"/>
  <c r="AT400" i="12"/>
  <c r="AM360" i="14" s="1"/>
  <c r="AK360" i="14"/>
  <c r="AO360" i="14" s="1"/>
  <c r="AT396" i="12"/>
  <c r="AK356" i="14"/>
  <c r="AT390" i="12"/>
  <c r="AK351" i="14"/>
  <c r="AT382" i="12"/>
  <c r="AK346" i="14"/>
  <c r="AT378" i="12"/>
  <c r="AM342" i="14" s="1"/>
  <c r="AK342" i="14"/>
  <c r="AO342" i="14" s="1"/>
  <c r="AT370" i="12"/>
  <c r="AM334" i="14" s="1"/>
  <c r="AK334" i="14"/>
  <c r="AT362" i="12"/>
  <c r="AM327" i="14" s="1"/>
  <c r="AK327" i="14"/>
  <c r="AO327" i="14" s="1"/>
  <c r="AT358" i="12"/>
  <c r="AK323" i="14"/>
  <c r="AT354" i="12"/>
  <c r="AM319" i="14" s="1"/>
  <c r="AK319" i="14"/>
  <c r="AT343" i="12"/>
  <c r="AM310" i="14" s="1"/>
  <c r="AK310" i="14"/>
  <c r="AT339" i="12"/>
  <c r="AK306" i="14"/>
  <c r="AO306" i="14" s="1"/>
  <c r="AT335" i="12"/>
  <c r="AK302" i="14"/>
  <c r="AT322" i="12"/>
  <c r="AK289" i="14"/>
  <c r="AO289" i="14" s="1"/>
  <c r="AT317" i="12"/>
  <c r="AM284" i="14" s="1"/>
  <c r="AK284" i="14"/>
  <c r="AT313" i="12"/>
  <c r="AM280" i="14" s="1"/>
  <c r="AK280" i="14"/>
  <c r="AO280" i="14" s="1"/>
  <c r="AT302" i="12"/>
  <c r="AM270" i="14" s="1"/>
  <c r="AK270" i="14"/>
  <c r="AT297" i="12"/>
  <c r="AM265" i="14" s="1"/>
  <c r="AK265" i="14"/>
  <c r="AT294" i="12"/>
  <c r="AK262" i="14"/>
  <c r="AT285" i="12"/>
  <c r="AM255" i="14" s="1"/>
  <c r="AK255" i="14"/>
  <c r="AO255" i="14" s="1"/>
  <c r="AT273" i="12"/>
  <c r="AM250" i="14" s="1"/>
  <c r="AK250" i="14"/>
  <c r="AT269" i="12"/>
  <c r="AM246" i="14" s="1"/>
  <c r="AK246" i="14"/>
  <c r="AO246" i="14" s="1"/>
  <c r="AP246" i="14" s="1"/>
  <c r="AT259" i="12"/>
  <c r="AM237" i="14" s="1"/>
  <c r="AK237" i="14"/>
  <c r="AT255" i="12"/>
  <c r="AK233" i="14"/>
  <c r="AO233" i="14" s="1"/>
  <c r="AT251" i="12"/>
  <c r="AM229" i="14" s="1"/>
  <c r="AK229" i="14"/>
  <c r="AT243" i="12"/>
  <c r="AM221" i="14" s="1"/>
  <c r="AK221" i="14"/>
  <c r="AT238" i="12"/>
  <c r="AM216" i="14" s="1"/>
  <c r="AK216" i="14"/>
  <c r="AT233" i="12"/>
  <c r="AM212" i="14" s="1"/>
  <c r="AK212" i="14"/>
  <c r="AO212" i="14" s="1"/>
  <c r="AT218" i="12"/>
  <c r="AM202" i="14" s="1"/>
  <c r="AK202" i="14"/>
  <c r="AT213" i="12"/>
  <c r="AK197" i="14"/>
  <c r="AO197" i="14" s="1"/>
  <c r="AT184" i="12"/>
  <c r="AK170" i="14"/>
  <c r="AT351" i="12"/>
  <c r="AM316" i="14" s="1"/>
  <c r="AK316" i="14"/>
  <c r="AO316" i="14" s="1"/>
  <c r="AT175" i="12"/>
  <c r="AM163" i="14" s="1"/>
  <c r="AK163" i="14"/>
  <c r="AT171" i="12"/>
  <c r="AM159" i="14" s="1"/>
  <c r="AK159" i="14"/>
  <c r="AO159" i="14" s="1"/>
  <c r="AT161" i="12"/>
  <c r="AM150" i="14" s="1"/>
  <c r="AK150" i="14"/>
  <c r="AT157" i="12"/>
  <c r="AM146" i="14" s="1"/>
  <c r="AK146" i="14"/>
  <c r="AO146" i="14" s="1"/>
  <c r="AT151" i="12"/>
  <c r="AM141" i="14" s="1"/>
  <c r="AK141" i="14"/>
  <c r="AT143" i="12"/>
  <c r="AM133" i="14" s="1"/>
  <c r="AK133" i="14"/>
  <c r="AT135" i="12"/>
  <c r="AK125" i="14"/>
  <c r="AT128" i="12"/>
  <c r="AM118" i="14" s="1"/>
  <c r="AK118" i="14"/>
  <c r="AT118" i="12"/>
  <c r="AK109" i="14"/>
  <c r="AT113" i="12"/>
  <c r="AM105" i="14" s="1"/>
  <c r="AK105" i="14"/>
  <c r="AO105" i="14" s="1"/>
  <c r="AP105" i="14" s="1"/>
  <c r="AT107" i="12"/>
  <c r="AK99" i="14"/>
  <c r="AT91" i="12"/>
  <c r="AM87" i="14" s="1"/>
  <c r="AK87" i="14"/>
  <c r="AO87" i="14" s="1"/>
  <c r="AP87" i="14" s="1"/>
  <c r="AT87" i="12"/>
  <c r="AM83" i="14" s="1"/>
  <c r="AK83" i="14"/>
  <c r="AT85" i="12"/>
  <c r="AM81" i="14" s="1"/>
  <c r="AK81" i="14"/>
  <c r="AO81" i="14" s="1"/>
  <c r="AT76" i="12"/>
  <c r="AM72" i="14" s="1"/>
  <c r="AK72" i="14"/>
  <c r="AT72" i="12"/>
  <c r="AK68" i="14"/>
  <c r="AO68" i="14" s="1"/>
  <c r="AT14" i="12"/>
  <c r="AM15" i="14" s="1"/>
  <c r="AK15" i="14"/>
  <c r="AT67" i="12"/>
  <c r="AK63" i="14"/>
  <c r="AO63" i="14" s="1"/>
  <c r="AT62" i="12"/>
  <c r="AK59" i="14"/>
  <c r="AT50" i="12"/>
  <c r="AM51" i="14" s="1"/>
  <c r="AK51" i="14"/>
  <c r="AO51" i="14" s="1"/>
  <c r="AT45" i="12"/>
  <c r="AM46" i="14" s="1"/>
  <c r="AK46" i="14"/>
  <c r="AT41" i="12"/>
  <c r="AM42" i="14" s="1"/>
  <c r="AK42" i="14"/>
  <c r="AO42" i="14" s="1"/>
  <c r="AP42" i="14" s="1"/>
  <c r="AT32" i="12"/>
  <c r="AM33" i="14" s="1"/>
  <c r="AK33" i="14"/>
  <c r="AT27" i="12"/>
  <c r="AM28" i="14" s="1"/>
  <c r="AK28" i="14"/>
  <c r="AT22" i="12"/>
  <c r="AK23" i="14"/>
  <c r="AT38" i="12"/>
  <c r="AM39" i="14" s="1"/>
  <c r="AK39" i="14"/>
  <c r="AG402" i="17"/>
  <c r="AG399" i="19"/>
  <c r="AG205" i="19"/>
  <c r="AN205" i="19"/>
  <c r="AO205" i="19"/>
  <c r="AQ205" i="19" s="1"/>
  <c r="AG398" i="19"/>
  <c r="AG206" i="19"/>
  <c r="AO206" i="19"/>
  <c r="AQ206" i="19" s="1"/>
  <c r="AN206" i="19"/>
  <c r="J420" i="25"/>
  <c r="AG4" i="19"/>
  <c r="Y3" i="9"/>
  <c r="Y5" i="9" s="1"/>
  <c r="Y11" i="9" s="1"/>
  <c r="AR201" i="14"/>
  <c r="AO137" i="14"/>
  <c r="AP137" i="14" s="1"/>
  <c r="AR137" i="14"/>
  <c r="AR73" i="14"/>
  <c r="AO9" i="14"/>
  <c r="AP9" i="14" s="1"/>
  <c r="AR9" i="14"/>
  <c r="AR288" i="14"/>
  <c r="AO380" i="14"/>
  <c r="AP380" i="14" s="1"/>
  <c r="AR380" i="14"/>
  <c r="F419" i="25"/>
  <c r="F420" i="25"/>
  <c r="J419" i="25"/>
  <c r="L419" i="25" s="1"/>
  <c r="AO401" i="14"/>
  <c r="AP401" i="14" s="1"/>
  <c r="AO385" i="14"/>
  <c r="AP385" i="14" s="1"/>
  <c r="AO369" i="14"/>
  <c r="AP369" i="14" s="1"/>
  <c r="AO353" i="14"/>
  <c r="AO337" i="14"/>
  <c r="AP337" i="14" s="1"/>
  <c r="AO321" i="14"/>
  <c r="AO305" i="14"/>
  <c r="AO273" i="14"/>
  <c r="AP273" i="14" s="1"/>
  <c r="AO257" i="14"/>
  <c r="AP257" i="14" s="1"/>
  <c r="AO397" i="14"/>
  <c r="AP397" i="14" s="1"/>
  <c r="AO381" i="14"/>
  <c r="AP381" i="14" s="1"/>
  <c r="AO365" i="14"/>
  <c r="AP365" i="14" s="1"/>
  <c r="AO349" i="14"/>
  <c r="AP349" i="14" s="1"/>
  <c r="AO333" i="14"/>
  <c r="AO301" i="14"/>
  <c r="AO285" i="14"/>
  <c r="AP285" i="14" s="1"/>
  <c r="AO269" i="14"/>
  <c r="AO409" i="14"/>
  <c r="AP409" i="14" s="1"/>
  <c r="AO393" i="14"/>
  <c r="AP393" i="14" s="1"/>
  <c r="AO377" i="14"/>
  <c r="AP377" i="14" s="1"/>
  <c r="AO345" i="14"/>
  <c r="AO329" i="14"/>
  <c r="AO313" i="14"/>
  <c r="AO297" i="14"/>
  <c r="AO265" i="14"/>
  <c r="AO405" i="14"/>
  <c r="AP405" i="14" s="1"/>
  <c r="AO389" i="14"/>
  <c r="AP389" i="14" s="1"/>
  <c r="AO373" i="14"/>
  <c r="AP373" i="14" s="1"/>
  <c r="AO357" i="14"/>
  <c r="AO341" i="14"/>
  <c r="AO325" i="14"/>
  <c r="AO309" i="14"/>
  <c r="AO293" i="14"/>
  <c r="AP293" i="14" s="1"/>
  <c r="AO277" i="14"/>
  <c r="AO261" i="14"/>
  <c r="AO198" i="14"/>
  <c r="AP198" i="14" s="1"/>
  <c r="AO54" i="14"/>
  <c r="AP54" i="14" s="1"/>
  <c r="AO253" i="14"/>
  <c r="AO245" i="14"/>
  <c r="AO241" i="14"/>
  <c r="AP241" i="14" s="1"/>
  <c r="AO237" i="14"/>
  <c r="AP237" i="14" s="1"/>
  <c r="AO229" i="14"/>
  <c r="AO225" i="14"/>
  <c r="AP225" i="14" s="1"/>
  <c r="AO221" i="14"/>
  <c r="AP221" i="14" s="1"/>
  <c r="AO217" i="14"/>
  <c r="AO209" i="14"/>
  <c r="AP209" i="14" s="1"/>
  <c r="AO205" i="14"/>
  <c r="AO193" i="14"/>
  <c r="AO189" i="14"/>
  <c r="AP189" i="14" s="1"/>
  <c r="AO185" i="14"/>
  <c r="AP185" i="14" s="1"/>
  <c r="AO181" i="14"/>
  <c r="AO177" i="14"/>
  <c r="AP177" i="14" s="1"/>
  <c r="AO173" i="14"/>
  <c r="AO161" i="14"/>
  <c r="AP161" i="14" s="1"/>
  <c r="AO157" i="14"/>
  <c r="AP157" i="14" s="1"/>
  <c r="AO153" i="14"/>
  <c r="AP153" i="14" s="1"/>
  <c r="AO145" i="14"/>
  <c r="AO141" i="14"/>
  <c r="AP141" i="14" s="1"/>
  <c r="AO133" i="14"/>
  <c r="AP133" i="14" s="1"/>
  <c r="AO129" i="14"/>
  <c r="AO125" i="14"/>
  <c r="AO121" i="14"/>
  <c r="AO117" i="14"/>
  <c r="AP117" i="14" s="1"/>
  <c r="AO109" i="14"/>
  <c r="AO101" i="14"/>
  <c r="AO93" i="14"/>
  <c r="AO89" i="14"/>
  <c r="AO85" i="14"/>
  <c r="AO77" i="14"/>
  <c r="AO69" i="14"/>
  <c r="AP69" i="14" s="1"/>
  <c r="AO65" i="14"/>
  <c r="AP65" i="14" s="1"/>
  <c r="AO61" i="14"/>
  <c r="AO57" i="14"/>
  <c r="AO53" i="14"/>
  <c r="AP53" i="14" s="1"/>
  <c r="AO49" i="14"/>
  <c r="AO45" i="14"/>
  <c r="AO41" i="14"/>
  <c r="AO37" i="14"/>
  <c r="AO33" i="14"/>
  <c r="AP33" i="14" s="1"/>
  <c r="AO29" i="14"/>
  <c r="AO25" i="14"/>
  <c r="AO21" i="14"/>
  <c r="AP21" i="14" s="1"/>
  <c r="AO17" i="14"/>
  <c r="AP17" i="14" s="1"/>
  <c r="AO13" i="14"/>
  <c r="AO5" i="14"/>
  <c r="AO408" i="14"/>
  <c r="AP408" i="14" s="1"/>
  <c r="AO404" i="14"/>
  <c r="AP404" i="14" s="1"/>
  <c r="AO400" i="14"/>
  <c r="AP400" i="14" s="1"/>
  <c r="AO396" i="14"/>
  <c r="AP396" i="14" s="1"/>
  <c r="AO392" i="14"/>
  <c r="AP392" i="14" s="1"/>
  <c r="AO388" i="14"/>
  <c r="AP388" i="14" s="1"/>
  <c r="AO384" i="14"/>
  <c r="AP384" i="14" s="1"/>
  <c r="AO376" i="14"/>
  <c r="AP376" i="14" s="1"/>
  <c r="AO372" i="14"/>
  <c r="AP372" i="14" s="1"/>
  <c r="AO368" i="14"/>
  <c r="AP368" i="14" s="1"/>
  <c r="AO364" i="14"/>
  <c r="AO356" i="14"/>
  <c r="AO352" i="14"/>
  <c r="AP352" i="14" s="1"/>
  <c r="AO344" i="14"/>
  <c r="AO340" i="14"/>
  <c r="AO336" i="14"/>
  <c r="AP336" i="14" s="1"/>
  <c r="AO332" i="14"/>
  <c r="AO328" i="14"/>
  <c r="AO324" i="14"/>
  <c r="AO320" i="14"/>
  <c r="AP320" i="14" s="1"/>
  <c r="AO312" i="14"/>
  <c r="AO308" i="14"/>
  <c r="AP308" i="14" s="1"/>
  <c r="AO304" i="14"/>
  <c r="AO300" i="14"/>
  <c r="AO296" i="14"/>
  <c r="AO292" i="14"/>
  <c r="AP292" i="14" s="1"/>
  <c r="AO284" i="14"/>
  <c r="AP284" i="14" s="1"/>
  <c r="AO276" i="14"/>
  <c r="AO272" i="14"/>
  <c r="AO268" i="14"/>
  <c r="AP268" i="14" s="1"/>
  <c r="AO264" i="14"/>
  <c r="AO260" i="14"/>
  <c r="AO256" i="14"/>
  <c r="AO242" i="14"/>
  <c r="AP242" i="14" s="1"/>
  <c r="AO226" i="14"/>
  <c r="AO210" i="14"/>
  <c r="AP210" i="14" s="1"/>
  <c r="AO194" i="14"/>
  <c r="AP194" i="14" s="1"/>
  <c r="AO178" i="14"/>
  <c r="AP178" i="14" s="1"/>
  <c r="AO162" i="14"/>
  <c r="AO130" i="14"/>
  <c r="AP130" i="14" s="1"/>
  <c r="AO114" i="14"/>
  <c r="AP114" i="14" s="1"/>
  <c r="AO82" i="14"/>
  <c r="AO66" i="14"/>
  <c r="AP66" i="14" s="1"/>
  <c r="AO50" i="14"/>
  <c r="AO34" i="14"/>
  <c r="AO18" i="14"/>
  <c r="AO214" i="14"/>
  <c r="AP214" i="14" s="1"/>
  <c r="AO166" i="14"/>
  <c r="AO150" i="14"/>
  <c r="AO102" i="14"/>
  <c r="AP102" i="14" s="1"/>
  <c r="AO86" i="14"/>
  <c r="AO38" i="14"/>
  <c r="AO6" i="14"/>
  <c r="AP6" i="14" s="1"/>
  <c r="AO248" i="14"/>
  <c r="AP248" i="14" s="1"/>
  <c r="AO244" i="14"/>
  <c r="AP244" i="14" s="1"/>
  <c r="AO240" i="14"/>
  <c r="AP240" i="14" s="1"/>
  <c r="AO236" i="14"/>
  <c r="AP236" i="14" s="1"/>
  <c r="AO232" i="14"/>
  <c r="AO228" i="14"/>
  <c r="AO224" i="14"/>
  <c r="AO220" i="14"/>
  <c r="AP220" i="14" s="1"/>
  <c r="AO216" i="14"/>
  <c r="AP216" i="14" s="1"/>
  <c r="AO208" i="14"/>
  <c r="AP208" i="14" s="1"/>
  <c r="AO204" i="14"/>
  <c r="AP204" i="14" s="1"/>
  <c r="AO200" i="14"/>
  <c r="AO196" i="14"/>
  <c r="AO192" i="14"/>
  <c r="AO188" i="14"/>
  <c r="AO184" i="14"/>
  <c r="AP184" i="14" s="1"/>
  <c r="AO180" i="14"/>
  <c r="AO176" i="14"/>
  <c r="AO172" i="14"/>
  <c r="AO168" i="14"/>
  <c r="AO164" i="14"/>
  <c r="AO160" i="14"/>
  <c r="AO156" i="14"/>
  <c r="AP156" i="14" s="1"/>
  <c r="AO152" i="14"/>
  <c r="AO148" i="14"/>
  <c r="AO144" i="14"/>
  <c r="AP144" i="14" s="1"/>
  <c r="AO140" i="14"/>
  <c r="AO136" i="14"/>
  <c r="AP136" i="14" s="1"/>
  <c r="AO128" i="14"/>
  <c r="AO124" i="14"/>
  <c r="AO120" i="14"/>
  <c r="AO116" i="14"/>
  <c r="AO112" i="14"/>
  <c r="AO108" i="14"/>
  <c r="AO104" i="14"/>
  <c r="AP104" i="14" s="1"/>
  <c r="AO96" i="14"/>
  <c r="AP96" i="14" s="1"/>
  <c r="AO92" i="14"/>
  <c r="AO88" i="14"/>
  <c r="AP88" i="14" s="1"/>
  <c r="AO84" i="14"/>
  <c r="AO76" i="14"/>
  <c r="AP76" i="14" s="1"/>
  <c r="AO72" i="14"/>
  <c r="AP72" i="14" s="1"/>
  <c r="AO60" i="14"/>
  <c r="AO52" i="14"/>
  <c r="AO48" i="14"/>
  <c r="AO44" i="14"/>
  <c r="AO40" i="14"/>
  <c r="AO36" i="14"/>
  <c r="AO32" i="14"/>
  <c r="AP32" i="14" s="1"/>
  <c r="AO28" i="14"/>
  <c r="AO24" i="14"/>
  <c r="AP24" i="14" s="1"/>
  <c r="AO20" i="14"/>
  <c r="AO16" i="14"/>
  <c r="AO12" i="14"/>
  <c r="AP12" i="14" s="1"/>
  <c r="AO8" i="14"/>
  <c r="AP8" i="14" s="1"/>
  <c r="AO407" i="14"/>
  <c r="AP407" i="14" s="1"/>
  <c r="AO403" i="14"/>
  <c r="AP403" i="14" s="1"/>
  <c r="AO399" i="14"/>
  <c r="AP399" i="14" s="1"/>
  <c r="AO395" i="14"/>
  <c r="AP395" i="14" s="1"/>
  <c r="AO391" i="14"/>
  <c r="AP391" i="14" s="1"/>
  <c r="AO387" i="14"/>
  <c r="AP387" i="14" s="1"/>
  <c r="AO383" i="14"/>
  <c r="AP383" i="14" s="1"/>
  <c r="AO379" i="14"/>
  <c r="AP379" i="14" s="1"/>
  <c r="AO375" i="14"/>
  <c r="AP375" i="14" s="1"/>
  <c r="AO371" i="14"/>
  <c r="AP371" i="14" s="1"/>
  <c r="AO367" i="14"/>
  <c r="AO363" i="14"/>
  <c r="AO359" i="14"/>
  <c r="AO355" i="14"/>
  <c r="AP355" i="14" s="1"/>
  <c r="AO351" i="14"/>
  <c r="AO347" i="14"/>
  <c r="AP347" i="14" s="1"/>
  <c r="AO343" i="14"/>
  <c r="AO339" i="14"/>
  <c r="AP339" i="14" s="1"/>
  <c r="AO335" i="14"/>
  <c r="AO331" i="14"/>
  <c r="AO323" i="14"/>
  <c r="AO319" i="14"/>
  <c r="AP319" i="14" s="1"/>
  <c r="AO311" i="14"/>
  <c r="AO307" i="14"/>
  <c r="AP307" i="14" s="1"/>
  <c r="AO303" i="14"/>
  <c r="AO295" i="14"/>
  <c r="AO291" i="14"/>
  <c r="AP291" i="14" s="1"/>
  <c r="AO287" i="14"/>
  <c r="AO283" i="14"/>
  <c r="AO279" i="14"/>
  <c r="AO275" i="14"/>
  <c r="AP275" i="14" s="1"/>
  <c r="AO267" i="14"/>
  <c r="AP267" i="14" s="1"/>
  <c r="AO263" i="14"/>
  <c r="AO259" i="14"/>
  <c r="AP259" i="14" s="1"/>
  <c r="AO254" i="14"/>
  <c r="AP254" i="14" s="1"/>
  <c r="AO238" i="14"/>
  <c r="AO222" i="14"/>
  <c r="AO206" i="14"/>
  <c r="AP206" i="14" s="1"/>
  <c r="AO190" i="14"/>
  <c r="AO174" i="14"/>
  <c r="AP174" i="14" s="1"/>
  <c r="AO158" i="14"/>
  <c r="AO142" i="14"/>
  <c r="AP142" i="14" s="1"/>
  <c r="AO126" i="14"/>
  <c r="AP126" i="14" s="1"/>
  <c r="AO110" i="14"/>
  <c r="AO94" i="14"/>
  <c r="AP94" i="14" s="1"/>
  <c r="AO78" i="14"/>
  <c r="AO62" i="14"/>
  <c r="AP62" i="14" s="1"/>
  <c r="AO46" i="14"/>
  <c r="AO30" i="14"/>
  <c r="AP30" i="14" s="1"/>
  <c r="AO14" i="14"/>
  <c r="AO182" i="14"/>
  <c r="AO118" i="14"/>
  <c r="AP118" i="14" s="1"/>
  <c r="AO70" i="14"/>
  <c r="AP70" i="14" s="1"/>
  <c r="AO251" i="14"/>
  <c r="AO247" i="14"/>
  <c r="AP247" i="14" s="1"/>
  <c r="AO239" i="14"/>
  <c r="AO235" i="14"/>
  <c r="AP235" i="14" s="1"/>
  <c r="AO231" i="14"/>
  <c r="AP231" i="14" s="1"/>
  <c r="AO227" i="14"/>
  <c r="AP227" i="14" s="1"/>
  <c r="AO223" i="14"/>
  <c r="AO219" i="14"/>
  <c r="AO215" i="14"/>
  <c r="AO207" i="14"/>
  <c r="AO203" i="14"/>
  <c r="AO199" i="14"/>
  <c r="AP199" i="14" s="1"/>
  <c r="AO195" i="14"/>
  <c r="AO191" i="14"/>
  <c r="AO187" i="14"/>
  <c r="AP187" i="14" s="1"/>
  <c r="AO183" i="14"/>
  <c r="AP183" i="14" s="1"/>
  <c r="AO179" i="14"/>
  <c r="AO175" i="14"/>
  <c r="AO171" i="14"/>
  <c r="AO167" i="14"/>
  <c r="AO163" i="14"/>
  <c r="AO155" i="14"/>
  <c r="AO151" i="14"/>
  <c r="AO147" i="14"/>
  <c r="AO143" i="14"/>
  <c r="AO139" i="14"/>
  <c r="AP139" i="14" s="1"/>
  <c r="AO135" i="14"/>
  <c r="AO131" i="14"/>
  <c r="AO127" i="14"/>
  <c r="AO123" i="14"/>
  <c r="AP123" i="14" s="1"/>
  <c r="AO119" i="14"/>
  <c r="AO111" i="14"/>
  <c r="AO107" i="14"/>
  <c r="AO103" i="14"/>
  <c r="AO99" i="14"/>
  <c r="AO95" i="14"/>
  <c r="AO91" i="14"/>
  <c r="AO83" i="14"/>
  <c r="AO79" i="14"/>
  <c r="AP79" i="14" s="1"/>
  <c r="AO75" i="14"/>
  <c r="AP75" i="14" s="1"/>
  <c r="AO71" i="14"/>
  <c r="AO67" i="14"/>
  <c r="AO59" i="14"/>
  <c r="AO47" i="14"/>
  <c r="AO43" i="14"/>
  <c r="AP43" i="14" s="1"/>
  <c r="AO39" i="14"/>
  <c r="AO35" i="14"/>
  <c r="AO31" i="14"/>
  <c r="AO27" i="14"/>
  <c r="AP27" i="14" s="1"/>
  <c r="AO23" i="14"/>
  <c r="AO19" i="14"/>
  <c r="AO15" i="14"/>
  <c r="AO11" i="14"/>
  <c r="AP11" i="14" s="1"/>
  <c r="AO7" i="14"/>
  <c r="AP7" i="14" s="1"/>
  <c r="AO406" i="14"/>
  <c r="AP406" i="14" s="1"/>
  <c r="AO402" i="14"/>
  <c r="AP402" i="14" s="1"/>
  <c r="AO398" i="14"/>
  <c r="AP398" i="14" s="1"/>
  <c r="AO394" i="14"/>
  <c r="AP394" i="14" s="1"/>
  <c r="AO390" i="14"/>
  <c r="AP390" i="14" s="1"/>
  <c r="AO386" i="14"/>
  <c r="AP386" i="14" s="1"/>
  <c r="AO382" i="14"/>
  <c r="AP382" i="14" s="1"/>
  <c r="AO378" i="14"/>
  <c r="AP378" i="14" s="1"/>
  <c r="AO374" i="14"/>
  <c r="AP374" i="14" s="1"/>
  <c r="AO370" i="14"/>
  <c r="AP370" i="14" s="1"/>
  <c r="AO366" i="14"/>
  <c r="AO362" i="14"/>
  <c r="AP362" i="14" s="1"/>
  <c r="AO358" i="14"/>
  <c r="AO354" i="14"/>
  <c r="AO350" i="14"/>
  <c r="AP350" i="14" s="1"/>
  <c r="AO346" i="14"/>
  <c r="AO338" i="14"/>
  <c r="AO334" i="14"/>
  <c r="AP334" i="14" s="1"/>
  <c r="AO330" i="14"/>
  <c r="AP330" i="14" s="1"/>
  <c r="AO326" i="14"/>
  <c r="AO322" i="14"/>
  <c r="AO318" i="14"/>
  <c r="AP318" i="14" s="1"/>
  <c r="AO314" i="14"/>
  <c r="AP314" i="14" s="1"/>
  <c r="AO310" i="14"/>
  <c r="AO302" i="14"/>
  <c r="AO298" i="14"/>
  <c r="AP298" i="14" s="1"/>
  <c r="AO294" i="14"/>
  <c r="AO290" i="14"/>
  <c r="AO286" i="14"/>
  <c r="AO282" i="14"/>
  <c r="AO278" i="14"/>
  <c r="AP278" i="14" s="1"/>
  <c r="AO274" i="14"/>
  <c r="AO270" i="14"/>
  <c r="AP270" i="14" s="1"/>
  <c r="AO266" i="14"/>
  <c r="AO262" i="14"/>
  <c r="AO258" i="14"/>
  <c r="AO250" i="14"/>
  <c r="AP250" i="14" s="1"/>
  <c r="AO234" i="14"/>
  <c r="AO218" i="14"/>
  <c r="AP218" i="14" s="1"/>
  <c r="AO202" i="14"/>
  <c r="AO186" i="14"/>
  <c r="AO170" i="14"/>
  <c r="AO154" i="14"/>
  <c r="AO138" i="14"/>
  <c r="AO122" i="14"/>
  <c r="AP122" i="14" s="1"/>
  <c r="AO106" i="14"/>
  <c r="AO90" i="14"/>
  <c r="AO58" i="14"/>
  <c r="AP58" i="14" s="1"/>
  <c r="AO26" i="14"/>
  <c r="AO10" i="14"/>
  <c r="C79" i="31"/>
  <c r="G39" i="31" s="1"/>
  <c r="A17" i="33"/>
  <c r="A8" i="33"/>
  <c r="P26" i="33" s="1"/>
  <c r="B8" i="33"/>
  <c r="AD8" i="33"/>
  <c r="W8" i="33"/>
  <c r="M26" i="33" s="1"/>
  <c r="P58" i="27"/>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P105" i="27" s="1"/>
  <c r="P106" i="27" s="1"/>
  <c r="P107" i="27" s="1"/>
  <c r="P108" i="27" s="1"/>
  <c r="P109" i="27" s="1"/>
  <c r="P110" i="27" s="1"/>
  <c r="P111" i="27" s="1"/>
  <c r="P112" i="27" s="1"/>
  <c r="P113" i="27" s="1"/>
  <c r="P114" i="27" s="1"/>
  <c r="P115" i="27" s="1"/>
  <c r="P116" i="27" s="1"/>
  <c r="P117" i="27" s="1"/>
  <c r="P118" i="27" s="1"/>
  <c r="P119" i="27" s="1"/>
  <c r="P120" i="27" s="1"/>
  <c r="P121" i="27" s="1"/>
  <c r="P122" i="27" s="1"/>
  <c r="P123" i="27" s="1"/>
  <c r="P124" i="27" s="1"/>
  <c r="P125" i="27" s="1"/>
  <c r="P126" i="27" s="1"/>
  <c r="P127" i="27" s="1"/>
  <c r="P128" i="27" s="1"/>
  <c r="P129" i="27" s="1"/>
  <c r="P130" i="27" s="1"/>
  <c r="P131" i="27" s="1"/>
  <c r="P132" i="27" s="1"/>
  <c r="P133" i="27" s="1"/>
  <c r="P134" i="27" s="1"/>
  <c r="P135" i="27" s="1"/>
  <c r="P136" i="27" s="1"/>
  <c r="P137" i="27" s="1"/>
  <c r="P138" i="27" s="1"/>
  <c r="P139" i="27" s="1"/>
  <c r="P140" i="27" s="1"/>
  <c r="P141" i="27" s="1"/>
  <c r="P142" i="27" s="1"/>
  <c r="P143" i="27" s="1"/>
  <c r="P144" i="27" s="1"/>
  <c r="P145" i="27" s="1"/>
  <c r="P146" i="27" s="1"/>
  <c r="P147" i="27" s="1"/>
  <c r="P148" i="27" s="1"/>
  <c r="P149" i="27" s="1"/>
  <c r="P150" i="27" s="1"/>
  <c r="P151" i="27" s="1"/>
  <c r="P152" i="27" s="1"/>
  <c r="P153" i="27" s="1"/>
  <c r="P154" i="27" s="1"/>
  <c r="P155" i="27" s="1"/>
  <c r="P156" i="27" s="1"/>
  <c r="P157" i="27" s="1"/>
  <c r="P158" i="27" s="1"/>
  <c r="P159" i="27" s="1"/>
  <c r="P160" i="27" s="1"/>
  <c r="P161" i="27" s="1"/>
  <c r="P162" i="27" s="1"/>
  <c r="P163" i="27" s="1"/>
  <c r="P164" i="27" s="1"/>
  <c r="P165" i="27" s="1"/>
  <c r="P166" i="27" s="1"/>
  <c r="P167" i="27" s="1"/>
  <c r="P168" i="27" s="1"/>
  <c r="P169" i="27" s="1"/>
  <c r="P170" i="27" s="1"/>
  <c r="P171" i="27" s="1"/>
  <c r="P172" i="27" s="1"/>
  <c r="P173" i="27" s="1"/>
  <c r="P174" i="27" s="1"/>
  <c r="P175" i="27" s="1"/>
  <c r="P176" i="27" s="1"/>
  <c r="P177" i="27" s="1"/>
  <c r="P178" i="27" s="1"/>
  <c r="P179" i="27" s="1"/>
  <c r="P180" i="27" s="1"/>
  <c r="P181" i="27" s="1"/>
  <c r="P182" i="27" s="1"/>
  <c r="P183" i="27" s="1"/>
  <c r="P184" i="27" s="1"/>
  <c r="P185" i="27" s="1"/>
  <c r="P186" i="27" s="1"/>
  <c r="P187" i="27" s="1"/>
  <c r="P188" i="27" s="1"/>
  <c r="P189" i="27" s="1"/>
  <c r="P190" i="27" s="1"/>
  <c r="P191" i="27" s="1"/>
  <c r="P192" i="27" s="1"/>
  <c r="P193" i="27" s="1"/>
  <c r="P194" i="27" s="1"/>
  <c r="P195" i="27" s="1"/>
  <c r="P196" i="27" s="1"/>
  <c r="P197" i="27" s="1"/>
  <c r="P198" i="27" s="1"/>
  <c r="P199" i="27" s="1"/>
  <c r="P200" i="27" s="1"/>
  <c r="P201" i="27" s="1"/>
  <c r="P202" i="27" s="1"/>
  <c r="P203" i="27" s="1"/>
  <c r="P204" i="27" s="1"/>
  <c r="P205" i="27" s="1"/>
  <c r="P206" i="27" s="1"/>
  <c r="P207" i="27" s="1"/>
  <c r="P208" i="27" s="1"/>
  <c r="P209" i="27" s="1"/>
  <c r="P210" i="27" s="1"/>
  <c r="P211" i="27" s="1"/>
  <c r="P212" i="27" s="1"/>
  <c r="P213" i="27" s="1"/>
  <c r="P214" i="27" s="1"/>
  <c r="P215" i="27" s="1"/>
  <c r="P216" i="27" s="1"/>
  <c r="P217" i="27" s="1"/>
  <c r="P218" i="27" s="1"/>
  <c r="P219" i="27" s="1"/>
  <c r="P220" i="27" s="1"/>
  <c r="P221" i="27" s="1"/>
  <c r="P222" i="27" s="1"/>
  <c r="P223" i="27" s="1"/>
  <c r="P224" i="27" s="1"/>
  <c r="P225" i="27" s="1"/>
  <c r="P226" i="27" s="1"/>
  <c r="P227" i="27" s="1"/>
  <c r="P228" i="27" s="1"/>
  <c r="P229" i="27" s="1"/>
  <c r="P230" i="27" s="1"/>
  <c r="P231" i="27" s="1"/>
  <c r="P232" i="27" s="1"/>
  <c r="P233" i="27" s="1"/>
  <c r="P234" i="27" s="1"/>
  <c r="P235" i="27" s="1"/>
  <c r="P236" i="27" s="1"/>
  <c r="P237" i="27" s="1"/>
  <c r="P238" i="27" s="1"/>
  <c r="P239" i="27" s="1"/>
  <c r="P240" i="27" s="1"/>
  <c r="P241" i="27" s="1"/>
  <c r="P242" i="27" s="1"/>
  <c r="P243" i="27" s="1"/>
  <c r="P244" i="27" s="1"/>
  <c r="P245" i="27" s="1"/>
  <c r="P246" i="27" s="1"/>
  <c r="P247" i="27" s="1"/>
  <c r="P248" i="27" s="1"/>
  <c r="P249" i="27" s="1"/>
  <c r="P250" i="27" s="1"/>
  <c r="P251" i="27" s="1"/>
  <c r="P252" i="27" s="1"/>
  <c r="P253" i="27" s="1"/>
  <c r="P254" i="27" s="1"/>
  <c r="P255" i="27" s="1"/>
  <c r="P256" i="27" s="1"/>
  <c r="P257" i="27" s="1"/>
  <c r="P258" i="27" s="1"/>
  <c r="P259" i="27" s="1"/>
  <c r="P260" i="27" s="1"/>
  <c r="P261" i="27" s="1"/>
  <c r="P262" i="27" s="1"/>
  <c r="P263" i="27" s="1"/>
  <c r="P264" i="27" s="1"/>
  <c r="P265" i="27" s="1"/>
  <c r="P266" i="27" s="1"/>
  <c r="P267" i="27" s="1"/>
  <c r="P268" i="27" s="1"/>
  <c r="P269" i="27" s="1"/>
  <c r="P270" i="27" s="1"/>
  <c r="P271" i="27" s="1"/>
  <c r="P272" i="27" s="1"/>
  <c r="P273" i="27" s="1"/>
  <c r="P274" i="27" s="1"/>
  <c r="P275" i="27" s="1"/>
  <c r="P276" i="27" s="1"/>
  <c r="P277" i="27" s="1"/>
  <c r="P278" i="27" s="1"/>
  <c r="P279" i="27" s="1"/>
  <c r="P280" i="27" s="1"/>
  <c r="P281" i="27" s="1"/>
  <c r="P282" i="27" s="1"/>
  <c r="P283" i="27" s="1"/>
  <c r="P284" i="27" s="1"/>
  <c r="P285" i="27" s="1"/>
  <c r="P286" i="27" s="1"/>
  <c r="P287" i="27" s="1"/>
  <c r="P288" i="27" s="1"/>
  <c r="P289" i="27" s="1"/>
  <c r="P290" i="27" s="1"/>
  <c r="P291" i="27" s="1"/>
  <c r="P292" i="27" s="1"/>
  <c r="P293" i="27" s="1"/>
  <c r="P294" i="27" s="1"/>
  <c r="P295" i="27" s="1"/>
  <c r="P296" i="27" s="1"/>
  <c r="P297" i="27" s="1"/>
  <c r="P298" i="27" s="1"/>
  <c r="P299" i="27" s="1"/>
  <c r="P300" i="27" s="1"/>
  <c r="P301" i="27" s="1"/>
  <c r="P302" i="27" s="1"/>
  <c r="P303" i="27" s="1"/>
  <c r="P304" i="27" s="1"/>
  <c r="P305" i="27" s="1"/>
  <c r="P306" i="27" s="1"/>
  <c r="P307" i="27" s="1"/>
  <c r="P308" i="27" s="1"/>
  <c r="P309" i="27" s="1"/>
  <c r="P310" i="27" s="1"/>
  <c r="P311" i="27" s="1"/>
  <c r="P312" i="27" s="1"/>
  <c r="P313" i="27" s="1"/>
  <c r="P314" i="27" s="1"/>
  <c r="P315" i="27" s="1"/>
  <c r="P316" i="27" s="1"/>
  <c r="P317" i="27" s="1"/>
  <c r="P318" i="27" s="1"/>
  <c r="P319" i="27" s="1"/>
  <c r="P320" i="27" s="1"/>
  <c r="P321" i="27" s="1"/>
  <c r="P322" i="27" s="1"/>
  <c r="P323" i="27" s="1"/>
  <c r="P324" i="27" s="1"/>
  <c r="P325" i="27" s="1"/>
  <c r="P326" i="27" s="1"/>
  <c r="P327" i="27" s="1"/>
  <c r="P328" i="27" s="1"/>
  <c r="P329" i="27" s="1"/>
  <c r="P330" i="27" s="1"/>
  <c r="P331" i="27" s="1"/>
  <c r="P332" i="27" s="1"/>
  <c r="P333" i="27" s="1"/>
  <c r="P334" i="27" s="1"/>
  <c r="P335" i="27" s="1"/>
  <c r="P336" i="27" s="1"/>
  <c r="P337" i="27" s="1"/>
  <c r="P338" i="27" s="1"/>
  <c r="P339" i="27" s="1"/>
  <c r="P340" i="27" s="1"/>
  <c r="P341" i="27" s="1"/>
  <c r="P342" i="27" s="1"/>
  <c r="P343" i="27" s="1"/>
  <c r="P344" i="27" s="1"/>
  <c r="P345" i="27" s="1"/>
  <c r="P346" i="27" s="1"/>
  <c r="P347" i="27" s="1"/>
  <c r="P348" i="27" s="1"/>
  <c r="P349" i="27" s="1"/>
  <c r="P350" i="27" s="1"/>
  <c r="P351" i="27" s="1"/>
  <c r="P352" i="27" s="1"/>
  <c r="P353" i="27" s="1"/>
  <c r="P354" i="27" s="1"/>
  <c r="P355" i="27" s="1"/>
  <c r="P356" i="27" s="1"/>
  <c r="P357" i="27" s="1"/>
  <c r="P358" i="27" s="1"/>
  <c r="P359" i="27" s="1"/>
  <c r="P360" i="27" s="1"/>
  <c r="P361" i="27" s="1"/>
  <c r="P362" i="27" s="1"/>
  <c r="P363" i="27" s="1"/>
  <c r="P364" i="27" s="1"/>
  <c r="P365" i="27" s="1"/>
  <c r="P366" i="27" s="1"/>
  <c r="P367" i="27" s="1"/>
  <c r="P368" i="27" s="1"/>
  <c r="P369" i="27" s="1"/>
  <c r="S5" i="27" s="1"/>
  <c r="J58" i="27"/>
  <c r="J59" i="27" s="1"/>
  <c r="J60" i="27" s="1"/>
  <c r="J61" i="27" s="1"/>
  <c r="J62" i="27" s="1"/>
  <c r="J63" i="27" s="1"/>
  <c r="J64" i="27" s="1"/>
  <c r="J65" i="27" s="1"/>
  <c r="J66" i="27" s="1"/>
  <c r="J67" i="27" s="1"/>
  <c r="J68" i="27" s="1"/>
  <c r="J69" i="27" s="1"/>
  <c r="J70" i="27" s="1"/>
  <c r="J71" i="27" s="1"/>
  <c r="J72" i="27" s="1"/>
  <c r="J73" i="27" s="1"/>
  <c r="J74" i="27" s="1"/>
  <c r="J75" i="27" s="1"/>
  <c r="J76" i="27" s="1"/>
  <c r="J77" i="27" s="1"/>
  <c r="J78" i="27" s="1"/>
  <c r="J79" i="27" s="1"/>
  <c r="J80" i="27" s="1"/>
  <c r="J81" i="27" s="1"/>
  <c r="J82" i="27" s="1"/>
  <c r="J83" i="27" s="1"/>
  <c r="J84" i="27" s="1"/>
  <c r="J85" i="27" s="1"/>
  <c r="J86" i="27" s="1"/>
  <c r="J87" i="27" s="1"/>
  <c r="J88" i="27" s="1"/>
  <c r="J89" i="27" s="1"/>
  <c r="J90" i="27" s="1"/>
  <c r="J91" i="27" s="1"/>
  <c r="J92" i="27" s="1"/>
  <c r="J93" i="27" s="1"/>
  <c r="J94" i="27" s="1"/>
  <c r="J95" i="27" s="1"/>
  <c r="J96" i="27" s="1"/>
  <c r="J97" i="27" s="1"/>
  <c r="J98" i="27" s="1"/>
  <c r="J99" i="27" s="1"/>
  <c r="J100" i="27" s="1"/>
  <c r="J101" i="27" s="1"/>
  <c r="J102" i="27" s="1"/>
  <c r="J103" i="27" s="1"/>
  <c r="J104" i="27" s="1"/>
  <c r="J105" i="27" s="1"/>
  <c r="J106" i="27" s="1"/>
  <c r="J107" i="27" s="1"/>
  <c r="J108" i="27" s="1"/>
  <c r="J109" i="27" s="1"/>
  <c r="J110" i="27" s="1"/>
  <c r="J111" i="27" s="1"/>
  <c r="J112" i="27" s="1"/>
  <c r="J113" i="27" s="1"/>
  <c r="J114" i="27" s="1"/>
  <c r="J115" i="27" s="1"/>
  <c r="J116" i="27" s="1"/>
  <c r="J117" i="27" s="1"/>
  <c r="J118" i="27" s="1"/>
  <c r="J119" i="27" s="1"/>
  <c r="J120" i="27" s="1"/>
  <c r="J121" i="27" s="1"/>
  <c r="J122" i="27" s="1"/>
  <c r="J123" i="27" s="1"/>
  <c r="J124" i="27" s="1"/>
  <c r="J125" i="27" s="1"/>
  <c r="J126" i="27" s="1"/>
  <c r="J127" i="27" s="1"/>
  <c r="J128" i="27" s="1"/>
  <c r="J129" i="27" s="1"/>
  <c r="J130" i="27" s="1"/>
  <c r="J131" i="27" s="1"/>
  <c r="J132" i="27" s="1"/>
  <c r="J133" i="27" s="1"/>
  <c r="J134" i="27" s="1"/>
  <c r="J135" i="27" s="1"/>
  <c r="J136" i="27" s="1"/>
  <c r="J137" i="27" s="1"/>
  <c r="J138" i="27" s="1"/>
  <c r="J139" i="27" s="1"/>
  <c r="J140" i="27" s="1"/>
  <c r="J141" i="27" s="1"/>
  <c r="J142" i="27" s="1"/>
  <c r="J143" i="27" s="1"/>
  <c r="J144" i="27" s="1"/>
  <c r="J145" i="27" s="1"/>
  <c r="J146" i="27" s="1"/>
  <c r="J147" i="27" s="1"/>
  <c r="J148" i="27" s="1"/>
  <c r="J149" i="27" s="1"/>
  <c r="J150" i="27" s="1"/>
  <c r="J151" i="27" s="1"/>
  <c r="J152" i="27" s="1"/>
  <c r="J153" i="27" s="1"/>
  <c r="J154" i="27" s="1"/>
  <c r="J155" i="27" s="1"/>
  <c r="J156" i="27" s="1"/>
  <c r="J157" i="27" s="1"/>
  <c r="J158" i="27" s="1"/>
  <c r="J159" i="27" s="1"/>
  <c r="J160" i="27" s="1"/>
  <c r="J161" i="27" s="1"/>
  <c r="J162" i="27" s="1"/>
  <c r="J163" i="27" s="1"/>
  <c r="J164" i="27" s="1"/>
  <c r="J165" i="27" s="1"/>
  <c r="J166" i="27" s="1"/>
  <c r="J167" i="27" s="1"/>
  <c r="J168" i="27" s="1"/>
  <c r="J169" i="27" s="1"/>
  <c r="J170" i="27" s="1"/>
  <c r="J171" i="27" s="1"/>
  <c r="J172" i="27" s="1"/>
  <c r="J173" i="27" s="1"/>
  <c r="J174" i="27" s="1"/>
  <c r="J175" i="27" s="1"/>
  <c r="J176" i="27" s="1"/>
  <c r="J177" i="27" s="1"/>
  <c r="J178" i="27" s="1"/>
  <c r="J179" i="27" s="1"/>
  <c r="J180" i="27" s="1"/>
  <c r="J181" i="27" s="1"/>
  <c r="J182" i="27" s="1"/>
  <c r="J183" i="27" s="1"/>
  <c r="J184" i="27" s="1"/>
  <c r="J185" i="27" s="1"/>
  <c r="J186" i="27" s="1"/>
  <c r="J187" i="27" s="1"/>
  <c r="J188" i="27" s="1"/>
  <c r="J189" i="27" s="1"/>
  <c r="J190" i="27" s="1"/>
  <c r="J191" i="27" s="1"/>
  <c r="J192" i="27" s="1"/>
  <c r="J193" i="27" s="1"/>
  <c r="J194" i="27" s="1"/>
  <c r="J195" i="27" s="1"/>
  <c r="J196" i="27" s="1"/>
  <c r="J197" i="27" s="1"/>
  <c r="J198" i="27" s="1"/>
  <c r="J199" i="27" s="1"/>
  <c r="J200" i="27" s="1"/>
  <c r="J201" i="27" s="1"/>
  <c r="J202" i="27" s="1"/>
  <c r="J203" i="27" s="1"/>
  <c r="J204" i="27" s="1"/>
  <c r="J205" i="27" s="1"/>
  <c r="J206" i="27" s="1"/>
  <c r="J207" i="27" s="1"/>
  <c r="J208" i="27" s="1"/>
  <c r="J209" i="27" s="1"/>
  <c r="J210" i="27" s="1"/>
  <c r="J211" i="27" s="1"/>
  <c r="J212" i="27" s="1"/>
  <c r="J213" i="27" s="1"/>
  <c r="J214" i="27" s="1"/>
  <c r="J215" i="27" s="1"/>
  <c r="J216" i="27" s="1"/>
  <c r="J217" i="27" s="1"/>
  <c r="J218" i="27" s="1"/>
  <c r="J219" i="27" s="1"/>
  <c r="J220" i="27" s="1"/>
  <c r="J221" i="27" s="1"/>
  <c r="J222" i="27" s="1"/>
  <c r="J223" i="27" s="1"/>
  <c r="J224" i="27" s="1"/>
  <c r="J225" i="27" s="1"/>
  <c r="J226" i="27" s="1"/>
  <c r="J227" i="27" s="1"/>
  <c r="J228" i="27" s="1"/>
  <c r="J229" i="27" s="1"/>
  <c r="J230" i="27" s="1"/>
  <c r="J231" i="27" s="1"/>
  <c r="J232" i="27" s="1"/>
  <c r="J233" i="27" s="1"/>
  <c r="J234" i="27" s="1"/>
  <c r="J235" i="27" s="1"/>
  <c r="J236" i="27" s="1"/>
  <c r="J237" i="27" s="1"/>
  <c r="J238" i="27" s="1"/>
  <c r="J239" i="27" s="1"/>
  <c r="J240" i="27" s="1"/>
  <c r="J241" i="27" s="1"/>
  <c r="J242" i="27" s="1"/>
  <c r="J243" i="27" s="1"/>
  <c r="J244" i="27" s="1"/>
  <c r="J245" i="27" s="1"/>
  <c r="J246" i="27" s="1"/>
  <c r="J247" i="27" s="1"/>
  <c r="J248" i="27" s="1"/>
  <c r="J249" i="27" s="1"/>
  <c r="J250" i="27" s="1"/>
  <c r="J251" i="27" s="1"/>
  <c r="J252" i="27" s="1"/>
  <c r="J253" i="27" s="1"/>
  <c r="J254" i="27" s="1"/>
  <c r="J255" i="27" s="1"/>
  <c r="J256" i="27" s="1"/>
  <c r="J257" i="27" s="1"/>
  <c r="J258" i="27" s="1"/>
  <c r="J259" i="27" s="1"/>
  <c r="J260" i="27" s="1"/>
  <c r="J261" i="27" s="1"/>
  <c r="J262" i="27" s="1"/>
  <c r="J263" i="27" s="1"/>
  <c r="J264" i="27" s="1"/>
  <c r="J265" i="27" s="1"/>
  <c r="J266" i="27" s="1"/>
  <c r="J267" i="27" s="1"/>
  <c r="J268" i="27" s="1"/>
  <c r="J269" i="27" s="1"/>
  <c r="J270" i="27" s="1"/>
  <c r="J271" i="27" s="1"/>
  <c r="J272" i="27" s="1"/>
  <c r="J273" i="27" s="1"/>
  <c r="J274" i="27" s="1"/>
  <c r="J275" i="27" s="1"/>
  <c r="J276" i="27" s="1"/>
  <c r="J277" i="27" s="1"/>
  <c r="J278" i="27" s="1"/>
  <c r="J279" i="27" s="1"/>
  <c r="J280" i="27" s="1"/>
  <c r="J281" i="27" s="1"/>
  <c r="J282" i="27" s="1"/>
  <c r="J283" i="27" s="1"/>
  <c r="J284" i="27" s="1"/>
  <c r="J285" i="27" s="1"/>
  <c r="J286" i="27" s="1"/>
  <c r="J287" i="27" s="1"/>
  <c r="J288" i="27" s="1"/>
  <c r="J289" i="27" s="1"/>
  <c r="J290" i="27" s="1"/>
  <c r="J291" i="27" s="1"/>
  <c r="J292" i="27" s="1"/>
  <c r="J293" i="27" s="1"/>
  <c r="J294" i="27" s="1"/>
  <c r="J295" i="27" s="1"/>
  <c r="J296" i="27" s="1"/>
  <c r="J297" i="27" s="1"/>
  <c r="J298" i="27" s="1"/>
  <c r="J299" i="27" s="1"/>
  <c r="J300" i="27" s="1"/>
  <c r="J301" i="27" s="1"/>
  <c r="J302" i="27" s="1"/>
  <c r="J303" i="27" s="1"/>
  <c r="J304" i="27" s="1"/>
  <c r="J305" i="27" s="1"/>
  <c r="J306" i="27" s="1"/>
  <c r="J307" i="27" s="1"/>
  <c r="J308" i="27" s="1"/>
  <c r="J309" i="27" s="1"/>
  <c r="J310" i="27" s="1"/>
  <c r="J311" i="27" s="1"/>
  <c r="J312" i="27" s="1"/>
  <c r="J313" i="27" s="1"/>
  <c r="J314" i="27" s="1"/>
  <c r="J315" i="27" s="1"/>
  <c r="J316" i="27" s="1"/>
  <c r="J317" i="27" s="1"/>
  <c r="J318" i="27" s="1"/>
  <c r="J319" i="27" s="1"/>
  <c r="J320" i="27" s="1"/>
  <c r="J321" i="27" s="1"/>
  <c r="J322" i="27" s="1"/>
  <c r="J323" i="27" s="1"/>
  <c r="J324" i="27" s="1"/>
  <c r="J325" i="27" s="1"/>
  <c r="J326" i="27" s="1"/>
  <c r="J327" i="27" s="1"/>
  <c r="J328" i="27" s="1"/>
  <c r="J329" i="27" s="1"/>
  <c r="J330" i="27" s="1"/>
  <c r="J331" i="27" s="1"/>
  <c r="J332" i="27" s="1"/>
  <c r="J333" i="27" s="1"/>
  <c r="J334" i="27" s="1"/>
  <c r="J335" i="27" s="1"/>
  <c r="J336" i="27" s="1"/>
  <c r="J337" i="27" s="1"/>
  <c r="J338" i="27" s="1"/>
  <c r="J339" i="27" s="1"/>
  <c r="J340" i="27" s="1"/>
  <c r="J341" i="27" s="1"/>
  <c r="J342" i="27" s="1"/>
  <c r="J343" i="27" s="1"/>
  <c r="J344" i="27" s="1"/>
  <c r="J345" i="27" s="1"/>
  <c r="J346" i="27" s="1"/>
  <c r="J347" i="27" s="1"/>
  <c r="J348" i="27" s="1"/>
  <c r="J349" i="27" s="1"/>
  <c r="J350" i="27" s="1"/>
  <c r="J351" i="27" s="1"/>
  <c r="J352" i="27" s="1"/>
  <c r="J353" i="27" s="1"/>
  <c r="J354" i="27" s="1"/>
  <c r="J355" i="27" s="1"/>
  <c r="J356" i="27" s="1"/>
  <c r="J357" i="27" s="1"/>
  <c r="J358" i="27" s="1"/>
  <c r="J359" i="27" s="1"/>
  <c r="J360" i="27" s="1"/>
  <c r="J361" i="27" s="1"/>
  <c r="J362" i="27" s="1"/>
  <c r="J363" i="27" s="1"/>
  <c r="J364" i="27" s="1"/>
  <c r="J365" i="27" s="1"/>
  <c r="J366" i="27" s="1"/>
  <c r="J367" i="27" s="1"/>
  <c r="J368" i="27" s="1"/>
  <c r="J369" i="27" s="1"/>
  <c r="AN193" i="19"/>
  <c r="AO193" i="19"/>
  <c r="AQ193" i="19" s="1"/>
  <c r="AO69" i="19"/>
  <c r="AQ69" i="19" s="1"/>
  <c r="AN69" i="19"/>
  <c r="AG84" i="17"/>
  <c r="AG85" i="19"/>
  <c r="AG149" i="17"/>
  <c r="AG150" i="19"/>
  <c r="AG278" i="17"/>
  <c r="AG279" i="19"/>
  <c r="AO286" i="19"/>
  <c r="AQ286" i="19" s="1"/>
  <c r="AN286" i="19"/>
  <c r="AG299" i="17"/>
  <c r="AG300" i="19"/>
  <c r="AG246" i="17"/>
  <c r="BJ246" i="17" s="1"/>
  <c r="AG247" i="19"/>
  <c r="AO331" i="19"/>
  <c r="AQ331" i="19" s="1"/>
  <c r="AN331" i="19"/>
  <c r="AG349" i="17"/>
  <c r="BJ349" i="17" s="1"/>
  <c r="AG350" i="19"/>
  <c r="AN48" i="19"/>
  <c r="AO48" i="19"/>
  <c r="AQ48" i="19" s="1"/>
  <c r="AG65" i="17"/>
  <c r="BJ65" i="17" s="1"/>
  <c r="AG66" i="19"/>
  <c r="AS66" i="19" s="1"/>
  <c r="AT66" i="19" s="1"/>
  <c r="AO113" i="19"/>
  <c r="AQ113" i="19" s="1"/>
  <c r="AN113" i="19"/>
  <c r="AG128" i="17"/>
  <c r="BJ128" i="17" s="1"/>
  <c r="AG129" i="19"/>
  <c r="AN240" i="19"/>
  <c r="AO240" i="19"/>
  <c r="AQ240" i="19" s="1"/>
  <c r="AG255" i="17"/>
  <c r="AG256" i="19"/>
  <c r="AO371" i="19"/>
  <c r="AQ371" i="19" s="1"/>
  <c r="AN371" i="19"/>
  <c r="AO41" i="19"/>
  <c r="AQ41" i="19" s="1"/>
  <c r="AN41" i="19"/>
  <c r="AG57" i="17"/>
  <c r="AG58" i="19"/>
  <c r="AO105" i="19"/>
  <c r="AQ105" i="19" s="1"/>
  <c r="AN105" i="19"/>
  <c r="AN169" i="19"/>
  <c r="AO169" i="19"/>
  <c r="AQ169" i="19" s="1"/>
  <c r="AG184" i="17"/>
  <c r="AG185" i="19"/>
  <c r="AS185" i="19" s="1"/>
  <c r="AT185" i="19" s="1"/>
  <c r="AN233" i="19"/>
  <c r="AO233" i="19"/>
  <c r="AQ233" i="19" s="1"/>
  <c r="AG248" i="17"/>
  <c r="BJ248" i="17" s="1"/>
  <c r="AG249" i="19"/>
  <c r="AS249" i="19" s="1"/>
  <c r="AT249" i="19" s="1"/>
  <c r="AN296" i="19"/>
  <c r="AO296" i="19"/>
  <c r="AQ296" i="19" s="1"/>
  <c r="AG311" i="17"/>
  <c r="AG312" i="19"/>
  <c r="AS312" i="19" s="1"/>
  <c r="AT312" i="19" s="1"/>
  <c r="AN360" i="19"/>
  <c r="AO360" i="19"/>
  <c r="AQ360" i="19" s="1"/>
  <c r="AG371" i="17"/>
  <c r="AG372" i="19"/>
  <c r="AS372" i="19" s="1"/>
  <c r="AT372" i="19" s="1"/>
  <c r="AN280" i="19"/>
  <c r="AO280" i="19"/>
  <c r="AQ280" i="19" s="1"/>
  <c r="AG362" i="17"/>
  <c r="AG363" i="19"/>
  <c r="AS363" i="19" s="1"/>
  <c r="AT363" i="19" s="1"/>
  <c r="AO8" i="19"/>
  <c r="AQ8" i="19" s="1"/>
  <c r="AN8" i="19"/>
  <c r="AG23" i="17"/>
  <c r="AG24" i="19"/>
  <c r="AS24" i="19" s="1"/>
  <c r="AT24" i="19" s="1"/>
  <c r="AO74" i="19"/>
  <c r="AQ74" i="19" s="1"/>
  <c r="AN74" i="19"/>
  <c r="AG89" i="17"/>
  <c r="BJ89" i="17" s="1"/>
  <c r="AG90" i="19"/>
  <c r="AS90" i="19" s="1"/>
  <c r="AT90" i="19" s="1"/>
  <c r="AO139" i="19"/>
  <c r="AQ139" i="19" s="1"/>
  <c r="AN139" i="19"/>
  <c r="AG153" i="17"/>
  <c r="AG154" i="19"/>
  <c r="AN197" i="19"/>
  <c r="AO197" i="19"/>
  <c r="AQ197" i="19" s="1"/>
  <c r="AG218" i="17"/>
  <c r="BJ218" i="17" s="1"/>
  <c r="AG219" i="19"/>
  <c r="AS219" i="19" s="1"/>
  <c r="AT219" i="19" s="1"/>
  <c r="AO266" i="19"/>
  <c r="AQ266" i="19" s="1"/>
  <c r="AN266" i="19"/>
  <c r="AG281" i="17"/>
  <c r="AG282" i="19"/>
  <c r="AS282" i="19" s="1"/>
  <c r="AT282" i="19" s="1"/>
  <c r="AO329" i="19"/>
  <c r="AQ329" i="19" s="1"/>
  <c r="AN329" i="19"/>
  <c r="AG344" i="17"/>
  <c r="AG345" i="19"/>
  <c r="AS345" i="19" s="1"/>
  <c r="AT345" i="19" s="1"/>
  <c r="AN393" i="19"/>
  <c r="AO393" i="19"/>
  <c r="AQ393" i="19" s="1"/>
  <c r="AG408" i="17"/>
  <c r="BJ408" i="17" s="1"/>
  <c r="AG409" i="19"/>
  <c r="AS409" i="19" s="1"/>
  <c r="AT409" i="19" s="1"/>
  <c r="AN379" i="19"/>
  <c r="AO379" i="19"/>
  <c r="AQ379" i="19" s="1"/>
  <c r="AG387" i="17"/>
  <c r="BJ387" i="17" s="1"/>
  <c r="AG388" i="19"/>
  <c r="AS388" i="19" s="1"/>
  <c r="AT388" i="19" s="1"/>
  <c r="AO27" i="19"/>
  <c r="AQ27" i="19" s="1"/>
  <c r="AN27" i="19"/>
  <c r="AG42" i="17"/>
  <c r="BJ42" i="17" s="1"/>
  <c r="AG43" i="19"/>
  <c r="AS43" i="19" s="1"/>
  <c r="AT43" i="19" s="1"/>
  <c r="AN91" i="19"/>
  <c r="AO91" i="19"/>
  <c r="AQ91" i="19" s="1"/>
  <c r="AG107" i="17"/>
  <c r="BJ107" i="17" s="1"/>
  <c r="AG108" i="19"/>
  <c r="AS108" i="19" s="1"/>
  <c r="AT108" i="19" s="1"/>
  <c r="AO156" i="19"/>
  <c r="AQ156" i="19" s="1"/>
  <c r="AN156" i="19"/>
  <c r="AG171" i="17"/>
  <c r="AG172" i="19"/>
  <c r="AS172" i="19" s="1"/>
  <c r="AT172" i="19" s="1"/>
  <c r="AN220" i="19"/>
  <c r="AO220" i="19"/>
  <c r="AQ220" i="19" s="1"/>
  <c r="AG242" i="17"/>
  <c r="AG243" i="19"/>
  <c r="AS243" i="19" s="1"/>
  <c r="AT243" i="19" s="1"/>
  <c r="AN302" i="19"/>
  <c r="AO302" i="19"/>
  <c r="AQ302" i="19" s="1"/>
  <c r="AG313" i="17"/>
  <c r="BJ313" i="17" s="1"/>
  <c r="AG314" i="19"/>
  <c r="AS314" i="19" s="1"/>
  <c r="AT314" i="19" s="1"/>
  <c r="AO362" i="19"/>
  <c r="AQ362" i="19" s="1"/>
  <c r="AN362" i="19"/>
  <c r="AG377" i="17"/>
  <c r="BJ377" i="17" s="1"/>
  <c r="AG378" i="19"/>
  <c r="AS378" i="19" s="1"/>
  <c r="AT378" i="19" s="1"/>
  <c r="AN260" i="19"/>
  <c r="AO260" i="19"/>
  <c r="AQ260" i="19" s="1"/>
  <c r="AG277" i="17"/>
  <c r="BJ277" i="17" s="1"/>
  <c r="AG278" i="19"/>
  <c r="AS278" i="19" s="1"/>
  <c r="AT278" i="19" s="1"/>
  <c r="AO26" i="19"/>
  <c r="AQ26" i="19" s="1"/>
  <c r="AN26" i="19"/>
  <c r="AO231" i="19"/>
  <c r="AQ231" i="19" s="1"/>
  <c r="AN231" i="19"/>
  <c r="AO176" i="19"/>
  <c r="AQ176" i="19" s="1"/>
  <c r="AN176" i="19"/>
  <c r="AG202" i="17"/>
  <c r="AG203" i="19"/>
  <c r="AS203" i="19" s="1"/>
  <c r="AT203" i="19" s="1"/>
  <c r="AG121" i="17"/>
  <c r="AG122" i="19"/>
  <c r="AN18" i="19"/>
  <c r="AO18" i="19"/>
  <c r="AQ18" i="19" s="1"/>
  <c r="AG35" i="17"/>
  <c r="AG36" i="19"/>
  <c r="AN92" i="19"/>
  <c r="AO92" i="19"/>
  <c r="AQ92" i="19" s="1"/>
  <c r="AG108" i="17"/>
  <c r="AG109" i="19"/>
  <c r="AO157" i="19"/>
  <c r="AQ157" i="19" s="1"/>
  <c r="AN157" i="19"/>
  <c r="AG172" i="17"/>
  <c r="AG173" i="19"/>
  <c r="AO221" i="19"/>
  <c r="AQ221" i="19" s="1"/>
  <c r="AN221" i="19"/>
  <c r="AG235" i="17"/>
  <c r="AG236" i="19"/>
  <c r="AN306" i="19"/>
  <c r="AO306" i="19"/>
  <c r="AQ306" i="19" s="1"/>
  <c r="AG384" i="17"/>
  <c r="AG385" i="19"/>
  <c r="AN29" i="19"/>
  <c r="AO29" i="19"/>
  <c r="AQ29" i="19" s="1"/>
  <c r="AG44" i="17"/>
  <c r="AG45" i="19"/>
  <c r="AO93" i="19"/>
  <c r="AQ93" i="19" s="1"/>
  <c r="AN93" i="19"/>
  <c r="AG110" i="17"/>
  <c r="AG111" i="19"/>
  <c r="AN158" i="19"/>
  <c r="AO158" i="19"/>
  <c r="AQ158" i="19" s="1"/>
  <c r="AG173" i="17"/>
  <c r="AG174" i="19"/>
  <c r="AO223" i="19"/>
  <c r="AQ223" i="19" s="1"/>
  <c r="AN223" i="19"/>
  <c r="AG236" i="17"/>
  <c r="AG237" i="19"/>
  <c r="AO285" i="19"/>
  <c r="AQ285" i="19" s="1"/>
  <c r="AN285" i="19"/>
  <c r="AG298" i="17"/>
  <c r="AG299" i="19"/>
  <c r="AN348" i="19"/>
  <c r="AO348" i="19"/>
  <c r="AQ348" i="19" s="1"/>
  <c r="AG373" i="17"/>
  <c r="AG374" i="19"/>
  <c r="AO46" i="19"/>
  <c r="AQ46" i="19" s="1"/>
  <c r="AN46" i="19"/>
  <c r="AG69" i="17"/>
  <c r="AG70" i="19"/>
  <c r="AN119" i="19"/>
  <c r="AO119" i="19"/>
  <c r="AQ119" i="19" s="1"/>
  <c r="AG134" i="17"/>
  <c r="AG135" i="19"/>
  <c r="AN183" i="19"/>
  <c r="AO183" i="19"/>
  <c r="AQ183" i="19" s="1"/>
  <c r="AG193" i="17"/>
  <c r="AG194" i="19"/>
  <c r="AO246" i="19"/>
  <c r="AQ246" i="19" s="1"/>
  <c r="AN246" i="19"/>
  <c r="AG261" i="17"/>
  <c r="AG262" i="19"/>
  <c r="AN309" i="19"/>
  <c r="AO309" i="19"/>
  <c r="AQ309" i="19" s="1"/>
  <c r="AG324" i="17"/>
  <c r="AG325" i="19"/>
  <c r="AN389" i="19"/>
  <c r="AO389" i="19"/>
  <c r="AQ389" i="19" s="1"/>
  <c r="AG13" i="17"/>
  <c r="AG14" i="19"/>
  <c r="AO56" i="19"/>
  <c r="AQ56" i="19" s="1"/>
  <c r="AN56" i="19"/>
  <c r="AG78" i="17"/>
  <c r="AG79" i="19"/>
  <c r="AN128" i="19"/>
  <c r="AO128" i="19"/>
  <c r="AQ128" i="19" s="1"/>
  <c r="AG143" i="17"/>
  <c r="AG144" i="19"/>
  <c r="AN191" i="19"/>
  <c r="AO191" i="19"/>
  <c r="AQ191" i="19" s="1"/>
  <c r="AG207" i="17"/>
  <c r="AG208" i="19"/>
  <c r="AN255" i="19"/>
  <c r="AO255" i="19"/>
  <c r="AQ255" i="19" s="1"/>
  <c r="AG270" i="17"/>
  <c r="AG271" i="19"/>
  <c r="AN292" i="19"/>
  <c r="AO292" i="19"/>
  <c r="AQ292" i="19" s="1"/>
  <c r="AG309" i="17"/>
  <c r="AG310" i="19"/>
  <c r="AO358" i="19"/>
  <c r="AQ358" i="19" s="1"/>
  <c r="AN358" i="19"/>
  <c r="AG372" i="17"/>
  <c r="AG373" i="19"/>
  <c r="AO9" i="19"/>
  <c r="AQ9" i="19" s="1"/>
  <c r="AN9" i="19"/>
  <c r="AG22" i="17"/>
  <c r="AG23" i="19"/>
  <c r="AO72" i="19"/>
  <c r="AQ72" i="19" s="1"/>
  <c r="AN72" i="19"/>
  <c r="AG87" i="17"/>
  <c r="AG88" i="19"/>
  <c r="AO137" i="19"/>
  <c r="AQ137" i="19" s="1"/>
  <c r="AN137" i="19"/>
  <c r="AG154" i="17"/>
  <c r="AG155" i="19"/>
  <c r="AN196" i="19"/>
  <c r="AO196" i="19"/>
  <c r="AQ196" i="19" s="1"/>
  <c r="AG216" i="17"/>
  <c r="AG217" i="19"/>
  <c r="AN265" i="19"/>
  <c r="AO265" i="19"/>
  <c r="AQ265" i="19" s="1"/>
  <c r="AG282" i="17"/>
  <c r="AG283" i="19"/>
  <c r="AO327" i="19"/>
  <c r="AQ327" i="19" s="1"/>
  <c r="AN327" i="19"/>
  <c r="AG342" i="17"/>
  <c r="AG343" i="19"/>
  <c r="AG19" i="17"/>
  <c r="AG20" i="19"/>
  <c r="AS20" i="19" s="1"/>
  <c r="AT20" i="19" s="1"/>
  <c r="AO64" i="19"/>
  <c r="AQ64" i="19" s="1"/>
  <c r="AN64" i="19"/>
  <c r="AG80" i="17"/>
  <c r="AG81" i="19"/>
  <c r="AS81" i="19" s="1"/>
  <c r="AT81" i="19" s="1"/>
  <c r="AN130" i="19"/>
  <c r="AO130" i="19"/>
  <c r="AQ130" i="19" s="1"/>
  <c r="AG145" i="17"/>
  <c r="BJ145" i="17" s="1"/>
  <c r="AG146" i="19"/>
  <c r="AS146" i="19" s="1"/>
  <c r="AT146" i="19" s="1"/>
  <c r="AN204" i="19"/>
  <c r="AO204" i="19"/>
  <c r="AQ204" i="19" s="1"/>
  <c r="AG209" i="17"/>
  <c r="BJ209" i="17" s="1"/>
  <c r="AG210" i="19"/>
  <c r="AS210" i="19" s="1"/>
  <c r="AT210" i="19" s="1"/>
  <c r="AO257" i="19"/>
  <c r="AQ257" i="19" s="1"/>
  <c r="AN257" i="19"/>
  <c r="AG272" i="17"/>
  <c r="BJ272" i="17" s="1"/>
  <c r="AG273" i="19"/>
  <c r="AS273" i="19" s="1"/>
  <c r="AT273" i="19" s="1"/>
  <c r="AN320" i="19"/>
  <c r="AO320" i="19"/>
  <c r="AQ320" i="19" s="1"/>
  <c r="AG335" i="17"/>
  <c r="AG336" i="19"/>
  <c r="AN386" i="19"/>
  <c r="AO386" i="19"/>
  <c r="AQ386" i="19" s="1"/>
  <c r="AG399" i="17"/>
  <c r="BJ399" i="17" s="1"/>
  <c r="AG400" i="19"/>
  <c r="AS400" i="19" s="1"/>
  <c r="AT400" i="19" s="1"/>
  <c r="AN395" i="19"/>
  <c r="AO395" i="19"/>
  <c r="AQ395" i="19" s="1"/>
  <c r="AG380" i="17"/>
  <c r="BJ380" i="17" s="1"/>
  <c r="AG381" i="19"/>
  <c r="AS381" i="19" s="1"/>
  <c r="AT381" i="19" s="1"/>
  <c r="AN34" i="19"/>
  <c r="AO34" i="19"/>
  <c r="AQ34" i="19" s="1"/>
  <c r="AG49" i="17"/>
  <c r="BJ49" i="17" s="1"/>
  <c r="AG50" i="19"/>
  <c r="AS50" i="19" s="1"/>
  <c r="AT50" i="19" s="1"/>
  <c r="AN99" i="19"/>
  <c r="AO99" i="19"/>
  <c r="AQ99" i="19" s="1"/>
  <c r="AG114" i="17"/>
  <c r="BJ114" i="17" s="1"/>
  <c r="AG115" i="19"/>
  <c r="AS115" i="19" s="1"/>
  <c r="AT115" i="19" s="1"/>
  <c r="AN164" i="19"/>
  <c r="AO164" i="19"/>
  <c r="AQ164" i="19" s="1"/>
  <c r="AG179" i="17"/>
  <c r="AG180" i="19"/>
  <c r="AO227" i="19"/>
  <c r="AQ227" i="19" s="1"/>
  <c r="AN227" i="19"/>
  <c r="AG241" i="17"/>
  <c r="AG242" i="19"/>
  <c r="AS242" i="19" s="1"/>
  <c r="AT242" i="19" s="1"/>
  <c r="AN288" i="19"/>
  <c r="AO288" i="19"/>
  <c r="AQ288" i="19" s="1"/>
  <c r="AG304" i="17"/>
  <c r="AG305" i="19"/>
  <c r="AN353" i="19"/>
  <c r="AO353" i="19"/>
  <c r="AQ353" i="19" s="1"/>
  <c r="AG368" i="17"/>
  <c r="BJ368" i="17" s="1"/>
  <c r="AG369" i="19"/>
  <c r="AS369" i="19" s="1"/>
  <c r="AT369" i="19" s="1"/>
  <c r="AO394" i="19"/>
  <c r="AQ394" i="19" s="1"/>
  <c r="AN394" i="19"/>
  <c r="AG297" i="17"/>
  <c r="AG298" i="19"/>
  <c r="AO375" i="19"/>
  <c r="AQ375" i="19" s="1"/>
  <c r="AN375" i="19"/>
  <c r="AO51" i="19"/>
  <c r="AQ51" i="19" s="1"/>
  <c r="AN51" i="19"/>
  <c r="AG66" i="17"/>
  <c r="AG67" i="19"/>
  <c r="AO116" i="19"/>
  <c r="AQ116" i="19" s="1"/>
  <c r="AN116" i="19"/>
  <c r="AG131" i="17"/>
  <c r="AG132" i="19"/>
  <c r="AO179" i="19"/>
  <c r="AQ179" i="19" s="1"/>
  <c r="AN179" i="19"/>
  <c r="AG191" i="17"/>
  <c r="AG192" i="19"/>
  <c r="AO251" i="19"/>
  <c r="AQ251" i="19" s="1"/>
  <c r="AN251" i="19"/>
  <c r="AG266" i="17"/>
  <c r="AG267" i="19"/>
  <c r="AO322" i="19"/>
  <c r="AQ322" i="19" s="1"/>
  <c r="AN322" i="19"/>
  <c r="AG337" i="17"/>
  <c r="AG338" i="19"/>
  <c r="AO387" i="19"/>
  <c r="AQ387" i="19" s="1"/>
  <c r="AN387" i="19"/>
  <c r="AG322" i="17"/>
  <c r="AG323" i="19"/>
  <c r="AN68" i="19"/>
  <c r="AO68" i="19"/>
  <c r="AQ68" i="19" s="1"/>
  <c r="AG83" i="17"/>
  <c r="AG84" i="19"/>
  <c r="AG213" i="17"/>
  <c r="BJ213" i="17" s="1"/>
  <c r="AG214" i="19"/>
  <c r="AO159" i="19"/>
  <c r="AQ159" i="19" s="1"/>
  <c r="AN159" i="19"/>
  <c r="AG174" i="17"/>
  <c r="BJ174" i="17" s="1"/>
  <c r="AG175" i="19"/>
  <c r="AS175" i="19" s="1"/>
  <c r="AT175" i="19" s="1"/>
  <c r="AO104" i="19"/>
  <c r="AQ104" i="19" s="1"/>
  <c r="AN104" i="19"/>
  <c r="AG119" i="17"/>
  <c r="AG120" i="19"/>
  <c r="AS120" i="19" s="1"/>
  <c r="AT120" i="19" s="1"/>
  <c r="AG286" i="17"/>
  <c r="AG287" i="19"/>
  <c r="AN44" i="19"/>
  <c r="AO44" i="19"/>
  <c r="AQ44" i="19" s="1"/>
  <c r="AG67" i="17"/>
  <c r="AG68" i="19"/>
  <c r="AN117" i="19"/>
  <c r="AO117" i="19"/>
  <c r="AQ117" i="19" s="1"/>
  <c r="AG132" i="17"/>
  <c r="AG133" i="19"/>
  <c r="AN181" i="19"/>
  <c r="AO181" i="19"/>
  <c r="AQ181" i="19" s="1"/>
  <c r="AG192" i="17"/>
  <c r="AG193" i="19"/>
  <c r="AN244" i="19"/>
  <c r="AO244" i="19"/>
  <c r="AQ244" i="19" s="1"/>
  <c r="AG259" i="17"/>
  <c r="AG260" i="19"/>
  <c r="AN396" i="19"/>
  <c r="AO396" i="19"/>
  <c r="AQ396" i="19" s="1"/>
  <c r="AG9" i="17"/>
  <c r="AG10" i="19"/>
  <c r="AN53" i="19"/>
  <c r="AO53" i="19"/>
  <c r="AQ53" i="19" s="1"/>
  <c r="AG68" i="17"/>
  <c r="AG69" i="19"/>
  <c r="AO118" i="19"/>
  <c r="AQ118" i="19" s="1"/>
  <c r="AN118" i="19"/>
  <c r="AG133" i="17"/>
  <c r="AG134" i="19"/>
  <c r="AO182" i="19"/>
  <c r="AQ182" i="19" s="1"/>
  <c r="AN182" i="19"/>
  <c r="AG199" i="17"/>
  <c r="AG200" i="19"/>
  <c r="AN245" i="19"/>
  <c r="AO245" i="19"/>
  <c r="AQ245" i="19" s="1"/>
  <c r="AG260" i="17"/>
  <c r="AG261" i="19"/>
  <c r="AO307" i="19"/>
  <c r="AQ307" i="19" s="1"/>
  <c r="AN307" i="19"/>
  <c r="AG323" i="17"/>
  <c r="AG324" i="19"/>
  <c r="AN7" i="19"/>
  <c r="AO7" i="19"/>
  <c r="AQ7" i="19" s="1"/>
  <c r="AG25" i="17"/>
  <c r="AG26" i="19"/>
  <c r="AO78" i="19"/>
  <c r="AQ78" i="19" s="1"/>
  <c r="AN78" i="19"/>
  <c r="AG94" i="17"/>
  <c r="AG95" i="19"/>
  <c r="AN143" i="19"/>
  <c r="AO143" i="19"/>
  <c r="AQ143" i="19" s="1"/>
  <c r="AG158" i="17"/>
  <c r="AG159" i="19"/>
  <c r="AN207" i="19"/>
  <c r="AO207" i="19"/>
  <c r="AQ207" i="19" s="1"/>
  <c r="AG221" i="17"/>
  <c r="AG222" i="19"/>
  <c r="AO270" i="19"/>
  <c r="AQ270" i="19" s="1"/>
  <c r="AN270" i="19"/>
  <c r="AG285" i="17"/>
  <c r="AG286" i="19"/>
  <c r="AO330" i="19"/>
  <c r="AQ330" i="19" s="1"/>
  <c r="AN330" i="19"/>
  <c r="AG348" i="17"/>
  <c r="AG349" i="19"/>
  <c r="AO22" i="19"/>
  <c r="AQ22" i="19" s="1"/>
  <c r="AN22" i="19"/>
  <c r="AG38" i="17"/>
  <c r="AG39" i="19"/>
  <c r="AN87" i="19"/>
  <c r="AO87" i="19"/>
  <c r="AQ87" i="19" s="1"/>
  <c r="AG103" i="17"/>
  <c r="AG104" i="19"/>
  <c r="AN152" i="19"/>
  <c r="AO152" i="19"/>
  <c r="AQ152" i="19" s="1"/>
  <c r="AG166" i="17"/>
  <c r="AG167" i="19"/>
  <c r="AN216" i="19"/>
  <c r="AO216" i="19"/>
  <c r="AQ216" i="19" s="1"/>
  <c r="AG230" i="17"/>
  <c r="AG231" i="19"/>
  <c r="AN277" i="19"/>
  <c r="AO277" i="19"/>
  <c r="AQ277" i="19" s="1"/>
  <c r="AN319" i="19"/>
  <c r="AO319" i="19"/>
  <c r="AQ319" i="19" s="1"/>
  <c r="AG330" i="17"/>
  <c r="AG331" i="19"/>
  <c r="AS331" i="19" s="1"/>
  <c r="AT331" i="19" s="1"/>
  <c r="AO382" i="19"/>
  <c r="AQ382" i="19" s="1"/>
  <c r="AN382" i="19"/>
  <c r="AG404" i="17"/>
  <c r="AG405" i="19"/>
  <c r="AS405" i="19" s="1"/>
  <c r="AT405" i="19" s="1"/>
  <c r="AO32" i="19"/>
  <c r="AQ32" i="19" s="1"/>
  <c r="AN32" i="19"/>
  <c r="AG47" i="17"/>
  <c r="BJ47" i="17" s="1"/>
  <c r="AG48" i="19"/>
  <c r="AO96" i="19"/>
  <c r="AQ96" i="19" s="1"/>
  <c r="AN96" i="19"/>
  <c r="AG112" i="17"/>
  <c r="BJ112" i="17" s="1"/>
  <c r="AG113" i="19"/>
  <c r="AS113" i="19" s="1"/>
  <c r="AT113" i="19" s="1"/>
  <c r="AO161" i="19"/>
  <c r="AQ161" i="19" s="1"/>
  <c r="AN161" i="19"/>
  <c r="AG175" i="17"/>
  <c r="AG176" i="19"/>
  <c r="AO225" i="19"/>
  <c r="AQ225" i="19" s="1"/>
  <c r="AN225" i="19"/>
  <c r="AG239" i="17"/>
  <c r="AG240" i="19"/>
  <c r="AS240" i="19" s="1"/>
  <c r="AT240" i="19" s="1"/>
  <c r="AN290" i="19"/>
  <c r="AO290" i="19"/>
  <c r="AQ290" i="19" s="1"/>
  <c r="AG302" i="17"/>
  <c r="BJ302" i="17" s="1"/>
  <c r="AG303" i="19"/>
  <c r="AS303" i="19" s="1"/>
  <c r="AT303" i="19" s="1"/>
  <c r="AO351" i="19"/>
  <c r="AQ351" i="19" s="1"/>
  <c r="AN351" i="19"/>
  <c r="AG370" i="17"/>
  <c r="AG371" i="19"/>
  <c r="AS371" i="19" s="1"/>
  <c r="AT371" i="19" s="1"/>
  <c r="AO25" i="19"/>
  <c r="AQ25" i="19" s="1"/>
  <c r="AN25" i="19"/>
  <c r="AG40" i="17"/>
  <c r="AG41" i="19"/>
  <c r="AS41" i="19" s="1"/>
  <c r="AT41" i="19" s="1"/>
  <c r="AO89" i="19"/>
  <c r="AQ89" i="19" s="1"/>
  <c r="AN89" i="19"/>
  <c r="AG104" i="17"/>
  <c r="BJ104" i="17" s="1"/>
  <c r="AG105" i="19"/>
  <c r="AS105" i="19" s="1"/>
  <c r="AT105" i="19" s="1"/>
  <c r="AO153" i="19"/>
  <c r="AQ153" i="19" s="1"/>
  <c r="AN153" i="19"/>
  <c r="AG168" i="17"/>
  <c r="AG169" i="19"/>
  <c r="AO218" i="19"/>
  <c r="AQ218" i="19" s="1"/>
  <c r="AN218" i="19"/>
  <c r="AG232" i="17"/>
  <c r="AG233" i="19"/>
  <c r="AS233" i="19" s="1"/>
  <c r="AT233" i="19" s="1"/>
  <c r="AN284" i="19"/>
  <c r="AO284" i="19"/>
  <c r="AQ284" i="19" s="1"/>
  <c r="AG295" i="17"/>
  <c r="AG296" i="19"/>
  <c r="AS296" i="19" s="1"/>
  <c r="AT296" i="19" s="1"/>
  <c r="AN344" i="19"/>
  <c r="AO344" i="19"/>
  <c r="AQ344" i="19" s="1"/>
  <c r="AG359" i="17"/>
  <c r="BJ359" i="17" s="1"/>
  <c r="AG360" i="19"/>
  <c r="AN407" i="19"/>
  <c r="AO407" i="19"/>
  <c r="AQ407" i="19" s="1"/>
  <c r="AG279" i="17"/>
  <c r="BJ279" i="17" s="1"/>
  <c r="AG280" i="19"/>
  <c r="AS280" i="19" s="1"/>
  <c r="AT280" i="19" s="1"/>
  <c r="AN404" i="19"/>
  <c r="AO404" i="19"/>
  <c r="AQ404" i="19" s="1"/>
  <c r="AG7" i="17"/>
  <c r="AG8" i="19"/>
  <c r="AS8" i="19" s="1"/>
  <c r="AT8" i="19" s="1"/>
  <c r="AO59" i="19"/>
  <c r="AQ59" i="19" s="1"/>
  <c r="AN59" i="19"/>
  <c r="AG73" i="17"/>
  <c r="AG74" i="19"/>
  <c r="AS74" i="19" s="1"/>
  <c r="AT74" i="19" s="1"/>
  <c r="AO123" i="19"/>
  <c r="AQ123" i="19" s="1"/>
  <c r="AN123" i="19"/>
  <c r="AG138" i="17"/>
  <c r="AG139" i="19"/>
  <c r="AS139" i="19" s="1"/>
  <c r="AT139" i="19" s="1"/>
  <c r="AN187" i="19"/>
  <c r="AO187" i="19"/>
  <c r="AQ187" i="19" s="1"/>
  <c r="AG196" i="17"/>
  <c r="AG197" i="19"/>
  <c r="AO250" i="19"/>
  <c r="AQ250" i="19" s="1"/>
  <c r="AN250" i="19"/>
  <c r="AG265" i="17"/>
  <c r="BJ265" i="17" s="1"/>
  <c r="AG266" i="19"/>
  <c r="AS266" i="19" s="1"/>
  <c r="AT266" i="19" s="1"/>
  <c r="AN313" i="19"/>
  <c r="AO313" i="19"/>
  <c r="AQ313" i="19" s="1"/>
  <c r="AG328" i="17"/>
  <c r="AG329" i="19"/>
  <c r="AS329" i="19" s="1"/>
  <c r="AT329" i="19" s="1"/>
  <c r="AN377" i="19"/>
  <c r="AO377" i="19"/>
  <c r="AQ377" i="19" s="1"/>
  <c r="AG392" i="17"/>
  <c r="AG393" i="19"/>
  <c r="AN315" i="19"/>
  <c r="AO315" i="19"/>
  <c r="AQ315" i="19" s="1"/>
  <c r="AG378" i="17"/>
  <c r="AG379" i="19"/>
  <c r="AN11" i="19"/>
  <c r="AO11" i="19"/>
  <c r="AQ11" i="19" s="1"/>
  <c r="AG26" i="17"/>
  <c r="BJ26" i="17" s="1"/>
  <c r="AG27" i="19"/>
  <c r="AS27" i="19" s="1"/>
  <c r="AT27" i="19" s="1"/>
  <c r="AO75" i="19"/>
  <c r="AQ75" i="19" s="1"/>
  <c r="AN75" i="19"/>
  <c r="AG90" i="17"/>
  <c r="BJ90" i="17" s="1"/>
  <c r="AG91" i="19"/>
  <c r="AS91" i="19" s="1"/>
  <c r="AT91" i="19" s="1"/>
  <c r="AO140" i="19"/>
  <c r="AQ140" i="19" s="1"/>
  <c r="AN140" i="19"/>
  <c r="AG155" i="17"/>
  <c r="AG156" i="19"/>
  <c r="AS156" i="19" s="1"/>
  <c r="AT156" i="19" s="1"/>
  <c r="AO199" i="19"/>
  <c r="AQ199" i="19" s="1"/>
  <c r="AN199" i="19"/>
  <c r="AG219" i="17"/>
  <c r="AG220" i="19"/>
  <c r="AS220" i="19" s="1"/>
  <c r="AT220" i="19" s="1"/>
  <c r="AN275" i="19"/>
  <c r="AO275" i="19"/>
  <c r="AQ275" i="19" s="1"/>
  <c r="AG301" i="17"/>
  <c r="AG302" i="19"/>
  <c r="AO346" i="19"/>
  <c r="AQ346" i="19" s="1"/>
  <c r="AN346" i="19"/>
  <c r="AG361" i="17"/>
  <c r="AG362" i="19"/>
  <c r="AN355" i="19"/>
  <c r="AO355" i="19"/>
  <c r="AQ355" i="19" s="1"/>
  <c r="AG148" i="17"/>
  <c r="BJ148" i="17" s="1"/>
  <c r="AG149" i="19"/>
  <c r="AN324" i="19"/>
  <c r="AO324" i="19"/>
  <c r="AQ324" i="19" s="1"/>
  <c r="AG339" i="17"/>
  <c r="BJ339" i="17" s="1"/>
  <c r="AG340" i="19"/>
  <c r="AS340" i="19" s="1"/>
  <c r="AT340" i="19" s="1"/>
  <c r="AG37" i="17"/>
  <c r="AG38" i="19"/>
  <c r="AN167" i="19"/>
  <c r="AO167" i="19"/>
  <c r="AQ167" i="19" s="1"/>
  <c r="AG183" i="17"/>
  <c r="AG184" i="19"/>
  <c r="AO5" i="19"/>
  <c r="AQ5" i="19" s="1"/>
  <c r="AN5" i="19"/>
  <c r="AG17" i="17"/>
  <c r="AG18" i="19"/>
  <c r="AN76" i="19"/>
  <c r="AO76" i="19"/>
  <c r="AQ76" i="19" s="1"/>
  <c r="AG91" i="17"/>
  <c r="AG92" i="19"/>
  <c r="AO141" i="19"/>
  <c r="AQ141" i="19" s="1"/>
  <c r="AN141" i="19"/>
  <c r="AG156" i="17"/>
  <c r="AG157" i="19"/>
  <c r="AO202" i="19"/>
  <c r="AQ202" i="19" s="1"/>
  <c r="AN202" i="19"/>
  <c r="AG220" i="17"/>
  <c r="AG221" i="19"/>
  <c r="AN268" i="19"/>
  <c r="AO268" i="19"/>
  <c r="AQ268" i="19" s="1"/>
  <c r="AG305" i="17"/>
  <c r="AG306" i="19"/>
  <c r="AO19" i="19"/>
  <c r="AQ19" i="19" s="1"/>
  <c r="AN19" i="19"/>
  <c r="AG28" i="17"/>
  <c r="AG29" i="19"/>
  <c r="AO77" i="19"/>
  <c r="AQ77" i="19" s="1"/>
  <c r="AN77" i="19"/>
  <c r="AG92" i="17"/>
  <c r="AG93" i="19"/>
  <c r="AN142" i="19"/>
  <c r="AO142" i="19"/>
  <c r="AQ142" i="19" s="1"/>
  <c r="AG157" i="17"/>
  <c r="AG158" i="19"/>
  <c r="AO198" i="19"/>
  <c r="AQ198" i="19" s="1"/>
  <c r="AN198" i="19"/>
  <c r="AG222" i="17"/>
  <c r="AG223" i="19"/>
  <c r="AN269" i="19"/>
  <c r="AO269" i="19"/>
  <c r="AQ269" i="19" s="1"/>
  <c r="AG284" i="17"/>
  <c r="AG285" i="19"/>
  <c r="AN332" i="19"/>
  <c r="AO332" i="19"/>
  <c r="AQ332" i="19" s="1"/>
  <c r="AG347" i="17"/>
  <c r="AG348" i="19"/>
  <c r="AN30" i="19"/>
  <c r="AO30" i="19"/>
  <c r="AQ30" i="19" s="1"/>
  <c r="AG45" i="17"/>
  <c r="AG46" i="19"/>
  <c r="AN103" i="19"/>
  <c r="AO103" i="19"/>
  <c r="AQ103" i="19" s="1"/>
  <c r="AG118" i="17"/>
  <c r="AG119" i="19"/>
  <c r="AO170" i="19"/>
  <c r="AQ170" i="19" s="1"/>
  <c r="AN170" i="19"/>
  <c r="AG182" i="17"/>
  <c r="AG183" i="19"/>
  <c r="AN228" i="19"/>
  <c r="AO228" i="19"/>
  <c r="AQ228" i="19" s="1"/>
  <c r="AG245" i="17"/>
  <c r="AG246" i="19"/>
  <c r="AN293" i="19"/>
  <c r="AO293" i="19"/>
  <c r="AQ293" i="19" s="1"/>
  <c r="AG308" i="17"/>
  <c r="AG309" i="19"/>
  <c r="AN357" i="19"/>
  <c r="AO357" i="19"/>
  <c r="AQ357" i="19" s="1"/>
  <c r="AG388" i="17"/>
  <c r="AG389" i="19"/>
  <c r="AN47" i="19"/>
  <c r="AO47" i="19"/>
  <c r="AQ47" i="19" s="1"/>
  <c r="AG55" i="17"/>
  <c r="AG56" i="19"/>
  <c r="AN112" i="19"/>
  <c r="AO112" i="19"/>
  <c r="AQ112" i="19" s="1"/>
  <c r="AG127" i="17"/>
  <c r="AG128" i="19"/>
  <c r="AO177" i="19"/>
  <c r="AQ177" i="19" s="1"/>
  <c r="AN177" i="19"/>
  <c r="AG190" i="17"/>
  <c r="AG191" i="19"/>
  <c r="AN239" i="19"/>
  <c r="AO239" i="19"/>
  <c r="AQ239" i="19" s="1"/>
  <c r="AG254" i="17"/>
  <c r="AG255" i="19"/>
  <c r="AG291" i="17"/>
  <c r="AG292" i="19"/>
  <c r="AS292" i="19" s="1"/>
  <c r="AT292" i="19" s="1"/>
  <c r="AO342" i="19"/>
  <c r="AQ342" i="19" s="1"/>
  <c r="AN342" i="19"/>
  <c r="AG357" i="17"/>
  <c r="AG358" i="19"/>
  <c r="AS358" i="19" s="1"/>
  <c r="AT358" i="19" s="1"/>
  <c r="AO367" i="19"/>
  <c r="AQ367" i="19" s="1"/>
  <c r="AN367" i="19"/>
  <c r="AG8" i="17"/>
  <c r="BJ8" i="17" s="1"/>
  <c r="AG9" i="19"/>
  <c r="AN57" i="19"/>
  <c r="AO57" i="19"/>
  <c r="AQ57" i="19" s="1"/>
  <c r="AG71" i="17"/>
  <c r="AG72" i="19"/>
  <c r="AS72" i="19" s="1"/>
  <c r="AT72" i="19" s="1"/>
  <c r="AN121" i="19"/>
  <c r="AO121" i="19"/>
  <c r="AQ121" i="19" s="1"/>
  <c r="AG136" i="17"/>
  <c r="AG137" i="19"/>
  <c r="AO186" i="19"/>
  <c r="AQ186" i="19" s="1"/>
  <c r="AN186" i="19"/>
  <c r="AG195" i="17"/>
  <c r="AG196" i="19"/>
  <c r="AS196" i="19" s="1"/>
  <c r="AT196" i="19" s="1"/>
  <c r="AN248" i="19"/>
  <c r="AO248" i="19"/>
  <c r="AQ248" i="19" s="1"/>
  <c r="AG264" i="17"/>
  <c r="BJ264" i="17" s="1"/>
  <c r="AG265" i="19"/>
  <c r="AS265" i="19" s="1"/>
  <c r="AT265" i="19" s="1"/>
  <c r="AO311" i="19"/>
  <c r="AQ311" i="19" s="1"/>
  <c r="AN311" i="19"/>
  <c r="AG326" i="17"/>
  <c r="BJ326" i="17" s="1"/>
  <c r="AG327" i="19"/>
  <c r="AO49" i="19"/>
  <c r="AQ49" i="19" s="1"/>
  <c r="AN49" i="19"/>
  <c r="AG63" i="17"/>
  <c r="AG64" i="19"/>
  <c r="AS64" i="19" s="1"/>
  <c r="AT64" i="19" s="1"/>
  <c r="AN114" i="19"/>
  <c r="AO114" i="19"/>
  <c r="AQ114" i="19" s="1"/>
  <c r="AG129" i="17"/>
  <c r="BJ129" i="17" s="1"/>
  <c r="AG130" i="19"/>
  <c r="AN178" i="19"/>
  <c r="AO178" i="19"/>
  <c r="AQ178" i="19" s="1"/>
  <c r="AG203" i="17"/>
  <c r="AG204" i="19"/>
  <c r="AS204" i="19" s="1"/>
  <c r="AT204" i="19" s="1"/>
  <c r="AO241" i="19"/>
  <c r="AQ241" i="19" s="1"/>
  <c r="AN241" i="19"/>
  <c r="AG256" i="17"/>
  <c r="BJ256" i="17" s="1"/>
  <c r="AG257" i="19"/>
  <c r="AN304" i="19"/>
  <c r="AO304" i="19"/>
  <c r="AQ304" i="19" s="1"/>
  <c r="AG319" i="17"/>
  <c r="BJ319" i="17" s="1"/>
  <c r="AG320" i="19"/>
  <c r="AS320" i="19" s="1"/>
  <c r="AT320" i="19" s="1"/>
  <c r="AN368" i="19"/>
  <c r="AO368" i="19"/>
  <c r="AQ368" i="19" s="1"/>
  <c r="AG385" i="17"/>
  <c r="BJ385" i="17" s="1"/>
  <c r="AG386" i="19"/>
  <c r="AS386" i="19" s="1"/>
  <c r="AT386" i="19" s="1"/>
  <c r="AN339" i="19"/>
  <c r="AO339" i="19"/>
  <c r="AQ339" i="19" s="1"/>
  <c r="AG394" i="17"/>
  <c r="BJ394" i="17" s="1"/>
  <c r="AG395" i="19"/>
  <c r="AS395" i="19" s="1"/>
  <c r="AT395" i="19" s="1"/>
  <c r="AO16" i="19"/>
  <c r="AQ16" i="19" s="1"/>
  <c r="AN16" i="19"/>
  <c r="AG33" i="17"/>
  <c r="AG34" i="19"/>
  <c r="AS34" i="19" s="1"/>
  <c r="AT34" i="19" s="1"/>
  <c r="AN82" i="19"/>
  <c r="AO82" i="19"/>
  <c r="AQ82" i="19" s="1"/>
  <c r="AG98" i="17"/>
  <c r="BJ98" i="17" s="1"/>
  <c r="AG99" i="19"/>
  <c r="AS99" i="19" s="1"/>
  <c r="AT99" i="19" s="1"/>
  <c r="AN147" i="19"/>
  <c r="AO147" i="19"/>
  <c r="AQ147" i="19" s="1"/>
  <c r="AG163" i="17"/>
  <c r="AG164" i="19"/>
  <c r="AS164" i="19" s="1"/>
  <c r="AT164" i="19" s="1"/>
  <c r="AN211" i="19"/>
  <c r="AO211" i="19"/>
  <c r="AQ211" i="19" s="1"/>
  <c r="AG226" i="17"/>
  <c r="BJ226" i="17" s="1"/>
  <c r="AG227" i="19"/>
  <c r="AS227" i="19" s="1"/>
  <c r="AT227" i="19" s="1"/>
  <c r="AO274" i="19"/>
  <c r="AQ274" i="19" s="1"/>
  <c r="AN274" i="19"/>
  <c r="AG287" i="17"/>
  <c r="BJ287" i="17" s="1"/>
  <c r="AG288" i="19"/>
  <c r="AS288" i="19" s="1"/>
  <c r="AT288" i="19" s="1"/>
  <c r="AN337" i="19"/>
  <c r="AO337" i="19"/>
  <c r="AQ337" i="19" s="1"/>
  <c r="AG352" i="17"/>
  <c r="BJ352" i="17" s="1"/>
  <c r="AG353" i="19"/>
  <c r="AO401" i="19"/>
  <c r="AQ401" i="19" s="1"/>
  <c r="AN401" i="19"/>
  <c r="AG393" i="17"/>
  <c r="BJ393" i="17" s="1"/>
  <c r="AG394" i="19"/>
  <c r="AN364" i="19"/>
  <c r="AO364" i="19"/>
  <c r="AQ364" i="19" s="1"/>
  <c r="AG374" i="17"/>
  <c r="AG375" i="19"/>
  <c r="AS375" i="19" s="1"/>
  <c r="AT375" i="19" s="1"/>
  <c r="AO35" i="19"/>
  <c r="AQ35" i="19" s="1"/>
  <c r="AN35" i="19"/>
  <c r="AG50" i="17"/>
  <c r="BJ50" i="17" s="1"/>
  <c r="AG51" i="19"/>
  <c r="AS51" i="19" s="1"/>
  <c r="AT51" i="19" s="1"/>
  <c r="AO101" i="19"/>
  <c r="AQ101" i="19" s="1"/>
  <c r="AN101" i="19"/>
  <c r="AG115" i="17"/>
  <c r="BJ115" i="17" s="1"/>
  <c r="AG116" i="19"/>
  <c r="AS116" i="19" s="1"/>
  <c r="AT116" i="19" s="1"/>
  <c r="AO163" i="19"/>
  <c r="AQ163" i="19" s="1"/>
  <c r="AN163" i="19"/>
  <c r="AG178" i="17"/>
  <c r="AG179" i="19"/>
  <c r="AS179" i="19" s="1"/>
  <c r="AT179" i="19" s="1"/>
  <c r="AO235" i="19"/>
  <c r="AQ235" i="19" s="1"/>
  <c r="AN235" i="19"/>
  <c r="AG250" i="17"/>
  <c r="AG251" i="19"/>
  <c r="AS251" i="19" s="1"/>
  <c r="AT251" i="19" s="1"/>
  <c r="AN308" i="19"/>
  <c r="AO308" i="19"/>
  <c r="AQ308" i="19" s="1"/>
  <c r="AG321" i="17"/>
  <c r="AG322" i="19"/>
  <c r="AS322" i="19" s="1"/>
  <c r="AT322" i="19" s="1"/>
  <c r="AO370" i="19"/>
  <c r="AQ370" i="19" s="1"/>
  <c r="AN370" i="19"/>
  <c r="AG386" i="17"/>
  <c r="BJ386" i="17" s="1"/>
  <c r="AG387" i="19"/>
  <c r="AS387" i="19" s="1"/>
  <c r="AT387" i="19" s="1"/>
  <c r="AN133" i="19"/>
  <c r="AO133" i="19"/>
  <c r="AQ133" i="19" s="1"/>
  <c r="AN134" i="19"/>
  <c r="AO134" i="19"/>
  <c r="AQ134" i="19" s="1"/>
  <c r="AG237" i="17"/>
  <c r="AG238" i="19"/>
  <c r="AO405" i="19"/>
  <c r="AQ405" i="19" s="1"/>
  <c r="AN405" i="19"/>
  <c r="AG391" i="17"/>
  <c r="AG392" i="19"/>
  <c r="AG317" i="17"/>
  <c r="AG318" i="19"/>
  <c r="AS318" i="19" s="1"/>
  <c r="AT318" i="19" s="1"/>
  <c r="AN28" i="19"/>
  <c r="AO28" i="19"/>
  <c r="AQ28" i="19" s="1"/>
  <c r="AG43" i="17"/>
  <c r="BJ43" i="17" s="1"/>
  <c r="AG44" i="19"/>
  <c r="AN98" i="19"/>
  <c r="AO98" i="19"/>
  <c r="AQ98" i="19" s="1"/>
  <c r="AG116" i="17"/>
  <c r="BJ116" i="17" s="1"/>
  <c r="AG117" i="19"/>
  <c r="AS117" i="19" s="1"/>
  <c r="AT117" i="19" s="1"/>
  <c r="AO165" i="19"/>
  <c r="AQ165" i="19" s="1"/>
  <c r="AN165" i="19"/>
  <c r="AG180" i="17"/>
  <c r="AG181" i="19"/>
  <c r="AO230" i="19"/>
  <c r="AQ230" i="19" s="1"/>
  <c r="AN230" i="19"/>
  <c r="AG243" i="17"/>
  <c r="BJ243" i="17" s="1"/>
  <c r="AG244" i="19"/>
  <c r="AS244" i="19" s="1"/>
  <c r="AT244" i="19" s="1"/>
  <c r="AO334" i="19"/>
  <c r="AQ334" i="19" s="1"/>
  <c r="AN334" i="19"/>
  <c r="AG395" i="17"/>
  <c r="BJ395" i="17" s="1"/>
  <c r="AG396" i="19"/>
  <c r="AS396" i="19" s="1"/>
  <c r="AT396" i="19" s="1"/>
  <c r="AO37" i="19"/>
  <c r="AQ37" i="19" s="1"/>
  <c r="AN37" i="19"/>
  <c r="AG52" i="17"/>
  <c r="AG53" i="19"/>
  <c r="AS53" i="19" s="1"/>
  <c r="AT53" i="19" s="1"/>
  <c r="AO102" i="19"/>
  <c r="AQ102" i="19" s="1"/>
  <c r="AN102" i="19"/>
  <c r="AG117" i="17"/>
  <c r="BJ117" i="17" s="1"/>
  <c r="AG118" i="19"/>
  <c r="AS118" i="19" s="1"/>
  <c r="AT118" i="19" s="1"/>
  <c r="AO166" i="19"/>
  <c r="AQ166" i="19" s="1"/>
  <c r="AN166" i="19"/>
  <c r="AG181" i="17"/>
  <c r="AG182" i="19"/>
  <c r="AS182" i="19" s="1"/>
  <c r="AT182" i="19" s="1"/>
  <c r="AN229" i="19"/>
  <c r="AO229" i="19"/>
  <c r="AQ229" i="19" s="1"/>
  <c r="AG244" i="17"/>
  <c r="AG245" i="19"/>
  <c r="AS245" i="19" s="1"/>
  <c r="AT245" i="19" s="1"/>
  <c r="AO294" i="19"/>
  <c r="AQ294" i="19" s="1"/>
  <c r="AN294" i="19"/>
  <c r="AG306" i="17"/>
  <c r="AG307" i="19"/>
  <c r="AS307" i="19" s="1"/>
  <c r="AT307" i="19" s="1"/>
  <c r="AN356" i="19"/>
  <c r="AO356" i="19"/>
  <c r="AQ356" i="19" s="1"/>
  <c r="AG6" i="17"/>
  <c r="AG7" i="19"/>
  <c r="AN54" i="19"/>
  <c r="AO54" i="19"/>
  <c r="AQ54" i="19" s="1"/>
  <c r="AG77" i="17"/>
  <c r="BJ77" i="17" s="1"/>
  <c r="AG78" i="19"/>
  <c r="AS78" i="19" s="1"/>
  <c r="AT78" i="19" s="1"/>
  <c r="AN127" i="19"/>
  <c r="AO127" i="19"/>
  <c r="AQ127" i="19" s="1"/>
  <c r="AG142" i="17"/>
  <c r="AG143" i="19"/>
  <c r="AO201" i="19"/>
  <c r="AQ201" i="19" s="1"/>
  <c r="AN201" i="19"/>
  <c r="AG206" i="17"/>
  <c r="AG207" i="19"/>
  <c r="AO254" i="19"/>
  <c r="AQ254" i="19" s="1"/>
  <c r="AN254" i="19"/>
  <c r="AG269" i="17"/>
  <c r="BJ269" i="17" s="1"/>
  <c r="AG270" i="19"/>
  <c r="AN317" i="19"/>
  <c r="AO317" i="19"/>
  <c r="AQ317" i="19" s="1"/>
  <c r="AG329" i="17"/>
  <c r="BJ329" i="17" s="1"/>
  <c r="AG330" i="19"/>
  <c r="AS330" i="19" s="1"/>
  <c r="AT330" i="19" s="1"/>
  <c r="AG21" i="17"/>
  <c r="BJ21" i="17" s="1"/>
  <c r="AG22" i="19"/>
  <c r="AS22" i="19" s="1"/>
  <c r="AT22" i="19" s="1"/>
  <c r="AO71" i="19"/>
  <c r="AQ71" i="19" s="1"/>
  <c r="AN71" i="19"/>
  <c r="AG86" i="17"/>
  <c r="BJ86" i="17" s="1"/>
  <c r="AG87" i="19"/>
  <c r="AN136" i="19"/>
  <c r="AO136" i="19"/>
  <c r="AQ136" i="19" s="1"/>
  <c r="AG151" i="17"/>
  <c r="AG152" i="19"/>
  <c r="AO195" i="19"/>
  <c r="AQ195" i="19" s="1"/>
  <c r="AN195" i="19"/>
  <c r="AG215" i="17"/>
  <c r="BJ215" i="17" s="1"/>
  <c r="AG216" i="19"/>
  <c r="AS216" i="19" s="1"/>
  <c r="AT216" i="19" s="1"/>
  <c r="AO263" i="19"/>
  <c r="AQ263" i="19" s="1"/>
  <c r="AN263" i="19"/>
  <c r="AO301" i="19"/>
  <c r="AQ301" i="19" s="1"/>
  <c r="AN301" i="19"/>
  <c r="AG318" i="17"/>
  <c r="BJ318" i="17" s="1"/>
  <c r="AG319" i="19"/>
  <c r="AS319" i="19" s="1"/>
  <c r="AT319" i="19" s="1"/>
  <c r="AO366" i="19"/>
  <c r="AQ366" i="19" s="1"/>
  <c r="AN366" i="19"/>
  <c r="AG381" i="17"/>
  <c r="AG382" i="19"/>
  <c r="AN15" i="19"/>
  <c r="AO15" i="19"/>
  <c r="AQ15" i="19" s="1"/>
  <c r="AG31" i="17"/>
  <c r="BJ31" i="17" s="1"/>
  <c r="AG32" i="19"/>
  <c r="AS32" i="19" s="1"/>
  <c r="AT32" i="19" s="1"/>
  <c r="AO80" i="19"/>
  <c r="AQ80" i="19" s="1"/>
  <c r="AN80" i="19"/>
  <c r="AG95" i="17"/>
  <c r="AG96" i="19"/>
  <c r="AO145" i="19"/>
  <c r="AQ145" i="19" s="1"/>
  <c r="AN145" i="19"/>
  <c r="AG160" i="17"/>
  <c r="BJ160" i="17" s="1"/>
  <c r="AG161" i="19"/>
  <c r="AS161" i="19" s="1"/>
  <c r="AT161" i="19" s="1"/>
  <c r="AN209" i="19"/>
  <c r="AO209" i="19"/>
  <c r="AQ209" i="19" s="1"/>
  <c r="AG224" i="17"/>
  <c r="BJ224" i="17" s="1"/>
  <c r="AG225" i="19"/>
  <c r="AS225" i="19" s="1"/>
  <c r="AT225" i="19" s="1"/>
  <c r="AN272" i="19"/>
  <c r="AO272" i="19"/>
  <c r="AQ272" i="19" s="1"/>
  <c r="AG289" i="17"/>
  <c r="BJ289" i="17" s="1"/>
  <c r="AG290" i="19"/>
  <c r="AS290" i="19" s="1"/>
  <c r="AT290" i="19" s="1"/>
  <c r="AO335" i="19"/>
  <c r="AQ335" i="19" s="1"/>
  <c r="AN335" i="19"/>
  <c r="AG350" i="17"/>
  <c r="BJ350" i="17" s="1"/>
  <c r="AG351" i="19"/>
  <c r="AS351" i="19" s="1"/>
  <c r="AT351" i="19" s="1"/>
  <c r="AN6" i="19"/>
  <c r="AO6" i="19"/>
  <c r="AQ6" i="19" s="1"/>
  <c r="AG24" i="17"/>
  <c r="BJ24" i="17" s="1"/>
  <c r="AG25" i="19"/>
  <c r="AS25" i="19" s="1"/>
  <c r="AT25" i="19" s="1"/>
  <c r="AN73" i="19"/>
  <c r="AO73" i="19"/>
  <c r="AQ73" i="19" s="1"/>
  <c r="AG88" i="17"/>
  <c r="BJ88" i="17" s="1"/>
  <c r="AG89" i="19"/>
  <c r="AS89" i="19" s="1"/>
  <c r="AT89" i="19" s="1"/>
  <c r="AO138" i="19"/>
  <c r="AQ138" i="19" s="1"/>
  <c r="AN138" i="19"/>
  <c r="AG152" i="17"/>
  <c r="AG153" i="19"/>
  <c r="AO399" i="19"/>
  <c r="AQ399" i="19" s="1"/>
  <c r="AN399" i="19"/>
  <c r="AG217" i="17"/>
  <c r="AG218" i="19"/>
  <c r="AS218" i="19" s="1"/>
  <c r="AT218" i="19" s="1"/>
  <c r="AN264" i="19"/>
  <c r="AO264" i="19"/>
  <c r="AQ264" i="19" s="1"/>
  <c r="AG283" i="17"/>
  <c r="BJ283" i="17" s="1"/>
  <c r="AG284" i="19"/>
  <c r="AS284" i="19" s="1"/>
  <c r="AT284" i="19" s="1"/>
  <c r="AN328" i="19"/>
  <c r="AO328" i="19"/>
  <c r="AQ328" i="19" s="1"/>
  <c r="AG343" i="17"/>
  <c r="AG344" i="19"/>
  <c r="AN391" i="19"/>
  <c r="AO391" i="19"/>
  <c r="AQ391" i="19" s="1"/>
  <c r="AG406" i="17"/>
  <c r="BJ406" i="17" s="1"/>
  <c r="AG407" i="19"/>
  <c r="AS407" i="19" s="1"/>
  <c r="AT407" i="19" s="1"/>
  <c r="AN380" i="19"/>
  <c r="AO380" i="19"/>
  <c r="AQ380" i="19" s="1"/>
  <c r="AG403" i="17"/>
  <c r="AG404" i="19"/>
  <c r="AS404" i="19" s="1"/>
  <c r="AT404" i="19" s="1"/>
  <c r="AO42" i="19"/>
  <c r="AQ42" i="19" s="1"/>
  <c r="AN42" i="19"/>
  <c r="AG58" i="17"/>
  <c r="AG59" i="19"/>
  <c r="AS59" i="19" s="1"/>
  <c r="AT59" i="19" s="1"/>
  <c r="AO107" i="19"/>
  <c r="AQ107" i="19" s="1"/>
  <c r="AN107" i="19"/>
  <c r="AG122" i="17"/>
  <c r="BJ122" i="17" s="1"/>
  <c r="AG123" i="19"/>
  <c r="AS123" i="19" s="1"/>
  <c r="AT123" i="19" s="1"/>
  <c r="AO171" i="19"/>
  <c r="AQ171" i="19" s="1"/>
  <c r="AN171" i="19"/>
  <c r="AG186" i="17"/>
  <c r="BJ186" i="17" s="1"/>
  <c r="AG187" i="19"/>
  <c r="AS187" i="19" s="1"/>
  <c r="AT187" i="19" s="1"/>
  <c r="AO234" i="19"/>
  <c r="AQ234" i="19" s="1"/>
  <c r="AN234" i="19"/>
  <c r="AG249" i="17"/>
  <c r="BJ249" i="17" s="1"/>
  <c r="AG250" i="19"/>
  <c r="AS250" i="19" s="1"/>
  <c r="AT250" i="19" s="1"/>
  <c r="AN297" i="19"/>
  <c r="AO297" i="19"/>
  <c r="AQ297" i="19" s="1"/>
  <c r="AG312" i="17"/>
  <c r="AG313" i="19"/>
  <c r="AO361" i="19"/>
  <c r="AQ361" i="19" s="1"/>
  <c r="AN361" i="19"/>
  <c r="AG376" i="17"/>
  <c r="BJ376" i="17" s="1"/>
  <c r="AG377" i="19"/>
  <c r="AS377" i="19" s="1"/>
  <c r="AT377" i="19" s="1"/>
  <c r="AN408" i="19"/>
  <c r="AO408" i="19"/>
  <c r="AQ408" i="19" s="1"/>
  <c r="AG314" i="17"/>
  <c r="BJ314" i="17" s="1"/>
  <c r="AG315" i="19"/>
  <c r="AS315" i="19" s="1"/>
  <c r="AT315" i="19" s="1"/>
  <c r="AN397" i="19"/>
  <c r="AO397" i="19"/>
  <c r="AQ397" i="19" s="1"/>
  <c r="AG10" i="17"/>
  <c r="BJ10" i="17" s="1"/>
  <c r="AG11" i="19"/>
  <c r="AS11" i="19" s="1"/>
  <c r="AT11" i="19" s="1"/>
  <c r="AN60" i="19"/>
  <c r="AO60" i="19"/>
  <c r="AQ60" i="19" s="1"/>
  <c r="AG74" i="17"/>
  <c r="BJ74" i="17" s="1"/>
  <c r="AG75" i="19"/>
  <c r="AS75" i="19" s="1"/>
  <c r="AT75" i="19" s="1"/>
  <c r="AO124" i="19"/>
  <c r="AQ124" i="19" s="1"/>
  <c r="AN124" i="19"/>
  <c r="AG139" i="17"/>
  <c r="BJ139" i="17" s="1"/>
  <c r="AG140" i="19"/>
  <c r="AS140" i="19" s="1"/>
  <c r="AT140" i="19" s="1"/>
  <c r="AO188" i="19"/>
  <c r="AQ188" i="19" s="1"/>
  <c r="AN188" i="19"/>
  <c r="AG198" i="17"/>
  <c r="BJ198" i="17" s="1"/>
  <c r="AG199" i="19"/>
  <c r="AS199" i="19" s="1"/>
  <c r="AT199" i="19" s="1"/>
  <c r="AN259" i="19"/>
  <c r="AO259" i="19"/>
  <c r="AQ259" i="19" s="1"/>
  <c r="AG274" i="17"/>
  <c r="BJ274" i="17" s="1"/>
  <c r="AG275" i="19"/>
  <c r="AS275" i="19" s="1"/>
  <c r="AT275" i="19" s="1"/>
  <c r="AN333" i="19"/>
  <c r="AO333" i="19"/>
  <c r="AQ333" i="19" s="1"/>
  <c r="AG345" i="17"/>
  <c r="BJ345" i="17" s="1"/>
  <c r="AG346" i="19"/>
  <c r="AS346" i="19" s="1"/>
  <c r="AT346" i="19" s="1"/>
  <c r="AO291" i="19"/>
  <c r="AQ291" i="19" s="1"/>
  <c r="AN291" i="19"/>
  <c r="AG354" i="17"/>
  <c r="BJ354" i="17" s="1"/>
  <c r="AG355" i="19"/>
  <c r="AS355" i="19" s="1"/>
  <c r="AT355" i="19" s="1"/>
  <c r="AN261" i="19"/>
  <c r="AO261" i="19"/>
  <c r="AQ261" i="19" s="1"/>
  <c r="AO349" i="19"/>
  <c r="AQ349" i="19" s="1"/>
  <c r="AN349" i="19"/>
  <c r="AG364" i="17"/>
  <c r="BJ364" i="17" s="1"/>
  <c r="AG365" i="19"/>
  <c r="AS365" i="19" s="1"/>
  <c r="AT365" i="19" s="1"/>
  <c r="AN303" i="19"/>
  <c r="AO303" i="19"/>
  <c r="AQ303" i="19" s="1"/>
  <c r="AG4" i="17"/>
  <c r="AG5" i="19"/>
  <c r="AO52" i="19"/>
  <c r="AQ52" i="19" s="1"/>
  <c r="AN52" i="19"/>
  <c r="AG75" i="17"/>
  <c r="BJ75" i="17" s="1"/>
  <c r="AG76" i="19"/>
  <c r="AS76" i="19" s="1"/>
  <c r="AT76" i="19" s="1"/>
  <c r="AO125" i="19"/>
  <c r="AQ125" i="19" s="1"/>
  <c r="AN125" i="19"/>
  <c r="AG140" i="17"/>
  <c r="BJ140" i="17" s="1"/>
  <c r="AG141" i="19"/>
  <c r="AS141" i="19" s="1"/>
  <c r="AT141" i="19" s="1"/>
  <c r="AO190" i="19"/>
  <c r="AQ190" i="19" s="1"/>
  <c r="AN190" i="19"/>
  <c r="AG201" i="17"/>
  <c r="BJ201" i="17" s="1"/>
  <c r="AG202" i="19"/>
  <c r="AS202" i="19" s="1"/>
  <c r="AT202" i="19" s="1"/>
  <c r="AN252" i="19"/>
  <c r="AO252" i="19"/>
  <c r="AQ252" i="19" s="1"/>
  <c r="AG267" i="17"/>
  <c r="AG268" i="19"/>
  <c r="AO383" i="19"/>
  <c r="AQ383" i="19" s="1"/>
  <c r="AN383" i="19"/>
  <c r="AG18" i="17"/>
  <c r="BJ18" i="17" s="1"/>
  <c r="AG19" i="19"/>
  <c r="AS19" i="19" s="1"/>
  <c r="AT19" i="19" s="1"/>
  <c r="AN62" i="19"/>
  <c r="AO62" i="19"/>
  <c r="AQ62" i="19" s="1"/>
  <c r="AG76" i="17"/>
  <c r="BJ76" i="17" s="1"/>
  <c r="AG77" i="19"/>
  <c r="AS77" i="19" s="1"/>
  <c r="AT77" i="19" s="1"/>
  <c r="AO126" i="19"/>
  <c r="AQ126" i="19" s="1"/>
  <c r="AN126" i="19"/>
  <c r="AG141" i="17"/>
  <c r="BJ141" i="17" s="1"/>
  <c r="AG142" i="19"/>
  <c r="AS142" i="19" s="1"/>
  <c r="AT142" i="19" s="1"/>
  <c r="AO189" i="19"/>
  <c r="AQ189" i="19" s="1"/>
  <c r="AN189" i="19"/>
  <c r="AG197" i="17"/>
  <c r="AG198" i="19"/>
  <c r="AS198" i="19" s="1"/>
  <c r="AT198" i="19" s="1"/>
  <c r="AN253" i="19"/>
  <c r="AO253" i="19"/>
  <c r="AQ253" i="19" s="1"/>
  <c r="AG268" i="17"/>
  <c r="BJ268" i="17" s="1"/>
  <c r="AG269" i="19"/>
  <c r="AS269" i="19" s="1"/>
  <c r="AT269" i="19" s="1"/>
  <c r="AN316" i="19"/>
  <c r="AO316" i="19"/>
  <c r="AQ316" i="19" s="1"/>
  <c r="AG331" i="17"/>
  <c r="AG332" i="19"/>
  <c r="AO13" i="19"/>
  <c r="AQ13" i="19" s="1"/>
  <c r="AN13" i="19"/>
  <c r="AG29" i="17"/>
  <c r="BJ29" i="17" s="1"/>
  <c r="AG30" i="19"/>
  <c r="AS30" i="19" s="1"/>
  <c r="AT30" i="19" s="1"/>
  <c r="AO86" i="19"/>
  <c r="AQ86" i="19" s="1"/>
  <c r="AN86" i="19"/>
  <c r="AG102" i="17"/>
  <c r="AG103" i="19"/>
  <c r="AS103" i="19" s="1"/>
  <c r="AT103" i="19" s="1"/>
  <c r="AN151" i="19"/>
  <c r="AO151" i="19"/>
  <c r="AQ151" i="19" s="1"/>
  <c r="AG169" i="17"/>
  <c r="BJ169" i="17" s="1"/>
  <c r="AG170" i="19"/>
  <c r="AS170" i="19" s="1"/>
  <c r="AT170" i="19" s="1"/>
  <c r="AO215" i="19"/>
  <c r="AQ215" i="19" s="1"/>
  <c r="AN215" i="19"/>
  <c r="AG227" i="17"/>
  <c r="AG228" i="19"/>
  <c r="AS228" i="19" s="1"/>
  <c r="AT228" i="19" s="1"/>
  <c r="AN281" i="19"/>
  <c r="AO281" i="19"/>
  <c r="AQ281" i="19" s="1"/>
  <c r="AG292" i="17"/>
  <c r="BJ292" i="17" s="1"/>
  <c r="AG293" i="19"/>
  <c r="AS293" i="19" s="1"/>
  <c r="AT293" i="19" s="1"/>
  <c r="AN341" i="19"/>
  <c r="AO341" i="19"/>
  <c r="AQ341" i="19" s="1"/>
  <c r="AG356" i="17"/>
  <c r="AG357" i="19"/>
  <c r="AP3" i="19"/>
  <c r="AO3" i="19"/>
  <c r="AN3" i="19"/>
  <c r="AN31" i="19"/>
  <c r="AO31" i="19"/>
  <c r="AQ31" i="19" s="1"/>
  <c r="AG46" i="17"/>
  <c r="BJ46" i="17" s="1"/>
  <c r="AG47" i="19"/>
  <c r="AO100" i="19"/>
  <c r="AQ100" i="19" s="1"/>
  <c r="AN100" i="19"/>
  <c r="AG111" i="17"/>
  <c r="BJ111" i="17" s="1"/>
  <c r="AG112" i="19"/>
  <c r="AS112" i="19" s="1"/>
  <c r="AT112" i="19" s="1"/>
  <c r="AN160" i="19"/>
  <c r="AO160" i="19"/>
  <c r="AQ160" i="19" s="1"/>
  <c r="AG176" i="17"/>
  <c r="BJ176" i="17" s="1"/>
  <c r="AG177" i="19"/>
  <c r="AN224" i="19"/>
  <c r="AO224" i="19"/>
  <c r="AQ224" i="19" s="1"/>
  <c r="AG238" i="17"/>
  <c r="AG239" i="19"/>
  <c r="AS239" i="19" s="1"/>
  <c r="AT239" i="19" s="1"/>
  <c r="AG276" i="17"/>
  <c r="BJ276" i="17" s="1"/>
  <c r="AG277" i="19"/>
  <c r="AS277" i="19" s="1"/>
  <c r="AT277" i="19" s="1"/>
  <c r="AO326" i="19"/>
  <c r="AQ326" i="19" s="1"/>
  <c r="AN326" i="19"/>
  <c r="AG341" i="17"/>
  <c r="AG342" i="19"/>
  <c r="AS342" i="19" s="1"/>
  <c r="AT342" i="19" s="1"/>
  <c r="AN390" i="19"/>
  <c r="AO390" i="19"/>
  <c r="AQ390" i="19" s="1"/>
  <c r="AG366" i="17"/>
  <c r="BJ366" i="17" s="1"/>
  <c r="AG367" i="19"/>
  <c r="AS367" i="19" s="1"/>
  <c r="AT367" i="19" s="1"/>
  <c r="AO40" i="19"/>
  <c r="AQ40" i="19" s="1"/>
  <c r="AN40" i="19"/>
  <c r="AG56" i="17"/>
  <c r="BJ56" i="17" s="1"/>
  <c r="AG57" i="19"/>
  <c r="AS57" i="19" s="1"/>
  <c r="AT57" i="19" s="1"/>
  <c r="AO106" i="19"/>
  <c r="AQ106" i="19" s="1"/>
  <c r="AN106" i="19"/>
  <c r="AG120" i="17"/>
  <c r="BJ120" i="17" s="1"/>
  <c r="AG121" i="19"/>
  <c r="AS121" i="19" s="1"/>
  <c r="AT121" i="19" s="1"/>
  <c r="AN168" i="19"/>
  <c r="AO168" i="19"/>
  <c r="AQ168" i="19" s="1"/>
  <c r="AG185" i="17"/>
  <c r="AG186" i="19"/>
  <c r="AS186" i="19" s="1"/>
  <c r="AT186" i="19" s="1"/>
  <c r="AN232" i="19"/>
  <c r="AO232" i="19"/>
  <c r="AQ232" i="19" s="1"/>
  <c r="AG247" i="17"/>
  <c r="BJ247" i="17" s="1"/>
  <c r="AG248" i="19"/>
  <c r="AS248" i="19" s="1"/>
  <c r="AT248" i="19" s="1"/>
  <c r="AN295" i="19"/>
  <c r="AO295" i="19"/>
  <c r="AQ295" i="19" s="1"/>
  <c r="AG310" i="17"/>
  <c r="BJ310" i="17" s="1"/>
  <c r="AG311" i="19"/>
  <c r="AS311" i="19" s="1"/>
  <c r="AT311" i="19" s="1"/>
  <c r="AN359" i="19"/>
  <c r="AO359" i="19"/>
  <c r="AQ359" i="19" s="1"/>
  <c r="AO33" i="19"/>
  <c r="AQ33" i="19" s="1"/>
  <c r="AN33" i="19"/>
  <c r="AG48" i="17"/>
  <c r="BJ48" i="17" s="1"/>
  <c r="AG49" i="19"/>
  <c r="AO97" i="19"/>
  <c r="AQ97" i="19" s="1"/>
  <c r="AN97" i="19"/>
  <c r="AG113" i="17"/>
  <c r="BJ113" i="17" s="1"/>
  <c r="AG114" i="19"/>
  <c r="AS114" i="19" s="1"/>
  <c r="AT114" i="19" s="1"/>
  <c r="AN162" i="19"/>
  <c r="AO162" i="19"/>
  <c r="AQ162" i="19" s="1"/>
  <c r="AG177" i="17"/>
  <c r="BJ177" i="17" s="1"/>
  <c r="AG178" i="19"/>
  <c r="AS178" i="19" s="1"/>
  <c r="AT178" i="19" s="1"/>
  <c r="AN226" i="19"/>
  <c r="AO226" i="19"/>
  <c r="AQ226" i="19" s="1"/>
  <c r="AG240" i="17"/>
  <c r="BJ240" i="17" s="1"/>
  <c r="AG241" i="19"/>
  <c r="AS241" i="19" s="1"/>
  <c r="AT241" i="19" s="1"/>
  <c r="AO289" i="19"/>
  <c r="AQ289" i="19" s="1"/>
  <c r="AN289" i="19"/>
  <c r="AG303" i="17"/>
  <c r="BJ303" i="17" s="1"/>
  <c r="AG304" i="19"/>
  <c r="AS304" i="19" s="1"/>
  <c r="AT304" i="19" s="1"/>
  <c r="AN352" i="19"/>
  <c r="AO352" i="19"/>
  <c r="AQ352" i="19" s="1"/>
  <c r="AG367" i="17"/>
  <c r="BJ367" i="17" s="1"/>
  <c r="AG368" i="19"/>
  <c r="AS368" i="19" s="1"/>
  <c r="AT368" i="19" s="1"/>
  <c r="AO402" i="19"/>
  <c r="AQ402" i="19" s="1"/>
  <c r="AN402" i="19"/>
  <c r="AG338" i="17"/>
  <c r="BJ338" i="17" s="1"/>
  <c r="AG339" i="19"/>
  <c r="AS339" i="19" s="1"/>
  <c r="AT339" i="19" s="1"/>
  <c r="AO406" i="19"/>
  <c r="AQ406" i="19" s="1"/>
  <c r="AN406" i="19"/>
  <c r="AG15" i="17"/>
  <c r="AG16" i="19"/>
  <c r="AS16" i="19" s="1"/>
  <c r="AT16" i="19" s="1"/>
  <c r="AO65" i="19"/>
  <c r="AQ65" i="19" s="1"/>
  <c r="AN65" i="19"/>
  <c r="AG81" i="17"/>
  <c r="AG82" i="19"/>
  <c r="AS82" i="19" s="1"/>
  <c r="AT82" i="19" s="1"/>
  <c r="AO131" i="19"/>
  <c r="AQ131" i="19" s="1"/>
  <c r="AN131" i="19"/>
  <c r="AG146" i="17"/>
  <c r="AG147" i="19"/>
  <c r="AS147" i="19" s="1"/>
  <c r="AT147" i="19" s="1"/>
  <c r="AN398" i="19"/>
  <c r="AO398" i="19"/>
  <c r="AQ398" i="19" s="1"/>
  <c r="AG210" i="17"/>
  <c r="BJ210" i="17" s="1"/>
  <c r="AG211" i="19"/>
  <c r="AS211" i="19" s="1"/>
  <c r="AT211" i="19" s="1"/>
  <c r="AO258" i="19"/>
  <c r="AQ258" i="19" s="1"/>
  <c r="AN258" i="19"/>
  <c r="AG273" i="17"/>
  <c r="BJ273" i="17" s="1"/>
  <c r="AG274" i="19"/>
  <c r="AS274" i="19" s="1"/>
  <c r="AT274" i="19" s="1"/>
  <c r="AN321" i="19"/>
  <c r="AO321" i="19"/>
  <c r="AQ321" i="19" s="1"/>
  <c r="AG336" i="17"/>
  <c r="BJ336" i="17" s="1"/>
  <c r="AG337" i="19"/>
  <c r="AN384" i="19"/>
  <c r="AO384" i="19"/>
  <c r="AQ384" i="19" s="1"/>
  <c r="AG400" i="17"/>
  <c r="BJ400" i="17" s="1"/>
  <c r="AG401" i="19"/>
  <c r="AS401" i="19" s="1"/>
  <c r="AT401" i="19" s="1"/>
  <c r="AN347" i="19"/>
  <c r="AO347" i="19"/>
  <c r="AQ347" i="19" s="1"/>
  <c r="AG363" i="17"/>
  <c r="BJ363" i="17" s="1"/>
  <c r="AG364" i="19"/>
  <c r="AS364" i="19" s="1"/>
  <c r="AT364" i="19" s="1"/>
  <c r="AO17" i="19"/>
  <c r="AQ17" i="19" s="1"/>
  <c r="AN17" i="19"/>
  <c r="AG34" i="17"/>
  <c r="BJ34" i="17" s="1"/>
  <c r="AG35" i="19"/>
  <c r="AN83" i="19"/>
  <c r="AO83" i="19"/>
  <c r="AQ83" i="19" s="1"/>
  <c r="AG100" i="17"/>
  <c r="AG101" i="19"/>
  <c r="AN148" i="19"/>
  <c r="AO148" i="19"/>
  <c r="AQ148" i="19" s="1"/>
  <c r="AG162" i="17"/>
  <c r="AG163" i="19"/>
  <c r="AS163" i="19" s="1"/>
  <c r="AT163" i="19" s="1"/>
  <c r="AN212" i="19"/>
  <c r="AO212" i="19"/>
  <c r="AQ212" i="19" s="1"/>
  <c r="AG234" i="17"/>
  <c r="BJ234" i="17" s="1"/>
  <c r="AG235" i="19"/>
  <c r="AN276" i="19"/>
  <c r="AO276" i="19"/>
  <c r="AQ276" i="19" s="1"/>
  <c r="AG307" i="17"/>
  <c r="AG308" i="19"/>
  <c r="AS308" i="19" s="1"/>
  <c r="AT308" i="19" s="1"/>
  <c r="AO354" i="19"/>
  <c r="AQ354" i="19" s="1"/>
  <c r="AN354" i="19"/>
  <c r="AG369" i="17"/>
  <c r="BJ369" i="17" s="1"/>
  <c r="AG370" i="19"/>
  <c r="AS370" i="19" s="1"/>
  <c r="AT370" i="19" s="1"/>
  <c r="AN376" i="19"/>
  <c r="AO376" i="19"/>
  <c r="AQ376" i="19" s="1"/>
  <c r="AN12" i="19"/>
  <c r="AO12" i="19"/>
  <c r="AQ12" i="19" s="1"/>
  <c r="AG27" i="17"/>
  <c r="AG28" i="19"/>
  <c r="AO84" i="19"/>
  <c r="AQ84" i="19" s="1"/>
  <c r="AN84" i="19"/>
  <c r="AG97" i="17"/>
  <c r="AG98" i="19"/>
  <c r="AS98" i="19" s="1"/>
  <c r="AT98" i="19" s="1"/>
  <c r="AN149" i="19"/>
  <c r="AO149" i="19"/>
  <c r="AQ149" i="19" s="1"/>
  <c r="AG164" i="17"/>
  <c r="BJ164" i="17" s="1"/>
  <c r="AG165" i="19"/>
  <c r="AS165" i="19" s="1"/>
  <c r="AT165" i="19" s="1"/>
  <c r="AN213" i="19"/>
  <c r="AO213" i="19"/>
  <c r="AQ213" i="19" s="1"/>
  <c r="AG229" i="17"/>
  <c r="BJ229" i="17" s="1"/>
  <c r="AG230" i="19"/>
  <c r="AS230" i="19" s="1"/>
  <c r="AT230" i="19" s="1"/>
  <c r="AO278" i="19"/>
  <c r="AQ278" i="19" s="1"/>
  <c r="AN278" i="19"/>
  <c r="AG333" i="17"/>
  <c r="BJ333" i="17" s="1"/>
  <c r="AG334" i="19"/>
  <c r="AS334" i="19" s="1"/>
  <c r="AT334" i="19" s="1"/>
  <c r="AO21" i="19"/>
  <c r="AQ21" i="19" s="1"/>
  <c r="AN21" i="19"/>
  <c r="AG36" i="17"/>
  <c r="AG37" i="19"/>
  <c r="AS37" i="19" s="1"/>
  <c r="AT37" i="19" s="1"/>
  <c r="AO85" i="19"/>
  <c r="AQ85" i="19" s="1"/>
  <c r="AN85" i="19"/>
  <c r="AG101" i="17"/>
  <c r="BJ101" i="17" s="1"/>
  <c r="AG102" i="19"/>
  <c r="AS102" i="19" s="1"/>
  <c r="AT102" i="19" s="1"/>
  <c r="AO150" i="19"/>
  <c r="AQ150" i="19" s="1"/>
  <c r="AN150" i="19"/>
  <c r="AG165" i="17"/>
  <c r="AG166" i="19"/>
  <c r="AS166" i="19" s="1"/>
  <c r="AT166" i="19" s="1"/>
  <c r="AN214" i="19"/>
  <c r="AO214" i="19"/>
  <c r="AQ214" i="19" s="1"/>
  <c r="AG228" i="17"/>
  <c r="BJ228" i="17" s="1"/>
  <c r="AG229" i="19"/>
  <c r="AS229" i="19" s="1"/>
  <c r="AT229" i="19" s="1"/>
  <c r="AO279" i="19"/>
  <c r="AQ279" i="19" s="1"/>
  <c r="AN279" i="19"/>
  <c r="AG293" i="17"/>
  <c r="BJ293" i="17" s="1"/>
  <c r="AG294" i="19"/>
  <c r="AS294" i="19" s="1"/>
  <c r="AT294" i="19" s="1"/>
  <c r="AN340" i="19"/>
  <c r="AO340" i="19"/>
  <c r="AQ340" i="19" s="1"/>
  <c r="AG355" i="17"/>
  <c r="AG356" i="19"/>
  <c r="AS356" i="19" s="1"/>
  <c r="AT356" i="19" s="1"/>
  <c r="AO38" i="19"/>
  <c r="AQ38" i="19" s="1"/>
  <c r="AN38" i="19"/>
  <c r="AG53" i="17"/>
  <c r="AG54" i="19"/>
  <c r="AS54" i="19" s="1"/>
  <c r="AT54" i="19" s="1"/>
  <c r="AO110" i="19"/>
  <c r="AQ110" i="19" s="1"/>
  <c r="AN110" i="19"/>
  <c r="AG126" i="17"/>
  <c r="BJ126" i="17" s="1"/>
  <c r="AG127" i="19"/>
  <c r="AS127" i="19" s="1"/>
  <c r="AT127" i="19" s="1"/>
  <c r="AN175" i="19"/>
  <c r="AO175" i="19"/>
  <c r="AQ175" i="19" s="1"/>
  <c r="AG200" i="17"/>
  <c r="BJ200" i="17" s="1"/>
  <c r="AG201" i="19"/>
  <c r="AS201" i="19" s="1"/>
  <c r="AT201" i="19" s="1"/>
  <c r="AO238" i="19"/>
  <c r="AQ238" i="19" s="1"/>
  <c r="AN238" i="19"/>
  <c r="AG253" i="17"/>
  <c r="BJ253" i="17" s="1"/>
  <c r="AG254" i="19"/>
  <c r="AS254" i="19" s="1"/>
  <c r="AT254" i="19" s="1"/>
  <c r="AN300" i="19"/>
  <c r="AO300" i="19"/>
  <c r="AQ300" i="19" s="1"/>
  <c r="AG316" i="17"/>
  <c r="BJ316" i="17" s="1"/>
  <c r="AG317" i="19"/>
  <c r="AS317" i="19" s="1"/>
  <c r="AT317" i="19" s="1"/>
  <c r="AN365" i="19"/>
  <c r="AO365" i="19"/>
  <c r="AQ365" i="19" s="1"/>
  <c r="AG2" i="17"/>
  <c r="AG3" i="19"/>
  <c r="AS3" i="19" s="1"/>
  <c r="AT3" i="19" s="1"/>
  <c r="AN55" i="19"/>
  <c r="AO55" i="19"/>
  <c r="AQ55" i="19" s="1"/>
  <c r="AG70" i="17"/>
  <c r="BJ70" i="17" s="1"/>
  <c r="AG71" i="19"/>
  <c r="AS71" i="19" s="1"/>
  <c r="AT71" i="19" s="1"/>
  <c r="AN120" i="19"/>
  <c r="AO120" i="19"/>
  <c r="AQ120" i="19" s="1"/>
  <c r="AG135" i="17"/>
  <c r="AG136" i="19"/>
  <c r="AS136" i="19" s="1"/>
  <c r="AT136" i="19" s="1"/>
  <c r="AN184" i="19"/>
  <c r="AO184" i="19"/>
  <c r="AQ184" i="19" s="1"/>
  <c r="AG194" i="17"/>
  <c r="BJ194" i="17" s="1"/>
  <c r="AG195" i="19"/>
  <c r="AS195" i="19" s="1"/>
  <c r="AT195" i="19" s="1"/>
  <c r="AO247" i="19"/>
  <c r="AQ247" i="19" s="1"/>
  <c r="AN247" i="19"/>
  <c r="AG262" i="17"/>
  <c r="BJ262" i="17" s="1"/>
  <c r="AG263" i="19"/>
  <c r="AS263" i="19" s="1"/>
  <c r="AT263" i="19" s="1"/>
  <c r="AN287" i="19"/>
  <c r="AO287" i="19"/>
  <c r="AQ287" i="19" s="1"/>
  <c r="AG300" i="17"/>
  <c r="BJ300" i="17" s="1"/>
  <c r="AG301" i="19"/>
  <c r="AS301" i="19" s="1"/>
  <c r="AT301" i="19" s="1"/>
  <c r="AO350" i="19"/>
  <c r="AQ350" i="19" s="1"/>
  <c r="AN350" i="19"/>
  <c r="AG365" i="17"/>
  <c r="BJ365" i="17" s="1"/>
  <c r="AG366" i="19"/>
  <c r="AS366" i="19" s="1"/>
  <c r="AT366" i="19" s="1"/>
  <c r="AN392" i="19"/>
  <c r="AO392" i="19"/>
  <c r="AQ392" i="19" s="1"/>
  <c r="AG14" i="17"/>
  <c r="AG15" i="19"/>
  <c r="AS15" i="19" s="1"/>
  <c r="AT15" i="19" s="1"/>
  <c r="AN66" i="19"/>
  <c r="AO66" i="19"/>
  <c r="AQ66" i="19" s="1"/>
  <c r="AG79" i="17"/>
  <c r="BJ79" i="17" s="1"/>
  <c r="AG80" i="19"/>
  <c r="AS80" i="19" s="1"/>
  <c r="AT80" i="19" s="1"/>
  <c r="AO129" i="19"/>
  <c r="AQ129" i="19" s="1"/>
  <c r="AN129" i="19"/>
  <c r="AG144" i="17"/>
  <c r="BJ144" i="17" s="1"/>
  <c r="AG145" i="19"/>
  <c r="AN203" i="19"/>
  <c r="AO203" i="19"/>
  <c r="AQ203" i="19" s="1"/>
  <c r="AG208" i="17"/>
  <c r="BJ208" i="17" s="1"/>
  <c r="AG209" i="19"/>
  <c r="AS209" i="19" s="1"/>
  <c r="AT209" i="19" s="1"/>
  <c r="AN256" i="19"/>
  <c r="AO256" i="19"/>
  <c r="AQ256" i="19" s="1"/>
  <c r="AG271" i="17"/>
  <c r="AG272" i="19"/>
  <c r="AO318" i="19"/>
  <c r="AQ318" i="19" s="1"/>
  <c r="AN318" i="19"/>
  <c r="AG334" i="17"/>
  <c r="BJ334" i="17" s="1"/>
  <c r="AG335" i="19"/>
  <c r="AS335" i="19" s="1"/>
  <c r="AT335" i="19" s="1"/>
  <c r="AG5" i="17"/>
  <c r="AG6" i="19"/>
  <c r="AS6" i="19" s="1"/>
  <c r="AT6" i="19" s="1"/>
  <c r="AO58" i="19"/>
  <c r="AQ58" i="19" s="1"/>
  <c r="AN58" i="19"/>
  <c r="AG72" i="17"/>
  <c r="BJ72" i="17" s="1"/>
  <c r="AG73" i="19"/>
  <c r="AS73" i="19" s="1"/>
  <c r="AT73" i="19" s="1"/>
  <c r="AO122" i="19"/>
  <c r="AQ122" i="19" s="1"/>
  <c r="AN122" i="19"/>
  <c r="AG137" i="17"/>
  <c r="AG138" i="19"/>
  <c r="AO185" i="19"/>
  <c r="AQ185" i="19" s="1"/>
  <c r="AN185" i="19"/>
  <c r="AN249" i="19"/>
  <c r="AO249" i="19"/>
  <c r="AQ249" i="19" s="1"/>
  <c r="AG263" i="17"/>
  <c r="BJ263" i="17" s="1"/>
  <c r="AG264" i="19"/>
  <c r="AS264" i="19" s="1"/>
  <c r="AT264" i="19" s="1"/>
  <c r="AN312" i="19"/>
  <c r="AO312" i="19"/>
  <c r="AQ312" i="19" s="1"/>
  <c r="AG327" i="17"/>
  <c r="BJ327" i="17" s="1"/>
  <c r="AG328" i="19"/>
  <c r="AN372" i="19"/>
  <c r="AO372" i="19"/>
  <c r="AQ372" i="19" s="1"/>
  <c r="AG390" i="17"/>
  <c r="AG391" i="19"/>
  <c r="AS391" i="19" s="1"/>
  <c r="AT391" i="19" s="1"/>
  <c r="AN363" i="19"/>
  <c r="AO363" i="19"/>
  <c r="AQ363" i="19" s="1"/>
  <c r="AG379" i="17"/>
  <c r="BJ379" i="17" s="1"/>
  <c r="AG380" i="19"/>
  <c r="AS380" i="19" s="1"/>
  <c r="AT380" i="19" s="1"/>
  <c r="AO24" i="19"/>
  <c r="AQ24" i="19" s="1"/>
  <c r="AN24" i="19"/>
  <c r="AG41" i="17"/>
  <c r="BJ41" i="17" s="1"/>
  <c r="AG42" i="19"/>
  <c r="AS42" i="19" s="1"/>
  <c r="AT42" i="19" s="1"/>
  <c r="AO90" i="19"/>
  <c r="AQ90" i="19" s="1"/>
  <c r="AN90" i="19"/>
  <c r="AG106" i="17"/>
  <c r="AG107" i="19"/>
  <c r="AO154" i="19"/>
  <c r="AQ154" i="19" s="1"/>
  <c r="AN154" i="19"/>
  <c r="AG170" i="17"/>
  <c r="BJ170" i="17" s="1"/>
  <c r="AG171" i="19"/>
  <c r="AS171" i="19" s="1"/>
  <c r="AT171" i="19" s="1"/>
  <c r="AO219" i="19"/>
  <c r="AQ219" i="19" s="1"/>
  <c r="AN219" i="19"/>
  <c r="AG233" i="17"/>
  <c r="BJ233" i="17" s="1"/>
  <c r="AG234" i="19"/>
  <c r="AS234" i="19" s="1"/>
  <c r="AT234" i="19" s="1"/>
  <c r="AO282" i="19"/>
  <c r="AQ282" i="19" s="1"/>
  <c r="AN282" i="19"/>
  <c r="AG296" i="17"/>
  <c r="BJ296" i="17" s="1"/>
  <c r="AG297" i="19"/>
  <c r="AS297" i="19" s="1"/>
  <c r="AT297" i="19" s="1"/>
  <c r="AN345" i="19"/>
  <c r="AO345" i="19"/>
  <c r="AQ345" i="19" s="1"/>
  <c r="AG360" i="17"/>
  <c r="BJ360" i="17" s="1"/>
  <c r="AG361" i="19"/>
  <c r="AN409" i="19"/>
  <c r="AO409" i="19"/>
  <c r="AQ409" i="19" s="1"/>
  <c r="AG407" i="17"/>
  <c r="BJ407" i="17" s="1"/>
  <c r="AG408" i="19"/>
  <c r="AS408" i="19" s="1"/>
  <c r="AT408" i="19" s="1"/>
  <c r="AN388" i="19"/>
  <c r="AO388" i="19"/>
  <c r="AQ388" i="19" s="1"/>
  <c r="AG396" i="17"/>
  <c r="BJ396" i="17" s="1"/>
  <c r="AG397" i="19"/>
  <c r="AS397" i="19" s="1"/>
  <c r="AT397" i="19" s="1"/>
  <c r="AN43" i="19"/>
  <c r="AO43" i="19"/>
  <c r="AQ43" i="19" s="1"/>
  <c r="AG59" i="17"/>
  <c r="BJ59" i="17" s="1"/>
  <c r="AG60" i="19"/>
  <c r="AS60" i="19" s="1"/>
  <c r="AT60" i="19" s="1"/>
  <c r="AN108" i="19"/>
  <c r="AO108" i="19"/>
  <c r="AQ108" i="19" s="1"/>
  <c r="AG123" i="17"/>
  <c r="BJ123" i="17" s="1"/>
  <c r="AG124" i="19"/>
  <c r="AS124" i="19" s="1"/>
  <c r="AT124" i="19" s="1"/>
  <c r="AO172" i="19"/>
  <c r="AQ172" i="19" s="1"/>
  <c r="AN172" i="19"/>
  <c r="AG187" i="17"/>
  <c r="AG188" i="19"/>
  <c r="AS188" i="19" s="1"/>
  <c r="AT188" i="19" s="1"/>
  <c r="AO243" i="19"/>
  <c r="AQ243" i="19" s="1"/>
  <c r="AN243" i="19"/>
  <c r="AG258" i="17"/>
  <c r="AG259" i="19"/>
  <c r="AS259" i="19" s="1"/>
  <c r="AT259" i="19" s="1"/>
  <c r="AO314" i="19"/>
  <c r="AQ314" i="19" s="1"/>
  <c r="AN314" i="19"/>
  <c r="AG332" i="17"/>
  <c r="AG333" i="19"/>
  <c r="AO378" i="19"/>
  <c r="AQ378" i="19" s="1"/>
  <c r="AN378" i="19"/>
  <c r="AG290" i="17"/>
  <c r="BJ290" i="17" s="1"/>
  <c r="AG291" i="19"/>
  <c r="AS291" i="19" s="1"/>
  <c r="AT291" i="19" s="1"/>
  <c r="AG11" i="17"/>
  <c r="AG12" i="19"/>
  <c r="AS12" i="19" s="1"/>
  <c r="AT12" i="19" s="1"/>
  <c r="AG212" i="17"/>
  <c r="BJ212" i="17" s="1"/>
  <c r="AG213" i="19"/>
  <c r="AS213" i="19" s="1"/>
  <c r="AT213" i="19" s="1"/>
  <c r="AO10" i="19"/>
  <c r="AQ10" i="19" s="1"/>
  <c r="AN10" i="19"/>
  <c r="AG20" i="17"/>
  <c r="BJ20" i="17" s="1"/>
  <c r="AG21" i="19"/>
  <c r="AS21" i="19" s="1"/>
  <c r="AT21" i="19" s="1"/>
  <c r="AN200" i="19"/>
  <c r="AO200" i="19"/>
  <c r="AQ200" i="19" s="1"/>
  <c r="AN95" i="19"/>
  <c r="AO95" i="19"/>
  <c r="AQ95" i="19" s="1"/>
  <c r="AG109" i="17"/>
  <c r="AG110" i="19"/>
  <c r="AS110" i="19" s="1"/>
  <c r="AT110" i="19" s="1"/>
  <c r="AN222" i="19"/>
  <c r="AO222" i="19"/>
  <c r="AQ222" i="19" s="1"/>
  <c r="AO39" i="19"/>
  <c r="AQ39" i="19" s="1"/>
  <c r="AN39" i="19"/>
  <c r="AG54" i="17"/>
  <c r="AG55" i="19"/>
  <c r="AS55" i="19" s="1"/>
  <c r="AT55" i="19" s="1"/>
  <c r="AO36" i="19"/>
  <c r="AQ36" i="19" s="1"/>
  <c r="AN36" i="19"/>
  <c r="AG51" i="17"/>
  <c r="BJ51" i="17" s="1"/>
  <c r="AG52" i="19"/>
  <c r="AS52" i="19" s="1"/>
  <c r="AT52" i="19" s="1"/>
  <c r="AO109" i="19"/>
  <c r="AQ109" i="19" s="1"/>
  <c r="AN109" i="19"/>
  <c r="AG124" i="17"/>
  <c r="BJ124" i="17" s="1"/>
  <c r="AG125" i="19"/>
  <c r="AS125" i="19" s="1"/>
  <c r="AT125" i="19" s="1"/>
  <c r="AO173" i="19"/>
  <c r="AQ173" i="19" s="1"/>
  <c r="AN173" i="19"/>
  <c r="AG189" i="17"/>
  <c r="BJ189" i="17" s="1"/>
  <c r="AG190" i="19"/>
  <c r="AS190" i="19" s="1"/>
  <c r="AT190" i="19" s="1"/>
  <c r="AN236" i="19"/>
  <c r="AO236" i="19"/>
  <c r="AQ236" i="19" s="1"/>
  <c r="AG251" i="17"/>
  <c r="BJ251" i="17" s="1"/>
  <c r="AG252" i="19"/>
  <c r="AS252" i="19" s="1"/>
  <c r="AT252" i="19" s="1"/>
  <c r="AN385" i="19"/>
  <c r="AO385" i="19"/>
  <c r="AQ385" i="19" s="1"/>
  <c r="AG382" i="17"/>
  <c r="BJ382" i="17" s="1"/>
  <c r="AG383" i="19"/>
  <c r="AS383" i="19" s="1"/>
  <c r="AT383" i="19" s="1"/>
  <c r="AO45" i="19"/>
  <c r="AQ45" i="19" s="1"/>
  <c r="AN45" i="19"/>
  <c r="AG61" i="17"/>
  <c r="BJ61" i="17" s="1"/>
  <c r="AG62" i="19"/>
  <c r="AS62" i="19" s="1"/>
  <c r="AT62" i="19" s="1"/>
  <c r="AN111" i="19"/>
  <c r="AO111" i="19"/>
  <c r="AQ111" i="19" s="1"/>
  <c r="AG125" i="17"/>
  <c r="AG126" i="19"/>
  <c r="AO174" i="19"/>
  <c r="AQ174" i="19" s="1"/>
  <c r="AN174" i="19"/>
  <c r="AG188" i="17"/>
  <c r="BJ188" i="17" s="1"/>
  <c r="AG189" i="19"/>
  <c r="AS189" i="19" s="1"/>
  <c r="AT189" i="19" s="1"/>
  <c r="AN237" i="19"/>
  <c r="AO237" i="19"/>
  <c r="AQ237" i="19" s="1"/>
  <c r="AG252" i="17"/>
  <c r="BJ252" i="17" s="1"/>
  <c r="AG253" i="19"/>
  <c r="AS253" i="19" s="1"/>
  <c r="AT253" i="19" s="1"/>
  <c r="AN299" i="19"/>
  <c r="AO299" i="19"/>
  <c r="AQ299" i="19" s="1"/>
  <c r="AG315" i="17"/>
  <c r="AG316" i="19"/>
  <c r="AS316" i="19" s="1"/>
  <c r="AT316" i="19" s="1"/>
  <c r="AO374" i="19"/>
  <c r="AQ374" i="19" s="1"/>
  <c r="AN374" i="19"/>
  <c r="AG12" i="17"/>
  <c r="BJ12" i="17" s="1"/>
  <c r="AG13" i="19"/>
  <c r="AS13" i="19" s="1"/>
  <c r="AT13" i="19" s="1"/>
  <c r="AO70" i="19"/>
  <c r="AQ70" i="19" s="1"/>
  <c r="AN70" i="19"/>
  <c r="AG85" i="17"/>
  <c r="BJ85" i="17" s="1"/>
  <c r="AG86" i="19"/>
  <c r="AS86" i="19" s="1"/>
  <c r="AT86" i="19" s="1"/>
  <c r="AN135" i="19"/>
  <c r="AO135" i="19"/>
  <c r="AQ135" i="19" s="1"/>
  <c r="AG150" i="17"/>
  <c r="AG151" i="19"/>
  <c r="AS151" i="19" s="1"/>
  <c r="AT151" i="19" s="1"/>
  <c r="AO194" i="19"/>
  <c r="AQ194" i="19" s="1"/>
  <c r="AN194" i="19"/>
  <c r="AG214" i="17"/>
  <c r="AG215" i="19"/>
  <c r="AS215" i="19" s="1"/>
  <c r="AT215" i="19" s="1"/>
  <c r="AN262" i="19"/>
  <c r="AO262" i="19"/>
  <c r="AQ262" i="19" s="1"/>
  <c r="AG280" i="17"/>
  <c r="BJ280" i="17" s="1"/>
  <c r="AG281" i="19"/>
  <c r="AS281" i="19" s="1"/>
  <c r="AT281" i="19" s="1"/>
  <c r="AN325" i="19"/>
  <c r="AO325" i="19"/>
  <c r="AQ325" i="19" s="1"/>
  <c r="AG340" i="17"/>
  <c r="BJ340" i="17" s="1"/>
  <c r="AG341" i="19"/>
  <c r="AS341" i="19" s="1"/>
  <c r="AT341" i="19" s="1"/>
  <c r="AO14" i="19"/>
  <c r="AQ14" i="19" s="1"/>
  <c r="AN14" i="19"/>
  <c r="AG30" i="17"/>
  <c r="AG31" i="19"/>
  <c r="AS31" i="19" s="1"/>
  <c r="AT31" i="19" s="1"/>
  <c r="AO79" i="19"/>
  <c r="AQ79" i="19" s="1"/>
  <c r="AN79" i="19"/>
  <c r="AG99" i="17"/>
  <c r="BJ99" i="17" s="1"/>
  <c r="AG100" i="19"/>
  <c r="AS100" i="19" s="1"/>
  <c r="AT100" i="19" s="1"/>
  <c r="AN144" i="19"/>
  <c r="AO144" i="19"/>
  <c r="AQ144" i="19" s="1"/>
  <c r="AG159" i="17"/>
  <c r="BJ159" i="17" s="1"/>
  <c r="AG160" i="19"/>
  <c r="AS160" i="19" s="1"/>
  <c r="AT160" i="19" s="1"/>
  <c r="AN208" i="19"/>
  <c r="AO208" i="19"/>
  <c r="AQ208" i="19" s="1"/>
  <c r="AG223" i="17"/>
  <c r="BJ223" i="17" s="1"/>
  <c r="AG224" i="19"/>
  <c r="AS224" i="19" s="1"/>
  <c r="AT224" i="19" s="1"/>
  <c r="AN271" i="19"/>
  <c r="AO271" i="19"/>
  <c r="AQ271" i="19" s="1"/>
  <c r="AN310" i="19"/>
  <c r="AO310" i="19"/>
  <c r="AQ310" i="19" s="1"/>
  <c r="AG325" i="17"/>
  <c r="BJ325" i="17" s="1"/>
  <c r="AG326" i="19"/>
  <c r="AS326" i="19" s="1"/>
  <c r="AT326" i="19" s="1"/>
  <c r="AN373" i="19"/>
  <c r="AO373" i="19"/>
  <c r="AQ373" i="19" s="1"/>
  <c r="AG389" i="17"/>
  <c r="BJ389" i="17" s="1"/>
  <c r="AG390" i="19"/>
  <c r="AS390" i="19" s="1"/>
  <c r="AT390" i="19" s="1"/>
  <c r="AN23" i="19"/>
  <c r="AO23" i="19"/>
  <c r="AQ23" i="19" s="1"/>
  <c r="AG39" i="17"/>
  <c r="AG40" i="19"/>
  <c r="AO88" i="19"/>
  <c r="AQ88" i="19" s="1"/>
  <c r="AN88" i="19"/>
  <c r="AG105" i="17"/>
  <c r="BJ105" i="17" s="1"/>
  <c r="AG106" i="19"/>
  <c r="AS106" i="19" s="1"/>
  <c r="AT106" i="19" s="1"/>
  <c r="AN155" i="19"/>
  <c r="AO155" i="19"/>
  <c r="AQ155" i="19" s="1"/>
  <c r="AG167" i="17"/>
  <c r="BJ167" i="17" s="1"/>
  <c r="AG168" i="19"/>
  <c r="AS168" i="19" s="1"/>
  <c r="AT168" i="19" s="1"/>
  <c r="AN217" i="19"/>
  <c r="AO217" i="19"/>
  <c r="AQ217" i="19" s="1"/>
  <c r="AG231" i="17"/>
  <c r="BJ231" i="17" s="1"/>
  <c r="AG232" i="19"/>
  <c r="AS232" i="19" s="1"/>
  <c r="AT232" i="19" s="1"/>
  <c r="AO283" i="19"/>
  <c r="AQ283" i="19" s="1"/>
  <c r="AN283" i="19"/>
  <c r="AG294" i="17"/>
  <c r="AG295" i="19"/>
  <c r="AS295" i="19" s="1"/>
  <c r="AT295" i="19" s="1"/>
  <c r="AO343" i="19"/>
  <c r="AQ343" i="19" s="1"/>
  <c r="AN343" i="19"/>
  <c r="AG358" i="17"/>
  <c r="BJ358" i="17" s="1"/>
  <c r="AG359" i="19"/>
  <c r="AS359" i="19" s="1"/>
  <c r="AT359" i="19" s="1"/>
  <c r="AO20" i="19"/>
  <c r="AQ20" i="19" s="1"/>
  <c r="AN20" i="19"/>
  <c r="AG32" i="17"/>
  <c r="BJ32" i="17" s="1"/>
  <c r="AG33" i="19"/>
  <c r="AS33" i="19" s="1"/>
  <c r="AT33" i="19" s="1"/>
  <c r="AN81" i="19"/>
  <c r="AO81" i="19"/>
  <c r="AQ81" i="19" s="1"/>
  <c r="AG96" i="17"/>
  <c r="BJ96" i="17" s="1"/>
  <c r="AG97" i="19"/>
  <c r="AS97" i="19" s="1"/>
  <c r="AT97" i="19" s="1"/>
  <c r="AN146" i="19"/>
  <c r="AO146" i="19"/>
  <c r="AQ146" i="19" s="1"/>
  <c r="AG161" i="17"/>
  <c r="BJ161" i="17" s="1"/>
  <c r="AG162" i="19"/>
  <c r="AS162" i="19" s="1"/>
  <c r="AT162" i="19" s="1"/>
  <c r="AO210" i="19"/>
  <c r="AQ210" i="19" s="1"/>
  <c r="AN210" i="19"/>
  <c r="AG225" i="17"/>
  <c r="AG226" i="19"/>
  <c r="AS226" i="19" s="1"/>
  <c r="AT226" i="19" s="1"/>
  <c r="AO273" i="19"/>
  <c r="AQ273" i="19" s="1"/>
  <c r="AN273" i="19"/>
  <c r="AG288" i="17"/>
  <c r="BJ288" i="17" s="1"/>
  <c r="AG289" i="19"/>
  <c r="AS289" i="19" s="1"/>
  <c r="AT289" i="19" s="1"/>
  <c r="AN336" i="19"/>
  <c r="AO336" i="19"/>
  <c r="AQ336" i="19" s="1"/>
  <c r="AG351" i="17"/>
  <c r="AG352" i="19"/>
  <c r="AS352" i="19" s="1"/>
  <c r="AT352" i="19" s="1"/>
  <c r="AN400" i="19"/>
  <c r="AO400" i="19"/>
  <c r="AQ400" i="19" s="1"/>
  <c r="AG401" i="17"/>
  <c r="BJ401" i="17" s="1"/>
  <c r="AG402" i="19"/>
  <c r="AS402" i="19" s="1"/>
  <c r="AT402" i="19" s="1"/>
  <c r="AN381" i="19"/>
  <c r="AO381" i="19"/>
  <c r="AQ381" i="19" s="1"/>
  <c r="AG405" i="17"/>
  <c r="BJ405" i="17" s="1"/>
  <c r="AG406" i="19"/>
  <c r="AS406" i="19" s="1"/>
  <c r="AT406" i="19" s="1"/>
  <c r="AN50" i="19"/>
  <c r="AO50" i="19"/>
  <c r="AQ50" i="19" s="1"/>
  <c r="AG64" i="17"/>
  <c r="BJ64" i="17" s="1"/>
  <c r="AG65" i="19"/>
  <c r="AS65" i="19" s="1"/>
  <c r="AT65" i="19" s="1"/>
  <c r="AN115" i="19"/>
  <c r="AO115" i="19"/>
  <c r="AQ115" i="19" s="1"/>
  <c r="AG130" i="17"/>
  <c r="BJ130" i="17" s="1"/>
  <c r="AG131" i="19"/>
  <c r="AS131" i="19" s="1"/>
  <c r="AT131" i="19" s="1"/>
  <c r="AN180" i="19"/>
  <c r="AO180" i="19"/>
  <c r="AQ180" i="19" s="1"/>
  <c r="AO242" i="19"/>
  <c r="AQ242" i="19" s="1"/>
  <c r="AN242" i="19"/>
  <c r="AG257" i="17"/>
  <c r="BJ257" i="17" s="1"/>
  <c r="AG258" i="19"/>
  <c r="AS258" i="19" s="1"/>
  <c r="AT258" i="19" s="1"/>
  <c r="AO305" i="19"/>
  <c r="AQ305" i="19" s="1"/>
  <c r="AN305" i="19"/>
  <c r="AG320" i="17"/>
  <c r="BJ320" i="17" s="1"/>
  <c r="AG321" i="19"/>
  <c r="AS321" i="19" s="1"/>
  <c r="AT321" i="19" s="1"/>
  <c r="AO369" i="19"/>
  <c r="AQ369" i="19" s="1"/>
  <c r="AN369" i="19"/>
  <c r="AG383" i="17"/>
  <c r="BJ383" i="17" s="1"/>
  <c r="AG384" i="19"/>
  <c r="AS384" i="19" s="1"/>
  <c r="AT384" i="19" s="1"/>
  <c r="AO298" i="19"/>
  <c r="AQ298" i="19" s="1"/>
  <c r="AN298" i="19"/>
  <c r="AG346" i="17"/>
  <c r="BJ346" i="17" s="1"/>
  <c r="AG347" i="19"/>
  <c r="AS347" i="19" s="1"/>
  <c r="AT347" i="19" s="1"/>
  <c r="AN4" i="19"/>
  <c r="AO4" i="19"/>
  <c r="AQ4" i="19" s="1"/>
  <c r="AG16" i="17"/>
  <c r="AG17" i="19"/>
  <c r="AS17" i="19" s="1"/>
  <c r="AT17" i="19" s="1"/>
  <c r="AO67" i="19"/>
  <c r="AQ67" i="19" s="1"/>
  <c r="AN67" i="19"/>
  <c r="AG82" i="17"/>
  <c r="BJ82" i="17" s="1"/>
  <c r="AG83" i="19"/>
  <c r="AS83" i="19" s="1"/>
  <c r="AT83" i="19" s="1"/>
  <c r="AO132" i="19"/>
  <c r="AQ132" i="19" s="1"/>
  <c r="AN132" i="19"/>
  <c r="AG147" i="17"/>
  <c r="BJ147" i="17" s="1"/>
  <c r="AG148" i="19"/>
  <c r="AS148" i="19" s="1"/>
  <c r="AT148" i="19" s="1"/>
  <c r="AN192" i="19"/>
  <c r="AO192" i="19"/>
  <c r="AQ192" i="19" s="1"/>
  <c r="AG211" i="17"/>
  <c r="BJ211" i="17" s="1"/>
  <c r="AG212" i="19"/>
  <c r="AS212" i="19" s="1"/>
  <c r="AT212" i="19" s="1"/>
  <c r="AO267" i="19"/>
  <c r="AQ267" i="19" s="1"/>
  <c r="AN267" i="19"/>
  <c r="AG275" i="17"/>
  <c r="BJ275" i="17" s="1"/>
  <c r="AG276" i="19"/>
  <c r="AS276" i="19" s="1"/>
  <c r="AT276" i="19" s="1"/>
  <c r="AO338" i="19"/>
  <c r="AQ338" i="19" s="1"/>
  <c r="AN338" i="19"/>
  <c r="AG353" i="17"/>
  <c r="BJ353" i="17" s="1"/>
  <c r="AG354" i="19"/>
  <c r="AS354" i="19" s="1"/>
  <c r="AT354" i="19" s="1"/>
  <c r="AO323" i="19"/>
  <c r="AQ323" i="19" s="1"/>
  <c r="AN323" i="19"/>
  <c r="AG375" i="17"/>
  <c r="BJ375" i="17" s="1"/>
  <c r="AG376" i="19"/>
  <c r="AS376" i="19" s="1"/>
  <c r="AT376" i="19" s="1"/>
  <c r="AO61" i="19"/>
  <c r="AQ61" i="19" s="1"/>
  <c r="AN61" i="19"/>
  <c r="AG60" i="17"/>
  <c r="AG61" i="19"/>
  <c r="AS61" i="19" s="1"/>
  <c r="AT61" i="19" s="1"/>
  <c r="AN63" i="19"/>
  <c r="AO63" i="19"/>
  <c r="AQ63" i="19" s="1"/>
  <c r="AG62" i="17"/>
  <c r="AG63" i="19"/>
  <c r="AS63" i="19" s="1"/>
  <c r="AT63" i="19" s="1"/>
  <c r="BA205" i="12"/>
  <c r="BA7" i="12"/>
  <c r="BA110" i="12"/>
  <c r="BA154" i="12"/>
  <c r="BA190" i="12"/>
  <c r="BA308" i="12"/>
  <c r="BA277" i="12"/>
  <c r="BA106" i="12"/>
  <c r="BA104" i="12"/>
  <c r="BA264" i="12"/>
  <c r="BA407" i="12"/>
  <c r="BA403" i="12"/>
  <c r="BA398" i="12"/>
  <c r="BA393" i="12"/>
  <c r="BA388" i="12"/>
  <c r="BA380" i="12"/>
  <c r="BA376" i="12"/>
  <c r="BA368" i="12"/>
  <c r="BA364" i="12"/>
  <c r="BA360" i="12"/>
  <c r="BA356" i="12"/>
  <c r="BA349" i="12"/>
  <c r="BA203" i="12"/>
  <c r="BA3" i="12"/>
  <c r="BA226" i="12"/>
  <c r="BA194" i="12"/>
  <c r="BA408" i="12"/>
  <c r="BA204" i="12"/>
  <c r="BA10" i="12"/>
  <c r="BA6" i="12"/>
  <c r="BA199" i="12"/>
  <c r="BA229" i="12"/>
  <c r="BA197" i="12"/>
  <c r="BA132" i="12"/>
  <c r="BA318" i="12"/>
  <c r="BA65" i="12"/>
  <c r="BA379" i="12"/>
  <c r="BA359" i="12"/>
  <c r="BA340" i="12"/>
  <c r="BA314" i="12"/>
  <c r="BA137" i="12"/>
  <c r="BA286" i="12"/>
  <c r="BA274" i="12"/>
  <c r="BA270" i="12"/>
  <c r="BA265" i="12"/>
  <c r="BA260" i="12"/>
  <c r="BA256" i="12"/>
  <c r="BA200" i="12"/>
  <c r="BA375" i="12"/>
  <c r="BA281" i="12"/>
  <c r="BA385" i="12"/>
  <c r="BA222" i="12"/>
  <c r="BA345" i="12"/>
  <c r="BA210" i="12"/>
  <c r="BA127" i="12"/>
  <c r="BA156" i="12"/>
  <c r="BA115" i="12"/>
  <c r="BA97" i="12"/>
  <c r="BA186" i="12"/>
  <c r="BA289" i="12"/>
  <c r="BA2" i="12"/>
  <c r="BA374" i="12"/>
  <c r="BA333" i="12"/>
  <c r="BA384" i="12"/>
  <c r="BA169" i="12"/>
  <c r="BA391" i="12"/>
  <c r="BA344" i="12"/>
  <c r="BA198" i="12"/>
  <c r="BA193" i="12"/>
  <c r="BA295" i="12"/>
  <c r="BA100" i="12"/>
  <c r="BA130" i="12"/>
  <c r="BA280" i="12"/>
  <c r="BA30" i="12"/>
  <c r="BA331" i="12"/>
  <c r="BA105" i="12"/>
  <c r="BA301" i="12"/>
  <c r="BA406" i="12"/>
  <c r="BA401" i="12"/>
  <c r="BA397" i="12"/>
  <c r="BA392" i="12"/>
  <c r="BA387" i="12"/>
  <c r="BA371" i="12"/>
  <c r="BA367" i="12"/>
  <c r="BA363" i="12"/>
  <c r="BA355" i="12"/>
  <c r="BA348" i="12"/>
  <c r="BA208" i="12"/>
  <c r="BA336" i="12"/>
  <c r="BA327" i="12"/>
  <c r="BA323" i="12"/>
  <c r="BA319" i="12"/>
  <c r="BA310" i="12"/>
  <c r="BA303" i="12"/>
  <c r="BA298" i="12"/>
  <c r="BA207" i="12"/>
  <c r="BA307" i="12"/>
  <c r="BA209" i="12"/>
  <c r="BA341" i="12"/>
  <c r="BA337" i="12"/>
  <c r="BA328" i="12"/>
  <c r="BA324" i="12"/>
  <c r="BA252" i="12"/>
  <c r="BA248" i="12"/>
  <c r="BA244" i="12"/>
  <c r="BA202" i="12"/>
  <c r="BA9" i="12"/>
  <c r="BA5" i="12"/>
  <c r="BA20" i="12"/>
  <c r="BA373" i="12"/>
  <c r="BA283" i="12"/>
  <c r="BA332" i="12"/>
  <c r="BA383" i="12"/>
  <c r="BA179" i="12"/>
  <c r="BA176" i="12"/>
  <c r="BA228" i="12"/>
  <c r="BA402" i="12"/>
  <c r="BA21" i="12"/>
  <c r="BA126" i="12"/>
  <c r="BA201" i="12"/>
  <c r="BA8" i="12"/>
  <c r="BA4" i="12"/>
  <c r="BA19" i="12"/>
  <c r="BA372" i="12"/>
  <c r="BA282" i="12"/>
  <c r="BA386" i="12"/>
  <c r="BA109" i="12"/>
  <c r="BA163" i="12"/>
  <c r="BA25" i="12"/>
  <c r="BA227" i="12"/>
  <c r="BA215" i="12"/>
  <c r="BA134" i="12"/>
  <c r="BA195" i="12"/>
  <c r="BA191" i="12"/>
  <c r="BA225" i="12"/>
  <c r="BA34" i="12"/>
  <c r="BA98" i="12"/>
  <c r="BA18" i="12"/>
  <c r="BA278" i="12"/>
  <c r="BA292" i="12"/>
  <c r="BA329" i="12"/>
  <c r="BA288" i="12"/>
  <c r="BA309" i="12"/>
  <c r="BA77" i="12"/>
  <c r="BA235" i="12"/>
  <c r="BA404" i="12"/>
  <c r="BA399" i="12"/>
  <c r="BA394" i="12"/>
  <c r="BA389" i="12"/>
  <c r="BA381" i="12"/>
  <c r="BA377" i="12"/>
  <c r="BA369" i="12"/>
  <c r="BA365" i="12"/>
  <c r="BA361" i="12"/>
  <c r="BA357" i="12"/>
  <c r="BA350" i="12"/>
  <c r="BA346" i="12"/>
  <c r="BA342" i="12"/>
  <c r="BA338" i="12"/>
  <c r="BA334" i="12"/>
  <c r="BA325" i="12"/>
  <c r="BA321" i="12"/>
  <c r="BA316" i="12"/>
  <c r="BA312" i="12"/>
  <c r="BA305" i="12"/>
  <c r="BA300" i="12"/>
  <c r="BA296" i="12"/>
  <c r="BA291" i="12"/>
  <c r="BA268" i="12"/>
  <c r="BA284" i="12"/>
  <c r="BA272" i="12"/>
  <c r="BA267" i="12"/>
  <c r="BA262" i="12"/>
  <c r="BA258" i="12"/>
  <c r="BA254" i="12"/>
  <c r="BA250" i="12"/>
  <c r="BA246" i="12"/>
  <c r="BA242" i="12"/>
  <c r="BA237" i="12"/>
  <c r="BA232" i="12"/>
  <c r="BA223" i="12"/>
  <c r="BA217" i="12"/>
  <c r="BA212" i="12"/>
  <c r="BA183" i="12"/>
  <c r="BA178" i="12"/>
  <c r="BA177" i="12"/>
  <c r="BA174" i="12"/>
  <c r="BA170" i="12"/>
  <c r="BA165" i="12"/>
  <c r="BA160" i="12"/>
  <c r="BA155" i="12"/>
  <c r="BA150" i="12"/>
  <c r="BA146" i="12"/>
  <c r="BA142" i="12"/>
  <c r="BA133" i="12"/>
  <c r="BA125" i="12"/>
  <c r="BA121" i="12"/>
  <c r="BA117" i="12"/>
  <c r="BA112" i="12"/>
  <c r="BA103" i="12"/>
  <c r="BA94" i="12"/>
  <c r="BA90" i="12"/>
  <c r="BA86" i="12"/>
  <c r="BA84" i="12"/>
  <c r="BA80" i="12"/>
  <c r="BA75" i="12"/>
  <c r="BA17" i="12"/>
  <c r="BA13" i="12"/>
  <c r="BA70" i="12"/>
  <c r="BA66" i="12"/>
  <c r="BA61" i="12"/>
  <c r="BA57" i="12"/>
  <c r="BA53" i="12"/>
  <c r="BA49" i="12"/>
  <c r="BA44" i="12"/>
  <c r="BA40" i="12"/>
  <c r="BA36" i="12"/>
  <c r="BA31" i="12"/>
  <c r="BA26" i="12"/>
  <c r="BA320" i="12"/>
  <c r="BA315" i="12"/>
  <c r="BA311" i="12"/>
  <c r="BA304" i="12"/>
  <c r="BA299" i="12"/>
  <c r="BA138" i="12"/>
  <c r="BA290" i="12"/>
  <c r="BA287" i="12"/>
  <c r="BA241" i="12"/>
  <c r="BA271" i="12"/>
  <c r="BA266" i="12"/>
  <c r="BA261" i="12"/>
  <c r="BA257" i="12"/>
  <c r="BA253" i="12"/>
  <c r="BA249" i="12"/>
  <c r="BA245" i="12"/>
  <c r="BA240" i="12"/>
  <c r="BA236" i="12"/>
  <c r="BA231" i="12"/>
  <c r="BA220" i="12"/>
  <c r="BA216" i="12"/>
  <c r="BA211" i="12"/>
  <c r="BA182" i="12"/>
  <c r="BA353" i="12"/>
  <c r="BA140" i="12"/>
  <c r="BA173" i="12"/>
  <c r="BA168" i="12"/>
  <c r="BA164" i="12"/>
  <c r="BA159" i="12"/>
  <c r="BA153" i="12"/>
  <c r="BA149" i="12"/>
  <c r="BA145" i="12"/>
  <c r="BA141" i="12"/>
  <c r="BA131" i="12"/>
  <c r="BA124" i="12"/>
  <c r="BA120" i="12"/>
  <c r="BA116" i="12"/>
  <c r="BA111" i="12"/>
  <c r="BA102" i="12"/>
  <c r="BA93" i="12"/>
  <c r="BA89" i="12"/>
  <c r="BA276" i="12"/>
  <c r="BA83" i="12"/>
  <c r="BA79" i="12"/>
  <c r="BA74" i="12"/>
  <c r="BA16" i="12"/>
  <c r="BA12" i="12"/>
  <c r="BA69" i="12"/>
  <c r="BA64" i="12"/>
  <c r="BA60" i="12"/>
  <c r="BA56" i="12"/>
  <c r="BA52" i="12"/>
  <c r="BA48" i="12"/>
  <c r="BA239" i="12"/>
  <c r="BA234" i="12"/>
  <c r="BA230" i="12"/>
  <c r="BA219" i="12"/>
  <c r="BA214" i="12"/>
  <c r="BA187" i="12"/>
  <c r="BA181" i="12"/>
  <c r="BA352" i="12"/>
  <c r="BA139" i="12"/>
  <c r="BA172" i="12"/>
  <c r="BA167" i="12"/>
  <c r="BA162" i="12"/>
  <c r="BA158" i="12"/>
  <c r="BA152" i="12"/>
  <c r="BA148" i="12"/>
  <c r="BA144" i="12"/>
  <c r="BA136" i="12"/>
  <c r="BA129" i="12"/>
  <c r="BA123" i="12"/>
  <c r="BA119" i="12"/>
  <c r="BA114" i="12"/>
  <c r="BA108" i="12"/>
  <c r="BA101" i="12"/>
  <c r="BA92" i="12"/>
  <c r="BA88" i="12"/>
  <c r="BA275" i="12"/>
  <c r="BA82" i="12"/>
  <c r="BA78" i="12"/>
  <c r="BA73" i="12"/>
  <c r="BA15" i="12"/>
  <c r="BA11" i="12"/>
  <c r="BA68" i="12"/>
  <c r="BA63" i="12"/>
  <c r="BA59" i="12"/>
  <c r="BA55" i="12"/>
  <c r="BA51" i="12"/>
  <c r="BA47" i="12"/>
  <c r="BA42" i="12"/>
  <c r="BA38" i="12"/>
  <c r="BA33" i="12"/>
  <c r="BA28" i="12"/>
  <c r="BA22" i="12"/>
  <c r="BA221" i="12"/>
  <c r="BA196" i="12"/>
  <c r="BA192" i="12"/>
  <c r="BA395" i="12"/>
  <c r="BA46" i="12"/>
  <c r="BA99" i="12"/>
  <c r="BA189" i="12"/>
  <c r="BA279" i="12"/>
  <c r="BA293" i="12"/>
  <c r="BA330" i="12"/>
  <c r="BA185" i="12"/>
  <c r="BA188" i="12"/>
  <c r="BA96" i="12"/>
  <c r="BA24" i="12"/>
  <c r="BA405" i="12"/>
  <c r="BA400" i="12"/>
  <c r="BA396" i="12"/>
  <c r="BA390" i="12"/>
  <c r="BA382" i="12"/>
  <c r="BA378" i="12"/>
  <c r="BA370" i="12"/>
  <c r="BA366" i="12"/>
  <c r="BA362" i="12"/>
  <c r="BA358" i="12"/>
  <c r="BA354" i="12"/>
  <c r="BA347" i="12"/>
  <c r="BA343" i="12"/>
  <c r="BA339" i="12"/>
  <c r="BA335" i="12"/>
  <c r="BA326" i="12"/>
  <c r="BA322" i="12"/>
  <c r="BA317" i="12"/>
  <c r="BA313" i="12"/>
  <c r="BA306" i="12"/>
  <c r="BA302" i="12"/>
  <c r="BA297" i="12"/>
  <c r="BA294" i="12"/>
  <c r="BA206" i="12"/>
  <c r="BA285" i="12"/>
  <c r="BA273" i="12"/>
  <c r="BA269" i="12"/>
  <c r="BA263" i="12"/>
  <c r="BA259" i="12"/>
  <c r="BA255" i="12"/>
  <c r="BA251" i="12"/>
  <c r="BA247" i="12"/>
  <c r="BA243" i="12"/>
  <c r="BA238" i="12"/>
  <c r="BA233" i="12"/>
  <c r="BA224" i="12"/>
  <c r="BA218" i="12"/>
  <c r="BA213" i="12"/>
  <c r="BA184" i="12"/>
  <c r="BA180" i="12"/>
  <c r="BA351" i="12"/>
  <c r="BA175" i="12"/>
  <c r="BA171" i="12"/>
  <c r="BA166" i="12"/>
  <c r="BA161" i="12"/>
  <c r="BA157" i="12"/>
  <c r="BA151" i="12"/>
  <c r="BA147" i="12"/>
  <c r="BA143" i="12"/>
  <c r="BA135" i="12"/>
  <c r="BA128" i="12"/>
  <c r="BA122" i="12"/>
  <c r="BA118" i="12"/>
  <c r="BA113" i="12"/>
  <c r="BA107" i="12"/>
  <c r="BA95" i="12"/>
  <c r="BA91" i="12"/>
  <c r="BA87" i="12"/>
  <c r="BA85" i="12"/>
  <c r="BA81" i="12"/>
  <c r="BA76" i="12"/>
  <c r="BA72" i="12"/>
  <c r="BA14" i="12"/>
  <c r="BA71" i="12"/>
  <c r="BA67" i="12"/>
  <c r="BA62" i="12"/>
  <c r="BA58" i="12"/>
  <c r="BA54" i="12"/>
  <c r="BA50" i="12"/>
  <c r="BA45" i="12"/>
  <c r="BA41" i="12"/>
  <c r="BA37" i="12"/>
  <c r="BA32" i="12"/>
  <c r="BA27" i="12"/>
  <c r="BA43" i="12"/>
  <c r="BA39" i="12"/>
  <c r="BA35" i="12"/>
  <c r="BA29" i="12"/>
  <c r="BA23" i="12"/>
  <c r="AS9" i="19"/>
  <c r="AT9" i="19" s="1"/>
  <c r="AS343" i="19"/>
  <c r="AT343" i="19" s="1"/>
  <c r="BJ342" i="17"/>
  <c r="AS5" i="19"/>
  <c r="AT5" i="19" s="1"/>
  <c r="AS132" i="19"/>
  <c r="AT132" i="19" s="1"/>
  <c r="BJ131" i="17"/>
  <c r="BJ58" i="17"/>
  <c r="AS150" i="19"/>
  <c r="AT150" i="19" s="1"/>
  <c r="AS167" i="19"/>
  <c r="AT167" i="19" s="1"/>
  <c r="BJ166" i="17"/>
  <c r="AS92" i="19"/>
  <c r="AT92" i="19" s="1"/>
  <c r="BJ91" i="17"/>
  <c r="BJ219" i="17"/>
  <c r="BJ15" i="17"/>
  <c r="AS262" i="19"/>
  <c r="AT262" i="19" s="1"/>
  <c r="BJ119" i="17"/>
  <c r="BJ183" i="17"/>
  <c r="AS184" i="19"/>
  <c r="AT184" i="19" s="1"/>
  <c r="AS247" i="19"/>
  <c r="AT247" i="19" s="1"/>
  <c r="AS18" i="19"/>
  <c r="AT18" i="19" s="1"/>
  <c r="BJ17" i="17"/>
  <c r="AS143" i="19"/>
  <c r="AT143" i="19" s="1"/>
  <c r="AS70" i="19"/>
  <c r="AT70" i="19" s="1"/>
  <c r="BJ69" i="17"/>
  <c r="AS94" i="19"/>
  <c r="AT94" i="19" s="1"/>
  <c r="BJ361" i="17"/>
  <c r="AS362" i="19"/>
  <c r="AT362" i="19" s="1"/>
  <c r="AS255" i="19"/>
  <c r="AT255" i="19" s="1"/>
  <c r="AS23" i="19"/>
  <c r="AT23" i="19" s="1"/>
  <c r="BJ22" i="17"/>
  <c r="BJ40" i="17"/>
  <c r="AS122" i="19"/>
  <c r="AT122" i="19" s="1"/>
  <c r="BJ121" i="17"/>
  <c r="AS270" i="19"/>
  <c r="AT270" i="19" s="1"/>
  <c r="AS107" i="19"/>
  <c r="AT107" i="19" s="1"/>
  <c r="AS235" i="19"/>
  <c r="AT235" i="19" s="1"/>
  <c r="AS299" i="19"/>
  <c r="AT299" i="19" s="1"/>
  <c r="BJ298" i="17"/>
  <c r="BJ52" i="17"/>
  <c r="BJ127" i="17"/>
  <c r="AS128" i="19"/>
  <c r="AT128" i="19" s="1"/>
  <c r="AS192" i="19"/>
  <c r="AT192" i="19" s="1"/>
  <c r="BJ191" i="17"/>
  <c r="AS256" i="19"/>
  <c r="AT256" i="19" s="1"/>
  <c r="BJ278" i="17"/>
  <c r="AS279" i="19"/>
  <c r="AT279" i="19" s="1"/>
  <c r="BJ203" i="17"/>
  <c r="AS26" i="19"/>
  <c r="AT26" i="19" s="1"/>
  <c r="BJ281" i="17"/>
  <c r="AS14" i="19"/>
  <c r="AT14" i="19" s="1"/>
  <c r="BJ13" i="17"/>
  <c r="BJ134" i="17"/>
  <c r="AS135" i="19"/>
  <c r="AT135" i="19" s="1"/>
  <c r="AS130" i="19"/>
  <c r="AT130" i="19" s="1"/>
  <c r="AS194" i="19"/>
  <c r="AT194" i="19" s="1"/>
  <c r="BJ193" i="17"/>
  <c r="AS246" i="19"/>
  <c r="AT246" i="19" s="1"/>
  <c r="AS310" i="19"/>
  <c r="AT310" i="19" s="1"/>
  <c r="BJ309" i="17"/>
  <c r="BJ373" i="17"/>
  <c r="AS374" i="19"/>
  <c r="AT374" i="19" s="1"/>
  <c r="AS403" i="19"/>
  <c r="AT403" i="19" s="1"/>
  <c r="AS104" i="19"/>
  <c r="AT104" i="19" s="1"/>
  <c r="BJ103" i="17"/>
  <c r="AS360" i="19"/>
  <c r="AT360" i="19" s="1"/>
  <c r="AS183" i="19"/>
  <c r="AT183" i="19" s="1"/>
  <c r="BJ28" i="17"/>
  <c r="AS29" i="19"/>
  <c r="AT29" i="19" s="1"/>
  <c r="AS79" i="19"/>
  <c r="AT79" i="19" s="1"/>
  <c r="BJ78" i="17"/>
  <c r="BJ227" i="17"/>
  <c r="AS49" i="19"/>
  <c r="AT49" i="19" s="1"/>
  <c r="AS95" i="19"/>
  <c r="AT95" i="19" s="1"/>
  <c r="AS223" i="19"/>
  <c r="AT223" i="19" s="1"/>
  <c r="BJ222" i="17"/>
  <c r="AS309" i="19"/>
  <c r="AT309" i="19" s="1"/>
  <c r="BJ308" i="17"/>
  <c r="BJ38" i="17"/>
  <c r="AS39" i="19"/>
  <c r="AT39" i="19" s="1"/>
  <c r="AS138" i="19"/>
  <c r="AT138" i="19" s="1"/>
  <c r="BJ317" i="17"/>
  <c r="BJ154" i="17"/>
  <c r="AS155" i="19"/>
  <c r="AT155" i="19" s="1"/>
  <c r="BJ7" i="17"/>
  <c r="BJ239" i="17"/>
  <c r="BJ323" i="17"/>
  <c r="AS324" i="19"/>
  <c r="AT324" i="19" s="1"/>
  <c r="BJ371" i="17"/>
  <c r="AS261" i="19"/>
  <c r="AT261" i="19" s="1"/>
  <c r="BJ260" i="17"/>
  <c r="AS109" i="19"/>
  <c r="AT109" i="19" s="1"/>
  <c r="BJ108" i="17"/>
  <c r="BJ172" i="17"/>
  <c r="AS173" i="19"/>
  <c r="AT173" i="19" s="1"/>
  <c r="BJ267" i="17"/>
  <c r="AS285" i="19"/>
  <c r="AT285" i="19" s="1"/>
  <c r="BJ284" i="17"/>
  <c r="BJ168" i="17"/>
  <c r="BJ356" i="17"/>
  <c r="AS93" i="19"/>
  <c r="AT93" i="19" s="1"/>
  <c r="BJ92" i="17"/>
  <c r="BJ156" i="17"/>
  <c r="AS157" i="19"/>
  <c r="AT157" i="19" s="1"/>
  <c r="AS385" i="19"/>
  <c r="AT385" i="19" s="1"/>
  <c r="BJ173" i="17"/>
  <c r="AS87" i="19"/>
  <c r="AT87" i="19" s="1"/>
  <c r="BJ321" i="17"/>
  <c r="AS10" i="19"/>
  <c r="AT10" i="19" s="1"/>
  <c r="BJ9" i="17"/>
  <c r="BJ110" i="17"/>
  <c r="AS111" i="19"/>
  <c r="AT111" i="19" s="1"/>
  <c r="AS260" i="19"/>
  <c r="AT260" i="19" s="1"/>
  <c r="AS338" i="19"/>
  <c r="AT338" i="19" s="1"/>
  <c r="BJ102" i="17"/>
  <c r="BJ230" i="17"/>
  <c r="AS231" i="19"/>
  <c r="AT231" i="19" s="1"/>
  <c r="AS205" i="19"/>
  <c r="AT205" i="19" s="1"/>
  <c r="AS399" i="19"/>
  <c r="AT399" i="19" s="1"/>
  <c r="BJ204" i="17"/>
  <c r="BJ80" i="17"/>
  <c r="AS47" i="19"/>
  <c r="AT47" i="19" s="1"/>
  <c r="AS398" i="19"/>
  <c r="AT398" i="19" s="1"/>
  <c r="AS206" i="19"/>
  <c r="AT206" i="19" s="1"/>
  <c r="AS323" i="19"/>
  <c r="AT323" i="19" s="1"/>
  <c r="BJ322" i="17"/>
  <c r="AS88" i="19"/>
  <c r="AT88" i="19" s="1"/>
  <c r="BJ87" i="17"/>
  <c r="AS152" i="19"/>
  <c r="AT152" i="19" s="1"/>
  <c r="AS119" i="19"/>
  <c r="AT119" i="19" s="1"/>
  <c r="BJ118" i="17"/>
  <c r="BJ374" i="17"/>
  <c r="AS134" i="19"/>
  <c r="AT134" i="19" s="1"/>
  <c r="AS271" i="19"/>
  <c r="AT271" i="19" s="1"/>
  <c r="BJ270" i="17"/>
  <c r="AS38" i="19"/>
  <c r="AT38" i="19" s="1"/>
  <c r="BJ37" i="17"/>
  <c r="BJ66" i="17"/>
  <c r="AS67" i="19"/>
  <c r="AT67" i="19" s="1"/>
  <c r="AS158" i="19"/>
  <c r="AT158" i="19" s="1"/>
  <c r="BJ157" i="17"/>
  <c r="AS298" i="19"/>
  <c r="AT298" i="19" s="1"/>
  <c r="BJ190" i="17"/>
  <c r="AS191" i="19"/>
  <c r="AT191" i="19" s="1"/>
  <c r="AS180" i="19"/>
  <c r="AT180" i="19" s="1"/>
  <c r="BJ179" i="17"/>
  <c r="AS373" i="19"/>
  <c r="AT373" i="19" s="1"/>
  <c r="BJ372" i="17"/>
  <c r="BJ153" i="17"/>
  <c r="AS154" i="19"/>
  <c r="AT154" i="19" s="1"/>
  <c r="AS238" i="19"/>
  <c r="AT238" i="19" s="1"/>
  <c r="BJ237" i="17"/>
  <c r="AS302" i="19"/>
  <c r="AT302" i="19" s="1"/>
  <c r="BJ73" i="17"/>
  <c r="BJ138" i="17"/>
  <c r="AS267" i="19"/>
  <c r="AT267" i="19" s="1"/>
  <c r="BJ266" i="17"/>
  <c r="BJ330" i="17"/>
  <c r="AS96" i="19"/>
  <c r="AT96" i="19" s="1"/>
  <c r="BJ71" i="17"/>
  <c r="AS58" i="19"/>
  <c r="AT58" i="19" s="1"/>
  <c r="BJ57" i="17"/>
  <c r="AS4" i="19"/>
  <c r="AT4" i="19" s="1"/>
  <c r="BJ3" i="17"/>
  <c r="BJ195" i="17"/>
  <c r="AS46" i="19"/>
  <c r="AT46" i="19" s="1"/>
  <c r="BJ181" i="17"/>
  <c r="AS306" i="19"/>
  <c r="AT306" i="19" s="1"/>
  <c r="BJ305" i="17"/>
  <c r="AS68" i="19"/>
  <c r="AT68" i="19" s="1"/>
  <c r="AS327" i="19"/>
  <c r="AT327" i="19" s="1"/>
  <c r="AS45" i="19"/>
  <c r="AT45" i="19" s="1"/>
  <c r="BJ44" i="17"/>
  <c r="AS145" i="19"/>
  <c r="AT145" i="19" s="1"/>
  <c r="BJ404" i="17"/>
  <c r="AS214" i="19"/>
  <c r="AT214" i="19" s="1"/>
  <c r="BJ19" i="17"/>
  <c r="BJ178" i="17"/>
  <c r="BJ306" i="17"/>
  <c r="BJ370" i="17"/>
  <c r="AS69" i="19"/>
  <c r="AT69" i="19" s="1"/>
  <c r="BJ68" i="17"/>
  <c r="AS200" i="19"/>
  <c r="AT200" i="19" s="1"/>
  <c r="BJ199" i="17"/>
  <c r="AS328" i="19"/>
  <c r="AT328" i="19" s="1"/>
  <c r="AS392" i="19"/>
  <c r="AT392" i="19" s="1"/>
  <c r="AS237" i="19"/>
  <c r="AT237" i="19" s="1"/>
  <c r="BJ236" i="17"/>
  <c r="AS348" i="19"/>
  <c r="AT348" i="19" s="1"/>
  <c r="BJ347" i="17"/>
  <c r="BJ35" i="17"/>
  <c r="AS36" i="19"/>
  <c r="AT36" i="19" s="1"/>
  <c r="AS236" i="19"/>
  <c r="AT236" i="19" s="1"/>
  <c r="BJ33" i="17"/>
  <c r="AS35" i="19"/>
  <c r="AT35" i="19" s="1"/>
  <c r="AS394" i="19"/>
  <c r="AT394" i="19" s="1"/>
  <c r="AS159" i="19"/>
  <c r="AT159" i="19" s="1"/>
  <c r="BJ158" i="17"/>
  <c r="AS84" i="19"/>
  <c r="AT84" i="19" s="1"/>
  <c r="BJ83" i="17"/>
  <c r="AS177" i="19"/>
  <c r="AT177" i="19" s="1"/>
  <c r="AS286" i="19"/>
  <c r="AT286" i="19" s="1"/>
  <c r="BJ285" i="17"/>
  <c r="AS350" i="19"/>
  <c r="AT350" i="19" s="1"/>
  <c r="AS44" i="19"/>
  <c r="AT44" i="19" s="1"/>
  <c r="BJ250" i="17"/>
  <c r="BJ378" i="17"/>
  <c r="AS379" i="19"/>
  <c r="AT379" i="19" s="1"/>
  <c r="BJ143" i="17"/>
  <c r="AS144" i="19"/>
  <c r="AT144" i="19" s="1"/>
  <c r="AS208" i="19"/>
  <c r="AT208" i="19" s="1"/>
  <c r="BJ207" i="17"/>
  <c r="BJ291" i="17"/>
  <c r="BJ307" i="17"/>
  <c r="AS56" i="19"/>
  <c r="AT56" i="19" s="1"/>
  <c r="AS193" i="19"/>
  <c r="AT193" i="19" s="1"/>
  <c r="BJ192" i="17"/>
  <c r="BJ324" i="17"/>
  <c r="AS325" i="19"/>
  <c r="AT325" i="19" s="1"/>
  <c r="AS337" i="19"/>
  <c r="AT337" i="19" s="1"/>
  <c r="AS332" i="19"/>
  <c r="AT332" i="19" s="1"/>
  <c r="BJ331" i="17"/>
  <c r="AS221" i="19"/>
  <c r="AT221" i="19" s="1"/>
  <c r="BJ220" i="17"/>
  <c r="BJ348" i="17"/>
  <c r="AS349" i="19"/>
  <c r="AT349" i="19" s="1"/>
  <c r="AS85" i="19"/>
  <c r="AT85" i="19" s="1"/>
  <c r="BJ84" i="17"/>
  <c r="AS149" i="19"/>
  <c r="AT149" i="19" s="1"/>
  <c r="AS217" i="19"/>
  <c r="AT217" i="19" s="1"/>
  <c r="BJ216" i="17"/>
  <c r="BJ344" i="17"/>
  <c r="BJ403" i="17"/>
  <c r="AS48" i="19"/>
  <c r="AT48" i="19" s="1"/>
  <c r="AS257" i="19"/>
  <c r="AT257" i="19" s="1"/>
  <c r="BJ63" i="17"/>
  <c r="BJ328" i="17"/>
  <c r="BJ398" i="17"/>
  <c r="BJ232" i="17"/>
  <c r="AS353" i="19"/>
  <c r="AT353" i="19" s="1"/>
  <c r="BJ184" i="17"/>
  <c r="AS361" i="19"/>
  <c r="AT361" i="19" s="1"/>
  <c r="AS133" i="19"/>
  <c r="AT133" i="19" s="1"/>
  <c r="BJ132" i="17"/>
  <c r="BJ397" i="17"/>
  <c r="AP234" i="14" l="1"/>
  <c r="AP47" i="14"/>
  <c r="AP155" i="14"/>
  <c r="AP175" i="14"/>
  <c r="AP191" i="14"/>
  <c r="AP303" i="14"/>
  <c r="AP359" i="14"/>
  <c r="AP232" i="14"/>
  <c r="AP86" i="14"/>
  <c r="AP50" i="14"/>
  <c r="AP25" i="14"/>
  <c r="AP101" i="14"/>
  <c r="AP313" i="14"/>
  <c r="AP301" i="14"/>
  <c r="AP98" i="14"/>
  <c r="AP4" i="14"/>
  <c r="AP186" i="14"/>
  <c r="AP286" i="14"/>
  <c r="AP338" i="14"/>
  <c r="AP358" i="14"/>
  <c r="AP107" i="14"/>
  <c r="AP143" i="14"/>
  <c r="AP251" i="14"/>
  <c r="AP190" i="14"/>
  <c r="AP287" i="14"/>
  <c r="AP40" i="14"/>
  <c r="AP304" i="14"/>
  <c r="AP340" i="14"/>
  <c r="AP85" i="14"/>
  <c r="AP341" i="14"/>
  <c r="AP321" i="14"/>
  <c r="AP138" i="14"/>
  <c r="AP39" i="14"/>
  <c r="AP95" i="14"/>
  <c r="AP14" i="14"/>
  <c r="AP28" i="14"/>
  <c r="AP60" i="14"/>
  <c r="AP120" i="14"/>
  <c r="AP140" i="14"/>
  <c r="AP188" i="14"/>
  <c r="AP224" i="14"/>
  <c r="AP328" i="14"/>
  <c r="AP357" i="14"/>
  <c r="AP265" i="14"/>
  <c r="AP51" i="14"/>
  <c r="AP81" i="14"/>
  <c r="AP146" i="14"/>
  <c r="AP159" i="14"/>
  <c r="AP316" i="14"/>
  <c r="AP212" i="14"/>
  <c r="AP255" i="14"/>
  <c r="AP280" i="14"/>
  <c r="AP327" i="14"/>
  <c r="AP342" i="14"/>
  <c r="AP360" i="14"/>
  <c r="AP22" i="14"/>
  <c r="AP64" i="14"/>
  <c r="AP74" i="14"/>
  <c r="AP100" i="14"/>
  <c r="AP113" i="14"/>
  <c r="AP213" i="14"/>
  <c r="AP243" i="14"/>
  <c r="AP281" i="14"/>
  <c r="AP348" i="14"/>
  <c r="AP97" i="14"/>
  <c r="AP3" i="14"/>
  <c r="AP361" i="14"/>
  <c r="AP132" i="14"/>
  <c r="AP149" i="14"/>
  <c r="AP165" i="14"/>
  <c r="AP211" i="14"/>
  <c r="AP299" i="14"/>
  <c r="AP249" i="14"/>
  <c r="BD369" i="19"/>
  <c r="BD220" i="19"/>
  <c r="BD302" i="19"/>
  <c r="BD332" i="19"/>
  <c r="BD239" i="19"/>
  <c r="BD272" i="19"/>
  <c r="BD56" i="19"/>
  <c r="BD115" i="19"/>
  <c r="BD3" i="19"/>
  <c r="BD71" i="19"/>
  <c r="BD242" i="19"/>
  <c r="AP10" i="14"/>
  <c r="AP202" i="14"/>
  <c r="AP274" i="14"/>
  <c r="AP290" i="14"/>
  <c r="AP322" i="14"/>
  <c r="AP354" i="14"/>
  <c r="AP15" i="14"/>
  <c r="AP31" i="14"/>
  <c r="AP111" i="14"/>
  <c r="AP207" i="14"/>
  <c r="AP223" i="14"/>
  <c r="AP222" i="14"/>
  <c r="AP263" i="14"/>
  <c r="AP295" i="14"/>
  <c r="AP311" i="14"/>
  <c r="AP343" i="14"/>
  <c r="AP16" i="14"/>
  <c r="AP48" i="14"/>
  <c r="AP112" i="14"/>
  <c r="AP128" i="14"/>
  <c r="AP160" i="14"/>
  <c r="AP176" i="14"/>
  <c r="AP192" i="14"/>
  <c r="AP150" i="14"/>
  <c r="AP18" i="14"/>
  <c r="AP82" i="14"/>
  <c r="AP276" i="14"/>
  <c r="AP296" i="14"/>
  <c r="AP312" i="14"/>
  <c r="AP344" i="14"/>
  <c r="AP5" i="14"/>
  <c r="AP77" i="14"/>
  <c r="AP93" i="14"/>
  <c r="AP145" i="14"/>
  <c r="AP229" i="14"/>
  <c r="AP245" i="14"/>
  <c r="AP345" i="14"/>
  <c r="AP353" i="14"/>
  <c r="E68" i="28"/>
  <c r="AM63" i="14"/>
  <c r="AP63" i="14" s="1"/>
  <c r="E73" i="28"/>
  <c r="AM68" i="14"/>
  <c r="AP68" i="14" s="1"/>
  <c r="E214" i="28"/>
  <c r="AM197" i="14"/>
  <c r="AP197" i="14" s="1"/>
  <c r="E256" i="28"/>
  <c r="AM233" i="14"/>
  <c r="AP233" i="14" s="1"/>
  <c r="E324" i="28"/>
  <c r="AM289" i="14"/>
  <c r="AP289" i="14" s="1"/>
  <c r="E341" i="28"/>
  <c r="AM306" i="14"/>
  <c r="AP306" i="14" s="1"/>
  <c r="E393" i="28"/>
  <c r="AM351" i="14"/>
  <c r="E62" i="28"/>
  <c r="AM55" i="14"/>
  <c r="E145" i="28"/>
  <c r="AM134" i="14"/>
  <c r="AP134" i="14" s="1"/>
  <c r="E164" i="28"/>
  <c r="AM151" i="14"/>
  <c r="E354" i="28"/>
  <c r="AM317" i="14"/>
  <c r="AP317" i="14" s="1"/>
  <c r="E220" i="28"/>
  <c r="AM203" i="14"/>
  <c r="E253" i="28"/>
  <c r="AM230" i="14"/>
  <c r="E287" i="28"/>
  <c r="AM256" i="14"/>
  <c r="E305" i="28"/>
  <c r="AM271" i="14"/>
  <c r="E40" i="28"/>
  <c r="AM41" i="14"/>
  <c r="AP41" i="14" s="1"/>
  <c r="E76" i="28"/>
  <c r="AM71" i="14"/>
  <c r="E118" i="28"/>
  <c r="AM108" i="14"/>
  <c r="E126" i="28"/>
  <c r="AM115" i="14"/>
  <c r="AP115" i="14" s="1"/>
  <c r="E171" i="28"/>
  <c r="AM158" i="14"/>
  <c r="AP158" i="14" s="1"/>
  <c r="E295" i="28"/>
  <c r="AM260" i="14"/>
  <c r="AP260" i="14" s="1"/>
  <c r="E314" i="28"/>
  <c r="AM279" i="14"/>
  <c r="AP279" i="14" s="1"/>
  <c r="E344" i="28"/>
  <c r="AM309" i="14"/>
  <c r="AP309" i="14" s="1"/>
  <c r="E352" i="28"/>
  <c r="AM315" i="14"/>
  <c r="AP315" i="14" s="1"/>
  <c r="E289" i="28"/>
  <c r="AM258" i="14"/>
  <c r="AP258" i="14" s="1"/>
  <c r="E34" i="28"/>
  <c r="AM35" i="14"/>
  <c r="E135" i="28"/>
  <c r="AM124" i="14"/>
  <c r="E72" i="28"/>
  <c r="AM67" i="14"/>
  <c r="E361" i="28"/>
  <c r="AM324" i="14"/>
  <c r="E115" i="28"/>
  <c r="AM106" i="14"/>
  <c r="E179" i="28"/>
  <c r="AM167" i="14"/>
  <c r="E48" i="28"/>
  <c r="AM49" i="14"/>
  <c r="E217" i="28"/>
  <c r="AM200" i="14"/>
  <c r="E242" i="28"/>
  <c r="AM219" i="14"/>
  <c r="E210" i="28"/>
  <c r="AM193" i="14"/>
  <c r="AP193" i="14" s="1"/>
  <c r="E366" i="28"/>
  <c r="AM329" i="14"/>
  <c r="BD339" i="5"/>
  <c r="BD339" i="19" s="1"/>
  <c r="BD58" i="5"/>
  <c r="BD186" i="5"/>
  <c r="BD318" i="5"/>
  <c r="BD334" i="5"/>
  <c r="BD7" i="5"/>
  <c r="BD23" i="5"/>
  <c r="BD43" i="5"/>
  <c r="BD75" i="5"/>
  <c r="BD107" i="5"/>
  <c r="BD135" i="5"/>
  <c r="BD183" i="5"/>
  <c r="BD187" i="5"/>
  <c r="BD188" i="19" s="1"/>
  <c r="BD223" i="5"/>
  <c r="BD224" i="19" s="1"/>
  <c r="BD275" i="5"/>
  <c r="BD331" i="5"/>
  <c r="BD343" i="5"/>
  <c r="BD351" i="5"/>
  <c r="BD359" i="5"/>
  <c r="BD379" i="5"/>
  <c r="BD383" i="5"/>
  <c r="BD383" i="19" s="1"/>
  <c r="BD395" i="5"/>
  <c r="BD144" i="5"/>
  <c r="BD180" i="5"/>
  <c r="BD376" i="5"/>
  <c r="BD65" i="19"/>
  <c r="BD136" i="19"/>
  <c r="BD277" i="19"/>
  <c r="BD313" i="19"/>
  <c r="BC304" i="19"/>
  <c r="BC340" i="19"/>
  <c r="BB132" i="19"/>
  <c r="BA93" i="19"/>
  <c r="BA221" i="19"/>
  <c r="BA277" i="19"/>
  <c r="BA335" i="19"/>
  <c r="AZ97" i="19"/>
  <c r="BD10" i="19"/>
  <c r="BD33" i="19"/>
  <c r="BC41" i="19"/>
  <c r="BD73" i="19"/>
  <c r="AZ93" i="19"/>
  <c r="BD96" i="19"/>
  <c r="BC106" i="19"/>
  <c r="BB129" i="19"/>
  <c r="BD145" i="19"/>
  <c r="BD173" i="19"/>
  <c r="BD299" i="19"/>
  <c r="BA312" i="19"/>
  <c r="BD356" i="19"/>
  <c r="BA372" i="19"/>
  <c r="BB386" i="19"/>
  <c r="BC391" i="19"/>
  <c r="BA292" i="19"/>
  <c r="AZ35" i="19"/>
  <c r="AZ173" i="19"/>
  <c r="BD8" i="19"/>
  <c r="BD393" i="19"/>
  <c r="BC243" i="19"/>
  <c r="BB35" i="19"/>
  <c r="BA39" i="19"/>
  <c r="AZ118" i="19"/>
  <c r="BA210" i="19"/>
  <c r="BC242" i="19"/>
  <c r="BB270" i="19"/>
  <c r="BC313" i="19"/>
  <c r="BD325" i="19"/>
  <c r="BC361" i="19"/>
  <c r="BA377" i="19"/>
  <c r="BC393" i="19"/>
  <c r="BD126" i="19"/>
  <c r="BD353" i="19"/>
  <c r="BC11" i="19"/>
  <c r="BC231" i="19"/>
  <c r="BB93" i="19"/>
  <c r="BB243" i="19"/>
  <c r="AZ79" i="19"/>
  <c r="AZ135" i="19"/>
  <c r="AZ178" i="19"/>
  <c r="AZ262" i="19"/>
  <c r="AZ286" i="19"/>
  <c r="BA56" i="19"/>
  <c r="BA331" i="19"/>
  <c r="BF177" i="4"/>
  <c r="BD178" i="19" s="1"/>
  <c r="BC83" i="19"/>
  <c r="BC334" i="19"/>
  <c r="BB335" i="19"/>
  <c r="BA66" i="19"/>
  <c r="BA135" i="19"/>
  <c r="BA311" i="19"/>
  <c r="AZ23" i="19"/>
  <c r="BF23" i="4"/>
  <c r="BD23" i="19" s="1"/>
  <c r="AZ52" i="19"/>
  <c r="BF51" i="4"/>
  <c r="BD52" i="19" s="1"/>
  <c r="AZ180" i="19"/>
  <c r="AZ219" i="19"/>
  <c r="AZ302" i="19"/>
  <c r="AZ32" i="19"/>
  <c r="BC52" i="19"/>
  <c r="AZ112" i="19"/>
  <c r="BF127" i="4"/>
  <c r="BD128" i="19" s="1"/>
  <c r="BA163" i="19"/>
  <c r="BD240" i="19"/>
  <c r="BA323" i="19"/>
  <c r="BA339" i="19"/>
  <c r="BC355" i="19"/>
  <c r="AZ190" i="19"/>
  <c r="AZ7" i="19"/>
  <c r="AZ38" i="19"/>
  <c r="BC63" i="19"/>
  <c r="BC94" i="19"/>
  <c r="AZ102" i="19"/>
  <c r="BB118" i="19"/>
  <c r="BA130" i="19"/>
  <c r="BB138" i="19"/>
  <c r="BA174" i="19"/>
  <c r="BB178" i="19"/>
  <c r="BC185" i="19"/>
  <c r="BF261" i="4"/>
  <c r="BD262" i="19" s="1"/>
  <c r="BC337" i="19"/>
  <c r="BA353" i="19"/>
  <c r="BB365" i="19"/>
  <c r="BA408" i="19"/>
  <c r="BA239" i="19"/>
  <c r="AZ242" i="19"/>
  <c r="BA332" i="19"/>
  <c r="AZ301" i="19"/>
  <c r="BB328" i="19"/>
  <c r="BF331" i="4"/>
  <c r="BD334" i="19" s="1"/>
  <c r="AP26" i="14"/>
  <c r="AP154" i="14"/>
  <c r="AP294" i="14"/>
  <c r="AP310" i="14"/>
  <c r="AP326" i="14"/>
  <c r="AP19" i="14"/>
  <c r="AP35" i="14"/>
  <c r="AP67" i="14"/>
  <c r="AP83" i="14"/>
  <c r="AP131" i="14"/>
  <c r="AP147" i="14"/>
  <c r="AP163" i="14"/>
  <c r="AP179" i="14"/>
  <c r="AP195" i="14"/>
  <c r="AP182" i="14"/>
  <c r="AP46" i="14"/>
  <c r="AP110" i="14"/>
  <c r="AP238" i="14"/>
  <c r="AP283" i="14"/>
  <c r="AP331" i="14"/>
  <c r="AP363" i="14"/>
  <c r="AP20" i="14"/>
  <c r="AP36" i="14"/>
  <c r="AP52" i="14"/>
  <c r="AP84" i="14"/>
  <c r="AP116" i="14"/>
  <c r="AP148" i="14"/>
  <c r="AP164" i="14"/>
  <c r="AP180" i="14"/>
  <c r="AP196" i="14"/>
  <c r="AP38" i="14"/>
  <c r="AP166" i="14"/>
  <c r="AP34" i="14"/>
  <c r="AP162" i="14"/>
  <c r="AP226" i="14"/>
  <c r="AP264" i="14"/>
  <c r="AP300" i="14"/>
  <c r="AP332" i="14"/>
  <c r="AP364" i="14"/>
  <c r="AP13" i="14"/>
  <c r="AP29" i="14"/>
  <c r="AP45" i="14"/>
  <c r="AP61" i="14"/>
  <c r="AP181" i="14"/>
  <c r="AP261" i="14"/>
  <c r="AP325" i="14"/>
  <c r="AP297" i="14"/>
  <c r="AP333" i="14"/>
  <c r="BD209" i="5"/>
  <c r="BD210" i="19" s="1"/>
  <c r="E410" i="28"/>
  <c r="AM366" i="14"/>
  <c r="E187" i="28"/>
  <c r="AM171" i="14"/>
  <c r="BD354" i="5"/>
  <c r="BD355" i="5"/>
  <c r="BD360" i="5"/>
  <c r="BD140" i="5"/>
  <c r="BD220" i="5"/>
  <c r="BD240" i="5"/>
  <c r="BD272" i="5"/>
  <c r="BD273" i="19" s="1"/>
  <c r="BD284" i="5"/>
  <c r="BD304" i="5"/>
  <c r="BD316" i="5"/>
  <c r="BD336" i="5"/>
  <c r="BD336" i="19" s="1"/>
  <c r="BD364" i="5"/>
  <c r="BD364" i="19" s="1"/>
  <c r="BD384" i="5"/>
  <c r="BD386" i="19" s="1"/>
  <c r="BD9" i="19"/>
  <c r="BD79" i="19"/>
  <c r="BD108" i="19"/>
  <c r="BD215" i="19"/>
  <c r="BD286" i="19"/>
  <c r="BD355" i="19"/>
  <c r="BC71" i="19"/>
  <c r="BC135" i="19"/>
  <c r="BC241" i="19"/>
  <c r="BB181" i="19"/>
  <c r="BB323" i="19"/>
  <c r="BA129" i="19"/>
  <c r="BA285" i="19"/>
  <c r="AZ256" i="19"/>
  <c r="AZ37" i="19"/>
  <c r="AZ41" i="19"/>
  <c r="BB49" i="19"/>
  <c r="BA73" i="19"/>
  <c r="BF92" i="4"/>
  <c r="BD93" i="19" s="1"/>
  <c r="AZ106" i="19"/>
  <c r="BF128" i="4"/>
  <c r="BD129" i="19" s="1"/>
  <c r="BF220" i="4"/>
  <c r="BB241" i="19"/>
  <c r="BF284" i="4"/>
  <c r="BB304" i="19"/>
  <c r="BC312" i="19"/>
  <c r="BF328" i="4"/>
  <c r="BD328" i="19" s="1"/>
  <c r="BF340" i="4"/>
  <c r="BD340" i="19" s="1"/>
  <c r="BA360" i="19"/>
  <c r="BC372" i="19"/>
  <c r="BF392" i="4"/>
  <c r="BD365" i="19"/>
  <c r="BD401" i="19"/>
  <c r="BC115" i="19"/>
  <c r="BC180" i="19"/>
  <c r="BB56" i="19"/>
  <c r="BB127" i="19"/>
  <c r="BB210" i="19"/>
  <c r="BA325" i="19"/>
  <c r="BA369" i="19"/>
  <c r="BB377" i="19"/>
  <c r="BA401" i="19"/>
  <c r="BA271" i="19"/>
  <c r="BF61" i="4"/>
  <c r="BD63" i="19" s="1"/>
  <c r="BF97" i="4"/>
  <c r="BD97" i="19" s="1"/>
  <c r="BF323" i="4"/>
  <c r="BD323" i="19" s="1"/>
  <c r="BD359" i="19"/>
  <c r="BD395" i="19"/>
  <c r="BC333" i="19"/>
  <c r="BB180" i="19"/>
  <c r="BB331" i="19"/>
  <c r="AZ87" i="19"/>
  <c r="AZ119" i="19"/>
  <c r="AZ238" i="19"/>
  <c r="AZ11" i="19"/>
  <c r="AZ27" i="19"/>
  <c r="BC56" i="19"/>
  <c r="BA79" i="19"/>
  <c r="BC331" i="19"/>
  <c r="BD184" i="19"/>
  <c r="BD311" i="19"/>
  <c r="BC10" i="19"/>
  <c r="BC140" i="19"/>
  <c r="BC219" i="19"/>
  <c r="BC295" i="19"/>
  <c r="BC395" i="19"/>
  <c r="BB37" i="19"/>
  <c r="BB173" i="19"/>
  <c r="BB299" i="19"/>
  <c r="BB356" i="19"/>
  <c r="BA71" i="19"/>
  <c r="BA141" i="19"/>
  <c r="BA184" i="19"/>
  <c r="BA354" i="19"/>
  <c r="AZ61" i="19"/>
  <c r="BF59" i="4"/>
  <c r="BD61" i="19" s="1"/>
  <c r="AZ115" i="19"/>
  <c r="AZ239" i="19"/>
  <c r="AZ271" i="19"/>
  <c r="AZ287" i="19"/>
  <c r="BF31" i="4"/>
  <c r="BD32" i="19" s="1"/>
  <c r="BF111" i="4"/>
  <c r="BD112" i="19" s="1"/>
  <c r="AZ132" i="19"/>
  <c r="BF131" i="4"/>
  <c r="BD132" i="19" s="1"/>
  <c r="AZ140" i="19"/>
  <c r="BF139" i="4"/>
  <c r="BD140" i="19" s="1"/>
  <c r="BC163" i="19"/>
  <c r="BF243" i="4"/>
  <c r="BA306" i="19"/>
  <c r="BF307" i="4"/>
  <c r="BD306" i="19" s="1"/>
  <c r="BC323" i="19"/>
  <c r="BC339" i="19"/>
  <c r="AZ340" i="19"/>
  <c r="BD7" i="19"/>
  <c r="BA8" i="19"/>
  <c r="BD38" i="19"/>
  <c r="BA65" i="19"/>
  <c r="BA97" i="19"/>
  <c r="BD102" i="19"/>
  <c r="BA105" i="19"/>
  <c r="BA126" i="19"/>
  <c r="BB130" i="19"/>
  <c r="BC138" i="19"/>
  <c r="BA146" i="19"/>
  <c r="BB174" i="19"/>
  <c r="BC178" i="19"/>
  <c r="BF213" i="4"/>
  <c r="BD214" i="19" s="1"/>
  <c r="BA262" i="19"/>
  <c r="BC286" i="19"/>
  <c r="BB353" i="19"/>
  <c r="BC365" i="19"/>
  <c r="BB408" i="19"/>
  <c r="BC239" i="19"/>
  <c r="BA287" i="19"/>
  <c r="BD343" i="19"/>
  <c r="BF126" i="4"/>
  <c r="BD127" i="19" s="1"/>
  <c r="AG419" i="17"/>
  <c r="AP106" i="14"/>
  <c r="AP55" i="14"/>
  <c r="AP71" i="14"/>
  <c r="AP151" i="14"/>
  <c r="AP167" i="14"/>
  <c r="AP230" i="14"/>
  <c r="AP271" i="14"/>
  <c r="AP351" i="14"/>
  <c r="AP200" i="14"/>
  <c r="AP49" i="14"/>
  <c r="E23" i="28"/>
  <c r="AM23" i="14"/>
  <c r="AP23" i="14" s="1"/>
  <c r="E61" i="28"/>
  <c r="AM59" i="14"/>
  <c r="E108" i="28"/>
  <c r="AM99" i="14"/>
  <c r="AP99" i="14" s="1"/>
  <c r="E119" i="28"/>
  <c r="AM109" i="14"/>
  <c r="AP109" i="14" s="1"/>
  <c r="E136" i="28"/>
  <c r="AM125" i="14"/>
  <c r="AP125" i="14" s="1"/>
  <c r="E186" i="28"/>
  <c r="AM170" i="14"/>
  <c r="AP170" i="14" s="1"/>
  <c r="E296" i="28"/>
  <c r="AM262" i="14"/>
  <c r="AP262" i="14" s="1"/>
  <c r="E337" i="28"/>
  <c r="AM302" i="14"/>
  <c r="E360" i="28"/>
  <c r="AM323" i="14"/>
  <c r="E384" i="28"/>
  <c r="AM346" i="14"/>
  <c r="AP346" i="14" s="1"/>
  <c r="E398" i="28"/>
  <c r="AM356" i="14"/>
  <c r="E58" i="28"/>
  <c r="AM57" i="14"/>
  <c r="AP57" i="14" s="1"/>
  <c r="E83" i="28"/>
  <c r="AM78" i="14"/>
  <c r="E130" i="28"/>
  <c r="AM119" i="14"/>
  <c r="AP119" i="14" s="1"/>
  <c r="E188" i="28"/>
  <c r="AM172" i="14"/>
  <c r="E138" i="28"/>
  <c r="AM127" i="14"/>
  <c r="AP127" i="14" s="1"/>
  <c r="E312" i="28"/>
  <c r="AM277" i="14"/>
  <c r="AP277" i="14" s="1"/>
  <c r="E377" i="28"/>
  <c r="AM335" i="14"/>
  <c r="AP335" i="14" s="1"/>
  <c r="E240" i="28"/>
  <c r="AM217" i="14"/>
  <c r="AP217" i="14" s="1"/>
  <c r="E36" i="28"/>
  <c r="AM37" i="14"/>
  <c r="E95" i="28"/>
  <c r="AM90" i="14"/>
  <c r="AP90" i="14" s="1"/>
  <c r="E224" i="28"/>
  <c r="AM205" i="14"/>
  <c r="AP205" i="14" s="1"/>
  <c r="E238" i="28"/>
  <c r="AM215" i="14"/>
  <c r="AP215" i="14" s="1"/>
  <c r="E251" i="28"/>
  <c r="AM228" i="14"/>
  <c r="AP228" i="14" s="1"/>
  <c r="E340" i="28"/>
  <c r="AM305" i="14"/>
  <c r="AP305" i="14" s="1"/>
  <c r="E163" i="28"/>
  <c r="AM152" i="14"/>
  <c r="AP152" i="14" s="1"/>
  <c r="E97" i="28"/>
  <c r="AM91" i="14"/>
  <c r="E98" i="28"/>
  <c r="AM92" i="14"/>
  <c r="E189" i="28"/>
  <c r="AM173" i="14"/>
  <c r="E181" i="28"/>
  <c r="AM168" i="14"/>
  <c r="AP168" i="14" s="1"/>
  <c r="E140" i="28"/>
  <c r="AM129" i="14"/>
  <c r="AP129" i="14" s="1"/>
  <c r="E299" i="28"/>
  <c r="AM269" i="14"/>
  <c r="AP269" i="14" s="1"/>
  <c r="E301" i="28"/>
  <c r="AM266" i="14"/>
  <c r="AP266" i="14" s="1"/>
  <c r="E43" i="28"/>
  <c r="AM44" i="14"/>
  <c r="E279" i="28"/>
  <c r="AM253" i="14"/>
  <c r="AP253" i="14" s="1"/>
  <c r="E94" i="28"/>
  <c r="AM89" i="14"/>
  <c r="E112" i="28"/>
  <c r="AM103" i="14"/>
  <c r="AP103" i="14" s="1"/>
  <c r="E132" i="28"/>
  <c r="AM121" i="14"/>
  <c r="E262" i="28"/>
  <c r="AM239" i="14"/>
  <c r="AP239" i="14" s="1"/>
  <c r="E306" i="28"/>
  <c r="AM272" i="14"/>
  <c r="E317" i="28"/>
  <c r="AM282" i="14"/>
  <c r="AP282" i="14" s="1"/>
  <c r="BD66" i="5"/>
  <c r="BD35" i="5"/>
  <c r="BD36" i="19" s="1"/>
  <c r="BD163" i="5"/>
  <c r="BD163" i="19" s="1"/>
  <c r="BD392" i="5"/>
  <c r="BD44" i="19"/>
  <c r="BD87" i="19"/>
  <c r="BD185" i="19"/>
  <c r="BD331" i="19"/>
  <c r="BB190" i="19"/>
  <c r="BB224" i="19"/>
  <c r="BB301" i="19"/>
  <c r="BB333" i="19"/>
  <c r="BA37" i="19"/>
  <c r="BA180" i="19"/>
  <c r="AZ83" i="19"/>
  <c r="AZ117" i="19"/>
  <c r="AZ138" i="19"/>
  <c r="AZ220" i="19"/>
  <c r="BB33" i="19"/>
  <c r="BF36" i="4"/>
  <c r="BD37" i="19" s="1"/>
  <c r="BF40" i="4"/>
  <c r="BD41" i="19" s="1"/>
  <c r="AZ49" i="19"/>
  <c r="BC73" i="19"/>
  <c r="BB96" i="19"/>
  <c r="BF104" i="4"/>
  <c r="BD106" i="19" s="1"/>
  <c r="BF140" i="4"/>
  <c r="BD141" i="19" s="1"/>
  <c r="BF240" i="4"/>
  <c r="BD241" i="19" s="1"/>
  <c r="BF304" i="4"/>
  <c r="BD304" i="19" s="1"/>
  <c r="BF312" i="4"/>
  <c r="BD312" i="19" s="1"/>
  <c r="BD324" i="19"/>
  <c r="BF376" i="4"/>
  <c r="BD372" i="19" s="1"/>
  <c r="AZ56" i="19"/>
  <c r="BF137" i="4"/>
  <c r="BD138" i="19" s="1"/>
  <c r="BD174" i="19"/>
  <c r="BD231" i="19"/>
  <c r="BD287" i="19"/>
  <c r="BD337" i="19"/>
  <c r="BD379" i="19"/>
  <c r="BC60" i="19"/>
  <c r="BC187" i="19"/>
  <c r="BB219" i="19"/>
  <c r="BA231" i="19"/>
  <c r="BC210" i="19"/>
  <c r="BA242" i="19"/>
  <c r="BA313" i="19"/>
  <c r="BB325" i="19"/>
  <c r="BA361" i="19"/>
  <c r="BB369" i="19"/>
  <c r="BC377" i="19"/>
  <c r="BA393" i="19"/>
  <c r="BB401" i="19"/>
  <c r="BC271" i="19"/>
  <c r="BD76" i="19"/>
  <c r="BB115" i="19"/>
  <c r="BB285" i="19"/>
  <c r="BA27" i="19"/>
  <c r="BA83" i="19"/>
  <c r="BA119" i="19"/>
  <c r="BA219" i="19"/>
  <c r="AZ94" i="19"/>
  <c r="AZ125" i="19"/>
  <c r="AZ146" i="19"/>
  <c r="AZ185" i="19"/>
  <c r="BF10" i="4"/>
  <c r="BD11" i="19" s="1"/>
  <c r="BF26" i="4"/>
  <c r="BD27" i="19" s="1"/>
  <c r="AZ60" i="19"/>
  <c r="BC79" i="19"/>
  <c r="BA95" i="19"/>
  <c r="BA127" i="19"/>
  <c r="BF186" i="4"/>
  <c r="BD187" i="19" s="1"/>
  <c r="BA301" i="19"/>
  <c r="BF34" i="4"/>
  <c r="BD35" i="19" s="1"/>
  <c r="BF134" i="4"/>
  <c r="BD135" i="19" s="1"/>
  <c r="BF354" i="4"/>
  <c r="BD354" i="19" s="1"/>
  <c r="BC112" i="19"/>
  <c r="BC359" i="19"/>
  <c r="BB272" i="19"/>
  <c r="BB306" i="19"/>
  <c r="BB364" i="19"/>
  <c r="BA3" i="19"/>
  <c r="BA35" i="19"/>
  <c r="BA220" i="19"/>
  <c r="BA256" i="19"/>
  <c r="AZ8" i="19"/>
  <c r="AZ39" i="19"/>
  <c r="AZ95" i="19"/>
  <c r="AZ187" i="19"/>
  <c r="AZ243" i="19"/>
  <c r="BF3" i="4"/>
  <c r="BA36" i="19"/>
  <c r="AZ66" i="19"/>
  <c r="BF115" i="4"/>
  <c r="BA132" i="19"/>
  <c r="BB140" i="19"/>
  <c r="AZ160" i="19"/>
  <c r="BC306" i="19"/>
  <c r="BF351" i="4"/>
  <c r="BD351" i="19" s="1"/>
  <c r="BB8" i="19"/>
  <c r="BA63" i="19"/>
  <c r="BB65" i="19"/>
  <c r="BA94" i="19"/>
  <c r="BB97" i="19"/>
  <c r="BB105" i="19"/>
  <c r="BF117" i="4"/>
  <c r="BD118" i="19" s="1"/>
  <c r="BC130" i="19"/>
  <c r="BB146" i="19"/>
  <c r="BA185" i="19"/>
  <c r="BA214" i="19"/>
  <c r="BA238" i="19"/>
  <c r="BB262" i="19"/>
  <c r="BA337" i="19"/>
  <c r="BC353" i="19"/>
  <c r="BC408" i="19"/>
  <c r="BC287" i="19"/>
  <c r="AZ377" i="19"/>
  <c r="AP302" i="14"/>
  <c r="AP366" i="14"/>
  <c r="AP59" i="14"/>
  <c r="AP91" i="14"/>
  <c r="AP171" i="14"/>
  <c r="AP203" i="14"/>
  <c r="AP219" i="14"/>
  <c r="AP78" i="14"/>
  <c r="AP323" i="14"/>
  <c r="AP44" i="14"/>
  <c r="AP92" i="14"/>
  <c r="AP108" i="14"/>
  <c r="AP124" i="14"/>
  <c r="AP172" i="14"/>
  <c r="AP256" i="14"/>
  <c r="AP272" i="14"/>
  <c r="AP324" i="14"/>
  <c r="AP356" i="14"/>
  <c r="AP37" i="14"/>
  <c r="AP89" i="14"/>
  <c r="AP121" i="14"/>
  <c r="AP173" i="14"/>
  <c r="AP329" i="14"/>
  <c r="E146" i="28"/>
  <c r="AM135" i="14"/>
  <c r="AP135" i="14" s="1"/>
  <c r="E409" i="28"/>
  <c r="AM367" i="14"/>
  <c r="AP367" i="14" s="1"/>
  <c r="BD335" i="5"/>
  <c r="BD94" i="19"/>
  <c r="BD130" i="19"/>
  <c r="BD271" i="19"/>
  <c r="BD377" i="19"/>
  <c r="BC3" i="19"/>
  <c r="BC49" i="19"/>
  <c r="BC220" i="19"/>
  <c r="BC302" i="19"/>
  <c r="BC332" i="19"/>
  <c r="BB125" i="19"/>
  <c r="BB160" i="19"/>
  <c r="BB239" i="19"/>
  <c r="BA87" i="19"/>
  <c r="BA115" i="19"/>
  <c r="BA215" i="19"/>
  <c r="BA243" i="19"/>
  <c r="BA272" i="19"/>
  <c r="BA356" i="19"/>
  <c r="BA386" i="19"/>
  <c r="AZ10" i="19"/>
  <c r="AZ33" i="19"/>
  <c r="BA41" i="19"/>
  <c r="BF48" i="4"/>
  <c r="BD49" i="19" s="1"/>
  <c r="AZ73" i="19"/>
  <c r="AZ96" i="19"/>
  <c r="BA106" i="19"/>
  <c r="BF116" i="4"/>
  <c r="BD117" i="19" s="1"/>
  <c r="BF124" i="4"/>
  <c r="BD125" i="19" s="1"/>
  <c r="BB145" i="19"/>
  <c r="BF180" i="4"/>
  <c r="BD181" i="19" s="1"/>
  <c r="BF188" i="4"/>
  <c r="BD190" i="19" s="1"/>
  <c r="BB273" i="19"/>
  <c r="BF316" i="4"/>
  <c r="BD316" i="19" s="1"/>
  <c r="BA328" i="19"/>
  <c r="BB336" i="19"/>
  <c r="BF360" i="4"/>
  <c r="BD360" i="19" s="1"/>
  <c r="BA391" i="19"/>
  <c r="AZ3" i="19"/>
  <c r="AZ71" i="19"/>
  <c r="BF38" i="4"/>
  <c r="BD39" i="19" s="1"/>
  <c r="BD95" i="19"/>
  <c r="BD146" i="19"/>
  <c r="BD238" i="19"/>
  <c r="BF294" i="4"/>
  <c r="BD292" i="19" s="1"/>
  <c r="BC87" i="19"/>
  <c r="BC215" i="19"/>
  <c r="BC277" i="19"/>
  <c r="BB27" i="19"/>
  <c r="AZ105" i="19"/>
  <c r="BB242" i="19"/>
  <c r="BA270" i="19"/>
  <c r="BB313" i="19"/>
  <c r="BB361" i="19"/>
  <c r="BC369" i="19"/>
  <c r="BB393" i="19"/>
  <c r="BC401" i="19"/>
  <c r="BF82" i="4"/>
  <c r="BD83" i="19" s="1"/>
  <c r="BD119" i="19"/>
  <c r="BF302" i="4"/>
  <c r="BD301" i="19" s="1"/>
  <c r="BD408" i="19"/>
  <c r="BC39" i="19"/>
  <c r="BC292" i="19"/>
  <c r="BB79" i="19"/>
  <c r="BB221" i="19"/>
  <c r="BB302" i="19"/>
  <c r="AZ65" i="19"/>
  <c r="AZ130" i="19"/>
  <c r="AZ174" i="19"/>
  <c r="AZ337" i="19"/>
  <c r="AZ408" i="19"/>
  <c r="BF58" i="4"/>
  <c r="BD60" i="19" s="1"/>
  <c r="BC95" i="19"/>
  <c r="BC127" i="19"/>
  <c r="BC301" i="19"/>
  <c r="BF330" i="4"/>
  <c r="BD333" i="19" s="1"/>
  <c r="BF105" i="4"/>
  <c r="BD105" i="19" s="1"/>
  <c r="BF269" i="4"/>
  <c r="BD270" i="19" s="1"/>
  <c r="BF361" i="4"/>
  <c r="BD361" i="19" s="1"/>
  <c r="BC76" i="19"/>
  <c r="BC119" i="19"/>
  <c r="BC240" i="19"/>
  <c r="BB52" i="19"/>
  <c r="BB287" i="19"/>
  <c r="BA128" i="19"/>
  <c r="BA340" i="19"/>
  <c r="BA383" i="19"/>
  <c r="AZ126" i="19"/>
  <c r="AZ215" i="19"/>
  <c r="AZ231" i="19"/>
  <c r="AZ277" i="19"/>
  <c r="AZ292" i="19"/>
  <c r="AZ354" i="19"/>
  <c r="BC36" i="19"/>
  <c r="BA52" i="19"/>
  <c r="BF63" i="4"/>
  <c r="BD66" i="19" s="1"/>
  <c r="AZ128" i="19"/>
  <c r="BC132" i="19"/>
  <c r="BF159" i="4"/>
  <c r="BD160" i="19" s="1"/>
  <c r="BF179" i="4"/>
  <c r="BF195" i="4"/>
  <c r="BF255" i="4"/>
  <c r="BD256" i="19" s="1"/>
  <c r="BF335" i="4"/>
  <c r="BD335" i="19" s="1"/>
  <c r="BA355" i="19"/>
  <c r="BA333" i="19"/>
  <c r="BB7" i="19"/>
  <c r="BC8" i="19"/>
  <c r="BB38" i="19"/>
  <c r="BC65" i="19"/>
  <c r="BC97" i="19"/>
  <c r="BB102" i="19"/>
  <c r="BC105" i="19"/>
  <c r="BC126" i="19"/>
  <c r="BA138" i="19"/>
  <c r="BC146" i="19"/>
  <c r="BA178" i="19"/>
  <c r="BB185" i="19"/>
  <c r="BB214" i="19"/>
  <c r="BB238" i="19"/>
  <c r="BA286" i="19"/>
  <c r="BB337" i="19"/>
  <c r="BA365" i="19"/>
  <c r="BF218" i="4"/>
  <c r="BD219" i="19" s="1"/>
  <c r="BF178" i="4"/>
  <c r="BD180" i="19" s="1"/>
  <c r="BF242" i="4"/>
  <c r="BD243" i="19" s="1"/>
  <c r="AG417" i="17"/>
  <c r="L420" i="25"/>
  <c r="H424" i="25"/>
  <c r="J424" i="25"/>
  <c r="G424" i="25"/>
  <c r="I424" i="25"/>
  <c r="N49" i="27"/>
  <c r="N25" i="27"/>
  <c r="N28" i="27"/>
  <c r="N29" i="27"/>
  <c r="N65" i="27"/>
  <c r="N37" i="27"/>
  <c r="N43" i="27"/>
  <c r="N35" i="27"/>
  <c r="N46" i="27"/>
  <c r="N55" i="27"/>
  <c r="N89" i="27"/>
  <c r="N296" i="27"/>
  <c r="N219" i="27"/>
  <c r="N224" i="27"/>
  <c r="N223" i="27"/>
  <c r="N267" i="27"/>
  <c r="N236" i="27"/>
  <c r="N344" i="27"/>
  <c r="N216" i="27"/>
  <c r="N254" i="27"/>
  <c r="N138" i="27"/>
  <c r="N140" i="27"/>
  <c r="N322" i="27"/>
  <c r="N212" i="27"/>
  <c r="N152" i="27"/>
  <c r="N168" i="27"/>
  <c r="N205" i="27"/>
  <c r="N242" i="27"/>
  <c r="N178" i="27"/>
  <c r="N180" i="27"/>
  <c r="N325" i="27"/>
  <c r="N337" i="27"/>
  <c r="N350" i="27"/>
  <c r="N151" i="27"/>
  <c r="N197" i="27"/>
  <c r="N159" i="27"/>
  <c r="N215" i="27"/>
  <c r="N227" i="27"/>
  <c r="N257" i="27"/>
  <c r="N195" i="27"/>
  <c r="N278" i="27"/>
  <c r="N290" i="27"/>
  <c r="N362" i="27"/>
  <c r="N150" i="27"/>
  <c r="N171" i="27"/>
  <c r="N147" i="27"/>
  <c r="N229" i="27"/>
  <c r="N185" i="27"/>
  <c r="N334" i="27"/>
  <c r="N234" i="27"/>
  <c r="N50" i="27"/>
  <c r="N125" i="27"/>
  <c r="N30" i="27"/>
  <c r="N40" i="27"/>
  <c r="N27" i="27"/>
  <c r="N26" i="27"/>
  <c r="N60" i="27"/>
  <c r="N101" i="27"/>
  <c r="N34" i="27"/>
  <c r="N121" i="27"/>
  <c r="N66" i="27"/>
  <c r="N118" i="27"/>
  <c r="N70" i="27"/>
  <c r="N127" i="27"/>
  <c r="N67" i="27"/>
  <c r="N59" i="27"/>
  <c r="N56" i="27"/>
  <c r="S10" i="27"/>
  <c r="N313" i="27"/>
  <c r="N347" i="27"/>
  <c r="N210" i="27"/>
  <c r="N269" i="27"/>
  <c r="N332" i="27"/>
  <c r="N188" i="27"/>
  <c r="N181" i="27"/>
  <c r="N199" i="27"/>
  <c r="N360" i="27"/>
  <c r="N133" i="27"/>
  <c r="N218" i="27"/>
  <c r="N270" i="27"/>
  <c r="N303" i="27"/>
  <c r="N281" i="27"/>
  <c r="N230" i="27"/>
  <c r="N226" i="27"/>
  <c r="N339" i="27"/>
  <c r="N158" i="27"/>
  <c r="N201" i="27"/>
  <c r="N297" i="27"/>
  <c r="N275" i="27"/>
  <c r="N288" i="27"/>
  <c r="N246" i="27"/>
  <c r="N162" i="27"/>
  <c r="N321" i="27"/>
  <c r="N258" i="27"/>
  <c r="N206" i="27"/>
  <c r="N225" i="27"/>
  <c r="N292" i="27"/>
  <c r="N148" i="27"/>
  <c r="N156" i="27"/>
  <c r="N213" i="27"/>
  <c r="N282" i="27"/>
  <c r="N221" i="27"/>
  <c r="N157" i="27"/>
  <c r="N142" i="27"/>
  <c r="N173" i="27"/>
  <c r="N326" i="27"/>
  <c r="N38" i="27"/>
  <c r="N113" i="27"/>
  <c r="N95" i="27"/>
  <c r="N87" i="27"/>
  <c r="N77" i="27"/>
  <c r="N102" i="27"/>
  <c r="N54" i="27"/>
  <c r="N42" i="27"/>
  <c r="N104" i="27"/>
  <c r="N32" i="27"/>
  <c r="N109" i="27"/>
  <c r="N100" i="27"/>
  <c r="N51" i="27"/>
  <c r="N68" i="27"/>
  <c r="N111" i="27"/>
  <c r="N53" i="27"/>
  <c r="N98" i="27"/>
  <c r="S34" i="27"/>
  <c r="N359" i="27"/>
  <c r="N304" i="27"/>
  <c r="N287" i="27"/>
  <c r="N272" i="27"/>
  <c r="N364" i="27"/>
  <c r="N279" i="27"/>
  <c r="N250" i="27"/>
  <c r="N260" i="27"/>
  <c r="N336" i="27"/>
  <c r="N244" i="27"/>
  <c r="N130" i="27"/>
  <c r="N132" i="27"/>
  <c r="N239" i="27"/>
  <c r="N306" i="27"/>
  <c r="N324" i="27"/>
  <c r="N262" i="27"/>
  <c r="N214" i="27"/>
  <c r="N358" i="27"/>
  <c r="N231" i="27"/>
  <c r="N179" i="27"/>
  <c r="N263" i="27"/>
  <c r="N265" i="27"/>
  <c r="N314" i="27"/>
  <c r="N310" i="27"/>
  <c r="N170" i="27"/>
  <c r="N289" i="27"/>
  <c r="N190" i="27"/>
  <c r="N291" i="27"/>
  <c r="N174" i="27"/>
  <c r="N217" i="27"/>
  <c r="N143" i="27"/>
  <c r="N238" i="27"/>
  <c r="N228" i="27"/>
  <c r="N274" i="27"/>
  <c r="N153" i="27"/>
  <c r="N277" i="27"/>
  <c r="N160" i="27"/>
  <c r="N268" i="27"/>
  <c r="N196" i="27"/>
  <c r="N169" i="27"/>
  <c r="N69" i="27"/>
  <c r="N79" i="27"/>
  <c r="N52" i="27"/>
  <c r="N47" i="27"/>
  <c r="N63" i="27"/>
  <c r="N97" i="27"/>
  <c r="N84" i="27"/>
  <c r="N36" i="27"/>
  <c r="N94" i="27"/>
  <c r="N117" i="27"/>
  <c r="N126" i="27"/>
  <c r="N31" i="27"/>
  <c r="N41" i="27"/>
  <c r="N96" i="27"/>
  <c r="N91" i="27"/>
  <c r="N124" i="27"/>
  <c r="N45" i="27"/>
  <c r="N74" i="27"/>
  <c r="S22" i="27"/>
  <c r="S8" i="27"/>
  <c r="S27" i="27"/>
  <c r="S19" i="27"/>
  <c r="S17" i="27"/>
  <c r="N311" i="27"/>
  <c r="N343" i="27"/>
  <c r="N327" i="27"/>
  <c r="N351" i="27"/>
  <c r="N155" i="27"/>
  <c r="N187" i="27"/>
  <c r="N318" i="27"/>
  <c r="N177" i="27"/>
  <c r="N341" i="27"/>
  <c r="N232" i="27"/>
  <c r="N233" i="27"/>
  <c r="N253" i="27"/>
  <c r="N165" i="27"/>
  <c r="N243" i="27"/>
  <c r="N348" i="27"/>
  <c r="N295" i="27"/>
  <c r="N220" i="27"/>
  <c r="N309" i="27"/>
  <c r="N286" i="27"/>
  <c r="N328" i="27"/>
  <c r="N182" i="27"/>
  <c r="N245" i="27"/>
  <c r="N183" i="27"/>
  <c r="N211" i="27"/>
  <c r="N273" i="27"/>
  <c r="N298" i="27"/>
  <c r="N255" i="27"/>
  <c r="N340" i="27"/>
  <c r="N194" i="27"/>
  <c r="N335" i="27"/>
  <c r="N353" i="27"/>
  <c r="N346" i="27"/>
  <c r="N354" i="27"/>
  <c r="N172" i="27"/>
  <c r="N209" i="27"/>
  <c r="N280" i="27"/>
  <c r="N363" i="27"/>
  <c r="N329" i="27"/>
  <c r="N261" i="27"/>
  <c r="N264" i="27"/>
  <c r="N317" i="27"/>
  <c r="N283" i="27"/>
  <c r="N193" i="27"/>
  <c r="N266" i="27"/>
  <c r="N204" i="27"/>
  <c r="N251" i="27"/>
  <c r="N356" i="27"/>
  <c r="N315" i="27"/>
  <c r="N300" i="27"/>
  <c r="N302" i="27"/>
  <c r="N247" i="27"/>
  <c r="N237" i="27"/>
  <c r="N312" i="27"/>
  <c r="N207" i="27"/>
  <c r="N355" i="27"/>
  <c r="N330" i="27"/>
  <c r="N137" i="27"/>
  <c r="N107" i="27"/>
  <c r="N71" i="27"/>
  <c r="N93" i="27"/>
  <c r="N134" i="27"/>
  <c r="N115" i="27"/>
  <c r="N48" i="27"/>
  <c r="N64" i="27"/>
  <c r="N135" i="27"/>
  <c r="N128" i="27"/>
  <c r="N81" i="27"/>
  <c r="N62" i="27"/>
  <c r="N120" i="27"/>
  <c r="N105" i="27"/>
  <c r="N82" i="27"/>
  <c r="N75" i="27"/>
  <c r="N44" i="27"/>
  <c r="N73" i="27"/>
  <c r="N131" i="27"/>
  <c r="N123" i="27"/>
  <c r="N88" i="27"/>
  <c r="N116" i="27"/>
  <c r="N39" i="27"/>
  <c r="S12" i="27"/>
  <c r="S21" i="27"/>
  <c r="S7" i="27"/>
  <c r="S9" i="27"/>
  <c r="S15" i="27"/>
  <c r="S6" i="27"/>
  <c r="S33" i="27"/>
  <c r="S16" i="27"/>
  <c r="N145" i="27"/>
  <c r="N189" i="27"/>
  <c r="N345" i="27"/>
  <c r="N175" i="27"/>
  <c r="N241" i="27"/>
  <c r="N271" i="27"/>
  <c r="N154" i="27"/>
  <c r="N308" i="27"/>
  <c r="N198" i="27"/>
  <c r="N320" i="27"/>
  <c r="N240" i="27"/>
  <c r="N352" i="27"/>
  <c r="N164" i="27"/>
  <c r="N284" i="27"/>
  <c r="N166" i="27"/>
  <c r="N191" i="27"/>
  <c r="N192" i="27"/>
  <c r="N316" i="27"/>
  <c r="N333" i="27"/>
  <c r="N149" i="27"/>
  <c r="N252" i="27"/>
  <c r="N361" i="27"/>
  <c r="N167" i="27"/>
  <c r="N203" i="27"/>
  <c r="N208" i="27"/>
  <c r="N305" i="27"/>
  <c r="N285" i="27"/>
  <c r="N259" i="27"/>
  <c r="N307" i="27"/>
  <c r="N184" i="27"/>
  <c r="N319" i="27"/>
  <c r="N357" i="27"/>
  <c r="N144" i="27"/>
  <c r="N186" i="27"/>
  <c r="N163" i="27"/>
  <c r="N294" i="27"/>
  <c r="N248" i="27"/>
  <c r="N342" i="27"/>
  <c r="N331" i="27"/>
  <c r="N176" i="27"/>
  <c r="N141" i="27"/>
  <c r="N323" i="27"/>
  <c r="N202" i="27"/>
  <c r="N293" i="27"/>
  <c r="N249" i="27"/>
  <c r="N301" i="27"/>
  <c r="N146" i="27"/>
  <c r="N338" i="27"/>
  <c r="N349" i="27"/>
  <c r="N299" i="27"/>
  <c r="N161" i="27"/>
  <c r="N256" i="27"/>
  <c r="N235" i="27"/>
  <c r="N200" i="27"/>
  <c r="N276" i="27"/>
  <c r="N222" i="27"/>
  <c r="N78" i="27"/>
  <c r="N61" i="27"/>
  <c r="N76" i="27"/>
  <c r="N122" i="27"/>
  <c r="N139" i="27"/>
  <c r="N92" i="27"/>
  <c r="N114" i="27"/>
  <c r="N119" i="27"/>
  <c r="N90" i="27"/>
  <c r="N106" i="27"/>
  <c r="N85" i="27"/>
  <c r="N86" i="27"/>
  <c r="N72" i="27"/>
  <c r="N136" i="27"/>
  <c r="N112" i="27"/>
  <c r="N58" i="27"/>
  <c r="N110" i="27"/>
  <c r="N33" i="27"/>
  <c r="N103" i="27"/>
  <c r="N108" i="27"/>
  <c r="N83" i="27"/>
  <c r="N99" i="27"/>
  <c r="N129" i="27"/>
  <c r="N57" i="27"/>
  <c r="N80" i="27"/>
  <c r="S29" i="27"/>
  <c r="S32" i="27"/>
  <c r="S14" i="27"/>
  <c r="S28" i="27"/>
  <c r="S13" i="27"/>
  <c r="S25" i="27"/>
  <c r="S31" i="27"/>
  <c r="S23" i="27"/>
  <c r="S20" i="27"/>
  <c r="S11" i="27"/>
  <c r="S26" i="27"/>
  <c r="S30" i="27"/>
  <c r="S18" i="27"/>
  <c r="S24" i="27"/>
  <c r="G38" i="31"/>
  <c r="AG414" i="17"/>
  <c r="BJ62" i="17"/>
  <c r="BJ2" i="17"/>
  <c r="AG415" i="17"/>
  <c r="AQ3" i="19"/>
  <c r="AG416" i="17"/>
  <c r="AE8" i="33"/>
  <c r="BJ5" i="17"/>
  <c r="AS222" i="19"/>
  <c r="AT222" i="19" s="1"/>
  <c r="BJ221" i="17"/>
  <c r="AS7" i="19"/>
  <c r="AT7" i="19" s="1"/>
  <c r="BJ6" i="17"/>
  <c r="AS287" i="19"/>
  <c r="AT287" i="19" s="1"/>
  <c r="BJ286" i="17"/>
  <c r="AS126" i="19"/>
  <c r="AT126" i="19" s="1"/>
  <c r="BJ125" i="17"/>
  <c r="AS207" i="19"/>
  <c r="AT207" i="19" s="1"/>
  <c r="BJ206" i="17"/>
  <c r="BJ392" i="17"/>
  <c r="AS393" i="19"/>
  <c r="AT393" i="19" s="1"/>
  <c r="AS101" i="19"/>
  <c r="AT101" i="19" s="1"/>
  <c r="BJ100" i="17"/>
  <c r="AS344" i="19"/>
  <c r="AT344" i="19" s="1"/>
  <c r="BJ343" i="17"/>
  <c r="AS197" i="19"/>
  <c r="AT197" i="19" s="1"/>
  <c r="BJ196" i="17"/>
  <c r="AS40" i="19"/>
  <c r="AT40" i="19" s="1"/>
  <c r="BJ39" i="17"/>
  <c r="BJ299" i="17"/>
  <c r="AS300" i="19"/>
  <c r="AT300" i="19" s="1"/>
  <c r="AS336" i="19"/>
  <c r="AT336" i="19" s="1"/>
  <c r="BJ335" i="17"/>
  <c r="AS272" i="19"/>
  <c r="AT272" i="19" s="1"/>
  <c r="BJ271" i="17"/>
  <c r="BJ55" i="17"/>
  <c r="BJ355" i="17"/>
  <c r="BJ133" i="17"/>
  <c r="BJ217" i="17"/>
  <c r="BJ214" i="17"/>
  <c r="AS174" i="19"/>
  <c r="AT174" i="19" s="1"/>
  <c r="BJ384" i="17"/>
  <c r="AS357" i="19"/>
  <c r="AT357" i="19" s="1"/>
  <c r="AS169" i="19"/>
  <c r="AT169" i="19" s="1"/>
  <c r="BJ235" i="17"/>
  <c r="BJ16" i="17"/>
  <c r="BJ391" i="17"/>
  <c r="BJ135" i="17"/>
  <c r="BJ242" i="17"/>
  <c r="BJ341" i="17"/>
  <c r="BJ97" i="17"/>
  <c r="BJ187" i="17"/>
  <c r="BJ67" i="17"/>
  <c r="BJ45" i="17"/>
  <c r="BJ165" i="17"/>
  <c r="BJ150" i="17"/>
  <c r="BJ351" i="17"/>
  <c r="BJ95" i="17"/>
  <c r="BJ202" i="17"/>
  <c r="BJ301" i="17"/>
  <c r="BJ54" i="17"/>
  <c r="BJ23" i="17"/>
  <c r="BJ297" i="17"/>
  <c r="BJ163" i="17"/>
  <c r="BJ225" i="17"/>
  <c r="BJ151" i="17"/>
  <c r="BJ258" i="17"/>
  <c r="BJ357" i="17"/>
  <c r="BJ81" i="17"/>
  <c r="BJ155" i="17"/>
  <c r="BJ337" i="17"/>
  <c r="BJ259" i="17"/>
  <c r="BJ205" i="17"/>
  <c r="BJ312" i="17"/>
  <c r="AS313" i="19"/>
  <c r="AT313" i="19" s="1"/>
  <c r="AS181" i="19"/>
  <c r="AT181" i="19" s="1"/>
  <c r="BJ180" i="17"/>
  <c r="BJ27" i="17"/>
  <c r="AS28" i="19"/>
  <c r="AT28" i="19" s="1"/>
  <c r="AS153" i="19"/>
  <c r="AT153" i="19" s="1"/>
  <c r="BJ152" i="17"/>
  <c r="AS305" i="19"/>
  <c r="AT305" i="19" s="1"/>
  <c r="BJ304" i="17"/>
  <c r="AS389" i="19"/>
  <c r="AT389" i="19" s="1"/>
  <c r="BJ388" i="17"/>
  <c r="AS333" i="19"/>
  <c r="AT333" i="19" s="1"/>
  <c r="BJ332" i="17"/>
  <c r="AS137" i="19"/>
  <c r="AT137" i="19" s="1"/>
  <c r="BJ136" i="17"/>
  <c r="AS176" i="19"/>
  <c r="AT176" i="19" s="1"/>
  <c r="BJ175" i="17"/>
  <c r="AS283" i="19"/>
  <c r="AT283" i="19" s="1"/>
  <c r="BJ282" i="17"/>
  <c r="AS382" i="19"/>
  <c r="AT382" i="19" s="1"/>
  <c r="BJ381" i="17"/>
  <c r="AS268" i="19"/>
  <c r="AT268" i="19" s="1"/>
  <c r="AS129" i="19"/>
  <c r="AT129" i="19" s="1"/>
  <c r="BJ137" i="17"/>
  <c r="BJ11" i="17"/>
  <c r="BJ94" i="17"/>
  <c r="BJ53" i="17"/>
  <c r="BJ197" i="17"/>
  <c r="BJ182" i="17"/>
  <c r="BJ315" i="17"/>
  <c r="BJ295" i="17"/>
  <c r="BJ402" i="17"/>
  <c r="BJ146" i="17"/>
  <c r="BJ245" i="17"/>
  <c r="BJ30" i="17"/>
  <c r="BJ390" i="17"/>
  <c r="BJ241" i="17"/>
  <c r="BJ60" i="17"/>
  <c r="BJ25" i="17"/>
  <c r="BJ109" i="17"/>
  <c r="BJ255" i="17"/>
  <c r="BJ362" i="17"/>
  <c r="BJ106" i="17"/>
  <c r="BJ185" i="17"/>
  <c r="BJ244" i="17"/>
  <c r="BJ254" i="17"/>
  <c r="BJ93" i="17"/>
  <c r="BJ142" i="17"/>
  <c r="BJ171" i="17"/>
  <c r="BJ311" i="17"/>
  <c r="BJ36" i="17"/>
  <c r="BJ162" i="17"/>
  <c r="BJ261" i="17"/>
  <c r="BJ14" i="17"/>
  <c r="BJ294" i="17"/>
  <c r="BJ149" i="17"/>
  <c r="BJ238" i="17"/>
  <c r="BJ4" i="17"/>
  <c r="AI158" i="19"/>
  <c r="AI221" i="19"/>
  <c r="AI220" i="17"/>
  <c r="AJ220" i="17"/>
  <c r="AN220" i="17" s="1"/>
  <c r="AI3" i="19"/>
  <c r="BC407" i="17"/>
  <c r="AJ157" i="17"/>
  <c r="AN157" i="17" s="1"/>
  <c r="AI157" i="17"/>
  <c r="AI408" i="19"/>
  <c r="AI370" i="19"/>
  <c r="BC75" i="17"/>
  <c r="AJ75" i="17"/>
  <c r="AN75" i="17" s="1"/>
  <c r="AJ407" i="17"/>
  <c r="AN407" i="17" s="1"/>
  <c r="AI407" i="17"/>
  <c r="AI142" i="17"/>
  <c r="AI339" i="19"/>
  <c r="AJ387" i="17"/>
  <c r="AN387" i="17" s="1"/>
  <c r="AJ132" i="17"/>
  <c r="AN132" i="17" s="1"/>
  <c r="AJ338" i="17"/>
  <c r="AN338" i="17" s="1"/>
  <c r="AI9" i="17"/>
  <c r="BC169" i="17"/>
  <c r="AI338" i="17"/>
  <c r="AI322" i="19"/>
  <c r="AJ79" i="17"/>
  <c r="AN79" i="17" s="1"/>
  <c r="BC62" i="17"/>
  <c r="AI10" i="19"/>
  <c r="AI79" i="17"/>
  <c r="BC338" i="17"/>
  <c r="BC205" i="17"/>
  <c r="AI36" i="17"/>
  <c r="AI37" i="19"/>
  <c r="AI130" i="17"/>
  <c r="AI170" i="19"/>
  <c r="AI169" i="17"/>
  <c r="AI185" i="17"/>
  <c r="BC185" i="17"/>
  <c r="AI291" i="19"/>
  <c r="AJ145" i="17"/>
  <c r="AN145" i="17" s="1"/>
  <c r="BC56" i="17"/>
  <c r="AI57" i="19"/>
  <c r="BC239" i="17"/>
  <c r="BC79" i="17"/>
  <c r="AI80" i="19"/>
  <c r="AI294" i="19"/>
  <c r="AJ290" i="17"/>
  <c r="AN290" i="17" s="1"/>
  <c r="AI290" i="17"/>
  <c r="AI97" i="17"/>
  <c r="AJ97" i="17"/>
  <c r="AN97" i="17" s="1"/>
  <c r="AI393" i="17"/>
  <c r="AI106" i="17"/>
  <c r="AI63" i="19"/>
  <c r="AI62" i="17"/>
  <c r="AI361" i="17"/>
  <c r="AI209" i="19"/>
  <c r="BC208" i="17"/>
  <c r="AI240" i="19"/>
  <c r="AJ254" i="17"/>
  <c r="AN254" i="17" s="1"/>
  <c r="AI187" i="19"/>
  <c r="AJ393" i="17"/>
  <c r="AN393" i="17" s="1"/>
  <c r="AI19" i="17"/>
  <c r="AI257" i="19"/>
  <c r="AI113" i="17"/>
  <c r="AI335" i="19"/>
  <c r="AI181" i="17"/>
  <c r="AI232" i="17"/>
  <c r="BC341" i="17"/>
  <c r="BC284" i="17"/>
  <c r="AI287" i="19"/>
  <c r="AI239" i="19"/>
  <c r="AI31" i="17"/>
  <c r="AJ16" i="17"/>
  <c r="AN16" i="17" s="1"/>
  <c r="AI145" i="17"/>
  <c r="AI118" i="17"/>
  <c r="BC19" i="17"/>
  <c r="AJ238" i="17"/>
  <c r="AN238" i="17" s="1"/>
  <c r="BC238" i="17"/>
  <c r="AJ113" i="17"/>
  <c r="AN113" i="17" s="1"/>
  <c r="AI285" i="17"/>
  <c r="BC181" i="17"/>
  <c r="AI259" i="19"/>
  <c r="AJ232" i="17"/>
  <c r="AN232" i="17" s="1"/>
  <c r="AI196" i="19"/>
  <c r="AI69" i="17"/>
  <c r="BC31" i="17"/>
  <c r="AI222" i="17"/>
  <c r="BC223" i="17"/>
  <c r="AI186" i="17"/>
  <c r="AJ2" i="17"/>
  <c r="AI269" i="17"/>
  <c r="AI221" i="17"/>
  <c r="BC285" i="17"/>
  <c r="AI306" i="17"/>
  <c r="BC35" i="17"/>
  <c r="AJ341" i="17"/>
  <c r="AN341" i="17" s="1"/>
  <c r="AI342" i="19"/>
  <c r="AI259" i="17"/>
  <c r="BC104" i="17"/>
  <c r="AI70" i="19"/>
  <c r="AJ69" i="17"/>
  <c r="AN69" i="17" s="1"/>
  <c r="BC318" i="17"/>
  <c r="AI223" i="19"/>
  <c r="AI59" i="17"/>
  <c r="AI41" i="17"/>
  <c r="BC186" i="17"/>
  <c r="AJ186" i="17"/>
  <c r="AN186" i="17" s="1"/>
  <c r="AI260" i="17"/>
  <c r="AI372" i="17"/>
  <c r="AJ249" i="17"/>
  <c r="AN249" i="17" s="1"/>
  <c r="BC372" i="17"/>
  <c r="AI193" i="17"/>
  <c r="AI78" i="17"/>
  <c r="AI2" i="17"/>
  <c r="BC2" i="17"/>
  <c r="BC271" i="17"/>
  <c r="BC231" i="17"/>
  <c r="AI246" i="17"/>
  <c r="AJ187" i="17"/>
  <c r="AN187" i="17" s="1"/>
  <c r="AI30" i="19"/>
  <c r="AJ260" i="17"/>
  <c r="AN260" i="17" s="1"/>
  <c r="AJ95" i="17"/>
  <c r="AI348" i="19"/>
  <c r="BC7" i="17"/>
  <c r="AJ372" i="17"/>
  <c r="AN372" i="17" s="1"/>
  <c r="AI373" i="19"/>
  <c r="AI298" i="17"/>
  <c r="AJ244" i="17"/>
  <c r="AN244" i="17" s="1"/>
  <c r="AI13" i="17"/>
  <c r="AJ13" i="17"/>
  <c r="AN13" i="17" s="1"/>
  <c r="AI172" i="17"/>
  <c r="AI256" i="19"/>
  <c r="AJ193" i="17"/>
  <c r="AN193" i="17" s="1"/>
  <c r="BC152" i="17"/>
  <c r="AI32" i="17"/>
  <c r="BC78" i="17"/>
  <c r="AJ78" i="17"/>
  <c r="AN78" i="17" s="1"/>
  <c r="AI167" i="19"/>
  <c r="AI383" i="17"/>
  <c r="AI164" i="17"/>
  <c r="AI127" i="17"/>
  <c r="AI360" i="17"/>
  <c r="AI202" i="17"/>
  <c r="AI371" i="17"/>
  <c r="BC70" i="17"/>
  <c r="AI48" i="19"/>
  <c r="BC47" i="17"/>
  <c r="AJ313" i="17"/>
  <c r="AN313" i="17" s="1"/>
  <c r="AJ298" i="17"/>
  <c r="AN298" i="17" s="1"/>
  <c r="AI282" i="17"/>
  <c r="AI354" i="17"/>
  <c r="AI21" i="17"/>
  <c r="AI64" i="19"/>
  <c r="AI48" i="17"/>
  <c r="AI272" i="17"/>
  <c r="AJ172" i="17"/>
  <c r="AN172" i="17" s="1"/>
  <c r="BC311" i="17"/>
  <c r="BC32" i="17"/>
  <c r="AJ103" i="17"/>
  <c r="AN103" i="17" s="1"/>
  <c r="BC74" i="17"/>
  <c r="AI75" i="19"/>
  <c r="AI226" i="17"/>
  <c r="AI274" i="17"/>
  <c r="AI262" i="17"/>
  <c r="AI160" i="19"/>
  <c r="AI246" i="19"/>
  <c r="AJ166" i="17"/>
  <c r="AN166" i="17" s="1"/>
  <c r="AI184" i="17"/>
  <c r="AJ291" i="17"/>
  <c r="AN291" i="17" s="1"/>
  <c r="AI291" i="17"/>
  <c r="AI302" i="19"/>
  <c r="AI301" i="17"/>
  <c r="AI351" i="17"/>
  <c r="AJ174" i="17"/>
  <c r="AN174" i="17" s="1"/>
  <c r="AI174" i="17"/>
  <c r="AI18" i="17"/>
  <c r="AI240" i="17"/>
  <c r="AJ325" i="17"/>
  <c r="AN325" i="17" s="1"/>
  <c r="BC64" i="17"/>
  <c r="AJ90" i="17"/>
  <c r="AN90" i="17" s="1"/>
  <c r="AI214" i="19"/>
  <c r="BC380" i="17"/>
  <c r="AJ277" i="17"/>
  <c r="AN277" i="17" s="1"/>
  <c r="AI243" i="17"/>
  <c r="AI63" i="17"/>
  <c r="AJ133" i="17"/>
  <c r="AN133" i="17" s="1"/>
  <c r="BC402" i="17"/>
  <c r="AJ28" i="17"/>
  <c r="AN28" i="17" s="1"/>
  <c r="AI89" i="19"/>
  <c r="AJ343" i="17"/>
  <c r="AN343" i="17" s="1"/>
  <c r="BC274" i="17"/>
  <c r="AI288" i="17"/>
  <c r="BC288" i="17"/>
  <c r="BC296" i="17"/>
  <c r="BC166" i="17"/>
  <c r="AI166" i="17"/>
  <c r="AI165" i="17"/>
  <c r="BC325" i="17"/>
  <c r="AI325" i="17"/>
  <c r="AI8" i="17"/>
  <c r="AJ141" i="17"/>
  <c r="AN141" i="17" s="1"/>
  <c r="AI141" i="17"/>
  <c r="AI385" i="19"/>
  <c r="AI384" i="17"/>
  <c r="AI394" i="17"/>
  <c r="AI175" i="17"/>
  <c r="AJ316" i="17"/>
  <c r="AN316" i="17" s="1"/>
  <c r="AI316" i="17"/>
  <c r="AI392" i="17"/>
  <c r="AI297" i="19"/>
  <c r="AI296" i="17"/>
  <c r="AI94" i="19"/>
  <c r="AI6" i="17"/>
  <c r="AI7" i="19"/>
  <c r="BC243" i="17"/>
  <c r="BC168" i="17"/>
  <c r="AJ302" i="17"/>
  <c r="AN302" i="17" s="1"/>
  <c r="AJ63" i="17"/>
  <c r="AN63" i="17" s="1"/>
  <c r="BC63" i="17"/>
  <c r="BC73" i="17"/>
  <c r="AI230" i="19"/>
  <c r="AI130" i="19"/>
  <c r="AI329" i="17"/>
  <c r="AI16" i="19"/>
  <c r="AI180" i="17"/>
  <c r="AI295" i="19"/>
  <c r="AJ226" i="17"/>
  <c r="AN226" i="17" s="1"/>
  <c r="BC14" i="17"/>
  <c r="AJ218" i="17"/>
  <c r="AN218" i="17" s="1"/>
  <c r="AI120" i="19"/>
  <c r="BC161" i="17"/>
  <c r="AI161" i="17"/>
  <c r="AI51" i="19"/>
  <c r="AI50" i="17"/>
  <c r="BC273" i="17"/>
  <c r="AI273" i="17"/>
  <c r="AI111" i="17"/>
  <c r="AI11" i="17"/>
  <c r="AI114" i="17"/>
  <c r="BC368" i="17"/>
  <c r="AI368" i="17"/>
  <c r="AJ53" i="17"/>
  <c r="AN53" i="17" s="1"/>
  <c r="AI53" i="17"/>
  <c r="AI170" i="17"/>
  <c r="AI264" i="19"/>
  <c r="BC225" i="17"/>
  <c r="AI103" i="19"/>
  <c r="AI229" i="19"/>
  <c r="AJ213" i="17"/>
  <c r="AN213" i="17" s="1"/>
  <c r="AI64" i="17"/>
  <c r="AJ399" i="17"/>
  <c r="AN399" i="17" s="1"/>
  <c r="AI399" i="17"/>
  <c r="AI91" i="19"/>
  <c r="AI90" i="17"/>
  <c r="BC213" i="17"/>
  <c r="AI213" i="17"/>
  <c r="AI380" i="17"/>
  <c r="AJ68" i="17"/>
  <c r="AN68" i="17" s="1"/>
  <c r="AI277" i="17"/>
  <c r="AJ40" i="17"/>
  <c r="AN40" i="17" s="1"/>
  <c r="BC40" i="17"/>
  <c r="AJ37" i="17"/>
  <c r="AN37" i="17" s="1"/>
  <c r="BC357" i="17"/>
  <c r="AI278" i="19"/>
  <c r="BC277" i="17"/>
  <c r="AI133" i="17"/>
  <c r="AI149" i="17"/>
  <c r="AI378" i="19"/>
  <c r="AJ377" i="17"/>
  <c r="AN377" i="17" s="1"/>
  <c r="AI402" i="17"/>
  <c r="AI67" i="19"/>
  <c r="AI28" i="17"/>
  <c r="AI347" i="19"/>
  <c r="AI138" i="19"/>
  <c r="AI137" i="17"/>
  <c r="AI236" i="17"/>
  <c r="AI198" i="19"/>
  <c r="AI197" i="17"/>
  <c r="AI115" i="17"/>
  <c r="AI253" i="17"/>
  <c r="AI264" i="17"/>
  <c r="AI374" i="17"/>
  <c r="AI375" i="19"/>
  <c r="AJ307" i="17"/>
  <c r="AN307" i="17" s="1"/>
  <c r="BC92" i="17"/>
  <c r="AJ89" i="17"/>
  <c r="AN89" i="17" s="1"/>
  <c r="AI235" i="19"/>
  <c r="AI124" i="19"/>
  <c r="BC183" i="17"/>
  <c r="BC163" i="17"/>
  <c r="AJ381" i="17"/>
  <c r="AN381" i="17" s="1"/>
  <c r="AI382" i="19"/>
  <c r="AJ386" i="17"/>
  <c r="AN386" i="17" s="1"/>
  <c r="AI137" i="19"/>
  <c r="AI374" i="19"/>
  <c r="AJ204" i="17"/>
  <c r="AN204" i="17" s="1"/>
  <c r="BC147" i="17"/>
  <c r="AI88" i="19"/>
  <c r="AI388" i="17"/>
  <c r="BC94" i="17"/>
  <c r="AI26" i="19"/>
  <c r="BC261" i="17"/>
  <c r="AJ156" i="17"/>
  <c r="AN156" i="17" s="1"/>
  <c r="AI39" i="17"/>
  <c r="AI135" i="19"/>
  <c r="AI134" i="17"/>
  <c r="AJ237" i="17"/>
  <c r="AN237" i="17" s="1"/>
  <c r="AI379" i="17"/>
  <c r="AI309" i="17"/>
  <c r="AI319" i="17"/>
  <c r="AI22" i="17"/>
  <c r="AJ200" i="17"/>
  <c r="AN200" i="17" s="1"/>
  <c r="AJ339" i="17"/>
  <c r="AN339" i="17" s="1"/>
  <c r="AI342" i="17"/>
  <c r="AI280" i="19"/>
  <c r="BC279" i="17"/>
  <c r="AI86" i="17"/>
  <c r="AJ299" i="17"/>
  <c r="AN299" i="17" s="1"/>
  <c r="BC189" i="17"/>
  <c r="AI266" i="19"/>
  <c r="AI82" i="17"/>
  <c r="AJ265" i="17"/>
  <c r="AN265" i="17" s="1"/>
  <c r="AI392" i="19"/>
  <c r="AI55" i="19"/>
  <c r="BC12" i="17"/>
  <c r="BC209" i="17"/>
  <c r="BC362" i="17"/>
  <c r="AJ108" i="17"/>
  <c r="AN108" i="17" s="1"/>
  <c r="BC348" i="17"/>
  <c r="AJ348" i="17"/>
  <c r="AN348" i="17" s="1"/>
  <c r="AJ215" i="17"/>
  <c r="AN215" i="17" s="1"/>
  <c r="BC335" i="17"/>
  <c r="BC350" i="17"/>
  <c r="AI351" i="19"/>
  <c r="AJ397" i="17"/>
  <c r="AN397" i="17" s="1"/>
  <c r="BC120" i="17"/>
  <c r="AJ120" i="17"/>
  <c r="AN120" i="17" s="1"/>
  <c r="AI106" i="19"/>
  <c r="BC46" i="17"/>
  <c r="AI67" i="17"/>
  <c r="AI68" i="19"/>
  <c r="AI401" i="17"/>
  <c r="AJ401" i="17"/>
  <c r="AN401" i="17" s="1"/>
  <c r="AJ55" i="17"/>
  <c r="AN55" i="17" s="1"/>
  <c r="AI364" i="19"/>
  <c r="BC117" i="17"/>
  <c r="AJ117" i="17"/>
  <c r="AN117" i="17" s="1"/>
  <c r="AI362" i="17"/>
  <c r="AJ362" i="17"/>
  <c r="AN362" i="17" s="1"/>
  <c r="AI284" i="19"/>
  <c r="AI85" i="19"/>
  <c r="AI281" i="17"/>
  <c r="BC281" i="17"/>
  <c r="AI40" i="19"/>
  <c r="AI171" i="17"/>
  <c r="AJ171" i="17"/>
  <c r="AN171" i="17" s="1"/>
  <c r="BC23" i="17"/>
  <c r="BC173" i="17"/>
  <c r="AJ173" i="17"/>
  <c r="AN173" i="17" s="1"/>
  <c r="AI322" i="17"/>
  <c r="BC224" i="17"/>
  <c r="AI73" i="19"/>
  <c r="AI355" i="17"/>
  <c r="BC355" i="17"/>
  <c r="AI167" i="17"/>
  <c r="AI309" i="19"/>
  <c r="AI126" i="19"/>
  <c r="AI44" i="19"/>
  <c r="AI194" i="17"/>
  <c r="BC190" i="17"/>
  <c r="AJ297" i="17"/>
  <c r="AN297" i="17" s="1"/>
  <c r="BC17" i="17"/>
  <c r="AI18" i="19"/>
  <c r="AJ203" i="17"/>
  <c r="AN203" i="17" s="1"/>
  <c r="AJ275" i="17"/>
  <c r="AN275" i="17" s="1"/>
  <c r="AI110" i="17"/>
  <c r="BC30" i="17"/>
  <c r="AJ216" i="17"/>
  <c r="AN216" i="17" s="1"/>
  <c r="AI112" i="17"/>
  <c r="BC112" i="17"/>
  <c r="AJ395" i="17"/>
  <c r="AN395" i="17" s="1"/>
  <c r="AI305" i="19"/>
  <c r="AJ345" i="17"/>
  <c r="AN345" i="17" s="1"/>
  <c r="AJ230" i="17"/>
  <c r="AN230" i="17" s="1"/>
  <c r="AI86" i="19"/>
  <c r="AJ366" i="17"/>
  <c r="AN366" i="17" s="1"/>
  <c r="AJ34" i="17"/>
  <c r="AN34" i="17" s="1"/>
  <c r="AJ138" i="17"/>
  <c r="AN138" i="17" s="1"/>
  <c r="AI279" i="19"/>
  <c r="AI248" i="19"/>
  <c r="AI99" i="19"/>
  <c r="AJ382" i="17"/>
  <c r="AN382" i="17" s="1"/>
  <c r="AI383" i="19"/>
  <c r="AI213" i="19"/>
  <c r="AI107" i="17"/>
  <c r="BC107" i="17"/>
  <c r="AJ83" i="17"/>
  <c r="AN83" i="17" s="1"/>
  <c r="AJ276" i="17"/>
  <c r="AN276" i="17" s="1"/>
  <c r="AI336" i="17"/>
  <c r="AJ403" i="17"/>
  <c r="AN403" i="17" s="1"/>
  <c r="AI250" i="17"/>
  <c r="AJ58" i="17"/>
  <c r="AN58" i="17" s="1"/>
  <c r="BC58" i="17"/>
  <c r="BC211" i="17"/>
  <c r="AI406" i="17"/>
  <c r="AI407" i="19"/>
  <c r="AI354" i="19"/>
  <c r="BC353" i="17"/>
  <c r="AI252" i="17"/>
  <c r="BC252" i="17"/>
  <c r="AI144" i="17"/>
  <c r="AI145" i="19"/>
  <c r="AJ38" i="17"/>
  <c r="AN38" i="17" s="1"/>
  <c r="BC330" i="17"/>
  <c r="AJ24" i="17"/>
  <c r="AN24" i="17" s="1"/>
  <c r="BC158" i="17"/>
  <c r="AJ57" i="17"/>
  <c r="AN57" i="17" s="1"/>
  <c r="AI207" i="17"/>
  <c r="BC207" i="17"/>
  <c r="BC408" i="17"/>
  <c r="AI180" i="19"/>
  <c r="AI155" i="19"/>
  <c r="BC154" i="17"/>
  <c r="AJ26" i="17"/>
  <c r="AN26" i="17" s="1"/>
  <c r="BC26" i="17"/>
  <c r="AI178" i="17"/>
  <c r="AJ178" i="17"/>
  <c r="AN178" i="17" s="1"/>
  <c r="AJ390" i="17"/>
  <c r="AN390" i="17" s="1"/>
  <c r="BC367" i="17"/>
  <c r="AI177" i="19"/>
  <c r="AJ176" i="17"/>
  <c r="AN176" i="17" s="1"/>
  <c r="AJ248" i="17"/>
  <c r="AN248" i="17" s="1"/>
  <c r="AI249" i="19"/>
  <c r="BC135" i="17"/>
  <c r="AJ198" i="17"/>
  <c r="AN198" i="17" s="1"/>
  <c r="BC352" i="17"/>
  <c r="BC312" i="17"/>
  <c r="BC327" i="17"/>
  <c r="AJ151" i="17"/>
  <c r="AN151" i="17" s="1"/>
  <c r="AI152" i="19"/>
  <c r="BC370" i="17"/>
  <c r="AI11" i="19"/>
  <c r="AJ400" i="17"/>
  <c r="AN400" i="17" s="1"/>
  <c r="BC314" i="17"/>
  <c r="BC77" i="17"/>
  <c r="AI379" i="19"/>
  <c r="AI21" i="19"/>
  <c r="AI228" i="19"/>
  <c r="AJ315" i="17"/>
  <c r="AN315" i="17" s="1"/>
  <c r="AJ280" i="17"/>
  <c r="AN280" i="17" s="1"/>
  <c r="BC109" i="17"/>
  <c r="AI202" i="19"/>
  <c r="AJ126" i="17"/>
  <c r="AN126" i="17" s="1"/>
  <c r="BC126" i="17"/>
  <c r="BC124" i="17"/>
  <c r="AI207" i="19"/>
  <c r="BC206" i="17"/>
  <c r="AI117" i="19"/>
  <c r="BC45" i="17"/>
  <c r="AJ182" i="17"/>
  <c r="AN182" i="17" s="1"/>
  <c r="AI141" i="19"/>
  <c r="AI218" i="19"/>
  <c r="AI368" i="19"/>
  <c r="AJ367" i="17"/>
  <c r="AN367" i="17" s="1"/>
  <c r="BC155" i="17"/>
  <c r="BC33" i="17"/>
  <c r="BC268" i="17"/>
  <c r="AI267" i="19"/>
  <c r="AI51" i="17"/>
  <c r="AJ51" i="17"/>
  <c r="AN51" i="17" s="1"/>
  <c r="AJ122" i="17"/>
  <c r="AN122" i="17" s="1"/>
  <c r="AJ349" i="17"/>
  <c r="AN349" i="17" s="1"/>
  <c r="BD285" i="19" l="1"/>
  <c r="BD391" i="19"/>
  <c r="BD221" i="19"/>
  <c r="AN95" i="17"/>
  <c r="BL155" i="17"/>
  <c r="BO155" i="17" s="1"/>
  <c r="BL348" i="17"/>
  <c r="BO348" i="17" s="1"/>
  <c r="BL74" i="17"/>
  <c r="BO74" i="17" s="1"/>
  <c r="BL154" i="17"/>
  <c r="BO154" i="17" s="1"/>
  <c r="BL357" i="17"/>
  <c r="BO357" i="17" s="1"/>
  <c r="BL213" i="17"/>
  <c r="BO213" i="17" s="1"/>
  <c r="BL161" i="17"/>
  <c r="BO161" i="17" s="1"/>
  <c r="BL243" i="17"/>
  <c r="BO243" i="17" s="1"/>
  <c r="BL274" i="17"/>
  <c r="BO274" i="17" s="1"/>
  <c r="BL372" i="17"/>
  <c r="BO372" i="17" s="1"/>
  <c r="BL35" i="17"/>
  <c r="BO35" i="17" s="1"/>
  <c r="BL205" i="17"/>
  <c r="BP205" i="17" s="1"/>
  <c r="BL169" i="17"/>
  <c r="BO169" i="17" s="1"/>
  <c r="BL370" i="17"/>
  <c r="BO370" i="17" s="1"/>
  <c r="BL368" i="17"/>
  <c r="BO368" i="17" s="1"/>
  <c r="BL168" i="17"/>
  <c r="BO168" i="17" s="1"/>
  <c r="BL78" i="17"/>
  <c r="BO78" i="17" s="1"/>
  <c r="BL124" i="17"/>
  <c r="BO124" i="17" s="1"/>
  <c r="BL362" i="17"/>
  <c r="BO362" i="17" s="1"/>
  <c r="BL189" i="17"/>
  <c r="BO189" i="17" s="1"/>
  <c r="BL126" i="17"/>
  <c r="BO126" i="17" s="1"/>
  <c r="BL327" i="17"/>
  <c r="BO327" i="17" s="1"/>
  <c r="BL330" i="17"/>
  <c r="BO330" i="17" s="1"/>
  <c r="BL173" i="17"/>
  <c r="BO173" i="17" s="1"/>
  <c r="BL209" i="17"/>
  <c r="BO209" i="17" s="1"/>
  <c r="BL261" i="17"/>
  <c r="BO261" i="17" s="1"/>
  <c r="BL225" i="17"/>
  <c r="BO225" i="17" s="1"/>
  <c r="BL325" i="17"/>
  <c r="BO325" i="17" s="1"/>
  <c r="BL380" i="17"/>
  <c r="BO380" i="17" s="1"/>
  <c r="BL32" i="17"/>
  <c r="BO32" i="17" s="1"/>
  <c r="BL152" i="17"/>
  <c r="BO152" i="17" s="1"/>
  <c r="BL318" i="17"/>
  <c r="BO318" i="17" s="1"/>
  <c r="BL31" i="17"/>
  <c r="BO31" i="17" s="1"/>
  <c r="BL238" i="17"/>
  <c r="BO238" i="17" s="1"/>
  <c r="BL185" i="17"/>
  <c r="BO185" i="17" s="1"/>
  <c r="BL338" i="17"/>
  <c r="BO338" i="17" s="1"/>
  <c r="BL312" i="17"/>
  <c r="BO312" i="17" s="1"/>
  <c r="BL12" i="17"/>
  <c r="BO12" i="17" s="1"/>
  <c r="BL231" i="17"/>
  <c r="BO231" i="17" s="1"/>
  <c r="BL285" i="17"/>
  <c r="BO285" i="17" s="1"/>
  <c r="BL284" i="17"/>
  <c r="BO284" i="17" s="1"/>
  <c r="BL75" i="17"/>
  <c r="BO75" i="17" s="1"/>
  <c r="BL206" i="17"/>
  <c r="BO206" i="17" s="1"/>
  <c r="BL30" i="17"/>
  <c r="BO30" i="17" s="1"/>
  <c r="BL158" i="17"/>
  <c r="BO158" i="17" s="1"/>
  <c r="BL92" i="17"/>
  <c r="BO92" i="17" s="1"/>
  <c r="BL40" i="17"/>
  <c r="BO40" i="17" s="1"/>
  <c r="BL314" i="17"/>
  <c r="BO314" i="17" s="1"/>
  <c r="BL408" i="17"/>
  <c r="BO408" i="17" s="1"/>
  <c r="BL107" i="17"/>
  <c r="BO107" i="17" s="1"/>
  <c r="BL112" i="17"/>
  <c r="BO112" i="17" s="1"/>
  <c r="BL17" i="17"/>
  <c r="BO17" i="17" s="1"/>
  <c r="BL355" i="17"/>
  <c r="BO355" i="17" s="1"/>
  <c r="BL335" i="17"/>
  <c r="BO335" i="17" s="1"/>
  <c r="BL279" i="17"/>
  <c r="BO279" i="17" s="1"/>
  <c r="BL94" i="17"/>
  <c r="BO94" i="17" s="1"/>
  <c r="BL14" i="17"/>
  <c r="BO14" i="17" s="1"/>
  <c r="BL73" i="17"/>
  <c r="BO73" i="17" s="1"/>
  <c r="BL7" i="17"/>
  <c r="BO7" i="17" s="1"/>
  <c r="BL271" i="17"/>
  <c r="BO271" i="17" s="1"/>
  <c r="BL19" i="17"/>
  <c r="BO19" i="17" s="1"/>
  <c r="BL341" i="17"/>
  <c r="BO341" i="17" s="1"/>
  <c r="BL79" i="17"/>
  <c r="BO79" i="17" s="1"/>
  <c r="BL77" i="17"/>
  <c r="BO77" i="17" s="1"/>
  <c r="BL350" i="17"/>
  <c r="BO350" i="17" s="1"/>
  <c r="BL352" i="17"/>
  <c r="BO352" i="17" s="1"/>
  <c r="BL211" i="17"/>
  <c r="BO211" i="17" s="1"/>
  <c r="BL268" i="17"/>
  <c r="BO268" i="17" s="1"/>
  <c r="BL109" i="17"/>
  <c r="BP109" i="17" s="1"/>
  <c r="BL207" i="17"/>
  <c r="BO207" i="17" s="1"/>
  <c r="BL58" i="17"/>
  <c r="BO58" i="17" s="1"/>
  <c r="BL46" i="17"/>
  <c r="BO46" i="17" s="1"/>
  <c r="BL273" i="17"/>
  <c r="BO273" i="17" s="1"/>
  <c r="BL63" i="17"/>
  <c r="BO63" i="17" s="1"/>
  <c r="BL166" i="17"/>
  <c r="BO166" i="17" s="1"/>
  <c r="BL402" i="17"/>
  <c r="BO402" i="17" s="1"/>
  <c r="BL64" i="17"/>
  <c r="BO64" i="17" s="1"/>
  <c r="BL47" i="17"/>
  <c r="BO47" i="17" s="1"/>
  <c r="BL2" i="17"/>
  <c r="BN2" i="17" s="1"/>
  <c r="BL104" i="17"/>
  <c r="BO104" i="17" s="1"/>
  <c r="BL239" i="17"/>
  <c r="BO239" i="17" s="1"/>
  <c r="BL62" i="17"/>
  <c r="BO62" i="17" s="1"/>
  <c r="BP30" i="17"/>
  <c r="BL26" i="17"/>
  <c r="BO26" i="17" s="1"/>
  <c r="BL281" i="17"/>
  <c r="BO281" i="17" s="1"/>
  <c r="BL353" i="17"/>
  <c r="BO353" i="17" s="1"/>
  <c r="BL367" i="17"/>
  <c r="BO367" i="17" s="1"/>
  <c r="BL23" i="17"/>
  <c r="BP23" i="17" s="1"/>
  <c r="BL311" i="17"/>
  <c r="BO311" i="17" s="1"/>
  <c r="BL45" i="17"/>
  <c r="BP45" i="17" s="1"/>
  <c r="BL33" i="17"/>
  <c r="BO33" i="17" s="1"/>
  <c r="BL135" i="17"/>
  <c r="BP135" i="17" s="1"/>
  <c r="BL252" i="17"/>
  <c r="BO252" i="17" s="1"/>
  <c r="BL190" i="17"/>
  <c r="BO190" i="17" s="1"/>
  <c r="BL117" i="17"/>
  <c r="BO117" i="17" s="1"/>
  <c r="BL163" i="17"/>
  <c r="BP163" i="17" s="1"/>
  <c r="BL296" i="17"/>
  <c r="BO296" i="17" s="1"/>
  <c r="BL186" i="17"/>
  <c r="BO186" i="17" s="1"/>
  <c r="AN2" i="17"/>
  <c r="BL224" i="17"/>
  <c r="BO224" i="17" s="1"/>
  <c r="BL147" i="17"/>
  <c r="BO147" i="17" s="1"/>
  <c r="BL183" i="17"/>
  <c r="BO183" i="17" s="1"/>
  <c r="BL277" i="17"/>
  <c r="BO277" i="17" s="1"/>
  <c r="BL288" i="17"/>
  <c r="BO288" i="17" s="1"/>
  <c r="BL70" i="17"/>
  <c r="BO70" i="17" s="1"/>
  <c r="BL181" i="17"/>
  <c r="BO181" i="17" s="1"/>
  <c r="BL208" i="17"/>
  <c r="BO208" i="17" s="1"/>
  <c r="BL56" i="17"/>
  <c r="BO56" i="17" s="1"/>
  <c r="BL120" i="17"/>
  <c r="BO120" i="17" s="1"/>
  <c r="BL223" i="17"/>
  <c r="BO223" i="17" s="1"/>
  <c r="BL407" i="17"/>
  <c r="BO407" i="17" s="1"/>
  <c r="AJ10" i="17"/>
  <c r="AN10" i="17" s="1"/>
  <c r="BC10" i="17"/>
  <c r="AI10" i="17"/>
  <c r="AJ192" i="17"/>
  <c r="AN192" i="17" s="1"/>
  <c r="AI193" i="19"/>
  <c r="AI192" i="17"/>
  <c r="BC192" i="17"/>
  <c r="AI313" i="19"/>
  <c r="AJ312" i="17"/>
  <c r="AN312" i="17" s="1"/>
  <c r="AI312" i="17"/>
  <c r="BC198" i="17"/>
  <c r="AI199" i="19"/>
  <c r="AI198" i="17"/>
  <c r="AJ396" i="17"/>
  <c r="AN396" i="17" s="1"/>
  <c r="AI397" i="19"/>
  <c r="AI396" i="17"/>
  <c r="BC396" i="17"/>
  <c r="AI268" i="19"/>
  <c r="AI267" i="17"/>
  <c r="BC267" i="17"/>
  <c r="AJ267" i="17"/>
  <c r="AN267" i="17" s="1"/>
  <c r="AJ179" i="17"/>
  <c r="AN179" i="17" s="1"/>
  <c r="BC179" i="17"/>
  <c r="AI179" i="17"/>
  <c r="AI338" i="19"/>
  <c r="BC337" i="17"/>
  <c r="AI337" i="17"/>
  <c r="AJ337" i="17"/>
  <c r="AN337" i="17" s="1"/>
  <c r="AI345" i="19"/>
  <c r="AJ344" i="17"/>
  <c r="AN344" i="17" s="1"/>
  <c r="AI344" i="17"/>
  <c r="BC344" i="17"/>
  <c r="AI3" i="17"/>
  <c r="BC3" i="17"/>
  <c r="BC81" i="17"/>
  <c r="AJ81" i="17"/>
  <c r="AN81" i="17" s="1"/>
  <c r="AI81" i="17"/>
  <c r="BC61" i="17"/>
  <c r="AI62" i="19"/>
  <c r="AI61" i="17"/>
  <c r="AJ61" i="17"/>
  <c r="AN61" i="17" s="1"/>
  <c r="AJ356" i="17"/>
  <c r="AN356" i="17" s="1"/>
  <c r="AI357" i="19"/>
  <c r="AI356" i="17"/>
  <c r="BC356" i="17"/>
  <c r="AI6" i="19"/>
  <c r="BC5" i="17"/>
  <c r="AI5" i="17"/>
  <c r="AJ289" i="17"/>
  <c r="AN289" i="17" s="1"/>
  <c r="AI290" i="19"/>
  <c r="AI289" i="17"/>
  <c r="BC289" i="17"/>
  <c r="AI390" i="19"/>
  <c r="AJ389" i="17"/>
  <c r="AN389" i="17" s="1"/>
  <c r="AI389" i="17"/>
  <c r="AJ148" i="17"/>
  <c r="AN148" i="17" s="1"/>
  <c r="BC148" i="17"/>
  <c r="AI148" i="17"/>
  <c r="AI149" i="19"/>
  <c r="AI52" i="19"/>
  <c r="BC51" i="17"/>
  <c r="AI269" i="19"/>
  <c r="AI268" i="17"/>
  <c r="AJ268" i="17"/>
  <c r="AN268" i="17" s="1"/>
  <c r="AJ155" i="17"/>
  <c r="AN155" i="17" s="1"/>
  <c r="AI156" i="19"/>
  <c r="AI155" i="17"/>
  <c r="AI123" i="19"/>
  <c r="AI122" i="17"/>
  <c r="C419" i="17"/>
  <c r="C23" i="20" s="1"/>
  <c r="BC217" i="17"/>
  <c r="AJ217" i="17"/>
  <c r="AN217" i="17" s="1"/>
  <c r="AI217" i="17"/>
  <c r="BC182" i="17"/>
  <c r="AI183" i="19"/>
  <c r="AI182" i="17"/>
  <c r="BC210" i="17"/>
  <c r="AI211" i="19"/>
  <c r="AI210" i="17"/>
  <c r="AJ210" i="17"/>
  <c r="AN210" i="17" s="1"/>
  <c r="BC116" i="17"/>
  <c r="AJ116" i="17"/>
  <c r="AN116" i="17" s="1"/>
  <c r="AI116" i="17"/>
  <c r="BC122" i="17"/>
  <c r="BC76" i="17"/>
  <c r="AI77" i="19"/>
  <c r="AI76" i="17"/>
  <c r="AJ76" i="17"/>
  <c r="AN76" i="17" s="1"/>
  <c r="AI125" i="19"/>
  <c r="AJ124" i="17"/>
  <c r="AN124" i="17" s="1"/>
  <c r="AI124" i="17"/>
  <c r="AJ201" i="17"/>
  <c r="AN201" i="17" s="1"/>
  <c r="BC201" i="17"/>
  <c r="AI201" i="17"/>
  <c r="AI301" i="19"/>
  <c r="BC300" i="17"/>
  <c r="AI300" i="17"/>
  <c r="AJ300" i="17"/>
  <c r="AN300" i="17" s="1"/>
  <c r="BC280" i="17"/>
  <c r="AI281" i="19"/>
  <c r="AI280" i="17"/>
  <c r="AJ227" i="17"/>
  <c r="AN227" i="17" s="1"/>
  <c r="BC227" i="17"/>
  <c r="AI227" i="17"/>
  <c r="AI50" i="19"/>
  <c r="AJ49" i="17"/>
  <c r="AN49" i="17" s="1"/>
  <c r="AI49" i="17"/>
  <c r="BC49" i="17"/>
  <c r="AJ378" i="17"/>
  <c r="AN378" i="17" s="1"/>
  <c r="BC378" i="17"/>
  <c r="AI378" i="17"/>
  <c r="AI315" i="19"/>
  <c r="AJ314" i="17"/>
  <c r="AN314" i="17" s="1"/>
  <c r="AI314" i="17"/>
  <c r="BC71" i="17"/>
  <c r="AI71" i="17"/>
  <c r="AI72" i="19"/>
  <c r="AJ71" i="17"/>
  <c r="AN71" i="17" s="1"/>
  <c r="BC57" i="17"/>
  <c r="AI58" i="19"/>
  <c r="AI57" i="17"/>
  <c r="AJ101" i="17"/>
  <c r="AN101" i="17" s="1"/>
  <c r="AI101" i="17"/>
  <c r="AI102" i="19"/>
  <c r="AJ328" i="17"/>
  <c r="AN328" i="17" s="1"/>
  <c r="AI329" i="19"/>
  <c r="AI328" i="17"/>
  <c r="AJ332" i="17"/>
  <c r="AN332" i="17" s="1"/>
  <c r="AI333" i="19"/>
  <c r="AI332" i="17"/>
  <c r="BC303" i="17"/>
  <c r="AI304" i="19"/>
  <c r="AI303" i="17"/>
  <c r="AI321" i="19"/>
  <c r="AJ320" i="17"/>
  <c r="AN320" i="17" s="1"/>
  <c r="AI320" i="17"/>
  <c r="AJ131" i="17"/>
  <c r="AN131" i="17" s="1"/>
  <c r="AI131" i="17"/>
  <c r="BC131" i="17"/>
  <c r="BC153" i="17"/>
  <c r="AJ153" i="17"/>
  <c r="AN153" i="17" s="1"/>
  <c r="AI153" i="17"/>
  <c r="AI154" i="19"/>
  <c r="AI234" i="19"/>
  <c r="BC233" i="17"/>
  <c r="AI233" i="17"/>
  <c r="AI350" i="19"/>
  <c r="BC349" i="17"/>
  <c r="AI349" i="17"/>
  <c r="BC101" i="17"/>
  <c r="BC266" i="17"/>
  <c r="AJ266" i="17"/>
  <c r="AN266" i="17" s="1"/>
  <c r="AI266" i="17"/>
  <c r="AI66" i="19"/>
  <c r="AI65" i="17"/>
  <c r="BC65" i="17"/>
  <c r="AJ65" i="17"/>
  <c r="AN65" i="17" s="1"/>
  <c r="BC328" i="17"/>
  <c r="AJ3" i="17"/>
  <c r="AN3" i="17" s="1"/>
  <c r="AI82" i="19"/>
  <c r="BC332" i="17"/>
  <c r="AJ303" i="17"/>
  <c r="AN303" i="17" s="1"/>
  <c r="BC320" i="17"/>
  <c r="AJ5" i="17"/>
  <c r="AN5" i="17" s="1"/>
  <c r="BC389" i="17"/>
  <c r="AI132" i="19"/>
  <c r="AI4" i="19"/>
  <c r="AI371" i="19"/>
  <c r="AJ370" i="17"/>
  <c r="AN370" i="17" s="1"/>
  <c r="AI370" i="17"/>
  <c r="AJ327" i="17"/>
  <c r="AN327" i="17" s="1"/>
  <c r="AI328" i="19"/>
  <c r="AI327" i="17"/>
  <c r="AI376" i="19"/>
  <c r="AI375" i="17"/>
  <c r="AJ375" i="17"/>
  <c r="AN375" i="17" s="1"/>
  <c r="BC375" i="17"/>
  <c r="AI136" i="19"/>
  <c r="AI135" i="17"/>
  <c r="AJ135" i="17"/>
  <c r="AN135" i="17" s="1"/>
  <c r="AJ233" i="17"/>
  <c r="AN233" i="17" s="1"/>
  <c r="AJ128" i="17"/>
  <c r="AN128" i="17" s="1"/>
  <c r="BC128" i="17"/>
  <c r="AI128" i="17"/>
  <c r="AI129" i="19"/>
  <c r="AJ330" i="17"/>
  <c r="AN330" i="17" s="1"/>
  <c r="AI331" i="19"/>
  <c r="AI330" i="17"/>
  <c r="AI34" i="19"/>
  <c r="AJ33" i="17"/>
  <c r="AN33" i="17" s="1"/>
  <c r="AJ140" i="17"/>
  <c r="AN140" i="17" s="1"/>
  <c r="BC140" i="17"/>
  <c r="AI46" i="19"/>
  <c r="AJ45" i="17"/>
  <c r="AN45" i="17" s="1"/>
  <c r="AJ109" i="17"/>
  <c r="AN109" i="17" s="1"/>
  <c r="AI110" i="19"/>
  <c r="AI316" i="19"/>
  <c r="BC315" i="17"/>
  <c r="BC20" i="17"/>
  <c r="AJ20" i="17"/>
  <c r="AN20" i="17" s="1"/>
  <c r="AJ77" i="17"/>
  <c r="AN77" i="17" s="1"/>
  <c r="AI78" i="19"/>
  <c r="BC400" i="17"/>
  <c r="AI401" i="19"/>
  <c r="AJ352" i="17"/>
  <c r="AN352" i="17" s="1"/>
  <c r="AI353" i="19"/>
  <c r="AI391" i="19"/>
  <c r="BC390" i="17"/>
  <c r="AI409" i="19"/>
  <c r="AJ408" i="17"/>
  <c r="AN408" i="17" s="1"/>
  <c r="AI159" i="19"/>
  <c r="AJ158" i="17"/>
  <c r="AN158" i="17" s="1"/>
  <c r="AI39" i="19"/>
  <c r="BC38" i="17"/>
  <c r="AJ336" i="17"/>
  <c r="AN336" i="17" s="1"/>
  <c r="AI277" i="19"/>
  <c r="BC276" i="17"/>
  <c r="BC278" i="17"/>
  <c r="BC138" i="17"/>
  <c r="AI139" i="19"/>
  <c r="AI367" i="19"/>
  <c r="BC366" i="17"/>
  <c r="AJ304" i="17"/>
  <c r="AN304" i="17" s="1"/>
  <c r="BC304" i="17"/>
  <c r="AI31" i="19"/>
  <c r="AJ30" i="17"/>
  <c r="AN30" i="17" s="1"/>
  <c r="AI191" i="19"/>
  <c r="AJ190" i="17"/>
  <c r="AN190" i="17" s="1"/>
  <c r="BC308" i="17"/>
  <c r="AJ308" i="17"/>
  <c r="AN308" i="17" s="1"/>
  <c r="AI168" i="19"/>
  <c r="AJ224" i="17"/>
  <c r="AN224" i="17" s="1"/>
  <c r="AI225" i="19"/>
  <c r="AI27" i="19"/>
  <c r="BC84" i="17"/>
  <c r="BC283" i="17"/>
  <c r="AJ283" i="17"/>
  <c r="AN283" i="17" s="1"/>
  <c r="BC363" i="17"/>
  <c r="BC55" i="17"/>
  <c r="BL55" i="17" s="1"/>
  <c r="AI56" i="19"/>
  <c r="AJ105" i="17"/>
  <c r="AN105" i="17" s="1"/>
  <c r="BC105" i="17"/>
  <c r="AJ17" i="17"/>
  <c r="AN17" i="17" s="1"/>
  <c r="AI84" i="19"/>
  <c r="AJ209" i="17"/>
  <c r="AN209" i="17" s="1"/>
  <c r="AI210" i="19"/>
  <c r="AJ54" i="17"/>
  <c r="AN54" i="17" s="1"/>
  <c r="BC54" i="17"/>
  <c r="BC265" i="17"/>
  <c r="AI265" i="17"/>
  <c r="AJ189" i="17"/>
  <c r="AN189" i="17" s="1"/>
  <c r="AI190" i="19"/>
  <c r="AI33" i="17"/>
  <c r="AI206" i="17"/>
  <c r="AI109" i="17"/>
  <c r="AI20" i="17"/>
  <c r="AI200" i="17"/>
  <c r="AJ309" i="17"/>
  <c r="AN309" i="17" s="1"/>
  <c r="AI310" i="19"/>
  <c r="AI237" i="17"/>
  <c r="AI348" i="17"/>
  <c r="AI278" i="17"/>
  <c r="AI304" i="17"/>
  <c r="AI17" i="17"/>
  <c r="AI54" i="17"/>
  <c r="BC388" i="17"/>
  <c r="BC204" i="17"/>
  <c r="AI204" i="17"/>
  <c r="AJ136" i="17"/>
  <c r="AN136" i="17" s="1"/>
  <c r="AI136" i="17"/>
  <c r="BC136" i="17"/>
  <c r="AJ183" i="17"/>
  <c r="AN183" i="17" s="1"/>
  <c r="AI184" i="19"/>
  <c r="AI183" i="17"/>
  <c r="AJ353" i="17"/>
  <c r="AN353" i="17" s="1"/>
  <c r="AJ234" i="17"/>
  <c r="AN234" i="17" s="1"/>
  <c r="BC234" i="17"/>
  <c r="AI234" i="17"/>
  <c r="AI127" i="19"/>
  <c r="AI93" i="19"/>
  <c r="AJ92" i="17"/>
  <c r="AN92" i="17" s="1"/>
  <c r="AI92" i="17"/>
  <c r="AJ264" i="17"/>
  <c r="AN264" i="17" s="1"/>
  <c r="BC264" i="17"/>
  <c r="AI45" i="17"/>
  <c r="AI151" i="17"/>
  <c r="AI395" i="17"/>
  <c r="AI297" i="17"/>
  <c r="AI173" i="17"/>
  <c r="AI55" i="17"/>
  <c r="AI108" i="17"/>
  <c r="AJ363" i="17"/>
  <c r="AN363" i="17" s="1"/>
  <c r="BC177" i="17"/>
  <c r="AJ177" i="17"/>
  <c r="AN177" i="17" s="1"/>
  <c r="AI177" i="17"/>
  <c r="AI178" i="19"/>
  <c r="AJ323" i="17"/>
  <c r="AN323" i="17" s="1"/>
  <c r="AI324" i="19"/>
  <c r="BC323" i="17"/>
  <c r="AJ287" i="17"/>
  <c r="AN287" i="17" s="1"/>
  <c r="AI287" i="17"/>
  <c r="BC287" i="17"/>
  <c r="AJ251" i="17"/>
  <c r="AN251" i="17" s="1"/>
  <c r="AI252" i="19"/>
  <c r="AI251" i="17"/>
  <c r="BC44" i="17"/>
  <c r="AI44" i="17"/>
  <c r="AI45" i="19"/>
  <c r="AJ305" i="17"/>
  <c r="AN305" i="17" s="1"/>
  <c r="AI306" i="19"/>
  <c r="AI305" i="17"/>
  <c r="BC305" i="17"/>
  <c r="AI381" i="17"/>
  <c r="AI323" i="17"/>
  <c r="BC52" i="17"/>
  <c r="AJ52" i="17"/>
  <c r="AN52" i="17" s="1"/>
  <c r="AI53" i="19"/>
  <c r="AI52" i="17"/>
  <c r="BC42" i="17"/>
  <c r="AJ42" i="17"/>
  <c r="AN42" i="17" s="1"/>
  <c r="AI43" i="19"/>
  <c r="AI42" i="17"/>
  <c r="BC60" i="17"/>
  <c r="AJ60" i="17"/>
  <c r="AN60" i="17" s="1"/>
  <c r="AI61" i="19"/>
  <c r="AI60" i="17"/>
  <c r="AJ211" i="17"/>
  <c r="AN211" i="17" s="1"/>
  <c r="AI212" i="19"/>
  <c r="BC336" i="17"/>
  <c r="AI337" i="19"/>
  <c r="AJ212" i="17"/>
  <c r="AN212" i="17" s="1"/>
  <c r="BC212" i="17"/>
  <c r="BC345" i="17"/>
  <c r="AI346" i="19"/>
  <c r="AI217" i="19"/>
  <c r="BC216" i="17"/>
  <c r="AI204" i="19"/>
  <c r="BC203" i="17"/>
  <c r="AJ125" i="17"/>
  <c r="AN125" i="17" s="1"/>
  <c r="BC125" i="17"/>
  <c r="BC167" i="17"/>
  <c r="AJ167" i="17"/>
  <c r="AN167" i="17" s="1"/>
  <c r="AI24" i="19"/>
  <c r="AJ23" i="17"/>
  <c r="AN23" i="17" s="1"/>
  <c r="AI47" i="19"/>
  <c r="AJ46" i="17"/>
  <c r="AN46" i="17" s="1"/>
  <c r="BC215" i="17"/>
  <c r="AI216" i="19"/>
  <c r="BC248" i="17"/>
  <c r="AJ391" i="17"/>
  <c r="AN391" i="17" s="1"/>
  <c r="BC391" i="17"/>
  <c r="AI26" i="17"/>
  <c r="AI158" i="17"/>
  <c r="AI353" i="17"/>
  <c r="AI87" i="19"/>
  <c r="BC86" i="17"/>
  <c r="AJ342" i="17"/>
  <c r="AN342" i="17" s="1"/>
  <c r="BC342" i="17"/>
  <c r="AI343" i="19"/>
  <c r="BC200" i="17"/>
  <c r="AI201" i="19"/>
  <c r="BC319" i="17"/>
  <c r="AJ319" i="17"/>
  <c r="AN319" i="17" s="1"/>
  <c r="BC237" i="17"/>
  <c r="AI238" i="19"/>
  <c r="AI83" i="17"/>
  <c r="AI34" i="17"/>
  <c r="AI46" i="17"/>
  <c r="AI391" i="17"/>
  <c r="AJ261" i="17"/>
  <c r="AN261" i="17" s="1"/>
  <c r="AI262" i="19"/>
  <c r="AI261" i="17"/>
  <c r="AJ25" i="17"/>
  <c r="AN25" i="17" s="1"/>
  <c r="BC25" i="17"/>
  <c r="AJ388" i="17"/>
  <c r="AN388" i="17" s="1"/>
  <c r="AI389" i="19"/>
  <c r="AI148" i="19"/>
  <c r="AJ147" i="17"/>
  <c r="AN147" i="17" s="1"/>
  <c r="AI147" i="17"/>
  <c r="BC373" i="17"/>
  <c r="AJ373" i="17"/>
  <c r="AN373" i="17" s="1"/>
  <c r="AI373" i="17"/>
  <c r="BC72" i="17"/>
  <c r="AI164" i="19"/>
  <c r="AI163" i="17"/>
  <c r="AJ163" i="17"/>
  <c r="AN163" i="17" s="1"/>
  <c r="AI90" i="19"/>
  <c r="BC89" i="17"/>
  <c r="AJ206" i="17"/>
  <c r="AN206" i="17" s="1"/>
  <c r="AJ115" i="17"/>
  <c r="AN115" i="17" s="1"/>
  <c r="AI116" i="19"/>
  <c r="AI367" i="17"/>
  <c r="AI382" i="17"/>
  <c r="AI216" i="17"/>
  <c r="AI190" i="17"/>
  <c r="AI209" i="17"/>
  <c r="AI320" i="19"/>
  <c r="BC329" i="17"/>
  <c r="AI330" i="19"/>
  <c r="AJ346" i="17"/>
  <c r="AN346" i="17" s="1"/>
  <c r="AI346" i="17"/>
  <c r="AJ214" i="17"/>
  <c r="AN214" i="17" s="1"/>
  <c r="BC214" i="17"/>
  <c r="AI214" i="17"/>
  <c r="AI215" i="19"/>
  <c r="AJ329" i="17"/>
  <c r="AN329" i="17" s="1"/>
  <c r="BC176" i="17"/>
  <c r="BC317" i="17"/>
  <c r="AJ317" i="17"/>
  <c r="AN317" i="17" s="1"/>
  <c r="AI318" i="19"/>
  <c r="AI317" i="17"/>
  <c r="AI59" i="19"/>
  <c r="BC80" i="17"/>
  <c r="AJ80" i="17"/>
  <c r="AN80" i="17" s="1"/>
  <c r="AI81" i="19"/>
  <c r="AI80" i="17"/>
  <c r="BC340" i="17"/>
  <c r="AI341" i="19"/>
  <c r="AJ340" i="17"/>
  <c r="AN340" i="17" s="1"/>
  <c r="AI340" i="17"/>
  <c r="BC292" i="17"/>
  <c r="AJ292" i="17"/>
  <c r="AN292" i="17" s="1"/>
  <c r="AI293" i="19"/>
  <c r="AI292" i="17"/>
  <c r="AJ86" i="17"/>
  <c r="AN86" i="17" s="1"/>
  <c r="AJ350" i="17"/>
  <c r="AN350" i="17" s="1"/>
  <c r="AI386" i="17"/>
  <c r="AJ84" i="17"/>
  <c r="AN84" i="17" s="1"/>
  <c r="BC251" i="17"/>
  <c r="BC150" i="17"/>
  <c r="AJ150" i="17"/>
  <c r="AN150" i="17" s="1"/>
  <c r="AI151" i="19"/>
  <c r="AI150" i="17"/>
  <c r="AI253" i="19"/>
  <c r="AJ252" i="17"/>
  <c r="AN252" i="17" s="1"/>
  <c r="AJ406" i="17"/>
  <c r="AN406" i="17" s="1"/>
  <c r="BC406" i="17"/>
  <c r="BC250" i="17"/>
  <c r="BC403" i="17"/>
  <c r="AI404" i="19"/>
  <c r="BC83" i="17"/>
  <c r="AJ107" i="17"/>
  <c r="AN107" i="17" s="1"/>
  <c r="AI108" i="19"/>
  <c r="BC247" i="17"/>
  <c r="AJ247" i="17"/>
  <c r="AN247" i="17" s="1"/>
  <c r="BC230" i="17"/>
  <c r="AI231" i="19"/>
  <c r="AI113" i="19"/>
  <c r="AJ112" i="17"/>
  <c r="AN112" i="17" s="1"/>
  <c r="BC110" i="17"/>
  <c r="BC275" i="17"/>
  <c r="AI276" i="19"/>
  <c r="AI195" i="19"/>
  <c r="AJ43" i="17"/>
  <c r="AN43" i="17" s="1"/>
  <c r="BC43" i="17"/>
  <c r="AJ154" i="17"/>
  <c r="AN154" i="17" s="1"/>
  <c r="AJ355" i="17"/>
  <c r="AN355" i="17" s="1"/>
  <c r="AI356" i="19"/>
  <c r="AJ72" i="17"/>
  <c r="AN72" i="17" s="1"/>
  <c r="AJ322" i="17"/>
  <c r="AN322" i="17" s="1"/>
  <c r="BC171" i="17"/>
  <c r="AI172" i="19"/>
  <c r="AJ39" i="17"/>
  <c r="AN39" i="17" s="1"/>
  <c r="AI282" i="19"/>
  <c r="AJ281" i="17"/>
  <c r="AN281" i="17" s="1"/>
  <c r="AJ67" i="17"/>
  <c r="AN67" i="17" s="1"/>
  <c r="BC67" i="17"/>
  <c r="AJ278" i="17"/>
  <c r="AN278" i="17" s="1"/>
  <c r="AI398" i="19"/>
  <c r="AI206" i="19"/>
  <c r="BC397" i="17"/>
  <c r="AI397" i="17"/>
  <c r="AI336" i="19"/>
  <c r="AJ335" i="17"/>
  <c r="AN335" i="17" s="1"/>
  <c r="AI174" i="19"/>
  <c r="BC82" i="17"/>
  <c r="AI211" i="17"/>
  <c r="AI126" i="17"/>
  <c r="AI315" i="17"/>
  <c r="AI77" i="17"/>
  <c r="AI176" i="17"/>
  <c r="AI299" i="17"/>
  <c r="AI339" i="17"/>
  <c r="AI120" i="17"/>
  <c r="AJ379" i="17"/>
  <c r="AN379" i="17" s="1"/>
  <c r="AI380" i="19"/>
  <c r="BC379" i="17"/>
  <c r="AI350" i="17"/>
  <c r="AJ134" i="17"/>
  <c r="AN134" i="17" s="1"/>
  <c r="BC134" i="17"/>
  <c r="AI212" i="17"/>
  <c r="AI366" i="17"/>
  <c r="AI30" i="17"/>
  <c r="AI84" i="17"/>
  <c r="AI335" i="17"/>
  <c r="AI157" i="19"/>
  <c r="BC156" i="17"/>
  <c r="AI156" i="17"/>
  <c r="AI279" i="17"/>
  <c r="AI95" i="19"/>
  <c r="AJ94" i="17"/>
  <c r="AN94" i="17" s="1"/>
  <c r="AI94" i="17"/>
  <c r="BC87" i="17"/>
  <c r="AJ87" i="17"/>
  <c r="AN87" i="17" s="1"/>
  <c r="AI87" i="17"/>
  <c r="BC381" i="17"/>
  <c r="AI363" i="19"/>
  <c r="BC374" i="17"/>
  <c r="AJ374" i="17"/>
  <c r="AN374" i="17" s="1"/>
  <c r="AI254" i="19"/>
  <c r="BC253" i="17"/>
  <c r="AJ253" i="17"/>
  <c r="AN253" i="17" s="1"/>
  <c r="AI400" i="17"/>
  <c r="AI352" i="17"/>
  <c r="AI403" i="17"/>
  <c r="AI247" i="17"/>
  <c r="AI43" i="17"/>
  <c r="AI72" i="17"/>
  <c r="AI283" i="17"/>
  <c r="AI105" i="17"/>
  <c r="BC382" i="17"/>
  <c r="AI118" i="19"/>
  <c r="AI69" i="19"/>
  <c r="BC68" i="17"/>
  <c r="AI68" i="17"/>
  <c r="AI89" i="17"/>
  <c r="AI265" i="19"/>
  <c r="BC160" i="17"/>
  <c r="AJ160" i="17"/>
  <c r="AN160" i="17" s="1"/>
  <c r="AI161" i="19"/>
  <c r="AI160" i="17"/>
  <c r="AI163" i="19"/>
  <c r="AJ162" i="17"/>
  <c r="AN162" i="17" s="1"/>
  <c r="AI162" i="17"/>
  <c r="BC162" i="17"/>
  <c r="AI344" i="19"/>
  <c r="BC343" i="17"/>
  <c r="AI343" i="17"/>
  <c r="BC39" i="17"/>
  <c r="BC346" i="17"/>
  <c r="BC178" i="17"/>
  <c r="AI179" i="19"/>
  <c r="AI208" i="19"/>
  <c r="AJ207" i="17"/>
  <c r="AN207" i="17" s="1"/>
  <c r="AI25" i="19"/>
  <c r="BC24" i="17"/>
  <c r="BC144" i="17"/>
  <c r="AJ144" i="17"/>
  <c r="AN144" i="17" s="1"/>
  <c r="AI251" i="19"/>
  <c r="AJ250" i="17"/>
  <c r="AN250" i="17" s="1"/>
  <c r="BC98" i="17"/>
  <c r="AJ98" i="17"/>
  <c r="AN98" i="17" s="1"/>
  <c r="BC34" i="17"/>
  <c r="AI35" i="19"/>
  <c r="AJ85" i="17"/>
  <c r="AN85" i="17" s="1"/>
  <c r="BC85" i="17"/>
  <c r="AI396" i="19"/>
  <c r="BC395" i="17"/>
  <c r="AI111" i="19"/>
  <c r="AJ110" i="17"/>
  <c r="AN110" i="17" s="1"/>
  <c r="BC297" i="17"/>
  <c r="AI298" i="19"/>
  <c r="BC194" i="17"/>
  <c r="AJ194" i="17"/>
  <c r="AN194" i="17" s="1"/>
  <c r="BC322" i="17"/>
  <c r="AI323" i="19"/>
  <c r="AI402" i="19"/>
  <c r="BC401" i="17"/>
  <c r="BC108" i="17"/>
  <c r="AI109" i="19"/>
  <c r="AJ12" i="17"/>
  <c r="AN12" i="17" s="1"/>
  <c r="AI13" i="19"/>
  <c r="AI83" i="19"/>
  <c r="AJ82" i="17"/>
  <c r="AN82" i="17" s="1"/>
  <c r="AI390" i="17"/>
  <c r="AI408" i="17"/>
  <c r="AI38" i="17"/>
  <c r="BC299" i="17"/>
  <c r="AI300" i="19"/>
  <c r="AI154" i="17"/>
  <c r="BC339" i="17"/>
  <c r="AI340" i="19"/>
  <c r="AJ22" i="17"/>
  <c r="AH8" i="33" s="1"/>
  <c r="BC22" i="17"/>
  <c r="AI23" i="19"/>
  <c r="AI363" i="17"/>
  <c r="AI138" i="17"/>
  <c r="AI58" i="17"/>
  <c r="AI98" i="17"/>
  <c r="AI230" i="17"/>
  <c r="AI275" i="17"/>
  <c r="AI125" i="17"/>
  <c r="AI23" i="17"/>
  <c r="AI12" i="17"/>
  <c r="AI189" i="17"/>
  <c r="BC151" i="17"/>
  <c r="AI387" i="19"/>
  <c r="BC386" i="17"/>
  <c r="BC123" i="17"/>
  <c r="AJ123" i="17"/>
  <c r="AN123" i="17" s="1"/>
  <c r="AI123" i="17"/>
  <c r="AJ279" i="17"/>
  <c r="AN279" i="17" s="1"/>
  <c r="BC307" i="17"/>
  <c r="AI307" i="17"/>
  <c r="AI308" i="19"/>
  <c r="AI85" i="17"/>
  <c r="AI140" i="17"/>
  <c r="AI248" i="17"/>
  <c r="AI24" i="17"/>
  <c r="AI276" i="17"/>
  <c r="AI345" i="17"/>
  <c r="AI203" i="17"/>
  <c r="AI308" i="17"/>
  <c r="AI224" i="17"/>
  <c r="AI117" i="17"/>
  <c r="AI215" i="17"/>
  <c r="BC309" i="17"/>
  <c r="AI349" i="19"/>
  <c r="AI237" i="19"/>
  <c r="BC236" i="17"/>
  <c r="AJ236" i="17"/>
  <c r="AN236" i="17" s="1"/>
  <c r="BC137" i="17"/>
  <c r="AJ137" i="17"/>
  <c r="AN137" i="17" s="1"/>
  <c r="AI192" i="19"/>
  <c r="BC191" i="17"/>
  <c r="AI191" i="17"/>
  <c r="AJ191" i="17"/>
  <c r="AN191" i="17" s="1"/>
  <c r="AI38" i="19"/>
  <c r="AI37" i="17"/>
  <c r="BC37" i="17"/>
  <c r="BC4" i="17"/>
  <c r="AJ4" i="17"/>
  <c r="AN4" i="17" s="1"/>
  <c r="AI5" i="19"/>
  <c r="AI4" i="17"/>
  <c r="BC310" i="17"/>
  <c r="AJ310" i="17"/>
  <c r="AN310" i="17" s="1"/>
  <c r="AI311" i="19"/>
  <c r="AI310" i="17"/>
  <c r="AI25" i="17"/>
  <c r="AI236" i="19"/>
  <c r="BC235" i="17"/>
  <c r="AJ235" i="17"/>
  <c r="AN235" i="17" s="1"/>
  <c r="AI235" i="17"/>
  <c r="AI121" i="19"/>
  <c r="BC115" i="17"/>
  <c r="AJ91" i="17"/>
  <c r="AN91" i="17" s="1"/>
  <c r="AI92" i="19"/>
  <c r="BC91" i="17"/>
  <c r="AI91" i="17"/>
  <c r="AJ88" i="17"/>
  <c r="AN88" i="17" s="1"/>
  <c r="BC88" i="17"/>
  <c r="AI88" i="17"/>
  <c r="AI288" i="19"/>
  <c r="AJ44" i="17"/>
  <c r="AN44" i="17" s="1"/>
  <c r="BC100" i="17"/>
  <c r="AJ100" i="17"/>
  <c r="AN100" i="17" s="1"/>
  <c r="AI101" i="19"/>
  <c r="AI100" i="17"/>
  <c r="AJ241" i="17"/>
  <c r="AN241" i="17" s="1"/>
  <c r="AI242" i="19"/>
  <c r="BC241" i="17"/>
  <c r="AI241" i="17"/>
  <c r="AI140" i="19"/>
  <c r="AJ139" i="17"/>
  <c r="AN139" i="17" s="1"/>
  <c r="BC159" i="17"/>
  <c r="AJ326" i="17"/>
  <c r="AN326" i="17" s="1"/>
  <c r="AI326" i="17"/>
  <c r="AI327" i="19"/>
  <c r="BC270" i="17"/>
  <c r="AJ270" i="17"/>
  <c r="AN270" i="17" s="1"/>
  <c r="AI147" i="19"/>
  <c r="AJ146" i="17"/>
  <c r="AN146" i="17" s="1"/>
  <c r="AJ188" i="17"/>
  <c r="AN188" i="17" s="1"/>
  <c r="AI189" i="19"/>
  <c r="BC294" i="17"/>
  <c r="BC358" i="17"/>
  <c r="AI358" i="17"/>
  <c r="AI359" i="19"/>
  <c r="AI146" i="17"/>
  <c r="AI188" i="17"/>
  <c r="BC331" i="17"/>
  <c r="AI332" i="19"/>
  <c r="AI331" i="17"/>
  <c r="AI275" i="19"/>
  <c r="BC405" i="17"/>
  <c r="AJ405" i="17"/>
  <c r="AN405" i="17" s="1"/>
  <c r="AI405" i="17"/>
  <c r="AI406" i="19"/>
  <c r="AJ121" i="17"/>
  <c r="AN121" i="17" s="1"/>
  <c r="AI122" i="19"/>
  <c r="BC121" i="17"/>
  <c r="BC180" i="17"/>
  <c r="BC66" i="17"/>
  <c r="AJ66" i="17"/>
  <c r="AN66" i="17" s="1"/>
  <c r="BC149" i="17"/>
  <c r="AI150" i="19"/>
  <c r="AI358" i="19"/>
  <c r="AJ357" i="17"/>
  <c r="AN357" i="17" s="1"/>
  <c r="AI381" i="19"/>
  <c r="AJ380" i="17"/>
  <c r="AN380" i="17" s="1"/>
  <c r="AJ64" i="17"/>
  <c r="AN64" i="17" s="1"/>
  <c r="AI65" i="19"/>
  <c r="BC228" i="17"/>
  <c r="AJ228" i="17"/>
  <c r="AN228" i="17" s="1"/>
  <c r="AJ102" i="17"/>
  <c r="AN102" i="17" s="1"/>
  <c r="AI102" i="17"/>
  <c r="BC263" i="17"/>
  <c r="AJ263" i="17"/>
  <c r="AN263" i="17" s="1"/>
  <c r="BC114" i="17"/>
  <c r="AI115" i="19"/>
  <c r="AJ114" i="17"/>
  <c r="AN114" i="17" s="1"/>
  <c r="BC111" i="17"/>
  <c r="AI112" i="19"/>
  <c r="AJ50" i="17"/>
  <c r="AN50" i="17" s="1"/>
  <c r="BC50" i="17"/>
  <c r="AI15" i="19"/>
  <c r="AI227" i="19"/>
  <c r="BC226" i="17"/>
  <c r="AJ294" i="17"/>
  <c r="AN294" i="17" s="1"/>
  <c r="AI377" i="17"/>
  <c r="AI357" i="17"/>
  <c r="BC302" i="17"/>
  <c r="AI303" i="19"/>
  <c r="BC93" i="17"/>
  <c r="AJ93" i="17"/>
  <c r="AN93" i="17" s="1"/>
  <c r="AI294" i="17"/>
  <c r="AJ392" i="17"/>
  <c r="AN392" i="17" s="1"/>
  <c r="AI393" i="19"/>
  <c r="AJ175" i="17"/>
  <c r="AN175" i="17" s="1"/>
  <c r="AI176" i="19"/>
  <c r="BC384" i="17"/>
  <c r="AJ384" i="17"/>
  <c r="AN384" i="17" s="1"/>
  <c r="AI9" i="19"/>
  <c r="AJ8" i="17"/>
  <c r="AN8" i="17" s="1"/>
  <c r="BC165" i="17"/>
  <c r="AJ165" i="17"/>
  <c r="AN165" i="17" s="1"/>
  <c r="AJ274" i="17"/>
  <c r="AN274" i="17" s="1"/>
  <c r="AI41" i="19"/>
  <c r="BC175" i="17"/>
  <c r="AI175" i="19"/>
  <c r="BC174" i="17"/>
  <c r="AJ351" i="17"/>
  <c r="AN351" i="17" s="1"/>
  <c r="BC351" i="17"/>
  <c r="BC245" i="17"/>
  <c r="AJ245" i="17"/>
  <c r="AN245" i="17" s="1"/>
  <c r="BC392" i="17"/>
  <c r="AI245" i="17"/>
  <c r="AI312" i="19"/>
  <c r="AJ311" i="17"/>
  <c r="AN311" i="17" s="1"/>
  <c r="AJ48" i="17"/>
  <c r="AN48" i="17" s="1"/>
  <c r="BC48" i="17"/>
  <c r="AI22" i="19"/>
  <c r="AJ21" i="17"/>
  <c r="AN21" i="17" s="1"/>
  <c r="BC21" i="17"/>
  <c r="AI283" i="19"/>
  <c r="BC282" i="17"/>
  <c r="AJ282" i="17"/>
  <c r="AN282" i="17" s="1"/>
  <c r="AI372" i="19"/>
  <c r="AJ371" i="17"/>
  <c r="AN371" i="17" s="1"/>
  <c r="BC371" i="17"/>
  <c r="BC360" i="17"/>
  <c r="AI361" i="19"/>
  <c r="AJ360" i="17"/>
  <c r="AN360" i="17" s="1"/>
  <c r="AI165" i="19"/>
  <c r="BC164" i="17"/>
  <c r="AJ164" i="17"/>
  <c r="AN164" i="17" s="1"/>
  <c r="AI139" i="17"/>
  <c r="AJ47" i="17"/>
  <c r="AN47" i="17" s="1"/>
  <c r="AJ7" i="17"/>
  <c r="AN7" i="17" s="1"/>
  <c r="AI8" i="19"/>
  <c r="AI7" i="17"/>
  <c r="AI142" i="19"/>
  <c r="BC102" i="17"/>
  <c r="BC29" i="17"/>
  <c r="AI29" i="17"/>
  <c r="AJ29" i="17"/>
  <c r="AN29" i="17" s="1"/>
  <c r="AI49" i="19"/>
  <c r="AJ246" i="17"/>
  <c r="AN246" i="17" s="1"/>
  <c r="AI247" i="19"/>
  <c r="BC246" i="17"/>
  <c r="AI228" i="17"/>
  <c r="AJ111" i="17"/>
  <c r="AN111" i="17" s="1"/>
  <c r="AI226" i="19"/>
  <c r="AJ225" i="17"/>
  <c r="AN225" i="17" s="1"/>
  <c r="AJ119" i="17"/>
  <c r="AN119" i="17" s="1"/>
  <c r="BC119" i="17"/>
  <c r="AJ180" i="17"/>
  <c r="AN180" i="17" s="1"/>
  <c r="AI181" i="19"/>
  <c r="AI66" i="17"/>
  <c r="AJ229" i="17"/>
  <c r="AN229" i="17" s="1"/>
  <c r="BC229" i="17"/>
  <c r="AJ73" i="17"/>
  <c r="AN73" i="17" s="1"/>
  <c r="AI74" i="19"/>
  <c r="AI229" i="17"/>
  <c r="BC377" i="17"/>
  <c r="AI169" i="19"/>
  <c r="AJ168" i="17"/>
  <c r="AN168" i="17" s="1"/>
  <c r="BC6" i="17"/>
  <c r="AJ6" i="17"/>
  <c r="AN6" i="17" s="1"/>
  <c r="AI73" i="17"/>
  <c r="AJ149" i="17"/>
  <c r="AN149" i="17" s="1"/>
  <c r="AI302" i="17"/>
  <c r="AI93" i="17"/>
  <c r="AJ240" i="17"/>
  <c r="AN240" i="17" s="1"/>
  <c r="AI241" i="19"/>
  <c r="BC240" i="17"/>
  <c r="AI19" i="19"/>
  <c r="AJ301" i="17"/>
  <c r="AN301" i="17" s="1"/>
  <c r="BC301" i="17"/>
  <c r="AI292" i="19"/>
  <c r="BC291" i="17"/>
  <c r="AI185" i="19"/>
  <c r="AJ184" i="17"/>
  <c r="AN184" i="17" s="1"/>
  <c r="BC184" i="17"/>
  <c r="AJ262" i="17"/>
  <c r="AN262" i="17" s="1"/>
  <c r="BC262" i="17"/>
  <c r="AI159" i="17"/>
  <c r="AI314" i="19"/>
  <c r="BC313" i="17"/>
  <c r="AI313" i="17"/>
  <c r="AI225" i="17"/>
  <c r="BC90" i="17"/>
  <c r="AI14" i="17"/>
  <c r="AI74" i="17"/>
  <c r="AJ255" i="17"/>
  <c r="AN255" i="17" s="1"/>
  <c r="BC255" i="17"/>
  <c r="AI255" i="17"/>
  <c r="AI311" i="17"/>
  <c r="BC13" i="17"/>
  <c r="AI14" i="19"/>
  <c r="BC244" i="17"/>
  <c r="AI245" i="19"/>
  <c r="AI244" i="17"/>
  <c r="AI47" i="17"/>
  <c r="AI96" i="19"/>
  <c r="BC95" i="17"/>
  <c r="AI95" i="17"/>
  <c r="AI417" i="17" s="1"/>
  <c r="AJ14" i="17"/>
  <c r="AN14" i="17" s="1"/>
  <c r="AJ231" i="17"/>
  <c r="AN231" i="17" s="1"/>
  <c r="AI232" i="19"/>
  <c r="AI231" i="17"/>
  <c r="AI272" i="19"/>
  <c r="AJ271" i="17"/>
  <c r="AN271" i="17" s="1"/>
  <c r="AI271" i="17"/>
  <c r="AJ385" i="17"/>
  <c r="AN385" i="17" s="1"/>
  <c r="AI386" i="19"/>
  <c r="AI385" i="17"/>
  <c r="BC385" i="17"/>
  <c r="BC8" i="17"/>
  <c r="AI54" i="19"/>
  <c r="AI352" i="19"/>
  <c r="BC197" i="17"/>
  <c r="AJ197" i="17"/>
  <c r="AN197" i="17" s="1"/>
  <c r="AI29" i="19"/>
  <c r="BC28" i="17"/>
  <c r="AI403" i="19"/>
  <c r="AJ402" i="17"/>
  <c r="AN402" i="17" s="1"/>
  <c r="BC133" i="17"/>
  <c r="AI134" i="19"/>
  <c r="AI400" i="19"/>
  <c r="BC399" i="17"/>
  <c r="AJ170" i="17"/>
  <c r="AN170" i="17" s="1"/>
  <c r="AI171" i="19"/>
  <c r="AJ368" i="17"/>
  <c r="AN368" i="17" s="1"/>
  <c r="AI369" i="19"/>
  <c r="AI12" i="19"/>
  <c r="AJ11" i="17"/>
  <c r="AN11" i="17" s="1"/>
  <c r="AJ273" i="17"/>
  <c r="AN273" i="17" s="1"/>
  <c r="AI274" i="19"/>
  <c r="AI162" i="19"/>
  <c r="AJ161" i="17"/>
  <c r="AN161" i="17" s="1"/>
  <c r="AI219" i="19"/>
  <c r="BC218" i="17"/>
  <c r="AI218" i="17"/>
  <c r="BC15" i="17"/>
  <c r="AJ15" i="17"/>
  <c r="AN15" i="17" s="1"/>
  <c r="BC129" i="17"/>
  <c r="AJ129" i="17"/>
  <c r="AN129" i="17" s="1"/>
  <c r="AI40" i="17"/>
  <c r="AI15" i="17"/>
  <c r="AI129" i="17"/>
  <c r="AJ243" i="17"/>
  <c r="AN243" i="17" s="1"/>
  <c r="AI244" i="19"/>
  <c r="AI317" i="19"/>
  <c r="BC316" i="17"/>
  <c r="BC394" i="17"/>
  <c r="AI395" i="19"/>
  <c r="AI289" i="19"/>
  <c r="AJ288" i="17"/>
  <c r="AN288" i="17" s="1"/>
  <c r="AI168" i="17"/>
  <c r="AJ296" i="17"/>
  <c r="AN296" i="17" s="1"/>
  <c r="BC141" i="17"/>
  <c r="BC53" i="17"/>
  <c r="BC18" i="17"/>
  <c r="AJ18" i="17"/>
  <c r="AN18" i="17" s="1"/>
  <c r="AJ159" i="17"/>
  <c r="AN159" i="17" s="1"/>
  <c r="AJ394" i="17"/>
  <c r="AN394" i="17" s="1"/>
  <c r="AI166" i="19"/>
  <c r="BC11" i="17"/>
  <c r="AI119" i="17"/>
  <c r="BC139" i="17"/>
  <c r="AI104" i="19"/>
  <c r="AJ32" i="17"/>
  <c r="AN32" i="17" s="1"/>
  <c r="AI33" i="19"/>
  <c r="BC326" i="17"/>
  <c r="AI271" i="19"/>
  <c r="AI173" i="19"/>
  <c r="BC172" i="17"/>
  <c r="AJ272" i="17"/>
  <c r="AN272" i="17" s="1"/>
  <c r="AI273" i="19"/>
  <c r="BC272" i="17"/>
  <c r="BC103" i="17"/>
  <c r="AJ354" i="17"/>
  <c r="AN354" i="17" s="1"/>
  <c r="AI355" i="19"/>
  <c r="BC354" i="17"/>
  <c r="BC146" i="17"/>
  <c r="AI299" i="19"/>
  <c r="BC298" i="17"/>
  <c r="AJ74" i="17"/>
  <c r="AN74" i="17" s="1"/>
  <c r="BC188" i="17"/>
  <c r="AI71" i="19"/>
  <c r="AJ70" i="17"/>
  <c r="AN70" i="17" s="1"/>
  <c r="AI70" i="17"/>
  <c r="AI203" i="19"/>
  <c r="BC202" i="17"/>
  <c r="AJ202" i="17"/>
  <c r="AN202" i="17" s="1"/>
  <c r="AI128" i="19"/>
  <c r="BC127" i="17"/>
  <c r="AJ127" i="17"/>
  <c r="AN127" i="17" s="1"/>
  <c r="BC383" i="17"/>
  <c r="AJ383" i="17"/>
  <c r="AN383" i="17" s="1"/>
  <c r="AI384" i="19"/>
  <c r="AI263" i="17"/>
  <c r="AI103" i="17"/>
  <c r="AI153" i="19"/>
  <c r="AI152" i="17"/>
  <c r="AJ358" i="17"/>
  <c r="AN358" i="17" s="1"/>
  <c r="AI270" i="17"/>
  <c r="AI326" i="19"/>
  <c r="AJ347" i="17"/>
  <c r="AN347" i="17" s="1"/>
  <c r="BC347" i="17"/>
  <c r="AI347" i="17"/>
  <c r="AJ331" i="17"/>
  <c r="AN331" i="17" s="1"/>
  <c r="AI258" i="19"/>
  <c r="BC257" i="17"/>
  <c r="AJ257" i="17"/>
  <c r="AN257" i="17" s="1"/>
  <c r="AI257" i="17"/>
  <c r="BC187" i="17"/>
  <c r="AI188" i="19"/>
  <c r="AI187" i="17"/>
  <c r="AJ152" i="17"/>
  <c r="AN152" i="17" s="1"/>
  <c r="AI121" i="17"/>
  <c r="BC170" i="17"/>
  <c r="AI263" i="19"/>
  <c r="AI243" i="19"/>
  <c r="BC242" i="17"/>
  <c r="BC324" i="17"/>
  <c r="AJ324" i="17"/>
  <c r="AN324" i="17" s="1"/>
  <c r="BC365" i="17"/>
  <c r="AI366" i="19"/>
  <c r="AJ219" i="17"/>
  <c r="AN219" i="17" s="1"/>
  <c r="AI220" i="19"/>
  <c r="AJ295" i="17"/>
  <c r="AN295" i="17" s="1"/>
  <c r="BC295" i="17"/>
  <c r="AI296" i="19"/>
  <c r="AI318" i="17"/>
  <c r="AJ96" i="17"/>
  <c r="AN96" i="17" s="1"/>
  <c r="AI97" i="19"/>
  <c r="BC96" i="17"/>
  <c r="AI200" i="19"/>
  <c r="AJ199" i="17"/>
  <c r="AN199" i="17" s="1"/>
  <c r="AI35" i="17"/>
  <c r="BC333" i="17"/>
  <c r="AJ333" i="17"/>
  <c r="AN333" i="17" s="1"/>
  <c r="AI199" i="17"/>
  <c r="AI242" i="17"/>
  <c r="AI79" i="19"/>
  <c r="AJ99" i="17"/>
  <c r="AN99" i="17" s="1"/>
  <c r="AI99" i="17"/>
  <c r="BC359" i="17"/>
  <c r="AI359" i="17"/>
  <c r="AJ359" i="17"/>
  <c r="AN359" i="17" s="1"/>
  <c r="AI360" i="19"/>
  <c r="AI131" i="19"/>
  <c r="BC130" i="17"/>
  <c r="AJ130" i="17"/>
  <c r="AN130" i="17" s="1"/>
  <c r="AJ376" i="17"/>
  <c r="AN376" i="17" s="1"/>
  <c r="AI377" i="19"/>
  <c r="BC376" i="17"/>
  <c r="AI376" i="17"/>
  <c r="AI405" i="19"/>
  <c r="BC404" i="17"/>
  <c r="AI404" i="17"/>
  <c r="AJ404" i="17"/>
  <c r="AN404" i="17" s="1"/>
  <c r="BC249" i="17"/>
  <c r="AI250" i="19"/>
  <c r="AI42" i="19"/>
  <c r="AJ41" i="17"/>
  <c r="AN41" i="17" s="1"/>
  <c r="BC222" i="17"/>
  <c r="AJ222" i="17"/>
  <c r="AN222" i="17" s="1"/>
  <c r="AJ285" i="17"/>
  <c r="AN285" i="17" s="1"/>
  <c r="AI286" i="19"/>
  <c r="AJ223" i="17"/>
  <c r="AN223" i="17" s="1"/>
  <c r="AI365" i="17"/>
  <c r="BC195" i="17"/>
  <c r="AJ195" i="17"/>
  <c r="AN195" i="17" s="1"/>
  <c r="AI182" i="19"/>
  <c r="AJ181" i="17"/>
  <c r="AN181" i="17" s="1"/>
  <c r="AI114" i="19"/>
  <c r="BC113" i="17"/>
  <c r="AJ118" i="17"/>
  <c r="AN118" i="17" s="1"/>
  <c r="BC118" i="17"/>
  <c r="AI119" i="19"/>
  <c r="AI324" i="17"/>
  <c r="BC16" i="17"/>
  <c r="AI195" i="17"/>
  <c r="AI285" i="19"/>
  <c r="AJ284" i="17"/>
  <c r="AN284" i="17" s="1"/>
  <c r="AI284" i="17"/>
  <c r="BC99" i="17"/>
  <c r="AI17" i="19"/>
  <c r="BC361" i="17"/>
  <c r="AJ361" i="17"/>
  <c r="AN361" i="17" s="1"/>
  <c r="AI362" i="19"/>
  <c r="AJ106" i="17"/>
  <c r="AN106" i="17" s="1"/>
  <c r="BC106" i="17"/>
  <c r="AI107" i="19"/>
  <c r="AI16" i="17"/>
  <c r="AJ398" i="17"/>
  <c r="AN398" i="17" s="1"/>
  <c r="AI205" i="19"/>
  <c r="BC398" i="17"/>
  <c r="AI399" i="19"/>
  <c r="AJ196" i="17"/>
  <c r="AN196" i="17" s="1"/>
  <c r="AI197" i="19"/>
  <c r="BC196" i="17"/>
  <c r="AI196" i="17"/>
  <c r="AI224" i="19"/>
  <c r="AJ59" i="17"/>
  <c r="AI60" i="19"/>
  <c r="BC59" i="17"/>
  <c r="AI319" i="19"/>
  <c r="AJ318" i="17"/>
  <c r="AN318" i="17" s="1"/>
  <c r="AI105" i="19"/>
  <c r="AJ104" i="17"/>
  <c r="AN104" i="17" s="1"/>
  <c r="AI260" i="19"/>
  <c r="AJ259" i="17"/>
  <c r="AN259" i="17" s="1"/>
  <c r="BC259" i="17"/>
  <c r="AJ35" i="17"/>
  <c r="AN35" i="17" s="1"/>
  <c r="AI36" i="19"/>
  <c r="AJ306" i="17"/>
  <c r="AN306" i="17" s="1"/>
  <c r="BC306" i="17"/>
  <c r="AI307" i="19"/>
  <c r="BC269" i="17"/>
  <c r="AI270" i="19"/>
  <c r="AJ269" i="17"/>
  <c r="AN269" i="17" s="1"/>
  <c r="AI104" i="17"/>
  <c r="BC258" i="17"/>
  <c r="AJ258" i="17"/>
  <c r="AN258" i="17" s="1"/>
  <c r="AI223" i="17"/>
  <c r="AJ286" i="17"/>
  <c r="AN286" i="17" s="1"/>
  <c r="AI286" i="17"/>
  <c r="BC286" i="17"/>
  <c r="AI333" i="17"/>
  <c r="AI239" i="17"/>
  <c r="AJ239" i="17"/>
  <c r="AN239" i="17" s="1"/>
  <c r="BC219" i="17"/>
  <c r="AJ208" i="17"/>
  <c r="AN208" i="17" s="1"/>
  <c r="AI194" i="19"/>
  <c r="BC193" i="17"/>
  <c r="BC260" i="17"/>
  <c r="AI261" i="19"/>
  <c r="AJ242" i="17"/>
  <c r="AN242" i="17" s="1"/>
  <c r="AI325" i="19"/>
  <c r="AJ365" i="17"/>
  <c r="AN365" i="17" s="1"/>
  <c r="AI219" i="17"/>
  <c r="AI295" i="17"/>
  <c r="AJ221" i="17"/>
  <c r="AN221" i="17" s="1"/>
  <c r="AI222" i="19"/>
  <c r="BC221" i="17"/>
  <c r="AI96" i="17"/>
  <c r="BC199" i="17"/>
  <c r="AI249" i="17"/>
  <c r="AI32" i="19"/>
  <c r="AJ31" i="17"/>
  <c r="AN31" i="17" s="1"/>
  <c r="AI341" i="17"/>
  <c r="BC232" i="17"/>
  <c r="AI233" i="19"/>
  <c r="AI334" i="19"/>
  <c r="AJ19" i="17"/>
  <c r="AN19" i="17" s="1"/>
  <c r="AI20" i="19"/>
  <c r="BC145" i="17"/>
  <c r="AI146" i="19"/>
  <c r="AI258" i="17"/>
  <c r="BC334" i="17"/>
  <c r="AI334" i="17"/>
  <c r="AJ334" i="17"/>
  <c r="AN334" i="17" s="1"/>
  <c r="AJ256" i="17"/>
  <c r="AN256" i="17" s="1"/>
  <c r="BC256" i="17"/>
  <c r="AI256" i="17"/>
  <c r="AI238" i="17"/>
  <c r="BC393" i="17"/>
  <c r="AI394" i="19"/>
  <c r="AI100" i="19"/>
  <c r="AI255" i="19"/>
  <c r="AI254" i="17"/>
  <c r="BC69" i="17"/>
  <c r="BC254" i="17"/>
  <c r="BC41" i="17"/>
  <c r="AI208" i="17"/>
  <c r="AI398" i="17"/>
  <c r="AJ293" i="17"/>
  <c r="AN293" i="17" s="1"/>
  <c r="BC293" i="17"/>
  <c r="AI56" i="17"/>
  <c r="BC97" i="17"/>
  <c r="BC369" i="17"/>
  <c r="AJ369" i="17"/>
  <c r="AN369" i="17" s="1"/>
  <c r="AI369" i="17"/>
  <c r="AJ56" i="17"/>
  <c r="AN56" i="17" s="1"/>
  <c r="AI98" i="19"/>
  <c r="AJ169" i="17"/>
  <c r="AN169" i="17" s="1"/>
  <c r="BC9" i="17"/>
  <c r="AJ9" i="17"/>
  <c r="AN9" i="17" s="1"/>
  <c r="AJ321" i="17"/>
  <c r="AN321" i="17" s="1"/>
  <c r="BC132" i="17"/>
  <c r="AI133" i="19"/>
  <c r="BC290" i="17"/>
  <c r="AJ364" i="17"/>
  <c r="AN364" i="17" s="1"/>
  <c r="AI365" i="19"/>
  <c r="AI364" i="17"/>
  <c r="BC364" i="17"/>
  <c r="AI132" i="17"/>
  <c r="AI75" i="17"/>
  <c r="BC321" i="17"/>
  <c r="AI388" i="19"/>
  <c r="BC387" i="17"/>
  <c r="AI205" i="17"/>
  <c r="AJ205" i="17"/>
  <c r="AN205" i="17" s="1"/>
  <c r="BC143" i="17"/>
  <c r="AJ143" i="17"/>
  <c r="AN143" i="17" s="1"/>
  <c r="AI143" i="17"/>
  <c r="AI144" i="19"/>
  <c r="AI76" i="19"/>
  <c r="AI387" i="17"/>
  <c r="AI186" i="19"/>
  <c r="AJ185" i="17"/>
  <c r="AN185" i="17" s="1"/>
  <c r="AI293" i="17"/>
  <c r="BC36" i="17"/>
  <c r="AJ36" i="17"/>
  <c r="AN36" i="17" s="1"/>
  <c r="AJ62" i="17"/>
  <c r="AN62" i="17" s="1"/>
  <c r="AI321" i="17"/>
  <c r="BC142" i="17"/>
  <c r="AJ142" i="17"/>
  <c r="AN142" i="17" s="1"/>
  <c r="AI143" i="19"/>
  <c r="AI28" i="19"/>
  <c r="BC27" i="17"/>
  <c r="AJ27" i="17"/>
  <c r="AN27" i="17" s="1"/>
  <c r="AI27" i="17"/>
  <c r="BC157" i="17"/>
  <c r="BC220" i="17"/>
  <c r="AI419" i="17" l="1"/>
  <c r="AJ419" i="17"/>
  <c r="BP357" i="17"/>
  <c r="BP155" i="17"/>
  <c r="AI414" i="17"/>
  <c r="BP312" i="17"/>
  <c r="AJ414" i="17"/>
  <c r="BP271" i="17"/>
  <c r="BP94" i="17"/>
  <c r="BP362" i="17"/>
  <c r="BP402" i="17"/>
  <c r="BO205" i="17"/>
  <c r="BX205" i="17" s="1"/>
  <c r="BX243" i="17"/>
  <c r="CA243" i="17"/>
  <c r="BX284" i="17"/>
  <c r="CA284" i="17"/>
  <c r="BX30" i="17"/>
  <c r="CA30" i="17"/>
  <c r="BX335" i="17"/>
  <c r="CA335" i="17"/>
  <c r="BX120" i="17"/>
  <c r="CA120" i="17"/>
  <c r="BX181" i="17"/>
  <c r="CA181" i="17"/>
  <c r="BX277" i="17"/>
  <c r="CA277" i="17"/>
  <c r="BX186" i="17"/>
  <c r="CA186" i="17"/>
  <c r="BX190" i="17"/>
  <c r="CA190" i="17"/>
  <c r="BX353" i="17"/>
  <c r="CA353" i="17"/>
  <c r="BX166" i="17"/>
  <c r="CA166" i="17"/>
  <c r="BX58" i="17"/>
  <c r="CA58" i="17"/>
  <c r="BX268" i="17"/>
  <c r="CA268" i="17"/>
  <c r="BX77" i="17"/>
  <c r="CA77" i="17"/>
  <c r="BX19" i="17"/>
  <c r="CA19" i="17"/>
  <c r="BX14" i="17"/>
  <c r="CA14" i="17"/>
  <c r="BX107" i="17"/>
  <c r="CA107" i="17"/>
  <c r="BX40" i="17"/>
  <c r="CA40" i="17"/>
  <c r="BX312" i="17"/>
  <c r="CA312" i="17"/>
  <c r="BX31" i="17"/>
  <c r="CA31" i="17"/>
  <c r="BX380" i="17"/>
  <c r="CA380" i="17"/>
  <c r="BX261" i="17"/>
  <c r="CA261" i="17"/>
  <c r="BX327" i="17"/>
  <c r="CA327" i="17"/>
  <c r="BX124" i="17"/>
  <c r="CA124" i="17"/>
  <c r="BX370" i="17"/>
  <c r="CA370" i="17"/>
  <c r="BX35" i="17"/>
  <c r="CA35" i="17"/>
  <c r="BX154" i="17"/>
  <c r="CA154" i="17"/>
  <c r="BX183" i="17"/>
  <c r="CA183" i="17"/>
  <c r="BX296" i="17"/>
  <c r="CA296" i="17"/>
  <c r="BX252" i="17"/>
  <c r="CA252" i="17"/>
  <c r="BX311" i="17"/>
  <c r="CA311" i="17"/>
  <c r="BX62" i="17"/>
  <c r="CA62" i="17"/>
  <c r="BX47" i="17"/>
  <c r="CA47" i="17"/>
  <c r="BX63" i="17"/>
  <c r="CA63" i="17"/>
  <c r="BX211" i="17"/>
  <c r="CA211" i="17"/>
  <c r="BX271" i="17"/>
  <c r="CA271" i="17"/>
  <c r="BX94" i="17"/>
  <c r="CA94" i="17"/>
  <c r="BX355" i="17"/>
  <c r="CA355" i="17"/>
  <c r="BX408" i="17"/>
  <c r="CA408" i="17"/>
  <c r="BX92" i="17"/>
  <c r="CA92" i="17"/>
  <c r="BX206" i="17"/>
  <c r="CA206" i="17"/>
  <c r="BX285" i="17"/>
  <c r="CA285" i="17"/>
  <c r="BX338" i="17"/>
  <c r="CA338" i="17"/>
  <c r="BX318" i="17"/>
  <c r="CA318" i="17"/>
  <c r="BX209" i="17"/>
  <c r="CA209" i="17"/>
  <c r="BX126" i="17"/>
  <c r="CA126" i="17"/>
  <c r="BX78" i="17"/>
  <c r="CA78" i="17"/>
  <c r="BX169" i="17"/>
  <c r="CA169" i="17"/>
  <c r="BX372" i="17"/>
  <c r="CA372" i="17"/>
  <c r="BX161" i="17"/>
  <c r="CA161" i="17"/>
  <c r="BX74" i="17"/>
  <c r="CA74" i="17"/>
  <c r="BX407" i="17"/>
  <c r="CA407" i="17"/>
  <c r="BX56" i="17"/>
  <c r="CA56" i="17"/>
  <c r="BX70" i="17"/>
  <c r="CA70" i="17"/>
  <c r="BX147" i="17"/>
  <c r="CA147" i="17"/>
  <c r="BX281" i="17"/>
  <c r="CA281" i="17"/>
  <c r="BX239" i="17"/>
  <c r="CA239" i="17"/>
  <c r="BX64" i="17"/>
  <c r="CA64" i="17"/>
  <c r="BX273" i="17"/>
  <c r="CA273" i="17"/>
  <c r="BX207" i="17"/>
  <c r="CA207" i="17"/>
  <c r="BX352" i="17"/>
  <c r="CA352" i="17"/>
  <c r="BX79" i="17"/>
  <c r="CA79" i="17"/>
  <c r="BX7" i="17"/>
  <c r="CA7" i="17"/>
  <c r="BX279" i="17"/>
  <c r="CA279" i="17"/>
  <c r="BX17" i="17"/>
  <c r="CA17" i="17"/>
  <c r="BX314" i="17"/>
  <c r="CA314" i="17"/>
  <c r="BX158" i="17"/>
  <c r="CA158" i="17"/>
  <c r="BX75" i="17"/>
  <c r="CA75" i="17"/>
  <c r="BX231" i="17"/>
  <c r="CA231" i="17"/>
  <c r="BX185" i="17"/>
  <c r="CA185" i="17"/>
  <c r="BX152" i="17"/>
  <c r="CA152" i="17"/>
  <c r="BX325" i="17"/>
  <c r="CA325" i="17"/>
  <c r="BX173" i="17"/>
  <c r="CA173" i="17"/>
  <c r="BX189" i="17"/>
  <c r="CA189" i="17"/>
  <c r="BX168" i="17"/>
  <c r="CA168" i="17"/>
  <c r="CA205" i="17"/>
  <c r="BX274" i="17"/>
  <c r="CA274" i="17"/>
  <c r="BX213" i="17"/>
  <c r="CA213" i="17"/>
  <c r="BX348" i="17"/>
  <c r="CA348" i="17"/>
  <c r="BX223" i="17"/>
  <c r="CA223" i="17"/>
  <c r="BX208" i="17"/>
  <c r="CA208" i="17"/>
  <c r="BX288" i="17"/>
  <c r="CA288" i="17"/>
  <c r="BX224" i="17"/>
  <c r="CA224" i="17"/>
  <c r="BX117" i="17"/>
  <c r="CA117" i="17"/>
  <c r="BX33" i="17"/>
  <c r="CA33" i="17"/>
  <c r="BX367" i="17"/>
  <c r="CA367" i="17"/>
  <c r="BX26" i="17"/>
  <c r="CA26" i="17"/>
  <c r="BX104" i="17"/>
  <c r="CA104" i="17"/>
  <c r="BX402" i="17"/>
  <c r="CA402" i="17"/>
  <c r="BX46" i="17"/>
  <c r="CA46" i="17"/>
  <c r="BX350" i="17"/>
  <c r="CA350" i="17"/>
  <c r="BX341" i="17"/>
  <c r="CA341" i="17"/>
  <c r="BX73" i="17"/>
  <c r="CA73" i="17"/>
  <c r="BX112" i="17"/>
  <c r="CA112" i="17"/>
  <c r="BX12" i="17"/>
  <c r="CA12" i="17"/>
  <c r="BX238" i="17"/>
  <c r="CA238" i="17"/>
  <c r="BX32" i="17"/>
  <c r="CA32" i="17"/>
  <c r="BX225" i="17"/>
  <c r="CA225" i="17"/>
  <c r="BX330" i="17"/>
  <c r="CA330" i="17"/>
  <c r="BX362" i="17"/>
  <c r="CA362" i="17"/>
  <c r="BX368" i="17"/>
  <c r="CA368" i="17"/>
  <c r="BX357" i="17"/>
  <c r="CA357" i="17"/>
  <c r="BX155" i="17"/>
  <c r="CA155" i="17"/>
  <c r="BO23" i="17"/>
  <c r="BZ23" i="17" s="1"/>
  <c r="BO2" i="17"/>
  <c r="BX2" i="17" s="1"/>
  <c r="BO45" i="17"/>
  <c r="BP341" i="17"/>
  <c r="BO109" i="17"/>
  <c r="BZ109" i="17" s="1"/>
  <c r="AI416" i="17"/>
  <c r="BP152" i="17"/>
  <c r="BO135" i="17"/>
  <c r="BP185" i="17"/>
  <c r="BO163" i="17"/>
  <c r="BZ70" i="17"/>
  <c r="BZ281" i="17"/>
  <c r="BZ207" i="17"/>
  <c r="BZ112" i="17"/>
  <c r="BZ285" i="17"/>
  <c r="BZ173" i="17"/>
  <c r="BZ168" i="17"/>
  <c r="BZ35" i="17"/>
  <c r="BZ117" i="17"/>
  <c r="BZ77" i="17"/>
  <c r="BZ19" i="17"/>
  <c r="BZ158" i="17"/>
  <c r="BZ238" i="17"/>
  <c r="BZ330" i="17"/>
  <c r="BZ368" i="17"/>
  <c r="BZ357" i="17"/>
  <c r="BZ311" i="17"/>
  <c r="BZ63" i="17"/>
  <c r="BZ279" i="17"/>
  <c r="BZ325" i="17"/>
  <c r="BZ327" i="17"/>
  <c r="BZ370" i="17"/>
  <c r="BZ277" i="17"/>
  <c r="BZ268" i="17"/>
  <c r="BZ408" i="17"/>
  <c r="BZ12" i="17"/>
  <c r="BZ126" i="17"/>
  <c r="BZ274" i="17"/>
  <c r="BZ252" i="17"/>
  <c r="BZ47" i="17"/>
  <c r="BZ7" i="17"/>
  <c r="BZ206" i="17"/>
  <c r="BZ318" i="17"/>
  <c r="BZ189" i="17"/>
  <c r="BZ74" i="17"/>
  <c r="BZ407" i="17"/>
  <c r="BZ208" i="17"/>
  <c r="BZ186" i="17"/>
  <c r="BZ367" i="17"/>
  <c r="BZ46" i="17"/>
  <c r="BZ355" i="17"/>
  <c r="BZ75" i="17"/>
  <c r="BZ261" i="17"/>
  <c r="BZ362" i="17"/>
  <c r="BZ169" i="17"/>
  <c r="BZ147" i="17"/>
  <c r="BZ296" i="17"/>
  <c r="BZ239" i="17"/>
  <c r="BZ352" i="17"/>
  <c r="BZ79" i="17"/>
  <c r="BZ40" i="17"/>
  <c r="BZ338" i="17"/>
  <c r="BZ124" i="17"/>
  <c r="BZ161" i="17"/>
  <c r="BZ33" i="17"/>
  <c r="BZ402" i="17"/>
  <c r="BZ14" i="17"/>
  <c r="BZ32" i="17"/>
  <c r="BZ78" i="17"/>
  <c r="BZ155" i="17"/>
  <c r="BL97" i="17"/>
  <c r="BO97" i="17" s="1"/>
  <c r="BL9" i="17"/>
  <c r="BO9" i="17" s="1"/>
  <c r="BL258" i="17"/>
  <c r="BO258" i="17" s="1"/>
  <c r="BL130" i="17"/>
  <c r="BO130" i="17" s="1"/>
  <c r="BL170" i="17"/>
  <c r="BO170" i="17" s="1"/>
  <c r="BL326" i="17"/>
  <c r="BO326" i="17" s="1"/>
  <c r="BL293" i="17"/>
  <c r="BO293" i="17" s="1"/>
  <c r="BL59" i="17"/>
  <c r="BO59" i="17" s="1"/>
  <c r="BL404" i="17"/>
  <c r="BO404" i="17" s="1"/>
  <c r="BL127" i="17"/>
  <c r="BO127" i="17" s="1"/>
  <c r="BL188" i="17"/>
  <c r="BO188" i="17" s="1"/>
  <c r="BL103" i="17"/>
  <c r="BO103" i="17" s="1"/>
  <c r="BL385" i="17"/>
  <c r="BO385" i="17" s="1"/>
  <c r="BL262" i="17"/>
  <c r="BO262" i="17" s="1"/>
  <c r="BL371" i="17"/>
  <c r="BO371" i="17" s="1"/>
  <c r="BL245" i="17"/>
  <c r="BO245" i="17" s="1"/>
  <c r="BL111" i="17"/>
  <c r="BO111" i="17" s="1"/>
  <c r="BL91" i="17"/>
  <c r="BO91" i="17" s="1"/>
  <c r="BL22" i="17"/>
  <c r="BO22" i="17" s="1"/>
  <c r="BL401" i="17"/>
  <c r="BO401" i="17" s="1"/>
  <c r="BL160" i="17"/>
  <c r="BO160" i="17" s="1"/>
  <c r="BL317" i="17"/>
  <c r="BO317" i="17" s="1"/>
  <c r="BL200" i="17"/>
  <c r="BO200" i="17" s="1"/>
  <c r="BL216" i="17"/>
  <c r="BO216" i="17" s="1"/>
  <c r="BL305" i="17"/>
  <c r="BO305" i="17" s="1"/>
  <c r="BL54" i="17"/>
  <c r="BO54" i="17" s="1"/>
  <c r="BL304" i="17"/>
  <c r="BO304" i="17" s="1"/>
  <c r="BL390" i="17"/>
  <c r="BO390" i="17" s="1"/>
  <c r="BL140" i="17"/>
  <c r="BO140" i="17" s="1"/>
  <c r="BL300" i="17"/>
  <c r="BO300" i="17" s="1"/>
  <c r="BL344" i="17"/>
  <c r="BO344" i="17" s="1"/>
  <c r="BR120" i="17"/>
  <c r="BQ120" i="17"/>
  <c r="BP120" i="17"/>
  <c r="BQ56" i="17"/>
  <c r="BR56" i="17"/>
  <c r="BT56" i="17" s="1"/>
  <c r="BP56" i="17"/>
  <c r="BQ288" i="17"/>
  <c r="BR288" i="17"/>
  <c r="BP288" i="17"/>
  <c r="BR224" i="17"/>
  <c r="BQ224" i="17"/>
  <c r="BP224" i="17"/>
  <c r="AI415" i="17"/>
  <c r="BZ190" i="17"/>
  <c r="BZ353" i="17"/>
  <c r="BP355" i="17"/>
  <c r="BZ104" i="17"/>
  <c r="BR64" i="17"/>
  <c r="BQ64" i="17"/>
  <c r="BP64" i="17"/>
  <c r="BR273" i="17"/>
  <c r="BQ273" i="17"/>
  <c r="BP273" i="17"/>
  <c r="BR109" i="17"/>
  <c r="BQ109" i="17"/>
  <c r="BR350" i="17"/>
  <c r="BQ350" i="17"/>
  <c r="BP350" i="17"/>
  <c r="BZ341" i="17"/>
  <c r="BZ73" i="17"/>
  <c r="BZ335" i="17"/>
  <c r="BZ107" i="17"/>
  <c r="BZ92" i="17"/>
  <c r="BR284" i="17"/>
  <c r="BQ284" i="17"/>
  <c r="BP284" i="17"/>
  <c r="BQ312" i="17"/>
  <c r="BR312" i="17"/>
  <c r="BZ31" i="17"/>
  <c r="BZ380" i="17"/>
  <c r="BZ209" i="17"/>
  <c r="BR205" i="17"/>
  <c r="BQ205" i="17"/>
  <c r="BR243" i="17"/>
  <c r="BQ243" i="17"/>
  <c r="BP243" i="17"/>
  <c r="BZ154" i="17"/>
  <c r="BL383" i="17"/>
  <c r="BO383" i="17" s="1"/>
  <c r="BL199" i="17"/>
  <c r="BO199" i="17" s="1"/>
  <c r="BL96" i="17"/>
  <c r="BO96" i="17" s="1"/>
  <c r="BL257" i="17"/>
  <c r="BO257" i="17" s="1"/>
  <c r="BL220" i="17"/>
  <c r="BO220" i="17" s="1"/>
  <c r="BL142" i="17"/>
  <c r="BO142" i="17" s="1"/>
  <c r="BL387" i="17"/>
  <c r="BO387" i="17" s="1"/>
  <c r="BL221" i="17"/>
  <c r="BO221" i="17" s="1"/>
  <c r="BL259" i="17"/>
  <c r="BO259" i="17" s="1"/>
  <c r="BL398" i="17"/>
  <c r="BO398" i="17" s="1"/>
  <c r="BL16" i="17"/>
  <c r="BO16" i="17" s="1"/>
  <c r="BL222" i="17"/>
  <c r="BO222" i="17" s="1"/>
  <c r="BL365" i="17"/>
  <c r="BO365" i="17" s="1"/>
  <c r="BL272" i="17"/>
  <c r="BO272" i="17" s="1"/>
  <c r="BL28" i="17"/>
  <c r="BO28" i="17" s="1"/>
  <c r="BL244" i="17"/>
  <c r="BO244" i="17" s="1"/>
  <c r="BL229" i="17"/>
  <c r="BO229" i="17" s="1"/>
  <c r="BL48" i="17"/>
  <c r="BO48" i="17" s="1"/>
  <c r="BL351" i="17"/>
  <c r="BO351" i="17" s="1"/>
  <c r="BL165" i="17"/>
  <c r="BO165" i="17" s="1"/>
  <c r="BL228" i="17"/>
  <c r="BO228" i="17" s="1"/>
  <c r="BL149" i="17"/>
  <c r="BO149" i="17" s="1"/>
  <c r="BL100" i="17"/>
  <c r="BO100" i="17" s="1"/>
  <c r="BL4" i="17"/>
  <c r="BO4" i="17" s="1"/>
  <c r="BL123" i="17"/>
  <c r="BO123" i="17" s="1"/>
  <c r="AN22" i="17"/>
  <c r="AJ416" i="17"/>
  <c r="BL98" i="17"/>
  <c r="BO98" i="17" s="1"/>
  <c r="BL162" i="17"/>
  <c r="BO162" i="17" s="1"/>
  <c r="BL253" i="17"/>
  <c r="BO253" i="17" s="1"/>
  <c r="BL87" i="17"/>
  <c r="BO87" i="17" s="1"/>
  <c r="BL379" i="17"/>
  <c r="BO379" i="17" s="1"/>
  <c r="BL397" i="17"/>
  <c r="BO397" i="17" s="1"/>
  <c r="BL43" i="17"/>
  <c r="BO43" i="17" s="1"/>
  <c r="BL403" i="17"/>
  <c r="BO403" i="17" s="1"/>
  <c r="BL176" i="17"/>
  <c r="BO176" i="17" s="1"/>
  <c r="BL72" i="17"/>
  <c r="BO72" i="17" s="1"/>
  <c r="BL391" i="17"/>
  <c r="BO391" i="17" s="1"/>
  <c r="BL42" i="17"/>
  <c r="BO42" i="17" s="1"/>
  <c r="BL136" i="17"/>
  <c r="BO136" i="17" s="1"/>
  <c r="BO55" i="17"/>
  <c r="BL20" i="17"/>
  <c r="BO20" i="17" s="1"/>
  <c r="BL128" i="17"/>
  <c r="BO128" i="17" s="1"/>
  <c r="BL266" i="17"/>
  <c r="BO266" i="17" s="1"/>
  <c r="BL57" i="17"/>
  <c r="BO57" i="17" s="1"/>
  <c r="BL227" i="17"/>
  <c r="BO227" i="17" s="1"/>
  <c r="BL217" i="17"/>
  <c r="BO217" i="17" s="1"/>
  <c r="BL5" i="17"/>
  <c r="BO5" i="17" s="1"/>
  <c r="BL179" i="17"/>
  <c r="BO179" i="17" s="1"/>
  <c r="BL192" i="17"/>
  <c r="BO192" i="17" s="1"/>
  <c r="BP311" i="17"/>
  <c r="BR190" i="17"/>
  <c r="BQ190" i="17"/>
  <c r="BP190" i="17"/>
  <c r="BR45" i="17"/>
  <c r="BQ45" i="17"/>
  <c r="BR353" i="17"/>
  <c r="BQ353" i="17"/>
  <c r="BP353" i="17"/>
  <c r="BR104" i="17"/>
  <c r="BQ104" i="17"/>
  <c r="BP104" i="17"/>
  <c r="BR341" i="17"/>
  <c r="BQ341" i="17"/>
  <c r="BR73" i="17"/>
  <c r="BQ73" i="17"/>
  <c r="BP73" i="17"/>
  <c r="BR335" i="17"/>
  <c r="BQ335" i="17"/>
  <c r="BR107" i="17"/>
  <c r="BQ107" i="17"/>
  <c r="BP107" i="17"/>
  <c r="BR92" i="17"/>
  <c r="BQ92" i="17"/>
  <c r="BP92" i="17"/>
  <c r="BP14" i="17"/>
  <c r="BR31" i="17"/>
  <c r="BQ31" i="17"/>
  <c r="BP31" i="17"/>
  <c r="BR380" i="17"/>
  <c r="BQ380" i="17"/>
  <c r="BP380" i="17"/>
  <c r="BR209" i="17"/>
  <c r="BQ209" i="17"/>
  <c r="BP209" i="17"/>
  <c r="BR126" i="17"/>
  <c r="BQ126" i="17"/>
  <c r="BP126" i="17"/>
  <c r="BR78" i="17"/>
  <c r="BQ78" i="17"/>
  <c r="BP78" i="17"/>
  <c r="BR154" i="17"/>
  <c r="BQ154" i="17"/>
  <c r="BP154" i="17"/>
  <c r="BL290" i="17"/>
  <c r="BO290" i="17" s="1"/>
  <c r="BL260" i="17"/>
  <c r="BO260" i="17" s="1"/>
  <c r="BL18" i="17"/>
  <c r="BO18" i="17" s="1"/>
  <c r="BL394" i="17"/>
  <c r="BO394" i="17" s="1"/>
  <c r="BL90" i="17"/>
  <c r="BO90" i="17" s="1"/>
  <c r="BL184" i="17"/>
  <c r="BO184" i="17" s="1"/>
  <c r="BL240" i="17"/>
  <c r="BO240" i="17" s="1"/>
  <c r="BL6" i="17"/>
  <c r="BO6" i="17" s="1"/>
  <c r="BL29" i="17"/>
  <c r="BO29" i="17" s="1"/>
  <c r="BL226" i="17"/>
  <c r="BO226" i="17" s="1"/>
  <c r="BL37" i="17"/>
  <c r="BO37" i="17" s="1"/>
  <c r="BL137" i="17"/>
  <c r="BO137" i="17" s="1"/>
  <c r="BL386" i="17"/>
  <c r="BO386" i="17" s="1"/>
  <c r="BL395" i="17"/>
  <c r="BO395" i="17" s="1"/>
  <c r="BL230" i="17"/>
  <c r="BO230" i="17" s="1"/>
  <c r="BL250" i="17"/>
  <c r="BO250" i="17" s="1"/>
  <c r="BL150" i="17"/>
  <c r="BO150" i="17" s="1"/>
  <c r="BL329" i="17"/>
  <c r="BO329" i="17" s="1"/>
  <c r="BL25" i="17"/>
  <c r="BO25" i="17" s="1"/>
  <c r="BL342" i="17"/>
  <c r="BO342" i="17" s="1"/>
  <c r="BL287" i="17"/>
  <c r="BO287" i="17" s="1"/>
  <c r="BL363" i="17"/>
  <c r="BO363" i="17" s="1"/>
  <c r="BL366" i="17"/>
  <c r="BO366" i="17" s="1"/>
  <c r="BL38" i="17"/>
  <c r="BO38" i="17" s="1"/>
  <c r="BL315" i="17"/>
  <c r="BO315" i="17" s="1"/>
  <c r="BL328" i="17"/>
  <c r="BO328" i="17" s="1"/>
  <c r="BL101" i="17"/>
  <c r="BO101" i="17" s="1"/>
  <c r="BL378" i="17"/>
  <c r="BO378" i="17" s="1"/>
  <c r="BL61" i="17"/>
  <c r="BO61" i="17" s="1"/>
  <c r="BP206" i="17"/>
  <c r="BR208" i="17"/>
  <c r="BQ208" i="17"/>
  <c r="BP208" i="17"/>
  <c r="BR277" i="17"/>
  <c r="BQ277" i="17"/>
  <c r="BP277" i="17"/>
  <c r="BR402" i="17"/>
  <c r="BT402" i="17" s="1"/>
  <c r="BQ402" i="17"/>
  <c r="BR46" i="17"/>
  <c r="BQ46" i="17"/>
  <c r="BP46" i="17"/>
  <c r="BR268" i="17"/>
  <c r="BQ268" i="17"/>
  <c r="BP268" i="17"/>
  <c r="BR77" i="17"/>
  <c r="BQ77" i="17"/>
  <c r="BP77" i="17"/>
  <c r="BR285" i="17"/>
  <c r="BQ285" i="17"/>
  <c r="BP285" i="17"/>
  <c r="BP335" i="17"/>
  <c r="BR35" i="17"/>
  <c r="BQ35" i="17"/>
  <c r="BP35" i="17"/>
  <c r="BR161" i="17"/>
  <c r="BQ161" i="17"/>
  <c r="BP161" i="17"/>
  <c r="BL143" i="17"/>
  <c r="BO143" i="17" s="1"/>
  <c r="BL113" i="17"/>
  <c r="BO113" i="17" s="1"/>
  <c r="AN59" i="17"/>
  <c r="AJ417" i="17"/>
  <c r="BL269" i="17"/>
  <c r="BO269" i="17" s="1"/>
  <c r="BL324" i="17"/>
  <c r="BO324" i="17" s="1"/>
  <c r="BL53" i="17"/>
  <c r="BO53" i="17" s="1"/>
  <c r="BL102" i="17"/>
  <c r="BO102" i="17" s="1"/>
  <c r="BL164" i="17"/>
  <c r="BO164" i="17" s="1"/>
  <c r="BL174" i="17"/>
  <c r="BO174" i="17" s="1"/>
  <c r="BL114" i="17"/>
  <c r="BO114" i="17" s="1"/>
  <c r="BL66" i="17"/>
  <c r="BO66" i="17" s="1"/>
  <c r="BL405" i="17"/>
  <c r="BO405" i="17" s="1"/>
  <c r="BL270" i="17"/>
  <c r="BO270" i="17" s="1"/>
  <c r="BL241" i="17"/>
  <c r="BO241" i="17" s="1"/>
  <c r="BL115" i="17"/>
  <c r="BO115" i="17" s="1"/>
  <c r="BL339" i="17"/>
  <c r="BO339" i="17" s="1"/>
  <c r="BL322" i="17"/>
  <c r="BO322" i="17" s="1"/>
  <c r="BL178" i="17"/>
  <c r="BO178" i="17" s="1"/>
  <c r="BL171" i="17"/>
  <c r="BO171" i="17" s="1"/>
  <c r="BL406" i="17"/>
  <c r="BO406" i="17" s="1"/>
  <c r="BL251" i="17"/>
  <c r="BO251" i="17" s="1"/>
  <c r="BL292" i="17"/>
  <c r="BO292" i="17" s="1"/>
  <c r="BL80" i="17"/>
  <c r="BO80" i="17" s="1"/>
  <c r="BL248" i="17"/>
  <c r="BO248" i="17" s="1"/>
  <c r="BL167" i="17"/>
  <c r="BO167" i="17" s="1"/>
  <c r="BL345" i="17"/>
  <c r="BO345" i="17" s="1"/>
  <c r="BL177" i="17"/>
  <c r="BO177" i="17" s="1"/>
  <c r="BL234" i="17"/>
  <c r="BO234" i="17" s="1"/>
  <c r="BL308" i="17"/>
  <c r="BO308" i="17" s="1"/>
  <c r="BL389" i="17"/>
  <c r="BO389" i="17" s="1"/>
  <c r="BL201" i="17"/>
  <c r="BO201" i="17" s="1"/>
  <c r="BL76" i="17"/>
  <c r="BO76" i="17" s="1"/>
  <c r="BL210" i="17"/>
  <c r="BO210" i="17" s="1"/>
  <c r="BL51" i="17"/>
  <c r="BO51" i="17" s="1"/>
  <c r="BL356" i="17"/>
  <c r="BO356" i="17" s="1"/>
  <c r="BR407" i="17"/>
  <c r="BQ407" i="17"/>
  <c r="BP407" i="17"/>
  <c r="BZ181" i="17"/>
  <c r="BZ183" i="17"/>
  <c r="BR296" i="17"/>
  <c r="BQ296" i="17"/>
  <c r="BP296" i="17"/>
  <c r="BR252" i="17"/>
  <c r="BQ252" i="17"/>
  <c r="BP252" i="17"/>
  <c r="BR311" i="17"/>
  <c r="BQ311" i="17"/>
  <c r="BR281" i="17"/>
  <c r="BQ281" i="17"/>
  <c r="BP281" i="17"/>
  <c r="BZ166" i="17"/>
  <c r="BZ58" i="17"/>
  <c r="BZ211" i="17"/>
  <c r="BR19" i="17"/>
  <c r="BQ19" i="17"/>
  <c r="BP19" i="17"/>
  <c r="BR14" i="17"/>
  <c r="BQ14" i="17"/>
  <c r="BR355" i="17"/>
  <c r="BQ355" i="17"/>
  <c r="BQ408" i="17"/>
  <c r="BR408" i="17"/>
  <c r="BP408" i="17"/>
  <c r="BR158" i="17"/>
  <c r="BQ158" i="17"/>
  <c r="BP158" i="17"/>
  <c r="BZ231" i="17"/>
  <c r="BR338" i="17"/>
  <c r="BQ338" i="17"/>
  <c r="BP338" i="17"/>
  <c r="BR318" i="17"/>
  <c r="BQ318" i="17"/>
  <c r="BP318" i="17"/>
  <c r="BR325" i="17"/>
  <c r="BQ325" i="17"/>
  <c r="BP325" i="17"/>
  <c r="BR173" i="17"/>
  <c r="BQ173" i="17"/>
  <c r="BP173" i="17"/>
  <c r="BR189" i="17"/>
  <c r="BQ189" i="17"/>
  <c r="BP189" i="17"/>
  <c r="BR168" i="17"/>
  <c r="BQ168" i="17"/>
  <c r="BP168" i="17"/>
  <c r="BZ372" i="17"/>
  <c r="BZ213" i="17"/>
  <c r="BR74" i="17"/>
  <c r="BQ74" i="17"/>
  <c r="BP74" i="17"/>
  <c r="BL256" i="17"/>
  <c r="BO256" i="17" s="1"/>
  <c r="BL157" i="17"/>
  <c r="BO157" i="17" s="1"/>
  <c r="BL232" i="17"/>
  <c r="BO232" i="17" s="1"/>
  <c r="BL361" i="17"/>
  <c r="BO361" i="17" s="1"/>
  <c r="BL393" i="17"/>
  <c r="BO393" i="17" s="1"/>
  <c r="BL195" i="17"/>
  <c r="BO195" i="17" s="1"/>
  <c r="BL376" i="17"/>
  <c r="BO376" i="17" s="1"/>
  <c r="BL333" i="17"/>
  <c r="BO333" i="17" s="1"/>
  <c r="BL202" i="17"/>
  <c r="BO202" i="17" s="1"/>
  <c r="BL139" i="17"/>
  <c r="BO139" i="17" s="1"/>
  <c r="BL129" i="17"/>
  <c r="BO129" i="17" s="1"/>
  <c r="BL399" i="17"/>
  <c r="BO399" i="17" s="1"/>
  <c r="BL13" i="17"/>
  <c r="BO13" i="17" s="1"/>
  <c r="BL132" i="17"/>
  <c r="BO132" i="17" s="1"/>
  <c r="BL41" i="17"/>
  <c r="BO41" i="17" s="1"/>
  <c r="BL99" i="17"/>
  <c r="BO99" i="17" s="1"/>
  <c r="BL118" i="17"/>
  <c r="BO118" i="17" s="1"/>
  <c r="BL359" i="17"/>
  <c r="BO359" i="17" s="1"/>
  <c r="BL295" i="17"/>
  <c r="BO295" i="17" s="1"/>
  <c r="BL242" i="17"/>
  <c r="BO242" i="17" s="1"/>
  <c r="BL187" i="17"/>
  <c r="BO187" i="17" s="1"/>
  <c r="BL146" i="17"/>
  <c r="BO146" i="17" s="1"/>
  <c r="BL172" i="17"/>
  <c r="BO172" i="17" s="1"/>
  <c r="BL141" i="17"/>
  <c r="BO141" i="17" s="1"/>
  <c r="BL197" i="17"/>
  <c r="BO197" i="17" s="1"/>
  <c r="BL95" i="17"/>
  <c r="BL246" i="17"/>
  <c r="BO246" i="17" s="1"/>
  <c r="BL282" i="17"/>
  <c r="BO282" i="17" s="1"/>
  <c r="BL93" i="17"/>
  <c r="BO93" i="17" s="1"/>
  <c r="BL180" i="17"/>
  <c r="BO180" i="17" s="1"/>
  <c r="BL358" i="17"/>
  <c r="BO358" i="17" s="1"/>
  <c r="BL236" i="17"/>
  <c r="BO236" i="17" s="1"/>
  <c r="BL151" i="17"/>
  <c r="BO151" i="17" s="1"/>
  <c r="BL85" i="17"/>
  <c r="BO85" i="17" s="1"/>
  <c r="BL346" i="17"/>
  <c r="BO346" i="17" s="1"/>
  <c r="BL68" i="17"/>
  <c r="BO68" i="17" s="1"/>
  <c r="BL374" i="17"/>
  <c r="BO374" i="17" s="1"/>
  <c r="BL82" i="17"/>
  <c r="BO82" i="17" s="1"/>
  <c r="BL247" i="17"/>
  <c r="BO247" i="17" s="1"/>
  <c r="BL89" i="17"/>
  <c r="BO89" i="17" s="1"/>
  <c r="BL373" i="17"/>
  <c r="BO373" i="17" s="1"/>
  <c r="BL237" i="17"/>
  <c r="BO237" i="17" s="1"/>
  <c r="BL86" i="17"/>
  <c r="BO86" i="17" s="1"/>
  <c r="BL125" i="17"/>
  <c r="BO125" i="17" s="1"/>
  <c r="BL212" i="17"/>
  <c r="BO212" i="17" s="1"/>
  <c r="BL264" i="17"/>
  <c r="BO264" i="17" s="1"/>
  <c r="BL283" i="17"/>
  <c r="BO283" i="17" s="1"/>
  <c r="BL65" i="17"/>
  <c r="BO65" i="17" s="1"/>
  <c r="BL349" i="17"/>
  <c r="BO349" i="17" s="1"/>
  <c r="BL153" i="17"/>
  <c r="BO153" i="17" s="1"/>
  <c r="BL49" i="17"/>
  <c r="BO49" i="17" s="1"/>
  <c r="BL122" i="17"/>
  <c r="BO122" i="17" s="1"/>
  <c r="BL289" i="17"/>
  <c r="BO289" i="17" s="1"/>
  <c r="BL267" i="17"/>
  <c r="BO267" i="17" s="1"/>
  <c r="BZ223" i="17"/>
  <c r="BR181" i="17"/>
  <c r="BQ181" i="17"/>
  <c r="BP181" i="17"/>
  <c r="BR183" i="17"/>
  <c r="BQ183" i="17"/>
  <c r="BP183" i="17"/>
  <c r="AJ415" i="17"/>
  <c r="BZ135" i="17"/>
  <c r="BZ26" i="17"/>
  <c r="BZ62" i="17"/>
  <c r="BQ2" i="17"/>
  <c r="BR2" i="17"/>
  <c r="BP2" i="17"/>
  <c r="BR166" i="17"/>
  <c r="BQ166" i="17"/>
  <c r="BP166" i="17"/>
  <c r="BR58" i="17"/>
  <c r="BQ58" i="17"/>
  <c r="BP58" i="17"/>
  <c r="BR211" i="17"/>
  <c r="BQ211" i="17"/>
  <c r="BP211" i="17"/>
  <c r="BZ271" i="17"/>
  <c r="BZ94" i="17"/>
  <c r="BZ17" i="17"/>
  <c r="BZ314" i="17"/>
  <c r="BZ30" i="17"/>
  <c r="BP261" i="17"/>
  <c r="BR231" i="17"/>
  <c r="BQ231" i="17"/>
  <c r="BP231" i="17"/>
  <c r="BZ185" i="17"/>
  <c r="BZ152" i="17"/>
  <c r="BZ225" i="17"/>
  <c r="BR372" i="17"/>
  <c r="BQ372" i="17"/>
  <c r="BP372" i="17"/>
  <c r="BR213" i="17"/>
  <c r="BQ213" i="17"/>
  <c r="BP213" i="17"/>
  <c r="BZ348" i="17"/>
  <c r="BL334" i="17"/>
  <c r="BO334" i="17" s="1"/>
  <c r="BL286" i="17"/>
  <c r="BO286" i="17" s="1"/>
  <c r="BL298" i="17"/>
  <c r="BO298" i="17" s="1"/>
  <c r="BL321" i="17"/>
  <c r="BO321" i="17" s="1"/>
  <c r="BL193" i="17"/>
  <c r="BO193" i="17" s="1"/>
  <c r="BL347" i="17"/>
  <c r="BO347" i="17" s="1"/>
  <c r="BL316" i="17"/>
  <c r="BO316" i="17" s="1"/>
  <c r="BL27" i="17"/>
  <c r="BO27" i="17" s="1"/>
  <c r="BL36" i="17"/>
  <c r="BO36" i="17" s="1"/>
  <c r="BL369" i="17"/>
  <c r="BO369" i="17" s="1"/>
  <c r="BL254" i="17"/>
  <c r="BO254" i="17" s="1"/>
  <c r="BL145" i="17"/>
  <c r="BO145" i="17" s="1"/>
  <c r="BL306" i="17"/>
  <c r="BO306" i="17" s="1"/>
  <c r="BL196" i="17"/>
  <c r="BO196" i="17" s="1"/>
  <c r="BL249" i="17"/>
  <c r="BO249" i="17" s="1"/>
  <c r="BL354" i="17"/>
  <c r="BO354" i="17" s="1"/>
  <c r="BL11" i="17"/>
  <c r="BO11" i="17" s="1"/>
  <c r="BL15" i="17"/>
  <c r="BO15" i="17" s="1"/>
  <c r="BL313" i="17"/>
  <c r="BO313" i="17" s="1"/>
  <c r="BL291" i="17"/>
  <c r="BO291" i="17" s="1"/>
  <c r="BL377" i="17"/>
  <c r="BO377" i="17" s="1"/>
  <c r="BL175" i="17"/>
  <c r="BO175" i="17" s="1"/>
  <c r="BL384" i="17"/>
  <c r="BO384" i="17" s="1"/>
  <c r="BL50" i="17"/>
  <c r="BO50" i="17" s="1"/>
  <c r="BL263" i="17"/>
  <c r="BO263" i="17" s="1"/>
  <c r="BL121" i="17"/>
  <c r="BO121" i="17" s="1"/>
  <c r="BL294" i="17"/>
  <c r="BO294" i="17" s="1"/>
  <c r="BL88" i="17"/>
  <c r="BO88" i="17" s="1"/>
  <c r="BL310" i="17"/>
  <c r="BO310" i="17" s="1"/>
  <c r="BL307" i="17"/>
  <c r="BO307" i="17" s="1"/>
  <c r="BL194" i="17"/>
  <c r="BO194" i="17" s="1"/>
  <c r="BL144" i="17"/>
  <c r="BO144" i="17" s="1"/>
  <c r="BL39" i="17"/>
  <c r="BO39" i="17" s="1"/>
  <c r="BL67" i="17"/>
  <c r="BO67" i="17" s="1"/>
  <c r="BL275" i="17"/>
  <c r="BO275" i="17" s="1"/>
  <c r="BL214" i="17"/>
  <c r="BO214" i="17" s="1"/>
  <c r="BL215" i="17"/>
  <c r="BO215" i="17" s="1"/>
  <c r="BL60" i="17"/>
  <c r="BL52" i="17"/>
  <c r="BO52" i="17" s="1"/>
  <c r="BL323" i="17"/>
  <c r="BO323" i="17" s="1"/>
  <c r="BL204" i="17"/>
  <c r="BO204" i="17" s="1"/>
  <c r="BL84" i="17"/>
  <c r="BO84" i="17" s="1"/>
  <c r="BL138" i="17"/>
  <c r="BO138" i="17" s="1"/>
  <c r="BL400" i="17"/>
  <c r="BO400" i="17" s="1"/>
  <c r="BL320" i="17"/>
  <c r="BO320" i="17" s="1"/>
  <c r="BL131" i="17"/>
  <c r="BO131" i="17" s="1"/>
  <c r="BL303" i="17"/>
  <c r="BO303" i="17" s="1"/>
  <c r="BL71" i="17"/>
  <c r="BO71" i="17" s="1"/>
  <c r="BL280" i="17"/>
  <c r="BO280" i="17" s="1"/>
  <c r="BL81" i="17"/>
  <c r="BO81" i="17" s="1"/>
  <c r="BL198" i="17"/>
  <c r="BO198" i="17" s="1"/>
  <c r="BR223" i="17"/>
  <c r="BQ223" i="17"/>
  <c r="BP223" i="17"/>
  <c r="BR163" i="17"/>
  <c r="BQ163" i="17"/>
  <c r="BR135" i="17"/>
  <c r="BQ135" i="17"/>
  <c r="BR23" i="17"/>
  <c r="BQ23" i="17"/>
  <c r="BR26" i="17"/>
  <c r="BQ26" i="17"/>
  <c r="BP26" i="17"/>
  <c r="BR62" i="17"/>
  <c r="BQ62" i="17"/>
  <c r="BP62" i="17"/>
  <c r="BR271" i="17"/>
  <c r="BQ271" i="17"/>
  <c r="BR94" i="17"/>
  <c r="BQ94" i="17"/>
  <c r="BR17" i="17"/>
  <c r="BQ17" i="17"/>
  <c r="BP17" i="17"/>
  <c r="BR314" i="17"/>
  <c r="BQ314" i="17"/>
  <c r="BP314" i="17"/>
  <c r="BR30" i="17"/>
  <c r="BQ30" i="17"/>
  <c r="BR185" i="17"/>
  <c r="BQ185" i="17"/>
  <c r="BQ152" i="17"/>
  <c r="BR152" i="17"/>
  <c r="BR225" i="17"/>
  <c r="BQ225" i="17"/>
  <c r="BR330" i="17"/>
  <c r="BQ330" i="17"/>
  <c r="BP330" i="17"/>
  <c r="BR362" i="17"/>
  <c r="BQ362" i="17"/>
  <c r="BQ368" i="17"/>
  <c r="BR368" i="17"/>
  <c r="BP368" i="17"/>
  <c r="BP225" i="17"/>
  <c r="BR348" i="17"/>
  <c r="BQ348" i="17"/>
  <c r="BP348" i="17"/>
  <c r="BL364" i="17"/>
  <c r="BO364" i="17" s="1"/>
  <c r="BL219" i="17"/>
  <c r="BO219" i="17" s="1"/>
  <c r="BL106" i="17"/>
  <c r="BL133" i="17"/>
  <c r="BO133" i="17" s="1"/>
  <c r="BL255" i="17"/>
  <c r="BO255" i="17" s="1"/>
  <c r="BL119" i="17"/>
  <c r="BO119" i="17" s="1"/>
  <c r="BL392" i="17"/>
  <c r="BL302" i="17"/>
  <c r="BO302" i="17" s="1"/>
  <c r="BL299" i="17"/>
  <c r="BO299" i="17" s="1"/>
  <c r="BL24" i="17"/>
  <c r="BO24" i="17" s="1"/>
  <c r="BL381" i="17"/>
  <c r="BL134" i="17"/>
  <c r="BO134" i="17" s="1"/>
  <c r="BL110" i="17"/>
  <c r="BO110" i="17" s="1"/>
  <c r="BL319" i="17"/>
  <c r="BO319" i="17" s="1"/>
  <c r="BL203" i="17"/>
  <c r="BL44" i="17"/>
  <c r="BO44" i="17" s="1"/>
  <c r="BL388" i="17"/>
  <c r="BO388" i="17" s="1"/>
  <c r="BL105" i="17"/>
  <c r="BO105" i="17" s="1"/>
  <c r="BL278" i="17"/>
  <c r="BL182" i="17"/>
  <c r="BO182" i="17" s="1"/>
  <c r="BL3" i="17"/>
  <c r="BN3" i="17" s="1"/>
  <c r="BL337" i="17"/>
  <c r="BO337" i="17" s="1"/>
  <c r="BL10" i="17"/>
  <c r="BO10" i="17" s="1"/>
  <c r="BP238" i="17"/>
  <c r="BR70" i="17"/>
  <c r="BQ70" i="17"/>
  <c r="BP70" i="17"/>
  <c r="BR147" i="17"/>
  <c r="BQ147" i="17"/>
  <c r="BP147" i="17"/>
  <c r="BR47" i="17"/>
  <c r="BQ47" i="17"/>
  <c r="BP47" i="17"/>
  <c r="BR63" i="17"/>
  <c r="BQ63" i="17"/>
  <c r="BP63" i="17"/>
  <c r="BR207" i="17"/>
  <c r="BQ207" i="17"/>
  <c r="BP207" i="17"/>
  <c r="BQ352" i="17"/>
  <c r="BR352" i="17"/>
  <c r="BP352" i="17"/>
  <c r="BR75" i="17"/>
  <c r="BQ75" i="17"/>
  <c r="BP75" i="17"/>
  <c r="BR12" i="17"/>
  <c r="BQ12" i="17"/>
  <c r="BP12" i="17"/>
  <c r="BR169" i="17"/>
  <c r="BQ169" i="17"/>
  <c r="BP169" i="17"/>
  <c r="BR274" i="17"/>
  <c r="BQ274" i="17"/>
  <c r="BP274" i="17"/>
  <c r="BR357" i="17"/>
  <c r="BQ357" i="17"/>
  <c r="BL69" i="17"/>
  <c r="BO69" i="17" s="1"/>
  <c r="BL21" i="17"/>
  <c r="BO21" i="17" s="1"/>
  <c r="BL218" i="17"/>
  <c r="BL8" i="17"/>
  <c r="BO8" i="17" s="1"/>
  <c r="BL301" i="17"/>
  <c r="BO301" i="17" s="1"/>
  <c r="BL360" i="17"/>
  <c r="BO360" i="17" s="1"/>
  <c r="BL331" i="17"/>
  <c r="BL159" i="17"/>
  <c r="BO159" i="17" s="1"/>
  <c r="BL235" i="17"/>
  <c r="BO235" i="17" s="1"/>
  <c r="BL191" i="17"/>
  <c r="BO191" i="17" s="1"/>
  <c r="BL309" i="17"/>
  <c r="BL108" i="17"/>
  <c r="BO108" i="17" s="1"/>
  <c r="BL297" i="17"/>
  <c r="BO297" i="17" s="1"/>
  <c r="BL34" i="17"/>
  <c r="BO34" i="17" s="1"/>
  <c r="BL343" i="17"/>
  <c r="BL382" i="17"/>
  <c r="BO382" i="17" s="1"/>
  <c r="BL156" i="17"/>
  <c r="BO156" i="17" s="1"/>
  <c r="BL83" i="17"/>
  <c r="BO83" i="17" s="1"/>
  <c r="BL340" i="17"/>
  <c r="BL336" i="17"/>
  <c r="BO336" i="17" s="1"/>
  <c r="BL265" i="17"/>
  <c r="BO265" i="17" s="1"/>
  <c r="BL276" i="17"/>
  <c r="BO276" i="17" s="1"/>
  <c r="BL375" i="17"/>
  <c r="BL332" i="17"/>
  <c r="BO332" i="17" s="1"/>
  <c r="BL233" i="17"/>
  <c r="BO233" i="17" s="1"/>
  <c r="BL116" i="17"/>
  <c r="BO116" i="17" s="1"/>
  <c r="BL148" i="17"/>
  <c r="BL396" i="17"/>
  <c r="BO396" i="17" s="1"/>
  <c r="BZ120" i="17"/>
  <c r="BZ56" i="17"/>
  <c r="BZ288" i="17"/>
  <c r="BZ224" i="17"/>
  <c r="BR186" i="17"/>
  <c r="BQ186" i="17"/>
  <c r="BP186" i="17"/>
  <c r="BR117" i="17"/>
  <c r="BQ117" i="17"/>
  <c r="BP117" i="17"/>
  <c r="BR33" i="17"/>
  <c r="BQ33" i="17"/>
  <c r="BP33" i="17"/>
  <c r="BR367" i="17"/>
  <c r="BQ367" i="17"/>
  <c r="BP367" i="17"/>
  <c r="BR239" i="17"/>
  <c r="BQ239" i="17"/>
  <c r="BP239" i="17"/>
  <c r="BZ64" i="17"/>
  <c r="BZ273" i="17"/>
  <c r="BZ350" i="17"/>
  <c r="BR79" i="17"/>
  <c r="BQ79" i="17"/>
  <c r="BP79" i="17"/>
  <c r="BR7" i="17"/>
  <c r="BQ7" i="17"/>
  <c r="BP7" i="17"/>
  <c r="BR279" i="17"/>
  <c r="BQ279" i="17"/>
  <c r="BP279" i="17"/>
  <c r="BQ112" i="17"/>
  <c r="BR112" i="17"/>
  <c r="BP112" i="17"/>
  <c r="BR40" i="17"/>
  <c r="BQ40" i="17"/>
  <c r="BP40" i="17"/>
  <c r="BR206" i="17"/>
  <c r="BQ206" i="17"/>
  <c r="BZ284" i="17"/>
  <c r="BZ312" i="17"/>
  <c r="BR238" i="17"/>
  <c r="BQ238" i="17"/>
  <c r="BR32" i="17"/>
  <c r="BQ32" i="17"/>
  <c r="BP32" i="17"/>
  <c r="BR261" i="17"/>
  <c r="BQ261" i="17"/>
  <c r="BR327" i="17"/>
  <c r="BQ327" i="17"/>
  <c r="BP327" i="17"/>
  <c r="BR124" i="17"/>
  <c r="BQ124" i="17"/>
  <c r="BP124" i="17"/>
  <c r="BR370" i="17"/>
  <c r="BQ370" i="17"/>
  <c r="BP370" i="17"/>
  <c r="BZ205" i="17"/>
  <c r="BZ243" i="17"/>
  <c r="BR155" i="17"/>
  <c r="BQ155" i="17"/>
  <c r="D26" i="20"/>
  <c r="B23" i="20"/>
  <c r="BT281" i="17" l="1"/>
  <c r="BT185" i="17"/>
  <c r="BZ2" i="17"/>
  <c r="D28" i="20"/>
  <c r="BT58" i="17"/>
  <c r="BT268" i="17"/>
  <c r="BT277" i="17"/>
  <c r="BT279" i="17"/>
  <c r="BT181" i="17"/>
  <c r="CA2" i="17"/>
  <c r="BO95" i="17"/>
  <c r="BX95" i="17" s="1"/>
  <c r="BP95" i="17"/>
  <c r="BT109" i="17"/>
  <c r="BT64" i="17"/>
  <c r="BT224" i="17"/>
  <c r="BT120" i="17"/>
  <c r="BT79" i="17"/>
  <c r="BT173" i="17"/>
  <c r="BX256" i="17"/>
  <c r="CA256" i="17"/>
  <c r="BX71" i="17"/>
  <c r="CA71" i="17"/>
  <c r="BX286" i="17"/>
  <c r="CA286" i="17"/>
  <c r="BX24" i="17"/>
  <c r="CA24" i="17"/>
  <c r="BX81" i="17"/>
  <c r="CA81" i="17"/>
  <c r="BX153" i="17"/>
  <c r="CA153" i="17"/>
  <c r="BX141" i="17"/>
  <c r="CA141" i="17"/>
  <c r="BX345" i="17"/>
  <c r="CA345" i="17"/>
  <c r="BX241" i="17"/>
  <c r="CA241" i="17"/>
  <c r="BX29" i="17"/>
  <c r="CA29" i="17"/>
  <c r="BX262" i="17"/>
  <c r="CA262" i="17"/>
  <c r="BX361" i="17"/>
  <c r="CA361" i="17"/>
  <c r="BX76" i="17"/>
  <c r="CA76" i="17"/>
  <c r="BX234" i="17"/>
  <c r="CA234" i="17"/>
  <c r="BX339" i="17"/>
  <c r="CA339" i="17"/>
  <c r="BX363" i="17"/>
  <c r="CA363" i="17"/>
  <c r="BX162" i="17"/>
  <c r="CA162" i="17"/>
  <c r="BX300" i="17"/>
  <c r="CA300" i="17"/>
  <c r="BX200" i="17"/>
  <c r="CA200" i="17"/>
  <c r="BX22" i="17"/>
  <c r="CA22" i="17"/>
  <c r="BX15" i="17"/>
  <c r="CA15" i="17"/>
  <c r="BX146" i="17"/>
  <c r="CA146" i="17"/>
  <c r="BX356" i="17"/>
  <c r="CA356" i="17"/>
  <c r="BX80" i="17"/>
  <c r="CA80" i="17"/>
  <c r="BX171" i="17"/>
  <c r="CA171" i="17"/>
  <c r="BX61" i="17"/>
  <c r="CA61" i="17"/>
  <c r="BX315" i="17"/>
  <c r="CA315" i="17"/>
  <c r="BX184" i="17"/>
  <c r="CA184" i="17"/>
  <c r="BX54" i="17"/>
  <c r="CA54" i="17"/>
  <c r="BX317" i="17"/>
  <c r="CA317" i="17"/>
  <c r="BX326" i="17"/>
  <c r="CA326" i="17"/>
  <c r="BX10" i="17"/>
  <c r="CA10" i="17"/>
  <c r="BX84" i="17"/>
  <c r="CA84" i="17"/>
  <c r="BX384" i="17"/>
  <c r="CA384" i="17"/>
  <c r="BX354" i="17"/>
  <c r="CA354" i="17"/>
  <c r="BX193" i="17"/>
  <c r="CA193" i="17"/>
  <c r="BX349" i="17"/>
  <c r="CA349" i="17"/>
  <c r="BX237" i="17"/>
  <c r="CA237" i="17"/>
  <c r="BX346" i="17"/>
  <c r="CA346" i="17"/>
  <c r="BX246" i="17"/>
  <c r="CA246" i="17"/>
  <c r="BX187" i="17"/>
  <c r="CA187" i="17"/>
  <c r="BX13" i="17"/>
  <c r="CA13" i="17"/>
  <c r="BX139" i="17"/>
  <c r="CA139" i="17"/>
  <c r="BX201" i="17"/>
  <c r="CA201" i="17"/>
  <c r="BX167" i="17"/>
  <c r="CA167" i="17"/>
  <c r="BX174" i="17"/>
  <c r="CA174" i="17"/>
  <c r="BX304" i="17"/>
  <c r="CA304" i="17"/>
  <c r="BX216" i="17"/>
  <c r="CA216" i="17"/>
  <c r="BX371" i="17"/>
  <c r="CA371" i="17"/>
  <c r="BX385" i="17"/>
  <c r="CA385" i="17"/>
  <c r="BX127" i="17"/>
  <c r="CA127" i="17"/>
  <c r="BX293" i="17"/>
  <c r="CA293" i="17"/>
  <c r="BX170" i="17"/>
  <c r="CA170" i="17"/>
  <c r="BX97" i="17"/>
  <c r="CA97" i="17"/>
  <c r="BX302" i="17"/>
  <c r="CA302" i="17"/>
  <c r="BX131" i="17"/>
  <c r="CA131" i="17"/>
  <c r="BX67" i="17"/>
  <c r="CA67" i="17"/>
  <c r="BX294" i="17"/>
  <c r="CA294" i="17"/>
  <c r="BX313" i="17"/>
  <c r="CA313" i="17"/>
  <c r="BX36" i="17"/>
  <c r="CA36" i="17"/>
  <c r="BX122" i="17"/>
  <c r="CA122" i="17"/>
  <c r="BX212" i="17"/>
  <c r="CA212" i="17"/>
  <c r="BX247" i="17"/>
  <c r="CA247" i="17"/>
  <c r="BX358" i="17"/>
  <c r="CA358" i="17"/>
  <c r="BX118" i="17"/>
  <c r="CA118" i="17"/>
  <c r="BX376" i="17"/>
  <c r="CA376" i="17"/>
  <c r="BX51" i="17"/>
  <c r="CA51" i="17"/>
  <c r="BX292" i="17"/>
  <c r="CA292" i="17"/>
  <c r="BX270" i="17"/>
  <c r="CA270" i="17"/>
  <c r="BX324" i="17"/>
  <c r="CA324" i="17"/>
  <c r="BX113" i="17"/>
  <c r="CA113" i="17"/>
  <c r="BX378" i="17"/>
  <c r="CA378" i="17"/>
  <c r="BX329" i="17"/>
  <c r="CA329" i="17"/>
  <c r="BX395" i="17"/>
  <c r="CA395" i="17"/>
  <c r="BX37" i="17"/>
  <c r="CA37" i="17"/>
  <c r="BX6" i="17"/>
  <c r="CA6" i="17"/>
  <c r="BX90" i="17"/>
  <c r="CA90" i="17"/>
  <c r="BX290" i="17"/>
  <c r="CA290" i="17"/>
  <c r="BX5" i="17"/>
  <c r="CA5" i="17"/>
  <c r="BX57" i="17"/>
  <c r="CA57" i="17"/>
  <c r="BX55" i="17"/>
  <c r="CA55" i="17"/>
  <c r="BX391" i="17"/>
  <c r="CA391" i="17"/>
  <c r="BX403" i="17"/>
  <c r="CA403" i="17"/>
  <c r="BX87" i="17"/>
  <c r="CA87" i="17"/>
  <c r="BX98" i="17"/>
  <c r="CA98" i="17"/>
  <c r="BX4" i="17"/>
  <c r="CA4" i="17"/>
  <c r="BX165" i="17"/>
  <c r="CA165" i="17"/>
  <c r="BX244" i="17"/>
  <c r="CA244" i="17"/>
  <c r="BX365" i="17"/>
  <c r="CA365" i="17"/>
  <c r="BX398" i="17"/>
  <c r="CA398" i="17"/>
  <c r="BX142" i="17"/>
  <c r="CA142" i="17"/>
  <c r="BX199" i="17"/>
  <c r="CA199" i="17"/>
  <c r="BX116" i="17"/>
  <c r="CA116" i="17"/>
  <c r="BX276" i="17"/>
  <c r="CA276" i="17"/>
  <c r="BX83" i="17"/>
  <c r="CA83" i="17"/>
  <c r="BX34" i="17"/>
  <c r="CA34" i="17"/>
  <c r="BX191" i="17"/>
  <c r="CA191" i="17"/>
  <c r="BX360" i="17"/>
  <c r="CA360" i="17"/>
  <c r="BX21" i="17"/>
  <c r="CA21" i="17"/>
  <c r="BX337" i="17"/>
  <c r="CA337" i="17"/>
  <c r="BX105" i="17"/>
  <c r="CA105" i="17"/>
  <c r="BX319" i="17"/>
  <c r="CA319" i="17"/>
  <c r="BX198" i="17"/>
  <c r="CA198" i="17"/>
  <c r="BX320" i="17"/>
  <c r="CA320" i="17"/>
  <c r="BX204" i="17"/>
  <c r="CA204" i="17"/>
  <c r="BX215" i="17"/>
  <c r="CA215" i="17"/>
  <c r="BX307" i="17"/>
  <c r="CA307" i="17"/>
  <c r="BX121" i="17"/>
  <c r="CA121" i="17"/>
  <c r="BX175" i="17"/>
  <c r="CA175" i="17"/>
  <c r="BX145" i="17"/>
  <c r="CA145" i="17"/>
  <c r="BX27" i="17"/>
  <c r="CA27" i="17"/>
  <c r="BX321" i="17"/>
  <c r="CA321" i="17"/>
  <c r="BX334" i="17"/>
  <c r="CA334" i="17"/>
  <c r="BX49" i="17"/>
  <c r="CA49" i="17"/>
  <c r="BX65" i="17"/>
  <c r="CA65" i="17"/>
  <c r="BX125" i="17"/>
  <c r="CA125" i="17"/>
  <c r="BX82" i="17"/>
  <c r="CA82" i="17"/>
  <c r="BX85" i="17"/>
  <c r="CA85" i="17"/>
  <c r="BX180" i="17"/>
  <c r="CA180" i="17"/>
  <c r="BX172" i="17"/>
  <c r="CA172" i="17"/>
  <c r="BX242" i="17"/>
  <c r="CA242" i="17"/>
  <c r="BX99" i="17"/>
  <c r="CA99" i="17"/>
  <c r="BX195" i="17"/>
  <c r="CA195" i="17"/>
  <c r="BX232" i="17"/>
  <c r="CA232" i="17"/>
  <c r="BX210" i="17"/>
  <c r="CA210" i="17"/>
  <c r="BX389" i="17"/>
  <c r="CA389" i="17"/>
  <c r="BX177" i="17"/>
  <c r="CA177" i="17"/>
  <c r="BX248" i="17"/>
  <c r="CA248" i="17"/>
  <c r="BX251" i="17"/>
  <c r="CA251" i="17"/>
  <c r="BX178" i="17"/>
  <c r="CA178" i="17"/>
  <c r="BX115" i="17"/>
  <c r="CA115" i="17"/>
  <c r="BX405" i="17"/>
  <c r="CA405" i="17"/>
  <c r="BX164" i="17"/>
  <c r="CA164" i="17"/>
  <c r="BX269" i="17"/>
  <c r="CA269" i="17"/>
  <c r="BX143" i="17"/>
  <c r="CA143" i="17"/>
  <c r="BX101" i="17"/>
  <c r="CA101" i="17"/>
  <c r="BX38" i="17"/>
  <c r="CA38" i="17"/>
  <c r="BX287" i="17"/>
  <c r="CA287" i="17"/>
  <c r="BX150" i="17"/>
  <c r="CA150" i="17"/>
  <c r="BX386" i="17"/>
  <c r="CA386" i="17"/>
  <c r="BX226" i="17"/>
  <c r="CA226" i="17"/>
  <c r="BX240" i="17"/>
  <c r="CA240" i="17"/>
  <c r="BX394" i="17"/>
  <c r="CA394" i="17"/>
  <c r="BX192" i="17"/>
  <c r="CA192" i="17"/>
  <c r="BX217" i="17"/>
  <c r="CA217" i="17"/>
  <c r="BX266" i="17"/>
  <c r="CA266" i="17"/>
  <c r="BX43" i="17"/>
  <c r="CA43" i="17"/>
  <c r="BX253" i="17"/>
  <c r="CA253" i="17"/>
  <c r="BX100" i="17"/>
  <c r="CA100" i="17"/>
  <c r="BX351" i="17"/>
  <c r="CA351" i="17"/>
  <c r="BX28" i="17"/>
  <c r="CA28" i="17"/>
  <c r="BX222" i="17"/>
  <c r="CA222" i="17"/>
  <c r="BX259" i="17"/>
  <c r="CA259" i="17"/>
  <c r="BX220" i="17"/>
  <c r="CA220" i="17"/>
  <c r="BX383" i="17"/>
  <c r="CA383" i="17"/>
  <c r="BX344" i="17"/>
  <c r="CA344" i="17"/>
  <c r="BX140" i="17"/>
  <c r="CA140" i="17"/>
  <c r="BX160" i="17"/>
  <c r="CA160" i="17"/>
  <c r="BX91" i="17"/>
  <c r="CA91" i="17"/>
  <c r="BX130" i="17"/>
  <c r="CA130" i="17"/>
  <c r="BX135" i="17"/>
  <c r="CA135" i="17"/>
  <c r="BX109" i="17"/>
  <c r="CA109" i="17"/>
  <c r="BX23" i="17"/>
  <c r="CA23" i="17"/>
  <c r="BX133" i="17"/>
  <c r="CA133" i="17"/>
  <c r="BX280" i="17"/>
  <c r="CA280" i="17"/>
  <c r="BX194" i="17"/>
  <c r="CA194" i="17"/>
  <c r="BX306" i="17"/>
  <c r="CA306" i="17"/>
  <c r="BT327" i="17"/>
  <c r="BX233" i="17"/>
  <c r="CA233" i="17"/>
  <c r="BX265" i="17"/>
  <c r="CA265" i="17"/>
  <c r="BX156" i="17"/>
  <c r="CA156" i="17"/>
  <c r="BX297" i="17"/>
  <c r="CA297" i="17"/>
  <c r="BX235" i="17"/>
  <c r="CA235" i="17"/>
  <c r="BX301" i="17"/>
  <c r="CA301" i="17"/>
  <c r="BX69" i="17"/>
  <c r="CA69" i="17"/>
  <c r="BX388" i="17"/>
  <c r="CA388" i="17"/>
  <c r="BX110" i="17"/>
  <c r="CA110" i="17"/>
  <c r="BX119" i="17"/>
  <c r="CA119" i="17"/>
  <c r="BX219" i="17"/>
  <c r="CA219" i="17"/>
  <c r="BX400" i="17"/>
  <c r="CA400" i="17"/>
  <c r="BX323" i="17"/>
  <c r="CA323" i="17"/>
  <c r="BX214" i="17"/>
  <c r="CA214" i="17"/>
  <c r="BX39" i="17"/>
  <c r="CA39" i="17"/>
  <c r="BX310" i="17"/>
  <c r="CA310" i="17"/>
  <c r="BX263" i="17"/>
  <c r="CA263" i="17"/>
  <c r="BX377" i="17"/>
  <c r="CA377" i="17"/>
  <c r="BX249" i="17"/>
  <c r="CA249" i="17"/>
  <c r="BX254" i="17"/>
  <c r="CA254" i="17"/>
  <c r="BX316" i="17"/>
  <c r="CA316" i="17"/>
  <c r="BX298" i="17"/>
  <c r="CA298" i="17"/>
  <c r="BX267" i="17"/>
  <c r="CA267" i="17"/>
  <c r="BX283" i="17"/>
  <c r="CA283" i="17"/>
  <c r="BX373" i="17"/>
  <c r="CA373" i="17"/>
  <c r="BX374" i="17"/>
  <c r="CA374" i="17"/>
  <c r="BX151" i="17"/>
  <c r="CA151" i="17"/>
  <c r="BX93" i="17"/>
  <c r="CA93" i="17"/>
  <c r="BX197" i="17"/>
  <c r="CA197" i="17"/>
  <c r="BX295" i="17"/>
  <c r="CA295" i="17"/>
  <c r="BX41" i="17"/>
  <c r="CA41" i="17"/>
  <c r="BX399" i="17"/>
  <c r="CA399" i="17"/>
  <c r="BX202" i="17"/>
  <c r="CA202" i="17"/>
  <c r="BX393" i="17"/>
  <c r="CA393" i="17"/>
  <c r="BX157" i="17"/>
  <c r="CA157" i="17"/>
  <c r="BX308" i="17"/>
  <c r="CA308" i="17"/>
  <c r="BX406" i="17"/>
  <c r="CA406" i="17"/>
  <c r="BX322" i="17"/>
  <c r="CA322" i="17"/>
  <c r="BX66" i="17"/>
  <c r="CA66" i="17"/>
  <c r="BX102" i="17"/>
  <c r="CA102" i="17"/>
  <c r="BX328" i="17"/>
  <c r="CA328" i="17"/>
  <c r="BX366" i="17"/>
  <c r="CA366" i="17"/>
  <c r="BX342" i="17"/>
  <c r="CA342" i="17"/>
  <c r="BX250" i="17"/>
  <c r="CA250" i="17"/>
  <c r="BX18" i="17"/>
  <c r="CA18" i="17"/>
  <c r="BX128" i="17"/>
  <c r="CA128" i="17"/>
  <c r="BX136" i="17"/>
  <c r="CA136" i="17"/>
  <c r="BX72" i="17"/>
  <c r="CA72" i="17"/>
  <c r="BX397" i="17"/>
  <c r="CA397" i="17"/>
  <c r="BX149" i="17"/>
  <c r="CA149" i="17"/>
  <c r="BX48" i="17"/>
  <c r="CA48" i="17"/>
  <c r="BX221" i="17"/>
  <c r="CA221" i="17"/>
  <c r="BX257" i="17"/>
  <c r="CA257" i="17"/>
  <c r="BX401" i="17"/>
  <c r="CA401" i="17"/>
  <c r="BX111" i="17"/>
  <c r="CA111" i="17"/>
  <c r="BX103" i="17"/>
  <c r="CA103" i="17"/>
  <c r="BX404" i="17"/>
  <c r="CA404" i="17"/>
  <c r="BX258" i="17"/>
  <c r="CA258" i="17"/>
  <c r="BX396" i="17"/>
  <c r="CA396" i="17"/>
  <c r="BX332" i="17"/>
  <c r="CA332" i="17"/>
  <c r="BX336" i="17"/>
  <c r="CA336" i="17"/>
  <c r="BX382" i="17"/>
  <c r="CA382" i="17"/>
  <c r="BX108" i="17"/>
  <c r="CA108" i="17"/>
  <c r="BX159" i="17"/>
  <c r="CA159" i="17"/>
  <c r="BX8" i="17"/>
  <c r="CA8" i="17"/>
  <c r="BX182" i="17"/>
  <c r="CA182" i="17"/>
  <c r="BX44" i="17"/>
  <c r="CA44" i="17"/>
  <c r="BX134" i="17"/>
  <c r="CA134" i="17"/>
  <c r="BX299" i="17"/>
  <c r="CA299" i="17"/>
  <c r="BX255" i="17"/>
  <c r="CA255" i="17"/>
  <c r="BX364" i="17"/>
  <c r="CA364" i="17"/>
  <c r="BX303" i="17"/>
  <c r="CA303" i="17"/>
  <c r="BX138" i="17"/>
  <c r="CA138" i="17"/>
  <c r="BX52" i="17"/>
  <c r="CA52" i="17"/>
  <c r="BX275" i="17"/>
  <c r="CA275" i="17"/>
  <c r="BX144" i="17"/>
  <c r="CA144" i="17"/>
  <c r="BX88" i="17"/>
  <c r="CA88" i="17"/>
  <c r="BX50" i="17"/>
  <c r="CA50" i="17"/>
  <c r="BX291" i="17"/>
  <c r="CA291" i="17"/>
  <c r="BX11" i="17"/>
  <c r="CA11" i="17"/>
  <c r="BX196" i="17"/>
  <c r="CA196" i="17"/>
  <c r="BX369" i="17"/>
  <c r="CA369" i="17"/>
  <c r="BX347" i="17"/>
  <c r="CA347" i="17"/>
  <c r="BX289" i="17"/>
  <c r="CA289" i="17"/>
  <c r="BX264" i="17"/>
  <c r="CA264" i="17"/>
  <c r="BX86" i="17"/>
  <c r="CA86" i="17"/>
  <c r="BX89" i="17"/>
  <c r="CA89" i="17"/>
  <c r="BX68" i="17"/>
  <c r="CA68" i="17"/>
  <c r="BX236" i="17"/>
  <c r="CA236" i="17"/>
  <c r="BX282" i="17"/>
  <c r="CA282" i="17"/>
  <c r="BX359" i="17"/>
  <c r="CA359" i="17"/>
  <c r="BX132" i="17"/>
  <c r="CA132" i="17"/>
  <c r="BX129" i="17"/>
  <c r="CA129" i="17"/>
  <c r="BX333" i="17"/>
  <c r="CA333" i="17"/>
  <c r="BT19" i="17"/>
  <c r="BX114" i="17"/>
  <c r="CA114" i="17"/>
  <c r="BX53" i="17"/>
  <c r="CA53" i="17"/>
  <c r="BX25" i="17"/>
  <c r="CA25" i="17"/>
  <c r="BX230" i="17"/>
  <c r="CA230" i="17"/>
  <c r="BX137" i="17"/>
  <c r="CA137" i="17"/>
  <c r="BX260" i="17"/>
  <c r="CA260" i="17"/>
  <c r="BX179" i="17"/>
  <c r="CA179" i="17"/>
  <c r="BX227" i="17"/>
  <c r="CA227" i="17"/>
  <c r="BX20" i="17"/>
  <c r="CA20" i="17"/>
  <c r="BX42" i="17"/>
  <c r="CA42" i="17"/>
  <c r="BX176" i="17"/>
  <c r="CA176" i="17"/>
  <c r="BX379" i="17"/>
  <c r="CA379" i="17"/>
  <c r="BX123" i="17"/>
  <c r="CA123" i="17"/>
  <c r="BX228" i="17"/>
  <c r="CA228" i="17"/>
  <c r="BX229" i="17"/>
  <c r="CA229" i="17"/>
  <c r="BX272" i="17"/>
  <c r="CA272" i="17"/>
  <c r="BX16" i="17"/>
  <c r="CA16" i="17"/>
  <c r="BX387" i="17"/>
  <c r="CA387" i="17"/>
  <c r="BX96" i="17"/>
  <c r="CA96" i="17"/>
  <c r="BX390" i="17"/>
  <c r="CA390" i="17"/>
  <c r="BX305" i="17"/>
  <c r="CA305" i="17"/>
  <c r="BX245" i="17"/>
  <c r="CA245" i="17"/>
  <c r="BX188" i="17"/>
  <c r="CA188" i="17"/>
  <c r="BX59" i="17"/>
  <c r="CA59" i="17"/>
  <c r="BX9" i="17"/>
  <c r="CA9" i="17"/>
  <c r="BX163" i="17"/>
  <c r="CA163" i="17"/>
  <c r="BX45" i="17"/>
  <c r="CA45" i="17"/>
  <c r="BT380" i="17"/>
  <c r="BT288" i="17"/>
  <c r="BT163" i="17"/>
  <c r="BT312" i="17"/>
  <c r="BT183" i="17"/>
  <c r="BT284" i="17"/>
  <c r="BT350" i="17"/>
  <c r="BT205" i="17"/>
  <c r="BT355" i="17"/>
  <c r="BT124" i="17"/>
  <c r="BT62" i="17"/>
  <c r="BT211" i="17"/>
  <c r="BT161" i="17"/>
  <c r="BT46" i="17"/>
  <c r="BT208" i="17"/>
  <c r="BT273" i="17"/>
  <c r="BT32" i="17"/>
  <c r="BT239" i="17"/>
  <c r="BT186" i="17"/>
  <c r="BT223" i="17"/>
  <c r="BZ163" i="17"/>
  <c r="BT117" i="17"/>
  <c r="BT274" i="17"/>
  <c r="BT352" i="17"/>
  <c r="BT147" i="17"/>
  <c r="BT225" i="17"/>
  <c r="BT362" i="17"/>
  <c r="BT152" i="17"/>
  <c r="BT213" i="17"/>
  <c r="BT126" i="17"/>
  <c r="BT341" i="17"/>
  <c r="BT45" i="17"/>
  <c r="BQ60" i="17"/>
  <c r="BR60" i="17"/>
  <c r="BP60" i="17"/>
  <c r="BT155" i="17"/>
  <c r="BT112" i="17"/>
  <c r="BT75" i="17"/>
  <c r="BT348" i="17"/>
  <c r="BT271" i="17"/>
  <c r="BT23" i="17"/>
  <c r="BO60" i="17"/>
  <c r="CA60" i="17" s="1"/>
  <c r="BT74" i="17"/>
  <c r="BT325" i="17"/>
  <c r="BT78" i="17"/>
  <c r="BT92" i="17"/>
  <c r="BT73" i="17"/>
  <c r="BT353" i="17"/>
  <c r="BZ45" i="17"/>
  <c r="BT30" i="17"/>
  <c r="BT77" i="17"/>
  <c r="BT243" i="17"/>
  <c r="BT14" i="17"/>
  <c r="BT311" i="17"/>
  <c r="BT63" i="17"/>
  <c r="BT368" i="17"/>
  <c r="BT314" i="17"/>
  <c r="BT231" i="17"/>
  <c r="BT338" i="17"/>
  <c r="BT408" i="17"/>
  <c r="BT367" i="17"/>
  <c r="BT169" i="17"/>
  <c r="BT70" i="17"/>
  <c r="BO3" i="17"/>
  <c r="CA3" i="17" s="1"/>
  <c r="BT2" i="17"/>
  <c r="BT168" i="17"/>
  <c r="BT252" i="17"/>
  <c r="BT35" i="17"/>
  <c r="BT206" i="17"/>
  <c r="BT40" i="17"/>
  <c r="BT135" i="17"/>
  <c r="BT94" i="17"/>
  <c r="BT47" i="17"/>
  <c r="BT17" i="17"/>
  <c r="BT261" i="17"/>
  <c r="BT370" i="17"/>
  <c r="BT7" i="17"/>
  <c r="BT33" i="17"/>
  <c r="BT357" i="17"/>
  <c r="BT12" i="17"/>
  <c r="BT238" i="17"/>
  <c r="BT166" i="17"/>
  <c r="BT189" i="17"/>
  <c r="BT296" i="17"/>
  <c r="BT335" i="17"/>
  <c r="BT154" i="17"/>
  <c r="BT31" i="17"/>
  <c r="BT107" i="17"/>
  <c r="BT104" i="17"/>
  <c r="BT190" i="17"/>
  <c r="BT207" i="17"/>
  <c r="BT330" i="17"/>
  <c r="BT26" i="17"/>
  <c r="BT372" i="17"/>
  <c r="BT318" i="17"/>
  <c r="BT158" i="17"/>
  <c r="BT407" i="17"/>
  <c r="BT285" i="17"/>
  <c r="BT209" i="17"/>
  <c r="BZ233" i="17"/>
  <c r="BZ108" i="17"/>
  <c r="BZ332" i="17"/>
  <c r="BZ301" i="17"/>
  <c r="BZ255" i="17"/>
  <c r="BZ149" i="17"/>
  <c r="BZ110" i="17"/>
  <c r="BZ272" i="17"/>
  <c r="BZ134" i="17"/>
  <c r="BZ156" i="17"/>
  <c r="BZ8" i="17"/>
  <c r="BZ388" i="17"/>
  <c r="BZ133" i="17"/>
  <c r="BZ199" i="17"/>
  <c r="BZ44" i="17"/>
  <c r="BZ235" i="17"/>
  <c r="BZ265" i="17"/>
  <c r="BZ159" i="17"/>
  <c r="BZ302" i="17"/>
  <c r="BZ142" i="17"/>
  <c r="BZ382" i="17"/>
  <c r="BZ396" i="17"/>
  <c r="BZ299" i="17"/>
  <c r="BZ336" i="17"/>
  <c r="BZ69" i="17"/>
  <c r="BZ182" i="17"/>
  <c r="BZ364" i="17"/>
  <c r="BZ398" i="17"/>
  <c r="BZ297" i="17"/>
  <c r="BZ48" i="17"/>
  <c r="BR148" i="17"/>
  <c r="BQ148" i="17"/>
  <c r="BP148" i="17"/>
  <c r="BZ88" i="17"/>
  <c r="BZ321" i="17"/>
  <c r="BZ283" i="17"/>
  <c r="BZ172" i="17"/>
  <c r="BZ234" i="17"/>
  <c r="BZ101" i="17"/>
  <c r="BZ366" i="17"/>
  <c r="BZ37" i="17"/>
  <c r="BZ217" i="17"/>
  <c r="BZ128" i="17"/>
  <c r="BZ42" i="17"/>
  <c r="BZ403" i="17"/>
  <c r="BZ87" i="17"/>
  <c r="BZ300" i="17"/>
  <c r="BZ54" i="17"/>
  <c r="BZ317" i="17"/>
  <c r="BZ91" i="17"/>
  <c r="BZ262" i="17"/>
  <c r="BZ127" i="17"/>
  <c r="BZ326" i="17"/>
  <c r="BZ9" i="17"/>
  <c r="BR343" i="17"/>
  <c r="BQ343" i="17"/>
  <c r="BP343" i="17"/>
  <c r="BR218" i="17"/>
  <c r="BQ218" i="17"/>
  <c r="BP218" i="17"/>
  <c r="BR381" i="17"/>
  <c r="BQ381" i="17"/>
  <c r="BP381" i="17"/>
  <c r="BZ400" i="17"/>
  <c r="BZ144" i="17"/>
  <c r="BZ27" i="17"/>
  <c r="BZ49" i="17"/>
  <c r="BZ246" i="17"/>
  <c r="BZ376" i="17"/>
  <c r="BZ76" i="17"/>
  <c r="BZ269" i="17"/>
  <c r="BZ230" i="17"/>
  <c r="BZ276" i="17"/>
  <c r="BZ219" i="17"/>
  <c r="BR214" i="17"/>
  <c r="BQ214" i="17"/>
  <c r="BP214" i="17"/>
  <c r="BR346" i="17"/>
  <c r="BQ346" i="17"/>
  <c r="BP346" i="17"/>
  <c r="BR403" i="17"/>
  <c r="BQ403" i="17"/>
  <c r="BP403" i="17"/>
  <c r="BQ48" i="17"/>
  <c r="BR48" i="17"/>
  <c r="BP48" i="17"/>
  <c r="BQ272" i="17"/>
  <c r="BR272" i="17"/>
  <c r="BP272" i="17"/>
  <c r="BR398" i="17"/>
  <c r="BQ398" i="17"/>
  <c r="BP398" i="17"/>
  <c r="BR142" i="17"/>
  <c r="BQ142" i="17"/>
  <c r="BP142" i="17"/>
  <c r="BR199" i="17"/>
  <c r="BQ199" i="17"/>
  <c r="BP199" i="17"/>
  <c r="BR300" i="17"/>
  <c r="BQ300" i="17"/>
  <c r="BP300" i="17"/>
  <c r="BR54" i="17"/>
  <c r="BQ54" i="17"/>
  <c r="BP54" i="17"/>
  <c r="BR317" i="17"/>
  <c r="BQ317" i="17"/>
  <c r="BP317" i="17"/>
  <c r="BR91" i="17"/>
  <c r="BQ91" i="17"/>
  <c r="BP91" i="17"/>
  <c r="BR262" i="17"/>
  <c r="BQ262" i="17"/>
  <c r="BP262" i="17"/>
  <c r="BR127" i="17"/>
  <c r="BQ127" i="17"/>
  <c r="BP127" i="17"/>
  <c r="BR326" i="17"/>
  <c r="BQ326" i="17"/>
  <c r="BP326" i="17"/>
  <c r="BR9" i="17"/>
  <c r="BQ9" i="17"/>
  <c r="BP9" i="17"/>
  <c r="BZ328" i="17"/>
  <c r="BZ363" i="17"/>
  <c r="BZ329" i="17"/>
  <c r="BZ395" i="17"/>
  <c r="BZ226" i="17"/>
  <c r="BZ184" i="17"/>
  <c r="BZ260" i="17"/>
  <c r="BZ192" i="17"/>
  <c r="BZ227" i="17"/>
  <c r="BZ20" i="17"/>
  <c r="BZ391" i="17"/>
  <c r="BZ43" i="17"/>
  <c r="BZ253" i="17"/>
  <c r="BZ123" i="17"/>
  <c r="BZ228" i="17"/>
  <c r="BZ229" i="17"/>
  <c r="BZ365" i="17"/>
  <c r="BZ259" i="17"/>
  <c r="BZ220" i="17"/>
  <c r="BZ383" i="17"/>
  <c r="BZ140" i="17"/>
  <c r="BZ305" i="17"/>
  <c r="BZ160" i="17"/>
  <c r="BZ111" i="17"/>
  <c r="BZ385" i="17"/>
  <c r="BZ404" i="17"/>
  <c r="BZ170" i="17"/>
  <c r="BZ97" i="17"/>
  <c r="BZ405" i="17"/>
  <c r="BZ18" i="17"/>
  <c r="BZ83" i="17"/>
  <c r="BR337" i="17"/>
  <c r="BQ337" i="17"/>
  <c r="BP337" i="17"/>
  <c r="BR144" i="17"/>
  <c r="BQ144" i="17"/>
  <c r="BP144" i="17"/>
  <c r="BR291" i="17"/>
  <c r="BQ291" i="17"/>
  <c r="BP291" i="17"/>
  <c r="BR358" i="17"/>
  <c r="BQ358" i="17"/>
  <c r="BP358" i="17"/>
  <c r="BR129" i="17"/>
  <c r="BQ129" i="17"/>
  <c r="BP129" i="17"/>
  <c r="BR76" i="17"/>
  <c r="BQ76" i="17"/>
  <c r="BP76" i="17"/>
  <c r="BR405" i="17"/>
  <c r="BQ405" i="17"/>
  <c r="BP405" i="17"/>
  <c r="BR230" i="17"/>
  <c r="BQ230" i="17"/>
  <c r="BP230" i="17"/>
  <c r="BR116" i="17"/>
  <c r="BQ116" i="17"/>
  <c r="BP116" i="17"/>
  <c r="BR191" i="17"/>
  <c r="BQ191" i="17"/>
  <c r="BP191" i="17"/>
  <c r="BQ24" i="17"/>
  <c r="BR24" i="17"/>
  <c r="BP24" i="17"/>
  <c r="BZ52" i="17"/>
  <c r="BZ194" i="17"/>
  <c r="BZ313" i="17"/>
  <c r="BZ316" i="17"/>
  <c r="BZ264" i="17"/>
  <c r="BZ82" i="17"/>
  <c r="BZ359" i="17"/>
  <c r="BZ139" i="17"/>
  <c r="BZ171" i="17"/>
  <c r="BR198" i="17"/>
  <c r="BQ198" i="17"/>
  <c r="BP198" i="17"/>
  <c r="BR303" i="17"/>
  <c r="BQ303" i="17"/>
  <c r="BP303" i="17"/>
  <c r="BR138" i="17"/>
  <c r="BQ138" i="17"/>
  <c r="BP138" i="17"/>
  <c r="BR52" i="17"/>
  <c r="BQ52" i="17"/>
  <c r="BP52" i="17"/>
  <c r="BR275" i="17"/>
  <c r="BQ275" i="17"/>
  <c r="BP275" i="17"/>
  <c r="BR194" i="17"/>
  <c r="BQ194" i="17"/>
  <c r="BP194" i="17"/>
  <c r="BR294" i="17"/>
  <c r="BQ294" i="17"/>
  <c r="BP294" i="17"/>
  <c r="BQ384" i="17"/>
  <c r="BR384" i="17"/>
  <c r="BP384" i="17"/>
  <c r="BR313" i="17"/>
  <c r="BQ313" i="17"/>
  <c r="BP313" i="17"/>
  <c r="BR249" i="17"/>
  <c r="BQ249" i="17"/>
  <c r="BP249" i="17"/>
  <c r="BR254" i="17"/>
  <c r="BQ254" i="17"/>
  <c r="BP254" i="17"/>
  <c r="BR316" i="17"/>
  <c r="BQ316" i="17"/>
  <c r="BP316" i="17"/>
  <c r="BR298" i="17"/>
  <c r="BQ298" i="17"/>
  <c r="BP298" i="17"/>
  <c r="BR267" i="17"/>
  <c r="BQ267" i="17"/>
  <c r="BP267" i="17"/>
  <c r="BR153" i="17"/>
  <c r="BQ153" i="17"/>
  <c r="BP153" i="17"/>
  <c r="BQ264" i="17"/>
  <c r="BR264" i="17"/>
  <c r="BP264" i="17"/>
  <c r="BR237" i="17"/>
  <c r="BQ237" i="17"/>
  <c r="BP237" i="17"/>
  <c r="BR82" i="17"/>
  <c r="BQ82" i="17"/>
  <c r="BP82" i="17"/>
  <c r="BR85" i="17"/>
  <c r="BQ85" i="17"/>
  <c r="BP85" i="17"/>
  <c r="BR180" i="17"/>
  <c r="BQ180" i="17"/>
  <c r="BP180" i="17"/>
  <c r="BR95" i="17"/>
  <c r="BQ95" i="17"/>
  <c r="BR146" i="17"/>
  <c r="BQ146" i="17"/>
  <c r="BP146" i="17"/>
  <c r="BR359" i="17"/>
  <c r="BQ359" i="17"/>
  <c r="BP359" i="17"/>
  <c r="BR132" i="17"/>
  <c r="BQ132" i="17"/>
  <c r="BP132" i="17"/>
  <c r="BR139" i="17"/>
  <c r="BQ139" i="17"/>
  <c r="BP139" i="17"/>
  <c r="BR195" i="17"/>
  <c r="BQ195" i="17"/>
  <c r="BP195" i="17"/>
  <c r="BR157" i="17"/>
  <c r="BQ157" i="17"/>
  <c r="BP157" i="17"/>
  <c r="BR356" i="17"/>
  <c r="BQ356" i="17"/>
  <c r="BP356" i="17"/>
  <c r="BR201" i="17"/>
  <c r="BQ201" i="17"/>
  <c r="BP201" i="17"/>
  <c r="BR177" i="17"/>
  <c r="BQ177" i="17"/>
  <c r="BP177" i="17"/>
  <c r="BR80" i="17"/>
  <c r="BQ80" i="17"/>
  <c r="BP80" i="17"/>
  <c r="BR171" i="17"/>
  <c r="BQ171" i="17"/>
  <c r="BP171" i="17"/>
  <c r="BR115" i="17"/>
  <c r="BQ115" i="17"/>
  <c r="BP115" i="17"/>
  <c r="BR66" i="17"/>
  <c r="BQ66" i="17"/>
  <c r="BP66" i="17"/>
  <c r="BR102" i="17"/>
  <c r="BQ102" i="17"/>
  <c r="BP102" i="17"/>
  <c r="BQ328" i="17"/>
  <c r="BR328" i="17"/>
  <c r="BP328" i="17"/>
  <c r="BR363" i="17"/>
  <c r="BQ363" i="17"/>
  <c r="BP363" i="17"/>
  <c r="BR329" i="17"/>
  <c r="BQ329" i="17"/>
  <c r="BP329" i="17"/>
  <c r="BR395" i="17"/>
  <c r="BQ395" i="17"/>
  <c r="BP395" i="17"/>
  <c r="BR226" i="17"/>
  <c r="BQ226" i="17"/>
  <c r="BP226" i="17"/>
  <c r="BQ184" i="17"/>
  <c r="BR184" i="17"/>
  <c r="BP184" i="17"/>
  <c r="BR260" i="17"/>
  <c r="BQ260" i="17"/>
  <c r="BP260" i="17"/>
  <c r="BR192" i="17"/>
  <c r="BQ192" i="17"/>
  <c r="BP192" i="17"/>
  <c r="BR227" i="17"/>
  <c r="BQ227" i="17"/>
  <c r="BP227" i="17"/>
  <c r="BR20" i="17"/>
  <c r="BQ20" i="17"/>
  <c r="BP20" i="17"/>
  <c r="BR391" i="17"/>
  <c r="BQ391" i="17"/>
  <c r="BP391" i="17"/>
  <c r="BR43" i="17"/>
  <c r="BQ43" i="17"/>
  <c r="BP43" i="17"/>
  <c r="BR253" i="17"/>
  <c r="BQ253" i="17"/>
  <c r="BP253" i="17"/>
  <c r="BR123" i="17"/>
  <c r="BQ123" i="17"/>
  <c r="BP123" i="17"/>
  <c r="BR228" i="17"/>
  <c r="BQ228" i="17"/>
  <c r="BP228" i="17"/>
  <c r="BR229" i="17"/>
  <c r="BQ229" i="17"/>
  <c r="BP229" i="17"/>
  <c r="BR365" i="17"/>
  <c r="BQ365" i="17"/>
  <c r="BP365" i="17"/>
  <c r="BR259" i="17"/>
  <c r="BQ259" i="17"/>
  <c r="BP259" i="17"/>
  <c r="BR220" i="17"/>
  <c r="BQ220" i="17"/>
  <c r="BP220" i="17"/>
  <c r="BR383" i="17"/>
  <c r="BQ383" i="17"/>
  <c r="BP383" i="17"/>
  <c r="BR140" i="17"/>
  <c r="BQ140" i="17"/>
  <c r="BP140" i="17"/>
  <c r="BR305" i="17"/>
  <c r="BQ305" i="17"/>
  <c r="BP305" i="17"/>
  <c r="BR160" i="17"/>
  <c r="BQ160" i="17"/>
  <c r="BP160" i="17"/>
  <c r="BR111" i="17"/>
  <c r="BQ111" i="17"/>
  <c r="BP111" i="17"/>
  <c r="BR385" i="17"/>
  <c r="BQ385" i="17"/>
  <c r="BP385" i="17"/>
  <c r="BR404" i="17"/>
  <c r="BQ404" i="17"/>
  <c r="BP404" i="17"/>
  <c r="BR170" i="17"/>
  <c r="BQ170" i="17"/>
  <c r="BP170" i="17"/>
  <c r="BR97" i="17"/>
  <c r="BQ97" i="17"/>
  <c r="BP97" i="17"/>
  <c r="BR340" i="17"/>
  <c r="BQ340" i="17"/>
  <c r="BP340" i="17"/>
  <c r="BR278" i="17"/>
  <c r="BQ278" i="17"/>
  <c r="BP278" i="17"/>
  <c r="BZ323" i="17"/>
  <c r="BZ291" i="17"/>
  <c r="BZ247" i="17"/>
  <c r="BZ129" i="17"/>
  <c r="BZ339" i="17"/>
  <c r="BZ25" i="17"/>
  <c r="BZ21" i="17"/>
  <c r="BZ24" i="17"/>
  <c r="BR88" i="17"/>
  <c r="BQ88" i="17"/>
  <c r="BP88" i="17"/>
  <c r="BR247" i="17"/>
  <c r="BQ247" i="17"/>
  <c r="BP247" i="17"/>
  <c r="BR41" i="17"/>
  <c r="BQ41" i="17"/>
  <c r="BP41" i="17"/>
  <c r="BQ406" i="17"/>
  <c r="BR406" i="17"/>
  <c r="BP406" i="17"/>
  <c r="BR217" i="17"/>
  <c r="BQ217" i="17"/>
  <c r="BP217" i="17"/>
  <c r="BR83" i="17"/>
  <c r="BQ83" i="17"/>
  <c r="BP83" i="17"/>
  <c r="BR21" i="17"/>
  <c r="BQ21" i="17"/>
  <c r="BP21" i="17"/>
  <c r="BR105" i="17"/>
  <c r="BQ105" i="17"/>
  <c r="BP105" i="17"/>
  <c r="BR219" i="17"/>
  <c r="BQ219" i="17"/>
  <c r="BP219" i="17"/>
  <c r="BZ198" i="17"/>
  <c r="BZ275" i="17"/>
  <c r="BZ294" i="17"/>
  <c r="BZ249" i="17"/>
  <c r="BZ298" i="17"/>
  <c r="BZ267" i="17"/>
  <c r="BZ237" i="17"/>
  <c r="BZ180" i="17"/>
  <c r="BZ132" i="17"/>
  <c r="BZ157" i="17"/>
  <c r="BZ201" i="17"/>
  <c r="BZ177" i="17"/>
  <c r="BZ80" i="17"/>
  <c r="BZ115" i="17"/>
  <c r="BZ102" i="17"/>
  <c r="BR265" i="17"/>
  <c r="BQ265" i="17"/>
  <c r="BP265" i="17"/>
  <c r="BR297" i="17"/>
  <c r="BQ297" i="17"/>
  <c r="BP297" i="17"/>
  <c r="BR301" i="17"/>
  <c r="BQ301" i="17"/>
  <c r="BP301" i="17"/>
  <c r="BR388" i="17"/>
  <c r="BQ388" i="17"/>
  <c r="BP388" i="17"/>
  <c r="BR255" i="17"/>
  <c r="BQ255" i="17"/>
  <c r="BP255" i="17"/>
  <c r="BZ131" i="17"/>
  <c r="BZ307" i="17"/>
  <c r="BZ175" i="17"/>
  <c r="BZ196" i="17"/>
  <c r="BZ369" i="17"/>
  <c r="BZ286" i="17"/>
  <c r="BZ289" i="17"/>
  <c r="BZ349" i="17"/>
  <c r="BZ212" i="17"/>
  <c r="BZ373" i="17"/>
  <c r="BZ374" i="17"/>
  <c r="BZ151" i="17"/>
  <c r="BZ93" i="17"/>
  <c r="BZ197" i="17"/>
  <c r="BZ187" i="17"/>
  <c r="BZ118" i="17"/>
  <c r="BZ13" i="17"/>
  <c r="BZ202" i="17"/>
  <c r="BZ393" i="17"/>
  <c r="BZ256" i="17"/>
  <c r="BZ51" i="17"/>
  <c r="BZ389" i="17"/>
  <c r="BZ345" i="17"/>
  <c r="BZ292" i="17"/>
  <c r="BZ178" i="17"/>
  <c r="BZ241" i="17"/>
  <c r="BZ114" i="17"/>
  <c r="BZ53" i="17"/>
  <c r="BZ113" i="17"/>
  <c r="BZ61" i="17"/>
  <c r="BZ315" i="17"/>
  <c r="BZ287" i="17"/>
  <c r="BZ150" i="17"/>
  <c r="BZ386" i="17"/>
  <c r="BZ29" i="17"/>
  <c r="BZ90" i="17"/>
  <c r="BZ290" i="17"/>
  <c r="BZ179" i="17"/>
  <c r="BZ57" i="17"/>
  <c r="BZ55" i="17"/>
  <c r="BZ72" i="17"/>
  <c r="BZ397" i="17"/>
  <c r="BZ162" i="17"/>
  <c r="BZ4" i="17"/>
  <c r="BZ165" i="17"/>
  <c r="BZ244" i="17"/>
  <c r="BZ222" i="17"/>
  <c r="BZ221" i="17"/>
  <c r="BZ257" i="17"/>
  <c r="BZ390" i="17"/>
  <c r="BZ216" i="17"/>
  <c r="BZ401" i="17"/>
  <c r="BZ245" i="17"/>
  <c r="BZ103" i="17"/>
  <c r="BZ59" i="17"/>
  <c r="BZ130" i="17"/>
  <c r="BR375" i="17"/>
  <c r="BQ375" i="17"/>
  <c r="BP375" i="17"/>
  <c r="BR331" i="17"/>
  <c r="BQ331" i="17"/>
  <c r="BP331" i="17"/>
  <c r="BR203" i="17"/>
  <c r="BQ203" i="17"/>
  <c r="BP203" i="17"/>
  <c r="BR106" i="17"/>
  <c r="BQ106" i="17"/>
  <c r="BP106" i="17"/>
  <c r="BZ71" i="17"/>
  <c r="BZ50" i="17"/>
  <c r="BZ145" i="17"/>
  <c r="BZ86" i="17"/>
  <c r="BZ295" i="17"/>
  <c r="BZ406" i="17"/>
  <c r="BZ360" i="17"/>
  <c r="BZ319" i="17"/>
  <c r="BR400" i="17"/>
  <c r="BQ400" i="17"/>
  <c r="BP400" i="17"/>
  <c r="BR354" i="17"/>
  <c r="BQ354" i="17"/>
  <c r="BP354" i="17"/>
  <c r="BR283" i="17"/>
  <c r="BQ283" i="17"/>
  <c r="BP283" i="17"/>
  <c r="BR172" i="17"/>
  <c r="BQ172" i="17"/>
  <c r="BP172" i="17"/>
  <c r="BQ232" i="17"/>
  <c r="BR232" i="17"/>
  <c r="BP232" i="17"/>
  <c r="BR234" i="17"/>
  <c r="BQ234" i="17"/>
  <c r="BP234" i="17"/>
  <c r="BR164" i="17"/>
  <c r="BQ164" i="17"/>
  <c r="BP164" i="17"/>
  <c r="BR366" i="17"/>
  <c r="BQ366" i="17"/>
  <c r="BP366" i="17"/>
  <c r="BR42" i="17"/>
  <c r="BQ42" i="17"/>
  <c r="BP42" i="17"/>
  <c r="BR149" i="17"/>
  <c r="BQ149" i="17"/>
  <c r="BP149" i="17"/>
  <c r="BR34" i="17"/>
  <c r="BQ34" i="17"/>
  <c r="BP34" i="17"/>
  <c r="BR319" i="17"/>
  <c r="BQ319" i="17"/>
  <c r="BP319" i="17"/>
  <c r="BZ138" i="17"/>
  <c r="BZ384" i="17"/>
  <c r="BZ254" i="17"/>
  <c r="BZ153" i="17"/>
  <c r="BZ85" i="17"/>
  <c r="BZ146" i="17"/>
  <c r="BZ195" i="17"/>
  <c r="BZ356" i="17"/>
  <c r="BZ66" i="17"/>
  <c r="BR233" i="17"/>
  <c r="BQ233" i="17"/>
  <c r="BP233" i="17"/>
  <c r="BR156" i="17"/>
  <c r="BQ156" i="17"/>
  <c r="BP156" i="17"/>
  <c r="BR235" i="17"/>
  <c r="BQ235" i="17"/>
  <c r="BP235" i="17"/>
  <c r="BR69" i="17"/>
  <c r="BQ69" i="17"/>
  <c r="BP69" i="17"/>
  <c r="BR3" i="17"/>
  <c r="BQ3" i="17"/>
  <c r="BP3" i="17"/>
  <c r="BR110" i="17"/>
  <c r="BQ110" i="17"/>
  <c r="BP110" i="17"/>
  <c r="BR299" i="17"/>
  <c r="BQ299" i="17"/>
  <c r="BP299" i="17"/>
  <c r="BR364" i="17"/>
  <c r="BQ364" i="17"/>
  <c r="BP364" i="17"/>
  <c r="BZ81" i="17"/>
  <c r="BZ84" i="17"/>
  <c r="BZ67" i="17"/>
  <c r="BZ121" i="17"/>
  <c r="BZ15" i="17"/>
  <c r="BZ347" i="17"/>
  <c r="BR81" i="17"/>
  <c r="BQ81" i="17"/>
  <c r="BP81" i="17"/>
  <c r="BR131" i="17"/>
  <c r="BQ131" i="17"/>
  <c r="BP131" i="17"/>
  <c r="BR84" i="17"/>
  <c r="BQ84" i="17"/>
  <c r="BP84" i="17"/>
  <c r="BR67" i="17"/>
  <c r="BQ67" i="17"/>
  <c r="BP67" i="17"/>
  <c r="BR307" i="17"/>
  <c r="BQ307" i="17"/>
  <c r="BP307" i="17"/>
  <c r="BR121" i="17"/>
  <c r="BQ121" i="17"/>
  <c r="BP121" i="17"/>
  <c r="BR175" i="17"/>
  <c r="BQ175" i="17"/>
  <c r="BP175" i="17"/>
  <c r="BR15" i="17"/>
  <c r="BQ15" i="17"/>
  <c r="BP15" i="17"/>
  <c r="BR196" i="17"/>
  <c r="BQ196" i="17"/>
  <c r="BP196" i="17"/>
  <c r="BR369" i="17"/>
  <c r="BQ369" i="17"/>
  <c r="BP369" i="17"/>
  <c r="BR347" i="17"/>
  <c r="BQ347" i="17"/>
  <c r="BP347" i="17"/>
  <c r="BR286" i="17"/>
  <c r="BQ286" i="17"/>
  <c r="BP286" i="17"/>
  <c r="BR289" i="17"/>
  <c r="BQ289" i="17"/>
  <c r="BP289" i="17"/>
  <c r="BR349" i="17"/>
  <c r="BQ349" i="17"/>
  <c r="BP349" i="17"/>
  <c r="BR212" i="17"/>
  <c r="BQ212" i="17"/>
  <c r="BP212" i="17"/>
  <c r="BR373" i="17"/>
  <c r="BQ373" i="17"/>
  <c r="BP373" i="17"/>
  <c r="BR374" i="17"/>
  <c r="BQ374" i="17"/>
  <c r="BP374" i="17"/>
  <c r="BR151" i="17"/>
  <c r="BQ151" i="17"/>
  <c r="BP151" i="17"/>
  <c r="BR93" i="17"/>
  <c r="BQ93" i="17"/>
  <c r="BP93" i="17"/>
  <c r="BR197" i="17"/>
  <c r="BQ197" i="17"/>
  <c r="BP197" i="17"/>
  <c r="BR187" i="17"/>
  <c r="BQ187" i="17"/>
  <c r="BP187" i="17"/>
  <c r="BR118" i="17"/>
  <c r="BQ118" i="17"/>
  <c r="BP118" i="17"/>
  <c r="BR13" i="17"/>
  <c r="BQ13" i="17"/>
  <c r="BP13" i="17"/>
  <c r="BR202" i="17"/>
  <c r="BQ202" i="17"/>
  <c r="BP202" i="17"/>
  <c r="BR393" i="17"/>
  <c r="BQ393" i="17"/>
  <c r="BP393" i="17"/>
  <c r="BR256" i="17"/>
  <c r="BQ256" i="17"/>
  <c r="BP256" i="17"/>
  <c r="BR51" i="17"/>
  <c r="BQ51" i="17"/>
  <c r="BP51" i="17"/>
  <c r="BR389" i="17"/>
  <c r="BQ389" i="17"/>
  <c r="BP389" i="17"/>
  <c r="BR345" i="17"/>
  <c r="BQ345" i="17"/>
  <c r="BP345" i="17"/>
  <c r="BR292" i="17"/>
  <c r="BQ292" i="17"/>
  <c r="BP292" i="17"/>
  <c r="BR178" i="17"/>
  <c r="BQ178" i="17"/>
  <c r="BP178" i="17"/>
  <c r="BR241" i="17"/>
  <c r="BQ241" i="17"/>
  <c r="BP241" i="17"/>
  <c r="BR114" i="17"/>
  <c r="BQ114" i="17"/>
  <c r="BP114" i="17"/>
  <c r="BR53" i="17"/>
  <c r="BQ53" i="17"/>
  <c r="BP53" i="17"/>
  <c r="BR113" i="17"/>
  <c r="BQ113" i="17"/>
  <c r="BP113" i="17"/>
  <c r="BR61" i="17"/>
  <c r="BQ61" i="17"/>
  <c r="BP61" i="17"/>
  <c r="BR315" i="17"/>
  <c r="BQ315" i="17"/>
  <c r="BP315" i="17"/>
  <c r="BR287" i="17"/>
  <c r="BQ287" i="17"/>
  <c r="BP287" i="17"/>
  <c r="BR150" i="17"/>
  <c r="BQ150" i="17"/>
  <c r="BP150" i="17"/>
  <c r="BR386" i="17"/>
  <c r="BQ386" i="17"/>
  <c r="BP386" i="17"/>
  <c r="BR29" i="17"/>
  <c r="BQ29" i="17"/>
  <c r="BP29" i="17"/>
  <c r="BR90" i="17"/>
  <c r="BQ90" i="17"/>
  <c r="BP90" i="17"/>
  <c r="BR290" i="17"/>
  <c r="BQ290" i="17"/>
  <c r="BP290" i="17"/>
  <c r="BR179" i="17"/>
  <c r="BQ179" i="17"/>
  <c r="BP179" i="17"/>
  <c r="BR57" i="17"/>
  <c r="BQ57" i="17"/>
  <c r="BP57" i="17"/>
  <c r="BR55" i="17"/>
  <c r="BQ55" i="17"/>
  <c r="BP55" i="17"/>
  <c r="BQ72" i="17"/>
  <c r="BR72" i="17"/>
  <c r="BP72" i="17"/>
  <c r="BR397" i="17"/>
  <c r="BQ397" i="17"/>
  <c r="BP397" i="17"/>
  <c r="BR162" i="17"/>
  <c r="BQ162" i="17"/>
  <c r="BP162" i="17"/>
  <c r="BR4" i="17"/>
  <c r="BQ4" i="17"/>
  <c r="BP4" i="17"/>
  <c r="BR165" i="17"/>
  <c r="BQ165" i="17"/>
  <c r="BP165" i="17"/>
  <c r="BR244" i="17"/>
  <c r="BQ244" i="17"/>
  <c r="BP244" i="17"/>
  <c r="BR222" i="17"/>
  <c r="BQ222" i="17"/>
  <c r="BP222" i="17"/>
  <c r="BR221" i="17"/>
  <c r="BQ221" i="17"/>
  <c r="BP221" i="17"/>
  <c r="BR257" i="17"/>
  <c r="BQ257" i="17"/>
  <c r="BP257" i="17"/>
  <c r="BR390" i="17"/>
  <c r="BQ390" i="17"/>
  <c r="BP390" i="17"/>
  <c r="BQ216" i="17"/>
  <c r="BR216" i="17"/>
  <c r="BP216" i="17"/>
  <c r="BR401" i="17"/>
  <c r="BQ401" i="17"/>
  <c r="BP401" i="17"/>
  <c r="BR245" i="17"/>
  <c r="BQ245" i="17"/>
  <c r="BP245" i="17"/>
  <c r="BR103" i="17"/>
  <c r="BQ103" i="17"/>
  <c r="BP103" i="17"/>
  <c r="BR59" i="17"/>
  <c r="BQ59" i="17"/>
  <c r="BP59" i="17"/>
  <c r="BR130" i="17"/>
  <c r="BQ130" i="17"/>
  <c r="BP130" i="17"/>
  <c r="BR309" i="17"/>
  <c r="BQ309" i="17"/>
  <c r="BP309" i="17"/>
  <c r="BZ337" i="17"/>
  <c r="BR392" i="17"/>
  <c r="BQ392" i="17"/>
  <c r="BP392" i="17"/>
  <c r="BZ214" i="17"/>
  <c r="BZ354" i="17"/>
  <c r="BZ358" i="17"/>
  <c r="BZ232" i="17"/>
  <c r="BZ248" i="17"/>
  <c r="BZ191" i="17"/>
  <c r="BZ105" i="17"/>
  <c r="BR323" i="17"/>
  <c r="BQ323" i="17"/>
  <c r="BP323" i="17"/>
  <c r="BR27" i="17"/>
  <c r="BQ27" i="17"/>
  <c r="BP27" i="17"/>
  <c r="BR86" i="17"/>
  <c r="BQ86" i="17"/>
  <c r="BP86" i="17"/>
  <c r="BR295" i="17"/>
  <c r="BQ295" i="17"/>
  <c r="BP295" i="17"/>
  <c r="BQ248" i="17"/>
  <c r="BR248" i="17"/>
  <c r="BP248" i="17"/>
  <c r="BR269" i="17"/>
  <c r="BQ269" i="17"/>
  <c r="BP269" i="17"/>
  <c r="BR101" i="17"/>
  <c r="BQ101" i="17"/>
  <c r="BP101" i="17"/>
  <c r="BR240" i="17"/>
  <c r="BQ240" i="17"/>
  <c r="BP240" i="17"/>
  <c r="BR87" i="17"/>
  <c r="BQ87" i="17"/>
  <c r="BP87" i="17"/>
  <c r="BR396" i="17"/>
  <c r="BQ396" i="17"/>
  <c r="BP396" i="17"/>
  <c r="BR382" i="17"/>
  <c r="BQ382" i="17"/>
  <c r="BP382" i="17"/>
  <c r="BQ8" i="17"/>
  <c r="BR8" i="17"/>
  <c r="BP8" i="17"/>
  <c r="BR182" i="17"/>
  <c r="BQ182" i="17"/>
  <c r="BP182" i="17"/>
  <c r="BR302" i="17"/>
  <c r="BQ302" i="17"/>
  <c r="BP302" i="17"/>
  <c r="BZ280" i="17"/>
  <c r="BZ204" i="17"/>
  <c r="BZ39" i="17"/>
  <c r="BZ263" i="17"/>
  <c r="BZ11" i="17"/>
  <c r="BZ36" i="17"/>
  <c r="BZ334" i="17"/>
  <c r="BZ122" i="17"/>
  <c r="BZ65" i="17"/>
  <c r="BZ89" i="17"/>
  <c r="BZ68" i="17"/>
  <c r="BZ236" i="17"/>
  <c r="BZ282" i="17"/>
  <c r="BZ141" i="17"/>
  <c r="BZ242" i="17"/>
  <c r="BZ99" i="17"/>
  <c r="BZ399" i="17"/>
  <c r="BZ333" i="17"/>
  <c r="BZ361" i="17"/>
  <c r="BZ210" i="17"/>
  <c r="BZ308" i="17"/>
  <c r="BZ167" i="17"/>
  <c r="BZ251" i="17"/>
  <c r="BZ322" i="17"/>
  <c r="BZ270" i="17"/>
  <c r="BZ174" i="17"/>
  <c r="BZ324" i="17"/>
  <c r="BZ143" i="17"/>
  <c r="BZ378" i="17"/>
  <c r="BZ38" i="17"/>
  <c r="BZ342" i="17"/>
  <c r="BZ250" i="17"/>
  <c r="BZ137" i="17"/>
  <c r="BZ6" i="17"/>
  <c r="BZ394" i="17"/>
  <c r="BZ5" i="17"/>
  <c r="BZ266" i="17"/>
  <c r="BZ136" i="17"/>
  <c r="BZ176" i="17"/>
  <c r="BZ379" i="17"/>
  <c r="BZ98" i="17"/>
  <c r="BZ100" i="17"/>
  <c r="BZ351" i="17"/>
  <c r="BZ28" i="17"/>
  <c r="BZ16" i="17"/>
  <c r="BZ387" i="17"/>
  <c r="BZ96" i="17"/>
  <c r="BZ344" i="17"/>
  <c r="BZ304" i="17"/>
  <c r="BZ200" i="17"/>
  <c r="BZ22" i="17"/>
  <c r="BZ371" i="17"/>
  <c r="BZ188" i="17"/>
  <c r="BZ293" i="17"/>
  <c r="BZ258" i="17"/>
  <c r="BZ346" i="17"/>
  <c r="BZ41" i="17"/>
  <c r="BZ164" i="17"/>
  <c r="BZ240" i="17"/>
  <c r="BZ116" i="17"/>
  <c r="BZ34" i="17"/>
  <c r="BZ119" i="17"/>
  <c r="BR71" i="17"/>
  <c r="BQ71" i="17"/>
  <c r="BP71" i="17"/>
  <c r="BR50" i="17"/>
  <c r="BQ50" i="17"/>
  <c r="BP50" i="17"/>
  <c r="BR145" i="17"/>
  <c r="BQ145" i="17"/>
  <c r="BP145" i="17"/>
  <c r="BR321" i="17"/>
  <c r="BQ321" i="17"/>
  <c r="BP321" i="17"/>
  <c r="BR49" i="17"/>
  <c r="BQ49" i="17"/>
  <c r="BP49" i="17"/>
  <c r="BR246" i="17"/>
  <c r="BQ246" i="17"/>
  <c r="BP246" i="17"/>
  <c r="BR376" i="17"/>
  <c r="BQ376" i="17"/>
  <c r="BP376" i="17"/>
  <c r="BR339" i="17"/>
  <c r="BQ339" i="17"/>
  <c r="BP339" i="17"/>
  <c r="BR25" i="17"/>
  <c r="BQ25" i="17"/>
  <c r="BP25" i="17"/>
  <c r="BR37" i="17"/>
  <c r="BQ37" i="17"/>
  <c r="BP37" i="17"/>
  <c r="BR18" i="17"/>
  <c r="BQ18" i="17"/>
  <c r="BP18" i="17"/>
  <c r="BQ128" i="17"/>
  <c r="BR128" i="17"/>
  <c r="BP128" i="17"/>
  <c r="BR276" i="17"/>
  <c r="BQ276" i="17"/>
  <c r="BP276" i="17"/>
  <c r="BR360" i="17"/>
  <c r="BQ360" i="17"/>
  <c r="BP360" i="17"/>
  <c r="BR119" i="17"/>
  <c r="BQ119" i="17"/>
  <c r="BP119" i="17"/>
  <c r="BZ303" i="17"/>
  <c r="BR332" i="17"/>
  <c r="BQ332" i="17"/>
  <c r="BP332" i="17"/>
  <c r="BQ336" i="17"/>
  <c r="BR336" i="17"/>
  <c r="BP336" i="17"/>
  <c r="BR108" i="17"/>
  <c r="BQ108" i="17"/>
  <c r="BP108" i="17"/>
  <c r="BR159" i="17"/>
  <c r="BQ159" i="17"/>
  <c r="BP159" i="17"/>
  <c r="BZ10" i="17"/>
  <c r="BR44" i="17"/>
  <c r="BQ44" i="17"/>
  <c r="BP44" i="17"/>
  <c r="BR134" i="17"/>
  <c r="BQ134" i="17"/>
  <c r="BP134" i="17"/>
  <c r="BR133" i="17"/>
  <c r="BQ133" i="17"/>
  <c r="BP133" i="17"/>
  <c r="BZ320" i="17"/>
  <c r="BZ215" i="17"/>
  <c r="BZ310" i="17"/>
  <c r="BZ377" i="17"/>
  <c r="BZ306" i="17"/>
  <c r="BZ193" i="17"/>
  <c r="BZ125" i="17"/>
  <c r="BO148" i="17"/>
  <c r="BO375" i="17"/>
  <c r="BO340" i="17"/>
  <c r="BO343" i="17"/>
  <c r="BO309" i="17"/>
  <c r="BO331" i="17"/>
  <c r="BO218" i="17"/>
  <c r="BR10" i="17"/>
  <c r="BQ10" i="17"/>
  <c r="BP10" i="17"/>
  <c r="BO278" i="17"/>
  <c r="BO203" i="17"/>
  <c r="BO381" i="17"/>
  <c r="BO392" i="17"/>
  <c r="BO106" i="17"/>
  <c r="BR280" i="17"/>
  <c r="BQ280" i="17"/>
  <c r="BP280" i="17"/>
  <c r="BR320" i="17"/>
  <c r="BQ320" i="17"/>
  <c r="BP320" i="17"/>
  <c r="BR204" i="17"/>
  <c r="BQ204" i="17"/>
  <c r="BP204" i="17"/>
  <c r="BR215" i="17"/>
  <c r="BQ215" i="17"/>
  <c r="BP215" i="17"/>
  <c r="BR39" i="17"/>
  <c r="BQ39" i="17"/>
  <c r="BP39" i="17"/>
  <c r="BR310" i="17"/>
  <c r="BQ310" i="17"/>
  <c r="BP310" i="17"/>
  <c r="BR263" i="17"/>
  <c r="BQ263" i="17"/>
  <c r="BP263" i="17"/>
  <c r="BR377" i="17"/>
  <c r="BQ377" i="17"/>
  <c r="BP377" i="17"/>
  <c r="BR11" i="17"/>
  <c r="BQ11" i="17"/>
  <c r="BP11" i="17"/>
  <c r="BR306" i="17"/>
  <c r="BQ306" i="17"/>
  <c r="BP306" i="17"/>
  <c r="BR36" i="17"/>
  <c r="BQ36" i="17"/>
  <c r="BP36" i="17"/>
  <c r="BR193" i="17"/>
  <c r="BQ193" i="17"/>
  <c r="BP193" i="17"/>
  <c r="BR334" i="17"/>
  <c r="BQ334" i="17"/>
  <c r="BP334" i="17"/>
  <c r="BR122" i="17"/>
  <c r="BQ122" i="17"/>
  <c r="BP122" i="17"/>
  <c r="BR65" i="17"/>
  <c r="BQ65" i="17"/>
  <c r="BP65" i="17"/>
  <c r="BR125" i="17"/>
  <c r="BQ125" i="17"/>
  <c r="BP125" i="17"/>
  <c r="BR89" i="17"/>
  <c r="BQ89" i="17"/>
  <c r="BP89" i="17"/>
  <c r="BR68" i="17"/>
  <c r="BQ68" i="17"/>
  <c r="BP68" i="17"/>
  <c r="BR236" i="17"/>
  <c r="BQ236" i="17"/>
  <c r="BP236" i="17"/>
  <c r="BR282" i="17"/>
  <c r="BQ282" i="17"/>
  <c r="BP282" i="17"/>
  <c r="BR141" i="17"/>
  <c r="BQ141" i="17"/>
  <c r="BP141" i="17"/>
  <c r="BR242" i="17"/>
  <c r="BQ242" i="17"/>
  <c r="BP242" i="17"/>
  <c r="BR99" i="17"/>
  <c r="BQ99" i="17"/>
  <c r="BP99" i="17"/>
  <c r="BR399" i="17"/>
  <c r="BQ399" i="17"/>
  <c r="BP399" i="17"/>
  <c r="BR333" i="17"/>
  <c r="BQ333" i="17"/>
  <c r="BP333" i="17"/>
  <c r="BR361" i="17"/>
  <c r="BQ361" i="17"/>
  <c r="BP361" i="17"/>
  <c r="BR210" i="17"/>
  <c r="BQ210" i="17"/>
  <c r="BP210" i="17"/>
  <c r="BR308" i="17"/>
  <c r="BQ308" i="17"/>
  <c r="BP308" i="17"/>
  <c r="BR167" i="17"/>
  <c r="BQ167" i="17"/>
  <c r="BP167" i="17"/>
  <c r="BR251" i="17"/>
  <c r="BQ251" i="17"/>
  <c r="BP251" i="17"/>
  <c r="BR322" i="17"/>
  <c r="BQ322" i="17"/>
  <c r="BP322" i="17"/>
  <c r="BR270" i="17"/>
  <c r="BQ270" i="17"/>
  <c r="BP270" i="17"/>
  <c r="BR174" i="17"/>
  <c r="BQ174" i="17"/>
  <c r="BP174" i="17"/>
  <c r="BR324" i="17"/>
  <c r="BQ324" i="17"/>
  <c r="BP324" i="17"/>
  <c r="BR143" i="17"/>
  <c r="BQ143" i="17"/>
  <c r="BP143" i="17"/>
  <c r="BR378" i="17"/>
  <c r="BQ378" i="17"/>
  <c r="BP378" i="17"/>
  <c r="BR38" i="17"/>
  <c r="BQ38" i="17"/>
  <c r="BP38" i="17"/>
  <c r="BR342" i="17"/>
  <c r="BQ342" i="17"/>
  <c r="BP342" i="17"/>
  <c r="BR250" i="17"/>
  <c r="BQ250" i="17"/>
  <c r="BP250" i="17"/>
  <c r="BR137" i="17"/>
  <c r="BQ137" i="17"/>
  <c r="BP137" i="17"/>
  <c r="BR6" i="17"/>
  <c r="BQ6" i="17"/>
  <c r="BP6" i="17"/>
  <c r="BR394" i="17"/>
  <c r="BQ394" i="17"/>
  <c r="BP394" i="17"/>
  <c r="BR5" i="17"/>
  <c r="BQ5" i="17"/>
  <c r="BP5" i="17"/>
  <c r="BR266" i="17"/>
  <c r="BQ266" i="17"/>
  <c r="BP266" i="17"/>
  <c r="BQ136" i="17"/>
  <c r="BR136" i="17"/>
  <c r="BP136" i="17"/>
  <c r="BQ176" i="17"/>
  <c r="BR176" i="17"/>
  <c r="BP176" i="17"/>
  <c r="BR379" i="17"/>
  <c r="BQ379" i="17"/>
  <c r="BP379" i="17"/>
  <c r="BR98" i="17"/>
  <c r="BQ98" i="17"/>
  <c r="BP98" i="17"/>
  <c r="BR100" i="17"/>
  <c r="BQ100" i="17"/>
  <c r="BP100" i="17"/>
  <c r="BR351" i="17"/>
  <c r="BQ351" i="17"/>
  <c r="BP351" i="17"/>
  <c r="BR28" i="17"/>
  <c r="BQ28" i="17"/>
  <c r="BP28" i="17"/>
  <c r="BQ16" i="17"/>
  <c r="BR16" i="17"/>
  <c r="BP16" i="17"/>
  <c r="BR387" i="17"/>
  <c r="BQ387" i="17"/>
  <c r="BP387" i="17"/>
  <c r="BQ96" i="17"/>
  <c r="BR96" i="17"/>
  <c r="BP96" i="17"/>
  <c r="BR344" i="17"/>
  <c r="BQ344" i="17"/>
  <c r="BP344" i="17"/>
  <c r="BR304" i="17"/>
  <c r="BQ304" i="17"/>
  <c r="BP304" i="17"/>
  <c r="BR200" i="17"/>
  <c r="BQ200" i="17"/>
  <c r="BP200" i="17"/>
  <c r="BR22" i="17"/>
  <c r="BQ22" i="17"/>
  <c r="BP22" i="17"/>
  <c r="BR371" i="17"/>
  <c r="BQ371" i="17"/>
  <c r="BP371" i="17"/>
  <c r="BR188" i="17"/>
  <c r="BQ188" i="17"/>
  <c r="BP188" i="17"/>
  <c r="BR293" i="17"/>
  <c r="BQ293" i="17"/>
  <c r="BP293" i="17"/>
  <c r="BR258" i="17"/>
  <c r="BQ258" i="17"/>
  <c r="BP258" i="17"/>
  <c r="C26" i="20"/>
  <c r="B26" i="20"/>
  <c r="BT293" i="17" l="1"/>
  <c r="BT167" i="17"/>
  <c r="BT337" i="17"/>
  <c r="BT227" i="17"/>
  <c r="BT188" i="17"/>
  <c r="BT308" i="17"/>
  <c r="BT282" i="17"/>
  <c r="BT384" i="17"/>
  <c r="BZ95" i="17"/>
  <c r="BT66" i="17"/>
  <c r="BT52" i="17"/>
  <c r="BT100" i="17"/>
  <c r="BT280" i="17"/>
  <c r="BT369" i="17"/>
  <c r="BT98" i="17"/>
  <c r="BT122" i="17"/>
  <c r="BT235" i="17"/>
  <c r="BT221" i="17"/>
  <c r="BT61" i="17"/>
  <c r="BT283" i="17"/>
  <c r="BT229" i="17"/>
  <c r="BT115" i="17"/>
  <c r="BT228" i="17"/>
  <c r="BT344" i="17"/>
  <c r="BT99" i="17"/>
  <c r="BT182" i="17"/>
  <c r="BT386" i="17"/>
  <c r="BT156" i="17"/>
  <c r="BT97" i="17"/>
  <c r="BT395" i="17"/>
  <c r="BT222" i="17"/>
  <c r="BT345" i="17"/>
  <c r="BT289" i="17"/>
  <c r="BT383" i="17"/>
  <c r="CA95" i="17"/>
  <c r="BT291" i="17"/>
  <c r="BT153" i="17"/>
  <c r="BT299" i="17"/>
  <c r="BT358" i="17"/>
  <c r="BX381" i="17"/>
  <c r="CA381" i="17"/>
  <c r="BX309" i="17"/>
  <c r="CA309" i="17"/>
  <c r="BT388" i="17"/>
  <c r="BT170" i="17"/>
  <c r="BT220" i="17"/>
  <c r="BT391" i="17"/>
  <c r="BT329" i="17"/>
  <c r="BT177" i="17"/>
  <c r="BT195" i="17"/>
  <c r="BT146" i="17"/>
  <c r="BT237" i="17"/>
  <c r="BT303" i="17"/>
  <c r="BX148" i="17"/>
  <c r="CA148" i="17"/>
  <c r="BX203" i="17"/>
  <c r="CA203" i="17"/>
  <c r="BX343" i="17"/>
  <c r="CA343" i="17"/>
  <c r="BX106" i="17"/>
  <c r="CA106" i="17"/>
  <c r="BX278" i="17"/>
  <c r="CA278" i="17"/>
  <c r="BX218" i="17"/>
  <c r="CA218" i="17"/>
  <c r="BX340" i="17"/>
  <c r="CA340" i="17"/>
  <c r="BT37" i="17"/>
  <c r="BT50" i="17"/>
  <c r="BX392" i="17"/>
  <c r="CA392" i="17"/>
  <c r="BX331" i="17"/>
  <c r="CA331" i="17"/>
  <c r="BX375" i="17"/>
  <c r="CA375" i="17"/>
  <c r="BT84" i="17"/>
  <c r="BT301" i="17"/>
  <c r="BT116" i="17"/>
  <c r="BT91" i="17"/>
  <c r="BT48" i="17"/>
  <c r="BT396" i="17"/>
  <c r="BT27" i="17"/>
  <c r="BT164" i="17"/>
  <c r="BT16" i="17"/>
  <c r="BT266" i="17"/>
  <c r="BT378" i="17"/>
  <c r="BT193" i="17"/>
  <c r="BT198" i="17"/>
  <c r="BT346" i="17"/>
  <c r="BT105" i="17"/>
  <c r="BT371" i="17"/>
  <c r="BT28" i="17"/>
  <c r="BT5" i="17"/>
  <c r="BT143" i="17"/>
  <c r="BT210" i="17"/>
  <c r="BT236" i="17"/>
  <c r="BT36" i="17"/>
  <c r="BT204" i="17"/>
  <c r="BT41" i="17"/>
  <c r="BT215" i="17"/>
  <c r="BT130" i="17"/>
  <c r="BT55" i="17"/>
  <c r="BT287" i="17"/>
  <c r="BT292" i="17"/>
  <c r="BT118" i="17"/>
  <c r="BT349" i="17"/>
  <c r="BT121" i="17"/>
  <c r="BT81" i="17"/>
  <c r="BT172" i="17"/>
  <c r="BT351" i="17"/>
  <c r="BT60" i="17"/>
  <c r="BX60" i="17"/>
  <c r="BT394" i="17"/>
  <c r="BT68" i="17"/>
  <c r="BT65" i="17"/>
  <c r="BT306" i="17"/>
  <c r="BT200" i="17"/>
  <c r="BT387" i="17"/>
  <c r="BT136" i="17"/>
  <c r="BT6" i="17"/>
  <c r="BT38" i="17"/>
  <c r="BT174" i="17"/>
  <c r="BT333" i="17"/>
  <c r="BT141" i="17"/>
  <c r="BT89" i="17"/>
  <c r="BT334" i="17"/>
  <c r="BT11" i="17"/>
  <c r="BT39" i="17"/>
  <c r="BT10" i="17"/>
  <c r="BT133" i="17"/>
  <c r="BT332" i="17"/>
  <c r="BT339" i="17"/>
  <c r="BT382" i="17"/>
  <c r="BT86" i="17"/>
  <c r="BT103" i="17"/>
  <c r="BT244" i="17"/>
  <c r="BT179" i="17"/>
  <c r="BT389" i="17"/>
  <c r="BT197" i="17"/>
  <c r="BT286" i="17"/>
  <c r="BT67" i="17"/>
  <c r="BT364" i="17"/>
  <c r="BT34" i="17"/>
  <c r="BT232" i="17"/>
  <c r="BZ60" i="17"/>
  <c r="BT255" i="17"/>
  <c r="BT385" i="17"/>
  <c r="BT365" i="17"/>
  <c r="BT43" i="17"/>
  <c r="BT328" i="17"/>
  <c r="BT80" i="17"/>
  <c r="BT356" i="17"/>
  <c r="BT180" i="17"/>
  <c r="BT82" i="17"/>
  <c r="BT316" i="17"/>
  <c r="BT249" i="17"/>
  <c r="BT294" i="17"/>
  <c r="BT76" i="17"/>
  <c r="BT54" i="17"/>
  <c r="BT22" i="17"/>
  <c r="BT324" i="17"/>
  <c r="BT322" i="17"/>
  <c r="BT361" i="17"/>
  <c r="BT25" i="17"/>
  <c r="BT71" i="17"/>
  <c r="BT8" i="17"/>
  <c r="BT295" i="17"/>
  <c r="BT59" i="17"/>
  <c r="BT245" i="17"/>
  <c r="BT57" i="17"/>
  <c r="BT315" i="17"/>
  <c r="BT113" i="17"/>
  <c r="BT51" i="17"/>
  <c r="BT187" i="17"/>
  <c r="BT93" i="17"/>
  <c r="BT373" i="17"/>
  <c r="BT347" i="17"/>
  <c r="BT15" i="17"/>
  <c r="BT307" i="17"/>
  <c r="BT233" i="17"/>
  <c r="BT234" i="17"/>
  <c r="BT219" i="17"/>
  <c r="BT406" i="17"/>
  <c r="BT88" i="17"/>
  <c r="BT404" i="17"/>
  <c r="BT259" i="17"/>
  <c r="BT20" i="17"/>
  <c r="BT363" i="17"/>
  <c r="BT201" i="17"/>
  <c r="BT85" i="17"/>
  <c r="BT298" i="17"/>
  <c r="BT254" i="17"/>
  <c r="BT275" i="17"/>
  <c r="BT138" i="17"/>
  <c r="BT191" i="17"/>
  <c r="BT405" i="17"/>
  <c r="BT317" i="17"/>
  <c r="BT403" i="17"/>
  <c r="BT214" i="17"/>
  <c r="BT3" i="17"/>
  <c r="BX3" i="17"/>
  <c r="BT95" i="17"/>
  <c r="BT379" i="17"/>
  <c r="BT250" i="17"/>
  <c r="BT263" i="17"/>
  <c r="BT44" i="17"/>
  <c r="BT108" i="17"/>
  <c r="BZ3" i="17"/>
  <c r="BT128" i="17"/>
  <c r="BT321" i="17"/>
  <c r="BT302" i="17"/>
  <c r="BT269" i="17"/>
  <c r="BT390" i="17"/>
  <c r="BT397" i="17"/>
  <c r="BT290" i="17"/>
  <c r="BT241" i="17"/>
  <c r="BT202" i="17"/>
  <c r="BT366" i="17"/>
  <c r="BT140" i="17"/>
  <c r="BT253" i="17"/>
  <c r="BT226" i="17"/>
  <c r="BT102" i="17"/>
  <c r="BT171" i="17"/>
  <c r="BT157" i="17"/>
  <c r="BT132" i="17"/>
  <c r="BT264" i="17"/>
  <c r="BT267" i="17"/>
  <c r="BT194" i="17"/>
  <c r="BT144" i="17"/>
  <c r="BT398" i="17"/>
  <c r="BT246" i="17"/>
  <c r="BT401" i="17"/>
  <c r="BT4" i="17"/>
  <c r="BT90" i="17"/>
  <c r="BT53" i="17"/>
  <c r="BT256" i="17"/>
  <c r="BT151" i="17"/>
  <c r="BT149" i="17"/>
  <c r="BT354" i="17"/>
  <c r="BT265" i="17"/>
  <c r="BT83" i="17"/>
  <c r="BT160" i="17"/>
  <c r="BT260" i="17"/>
  <c r="BT9" i="17"/>
  <c r="BT127" i="17"/>
  <c r="BT199" i="17"/>
  <c r="BT360" i="17"/>
  <c r="BT258" i="17"/>
  <c r="BT96" i="17"/>
  <c r="BT176" i="17"/>
  <c r="BT342" i="17"/>
  <c r="BT251" i="17"/>
  <c r="BT242" i="17"/>
  <c r="BT310" i="17"/>
  <c r="BT336" i="17"/>
  <c r="BT18" i="17"/>
  <c r="BT145" i="17"/>
  <c r="BT240" i="17"/>
  <c r="BT248" i="17"/>
  <c r="BT257" i="17"/>
  <c r="BT72" i="17"/>
  <c r="BT150" i="17"/>
  <c r="BT178" i="17"/>
  <c r="BT13" i="17"/>
  <c r="BT212" i="17"/>
  <c r="BT175" i="17"/>
  <c r="BT359" i="17"/>
  <c r="BT262" i="17"/>
  <c r="BT272" i="17"/>
  <c r="BT304" i="17"/>
  <c r="BT137" i="17"/>
  <c r="BT270" i="17"/>
  <c r="BT399" i="17"/>
  <c r="BT125" i="17"/>
  <c r="BT377" i="17"/>
  <c r="BT134" i="17"/>
  <c r="BT159" i="17"/>
  <c r="BT119" i="17"/>
  <c r="BT276" i="17"/>
  <c r="BT49" i="17"/>
  <c r="BT101" i="17"/>
  <c r="BT216" i="17"/>
  <c r="BT162" i="17"/>
  <c r="BT29" i="17"/>
  <c r="BT114" i="17"/>
  <c r="BT393" i="17"/>
  <c r="BT374" i="17"/>
  <c r="BT196" i="17"/>
  <c r="BT131" i="17"/>
  <c r="BT69" i="17"/>
  <c r="BT319" i="17"/>
  <c r="BT42" i="17"/>
  <c r="BT400" i="17"/>
  <c r="BT217" i="17"/>
  <c r="BT305" i="17"/>
  <c r="BT123" i="17"/>
  <c r="BT184" i="17"/>
  <c r="BT139" i="17"/>
  <c r="BT313" i="17"/>
  <c r="BT326" i="17"/>
  <c r="BT142" i="17"/>
  <c r="BT320" i="17"/>
  <c r="BT376" i="17"/>
  <c r="BT87" i="17"/>
  <c r="BT323" i="17"/>
  <c r="BT165" i="17"/>
  <c r="BT110" i="17"/>
  <c r="BT297" i="17"/>
  <c r="BT21" i="17"/>
  <c r="BT247" i="17"/>
  <c r="BT111" i="17"/>
  <c r="BT192" i="17"/>
  <c r="BT24" i="17"/>
  <c r="BT230" i="17"/>
  <c r="BT129" i="17"/>
  <c r="BT300" i="17"/>
  <c r="BT106" i="17"/>
  <c r="BZ106" i="17"/>
  <c r="BZ392" i="17"/>
  <c r="BT392" i="17"/>
  <c r="BT381" i="17"/>
  <c r="BZ381" i="17"/>
  <c r="BT309" i="17"/>
  <c r="BZ309" i="17"/>
  <c r="BZ203" i="17"/>
  <c r="BT203" i="17"/>
  <c r="BZ343" i="17"/>
  <c r="BT343" i="17"/>
  <c r="BT278" i="17"/>
  <c r="BZ278" i="17"/>
  <c r="BT340" i="17"/>
  <c r="BZ340" i="17"/>
  <c r="BZ375" i="17"/>
  <c r="BT375" i="17"/>
  <c r="BT148" i="17"/>
  <c r="BZ148" i="17"/>
  <c r="BT218" i="17"/>
  <c r="BZ218" i="17"/>
  <c r="BT331" i="17"/>
  <c r="BZ331" i="17"/>
  <c r="G17" i="33" l="1"/>
  <c r="E17" i="33"/>
  <c r="B17" i="33"/>
  <c r="K8" i="33"/>
  <c r="O8" i="33"/>
  <c r="S8" i="33"/>
  <c r="AB8" i="33"/>
  <c r="F26" i="33" s="1"/>
  <c r="G8" i="33"/>
  <c r="G26" i="33" s="1"/>
  <c r="C8" i="33"/>
  <c r="N8" i="33"/>
  <c r="V8" i="33"/>
  <c r="C26" i="33" s="1"/>
  <c r="H8" i="33"/>
  <c r="H26" i="33" s="1"/>
  <c r="Y8" i="33"/>
  <c r="L8" i="33"/>
  <c r="P8" i="33"/>
  <c r="T8" i="33"/>
  <c r="X8" i="33"/>
  <c r="AC8" i="33"/>
  <c r="U26" i="33" s="1"/>
  <c r="F8" i="33"/>
  <c r="S26" i="33" s="1"/>
  <c r="J8" i="33"/>
  <c r="J26" i="33" s="1"/>
  <c r="R8" i="33"/>
  <c r="AA8" i="33"/>
  <c r="L26" i="33" s="1"/>
  <c r="D8" i="33"/>
  <c r="I8" i="33"/>
  <c r="I26" i="33" s="1"/>
  <c r="M8" i="33"/>
  <c r="Q8" i="33"/>
  <c r="U8" i="33"/>
  <c r="Z8" i="33"/>
  <c r="K26" i="33" s="1"/>
  <c r="E8" i="33"/>
  <c r="R26" i="33" s="1"/>
  <c r="E89" i="33"/>
  <c r="G29" i="33" l="1"/>
  <c r="AK8" i="33"/>
  <c r="N26" i="33" s="1"/>
  <c r="AG8" i="33"/>
  <c r="AI8" i="33" s="1"/>
  <c r="E91" i="33"/>
  <c r="H89" i="33"/>
  <c r="J89" i="33" s="1"/>
  <c r="B26" i="33"/>
  <c r="F17" i="33"/>
  <c r="I17" i="33"/>
  <c r="A26" i="33"/>
  <c r="D26" i="33"/>
  <c r="G34" i="31"/>
  <c r="G35" i="31"/>
  <c r="G32" i="31"/>
  <c r="G29" i="31"/>
  <c r="G26" i="31"/>
  <c r="G23" i="31"/>
  <c r="C14" i="31"/>
  <c r="G36" i="31"/>
  <c r="G30" i="31"/>
  <c r="G27" i="31"/>
  <c r="G24" i="31"/>
  <c r="C19" i="31" s="1"/>
  <c r="E17" i="31"/>
  <c r="E14" i="31"/>
  <c r="Q26" i="33"/>
  <c r="H14" i="31" l="1"/>
  <c r="E26" i="33"/>
  <c r="B29" i="33" s="1"/>
  <c r="J17" i="33"/>
  <c r="V26" i="33" s="1"/>
  <c r="B34" i="33"/>
  <c r="T26" i="33"/>
  <c r="K17" i="33" l="1"/>
  <c r="O26" i="33" s="1"/>
  <c r="N29" i="33" s="1"/>
  <c r="Q29" i="33"/>
  <c r="B35" i="33"/>
  <c r="X26" i="33" l="1"/>
  <c r="B37" i="33"/>
  <c r="X29" i="33"/>
  <c r="B36" i="33"/>
  <c r="N30" i="33" l="1"/>
  <c r="B62" i="33" s="1"/>
  <c r="B30" i="33"/>
  <c r="C35" i="33" s="1"/>
  <c r="D35" i="33" s="1"/>
  <c r="G35" i="33" s="1"/>
  <c r="G30" i="33"/>
  <c r="B46" i="33" s="1"/>
  <c r="Y26" i="33"/>
  <c r="N27" i="33"/>
  <c r="B64" i="33" s="1"/>
  <c r="F64" i="33" s="1"/>
  <c r="D27" i="33"/>
  <c r="B59" i="33" s="1"/>
  <c r="F59" i="33" s="1"/>
  <c r="T27" i="33"/>
  <c r="B72" i="33" s="1"/>
  <c r="F72" i="33" s="1"/>
  <c r="B27" i="33"/>
  <c r="B57" i="33" s="1"/>
  <c r="F57" i="33" s="1"/>
  <c r="U27" i="33"/>
  <c r="B73" i="33" s="1"/>
  <c r="F73" i="33" s="1"/>
  <c r="C27" i="33"/>
  <c r="B58" i="33" s="1"/>
  <c r="F58" i="33" s="1"/>
  <c r="O27" i="33"/>
  <c r="B63" i="33" s="1"/>
  <c r="F63" i="33" s="1"/>
  <c r="R27" i="33"/>
  <c r="B69" i="33" s="1"/>
  <c r="F69" i="33" s="1"/>
  <c r="A27" i="33"/>
  <c r="B56" i="33" s="1"/>
  <c r="F56" i="33" s="1"/>
  <c r="H27" i="33"/>
  <c r="B52" i="33" s="1"/>
  <c r="F52" i="33" s="1"/>
  <c r="J27" i="33"/>
  <c r="B50" i="33" s="1"/>
  <c r="F50" i="33" s="1"/>
  <c r="G27" i="33"/>
  <c r="B51" i="33" s="1"/>
  <c r="F51" i="33" s="1"/>
  <c r="K27" i="33"/>
  <c r="B49" i="33" s="1"/>
  <c r="F49" i="33" s="1"/>
  <c r="I27" i="33"/>
  <c r="B53" i="33" s="1"/>
  <c r="F53" i="33" s="1"/>
  <c r="M27" i="33"/>
  <c r="B65" i="33" s="1"/>
  <c r="F65" i="33" s="1"/>
  <c r="V27" i="33"/>
  <c r="B74" i="33" s="1"/>
  <c r="F74" i="33" s="1"/>
  <c r="Q27" i="33"/>
  <c r="B68" i="33" s="1"/>
  <c r="F68" i="33" s="1"/>
  <c r="L27" i="33"/>
  <c r="B48" i="33" s="1"/>
  <c r="F48" i="33" s="1"/>
  <c r="Q30" i="33"/>
  <c r="S27" i="33"/>
  <c r="B71" i="33" s="1"/>
  <c r="F71" i="33" s="1"/>
  <c r="E27" i="33"/>
  <c r="B60" i="33" s="1"/>
  <c r="F60" i="33" s="1"/>
  <c r="P27" i="33"/>
  <c r="B70" i="33" s="1"/>
  <c r="F70" i="33" s="1"/>
  <c r="Y29" i="33"/>
  <c r="F27" i="33"/>
  <c r="B47" i="33" s="1"/>
  <c r="F47" i="33" s="1"/>
  <c r="I47" i="33" s="1"/>
  <c r="C34" i="33" l="1"/>
  <c r="D34" i="33" s="1"/>
  <c r="G34" i="33" s="1"/>
  <c r="B55" i="33"/>
  <c r="C36" i="33"/>
  <c r="D36" i="33" s="1"/>
  <c r="G36" i="33" s="1"/>
  <c r="F76" i="33"/>
  <c r="U46" i="33"/>
  <c r="I48" i="33"/>
  <c r="I49" i="33" s="1"/>
  <c r="I50" i="33" s="1"/>
  <c r="I51" i="33" s="1"/>
  <c r="I52" i="33" s="1"/>
  <c r="I53" i="33" s="1"/>
  <c r="I54" i="33" s="1"/>
  <c r="I55" i="33" s="1"/>
  <c r="I56" i="33" s="1"/>
  <c r="I57" i="33" s="1"/>
  <c r="I58" i="33" s="1"/>
  <c r="I59" i="33" s="1"/>
  <c r="I60" i="33" s="1"/>
  <c r="I61" i="33" s="1"/>
  <c r="I62" i="33" s="1"/>
  <c r="I63" i="33" s="1"/>
  <c r="I64" i="33" s="1"/>
  <c r="I65" i="33" s="1"/>
  <c r="I66" i="33" s="1"/>
  <c r="I67" i="33" s="1"/>
  <c r="I68" i="33" s="1"/>
  <c r="I69" i="33" s="1"/>
  <c r="I70" i="33" s="1"/>
  <c r="I71" i="33" s="1"/>
  <c r="I72" i="33" s="1"/>
  <c r="I73" i="33" s="1"/>
  <c r="I74" i="33" s="1"/>
  <c r="I75" i="33" s="1"/>
  <c r="B67" i="33"/>
  <c r="B91" i="33" s="1"/>
  <c r="H91" i="33" s="1"/>
  <c r="L91" i="33" s="1"/>
  <c r="C20" i="31" s="1"/>
  <c r="C37" i="33"/>
  <c r="D37" i="33" s="1"/>
  <c r="G37" i="33" s="1"/>
  <c r="X30" i="33"/>
  <c r="Y30" i="33" s="1"/>
  <c r="B77" i="33"/>
  <c r="I76" i="33" l="1"/>
  <c r="M66" i="33" s="1"/>
  <c r="S66" i="33" s="1"/>
  <c r="X66" i="33" s="1"/>
  <c r="Y66" i="33" s="1"/>
  <c r="M67" i="31" s="1"/>
  <c r="M45" i="33"/>
  <c r="Z46" i="33"/>
  <c r="AA46" i="33" s="1"/>
  <c r="N47" i="31" s="1"/>
  <c r="M61" i="33" l="1"/>
  <c r="S61" i="33" s="1"/>
  <c r="X61" i="33" s="1"/>
  <c r="J62" i="31" s="1"/>
  <c r="M50" i="33"/>
  <c r="S50" i="33" s="1"/>
  <c r="X50" i="33" s="1"/>
  <c r="Y50" i="33" s="1"/>
  <c r="M51" i="31" s="1"/>
  <c r="M51" i="33"/>
  <c r="S51" i="33" s="1"/>
  <c r="X51" i="33" s="1"/>
  <c r="J52" i="31" s="1"/>
  <c r="M60" i="33"/>
  <c r="S60" i="33" s="1"/>
  <c r="U60" i="33" s="1"/>
  <c r="Z60" i="33" s="1"/>
  <c r="AA60" i="33" s="1"/>
  <c r="N61" i="31" s="1"/>
  <c r="M47" i="33"/>
  <c r="S47" i="33" s="1"/>
  <c r="U47" i="33" s="1"/>
  <c r="Z47" i="33" s="1"/>
  <c r="AA47" i="33" s="1"/>
  <c r="N48" i="31" s="1"/>
  <c r="M54" i="33"/>
  <c r="S54" i="33" s="1"/>
  <c r="X54" i="33" s="1"/>
  <c r="Y54" i="33" s="1"/>
  <c r="M55" i="31" s="1"/>
  <c r="M52" i="33"/>
  <c r="S52" i="33" s="1"/>
  <c r="U52" i="33" s="1"/>
  <c r="Z52" i="33" s="1"/>
  <c r="AA52" i="33" s="1"/>
  <c r="N53" i="31" s="1"/>
  <c r="M49" i="33"/>
  <c r="S49" i="33" s="1"/>
  <c r="X49" i="33" s="1"/>
  <c r="Y49" i="33" s="1"/>
  <c r="M50" i="31" s="1"/>
  <c r="M55" i="33"/>
  <c r="S55" i="33" s="1"/>
  <c r="X55" i="33" s="1"/>
  <c r="M58" i="33"/>
  <c r="S58" i="33" s="1"/>
  <c r="U58" i="33" s="1"/>
  <c r="Z58" i="33" s="1"/>
  <c r="AA58" i="33" s="1"/>
  <c r="N59" i="31" s="1"/>
  <c r="M59" i="33"/>
  <c r="S59" i="33" s="1"/>
  <c r="X59" i="33" s="1"/>
  <c r="J60" i="31" s="1"/>
  <c r="M56" i="33"/>
  <c r="M57" i="33"/>
  <c r="S57" i="33" s="1"/>
  <c r="X57" i="33" s="1"/>
  <c r="Y57" i="33" s="1"/>
  <c r="M58" i="31" s="1"/>
  <c r="M63" i="33"/>
  <c r="S63" i="33" s="1"/>
  <c r="U63" i="33" s="1"/>
  <c r="Z63" i="33" s="1"/>
  <c r="AA63" i="33" s="1"/>
  <c r="N64" i="31" s="1"/>
  <c r="M48" i="33"/>
  <c r="M62" i="33"/>
  <c r="S62" i="33" s="1"/>
  <c r="U62" i="33" s="1"/>
  <c r="Z62" i="33" s="1"/>
  <c r="AA62" i="33" s="1"/>
  <c r="M53" i="33"/>
  <c r="S53" i="33" s="1"/>
  <c r="X53" i="33" s="1"/>
  <c r="J54" i="31" s="1"/>
  <c r="M68" i="33"/>
  <c r="S68" i="33" s="1"/>
  <c r="X68" i="33" s="1"/>
  <c r="J69" i="31" s="1"/>
  <c r="M65" i="33"/>
  <c r="S65" i="33" s="1"/>
  <c r="U65" i="33" s="1"/>
  <c r="Z65" i="33" s="1"/>
  <c r="AA65" i="33" s="1"/>
  <c r="M69" i="33"/>
  <c r="S69" i="33" s="1"/>
  <c r="X69" i="33" s="1"/>
  <c r="Y69" i="33" s="1"/>
  <c r="M70" i="31" s="1"/>
  <c r="J67" i="31"/>
  <c r="M76" i="33"/>
  <c r="S76" i="33" s="1"/>
  <c r="X76" i="33" s="1"/>
  <c r="Y76" i="33" s="1"/>
  <c r="U66" i="33"/>
  <c r="Z66" i="33" s="1"/>
  <c r="AA66" i="33" s="1"/>
  <c r="N66" i="31" s="1"/>
  <c r="M74" i="33"/>
  <c r="S74" i="33" s="1"/>
  <c r="U74" i="33" s="1"/>
  <c r="Z74" i="33" s="1"/>
  <c r="AA74" i="33" s="1"/>
  <c r="N74" i="31" s="1"/>
  <c r="M73" i="33"/>
  <c r="S73" i="33" s="1"/>
  <c r="U73" i="33" s="1"/>
  <c r="Z73" i="33" s="1"/>
  <c r="AA73" i="33" s="1"/>
  <c r="N73" i="31" s="1"/>
  <c r="M64" i="33"/>
  <c r="S64" i="33" s="1"/>
  <c r="X64" i="33" s="1"/>
  <c r="J65" i="31" s="1"/>
  <c r="M71" i="33"/>
  <c r="S71" i="33" s="1"/>
  <c r="U71" i="33" s="1"/>
  <c r="Z71" i="33" s="1"/>
  <c r="AA71" i="33" s="1"/>
  <c r="N71" i="31" s="1"/>
  <c r="M67" i="33"/>
  <c r="S67" i="33" s="1"/>
  <c r="U67" i="33" s="1"/>
  <c r="Z67" i="33" s="1"/>
  <c r="AA67" i="33" s="1"/>
  <c r="N67" i="31" s="1"/>
  <c r="M72" i="33"/>
  <c r="S72" i="33" s="1"/>
  <c r="X72" i="33" s="1"/>
  <c r="Y72" i="33" s="1"/>
  <c r="M73" i="31" s="1"/>
  <c r="M70" i="33"/>
  <c r="S70" i="33" s="1"/>
  <c r="X70" i="33" s="1"/>
  <c r="Y70" i="33" s="1"/>
  <c r="M71" i="31" s="1"/>
  <c r="M75" i="33"/>
  <c r="S75" i="33" s="1"/>
  <c r="X75" i="33" s="1"/>
  <c r="Y75" i="33" s="1"/>
  <c r="M76" i="31" s="1"/>
  <c r="S48" i="33" l="1"/>
  <c r="U48" i="33" s="1"/>
  <c r="Z48" i="33" s="1"/>
  <c r="AA48" i="33" s="1"/>
  <c r="N49" i="31" s="1"/>
  <c r="S56" i="33"/>
  <c r="U56" i="33" s="1"/>
  <c r="Z56" i="33" s="1"/>
  <c r="AA56" i="33" s="1"/>
  <c r="N57" i="31" s="1"/>
  <c r="J56" i="31"/>
  <c r="Y55" i="33"/>
  <c r="M56" i="31" s="1"/>
  <c r="U61" i="33"/>
  <c r="Z61" i="33" s="1"/>
  <c r="AA61" i="33" s="1"/>
  <c r="N62" i="31" s="1"/>
  <c r="Y61" i="33"/>
  <c r="M62" i="31" s="1"/>
  <c r="X58" i="33"/>
  <c r="U50" i="33"/>
  <c r="Z50" i="33" s="1"/>
  <c r="AA50" i="33" s="1"/>
  <c r="N51" i="31" s="1"/>
  <c r="X47" i="33"/>
  <c r="Y47" i="33" s="1"/>
  <c r="J51" i="31"/>
  <c r="X63" i="33"/>
  <c r="Y63" i="33" s="1"/>
  <c r="M64" i="31" s="1"/>
  <c r="U51" i="33"/>
  <c r="Z51" i="33" s="1"/>
  <c r="AA51" i="33" s="1"/>
  <c r="N52" i="31" s="1"/>
  <c r="Y51" i="33"/>
  <c r="M52" i="31" s="1"/>
  <c r="U69" i="33"/>
  <c r="Z69" i="33" s="1"/>
  <c r="AA69" i="33" s="1"/>
  <c r="N69" i="31" s="1"/>
  <c r="U59" i="33"/>
  <c r="Z59" i="33" s="1"/>
  <c r="AA59" i="33" s="1"/>
  <c r="N60" i="31" s="1"/>
  <c r="X60" i="33"/>
  <c r="Y60" i="33" s="1"/>
  <c r="M61" i="31" s="1"/>
  <c r="U54" i="33"/>
  <c r="Z54" i="33" s="1"/>
  <c r="AA54" i="33" s="1"/>
  <c r="N55" i="31" s="1"/>
  <c r="J55" i="31"/>
  <c r="J58" i="31"/>
  <c r="U49" i="33"/>
  <c r="Z49" i="33" s="1"/>
  <c r="AA49" i="33" s="1"/>
  <c r="N50" i="31" s="1"/>
  <c r="X62" i="33"/>
  <c r="Y62" i="33" s="1"/>
  <c r="M63" i="31" s="1"/>
  <c r="U53" i="33"/>
  <c r="Z53" i="33" s="1"/>
  <c r="AA53" i="33" s="1"/>
  <c r="N54" i="31" s="1"/>
  <c r="J50" i="31"/>
  <c r="U57" i="33"/>
  <c r="Z57" i="33" s="1"/>
  <c r="AA57" i="33" s="1"/>
  <c r="N58" i="31" s="1"/>
  <c r="X52" i="33"/>
  <c r="J53" i="31" s="1"/>
  <c r="U55" i="33"/>
  <c r="Z55" i="33" s="1"/>
  <c r="AA55" i="33" s="1"/>
  <c r="N56" i="31" s="1"/>
  <c r="Y53" i="33"/>
  <c r="M54" i="31" s="1"/>
  <c r="U68" i="33"/>
  <c r="Z68" i="33" s="1"/>
  <c r="AA68" i="33" s="1"/>
  <c r="N68" i="31" s="1"/>
  <c r="J70" i="31"/>
  <c r="Y68" i="33"/>
  <c r="M69" i="31" s="1"/>
  <c r="X65" i="33"/>
  <c r="J66" i="31" s="1"/>
  <c r="U76" i="33"/>
  <c r="Z76" i="33" s="1"/>
  <c r="AA76" i="33" s="1"/>
  <c r="N76" i="31" s="1"/>
  <c r="U70" i="33"/>
  <c r="Z70" i="33" s="1"/>
  <c r="AA70" i="33" s="1"/>
  <c r="N70" i="31" s="1"/>
  <c r="X73" i="33"/>
  <c r="J74" i="31" s="1"/>
  <c r="X71" i="33"/>
  <c r="J72" i="31" s="1"/>
  <c r="U72" i="33"/>
  <c r="Z72" i="33" s="1"/>
  <c r="AA72" i="33" s="1"/>
  <c r="N72" i="31" s="1"/>
  <c r="J73" i="31"/>
  <c r="U64" i="33"/>
  <c r="Z64" i="33" s="1"/>
  <c r="AA64" i="33" s="1"/>
  <c r="N65" i="31" s="1"/>
  <c r="X74" i="33"/>
  <c r="Y74" i="33" s="1"/>
  <c r="M75" i="31" s="1"/>
  <c r="X67" i="33"/>
  <c r="Y67" i="33" s="1"/>
  <c r="M68" i="31" s="1"/>
  <c r="J71" i="31"/>
  <c r="U75" i="33"/>
  <c r="Z75" i="33" s="1"/>
  <c r="AA75" i="33" s="1"/>
  <c r="N75" i="31" s="1"/>
  <c r="J76" i="31"/>
  <c r="Y64" i="33"/>
  <c r="M65" i="31" s="1"/>
  <c r="N63" i="31"/>
  <c r="Y59" i="33"/>
  <c r="M60" i="31" s="1"/>
  <c r="J64" i="31" l="1"/>
  <c r="X48" i="33"/>
  <c r="J49" i="31" s="1"/>
  <c r="X56" i="33"/>
  <c r="J59" i="31"/>
  <c r="Y58" i="33"/>
  <c r="M59" i="31" s="1"/>
  <c r="J48" i="31"/>
  <c r="M48" i="31"/>
  <c r="J61" i="31"/>
  <c r="J63" i="31"/>
  <c r="Y52" i="33"/>
  <c r="M53" i="31" s="1"/>
  <c r="J68" i="31"/>
  <c r="Y65" i="33"/>
  <c r="M66" i="31" s="1"/>
  <c r="Y71" i="33"/>
  <c r="M72" i="31" s="1"/>
  <c r="Y73" i="33"/>
  <c r="M74" i="31" s="1"/>
  <c r="J75" i="31"/>
  <c r="Y48" i="33" l="1"/>
  <c r="M49" i="31" s="1"/>
  <c r="J57" i="31"/>
  <c r="Y56" i="33"/>
  <c r="M57"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AM17" authorId="0" shapeId="0" xr:uid="{00000000-0006-0000-0000-000001000000}">
      <text>
        <r>
          <rPr>
            <sz val="11"/>
            <rFont val="Calibri"/>
            <family val="2"/>
          </rPr>
          <t>Kommentar 2019: Angivet: 0 GWh. Ändrat till 0.2 GWh i kvalitetsgranskning då elpannor värmeproduktion var angiven som 0.2 GWh. / JL 2020-04-21  Kommentar 2013: Angivet: 0 GWh. Ändrat till 0,3 GWh i kvalitetsgranskningen, då elpannor värmeproduktion v</t>
        </r>
      </text>
    </comment>
    <comment ref="G23" authorId="0" shapeId="0" xr:uid="{00000000-0006-0000-0000-000002000000}">
      <text>
        <r>
          <rPr>
            <sz val="11"/>
            <rFont val="Calibri"/>
            <family val="2"/>
          </rPr>
          <t>Enl. först in först ut på västerudd + OP1-3+ OP5-6 Resten bioolja på västerudd</t>
        </r>
      </text>
    </comment>
    <comment ref="Z23" authorId="0" shapeId="0" xr:uid="{00000000-0006-0000-0000-000003000000}">
      <text>
        <r>
          <rPr>
            <sz val="11"/>
            <rFont val="Calibri"/>
            <family val="2"/>
          </rPr>
          <t xml:space="preserve">11394 liter på Västerudd är bioolja, resten är Verkö och kungsmarken </t>
        </r>
      </text>
    </comment>
    <comment ref="G26" authorId="0" shapeId="0" xr:uid="{00000000-0006-0000-0000-000004000000}">
      <text>
        <r>
          <rPr>
            <sz val="11"/>
            <rFont val="Calibri"/>
            <family val="2"/>
          </rPr>
          <t>Den nya fastbränslebiopannan och driftoptimering har reducerat behovet för stödeldning med eldningsolja</t>
        </r>
      </text>
    </comment>
    <comment ref="Z26" authorId="0" shapeId="0" xr:uid="{00000000-0006-0000-0000-000005000000}">
      <text>
        <r>
          <rPr>
            <sz val="11"/>
            <rFont val="Calibri"/>
            <family val="2"/>
          </rPr>
          <t>Den nya fastbiobränslepannan och optimerad drift har reducerat behovet för stödelning med bioolja</t>
        </r>
      </text>
    </comment>
    <comment ref="G40" authorId="0" shapeId="0" xr:uid="{00000000-0006-0000-0000-000006000000}">
      <text>
        <r>
          <rPr>
            <sz val="11"/>
            <rFont val="Calibri"/>
            <family val="2"/>
          </rPr>
          <t>90% verkningsgrad i Vprod, men räknat på 85%</t>
        </r>
      </text>
    </comment>
    <comment ref="AG40" authorId="0" shapeId="0" xr:uid="{00000000-0006-0000-0000-000007000000}">
      <text>
        <r>
          <rPr>
            <sz val="11"/>
            <rFont val="Calibri"/>
            <family val="2"/>
          </rPr>
          <t>90%</t>
        </r>
      </text>
    </comment>
    <comment ref="AO40" authorId="0" shapeId="0" xr:uid="{00000000-0006-0000-0000-000008000000}">
      <text>
        <r>
          <rPr>
            <sz val="11"/>
            <rFont val="Calibri"/>
            <family val="2"/>
          </rPr>
          <t>Bemärk även RT räknas som förnybart</t>
        </r>
      </text>
    </comment>
    <comment ref="U41" authorId="0" shapeId="0" xr:uid="{00000000-0006-0000-0000-000009000000}">
      <text>
        <r>
          <rPr>
            <sz val="11"/>
            <rFont val="Calibri"/>
            <family val="2"/>
          </rPr>
          <t>85% verkningsgrad</t>
        </r>
      </text>
    </comment>
    <comment ref="D44" authorId="0" shapeId="0" xr:uid="{00000000-0006-0000-0000-00000A000000}">
      <text>
        <r>
          <rPr>
            <sz val="11"/>
            <rFont val="Calibri"/>
            <family val="2"/>
          </rPr>
          <t>Fristads närvärmenät har i början av mars 2019 kopplats samman med centrala nätet.</t>
        </r>
      </text>
    </comment>
    <comment ref="D81" authorId="0" shapeId="0" xr:uid="{00000000-0006-0000-0000-00000B000000}">
      <text>
        <r>
          <rPr>
            <sz val="11"/>
            <rFont val="Calibri"/>
            <family val="2"/>
          </rPr>
          <t>AutArch BJU_01_FJV1_PW01.MV AA_Signal_ID:3241</t>
        </r>
      </text>
    </comment>
    <comment ref="U81" authorId="0" shapeId="0" xr:uid="{00000000-0006-0000-0000-00000C000000}">
      <text>
        <r>
          <rPr>
            <sz val="11"/>
            <rFont val="Calibri"/>
            <family val="2"/>
          </rPr>
          <t>Summa lev. pellets under året på Mottagningsplats (Viol)</t>
        </r>
      </text>
    </comment>
    <comment ref="D83" authorId="0" shapeId="0" xr:uid="{00000000-0006-0000-0000-00000D000000}">
      <text>
        <r>
          <rPr>
            <sz val="11"/>
            <rFont val="Calibri"/>
            <family val="2"/>
          </rPr>
          <t>AutArch GRY_01_FJV1_PW01.MV AA_Signal_ID:2640</t>
        </r>
      </text>
    </comment>
    <comment ref="U83" authorId="0" shapeId="0" xr:uid="{00000000-0006-0000-0000-00000E000000}">
      <text>
        <r>
          <rPr>
            <sz val="11"/>
            <rFont val="Calibri"/>
            <family val="2"/>
          </rPr>
          <t>Summa lev. pellets under året på Mottagningsplats (Viol)</t>
        </r>
      </text>
    </comment>
    <comment ref="D84" authorId="0" shapeId="0" xr:uid="{00000000-0006-0000-0000-00000F000000}">
      <text>
        <r>
          <rPr>
            <sz val="11"/>
            <rFont val="Calibri"/>
            <family val="2"/>
          </rPr>
          <t>AutArch SVA_01_FJV1_PW01.MV AA_Signal_ID:2718</t>
        </r>
      </text>
    </comment>
    <comment ref="U84" authorId="0" shapeId="0" xr:uid="{00000000-0006-0000-0000-000010000000}">
      <text>
        <r>
          <rPr>
            <sz val="11"/>
            <rFont val="Calibri"/>
            <family val="2"/>
          </rPr>
          <t>Summa lev. pellets under året på Mottagningsplats (Viol)</t>
        </r>
      </text>
    </comment>
    <comment ref="D94" authorId="0" shapeId="0" xr:uid="{00000000-0006-0000-0000-000011000000}">
      <text>
        <r>
          <rPr>
            <sz val="11"/>
            <rFont val="Calibri"/>
            <family val="2"/>
          </rPr>
          <t xml:space="preserve">Endast Carlsborg och Ersbo, Johannes startolja ligger är med från 2019 </t>
        </r>
      </text>
    </comment>
    <comment ref="U96" authorId="0" shapeId="0" xr:uid="{00000000-0006-0000-0000-000012000000}">
      <text>
        <r>
          <rPr>
            <sz val="11"/>
            <rFont val="Calibri"/>
            <family val="2"/>
          </rPr>
          <t>Egen hetvattenproduktion + Renova</t>
        </r>
      </text>
    </comment>
    <comment ref="Z96" authorId="0" shapeId="0" xr:uid="{00000000-0006-0000-0000-000013000000}">
      <text>
        <r>
          <rPr>
            <sz val="11"/>
            <rFont val="Calibri"/>
            <family val="2"/>
          </rPr>
          <t>Egen hetvattenproduktion + Renova</t>
        </r>
      </text>
    </comment>
    <comment ref="AC107" authorId="0" shapeId="0" xr:uid="{00000000-0006-0000-0000-000014000000}">
      <text>
        <r>
          <rPr>
            <sz val="11"/>
            <rFont val="Calibri"/>
            <family val="2"/>
          </rPr>
          <t>77,28624ton avfall. Faktor 3,07.</t>
        </r>
      </text>
    </comment>
    <comment ref="U125" authorId="0" shapeId="0" xr:uid="{00000000-0006-0000-0000-000015000000}">
      <text>
        <r>
          <rPr>
            <sz val="11"/>
            <rFont val="Calibri"/>
            <family val="2"/>
          </rPr>
          <t>Höglekardalen och Bearlodge</t>
        </r>
      </text>
    </comment>
    <comment ref="AG125" authorId="0" shapeId="0" xr:uid="{00000000-0006-0000-0000-000016000000}">
      <text>
        <r>
          <rPr>
            <sz val="11"/>
            <rFont val="Calibri"/>
            <family val="2"/>
          </rPr>
          <t>Rötgas</t>
        </r>
      </text>
    </comment>
    <comment ref="AM125" authorId="0" shapeId="0" xr:uid="{00000000-0006-0000-0000-000017000000}">
      <text>
        <r>
          <rPr>
            <sz val="11"/>
            <rFont val="Calibri"/>
            <family val="2"/>
          </rPr>
          <t>Höglekardalen och Bearlodge</t>
        </r>
      </text>
    </comment>
    <comment ref="W131" authorId="0" shapeId="0" xr:uid="{00000000-0006-0000-0000-000018000000}">
      <text>
        <r>
          <rPr>
            <sz val="11"/>
            <rFont val="Calibri"/>
            <family val="2"/>
          </rPr>
          <t>Mängd i ton från pulverflödesfil gånger värmevärde 4,85 dividerat med verkningsgrad 0,9</t>
        </r>
      </text>
    </comment>
    <comment ref="H165" authorId="0" shapeId="0" xr:uid="{00000000-0006-0000-0000-000019000000}">
      <text>
        <r>
          <rPr>
            <sz val="11"/>
            <rFont val="Calibri"/>
            <family val="2"/>
          </rPr>
          <t>Fler oplanerade avbrott hos spillvärmeleverantören - vilket gjort att vi eldat mer olja än vanligt.</t>
        </r>
      </text>
    </comment>
    <comment ref="Z169" authorId="0" shapeId="0" xr:uid="{00000000-0006-0000-0000-00001A000000}">
      <text>
        <r>
          <rPr>
            <sz val="11"/>
            <rFont val="Calibri"/>
            <family val="2"/>
          </rPr>
          <t>Biooljan är en RME-olja.</t>
        </r>
      </text>
    </comment>
    <comment ref="AB196" authorId="0" shapeId="0" xr:uid="{00000000-0006-0000-0000-00001B000000}">
      <text>
        <r>
          <rPr>
            <sz val="11"/>
            <rFont val="Calibri"/>
            <family val="2"/>
          </rPr>
          <t>torv förbrukning har minskat kraftigt under 2019</t>
        </r>
      </text>
    </comment>
    <comment ref="D197" authorId="0" shapeId="0" xr:uid="{00000000-0006-0000-0000-00001C000000}">
      <text>
        <r>
          <rPr>
            <sz val="11"/>
            <rFont val="Calibri"/>
            <family val="2"/>
          </rPr>
          <t>nätet har expanderat kraftigt under 2019</t>
        </r>
      </text>
    </comment>
    <comment ref="D205" authorId="0" shapeId="0" xr:uid="{00000000-0006-0000-0000-00001D000000}">
      <text>
        <r>
          <rPr>
            <sz val="11"/>
            <rFont val="Calibri"/>
            <family val="2"/>
          </rPr>
          <t>Produktion har ökat och nya kunder har anslutits</t>
        </r>
      </text>
    </comment>
    <comment ref="G211" authorId="0" shapeId="0" xr:uid="{00000000-0006-0000-0000-00001E000000}">
      <text>
        <r>
          <rPr>
            <sz val="11"/>
            <rFont val="Calibri"/>
            <family val="2"/>
          </rPr>
          <t>Bränsleenergi + Inklusiv mobila pannor</t>
        </r>
      </text>
    </comment>
    <comment ref="D216" authorId="0" shapeId="0" xr:uid="{00000000-0006-0000-0000-00001F000000}">
      <text>
        <r>
          <rPr>
            <sz val="11"/>
            <rFont val="Calibri"/>
            <family val="2"/>
          </rPr>
          <t>Lågt värde</t>
        </r>
      </text>
    </comment>
    <comment ref="H238" authorId="0" shapeId="0" xr:uid="{00000000-0006-0000-0000-000020000000}">
      <text>
        <r>
          <rPr>
            <sz val="11"/>
            <rFont val="Calibri"/>
            <family val="2"/>
          </rPr>
          <t>Preem Ultra LS klassas som EO3</t>
        </r>
      </text>
    </comment>
    <comment ref="P238" authorId="0" shapeId="0" xr:uid="{00000000-0006-0000-0000-000021000000}">
      <text>
        <r>
          <rPr>
            <sz val="11"/>
            <rFont val="Calibri"/>
            <family val="2"/>
          </rPr>
          <t>Ökning av stamvedsflis eftersom veden var så blöt hösten 2019 pga det varma vädret.</t>
        </r>
      </text>
    </comment>
    <comment ref="U239" authorId="0" shapeId="0" xr:uid="{00000000-0006-0000-0000-000022000000}">
      <text>
        <r>
          <rPr>
            <sz val="11"/>
            <rFont val="Calibri"/>
            <family val="2"/>
          </rPr>
          <t>Tätort+Heby Söder+Sala Yttre Hög förbrukning 2019 pga ombyggnation KVV.</t>
        </r>
      </text>
    </comment>
    <comment ref="S240" authorId="0" shapeId="0" xr:uid="{00000000-0006-0000-0000-000023000000}">
      <text>
        <r>
          <rPr>
            <sz val="11"/>
            <rFont val="Calibri"/>
            <family val="2"/>
          </rPr>
          <t>Bönskal</t>
        </r>
      </text>
    </comment>
    <comment ref="D262" authorId="0" shapeId="0" xr:uid="{00000000-0006-0000-0000-000024000000}">
      <text>
        <r>
          <rPr>
            <sz val="11"/>
            <rFont val="Calibri"/>
            <family val="2"/>
          </rPr>
          <t>En lägre värmeproduktion 2019 vid panncentralen.</t>
        </r>
      </text>
    </comment>
    <comment ref="G262" authorId="0" shapeId="0" xr:uid="{00000000-0006-0000-0000-000025000000}">
      <text>
        <r>
          <rPr>
            <sz val="11"/>
            <rFont val="Calibri"/>
            <family val="2"/>
          </rPr>
          <t xml:space="preserve">Mindre olja har används under 2019 pga varmare utetemp. </t>
        </r>
      </text>
    </comment>
    <comment ref="Z291" authorId="0" shapeId="0" xr:uid="{00000000-0006-0000-0000-000026000000}">
      <text>
        <r>
          <rPr>
            <sz val="11"/>
            <rFont val="Calibri"/>
            <family val="2"/>
          </rPr>
          <t>HVO</t>
        </r>
      </text>
    </comment>
    <comment ref="G320" authorId="0" shapeId="0" xr:uid="{00000000-0006-0000-0000-000027000000}">
      <text>
        <r>
          <rPr>
            <sz val="11"/>
            <rFont val="Calibri"/>
            <family val="2"/>
          </rPr>
          <t>räknat med 9,8 MWh/m3</t>
        </r>
      </text>
    </comment>
    <comment ref="U320" authorId="0" shapeId="0" xr:uid="{00000000-0006-0000-0000-000028000000}">
      <text>
        <r>
          <rPr>
            <sz val="11"/>
            <rFont val="Calibri"/>
            <family val="2"/>
          </rPr>
          <t>Räknat med 4,876 MWh/ton enligt analys från 2019-10</t>
        </r>
      </text>
    </comment>
    <comment ref="U321" authorId="0" shapeId="0" xr:uid="{00000000-0006-0000-0000-000029000000}">
      <text>
        <r>
          <rPr>
            <sz val="11"/>
            <rFont val="Calibri"/>
            <family val="2"/>
          </rPr>
          <t>Räknat med 4,876 MWh/ton enligt analys från 2019-10</t>
        </r>
      </text>
    </comment>
    <comment ref="G323" authorId="0" shapeId="0" xr:uid="{00000000-0006-0000-0000-00002A000000}">
      <text>
        <r>
          <rPr>
            <sz val="11"/>
            <rFont val="Calibri"/>
            <family val="2"/>
          </rPr>
          <t>Summerat oljeförbrukning alla hetvattenanläggningar på huvudnät. Räknat med 9,8 MWh/m3</t>
        </r>
      </text>
    </comment>
    <comment ref="U323" authorId="0" shapeId="0" xr:uid="{00000000-0006-0000-0000-00002B000000}">
      <text>
        <r>
          <rPr>
            <sz val="11"/>
            <rFont val="Calibri"/>
            <family val="2"/>
          </rPr>
          <t>Räknat med värmevärde 4.876 MWh/ton Enligt analysrapport från Eurofins 2019-10</t>
        </r>
      </text>
    </comment>
    <comment ref="E326" authorId="0" shapeId="0" xr:uid="{00000000-0006-0000-0000-00002C000000}">
      <text>
        <r>
          <rPr>
            <sz val="11"/>
            <rFont val="Calibri"/>
            <family val="2"/>
          </rPr>
          <t>Enligt min summering blir det 39,651</t>
        </r>
      </text>
    </comment>
    <comment ref="G327" authorId="0" shapeId="0" xr:uid="{00000000-0006-0000-0000-00002D000000}">
      <text>
        <r>
          <rPr>
            <sz val="11"/>
            <rFont val="Calibri"/>
            <family val="2"/>
          </rPr>
          <t>Byggt ny produktionsanläggning. Arbetar med att fasa ut EO1, används i yttersta nödfall.</t>
        </r>
      </text>
    </comment>
    <comment ref="AN327" authorId="0" shapeId="0" xr:uid="{00000000-0006-0000-0000-00002E000000}">
      <text>
        <r>
          <rPr>
            <sz val="11"/>
            <rFont val="Calibri"/>
            <family val="2"/>
          </rPr>
          <t>Förbrukning till idrottshall som inte anslöts till nät p g a tekniska problem. Lösning kommer under 2020.</t>
        </r>
      </text>
    </comment>
    <comment ref="O328" authorId="0" shapeId="0" xr:uid="{00000000-0006-0000-0000-00002F000000}">
      <text>
        <r>
          <rPr>
            <sz val="11"/>
            <rFont val="Calibri"/>
            <family val="2"/>
          </rPr>
          <t>Större andel bark än tidigare.</t>
        </r>
      </text>
    </comment>
    <comment ref="AG328" authorId="0" shapeId="0" xr:uid="{00000000-0006-0000-0000-000030000000}">
      <text>
        <r>
          <rPr>
            <sz val="11"/>
            <rFont val="Calibri"/>
            <family val="2"/>
          </rPr>
          <t>Biogas samt rötgas. Rötgas installerad hösten 2018.</t>
        </r>
      </text>
    </comment>
    <comment ref="H329" authorId="0" shapeId="0" xr:uid="{00000000-0006-0000-0000-000031000000}">
      <text>
        <r>
          <rPr>
            <sz val="11"/>
            <rFont val="Calibri"/>
            <family val="2"/>
          </rPr>
          <t>Byte till bioolja augusti 2019.</t>
        </r>
      </text>
    </comment>
    <comment ref="D336" authorId="0" shapeId="0" xr:uid="{00000000-0006-0000-0000-000032000000}">
      <text>
        <r>
          <rPr>
            <sz val="11"/>
            <rFont val="Calibri"/>
            <family val="2"/>
          </rPr>
          <t>2019: Inkl P34, OP1, OP2, OP5 och Bollmora (OP1 och OP2). Lägre produktion på P34 jfr med 2018.  2018: Inkl P34, OP1, OP2, OP5 och Bollmora (OP1 och OP2) 2017: Siffra tagit från Årsrapport Combilab miljödator, P1,P2,P5 och P34  samt Bollmora.</t>
        </r>
      </text>
    </comment>
    <comment ref="D337" authorId="0" shapeId="0" xr:uid="{00000000-0006-0000-0000-000033000000}">
      <text>
        <r>
          <rPr>
            <sz val="11"/>
            <rFont val="Calibri"/>
            <family val="2"/>
          </rPr>
          <t>2019: Inkl Ekobacken, Mölnvik och Hästhagen. 2018: Inkl Ekobacken, Mölnvik och Hästhagen.</t>
        </r>
      </text>
    </comment>
    <comment ref="G337" authorId="0" shapeId="0" xr:uid="{00000000-0006-0000-0000-000034000000}">
      <text>
        <r>
          <rPr>
            <sz val="11"/>
            <rFont val="Calibri"/>
            <family val="2"/>
          </rPr>
          <t xml:space="preserve">2019: Använing av fossilolja i Hästhagen pga av problem med pump i juli rörledning i augusti. 2018: Lagerjustering för eldningsolja ultra i Hästagen. </t>
        </r>
      </text>
    </comment>
    <comment ref="P337" authorId="0" shapeId="0" xr:uid="{00000000-0006-0000-0000-000035000000}">
      <text>
        <r>
          <rPr>
            <sz val="11"/>
            <rFont val="Calibri"/>
            <family val="2"/>
          </rPr>
          <t>2019: Tillförd flis i Ekobacken VV 2018: Tillförd flis i Ekobacken VV</t>
        </r>
      </text>
    </comment>
    <comment ref="U337" authorId="0" shapeId="0" xr:uid="{00000000-0006-0000-0000-000036000000}">
      <text>
        <r>
          <rPr>
            <sz val="11"/>
            <rFont val="Calibri"/>
            <family val="2"/>
          </rPr>
          <t>2019: Tillförd pellets i Mölnvik 2018: Tillförd pellets i Mölnvik,  590 ton, Värmevärde 4,8 MWh/ton</t>
        </r>
      </text>
    </comment>
    <comment ref="Z337" authorId="0" shapeId="0" xr:uid="{00000000-0006-0000-0000-000037000000}">
      <text>
        <r>
          <rPr>
            <sz val="11"/>
            <rFont val="Calibri"/>
            <family val="2"/>
          </rPr>
          <t>2019: Tillförd bioolja: Ekobacken 11207 MWh + Hästhagen 5925 MWh 2018: Ekobacken 1567 ton biolja + Hästagen 531 ton bioolja. Värmevärde för bioolja 10,25 MWg/ton. OP4 har kört drygt dubbelt så mkt 2018 jfr med 2017.</t>
        </r>
      </text>
    </comment>
    <comment ref="AA337" authorId="0" shapeId="0" xr:uid="{00000000-0006-0000-0000-000038000000}">
      <text>
        <r>
          <rPr>
            <sz val="11"/>
            <rFont val="Calibri"/>
            <family val="2"/>
          </rPr>
          <t>2019: Tillförd RME i Mölnvik 2018: Tillförd biodiesel RME Mölvik 343 m3, värmevärde 10 MWh/m3. Ökad produktion 2018 jfr med 2017 i Mölvik iom ny oljepanna.</t>
        </r>
      </text>
    </comment>
    <comment ref="AG337" authorId="0" shapeId="0" xr:uid="{00000000-0006-0000-0000-000039000000}">
      <text>
        <r>
          <rPr>
            <sz val="11"/>
            <rFont val="Calibri"/>
            <family val="2"/>
          </rPr>
          <t xml:space="preserve">2019: Deponigaspannan i Ekobacken VV 2018: Deponigaspannan i Ekobacken VV. </t>
        </r>
      </text>
    </comment>
    <comment ref="AH337" authorId="0" shapeId="0" xr:uid="{00000000-0006-0000-0000-00003A000000}">
      <text>
        <r>
          <rPr>
            <sz val="11"/>
            <rFont val="Calibri"/>
            <family val="2"/>
          </rPr>
          <t>2019: Uppgifter från Amanda 2018: Uppgifter från Amanda</t>
        </r>
      </text>
    </comment>
    <comment ref="D340" authorId="0" shapeId="0" xr:uid="{00000000-0006-0000-0000-00003B000000}">
      <text>
        <r>
          <rPr>
            <sz val="11"/>
            <rFont val="Calibri"/>
            <family val="2"/>
          </rPr>
          <t>Rapporterad exl. värmeprod och rökgaskondenseringen KVV</t>
        </r>
      </text>
    </comment>
    <comment ref="AL340" authorId="0" shapeId="0" xr:uid="{00000000-0006-0000-0000-00003C000000}">
      <text>
        <r>
          <rPr>
            <sz val="11"/>
            <rFont val="Calibri"/>
            <family val="2"/>
          </rPr>
          <t>Ingen produktion under 2019</t>
        </r>
      </text>
    </comment>
    <comment ref="AM340" authorId="0" shapeId="0" xr:uid="{00000000-0006-0000-0000-00003D000000}">
      <text>
        <r>
          <rPr>
            <sz val="11"/>
            <rFont val="Calibri"/>
            <family val="2"/>
          </rPr>
          <t>Ingen förbrukning elpanna 2019</t>
        </r>
      </text>
    </comment>
    <comment ref="D342" authorId="0" shapeId="0" xr:uid="{00000000-0006-0000-0000-00003E000000}">
      <text>
        <r>
          <rPr>
            <sz val="11"/>
            <rFont val="Calibri"/>
            <family val="2"/>
          </rPr>
          <t>Till nät Storvreta, dvs efter förluster bergrum. Plus Fullerö /MÅ</t>
        </r>
      </text>
    </comment>
    <comment ref="G342" authorId="0" shapeId="0" xr:uid="{00000000-0006-0000-0000-00003F000000}">
      <text>
        <r>
          <rPr>
            <sz val="11"/>
            <rFont val="Calibri"/>
            <family val="2"/>
          </rPr>
          <t>Ärentuna+Fullerö</t>
        </r>
      </text>
    </comment>
    <comment ref="G343" authorId="0" shapeId="0" xr:uid="{00000000-0006-0000-0000-000040000000}">
      <text>
        <r>
          <rPr>
            <sz val="11"/>
            <rFont val="Calibri"/>
            <family val="2"/>
          </rPr>
          <t>AFA (Andel BB HVC = 0)</t>
        </r>
      </text>
    </comment>
    <comment ref="U343" authorId="0" shapeId="0" xr:uid="{00000000-0006-0000-0000-000041000000}">
      <text>
        <r>
          <rPr>
            <sz val="11"/>
            <rFont val="Calibri"/>
            <family val="2"/>
          </rPr>
          <t>"Övrig bio HVC"</t>
        </r>
      </text>
    </comment>
    <comment ref="AM343" authorId="0" shapeId="0" xr:uid="{00000000-0006-0000-0000-000042000000}">
      <text>
        <r>
          <rPr>
            <sz val="11"/>
            <rFont val="Calibri"/>
            <family val="2"/>
          </rPr>
          <t>Ökad drift av elpannor pga pannkonvertering HVC</t>
        </r>
      </text>
    </comment>
    <comment ref="D344" authorId="0" shapeId="0" xr:uid="{00000000-0006-0000-0000-000043000000}">
      <text>
        <r>
          <rPr>
            <sz val="11"/>
            <rFont val="Calibri"/>
            <family val="2"/>
          </rPr>
          <t>Bra leverans av överskottsvärme, installerad ackumulatortank möjliggör effektivare produktion av värme samt värmebidrag från Tröllhättan Energi möjliggör låg egen värmeprodution.</t>
        </r>
      </text>
    </comment>
    <comment ref="AC383" authorId="0" shapeId="0" xr:uid="{00000000-0006-0000-0000-000044000000}">
      <text>
        <r>
          <rPr>
            <sz val="11"/>
            <rFont val="Calibri"/>
            <family val="2"/>
          </rPr>
          <t>P3 och P4 div med 0,8</t>
        </r>
      </text>
    </comment>
    <comment ref="D384" authorId="0" shapeId="0" xr:uid="{00000000-0006-0000-0000-000045000000}">
      <text>
        <r>
          <rPr>
            <sz val="11"/>
            <rFont val="Calibri"/>
            <family val="2"/>
          </rPr>
          <t>eView/Produktion/2019/Tabell/Markera allt utom externa leverantörer/</t>
        </r>
      </text>
    </comment>
    <comment ref="S384" authorId="0" shapeId="0" xr:uid="{00000000-0006-0000-0000-000046000000}">
      <text>
        <r>
          <rPr>
            <sz val="11"/>
            <rFont val="Calibri"/>
            <family val="2"/>
          </rPr>
          <t>Filen Bränsleförbrukning 2019 från rapporteringen inom utsläppshandel:  \\ad.vmkfb.se\shares\VME\FJARRVARMEAVD\06 Produktion\08 Utsläppshandel\Årsrapportering 2019\Bränsleförbrukning 2019 200219.xlsx</t>
        </r>
      </text>
    </comment>
    <comment ref="U384" authorId="0" shapeId="0" xr:uid="{00000000-0006-0000-0000-000047000000}">
      <text>
        <r>
          <rPr>
            <sz val="11"/>
            <rFont val="Calibri"/>
            <family val="2"/>
          </rPr>
          <t>Filen 1 Produktion, leverans, intäkter och kostnader  \\ad.vmkfb.se\shares\VME\FJARRVARMEAVD\01 Administration\07 Statistik\05 VME\1 Produktion, leverans, intäkter och kostnader.xlsx  Ska även gå att hämta i eView/Bränsleleveranser/Pellets</t>
        </r>
      </text>
    </comment>
    <comment ref="AH384" authorId="0" shapeId="0" xr:uid="{00000000-0006-0000-0000-000048000000}">
      <text>
        <r>
          <rPr>
            <sz val="11"/>
            <rFont val="Calibri"/>
            <family val="2"/>
          </rPr>
          <t>Filen 1 Produktion, leverans, intäkter och kostnader  \\ad.vmkfb.se\shares\VME\FJARRVARMEAVD\01 Administration\07 Statistik\05 VME\1 Produktion, leverans, intäkter och kostnader.xlsx</t>
        </r>
      </text>
    </comment>
    <comment ref="G393" authorId="0" shapeId="0" xr:uid="{00000000-0006-0000-0000-000049000000}">
      <text>
        <r>
          <rPr>
            <sz val="11"/>
            <rFont val="Calibri"/>
            <family val="2"/>
          </rPr>
          <t>2019 - 119,7m3  * 9,95 MWh/m3 = 1 191 MWh 2014- 235 m3 * 9,95 MWh / m3 = 2338,25 MWh</t>
        </r>
      </text>
    </comment>
    <comment ref="Z393" authorId="0" shapeId="0" xr:uid="{00000000-0006-0000-0000-00004A000000}">
      <text>
        <r>
          <rPr>
            <sz val="11"/>
            <rFont val="Calibri"/>
            <family val="2"/>
          </rPr>
          <t xml:space="preserve"> Använder RME (Rapsmetyleter) på två av våra Eo1 pannor,  Äpplet 8 MW och Lotta 1,5 MW. Från dec 2019 på alla Eo1 pannor, Anoden  7+7+4 MW Beräkning: 9,08 MWh/m3 * 696,7 m3 = 6326,04 MWh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Åsa Lindqvist</author>
    <author>Petersen, Martin</author>
    <author>tc={6756D37B-4B9D-4B98-9868-5A0DA2A912F0}</author>
  </authors>
  <commentList>
    <comment ref="B1" authorId="0" shapeId="0" xr:uid="{66BE183F-4D85-4666-AD4B-820F4086881E}">
      <text>
        <r>
          <rPr>
            <b/>
            <sz val="9"/>
            <color indexed="81"/>
            <rFont val="Tahoma"/>
            <family val="2"/>
          </rPr>
          <t>Åsa Lindqvist:</t>
        </r>
        <r>
          <rPr>
            <sz val="9"/>
            <color indexed="81"/>
            <rFont val="Tahoma"/>
            <family val="2"/>
          </rPr>
          <t xml:space="preserve">
Endast kvalitetsgranskade nät</t>
        </r>
      </text>
    </comment>
    <comment ref="K1" authorId="1" shapeId="0" xr:uid="{9E9DAA02-7BDE-41E4-B3DD-988C86EB5989}">
      <text>
        <r>
          <rPr>
            <b/>
            <sz val="9"/>
            <color indexed="81"/>
            <rFont val="Tahoma"/>
            <family val="2"/>
          </rPr>
          <t>Petersen, Martin:</t>
        </r>
        <r>
          <rPr>
            <sz val="9"/>
            <color indexed="81"/>
            <rFont val="Tahoma"/>
            <family val="2"/>
          </rPr>
          <t xml:space="preserve">
Luleå ändrat manuellt från spillvärme till avfallsgas enligt föregående år
</t>
        </r>
      </text>
    </comment>
    <comment ref="Z1" authorId="0" shapeId="0" xr:uid="{2A167694-6F64-426C-85DD-4BCD92AF6F78}">
      <text>
        <r>
          <rPr>
            <b/>
            <sz val="9"/>
            <color indexed="81"/>
            <rFont val="Tahoma"/>
            <family val="2"/>
          </rPr>
          <t>Åsa Lindqvist:</t>
        </r>
        <r>
          <rPr>
            <sz val="9"/>
            <color indexed="81"/>
            <rFont val="Tahoma"/>
            <family val="2"/>
          </rPr>
          <t xml:space="preserve">
Se kolumn längre till höger för ursprung för den använda elen</t>
        </r>
      </text>
    </comment>
    <comment ref="AA1" authorId="0" shapeId="0" xr:uid="{C437A423-5E02-4DD1-AC1A-A8331ED1B870}">
      <text>
        <r>
          <rPr>
            <b/>
            <sz val="9"/>
            <color indexed="81"/>
            <rFont val="Tahoma"/>
            <family val="2"/>
          </rPr>
          <t>Åsa Lindqvist:</t>
        </r>
        <r>
          <rPr>
            <sz val="9"/>
            <color indexed="81"/>
            <rFont val="Tahoma"/>
            <family val="2"/>
          </rPr>
          <t xml:space="preserve">
Se kolumn längre till höger för ursprung för den använda elen</t>
        </r>
      </text>
    </comment>
    <comment ref="AB1" authorId="0" shapeId="0" xr:uid="{984119EE-9BCE-48B9-ACC6-FD7E828845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1" authorId="0" shapeId="0" xr:uid="{F13E4F5B-1FB3-4CEB-8FFA-08FE863703FB}">
      <text>
        <r>
          <rPr>
            <b/>
            <sz val="9"/>
            <color indexed="81"/>
            <rFont val="Tahoma"/>
            <family val="2"/>
          </rPr>
          <t>Åsa Lindqvist:</t>
        </r>
        <r>
          <rPr>
            <sz val="9"/>
            <color indexed="81"/>
            <rFont val="Tahoma"/>
            <family val="2"/>
          </rPr>
          <t xml:space="preserve">
Se kolumn längre till höger för att se ursprunget för rökgaskondenseringen</t>
        </r>
      </text>
    </comment>
    <comment ref="AD1" authorId="0" shapeId="0" xr:uid="{A4258C21-D1E1-465F-9DAA-7F8E766061E0}">
      <text>
        <r>
          <rPr>
            <b/>
            <sz val="9"/>
            <color indexed="81"/>
            <rFont val="Tahoma"/>
            <family val="2"/>
          </rPr>
          <t>Åsa Lindqvist:</t>
        </r>
        <r>
          <rPr>
            <sz val="9"/>
            <color indexed="81"/>
            <rFont val="Tahoma"/>
            <family val="2"/>
          </rPr>
          <t xml:space="preserve">
Ren spillvärme, inga extra tillförda bränslen
Luleå ändrat manuellt från spillvärme till avfallsgas enligt föregående år // MaPe</t>
        </r>
      </text>
    </comment>
    <comment ref="AF1" authorId="0" shapeId="0" xr:uid="{715192A9-687A-4906-B523-D178B377E226}">
      <text>
        <r>
          <rPr>
            <b/>
            <sz val="9"/>
            <color indexed="81"/>
            <rFont val="Tahoma"/>
            <family val="2"/>
          </rPr>
          <t>Åsa Lindqvist:</t>
        </r>
        <r>
          <rPr>
            <sz val="9"/>
            <color indexed="81"/>
            <rFont val="Tahoma"/>
            <family val="2"/>
          </rPr>
          <t xml:space="preserve">
Se kolumn längre till höger för ursprung för den använda elen</t>
        </r>
      </text>
    </comment>
    <comment ref="AP1" authorId="2" shapeId="0" xr:uid="{6756D37B-4B9D-4B98-9868-5A0DA2A912F0}">
      <text>
        <t>[Trådad kommentar]
I din version av Excel kan du läsa den här trådade kommentaren, men eventuella ändringar i den tas bort om filen öppnas i en senare version av Excel. Läs mer: https://go.microsoft.com/fwlink/?linkid=870924
Kommentar:
    Vi får ändra denna manuellt i kvalitetsnyckeln, man skulle kryssa i där vilka nät som varit kvalitetsgranskade.</t>
      </text>
    </comment>
    <comment ref="AL414" authorId="0" shapeId="0" xr:uid="{E610D592-A7EB-4DC5-95EC-758DF27938B2}">
      <text>
        <r>
          <rPr>
            <b/>
            <sz val="9"/>
            <color indexed="81"/>
            <rFont val="Tahoma"/>
            <family val="2"/>
          </rPr>
          <t>Åsa Lindqvist:</t>
        </r>
        <r>
          <rPr>
            <sz val="9"/>
            <color indexed="81"/>
            <rFont val="Tahoma"/>
            <family val="2"/>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F1" authorId="0" shapeId="0" xr:uid="{1C03693D-BF75-4204-A17E-D0E7810506E0}">
      <text>
        <r>
          <rPr>
            <b/>
            <sz val="9"/>
            <color indexed="81"/>
            <rFont val="Tahoma"/>
            <family val="2"/>
          </rPr>
          <t>Åsa Lindqvist:</t>
        </r>
        <r>
          <rPr>
            <sz val="9"/>
            <color indexed="81"/>
            <rFont val="Tahoma"/>
            <family val="2"/>
          </rPr>
          <t xml:space="preserve">
Uppdateras inför filen som ska tas fram till SGBC</t>
        </r>
      </text>
    </comment>
    <comment ref="B2" authorId="0" shapeId="0" xr:uid="{BA49BCC0-1C81-4F79-B64C-8EE370429974}">
      <text>
        <r>
          <rPr>
            <b/>
            <sz val="9"/>
            <color indexed="81"/>
            <rFont val="Tahoma"/>
            <family val="2"/>
          </rPr>
          <t>Åsa Lindqvist:</t>
        </r>
        <r>
          <rPr>
            <sz val="9"/>
            <color indexed="81"/>
            <rFont val="Tahoma"/>
            <family val="2"/>
          </rPr>
          <t xml:space="preserve">
Endast kvalitetsgranskade nät</t>
        </r>
      </text>
    </comment>
    <comment ref="Z2" authorId="0" shapeId="0" xr:uid="{F2E97873-44AD-49CE-AB67-920E4B9E73D1}">
      <text>
        <r>
          <rPr>
            <b/>
            <sz val="9"/>
            <color indexed="81"/>
            <rFont val="Tahoma"/>
            <family val="2"/>
          </rPr>
          <t>Åsa Lindqvist:</t>
        </r>
        <r>
          <rPr>
            <sz val="9"/>
            <color indexed="81"/>
            <rFont val="Tahoma"/>
            <family val="2"/>
          </rPr>
          <t xml:space="preserve">
Se kolumn längre till höger för ursprung för den använda elen</t>
        </r>
      </text>
    </comment>
    <comment ref="AA2" authorId="0" shapeId="0" xr:uid="{B55BD458-2386-433D-B26A-5A1E1A5140F3}">
      <text>
        <r>
          <rPr>
            <b/>
            <sz val="9"/>
            <color indexed="81"/>
            <rFont val="Tahoma"/>
            <family val="2"/>
          </rPr>
          <t>Åsa Lindqvist:</t>
        </r>
        <r>
          <rPr>
            <sz val="9"/>
            <color indexed="81"/>
            <rFont val="Tahoma"/>
            <family val="2"/>
          </rPr>
          <t xml:space="preserve">
Se kolumn längre till höger för ursprung för den använda elen</t>
        </r>
      </text>
    </comment>
    <comment ref="AB2" authorId="0" shapeId="0" xr:uid="{3187F579-9DE4-4DCB-949A-199BD6B4F8A6}">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shapeId="0" xr:uid="{EF7DE4A7-EE3F-40B8-A205-0D4D5FB9C94B}">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shapeId="0" xr:uid="{5C99CDEF-D9C2-4BBC-80A4-DC3FA2AC80BB}">
      <text>
        <r>
          <rPr>
            <b/>
            <sz val="9"/>
            <color indexed="81"/>
            <rFont val="Tahoma"/>
            <family val="2"/>
          </rPr>
          <t>Åsa Lindqvist:</t>
        </r>
        <r>
          <rPr>
            <sz val="9"/>
            <color indexed="81"/>
            <rFont val="Tahoma"/>
            <family val="2"/>
          </rPr>
          <t xml:space="preserve">
Ren spillvärme, inga extra tillförda bränslen</t>
        </r>
      </text>
    </comment>
    <comment ref="AF2" authorId="0" shapeId="0" xr:uid="{B98CD2A3-4EB1-4264-BF5D-66A1055559C0}">
      <text>
        <r>
          <rPr>
            <b/>
            <sz val="9"/>
            <color indexed="81"/>
            <rFont val="Tahoma"/>
            <family val="2"/>
          </rPr>
          <t>Åsa Lindqvist:</t>
        </r>
        <r>
          <rPr>
            <sz val="9"/>
            <color indexed="81"/>
            <rFont val="Tahoma"/>
            <family val="2"/>
          </rPr>
          <t xml:space="preserve">
Se kolumn längre till höger för ursprung för den använda elen</t>
        </r>
      </text>
    </comment>
    <comment ref="AG2" authorId="0" shapeId="0" xr:uid="{A06A1996-D7D5-45AD-A248-420479524EE2}">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Åsa Lindqvist</author>
    <author>Petersen, Martin</author>
  </authors>
  <commentList>
    <comment ref="B1" authorId="0" shapeId="0" xr:uid="{2ABE61AD-9D31-4665-97F4-45D246BDCDFA}">
      <text>
        <r>
          <rPr>
            <b/>
            <sz val="9"/>
            <color indexed="81"/>
            <rFont val="Tahoma"/>
            <family val="2"/>
          </rPr>
          <t>Åsa Lindqvist:</t>
        </r>
        <r>
          <rPr>
            <sz val="9"/>
            <color indexed="81"/>
            <rFont val="Tahoma"/>
            <family val="2"/>
          </rPr>
          <t xml:space="preserve">
Nätlista från "Egen hetvattenproduktion", med tomma nät borttaget</t>
        </r>
      </text>
    </comment>
    <comment ref="B411" authorId="1" shapeId="0" xr:uid="{5F084268-CBFD-4957-AAB1-BEDADECB929F}">
      <text>
        <r>
          <rPr>
            <b/>
            <sz val="9"/>
            <color indexed="81"/>
            <rFont val="Tahoma"/>
            <family val="2"/>
          </rPr>
          <t>Petersen, Martin:</t>
        </r>
        <r>
          <rPr>
            <sz val="9"/>
            <color indexed="81"/>
            <rFont val="Tahoma"/>
            <family val="2"/>
          </rPr>
          <t xml:space="preserve">
El till värmepumpar kommer från E.ON Järfälla, se Excelfil från Stockholm Exergi 20200520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tc={DBB9F51A-855C-4CE5-8668-C0C17A4E876C}</author>
    <author>Petersen, Martin</author>
  </authors>
  <commentList>
    <comment ref="H2" authorId="0" shapeId="0" xr:uid="{DBB9F51A-855C-4CE5-8668-C0C17A4E876C}">
      <text>
        <t>[Trådad kommentar]
I din version av Excel kan du läsa den här trådade kommentaren, men eventuella ändringar i den tas bort om filen öppnas i en senare version av Excel. Läs mer: https://go.microsoft.com/fwlink/?linkid=870924
Kommentar:
    Den här måste vi gå igenom. Jag har ändrat alla från nej till ja för att kunna göra rätt i uträkningar i andra blad. Men vi har inte fyllt i kvalitetsgranskade nät i kvalitetsnyckeln.
Svar:
    Har ändrat till nej för alla nät som inte har miljövärden // MaPe</t>
      </text>
    </comment>
    <comment ref="C78" authorId="1" shapeId="0" xr:uid="{F27A7666-35F6-4001-AC22-2E3F65C1B96C}">
      <text>
        <r>
          <rPr>
            <b/>
            <sz val="9"/>
            <color indexed="81"/>
            <rFont val="Tahoma"/>
            <family val="2"/>
          </rPr>
          <t>Petersen, Martin:</t>
        </r>
        <r>
          <rPr>
            <sz val="9"/>
            <color indexed="81"/>
            <rFont val="Tahoma"/>
            <family val="2"/>
          </rPr>
          <t xml:space="preserve">
Justeat efter samtal Agneta Bäckman, se mail // MaPe 2020-05-25</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K2" authorId="0" shapeId="0" xr:uid="{F481E019-B674-41FA-84EA-F2BDC66D508E}">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shapeId="0" xr:uid="{1B7C0C4E-80F0-43F7-A042-9383D4FF28AA}">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shapeId="0" xr:uid="{00B6B1A6-923C-4398-8BC7-32EEC0EDDD93}">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tc={3E89AFFA-C927-464F-B999-233399DFEF07}</author>
  </authors>
  <commentList>
    <comment ref="C1" authorId="0" shapeId="0" xr:uid="{3E89AFFA-C927-464F-B999-233399DFEF07}">
      <text>
        <t>[Trådad kommentar]
I din version av Excel kan du läsa den här trådade kommentaren, men eventuella ändringar i den tas bort om filen öppnas i en senare version av Excel. Läs mer: https://go.microsoft.com/fwlink/?linkid=870924
Kommentar:
    2019-årsvärden även länk för Göteborg Energi pga fel i beräkningar, deras miljövärden fick räknas om i efterhand och ska publiceras på deras hemsida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Petersen, Martin</author>
    <author>Hedman Mattias</author>
  </authors>
  <commentList>
    <comment ref="F58" authorId="0" shapeId="0" xr:uid="{2FD968C7-4B8A-4B9A-89D7-21D4619ED0FA}">
      <text>
        <r>
          <rPr>
            <b/>
            <sz val="9"/>
            <color indexed="81"/>
            <rFont val="Tahoma"/>
            <family val="2"/>
          </rPr>
          <t>Petersen, Martin:</t>
        </r>
        <r>
          <rPr>
            <sz val="9"/>
            <color indexed="81"/>
            <rFont val="Tahoma"/>
            <family val="2"/>
          </rPr>
          <t xml:space="preserve">
Justerat efter samtal Agneta Bäckman, se mail // MaPe 2020-05-25</t>
        </r>
      </text>
    </comment>
    <comment ref="L94" authorId="1" shapeId="0" xr:uid="{00000000-0006-0000-0000-000002000000}">
      <text>
        <r>
          <rPr>
            <sz val="11"/>
            <rFont val="Calibri"/>
            <family val="2"/>
          </rPr>
          <t>2013: 40% av IND 0,4*105,2=42,1 2014: 40% av IND 0,4*102,5=41 ( inkl del av Underleverans Biobaserad) 2016: 40% av IND 0,4*94,354=37,7 + underleverans bio 3,948 2017: 40% av IND 0,4*96,052=38,421 + Bio 0,259 2018: 40% av IND 0,4*88,095=35,238 2019: U</t>
        </r>
      </text>
    </comment>
    <comment ref="L96" authorId="1" shapeId="0" xr:uid="{00000000-0006-0000-0000-000003000000}">
      <text>
        <r>
          <rPr>
            <sz val="11"/>
            <rFont val="Calibri"/>
            <family val="2"/>
          </rPr>
          <t>Pellets + Flis</t>
        </r>
      </text>
    </comment>
    <comment ref="F166" authorId="1" shapeId="0" xr:uid="{00000000-0006-0000-0000-000004000000}">
      <text>
        <r>
          <rPr>
            <sz val="11"/>
            <rFont val="Calibri"/>
            <family val="2"/>
          </rPr>
          <t xml:space="preserve">Av misstag har siffror för spillvärme lags in 2017 och 2018 - dvs inte biovärme som avses här. Biovärmen för 2017 är 0. Biovärmen för 2018 är 0. </t>
        </r>
      </text>
    </comment>
    <comment ref="E174" authorId="1" shapeId="0" xr:uid="{00000000-0006-0000-0000-000005000000}">
      <text>
        <r>
          <rPr>
            <sz val="11"/>
            <rFont val="Calibri"/>
            <family val="2"/>
          </rPr>
          <t>Allokerat från Kraftvärmeverket, bränslet är Avfallsgas  från Stålindustrin. Redovisat som spillvärme för att få med det i tillförd energi.</t>
        </r>
      </text>
    </comment>
    <comment ref="I174" authorId="1" shapeId="0" xr:uid="{00000000-0006-0000-0000-000006000000}">
      <text>
        <r>
          <rPr>
            <sz val="11"/>
            <rFont val="Calibri"/>
            <family val="2"/>
          </rPr>
          <t>Allokerad bränslemängd från Kraftvärmeverket</t>
        </r>
      </text>
    </comment>
    <comment ref="D239" authorId="1" shapeId="0" xr:uid="{00000000-0006-0000-0000-000007000000}">
      <text>
        <r>
          <rPr>
            <sz val="11"/>
            <rFont val="Calibri"/>
            <family val="2"/>
          </rPr>
          <t>Org.nr: 556972-0666</t>
        </r>
      </text>
    </comment>
    <comment ref="F239" authorId="1" shapeId="0" xr:uid="{00000000-0006-0000-0000-000008000000}">
      <text>
        <r>
          <rPr>
            <sz val="11"/>
            <rFont val="Calibri"/>
            <family val="2"/>
          </rPr>
          <t>Köpt hetvatten 8,882777 GWh. Omvandlat med 85 % verkningsgrad.</t>
        </r>
      </text>
    </comment>
    <comment ref="H239" authorId="1" shapeId="0" xr:uid="{00000000-0006-0000-0000-000009000000}">
      <text>
        <r>
          <rPr>
            <sz val="11"/>
            <rFont val="Calibri"/>
            <family val="2"/>
          </rPr>
          <t>Köpt hetvatten 1,062473 GWh. Omvandlat med 85 % verkningsgrad.</t>
        </r>
      </text>
    </comment>
    <comment ref="J239" authorId="1" shapeId="0" xr:uid="{00000000-0006-0000-0000-00000A000000}">
      <text>
        <r>
          <rPr>
            <sz val="11"/>
            <rFont val="Calibri"/>
            <family val="2"/>
          </rPr>
          <t>Vattenreningsverket i Sala</t>
        </r>
      </text>
    </comment>
    <comment ref="L239" authorId="1" shapeId="0" xr:uid="{00000000-0006-0000-0000-00000B000000}">
      <text>
        <r>
          <rPr>
            <sz val="11"/>
            <rFont val="Calibri"/>
            <family val="2"/>
          </rPr>
          <t>Köpt energi 1,09329 GWh. Omvandlat med 85 % verkningsgrad.</t>
        </r>
      </text>
    </comment>
    <comment ref="F384" authorId="1" shapeId="0" xr:uid="{00000000-0006-0000-0000-00000C000000}">
      <text>
        <r>
          <rPr>
            <sz val="11"/>
            <rFont val="Calibri"/>
            <family val="2"/>
          </rPr>
          <t>eView/Produktion/2019/Vafab</t>
        </r>
      </text>
    </comment>
    <comment ref="L384" authorId="1" shapeId="0" xr:uid="{00000000-0006-0000-0000-00000D000000}">
      <text>
        <r>
          <rPr>
            <sz val="11"/>
            <rFont val="Calibri"/>
            <family val="2"/>
          </rPr>
          <t>eView/Produktion/Nordkalk/2019</t>
        </r>
      </text>
    </comment>
    <comment ref="R384" authorId="1" shapeId="0" xr:uid="{00000000-0006-0000-0000-00000E000000}">
      <text>
        <r>
          <rPr>
            <sz val="11"/>
            <rFont val="Calibri"/>
            <family val="2"/>
          </rPr>
          <t>eView/Produktion/Vafab/2019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V23" authorId="0" shapeId="0" xr:uid="{00000000-0006-0000-0000-000001000000}">
      <text>
        <r>
          <rPr>
            <sz val="11"/>
            <rFont val="Calibri"/>
            <family val="2"/>
          </rPr>
          <t>Trädgårdsflis+städbark</t>
        </r>
      </text>
    </comment>
    <comment ref="D34" authorId="0" shapeId="0" xr:uid="{00000000-0006-0000-0000-000002000000}">
      <text>
        <r>
          <rPr>
            <sz val="11"/>
            <rFont val="Calibri"/>
            <family val="2"/>
          </rPr>
          <t>Nytt kraftvärmeblock togs i drift</t>
        </r>
      </text>
    </comment>
    <comment ref="E34" authorId="0" shapeId="0" xr:uid="{00000000-0006-0000-0000-000003000000}">
      <text>
        <r>
          <rPr>
            <sz val="11"/>
            <rFont val="Calibri"/>
            <family val="2"/>
          </rPr>
          <t>Nytt kraftvärmeblock togs i drift</t>
        </r>
      </text>
    </comment>
    <comment ref="AA40" authorId="0" shapeId="0" xr:uid="{00000000-0006-0000-0000-000004000000}">
      <text>
        <r>
          <rPr>
            <sz val="11"/>
            <rFont val="Calibri"/>
            <family val="2"/>
          </rPr>
          <t>Inklusive impregnerat trä</t>
        </r>
      </text>
    </comment>
    <comment ref="AD58" authorId="0" shapeId="0" xr:uid="{00000000-0006-0000-0000-000005000000}">
      <text>
        <r>
          <rPr>
            <sz val="11"/>
            <rFont val="Calibri"/>
            <family val="2"/>
          </rPr>
          <t>kreosotflis</t>
        </r>
      </text>
    </comment>
    <comment ref="AK58" authorId="0" shapeId="0" xr:uid="{00000000-0006-0000-0000-000006000000}">
      <text>
        <r>
          <rPr>
            <sz val="11"/>
            <rFont val="Calibri"/>
            <family val="2"/>
          </rPr>
          <t>Ändrat till 188 GWh enligt information från Agneta Bäckman</t>
        </r>
      </text>
    </comment>
    <comment ref="K82" authorId="0" shapeId="0" xr:uid="{00000000-0006-0000-0000-000007000000}">
      <text>
        <r>
          <rPr>
            <sz val="11"/>
            <rFont val="Calibri"/>
            <family val="2"/>
          </rPr>
          <t>Från Utsläppsrättshanteringen EU/ETS</t>
        </r>
      </text>
    </comment>
    <comment ref="Q82" authorId="0" shapeId="0" xr:uid="{00000000-0006-0000-0000-000008000000}">
      <text>
        <r>
          <rPr>
            <sz val="11"/>
            <rFont val="Calibri"/>
            <family val="2"/>
          </rPr>
          <t>Lev. mängd under året VIOL</t>
        </r>
      </text>
    </comment>
    <comment ref="R82" authorId="0" shapeId="0" xr:uid="{00000000-0006-0000-0000-000009000000}">
      <text>
        <r>
          <rPr>
            <sz val="11"/>
            <rFont val="Calibri"/>
            <family val="2"/>
          </rPr>
          <t>Lev. mängd under året VIOL</t>
        </r>
      </text>
    </comment>
    <comment ref="S82" authorId="0" shapeId="0" xr:uid="{00000000-0006-0000-0000-00000A000000}">
      <text>
        <r>
          <rPr>
            <sz val="11"/>
            <rFont val="Calibri"/>
            <family val="2"/>
          </rPr>
          <t>Lev. mängd under året VIOL</t>
        </r>
      </text>
    </comment>
    <comment ref="T82" authorId="0" shapeId="0" xr:uid="{00000000-0006-0000-0000-00000B000000}">
      <text>
        <r>
          <rPr>
            <sz val="11"/>
            <rFont val="Calibri"/>
            <family val="2"/>
          </rPr>
          <t>Ingen spåneldning normalt sett</t>
        </r>
      </text>
    </comment>
    <comment ref="V82" authorId="0" shapeId="0" xr:uid="{00000000-0006-0000-0000-00000C000000}">
      <text>
        <r>
          <rPr>
            <sz val="11"/>
            <rFont val="Calibri"/>
            <family val="2"/>
          </rPr>
          <t>Trädelsflis Lev. mängd under året VIOL</t>
        </r>
      </text>
    </comment>
    <comment ref="AA82" authorId="0" shapeId="0" xr:uid="{00000000-0006-0000-0000-00000D000000}">
      <text>
        <r>
          <rPr>
            <sz val="11"/>
            <rFont val="Calibri"/>
            <family val="2"/>
          </rPr>
          <t>Lev. mängd under året VIOL</t>
        </r>
      </text>
    </comment>
    <comment ref="AK82" authorId="0" shapeId="0" xr:uid="{00000000-0006-0000-0000-00000E000000}">
      <text>
        <r>
          <rPr>
            <sz val="11"/>
            <rFont val="Calibri"/>
            <family val="2"/>
          </rPr>
          <t>Optima - RGK (KVV1+KVV2)</t>
        </r>
      </text>
    </comment>
    <comment ref="K118" authorId="0" shapeId="0" xr:uid="{00000000-0006-0000-0000-00000F000000}">
      <text>
        <r>
          <rPr>
            <sz val="11"/>
            <rFont val="Calibri"/>
            <family val="2"/>
          </rPr>
          <t>Ingen Eo1 på Beleverket, endast HVO</t>
        </r>
      </text>
    </comment>
    <comment ref="AG118" authorId="0" shapeId="0" xr:uid="{00000000-0006-0000-0000-000010000000}">
      <text>
        <r>
          <rPr>
            <sz val="11"/>
            <rFont val="Calibri"/>
            <family val="2"/>
          </rPr>
          <t>Ingen Eo1 på Beleverket</t>
        </r>
      </text>
    </comment>
    <comment ref="AK125" authorId="0" shapeId="0" xr:uid="{00000000-0006-0000-0000-000011000000}">
      <text>
        <r>
          <rPr>
            <sz val="11"/>
            <rFont val="Calibri"/>
            <family val="2"/>
          </rPr>
          <t xml:space="preserve">Verkligt värde 129,7 GWh för 2019. Här avdrag med 1,576 (129,7- 1,576=128,12) GWh för produktspecifik fjärrvärme som redovisas i virtuellt nät Östersund produktspecifikt.  </t>
        </r>
      </text>
    </comment>
    <comment ref="AL125" authorId="0" shapeId="0" xr:uid="{00000000-0006-0000-0000-000012000000}">
      <text>
        <r>
          <rPr>
            <sz val="11"/>
            <rFont val="Calibri"/>
            <family val="2"/>
          </rPr>
          <t>Justerad för del som är levererad i nät "Östersund produktionsspecifik"</t>
        </r>
      </text>
    </comment>
    <comment ref="AO125" authorId="0" shapeId="0" xr:uid="{00000000-0006-0000-0000-000013000000}">
      <text>
        <r>
          <rPr>
            <sz val="11"/>
            <rFont val="Calibri"/>
            <family val="2"/>
          </rPr>
          <t>Justerad för del som är levererad i nät "Östersund produktionsspecifik"</t>
        </r>
      </text>
    </comment>
    <comment ref="AK126" authorId="0" shapeId="0" xr:uid="{00000000-0006-0000-0000-000014000000}">
      <text>
        <r>
          <rPr>
            <sz val="11"/>
            <rFont val="Calibri"/>
            <family val="2"/>
          </rPr>
          <t>Summan här har dragits bort från verklig summa för nät Östersund.</t>
        </r>
      </text>
    </comment>
    <comment ref="AL126" authorId="0" shapeId="0" xr:uid="{00000000-0006-0000-0000-000015000000}">
      <text>
        <r>
          <rPr>
            <sz val="11"/>
            <rFont val="Calibri"/>
            <family val="2"/>
          </rPr>
          <t>Gör att andelarna i verkliga nätet Östersund behöver räknas om</t>
        </r>
      </text>
    </comment>
    <comment ref="E131" authorId="0" shapeId="0" xr:uid="{00000000-0006-0000-0000-000016000000}">
      <text>
        <r>
          <rPr>
            <sz val="11"/>
            <rFont val="Calibri"/>
            <family val="2"/>
          </rPr>
          <t>Stillestånd på turbinen på grund av haveri under 103 dagar</t>
        </r>
      </text>
    </comment>
    <comment ref="E216" authorId="0" shapeId="0" xr:uid="{00000000-0006-0000-0000-000017000000}">
      <text>
        <r>
          <rPr>
            <sz val="11"/>
            <rFont val="Calibri"/>
            <family val="2"/>
          </rPr>
          <t>Driftrapport</t>
        </r>
      </text>
    </comment>
    <comment ref="K216" authorId="0" shapeId="0" xr:uid="{00000000-0006-0000-0000-000018000000}">
      <text>
        <r>
          <rPr>
            <sz val="11"/>
            <rFont val="Calibri"/>
            <family val="2"/>
          </rPr>
          <t>Små värden ger stora procentuella förändringar.</t>
        </r>
      </text>
    </comment>
    <comment ref="E294" authorId="0" shapeId="0" xr:uid="{00000000-0006-0000-0000-000019000000}">
      <text>
        <r>
          <rPr>
            <sz val="11"/>
            <rFont val="Calibri"/>
            <family val="2"/>
          </rPr>
          <t>G1</t>
        </r>
      </text>
    </comment>
    <comment ref="K294" authorId="0" shapeId="0" xr:uid="{00000000-0006-0000-0000-00001A000000}">
      <text>
        <r>
          <rPr>
            <sz val="11"/>
            <rFont val="Calibri"/>
            <family val="2"/>
          </rPr>
          <t>Obs! Hämta från filen 20xx FJV, Bränsle per panna. (KVVs totala oljeförbrukning)</t>
        </r>
      </text>
    </comment>
    <comment ref="Q294" authorId="0" shapeId="0" xr:uid="{00000000-0006-0000-0000-00001B000000}">
      <text>
        <r>
          <rPr>
            <sz val="11"/>
            <rFont val="Calibri"/>
            <family val="2"/>
          </rPr>
          <t>Från filen "Test Leverans av biobränsle5"</t>
        </r>
      </text>
    </comment>
    <comment ref="AI323" authorId="0" shapeId="0" xr:uid="{00000000-0006-0000-0000-00001C000000}">
      <text>
        <r>
          <rPr>
            <sz val="11"/>
            <rFont val="Calibri"/>
            <family val="2"/>
          </rPr>
          <t>Viktat värde</t>
        </r>
      </text>
    </comment>
    <comment ref="E336" authorId="0" shapeId="0" xr:uid="{00000000-0006-0000-0000-00001D000000}">
      <text>
        <r>
          <rPr>
            <sz val="11"/>
            <rFont val="Calibri"/>
            <family val="2"/>
          </rPr>
          <t xml:space="preserve">2019: Startade turbinen i slutet av mars efter längre tid med problem ((problem efter sommarrevisionen som påbörjades 2017).  </t>
        </r>
      </text>
    </comment>
    <comment ref="AE343" authorId="0" shapeId="0" xr:uid="{00000000-0006-0000-0000-00001E000000}">
      <text>
        <r>
          <rPr>
            <sz val="11"/>
            <rFont val="Calibri"/>
            <family val="2"/>
          </rPr>
          <t>Lägre förbrukning pga utfasning av torv som bränsle</t>
        </r>
      </text>
    </comment>
    <comment ref="K383" authorId="0" shapeId="0" xr:uid="{00000000-0006-0000-0000-00001F000000}">
      <text>
        <r>
          <rPr>
            <sz val="11"/>
            <rFont val="Calibri"/>
            <family val="2"/>
          </rPr>
          <t>Är nedanför i frågan om oljeeldning vid avfallsförbränning.</t>
        </r>
      </text>
    </comment>
    <comment ref="AF383" authorId="0" shapeId="0" xr:uid="{00000000-0006-0000-0000-000020000000}">
      <text>
        <r>
          <rPr>
            <sz val="11"/>
            <rFont val="Calibri"/>
            <family val="2"/>
          </rPr>
          <t>Avfall delas på P5-P3. Fundera över bortkylt samt RGK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AL1" authorId="0" shapeId="0" xr:uid="{B1EEAD42-9C3A-4B24-81DD-9D0C116D6C44}">
      <text>
        <r>
          <rPr>
            <b/>
            <sz val="9"/>
            <color indexed="81"/>
            <rFont val="Tahoma"/>
            <family val="2"/>
          </rPr>
          <t>Författare:</t>
        </r>
        <r>
          <rPr>
            <sz val="9"/>
            <color indexed="81"/>
            <rFont val="Tahoma"/>
            <family val="2"/>
          </rPr>
          <t xml:space="preserve">
Inkl hjälpel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2" authorId="0" shapeId="0" xr:uid="{D91CBC0C-CC0C-4D3E-8C29-8839D65F28C4}">
      <text>
        <r>
          <rPr>
            <b/>
            <sz val="9"/>
            <color indexed="81"/>
            <rFont val="Tahoma"/>
            <family val="2"/>
          </rPr>
          <t>Åsa Lindqvist:</t>
        </r>
        <r>
          <rPr>
            <sz val="9"/>
            <color indexed="81"/>
            <rFont val="Tahoma"/>
            <family val="2"/>
          </rPr>
          <t xml:space="preserve">
Endast kvalitetsgranskade nät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F94" authorId="0" shapeId="0" xr:uid="{00000000-0006-0000-0000-000001000000}">
      <text>
        <r>
          <rPr>
            <sz val="11"/>
            <rFont val="Calibri"/>
            <family val="2"/>
          </rPr>
          <t xml:space="preserve">2016 Spillvärme 219,727+ 60% av IND 0,6*94,351+  Dump 12,038 =409,7 2017 Spillvärme 216,628+ 60% av IND 0,6 2018 Spillvärme 197,312 + 0,6*88,095 (ind) + dump 24,123+ underlev bio 0,377 2019 Dumpen redovisas hos BEAB </t>
        </r>
      </text>
    </comment>
    <comment ref="H94" authorId="0" shapeId="0" xr:uid="{00000000-0006-0000-0000-000002000000}">
      <text>
        <r>
          <rPr>
            <sz val="11"/>
            <rFont val="Calibri"/>
            <family val="2"/>
          </rPr>
          <t>RGK BEAB+Dump (dump från 2019)</t>
        </r>
      </text>
    </comment>
    <comment ref="J145" authorId="0" shapeId="0" xr:uid="{00000000-0006-0000-0000-000003000000}">
      <text>
        <r>
          <rPr>
            <sz val="11"/>
            <rFont val="Calibri"/>
            <family val="2"/>
          </rPr>
          <t xml:space="preserve">Volym spillvärme flyttad till köpt produktionsspecifik fjärrvärme då den utgör en del av leveranserna från Öresundskraft. </t>
        </r>
      </text>
    </comment>
    <comment ref="D166" authorId="0" shapeId="0" xr:uid="{00000000-0006-0000-0000-000004000000}">
      <text>
        <r>
          <rPr>
            <sz val="11"/>
            <rFont val="Calibri"/>
            <family val="2"/>
          </rPr>
          <t>Under 2019 har Baettr gjort några förbättringar på spill återvinningen, vilket ökat vår spillvärmeandel.</t>
        </r>
      </text>
    </comment>
    <comment ref="F344" authorId="0" shapeId="0" xr:uid="{00000000-0006-0000-0000-000005000000}">
      <text>
        <r>
          <rPr>
            <sz val="11"/>
            <rFont val="Calibri"/>
            <family val="2"/>
          </rPr>
          <t>I leveransen från Vargön Alloy ingår även spillvärmeleverans till Trollhättan Energi. Levererad mängd ingår i såld fjärrvärme till Trollhättan Energi se flik Miljö</t>
        </r>
      </text>
    </comment>
    <comment ref="F384" authorId="0" shapeId="0" xr:uid="{00000000-0006-0000-0000-000006000000}">
      <text>
        <r>
          <rPr>
            <sz val="11"/>
            <rFont val="Calibri"/>
            <family val="2"/>
          </rPr>
          <t>eView/Produktion/Yara/2019</t>
        </r>
      </text>
    </comment>
    <comment ref="H384" authorId="0" shapeId="0" xr:uid="{00000000-0006-0000-0000-000007000000}">
      <text>
        <r>
          <rPr>
            <sz val="11"/>
            <rFont val="Calibri"/>
            <family val="2"/>
          </rPr>
          <t>eView/Produktion/Nordkalk/2019</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G26" authorId="0" shapeId="0" xr:uid="{00000000-0006-0000-0000-000001000000}">
      <text>
        <r>
          <rPr>
            <sz val="11"/>
            <rFont val="Calibri"/>
            <family val="2"/>
          </rPr>
          <t>PEF framräknat ur andelar i elmix och taget ur "Miljöfaktaboken", värmeforsk 2011. Andelen Vindenergi (PEF0,05) har ökat drastiskt och resterande produktion (vatten 1,1) har förhållandevis låg PEF. Under 2019 har föhållandet mellan vind och vatten än</t>
        </r>
      </text>
    </comment>
    <comment ref="G71" authorId="0" shapeId="0" xr:uid="{00000000-0006-0000-0000-000002000000}">
      <text>
        <r>
          <rPr>
            <sz val="11"/>
            <rFont val="Calibri"/>
            <family val="2"/>
          </rPr>
          <t>Egna UG från vårt KVV har använts</t>
        </r>
      </text>
    </comment>
    <comment ref="G96" authorId="0" shapeId="0" xr:uid="{00000000-0006-0000-0000-000003000000}">
      <text>
        <r>
          <rPr>
            <sz val="11"/>
            <rFont val="Calibri"/>
            <family val="2"/>
          </rPr>
          <t>Flik 14</t>
        </r>
      </text>
    </comment>
    <comment ref="R107" authorId="0" shapeId="0" xr:uid="{00000000-0006-0000-0000-000004000000}">
      <text>
        <r>
          <rPr>
            <sz val="11"/>
            <rFont val="Calibri"/>
            <family val="2"/>
          </rPr>
          <t xml:space="preserve">288892 205862 ACH: 161118 213419 157663 155136 206509 3322509 213422 155142 </t>
        </r>
      </text>
    </comment>
    <comment ref="G122" authorId="0" shapeId="0" xr:uid="{00000000-0006-0000-0000-000005000000}">
      <text>
        <r>
          <rPr>
            <sz val="11"/>
            <rFont val="Calibri"/>
            <family val="2"/>
          </rPr>
          <t>Justerat 20200207</t>
        </r>
      </text>
    </comment>
    <comment ref="G123" authorId="0" shapeId="0" xr:uid="{00000000-0006-0000-0000-000006000000}">
      <text>
        <r>
          <rPr>
            <sz val="11"/>
            <rFont val="Calibri"/>
            <family val="2"/>
          </rPr>
          <t>Justerat 20200207</t>
        </r>
      </text>
    </comment>
    <comment ref="G124" authorId="0" shapeId="0" xr:uid="{00000000-0006-0000-0000-000007000000}">
      <text>
        <r>
          <rPr>
            <sz val="11"/>
            <rFont val="Calibri"/>
            <family val="2"/>
          </rPr>
          <t>Justerat 20200207</t>
        </r>
      </text>
    </comment>
    <comment ref="G125" authorId="0" shapeId="0" xr:uid="{00000000-0006-0000-0000-000008000000}">
      <text>
        <r>
          <rPr>
            <sz val="11"/>
            <rFont val="Calibri"/>
            <family val="2"/>
          </rPr>
          <t>Justerat 20200207</t>
        </r>
      </text>
    </comment>
    <comment ref="G126" authorId="0" shapeId="0" xr:uid="{00000000-0006-0000-0000-000009000000}">
      <text>
        <r>
          <rPr>
            <sz val="11"/>
            <rFont val="Calibri"/>
            <family val="2"/>
          </rPr>
          <t>Justerat 20200207</t>
        </r>
      </text>
    </comment>
    <comment ref="F137" authorId="0" shapeId="0" xr:uid="{00000000-0006-0000-0000-00000A000000}">
      <text>
        <r>
          <rPr>
            <sz val="11"/>
            <rFont val="Calibri"/>
            <family val="2"/>
          </rPr>
          <t>100 % vattenkraft</t>
        </r>
      </text>
    </comment>
    <comment ref="M144" authorId="0" shapeId="0" xr:uid="{00000000-0006-0000-0000-00000B000000}">
      <text>
        <r>
          <rPr>
            <sz val="11"/>
            <rFont val="Calibri"/>
            <family val="2"/>
          </rPr>
          <t>Göteborg Energi 2018</t>
        </r>
      </text>
    </comment>
    <comment ref="N144" authorId="0" shapeId="0" xr:uid="{00000000-0006-0000-0000-00000C000000}">
      <text>
        <r>
          <rPr>
            <sz val="11"/>
            <rFont val="Calibri"/>
            <family val="2"/>
          </rPr>
          <t>Göteborg Energi 2018</t>
        </r>
      </text>
    </comment>
    <comment ref="F174" authorId="0" shapeId="0" xr:uid="{00000000-0006-0000-0000-00000D000000}">
      <text>
        <r>
          <rPr>
            <sz val="11"/>
            <rFont val="Calibri"/>
            <family val="2"/>
          </rPr>
          <t>VindEl+El från KVV</t>
        </r>
      </text>
    </comment>
    <comment ref="D178" authorId="0" shapeId="0" xr:uid="{00000000-0006-0000-0000-00000E000000}">
      <text>
        <r>
          <rPr>
            <sz val="11"/>
            <rFont val="Calibri"/>
            <family val="2"/>
          </rPr>
          <t>Inköpt el för Snickan PC, Örby pumphus, Fritsla PC= 243 MWh (totalt 2019). Maj-September ingen kraftvärmeprod. I snitt 203,6 MWh/månad i elförbrukning Totalt elförbrukning för hetvatten=243+12*203,6=2686 MWh</t>
        </r>
      </text>
    </comment>
    <comment ref="E178" authorId="0" shapeId="0" xr:uid="{00000000-0006-0000-0000-00000F000000}">
      <text>
        <r>
          <rPr>
            <sz val="11"/>
            <rFont val="Calibri"/>
            <family val="2"/>
          </rPr>
          <t>Total förbrukning=3881 MWh el Kraftvärme=3881-2686=1195 MWh el</t>
        </r>
      </text>
    </comment>
    <comment ref="G178" authorId="0" shapeId="0" xr:uid="{00000000-0006-0000-0000-000010000000}">
      <text>
        <r>
          <rPr>
            <sz val="11"/>
            <rFont val="Calibri"/>
            <family val="2"/>
          </rPr>
          <t xml:space="preserve">Köpt El=1754 MWh El från egen prod=2127 MWh  (1754*1,1+2127*0,03)/3881=0,51 0,03=primärenergifaktor sekundära biobränslen 1,1= vattenkraft, PEF/kWh enligt tabell 2, Miljövärdering 2018. </t>
        </r>
      </text>
    </comment>
    <comment ref="D203" authorId="0" shapeId="0" xr:uid="{00000000-0006-0000-0000-000011000000}">
      <text>
        <r>
          <rPr>
            <sz val="11"/>
            <rFont val="Calibri"/>
            <family val="2"/>
          </rPr>
          <t>ny panna har byggts och därmed högre elförbrukning</t>
        </r>
      </text>
    </comment>
    <comment ref="E219" authorId="0" shapeId="0" xr:uid="{00000000-0006-0000-0000-000012000000}">
      <text>
        <r>
          <rPr>
            <sz val="11"/>
            <rFont val="Calibri"/>
            <family val="2"/>
          </rPr>
          <t xml:space="preserve">Haft problem med internmätningen under 2018 och 2019. Angivet värde avser total inköpt el till anläggningen. </t>
        </r>
      </text>
    </comment>
    <comment ref="F240" authorId="0" shapeId="0" xr:uid="{00000000-0006-0000-0000-000013000000}">
      <text>
        <r>
          <rPr>
            <sz val="11"/>
            <rFont val="Calibri"/>
            <family val="2"/>
          </rPr>
          <t xml:space="preserve">Biobränslebaserad el, solcellsproducerad el och miljövarudeklarerad vattenkraftproducerad s.k. EPD-el. All vår el är ursprungsmärkt genom ursprungsgarantier. </t>
        </r>
      </text>
    </comment>
    <comment ref="D317" authorId="0" shapeId="0" xr:uid="{00000000-0006-0000-0000-000014000000}">
      <text>
        <r>
          <rPr>
            <sz val="11"/>
            <rFont val="Calibri"/>
            <family val="2"/>
          </rPr>
          <t>Hovhult, Brattås, Söder, Skogslyckan och Bleket</t>
        </r>
      </text>
    </comment>
    <comment ref="E324" authorId="0" shapeId="0" xr:uid="{00000000-0006-0000-0000-000015000000}">
      <text>
        <r>
          <rPr>
            <sz val="11"/>
            <rFont val="Calibri"/>
            <family val="2"/>
          </rPr>
          <t>Från sammanställningen av månadsrapporterna</t>
        </r>
      </text>
    </comment>
    <comment ref="G324" authorId="0" shapeId="0" xr:uid="{00000000-0006-0000-0000-000016000000}">
      <text>
        <r>
          <rPr>
            <sz val="11"/>
            <rFont val="Calibri"/>
            <family val="2"/>
          </rPr>
          <t>72% Vatten 17% Bio 10% Vind 1% Sol Preliminära andelar från Fredrik Lundberg. Schablonvärden finns i Energiföretagens "Miljövärdering 2019 Guide för allokering i kvv och fjv elanvändning"</t>
        </r>
      </text>
    </comment>
    <comment ref="H324" authorId="0" shapeId="0" xr:uid="{00000000-0006-0000-0000-000017000000}">
      <text>
        <r>
          <rPr>
            <sz val="11"/>
            <rFont val="Calibri"/>
            <family val="2"/>
          </rPr>
          <t>Beräknad siffra från årsarket. Baserad på elhandels siffror på ursprungsmärkning.</t>
        </r>
      </text>
    </comment>
    <comment ref="D329" authorId="0" shapeId="0" xr:uid="{00000000-0006-0000-0000-000018000000}">
      <text>
        <r>
          <rPr>
            <sz val="11"/>
            <rFont val="Calibri"/>
            <family val="2"/>
          </rPr>
          <t>Hjälpel inkl el i pumpstationer.</t>
        </r>
      </text>
    </comment>
    <comment ref="D337" authorId="0" shapeId="0" xr:uid="{00000000-0006-0000-0000-000019000000}">
      <text>
        <r>
          <rPr>
            <sz val="11"/>
            <rFont val="Calibri"/>
            <family val="2"/>
          </rPr>
          <t>2019: Förbrukad driftel VV + Bollmora  2018: Förbrukad driftel VV</t>
        </r>
      </text>
    </comment>
    <comment ref="R345" authorId="0" shapeId="0" xr:uid="{00000000-0006-0000-0000-00001A000000}">
      <text>
        <r>
          <rPr>
            <sz val="11"/>
            <rFont val="Calibri"/>
            <family val="2"/>
          </rPr>
          <t>Se kommentar ovan</t>
        </r>
      </text>
    </comment>
    <comment ref="E384" authorId="0" shapeId="0" xr:uid="{00000000-0006-0000-0000-00001B000000}">
      <text>
        <r>
          <rPr>
            <sz val="11"/>
            <rFont val="Calibri"/>
            <family val="2"/>
          </rPr>
          <t>skatt</t>
        </r>
      </text>
    </comment>
    <comment ref="D385" authorId="0" shapeId="0" xr:uid="{00000000-0006-0000-0000-00001C000000}">
      <text>
        <r>
          <rPr>
            <sz val="11"/>
            <rFont val="Calibri"/>
            <family val="2"/>
          </rPr>
          <t>Filen \\ad.vmkfb.se\shares\VME\FJARRVARMEAVD\01 Administration\07 Statistik\05 VME\1 Produktion, leverans, intäkter och kostnader.xlsx  Data sammanställt från Mina sidor hos Mälarenergi samt filen Energi 2019</t>
        </r>
      </text>
    </comment>
    <comment ref="G385" authorId="0" shapeId="0" xr:uid="{00000000-0006-0000-0000-00001D000000}">
      <text>
        <r>
          <rPr>
            <sz val="11"/>
            <rFont val="Calibri"/>
            <family val="2"/>
          </rPr>
          <t>Källa: vattenfall.se</t>
        </r>
      </text>
    </comment>
    <comment ref="H385" authorId="0" shapeId="0" xr:uid="{00000000-0006-0000-0000-00001E000000}">
      <text>
        <r>
          <rPr>
            <sz val="11"/>
            <rFont val="Calibri"/>
            <family val="2"/>
          </rPr>
          <t>Källa: vattenfall.se</t>
        </r>
      </text>
    </comment>
    <comment ref="D394" authorId="0" shapeId="0" xr:uid="{00000000-0006-0000-0000-00001F000000}">
      <text>
        <r>
          <rPr>
            <sz val="11"/>
            <rFont val="Calibri"/>
            <family val="2"/>
          </rPr>
          <t xml:space="preserve">Total el förbr.: 3617,735  MWh (Produktionsanl. Anoden, Äpplet, Lotta, Källesjö och Köpingebro)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Åsa Lindqvist</author>
    <author>Hedman Mattias</author>
    <author>Petersen, Martin</author>
  </authors>
  <commentList>
    <comment ref="V1" authorId="0" shapeId="0" xr:uid="{BC2C1AA1-4F11-460D-9672-BD36E53DBF1E}">
      <text>
        <r>
          <rPr>
            <b/>
            <sz val="9"/>
            <color indexed="81"/>
            <rFont val="Tahoma"/>
            <family val="2"/>
          </rPr>
          <t>Martn Petersent: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
För 2019 är det justerat för Stockholm Exergi, Nevel och Vattenfall // MaPe</t>
        </r>
      </text>
    </comment>
    <comment ref="D43" authorId="1" shapeId="0" xr:uid="{00000000-0006-0000-0000-000001000000}">
      <text>
        <r>
          <rPr>
            <sz val="11"/>
            <rFont val="Calibri"/>
            <family val="2"/>
          </rPr>
          <t>Leveranser inkluderar leveranser i Fristad efter sammankoppling 31/3.</t>
        </r>
      </text>
    </comment>
    <comment ref="I43" authorId="1" shapeId="0" xr:uid="{00000000-0006-0000-0000-000002000000}">
      <text>
        <r>
          <rPr>
            <sz val="11"/>
            <rFont val="Calibri"/>
            <family val="2"/>
          </rPr>
          <t xml:space="preserve">Avvikelse beror på genomgång av kundkategorier. </t>
        </r>
      </text>
    </comment>
    <comment ref="J43" authorId="1" shapeId="0" xr:uid="{00000000-0006-0000-0000-000003000000}">
      <text>
        <r>
          <rPr>
            <sz val="11"/>
            <rFont val="Calibri"/>
            <family val="2"/>
          </rPr>
          <t xml:space="preserve">Avvikelse beror på genomgång av kundkategorier. </t>
        </r>
      </text>
    </comment>
    <comment ref="D44" authorId="1" shapeId="0" xr:uid="{00000000-0006-0000-0000-000004000000}">
      <text>
        <r>
          <rPr>
            <sz val="11"/>
            <rFont val="Calibri"/>
            <family val="2"/>
          </rPr>
          <t>Leveranser avser enbart perioden jan-mars 2019. Efter sammankoppling med Borås-nätet redovisas leveranser i Fristad efter 31/3 som leveranser i Borås.</t>
        </r>
      </text>
    </comment>
    <comment ref="I44" authorId="1" shapeId="0" xr:uid="{00000000-0006-0000-0000-000005000000}">
      <text>
        <r>
          <rPr>
            <sz val="11"/>
            <rFont val="Calibri"/>
            <family val="2"/>
          </rPr>
          <t xml:space="preserve">Avvikelse beror på genomgång av kundkategorier. </t>
        </r>
      </text>
    </comment>
    <comment ref="J44" authorId="1" shapeId="0" xr:uid="{00000000-0006-0000-0000-000006000000}">
      <text>
        <r>
          <rPr>
            <sz val="11"/>
            <rFont val="Calibri"/>
            <family val="2"/>
          </rPr>
          <t xml:space="preserve">Avvikelse beror på genomgång av kundkategorier. </t>
        </r>
      </text>
    </comment>
    <comment ref="D59" authorId="1" shapeId="0" xr:uid="{00000000-0006-0000-0000-000007000000}">
      <text>
        <r>
          <rPr>
            <sz val="11"/>
            <rFont val="Calibri"/>
            <family val="2"/>
          </rPr>
          <t>I P530 så är 380 GWh försåld volym till egen kund, 82 GWh är sålt till Stockholm Exergi</t>
        </r>
      </text>
    </comment>
    <comment ref="D82" authorId="1" shapeId="0" xr:uid="{00000000-0006-0000-0000-000008000000}">
      <text>
        <r>
          <rPr>
            <sz val="11"/>
            <rFont val="Calibri"/>
            <family val="2"/>
          </rPr>
          <t>Totalt uppmätt såld energi (Tableau) + värme som mäts men ej faktureras dvs.  (pelletsfabrik + internvärme för uppvärmning av FJV-loklaler + värme till FJK-produktion)</t>
        </r>
      </text>
    </comment>
    <comment ref="M82" authorId="1" shapeId="0" xr:uid="{00000000-0006-0000-0000-000009000000}">
      <text>
        <r>
          <rPr>
            <sz val="11"/>
            <rFont val="Calibri"/>
            <family val="2"/>
          </rPr>
          <t>Pelletsfabriken + FJV till ABS</t>
        </r>
      </text>
    </comment>
    <comment ref="M93" authorId="1" shapeId="0" xr:uid="{00000000-0006-0000-0000-00000A000000}">
      <text>
        <r>
          <rPr>
            <sz val="11"/>
            <rFont val="Calibri"/>
            <family val="2"/>
          </rPr>
          <t>Några Tillverkande Industrier har försvunnit/ändrat verksamheten</t>
        </r>
      </text>
    </comment>
    <comment ref="H96" authorId="1" shapeId="0" xr:uid="{00000000-0006-0000-0000-00000B000000}">
      <text>
        <r>
          <rPr>
            <sz val="11"/>
            <rFont val="Calibri"/>
            <family val="2"/>
          </rPr>
          <t>2019 ET  2015 ET 2016 ET 2017 ET 2018 ET</t>
        </r>
      </text>
    </comment>
    <comment ref="L96" authorId="1" shapeId="0" xr:uid="{00000000-0006-0000-0000-00000C000000}">
      <text>
        <r>
          <rPr>
            <sz val="11"/>
            <rFont val="Calibri"/>
            <family val="2"/>
          </rPr>
          <t>2019 DS 2017 DS 2018 DS</t>
        </r>
      </text>
    </comment>
    <comment ref="M96" authorId="1" shapeId="0" xr:uid="{00000000-0006-0000-0000-00000D000000}">
      <text>
        <r>
          <rPr>
            <sz val="11"/>
            <rFont val="Calibri"/>
            <family val="2"/>
          </rPr>
          <t>2019 DS 2017 DS 2018 DS</t>
        </r>
      </text>
    </comment>
    <comment ref="H98" authorId="1" shapeId="0" xr:uid="{00000000-0006-0000-0000-00000E000000}">
      <text>
        <r>
          <rPr>
            <sz val="11"/>
            <rFont val="Calibri"/>
            <family val="2"/>
          </rPr>
          <t>2019 ET</t>
        </r>
      </text>
    </comment>
    <comment ref="L98" authorId="1" shapeId="0" xr:uid="{00000000-0006-0000-0000-00000F000000}">
      <text>
        <r>
          <rPr>
            <sz val="11"/>
            <rFont val="Calibri"/>
            <family val="2"/>
          </rPr>
          <t>2019 ET</t>
        </r>
      </text>
    </comment>
    <comment ref="M98" authorId="1" shapeId="0" xr:uid="{00000000-0006-0000-0000-000010000000}">
      <text>
        <r>
          <rPr>
            <sz val="11"/>
            <rFont val="Calibri"/>
            <family val="2"/>
          </rPr>
          <t>2019 ET</t>
        </r>
      </text>
    </comment>
    <comment ref="J125" authorId="1" shapeId="0" xr:uid="{00000000-0006-0000-0000-000011000000}">
      <text>
        <r>
          <rPr>
            <sz val="11"/>
            <rFont val="Calibri"/>
            <family val="2"/>
          </rPr>
          <t>Verkligt värde 2019 118,66. Avdrag för energi som säljs i "nätet" Östersund Produktspecifik som är 1,576 GWh, slutsumma här = 117,08</t>
        </r>
      </text>
    </comment>
    <comment ref="J126" authorId="1" shapeId="0" xr:uid="{00000000-0006-0000-0000-000012000000}">
      <text>
        <r>
          <rPr>
            <sz val="11"/>
            <rFont val="Calibri"/>
            <family val="2"/>
          </rPr>
          <t>Denna summa dras av från det som är redovisat för riktiga Östersund</t>
        </r>
      </text>
    </comment>
    <comment ref="E187" authorId="1" shapeId="0" xr:uid="{00000000-0006-0000-0000-000013000000}">
      <text>
        <r>
          <rPr>
            <sz val="11"/>
            <rFont val="Calibri"/>
            <family val="2"/>
          </rPr>
          <t>Avgår förbrukning biovärme jf med tidigare år.</t>
        </r>
      </text>
    </comment>
    <comment ref="G187" authorId="1" shapeId="0" xr:uid="{00000000-0006-0000-0000-000014000000}">
      <text>
        <r>
          <rPr>
            <sz val="11"/>
            <rFont val="Calibri"/>
            <family val="2"/>
          </rPr>
          <t>Avgår förbrukning biovärme jf med tidigare år.</t>
        </r>
      </text>
    </comment>
    <comment ref="I187" authorId="1" shapeId="0" xr:uid="{00000000-0006-0000-0000-000015000000}">
      <text>
        <r>
          <rPr>
            <sz val="11"/>
            <rFont val="Calibri"/>
            <family val="2"/>
          </rPr>
          <t>Avgår förbrukning biovärme jf med tidigare år.</t>
        </r>
      </text>
    </comment>
    <comment ref="J187" authorId="1" shapeId="0" xr:uid="{00000000-0006-0000-0000-000016000000}">
      <text>
        <r>
          <rPr>
            <sz val="11"/>
            <rFont val="Calibri"/>
            <family val="2"/>
          </rPr>
          <t>Avgår förbrukning biovärme jf med tidigare år.</t>
        </r>
      </text>
    </comment>
    <comment ref="K187" authorId="1" shapeId="0" xr:uid="{00000000-0006-0000-0000-000017000000}">
      <text>
        <r>
          <rPr>
            <sz val="11"/>
            <rFont val="Calibri"/>
            <family val="2"/>
          </rPr>
          <t>Markvärme utbyggt under 2019</t>
        </r>
      </text>
    </comment>
    <comment ref="V199" authorId="2" shapeId="0" xr:uid="{FDED3B06-48E7-4590-AF82-EFFD1AAE1BCE}">
      <text>
        <r>
          <rPr>
            <b/>
            <sz val="9"/>
            <color indexed="81"/>
            <rFont val="Tahoma"/>
            <family val="2"/>
          </rPr>
          <t>Petersen, Martin:</t>
        </r>
        <r>
          <rPr>
            <sz val="9"/>
            <color indexed="81"/>
            <rFont val="Tahoma"/>
            <family val="2"/>
          </rPr>
          <t xml:space="preserve">
Sålt till Tibro kommun som inte är medlem</t>
        </r>
      </text>
    </comment>
    <comment ref="V278" authorId="2" shapeId="0" xr:uid="{CD9777FA-46D8-4A6F-8A3A-CD63619F432D}">
      <text>
        <r>
          <rPr>
            <b/>
            <sz val="9"/>
            <color indexed="81"/>
            <rFont val="Tahoma"/>
            <family val="2"/>
          </rPr>
          <t>Petersen, Martin:</t>
        </r>
        <r>
          <rPr>
            <sz val="9"/>
            <color indexed="81"/>
            <rFont val="Tahoma"/>
            <family val="2"/>
          </rPr>
          <t xml:space="preserve">
Har inte angivet sålt till annat fjärrvärmeföretag, infår i deras mängd för såld produktinsspecifik. Har fått kompletternade Excelfil // MaPE</t>
        </r>
      </text>
    </comment>
    <comment ref="D316" authorId="1" shapeId="0" xr:uid="{00000000-0006-0000-0000-000018000000}">
      <text>
        <r>
          <rPr>
            <sz val="11"/>
            <rFont val="Calibri"/>
            <family val="2"/>
          </rPr>
          <t>Inkluderat leveranser till Pelletsfabriken</t>
        </r>
      </text>
    </comment>
    <comment ref="F316" authorId="1" shapeId="0" xr:uid="{00000000-0006-0000-0000-000019000000}">
      <text>
        <r>
          <rPr>
            <sz val="11"/>
            <rFont val="Calibri"/>
            <family val="2"/>
          </rPr>
          <t>FV10 och FV11</t>
        </r>
      </text>
    </comment>
    <comment ref="G316" authorId="1" shapeId="0" xr:uid="{00000000-0006-0000-0000-00001A000000}">
      <text>
        <r>
          <rPr>
            <sz val="11"/>
            <rFont val="Calibri"/>
            <family val="2"/>
          </rPr>
          <t>FV30</t>
        </r>
      </text>
    </comment>
    <comment ref="I316" authorId="1" shapeId="0" xr:uid="{00000000-0006-0000-0000-00001B000000}">
      <text>
        <r>
          <rPr>
            <sz val="11"/>
            <rFont val="Calibri"/>
            <family val="2"/>
          </rPr>
          <t>FV20, FV21</t>
        </r>
      </text>
    </comment>
    <comment ref="J316" authorId="1" shapeId="0" xr:uid="{00000000-0006-0000-0000-00001C000000}">
      <text>
        <r>
          <rPr>
            <sz val="11"/>
            <rFont val="Calibri"/>
            <family val="2"/>
          </rPr>
          <t>FV60</t>
        </r>
      </text>
    </comment>
    <comment ref="L316" authorId="1" shapeId="0" xr:uid="{00000000-0006-0000-0000-00001D000000}">
      <text>
        <r>
          <rPr>
            <sz val="11"/>
            <rFont val="Calibri"/>
            <family val="2"/>
          </rPr>
          <t>FV13</t>
        </r>
      </text>
    </comment>
    <comment ref="V338" authorId="2" shapeId="0" xr:uid="{FAA40A13-436A-434A-867D-2FE2FBFDF3F0}">
      <text>
        <r>
          <rPr>
            <b/>
            <sz val="9"/>
            <color indexed="81"/>
            <rFont val="Tahoma"/>
            <family val="2"/>
          </rPr>
          <t>Petersen, Martin:</t>
        </r>
        <r>
          <rPr>
            <sz val="9"/>
            <color indexed="81"/>
            <rFont val="Tahoma"/>
            <family val="2"/>
          </rPr>
          <t xml:space="preserve">
Sålt till Veolia som inte är medlem</t>
        </r>
      </text>
    </comment>
    <comment ref="M351" authorId="1" shapeId="0" xr:uid="{00000000-0006-0000-0000-00001E000000}">
      <text>
        <r>
          <rPr>
            <sz val="11"/>
            <rFont val="Calibri"/>
            <family val="2"/>
          </rPr>
          <t>Varav 8,816 GWh är ånga.</t>
        </r>
      </text>
    </comment>
    <comment ref="D384" authorId="1" shapeId="0" xr:uid="{00000000-0006-0000-0000-00001F000000}">
      <text>
        <r>
          <rPr>
            <sz val="11"/>
            <rFont val="Calibri"/>
            <family val="2"/>
          </rPr>
          <t>Källa: eView/Fjärrvärme/Detaljer/2019</t>
        </r>
      </text>
    </comment>
    <comment ref="E384" authorId="1" shapeId="0" xr:uid="{00000000-0006-0000-0000-000020000000}">
      <text>
        <r>
          <rPr>
            <sz val="11"/>
            <rFont val="Calibri"/>
            <family val="2"/>
          </rPr>
          <t>Källa: eView/Fjärrvärme/Detaljer/2019/SCB-kategorier.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Petersen, Martin</author>
  </authors>
  <commentList>
    <comment ref="C78" authorId="0" shapeId="0" xr:uid="{D4E33C40-B66E-4735-9D48-9536BDF93325}">
      <text>
        <r>
          <rPr>
            <b/>
            <sz val="9"/>
            <color indexed="81"/>
            <rFont val="Tahoma"/>
            <family val="2"/>
          </rPr>
          <t>Petersen, Martin:</t>
        </r>
        <r>
          <rPr>
            <sz val="9"/>
            <color indexed="81"/>
            <rFont val="Tahoma"/>
            <family val="2"/>
          </rPr>
          <t xml:space="preserve">
Justerat manuellt och i kvalitetsnyckel efter samtla med Agneta Bäckman // MaPe2020-05-25</t>
        </r>
      </text>
    </comment>
    <comment ref="AG78" authorId="0" shapeId="0" xr:uid="{BD441746-F541-4121-AFBB-E445E08BC0DF}">
      <text>
        <r>
          <rPr>
            <b/>
            <sz val="9"/>
            <color indexed="81"/>
            <rFont val="Tahoma"/>
            <family val="2"/>
          </rPr>
          <t>Petersen, Martin:</t>
        </r>
        <r>
          <rPr>
            <sz val="9"/>
            <color indexed="81"/>
            <rFont val="Tahoma"/>
            <family val="2"/>
          </rPr>
          <t xml:space="preserve">
usterat manuellt och i kvalitetsnyckel efter samtla med Agneta Bäckman // MaPe2020-05-25</t>
        </r>
      </text>
    </comment>
  </commentList>
</comments>
</file>

<file path=xl/sharedStrings.xml><?xml version="1.0" encoding="utf-8"?>
<sst xmlns="http://schemas.openxmlformats.org/spreadsheetml/2006/main" count="62921" uniqueCount="1575">
  <si>
    <t>Dubletter</t>
  </si>
  <si>
    <t>Företag</t>
  </si>
  <si>
    <t>Nät</t>
  </si>
  <si>
    <t>Nytt namn i samtliga flikar:</t>
  </si>
  <si>
    <t>Pemco Energi</t>
  </si>
  <si>
    <t>Älvdalen</t>
  </si>
  <si>
    <t>Älvdalen (Pemco Energi)</t>
  </si>
  <si>
    <t>Veolia</t>
  </si>
  <si>
    <t>Knivsta</t>
  </si>
  <si>
    <t>Knivsta (Veolia)</t>
  </si>
  <si>
    <t xml:space="preserve">Vattenfall AB </t>
  </si>
  <si>
    <t>Knivsta (Vattenfall AB )</t>
  </si>
  <si>
    <t>Övertorneå Värmeverk AB</t>
  </si>
  <si>
    <t>Övertorneå</t>
  </si>
  <si>
    <t>Övertorneå (Övertorneå Värmeverk AB)</t>
  </si>
  <si>
    <t>Adven Energilösningar AB</t>
  </si>
  <si>
    <t>Bara</t>
  </si>
  <si>
    <t>Bara (Adven Energilösningar)</t>
  </si>
  <si>
    <t>Boxholm</t>
  </si>
  <si>
    <t>Boxholm  (Adven Energilösningar)</t>
  </si>
  <si>
    <t>Mora</t>
  </si>
  <si>
    <t>Mora (Adven Energilösningar)</t>
  </si>
  <si>
    <t>Orsa</t>
  </si>
  <si>
    <t>Orsa (Adven Energilösningar)</t>
  </si>
  <si>
    <t>Sollefteå</t>
  </si>
  <si>
    <t>Sollefteå (Adven Energilösningar)</t>
  </si>
  <si>
    <t>Staffanstorp</t>
  </si>
  <si>
    <t>Staffanstorp (Adven Energilösningar)</t>
  </si>
  <si>
    <t>Timrå</t>
  </si>
  <si>
    <t>Timrå (Adven Energilösningar)</t>
  </si>
  <si>
    <t>Vaxholm</t>
  </si>
  <si>
    <t>Vaxholm (Adven Energilösningar)</t>
  </si>
  <si>
    <t>Älmhult</t>
  </si>
  <si>
    <t>Älmhult (Adven Energilösningar)</t>
  </si>
  <si>
    <t>Peab Energi AB</t>
  </si>
  <si>
    <t xml:space="preserve"> </t>
  </si>
  <si>
    <t>Peab Energi AB nät x</t>
  </si>
  <si>
    <t xml:space="preserve">Rindi Energi AB Filipstad </t>
  </si>
  <si>
    <t>Rindi Energi AB Filipstad  nät x</t>
  </si>
  <si>
    <t>Täby Miljövärme AB</t>
  </si>
  <si>
    <t>Täby Miljövärme AB nät x</t>
  </si>
  <si>
    <t>Köpings kommun</t>
  </si>
  <si>
    <t>Köpings kommun nät x</t>
  </si>
  <si>
    <t>Elektra Värme AB</t>
  </si>
  <si>
    <t>Elektra Värme nät x</t>
  </si>
  <si>
    <t>Söderenergi AB</t>
  </si>
  <si>
    <t>Söderenergi nät x</t>
  </si>
  <si>
    <t>Täby Miljövärme nät x</t>
  </si>
  <si>
    <t>Värmevärden AB</t>
  </si>
  <si>
    <t>-</t>
  </si>
  <si>
    <t>Värmevärden-x</t>
  </si>
  <si>
    <t>Värmevärden-xy</t>
  </si>
  <si>
    <t>Nytt namn på nät i miljövärdesfliken</t>
  </si>
  <si>
    <t>Arvidsjaurs Energi AB</t>
  </si>
  <si>
    <t>Arvidsjaur</t>
  </si>
  <si>
    <t>Arvidsjaur-x</t>
  </si>
  <si>
    <t>Arvidsjaurs Energi AB (ej medlem)</t>
  </si>
  <si>
    <t>Arvidsjaur-xy</t>
  </si>
  <si>
    <t>Bostadsstiftelsen Hyltebostäder</t>
  </si>
  <si>
    <t>Hylte</t>
  </si>
  <si>
    <t>Hylte (Bostadsstiftelsen Hyltebostäder)</t>
  </si>
  <si>
    <t>Bodens Energi AB (Ej medlem)</t>
  </si>
  <si>
    <t>Boden</t>
  </si>
  <si>
    <t>Boden-x</t>
  </si>
  <si>
    <t>BTEA Energi (Ej Medlem)</t>
  </si>
  <si>
    <t>Berg</t>
  </si>
  <si>
    <t>Berg-x</t>
  </si>
  <si>
    <t>Fjärrvärme i Osby AB</t>
  </si>
  <si>
    <t>Osby</t>
  </si>
  <si>
    <t>Osby-x</t>
  </si>
  <si>
    <t xml:space="preserve">Forshaga Energi (Ej medlem) </t>
  </si>
  <si>
    <t>Forshaga</t>
  </si>
  <si>
    <t>Forshaga-x</t>
  </si>
  <si>
    <t>Herrljunga Energi AB (Ej Medlem)</t>
  </si>
  <si>
    <t>Herrljunga</t>
  </si>
  <si>
    <t>Herrljunga-x</t>
  </si>
  <si>
    <t>Jämtlandsvärme (Ej medlem)</t>
  </si>
  <si>
    <t>Strömsund</t>
  </si>
  <si>
    <t>Strömsund-x</t>
  </si>
  <si>
    <t xml:space="preserve">Karlsborg Energi (Ej Medlem) </t>
  </si>
  <si>
    <t>Karlsborg</t>
  </si>
  <si>
    <t>Karlsborg-x</t>
  </si>
  <si>
    <t xml:space="preserve">Karlskoga Energi (Ej Medlem) </t>
  </si>
  <si>
    <t>Karlskoga</t>
  </si>
  <si>
    <t>Karlskoga-x</t>
  </si>
  <si>
    <t>Karlsskoga Energi (Ej medlem)</t>
  </si>
  <si>
    <t>Karlsskoga</t>
  </si>
  <si>
    <t>Karlsskoga-x</t>
  </si>
  <si>
    <t>Lekeberg Bioenergi AB (Ej Medlem)</t>
  </si>
  <si>
    <t>Lekeberg</t>
  </si>
  <si>
    <t>Lekeberg-x</t>
  </si>
  <si>
    <t>Lessebo Fjärrvärme AB</t>
  </si>
  <si>
    <t>Lessebo</t>
  </si>
  <si>
    <t>Lessebo-x</t>
  </si>
  <si>
    <t>Neova (Ej medlem)</t>
  </si>
  <si>
    <t xml:space="preserve">Bjuv </t>
  </si>
  <si>
    <t>Bjuv -x</t>
  </si>
  <si>
    <t>Hultsfred</t>
  </si>
  <si>
    <t>Hultsfred-x</t>
  </si>
  <si>
    <t>Kramfors</t>
  </si>
  <si>
    <t>Kramfors-x</t>
  </si>
  <si>
    <t>Tanum</t>
  </si>
  <si>
    <t>Tanum-x</t>
  </si>
  <si>
    <t>Tibro</t>
  </si>
  <si>
    <t>Tibro-x</t>
  </si>
  <si>
    <t>Valdemarsvik</t>
  </si>
  <si>
    <t>Valdemarsvik-x</t>
  </si>
  <si>
    <t>Årjäng</t>
  </si>
  <si>
    <t>Årjäng-x</t>
  </si>
  <si>
    <t>Östhammar</t>
  </si>
  <si>
    <t>Östhammar-x</t>
  </si>
  <si>
    <t>Norrenergi AB</t>
  </si>
  <si>
    <t>Stockholm</t>
  </si>
  <si>
    <t>Pajala Värmeverk AB (Ej Medlem)</t>
  </si>
  <si>
    <t>Pajala</t>
  </si>
  <si>
    <t>Pajala-x</t>
  </si>
  <si>
    <t>Älvdalen-x</t>
  </si>
  <si>
    <t>POB Energi i Aneby AB</t>
  </si>
  <si>
    <t>Aneby</t>
  </si>
  <si>
    <t>Aneby-x</t>
  </si>
  <si>
    <t>Surahammars Kommunal Teknik AB</t>
  </si>
  <si>
    <t>Surahammar</t>
  </si>
  <si>
    <t>Surahammar-x</t>
  </si>
  <si>
    <t>Svalövs kommun (Ej medlem)</t>
  </si>
  <si>
    <t>Svalöv</t>
  </si>
  <si>
    <t>Svalöv-x</t>
  </si>
  <si>
    <t>Sölvesborgs Fjärrvärme AB (Ej medlem)</t>
  </si>
  <si>
    <t>Sölvesborg</t>
  </si>
  <si>
    <t>Sölvesborg-x</t>
  </si>
  <si>
    <t>Torsås Fjärrvärmenät (Ej medlem)</t>
  </si>
  <si>
    <t>Torsås</t>
  </si>
  <si>
    <t>Torsås-x</t>
  </si>
  <si>
    <t>Malma Kraft &amp; Värme AB</t>
  </si>
  <si>
    <t>Malmköping</t>
  </si>
  <si>
    <t>Malmköping-x</t>
  </si>
  <si>
    <t>Åsele Energi AB (Ej Medlem)</t>
  </si>
  <si>
    <t>Åsele</t>
  </si>
  <si>
    <t>Åsele-x</t>
  </si>
  <si>
    <t>Älvsbyns Energi AB</t>
  </si>
  <si>
    <t>Älvsbyn</t>
  </si>
  <si>
    <t>Älvsbyn-x</t>
  </si>
  <si>
    <t>Överkalix kommun (Ej medlem)</t>
  </si>
  <si>
    <t>Överkalix</t>
  </si>
  <si>
    <t>Överkalix-x</t>
  </si>
  <si>
    <t>Övertorneå Energi som tas bort</t>
  </si>
  <si>
    <t>Övertorneå-x</t>
  </si>
  <si>
    <t>ET</t>
  </si>
  <si>
    <t>Nej</t>
  </si>
  <si>
    <t>Örnsköldsvik</t>
  </si>
  <si>
    <t>Övik Energi AB</t>
  </si>
  <si>
    <t>Processånga</t>
  </si>
  <si>
    <t>Moliden</t>
  </si>
  <si>
    <t>Husum</t>
  </si>
  <si>
    <t>Bredbyn</t>
  </si>
  <si>
    <t>Bjästa</t>
  </si>
  <si>
    <t>Ingen redovisning</t>
  </si>
  <si>
    <t>Simrishamn</t>
  </si>
  <si>
    <t>Österlens Kraft AB</t>
  </si>
  <si>
    <t>Örkelljunga</t>
  </si>
  <si>
    <t>Örkelljunga Fjärrvärmeverk AB</t>
  </si>
  <si>
    <t>Schablon</t>
  </si>
  <si>
    <t>Ängelholm</t>
  </si>
  <si>
    <t>Öresundskraft AB</t>
  </si>
  <si>
    <t>Vejbystrand</t>
  </si>
  <si>
    <t>Hjärnarp</t>
  </si>
  <si>
    <t>Renat avloppsvatten</t>
  </si>
  <si>
    <t>Helsingborg</t>
  </si>
  <si>
    <t>Åsele Energiverk AB</t>
  </si>
  <si>
    <t>Ånge</t>
  </si>
  <si>
    <t>Ånge Energi AB</t>
  </si>
  <si>
    <t>Fränsta</t>
  </si>
  <si>
    <t>Ystad</t>
  </si>
  <si>
    <t>Ystad Energi AB</t>
  </si>
  <si>
    <t>'Konventerat till fossilfri olja'</t>
  </si>
  <si>
    <t>Växjö fjärrvärme</t>
  </si>
  <si>
    <t>Växjö Energi AB</t>
  </si>
  <si>
    <t>'-'</t>
  </si>
  <si>
    <t>Växjö fjärrkyla</t>
  </si>
  <si>
    <t>Rottne</t>
  </si>
  <si>
    <t>Ingelstad</t>
  </si>
  <si>
    <t>Braås</t>
  </si>
  <si>
    <t>Köping - Priser</t>
  </si>
  <si>
    <t>Västra Mälardalens Energi och Miljö AB</t>
  </si>
  <si>
    <t>Kolsva (Tas bort)</t>
  </si>
  <si>
    <t>Arboga - Priser</t>
  </si>
  <si>
    <t>Arboga - Köping</t>
  </si>
  <si>
    <t>Västervik</t>
  </si>
  <si>
    <t>Västervik Miljö &amp; Energi AB</t>
  </si>
  <si>
    <t>Gamleby</t>
  </si>
  <si>
    <t>Ankarsrum</t>
  </si>
  <si>
    <t>Norberg</t>
  </si>
  <si>
    <t>Västerbergslagens Energi AB</t>
  </si>
  <si>
    <t>Ludvika</t>
  </si>
  <si>
    <t>Grängesberg</t>
  </si>
  <si>
    <t>Lågtempererad spillvärme</t>
  </si>
  <si>
    <t>Fagersta</t>
  </si>
  <si>
    <t>Värnamo</t>
  </si>
  <si>
    <t>Värnamo Energi AB</t>
  </si>
  <si>
    <t>Rydaholm</t>
  </si>
  <si>
    <t>Lanna</t>
  </si>
  <si>
    <t>Grundvatten</t>
  </si>
  <si>
    <t>Forsheda</t>
  </si>
  <si>
    <t>Bredaryd</t>
  </si>
  <si>
    <t>Bor</t>
  </si>
  <si>
    <t>Övrigt (närvärme, närkyla m m)</t>
  </si>
  <si>
    <t>Torsby</t>
  </si>
  <si>
    <t>Sörforsa</t>
  </si>
  <si>
    <t xml:space="preserve">Säffle </t>
  </si>
  <si>
    <t>Stöllet</t>
  </si>
  <si>
    <t>Nynäshamn</t>
  </si>
  <si>
    <t>Kristinehamn(Värmevärden)</t>
  </si>
  <si>
    <t>Kopparberg</t>
  </si>
  <si>
    <t>Iggesund</t>
  </si>
  <si>
    <t>Hällefors</t>
  </si>
  <si>
    <t>Hudiksvall</t>
  </si>
  <si>
    <t>Hofors(Värmevärden)</t>
  </si>
  <si>
    <t>Grythyttan</t>
  </si>
  <si>
    <t>Grums</t>
  </si>
  <si>
    <t>Delsbo</t>
  </si>
  <si>
    <t>Avesta</t>
  </si>
  <si>
    <t>Töreboda</t>
  </si>
  <si>
    <t>VänerEnergi AB</t>
  </si>
  <si>
    <t>Mariestad</t>
  </si>
  <si>
    <t>Lyrestad</t>
  </si>
  <si>
    <t>Vimmerby</t>
  </si>
  <si>
    <t>Vimmerby Energi &amp; Miljö AB</t>
  </si>
  <si>
    <t>Södra Vi</t>
  </si>
  <si>
    <t>Storebro</t>
  </si>
  <si>
    <t>Gullringen</t>
  </si>
  <si>
    <t>Frödinge</t>
  </si>
  <si>
    <t>Ekerö</t>
  </si>
  <si>
    <t>Vänersborg</t>
  </si>
  <si>
    <t>Vattenfall AB</t>
  </si>
  <si>
    <t>Mätvärde</t>
  </si>
  <si>
    <t>Uppsala</t>
  </si>
  <si>
    <t>Storvreta</t>
  </si>
  <si>
    <t>Saltsjöbaden</t>
  </si>
  <si>
    <t>Nyköping</t>
  </si>
  <si>
    <t>Motala</t>
  </si>
  <si>
    <t>Knivsta (Vattenfall AB)</t>
  </si>
  <si>
    <t>Gustavsberg</t>
  </si>
  <si>
    <t>Drefviken</t>
  </si>
  <si>
    <t>Askersund</t>
  </si>
  <si>
    <t>Vasa Värme Holding AB</t>
  </si>
  <si>
    <t>Krokek</t>
  </si>
  <si>
    <t>Kalix</t>
  </si>
  <si>
    <t>Edsbyn</t>
  </si>
  <si>
    <t>Alfta</t>
  </si>
  <si>
    <t>Veddige</t>
  </si>
  <si>
    <t>Varberg Energi AB</t>
  </si>
  <si>
    <t>Varberg (Fjv)</t>
  </si>
  <si>
    <t>Tvååker (Närv)</t>
  </si>
  <si>
    <t>Vara</t>
  </si>
  <si>
    <t>Vara Energi Värme AB</t>
  </si>
  <si>
    <t>Vaggeryd</t>
  </si>
  <si>
    <t>Vaggeryds Energi AB</t>
  </si>
  <si>
    <t>Skillingaryd</t>
  </si>
  <si>
    <t>Umeå</t>
  </si>
  <si>
    <t>Umeå Energi AB</t>
  </si>
  <si>
    <t>Sävar</t>
  </si>
  <si>
    <t>Hörnefors</t>
  </si>
  <si>
    <t>Bjurholm</t>
  </si>
  <si>
    <t>Ulricehamn</t>
  </si>
  <si>
    <t>Ulricehamns Energi AB</t>
  </si>
  <si>
    <t>Timmele</t>
  </si>
  <si>
    <t>Gällstad</t>
  </si>
  <si>
    <t>Uddevalla</t>
  </si>
  <si>
    <t>Uddevalla Energi AB</t>
  </si>
  <si>
    <t>Munkedal</t>
  </si>
  <si>
    <t>Ljungskile</t>
  </si>
  <si>
    <t>Trollhättan</t>
  </si>
  <si>
    <t>Trollhättan Energi AB</t>
  </si>
  <si>
    <t>Trelleborg</t>
  </si>
  <si>
    <t>Trelleborgs Fjärrvärme AB</t>
  </si>
  <si>
    <t>'Endast E01'</t>
  </si>
  <si>
    <t>Tranås</t>
  </si>
  <si>
    <t>Tranås Energi AB</t>
  </si>
  <si>
    <t>Torsås fjärrvärmenät AB</t>
  </si>
  <si>
    <t>Torsby kommun</t>
  </si>
  <si>
    <t>Örbyhus</t>
  </si>
  <si>
    <t>Tierps Fjärrvärme AB</t>
  </si>
  <si>
    <t>Tierp</t>
  </si>
  <si>
    <t>Karlholmsbruk</t>
  </si>
  <si>
    <t>Tidaholm</t>
  </si>
  <si>
    <t>Tidaholms Energi AB</t>
  </si>
  <si>
    <t>Södertälje</t>
  </si>
  <si>
    <t>Telge Nät AB</t>
  </si>
  <si>
    <t>Järna</t>
  </si>
  <si>
    <t>Åtvidaberg</t>
  </si>
  <si>
    <t>Tekniska Verken i Linköping AB</t>
  </si>
  <si>
    <t>Skärblacka</t>
  </si>
  <si>
    <t>Linköping</t>
  </si>
  <si>
    <t>Kisa</t>
  </si>
  <si>
    <t>Katrineholm</t>
  </si>
  <si>
    <t>Borensberg</t>
  </si>
  <si>
    <t xml:space="preserve">Sölvesborgs Energi och Vatten AB  </t>
  </si>
  <si>
    <t>Södertörn Fjärrvärme Totalt</t>
  </si>
  <si>
    <t>Södertörns Fjärrvärme AB</t>
  </si>
  <si>
    <t>Söderhamn</t>
  </si>
  <si>
    <t>Söderhamn Nära AB</t>
  </si>
  <si>
    <t>Sandarne</t>
  </si>
  <si>
    <t>Mohed- bör osynliggöras</t>
  </si>
  <si>
    <t>Ljusne</t>
  </si>
  <si>
    <t>Söderenergi AB (endast information)</t>
  </si>
  <si>
    <t>Övriga nät Sundsvall energi</t>
  </si>
  <si>
    <t>Sundsvall Energi AB</t>
  </si>
  <si>
    <t>Tunadal</t>
  </si>
  <si>
    <t>Sundsvall Klimatneutralt (Preliminärt)</t>
  </si>
  <si>
    <t>Sundsvall</t>
  </si>
  <si>
    <t>Matfors</t>
  </si>
  <si>
    <t>Kvissleby</t>
  </si>
  <si>
    <t>Upplands Väsby (för prisrapport)</t>
  </si>
  <si>
    <t>Stockholm Exergi AB</t>
  </si>
  <si>
    <t>Täby</t>
  </si>
  <si>
    <t>Stockholm (för prissättning)</t>
  </si>
  <si>
    <t>Stockholm - Förskottsbetalning 60 (för prissättnin</t>
  </si>
  <si>
    <t>Stockholm - Förskottsbetalning 24 (för prissättnin</t>
  </si>
  <si>
    <t>Sigtuna (för prisrapport)</t>
  </si>
  <si>
    <t>Nacka (för prisrapport)</t>
  </si>
  <si>
    <t>Lidingö (för prisrapport)</t>
  </si>
  <si>
    <t>Stora Höga</t>
  </si>
  <si>
    <t>Stenungsunds Energi och Miljö AB</t>
  </si>
  <si>
    <t>Stenungsund</t>
  </si>
  <si>
    <t>Åmål</t>
  </si>
  <si>
    <t>Statkraft Värme AB</t>
  </si>
  <si>
    <t>Vagnhärad</t>
  </si>
  <si>
    <t>Trosa</t>
  </si>
  <si>
    <t>Kungsbacka</t>
  </si>
  <si>
    <t>Svenljunga</t>
  </si>
  <si>
    <t>Solör Bioenergi Svenljunga AB</t>
  </si>
  <si>
    <t>Sollentuna</t>
  </si>
  <si>
    <t>Sollentuna Energi &amp; Miljö AB</t>
  </si>
  <si>
    <t>Söderbärke</t>
  </si>
  <si>
    <t>Smedjebacken Energi AB</t>
  </si>
  <si>
    <t>Smedjebacken</t>
  </si>
  <si>
    <t>Timmersdala</t>
  </si>
  <si>
    <t>Skövde Energi AB</t>
  </si>
  <si>
    <t>Tidan</t>
  </si>
  <si>
    <t>Stöpen</t>
  </si>
  <si>
    <t>Skövde</t>
  </si>
  <si>
    <t>Skultorp</t>
  </si>
  <si>
    <t>Ånäset</t>
  </si>
  <si>
    <t>Skellefteå Kraft AB</t>
  </si>
  <si>
    <t>Vindeln</t>
  </si>
  <si>
    <t>Ursviken-Skelleftehamn</t>
  </si>
  <si>
    <t>Storuman</t>
  </si>
  <si>
    <t>Skellefteå</t>
  </si>
  <si>
    <t>Robertsfors</t>
  </si>
  <si>
    <t>Norsjö</t>
  </si>
  <si>
    <t>Malå</t>
  </si>
  <si>
    <t>Lövånger</t>
  </si>
  <si>
    <t>Lycksele</t>
  </si>
  <si>
    <t>Lidbacken</t>
  </si>
  <si>
    <t>Kåge</t>
  </si>
  <si>
    <t>Jörn</t>
  </si>
  <si>
    <t>Byske</t>
  </si>
  <si>
    <t>Burträsk</t>
  </si>
  <si>
    <t>Bureå</t>
  </si>
  <si>
    <t>Boliden</t>
  </si>
  <si>
    <t>Skara</t>
  </si>
  <si>
    <t>Skara Energi AB</t>
  </si>
  <si>
    <t>Strängnäs</t>
  </si>
  <si>
    <t>SEVAB Strängnäs Energi AB</t>
  </si>
  <si>
    <t>Sandviken</t>
  </si>
  <si>
    <t>Sandviken Energi AB</t>
  </si>
  <si>
    <t>'Verkningsgrad elpanna beräknad ca 95%'</t>
  </si>
  <si>
    <t>Sala-Heby</t>
  </si>
  <si>
    <t>Sala-Heby Energi AB</t>
  </si>
  <si>
    <t>Rättvik</t>
  </si>
  <si>
    <t>Rättvik Energi AB</t>
  </si>
  <si>
    <t>Ronneby-Kallinge</t>
  </si>
  <si>
    <t>Ronneby Miljö och Teknik AB</t>
  </si>
  <si>
    <t>Bräkne-Hoby</t>
  </si>
  <si>
    <t>Hammarstrand</t>
  </si>
  <si>
    <t>Ragunda Energi och Teknik AB</t>
  </si>
  <si>
    <t>Sjulnäs</t>
  </si>
  <si>
    <t>PiteEnergi AB</t>
  </si>
  <si>
    <t>Rosvik</t>
  </si>
  <si>
    <t>Piteå</t>
  </si>
  <si>
    <t>Norrfjärden</t>
  </si>
  <si>
    <t>Perstorp</t>
  </si>
  <si>
    <t>Perstorps Fjärrvärme AB</t>
  </si>
  <si>
    <t>Näsviken</t>
  </si>
  <si>
    <t>Bångbro</t>
  </si>
  <si>
    <t xml:space="preserve">Peab Energi AB / Åstorp bioenergi (Ej medlem) </t>
  </si>
  <si>
    <t>Partille</t>
  </si>
  <si>
    <t>Partille Energi AB</t>
  </si>
  <si>
    <t>Pajala Värmeverk AB</t>
  </si>
  <si>
    <t>Oxelösund</t>
  </si>
  <si>
    <t>Oxelö Energi AB</t>
  </si>
  <si>
    <t>Oskarshamn</t>
  </si>
  <si>
    <t>Oskarshamn Energi AB</t>
  </si>
  <si>
    <t>Henåns fjärrvärmenät</t>
  </si>
  <si>
    <t>Orust Kommun</t>
  </si>
  <si>
    <t>Ellös fjärrvärmenät</t>
  </si>
  <si>
    <t>Olofström</t>
  </si>
  <si>
    <t>Olofströms Kraft AB</t>
  </si>
  <si>
    <t>Nässjö</t>
  </si>
  <si>
    <t>Nässjö Affärsverk AB</t>
  </si>
  <si>
    <t>Bodafors</t>
  </si>
  <si>
    <t>Anneberg</t>
  </si>
  <si>
    <t>Nybro stadsnät</t>
  </si>
  <si>
    <t>Nybro Energi AB</t>
  </si>
  <si>
    <t>Essunga</t>
  </si>
  <si>
    <t>Nossebro Energi Värme AB</t>
  </si>
  <si>
    <t>Rimbo</t>
  </si>
  <si>
    <t>Norrtälje Energi AB</t>
  </si>
  <si>
    <t>Norrtälje</t>
  </si>
  <si>
    <t>Hallstavik</t>
  </si>
  <si>
    <t>Sundbyberg-Solna</t>
  </si>
  <si>
    <t>Nordanstig</t>
  </si>
  <si>
    <t>Nordanstigs Fjärrvärme AB</t>
  </si>
  <si>
    <t>Vetlanda</t>
  </si>
  <si>
    <t>Njudung Energi Vetlanda AB</t>
  </si>
  <si>
    <t>Holsby</t>
  </si>
  <si>
    <t>Sävsjö</t>
  </si>
  <si>
    <t>Njudung Energi Sävsjö AB</t>
  </si>
  <si>
    <t>Rörvik</t>
  </si>
  <si>
    <t>Nevel AB</t>
  </si>
  <si>
    <t>Österbybruk</t>
  </si>
  <si>
    <t>Åstorp</t>
  </si>
  <si>
    <t>Smålandsstenar</t>
  </si>
  <si>
    <t>Gnosjö</t>
  </si>
  <si>
    <t>Gimo</t>
  </si>
  <si>
    <t>Bjuv</t>
  </si>
  <si>
    <t>'Oljan stämmer'</t>
  </si>
  <si>
    <t>Billesholm</t>
  </si>
  <si>
    <t>Mölndal Bra Miljöval</t>
  </si>
  <si>
    <t>Mölndal Energi AB</t>
  </si>
  <si>
    <t>Mölndal Biovärmepaket</t>
  </si>
  <si>
    <t>Mölndal</t>
  </si>
  <si>
    <t>Västerås Miljömärkt</t>
  </si>
  <si>
    <t>Mälarenergi AB</t>
  </si>
  <si>
    <t>Ja</t>
  </si>
  <si>
    <t>Västerås</t>
  </si>
  <si>
    <t>Surahammar_Prisområde</t>
  </si>
  <si>
    <t>Kungsör</t>
  </si>
  <si>
    <t>Munkfors</t>
  </si>
  <si>
    <t>Munkfors Energi AB</t>
  </si>
  <si>
    <t>Mullsjö</t>
  </si>
  <si>
    <t>Mullsjö Energi &amp; Miljö AB</t>
  </si>
  <si>
    <t>Mjölby</t>
  </si>
  <si>
    <t>Mjölby-Svartådalen Energi AB</t>
  </si>
  <si>
    <t>Hyssna</t>
  </si>
  <si>
    <t>Mark Kraftvärme AB</t>
  </si>
  <si>
    <t>Assberg - Fritslanäten</t>
  </si>
  <si>
    <t>Malung</t>
  </si>
  <si>
    <t>Malung-Sälens kommun</t>
  </si>
  <si>
    <t>Råneå</t>
  </si>
  <si>
    <t>Luleå Energi AB</t>
  </si>
  <si>
    <t>Luleå Klimatneutral</t>
  </si>
  <si>
    <t>Luleå</t>
  </si>
  <si>
    <t>Ljusdal</t>
  </si>
  <si>
    <t>Ljusdal Energi AB</t>
  </si>
  <si>
    <t>Järvsö</t>
  </si>
  <si>
    <t>Färila</t>
  </si>
  <si>
    <t>Ljungby</t>
  </si>
  <si>
    <t>Ljungby Energi AB</t>
  </si>
  <si>
    <t>Vedevåg</t>
  </si>
  <si>
    <t>Linde Energi AB</t>
  </si>
  <si>
    <t>Spillvattennät</t>
  </si>
  <si>
    <t>Lindesberg</t>
  </si>
  <si>
    <t>Guldsmedhyttan</t>
  </si>
  <si>
    <t>Frövi</t>
  </si>
  <si>
    <t>Lilla Edet</t>
  </si>
  <si>
    <t>Lilla Edets Fjärrvärme AB</t>
  </si>
  <si>
    <t>Lidköping</t>
  </si>
  <si>
    <t>Lidköping Energi AB</t>
  </si>
  <si>
    <t>Klimateffektiv fjärrvärme</t>
  </si>
  <si>
    <t>Lysekil</t>
  </si>
  <si>
    <t>LEVA i Lysekil AB</t>
  </si>
  <si>
    <t>Stenkullen</t>
  </si>
  <si>
    <t>Lerum Fjärrvärme AB</t>
  </si>
  <si>
    <t>Lerum</t>
  </si>
  <si>
    <t>Gråbo</t>
  </si>
  <si>
    <t>Floda</t>
  </si>
  <si>
    <t>Lekeberg Bioenergi AB</t>
  </si>
  <si>
    <t>Laxå</t>
  </si>
  <si>
    <t>Laxå Värme AB</t>
  </si>
  <si>
    <t>Örsundsbro</t>
  </si>
  <si>
    <t>Lantmännen Agrovärme AB</t>
  </si>
  <si>
    <t>Ödeshög</t>
  </si>
  <si>
    <t>Vinslöv</t>
  </si>
  <si>
    <t>Skurup</t>
  </si>
  <si>
    <t>Kvänum</t>
  </si>
  <si>
    <t>Horred</t>
  </si>
  <si>
    <t>Grästorp</t>
  </si>
  <si>
    <t>Ed</t>
  </si>
  <si>
    <t>Bjärnum</t>
  </si>
  <si>
    <t>Landskrona</t>
  </si>
  <si>
    <t>Landskrona Energi AB</t>
  </si>
  <si>
    <t>'tillfört 1.447 GWh från solvärme'</t>
  </si>
  <si>
    <t>Kungälv</t>
  </si>
  <si>
    <t>Kungälv Energi AB</t>
  </si>
  <si>
    <t>HVC Stålkullen</t>
  </si>
  <si>
    <t>HVC Kärna</t>
  </si>
  <si>
    <t>HVC Kode</t>
  </si>
  <si>
    <t>Klippan-Ljungbyhed-Östra Ljungby</t>
  </si>
  <si>
    <t>Kraftringen Energi AB (publ)</t>
  </si>
  <si>
    <t>Geotermi</t>
  </si>
  <si>
    <t>Eslöv-Lund-Lomma m fl</t>
  </si>
  <si>
    <t>Vittangi</t>
  </si>
  <si>
    <t>Kiruna Kraft AB</t>
  </si>
  <si>
    <t>Kiruna C</t>
  </si>
  <si>
    <t>Kil</t>
  </si>
  <si>
    <t>Kils Energi AB</t>
  </si>
  <si>
    <t>Karlstad</t>
  </si>
  <si>
    <t>Karlstads Energi AB</t>
  </si>
  <si>
    <t>Karlskoga Kraftvärmeverk AB</t>
  </si>
  <si>
    <t>Karlshamn</t>
  </si>
  <si>
    <t>Karlshamn Energi AB</t>
  </si>
  <si>
    <t>Karlsborgs Värme AB</t>
  </si>
  <si>
    <t>Kalmar</t>
  </si>
  <si>
    <t>Kalmar Energi Värme AB</t>
  </si>
  <si>
    <t>Stigamo</t>
  </si>
  <si>
    <t>Jönköping Energi AB</t>
  </si>
  <si>
    <t>Jönköping</t>
  </si>
  <si>
    <t>Gränna</t>
  </si>
  <si>
    <t>Jämtlands Värme AB</t>
  </si>
  <si>
    <t>Östersund Produktspecifik</t>
  </si>
  <si>
    <t>Jämtkraft AB</t>
  </si>
  <si>
    <t>Östersund</t>
  </si>
  <si>
    <t>Åre</t>
  </si>
  <si>
    <t>Krokom</t>
  </si>
  <si>
    <t>Brunflo Prisområde</t>
  </si>
  <si>
    <t>Jokkmokk</t>
  </si>
  <si>
    <t>Jokkmokks Värmeverk AB</t>
  </si>
  <si>
    <t>Höganäs</t>
  </si>
  <si>
    <t>Höganäs Energi AB</t>
  </si>
  <si>
    <t>Tyringe</t>
  </si>
  <si>
    <t>Hässleholm Miljö AB</t>
  </si>
  <si>
    <t>Hässleholm</t>
  </si>
  <si>
    <t>Härnösand</t>
  </si>
  <si>
    <t>Härnösand Energi &amp; Miljö AB</t>
  </si>
  <si>
    <t>Hjo</t>
  </si>
  <si>
    <t>Hjo Energi AB</t>
  </si>
  <si>
    <t>Herrljunga Elektriska AB</t>
  </si>
  <si>
    <t>Säter</t>
  </si>
  <si>
    <t>Hedemora Energi AB</t>
  </si>
  <si>
    <t>St Skedvi</t>
  </si>
  <si>
    <t>Långshyttan</t>
  </si>
  <si>
    <t>Hedemora</t>
  </si>
  <si>
    <t>Haparanda Residual</t>
  </si>
  <si>
    <t>Haparanda Värmeverk AB</t>
  </si>
  <si>
    <t>Haparanda Miljö</t>
  </si>
  <si>
    <t>Skoghall</t>
  </si>
  <si>
    <t>Hammarö Energi AB</t>
  </si>
  <si>
    <t>Halmstad</t>
  </si>
  <si>
    <t>Halmstads Energi och Miljö AB</t>
  </si>
  <si>
    <t>Sunnemo</t>
  </si>
  <si>
    <t>Hagfors Energi</t>
  </si>
  <si>
    <t>Hagfors</t>
  </si>
  <si>
    <t>Ekshärad</t>
  </si>
  <si>
    <t>Habo</t>
  </si>
  <si>
    <t>Habo Energi AB</t>
  </si>
  <si>
    <t>Hällekis</t>
  </si>
  <si>
    <t>Götene Vatten &amp; Värme AB</t>
  </si>
  <si>
    <t>'Vi producerar ånga till industrin också'</t>
  </si>
  <si>
    <t>Götene</t>
  </si>
  <si>
    <t>Sörred Energi AB</t>
  </si>
  <si>
    <t>Göteborg Energi AB</t>
  </si>
  <si>
    <t>Skarvik</t>
  </si>
  <si>
    <t>Göteborg Ale Bra Miljöval</t>
  </si>
  <si>
    <t>Göteborg Ale</t>
  </si>
  <si>
    <t>Ale Fjärrvärme AB</t>
  </si>
  <si>
    <t>Gävle</t>
  </si>
  <si>
    <t>Gävle Energi AB</t>
  </si>
  <si>
    <t>Gällivare-Malmberget</t>
  </si>
  <si>
    <t>Gällivare Energi AB</t>
  </si>
  <si>
    <t>Sjövatten</t>
  </si>
  <si>
    <t>Visby</t>
  </si>
  <si>
    <t>Gotlands Energi AB</t>
  </si>
  <si>
    <t>Slite</t>
  </si>
  <si>
    <t>Klintehamn</t>
  </si>
  <si>
    <t>Hemse</t>
  </si>
  <si>
    <t>Reftele</t>
  </si>
  <si>
    <t>Gislaved Energi AB</t>
  </si>
  <si>
    <t>Hestra</t>
  </si>
  <si>
    <t>Gislaved</t>
  </si>
  <si>
    <t>Finspång</t>
  </si>
  <si>
    <t>Finspångs Tekniska Verk AB</t>
  </si>
  <si>
    <t>Svärdsjö</t>
  </si>
  <si>
    <t>Falu Energi &amp; Vatten AB</t>
  </si>
  <si>
    <t>Grycksbo</t>
  </si>
  <si>
    <t>'Gasol (Propan 95)'</t>
  </si>
  <si>
    <t>Falun</t>
  </si>
  <si>
    <t>Bjursås</t>
  </si>
  <si>
    <t>'---'</t>
  </si>
  <si>
    <t>Vessigebro-närvärme</t>
  </si>
  <si>
    <t>Falkenberg Energi AB</t>
  </si>
  <si>
    <t>Ullared-närvärme</t>
  </si>
  <si>
    <t>Falkenberg</t>
  </si>
  <si>
    <t>Stenstorp</t>
  </si>
  <si>
    <t>Falbygdens Energi AB</t>
  </si>
  <si>
    <t>Floby</t>
  </si>
  <si>
    <t>Falköping</t>
  </si>
  <si>
    <t>Ärla</t>
  </si>
  <si>
    <t>Eskilstuna Energi &amp; Miljö AB</t>
  </si>
  <si>
    <t>Kvicksund</t>
  </si>
  <si>
    <t>Eskilstuna-Torshälla</t>
  </si>
  <si>
    <t>Enköping</t>
  </si>
  <si>
    <t>Ena Energi AB</t>
  </si>
  <si>
    <t>Emmaboda</t>
  </si>
  <si>
    <t>Emmaboda Energi och Miljö AB</t>
  </si>
  <si>
    <t>Mariannelund</t>
  </si>
  <si>
    <t>Eksjö Energi AB</t>
  </si>
  <si>
    <t>Ingatorp</t>
  </si>
  <si>
    <t>Eksjö</t>
  </si>
  <si>
    <t>Eda Energi AB</t>
  </si>
  <si>
    <t>Österåker</t>
  </si>
  <si>
    <t>E.ON Värme Sverige AB</t>
  </si>
  <si>
    <t>Vallentuna</t>
  </si>
  <si>
    <t>Täby E.ON.</t>
  </si>
  <si>
    <t>Norrköping - Söderköping</t>
  </si>
  <si>
    <t>Malmö</t>
  </si>
  <si>
    <t>Kungsängen_bör osynliggöras</t>
  </si>
  <si>
    <t>Järfälla</t>
  </si>
  <si>
    <t>' -'</t>
  </si>
  <si>
    <t>HÖK</t>
  </si>
  <si>
    <t>Coop_bör osynliggöras</t>
  </si>
  <si>
    <t>Bålsta</t>
  </si>
  <si>
    <t>Bro</t>
  </si>
  <si>
    <t>Åtorp</t>
  </si>
  <si>
    <t>Degerfors Energi AB</t>
  </si>
  <si>
    <t>Svartå</t>
  </si>
  <si>
    <t>Kvarnberg (sammanslaget med HVC Degerfors 2018)</t>
  </si>
  <si>
    <t>HVC Degerfors</t>
  </si>
  <si>
    <t>Leksand</t>
  </si>
  <si>
    <t>Dala Energi Värme AB</t>
  </si>
  <si>
    <t>Insjön</t>
  </si>
  <si>
    <t>Kristianstad</t>
  </si>
  <si>
    <t>C4 Energi AB</t>
  </si>
  <si>
    <t>Fjälkinge</t>
  </si>
  <si>
    <t>BTEA Energi AB</t>
  </si>
  <si>
    <t>Bromölla</t>
  </si>
  <si>
    <t>Bromölla Fjärrvärme AB</t>
  </si>
  <si>
    <t>Fristad</t>
  </si>
  <si>
    <t>Borås Energi &amp; Miljö AB</t>
  </si>
  <si>
    <t>Borås</t>
  </si>
  <si>
    <t>Torsång</t>
  </si>
  <si>
    <t>Borlänge Energi AB</t>
  </si>
  <si>
    <t>Ornäs</t>
  </si>
  <si>
    <t>Borlänge</t>
  </si>
  <si>
    <t>Löttorp</t>
  </si>
  <si>
    <t>Borgholm Energi AB</t>
  </si>
  <si>
    <t>Borgholm</t>
  </si>
  <si>
    <t>Kilafors</t>
  </si>
  <si>
    <t>Bollnäs Energi AB</t>
  </si>
  <si>
    <t>'Periodvis kyls värme bort till gagn för elprod.'</t>
  </si>
  <si>
    <t>Bollnäs</t>
  </si>
  <si>
    <t>Arbrå</t>
  </si>
  <si>
    <t>Bodens Energi AB</t>
  </si>
  <si>
    <t>Bengtsfors</t>
  </si>
  <si>
    <t>Bengtsfors Energi</t>
  </si>
  <si>
    <t>Arvika</t>
  </si>
  <si>
    <t>Arvika Fjärrvärme AB</t>
  </si>
  <si>
    <t xml:space="preserve">Aneby </t>
  </si>
  <si>
    <t>Aneby Miljö &amp; Vatten AB</t>
  </si>
  <si>
    <t>'0'</t>
  </si>
  <si>
    <t>Vislanda</t>
  </si>
  <si>
    <t>Alvesta Energi AB</t>
  </si>
  <si>
    <t>Moheda</t>
  </si>
  <si>
    <t>Alvesta</t>
  </si>
  <si>
    <t>Alingsås</t>
  </si>
  <si>
    <t>Alingsås Energi Nät AB</t>
  </si>
  <si>
    <t>Sturkö</t>
  </si>
  <si>
    <t>Affärsverken Karlskrona AB</t>
  </si>
  <si>
    <t>Nättraby</t>
  </si>
  <si>
    <t>Karlskrona</t>
  </si>
  <si>
    <t>Jämjö</t>
  </si>
  <si>
    <t>Fridlevstad</t>
  </si>
  <si>
    <t>Sösdala</t>
  </si>
  <si>
    <t>Adven Värme AB.</t>
  </si>
  <si>
    <t>Ramsele</t>
  </si>
  <si>
    <t>Näsåker</t>
  </si>
  <si>
    <t>Långsele</t>
  </si>
  <si>
    <t>Lenhovda</t>
  </si>
  <si>
    <t>Hede</t>
  </si>
  <si>
    <t>Funäsdalen</t>
  </si>
  <si>
    <t>Friggesund</t>
  </si>
  <si>
    <t>Bräcke, Enycon</t>
  </si>
  <si>
    <t>Bollstabruk</t>
  </si>
  <si>
    <t>'LPG/Gasol'</t>
  </si>
  <si>
    <t>Andel av rökgaskondensering med torv som ursprung (%)</t>
  </si>
  <si>
    <t>Andel av rökgaskondensering som har fossilt ursprung (%)</t>
  </si>
  <si>
    <t>Andel av rökgaskondensering som kommer från avfallsbränsle (oavsett biogen eller plast) (%)</t>
  </si>
  <si>
    <t>Andel av rökgaskondensering med förnybart ursprung (biobränsle) (%)</t>
  </si>
  <si>
    <t>Kommentera svar ()</t>
  </si>
  <si>
    <t>Elpannor elförbrukning (GWh)</t>
  </si>
  <si>
    <t>Elpannor värmeproduktion (GWh)</t>
  </si>
  <si>
    <t>Värmepumpar elförbrukning (GWh)</t>
  </si>
  <si>
    <t>Värmekälla till värmepumpar ()</t>
  </si>
  <si>
    <t>Värmepumpar värmeproduktion (GWh)</t>
  </si>
  <si>
    <t>Produktion med rökgaskondensering (GWh)</t>
  </si>
  <si>
    <t>Deponi- och rötgas (GWh)</t>
  </si>
  <si>
    <t>Värde enligt ovan. (%)</t>
  </si>
  <si>
    <t>Andelen klimatgaser med fossilt ursprung för avfall ()</t>
  </si>
  <si>
    <t>Tillförd olja (fossil) vid avfallsförbränning (GWh)</t>
  </si>
  <si>
    <t>Avfall (GWh)</t>
  </si>
  <si>
    <t>Torv (GWh)</t>
  </si>
  <si>
    <t>Övrigt förädlat biobränsle (GWh)</t>
  </si>
  <si>
    <t>Bioolja (GWh)</t>
  </si>
  <si>
    <t>Tallbecksolja (GWh)</t>
  </si>
  <si>
    <t>RT flis (GWh)</t>
  </si>
  <si>
    <t>Träpulver (GWh)</t>
  </si>
  <si>
    <t>Träbriketter (GWh)</t>
  </si>
  <si>
    <t>Träpellets (GWh)</t>
  </si>
  <si>
    <t>Primära trädbränslen ()</t>
  </si>
  <si>
    <t>Övrigt oförädlat biobränsle (GWh)</t>
  </si>
  <si>
    <t>Åkergrödor (GWh)</t>
  </si>
  <si>
    <t>Sågspån och kutterspån (GWh)</t>
  </si>
  <si>
    <t>Stamvedsflis (GWh)</t>
  </si>
  <si>
    <t>Bark (GWh)</t>
  </si>
  <si>
    <t>Grot (GWh)</t>
  </si>
  <si>
    <t>Övrigt fossilt bränsle (GWh)</t>
  </si>
  <si>
    <t>Avfallsgas från stålindustrin (GWh)</t>
  </si>
  <si>
    <t>Naturgas (GWh)</t>
  </si>
  <si>
    <t>Eldningsolja 3-5 (GWh)</t>
  </si>
  <si>
    <t>Eldningsolja 2 inkl WRD (GWh)</t>
  </si>
  <si>
    <t>Eldningsolja 1 (GWh)</t>
  </si>
  <si>
    <t>Stenkol (GWh)</t>
  </si>
  <si>
    <t>Tillförd bränslemängd (autosumma) (GWh)</t>
  </si>
  <si>
    <t>Total egen hetvattenproduktion (GWh)</t>
  </si>
  <si>
    <t>År</t>
  </si>
  <si>
    <t>Kommun/ förbund</t>
  </si>
  <si>
    <t>Oförädlade trädbränslen</t>
  </si>
  <si>
    <t>Avfall</t>
  </si>
  <si>
    <t>Naturgas</t>
  </si>
  <si>
    <t>Tillförd energi från rökgaskondensering (GWh)</t>
  </si>
  <si>
    <t>Tillförd bränslemängd för el i kondensdrift (GWh)</t>
  </si>
  <si>
    <t>Bränsle kondensdrift för el ()</t>
  </si>
  <si>
    <t>Producerad elenergi kondensdrift (GWh)</t>
  </si>
  <si>
    <t>Producerad elenergi i kraftvärmeverk (GWh)</t>
  </si>
  <si>
    <t>Total värmeproduktion i kraftvärmeverk i kombinerad drift (GWh)</t>
  </si>
  <si>
    <t>Sekundära trädbränslen</t>
  </si>
  <si>
    <t>'Metsä Board Sverige'</t>
  </si>
  <si>
    <t>Deponi- och rötgas</t>
  </si>
  <si>
    <t>'OX2'</t>
  </si>
  <si>
    <t>'VafabMiljö'</t>
  </si>
  <si>
    <t>Bioolja</t>
  </si>
  <si>
    <t>Pellets och briketter</t>
  </si>
  <si>
    <t>'Scandbio AB'</t>
  </si>
  <si>
    <t>'ABB'</t>
  </si>
  <si>
    <t>'RTAB Energiproduktion AB'</t>
  </si>
  <si>
    <t>'Nordic Paper'</t>
  </si>
  <si>
    <t>EO3-5</t>
  </si>
  <si>
    <t>'Iggesund Paperboard'</t>
  </si>
  <si>
    <t>EO1</t>
  </si>
  <si>
    <t>'Billerudkorsnäs'</t>
  </si>
  <si>
    <t>'AB Karl Hedin'</t>
  </si>
  <si>
    <t>'Frödinge Hällerum Timber'</t>
  </si>
  <si>
    <t>Primära trädbränslen</t>
  </si>
  <si>
    <t>'processtec Värme AB'</t>
  </si>
  <si>
    <t>'Woxnadalens Energi AB'</t>
  </si>
  <si>
    <t>Tallbeckolja</t>
  </si>
  <si>
    <t>'Södra Cell Värö'</t>
  </si>
  <si>
    <t>'Vedum Kök och bad'</t>
  </si>
  <si>
    <t>'Varaslättens lagerhus'</t>
  </si>
  <si>
    <t>Värmepump ( värme-el)</t>
  </si>
  <si>
    <t>'Iksu Spa'</t>
  </si>
  <si>
    <t>Okänt</t>
  </si>
  <si>
    <t>'Krematoriet'</t>
  </si>
  <si>
    <t>'Norra Skogsägarna'</t>
  </si>
  <si>
    <t>'Scandbio'</t>
  </si>
  <si>
    <t>'Veolia'</t>
  </si>
  <si>
    <t>'Södra Timber'</t>
  </si>
  <si>
    <t>Avfallsgas från stålindustrin</t>
  </si>
  <si>
    <t>'Farmarenergi'</t>
  </si>
  <si>
    <t>'Billerud SKärblacka'</t>
  </si>
  <si>
    <t>'Södra Timber Kisa'</t>
  </si>
  <si>
    <t>'Adven'</t>
  </si>
  <si>
    <t>'SCA Östrand'</t>
  </si>
  <si>
    <t>'SCA Ortviken'</t>
  </si>
  <si>
    <t>'Söderbärke bioenergi AB'</t>
  </si>
  <si>
    <t>'Sandåsa Timber'</t>
  </si>
  <si>
    <t>'Sala kommun'</t>
  </si>
  <si>
    <t>'Hällby Gård Tärnsjö AB'</t>
  </si>
  <si>
    <t>'Energifrakt i Piteå'</t>
  </si>
  <si>
    <t>'Perstorp AB'</t>
  </si>
  <si>
    <t>'Ekenäs timber'</t>
  </si>
  <si>
    <t>'Moelven Årjäng Såg AB'</t>
  </si>
  <si>
    <t>'VAFAB Miljö'</t>
  </si>
  <si>
    <t>'Hilbrands Energi AB'</t>
  </si>
  <si>
    <t>Spillvärme</t>
  </si>
  <si>
    <t>'Lulekraft AB'</t>
  </si>
  <si>
    <t>'Billerud Korsnäs'</t>
  </si>
  <si>
    <t>El</t>
  </si>
  <si>
    <t>'Baettr'</t>
  </si>
  <si>
    <t>'Essity Lilla Edet'</t>
  </si>
  <si>
    <t>'Björnstorp'</t>
  </si>
  <si>
    <t>'Ellinge'</t>
  </si>
  <si>
    <t>'Svenstorp'</t>
  </si>
  <si>
    <t>'Kils Avfallshantering AB'</t>
  </si>
  <si>
    <t>'Stora Enso'</t>
  </si>
  <si>
    <t>'Aarhus Karlshamn'</t>
  </si>
  <si>
    <t>'Hissmofors såg'</t>
  </si>
  <si>
    <t>Torv</t>
  </si>
  <si>
    <t>'Tornio Energi OY'</t>
  </si>
  <si>
    <t>'Chalmers'</t>
  </si>
  <si>
    <t>'Renova'</t>
  </si>
  <si>
    <t>'BillerudKorsnäs AB'</t>
  </si>
  <si>
    <t>'Bomhus Energi AB'</t>
  </si>
  <si>
    <t>'Gotlandsflis AB'</t>
  </si>
  <si>
    <t>'VIDA'</t>
  </si>
  <si>
    <t>'Eksjö Industri Ab'</t>
  </si>
  <si>
    <t>'Fortum Waste Solutions'</t>
  </si>
  <si>
    <t>'Biodal AB'</t>
  </si>
  <si>
    <t>'Stora Enso Kvarnsveden AB'</t>
  </si>
  <si>
    <t>'SCA Wood AB'</t>
  </si>
  <si>
    <t>'IKEA'</t>
  </si>
  <si>
    <t>Verkningsgrad produktion, företag 3 (%)</t>
  </si>
  <si>
    <t>Köpt mängd värme, övrigt bränsle, företag 3 (GWh)</t>
  </si>
  <si>
    <t>Övrigt bränsle företag 3 ()</t>
  </si>
  <si>
    <t>Köpt mängd värme, huvudbränsle, företag 3 (GWh)</t>
  </si>
  <si>
    <t>Huvudbränsle företag 3 ()</t>
  </si>
  <si>
    <t>Namn på företag 3, Köpt hetvatten ()</t>
  </si>
  <si>
    <t>Verkningsgrad produktion företag 2 (%)</t>
  </si>
  <si>
    <t>Köpt mängd värme, övrigt bränsle, företag 2 ()</t>
  </si>
  <si>
    <t>Övrigt bränsle företag 2 ()</t>
  </si>
  <si>
    <t>Köpt mängd värme, huvudbränsle, företag 2 (GWh)</t>
  </si>
  <si>
    <t>Huvudbränsle företag 2 ()</t>
  </si>
  <si>
    <t>Namn på företag 2, Köpt hetvatten ()</t>
  </si>
  <si>
    <t>Verkningsgrad produktion, företag 1 (%)</t>
  </si>
  <si>
    <t>Köpt mängd värme, övrigt bränsle, företag 1 (GWh)</t>
  </si>
  <si>
    <t>Övrigt bränsle företag 1 ()</t>
  </si>
  <si>
    <t>Köpt mängd värme, huvudbränsle, företag 1 (GWh)</t>
  </si>
  <si>
    <t>Huvudbränsle företag 1 ()</t>
  </si>
  <si>
    <t>Namn på företag 1 som levererar köpt hetvatten ()</t>
  </si>
  <si>
    <t>'krematoriet'</t>
  </si>
  <si>
    <t>'Elektrokoppar'</t>
  </si>
  <si>
    <t>'Kemira'</t>
  </si>
  <si>
    <t>'Nouryon'</t>
  </si>
  <si>
    <t>'Svenska Kyrkan'</t>
  </si>
  <si>
    <t>'Nordkalk'</t>
  </si>
  <si>
    <t>'Yara'</t>
  </si>
  <si>
    <t>'Scanbio AB'</t>
  </si>
  <si>
    <t>'Ludvika Kommun. reningsverket'</t>
  </si>
  <si>
    <t>'Ludvika församling'</t>
  </si>
  <si>
    <t>'outokumpu Fagersta Stainless'</t>
  </si>
  <si>
    <t>'Värnamo Kyrkliga Samfällighet'</t>
  </si>
  <si>
    <t>'Nynas'</t>
  </si>
  <si>
    <t>'Ovako Hällefors'</t>
  </si>
  <si>
    <t>'Arc Metal'</t>
  </si>
  <si>
    <t>'Ovako Hofors'</t>
  </si>
  <si>
    <t>'Outokumpu'</t>
  </si>
  <si>
    <t>'Mariestads kommun. reningsverket'</t>
  </si>
  <si>
    <t>'Vargön Alloys'</t>
  </si>
  <si>
    <t>'DAGAB'</t>
  </si>
  <si>
    <t>'LK-PEX'</t>
  </si>
  <si>
    <t>'Ceralia Lantmännen'</t>
  </si>
  <si>
    <t>'Billerud Skärblacka'</t>
  </si>
  <si>
    <t>'Nymölla Bruk'</t>
  </si>
  <si>
    <t>'SCA  Ortviken'</t>
  </si>
  <si>
    <t>'Borealis Polyeten'</t>
  </si>
  <si>
    <t>' Perstorp Oxo'</t>
  </si>
  <si>
    <t>'OVAKO'</t>
  </si>
  <si>
    <t>'Volvo Powertrain'</t>
  </si>
  <si>
    <t>'Boliden mineral AB'</t>
  </si>
  <si>
    <t>'Trätrappor'</t>
  </si>
  <si>
    <t>'SCA'</t>
  </si>
  <si>
    <t>'Smurfit Kappa Piteå'</t>
  </si>
  <si>
    <t>'SSAB EMA'</t>
  </si>
  <si>
    <t>'Oskarshamns församling'</t>
  </si>
  <si>
    <t>'Hallsta Pappersbruk'</t>
  </si>
  <si>
    <t>'Fabege'</t>
  </si>
  <si>
    <t>'Gudmundrå Församling'</t>
  </si>
  <si>
    <t>'Höganäs Borgestad AB'</t>
  </si>
  <si>
    <t>'Lantmännen Reppe'</t>
  </si>
  <si>
    <t>'Preemraff Lysekil'</t>
  </si>
  <si>
    <t>'Boliden Bergsöe'</t>
  </si>
  <si>
    <t>'Befesa Scandust'</t>
  </si>
  <si>
    <t>'Nordic Sugar AB'</t>
  </si>
  <si>
    <t>'LKAB'</t>
  </si>
  <si>
    <t>'Södra Cell Mörrum'</t>
  </si>
  <si>
    <t>'Arla'</t>
  </si>
  <si>
    <t>'Höganäs Sweden AB'</t>
  </si>
  <si>
    <t>'Paroc AB'</t>
  </si>
  <si>
    <t>'SCA BioNorr AB'</t>
  </si>
  <si>
    <t>'Uddeholms AB'</t>
  </si>
  <si>
    <t>'Svenska Foder AB'</t>
  </si>
  <si>
    <t>'Total industriell spillvärme till nätet '</t>
  </si>
  <si>
    <t>'Cementa AB'</t>
  </si>
  <si>
    <t>'Megufo AB'</t>
  </si>
  <si>
    <t>et</t>
  </si>
  <si>
    <t>'SSAB'</t>
  </si>
  <si>
    <t>'Falu Pastorat'</t>
  </si>
  <si>
    <t>'Bällstaberg Datacentrum'</t>
  </si>
  <si>
    <t>'Orion Norcarb Engineered Carbons'</t>
  </si>
  <si>
    <t>'Gyproc'</t>
  </si>
  <si>
    <t>'StoraEnso Nymölla'</t>
  </si>
  <si>
    <t>'munksöpaper ab'</t>
  </si>
  <si>
    <t>'Forgex'</t>
  </si>
  <si>
    <t>'Volvo Construction Equipment'</t>
  </si>
  <si>
    <t>'Nya Arvika Gjuteri'</t>
  </si>
  <si>
    <t>'SCA Graphic Sundsvall AB'</t>
  </si>
  <si>
    <t>'Siljan Timber AB'</t>
  </si>
  <si>
    <t>Industriell spillvärme från företag 3 (GWh)</t>
  </si>
  <si>
    <t>Namn på företag 3 som leverarar spillvärme ()</t>
  </si>
  <si>
    <t>Industriell spillvärme från företag 2 (GWh)</t>
  </si>
  <si>
    <t>Namn på företag 2 som leverarar spillvärme ()</t>
  </si>
  <si>
    <t>Industriell spillvärme från företag 1 (GWh)</t>
  </si>
  <si>
    <t>Namn på företag 1 som leverarar spillvärme ()</t>
  </si>
  <si>
    <t>Total industriell spillvärme (autosumma) ()</t>
  </si>
  <si>
    <t>'Hörneborgsel'</t>
  </si>
  <si>
    <t>'Bra miljöval'</t>
  </si>
  <si>
    <t>'Bra Miljöval'</t>
  </si>
  <si>
    <t>'Kraftringen och LKR Energi'</t>
  </si>
  <si>
    <t>'Kraftringen och LKR energi'</t>
  </si>
  <si>
    <t>'Bra Miljöval och egenproducerad el'</t>
  </si>
  <si>
    <t>'Förnybar el'</t>
  </si>
  <si>
    <t>''Bra miljöval''</t>
  </si>
  <si>
    <t>'"Bra miljöval"'</t>
  </si>
  <si>
    <t>'Vattenfall "Klimatsmart/VattenEl"'</t>
  </si>
  <si>
    <t>'Vattenkraft'</t>
  </si>
  <si>
    <t>'EPD Vattenfalls vindkraft'</t>
  </si>
  <si>
    <t>'Vindkraft och egen kraftvärme'</t>
  </si>
  <si>
    <t>'vattenkraft'</t>
  </si>
  <si>
    <t>'Bio energi'</t>
  </si>
  <si>
    <t>'100% Ursprungsmärkt nordisk vattenkraft''</t>
  </si>
  <si>
    <t>'Biobränslebaserad kraftvärme från KKAB'</t>
  </si>
  <si>
    <t>'100% ursprungsmärkt nordisk vattenkraft'</t>
  </si>
  <si>
    <t>'Vatten EPD. kraftvärme bio'</t>
  </si>
  <si>
    <t>'Vattenel EPD. Kraftvärme bio'</t>
  </si>
  <si>
    <t>'Vatten EPD. Kraftvärme bio'</t>
  </si>
  <si>
    <t>'Vind. vatten. biobränsle'</t>
  </si>
  <si>
    <t>'Trollhättan Energi AB'</t>
  </si>
  <si>
    <t>'Vattenfalls elmix'</t>
  </si>
  <si>
    <t>'"Vattenfall energimix"'</t>
  </si>
  <si>
    <t>'Egenproducerad el. biobränsle'</t>
  </si>
  <si>
    <t>'Egenproducerad el biobränsle'</t>
  </si>
  <si>
    <t>'"vattenfall energimix"'</t>
  </si>
  <si>
    <t>'Egenproducerad el från biobränsle'</t>
  </si>
  <si>
    <t>'Trollhättan Energi '</t>
  </si>
  <si>
    <t>'Sol 0.3%. Vind 51.1%. Vatten 48.6%'</t>
  </si>
  <si>
    <t>'Sol 0.3%. vind 51.1%. Vatten 48.6%'</t>
  </si>
  <si>
    <t>'Vind'</t>
  </si>
  <si>
    <t>'vatten'</t>
  </si>
  <si>
    <t>'sol. vind. vatten. bio'</t>
  </si>
  <si>
    <t>'Nordisk Residualmix'</t>
  </si>
  <si>
    <t>'Nordisk residualmix'</t>
  </si>
  <si>
    <t>'Vattenfall'</t>
  </si>
  <si>
    <t>''''El producerad i eget biokraftvärmeverk''''</t>
  </si>
  <si>
    <t>'Stockholm Exergi'</t>
  </si>
  <si>
    <t>'Biokraft'</t>
  </si>
  <si>
    <t>'Vind och vatten'</t>
  </si>
  <si>
    <t>'Biobränsle'</t>
  </si>
  <si>
    <t>'Vind vatten bio'</t>
  </si>
  <si>
    <t>'förnyelsebar'</t>
  </si>
  <si>
    <t>'Mix BIo. vattenkraft'</t>
  </si>
  <si>
    <t>'Förnybart'</t>
  </si>
  <si>
    <t>'100% vattenkraft'</t>
  </si>
  <si>
    <t>'Vindkraft'</t>
  </si>
  <si>
    <t>'vattenproducerad el'</t>
  </si>
  <si>
    <t>'vatten. vind. bio'</t>
  </si>
  <si>
    <t>'vatten.vind.bio'</t>
  </si>
  <si>
    <t>'vatten.vind. bio'</t>
  </si>
  <si>
    <t>'vatten. vind. bio. '</t>
  </si>
  <si>
    <t>'vatten. vind bio'</t>
  </si>
  <si>
    <t>'vatten.vind. bios'</t>
  </si>
  <si>
    <t>'vattten. vind. bio'</t>
  </si>
  <si>
    <t>'Eskilstuna Bioel'</t>
  </si>
  <si>
    <t>'100% förnybart'</t>
  </si>
  <si>
    <t>'100%förnybar'</t>
  </si>
  <si>
    <t>'100% förnybar'</t>
  </si>
  <si>
    <t>''Vindkraft''</t>
  </si>
  <si>
    <t>'Göteborg Energi'</t>
  </si>
  <si>
    <t>'Vattenkraft/kärnkraft'</t>
  </si>
  <si>
    <t>''Vattenkraft. Vindkraft. biobränsle och solkraft'</t>
  </si>
  <si>
    <t>'Bixia Miljömärkt'</t>
  </si>
  <si>
    <t>'Vattenfall EPD 100%'</t>
  </si>
  <si>
    <t>'Bra Miljöval El'</t>
  </si>
  <si>
    <t>'Ursprungsmärkt Vattenkraft'</t>
  </si>
  <si>
    <t>'Ursprungsmärkt vattenkraft'</t>
  </si>
  <si>
    <t>'Ursprungsmärtkt vattenkraft'</t>
  </si>
  <si>
    <t>'Förnybar el från egen produktion'</t>
  </si>
  <si>
    <t>'Till Göteborg Energi'</t>
  </si>
  <si>
    <t>'Ursprungsmärkt egenproducerad BIO och Vattenkraft</t>
  </si>
  <si>
    <t>'Ursprungsmärkt egen BIO samt vatten'</t>
  </si>
  <si>
    <t>'Tekniska verken i LInköping AB'</t>
  </si>
  <si>
    <t>'Biobränsle. egna ursprungsgarantier'</t>
  </si>
  <si>
    <t>'Bramiljöval'</t>
  </si>
  <si>
    <t>'84% vatten 16% vind'</t>
  </si>
  <si>
    <t>'Vindel'</t>
  </si>
  <si>
    <t>'VindEl+El från KVV'</t>
  </si>
  <si>
    <t>'Egen fossilfri'</t>
  </si>
  <si>
    <t>'100% Förnyelsebar'</t>
  </si>
  <si>
    <t>'Landskrona Kraft Energi'</t>
  </si>
  <si>
    <t>'Öresundskraft och Kraftringen AB'</t>
  </si>
  <si>
    <t>'biokraft. vind. sol'</t>
  </si>
  <si>
    <t>'biokraft. vindkraft. sol'</t>
  </si>
  <si>
    <t>'Förnyelsebart (vattenkraft)'</t>
  </si>
  <si>
    <t>'Förnyelsebart'</t>
  </si>
  <si>
    <t>'Förnybar'</t>
  </si>
  <si>
    <t>'100 % vindkraft'</t>
  </si>
  <si>
    <t>'"100% förnybar el"'</t>
  </si>
  <si>
    <t>'Mix av förnybara källor'</t>
  </si>
  <si>
    <t>'Jämtkrafts lokalel'</t>
  </si>
  <si>
    <t>'Jämtkraft lokalel'</t>
  </si>
  <si>
    <t>'green Power Förnyelsebara energikällor 100%'</t>
  </si>
  <si>
    <t>'Vatten El'</t>
  </si>
  <si>
    <t>'bio'</t>
  </si>
  <si>
    <t>'Vattenkraft EDP'</t>
  </si>
  <si>
    <t>'Vattenkraft EPD'</t>
  </si>
  <si>
    <t>'Karlstad Energi'</t>
  </si>
  <si>
    <t>'100% FÖRNYBAR'</t>
  </si>
  <si>
    <t>'Halmstads Energi och Miljö AB'</t>
  </si>
  <si>
    <t>'Vattenkraftsel'</t>
  </si>
  <si>
    <t>'Förnybar vattenkraft'</t>
  </si>
  <si>
    <t>'Bra Miljöval el'</t>
  </si>
  <si>
    <t>'Källmärkt Gävle Energi'</t>
  </si>
  <si>
    <t>'EPD-EL Miljöcertifierad Vattenkraft'</t>
  </si>
  <si>
    <t>'EPD-EL Miljöcertifierad vattenkraft'</t>
  </si>
  <si>
    <t>'vindkraft'</t>
  </si>
  <si>
    <t>'Bio. vatten. vind'</t>
  </si>
  <si>
    <t>'Falu Energi &amp; Vatten AB'</t>
  </si>
  <si>
    <t>'Borlänge Energi AB'</t>
  </si>
  <si>
    <t>'100% vattenkraftsel'</t>
  </si>
  <si>
    <t>'FEAB Bra miljöval'</t>
  </si>
  <si>
    <t>'100% förnybart. Vind. vatten &amp; biobränsle'</t>
  </si>
  <si>
    <t>'Residual'</t>
  </si>
  <si>
    <t>'mixed el'</t>
  </si>
  <si>
    <t>'100% förnybar el från Dala Kraft'</t>
  </si>
  <si>
    <t>'!00% förnybart från Dala Kraft'</t>
  </si>
  <si>
    <t>'Egenproducerad grön 100%'</t>
  </si>
  <si>
    <t>'C4 Energi 100% fossilfritt'</t>
  </si>
  <si>
    <t>' Nordisk residual'</t>
  </si>
  <si>
    <t>'Egenproducerad el från kraftvärme och vattenkraft</t>
  </si>
  <si>
    <t>'Borås Energi och Miljö AB'</t>
  </si>
  <si>
    <t>'Ursprungsmärkt egenproducerad el'</t>
  </si>
  <si>
    <t>'Falu Energi &amp; Vatten'</t>
  </si>
  <si>
    <t>'nordisk residual el'</t>
  </si>
  <si>
    <t>'Nordisk Elmix'</t>
  </si>
  <si>
    <t>'79.6% Vind. 20.3 % vattenkraft. 0.1% sol'</t>
  </si>
  <si>
    <t>'förnybar el "guarantee of origin"'</t>
  </si>
  <si>
    <t>'Förnybar el "guarantee of origin"'</t>
  </si>
  <si>
    <t>'Kärnkraft'</t>
  </si>
  <si>
    <t>Fossil andel i procent (%)</t>
  </si>
  <si>
    <t>Koldioxidekvivalenter produktion och transport av bränslet (g CO2ekv/kWh)</t>
  </si>
  <si>
    <t>Koldioxidekvivalenter energiomvandling (g CO2ekv/kWh)</t>
  </si>
  <si>
    <t>Primärenergifaktor ()</t>
  </si>
  <si>
    <t>Såld mängd produktionsspecifik fjärrvärme (GWh)</t>
  </si>
  <si>
    <t>Såld ursprungsspecifik fjärrvärme från företag ()</t>
  </si>
  <si>
    <t>Köpt mängd fjärrvärme från annat fjärrvärmeföretag (GWh)</t>
  </si>
  <si>
    <t>Ange köpt ursprungsspecifik fjärrvärme från företag, namn ()</t>
  </si>
  <si>
    <t>Kärnkraftsandel för ursprungsspecificerad el ()</t>
  </si>
  <si>
    <t>Fossilandel för ursprungspecificerad el ()</t>
  </si>
  <si>
    <t>Koldioxidekvivalenter energiomvandling (g/kwh)</t>
  </si>
  <si>
    <t>Typ av ursprungsspecificerad el   (Om inget värde anges används Nordisk residualmix, se inforuta) ()</t>
  </si>
  <si>
    <t>Hjälpel kraftvärme (GWh)</t>
  </si>
  <si>
    <t>Hjälpel exklusive kraftvärme (GWh)</t>
  </si>
  <si>
    <t>'Landskrona Energi och Kraftringen'</t>
  </si>
  <si>
    <t>DS</t>
  </si>
  <si>
    <t>'Mjölby Svartådalen Energi AB'</t>
  </si>
  <si>
    <t>'Tibro kommun'</t>
  </si>
  <si>
    <t>'Tekniska verken i Linköping AB'</t>
  </si>
  <si>
    <t>'Solör Bioenergi'</t>
  </si>
  <si>
    <t>'Kraftringen AB'</t>
  </si>
  <si>
    <t>'Öresundskraft AB'</t>
  </si>
  <si>
    <t>'Öresundskraft'</t>
  </si>
  <si>
    <t>'Landskrona Energi'</t>
  </si>
  <si>
    <t>'Hammarö Energi'</t>
  </si>
  <si>
    <t>'Partille Energi'</t>
  </si>
  <si>
    <t>'Mölndal Energi'</t>
  </si>
  <si>
    <t>'Kungälv Energi'</t>
  </si>
  <si>
    <t>Levererad värme, andra fjärrvärmeföretag, företag 3 (GWh)</t>
  </si>
  <si>
    <t>Namn företag 3 ()</t>
  </si>
  <si>
    <t>Levererad värme, andra fjärrvärmeföretag, företag 2 (GWh)</t>
  </si>
  <si>
    <t>Namn företag 2 ()</t>
  </si>
  <si>
    <t>Levererad värme, andra fjärrvärmeföretag, företag 1 (GWh)</t>
  </si>
  <si>
    <t>Namn företag 1 ()</t>
  </si>
  <si>
    <t>Levererad värme tillverkningsindustri inkl mineralutvinning (GWh)</t>
  </si>
  <si>
    <t>Leverad värme samfälligheter (GWh)</t>
  </si>
  <si>
    <t>Övriga kunder ex markvärme (GWh)</t>
  </si>
  <si>
    <t>Levererad värme, övriga lokaler (GWh)</t>
  </si>
  <si>
    <t>Levererad värme, offentliga lokaler (GWh)</t>
  </si>
  <si>
    <t>- varav värmeleveranser av är ånga (GWh)</t>
  </si>
  <si>
    <t>Levererad värme, industrier (GWh)</t>
  </si>
  <si>
    <t>Levererad värme, småhus (GWh)</t>
  </si>
  <si>
    <t>Levererad värme, flerbostadshus (GWh)</t>
  </si>
  <si>
    <t>Såld värme (GWh)</t>
  </si>
  <si>
    <t>Överkalix Kommun</t>
  </si>
  <si>
    <t>Älvsbyns Energi</t>
  </si>
  <si>
    <t>Ydre</t>
  </si>
  <si>
    <t>Ydre Kommun</t>
  </si>
  <si>
    <t>Tranemo</t>
  </si>
  <si>
    <t>Tranemo Kommun</t>
  </si>
  <si>
    <t>Tingsryd</t>
  </si>
  <si>
    <t>Tingsryds Energi AB</t>
  </si>
  <si>
    <t xml:space="preserve">Sölvesborg </t>
  </si>
  <si>
    <t>Demonät 2017</t>
  </si>
  <si>
    <t>Svensk Fjärrvärme</t>
  </si>
  <si>
    <t>Demonät 2016</t>
  </si>
  <si>
    <t>Demonät 2</t>
  </si>
  <si>
    <t>Demonät 1</t>
  </si>
  <si>
    <t>Västsura</t>
  </si>
  <si>
    <t>Virsbo</t>
  </si>
  <si>
    <t>Ramnäs</t>
  </si>
  <si>
    <t>Strömstad</t>
  </si>
  <si>
    <t>Strömstads Kommun</t>
  </si>
  <si>
    <t>Sorsele</t>
  </si>
  <si>
    <t xml:space="preserve">Sorsele Värmeverk AB </t>
  </si>
  <si>
    <t>Vännäs</t>
  </si>
  <si>
    <t>Solör Bioenergi Fjärrvärme AB (ej medlem)</t>
  </si>
  <si>
    <t>Vilhelmina</t>
  </si>
  <si>
    <t>Sveg</t>
  </si>
  <si>
    <t>Nordmaling</t>
  </si>
  <si>
    <t>Nora</t>
  </si>
  <si>
    <t>Mönsterås</t>
  </si>
  <si>
    <t>Markaryd</t>
  </si>
  <si>
    <t>Härryda</t>
  </si>
  <si>
    <t>Härjedalen</t>
  </si>
  <si>
    <t>Dorotea</t>
  </si>
  <si>
    <t>Rindi Energi AB</t>
  </si>
  <si>
    <t>Vårgårda</t>
  </si>
  <si>
    <t>Vingåker</t>
  </si>
  <si>
    <t>Vansbro</t>
  </si>
  <si>
    <t>Vadstena</t>
  </si>
  <si>
    <t>Tomelilla</t>
  </si>
  <si>
    <t>Sunne</t>
  </si>
  <si>
    <t>Storfors</t>
  </si>
  <si>
    <t>Sjöbo</t>
  </si>
  <si>
    <t>Höör</t>
  </si>
  <si>
    <t>Hörby</t>
  </si>
  <si>
    <t>Gnesta</t>
  </si>
  <si>
    <t>Flen</t>
  </si>
  <si>
    <t>Filipstad</t>
  </si>
  <si>
    <t>Mörbylånga</t>
  </si>
  <si>
    <t>Mörbylånga Kommun</t>
  </si>
  <si>
    <t>Mellerud</t>
  </si>
  <si>
    <t>Melleruds kommun</t>
  </si>
  <si>
    <t>Lessebo fjärrvärme</t>
  </si>
  <si>
    <t>Fjugesta</t>
  </si>
  <si>
    <t>Kristinehamn</t>
  </si>
  <si>
    <t>Kristinehamns Värme AB</t>
  </si>
  <si>
    <t>Katrinefors Kraftvärme (producent)</t>
  </si>
  <si>
    <t>Katrinefors Kraftvärme AB</t>
  </si>
  <si>
    <t xml:space="preserve">Karlsborg </t>
  </si>
  <si>
    <t>Hylte Kommun</t>
  </si>
  <si>
    <t>Valla</t>
  </si>
  <si>
    <t>Gimmersta Energi AB</t>
  </si>
  <si>
    <t>Strångsjö</t>
  </si>
  <si>
    <t>Sköldinge</t>
  </si>
  <si>
    <t>Julita</t>
  </si>
  <si>
    <t>Forssjö</t>
  </si>
  <si>
    <t>Björkvik</t>
  </si>
  <si>
    <t>Bie</t>
  </si>
  <si>
    <t>Forshaga Energi AB</t>
  </si>
  <si>
    <t>Gangnef</t>
  </si>
  <si>
    <t>Färgelanda</t>
  </si>
  <si>
    <t>Fjärrvärme Osby AB</t>
  </si>
  <si>
    <t>Eksta</t>
  </si>
  <si>
    <t>Eksta Bostads AB</t>
  </si>
  <si>
    <t>Byavärmes Fjärrvärmenät</t>
  </si>
  <si>
    <t>Byavärme AB</t>
  </si>
  <si>
    <t>Kälarne</t>
  </si>
  <si>
    <t>Bräcke kommun</t>
  </si>
  <si>
    <t>Bräcke</t>
  </si>
  <si>
    <t xml:space="preserve">Boden </t>
  </si>
  <si>
    <t>Älvkarleby</t>
  </si>
  <si>
    <t>Bionär Närvärme AB</t>
  </si>
  <si>
    <t>Vänge</t>
  </si>
  <si>
    <t>Söderfors</t>
  </si>
  <si>
    <t>Skutskär</t>
  </si>
  <si>
    <t>Ockelbo</t>
  </si>
  <si>
    <t>Norrsundet</t>
  </si>
  <si>
    <t>Hedesunda</t>
  </si>
  <si>
    <t>Forsbacka</t>
  </si>
  <si>
    <t>Bällinge</t>
  </si>
  <si>
    <t>Bergby</t>
  </si>
  <si>
    <t>Arvidsjaur Energi AB</t>
  </si>
  <si>
    <t>Arjeplog</t>
  </si>
  <si>
    <t>Arjeplogs Kommun</t>
  </si>
  <si>
    <t>Kvalitets-granskad</t>
  </si>
  <si>
    <t>Godkänd</t>
  </si>
  <si>
    <t>Total andel fossilt</t>
  </si>
  <si>
    <t>Total CO2 transport och prod. av bränslen [g/kWh]</t>
  </si>
  <si>
    <t>Total CO2 förbränning [g/kWh]</t>
  </si>
  <si>
    <t>Total primärenergi-faktor</t>
  </si>
  <si>
    <t xml:space="preserve">Hjärnarp </t>
  </si>
  <si>
    <t xml:space="preserve">Nevel AB </t>
  </si>
  <si>
    <t xml:space="preserve">Öresundskraft AB </t>
  </si>
  <si>
    <t>Hjärnarp-x</t>
  </si>
  <si>
    <t xml:space="preserve">Vejbystrand </t>
  </si>
  <si>
    <t>Vejbystrand-x</t>
  </si>
  <si>
    <t>Stockholm-x</t>
  </si>
  <si>
    <t xml:space="preserve">ok </t>
  </si>
  <si>
    <t>Summa tillförd energi:</t>
  </si>
  <si>
    <t>Egen hetvattenproduktion:</t>
  </si>
  <si>
    <t>Verkningsgrad egen hetvattenproduktion:</t>
  </si>
  <si>
    <t>Mängd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</si>
  <si>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</si>
  <si>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</si>
  <si>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</si>
  <si>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</si>
  <si>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</si>
  <si>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de fyllt i andel rgk utan att ange mängd rgk?</t>
  </si>
  <si>
    <t>Rgk ifyllt i kvv</t>
  </si>
  <si>
    <t>Avfall i köpt hetvatten</t>
  </si>
  <si>
    <t>Summa tillförd energi exklusive rökgaskondensering</t>
  </si>
  <si>
    <t>Summa tillförd energi inklusive rökgaskondensering</t>
  </si>
  <si>
    <t>Värmeprod i kvv</t>
  </si>
  <si>
    <t>Elprod i kvv</t>
  </si>
  <si>
    <t>Verkningsgrad kvv</t>
  </si>
  <si>
    <t>Allokerad hjälpel</t>
  </si>
  <si>
    <t>Summa slutlig allokerad tillförd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</si>
  <si>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</si>
  <si>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</si>
  <si>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</si>
  <si>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</si>
  <si>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</si>
  <si>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Kvalitetsgranskad:</t>
  </si>
  <si>
    <t>Verkningsgrad värmeproduktion exkl rgk</t>
  </si>
  <si>
    <t>Övrigt fossilt</t>
  </si>
  <si>
    <t>Värmepumpar, värmeproduktion - elförbrukning</t>
  </si>
  <si>
    <t>Värmepumpar, elförbrukning</t>
  </si>
  <si>
    <t>Träpulver</t>
  </si>
  <si>
    <t>Träpellets</t>
  </si>
  <si>
    <t>Träbriketter</t>
  </si>
  <si>
    <t>Total hjälpel</t>
  </si>
  <si>
    <t>Torv (fjärrvärme och el)</t>
  </si>
  <si>
    <t>Stenkol</t>
  </si>
  <si>
    <t>Stamvedsflis</t>
  </si>
  <si>
    <t>Spån</t>
  </si>
  <si>
    <t>Rökgaskondensering</t>
  </si>
  <si>
    <t>Grot</t>
  </si>
  <si>
    <t>Elpannor, elförbrukning</t>
  </si>
  <si>
    <t>Bark</t>
  </si>
  <si>
    <t>Annat bränsle</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</si>
  <si>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</si>
  <si>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</si>
  <si>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</si>
  <si>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</si>
  <si>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</si>
  <si>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Kontroll:</t>
  </si>
  <si>
    <t>Elproduktionsverkningsgrad</t>
  </si>
  <si>
    <t>Kommentar</t>
  </si>
  <si>
    <t>Allokerade bränslen till elproduktion 2019 för kvalitetsgranskade nät. Allokering i kraftvärmeverk har skett med alternativproduktionsmetoden.</t>
  </si>
  <si>
    <t>Har ursprungscertifierad el:</t>
  </si>
  <si>
    <t>Köper fjärrvärme produktionsspecifikt:</t>
  </si>
  <si>
    <t>Köpt mängd produktionsspecifik fjärrvärme:</t>
  </si>
  <si>
    <t>Andel fossilt i köpt fjärrvärme:</t>
  </si>
  <si>
    <t>Gällande schablonvärden:</t>
  </si>
  <si>
    <t>Primärenergifaktor</t>
  </si>
  <si>
    <t>CO2-ekv energiomvandling</t>
  </si>
  <si>
    <t>g/kWh</t>
  </si>
  <si>
    <t>Fossilandel för ursprungsspec el</t>
  </si>
  <si>
    <t>Kärnkraftsandel för ursprungsspec el</t>
  </si>
  <si>
    <t>Förra årets schablonvärden:</t>
  </si>
  <si>
    <t>Total levererad värme</t>
  </si>
  <si>
    <t>Totalt såld fjärrvärme till andra fjärrvärmeföretag</t>
  </si>
  <si>
    <t>Kontrollsummor:</t>
  </si>
  <si>
    <t>Total såld fjv till andra fjvföretag:</t>
  </si>
  <si>
    <t>Total köpt prod.spec fjv</t>
  </si>
  <si>
    <t>Skillnad:</t>
  </si>
  <si>
    <t>Radetiketter</t>
  </si>
  <si>
    <t>(tom)</t>
  </si>
  <si>
    <t>Totalsumma</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</si>
  <si>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</si>
  <si>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</si>
  <si>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</si>
  <si>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</si>
  <si>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</si>
  <si>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</si>
  <si>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</si>
  <si>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</si>
  <si>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Miljövärden hämtade 2020-05-12. Administrativ organisation borttaget</t>
  </si>
  <si>
    <t>Godkänd:</t>
  </si>
  <si>
    <t>Sammanräkning:</t>
  </si>
  <si>
    <t>Total el</t>
  </si>
  <si>
    <t>Pellets, briketter och pulver</t>
  </si>
  <si>
    <t>Totala biobränslen</t>
  </si>
  <si>
    <t>Fossilt:</t>
  </si>
  <si>
    <t>Övrigt:</t>
  </si>
  <si>
    <t>Förnybart:</t>
  </si>
  <si>
    <t>Återvunnen energi:</t>
  </si>
  <si>
    <t>Andel fossilt i elen:</t>
  </si>
  <si>
    <t>Andel kärnkraft i elen:</t>
  </si>
  <si>
    <t>Köpt från annat fjvföretag</t>
  </si>
  <si>
    <t>Andel fossilt i köpt hetvatten:</t>
  </si>
  <si>
    <t>Totalt</t>
  </si>
  <si>
    <t>Andel fossilt</t>
  </si>
  <si>
    <t>Andel övrigt</t>
  </si>
  <si>
    <t>Andel förnybart</t>
  </si>
  <si>
    <t>Andel återvunnet</t>
  </si>
  <si>
    <t>Summa</t>
  </si>
  <si>
    <t>Andel fossilt från miljövärdena, som jämförelse:</t>
  </si>
  <si>
    <t>Skillnad andel fossilt - beroende på residual vs total</t>
  </si>
  <si>
    <t>Skillnad avrundade värden som visas i publ.fil</t>
  </si>
  <si>
    <t>Miljövärden för använd el:</t>
  </si>
  <si>
    <t>Miljövärden för fjärrvärme inköpt från annat fjärrvärmeföretag:</t>
  </si>
  <si>
    <t>Källa till värmepump</t>
  </si>
  <si>
    <t>Andel fossilt i avfall - Färdigställs inför fil till SGBC</t>
  </si>
  <si>
    <t>Tillförda bränslen till fjärrvärmeproduktion 2019 för kvalitetsgranskade nät. Alla bränslen är angivna i GWh. Allokering i kraftvärmeverk har skett med alternativproduktionsmetoden</t>
  </si>
  <si>
    <t>EO2, inkl WRD</t>
  </si>
  <si>
    <t>RT-flis</t>
  </si>
  <si>
    <t>Övrigt oförädlat biobränsle</t>
  </si>
  <si>
    <t>Övrigt förädlat biobränsle</t>
  </si>
  <si>
    <t>Åkergrödor</t>
  </si>
  <si>
    <t>Ursprungsmärkning av el:</t>
  </si>
  <si>
    <t>Andel fossilt:</t>
  </si>
  <si>
    <t>Andel kärnkraft:</t>
  </si>
  <si>
    <t>Andel förnybart:</t>
  </si>
  <si>
    <t>Köper fjärrvärme från annat fjärrvärmeföretag:</t>
  </si>
  <si>
    <t>Andel fossilt i köpt fjärrvärme från annat fjärrvärmeföretag:</t>
  </si>
  <si>
    <t>Har värme från värmepump:</t>
  </si>
  <si>
    <t>Källa till värmepump:</t>
  </si>
  <si>
    <t>Har rökgaskondensering:</t>
  </si>
  <si>
    <t>Har avfall som bränsle</t>
  </si>
  <si>
    <t xml:space="preserve">Metod för andel fossilt i avfall i egen hetvattenproduktion </t>
  </si>
  <si>
    <t xml:space="preserve">Metod för andel fossilt i avfall i kraftvärmeproduktion </t>
  </si>
  <si>
    <t>Tillfört avfall i egen hetvattenprod</t>
  </si>
  <si>
    <t>Allokerad mängd avfall i kraftvärmeprod</t>
  </si>
  <si>
    <t>Värde på andel fossilt i egen hetvattenproduktion:</t>
  </si>
  <si>
    <t>Värde på andel fossilt i kraftvärmeproduktion:</t>
  </si>
  <si>
    <t>Metod för andel fossilt (ifylles manuellt)</t>
  </si>
  <si>
    <t>Schablonvärde:</t>
  </si>
  <si>
    <t>Uppmätt viktat värde för andel fossilt i rökgaser (%):</t>
  </si>
  <si>
    <t>Tillförd olja för avfallsförbränning i egen hetvattenprod</t>
  </si>
  <si>
    <t>Tillförd olja för avfallsförbränning i kraftvärmeprod - OBS! Ska allokeras?</t>
  </si>
  <si>
    <t>Tillförd inrapporterad olja ska justeras.</t>
  </si>
  <si>
    <t>Bränsle/Energibärare</t>
  </si>
  <si>
    <t>2018 kvalitetsgranskade</t>
  </si>
  <si>
    <t>2017 kvalitetsgranskade</t>
  </si>
  <si>
    <t>2016 kvalitetsgranskade</t>
  </si>
  <si>
    <t>2015 kvalitetsgranskade</t>
  </si>
  <si>
    <t>2014 kvalitetsgranskade</t>
  </si>
  <si>
    <t>2013 kvalitetsgranskade</t>
  </si>
  <si>
    <t>2012 kvalitetsgranskade</t>
  </si>
  <si>
    <t>2008</t>
  </si>
  <si>
    <t>2007</t>
  </si>
  <si>
    <t>2006</t>
  </si>
  <si>
    <t>2005</t>
  </si>
  <si>
    <t>2004</t>
  </si>
  <si>
    <t>Industriell spillvärme</t>
  </si>
  <si>
    <t>Solvärme</t>
  </si>
  <si>
    <t>n.a</t>
  </si>
  <si>
    <t>Deponi- och rötgas samt avfallsgas från stålindustrin</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</si>
  <si>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</si>
  <si>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</si>
  <si>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</si>
  <si>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</si>
  <si>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</si>
  <si>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</si>
  <si>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</si>
  <si>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</si>
  <si>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</si>
  <si>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</si>
  <si>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</si>
  <si>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</si>
  <si>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</si>
  <si>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</si>
  <si>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</si>
  <si>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</si>
  <si>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</si>
  <si>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</si>
  <si>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</si>
  <si>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Inklusive rökgaskondensering för 2011 till 2018</t>
  </si>
  <si>
    <t>Hjälpel till produktion och distribution (inklusive schablon) samt hjälpel till kraftvärme</t>
  </si>
  <si>
    <t>För 2012 till 2018: Leveranser = Total såld värme - sålt till annat fjvföretag.</t>
  </si>
  <si>
    <t>Skillnad 2019 och 2018 (%)</t>
  </si>
  <si>
    <t>2019 kvalitetsgranskade</t>
  </si>
  <si>
    <t>Sverige totalt kvalitetsgranskade:</t>
  </si>
  <si>
    <t>Små nät</t>
  </si>
  <si>
    <t>leverans &lt;150 GWh</t>
  </si>
  <si>
    <t>Medelstora nät</t>
  </si>
  <si>
    <t>150GWh&lt;leverans&lt;1000 GWh</t>
  </si>
  <si>
    <t>Stora nät</t>
  </si>
  <si>
    <t>Leverans &gt;1000 GWh</t>
  </si>
  <si>
    <t>Summa alla:</t>
  </si>
  <si>
    <t>Deponi-och rötgas</t>
  </si>
  <si>
    <t>Skillnad 2019 och 2018 (GWh)</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</si>
  <si>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</si>
  <si>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</si>
  <si>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</si>
  <si>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</si>
  <si>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</si>
  <si>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</si>
  <si>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</si>
  <si>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</si>
  <si>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</si>
  <si>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Miljövärdena hämtas från fliken "Miljövärden".  Nätlista från "Egen hetvattenproduktion".</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</si>
  <si>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</si>
  <si>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</si>
  <si>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theme="1"/>
        <rFont val="Calibri"/>
        <family val="2"/>
        <scheme val="minor"/>
      </rPr>
      <t xml:space="preserve"> trots att värdena är kvalitetsgranskade: (sätt kryss manuellt)</t>
    </r>
  </si>
  <si>
    <r>
      <rPr>
        <u/>
        <sz val="11"/>
        <color theme="1"/>
        <rFont val="Calibri"/>
        <family val="2"/>
        <scheme val="minor"/>
      </rPr>
      <t>Ska publiceras</t>
    </r>
    <r>
      <rPr>
        <sz val="11"/>
        <color theme="1"/>
        <rFont val="Calibri"/>
        <family val="2"/>
        <scheme val="minor"/>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</si>
  <si>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theme="1"/>
        <rFont val="Calibri"/>
        <family val="2"/>
        <scheme val="minor"/>
      </rPr>
      <t xml:space="preserve"> istället för miljövärden i publiceringsfilen: (sätt kryss manuellt)</t>
    </r>
  </si>
  <si>
    <t>Ev kommentar</t>
  </si>
  <si>
    <t>Ska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</si>
  <si>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</si>
  <si>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</si>
  <si>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</si>
  <si>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</si>
  <si>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</si>
  <si>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</si>
  <si>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</si>
  <si>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</si>
  <si>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</si>
  <si>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</si>
  <si>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</si>
  <si>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</si>
  <si>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Nät och företag stämmer inte överens:</t>
  </si>
  <si>
    <t>Visa se länk:</t>
  </si>
  <si>
    <t>FÖRDELNING TILLFÖRD ENERGI TILL VÄRMEPRODUKTION</t>
  </si>
  <si>
    <t xml:space="preserve">För mer information och frågor: </t>
  </si>
  <si>
    <t>Allokeringsmetod vid kraftvärme:</t>
  </si>
  <si>
    <t>Primärenergifaktor för använd el :</t>
  </si>
  <si>
    <t>Procentandel fossilt för använd el:</t>
  </si>
  <si>
    <r>
      <t>Klimatpåverkan för använd el (g CO2</t>
    </r>
    <r>
      <rPr>
        <vertAlign val="subscript"/>
        <sz val="11"/>
        <color indexed="8"/>
        <rFont val="Arial"/>
        <family val="2"/>
      </rPr>
      <t xml:space="preserve"> ekv</t>
    </r>
    <r>
      <rPr>
        <sz val="11"/>
        <color indexed="8"/>
        <rFont val="Arial"/>
        <family val="2"/>
      </rPr>
      <t xml:space="preserve">/kWh): </t>
    </r>
  </si>
  <si>
    <t>Ursprungsspecificerad el:</t>
  </si>
  <si>
    <t>Varav el (hjälpel, vp, elpannor):</t>
  </si>
  <si>
    <t>Totalt tillförd energi till värmeproduktion:</t>
  </si>
  <si>
    <t>Andel bränsle allokerat till värmeproduktion i kraftvärme:</t>
  </si>
  <si>
    <t>Producerad el:</t>
  </si>
  <si>
    <t>Varav mängd ursprungs- eller produktionsspecifik värme:</t>
  </si>
  <si>
    <t>Levererad värme:</t>
  </si>
  <si>
    <t>NÄTSPECIFIK INFORMATION:</t>
  </si>
  <si>
    <t>Andelen fossila bränslen ovan kan därför skilja mot den andel fossilt som visas i diagrammet nedan, som visar tillförda bränslen till nätets hela värmeproduktion.</t>
  </si>
  <si>
    <t xml:space="preserve">Ovanstående miljövärden är residualens miljövärden, dvs de är korrigerade för värme som säljs ursprungs- eller produktionsspecifikt. </t>
  </si>
  <si>
    <t>Transport och produktion av bränslen</t>
  </si>
  <si>
    <t>(kol, eldningsolja, naturgas)</t>
  </si>
  <si>
    <t>Förbränning</t>
  </si>
  <si>
    <t>ANDEL FOSSILA BRÄNSLEN</t>
  </si>
  <si>
    <t>EMISSION AV VÄXTHUSGASER</t>
  </si>
  <si>
    <t>RESURSANVÄNDNING</t>
  </si>
  <si>
    <t>Välj sedan nät här:</t>
  </si>
  <si>
    <t>Välj först företag här:</t>
  </si>
  <si>
    <t>Lokala miljövärden 2019</t>
  </si>
  <si>
    <t>Köpt hetvatten, ospecificerat bränsle</t>
  </si>
  <si>
    <t>El (Nordisk residual)</t>
  </si>
  <si>
    <t>Värme från värmepump minus el till värmepump</t>
  </si>
  <si>
    <t>Övriga biobränslen</t>
  </si>
  <si>
    <t>EO2</t>
  </si>
  <si>
    <t xml:space="preserve">EO1 </t>
  </si>
  <si>
    <t xml:space="preserve">Stenkol </t>
  </si>
  <si>
    <t>Koldioxidekv produktion och transport av bränslet
 [g CO2ekv/kWh]</t>
  </si>
  <si>
    <t>Koldioxidekv energiomvandling
 [g CO2ekv/kWh]</t>
  </si>
  <si>
    <t>Resurseffektivitet, Primärenergifaktor</t>
  </si>
  <si>
    <t>Annars visas en extra mening i publiceringsfliken</t>
  </si>
  <si>
    <t>Stämmer det överens?</t>
  </si>
  <si>
    <t>avrundat till samma antal decimaler</t>
  </si>
  <si>
    <t>Fossilandel som visas för tillförda bränslen:</t>
  </si>
  <si>
    <t>(nu visas 1 decimal på andel fossilt om andelen är under 3%)</t>
  </si>
  <si>
    <t>Vad ska visas i rutan?</t>
  </si>
  <si>
    <t>Avrundat värde:</t>
  </si>
  <si>
    <t>Antal värdesiffror som ska visas:</t>
  </si>
  <si>
    <t>Från fliken Miljövärden för publ. Företag</t>
  </si>
  <si>
    <t>Miljövärden till redovisning, med rätt antal decimaler:</t>
  </si>
  <si>
    <t>Kontrollsumma:</t>
  </si>
  <si>
    <t>* Värme från värmepumpar (netto) är värme från värmepumpar minus tillförd el till värmepumpar</t>
  </si>
  <si>
    <t>Mellanslag kan läggas in i ruta F74 om man vill ha en tom rad mellan kategorierna</t>
  </si>
  <si>
    <t>Köpt hetvatten från annat fjärrvärmeföretag, fossilt</t>
  </si>
  <si>
    <t>Köpt hetvatten från industri (ospecificerat bränsle)</t>
  </si>
  <si>
    <t>Fossil el till elpannor, värmepumpar och hjälpel till distribution</t>
  </si>
  <si>
    <t>Eldningsolja</t>
  </si>
  <si>
    <t>Mellanslag kan läggas in i ruta F65 om man vill ha en tom rad mellan kategorierna</t>
  </si>
  <si>
    <t>Torv och torvbriketter</t>
  </si>
  <si>
    <t>El från kärnkraft till elpannor, värmepumpar och hjälpel till distribution</t>
  </si>
  <si>
    <t>Köpt hetvatten från annat fjärrvärmeföretag, förnybar eller återvunnen energi</t>
  </si>
  <si>
    <t>Mellanslag kan läggas in i ruta F60 om man vill ha en tom rad mellan kategorierna</t>
  </si>
  <si>
    <t>Förnybar el till elpannor, värmepumpar och hjälpel till distribution</t>
  </si>
  <si>
    <t>Bioolja och tallbeckolja</t>
  </si>
  <si>
    <t>Primära biobränslen</t>
  </si>
  <si>
    <t>Sekundära biobränslen</t>
  </si>
  <si>
    <t>Mellanslag kan läggas in i ruta F53 om man vill ha en tom rad mellan kategorierna</t>
  </si>
  <si>
    <t>Värme från värmepumpar (netto)*</t>
  </si>
  <si>
    <t>Antal decimaler som ska anges:</t>
  </si>
  <si>
    <t>Är det en summa? (För formatering)</t>
  </si>
  <si>
    <t>GWh</t>
  </si>
  <si>
    <t>Detta är underlag till tabellen på fliken "Redovisning för kunder"</t>
  </si>
  <si>
    <t>Mängd:</t>
  </si>
  <si>
    <t>Kategori:</t>
  </si>
  <si>
    <t>Numrering av ej tomma fält</t>
  </si>
  <si>
    <t>Här redigeras eventuell namnändring på kategorier eller ändring i ordning, så uppdateras resten automatiskt</t>
  </si>
  <si>
    <t>Data snyggas till:</t>
  </si>
  <si>
    <t>Data hämtas:</t>
  </si>
  <si>
    <t>Endast de rader som ska visas i tabellen:</t>
  </si>
  <si>
    <t>Väljer ut de rader som ska visas i tabellen:</t>
  </si>
  <si>
    <t>Hämtar data till grund för tabell:</t>
  </si>
  <si>
    <t>Till tabell:</t>
  </si>
  <si>
    <t>Fossilt</t>
  </si>
  <si>
    <t>Övrigt</t>
  </si>
  <si>
    <t>Förnybart</t>
  </si>
  <si>
    <t>Återvunnen energi</t>
  </si>
  <si>
    <t>Axeletiketter:</t>
  </si>
  <si>
    <t>Avrundat (%):</t>
  </si>
  <si>
    <t>GWh:</t>
  </si>
  <si>
    <t>Till diagram:</t>
  </si>
  <si>
    <t>Andel övrig energi:</t>
  </si>
  <si>
    <t>Andel återvunnen energi:</t>
  </si>
  <si>
    <t>Andel förnybar energi:</t>
  </si>
  <si>
    <t>Summa fossilt:</t>
  </si>
  <si>
    <t>Summa övrig energi:</t>
  </si>
  <si>
    <t>Summa återvunnen energi:</t>
  </si>
  <si>
    <t>Summa förnybar energi:</t>
  </si>
  <si>
    <t>Summa bränslen</t>
  </si>
  <si>
    <t>Köpt hetvatten från andra fjärrvärmeföretag, fossilt</t>
  </si>
  <si>
    <t>Köpt hetvatten odefinierat bränsle</t>
  </si>
  <si>
    <t>Fossil el</t>
  </si>
  <si>
    <t>Köpt hetvatten från andra fjärrvärmeföretag, ej fossilt</t>
  </si>
  <si>
    <t>El från kärnkraft</t>
  </si>
  <si>
    <t>Värme från vp minus el till vp</t>
  </si>
  <si>
    <t>Förnybar el</t>
  </si>
  <si>
    <t>Övrig energi</t>
  </si>
  <si>
    <t>Förnybar energi</t>
  </si>
  <si>
    <t>Fördelning till olika kategorier</t>
  </si>
  <si>
    <t>Övrig andel:</t>
  </si>
  <si>
    <t>Kärnkraftsandel i använd el:</t>
  </si>
  <si>
    <t>Förnybar andel i använd el:</t>
  </si>
  <si>
    <t>Fossil andel i använd el:</t>
  </si>
  <si>
    <t>Typ av ursprungsspecificerad el ()</t>
  </si>
  <si>
    <t>Köpt produktionsspecifik fjärrvärme:</t>
  </si>
  <si>
    <t>Produktionsspecifik el:</t>
  </si>
  <si>
    <t>Data från fliken Miljö:</t>
  </si>
  <si>
    <t>Köpt hetvatten från andra fjärrvärmeföretag</t>
  </si>
  <si>
    <t>Total el:</t>
  </si>
  <si>
    <t>Summa bränslen från fliken Totalt (för kontroll)</t>
  </si>
  <si>
    <t>Summa bränslen (för kontroll)</t>
  </si>
  <si>
    <t>Data från fliken Totalt:</t>
  </si>
  <si>
    <t>Stämmer nät och företag överens:</t>
  </si>
  <si>
    <t>Företag för det aktuella nätet:</t>
  </si>
  <si>
    <t>Valt företag i rulllista:</t>
  </si>
  <si>
    <r>
      <t xml:space="preserve">Ska publiceras: </t>
    </r>
    <r>
      <rPr>
        <sz val="11"/>
        <rFont val="Calibri"/>
        <family val="2"/>
      </rPr>
      <t>(om inte se länk ska visas)</t>
    </r>
  </si>
  <si>
    <t>Hemsida dit vi hänvisar för mer information: (endast för E.on)</t>
  </si>
  <si>
    <t>Allokeringsmetod vid kraftvärme</t>
  </si>
  <si>
    <t>Elproduktion</t>
  </si>
  <si>
    <t>Såld prod.spec värme:</t>
  </si>
  <si>
    <t>Är fjärrvärmen klimatkompenserad?</t>
  </si>
  <si>
    <t>Företagsnamn</t>
  </si>
  <si>
    <t>ja</t>
  </si>
  <si>
    <t>x</t>
  </si>
  <si>
    <t/>
  </si>
  <si>
    <t>www.eon.se  Skriv "Miljövärden fjärrvärme" i sökfunktionen</t>
  </si>
  <si>
    <t>Köpt fjärrvärme från annat fjärrvärmeföretag</t>
  </si>
  <si>
    <t>Enligt detta Uttag</t>
  </si>
  <si>
    <t>Justerat enligt mail till Landskrona Energi från 14,14 till 23,1 // MaPe 2020-05-07</t>
  </si>
  <si>
    <t>Enligt Stockholm Exergi är volymen 508,975, se mail // MaPe 2020-05-07</t>
  </si>
  <si>
    <t>Tillagt och justerat av MaPe 2020-05-07 i Kvalitetsnyckeln enligt uppmaning från företag // MaPe 2020-05-07</t>
  </si>
  <si>
    <t>Stockholm Exergi</t>
  </si>
  <si>
    <t>E.ON</t>
  </si>
  <si>
    <t>Tillgad efter övesänd Excelfil ii mail från 2020-05-07 // MaPe</t>
  </si>
  <si>
    <t>Norrenergi</t>
  </si>
  <si>
    <t>SFAB</t>
  </si>
  <si>
    <t>Summa köpt</t>
  </si>
  <si>
    <t>Såld fjärrvärme till annat fjärrvärmeföretag</t>
  </si>
  <si>
    <t>Liten volym, uppföljning inte gjord. // MaPe 2020-05-11</t>
  </si>
  <si>
    <t>Sollenuna</t>
  </si>
  <si>
    <t>Enligt fördelning redovisad via mail 2020-04-27 // MMaPe 2020-05-07</t>
  </si>
  <si>
    <t>Söderenergi</t>
  </si>
  <si>
    <t xml:space="preserve">Summa såld </t>
  </si>
  <si>
    <t>Differens</t>
  </si>
  <si>
    <t>Motsvarar i stort diskrepens mellan angiven köpt energi av Stockholm exergi och såld från SFAB // MaPe 2020-05-11</t>
  </si>
  <si>
    <t>OK</t>
  </si>
  <si>
    <t>Stockholm Exergi köpt</t>
  </si>
  <si>
    <t>Måste dras ifrån i sammanställning av bränsle</t>
  </si>
  <si>
    <t>Korrigering av bränslen till värme som köps av  Stockholm Exergi:</t>
  </si>
  <si>
    <t>Tillagt nät, E.ON ska redovisas som ett nät</t>
  </si>
  <si>
    <t>Sverige</t>
  </si>
  <si>
    <t>Summa kvalitetsgranskade:</t>
  </si>
  <si>
    <t>Viktade miljöfaktorer för kvalitetsgranskade näts el:</t>
  </si>
  <si>
    <t>Antal kvalgranskade nät:</t>
  </si>
  <si>
    <t>Antal med residualel:</t>
  </si>
  <si>
    <t>Mängd residualel:</t>
  </si>
  <si>
    <t>Antal med urssprungsspecificerad el:</t>
  </si>
  <si>
    <t>Mängd urssprungsspecificerad el:</t>
  </si>
  <si>
    <t>Viktade värden för nät med urpsrungsspec el:</t>
  </si>
  <si>
    <t>Från "Överenskommelse i Värmemarknadskommittén 2019"</t>
  </si>
  <si>
    <t>https://www.energiforetagen.se/globalassets/energiforetagen/statistik/fjarrvarme/miljovardering-av-fjarrvarme/hjalp-vid-berakning/vmk-overnskommelse-2019.pdf</t>
  </si>
  <si>
    <t>https://www.eon.se/foeretag/vaerme-och-kyla/for-foretag-som-har-fjarrvarme/miljo-och-fjarrvarme</t>
  </si>
  <si>
    <t xml:space="preserve">Ja </t>
  </si>
  <si>
    <t xml:space="preserve">Nej </t>
  </si>
  <si>
    <t>Övrig nätinformation:</t>
  </si>
  <si>
    <t>E.Ons nät är samlade i ett gemensamt nät för redovisning: E.ON Värme Sverige AB- Sverige</t>
  </si>
  <si>
    <t>Stockholm exergi har för 2019 rapporterat in  bränslen motsvarande köpt fjärrvärme som sina. Det innebär att dessa måste dras av från summeringen av Sverige Totalt</t>
  </si>
  <si>
    <t>Skillnad bortsett från Stockholm Exergi</t>
  </si>
  <si>
    <t>https://www.goteborgenergi.se/foretag/fjarrvarme-kyla/miljovarden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</si>
</sst>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0"/>
    <numFmt numFmtId="167" formatCode="_-* #,##0.00\ _k_r_-;\-* #,##0.00\ _k_r_-;_-* &quot;-&quot;??\ _k_r_-;_-@_-"/>
    <numFmt numFmtId="168" formatCode="0.000%"/>
    <numFmt numFmtId="169" formatCode="0.00000%"/>
    <numFmt numFmtId="170" formatCode="0.0000"/>
    <numFmt numFmtId="171" formatCode="0.000"/>
  </numFmts>
  <fonts count="69" x14ac:knownFonts="1">
    <font>
      <sz val="11"/>
      <color theme="1"/>
      <name val="Calibri"/>
      <family val="2"/>
      <scheme val="minor"/>
    </font>
    <font>
      <sz val="11"/>
      <color indexed="8"/>
      <name val="Calibri"/>
      <family val="2"/>
    </font>
    <font>
      <sz val="16"/>
      <color indexed="8"/>
      <name val="Calibri"/>
      <family val="2"/>
    </font>
    <font>
      <b/>
      <sz val="11"/>
      <color indexed="8"/>
      <name val="Calibri"/>
      <family val="2"/>
    </font>
    <font>
      <strike/>
      <sz val="11"/>
      <color rgb="FFFF0000"/>
      <name val="Calibri"/>
      <family val="2"/>
    </font>
    <font>
      <i/>
      <strike/>
      <sz val="11"/>
      <color rgb="FFFF0000"/>
      <name val="Calibri"/>
      <family val="2"/>
    </font>
    <font>
      <sz val="11"/>
      <name val="Calibri"/>
      <family val="2"/>
    </font>
    <font>
      <sz val="11"/>
      <color rgb="FFFF0000"/>
      <name val="Calibri"/>
      <family val="2"/>
    </font>
    <font>
      <b/>
      <sz val="11"/>
      <name val="Calibri"/>
      <family val="2"/>
    </font>
    <font>
      <i/>
      <sz val="11"/>
      <name val="Calibri"/>
      <family val="2"/>
    </font>
    <font>
      <b/>
      <sz val="11"/>
      <color indexed="62"/>
      <name val="Calibri"/>
      <family val="2"/>
    </font>
    <font>
      <sz val="11"/>
      <color theme="1"/>
      <name val="Calibri"/>
      <family val="2"/>
      <scheme val="minor"/>
    </font>
    <font>
      <sz val="11"/>
      <color theme="1"/>
      <name val="Calibri"/>
      <family val="2"/>
    </font>
    <font>
      <strike/>
      <sz val="11"/>
      <name val="Calibri"/>
      <family val="2"/>
    </font>
    <font>
      <strike/>
      <sz val="11"/>
      <color theme="1"/>
      <name val="Calibri"/>
      <family val="2"/>
      <scheme val="minor"/>
    </font>
    <font>
      <i/>
      <sz val="11"/>
      <color indexed="8"/>
      <name val="Calibri"/>
      <family val="2"/>
    </font>
    <font>
      <sz val="9"/>
      <color indexed="81"/>
      <name val="Tahoma"/>
      <family val="2"/>
    </font>
    <font>
      <b/>
      <sz val="9"/>
      <color indexed="81"/>
      <name val="Tahoma"/>
      <family val="2"/>
    </font>
    <font>
      <b/>
      <i/>
      <sz val="14"/>
      <color indexed="8"/>
      <name val="Calibri"/>
      <family val="2"/>
    </font>
    <font>
      <sz val="18"/>
      <color indexed="8"/>
      <name val="Calibri"/>
      <family val="2"/>
    </font>
    <font>
      <sz val="10"/>
      <name val="Arial"/>
      <family val="2"/>
    </font>
    <font>
      <b/>
      <sz val="10"/>
      <name val="Arial"/>
      <family val="2"/>
    </font>
    <font>
      <b/>
      <i/>
      <sz val="10"/>
      <name val="Arial"/>
      <family val="2"/>
    </font>
    <font>
      <i/>
      <sz val="10"/>
      <name val="Arial"/>
      <family val="2"/>
    </font>
    <font>
      <sz val="11"/>
      <name val="Calibri"/>
      <family val="2"/>
    </font>
    <font>
      <b/>
      <i/>
      <sz val="11"/>
      <color indexed="8"/>
      <name val="Calibri"/>
      <family val="2"/>
    </font>
    <font>
      <sz val="11"/>
      <color rgb="FFFF0000"/>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0"/>
      <color rgb="FFFF0000"/>
      <name val="Arial"/>
      <family val="2"/>
    </font>
    <font>
      <sz val="11"/>
      <color theme="0" tint="-0.34998626667073579"/>
      <name val="Calibri"/>
      <family val="2"/>
      <scheme val="minor"/>
    </font>
    <font>
      <u/>
      <sz val="11"/>
      <color theme="1"/>
      <name val="Calibri"/>
      <family val="2"/>
      <scheme val="minor"/>
    </font>
    <font>
      <i/>
      <u/>
      <sz val="11"/>
      <color theme="1"/>
      <name val="Calibri"/>
      <family val="2"/>
      <scheme val="minor"/>
    </font>
    <font>
      <i/>
      <sz val="11"/>
      <color theme="1"/>
      <name val="Calibri"/>
      <family val="2"/>
      <scheme val="minor"/>
    </font>
    <font>
      <i/>
      <sz val="11"/>
      <color theme="0" tint="-0.499984740745262"/>
      <name val="Calibri"/>
      <family val="2"/>
    </font>
    <font>
      <sz val="11"/>
      <name val="Calibri"/>
      <family val="2"/>
      <scheme val="minor"/>
    </font>
    <font>
      <sz val="11"/>
      <color theme="0"/>
      <name val="Calibri"/>
      <family val="2"/>
    </font>
    <font>
      <sz val="10"/>
      <color theme="1"/>
      <name val="Arial"/>
      <family val="2"/>
    </font>
    <font>
      <sz val="10"/>
      <color rgb="FFCCFFCC"/>
      <name val="Arial"/>
      <family val="2"/>
    </font>
    <font>
      <b/>
      <sz val="12"/>
      <color indexed="8"/>
      <name val="Calibri"/>
      <family val="2"/>
    </font>
    <font>
      <b/>
      <sz val="11"/>
      <color indexed="8"/>
      <name val="Arial"/>
      <family val="2"/>
    </font>
    <font>
      <b/>
      <sz val="16"/>
      <color indexed="8"/>
      <name val="Arial"/>
      <family val="2"/>
    </font>
    <font>
      <sz val="11"/>
      <color indexed="17"/>
      <name val="Arial"/>
      <family val="2"/>
    </font>
    <font>
      <sz val="11"/>
      <color indexed="8"/>
      <name val="Calibri"/>
      <family val="2"/>
      <scheme val="minor"/>
    </font>
    <font>
      <sz val="11"/>
      <color indexed="8"/>
      <name val="Arial"/>
      <family val="2"/>
    </font>
    <font>
      <i/>
      <sz val="11"/>
      <color indexed="8"/>
      <name val="Arial"/>
      <family val="2"/>
    </font>
    <font>
      <vertAlign val="subscript"/>
      <sz val="11"/>
      <color indexed="8"/>
      <name val="Arial"/>
      <family val="2"/>
    </font>
    <font>
      <strike/>
      <sz val="11"/>
      <color indexed="8"/>
      <name val="Calibri"/>
      <family val="2"/>
    </font>
    <font>
      <strike/>
      <sz val="11"/>
      <color indexed="8"/>
      <name val="Arial"/>
      <family val="2"/>
    </font>
    <font>
      <sz val="8"/>
      <color indexed="8"/>
      <name val="Calibri"/>
      <family val="2"/>
    </font>
    <font>
      <i/>
      <sz val="11"/>
      <color theme="9" tint="-0.499984740745262"/>
      <name val="Calibri"/>
      <family val="2"/>
    </font>
    <font>
      <sz val="11"/>
      <color indexed="17"/>
      <name val="Calibri"/>
      <family val="2"/>
    </font>
    <font>
      <sz val="14"/>
      <name val="Calibri"/>
      <family val="2"/>
    </font>
    <font>
      <b/>
      <sz val="24"/>
      <color indexed="17"/>
      <name val="Arial"/>
      <family val="2"/>
    </font>
    <font>
      <sz val="14"/>
      <name val="Calibri"/>
      <family val="2"/>
      <scheme val="minor"/>
    </font>
    <font>
      <sz val="14"/>
      <color theme="1"/>
      <name val="Calibri"/>
      <family val="2"/>
      <scheme val="minor"/>
    </font>
    <font>
      <sz val="10"/>
      <color indexed="50"/>
      <name val="Arial"/>
      <family val="2"/>
    </font>
    <font>
      <b/>
      <sz val="36"/>
      <color indexed="17"/>
      <name val="Arial"/>
      <family val="2"/>
    </font>
    <font>
      <b/>
      <sz val="12"/>
      <color indexed="10"/>
      <name val="Calibri"/>
      <family val="2"/>
    </font>
    <font>
      <u/>
      <sz val="11"/>
      <color theme="10"/>
      <name val="Calibri"/>
      <family val="2"/>
      <scheme val="minor"/>
    </font>
    <font>
      <u/>
      <sz val="14"/>
      <color theme="1"/>
      <name val="Calibri"/>
      <family val="2"/>
      <scheme val="minor"/>
    </font>
    <font>
      <i/>
      <sz val="11"/>
      <color theme="0" tint="-0.34998626667073579"/>
      <name val="Calibri"/>
      <family val="2"/>
      <scheme val="minor"/>
    </font>
    <font>
      <b/>
      <sz val="11"/>
      <color theme="0" tint="-0.34998626667073579"/>
      <name val="Calibri"/>
      <family val="2"/>
      <scheme val="minor"/>
    </font>
    <font>
      <u/>
      <sz val="11"/>
      <color theme="0" tint="-0.34998626667073579"/>
      <name val="Calibri"/>
      <family val="2"/>
      <scheme val="minor"/>
    </font>
    <font>
      <sz val="8"/>
      <color theme="1"/>
      <name val="Calibri"/>
      <family val="2"/>
      <scheme val="minor"/>
    </font>
    <font>
      <sz val="11"/>
      <color theme="0" tint="-0.499984740745262"/>
      <name val="Calibri"/>
      <family val="2"/>
      <scheme val="minor"/>
    </font>
  </fonts>
  <fills count="33">
    <fill>
      <patternFill patternType="none"/>
    </fill>
    <fill>
      <patternFill patternType="gray125"/>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0" tint="-0.34998626667073579"/>
        <bgColor indexed="64"/>
      </patternFill>
    </fill>
    <fill>
      <patternFill patternType="solid">
        <fgColor indexed="9"/>
        <bgColor indexed="64"/>
      </patternFill>
    </fill>
    <fill>
      <patternFill patternType="solid">
        <fgColor rgb="FFCCFFCC"/>
        <bgColor indexed="64"/>
      </patternFill>
    </fill>
    <fill>
      <patternFill patternType="solid">
        <fgColor indexed="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9"/>
        <bgColor indexed="64"/>
      </patternFill>
    </fill>
    <fill>
      <patternFill patternType="solid">
        <fgColor rgb="FFFFC00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5"/>
        <bgColor indexed="64"/>
      </patternFill>
    </fill>
    <fill>
      <patternFill patternType="solid">
        <fgColor theme="2"/>
        <bgColor indexed="64"/>
      </patternFill>
    </fill>
  </fills>
  <borders count="25">
    <border>
      <left/>
      <right/>
      <top/>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top/>
      <bottom style="thin">
        <color theme="4" tint="0.39997558519241921"/>
      </bottom>
      <diagonal/>
    </border>
    <border>
      <left/>
      <right/>
      <top style="thin">
        <color theme="4" tint="0.39997558519241921"/>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s>
  <cellStyleXfs count="19">
    <xf numFmtId="0" fontId="0" fillId="0" borderId="0"/>
    <xf numFmtId="0" fontId="1" fillId="0" borderId="0"/>
    <xf numFmtId="0" fontId="10" fillId="0" borderId="1" applyNumberFormat="0" applyFill="0" applyAlignment="0" applyProtection="0"/>
    <xf numFmtId="43" fontId="11" fillId="0" borderId="0" applyFont="0" applyFill="0" applyBorder="0" applyAlignment="0" applyProtection="0"/>
    <xf numFmtId="9" fontId="11" fillId="0" borderId="0" applyFont="0" applyFill="0" applyBorder="0" applyAlignment="0" applyProtection="0"/>
    <xf numFmtId="0" fontId="6" fillId="0" borderId="0"/>
    <xf numFmtId="0" fontId="11" fillId="0" borderId="0"/>
    <xf numFmtId="9" fontId="1" fillId="0" borderId="0" applyFont="0" applyFill="0" applyBorder="0" applyAlignment="0" applyProtection="0"/>
    <xf numFmtId="0" fontId="24" fillId="0" borderId="0"/>
    <xf numFmtId="9" fontId="11" fillId="0" borderId="0" applyFont="0" applyFill="0" applyBorder="0" applyAlignment="0" applyProtection="0"/>
    <xf numFmtId="0" fontId="11" fillId="0" borderId="0"/>
    <xf numFmtId="0" fontId="20" fillId="0" borderId="0"/>
    <xf numFmtId="0" fontId="1" fillId="0" borderId="0"/>
    <xf numFmtId="9" fontId="11" fillId="0" borderId="0" applyFont="0" applyFill="0" applyBorder="0" applyAlignment="0" applyProtection="0"/>
    <xf numFmtId="0" fontId="62" fillId="0" borderId="0" applyNumberFormat="0" applyFill="0" applyBorder="0" applyAlignment="0" applyProtection="0"/>
    <xf numFmtId="167" fontId="1" fillId="0" borderId="0" applyFont="0" applyFill="0" applyBorder="0" applyAlignment="0" applyProtection="0"/>
    <xf numFmtId="0" fontId="1" fillId="0" borderId="0"/>
    <xf numFmtId="0" fontId="11" fillId="0" borderId="0"/>
    <xf numFmtId="0" fontId="11" fillId="0" borderId="0"/>
  </cellStyleXfs>
  <cellXfs count="389">
    <xf numFmtId="0" fontId="0" fillId="0" borderId="0" xfId="0"/>
    <xf numFmtId="0" fontId="2" fillId="0" borderId="0" xfId="1" applyFont="1"/>
    <xf numFmtId="0" fontId="1" fillId="0" borderId="0" xfId="1"/>
    <xf numFmtId="0" fontId="3" fillId="0" borderId="0" xfId="1" applyFont="1"/>
    <xf numFmtId="0" fontId="3" fillId="2" borderId="0" xfId="1" applyFont="1" applyFill="1" applyAlignment="1">
      <alignment wrapText="1"/>
    </xf>
    <xf numFmtId="0" fontId="4" fillId="0" borderId="0" xfId="1" applyFont="1"/>
    <xf numFmtId="0" fontId="5" fillId="0" borderId="0" xfId="1" applyFont="1"/>
    <xf numFmtId="0" fontId="4" fillId="3" borderId="0" xfId="1" applyFont="1" applyFill="1"/>
    <xf numFmtId="0" fontId="6" fillId="0" borderId="0" xfId="1" applyFont="1"/>
    <xf numFmtId="0" fontId="6" fillId="3" borderId="0" xfId="1" applyFont="1" applyFill="1"/>
    <xf numFmtId="0" fontId="7" fillId="0" borderId="0" xfId="1" applyFont="1"/>
    <xf numFmtId="0" fontId="6" fillId="0" borderId="0" xfId="1" applyFont="1" applyAlignment="1">
      <alignment horizontal="left" wrapText="1"/>
    </xf>
    <xf numFmtId="0" fontId="8" fillId="0" borderId="0" xfId="1" applyFont="1"/>
    <xf numFmtId="0" fontId="8" fillId="2" borderId="0" xfId="1" applyFont="1" applyFill="1" applyAlignment="1">
      <alignment wrapText="1"/>
    </xf>
    <xf numFmtId="0" fontId="6" fillId="4" borderId="0" xfId="1" applyFont="1" applyFill="1"/>
    <xf numFmtId="0" fontId="9" fillId="0" borderId="0" xfId="1" applyFont="1"/>
    <xf numFmtId="0" fontId="3" fillId="0" borderId="0" xfId="1" applyFont="1" applyAlignment="1">
      <alignment vertical="top" wrapText="1"/>
    </xf>
    <xf numFmtId="0" fontId="12" fillId="0" borderId="0" xfId="1" applyFont="1"/>
    <xf numFmtId="0" fontId="12" fillId="0" borderId="0" xfId="1" applyFont="1" applyFill="1"/>
    <xf numFmtId="0" fontId="6" fillId="0" borderId="0" xfId="1" applyFont="1" applyFill="1"/>
    <xf numFmtId="0" fontId="13" fillId="0" borderId="0" xfId="1" applyFont="1"/>
    <xf numFmtId="0" fontId="13" fillId="3" borderId="0" xfId="1" applyFont="1" applyFill="1"/>
    <xf numFmtId="0" fontId="14" fillId="0" borderId="0" xfId="0" applyFont="1"/>
    <xf numFmtId="0" fontId="10" fillId="0" borderId="1" xfId="2" applyAlignment="1">
      <alignment wrapText="1"/>
    </xf>
    <xf numFmtId="0" fontId="0" fillId="0" borderId="0" xfId="0" applyAlignment="1">
      <alignment wrapText="1"/>
    </xf>
    <xf numFmtId="0" fontId="1" fillId="0" borderId="0" xfId="1" applyAlignment="1">
      <alignment wrapText="1"/>
    </xf>
    <xf numFmtId="0" fontId="15" fillId="0" borderId="0" xfId="0" applyFont="1" applyAlignment="1" applyProtection="1">
      <alignment wrapText="1"/>
      <protection hidden="1"/>
    </xf>
    <xf numFmtId="9" fontId="1" fillId="0" borderId="0" xfId="4" applyFont="1"/>
    <xf numFmtId="0" fontId="0" fillId="0" borderId="0" xfId="1" applyFont="1" applyAlignment="1">
      <alignment wrapText="1"/>
    </xf>
    <xf numFmtId="0" fontId="8" fillId="0" borderId="0" xfId="2" applyFont="1" applyBorder="1" applyAlignment="1">
      <alignment wrapText="1"/>
    </xf>
    <xf numFmtId="0" fontId="0" fillId="4" borderId="0" xfId="0" applyFill="1" applyAlignment="1">
      <alignment wrapText="1"/>
    </xf>
    <xf numFmtId="0" fontId="6" fillId="0" borderId="0" xfId="5"/>
    <xf numFmtId="9" fontId="6" fillId="0" borderId="0" xfId="4" applyFont="1"/>
    <xf numFmtId="0" fontId="19" fillId="5" borderId="0" xfId="0" applyFont="1" applyFill="1"/>
    <xf numFmtId="0" fontId="0" fillId="5" borderId="0" xfId="0" applyFill="1"/>
    <xf numFmtId="164" fontId="0" fillId="0" borderId="0" xfId="0" applyNumberFormat="1"/>
    <xf numFmtId="0" fontId="6" fillId="0" borderId="0" xfId="5" applyAlignment="1">
      <alignment wrapText="1"/>
    </xf>
    <xf numFmtId="0" fontId="11" fillId="0" borderId="0" xfId="5" applyFont="1" applyAlignment="1">
      <alignment wrapText="1"/>
    </xf>
    <xf numFmtId="164" fontId="6" fillId="0" borderId="0" xfId="5" applyNumberFormat="1" applyAlignment="1">
      <alignment wrapText="1"/>
    </xf>
    <xf numFmtId="2" fontId="6" fillId="0" borderId="0" xfId="3" applyNumberFormat="1" applyFont="1"/>
    <xf numFmtId="2" fontId="0" fillId="0" borderId="0" xfId="3" applyNumberFormat="1" applyFont="1"/>
    <xf numFmtId="0" fontId="0" fillId="6" borderId="2" xfId="0" applyFill="1" applyBorder="1" applyAlignment="1">
      <alignment wrapText="1"/>
    </xf>
    <xf numFmtId="0" fontId="0" fillId="0" borderId="3" xfId="0" applyBorder="1" applyAlignment="1">
      <alignment wrapText="1"/>
    </xf>
    <xf numFmtId="0" fontId="0" fillId="0" borderId="4" xfId="0" applyBorder="1" applyAlignment="1">
      <alignment wrapText="1"/>
    </xf>
    <xf numFmtId="0" fontId="0" fillId="0" borderId="5" xfId="0" applyBorder="1" applyAlignment="1">
      <alignment wrapText="1"/>
    </xf>
    <xf numFmtId="0" fontId="3" fillId="7" borderId="0" xfId="0" applyFont="1" applyFill="1"/>
    <xf numFmtId="0" fontId="0" fillId="7" borderId="0" xfId="0" applyFill="1"/>
    <xf numFmtId="0" fontId="20" fillId="8" borderId="0" xfId="0" applyFont="1" applyFill="1" applyAlignment="1">
      <alignment wrapText="1"/>
    </xf>
    <xf numFmtId="0" fontId="21" fillId="0" borderId="0" xfId="6" applyFont="1" applyAlignment="1">
      <alignment horizontal="center" vertical="center" wrapText="1"/>
    </xf>
    <xf numFmtId="0" fontId="22" fillId="0" borderId="0" xfId="6" applyFont="1" applyAlignment="1">
      <alignment horizontal="center" vertical="center" wrapText="1"/>
    </xf>
    <xf numFmtId="0" fontId="20" fillId="9" borderId="0" xfId="6" applyFont="1" applyFill="1" applyAlignment="1">
      <alignment vertical="top" wrapText="1"/>
    </xf>
    <xf numFmtId="0" fontId="23" fillId="9" borderId="0" xfId="6" applyFont="1" applyFill="1" applyAlignment="1">
      <alignment vertical="top" wrapText="1"/>
    </xf>
    <xf numFmtId="0" fontId="23" fillId="10" borderId="0" xfId="6" applyFont="1" applyFill="1" applyAlignment="1">
      <alignment wrapText="1"/>
    </xf>
    <xf numFmtId="0" fontId="20" fillId="9" borderId="0" xfId="6" applyFont="1" applyFill="1"/>
    <xf numFmtId="0" fontId="21" fillId="11" borderId="0" xfId="6" applyFont="1" applyFill="1" applyAlignment="1">
      <alignment wrapText="1"/>
    </xf>
    <xf numFmtId="0" fontId="11" fillId="11" borderId="0" xfId="6" applyFill="1"/>
    <xf numFmtId="0" fontId="11" fillId="11" borderId="0" xfId="6" applyFill="1" applyAlignment="1">
      <alignment wrapText="1"/>
    </xf>
    <xf numFmtId="0" fontId="20" fillId="11" borderId="0" xfId="6" applyFont="1" applyFill="1" applyAlignment="1">
      <alignment wrapText="1"/>
    </xf>
    <xf numFmtId="0" fontId="15" fillId="0" borderId="0" xfId="0" applyFont="1"/>
    <xf numFmtId="0" fontId="15" fillId="0" borderId="0" xfId="0" applyFont="1" applyAlignment="1">
      <alignment wrapText="1"/>
    </xf>
    <xf numFmtId="0" fontId="21" fillId="12" borderId="0" xfId="6" applyFont="1" applyFill="1" applyAlignment="1">
      <alignment wrapText="1"/>
    </xf>
    <xf numFmtId="0" fontId="3" fillId="12" borderId="0" xfId="1" applyFont="1" applyFill="1" applyAlignment="1">
      <alignment vertical="top" wrapText="1"/>
    </xf>
    <xf numFmtId="9" fontId="6" fillId="0" borderId="0" xfId="5" applyNumberFormat="1"/>
    <xf numFmtId="0" fontId="24" fillId="0" borderId="0" xfId="8"/>
    <xf numFmtId="0" fontId="18" fillId="0" borderId="0" xfId="0" applyFont="1" applyProtection="1">
      <protection hidden="1"/>
    </xf>
    <xf numFmtId="0" fontId="25" fillId="0" borderId="0" xfId="0" applyFont="1" applyProtection="1">
      <protection hidden="1"/>
    </xf>
    <xf numFmtId="0" fontId="0" fillId="0" borderId="0" xfId="0" applyProtection="1">
      <protection hidden="1"/>
    </xf>
    <xf numFmtId="0" fontId="21" fillId="0" borderId="0" xfId="6" applyFont="1" applyAlignment="1" applyProtection="1">
      <alignment horizontal="center" vertical="center" wrapText="1"/>
      <protection hidden="1"/>
    </xf>
    <xf numFmtId="0" fontId="22" fillId="0" borderId="0" xfId="6" applyFont="1" applyAlignment="1" applyProtection="1">
      <alignment horizontal="center" vertical="center" wrapText="1"/>
      <protection hidden="1"/>
    </xf>
    <xf numFmtId="0" fontId="20" fillId="0" borderId="0" xfId="6" applyFont="1" applyAlignment="1" applyProtection="1">
      <alignment vertical="top"/>
      <protection hidden="1"/>
    </xf>
    <xf numFmtId="0" fontId="21" fillId="13" borderId="3" xfId="6" applyFont="1" applyFill="1" applyBorder="1" applyAlignment="1" applyProtection="1">
      <alignment horizontal="center" vertical="center" wrapText="1"/>
      <protection hidden="1"/>
    </xf>
    <xf numFmtId="0" fontId="21" fillId="13" borderId="5" xfId="6" applyFont="1" applyFill="1" applyBorder="1" applyAlignment="1" applyProtection="1">
      <alignment horizontal="center" vertical="center"/>
      <protection hidden="1"/>
    </xf>
    <xf numFmtId="0" fontId="20" fillId="0" borderId="0" xfId="6" applyFont="1" applyAlignment="1" applyProtection="1">
      <alignment horizontal="center" vertical="center" wrapText="1"/>
      <protection hidden="1"/>
    </xf>
    <xf numFmtId="0" fontId="15" fillId="5" borderId="0" xfId="0" applyFont="1" applyFill="1" applyAlignment="1" applyProtection="1">
      <alignment wrapText="1"/>
      <protection hidden="1"/>
    </xf>
    <xf numFmtId="0" fontId="15" fillId="12" borderId="0" xfId="0" applyFont="1" applyFill="1" applyAlignment="1" applyProtection="1">
      <alignment wrapText="1"/>
      <protection hidden="1"/>
    </xf>
    <xf numFmtId="0" fontId="24" fillId="0" borderId="0" xfId="8" applyNumberFormat="1"/>
    <xf numFmtId="0" fontId="15" fillId="12" borderId="0" xfId="0" applyNumberFormat="1" applyFont="1" applyFill="1" applyAlignment="1" applyProtection="1">
      <alignment wrapText="1"/>
      <protection hidden="1"/>
    </xf>
    <xf numFmtId="9" fontId="24" fillId="0" borderId="0" xfId="4" applyFont="1"/>
    <xf numFmtId="0" fontId="27" fillId="14" borderId="6" xfId="6" applyFont="1" applyFill="1" applyBorder="1" applyAlignment="1">
      <alignment horizontal="left"/>
    </xf>
    <xf numFmtId="0" fontId="27" fillId="14" borderId="6" xfId="6" applyFont="1" applyFill="1" applyBorder="1" applyAlignment="1">
      <alignment horizontal="center" vertical="center" wrapText="1"/>
    </xf>
    <xf numFmtId="0" fontId="27" fillId="14" borderId="6" xfId="6" applyFont="1" applyFill="1" applyBorder="1" applyAlignment="1">
      <alignment horizontal="center" vertical="center"/>
    </xf>
    <xf numFmtId="0" fontId="11" fillId="0" borderId="0" xfId="6"/>
    <xf numFmtId="165" fontId="11" fillId="14" borderId="7" xfId="6" applyNumberFormat="1" applyFill="1" applyBorder="1"/>
    <xf numFmtId="9" fontId="0" fillId="14" borderId="0" xfId="4" applyFont="1" applyFill="1" applyAlignment="1">
      <alignment horizontal="center" vertical="center"/>
    </xf>
    <xf numFmtId="1" fontId="0" fillId="14" borderId="0" xfId="9" applyNumberFormat="1" applyFont="1" applyFill="1" applyAlignment="1">
      <alignment horizontal="center" vertical="center"/>
    </xf>
    <xf numFmtId="1" fontId="11" fillId="14" borderId="0" xfId="6" applyNumberFormat="1" applyFill="1" applyAlignment="1">
      <alignment horizontal="center" vertical="center"/>
    </xf>
    <xf numFmtId="3" fontId="11" fillId="14" borderId="0" xfId="6" applyNumberFormat="1" applyFill="1" applyAlignment="1">
      <alignment horizontal="center" vertical="center"/>
    </xf>
    <xf numFmtId="3" fontId="11" fillId="14" borderId="8" xfId="6" applyNumberFormat="1" applyFill="1" applyBorder="1" applyAlignment="1">
      <alignment horizontal="center" vertical="center"/>
    </xf>
    <xf numFmtId="165" fontId="11" fillId="14" borderId="8" xfId="6" applyNumberFormat="1" applyFill="1" applyBorder="1"/>
    <xf numFmtId="165" fontId="11" fillId="14" borderId="9" xfId="6" applyNumberFormat="1" applyFill="1" applyBorder="1"/>
    <xf numFmtId="1" fontId="11" fillId="14" borderId="6" xfId="6" applyNumberFormat="1" applyFill="1" applyBorder="1" applyAlignment="1">
      <alignment horizontal="center" vertical="center"/>
    </xf>
    <xf numFmtId="165" fontId="11" fillId="14" borderId="6" xfId="6" applyNumberFormat="1" applyFill="1" applyBorder="1" applyAlignment="1">
      <alignment horizontal="center" vertical="center"/>
    </xf>
    <xf numFmtId="165" fontId="11" fillId="14" borderId="10" xfId="6" applyNumberFormat="1" applyFill="1" applyBorder="1" applyAlignment="1">
      <alignment horizontal="center" vertical="center"/>
    </xf>
    <xf numFmtId="165" fontId="27" fillId="14" borderId="11" xfId="6" applyNumberFormat="1" applyFont="1" applyFill="1" applyBorder="1"/>
    <xf numFmtId="9" fontId="0" fillId="14" borderId="12" xfId="4" applyFont="1" applyFill="1" applyBorder="1" applyAlignment="1">
      <alignment horizontal="center" vertical="center"/>
    </xf>
    <xf numFmtId="1" fontId="27" fillId="14" borderId="12" xfId="9" applyNumberFormat="1" applyFont="1" applyFill="1" applyBorder="1" applyAlignment="1">
      <alignment horizontal="center" vertical="center"/>
    </xf>
    <xf numFmtId="3" fontId="27" fillId="14" borderId="12" xfId="6" applyNumberFormat="1" applyFont="1" applyFill="1" applyBorder="1" applyAlignment="1">
      <alignment horizontal="center"/>
    </xf>
    <xf numFmtId="3" fontId="27" fillId="14" borderId="0" xfId="6" applyNumberFormat="1" applyFont="1" applyFill="1" applyAlignment="1">
      <alignment horizontal="center"/>
    </xf>
    <xf numFmtId="3" fontId="27" fillId="14" borderId="8" xfId="6" applyNumberFormat="1" applyFont="1" applyFill="1" applyBorder="1" applyAlignment="1">
      <alignment horizontal="center"/>
    </xf>
    <xf numFmtId="165" fontId="11" fillId="14" borderId="11" xfId="6" applyNumberFormat="1" applyFill="1" applyBorder="1"/>
    <xf numFmtId="1" fontId="27" fillId="14" borderId="0" xfId="9" applyNumberFormat="1" applyFont="1" applyFill="1" applyAlignment="1">
      <alignment horizontal="center" vertical="center"/>
    </xf>
    <xf numFmtId="3" fontId="27" fillId="0" borderId="0" xfId="6" applyNumberFormat="1" applyFont="1" applyAlignment="1">
      <alignment horizontal="center"/>
    </xf>
    <xf numFmtId="0" fontId="11" fillId="14" borderId="13" xfId="6" applyFill="1" applyBorder="1"/>
    <xf numFmtId="9" fontId="0" fillId="14" borderId="6" xfId="4" applyFont="1" applyFill="1" applyBorder="1" applyAlignment="1">
      <alignment horizontal="center" vertical="center"/>
    </xf>
    <xf numFmtId="9" fontId="27" fillId="14" borderId="6" xfId="4" applyFont="1" applyFill="1" applyBorder="1" applyAlignment="1">
      <alignment horizontal="center" vertical="center"/>
    </xf>
    <xf numFmtId="9" fontId="27" fillId="14" borderId="6" xfId="9" applyFont="1" applyFill="1" applyBorder="1" applyAlignment="1">
      <alignment horizontal="center"/>
    </xf>
    <xf numFmtId="9" fontId="3" fillId="14" borderId="6" xfId="9" applyFont="1" applyFill="1" applyBorder="1" applyAlignment="1">
      <alignment horizontal="center"/>
    </xf>
    <xf numFmtId="9" fontId="3" fillId="14" borderId="10" xfId="9" applyFont="1" applyFill="1" applyBorder="1" applyAlignment="1">
      <alignment horizontal="center"/>
    </xf>
    <xf numFmtId="166" fontId="11" fillId="0" borderId="12" xfId="6" applyNumberFormat="1" applyBorder="1"/>
    <xf numFmtId="166" fontId="11" fillId="0" borderId="0" xfId="6" applyNumberFormat="1"/>
    <xf numFmtId="9" fontId="11" fillId="0" borderId="0" xfId="7" applyFont="1"/>
    <xf numFmtId="164" fontId="11" fillId="0" borderId="0" xfId="7" applyNumberFormat="1" applyFont="1"/>
    <xf numFmtId="0" fontId="11" fillId="0" borderId="0" xfId="6" applyAlignment="1">
      <alignment horizontal="right"/>
    </xf>
    <xf numFmtId="0" fontId="0" fillId="0" borderId="0" xfId="6" applyFont="1"/>
    <xf numFmtId="0" fontId="21" fillId="15" borderId="0" xfId="0" applyFont="1" applyFill="1"/>
    <xf numFmtId="2" fontId="32" fillId="15" borderId="0" xfId="6" applyNumberFormat="1" applyFont="1" applyFill="1"/>
    <xf numFmtId="2" fontId="20" fillId="0" borderId="0" xfId="6" applyNumberFormat="1" applyFont="1"/>
    <xf numFmtId="0" fontId="20" fillId="16" borderId="0" xfId="0" applyFont="1" applyFill="1"/>
    <xf numFmtId="2" fontId="0" fillId="17" borderId="0" xfId="0" applyNumberFormat="1" applyFill="1"/>
    <xf numFmtId="166" fontId="0" fillId="17" borderId="0" xfId="0" applyNumberFormat="1" applyFill="1"/>
    <xf numFmtId="0" fontId="0" fillId="17" borderId="0" xfId="0" applyFill="1"/>
    <xf numFmtId="2" fontId="26" fillId="17" borderId="0" xfId="0" applyNumberFormat="1" applyFont="1" applyFill="1"/>
    <xf numFmtId="0" fontId="21" fillId="0" borderId="0" xfId="0" applyFont="1"/>
    <xf numFmtId="0" fontId="20" fillId="0" borderId="0" xfId="0" applyFont="1"/>
    <xf numFmtId="0" fontId="26" fillId="0" borderId="0" xfId="0" applyFont="1"/>
    <xf numFmtId="0" fontId="27" fillId="18" borderId="14" xfId="0" applyFont="1" applyFill="1" applyBorder="1" applyAlignment="1">
      <alignment wrapText="1"/>
    </xf>
    <xf numFmtId="0" fontId="27" fillId="0" borderId="14" xfId="0" applyFont="1" applyBorder="1" applyAlignment="1">
      <alignment horizontal="left"/>
    </xf>
    <xf numFmtId="0" fontId="27" fillId="18" borderId="15" xfId="0" applyFont="1" applyFill="1" applyBorder="1" applyAlignment="1">
      <alignment horizontal="left"/>
    </xf>
    <xf numFmtId="1" fontId="0" fillId="0" borderId="12" xfId="9" applyNumberFormat="1" applyFont="1" applyFill="1" applyBorder="1" applyAlignment="1">
      <alignment horizontal="center" vertical="center"/>
    </xf>
    <xf numFmtId="0" fontId="0" fillId="0" borderId="14" xfId="0" applyFont="1" applyBorder="1"/>
    <xf numFmtId="0" fontId="0" fillId="0" borderId="0" xfId="0" applyFont="1" applyAlignment="1">
      <alignment horizontal="left"/>
    </xf>
    <xf numFmtId="0" fontId="1" fillId="0" borderId="0" xfId="1" applyFont="1"/>
    <xf numFmtId="0" fontId="0" fillId="18" borderId="15" xfId="0" applyFont="1" applyFill="1" applyBorder="1"/>
    <xf numFmtId="0" fontId="0" fillId="0" borderId="0" xfId="0" applyFont="1"/>
    <xf numFmtId="0" fontId="27" fillId="0" borderId="0" xfId="0" applyFont="1"/>
    <xf numFmtId="0" fontId="0" fillId="0" borderId="0" xfId="0" applyFont="1" applyFill="1"/>
    <xf numFmtId="0" fontId="6" fillId="0" borderId="0" xfId="8" applyFont="1"/>
    <xf numFmtId="1" fontId="0" fillId="14" borderId="0" xfId="4" applyNumberFormat="1" applyFont="1" applyFill="1" applyAlignment="1">
      <alignment horizontal="center" vertical="center"/>
    </xf>
    <xf numFmtId="1" fontId="0" fillId="14" borderId="12" xfId="4" applyNumberFormat="1" applyFont="1" applyFill="1" applyBorder="1" applyAlignment="1">
      <alignment horizontal="center" vertical="center"/>
    </xf>
    <xf numFmtId="1" fontId="0" fillId="14" borderId="0" xfId="4" applyNumberFormat="1" applyFont="1" applyFill="1" applyBorder="1" applyAlignment="1">
      <alignment horizontal="center" vertical="center"/>
    </xf>
    <xf numFmtId="9" fontId="0" fillId="14" borderId="0" xfId="4" applyFont="1" applyFill="1" applyBorder="1" applyAlignment="1">
      <alignment horizontal="center" vertical="center"/>
    </xf>
    <xf numFmtId="0" fontId="33" fillId="0" borderId="0" xfId="0" applyFont="1"/>
    <xf numFmtId="0" fontId="21" fillId="0" borderId="0" xfId="0" applyFont="1" applyFill="1"/>
    <xf numFmtId="0" fontId="20" fillId="0" borderId="0" xfId="0" applyFont="1" applyFill="1"/>
    <xf numFmtId="0" fontId="0" fillId="0" borderId="0" xfId="0" applyFill="1"/>
    <xf numFmtId="0" fontId="6" fillId="0" borderId="0" xfId="5" applyFill="1"/>
    <xf numFmtId="0" fontId="27" fillId="15" borderId="11" xfId="0" applyFont="1" applyFill="1" applyBorder="1"/>
    <xf numFmtId="0" fontId="0" fillId="15" borderId="11" xfId="0" applyFill="1" applyBorder="1"/>
    <xf numFmtId="0" fontId="3" fillId="0" borderId="2" xfId="0" applyFont="1" applyBorder="1" applyAlignment="1">
      <alignment vertical="top" wrapText="1"/>
    </xf>
    <xf numFmtId="0" fontId="3" fillId="7" borderId="2" xfId="0" applyFont="1" applyFill="1" applyBorder="1" applyAlignment="1">
      <alignment vertical="top" wrapText="1"/>
    </xf>
    <xf numFmtId="0" fontId="0" fillId="0" borderId="0" xfId="0" applyAlignment="1">
      <alignment vertical="top" wrapText="1"/>
    </xf>
    <xf numFmtId="0" fontId="0" fillId="15" borderId="11" xfId="0" applyFill="1" applyBorder="1" applyAlignment="1">
      <alignment vertical="top" wrapText="1"/>
    </xf>
    <xf numFmtId="0" fontId="0" fillId="15" borderId="11" xfId="0" applyFill="1" applyBorder="1" applyAlignment="1">
      <alignment vertical="top"/>
    </xf>
    <xf numFmtId="0" fontId="36" fillId="0" borderId="0" xfId="0" applyFont="1" applyAlignment="1">
      <alignment wrapText="1"/>
    </xf>
    <xf numFmtId="0" fontId="27" fillId="0" borderId="0" xfId="8" applyFont="1"/>
    <xf numFmtId="0" fontId="37" fillId="0" borderId="0" xfId="0" applyFont="1"/>
    <xf numFmtId="0" fontId="3" fillId="0" borderId="0" xfId="0" applyFont="1" applyAlignment="1">
      <alignment vertical="top" wrapText="1"/>
    </xf>
    <xf numFmtId="0" fontId="11" fillId="0" borderId="0" xfId="8" applyFont="1"/>
    <xf numFmtId="0" fontId="8" fillId="19" borderId="0" xfId="0" applyFont="1" applyFill="1"/>
    <xf numFmtId="0" fontId="24" fillId="0" borderId="0" xfId="8" applyAlignment="1">
      <alignment horizontal="center"/>
    </xf>
    <xf numFmtId="0" fontId="24" fillId="0" borderId="0" xfId="8" applyAlignment="1">
      <alignment horizontal="right"/>
    </xf>
    <xf numFmtId="0" fontId="3" fillId="0" borderId="0" xfId="8" applyFont="1" applyAlignment="1">
      <alignment vertical="top" wrapText="1"/>
    </xf>
    <xf numFmtId="0" fontId="11" fillId="20" borderId="0" xfId="10" applyFill="1" applyProtection="1">
      <protection hidden="1"/>
    </xf>
    <xf numFmtId="0" fontId="38" fillId="20" borderId="0" xfId="10" applyFont="1" applyFill="1" applyProtection="1">
      <protection hidden="1"/>
    </xf>
    <xf numFmtId="0" fontId="28" fillId="20" borderId="0" xfId="10" applyFont="1" applyFill="1" applyProtection="1">
      <protection hidden="1"/>
    </xf>
    <xf numFmtId="0" fontId="39" fillId="20" borderId="0" xfId="10" applyFont="1" applyFill="1" applyProtection="1">
      <protection hidden="1"/>
    </xf>
    <xf numFmtId="0" fontId="39" fillId="14" borderId="0" xfId="10" applyFont="1" applyFill="1" applyProtection="1">
      <protection hidden="1"/>
    </xf>
    <xf numFmtId="0" fontId="11" fillId="21" borderId="0" xfId="10" applyFill="1" applyProtection="1">
      <protection hidden="1"/>
    </xf>
    <xf numFmtId="0" fontId="20" fillId="22" borderId="0" xfId="11" applyFill="1" applyProtection="1">
      <protection hidden="1"/>
    </xf>
    <xf numFmtId="9" fontId="40" fillId="21" borderId="0" xfId="7" applyFont="1" applyFill="1" applyProtection="1">
      <protection hidden="1"/>
    </xf>
    <xf numFmtId="0" fontId="41" fillId="21" borderId="0" xfId="10" applyFont="1" applyFill="1" applyProtection="1">
      <protection hidden="1"/>
    </xf>
    <xf numFmtId="0" fontId="20" fillId="22" borderId="0" xfId="11" applyFill="1" applyAlignment="1" applyProtection="1">
      <alignment wrapText="1"/>
      <protection hidden="1"/>
    </xf>
    <xf numFmtId="0" fontId="20" fillId="20" borderId="0" xfId="11" applyFill="1" applyProtection="1">
      <protection locked="0" hidden="1"/>
    </xf>
    <xf numFmtId="0" fontId="1" fillId="22" borderId="0" xfId="12" applyFill="1" applyProtection="1">
      <protection hidden="1"/>
    </xf>
    <xf numFmtId="0" fontId="1" fillId="21" borderId="0" xfId="12" applyFill="1" applyProtection="1">
      <protection hidden="1"/>
    </xf>
    <xf numFmtId="0" fontId="42" fillId="22" borderId="0" xfId="12" applyFont="1" applyFill="1" applyProtection="1">
      <protection hidden="1"/>
    </xf>
    <xf numFmtId="0" fontId="11" fillId="14" borderId="0" xfId="10" applyFill="1" applyProtection="1">
      <protection hidden="1"/>
    </xf>
    <xf numFmtId="0" fontId="43" fillId="22" borderId="0" xfId="12" applyFont="1" applyFill="1" applyProtection="1">
      <protection hidden="1"/>
    </xf>
    <xf numFmtId="9" fontId="1" fillId="22" borderId="0" xfId="13" applyFont="1" applyFill="1" applyProtection="1">
      <protection hidden="1"/>
    </xf>
    <xf numFmtId="0" fontId="44" fillId="22" borderId="0" xfId="12" applyFont="1" applyFill="1" applyProtection="1">
      <protection hidden="1"/>
    </xf>
    <xf numFmtId="0" fontId="3" fillId="22" borderId="0" xfId="12" applyFont="1" applyFill="1" applyProtection="1">
      <protection hidden="1"/>
    </xf>
    <xf numFmtId="0" fontId="45" fillId="22" borderId="0" xfId="12" applyFont="1" applyFill="1" applyProtection="1">
      <protection hidden="1"/>
    </xf>
    <xf numFmtId="0" fontId="1" fillId="14" borderId="0" xfId="12" applyFill="1" applyProtection="1">
      <protection hidden="1"/>
    </xf>
    <xf numFmtId="2" fontId="46" fillId="21" borderId="0" xfId="12" applyNumberFormat="1" applyFont="1" applyFill="1" applyAlignment="1" applyProtection="1">
      <alignment horizontal="left" wrapText="1"/>
      <protection hidden="1"/>
    </xf>
    <xf numFmtId="0" fontId="15" fillId="22" borderId="0" xfId="12" applyFont="1" applyFill="1" applyProtection="1">
      <protection hidden="1"/>
    </xf>
    <xf numFmtId="0" fontId="47" fillId="22" borderId="0" xfId="12" applyFont="1" applyFill="1" applyProtection="1">
      <protection hidden="1"/>
    </xf>
    <xf numFmtId="0" fontId="47" fillId="22" borderId="0" xfId="12" applyFont="1" applyFill="1" applyAlignment="1" applyProtection="1">
      <alignment horizontal="left"/>
      <protection hidden="1"/>
    </xf>
    <xf numFmtId="166" fontId="1" fillId="20" borderId="0" xfId="12" applyNumberFormat="1" applyFill="1" applyAlignment="1" applyProtection="1">
      <alignment horizontal="left"/>
      <protection hidden="1"/>
    </xf>
    <xf numFmtId="0" fontId="48" fillId="22" borderId="0" xfId="12" applyFont="1" applyFill="1" applyProtection="1">
      <protection hidden="1"/>
    </xf>
    <xf numFmtId="9" fontId="1" fillId="20" borderId="0" xfId="13" applyFont="1" applyFill="1" applyAlignment="1" applyProtection="1">
      <alignment horizontal="left"/>
      <protection hidden="1"/>
    </xf>
    <xf numFmtId="1" fontId="1" fillId="20" borderId="0" xfId="12" applyNumberFormat="1" applyFill="1" applyAlignment="1" applyProtection="1">
      <alignment horizontal="left"/>
      <protection hidden="1"/>
    </xf>
    <xf numFmtId="2" fontId="47" fillId="22" borderId="0" xfId="12" applyNumberFormat="1" applyFont="1" applyFill="1" applyAlignment="1" applyProtection="1">
      <alignment horizontal="left"/>
      <protection hidden="1"/>
    </xf>
    <xf numFmtId="0" fontId="48" fillId="22" borderId="0" xfId="12" applyFont="1" applyFill="1" applyAlignment="1" applyProtection="1">
      <alignment horizontal="left"/>
      <protection hidden="1"/>
    </xf>
    <xf numFmtId="0" fontId="1" fillId="22" borderId="0" xfId="12" applyFill="1" applyAlignment="1" applyProtection="1">
      <alignment horizontal="left"/>
      <protection hidden="1"/>
    </xf>
    <xf numFmtId="2" fontId="1" fillId="22" borderId="0" xfId="12" applyNumberFormat="1" applyFill="1" applyAlignment="1" applyProtection="1">
      <alignment horizontal="center"/>
      <protection hidden="1"/>
    </xf>
    <xf numFmtId="0" fontId="50" fillId="22" borderId="0" xfId="12" applyFont="1" applyFill="1" applyProtection="1">
      <protection hidden="1"/>
    </xf>
    <xf numFmtId="0" fontId="51" fillId="22" borderId="0" xfId="12" applyFont="1" applyFill="1" applyProtection="1">
      <protection hidden="1"/>
    </xf>
    <xf numFmtId="1" fontId="1" fillId="22" borderId="0" xfId="12" applyNumberFormat="1" applyFill="1" applyAlignment="1" applyProtection="1">
      <alignment horizontal="center"/>
      <protection hidden="1"/>
    </xf>
    <xf numFmtId="0" fontId="52" fillId="22" borderId="0" xfId="12" applyFont="1" applyFill="1" applyProtection="1">
      <protection hidden="1"/>
    </xf>
    <xf numFmtId="0" fontId="53" fillId="22" borderId="0" xfId="12" applyFont="1" applyFill="1" applyProtection="1">
      <protection hidden="1"/>
    </xf>
    <xf numFmtId="0" fontId="11" fillId="22" borderId="0" xfId="10" applyFill="1" applyProtection="1">
      <protection hidden="1"/>
    </xf>
    <xf numFmtId="0" fontId="54" fillId="22" borderId="0" xfId="12" applyFont="1" applyFill="1" applyProtection="1">
      <protection hidden="1"/>
    </xf>
    <xf numFmtId="2" fontId="1" fillId="20" borderId="0" xfId="12" applyNumberFormat="1" applyFill="1" applyAlignment="1" applyProtection="1">
      <alignment horizontal="center"/>
      <protection hidden="1"/>
    </xf>
    <xf numFmtId="0" fontId="3" fillId="22" borderId="0" xfId="12" applyFont="1" applyFill="1" applyAlignment="1" applyProtection="1">
      <alignment horizontal="left"/>
      <protection hidden="1"/>
    </xf>
    <xf numFmtId="0" fontId="1" fillId="22" borderId="0" xfId="12" applyFill="1" applyAlignment="1" applyProtection="1">
      <alignment horizontal="center"/>
      <protection hidden="1"/>
    </xf>
    <xf numFmtId="0" fontId="47" fillId="22" borderId="0" xfId="12" applyFont="1" applyFill="1" applyAlignment="1" applyProtection="1">
      <alignment horizontal="center"/>
      <protection hidden="1"/>
    </xf>
    <xf numFmtId="0" fontId="47" fillId="14" borderId="0" xfId="12" applyFont="1" applyFill="1" applyAlignment="1" applyProtection="1">
      <alignment horizontal="center"/>
      <protection hidden="1"/>
    </xf>
    <xf numFmtId="0" fontId="15" fillId="14" borderId="0" xfId="12" applyFont="1" applyFill="1" applyProtection="1">
      <protection hidden="1"/>
    </xf>
    <xf numFmtId="0" fontId="56" fillId="20" borderId="0" xfId="12" applyFont="1" applyFill="1" applyProtection="1">
      <protection hidden="1"/>
    </xf>
    <xf numFmtId="0" fontId="20" fillId="14" borderId="0" xfId="11" applyFill="1" applyProtection="1">
      <protection hidden="1"/>
    </xf>
    <xf numFmtId="0" fontId="20" fillId="20" borderId="0" xfId="11" applyFill="1" applyProtection="1">
      <protection hidden="1"/>
    </xf>
    <xf numFmtId="0" fontId="57" fillId="0" borderId="0" xfId="10" applyFont="1" applyProtection="1">
      <protection hidden="1"/>
    </xf>
    <xf numFmtId="0" fontId="59" fillId="20" borderId="0" xfId="11" applyFont="1" applyFill="1" applyProtection="1">
      <protection hidden="1"/>
    </xf>
    <xf numFmtId="0" fontId="60" fillId="20" borderId="0" xfId="12" applyFont="1" applyFill="1" applyProtection="1">
      <protection hidden="1"/>
    </xf>
    <xf numFmtId="0" fontId="61" fillId="20" borderId="0" xfId="12" applyFont="1" applyFill="1" applyProtection="1">
      <protection hidden="1"/>
    </xf>
    <xf numFmtId="0" fontId="1" fillId="14" borderId="0" xfId="1" applyFill="1" applyProtection="1">
      <protection hidden="1"/>
    </xf>
    <xf numFmtId="0" fontId="62" fillId="14" borderId="0" xfId="14" applyFill="1" applyProtection="1">
      <protection hidden="1"/>
    </xf>
    <xf numFmtId="0" fontId="1" fillId="14" borderId="9" xfId="1" applyFill="1" applyBorder="1" applyProtection="1">
      <protection hidden="1"/>
    </xf>
    <xf numFmtId="1" fontId="1" fillId="14" borderId="9" xfId="1" applyNumberFormat="1" applyFill="1" applyBorder="1" applyProtection="1">
      <protection hidden="1"/>
    </xf>
    <xf numFmtId="2" fontId="1" fillId="0" borderId="7" xfId="1" applyNumberFormat="1" applyBorder="1" applyProtection="1">
      <protection hidden="1"/>
    </xf>
    <xf numFmtId="1" fontId="1" fillId="0" borderId="7" xfId="1" applyNumberFormat="1" applyBorder="1" applyProtection="1">
      <protection hidden="1"/>
    </xf>
    <xf numFmtId="0" fontId="1" fillId="0" borderId="7" xfId="1" applyBorder="1" applyProtection="1">
      <protection hidden="1"/>
    </xf>
    <xf numFmtId="0" fontId="1" fillId="14" borderId="7" xfId="1" applyFill="1" applyBorder="1" applyProtection="1">
      <protection hidden="1"/>
    </xf>
    <xf numFmtId="1" fontId="1" fillId="14" borderId="7" xfId="1" applyNumberFormat="1" applyFill="1" applyBorder="1" applyProtection="1">
      <protection hidden="1"/>
    </xf>
    <xf numFmtId="166" fontId="1" fillId="14" borderId="7" xfId="1" applyNumberFormat="1" applyFill="1" applyBorder="1" applyProtection="1">
      <protection hidden="1"/>
    </xf>
    <xf numFmtId="0" fontId="1" fillId="14" borderId="21" xfId="1" applyFill="1" applyBorder="1" applyProtection="1">
      <protection hidden="1"/>
    </xf>
    <xf numFmtId="1" fontId="1" fillId="14" borderId="21" xfId="1" applyNumberFormat="1" applyFill="1" applyBorder="1" applyProtection="1">
      <protection hidden="1"/>
    </xf>
    <xf numFmtId="0" fontId="1" fillId="14" borderId="0" xfId="1" applyFill="1" applyAlignment="1" applyProtection="1">
      <alignment wrapText="1"/>
      <protection hidden="1"/>
    </xf>
    <xf numFmtId="0" fontId="3" fillId="14" borderId="22" xfId="1" applyFont="1" applyFill="1" applyBorder="1" applyAlignment="1" applyProtection="1">
      <alignment wrapText="1"/>
      <protection hidden="1"/>
    </xf>
    <xf numFmtId="0" fontId="3" fillId="14" borderId="23" xfId="1" applyFont="1" applyFill="1" applyBorder="1" applyAlignment="1" applyProtection="1">
      <alignment wrapText="1"/>
      <protection hidden="1"/>
    </xf>
    <xf numFmtId="0" fontId="1" fillId="14" borderId="24" xfId="1" applyFill="1" applyBorder="1" applyAlignment="1" applyProtection="1">
      <alignment wrapText="1"/>
      <protection hidden="1"/>
    </xf>
    <xf numFmtId="0" fontId="11" fillId="0" borderId="0" xfId="10"/>
    <xf numFmtId="0" fontId="36" fillId="0" borderId="0" xfId="10" applyFont="1"/>
    <xf numFmtId="0" fontId="11" fillId="23" borderId="0" xfId="10" applyFill="1"/>
    <xf numFmtId="164" fontId="11" fillId="0" borderId="0" xfId="10" applyNumberFormat="1"/>
    <xf numFmtId="0" fontId="34" fillId="0" borderId="0" xfId="10" applyFont="1"/>
    <xf numFmtId="0" fontId="11" fillId="0" borderId="11" xfId="10" applyBorder="1"/>
    <xf numFmtId="0" fontId="63" fillId="0" borderId="0" xfId="10" applyFont="1"/>
    <xf numFmtId="9" fontId="11" fillId="0" borderId="0" xfId="10" applyNumberFormat="1"/>
    <xf numFmtId="0" fontId="11" fillId="21" borderId="10" xfId="7" applyNumberFormat="1" applyFont="1" applyFill="1" applyBorder="1"/>
    <xf numFmtId="0" fontId="11" fillId="21" borderId="6" xfId="10" applyFill="1" applyBorder="1" applyAlignment="1">
      <alignment horizontal="center"/>
    </xf>
    <xf numFmtId="0" fontId="11" fillId="21" borderId="13" xfId="10" applyFill="1" applyBorder="1"/>
    <xf numFmtId="0" fontId="33" fillId="0" borderId="0" xfId="10" applyFont="1"/>
    <xf numFmtId="0" fontId="64" fillId="0" borderId="0" xfId="10" applyFont="1"/>
    <xf numFmtId="0" fontId="11" fillId="24" borderId="10" xfId="10" applyFill="1" applyBorder="1"/>
    <xf numFmtId="0" fontId="11" fillId="24" borderId="6" xfId="10" applyFill="1" applyBorder="1"/>
    <xf numFmtId="0" fontId="36" fillId="24" borderId="13" xfId="10" applyFont="1" applyFill="1" applyBorder="1" applyAlignment="1">
      <alignment wrapText="1"/>
    </xf>
    <xf numFmtId="0" fontId="11" fillId="21" borderId="8" xfId="7" applyNumberFormat="1" applyFont="1" applyFill="1" applyBorder="1"/>
    <xf numFmtId="0" fontId="11" fillId="21" borderId="0" xfId="10" applyFill="1" applyAlignment="1">
      <alignment horizontal="center"/>
    </xf>
    <xf numFmtId="0" fontId="11" fillId="21" borderId="11" xfId="10" applyFill="1" applyBorder="1"/>
    <xf numFmtId="0" fontId="11" fillId="24" borderId="8" xfId="10" applyFill="1" applyBorder="1"/>
    <xf numFmtId="0" fontId="11" fillId="24" borderId="0" xfId="10" applyFill="1"/>
    <xf numFmtId="0" fontId="11" fillId="24" borderId="11" xfId="10" applyFill="1" applyBorder="1"/>
    <xf numFmtId="9" fontId="11" fillId="24" borderId="0" xfId="10" applyNumberFormat="1" applyFill="1"/>
    <xf numFmtId="0" fontId="65" fillId="0" borderId="0" xfId="10" applyFont="1"/>
    <xf numFmtId="164" fontId="11" fillId="24" borderId="0" xfId="10" applyNumberFormat="1" applyFill="1"/>
    <xf numFmtId="0" fontId="27" fillId="24" borderId="11" xfId="10" applyFont="1" applyFill="1" applyBorder="1"/>
    <xf numFmtId="0" fontId="11" fillId="24" borderId="8" xfId="10" applyFill="1" applyBorder="1" applyAlignment="1">
      <alignment horizontal="left"/>
    </xf>
    <xf numFmtId="2" fontId="11" fillId="21" borderId="17" xfId="7" applyNumberFormat="1" applyFont="1" applyFill="1" applyBorder="1"/>
    <xf numFmtId="0" fontId="11" fillId="21" borderId="12" xfId="10" applyFill="1" applyBorder="1" applyAlignment="1">
      <alignment horizontal="center" wrapText="1"/>
    </xf>
    <xf numFmtId="0" fontId="11" fillId="21" borderId="16" xfId="10" applyFill="1" applyBorder="1"/>
    <xf numFmtId="0" fontId="11" fillId="24" borderId="17" xfId="10" applyFill="1" applyBorder="1"/>
    <xf numFmtId="0" fontId="11" fillId="24" borderId="12" xfId="10" applyFill="1" applyBorder="1"/>
    <xf numFmtId="0" fontId="11" fillId="24" borderId="16" xfId="10" applyFill="1" applyBorder="1"/>
    <xf numFmtId="0" fontId="66" fillId="0" borderId="0" xfId="10" applyFont="1"/>
    <xf numFmtId="167" fontId="11" fillId="0" borderId="0" xfId="15" applyFont="1"/>
    <xf numFmtId="0" fontId="27" fillId="0" borderId="10" xfId="10" applyFont="1" applyBorder="1"/>
    <xf numFmtId="49" fontId="8" fillId="0" borderId="13" xfId="16" applyNumberFormat="1" applyFont="1" applyBorder="1" applyAlignment="1">
      <alignment wrapText="1"/>
    </xf>
    <xf numFmtId="49" fontId="8" fillId="0" borderId="10" xfId="16" applyNumberFormat="1" applyFont="1" applyBorder="1" applyAlignment="1">
      <alignment wrapText="1"/>
    </xf>
    <xf numFmtId="49" fontId="8" fillId="0" borderId="6" xfId="16" applyNumberFormat="1" applyFont="1" applyBorder="1" applyAlignment="1">
      <alignment wrapText="1"/>
    </xf>
    <xf numFmtId="49" fontId="8" fillId="0" borderId="4" xfId="16" applyNumberFormat="1" applyFont="1" applyBorder="1" applyAlignment="1">
      <alignment wrapText="1"/>
    </xf>
    <xf numFmtId="49" fontId="8" fillId="0" borderId="3" xfId="16" applyNumberFormat="1" applyFont="1" applyBorder="1" applyAlignment="1">
      <alignment wrapText="1"/>
    </xf>
    <xf numFmtId="49" fontId="8" fillId="0" borderId="5" xfId="16" applyNumberFormat="1" applyFont="1" applyBorder="1" applyAlignment="1">
      <alignment wrapText="1"/>
    </xf>
    <xf numFmtId="0" fontId="27" fillId="0" borderId="3" xfId="10" applyFont="1" applyBorder="1"/>
    <xf numFmtId="2" fontId="11" fillId="0" borderId="0" xfId="10" applyNumberFormat="1"/>
    <xf numFmtId="0" fontId="11" fillId="0" borderId="0" xfId="10" applyAlignment="1">
      <alignment wrapText="1"/>
    </xf>
    <xf numFmtId="0" fontId="36" fillId="14" borderId="10" xfId="10" applyFont="1" applyFill="1" applyBorder="1" applyAlignment="1">
      <alignment wrapText="1"/>
    </xf>
    <xf numFmtId="0" fontId="36" fillId="14" borderId="6" xfId="10" applyFont="1" applyFill="1" applyBorder="1" applyAlignment="1">
      <alignment wrapText="1"/>
    </xf>
    <xf numFmtId="0" fontId="1" fillId="0" borderId="2" xfId="1" applyBorder="1" applyAlignment="1">
      <alignment wrapText="1"/>
    </xf>
    <xf numFmtId="0" fontId="36" fillId="14" borderId="5" xfId="10" applyFont="1" applyFill="1" applyBorder="1" applyAlignment="1">
      <alignment wrapText="1"/>
    </xf>
    <xf numFmtId="0" fontId="36" fillId="14" borderId="4" xfId="10" applyFont="1" applyFill="1" applyBorder="1" applyAlignment="1">
      <alignment wrapText="1"/>
    </xf>
    <xf numFmtId="0" fontId="11" fillId="14" borderId="4" xfId="10" applyFill="1" applyBorder="1" applyAlignment="1">
      <alignment wrapText="1"/>
    </xf>
    <xf numFmtId="0" fontId="1" fillId="0" borderId="3" xfId="1" applyBorder="1" applyAlignment="1">
      <alignment wrapText="1"/>
    </xf>
    <xf numFmtId="0" fontId="11" fillId="0" borderId="5" xfId="10" applyBorder="1" applyAlignment="1">
      <alignment vertical="center"/>
    </xf>
    <xf numFmtId="0" fontId="11" fillId="0" borderId="4" xfId="10" applyBorder="1" applyAlignment="1">
      <alignment vertical="center"/>
    </xf>
    <xf numFmtId="0" fontId="11" fillId="0" borderId="3" xfId="10" applyBorder="1" applyAlignment="1">
      <alignment vertical="center"/>
    </xf>
    <xf numFmtId="0" fontId="67" fillId="0" borderId="0" xfId="10" applyFont="1" applyAlignment="1">
      <alignment wrapText="1"/>
    </xf>
    <xf numFmtId="0" fontId="11" fillId="25" borderId="0" xfId="10" applyFill="1"/>
    <xf numFmtId="0" fontId="11" fillId="0" borderId="3" xfId="10" applyBorder="1"/>
    <xf numFmtId="0" fontId="11" fillId="25" borderId="0" xfId="10" applyFill="1" applyAlignment="1">
      <alignment wrapText="1"/>
    </xf>
    <xf numFmtId="0" fontId="21" fillId="0" borderId="0" xfId="17" applyFont="1" applyAlignment="1">
      <alignment horizontal="center" vertical="center" wrapText="1"/>
    </xf>
    <xf numFmtId="0" fontId="0" fillId="0" borderId="0" xfId="10" applyFont="1"/>
    <xf numFmtId="0" fontId="11" fillId="26" borderId="2" xfId="10" applyFill="1" applyBorder="1"/>
    <xf numFmtId="0" fontId="11" fillId="26" borderId="5" xfId="10" applyFill="1" applyBorder="1"/>
    <xf numFmtId="0" fontId="11" fillId="26" borderId="3" xfId="10" applyFill="1" applyBorder="1"/>
    <xf numFmtId="0" fontId="11" fillId="0" borderId="0" xfId="10" applyAlignment="1">
      <alignment vertical="top"/>
    </xf>
    <xf numFmtId="0" fontId="27" fillId="0" borderId="0" xfId="10" applyFont="1" applyAlignment="1">
      <alignment wrapText="1"/>
    </xf>
    <xf numFmtId="0" fontId="27" fillId="0" borderId="3" xfId="0" applyFont="1" applyBorder="1" applyAlignment="1">
      <alignment vertical="top"/>
    </xf>
    <xf numFmtId="0" fontId="27" fillId="0" borderId="5" xfId="0" applyFont="1" applyBorder="1" applyAlignment="1">
      <alignment vertical="top"/>
    </xf>
    <xf numFmtId="0" fontId="11" fillId="0" borderId="0" xfId="18" applyAlignment="1">
      <alignment vertical="top" wrapText="1"/>
    </xf>
    <xf numFmtId="0" fontId="11" fillId="0" borderId="0" xfId="18" applyAlignment="1">
      <alignment vertical="top"/>
    </xf>
    <xf numFmtId="0" fontId="68" fillId="11" borderId="0" xfId="18" applyFont="1" applyFill="1" applyAlignment="1">
      <alignment vertical="top" wrapText="1"/>
    </xf>
    <xf numFmtId="0" fontId="0" fillId="0" borderId="0" xfId="0" applyAlignment="1">
      <alignment vertical="top"/>
    </xf>
    <xf numFmtId="0" fontId="38" fillId="0" borderId="0" xfId="0" applyFont="1"/>
    <xf numFmtId="0" fontId="15" fillId="14" borderId="0" xfId="0" applyFont="1" applyFill="1" applyAlignment="1">
      <alignment horizontal="left" wrapText="1"/>
    </xf>
    <xf numFmtId="9" fontId="0" fillId="0" borderId="0" xfId="4" applyFont="1"/>
    <xf numFmtId="0" fontId="0" fillId="0" borderId="0" xfId="0" applyFill="1" applyAlignment="1">
      <alignment wrapText="1"/>
    </xf>
    <xf numFmtId="9" fontId="0" fillId="0" borderId="0" xfId="4" applyFont="1" applyFill="1" applyAlignment="1">
      <alignment wrapText="1"/>
    </xf>
    <xf numFmtId="168" fontId="6" fillId="0" borderId="0" xfId="4" applyNumberFormat="1" applyFont="1"/>
    <xf numFmtId="9" fontId="6" fillId="0" borderId="0" xfId="4" applyNumberFormat="1" applyFont="1"/>
    <xf numFmtId="170" fontId="11" fillId="23" borderId="0" xfId="7" applyNumberFormat="1" applyFont="1" applyFill="1"/>
    <xf numFmtId="9" fontId="11" fillId="0" borderId="0" xfId="7" applyNumberFormat="1" applyFont="1"/>
    <xf numFmtId="0" fontId="43" fillId="22" borderId="0" xfId="12" applyFont="1" applyFill="1" applyAlignment="1" applyProtection="1">
      <alignment horizontal="left"/>
      <protection hidden="1"/>
    </xf>
    <xf numFmtId="0" fontId="34" fillId="0" borderId="0" xfId="0" applyFont="1"/>
    <xf numFmtId="2" fontId="0" fillId="27" borderId="0" xfId="0" applyNumberFormat="1" applyFill="1"/>
    <xf numFmtId="0" fontId="0" fillId="27" borderId="0" xfId="0" applyFill="1"/>
    <xf numFmtId="1" fontId="0" fillId="27" borderId="0" xfId="0" applyNumberFormat="1" applyFill="1"/>
    <xf numFmtId="166" fontId="0" fillId="27" borderId="0" xfId="0" applyNumberFormat="1" applyFill="1"/>
    <xf numFmtId="0" fontId="0" fillId="28" borderId="0" xfId="0" applyFill="1"/>
    <xf numFmtId="0" fontId="0" fillId="29" borderId="0" xfId="0" applyFill="1"/>
    <xf numFmtId="0" fontId="0" fillId="0" borderId="12" xfId="0" applyBorder="1"/>
    <xf numFmtId="2" fontId="0" fillId="0" borderId="12" xfId="0" applyNumberFormat="1" applyBorder="1"/>
    <xf numFmtId="0" fontId="0" fillId="12" borderId="0" xfId="0" applyFill="1"/>
    <xf numFmtId="0" fontId="0" fillId="30" borderId="0" xfId="0" applyFill="1"/>
    <xf numFmtId="0" fontId="36" fillId="0" borderId="0" xfId="0" applyFont="1"/>
    <xf numFmtId="2" fontId="0" fillId="0" borderId="0" xfId="0" applyNumberFormat="1"/>
    <xf numFmtId="164" fontId="0" fillId="0" borderId="0" xfId="4" applyNumberFormat="1" applyFont="1"/>
    <xf numFmtId="2" fontId="20" fillId="15" borderId="0" xfId="6" applyNumberFormat="1" applyFont="1" applyFill="1"/>
    <xf numFmtId="0" fontId="7" fillId="0" borderId="0" xfId="5" applyFont="1"/>
    <xf numFmtId="0" fontId="1" fillId="31" borderId="0" xfId="1" applyFill="1"/>
    <xf numFmtId="0" fontId="6" fillId="31" borderId="0" xfId="5" applyFill="1"/>
    <xf numFmtId="0" fontId="21" fillId="31" borderId="0" xfId="6" applyFont="1" applyFill="1" applyAlignment="1" applyProtection="1">
      <alignment horizontal="center" vertical="center" wrapText="1"/>
      <protection hidden="1"/>
    </xf>
    <xf numFmtId="0" fontId="0" fillId="32" borderId="3" xfId="0" applyFill="1" applyBorder="1"/>
    <xf numFmtId="0" fontId="0" fillId="32" borderId="4" xfId="0" applyFill="1" applyBorder="1"/>
    <xf numFmtId="0" fontId="0" fillId="0" borderId="16" xfId="0" applyBorder="1"/>
    <xf numFmtId="0" fontId="0" fillId="0" borderId="17" xfId="0" applyBorder="1"/>
    <xf numFmtId="0" fontId="0" fillId="0" borderId="13" xfId="0" applyBorder="1"/>
    <xf numFmtId="0" fontId="0" fillId="0" borderId="6" xfId="0" applyBorder="1"/>
    <xf numFmtId="0" fontId="0" fillId="0" borderId="10" xfId="0" applyBorder="1"/>
    <xf numFmtId="2" fontId="0" fillId="0" borderId="6" xfId="0" applyNumberFormat="1" applyBorder="1"/>
    <xf numFmtId="171" fontId="0" fillId="0" borderId="0" xfId="0" applyNumberFormat="1"/>
    <xf numFmtId="0" fontId="62" fillId="0" borderId="0" xfId="14" applyAlignment="1">
      <alignment vertical="center"/>
    </xf>
    <xf numFmtId="0" fontId="1" fillId="0" borderId="0" xfId="1" applyFill="1"/>
    <xf numFmtId="0" fontId="1" fillId="28" borderId="0" xfId="1" applyFill="1"/>
    <xf numFmtId="0" fontId="0" fillId="28" borderId="14" xfId="0" applyFont="1" applyFill="1" applyBorder="1"/>
    <xf numFmtId="1" fontId="11" fillId="0" borderId="0" xfId="6" applyNumberFormat="1" applyFill="1"/>
    <xf numFmtId="0" fontId="62" fillId="0" borderId="0" xfId="14"/>
    <xf numFmtId="0" fontId="18" fillId="0" borderId="0" xfId="0" applyFont="1" applyAlignment="1" applyProtection="1">
      <alignment horizontal="left" vertical="top" wrapText="1"/>
      <protection hidden="1"/>
    </xf>
    <xf numFmtId="0" fontId="15" fillId="0" borderId="3" xfId="0" applyFont="1" applyBorder="1" applyAlignment="1" applyProtection="1">
      <alignment horizontal="center"/>
      <protection hidden="1"/>
    </xf>
    <xf numFmtId="0" fontId="15" fillId="0" borderId="4" xfId="0" applyFont="1" applyBorder="1" applyAlignment="1" applyProtection="1">
      <alignment horizontal="center"/>
      <protection hidden="1"/>
    </xf>
    <xf numFmtId="0" fontId="15" fillId="0" borderId="5" xfId="0" applyFont="1" applyBorder="1" applyAlignment="1" applyProtection="1">
      <alignment horizontal="center"/>
      <protection hidden="1"/>
    </xf>
    <xf numFmtId="0" fontId="15" fillId="0" borderId="3" xfId="0" applyFont="1" applyBorder="1" applyAlignment="1" applyProtection="1">
      <alignment horizontal="center" wrapText="1"/>
      <protection hidden="1"/>
    </xf>
    <xf numFmtId="0" fontId="15" fillId="0" borderId="5" xfId="0" applyFont="1" applyBorder="1" applyAlignment="1" applyProtection="1">
      <alignment horizontal="center" wrapText="1"/>
      <protection hidden="1"/>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xf>
    <xf numFmtId="0" fontId="0" fillId="12" borderId="5" xfId="0" applyFill="1" applyBorder="1" applyAlignment="1">
      <alignment horizontal="center"/>
    </xf>
    <xf numFmtId="0" fontId="0" fillId="6" borderId="3" xfId="0" applyFill="1" applyBorder="1" applyAlignment="1">
      <alignment horizontal="center"/>
    </xf>
    <xf numFmtId="0" fontId="0" fillId="6" borderId="4" xfId="0" applyFill="1" applyBorder="1" applyAlignment="1">
      <alignment horizontal="center"/>
    </xf>
    <xf numFmtId="0" fontId="0" fillId="6" borderId="5" xfId="0" applyFill="1" applyBorder="1" applyAlignment="1">
      <alignment horizontal="center"/>
    </xf>
    <xf numFmtId="0" fontId="0" fillId="6" borderId="16" xfId="0" applyFill="1" applyBorder="1" applyAlignment="1">
      <alignment horizontal="center"/>
    </xf>
    <xf numFmtId="0" fontId="0" fillId="6" borderId="12" xfId="0" applyFill="1" applyBorder="1" applyAlignment="1">
      <alignment horizontal="center"/>
    </xf>
    <xf numFmtId="0" fontId="0" fillId="6" borderId="17" xfId="0" applyFill="1" applyBorder="1" applyAlignment="1">
      <alignment horizontal="center"/>
    </xf>
    <xf numFmtId="0" fontId="36" fillId="0" borderId="0" xfId="10" applyFont="1" applyAlignment="1">
      <alignment horizontal="center" wrapText="1"/>
    </xf>
    <xf numFmtId="0" fontId="36" fillId="0" borderId="16" xfId="10" applyFont="1" applyBorder="1" applyAlignment="1">
      <alignment horizontal="center" vertical="center" wrapText="1"/>
    </xf>
    <xf numFmtId="0" fontId="36" fillId="0" borderId="12" xfId="10" applyFont="1" applyBorder="1" applyAlignment="1">
      <alignment horizontal="center" vertical="center" wrapText="1"/>
    </xf>
    <xf numFmtId="0" fontId="36" fillId="0" borderId="17" xfId="10" applyFont="1" applyBorder="1" applyAlignment="1">
      <alignment horizontal="center" vertical="center" wrapText="1"/>
    </xf>
    <xf numFmtId="0" fontId="11" fillId="0" borderId="3" xfId="10" applyBorder="1" applyAlignment="1">
      <alignment horizontal="center" vertical="center" wrapText="1"/>
    </xf>
    <xf numFmtId="0" fontId="11" fillId="0" borderId="4" xfId="10" applyBorder="1" applyAlignment="1">
      <alignment horizontal="center" vertical="center" wrapText="1"/>
    </xf>
    <xf numFmtId="0" fontId="11" fillId="0" borderId="5" xfId="10" applyBorder="1" applyAlignment="1">
      <alignment horizontal="center" vertical="center" wrapText="1"/>
    </xf>
    <xf numFmtId="0" fontId="11" fillId="0" borderId="3" xfId="10" applyBorder="1" applyAlignment="1">
      <alignment horizontal="center"/>
    </xf>
    <xf numFmtId="0" fontId="11" fillId="0" borderId="4" xfId="10" applyBorder="1" applyAlignment="1">
      <alignment horizontal="center"/>
    </xf>
    <xf numFmtId="0" fontId="11" fillId="0" borderId="5" xfId="10" applyBorder="1" applyAlignment="1">
      <alignment horizontal="center"/>
    </xf>
    <xf numFmtId="0" fontId="40" fillId="21" borderId="0" xfId="10" applyFont="1" applyFill="1" applyAlignment="1" applyProtection="1">
      <alignment horizontal="left" wrapText="1"/>
      <protection hidden="1"/>
    </xf>
    <xf numFmtId="0" fontId="43" fillId="22" borderId="0" xfId="12" applyFont="1" applyFill="1" applyAlignment="1" applyProtection="1">
      <alignment horizontal="left"/>
      <protection hidden="1"/>
    </xf>
    <xf numFmtId="2" fontId="46" fillId="20" borderId="0" xfId="12" applyNumberFormat="1" applyFont="1" applyFill="1" applyAlignment="1" applyProtection="1">
      <alignment horizontal="left"/>
      <protection hidden="1"/>
    </xf>
    <xf numFmtId="0" fontId="1" fillId="20" borderId="0" xfId="12" applyFill="1" applyAlignment="1" applyProtection="1">
      <alignment horizontal="left"/>
      <protection hidden="1"/>
    </xf>
    <xf numFmtId="0" fontId="11" fillId="0" borderId="0" xfId="10" applyProtection="1">
      <protection hidden="1"/>
    </xf>
    <xf numFmtId="2" fontId="46" fillId="20" borderId="0" xfId="12" applyNumberFormat="1" applyFont="1" applyFill="1" applyAlignment="1" applyProtection="1">
      <alignment horizontal="left" wrapText="1"/>
      <protection hidden="1"/>
    </xf>
    <xf numFmtId="0" fontId="58" fillId="20" borderId="20" xfId="10" applyFont="1" applyFill="1" applyBorder="1" applyAlignment="1" applyProtection="1">
      <alignment horizontal="left"/>
      <protection hidden="1"/>
    </xf>
    <xf numFmtId="0" fontId="58" fillId="20" borderId="19" xfId="10" applyFont="1" applyFill="1" applyBorder="1" applyAlignment="1" applyProtection="1">
      <alignment horizontal="left"/>
      <protection hidden="1"/>
    </xf>
    <xf numFmtId="0" fontId="58" fillId="20" borderId="18" xfId="10" applyFont="1" applyFill="1" applyBorder="1" applyAlignment="1" applyProtection="1">
      <alignment horizontal="left"/>
      <protection hidden="1"/>
    </xf>
    <xf numFmtId="0" fontId="55" fillId="20" borderId="20" xfId="12" applyFont="1" applyFill="1" applyBorder="1" applyAlignment="1" applyProtection="1">
      <alignment horizontal="left"/>
      <protection hidden="1"/>
    </xf>
    <xf numFmtId="0" fontId="55" fillId="20" borderId="19" xfId="12" applyFont="1" applyFill="1" applyBorder="1" applyAlignment="1" applyProtection="1">
      <alignment horizontal="left"/>
      <protection hidden="1"/>
    </xf>
    <xf numFmtId="0" fontId="55" fillId="20" borderId="18" xfId="12" applyFont="1" applyFill="1" applyBorder="1" applyAlignment="1" applyProtection="1">
      <alignment horizontal="left"/>
      <protection hidden="1"/>
    </xf>
    <xf numFmtId="1" fontId="1" fillId="20" borderId="0" xfId="12" applyNumberFormat="1" applyFill="1" applyAlignment="1" applyProtection="1">
      <alignment horizontal="center"/>
      <protection hidden="1"/>
    </xf>
    <xf numFmtId="169" fontId="1" fillId="14" borderId="0" xfId="13" applyNumberFormat="1" applyFont="1" applyFill="1" applyAlignment="1" applyProtection="1">
      <alignment horizontal="center"/>
      <protection hidden="1"/>
    </xf>
  </cellXfs>
  <cellStyles count="19">
    <cellStyle name="Head" xfId="2" xr:uid="{797CD43F-B1D1-4424-A795-93BCB299E38B}"/>
    <cellStyle name="Hyperlänk" xfId="14" builtinId="8"/>
    <cellStyle name="Normal" xfId="0" builtinId="0"/>
    <cellStyle name="Normal 2" xfId="1" xr:uid="{C6D0E33E-3ABA-4249-A97E-D7F09B102346}"/>
    <cellStyle name="Normal 3" xfId="5" xr:uid="{8C71BE7C-9FC9-4219-B043-88E3761F8A7E}"/>
    <cellStyle name="Normal 4" xfId="8" xr:uid="{2D8F238A-62BE-4F12-8C12-4B25B96D338F}"/>
    <cellStyle name="Normal 5" xfId="6" xr:uid="{716884F5-77E6-4CF8-B61C-48BB5A46D412}"/>
    <cellStyle name="Normal 5 2" xfId="17" xr:uid="{8B686292-9B1F-4DF5-90F7-6053FEB2B557}"/>
    <cellStyle name="Normal 6" xfId="18" xr:uid="{4C0CF2CC-A991-4B00-978B-771FBB7E5436}"/>
    <cellStyle name="Normal 7" xfId="10" xr:uid="{63DA68D5-2B20-4DD6-A103-063ADA9983BC}"/>
    <cellStyle name="Normal_Granska dina miljövärden" xfId="11" xr:uid="{781EC5ED-14C9-4C55-9912-7A63A389B78E}"/>
    <cellStyle name="Normal_Granska Miljövärden" xfId="12" xr:uid="{467EDBF0-158A-4E01-B477-703D86EC5870}"/>
    <cellStyle name="Normal_Underlag till diagram_1" xfId="16" xr:uid="{37A596DF-02DC-423D-954A-7B0EE3756CBA}"/>
    <cellStyle name="Procent" xfId="4" builtinId="5"/>
    <cellStyle name="Procent 2" xfId="7" xr:uid="{502FDFAE-E818-48D9-9C12-FA7BE45AA3DB}"/>
    <cellStyle name="Procent 4" xfId="9" xr:uid="{2E3FF65F-A2E3-472D-BC33-33E1714C9CD7}"/>
    <cellStyle name="Procent 6" xfId="13" xr:uid="{13DABA62-8CE0-49F8-8E23-7D3F6A8F6BAC}"/>
    <cellStyle name="Tusental" xfId="3" builtinId="3"/>
    <cellStyle name="Tusental 2" xfId="15" xr:uid="{A41C8C9D-4EFB-41DD-B210-F3D7C60405D2}"/>
  </cellStyles>
  <dxfs count="73">
    <dxf>
      <font>
        <color rgb="FFFFFF99"/>
      </font>
      <fill>
        <patternFill>
          <bgColor rgb="FFFFFF99"/>
        </patternFill>
      </fill>
    </dxf>
    <dxf>
      <font>
        <b/>
        <i/>
      </font>
    </dxf>
    <dxf>
      <font>
        <b/>
        <i/>
        <strike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overlay val="0"/>
    </c:title>
    <c:autoTitleDeleted val="0"/>
    <c:plotArea>
      <c:layout/>
      <c:pieChart>
        <c:varyColors val="1"/>
        <c:ser>
          <c:idx val="0"/>
          <c:order val="0"/>
          <c:dPt>
            <c:idx val="0"/>
            <c:bubble3D val="0"/>
            <c:spPr>
              <a:solidFill>
                <a:srgbClr val="008200"/>
              </a:solidFill>
            </c:spPr>
            <c:extLst>
              <c:ext xmlns:c16="http://schemas.microsoft.com/office/drawing/2014/chart" uri="{C3380CC4-5D6E-409C-BE32-E72D297353CC}">
                <c16:uniqueId val="{00000001-D73A-4C34-82D1-FA91585E3425}"/>
              </c:ext>
            </c:extLst>
          </c:dPt>
          <c:dPt>
            <c:idx val="1"/>
            <c:bubble3D val="0"/>
            <c:spPr>
              <a:solidFill>
                <a:srgbClr val="66FF33"/>
              </a:solidFill>
            </c:spPr>
            <c:extLst>
              <c:ext xmlns:c16="http://schemas.microsoft.com/office/drawing/2014/chart" uri="{C3380CC4-5D6E-409C-BE32-E72D297353CC}">
                <c16:uniqueId val="{00000003-D73A-4C34-82D1-FA91585E3425}"/>
              </c:ext>
            </c:extLst>
          </c:dPt>
          <c:dPt>
            <c:idx val="2"/>
            <c:bubble3D val="0"/>
            <c:spPr>
              <a:solidFill>
                <a:srgbClr val="7030A0"/>
              </a:solidFill>
            </c:spPr>
            <c:extLst>
              <c:ext xmlns:c16="http://schemas.microsoft.com/office/drawing/2014/chart" uri="{C3380CC4-5D6E-409C-BE32-E72D297353CC}">
                <c16:uniqueId val="{00000005-D73A-4C34-82D1-FA91585E3425}"/>
              </c:ext>
            </c:extLst>
          </c:dPt>
          <c:dPt>
            <c:idx val="3"/>
            <c:bubble3D val="0"/>
            <c:spPr>
              <a:solidFill>
                <a:schemeClr val="tx1">
                  <a:lumMod val="50000"/>
                  <a:lumOff val="50000"/>
                </a:schemeClr>
              </a:solidFill>
            </c:spPr>
            <c:extLst>
              <c:ext xmlns:c16="http://schemas.microsoft.com/office/drawing/2014/chart" uri="{C3380CC4-5D6E-409C-BE32-E72D297353CC}">
                <c16:uniqueId val="{00000007-D73A-4C34-82D1-FA91585E3425}"/>
              </c:ext>
            </c:extLst>
          </c:dPt>
          <c:cat>
            <c:numRef>
              <c:f>'Underlag till diagram'!$G$34:$G$37</c:f>
              <c:numCache>
                <c:formatCode>General</c:formatCode>
                <c:ptCount val="4"/>
                <c:pt idx="0">
                  <c:v>0</c:v>
                </c:pt>
                <c:pt idx="1">
                  <c:v>0</c:v>
                </c:pt>
                <c:pt idx="2">
                  <c:v>0</c:v>
                </c:pt>
                <c:pt idx="3">
                  <c:v>0</c:v>
                </c:pt>
              </c:numCache>
            </c:numRef>
          </c:cat>
          <c:val>
            <c:numRef>
              <c:f>'Underlag till diagram'!$C$34:$C$37</c:f>
              <c:numCache>
                <c:formatCode>0.0%</c:formatCode>
                <c:ptCount val="4"/>
                <c:pt idx="0">
                  <c:v>0</c:v>
                </c:pt>
                <c:pt idx="1">
                  <c:v>0</c:v>
                </c:pt>
                <c:pt idx="2">
                  <c:v>0</c:v>
                </c:pt>
                <c:pt idx="3">
                  <c:v>0</c:v>
                </c:pt>
              </c:numCache>
            </c:numRef>
          </c:val>
          <c:extLst>
            <c:ext xmlns:c16="http://schemas.microsoft.com/office/drawing/2014/chart" uri="{C3380CC4-5D6E-409C-BE32-E72D297353CC}">
              <c16:uniqueId val="{00000008-D73A-4C34-82D1-FA91585E3425}"/>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pPr>
          <a:endParaRPr lang="en-US"/>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933450</xdr:colOff>
      <xdr:row>28</xdr:row>
      <xdr:rowOff>180975</xdr:rowOff>
    </xdr:from>
    <xdr:to>
      <xdr:col>10</xdr:col>
      <xdr:colOff>914400</xdr:colOff>
      <xdr:row>37</xdr:row>
      <xdr:rowOff>95250</xdr:rowOff>
    </xdr:to>
    <xdr:sp macro="" textlink="">
      <xdr:nvSpPr>
        <xdr:cNvPr id="5" name="textruta 4">
          <a:extLst>
            <a:ext uri="{FF2B5EF4-FFF2-40B4-BE49-F238E27FC236}">
              <a16:creationId xmlns:a16="http://schemas.microsoft.com/office/drawing/2014/main" id="{803A0CBF-B42E-4D81-957C-873481F9869D}"/>
            </a:ext>
          </a:extLst>
        </xdr:cNvPr>
        <xdr:cNvSpPr txBox="1"/>
      </xdr:nvSpPr>
      <xdr:spPr>
        <a:xfrm>
          <a:off x="9877425" y="6096000"/>
          <a:ext cx="36004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9</xdr:col>
      <xdr:colOff>770164</xdr:colOff>
      <xdr:row>1</xdr:row>
      <xdr:rowOff>391885</xdr:rowOff>
    </xdr:from>
    <xdr:ext cx="1622654" cy="1612786"/>
    <xdr:pic>
      <xdr:nvPicPr>
        <xdr:cNvPr id="2" name="Picture 120">
          <a:extLst>
            <a:ext uri="{FF2B5EF4-FFF2-40B4-BE49-F238E27FC236}">
              <a16:creationId xmlns:a16="http://schemas.microsoft.com/office/drawing/2014/main" id="{CC5B3749-8F97-4057-A7A6-A719BE4D6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4639" y="382360"/>
          <a:ext cx="1622654" cy="1612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372428</xdr:colOff>
      <xdr:row>42</xdr:row>
      <xdr:rowOff>99538</xdr:rowOff>
    </xdr:from>
    <xdr:to>
      <xdr:col>8</xdr:col>
      <xdr:colOff>14288</xdr:colOff>
      <xdr:row>58</xdr:row>
      <xdr:rowOff>301943</xdr:rowOff>
    </xdr:to>
    <xdr:graphicFrame macro="">
      <xdr:nvGraphicFramePr>
        <xdr:cNvPr id="3" name="Diagram 2">
          <a:extLst>
            <a:ext uri="{FF2B5EF4-FFF2-40B4-BE49-F238E27FC236}">
              <a16:creationId xmlns:a16="http://schemas.microsoft.com/office/drawing/2014/main" id="{39296273-CF15-4B9A-BE9B-0F9BC3348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Lundkvist, Julia" id="{C2C32B62-1343-4724-BACC-F4099EE3E987}" userId="S::julia.lundkvist@sweco.se::cbcbddc4-aab8-44f4-8c13-6e0c27cff9dd" providerId="AD"/>
  <person displayName="Petersen, Martin" id="{11B54F9A-6781-486D-9638-3894E16CE197}" userId="S::martin.petersen@sweco.se::0ccee770-733c-40f5-affe-e6bbe2409fce"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P1" dT="2020-05-14T08:43:03.39" personId="{C2C32B62-1343-4724-BACC-F4099EE3E987}" id="{6756D37B-4B9D-4B98-9868-5A0DA2A912F0}">
    <text>Vi får ändra denna manuellt i kvalitetsnyckeln, man skulle kryssa i där vilka nät som varit kvalitetsgranskade.</text>
  </threadedComment>
</ThreadedComments>
</file>

<file path=xl/threadedComments/threadedComment2.xml><?xml version="1.0" encoding="utf-8"?>
<ThreadedComments xmlns="http://schemas.microsoft.com/office/spreadsheetml/2018/threadedcomments" xmlns:x="http://schemas.openxmlformats.org/spreadsheetml/2006/main">
  <threadedComment ref="H2" dT="2020-05-14T09:32:10.99" personId="{C2C32B62-1343-4724-BACC-F4099EE3E987}" id="{DBB9F51A-855C-4CE5-8668-C0C17A4E876C}">
    <text>Den här måste vi gå igenom. Jag har ändrat alla från nej till ja för att kunna göra rätt i uträkningar i andra blad. Men vi har inte fyllt i kvalitetsgranskade nät i kvalitetsnyckeln.</text>
  </threadedComment>
  <threadedComment ref="H2" dT="2020-05-18T06:19:09.53" personId="{11B54F9A-6781-486D-9638-3894E16CE197}" id="{3E1ED94D-4FCB-4135-ADAD-E46B7A658ECE}" parentId="{DBB9F51A-855C-4CE5-8668-C0C17A4E876C}">
    <text>Har ändrat till nej för alla nät som inte har miljövärden // MaPe</text>
  </threadedComment>
</ThreadedComments>
</file>

<file path=xl/threadedComments/threadedComment3.xml><?xml version="1.0" encoding="utf-8"?>
<ThreadedComments xmlns="http://schemas.microsoft.com/office/spreadsheetml/2018/threadedcomments" xmlns:x="http://schemas.openxmlformats.org/spreadsheetml/2006/main">
  <threadedComment ref="C1" dT="2020-06-04T11:28:27.36" personId="{C2C32B62-1343-4724-BACC-F4099EE3E987}" id="{3E89AFFA-C927-464F-B999-233399DFEF07}">
    <text>2019-årsvärden även länk för Göteborg Energi pga fel i beräkningar, deras miljövärden fick räknas om i efterhand och ska publiceras på deras hemsida</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hyperlink" Target="https://www.goteborgenergi.se/foretag/fjarrvarme-kyla/miljovarden" TargetMode="External"/><Relationship Id="rId7" Type="http://schemas.microsoft.com/office/2017/10/relationships/threadedComment" Target="../threadedComments/threadedComment3.xml"/><Relationship Id="rId2" Type="http://schemas.openxmlformats.org/officeDocument/2006/relationships/hyperlink" Target="https://www.goteborgenergi.se/foretag/fjarrvarme-kyla/miljovarden" TargetMode="External"/><Relationship Id="rId1" Type="http://schemas.openxmlformats.org/officeDocument/2006/relationships/hyperlink" Target="https://urldefense.com/v3/__https:/www.eon.se/foeretag/vaerme-och-kyla/for-foretag-som-har-fjarrvarme/miljo-och-fjarrvarme__;!!HBVxBjZwpQ!hmT2mWzpAhpFkERRs6zZ-CmSLl7COntMNlnxgOi6vovZNPLtyzJYTGg0BYQ_nskG9UQbQA$"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energiforetagen.se/globalassets/energiforetagen/statistik/fjarrvarme/miljovardering-av-fjarrvarme/hjalp-vid-berakning/vmk-overnskommelse-2019.pdf"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2AA87-B891-4615-B465-82E5F5551621}">
  <sheetPr codeName="Blad2">
    <tabColor theme="9" tint="0.39997558519241921"/>
  </sheetPr>
  <dimension ref="A1:I53"/>
  <sheetViews>
    <sheetView zoomScale="70" zoomScaleNormal="70" workbookViewId="0">
      <selection activeCell="D21" sqref="D21:D23"/>
    </sheetView>
  </sheetViews>
  <sheetFormatPr defaultRowHeight="14.25" x14ac:dyDescent="0.45"/>
  <cols>
    <col min="1" max="1" width="27.73046875" bestFit="1" customWidth="1"/>
    <col min="2" max="2" width="26" bestFit="1" customWidth="1"/>
    <col min="3" max="3" width="56" bestFit="1" customWidth="1"/>
    <col min="4" max="4" width="16.3984375" bestFit="1" customWidth="1"/>
    <col min="5" max="5" width="16.59765625" bestFit="1" customWidth="1"/>
    <col min="6" max="6" width="72.59765625" bestFit="1" customWidth="1"/>
    <col min="8" max="8" width="54.59765625" bestFit="1" customWidth="1"/>
    <col min="9" max="9" width="63" bestFit="1" customWidth="1"/>
  </cols>
  <sheetData>
    <row r="1" spans="1:5" x14ac:dyDescent="0.45">
      <c r="A1" s="134" t="s">
        <v>1532</v>
      </c>
    </row>
    <row r="2" spans="1:5" s="313" customFormat="1" x14ac:dyDescent="0.45">
      <c r="A2" s="313" t="s">
        <v>724</v>
      </c>
      <c r="B2" s="313" t="s">
        <v>2</v>
      </c>
      <c r="C2" s="313" t="s">
        <v>1043</v>
      </c>
      <c r="D2" s="313" t="s">
        <v>1533</v>
      </c>
      <c r="E2" s="313" t="s">
        <v>1235</v>
      </c>
    </row>
    <row r="3" spans="1:5" x14ac:dyDescent="0.45">
      <c r="A3" t="s">
        <v>640</v>
      </c>
      <c r="B3" t="s">
        <v>642</v>
      </c>
      <c r="C3" t="s">
        <v>1029</v>
      </c>
      <c r="D3" s="314">
        <v>2.8555000000000001</v>
      </c>
    </row>
    <row r="4" spans="1:5" x14ac:dyDescent="0.45">
      <c r="A4" t="s">
        <v>610</v>
      </c>
      <c r="B4" t="s">
        <v>616</v>
      </c>
      <c r="C4" t="s">
        <v>942</v>
      </c>
      <c r="D4" s="315">
        <v>76.8</v>
      </c>
    </row>
    <row r="5" spans="1:5" x14ac:dyDescent="0.45">
      <c r="A5" t="s">
        <v>582</v>
      </c>
      <c r="B5" t="s">
        <v>585</v>
      </c>
      <c r="C5" t="s">
        <v>1015</v>
      </c>
      <c r="D5" s="316">
        <v>50.02</v>
      </c>
    </row>
    <row r="6" spans="1:5" x14ac:dyDescent="0.45">
      <c r="A6" t="s">
        <v>560</v>
      </c>
      <c r="B6" t="s">
        <v>563</v>
      </c>
      <c r="C6" t="s">
        <v>176</v>
      </c>
      <c r="D6" s="315">
        <v>109.63500000000001</v>
      </c>
    </row>
    <row r="7" spans="1:5" x14ac:dyDescent="0.45">
      <c r="A7" t="s">
        <v>546</v>
      </c>
      <c r="B7" t="s">
        <v>545</v>
      </c>
      <c r="C7" t="s">
        <v>1003</v>
      </c>
      <c r="D7" s="315">
        <v>57.9</v>
      </c>
    </row>
    <row r="8" spans="1:5" x14ac:dyDescent="0.45">
      <c r="A8" t="s">
        <v>498</v>
      </c>
      <c r="B8" t="s">
        <v>500</v>
      </c>
      <c r="C8" t="s">
        <v>49</v>
      </c>
      <c r="D8" s="315">
        <v>130.053</v>
      </c>
    </row>
    <row r="9" spans="1:5" x14ac:dyDescent="0.45">
      <c r="A9" t="s">
        <v>493</v>
      </c>
      <c r="B9" t="s">
        <v>492</v>
      </c>
      <c r="C9" t="s">
        <v>49</v>
      </c>
      <c r="D9" s="315">
        <v>29.1</v>
      </c>
    </row>
    <row r="10" spans="1:5" x14ac:dyDescent="0.45">
      <c r="A10" t="s">
        <v>490</v>
      </c>
      <c r="B10" t="s">
        <v>489</v>
      </c>
      <c r="C10" t="s">
        <v>987</v>
      </c>
      <c r="D10" s="315">
        <v>23.1</v>
      </c>
      <c r="E10" t="s">
        <v>1534</v>
      </c>
    </row>
    <row r="11" spans="1:5" x14ac:dyDescent="0.45">
      <c r="A11" t="s">
        <v>442</v>
      </c>
      <c r="B11" t="s">
        <v>441</v>
      </c>
      <c r="C11" t="s">
        <v>978</v>
      </c>
      <c r="D11" s="315">
        <v>79</v>
      </c>
    </row>
    <row r="12" spans="1:5" x14ac:dyDescent="0.45">
      <c r="A12" t="s">
        <v>428</v>
      </c>
      <c r="B12" t="s">
        <v>430</v>
      </c>
      <c r="C12" t="s">
        <v>965</v>
      </c>
      <c r="D12" s="317">
        <v>22.47</v>
      </c>
    </row>
    <row r="13" spans="1:5" x14ac:dyDescent="0.45">
      <c r="A13" t="s">
        <v>111</v>
      </c>
      <c r="B13" t="s">
        <v>409</v>
      </c>
      <c r="C13" t="s">
        <v>942</v>
      </c>
      <c r="D13" s="318">
        <v>508.536</v>
      </c>
      <c r="E13" t="s">
        <v>1535</v>
      </c>
    </row>
    <row r="14" spans="1:5" x14ac:dyDescent="0.45">
      <c r="A14" t="s">
        <v>386</v>
      </c>
      <c r="B14" t="s">
        <v>385</v>
      </c>
      <c r="C14" t="s">
        <v>965</v>
      </c>
      <c r="D14" s="315">
        <v>164.59</v>
      </c>
    </row>
    <row r="15" spans="1:5" x14ac:dyDescent="0.45">
      <c r="A15" t="s">
        <v>331</v>
      </c>
      <c r="B15" t="s">
        <v>330</v>
      </c>
      <c r="C15" t="s">
        <v>942</v>
      </c>
      <c r="D15" s="315">
        <v>325.81200000000001</v>
      </c>
    </row>
    <row r="16" spans="1:5" x14ac:dyDescent="0.45">
      <c r="A16" t="s">
        <v>297</v>
      </c>
      <c r="B16" t="s">
        <v>296</v>
      </c>
      <c r="C16" t="s">
        <v>942</v>
      </c>
      <c r="D16" s="315">
        <v>102.14100000000001</v>
      </c>
    </row>
    <row r="17" spans="1:9" x14ac:dyDescent="0.45">
      <c r="A17" t="s">
        <v>286</v>
      </c>
      <c r="B17" t="s">
        <v>285</v>
      </c>
      <c r="C17" t="s">
        <v>942</v>
      </c>
      <c r="D17" s="319">
        <v>9.2100000000000009</v>
      </c>
    </row>
    <row r="18" spans="1:9" x14ac:dyDescent="0.45">
      <c r="A18" t="s">
        <v>232</v>
      </c>
      <c r="B18" t="s">
        <v>231</v>
      </c>
      <c r="C18" t="s">
        <v>925</v>
      </c>
      <c r="D18" s="315">
        <v>2.2000000000000002</v>
      </c>
    </row>
    <row r="19" spans="1:9" x14ac:dyDescent="0.45">
      <c r="A19" t="s">
        <v>162</v>
      </c>
      <c r="B19" t="s">
        <v>166</v>
      </c>
      <c r="C19" t="s">
        <v>907</v>
      </c>
      <c r="D19" s="315">
        <v>25.8</v>
      </c>
    </row>
    <row r="20" spans="1:9" x14ac:dyDescent="0.45">
      <c r="A20" t="s">
        <v>232</v>
      </c>
      <c r="B20" t="s">
        <v>270</v>
      </c>
      <c r="C20" t="s">
        <v>231</v>
      </c>
      <c r="D20" s="315">
        <v>66.2</v>
      </c>
      <c r="E20" t="s">
        <v>1536</v>
      </c>
    </row>
    <row r="21" spans="1:9" x14ac:dyDescent="0.45">
      <c r="A21" t="s">
        <v>1537</v>
      </c>
      <c r="B21" t="s">
        <v>112</v>
      </c>
      <c r="C21" t="s">
        <v>1538</v>
      </c>
      <c r="D21" s="315">
        <v>81.98</v>
      </c>
      <c r="E21" t="s">
        <v>1539</v>
      </c>
    </row>
    <row r="22" spans="1:9" x14ac:dyDescent="0.45">
      <c r="A22" t="s">
        <v>1537</v>
      </c>
      <c r="B22" t="s">
        <v>112</v>
      </c>
      <c r="C22" t="s">
        <v>1540</v>
      </c>
      <c r="D22" s="315">
        <v>0.45</v>
      </c>
      <c r="E22" t="s">
        <v>1539</v>
      </c>
    </row>
    <row r="23" spans="1:9" x14ac:dyDescent="0.45">
      <c r="A23" t="s">
        <v>1537</v>
      </c>
      <c r="B23" t="s">
        <v>112</v>
      </c>
      <c r="C23" t="s">
        <v>1541</v>
      </c>
      <c r="D23" s="318">
        <v>0.42499999999999999</v>
      </c>
      <c r="E23" t="s">
        <v>1539</v>
      </c>
    </row>
    <row r="24" spans="1:9" x14ac:dyDescent="0.45">
      <c r="A24" s="320" t="s">
        <v>1542</v>
      </c>
      <c r="B24" s="320"/>
      <c r="C24" s="320"/>
      <c r="D24" s="321">
        <f>SUM(D3:D23)-D17</f>
        <v>1859.0675000000003</v>
      </c>
    </row>
    <row r="26" spans="1:9" x14ac:dyDescent="0.45">
      <c r="A26" s="134" t="s">
        <v>1543</v>
      </c>
    </row>
    <row r="27" spans="1:9" x14ac:dyDescent="0.45">
      <c r="A27" s="313" t="s">
        <v>724</v>
      </c>
      <c r="B27" s="313" t="s">
        <v>2</v>
      </c>
      <c r="C27" s="313" t="s">
        <v>1069</v>
      </c>
      <c r="D27" s="313" t="s">
        <v>1068</v>
      </c>
      <c r="E27" s="313" t="s">
        <v>1067</v>
      </c>
      <c r="F27" s="313" t="s">
        <v>1066</v>
      </c>
      <c r="G27" s="313" t="s">
        <v>1065</v>
      </c>
      <c r="H27" s="313" t="s">
        <v>1064</v>
      </c>
      <c r="I27" s="313" t="s">
        <v>1235</v>
      </c>
    </row>
    <row r="28" spans="1:9" x14ac:dyDescent="0.45">
      <c r="A28" t="s">
        <v>640</v>
      </c>
      <c r="B28" t="s">
        <v>642</v>
      </c>
      <c r="C28" t="s">
        <v>1029</v>
      </c>
      <c r="D28" s="315">
        <v>50.125</v>
      </c>
      <c r="E28" t="s">
        <v>146</v>
      </c>
      <c r="F28" t="s">
        <v>146</v>
      </c>
      <c r="G28" t="s">
        <v>146</v>
      </c>
      <c r="H28" t="s">
        <v>146</v>
      </c>
    </row>
    <row r="29" spans="1:9" x14ac:dyDescent="0.45">
      <c r="A29" t="s">
        <v>610</v>
      </c>
      <c r="B29" t="s">
        <v>616</v>
      </c>
      <c r="C29" t="s">
        <v>942</v>
      </c>
      <c r="D29" s="315">
        <v>82</v>
      </c>
      <c r="E29" t="s">
        <v>49</v>
      </c>
      <c r="F29" t="s">
        <v>146</v>
      </c>
      <c r="G29" t="s">
        <v>49</v>
      </c>
      <c r="H29" t="s">
        <v>146</v>
      </c>
    </row>
    <row r="30" spans="1:9" x14ac:dyDescent="0.45">
      <c r="A30" t="s">
        <v>582</v>
      </c>
      <c r="B30" t="s">
        <v>585</v>
      </c>
      <c r="C30" t="s">
        <v>1015</v>
      </c>
      <c r="D30" s="315">
        <v>2.85</v>
      </c>
      <c r="E30" t="s">
        <v>49</v>
      </c>
      <c r="F30" t="s">
        <v>146</v>
      </c>
      <c r="G30" t="s">
        <v>49</v>
      </c>
      <c r="H30" t="s">
        <v>146</v>
      </c>
    </row>
    <row r="31" spans="1:9" x14ac:dyDescent="0.45">
      <c r="A31" t="s">
        <v>560</v>
      </c>
      <c r="B31" t="s">
        <v>563</v>
      </c>
      <c r="C31" t="s">
        <v>1063</v>
      </c>
      <c r="D31" s="315">
        <v>29.6</v>
      </c>
      <c r="E31" t="s">
        <v>1062</v>
      </c>
      <c r="F31" s="315">
        <v>22.5</v>
      </c>
      <c r="G31" t="s">
        <v>1061</v>
      </c>
      <c r="H31" s="315">
        <v>164.59</v>
      </c>
    </row>
    <row r="32" spans="1:9" x14ac:dyDescent="0.45">
      <c r="A32" t="s">
        <v>507</v>
      </c>
      <c r="B32" t="s">
        <v>506</v>
      </c>
      <c r="C32" t="s">
        <v>1060</v>
      </c>
      <c r="D32" s="315">
        <v>57.951999999999998</v>
      </c>
      <c r="E32" t="s">
        <v>49</v>
      </c>
      <c r="F32" t="s">
        <v>146</v>
      </c>
      <c r="G32" t="s">
        <v>49</v>
      </c>
      <c r="H32" t="s">
        <v>146</v>
      </c>
    </row>
    <row r="33" spans="1:9" x14ac:dyDescent="0.45">
      <c r="A33" t="s">
        <v>498</v>
      </c>
      <c r="B33" t="s">
        <v>500</v>
      </c>
      <c r="C33" t="s">
        <v>1059</v>
      </c>
      <c r="D33" s="315">
        <v>8.9</v>
      </c>
      <c r="E33" t="s">
        <v>1058</v>
      </c>
      <c r="F33" s="315">
        <v>15.1</v>
      </c>
      <c r="G33" t="s">
        <v>49</v>
      </c>
      <c r="H33" t="s">
        <v>146</v>
      </c>
    </row>
    <row r="34" spans="1:9" x14ac:dyDescent="0.45">
      <c r="A34" t="s">
        <v>490</v>
      </c>
      <c r="B34" t="s">
        <v>489</v>
      </c>
      <c r="C34" t="s">
        <v>1057</v>
      </c>
      <c r="D34" s="315">
        <v>10.7</v>
      </c>
      <c r="E34" t="s">
        <v>1056</v>
      </c>
      <c r="F34" s="315">
        <v>39.9</v>
      </c>
      <c r="G34" t="s">
        <v>176</v>
      </c>
      <c r="H34" t="s">
        <v>146</v>
      </c>
    </row>
    <row r="35" spans="1:9" x14ac:dyDescent="0.45">
      <c r="A35" t="s">
        <v>442</v>
      </c>
      <c r="B35" t="s">
        <v>441</v>
      </c>
      <c r="C35" t="s">
        <v>1054</v>
      </c>
      <c r="D35" s="322">
        <v>0.24</v>
      </c>
      <c r="E35" t="s">
        <v>176</v>
      </c>
      <c r="F35" t="s">
        <v>146</v>
      </c>
      <c r="G35" t="s">
        <v>176</v>
      </c>
      <c r="H35" t="s">
        <v>146</v>
      </c>
      <c r="I35" t="s">
        <v>1544</v>
      </c>
    </row>
    <row r="36" spans="1:9" x14ac:dyDescent="0.45">
      <c r="A36" t="s">
        <v>428</v>
      </c>
      <c r="B36" t="s">
        <v>430</v>
      </c>
      <c r="C36" t="s">
        <v>965</v>
      </c>
      <c r="D36" s="315">
        <v>109.63500000000001</v>
      </c>
      <c r="E36" t="s">
        <v>49</v>
      </c>
      <c r="F36" t="s">
        <v>146</v>
      </c>
      <c r="G36" t="s">
        <v>49</v>
      </c>
      <c r="H36" t="s">
        <v>146</v>
      </c>
    </row>
    <row r="37" spans="1:9" x14ac:dyDescent="0.45">
      <c r="A37" t="s">
        <v>418</v>
      </c>
      <c r="B37" t="s">
        <v>103</v>
      </c>
      <c r="C37" t="s">
        <v>1053</v>
      </c>
      <c r="D37" s="323">
        <v>38.893000000000001</v>
      </c>
      <c r="E37" t="s">
        <v>49</v>
      </c>
      <c r="F37" t="s">
        <v>146</v>
      </c>
      <c r="G37" t="s">
        <v>49</v>
      </c>
      <c r="H37" t="s">
        <v>146</v>
      </c>
    </row>
    <row r="38" spans="1:9" x14ac:dyDescent="0.45">
      <c r="A38" t="s">
        <v>111</v>
      </c>
      <c r="B38" t="s">
        <v>409</v>
      </c>
      <c r="C38" t="s">
        <v>942</v>
      </c>
      <c r="D38" s="315">
        <v>0.44600000000000001</v>
      </c>
      <c r="E38" t="s">
        <v>146</v>
      </c>
      <c r="F38" t="s">
        <v>146</v>
      </c>
      <c r="G38" t="s">
        <v>146</v>
      </c>
      <c r="H38" t="s">
        <v>146</v>
      </c>
    </row>
    <row r="39" spans="1:9" x14ac:dyDescent="0.45">
      <c r="A39" t="s">
        <v>297</v>
      </c>
      <c r="B39" t="s">
        <v>296</v>
      </c>
      <c r="C39" t="s">
        <v>942</v>
      </c>
      <c r="D39" s="318">
        <v>2.246</v>
      </c>
      <c r="E39" t="s">
        <v>49</v>
      </c>
      <c r="F39" t="s">
        <v>146</v>
      </c>
      <c r="G39" t="s">
        <v>49</v>
      </c>
      <c r="H39" t="s">
        <v>146</v>
      </c>
    </row>
    <row r="40" spans="1:9" x14ac:dyDescent="0.45">
      <c r="A40" t="s">
        <v>289</v>
      </c>
      <c r="B40" t="s">
        <v>291</v>
      </c>
      <c r="C40" t="s">
        <v>1052</v>
      </c>
      <c r="D40" s="315">
        <v>79.040800000000004</v>
      </c>
      <c r="E40" t="s">
        <v>176</v>
      </c>
      <c r="F40" t="s">
        <v>146</v>
      </c>
      <c r="G40" t="s">
        <v>176</v>
      </c>
      <c r="H40" t="s">
        <v>146</v>
      </c>
    </row>
    <row r="41" spans="1:9" x14ac:dyDescent="0.45">
      <c r="A41" t="s">
        <v>271</v>
      </c>
      <c r="B41" t="s">
        <v>270</v>
      </c>
      <c r="C41" t="s">
        <v>940</v>
      </c>
      <c r="D41" s="315">
        <v>2.2000000000000002</v>
      </c>
      <c r="E41" t="s">
        <v>49</v>
      </c>
      <c r="F41" t="s">
        <v>146</v>
      </c>
      <c r="G41" t="s">
        <v>49</v>
      </c>
      <c r="H41" t="s">
        <v>146</v>
      </c>
    </row>
    <row r="42" spans="1:9" x14ac:dyDescent="0.45">
      <c r="A42" t="s">
        <v>232</v>
      </c>
      <c r="B42" t="s">
        <v>239</v>
      </c>
      <c r="C42" t="s">
        <v>764</v>
      </c>
      <c r="D42" s="323">
        <v>5.7160000000000002</v>
      </c>
      <c r="E42" t="s">
        <v>49</v>
      </c>
      <c r="F42" t="s">
        <v>146</v>
      </c>
      <c r="G42" t="s">
        <v>49</v>
      </c>
      <c r="H42" t="s">
        <v>146</v>
      </c>
    </row>
    <row r="43" spans="1:9" x14ac:dyDescent="0.45">
      <c r="A43" t="s">
        <v>232</v>
      </c>
      <c r="B43" t="s">
        <v>231</v>
      </c>
      <c r="C43" t="s">
        <v>925</v>
      </c>
      <c r="D43" s="315">
        <v>66.7</v>
      </c>
      <c r="E43" t="s">
        <v>49</v>
      </c>
      <c r="F43" t="s">
        <v>146</v>
      </c>
      <c r="G43" t="s">
        <v>49</v>
      </c>
      <c r="H43" t="s">
        <v>146</v>
      </c>
    </row>
    <row r="44" spans="1:9" x14ac:dyDescent="0.45">
      <c r="A44" t="s">
        <v>162</v>
      </c>
      <c r="B44" t="s">
        <v>166</v>
      </c>
      <c r="C44" t="s">
        <v>1050</v>
      </c>
      <c r="D44" s="315">
        <v>104.4</v>
      </c>
      <c r="E44" t="s">
        <v>146</v>
      </c>
      <c r="F44" t="s">
        <v>146</v>
      </c>
      <c r="G44" t="s">
        <v>146</v>
      </c>
      <c r="H44" t="s">
        <v>146</v>
      </c>
    </row>
    <row r="45" spans="1:9" x14ac:dyDescent="0.45">
      <c r="A45" s="303" t="s">
        <v>1537</v>
      </c>
      <c r="B45" s="303" t="s">
        <v>112</v>
      </c>
      <c r="C45" t="s">
        <v>1545</v>
      </c>
      <c r="D45" s="315">
        <v>325.81200000000001</v>
      </c>
      <c r="E45" t="s">
        <v>1540</v>
      </c>
      <c r="F45" s="318">
        <v>508.97500000000002</v>
      </c>
      <c r="G45" t="s">
        <v>1541</v>
      </c>
      <c r="H45" s="315">
        <v>102.14100000000001</v>
      </c>
      <c r="I45" t="s">
        <v>1546</v>
      </c>
    </row>
    <row r="46" spans="1:9" x14ac:dyDescent="0.45">
      <c r="A46" s="303" t="s">
        <v>1537</v>
      </c>
      <c r="B46" s="303" t="s">
        <v>112</v>
      </c>
      <c r="C46" t="s">
        <v>1547</v>
      </c>
      <c r="D46" s="323">
        <v>21.353000000000002</v>
      </c>
      <c r="E46" t="s">
        <v>1538</v>
      </c>
      <c r="F46" s="315">
        <v>76.802000000000007</v>
      </c>
      <c r="I46" t="s">
        <v>1546</v>
      </c>
    </row>
    <row r="47" spans="1:9" x14ac:dyDescent="0.45">
      <c r="A47" s="320" t="s">
        <v>1548</v>
      </c>
      <c r="B47" s="320"/>
      <c r="C47" s="320"/>
      <c r="D47" s="320">
        <f>SUM(D28:D46)+F31+F33+F34+F45+F46+H45+H31-D37-D42-D46</f>
        <v>1862.8548000000001</v>
      </c>
    </row>
    <row r="49" spans="1:5" x14ac:dyDescent="0.45">
      <c r="A49" s="324"/>
    </row>
    <row r="51" spans="1:5" x14ac:dyDescent="0.45">
      <c r="A51" t="s">
        <v>1549</v>
      </c>
      <c r="D51" s="325">
        <f>D47-D24</f>
        <v>3.7872999999997319</v>
      </c>
      <c r="E51" t="s">
        <v>1550</v>
      </c>
    </row>
    <row r="53" spans="1:5" x14ac:dyDescent="0.45">
      <c r="D53" s="326"/>
    </row>
  </sheetData>
  <sheetProtection password="DB76"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267A9-AFA0-4589-A938-A9C2A816D9D2}">
  <sheetPr codeName="Blad11">
    <tabColor theme="9" tint="0.39997558519241921"/>
  </sheetPr>
  <dimension ref="A1:AA409"/>
  <sheetViews>
    <sheetView workbookViewId="0">
      <selection activeCell="B7" sqref="B7"/>
    </sheetView>
  </sheetViews>
  <sheetFormatPr defaultColWidth="9.1328125" defaultRowHeight="15" customHeight="1" x14ac:dyDescent="0.45"/>
  <cols>
    <col min="1" max="1" width="43.73046875" style="2" bestFit="1" customWidth="1"/>
    <col min="2" max="2" width="48" style="2" bestFit="1" customWidth="1"/>
    <col min="3" max="23" width="9.1328125" style="2"/>
    <col min="24" max="24" width="30.86328125" style="2" bestFit="1" customWidth="1"/>
    <col min="25" max="16384" width="9.1328125" style="2"/>
  </cols>
  <sheetData>
    <row r="1" spans="1:27" s="24" customFormat="1" ht="114.4" thickBot="1" x14ac:dyDescent="0.5">
      <c r="A1" s="23" t="s">
        <v>724</v>
      </c>
      <c r="B1" s="23" t="s">
        <v>2</v>
      </c>
      <c r="C1" s="23" t="s">
        <v>723</v>
      </c>
      <c r="D1" s="23" t="s">
        <v>1079</v>
      </c>
      <c r="E1" s="23" t="s">
        <v>1078</v>
      </c>
      <c r="F1" s="23" t="s">
        <v>1077</v>
      </c>
      <c r="G1" s="23" t="s">
        <v>1076</v>
      </c>
      <c r="H1" s="23" t="s">
        <v>1075</v>
      </c>
      <c r="I1" s="23" t="s">
        <v>1074</v>
      </c>
      <c r="J1" s="23" t="s">
        <v>1073</v>
      </c>
      <c r="K1" s="23" t="s">
        <v>1072</v>
      </c>
      <c r="L1" s="23" t="s">
        <v>1071</v>
      </c>
      <c r="M1" s="23" t="s">
        <v>1070</v>
      </c>
      <c r="N1" s="23" t="s">
        <v>1069</v>
      </c>
      <c r="O1" s="23" t="s">
        <v>1068</v>
      </c>
      <c r="P1" s="23" t="s">
        <v>1067</v>
      </c>
      <c r="Q1" s="23" t="s">
        <v>1066</v>
      </c>
      <c r="R1" s="23" t="s">
        <v>1065</v>
      </c>
      <c r="S1" s="23" t="s">
        <v>1064</v>
      </c>
      <c r="U1" s="25" t="s">
        <v>1248</v>
      </c>
      <c r="V1" s="47" t="s">
        <v>1249</v>
      </c>
      <c r="X1" t="s">
        <v>1250</v>
      </c>
    </row>
    <row r="2" spans="1:27" ht="15" customHeight="1" x14ac:dyDescent="0.45">
      <c r="A2" s="2" t="s">
        <v>15</v>
      </c>
      <c r="B2" s="2" t="s">
        <v>16</v>
      </c>
      <c r="C2" s="2">
        <v>2019</v>
      </c>
      <c r="D2" s="2">
        <v>7.4340000000000002</v>
      </c>
      <c r="E2" s="2" t="s">
        <v>1051</v>
      </c>
      <c r="F2" s="2" t="s">
        <v>1051</v>
      </c>
      <c r="G2" s="2" t="s">
        <v>1051</v>
      </c>
      <c r="H2" s="2" t="s">
        <v>1051</v>
      </c>
      <c r="I2" s="2" t="s">
        <v>1051</v>
      </c>
      <c r="J2" s="2" t="s">
        <v>1051</v>
      </c>
      <c r="K2" s="2" t="s">
        <v>1051</v>
      </c>
      <c r="L2" s="2" t="s">
        <v>1051</v>
      </c>
      <c r="M2" s="2" t="s">
        <v>1051</v>
      </c>
      <c r="N2" s="2" t="s">
        <v>49</v>
      </c>
      <c r="O2" s="2" t="s">
        <v>146</v>
      </c>
      <c r="P2" s="2" t="s">
        <v>49</v>
      </c>
      <c r="Q2" s="2" t="s">
        <v>146</v>
      </c>
      <c r="R2" s="2" t="s">
        <v>49</v>
      </c>
      <c r="S2" s="2" t="s">
        <v>146</v>
      </c>
      <c r="U2" s="2">
        <f>IFERROR(D2/1,0)</f>
        <v>7.4340000000000002</v>
      </c>
      <c r="V2" s="2">
        <f>IFERROR(O2/1,0)+IFERROR(Q2/1,0)+IFERROR(S2/1,0)</f>
        <v>0</v>
      </c>
      <c r="X2" t="s">
        <v>1251</v>
      </c>
      <c r="Y2" s="2">
        <f>SUM(V2:V472)</f>
        <v>1862.8548000000003</v>
      </c>
    </row>
    <row r="3" spans="1:27" ht="15" customHeight="1" x14ac:dyDescent="0.45">
      <c r="A3" s="2" t="s">
        <v>15</v>
      </c>
      <c r="B3" s="2" t="s">
        <v>18</v>
      </c>
      <c r="C3" s="2">
        <v>2019</v>
      </c>
      <c r="D3" s="2">
        <v>15.275</v>
      </c>
      <c r="E3" s="2" t="s">
        <v>1051</v>
      </c>
      <c r="F3" s="2" t="s">
        <v>1051</v>
      </c>
      <c r="G3" s="2" t="s">
        <v>1051</v>
      </c>
      <c r="H3" s="2" t="s">
        <v>1051</v>
      </c>
      <c r="I3" s="2" t="s">
        <v>1051</v>
      </c>
      <c r="J3" s="2" t="s">
        <v>1051</v>
      </c>
      <c r="K3" s="2" t="s">
        <v>1051</v>
      </c>
      <c r="L3" s="2" t="s">
        <v>1051</v>
      </c>
      <c r="M3" s="2" t="s">
        <v>1051</v>
      </c>
      <c r="N3" s="2" t="s">
        <v>49</v>
      </c>
      <c r="O3" s="2" t="s">
        <v>146</v>
      </c>
      <c r="P3" s="2" t="s">
        <v>49</v>
      </c>
      <c r="Q3" s="2" t="s">
        <v>146</v>
      </c>
      <c r="R3" s="2" t="s">
        <v>49</v>
      </c>
      <c r="S3" s="2" t="s">
        <v>146</v>
      </c>
      <c r="U3" s="2">
        <f t="shared" ref="U3:U66" si="0">IFERROR(D3/1,0)</f>
        <v>15.275</v>
      </c>
      <c r="V3" s="2">
        <f t="shared" ref="V3:V66" si="1">IFERROR(O3/1,0)+IFERROR(Q3/1,0)+IFERROR(S3/1,0)</f>
        <v>0</v>
      </c>
      <c r="X3" t="s">
        <v>1252</v>
      </c>
      <c r="Y3" s="2">
        <f>SUM(Miljö!AB2:AB473)</f>
        <v>1785.4225000000004</v>
      </c>
    </row>
    <row r="4" spans="1:27" ht="15" customHeight="1" x14ac:dyDescent="0.45">
      <c r="A4" s="2" t="s">
        <v>15</v>
      </c>
      <c r="B4" s="2" t="s">
        <v>20</v>
      </c>
      <c r="C4" s="2">
        <v>2019</v>
      </c>
      <c r="D4" s="2">
        <v>104.622</v>
      </c>
      <c r="E4" s="2" t="s">
        <v>1051</v>
      </c>
      <c r="F4" s="2" t="s">
        <v>1051</v>
      </c>
      <c r="G4" s="2" t="s">
        <v>1051</v>
      </c>
      <c r="H4" s="2" t="s">
        <v>1051</v>
      </c>
      <c r="I4" s="2" t="s">
        <v>1051</v>
      </c>
      <c r="J4" s="2" t="s">
        <v>1051</v>
      </c>
      <c r="K4" s="2" t="s">
        <v>1051</v>
      </c>
      <c r="L4" s="2" t="s">
        <v>1051</v>
      </c>
      <c r="M4" s="2" t="s">
        <v>1051</v>
      </c>
      <c r="N4" s="2" t="s">
        <v>49</v>
      </c>
      <c r="O4" s="2" t="s">
        <v>146</v>
      </c>
      <c r="P4" s="2" t="s">
        <v>49</v>
      </c>
      <c r="Q4" s="2" t="s">
        <v>146</v>
      </c>
      <c r="R4" s="2" t="s">
        <v>49</v>
      </c>
      <c r="S4" s="2" t="s">
        <v>146</v>
      </c>
      <c r="U4" s="2">
        <f t="shared" si="0"/>
        <v>104.622</v>
      </c>
      <c r="V4" s="2">
        <f t="shared" si="1"/>
        <v>0</v>
      </c>
      <c r="X4"/>
    </row>
    <row r="5" spans="1:27" ht="15" customHeight="1" x14ac:dyDescent="0.45">
      <c r="A5" s="2" t="s">
        <v>15</v>
      </c>
      <c r="B5" s="2" t="s">
        <v>22</v>
      </c>
      <c r="C5" s="2">
        <v>2019</v>
      </c>
      <c r="D5" s="2">
        <v>22.591000000000001</v>
      </c>
      <c r="E5" s="2" t="s">
        <v>1051</v>
      </c>
      <c r="F5" s="2" t="s">
        <v>1051</v>
      </c>
      <c r="G5" s="2" t="s">
        <v>1051</v>
      </c>
      <c r="H5" s="2" t="s">
        <v>1051</v>
      </c>
      <c r="I5" s="2" t="s">
        <v>1051</v>
      </c>
      <c r="J5" s="2" t="s">
        <v>1051</v>
      </c>
      <c r="K5" s="2" t="s">
        <v>1051</v>
      </c>
      <c r="L5" s="2" t="s">
        <v>1051</v>
      </c>
      <c r="M5" s="2" t="s">
        <v>1051</v>
      </c>
      <c r="N5" s="2" t="s">
        <v>49</v>
      </c>
      <c r="O5" s="2" t="s">
        <v>146</v>
      </c>
      <c r="P5" s="2" t="s">
        <v>49</v>
      </c>
      <c r="Q5" s="2" t="s">
        <v>146</v>
      </c>
      <c r="R5" s="2" t="s">
        <v>49</v>
      </c>
      <c r="S5" s="2" t="s">
        <v>146</v>
      </c>
      <c r="U5" s="2">
        <f t="shared" si="0"/>
        <v>22.591000000000001</v>
      </c>
      <c r="V5" s="2">
        <f t="shared" si="1"/>
        <v>0</v>
      </c>
      <c r="X5" t="s">
        <v>1253</v>
      </c>
      <c r="Y5" s="2">
        <f>Y2-Y3</f>
        <v>77.432299999999941</v>
      </c>
    </row>
    <row r="6" spans="1:27" ht="15" customHeight="1" x14ac:dyDescent="0.45">
      <c r="A6" s="2" t="s">
        <v>15</v>
      </c>
      <c r="B6" s="2" t="s">
        <v>24</v>
      </c>
      <c r="C6" s="2">
        <v>2019</v>
      </c>
      <c r="D6" s="2">
        <v>59.720999999999997</v>
      </c>
      <c r="E6" s="2" t="s">
        <v>1051</v>
      </c>
      <c r="F6" s="2" t="s">
        <v>1051</v>
      </c>
      <c r="G6" s="2" t="s">
        <v>1051</v>
      </c>
      <c r="H6" s="2" t="s">
        <v>1051</v>
      </c>
      <c r="I6" s="2" t="s">
        <v>1051</v>
      </c>
      <c r="J6" s="2" t="s">
        <v>1051</v>
      </c>
      <c r="K6" s="2" t="s">
        <v>1051</v>
      </c>
      <c r="L6" s="2" t="s">
        <v>1051</v>
      </c>
      <c r="M6" s="2" t="s">
        <v>1051</v>
      </c>
      <c r="N6" s="2" t="s">
        <v>49</v>
      </c>
      <c r="O6" s="2" t="s">
        <v>146</v>
      </c>
      <c r="P6" s="2" t="s">
        <v>49</v>
      </c>
      <c r="Q6" s="2" t="s">
        <v>146</v>
      </c>
      <c r="R6" s="2" t="s">
        <v>49</v>
      </c>
      <c r="S6" s="2" t="s">
        <v>146</v>
      </c>
      <c r="U6" s="2">
        <f t="shared" si="0"/>
        <v>59.720999999999997</v>
      </c>
      <c r="V6" s="2">
        <f t="shared" si="1"/>
        <v>0</v>
      </c>
    </row>
    <row r="7" spans="1:27" ht="15" customHeight="1" x14ac:dyDescent="0.45">
      <c r="A7" s="2" t="s">
        <v>15</v>
      </c>
      <c r="B7" s="2" t="s">
        <v>26</v>
      </c>
      <c r="C7" s="2">
        <v>2019</v>
      </c>
      <c r="D7" s="2">
        <v>25.547000000000001</v>
      </c>
      <c r="E7" s="2" t="s">
        <v>1051</v>
      </c>
      <c r="F7" s="2" t="s">
        <v>1051</v>
      </c>
      <c r="G7" s="2" t="s">
        <v>1051</v>
      </c>
      <c r="H7" s="2" t="s">
        <v>1051</v>
      </c>
      <c r="I7" s="2" t="s">
        <v>1051</v>
      </c>
      <c r="J7" s="2" t="s">
        <v>1051</v>
      </c>
      <c r="K7" s="2" t="s">
        <v>1051</v>
      </c>
      <c r="L7" s="2" t="s">
        <v>1051</v>
      </c>
      <c r="M7" s="2" t="s">
        <v>1051</v>
      </c>
      <c r="N7" s="2" t="s">
        <v>49</v>
      </c>
      <c r="O7" s="2" t="s">
        <v>146</v>
      </c>
      <c r="P7" s="2" t="s">
        <v>49</v>
      </c>
      <c r="Q7" s="2" t="s">
        <v>146</v>
      </c>
      <c r="R7" s="2" t="s">
        <v>49</v>
      </c>
      <c r="S7" s="2" t="s">
        <v>146</v>
      </c>
      <c r="U7" s="2">
        <f t="shared" si="0"/>
        <v>25.547000000000001</v>
      </c>
      <c r="V7" s="2">
        <f t="shared" si="1"/>
        <v>0</v>
      </c>
      <c r="X7" s="58" t="s">
        <v>1572</v>
      </c>
      <c r="Y7"/>
      <c r="Z7"/>
      <c r="AA7"/>
    </row>
    <row r="8" spans="1:27" ht="15" customHeight="1" x14ac:dyDescent="0.45">
      <c r="A8" s="2" t="s">
        <v>15</v>
      </c>
      <c r="B8" s="2" t="s">
        <v>28</v>
      </c>
      <c r="C8" s="2">
        <v>2019</v>
      </c>
      <c r="D8" s="2">
        <v>70.462000000000003</v>
      </c>
      <c r="E8" s="2" t="s">
        <v>1051</v>
      </c>
      <c r="F8" s="2" t="s">
        <v>1051</v>
      </c>
      <c r="G8" s="2" t="s">
        <v>1051</v>
      </c>
      <c r="H8" s="2" t="s">
        <v>1051</v>
      </c>
      <c r="I8" s="2" t="s">
        <v>1051</v>
      </c>
      <c r="J8" s="2" t="s">
        <v>1051</v>
      </c>
      <c r="K8" s="2" t="s">
        <v>1051</v>
      </c>
      <c r="L8" s="2" t="s">
        <v>1051</v>
      </c>
      <c r="M8" s="2" t="s">
        <v>1051</v>
      </c>
      <c r="N8" s="2" t="s">
        <v>49</v>
      </c>
      <c r="O8" s="2" t="s">
        <v>146</v>
      </c>
      <c r="P8" s="2" t="s">
        <v>49</v>
      </c>
      <c r="Q8" s="2" t="s">
        <v>146</v>
      </c>
      <c r="R8" s="2" t="s">
        <v>49</v>
      </c>
      <c r="S8" s="2" t="s">
        <v>146</v>
      </c>
      <c r="U8" s="2">
        <f t="shared" si="0"/>
        <v>70.462000000000003</v>
      </c>
      <c r="V8" s="2">
        <f t="shared" si="1"/>
        <v>0</v>
      </c>
      <c r="X8" t="s">
        <v>1552</v>
      </c>
      <c r="Y8">
        <v>82.43</v>
      </c>
      <c r="Z8"/>
      <c r="AA8" s="34" t="s">
        <v>1553</v>
      </c>
    </row>
    <row r="9" spans="1:27" ht="15" customHeight="1" x14ac:dyDescent="0.45">
      <c r="A9" s="2" t="s">
        <v>15</v>
      </c>
      <c r="B9" s="2" t="s">
        <v>30</v>
      </c>
      <c r="C9" s="2">
        <v>2019</v>
      </c>
      <c r="D9" s="2">
        <v>22.984000000000002</v>
      </c>
      <c r="E9" s="2" t="s">
        <v>1051</v>
      </c>
      <c r="F9" s="2" t="s">
        <v>1051</v>
      </c>
      <c r="G9" s="2" t="s">
        <v>1051</v>
      </c>
      <c r="H9" s="2" t="s">
        <v>1051</v>
      </c>
      <c r="I9" s="2" t="s">
        <v>1051</v>
      </c>
      <c r="J9" s="2" t="s">
        <v>1051</v>
      </c>
      <c r="K9" s="2" t="s">
        <v>1051</v>
      </c>
      <c r="L9" s="2" t="s">
        <v>1051</v>
      </c>
      <c r="M9" s="2" t="s">
        <v>1051</v>
      </c>
      <c r="N9" s="2" t="s">
        <v>49</v>
      </c>
      <c r="O9" s="2" t="s">
        <v>146</v>
      </c>
      <c r="P9" s="2" t="s">
        <v>49</v>
      </c>
      <c r="Q9" s="2" t="s">
        <v>146</v>
      </c>
      <c r="R9" s="2" t="s">
        <v>49</v>
      </c>
      <c r="S9" s="2" t="s">
        <v>146</v>
      </c>
      <c r="U9" s="2">
        <f t="shared" si="0"/>
        <v>22.984000000000002</v>
      </c>
      <c r="V9" s="2">
        <f t="shared" si="1"/>
        <v>0</v>
      </c>
      <c r="X9"/>
      <c r="Y9"/>
      <c r="Z9"/>
      <c r="AA9"/>
    </row>
    <row r="10" spans="1:27" ht="15" customHeight="1" x14ac:dyDescent="0.45">
      <c r="A10" s="2" t="s">
        <v>15</v>
      </c>
      <c r="B10" s="2" t="s">
        <v>32</v>
      </c>
      <c r="C10" s="2">
        <v>2019</v>
      </c>
      <c r="D10" s="2">
        <v>84.292000000000002</v>
      </c>
      <c r="E10" s="2" t="s">
        <v>1051</v>
      </c>
      <c r="F10" s="2" t="s">
        <v>1051</v>
      </c>
      <c r="G10" s="2" t="s">
        <v>1051</v>
      </c>
      <c r="H10" s="2" t="s">
        <v>1051</v>
      </c>
      <c r="I10" s="2" t="s">
        <v>1051</v>
      </c>
      <c r="J10" s="2" t="s">
        <v>1051</v>
      </c>
      <c r="K10" s="2" t="s">
        <v>1051</v>
      </c>
      <c r="L10" s="2" t="s">
        <v>1051</v>
      </c>
      <c r="M10" s="2" t="s">
        <v>1051</v>
      </c>
      <c r="N10" s="2" t="s">
        <v>49</v>
      </c>
      <c r="O10" s="2" t="s">
        <v>146</v>
      </c>
      <c r="P10" s="2" t="s">
        <v>49</v>
      </c>
      <c r="Q10" s="2" t="s">
        <v>146</v>
      </c>
      <c r="R10" s="2" t="s">
        <v>49</v>
      </c>
      <c r="S10" s="2" t="s">
        <v>146</v>
      </c>
      <c r="U10" s="2">
        <f t="shared" si="0"/>
        <v>84.292000000000002</v>
      </c>
      <c r="V10" s="2">
        <f t="shared" si="1"/>
        <v>0</v>
      </c>
      <c r="X10"/>
      <c r="Y10"/>
      <c r="Z10"/>
      <c r="AA10"/>
    </row>
    <row r="11" spans="1:27" ht="15" customHeight="1" x14ac:dyDescent="0.45">
      <c r="A11" s="2" t="s">
        <v>672</v>
      </c>
      <c r="B11" s="2" t="s">
        <v>681</v>
      </c>
      <c r="C11" s="2">
        <v>2019</v>
      </c>
      <c r="D11" s="2">
        <v>4.9000000000000004</v>
      </c>
      <c r="E11" s="2">
        <v>3</v>
      </c>
      <c r="F11" s="2" t="s">
        <v>146</v>
      </c>
      <c r="G11" s="2" t="s">
        <v>146</v>
      </c>
      <c r="H11" s="2" t="s">
        <v>146</v>
      </c>
      <c r="I11" s="2">
        <v>1.9</v>
      </c>
      <c r="J11" s="2" t="s">
        <v>146</v>
      </c>
      <c r="K11" s="2" t="s">
        <v>146</v>
      </c>
      <c r="L11" s="2" t="s">
        <v>146</v>
      </c>
      <c r="M11" s="2" t="s">
        <v>146</v>
      </c>
      <c r="N11" s="2" t="s">
        <v>49</v>
      </c>
      <c r="O11" s="2" t="s">
        <v>146</v>
      </c>
      <c r="P11" s="2" t="s">
        <v>49</v>
      </c>
      <c r="Q11" s="2" t="s">
        <v>146</v>
      </c>
      <c r="R11" s="2" t="s">
        <v>49</v>
      </c>
      <c r="S11" s="2" t="s">
        <v>146</v>
      </c>
      <c r="U11" s="2">
        <f t="shared" si="0"/>
        <v>4.9000000000000004</v>
      </c>
      <c r="V11" s="2">
        <f t="shared" si="1"/>
        <v>0</v>
      </c>
      <c r="X11" t="s">
        <v>1573</v>
      </c>
      <c r="Y11">
        <f>Y5-Y8</f>
        <v>-4.9977000000000658</v>
      </c>
      <c r="Z11"/>
      <c r="AA11" s="315" t="s">
        <v>1551</v>
      </c>
    </row>
    <row r="12" spans="1:27" ht="15" customHeight="1" x14ac:dyDescent="0.45">
      <c r="A12" s="2" t="s">
        <v>672</v>
      </c>
      <c r="B12" s="2" t="s">
        <v>680</v>
      </c>
      <c r="C12" s="2">
        <v>2019</v>
      </c>
      <c r="D12" s="2">
        <v>14.776999999999999</v>
      </c>
      <c r="E12" s="2" t="s">
        <v>1051</v>
      </c>
      <c r="F12" s="2" t="s">
        <v>1051</v>
      </c>
      <c r="G12" s="2" t="s">
        <v>1051</v>
      </c>
      <c r="H12" s="2" t="s">
        <v>1051</v>
      </c>
      <c r="I12" s="2" t="s">
        <v>1051</v>
      </c>
      <c r="J12" s="2" t="s">
        <v>1051</v>
      </c>
      <c r="K12" s="2" t="s">
        <v>1051</v>
      </c>
      <c r="L12" s="2" t="s">
        <v>1051</v>
      </c>
      <c r="M12" s="2" t="s">
        <v>1051</v>
      </c>
      <c r="N12" s="2" t="s">
        <v>49</v>
      </c>
      <c r="O12" s="2" t="s">
        <v>146</v>
      </c>
      <c r="P12" s="2" t="s">
        <v>49</v>
      </c>
      <c r="Q12" s="2" t="s">
        <v>146</v>
      </c>
      <c r="R12" s="2" t="s">
        <v>49</v>
      </c>
      <c r="S12" s="2" t="s">
        <v>146</v>
      </c>
      <c r="U12" s="2">
        <f t="shared" si="0"/>
        <v>14.776999999999999</v>
      </c>
      <c r="V12" s="2">
        <f t="shared" si="1"/>
        <v>0</v>
      </c>
      <c r="X12"/>
      <c r="Y12"/>
      <c r="Z12"/>
      <c r="AA12"/>
    </row>
    <row r="13" spans="1:27" ht="15" customHeight="1" x14ac:dyDescent="0.45">
      <c r="A13" s="2" t="s">
        <v>672</v>
      </c>
      <c r="B13" s="2" t="s">
        <v>679</v>
      </c>
      <c r="C13" s="2">
        <v>2019</v>
      </c>
      <c r="D13" s="2">
        <v>4.1840000000000002</v>
      </c>
      <c r="E13" s="2" t="s">
        <v>1051</v>
      </c>
      <c r="F13" s="2" t="s">
        <v>1051</v>
      </c>
      <c r="G13" s="2" t="s">
        <v>1051</v>
      </c>
      <c r="H13" s="2" t="s">
        <v>1051</v>
      </c>
      <c r="I13" s="2" t="s">
        <v>1051</v>
      </c>
      <c r="J13" s="2" t="s">
        <v>1051</v>
      </c>
      <c r="K13" s="2" t="s">
        <v>1051</v>
      </c>
      <c r="L13" s="2" t="s">
        <v>1051</v>
      </c>
      <c r="M13" s="2" t="s">
        <v>1051</v>
      </c>
      <c r="N13" s="2" t="s">
        <v>49</v>
      </c>
      <c r="O13" s="2" t="s">
        <v>1051</v>
      </c>
      <c r="P13" s="2" t="s">
        <v>49</v>
      </c>
      <c r="Q13" s="2" t="s">
        <v>1051</v>
      </c>
      <c r="R13" s="2" t="s">
        <v>49</v>
      </c>
      <c r="S13" s="2" t="s">
        <v>1051</v>
      </c>
      <c r="U13" s="2">
        <f t="shared" si="0"/>
        <v>4.1840000000000002</v>
      </c>
      <c r="V13" s="2">
        <f t="shared" si="1"/>
        <v>0</v>
      </c>
      <c r="X13"/>
      <c r="Y13"/>
      <c r="Z13"/>
      <c r="AA13"/>
    </row>
    <row r="14" spans="1:27" ht="15" customHeight="1" x14ac:dyDescent="0.45">
      <c r="A14" s="2" t="s">
        <v>672</v>
      </c>
      <c r="B14" s="2" t="s">
        <v>678</v>
      </c>
      <c r="C14" s="2">
        <v>2019</v>
      </c>
      <c r="D14" s="2">
        <v>5.5890000000000004</v>
      </c>
      <c r="E14" s="2" t="s">
        <v>1051</v>
      </c>
      <c r="F14" s="2" t="s">
        <v>1051</v>
      </c>
      <c r="G14" s="2" t="s">
        <v>1051</v>
      </c>
      <c r="H14" s="2" t="s">
        <v>1051</v>
      </c>
      <c r="I14" s="2" t="s">
        <v>1051</v>
      </c>
      <c r="J14" s="2" t="s">
        <v>1051</v>
      </c>
      <c r="K14" s="2" t="s">
        <v>1051</v>
      </c>
      <c r="L14" s="2" t="s">
        <v>1051</v>
      </c>
      <c r="M14" s="2" t="s">
        <v>1051</v>
      </c>
      <c r="N14" s="2" t="s">
        <v>49</v>
      </c>
      <c r="O14" s="2" t="s">
        <v>146</v>
      </c>
      <c r="P14" s="2" t="s">
        <v>49</v>
      </c>
      <c r="Q14" s="2" t="s">
        <v>146</v>
      </c>
      <c r="R14" s="2" t="s">
        <v>49</v>
      </c>
      <c r="S14" s="2" t="s">
        <v>146</v>
      </c>
      <c r="U14" s="2">
        <f t="shared" si="0"/>
        <v>5.5890000000000004</v>
      </c>
      <c r="V14" s="2">
        <f t="shared" si="1"/>
        <v>0</v>
      </c>
      <c r="X14"/>
      <c r="Y14"/>
      <c r="Z14"/>
      <c r="AA14"/>
    </row>
    <row r="15" spans="1:27" ht="15" customHeight="1" x14ac:dyDescent="0.45">
      <c r="A15" s="2" t="s">
        <v>672</v>
      </c>
      <c r="B15" s="2" t="s">
        <v>677</v>
      </c>
      <c r="C15" s="2">
        <v>2019</v>
      </c>
      <c r="D15" s="2">
        <v>7.6479999999999997</v>
      </c>
      <c r="E15" s="2" t="s">
        <v>1051</v>
      </c>
      <c r="F15" s="2" t="s">
        <v>1051</v>
      </c>
      <c r="G15" s="2" t="s">
        <v>1051</v>
      </c>
      <c r="H15" s="2" t="s">
        <v>1051</v>
      </c>
      <c r="I15" s="2" t="s">
        <v>1051</v>
      </c>
      <c r="J15" s="2" t="s">
        <v>1051</v>
      </c>
      <c r="K15" s="2" t="s">
        <v>1051</v>
      </c>
      <c r="L15" s="2" t="s">
        <v>1051</v>
      </c>
      <c r="M15" s="2" t="s">
        <v>1051</v>
      </c>
      <c r="N15" s="2" t="s">
        <v>49</v>
      </c>
      <c r="O15" s="2" t="s">
        <v>146</v>
      </c>
      <c r="P15" s="2" t="s">
        <v>49</v>
      </c>
      <c r="Q15" s="2" t="s">
        <v>146</v>
      </c>
      <c r="R15" s="2" t="s">
        <v>49</v>
      </c>
      <c r="S15" s="2" t="s">
        <v>146</v>
      </c>
      <c r="U15" s="2">
        <f t="shared" si="0"/>
        <v>7.6479999999999997</v>
      </c>
      <c r="V15" s="2">
        <f t="shared" si="1"/>
        <v>0</v>
      </c>
      <c r="X15"/>
      <c r="Y15"/>
      <c r="Z15"/>
      <c r="AA15"/>
    </row>
    <row r="16" spans="1:27" ht="15" customHeight="1" x14ac:dyDescent="0.45">
      <c r="A16" s="2" t="s">
        <v>672</v>
      </c>
      <c r="B16" s="2" t="s">
        <v>676</v>
      </c>
      <c r="C16" s="2">
        <v>2019</v>
      </c>
      <c r="D16" s="2">
        <v>15.265000000000001</v>
      </c>
      <c r="E16" s="2" t="s">
        <v>1051</v>
      </c>
      <c r="F16" s="2" t="s">
        <v>1051</v>
      </c>
      <c r="G16" s="2" t="s">
        <v>1051</v>
      </c>
      <c r="H16" s="2" t="s">
        <v>1051</v>
      </c>
      <c r="I16" s="2" t="s">
        <v>1051</v>
      </c>
      <c r="J16" s="2" t="s">
        <v>1051</v>
      </c>
      <c r="K16" s="2" t="s">
        <v>1051</v>
      </c>
      <c r="L16" s="2" t="s">
        <v>1051</v>
      </c>
      <c r="M16" s="2" t="s">
        <v>1051</v>
      </c>
      <c r="N16" s="2" t="s">
        <v>49</v>
      </c>
      <c r="O16" s="2" t="s">
        <v>146</v>
      </c>
      <c r="P16" s="2" t="s">
        <v>49</v>
      </c>
      <c r="Q16" s="2" t="s">
        <v>146</v>
      </c>
      <c r="R16" s="2" t="s">
        <v>49</v>
      </c>
      <c r="S16" s="2" t="s">
        <v>146</v>
      </c>
      <c r="U16" s="2">
        <f t="shared" si="0"/>
        <v>15.265000000000001</v>
      </c>
      <c r="V16" s="2">
        <f t="shared" si="1"/>
        <v>0</v>
      </c>
      <c r="X16"/>
      <c r="Y16"/>
      <c r="Z16"/>
      <c r="AA16"/>
    </row>
    <row r="17" spans="1:27" ht="15" customHeight="1" x14ac:dyDescent="0.45">
      <c r="A17" s="2" t="s">
        <v>672</v>
      </c>
      <c r="B17" s="2" t="s">
        <v>675</v>
      </c>
      <c r="C17" s="2">
        <v>2019</v>
      </c>
      <c r="D17" s="2">
        <v>3.9</v>
      </c>
      <c r="E17" s="2">
        <v>2.1</v>
      </c>
      <c r="F17" s="2">
        <v>0.1</v>
      </c>
      <c r="G17" s="2">
        <v>0</v>
      </c>
      <c r="H17" s="2">
        <v>0</v>
      </c>
      <c r="I17" s="2">
        <v>1.7</v>
      </c>
      <c r="J17" s="2">
        <v>0</v>
      </c>
      <c r="K17" s="2">
        <v>0</v>
      </c>
      <c r="L17" s="2">
        <v>0</v>
      </c>
      <c r="M17" s="2">
        <v>0</v>
      </c>
      <c r="N17" s="2" t="s">
        <v>49</v>
      </c>
      <c r="O17" s="2" t="s">
        <v>146</v>
      </c>
      <c r="P17" s="2" t="s">
        <v>49</v>
      </c>
      <c r="Q17" s="2" t="s">
        <v>146</v>
      </c>
      <c r="R17" s="2" t="s">
        <v>49</v>
      </c>
      <c r="S17" s="2" t="s">
        <v>146</v>
      </c>
      <c r="U17" s="2">
        <f t="shared" si="0"/>
        <v>3.9</v>
      </c>
      <c r="V17" s="2">
        <f t="shared" si="1"/>
        <v>0</v>
      </c>
      <c r="X17"/>
      <c r="Y17"/>
      <c r="Z17"/>
      <c r="AA17"/>
    </row>
    <row r="18" spans="1:27" ht="15" customHeight="1" x14ac:dyDescent="0.45">
      <c r="A18" s="2" t="s">
        <v>672</v>
      </c>
      <c r="B18" s="2" t="s">
        <v>674</v>
      </c>
      <c r="C18" s="2">
        <v>2019</v>
      </c>
      <c r="D18" s="2">
        <v>1.827</v>
      </c>
      <c r="E18" s="2" t="s">
        <v>1051</v>
      </c>
      <c r="F18" s="2" t="s">
        <v>1051</v>
      </c>
      <c r="G18" s="2" t="s">
        <v>1051</v>
      </c>
      <c r="H18" s="2" t="s">
        <v>1051</v>
      </c>
      <c r="I18" s="2" t="s">
        <v>1051</v>
      </c>
      <c r="J18" s="2" t="s">
        <v>1051</v>
      </c>
      <c r="K18" s="2" t="s">
        <v>1051</v>
      </c>
      <c r="L18" s="2" t="s">
        <v>1051</v>
      </c>
      <c r="M18" s="2" t="s">
        <v>1051</v>
      </c>
      <c r="N18" s="2" t="s">
        <v>49</v>
      </c>
      <c r="O18" s="2" t="s">
        <v>146</v>
      </c>
      <c r="P18" s="2" t="s">
        <v>49</v>
      </c>
      <c r="Q18" s="2" t="s">
        <v>146</v>
      </c>
      <c r="R18" s="2" t="s">
        <v>49</v>
      </c>
      <c r="S18" s="2" t="s">
        <v>146</v>
      </c>
      <c r="U18" s="2">
        <f t="shared" si="0"/>
        <v>1.827</v>
      </c>
      <c r="V18" s="2">
        <f t="shared" si="1"/>
        <v>0</v>
      </c>
      <c r="X18"/>
      <c r="Y18"/>
      <c r="Z18"/>
      <c r="AA18"/>
    </row>
    <row r="19" spans="1:27" ht="15" customHeight="1" x14ac:dyDescent="0.45">
      <c r="A19" s="2" t="s">
        <v>672</v>
      </c>
      <c r="B19" s="2" t="s">
        <v>673</v>
      </c>
      <c r="C19" s="2">
        <v>2019</v>
      </c>
      <c r="D19" s="2">
        <v>5.1020000000000003</v>
      </c>
      <c r="E19" s="2" t="s">
        <v>1051</v>
      </c>
      <c r="F19" s="2" t="s">
        <v>1051</v>
      </c>
      <c r="G19" s="2" t="s">
        <v>1051</v>
      </c>
      <c r="H19" s="2" t="s">
        <v>1051</v>
      </c>
      <c r="I19" s="2" t="s">
        <v>1051</v>
      </c>
      <c r="J19" s="2" t="s">
        <v>1051</v>
      </c>
      <c r="K19" s="2" t="s">
        <v>1051</v>
      </c>
      <c r="L19" s="2" t="s">
        <v>1051</v>
      </c>
      <c r="M19" s="2" t="s">
        <v>1051</v>
      </c>
      <c r="N19" s="2" t="s">
        <v>49</v>
      </c>
      <c r="O19" s="2" t="s">
        <v>146</v>
      </c>
      <c r="P19" s="2" t="s">
        <v>49</v>
      </c>
      <c r="Q19" s="2" t="s">
        <v>146</v>
      </c>
      <c r="R19" s="2" t="s">
        <v>49</v>
      </c>
      <c r="S19" s="2" t="s">
        <v>146</v>
      </c>
      <c r="U19" s="2">
        <f t="shared" si="0"/>
        <v>5.1020000000000003</v>
      </c>
      <c r="V19" s="2">
        <f t="shared" si="1"/>
        <v>0</v>
      </c>
      <c r="X19"/>
      <c r="Y19"/>
      <c r="Z19"/>
      <c r="AA19"/>
    </row>
    <row r="20" spans="1:27" ht="15" customHeight="1" x14ac:dyDescent="0.45">
      <c r="A20" s="2" t="s">
        <v>672</v>
      </c>
      <c r="B20" s="2" t="s">
        <v>671</v>
      </c>
      <c r="C20" s="2">
        <v>2019</v>
      </c>
      <c r="D20" s="2">
        <v>3.1920000000000002</v>
      </c>
      <c r="E20" s="2" t="s">
        <v>1051</v>
      </c>
      <c r="F20" s="2" t="s">
        <v>1051</v>
      </c>
      <c r="G20" s="2" t="s">
        <v>1051</v>
      </c>
      <c r="H20" s="2" t="s">
        <v>1051</v>
      </c>
      <c r="I20" s="2" t="s">
        <v>1051</v>
      </c>
      <c r="J20" s="2" t="s">
        <v>1051</v>
      </c>
      <c r="K20" s="2" t="s">
        <v>1051</v>
      </c>
      <c r="L20" s="2" t="s">
        <v>1051</v>
      </c>
      <c r="M20" s="2" t="s">
        <v>1051</v>
      </c>
      <c r="N20" s="2" t="s">
        <v>49</v>
      </c>
      <c r="O20" s="2" t="s">
        <v>146</v>
      </c>
      <c r="P20" s="2" t="s">
        <v>49</v>
      </c>
      <c r="Q20" s="2" t="s">
        <v>146</v>
      </c>
      <c r="R20" s="2" t="s">
        <v>49</v>
      </c>
      <c r="S20" s="2" t="s">
        <v>146</v>
      </c>
      <c r="U20" s="2">
        <f t="shared" si="0"/>
        <v>3.1920000000000002</v>
      </c>
      <c r="V20" s="2">
        <f t="shared" si="1"/>
        <v>0</v>
      </c>
      <c r="X20"/>
      <c r="Y20"/>
      <c r="Z20"/>
      <c r="AA20"/>
    </row>
    <row r="21" spans="1:27" ht="15" customHeight="1" x14ac:dyDescent="0.45">
      <c r="A21" s="2" t="s">
        <v>666</v>
      </c>
      <c r="B21" s="2" t="s">
        <v>670</v>
      </c>
      <c r="C21" s="2">
        <v>2019</v>
      </c>
      <c r="D21" s="2">
        <v>0.39</v>
      </c>
      <c r="E21" s="2">
        <v>0</v>
      </c>
      <c r="F21" s="2">
        <v>0</v>
      </c>
      <c r="G21" s="2">
        <v>0</v>
      </c>
      <c r="H21" s="2">
        <v>0</v>
      </c>
      <c r="I21" s="2">
        <v>0.39</v>
      </c>
      <c r="J21" s="2">
        <v>0</v>
      </c>
      <c r="K21" s="2">
        <v>0</v>
      </c>
      <c r="L21" s="2">
        <v>0</v>
      </c>
      <c r="M21" s="2">
        <v>0</v>
      </c>
      <c r="N21" s="2" t="s">
        <v>49</v>
      </c>
      <c r="O21" s="2" t="s">
        <v>146</v>
      </c>
      <c r="P21" s="2" t="s">
        <v>49</v>
      </c>
      <c r="Q21" s="2" t="s">
        <v>146</v>
      </c>
      <c r="R21" s="2" t="s">
        <v>49</v>
      </c>
      <c r="S21" s="2" t="s">
        <v>146</v>
      </c>
      <c r="U21" s="2">
        <f t="shared" si="0"/>
        <v>0.39</v>
      </c>
      <c r="V21" s="2">
        <f t="shared" si="1"/>
        <v>0</v>
      </c>
      <c r="X21"/>
      <c r="Y21"/>
      <c r="Z21"/>
      <c r="AA21"/>
    </row>
    <row r="22" spans="1:27" ht="15" customHeight="1" x14ac:dyDescent="0.45">
      <c r="A22" s="2" t="s">
        <v>666</v>
      </c>
      <c r="B22" s="2" t="s">
        <v>669</v>
      </c>
      <c r="C22" s="2">
        <v>2019</v>
      </c>
      <c r="D22" s="2">
        <v>5</v>
      </c>
      <c r="E22" s="2">
        <v>1.9</v>
      </c>
      <c r="F22" s="2">
        <v>0.17</v>
      </c>
      <c r="G22" s="2">
        <v>0</v>
      </c>
      <c r="H22" s="2">
        <v>0</v>
      </c>
      <c r="I22" s="2">
        <v>2.44</v>
      </c>
      <c r="J22" s="2">
        <v>0.56000000000000005</v>
      </c>
      <c r="K22" s="2">
        <v>0</v>
      </c>
      <c r="L22" s="2">
        <v>0</v>
      </c>
      <c r="M22" s="2">
        <v>0</v>
      </c>
      <c r="N22" s="2" t="s">
        <v>49</v>
      </c>
      <c r="O22" s="2" t="s">
        <v>146</v>
      </c>
      <c r="P22" s="2" t="s">
        <v>49</v>
      </c>
      <c r="Q22" s="2" t="s">
        <v>146</v>
      </c>
      <c r="R22" s="2" t="s">
        <v>49</v>
      </c>
      <c r="S22" s="2" t="s">
        <v>146</v>
      </c>
      <c r="U22" s="2">
        <f t="shared" si="0"/>
        <v>5</v>
      </c>
      <c r="V22" s="2">
        <f t="shared" si="1"/>
        <v>0</v>
      </c>
      <c r="X22"/>
      <c r="Y22"/>
      <c r="Z22"/>
      <c r="AA22"/>
    </row>
    <row r="23" spans="1:27" ht="15" customHeight="1" x14ac:dyDescent="0.45">
      <c r="A23" s="2" t="s">
        <v>666</v>
      </c>
      <c r="B23" s="2" t="s">
        <v>668</v>
      </c>
      <c r="C23" s="2">
        <v>2019</v>
      </c>
      <c r="D23" s="2">
        <v>236.58</v>
      </c>
      <c r="E23" s="2">
        <v>119.03</v>
      </c>
      <c r="F23" s="2">
        <v>2.57</v>
      </c>
      <c r="G23" s="2">
        <v>0</v>
      </c>
      <c r="H23" s="2">
        <v>0</v>
      </c>
      <c r="I23" s="2">
        <v>44.17</v>
      </c>
      <c r="J23" s="2">
        <v>49.02</v>
      </c>
      <c r="K23" s="2">
        <v>6.7000000000000004E-2</v>
      </c>
      <c r="L23" s="2">
        <v>0</v>
      </c>
      <c r="M23" s="2">
        <v>21.7</v>
      </c>
      <c r="N23" s="2" t="s">
        <v>49</v>
      </c>
      <c r="O23" s="2" t="s">
        <v>146</v>
      </c>
      <c r="P23" s="2" t="s">
        <v>49</v>
      </c>
      <c r="Q23" s="2" t="s">
        <v>146</v>
      </c>
      <c r="R23" s="2" t="s">
        <v>49</v>
      </c>
      <c r="S23" s="2" t="s">
        <v>146</v>
      </c>
      <c r="U23" s="2">
        <f t="shared" si="0"/>
        <v>236.58</v>
      </c>
      <c r="V23" s="2">
        <f t="shared" si="1"/>
        <v>0</v>
      </c>
    </row>
    <row r="24" spans="1:27" ht="15" customHeight="1" x14ac:dyDescent="0.45">
      <c r="A24" s="2" t="s">
        <v>666</v>
      </c>
      <c r="B24" s="2" t="s">
        <v>667</v>
      </c>
      <c r="C24" s="2">
        <v>2019</v>
      </c>
      <c r="D24" s="2">
        <v>3.53</v>
      </c>
      <c r="E24" s="2">
        <v>0.95</v>
      </c>
      <c r="F24" s="2">
        <v>0.3</v>
      </c>
      <c r="G24" s="2">
        <v>0</v>
      </c>
      <c r="H24" s="2">
        <v>0</v>
      </c>
      <c r="I24" s="2">
        <v>1.53</v>
      </c>
      <c r="J24" s="2">
        <v>0.75</v>
      </c>
      <c r="K24" s="2">
        <v>0</v>
      </c>
      <c r="L24" s="2">
        <v>0</v>
      </c>
      <c r="M24" s="2">
        <v>0</v>
      </c>
      <c r="N24" s="2" t="s">
        <v>49</v>
      </c>
      <c r="O24" s="2" t="s">
        <v>146</v>
      </c>
      <c r="P24" s="2" t="s">
        <v>49</v>
      </c>
      <c r="Q24" s="2" t="s">
        <v>146</v>
      </c>
      <c r="R24" s="2" t="s">
        <v>49</v>
      </c>
      <c r="S24" s="2" t="s">
        <v>146</v>
      </c>
      <c r="U24" s="2">
        <f t="shared" si="0"/>
        <v>3.53</v>
      </c>
      <c r="V24" s="2">
        <f t="shared" si="1"/>
        <v>0</v>
      </c>
    </row>
    <row r="25" spans="1:27" ht="15" customHeight="1" x14ac:dyDescent="0.45">
      <c r="A25" s="2" t="s">
        <v>666</v>
      </c>
      <c r="B25" s="2" t="s">
        <v>665</v>
      </c>
      <c r="C25" s="2">
        <v>2019</v>
      </c>
      <c r="D25" s="2">
        <v>0.63</v>
      </c>
      <c r="E25" s="2">
        <v>0.32</v>
      </c>
      <c r="F25" s="2">
        <v>0</v>
      </c>
      <c r="G25" s="2">
        <v>0</v>
      </c>
      <c r="H25" s="2">
        <v>0</v>
      </c>
      <c r="I25" s="2">
        <v>0.31</v>
      </c>
      <c r="J25" s="2">
        <v>0</v>
      </c>
      <c r="K25" s="2">
        <v>0</v>
      </c>
      <c r="L25" s="2">
        <v>0</v>
      </c>
      <c r="M25" s="2">
        <v>0</v>
      </c>
      <c r="N25" s="2" t="s">
        <v>49</v>
      </c>
      <c r="O25" s="2" t="s">
        <v>146</v>
      </c>
      <c r="P25" s="2" t="s">
        <v>49</v>
      </c>
      <c r="Q25" s="2" t="s">
        <v>146</v>
      </c>
      <c r="R25" s="2" t="s">
        <v>49</v>
      </c>
      <c r="S25" s="2" t="s">
        <v>146</v>
      </c>
      <c r="U25" s="2">
        <f t="shared" si="0"/>
        <v>0.63</v>
      </c>
      <c r="V25" s="2">
        <f t="shared" si="1"/>
        <v>0</v>
      </c>
    </row>
    <row r="26" spans="1:27" ht="15" customHeight="1" x14ac:dyDescent="0.45">
      <c r="A26" s="2" t="s">
        <v>664</v>
      </c>
      <c r="B26" s="2" t="s">
        <v>663</v>
      </c>
      <c r="C26" s="2">
        <v>2019</v>
      </c>
      <c r="D26" s="2">
        <v>119.2</v>
      </c>
      <c r="E26" s="2">
        <v>60.5</v>
      </c>
      <c r="F26" s="2">
        <v>10.199999999999999</v>
      </c>
      <c r="G26" s="2">
        <v>8.3000000000000007</v>
      </c>
      <c r="H26" s="2">
        <v>0</v>
      </c>
      <c r="I26" s="2">
        <v>14.4</v>
      </c>
      <c r="J26" s="2">
        <v>25.6</v>
      </c>
      <c r="K26" s="2">
        <v>0</v>
      </c>
      <c r="L26" s="2" t="s">
        <v>1051</v>
      </c>
      <c r="M26" s="2">
        <v>4</v>
      </c>
      <c r="N26" s="2" t="s">
        <v>49</v>
      </c>
      <c r="O26" s="2" t="s">
        <v>146</v>
      </c>
      <c r="P26" s="2" t="s">
        <v>49</v>
      </c>
      <c r="Q26" s="2" t="s">
        <v>146</v>
      </c>
      <c r="R26" s="2" t="s">
        <v>49</v>
      </c>
      <c r="S26" s="2" t="s">
        <v>146</v>
      </c>
      <c r="U26" s="2">
        <f t="shared" si="0"/>
        <v>119.2</v>
      </c>
      <c r="V26" s="2">
        <f t="shared" si="1"/>
        <v>0</v>
      </c>
    </row>
    <row r="27" spans="1:27" ht="15" customHeight="1" x14ac:dyDescent="0.45">
      <c r="A27" s="2" t="s">
        <v>660</v>
      </c>
      <c r="B27" s="2" t="s">
        <v>662</v>
      </c>
      <c r="C27" s="2">
        <v>2019</v>
      </c>
      <c r="D27" s="2">
        <v>54.71</v>
      </c>
      <c r="E27" s="2">
        <v>21.83</v>
      </c>
      <c r="F27" s="2">
        <v>13.11</v>
      </c>
      <c r="G27" s="2" t="s">
        <v>1051</v>
      </c>
      <c r="H27" s="2" t="s">
        <v>1051</v>
      </c>
      <c r="I27" s="2">
        <v>14.49</v>
      </c>
      <c r="J27" s="2" t="s">
        <v>146</v>
      </c>
      <c r="K27" s="2" t="s">
        <v>146</v>
      </c>
      <c r="L27" s="2" t="s">
        <v>146</v>
      </c>
      <c r="M27" s="2" t="s">
        <v>146</v>
      </c>
      <c r="N27" s="2" t="s">
        <v>49</v>
      </c>
      <c r="O27" s="2" t="s">
        <v>146</v>
      </c>
      <c r="P27" s="2" t="s">
        <v>49</v>
      </c>
      <c r="Q27" s="2" t="s">
        <v>146</v>
      </c>
      <c r="R27" s="2" t="s">
        <v>49</v>
      </c>
      <c r="S27" s="2" t="s">
        <v>146</v>
      </c>
      <c r="U27" s="2">
        <f t="shared" si="0"/>
        <v>54.71</v>
      </c>
      <c r="V27" s="2">
        <f t="shared" si="1"/>
        <v>0</v>
      </c>
    </row>
    <row r="28" spans="1:27" ht="15" customHeight="1" x14ac:dyDescent="0.45">
      <c r="A28" s="2" t="s">
        <v>660</v>
      </c>
      <c r="B28" s="2" t="s">
        <v>661</v>
      </c>
      <c r="C28" s="2">
        <v>2019</v>
      </c>
      <c r="D28" s="2">
        <v>10.71</v>
      </c>
      <c r="E28" s="2">
        <v>2.81</v>
      </c>
      <c r="F28" s="2">
        <v>4.7699999999999996</v>
      </c>
      <c r="G28" s="2">
        <v>1.6</v>
      </c>
      <c r="H28" s="2" t="s">
        <v>146</v>
      </c>
      <c r="I28" s="2">
        <v>1.53</v>
      </c>
      <c r="J28" s="2" t="s">
        <v>146</v>
      </c>
      <c r="K28" s="2" t="s">
        <v>146</v>
      </c>
      <c r="L28" s="2" t="s">
        <v>146</v>
      </c>
      <c r="M28" s="2" t="s">
        <v>146</v>
      </c>
      <c r="N28" s="2" t="s">
        <v>49</v>
      </c>
      <c r="O28" s="2" t="s">
        <v>146</v>
      </c>
      <c r="P28" s="2" t="s">
        <v>49</v>
      </c>
      <c r="Q28" s="2" t="s">
        <v>146</v>
      </c>
      <c r="R28" s="2" t="s">
        <v>49</v>
      </c>
      <c r="S28" s="2" t="s">
        <v>146</v>
      </c>
      <c r="U28" s="2">
        <f t="shared" si="0"/>
        <v>10.71</v>
      </c>
      <c r="V28" s="2">
        <f t="shared" si="1"/>
        <v>0</v>
      </c>
    </row>
    <row r="29" spans="1:27" ht="15" customHeight="1" x14ac:dyDescent="0.45">
      <c r="A29" s="2" t="s">
        <v>660</v>
      </c>
      <c r="B29" s="2" t="s">
        <v>659</v>
      </c>
      <c r="C29" s="2">
        <v>2019</v>
      </c>
      <c r="D29" s="2">
        <v>16.16</v>
      </c>
      <c r="E29" s="2">
        <v>2.73</v>
      </c>
      <c r="F29" s="2">
        <v>4.2699999999999996</v>
      </c>
      <c r="G29" s="2">
        <v>6.82</v>
      </c>
      <c r="H29" s="2" t="s">
        <v>146</v>
      </c>
      <c r="I29" s="2">
        <v>2.34</v>
      </c>
      <c r="J29" s="2" t="s">
        <v>146</v>
      </c>
      <c r="K29" s="2" t="s">
        <v>146</v>
      </c>
      <c r="L29" s="2" t="s">
        <v>146</v>
      </c>
      <c r="M29" s="2" t="s">
        <v>146</v>
      </c>
      <c r="N29" s="2" t="s">
        <v>49</v>
      </c>
      <c r="O29" s="2" t="s">
        <v>146</v>
      </c>
      <c r="P29" s="2" t="s">
        <v>49</v>
      </c>
      <c r="Q29" s="2" t="s">
        <v>146</v>
      </c>
      <c r="R29" s="2" t="s">
        <v>49</v>
      </c>
      <c r="S29" s="2" t="s">
        <v>146</v>
      </c>
      <c r="U29" s="2">
        <f t="shared" si="0"/>
        <v>16.16</v>
      </c>
      <c r="V29" s="2">
        <f t="shared" si="1"/>
        <v>0</v>
      </c>
    </row>
    <row r="30" spans="1:27" ht="15" customHeight="1" x14ac:dyDescent="0.45">
      <c r="A30" s="2" t="s">
        <v>657</v>
      </c>
      <c r="B30" s="2" t="s">
        <v>656</v>
      </c>
      <c r="C30" s="2">
        <v>2019</v>
      </c>
      <c r="D30" s="2">
        <v>24.748999999999999</v>
      </c>
      <c r="E30" s="2">
        <v>6.07</v>
      </c>
      <c r="F30" s="2">
        <v>3.4060000000000001</v>
      </c>
      <c r="G30" s="2">
        <v>1.0069999999999999</v>
      </c>
      <c r="H30" s="2">
        <v>0</v>
      </c>
      <c r="I30" s="2">
        <v>2.1909999999999998</v>
      </c>
      <c r="J30" s="2">
        <v>1.81</v>
      </c>
      <c r="K30" s="2">
        <v>0</v>
      </c>
      <c r="L30" s="2">
        <v>0</v>
      </c>
      <c r="M30" s="2">
        <v>10.263999999999999</v>
      </c>
      <c r="N30" s="2" t="s">
        <v>49</v>
      </c>
      <c r="O30" s="2" t="s">
        <v>146</v>
      </c>
      <c r="P30" s="2" t="s">
        <v>49</v>
      </c>
      <c r="Q30" s="2" t="s">
        <v>146</v>
      </c>
      <c r="R30" s="2" t="s">
        <v>49</v>
      </c>
      <c r="S30" s="2" t="s">
        <v>146</v>
      </c>
      <c r="U30" s="2">
        <f t="shared" si="0"/>
        <v>24.748999999999999</v>
      </c>
      <c r="V30" s="2">
        <f t="shared" si="1"/>
        <v>0</v>
      </c>
    </row>
    <row r="31" spans="1:27" ht="15" customHeight="1" x14ac:dyDescent="0.45">
      <c r="A31" s="2" t="s">
        <v>53</v>
      </c>
      <c r="B31" s="2" t="s">
        <v>54</v>
      </c>
      <c r="C31" s="2">
        <v>2019</v>
      </c>
      <c r="D31" s="2">
        <v>41.6</v>
      </c>
      <c r="E31" s="2" t="s">
        <v>146</v>
      </c>
      <c r="F31" s="2" t="s">
        <v>146</v>
      </c>
      <c r="G31" s="2" t="s">
        <v>146</v>
      </c>
      <c r="H31" s="2" t="s">
        <v>146</v>
      </c>
      <c r="I31" s="2" t="s">
        <v>146</v>
      </c>
      <c r="J31" s="2" t="s">
        <v>146</v>
      </c>
      <c r="K31" s="2" t="s">
        <v>146</v>
      </c>
      <c r="L31" s="2" t="s">
        <v>146</v>
      </c>
      <c r="M31" s="2" t="s">
        <v>146</v>
      </c>
      <c r="N31" s="2" t="s">
        <v>49</v>
      </c>
      <c r="O31" s="2" t="s">
        <v>146</v>
      </c>
      <c r="P31" s="2" t="s">
        <v>49</v>
      </c>
      <c r="Q31" s="2" t="s">
        <v>146</v>
      </c>
      <c r="R31" s="2" t="s">
        <v>49</v>
      </c>
      <c r="S31" s="2" t="s">
        <v>146</v>
      </c>
      <c r="U31" s="2">
        <f t="shared" si="0"/>
        <v>41.6</v>
      </c>
      <c r="V31" s="2">
        <f t="shared" si="1"/>
        <v>0</v>
      </c>
    </row>
    <row r="32" spans="1:27" ht="15" customHeight="1" x14ac:dyDescent="0.45">
      <c r="A32" s="2" t="s">
        <v>655</v>
      </c>
      <c r="B32" s="2" t="s">
        <v>654</v>
      </c>
      <c r="C32" s="2">
        <v>2019</v>
      </c>
      <c r="D32" s="2">
        <v>106.7</v>
      </c>
      <c r="E32" s="2">
        <v>41</v>
      </c>
      <c r="F32" s="2">
        <v>5.2</v>
      </c>
      <c r="G32" s="2">
        <v>31.1</v>
      </c>
      <c r="H32" s="2" t="s">
        <v>146</v>
      </c>
      <c r="I32" s="2">
        <v>14.4</v>
      </c>
      <c r="J32" s="2">
        <v>14.5</v>
      </c>
      <c r="K32" s="2" t="s">
        <v>146</v>
      </c>
      <c r="L32" s="2" t="s">
        <v>146</v>
      </c>
      <c r="M32" s="2" t="s">
        <v>146</v>
      </c>
      <c r="N32" s="2" t="s">
        <v>49</v>
      </c>
      <c r="O32" s="2" t="s">
        <v>146</v>
      </c>
      <c r="P32" s="2" t="s">
        <v>49</v>
      </c>
      <c r="Q32" s="2" t="s">
        <v>146</v>
      </c>
      <c r="R32" s="2" t="s">
        <v>49</v>
      </c>
      <c r="S32" s="2" t="s">
        <v>146</v>
      </c>
      <c r="U32" s="2">
        <f t="shared" si="0"/>
        <v>106.7</v>
      </c>
      <c r="V32" s="2">
        <f t="shared" si="1"/>
        <v>0</v>
      </c>
    </row>
    <row r="33" spans="1:22" ht="15" customHeight="1" x14ac:dyDescent="0.45">
      <c r="A33" s="2" t="s">
        <v>653</v>
      </c>
      <c r="B33" s="2" t="s">
        <v>652</v>
      </c>
      <c r="C33" s="2">
        <v>2019</v>
      </c>
      <c r="D33" s="2">
        <v>8.6999999999999993</v>
      </c>
      <c r="E33" s="2">
        <v>3.8</v>
      </c>
      <c r="F33" s="2">
        <v>0.5</v>
      </c>
      <c r="G33" s="2" t="s">
        <v>146</v>
      </c>
      <c r="H33" s="2" t="s">
        <v>146</v>
      </c>
      <c r="I33" s="2">
        <v>4.4000000000000004</v>
      </c>
      <c r="J33" s="2">
        <v>0.5</v>
      </c>
      <c r="K33" s="2" t="s">
        <v>146</v>
      </c>
      <c r="L33" s="2" t="s">
        <v>146</v>
      </c>
      <c r="M33" s="2" t="s">
        <v>146</v>
      </c>
      <c r="N33" s="2" t="s">
        <v>49</v>
      </c>
      <c r="O33" s="2" t="s">
        <v>146</v>
      </c>
      <c r="P33" s="2" t="s">
        <v>49</v>
      </c>
      <c r="Q33" s="2" t="s">
        <v>146</v>
      </c>
      <c r="R33" s="2" t="s">
        <v>49</v>
      </c>
      <c r="S33" s="2" t="s">
        <v>146</v>
      </c>
      <c r="U33" s="2">
        <f t="shared" si="0"/>
        <v>8.6999999999999993</v>
      </c>
      <c r="V33" s="2">
        <f t="shared" si="1"/>
        <v>0</v>
      </c>
    </row>
    <row r="34" spans="1:22" ht="15" customHeight="1" x14ac:dyDescent="0.45">
      <c r="A34" s="2" t="s">
        <v>651</v>
      </c>
      <c r="B34" s="2" t="s">
        <v>62</v>
      </c>
      <c r="C34" s="2">
        <v>2019</v>
      </c>
      <c r="D34" s="2">
        <v>275</v>
      </c>
      <c r="E34" s="2">
        <v>92</v>
      </c>
      <c r="F34" s="2">
        <v>88</v>
      </c>
      <c r="G34" s="2">
        <v>12</v>
      </c>
      <c r="H34" s="2" t="s">
        <v>146</v>
      </c>
      <c r="I34" s="2">
        <v>24</v>
      </c>
      <c r="J34" s="2">
        <v>55</v>
      </c>
      <c r="K34" s="2">
        <v>3.26</v>
      </c>
      <c r="L34" s="2">
        <v>0.74</v>
      </c>
      <c r="M34" s="2">
        <v>12</v>
      </c>
      <c r="N34" s="2" t="s">
        <v>146</v>
      </c>
      <c r="O34" s="2" t="s">
        <v>146</v>
      </c>
      <c r="P34" s="2" t="s">
        <v>146</v>
      </c>
      <c r="Q34" s="2" t="s">
        <v>146</v>
      </c>
      <c r="R34" s="2" t="s">
        <v>146</v>
      </c>
      <c r="S34" s="2" t="s">
        <v>146</v>
      </c>
      <c r="U34" s="2">
        <f t="shared" si="0"/>
        <v>275</v>
      </c>
      <c r="V34" s="2">
        <f t="shared" si="1"/>
        <v>0</v>
      </c>
    </row>
    <row r="35" spans="1:22" ht="15" customHeight="1" x14ac:dyDescent="0.45">
      <c r="A35" s="2" t="s">
        <v>647</v>
      </c>
      <c r="B35" s="2" t="s">
        <v>650</v>
      </c>
      <c r="C35" s="2">
        <v>2019</v>
      </c>
      <c r="D35" s="2">
        <v>17.331</v>
      </c>
      <c r="E35" s="2">
        <v>5.89</v>
      </c>
      <c r="F35" s="2">
        <v>3.4510000000000001</v>
      </c>
      <c r="G35" s="2">
        <v>3.86</v>
      </c>
      <c r="H35" s="2" t="s">
        <v>146</v>
      </c>
      <c r="I35" s="2">
        <v>3.319</v>
      </c>
      <c r="J35" s="2">
        <v>0.81100000000000005</v>
      </c>
      <c r="K35" s="2" t="s">
        <v>146</v>
      </c>
      <c r="L35" s="2" t="s">
        <v>146</v>
      </c>
      <c r="M35" s="2" t="s">
        <v>146</v>
      </c>
      <c r="N35" s="2" t="s">
        <v>49</v>
      </c>
      <c r="O35" s="2" t="s">
        <v>146</v>
      </c>
      <c r="P35" s="2" t="s">
        <v>49</v>
      </c>
      <c r="Q35" s="2" t="s">
        <v>146</v>
      </c>
      <c r="R35" s="2" t="s">
        <v>49</v>
      </c>
      <c r="S35" s="2" t="s">
        <v>146</v>
      </c>
      <c r="U35" s="2">
        <f t="shared" si="0"/>
        <v>17.331</v>
      </c>
      <c r="V35" s="2">
        <f t="shared" si="1"/>
        <v>0</v>
      </c>
    </row>
    <row r="36" spans="1:22" ht="15" customHeight="1" x14ac:dyDescent="0.45">
      <c r="A36" s="2" t="s">
        <v>647</v>
      </c>
      <c r="B36" s="2" t="s">
        <v>649</v>
      </c>
      <c r="C36" s="2">
        <v>2019</v>
      </c>
      <c r="D36" s="2">
        <v>123.673</v>
      </c>
      <c r="E36" s="2">
        <v>50.296999999999997</v>
      </c>
      <c r="F36" s="2">
        <v>23.646999999999998</v>
      </c>
      <c r="G36" s="2">
        <v>3.996</v>
      </c>
      <c r="H36" s="2" t="s">
        <v>146</v>
      </c>
      <c r="I36" s="2">
        <v>24.835000000000001</v>
      </c>
      <c r="J36" s="2">
        <v>19.574000000000002</v>
      </c>
      <c r="K36" s="2">
        <v>0.85899999999999999</v>
      </c>
      <c r="L36" s="2">
        <v>0.46500000000000002</v>
      </c>
      <c r="M36" s="2" t="s">
        <v>146</v>
      </c>
      <c r="N36" s="2" t="s">
        <v>49</v>
      </c>
      <c r="O36" s="2" t="s">
        <v>146</v>
      </c>
      <c r="P36" s="2" t="s">
        <v>49</v>
      </c>
      <c r="Q36" s="2" t="s">
        <v>146</v>
      </c>
      <c r="R36" s="2" t="s">
        <v>49</v>
      </c>
      <c r="S36" s="2" t="s">
        <v>146</v>
      </c>
      <c r="U36" s="2">
        <f t="shared" si="0"/>
        <v>123.673</v>
      </c>
      <c r="V36" s="2">
        <f t="shared" si="1"/>
        <v>0</v>
      </c>
    </row>
    <row r="37" spans="1:22" ht="15" customHeight="1" x14ac:dyDescent="0.45">
      <c r="A37" s="2" t="s">
        <v>647</v>
      </c>
      <c r="B37" s="2" t="s">
        <v>646</v>
      </c>
      <c r="C37" s="2">
        <v>2019</v>
      </c>
      <c r="D37" s="2">
        <v>22.18</v>
      </c>
      <c r="E37" s="2">
        <v>3.0720000000000001</v>
      </c>
      <c r="F37" s="2">
        <v>2.0459999999999998</v>
      </c>
      <c r="G37" s="2">
        <v>13.391999999999999</v>
      </c>
      <c r="H37" s="2" t="s">
        <v>146</v>
      </c>
      <c r="I37" s="2">
        <v>2.46</v>
      </c>
      <c r="J37" s="2">
        <v>1.21</v>
      </c>
      <c r="K37" s="2" t="s">
        <v>146</v>
      </c>
      <c r="L37" s="2" t="s">
        <v>146</v>
      </c>
      <c r="M37" s="2" t="s">
        <v>146</v>
      </c>
      <c r="N37" s="2" t="s">
        <v>49</v>
      </c>
      <c r="O37" s="2" t="s">
        <v>146</v>
      </c>
      <c r="P37" s="2" t="s">
        <v>49</v>
      </c>
      <c r="Q37" s="2" t="s">
        <v>146</v>
      </c>
      <c r="R37" s="2" t="s">
        <v>49</v>
      </c>
      <c r="S37" s="2" t="s">
        <v>146</v>
      </c>
      <c r="U37" s="2">
        <f t="shared" si="0"/>
        <v>22.18</v>
      </c>
      <c r="V37" s="2">
        <f t="shared" si="1"/>
        <v>0</v>
      </c>
    </row>
    <row r="38" spans="1:22" ht="15" customHeight="1" x14ac:dyDescent="0.45">
      <c r="A38" s="2" t="s">
        <v>644</v>
      </c>
      <c r="B38" s="2" t="s">
        <v>645</v>
      </c>
      <c r="C38" s="2">
        <v>2019</v>
      </c>
      <c r="D38" s="2">
        <v>23.08</v>
      </c>
      <c r="E38" s="2">
        <v>7.2290000000000001</v>
      </c>
      <c r="F38" s="2">
        <v>6.8259999999999996</v>
      </c>
      <c r="G38" s="2">
        <v>0.26900000000000002</v>
      </c>
      <c r="H38" s="2" t="s">
        <v>1051</v>
      </c>
      <c r="I38" s="2">
        <v>4.1289999999999996</v>
      </c>
      <c r="J38" s="2">
        <v>4.6269999999999998</v>
      </c>
      <c r="K38" s="2" t="s">
        <v>146</v>
      </c>
      <c r="L38" s="2" t="s">
        <v>146</v>
      </c>
      <c r="M38" s="2" t="s">
        <v>1051</v>
      </c>
      <c r="N38" s="2" t="s">
        <v>49</v>
      </c>
      <c r="O38" s="2" t="s">
        <v>146</v>
      </c>
      <c r="P38" s="2" t="s">
        <v>49</v>
      </c>
      <c r="Q38" s="2" t="s">
        <v>146</v>
      </c>
      <c r="R38" s="2" t="s">
        <v>49</v>
      </c>
      <c r="S38" s="2" t="s">
        <v>146</v>
      </c>
      <c r="U38" s="2">
        <f t="shared" si="0"/>
        <v>23.08</v>
      </c>
      <c r="V38" s="2">
        <f t="shared" si="1"/>
        <v>0</v>
      </c>
    </row>
    <row r="39" spans="1:22" ht="15" customHeight="1" x14ac:dyDescent="0.45">
      <c r="A39" s="2" t="s">
        <v>644</v>
      </c>
      <c r="B39" s="2" t="s">
        <v>643</v>
      </c>
      <c r="C39" s="2">
        <v>2019</v>
      </c>
      <c r="D39" s="2">
        <v>2.3759999999999999</v>
      </c>
      <c r="E39" s="2">
        <v>0</v>
      </c>
      <c r="F39" s="2">
        <v>0.22900000000000001</v>
      </c>
      <c r="G39" s="2">
        <v>0.86899999999999999</v>
      </c>
      <c r="H39" s="2">
        <v>0</v>
      </c>
      <c r="I39" s="2">
        <v>1.829</v>
      </c>
      <c r="J39" s="2">
        <v>0.317</v>
      </c>
      <c r="K39" s="2" t="s">
        <v>146</v>
      </c>
      <c r="L39" s="2" t="s">
        <v>146</v>
      </c>
      <c r="M39" s="2" t="s">
        <v>146</v>
      </c>
      <c r="N39" s="2" t="s">
        <v>49</v>
      </c>
      <c r="O39" s="2" t="s">
        <v>146</v>
      </c>
      <c r="P39" s="2" t="s">
        <v>49</v>
      </c>
      <c r="Q39" s="2" t="s">
        <v>146</v>
      </c>
      <c r="R39" s="2" t="s">
        <v>49</v>
      </c>
      <c r="S39" s="2" t="s">
        <v>146</v>
      </c>
      <c r="U39" s="2">
        <f t="shared" si="0"/>
        <v>2.3759999999999999</v>
      </c>
      <c r="V39" s="2">
        <f t="shared" si="1"/>
        <v>0</v>
      </c>
    </row>
    <row r="40" spans="1:22" ht="15" customHeight="1" x14ac:dyDescent="0.45">
      <c r="A40" s="2" t="s">
        <v>640</v>
      </c>
      <c r="B40" s="2" t="s">
        <v>642</v>
      </c>
      <c r="C40" s="2">
        <v>2019</v>
      </c>
      <c r="D40" s="2">
        <v>430.88900000000001</v>
      </c>
      <c r="E40" s="2">
        <v>141.64500000000001</v>
      </c>
      <c r="F40" s="2">
        <v>105.843</v>
      </c>
      <c r="G40" s="2">
        <v>29.861999999999998</v>
      </c>
      <c r="H40" s="2" t="s">
        <v>146</v>
      </c>
      <c r="I40" s="2">
        <v>48.688000000000002</v>
      </c>
      <c r="J40" s="2">
        <v>36.753</v>
      </c>
      <c r="K40" s="2">
        <v>2.39</v>
      </c>
      <c r="L40" s="2">
        <v>2.13</v>
      </c>
      <c r="M40" s="2">
        <v>13.45</v>
      </c>
      <c r="N40" s="2" t="s">
        <v>1029</v>
      </c>
      <c r="O40" s="2">
        <v>50.125</v>
      </c>
      <c r="P40" s="2" t="s">
        <v>146</v>
      </c>
      <c r="Q40" s="2" t="s">
        <v>146</v>
      </c>
      <c r="R40" s="2" t="s">
        <v>146</v>
      </c>
      <c r="S40" s="2" t="s">
        <v>146</v>
      </c>
      <c r="U40" s="2">
        <f t="shared" si="0"/>
        <v>430.88900000000001</v>
      </c>
      <c r="V40" s="2">
        <f t="shared" si="1"/>
        <v>50.125</v>
      </c>
    </row>
    <row r="41" spans="1:22" ht="15" customHeight="1" x14ac:dyDescent="0.45">
      <c r="A41" s="2" t="s">
        <v>640</v>
      </c>
      <c r="B41" s="2" t="s">
        <v>641</v>
      </c>
      <c r="C41" s="2">
        <v>2019</v>
      </c>
      <c r="D41" s="2">
        <v>1.861</v>
      </c>
      <c r="E41" s="2">
        <v>0.60455000000000003</v>
      </c>
      <c r="F41" s="2">
        <v>0.60121400000000003</v>
      </c>
      <c r="G41" s="2" t="s">
        <v>146</v>
      </c>
      <c r="H41" s="2" t="s">
        <v>146</v>
      </c>
      <c r="I41" s="2">
        <v>0.65543099999999999</v>
      </c>
      <c r="J41" s="2" t="s">
        <v>146</v>
      </c>
      <c r="K41" s="2" t="s">
        <v>146</v>
      </c>
      <c r="L41" s="2" t="s">
        <v>146</v>
      </c>
      <c r="M41" s="2" t="s">
        <v>146</v>
      </c>
      <c r="N41" s="2" t="s">
        <v>49</v>
      </c>
      <c r="O41" s="2" t="s">
        <v>146</v>
      </c>
      <c r="P41" s="2" t="s">
        <v>49</v>
      </c>
      <c r="Q41" s="2" t="s">
        <v>146</v>
      </c>
      <c r="R41" s="2" t="s">
        <v>49</v>
      </c>
      <c r="S41" s="2" t="s">
        <v>146</v>
      </c>
      <c r="U41" s="2">
        <f t="shared" si="0"/>
        <v>1.861</v>
      </c>
      <c r="V41" s="2">
        <f t="shared" si="1"/>
        <v>0</v>
      </c>
    </row>
    <row r="42" spans="1:22" ht="15" customHeight="1" x14ac:dyDescent="0.45">
      <c r="A42" s="2" t="s">
        <v>640</v>
      </c>
      <c r="B42" s="2" t="s">
        <v>639</v>
      </c>
      <c r="C42" s="2">
        <v>2019</v>
      </c>
      <c r="D42" s="2">
        <v>3.2610000000000001</v>
      </c>
      <c r="E42" s="2" t="s">
        <v>146</v>
      </c>
      <c r="F42" s="2">
        <v>3.0705360000000002</v>
      </c>
      <c r="G42" s="2" t="s">
        <v>146</v>
      </c>
      <c r="H42" s="2" t="s">
        <v>146</v>
      </c>
      <c r="I42" s="2">
        <v>0.19120000000000001</v>
      </c>
      <c r="J42" s="2" t="s">
        <v>146</v>
      </c>
      <c r="K42" s="2" t="s">
        <v>146</v>
      </c>
      <c r="L42" s="2" t="s">
        <v>146</v>
      </c>
      <c r="M42" s="2" t="s">
        <v>146</v>
      </c>
      <c r="N42" s="2" t="s">
        <v>49</v>
      </c>
      <c r="O42" s="2" t="s">
        <v>146</v>
      </c>
      <c r="P42" s="2" t="s">
        <v>49</v>
      </c>
      <c r="Q42" s="2" t="s">
        <v>146</v>
      </c>
      <c r="R42" s="2" t="s">
        <v>49</v>
      </c>
      <c r="S42" s="2" t="s">
        <v>146</v>
      </c>
      <c r="U42" s="2">
        <f t="shared" si="0"/>
        <v>3.2610000000000001</v>
      </c>
      <c r="V42" s="2">
        <f t="shared" si="1"/>
        <v>0</v>
      </c>
    </row>
    <row r="43" spans="1:22" ht="15" customHeight="1" x14ac:dyDescent="0.45">
      <c r="A43" s="2" t="s">
        <v>637</v>
      </c>
      <c r="B43" s="2" t="s">
        <v>638</v>
      </c>
      <c r="C43" s="2">
        <v>2019</v>
      </c>
      <c r="D43" s="2">
        <v>586.19399999999996</v>
      </c>
      <c r="E43" s="2">
        <v>295.61399999999998</v>
      </c>
      <c r="F43" s="2">
        <v>51.957999999999998</v>
      </c>
      <c r="G43" s="2">
        <v>34.170999999999999</v>
      </c>
      <c r="H43" s="2">
        <v>5.819</v>
      </c>
      <c r="I43" s="2">
        <v>65.171999999999997</v>
      </c>
      <c r="J43" s="2">
        <v>135.434</v>
      </c>
      <c r="K43" s="2">
        <v>3.8450000000000002</v>
      </c>
      <c r="L43" s="2" t="s">
        <v>146</v>
      </c>
      <c r="M43" s="2" t="s">
        <v>146</v>
      </c>
      <c r="N43" s="2" t="s">
        <v>176</v>
      </c>
      <c r="O43" s="2" t="s">
        <v>146</v>
      </c>
      <c r="P43" s="2" t="s">
        <v>176</v>
      </c>
      <c r="Q43" s="2" t="s">
        <v>146</v>
      </c>
      <c r="R43" s="2" t="s">
        <v>176</v>
      </c>
      <c r="S43" s="2" t="s">
        <v>146</v>
      </c>
      <c r="U43" s="2">
        <f t="shared" si="0"/>
        <v>586.19399999999996</v>
      </c>
      <c r="V43" s="2">
        <f t="shared" si="1"/>
        <v>0</v>
      </c>
    </row>
    <row r="44" spans="1:22" ht="15" customHeight="1" x14ac:dyDescent="0.45">
      <c r="A44" s="2" t="s">
        <v>637</v>
      </c>
      <c r="B44" s="2" t="s">
        <v>636</v>
      </c>
      <c r="C44" s="2">
        <v>2019</v>
      </c>
      <c r="D44" s="2">
        <v>7.0259999999999998</v>
      </c>
      <c r="E44" s="2">
        <v>2.44</v>
      </c>
      <c r="F44" s="2">
        <v>1.474</v>
      </c>
      <c r="G44" s="2">
        <v>0.80100000000000005</v>
      </c>
      <c r="H44" s="2" t="s">
        <v>146</v>
      </c>
      <c r="I44" s="2">
        <v>1.427</v>
      </c>
      <c r="J44" s="2">
        <v>0.88500000000000001</v>
      </c>
      <c r="K44" s="2" t="s">
        <v>146</v>
      </c>
      <c r="L44" s="2" t="s">
        <v>146</v>
      </c>
      <c r="M44" s="2" t="s">
        <v>146</v>
      </c>
      <c r="N44" s="2" t="s">
        <v>176</v>
      </c>
      <c r="O44" s="2" t="s">
        <v>146</v>
      </c>
      <c r="P44" s="2" t="s">
        <v>176</v>
      </c>
      <c r="Q44" s="2" t="s">
        <v>146</v>
      </c>
      <c r="R44" s="2" t="s">
        <v>176</v>
      </c>
      <c r="S44" s="2" t="s">
        <v>146</v>
      </c>
      <c r="U44" s="2">
        <f t="shared" si="0"/>
        <v>7.0259999999999998</v>
      </c>
      <c r="V44" s="2">
        <f t="shared" si="1"/>
        <v>0</v>
      </c>
    </row>
    <row r="45" spans="1:22" ht="15" customHeight="1" x14ac:dyDescent="0.45">
      <c r="A45" s="2" t="s">
        <v>635</v>
      </c>
      <c r="B45" s="2" t="s">
        <v>634</v>
      </c>
      <c r="C45" s="2">
        <v>2019</v>
      </c>
      <c r="D45" s="2">
        <v>34.299999999999997</v>
      </c>
      <c r="E45" s="2">
        <v>16.600000000000001</v>
      </c>
      <c r="F45" s="2">
        <v>4</v>
      </c>
      <c r="G45" s="2" t="s">
        <v>146</v>
      </c>
      <c r="H45" s="2" t="s">
        <v>146</v>
      </c>
      <c r="I45" s="2">
        <v>5.65</v>
      </c>
      <c r="J45" s="2" t="s">
        <v>146</v>
      </c>
      <c r="K45" s="2">
        <v>2</v>
      </c>
      <c r="L45" s="2" t="s">
        <v>146</v>
      </c>
      <c r="M45" s="2">
        <v>6</v>
      </c>
      <c r="N45" s="2" t="s">
        <v>49</v>
      </c>
      <c r="O45" s="2" t="s">
        <v>146</v>
      </c>
      <c r="P45" s="2" t="s">
        <v>49</v>
      </c>
      <c r="Q45" s="2" t="s">
        <v>146</v>
      </c>
      <c r="R45" s="2" t="s">
        <v>49</v>
      </c>
      <c r="S45" s="2" t="s">
        <v>146</v>
      </c>
      <c r="U45" s="2">
        <f t="shared" si="0"/>
        <v>34.299999999999997</v>
      </c>
      <c r="V45" s="2">
        <f t="shared" si="1"/>
        <v>0</v>
      </c>
    </row>
    <row r="46" spans="1:22" ht="15" customHeight="1" x14ac:dyDescent="0.45">
      <c r="A46" s="2" t="s">
        <v>633</v>
      </c>
      <c r="B46" s="2" t="s">
        <v>65</v>
      </c>
      <c r="C46" s="2">
        <v>2019</v>
      </c>
      <c r="D46" s="2">
        <v>11.253</v>
      </c>
      <c r="E46" s="2">
        <v>4.2220000000000004</v>
      </c>
      <c r="F46" s="2">
        <v>0.90200000000000002</v>
      </c>
      <c r="G46" s="2">
        <v>1.641</v>
      </c>
      <c r="H46" s="2" t="s">
        <v>146</v>
      </c>
      <c r="I46" s="2">
        <v>4.4370000000000003</v>
      </c>
      <c r="J46" s="2">
        <v>5.1999999999999998E-2</v>
      </c>
      <c r="K46" s="2" t="s">
        <v>146</v>
      </c>
      <c r="L46" s="2" t="s">
        <v>146</v>
      </c>
      <c r="M46" s="2" t="s">
        <v>146</v>
      </c>
      <c r="N46" s="2" t="s">
        <v>49</v>
      </c>
      <c r="O46" s="2" t="s">
        <v>146</v>
      </c>
      <c r="P46" s="2" t="s">
        <v>49</v>
      </c>
      <c r="Q46" s="2" t="s">
        <v>146</v>
      </c>
      <c r="R46" s="2" t="s">
        <v>49</v>
      </c>
      <c r="S46" s="2" t="s">
        <v>146</v>
      </c>
      <c r="U46" s="2">
        <f t="shared" si="0"/>
        <v>11.253</v>
      </c>
      <c r="V46" s="2">
        <f t="shared" si="1"/>
        <v>0</v>
      </c>
    </row>
    <row r="47" spans="1:22" ht="15" customHeight="1" x14ac:dyDescent="0.45">
      <c r="A47" s="2" t="s">
        <v>631</v>
      </c>
      <c r="B47" s="2" t="s">
        <v>632</v>
      </c>
      <c r="C47" s="2">
        <v>2019</v>
      </c>
      <c r="D47" s="2">
        <v>4.4779999999999998</v>
      </c>
      <c r="E47" s="2">
        <v>0.46400000000000002</v>
      </c>
      <c r="F47" s="2">
        <v>2.1419999999999999</v>
      </c>
      <c r="G47" s="2">
        <v>0</v>
      </c>
      <c r="H47" s="2">
        <v>0</v>
      </c>
      <c r="I47" s="2">
        <v>1.51</v>
      </c>
      <c r="J47" s="2">
        <v>0.36199999999999999</v>
      </c>
      <c r="K47" s="2" t="s">
        <v>146</v>
      </c>
      <c r="L47" s="2" t="s">
        <v>146</v>
      </c>
      <c r="M47" s="2" t="s">
        <v>146</v>
      </c>
      <c r="N47" s="2" t="s">
        <v>49</v>
      </c>
      <c r="O47" s="2" t="s">
        <v>146</v>
      </c>
      <c r="P47" s="2" t="s">
        <v>49</v>
      </c>
      <c r="Q47" s="2" t="s">
        <v>146</v>
      </c>
      <c r="R47" s="2" t="s">
        <v>49</v>
      </c>
      <c r="S47" s="2" t="s">
        <v>146</v>
      </c>
      <c r="U47" s="2">
        <f t="shared" si="0"/>
        <v>4.4779999999999998</v>
      </c>
      <c r="V47" s="2">
        <f t="shared" si="1"/>
        <v>0</v>
      </c>
    </row>
    <row r="48" spans="1:22" ht="15" customHeight="1" x14ac:dyDescent="0.45">
      <c r="A48" s="2" t="s">
        <v>631</v>
      </c>
      <c r="B48" s="2" t="s">
        <v>630</v>
      </c>
      <c r="C48" s="2">
        <v>2019</v>
      </c>
      <c r="D48" s="2">
        <v>340.601</v>
      </c>
      <c r="E48" s="2">
        <v>142.06399999999999</v>
      </c>
      <c r="F48" s="2">
        <v>42.843000000000004</v>
      </c>
      <c r="G48" s="2">
        <v>46.19</v>
      </c>
      <c r="H48" s="2">
        <v>20.425000000000001</v>
      </c>
      <c r="I48" s="2">
        <v>51.353000000000002</v>
      </c>
      <c r="J48" s="2">
        <v>56.768999999999998</v>
      </c>
      <c r="K48" s="2">
        <v>1.381</v>
      </c>
      <c r="L48" s="2" t="s">
        <v>146</v>
      </c>
      <c r="M48" s="2" t="s">
        <v>146</v>
      </c>
      <c r="N48" s="2" t="s">
        <v>49</v>
      </c>
      <c r="O48" s="2" t="s">
        <v>146</v>
      </c>
      <c r="P48" s="2" t="s">
        <v>49</v>
      </c>
      <c r="Q48" s="2" t="s">
        <v>146</v>
      </c>
      <c r="R48" s="2" t="s">
        <v>49</v>
      </c>
      <c r="S48" s="2" t="s">
        <v>146</v>
      </c>
      <c r="U48" s="2">
        <f t="shared" si="0"/>
        <v>340.601</v>
      </c>
      <c r="V48" s="2">
        <f t="shared" si="1"/>
        <v>0</v>
      </c>
    </row>
    <row r="49" spans="1:22" ht="15" customHeight="1" x14ac:dyDescent="0.45">
      <c r="A49" s="2" t="s">
        <v>628</v>
      </c>
      <c r="B49" s="2" t="s">
        <v>629</v>
      </c>
      <c r="C49" s="2">
        <v>2019</v>
      </c>
      <c r="D49" s="2">
        <v>9.0679999999999996</v>
      </c>
      <c r="E49" s="2">
        <v>1.835</v>
      </c>
      <c r="F49" s="2">
        <v>0.16200000000000001</v>
      </c>
      <c r="G49" s="2" t="s">
        <v>146</v>
      </c>
      <c r="H49" s="2" t="s">
        <v>146</v>
      </c>
      <c r="I49" s="2">
        <v>1.238</v>
      </c>
      <c r="J49" s="2">
        <v>3.9620000000000002</v>
      </c>
      <c r="K49" s="2" t="s">
        <v>146</v>
      </c>
      <c r="L49" s="2" t="s">
        <v>146</v>
      </c>
      <c r="M49" s="2">
        <v>1.869</v>
      </c>
      <c r="N49" s="2" t="s">
        <v>49</v>
      </c>
      <c r="O49" s="2" t="s">
        <v>146</v>
      </c>
      <c r="P49" s="2" t="s">
        <v>49</v>
      </c>
      <c r="Q49" s="2" t="s">
        <v>146</v>
      </c>
      <c r="R49" s="2" t="s">
        <v>49</v>
      </c>
      <c r="S49" s="2" t="s">
        <v>146</v>
      </c>
      <c r="U49" s="2">
        <f t="shared" si="0"/>
        <v>9.0679999999999996</v>
      </c>
      <c r="V49" s="2">
        <f t="shared" si="1"/>
        <v>0</v>
      </c>
    </row>
    <row r="50" spans="1:22" ht="15" customHeight="1" x14ac:dyDescent="0.45">
      <c r="A50" s="2" t="s">
        <v>628</v>
      </c>
      <c r="B50" s="2" t="s">
        <v>627</v>
      </c>
      <c r="C50" s="2">
        <v>2019</v>
      </c>
      <c r="D50" s="2">
        <v>32.793999999999997</v>
      </c>
      <c r="E50" s="2">
        <v>12.531000000000001</v>
      </c>
      <c r="F50" s="2">
        <v>5.24</v>
      </c>
      <c r="G50" s="2" t="s">
        <v>146</v>
      </c>
      <c r="H50" s="2" t="s">
        <v>146</v>
      </c>
      <c r="I50" s="2">
        <v>8.3190000000000008</v>
      </c>
      <c r="J50" s="2">
        <v>6.7039999999999997</v>
      </c>
      <c r="K50" s="2" t="s">
        <v>146</v>
      </c>
      <c r="L50" s="2" t="s">
        <v>146</v>
      </c>
      <c r="M50" s="2" t="s">
        <v>146</v>
      </c>
      <c r="N50" s="2" t="s">
        <v>49</v>
      </c>
      <c r="O50" s="2" t="s">
        <v>146</v>
      </c>
      <c r="P50" s="2" t="s">
        <v>49</v>
      </c>
      <c r="Q50" s="2" t="s">
        <v>146</v>
      </c>
      <c r="R50" s="2" t="s">
        <v>49</v>
      </c>
      <c r="S50" s="2" t="s">
        <v>146</v>
      </c>
      <c r="U50" s="2">
        <f t="shared" si="0"/>
        <v>32.793999999999997</v>
      </c>
      <c r="V50" s="2">
        <f t="shared" si="1"/>
        <v>0</v>
      </c>
    </row>
    <row r="51" spans="1:22" ht="15" customHeight="1" x14ac:dyDescent="0.45">
      <c r="A51" s="2" t="s">
        <v>623</v>
      </c>
      <c r="B51" s="2" t="s">
        <v>626</v>
      </c>
      <c r="C51" s="2">
        <v>2019</v>
      </c>
      <c r="D51" s="2">
        <v>35.67</v>
      </c>
      <c r="E51" s="2">
        <v>15.7</v>
      </c>
      <c r="F51" s="2">
        <v>5.49</v>
      </c>
      <c r="G51" s="2">
        <v>2.74</v>
      </c>
      <c r="H51" s="2" t="s">
        <v>146</v>
      </c>
      <c r="I51" s="2">
        <v>6.69</v>
      </c>
      <c r="J51" s="2">
        <v>3.76</v>
      </c>
      <c r="K51" s="2">
        <v>0.83</v>
      </c>
      <c r="L51" s="2">
        <v>0.47</v>
      </c>
      <c r="M51" s="2" t="s">
        <v>146</v>
      </c>
      <c r="N51" s="2" t="s">
        <v>49</v>
      </c>
      <c r="O51" s="2" t="s">
        <v>146</v>
      </c>
      <c r="P51" s="2" t="s">
        <v>49</v>
      </c>
      <c r="Q51" s="2" t="s">
        <v>146</v>
      </c>
      <c r="R51" s="2" t="s">
        <v>49</v>
      </c>
      <c r="S51" s="2" t="s">
        <v>146</v>
      </c>
      <c r="U51" s="2">
        <f t="shared" si="0"/>
        <v>35.67</v>
      </c>
      <c r="V51" s="2">
        <f t="shared" si="1"/>
        <v>0</v>
      </c>
    </row>
    <row r="52" spans="1:22" ht="15" customHeight="1" x14ac:dyDescent="0.45">
      <c r="A52" s="2" t="s">
        <v>623</v>
      </c>
      <c r="B52" s="2" t="s">
        <v>625</v>
      </c>
      <c r="C52" s="2">
        <v>2019</v>
      </c>
      <c r="D52" s="2" t="s">
        <v>49</v>
      </c>
      <c r="E52" s="2" t="s">
        <v>49</v>
      </c>
      <c r="F52" s="2" t="s">
        <v>49</v>
      </c>
      <c r="G52" s="2" t="s">
        <v>49</v>
      </c>
      <c r="H52" s="2" t="s">
        <v>49</v>
      </c>
      <c r="I52" s="2" t="s">
        <v>49</v>
      </c>
      <c r="J52" s="2" t="s">
        <v>49</v>
      </c>
      <c r="K52" s="2" t="s">
        <v>49</v>
      </c>
      <c r="L52" s="2" t="s">
        <v>49</v>
      </c>
      <c r="M52" s="2" t="s">
        <v>49</v>
      </c>
      <c r="N52" s="2" t="s">
        <v>49</v>
      </c>
      <c r="O52" s="2" t="s">
        <v>49</v>
      </c>
      <c r="P52" s="2" t="s">
        <v>49</v>
      </c>
      <c r="Q52" s="2" t="s">
        <v>49</v>
      </c>
      <c r="R52" s="2" t="s">
        <v>49</v>
      </c>
      <c r="S52" s="2" t="s">
        <v>49</v>
      </c>
      <c r="U52" s="2">
        <f t="shared" si="0"/>
        <v>0</v>
      </c>
      <c r="V52" s="2">
        <f t="shared" si="1"/>
        <v>0</v>
      </c>
    </row>
    <row r="53" spans="1:22" ht="15" customHeight="1" x14ac:dyDescent="0.45">
      <c r="A53" s="2" t="s">
        <v>623</v>
      </c>
      <c r="B53" s="2" t="s">
        <v>624</v>
      </c>
      <c r="C53" s="2">
        <v>2019</v>
      </c>
      <c r="D53" s="2">
        <v>1.38</v>
      </c>
      <c r="E53" s="2">
        <v>0.32</v>
      </c>
      <c r="F53" s="2">
        <v>0.03</v>
      </c>
      <c r="G53" s="2">
        <v>0.36</v>
      </c>
      <c r="H53" s="2" t="s">
        <v>146</v>
      </c>
      <c r="I53" s="2">
        <v>0.59</v>
      </c>
      <c r="J53" s="2">
        <v>0.08</v>
      </c>
      <c r="K53" s="2" t="s">
        <v>146</v>
      </c>
      <c r="L53" s="2" t="s">
        <v>146</v>
      </c>
      <c r="M53" s="2" t="s">
        <v>146</v>
      </c>
      <c r="N53" s="2" t="s">
        <v>49</v>
      </c>
      <c r="O53" s="2" t="s">
        <v>146</v>
      </c>
      <c r="P53" s="2" t="s">
        <v>49</v>
      </c>
      <c r="Q53" s="2" t="s">
        <v>146</v>
      </c>
      <c r="R53" s="2" t="s">
        <v>49</v>
      </c>
      <c r="S53" s="2" t="s">
        <v>146</v>
      </c>
      <c r="U53" s="2">
        <f t="shared" si="0"/>
        <v>1.38</v>
      </c>
      <c r="V53" s="2">
        <f t="shared" si="1"/>
        <v>0</v>
      </c>
    </row>
    <row r="54" spans="1:22" ht="15" customHeight="1" x14ac:dyDescent="0.45">
      <c r="A54" s="2" t="s">
        <v>623</v>
      </c>
      <c r="B54" s="2" t="s">
        <v>622</v>
      </c>
      <c r="C54" s="2">
        <v>2019</v>
      </c>
      <c r="D54" s="2">
        <v>0.47299999999999998</v>
      </c>
      <c r="E54" s="2" t="s">
        <v>146</v>
      </c>
      <c r="F54" s="2" t="s">
        <v>146</v>
      </c>
      <c r="G54" s="2" t="s">
        <v>146</v>
      </c>
      <c r="H54" s="2" t="s">
        <v>146</v>
      </c>
      <c r="I54" s="2" t="s">
        <v>146</v>
      </c>
      <c r="J54" s="2" t="s">
        <v>146</v>
      </c>
      <c r="K54" s="2" t="s">
        <v>146</v>
      </c>
      <c r="L54" s="2" t="s">
        <v>146</v>
      </c>
      <c r="M54" s="2" t="s">
        <v>146</v>
      </c>
      <c r="N54" s="2" t="s">
        <v>176</v>
      </c>
      <c r="O54" s="2" t="s">
        <v>146</v>
      </c>
      <c r="P54" s="2" t="s">
        <v>176</v>
      </c>
      <c r="Q54" s="2" t="s">
        <v>146</v>
      </c>
      <c r="R54" s="2" t="s">
        <v>176</v>
      </c>
      <c r="S54" s="2" t="s">
        <v>146</v>
      </c>
      <c r="U54" s="2">
        <f t="shared" si="0"/>
        <v>0.47299999999999998</v>
      </c>
      <c r="V54" s="2">
        <f t="shared" si="1"/>
        <v>0</v>
      </c>
    </row>
    <row r="55" spans="1:22" ht="15" customHeight="1" x14ac:dyDescent="0.45">
      <c r="A55" s="2" t="s">
        <v>610</v>
      </c>
      <c r="B55" s="2" t="s">
        <v>621</v>
      </c>
      <c r="C55" s="2">
        <v>2019</v>
      </c>
      <c r="D55" s="2" t="s">
        <v>146</v>
      </c>
      <c r="E55" s="2" t="s">
        <v>1051</v>
      </c>
      <c r="F55" s="2" t="s">
        <v>1051</v>
      </c>
      <c r="G55" s="2" t="s">
        <v>1051</v>
      </c>
      <c r="H55" s="2" t="s">
        <v>1051</v>
      </c>
      <c r="I55" s="2" t="s">
        <v>1051</v>
      </c>
      <c r="J55" s="2" t="s">
        <v>1051</v>
      </c>
      <c r="K55" s="2" t="s">
        <v>1051</v>
      </c>
      <c r="L55" s="2" t="s">
        <v>1051</v>
      </c>
      <c r="M55" s="2" t="s">
        <v>1051</v>
      </c>
      <c r="N55" s="2" t="s">
        <v>49</v>
      </c>
      <c r="O55" s="2" t="s">
        <v>146</v>
      </c>
      <c r="P55" s="2" t="s">
        <v>49</v>
      </c>
      <c r="Q55" s="2" t="s">
        <v>146</v>
      </c>
      <c r="R55" s="2" t="s">
        <v>49</v>
      </c>
      <c r="S55" s="2" t="s">
        <v>146</v>
      </c>
      <c r="U55" s="2">
        <f t="shared" si="0"/>
        <v>0</v>
      </c>
      <c r="V55" s="2">
        <f t="shared" si="1"/>
        <v>0</v>
      </c>
    </row>
    <row r="56" spans="1:22" ht="15" customHeight="1" x14ac:dyDescent="0.45">
      <c r="A56" s="2" t="s">
        <v>610</v>
      </c>
      <c r="B56" s="2" t="s">
        <v>620</v>
      </c>
      <c r="C56" s="2">
        <v>2019</v>
      </c>
      <c r="D56" s="2">
        <v>33.200000000000003</v>
      </c>
      <c r="E56" s="2" t="s">
        <v>146</v>
      </c>
      <c r="F56" s="2" t="s">
        <v>146</v>
      </c>
      <c r="G56" s="2" t="s">
        <v>146</v>
      </c>
      <c r="H56" s="2" t="s">
        <v>146</v>
      </c>
      <c r="I56" s="2" t="s">
        <v>146</v>
      </c>
      <c r="J56" s="2" t="s">
        <v>146</v>
      </c>
      <c r="K56" s="2" t="s">
        <v>146</v>
      </c>
      <c r="L56" s="2" t="s">
        <v>146</v>
      </c>
      <c r="M56" s="2" t="s">
        <v>146</v>
      </c>
      <c r="N56" s="2" t="s">
        <v>49</v>
      </c>
      <c r="O56" s="2" t="s">
        <v>146</v>
      </c>
      <c r="P56" s="2" t="s">
        <v>49</v>
      </c>
      <c r="Q56" s="2" t="s">
        <v>146</v>
      </c>
      <c r="R56" s="2" t="s">
        <v>49</v>
      </c>
      <c r="S56" s="2" t="s">
        <v>146</v>
      </c>
      <c r="U56" s="2">
        <f t="shared" si="0"/>
        <v>33.200000000000003</v>
      </c>
      <c r="V56" s="2">
        <f t="shared" si="1"/>
        <v>0</v>
      </c>
    </row>
    <row r="57" spans="1:22" ht="15" customHeight="1" x14ac:dyDescent="0.45">
      <c r="A57" s="2" t="s">
        <v>610</v>
      </c>
      <c r="B57" s="2" t="s">
        <v>619</v>
      </c>
      <c r="C57" s="2">
        <v>2019</v>
      </c>
      <c r="D57" s="2" t="s">
        <v>146</v>
      </c>
      <c r="E57" s="2" t="s">
        <v>146</v>
      </c>
      <c r="F57" s="2" t="s">
        <v>146</v>
      </c>
      <c r="G57" s="2" t="s">
        <v>146</v>
      </c>
      <c r="H57" s="2" t="s">
        <v>146</v>
      </c>
      <c r="I57" s="2" t="s">
        <v>146</v>
      </c>
      <c r="J57" s="2" t="s">
        <v>146</v>
      </c>
      <c r="K57" s="2" t="s">
        <v>146</v>
      </c>
      <c r="L57" s="2" t="s">
        <v>146</v>
      </c>
      <c r="M57" s="2" t="s">
        <v>146</v>
      </c>
      <c r="N57" s="2" t="s">
        <v>49</v>
      </c>
      <c r="O57" s="2" t="s">
        <v>146</v>
      </c>
      <c r="P57" s="2" t="s">
        <v>49</v>
      </c>
      <c r="Q57" s="2" t="s">
        <v>146</v>
      </c>
      <c r="R57" s="2" t="s">
        <v>49</v>
      </c>
      <c r="S57" s="2" t="s">
        <v>146</v>
      </c>
      <c r="U57" s="2">
        <f t="shared" si="0"/>
        <v>0</v>
      </c>
      <c r="V57" s="2">
        <f t="shared" si="1"/>
        <v>0</v>
      </c>
    </row>
    <row r="58" spans="1:22" ht="15" customHeight="1" x14ac:dyDescent="0.45">
      <c r="A58" s="2" t="s">
        <v>610</v>
      </c>
      <c r="B58" s="2" t="s">
        <v>618</v>
      </c>
      <c r="C58" s="2">
        <v>2019</v>
      </c>
      <c r="D58" s="2">
        <v>1015</v>
      </c>
      <c r="E58" s="2" t="s">
        <v>49</v>
      </c>
      <c r="F58" s="2" t="s">
        <v>49</v>
      </c>
      <c r="G58" s="2" t="s">
        <v>49</v>
      </c>
      <c r="H58" s="2">
        <v>6</v>
      </c>
      <c r="I58" s="2" t="s">
        <v>49</v>
      </c>
      <c r="J58" s="2" t="s">
        <v>49</v>
      </c>
      <c r="K58" s="2" t="s">
        <v>49</v>
      </c>
      <c r="L58" s="2" t="s">
        <v>49</v>
      </c>
      <c r="M58" s="2" t="s">
        <v>49</v>
      </c>
      <c r="N58" s="2" t="s">
        <v>49</v>
      </c>
      <c r="O58" s="2" t="s">
        <v>146</v>
      </c>
      <c r="P58" s="2" t="s">
        <v>49</v>
      </c>
      <c r="Q58" s="2" t="s">
        <v>146</v>
      </c>
      <c r="R58" s="2" t="s">
        <v>49</v>
      </c>
      <c r="S58" s="2" t="s">
        <v>146</v>
      </c>
      <c r="U58" s="2">
        <f t="shared" si="0"/>
        <v>1015</v>
      </c>
      <c r="V58" s="2">
        <f t="shared" si="1"/>
        <v>0</v>
      </c>
    </row>
    <row r="59" spans="1:22" ht="15" customHeight="1" x14ac:dyDescent="0.45">
      <c r="A59" s="2" t="s">
        <v>610</v>
      </c>
      <c r="B59" s="2" t="s">
        <v>616</v>
      </c>
      <c r="C59" s="2">
        <v>2019</v>
      </c>
      <c r="D59" s="2">
        <v>462</v>
      </c>
      <c r="E59" s="2" t="s">
        <v>146</v>
      </c>
      <c r="F59" s="2" t="s">
        <v>146</v>
      </c>
      <c r="G59" s="2" t="s">
        <v>146</v>
      </c>
      <c r="H59" s="2" t="s">
        <v>146</v>
      </c>
      <c r="I59" s="2" t="s">
        <v>146</v>
      </c>
      <c r="J59" s="2" t="s">
        <v>146</v>
      </c>
      <c r="K59" s="2" t="s">
        <v>146</v>
      </c>
      <c r="L59" s="2" t="s">
        <v>146</v>
      </c>
      <c r="M59" s="2" t="s">
        <v>146</v>
      </c>
      <c r="N59" s="2" t="s">
        <v>942</v>
      </c>
      <c r="O59" s="2">
        <v>82</v>
      </c>
      <c r="P59" s="2" t="s">
        <v>49</v>
      </c>
      <c r="Q59" s="2" t="s">
        <v>146</v>
      </c>
      <c r="R59" s="2" t="s">
        <v>49</v>
      </c>
      <c r="S59" s="2" t="s">
        <v>146</v>
      </c>
      <c r="U59" s="2">
        <f t="shared" si="0"/>
        <v>462</v>
      </c>
      <c r="V59" s="2">
        <f t="shared" si="1"/>
        <v>82</v>
      </c>
    </row>
    <row r="60" spans="1:22" ht="15" customHeight="1" x14ac:dyDescent="0.45">
      <c r="A60" s="2" t="s">
        <v>610</v>
      </c>
      <c r="B60" s="2" t="s">
        <v>615</v>
      </c>
      <c r="C60" s="2">
        <v>2019</v>
      </c>
      <c r="D60" s="2" t="s">
        <v>146</v>
      </c>
      <c r="E60" s="2" t="s">
        <v>146</v>
      </c>
      <c r="F60" s="2" t="s">
        <v>146</v>
      </c>
      <c r="G60" s="2" t="s">
        <v>146</v>
      </c>
      <c r="H60" s="2" t="s">
        <v>146</v>
      </c>
      <c r="I60" s="2" t="s">
        <v>146</v>
      </c>
      <c r="J60" s="2" t="s">
        <v>146</v>
      </c>
      <c r="K60" s="2" t="s">
        <v>146</v>
      </c>
      <c r="L60" s="2" t="s">
        <v>146</v>
      </c>
      <c r="M60" s="2" t="s">
        <v>146</v>
      </c>
      <c r="N60" s="2" t="s">
        <v>49</v>
      </c>
      <c r="O60" s="2" t="s">
        <v>146</v>
      </c>
      <c r="P60" s="2" t="s">
        <v>49</v>
      </c>
      <c r="Q60" s="2" t="s">
        <v>146</v>
      </c>
      <c r="R60" s="2" t="s">
        <v>49</v>
      </c>
      <c r="S60" s="2" t="s">
        <v>146</v>
      </c>
      <c r="U60" s="2">
        <f t="shared" si="0"/>
        <v>0</v>
      </c>
      <c r="V60" s="2">
        <f t="shared" si="1"/>
        <v>0</v>
      </c>
    </row>
    <row r="61" spans="1:22" ht="15" customHeight="1" x14ac:dyDescent="0.45">
      <c r="A61" s="2" t="s">
        <v>610</v>
      </c>
      <c r="B61" s="2" t="s">
        <v>614</v>
      </c>
      <c r="C61" s="2">
        <v>2019</v>
      </c>
      <c r="D61" s="2">
        <v>1971</v>
      </c>
      <c r="E61" s="2" t="s">
        <v>49</v>
      </c>
      <c r="F61" s="2" t="s">
        <v>49</v>
      </c>
      <c r="G61" s="2" t="s">
        <v>49</v>
      </c>
      <c r="H61" s="2" t="s">
        <v>49</v>
      </c>
      <c r="I61" s="2" t="s">
        <v>49</v>
      </c>
      <c r="J61" s="2" t="s">
        <v>49</v>
      </c>
      <c r="K61" s="2" t="s">
        <v>49</v>
      </c>
      <c r="L61" s="2" t="s">
        <v>49</v>
      </c>
      <c r="M61" s="2">
        <v>11</v>
      </c>
      <c r="N61" s="2" t="s">
        <v>49</v>
      </c>
      <c r="O61" s="2" t="s">
        <v>146</v>
      </c>
      <c r="P61" s="2" t="s">
        <v>49</v>
      </c>
      <c r="Q61" s="2" t="s">
        <v>146</v>
      </c>
      <c r="R61" s="2" t="s">
        <v>49</v>
      </c>
      <c r="S61" s="2" t="s">
        <v>146</v>
      </c>
      <c r="U61" s="2">
        <f t="shared" si="0"/>
        <v>1971</v>
      </c>
      <c r="V61" s="2">
        <f t="shared" si="1"/>
        <v>0</v>
      </c>
    </row>
    <row r="62" spans="1:22" ht="15" customHeight="1" x14ac:dyDescent="0.45">
      <c r="A62" s="2" t="s">
        <v>610</v>
      </c>
      <c r="B62" s="2" t="s">
        <v>613</v>
      </c>
      <c r="C62" s="2">
        <v>2019</v>
      </c>
      <c r="D62" s="2">
        <v>879</v>
      </c>
      <c r="E62" s="2" t="s">
        <v>146</v>
      </c>
      <c r="F62" s="2" t="s">
        <v>146</v>
      </c>
      <c r="G62" s="2" t="s">
        <v>49</v>
      </c>
      <c r="H62" s="2" t="s">
        <v>49</v>
      </c>
      <c r="I62" s="2" t="s">
        <v>49</v>
      </c>
      <c r="J62" s="2" t="s">
        <v>49</v>
      </c>
      <c r="K62" s="2" t="s">
        <v>49</v>
      </c>
      <c r="L62" s="2" t="s">
        <v>49</v>
      </c>
      <c r="M62" s="2" t="s">
        <v>49</v>
      </c>
      <c r="N62" s="2" t="s">
        <v>49</v>
      </c>
      <c r="O62" s="2" t="s">
        <v>146</v>
      </c>
      <c r="P62" s="2" t="s">
        <v>49</v>
      </c>
      <c r="Q62" s="2" t="s">
        <v>146</v>
      </c>
      <c r="R62" s="2" t="s">
        <v>49</v>
      </c>
      <c r="S62" s="2" t="s">
        <v>146</v>
      </c>
      <c r="U62" s="2">
        <f t="shared" si="0"/>
        <v>879</v>
      </c>
      <c r="V62" s="2">
        <f t="shared" si="1"/>
        <v>0</v>
      </c>
    </row>
    <row r="63" spans="1:22" ht="15" customHeight="1" x14ac:dyDescent="0.45">
      <c r="A63" s="2" t="s">
        <v>610</v>
      </c>
      <c r="B63" s="2" t="s">
        <v>612</v>
      </c>
      <c r="C63" s="2">
        <v>2019</v>
      </c>
      <c r="D63" s="2">
        <v>77.5</v>
      </c>
      <c r="E63" s="2" t="s">
        <v>146</v>
      </c>
      <c r="F63" s="2" t="s">
        <v>146</v>
      </c>
      <c r="G63" s="2" t="s">
        <v>146</v>
      </c>
      <c r="H63" s="2" t="s">
        <v>146</v>
      </c>
      <c r="I63" s="2" t="s">
        <v>146</v>
      </c>
      <c r="J63" s="2" t="s">
        <v>146</v>
      </c>
      <c r="K63" s="2" t="s">
        <v>146</v>
      </c>
      <c r="L63" s="2" t="s">
        <v>146</v>
      </c>
      <c r="M63" s="2" t="s">
        <v>146</v>
      </c>
      <c r="N63" s="2" t="s">
        <v>49</v>
      </c>
      <c r="O63" s="2" t="s">
        <v>146</v>
      </c>
      <c r="P63" s="2" t="s">
        <v>49</v>
      </c>
      <c r="Q63" s="2" t="s">
        <v>146</v>
      </c>
      <c r="R63" s="2" t="s">
        <v>49</v>
      </c>
      <c r="S63" s="2" t="s">
        <v>146</v>
      </c>
      <c r="U63" s="2">
        <f t="shared" si="0"/>
        <v>77.5</v>
      </c>
      <c r="V63" s="2">
        <f t="shared" si="1"/>
        <v>0</v>
      </c>
    </row>
    <row r="64" spans="1:22" ht="15" customHeight="1" x14ac:dyDescent="0.45">
      <c r="A64" s="2" t="s">
        <v>610</v>
      </c>
      <c r="B64" s="2" t="s">
        <v>611</v>
      </c>
      <c r="C64" s="2">
        <v>2019</v>
      </c>
      <c r="D64" s="2">
        <v>61</v>
      </c>
      <c r="E64" s="2" t="s">
        <v>146</v>
      </c>
      <c r="F64" s="2" t="s">
        <v>146</v>
      </c>
      <c r="G64" s="2" t="s">
        <v>146</v>
      </c>
      <c r="H64" s="2" t="s">
        <v>146</v>
      </c>
      <c r="I64" s="2" t="s">
        <v>146</v>
      </c>
      <c r="J64" s="2" t="s">
        <v>146</v>
      </c>
      <c r="K64" s="2" t="s">
        <v>146</v>
      </c>
      <c r="L64" s="2" t="s">
        <v>146</v>
      </c>
      <c r="M64" s="2" t="s">
        <v>146</v>
      </c>
      <c r="N64" s="2" t="s">
        <v>49</v>
      </c>
      <c r="O64" s="2" t="s">
        <v>146</v>
      </c>
      <c r="P64" s="2" t="s">
        <v>49</v>
      </c>
      <c r="Q64" s="2" t="s">
        <v>146</v>
      </c>
      <c r="R64" s="2" t="s">
        <v>49</v>
      </c>
      <c r="S64" s="2" t="s">
        <v>146</v>
      </c>
      <c r="U64" s="2">
        <f t="shared" si="0"/>
        <v>61</v>
      </c>
      <c r="V64" s="2">
        <f t="shared" si="1"/>
        <v>0</v>
      </c>
    </row>
    <row r="65" spans="1:22" ht="15" customHeight="1" x14ac:dyDescent="0.45">
      <c r="A65" s="2" t="s">
        <v>610</v>
      </c>
      <c r="B65" s="2" t="s">
        <v>609</v>
      </c>
      <c r="C65" s="2">
        <v>2019</v>
      </c>
      <c r="D65" s="2">
        <v>65</v>
      </c>
      <c r="E65" s="2" t="s">
        <v>146</v>
      </c>
      <c r="F65" s="2" t="s">
        <v>146</v>
      </c>
      <c r="G65" s="2" t="s">
        <v>146</v>
      </c>
      <c r="H65" s="2" t="s">
        <v>146</v>
      </c>
      <c r="I65" s="2" t="s">
        <v>146</v>
      </c>
      <c r="J65" s="2" t="s">
        <v>146</v>
      </c>
      <c r="K65" s="2" t="s">
        <v>146</v>
      </c>
      <c r="L65" s="2" t="s">
        <v>146</v>
      </c>
      <c r="M65" s="2" t="s">
        <v>146</v>
      </c>
      <c r="N65" s="2" t="s">
        <v>49</v>
      </c>
      <c r="O65" s="2" t="s">
        <v>146</v>
      </c>
      <c r="P65" s="2" t="s">
        <v>49</v>
      </c>
      <c r="Q65" s="2" t="s">
        <v>146</v>
      </c>
      <c r="R65" s="2" t="s">
        <v>49</v>
      </c>
      <c r="S65" s="2" t="s">
        <v>146</v>
      </c>
      <c r="U65" s="2">
        <f t="shared" si="0"/>
        <v>65</v>
      </c>
      <c r="V65" s="2">
        <f t="shared" si="1"/>
        <v>0</v>
      </c>
    </row>
    <row r="66" spans="1:22" ht="15" customHeight="1" x14ac:dyDescent="0.45">
      <c r="A66" s="2" t="s">
        <v>608</v>
      </c>
      <c r="B66" s="2" t="s">
        <v>608</v>
      </c>
      <c r="C66" s="2">
        <v>2019</v>
      </c>
      <c r="D66" s="2" t="s">
        <v>49</v>
      </c>
      <c r="E66" s="2" t="s">
        <v>49</v>
      </c>
      <c r="F66" s="2" t="s">
        <v>49</v>
      </c>
      <c r="G66" s="2" t="s">
        <v>49</v>
      </c>
      <c r="H66" s="2" t="s">
        <v>49</v>
      </c>
      <c r="I66" s="2" t="s">
        <v>49</v>
      </c>
      <c r="J66" s="2" t="s">
        <v>49</v>
      </c>
      <c r="K66" s="2" t="s">
        <v>49</v>
      </c>
      <c r="L66" s="2" t="s">
        <v>49</v>
      </c>
      <c r="M66" s="2" t="s">
        <v>49</v>
      </c>
      <c r="N66" s="2" t="s">
        <v>49</v>
      </c>
      <c r="O66" s="2" t="s">
        <v>49</v>
      </c>
      <c r="P66" s="2" t="s">
        <v>49</v>
      </c>
      <c r="Q66" s="2" t="s">
        <v>49</v>
      </c>
      <c r="R66" s="2" t="s">
        <v>49</v>
      </c>
      <c r="S66" s="2" t="s">
        <v>49</v>
      </c>
      <c r="U66" s="2">
        <f t="shared" si="0"/>
        <v>0</v>
      </c>
      <c r="V66" s="2">
        <f t="shared" si="1"/>
        <v>0</v>
      </c>
    </row>
    <row r="67" spans="1:22" ht="15" customHeight="1" x14ac:dyDescent="0.45">
      <c r="A67" s="2" t="s">
        <v>605</v>
      </c>
      <c r="B67" s="2" t="s">
        <v>607</v>
      </c>
      <c r="C67" s="2">
        <v>2019</v>
      </c>
      <c r="D67" s="2">
        <v>102.72199999999999</v>
      </c>
      <c r="E67" s="2">
        <v>34.875999999999998</v>
      </c>
      <c r="F67" s="2">
        <v>22.06</v>
      </c>
      <c r="G67" s="2">
        <v>0</v>
      </c>
      <c r="H67" s="2" t="s">
        <v>146</v>
      </c>
      <c r="I67" s="2">
        <v>23.169</v>
      </c>
      <c r="J67" s="2">
        <v>15.561999999999999</v>
      </c>
      <c r="K67" s="2" t="s">
        <v>146</v>
      </c>
      <c r="L67" s="2" t="s">
        <v>146</v>
      </c>
      <c r="M67" s="2">
        <v>7.0549999999999997</v>
      </c>
      <c r="N67" s="2" t="s">
        <v>49</v>
      </c>
      <c r="O67" s="2" t="s">
        <v>146</v>
      </c>
      <c r="P67" s="2" t="s">
        <v>49</v>
      </c>
      <c r="Q67" s="2" t="s">
        <v>146</v>
      </c>
      <c r="R67" s="2" t="s">
        <v>49</v>
      </c>
      <c r="S67" s="2" t="s">
        <v>146</v>
      </c>
      <c r="U67" s="2">
        <f t="shared" ref="U67:U130" si="2">IFERROR(D67/1,0)</f>
        <v>102.72199999999999</v>
      </c>
      <c r="V67" s="2">
        <f t="shared" ref="V67:V130" si="3">IFERROR(O67/1,0)+IFERROR(Q67/1,0)+IFERROR(S67/1,0)</f>
        <v>0</v>
      </c>
    </row>
    <row r="68" spans="1:22" ht="15" customHeight="1" x14ac:dyDescent="0.45">
      <c r="A68" s="2" t="s">
        <v>605</v>
      </c>
      <c r="B68" s="2" t="s">
        <v>606</v>
      </c>
      <c r="C68" s="2">
        <v>2019</v>
      </c>
      <c r="D68" s="2">
        <v>2.8330000000000002</v>
      </c>
      <c r="E68" s="2">
        <v>0.89300000000000002</v>
      </c>
      <c r="F68" s="2">
        <v>1.0129999999999999</v>
      </c>
      <c r="G68" s="2">
        <v>0</v>
      </c>
      <c r="H68" s="2" t="s">
        <v>146</v>
      </c>
      <c r="I68" s="2">
        <v>0.79100000000000004</v>
      </c>
      <c r="J68" s="2">
        <v>0.13600000000000001</v>
      </c>
      <c r="K68" s="2" t="s">
        <v>146</v>
      </c>
      <c r="L68" s="2" t="s">
        <v>146</v>
      </c>
      <c r="M68" s="2">
        <v>0</v>
      </c>
      <c r="N68" s="2" t="s">
        <v>49</v>
      </c>
      <c r="O68" s="2" t="s">
        <v>146</v>
      </c>
      <c r="P68" s="2" t="s">
        <v>49</v>
      </c>
      <c r="Q68" s="2" t="s">
        <v>146</v>
      </c>
      <c r="R68" s="2" t="s">
        <v>49</v>
      </c>
      <c r="S68" s="2" t="s">
        <v>146</v>
      </c>
      <c r="U68" s="2">
        <f t="shared" si="2"/>
        <v>2.8330000000000002</v>
      </c>
      <c r="V68" s="2">
        <f t="shared" si="3"/>
        <v>0</v>
      </c>
    </row>
    <row r="69" spans="1:22" ht="15" customHeight="1" x14ac:dyDescent="0.45">
      <c r="A69" s="2" t="s">
        <v>605</v>
      </c>
      <c r="B69" s="2" t="s">
        <v>604</v>
      </c>
      <c r="C69" s="2">
        <v>2019</v>
      </c>
      <c r="D69" s="2">
        <v>12.869</v>
      </c>
      <c r="E69" s="2">
        <v>3.6389999999999998</v>
      </c>
      <c r="F69" s="2">
        <v>3.294</v>
      </c>
      <c r="G69" s="2">
        <v>0</v>
      </c>
      <c r="H69" s="2" t="s">
        <v>146</v>
      </c>
      <c r="I69" s="2">
        <v>3.5249999999999999</v>
      </c>
      <c r="J69" s="2">
        <v>0.99199999999999999</v>
      </c>
      <c r="K69" s="2" t="s">
        <v>146</v>
      </c>
      <c r="L69" s="2" t="s">
        <v>146</v>
      </c>
      <c r="M69" s="2">
        <v>1.419</v>
      </c>
      <c r="N69" s="2" t="s">
        <v>49</v>
      </c>
      <c r="O69" s="2" t="s">
        <v>146</v>
      </c>
      <c r="P69" s="2" t="s">
        <v>49</v>
      </c>
      <c r="Q69" s="2" t="s">
        <v>146</v>
      </c>
      <c r="R69" s="2" t="s">
        <v>49</v>
      </c>
      <c r="S69" s="2" t="s">
        <v>146</v>
      </c>
      <c r="U69" s="2">
        <f t="shared" si="2"/>
        <v>12.869</v>
      </c>
      <c r="V69" s="2">
        <f t="shared" si="3"/>
        <v>0</v>
      </c>
    </row>
    <row r="70" spans="1:22" ht="15" customHeight="1" x14ac:dyDescent="0.45">
      <c r="A70" s="2" t="s">
        <v>603</v>
      </c>
      <c r="B70" s="2" t="s">
        <v>602</v>
      </c>
      <c r="C70" s="2">
        <v>2019</v>
      </c>
      <c r="D70" s="2">
        <v>42.5</v>
      </c>
      <c r="E70" s="2">
        <v>10.5</v>
      </c>
      <c r="F70" s="2">
        <v>11.4</v>
      </c>
      <c r="G70" s="2">
        <v>8.8000000000000007</v>
      </c>
      <c r="H70" s="2" t="s">
        <v>146</v>
      </c>
      <c r="I70" s="2">
        <v>7.6</v>
      </c>
      <c r="J70" s="2">
        <v>4.2</v>
      </c>
      <c r="K70" s="2" t="s">
        <v>146</v>
      </c>
      <c r="L70" s="2" t="s">
        <v>146</v>
      </c>
      <c r="M70" s="2" t="s">
        <v>146</v>
      </c>
      <c r="N70" s="2" t="s">
        <v>49</v>
      </c>
      <c r="O70" s="2" t="s">
        <v>146</v>
      </c>
      <c r="P70" s="2" t="s">
        <v>49</v>
      </c>
      <c r="Q70" s="2" t="s">
        <v>146</v>
      </c>
      <c r="R70" s="2" t="s">
        <v>49</v>
      </c>
      <c r="S70" s="2" t="s">
        <v>146</v>
      </c>
      <c r="U70" s="2">
        <f t="shared" si="2"/>
        <v>42.5</v>
      </c>
      <c r="V70" s="2">
        <f t="shared" si="3"/>
        <v>0</v>
      </c>
    </row>
    <row r="71" spans="1:22" ht="15" customHeight="1" x14ac:dyDescent="0.45">
      <c r="A71" s="2" t="s">
        <v>601</v>
      </c>
      <c r="B71" s="2" t="s">
        <v>600</v>
      </c>
      <c r="C71" s="2">
        <v>2019</v>
      </c>
      <c r="D71" s="2">
        <v>213</v>
      </c>
      <c r="E71" s="2">
        <v>85</v>
      </c>
      <c r="F71" s="2">
        <v>29</v>
      </c>
      <c r="G71" s="2">
        <v>4</v>
      </c>
      <c r="H71" s="2">
        <v>0</v>
      </c>
      <c r="I71" s="2">
        <v>50</v>
      </c>
      <c r="J71" s="2">
        <v>30</v>
      </c>
      <c r="K71" s="2">
        <v>1</v>
      </c>
      <c r="L71" s="2">
        <v>14</v>
      </c>
      <c r="M71" s="2" t="s">
        <v>146</v>
      </c>
      <c r="N71" s="2" t="s">
        <v>49</v>
      </c>
      <c r="O71" s="2" t="s">
        <v>146</v>
      </c>
      <c r="P71" s="2" t="s">
        <v>49</v>
      </c>
      <c r="Q71" s="2" t="s">
        <v>146</v>
      </c>
      <c r="R71" s="2" t="s">
        <v>49</v>
      </c>
      <c r="S71" s="2" t="s">
        <v>146</v>
      </c>
      <c r="U71" s="2">
        <f t="shared" si="2"/>
        <v>213</v>
      </c>
      <c r="V71" s="2">
        <f t="shared" si="3"/>
        <v>0</v>
      </c>
    </row>
    <row r="72" spans="1:22" ht="15" customHeight="1" x14ac:dyDescent="0.45">
      <c r="A72" s="2" t="s">
        <v>597</v>
      </c>
      <c r="B72" s="2" t="s">
        <v>599</v>
      </c>
      <c r="C72" s="2">
        <v>2019</v>
      </c>
      <c r="D72" s="2">
        <v>640.34</v>
      </c>
      <c r="E72" s="2">
        <v>302.79399999999998</v>
      </c>
      <c r="F72" s="2">
        <v>77.146000000000001</v>
      </c>
      <c r="G72" s="2">
        <v>49.805</v>
      </c>
      <c r="H72" s="2">
        <v>0</v>
      </c>
      <c r="I72" s="2">
        <v>86.320999999999998</v>
      </c>
      <c r="J72" s="2">
        <v>111.178</v>
      </c>
      <c r="K72" s="2">
        <v>3.1480000000000001</v>
      </c>
      <c r="L72" s="2">
        <v>9.9459999999999997</v>
      </c>
      <c r="M72" s="2" t="s">
        <v>146</v>
      </c>
      <c r="N72" s="2" t="s">
        <v>49</v>
      </c>
      <c r="O72" s="2" t="s">
        <v>146</v>
      </c>
      <c r="P72" s="2" t="s">
        <v>49</v>
      </c>
      <c r="Q72" s="2" t="s">
        <v>146</v>
      </c>
      <c r="R72" s="2" t="s">
        <v>49</v>
      </c>
      <c r="S72" s="2" t="s">
        <v>146</v>
      </c>
      <c r="U72" s="2">
        <f t="shared" si="2"/>
        <v>640.34</v>
      </c>
      <c r="V72" s="2">
        <f t="shared" si="3"/>
        <v>0</v>
      </c>
    </row>
    <row r="73" spans="1:22" ht="15" customHeight="1" x14ac:dyDescent="0.45">
      <c r="A73" s="2" t="s">
        <v>597</v>
      </c>
      <c r="B73" s="2" t="s">
        <v>598</v>
      </c>
      <c r="C73" s="2">
        <v>2019</v>
      </c>
      <c r="D73" s="2">
        <v>0.77500000000000002</v>
      </c>
      <c r="E73" s="2" t="s">
        <v>146</v>
      </c>
      <c r="F73" s="2" t="s">
        <v>146</v>
      </c>
      <c r="G73" s="2" t="s">
        <v>146</v>
      </c>
      <c r="H73" s="2" t="s">
        <v>146</v>
      </c>
      <c r="I73" s="2">
        <v>0.77500000000000002</v>
      </c>
      <c r="J73" s="2" t="s">
        <v>146</v>
      </c>
      <c r="K73" s="2" t="s">
        <v>146</v>
      </c>
      <c r="L73" s="2" t="s">
        <v>146</v>
      </c>
      <c r="M73" s="2" t="s">
        <v>146</v>
      </c>
      <c r="N73" s="2" t="s">
        <v>49</v>
      </c>
      <c r="O73" s="2" t="s">
        <v>146</v>
      </c>
      <c r="P73" s="2" t="s">
        <v>49</v>
      </c>
      <c r="Q73" s="2" t="s">
        <v>146</v>
      </c>
      <c r="R73" s="2" t="s">
        <v>49</v>
      </c>
      <c r="S73" s="2" t="s">
        <v>146</v>
      </c>
      <c r="U73" s="2">
        <f t="shared" si="2"/>
        <v>0.77500000000000002</v>
      </c>
      <c r="V73" s="2">
        <f t="shared" si="3"/>
        <v>0</v>
      </c>
    </row>
    <row r="74" spans="1:22" ht="15" customHeight="1" x14ac:dyDescent="0.45">
      <c r="A74" s="2" t="s">
        <v>597</v>
      </c>
      <c r="B74" s="2" t="s">
        <v>596</v>
      </c>
      <c r="C74" s="2">
        <v>2019</v>
      </c>
      <c r="D74" s="2">
        <v>5.8049999999999997</v>
      </c>
      <c r="E74" s="2">
        <v>0.75800000000000001</v>
      </c>
      <c r="F74" s="2">
        <v>3.8719999999999999</v>
      </c>
      <c r="G74" s="2" t="s">
        <v>146</v>
      </c>
      <c r="H74" s="2" t="s">
        <v>146</v>
      </c>
      <c r="I74" s="2">
        <v>1.0449999999999999</v>
      </c>
      <c r="J74" s="2">
        <v>0.129</v>
      </c>
      <c r="K74" s="2" t="s">
        <v>146</v>
      </c>
      <c r="L74" s="2" t="s">
        <v>146</v>
      </c>
      <c r="M74" s="2" t="s">
        <v>146</v>
      </c>
      <c r="N74" s="2" t="s">
        <v>49</v>
      </c>
      <c r="O74" s="2" t="s">
        <v>146</v>
      </c>
      <c r="P74" s="2" t="s">
        <v>49</v>
      </c>
      <c r="Q74" s="2" t="s">
        <v>146</v>
      </c>
      <c r="R74" s="2" t="s">
        <v>49</v>
      </c>
      <c r="S74" s="2" t="s">
        <v>146</v>
      </c>
      <c r="U74" s="2">
        <f t="shared" si="2"/>
        <v>5.8049999999999997</v>
      </c>
      <c r="V74" s="2">
        <f t="shared" si="3"/>
        <v>0</v>
      </c>
    </row>
    <row r="75" spans="1:22" ht="15" customHeight="1" x14ac:dyDescent="0.45">
      <c r="A75" s="2" t="s">
        <v>593</v>
      </c>
      <c r="B75" s="2" t="s">
        <v>595</v>
      </c>
      <c r="C75" s="2">
        <v>2019</v>
      </c>
      <c r="D75" s="2">
        <v>102.3</v>
      </c>
      <c r="E75" s="2">
        <v>52</v>
      </c>
      <c r="F75" s="2">
        <v>8.3000000000000007</v>
      </c>
      <c r="G75" s="2">
        <v>6.3</v>
      </c>
      <c r="H75" s="2" t="s">
        <v>146</v>
      </c>
      <c r="I75" s="2">
        <v>14.9</v>
      </c>
      <c r="J75" s="2">
        <v>20.3</v>
      </c>
      <c r="K75" s="2" t="s">
        <v>146</v>
      </c>
      <c r="L75" s="2" t="s">
        <v>146</v>
      </c>
      <c r="M75" s="2" t="s">
        <v>146</v>
      </c>
      <c r="N75" s="2" t="s">
        <v>49</v>
      </c>
      <c r="O75" s="2" t="s">
        <v>146</v>
      </c>
      <c r="P75" s="2" t="s">
        <v>49</v>
      </c>
      <c r="Q75" s="2" t="s">
        <v>146</v>
      </c>
      <c r="R75" s="2" t="s">
        <v>49</v>
      </c>
      <c r="S75" s="2" t="s">
        <v>146</v>
      </c>
      <c r="U75" s="2">
        <f t="shared" si="2"/>
        <v>102.3</v>
      </c>
      <c r="V75" s="2">
        <f t="shared" si="3"/>
        <v>0</v>
      </c>
    </row>
    <row r="76" spans="1:22" ht="15" customHeight="1" x14ac:dyDescent="0.45">
      <c r="A76" s="2" t="s">
        <v>593</v>
      </c>
      <c r="B76" s="2" t="s">
        <v>594</v>
      </c>
      <c r="C76" s="2">
        <v>2019</v>
      </c>
      <c r="D76" s="2">
        <v>9.1</v>
      </c>
      <c r="E76" s="2">
        <v>2</v>
      </c>
      <c r="F76" s="2">
        <v>1.4</v>
      </c>
      <c r="G76" s="2">
        <v>3.3</v>
      </c>
      <c r="H76" s="2" t="s">
        <v>146</v>
      </c>
      <c r="I76" s="2">
        <v>2.2000000000000002</v>
      </c>
      <c r="J76" s="2" t="s">
        <v>146</v>
      </c>
      <c r="K76" s="2">
        <v>0.1</v>
      </c>
      <c r="L76" s="2" t="s">
        <v>146</v>
      </c>
      <c r="M76" s="2" t="s">
        <v>146</v>
      </c>
      <c r="N76" s="2" t="s">
        <v>49</v>
      </c>
      <c r="O76" s="2" t="s">
        <v>146</v>
      </c>
      <c r="P76" s="2" t="s">
        <v>49</v>
      </c>
      <c r="Q76" s="2" t="s">
        <v>146</v>
      </c>
      <c r="R76" s="2" t="s">
        <v>49</v>
      </c>
      <c r="S76" s="2" t="s">
        <v>146</v>
      </c>
      <c r="U76" s="2">
        <f t="shared" si="2"/>
        <v>9.1</v>
      </c>
      <c r="V76" s="2">
        <f t="shared" si="3"/>
        <v>0</v>
      </c>
    </row>
    <row r="77" spans="1:22" ht="15" customHeight="1" x14ac:dyDescent="0.45">
      <c r="A77" s="2" t="s">
        <v>593</v>
      </c>
      <c r="B77" s="2" t="s">
        <v>592</v>
      </c>
      <c r="C77" s="2">
        <v>2019</v>
      </c>
      <c r="D77" s="2">
        <v>4</v>
      </c>
      <c r="E77" s="2">
        <v>1.4</v>
      </c>
      <c r="F77" s="2">
        <v>0.14000000000000001</v>
      </c>
      <c r="G77" s="2" t="s">
        <v>146</v>
      </c>
      <c r="H77" s="2" t="s">
        <v>146</v>
      </c>
      <c r="I77" s="2">
        <v>2.2000000000000002</v>
      </c>
      <c r="J77" s="2" t="s">
        <v>146</v>
      </c>
      <c r="K77" s="2">
        <v>0.2</v>
      </c>
      <c r="L77" s="2" t="s">
        <v>146</v>
      </c>
      <c r="M77" s="2" t="s">
        <v>146</v>
      </c>
      <c r="N77" s="2" t="s">
        <v>49</v>
      </c>
      <c r="O77" s="2" t="s">
        <v>146</v>
      </c>
      <c r="P77" s="2" t="s">
        <v>49</v>
      </c>
      <c r="Q77" s="2" t="s">
        <v>146</v>
      </c>
      <c r="R77" s="2" t="s">
        <v>49</v>
      </c>
      <c r="S77" s="2" t="s">
        <v>146</v>
      </c>
      <c r="U77" s="2">
        <f t="shared" si="2"/>
        <v>4</v>
      </c>
      <c r="V77" s="2">
        <f t="shared" si="3"/>
        <v>0</v>
      </c>
    </row>
    <row r="78" spans="1:22" ht="15" customHeight="1" x14ac:dyDescent="0.45">
      <c r="A78" s="2" t="s">
        <v>589</v>
      </c>
      <c r="B78" s="2" t="s">
        <v>591</v>
      </c>
      <c r="C78" s="2">
        <v>2019</v>
      </c>
      <c r="D78" s="2">
        <v>63.613999999999997</v>
      </c>
      <c r="E78" s="2">
        <v>27.556999999999999</v>
      </c>
      <c r="F78" s="2">
        <v>5.55</v>
      </c>
      <c r="G78" s="2">
        <v>0</v>
      </c>
      <c r="H78" s="2">
        <v>0</v>
      </c>
      <c r="I78" s="2">
        <v>12.701000000000001</v>
      </c>
      <c r="J78" s="2">
        <v>14.859</v>
      </c>
      <c r="K78" s="2">
        <v>0</v>
      </c>
      <c r="L78" s="2">
        <v>0</v>
      </c>
      <c r="M78" s="2">
        <v>2.9460000000000002</v>
      </c>
      <c r="N78" s="2" t="s">
        <v>49</v>
      </c>
      <c r="O78" s="2" t="s">
        <v>146</v>
      </c>
      <c r="P78" s="2" t="s">
        <v>49</v>
      </c>
      <c r="Q78" s="2" t="s">
        <v>146</v>
      </c>
      <c r="R78" s="2" t="s">
        <v>49</v>
      </c>
      <c r="S78" s="2" t="s">
        <v>146</v>
      </c>
      <c r="U78" s="2">
        <f t="shared" si="2"/>
        <v>63.613999999999997</v>
      </c>
      <c r="V78" s="2">
        <f t="shared" si="3"/>
        <v>0</v>
      </c>
    </row>
    <row r="79" spans="1:22" ht="15" customHeight="1" x14ac:dyDescent="0.45">
      <c r="A79" s="2" t="s">
        <v>589</v>
      </c>
      <c r="B79" s="2" t="s">
        <v>590</v>
      </c>
      <c r="C79" s="2">
        <v>2019</v>
      </c>
      <c r="D79" s="2">
        <v>2.3220000000000001</v>
      </c>
      <c r="E79" s="2">
        <v>0.39300000000000002</v>
      </c>
      <c r="F79" s="2">
        <v>0.191</v>
      </c>
      <c r="G79" s="2">
        <v>0</v>
      </c>
      <c r="H79" s="2">
        <v>0</v>
      </c>
      <c r="I79" s="2">
        <v>1.454</v>
      </c>
      <c r="J79" s="2">
        <v>0.28399999999999997</v>
      </c>
      <c r="K79" s="2">
        <v>0</v>
      </c>
      <c r="L79" s="2">
        <v>0</v>
      </c>
      <c r="M79" s="2">
        <v>0</v>
      </c>
      <c r="N79" s="2" t="s">
        <v>49</v>
      </c>
      <c r="O79" s="2" t="s">
        <v>146</v>
      </c>
      <c r="P79" s="2" t="s">
        <v>49</v>
      </c>
      <c r="Q79" s="2" t="s">
        <v>146</v>
      </c>
      <c r="R79" s="2" t="s">
        <v>49</v>
      </c>
      <c r="S79" s="2" t="s">
        <v>146</v>
      </c>
      <c r="U79" s="2">
        <f t="shared" si="2"/>
        <v>2.3220000000000001</v>
      </c>
      <c r="V79" s="2">
        <f t="shared" si="3"/>
        <v>0</v>
      </c>
    </row>
    <row r="80" spans="1:22" ht="15" customHeight="1" x14ac:dyDescent="0.45">
      <c r="A80" s="2" t="s">
        <v>589</v>
      </c>
      <c r="B80" s="2" t="s">
        <v>588</v>
      </c>
      <c r="C80" s="2">
        <v>2019</v>
      </c>
      <c r="D80" s="2">
        <v>3.036</v>
      </c>
      <c r="E80" s="2">
        <v>0.47699999999999998</v>
      </c>
      <c r="F80" s="2">
        <v>0.23400000000000001</v>
      </c>
      <c r="G80" s="2">
        <v>0</v>
      </c>
      <c r="H80" s="2">
        <v>0</v>
      </c>
      <c r="I80" s="2">
        <v>2.2909999999999999</v>
      </c>
      <c r="J80" s="2">
        <v>3.4000000000000002E-2</v>
      </c>
      <c r="K80" s="2">
        <v>0</v>
      </c>
      <c r="L80" s="2">
        <v>0</v>
      </c>
      <c r="M80" s="2">
        <v>0</v>
      </c>
      <c r="N80" s="2" t="s">
        <v>49</v>
      </c>
      <c r="O80" s="2" t="s">
        <v>146</v>
      </c>
      <c r="P80" s="2" t="s">
        <v>49</v>
      </c>
      <c r="Q80" s="2" t="s">
        <v>146</v>
      </c>
      <c r="R80" s="2" t="s">
        <v>49</v>
      </c>
      <c r="S80" s="2" t="s">
        <v>146</v>
      </c>
      <c r="U80" s="2">
        <f t="shared" si="2"/>
        <v>3.036</v>
      </c>
      <c r="V80" s="2">
        <f t="shared" si="3"/>
        <v>0</v>
      </c>
    </row>
    <row r="81" spans="1:22" ht="15" customHeight="1" x14ac:dyDescent="0.45">
      <c r="A81" s="2" t="s">
        <v>582</v>
      </c>
      <c r="B81" s="2" t="s">
        <v>586</v>
      </c>
      <c r="C81" s="2">
        <v>2019</v>
      </c>
      <c r="D81" s="2">
        <v>3.96</v>
      </c>
      <c r="E81" s="2">
        <v>1.34</v>
      </c>
      <c r="F81" s="2">
        <v>0.25</v>
      </c>
      <c r="G81" s="2">
        <v>0.32</v>
      </c>
      <c r="H81" s="2" t="s">
        <v>146</v>
      </c>
      <c r="I81" s="2">
        <v>1.66</v>
      </c>
      <c r="J81" s="2">
        <v>0.15</v>
      </c>
      <c r="K81" s="2">
        <v>0.23</v>
      </c>
      <c r="L81" s="2">
        <v>0</v>
      </c>
      <c r="M81" s="2">
        <v>0</v>
      </c>
      <c r="N81" s="2" t="s">
        <v>49</v>
      </c>
      <c r="O81" s="2" t="s">
        <v>146</v>
      </c>
      <c r="P81" s="2" t="s">
        <v>49</v>
      </c>
      <c r="Q81" s="2" t="s">
        <v>146</v>
      </c>
      <c r="R81" s="2" t="s">
        <v>49</v>
      </c>
      <c r="S81" s="2" t="s">
        <v>146</v>
      </c>
      <c r="U81" s="2">
        <f t="shared" si="2"/>
        <v>3.96</v>
      </c>
      <c r="V81" s="2">
        <f t="shared" si="3"/>
        <v>0</v>
      </c>
    </row>
    <row r="82" spans="1:22" ht="15" customHeight="1" x14ac:dyDescent="0.45">
      <c r="A82" s="2" t="s">
        <v>582</v>
      </c>
      <c r="B82" s="2" t="s">
        <v>585</v>
      </c>
      <c r="C82" s="2">
        <v>2019</v>
      </c>
      <c r="D82" s="2">
        <v>352.86</v>
      </c>
      <c r="E82" s="2">
        <v>131.35</v>
      </c>
      <c r="F82" s="2">
        <v>40.119999999999997</v>
      </c>
      <c r="G82" s="2">
        <v>29.22</v>
      </c>
      <c r="H82" s="2" t="s">
        <v>146</v>
      </c>
      <c r="I82" s="2">
        <v>41.09</v>
      </c>
      <c r="J82" s="2">
        <v>39.32</v>
      </c>
      <c r="K82" s="2">
        <v>18.899999999999999</v>
      </c>
      <c r="L82" s="2">
        <v>4.04</v>
      </c>
      <c r="M82" s="2">
        <v>48.83</v>
      </c>
      <c r="N82" s="2" t="s">
        <v>1015</v>
      </c>
      <c r="O82" s="2">
        <v>2.85</v>
      </c>
      <c r="P82" s="2" t="s">
        <v>49</v>
      </c>
      <c r="Q82" s="2" t="s">
        <v>146</v>
      </c>
      <c r="R82" s="2" t="s">
        <v>49</v>
      </c>
      <c r="S82" s="2" t="s">
        <v>146</v>
      </c>
      <c r="U82" s="2">
        <f t="shared" si="2"/>
        <v>352.86</v>
      </c>
      <c r="V82" s="2">
        <f t="shared" si="3"/>
        <v>2.85</v>
      </c>
    </row>
    <row r="83" spans="1:22" ht="15" customHeight="1" x14ac:dyDescent="0.45">
      <c r="A83" s="2" t="s">
        <v>582</v>
      </c>
      <c r="B83" s="2" t="s">
        <v>583</v>
      </c>
      <c r="C83" s="2">
        <v>2019</v>
      </c>
      <c r="D83" s="2">
        <v>4.2699999999999996</v>
      </c>
      <c r="E83" s="2">
        <v>2.94</v>
      </c>
      <c r="F83" s="2">
        <v>0.03</v>
      </c>
      <c r="G83" s="2">
        <v>0</v>
      </c>
      <c r="H83" s="2" t="s">
        <v>146</v>
      </c>
      <c r="I83" s="2">
        <v>1.1299999999999999</v>
      </c>
      <c r="J83" s="2">
        <v>0.16</v>
      </c>
      <c r="K83" s="2">
        <v>0</v>
      </c>
      <c r="L83" s="2">
        <v>0</v>
      </c>
      <c r="M83" s="2">
        <v>0</v>
      </c>
      <c r="N83" s="2" t="s">
        <v>49</v>
      </c>
      <c r="O83" s="2" t="s">
        <v>146</v>
      </c>
      <c r="P83" s="2" t="s">
        <v>49</v>
      </c>
      <c r="Q83" s="2" t="s">
        <v>146</v>
      </c>
      <c r="R83" s="2" t="s">
        <v>49</v>
      </c>
      <c r="S83" s="2" t="s">
        <v>146</v>
      </c>
      <c r="U83" s="2">
        <f t="shared" si="2"/>
        <v>4.2699999999999996</v>
      </c>
      <c r="V83" s="2">
        <f t="shared" si="3"/>
        <v>0</v>
      </c>
    </row>
    <row r="84" spans="1:22" ht="15" customHeight="1" x14ac:dyDescent="0.45">
      <c r="A84" s="2" t="s">
        <v>582</v>
      </c>
      <c r="B84" s="2" t="s">
        <v>581</v>
      </c>
      <c r="C84" s="2">
        <v>2019</v>
      </c>
      <c r="D84" s="2">
        <v>4.8499999999999996</v>
      </c>
      <c r="E84" s="2">
        <v>2.5499999999999998</v>
      </c>
      <c r="F84" s="2">
        <v>0.15</v>
      </c>
      <c r="G84" s="2">
        <v>0</v>
      </c>
      <c r="H84" s="2" t="s">
        <v>146</v>
      </c>
      <c r="I84" s="2">
        <v>2.06</v>
      </c>
      <c r="J84" s="2">
        <v>0.09</v>
      </c>
      <c r="K84" s="2">
        <v>0</v>
      </c>
      <c r="L84" s="2">
        <v>0</v>
      </c>
      <c r="M84" s="2">
        <v>0</v>
      </c>
      <c r="N84" s="2" t="s">
        <v>49</v>
      </c>
      <c r="O84" s="2" t="s">
        <v>146</v>
      </c>
      <c r="P84" s="2" t="s">
        <v>49</v>
      </c>
      <c r="Q84" s="2" t="s">
        <v>146</v>
      </c>
      <c r="R84" s="2" t="s">
        <v>49</v>
      </c>
      <c r="S84" s="2" t="s">
        <v>146</v>
      </c>
      <c r="U84" s="2">
        <f t="shared" si="2"/>
        <v>4.8499999999999996</v>
      </c>
      <c r="V84" s="2">
        <f t="shared" si="3"/>
        <v>0</v>
      </c>
    </row>
    <row r="85" spans="1:22" ht="15" customHeight="1" x14ac:dyDescent="0.45">
      <c r="A85" s="2" t="s">
        <v>580</v>
      </c>
      <c r="B85" s="2" t="s">
        <v>579</v>
      </c>
      <c r="C85" s="2">
        <v>2019</v>
      </c>
      <c r="D85" s="2">
        <v>110</v>
      </c>
      <c r="E85" s="2">
        <v>41</v>
      </c>
      <c r="F85" s="2">
        <v>15</v>
      </c>
      <c r="G85" s="2">
        <v>27</v>
      </c>
      <c r="H85" s="2">
        <v>0</v>
      </c>
      <c r="I85" s="2">
        <v>15</v>
      </c>
      <c r="J85" s="2">
        <v>12</v>
      </c>
      <c r="K85" s="2">
        <v>0</v>
      </c>
      <c r="L85" s="2" t="s">
        <v>1051</v>
      </c>
      <c r="M85" s="2" t="s">
        <v>146</v>
      </c>
      <c r="N85" s="2" t="s">
        <v>146</v>
      </c>
      <c r="O85" s="2" t="s">
        <v>146</v>
      </c>
      <c r="P85" s="2" t="s">
        <v>146</v>
      </c>
      <c r="Q85" s="2" t="s">
        <v>146</v>
      </c>
      <c r="R85" s="2" t="s">
        <v>146</v>
      </c>
      <c r="S85" s="2" t="s">
        <v>146</v>
      </c>
      <c r="U85" s="2">
        <f t="shared" si="2"/>
        <v>110</v>
      </c>
      <c r="V85" s="2">
        <f t="shared" si="3"/>
        <v>0</v>
      </c>
    </row>
    <row r="86" spans="1:22" ht="15" customHeight="1" x14ac:dyDescent="0.45">
      <c r="A86" s="2" t="s">
        <v>576</v>
      </c>
      <c r="B86" s="2" t="s">
        <v>578</v>
      </c>
      <c r="C86" s="2">
        <v>2019</v>
      </c>
      <c r="D86" s="2">
        <v>39.652999999999999</v>
      </c>
      <c r="E86" s="2">
        <v>19.57</v>
      </c>
      <c r="F86" s="2">
        <v>0.442</v>
      </c>
      <c r="G86" s="2">
        <v>1.456</v>
      </c>
      <c r="H86" s="2" t="s">
        <v>146</v>
      </c>
      <c r="I86" s="2">
        <v>12.87</v>
      </c>
      <c r="J86" s="2">
        <v>5.3120000000000003</v>
      </c>
      <c r="K86" s="2" t="s">
        <v>146</v>
      </c>
      <c r="L86" s="2" t="s">
        <v>146</v>
      </c>
      <c r="M86" s="2" t="s">
        <v>146</v>
      </c>
      <c r="N86" s="2" t="s">
        <v>49</v>
      </c>
      <c r="O86" s="2" t="s">
        <v>146</v>
      </c>
      <c r="P86" s="2" t="s">
        <v>49</v>
      </c>
      <c r="Q86" s="2" t="s">
        <v>146</v>
      </c>
      <c r="R86" s="2" t="s">
        <v>49</v>
      </c>
      <c r="S86" s="2" t="s">
        <v>146</v>
      </c>
      <c r="U86" s="2">
        <f t="shared" si="2"/>
        <v>39.652999999999999</v>
      </c>
      <c r="V86" s="2">
        <f t="shared" si="3"/>
        <v>0</v>
      </c>
    </row>
    <row r="87" spans="1:22" ht="15" customHeight="1" x14ac:dyDescent="0.45">
      <c r="A87" s="2" t="s">
        <v>576</v>
      </c>
      <c r="B87" s="2" t="s">
        <v>577</v>
      </c>
      <c r="C87" s="2">
        <v>2019</v>
      </c>
      <c r="D87" s="2">
        <v>4.1779999999999999</v>
      </c>
      <c r="E87" s="2">
        <v>1.407</v>
      </c>
      <c r="F87" s="2">
        <v>4.5999999999999999E-2</v>
      </c>
      <c r="G87" s="2">
        <v>1.718</v>
      </c>
      <c r="H87" s="2" t="s">
        <v>146</v>
      </c>
      <c r="I87" s="2">
        <v>0.92400000000000004</v>
      </c>
      <c r="J87" s="2">
        <v>8.1000000000000003E-2</v>
      </c>
      <c r="K87" s="2" t="s">
        <v>146</v>
      </c>
      <c r="L87" s="2" t="s">
        <v>146</v>
      </c>
      <c r="M87" s="2" t="s">
        <v>146</v>
      </c>
      <c r="N87" s="2" t="s">
        <v>49</v>
      </c>
      <c r="O87" s="2" t="s">
        <v>146</v>
      </c>
      <c r="P87" s="2" t="s">
        <v>49</v>
      </c>
      <c r="Q87" s="2" t="s">
        <v>146</v>
      </c>
      <c r="R87" s="2" t="s">
        <v>49</v>
      </c>
      <c r="S87" s="2" t="s">
        <v>146</v>
      </c>
      <c r="U87" s="2">
        <f t="shared" si="2"/>
        <v>4.1779999999999999</v>
      </c>
      <c r="V87" s="2">
        <f t="shared" si="3"/>
        <v>0</v>
      </c>
    </row>
    <row r="88" spans="1:22" ht="15" customHeight="1" x14ac:dyDescent="0.45">
      <c r="A88" s="2" t="s">
        <v>576</v>
      </c>
      <c r="B88" s="2" t="s">
        <v>575</v>
      </c>
      <c r="C88" s="2">
        <v>2019</v>
      </c>
      <c r="D88" s="2">
        <v>2.0609999999999999</v>
      </c>
      <c r="E88" s="2">
        <v>0.26500000000000001</v>
      </c>
      <c r="F88" s="2">
        <v>2.1999999999999999E-2</v>
      </c>
      <c r="G88" s="2" t="s">
        <v>146</v>
      </c>
      <c r="H88" s="2" t="s">
        <v>146</v>
      </c>
      <c r="I88" s="2">
        <v>1.772</v>
      </c>
      <c r="J88" s="2" t="s">
        <v>146</v>
      </c>
      <c r="K88" s="2" t="s">
        <v>146</v>
      </c>
      <c r="L88" s="2" t="s">
        <v>146</v>
      </c>
      <c r="M88" s="2" t="s">
        <v>146</v>
      </c>
      <c r="N88" s="2" t="s">
        <v>49</v>
      </c>
      <c r="O88" s="2" t="s">
        <v>146</v>
      </c>
      <c r="P88" s="2" t="s">
        <v>49</v>
      </c>
      <c r="Q88" s="2" t="s">
        <v>146</v>
      </c>
      <c r="R88" s="2" t="s">
        <v>49</v>
      </c>
      <c r="S88" s="2" t="s">
        <v>146</v>
      </c>
      <c r="U88" s="2">
        <f t="shared" si="2"/>
        <v>2.0609999999999999</v>
      </c>
      <c r="V88" s="2">
        <f t="shared" si="3"/>
        <v>0</v>
      </c>
    </row>
    <row r="89" spans="1:22" ht="15" customHeight="1" x14ac:dyDescent="0.45">
      <c r="A89" s="2" t="s">
        <v>571</v>
      </c>
      <c r="B89" s="2" t="s">
        <v>574</v>
      </c>
      <c r="C89" s="2">
        <v>2019</v>
      </c>
      <c r="D89" s="2">
        <v>10.939</v>
      </c>
      <c r="E89" s="2">
        <v>4.3280000000000003</v>
      </c>
      <c r="F89" s="2">
        <v>0.442</v>
      </c>
      <c r="G89" s="2">
        <v>0</v>
      </c>
      <c r="H89" s="2">
        <v>0</v>
      </c>
      <c r="I89" s="2">
        <v>4.1070000000000002</v>
      </c>
      <c r="J89" s="2">
        <v>2.4950000000000001</v>
      </c>
      <c r="K89" s="2">
        <v>0</v>
      </c>
      <c r="L89" s="2">
        <v>0</v>
      </c>
      <c r="M89" s="2">
        <v>7.6999999999999999E-2</v>
      </c>
      <c r="N89" s="2" t="s">
        <v>49</v>
      </c>
      <c r="O89" s="2" t="s">
        <v>146</v>
      </c>
      <c r="P89" s="2" t="s">
        <v>49</v>
      </c>
      <c r="Q89" s="2" t="s">
        <v>146</v>
      </c>
      <c r="R89" s="2" t="s">
        <v>49</v>
      </c>
      <c r="S89" s="2" t="s">
        <v>146</v>
      </c>
      <c r="U89" s="2">
        <f t="shared" si="2"/>
        <v>10.939</v>
      </c>
      <c r="V89" s="2">
        <f t="shared" si="3"/>
        <v>0</v>
      </c>
    </row>
    <row r="90" spans="1:22" ht="15" customHeight="1" x14ac:dyDescent="0.45">
      <c r="A90" s="2" t="s">
        <v>571</v>
      </c>
      <c r="B90" s="2" t="s">
        <v>573</v>
      </c>
      <c r="C90" s="2">
        <v>2019</v>
      </c>
      <c r="D90" s="2">
        <v>6.6289999999999996</v>
      </c>
      <c r="E90" s="2">
        <v>3.528</v>
      </c>
      <c r="F90" s="2">
        <v>0.159</v>
      </c>
      <c r="G90" s="2">
        <v>0</v>
      </c>
      <c r="H90" s="2">
        <v>0</v>
      </c>
      <c r="I90" s="2">
        <v>2.3220000000000001</v>
      </c>
      <c r="J90" s="2">
        <v>0.89600000000000002</v>
      </c>
      <c r="K90" s="2">
        <v>0</v>
      </c>
      <c r="L90" s="2">
        <v>0</v>
      </c>
      <c r="M90" s="2">
        <v>0</v>
      </c>
      <c r="N90" s="2" t="s">
        <v>49</v>
      </c>
      <c r="O90" s="2" t="s">
        <v>146</v>
      </c>
      <c r="P90" s="2" t="s">
        <v>49</v>
      </c>
      <c r="Q90" s="2" t="s">
        <v>146</v>
      </c>
      <c r="R90" s="2" t="s">
        <v>49</v>
      </c>
      <c r="S90" s="2" t="s">
        <v>146</v>
      </c>
      <c r="U90" s="2">
        <f t="shared" si="2"/>
        <v>6.6289999999999996</v>
      </c>
      <c r="V90" s="2">
        <f t="shared" si="3"/>
        <v>0</v>
      </c>
    </row>
    <row r="91" spans="1:22" ht="15" customHeight="1" x14ac:dyDescent="0.45">
      <c r="A91" s="2" t="s">
        <v>571</v>
      </c>
      <c r="B91" s="2" t="s">
        <v>572</v>
      </c>
      <c r="C91" s="2">
        <v>2019</v>
      </c>
      <c r="D91" s="2">
        <v>15.843999999999999</v>
      </c>
      <c r="E91" s="2">
        <v>3.8860000000000001</v>
      </c>
      <c r="F91" s="2">
        <v>0.23799999999999999</v>
      </c>
      <c r="G91" s="2">
        <v>0</v>
      </c>
      <c r="H91" s="2">
        <v>0</v>
      </c>
      <c r="I91" s="2">
        <v>2.3220000000000001</v>
      </c>
      <c r="J91" s="2">
        <v>1.877</v>
      </c>
      <c r="K91" s="2">
        <v>0</v>
      </c>
      <c r="L91" s="2">
        <v>0</v>
      </c>
      <c r="M91" s="2">
        <v>7.6029999999999998</v>
      </c>
      <c r="N91" s="2" t="s">
        <v>49</v>
      </c>
      <c r="O91" s="2" t="s">
        <v>146</v>
      </c>
      <c r="P91" s="2" t="s">
        <v>49</v>
      </c>
      <c r="Q91" s="2" t="s">
        <v>146</v>
      </c>
      <c r="R91" s="2" t="s">
        <v>49</v>
      </c>
      <c r="S91" s="2" t="s">
        <v>146</v>
      </c>
      <c r="U91" s="2">
        <f t="shared" si="2"/>
        <v>15.843999999999999</v>
      </c>
      <c r="V91" s="2">
        <f t="shared" si="3"/>
        <v>0</v>
      </c>
    </row>
    <row r="92" spans="1:22" ht="15" customHeight="1" x14ac:dyDescent="0.45">
      <c r="A92" s="2" t="s">
        <v>571</v>
      </c>
      <c r="B92" s="2" t="s">
        <v>570</v>
      </c>
      <c r="C92" s="2">
        <v>2019</v>
      </c>
      <c r="D92" s="2">
        <v>165.97499999999999</v>
      </c>
      <c r="E92" s="2">
        <v>85.55</v>
      </c>
      <c r="F92" s="2">
        <v>9.7059999999999995</v>
      </c>
      <c r="G92" s="2">
        <v>0</v>
      </c>
      <c r="H92" s="2">
        <v>0</v>
      </c>
      <c r="I92" s="2">
        <v>35.591000000000001</v>
      </c>
      <c r="J92" s="2">
        <v>27.803000000000001</v>
      </c>
      <c r="K92" s="2">
        <v>0</v>
      </c>
      <c r="L92" s="2">
        <v>0</v>
      </c>
      <c r="M92" s="2">
        <v>4.2539999999999996</v>
      </c>
      <c r="N92" s="2" t="s">
        <v>49</v>
      </c>
      <c r="O92" s="2" t="s">
        <v>146</v>
      </c>
      <c r="P92" s="2" t="s">
        <v>49</v>
      </c>
      <c r="Q92" s="2" t="s">
        <v>146</v>
      </c>
      <c r="R92" s="2" t="s">
        <v>49</v>
      </c>
      <c r="S92" s="2" t="s">
        <v>146</v>
      </c>
      <c r="U92" s="2">
        <f t="shared" si="2"/>
        <v>165.97499999999999</v>
      </c>
      <c r="V92" s="2">
        <f t="shared" si="3"/>
        <v>0</v>
      </c>
    </row>
    <row r="93" spans="1:22" ht="15" customHeight="1" x14ac:dyDescent="0.45">
      <c r="A93" s="2" t="s">
        <v>568</v>
      </c>
      <c r="B93" s="2" t="s">
        <v>567</v>
      </c>
      <c r="C93" s="2">
        <v>2019</v>
      </c>
      <c r="D93" s="2">
        <v>165</v>
      </c>
      <c r="E93" s="2">
        <v>67</v>
      </c>
      <c r="F93" s="2">
        <v>38</v>
      </c>
      <c r="G93" s="2">
        <v>6.6</v>
      </c>
      <c r="H93" s="2" t="s">
        <v>146</v>
      </c>
      <c r="I93" s="2">
        <v>29</v>
      </c>
      <c r="J93" s="2">
        <v>21</v>
      </c>
      <c r="K93" s="2">
        <v>1</v>
      </c>
      <c r="L93" s="2">
        <v>0</v>
      </c>
      <c r="M93" s="2">
        <v>1.8</v>
      </c>
      <c r="N93" s="2" t="s">
        <v>176</v>
      </c>
      <c r="O93" s="2" t="s">
        <v>146</v>
      </c>
      <c r="P93" s="2" t="s">
        <v>176</v>
      </c>
      <c r="Q93" s="2" t="s">
        <v>146</v>
      </c>
      <c r="R93" s="2" t="s">
        <v>176</v>
      </c>
      <c r="S93" s="2" t="s">
        <v>146</v>
      </c>
      <c r="U93" s="2">
        <f t="shared" si="2"/>
        <v>165</v>
      </c>
      <c r="V93" s="2">
        <f t="shared" si="3"/>
        <v>0</v>
      </c>
    </row>
    <row r="94" spans="1:22" ht="15" customHeight="1" x14ac:dyDescent="0.45">
      <c r="A94" s="2" t="s">
        <v>566</v>
      </c>
      <c r="B94" s="2" t="s">
        <v>565</v>
      </c>
      <c r="C94" s="2">
        <v>2019</v>
      </c>
      <c r="D94" s="2">
        <v>685</v>
      </c>
      <c r="E94" s="2">
        <v>364.4</v>
      </c>
      <c r="F94" s="2">
        <v>85.2</v>
      </c>
      <c r="G94" s="2" t="s">
        <v>146</v>
      </c>
      <c r="H94" s="2" t="s">
        <v>146</v>
      </c>
      <c r="I94" s="2">
        <v>97.9</v>
      </c>
      <c r="J94" s="2">
        <v>80.400000000000006</v>
      </c>
      <c r="K94" s="2">
        <v>8</v>
      </c>
      <c r="L94" s="2">
        <v>18.2</v>
      </c>
      <c r="M94" s="2">
        <v>30.9</v>
      </c>
      <c r="N94" s="2" t="s">
        <v>49</v>
      </c>
      <c r="O94" s="2" t="s">
        <v>146</v>
      </c>
      <c r="P94" s="2" t="s">
        <v>49</v>
      </c>
      <c r="Q94" s="2" t="s">
        <v>146</v>
      </c>
      <c r="R94" s="2" t="s">
        <v>49</v>
      </c>
      <c r="S94" s="2" t="s">
        <v>146</v>
      </c>
      <c r="U94" s="2">
        <f t="shared" si="2"/>
        <v>685</v>
      </c>
      <c r="V94" s="2">
        <f t="shared" si="3"/>
        <v>0</v>
      </c>
    </row>
    <row r="95" spans="1:22" ht="15" customHeight="1" x14ac:dyDescent="0.45">
      <c r="A95" s="2" t="s">
        <v>560</v>
      </c>
      <c r="B95" s="2" t="s">
        <v>564</v>
      </c>
      <c r="C95" s="2">
        <v>2019</v>
      </c>
      <c r="D95" s="2" t="s">
        <v>146</v>
      </c>
      <c r="E95" s="2" t="s">
        <v>146</v>
      </c>
      <c r="F95" s="2" t="s">
        <v>146</v>
      </c>
      <c r="G95" s="2" t="s">
        <v>146</v>
      </c>
      <c r="H95" s="2" t="s">
        <v>146</v>
      </c>
      <c r="I95" s="2" t="s">
        <v>146</v>
      </c>
      <c r="J95" s="2" t="s">
        <v>146</v>
      </c>
      <c r="K95" s="2" t="s">
        <v>146</v>
      </c>
      <c r="L95" s="2" t="s">
        <v>146</v>
      </c>
      <c r="M95" s="2" t="s">
        <v>146</v>
      </c>
      <c r="N95" s="2" t="s">
        <v>176</v>
      </c>
      <c r="O95" s="2" t="s">
        <v>146</v>
      </c>
      <c r="P95" s="2" t="s">
        <v>176</v>
      </c>
      <c r="Q95" s="2" t="s">
        <v>146</v>
      </c>
      <c r="R95" s="2" t="s">
        <v>176</v>
      </c>
      <c r="S95" s="2" t="s">
        <v>146</v>
      </c>
      <c r="U95" s="2">
        <f t="shared" si="2"/>
        <v>0</v>
      </c>
      <c r="V95" s="2">
        <f t="shared" si="3"/>
        <v>0</v>
      </c>
    </row>
    <row r="96" spans="1:22" ht="15" customHeight="1" x14ac:dyDescent="0.45">
      <c r="A96" s="2" t="s">
        <v>560</v>
      </c>
      <c r="B96" s="2" t="s">
        <v>563</v>
      </c>
      <c r="C96" s="2">
        <v>2019</v>
      </c>
      <c r="D96" s="2">
        <v>3155.53</v>
      </c>
      <c r="E96" s="2">
        <v>1904</v>
      </c>
      <c r="F96" s="2">
        <v>210</v>
      </c>
      <c r="G96" s="2">
        <v>169</v>
      </c>
      <c r="H96" s="2" t="s">
        <v>146</v>
      </c>
      <c r="I96" s="2">
        <v>297</v>
      </c>
      <c r="J96" s="2">
        <v>398</v>
      </c>
      <c r="K96" s="2">
        <v>3</v>
      </c>
      <c r="L96" s="2" t="s">
        <v>146</v>
      </c>
      <c r="M96" s="2" t="s">
        <v>146</v>
      </c>
      <c r="N96" s="2" t="s">
        <v>1063</v>
      </c>
      <c r="O96" s="2">
        <v>29.6</v>
      </c>
      <c r="P96" s="2" t="s">
        <v>1062</v>
      </c>
      <c r="Q96" s="2">
        <v>22.5</v>
      </c>
      <c r="R96" s="2" t="s">
        <v>1061</v>
      </c>
      <c r="S96" s="2">
        <v>164.59</v>
      </c>
      <c r="U96" s="2">
        <f t="shared" si="2"/>
        <v>3155.53</v>
      </c>
      <c r="V96" s="2">
        <f t="shared" si="3"/>
        <v>216.69</v>
      </c>
    </row>
    <row r="97" spans="1:22" ht="15" customHeight="1" x14ac:dyDescent="0.45">
      <c r="A97" s="2" t="s">
        <v>560</v>
      </c>
      <c r="B97" s="2" t="s">
        <v>562</v>
      </c>
      <c r="C97" s="2">
        <v>2019</v>
      </c>
      <c r="D97" s="2">
        <v>158.6</v>
      </c>
      <c r="E97" s="2" t="s">
        <v>146</v>
      </c>
      <c r="F97" s="2" t="s">
        <v>146</v>
      </c>
      <c r="G97" s="2" t="s">
        <v>146</v>
      </c>
      <c r="H97" s="2" t="s">
        <v>146</v>
      </c>
      <c r="I97" s="2" t="s">
        <v>146</v>
      </c>
      <c r="J97" s="2" t="s">
        <v>146</v>
      </c>
      <c r="K97" s="2" t="s">
        <v>146</v>
      </c>
      <c r="L97" s="2" t="s">
        <v>146</v>
      </c>
      <c r="M97" s="2" t="s">
        <v>146</v>
      </c>
      <c r="N97" s="2" t="s">
        <v>176</v>
      </c>
      <c r="O97" s="2" t="s">
        <v>146</v>
      </c>
      <c r="P97" s="2" t="s">
        <v>176</v>
      </c>
      <c r="Q97" s="2" t="s">
        <v>146</v>
      </c>
      <c r="R97" s="2" t="s">
        <v>176</v>
      </c>
      <c r="S97" s="2" t="s">
        <v>146</v>
      </c>
      <c r="U97" s="2">
        <f t="shared" si="2"/>
        <v>158.6</v>
      </c>
      <c r="V97" s="2">
        <f t="shared" si="3"/>
        <v>0</v>
      </c>
    </row>
    <row r="98" spans="1:22" ht="15" customHeight="1" x14ac:dyDescent="0.45">
      <c r="A98" s="2" t="s">
        <v>560</v>
      </c>
      <c r="B98" s="2" t="s">
        <v>560</v>
      </c>
      <c r="C98" s="2">
        <v>2019</v>
      </c>
      <c r="D98" s="2" t="s">
        <v>146</v>
      </c>
      <c r="E98" s="2" t="s">
        <v>146</v>
      </c>
      <c r="F98" s="2" t="s">
        <v>146</v>
      </c>
      <c r="G98" s="2" t="s">
        <v>146</v>
      </c>
      <c r="H98" s="2" t="s">
        <v>146</v>
      </c>
      <c r="I98" s="2" t="s">
        <v>146</v>
      </c>
      <c r="J98" s="2" t="s">
        <v>146</v>
      </c>
      <c r="K98" s="2" t="s">
        <v>146</v>
      </c>
      <c r="L98" s="2" t="s">
        <v>146</v>
      </c>
      <c r="M98" s="2" t="s">
        <v>146</v>
      </c>
      <c r="N98" s="2" t="s">
        <v>49</v>
      </c>
      <c r="O98" s="2" t="s">
        <v>146</v>
      </c>
      <c r="P98" s="2" t="s">
        <v>49</v>
      </c>
      <c r="Q98" s="2" t="s">
        <v>146</v>
      </c>
      <c r="R98" s="2" t="s">
        <v>49</v>
      </c>
      <c r="S98" s="2" t="s">
        <v>146</v>
      </c>
      <c r="U98" s="2">
        <f t="shared" si="2"/>
        <v>0</v>
      </c>
      <c r="V98" s="2">
        <f t="shared" si="3"/>
        <v>0</v>
      </c>
    </row>
    <row r="99" spans="1:22" ht="15" customHeight="1" x14ac:dyDescent="0.45">
      <c r="A99" s="2" t="s">
        <v>560</v>
      </c>
      <c r="B99" s="2" t="s">
        <v>561</v>
      </c>
      <c r="C99" s="2">
        <v>2019</v>
      </c>
      <c r="D99" s="2" t="s">
        <v>146</v>
      </c>
      <c r="E99" s="2" t="s">
        <v>146</v>
      </c>
      <c r="F99" s="2" t="s">
        <v>146</v>
      </c>
      <c r="G99" s="2" t="s">
        <v>146</v>
      </c>
      <c r="H99" s="2" t="s">
        <v>146</v>
      </c>
      <c r="I99" s="2" t="s">
        <v>146</v>
      </c>
      <c r="J99" s="2" t="s">
        <v>146</v>
      </c>
      <c r="K99" s="2" t="s">
        <v>146</v>
      </c>
      <c r="L99" s="2" t="s">
        <v>146</v>
      </c>
      <c r="M99" s="2" t="s">
        <v>146</v>
      </c>
      <c r="N99" s="2" t="s">
        <v>176</v>
      </c>
      <c r="O99" s="2" t="s">
        <v>146</v>
      </c>
      <c r="P99" s="2" t="s">
        <v>176</v>
      </c>
      <c r="Q99" s="2" t="s">
        <v>146</v>
      </c>
      <c r="R99" s="2" t="s">
        <v>176</v>
      </c>
      <c r="S99" s="2" t="s">
        <v>146</v>
      </c>
      <c r="U99" s="2">
        <f t="shared" si="2"/>
        <v>0</v>
      </c>
      <c r="V99" s="2">
        <f t="shared" si="3"/>
        <v>0</v>
      </c>
    </row>
    <row r="100" spans="1:22" ht="15" customHeight="1" x14ac:dyDescent="0.45">
      <c r="A100" s="2" t="s">
        <v>560</v>
      </c>
      <c r="B100" s="2" t="s">
        <v>559</v>
      </c>
      <c r="C100" s="2">
        <v>2019</v>
      </c>
      <c r="D100" s="2" t="s">
        <v>146</v>
      </c>
      <c r="E100" s="2" t="s">
        <v>146</v>
      </c>
      <c r="F100" s="2" t="s">
        <v>146</v>
      </c>
      <c r="G100" s="2" t="s">
        <v>146</v>
      </c>
      <c r="H100" s="2" t="s">
        <v>146</v>
      </c>
      <c r="I100" s="2" t="s">
        <v>146</v>
      </c>
      <c r="J100" s="2" t="s">
        <v>146</v>
      </c>
      <c r="K100" s="2" t="s">
        <v>146</v>
      </c>
      <c r="L100" s="2" t="s">
        <v>146</v>
      </c>
      <c r="M100" s="2" t="s">
        <v>146</v>
      </c>
      <c r="N100" s="2" t="s">
        <v>176</v>
      </c>
      <c r="O100" s="2" t="s">
        <v>146</v>
      </c>
      <c r="P100" s="2" t="s">
        <v>176</v>
      </c>
      <c r="Q100" s="2" t="s">
        <v>146</v>
      </c>
      <c r="R100" s="2" t="s">
        <v>176</v>
      </c>
      <c r="S100" s="2" t="s">
        <v>146</v>
      </c>
      <c r="U100" s="2">
        <f t="shared" si="2"/>
        <v>0</v>
      </c>
      <c r="V100" s="2">
        <f t="shared" si="3"/>
        <v>0</v>
      </c>
    </row>
    <row r="101" spans="1:22" ht="15" customHeight="1" x14ac:dyDescent="0.45">
      <c r="A101" s="2" t="s">
        <v>556</v>
      </c>
      <c r="B101" s="2" t="s">
        <v>558</v>
      </c>
      <c r="C101" s="2">
        <v>2019</v>
      </c>
      <c r="D101" s="2">
        <v>98.884</v>
      </c>
      <c r="E101" s="2">
        <v>11.356999999999999</v>
      </c>
      <c r="F101" s="2">
        <v>9.4849999999999994</v>
      </c>
      <c r="G101" s="2">
        <v>68.927999999999997</v>
      </c>
      <c r="H101" s="2">
        <v>63.094000000000001</v>
      </c>
      <c r="I101" s="2">
        <v>4.8390000000000004</v>
      </c>
      <c r="J101" s="2">
        <v>1.873</v>
      </c>
      <c r="K101" s="2" t="s">
        <v>146</v>
      </c>
      <c r="L101" s="2" t="s">
        <v>146</v>
      </c>
      <c r="M101" s="2" t="s">
        <v>146</v>
      </c>
      <c r="N101" s="2" t="s">
        <v>176</v>
      </c>
      <c r="O101" s="2" t="s">
        <v>146</v>
      </c>
      <c r="P101" s="2" t="s">
        <v>176</v>
      </c>
      <c r="Q101" s="2" t="s">
        <v>146</v>
      </c>
      <c r="R101" s="2" t="s">
        <v>176</v>
      </c>
      <c r="S101" s="2" t="s">
        <v>146</v>
      </c>
      <c r="U101" s="2">
        <f t="shared" si="2"/>
        <v>98.884</v>
      </c>
      <c r="V101" s="2">
        <f t="shared" si="3"/>
        <v>0</v>
      </c>
    </row>
    <row r="102" spans="1:22" ht="15" customHeight="1" x14ac:dyDescent="0.45">
      <c r="A102" s="2" t="s">
        <v>556</v>
      </c>
      <c r="B102" s="2" t="s">
        <v>555</v>
      </c>
      <c r="C102" s="2">
        <v>2019</v>
      </c>
      <c r="D102" s="2">
        <v>2.4009999999999998</v>
      </c>
      <c r="E102" s="2">
        <v>1.034</v>
      </c>
      <c r="F102" s="2">
        <v>0.59</v>
      </c>
      <c r="G102" s="2">
        <v>0</v>
      </c>
      <c r="H102" s="2" t="s">
        <v>146</v>
      </c>
      <c r="I102" s="2">
        <v>0.77700000000000002</v>
      </c>
      <c r="J102" s="2">
        <v>0</v>
      </c>
      <c r="K102" s="2" t="s">
        <v>146</v>
      </c>
      <c r="L102" s="2" t="s">
        <v>146</v>
      </c>
      <c r="M102" s="2" t="s">
        <v>146</v>
      </c>
      <c r="N102" s="2" t="s">
        <v>176</v>
      </c>
      <c r="O102" s="2" t="s">
        <v>146</v>
      </c>
      <c r="P102" s="2" t="s">
        <v>176</v>
      </c>
      <c r="Q102" s="2" t="s">
        <v>146</v>
      </c>
      <c r="R102" s="2" t="s">
        <v>176</v>
      </c>
      <c r="S102" s="2" t="s">
        <v>146</v>
      </c>
      <c r="U102" s="2">
        <f t="shared" si="2"/>
        <v>2.4009999999999998</v>
      </c>
      <c r="V102" s="2">
        <f t="shared" si="3"/>
        <v>0</v>
      </c>
    </row>
    <row r="103" spans="1:22" ht="15" customHeight="1" x14ac:dyDescent="0.45">
      <c r="A103" s="2" t="s">
        <v>554</v>
      </c>
      <c r="B103" s="2" t="s">
        <v>553</v>
      </c>
      <c r="C103" s="2">
        <v>2019</v>
      </c>
      <c r="D103" s="2">
        <v>21.2</v>
      </c>
      <c r="E103" s="2">
        <v>8</v>
      </c>
      <c r="F103" s="2">
        <v>5.0999999999999996</v>
      </c>
      <c r="G103" s="2">
        <v>2.9</v>
      </c>
      <c r="H103" s="2" t="s">
        <v>146</v>
      </c>
      <c r="I103" s="2">
        <v>3.2</v>
      </c>
      <c r="J103" s="2">
        <v>2</v>
      </c>
      <c r="K103" s="2" t="s">
        <v>146</v>
      </c>
      <c r="L103" s="2" t="s">
        <v>146</v>
      </c>
      <c r="M103" s="2" t="s">
        <v>146</v>
      </c>
      <c r="N103" s="2" t="s">
        <v>49</v>
      </c>
      <c r="O103" s="2" t="s">
        <v>146</v>
      </c>
      <c r="P103" s="2" t="s">
        <v>49</v>
      </c>
      <c r="Q103" s="2" t="s">
        <v>146</v>
      </c>
      <c r="R103" s="2" t="s">
        <v>49</v>
      </c>
      <c r="S103" s="2" t="s">
        <v>146</v>
      </c>
      <c r="U103" s="2">
        <f t="shared" si="2"/>
        <v>21.2</v>
      </c>
      <c r="V103" s="2">
        <f t="shared" si="3"/>
        <v>0</v>
      </c>
    </row>
    <row r="104" spans="1:22" ht="15" customHeight="1" x14ac:dyDescent="0.45">
      <c r="A104" s="2" t="s">
        <v>550</v>
      </c>
      <c r="B104" s="2" t="s">
        <v>552</v>
      </c>
      <c r="C104" s="2">
        <v>2019</v>
      </c>
      <c r="D104" s="2">
        <v>10.96</v>
      </c>
      <c r="E104" s="2">
        <v>1.59</v>
      </c>
      <c r="F104" s="2">
        <v>4.42</v>
      </c>
      <c r="G104" s="2">
        <v>0.46</v>
      </c>
      <c r="H104" s="2" t="s">
        <v>146</v>
      </c>
      <c r="I104" s="2">
        <v>2.2000000000000002</v>
      </c>
      <c r="J104" s="2">
        <v>1.76</v>
      </c>
      <c r="K104" s="2" t="s">
        <v>146</v>
      </c>
      <c r="L104" s="2" t="s">
        <v>146</v>
      </c>
      <c r="M104" s="2">
        <v>0.53</v>
      </c>
      <c r="N104" s="2" t="s">
        <v>49</v>
      </c>
      <c r="O104" s="2" t="s">
        <v>146</v>
      </c>
      <c r="P104" s="2" t="s">
        <v>49</v>
      </c>
      <c r="Q104" s="2" t="s">
        <v>146</v>
      </c>
      <c r="R104" s="2" t="s">
        <v>49</v>
      </c>
      <c r="S104" s="2" t="s">
        <v>146</v>
      </c>
      <c r="U104" s="2">
        <f t="shared" si="2"/>
        <v>10.96</v>
      </c>
      <c r="V104" s="2">
        <f t="shared" si="3"/>
        <v>0</v>
      </c>
    </row>
    <row r="105" spans="1:22" ht="15" customHeight="1" x14ac:dyDescent="0.45">
      <c r="A105" s="2" t="s">
        <v>550</v>
      </c>
      <c r="B105" s="2" t="s">
        <v>551</v>
      </c>
      <c r="C105" s="2">
        <v>2019</v>
      </c>
      <c r="D105" s="2">
        <v>50.99</v>
      </c>
      <c r="E105" s="2">
        <v>15.47</v>
      </c>
      <c r="F105" s="2">
        <v>0.65</v>
      </c>
      <c r="G105" s="2">
        <v>21.58</v>
      </c>
      <c r="H105" s="2" t="s">
        <v>146</v>
      </c>
      <c r="I105" s="2">
        <v>6.61</v>
      </c>
      <c r="J105" s="2">
        <v>6.66</v>
      </c>
      <c r="K105" s="2" t="s">
        <v>146</v>
      </c>
      <c r="L105" s="2" t="s">
        <v>146</v>
      </c>
      <c r="M105" s="2" t="s">
        <v>1051</v>
      </c>
      <c r="N105" s="2" t="s">
        <v>49</v>
      </c>
      <c r="O105" s="2" t="s">
        <v>146</v>
      </c>
      <c r="P105" s="2" t="s">
        <v>49</v>
      </c>
      <c r="Q105" s="2" t="s">
        <v>146</v>
      </c>
      <c r="R105" s="2" t="s">
        <v>49</v>
      </c>
      <c r="S105" s="2" t="s">
        <v>146</v>
      </c>
      <c r="U105" s="2">
        <f t="shared" si="2"/>
        <v>50.99</v>
      </c>
      <c r="V105" s="2">
        <f t="shared" si="3"/>
        <v>0</v>
      </c>
    </row>
    <row r="106" spans="1:22" ht="15" customHeight="1" x14ac:dyDescent="0.45">
      <c r="A106" s="2" t="s">
        <v>550</v>
      </c>
      <c r="B106" s="2" t="s">
        <v>549</v>
      </c>
      <c r="C106" s="2">
        <v>2019</v>
      </c>
      <c r="D106" s="2">
        <v>0.27200000000000002</v>
      </c>
      <c r="E106" s="2" t="s">
        <v>146</v>
      </c>
      <c r="F106" s="2" t="s">
        <v>146</v>
      </c>
      <c r="G106" s="2" t="s">
        <v>146</v>
      </c>
      <c r="H106" s="2" t="s">
        <v>146</v>
      </c>
      <c r="I106" s="2">
        <v>0.27200000000000002</v>
      </c>
      <c r="J106" s="2" t="s">
        <v>146</v>
      </c>
      <c r="K106" s="2" t="s">
        <v>146</v>
      </c>
      <c r="L106" s="2" t="s">
        <v>146</v>
      </c>
      <c r="M106" s="2" t="s">
        <v>146</v>
      </c>
      <c r="N106" s="2" t="s">
        <v>49</v>
      </c>
      <c r="O106" s="2" t="s">
        <v>146</v>
      </c>
      <c r="P106" s="2" t="s">
        <v>49</v>
      </c>
      <c r="Q106" s="2" t="s">
        <v>146</v>
      </c>
      <c r="R106" s="2" t="s">
        <v>49</v>
      </c>
      <c r="S106" s="2" t="s">
        <v>146</v>
      </c>
      <c r="U106" s="2">
        <f t="shared" si="2"/>
        <v>0.27200000000000002</v>
      </c>
      <c r="V106" s="2">
        <f t="shared" si="3"/>
        <v>0</v>
      </c>
    </row>
    <row r="107" spans="1:22" ht="15" customHeight="1" x14ac:dyDescent="0.45">
      <c r="A107" s="2" t="s">
        <v>548</v>
      </c>
      <c r="B107" s="2" t="s">
        <v>547</v>
      </c>
      <c r="C107" s="2">
        <v>2019</v>
      </c>
      <c r="D107" s="2">
        <v>537.70000000000005</v>
      </c>
      <c r="E107" s="2">
        <v>256.2</v>
      </c>
      <c r="F107" s="2">
        <v>58.9</v>
      </c>
      <c r="G107" s="2">
        <v>121.6</v>
      </c>
      <c r="H107" s="2" t="s">
        <v>146</v>
      </c>
      <c r="I107" s="2">
        <v>51.4</v>
      </c>
      <c r="J107" s="2">
        <v>49.6</v>
      </c>
      <c r="K107" s="2" t="s">
        <v>146</v>
      </c>
      <c r="L107" s="2" t="s">
        <v>146</v>
      </c>
      <c r="M107" s="2" t="s">
        <v>146</v>
      </c>
      <c r="N107" s="2" t="s">
        <v>49</v>
      </c>
      <c r="O107" s="2" t="s">
        <v>146</v>
      </c>
      <c r="P107" s="2" t="s">
        <v>49</v>
      </c>
      <c r="Q107" s="2" t="s">
        <v>146</v>
      </c>
      <c r="R107" s="2" t="s">
        <v>49</v>
      </c>
      <c r="S107" s="2" t="s">
        <v>146</v>
      </c>
      <c r="U107" s="2">
        <f t="shared" si="2"/>
        <v>537.70000000000005</v>
      </c>
      <c r="V107" s="2">
        <f t="shared" si="3"/>
        <v>0</v>
      </c>
    </row>
    <row r="108" spans="1:22" ht="15" customHeight="1" x14ac:dyDescent="0.45">
      <c r="A108" s="2" t="s">
        <v>546</v>
      </c>
      <c r="B108" s="2" t="s">
        <v>545</v>
      </c>
      <c r="C108" s="2">
        <v>2019</v>
      </c>
      <c r="D108" s="2">
        <v>46.1</v>
      </c>
      <c r="E108" s="2">
        <v>15.7</v>
      </c>
      <c r="F108" s="2">
        <v>17.899999999999999</v>
      </c>
      <c r="G108" s="2">
        <v>0</v>
      </c>
      <c r="H108" s="2" t="s">
        <v>146</v>
      </c>
      <c r="I108" s="2">
        <v>8.4</v>
      </c>
      <c r="J108" s="2">
        <v>4.0999999999999996</v>
      </c>
      <c r="K108" s="2" t="s">
        <v>146</v>
      </c>
      <c r="L108" s="2" t="s">
        <v>146</v>
      </c>
      <c r="M108" s="2" t="s">
        <v>146</v>
      </c>
      <c r="N108" s="2" t="s">
        <v>49</v>
      </c>
      <c r="O108" s="2" t="s">
        <v>146</v>
      </c>
      <c r="P108" s="2" t="s">
        <v>49</v>
      </c>
      <c r="Q108" s="2" t="s">
        <v>146</v>
      </c>
      <c r="R108" s="2" t="s">
        <v>49</v>
      </c>
      <c r="S108" s="2" t="s">
        <v>146</v>
      </c>
      <c r="U108" s="2">
        <f t="shared" si="2"/>
        <v>46.1</v>
      </c>
      <c r="V108" s="2">
        <f t="shared" si="3"/>
        <v>0</v>
      </c>
    </row>
    <row r="109" spans="1:22" ht="15" customHeight="1" x14ac:dyDescent="0.45">
      <c r="A109" s="2" t="s">
        <v>543</v>
      </c>
      <c r="B109" s="2" t="s">
        <v>544</v>
      </c>
      <c r="C109" s="2">
        <v>2019</v>
      </c>
      <c r="D109" s="2">
        <v>14</v>
      </c>
      <c r="E109" s="2">
        <v>2</v>
      </c>
      <c r="F109" s="2">
        <v>0</v>
      </c>
      <c r="G109" s="2">
        <v>4</v>
      </c>
      <c r="H109" s="2" t="s">
        <v>146</v>
      </c>
      <c r="I109" s="2">
        <v>0</v>
      </c>
      <c r="J109" s="2">
        <v>8</v>
      </c>
      <c r="K109" s="2" t="s">
        <v>146</v>
      </c>
      <c r="L109" s="2" t="s">
        <v>146</v>
      </c>
      <c r="M109" s="2" t="s">
        <v>146</v>
      </c>
      <c r="N109" s="2" t="s">
        <v>49</v>
      </c>
      <c r="O109" s="2" t="s">
        <v>146</v>
      </c>
      <c r="P109" s="2" t="s">
        <v>49</v>
      </c>
      <c r="Q109" s="2" t="s">
        <v>146</v>
      </c>
      <c r="R109" s="2" t="s">
        <v>49</v>
      </c>
      <c r="S109" s="2" t="s">
        <v>146</v>
      </c>
      <c r="U109" s="2">
        <f t="shared" si="2"/>
        <v>14</v>
      </c>
      <c r="V109" s="2">
        <f t="shared" si="3"/>
        <v>0</v>
      </c>
    </row>
    <row r="110" spans="1:22" ht="15" customHeight="1" x14ac:dyDescent="0.45">
      <c r="A110" s="2" t="s">
        <v>543</v>
      </c>
      <c r="B110" s="2" t="s">
        <v>542</v>
      </c>
      <c r="C110" s="2">
        <v>2019</v>
      </c>
      <c r="D110" s="2">
        <v>43.280999999999999</v>
      </c>
      <c r="E110" s="2">
        <v>15</v>
      </c>
      <c r="F110" s="2">
        <v>7</v>
      </c>
      <c r="G110" s="2">
        <v>1</v>
      </c>
      <c r="H110" s="2" t="s">
        <v>146</v>
      </c>
      <c r="I110" s="2">
        <v>16</v>
      </c>
      <c r="J110" s="2">
        <v>4</v>
      </c>
      <c r="K110" s="2">
        <v>0</v>
      </c>
      <c r="L110" s="2" t="s">
        <v>146</v>
      </c>
      <c r="M110" s="2" t="s">
        <v>146</v>
      </c>
      <c r="N110" s="2" t="s">
        <v>49</v>
      </c>
      <c r="O110" s="2" t="s">
        <v>146</v>
      </c>
      <c r="P110" s="2" t="s">
        <v>49</v>
      </c>
      <c r="Q110" s="2" t="s">
        <v>146</v>
      </c>
      <c r="R110" s="2" t="s">
        <v>49</v>
      </c>
      <c r="S110" s="2" t="s">
        <v>146</v>
      </c>
      <c r="U110" s="2">
        <f t="shared" si="2"/>
        <v>43.280999999999999</v>
      </c>
      <c r="V110" s="2">
        <f t="shared" si="3"/>
        <v>0</v>
      </c>
    </row>
    <row r="111" spans="1:22" ht="15" customHeight="1" x14ac:dyDescent="0.45">
      <c r="A111" s="2" t="s">
        <v>538</v>
      </c>
      <c r="B111" s="2" t="s">
        <v>541</v>
      </c>
      <c r="C111" s="2">
        <v>2019</v>
      </c>
      <c r="D111" s="2">
        <v>55.9</v>
      </c>
      <c r="E111" s="2">
        <v>24.4</v>
      </c>
      <c r="F111" s="2">
        <v>10.7</v>
      </c>
      <c r="G111" s="2">
        <v>2.2599999999999998</v>
      </c>
      <c r="H111" s="2">
        <v>0</v>
      </c>
      <c r="I111" s="2">
        <v>12.1</v>
      </c>
      <c r="J111" s="2">
        <v>6.4</v>
      </c>
      <c r="K111" s="2">
        <v>0</v>
      </c>
      <c r="L111" s="2">
        <v>0</v>
      </c>
      <c r="M111" s="2">
        <v>0</v>
      </c>
      <c r="N111" s="2" t="s">
        <v>49</v>
      </c>
      <c r="O111" s="2" t="s">
        <v>146</v>
      </c>
      <c r="P111" s="2" t="s">
        <v>49</v>
      </c>
      <c r="Q111" s="2" t="s">
        <v>146</v>
      </c>
      <c r="R111" s="2" t="s">
        <v>49</v>
      </c>
      <c r="S111" s="2" t="s">
        <v>146</v>
      </c>
      <c r="U111" s="2">
        <f t="shared" si="2"/>
        <v>55.9</v>
      </c>
      <c r="V111" s="2">
        <f t="shared" si="3"/>
        <v>0</v>
      </c>
    </row>
    <row r="112" spans="1:22" ht="15" customHeight="1" x14ac:dyDescent="0.45">
      <c r="A112" s="2" t="s">
        <v>538</v>
      </c>
      <c r="B112" s="2" t="s">
        <v>540</v>
      </c>
      <c r="C112" s="2">
        <v>2019</v>
      </c>
      <c r="D112" s="2">
        <v>6.38</v>
      </c>
      <c r="E112" s="2">
        <v>4.8</v>
      </c>
      <c r="F112" s="2">
        <v>0.13</v>
      </c>
      <c r="G112" s="2">
        <v>0</v>
      </c>
      <c r="H112" s="2">
        <v>0</v>
      </c>
      <c r="I112" s="2">
        <v>1.22</v>
      </c>
      <c r="J112" s="2">
        <v>0.25</v>
      </c>
      <c r="K112" s="2">
        <v>0</v>
      </c>
      <c r="L112" s="2">
        <v>0</v>
      </c>
      <c r="M112" s="2">
        <v>0</v>
      </c>
      <c r="N112" s="2" t="s">
        <v>49</v>
      </c>
      <c r="O112" s="2" t="s">
        <v>146</v>
      </c>
      <c r="P112" s="2" t="s">
        <v>49</v>
      </c>
      <c r="Q112" s="2" t="s">
        <v>146</v>
      </c>
      <c r="R112" s="2" t="s">
        <v>49</v>
      </c>
      <c r="S112" s="2" t="s">
        <v>146</v>
      </c>
      <c r="U112" s="2">
        <f t="shared" si="2"/>
        <v>6.38</v>
      </c>
      <c r="V112" s="2">
        <f t="shared" si="3"/>
        <v>0</v>
      </c>
    </row>
    <row r="113" spans="1:22" ht="15" customHeight="1" x14ac:dyDescent="0.45">
      <c r="A113" s="2" t="s">
        <v>538</v>
      </c>
      <c r="B113" s="2" t="s">
        <v>539</v>
      </c>
      <c r="C113" s="2">
        <v>2019</v>
      </c>
      <c r="D113" s="2">
        <v>2.2400000000000002</v>
      </c>
      <c r="E113" s="2">
        <v>0.72</v>
      </c>
      <c r="F113" s="2">
        <v>0.23</v>
      </c>
      <c r="G113" s="2">
        <v>0.16</v>
      </c>
      <c r="H113" s="2" t="s">
        <v>146</v>
      </c>
      <c r="I113" s="2">
        <v>0.04</v>
      </c>
      <c r="J113" s="2">
        <v>1.1000000000000001</v>
      </c>
      <c r="K113" s="2" t="s">
        <v>146</v>
      </c>
      <c r="L113" s="2" t="s">
        <v>146</v>
      </c>
      <c r="M113" s="2" t="s">
        <v>146</v>
      </c>
      <c r="N113" s="2" t="s">
        <v>49</v>
      </c>
      <c r="O113" s="2" t="s">
        <v>146</v>
      </c>
      <c r="P113" s="2" t="s">
        <v>49</v>
      </c>
      <c r="Q113" s="2" t="s">
        <v>146</v>
      </c>
      <c r="R113" s="2" t="s">
        <v>49</v>
      </c>
      <c r="S113" s="2" t="s">
        <v>146</v>
      </c>
      <c r="U113" s="2">
        <f t="shared" si="2"/>
        <v>2.2400000000000002</v>
      </c>
      <c r="V113" s="2">
        <f t="shared" si="3"/>
        <v>0</v>
      </c>
    </row>
    <row r="114" spans="1:22" ht="15" customHeight="1" x14ac:dyDescent="0.45">
      <c r="A114" s="2" t="s">
        <v>538</v>
      </c>
      <c r="B114" s="2" t="s">
        <v>537</v>
      </c>
      <c r="C114" s="2">
        <v>2019</v>
      </c>
      <c r="D114" s="2">
        <v>49.8</v>
      </c>
      <c r="E114" s="2">
        <v>13</v>
      </c>
      <c r="F114" s="2">
        <v>6.3</v>
      </c>
      <c r="G114" s="2">
        <v>16.399999999999999</v>
      </c>
      <c r="H114" s="2" t="s">
        <v>146</v>
      </c>
      <c r="I114" s="2">
        <v>11.4</v>
      </c>
      <c r="J114" s="2">
        <v>2.6</v>
      </c>
      <c r="K114" s="2" t="s">
        <v>146</v>
      </c>
      <c r="L114" s="2" t="s">
        <v>146</v>
      </c>
      <c r="M114" s="2" t="s">
        <v>146</v>
      </c>
      <c r="N114" s="2" t="s">
        <v>49</v>
      </c>
      <c r="O114" s="2" t="s">
        <v>146</v>
      </c>
      <c r="P114" s="2" t="s">
        <v>49</v>
      </c>
      <c r="Q114" s="2" t="s">
        <v>146</v>
      </c>
      <c r="R114" s="2" t="s">
        <v>49</v>
      </c>
      <c r="S114" s="2" t="s">
        <v>146</v>
      </c>
      <c r="U114" s="2">
        <f t="shared" si="2"/>
        <v>49.8</v>
      </c>
      <c r="V114" s="2">
        <f t="shared" si="3"/>
        <v>0</v>
      </c>
    </row>
    <row r="115" spans="1:22" ht="15" customHeight="1" x14ac:dyDescent="0.45">
      <c r="A115" s="2" t="s">
        <v>536</v>
      </c>
      <c r="B115" s="2" t="s">
        <v>74</v>
      </c>
      <c r="C115" s="2">
        <v>2019</v>
      </c>
      <c r="D115" s="2" t="s">
        <v>49</v>
      </c>
      <c r="E115" s="2" t="s">
        <v>49</v>
      </c>
      <c r="F115" s="2" t="s">
        <v>49</v>
      </c>
      <c r="G115" s="2" t="s">
        <v>49</v>
      </c>
      <c r="H115" s="2" t="s">
        <v>49</v>
      </c>
      <c r="I115" s="2" t="s">
        <v>49</v>
      </c>
      <c r="J115" s="2" t="s">
        <v>49</v>
      </c>
      <c r="K115" s="2" t="s">
        <v>49</v>
      </c>
      <c r="L115" s="2" t="s">
        <v>49</v>
      </c>
      <c r="M115" s="2" t="s">
        <v>49</v>
      </c>
      <c r="N115" s="2" t="s">
        <v>49</v>
      </c>
      <c r="O115" s="2" t="s">
        <v>49</v>
      </c>
      <c r="P115" s="2" t="s">
        <v>49</v>
      </c>
      <c r="Q115" s="2" t="s">
        <v>49</v>
      </c>
      <c r="R115" s="2" t="s">
        <v>49</v>
      </c>
      <c r="S115" s="2" t="s">
        <v>49</v>
      </c>
      <c r="U115" s="2">
        <f t="shared" si="2"/>
        <v>0</v>
      </c>
      <c r="V115" s="2">
        <f t="shared" si="3"/>
        <v>0</v>
      </c>
    </row>
    <row r="116" spans="1:22" ht="15" customHeight="1" x14ac:dyDescent="0.45">
      <c r="A116" s="2" t="s">
        <v>535</v>
      </c>
      <c r="B116" s="2" t="s">
        <v>534</v>
      </c>
      <c r="C116" s="2">
        <v>2019</v>
      </c>
      <c r="D116" s="2">
        <v>32.500999999999998</v>
      </c>
      <c r="E116" s="2">
        <v>13.744</v>
      </c>
      <c r="F116" s="2">
        <v>8.6180000000000003</v>
      </c>
      <c r="G116" s="2">
        <v>2.7069999999999999</v>
      </c>
      <c r="H116" s="2">
        <v>0</v>
      </c>
      <c r="I116" s="2">
        <v>5.7629999999999999</v>
      </c>
      <c r="J116" s="2">
        <v>1.5580000000000001</v>
      </c>
      <c r="K116" s="2">
        <v>0.112</v>
      </c>
      <c r="L116" s="2">
        <v>0</v>
      </c>
      <c r="M116" s="2">
        <v>0</v>
      </c>
      <c r="N116" s="2" t="s">
        <v>49</v>
      </c>
      <c r="O116" s="2" t="s">
        <v>146</v>
      </c>
      <c r="P116" s="2" t="s">
        <v>49</v>
      </c>
      <c r="Q116" s="2" t="s">
        <v>146</v>
      </c>
      <c r="R116" s="2" t="s">
        <v>49</v>
      </c>
      <c r="S116" s="2" t="s">
        <v>146</v>
      </c>
      <c r="U116" s="2">
        <f t="shared" si="2"/>
        <v>32.500999999999998</v>
      </c>
      <c r="V116" s="2">
        <f t="shared" si="3"/>
        <v>0</v>
      </c>
    </row>
    <row r="117" spans="1:22" ht="15" customHeight="1" x14ac:dyDescent="0.45">
      <c r="A117" s="2" t="s">
        <v>533</v>
      </c>
      <c r="B117" s="2" t="s">
        <v>532</v>
      </c>
      <c r="C117" s="2">
        <v>2019</v>
      </c>
      <c r="D117" s="2">
        <v>180</v>
      </c>
      <c r="E117" s="2">
        <v>66.099999999999994</v>
      </c>
      <c r="F117" s="2">
        <v>34.1</v>
      </c>
      <c r="G117" s="2">
        <v>11.3</v>
      </c>
      <c r="H117" s="2" t="s">
        <v>146</v>
      </c>
      <c r="I117" s="2">
        <v>41.2</v>
      </c>
      <c r="J117" s="2">
        <v>19.2</v>
      </c>
      <c r="K117" s="2">
        <v>0.7</v>
      </c>
      <c r="L117" s="2">
        <v>7.6</v>
      </c>
      <c r="M117" s="2" t="s">
        <v>146</v>
      </c>
      <c r="N117" s="2" t="s">
        <v>49</v>
      </c>
      <c r="O117" s="2" t="s">
        <v>146</v>
      </c>
      <c r="P117" s="2" t="s">
        <v>49</v>
      </c>
      <c r="Q117" s="2" t="s">
        <v>146</v>
      </c>
      <c r="R117" s="2" t="s">
        <v>49</v>
      </c>
      <c r="S117" s="2" t="s">
        <v>146</v>
      </c>
      <c r="U117" s="2">
        <f t="shared" si="2"/>
        <v>180</v>
      </c>
      <c r="V117" s="2">
        <f t="shared" si="3"/>
        <v>0</v>
      </c>
    </row>
    <row r="118" spans="1:22" ht="15" customHeight="1" x14ac:dyDescent="0.45">
      <c r="A118" s="2" t="s">
        <v>530</v>
      </c>
      <c r="B118" s="2" t="s">
        <v>531</v>
      </c>
      <c r="C118" s="2">
        <v>2019</v>
      </c>
      <c r="D118" s="2">
        <v>173.8</v>
      </c>
      <c r="E118" s="2">
        <v>65.400000000000006</v>
      </c>
      <c r="F118" s="2">
        <v>41.7</v>
      </c>
      <c r="G118" s="2">
        <v>4</v>
      </c>
      <c r="H118" s="2" t="s">
        <v>146</v>
      </c>
      <c r="I118" s="2">
        <v>30.2</v>
      </c>
      <c r="J118" s="2">
        <v>30.4</v>
      </c>
      <c r="K118" s="2" t="s">
        <v>146</v>
      </c>
      <c r="L118" s="2">
        <v>2</v>
      </c>
      <c r="M118" s="2" t="s">
        <v>146</v>
      </c>
      <c r="N118" s="2" t="s">
        <v>49</v>
      </c>
      <c r="O118" s="2" t="s">
        <v>146</v>
      </c>
      <c r="P118" s="2" t="s">
        <v>49</v>
      </c>
      <c r="Q118" s="2" t="s">
        <v>146</v>
      </c>
      <c r="R118" s="2" t="s">
        <v>49</v>
      </c>
      <c r="S118" s="2" t="s">
        <v>146</v>
      </c>
      <c r="U118" s="2">
        <f t="shared" si="2"/>
        <v>173.8</v>
      </c>
      <c r="V118" s="2">
        <f t="shared" si="3"/>
        <v>0</v>
      </c>
    </row>
    <row r="119" spans="1:22" ht="15" customHeight="1" x14ac:dyDescent="0.45">
      <c r="A119" s="2" t="s">
        <v>530</v>
      </c>
      <c r="B119" s="2" t="s">
        <v>529</v>
      </c>
      <c r="C119" s="2">
        <v>2019</v>
      </c>
      <c r="D119" s="2">
        <v>16.899999999999999</v>
      </c>
      <c r="E119" s="2">
        <v>7.6</v>
      </c>
      <c r="F119" s="2">
        <v>3.5</v>
      </c>
      <c r="G119" s="2">
        <v>0.1</v>
      </c>
      <c r="H119" s="2" t="s">
        <v>146</v>
      </c>
      <c r="I119" s="2">
        <v>4.7</v>
      </c>
      <c r="J119" s="2">
        <v>1</v>
      </c>
      <c r="K119" s="2" t="s">
        <v>146</v>
      </c>
      <c r="L119" s="2" t="s">
        <v>146</v>
      </c>
      <c r="M119" s="2" t="s">
        <v>146</v>
      </c>
      <c r="N119" s="2" t="s">
        <v>49</v>
      </c>
      <c r="O119" s="2" t="s">
        <v>146</v>
      </c>
      <c r="P119" s="2" t="s">
        <v>49</v>
      </c>
      <c r="Q119" s="2" t="s">
        <v>146</v>
      </c>
      <c r="R119" s="2" t="s">
        <v>49</v>
      </c>
      <c r="S119" s="2" t="s">
        <v>146</v>
      </c>
      <c r="U119" s="2">
        <f t="shared" si="2"/>
        <v>16.899999999999999</v>
      </c>
      <c r="V119" s="2">
        <f t="shared" si="3"/>
        <v>0</v>
      </c>
    </row>
    <row r="120" spans="1:22" ht="15" customHeight="1" x14ac:dyDescent="0.45">
      <c r="A120" s="2" t="s">
        <v>528</v>
      </c>
      <c r="B120" s="2" t="s">
        <v>527</v>
      </c>
      <c r="C120" s="2">
        <v>2019</v>
      </c>
      <c r="D120" s="2">
        <v>41.533999999999999</v>
      </c>
      <c r="E120" s="2">
        <v>24.443000000000001</v>
      </c>
      <c r="F120" s="2">
        <v>1.6060000000000001</v>
      </c>
      <c r="G120" s="2" t="s">
        <v>146</v>
      </c>
      <c r="H120" s="2" t="s">
        <v>146</v>
      </c>
      <c r="I120" s="2">
        <v>6.6829999999999998</v>
      </c>
      <c r="J120" s="2">
        <v>4.4000000000000004</v>
      </c>
      <c r="K120" s="2" t="s">
        <v>146</v>
      </c>
      <c r="L120" s="2" t="s">
        <v>146</v>
      </c>
      <c r="M120" s="2">
        <v>4.4009999999999998</v>
      </c>
      <c r="N120" s="2" t="s">
        <v>49</v>
      </c>
      <c r="O120" s="2" t="s">
        <v>146</v>
      </c>
      <c r="P120" s="2" t="s">
        <v>49</v>
      </c>
      <c r="Q120" s="2" t="s">
        <v>146</v>
      </c>
      <c r="R120" s="2" t="s">
        <v>49</v>
      </c>
      <c r="S120" s="2" t="s">
        <v>146</v>
      </c>
      <c r="U120" s="2">
        <f t="shared" si="2"/>
        <v>41.533999999999999</v>
      </c>
      <c r="V120" s="2">
        <f t="shared" si="3"/>
        <v>0</v>
      </c>
    </row>
    <row r="121" spans="1:22" ht="15" customHeight="1" x14ac:dyDescent="0.45">
      <c r="A121" s="2" t="s">
        <v>526</v>
      </c>
      <c r="B121" s="2" t="s">
        <v>525</v>
      </c>
      <c r="C121" s="2">
        <v>2019</v>
      </c>
      <c r="D121" s="2">
        <v>36.75</v>
      </c>
      <c r="E121" s="2" t="s">
        <v>146</v>
      </c>
      <c r="F121" s="2" t="s">
        <v>49</v>
      </c>
      <c r="G121" s="2" t="s">
        <v>49</v>
      </c>
      <c r="H121" s="2">
        <v>0</v>
      </c>
      <c r="I121" s="2">
        <v>0</v>
      </c>
      <c r="J121" s="2" t="s">
        <v>49</v>
      </c>
      <c r="K121" s="2">
        <v>0</v>
      </c>
      <c r="L121" s="2">
        <v>0</v>
      </c>
      <c r="M121" s="2">
        <v>0</v>
      </c>
      <c r="N121" s="2" t="s">
        <v>49</v>
      </c>
      <c r="O121" s="2" t="s">
        <v>146</v>
      </c>
      <c r="P121" s="2" t="s">
        <v>49</v>
      </c>
      <c r="Q121" s="2" t="s">
        <v>146</v>
      </c>
      <c r="R121" s="2" t="s">
        <v>49</v>
      </c>
      <c r="S121" s="2" t="s">
        <v>146</v>
      </c>
      <c r="U121" s="2">
        <f t="shared" si="2"/>
        <v>36.75</v>
      </c>
      <c r="V121" s="2">
        <f t="shared" si="3"/>
        <v>0</v>
      </c>
    </row>
    <row r="122" spans="1:22" ht="15" customHeight="1" x14ac:dyDescent="0.45">
      <c r="A122" s="2" t="s">
        <v>520</v>
      </c>
      <c r="B122" s="2" t="s">
        <v>524</v>
      </c>
      <c r="C122" s="2">
        <v>2019</v>
      </c>
      <c r="D122" s="2" t="s">
        <v>146</v>
      </c>
      <c r="E122" s="2" t="s">
        <v>146</v>
      </c>
      <c r="F122" s="2" t="s">
        <v>146</v>
      </c>
      <c r="G122" s="2" t="s">
        <v>146</v>
      </c>
      <c r="H122" s="2" t="s">
        <v>146</v>
      </c>
      <c r="I122" s="2" t="s">
        <v>146</v>
      </c>
      <c r="J122" s="2" t="s">
        <v>146</v>
      </c>
      <c r="K122" s="2" t="s">
        <v>146</v>
      </c>
      <c r="L122" s="2" t="s">
        <v>146</v>
      </c>
      <c r="M122" s="2" t="s">
        <v>146</v>
      </c>
      <c r="N122" s="2" t="s">
        <v>49</v>
      </c>
      <c r="O122" s="2" t="s">
        <v>146</v>
      </c>
      <c r="P122" s="2" t="s">
        <v>49</v>
      </c>
      <c r="Q122" s="2" t="s">
        <v>146</v>
      </c>
      <c r="R122" s="2" t="s">
        <v>49</v>
      </c>
      <c r="S122" s="2" t="s">
        <v>146</v>
      </c>
      <c r="U122" s="2">
        <f t="shared" si="2"/>
        <v>0</v>
      </c>
      <c r="V122" s="2">
        <f t="shared" si="3"/>
        <v>0</v>
      </c>
    </row>
    <row r="123" spans="1:22" ht="15" customHeight="1" x14ac:dyDescent="0.45">
      <c r="A123" s="2" t="s">
        <v>520</v>
      </c>
      <c r="B123" s="2" t="s">
        <v>523</v>
      </c>
      <c r="C123" s="2">
        <v>2019</v>
      </c>
      <c r="D123" s="2">
        <v>17.995000000000001</v>
      </c>
      <c r="E123" s="2">
        <v>7.944</v>
      </c>
      <c r="F123" s="2">
        <v>2.2189999999999999</v>
      </c>
      <c r="G123" s="2">
        <v>0.56999999999999995</v>
      </c>
      <c r="H123" s="2">
        <v>0</v>
      </c>
      <c r="I123" s="2">
        <v>5.0910000000000002</v>
      </c>
      <c r="J123" s="2">
        <v>2.1709999999999998</v>
      </c>
      <c r="K123" s="2">
        <v>0</v>
      </c>
      <c r="L123" s="2">
        <v>0</v>
      </c>
      <c r="M123" s="2">
        <v>0</v>
      </c>
      <c r="N123" s="2" t="s">
        <v>49</v>
      </c>
      <c r="O123" s="2" t="s">
        <v>146</v>
      </c>
      <c r="P123" s="2" t="s">
        <v>49</v>
      </c>
      <c r="Q123" s="2" t="s">
        <v>146</v>
      </c>
      <c r="R123" s="2" t="s">
        <v>49</v>
      </c>
      <c r="S123" s="2" t="s">
        <v>146</v>
      </c>
      <c r="U123" s="2">
        <f t="shared" si="2"/>
        <v>17.995000000000001</v>
      </c>
      <c r="V123" s="2">
        <f t="shared" si="3"/>
        <v>0</v>
      </c>
    </row>
    <row r="124" spans="1:22" ht="15" customHeight="1" x14ac:dyDescent="0.45">
      <c r="A124" s="2" t="s">
        <v>520</v>
      </c>
      <c r="B124" s="2" t="s">
        <v>522</v>
      </c>
      <c r="C124" s="2">
        <v>2019</v>
      </c>
      <c r="D124" s="2">
        <v>56.55</v>
      </c>
      <c r="E124" s="2">
        <v>20.46</v>
      </c>
      <c r="F124" s="2">
        <v>4.2809999999999997</v>
      </c>
      <c r="G124" s="2">
        <v>0.78400000000000003</v>
      </c>
      <c r="H124" s="2">
        <v>0</v>
      </c>
      <c r="I124" s="2">
        <v>8.452</v>
      </c>
      <c r="J124" s="2">
        <v>22.574000000000002</v>
      </c>
      <c r="K124" s="2">
        <v>0</v>
      </c>
      <c r="L124" s="2">
        <v>0</v>
      </c>
      <c r="M124" s="2">
        <v>0</v>
      </c>
      <c r="N124" s="2" t="s">
        <v>49</v>
      </c>
      <c r="O124" s="2" t="s">
        <v>146</v>
      </c>
      <c r="P124" s="2" t="s">
        <v>49</v>
      </c>
      <c r="Q124" s="2" t="s">
        <v>146</v>
      </c>
      <c r="R124" s="2" t="s">
        <v>49</v>
      </c>
      <c r="S124" s="2" t="s">
        <v>146</v>
      </c>
      <c r="U124" s="2">
        <f t="shared" si="2"/>
        <v>56.55</v>
      </c>
      <c r="V124" s="2">
        <f t="shared" si="3"/>
        <v>0</v>
      </c>
    </row>
    <row r="125" spans="1:22" ht="15" customHeight="1" x14ac:dyDescent="0.45">
      <c r="A125" s="2" t="s">
        <v>520</v>
      </c>
      <c r="B125" s="2" t="s">
        <v>521</v>
      </c>
      <c r="C125" s="2">
        <v>2019</v>
      </c>
      <c r="D125" s="2">
        <v>547.01</v>
      </c>
      <c r="E125" s="2">
        <v>262.25</v>
      </c>
      <c r="F125" s="2">
        <v>89.04</v>
      </c>
      <c r="G125" s="2">
        <v>16.760000000000002</v>
      </c>
      <c r="H125" s="2">
        <v>0</v>
      </c>
      <c r="I125" s="2">
        <v>60.26</v>
      </c>
      <c r="J125" s="2">
        <v>117.08</v>
      </c>
      <c r="K125" s="2">
        <v>1.63</v>
      </c>
      <c r="L125" s="2">
        <v>0</v>
      </c>
      <c r="M125" s="2">
        <v>0</v>
      </c>
      <c r="N125" s="2" t="s">
        <v>49</v>
      </c>
      <c r="O125" s="2" t="s">
        <v>146</v>
      </c>
      <c r="P125" s="2" t="s">
        <v>49</v>
      </c>
      <c r="Q125" s="2" t="s">
        <v>146</v>
      </c>
      <c r="R125" s="2" t="s">
        <v>49</v>
      </c>
      <c r="S125" s="2" t="s">
        <v>146</v>
      </c>
      <c r="U125" s="2">
        <f t="shared" si="2"/>
        <v>547.01</v>
      </c>
      <c r="V125" s="2">
        <f t="shared" si="3"/>
        <v>0</v>
      </c>
    </row>
    <row r="126" spans="1:22" ht="15" customHeight="1" x14ac:dyDescent="0.45">
      <c r="A126" s="2" t="s">
        <v>520</v>
      </c>
      <c r="B126" s="2" t="s">
        <v>519</v>
      </c>
      <c r="C126" s="2">
        <v>2019</v>
      </c>
      <c r="D126" s="2">
        <v>1.5760000000000001</v>
      </c>
      <c r="E126" s="2" t="s">
        <v>146</v>
      </c>
      <c r="F126" s="2" t="s">
        <v>146</v>
      </c>
      <c r="G126" s="2" t="s">
        <v>146</v>
      </c>
      <c r="H126" s="2" t="s">
        <v>146</v>
      </c>
      <c r="I126" s="2" t="s">
        <v>146</v>
      </c>
      <c r="J126" s="2">
        <v>1.5760000000000001</v>
      </c>
      <c r="K126" s="2" t="s">
        <v>146</v>
      </c>
      <c r="L126" s="2" t="s">
        <v>146</v>
      </c>
      <c r="M126" s="2" t="s">
        <v>146</v>
      </c>
      <c r="N126" s="2" t="s">
        <v>49</v>
      </c>
      <c r="O126" s="2" t="s">
        <v>146</v>
      </c>
      <c r="P126" s="2" t="s">
        <v>49</v>
      </c>
      <c r="Q126" s="2" t="s">
        <v>146</v>
      </c>
      <c r="R126" s="2" t="s">
        <v>49</v>
      </c>
      <c r="S126" s="2" t="s">
        <v>146</v>
      </c>
      <c r="U126" s="2">
        <f t="shared" si="2"/>
        <v>1.5760000000000001</v>
      </c>
      <c r="V126" s="2">
        <f t="shared" si="3"/>
        <v>0</v>
      </c>
    </row>
    <row r="127" spans="1:22" ht="15" customHeight="1" x14ac:dyDescent="0.45">
      <c r="A127" s="2" t="s">
        <v>518</v>
      </c>
      <c r="B127" s="2" t="s">
        <v>77</v>
      </c>
      <c r="C127" s="2">
        <v>2019</v>
      </c>
      <c r="D127" s="2">
        <v>54.4</v>
      </c>
      <c r="E127" s="2">
        <v>19.2</v>
      </c>
      <c r="F127" s="2">
        <v>6.6</v>
      </c>
      <c r="G127" s="2">
        <v>5.5</v>
      </c>
      <c r="H127" s="2" t="s">
        <v>146</v>
      </c>
      <c r="I127" s="2">
        <v>18</v>
      </c>
      <c r="J127" s="2">
        <v>5.0999999999999996</v>
      </c>
      <c r="K127" s="2" t="s">
        <v>146</v>
      </c>
      <c r="L127" s="2" t="s">
        <v>146</v>
      </c>
      <c r="M127" s="2" t="s">
        <v>146</v>
      </c>
      <c r="N127" s="2" t="s">
        <v>49</v>
      </c>
      <c r="O127" s="2" t="s">
        <v>146</v>
      </c>
      <c r="P127" s="2" t="s">
        <v>49</v>
      </c>
      <c r="Q127" s="2" t="s">
        <v>146</v>
      </c>
      <c r="R127" s="2" t="s">
        <v>49</v>
      </c>
      <c r="S127" s="2" t="s">
        <v>146</v>
      </c>
      <c r="U127" s="2">
        <f t="shared" si="2"/>
        <v>54.4</v>
      </c>
      <c r="V127" s="2">
        <f t="shared" si="3"/>
        <v>0</v>
      </c>
    </row>
    <row r="128" spans="1:22" ht="15" customHeight="1" x14ac:dyDescent="0.45">
      <c r="A128" s="2" t="s">
        <v>515</v>
      </c>
      <c r="B128" s="2" t="s">
        <v>517</v>
      </c>
      <c r="C128" s="2">
        <v>2019</v>
      </c>
      <c r="D128" s="2">
        <v>11.73</v>
      </c>
      <c r="E128" s="2">
        <v>6.53</v>
      </c>
      <c r="F128" s="2">
        <v>2.5</v>
      </c>
      <c r="G128" s="2" t="s">
        <v>146</v>
      </c>
      <c r="H128" s="2" t="s">
        <v>146</v>
      </c>
      <c r="I128" s="2">
        <v>1.5</v>
      </c>
      <c r="J128" s="2">
        <v>1.2</v>
      </c>
      <c r="K128" s="2" t="s">
        <v>146</v>
      </c>
      <c r="L128" s="2" t="s">
        <v>146</v>
      </c>
      <c r="M128" s="2" t="s">
        <v>146</v>
      </c>
      <c r="N128" s="2" t="s">
        <v>49</v>
      </c>
      <c r="O128" s="2" t="s">
        <v>146</v>
      </c>
      <c r="P128" s="2" t="s">
        <v>49</v>
      </c>
      <c r="Q128" s="2" t="s">
        <v>146</v>
      </c>
      <c r="R128" s="2" t="s">
        <v>49</v>
      </c>
      <c r="S128" s="2" t="s">
        <v>146</v>
      </c>
      <c r="U128" s="2">
        <f t="shared" si="2"/>
        <v>11.73</v>
      </c>
      <c r="V128" s="2">
        <f t="shared" si="3"/>
        <v>0</v>
      </c>
    </row>
    <row r="129" spans="1:22" ht="15" customHeight="1" x14ac:dyDescent="0.45">
      <c r="A129" s="2" t="s">
        <v>515</v>
      </c>
      <c r="B129" s="2" t="s">
        <v>516</v>
      </c>
      <c r="C129" s="2">
        <v>2019</v>
      </c>
      <c r="D129" s="2">
        <v>676.178</v>
      </c>
      <c r="E129" s="2">
        <v>289.23</v>
      </c>
      <c r="F129" s="2">
        <v>80.36</v>
      </c>
      <c r="G129" s="2">
        <v>25.5</v>
      </c>
      <c r="H129" s="2" t="s">
        <v>146</v>
      </c>
      <c r="I129" s="2">
        <v>111.69</v>
      </c>
      <c r="J129" s="2">
        <v>168.44</v>
      </c>
      <c r="K129" s="2">
        <v>0.96</v>
      </c>
      <c r="L129" s="2" t="s">
        <v>1051</v>
      </c>
      <c r="M129" s="2" t="s">
        <v>146</v>
      </c>
      <c r="N129" s="2" t="s">
        <v>49</v>
      </c>
      <c r="O129" s="2" t="s">
        <v>146</v>
      </c>
      <c r="P129" s="2" t="s">
        <v>49</v>
      </c>
      <c r="Q129" s="2" t="s">
        <v>146</v>
      </c>
      <c r="R129" s="2" t="s">
        <v>49</v>
      </c>
      <c r="S129" s="2" t="s">
        <v>146</v>
      </c>
      <c r="U129" s="2">
        <f t="shared" si="2"/>
        <v>676.178</v>
      </c>
      <c r="V129" s="2">
        <f t="shared" si="3"/>
        <v>0</v>
      </c>
    </row>
    <row r="130" spans="1:22" ht="15" customHeight="1" x14ac:dyDescent="0.45">
      <c r="A130" s="2" t="s">
        <v>515</v>
      </c>
      <c r="B130" s="2" t="s">
        <v>514</v>
      </c>
      <c r="C130" s="2">
        <v>2019</v>
      </c>
      <c r="D130" s="2">
        <v>5.117</v>
      </c>
      <c r="E130" s="2" t="s">
        <v>146</v>
      </c>
      <c r="F130" s="2" t="s">
        <v>146</v>
      </c>
      <c r="G130" s="2" t="s">
        <v>146</v>
      </c>
      <c r="H130" s="2" t="s">
        <v>146</v>
      </c>
      <c r="I130" s="2" t="s">
        <v>146</v>
      </c>
      <c r="J130" s="2">
        <v>5.117</v>
      </c>
      <c r="K130" s="2" t="s">
        <v>146</v>
      </c>
      <c r="L130" s="2" t="s">
        <v>146</v>
      </c>
      <c r="M130" s="2" t="s">
        <v>146</v>
      </c>
      <c r="N130" s="2" t="s">
        <v>49</v>
      </c>
      <c r="O130" s="2" t="s">
        <v>146</v>
      </c>
      <c r="P130" s="2" t="s">
        <v>49</v>
      </c>
      <c r="Q130" s="2" t="s">
        <v>146</v>
      </c>
      <c r="R130" s="2" t="s">
        <v>49</v>
      </c>
      <c r="S130" s="2" t="s">
        <v>146</v>
      </c>
      <c r="U130" s="2">
        <f t="shared" si="2"/>
        <v>5.117</v>
      </c>
      <c r="V130" s="2">
        <f t="shared" si="3"/>
        <v>0</v>
      </c>
    </row>
    <row r="131" spans="1:22" ht="15" customHeight="1" x14ac:dyDescent="0.45">
      <c r="A131" s="2" t="s">
        <v>513</v>
      </c>
      <c r="B131" s="2" t="s">
        <v>512</v>
      </c>
      <c r="C131" s="2">
        <v>2019</v>
      </c>
      <c r="D131" s="2">
        <v>355.1</v>
      </c>
      <c r="E131" s="2">
        <v>176.2</v>
      </c>
      <c r="F131" s="2">
        <v>37.799999999999997</v>
      </c>
      <c r="G131" s="2">
        <v>18</v>
      </c>
      <c r="H131" s="2">
        <v>0</v>
      </c>
      <c r="I131" s="2">
        <v>58.7</v>
      </c>
      <c r="J131" s="2">
        <v>63.4</v>
      </c>
      <c r="K131" s="2">
        <v>1</v>
      </c>
      <c r="L131" s="2" t="s">
        <v>146</v>
      </c>
      <c r="M131" s="2" t="s">
        <v>146</v>
      </c>
      <c r="N131" s="2" t="s">
        <v>176</v>
      </c>
      <c r="O131" s="2" t="s">
        <v>146</v>
      </c>
      <c r="P131" s="2" t="s">
        <v>176</v>
      </c>
      <c r="Q131" s="2" t="s">
        <v>146</v>
      </c>
      <c r="R131" s="2" t="s">
        <v>176</v>
      </c>
      <c r="S131" s="2" t="s">
        <v>146</v>
      </c>
      <c r="U131" s="2">
        <f t="shared" ref="U131:U194" si="4">IFERROR(D131/1,0)</f>
        <v>355.1</v>
      </c>
      <c r="V131" s="2">
        <f t="shared" ref="V131:V194" si="5">IFERROR(O131/1,0)+IFERROR(Q131/1,0)+IFERROR(S131/1,0)</f>
        <v>0</v>
      </c>
    </row>
    <row r="132" spans="1:22" ht="15" customHeight="1" x14ac:dyDescent="0.45">
      <c r="A132" s="2" t="s">
        <v>511</v>
      </c>
      <c r="B132" s="2" t="s">
        <v>80</v>
      </c>
      <c r="C132" s="2">
        <v>2019</v>
      </c>
      <c r="D132" s="2">
        <v>14.8</v>
      </c>
      <c r="E132" s="2">
        <v>14.488</v>
      </c>
      <c r="F132" s="2" t="s">
        <v>146</v>
      </c>
      <c r="G132" s="2">
        <v>0.318</v>
      </c>
      <c r="H132" s="2" t="s">
        <v>146</v>
      </c>
      <c r="I132" s="2" t="s">
        <v>146</v>
      </c>
      <c r="J132" s="2" t="s">
        <v>146</v>
      </c>
      <c r="K132" s="2" t="s">
        <v>146</v>
      </c>
      <c r="L132" s="2" t="s">
        <v>146</v>
      </c>
      <c r="M132" s="2" t="s">
        <v>146</v>
      </c>
      <c r="N132" s="2" t="s">
        <v>49</v>
      </c>
      <c r="O132" s="2" t="s">
        <v>146</v>
      </c>
      <c r="P132" s="2" t="s">
        <v>49</v>
      </c>
      <c r="Q132" s="2" t="s">
        <v>146</v>
      </c>
      <c r="R132" s="2" t="s">
        <v>49</v>
      </c>
      <c r="S132" s="2" t="s">
        <v>146</v>
      </c>
      <c r="U132" s="2">
        <f t="shared" si="4"/>
        <v>14.8</v>
      </c>
      <c r="V132" s="2">
        <f t="shared" si="5"/>
        <v>0</v>
      </c>
    </row>
    <row r="133" spans="1:22" ht="15" customHeight="1" x14ac:dyDescent="0.45">
      <c r="A133" s="2" t="s">
        <v>510</v>
      </c>
      <c r="B133" s="2" t="s">
        <v>509</v>
      </c>
      <c r="C133" s="2">
        <v>2019</v>
      </c>
      <c r="D133" s="2">
        <v>161.499</v>
      </c>
      <c r="E133" s="2">
        <v>63.802</v>
      </c>
      <c r="F133" s="2">
        <v>16.768999999999998</v>
      </c>
      <c r="G133" s="2">
        <v>6.2510000000000003</v>
      </c>
      <c r="H133" s="2">
        <v>0</v>
      </c>
      <c r="I133" s="2">
        <v>30.805</v>
      </c>
      <c r="J133" s="2">
        <v>43.872</v>
      </c>
      <c r="K133" s="2">
        <v>0</v>
      </c>
      <c r="L133" s="2">
        <v>0</v>
      </c>
      <c r="M133" s="2">
        <v>0</v>
      </c>
      <c r="N133" s="2" t="s">
        <v>49</v>
      </c>
      <c r="O133" s="2" t="s">
        <v>146</v>
      </c>
      <c r="P133" s="2" t="s">
        <v>49</v>
      </c>
      <c r="Q133" s="2" t="s">
        <v>146</v>
      </c>
      <c r="R133" s="2" t="s">
        <v>49</v>
      </c>
      <c r="S133" s="2" t="s">
        <v>146</v>
      </c>
      <c r="U133" s="2">
        <f t="shared" si="4"/>
        <v>161.499</v>
      </c>
      <c r="V133" s="2">
        <f t="shared" si="5"/>
        <v>0</v>
      </c>
    </row>
    <row r="134" spans="1:22" ht="15" customHeight="1" x14ac:dyDescent="0.45">
      <c r="A134" s="2" t="s">
        <v>508</v>
      </c>
      <c r="B134" s="2" t="s">
        <v>83</v>
      </c>
      <c r="C134" s="2">
        <v>2019</v>
      </c>
      <c r="D134" s="2">
        <v>301.60000000000002</v>
      </c>
      <c r="E134" s="2">
        <v>87.2</v>
      </c>
      <c r="F134" s="2">
        <v>19.100000000000001</v>
      </c>
      <c r="G134" s="2">
        <v>141.1</v>
      </c>
      <c r="H134" s="2">
        <v>108.1</v>
      </c>
      <c r="I134" s="2">
        <v>27.1</v>
      </c>
      <c r="J134" s="2">
        <v>26.1</v>
      </c>
      <c r="K134" s="2">
        <v>1</v>
      </c>
      <c r="L134" s="2" t="s">
        <v>1051</v>
      </c>
      <c r="M134" s="2">
        <v>32.9</v>
      </c>
      <c r="N134" s="2" t="s">
        <v>49</v>
      </c>
      <c r="O134" s="2" t="s">
        <v>146</v>
      </c>
      <c r="P134" s="2" t="s">
        <v>49</v>
      </c>
      <c r="Q134" s="2" t="s">
        <v>146</v>
      </c>
      <c r="R134" s="2" t="s">
        <v>49</v>
      </c>
      <c r="S134" s="2" t="s">
        <v>146</v>
      </c>
      <c r="U134" s="2">
        <f t="shared" si="4"/>
        <v>301.60000000000002</v>
      </c>
      <c r="V134" s="2">
        <f t="shared" si="5"/>
        <v>0</v>
      </c>
    </row>
    <row r="135" spans="1:22" ht="15" customHeight="1" x14ac:dyDescent="0.45">
      <c r="A135" s="2" t="s">
        <v>507</v>
      </c>
      <c r="B135" s="2" t="s">
        <v>506</v>
      </c>
      <c r="C135" s="2">
        <v>2019</v>
      </c>
      <c r="D135" s="2">
        <v>558.6</v>
      </c>
      <c r="E135" s="2">
        <v>248.4</v>
      </c>
      <c r="F135" s="2">
        <v>72.2</v>
      </c>
      <c r="G135" s="2">
        <v>7.1</v>
      </c>
      <c r="H135" s="2" t="s">
        <v>146</v>
      </c>
      <c r="I135" s="2">
        <v>53.3</v>
      </c>
      <c r="J135" s="2">
        <v>99.3</v>
      </c>
      <c r="K135" s="2">
        <v>3.4</v>
      </c>
      <c r="L135" s="2" t="s">
        <v>146</v>
      </c>
      <c r="M135" s="2">
        <v>15.5</v>
      </c>
      <c r="N135" s="2" t="s">
        <v>1060</v>
      </c>
      <c r="O135" s="2">
        <v>57.951999999999998</v>
      </c>
      <c r="P135" s="2" t="s">
        <v>49</v>
      </c>
      <c r="Q135" s="2" t="s">
        <v>146</v>
      </c>
      <c r="R135" s="2" t="s">
        <v>49</v>
      </c>
      <c r="S135" s="2" t="s">
        <v>146</v>
      </c>
      <c r="U135" s="2">
        <f t="shared" si="4"/>
        <v>558.6</v>
      </c>
      <c r="V135" s="2">
        <f t="shared" si="5"/>
        <v>57.951999999999998</v>
      </c>
    </row>
    <row r="136" spans="1:22" ht="15" customHeight="1" x14ac:dyDescent="0.45">
      <c r="A136" s="2" t="s">
        <v>505</v>
      </c>
      <c r="B136" s="2" t="s">
        <v>504</v>
      </c>
      <c r="C136" s="2">
        <v>2019</v>
      </c>
      <c r="D136" s="2">
        <v>36.450000000000003</v>
      </c>
      <c r="E136" s="2">
        <v>12.3</v>
      </c>
      <c r="F136" s="2">
        <v>10.6</v>
      </c>
      <c r="G136" s="2">
        <v>1.9</v>
      </c>
      <c r="H136" s="2" t="s">
        <v>146</v>
      </c>
      <c r="I136" s="2">
        <v>8.3000000000000007</v>
      </c>
      <c r="J136" s="2">
        <v>1.4</v>
      </c>
      <c r="K136" s="2">
        <v>0.2</v>
      </c>
      <c r="L136" s="2" t="s">
        <v>146</v>
      </c>
      <c r="M136" s="2">
        <v>3.2</v>
      </c>
      <c r="N136" s="2" t="s">
        <v>49</v>
      </c>
      <c r="O136" s="2" t="s">
        <v>146</v>
      </c>
      <c r="P136" s="2" t="s">
        <v>49</v>
      </c>
      <c r="Q136" s="2" t="s">
        <v>146</v>
      </c>
      <c r="R136" s="2" t="s">
        <v>49</v>
      </c>
      <c r="S136" s="2" t="s">
        <v>146</v>
      </c>
      <c r="U136" s="2">
        <f t="shared" si="4"/>
        <v>36.450000000000003</v>
      </c>
      <c r="V136" s="2">
        <f t="shared" si="5"/>
        <v>0</v>
      </c>
    </row>
    <row r="137" spans="1:22" ht="15" customHeight="1" x14ac:dyDescent="0.45">
      <c r="A137" s="2" t="s">
        <v>502</v>
      </c>
      <c r="B137" s="2" t="s">
        <v>503</v>
      </c>
      <c r="C137" s="2">
        <v>2019</v>
      </c>
      <c r="D137" s="2">
        <v>209.52199999999999</v>
      </c>
      <c r="E137" s="2" t="s">
        <v>1051</v>
      </c>
      <c r="F137" s="2">
        <v>34.936</v>
      </c>
      <c r="G137" s="2" t="s">
        <v>1051</v>
      </c>
      <c r="H137" s="2" t="s">
        <v>146</v>
      </c>
      <c r="I137" s="2" t="s">
        <v>1051</v>
      </c>
      <c r="J137" s="2" t="s">
        <v>1051</v>
      </c>
      <c r="K137" s="2" t="s">
        <v>1051</v>
      </c>
      <c r="L137" s="2" t="s">
        <v>1051</v>
      </c>
      <c r="M137" s="2" t="s">
        <v>1051</v>
      </c>
      <c r="N137" s="2" t="s">
        <v>49</v>
      </c>
      <c r="O137" s="2" t="s">
        <v>146</v>
      </c>
      <c r="P137" s="2" t="s">
        <v>49</v>
      </c>
      <c r="Q137" s="2" t="s">
        <v>146</v>
      </c>
      <c r="R137" s="2" t="s">
        <v>49</v>
      </c>
      <c r="S137" s="2" t="s">
        <v>146</v>
      </c>
      <c r="U137" s="2">
        <f t="shared" si="4"/>
        <v>209.52199999999999</v>
      </c>
      <c r="V137" s="2">
        <f t="shared" si="5"/>
        <v>0</v>
      </c>
    </row>
    <row r="138" spans="1:22" ht="15" customHeight="1" x14ac:dyDescent="0.45">
      <c r="A138" s="2" t="s">
        <v>502</v>
      </c>
      <c r="B138" s="2" t="s">
        <v>501</v>
      </c>
      <c r="C138" s="2">
        <v>2019</v>
      </c>
      <c r="D138" s="2">
        <v>5.9429999999999996</v>
      </c>
      <c r="E138" s="2" t="s">
        <v>1051</v>
      </c>
      <c r="F138" s="2">
        <v>1.8420000000000001</v>
      </c>
      <c r="G138" s="2" t="s">
        <v>146</v>
      </c>
      <c r="H138" s="2" t="s">
        <v>146</v>
      </c>
      <c r="I138" s="2" t="s">
        <v>1051</v>
      </c>
      <c r="J138" s="2" t="s">
        <v>1051</v>
      </c>
      <c r="K138" s="2" t="s">
        <v>1051</v>
      </c>
      <c r="L138" s="2" t="s">
        <v>1051</v>
      </c>
      <c r="M138" s="2" t="s">
        <v>146</v>
      </c>
      <c r="N138" s="2" t="s">
        <v>49</v>
      </c>
      <c r="O138" s="2" t="s">
        <v>146</v>
      </c>
      <c r="P138" s="2" t="s">
        <v>49</v>
      </c>
      <c r="Q138" s="2" t="s">
        <v>146</v>
      </c>
      <c r="R138" s="2" t="s">
        <v>49</v>
      </c>
      <c r="S138" s="2" t="s">
        <v>146</v>
      </c>
      <c r="U138" s="2">
        <f t="shared" si="4"/>
        <v>5.9429999999999996</v>
      </c>
      <c r="V138" s="2">
        <f t="shared" si="5"/>
        <v>0</v>
      </c>
    </row>
    <row r="139" spans="1:22" ht="15" customHeight="1" x14ac:dyDescent="0.45">
      <c r="A139" s="2" t="s">
        <v>498</v>
      </c>
      <c r="B139" s="2" t="s">
        <v>500</v>
      </c>
      <c r="C139" s="2">
        <v>2019</v>
      </c>
      <c r="D139" s="2">
        <v>805</v>
      </c>
      <c r="E139" s="2">
        <v>394</v>
      </c>
      <c r="F139" s="2">
        <v>84</v>
      </c>
      <c r="G139" s="2">
        <v>51</v>
      </c>
      <c r="H139" s="2" t="s">
        <v>146</v>
      </c>
      <c r="I139" s="2">
        <v>144</v>
      </c>
      <c r="J139" s="2">
        <v>89</v>
      </c>
      <c r="K139" s="2" t="s">
        <v>146</v>
      </c>
      <c r="L139" s="2" t="s">
        <v>146</v>
      </c>
      <c r="M139" s="2" t="s">
        <v>146</v>
      </c>
      <c r="N139" s="2" t="s">
        <v>1059</v>
      </c>
      <c r="O139" s="2">
        <v>8.9</v>
      </c>
      <c r="P139" s="2" t="s">
        <v>1058</v>
      </c>
      <c r="Q139" s="2">
        <v>15.1</v>
      </c>
      <c r="R139" s="2" t="s">
        <v>49</v>
      </c>
      <c r="S139" s="2" t="s">
        <v>146</v>
      </c>
      <c r="U139" s="2">
        <f t="shared" si="4"/>
        <v>805</v>
      </c>
      <c r="V139" s="2">
        <f t="shared" si="5"/>
        <v>24</v>
      </c>
    </row>
    <row r="140" spans="1:22" ht="15" customHeight="1" x14ac:dyDescent="0.45">
      <c r="A140" s="2" t="s">
        <v>498</v>
      </c>
      <c r="B140" s="2" t="s">
        <v>497</v>
      </c>
      <c r="C140" s="2">
        <v>2019</v>
      </c>
      <c r="D140" s="2">
        <v>51</v>
      </c>
      <c r="E140" s="2" t="s">
        <v>1051</v>
      </c>
      <c r="F140" s="2" t="s">
        <v>1051</v>
      </c>
      <c r="G140" s="2" t="s">
        <v>1051</v>
      </c>
      <c r="H140" s="2" t="s">
        <v>146</v>
      </c>
      <c r="I140" s="2" t="s">
        <v>1051</v>
      </c>
      <c r="J140" s="2" t="s">
        <v>1051</v>
      </c>
      <c r="K140" s="2" t="s">
        <v>146</v>
      </c>
      <c r="L140" s="2" t="s">
        <v>146</v>
      </c>
      <c r="M140" s="2" t="s">
        <v>146</v>
      </c>
      <c r="N140" s="2" t="s">
        <v>49</v>
      </c>
      <c r="O140" s="2" t="s">
        <v>146</v>
      </c>
      <c r="P140" s="2" t="s">
        <v>49</v>
      </c>
      <c r="Q140" s="2" t="s">
        <v>146</v>
      </c>
      <c r="R140" s="2" t="s">
        <v>49</v>
      </c>
      <c r="S140" s="2" t="s">
        <v>146</v>
      </c>
      <c r="U140" s="2">
        <f t="shared" si="4"/>
        <v>51</v>
      </c>
      <c r="V140" s="2">
        <f t="shared" si="5"/>
        <v>0</v>
      </c>
    </row>
    <row r="141" spans="1:22" ht="15" customHeight="1" x14ac:dyDescent="0.45">
      <c r="A141" s="2" t="s">
        <v>493</v>
      </c>
      <c r="B141" s="2" t="s">
        <v>496</v>
      </c>
      <c r="C141" s="2">
        <v>2019</v>
      </c>
      <c r="D141" s="2">
        <v>1.095</v>
      </c>
      <c r="E141" s="2" t="s">
        <v>146</v>
      </c>
      <c r="F141" s="2" t="s">
        <v>146</v>
      </c>
      <c r="G141" s="2" t="s">
        <v>146</v>
      </c>
      <c r="H141" s="2" t="s">
        <v>146</v>
      </c>
      <c r="I141" s="2" t="s">
        <v>146</v>
      </c>
      <c r="J141" s="2" t="s">
        <v>146</v>
      </c>
      <c r="K141" s="2" t="s">
        <v>146</v>
      </c>
      <c r="L141" s="2" t="s">
        <v>146</v>
      </c>
      <c r="M141" s="2" t="s">
        <v>146</v>
      </c>
      <c r="N141" s="2" t="s">
        <v>49</v>
      </c>
      <c r="O141" s="2" t="s">
        <v>146</v>
      </c>
      <c r="P141" s="2" t="s">
        <v>49</v>
      </c>
      <c r="Q141" s="2" t="s">
        <v>146</v>
      </c>
      <c r="R141" s="2" t="s">
        <v>49</v>
      </c>
      <c r="S141" s="2" t="s">
        <v>146</v>
      </c>
      <c r="U141" s="2">
        <f t="shared" si="4"/>
        <v>1.095</v>
      </c>
      <c r="V141" s="2">
        <f t="shared" si="5"/>
        <v>0</v>
      </c>
    </row>
    <row r="142" spans="1:22" ht="15" customHeight="1" x14ac:dyDescent="0.45">
      <c r="A142" s="2" t="s">
        <v>493</v>
      </c>
      <c r="B142" s="2" t="s">
        <v>495</v>
      </c>
      <c r="C142" s="2">
        <v>2019</v>
      </c>
      <c r="D142" s="2">
        <v>1.032</v>
      </c>
      <c r="E142" s="2" t="s">
        <v>146</v>
      </c>
      <c r="F142" s="2" t="s">
        <v>146</v>
      </c>
      <c r="G142" s="2" t="s">
        <v>146</v>
      </c>
      <c r="H142" s="2" t="s">
        <v>146</v>
      </c>
      <c r="I142" s="2" t="s">
        <v>146</v>
      </c>
      <c r="J142" s="2" t="s">
        <v>146</v>
      </c>
      <c r="K142" s="2" t="s">
        <v>146</v>
      </c>
      <c r="L142" s="2" t="s">
        <v>146</v>
      </c>
      <c r="M142" s="2" t="s">
        <v>146</v>
      </c>
      <c r="N142" s="2" t="s">
        <v>49</v>
      </c>
      <c r="O142" s="2" t="s">
        <v>146</v>
      </c>
      <c r="P142" s="2" t="s">
        <v>49</v>
      </c>
      <c r="Q142" s="2" t="s">
        <v>146</v>
      </c>
      <c r="R142" s="2" t="s">
        <v>49</v>
      </c>
      <c r="S142" s="2" t="s">
        <v>146</v>
      </c>
      <c r="U142" s="2">
        <f t="shared" si="4"/>
        <v>1.032</v>
      </c>
      <c r="V142" s="2">
        <f t="shared" si="5"/>
        <v>0</v>
      </c>
    </row>
    <row r="143" spans="1:22" ht="15" customHeight="1" x14ac:dyDescent="0.45">
      <c r="A143" s="2" t="s">
        <v>493</v>
      </c>
      <c r="B143" s="2" t="s">
        <v>494</v>
      </c>
      <c r="C143" s="2">
        <v>2019</v>
      </c>
      <c r="D143" s="2">
        <v>2.5499999999999998</v>
      </c>
      <c r="E143" s="2" t="s">
        <v>146</v>
      </c>
      <c r="F143" s="2">
        <v>2.4500000000000002</v>
      </c>
      <c r="G143" s="2" t="s">
        <v>146</v>
      </c>
      <c r="H143" s="2" t="s">
        <v>146</v>
      </c>
      <c r="I143" s="2">
        <v>0.1</v>
      </c>
      <c r="J143" s="2" t="s">
        <v>146</v>
      </c>
      <c r="K143" s="2" t="s">
        <v>146</v>
      </c>
      <c r="L143" s="2" t="s">
        <v>146</v>
      </c>
      <c r="M143" s="2" t="s">
        <v>146</v>
      </c>
      <c r="N143" s="2" t="s">
        <v>49</v>
      </c>
      <c r="O143" s="2" t="s">
        <v>146</v>
      </c>
      <c r="P143" s="2" t="s">
        <v>49</v>
      </c>
      <c r="Q143" s="2" t="s">
        <v>146</v>
      </c>
      <c r="R143" s="2" t="s">
        <v>49</v>
      </c>
      <c r="S143" s="2" t="s">
        <v>146</v>
      </c>
      <c r="U143" s="2">
        <f t="shared" si="4"/>
        <v>2.5499999999999998</v>
      </c>
      <c r="V143" s="2">
        <f t="shared" si="5"/>
        <v>0</v>
      </c>
    </row>
    <row r="144" spans="1:22" ht="15" customHeight="1" x14ac:dyDescent="0.45">
      <c r="A144" s="2" t="s">
        <v>493</v>
      </c>
      <c r="B144" s="2" t="s">
        <v>492</v>
      </c>
      <c r="C144" s="2">
        <v>2019</v>
      </c>
      <c r="D144" s="2">
        <v>113.8</v>
      </c>
      <c r="E144" s="2">
        <v>61</v>
      </c>
      <c r="F144" s="2">
        <v>6.6</v>
      </c>
      <c r="G144" s="2">
        <v>7.7</v>
      </c>
      <c r="H144" s="2" t="s">
        <v>146</v>
      </c>
      <c r="I144" s="2">
        <v>22.9</v>
      </c>
      <c r="J144" s="2">
        <v>10.9</v>
      </c>
      <c r="K144" s="2" t="s">
        <v>146</v>
      </c>
      <c r="L144" s="2" t="s">
        <v>146</v>
      </c>
      <c r="M144" s="2" t="s">
        <v>146</v>
      </c>
      <c r="N144" s="2" t="s">
        <v>49</v>
      </c>
      <c r="O144" s="2" t="s">
        <v>146</v>
      </c>
      <c r="P144" s="2" t="s">
        <v>49</v>
      </c>
      <c r="Q144" s="2" t="s">
        <v>146</v>
      </c>
      <c r="R144" s="2" t="s">
        <v>49</v>
      </c>
      <c r="S144" s="2" t="s">
        <v>146</v>
      </c>
      <c r="U144" s="2">
        <f t="shared" si="4"/>
        <v>113.8</v>
      </c>
      <c r="V144" s="2">
        <f t="shared" si="5"/>
        <v>0</v>
      </c>
    </row>
    <row r="145" spans="1:22" ht="15" customHeight="1" x14ac:dyDescent="0.45">
      <c r="A145" s="2" t="s">
        <v>490</v>
      </c>
      <c r="B145" s="2" t="s">
        <v>489</v>
      </c>
      <c r="C145" s="2">
        <v>2019</v>
      </c>
      <c r="D145" s="2">
        <v>247.2</v>
      </c>
      <c r="E145" s="2">
        <v>144.9</v>
      </c>
      <c r="F145" s="2">
        <v>32.1</v>
      </c>
      <c r="G145" s="2">
        <v>7.6</v>
      </c>
      <c r="H145" s="2" t="s">
        <v>146</v>
      </c>
      <c r="I145" s="2">
        <v>23.2</v>
      </c>
      <c r="J145" s="2">
        <v>16.100000000000001</v>
      </c>
      <c r="K145" s="2">
        <v>0.2</v>
      </c>
      <c r="L145" s="2">
        <v>3.1</v>
      </c>
      <c r="M145" s="2">
        <v>20</v>
      </c>
      <c r="N145" s="2" t="s">
        <v>1057</v>
      </c>
      <c r="O145" s="2">
        <v>10.7</v>
      </c>
      <c r="P145" s="2" t="s">
        <v>1056</v>
      </c>
      <c r="Q145" s="2">
        <v>39.9</v>
      </c>
      <c r="R145" s="2" t="s">
        <v>176</v>
      </c>
      <c r="S145" s="2" t="s">
        <v>146</v>
      </c>
      <c r="U145" s="2">
        <f t="shared" si="4"/>
        <v>247.2</v>
      </c>
      <c r="V145" s="2">
        <f t="shared" si="5"/>
        <v>50.599999999999994</v>
      </c>
    </row>
    <row r="146" spans="1:22" ht="15" customHeight="1" x14ac:dyDescent="0.45">
      <c r="A146" s="2" t="s">
        <v>480</v>
      </c>
      <c r="B146" s="2" t="s">
        <v>488</v>
      </c>
      <c r="C146" s="2">
        <v>2019</v>
      </c>
      <c r="D146" s="2">
        <v>8.15</v>
      </c>
      <c r="E146" s="2">
        <v>3.93</v>
      </c>
      <c r="F146" s="2">
        <v>0.57999999999999996</v>
      </c>
      <c r="G146" s="2">
        <v>1.79</v>
      </c>
      <c r="H146" s="2" t="s">
        <v>146</v>
      </c>
      <c r="I146" s="2">
        <v>1.61</v>
      </c>
      <c r="J146" s="2">
        <v>0.22</v>
      </c>
      <c r="K146" s="2" t="s">
        <v>146</v>
      </c>
      <c r="L146" s="2" t="s">
        <v>146</v>
      </c>
      <c r="M146" s="2" t="s">
        <v>146</v>
      </c>
      <c r="N146" s="2" t="s">
        <v>49</v>
      </c>
      <c r="O146" s="2" t="s">
        <v>146</v>
      </c>
      <c r="P146" s="2" t="s">
        <v>49</v>
      </c>
      <c r="Q146" s="2" t="s">
        <v>146</v>
      </c>
      <c r="R146" s="2" t="s">
        <v>49</v>
      </c>
      <c r="S146" s="2" t="s">
        <v>146</v>
      </c>
      <c r="U146" s="2">
        <f t="shared" si="4"/>
        <v>8.15</v>
      </c>
      <c r="V146" s="2">
        <f t="shared" si="5"/>
        <v>0</v>
      </c>
    </row>
    <row r="147" spans="1:22" ht="15" customHeight="1" x14ac:dyDescent="0.45">
      <c r="A147" s="2" t="s">
        <v>480</v>
      </c>
      <c r="B147" s="2" t="s">
        <v>487</v>
      </c>
      <c r="C147" s="2">
        <v>2019</v>
      </c>
      <c r="D147" s="2">
        <v>6.86</v>
      </c>
      <c r="E147" s="2">
        <v>2.92</v>
      </c>
      <c r="F147" s="2">
        <v>0.15</v>
      </c>
      <c r="G147" s="2">
        <v>0</v>
      </c>
      <c r="H147" s="2">
        <v>0</v>
      </c>
      <c r="I147" s="2">
        <v>2.73</v>
      </c>
      <c r="J147" s="2">
        <v>1.06</v>
      </c>
      <c r="K147" s="2">
        <v>0</v>
      </c>
      <c r="L147" s="2">
        <v>0</v>
      </c>
      <c r="M147" s="2">
        <v>0</v>
      </c>
      <c r="N147" s="2" t="s">
        <v>49</v>
      </c>
      <c r="O147" s="2" t="s">
        <v>146</v>
      </c>
      <c r="P147" s="2" t="s">
        <v>49</v>
      </c>
      <c r="Q147" s="2" t="s">
        <v>146</v>
      </c>
      <c r="R147" s="2" t="s">
        <v>49</v>
      </c>
      <c r="S147" s="2" t="s">
        <v>146</v>
      </c>
      <c r="U147" s="2">
        <f t="shared" si="4"/>
        <v>6.86</v>
      </c>
      <c r="V147" s="2">
        <f t="shared" si="5"/>
        <v>0</v>
      </c>
    </row>
    <row r="148" spans="1:22" ht="15" customHeight="1" x14ac:dyDescent="0.45">
      <c r="A148" s="2" t="s">
        <v>480</v>
      </c>
      <c r="B148" s="2" t="s">
        <v>486</v>
      </c>
      <c r="C148" s="2">
        <v>2019</v>
      </c>
      <c r="D148" s="2">
        <v>10.81</v>
      </c>
      <c r="E148" s="2">
        <v>3.55</v>
      </c>
      <c r="F148" s="2">
        <v>1.8</v>
      </c>
      <c r="G148" s="2">
        <v>0.2</v>
      </c>
      <c r="H148" s="2">
        <v>0</v>
      </c>
      <c r="I148" s="2">
        <v>3.93</v>
      </c>
      <c r="J148" s="2">
        <v>1.33</v>
      </c>
      <c r="K148" s="2">
        <v>0</v>
      </c>
      <c r="L148" s="2">
        <v>0</v>
      </c>
      <c r="M148" s="2">
        <v>0</v>
      </c>
      <c r="N148" s="2" t="s">
        <v>49</v>
      </c>
      <c r="O148" s="2" t="s">
        <v>146</v>
      </c>
      <c r="P148" s="2" t="s">
        <v>49</v>
      </c>
      <c r="Q148" s="2" t="s">
        <v>146</v>
      </c>
      <c r="R148" s="2" t="s">
        <v>49</v>
      </c>
      <c r="S148" s="2" t="s">
        <v>146</v>
      </c>
      <c r="U148" s="2">
        <f t="shared" si="4"/>
        <v>10.81</v>
      </c>
      <c r="V148" s="2">
        <f t="shared" si="5"/>
        <v>0</v>
      </c>
    </row>
    <row r="149" spans="1:22" ht="15" customHeight="1" x14ac:dyDescent="0.45">
      <c r="A149" s="2" t="s">
        <v>480</v>
      </c>
      <c r="B149" s="2" t="s">
        <v>485</v>
      </c>
      <c r="C149" s="2">
        <v>2019</v>
      </c>
      <c r="D149" s="2">
        <v>5.17</v>
      </c>
      <c r="E149" s="2">
        <v>1</v>
      </c>
      <c r="F149" s="2">
        <v>1.7</v>
      </c>
      <c r="G149" s="2">
        <v>1.25</v>
      </c>
      <c r="H149" s="2">
        <v>0</v>
      </c>
      <c r="I149" s="2">
        <v>1.1299999999999999</v>
      </c>
      <c r="J149" s="2">
        <v>0.09</v>
      </c>
      <c r="K149" s="2">
        <v>0</v>
      </c>
      <c r="L149" s="2">
        <v>0</v>
      </c>
      <c r="M149" s="2">
        <v>0</v>
      </c>
      <c r="N149" s="2" t="s">
        <v>49</v>
      </c>
      <c r="O149" s="2" t="s">
        <v>146</v>
      </c>
      <c r="P149" s="2" t="s">
        <v>49</v>
      </c>
      <c r="Q149" s="2" t="s">
        <v>146</v>
      </c>
      <c r="R149" s="2" t="s">
        <v>49</v>
      </c>
      <c r="S149" s="2" t="s">
        <v>146</v>
      </c>
      <c r="U149" s="2">
        <f t="shared" si="4"/>
        <v>5.17</v>
      </c>
      <c r="V149" s="2">
        <f t="shared" si="5"/>
        <v>0</v>
      </c>
    </row>
    <row r="150" spans="1:22" ht="15" customHeight="1" x14ac:dyDescent="0.45">
      <c r="A150" s="2" t="s">
        <v>480</v>
      </c>
      <c r="B150" s="2" t="s">
        <v>484</v>
      </c>
      <c r="C150" s="2">
        <v>2019</v>
      </c>
      <c r="D150" s="2">
        <v>11.59</v>
      </c>
      <c r="E150" s="2">
        <v>2.5299999999999998</v>
      </c>
      <c r="F150" s="2">
        <v>1.01</v>
      </c>
      <c r="G150" s="2">
        <v>5</v>
      </c>
      <c r="H150" s="2">
        <v>0</v>
      </c>
      <c r="I150" s="2">
        <v>2.8</v>
      </c>
      <c r="J150" s="2">
        <v>0.25</v>
      </c>
      <c r="K150" s="2">
        <v>0</v>
      </c>
      <c r="L150" s="2">
        <v>0</v>
      </c>
      <c r="M150" s="2">
        <v>0</v>
      </c>
      <c r="N150" s="2" t="s">
        <v>49</v>
      </c>
      <c r="O150" s="2" t="s">
        <v>146</v>
      </c>
      <c r="P150" s="2" t="s">
        <v>49</v>
      </c>
      <c r="Q150" s="2" t="s">
        <v>146</v>
      </c>
      <c r="R150" s="2" t="s">
        <v>49</v>
      </c>
      <c r="S150" s="2" t="s">
        <v>146</v>
      </c>
      <c r="U150" s="2">
        <f t="shared" si="4"/>
        <v>11.59</v>
      </c>
      <c r="V150" s="2">
        <f t="shared" si="5"/>
        <v>0</v>
      </c>
    </row>
    <row r="151" spans="1:22" ht="15" customHeight="1" x14ac:dyDescent="0.45">
      <c r="A151" s="2" t="s">
        <v>480</v>
      </c>
      <c r="B151" s="2" t="s">
        <v>483</v>
      </c>
      <c r="C151" s="2">
        <v>2019</v>
      </c>
      <c r="D151" s="2">
        <v>27.08</v>
      </c>
      <c r="E151" s="2">
        <v>12.85</v>
      </c>
      <c r="F151" s="2">
        <v>1.1599999999999999</v>
      </c>
      <c r="G151" s="2">
        <v>1.08</v>
      </c>
      <c r="H151" s="2">
        <v>0</v>
      </c>
      <c r="I151" s="2">
        <v>11.09</v>
      </c>
      <c r="J151" s="2">
        <v>0.9</v>
      </c>
      <c r="K151" s="2">
        <v>0</v>
      </c>
      <c r="L151" s="2">
        <v>0</v>
      </c>
      <c r="M151" s="2">
        <v>0</v>
      </c>
      <c r="N151" s="2" t="s">
        <v>49</v>
      </c>
      <c r="O151" s="2" t="s">
        <v>146</v>
      </c>
      <c r="P151" s="2" t="s">
        <v>49</v>
      </c>
      <c r="Q151" s="2" t="s">
        <v>146</v>
      </c>
      <c r="R151" s="2" t="s">
        <v>49</v>
      </c>
      <c r="S151" s="2" t="s">
        <v>146</v>
      </c>
      <c r="U151" s="2">
        <f t="shared" si="4"/>
        <v>27.08</v>
      </c>
      <c r="V151" s="2">
        <f t="shared" si="5"/>
        <v>0</v>
      </c>
    </row>
    <row r="152" spans="1:22" ht="15" customHeight="1" x14ac:dyDescent="0.45">
      <c r="A152" s="2" t="s">
        <v>480</v>
      </c>
      <c r="B152" s="2" t="s">
        <v>482</v>
      </c>
      <c r="C152" s="2">
        <v>2019</v>
      </c>
      <c r="D152" s="2">
        <v>7.13</v>
      </c>
      <c r="E152" s="2">
        <v>2.4</v>
      </c>
      <c r="F152" s="2">
        <v>1.49</v>
      </c>
      <c r="G152" s="2">
        <v>0.34</v>
      </c>
      <c r="H152" s="2">
        <v>0</v>
      </c>
      <c r="I152" s="2">
        <v>2.08</v>
      </c>
      <c r="J152" s="2">
        <v>0.82</v>
      </c>
      <c r="K152" s="2">
        <v>0</v>
      </c>
      <c r="L152" s="2">
        <v>0</v>
      </c>
      <c r="M152" s="2">
        <v>0</v>
      </c>
      <c r="N152" s="2" t="s">
        <v>49</v>
      </c>
      <c r="O152" s="2" t="s">
        <v>146</v>
      </c>
      <c r="P152" s="2" t="s">
        <v>49</v>
      </c>
      <c r="Q152" s="2" t="s">
        <v>146</v>
      </c>
      <c r="R152" s="2" t="s">
        <v>49</v>
      </c>
      <c r="S152" s="2" t="s">
        <v>146</v>
      </c>
      <c r="U152" s="2">
        <f t="shared" si="4"/>
        <v>7.13</v>
      </c>
      <c r="V152" s="2">
        <f t="shared" si="5"/>
        <v>0</v>
      </c>
    </row>
    <row r="153" spans="1:22" ht="15" customHeight="1" x14ac:dyDescent="0.45">
      <c r="A153" s="2" t="s">
        <v>480</v>
      </c>
      <c r="B153" s="2" t="s">
        <v>481</v>
      </c>
      <c r="C153" s="2">
        <v>2019</v>
      </c>
      <c r="D153" s="2">
        <v>11.24</v>
      </c>
      <c r="E153" s="2">
        <v>3.98</v>
      </c>
      <c r="F153" s="2">
        <v>0.79</v>
      </c>
      <c r="G153" s="2">
        <v>1.99</v>
      </c>
      <c r="H153" s="2">
        <v>0</v>
      </c>
      <c r="I153" s="2">
        <v>4.0599999999999996</v>
      </c>
      <c r="J153" s="2">
        <v>0.42</v>
      </c>
      <c r="K153" s="2">
        <v>0</v>
      </c>
      <c r="L153" s="2">
        <v>0</v>
      </c>
      <c r="M153" s="2">
        <v>0</v>
      </c>
      <c r="N153" s="2" t="s">
        <v>49</v>
      </c>
      <c r="O153" s="2" t="s">
        <v>146</v>
      </c>
      <c r="P153" s="2" t="s">
        <v>49</v>
      </c>
      <c r="Q153" s="2" t="s">
        <v>146</v>
      </c>
      <c r="R153" s="2" t="s">
        <v>49</v>
      </c>
      <c r="S153" s="2" t="s">
        <v>146</v>
      </c>
      <c r="U153" s="2">
        <f t="shared" si="4"/>
        <v>11.24</v>
      </c>
      <c r="V153" s="2">
        <f t="shared" si="5"/>
        <v>0</v>
      </c>
    </row>
    <row r="154" spans="1:22" ht="15" customHeight="1" x14ac:dyDescent="0.45">
      <c r="A154" s="2" t="s">
        <v>480</v>
      </c>
      <c r="B154" s="2" t="s">
        <v>479</v>
      </c>
      <c r="C154" s="2">
        <v>2019</v>
      </c>
      <c r="D154" s="2">
        <v>5.27</v>
      </c>
      <c r="E154" s="2">
        <v>1.24</v>
      </c>
      <c r="F154" s="2">
        <v>0.04</v>
      </c>
      <c r="G154" s="2">
        <v>7.0000000000000007E-2</v>
      </c>
      <c r="H154" s="2">
        <v>0</v>
      </c>
      <c r="I154" s="2">
        <v>3.91</v>
      </c>
      <c r="J154" s="2">
        <v>0</v>
      </c>
      <c r="K154" s="2">
        <v>0</v>
      </c>
      <c r="L154" s="2">
        <v>0</v>
      </c>
      <c r="M154" s="2">
        <v>0</v>
      </c>
      <c r="N154" s="2" t="s">
        <v>49</v>
      </c>
      <c r="O154" s="2" t="s">
        <v>146</v>
      </c>
      <c r="P154" s="2" t="s">
        <v>49</v>
      </c>
      <c r="Q154" s="2" t="s">
        <v>146</v>
      </c>
      <c r="R154" s="2" t="s">
        <v>49</v>
      </c>
      <c r="S154" s="2" t="s">
        <v>146</v>
      </c>
      <c r="U154" s="2">
        <f t="shared" si="4"/>
        <v>5.27</v>
      </c>
      <c r="V154" s="2">
        <f t="shared" si="5"/>
        <v>0</v>
      </c>
    </row>
    <row r="155" spans="1:22" ht="15" customHeight="1" x14ac:dyDescent="0.45">
      <c r="A155" s="2" t="s">
        <v>478</v>
      </c>
      <c r="B155" s="2" t="s">
        <v>477</v>
      </c>
      <c r="C155" s="2">
        <v>2019</v>
      </c>
      <c r="D155" s="2">
        <v>26.231999999999999</v>
      </c>
      <c r="E155" s="2">
        <v>9.8469999999999995</v>
      </c>
      <c r="F155" s="2">
        <v>2.524</v>
      </c>
      <c r="G155" s="2">
        <v>9.8059999999999992</v>
      </c>
      <c r="H155" s="2">
        <v>0</v>
      </c>
      <c r="I155" s="2">
        <v>1.647</v>
      </c>
      <c r="J155" s="2">
        <v>2.407</v>
      </c>
      <c r="K155" s="2">
        <v>0</v>
      </c>
      <c r="L155" s="2">
        <v>0</v>
      </c>
      <c r="M155" s="2" t="s">
        <v>146</v>
      </c>
      <c r="N155" s="2" t="s">
        <v>49</v>
      </c>
      <c r="O155" s="2" t="s">
        <v>146</v>
      </c>
      <c r="P155" s="2" t="s">
        <v>49</v>
      </c>
      <c r="Q155" s="2" t="s">
        <v>146</v>
      </c>
      <c r="R155" s="2" t="s">
        <v>49</v>
      </c>
      <c r="S155" s="2" t="s">
        <v>146</v>
      </c>
      <c r="U155" s="2">
        <f t="shared" si="4"/>
        <v>26.231999999999999</v>
      </c>
      <c r="V155" s="2">
        <f t="shared" si="5"/>
        <v>0</v>
      </c>
    </row>
    <row r="156" spans="1:22" ht="15" customHeight="1" x14ac:dyDescent="0.45">
      <c r="A156" s="2" t="s">
        <v>476</v>
      </c>
      <c r="B156" s="2" t="s">
        <v>89</v>
      </c>
      <c r="C156" s="2">
        <v>2019</v>
      </c>
      <c r="D156" s="2" t="s">
        <v>49</v>
      </c>
      <c r="E156" s="2" t="s">
        <v>49</v>
      </c>
      <c r="F156" s="2" t="s">
        <v>49</v>
      </c>
      <c r="G156" s="2" t="s">
        <v>49</v>
      </c>
      <c r="H156" s="2" t="s">
        <v>49</v>
      </c>
      <c r="I156" s="2" t="s">
        <v>49</v>
      </c>
      <c r="J156" s="2" t="s">
        <v>49</v>
      </c>
      <c r="K156" s="2" t="s">
        <v>49</v>
      </c>
      <c r="L156" s="2" t="s">
        <v>49</v>
      </c>
      <c r="M156" s="2" t="s">
        <v>49</v>
      </c>
      <c r="N156" s="2" t="s">
        <v>49</v>
      </c>
      <c r="O156" s="2" t="s">
        <v>49</v>
      </c>
      <c r="P156" s="2" t="s">
        <v>49</v>
      </c>
      <c r="Q156" s="2" t="s">
        <v>49</v>
      </c>
      <c r="R156" s="2" t="s">
        <v>49</v>
      </c>
      <c r="S156" s="2" t="s">
        <v>49</v>
      </c>
      <c r="U156" s="2">
        <f t="shared" si="4"/>
        <v>0</v>
      </c>
      <c r="V156" s="2">
        <f t="shared" si="5"/>
        <v>0</v>
      </c>
    </row>
    <row r="157" spans="1:22" ht="15" customHeight="1" x14ac:dyDescent="0.45">
      <c r="A157" s="2" t="s">
        <v>472</v>
      </c>
      <c r="B157" s="2" t="s">
        <v>475</v>
      </c>
      <c r="C157" s="2">
        <v>2019</v>
      </c>
      <c r="D157" s="2">
        <v>7.47</v>
      </c>
      <c r="E157" s="2">
        <v>3.6</v>
      </c>
      <c r="F157" s="2">
        <v>0.2</v>
      </c>
      <c r="G157" s="2" t="s">
        <v>146</v>
      </c>
      <c r="H157" s="2" t="s">
        <v>146</v>
      </c>
      <c r="I157" s="2">
        <v>3.67</v>
      </c>
      <c r="J157" s="2" t="s">
        <v>146</v>
      </c>
      <c r="K157" s="2" t="s">
        <v>146</v>
      </c>
      <c r="L157" s="2" t="s">
        <v>146</v>
      </c>
      <c r="M157" s="2" t="s">
        <v>146</v>
      </c>
      <c r="N157" s="2" t="s">
        <v>49</v>
      </c>
      <c r="O157" s="2" t="s">
        <v>146</v>
      </c>
      <c r="P157" s="2" t="s">
        <v>49</v>
      </c>
      <c r="Q157" s="2" t="s">
        <v>146</v>
      </c>
      <c r="R157" s="2" t="s">
        <v>49</v>
      </c>
      <c r="S157" s="2" t="s">
        <v>146</v>
      </c>
      <c r="U157" s="2">
        <f t="shared" si="4"/>
        <v>7.47</v>
      </c>
      <c r="V157" s="2">
        <f t="shared" si="5"/>
        <v>0</v>
      </c>
    </row>
    <row r="158" spans="1:22" ht="15" customHeight="1" x14ac:dyDescent="0.45">
      <c r="A158" s="2" t="s">
        <v>472</v>
      </c>
      <c r="B158" s="2" t="s">
        <v>474</v>
      </c>
      <c r="C158" s="2">
        <v>2019</v>
      </c>
      <c r="D158" s="2">
        <v>10.64</v>
      </c>
      <c r="E158" s="2">
        <v>5.27</v>
      </c>
      <c r="F158" s="2">
        <v>1.1000000000000001</v>
      </c>
      <c r="G158" s="2" t="s">
        <v>146</v>
      </c>
      <c r="H158" s="2" t="s">
        <v>146</v>
      </c>
      <c r="I158" s="2">
        <v>4.2699999999999996</v>
      </c>
      <c r="J158" s="2" t="s">
        <v>146</v>
      </c>
      <c r="K158" s="2" t="s">
        <v>146</v>
      </c>
      <c r="L158" s="2" t="s">
        <v>146</v>
      </c>
      <c r="M158" s="2" t="s">
        <v>146</v>
      </c>
      <c r="N158" s="2" t="s">
        <v>49</v>
      </c>
      <c r="O158" s="2" t="s">
        <v>146</v>
      </c>
      <c r="P158" s="2" t="s">
        <v>49</v>
      </c>
      <c r="Q158" s="2" t="s">
        <v>146</v>
      </c>
      <c r="R158" s="2" t="s">
        <v>49</v>
      </c>
      <c r="S158" s="2" t="s">
        <v>146</v>
      </c>
      <c r="U158" s="2">
        <f t="shared" si="4"/>
        <v>10.64</v>
      </c>
      <c r="V158" s="2">
        <f t="shared" si="5"/>
        <v>0</v>
      </c>
    </row>
    <row r="159" spans="1:22" ht="15" customHeight="1" x14ac:dyDescent="0.45">
      <c r="A159" s="2" t="s">
        <v>472</v>
      </c>
      <c r="B159" s="2" t="s">
        <v>473</v>
      </c>
      <c r="C159" s="2">
        <v>2019</v>
      </c>
      <c r="D159" s="2">
        <v>29.16</v>
      </c>
      <c r="E159" s="2">
        <v>13.6</v>
      </c>
      <c r="F159" s="2">
        <v>1.9</v>
      </c>
      <c r="G159" s="2" t="s">
        <v>146</v>
      </c>
      <c r="H159" s="2" t="s">
        <v>146</v>
      </c>
      <c r="I159" s="2">
        <v>13.66</v>
      </c>
      <c r="J159" s="2" t="s">
        <v>146</v>
      </c>
      <c r="K159" s="2" t="s">
        <v>146</v>
      </c>
      <c r="L159" s="2" t="s">
        <v>146</v>
      </c>
      <c r="M159" s="2" t="s">
        <v>146</v>
      </c>
      <c r="N159" s="2" t="s">
        <v>49</v>
      </c>
      <c r="O159" s="2" t="s">
        <v>146</v>
      </c>
      <c r="P159" s="2" t="s">
        <v>49</v>
      </c>
      <c r="Q159" s="2" t="s">
        <v>146</v>
      </c>
      <c r="R159" s="2" t="s">
        <v>49</v>
      </c>
      <c r="S159" s="2" t="s">
        <v>146</v>
      </c>
      <c r="U159" s="2">
        <f t="shared" si="4"/>
        <v>29.16</v>
      </c>
      <c r="V159" s="2">
        <f t="shared" si="5"/>
        <v>0</v>
      </c>
    </row>
    <row r="160" spans="1:22" ht="15" customHeight="1" x14ac:dyDescent="0.45">
      <c r="A160" s="2" t="s">
        <v>472</v>
      </c>
      <c r="B160" s="2" t="s">
        <v>471</v>
      </c>
      <c r="C160" s="2">
        <v>2019</v>
      </c>
      <c r="D160" s="2">
        <v>3.15</v>
      </c>
      <c r="E160" s="2" t="s">
        <v>146</v>
      </c>
      <c r="F160" s="2" t="s">
        <v>146</v>
      </c>
      <c r="G160" s="2" t="s">
        <v>146</v>
      </c>
      <c r="H160" s="2" t="s">
        <v>146</v>
      </c>
      <c r="I160" s="2" t="s">
        <v>146</v>
      </c>
      <c r="J160" s="2" t="s">
        <v>146</v>
      </c>
      <c r="K160" s="2" t="s">
        <v>146</v>
      </c>
      <c r="L160" s="2" t="s">
        <v>146</v>
      </c>
      <c r="M160" s="2" t="s">
        <v>146</v>
      </c>
      <c r="N160" s="2" t="s">
        <v>49</v>
      </c>
      <c r="O160" s="2" t="s">
        <v>146</v>
      </c>
      <c r="P160" s="2" t="s">
        <v>49</v>
      </c>
      <c r="Q160" s="2" t="s">
        <v>146</v>
      </c>
      <c r="R160" s="2" t="s">
        <v>49</v>
      </c>
      <c r="S160" s="2" t="s">
        <v>146</v>
      </c>
      <c r="U160" s="2">
        <f t="shared" si="4"/>
        <v>3.15</v>
      </c>
      <c r="V160" s="2">
        <f t="shared" si="5"/>
        <v>0</v>
      </c>
    </row>
    <row r="161" spans="1:22" ht="15" customHeight="1" x14ac:dyDescent="0.45">
      <c r="A161" s="2" t="s">
        <v>470</v>
      </c>
      <c r="B161" s="2" t="s">
        <v>469</v>
      </c>
      <c r="C161" s="2">
        <v>2019</v>
      </c>
      <c r="D161" s="2">
        <v>42.332000000000001</v>
      </c>
      <c r="E161" s="2">
        <v>25.88</v>
      </c>
      <c r="F161" s="2">
        <v>0.61499999999999999</v>
      </c>
      <c r="G161" s="2" t="s">
        <v>146</v>
      </c>
      <c r="H161" s="2" t="s">
        <v>146</v>
      </c>
      <c r="I161" s="2">
        <v>8.08</v>
      </c>
      <c r="J161" s="2">
        <v>2.968</v>
      </c>
      <c r="K161" s="2" t="s">
        <v>146</v>
      </c>
      <c r="L161" s="2" t="s">
        <v>146</v>
      </c>
      <c r="M161" s="2">
        <v>4.7889999999999997</v>
      </c>
      <c r="N161" s="2" t="s">
        <v>49</v>
      </c>
      <c r="O161" s="2" t="s">
        <v>146</v>
      </c>
      <c r="P161" s="2" t="s">
        <v>49</v>
      </c>
      <c r="Q161" s="2" t="s">
        <v>146</v>
      </c>
      <c r="R161" s="2" t="s">
        <v>49</v>
      </c>
      <c r="S161" s="2" t="s">
        <v>146</v>
      </c>
      <c r="U161" s="2">
        <f t="shared" si="4"/>
        <v>42.332000000000001</v>
      </c>
      <c r="V161" s="2">
        <f t="shared" si="5"/>
        <v>0</v>
      </c>
    </row>
    <row r="162" spans="1:22" ht="15" customHeight="1" x14ac:dyDescent="0.45">
      <c r="A162" s="2" t="s">
        <v>467</v>
      </c>
      <c r="B162" s="2" t="s">
        <v>468</v>
      </c>
      <c r="C162" s="2">
        <v>2019</v>
      </c>
      <c r="D162" s="2">
        <v>75.165000000000006</v>
      </c>
      <c r="E162" s="2" t="s">
        <v>146</v>
      </c>
      <c r="F162" s="2" t="s">
        <v>146</v>
      </c>
      <c r="G162" s="2">
        <v>75.165000000000006</v>
      </c>
      <c r="H162" s="2">
        <v>50.116</v>
      </c>
      <c r="I162" s="2" t="s">
        <v>146</v>
      </c>
      <c r="J162" s="2" t="s">
        <v>146</v>
      </c>
      <c r="K162" s="2" t="s">
        <v>146</v>
      </c>
      <c r="L162" s="2" t="s">
        <v>146</v>
      </c>
      <c r="M162" s="2" t="s">
        <v>146</v>
      </c>
      <c r="N162" s="2" t="s">
        <v>49</v>
      </c>
      <c r="O162" s="2" t="s">
        <v>146</v>
      </c>
      <c r="P162" s="2" t="s">
        <v>49</v>
      </c>
      <c r="Q162" s="2" t="s">
        <v>146</v>
      </c>
      <c r="R162" s="2" t="s">
        <v>49</v>
      </c>
      <c r="S162" s="2" t="s">
        <v>146</v>
      </c>
      <c r="U162" s="2">
        <f t="shared" si="4"/>
        <v>75.165000000000006</v>
      </c>
      <c r="V162" s="2">
        <f t="shared" si="5"/>
        <v>0</v>
      </c>
    </row>
    <row r="163" spans="1:22" ht="15" customHeight="1" x14ac:dyDescent="0.45">
      <c r="A163" s="2" t="s">
        <v>467</v>
      </c>
      <c r="B163" s="2" t="s">
        <v>466</v>
      </c>
      <c r="C163" s="2">
        <v>2019</v>
      </c>
      <c r="D163" s="2">
        <v>217.59</v>
      </c>
      <c r="E163" s="2">
        <v>85.02</v>
      </c>
      <c r="F163" s="2">
        <v>52.21</v>
      </c>
      <c r="G163" s="2">
        <v>20.09</v>
      </c>
      <c r="H163" s="2" t="s">
        <v>146</v>
      </c>
      <c r="I163" s="2">
        <v>27.51</v>
      </c>
      <c r="J163" s="2">
        <v>32.6</v>
      </c>
      <c r="K163" s="2">
        <v>0.17</v>
      </c>
      <c r="L163" s="2" t="s">
        <v>146</v>
      </c>
      <c r="M163" s="2" t="s">
        <v>146</v>
      </c>
      <c r="N163" s="2" t="s">
        <v>49</v>
      </c>
      <c r="O163" s="2" t="s">
        <v>146</v>
      </c>
      <c r="P163" s="2" t="s">
        <v>49</v>
      </c>
      <c r="Q163" s="2" t="s">
        <v>146</v>
      </c>
      <c r="R163" s="2" t="s">
        <v>49</v>
      </c>
      <c r="S163" s="2" t="s">
        <v>146</v>
      </c>
      <c r="U163" s="2">
        <f t="shared" si="4"/>
        <v>217.59</v>
      </c>
      <c r="V163" s="2">
        <f t="shared" si="5"/>
        <v>0</v>
      </c>
    </row>
    <row r="164" spans="1:22" ht="15" customHeight="1" x14ac:dyDescent="0.45">
      <c r="A164" s="2" t="s">
        <v>465</v>
      </c>
      <c r="B164" s="2" t="s">
        <v>464</v>
      </c>
      <c r="C164" s="2">
        <v>2019</v>
      </c>
      <c r="D164" s="2">
        <v>11.852</v>
      </c>
      <c r="E164" s="2">
        <v>7.8739999999999997</v>
      </c>
      <c r="F164" s="2">
        <v>6.5000000000000002E-2</v>
      </c>
      <c r="G164" s="2" t="s">
        <v>146</v>
      </c>
      <c r="H164" s="2" t="s">
        <v>146</v>
      </c>
      <c r="I164" s="2">
        <v>3.8690000000000002</v>
      </c>
      <c r="J164" s="2">
        <v>4.3999999999999997E-2</v>
      </c>
      <c r="K164" s="2" t="s">
        <v>146</v>
      </c>
      <c r="L164" s="2" t="s">
        <v>146</v>
      </c>
      <c r="M164" s="2" t="s">
        <v>146</v>
      </c>
      <c r="N164" s="2" t="s">
        <v>49</v>
      </c>
      <c r="O164" s="2" t="s">
        <v>146</v>
      </c>
      <c r="P164" s="2" t="s">
        <v>49</v>
      </c>
      <c r="Q164" s="2" t="s">
        <v>146</v>
      </c>
      <c r="R164" s="2" t="s">
        <v>49</v>
      </c>
      <c r="S164" s="2" t="s">
        <v>146</v>
      </c>
      <c r="U164" s="2">
        <f t="shared" si="4"/>
        <v>11.852</v>
      </c>
      <c r="V164" s="2">
        <f t="shared" si="5"/>
        <v>0</v>
      </c>
    </row>
    <row r="165" spans="1:22" ht="15" customHeight="1" x14ac:dyDescent="0.45">
      <c r="A165" s="2" t="s">
        <v>459</v>
      </c>
      <c r="B165" s="2" t="s">
        <v>463</v>
      </c>
      <c r="C165" s="2">
        <v>2019</v>
      </c>
      <c r="D165" s="2">
        <v>14.1</v>
      </c>
      <c r="E165" s="2">
        <v>4.9000000000000004</v>
      </c>
      <c r="F165" s="2">
        <v>4.2</v>
      </c>
      <c r="G165" s="2">
        <v>0.52</v>
      </c>
      <c r="H165" s="2" t="s">
        <v>146</v>
      </c>
      <c r="I165" s="2">
        <v>1</v>
      </c>
      <c r="J165" s="2">
        <v>3.5</v>
      </c>
      <c r="K165" s="2" t="s">
        <v>146</v>
      </c>
      <c r="L165" s="2" t="s">
        <v>146</v>
      </c>
      <c r="M165" s="2" t="s">
        <v>146</v>
      </c>
      <c r="N165" s="2" t="s">
        <v>49</v>
      </c>
      <c r="O165" s="2" t="s">
        <v>146</v>
      </c>
      <c r="P165" s="2" t="s">
        <v>49</v>
      </c>
      <c r="Q165" s="2" t="s">
        <v>146</v>
      </c>
      <c r="R165" s="2" t="s">
        <v>49</v>
      </c>
      <c r="S165" s="2" t="s">
        <v>146</v>
      </c>
      <c r="U165" s="2">
        <f t="shared" si="4"/>
        <v>14.1</v>
      </c>
      <c r="V165" s="2">
        <f t="shared" si="5"/>
        <v>0</v>
      </c>
    </row>
    <row r="166" spans="1:22" ht="15" customHeight="1" x14ac:dyDescent="0.45">
      <c r="A166" s="2" t="s">
        <v>459</v>
      </c>
      <c r="B166" s="2" t="s">
        <v>462</v>
      </c>
      <c r="C166" s="2">
        <v>2019</v>
      </c>
      <c r="D166" s="2">
        <v>4.7</v>
      </c>
      <c r="E166" s="2">
        <v>0.8</v>
      </c>
      <c r="F166" s="2" t="s">
        <v>146</v>
      </c>
      <c r="G166" s="2">
        <v>3.3</v>
      </c>
      <c r="H166" s="2" t="s">
        <v>146</v>
      </c>
      <c r="I166" s="2">
        <v>0.4</v>
      </c>
      <c r="J166" s="2">
        <v>0.2</v>
      </c>
      <c r="K166" s="2" t="s">
        <v>146</v>
      </c>
      <c r="L166" s="2" t="s">
        <v>146</v>
      </c>
      <c r="M166" s="2" t="s">
        <v>146</v>
      </c>
      <c r="N166" s="2" t="s">
        <v>49</v>
      </c>
      <c r="O166" s="2" t="s">
        <v>146</v>
      </c>
      <c r="P166" s="2" t="s">
        <v>49</v>
      </c>
      <c r="Q166" s="2" t="s">
        <v>146</v>
      </c>
      <c r="R166" s="2" t="s">
        <v>49</v>
      </c>
      <c r="S166" s="2" t="s">
        <v>146</v>
      </c>
      <c r="U166" s="2">
        <f t="shared" si="4"/>
        <v>4.7</v>
      </c>
      <c r="V166" s="2">
        <f t="shared" si="5"/>
        <v>0</v>
      </c>
    </row>
    <row r="167" spans="1:22" ht="15" customHeight="1" x14ac:dyDescent="0.45">
      <c r="A167" s="2" t="s">
        <v>459</v>
      </c>
      <c r="B167" s="2" t="s">
        <v>461</v>
      </c>
      <c r="C167" s="2">
        <v>2019</v>
      </c>
      <c r="D167" s="2">
        <v>83</v>
      </c>
      <c r="E167" s="2">
        <v>32</v>
      </c>
      <c r="F167" s="2">
        <v>10.7</v>
      </c>
      <c r="G167" s="2">
        <v>15.1</v>
      </c>
      <c r="H167" s="2">
        <v>2.7</v>
      </c>
      <c r="I167" s="2">
        <v>11.4</v>
      </c>
      <c r="J167" s="2">
        <v>13.6</v>
      </c>
      <c r="K167" s="2">
        <v>0.6</v>
      </c>
      <c r="L167" s="2" t="s">
        <v>146</v>
      </c>
      <c r="M167" s="2" t="s">
        <v>146</v>
      </c>
      <c r="N167" s="2" t="s">
        <v>49</v>
      </c>
      <c r="O167" s="2" t="s">
        <v>146</v>
      </c>
      <c r="P167" s="2" t="s">
        <v>49</v>
      </c>
      <c r="Q167" s="2" t="s">
        <v>146</v>
      </c>
      <c r="R167" s="2" t="s">
        <v>49</v>
      </c>
      <c r="S167" s="2" t="s">
        <v>146</v>
      </c>
      <c r="U167" s="2">
        <f t="shared" si="4"/>
        <v>83</v>
      </c>
      <c r="V167" s="2">
        <f t="shared" si="5"/>
        <v>0</v>
      </c>
    </row>
    <row r="168" spans="1:22" ht="15" customHeight="1" x14ac:dyDescent="0.45">
      <c r="A168" s="2" t="s">
        <v>459</v>
      </c>
      <c r="B168" s="2" t="s">
        <v>460</v>
      </c>
      <c r="C168" s="2">
        <v>2019</v>
      </c>
      <c r="D168" s="2" t="s">
        <v>146</v>
      </c>
      <c r="E168" s="2" t="s">
        <v>146</v>
      </c>
      <c r="F168" s="2" t="s">
        <v>146</v>
      </c>
      <c r="G168" s="2" t="s">
        <v>146</v>
      </c>
      <c r="H168" s="2" t="s">
        <v>146</v>
      </c>
      <c r="I168" s="2" t="s">
        <v>146</v>
      </c>
      <c r="J168" s="2" t="s">
        <v>146</v>
      </c>
      <c r="K168" s="2" t="s">
        <v>146</v>
      </c>
      <c r="L168" s="2" t="s">
        <v>146</v>
      </c>
      <c r="M168" s="2" t="s">
        <v>146</v>
      </c>
      <c r="N168" s="2" t="s">
        <v>49</v>
      </c>
      <c r="O168" s="2" t="s">
        <v>146</v>
      </c>
      <c r="P168" s="2" t="s">
        <v>49</v>
      </c>
      <c r="Q168" s="2" t="s">
        <v>146</v>
      </c>
      <c r="R168" s="2" t="s">
        <v>49</v>
      </c>
      <c r="S168" s="2" t="s">
        <v>146</v>
      </c>
      <c r="U168" s="2">
        <f t="shared" si="4"/>
        <v>0</v>
      </c>
      <c r="V168" s="2">
        <f t="shared" si="5"/>
        <v>0</v>
      </c>
    </row>
    <row r="169" spans="1:22" ht="15" customHeight="1" x14ac:dyDescent="0.45">
      <c r="A169" s="2" t="s">
        <v>459</v>
      </c>
      <c r="B169" s="2" t="s">
        <v>458</v>
      </c>
      <c r="C169" s="2">
        <v>2019</v>
      </c>
      <c r="D169" s="2">
        <v>3.8</v>
      </c>
      <c r="E169" s="2">
        <v>1</v>
      </c>
      <c r="F169" s="2" t="s">
        <v>146</v>
      </c>
      <c r="G169" s="2">
        <v>2.2999999999999998</v>
      </c>
      <c r="H169" s="2" t="s">
        <v>146</v>
      </c>
      <c r="I169" s="2">
        <v>0.2</v>
      </c>
      <c r="J169" s="2">
        <v>0.25</v>
      </c>
      <c r="K169" s="2" t="s">
        <v>146</v>
      </c>
      <c r="L169" s="2" t="s">
        <v>146</v>
      </c>
      <c r="M169" s="2" t="s">
        <v>146</v>
      </c>
      <c r="N169" s="2" t="s">
        <v>49</v>
      </c>
      <c r="O169" s="2" t="s">
        <v>146</v>
      </c>
      <c r="P169" s="2" t="s">
        <v>49</v>
      </c>
      <c r="Q169" s="2" t="s">
        <v>146</v>
      </c>
      <c r="R169" s="2" t="s">
        <v>49</v>
      </c>
      <c r="S169" s="2" t="s">
        <v>146</v>
      </c>
      <c r="U169" s="2">
        <f t="shared" si="4"/>
        <v>3.8</v>
      </c>
      <c r="V169" s="2">
        <f t="shared" si="5"/>
        <v>0</v>
      </c>
    </row>
    <row r="170" spans="1:22" ht="15" customHeight="1" x14ac:dyDescent="0.45">
      <c r="A170" s="2" t="s">
        <v>457</v>
      </c>
      <c r="B170" s="2" t="s">
        <v>456</v>
      </c>
      <c r="C170" s="2">
        <v>2019</v>
      </c>
      <c r="D170" s="2">
        <v>147.9</v>
      </c>
      <c r="E170" s="2">
        <v>42.9</v>
      </c>
      <c r="F170" s="2">
        <v>33.299999999999997</v>
      </c>
      <c r="G170" s="2">
        <v>26</v>
      </c>
      <c r="H170" s="2" t="s">
        <v>146</v>
      </c>
      <c r="I170" s="2">
        <v>15.7</v>
      </c>
      <c r="J170" s="2">
        <v>18.100000000000001</v>
      </c>
      <c r="K170" s="2">
        <v>0</v>
      </c>
      <c r="L170" s="2">
        <v>0</v>
      </c>
      <c r="M170" s="2">
        <v>0</v>
      </c>
      <c r="N170" s="2" t="s">
        <v>1055</v>
      </c>
      <c r="O170" s="2" t="s">
        <v>146</v>
      </c>
      <c r="P170" s="2" t="s">
        <v>49</v>
      </c>
      <c r="Q170" s="2" t="s">
        <v>146</v>
      </c>
      <c r="R170" s="2" t="s">
        <v>49</v>
      </c>
      <c r="S170" s="2" t="s">
        <v>146</v>
      </c>
      <c r="U170" s="2">
        <f t="shared" si="4"/>
        <v>147.9</v>
      </c>
      <c r="V170" s="2">
        <f t="shared" si="5"/>
        <v>0</v>
      </c>
    </row>
    <row r="171" spans="1:22" ht="15" customHeight="1" x14ac:dyDescent="0.45">
      <c r="A171" s="2" t="s">
        <v>453</v>
      </c>
      <c r="B171" s="2" t="s">
        <v>455</v>
      </c>
      <c r="C171" s="2">
        <v>2019</v>
      </c>
      <c r="D171" s="2">
        <v>8.1</v>
      </c>
      <c r="E171" s="2">
        <v>3</v>
      </c>
      <c r="F171" s="2">
        <v>0.7</v>
      </c>
      <c r="G171" s="2">
        <v>0.2</v>
      </c>
      <c r="H171" s="2">
        <v>0</v>
      </c>
      <c r="I171" s="2">
        <v>1.8</v>
      </c>
      <c r="J171" s="2">
        <v>2.4</v>
      </c>
      <c r="K171" s="2">
        <v>0</v>
      </c>
      <c r="L171" s="2">
        <v>0</v>
      </c>
      <c r="M171" s="2">
        <v>0</v>
      </c>
      <c r="N171" s="2" t="s">
        <v>49</v>
      </c>
      <c r="O171" s="2" t="s">
        <v>146</v>
      </c>
      <c r="P171" s="2" t="s">
        <v>49</v>
      </c>
      <c r="Q171" s="2" t="s">
        <v>146</v>
      </c>
      <c r="R171" s="2" t="s">
        <v>49</v>
      </c>
      <c r="S171" s="2" t="s">
        <v>146</v>
      </c>
      <c r="U171" s="2">
        <f t="shared" si="4"/>
        <v>8.1</v>
      </c>
      <c r="V171" s="2">
        <f t="shared" si="5"/>
        <v>0</v>
      </c>
    </row>
    <row r="172" spans="1:22" ht="15" customHeight="1" x14ac:dyDescent="0.45">
      <c r="A172" s="2" t="s">
        <v>453</v>
      </c>
      <c r="B172" s="2" t="s">
        <v>454</v>
      </c>
      <c r="C172" s="2">
        <v>2019</v>
      </c>
      <c r="D172" s="2">
        <v>11.1</v>
      </c>
      <c r="E172" s="2">
        <v>4.4000000000000004</v>
      </c>
      <c r="F172" s="2">
        <v>1.2</v>
      </c>
      <c r="G172" s="2">
        <v>2</v>
      </c>
      <c r="H172" s="2">
        <v>0</v>
      </c>
      <c r="I172" s="2">
        <v>1.4</v>
      </c>
      <c r="J172" s="2">
        <v>2.1</v>
      </c>
      <c r="K172" s="2">
        <v>0</v>
      </c>
      <c r="L172" s="2">
        <v>0</v>
      </c>
      <c r="M172" s="2">
        <v>0</v>
      </c>
      <c r="N172" s="2" t="s">
        <v>49</v>
      </c>
      <c r="O172" s="2" t="s">
        <v>146</v>
      </c>
      <c r="P172" s="2" t="s">
        <v>49</v>
      </c>
      <c r="Q172" s="2" t="s">
        <v>146</v>
      </c>
      <c r="R172" s="2" t="s">
        <v>49</v>
      </c>
      <c r="S172" s="2" t="s">
        <v>146</v>
      </c>
      <c r="U172" s="2">
        <f t="shared" si="4"/>
        <v>11.1</v>
      </c>
      <c r="V172" s="2">
        <f t="shared" si="5"/>
        <v>0</v>
      </c>
    </row>
    <row r="173" spans="1:22" ht="15" customHeight="1" x14ac:dyDescent="0.45">
      <c r="A173" s="2" t="s">
        <v>453</v>
      </c>
      <c r="B173" s="2" t="s">
        <v>452</v>
      </c>
      <c r="C173" s="2">
        <v>2019</v>
      </c>
      <c r="D173" s="2">
        <v>61.7</v>
      </c>
      <c r="E173" s="2">
        <v>28</v>
      </c>
      <c r="F173" s="2">
        <v>9</v>
      </c>
      <c r="G173" s="2">
        <v>3.6</v>
      </c>
      <c r="H173" s="2">
        <v>0</v>
      </c>
      <c r="I173" s="2">
        <v>9.9</v>
      </c>
      <c r="J173" s="2">
        <v>10.9</v>
      </c>
      <c r="K173" s="2">
        <v>0</v>
      </c>
      <c r="L173" s="2">
        <v>0.3</v>
      </c>
      <c r="M173" s="2">
        <v>0</v>
      </c>
      <c r="N173" s="2" t="s">
        <v>49</v>
      </c>
      <c r="O173" s="2" t="s">
        <v>146</v>
      </c>
      <c r="P173" s="2" t="s">
        <v>49</v>
      </c>
      <c r="Q173" s="2" t="s">
        <v>146</v>
      </c>
      <c r="R173" s="2" t="s">
        <v>49</v>
      </c>
      <c r="S173" s="2" t="s">
        <v>146</v>
      </c>
      <c r="U173" s="2">
        <f t="shared" si="4"/>
        <v>61.7</v>
      </c>
      <c r="V173" s="2">
        <f t="shared" si="5"/>
        <v>0</v>
      </c>
    </row>
    <row r="174" spans="1:22" ht="15" customHeight="1" x14ac:dyDescent="0.45">
      <c r="A174" s="2" t="s">
        <v>449</v>
      </c>
      <c r="B174" s="2" t="s">
        <v>451</v>
      </c>
      <c r="C174" s="2">
        <v>2019</v>
      </c>
      <c r="D174" s="2">
        <v>820.2</v>
      </c>
      <c r="E174" s="2">
        <v>271.8</v>
      </c>
      <c r="F174" s="2">
        <v>207.4</v>
      </c>
      <c r="G174" s="2">
        <v>6.5</v>
      </c>
      <c r="H174" s="2" t="s">
        <v>146</v>
      </c>
      <c r="I174" s="2">
        <v>103.4</v>
      </c>
      <c r="J174" s="2">
        <v>159.6</v>
      </c>
      <c r="K174" s="2">
        <v>8.6999999999999993</v>
      </c>
      <c r="L174" s="2">
        <v>0.9</v>
      </c>
      <c r="M174" s="2">
        <v>62.9</v>
      </c>
      <c r="N174" s="2" t="s">
        <v>49</v>
      </c>
      <c r="O174" s="2" t="s">
        <v>146</v>
      </c>
      <c r="P174" s="2" t="s">
        <v>49</v>
      </c>
      <c r="Q174" s="2" t="s">
        <v>146</v>
      </c>
      <c r="R174" s="2" t="s">
        <v>49</v>
      </c>
      <c r="S174" s="2" t="s">
        <v>146</v>
      </c>
      <c r="U174" s="2">
        <f t="shared" si="4"/>
        <v>820.2</v>
      </c>
      <c r="V174" s="2">
        <f t="shared" si="5"/>
        <v>0</v>
      </c>
    </row>
    <row r="175" spans="1:22" ht="15" customHeight="1" x14ac:dyDescent="0.45">
      <c r="A175" s="2" t="s">
        <v>449</v>
      </c>
      <c r="B175" s="2" t="s">
        <v>450</v>
      </c>
      <c r="C175" s="2">
        <v>2019</v>
      </c>
      <c r="D175" s="2">
        <v>6.7</v>
      </c>
      <c r="E175" s="2" t="s">
        <v>146</v>
      </c>
      <c r="F175" s="2" t="s">
        <v>146</v>
      </c>
      <c r="G175" s="2" t="s">
        <v>146</v>
      </c>
      <c r="H175" s="2" t="s">
        <v>146</v>
      </c>
      <c r="I175" s="2">
        <v>1.5</v>
      </c>
      <c r="J175" s="2">
        <v>5.2</v>
      </c>
      <c r="K175" s="2" t="s">
        <v>146</v>
      </c>
      <c r="L175" s="2" t="s">
        <v>146</v>
      </c>
      <c r="M175" s="2" t="s">
        <v>146</v>
      </c>
      <c r="N175" s="2" t="s">
        <v>49</v>
      </c>
      <c r="O175" s="2" t="s">
        <v>146</v>
      </c>
      <c r="P175" s="2" t="s">
        <v>49</v>
      </c>
      <c r="Q175" s="2" t="s">
        <v>146</v>
      </c>
      <c r="R175" s="2" t="s">
        <v>49</v>
      </c>
      <c r="S175" s="2" t="s">
        <v>146</v>
      </c>
      <c r="U175" s="2">
        <f t="shared" si="4"/>
        <v>6.7</v>
      </c>
      <c r="V175" s="2">
        <f t="shared" si="5"/>
        <v>0</v>
      </c>
    </row>
    <row r="176" spans="1:22" ht="15" customHeight="1" x14ac:dyDescent="0.45">
      <c r="A176" s="2" t="s">
        <v>449</v>
      </c>
      <c r="B176" s="2" t="s">
        <v>448</v>
      </c>
      <c r="C176" s="2">
        <v>2019</v>
      </c>
      <c r="D176" s="2">
        <v>22.2</v>
      </c>
      <c r="E176" s="2">
        <v>4.7</v>
      </c>
      <c r="F176" s="2">
        <v>11.7</v>
      </c>
      <c r="G176" s="2" t="s">
        <v>146</v>
      </c>
      <c r="H176" s="2" t="s">
        <v>146</v>
      </c>
      <c r="I176" s="2">
        <v>4</v>
      </c>
      <c r="J176" s="2">
        <v>1.8</v>
      </c>
      <c r="K176" s="2" t="s">
        <v>146</v>
      </c>
      <c r="L176" s="2" t="s">
        <v>146</v>
      </c>
      <c r="M176" s="2" t="s">
        <v>146</v>
      </c>
      <c r="N176" s="2" t="s">
        <v>49</v>
      </c>
      <c r="O176" s="2" t="s">
        <v>146</v>
      </c>
      <c r="P176" s="2" t="s">
        <v>49</v>
      </c>
      <c r="Q176" s="2" t="s">
        <v>146</v>
      </c>
      <c r="R176" s="2" t="s">
        <v>49</v>
      </c>
      <c r="S176" s="2" t="s">
        <v>146</v>
      </c>
      <c r="U176" s="2">
        <f t="shared" si="4"/>
        <v>22.2</v>
      </c>
      <c r="V176" s="2">
        <f t="shared" si="5"/>
        <v>0</v>
      </c>
    </row>
    <row r="177" spans="1:22" ht="15" customHeight="1" x14ac:dyDescent="0.45">
      <c r="A177" s="2" t="s">
        <v>447</v>
      </c>
      <c r="B177" s="2" t="s">
        <v>446</v>
      </c>
      <c r="C177" s="2">
        <v>2019</v>
      </c>
      <c r="D177" s="2">
        <v>27</v>
      </c>
      <c r="E177" s="2">
        <v>7.5</v>
      </c>
      <c r="F177" s="2" t="s">
        <v>146</v>
      </c>
      <c r="G177" s="2">
        <v>6.2</v>
      </c>
      <c r="H177" s="2" t="s">
        <v>146</v>
      </c>
      <c r="I177" s="2">
        <v>8.6</v>
      </c>
      <c r="J177" s="2">
        <v>4.5</v>
      </c>
      <c r="K177" s="2" t="s">
        <v>146</v>
      </c>
      <c r="L177" s="2" t="s">
        <v>146</v>
      </c>
      <c r="M177" s="2" t="s">
        <v>146</v>
      </c>
      <c r="N177" s="2" t="s">
        <v>49</v>
      </c>
      <c r="O177" s="2" t="s">
        <v>146</v>
      </c>
      <c r="P177" s="2" t="s">
        <v>49</v>
      </c>
      <c r="Q177" s="2" t="s">
        <v>146</v>
      </c>
      <c r="R177" s="2" t="s">
        <v>49</v>
      </c>
      <c r="S177" s="2" t="s">
        <v>146</v>
      </c>
      <c r="U177" s="2">
        <f t="shared" si="4"/>
        <v>27</v>
      </c>
      <c r="V177" s="2">
        <f t="shared" si="5"/>
        <v>0</v>
      </c>
    </row>
    <row r="178" spans="1:22" ht="15" customHeight="1" x14ac:dyDescent="0.45">
      <c r="A178" s="2" t="s">
        <v>444</v>
      </c>
      <c r="B178" s="2" t="s">
        <v>445</v>
      </c>
      <c r="C178" s="2">
        <v>2019</v>
      </c>
      <c r="D178" s="2">
        <v>90.04</v>
      </c>
      <c r="E178" s="2">
        <v>36.090000000000003</v>
      </c>
      <c r="F178" s="2">
        <v>11.11</v>
      </c>
      <c r="G178" s="2">
        <v>15.07</v>
      </c>
      <c r="H178" s="2">
        <v>6.63</v>
      </c>
      <c r="I178" s="2">
        <v>17.5</v>
      </c>
      <c r="J178" s="2">
        <v>12.39</v>
      </c>
      <c r="K178" s="2" t="s">
        <v>146</v>
      </c>
      <c r="L178" s="2" t="s">
        <v>146</v>
      </c>
      <c r="M178" s="2" t="s">
        <v>146</v>
      </c>
      <c r="N178" s="2" t="s">
        <v>146</v>
      </c>
      <c r="O178" s="2" t="s">
        <v>146</v>
      </c>
      <c r="P178" s="2" t="s">
        <v>146</v>
      </c>
      <c r="Q178" s="2" t="s">
        <v>146</v>
      </c>
      <c r="R178" s="2" t="s">
        <v>146</v>
      </c>
      <c r="S178" s="2" t="s">
        <v>146</v>
      </c>
      <c r="U178" s="2">
        <f t="shared" si="4"/>
        <v>90.04</v>
      </c>
      <c r="V178" s="2">
        <f t="shared" si="5"/>
        <v>0</v>
      </c>
    </row>
    <row r="179" spans="1:22" ht="15" customHeight="1" x14ac:dyDescent="0.45">
      <c r="A179" s="2" t="s">
        <v>444</v>
      </c>
      <c r="B179" s="2" t="s">
        <v>443</v>
      </c>
      <c r="C179" s="2">
        <v>2019</v>
      </c>
      <c r="D179" s="2">
        <v>1.2310000000000001</v>
      </c>
      <c r="E179" s="2">
        <v>0.69099999999999995</v>
      </c>
      <c r="F179" s="2" t="s">
        <v>146</v>
      </c>
      <c r="G179" s="2" t="s">
        <v>146</v>
      </c>
      <c r="H179" s="2" t="s">
        <v>146</v>
      </c>
      <c r="I179" s="2">
        <v>0.54</v>
      </c>
      <c r="J179" s="2" t="s">
        <v>146</v>
      </c>
      <c r="K179" s="2" t="s">
        <v>146</v>
      </c>
      <c r="L179" s="2" t="s">
        <v>146</v>
      </c>
      <c r="M179" s="2" t="s">
        <v>146</v>
      </c>
      <c r="N179" s="2" t="s">
        <v>146</v>
      </c>
      <c r="O179" s="2" t="s">
        <v>146</v>
      </c>
      <c r="P179" s="2" t="s">
        <v>146</v>
      </c>
      <c r="Q179" s="2" t="s">
        <v>146</v>
      </c>
      <c r="R179" s="2" t="s">
        <v>146</v>
      </c>
      <c r="S179" s="2" t="s">
        <v>146</v>
      </c>
      <c r="U179" s="2">
        <f t="shared" si="4"/>
        <v>1.2310000000000001</v>
      </c>
      <c r="V179" s="2">
        <f t="shared" si="5"/>
        <v>0</v>
      </c>
    </row>
    <row r="180" spans="1:22" ht="15" customHeight="1" x14ac:dyDescent="0.45">
      <c r="A180" s="2" t="s">
        <v>442</v>
      </c>
      <c r="B180" s="2" t="s">
        <v>441</v>
      </c>
      <c r="C180" s="2">
        <v>2019</v>
      </c>
      <c r="D180" s="2">
        <v>174.3</v>
      </c>
      <c r="E180" s="2">
        <v>63</v>
      </c>
      <c r="F180" s="2">
        <v>38</v>
      </c>
      <c r="G180" s="2">
        <v>30.4</v>
      </c>
      <c r="H180" s="2" t="s">
        <v>146</v>
      </c>
      <c r="I180" s="2">
        <v>23.3</v>
      </c>
      <c r="J180" s="2">
        <v>21.1</v>
      </c>
      <c r="K180" s="2">
        <v>0.2</v>
      </c>
      <c r="L180" s="2" t="s">
        <v>146</v>
      </c>
      <c r="M180" s="2" t="s">
        <v>146</v>
      </c>
      <c r="N180" s="2" t="s">
        <v>1054</v>
      </c>
      <c r="O180" s="2">
        <v>0.24</v>
      </c>
      <c r="P180" s="2" t="s">
        <v>176</v>
      </c>
      <c r="Q180" s="2" t="s">
        <v>146</v>
      </c>
      <c r="R180" s="2" t="s">
        <v>176</v>
      </c>
      <c r="S180" s="2" t="s">
        <v>146</v>
      </c>
      <c r="U180" s="2">
        <f t="shared" si="4"/>
        <v>174.3</v>
      </c>
      <c r="V180" s="2">
        <f t="shared" si="5"/>
        <v>0.24</v>
      </c>
    </row>
    <row r="181" spans="1:22" ht="15" customHeight="1" x14ac:dyDescent="0.45">
      <c r="A181" s="2" t="s">
        <v>440</v>
      </c>
      <c r="B181" s="2" t="s">
        <v>439</v>
      </c>
      <c r="C181" s="2">
        <v>2019</v>
      </c>
      <c r="D181" s="2" t="s">
        <v>49</v>
      </c>
      <c r="E181" s="2" t="s">
        <v>49</v>
      </c>
      <c r="F181" s="2" t="s">
        <v>49</v>
      </c>
      <c r="G181" s="2" t="s">
        <v>49</v>
      </c>
      <c r="H181" s="2" t="s">
        <v>49</v>
      </c>
      <c r="I181" s="2" t="s">
        <v>49</v>
      </c>
      <c r="J181" s="2" t="s">
        <v>49</v>
      </c>
      <c r="K181" s="2" t="s">
        <v>49</v>
      </c>
      <c r="L181" s="2" t="s">
        <v>49</v>
      </c>
      <c r="M181" s="2" t="s">
        <v>49</v>
      </c>
      <c r="N181" s="2" t="s">
        <v>49</v>
      </c>
      <c r="O181" s="2" t="s">
        <v>49</v>
      </c>
      <c r="P181" s="2" t="s">
        <v>49</v>
      </c>
      <c r="Q181" s="2" t="s">
        <v>49</v>
      </c>
      <c r="R181" s="2" t="s">
        <v>49</v>
      </c>
      <c r="S181" s="2" t="s">
        <v>49</v>
      </c>
      <c r="U181" s="2">
        <f t="shared" si="4"/>
        <v>0</v>
      </c>
      <c r="V181" s="2">
        <f t="shared" si="5"/>
        <v>0</v>
      </c>
    </row>
    <row r="182" spans="1:22" ht="15" customHeight="1" x14ac:dyDescent="0.45">
      <c r="A182" s="2" t="s">
        <v>438</v>
      </c>
      <c r="B182" s="2" t="s">
        <v>437</v>
      </c>
      <c r="C182" s="2">
        <v>2019</v>
      </c>
      <c r="D182" s="2" t="s">
        <v>49</v>
      </c>
      <c r="E182" s="2" t="s">
        <v>49</v>
      </c>
      <c r="F182" s="2" t="s">
        <v>49</v>
      </c>
      <c r="G182" s="2" t="s">
        <v>49</v>
      </c>
      <c r="H182" s="2" t="s">
        <v>49</v>
      </c>
      <c r="I182" s="2" t="s">
        <v>49</v>
      </c>
      <c r="J182" s="2" t="s">
        <v>49</v>
      </c>
      <c r="K182" s="2" t="s">
        <v>49</v>
      </c>
      <c r="L182" s="2" t="s">
        <v>49</v>
      </c>
      <c r="M182" s="2" t="s">
        <v>49</v>
      </c>
      <c r="N182" s="2" t="s">
        <v>49</v>
      </c>
      <c r="O182" s="2" t="s">
        <v>49</v>
      </c>
      <c r="P182" s="2" t="s">
        <v>49</v>
      </c>
      <c r="Q182" s="2" t="s">
        <v>49</v>
      </c>
      <c r="R182" s="2" t="s">
        <v>49</v>
      </c>
      <c r="S182" s="2" t="s">
        <v>49</v>
      </c>
      <c r="U182" s="2">
        <f t="shared" si="4"/>
        <v>0</v>
      </c>
      <c r="V182" s="2">
        <f t="shared" si="5"/>
        <v>0</v>
      </c>
    </row>
    <row r="183" spans="1:22" ht="15" customHeight="1" x14ac:dyDescent="0.45">
      <c r="A183" s="2" t="s">
        <v>432</v>
      </c>
      <c r="B183" s="2" t="s">
        <v>436</v>
      </c>
      <c r="C183" s="2">
        <v>2019</v>
      </c>
      <c r="D183" s="2">
        <v>38.299999999999997</v>
      </c>
      <c r="E183" s="2">
        <v>14.9</v>
      </c>
      <c r="F183" s="2">
        <v>4.8</v>
      </c>
      <c r="G183" s="2">
        <v>8.6</v>
      </c>
      <c r="H183" s="2" t="s">
        <v>146</v>
      </c>
      <c r="I183" s="2">
        <v>8.5</v>
      </c>
      <c r="J183" s="2">
        <v>0.7</v>
      </c>
      <c r="K183" s="2" t="s">
        <v>146</v>
      </c>
      <c r="L183" s="2">
        <v>0.1</v>
      </c>
      <c r="M183" s="2" t="s">
        <v>146</v>
      </c>
      <c r="N183" s="2" t="s">
        <v>49</v>
      </c>
      <c r="O183" s="2" t="s">
        <v>146</v>
      </c>
      <c r="P183" s="2" t="s">
        <v>49</v>
      </c>
      <c r="Q183" s="2" t="s">
        <v>146</v>
      </c>
      <c r="R183" s="2" t="s">
        <v>49</v>
      </c>
      <c r="S183" s="2" t="s">
        <v>146</v>
      </c>
      <c r="U183" s="2">
        <f t="shared" si="4"/>
        <v>38.299999999999997</v>
      </c>
      <c r="V183" s="2">
        <f t="shared" si="5"/>
        <v>0</v>
      </c>
    </row>
    <row r="184" spans="1:22" ht="15" customHeight="1" x14ac:dyDescent="0.45">
      <c r="A184" s="2" t="s">
        <v>432</v>
      </c>
      <c r="B184" s="2" t="s">
        <v>435</v>
      </c>
      <c r="C184" s="2">
        <v>2019</v>
      </c>
      <c r="D184" s="2" t="s">
        <v>146</v>
      </c>
      <c r="E184" s="2" t="s">
        <v>146</v>
      </c>
      <c r="F184" s="2" t="s">
        <v>146</v>
      </c>
      <c r="G184" s="2" t="s">
        <v>146</v>
      </c>
      <c r="H184" s="2" t="s">
        <v>146</v>
      </c>
      <c r="I184" s="2" t="s">
        <v>146</v>
      </c>
      <c r="J184" s="2" t="s">
        <v>146</v>
      </c>
      <c r="K184" s="2" t="s">
        <v>146</v>
      </c>
      <c r="L184" s="2" t="s">
        <v>146</v>
      </c>
      <c r="M184" s="2" t="s">
        <v>146</v>
      </c>
      <c r="N184" s="2" t="s">
        <v>49</v>
      </c>
      <c r="O184" s="2" t="s">
        <v>146</v>
      </c>
      <c r="P184" s="2" t="s">
        <v>49</v>
      </c>
      <c r="Q184" s="2" t="s">
        <v>146</v>
      </c>
      <c r="R184" s="2" t="s">
        <v>49</v>
      </c>
      <c r="S184" s="2" t="s">
        <v>146</v>
      </c>
      <c r="U184" s="2">
        <f t="shared" si="4"/>
        <v>0</v>
      </c>
      <c r="V184" s="2">
        <f t="shared" si="5"/>
        <v>0</v>
      </c>
    </row>
    <row r="185" spans="1:22" ht="15" customHeight="1" x14ac:dyDescent="0.45">
      <c r="A185" s="2" t="s">
        <v>432</v>
      </c>
      <c r="B185" s="2" t="s">
        <v>434</v>
      </c>
      <c r="C185" s="2">
        <v>2019</v>
      </c>
      <c r="D185" s="2">
        <v>1437.5</v>
      </c>
      <c r="E185" s="2">
        <v>533</v>
      </c>
      <c r="F185" s="2">
        <v>275</v>
      </c>
      <c r="G185" s="2">
        <v>115.1</v>
      </c>
      <c r="H185" s="2">
        <v>9.9</v>
      </c>
      <c r="I185" s="2">
        <v>181</v>
      </c>
      <c r="J185" s="2">
        <v>203</v>
      </c>
      <c r="K185" s="2">
        <v>23.5</v>
      </c>
      <c r="L185" s="2">
        <v>97</v>
      </c>
      <c r="M185" s="2" t="s">
        <v>146</v>
      </c>
      <c r="N185" s="2" t="s">
        <v>49</v>
      </c>
      <c r="O185" s="2" t="s">
        <v>146</v>
      </c>
      <c r="P185" s="2" t="s">
        <v>49</v>
      </c>
      <c r="Q185" s="2" t="s">
        <v>146</v>
      </c>
      <c r="R185" s="2" t="s">
        <v>49</v>
      </c>
      <c r="S185" s="2" t="s">
        <v>146</v>
      </c>
      <c r="U185" s="2">
        <f t="shared" si="4"/>
        <v>1437.5</v>
      </c>
      <c r="V185" s="2">
        <f t="shared" si="5"/>
        <v>0</v>
      </c>
    </row>
    <row r="186" spans="1:22" ht="15" customHeight="1" x14ac:dyDescent="0.45">
      <c r="A186" s="2" t="s">
        <v>432</v>
      </c>
      <c r="B186" s="2" t="s">
        <v>431</v>
      </c>
      <c r="C186" s="2">
        <v>2019</v>
      </c>
      <c r="D186" s="2">
        <v>45.137</v>
      </c>
      <c r="E186" s="2">
        <v>0.77</v>
      </c>
      <c r="F186" s="2" t="s">
        <v>146</v>
      </c>
      <c r="G186" s="2">
        <v>0.25900000000000001</v>
      </c>
      <c r="H186" s="2" t="s">
        <v>146</v>
      </c>
      <c r="I186" s="2">
        <v>29.478999999999999</v>
      </c>
      <c r="J186" s="2">
        <v>14.629</v>
      </c>
      <c r="K186" s="2" t="s">
        <v>146</v>
      </c>
      <c r="L186" s="2" t="s">
        <v>146</v>
      </c>
      <c r="M186" s="2" t="s">
        <v>146</v>
      </c>
      <c r="N186" s="2" t="s">
        <v>49</v>
      </c>
      <c r="O186" s="2" t="s">
        <v>146</v>
      </c>
      <c r="P186" s="2" t="s">
        <v>49</v>
      </c>
      <c r="Q186" s="2" t="s">
        <v>146</v>
      </c>
      <c r="R186" s="2" t="s">
        <v>49</v>
      </c>
      <c r="S186" s="2" t="s">
        <v>146</v>
      </c>
      <c r="U186" s="2">
        <f t="shared" si="4"/>
        <v>45.137</v>
      </c>
      <c r="V186" s="2">
        <f t="shared" si="5"/>
        <v>0</v>
      </c>
    </row>
    <row r="187" spans="1:22" ht="15" customHeight="1" x14ac:dyDescent="0.45">
      <c r="A187" s="2" t="s">
        <v>428</v>
      </c>
      <c r="B187" s="2" t="s">
        <v>430</v>
      </c>
      <c r="C187" s="2">
        <v>2019</v>
      </c>
      <c r="D187" s="2">
        <v>322.67500000000001</v>
      </c>
      <c r="E187" s="2">
        <v>93.373000000000005</v>
      </c>
      <c r="F187" s="2">
        <v>18.286000000000001</v>
      </c>
      <c r="G187" s="2">
        <v>18.914999999999999</v>
      </c>
      <c r="H187" s="2" t="s">
        <v>146</v>
      </c>
      <c r="I187" s="2">
        <v>34.112000000000002</v>
      </c>
      <c r="J187" s="2">
        <v>42.360999999999997</v>
      </c>
      <c r="K187" s="2">
        <v>0.67500000000000004</v>
      </c>
      <c r="L187" s="2">
        <v>5.3179999999999996</v>
      </c>
      <c r="M187" s="2" t="s">
        <v>146</v>
      </c>
      <c r="N187" s="2" t="s">
        <v>965</v>
      </c>
      <c r="O187" s="2">
        <v>109.63500000000001</v>
      </c>
      <c r="P187" s="2" t="s">
        <v>49</v>
      </c>
      <c r="Q187" s="2" t="s">
        <v>146</v>
      </c>
      <c r="R187" s="2" t="s">
        <v>49</v>
      </c>
      <c r="S187" s="2" t="s">
        <v>146</v>
      </c>
      <c r="U187" s="2">
        <f t="shared" si="4"/>
        <v>322.67500000000001</v>
      </c>
      <c r="V187" s="2">
        <f t="shared" si="5"/>
        <v>109.63500000000001</v>
      </c>
    </row>
    <row r="188" spans="1:22" ht="15" customHeight="1" x14ac:dyDescent="0.45">
      <c r="A188" s="2" t="s">
        <v>428</v>
      </c>
      <c r="B188" s="2" t="s">
        <v>429</v>
      </c>
      <c r="C188" s="2">
        <v>2019</v>
      </c>
      <c r="D188" s="2">
        <v>60.075000000000003</v>
      </c>
      <c r="E188" s="2">
        <v>27.364999999999998</v>
      </c>
      <c r="F188" s="2">
        <v>0</v>
      </c>
      <c r="G188" s="2">
        <v>4.0350000000000001</v>
      </c>
      <c r="H188" s="2" t="s">
        <v>146</v>
      </c>
      <c r="I188" s="2">
        <v>7.585</v>
      </c>
      <c r="J188" s="2">
        <v>21.09</v>
      </c>
      <c r="K188" s="2">
        <v>0</v>
      </c>
      <c r="L188" s="2">
        <v>0</v>
      </c>
      <c r="M188" s="2">
        <v>4.0339999999999998</v>
      </c>
      <c r="N188" s="2" t="s">
        <v>49</v>
      </c>
      <c r="O188" s="2" t="s">
        <v>146</v>
      </c>
      <c r="P188" s="2" t="s">
        <v>49</v>
      </c>
      <c r="Q188" s="2" t="s">
        <v>146</v>
      </c>
      <c r="R188" s="2" t="s">
        <v>49</v>
      </c>
      <c r="S188" s="2" t="s">
        <v>146</v>
      </c>
      <c r="U188" s="2">
        <f t="shared" si="4"/>
        <v>60.075000000000003</v>
      </c>
      <c r="V188" s="2">
        <f t="shared" si="5"/>
        <v>0</v>
      </c>
    </row>
    <row r="189" spans="1:22" ht="15" customHeight="1" x14ac:dyDescent="0.45">
      <c r="A189" s="2" t="s">
        <v>428</v>
      </c>
      <c r="B189" s="2" t="s">
        <v>427</v>
      </c>
      <c r="C189" s="2">
        <v>2019</v>
      </c>
      <c r="D189" s="2" t="s">
        <v>49</v>
      </c>
      <c r="E189" s="2" t="s">
        <v>49</v>
      </c>
      <c r="F189" s="2" t="s">
        <v>49</v>
      </c>
      <c r="G189" s="2" t="s">
        <v>49</v>
      </c>
      <c r="H189" s="2" t="s">
        <v>49</v>
      </c>
      <c r="I189" s="2" t="s">
        <v>49</v>
      </c>
      <c r="J189" s="2" t="s">
        <v>49</v>
      </c>
      <c r="K189" s="2" t="s">
        <v>49</v>
      </c>
      <c r="L189" s="2" t="s">
        <v>49</v>
      </c>
      <c r="M189" s="2" t="s">
        <v>49</v>
      </c>
      <c r="N189" s="2" t="s">
        <v>49</v>
      </c>
      <c r="O189" s="2" t="s">
        <v>49</v>
      </c>
      <c r="P189" s="2" t="s">
        <v>49</v>
      </c>
      <c r="Q189" s="2" t="s">
        <v>49</v>
      </c>
      <c r="R189" s="2" t="s">
        <v>49</v>
      </c>
      <c r="S189" s="2" t="s">
        <v>49</v>
      </c>
      <c r="U189" s="2">
        <f t="shared" si="4"/>
        <v>0</v>
      </c>
      <c r="V189" s="2">
        <f t="shared" si="5"/>
        <v>0</v>
      </c>
    </row>
    <row r="190" spans="1:22" ht="15" customHeight="1" x14ac:dyDescent="0.45">
      <c r="A190" s="2" t="s">
        <v>418</v>
      </c>
      <c r="B190" s="2" t="s">
        <v>426</v>
      </c>
      <c r="C190" s="2">
        <v>2019</v>
      </c>
      <c r="D190" s="2">
        <v>2.7909999999999999</v>
      </c>
      <c r="E190" s="2">
        <v>2.7909999999999999</v>
      </c>
      <c r="F190" s="2">
        <v>0</v>
      </c>
      <c r="G190" s="2">
        <v>0</v>
      </c>
      <c r="H190" s="2">
        <v>0</v>
      </c>
      <c r="I190" s="2">
        <v>0</v>
      </c>
      <c r="J190" s="2">
        <v>0</v>
      </c>
      <c r="K190" s="2">
        <v>0</v>
      </c>
      <c r="L190" s="2">
        <v>0</v>
      </c>
      <c r="M190" s="2">
        <v>0</v>
      </c>
      <c r="N190" s="2" t="s">
        <v>49</v>
      </c>
      <c r="O190" s="2" t="s">
        <v>146</v>
      </c>
      <c r="P190" s="2" t="s">
        <v>49</v>
      </c>
      <c r="Q190" s="2" t="s">
        <v>146</v>
      </c>
      <c r="R190" s="2" t="s">
        <v>49</v>
      </c>
      <c r="S190" s="2" t="s">
        <v>146</v>
      </c>
      <c r="U190" s="2">
        <f t="shared" si="4"/>
        <v>2.7909999999999999</v>
      </c>
      <c r="V190" s="2">
        <f t="shared" si="5"/>
        <v>0</v>
      </c>
    </row>
    <row r="191" spans="1:22" ht="15" customHeight="1" x14ac:dyDescent="0.45">
      <c r="A191" s="2" t="s">
        <v>418</v>
      </c>
      <c r="B191" s="2" t="s">
        <v>424</v>
      </c>
      <c r="C191" s="2">
        <v>2019</v>
      </c>
      <c r="D191" s="2">
        <v>21.033999999999999</v>
      </c>
      <c r="E191" s="2">
        <v>13.074999999999999</v>
      </c>
      <c r="F191" s="2">
        <v>0.432</v>
      </c>
      <c r="G191" s="2">
        <v>0</v>
      </c>
      <c r="H191" s="2">
        <v>0</v>
      </c>
      <c r="I191" s="2">
        <v>3.597</v>
      </c>
      <c r="J191" s="2">
        <v>1.865</v>
      </c>
      <c r="K191" s="2">
        <v>0</v>
      </c>
      <c r="L191" s="2">
        <v>0</v>
      </c>
      <c r="M191" s="2">
        <v>2.0649999999999999</v>
      </c>
      <c r="N191" s="2" t="s">
        <v>49</v>
      </c>
      <c r="O191" s="2" t="s">
        <v>146</v>
      </c>
      <c r="P191" s="2" t="s">
        <v>49</v>
      </c>
      <c r="Q191" s="2" t="s">
        <v>146</v>
      </c>
      <c r="R191" s="2" t="s">
        <v>49</v>
      </c>
      <c r="S191" s="2" t="s">
        <v>146</v>
      </c>
      <c r="U191" s="2">
        <f t="shared" si="4"/>
        <v>21.033999999999999</v>
      </c>
      <c r="V191" s="2">
        <f t="shared" si="5"/>
        <v>0</v>
      </c>
    </row>
    <row r="192" spans="1:22" ht="15" customHeight="1" x14ac:dyDescent="0.45">
      <c r="A192" s="2" t="s">
        <v>418</v>
      </c>
      <c r="B192" s="2" t="s">
        <v>423</v>
      </c>
      <c r="C192" s="2">
        <v>2019</v>
      </c>
      <c r="D192" s="2">
        <v>15.481999999999999</v>
      </c>
      <c r="E192" s="2">
        <v>6.01</v>
      </c>
      <c r="F192" s="2">
        <v>1.7999999999999999E-2</v>
      </c>
      <c r="G192" s="2">
        <v>0</v>
      </c>
      <c r="H192" s="2">
        <v>0</v>
      </c>
      <c r="I192" s="2">
        <v>4.335</v>
      </c>
      <c r="J192" s="2">
        <v>0.61399999999999999</v>
      </c>
      <c r="K192" s="2">
        <v>0.27600000000000002</v>
      </c>
      <c r="L192" s="2">
        <v>0</v>
      </c>
      <c r="M192" s="2">
        <v>4.2279999999999998</v>
      </c>
      <c r="N192" s="2" t="s">
        <v>49</v>
      </c>
      <c r="O192" s="2" t="s">
        <v>146</v>
      </c>
      <c r="P192" s="2" t="s">
        <v>49</v>
      </c>
      <c r="Q192" s="2" t="s">
        <v>146</v>
      </c>
      <c r="R192" s="2" t="s">
        <v>49</v>
      </c>
      <c r="S192" s="2" t="s">
        <v>146</v>
      </c>
      <c r="U192" s="2">
        <f t="shared" si="4"/>
        <v>15.481999999999999</v>
      </c>
      <c r="V192" s="2">
        <f t="shared" si="5"/>
        <v>0</v>
      </c>
    </row>
    <row r="193" spans="1:22" ht="15" customHeight="1" x14ac:dyDescent="0.45">
      <c r="A193" s="2" t="s">
        <v>418</v>
      </c>
      <c r="B193" s="2" t="s">
        <v>422</v>
      </c>
      <c r="C193" s="2">
        <v>2019</v>
      </c>
      <c r="D193" s="2">
        <v>2.839</v>
      </c>
      <c r="E193" s="2">
        <v>0</v>
      </c>
      <c r="F193" s="2">
        <v>0</v>
      </c>
      <c r="G193" s="2">
        <v>0</v>
      </c>
      <c r="H193" s="2">
        <v>0</v>
      </c>
      <c r="I193" s="2">
        <v>2.839</v>
      </c>
      <c r="J193" s="2">
        <v>0</v>
      </c>
      <c r="K193" s="2">
        <v>0</v>
      </c>
      <c r="L193" s="2">
        <v>0</v>
      </c>
      <c r="M193" s="2">
        <v>0</v>
      </c>
      <c r="N193" s="2" t="s">
        <v>49</v>
      </c>
      <c r="O193" s="2" t="s">
        <v>146</v>
      </c>
      <c r="P193" s="2" t="s">
        <v>49</v>
      </c>
      <c r="Q193" s="2" t="s">
        <v>146</v>
      </c>
      <c r="R193" s="2" t="s">
        <v>49</v>
      </c>
      <c r="S193" s="2" t="s">
        <v>146</v>
      </c>
      <c r="U193" s="2">
        <f t="shared" si="4"/>
        <v>2.839</v>
      </c>
      <c r="V193" s="2">
        <f t="shared" si="5"/>
        <v>0</v>
      </c>
    </row>
    <row r="194" spans="1:22" ht="15" customHeight="1" x14ac:dyDescent="0.45">
      <c r="A194" s="2" t="s">
        <v>418</v>
      </c>
      <c r="B194" s="2" t="s">
        <v>1181</v>
      </c>
      <c r="C194" s="2">
        <v>2019</v>
      </c>
      <c r="D194" s="2">
        <v>0.70899999999999996</v>
      </c>
      <c r="E194" s="2" t="s">
        <v>146</v>
      </c>
      <c r="F194" s="2" t="s">
        <v>146</v>
      </c>
      <c r="G194" s="2" t="s">
        <v>146</v>
      </c>
      <c r="H194" s="2" t="s">
        <v>146</v>
      </c>
      <c r="I194" s="2" t="s">
        <v>146</v>
      </c>
      <c r="J194" s="2" t="s">
        <v>146</v>
      </c>
      <c r="K194" s="2" t="s">
        <v>146</v>
      </c>
      <c r="L194" s="2" t="s">
        <v>146</v>
      </c>
      <c r="M194" s="2" t="s">
        <v>146</v>
      </c>
      <c r="N194" s="2" t="s">
        <v>49</v>
      </c>
      <c r="O194" s="2" t="s">
        <v>146</v>
      </c>
      <c r="P194" s="2" t="s">
        <v>49</v>
      </c>
      <c r="Q194" s="2" t="s">
        <v>146</v>
      </c>
      <c r="R194" s="2" t="s">
        <v>49</v>
      </c>
      <c r="S194" s="2" t="s">
        <v>146</v>
      </c>
      <c r="U194" s="2">
        <f t="shared" si="4"/>
        <v>0.70899999999999996</v>
      </c>
      <c r="V194" s="2">
        <f t="shared" si="5"/>
        <v>0</v>
      </c>
    </row>
    <row r="195" spans="1:22" ht="15" customHeight="1" x14ac:dyDescent="0.45">
      <c r="A195" s="2" t="s">
        <v>418</v>
      </c>
      <c r="B195" s="2" t="s">
        <v>97</v>
      </c>
      <c r="C195" s="2">
        <v>2019</v>
      </c>
      <c r="D195" s="2">
        <v>31.111999999999998</v>
      </c>
      <c r="E195" s="2">
        <v>14.425000000000001</v>
      </c>
      <c r="F195" s="2">
        <v>1.7509999999999999</v>
      </c>
      <c r="G195" s="2">
        <v>3.7360000000000002</v>
      </c>
      <c r="H195" s="2" t="s">
        <v>146</v>
      </c>
      <c r="I195" s="2">
        <v>6.4249999999999998</v>
      </c>
      <c r="J195" s="2">
        <v>4.774</v>
      </c>
      <c r="K195" s="2" t="s">
        <v>146</v>
      </c>
      <c r="L195" s="2" t="s">
        <v>146</v>
      </c>
      <c r="M195" s="2" t="s">
        <v>146</v>
      </c>
      <c r="N195" s="2" t="s">
        <v>49</v>
      </c>
      <c r="O195" s="2" t="s">
        <v>146</v>
      </c>
      <c r="P195" s="2" t="s">
        <v>49</v>
      </c>
      <c r="Q195" s="2" t="s">
        <v>146</v>
      </c>
      <c r="R195" s="2" t="s">
        <v>49</v>
      </c>
      <c r="S195" s="2" t="s">
        <v>146</v>
      </c>
      <c r="U195" s="2">
        <f t="shared" ref="U195:U258" si="6">IFERROR(D195/1,0)</f>
        <v>31.111999999999998</v>
      </c>
      <c r="V195" s="2">
        <f t="shared" ref="V195:V258" si="7">IFERROR(O195/1,0)+IFERROR(Q195/1,0)+IFERROR(S195/1,0)</f>
        <v>0</v>
      </c>
    </row>
    <row r="196" spans="1:22" ht="15" customHeight="1" x14ac:dyDescent="0.45">
      <c r="A196" s="2" t="s">
        <v>418</v>
      </c>
      <c r="B196" s="2" t="s">
        <v>99</v>
      </c>
      <c r="C196" s="2">
        <v>2019</v>
      </c>
      <c r="D196" s="2">
        <v>44.042000000000002</v>
      </c>
      <c r="E196" s="2">
        <v>21.532</v>
      </c>
      <c r="F196" s="2">
        <v>2.661</v>
      </c>
      <c r="G196" s="2" t="s">
        <v>146</v>
      </c>
      <c r="H196" s="2" t="s">
        <v>146</v>
      </c>
      <c r="I196" s="2">
        <v>7.1890000000000001</v>
      </c>
      <c r="J196" s="2">
        <v>8.8520000000000003</v>
      </c>
      <c r="K196" s="2">
        <v>0.39</v>
      </c>
      <c r="L196" s="2" t="s">
        <v>146</v>
      </c>
      <c r="M196" s="2">
        <v>3.4169999999999998</v>
      </c>
      <c r="N196" s="2" t="s">
        <v>49</v>
      </c>
      <c r="O196" s="2" t="s">
        <v>146</v>
      </c>
      <c r="P196" s="2" t="s">
        <v>49</v>
      </c>
      <c r="Q196" s="2" t="s">
        <v>146</v>
      </c>
      <c r="R196" s="2" t="s">
        <v>49</v>
      </c>
      <c r="S196" s="2" t="s">
        <v>146</v>
      </c>
      <c r="U196" s="2">
        <f t="shared" si="6"/>
        <v>44.042000000000002</v>
      </c>
      <c r="V196" s="2">
        <f t="shared" si="7"/>
        <v>0</v>
      </c>
    </row>
    <row r="197" spans="1:22" ht="15" customHeight="1" x14ac:dyDescent="0.45">
      <c r="A197" s="2" t="s">
        <v>418</v>
      </c>
      <c r="B197" s="2" t="s">
        <v>421</v>
      </c>
      <c r="C197" s="2">
        <v>2019</v>
      </c>
      <c r="D197" s="2">
        <v>6.3410000000000002</v>
      </c>
      <c r="E197" s="2">
        <v>3.133</v>
      </c>
      <c r="F197" s="2">
        <v>8.9999999999999993E-3</v>
      </c>
      <c r="G197" s="2">
        <v>0.84899999999999998</v>
      </c>
      <c r="H197" s="2">
        <v>9</v>
      </c>
      <c r="I197" s="2">
        <v>2.3199999999999998</v>
      </c>
      <c r="J197" s="2">
        <v>0</v>
      </c>
      <c r="K197" s="2">
        <v>0</v>
      </c>
      <c r="L197" s="2">
        <v>0</v>
      </c>
      <c r="M197" s="2">
        <v>0</v>
      </c>
      <c r="N197" s="2" t="s">
        <v>49</v>
      </c>
      <c r="O197" s="2" t="s">
        <v>146</v>
      </c>
      <c r="P197" s="2" t="s">
        <v>49</v>
      </c>
      <c r="Q197" s="2" t="s">
        <v>146</v>
      </c>
      <c r="R197" s="2" t="s">
        <v>49</v>
      </c>
      <c r="S197" s="2" t="s">
        <v>146</v>
      </c>
      <c r="U197" s="2">
        <f t="shared" si="6"/>
        <v>6.3410000000000002</v>
      </c>
      <c r="V197" s="2">
        <f t="shared" si="7"/>
        <v>0</v>
      </c>
    </row>
    <row r="198" spans="1:22" ht="15" customHeight="1" x14ac:dyDescent="0.45">
      <c r="A198" s="2" t="s">
        <v>418</v>
      </c>
      <c r="B198" s="2" t="s">
        <v>101</v>
      </c>
      <c r="C198" s="2">
        <v>2019</v>
      </c>
      <c r="D198" s="2">
        <v>8.3810000000000002</v>
      </c>
      <c r="E198" s="2">
        <v>3.5529999999999999</v>
      </c>
      <c r="F198" s="2">
        <v>6.7000000000000004E-2</v>
      </c>
      <c r="G198" s="2" t="s">
        <v>146</v>
      </c>
      <c r="H198" s="2" t="s">
        <v>146</v>
      </c>
      <c r="I198" s="2">
        <v>3.1779999999999999</v>
      </c>
      <c r="J198" s="2">
        <v>1.581</v>
      </c>
      <c r="K198" s="2" t="s">
        <v>146</v>
      </c>
      <c r="L198" s="2" t="s">
        <v>146</v>
      </c>
      <c r="M198" s="2" t="s">
        <v>146</v>
      </c>
      <c r="N198" s="2" t="s">
        <v>49</v>
      </c>
      <c r="O198" s="2" t="s">
        <v>146</v>
      </c>
      <c r="P198" s="2" t="s">
        <v>49</v>
      </c>
      <c r="Q198" s="2" t="s">
        <v>146</v>
      </c>
      <c r="R198" s="2" t="s">
        <v>49</v>
      </c>
      <c r="S198" s="2" t="s">
        <v>146</v>
      </c>
      <c r="U198" s="2">
        <f t="shared" si="6"/>
        <v>8.3810000000000002</v>
      </c>
      <c r="V198" s="2">
        <f t="shared" si="7"/>
        <v>0</v>
      </c>
    </row>
    <row r="199" spans="1:22" ht="15" customHeight="1" x14ac:dyDescent="0.45">
      <c r="A199" s="2" t="s">
        <v>418</v>
      </c>
      <c r="B199" s="2" t="s">
        <v>103</v>
      </c>
      <c r="C199" s="2">
        <v>2019</v>
      </c>
      <c r="D199" s="2">
        <v>57.284999999999997</v>
      </c>
      <c r="E199" s="2" t="s">
        <v>146</v>
      </c>
      <c r="F199" s="2">
        <v>0.30299999999999999</v>
      </c>
      <c r="G199" s="2">
        <v>14.2</v>
      </c>
      <c r="H199" s="2" t="s">
        <v>146</v>
      </c>
      <c r="I199" s="2">
        <v>0.155</v>
      </c>
      <c r="J199" s="2">
        <v>3.7330000000000001</v>
      </c>
      <c r="K199" s="2" t="s">
        <v>146</v>
      </c>
      <c r="L199" s="2" t="s">
        <v>146</v>
      </c>
      <c r="M199" s="2" t="s">
        <v>146</v>
      </c>
      <c r="N199" s="2" t="s">
        <v>1053</v>
      </c>
      <c r="O199" s="2">
        <v>38.893000000000001</v>
      </c>
      <c r="P199" s="2" t="s">
        <v>49</v>
      </c>
      <c r="Q199" s="2" t="s">
        <v>146</v>
      </c>
      <c r="R199" s="2" t="s">
        <v>49</v>
      </c>
      <c r="S199" s="2" t="s">
        <v>146</v>
      </c>
      <c r="U199" s="2">
        <f t="shared" si="6"/>
        <v>57.284999999999997</v>
      </c>
      <c r="V199" s="329">
        <v>0</v>
      </c>
    </row>
    <row r="200" spans="1:22" ht="15" customHeight="1" x14ac:dyDescent="0.45">
      <c r="A200" s="2" t="s">
        <v>418</v>
      </c>
      <c r="B200" s="2" t="s">
        <v>105</v>
      </c>
      <c r="C200" s="2">
        <v>2019</v>
      </c>
      <c r="D200" s="2">
        <v>12.760999999999999</v>
      </c>
      <c r="E200" s="2">
        <v>6.5549999999999997</v>
      </c>
      <c r="F200" s="2">
        <v>0.02</v>
      </c>
      <c r="G200" s="2">
        <v>0.97</v>
      </c>
      <c r="H200" s="2" t="s">
        <v>146</v>
      </c>
      <c r="I200" s="2">
        <v>1.972</v>
      </c>
      <c r="J200" s="2">
        <v>3.2440000000000002</v>
      </c>
      <c r="K200" s="2" t="s">
        <v>146</v>
      </c>
      <c r="L200" s="2" t="s">
        <v>146</v>
      </c>
      <c r="M200" s="2" t="s">
        <v>146</v>
      </c>
      <c r="N200" s="2" t="s">
        <v>49</v>
      </c>
      <c r="O200" s="2" t="s">
        <v>146</v>
      </c>
      <c r="P200" s="2" t="s">
        <v>49</v>
      </c>
      <c r="Q200" s="2" t="s">
        <v>146</v>
      </c>
      <c r="R200" s="2" t="s">
        <v>49</v>
      </c>
      <c r="S200" s="2" t="s">
        <v>146</v>
      </c>
      <c r="U200" s="2">
        <f t="shared" si="6"/>
        <v>12.760999999999999</v>
      </c>
      <c r="V200" s="2">
        <f t="shared" si="7"/>
        <v>0</v>
      </c>
    </row>
    <row r="201" spans="1:22" ht="15" customHeight="1" x14ac:dyDescent="0.45">
      <c r="A201" s="2" t="s">
        <v>418</v>
      </c>
      <c r="B201" s="2" t="s">
        <v>1183</v>
      </c>
      <c r="C201" s="2">
        <v>2019</v>
      </c>
      <c r="D201" s="2">
        <v>3.3159999999999998</v>
      </c>
      <c r="E201" s="2" t="s">
        <v>146</v>
      </c>
      <c r="F201" s="2" t="s">
        <v>146</v>
      </c>
      <c r="G201" s="2" t="s">
        <v>146</v>
      </c>
      <c r="H201" s="2" t="s">
        <v>146</v>
      </c>
      <c r="I201" s="2" t="s">
        <v>146</v>
      </c>
      <c r="J201" s="2" t="s">
        <v>146</v>
      </c>
      <c r="K201" s="2" t="s">
        <v>146</v>
      </c>
      <c r="L201" s="2" t="s">
        <v>146</v>
      </c>
      <c r="M201" s="2" t="s">
        <v>146</v>
      </c>
      <c r="N201" s="2" t="s">
        <v>49</v>
      </c>
      <c r="O201" s="2" t="s">
        <v>146</v>
      </c>
      <c r="P201" s="2" t="s">
        <v>49</v>
      </c>
      <c r="Q201" s="2" t="s">
        <v>146</v>
      </c>
      <c r="R201" s="2" t="s">
        <v>49</v>
      </c>
      <c r="S201" s="2" t="s">
        <v>146</v>
      </c>
      <c r="U201" s="2">
        <f t="shared" si="6"/>
        <v>3.3159999999999998</v>
      </c>
      <c r="V201" s="2">
        <f t="shared" si="7"/>
        <v>0</v>
      </c>
    </row>
    <row r="202" spans="1:22" ht="15" customHeight="1" x14ac:dyDescent="0.45">
      <c r="A202" s="2" t="s">
        <v>418</v>
      </c>
      <c r="B202" s="2" t="s">
        <v>107</v>
      </c>
      <c r="C202" s="2">
        <v>2019</v>
      </c>
      <c r="D202" s="2">
        <v>16.138999999999999</v>
      </c>
      <c r="E202" s="2">
        <v>7.0880000000000001</v>
      </c>
      <c r="F202" s="2">
        <v>0.27600000000000002</v>
      </c>
      <c r="G202" s="2">
        <v>9.9000000000000005E-2</v>
      </c>
      <c r="H202" s="2" t="s">
        <v>146</v>
      </c>
      <c r="I202" s="2">
        <v>6.1719999999999997</v>
      </c>
      <c r="J202" s="2">
        <v>2.5030000000000001</v>
      </c>
      <c r="K202" s="2" t="s">
        <v>146</v>
      </c>
      <c r="L202" s="2" t="s">
        <v>146</v>
      </c>
      <c r="M202" s="2" t="s">
        <v>146</v>
      </c>
      <c r="N202" s="2" t="s">
        <v>49</v>
      </c>
      <c r="O202" s="2" t="s">
        <v>146</v>
      </c>
      <c r="P202" s="2" t="s">
        <v>49</v>
      </c>
      <c r="Q202" s="2" t="s">
        <v>146</v>
      </c>
      <c r="R202" s="2" t="s">
        <v>49</v>
      </c>
      <c r="S202" s="2" t="s">
        <v>146</v>
      </c>
      <c r="U202" s="2">
        <f t="shared" si="6"/>
        <v>16.138999999999999</v>
      </c>
      <c r="V202" s="2">
        <f t="shared" si="7"/>
        <v>0</v>
      </c>
    </row>
    <row r="203" spans="1:22" ht="15" customHeight="1" x14ac:dyDescent="0.45">
      <c r="A203" s="2" t="s">
        <v>418</v>
      </c>
      <c r="B203" s="2" t="s">
        <v>420</v>
      </c>
      <c r="C203" s="2">
        <v>2019</v>
      </c>
      <c r="D203" s="2">
        <v>37.774999999999999</v>
      </c>
      <c r="E203" s="2">
        <v>16.600999999999999</v>
      </c>
      <c r="F203" s="2">
        <v>0.19500000000000001</v>
      </c>
      <c r="G203" s="2">
        <v>0</v>
      </c>
      <c r="H203" s="2" t="s">
        <v>146</v>
      </c>
      <c r="I203" s="2">
        <v>3.5670000000000002</v>
      </c>
      <c r="J203" s="2">
        <v>4.7409999999999997</v>
      </c>
      <c r="K203" s="2" t="s">
        <v>146</v>
      </c>
      <c r="L203" s="2" t="s">
        <v>146</v>
      </c>
      <c r="M203" s="2">
        <v>12.670999999999999</v>
      </c>
      <c r="N203" s="2" t="s">
        <v>49</v>
      </c>
      <c r="O203" s="2" t="s">
        <v>146</v>
      </c>
      <c r="P203" s="2" t="s">
        <v>49</v>
      </c>
      <c r="Q203" s="2" t="s">
        <v>146</v>
      </c>
      <c r="R203" s="2" t="s">
        <v>49</v>
      </c>
      <c r="S203" s="2" t="s">
        <v>146</v>
      </c>
      <c r="U203" s="2">
        <f t="shared" si="6"/>
        <v>37.774999999999999</v>
      </c>
      <c r="V203" s="2">
        <f t="shared" si="7"/>
        <v>0</v>
      </c>
    </row>
    <row r="204" spans="1:22" ht="15" customHeight="1" x14ac:dyDescent="0.45">
      <c r="A204" s="2" t="s">
        <v>418</v>
      </c>
      <c r="B204" s="2" t="s">
        <v>419</v>
      </c>
      <c r="C204" s="2">
        <v>2019</v>
      </c>
      <c r="D204" s="2">
        <v>7.28</v>
      </c>
      <c r="E204" s="2">
        <v>5.0750000000000002</v>
      </c>
      <c r="F204" s="2">
        <v>4.4999999999999998E-2</v>
      </c>
      <c r="G204" s="2" t="s">
        <v>146</v>
      </c>
      <c r="H204" s="2" t="s">
        <v>146</v>
      </c>
      <c r="I204" s="2">
        <v>2.1</v>
      </c>
      <c r="J204" s="2">
        <v>5.8999999999999997E-2</v>
      </c>
      <c r="K204" s="2" t="s">
        <v>146</v>
      </c>
      <c r="L204" s="2" t="s">
        <v>146</v>
      </c>
      <c r="M204" s="2" t="s">
        <v>146</v>
      </c>
      <c r="N204" s="2" t="s">
        <v>49</v>
      </c>
      <c r="O204" s="2" t="s">
        <v>146</v>
      </c>
      <c r="P204" s="2" t="s">
        <v>49</v>
      </c>
      <c r="Q204" s="2" t="s">
        <v>146</v>
      </c>
      <c r="R204" s="2" t="s">
        <v>49</v>
      </c>
      <c r="S204" s="2" t="s">
        <v>146</v>
      </c>
      <c r="U204" s="2">
        <f t="shared" si="6"/>
        <v>7.28</v>
      </c>
      <c r="V204" s="2">
        <f t="shared" si="7"/>
        <v>0</v>
      </c>
    </row>
    <row r="205" spans="1:22" ht="15" customHeight="1" x14ac:dyDescent="0.45">
      <c r="A205" s="2" t="s">
        <v>418</v>
      </c>
      <c r="B205" s="2" t="s">
        <v>109</v>
      </c>
      <c r="C205" s="2">
        <v>2019</v>
      </c>
      <c r="D205" s="2">
        <v>7.5659999999999998</v>
      </c>
      <c r="E205" s="2">
        <v>1.7609999999999999</v>
      </c>
      <c r="F205" s="2">
        <v>6.0999999999999999E-2</v>
      </c>
      <c r="G205" s="2" t="s">
        <v>146</v>
      </c>
      <c r="H205" s="2" t="s">
        <v>146</v>
      </c>
      <c r="I205" s="2">
        <v>5.3860000000000001</v>
      </c>
      <c r="J205" s="2">
        <v>1.665</v>
      </c>
      <c r="K205" s="2" t="s">
        <v>146</v>
      </c>
      <c r="L205" s="2" t="s">
        <v>146</v>
      </c>
      <c r="M205" s="2" t="s">
        <v>146</v>
      </c>
      <c r="N205" s="2" t="s">
        <v>49</v>
      </c>
      <c r="O205" s="2" t="s">
        <v>146</v>
      </c>
      <c r="P205" s="2" t="s">
        <v>49</v>
      </c>
      <c r="Q205" s="2" t="s">
        <v>146</v>
      </c>
      <c r="R205" s="2" t="s">
        <v>49</v>
      </c>
      <c r="S205" s="2" t="s">
        <v>146</v>
      </c>
      <c r="U205" s="2">
        <f t="shared" si="6"/>
        <v>7.5659999999999998</v>
      </c>
      <c r="V205" s="2">
        <f t="shared" si="7"/>
        <v>0</v>
      </c>
    </row>
    <row r="206" spans="1:22" ht="15" customHeight="1" x14ac:dyDescent="0.45">
      <c r="A206" s="2" t="s">
        <v>416</v>
      </c>
      <c r="B206" s="2" t="s">
        <v>417</v>
      </c>
      <c r="C206" s="2">
        <v>2019</v>
      </c>
      <c r="D206" s="2">
        <v>3.85</v>
      </c>
      <c r="E206" s="2">
        <v>0.871</v>
      </c>
      <c r="F206" s="2">
        <v>0.99099999999999999</v>
      </c>
      <c r="G206" s="2">
        <v>0.996</v>
      </c>
      <c r="H206" s="2" t="s">
        <v>146</v>
      </c>
      <c r="I206" s="2">
        <v>0.96</v>
      </c>
      <c r="J206" s="2">
        <v>3.3000000000000002E-2</v>
      </c>
      <c r="K206" s="2" t="s">
        <v>146</v>
      </c>
      <c r="L206" s="2" t="s">
        <v>146</v>
      </c>
      <c r="M206" s="2" t="s">
        <v>146</v>
      </c>
      <c r="N206" s="2" t="s">
        <v>49</v>
      </c>
      <c r="O206" s="2" t="s">
        <v>146</v>
      </c>
      <c r="P206" s="2" t="s">
        <v>49</v>
      </c>
      <c r="Q206" s="2" t="s">
        <v>146</v>
      </c>
      <c r="R206" s="2" t="s">
        <v>49</v>
      </c>
      <c r="S206" s="2" t="s">
        <v>146</v>
      </c>
      <c r="U206" s="2">
        <f t="shared" si="6"/>
        <v>3.85</v>
      </c>
      <c r="V206" s="2">
        <f t="shared" si="7"/>
        <v>0</v>
      </c>
    </row>
    <row r="207" spans="1:22" ht="15" customHeight="1" x14ac:dyDescent="0.45">
      <c r="A207" s="2" t="s">
        <v>416</v>
      </c>
      <c r="B207" s="2" t="s">
        <v>415</v>
      </c>
      <c r="C207" s="2">
        <v>2019</v>
      </c>
      <c r="D207" s="2">
        <v>44.054000000000002</v>
      </c>
      <c r="E207" s="2">
        <v>12.183999999999999</v>
      </c>
      <c r="F207" s="2">
        <v>6.5209999999999999</v>
      </c>
      <c r="G207" s="2">
        <v>14.789</v>
      </c>
      <c r="H207" s="2" t="s">
        <v>146</v>
      </c>
      <c r="I207" s="2">
        <v>7.5990000000000002</v>
      </c>
      <c r="J207" s="2">
        <v>2.9609999999999999</v>
      </c>
      <c r="K207" s="2" t="s">
        <v>146</v>
      </c>
      <c r="L207" s="2" t="s">
        <v>146</v>
      </c>
      <c r="M207" s="2" t="s">
        <v>146</v>
      </c>
      <c r="N207" s="2" t="s">
        <v>49</v>
      </c>
      <c r="O207" s="2" t="s">
        <v>146</v>
      </c>
      <c r="P207" s="2" t="s">
        <v>49</v>
      </c>
      <c r="Q207" s="2" t="s">
        <v>146</v>
      </c>
      <c r="R207" s="2" t="s">
        <v>49</v>
      </c>
      <c r="S207" s="2" t="s">
        <v>146</v>
      </c>
      <c r="U207" s="2">
        <f t="shared" si="6"/>
        <v>44.054000000000002</v>
      </c>
      <c r="V207" s="2">
        <f t="shared" si="7"/>
        <v>0</v>
      </c>
    </row>
    <row r="208" spans="1:22" ht="15" customHeight="1" x14ac:dyDescent="0.45">
      <c r="A208" s="2" t="s">
        <v>413</v>
      </c>
      <c r="B208" s="2" t="s">
        <v>414</v>
      </c>
      <c r="C208" s="2">
        <v>2019</v>
      </c>
      <c r="D208" s="2">
        <v>4.1470000000000002</v>
      </c>
      <c r="E208" s="2">
        <v>0.18</v>
      </c>
      <c r="F208" s="2">
        <v>0.505</v>
      </c>
      <c r="G208" s="2">
        <v>0.77600000000000002</v>
      </c>
      <c r="H208" s="2" t="s">
        <v>146</v>
      </c>
      <c r="I208" s="2">
        <v>2.1760000000000002</v>
      </c>
      <c r="J208" s="2">
        <v>0.51</v>
      </c>
      <c r="K208" s="2" t="s">
        <v>146</v>
      </c>
      <c r="L208" s="2" t="s">
        <v>146</v>
      </c>
      <c r="M208" s="2" t="s">
        <v>146</v>
      </c>
      <c r="N208" s="2" t="s">
        <v>49</v>
      </c>
      <c r="O208" s="2" t="s">
        <v>146</v>
      </c>
      <c r="P208" s="2" t="s">
        <v>49</v>
      </c>
      <c r="Q208" s="2" t="s">
        <v>146</v>
      </c>
      <c r="R208" s="2" t="s">
        <v>49</v>
      </c>
      <c r="S208" s="2" t="s">
        <v>146</v>
      </c>
      <c r="U208" s="2">
        <f t="shared" si="6"/>
        <v>4.1470000000000002</v>
      </c>
      <c r="V208" s="2">
        <f t="shared" si="7"/>
        <v>0</v>
      </c>
    </row>
    <row r="209" spans="1:22" ht="15" customHeight="1" x14ac:dyDescent="0.45">
      <c r="A209" s="2" t="s">
        <v>413</v>
      </c>
      <c r="B209" s="2" t="s">
        <v>412</v>
      </c>
      <c r="C209" s="2">
        <v>2019</v>
      </c>
      <c r="D209" s="2">
        <v>124.018</v>
      </c>
      <c r="E209" s="2">
        <v>31.844000000000001</v>
      </c>
      <c r="F209" s="2">
        <v>19.599</v>
      </c>
      <c r="G209" s="2">
        <v>37.122</v>
      </c>
      <c r="H209" s="2">
        <v>6.0540000000000003</v>
      </c>
      <c r="I209" s="2">
        <v>20.077999999999999</v>
      </c>
      <c r="J209" s="2">
        <v>15.374000000000001</v>
      </c>
      <c r="K209" s="2" t="s">
        <v>146</v>
      </c>
      <c r="L209" s="2" t="s">
        <v>146</v>
      </c>
      <c r="M209" s="2" t="s">
        <v>146</v>
      </c>
      <c r="N209" s="2" t="s">
        <v>49</v>
      </c>
      <c r="O209" s="2" t="s">
        <v>146</v>
      </c>
      <c r="P209" s="2" t="s">
        <v>49</v>
      </c>
      <c r="Q209" s="2" t="s">
        <v>146</v>
      </c>
      <c r="R209" s="2" t="s">
        <v>49</v>
      </c>
      <c r="S209" s="2" t="s">
        <v>146</v>
      </c>
      <c r="U209" s="2">
        <f t="shared" si="6"/>
        <v>124.018</v>
      </c>
      <c r="V209" s="2">
        <f t="shared" si="7"/>
        <v>0</v>
      </c>
    </row>
    <row r="210" spans="1:22" ht="15" customHeight="1" x14ac:dyDescent="0.45">
      <c r="A210" s="2" t="s">
        <v>411</v>
      </c>
      <c r="B210" s="2" t="s">
        <v>410</v>
      </c>
      <c r="C210" s="2">
        <v>2019</v>
      </c>
      <c r="D210" s="2">
        <v>14.3</v>
      </c>
      <c r="E210" s="2">
        <v>6</v>
      </c>
      <c r="F210" s="2">
        <v>1.2</v>
      </c>
      <c r="G210" s="2">
        <v>1.8</v>
      </c>
      <c r="H210" s="2">
        <v>0</v>
      </c>
      <c r="I210" s="2">
        <v>5.3</v>
      </c>
      <c r="J210" s="2">
        <v>0</v>
      </c>
      <c r="K210" s="2">
        <v>0</v>
      </c>
      <c r="L210" s="2">
        <v>0</v>
      </c>
      <c r="M210" s="2">
        <v>0</v>
      </c>
      <c r="N210" s="2" t="s">
        <v>49</v>
      </c>
      <c r="O210" s="2" t="s">
        <v>146</v>
      </c>
      <c r="P210" s="2" t="s">
        <v>49</v>
      </c>
      <c r="Q210" s="2" t="s">
        <v>146</v>
      </c>
      <c r="R210" s="2" t="s">
        <v>49</v>
      </c>
      <c r="S210" s="2" t="s">
        <v>146</v>
      </c>
      <c r="U210" s="2">
        <f t="shared" si="6"/>
        <v>14.3</v>
      </c>
      <c r="V210" s="2">
        <f t="shared" si="7"/>
        <v>0</v>
      </c>
    </row>
    <row r="211" spans="1:22" ht="15" customHeight="1" x14ac:dyDescent="0.45">
      <c r="A211" s="2" t="s">
        <v>111</v>
      </c>
      <c r="B211" s="2" t="s">
        <v>409</v>
      </c>
      <c r="C211" s="2">
        <v>2019</v>
      </c>
      <c r="D211" s="2">
        <v>981</v>
      </c>
      <c r="E211" s="2" t="s">
        <v>146</v>
      </c>
      <c r="F211" s="2" t="s">
        <v>146</v>
      </c>
      <c r="G211" s="2" t="s">
        <v>146</v>
      </c>
      <c r="H211" s="2" t="s">
        <v>146</v>
      </c>
      <c r="I211" s="2" t="s">
        <v>146</v>
      </c>
      <c r="J211" s="2" t="s">
        <v>146</v>
      </c>
      <c r="K211" s="2" t="s">
        <v>146</v>
      </c>
      <c r="L211" s="2" t="s">
        <v>146</v>
      </c>
      <c r="M211" s="2" t="s">
        <v>146</v>
      </c>
      <c r="N211" s="2" t="s">
        <v>942</v>
      </c>
      <c r="O211" s="2">
        <v>0.44600000000000001</v>
      </c>
      <c r="P211" s="2" t="s">
        <v>146</v>
      </c>
      <c r="Q211" s="2" t="s">
        <v>146</v>
      </c>
      <c r="R211" s="2" t="s">
        <v>146</v>
      </c>
      <c r="S211" s="2" t="s">
        <v>146</v>
      </c>
      <c r="U211" s="2">
        <f t="shared" si="6"/>
        <v>981</v>
      </c>
      <c r="V211" s="2">
        <f t="shared" si="7"/>
        <v>0.44600000000000001</v>
      </c>
    </row>
    <row r="212" spans="1:22" ht="15" customHeight="1" x14ac:dyDescent="0.45">
      <c r="A212" s="2" t="s">
        <v>406</v>
      </c>
      <c r="B212" s="2" t="s">
        <v>408</v>
      </c>
      <c r="C212" s="2">
        <v>2019</v>
      </c>
      <c r="D212" s="2">
        <v>16.670000000000002</v>
      </c>
      <c r="E212" s="2">
        <v>10.215999999999999</v>
      </c>
      <c r="F212" s="2">
        <v>0.56399999999999995</v>
      </c>
      <c r="G212" s="2">
        <v>0</v>
      </c>
      <c r="H212" s="2">
        <v>0</v>
      </c>
      <c r="I212" s="2">
        <v>4.8650000000000002</v>
      </c>
      <c r="J212" s="2">
        <v>1.0249999999999999</v>
      </c>
      <c r="K212" s="2">
        <v>0</v>
      </c>
      <c r="L212" s="2">
        <v>0</v>
      </c>
      <c r="M212" s="2">
        <v>0</v>
      </c>
      <c r="N212" s="2" t="s">
        <v>49</v>
      </c>
      <c r="O212" s="2" t="s">
        <v>146</v>
      </c>
      <c r="P212" s="2" t="s">
        <v>49</v>
      </c>
      <c r="Q212" s="2" t="s">
        <v>146</v>
      </c>
      <c r="R212" s="2" t="s">
        <v>49</v>
      </c>
      <c r="S212" s="2" t="s">
        <v>146</v>
      </c>
      <c r="U212" s="2">
        <f t="shared" si="6"/>
        <v>16.670000000000002</v>
      </c>
      <c r="V212" s="2">
        <f t="shared" si="7"/>
        <v>0</v>
      </c>
    </row>
    <row r="213" spans="1:22" ht="15" customHeight="1" x14ac:dyDescent="0.45">
      <c r="A213" s="2" t="s">
        <v>406</v>
      </c>
      <c r="B213" s="2" t="s">
        <v>407</v>
      </c>
      <c r="C213" s="2">
        <v>2019</v>
      </c>
      <c r="D213" s="2">
        <v>119.46599999999999</v>
      </c>
      <c r="E213" s="2">
        <v>63.375999999999998</v>
      </c>
      <c r="F213" s="2">
        <v>4.4160000000000004</v>
      </c>
      <c r="G213" s="2">
        <v>3.5880000000000001</v>
      </c>
      <c r="H213" s="2">
        <v>0</v>
      </c>
      <c r="I213" s="2">
        <v>31.643999999999998</v>
      </c>
      <c r="J213" s="2">
        <v>16.443000000000001</v>
      </c>
      <c r="K213" s="2">
        <v>0</v>
      </c>
      <c r="L213" s="2">
        <v>0</v>
      </c>
      <c r="M213" s="2">
        <v>2.2000000000000002</v>
      </c>
      <c r="N213" s="2" t="s">
        <v>49</v>
      </c>
      <c r="O213" s="2" t="s">
        <v>146</v>
      </c>
      <c r="P213" s="2" t="s">
        <v>49</v>
      </c>
      <c r="Q213" s="2" t="s">
        <v>146</v>
      </c>
      <c r="R213" s="2" t="s">
        <v>49</v>
      </c>
      <c r="S213" s="2" t="s">
        <v>146</v>
      </c>
      <c r="U213" s="2">
        <f t="shared" si="6"/>
        <v>119.46599999999999</v>
      </c>
      <c r="V213" s="2">
        <f t="shared" si="7"/>
        <v>0</v>
      </c>
    </row>
    <row r="214" spans="1:22" ht="15" customHeight="1" x14ac:dyDescent="0.45">
      <c r="A214" s="2" t="s">
        <v>406</v>
      </c>
      <c r="B214" s="2" t="s">
        <v>405</v>
      </c>
      <c r="C214" s="2">
        <v>2019</v>
      </c>
      <c r="D214" s="2">
        <v>16.859000000000002</v>
      </c>
      <c r="E214" s="2">
        <v>9.1850000000000005</v>
      </c>
      <c r="F214" s="2">
        <v>0.73899999999999999</v>
      </c>
      <c r="G214" s="2">
        <v>0</v>
      </c>
      <c r="H214" s="2">
        <v>0</v>
      </c>
      <c r="I214" s="2">
        <v>3.411</v>
      </c>
      <c r="J214" s="2">
        <v>3.5230000000000001</v>
      </c>
      <c r="K214" s="2">
        <v>0</v>
      </c>
      <c r="L214" s="2">
        <v>0</v>
      </c>
      <c r="M214" s="2">
        <v>0</v>
      </c>
      <c r="N214" s="2" t="s">
        <v>49</v>
      </c>
      <c r="O214" s="2" t="s">
        <v>146</v>
      </c>
      <c r="P214" s="2" t="s">
        <v>49</v>
      </c>
      <c r="Q214" s="2" t="s">
        <v>146</v>
      </c>
      <c r="R214" s="2" t="s">
        <v>49</v>
      </c>
      <c r="S214" s="2" t="s">
        <v>146</v>
      </c>
      <c r="U214" s="2">
        <f t="shared" si="6"/>
        <v>16.859000000000002</v>
      </c>
      <c r="V214" s="2">
        <f t="shared" si="7"/>
        <v>0</v>
      </c>
    </row>
    <row r="215" spans="1:22" ht="15" customHeight="1" x14ac:dyDescent="0.45">
      <c r="A215" s="2" t="s">
        <v>404</v>
      </c>
      <c r="B215" s="2" t="s">
        <v>403</v>
      </c>
      <c r="C215" s="2">
        <v>2019</v>
      </c>
      <c r="D215" s="2">
        <v>7.96</v>
      </c>
      <c r="E215" s="2">
        <v>2.585</v>
      </c>
      <c r="F215" s="2">
        <v>0.129</v>
      </c>
      <c r="G215" s="2">
        <v>1.054</v>
      </c>
      <c r="H215" s="2" t="s">
        <v>146</v>
      </c>
      <c r="I215" s="2">
        <v>3.4359999999999999</v>
      </c>
      <c r="J215" s="2">
        <v>0.75800000000000001</v>
      </c>
      <c r="K215" s="2" t="s">
        <v>146</v>
      </c>
      <c r="L215" s="2" t="s">
        <v>146</v>
      </c>
      <c r="M215" s="2" t="s">
        <v>146</v>
      </c>
      <c r="N215" s="2" t="s">
        <v>49</v>
      </c>
      <c r="O215" s="2" t="s">
        <v>146</v>
      </c>
      <c r="P215" s="2" t="s">
        <v>49</v>
      </c>
      <c r="Q215" s="2" t="s">
        <v>146</v>
      </c>
      <c r="R215" s="2" t="s">
        <v>49</v>
      </c>
      <c r="S215" s="2" t="s">
        <v>146</v>
      </c>
      <c r="U215" s="2">
        <f t="shared" si="6"/>
        <v>7.96</v>
      </c>
      <c r="V215" s="2">
        <f t="shared" si="7"/>
        <v>0</v>
      </c>
    </row>
    <row r="216" spans="1:22" ht="15" customHeight="1" x14ac:dyDescent="0.45">
      <c r="A216" s="2" t="s">
        <v>402</v>
      </c>
      <c r="B216" s="2" t="s">
        <v>401</v>
      </c>
      <c r="C216" s="2">
        <v>2019</v>
      </c>
      <c r="D216" s="2">
        <v>123.5</v>
      </c>
      <c r="E216" s="2">
        <v>61</v>
      </c>
      <c r="F216" s="2">
        <v>19</v>
      </c>
      <c r="G216" s="2">
        <v>42</v>
      </c>
      <c r="H216" s="2">
        <v>0</v>
      </c>
      <c r="I216" s="2">
        <v>1.5</v>
      </c>
      <c r="J216" s="2">
        <v>0</v>
      </c>
      <c r="K216" s="2">
        <v>0</v>
      </c>
      <c r="L216" s="2">
        <v>0</v>
      </c>
      <c r="M216" s="2">
        <v>0</v>
      </c>
      <c r="N216" s="2" t="s">
        <v>49</v>
      </c>
      <c r="O216" s="2" t="s">
        <v>146</v>
      </c>
      <c r="P216" s="2" t="s">
        <v>49</v>
      </c>
      <c r="Q216" s="2" t="s">
        <v>146</v>
      </c>
      <c r="R216" s="2" t="s">
        <v>49</v>
      </c>
      <c r="S216" s="2" t="s">
        <v>146</v>
      </c>
      <c r="U216" s="2">
        <f t="shared" si="6"/>
        <v>123.5</v>
      </c>
      <c r="V216" s="2">
        <f t="shared" si="7"/>
        <v>0</v>
      </c>
    </row>
    <row r="217" spans="1:22" ht="15" customHeight="1" x14ac:dyDescent="0.45">
      <c r="A217" s="2" t="s">
        <v>398</v>
      </c>
      <c r="B217" s="2" t="s">
        <v>400</v>
      </c>
      <c r="C217" s="2">
        <v>2019</v>
      </c>
      <c r="D217" s="2">
        <v>1.6</v>
      </c>
      <c r="E217" s="2">
        <v>0.74</v>
      </c>
      <c r="F217" s="2">
        <v>0.127</v>
      </c>
      <c r="G217" s="2" t="s">
        <v>146</v>
      </c>
      <c r="H217" s="2" t="s">
        <v>146</v>
      </c>
      <c r="I217" s="2">
        <v>0.73</v>
      </c>
      <c r="J217" s="2" t="s">
        <v>146</v>
      </c>
      <c r="K217" s="2" t="s">
        <v>146</v>
      </c>
      <c r="L217" s="2" t="s">
        <v>146</v>
      </c>
      <c r="M217" s="2" t="s">
        <v>146</v>
      </c>
      <c r="N217" s="2" t="s">
        <v>49</v>
      </c>
      <c r="O217" s="2" t="s">
        <v>146</v>
      </c>
      <c r="P217" s="2" t="s">
        <v>49</v>
      </c>
      <c r="Q217" s="2" t="s">
        <v>146</v>
      </c>
      <c r="R217" s="2" t="s">
        <v>49</v>
      </c>
      <c r="S217" s="2" t="s">
        <v>146</v>
      </c>
      <c r="U217" s="2">
        <f t="shared" si="6"/>
        <v>1.6</v>
      </c>
      <c r="V217" s="2">
        <f t="shared" si="7"/>
        <v>0</v>
      </c>
    </row>
    <row r="218" spans="1:22" ht="15" customHeight="1" x14ac:dyDescent="0.45">
      <c r="A218" s="2" t="s">
        <v>398</v>
      </c>
      <c r="B218" s="2" t="s">
        <v>399</v>
      </c>
      <c r="C218" s="2">
        <v>2019</v>
      </c>
      <c r="D218" s="2">
        <v>10.36</v>
      </c>
      <c r="E218" s="2">
        <v>1.52</v>
      </c>
      <c r="F218" s="2">
        <v>3.34</v>
      </c>
      <c r="G218" s="2">
        <v>2.95</v>
      </c>
      <c r="H218" s="2" t="s">
        <v>146</v>
      </c>
      <c r="I218" s="2">
        <v>1.69</v>
      </c>
      <c r="J218" s="2">
        <v>0.75</v>
      </c>
      <c r="K218" s="2" t="s">
        <v>146</v>
      </c>
      <c r="L218" s="2">
        <v>0.12</v>
      </c>
      <c r="M218" s="2" t="s">
        <v>146</v>
      </c>
      <c r="N218" s="2" t="s">
        <v>49</v>
      </c>
      <c r="O218" s="2" t="s">
        <v>146</v>
      </c>
      <c r="P218" s="2" t="s">
        <v>49</v>
      </c>
      <c r="Q218" s="2" t="s">
        <v>146</v>
      </c>
      <c r="R218" s="2" t="s">
        <v>49</v>
      </c>
      <c r="S218" s="2" t="s">
        <v>146</v>
      </c>
      <c r="U218" s="2">
        <f t="shared" si="6"/>
        <v>10.36</v>
      </c>
      <c r="V218" s="2">
        <f t="shared" si="7"/>
        <v>0</v>
      </c>
    </row>
    <row r="219" spans="1:22" ht="15" customHeight="1" x14ac:dyDescent="0.45">
      <c r="A219" s="2" t="s">
        <v>398</v>
      </c>
      <c r="B219" s="2" t="s">
        <v>397</v>
      </c>
      <c r="C219" s="2">
        <v>2019</v>
      </c>
      <c r="D219" s="2">
        <v>145.30000000000001</v>
      </c>
      <c r="E219" s="2">
        <v>42.2</v>
      </c>
      <c r="F219" s="2">
        <v>24.9</v>
      </c>
      <c r="G219" s="2">
        <v>18.7</v>
      </c>
      <c r="H219" s="2" t="s">
        <v>146</v>
      </c>
      <c r="I219" s="2">
        <v>18.2</v>
      </c>
      <c r="J219" s="2">
        <v>0.28999999999999998</v>
      </c>
      <c r="K219" s="2" t="s">
        <v>146</v>
      </c>
      <c r="L219" s="2">
        <v>13.54</v>
      </c>
      <c r="M219" s="2" t="s">
        <v>146</v>
      </c>
      <c r="N219" s="2" t="s">
        <v>49</v>
      </c>
      <c r="O219" s="2" t="s">
        <v>146</v>
      </c>
      <c r="P219" s="2" t="s">
        <v>49</v>
      </c>
      <c r="Q219" s="2" t="s">
        <v>146</v>
      </c>
      <c r="R219" s="2" t="s">
        <v>49</v>
      </c>
      <c r="S219" s="2" t="s">
        <v>146</v>
      </c>
      <c r="U219" s="2">
        <f t="shared" si="6"/>
        <v>145.30000000000001</v>
      </c>
      <c r="V219" s="2">
        <f t="shared" si="7"/>
        <v>0</v>
      </c>
    </row>
    <row r="220" spans="1:22" ht="15" customHeight="1" x14ac:dyDescent="0.45">
      <c r="A220" s="2" t="s">
        <v>396</v>
      </c>
      <c r="B220" s="2" t="s">
        <v>395</v>
      </c>
      <c r="C220" s="2">
        <v>2019</v>
      </c>
      <c r="D220" s="2">
        <v>45.4</v>
      </c>
      <c r="E220" s="2">
        <v>24.8</v>
      </c>
      <c r="F220" s="2">
        <v>3.5</v>
      </c>
      <c r="G220" s="2">
        <v>6.8</v>
      </c>
      <c r="H220" s="2" t="s">
        <v>146</v>
      </c>
      <c r="I220" s="2">
        <v>7.9</v>
      </c>
      <c r="J220" s="2">
        <v>2.4</v>
      </c>
      <c r="K220" s="2" t="s">
        <v>146</v>
      </c>
      <c r="L220" s="2" t="s">
        <v>146</v>
      </c>
      <c r="M220" s="2" t="s">
        <v>146</v>
      </c>
      <c r="N220" s="2" t="s">
        <v>49</v>
      </c>
      <c r="O220" s="2" t="s">
        <v>146</v>
      </c>
      <c r="P220" s="2" t="s">
        <v>49</v>
      </c>
      <c r="Q220" s="2" t="s">
        <v>146</v>
      </c>
      <c r="R220" s="2" t="s">
        <v>49</v>
      </c>
      <c r="S220" s="2" t="s">
        <v>146</v>
      </c>
      <c r="U220" s="2">
        <f t="shared" si="6"/>
        <v>45.4</v>
      </c>
      <c r="V220" s="2">
        <f t="shared" si="7"/>
        <v>0</v>
      </c>
    </row>
    <row r="221" spans="1:22" ht="15" customHeight="1" x14ac:dyDescent="0.45">
      <c r="A221" s="2" t="s">
        <v>393</v>
      </c>
      <c r="B221" s="2" t="s">
        <v>394</v>
      </c>
      <c r="C221" s="2">
        <v>2019</v>
      </c>
      <c r="D221" s="2" t="s">
        <v>49</v>
      </c>
      <c r="E221" s="2" t="s">
        <v>49</v>
      </c>
      <c r="F221" s="2" t="s">
        <v>49</v>
      </c>
      <c r="G221" s="2" t="s">
        <v>49</v>
      </c>
      <c r="H221" s="2" t="s">
        <v>49</v>
      </c>
      <c r="I221" s="2" t="s">
        <v>49</v>
      </c>
      <c r="J221" s="2" t="s">
        <v>49</v>
      </c>
      <c r="K221" s="2" t="s">
        <v>49</v>
      </c>
      <c r="L221" s="2" t="s">
        <v>49</v>
      </c>
      <c r="M221" s="2" t="s">
        <v>49</v>
      </c>
      <c r="N221" s="2" t="s">
        <v>49</v>
      </c>
      <c r="O221" s="2" t="s">
        <v>49</v>
      </c>
      <c r="P221" s="2" t="s">
        <v>49</v>
      </c>
      <c r="Q221" s="2" t="s">
        <v>49</v>
      </c>
      <c r="R221" s="2" t="s">
        <v>49</v>
      </c>
      <c r="S221" s="2" t="s">
        <v>49</v>
      </c>
      <c r="U221" s="2">
        <f t="shared" si="6"/>
        <v>0</v>
      </c>
      <c r="V221" s="2">
        <f t="shared" si="7"/>
        <v>0</v>
      </c>
    </row>
    <row r="222" spans="1:22" ht="15" customHeight="1" x14ac:dyDescent="0.45">
      <c r="A222" s="2" t="s">
        <v>393</v>
      </c>
      <c r="B222" s="2" t="s">
        <v>392</v>
      </c>
      <c r="C222" s="2">
        <v>2019</v>
      </c>
      <c r="D222" s="2" t="s">
        <v>49</v>
      </c>
      <c r="E222" s="2" t="s">
        <v>49</v>
      </c>
      <c r="F222" s="2" t="s">
        <v>49</v>
      </c>
      <c r="G222" s="2" t="s">
        <v>49</v>
      </c>
      <c r="H222" s="2" t="s">
        <v>49</v>
      </c>
      <c r="I222" s="2" t="s">
        <v>49</v>
      </c>
      <c r="J222" s="2" t="s">
        <v>49</v>
      </c>
      <c r="K222" s="2" t="s">
        <v>49</v>
      </c>
      <c r="L222" s="2" t="s">
        <v>49</v>
      </c>
      <c r="M222" s="2" t="s">
        <v>49</v>
      </c>
      <c r="N222" s="2" t="s">
        <v>49</v>
      </c>
      <c r="O222" s="2" t="s">
        <v>49</v>
      </c>
      <c r="P222" s="2" t="s">
        <v>49</v>
      </c>
      <c r="Q222" s="2" t="s">
        <v>49</v>
      </c>
      <c r="R222" s="2" t="s">
        <v>49</v>
      </c>
      <c r="S222" s="2" t="s">
        <v>49</v>
      </c>
      <c r="U222" s="2">
        <f t="shared" si="6"/>
        <v>0</v>
      </c>
      <c r="V222" s="2">
        <f t="shared" si="7"/>
        <v>0</v>
      </c>
    </row>
    <row r="223" spans="1:22" ht="15" customHeight="1" x14ac:dyDescent="0.45">
      <c r="A223" s="2" t="s">
        <v>391</v>
      </c>
      <c r="B223" s="2" t="s">
        <v>390</v>
      </c>
      <c r="C223" s="2">
        <v>2019</v>
      </c>
      <c r="D223" s="2">
        <v>146.30000000000001</v>
      </c>
      <c r="E223" s="2">
        <v>56.8</v>
      </c>
      <c r="F223" s="2">
        <v>5.0999999999999996</v>
      </c>
      <c r="G223" s="2">
        <v>54.5</v>
      </c>
      <c r="H223" s="2">
        <v>15.9</v>
      </c>
      <c r="I223" s="2">
        <v>17.2</v>
      </c>
      <c r="J223" s="2">
        <v>12.7</v>
      </c>
      <c r="K223" s="2" t="s">
        <v>146</v>
      </c>
      <c r="L223" s="2" t="s">
        <v>146</v>
      </c>
      <c r="M223" s="2">
        <v>54.5</v>
      </c>
      <c r="N223" s="2" t="s">
        <v>49</v>
      </c>
      <c r="O223" s="2" t="s">
        <v>146</v>
      </c>
      <c r="P223" s="2" t="s">
        <v>49</v>
      </c>
      <c r="Q223" s="2" t="s">
        <v>146</v>
      </c>
      <c r="R223" s="2" t="s">
        <v>49</v>
      </c>
      <c r="S223" s="2" t="s">
        <v>146</v>
      </c>
      <c r="U223" s="2">
        <f t="shared" si="6"/>
        <v>146.30000000000001</v>
      </c>
      <c r="V223" s="2">
        <f t="shared" si="7"/>
        <v>0</v>
      </c>
    </row>
    <row r="224" spans="1:22" ht="15" customHeight="1" x14ac:dyDescent="0.45">
      <c r="A224" s="2" t="s">
        <v>389</v>
      </c>
      <c r="B224" s="2" t="s">
        <v>388</v>
      </c>
      <c r="C224" s="2">
        <v>2019</v>
      </c>
      <c r="D224" s="2">
        <v>80.7</v>
      </c>
      <c r="E224" s="2">
        <v>34.200000000000003</v>
      </c>
      <c r="F224" s="2">
        <v>22.6</v>
      </c>
      <c r="G224" s="2">
        <v>9.6999999999999993</v>
      </c>
      <c r="H224" s="2" t="s">
        <v>146</v>
      </c>
      <c r="I224" s="2">
        <v>9.4</v>
      </c>
      <c r="J224" s="2">
        <v>4.8</v>
      </c>
      <c r="K224" s="2" t="s">
        <v>146</v>
      </c>
      <c r="L224" s="2" t="s">
        <v>146</v>
      </c>
      <c r="M224" s="2" t="s">
        <v>146</v>
      </c>
      <c r="N224" s="2" t="s">
        <v>49</v>
      </c>
      <c r="O224" s="2" t="s">
        <v>146</v>
      </c>
      <c r="P224" s="2" t="s">
        <v>49</v>
      </c>
      <c r="Q224" s="2" t="s">
        <v>146</v>
      </c>
      <c r="R224" s="2" t="s">
        <v>49</v>
      </c>
      <c r="S224" s="2" t="s">
        <v>146</v>
      </c>
      <c r="U224" s="2">
        <f t="shared" si="6"/>
        <v>80.7</v>
      </c>
      <c r="V224" s="2">
        <f t="shared" si="7"/>
        <v>0</v>
      </c>
    </row>
    <row r="225" spans="1:22" ht="15" customHeight="1" x14ac:dyDescent="0.45">
      <c r="A225" s="2" t="s">
        <v>387</v>
      </c>
      <c r="B225" s="2" t="s">
        <v>114</v>
      </c>
      <c r="C225" s="2">
        <v>2019</v>
      </c>
      <c r="D225" s="2">
        <v>24.82</v>
      </c>
      <c r="E225" s="2" t="s">
        <v>1051</v>
      </c>
      <c r="F225" s="2" t="s">
        <v>1051</v>
      </c>
      <c r="G225" s="2" t="s">
        <v>1051</v>
      </c>
      <c r="H225" s="2" t="s">
        <v>146</v>
      </c>
      <c r="I225" s="2" t="s">
        <v>1051</v>
      </c>
      <c r="J225" s="2" t="s">
        <v>1051</v>
      </c>
      <c r="K225" s="2" t="s">
        <v>146</v>
      </c>
      <c r="L225" s="2" t="s">
        <v>146</v>
      </c>
      <c r="M225" s="2" t="s">
        <v>146</v>
      </c>
      <c r="N225" s="2" t="s">
        <v>49</v>
      </c>
      <c r="O225" s="2" t="s">
        <v>146</v>
      </c>
      <c r="P225" s="2" t="s">
        <v>49</v>
      </c>
      <c r="Q225" s="2" t="s">
        <v>146</v>
      </c>
      <c r="R225" s="2" t="s">
        <v>49</v>
      </c>
      <c r="S225" s="2" t="s">
        <v>146</v>
      </c>
      <c r="U225" s="2">
        <f t="shared" si="6"/>
        <v>24.82</v>
      </c>
      <c r="V225" s="2">
        <f t="shared" si="7"/>
        <v>0</v>
      </c>
    </row>
    <row r="226" spans="1:22" ht="15" customHeight="1" x14ac:dyDescent="0.45">
      <c r="A226" s="2" t="s">
        <v>386</v>
      </c>
      <c r="B226" s="2" t="s">
        <v>385</v>
      </c>
      <c r="C226" s="2">
        <v>2019</v>
      </c>
      <c r="D226" s="2">
        <v>151</v>
      </c>
      <c r="E226" s="2">
        <v>77</v>
      </c>
      <c r="F226" s="2">
        <v>37</v>
      </c>
      <c r="G226" s="2">
        <v>7</v>
      </c>
      <c r="H226" s="2">
        <v>0</v>
      </c>
      <c r="I226" s="2">
        <v>12</v>
      </c>
      <c r="J226" s="2">
        <v>18</v>
      </c>
      <c r="K226" s="2">
        <v>1</v>
      </c>
      <c r="L226" s="2">
        <v>0</v>
      </c>
      <c r="M226" s="2">
        <v>0</v>
      </c>
      <c r="N226" s="2" t="s">
        <v>146</v>
      </c>
      <c r="O226" s="2" t="s">
        <v>146</v>
      </c>
      <c r="P226" s="2" t="s">
        <v>146</v>
      </c>
      <c r="Q226" s="2" t="s">
        <v>146</v>
      </c>
      <c r="R226" s="2" t="s">
        <v>146</v>
      </c>
      <c r="S226" s="2" t="s">
        <v>146</v>
      </c>
      <c r="U226" s="2">
        <f t="shared" si="6"/>
        <v>151</v>
      </c>
      <c r="V226" s="2">
        <f t="shared" si="7"/>
        <v>0</v>
      </c>
    </row>
    <row r="227" spans="1:22" ht="15" customHeight="1" x14ac:dyDescent="0.45">
      <c r="A227" s="2" t="s">
        <v>4</v>
      </c>
      <c r="B227" s="2" t="s">
        <v>383</v>
      </c>
      <c r="C227" s="2">
        <v>2019</v>
      </c>
      <c r="D227" s="2" t="s">
        <v>49</v>
      </c>
      <c r="E227" s="2" t="s">
        <v>49</v>
      </c>
      <c r="F227" s="2" t="s">
        <v>49</v>
      </c>
      <c r="G227" s="2" t="s">
        <v>49</v>
      </c>
      <c r="H227" s="2" t="s">
        <v>49</v>
      </c>
      <c r="I227" s="2" t="s">
        <v>49</v>
      </c>
      <c r="J227" s="2" t="s">
        <v>49</v>
      </c>
      <c r="K227" s="2" t="s">
        <v>49</v>
      </c>
      <c r="L227" s="2" t="s">
        <v>49</v>
      </c>
      <c r="M227" s="2" t="s">
        <v>49</v>
      </c>
      <c r="N227" s="2" t="s">
        <v>49</v>
      </c>
      <c r="O227" s="2" t="s">
        <v>49</v>
      </c>
      <c r="P227" s="2" t="s">
        <v>49</v>
      </c>
      <c r="Q227" s="2" t="s">
        <v>49</v>
      </c>
      <c r="R227" s="2" t="s">
        <v>49</v>
      </c>
      <c r="S227" s="2" t="s">
        <v>49</v>
      </c>
      <c r="U227" s="2">
        <f t="shared" si="6"/>
        <v>0</v>
      </c>
      <c r="V227" s="2">
        <f t="shared" si="7"/>
        <v>0</v>
      </c>
    </row>
    <row r="228" spans="1:22" ht="15" customHeight="1" x14ac:dyDescent="0.45">
      <c r="A228" s="2" t="s">
        <v>4</v>
      </c>
      <c r="B228" s="2" t="s">
        <v>382</v>
      </c>
      <c r="C228" s="2">
        <v>2019</v>
      </c>
      <c r="D228" s="2" t="s">
        <v>49</v>
      </c>
      <c r="E228" s="2" t="s">
        <v>49</v>
      </c>
      <c r="F228" s="2" t="s">
        <v>49</v>
      </c>
      <c r="G228" s="2" t="s">
        <v>49</v>
      </c>
      <c r="H228" s="2" t="s">
        <v>49</v>
      </c>
      <c r="I228" s="2" t="s">
        <v>49</v>
      </c>
      <c r="J228" s="2" t="s">
        <v>49</v>
      </c>
      <c r="K228" s="2" t="s">
        <v>49</v>
      </c>
      <c r="L228" s="2" t="s">
        <v>49</v>
      </c>
      <c r="M228" s="2" t="s">
        <v>49</v>
      </c>
      <c r="N228" s="2" t="s">
        <v>49</v>
      </c>
      <c r="O228" s="2" t="s">
        <v>49</v>
      </c>
      <c r="P228" s="2" t="s">
        <v>49</v>
      </c>
      <c r="Q228" s="2" t="s">
        <v>49</v>
      </c>
      <c r="R228" s="2" t="s">
        <v>49</v>
      </c>
      <c r="S228" s="2" t="s">
        <v>49</v>
      </c>
      <c r="U228" s="2">
        <f t="shared" si="6"/>
        <v>0</v>
      </c>
      <c r="V228" s="2">
        <f t="shared" si="7"/>
        <v>0</v>
      </c>
    </row>
    <row r="229" spans="1:22" ht="15" customHeight="1" x14ac:dyDescent="0.45">
      <c r="A229" s="2" t="s">
        <v>4</v>
      </c>
      <c r="B229" s="2" t="s">
        <v>5</v>
      </c>
      <c r="C229" s="2">
        <v>2019</v>
      </c>
      <c r="D229" s="2" t="s">
        <v>49</v>
      </c>
      <c r="E229" s="2" t="s">
        <v>49</v>
      </c>
      <c r="F229" s="2" t="s">
        <v>49</v>
      </c>
      <c r="G229" s="2" t="s">
        <v>49</v>
      </c>
      <c r="H229" s="2" t="s">
        <v>49</v>
      </c>
      <c r="I229" s="2" t="s">
        <v>49</v>
      </c>
      <c r="J229" s="2" t="s">
        <v>49</v>
      </c>
      <c r="K229" s="2" t="s">
        <v>49</v>
      </c>
      <c r="L229" s="2" t="s">
        <v>49</v>
      </c>
      <c r="M229" s="2" t="s">
        <v>49</v>
      </c>
      <c r="N229" s="2" t="s">
        <v>49</v>
      </c>
      <c r="O229" s="2" t="s">
        <v>49</v>
      </c>
      <c r="P229" s="2" t="s">
        <v>49</v>
      </c>
      <c r="Q229" s="2" t="s">
        <v>49</v>
      </c>
      <c r="R229" s="2" t="s">
        <v>49</v>
      </c>
      <c r="S229" s="2" t="s">
        <v>49</v>
      </c>
      <c r="U229" s="2">
        <f t="shared" si="6"/>
        <v>0</v>
      </c>
      <c r="V229" s="2">
        <f t="shared" si="7"/>
        <v>0</v>
      </c>
    </row>
    <row r="230" spans="1:22" ht="15" customHeight="1" x14ac:dyDescent="0.45">
      <c r="A230" s="2" t="s">
        <v>381</v>
      </c>
      <c r="B230" s="2" t="s">
        <v>380</v>
      </c>
      <c r="C230" s="2">
        <v>2019</v>
      </c>
      <c r="D230" s="2">
        <v>44.9</v>
      </c>
      <c r="E230" s="2">
        <v>18.3</v>
      </c>
      <c r="F230" s="2">
        <v>14.3</v>
      </c>
      <c r="G230" s="2">
        <v>3.2</v>
      </c>
      <c r="H230" s="2">
        <v>0</v>
      </c>
      <c r="I230" s="2">
        <v>6.4</v>
      </c>
      <c r="J230" s="2">
        <v>2.7</v>
      </c>
      <c r="K230" s="2">
        <v>0</v>
      </c>
      <c r="L230" s="2">
        <v>0</v>
      </c>
      <c r="M230" s="2">
        <v>0</v>
      </c>
      <c r="N230" s="2" t="s">
        <v>146</v>
      </c>
      <c r="O230" s="2" t="s">
        <v>146</v>
      </c>
      <c r="P230" s="2" t="s">
        <v>146</v>
      </c>
      <c r="Q230" s="2" t="s">
        <v>146</v>
      </c>
      <c r="R230" s="2" t="s">
        <v>146</v>
      </c>
      <c r="S230" s="2" t="s">
        <v>146</v>
      </c>
      <c r="U230" s="2">
        <f t="shared" si="6"/>
        <v>44.9</v>
      </c>
      <c r="V230" s="2">
        <f t="shared" si="7"/>
        <v>0</v>
      </c>
    </row>
    <row r="231" spans="1:22" ht="15" customHeight="1" x14ac:dyDescent="0.45">
      <c r="A231" s="2" t="s">
        <v>376</v>
      </c>
      <c r="B231" s="2" t="s">
        <v>379</v>
      </c>
      <c r="C231" s="2">
        <v>2019</v>
      </c>
      <c r="D231" s="2">
        <v>6.26</v>
      </c>
      <c r="E231" s="2">
        <v>2.14</v>
      </c>
      <c r="F231" s="2">
        <v>1.59</v>
      </c>
      <c r="G231" s="2" t="s">
        <v>146</v>
      </c>
      <c r="H231" s="2" t="s">
        <v>146</v>
      </c>
      <c r="I231" s="2">
        <v>1.94</v>
      </c>
      <c r="J231" s="2">
        <v>0.59</v>
      </c>
      <c r="K231" s="2" t="s">
        <v>146</v>
      </c>
      <c r="L231" s="2" t="s">
        <v>146</v>
      </c>
      <c r="M231" s="2" t="s">
        <v>146</v>
      </c>
      <c r="N231" s="2" t="s">
        <v>49</v>
      </c>
      <c r="O231" s="2" t="s">
        <v>146</v>
      </c>
      <c r="P231" s="2" t="s">
        <v>49</v>
      </c>
      <c r="Q231" s="2" t="s">
        <v>146</v>
      </c>
      <c r="R231" s="2" t="s">
        <v>49</v>
      </c>
      <c r="S231" s="2" t="s">
        <v>146</v>
      </c>
      <c r="U231" s="2">
        <f t="shared" si="6"/>
        <v>6.26</v>
      </c>
      <c r="V231" s="2">
        <f t="shared" si="7"/>
        <v>0</v>
      </c>
    </row>
    <row r="232" spans="1:22" ht="15" customHeight="1" x14ac:dyDescent="0.45">
      <c r="A232" s="2" t="s">
        <v>376</v>
      </c>
      <c r="B232" s="2" t="s">
        <v>378</v>
      </c>
      <c r="C232" s="2">
        <v>2019</v>
      </c>
      <c r="D232" s="2">
        <v>255.83</v>
      </c>
      <c r="E232" s="2">
        <v>82.93</v>
      </c>
      <c r="F232" s="2">
        <v>71.23</v>
      </c>
      <c r="G232" s="2">
        <v>20.6</v>
      </c>
      <c r="H232" s="2" t="s">
        <v>146</v>
      </c>
      <c r="I232" s="2">
        <v>41</v>
      </c>
      <c r="J232" s="2">
        <v>37</v>
      </c>
      <c r="K232" s="2">
        <v>2.89</v>
      </c>
      <c r="L232" s="2" t="s">
        <v>146</v>
      </c>
      <c r="M232" s="2" t="s">
        <v>146</v>
      </c>
      <c r="N232" s="2" t="s">
        <v>49</v>
      </c>
      <c r="O232" s="2" t="s">
        <v>146</v>
      </c>
      <c r="P232" s="2" t="s">
        <v>49</v>
      </c>
      <c r="Q232" s="2" t="s">
        <v>146</v>
      </c>
      <c r="R232" s="2" t="s">
        <v>49</v>
      </c>
      <c r="S232" s="2" t="s">
        <v>146</v>
      </c>
      <c r="U232" s="2">
        <f t="shared" si="6"/>
        <v>255.83</v>
      </c>
      <c r="V232" s="2">
        <f t="shared" si="7"/>
        <v>0</v>
      </c>
    </row>
    <row r="233" spans="1:22" ht="15" customHeight="1" x14ac:dyDescent="0.45">
      <c r="A233" s="2" t="s">
        <v>376</v>
      </c>
      <c r="B233" s="2" t="s">
        <v>377</v>
      </c>
      <c r="C233" s="2">
        <v>2019</v>
      </c>
      <c r="D233" s="2">
        <v>1.51</v>
      </c>
      <c r="E233" s="2">
        <v>0.71</v>
      </c>
      <c r="F233" s="2" t="s">
        <v>146</v>
      </c>
      <c r="G233" s="2" t="s">
        <v>146</v>
      </c>
      <c r="H233" s="2" t="s">
        <v>146</v>
      </c>
      <c r="I233" s="2">
        <v>0.65800000000000003</v>
      </c>
      <c r="J233" s="2">
        <v>0.14000000000000001</v>
      </c>
      <c r="K233" s="2" t="s">
        <v>146</v>
      </c>
      <c r="L233" s="2" t="s">
        <v>146</v>
      </c>
      <c r="M233" s="2" t="s">
        <v>146</v>
      </c>
      <c r="N233" s="2" t="s">
        <v>49</v>
      </c>
      <c r="O233" s="2" t="s">
        <v>146</v>
      </c>
      <c r="P233" s="2" t="s">
        <v>49</v>
      </c>
      <c r="Q233" s="2" t="s">
        <v>146</v>
      </c>
      <c r="R233" s="2" t="s">
        <v>49</v>
      </c>
      <c r="S233" s="2" t="s">
        <v>146</v>
      </c>
      <c r="U233" s="2">
        <f t="shared" si="6"/>
        <v>1.51</v>
      </c>
      <c r="V233" s="2">
        <f t="shared" si="7"/>
        <v>0</v>
      </c>
    </row>
    <row r="234" spans="1:22" ht="15" customHeight="1" x14ac:dyDescent="0.45">
      <c r="A234" s="2" t="s">
        <v>376</v>
      </c>
      <c r="B234" s="2" t="s">
        <v>375</v>
      </c>
      <c r="C234" s="2">
        <v>2019</v>
      </c>
      <c r="D234" s="2">
        <v>2.0699999999999998</v>
      </c>
      <c r="E234" s="2">
        <v>0.59899999999999998</v>
      </c>
      <c r="F234" s="2">
        <v>0.161</v>
      </c>
      <c r="G234" s="2" t="s">
        <v>146</v>
      </c>
      <c r="H234" s="2" t="s">
        <v>146</v>
      </c>
      <c r="I234" s="2">
        <v>1.25</v>
      </c>
      <c r="J234" s="2">
        <v>6.0999999999999999E-2</v>
      </c>
      <c r="K234" s="2" t="s">
        <v>146</v>
      </c>
      <c r="L234" s="2" t="s">
        <v>146</v>
      </c>
      <c r="M234" s="2" t="s">
        <v>146</v>
      </c>
      <c r="N234" s="2" t="s">
        <v>49</v>
      </c>
      <c r="O234" s="2" t="s">
        <v>146</v>
      </c>
      <c r="P234" s="2" t="s">
        <v>49</v>
      </c>
      <c r="Q234" s="2" t="s">
        <v>146</v>
      </c>
      <c r="R234" s="2" t="s">
        <v>49</v>
      </c>
      <c r="S234" s="2" t="s">
        <v>146</v>
      </c>
      <c r="U234" s="2">
        <f t="shared" si="6"/>
        <v>2.0699999999999998</v>
      </c>
      <c r="V234" s="2">
        <f t="shared" si="7"/>
        <v>0</v>
      </c>
    </row>
    <row r="235" spans="1:22" ht="15" customHeight="1" x14ac:dyDescent="0.45">
      <c r="A235" s="2" t="s">
        <v>374</v>
      </c>
      <c r="B235" s="2" t="s">
        <v>373</v>
      </c>
      <c r="C235" s="2">
        <v>2019</v>
      </c>
      <c r="D235" s="2" t="s">
        <v>49</v>
      </c>
      <c r="E235" s="2" t="s">
        <v>49</v>
      </c>
      <c r="F235" s="2" t="s">
        <v>49</v>
      </c>
      <c r="G235" s="2" t="s">
        <v>49</v>
      </c>
      <c r="H235" s="2" t="s">
        <v>49</v>
      </c>
      <c r="I235" s="2" t="s">
        <v>49</v>
      </c>
      <c r="J235" s="2" t="s">
        <v>49</v>
      </c>
      <c r="K235" s="2" t="s">
        <v>49</v>
      </c>
      <c r="L235" s="2" t="s">
        <v>49</v>
      </c>
      <c r="M235" s="2" t="s">
        <v>49</v>
      </c>
      <c r="N235" s="2" t="s">
        <v>49</v>
      </c>
      <c r="O235" s="2" t="s">
        <v>49</v>
      </c>
      <c r="P235" s="2" t="s">
        <v>49</v>
      </c>
      <c r="Q235" s="2" t="s">
        <v>49</v>
      </c>
      <c r="R235" s="2" t="s">
        <v>49</v>
      </c>
      <c r="S235" s="2" t="s">
        <v>49</v>
      </c>
      <c r="U235" s="2">
        <f t="shared" si="6"/>
        <v>0</v>
      </c>
      <c r="V235" s="2">
        <f t="shared" si="7"/>
        <v>0</v>
      </c>
    </row>
    <row r="236" spans="1:22" ht="15" customHeight="1" x14ac:dyDescent="0.45">
      <c r="A236" s="2" t="s">
        <v>371</v>
      </c>
      <c r="B236" s="2" t="s">
        <v>372</v>
      </c>
      <c r="C236" s="2">
        <v>2019</v>
      </c>
      <c r="D236" s="2">
        <v>13.4</v>
      </c>
      <c r="E236" s="2">
        <v>3.7</v>
      </c>
      <c r="F236" s="2">
        <v>3.9</v>
      </c>
      <c r="G236" s="2">
        <v>2.5</v>
      </c>
      <c r="H236" s="2">
        <v>0</v>
      </c>
      <c r="I236" s="2">
        <v>3.3</v>
      </c>
      <c r="J236" s="2">
        <v>0</v>
      </c>
      <c r="K236" s="2">
        <v>0</v>
      </c>
      <c r="L236" s="2" t="s">
        <v>146</v>
      </c>
      <c r="M236" s="2" t="s">
        <v>146</v>
      </c>
      <c r="N236" s="2" t="s">
        <v>176</v>
      </c>
      <c r="O236" s="2" t="s">
        <v>146</v>
      </c>
      <c r="P236" s="2" t="s">
        <v>176</v>
      </c>
      <c r="Q236" s="2" t="s">
        <v>146</v>
      </c>
      <c r="R236" s="2" t="s">
        <v>176</v>
      </c>
      <c r="S236" s="2" t="s">
        <v>146</v>
      </c>
      <c r="U236" s="2">
        <f t="shared" si="6"/>
        <v>13.4</v>
      </c>
      <c r="V236" s="2">
        <f t="shared" si="7"/>
        <v>0</v>
      </c>
    </row>
    <row r="237" spans="1:22" ht="15" customHeight="1" x14ac:dyDescent="0.45">
      <c r="A237" s="2" t="s">
        <v>371</v>
      </c>
      <c r="B237" s="2" t="s">
        <v>370</v>
      </c>
      <c r="C237" s="2">
        <v>2019</v>
      </c>
      <c r="D237" s="2">
        <v>99.5</v>
      </c>
      <c r="E237" s="2">
        <v>67.5</v>
      </c>
      <c r="F237" s="2">
        <v>6.8</v>
      </c>
      <c r="G237" s="2">
        <v>6.3</v>
      </c>
      <c r="H237" s="2">
        <v>0</v>
      </c>
      <c r="I237" s="2">
        <v>15.3</v>
      </c>
      <c r="J237" s="2">
        <v>3</v>
      </c>
      <c r="K237" s="2" t="s">
        <v>146</v>
      </c>
      <c r="L237" s="2">
        <v>0.6</v>
      </c>
      <c r="M237" s="2" t="s">
        <v>146</v>
      </c>
      <c r="N237" s="2" t="s">
        <v>176</v>
      </c>
      <c r="O237" s="2" t="s">
        <v>146</v>
      </c>
      <c r="P237" s="2" t="s">
        <v>176</v>
      </c>
      <c r="Q237" s="2" t="s">
        <v>146</v>
      </c>
      <c r="R237" s="2" t="s">
        <v>176</v>
      </c>
      <c r="S237" s="2" t="s">
        <v>146</v>
      </c>
      <c r="U237" s="2">
        <f t="shared" si="6"/>
        <v>99.5</v>
      </c>
      <c r="V237" s="2">
        <f t="shared" si="7"/>
        <v>0</v>
      </c>
    </row>
    <row r="238" spans="1:22" ht="15" customHeight="1" x14ac:dyDescent="0.45">
      <c r="A238" s="2" t="s">
        <v>369</v>
      </c>
      <c r="B238" s="2" t="s">
        <v>368</v>
      </c>
      <c r="C238" s="2">
        <v>2019</v>
      </c>
      <c r="D238" s="2">
        <v>44.7</v>
      </c>
      <c r="E238" s="2">
        <v>15.4</v>
      </c>
      <c r="F238" s="2">
        <v>8.9</v>
      </c>
      <c r="G238" s="2">
        <v>1.3</v>
      </c>
      <c r="H238" s="2" t="s">
        <v>146</v>
      </c>
      <c r="I238" s="2">
        <v>11.9</v>
      </c>
      <c r="J238" s="2">
        <v>7.3</v>
      </c>
      <c r="K238" s="2" t="s">
        <v>146</v>
      </c>
      <c r="L238" s="2" t="s">
        <v>1051</v>
      </c>
      <c r="M238" s="2" t="s">
        <v>1051</v>
      </c>
      <c r="N238" s="2" t="s">
        <v>49</v>
      </c>
      <c r="O238" s="2" t="s">
        <v>146</v>
      </c>
      <c r="P238" s="2" t="s">
        <v>49</v>
      </c>
      <c r="Q238" s="2" t="s">
        <v>146</v>
      </c>
      <c r="R238" s="2" t="s">
        <v>49</v>
      </c>
      <c r="S238" s="2" t="s">
        <v>146</v>
      </c>
      <c r="U238" s="2">
        <f t="shared" si="6"/>
        <v>44.7</v>
      </c>
      <c r="V238" s="2">
        <f t="shared" si="7"/>
        <v>0</v>
      </c>
    </row>
    <row r="239" spans="1:22" ht="15" customHeight="1" x14ac:dyDescent="0.45">
      <c r="A239" s="2" t="s">
        <v>367</v>
      </c>
      <c r="B239" s="2" t="s">
        <v>366</v>
      </c>
      <c r="C239" s="2">
        <v>2019</v>
      </c>
      <c r="D239" s="2">
        <v>143.65</v>
      </c>
      <c r="E239" s="2">
        <v>61.106999999999999</v>
      </c>
      <c r="F239" s="2">
        <v>17.861999999999998</v>
      </c>
      <c r="G239" s="2">
        <v>7.4859999999999998</v>
      </c>
      <c r="H239" s="2" t="s">
        <v>1051</v>
      </c>
      <c r="I239" s="2">
        <v>34.944000000000003</v>
      </c>
      <c r="J239" s="2">
        <v>21.129000000000001</v>
      </c>
      <c r="K239" s="2">
        <v>1.121</v>
      </c>
      <c r="L239" s="2" t="s">
        <v>1051</v>
      </c>
      <c r="M239" s="2" t="s">
        <v>1051</v>
      </c>
      <c r="N239" s="2" t="s">
        <v>49</v>
      </c>
      <c r="O239" s="2" t="s">
        <v>146</v>
      </c>
      <c r="P239" s="2" t="s">
        <v>49</v>
      </c>
      <c r="Q239" s="2" t="s">
        <v>146</v>
      </c>
      <c r="R239" s="2" t="s">
        <v>49</v>
      </c>
      <c r="S239" s="2" t="s">
        <v>146</v>
      </c>
      <c r="U239" s="2">
        <f t="shared" si="6"/>
        <v>143.65</v>
      </c>
      <c r="V239" s="2">
        <f t="shared" si="7"/>
        <v>0</v>
      </c>
    </row>
    <row r="240" spans="1:22" ht="15" customHeight="1" x14ac:dyDescent="0.45">
      <c r="A240" s="2" t="s">
        <v>364</v>
      </c>
      <c r="B240" s="2" t="s">
        <v>363</v>
      </c>
      <c r="C240" s="2">
        <v>2019</v>
      </c>
      <c r="D240" s="2">
        <v>224.6</v>
      </c>
      <c r="E240" s="2">
        <v>103.1</v>
      </c>
      <c r="F240" s="2">
        <v>42.1</v>
      </c>
      <c r="G240" s="2">
        <v>20</v>
      </c>
      <c r="H240" s="2" t="s">
        <v>146</v>
      </c>
      <c r="I240" s="2">
        <v>25.542999999999999</v>
      </c>
      <c r="J240" s="2">
        <v>30.9</v>
      </c>
      <c r="K240" s="2">
        <v>0.2</v>
      </c>
      <c r="L240" s="2" t="s">
        <v>1051</v>
      </c>
      <c r="M240" s="2" t="s">
        <v>146</v>
      </c>
      <c r="N240" s="2" t="s">
        <v>49</v>
      </c>
      <c r="O240" s="2" t="s">
        <v>146</v>
      </c>
      <c r="P240" s="2" t="s">
        <v>49</v>
      </c>
      <c r="Q240" s="2" t="s">
        <v>146</v>
      </c>
      <c r="R240" s="2" t="s">
        <v>49</v>
      </c>
      <c r="S240" s="2" t="s">
        <v>146</v>
      </c>
      <c r="U240" s="2">
        <f t="shared" si="6"/>
        <v>224.6</v>
      </c>
      <c r="V240" s="2">
        <f t="shared" si="7"/>
        <v>0</v>
      </c>
    </row>
    <row r="241" spans="1:22" ht="15" customHeight="1" x14ac:dyDescent="0.45">
      <c r="A241" s="2" t="s">
        <v>362</v>
      </c>
      <c r="B241" s="2" t="s">
        <v>361</v>
      </c>
      <c r="C241" s="2">
        <v>2019</v>
      </c>
      <c r="D241" s="2">
        <v>149.303</v>
      </c>
      <c r="E241" s="2">
        <v>79.266000000000005</v>
      </c>
      <c r="F241" s="2">
        <v>14.285</v>
      </c>
      <c r="G241" s="2">
        <v>20.055</v>
      </c>
      <c r="H241" s="2">
        <v>16.488</v>
      </c>
      <c r="I241" s="2">
        <v>13.340999999999999</v>
      </c>
      <c r="J241" s="2">
        <v>3.1709999999999998</v>
      </c>
      <c r="K241" s="2">
        <v>5.713E-2</v>
      </c>
      <c r="L241" s="2" t="s">
        <v>146</v>
      </c>
      <c r="M241" s="2" t="s">
        <v>146</v>
      </c>
      <c r="N241" s="2" t="s">
        <v>49</v>
      </c>
      <c r="O241" s="2" t="s">
        <v>146</v>
      </c>
      <c r="P241" s="2" t="s">
        <v>49</v>
      </c>
      <c r="Q241" s="2" t="s">
        <v>146</v>
      </c>
      <c r="R241" s="2" t="s">
        <v>49</v>
      </c>
      <c r="S241" s="2" t="s">
        <v>146</v>
      </c>
      <c r="U241" s="2">
        <f t="shared" si="6"/>
        <v>149.303</v>
      </c>
      <c r="V241" s="2">
        <f t="shared" si="7"/>
        <v>0</v>
      </c>
    </row>
    <row r="242" spans="1:22" ht="15" customHeight="1" x14ac:dyDescent="0.45">
      <c r="A242" s="2" t="s">
        <v>360</v>
      </c>
      <c r="B242" s="2" t="s">
        <v>359</v>
      </c>
      <c r="C242" s="2">
        <v>2019</v>
      </c>
      <c r="D242" s="2">
        <v>87.8</v>
      </c>
      <c r="E242" s="2">
        <v>44.7</v>
      </c>
      <c r="F242" s="2">
        <v>5</v>
      </c>
      <c r="G242" s="2">
        <v>12.2</v>
      </c>
      <c r="H242" s="2">
        <v>0</v>
      </c>
      <c r="I242" s="2">
        <v>2.1</v>
      </c>
      <c r="J242" s="2">
        <v>22.9</v>
      </c>
      <c r="K242" s="2">
        <v>0</v>
      </c>
      <c r="L242" s="2">
        <v>1</v>
      </c>
      <c r="M242" s="2">
        <v>0</v>
      </c>
      <c r="N242" s="2" t="s">
        <v>49</v>
      </c>
      <c r="O242" s="2" t="s">
        <v>146</v>
      </c>
      <c r="P242" s="2" t="s">
        <v>49</v>
      </c>
      <c r="Q242" s="2" t="s">
        <v>146</v>
      </c>
      <c r="R242" s="2" t="s">
        <v>49</v>
      </c>
      <c r="S242" s="2" t="s">
        <v>146</v>
      </c>
      <c r="U242" s="2">
        <f t="shared" si="6"/>
        <v>87.8</v>
      </c>
      <c r="V242" s="2">
        <f t="shared" si="7"/>
        <v>0</v>
      </c>
    </row>
    <row r="243" spans="1:22" ht="15" customHeight="1" x14ac:dyDescent="0.45">
      <c r="A243" s="2" t="s">
        <v>342</v>
      </c>
      <c r="B243" s="2" t="s">
        <v>358</v>
      </c>
      <c r="C243" s="2">
        <v>2019</v>
      </c>
      <c r="D243" s="2">
        <v>7.8650000000000002</v>
      </c>
      <c r="E243" s="2">
        <v>4.5609999999999999</v>
      </c>
      <c r="F243" s="2">
        <v>0.42699999999999999</v>
      </c>
      <c r="G243" s="2">
        <v>0.21</v>
      </c>
      <c r="H243" s="2" t="s">
        <v>146</v>
      </c>
      <c r="I243" s="2">
        <v>2.0539999999999998</v>
      </c>
      <c r="J243" s="2">
        <v>0.61199999999999999</v>
      </c>
      <c r="K243" s="2" t="s">
        <v>146</v>
      </c>
      <c r="L243" s="2" t="s">
        <v>146</v>
      </c>
      <c r="M243" s="2" t="s">
        <v>146</v>
      </c>
      <c r="N243" s="2" t="s">
        <v>49</v>
      </c>
      <c r="O243" s="2" t="s">
        <v>146</v>
      </c>
      <c r="P243" s="2" t="s">
        <v>49</v>
      </c>
      <c r="Q243" s="2" t="s">
        <v>146</v>
      </c>
      <c r="R243" s="2" t="s">
        <v>49</v>
      </c>
      <c r="S243" s="2" t="s">
        <v>146</v>
      </c>
      <c r="U243" s="2">
        <f t="shared" si="6"/>
        <v>7.8650000000000002</v>
      </c>
      <c r="V243" s="2">
        <f t="shared" si="7"/>
        <v>0</v>
      </c>
    </row>
    <row r="244" spans="1:22" ht="15" customHeight="1" x14ac:dyDescent="0.45">
      <c r="A244" s="2" t="s">
        <v>342</v>
      </c>
      <c r="B244" s="2" t="s">
        <v>357</v>
      </c>
      <c r="C244" s="2">
        <v>2019</v>
      </c>
      <c r="D244" s="2">
        <v>8.0250000000000004</v>
      </c>
      <c r="E244" s="2">
        <v>1.403</v>
      </c>
      <c r="F244" s="2">
        <v>1.141</v>
      </c>
      <c r="G244" s="2">
        <v>0</v>
      </c>
      <c r="H244" s="2" t="s">
        <v>146</v>
      </c>
      <c r="I244" s="2">
        <v>4.4660000000000002</v>
      </c>
      <c r="J244" s="2">
        <v>1.0149999999999999</v>
      </c>
      <c r="K244" s="2" t="s">
        <v>146</v>
      </c>
      <c r="L244" s="2" t="s">
        <v>146</v>
      </c>
      <c r="M244" s="2" t="s">
        <v>146</v>
      </c>
      <c r="N244" s="2" t="s">
        <v>49</v>
      </c>
      <c r="O244" s="2" t="s">
        <v>146</v>
      </c>
      <c r="P244" s="2" t="s">
        <v>49</v>
      </c>
      <c r="Q244" s="2" t="s">
        <v>146</v>
      </c>
      <c r="R244" s="2" t="s">
        <v>49</v>
      </c>
      <c r="S244" s="2" t="s">
        <v>146</v>
      </c>
      <c r="U244" s="2">
        <f t="shared" si="6"/>
        <v>8.0250000000000004</v>
      </c>
      <c r="V244" s="2">
        <f t="shared" si="7"/>
        <v>0</v>
      </c>
    </row>
    <row r="245" spans="1:22" ht="15" customHeight="1" x14ac:dyDescent="0.45">
      <c r="A245" s="2" t="s">
        <v>342</v>
      </c>
      <c r="B245" s="2" t="s">
        <v>356</v>
      </c>
      <c r="C245" s="2">
        <v>2019</v>
      </c>
      <c r="D245" s="2">
        <v>15.529</v>
      </c>
      <c r="E245" s="2">
        <v>2.5299999999999998</v>
      </c>
      <c r="F245" s="2">
        <v>3.7930000000000001</v>
      </c>
      <c r="G245" s="2">
        <v>3.0329999999999999</v>
      </c>
      <c r="H245" s="2" t="s">
        <v>146</v>
      </c>
      <c r="I245" s="2">
        <v>5.2510000000000003</v>
      </c>
      <c r="J245" s="2">
        <v>0.92200000000000004</v>
      </c>
      <c r="K245" s="2" t="s">
        <v>146</v>
      </c>
      <c r="L245" s="2" t="s">
        <v>146</v>
      </c>
      <c r="M245" s="2" t="s">
        <v>146</v>
      </c>
      <c r="N245" s="2" t="s">
        <v>49</v>
      </c>
      <c r="O245" s="2" t="s">
        <v>146</v>
      </c>
      <c r="P245" s="2" t="s">
        <v>49</v>
      </c>
      <c r="Q245" s="2" t="s">
        <v>146</v>
      </c>
      <c r="R245" s="2" t="s">
        <v>49</v>
      </c>
      <c r="S245" s="2" t="s">
        <v>146</v>
      </c>
      <c r="U245" s="2">
        <f t="shared" si="6"/>
        <v>15.529</v>
      </c>
      <c r="V245" s="2">
        <f t="shared" si="7"/>
        <v>0</v>
      </c>
    </row>
    <row r="246" spans="1:22" ht="15" customHeight="1" x14ac:dyDescent="0.45">
      <c r="A246" s="2" t="s">
        <v>342</v>
      </c>
      <c r="B246" s="2" t="s">
        <v>355</v>
      </c>
      <c r="C246" s="2">
        <v>2019</v>
      </c>
      <c r="D246" s="2">
        <v>10.827</v>
      </c>
      <c r="E246" s="2">
        <v>2.7360000000000002</v>
      </c>
      <c r="F246" s="2">
        <v>0.57499999999999996</v>
      </c>
      <c r="G246" s="2">
        <v>4.4320000000000004</v>
      </c>
      <c r="H246" s="2" t="s">
        <v>146</v>
      </c>
      <c r="I246" s="2">
        <v>2.8780000000000001</v>
      </c>
      <c r="J246" s="2">
        <v>0.20499999999999999</v>
      </c>
      <c r="K246" s="2" t="s">
        <v>146</v>
      </c>
      <c r="L246" s="2" t="s">
        <v>146</v>
      </c>
      <c r="M246" s="2" t="s">
        <v>146</v>
      </c>
      <c r="N246" s="2" t="s">
        <v>49</v>
      </c>
      <c r="O246" s="2" t="s">
        <v>146</v>
      </c>
      <c r="P246" s="2" t="s">
        <v>49</v>
      </c>
      <c r="Q246" s="2" t="s">
        <v>146</v>
      </c>
      <c r="R246" s="2" t="s">
        <v>49</v>
      </c>
      <c r="S246" s="2" t="s">
        <v>146</v>
      </c>
      <c r="U246" s="2">
        <f t="shared" si="6"/>
        <v>10.827</v>
      </c>
      <c r="V246" s="2">
        <f t="shared" si="7"/>
        <v>0</v>
      </c>
    </row>
    <row r="247" spans="1:22" ht="15" customHeight="1" x14ac:dyDescent="0.45">
      <c r="A247" s="2" t="s">
        <v>342</v>
      </c>
      <c r="B247" s="2" t="s">
        <v>354</v>
      </c>
      <c r="C247" s="2">
        <v>2019</v>
      </c>
      <c r="D247" s="2">
        <v>6.3159999999999998</v>
      </c>
      <c r="E247" s="2">
        <v>2.4430000000000001</v>
      </c>
      <c r="F247" s="2">
        <v>0.315</v>
      </c>
      <c r="G247" s="2" t="s">
        <v>146</v>
      </c>
      <c r="H247" s="2" t="s">
        <v>146</v>
      </c>
      <c r="I247" s="2">
        <v>2.6</v>
      </c>
      <c r="J247" s="2">
        <v>0.95799999999999996</v>
      </c>
      <c r="K247" s="2" t="s">
        <v>146</v>
      </c>
      <c r="L247" s="2" t="s">
        <v>146</v>
      </c>
      <c r="M247" s="2" t="s">
        <v>146</v>
      </c>
      <c r="N247" s="2" t="s">
        <v>49</v>
      </c>
      <c r="O247" s="2" t="s">
        <v>146</v>
      </c>
      <c r="P247" s="2" t="s">
        <v>49</v>
      </c>
      <c r="Q247" s="2" t="s">
        <v>146</v>
      </c>
      <c r="R247" s="2" t="s">
        <v>49</v>
      </c>
      <c r="S247" s="2" t="s">
        <v>146</v>
      </c>
      <c r="U247" s="2">
        <f t="shared" si="6"/>
        <v>6.3159999999999998</v>
      </c>
      <c r="V247" s="2">
        <f t="shared" si="7"/>
        <v>0</v>
      </c>
    </row>
    <row r="248" spans="1:22" ht="15" customHeight="1" x14ac:dyDescent="0.45">
      <c r="A248" s="2" t="s">
        <v>342</v>
      </c>
      <c r="B248" s="2" t="s">
        <v>353</v>
      </c>
      <c r="C248" s="2">
        <v>2019</v>
      </c>
      <c r="D248" s="2">
        <v>5.4980000000000002</v>
      </c>
      <c r="E248" s="2">
        <v>2.8170000000000002</v>
      </c>
      <c r="F248" s="2">
        <v>0.52300000000000002</v>
      </c>
      <c r="G248" s="2" t="s">
        <v>146</v>
      </c>
      <c r="H248" s="2" t="s">
        <v>146</v>
      </c>
      <c r="I248" s="2">
        <v>1.7769999999999999</v>
      </c>
      <c r="J248" s="2">
        <v>0.38</v>
      </c>
      <c r="K248" s="2" t="s">
        <v>146</v>
      </c>
      <c r="L248" s="2" t="s">
        <v>146</v>
      </c>
      <c r="M248" s="2" t="s">
        <v>146</v>
      </c>
      <c r="N248" s="2" t="s">
        <v>49</v>
      </c>
      <c r="O248" s="2" t="s">
        <v>146</v>
      </c>
      <c r="P248" s="2" t="s">
        <v>49</v>
      </c>
      <c r="Q248" s="2" t="s">
        <v>146</v>
      </c>
      <c r="R248" s="2" t="s">
        <v>49</v>
      </c>
      <c r="S248" s="2" t="s">
        <v>146</v>
      </c>
      <c r="U248" s="2">
        <f t="shared" si="6"/>
        <v>5.4980000000000002</v>
      </c>
      <c r="V248" s="2">
        <f t="shared" si="7"/>
        <v>0</v>
      </c>
    </row>
    <row r="249" spans="1:22" ht="15" customHeight="1" x14ac:dyDescent="0.45">
      <c r="A249" s="2" t="s">
        <v>342</v>
      </c>
      <c r="B249" s="2" t="s">
        <v>352</v>
      </c>
      <c r="C249" s="2">
        <v>2019</v>
      </c>
      <c r="D249" s="2">
        <v>2.863</v>
      </c>
      <c r="E249" s="2" t="s">
        <v>146</v>
      </c>
      <c r="F249" s="2" t="s">
        <v>146</v>
      </c>
      <c r="G249" s="2">
        <v>2.464</v>
      </c>
      <c r="H249" s="2" t="s">
        <v>146</v>
      </c>
      <c r="I249" s="2">
        <v>0.34300000000000003</v>
      </c>
      <c r="J249" s="2">
        <v>5.7000000000000002E-2</v>
      </c>
      <c r="K249" s="2" t="s">
        <v>146</v>
      </c>
      <c r="L249" s="2" t="s">
        <v>146</v>
      </c>
      <c r="M249" s="2" t="s">
        <v>146</v>
      </c>
      <c r="N249" s="2" t="s">
        <v>49</v>
      </c>
      <c r="O249" s="2" t="s">
        <v>146</v>
      </c>
      <c r="P249" s="2" t="s">
        <v>49</v>
      </c>
      <c r="Q249" s="2" t="s">
        <v>146</v>
      </c>
      <c r="R249" s="2" t="s">
        <v>49</v>
      </c>
      <c r="S249" s="2" t="s">
        <v>146</v>
      </c>
      <c r="U249" s="2">
        <f t="shared" si="6"/>
        <v>2.863</v>
      </c>
      <c r="V249" s="2">
        <f t="shared" si="7"/>
        <v>0</v>
      </c>
    </row>
    <row r="250" spans="1:22" ht="15" customHeight="1" x14ac:dyDescent="0.45">
      <c r="A250" s="2" t="s">
        <v>342</v>
      </c>
      <c r="B250" s="2" t="s">
        <v>351</v>
      </c>
      <c r="C250" s="2">
        <v>2019</v>
      </c>
      <c r="D250" s="2">
        <v>106.455</v>
      </c>
      <c r="E250" s="2">
        <v>32.865000000000002</v>
      </c>
      <c r="F250" s="2">
        <v>22.65</v>
      </c>
      <c r="G250" s="2">
        <v>9.26</v>
      </c>
      <c r="H250" s="2" t="s">
        <v>146</v>
      </c>
      <c r="I250" s="2">
        <v>20.507999999999999</v>
      </c>
      <c r="J250" s="2">
        <v>21.172000000000001</v>
      </c>
      <c r="K250" s="2" t="s">
        <v>146</v>
      </c>
      <c r="L250" s="2" t="s">
        <v>146</v>
      </c>
      <c r="M250" s="2" t="s">
        <v>146</v>
      </c>
      <c r="N250" s="2" t="s">
        <v>49</v>
      </c>
      <c r="O250" s="2" t="s">
        <v>146</v>
      </c>
      <c r="P250" s="2" t="s">
        <v>49</v>
      </c>
      <c r="Q250" s="2" t="s">
        <v>146</v>
      </c>
      <c r="R250" s="2" t="s">
        <v>49</v>
      </c>
      <c r="S250" s="2" t="s">
        <v>146</v>
      </c>
      <c r="U250" s="2">
        <f t="shared" si="6"/>
        <v>106.455</v>
      </c>
      <c r="V250" s="2">
        <f t="shared" si="7"/>
        <v>0</v>
      </c>
    </row>
    <row r="251" spans="1:22" ht="15" customHeight="1" x14ac:dyDescent="0.45">
      <c r="A251" s="2" t="s">
        <v>342</v>
      </c>
      <c r="B251" s="2" t="s">
        <v>350</v>
      </c>
      <c r="C251" s="2">
        <v>2019</v>
      </c>
      <c r="D251" s="2">
        <v>3.3250000000000002</v>
      </c>
      <c r="E251" s="2">
        <v>0.41199999999999998</v>
      </c>
      <c r="F251" s="2">
        <v>0.17799999999999999</v>
      </c>
      <c r="G251" s="2">
        <v>0</v>
      </c>
      <c r="H251" s="2">
        <v>0</v>
      </c>
      <c r="I251" s="2">
        <v>2.6579999999999999</v>
      </c>
      <c r="J251" s="2">
        <v>7.6999999999999999E-2</v>
      </c>
      <c r="K251" s="2" t="s">
        <v>146</v>
      </c>
      <c r="L251" s="2" t="s">
        <v>146</v>
      </c>
      <c r="M251" s="2" t="s">
        <v>146</v>
      </c>
      <c r="N251" s="2" t="s">
        <v>49</v>
      </c>
      <c r="O251" s="2" t="s">
        <v>146</v>
      </c>
      <c r="P251" s="2" t="s">
        <v>49</v>
      </c>
      <c r="Q251" s="2" t="s">
        <v>146</v>
      </c>
      <c r="R251" s="2" t="s">
        <v>49</v>
      </c>
      <c r="S251" s="2" t="s">
        <v>146</v>
      </c>
      <c r="U251" s="2">
        <f t="shared" si="6"/>
        <v>3.3250000000000002</v>
      </c>
      <c r="V251" s="2">
        <f t="shared" si="7"/>
        <v>0</v>
      </c>
    </row>
    <row r="252" spans="1:22" ht="15" customHeight="1" x14ac:dyDescent="0.45">
      <c r="A252" s="2" t="s">
        <v>342</v>
      </c>
      <c r="B252" s="2" t="s">
        <v>349</v>
      </c>
      <c r="C252" s="2">
        <v>2019</v>
      </c>
      <c r="D252" s="2">
        <v>84.712000000000003</v>
      </c>
      <c r="E252" s="2">
        <v>4.6479999999999997</v>
      </c>
      <c r="F252" s="2">
        <v>4.407</v>
      </c>
      <c r="G252" s="2">
        <v>68.935000000000002</v>
      </c>
      <c r="H252" s="2" t="s">
        <v>146</v>
      </c>
      <c r="I252" s="2">
        <v>4.133</v>
      </c>
      <c r="J252" s="2">
        <v>2.589</v>
      </c>
      <c r="K252" s="2" t="s">
        <v>146</v>
      </c>
      <c r="L252" s="2" t="s">
        <v>146</v>
      </c>
      <c r="M252" s="2" t="s">
        <v>146</v>
      </c>
      <c r="N252" s="2" t="s">
        <v>49</v>
      </c>
      <c r="O252" s="2" t="s">
        <v>146</v>
      </c>
      <c r="P252" s="2" t="s">
        <v>49</v>
      </c>
      <c r="Q252" s="2" t="s">
        <v>146</v>
      </c>
      <c r="R252" s="2" t="s">
        <v>49</v>
      </c>
      <c r="S252" s="2" t="s">
        <v>146</v>
      </c>
      <c r="U252" s="2">
        <f t="shared" si="6"/>
        <v>84.712000000000003</v>
      </c>
      <c r="V252" s="2">
        <f t="shared" si="7"/>
        <v>0</v>
      </c>
    </row>
    <row r="253" spans="1:22" ht="15" customHeight="1" x14ac:dyDescent="0.45">
      <c r="A253" s="2" t="s">
        <v>342</v>
      </c>
      <c r="B253" s="2" t="s">
        <v>348</v>
      </c>
      <c r="C253" s="2">
        <v>2019</v>
      </c>
      <c r="D253" s="2">
        <v>13.79</v>
      </c>
      <c r="E253" s="2">
        <v>3.1890000000000001</v>
      </c>
      <c r="F253" s="2">
        <v>2.0840000000000001</v>
      </c>
      <c r="G253" s="2">
        <v>7.8E-2</v>
      </c>
      <c r="H253" s="2" t="s">
        <v>146</v>
      </c>
      <c r="I253" s="2">
        <v>5.9269999999999996</v>
      </c>
      <c r="J253" s="2">
        <v>2.5110000000000001</v>
      </c>
      <c r="K253" s="2" t="s">
        <v>146</v>
      </c>
      <c r="L253" s="2" t="s">
        <v>146</v>
      </c>
      <c r="M253" s="2" t="s">
        <v>146</v>
      </c>
      <c r="N253" s="2" t="s">
        <v>49</v>
      </c>
      <c r="O253" s="2" t="s">
        <v>146</v>
      </c>
      <c r="P253" s="2" t="s">
        <v>49</v>
      </c>
      <c r="Q253" s="2" t="s">
        <v>146</v>
      </c>
      <c r="R253" s="2" t="s">
        <v>49</v>
      </c>
      <c r="S253" s="2" t="s">
        <v>146</v>
      </c>
      <c r="U253" s="2">
        <f t="shared" si="6"/>
        <v>13.79</v>
      </c>
      <c r="V253" s="2">
        <f t="shared" si="7"/>
        <v>0</v>
      </c>
    </row>
    <row r="254" spans="1:22" ht="15" customHeight="1" x14ac:dyDescent="0.45">
      <c r="A254" s="2" t="s">
        <v>342</v>
      </c>
      <c r="B254" s="2" t="s">
        <v>347</v>
      </c>
      <c r="C254" s="2">
        <v>2019</v>
      </c>
      <c r="D254" s="2">
        <v>9.3279999999999994</v>
      </c>
      <c r="E254" s="2">
        <v>1.1990000000000001</v>
      </c>
      <c r="F254" s="2">
        <v>0.79200000000000004</v>
      </c>
      <c r="G254" s="2">
        <v>1.7549999999999999</v>
      </c>
      <c r="H254" s="2" t="s">
        <v>146</v>
      </c>
      <c r="I254" s="2">
        <v>5.0460000000000003</v>
      </c>
      <c r="J254" s="2">
        <v>0.53600000000000003</v>
      </c>
      <c r="K254" s="2" t="s">
        <v>146</v>
      </c>
      <c r="L254" s="2" t="s">
        <v>146</v>
      </c>
      <c r="M254" s="2" t="s">
        <v>146</v>
      </c>
      <c r="N254" s="2" t="s">
        <v>49</v>
      </c>
      <c r="O254" s="2" t="s">
        <v>146</v>
      </c>
      <c r="P254" s="2" t="s">
        <v>49</v>
      </c>
      <c r="Q254" s="2" t="s">
        <v>146</v>
      </c>
      <c r="R254" s="2" t="s">
        <v>49</v>
      </c>
      <c r="S254" s="2" t="s">
        <v>146</v>
      </c>
      <c r="U254" s="2">
        <f t="shared" si="6"/>
        <v>9.3279999999999994</v>
      </c>
      <c r="V254" s="2">
        <f t="shared" si="7"/>
        <v>0</v>
      </c>
    </row>
    <row r="255" spans="1:22" ht="15" customHeight="1" x14ac:dyDescent="0.45">
      <c r="A255" s="2" t="s">
        <v>342</v>
      </c>
      <c r="B255" s="2" t="s">
        <v>346</v>
      </c>
      <c r="C255" s="2">
        <v>2019</v>
      </c>
      <c r="D255" s="2">
        <v>352.221</v>
      </c>
      <c r="E255" s="2">
        <v>133.24799999999999</v>
      </c>
      <c r="F255" s="2">
        <v>50.947000000000003</v>
      </c>
      <c r="G255" s="2">
        <v>25.045000000000002</v>
      </c>
      <c r="H255" s="2" t="s">
        <v>146</v>
      </c>
      <c r="I255" s="2">
        <v>62.670999999999999</v>
      </c>
      <c r="J255" s="2">
        <v>57.978000000000002</v>
      </c>
      <c r="K255" s="2">
        <v>22.332000000000001</v>
      </c>
      <c r="L255" s="2" t="s">
        <v>146</v>
      </c>
      <c r="M255" s="2" t="s">
        <v>146</v>
      </c>
      <c r="N255" s="2" t="s">
        <v>49</v>
      </c>
      <c r="O255" s="2" t="s">
        <v>146</v>
      </c>
      <c r="P255" s="2" t="s">
        <v>49</v>
      </c>
      <c r="Q255" s="2" t="s">
        <v>146</v>
      </c>
      <c r="R255" s="2" t="s">
        <v>49</v>
      </c>
      <c r="S255" s="2" t="s">
        <v>146</v>
      </c>
      <c r="U255" s="2">
        <f t="shared" si="6"/>
        <v>352.221</v>
      </c>
      <c r="V255" s="2">
        <f t="shared" si="7"/>
        <v>0</v>
      </c>
    </row>
    <row r="256" spans="1:22" ht="15" customHeight="1" x14ac:dyDescent="0.45">
      <c r="A256" s="2" t="s">
        <v>342</v>
      </c>
      <c r="B256" s="2" t="s">
        <v>345</v>
      </c>
      <c r="C256" s="2">
        <v>2019</v>
      </c>
      <c r="D256" s="2">
        <v>31.312999999999999</v>
      </c>
      <c r="E256" s="2">
        <v>10.260999999999999</v>
      </c>
      <c r="F256" s="2">
        <v>7.5839999999999996</v>
      </c>
      <c r="G256" s="2">
        <v>1.502</v>
      </c>
      <c r="H256" s="2" t="s">
        <v>146</v>
      </c>
      <c r="I256" s="2">
        <v>5.7480000000000002</v>
      </c>
      <c r="J256" s="2">
        <v>5.3849999999999998</v>
      </c>
      <c r="K256" s="2">
        <v>0.83099999999999996</v>
      </c>
      <c r="L256" s="2" t="s">
        <v>146</v>
      </c>
      <c r="M256" s="2" t="s">
        <v>146</v>
      </c>
      <c r="N256" s="2" t="s">
        <v>49</v>
      </c>
      <c r="O256" s="2" t="s">
        <v>146</v>
      </c>
      <c r="P256" s="2" t="s">
        <v>49</v>
      </c>
      <c r="Q256" s="2" t="s">
        <v>146</v>
      </c>
      <c r="R256" s="2" t="s">
        <v>49</v>
      </c>
      <c r="S256" s="2" t="s">
        <v>146</v>
      </c>
      <c r="U256" s="2">
        <f t="shared" si="6"/>
        <v>31.312999999999999</v>
      </c>
      <c r="V256" s="2">
        <f t="shared" si="7"/>
        <v>0</v>
      </c>
    </row>
    <row r="257" spans="1:22" ht="15" customHeight="1" x14ac:dyDescent="0.45">
      <c r="A257" s="2" t="s">
        <v>342</v>
      </c>
      <c r="B257" s="2" t="s">
        <v>344</v>
      </c>
      <c r="C257" s="2">
        <v>2019</v>
      </c>
      <c r="D257" s="2">
        <v>32.44</v>
      </c>
      <c r="E257" s="2">
        <v>13.064</v>
      </c>
      <c r="F257" s="2">
        <v>7.4880000000000004</v>
      </c>
      <c r="G257" s="2">
        <v>3.8769999999999998</v>
      </c>
      <c r="H257" s="2" t="s">
        <v>146</v>
      </c>
      <c r="I257" s="2">
        <v>5.1989999999999998</v>
      </c>
      <c r="J257" s="2">
        <v>2.8109999999999999</v>
      </c>
      <c r="K257" s="2" t="s">
        <v>146</v>
      </c>
      <c r="L257" s="2" t="s">
        <v>146</v>
      </c>
      <c r="M257" s="2" t="s">
        <v>146</v>
      </c>
      <c r="N257" s="2" t="s">
        <v>49</v>
      </c>
      <c r="O257" s="2" t="s">
        <v>146</v>
      </c>
      <c r="P257" s="2" t="s">
        <v>49</v>
      </c>
      <c r="Q257" s="2" t="s">
        <v>146</v>
      </c>
      <c r="R257" s="2" t="s">
        <v>49</v>
      </c>
      <c r="S257" s="2" t="s">
        <v>146</v>
      </c>
      <c r="U257" s="2">
        <f t="shared" si="6"/>
        <v>32.44</v>
      </c>
      <c r="V257" s="2">
        <f t="shared" si="7"/>
        <v>0</v>
      </c>
    </row>
    <row r="258" spans="1:22" ht="15" customHeight="1" x14ac:dyDescent="0.45">
      <c r="A258" s="2" t="s">
        <v>342</v>
      </c>
      <c r="B258" s="2" t="s">
        <v>343</v>
      </c>
      <c r="C258" s="2">
        <v>2019</v>
      </c>
      <c r="D258" s="2">
        <v>14.087</v>
      </c>
      <c r="E258" s="2">
        <v>3.254</v>
      </c>
      <c r="F258" s="2">
        <v>2.9209999999999998</v>
      </c>
      <c r="G258" s="2">
        <v>0</v>
      </c>
      <c r="H258" s="2" t="s">
        <v>146</v>
      </c>
      <c r="I258" s="2">
        <v>5.78</v>
      </c>
      <c r="J258" s="2">
        <v>2.1309999999999998</v>
      </c>
      <c r="K258" s="2" t="s">
        <v>146</v>
      </c>
      <c r="L258" s="2" t="s">
        <v>146</v>
      </c>
      <c r="M258" s="2" t="s">
        <v>146</v>
      </c>
      <c r="N258" s="2" t="s">
        <v>49</v>
      </c>
      <c r="O258" s="2" t="s">
        <v>146</v>
      </c>
      <c r="P258" s="2" t="s">
        <v>49</v>
      </c>
      <c r="Q258" s="2" t="s">
        <v>146</v>
      </c>
      <c r="R258" s="2" t="s">
        <v>49</v>
      </c>
      <c r="S258" s="2" t="s">
        <v>146</v>
      </c>
      <c r="U258" s="2">
        <f t="shared" si="6"/>
        <v>14.087</v>
      </c>
      <c r="V258" s="2">
        <f t="shared" si="7"/>
        <v>0</v>
      </c>
    </row>
    <row r="259" spans="1:22" ht="15" customHeight="1" x14ac:dyDescent="0.45">
      <c r="A259" s="2" t="s">
        <v>342</v>
      </c>
      <c r="B259" s="2" t="s">
        <v>341</v>
      </c>
      <c r="C259" s="2">
        <v>2019</v>
      </c>
      <c r="D259" s="2">
        <v>2.7869999999999999</v>
      </c>
      <c r="E259" s="2">
        <v>0.68600000000000005</v>
      </c>
      <c r="F259" s="2">
        <v>0.121</v>
      </c>
      <c r="G259" s="2">
        <v>0</v>
      </c>
      <c r="H259" s="2">
        <v>0</v>
      </c>
      <c r="I259" s="2">
        <v>1.3919999999999999</v>
      </c>
      <c r="J259" s="2">
        <v>0.58699999999999997</v>
      </c>
      <c r="K259" s="2" t="s">
        <v>146</v>
      </c>
      <c r="L259" s="2" t="s">
        <v>146</v>
      </c>
      <c r="M259" s="2" t="s">
        <v>146</v>
      </c>
      <c r="N259" s="2" t="s">
        <v>49</v>
      </c>
      <c r="O259" s="2" t="s">
        <v>146</v>
      </c>
      <c r="P259" s="2" t="s">
        <v>49</v>
      </c>
      <c r="Q259" s="2" t="s">
        <v>146</v>
      </c>
      <c r="R259" s="2" t="s">
        <v>49</v>
      </c>
      <c r="S259" s="2" t="s">
        <v>146</v>
      </c>
      <c r="U259" s="2">
        <f t="shared" ref="U259:U322" si="8">IFERROR(D259/1,0)</f>
        <v>2.7869999999999999</v>
      </c>
      <c r="V259" s="2">
        <f t="shared" ref="V259:V322" si="9">IFERROR(O259/1,0)+IFERROR(Q259/1,0)+IFERROR(S259/1,0)</f>
        <v>0</v>
      </c>
    </row>
    <row r="260" spans="1:22" ht="15" customHeight="1" x14ac:dyDescent="0.45">
      <c r="A260" s="2" t="s">
        <v>336</v>
      </c>
      <c r="B260" s="2" t="s">
        <v>340</v>
      </c>
      <c r="C260" s="2">
        <v>2019</v>
      </c>
      <c r="D260" s="2">
        <v>9.5350000000000001</v>
      </c>
      <c r="E260" s="2" t="s">
        <v>49</v>
      </c>
      <c r="F260" s="2" t="s">
        <v>49</v>
      </c>
      <c r="G260" s="2" t="s">
        <v>49</v>
      </c>
      <c r="H260" s="2" t="s">
        <v>49</v>
      </c>
      <c r="I260" s="2" t="s">
        <v>49</v>
      </c>
      <c r="J260" s="2" t="s">
        <v>49</v>
      </c>
      <c r="K260" s="2" t="s">
        <v>49</v>
      </c>
      <c r="L260" s="2" t="s">
        <v>49</v>
      </c>
      <c r="M260" s="2" t="s">
        <v>49</v>
      </c>
      <c r="N260" s="2" t="s">
        <v>49</v>
      </c>
      <c r="O260" s="2" t="s">
        <v>146</v>
      </c>
      <c r="P260" s="2" t="s">
        <v>49</v>
      </c>
      <c r="Q260" s="2" t="s">
        <v>146</v>
      </c>
      <c r="R260" s="2" t="s">
        <v>49</v>
      </c>
      <c r="S260" s="2" t="s">
        <v>146</v>
      </c>
      <c r="U260" s="2">
        <f t="shared" si="8"/>
        <v>9.5350000000000001</v>
      </c>
      <c r="V260" s="2">
        <f t="shared" si="9"/>
        <v>0</v>
      </c>
    </row>
    <row r="261" spans="1:22" ht="15" customHeight="1" x14ac:dyDescent="0.45">
      <c r="A261" s="2" t="s">
        <v>336</v>
      </c>
      <c r="B261" s="2" t="s">
        <v>339</v>
      </c>
      <c r="C261" s="2">
        <v>2019</v>
      </c>
      <c r="D261" s="2">
        <v>336.66699999999997</v>
      </c>
      <c r="E261" s="2" t="s">
        <v>49</v>
      </c>
      <c r="F261" s="2" t="s">
        <v>49</v>
      </c>
      <c r="G261" s="2" t="s">
        <v>49</v>
      </c>
      <c r="H261" s="2" t="s">
        <v>49</v>
      </c>
      <c r="I261" s="2" t="s">
        <v>49</v>
      </c>
      <c r="J261" s="2" t="s">
        <v>49</v>
      </c>
      <c r="K261" s="2" t="s">
        <v>49</v>
      </c>
      <c r="L261" s="2" t="s">
        <v>49</v>
      </c>
      <c r="M261" s="2" t="s">
        <v>49</v>
      </c>
      <c r="N261" s="2" t="s">
        <v>49</v>
      </c>
      <c r="O261" s="2" t="s">
        <v>146</v>
      </c>
      <c r="P261" s="2" t="s">
        <v>49</v>
      </c>
      <c r="Q261" s="2" t="s">
        <v>146</v>
      </c>
      <c r="R261" s="2" t="s">
        <v>49</v>
      </c>
      <c r="S261" s="2" t="s">
        <v>146</v>
      </c>
      <c r="U261" s="2">
        <f t="shared" si="8"/>
        <v>336.66699999999997</v>
      </c>
      <c r="V261" s="2">
        <f t="shared" si="9"/>
        <v>0</v>
      </c>
    </row>
    <row r="262" spans="1:22" ht="15" customHeight="1" x14ac:dyDescent="0.45">
      <c r="A262" s="2" t="s">
        <v>336</v>
      </c>
      <c r="B262" s="2" t="s">
        <v>338</v>
      </c>
      <c r="C262" s="2">
        <v>2019</v>
      </c>
      <c r="D262" s="2">
        <v>4.3879999999999999</v>
      </c>
      <c r="E262" s="2" t="s">
        <v>49</v>
      </c>
      <c r="F262" s="2" t="s">
        <v>49</v>
      </c>
      <c r="G262" s="2" t="s">
        <v>49</v>
      </c>
      <c r="H262" s="2" t="s">
        <v>49</v>
      </c>
      <c r="I262" s="2" t="s">
        <v>49</v>
      </c>
      <c r="J262" s="2" t="s">
        <v>49</v>
      </c>
      <c r="K262" s="2" t="s">
        <v>49</v>
      </c>
      <c r="L262" s="2" t="s">
        <v>49</v>
      </c>
      <c r="M262" s="2" t="s">
        <v>49</v>
      </c>
      <c r="N262" s="2" t="s">
        <v>49</v>
      </c>
      <c r="O262" s="2" t="s">
        <v>49</v>
      </c>
      <c r="P262" s="2" t="s">
        <v>49</v>
      </c>
      <c r="Q262" s="2" t="s">
        <v>49</v>
      </c>
      <c r="R262" s="2" t="s">
        <v>49</v>
      </c>
      <c r="S262" s="2" t="s">
        <v>49</v>
      </c>
      <c r="U262" s="2">
        <f t="shared" si="8"/>
        <v>4.3879999999999999</v>
      </c>
      <c r="V262" s="2">
        <f t="shared" si="9"/>
        <v>0</v>
      </c>
    </row>
    <row r="263" spans="1:22" ht="15" customHeight="1" x14ac:dyDescent="0.45">
      <c r="A263" s="2" t="s">
        <v>336</v>
      </c>
      <c r="B263" s="2" t="s">
        <v>337</v>
      </c>
      <c r="C263" s="2">
        <v>2019</v>
      </c>
      <c r="D263" s="2">
        <v>1.988</v>
      </c>
      <c r="E263" s="2" t="s">
        <v>49</v>
      </c>
      <c r="F263" s="2" t="s">
        <v>49</v>
      </c>
      <c r="G263" s="2" t="s">
        <v>49</v>
      </c>
      <c r="H263" s="2" t="s">
        <v>49</v>
      </c>
      <c r="I263" s="2" t="s">
        <v>49</v>
      </c>
      <c r="J263" s="2" t="s">
        <v>49</v>
      </c>
      <c r="K263" s="2" t="s">
        <v>49</v>
      </c>
      <c r="L263" s="2" t="s">
        <v>49</v>
      </c>
      <c r="M263" s="2" t="s">
        <v>49</v>
      </c>
      <c r="N263" s="2" t="s">
        <v>49</v>
      </c>
      <c r="O263" s="2" t="s">
        <v>49</v>
      </c>
      <c r="P263" s="2" t="s">
        <v>49</v>
      </c>
      <c r="Q263" s="2" t="s">
        <v>49</v>
      </c>
      <c r="R263" s="2" t="s">
        <v>49</v>
      </c>
      <c r="S263" s="2" t="s">
        <v>49</v>
      </c>
      <c r="U263" s="2">
        <f t="shared" si="8"/>
        <v>1.988</v>
      </c>
      <c r="V263" s="2">
        <f t="shared" si="9"/>
        <v>0</v>
      </c>
    </row>
    <row r="264" spans="1:22" ht="15" customHeight="1" x14ac:dyDescent="0.45">
      <c r="A264" s="2" t="s">
        <v>336</v>
      </c>
      <c r="B264" s="2" t="s">
        <v>335</v>
      </c>
      <c r="C264" s="2">
        <v>2019</v>
      </c>
      <c r="D264" s="2">
        <v>3.0329999999999999</v>
      </c>
      <c r="E264" s="2" t="s">
        <v>49</v>
      </c>
      <c r="F264" s="2" t="s">
        <v>49</v>
      </c>
      <c r="G264" s="2" t="s">
        <v>49</v>
      </c>
      <c r="H264" s="2" t="s">
        <v>49</v>
      </c>
      <c r="I264" s="2" t="s">
        <v>49</v>
      </c>
      <c r="J264" s="2" t="s">
        <v>49</v>
      </c>
      <c r="K264" s="2" t="s">
        <v>49</v>
      </c>
      <c r="L264" s="2" t="s">
        <v>49</v>
      </c>
      <c r="M264" s="2" t="s">
        <v>49</v>
      </c>
      <c r="N264" s="2" t="s">
        <v>49</v>
      </c>
      <c r="O264" s="2" t="s">
        <v>49</v>
      </c>
      <c r="P264" s="2" t="s">
        <v>49</v>
      </c>
      <c r="Q264" s="2" t="s">
        <v>49</v>
      </c>
      <c r="R264" s="2" t="s">
        <v>49</v>
      </c>
      <c r="S264" s="2" t="s">
        <v>49</v>
      </c>
      <c r="U264" s="2">
        <f t="shared" si="8"/>
        <v>3.0329999999999999</v>
      </c>
      <c r="V264" s="2">
        <f t="shared" si="9"/>
        <v>0</v>
      </c>
    </row>
    <row r="265" spans="1:22" ht="15" customHeight="1" x14ac:dyDescent="0.45">
      <c r="A265" s="2" t="s">
        <v>333</v>
      </c>
      <c r="B265" s="2" t="s">
        <v>334</v>
      </c>
      <c r="C265" s="2">
        <v>2019</v>
      </c>
      <c r="D265" s="2">
        <v>42.633000000000003</v>
      </c>
      <c r="E265" s="2" t="s">
        <v>146</v>
      </c>
      <c r="F265" s="2" t="s">
        <v>49</v>
      </c>
      <c r="G265" s="2" t="s">
        <v>49</v>
      </c>
      <c r="H265" s="2" t="s">
        <v>49</v>
      </c>
      <c r="I265" s="2" t="s">
        <v>49</v>
      </c>
      <c r="J265" s="2" t="s">
        <v>49</v>
      </c>
      <c r="K265" s="2" t="s">
        <v>49</v>
      </c>
      <c r="L265" s="2" t="s">
        <v>49</v>
      </c>
      <c r="M265" s="2">
        <v>16.234000000000002</v>
      </c>
      <c r="N265" s="2" t="s">
        <v>49</v>
      </c>
      <c r="O265" s="2" t="s">
        <v>49</v>
      </c>
      <c r="P265" s="2" t="s">
        <v>49</v>
      </c>
      <c r="Q265" s="2" t="s">
        <v>49</v>
      </c>
      <c r="R265" s="2" t="s">
        <v>49</v>
      </c>
      <c r="S265" s="2" t="s">
        <v>49</v>
      </c>
      <c r="U265" s="2">
        <f t="shared" si="8"/>
        <v>42.633000000000003</v>
      </c>
      <c r="V265" s="2">
        <f t="shared" si="9"/>
        <v>0</v>
      </c>
    </row>
    <row r="266" spans="1:22" ht="15" customHeight="1" x14ac:dyDescent="0.45">
      <c r="A266" s="2" t="s">
        <v>333</v>
      </c>
      <c r="B266" s="2" t="s">
        <v>332</v>
      </c>
      <c r="C266" s="2">
        <v>2019</v>
      </c>
      <c r="D266" s="2">
        <v>4.0339999999999998</v>
      </c>
      <c r="E266" s="2" t="s">
        <v>146</v>
      </c>
      <c r="F266" s="2" t="s">
        <v>49</v>
      </c>
      <c r="G266" s="2" t="s">
        <v>49</v>
      </c>
      <c r="H266" s="2" t="s">
        <v>49</v>
      </c>
      <c r="I266" s="2" t="s">
        <v>49</v>
      </c>
      <c r="J266" s="2" t="s">
        <v>49</v>
      </c>
      <c r="K266" s="2" t="s">
        <v>49</v>
      </c>
      <c r="L266" s="2" t="s">
        <v>49</v>
      </c>
      <c r="M266" s="2" t="s">
        <v>49</v>
      </c>
      <c r="N266" s="2" t="s">
        <v>49</v>
      </c>
      <c r="O266" s="2" t="s">
        <v>49</v>
      </c>
      <c r="P266" s="2" t="s">
        <v>49</v>
      </c>
      <c r="Q266" s="2" t="s">
        <v>49</v>
      </c>
      <c r="R266" s="2" t="s">
        <v>49</v>
      </c>
      <c r="S266" s="2" t="s">
        <v>49</v>
      </c>
      <c r="U266" s="2">
        <f t="shared" si="8"/>
        <v>4.0339999999999998</v>
      </c>
      <c r="V266" s="2">
        <f t="shared" si="9"/>
        <v>0</v>
      </c>
    </row>
    <row r="267" spans="1:22" ht="15" customHeight="1" x14ac:dyDescent="0.45">
      <c r="A267" s="2" t="s">
        <v>331</v>
      </c>
      <c r="B267" s="2" t="s">
        <v>330</v>
      </c>
      <c r="C267" s="2">
        <v>2019</v>
      </c>
      <c r="D267" s="2">
        <v>295</v>
      </c>
      <c r="E267" s="2">
        <v>212.1</v>
      </c>
      <c r="F267" s="2">
        <v>26.3</v>
      </c>
      <c r="G267" s="2">
        <v>4.8</v>
      </c>
      <c r="H267" s="2">
        <v>0</v>
      </c>
      <c r="I267" s="2">
        <v>22.7</v>
      </c>
      <c r="J267" s="2">
        <v>18.600000000000001</v>
      </c>
      <c r="K267" s="2">
        <v>0.1</v>
      </c>
      <c r="L267" s="2">
        <v>8.6999999999999993</v>
      </c>
      <c r="M267" s="2">
        <v>0</v>
      </c>
      <c r="N267" s="2" t="s">
        <v>146</v>
      </c>
      <c r="O267" s="2" t="s">
        <v>146</v>
      </c>
      <c r="P267" s="2" t="s">
        <v>146</v>
      </c>
      <c r="Q267" s="2" t="s">
        <v>146</v>
      </c>
      <c r="R267" s="2" t="s">
        <v>146</v>
      </c>
      <c r="S267" s="2" t="s">
        <v>146</v>
      </c>
      <c r="U267" s="2">
        <f t="shared" si="8"/>
        <v>295</v>
      </c>
      <c r="V267" s="2">
        <f t="shared" si="9"/>
        <v>0</v>
      </c>
    </row>
    <row r="268" spans="1:22" ht="15" customHeight="1" x14ac:dyDescent="0.45">
      <c r="A268" s="2" t="s">
        <v>329</v>
      </c>
      <c r="B268" s="2" t="s">
        <v>328</v>
      </c>
      <c r="C268" s="2">
        <v>2019</v>
      </c>
      <c r="D268" s="2" t="s">
        <v>49</v>
      </c>
      <c r="E268" s="2" t="s">
        <v>49</v>
      </c>
      <c r="F268" s="2" t="s">
        <v>49</v>
      </c>
      <c r="G268" s="2" t="s">
        <v>49</v>
      </c>
      <c r="H268" s="2" t="s">
        <v>49</v>
      </c>
      <c r="I268" s="2" t="s">
        <v>49</v>
      </c>
      <c r="J268" s="2" t="s">
        <v>49</v>
      </c>
      <c r="K268" s="2" t="s">
        <v>49</v>
      </c>
      <c r="L268" s="2" t="s">
        <v>49</v>
      </c>
      <c r="M268" s="2" t="s">
        <v>49</v>
      </c>
      <c r="N268" s="2" t="s">
        <v>49</v>
      </c>
      <c r="O268" s="2" t="s">
        <v>49</v>
      </c>
      <c r="P268" s="2" t="s">
        <v>49</v>
      </c>
      <c r="Q268" s="2" t="s">
        <v>49</v>
      </c>
      <c r="R268" s="2" t="s">
        <v>49</v>
      </c>
      <c r="S268" s="2" t="s">
        <v>49</v>
      </c>
      <c r="U268" s="2">
        <f t="shared" si="8"/>
        <v>0</v>
      </c>
      <c r="V268" s="2">
        <f t="shared" si="9"/>
        <v>0</v>
      </c>
    </row>
    <row r="269" spans="1:22" ht="15" customHeight="1" x14ac:dyDescent="0.45">
      <c r="A269" s="2" t="s">
        <v>324</v>
      </c>
      <c r="B269" s="2" t="s">
        <v>327</v>
      </c>
      <c r="C269" s="2">
        <v>2019</v>
      </c>
      <c r="D269" s="2">
        <v>115.01</v>
      </c>
      <c r="E269" s="2">
        <v>56.69</v>
      </c>
      <c r="F269" s="2">
        <v>14.68</v>
      </c>
      <c r="G269" s="2">
        <v>0.45</v>
      </c>
      <c r="H269" s="2">
        <v>0</v>
      </c>
      <c r="I269" s="2">
        <v>14.78</v>
      </c>
      <c r="J269" s="2">
        <v>26.55</v>
      </c>
      <c r="K269" s="2">
        <v>0</v>
      </c>
      <c r="L269" s="2">
        <v>1.86</v>
      </c>
      <c r="M269" s="2">
        <v>0</v>
      </c>
      <c r="N269" s="2" t="s">
        <v>146</v>
      </c>
      <c r="O269" s="2" t="s">
        <v>146</v>
      </c>
      <c r="P269" s="2" t="s">
        <v>146</v>
      </c>
      <c r="Q269" s="2" t="s">
        <v>146</v>
      </c>
      <c r="R269" s="2" t="s">
        <v>146</v>
      </c>
      <c r="S269" s="2" t="s">
        <v>146</v>
      </c>
      <c r="U269" s="2">
        <f t="shared" si="8"/>
        <v>115.01</v>
      </c>
      <c r="V269" s="2">
        <f t="shared" si="9"/>
        <v>0</v>
      </c>
    </row>
    <row r="270" spans="1:22" ht="15" customHeight="1" x14ac:dyDescent="0.45">
      <c r="A270" s="2" t="s">
        <v>324</v>
      </c>
      <c r="B270" s="2" t="s">
        <v>326</v>
      </c>
      <c r="C270" s="2">
        <v>2019</v>
      </c>
      <c r="D270" s="2">
        <v>21.78</v>
      </c>
      <c r="E270" s="2">
        <v>11.05</v>
      </c>
      <c r="F270" s="2">
        <v>1.26</v>
      </c>
      <c r="G270" s="2">
        <v>1.33</v>
      </c>
      <c r="H270" s="2">
        <v>0</v>
      </c>
      <c r="I270" s="2">
        <v>3.66</v>
      </c>
      <c r="J270" s="2">
        <v>4.4000000000000004</v>
      </c>
      <c r="K270" s="2">
        <v>0</v>
      </c>
      <c r="L270" s="2">
        <v>0.08</v>
      </c>
      <c r="M270" s="2">
        <v>0</v>
      </c>
      <c r="N270" s="2" t="s">
        <v>146</v>
      </c>
      <c r="O270" s="2" t="s">
        <v>146</v>
      </c>
      <c r="P270" s="2" t="s">
        <v>146</v>
      </c>
      <c r="Q270" s="2" t="s">
        <v>146</v>
      </c>
      <c r="R270" s="2" t="s">
        <v>146</v>
      </c>
      <c r="S270" s="2" t="s">
        <v>146</v>
      </c>
      <c r="U270" s="2">
        <f t="shared" si="8"/>
        <v>21.78</v>
      </c>
      <c r="V270" s="2">
        <f t="shared" si="9"/>
        <v>0</v>
      </c>
    </row>
    <row r="271" spans="1:22" ht="15" customHeight="1" x14ac:dyDescent="0.45">
      <c r="A271" s="2" t="s">
        <v>324</v>
      </c>
      <c r="B271" s="2" t="s">
        <v>325</v>
      </c>
      <c r="C271" s="2">
        <v>2019</v>
      </c>
      <c r="D271" s="2">
        <v>9.43</v>
      </c>
      <c r="E271" s="2">
        <v>3.18</v>
      </c>
      <c r="F271" s="2">
        <v>1.79</v>
      </c>
      <c r="G271" s="2">
        <v>0.4</v>
      </c>
      <c r="H271" s="2">
        <v>0</v>
      </c>
      <c r="I271" s="2">
        <v>3.32</v>
      </c>
      <c r="J271" s="2">
        <v>0.74</v>
      </c>
      <c r="K271" s="2">
        <v>0</v>
      </c>
      <c r="L271" s="2">
        <v>0</v>
      </c>
      <c r="M271" s="2">
        <v>0</v>
      </c>
      <c r="N271" s="2" t="s">
        <v>146</v>
      </c>
      <c r="O271" s="2" t="s">
        <v>146</v>
      </c>
      <c r="P271" s="2" t="s">
        <v>146</v>
      </c>
      <c r="Q271" s="2" t="s">
        <v>146</v>
      </c>
      <c r="R271" s="2" t="s">
        <v>146</v>
      </c>
      <c r="S271" s="2" t="s">
        <v>146</v>
      </c>
      <c r="U271" s="2">
        <f t="shared" si="8"/>
        <v>9.43</v>
      </c>
      <c r="V271" s="2">
        <f t="shared" si="9"/>
        <v>0</v>
      </c>
    </row>
    <row r="272" spans="1:22" ht="15" customHeight="1" x14ac:dyDescent="0.45">
      <c r="A272" s="2" t="s">
        <v>324</v>
      </c>
      <c r="B272" s="2" t="s">
        <v>323</v>
      </c>
      <c r="C272" s="2">
        <v>2019</v>
      </c>
      <c r="D272" s="2">
        <v>42.05</v>
      </c>
      <c r="E272" s="2">
        <v>19.18</v>
      </c>
      <c r="F272" s="2">
        <v>0.94</v>
      </c>
      <c r="G272" s="2">
        <v>8.82</v>
      </c>
      <c r="H272" s="2">
        <v>0</v>
      </c>
      <c r="I272" s="2">
        <v>7.02</v>
      </c>
      <c r="J272" s="2">
        <v>6.09</v>
      </c>
      <c r="K272" s="2">
        <v>0</v>
      </c>
      <c r="L272" s="2">
        <v>0</v>
      </c>
      <c r="M272" s="2">
        <v>0</v>
      </c>
      <c r="N272" s="2" t="s">
        <v>146</v>
      </c>
      <c r="O272" s="2" t="s">
        <v>146</v>
      </c>
      <c r="P272" s="2" t="s">
        <v>146</v>
      </c>
      <c r="Q272" s="2" t="s">
        <v>146</v>
      </c>
      <c r="R272" s="2" t="s">
        <v>146</v>
      </c>
      <c r="S272" s="2" t="s">
        <v>146</v>
      </c>
      <c r="U272" s="2">
        <f t="shared" si="8"/>
        <v>42.05</v>
      </c>
      <c r="V272" s="2">
        <f t="shared" si="9"/>
        <v>0</v>
      </c>
    </row>
    <row r="273" spans="1:22" ht="15" customHeight="1" x14ac:dyDescent="0.45">
      <c r="A273" s="2" t="s">
        <v>321</v>
      </c>
      <c r="B273" s="2" t="s">
        <v>322</v>
      </c>
      <c r="C273" s="2">
        <v>2019</v>
      </c>
      <c r="D273" s="2">
        <v>75.400000000000006</v>
      </c>
      <c r="E273" s="2">
        <v>37.1</v>
      </c>
      <c r="F273" s="2">
        <v>17.2</v>
      </c>
      <c r="G273" s="2">
        <v>2.1</v>
      </c>
      <c r="H273" s="2" t="s">
        <v>146</v>
      </c>
      <c r="I273" s="2">
        <v>9.9</v>
      </c>
      <c r="J273" s="2">
        <v>9.1</v>
      </c>
      <c r="K273" s="2" t="s">
        <v>146</v>
      </c>
      <c r="L273" s="2" t="s">
        <v>146</v>
      </c>
      <c r="M273" s="2" t="s">
        <v>146</v>
      </c>
      <c r="N273" s="2" t="s">
        <v>49</v>
      </c>
      <c r="O273" s="2" t="s">
        <v>146</v>
      </c>
      <c r="P273" s="2" t="s">
        <v>49</v>
      </c>
      <c r="Q273" s="2" t="s">
        <v>146</v>
      </c>
      <c r="R273" s="2" t="s">
        <v>49</v>
      </c>
      <c r="S273" s="2" t="s">
        <v>146</v>
      </c>
      <c r="U273" s="2">
        <f t="shared" si="8"/>
        <v>75.400000000000006</v>
      </c>
      <c r="V273" s="2">
        <f t="shared" si="9"/>
        <v>0</v>
      </c>
    </row>
    <row r="274" spans="1:22" ht="15" customHeight="1" x14ac:dyDescent="0.45">
      <c r="A274" s="2" t="s">
        <v>321</v>
      </c>
      <c r="B274" s="2" t="s">
        <v>320</v>
      </c>
      <c r="C274" s="2">
        <v>2019</v>
      </c>
      <c r="D274" s="2">
        <v>0.94</v>
      </c>
      <c r="E274" s="2" t="s">
        <v>146</v>
      </c>
      <c r="F274" s="2" t="s">
        <v>146</v>
      </c>
      <c r="G274" s="2" t="s">
        <v>146</v>
      </c>
      <c r="H274" s="2" t="s">
        <v>146</v>
      </c>
      <c r="I274" s="2">
        <v>0.94</v>
      </c>
      <c r="J274" s="2" t="s">
        <v>146</v>
      </c>
      <c r="K274" s="2" t="s">
        <v>146</v>
      </c>
      <c r="L274" s="2" t="s">
        <v>146</v>
      </c>
      <c r="M274" s="2" t="s">
        <v>146</v>
      </c>
      <c r="N274" s="2" t="s">
        <v>49</v>
      </c>
      <c r="O274" s="2" t="s">
        <v>146</v>
      </c>
      <c r="P274" s="2" t="s">
        <v>49</v>
      </c>
      <c r="Q274" s="2" t="s">
        <v>146</v>
      </c>
      <c r="R274" s="2" t="s">
        <v>49</v>
      </c>
      <c r="S274" s="2" t="s">
        <v>146</v>
      </c>
      <c r="U274" s="2">
        <f t="shared" si="8"/>
        <v>0.94</v>
      </c>
      <c r="V274" s="2">
        <f t="shared" si="9"/>
        <v>0</v>
      </c>
    </row>
    <row r="275" spans="1:22" ht="15" customHeight="1" x14ac:dyDescent="0.45">
      <c r="A275" s="2" t="s">
        <v>312</v>
      </c>
      <c r="B275" s="2" t="s">
        <v>319</v>
      </c>
      <c r="C275" s="2">
        <v>2019</v>
      </c>
      <c r="D275" s="2" t="s">
        <v>49</v>
      </c>
      <c r="E275" s="2" t="s">
        <v>49</v>
      </c>
      <c r="F275" s="2" t="s">
        <v>49</v>
      </c>
      <c r="G275" s="2" t="s">
        <v>49</v>
      </c>
      <c r="H275" s="2" t="s">
        <v>49</v>
      </c>
      <c r="I275" s="2" t="s">
        <v>49</v>
      </c>
      <c r="J275" s="2" t="s">
        <v>49</v>
      </c>
      <c r="K275" s="2" t="s">
        <v>49</v>
      </c>
      <c r="L275" s="2" t="s">
        <v>49</v>
      </c>
      <c r="M275" s="2" t="s">
        <v>49</v>
      </c>
      <c r="N275" s="2" t="s">
        <v>49</v>
      </c>
      <c r="O275" s="2" t="s">
        <v>49</v>
      </c>
      <c r="P275" s="2" t="s">
        <v>49</v>
      </c>
      <c r="Q275" s="2" t="s">
        <v>49</v>
      </c>
      <c r="R275" s="2" t="s">
        <v>49</v>
      </c>
      <c r="S275" s="2" t="s">
        <v>49</v>
      </c>
      <c r="U275" s="2">
        <f t="shared" si="8"/>
        <v>0</v>
      </c>
      <c r="V275" s="2">
        <f t="shared" si="9"/>
        <v>0</v>
      </c>
    </row>
    <row r="276" spans="1:22" ht="15" customHeight="1" x14ac:dyDescent="0.45">
      <c r="A276" s="2" t="s">
        <v>312</v>
      </c>
      <c r="B276" s="2" t="s">
        <v>318</v>
      </c>
      <c r="C276" s="2">
        <v>2019</v>
      </c>
      <c r="D276" s="2" t="s">
        <v>49</v>
      </c>
      <c r="E276" s="2" t="s">
        <v>49</v>
      </c>
      <c r="F276" s="2" t="s">
        <v>49</v>
      </c>
      <c r="G276" s="2" t="s">
        <v>49</v>
      </c>
      <c r="H276" s="2" t="s">
        <v>49</v>
      </c>
      <c r="I276" s="2" t="s">
        <v>49</v>
      </c>
      <c r="J276" s="2" t="s">
        <v>49</v>
      </c>
      <c r="K276" s="2" t="s">
        <v>49</v>
      </c>
      <c r="L276" s="2" t="s">
        <v>49</v>
      </c>
      <c r="M276" s="2" t="s">
        <v>49</v>
      </c>
      <c r="N276" s="2" t="s">
        <v>49</v>
      </c>
      <c r="O276" s="2" t="s">
        <v>49</v>
      </c>
      <c r="P276" s="2" t="s">
        <v>49</v>
      </c>
      <c r="Q276" s="2" t="s">
        <v>49</v>
      </c>
      <c r="R276" s="2" t="s">
        <v>49</v>
      </c>
      <c r="S276" s="2" t="s">
        <v>49</v>
      </c>
      <c r="U276" s="2">
        <f t="shared" si="8"/>
        <v>0</v>
      </c>
      <c r="V276" s="2">
        <f t="shared" si="9"/>
        <v>0</v>
      </c>
    </row>
    <row r="277" spans="1:22" ht="15" customHeight="1" x14ac:dyDescent="0.45">
      <c r="A277" s="2" t="s">
        <v>312</v>
      </c>
      <c r="B277" s="2" t="s">
        <v>317</v>
      </c>
      <c r="C277" s="2">
        <v>2019</v>
      </c>
      <c r="D277" s="2" t="s">
        <v>49</v>
      </c>
      <c r="E277" s="2" t="s">
        <v>49</v>
      </c>
      <c r="F277" s="2" t="s">
        <v>49</v>
      </c>
      <c r="G277" s="2" t="s">
        <v>49</v>
      </c>
      <c r="H277" s="2" t="s">
        <v>49</v>
      </c>
      <c r="I277" s="2" t="s">
        <v>49</v>
      </c>
      <c r="J277" s="2" t="s">
        <v>49</v>
      </c>
      <c r="K277" s="2" t="s">
        <v>49</v>
      </c>
      <c r="L277" s="2" t="s">
        <v>49</v>
      </c>
      <c r="M277" s="2" t="s">
        <v>49</v>
      </c>
      <c r="N277" s="2" t="s">
        <v>49</v>
      </c>
      <c r="O277" s="2" t="s">
        <v>49</v>
      </c>
      <c r="P277" s="2" t="s">
        <v>49</v>
      </c>
      <c r="Q277" s="2" t="s">
        <v>49</v>
      </c>
      <c r="R277" s="2" t="s">
        <v>49</v>
      </c>
      <c r="S277" s="2" t="s">
        <v>49</v>
      </c>
      <c r="U277" s="2">
        <f t="shared" si="8"/>
        <v>0</v>
      </c>
      <c r="V277" s="2">
        <f t="shared" si="9"/>
        <v>0</v>
      </c>
    </row>
    <row r="278" spans="1:22" ht="15" customHeight="1" x14ac:dyDescent="0.45">
      <c r="A278" s="2" t="s">
        <v>312</v>
      </c>
      <c r="B278" s="2" t="s">
        <v>112</v>
      </c>
      <c r="C278" s="2">
        <v>2019</v>
      </c>
      <c r="D278" s="2">
        <v>8032.2060000000001</v>
      </c>
      <c r="E278" s="2">
        <v>4604.93</v>
      </c>
      <c r="F278" s="2">
        <v>143.20099999999999</v>
      </c>
      <c r="G278" s="2">
        <v>179.86500000000001</v>
      </c>
      <c r="H278" s="2">
        <v>2.6349999999999998</v>
      </c>
      <c r="I278" s="2">
        <v>521.89</v>
      </c>
      <c r="J278" s="2">
        <v>1179.0640000000001</v>
      </c>
      <c r="K278" s="2">
        <v>325.59699999999998</v>
      </c>
      <c r="L278" s="2" t="s">
        <v>146</v>
      </c>
      <c r="M278" s="2" t="s">
        <v>146</v>
      </c>
      <c r="N278" s="2" t="s">
        <v>49</v>
      </c>
      <c r="O278" s="2" t="s">
        <v>146</v>
      </c>
      <c r="P278" s="2" t="s">
        <v>49</v>
      </c>
      <c r="Q278" s="2" t="s">
        <v>146</v>
      </c>
      <c r="R278" s="2" t="s">
        <v>49</v>
      </c>
      <c r="S278" s="2" t="s">
        <v>146</v>
      </c>
      <c r="U278" s="2">
        <f t="shared" si="8"/>
        <v>8032.2060000000001</v>
      </c>
      <c r="V278" s="329">
        <v>1013.73</v>
      </c>
    </row>
    <row r="279" spans="1:22" ht="15" customHeight="1" x14ac:dyDescent="0.45">
      <c r="A279" s="2" t="s">
        <v>312</v>
      </c>
      <c r="B279" s="2" t="s">
        <v>316</v>
      </c>
      <c r="C279" s="2">
        <v>2019</v>
      </c>
      <c r="D279" s="2" t="s">
        <v>49</v>
      </c>
      <c r="E279" s="2" t="s">
        <v>49</v>
      </c>
      <c r="F279" s="2" t="s">
        <v>49</v>
      </c>
      <c r="G279" s="2" t="s">
        <v>49</v>
      </c>
      <c r="H279" s="2" t="s">
        <v>49</v>
      </c>
      <c r="I279" s="2" t="s">
        <v>49</v>
      </c>
      <c r="J279" s="2" t="s">
        <v>49</v>
      </c>
      <c r="K279" s="2" t="s">
        <v>49</v>
      </c>
      <c r="L279" s="2" t="s">
        <v>49</v>
      </c>
      <c r="M279" s="2" t="s">
        <v>49</v>
      </c>
      <c r="N279" s="2" t="s">
        <v>49</v>
      </c>
      <c r="O279" s="2" t="s">
        <v>49</v>
      </c>
      <c r="P279" s="2" t="s">
        <v>49</v>
      </c>
      <c r="Q279" s="2" t="s">
        <v>49</v>
      </c>
      <c r="R279" s="2" t="s">
        <v>49</v>
      </c>
      <c r="S279" s="2" t="s">
        <v>49</v>
      </c>
      <c r="U279" s="2">
        <f t="shared" si="8"/>
        <v>0</v>
      </c>
      <c r="V279" s="2">
        <f t="shared" si="9"/>
        <v>0</v>
      </c>
    </row>
    <row r="280" spans="1:22" ht="15" customHeight="1" x14ac:dyDescent="0.45">
      <c r="A280" s="2" t="s">
        <v>312</v>
      </c>
      <c r="B280" s="2" t="s">
        <v>315</v>
      </c>
      <c r="C280" s="2">
        <v>2019</v>
      </c>
      <c r="D280" s="2" t="s">
        <v>49</v>
      </c>
      <c r="E280" s="2" t="s">
        <v>49</v>
      </c>
      <c r="F280" s="2" t="s">
        <v>49</v>
      </c>
      <c r="G280" s="2" t="s">
        <v>49</v>
      </c>
      <c r="H280" s="2" t="s">
        <v>49</v>
      </c>
      <c r="I280" s="2" t="s">
        <v>49</v>
      </c>
      <c r="J280" s="2" t="s">
        <v>49</v>
      </c>
      <c r="K280" s="2" t="s">
        <v>49</v>
      </c>
      <c r="L280" s="2" t="s">
        <v>49</v>
      </c>
      <c r="M280" s="2" t="s">
        <v>49</v>
      </c>
      <c r="N280" s="2" t="s">
        <v>49</v>
      </c>
      <c r="O280" s="2" t="s">
        <v>49</v>
      </c>
      <c r="P280" s="2" t="s">
        <v>49</v>
      </c>
      <c r="Q280" s="2" t="s">
        <v>49</v>
      </c>
      <c r="R280" s="2" t="s">
        <v>49</v>
      </c>
      <c r="S280" s="2" t="s">
        <v>49</v>
      </c>
      <c r="U280" s="2">
        <f t="shared" si="8"/>
        <v>0</v>
      </c>
      <c r="V280" s="2">
        <f t="shared" si="9"/>
        <v>0</v>
      </c>
    </row>
    <row r="281" spans="1:22" ht="15" customHeight="1" x14ac:dyDescent="0.45">
      <c r="A281" s="2" t="s">
        <v>312</v>
      </c>
      <c r="B281" s="2" t="s">
        <v>314</v>
      </c>
      <c r="C281" s="2">
        <v>2019</v>
      </c>
      <c r="D281" s="2" t="s">
        <v>49</v>
      </c>
      <c r="E281" s="2" t="s">
        <v>49</v>
      </c>
      <c r="F281" s="2" t="s">
        <v>49</v>
      </c>
      <c r="G281" s="2" t="s">
        <v>49</v>
      </c>
      <c r="H281" s="2" t="s">
        <v>49</v>
      </c>
      <c r="I281" s="2" t="s">
        <v>49</v>
      </c>
      <c r="J281" s="2" t="s">
        <v>49</v>
      </c>
      <c r="K281" s="2" t="s">
        <v>49</v>
      </c>
      <c r="L281" s="2" t="s">
        <v>49</v>
      </c>
      <c r="M281" s="2" t="s">
        <v>49</v>
      </c>
      <c r="N281" s="2" t="s">
        <v>49</v>
      </c>
      <c r="O281" s="2" t="s">
        <v>49</v>
      </c>
      <c r="P281" s="2" t="s">
        <v>49</v>
      </c>
      <c r="Q281" s="2" t="s">
        <v>49</v>
      </c>
      <c r="R281" s="2" t="s">
        <v>49</v>
      </c>
      <c r="S281" s="2" t="s">
        <v>49</v>
      </c>
      <c r="U281" s="2">
        <f t="shared" si="8"/>
        <v>0</v>
      </c>
      <c r="V281" s="2">
        <f t="shared" si="9"/>
        <v>0</v>
      </c>
    </row>
    <row r="282" spans="1:22" ht="15" customHeight="1" x14ac:dyDescent="0.45">
      <c r="A282" s="2" t="s">
        <v>312</v>
      </c>
      <c r="B282" s="2" t="s">
        <v>313</v>
      </c>
      <c r="C282" s="2">
        <v>2019</v>
      </c>
      <c r="D282" s="2">
        <v>61.47</v>
      </c>
      <c r="E282" s="2" t="s">
        <v>146</v>
      </c>
      <c r="F282" s="2" t="s">
        <v>146</v>
      </c>
      <c r="G282" s="2" t="s">
        <v>146</v>
      </c>
      <c r="H282" s="2" t="s">
        <v>146</v>
      </c>
      <c r="I282" s="2" t="s">
        <v>146</v>
      </c>
      <c r="J282" s="2" t="s">
        <v>146</v>
      </c>
      <c r="K282" s="2" t="s">
        <v>146</v>
      </c>
      <c r="L282" s="2" t="s">
        <v>146</v>
      </c>
      <c r="M282" s="2" t="s">
        <v>146</v>
      </c>
      <c r="N282" s="2" t="s">
        <v>49</v>
      </c>
      <c r="O282" s="2" t="s">
        <v>146</v>
      </c>
      <c r="P282" s="2" t="s">
        <v>49</v>
      </c>
      <c r="Q282" s="2" t="s">
        <v>146</v>
      </c>
      <c r="R282" s="2" t="s">
        <v>49</v>
      </c>
      <c r="S282" s="2" t="s">
        <v>146</v>
      </c>
      <c r="U282" s="2">
        <f t="shared" si="8"/>
        <v>61.47</v>
      </c>
      <c r="V282" s="2">
        <f t="shared" si="9"/>
        <v>0</v>
      </c>
    </row>
    <row r="283" spans="1:22" ht="15" customHeight="1" x14ac:dyDescent="0.45">
      <c r="A283" s="2" t="s">
        <v>312</v>
      </c>
      <c r="B283" s="2" t="s">
        <v>311</v>
      </c>
      <c r="C283" s="2">
        <v>2019</v>
      </c>
      <c r="D283" s="2" t="s">
        <v>49</v>
      </c>
      <c r="E283" s="2" t="s">
        <v>49</v>
      </c>
      <c r="F283" s="2" t="s">
        <v>49</v>
      </c>
      <c r="G283" s="2" t="s">
        <v>49</v>
      </c>
      <c r="H283" s="2" t="s">
        <v>49</v>
      </c>
      <c r="I283" s="2" t="s">
        <v>49</v>
      </c>
      <c r="J283" s="2" t="s">
        <v>49</v>
      </c>
      <c r="K283" s="2" t="s">
        <v>49</v>
      </c>
      <c r="L283" s="2" t="s">
        <v>49</v>
      </c>
      <c r="M283" s="2" t="s">
        <v>49</v>
      </c>
      <c r="N283" s="2" t="s">
        <v>49</v>
      </c>
      <c r="O283" s="2" t="s">
        <v>49</v>
      </c>
      <c r="P283" s="2" t="s">
        <v>49</v>
      </c>
      <c r="Q283" s="2" t="s">
        <v>49</v>
      </c>
      <c r="R283" s="2" t="s">
        <v>49</v>
      </c>
      <c r="S283" s="2" t="s">
        <v>49</v>
      </c>
      <c r="U283" s="2">
        <f t="shared" si="8"/>
        <v>0</v>
      </c>
      <c r="V283" s="2">
        <f t="shared" si="9"/>
        <v>0</v>
      </c>
    </row>
    <row r="284" spans="1:22" ht="15" customHeight="1" x14ac:dyDescent="0.45">
      <c r="A284" s="2" t="s">
        <v>305</v>
      </c>
      <c r="B284" s="2" t="s">
        <v>310</v>
      </c>
      <c r="C284" s="2">
        <v>2019</v>
      </c>
      <c r="D284" s="2">
        <v>20.495999999999999</v>
      </c>
      <c r="E284" s="2">
        <v>10.178000000000001</v>
      </c>
      <c r="F284" s="2">
        <v>2.8929999999999998</v>
      </c>
      <c r="G284" s="2">
        <v>0.216</v>
      </c>
      <c r="H284" s="2" t="s">
        <v>146</v>
      </c>
      <c r="I284" s="2">
        <v>5.7859999999999996</v>
      </c>
      <c r="J284" s="2">
        <v>1.421</v>
      </c>
      <c r="K284" s="2" t="s">
        <v>146</v>
      </c>
      <c r="L284" s="2" t="s">
        <v>146</v>
      </c>
      <c r="M284" s="2" t="s">
        <v>146</v>
      </c>
      <c r="N284" s="2" t="s">
        <v>49</v>
      </c>
      <c r="O284" s="2" t="s">
        <v>146</v>
      </c>
      <c r="P284" s="2" t="s">
        <v>49</v>
      </c>
      <c r="Q284" s="2" t="s">
        <v>146</v>
      </c>
      <c r="R284" s="2" t="s">
        <v>49</v>
      </c>
      <c r="S284" s="2" t="s">
        <v>146</v>
      </c>
      <c r="U284" s="2">
        <f t="shared" si="8"/>
        <v>20.495999999999999</v>
      </c>
      <c r="V284" s="2">
        <f t="shared" si="9"/>
        <v>0</v>
      </c>
    </row>
    <row r="285" spans="1:22" ht="15" customHeight="1" x14ac:dyDescent="0.45">
      <c r="A285" s="2" t="s">
        <v>305</v>
      </c>
      <c r="B285" s="2" t="s">
        <v>309</v>
      </c>
      <c r="C285" s="2">
        <v>2019</v>
      </c>
      <c r="D285" s="2">
        <v>15.109</v>
      </c>
      <c r="E285" s="2">
        <v>5.37</v>
      </c>
      <c r="F285" s="2">
        <v>1.1200000000000001</v>
      </c>
      <c r="G285" s="2">
        <v>3.4870000000000001</v>
      </c>
      <c r="H285" s="2" t="s">
        <v>146</v>
      </c>
      <c r="I285" s="2">
        <v>3.758</v>
      </c>
      <c r="J285" s="2">
        <v>1.1579999999999999</v>
      </c>
      <c r="K285" s="2" t="s">
        <v>146</v>
      </c>
      <c r="L285" s="2" t="s">
        <v>146</v>
      </c>
      <c r="M285" s="2" t="s">
        <v>146</v>
      </c>
      <c r="N285" s="2" t="s">
        <v>49</v>
      </c>
      <c r="O285" s="2" t="s">
        <v>146</v>
      </c>
      <c r="P285" s="2" t="s">
        <v>49</v>
      </c>
      <c r="Q285" s="2" t="s">
        <v>146</v>
      </c>
      <c r="R285" s="2" t="s">
        <v>49</v>
      </c>
      <c r="S285" s="2" t="s">
        <v>146</v>
      </c>
      <c r="U285" s="2">
        <f t="shared" si="8"/>
        <v>15.109</v>
      </c>
      <c r="V285" s="2">
        <f t="shared" si="9"/>
        <v>0</v>
      </c>
    </row>
    <row r="286" spans="1:22" ht="15" customHeight="1" x14ac:dyDescent="0.45">
      <c r="A286" s="2" t="s">
        <v>305</v>
      </c>
      <c r="B286" s="2" t="s">
        <v>308</v>
      </c>
      <c r="C286" s="2">
        <v>2019</v>
      </c>
      <c r="D286" s="2">
        <v>540.76199999999994</v>
      </c>
      <c r="E286" s="2">
        <v>254.929</v>
      </c>
      <c r="F286" s="2">
        <v>45.017000000000003</v>
      </c>
      <c r="G286" s="2" t="s">
        <v>146</v>
      </c>
      <c r="H286" s="2" t="s">
        <v>146</v>
      </c>
      <c r="I286" s="2">
        <v>79.269000000000005</v>
      </c>
      <c r="J286" s="2">
        <v>138.149</v>
      </c>
      <c r="K286" s="2">
        <v>1.796</v>
      </c>
      <c r="L286" s="2">
        <v>6.4690000000000003</v>
      </c>
      <c r="M286" s="2">
        <v>15.132999999999999</v>
      </c>
      <c r="N286" s="2" t="s">
        <v>49</v>
      </c>
      <c r="O286" s="2" t="s">
        <v>146</v>
      </c>
      <c r="P286" s="2" t="s">
        <v>49</v>
      </c>
      <c r="Q286" s="2" t="s">
        <v>146</v>
      </c>
      <c r="R286" s="2" t="s">
        <v>49</v>
      </c>
      <c r="S286" s="2" t="s">
        <v>146</v>
      </c>
      <c r="U286" s="2">
        <f t="shared" si="8"/>
        <v>540.76199999999994</v>
      </c>
      <c r="V286" s="2">
        <f t="shared" si="9"/>
        <v>0</v>
      </c>
    </row>
    <row r="287" spans="1:22" ht="15" customHeight="1" x14ac:dyDescent="0.45">
      <c r="A287" s="2" t="s">
        <v>305</v>
      </c>
      <c r="B287" s="2" t="s">
        <v>307</v>
      </c>
      <c r="C287" s="2">
        <v>2019</v>
      </c>
      <c r="D287" s="2" t="s">
        <v>49</v>
      </c>
      <c r="E287" s="2" t="s">
        <v>49</v>
      </c>
      <c r="F287" s="2" t="s">
        <v>49</v>
      </c>
      <c r="G287" s="2" t="s">
        <v>49</v>
      </c>
      <c r="H287" s="2" t="s">
        <v>49</v>
      </c>
      <c r="I287" s="2" t="s">
        <v>49</v>
      </c>
      <c r="J287" s="2" t="s">
        <v>49</v>
      </c>
      <c r="K287" s="2" t="s">
        <v>49</v>
      </c>
      <c r="L287" s="2" t="s">
        <v>49</v>
      </c>
      <c r="M287" s="2" t="s">
        <v>49</v>
      </c>
      <c r="N287" s="2" t="s">
        <v>49</v>
      </c>
      <c r="O287" s="2" t="s">
        <v>49</v>
      </c>
      <c r="P287" s="2" t="s">
        <v>49</v>
      </c>
      <c r="Q287" s="2" t="s">
        <v>49</v>
      </c>
      <c r="R287" s="2" t="s">
        <v>49</v>
      </c>
      <c r="S287" s="2" t="s">
        <v>49</v>
      </c>
      <c r="U287" s="2">
        <f t="shared" si="8"/>
        <v>0</v>
      </c>
      <c r="V287" s="2">
        <f t="shared" si="9"/>
        <v>0</v>
      </c>
    </row>
    <row r="288" spans="1:22" ht="15" customHeight="1" x14ac:dyDescent="0.45">
      <c r="A288" s="2" t="s">
        <v>305</v>
      </c>
      <c r="B288" s="2" t="s">
        <v>306</v>
      </c>
      <c r="C288" s="2">
        <v>2019</v>
      </c>
      <c r="D288" s="2">
        <v>131.49600000000001</v>
      </c>
      <c r="E288" s="2" t="s">
        <v>146</v>
      </c>
      <c r="F288" s="2" t="s">
        <v>146</v>
      </c>
      <c r="G288" s="2">
        <v>131.49600000000001</v>
      </c>
      <c r="H288" s="2" t="s">
        <v>146</v>
      </c>
      <c r="I288" s="2" t="s">
        <v>146</v>
      </c>
      <c r="J288" s="2" t="s">
        <v>146</v>
      </c>
      <c r="K288" s="2" t="s">
        <v>146</v>
      </c>
      <c r="L288" s="2" t="s">
        <v>146</v>
      </c>
      <c r="M288" s="2" t="s">
        <v>146</v>
      </c>
      <c r="N288" s="2" t="s">
        <v>49</v>
      </c>
      <c r="O288" s="2" t="s">
        <v>146</v>
      </c>
      <c r="P288" s="2" t="s">
        <v>49</v>
      </c>
      <c r="Q288" s="2" t="s">
        <v>146</v>
      </c>
      <c r="R288" s="2" t="s">
        <v>49</v>
      </c>
      <c r="S288" s="2" t="s">
        <v>146</v>
      </c>
      <c r="U288" s="2">
        <f t="shared" si="8"/>
        <v>131.49600000000001</v>
      </c>
      <c r="V288" s="2">
        <f t="shared" si="9"/>
        <v>0</v>
      </c>
    </row>
    <row r="289" spans="1:22" ht="15" customHeight="1" x14ac:dyDescent="0.45">
      <c r="A289" s="2" t="s">
        <v>305</v>
      </c>
      <c r="B289" s="2" t="s">
        <v>304</v>
      </c>
      <c r="C289" s="2">
        <v>2019</v>
      </c>
      <c r="D289" s="2">
        <v>6.4119999999999999</v>
      </c>
      <c r="E289" s="2">
        <v>1.8180000000000001</v>
      </c>
      <c r="F289" s="2">
        <v>1.35</v>
      </c>
      <c r="G289" s="2">
        <v>6.6000000000000003E-2</v>
      </c>
      <c r="H289" s="2" t="s">
        <v>146</v>
      </c>
      <c r="I289" s="2">
        <v>2.8439999999999999</v>
      </c>
      <c r="J289" s="2">
        <v>0.33300000000000002</v>
      </c>
      <c r="K289" s="2" t="s">
        <v>146</v>
      </c>
      <c r="L289" s="2" t="s">
        <v>146</v>
      </c>
      <c r="M289" s="2" t="s">
        <v>146</v>
      </c>
      <c r="N289" s="2" t="s">
        <v>49</v>
      </c>
      <c r="O289" s="2" t="s">
        <v>146</v>
      </c>
      <c r="P289" s="2" t="s">
        <v>49</v>
      </c>
      <c r="Q289" s="2" t="s">
        <v>146</v>
      </c>
      <c r="R289" s="2" t="s">
        <v>49</v>
      </c>
      <c r="S289" s="2" t="s">
        <v>146</v>
      </c>
      <c r="U289" s="2">
        <f t="shared" si="8"/>
        <v>6.4119999999999999</v>
      </c>
      <c r="V289" s="2">
        <f t="shared" si="9"/>
        <v>0</v>
      </c>
    </row>
    <row r="290" spans="1:22" ht="15" customHeight="1" x14ac:dyDescent="0.45">
      <c r="A290" s="2" t="s">
        <v>303</v>
      </c>
      <c r="B290" s="2" t="s">
        <v>35</v>
      </c>
      <c r="C290" s="2">
        <v>2019</v>
      </c>
      <c r="D290" s="2" t="s">
        <v>49</v>
      </c>
      <c r="E290" s="2" t="s">
        <v>49</v>
      </c>
      <c r="F290" s="2" t="s">
        <v>49</v>
      </c>
      <c r="G290" s="2" t="s">
        <v>49</v>
      </c>
      <c r="H290" s="2" t="s">
        <v>49</v>
      </c>
      <c r="I290" s="2" t="s">
        <v>49</v>
      </c>
      <c r="J290" s="2" t="s">
        <v>49</v>
      </c>
      <c r="K290" s="2" t="s">
        <v>49</v>
      </c>
      <c r="L290" s="2" t="s">
        <v>49</v>
      </c>
      <c r="M290" s="2" t="s">
        <v>49</v>
      </c>
      <c r="N290" s="2" t="s">
        <v>49</v>
      </c>
      <c r="O290" s="2" t="s">
        <v>49</v>
      </c>
      <c r="P290" s="2" t="s">
        <v>49</v>
      </c>
      <c r="Q290" s="2" t="s">
        <v>49</v>
      </c>
      <c r="R290" s="2" t="s">
        <v>49</v>
      </c>
      <c r="S290" s="2" t="s">
        <v>49</v>
      </c>
      <c r="U290" s="2">
        <f t="shared" si="8"/>
        <v>0</v>
      </c>
      <c r="V290" s="2">
        <f t="shared" si="9"/>
        <v>0</v>
      </c>
    </row>
    <row r="291" spans="1:22" ht="15" customHeight="1" x14ac:dyDescent="0.45">
      <c r="A291" s="2" t="s">
        <v>299</v>
      </c>
      <c r="B291" s="2" t="s">
        <v>302</v>
      </c>
      <c r="C291" s="2">
        <v>2019</v>
      </c>
      <c r="D291" s="2">
        <v>9.32</v>
      </c>
      <c r="E291" s="2">
        <v>4.556</v>
      </c>
      <c r="F291" s="2">
        <v>0.77600000000000002</v>
      </c>
      <c r="G291" s="2">
        <v>0.45800000000000002</v>
      </c>
      <c r="H291" s="2" t="s">
        <v>146</v>
      </c>
      <c r="I291" s="2">
        <v>2.7250000000000001</v>
      </c>
      <c r="J291" s="2">
        <v>0.80600000000000005</v>
      </c>
      <c r="K291" s="2" t="s">
        <v>146</v>
      </c>
      <c r="L291" s="2" t="s">
        <v>146</v>
      </c>
      <c r="M291" s="2" t="s">
        <v>146</v>
      </c>
      <c r="N291" s="2" t="s">
        <v>49</v>
      </c>
      <c r="O291" s="2" t="s">
        <v>146</v>
      </c>
      <c r="P291" s="2" t="s">
        <v>49</v>
      </c>
      <c r="Q291" s="2" t="s">
        <v>146</v>
      </c>
      <c r="R291" s="2" t="s">
        <v>49</v>
      </c>
      <c r="S291" s="2" t="s">
        <v>146</v>
      </c>
      <c r="U291" s="2">
        <f t="shared" si="8"/>
        <v>9.32</v>
      </c>
      <c r="V291" s="2">
        <f t="shared" si="9"/>
        <v>0</v>
      </c>
    </row>
    <row r="292" spans="1:22" ht="15" customHeight="1" x14ac:dyDescent="0.45">
      <c r="A292" s="2" t="s">
        <v>299</v>
      </c>
      <c r="B292" s="2" t="s">
        <v>301</v>
      </c>
      <c r="C292" s="2">
        <v>2019</v>
      </c>
      <c r="D292" s="2" t="s">
        <v>146</v>
      </c>
      <c r="E292" s="2" t="s">
        <v>146</v>
      </c>
      <c r="F292" s="2" t="s">
        <v>146</v>
      </c>
      <c r="G292" s="2" t="s">
        <v>146</v>
      </c>
      <c r="H292" s="2" t="s">
        <v>146</v>
      </c>
      <c r="I292" s="2" t="s">
        <v>146</v>
      </c>
      <c r="J292" s="2" t="s">
        <v>146</v>
      </c>
      <c r="K292" s="2" t="s">
        <v>146</v>
      </c>
      <c r="L292" s="2" t="s">
        <v>146</v>
      </c>
      <c r="M292" s="2" t="s">
        <v>146</v>
      </c>
      <c r="N292" s="2" t="s">
        <v>49</v>
      </c>
      <c r="O292" s="2" t="s">
        <v>146</v>
      </c>
      <c r="P292" s="2" t="s">
        <v>49</v>
      </c>
      <c r="Q292" s="2" t="s">
        <v>146</v>
      </c>
      <c r="R292" s="2" t="s">
        <v>49</v>
      </c>
      <c r="S292" s="2" t="s">
        <v>146</v>
      </c>
      <c r="U292" s="2">
        <f t="shared" si="8"/>
        <v>0</v>
      </c>
      <c r="V292" s="2">
        <f t="shared" si="9"/>
        <v>0</v>
      </c>
    </row>
    <row r="293" spans="1:22" ht="15" customHeight="1" x14ac:dyDescent="0.45">
      <c r="A293" s="2" t="s">
        <v>299</v>
      </c>
      <c r="B293" s="2" t="s">
        <v>300</v>
      </c>
      <c r="C293" s="2">
        <v>2019</v>
      </c>
      <c r="D293" s="2">
        <v>3.0680000000000001</v>
      </c>
      <c r="E293" s="2">
        <v>2.7269999999999999</v>
      </c>
      <c r="F293" s="2">
        <v>2.1000000000000001E-2</v>
      </c>
      <c r="G293" s="2">
        <v>0</v>
      </c>
      <c r="H293" s="2" t="s">
        <v>146</v>
      </c>
      <c r="I293" s="2">
        <v>0.31900000000000001</v>
      </c>
      <c r="J293" s="2">
        <v>0</v>
      </c>
      <c r="K293" s="2" t="s">
        <v>146</v>
      </c>
      <c r="L293" s="2" t="s">
        <v>146</v>
      </c>
      <c r="M293" s="2" t="s">
        <v>146</v>
      </c>
      <c r="N293" s="2" t="s">
        <v>49</v>
      </c>
      <c r="O293" s="2" t="s">
        <v>146</v>
      </c>
      <c r="P293" s="2" t="s">
        <v>49</v>
      </c>
      <c r="Q293" s="2" t="s">
        <v>146</v>
      </c>
      <c r="R293" s="2" t="s">
        <v>49</v>
      </c>
      <c r="S293" s="2" t="s">
        <v>146</v>
      </c>
      <c r="U293" s="2">
        <f t="shared" si="8"/>
        <v>3.0680000000000001</v>
      </c>
      <c r="V293" s="2">
        <f t="shared" si="9"/>
        <v>0</v>
      </c>
    </row>
    <row r="294" spans="1:22" ht="15" customHeight="1" x14ac:dyDescent="0.45">
      <c r="A294" s="2" t="s">
        <v>299</v>
      </c>
      <c r="B294" s="2" t="s">
        <v>298</v>
      </c>
      <c r="C294" s="2">
        <v>2019</v>
      </c>
      <c r="D294" s="2">
        <v>123.666</v>
      </c>
      <c r="E294" s="2">
        <v>56.802999999999997</v>
      </c>
      <c r="F294" s="2">
        <v>15.478</v>
      </c>
      <c r="G294" s="2">
        <v>10.153</v>
      </c>
      <c r="H294" s="2" t="s">
        <v>146</v>
      </c>
      <c r="I294" s="2">
        <v>18.951000000000001</v>
      </c>
      <c r="J294" s="2">
        <v>22.28</v>
      </c>
      <c r="K294" s="2" t="s">
        <v>146</v>
      </c>
      <c r="L294" s="2" t="s">
        <v>146</v>
      </c>
      <c r="M294" s="2" t="s">
        <v>146</v>
      </c>
      <c r="N294" s="2" t="s">
        <v>49</v>
      </c>
      <c r="O294" s="2" t="s">
        <v>146</v>
      </c>
      <c r="P294" s="2" t="s">
        <v>49</v>
      </c>
      <c r="Q294" s="2" t="s">
        <v>146</v>
      </c>
      <c r="R294" s="2" t="s">
        <v>49</v>
      </c>
      <c r="S294" s="2" t="s">
        <v>146</v>
      </c>
      <c r="U294" s="2">
        <f t="shared" si="8"/>
        <v>123.666</v>
      </c>
      <c r="V294" s="2">
        <f t="shared" si="9"/>
        <v>0</v>
      </c>
    </row>
    <row r="295" spans="1:22" ht="15" customHeight="1" x14ac:dyDescent="0.45">
      <c r="A295" s="2" t="s">
        <v>297</v>
      </c>
      <c r="B295" s="2" t="s">
        <v>296</v>
      </c>
      <c r="C295" s="2">
        <v>2019</v>
      </c>
      <c r="D295" s="2">
        <v>958.56399999999996</v>
      </c>
      <c r="E295" s="2">
        <v>491.24400000000003</v>
      </c>
      <c r="F295" s="2">
        <v>47.67</v>
      </c>
      <c r="G295" s="2">
        <v>78.08</v>
      </c>
      <c r="H295" s="2" t="s">
        <v>146</v>
      </c>
      <c r="I295" s="2">
        <v>161.16499999999999</v>
      </c>
      <c r="J295" s="2">
        <v>70.917000000000002</v>
      </c>
      <c r="K295" s="2">
        <v>0.42399999999999999</v>
      </c>
      <c r="L295" s="2">
        <v>90.552999999999997</v>
      </c>
      <c r="M295" s="2">
        <v>18.510999999999999</v>
      </c>
      <c r="N295" s="2" t="s">
        <v>942</v>
      </c>
      <c r="O295" s="2">
        <v>2.246</v>
      </c>
      <c r="P295" s="2" t="s">
        <v>49</v>
      </c>
      <c r="Q295" s="2" t="s">
        <v>146</v>
      </c>
      <c r="R295" s="2" t="s">
        <v>49</v>
      </c>
      <c r="S295" s="2" t="s">
        <v>146</v>
      </c>
      <c r="U295" s="2">
        <f t="shared" si="8"/>
        <v>958.56399999999996</v>
      </c>
      <c r="V295" s="2">
        <f t="shared" si="9"/>
        <v>2.246</v>
      </c>
    </row>
    <row r="296" spans="1:22" ht="15" customHeight="1" x14ac:dyDescent="0.45">
      <c r="A296" s="2" t="s">
        <v>295</v>
      </c>
      <c r="B296" s="2" t="s">
        <v>127</v>
      </c>
      <c r="C296" s="2">
        <v>2019</v>
      </c>
      <c r="D296" s="2">
        <v>46</v>
      </c>
      <c r="E296" s="2" t="s">
        <v>146</v>
      </c>
      <c r="F296" s="2" t="s">
        <v>146</v>
      </c>
      <c r="G296" s="2" t="s">
        <v>146</v>
      </c>
      <c r="H296" s="2" t="s">
        <v>146</v>
      </c>
      <c r="I296" s="2" t="s">
        <v>146</v>
      </c>
      <c r="J296" s="2" t="s">
        <v>146</v>
      </c>
      <c r="K296" s="2" t="s">
        <v>146</v>
      </c>
      <c r="L296" s="2" t="s">
        <v>146</v>
      </c>
      <c r="M296" s="2" t="s">
        <v>146</v>
      </c>
      <c r="N296" s="2" t="s">
        <v>49</v>
      </c>
      <c r="O296" s="2" t="s">
        <v>146</v>
      </c>
      <c r="P296" s="2" t="s">
        <v>49</v>
      </c>
      <c r="Q296" s="2" t="s">
        <v>146</v>
      </c>
      <c r="R296" s="2" t="s">
        <v>49</v>
      </c>
      <c r="S296" s="2" t="s">
        <v>146</v>
      </c>
      <c r="U296" s="2">
        <f t="shared" si="8"/>
        <v>46</v>
      </c>
      <c r="V296" s="2">
        <f t="shared" si="9"/>
        <v>0</v>
      </c>
    </row>
    <row r="297" spans="1:22" ht="15" customHeight="1" x14ac:dyDescent="0.45">
      <c r="A297" s="2" t="s">
        <v>289</v>
      </c>
      <c r="B297" s="2" t="s">
        <v>294</v>
      </c>
      <c r="C297" s="2">
        <v>2019</v>
      </c>
      <c r="D297" s="2">
        <v>10.795999999999999</v>
      </c>
      <c r="E297" s="2">
        <v>4.1950000000000003</v>
      </c>
      <c r="F297" s="2">
        <v>4.2679999999999998</v>
      </c>
      <c r="G297" s="2">
        <v>0</v>
      </c>
      <c r="H297" s="2" t="s">
        <v>146</v>
      </c>
      <c r="I297" s="2">
        <v>1.8320000000000001</v>
      </c>
      <c r="J297" s="2">
        <v>0.03</v>
      </c>
      <c r="K297" s="2">
        <v>0</v>
      </c>
      <c r="L297" s="2">
        <v>0.47099999999999997</v>
      </c>
      <c r="M297" s="2">
        <v>0</v>
      </c>
      <c r="N297" s="2" t="s">
        <v>176</v>
      </c>
      <c r="O297" s="2" t="s">
        <v>146</v>
      </c>
      <c r="P297" s="2" t="s">
        <v>176</v>
      </c>
      <c r="Q297" s="2" t="s">
        <v>146</v>
      </c>
      <c r="R297" s="2" t="s">
        <v>176</v>
      </c>
      <c r="S297" s="2" t="s">
        <v>146</v>
      </c>
      <c r="U297" s="2">
        <f t="shared" si="8"/>
        <v>10.795999999999999</v>
      </c>
      <c r="V297" s="2">
        <f t="shared" si="9"/>
        <v>0</v>
      </c>
    </row>
    <row r="298" spans="1:22" ht="15" customHeight="1" x14ac:dyDescent="0.45">
      <c r="A298" s="2" t="s">
        <v>289</v>
      </c>
      <c r="B298" s="2" t="s">
        <v>293</v>
      </c>
      <c r="C298" s="2">
        <v>2019</v>
      </c>
      <c r="D298" s="2">
        <v>165.10300000000001</v>
      </c>
      <c r="E298" s="2">
        <v>88.132999999999996</v>
      </c>
      <c r="F298" s="2">
        <v>14.491</v>
      </c>
      <c r="G298" s="2">
        <v>11.297000000000001</v>
      </c>
      <c r="H298" s="2" t="s">
        <v>146</v>
      </c>
      <c r="I298" s="2">
        <v>21.696000000000002</v>
      </c>
      <c r="J298" s="2">
        <v>15.631</v>
      </c>
      <c r="K298" s="2">
        <v>0.14299999999999999</v>
      </c>
      <c r="L298" s="2">
        <v>0</v>
      </c>
      <c r="M298" s="2">
        <v>13.712</v>
      </c>
      <c r="N298" s="2" t="s">
        <v>176</v>
      </c>
      <c r="O298" s="2" t="s">
        <v>146</v>
      </c>
      <c r="P298" s="2" t="s">
        <v>176</v>
      </c>
      <c r="Q298" s="2" t="s">
        <v>146</v>
      </c>
      <c r="R298" s="2" t="s">
        <v>176</v>
      </c>
      <c r="S298" s="2" t="s">
        <v>146</v>
      </c>
      <c r="U298" s="2">
        <f t="shared" si="8"/>
        <v>165.10300000000001</v>
      </c>
      <c r="V298" s="2">
        <f t="shared" si="9"/>
        <v>0</v>
      </c>
    </row>
    <row r="299" spans="1:22" ht="15" customHeight="1" x14ac:dyDescent="0.45">
      <c r="A299" s="2" t="s">
        <v>289</v>
      </c>
      <c r="B299" s="2" t="s">
        <v>292</v>
      </c>
      <c r="C299" s="2">
        <v>2019</v>
      </c>
      <c r="D299" s="2">
        <v>17.611000000000001</v>
      </c>
      <c r="E299" s="2">
        <v>10.436999999999999</v>
      </c>
      <c r="F299" s="2">
        <v>1.988</v>
      </c>
      <c r="G299" s="2">
        <v>0.55500000000000005</v>
      </c>
      <c r="H299" s="2" t="s">
        <v>146</v>
      </c>
      <c r="I299" s="2">
        <v>2.6280000000000001</v>
      </c>
      <c r="J299" s="2">
        <v>0.84199999999999997</v>
      </c>
      <c r="K299" s="2">
        <v>0</v>
      </c>
      <c r="L299" s="2">
        <v>0</v>
      </c>
      <c r="M299" s="2">
        <v>1.161</v>
      </c>
      <c r="N299" s="2" t="s">
        <v>176</v>
      </c>
      <c r="O299" s="2" t="s">
        <v>146</v>
      </c>
      <c r="P299" s="2" t="s">
        <v>176</v>
      </c>
      <c r="Q299" s="2" t="s">
        <v>146</v>
      </c>
      <c r="R299" s="2" t="s">
        <v>176</v>
      </c>
      <c r="S299" s="2" t="s">
        <v>146</v>
      </c>
      <c r="U299" s="2">
        <f t="shared" si="8"/>
        <v>17.611000000000001</v>
      </c>
      <c r="V299" s="2">
        <f t="shared" si="9"/>
        <v>0</v>
      </c>
    </row>
    <row r="300" spans="1:22" ht="15" customHeight="1" x14ac:dyDescent="0.45">
      <c r="A300" s="2" t="s">
        <v>289</v>
      </c>
      <c r="B300" s="2" t="s">
        <v>291</v>
      </c>
      <c r="C300" s="2">
        <v>2019</v>
      </c>
      <c r="D300" s="2">
        <v>1278.665</v>
      </c>
      <c r="E300" s="2">
        <v>521.07899999999995</v>
      </c>
      <c r="F300" s="2">
        <v>196.078</v>
      </c>
      <c r="G300" s="2">
        <v>96.546999999999997</v>
      </c>
      <c r="H300" s="2" t="s">
        <v>146</v>
      </c>
      <c r="I300" s="2">
        <v>146.12700000000001</v>
      </c>
      <c r="J300" s="2">
        <v>116.872</v>
      </c>
      <c r="K300" s="2">
        <v>93.156000000000006</v>
      </c>
      <c r="L300" s="2">
        <v>28.047000000000001</v>
      </c>
      <c r="M300" s="2">
        <v>87.081000000000003</v>
      </c>
      <c r="N300" s="2" t="s">
        <v>1052</v>
      </c>
      <c r="O300" s="2">
        <v>79.040800000000004</v>
      </c>
      <c r="P300" s="2" t="s">
        <v>176</v>
      </c>
      <c r="Q300" s="2" t="s">
        <v>146</v>
      </c>
      <c r="R300" s="2" t="s">
        <v>176</v>
      </c>
      <c r="S300" s="2" t="s">
        <v>146</v>
      </c>
      <c r="U300" s="2">
        <f t="shared" si="8"/>
        <v>1278.665</v>
      </c>
      <c r="V300" s="2">
        <f t="shared" si="9"/>
        <v>79.040800000000004</v>
      </c>
    </row>
    <row r="301" spans="1:22" ht="15" customHeight="1" x14ac:dyDescent="0.45">
      <c r="A301" s="2" t="s">
        <v>289</v>
      </c>
      <c r="B301" s="2" t="s">
        <v>290</v>
      </c>
      <c r="C301" s="2">
        <v>2019</v>
      </c>
      <c r="D301" s="2">
        <v>17.236000000000001</v>
      </c>
      <c r="E301" s="2">
        <v>7.6120000000000001</v>
      </c>
      <c r="F301" s="2">
        <v>5.4029999999999996</v>
      </c>
      <c r="G301" s="2">
        <v>0.153</v>
      </c>
      <c r="H301" s="2" t="s">
        <v>146</v>
      </c>
      <c r="I301" s="2">
        <v>3.839</v>
      </c>
      <c r="J301" s="2">
        <v>0.22900000000000001</v>
      </c>
      <c r="K301" s="2">
        <v>0</v>
      </c>
      <c r="L301" s="2">
        <v>0</v>
      </c>
      <c r="M301" s="2">
        <v>0</v>
      </c>
      <c r="N301" s="2" t="s">
        <v>176</v>
      </c>
      <c r="O301" s="2" t="s">
        <v>146</v>
      </c>
      <c r="P301" s="2" t="s">
        <v>176</v>
      </c>
      <c r="Q301" s="2" t="s">
        <v>146</v>
      </c>
      <c r="R301" s="2" t="s">
        <v>176</v>
      </c>
      <c r="S301" s="2" t="s">
        <v>146</v>
      </c>
      <c r="U301" s="2">
        <f t="shared" si="8"/>
        <v>17.236000000000001</v>
      </c>
      <c r="V301" s="2">
        <f t="shared" si="9"/>
        <v>0</v>
      </c>
    </row>
    <row r="302" spans="1:22" ht="15" customHeight="1" x14ac:dyDescent="0.45">
      <c r="A302" s="2" t="s">
        <v>289</v>
      </c>
      <c r="B302" s="2" t="s">
        <v>288</v>
      </c>
      <c r="C302" s="2">
        <v>2019</v>
      </c>
      <c r="D302" s="2">
        <v>30.116</v>
      </c>
      <c r="E302" s="2">
        <v>14.081</v>
      </c>
      <c r="F302" s="2">
        <v>0.94799999999999995</v>
      </c>
      <c r="G302" s="2">
        <v>6.1619999999999999</v>
      </c>
      <c r="H302" s="2" t="s">
        <v>146</v>
      </c>
      <c r="I302" s="2">
        <v>6.5869999999999997</v>
      </c>
      <c r="J302" s="2">
        <v>1.66</v>
      </c>
      <c r="K302" s="2">
        <v>0.67800000000000005</v>
      </c>
      <c r="L302" s="2">
        <v>0</v>
      </c>
      <c r="M302" s="2">
        <v>0</v>
      </c>
      <c r="N302" s="2" t="s">
        <v>176</v>
      </c>
      <c r="O302" s="2" t="s">
        <v>146</v>
      </c>
      <c r="P302" s="2" t="s">
        <v>176</v>
      </c>
      <c r="Q302" s="2" t="s">
        <v>146</v>
      </c>
      <c r="R302" s="2" t="s">
        <v>176</v>
      </c>
      <c r="S302" s="2" t="s">
        <v>146</v>
      </c>
      <c r="U302" s="2">
        <f t="shared" si="8"/>
        <v>30.116</v>
      </c>
      <c r="V302" s="2">
        <f t="shared" si="9"/>
        <v>0</v>
      </c>
    </row>
    <row r="303" spans="1:22" ht="15" customHeight="1" x14ac:dyDescent="0.45">
      <c r="A303" s="2" t="s">
        <v>286</v>
      </c>
      <c r="B303" s="2" t="s">
        <v>287</v>
      </c>
      <c r="C303" s="2">
        <v>2019</v>
      </c>
      <c r="D303" s="2">
        <v>42.49</v>
      </c>
      <c r="E303" s="2">
        <v>15.8</v>
      </c>
      <c r="F303" s="2">
        <v>0.4</v>
      </c>
      <c r="G303" s="2">
        <v>20.8</v>
      </c>
      <c r="H303" s="2">
        <v>8.6999999999999993</v>
      </c>
      <c r="I303" s="2">
        <v>4.8</v>
      </c>
      <c r="J303" s="2">
        <v>0.8</v>
      </c>
      <c r="K303" s="2" t="s">
        <v>146</v>
      </c>
      <c r="L303" s="2" t="s">
        <v>146</v>
      </c>
      <c r="M303" s="2" t="s">
        <v>146</v>
      </c>
      <c r="N303" s="2" t="s">
        <v>49</v>
      </c>
      <c r="O303" s="2" t="s">
        <v>146</v>
      </c>
      <c r="P303" s="2" t="s">
        <v>49</v>
      </c>
      <c r="Q303" s="2" t="s">
        <v>146</v>
      </c>
      <c r="R303" s="2" t="s">
        <v>49</v>
      </c>
      <c r="S303" s="2" t="s">
        <v>146</v>
      </c>
      <c r="U303" s="2">
        <f t="shared" si="8"/>
        <v>42.49</v>
      </c>
      <c r="V303" s="2">
        <f t="shared" si="9"/>
        <v>0</v>
      </c>
    </row>
    <row r="304" spans="1:22" ht="15" customHeight="1" x14ac:dyDescent="0.45">
      <c r="A304" s="2" t="s">
        <v>286</v>
      </c>
      <c r="B304" s="2" t="s">
        <v>285</v>
      </c>
      <c r="C304" s="2">
        <v>2019</v>
      </c>
      <c r="D304" s="2">
        <v>668</v>
      </c>
      <c r="E304" s="2">
        <v>301.3</v>
      </c>
      <c r="F304" s="2">
        <v>18.3</v>
      </c>
      <c r="G304" s="2">
        <v>200</v>
      </c>
      <c r="H304" s="2">
        <v>61</v>
      </c>
      <c r="I304" s="2">
        <v>65.7</v>
      </c>
      <c r="J304" s="2">
        <v>80.7</v>
      </c>
      <c r="K304" s="2">
        <v>2</v>
      </c>
      <c r="L304" s="2" t="s">
        <v>146</v>
      </c>
      <c r="M304" s="2" t="s">
        <v>146</v>
      </c>
      <c r="N304" s="2" t="s">
        <v>49</v>
      </c>
      <c r="O304" s="2" t="s">
        <v>146</v>
      </c>
      <c r="P304" s="2" t="s">
        <v>49</v>
      </c>
      <c r="Q304" s="2" t="s">
        <v>146</v>
      </c>
      <c r="R304" s="2" t="s">
        <v>49</v>
      </c>
      <c r="S304" s="2" t="s">
        <v>146</v>
      </c>
      <c r="U304" s="2">
        <f t="shared" si="8"/>
        <v>668</v>
      </c>
      <c r="V304" s="2">
        <f t="shared" si="9"/>
        <v>0</v>
      </c>
    </row>
    <row r="305" spans="1:22" ht="15" customHeight="1" x14ac:dyDescent="0.45">
      <c r="A305" s="2" t="s">
        <v>284</v>
      </c>
      <c r="B305" s="2" t="s">
        <v>283</v>
      </c>
      <c r="C305" s="2">
        <v>2019</v>
      </c>
      <c r="D305" s="2">
        <v>52.332999999999998</v>
      </c>
      <c r="E305" s="2">
        <v>16.651</v>
      </c>
      <c r="F305" s="2">
        <v>1.49</v>
      </c>
      <c r="G305" s="2">
        <v>20.34</v>
      </c>
      <c r="H305" s="2" t="s">
        <v>146</v>
      </c>
      <c r="I305" s="2">
        <v>11.14</v>
      </c>
      <c r="J305" s="2">
        <v>2.7120000000000002</v>
      </c>
      <c r="K305" s="2" t="s">
        <v>146</v>
      </c>
      <c r="L305" s="2" t="s">
        <v>146</v>
      </c>
      <c r="M305" s="2" t="s">
        <v>146</v>
      </c>
      <c r="N305" s="2" t="s">
        <v>49</v>
      </c>
      <c r="O305" s="2" t="s">
        <v>146</v>
      </c>
      <c r="P305" s="2" t="s">
        <v>49</v>
      </c>
      <c r="Q305" s="2" t="s">
        <v>146</v>
      </c>
      <c r="R305" s="2" t="s">
        <v>49</v>
      </c>
      <c r="S305" s="2" t="s">
        <v>146</v>
      </c>
      <c r="U305" s="2">
        <f t="shared" si="8"/>
        <v>52.332999999999998</v>
      </c>
      <c r="V305" s="2">
        <f t="shared" si="9"/>
        <v>0</v>
      </c>
    </row>
    <row r="306" spans="1:22" ht="15" customHeight="1" x14ac:dyDescent="0.45">
      <c r="A306" s="2" t="s">
        <v>280</v>
      </c>
      <c r="B306" s="2" t="s">
        <v>282</v>
      </c>
      <c r="C306" s="2">
        <v>2019</v>
      </c>
      <c r="D306" s="2">
        <v>4.03</v>
      </c>
      <c r="E306" s="2">
        <v>3.43</v>
      </c>
      <c r="F306" s="2" t="s">
        <v>146</v>
      </c>
      <c r="G306" s="2" t="s">
        <v>146</v>
      </c>
      <c r="H306" s="2" t="s">
        <v>146</v>
      </c>
      <c r="I306" s="2">
        <v>0.6</v>
      </c>
      <c r="J306" s="2" t="s">
        <v>146</v>
      </c>
      <c r="K306" s="2" t="s">
        <v>146</v>
      </c>
      <c r="L306" s="2" t="s">
        <v>146</v>
      </c>
      <c r="M306" s="2" t="s">
        <v>146</v>
      </c>
      <c r="N306" s="2" t="s">
        <v>49</v>
      </c>
      <c r="O306" s="2" t="s">
        <v>146</v>
      </c>
      <c r="P306" s="2" t="s">
        <v>49</v>
      </c>
      <c r="Q306" s="2" t="s">
        <v>146</v>
      </c>
      <c r="R306" s="2" t="s">
        <v>49</v>
      </c>
      <c r="S306" s="2" t="s">
        <v>146</v>
      </c>
      <c r="U306" s="2">
        <f t="shared" si="8"/>
        <v>4.03</v>
      </c>
      <c r="V306" s="2">
        <f t="shared" si="9"/>
        <v>0</v>
      </c>
    </row>
    <row r="307" spans="1:22" ht="15" customHeight="1" x14ac:dyDescent="0.45">
      <c r="A307" s="2" t="s">
        <v>280</v>
      </c>
      <c r="B307" s="2" t="s">
        <v>281</v>
      </c>
      <c r="C307" s="2">
        <v>2019</v>
      </c>
      <c r="D307" s="2">
        <v>46.96</v>
      </c>
      <c r="E307" s="2">
        <v>23.56</v>
      </c>
      <c r="F307" s="2">
        <v>6.33</v>
      </c>
      <c r="G307" s="2">
        <v>3.71</v>
      </c>
      <c r="H307" s="2" t="s">
        <v>146</v>
      </c>
      <c r="I307" s="2">
        <v>10.029999999999999</v>
      </c>
      <c r="J307" s="2">
        <v>3.32</v>
      </c>
      <c r="K307" s="2" t="s">
        <v>146</v>
      </c>
      <c r="L307" s="2" t="s">
        <v>146</v>
      </c>
      <c r="M307" s="2" t="s">
        <v>146</v>
      </c>
      <c r="N307" s="2" t="s">
        <v>49</v>
      </c>
      <c r="O307" s="2" t="s">
        <v>146</v>
      </c>
      <c r="P307" s="2" t="s">
        <v>49</v>
      </c>
      <c r="Q307" s="2" t="s">
        <v>146</v>
      </c>
      <c r="R307" s="2" t="s">
        <v>49</v>
      </c>
      <c r="S307" s="2" t="s">
        <v>146</v>
      </c>
      <c r="U307" s="2">
        <f t="shared" si="8"/>
        <v>46.96</v>
      </c>
      <c r="V307" s="2">
        <f t="shared" si="9"/>
        <v>0</v>
      </c>
    </row>
    <row r="308" spans="1:22" ht="15" customHeight="1" x14ac:dyDescent="0.45">
      <c r="A308" s="2" t="s">
        <v>280</v>
      </c>
      <c r="B308" s="2" t="s">
        <v>279</v>
      </c>
      <c r="C308" s="2">
        <v>2019</v>
      </c>
      <c r="D308" s="2">
        <v>7.24</v>
      </c>
      <c r="E308" s="2">
        <v>4.0599999999999996</v>
      </c>
      <c r="F308" s="2">
        <v>0.16</v>
      </c>
      <c r="G308" s="2">
        <v>0.16</v>
      </c>
      <c r="H308" s="2" t="s">
        <v>146</v>
      </c>
      <c r="I308" s="2">
        <v>2.78</v>
      </c>
      <c r="J308" s="2">
        <v>7.0000000000000007E-2</v>
      </c>
      <c r="K308" s="2" t="s">
        <v>146</v>
      </c>
      <c r="L308" s="2" t="s">
        <v>146</v>
      </c>
      <c r="M308" s="2" t="s">
        <v>146</v>
      </c>
      <c r="N308" s="2" t="s">
        <v>49</v>
      </c>
      <c r="O308" s="2" t="s">
        <v>146</v>
      </c>
      <c r="P308" s="2" t="s">
        <v>49</v>
      </c>
      <c r="Q308" s="2" t="s">
        <v>146</v>
      </c>
      <c r="R308" s="2" t="s">
        <v>49</v>
      </c>
      <c r="S308" s="2" t="s">
        <v>146</v>
      </c>
      <c r="U308" s="2">
        <f t="shared" si="8"/>
        <v>7.24</v>
      </c>
      <c r="V308" s="2">
        <f t="shared" si="9"/>
        <v>0</v>
      </c>
    </row>
    <row r="309" spans="1:22" ht="15" customHeight="1" x14ac:dyDescent="0.45">
      <c r="A309" s="2" t="s">
        <v>278</v>
      </c>
      <c r="B309" s="2" t="s">
        <v>278</v>
      </c>
      <c r="C309" s="2">
        <v>2019</v>
      </c>
      <c r="D309" s="2" t="s">
        <v>49</v>
      </c>
      <c r="E309" s="2" t="s">
        <v>49</v>
      </c>
      <c r="F309" s="2" t="s">
        <v>49</v>
      </c>
      <c r="G309" s="2" t="s">
        <v>49</v>
      </c>
      <c r="H309" s="2" t="s">
        <v>49</v>
      </c>
      <c r="I309" s="2" t="s">
        <v>49</v>
      </c>
      <c r="J309" s="2" t="s">
        <v>49</v>
      </c>
      <c r="K309" s="2" t="s">
        <v>49</v>
      </c>
      <c r="L309" s="2" t="s">
        <v>49</v>
      </c>
      <c r="M309" s="2" t="s">
        <v>49</v>
      </c>
      <c r="N309" s="2" t="s">
        <v>49</v>
      </c>
      <c r="O309" s="2" t="s">
        <v>49</v>
      </c>
      <c r="P309" s="2" t="s">
        <v>49</v>
      </c>
      <c r="Q309" s="2" t="s">
        <v>49</v>
      </c>
      <c r="R309" s="2" t="s">
        <v>49</v>
      </c>
      <c r="S309" s="2" t="s">
        <v>49</v>
      </c>
      <c r="U309" s="2">
        <f t="shared" si="8"/>
        <v>0</v>
      </c>
      <c r="V309" s="2">
        <f t="shared" si="9"/>
        <v>0</v>
      </c>
    </row>
    <row r="310" spans="1:22" ht="15" customHeight="1" x14ac:dyDescent="0.45">
      <c r="A310" s="2" t="s">
        <v>277</v>
      </c>
      <c r="B310" s="2" t="s">
        <v>130</v>
      </c>
      <c r="C310" s="2">
        <v>2019</v>
      </c>
      <c r="D310" s="2">
        <v>13.129</v>
      </c>
      <c r="E310" s="2" t="s">
        <v>1051</v>
      </c>
      <c r="F310" s="2" t="s">
        <v>1051</v>
      </c>
      <c r="G310" s="2" t="s">
        <v>1051</v>
      </c>
      <c r="H310" s="2" t="s">
        <v>146</v>
      </c>
      <c r="I310" s="2" t="s">
        <v>1051</v>
      </c>
      <c r="J310" s="2" t="s">
        <v>146</v>
      </c>
      <c r="K310" s="2" t="s">
        <v>146</v>
      </c>
      <c r="L310" s="2" t="s">
        <v>146</v>
      </c>
      <c r="M310" s="2" t="s">
        <v>146</v>
      </c>
      <c r="N310" s="2" t="s">
        <v>49</v>
      </c>
      <c r="O310" s="2" t="s">
        <v>146</v>
      </c>
      <c r="P310" s="2" t="s">
        <v>49</v>
      </c>
      <c r="Q310" s="2" t="s">
        <v>146</v>
      </c>
      <c r="R310" s="2" t="s">
        <v>49</v>
      </c>
      <c r="S310" s="2" t="s">
        <v>146</v>
      </c>
      <c r="U310" s="2">
        <f t="shared" si="8"/>
        <v>13.129</v>
      </c>
      <c r="V310" s="2">
        <f t="shared" si="9"/>
        <v>0</v>
      </c>
    </row>
    <row r="311" spans="1:22" ht="15" customHeight="1" x14ac:dyDescent="0.45">
      <c r="A311" s="2" t="s">
        <v>276</v>
      </c>
      <c r="B311" s="2" t="s">
        <v>275</v>
      </c>
      <c r="C311" s="2">
        <v>2019</v>
      </c>
      <c r="D311" s="2">
        <v>122</v>
      </c>
      <c r="E311" s="2">
        <v>51.6</v>
      </c>
      <c r="F311" s="2">
        <v>18.100000000000001</v>
      </c>
      <c r="G311" s="2">
        <v>24</v>
      </c>
      <c r="H311" s="2" t="s">
        <v>146</v>
      </c>
      <c r="I311" s="2">
        <v>12.8</v>
      </c>
      <c r="J311" s="2">
        <v>15</v>
      </c>
      <c r="K311" s="2">
        <v>0.2</v>
      </c>
      <c r="L311" s="2">
        <v>0</v>
      </c>
      <c r="M311" s="2">
        <v>0</v>
      </c>
      <c r="N311" s="2" t="s">
        <v>49</v>
      </c>
      <c r="O311" s="2" t="s">
        <v>146</v>
      </c>
      <c r="P311" s="2" t="s">
        <v>49</v>
      </c>
      <c r="Q311" s="2" t="s">
        <v>146</v>
      </c>
      <c r="R311" s="2" t="s">
        <v>49</v>
      </c>
      <c r="S311" s="2" t="s">
        <v>146</v>
      </c>
      <c r="U311" s="2">
        <f t="shared" si="8"/>
        <v>122</v>
      </c>
      <c r="V311" s="2">
        <f t="shared" si="9"/>
        <v>0</v>
      </c>
    </row>
    <row r="312" spans="1:22" ht="15" customHeight="1" x14ac:dyDescent="0.45">
      <c r="A312" s="2" t="s">
        <v>273</v>
      </c>
      <c r="B312" s="2" t="s">
        <v>272</v>
      </c>
      <c r="C312" s="2">
        <v>2019</v>
      </c>
      <c r="D312" s="2">
        <v>90.1</v>
      </c>
      <c r="E312" s="2">
        <v>58.4</v>
      </c>
      <c r="F312" s="2">
        <v>4.0999999999999996</v>
      </c>
      <c r="G312" s="2">
        <v>1.1000000000000001</v>
      </c>
      <c r="H312" s="2" t="s">
        <v>146</v>
      </c>
      <c r="I312" s="2">
        <v>26.3</v>
      </c>
      <c r="J312" s="2" t="s">
        <v>146</v>
      </c>
      <c r="K312" s="2" t="s">
        <v>146</v>
      </c>
      <c r="L312" s="2" t="s">
        <v>146</v>
      </c>
      <c r="M312" s="2" t="s">
        <v>146</v>
      </c>
      <c r="N312" s="2" t="s">
        <v>49</v>
      </c>
      <c r="O312" s="2" t="s">
        <v>146</v>
      </c>
      <c r="P312" s="2" t="s">
        <v>49</v>
      </c>
      <c r="Q312" s="2" t="s">
        <v>146</v>
      </c>
      <c r="R312" s="2" t="s">
        <v>49</v>
      </c>
      <c r="S312" s="2" t="s">
        <v>146</v>
      </c>
      <c r="U312" s="2">
        <f t="shared" si="8"/>
        <v>90.1</v>
      </c>
      <c r="V312" s="2">
        <f t="shared" si="9"/>
        <v>0</v>
      </c>
    </row>
    <row r="313" spans="1:22" ht="15" customHeight="1" x14ac:dyDescent="0.45">
      <c r="A313" s="2" t="s">
        <v>271</v>
      </c>
      <c r="B313" s="2" t="s">
        <v>270</v>
      </c>
      <c r="C313" s="2">
        <v>2019</v>
      </c>
      <c r="D313" s="2">
        <v>335.2</v>
      </c>
      <c r="E313" s="2">
        <v>148.4</v>
      </c>
      <c r="F313" s="2">
        <v>14.9</v>
      </c>
      <c r="G313" s="2">
        <v>83.3</v>
      </c>
      <c r="H313" s="2">
        <v>0</v>
      </c>
      <c r="I313" s="2">
        <v>19.3</v>
      </c>
      <c r="J313" s="2">
        <v>47.4</v>
      </c>
      <c r="K313" s="2">
        <v>0</v>
      </c>
      <c r="L313" s="2">
        <v>21.9</v>
      </c>
      <c r="M313" s="2">
        <v>0</v>
      </c>
      <c r="N313" s="2" t="s">
        <v>940</v>
      </c>
      <c r="O313" s="2">
        <v>2.2000000000000002</v>
      </c>
      <c r="P313" s="2" t="s">
        <v>49</v>
      </c>
      <c r="Q313" s="2" t="s">
        <v>146</v>
      </c>
      <c r="R313" s="2" t="s">
        <v>49</v>
      </c>
      <c r="S313" s="2" t="s">
        <v>146</v>
      </c>
      <c r="U313" s="2">
        <f t="shared" si="8"/>
        <v>335.2</v>
      </c>
      <c r="V313" s="2">
        <f t="shared" si="9"/>
        <v>2.2000000000000002</v>
      </c>
    </row>
    <row r="314" spans="1:22" ht="15" customHeight="1" x14ac:dyDescent="0.45">
      <c r="A314" s="2" t="s">
        <v>267</v>
      </c>
      <c r="B314" s="2" t="s">
        <v>269</v>
      </c>
      <c r="C314" s="2">
        <v>2019</v>
      </c>
      <c r="D314" s="2">
        <v>4.3470000000000004</v>
      </c>
      <c r="E314" s="2">
        <v>1.4379999999999999</v>
      </c>
      <c r="F314" s="2">
        <v>0.107</v>
      </c>
      <c r="G314" s="2">
        <v>7.6999999999999999E-2</v>
      </c>
      <c r="H314" s="2">
        <v>0</v>
      </c>
      <c r="I314" s="2">
        <v>2.278</v>
      </c>
      <c r="J314" s="2">
        <v>0.44600000000000001</v>
      </c>
      <c r="K314" s="2">
        <v>0</v>
      </c>
      <c r="L314" s="2">
        <v>0</v>
      </c>
      <c r="M314" s="2">
        <v>0</v>
      </c>
      <c r="N314" s="2" t="s">
        <v>49</v>
      </c>
      <c r="O314" s="2" t="s">
        <v>146</v>
      </c>
      <c r="P314" s="2" t="s">
        <v>49</v>
      </c>
      <c r="Q314" s="2" t="s">
        <v>146</v>
      </c>
      <c r="R314" s="2" t="s">
        <v>49</v>
      </c>
      <c r="S314" s="2" t="s">
        <v>146</v>
      </c>
      <c r="U314" s="2">
        <f t="shared" si="8"/>
        <v>4.3470000000000004</v>
      </c>
      <c r="V314" s="2">
        <f t="shared" si="9"/>
        <v>0</v>
      </c>
    </row>
    <row r="315" spans="1:22" ht="15" customHeight="1" x14ac:dyDescent="0.45">
      <c r="A315" s="2" t="s">
        <v>267</v>
      </c>
      <c r="B315" s="2" t="s">
        <v>268</v>
      </c>
      <c r="C315" s="2">
        <v>2019</v>
      </c>
      <c r="D315" s="2">
        <v>6.7720000000000002</v>
      </c>
      <c r="E315" s="2">
        <v>2.96</v>
      </c>
      <c r="F315" s="2">
        <v>0</v>
      </c>
      <c r="G315" s="2">
        <v>0</v>
      </c>
      <c r="H315" s="2">
        <v>0</v>
      </c>
      <c r="I315" s="2">
        <v>3.444</v>
      </c>
      <c r="J315" s="2">
        <v>0.36799999999999999</v>
      </c>
      <c r="K315" s="2">
        <v>0</v>
      </c>
      <c r="L315" s="2">
        <v>0</v>
      </c>
      <c r="M315" s="2">
        <v>0</v>
      </c>
      <c r="N315" s="2" t="s">
        <v>49</v>
      </c>
      <c r="O315" s="2" t="s">
        <v>146</v>
      </c>
      <c r="P315" s="2" t="s">
        <v>49</v>
      </c>
      <c r="Q315" s="2" t="s">
        <v>146</v>
      </c>
      <c r="R315" s="2" t="s">
        <v>49</v>
      </c>
      <c r="S315" s="2" t="s">
        <v>146</v>
      </c>
      <c r="U315" s="2">
        <f t="shared" si="8"/>
        <v>6.7720000000000002</v>
      </c>
      <c r="V315" s="2">
        <f t="shared" si="9"/>
        <v>0</v>
      </c>
    </row>
    <row r="316" spans="1:22" ht="15" customHeight="1" x14ac:dyDescent="0.45">
      <c r="A316" s="2" t="s">
        <v>267</v>
      </c>
      <c r="B316" s="2" t="s">
        <v>266</v>
      </c>
      <c r="C316" s="2">
        <v>2019</v>
      </c>
      <c r="D316" s="2">
        <v>304</v>
      </c>
      <c r="E316" s="2">
        <v>119.88</v>
      </c>
      <c r="F316" s="2">
        <v>17.12</v>
      </c>
      <c r="G316" s="2">
        <v>80.66</v>
      </c>
      <c r="H316" s="2">
        <v>0</v>
      </c>
      <c r="I316" s="2">
        <v>40.1</v>
      </c>
      <c r="J316" s="2">
        <v>42.87</v>
      </c>
      <c r="K316" s="2">
        <v>0</v>
      </c>
      <c r="L316" s="2">
        <v>3.45</v>
      </c>
      <c r="M316" s="2">
        <v>0</v>
      </c>
      <c r="N316" s="2" t="s">
        <v>49</v>
      </c>
      <c r="O316" s="2" t="s">
        <v>146</v>
      </c>
      <c r="P316" s="2" t="s">
        <v>49</v>
      </c>
      <c r="Q316" s="2" t="s">
        <v>146</v>
      </c>
      <c r="R316" s="2" t="s">
        <v>49</v>
      </c>
      <c r="S316" s="2" t="s">
        <v>146</v>
      </c>
      <c r="U316" s="2">
        <f t="shared" si="8"/>
        <v>304</v>
      </c>
      <c r="V316" s="2">
        <f t="shared" si="9"/>
        <v>0</v>
      </c>
    </row>
    <row r="317" spans="1:22" ht="15" customHeight="1" x14ac:dyDescent="0.45">
      <c r="A317" s="2" t="s">
        <v>263</v>
      </c>
      <c r="B317" s="2" t="s">
        <v>265</v>
      </c>
      <c r="C317" s="2">
        <v>2019</v>
      </c>
      <c r="D317" s="2">
        <v>2.1240000000000001</v>
      </c>
      <c r="E317" s="2">
        <v>1.3340000000000001</v>
      </c>
      <c r="F317" s="2">
        <v>0.28299999999999997</v>
      </c>
      <c r="G317" s="2">
        <v>0</v>
      </c>
      <c r="H317" s="2">
        <v>0</v>
      </c>
      <c r="I317" s="2">
        <v>0.45800000000000002</v>
      </c>
      <c r="J317" s="2">
        <v>4.8000000000000001E-2</v>
      </c>
      <c r="K317" s="2">
        <v>0</v>
      </c>
      <c r="L317" s="2">
        <v>0</v>
      </c>
      <c r="M317" s="2">
        <v>0</v>
      </c>
      <c r="N317" s="2" t="s">
        <v>49</v>
      </c>
      <c r="O317" s="2" t="s">
        <v>146</v>
      </c>
      <c r="P317" s="2" t="s">
        <v>49</v>
      </c>
      <c r="Q317" s="2" t="s">
        <v>146</v>
      </c>
      <c r="R317" s="2" t="s">
        <v>49</v>
      </c>
      <c r="S317" s="2" t="s">
        <v>146</v>
      </c>
      <c r="U317" s="2">
        <f t="shared" si="8"/>
        <v>2.1240000000000001</v>
      </c>
      <c r="V317" s="2">
        <f t="shared" si="9"/>
        <v>0</v>
      </c>
    </row>
    <row r="318" spans="1:22" ht="15" customHeight="1" x14ac:dyDescent="0.45">
      <c r="A318" s="2" t="s">
        <v>263</v>
      </c>
      <c r="B318" s="2" t="s">
        <v>264</v>
      </c>
      <c r="C318" s="2">
        <v>2019</v>
      </c>
      <c r="D318" s="2">
        <v>0.78800000000000003</v>
      </c>
      <c r="E318" s="2">
        <v>0</v>
      </c>
      <c r="F318" s="2">
        <v>0</v>
      </c>
      <c r="G318" s="2">
        <v>0</v>
      </c>
      <c r="H318" s="2">
        <v>0</v>
      </c>
      <c r="I318" s="2">
        <v>0.78800000000000003</v>
      </c>
      <c r="J318" s="2">
        <v>0</v>
      </c>
      <c r="K318" s="2">
        <v>0</v>
      </c>
      <c r="L318" s="2">
        <v>0</v>
      </c>
      <c r="M318" s="2">
        <v>0</v>
      </c>
      <c r="N318" s="2" t="s">
        <v>49</v>
      </c>
      <c r="O318" s="2" t="s">
        <v>146</v>
      </c>
      <c r="P318" s="2" t="s">
        <v>49</v>
      </c>
      <c r="Q318" s="2" t="s">
        <v>146</v>
      </c>
      <c r="R318" s="2" t="s">
        <v>49</v>
      </c>
      <c r="S318" s="2" t="s">
        <v>146</v>
      </c>
      <c r="U318" s="2">
        <f t="shared" si="8"/>
        <v>0.78800000000000003</v>
      </c>
      <c r="V318" s="2">
        <f t="shared" si="9"/>
        <v>0</v>
      </c>
    </row>
    <row r="319" spans="1:22" ht="15" customHeight="1" x14ac:dyDescent="0.45">
      <c r="A319" s="2" t="s">
        <v>263</v>
      </c>
      <c r="B319" s="2" t="s">
        <v>262</v>
      </c>
      <c r="C319" s="2">
        <v>2019</v>
      </c>
      <c r="D319" s="2">
        <v>47.084000000000003</v>
      </c>
      <c r="E319" s="2">
        <v>22.327000000000002</v>
      </c>
      <c r="F319" s="2">
        <v>1.998</v>
      </c>
      <c r="G319" s="2">
        <v>3.72</v>
      </c>
      <c r="H319" s="2">
        <v>0</v>
      </c>
      <c r="I319" s="2">
        <v>9.2530000000000001</v>
      </c>
      <c r="J319" s="2">
        <v>9.5229999999999997</v>
      </c>
      <c r="K319" s="2">
        <v>0.26306600000000002</v>
      </c>
      <c r="L319" s="2">
        <v>0</v>
      </c>
      <c r="M319" s="2">
        <v>0</v>
      </c>
      <c r="N319" s="2" t="s">
        <v>49</v>
      </c>
      <c r="O319" s="2" t="s">
        <v>146</v>
      </c>
      <c r="P319" s="2" t="s">
        <v>49</v>
      </c>
      <c r="Q319" s="2" t="s">
        <v>146</v>
      </c>
      <c r="R319" s="2" t="s">
        <v>49</v>
      </c>
      <c r="S319" s="2" t="s">
        <v>146</v>
      </c>
      <c r="U319" s="2">
        <f t="shared" si="8"/>
        <v>47.084000000000003</v>
      </c>
      <c r="V319" s="2">
        <f t="shared" si="9"/>
        <v>0</v>
      </c>
    </row>
    <row r="320" spans="1:22" ht="15" customHeight="1" x14ac:dyDescent="0.45">
      <c r="A320" s="2" t="s">
        <v>258</v>
      </c>
      <c r="B320" s="2" t="s">
        <v>261</v>
      </c>
      <c r="C320" s="2">
        <v>2019</v>
      </c>
      <c r="D320" s="2">
        <v>7.46</v>
      </c>
      <c r="E320" s="2">
        <v>1.77</v>
      </c>
      <c r="F320" s="2">
        <v>1.34</v>
      </c>
      <c r="G320" s="2">
        <v>0.14099999999999999</v>
      </c>
      <c r="H320" s="2">
        <v>0</v>
      </c>
      <c r="I320" s="2">
        <v>2.23</v>
      </c>
      <c r="J320" s="2">
        <v>1.8</v>
      </c>
      <c r="K320" s="2">
        <v>0</v>
      </c>
      <c r="L320" s="2">
        <v>0.18</v>
      </c>
      <c r="M320" s="2">
        <v>0</v>
      </c>
      <c r="N320" s="2" t="s">
        <v>49</v>
      </c>
      <c r="O320" s="2" t="s">
        <v>146</v>
      </c>
      <c r="P320" s="2" t="s">
        <v>49</v>
      </c>
      <c r="Q320" s="2" t="s">
        <v>146</v>
      </c>
      <c r="R320" s="2" t="s">
        <v>49</v>
      </c>
      <c r="S320" s="2" t="s">
        <v>146</v>
      </c>
      <c r="U320" s="2">
        <f t="shared" si="8"/>
        <v>7.46</v>
      </c>
      <c r="V320" s="2">
        <f t="shared" si="9"/>
        <v>0</v>
      </c>
    </row>
    <row r="321" spans="1:22" ht="15" customHeight="1" x14ac:dyDescent="0.45">
      <c r="A321" s="2" t="s">
        <v>258</v>
      </c>
      <c r="B321" s="2" t="s">
        <v>260</v>
      </c>
      <c r="C321" s="2">
        <v>2019</v>
      </c>
      <c r="D321" s="2">
        <v>7.38</v>
      </c>
      <c r="E321" s="2">
        <v>0.94</v>
      </c>
      <c r="F321" s="2">
        <v>1.26</v>
      </c>
      <c r="G321" s="2">
        <v>0</v>
      </c>
      <c r="H321" s="2">
        <v>0</v>
      </c>
      <c r="I321" s="2">
        <v>2.79</v>
      </c>
      <c r="J321" s="2">
        <v>2.39</v>
      </c>
      <c r="K321" s="2">
        <v>0</v>
      </c>
      <c r="L321" s="2">
        <v>0</v>
      </c>
      <c r="M321" s="2">
        <v>0</v>
      </c>
      <c r="N321" s="2" t="s">
        <v>49</v>
      </c>
      <c r="O321" s="2" t="s">
        <v>146</v>
      </c>
      <c r="P321" s="2" t="s">
        <v>49</v>
      </c>
      <c r="Q321" s="2" t="s">
        <v>146</v>
      </c>
      <c r="R321" s="2" t="s">
        <v>49</v>
      </c>
      <c r="S321" s="2" t="s">
        <v>146</v>
      </c>
      <c r="U321" s="2">
        <f t="shared" si="8"/>
        <v>7.38</v>
      </c>
      <c r="V321" s="2">
        <f t="shared" si="9"/>
        <v>0</v>
      </c>
    </row>
    <row r="322" spans="1:22" ht="15" customHeight="1" x14ac:dyDescent="0.45">
      <c r="A322" s="2" t="s">
        <v>258</v>
      </c>
      <c r="B322" s="2" t="s">
        <v>259</v>
      </c>
      <c r="C322" s="2">
        <v>2019</v>
      </c>
      <c r="D322" s="2">
        <v>7.92</v>
      </c>
      <c r="E322" s="2">
        <v>1.1399999999999999</v>
      </c>
      <c r="F322" s="2">
        <v>1.77</v>
      </c>
      <c r="G322" s="2">
        <v>0.23</v>
      </c>
      <c r="H322" s="2">
        <v>0</v>
      </c>
      <c r="I322" s="2">
        <v>3.51</v>
      </c>
      <c r="J322" s="2">
        <v>0.69</v>
      </c>
      <c r="K322" s="2">
        <v>0</v>
      </c>
      <c r="L322" s="2">
        <v>0.57999999999999996</v>
      </c>
      <c r="M322" s="2">
        <v>0</v>
      </c>
      <c r="N322" s="2" t="s">
        <v>49</v>
      </c>
      <c r="O322" s="2" t="s">
        <v>146</v>
      </c>
      <c r="P322" s="2" t="s">
        <v>49</v>
      </c>
      <c r="Q322" s="2" t="s">
        <v>146</v>
      </c>
      <c r="R322" s="2" t="s">
        <v>49</v>
      </c>
      <c r="S322" s="2" t="s">
        <v>146</v>
      </c>
      <c r="U322" s="2">
        <f t="shared" si="8"/>
        <v>7.92</v>
      </c>
      <c r="V322" s="2">
        <f t="shared" si="9"/>
        <v>0</v>
      </c>
    </row>
    <row r="323" spans="1:22" ht="15" customHeight="1" x14ac:dyDescent="0.45">
      <c r="A323" s="2" t="s">
        <v>258</v>
      </c>
      <c r="B323" s="2" t="s">
        <v>257</v>
      </c>
      <c r="C323" s="2">
        <v>2019</v>
      </c>
      <c r="D323" s="2">
        <v>873.8</v>
      </c>
      <c r="E323" s="2">
        <v>378.1</v>
      </c>
      <c r="F323" s="2">
        <v>102.5</v>
      </c>
      <c r="G323" s="2">
        <v>34.6</v>
      </c>
      <c r="H323" s="2" t="s">
        <v>146</v>
      </c>
      <c r="I323" s="2">
        <v>141.4</v>
      </c>
      <c r="J323" s="2">
        <v>157.9</v>
      </c>
      <c r="K323" s="2">
        <v>22.3</v>
      </c>
      <c r="L323" s="2">
        <v>35.1</v>
      </c>
      <c r="M323" s="2" t="s">
        <v>146</v>
      </c>
      <c r="N323" s="2" t="s">
        <v>49</v>
      </c>
      <c r="O323" s="2" t="s">
        <v>146</v>
      </c>
      <c r="P323" s="2" t="s">
        <v>49</v>
      </c>
      <c r="Q323" s="2" t="s">
        <v>146</v>
      </c>
      <c r="R323" s="2" t="s">
        <v>49</v>
      </c>
      <c r="S323" s="2" t="s">
        <v>146</v>
      </c>
      <c r="U323" s="2">
        <f t="shared" ref="U323:U386" si="10">IFERROR(D323/1,0)</f>
        <v>873.8</v>
      </c>
      <c r="V323" s="2">
        <f t="shared" ref="V323:V386" si="11">IFERROR(O323/1,0)+IFERROR(Q323/1,0)+IFERROR(S323/1,0)</f>
        <v>0</v>
      </c>
    </row>
    <row r="324" spans="1:22" ht="15" customHeight="1" x14ac:dyDescent="0.45">
      <c r="A324" s="2" t="s">
        <v>255</v>
      </c>
      <c r="B324" s="2" t="s">
        <v>256</v>
      </c>
      <c r="C324" s="2">
        <v>2019</v>
      </c>
      <c r="D324" s="2">
        <v>21.449000000000002</v>
      </c>
      <c r="E324" s="2">
        <v>9.7100000000000009</v>
      </c>
      <c r="F324" s="2">
        <v>2.8780000000000001</v>
      </c>
      <c r="G324" s="2">
        <v>3.4830000000000001</v>
      </c>
      <c r="H324" s="2" t="s">
        <v>146</v>
      </c>
      <c r="I324" s="2">
        <v>3.6440000000000001</v>
      </c>
      <c r="J324" s="2">
        <v>1.7330000000000001</v>
      </c>
      <c r="K324" s="2" t="s">
        <v>146</v>
      </c>
      <c r="L324" s="2" t="s">
        <v>1051</v>
      </c>
      <c r="M324" s="2">
        <v>3.6560000000000001</v>
      </c>
      <c r="N324" s="2" t="s">
        <v>49</v>
      </c>
      <c r="O324" s="2" t="s">
        <v>146</v>
      </c>
      <c r="P324" s="2" t="s">
        <v>49</v>
      </c>
      <c r="Q324" s="2" t="s">
        <v>146</v>
      </c>
      <c r="R324" s="2" t="s">
        <v>49</v>
      </c>
      <c r="S324" s="2" t="s">
        <v>146</v>
      </c>
      <c r="U324" s="2">
        <f t="shared" si="10"/>
        <v>21.449000000000002</v>
      </c>
      <c r="V324" s="2">
        <f t="shared" si="11"/>
        <v>0</v>
      </c>
    </row>
    <row r="325" spans="1:22" ht="15" customHeight="1" x14ac:dyDescent="0.45">
      <c r="A325" s="2" t="s">
        <v>255</v>
      </c>
      <c r="B325" s="2" t="s">
        <v>254</v>
      </c>
      <c r="C325" s="2">
        <v>2019</v>
      </c>
      <c r="D325" s="2">
        <v>28.105</v>
      </c>
      <c r="E325" s="2">
        <v>12.84</v>
      </c>
      <c r="F325" s="2">
        <v>6.04</v>
      </c>
      <c r="G325" s="2">
        <v>5.915</v>
      </c>
      <c r="H325" s="2" t="s">
        <v>146</v>
      </c>
      <c r="I325" s="2">
        <v>1.8620000000000001</v>
      </c>
      <c r="J325" s="2">
        <v>1.4470000000000001</v>
      </c>
      <c r="K325" s="2" t="s">
        <v>146</v>
      </c>
      <c r="L325" s="2" t="s">
        <v>1051</v>
      </c>
      <c r="M325" s="2">
        <v>5.798</v>
      </c>
      <c r="N325" s="2" t="s">
        <v>49</v>
      </c>
      <c r="O325" s="2" t="s">
        <v>146</v>
      </c>
      <c r="P325" s="2" t="s">
        <v>49</v>
      </c>
      <c r="Q325" s="2" t="s">
        <v>146</v>
      </c>
      <c r="R325" s="2" t="s">
        <v>49</v>
      </c>
      <c r="S325" s="2" t="s">
        <v>146</v>
      </c>
      <c r="U325" s="2">
        <f t="shared" si="10"/>
        <v>28.105</v>
      </c>
      <c r="V325" s="2">
        <f t="shared" si="11"/>
        <v>0</v>
      </c>
    </row>
    <row r="326" spans="1:22" ht="15" customHeight="1" x14ac:dyDescent="0.45">
      <c r="A326" s="2" t="s">
        <v>253</v>
      </c>
      <c r="B326" s="2" t="s">
        <v>252</v>
      </c>
      <c r="C326" s="2">
        <v>2019</v>
      </c>
      <c r="D326" s="2">
        <v>34.17</v>
      </c>
      <c r="E326" s="2">
        <v>9.4700000000000006</v>
      </c>
      <c r="F326" s="2">
        <v>4.42</v>
      </c>
      <c r="G326" s="2">
        <v>4.53</v>
      </c>
      <c r="H326" s="2" t="s">
        <v>146</v>
      </c>
      <c r="I326" s="2">
        <v>10.14</v>
      </c>
      <c r="J326" s="2">
        <v>5.61</v>
      </c>
      <c r="K326" s="2" t="s">
        <v>146</v>
      </c>
      <c r="L326" s="2" t="s">
        <v>146</v>
      </c>
      <c r="M326" s="2" t="s">
        <v>146</v>
      </c>
      <c r="N326" s="2" t="s">
        <v>49</v>
      </c>
      <c r="O326" s="2" t="s">
        <v>146</v>
      </c>
      <c r="P326" s="2" t="s">
        <v>49</v>
      </c>
      <c r="Q326" s="2" t="s">
        <v>146</v>
      </c>
      <c r="R326" s="2" t="s">
        <v>49</v>
      </c>
      <c r="S326" s="2" t="s">
        <v>146</v>
      </c>
      <c r="U326" s="2">
        <f t="shared" si="10"/>
        <v>34.17</v>
      </c>
      <c r="V326" s="2">
        <f t="shared" si="11"/>
        <v>0</v>
      </c>
    </row>
    <row r="327" spans="1:22" ht="15" customHeight="1" x14ac:dyDescent="0.45">
      <c r="A327" s="2" t="s">
        <v>249</v>
      </c>
      <c r="B327" s="2" t="s">
        <v>251</v>
      </c>
      <c r="C327" s="2">
        <v>2019</v>
      </c>
      <c r="D327" s="2">
        <v>5.91</v>
      </c>
      <c r="E327" s="2" t="s">
        <v>146</v>
      </c>
      <c r="F327" s="2" t="s">
        <v>146</v>
      </c>
      <c r="G327" s="2" t="s">
        <v>146</v>
      </c>
      <c r="H327" s="2" t="s">
        <v>146</v>
      </c>
      <c r="I327" s="2" t="s">
        <v>146</v>
      </c>
      <c r="J327" s="2" t="s">
        <v>146</v>
      </c>
      <c r="K327" s="2" t="s">
        <v>146</v>
      </c>
      <c r="L327" s="2" t="s">
        <v>146</v>
      </c>
      <c r="M327" s="2" t="s">
        <v>146</v>
      </c>
      <c r="N327" s="2" t="s">
        <v>49</v>
      </c>
      <c r="O327" s="2" t="s">
        <v>146</v>
      </c>
      <c r="P327" s="2" t="s">
        <v>49</v>
      </c>
      <c r="Q327" s="2" t="s">
        <v>146</v>
      </c>
      <c r="R327" s="2" t="s">
        <v>49</v>
      </c>
      <c r="S327" s="2" t="s">
        <v>146</v>
      </c>
      <c r="U327" s="2">
        <f t="shared" si="10"/>
        <v>5.91</v>
      </c>
      <c r="V327" s="2">
        <f t="shared" si="11"/>
        <v>0</v>
      </c>
    </row>
    <row r="328" spans="1:22" ht="15" customHeight="1" x14ac:dyDescent="0.45">
      <c r="A328" s="2" t="s">
        <v>249</v>
      </c>
      <c r="B328" s="2" t="s">
        <v>250</v>
      </c>
      <c r="C328" s="2">
        <v>2019</v>
      </c>
      <c r="D328" s="2">
        <v>149</v>
      </c>
      <c r="E328" s="2" t="s">
        <v>146</v>
      </c>
      <c r="F328" s="2" t="s">
        <v>146</v>
      </c>
      <c r="G328" s="2" t="s">
        <v>146</v>
      </c>
      <c r="H328" s="2" t="s">
        <v>146</v>
      </c>
      <c r="I328" s="2" t="s">
        <v>146</v>
      </c>
      <c r="J328" s="2" t="s">
        <v>146</v>
      </c>
      <c r="K328" s="2" t="s">
        <v>146</v>
      </c>
      <c r="L328" s="2" t="s">
        <v>146</v>
      </c>
      <c r="M328" s="2" t="s">
        <v>146</v>
      </c>
      <c r="N328" s="2" t="s">
        <v>49</v>
      </c>
      <c r="O328" s="2" t="s">
        <v>146</v>
      </c>
      <c r="P328" s="2" t="s">
        <v>49</v>
      </c>
      <c r="Q328" s="2" t="s">
        <v>146</v>
      </c>
      <c r="R328" s="2" t="s">
        <v>49</v>
      </c>
      <c r="S328" s="2" t="s">
        <v>146</v>
      </c>
      <c r="U328" s="2">
        <f t="shared" si="10"/>
        <v>149</v>
      </c>
      <c r="V328" s="2">
        <f t="shared" si="11"/>
        <v>0</v>
      </c>
    </row>
    <row r="329" spans="1:22" ht="15" customHeight="1" x14ac:dyDescent="0.45">
      <c r="A329" s="2" t="s">
        <v>249</v>
      </c>
      <c r="B329" s="2" t="s">
        <v>248</v>
      </c>
      <c r="C329" s="2">
        <v>2019</v>
      </c>
      <c r="D329" s="2">
        <v>3.847</v>
      </c>
      <c r="E329" s="2" t="s">
        <v>146</v>
      </c>
      <c r="F329" s="2" t="s">
        <v>146</v>
      </c>
      <c r="G329" s="2" t="s">
        <v>146</v>
      </c>
      <c r="H329" s="2" t="s">
        <v>146</v>
      </c>
      <c r="I329" s="2" t="s">
        <v>146</v>
      </c>
      <c r="J329" s="2" t="s">
        <v>146</v>
      </c>
      <c r="K329" s="2" t="s">
        <v>146</v>
      </c>
      <c r="L329" s="2" t="s">
        <v>146</v>
      </c>
      <c r="M329" s="2" t="s">
        <v>146</v>
      </c>
      <c r="N329" s="2" t="s">
        <v>49</v>
      </c>
      <c r="O329" s="2" t="s">
        <v>146</v>
      </c>
      <c r="P329" s="2" t="s">
        <v>49</v>
      </c>
      <c r="Q329" s="2" t="s">
        <v>146</v>
      </c>
      <c r="R329" s="2" t="s">
        <v>49</v>
      </c>
      <c r="S329" s="2" t="s">
        <v>146</v>
      </c>
      <c r="U329" s="2">
        <f t="shared" si="10"/>
        <v>3.847</v>
      </c>
      <c r="V329" s="2">
        <f t="shared" si="11"/>
        <v>0</v>
      </c>
    </row>
    <row r="330" spans="1:22" ht="15" customHeight="1" x14ac:dyDescent="0.45">
      <c r="A330" s="2" t="s">
        <v>243</v>
      </c>
      <c r="B330" s="2" t="s">
        <v>247</v>
      </c>
      <c r="C330" s="2">
        <v>2019</v>
      </c>
      <c r="D330" s="2">
        <v>17.913</v>
      </c>
      <c r="E330" s="2">
        <v>8.5609999999999999</v>
      </c>
      <c r="F330" s="2">
        <v>1.831</v>
      </c>
      <c r="G330" s="2" t="s">
        <v>146</v>
      </c>
      <c r="H330" s="2" t="s">
        <v>146</v>
      </c>
      <c r="I330" s="2">
        <v>1.784</v>
      </c>
      <c r="J330" s="2">
        <v>1.292</v>
      </c>
      <c r="K330" s="2" t="s">
        <v>146</v>
      </c>
      <c r="L330" s="2" t="s">
        <v>146</v>
      </c>
      <c r="M330" s="2">
        <v>4.4450000000000003</v>
      </c>
      <c r="N330" s="2" t="s">
        <v>49</v>
      </c>
      <c r="O330" s="2" t="s">
        <v>146</v>
      </c>
      <c r="P330" s="2" t="s">
        <v>49</v>
      </c>
      <c r="Q330" s="2" t="s">
        <v>146</v>
      </c>
      <c r="R330" s="2" t="s">
        <v>49</v>
      </c>
      <c r="S330" s="2" t="s">
        <v>146</v>
      </c>
      <c r="U330" s="2">
        <f t="shared" si="10"/>
        <v>17.913</v>
      </c>
      <c r="V330" s="2">
        <f t="shared" si="11"/>
        <v>0</v>
      </c>
    </row>
    <row r="331" spans="1:22" ht="15" customHeight="1" x14ac:dyDescent="0.45">
      <c r="A331" s="2" t="s">
        <v>243</v>
      </c>
      <c r="B331" s="2" t="s">
        <v>246</v>
      </c>
      <c r="C331" s="2">
        <v>2019</v>
      </c>
      <c r="D331" s="2">
        <v>31.899000000000001</v>
      </c>
      <c r="E331" s="2">
        <v>12.992000000000001</v>
      </c>
      <c r="F331" s="2">
        <v>5.1689999999999996</v>
      </c>
      <c r="G331" s="2">
        <v>7.8570000000000002</v>
      </c>
      <c r="H331" s="2">
        <v>0.41199999999999998</v>
      </c>
      <c r="I331" s="2">
        <v>3.7519999999999998</v>
      </c>
      <c r="J331" s="2">
        <v>2.129</v>
      </c>
      <c r="K331" s="2" t="s">
        <v>146</v>
      </c>
      <c r="L331" s="2" t="s">
        <v>146</v>
      </c>
      <c r="M331" s="2" t="s">
        <v>146</v>
      </c>
      <c r="N331" s="2" t="s">
        <v>49</v>
      </c>
      <c r="O331" s="2" t="s">
        <v>146</v>
      </c>
      <c r="P331" s="2" t="s">
        <v>49</v>
      </c>
      <c r="Q331" s="2" t="s">
        <v>146</v>
      </c>
      <c r="R331" s="2" t="s">
        <v>49</v>
      </c>
      <c r="S331" s="2" t="s">
        <v>146</v>
      </c>
      <c r="U331" s="2">
        <f t="shared" si="10"/>
        <v>31.899000000000001</v>
      </c>
      <c r="V331" s="2">
        <f t="shared" si="11"/>
        <v>0</v>
      </c>
    </row>
    <row r="332" spans="1:22" ht="15" customHeight="1" x14ac:dyDescent="0.45">
      <c r="A332" s="2" t="s">
        <v>243</v>
      </c>
      <c r="B332" s="2" t="s">
        <v>245</v>
      </c>
      <c r="C332" s="2">
        <v>2019</v>
      </c>
      <c r="D332" s="2">
        <v>90.472999999999999</v>
      </c>
      <c r="E332" s="2">
        <v>21.123999999999999</v>
      </c>
      <c r="F332" s="2">
        <v>8.1470000000000002</v>
      </c>
      <c r="G332" s="2" t="s">
        <v>146</v>
      </c>
      <c r="H332" s="2" t="s">
        <v>146</v>
      </c>
      <c r="I332" s="2">
        <v>20.9</v>
      </c>
      <c r="J332" s="2">
        <v>19.151</v>
      </c>
      <c r="K332" s="2" t="s">
        <v>146</v>
      </c>
      <c r="L332" s="2" t="s">
        <v>146</v>
      </c>
      <c r="M332" s="2">
        <v>21.15</v>
      </c>
      <c r="N332" s="2" t="s">
        <v>49</v>
      </c>
      <c r="O332" s="2" t="s">
        <v>146</v>
      </c>
      <c r="P332" s="2" t="s">
        <v>49</v>
      </c>
      <c r="Q332" s="2" t="s">
        <v>146</v>
      </c>
      <c r="R332" s="2" t="s">
        <v>49</v>
      </c>
      <c r="S332" s="2" t="s">
        <v>146</v>
      </c>
      <c r="U332" s="2">
        <f t="shared" si="10"/>
        <v>90.472999999999999</v>
      </c>
      <c r="V332" s="2">
        <f t="shared" si="11"/>
        <v>0</v>
      </c>
    </row>
    <row r="333" spans="1:22" ht="15" customHeight="1" x14ac:dyDescent="0.45">
      <c r="A333" s="2" t="s">
        <v>243</v>
      </c>
      <c r="B333" s="2" t="s">
        <v>244</v>
      </c>
      <c r="C333" s="2">
        <v>2019</v>
      </c>
      <c r="D333" s="2">
        <v>2.4460000000000002</v>
      </c>
      <c r="E333" s="2">
        <v>2.266</v>
      </c>
      <c r="F333" s="2" t="s">
        <v>146</v>
      </c>
      <c r="G333" s="2">
        <v>4.2000000000000003E-2</v>
      </c>
      <c r="H333" s="2" t="s">
        <v>146</v>
      </c>
      <c r="I333" s="2">
        <v>0.13800000000000001</v>
      </c>
      <c r="J333" s="2" t="s">
        <v>146</v>
      </c>
      <c r="K333" s="2" t="s">
        <v>146</v>
      </c>
      <c r="L333" s="2" t="s">
        <v>146</v>
      </c>
      <c r="M333" s="2" t="s">
        <v>146</v>
      </c>
      <c r="N333" s="2" t="s">
        <v>49</v>
      </c>
      <c r="O333" s="2" t="s">
        <v>146</v>
      </c>
      <c r="P333" s="2" t="s">
        <v>49</v>
      </c>
      <c r="Q333" s="2" t="s">
        <v>146</v>
      </c>
      <c r="R333" s="2" t="s">
        <v>49</v>
      </c>
      <c r="S333" s="2" t="s">
        <v>146</v>
      </c>
      <c r="U333" s="2">
        <f t="shared" si="10"/>
        <v>2.4460000000000002</v>
      </c>
      <c r="V333" s="2">
        <f t="shared" si="11"/>
        <v>0</v>
      </c>
    </row>
    <row r="334" spans="1:22" ht="15" customHeight="1" x14ac:dyDescent="0.45">
      <c r="A334" s="2" t="s">
        <v>243</v>
      </c>
      <c r="B334" s="2" t="s">
        <v>133</v>
      </c>
      <c r="C334" s="2">
        <v>2019</v>
      </c>
      <c r="D334" s="2">
        <v>14.295999999999999</v>
      </c>
      <c r="E334" s="2">
        <v>9.6530000000000005</v>
      </c>
      <c r="F334" s="2">
        <v>2.6019999999999999</v>
      </c>
      <c r="G334" s="2">
        <v>0.72799999999999998</v>
      </c>
      <c r="H334" s="2" t="s">
        <v>146</v>
      </c>
      <c r="I334" s="2">
        <v>1.077</v>
      </c>
      <c r="J334" s="2">
        <v>0.14099999999999999</v>
      </c>
      <c r="K334" s="2" t="s">
        <v>146</v>
      </c>
      <c r="L334" s="2">
        <v>9.4E-2</v>
      </c>
      <c r="M334" s="2" t="s">
        <v>146</v>
      </c>
      <c r="N334" s="2" t="s">
        <v>49</v>
      </c>
      <c r="O334" s="2" t="s">
        <v>146</v>
      </c>
      <c r="P334" s="2" t="s">
        <v>49</v>
      </c>
      <c r="Q334" s="2" t="s">
        <v>146</v>
      </c>
      <c r="R334" s="2" t="s">
        <v>49</v>
      </c>
      <c r="S334" s="2" t="s">
        <v>146</v>
      </c>
      <c r="U334" s="2">
        <f t="shared" si="10"/>
        <v>14.295999999999999</v>
      </c>
      <c r="V334" s="2">
        <f t="shared" si="11"/>
        <v>0</v>
      </c>
    </row>
    <row r="335" spans="1:22" ht="15" customHeight="1" x14ac:dyDescent="0.45">
      <c r="A335" s="2" t="s">
        <v>232</v>
      </c>
      <c r="B335" s="2" t="s">
        <v>242</v>
      </c>
      <c r="C335" s="2">
        <v>2019</v>
      </c>
      <c r="D335" s="2">
        <v>19.093</v>
      </c>
      <c r="E335" s="2">
        <v>11.670999999999999</v>
      </c>
      <c r="F335" s="2">
        <v>0.16300000000000001</v>
      </c>
      <c r="G335" s="2">
        <v>1.022</v>
      </c>
      <c r="H335" s="2" t="s">
        <v>146</v>
      </c>
      <c r="I335" s="2">
        <v>4.194</v>
      </c>
      <c r="J335" s="2">
        <v>2.0430000000000001</v>
      </c>
      <c r="K335" s="2">
        <v>0</v>
      </c>
      <c r="L335" s="2" t="s">
        <v>146</v>
      </c>
      <c r="M335" s="2" t="s">
        <v>146</v>
      </c>
      <c r="N335" s="2" t="s">
        <v>49</v>
      </c>
      <c r="O335" s="2" t="s">
        <v>146</v>
      </c>
      <c r="P335" s="2" t="s">
        <v>49</v>
      </c>
      <c r="Q335" s="2" t="s">
        <v>146</v>
      </c>
      <c r="R335" s="2" t="s">
        <v>49</v>
      </c>
      <c r="S335" s="2" t="s">
        <v>146</v>
      </c>
      <c r="U335" s="2">
        <f t="shared" si="10"/>
        <v>19.093</v>
      </c>
      <c r="V335" s="2">
        <f t="shared" si="11"/>
        <v>0</v>
      </c>
    </row>
    <row r="336" spans="1:22" ht="15" customHeight="1" x14ac:dyDescent="0.45">
      <c r="A336" s="2" t="s">
        <v>232</v>
      </c>
      <c r="B336" s="2" t="s">
        <v>241</v>
      </c>
      <c r="C336" s="2">
        <v>2019</v>
      </c>
      <c r="D336" s="2">
        <v>452.48099999999999</v>
      </c>
      <c r="E336" s="2">
        <v>291.60599999999999</v>
      </c>
      <c r="F336" s="2">
        <v>5.8319999999999999</v>
      </c>
      <c r="G336" s="2">
        <v>21.968</v>
      </c>
      <c r="H336" s="2" t="s">
        <v>146</v>
      </c>
      <c r="I336" s="2">
        <v>26.632999999999999</v>
      </c>
      <c r="J336" s="2">
        <v>105.575</v>
      </c>
      <c r="K336" s="2">
        <v>0.878</v>
      </c>
      <c r="L336" s="2" t="s">
        <v>146</v>
      </c>
      <c r="M336" s="2" t="s">
        <v>146</v>
      </c>
      <c r="N336" s="2" t="s">
        <v>49</v>
      </c>
      <c r="O336" s="2" t="s">
        <v>146</v>
      </c>
      <c r="P336" s="2" t="s">
        <v>49</v>
      </c>
      <c r="Q336" s="2" t="s">
        <v>146</v>
      </c>
      <c r="R336" s="2" t="s">
        <v>49</v>
      </c>
      <c r="S336" s="2" t="s">
        <v>146</v>
      </c>
      <c r="U336" s="2">
        <f t="shared" si="10"/>
        <v>452.48099999999999</v>
      </c>
      <c r="V336" s="2">
        <f t="shared" si="11"/>
        <v>0</v>
      </c>
    </row>
    <row r="337" spans="1:22" ht="15" customHeight="1" x14ac:dyDescent="0.45">
      <c r="A337" s="2" t="s">
        <v>232</v>
      </c>
      <c r="B337" s="2" t="s">
        <v>240</v>
      </c>
      <c r="C337" s="2">
        <v>2019</v>
      </c>
      <c r="D337" s="2">
        <v>65.201999999999998</v>
      </c>
      <c r="E337" s="2">
        <v>47.792999999999999</v>
      </c>
      <c r="F337" s="2">
        <v>2.081</v>
      </c>
      <c r="G337" s="2">
        <v>0.59299999999999997</v>
      </c>
      <c r="H337" s="2" t="s">
        <v>146</v>
      </c>
      <c r="I337" s="2">
        <v>4.7910000000000004</v>
      </c>
      <c r="J337" s="2">
        <v>9.8320000000000007</v>
      </c>
      <c r="K337" s="2">
        <v>0.11</v>
      </c>
      <c r="L337" s="2" t="s">
        <v>146</v>
      </c>
      <c r="M337" s="2" t="s">
        <v>146</v>
      </c>
      <c r="N337" s="2" t="s">
        <v>49</v>
      </c>
      <c r="O337" s="2" t="s">
        <v>146</v>
      </c>
      <c r="P337" s="2" t="s">
        <v>49</v>
      </c>
      <c r="Q337" s="2" t="s">
        <v>146</v>
      </c>
      <c r="R337" s="2" t="s">
        <v>49</v>
      </c>
      <c r="S337" s="2" t="s">
        <v>146</v>
      </c>
      <c r="U337" s="2">
        <f t="shared" si="10"/>
        <v>65.201999999999998</v>
      </c>
      <c r="V337" s="2">
        <f t="shared" si="11"/>
        <v>0</v>
      </c>
    </row>
    <row r="338" spans="1:22" ht="15" customHeight="1" x14ac:dyDescent="0.45">
      <c r="A338" s="2" t="s">
        <v>232</v>
      </c>
      <c r="B338" s="2" t="s">
        <v>239</v>
      </c>
      <c r="C338" s="2">
        <v>2019</v>
      </c>
      <c r="D338" s="2">
        <v>52.908999999999999</v>
      </c>
      <c r="E338" s="2">
        <v>24.422000000000001</v>
      </c>
      <c r="F338" s="2">
        <v>12.038</v>
      </c>
      <c r="G338" s="2">
        <v>0.873</v>
      </c>
      <c r="H338" s="2" t="s">
        <v>146</v>
      </c>
      <c r="I338" s="2">
        <v>4.1440000000000001</v>
      </c>
      <c r="J338" s="2">
        <v>5.6420000000000003</v>
      </c>
      <c r="K338" s="2">
        <v>7.5999999999999998E-2</v>
      </c>
      <c r="L338" s="2" t="s">
        <v>146</v>
      </c>
      <c r="M338" s="2" t="s">
        <v>146</v>
      </c>
      <c r="N338" s="2" t="s">
        <v>764</v>
      </c>
      <c r="O338" s="2">
        <v>5.7160000000000002</v>
      </c>
      <c r="P338" s="2" t="s">
        <v>49</v>
      </c>
      <c r="Q338" s="2" t="s">
        <v>146</v>
      </c>
      <c r="R338" s="2" t="s">
        <v>49</v>
      </c>
      <c r="S338" s="2" t="s">
        <v>146</v>
      </c>
      <c r="U338" s="2">
        <f t="shared" si="10"/>
        <v>52.908999999999999</v>
      </c>
      <c r="V338" s="329">
        <v>0</v>
      </c>
    </row>
    <row r="339" spans="1:22" ht="15" customHeight="1" x14ac:dyDescent="0.45">
      <c r="A339" s="2" t="s">
        <v>232</v>
      </c>
      <c r="B339" s="2" t="s">
        <v>238</v>
      </c>
      <c r="C339" s="2">
        <v>2019</v>
      </c>
      <c r="D339" s="2">
        <v>143.173</v>
      </c>
      <c r="E339" s="2">
        <v>82.111999999999995</v>
      </c>
      <c r="F339" s="2">
        <v>4.2709999999999999</v>
      </c>
      <c r="G339" s="2">
        <v>10.34</v>
      </c>
      <c r="H339" s="2" t="s">
        <v>146</v>
      </c>
      <c r="I339" s="2">
        <v>20.091000000000001</v>
      </c>
      <c r="J339" s="2">
        <v>25.44</v>
      </c>
      <c r="K339" s="2">
        <v>0.91800000000000004</v>
      </c>
      <c r="L339" s="2" t="s">
        <v>146</v>
      </c>
      <c r="M339" s="2" t="s">
        <v>146</v>
      </c>
      <c r="N339" s="2" t="s">
        <v>49</v>
      </c>
      <c r="O339" s="2" t="s">
        <v>146</v>
      </c>
      <c r="P339" s="2" t="s">
        <v>49</v>
      </c>
      <c r="Q339" s="2" t="s">
        <v>146</v>
      </c>
      <c r="R339" s="2" t="s">
        <v>49</v>
      </c>
      <c r="S339" s="2" t="s">
        <v>146</v>
      </c>
      <c r="U339" s="2">
        <f t="shared" si="10"/>
        <v>143.173</v>
      </c>
      <c r="V339" s="2">
        <f t="shared" si="11"/>
        <v>0</v>
      </c>
    </row>
    <row r="340" spans="1:22" ht="15" customHeight="1" x14ac:dyDescent="0.45">
      <c r="A340" s="2" t="s">
        <v>232</v>
      </c>
      <c r="B340" s="2" t="s">
        <v>237</v>
      </c>
      <c r="C340" s="2">
        <v>2019</v>
      </c>
      <c r="D340" s="2">
        <v>261.93</v>
      </c>
      <c r="E340" s="2">
        <v>129.26400000000001</v>
      </c>
      <c r="F340" s="2">
        <v>22.521000000000001</v>
      </c>
      <c r="G340" s="2">
        <v>6.2160000000000002</v>
      </c>
      <c r="H340" s="2" t="s">
        <v>146</v>
      </c>
      <c r="I340" s="2">
        <v>27.047999999999998</v>
      </c>
      <c r="J340" s="2">
        <v>76.679000000000002</v>
      </c>
      <c r="K340" s="2">
        <v>0.24199999999999999</v>
      </c>
      <c r="L340" s="2" t="s">
        <v>146</v>
      </c>
      <c r="M340" s="2" t="s">
        <v>146</v>
      </c>
      <c r="N340" s="2" t="s">
        <v>49</v>
      </c>
      <c r="O340" s="2" t="s">
        <v>146</v>
      </c>
      <c r="P340" s="2" t="s">
        <v>49</v>
      </c>
      <c r="Q340" s="2" t="s">
        <v>146</v>
      </c>
      <c r="R340" s="2" t="s">
        <v>49</v>
      </c>
      <c r="S340" s="2" t="s">
        <v>146</v>
      </c>
      <c r="U340" s="2">
        <f t="shared" si="10"/>
        <v>261.93</v>
      </c>
      <c r="V340" s="2">
        <f t="shared" si="11"/>
        <v>0</v>
      </c>
    </row>
    <row r="341" spans="1:22" ht="15" customHeight="1" x14ac:dyDescent="0.45">
      <c r="A341" s="2" t="s">
        <v>232</v>
      </c>
      <c r="B341" s="2" t="s">
        <v>236</v>
      </c>
      <c r="C341" s="2">
        <v>2019</v>
      </c>
      <c r="D341" s="2">
        <v>25.696000000000002</v>
      </c>
      <c r="E341" s="2">
        <v>23.298999999999999</v>
      </c>
      <c r="F341" s="2" t="s">
        <v>146</v>
      </c>
      <c r="G341" s="2" t="s">
        <v>146</v>
      </c>
      <c r="H341" s="2" t="s">
        <v>146</v>
      </c>
      <c r="I341" s="2">
        <v>1.5229999999999999</v>
      </c>
      <c r="J341" s="2">
        <v>0.874</v>
      </c>
      <c r="K341" s="2" t="s">
        <v>146</v>
      </c>
      <c r="L341" s="2" t="s">
        <v>146</v>
      </c>
      <c r="M341" s="2" t="s">
        <v>146</v>
      </c>
      <c r="N341" s="2" t="s">
        <v>49</v>
      </c>
      <c r="O341" s="2" t="s">
        <v>146</v>
      </c>
      <c r="P341" s="2" t="s">
        <v>49</v>
      </c>
      <c r="Q341" s="2" t="s">
        <v>146</v>
      </c>
      <c r="R341" s="2" t="s">
        <v>49</v>
      </c>
      <c r="S341" s="2" t="s">
        <v>146</v>
      </c>
      <c r="U341" s="2">
        <f t="shared" si="10"/>
        <v>25.696000000000002</v>
      </c>
      <c r="V341" s="2">
        <f t="shared" si="11"/>
        <v>0</v>
      </c>
    </row>
    <row r="342" spans="1:22" ht="15" customHeight="1" x14ac:dyDescent="0.45">
      <c r="A342" s="2" t="s">
        <v>232</v>
      </c>
      <c r="B342" s="2" t="s">
        <v>235</v>
      </c>
      <c r="C342" s="2">
        <v>2019</v>
      </c>
      <c r="D342" s="2">
        <v>14.379</v>
      </c>
      <c r="E342" s="2">
        <v>6.774</v>
      </c>
      <c r="F342" s="2">
        <v>4.093</v>
      </c>
      <c r="G342" s="2" t="s">
        <v>146</v>
      </c>
      <c r="H342" s="2" t="s">
        <v>146</v>
      </c>
      <c r="I342" s="2">
        <v>3.133</v>
      </c>
      <c r="J342" s="2">
        <v>0.624</v>
      </c>
      <c r="K342" s="2" t="s">
        <v>146</v>
      </c>
      <c r="L342" s="2" t="s">
        <v>146</v>
      </c>
      <c r="M342" s="2" t="s">
        <v>146</v>
      </c>
      <c r="N342" s="2" t="s">
        <v>49</v>
      </c>
      <c r="O342" s="2" t="s">
        <v>146</v>
      </c>
      <c r="P342" s="2" t="s">
        <v>49</v>
      </c>
      <c r="Q342" s="2" t="s">
        <v>146</v>
      </c>
      <c r="R342" s="2" t="s">
        <v>49</v>
      </c>
      <c r="S342" s="2" t="s">
        <v>146</v>
      </c>
      <c r="U342" s="2">
        <f t="shared" si="10"/>
        <v>14.379</v>
      </c>
      <c r="V342" s="2">
        <f t="shared" si="11"/>
        <v>0</v>
      </c>
    </row>
    <row r="343" spans="1:22" ht="15" customHeight="1" x14ac:dyDescent="0.45">
      <c r="A343" s="2" t="s">
        <v>232</v>
      </c>
      <c r="B343" s="2" t="s">
        <v>234</v>
      </c>
      <c r="C343" s="2">
        <v>2019</v>
      </c>
      <c r="D343" s="2">
        <v>1289.133</v>
      </c>
      <c r="E343" s="2">
        <v>672.995</v>
      </c>
      <c r="F343" s="2">
        <v>133.88800000000001</v>
      </c>
      <c r="G343" s="2">
        <v>148.74199999999999</v>
      </c>
      <c r="H343" s="2">
        <v>97.326999999999998</v>
      </c>
      <c r="I343" s="2">
        <v>120.34099999999999</v>
      </c>
      <c r="J343" s="2">
        <v>298.22000000000003</v>
      </c>
      <c r="K343" s="2">
        <v>10.79</v>
      </c>
      <c r="L343" s="2" t="s">
        <v>146</v>
      </c>
      <c r="M343" s="2" t="s">
        <v>146</v>
      </c>
      <c r="N343" s="2" t="s">
        <v>49</v>
      </c>
      <c r="O343" s="2" t="s">
        <v>146</v>
      </c>
      <c r="P343" s="2" t="s">
        <v>49</v>
      </c>
      <c r="Q343" s="2" t="s">
        <v>146</v>
      </c>
      <c r="R343" s="2" t="s">
        <v>49</v>
      </c>
      <c r="S343" s="2" t="s">
        <v>146</v>
      </c>
      <c r="U343" s="2">
        <f t="shared" si="10"/>
        <v>1289.133</v>
      </c>
      <c r="V343" s="2">
        <f t="shared" si="11"/>
        <v>0</v>
      </c>
    </row>
    <row r="344" spans="1:22" ht="15" customHeight="1" x14ac:dyDescent="0.45">
      <c r="A344" s="2" t="s">
        <v>232</v>
      </c>
      <c r="B344" s="2" t="s">
        <v>231</v>
      </c>
      <c r="C344" s="2">
        <v>2019</v>
      </c>
      <c r="D344" s="2">
        <v>196.64099999999999</v>
      </c>
      <c r="E344" s="2">
        <v>71.283000000000001</v>
      </c>
      <c r="F344" s="2">
        <v>5.7389999999999999</v>
      </c>
      <c r="G344" s="2">
        <v>2.907</v>
      </c>
      <c r="H344" s="2" t="s">
        <v>146</v>
      </c>
      <c r="I344" s="2">
        <v>9.9290000000000003</v>
      </c>
      <c r="J344" s="2">
        <v>39.841000000000001</v>
      </c>
      <c r="K344" s="2">
        <v>1.724</v>
      </c>
      <c r="L344" s="2" t="s">
        <v>146</v>
      </c>
      <c r="M344" s="2" t="s">
        <v>146</v>
      </c>
      <c r="N344" s="2" t="s">
        <v>925</v>
      </c>
      <c r="O344" s="2">
        <v>66.7</v>
      </c>
      <c r="P344" s="2" t="s">
        <v>49</v>
      </c>
      <c r="Q344" s="2" t="s">
        <v>146</v>
      </c>
      <c r="R344" s="2" t="s">
        <v>49</v>
      </c>
      <c r="S344" s="2" t="s">
        <v>146</v>
      </c>
      <c r="U344" s="2">
        <f t="shared" si="10"/>
        <v>196.64099999999999</v>
      </c>
      <c r="V344" s="2">
        <f t="shared" si="11"/>
        <v>66.7</v>
      </c>
    </row>
    <row r="345" spans="1:22" ht="15" customHeight="1" x14ac:dyDescent="0.45">
      <c r="A345" s="2" t="s">
        <v>7</v>
      </c>
      <c r="B345" s="2" t="s">
        <v>230</v>
      </c>
      <c r="C345" s="2">
        <v>2019</v>
      </c>
      <c r="D345" s="2" t="s">
        <v>49</v>
      </c>
      <c r="E345" s="2" t="s">
        <v>49</v>
      </c>
      <c r="F345" s="2" t="s">
        <v>49</v>
      </c>
      <c r="G345" s="2" t="s">
        <v>49</v>
      </c>
      <c r="H345" s="2" t="s">
        <v>49</v>
      </c>
      <c r="I345" s="2" t="s">
        <v>49</v>
      </c>
      <c r="J345" s="2" t="s">
        <v>49</v>
      </c>
      <c r="K345" s="2" t="s">
        <v>49</v>
      </c>
      <c r="L345" s="2" t="s">
        <v>49</v>
      </c>
      <c r="M345" s="2" t="s">
        <v>49</v>
      </c>
      <c r="N345" s="2" t="s">
        <v>49</v>
      </c>
      <c r="O345" s="2" t="s">
        <v>49</v>
      </c>
      <c r="P345" s="2" t="s">
        <v>49</v>
      </c>
      <c r="Q345" s="2" t="s">
        <v>49</v>
      </c>
      <c r="R345" s="2" t="s">
        <v>49</v>
      </c>
      <c r="S345" s="2" t="s">
        <v>49</v>
      </c>
      <c r="U345" s="2">
        <f t="shared" si="10"/>
        <v>0</v>
      </c>
      <c r="V345" s="2">
        <f t="shared" si="11"/>
        <v>0</v>
      </c>
    </row>
    <row r="346" spans="1:22" ht="15" customHeight="1" x14ac:dyDescent="0.45">
      <c r="A346" s="2" t="s">
        <v>7</v>
      </c>
      <c r="B346" s="2" t="s">
        <v>8</v>
      </c>
      <c r="C346" s="2">
        <v>2019</v>
      </c>
      <c r="D346" s="2" t="s">
        <v>49</v>
      </c>
      <c r="E346" s="2" t="s">
        <v>49</v>
      </c>
      <c r="F346" s="2" t="s">
        <v>49</v>
      </c>
      <c r="G346" s="2" t="s">
        <v>49</v>
      </c>
      <c r="H346" s="2" t="s">
        <v>49</v>
      </c>
      <c r="I346" s="2" t="s">
        <v>49</v>
      </c>
      <c r="J346" s="2" t="s">
        <v>49</v>
      </c>
      <c r="K346" s="2" t="s">
        <v>49</v>
      </c>
      <c r="L346" s="2" t="s">
        <v>49</v>
      </c>
      <c r="M346" s="2" t="s">
        <v>49</v>
      </c>
      <c r="N346" s="2" t="s">
        <v>49</v>
      </c>
      <c r="O346" s="2" t="s">
        <v>49</v>
      </c>
      <c r="P346" s="2" t="s">
        <v>49</v>
      </c>
      <c r="Q346" s="2" t="s">
        <v>49</v>
      </c>
      <c r="R346" s="2" t="s">
        <v>49</v>
      </c>
      <c r="S346" s="2" t="s">
        <v>49</v>
      </c>
      <c r="U346" s="2">
        <f t="shared" si="10"/>
        <v>0</v>
      </c>
      <c r="V346" s="2">
        <f t="shared" si="11"/>
        <v>0</v>
      </c>
    </row>
    <row r="347" spans="1:22" ht="15" customHeight="1" x14ac:dyDescent="0.45">
      <c r="A347" s="2" t="s">
        <v>225</v>
      </c>
      <c r="B347" s="2" t="s">
        <v>229</v>
      </c>
      <c r="C347" s="2">
        <v>2019</v>
      </c>
      <c r="D347" s="2">
        <v>3.51</v>
      </c>
      <c r="E347" s="2">
        <v>0.33500000000000002</v>
      </c>
      <c r="F347" s="2">
        <v>1.0069999999999999</v>
      </c>
      <c r="G347" s="2">
        <v>0</v>
      </c>
      <c r="H347" s="2" t="s">
        <v>146</v>
      </c>
      <c r="I347" s="2">
        <v>0.499</v>
      </c>
      <c r="J347" s="2">
        <v>0.21099999999999999</v>
      </c>
      <c r="K347" s="2">
        <v>0</v>
      </c>
      <c r="L347" s="2">
        <v>0</v>
      </c>
      <c r="M347" s="2">
        <v>1.458</v>
      </c>
      <c r="N347" s="2" t="s">
        <v>49</v>
      </c>
      <c r="O347" s="2" t="s">
        <v>146</v>
      </c>
      <c r="P347" s="2" t="s">
        <v>49</v>
      </c>
      <c r="Q347" s="2" t="s">
        <v>146</v>
      </c>
      <c r="R347" s="2" t="s">
        <v>49</v>
      </c>
      <c r="S347" s="2" t="s">
        <v>146</v>
      </c>
      <c r="U347" s="2">
        <f t="shared" si="10"/>
        <v>3.51</v>
      </c>
      <c r="V347" s="2">
        <f t="shared" si="11"/>
        <v>0</v>
      </c>
    </row>
    <row r="348" spans="1:22" ht="15" customHeight="1" x14ac:dyDescent="0.45">
      <c r="A348" s="2" t="s">
        <v>225</v>
      </c>
      <c r="B348" s="2" t="s">
        <v>228</v>
      </c>
      <c r="C348" s="2">
        <v>2019</v>
      </c>
      <c r="D348" s="2">
        <v>3.8069999999999999</v>
      </c>
      <c r="E348" s="2">
        <v>0.36</v>
      </c>
      <c r="F348" s="2">
        <v>1.1930000000000001</v>
      </c>
      <c r="G348" s="2" t="s">
        <v>146</v>
      </c>
      <c r="H348" s="2" t="s">
        <v>146</v>
      </c>
      <c r="I348" s="2">
        <v>0.45900000000000002</v>
      </c>
      <c r="J348" s="2">
        <v>0.122</v>
      </c>
      <c r="K348" s="2">
        <v>0</v>
      </c>
      <c r="L348" s="2">
        <v>0</v>
      </c>
      <c r="M348" s="2">
        <v>1.673</v>
      </c>
      <c r="N348" s="2" t="s">
        <v>49</v>
      </c>
      <c r="O348" s="2" t="s">
        <v>146</v>
      </c>
      <c r="P348" s="2" t="s">
        <v>49</v>
      </c>
      <c r="Q348" s="2" t="s">
        <v>146</v>
      </c>
      <c r="R348" s="2" t="s">
        <v>49</v>
      </c>
      <c r="S348" s="2" t="s">
        <v>146</v>
      </c>
      <c r="U348" s="2">
        <f t="shared" si="10"/>
        <v>3.8069999999999999</v>
      </c>
      <c r="V348" s="2">
        <f t="shared" si="11"/>
        <v>0</v>
      </c>
    </row>
    <row r="349" spans="1:22" ht="15" customHeight="1" x14ac:dyDescent="0.45">
      <c r="A349" s="2" t="s">
        <v>225</v>
      </c>
      <c r="B349" s="2" t="s">
        <v>227</v>
      </c>
      <c r="C349" s="2">
        <v>2019</v>
      </c>
      <c r="D349" s="2">
        <v>6.6470000000000002</v>
      </c>
      <c r="E349" s="2">
        <v>1.9490000000000001</v>
      </c>
      <c r="F349" s="2">
        <v>2.6</v>
      </c>
      <c r="G349" s="2" t="s">
        <v>146</v>
      </c>
      <c r="H349" s="2" t="s">
        <v>146</v>
      </c>
      <c r="I349" s="2">
        <v>0.46500000000000002</v>
      </c>
      <c r="J349" s="2">
        <v>0</v>
      </c>
      <c r="K349" s="2">
        <v>0</v>
      </c>
      <c r="L349" s="2">
        <v>0</v>
      </c>
      <c r="M349" s="2">
        <v>1.6319999999999999</v>
      </c>
      <c r="N349" s="2" t="s">
        <v>49</v>
      </c>
      <c r="O349" s="2" t="s">
        <v>146</v>
      </c>
      <c r="P349" s="2" t="s">
        <v>49</v>
      </c>
      <c r="Q349" s="2" t="s">
        <v>146</v>
      </c>
      <c r="R349" s="2" t="s">
        <v>49</v>
      </c>
      <c r="S349" s="2" t="s">
        <v>146</v>
      </c>
      <c r="U349" s="2">
        <f t="shared" si="10"/>
        <v>6.6470000000000002</v>
      </c>
      <c r="V349" s="2">
        <f t="shared" si="11"/>
        <v>0</v>
      </c>
    </row>
    <row r="350" spans="1:22" ht="15" customHeight="1" x14ac:dyDescent="0.45">
      <c r="A350" s="2" t="s">
        <v>225</v>
      </c>
      <c r="B350" s="2" t="s">
        <v>226</v>
      </c>
      <c r="C350" s="2">
        <v>2019</v>
      </c>
      <c r="D350" s="2">
        <v>11.372</v>
      </c>
      <c r="E350" s="2">
        <v>1.236</v>
      </c>
      <c r="F350" s="2">
        <v>3.3479999999999999</v>
      </c>
      <c r="G350" s="2" t="s">
        <v>146</v>
      </c>
      <c r="H350" s="2" t="s">
        <v>146</v>
      </c>
      <c r="I350" s="2">
        <v>0.97299999999999998</v>
      </c>
      <c r="J350" s="2">
        <v>0.53400000000000003</v>
      </c>
      <c r="K350" s="2">
        <v>0</v>
      </c>
      <c r="L350" s="2">
        <v>0</v>
      </c>
      <c r="M350" s="2">
        <v>5.28</v>
      </c>
      <c r="N350" s="2" t="s">
        <v>49</v>
      </c>
      <c r="O350" s="2" t="s">
        <v>146</v>
      </c>
      <c r="P350" s="2" t="s">
        <v>49</v>
      </c>
      <c r="Q350" s="2" t="s">
        <v>146</v>
      </c>
      <c r="R350" s="2" t="s">
        <v>49</v>
      </c>
      <c r="S350" s="2" t="s">
        <v>146</v>
      </c>
      <c r="U350" s="2">
        <f t="shared" si="10"/>
        <v>11.372</v>
      </c>
      <c r="V350" s="2">
        <f t="shared" si="11"/>
        <v>0</v>
      </c>
    </row>
    <row r="351" spans="1:22" ht="15" customHeight="1" x14ac:dyDescent="0.45">
      <c r="A351" s="2" t="s">
        <v>225</v>
      </c>
      <c r="B351" s="2" t="s">
        <v>224</v>
      </c>
      <c r="C351" s="2">
        <v>2019</v>
      </c>
      <c r="D351" s="2">
        <v>103.509</v>
      </c>
      <c r="E351" s="2">
        <v>21.86</v>
      </c>
      <c r="F351" s="2">
        <v>22.32</v>
      </c>
      <c r="G351" s="2">
        <v>0</v>
      </c>
      <c r="H351" s="2">
        <v>0</v>
      </c>
      <c r="I351" s="2">
        <v>15.3</v>
      </c>
      <c r="J351" s="2">
        <v>16.347000000000001</v>
      </c>
      <c r="K351" s="2">
        <v>0</v>
      </c>
      <c r="L351" s="2">
        <v>0</v>
      </c>
      <c r="M351" s="2">
        <v>27.683</v>
      </c>
      <c r="N351" s="2" t="s">
        <v>49</v>
      </c>
      <c r="O351" s="2" t="s">
        <v>146</v>
      </c>
      <c r="P351" s="2" t="s">
        <v>49</v>
      </c>
      <c r="Q351" s="2" t="s">
        <v>146</v>
      </c>
      <c r="R351" s="2" t="s">
        <v>49</v>
      </c>
      <c r="S351" s="2" t="s">
        <v>146</v>
      </c>
      <c r="U351" s="2">
        <f t="shared" si="10"/>
        <v>103.509</v>
      </c>
      <c r="V351" s="2">
        <f t="shared" si="11"/>
        <v>0</v>
      </c>
    </row>
    <row r="352" spans="1:22" ht="15" customHeight="1" x14ac:dyDescent="0.45">
      <c r="A352" s="2" t="s">
        <v>221</v>
      </c>
      <c r="B352" s="2" t="s">
        <v>223</v>
      </c>
      <c r="C352" s="2">
        <v>2019</v>
      </c>
      <c r="D352" s="2">
        <v>2.23</v>
      </c>
      <c r="E352" s="2">
        <v>0.54500000000000004</v>
      </c>
      <c r="F352" s="2">
        <v>0.28100000000000003</v>
      </c>
      <c r="G352" s="2">
        <v>0</v>
      </c>
      <c r="H352" s="2">
        <v>0</v>
      </c>
      <c r="I352" s="2">
        <v>0.8</v>
      </c>
      <c r="J352" s="2">
        <v>8.7999999999999995E-2</v>
      </c>
      <c r="K352" s="2">
        <v>0</v>
      </c>
      <c r="L352" s="2">
        <v>0</v>
      </c>
      <c r="M352" s="2">
        <v>0.51600000000000001</v>
      </c>
      <c r="N352" s="2" t="s">
        <v>49</v>
      </c>
      <c r="O352" s="2" t="s">
        <v>146</v>
      </c>
      <c r="P352" s="2" t="s">
        <v>49</v>
      </c>
      <c r="Q352" s="2" t="s">
        <v>146</v>
      </c>
      <c r="R352" s="2" t="s">
        <v>49</v>
      </c>
      <c r="S352" s="2" t="s">
        <v>146</v>
      </c>
      <c r="U352" s="2">
        <f t="shared" si="10"/>
        <v>2.23</v>
      </c>
      <c r="V352" s="2">
        <f t="shared" si="11"/>
        <v>0</v>
      </c>
    </row>
    <row r="353" spans="1:22" ht="15" customHeight="1" x14ac:dyDescent="0.45">
      <c r="A353" s="2" t="s">
        <v>221</v>
      </c>
      <c r="B353" s="2" t="s">
        <v>222</v>
      </c>
      <c r="C353" s="2">
        <v>2019</v>
      </c>
      <c r="D353" s="2">
        <v>125.908</v>
      </c>
      <c r="E353" s="2">
        <v>47.777999999999999</v>
      </c>
      <c r="F353" s="2">
        <v>18.928999999999998</v>
      </c>
      <c r="G353" s="2" t="s">
        <v>146</v>
      </c>
      <c r="H353" s="2">
        <v>11.759</v>
      </c>
      <c r="I353" s="2">
        <v>21.041</v>
      </c>
      <c r="J353" s="2">
        <v>11.759</v>
      </c>
      <c r="K353" s="2">
        <v>2.9000000000000001E-2</v>
      </c>
      <c r="L353" s="2">
        <v>4.4950000000000001</v>
      </c>
      <c r="M353" s="2">
        <v>20.579000000000001</v>
      </c>
      <c r="N353" s="2" t="s">
        <v>49</v>
      </c>
      <c r="O353" s="2" t="s">
        <v>146</v>
      </c>
      <c r="P353" s="2" t="s">
        <v>49</v>
      </c>
      <c r="Q353" s="2" t="s">
        <v>146</v>
      </c>
      <c r="R353" s="2" t="s">
        <v>49</v>
      </c>
      <c r="S353" s="2" t="s">
        <v>146</v>
      </c>
      <c r="U353" s="2">
        <f t="shared" si="10"/>
        <v>125.908</v>
      </c>
      <c r="V353" s="2">
        <f t="shared" si="11"/>
        <v>0</v>
      </c>
    </row>
    <row r="354" spans="1:22" ht="15" customHeight="1" x14ac:dyDescent="0.45">
      <c r="A354" s="2" t="s">
        <v>221</v>
      </c>
      <c r="B354" s="2" t="s">
        <v>220</v>
      </c>
      <c r="C354" s="2">
        <v>2019</v>
      </c>
      <c r="D354" s="2">
        <v>24.553999999999998</v>
      </c>
      <c r="E354" s="2">
        <v>10.595000000000001</v>
      </c>
      <c r="F354" s="2">
        <v>0.61799999999999999</v>
      </c>
      <c r="G354" s="2" t="s">
        <v>146</v>
      </c>
      <c r="H354" s="2">
        <v>0</v>
      </c>
      <c r="I354" s="2">
        <v>6.5519999999999996</v>
      </c>
      <c r="J354" s="2">
        <v>0.92800000000000005</v>
      </c>
      <c r="K354" s="2">
        <v>0</v>
      </c>
      <c r="L354" s="2">
        <v>0</v>
      </c>
      <c r="M354" s="2">
        <v>5.8609999999999998</v>
      </c>
      <c r="N354" s="2" t="s">
        <v>49</v>
      </c>
      <c r="O354" s="2" t="s">
        <v>146</v>
      </c>
      <c r="P354" s="2" t="s">
        <v>49</v>
      </c>
      <c r="Q354" s="2" t="s">
        <v>146</v>
      </c>
      <c r="R354" s="2" t="s">
        <v>49</v>
      </c>
      <c r="S354" s="2" t="s">
        <v>146</v>
      </c>
      <c r="U354" s="2">
        <f t="shared" si="10"/>
        <v>24.553999999999998</v>
      </c>
      <c r="V354" s="2">
        <f t="shared" si="11"/>
        <v>0</v>
      </c>
    </row>
    <row r="355" spans="1:22" ht="15" customHeight="1" x14ac:dyDescent="0.45">
      <c r="A355" s="2" t="s">
        <v>48</v>
      </c>
      <c r="B355" s="2" t="s">
        <v>219</v>
      </c>
      <c r="C355" s="2">
        <v>2019</v>
      </c>
      <c r="D355" s="2">
        <v>127.65</v>
      </c>
      <c r="E355" s="2">
        <v>63.393000000000001</v>
      </c>
      <c r="F355" s="2">
        <v>21.341999999999999</v>
      </c>
      <c r="G355" s="2">
        <v>5.3550000000000004</v>
      </c>
      <c r="H355" s="2" t="s">
        <v>146</v>
      </c>
      <c r="I355" s="2">
        <v>20.475000000000001</v>
      </c>
      <c r="J355" s="2">
        <v>15.099</v>
      </c>
      <c r="K355" s="2">
        <v>1.986</v>
      </c>
      <c r="L355" s="2" t="s">
        <v>146</v>
      </c>
      <c r="M355" s="2" t="s">
        <v>146</v>
      </c>
      <c r="N355" s="2" t="s">
        <v>49</v>
      </c>
      <c r="O355" s="2" t="s">
        <v>146</v>
      </c>
      <c r="P355" s="2" t="s">
        <v>49</v>
      </c>
      <c r="Q355" s="2" t="s">
        <v>146</v>
      </c>
      <c r="R355" s="2" t="s">
        <v>49</v>
      </c>
      <c r="S355" s="2" t="s">
        <v>146</v>
      </c>
      <c r="U355" s="2">
        <f t="shared" si="10"/>
        <v>127.65</v>
      </c>
      <c r="V355" s="2">
        <f t="shared" si="11"/>
        <v>0</v>
      </c>
    </row>
    <row r="356" spans="1:22" ht="15" customHeight="1" x14ac:dyDescent="0.45">
      <c r="A356" s="2" t="s">
        <v>48</v>
      </c>
      <c r="B356" s="2" t="s">
        <v>218</v>
      </c>
      <c r="C356" s="2">
        <v>2019</v>
      </c>
      <c r="D356" s="2">
        <v>14.688000000000001</v>
      </c>
      <c r="E356" s="2">
        <v>7.9349999999999996</v>
      </c>
      <c r="F356" s="2">
        <v>0.63100000000000001</v>
      </c>
      <c r="G356" s="2">
        <v>1.155</v>
      </c>
      <c r="H356" s="2" t="s">
        <v>146</v>
      </c>
      <c r="I356" s="2">
        <v>3.9380000000000002</v>
      </c>
      <c r="J356" s="2">
        <v>1.03</v>
      </c>
      <c r="K356" s="2" t="s">
        <v>146</v>
      </c>
      <c r="L356" s="2" t="s">
        <v>146</v>
      </c>
      <c r="M356" s="2" t="s">
        <v>146</v>
      </c>
      <c r="N356" s="2" t="s">
        <v>49</v>
      </c>
      <c r="O356" s="2" t="s">
        <v>146</v>
      </c>
      <c r="P356" s="2" t="s">
        <v>49</v>
      </c>
      <c r="Q356" s="2" t="s">
        <v>146</v>
      </c>
      <c r="R356" s="2" t="s">
        <v>49</v>
      </c>
      <c r="S356" s="2" t="s">
        <v>146</v>
      </c>
      <c r="U356" s="2">
        <f t="shared" si="10"/>
        <v>14.688000000000001</v>
      </c>
      <c r="V356" s="2">
        <f t="shared" si="11"/>
        <v>0</v>
      </c>
    </row>
    <row r="357" spans="1:22" ht="15" customHeight="1" x14ac:dyDescent="0.45">
      <c r="A357" s="2" t="s">
        <v>48</v>
      </c>
      <c r="B357" s="2" t="s">
        <v>217</v>
      </c>
      <c r="C357" s="2">
        <v>2019</v>
      </c>
      <c r="D357" s="2">
        <v>22.847999999999999</v>
      </c>
      <c r="E357" s="2">
        <v>9.7870000000000008</v>
      </c>
      <c r="F357" s="2">
        <v>5.9450000000000003</v>
      </c>
      <c r="G357" s="2">
        <v>1.3360000000000001</v>
      </c>
      <c r="H357" s="2" t="s">
        <v>146</v>
      </c>
      <c r="I357" s="2">
        <v>4.3019999999999996</v>
      </c>
      <c r="J357" s="2">
        <v>1.478</v>
      </c>
      <c r="K357" s="2" t="s">
        <v>146</v>
      </c>
      <c r="L357" s="2" t="s">
        <v>146</v>
      </c>
      <c r="M357" s="2" t="s">
        <v>146</v>
      </c>
      <c r="N357" s="2" t="s">
        <v>49</v>
      </c>
      <c r="O357" s="2" t="s">
        <v>146</v>
      </c>
      <c r="P357" s="2" t="s">
        <v>49</v>
      </c>
      <c r="Q357" s="2" t="s">
        <v>146</v>
      </c>
      <c r="R357" s="2" t="s">
        <v>49</v>
      </c>
      <c r="S357" s="2" t="s">
        <v>146</v>
      </c>
      <c r="U357" s="2">
        <f t="shared" si="10"/>
        <v>22.847999999999999</v>
      </c>
      <c r="V357" s="2">
        <f t="shared" si="11"/>
        <v>0</v>
      </c>
    </row>
    <row r="358" spans="1:22" ht="15" customHeight="1" x14ac:dyDescent="0.45">
      <c r="A358" s="2" t="s">
        <v>48</v>
      </c>
      <c r="B358" s="2" t="s">
        <v>216</v>
      </c>
      <c r="C358" s="2">
        <v>2019</v>
      </c>
      <c r="D358" s="2">
        <v>5.5330000000000004</v>
      </c>
      <c r="E358" s="2">
        <v>1.8979999999999999</v>
      </c>
      <c r="F358" s="2">
        <v>0.33100000000000002</v>
      </c>
      <c r="G358" s="2">
        <v>0.79600000000000004</v>
      </c>
      <c r="H358" s="2" t="s">
        <v>146</v>
      </c>
      <c r="I358" s="2">
        <v>1.2909999999999999</v>
      </c>
      <c r="J358" s="2">
        <v>1.216</v>
      </c>
      <c r="K358" s="2" t="s">
        <v>146</v>
      </c>
      <c r="L358" s="2" t="s">
        <v>146</v>
      </c>
      <c r="M358" s="2" t="s">
        <v>146</v>
      </c>
      <c r="N358" s="2" t="s">
        <v>49</v>
      </c>
      <c r="O358" s="2" t="s">
        <v>146</v>
      </c>
      <c r="P358" s="2" t="s">
        <v>49</v>
      </c>
      <c r="Q358" s="2" t="s">
        <v>146</v>
      </c>
      <c r="R358" s="2" t="s">
        <v>49</v>
      </c>
      <c r="S358" s="2" t="s">
        <v>146</v>
      </c>
      <c r="U358" s="2">
        <f t="shared" si="10"/>
        <v>5.5330000000000004</v>
      </c>
      <c r="V358" s="2">
        <f t="shared" si="11"/>
        <v>0</v>
      </c>
    </row>
    <row r="359" spans="1:22" ht="15" customHeight="1" x14ac:dyDescent="0.45">
      <c r="A359" s="2" t="s">
        <v>48</v>
      </c>
      <c r="B359" s="2" t="s">
        <v>215</v>
      </c>
      <c r="C359" s="2">
        <v>2019</v>
      </c>
      <c r="D359" s="2">
        <v>91.608000000000004</v>
      </c>
      <c r="E359" s="2">
        <v>21.760999999999999</v>
      </c>
      <c r="F359" s="2">
        <v>4.2510000000000003</v>
      </c>
      <c r="G359" s="2">
        <v>55.128999999999998</v>
      </c>
      <c r="H359" s="2">
        <v>26.059000000000001</v>
      </c>
      <c r="I359" s="2">
        <v>6.2469999999999999</v>
      </c>
      <c r="J359" s="2">
        <v>3.75</v>
      </c>
      <c r="K359" s="2">
        <v>0.46899999999999997</v>
      </c>
      <c r="L359" s="2" t="s">
        <v>146</v>
      </c>
      <c r="M359" s="2" t="s">
        <v>146</v>
      </c>
      <c r="N359" s="2" t="s">
        <v>49</v>
      </c>
      <c r="O359" s="2" t="s">
        <v>146</v>
      </c>
      <c r="P359" s="2" t="s">
        <v>49</v>
      </c>
      <c r="Q359" s="2" t="s">
        <v>146</v>
      </c>
      <c r="R359" s="2" t="s">
        <v>49</v>
      </c>
      <c r="S359" s="2" t="s">
        <v>146</v>
      </c>
      <c r="U359" s="2">
        <f t="shared" si="10"/>
        <v>91.608000000000004</v>
      </c>
      <c r="V359" s="2">
        <f t="shared" si="11"/>
        <v>0</v>
      </c>
    </row>
    <row r="360" spans="1:22" ht="15" customHeight="1" x14ac:dyDescent="0.45">
      <c r="A360" s="2" t="s">
        <v>48</v>
      </c>
      <c r="B360" s="2" t="s">
        <v>214</v>
      </c>
      <c r="C360" s="2">
        <v>2019</v>
      </c>
      <c r="D360" s="2">
        <v>118.883</v>
      </c>
      <c r="E360" s="2">
        <v>64.224000000000004</v>
      </c>
      <c r="F360" s="2">
        <v>7.43</v>
      </c>
      <c r="G360" s="2">
        <v>7.75</v>
      </c>
      <c r="H360" s="2" t="s">
        <v>146</v>
      </c>
      <c r="I360" s="2">
        <v>19.420000000000002</v>
      </c>
      <c r="J360" s="2">
        <v>19.509</v>
      </c>
      <c r="K360" s="2">
        <v>0.55000000000000004</v>
      </c>
      <c r="L360" s="2" t="s">
        <v>146</v>
      </c>
      <c r="M360" s="2" t="s">
        <v>146</v>
      </c>
      <c r="N360" s="2" t="s">
        <v>49</v>
      </c>
      <c r="O360" s="2" t="s">
        <v>146</v>
      </c>
      <c r="P360" s="2" t="s">
        <v>49</v>
      </c>
      <c r="Q360" s="2" t="s">
        <v>146</v>
      </c>
      <c r="R360" s="2" t="s">
        <v>49</v>
      </c>
      <c r="S360" s="2" t="s">
        <v>146</v>
      </c>
      <c r="U360" s="2">
        <f t="shared" si="10"/>
        <v>118.883</v>
      </c>
      <c r="V360" s="2">
        <f t="shared" si="11"/>
        <v>0</v>
      </c>
    </row>
    <row r="361" spans="1:22" ht="15" customHeight="1" x14ac:dyDescent="0.45">
      <c r="A361" s="2" t="s">
        <v>48</v>
      </c>
      <c r="B361" s="2" t="s">
        <v>213</v>
      </c>
      <c r="C361" s="2">
        <v>2019</v>
      </c>
      <c r="D361" s="2">
        <v>32.707000000000001</v>
      </c>
      <c r="E361" s="2">
        <v>13.362</v>
      </c>
      <c r="F361" s="2">
        <v>3.6629999999999998</v>
      </c>
      <c r="G361" s="2">
        <v>7.5960000000000001</v>
      </c>
      <c r="H361" s="2" t="s">
        <v>146</v>
      </c>
      <c r="I361" s="2">
        <v>6.282</v>
      </c>
      <c r="J361" s="2">
        <v>1.5580000000000001</v>
      </c>
      <c r="K361" s="2">
        <v>0.246</v>
      </c>
      <c r="L361" s="2" t="s">
        <v>146</v>
      </c>
      <c r="M361" s="2" t="s">
        <v>146</v>
      </c>
      <c r="N361" s="2" t="s">
        <v>49</v>
      </c>
      <c r="O361" s="2" t="s">
        <v>146</v>
      </c>
      <c r="P361" s="2" t="s">
        <v>49</v>
      </c>
      <c r="Q361" s="2" t="s">
        <v>146</v>
      </c>
      <c r="R361" s="2" t="s">
        <v>49</v>
      </c>
      <c r="S361" s="2" t="s">
        <v>146</v>
      </c>
      <c r="U361" s="2">
        <f t="shared" si="10"/>
        <v>32.707000000000001</v>
      </c>
      <c r="V361" s="2">
        <f t="shared" si="11"/>
        <v>0</v>
      </c>
    </row>
    <row r="362" spans="1:22" ht="15" customHeight="1" x14ac:dyDescent="0.45">
      <c r="A362" s="2" t="s">
        <v>48</v>
      </c>
      <c r="B362" s="2" t="s">
        <v>212</v>
      </c>
      <c r="C362" s="2">
        <v>2019</v>
      </c>
      <c r="D362" s="2">
        <v>15.672000000000001</v>
      </c>
      <c r="E362" s="2">
        <v>6.9180000000000001</v>
      </c>
      <c r="F362" s="2" t="s">
        <v>146</v>
      </c>
      <c r="G362" s="2">
        <v>4.9649999999999999</v>
      </c>
      <c r="H362" s="2" t="s">
        <v>146</v>
      </c>
      <c r="I362" s="2">
        <v>3.0270000000000001</v>
      </c>
      <c r="J362" s="2">
        <v>0.76100000000000001</v>
      </c>
      <c r="K362" s="2" t="s">
        <v>146</v>
      </c>
      <c r="L362" s="2" t="s">
        <v>146</v>
      </c>
      <c r="M362" s="2" t="s">
        <v>146</v>
      </c>
      <c r="N362" s="2" t="s">
        <v>49</v>
      </c>
      <c r="O362" s="2" t="s">
        <v>146</v>
      </c>
      <c r="P362" s="2" t="s">
        <v>49</v>
      </c>
      <c r="Q362" s="2" t="s">
        <v>146</v>
      </c>
      <c r="R362" s="2" t="s">
        <v>49</v>
      </c>
      <c r="S362" s="2" t="s">
        <v>146</v>
      </c>
      <c r="U362" s="2">
        <f t="shared" si="10"/>
        <v>15.672000000000001</v>
      </c>
      <c r="V362" s="2">
        <f t="shared" si="11"/>
        <v>0</v>
      </c>
    </row>
    <row r="363" spans="1:22" ht="15" customHeight="1" x14ac:dyDescent="0.45">
      <c r="A363" s="2" t="s">
        <v>48</v>
      </c>
      <c r="B363" s="2" t="s">
        <v>211</v>
      </c>
      <c r="C363" s="2">
        <v>2019</v>
      </c>
      <c r="D363" s="2">
        <v>10.991</v>
      </c>
      <c r="E363" s="2">
        <v>7.0350000000000001</v>
      </c>
      <c r="F363" s="2">
        <v>0.41299999999999998</v>
      </c>
      <c r="G363" s="2" t="s">
        <v>146</v>
      </c>
      <c r="H363" s="2" t="s">
        <v>146</v>
      </c>
      <c r="I363" s="2">
        <v>2.8559999999999999</v>
      </c>
      <c r="J363" s="2">
        <v>0.61</v>
      </c>
      <c r="K363" s="2">
        <v>7.6999999999999999E-2</v>
      </c>
      <c r="L363" s="2" t="s">
        <v>146</v>
      </c>
      <c r="M363" s="2" t="s">
        <v>146</v>
      </c>
      <c r="N363" s="2" t="s">
        <v>49</v>
      </c>
      <c r="O363" s="2" t="s">
        <v>146</v>
      </c>
      <c r="P363" s="2" t="s">
        <v>49</v>
      </c>
      <c r="Q363" s="2" t="s">
        <v>146</v>
      </c>
      <c r="R363" s="2" t="s">
        <v>49</v>
      </c>
      <c r="S363" s="2" t="s">
        <v>146</v>
      </c>
      <c r="U363" s="2">
        <f t="shared" si="10"/>
        <v>10.991</v>
      </c>
      <c r="V363" s="2">
        <f t="shared" si="11"/>
        <v>0</v>
      </c>
    </row>
    <row r="364" spans="1:22" ht="15" customHeight="1" x14ac:dyDescent="0.45">
      <c r="A364" s="2" t="s">
        <v>48</v>
      </c>
      <c r="B364" s="2" t="s">
        <v>210</v>
      </c>
      <c r="C364" s="2">
        <v>2019</v>
      </c>
      <c r="D364" s="2">
        <v>89.936000000000007</v>
      </c>
      <c r="E364" s="2">
        <v>41.896999999999998</v>
      </c>
      <c r="F364" s="2">
        <v>4.8250000000000002</v>
      </c>
      <c r="G364" s="2">
        <v>10.157</v>
      </c>
      <c r="H364" s="2" t="s">
        <v>146</v>
      </c>
      <c r="I364" s="2">
        <v>15.669</v>
      </c>
      <c r="J364" s="2">
        <v>17.387</v>
      </c>
      <c r="K364" s="2" t="s">
        <v>146</v>
      </c>
      <c r="L364" s="2" t="s">
        <v>146</v>
      </c>
      <c r="M364" s="2" t="s">
        <v>146</v>
      </c>
      <c r="N364" s="2" t="s">
        <v>49</v>
      </c>
      <c r="O364" s="2" t="s">
        <v>146</v>
      </c>
      <c r="P364" s="2" t="s">
        <v>49</v>
      </c>
      <c r="Q364" s="2" t="s">
        <v>146</v>
      </c>
      <c r="R364" s="2" t="s">
        <v>49</v>
      </c>
      <c r="S364" s="2" t="s">
        <v>146</v>
      </c>
      <c r="U364" s="2">
        <f t="shared" si="10"/>
        <v>89.936000000000007</v>
      </c>
      <c r="V364" s="2">
        <f t="shared" si="11"/>
        <v>0</v>
      </c>
    </row>
    <row r="365" spans="1:22" ht="15" customHeight="1" x14ac:dyDescent="0.45">
      <c r="A365" s="2" t="s">
        <v>48</v>
      </c>
      <c r="B365" s="2" t="s">
        <v>209</v>
      </c>
      <c r="C365" s="2">
        <v>2019</v>
      </c>
      <c r="D365" s="2">
        <v>66.548000000000002</v>
      </c>
      <c r="E365" s="2">
        <v>52.768999999999998</v>
      </c>
      <c r="F365" s="2" t="s">
        <v>146</v>
      </c>
      <c r="G365" s="2" t="s">
        <v>146</v>
      </c>
      <c r="H365" s="2" t="s">
        <v>146</v>
      </c>
      <c r="I365" s="2">
        <v>8.9849999999999994</v>
      </c>
      <c r="J365" s="2">
        <v>4.7939999999999996</v>
      </c>
      <c r="K365" s="2" t="s">
        <v>146</v>
      </c>
      <c r="L365" s="2" t="s">
        <v>146</v>
      </c>
      <c r="M365" s="2" t="s">
        <v>146</v>
      </c>
      <c r="N365" s="2" t="s">
        <v>49</v>
      </c>
      <c r="O365" s="2" t="s">
        <v>146</v>
      </c>
      <c r="P365" s="2" t="s">
        <v>49</v>
      </c>
      <c r="Q365" s="2" t="s">
        <v>146</v>
      </c>
      <c r="R365" s="2" t="s">
        <v>49</v>
      </c>
      <c r="S365" s="2" t="s">
        <v>146</v>
      </c>
      <c r="U365" s="2">
        <f t="shared" si="10"/>
        <v>66.548000000000002</v>
      </c>
      <c r="V365" s="2">
        <f t="shared" si="11"/>
        <v>0</v>
      </c>
    </row>
    <row r="366" spans="1:22" ht="15" customHeight="1" x14ac:dyDescent="0.45">
      <c r="A366" s="2" t="s">
        <v>48</v>
      </c>
      <c r="B366" s="2" t="s">
        <v>208</v>
      </c>
      <c r="C366" s="2">
        <v>2019</v>
      </c>
      <c r="D366" s="2">
        <v>1.7</v>
      </c>
      <c r="E366" s="2" t="s">
        <v>146</v>
      </c>
      <c r="F366" s="2">
        <v>0.16700000000000001</v>
      </c>
      <c r="G366" s="2" t="s">
        <v>146</v>
      </c>
      <c r="H366" s="2" t="s">
        <v>146</v>
      </c>
      <c r="I366" s="2">
        <v>1.466</v>
      </c>
      <c r="J366" s="2">
        <v>6.7000000000000004E-2</v>
      </c>
      <c r="K366" s="2" t="s">
        <v>146</v>
      </c>
      <c r="L366" s="2" t="s">
        <v>146</v>
      </c>
      <c r="M366" s="2" t="s">
        <v>146</v>
      </c>
      <c r="N366" s="2" t="s">
        <v>49</v>
      </c>
      <c r="O366" s="2" t="s">
        <v>146</v>
      </c>
      <c r="P366" s="2" t="s">
        <v>49</v>
      </c>
      <c r="Q366" s="2" t="s">
        <v>146</v>
      </c>
      <c r="R366" s="2" t="s">
        <v>49</v>
      </c>
      <c r="S366" s="2" t="s">
        <v>146</v>
      </c>
      <c r="U366" s="2">
        <f t="shared" si="10"/>
        <v>1.7</v>
      </c>
      <c r="V366" s="2">
        <f t="shared" si="11"/>
        <v>0</v>
      </c>
    </row>
    <row r="367" spans="1:22" ht="15" customHeight="1" x14ac:dyDescent="0.45">
      <c r="A367" s="2" t="s">
        <v>48</v>
      </c>
      <c r="B367" s="2" t="s">
        <v>207</v>
      </c>
      <c r="C367" s="2">
        <v>2019</v>
      </c>
      <c r="D367" s="2">
        <v>47.171999999999997</v>
      </c>
      <c r="E367" s="2">
        <v>20.609000000000002</v>
      </c>
      <c r="F367" s="2">
        <v>1.143</v>
      </c>
      <c r="G367" s="2">
        <v>5.9420000000000002</v>
      </c>
      <c r="H367" s="2" t="s">
        <v>146</v>
      </c>
      <c r="I367" s="2">
        <v>7.0750000000000002</v>
      </c>
      <c r="J367" s="2">
        <v>12.403</v>
      </c>
      <c r="K367" s="2" t="s">
        <v>146</v>
      </c>
      <c r="L367" s="2" t="s">
        <v>146</v>
      </c>
      <c r="M367" s="2" t="s">
        <v>146</v>
      </c>
      <c r="N367" s="2" t="s">
        <v>49</v>
      </c>
      <c r="O367" s="2" t="s">
        <v>146</v>
      </c>
      <c r="P367" s="2" t="s">
        <v>49</v>
      </c>
      <c r="Q367" s="2" t="s">
        <v>146</v>
      </c>
      <c r="R367" s="2" t="s">
        <v>49</v>
      </c>
      <c r="S367" s="2" t="s">
        <v>146</v>
      </c>
      <c r="U367" s="2">
        <f t="shared" si="10"/>
        <v>47.171999999999997</v>
      </c>
      <c r="V367" s="2">
        <f t="shared" si="11"/>
        <v>0</v>
      </c>
    </row>
    <row r="368" spans="1:22" ht="15" customHeight="1" x14ac:dyDescent="0.45">
      <c r="A368" s="2" t="s">
        <v>48</v>
      </c>
      <c r="B368" s="2" t="s">
        <v>206</v>
      </c>
      <c r="C368" s="2">
        <v>2019</v>
      </c>
      <c r="D368" s="2">
        <v>6.7089999999999996</v>
      </c>
      <c r="E368" s="2">
        <v>3.1589999999999998</v>
      </c>
      <c r="F368" s="2">
        <v>0.25600000000000001</v>
      </c>
      <c r="G368" s="2" t="s">
        <v>146</v>
      </c>
      <c r="H368" s="2" t="s">
        <v>146</v>
      </c>
      <c r="I368" s="2">
        <v>3.0289999999999999</v>
      </c>
      <c r="J368" s="2">
        <v>0.26500000000000001</v>
      </c>
      <c r="K368" s="2" t="s">
        <v>146</v>
      </c>
      <c r="L368" s="2" t="s">
        <v>146</v>
      </c>
      <c r="M368" s="2" t="s">
        <v>146</v>
      </c>
      <c r="N368" s="2" t="s">
        <v>49</v>
      </c>
      <c r="O368" s="2" t="s">
        <v>146</v>
      </c>
      <c r="P368" s="2" t="s">
        <v>49</v>
      </c>
      <c r="Q368" s="2" t="s">
        <v>146</v>
      </c>
      <c r="R368" s="2" t="s">
        <v>49</v>
      </c>
      <c r="S368" s="2" t="s">
        <v>146</v>
      </c>
      <c r="U368" s="2">
        <f t="shared" si="10"/>
        <v>6.7089999999999996</v>
      </c>
      <c r="V368" s="2">
        <f t="shared" si="11"/>
        <v>0</v>
      </c>
    </row>
    <row r="369" spans="1:22" ht="15" customHeight="1" x14ac:dyDescent="0.45">
      <c r="A369" s="2" t="s">
        <v>48</v>
      </c>
      <c r="B369" s="2" t="s">
        <v>205</v>
      </c>
      <c r="C369" s="2">
        <v>2019</v>
      </c>
      <c r="D369" s="2">
        <v>79.188999999999993</v>
      </c>
      <c r="E369" s="2">
        <v>12.831</v>
      </c>
      <c r="F369" s="2">
        <v>4.1159999999999997</v>
      </c>
      <c r="G369" s="2">
        <v>48.91</v>
      </c>
      <c r="H369" s="2" t="s">
        <v>146</v>
      </c>
      <c r="I369" s="2">
        <v>8.7579999999999991</v>
      </c>
      <c r="J369" s="2">
        <v>4.5730000000000004</v>
      </c>
      <c r="K369" s="2" t="s">
        <v>146</v>
      </c>
      <c r="L369" s="2" t="s">
        <v>146</v>
      </c>
      <c r="M369" s="2" t="s">
        <v>146</v>
      </c>
      <c r="N369" s="2" t="s">
        <v>49</v>
      </c>
      <c r="O369" s="2" t="s">
        <v>146</v>
      </c>
      <c r="P369" s="2" t="s">
        <v>49</v>
      </c>
      <c r="Q369" s="2" t="s">
        <v>146</v>
      </c>
      <c r="R369" s="2" t="s">
        <v>49</v>
      </c>
      <c r="S369" s="2" t="s">
        <v>146</v>
      </c>
      <c r="U369" s="2">
        <f t="shared" si="10"/>
        <v>79.188999999999993</v>
      </c>
      <c r="V369" s="2">
        <f t="shared" si="11"/>
        <v>0</v>
      </c>
    </row>
    <row r="370" spans="1:22" ht="15" customHeight="1" x14ac:dyDescent="0.45">
      <c r="A370" s="2" t="s">
        <v>48</v>
      </c>
      <c r="B370" s="2" t="s">
        <v>204</v>
      </c>
      <c r="C370" s="2">
        <v>2019</v>
      </c>
      <c r="D370" s="2" t="s">
        <v>49</v>
      </c>
      <c r="E370" s="2" t="s">
        <v>49</v>
      </c>
      <c r="F370" s="2" t="s">
        <v>49</v>
      </c>
      <c r="G370" s="2" t="s">
        <v>49</v>
      </c>
      <c r="H370" s="2" t="s">
        <v>49</v>
      </c>
      <c r="I370" s="2" t="s">
        <v>49</v>
      </c>
      <c r="J370" s="2" t="s">
        <v>49</v>
      </c>
      <c r="K370" s="2" t="s">
        <v>49</v>
      </c>
      <c r="L370" s="2" t="s">
        <v>49</v>
      </c>
      <c r="M370" s="2" t="s">
        <v>49</v>
      </c>
      <c r="N370" s="2" t="s">
        <v>49</v>
      </c>
      <c r="O370" s="2" t="s">
        <v>49</v>
      </c>
      <c r="P370" s="2" t="s">
        <v>49</v>
      </c>
      <c r="Q370" s="2" t="s">
        <v>49</v>
      </c>
      <c r="R370" s="2" t="s">
        <v>49</v>
      </c>
      <c r="S370" s="2" t="s">
        <v>49</v>
      </c>
      <c r="U370" s="2">
        <f t="shared" si="10"/>
        <v>0</v>
      </c>
      <c r="V370" s="2">
        <f t="shared" si="11"/>
        <v>0</v>
      </c>
    </row>
    <row r="371" spans="1:22" ht="15" customHeight="1" x14ac:dyDescent="0.45">
      <c r="A371" s="2" t="s">
        <v>197</v>
      </c>
      <c r="B371" s="2" t="s">
        <v>203</v>
      </c>
      <c r="C371" s="2">
        <v>2019</v>
      </c>
      <c r="D371" s="2">
        <v>1.8959999999999999</v>
      </c>
      <c r="E371" s="2">
        <v>0.57699999999999996</v>
      </c>
      <c r="F371" s="2">
        <v>1.2E-2</v>
      </c>
      <c r="G371" s="2">
        <v>0</v>
      </c>
      <c r="H371" s="2" t="s">
        <v>146</v>
      </c>
      <c r="I371" s="2">
        <v>1.306</v>
      </c>
      <c r="J371" s="2">
        <v>0</v>
      </c>
      <c r="K371" s="2" t="s">
        <v>146</v>
      </c>
      <c r="L371" s="2" t="s">
        <v>146</v>
      </c>
      <c r="M371" s="2" t="s">
        <v>146</v>
      </c>
      <c r="N371" s="2" t="s">
        <v>49</v>
      </c>
      <c r="O371" s="2" t="s">
        <v>146</v>
      </c>
      <c r="P371" s="2" t="s">
        <v>49</v>
      </c>
      <c r="Q371" s="2" t="s">
        <v>146</v>
      </c>
      <c r="R371" s="2" t="s">
        <v>49</v>
      </c>
      <c r="S371" s="2" t="s">
        <v>146</v>
      </c>
      <c r="U371" s="2">
        <f t="shared" si="10"/>
        <v>1.8959999999999999</v>
      </c>
      <c r="V371" s="2">
        <f t="shared" si="11"/>
        <v>0</v>
      </c>
    </row>
    <row r="372" spans="1:22" ht="15" customHeight="1" x14ac:dyDescent="0.45">
      <c r="A372" s="2" t="s">
        <v>197</v>
      </c>
      <c r="B372" s="2" t="s">
        <v>202</v>
      </c>
      <c r="C372" s="2">
        <v>2019</v>
      </c>
      <c r="D372" s="2">
        <v>3.23</v>
      </c>
      <c r="E372" s="2">
        <v>1.1759999999999999</v>
      </c>
      <c r="F372" s="2">
        <v>0.7</v>
      </c>
      <c r="G372" s="2">
        <v>0.89100000000000001</v>
      </c>
      <c r="H372" s="2" t="s">
        <v>146</v>
      </c>
      <c r="I372" s="2">
        <v>0.96499999999999997</v>
      </c>
      <c r="J372" s="2">
        <v>0.128</v>
      </c>
      <c r="K372" s="2" t="s">
        <v>146</v>
      </c>
      <c r="L372" s="2" t="s">
        <v>146</v>
      </c>
      <c r="M372" s="2" t="s">
        <v>146</v>
      </c>
      <c r="N372" s="2" t="s">
        <v>49</v>
      </c>
      <c r="O372" s="2" t="s">
        <v>146</v>
      </c>
      <c r="P372" s="2" t="s">
        <v>49</v>
      </c>
      <c r="Q372" s="2" t="s">
        <v>146</v>
      </c>
      <c r="R372" s="2" t="s">
        <v>49</v>
      </c>
      <c r="S372" s="2" t="s">
        <v>146</v>
      </c>
      <c r="U372" s="2">
        <f t="shared" si="10"/>
        <v>3.23</v>
      </c>
      <c r="V372" s="2">
        <f t="shared" si="11"/>
        <v>0</v>
      </c>
    </row>
    <row r="373" spans="1:22" ht="15" customHeight="1" x14ac:dyDescent="0.45">
      <c r="A373" s="2" t="s">
        <v>197</v>
      </c>
      <c r="B373" s="2" t="s">
        <v>201</v>
      </c>
      <c r="C373" s="2">
        <v>2019</v>
      </c>
      <c r="D373" s="2">
        <v>3.4129999999999998</v>
      </c>
      <c r="E373" s="2">
        <v>1.298</v>
      </c>
      <c r="F373" s="2">
        <v>7.4999999999999997E-2</v>
      </c>
      <c r="G373" s="2">
        <v>0</v>
      </c>
      <c r="H373" s="2" t="s">
        <v>146</v>
      </c>
      <c r="I373" s="2">
        <v>1.3959999999999999</v>
      </c>
      <c r="J373" s="2">
        <v>0.64300000000000002</v>
      </c>
      <c r="K373" s="2" t="s">
        <v>146</v>
      </c>
      <c r="L373" s="2" t="s">
        <v>146</v>
      </c>
      <c r="M373" s="2" t="s">
        <v>146</v>
      </c>
      <c r="N373" s="2" t="s">
        <v>49</v>
      </c>
      <c r="O373" s="2" t="s">
        <v>146</v>
      </c>
      <c r="P373" s="2" t="s">
        <v>49</v>
      </c>
      <c r="Q373" s="2" t="s">
        <v>146</v>
      </c>
      <c r="R373" s="2" t="s">
        <v>49</v>
      </c>
      <c r="S373" s="2" t="s">
        <v>146</v>
      </c>
      <c r="U373" s="2">
        <f t="shared" si="10"/>
        <v>3.4129999999999998</v>
      </c>
      <c r="V373" s="2">
        <f t="shared" si="11"/>
        <v>0</v>
      </c>
    </row>
    <row r="374" spans="1:22" ht="15" customHeight="1" x14ac:dyDescent="0.45">
      <c r="A374" s="2" t="s">
        <v>197</v>
      </c>
      <c r="B374" s="2" t="s">
        <v>199</v>
      </c>
      <c r="C374" s="2">
        <v>2019</v>
      </c>
      <c r="D374" s="2">
        <v>0.61499999999999999</v>
      </c>
      <c r="E374" s="2">
        <v>0</v>
      </c>
      <c r="F374" s="2">
        <v>0</v>
      </c>
      <c r="G374" s="2">
        <v>0</v>
      </c>
      <c r="H374" s="2" t="s">
        <v>146</v>
      </c>
      <c r="I374" s="2">
        <v>0.106</v>
      </c>
      <c r="J374" s="2">
        <v>0.50900000000000001</v>
      </c>
      <c r="K374" s="2" t="s">
        <v>146</v>
      </c>
      <c r="L374" s="2" t="s">
        <v>146</v>
      </c>
      <c r="M374" s="2" t="s">
        <v>146</v>
      </c>
      <c r="N374" s="2" t="s">
        <v>49</v>
      </c>
      <c r="O374" s="2" t="s">
        <v>146</v>
      </c>
      <c r="P374" s="2" t="s">
        <v>49</v>
      </c>
      <c r="Q374" s="2" t="s">
        <v>146</v>
      </c>
      <c r="R374" s="2" t="s">
        <v>49</v>
      </c>
      <c r="S374" s="2" t="s">
        <v>146</v>
      </c>
      <c r="U374" s="2">
        <f t="shared" si="10"/>
        <v>0.61499999999999999</v>
      </c>
      <c r="V374" s="2">
        <f t="shared" si="11"/>
        <v>0</v>
      </c>
    </row>
    <row r="375" spans="1:22" ht="15" customHeight="1" x14ac:dyDescent="0.45">
      <c r="A375" s="2" t="s">
        <v>197</v>
      </c>
      <c r="B375" s="2" t="s">
        <v>198</v>
      </c>
      <c r="C375" s="2">
        <v>2019</v>
      </c>
      <c r="D375" s="2">
        <v>9.1300000000000008</v>
      </c>
      <c r="E375" s="2">
        <v>2.67</v>
      </c>
      <c r="F375" s="2">
        <v>3.0219999999999998</v>
      </c>
      <c r="G375" s="2">
        <v>1.734</v>
      </c>
      <c r="H375" s="2" t="s">
        <v>146</v>
      </c>
      <c r="I375" s="2">
        <v>1.417</v>
      </c>
      <c r="J375" s="2">
        <v>0.28599999999999998</v>
      </c>
      <c r="K375" s="2" t="s">
        <v>146</v>
      </c>
      <c r="L375" s="2" t="s">
        <v>146</v>
      </c>
      <c r="M375" s="2" t="s">
        <v>146</v>
      </c>
      <c r="N375" s="2" t="s">
        <v>176</v>
      </c>
      <c r="O375" s="2" t="s">
        <v>146</v>
      </c>
      <c r="P375" s="2" t="s">
        <v>49</v>
      </c>
      <c r="Q375" s="2" t="s">
        <v>146</v>
      </c>
      <c r="R375" s="2" t="s">
        <v>176</v>
      </c>
      <c r="S375" s="2" t="s">
        <v>146</v>
      </c>
      <c r="U375" s="2">
        <f t="shared" si="10"/>
        <v>9.1300000000000008</v>
      </c>
      <c r="V375" s="2">
        <f t="shared" si="11"/>
        <v>0</v>
      </c>
    </row>
    <row r="376" spans="1:22" ht="15" customHeight="1" x14ac:dyDescent="0.45">
      <c r="A376" s="2" t="s">
        <v>197</v>
      </c>
      <c r="B376" s="2" t="s">
        <v>196</v>
      </c>
      <c r="C376" s="2">
        <v>2019</v>
      </c>
      <c r="D376" s="2">
        <v>140.29599999999999</v>
      </c>
      <c r="E376" s="2">
        <v>58.927999999999997</v>
      </c>
      <c r="F376" s="2">
        <v>16.268000000000001</v>
      </c>
      <c r="G376" s="2">
        <v>15.163</v>
      </c>
      <c r="H376" s="2" t="s">
        <v>146</v>
      </c>
      <c r="I376" s="2">
        <v>25.608000000000001</v>
      </c>
      <c r="J376" s="2">
        <v>24.329000000000001</v>
      </c>
      <c r="K376" s="2" t="s">
        <v>146</v>
      </c>
      <c r="L376" s="2" t="s">
        <v>146</v>
      </c>
      <c r="M376" s="2" t="s">
        <v>146</v>
      </c>
      <c r="N376" s="2" t="s">
        <v>49</v>
      </c>
      <c r="O376" s="2" t="s">
        <v>146</v>
      </c>
      <c r="P376" s="2" t="s">
        <v>49</v>
      </c>
      <c r="Q376" s="2" t="s">
        <v>146</v>
      </c>
      <c r="R376" s="2" t="s">
        <v>49</v>
      </c>
      <c r="S376" s="2" t="s">
        <v>146</v>
      </c>
      <c r="U376" s="2">
        <f t="shared" si="10"/>
        <v>140.29599999999999</v>
      </c>
      <c r="V376" s="2">
        <f t="shared" si="11"/>
        <v>0</v>
      </c>
    </row>
    <row r="377" spans="1:22" ht="15" customHeight="1" x14ac:dyDescent="0.45">
      <c r="A377" s="2" t="s">
        <v>191</v>
      </c>
      <c r="B377" s="2" t="s">
        <v>195</v>
      </c>
      <c r="C377" s="2">
        <v>2019</v>
      </c>
      <c r="D377" s="2">
        <v>94.289000000000001</v>
      </c>
      <c r="E377" s="2">
        <v>44.889000000000003</v>
      </c>
      <c r="F377" s="2">
        <v>3.931</v>
      </c>
      <c r="G377" s="2">
        <v>18.940999999999999</v>
      </c>
      <c r="H377" s="2" t="s">
        <v>146</v>
      </c>
      <c r="I377" s="2">
        <v>15.807</v>
      </c>
      <c r="J377" s="2">
        <v>10.544</v>
      </c>
      <c r="K377" s="2">
        <v>0.17699999999999999</v>
      </c>
      <c r="L377" s="2">
        <v>1.35</v>
      </c>
      <c r="M377" s="2">
        <v>18.940999999999999</v>
      </c>
      <c r="N377" s="2" t="s">
        <v>49</v>
      </c>
      <c r="O377" s="2" t="s">
        <v>146</v>
      </c>
      <c r="P377" s="2" t="s">
        <v>49</v>
      </c>
      <c r="Q377" s="2" t="s">
        <v>146</v>
      </c>
      <c r="R377" s="2" t="s">
        <v>49</v>
      </c>
      <c r="S377" s="2" t="s">
        <v>146</v>
      </c>
      <c r="U377" s="2">
        <f t="shared" si="10"/>
        <v>94.289000000000001</v>
      </c>
      <c r="V377" s="2">
        <f t="shared" si="11"/>
        <v>0</v>
      </c>
    </row>
    <row r="378" spans="1:22" ht="15" customHeight="1" x14ac:dyDescent="0.45">
      <c r="A378" s="2" t="s">
        <v>191</v>
      </c>
      <c r="B378" s="2" t="s">
        <v>193</v>
      </c>
      <c r="C378" s="2">
        <v>2019</v>
      </c>
      <c r="D378" s="2">
        <v>12.691000000000001</v>
      </c>
      <c r="E378" s="2">
        <v>6.0579999999999998</v>
      </c>
      <c r="F378" s="2">
        <v>1.2E-2</v>
      </c>
      <c r="G378" s="2">
        <v>1.54</v>
      </c>
      <c r="H378" s="2" t="s">
        <v>146</v>
      </c>
      <c r="I378" s="2">
        <v>3.0870000000000002</v>
      </c>
      <c r="J378" s="2">
        <v>1.9930000000000001</v>
      </c>
      <c r="K378" s="2" t="s">
        <v>146</v>
      </c>
      <c r="L378" s="2" t="s">
        <v>146</v>
      </c>
      <c r="M378" s="2">
        <v>1.54</v>
      </c>
      <c r="N378" s="2" t="s">
        <v>49</v>
      </c>
      <c r="O378" s="2" t="s">
        <v>146</v>
      </c>
      <c r="P378" s="2" t="s">
        <v>49</v>
      </c>
      <c r="Q378" s="2" t="s">
        <v>146</v>
      </c>
      <c r="R378" s="2" t="s">
        <v>49</v>
      </c>
      <c r="S378" s="2" t="s">
        <v>146</v>
      </c>
      <c r="U378" s="2">
        <f t="shared" si="10"/>
        <v>12.691000000000001</v>
      </c>
      <c r="V378" s="2">
        <f t="shared" si="11"/>
        <v>0</v>
      </c>
    </row>
    <row r="379" spans="1:22" ht="15" customHeight="1" x14ac:dyDescent="0.45">
      <c r="A379" s="2" t="s">
        <v>191</v>
      </c>
      <c r="B379" s="2" t="s">
        <v>192</v>
      </c>
      <c r="C379" s="2">
        <v>2019</v>
      </c>
      <c r="D379" s="2">
        <v>102.86799999999999</v>
      </c>
      <c r="E379" s="2">
        <v>52.627000000000002</v>
      </c>
      <c r="F379" s="2">
        <v>2.4350000000000001</v>
      </c>
      <c r="G379" s="2">
        <v>16.751000000000001</v>
      </c>
      <c r="H379" s="2" t="s">
        <v>146</v>
      </c>
      <c r="I379" s="2">
        <v>17.72</v>
      </c>
      <c r="J379" s="2">
        <v>13.351000000000001</v>
      </c>
      <c r="K379" s="2" t="s">
        <v>146</v>
      </c>
      <c r="L379" s="2" t="s">
        <v>146</v>
      </c>
      <c r="M379" s="2">
        <v>16.751000000000001</v>
      </c>
      <c r="N379" s="2" t="s">
        <v>49</v>
      </c>
      <c r="O379" s="2" t="s">
        <v>146</v>
      </c>
      <c r="P379" s="2" t="s">
        <v>49</v>
      </c>
      <c r="Q379" s="2" t="s">
        <v>146</v>
      </c>
      <c r="R379" s="2" t="s">
        <v>49</v>
      </c>
      <c r="S379" s="2" t="s">
        <v>146</v>
      </c>
      <c r="U379" s="2">
        <f t="shared" si="10"/>
        <v>102.86799999999999</v>
      </c>
      <c r="V379" s="2">
        <f t="shared" si="11"/>
        <v>0</v>
      </c>
    </row>
    <row r="380" spans="1:22" ht="15" customHeight="1" x14ac:dyDescent="0.45">
      <c r="A380" s="2" t="s">
        <v>191</v>
      </c>
      <c r="B380" s="2" t="s">
        <v>190</v>
      </c>
      <c r="C380" s="2">
        <v>2019</v>
      </c>
      <c r="D380" s="2">
        <v>18.343</v>
      </c>
      <c r="E380" s="2">
        <v>15.897</v>
      </c>
      <c r="F380" s="2">
        <v>8.5999999999999993E-2</v>
      </c>
      <c r="G380" s="2">
        <v>2.1389999999999998</v>
      </c>
      <c r="H380" s="2" t="s">
        <v>146</v>
      </c>
      <c r="I380" s="2">
        <v>0.17799999999999999</v>
      </c>
      <c r="J380" s="2">
        <v>4.3999999999999997E-2</v>
      </c>
      <c r="K380" s="2" t="s">
        <v>146</v>
      </c>
      <c r="L380" s="2" t="s">
        <v>146</v>
      </c>
      <c r="M380" s="2">
        <v>2.1389999999999998</v>
      </c>
      <c r="N380" s="2" t="s">
        <v>49</v>
      </c>
      <c r="O380" s="2" t="s">
        <v>146</v>
      </c>
      <c r="P380" s="2" t="s">
        <v>49</v>
      </c>
      <c r="Q380" s="2" t="s">
        <v>146</v>
      </c>
      <c r="R380" s="2" t="s">
        <v>49</v>
      </c>
      <c r="S380" s="2" t="s">
        <v>146</v>
      </c>
      <c r="U380" s="2">
        <f t="shared" si="10"/>
        <v>18.343</v>
      </c>
      <c r="V380" s="2">
        <f t="shared" si="11"/>
        <v>0</v>
      </c>
    </row>
    <row r="381" spans="1:22" ht="15" customHeight="1" x14ac:dyDescent="0.45">
      <c r="A381" s="2" t="s">
        <v>187</v>
      </c>
      <c r="B381" s="2" t="s">
        <v>189</v>
      </c>
      <c r="C381" s="2">
        <v>2019</v>
      </c>
      <c r="D381" s="2">
        <v>6.2</v>
      </c>
      <c r="E381" s="2">
        <v>1.7</v>
      </c>
      <c r="F381" s="2">
        <v>2.6</v>
      </c>
      <c r="G381" s="2">
        <v>0</v>
      </c>
      <c r="H381" s="2" t="s">
        <v>146</v>
      </c>
      <c r="I381" s="2">
        <v>1.2</v>
      </c>
      <c r="J381" s="2">
        <v>0.3</v>
      </c>
      <c r="K381" s="2" t="s">
        <v>146</v>
      </c>
      <c r="L381" s="2">
        <v>0.4</v>
      </c>
      <c r="M381" s="2" t="s">
        <v>146</v>
      </c>
      <c r="N381" s="2" t="s">
        <v>49</v>
      </c>
      <c r="O381" s="2" t="s">
        <v>146</v>
      </c>
      <c r="P381" s="2" t="s">
        <v>49</v>
      </c>
      <c r="Q381" s="2" t="s">
        <v>146</v>
      </c>
      <c r="R381" s="2" t="s">
        <v>49</v>
      </c>
      <c r="S381" s="2" t="s">
        <v>146</v>
      </c>
      <c r="U381" s="2">
        <f t="shared" si="10"/>
        <v>6.2</v>
      </c>
      <c r="V381" s="2">
        <f t="shared" si="11"/>
        <v>0</v>
      </c>
    </row>
    <row r="382" spans="1:22" ht="15" customHeight="1" x14ac:dyDescent="0.45">
      <c r="A382" s="2" t="s">
        <v>187</v>
      </c>
      <c r="B382" s="2" t="s">
        <v>188</v>
      </c>
      <c r="C382" s="2">
        <v>2019</v>
      </c>
      <c r="D382" s="2">
        <v>23.6</v>
      </c>
      <c r="E382" s="2">
        <v>7.4</v>
      </c>
      <c r="F382" s="2">
        <v>6.8</v>
      </c>
      <c r="G382" s="2">
        <v>0.7</v>
      </c>
      <c r="H382" s="2" t="s">
        <v>146</v>
      </c>
      <c r="I382" s="2">
        <v>5.2</v>
      </c>
      <c r="J382" s="2">
        <v>2.9</v>
      </c>
      <c r="K382" s="2" t="s">
        <v>146</v>
      </c>
      <c r="L382" s="2">
        <v>0.6</v>
      </c>
      <c r="M382" s="2" t="s">
        <v>146</v>
      </c>
      <c r="N382" s="2" t="s">
        <v>49</v>
      </c>
      <c r="O382" s="2" t="s">
        <v>146</v>
      </c>
      <c r="P382" s="2" t="s">
        <v>49</v>
      </c>
      <c r="Q382" s="2" t="s">
        <v>146</v>
      </c>
      <c r="R382" s="2" t="s">
        <v>49</v>
      </c>
      <c r="S382" s="2" t="s">
        <v>146</v>
      </c>
      <c r="U382" s="2">
        <f t="shared" si="10"/>
        <v>23.6</v>
      </c>
      <c r="V382" s="2">
        <f t="shared" si="11"/>
        <v>0</v>
      </c>
    </row>
    <row r="383" spans="1:22" ht="15" customHeight="1" x14ac:dyDescent="0.45">
      <c r="A383" s="2" t="s">
        <v>187</v>
      </c>
      <c r="B383" s="2" t="s">
        <v>186</v>
      </c>
      <c r="C383" s="2">
        <v>2019</v>
      </c>
      <c r="D383" s="2">
        <v>170.3</v>
      </c>
      <c r="E383" s="2">
        <v>64.900000000000006</v>
      </c>
      <c r="F383" s="2">
        <v>38</v>
      </c>
      <c r="G383" s="2">
        <v>7.5</v>
      </c>
      <c r="H383" s="2" t="s">
        <v>146</v>
      </c>
      <c r="I383" s="2">
        <v>24.8</v>
      </c>
      <c r="J383" s="2">
        <v>32.200000000000003</v>
      </c>
      <c r="K383" s="2" t="s">
        <v>146</v>
      </c>
      <c r="L383" s="2">
        <v>3</v>
      </c>
      <c r="M383" s="2" t="s">
        <v>146</v>
      </c>
      <c r="N383" s="2" t="s">
        <v>49</v>
      </c>
      <c r="O383" s="2" t="s">
        <v>146</v>
      </c>
      <c r="P383" s="2" t="s">
        <v>49</v>
      </c>
      <c r="Q383" s="2" t="s">
        <v>146</v>
      </c>
      <c r="R383" s="2" t="s">
        <v>49</v>
      </c>
      <c r="S383" s="2" t="s">
        <v>146</v>
      </c>
      <c r="U383" s="2">
        <f t="shared" si="10"/>
        <v>170.3</v>
      </c>
      <c r="V383" s="2">
        <f t="shared" si="11"/>
        <v>0</v>
      </c>
    </row>
    <row r="384" spans="1:22" ht="15" customHeight="1" x14ac:dyDescent="0.45">
      <c r="A384" s="2" t="s">
        <v>182</v>
      </c>
      <c r="B384" s="2" t="s">
        <v>185</v>
      </c>
      <c r="C384" s="2">
        <v>2019</v>
      </c>
      <c r="D384" s="2">
        <v>300</v>
      </c>
      <c r="E384" s="2">
        <v>140</v>
      </c>
      <c r="F384" s="2">
        <v>34</v>
      </c>
      <c r="G384" s="2" t="s">
        <v>146</v>
      </c>
      <c r="H384" s="2" t="s">
        <v>146</v>
      </c>
      <c r="I384" s="2">
        <v>32</v>
      </c>
      <c r="J384" s="2">
        <v>58</v>
      </c>
      <c r="K384" s="2" t="s">
        <v>146</v>
      </c>
      <c r="L384" s="2">
        <v>3</v>
      </c>
      <c r="M384" s="2">
        <v>33</v>
      </c>
      <c r="N384" s="2" t="s">
        <v>49</v>
      </c>
      <c r="O384" s="2" t="s">
        <v>146</v>
      </c>
      <c r="P384" s="2" t="s">
        <v>49</v>
      </c>
      <c r="Q384" s="2" t="s">
        <v>146</v>
      </c>
      <c r="R384" s="2" t="s">
        <v>49</v>
      </c>
      <c r="S384" s="2" t="s">
        <v>146</v>
      </c>
      <c r="U384" s="2">
        <f t="shared" si="10"/>
        <v>300</v>
      </c>
      <c r="V384" s="2">
        <f t="shared" si="11"/>
        <v>0</v>
      </c>
    </row>
    <row r="385" spans="1:22" ht="15" customHeight="1" x14ac:dyDescent="0.45">
      <c r="A385" s="2" t="s">
        <v>182</v>
      </c>
      <c r="B385" s="2" t="s">
        <v>184</v>
      </c>
      <c r="C385" s="2">
        <v>2019</v>
      </c>
      <c r="D385" s="2" t="s">
        <v>49</v>
      </c>
      <c r="E385" s="2" t="s">
        <v>49</v>
      </c>
      <c r="F385" s="2" t="s">
        <v>49</v>
      </c>
      <c r="G385" s="2" t="s">
        <v>49</v>
      </c>
      <c r="H385" s="2" t="s">
        <v>49</v>
      </c>
      <c r="I385" s="2" t="s">
        <v>49</v>
      </c>
      <c r="J385" s="2" t="s">
        <v>49</v>
      </c>
      <c r="K385" s="2" t="s">
        <v>49</v>
      </c>
      <c r="L385" s="2" t="s">
        <v>49</v>
      </c>
      <c r="M385" s="2" t="s">
        <v>49</v>
      </c>
      <c r="N385" s="2" t="s">
        <v>49</v>
      </c>
      <c r="O385" s="2" t="s">
        <v>49</v>
      </c>
      <c r="P385" s="2" t="s">
        <v>49</v>
      </c>
      <c r="Q385" s="2" t="s">
        <v>49</v>
      </c>
      <c r="R385" s="2" t="s">
        <v>49</v>
      </c>
      <c r="S385" s="2" t="s">
        <v>49</v>
      </c>
      <c r="U385" s="2">
        <f t="shared" si="10"/>
        <v>0</v>
      </c>
      <c r="V385" s="2">
        <f t="shared" si="11"/>
        <v>0</v>
      </c>
    </row>
    <row r="386" spans="1:22" ht="15" customHeight="1" x14ac:dyDescent="0.45">
      <c r="A386" s="2" t="s">
        <v>182</v>
      </c>
      <c r="B386" s="2" t="s">
        <v>183</v>
      </c>
      <c r="C386" s="2">
        <v>2019</v>
      </c>
      <c r="D386" s="2" t="s">
        <v>49</v>
      </c>
      <c r="E386" s="2" t="s">
        <v>49</v>
      </c>
      <c r="F386" s="2" t="s">
        <v>49</v>
      </c>
      <c r="G386" s="2" t="s">
        <v>49</v>
      </c>
      <c r="H386" s="2" t="s">
        <v>49</v>
      </c>
      <c r="I386" s="2" t="s">
        <v>49</v>
      </c>
      <c r="J386" s="2" t="s">
        <v>49</v>
      </c>
      <c r="K386" s="2" t="s">
        <v>49</v>
      </c>
      <c r="L386" s="2" t="s">
        <v>49</v>
      </c>
      <c r="M386" s="2" t="s">
        <v>49</v>
      </c>
      <c r="N386" s="2" t="s">
        <v>49</v>
      </c>
      <c r="O386" s="2" t="s">
        <v>49</v>
      </c>
      <c r="P386" s="2" t="s">
        <v>49</v>
      </c>
      <c r="Q386" s="2" t="s">
        <v>49</v>
      </c>
      <c r="R386" s="2" t="s">
        <v>49</v>
      </c>
      <c r="S386" s="2" t="s">
        <v>49</v>
      </c>
      <c r="U386" s="2">
        <f t="shared" si="10"/>
        <v>0</v>
      </c>
      <c r="V386" s="2">
        <f t="shared" si="11"/>
        <v>0</v>
      </c>
    </row>
    <row r="387" spans="1:22" ht="15" customHeight="1" x14ac:dyDescent="0.45">
      <c r="A387" s="2" t="s">
        <v>182</v>
      </c>
      <c r="B387" s="2" t="s">
        <v>181</v>
      </c>
      <c r="C387" s="2">
        <v>2019</v>
      </c>
      <c r="D387" s="2" t="s">
        <v>49</v>
      </c>
      <c r="E387" s="2" t="s">
        <v>49</v>
      </c>
      <c r="F387" s="2" t="s">
        <v>49</v>
      </c>
      <c r="G387" s="2" t="s">
        <v>49</v>
      </c>
      <c r="H387" s="2" t="s">
        <v>49</v>
      </c>
      <c r="I387" s="2" t="s">
        <v>49</v>
      </c>
      <c r="J387" s="2" t="s">
        <v>49</v>
      </c>
      <c r="K387" s="2" t="s">
        <v>49</v>
      </c>
      <c r="L387" s="2" t="s">
        <v>49</v>
      </c>
      <c r="M387" s="2" t="s">
        <v>49</v>
      </c>
      <c r="N387" s="2" t="s">
        <v>49</v>
      </c>
      <c r="O387" s="2" t="s">
        <v>49</v>
      </c>
      <c r="P387" s="2" t="s">
        <v>49</v>
      </c>
      <c r="Q387" s="2" t="s">
        <v>49</v>
      </c>
      <c r="R387" s="2" t="s">
        <v>49</v>
      </c>
      <c r="S387" s="2" t="s">
        <v>49</v>
      </c>
      <c r="U387" s="2">
        <f t="shared" ref="U387:U409" si="12">IFERROR(D387/1,0)</f>
        <v>0</v>
      </c>
      <c r="V387" s="2">
        <f t="shared" ref="V387:V409" si="13">IFERROR(O387/1,0)+IFERROR(Q387/1,0)+IFERROR(S387/1,0)</f>
        <v>0</v>
      </c>
    </row>
    <row r="388" spans="1:22" ht="15" customHeight="1" x14ac:dyDescent="0.45">
      <c r="A388" s="2" t="s">
        <v>175</v>
      </c>
      <c r="B388" s="2" t="s">
        <v>180</v>
      </c>
      <c r="C388" s="2">
        <v>2019</v>
      </c>
      <c r="D388" s="2">
        <v>12.743</v>
      </c>
      <c r="E388" s="2">
        <v>2.9609999999999999</v>
      </c>
      <c r="F388" s="2">
        <v>2.1960000000000002</v>
      </c>
      <c r="G388" s="2">
        <v>5.6779999999999999</v>
      </c>
      <c r="H388" s="2" t="s">
        <v>146</v>
      </c>
      <c r="I388" s="2">
        <v>1.2549999999999999</v>
      </c>
      <c r="J388" s="2">
        <v>0.68400000000000005</v>
      </c>
      <c r="K388" s="2" t="s">
        <v>146</v>
      </c>
      <c r="L388" s="2" t="s">
        <v>146</v>
      </c>
      <c r="M388" s="2" t="s">
        <v>146</v>
      </c>
      <c r="N388" s="2" t="s">
        <v>49</v>
      </c>
      <c r="O388" s="2" t="s">
        <v>146</v>
      </c>
      <c r="P388" s="2" t="s">
        <v>49</v>
      </c>
      <c r="Q388" s="2" t="s">
        <v>146</v>
      </c>
      <c r="R388" s="2" t="s">
        <v>49</v>
      </c>
      <c r="S388" s="2" t="s">
        <v>146</v>
      </c>
      <c r="U388" s="2">
        <f t="shared" si="12"/>
        <v>12.743</v>
      </c>
      <c r="V388" s="2">
        <f t="shared" si="13"/>
        <v>0</v>
      </c>
    </row>
    <row r="389" spans="1:22" ht="15" customHeight="1" x14ac:dyDescent="0.45">
      <c r="A389" s="2" t="s">
        <v>175</v>
      </c>
      <c r="B389" s="2" t="s">
        <v>179</v>
      </c>
      <c r="C389" s="2">
        <v>2019</v>
      </c>
      <c r="D389" s="2">
        <v>7.5730000000000004</v>
      </c>
      <c r="E389" s="2">
        <v>2.609</v>
      </c>
      <c r="F389" s="2">
        <v>2.44</v>
      </c>
      <c r="G389" s="2">
        <v>0</v>
      </c>
      <c r="H389" s="2" t="s">
        <v>146</v>
      </c>
      <c r="I389" s="2">
        <v>2.2679999999999998</v>
      </c>
      <c r="J389" s="2">
        <v>0.25700000000000001</v>
      </c>
      <c r="K389" s="2">
        <v>0</v>
      </c>
      <c r="L389" s="2" t="s">
        <v>146</v>
      </c>
      <c r="M389" s="2">
        <v>0</v>
      </c>
      <c r="N389" s="2" t="s">
        <v>49</v>
      </c>
      <c r="O389" s="2" t="s">
        <v>146</v>
      </c>
      <c r="P389" s="2" t="s">
        <v>49</v>
      </c>
      <c r="Q389" s="2" t="s">
        <v>146</v>
      </c>
      <c r="R389" s="2" t="s">
        <v>49</v>
      </c>
      <c r="S389" s="2" t="s">
        <v>146</v>
      </c>
      <c r="U389" s="2">
        <f t="shared" si="12"/>
        <v>7.5730000000000004</v>
      </c>
      <c r="V389" s="2">
        <f t="shared" si="13"/>
        <v>0</v>
      </c>
    </row>
    <row r="390" spans="1:22" ht="15" customHeight="1" x14ac:dyDescent="0.45">
      <c r="A390" s="2" t="s">
        <v>175</v>
      </c>
      <c r="B390" s="2" t="s">
        <v>178</v>
      </c>
      <c r="C390" s="2">
        <v>2019</v>
      </c>
      <c r="D390" s="2">
        <v>9.7870000000000008</v>
      </c>
      <c r="E390" s="2">
        <v>3.5409999999999999</v>
      </c>
      <c r="F390" s="2">
        <v>2.298</v>
      </c>
      <c r="G390" s="2">
        <v>1.5409999999999999</v>
      </c>
      <c r="H390" s="2" t="s">
        <v>146</v>
      </c>
      <c r="I390" s="2">
        <v>1.1950000000000001</v>
      </c>
      <c r="J390" s="2">
        <v>1.2110000000000001</v>
      </c>
      <c r="K390" s="2">
        <v>0</v>
      </c>
      <c r="L390" s="2" t="s">
        <v>146</v>
      </c>
      <c r="M390" s="2" t="s">
        <v>146</v>
      </c>
      <c r="N390" s="2" t="s">
        <v>49</v>
      </c>
      <c r="O390" s="2" t="s">
        <v>146</v>
      </c>
      <c r="P390" s="2" t="s">
        <v>49</v>
      </c>
      <c r="Q390" s="2" t="s">
        <v>146</v>
      </c>
      <c r="R390" s="2" t="s">
        <v>49</v>
      </c>
      <c r="S390" s="2" t="s">
        <v>146</v>
      </c>
      <c r="U390" s="2">
        <f t="shared" si="12"/>
        <v>9.7870000000000008</v>
      </c>
      <c r="V390" s="2">
        <f t="shared" si="13"/>
        <v>0</v>
      </c>
    </row>
    <row r="391" spans="1:22" ht="15" customHeight="1" x14ac:dyDescent="0.45">
      <c r="A391" s="2" t="s">
        <v>175</v>
      </c>
      <c r="B391" s="2" t="s">
        <v>177</v>
      </c>
      <c r="C391" s="2">
        <v>2019</v>
      </c>
      <c r="D391" s="2">
        <v>14.911</v>
      </c>
      <c r="E391" s="2" t="s">
        <v>146</v>
      </c>
      <c r="F391" s="2" t="s">
        <v>146</v>
      </c>
      <c r="G391" s="2" t="s">
        <v>146</v>
      </c>
      <c r="H391" s="2" t="s">
        <v>146</v>
      </c>
      <c r="I391" s="2" t="s">
        <v>146</v>
      </c>
      <c r="J391" s="2" t="s">
        <v>146</v>
      </c>
      <c r="K391" s="2" t="s">
        <v>146</v>
      </c>
      <c r="L391" s="2" t="s">
        <v>146</v>
      </c>
      <c r="M391" s="2" t="s">
        <v>146</v>
      </c>
      <c r="N391" s="2" t="s">
        <v>49</v>
      </c>
      <c r="O391" s="2" t="s">
        <v>146</v>
      </c>
      <c r="P391" s="2" t="s">
        <v>49</v>
      </c>
      <c r="Q391" s="2" t="s">
        <v>146</v>
      </c>
      <c r="R391" s="2" t="s">
        <v>49</v>
      </c>
      <c r="S391" s="2" t="s">
        <v>146</v>
      </c>
      <c r="U391" s="2">
        <f t="shared" si="12"/>
        <v>14.911</v>
      </c>
      <c r="V391" s="2">
        <f t="shared" si="13"/>
        <v>0</v>
      </c>
    </row>
    <row r="392" spans="1:22" ht="15" customHeight="1" x14ac:dyDescent="0.45">
      <c r="A392" s="2" t="s">
        <v>175</v>
      </c>
      <c r="B392" s="2" t="s">
        <v>174</v>
      </c>
      <c r="C392" s="2">
        <v>2019</v>
      </c>
      <c r="D392" s="2">
        <v>516.13099999999997</v>
      </c>
      <c r="E392" s="2">
        <v>222.68299999999999</v>
      </c>
      <c r="F392" s="2">
        <v>122.764</v>
      </c>
      <c r="G392" s="2">
        <v>10.115</v>
      </c>
      <c r="H392" s="2">
        <v>0</v>
      </c>
      <c r="I392" s="2">
        <v>44.99</v>
      </c>
      <c r="J392" s="2">
        <v>115.699</v>
      </c>
      <c r="K392" s="2">
        <v>0</v>
      </c>
      <c r="L392" s="2">
        <v>0</v>
      </c>
      <c r="M392" s="2">
        <v>0</v>
      </c>
      <c r="N392" s="2" t="s">
        <v>49</v>
      </c>
      <c r="O392" s="2" t="s">
        <v>146</v>
      </c>
      <c r="P392" s="2" t="s">
        <v>49</v>
      </c>
      <c r="Q392" s="2" t="s">
        <v>146</v>
      </c>
      <c r="R392" s="2" t="s">
        <v>49</v>
      </c>
      <c r="S392" s="2" t="s">
        <v>146</v>
      </c>
      <c r="U392" s="2">
        <f t="shared" si="12"/>
        <v>516.13099999999997</v>
      </c>
      <c r="V392" s="2">
        <f t="shared" si="13"/>
        <v>0</v>
      </c>
    </row>
    <row r="393" spans="1:22" ht="15" customHeight="1" x14ac:dyDescent="0.45">
      <c r="A393" s="2" t="s">
        <v>172</v>
      </c>
      <c r="B393" s="2" t="s">
        <v>171</v>
      </c>
      <c r="C393" s="2">
        <v>2019</v>
      </c>
      <c r="D393" s="2">
        <v>128.572</v>
      </c>
      <c r="E393" s="2">
        <v>73.421000000000006</v>
      </c>
      <c r="F393" s="2">
        <v>24.454000000000001</v>
      </c>
      <c r="G393" s="2">
        <v>0</v>
      </c>
      <c r="H393" s="2">
        <v>0</v>
      </c>
      <c r="I393" s="2">
        <v>21.02</v>
      </c>
      <c r="J393" s="2">
        <v>4.6890000000000001</v>
      </c>
      <c r="K393" s="2">
        <v>0</v>
      </c>
      <c r="L393" s="2">
        <v>0</v>
      </c>
      <c r="M393" s="2">
        <v>4.9870000000000001</v>
      </c>
      <c r="N393" s="2" t="s">
        <v>49</v>
      </c>
      <c r="O393" s="2" t="s">
        <v>146</v>
      </c>
      <c r="P393" s="2" t="s">
        <v>49</v>
      </c>
      <c r="Q393" s="2" t="s">
        <v>146</v>
      </c>
      <c r="R393" s="2" t="s">
        <v>49</v>
      </c>
      <c r="S393" s="2" t="s">
        <v>146</v>
      </c>
      <c r="U393" s="2">
        <f t="shared" si="12"/>
        <v>128.572</v>
      </c>
      <c r="V393" s="2">
        <f t="shared" si="13"/>
        <v>0</v>
      </c>
    </row>
    <row r="394" spans="1:22" ht="15" customHeight="1" x14ac:dyDescent="0.45">
      <c r="A394" s="2" t="s">
        <v>169</v>
      </c>
      <c r="B394" s="2" t="s">
        <v>170</v>
      </c>
      <c r="C394" s="2">
        <v>2019</v>
      </c>
      <c r="D394" s="2">
        <v>6.4</v>
      </c>
      <c r="E394" s="2">
        <v>3.5</v>
      </c>
      <c r="F394" s="2">
        <v>0.4</v>
      </c>
      <c r="G394" s="2" t="s">
        <v>146</v>
      </c>
      <c r="H394" s="2" t="s">
        <v>146</v>
      </c>
      <c r="I394" s="2">
        <v>1.6</v>
      </c>
      <c r="J394" s="2">
        <v>0.9</v>
      </c>
      <c r="K394" s="2" t="s">
        <v>146</v>
      </c>
      <c r="L394" s="2" t="s">
        <v>146</v>
      </c>
      <c r="M394" s="2" t="s">
        <v>146</v>
      </c>
      <c r="N394" s="2" t="s">
        <v>49</v>
      </c>
      <c r="O394" s="2" t="s">
        <v>146</v>
      </c>
      <c r="P394" s="2" t="s">
        <v>49</v>
      </c>
      <c r="Q394" s="2" t="s">
        <v>146</v>
      </c>
      <c r="R394" s="2" t="s">
        <v>49</v>
      </c>
      <c r="S394" s="2" t="s">
        <v>146</v>
      </c>
      <c r="U394" s="2">
        <f t="shared" si="12"/>
        <v>6.4</v>
      </c>
      <c r="V394" s="2">
        <f t="shared" si="13"/>
        <v>0</v>
      </c>
    </row>
    <row r="395" spans="1:22" ht="15" customHeight="1" x14ac:dyDescent="0.45">
      <c r="A395" s="2" t="s">
        <v>169</v>
      </c>
      <c r="B395" s="2" t="s">
        <v>168</v>
      </c>
      <c r="C395" s="2">
        <v>2019</v>
      </c>
      <c r="D395" s="2">
        <v>22.417999999999999</v>
      </c>
      <c r="E395" s="2">
        <v>10.423999999999999</v>
      </c>
      <c r="F395" s="2">
        <v>1.413</v>
      </c>
      <c r="G395" s="2">
        <v>1.2869999999999999</v>
      </c>
      <c r="H395" s="2" t="s">
        <v>146</v>
      </c>
      <c r="I395" s="2">
        <v>3.762</v>
      </c>
      <c r="J395" s="2">
        <v>5.2089999999999996</v>
      </c>
      <c r="K395" s="2">
        <v>0.34699999999999998</v>
      </c>
      <c r="L395" s="2" t="s">
        <v>146</v>
      </c>
      <c r="M395" s="2" t="s">
        <v>146</v>
      </c>
      <c r="N395" s="2" t="s">
        <v>49</v>
      </c>
      <c r="O395" s="2" t="s">
        <v>146</v>
      </c>
      <c r="P395" s="2" t="s">
        <v>49</v>
      </c>
      <c r="Q395" s="2" t="s">
        <v>146</v>
      </c>
      <c r="R395" s="2" t="s">
        <v>49</v>
      </c>
      <c r="S395" s="2" t="s">
        <v>146</v>
      </c>
      <c r="U395" s="2">
        <f t="shared" si="12"/>
        <v>22.417999999999999</v>
      </c>
      <c r="V395" s="2">
        <f t="shared" si="13"/>
        <v>0</v>
      </c>
    </row>
    <row r="396" spans="1:22" ht="15" customHeight="1" x14ac:dyDescent="0.45">
      <c r="A396" s="2" t="s">
        <v>167</v>
      </c>
      <c r="B396" s="2" t="s">
        <v>136</v>
      </c>
      <c r="C396" s="2">
        <v>2019</v>
      </c>
      <c r="D396" s="2" t="s">
        <v>49</v>
      </c>
      <c r="E396" s="2" t="s">
        <v>49</v>
      </c>
      <c r="F396" s="2" t="s">
        <v>49</v>
      </c>
      <c r="G396" s="2" t="s">
        <v>49</v>
      </c>
      <c r="H396" s="2" t="s">
        <v>49</v>
      </c>
      <c r="I396" s="2" t="s">
        <v>49</v>
      </c>
      <c r="J396" s="2" t="s">
        <v>49</v>
      </c>
      <c r="K396" s="2" t="s">
        <v>49</v>
      </c>
      <c r="L396" s="2" t="s">
        <v>49</v>
      </c>
      <c r="M396" s="2" t="s">
        <v>49</v>
      </c>
      <c r="N396" s="2" t="s">
        <v>49</v>
      </c>
      <c r="O396" s="2" t="s">
        <v>49</v>
      </c>
      <c r="P396" s="2" t="s">
        <v>49</v>
      </c>
      <c r="Q396" s="2" t="s">
        <v>49</v>
      </c>
      <c r="R396" s="2" t="s">
        <v>49</v>
      </c>
      <c r="S396" s="2" t="s">
        <v>49</v>
      </c>
      <c r="U396" s="2">
        <f t="shared" si="12"/>
        <v>0</v>
      </c>
      <c r="V396" s="2">
        <f t="shared" si="13"/>
        <v>0</v>
      </c>
    </row>
    <row r="397" spans="1:22" ht="15" customHeight="1" x14ac:dyDescent="0.45">
      <c r="A397" s="2" t="s">
        <v>162</v>
      </c>
      <c r="B397" s="2" t="s">
        <v>166</v>
      </c>
      <c r="C397" s="2">
        <v>2019</v>
      </c>
      <c r="D397" s="2">
        <v>958.4</v>
      </c>
      <c r="E397" s="2">
        <v>462.1</v>
      </c>
      <c r="F397" s="2">
        <v>144.80000000000001</v>
      </c>
      <c r="G397" s="2">
        <v>50.7</v>
      </c>
      <c r="H397" s="2" t="s">
        <v>146</v>
      </c>
      <c r="I397" s="2">
        <v>80.2</v>
      </c>
      <c r="J397" s="2">
        <v>113.7</v>
      </c>
      <c r="K397" s="2">
        <v>0.25</v>
      </c>
      <c r="L397" s="2">
        <v>6.9</v>
      </c>
      <c r="M397" s="2" t="s">
        <v>146</v>
      </c>
      <c r="N397" s="2" t="s">
        <v>1050</v>
      </c>
      <c r="O397" s="2">
        <v>104.4</v>
      </c>
      <c r="P397" s="2" t="s">
        <v>146</v>
      </c>
      <c r="Q397" s="2" t="s">
        <v>146</v>
      </c>
      <c r="R397" s="2" t="s">
        <v>146</v>
      </c>
      <c r="S397" s="2" t="s">
        <v>146</v>
      </c>
      <c r="U397" s="2">
        <f t="shared" si="12"/>
        <v>958.4</v>
      </c>
      <c r="V397" s="2">
        <f t="shared" si="13"/>
        <v>104.4</v>
      </c>
    </row>
    <row r="398" spans="1:22" ht="15" customHeight="1" x14ac:dyDescent="0.45">
      <c r="A398" s="2" t="s">
        <v>162</v>
      </c>
      <c r="B398" s="2" t="s">
        <v>164</v>
      </c>
      <c r="C398" s="2">
        <v>2019</v>
      </c>
      <c r="D398" s="2">
        <v>1.83</v>
      </c>
      <c r="E398" s="2">
        <v>0.73</v>
      </c>
      <c r="F398" s="2" t="s">
        <v>146</v>
      </c>
      <c r="G398" s="2" t="s">
        <v>146</v>
      </c>
      <c r="H398" s="2" t="s">
        <v>146</v>
      </c>
      <c r="I398" s="2">
        <v>1.1000000000000001</v>
      </c>
      <c r="J398" s="2" t="s">
        <v>146</v>
      </c>
      <c r="K398" s="2" t="s">
        <v>146</v>
      </c>
      <c r="L398" s="2" t="s">
        <v>146</v>
      </c>
      <c r="M398" s="2" t="s">
        <v>146</v>
      </c>
      <c r="N398" s="2" t="s">
        <v>49</v>
      </c>
      <c r="O398" s="2" t="s">
        <v>146</v>
      </c>
      <c r="P398" s="2" t="s">
        <v>49</v>
      </c>
      <c r="Q398" s="2" t="s">
        <v>146</v>
      </c>
      <c r="R398" s="2" t="s">
        <v>49</v>
      </c>
      <c r="S398" s="2" t="s">
        <v>146</v>
      </c>
      <c r="U398" s="2">
        <f t="shared" si="12"/>
        <v>1.83</v>
      </c>
      <c r="V398" s="2">
        <f t="shared" si="13"/>
        <v>0</v>
      </c>
    </row>
    <row r="399" spans="1:22" ht="15" customHeight="1" x14ac:dyDescent="0.45">
      <c r="A399" s="2" t="s">
        <v>162</v>
      </c>
      <c r="B399" s="2" t="s">
        <v>163</v>
      </c>
      <c r="C399" s="2">
        <v>2019</v>
      </c>
      <c r="D399" s="2">
        <v>7.3</v>
      </c>
      <c r="E399" s="2">
        <v>1.9</v>
      </c>
      <c r="F399" s="2">
        <v>2.4</v>
      </c>
      <c r="G399" s="2" t="s">
        <v>146</v>
      </c>
      <c r="H399" s="2" t="s">
        <v>146</v>
      </c>
      <c r="I399" s="2">
        <v>2.9</v>
      </c>
      <c r="J399" s="2">
        <v>0.1</v>
      </c>
      <c r="K399" s="2" t="s">
        <v>146</v>
      </c>
      <c r="L399" s="2" t="s">
        <v>146</v>
      </c>
      <c r="M399" s="2" t="s">
        <v>146</v>
      </c>
      <c r="N399" s="2" t="s">
        <v>49</v>
      </c>
      <c r="O399" s="2" t="s">
        <v>146</v>
      </c>
      <c r="P399" s="2" t="s">
        <v>49</v>
      </c>
      <c r="Q399" s="2" t="s">
        <v>146</v>
      </c>
      <c r="R399" s="2" t="s">
        <v>49</v>
      </c>
      <c r="S399" s="2" t="s">
        <v>146</v>
      </c>
      <c r="U399" s="2">
        <f t="shared" si="12"/>
        <v>7.3</v>
      </c>
      <c r="V399" s="2">
        <f t="shared" si="13"/>
        <v>0</v>
      </c>
    </row>
    <row r="400" spans="1:22" ht="15" customHeight="1" x14ac:dyDescent="0.45">
      <c r="A400" s="2" t="s">
        <v>162</v>
      </c>
      <c r="B400" s="2" t="s">
        <v>161</v>
      </c>
      <c r="C400" s="2">
        <v>2019</v>
      </c>
      <c r="D400" s="2">
        <v>161.465</v>
      </c>
      <c r="E400" s="2">
        <v>74.099999999999994</v>
      </c>
      <c r="F400" s="2">
        <v>35.89</v>
      </c>
      <c r="G400" s="2">
        <v>9.4600000000000009</v>
      </c>
      <c r="H400" s="2" t="s">
        <v>146</v>
      </c>
      <c r="I400" s="2">
        <v>32.35</v>
      </c>
      <c r="J400" s="2">
        <v>8.58</v>
      </c>
      <c r="K400" s="2" t="s">
        <v>146</v>
      </c>
      <c r="L400" s="2">
        <v>1.08</v>
      </c>
      <c r="M400" s="2" t="s">
        <v>146</v>
      </c>
      <c r="N400" s="2" t="s">
        <v>49</v>
      </c>
      <c r="O400" s="2" t="s">
        <v>146</v>
      </c>
      <c r="P400" s="2" t="s">
        <v>49</v>
      </c>
      <c r="Q400" s="2" t="s">
        <v>146</v>
      </c>
      <c r="R400" s="2" t="s">
        <v>49</v>
      </c>
      <c r="S400" s="2" t="s">
        <v>146</v>
      </c>
      <c r="U400" s="2">
        <f t="shared" si="12"/>
        <v>161.465</v>
      </c>
      <c r="V400" s="2">
        <f t="shared" si="13"/>
        <v>0</v>
      </c>
    </row>
    <row r="401" spans="1:22" ht="15" customHeight="1" x14ac:dyDescent="0.45">
      <c r="A401" s="2" t="s">
        <v>159</v>
      </c>
      <c r="B401" s="2" t="s">
        <v>158</v>
      </c>
      <c r="C401" s="2">
        <v>2019</v>
      </c>
      <c r="D401" s="2">
        <v>26.4</v>
      </c>
      <c r="E401" s="2">
        <v>9.1</v>
      </c>
      <c r="F401" s="2">
        <v>6.3</v>
      </c>
      <c r="G401" s="2">
        <v>1</v>
      </c>
      <c r="H401" s="2" t="s">
        <v>146</v>
      </c>
      <c r="I401" s="2">
        <v>6.4</v>
      </c>
      <c r="J401" s="2">
        <v>2.8</v>
      </c>
      <c r="K401" s="2" t="s">
        <v>146</v>
      </c>
      <c r="L401" s="2" t="s">
        <v>146</v>
      </c>
      <c r="M401" s="2" t="s">
        <v>146</v>
      </c>
      <c r="N401" s="2" t="s">
        <v>49</v>
      </c>
      <c r="O401" s="2" t="s">
        <v>146</v>
      </c>
      <c r="P401" s="2" t="s">
        <v>49</v>
      </c>
      <c r="Q401" s="2" t="s">
        <v>146</v>
      </c>
      <c r="R401" s="2" t="s">
        <v>49</v>
      </c>
      <c r="S401" s="2" t="s">
        <v>146</v>
      </c>
      <c r="U401" s="2">
        <f t="shared" si="12"/>
        <v>26.4</v>
      </c>
      <c r="V401" s="2">
        <f t="shared" si="13"/>
        <v>0</v>
      </c>
    </row>
    <row r="402" spans="1:22" ht="15" customHeight="1" x14ac:dyDescent="0.45">
      <c r="A402" s="2" t="s">
        <v>157</v>
      </c>
      <c r="B402" s="2" t="s">
        <v>156</v>
      </c>
      <c r="C402" s="2">
        <v>2019</v>
      </c>
      <c r="D402" s="2">
        <v>46.1</v>
      </c>
      <c r="E402" s="2">
        <v>28.9</v>
      </c>
      <c r="F402" s="2">
        <v>3.8</v>
      </c>
      <c r="G402" s="2" t="s">
        <v>146</v>
      </c>
      <c r="H402" s="2" t="s">
        <v>146</v>
      </c>
      <c r="I402" s="2">
        <v>7.5</v>
      </c>
      <c r="J402" s="2">
        <v>2.9</v>
      </c>
      <c r="K402" s="2" t="s">
        <v>146</v>
      </c>
      <c r="L402" s="2" t="s">
        <v>146</v>
      </c>
      <c r="M402" s="2">
        <v>3</v>
      </c>
      <c r="N402" s="2" t="s">
        <v>49</v>
      </c>
      <c r="O402" s="2" t="s">
        <v>146</v>
      </c>
      <c r="P402" s="2" t="s">
        <v>49</v>
      </c>
      <c r="Q402" s="2" t="s">
        <v>146</v>
      </c>
      <c r="R402" s="2" t="s">
        <v>49</v>
      </c>
      <c r="S402" s="2" t="s">
        <v>146</v>
      </c>
      <c r="U402" s="2">
        <f t="shared" si="12"/>
        <v>46.1</v>
      </c>
      <c r="V402" s="2">
        <f t="shared" si="13"/>
        <v>0</v>
      </c>
    </row>
    <row r="403" spans="1:22" ht="15" customHeight="1" x14ac:dyDescent="0.45">
      <c r="A403" s="2" t="s">
        <v>12</v>
      </c>
      <c r="B403" s="2" t="s">
        <v>14</v>
      </c>
      <c r="C403" s="2">
        <v>2019</v>
      </c>
      <c r="D403" s="2" t="s">
        <v>49</v>
      </c>
      <c r="E403" s="2" t="s">
        <v>49</v>
      </c>
      <c r="F403" s="2" t="s">
        <v>49</v>
      </c>
      <c r="G403" s="2" t="s">
        <v>49</v>
      </c>
      <c r="H403" s="2" t="s">
        <v>49</v>
      </c>
      <c r="I403" s="2" t="s">
        <v>49</v>
      </c>
      <c r="J403" s="2" t="s">
        <v>49</v>
      </c>
      <c r="K403" s="2" t="s">
        <v>49</v>
      </c>
      <c r="L403" s="2" t="s">
        <v>49</v>
      </c>
      <c r="M403" s="2" t="s">
        <v>49</v>
      </c>
      <c r="N403" s="2" t="s">
        <v>49</v>
      </c>
      <c r="O403" s="2" t="s">
        <v>49</v>
      </c>
      <c r="P403" s="2" t="s">
        <v>49</v>
      </c>
      <c r="Q403" s="2" t="s">
        <v>49</v>
      </c>
      <c r="R403" s="2" t="s">
        <v>49</v>
      </c>
      <c r="S403" s="2" t="s">
        <v>49</v>
      </c>
      <c r="U403" s="2">
        <f t="shared" si="12"/>
        <v>0</v>
      </c>
      <c r="V403" s="2">
        <f t="shared" si="13"/>
        <v>0</v>
      </c>
    </row>
    <row r="404" spans="1:22" ht="15" customHeight="1" x14ac:dyDescent="0.45">
      <c r="A404" s="2" t="s">
        <v>149</v>
      </c>
      <c r="B404" s="2" t="s">
        <v>154</v>
      </c>
      <c r="C404" s="2">
        <v>2019</v>
      </c>
      <c r="D404" s="2">
        <v>6.83</v>
      </c>
      <c r="E404" s="2">
        <v>2.92</v>
      </c>
      <c r="F404" s="2">
        <v>0.95</v>
      </c>
      <c r="G404" s="2">
        <v>0.64</v>
      </c>
      <c r="H404" s="2">
        <v>0</v>
      </c>
      <c r="I404" s="2">
        <v>1.69</v>
      </c>
      <c r="J404" s="2">
        <v>0.63</v>
      </c>
      <c r="K404" s="2" t="s">
        <v>146</v>
      </c>
      <c r="L404" s="2" t="s">
        <v>146</v>
      </c>
      <c r="M404" s="2" t="s">
        <v>146</v>
      </c>
      <c r="N404" s="2" t="s">
        <v>49</v>
      </c>
      <c r="O404" s="2" t="s">
        <v>146</v>
      </c>
      <c r="P404" s="2" t="s">
        <v>49</v>
      </c>
      <c r="Q404" s="2" t="s">
        <v>146</v>
      </c>
      <c r="R404" s="2" t="s">
        <v>49</v>
      </c>
      <c r="S404" s="2" t="s">
        <v>146</v>
      </c>
      <c r="U404" s="2">
        <f t="shared" si="12"/>
        <v>6.83</v>
      </c>
      <c r="V404" s="2">
        <f t="shared" si="13"/>
        <v>0</v>
      </c>
    </row>
    <row r="405" spans="1:22" ht="15" customHeight="1" x14ac:dyDescent="0.45">
      <c r="A405" s="2" t="s">
        <v>149</v>
      </c>
      <c r="B405" s="2" t="s">
        <v>153</v>
      </c>
      <c r="C405" s="2">
        <v>2019</v>
      </c>
      <c r="D405" s="2">
        <v>5.35</v>
      </c>
      <c r="E405" s="2">
        <v>1.59</v>
      </c>
      <c r="F405" s="2">
        <v>1.7</v>
      </c>
      <c r="G405" s="2" t="s">
        <v>146</v>
      </c>
      <c r="H405" s="2" t="s">
        <v>146</v>
      </c>
      <c r="I405" s="2">
        <v>1.8</v>
      </c>
      <c r="J405" s="2">
        <v>0.26</v>
      </c>
      <c r="K405" s="2" t="s">
        <v>146</v>
      </c>
      <c r="L405" s="2" t="s">
        <v>146</v>
      </c>
      <c r="M405" s="2" t="s">
        <v>146</v>
      </c>
      <c r="N405" s="2" t="s">
        <v>49</v>
      </c>
      <c r="O405" s="2" t="s">
        <v>146</v>
      </c>
      <c r="P405" s="2" t="s">
        <v>49</v>
      </c>
      <c r="Q405" s="2" t="s">
        <v>146</v>
      </c>
      <c r="R405" s="2" t="s">
        <v>49</v>
      </c>
      <c r="S405" s="2" t="s">
        <v>146</v>
      </c>
      <c r="U405" s="2">
        <f t="shared" si="12"/>
        <v>5.35</v>
      </c>
      <c r="V405" s="2">
        <f t="shared" si="13"/>
        <v>0</v>
      </c>
    </row>
    <row r="406" spans="1:22" ht="15" customHeight="1" x14ac:dyDescent="0.45">
      <c r="A406" s="2" t="s">
        <v>149</v>
      </c>
      <c r="B406" s="2" t="s">
        <v>152</v>
      </c>
      <c r="C406" s="2">
        <v>2019</v>
      </c>
      <c r="D406" s="2">
        <v>6.68</v>
      </c>
      <c r="E406" s="2">
        <v>1.91</v>
      </c>
      <c r="F406" s="2">
        <v>1.04</v>
      </c>
      <c r="G406" s="2" t="s">
        <v>146</v>
      </c>
      <c r="H406" s="2" t="s">
        <v>146</v>
      </c>
      <c r="I406" s="2">
        <v>2.08</v>
      </c>
      <c r="J406" s="2">
        <v>1.65</v>
      </c>
      <c r="K406" s="2">
        <v>0</v>
      </c>
      <c r="L406" s="2" t="s">
        <v>146</v>
      </c>
      <c r="M406" s="2" t="s">
        <v>146</v>
      </c>
      <c r="N406" s="2" t="s">
        <v>49</v>
      </c>
      <c r="O406" s="2" t="s">
        <v>146</v>
      </c>
      <c r="P406" s="2" t="s">
        <v>49</v>
      </c>
      <c r="Q406" s="2" t="s">
        <v>146</v>
      </c>
      <c r="R406" s="2" t="s">
        <v>49</v>
      </c>
      <c r="S406" s="2" t="s">
        <v>146</v>
      </c>
      <c r="U406" s="2">
        <f t="shared" si="12"/>
        <v>6.68</v>
      </c>
      <c r="V406" s="2">
        <f t="shared" si="13"/>
        <v>0</v>
      </c>
    </row>
    <row r="407" spans="1:22" ht="15" customHeight="1" x14ac:dyDescent="0.45">
      <c r="A407" s="2" t="s">
        <v>149</v>
      </c>
      <c r="B407" s="2" t="s">
        <v>151</v>
      </c>
      <c r="C407" s="2">
        <v>2019</v>
      </c>
      <c r="D407" s="2">
        <v>0.43</v>
      </c>
      <c r="E407" s="2" t="s">
        <v>146</v>
      </c>
      <c r="F407" s="2">
        <v>7.1999999999999995E-2</v>
      </c>
      <c r="G407" s="2" t="s">
        <v>146</v>
      </c>
      <c r="H407" s="2" t="s">
        <v>146</v>
      </c>
      <c r="I407" s="2">
        <v>0.36</v>
      </c>
      <c r="J407" s="2" t="s">
        <v>146</v>
      </c>
      <c r="K407" s="2" t="s">
        <v>146</v>
      </c>
      <c r="L407" s="2" t="s">
        <v>146</v>
      </c>
      <c r="M407" s="2" t="s">
        <v>146</v>
      </c>
      <c r="N407" s="2" t="s">
        <v>49</v>
      </c>
      <c r="O407" s="2" t="s">
        <v>146</v>
      </c>
      <c r="P407" s="2" t="s">
        <v>49</v>
      </c>
      <c r="Q407" s="2" t="s">
        <v>146</v>
      </c>
      <c r="R407" s="2" t="s">
        <v>49</v>
      </c>
      <c r="S407" s="2" t="s">
        <v>146</v>
      </c>
      <c r="U407" s="2">
        <f t="shared" si="12"/>
        <v>0.43</v>
      </c>
      <c r="V407" s="2">
        <f t="shared" si="13"/>
        <v>0</v>
      </c>
    </row>
    <row r="408" spans="1:22" ht="15" customHeight="1" x14ac:dyDescent="0.45">
      <c r="A408" s="2" t="s">
        <v>149</v>
      </c>
      <c r="B408" s="2" t="s">
        <v>150</v>
      </c>
      <c r="C408" s="2">
        <v>2019</v>
      </c>
      <c r="D408" s="2">
        <v>267.3</v>
      </c>
      <c r="E408" s="2" t="s">
        <v>146</v>
      </c>
      <c r="F408" s="2" t="s">
        <v>146</v>
      </c>
      <c r="G408" s="2">
        <v>267.3</v>
      </c>
      <c r="H408" s="2" t="s">
        <v>146</v>
      </c>
      <c r="I408" s="2" t="s">
        <v>146</v>
      </c>
      <c r="J408" s="2" t="s">
        <v>146</v>
      </c>
      <c r="K408" s="2" t="s">
        <v>146</v>
      </c>
      <c r="L408" s="2" t="s">
        <v>146</v>
      </c>
      <c r="M408" s="2" t="s">
        <v>146</v>
      </c>
      <c r="N408" s="2" t="s">
        <v>49</v>
      </c>
      <c r="O408" s="2" t="s">
        <v>146</v>
      </c>
      <c r="P408" s="2" t="s">
        <v>49</v>
      </c>
      <c r="Q408" s="2" t="s">
        <v>146</v>
      </c>
      <c r="R408" s="2" t="s">
        <v>49</v>
      </c>
      <c r="S408" s="2" t="s">
        <v>146</v>
      </c>
      <c r="U408" s="2">
        <f t="shared" si="12"/>
        <v>267.3</v>
      </c>
      <c r="V408" s="2">
        <f t="shared" si="13"/>
        <v>0</v>
      </c>
    </row>
    <row r="409" spans="1:22" ht="15" customHeight="1" x14ac:dyDescent="0.45">
      <c r="A409" s="2" t="s">
        <v>149</v>
      </c>
      <c r="B409" s="2" t="s">
        <v>148</v>
      </c>
      <c r="C409" s="2">
        <v>2019</v>
      </c>
      <c r="D409" s="2">
        <v>232.97</v>
      </c>
      <c r="E409" s="2">
        <v>79.59</v>
      </c>
      <c r="F409" s="2">
        <v>54.63</v>
      </c>
      <c r="G409" s="2">
        <v>25.94</v>
      </c>
      <c r="H409" s="2" t="s">
        <v>146</v>
      </c>
      <c r="I409" s="2">
        <v>31.79</v>
      </c>
      <c r="J409" s="2">
        <v>38.450000000000003</v>
      </c>
      <c r="K409" s="2">
        <v>2.5499999999999998</v>
      </c>
      <c r="L409" s="2" t="s">
        <v>146</v>
      </c>
      <c r="M409" s="2" t="s">
        <v>146</v>
      </c>
      <c r="N409" s="2" t="s">
        <v>49</v>
      </c>
      <c r="O409" s="2" t="s">
        <v>146</v>
      </c>
      <c r="P409" s="2" t="s">
        <v>49</v>
      </c>
      <c r="Q409" s="2" t="s">
        <v>146</v>
      </c>
      <c r="R409" s="2" t="s">
        <v>49</v>
      </c>
      <c r="S409" s="2" t="s">
        <v>146</v>
      </c>
      <c r="U409" s="2">
        <f t="shared" si="12"/>
        <v>232.97</v>
      </c>
      <c r="V409" s="2">
        <f t="shared" si="13"/>
        <v>0</v>
      </c>
    </row>
  </sheetData>
  <autoFilter ref="A1:Y409" xr:uid="{B28D87E9-9883-402D-B984-2468B2A84DC3}"/>
  <conditionalFormatting sqref="B2:B1048576">
    <cfRule type="duplicateValues" dxfId="43" priority="5"/>
  </conditionalFormatting>
  <conditionalFormatting sqref="B1">
    <cfRule type="duplicateValues" dxfId="42" priority="4"/>
  </conditionalFormatting>
  <conditionalFormatting sqref="B1:B1048576">
    <cfRule type="duplicateValues" dxfId="41" priority="1"/>
    <cfRule type="duplicateValues" dxfId="40" priority="2"/>
    <cfRule type="duplicateValues" dxfId="39" priority="3"/>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9E5C5-1160-4D43-BAB5-151AD765C324}">
  <sheetPr codeName="Blad12">
    <tabColor theme="9" tint="0.39997558519241921"/>
  </sheetPr>
  <dimension ref="A1:AG709"/>
  <sheetViews>
    <sheetView workbookViewId="0">
      <pane xSplit="2" ySplit="1" topLeftCell="N527" activePane="bottomRight" state="frozen"/>
      <selection pane="topRight" activeCell="C1" sqref="C1"/>
      <selection pane="bottomLeft" activeCell="A2" sqref="A2"/>
      <selection pane="bottomRight" activeCell="P541" sqref="P541"/>
    </sheetView>
  </sheetViews>
  <sheetFormatPr defaultRowHeight="14.25" x14ac:dyDescent="0.45"/>
  <cols>
    <col min="1" max="1" width="39.86328125" style="134" bestFit="1" customWidth="1"/>
    <col min="2" max="2" width="29.73046875" style="133" customWidth="1"/>
    <col min="3" max="33" width="9.1328125" style="133"/>
  </cols>
  <sheetData>
    <row r="1" spans="1:33" s="24" customFormat="1" ht="85.5" x14ac:dyDescent="0.45">
      <c r="A1" s="125" t="s">
        <v>1254</v>
      </c>
      <c r="B1" s="125" t="s">
        <v>2</v>
      </c>
      <c r="C1" s="125" t="s">
        <v>1227</v>
      </c>
      <c r="D1" s="125" t="s">
        <v>726</v>
      </c>
      <c r="E1" s="125" t="s">
        <v>766</v>
      </c>
      <c r="F1" s="125" t="s">
        <v>1226</v>
      </c>
      <c r="G1" s="125" t="s">
        <v>739</v>
      </c>
      <c r="H1" s="125" t="s">
        <v>736</v>
      </c>
      <c r="I1" s="125" t="s">
        <v>1225</v>
      </c>
      <c r="J1" s="125" t="s">
        <v>747</v>
      </c>
      <c r="K1" s="125" t="s">
        <v>1293</v>
      </c>
      <c r="L1" s="125" t="s">
        <v>745</v>
      </c>
      <c r="M1" s="125" t="s">
        <v>1224</v>
      </c>
      <c r="N1" s="125" t="s">
        <v>727</v>
      </c>
      <c r="O1" s="125" t="s">
        <v>1294</v>
      </c>
      <c r="P1" s="125" t="s">
        <v>1223</v>
      </c>
      <c r="Q1" s="125" t="s">
        <v>783</v>
      </c>
      <c r="R1" s="125" t="s">
        <v>1222</v>
      </c>
      <c r="S1" s="125" t="s">
        <v>1221</v>
      </c>
      <c r="T1" s="125" t="s">
        <v>1220</v>
      </c>
      <c r="U1" s="125" t="s">
        <v>754</v>
      </c>
      <c r="V1" s="125" t="s">
        <v>1219</v>
      </c>
      <c r="W1" s="125" t="s">
        <v>1218</v>
      </c>
      <c r="X1" s="125" t="s">
        <v>1217</v>
      </c>
      <c r="Y1" s="125" t="s">
        <v>1216</v>
      </c>
      <c r="Z1" s="125" t="s">
        <v>1215</v>
      </c>
      <c r="AA1" s="125" t="s">
        <v>1214</v>
      </c>
      <c r="AB1" s="125" t="s">
        <v>1213</v>
      </c>
      <c r="AC1" s="125" t="s">
        <v>1297</v>
      </c>
      <c r="AD1" s="125" t="s">
        <v>1212</v>
      </c>
      <c r="AE1" s="125" t="s">
        <v>1296</v>
      </c>
      <c r="AF1" s="125" t="s">
        <v>1295</v>
      </c>
      <c r="AG1" s="125" t="s">
        <v>1256</v>
      </c>
    </row>
    <row r="2" spans="1:33" x14ac:dyDescent="0.45">
      <c r="A2" s="126" t="s">
        <v>15</v>
      </c>
      <c r="B2" s="129"/>
      <c r="C2" s="129">
        <v>0</v>
      </c>
      <c r="D2" s="129">
        <v>68.287000000000006</v>
      </c>
      <c r="E2" s="129">
        <v>0</v>
      </c>
      <c r="F2" s="129">
        <v>0</v>
      </c>
      <c r="G2" s="129">
        <v>2.6539999999999999</v>
      </c>
      <c r="H2" s="129">
        <v>1.9950000000000001</v>
      </c>
      <c r="I2" s="129">
        <v>0</v>
      </c>
      <c r="J2" s="129">
        <v>5.5070000000000006</v>
      </c>
      <c r="K2" s="129">
        <v>0</v>
      </c>
      <c r="L2" s="129">
        <v>0</v>
      </c>
      <c r="M2" s="129">
        <v>0</v>
      </c>
      <c r="N2" s="129">
        <v>0</v>
      </c>
      <c r="O2" s="129">
        <v>0</v>
      </c>
      <c r="P2" s="129">
        <v>39.463999999999999</v>
      </c>
      <c r="Q2" s="129">
        <v>89.361000000000004</v>
      </c>
      <c r="R2" s="129">
        <v>0</v>
      </c>
      <c r="S2" s="129">
        <v>0</v>
      </c>
      <c r="T2" s="129">
        <v>0</v>
      </c>
      <c r="U2" s="129">
        <v>0</v>
      </c>
      <c r="V2" s="129">
        <v>0</v>
      </c>
      <c r="W2" s="129">
        <v>11.345000000000001</v>
      </c>
      <c r="X2" s="129">
        <v>6.343</v>
      </c>
      <c r="Y2" s="129">
        <v>20.271999999999998</v>
      </c>
      <c r="Z2" s="129">
        <v>0</v>
      </c>
      <c r="AA2" s="129">
        <v>0</v>
      </c>
      <c r="AB2" s="129">
        <v>0</v>
      </c>
      <c r="AC2" s="129">
        <v>0</v>
      </c>
      <c r="AD2" s="129">
        <v>0.04</v>
      </c>
      <c r="AE2" s="129">
        <v>0</v>
      </c>
      <c r="AF2" s="129">
        <v>282.43239999999997</v>
      </c>
      <c r="AG2" s="129">
        <v>527.70040000000006</v>
      </c>
    </row>
    <row r="3" spans="1:33" x14ac:dyDescent="0.45">
      <c r="B3" s="130" t="s">
        <v>16</v>
      </c>
      <c r="C3" s="133">
        <v>0</v>
      </c>
      <c r="D3" s="133">
        <v>0</v>
      </c>
      <c r="E3" s="133">
        <v>0</v>
      </c>
      <c r="F3" s="133">
        <v>0</v>
      </c>
      <c r="G3" s="133">
        <v>0</v>
      </c>
      <c r="H3" s="133">
        <v>0.48099999999999998</v>
      </c>
      <c r="I3" s="133">
        <v>0</v>
      </c>
      <c r="J3" s="133">
        <v>0</v>
      </c>
      <c r="K3" s="133">
        <v>0</v>
      </c>
      <c r="L3" s="133">
        <v>0</v>
      </c>
      <c r="M3" s="133">
        <v>0</v>
      </c>
      <c r="N3" s="133">
        <v>0</v>
      </c>
      <c r="O3" s="133">
        <v>0</v>
      </c>
      <c r="P3" s="133">
        <v>0</v>
      </c>
      <c r="Q3" s="133">
        <v>0</v>
      </c>
      <c r="R3" s="133">
        <v>0</v>
      </c>
      <c r="S3" s="133">
        <v>0</v>
      </c>
      <c r="T3" s="133">
        <v>0</v>
      </c>
      <c r="U3" s="133">
        <v>0</v>
      </c>
      <c r="V3" s="133">
        <v>0</v>
      </c>
      <c r="W3" s="133">
        <v>0.14299999999999999</v>
      </c>
      <c r="X3" s="133">
        <v>0</v>
      </c>
      <c r="Y3" s="133">
        <v>8.4</v>
      </c>
      <c r="Z3" s="133">
        <v>0</v>
      </c>
      <c r="AA3" s="133">
        <v>0</v>
      </c>
      <c r="AB3" s="133">
        <v>0</v>
      </c>
      <c r="AC3" s="133">
        <v>0</v>
      </c>
      <c r="AD3" s="133">
        <v>0</v>
      </c>
      <c r="AE3" s="133">
        <v>0</v>
      </c>
      <c r="AF3" s="133">
        <v>0</v>
      </c>
      <c r="AG3" s="133">
        <v>9.0240000000000009</v>
      </c>
    </row>
    <row r="4" spans="1:33" x14ac:dyDescent="0.45">
      <c r="B4" s="130" t="s">
        <v>18</v>
      </c>
      <c r="C4" s="133">
        <v>0</v>
      </c>
      <c r="D4" s="133">
        <v>0</v>
      </c>
      <c r="E4" s="133">
        <v>0</v>
      </c>
      <c r="F4" s="133">
        <v>0</v>
      </c>
      <c r="G4" s="133">
        <v>0</v>
      </c>
      <c r="H4" s="133">
        <v>0</v>
      </c>
      <c r="I4" s="133">
        <v>0</v>
      </c>
      <c r="J4" s="133">
        <v>0.14899999999999999</v>
      </c>
      <c r="K4" s="133">
        <v>0</v>
      </c>
      <c r="L4" s="133">
        <v>0</v>
      </c>
      <c r="M4" s="133">
        <v>0</v>
      </c>
      <c r="N4" s="133">
        <v>0</v>
      </c>
      <c r="O4" s="133">
        <v>0</v>
      </c>
      <c r="P4" s="133">
        <v>0</v>
      </c>
      <c r="Q4" s="133">
        <v>0</v>
      </c>
      <c r="R4" s="133">
        <v>0</v>
      </c>
      <c r="S4" s="133">
        <v>0</v>
      </c>
      <c r="T4" s="133">
        <v>0</v>
      </c>
      <c r="U4" s="133">
        <v>0</v>
      </c>
      <c r="V4" s="133">
        <v>0</v>
      </c>
      <c r="W4" s="133">
        <v>0.59599999999999997</v>
      </c>
      <c r="X4" s="133">
        <v>0</v>
      </c>
      <c r="Y4" s="133">
        <v>0</v>
      </c>
      <c r="Z4" s="133">
        <v>0</v>
      </c>
      <c r="AA4" s="133">
        <v>0</v>
      </c>
      <c r="AB4" s="133">
        <v>0</v>
      </c>
      <c r="AC4" s="133">
        <v>0</v>
      </c>
      <c r="AD4" s="133">
        <v>0</v>
      </c>
      <c r="AE4" s="133">
        <v>0</v>
      </c>
      <c r="AF4" s="133">
        <v>18.361999999999998</v>
      </c>
      <c r="AG4" s="133">
        <v>19.106999999999999</v>
      </c>
    </row>
    <row r="5" spans="1:33" x14ac:dyDescent="0.45">
      <c r="B5" s="130" t="s">
        <v>20</v>
      </c>
      <c r="C5" s="133">
        <v>0</v>
      </c>
      <c r="D5" s="133">
        <v>68.287000000000006</v>
      </c>
      <c r="E5" s="133">
        <v>0</v>
      </c>
      <c r="F5" s="133">
        <v>0</v>
      </c>
      <c r="G5" s="133">
        <v>0</v>
      </c>
      <c r="H5" s="133">
        <v>0</v>
      </c>
      <c r="I5" s="133">
        <v>0</v>
      </c>
      <c r="J5" s="133">
        <v>0.97499999999999998</v>
      </c>
      <c r="K5" s="133">
        <v>0</v>
      </c>
      <c r="L5" s="133">
        <v>0</v>
      </c>
      <c r="M5" s="133">
        <v>0</v>
      </c>
      <c r="N5" s="133">
        <v>0</v>
      </c>
      <c r="O5" s="133">
        <v>0</v>
      </c>
      <c r="P5" s="133">
        <v>6.8360000000000003</v>
      </c>
      <c r="Q5" s="133">
        <v>18.297999999999998</v>
      </c>
      <c r="R5" s="133">
        <v>0</v>
      </c>
      <c r="S5" s="133">
        <v>0</v>
      </c>
      <c r="T5" s="133">
        <v>0</v>
      </c>
      <c r="U5" s="133">
        <v>0</v>
      </c>
      <c r="V5" s="133">
        <v>0</v>
      </c>
      <c r="W5" s="133">
        <v>4</v>
      </c>
      <c r="X5" s="133">
        <v>0</v>
      </c>
      <c r="Y5" s="133">
        <v>0</v>
      </c>
      <c r="Z5" s="133">
        <v>0</v>
      </c>
      <c r="AA5" s="133">
        <v>0</v>
      </c>
      <c r="AB5" s="133">
        <v>0</v>
      </c>
      <c r="AC5" s="133">
        <v>0</v>
      </c>
      <c r="AD5" s="133">
        <v>0</v>
      </c>
      <c r="AE5" s="133">
        <v>0</v>
      </c>
      <c r="AF5" s="133">
        <v>43.963999999999999</v>
      </c>
      <c r="AG5" s="133">
        <v>142.35999999999999</v>
      </c>
    </row>
    <row r="6" spans="1:33" x14ac:dyDescent="0.45">
      <c r="B6" s="130" t="s">
        <v>22</v>
      </c>
      <c r="C6" s="133">
        <v>0</v>
      </c>
      <c r="D6" s="133">
        <v>0</v>
      </c>
      <c r="E6" s="133">
        <v>0</v>
      </c>
      <c r="F6" s="133">
        <v>0</v>
      </c>
      <c r="G6" s="133">
        <v>0</v>
      </c>
      <c r="H6" s="133">
        <v>0</v>
      </c>
      <c r="I6" s="133">
        <v>0</v>
      </c>
      <c r="J6" s="133">
        <v>5.3999999999999999E-2</v>
      </c>
      <c r="K6" s="133">
        <v>0</v>
      </c>
      <c r="L6" s="133">
        <v>0</v>
      </c>
      <c r="M6" s="133">
        <v>0</v>
      </c>
      <c r="N6" s="133">
        <v>0</v>
      </c>
      <c r="O6" s="133">
        <v>0</v>
      </c>
      <c r="P6" s="133">
        <v>3.3</v>
      </c>
      <c r="Q6" s="133">
        <v>0</v>
      </c>
      <c r="R6" s="133">
        <v>0</v>
      </c>
      <c r="S6" s="133">
        <v>0</v>
      </c>
      <c r="T6" s="133">
        <v>0</v>
      </c>
      <c r="U6" s="133">
        <v>0</v>
      </c>
      <c r="V6" s="133">
        <v>0</v>
      </c>
      <c r="W6" s="133">
        <v>0.55600000000000005</v>
      </c>
      <c r="X6" s="133">
        <v>0</v>
      </c>
      <c r="Y6" s="133">
        <v>0</v>
      </c>
      <c r="Z6" s="133">
        <v>0</v>
      </c>
      <c r="AA6" s="133">
        <v>0</v>
      </c>
      <c r="AB6" s="133">
        <v>0</v>
      </c>
      <c r="AC6" s="133">
        <v>0</v>
      </c>
      <c r="AD6" s="133">
        <v>0</v>
      </c>
      <c r="AE6" s="133">
        <v>0</v>
      </c>
      <c r="AF6" s="133">
        <v>29.126000000000001</v>
      </c>
      <c r="AG6" s="133">
        <v>33.035999999999994</v>
      </c>
    </row>
    <row r="7" spans="1:33" x14ac:dyDescent="0.45">
      <c r="B7" s="130" t="s">
        <v>24</v>
      </c>
      <c r="C7" s="133">
        <v>0</v>
      </c>
      <c r="D7" s="133">
        <v>0</v>
      </c>
      <c r="E7" s="133">
        <v>0</v>
      </c>
      <c r="F7" s="133">
        <v>0</v>
      </c>
      <c r="G7" s="133">
        <v>0</v>
      </c>
      <c r="H7" s="133">
        <v>0</v>
      </c>
      <c r="I7" s="133">
        <v>0</v>
      </c>
      <c r="J7" s="133">
        <v>1.252</v>
      </c>
      <c r="K7" s="133">
        <v>0</v>
      </c>
      <c r="L7" s="133">
        <v>0</v>
      </c>
      <c r="M7" s="133">
        <v>0</v>
      </c>
      <c r="N7" s="133">
        <v>0</v>
      </c>
      <c r="O7" s="133">
        <v>0</v>
      </c>
      <c r="P7" s="133">
        <v>8.9290000000000003</v>
      </c>
      <c r="Q7" s="133">
        <v>0</v>
      </c>
      <c r="R7" s="133">
        <v>0</v>
      </c>
      <c r="S7" s="133">
        <v>0</v>
      </c>
      <c r="T7" s="133">
        <v>0</v>
      </c>
      <c r="U7" s="133">
        <v>0</v>
      </c>
      <c r="V7" s="133">
        <v>0</v>
      </c>
      <c r="W7" s="133">
        <v>2.23</v>
      </c>
      <c r="X7" s="133">
        <v>0</v>
      </c>
      <c r="Y7" s="133">
        <v>0</v>
      </c>
      <c r="Z7" s="133">
        <v>0</v>
      </c>
      <c r="AA7" s="133">
        <v>0</v>
      </c>
      <c r="AB7" s="133">
        <v>0</v>
      </c>
      <c r="AC7" s="133">
        <v>0</v>
      </c>
      <c r="AD7" s="133">
        <v>0</v>
      </c>
      <c r="AE7" s="133">
        <v>0</v>
      </c>
      <c r="AF7" s="133">
        <v>65.849000000000004</v>
      </c>
      <c r="AG7" s="133">
        <v>78.260000000000005</v>
      </c>
    </row>
    <row r="8" spans="1:33" x14ac:dyDescent="0.45">
      <c r="B8" s="130" t="s">
        <v>26</v>
      </c>
      <c r="C8" s="133">
        <v>0</v>
      </c>
      <c r="D8" s="133">
        <v>0</v>
      </c>
      <c r="E8" s="133">
        <v>0</v>
      </c>
      <c r="F8" s="133">
        <v>0</v>
      </c>
      <c r="G8" s="133">
        <v>0</v>
      </c>
      <c r="H8" s="133">
        <v>1.2</v>
      </c>
      <c r="I8" s="133">
        <v>0</v>
      </c>
      <c r="J8" s="133">
        <v>0</v>
      </c>
      <c r="K8" s="133">
        <v>0</v>
      </c>
      <c r="L8" s="133">
        <v>0</v>
      </c>
      <c r="M8" s="133">
        <v>0</v>
      </c>
      <c r="N8" s="133">
        <v>0</v>
      </c>
      <c r="O8" s="133">
        <v>0</v>
      </c>
      <c r="P8" s="133">
        <v>3.7679999999999998</v>
      </c>
      <c r="Q8" s="133">
        <v>0</v>
      </c>
      <c r="R8" s="133">
        <v>0</v>
      </c>
      <c r="S8" s="133">
        <v>0</v>
      </c>
      <c r="T8" s="133">
        <v>0</v>
      </c>
      <c r="U8" s="133">
        <v>0</v>
      </c>
      <c r="V8" s="133">
        <v>0</v>
      </c>
      <c r="W8" s="133">
        <v>0.95199999999999996</v>
      </c>
      <c r="X8" s="133">
        <v>0</v>
      </c>
      <c r="Y8" s="133">
        <v>0</v>
      </c>
      <c r="Z8" s="133">
        <v>0</v>
      </c>
      <c r="AA8" s="133">
        <v>0</v>
      </c>
      <c r="AB8" s="133">
        <v>0</v>
      </c>
      <c r="AC8" s="133">
        <v>0</v>
      </c>
      <c r="AD8" s="133">
        <v>0</v>
      </c>
      <c r="AE8" s="133">
        <v>0</v>
      </c>
      <c r="AF8" s="133">
        <v>27.614999999999998</v>
      </c>
      <c r="AG8" s="133">
        <v>33.534999999999997</v>
      </c>
    </row>
    <row r="9" spans="1:33" x14ac:dyDescent="0.45">
      <c r="B9" s="130" t="s">
        <v>28</v>
      </c>
      <c r="C9" s="133">
        <v>0</v>
      </c>
      <c r="D9" s="133">
        <v>0</v>
      </c>
      <c r="E9" s="133">
        <v>0</v>
      </c>
      <c r="F9" s="133">
        <v>0</v>
      </c>
      <c r="G9" s="133">
        <v>0</v>
      </c>
      <c r="H9" s="133">
        <v>0</v>
      </c>
      <c r="I9" s="133">
        <v>0</v>
      </c>
      <c r="J9" s="133">
        <v>2.7690000000000001</v>
      </c>
      <c r="K9" s="133">
        <v>0</v>
      </c>
      <c r="L9" s="133">
        <v>0</v>
      </c>
      <c r="M9" s="133">
        <v>0</v>
      </c>
      <c r="N9" s="133">
        <v>0</v>
      </c>
      <c r="O9" s="133">
        <v>0</v>
      </c>
      <c r="P9" s="133">
        <v>0</v>
      </c>
      <c r="Q9" s="133">
        <v>71.063000000000002</v>
      </c>
      <c r="R9" s="133">
        <v>0</v>
      </c>
      <c r="S9" s="133">
        <v>0</v>
      </c>
      <c r="T9" s="133">
        <v>0</v>
      </c>
      <c r="U9" s="133">
        <v>0</v>
      </c>
      <c r="V9" s="133">
        <v>0</v>
      </c>
      <c r="W9" s="133">
        <v>0.23599999999999999</v>
      </c>
      <c r="X9" s="133">
        <v>0</v>
      </c>
      <c r="Y9" s="133">
        <v>11.872</v>
      </c>
      <c r="Z9" s="133">
        <v>0</v>
      </c>
      <c r="AA9" s="133">
        <v>0</v>
      </c>
      <c r="AB9" s="133">
        <v>0</v>
      </c>
      <c r="AC9" s="133">
        <v>0</v>
      </c>
      <c r="AD9" s="133">
        <v>0</v>
      </c>
      <c r="AE9" s="133">
        <v>0</v>
      </c>
      <c r="AF9" s="133">
        <v>0</v>
      </c>
      <c r="AG9" s="133">
        <v>85.94</v>
      </c>
    </row>
    <row r="10" spans="1:33" x14ac:dyDescent="0.45">
      <c r="B10" s="130" t="s">
        <v>30</v>
      </c>
      <c r="C10" s="133">
        <v>0</v>
      </c>
      <c r="D10" s="133">
        <v>0</v>
      </c>
      <c r="E10" s="133">
        <v>0</v>
      </c>
      <c r="F10" s="133">
        <v>0</v>
      </c>
      <c r="G10" s="133">
        <v>1.119</v>
      </c>
      <c r="H10" s="133">
        <v>0</v>
      </c>
      <c r="I10" s="133">
        <v>0</v>
      </c>
      <c r="J10" s="133">
        <v>0.27800000000000002</v>
      </c>
      <c r="K10" s="133">
        <v>0</v>
      </c>
      <c r="L10" s="133">
        <v>0</v>
      </c>
      <c r="M10" s="133">
        <v>0</v>
      </c>
      <c r="N10" s="133">
        <v>0</v>
      </c>
      <c r="O10" s="133">
        <v>0</v>
      </c>
      <c r="P10" s="133">
        <v>2.7759999999999998</v>
      </c>
      <c r="Q10" s="133">
        <v>0</v>
      </c>
      <c r="R10" s="133">
        <v>0</v>
      </c>
      <c r="S10" s="133">
        <v>0</v>
      </c>
      <c r="T10" s="133">
        <v>0</v>
      </c>
      <c r="U10" s="133">
        <v>0</v>
      </c>
      <c r="V10" s="133">
        <v>0</v>
      </c>
      <c r="W10" s="133">
        <v>0.93200000000000005</v>
      </c>
      <c r="X10" s="133">
        <v>0</v>
      </c>
      <c r="Y10" s="133">
        <v>0</v>
      </c>
      <c r="Z10" s="133">
        <v>0</v>
      </c>
      <c r="AA10" s="133">
        <v>0</v>
      </c>
      <c r="AB10" s="133">
        <v>0</v>
      </c>
      <c r="AC10" s="133">
        <v>0</v>
      </c>
      <c r="AD10" s="133">
        <v>0</v>
      </c>
      <c r="AE10" s="133">
        <v>0</v>
      </c>
      <c r="AF10" s="133">
        <v>27.106000000000002</v>
      </c>
      <c r="AG10" s="133">
        <v>32.210999999999999</v>
      </c>
    </row>
    <row r="11" spans="1:33" x14ac:dyDescent="0.45">
      <c r="B11" s="130" t="s">
        <v>32</v>
      </c>
      <c r="C11" s="133">
        <v>0</v>
      </c>
      <c r="D11" s="133">
        <v>0</v>
      </c>
      <c r="E11" s="133">
        <v>0</v>
      </c>
      <c r="F11" s="133">
        <v>0</v>
      </c>
      <c r="G11" s="133">
        <v>1.5349999999999999</v>
      </c>
      <c r="H11" s="133">
        <v>0.314</v>
      </c>
      <c r="I11" s="133">
        <v>0</v>
      </c>
      <c r="J11" s="133">
        <v>0.03</v>
      </c>
      <c r="K11" s="133">
        <v>0</v>
      </c>
      <c r="L11" s="133">
        <v>0</v>
      </c>
      <c r="M11" s="133">
        <v>0</v>
      </c>
      <c r="N11" s="133">
        <v>0</v>
      </c>
      <c r="O11" s="133">
        <v>0</v>
      </c>
      <c r="P11" s="133">
        <v>13.855</v>
      </c>
      <c r="Q11" s="133">
        <v>0</v>
      </c>
      <c r="R11" s="133">
        <v>0</v>
      </c>
      <c r="S11" s="133">
        <v>0</v>
      </c>
      <c r="T11" s="133">
        <v>0</v>
      </c>
      <c r="U11" s="133">
        <v>0</v>
      </c>
      <c r="V11" s="133">
        <v>0</v>
      </c>
      <c r="W11" s="133">
        <v>1.7</v>
      </c>
      <c r="X11" s="133">
        <v>6.343</v>
      </c>
      <c r="Y11" s="133">
        <v>0</v>
      </c>
      <c r="Z11" s="133">
        <v>0</v>
      </c>
      <c r="AA11" s="133">
        <v>0</v>
      </c>
      <c r="AB11" s="133">
        <v>0</v>
      </c>
      <c r="AC11" s="133">
        <v>0</v>
      </c>
      <c r="AD11" s="133">
        <v>0.04</v>
      </c>
      <c r="AE11" s="133">
        <v>0</v>
      </c>
      <c r="AF11" s="133">
        <v>70.410399999999996</v>
      </c>
      <c r="AG11" s="133">
        <v>94.227400000000003</v>
      </c>
    </row>
    <row r="12" spans="1:33" x14ac:dyDescent="0.45">
      <c r="A12" s="126" t="s">
        <v>672</v>
      </c>
      <c r="B12" s="129"/>
      <c r="C12" s="129">
        <v>0</v>
      </c>
      <c r="D12" s="129">
        <v>0</v>
      </c>
      <c r="E12" s="129">
        <v>0</v>
      </c>
      <c r="F12" s="129">
        <v>0</v>
      </c>
      <c r="G12" s="129">
        <v>0</v>
      </c>
      <c r="H12" s="129">
        <v>0</v>
      </c>
      <c r="I12" s="129">
        <v>0.2</v>
      </c>
      <c r="J12" s="129">
        <v>1.3250000000000002</v>
      </c>
      <c r="K12" s="129">
        <v>0</v>
      </c>
      <c r="L12" s="129">
        <v>0</v>
      </c>
      <c r="M12" s="129">
        <v>0</v>
      </c>
      <c r="N12" s="129">
        <v>0</v>
      </c>
      <c r="O12" s="129">
        <v>0</v>
      </c>
      <c r="P12" s="129">
        <v>0</v>
      </c>
      <c r="Q12" s="129">
        <v>0</v>
      </c>
      <c r="R12" s="129">
        <v>0</v>
      </c>
      <c r="S12" s="129">
        <v>6.0289999999999999</v>
      </c>
      <c r="T12" s="129">
        <v>0</v>
      </c>
      <c r="U12" s="129">
        <v>0</v>
      </c>
      <c r="V12" s="129">
        <v>0</v>
      </c>
      <c r="W12" s="129">
        <v>1.8469999999999998</v>
      </c>
      <c r="X12" s="129">
        <v>0</v>
      </c>
      <c r="Y12" s="129">
        <v>11.026999999999999</v>
      </c>
      <c r="Z12" s="129">
        <v>0</v>
      </c>
      <c r="AA12" s="129">
        <v>0</v>
      </c>
      <c r="AB12" s="129">
        <v>0</v>
      </c>
      <c r="AC12" s="129">
        <v>0</v>
      </c>
      <c r="AD12" s="129">
        <v>0</v>
      </c>
      <c r="AE12" s="129">
        <v>0</v>
      </c>
      <c r="AF12" s="129">
        <v>75.938939999999988</v>
      </c>
      <c r="AG12" s="129">
        <v>96.36694</v>
      </c>
    </row>
    <row r="13" spans="1:33" x14ac:dyDescent="0.45">
      <c r="B13" s="130" t="s">
        <v>681</v>
      </c>
      <c r="C13" s="133">
        <v>0</v>
      </c>
      <c r="D13" s="133">
        <v>0</v>
      </c>
      <c r="E13" s="133">
        <v>0</v>
      </c>
      <c r="F13" s="133">
        <v>0</v>
      </c>
      <c r="G13" s="133">
        <v>0</v>
      </c>
      <c r="H13" s="133">
        <v>0</v>
      </c>
      <c r="I13" s="133">
        <v>0</v>
      </c>
      <c r="J13" s="133">
        <v>0</v>
      </c>
      <c r="K13" s="133">
        <v>0</v>
      </c>
      <c r="L13" s="133">
        <v>0</v>
      </c>
      <c r="M13" s="133">
        <v>0</v>
      </c>
      <c r="N13" s="133">
        <v>0</v>
      </c>
      <c r="O13" s="133">
        <v>0</v>
      </c>
      <c r="P13" s="133">
        <v>0</v>
      </c>
      <c r="Q13" s="133">
        <v>0</v>
      </c>
      <c r="R13" s="133">
        <v>0</v>
      </c>
      <c r="S13" s="133">
        <v>0</v>
      </c>
      <c r="T13" s="133">
        <v>0</v>
      </c>
      <c r="U13" s="133">
        <v>0</v>
      </c>
      <c r="V13" s="133">
        <v>0</v>
      </c>
      <c r="W13" s="133">
        <v>0.14699999999999999</v>
      </c>
      <c r="X13" s="133">
        <v>0</v>
      </c>
      <c r="Y13" s="133">
        <v>0</v>
      </c>
      <c r="Z13" s="133">
        <v>0</v>
      </c>
      <c r="AA13" s="133">
        <v>0</v>
      </c>
      <c r="AB13" s="133">
        <v>0</v>
      </c>
      <c r="AC13" s="133">
        <v>0</v>
      </c>
      <c r="AD13" s="133">
        <v>0</v>
      </c>
      <c r="AE13" s="133">
        <v>0</v>
      </c>
      <c r="AF13" s="133">
        <v>6.9529399999999999</v>
      </c>
      <c r="AG13" s="133">
        <v>7.0999400000000001</v>
      </c>
    </row>
    <row r="14" spans="1:33" x14ac:dyDescent="0.45">
      <c r="B14" s="130" t="s">
        <v>680</v>
      </c>
      <c r="C14" s="133">
        <v>0</v>
      </c>
      <c r="D14" s="133">
        <v>0</v>
      </c>
      <c r="E14" s="133">
        <v>0</v>
      </c>
      <c r="F14" s="133">
        <v>0</v>
      </c>
      <c r="G14" s="133">
        <v>0</v>
      </c>
      <c r="H14" s="133">
        <v>0</v>
      </c>
      <c r="I14" s="133">
        <v>0</v>
      </c>
      <c r="J14" s="133">
        <v>9.5000000000000001E-2</v>
      </c>
      <c r="K14" s="133">
        <v>0</v>
      </c>
      <c r="L14" s="133">
        <v>0</v>
      </c>
      <c r="M14" s="133">
        <v>0</v>
      </c>
      <c r="N14" s="133">
        <v>0</v>
      </c>
      <c r="O14" s="133">
        <v>0</v>
      </c>
      <c r="P14" s="133">
        <v>0</v>
      </c>
      <c r="Q14" s="133">
        <v>0</v>
      </c>
      <c r="R14" s="133">
        <v>0</v>
      </c>
      <c r="S14" s="133">
        <v>0</v>
      </c>
      <c r="T14" s="133">
        <v>0</v>
      </c>
      <c r="U14" s="133">
        <v>0</v>
      </c>
      <c r="V14" s="133">
        <v>0</v>
      </c>
      <c r="W14" s="133">
        <v>0.41299999999999998</v>
      </c>
      <c r="X14" s="133">
        <v>0</v>
      </c>
      <c r="Y14" s="133">
        <v>3.7749999999999999</v>
      </c>
      <c r="Z14" s="133">
        <v>0</v>
      </c>
      <c r="AA14" s="133">
        <v>0</v>
      </c>
      <c r="AB14" s="133">
        <v>0</v>
      </c>
      <c r="AC14" s="133">
        <v>0</v>
      </c>
      <c r="AD14" s="133">
        <v>0</v>
      </c>
      <c r="AE14" s="133">
        <v>0</v>
      </c>
      <c r="AF14" s="133">
        <v>16.954999999999998</v>
      </c>
      <c r="AG14" s="133">
        <v>21.238</v>
      </c>
    </row>
    <row r="15" spans="1:33" x14ac:dyDescent="0.45">
      <c r="B15" s="130" t="s">
        <v>679</v>
      </c>
      <c r="C15" s="133">
        <v>0</v>
      </c>
      <c r="D15" s="133">
        <v>0</v>
      </c>
      <c r="E15" s="133">
        <v>0</v>
      </c>
      <c r="F15" s="133">
        <v>0</v>
      </c>
      <c r="G15" s="133">
        <v>0</v>
      </c>
      <c r="H15" s="133">
        <v>0</v>
      </c>
      <c r="I15" s="133">
        <v>0</v>
      </c>
      <c r="J15" s="133">
        <v>3.6999999999999998E-2</v>
      </c>
      <c r="K15" s="133">
        <v>0</v>
      </c>
      <c r="L15" s="133">
        <v>0</v>
      </c>
      <c r="M15" s="133">
        <v>0</v>
      </c>
      <c r="N15" s="133">
        <v>0</v>
      </c>
      <c r="O15" s="133">
        <v>0</v>
      </c>
      <c r="P15" s="133">
        <v>0</v>
      </c>
      <c r="Q15" s="133">
        <v>0</v>
      </c>
      <c r="R15" s="133">
        <v>0</v>
      </c>
      <c r="S15" s="133">
        <v>6.0289999999999999</v>
      </c>
      <c r="T15" s="133">
        <v>0</v>
      </c>
      <c r="U15" s="133">
        <v>0</v>
      </c>
      <c r="V15" s="133">
        <v>0</v>
      </c>
      <c r="W15" s="133">
        <v>9.0999999999999998E-2</v>
      </c>
      <c r="X15" s="133">
        <v>0</v>
      </c>
      <c r="Y15" s="133">
        <v>0</v>
      </c>
      <c r="Z15" s="133">
        <v>0</v>
      </c>
      <c r="AA15" s="133">
        <v>0</v>
      </c>
      <c r="AB15" s="133">
        <v>0</v>
      </c>
      <c r="AC15" s="133">
        <v>0</v>
      </c>
      <c r="AD15" s="133">
        <v>0</v>
      </c>
      <c r="AE15" s="133">
        <v>0</v>
      </c>
      <c r="AF15" s="133">
        <v>0</v>
      </c>
      <c r="AG15" s="133">
        <v>6.157</v>
      </c>
    </row>
    <row r="16" spans="1:33" x14ac:dyDescent="0.45">
      <c r="B16" s="130" t="s">
        <v>678</v>
      </c>
      <c r="C16" s="133">
        <v>0</v>
      </c>
      <c r="D16" s="133">
        <v>0</v>
      </c>
      <c r="E16" s="133">
        <v>0</v>
      </c>
      <c r="F16" s="133">
        <v>0</v>
      </c>
      <c r="G16" s="133">
        <v>0</v>
      </c>
      <c r="H16" s="133">
        <v>0</v>
      </c>
      <c r="I16" s="133">
        <v>0</v>
      </c>
      <c r="J16" s="133">
        <v>2.7E-2</v>
      </c>
      <c r="K16" s="133">
        <v>0</v>
      </c>
      <c r="L16" s="133">
        <v>0</v>
      </c>
      <c r="M16" s="133">
        <v>0</v>
      </c>
      <c r="N16" s="133">
        <v>0</v>
      </c>
      <c r="O16" s="133">
        <v>0</v>
      </c>
      <c r="P16" s="133">
        <v>0</v>
      </c>
      <c r="Q16" s="133">
        <v>0</v>
      </c>
      <c r="R16" s="133">
        <v>0</v>
      </c>
      <c r="S16" s="133">
        <v>0</v>
      </c>
      <c r="T16" s="133">
        <v>0</v>
      </c>
      <c r="U16" s="133">
        <v>0</v>
      </c>
      <c r="V16" s="133">
        <v>0</v>
      </c>
      <c r="W16" s="133">
        <v>0.13100000000000001</v>
      </c>
      <c r="X16" s="133">
        <v>0</v>
      </c>
      <c r="Y16" s="133">
        <v>0</v>
      </c>
      <c r="Z16" s="133">
        <v>0</v>
      </c>
      <c r="AA16" s="133">
        <v>0</v>
      </c>
      <c r="AB16" s="133">
        <v>0</v>
      </c>
      <c r="AC16" s="133">
        <v>0</v>
      </c>
      <c r="AD16" s="133">
        <v>0</v>
      </c>
      <c r="AE16" s="133">
        <v>0</v>
      </c>
      <c r="AF16" s="133">
        <v>7.8719999999999999</v>
      </c>
      <c r="AG16" s="133">
        <v>8.0299999999999994</v>
      </c>
    </row>
    <row r="17" spans="1:33" x14ac:dyDescent="0.45">
      <c r="B17" s="130" t="s">
        <v>677</v>
      </c>
      <c r="C17" s="133">
        <v>0</v>
      </c>
      <c r="D17" s="133">
        <v>0</v>
      </c>
      <c r="E17" s="133">
        <v>0</v>
      </c>
      <c r="F17" s="133">
        <v>0</v>
      </c>
      <c r="G17" s="133">
        <v>0</v>
      </c>
      <c r="H17" s="133">
        <v>0</v>
      </c>
      <c r="I17" s="133">
        <v>0</v>
      </c>
      <c r="J17" s="133">
        <v>0.155</v>
      </c>
      <c r="K17" s="133">
        <v>0</v>
      </c>
      <c r="L17" s="133">
        <v>0</v>
      </c>
      <c r="M17" s="133">
        <v>0</v>
      </c>
      <c r="N17" s="133">
        <v>0</v>
      </c>
      <c r="O17" s="133">
        <v>0</v>
      </c>
      <c r="P17" s="133">
        <v>0</v>
      </c>
      <c r="Q17" s="133">
        <v>0</v>
      </c>
      <c r="R17" s="133">
        <v>0</v>
      </c>
      <c r="S17" s="133">
        <v>0</v>
      </c>
      <c r="T17" s="133">
        <v>0</v>
      </c>
      <c r="U17" s="133">
        <v>0</v>
      </c>
      <c r="V17" s="133">
        <v>0</v>
      </c>
      <c r="W17" s="133">
        <v>0.115</v>
      </c>
      <c r="X17" s="133">
        <v>0</v>
      </c>
      <c r="Y17" s="133">
        <v>0</v>
      </c>
      <c r="Z17" s="133">
        <v>0</v>
      </c>
      <c r="AA17" s="133">
        <v>0</v>
      </c>
      <c r="AB17" s="133">
        <v>0</v>
      </c>
      <c r="AC17" s="133">
        <v>0</v>
      </c>
      <c r="AD17" s="133">
        <v>0</v>
      </c>
      <c r="AE17" s="133">
        <v>0</v>
      </c>
      <c r="AF17" s="133">
        <v>11.523</v>
      </c>
      <c r="AG17" s="133">
        <v>11.792999999999999</v>
      </c>
    </row>
    <row r="18" spans="1:33" x14ac:dyDescent="0.45">
      <c r="B18" s="130" t="s">
        <v>676</v>
      </c>
      <c r="C18" s="133">
        <v>0</v>
      </c>
      <c r="D18" s="133">
        <v>0</v>
      </c>
      <c r="E18" s="133">
        <v>0</v>
      </c>
      <c r="F18" s="133">
        <v>0</v>
      </c>
      <c r="G18" s="133">
        <v>0</v>
      </c>
      <c r="H18" s="133">
        <v>0</v>
      </c>
      <c r="I18" s="133">
        <v>0</v>
      </c>
      <c r="J18" s="133">
        <v>0.15</v>
      </c>
      <c r="K18" s="133">
        <v>0</v>
      </c>
      <c r="L18" s="133">
        <v>0</v>
      </c>
      <c r="M18" s="133">
        <v>0</v>
      </c>
      <c r="N18" s="133">
        <v>0</v>
      </c>
      <c r="O18" s="133">
        <v>0</v>
      </c>
      <c r="P18" s="133">
        <v>0</v>
      </c>
      <c r="Q18" s="133">
        <v>0</v>
      </c>
      <c r="R18" s="133">
        <v>0</v>
      </c>
      <c r="S18" s="133">
        <v>0</v>
      </c>
      <c r="T18" s="133">
        <v>0</v>
      </c>
      <c r="U18" s="133">
        <v>0</v>
      </c>
      <c r="V18" s="133">
        <v>0</v>
      </c>
      <c r="W18" s="133">
        <v>0.40899999999999997</v>
      </c>
      <c r="X18" s="133">
        <v>0</v>
      </c>
      <c r="Y18" s="133">
        <v>0</v>
      </c>
      <c r="Z18" s="133">
        <v>0</v>
      </c>
      <c r="AA18" s="133">
        <v>0</v>
      </c>
      <c r="AB18" s="133">
        <v>0</v>
      </c>
      <c r="AC18" s="133">
        <v>0</v>
      </c>
      <c r="AD18" s="133">
        <v>0</v>
      </c>
      <c r="AE18" s="133">
        <v>0</v>
      </c>
      <c r="AF18" s="133">
        <v>21.321999999999999</v>
      </c>
      <c r="AG18" s="133">
        <v>21.880999999999997</v>
      </c>
    </row>
    <row r="19" spans="1:33" x14ac:dyDescent="0.45">
      <c r="B19" s="130" t="s">
        <v>675</v>
      </c>
      <c r="C19" s="133">
        <v>0</v>
      </c>
      <c r="D19" s="133">
        <v>0</v>
      </c>
      <c r="E19" s="133">
        <v>0</v>
      </c>
      <c r="F19" s="133">
        <v>0</v>
      </c>
      <c r="G19" s="133">
        <v>0</v>
      </c>
      <c r="H19" s="133">
        <v>0</v>
      </c>
      <c r="I19" s="133">
        <v>0.2</v>
      </c>
      <c r="J19" s="133">
        <v>0.6</v>
      </c>
      <c r="K19" s="133">
        <v>0</v>
      </c>
      <c r="L19" s="133">
        <v>0</v>
      </c>
      <c r="M19" s="133">
        <v>0</v>
      </c>
      <c r="N19" s="133">
        <v>0</v>
      </c>
      <c r="O19" s="133">
        <v>0</v>
      </c>
      <c r="P19" s="133">
        <v>0</v>
      </c>
      <c r="Q19" s="133">
        <v>0</v>
      </c>
      <c r="R19" s="133">
        <v>0</v>
      </c>
      <c r="S19" s="133">
        <v>0</v>
      </c>
      <c r="T19" s="133">
        <v>0</v>
      </c>
      <c r="U19" s="133">
        <v>0</v>
      </c>
      <c r="V19" s="133">
        <v>0</v>
      </c>
      <c r="W19" s="133">
        <v>0.26200000000000001</v>
      </c>
      <c r="X19" s="133">
        <v>0</v>
      </c>
      <c r="Y19" s="133">
        <v>4.2</v>
      </c>
      <c r="Z19" s="133">
        <v>0</v>
      </c>
      <c r="AA19" s="133">
        <v>0</v>
      </c>
      <c r="AB19" s="133">
        <v>0</v>
      </c>
      <c r="AC19" s="133">
        <v>0</v>
      </c>
      <c r="AD19" s="133">
        <v>0</v>
      </c>
      <c r="AE19" s="133">
        <v>0</v>
      </c>
      <c r="AF19" s="133">
        <v>0</v>
      </c>
      <c r="AG19" s="133">
        <v>5.2619999999999996</v>
      </c>
    </row>
    <row r="20" spans="1:33" x14ac:dyDescent="0.45">
      <c r="B20" s="130" t="s">
        <v>674</v>
      </c>
      <c r="C20" s="133">
        <v>0</v>
      </c>
      <c r="D20" s="133">
        <v>0</v>
      </c>
      <c r="E20" s="133">
        <v>0</v>
      </c>
      <c r="F20" s="133">
        <v>0</v>
      </c>
      <c r="G20" s="133">
        <v>0</v>
      </c>
      <c r="H20" s="133">
        <v>0</v>
      </c>
      <c r="I20" s="133">
        <v>0</v>
      </c>
      <c r="J20" s="133">
        <v>5.6000000000000001E-2</v>
      </c>
      <c r="K20" s="133">
        <v>0</v>
      </c>
      <c r="L20" s="133">
        <v>0</v>
      </c>
      <c r="M20" s="133">
        <v>0</v>
      </c>
      <c r="N20" s="133">
        <v>0</v>
      </c>
      <c r="O20" s="133">
        <v>0</v>
      </c>
      <c r="P20" s="133">
        <v>0</v>
      </c>
      <c r="Q20" s="133">
        <v>0</v>
      </c>
      <c r="R20" s="133">
        <v>0</v>
      </c>
      <c r="S20" s="133">
        <v>0</v>
      </c>
      <c r="T20" s="133">
        <v>0</v>
      </c>
      <c r="U20" s="133">
        <v>0</v>
      </c>
      <c r="V20" s="133">
        <v>0</v>
      </c>
      <c r="W20" s="133">
        <v>2.5000000000000001E-2</v>
      </c>
      <c r="X20" s="133">
        <v>0</v>
      </c>
      <c r="Y20" s="133">
        <v>2.2789999999999999</v>
      </c>
      <c r="Z20" s="133">
        <v>0</v>
      </c>
      <c r="AA20" s="133">
        <v>0</v>
      </c>
      <c r="AB20" s="133">
        <v>0</v>
      </c>
      <c r="AC20" s="133">
        <v>0</v>
      </c>
      <c r="AD20" s="133">
        <v>0</v>
      </c>
      <c r="AE20" s="133">
        <v>0</v>
      </c>
      <c r="AF20" s="133">
        <v>0</v>
      </c>
      <c r="AG20" s="133">
        <v>2.36</v>
      </c>
    </row>
    <row r="21" spans="1:33" x14ac:dyDescent="0.45">
      <c r="B21" s="130" t="s">
        <v>673</v>
      </c>
      <c r="C21" s="133">
        <v>0</v>
      </c>
      <c r="D21" s="133">
        <v>0</v>
      </c>
      <c r="E21" s="133">
        <v>0</v>
      </c>
      <c r="F21" s="133">
        <v>0</v>
      </c>
      <c r="G21" s="133">
        <v>0</v>
      </c>
      <c r="H21" s="133">
        <v>0</v>
      </c>
      <c r="I21" s="133">
        <v>0</v>
      </c>
      <c r="J21" s="133">
        <v>8.6999999999999994E-2</v>
      </c>
      <c r="K21" s="133">
        <v>0</v>
      </c>
      <c r="L21" s="133">
        <v>0</v>
      </c>
      <c r="M21" s="133">
        <v>0</v>
      </c>
      <c r="N21" s="133">
        <v>0</v>
      </c>
      <c r="O21" s="133">
        <v>0</v>
      </c>
      <c r="P21" s="133">
        <v>0</v>
      </c>
      <c r="Q21" s="133">
        <v>0</v>
      </c>
      <c r="R21" s="133">
        <v>0</v>
      </c>
      <c r="S21" s="133">
        <v>0</v>
      </c>
      <c r="T21" s="133">
        <v>0</v>
      </c>
      <c r="U21" s="133">
        <v>0</v>
      </c>
      <c r="V21" s="133">
        <v>0</v>
      </c>
      <c r="W21" s="133">
        <v>0.17299999999999999</v>
      </c>
      <c r="X21" s="133">
        <v>0</v>
      </c>
      <c r="Y21" s="133">
        <v>0.77300000000000002</v>
      </c>
      <c r="Z21" s="133">
        <v>0</v>
      </c>
      <c r="AA21" s="133">
        <v>0</v>
      </c>
      <c r="AB21" s="133">
        <v>0</v>
      </c>
      <c r="AC21" s="133">
        <v>0</v>
      </c>
      <c r="AD21" s="133">
        <v>0</v>
      </c>
      <c r="AE21" s="133">
        <v>0</v>
      </c>
      <c r="AF21" s="133">
        <v>6.8239999999999998</v>
      </c>
      <c r="AG21" s="133">
        <v>7.8570000000000002</v>
      </c>
    </row>
    <row r="22" spans="1:33" x14ac:dyDescent="0.45">
      <c r="B22" s="130" t="s">
        <v>671</v>
      </c>
      <c r="C22" s="133">
        <v>0</v>
      </c>
      <c r="D22" s="133">
        <v>0</v>
      </c>
      <c r="E22" s="133">
        <v>0</v>
      </c>
      <c r="F22" s="133">
        <v>0</v>
      </c>
      <c r="G22" s="133">
        <v>0</v>
      </c>
      <c r="H22" s="133">
        <v>0</v>
      </c>
      <c r="I22" s="133">
        <v>0</v>
      </c>
      <c r="J22" s="133">
        <v>0.11799999999999999</v>
      </c>
      <c r="K22" s="133">
        <v>0</v>
      </c>
      <c r="L22" s="133">
        <v>0</v>
      </c>
      <c r="M22" s="133">
        <v>0</v>
      </c>
      <c r="N22" s="133">
        <v>0</v>
      </c>
      <c r="O22" s="133">
        <v>0</v>
      </c>
      <c r="P22" s="133">
        <v>0</v>
      </c>
      <c r="Q22" s="133">
        <v>0</v>
      </c>
      <c r="R22" s="133">
        <v>0</v>
      </c>
      <c r="S22" s="133">
        <v>0</v>
      </c>
      <c r="T22" s="133">
        <v>0</v>
      </c>
      <c r="U22" s="133">
        <v>0</v>
      </c>
      <c r="V22" s="133">
        <v>0</v>
      </c>
      <c r="W22" s="133">
        <v>8.1000000000000003E-2</v>
      </c>
      <c r="X22" s="133">
        <v>0</v>
      </c>
      <c r="Y22" s="133">
        <v>0</v>
      </c>
      <c r="Z22" s="133">
        <v>0</v>
      </c>
      <c r="AA22" s="133">
        <v>0</v>
      </c>
      <c r="AB22" s="133">
        <v>0</v>
      </c>
      <c r="AC22" s="133">
        <v>0</v>
      </c>
      <c r="AD22" s="133">
        <v>0</v>
      </c>
      <c r="AE22" s="133">
        <v>0</v>
      </c>
      <c r="AF22" s="133">
        <v>4.49</v>
      </c>
      <c r="AG22" s="133">
        <v>4.6890000000000009</v>
      </c>
    </row>
    <row r="23" spans="1:33" x14ac:dyDescent="0.45">
      <c r="A23" s="126" t="s">
        <v>666</v>
      </c>
      <c r="B23" s="129"/>
      <c r="C23" s="129">
        <v>0</v>
      </c>
      <c r="D23" s="129">
        <v>0</v>
      </c>
      <c r="E23" s="129">
        <v>0</v>
      </c>
      <c r="F23" s="129">
        <v>36.429200000000002</v>
      </c>
      <c r="G23" s="129">
        <v>1.6639999999999999</v>
      </c>
      <c r="H23" s="129">
        <v>0</v>
      </c>
      <c r="I23" s="129">
        <v>3.4000000000000002E-2</v>
      </c>
      <c r="J23" s="129">
        <v>0.67150500000000002</v>
      </c>
      <c r="K23" s="129">
        <v>0</v>
      </c>
      <c r="L23" s="129">
        <v>0</v>
      </c>
      <c r="M23" s="129">
        <v>124.751</v>
      </c>
      <c r="N23" s="129">
        <v>0</v>
      </c>
      <c r="O23" s="129">
        <v>32.985100000000003</v>
      </c>
      <c r="P23" s="129">
        <v>61.481999999999999</v>
      </c>
      <c r="Q23" s="129">
        <v>0</v>
      </c>
      <c r="R23" s="129">
        <v>17.365500000000001</v>
      </c>
      <c r="S23" s="129">
        <v>1.3767199999999999</v>
      </c>
      <c r="T23" s="129">
        <v>0</v>
      </c>
      <c r="U23" s="129">
        <v>0</v>
      </c>
      <c r="V23" s="129">
        <v>0</v>
      </c>
      <c r="W23" s="129">
        <v>9.0839799999999986</v>
      </c>
      <c r="X23" s="129">
        <v>0</v>
      </c>
      <c r="Y23" s="129">
        <v>13.088999999999999</v>
      </c>
      <c r="Z23" s="129">
        <v>0</v>
      </c>
      <c r="AA23" s="129">
        <v>0</v>
      </c>
      <c r="AB23" s="129">
        <v>0</v>
      </c>
      <c r="AC23" s="129">
        <v>0</v>
      </c>
      <c r="AD23" s="129">
        <v>0</v>
      </c>
      <c r="AE23" s="129">
        <v>0</v>
      </c>
      <c r="AF23" s="129">
        <v>1.3428599999999999</v>
      </c>
      <c r="AG23" s="129">
        <v>300.27486500000003</v>
      </c>
    </row>
    <row r="24" spans="1:33" x14ac:dyDescent="0.45">
      <c r="B24" s="130" t="s">
        <v>670</v>
      </c>
      <c r="C24" s="133">
        <v>0</v>
      </c>
      <c r="D24" s="133">
        <v>0</v>
      </c>
      <c r="E24" s="133">
        <v>0</v>
      </c>
      <c r="F24" s="133">
        <v>0</v>
      </c>
      <c r="G24" s="133">
        <v>0</v>
      </c>
      <c r="H24" s="133">
        <v>0</v>
      </c>
      <c r="I24" s="133">
        <v>0</v>
      </c>
      <c r="J24" s="133">
        <v>1.0999999999999999E-2</v>
      </c>
      <c r="K24" s="133">
        <v>0</v>
      </c>
      <c r="L24" s="133">
        <v>0</v>
      </c>
      <c r="M24" s="133">
        <v>0</v>
      </c>
      <c r="N24" s="133">
        <v>0</v>
      </c>
      <c r="O24" s="133">
        <v>0</v>
      </c>
      <c r="P24" s="133">
        <v>0</v>
      </c>
      <c r="Q24" s="133">
        <v>0</v>
      </c>
      <c r="R24" s="133">
        <v>0</v>
      </c>
      <c r="S24" s="133">
        <v>0</v>
      </c>
      <c r="T24" s="133">
        <v>0</v>
      </c>
      <c r="U24" s="133">
        <v>0</v>
      </c>
      <c r="V24" s="133">
        <v>0</v>
      </c>
      <c r="W24" s="133">
        <v>1.2E-2</v>
      </c>
      <c r="X24" s="133">
        <v>0</v>
      </c>
      <c r="Y24" s="133">
        <v>0.61599999999999999</v>
      </c>
      <c r="Z24" s="133">
        <v>0</v>
      </c>
      <c r="AA24" s="133">
        <v>0</v>
      </c>
      <c r="AB24" s="133">
        <v>0</v>
      </c>
      <c r="AC24" s="133">
        <v>0</v>
      </c>
      <c r="AD24" s="133">
        <v>0</v>
      </c>
      <c r="AE24" s="133">
        <v>0</v>
      </c>
      <c r="AF24" s="133">
        <v>0</v>
      </c>
      <c r="AG24" s="133">
        <v>0.63900000000000001</v>
      </c>
    </row>
    <row r="25" spans="1:33" x14ac:dyDescent="0.45">
      <c r="B25" s="130" t="s">
        <v>669</v>
      </c>
      <c r="C25" s="133">
        <v>0</v>
      </c>
      <c r="D25" s="133">
        <v>0</v>
      </c>
      <c r="E25" s="133">
        <v>0</v>
      </c>
      <c r="F25" s="133">
        <v>0</v>
      </c>
      <c r="G25" s="133">
        <v>0</v>
      </c>
      <c r="H25" s="133">
        <v>0</v>
      </c>
      <c r="I25" s="133">
        <v>0</v>
      </c>
      <c r="J25" s="133">
        <v>8.1000000000000003E-2</v>
      </c>
      <c r="K25" s="133">
        <v>0</v>
      </c>
      <c r="L25" s="133">
        <v>0</v>
      </c>
      <c r="M25" s="133">
        <v>0</v>
      </c>
      <c r="N25" s="133">
        <v>0</v>
      </c>
      <c r="O25" s="133">
        <v>0</v>
      </c>
      <c r="P25" s="133">
        <v>0</v>
      </c>
      <c r="Q25" s="133">
        <v>0</v>
      </c>
      <c r="R25" s="133">
        <v>0</v>
      </c>
      <c r="S25" s="133">
        <v>0</v>
      </c>
      <c r="T25" s="133">
        <v>0</v>
      </c>
      <c r="U25" s="133">
        <v>0</v>
      </c>
      <c r="V25" s="133">
        <v>0</v>
      </c>
      <c r="W25" s="133">
        <v>0.106</v>
      </c>
      <c r="X25" s="133">
        <v>0</v>
      </c>
      <c r="Y25" s="133">
        <v>6.8440000000000003</v>
      </c>
      <c r="Z25" s="133">
        <v>0</v>
      </c>
      <c r="AA25" s="133">
        <v>0</v>
      </c>
      <c r="AB25" s="133">
        <v>0</v>
      </c>
      <c r="AC25" s="133">
        <v>0</v>
      </c>
      <c r="AD25" s="133">
        <v>0</v>
      </c>
      <c r="AE25" s="133">
        <v>0</v>
      </c>
      <c r="AF25" s="133">
        <v>0</v>
      </c>
      <c r="AG25" s="133">
        <v>7.0310000000000006</v>
      </c>
    </row>
    <row r="26" spans="1:33" x14ac:dyDescent="0.45">
      <c r="B26" s="130" t="s">
        <v>668</v>
      </c>
      <c r="C26" s="133">
        <v>0</v>
      </c>
      <c r="D26" s="133">
        <v>0</v>
      </c>
      <c r="E26" s="133">
        <v>0</v>
      </c>
      <c r="F26" s="133">
        <v>36.429200000000002</v>
      </c>
      <c r="G26" s="133">
        <v>1.6639999999999999</v>
      </c>
      <c r="H26" s="133">
        <v>0</v>
      </c>
      <c r="I26" s="133">
        <v>0</v>
      </c>
      <c r="J26" s="133">
        <v>0.30750499999999997</v>
      </c>
      <c r="K26" s="133">
        <v>0</v>
      </c>
      <c r="L26" s="133">
        <v>0</v>
      </c>
      <c r="M26" s="133">
        <v>124.751</v>
      </c>
      <c r="N26" s="133">
        <v>0</v>
      </c>
      <c r="O26" s="133">
        <v>32.985100000000003</v>
      </c>
      <c r="P26" s="133">
        <v>61.481999999999999</v>
      </c>
      <c r="Q26" s="133">
        <v>0</v>
      </c>
      <c r="R26" s="133">
        <v>17.365500000000001</v>
      </c>
      <c r="S26" s="133">
        <v>1.3767199999999999</v>
      </c>
      <c r="T26" s="133">
        <v>0</v>
      </c>
      <c r="U26" s="133">
        <v>0</v>
      </c>
      <c r="V26" s="133">
        <v>0</v>
      </c>
      <c r="W26" s="133">
        <v>8.8739799999999995</v>
      </c>
      <c r="X26" s="133">
        <v>0</v>
      </c>
      <c r="Y26" s="133">
        <v>0</v>
      </c>
      <c r="Z26" s="133">
        <v>0</v>
      </c>
      <c r="AA26" s="133">
        <v>0</v>
      </c>
      <c r="AB26" s="133">
        <v>0</v>
      </c>
      <c r="AC26" s="133">
        <v>0</v>
      </c>
      <c r="AD26" s="133">
        <v>0</v>
      </c>
      <c r="AE26" s="133">
        <v>0</v>
      </c>
      <c r="AF26" s="133">
        <v>1.3428599999999999</v>
      </c>
      <c r="AG26" s="133">
        <v>286.57786500000003</v>
      </c>
    </row>
    <row r="27" spans="1:33" x14ac:dyDescent="0.45">
      <c r="B27" s="130" t="s">
        <v>667</v>
      </c>
      <c r="C27" s="133">
        <v>0</v>
      </c>
      <c r="D27" s="133">
        <v>0</v>
      </c>
      <c r="E27" s="133">
        <v>0</v>
      </c>
      <c r="F27" s="133">
        <v>0</v>
      </c>
      <c r="G27" s="133">
        <v>0</v>
      </c>
      <c r="H27" s="133">
        <v>0</v>
      </c>
      <c r="I27" s="133">
        <v>0</v>
      </c>
      <c r="J27" s="133">
        <v>0.09</v>
      </c>
      <c r="K27" s="133">
        <v>0</v>
      </c>
      <c r="L27" s="133">
        <v>0</v>
      </c>
      <c r="M27" s="133">
        <v>0</v>
      </c>
      <c r="N27" s="133">
        <v>0</v>
      </c>
      <c r="O27" s="133">
        <v>0</v>
      </c>
      <c r="P27" s="133">
        <v>0</v>
      </c>
      <c r="Q27" s="133">
        <v>0</v>
      </c>
      <c r="R27" s="133">
        <v>0</v>
      </c>
      <c r="S27" s="133">
        <v>0</v>
      </c>
      <c r="T27" s="133">
        <v>0</v>
      </c>
      <c r="U27" s="133">
        <v>0</v>
      </c>
      <c r="V27" s="133">
        <v>0</v>
      </c>
      <c r="W27" s="133">
        <v>8.1000000000000003E-2</v>
      </c>
      <c r="X27" s="133">
        <v>0</v>
      </c>
      <c r="Y27" s="133">
        <v>4.9489999999999998</v>
      </c>
      <c r="Z27" s="133">
        <v>0</v>
      </c>
      <c r="AA27" s="133">
        <v>0</v>
      </c>
      <c r="AB27" s="133">
        <v>0</v>
      </c>
      <c r="AC27" s="133">
        <v>0</v>
      </c>
      <c r="AD27" s="133">
        <v>0</v>
      </c>
      <c r="AE27" s="133">
        <v>0</v>
      </c>
      <c r="AF27" s="133">
        <v>0</v>
      </c>
      <c r="AG27" s="133">
        <v>5.12</v>
      </c>
    </row>
    <row r="28" spans="1:33" x14ac:dyDescent="0.45">
      <c r="B28" s="130" t="s">
        <v>665</v>
      </c>
      <c r="C28" s="133">
        <v>0</v>
      </c>
      <c r="D28" s="133">
        <v>0</v>
      </c>
      <c r="E28" s="133">
        <v>0</v>
      </c>
      <c r="F28" s="133">
        <v>0</v>
      </c>
      <c r="G28" s="133">
        <v>0</v>
      </c>
      <c r="H28" s="133">
        <v>0</v>
      </c>
      <c r="I28" s="133">
        <v>3.4000000000000002E-2</v>
      </c>
      <c r="J28" s="133">
        <v>0.182</v>
      </c>
      <c r="K28" s="133">
        <v>0</v>
      </c>
      <c r="L28" s="133">
        <v>0</v>
      </c>
      <c r="M28" s="133">
        <v>0</v>
      </c>
      <c r="N28" s="133">
        <v>0</v>
      </c>
      <c r="O28" s="133">
        <v>0</v>
      </c>
      <c r="P28" s="133">
        <v>0</v>
      </c>
      <c r="Q28" s="133">
        <v>0</v>
      </c>
      <c r="R28" s="133">
        <v>0</v>
      </c>
      <c r="S28" s="133">
        <v>0</v>
      </c>
      <c r="T28" s="133">
        <v>0</v>
      </c>
      <c r="U28" s="133">
        <v>0</v>
      </c>
      <c r="V28" s="133">
        <v>0</v>
      </c>
      <c r="W28" s="133">
        <v>1.0999999999999999E-2</v>
      </c>
      <c r="X28" s="133">
        <v>0</v>
      </c>
      <c r="Y28" s="133">
        <v>0.68</v>
      </c>
      <c r="Z28" s="133">
        <v>0</v>
      </c>
      <c r="AA28" s="133">
        <v>0</v>
      </c>
      <c r="AB28" s="133">
        <v>0</v>
      </c>
      <c r="AC28" s="133">
        <v>0</v>
      </c>
      <c r="AD28" s="133">
        <v>0</v>
      </c>
      <c r="AE28" s="133">
        <v>0</v>
      </c>
      <c r="AF28" s="133">
        <v>0</v>
      </c>
      <c r="AG28" s="133">
        <v>0.90700000000000014</v>
      </c>
    </row>
    <row r="29" spans="1:33" x14ac:dyDescent="0.45">
      <c r="A29" s="126" t="s">
        <v>664</v>
      </c>
      <c r="B29" s="129"/>
      <c r="C29" s="129">
        <v>0</v>
      </c>
      <c r="D29" s="129">
        <v>0</v>
      </c>
      <c r="E29" s="129">
        <v>0</v>
      </c>
      <c r="F29" s="129">
        <v>0</v>
      </c>
      <c r="G29" s="129">
        <v>8.0000000000000002E-3</v>
      </c>
      <c r="H29" s="129">
        <v>1.23</v>
      </c>
      <c r="I29" s="129">
        <v>0</v>
      </c>
      <c r="J29" s="129">
        <v>1.2E-2</v>
      </c>
      <c r="K29" s="129">
        <v>0</v>
      </c>
      <c r="L29" s="129">
        <v>0</v>
      </c>
      <c r="M29" s="129">
        <v>0</v>
      </c>
      <c r="N29" s="129">
        <v>0</v>
      </c>
      <c r="O29" s="129">
        <v>0</v>
      </c>
      <c r="P29" s="129">
        <v>30.314</v>
      </c>
      <c r="Q29" s="129">
        <v>0</v>
      </c>
      <c r="R29" s="129">
        <v>0</v>
      </c>
      <c r="S29" s="129">
        <v>0</v>
      </c>
      <c r="T29" s="129">
        <v>0</v>
      </c>
      <c r="U29" s="129">
        <v>0</v>
      </c>
      <c r="V29" s="129">
        <v>0</v>
      </c>
      <c r="W29" s="129">
        <v>2.8</v>
      </c>
      <c r="X29" s="129">
        <v>0</v>
      </c>
      <c r="Y29" s="129">
        <v>0</v>
      </c>
      <c r="Z29" s="129">
        <v>0</v>
      </c>
      <c r="AA29" s="129">
        <v>0</v>
      </c>
      <c r="AB29" s="129">
        <v>0</v>
      </c>
      <c r="AC29" s="129">
        <v>0</v>
      </c>
      <c r="AD29" s="129">
        <v>0</v>
      </c>
      <c r="AE29" s="129">
        <v>0</v>
      </c>
      <c r="AF29" s="129">
        <v>120</v>
      </c>
      <c r="AG29" s="129">
        <v>154.364</v>
      </c>
    </row>
    <row r="30" spans="1:33" x14ac:dyDescent="0.45">
      <c r="B30" s="130" t="s">
        <v>663</v>
      </c>
      <c r="C30" s="133">
        <v>0</v>
      </c>
      <c r="D30" s="133">
        <v>0</v>
      </c>
      <c r="E30" s="133">
        <v>0</v>
      </c>
      <c r="F30" s="133">
        <v>0</v>
      </c>
      <c r="G30" s="133">
        <v>8.0000000000000002E-3</v>
      </c>
      <c r="H30" s="133">
        <v>1.23</v>
      </c>
      <c r="I30" s="133">
        <v>0</v>
      </c>
      <c r="J30" s="133">
        <v>1.2E-2</v>
      </c>
      <c r="K30" s="133">
        <v>0</v>
      </c>
      <c r="L30" s="133">
        <v>0</v>
      </c>
      <c r="M30" s="133">
        <v>0</v>
      </c>
      <c r="N30" s="133">
        <v>0</v>
      </c>
      <c r="O30" s="133">
        <v>0</v>
      </c>
      <c r="P30" s="133">
        <v>30.314</v>
      </c>
      <c r="Q30" s="133">
        <v>0</v>
      </c>
      <c r="R30" s="133">
        <v>0</v>
      </c>
      <c r="S30" s="133">
        <v>0</v>
      </c>
      <c r="T30" s="133">
        <v>0</v>
      </c>
      <c r="U30" s="133">
        <v>0</v>
      </c>
      <c r="V30" s="133">
        <v>0</v>
      </c>
      <c r="W30" s="133">
        <v>2.8</v>
      </c>
      <c r="X30" s="133">
        <v>0</v>
      </c>
      <c r="Y30" s="133">
        <v>0</v>
      </c>
      <c r="Z30" s="133">
        <v>0</v>
      </c>
      <c r="AA30" s="133">
        <v>0</v>
      </c>
      <c r="AB30" s="133">
        <v>0</v>
      </c>
      <c r="AC30" s="133">
        <v>0</v>
      </c>
      <c r="AD30" s="133">
        <v>0</v>
      </c>
      <c r="AE30" s="133">
        <v>0</v>
      </c>
      <c r="AF30" s="133">
        <v>120</v>
      </c>
      <c r="AG30" s="133">
        <v>154.364</v>
      </c>
    </row>
    <row r="31" spans="1:33" x14ac:dyDescent="0.45">
      <c r="A31" s="126" t="s">
        <v>660</v>
      </c>
      <c r="B31" s="129"/>
      <c r="C31" s="129">
        <v>0</v>
      </c>
      <c r="D31" s="129">
        <v>0</v>
      </c>
      <c r="E31" s="129">
        <v>0</v>
      </c>
      <c r="F31" s="129">
        <v>0</v>
      </c>
      <c r="G31" s="129">
        <v>0</v>
      </c>
      <c r="H31" s="129">
        <v>0</v>
      </c>
      <c r="I31" s="129">
        <v>0</v>
      </c>
      <c r="J31" s="129">
        <v>0</v>
      </c>
      <c r="K31" s="129">
        <v>0</v>
      </c>
      <c r="L31" s="129">
        <v>0</v>
      </c>
      <c r="M31" s="129">
        <v>0</v>
      </c>
      <c r="N31" s="129">
        <v>0</v>
      </c>
      <c r="O31" s="129">
        <v>0</v>
      </c>
      <c r="P31" s="129">
        <v>0</v>
      </c>
      <c r="Q31" s="129">
        <v>0</v>
      </c>
      <c r="R31" s="129">
        <v>0</v>
      </c>
      <c r="S31" s="129">
        <v>0</v>
      </c>
      <c r="T31" s="129">
        <v>0</v>
      </c>
      <c r="U31" s="129">
        <v>0</v>
      </c>
      <c r="V31" s="129">
        <v>0</v>
      </c>
      <c r="W31" s="129">
        <v>2.4474</v>
      </c>
      <c r="X31" s="129">
        <v>0</v>
      </c>
      <c r="Y31" s="129">
        <v>0</v>
      </c>
      <c r="Z31" s="129">
        <v>0</v>
      </c>
      <c r="AA31" s="129">
        <v>0</v>
      </c>
      <c r="AB31" s="129">
        <v>0</v>
      </c>
      <c r="AC31" s="129">
        <v>0</v>
      </c>
      <c r="AD31" s="129">
        <v>0</v>
      </c>
      <c r="AE31" s="129">
        <v>0</v>
      </c>
      <c r="AF31" s="129">
        <v>117</v>
      </c>
      <c r="AG31" s="129">
        <v>119.44740000000002</v>
      </c>
    </row>
    <row r="32" spans="1:33" x14ac:dyDescent="0.45">
      <c r="B32" s="130" t="s">
        <v>662</v>
      </c>
      <c r="C32" s="133">
        <v>0</v>
      </c>
      <c r="D32" s="133">
        <v>0</v>
      </c>
      <c r="E32" s="133">
        <v>0</v>
      </c>
      <c r="F32" s="133">
        <v>0</v>
      </c>
      <c r="G32" s="133">
        <v>0</v>
      </c>
      <c r="H32" s="133">
        <v>0</v>
      </c>
      <c r="I32" s="133">
        <v>0</v>
      </c>
      <c r="J32" s="133">
        <v>0</v>
      </c>
      <c r="K32" s="133">
        <v>0</v>
      </c>
      <c r="L32" s="133">
        <v>0</v>
      </c>
      <c r="M32" s="133">
        <v>0</v>
      </c>
      <c r="N32" s="133">
        <v>0</v>
      </c>
      <c r="O32" s="133">
        <v>0</v>
      </c>
      <c r="P32" s="133">
        <v>0</v>
      </c>
      <c r="Q32" s="133">
        <v>0</v>
      </c>
      <c r="R32" s="133">
        <v>0</v>
      </c>
      <c r="S32" s="133">
        <v>0</v>
      </c>
      <c r="T32" s="133">
        <v>0</v>
      </c>
      <c r="U32" s="133">
        <v>0</v>
      </c>
      <c r="V32" s="133">
        <v>0</v>
      </c>
      <c r="W32" s="133">
        <v>1.6413</v>
      </c>
      <c r="X32" s="133">
        <v>0</v>
      </c>
      <c r="Y32" s="133">
        <v>0</v>
      </c>
      <c r="Z32" s="133">
        <v>0</v>
      </c>
      <c r="AA32" s="133">
        <v>0</v>
      </c>
      <c r="AB32" s="133">
        <v>0</v>
      </c>
      <c r="AC32" s="133">
        <v>0</v>
      </c>
      <c r="AD32" s="133">
        <v>0</v>
      </c>
      <c r="AE32" s="133">
        <v>0</v>
      </c>
      <c r="AF32" s="133">
        <v>79</v>
      </c>
      <c r="AG32" s="133">
        <v>80.641300000000001</v>
      </c>
    </row>
    <row r="33" spans="1:33" x14ac:dyDescent="0.45">
      <c r="B33" s="130" t="s">
        <v>661</v>
      </c>
      <c r="C33" s="133">
        <v>0</v>
      </c>
      <c r="D33" s="133">
        <v>0</v>
      </c>
      <c r="E33" s="133">
        <v>0</v>
      </c>
      <c r="F33" s="133">
        <v>0</v>
      </c>
      <c r="G33" s="133">
        <v>0</v>
      </c>
      <c r="H33" s="133">
        <v>0</v>
      </c>
      <c r="I33" s="133">
        <v>0</v>
      </c>
      <c r="J33" s="133">
        <v>0</v>
      </c>
      <c r="K33" s="133">
        <v>0</v>
      </c>
      <c r="L33" s="133">
        <v>0</v>
      </c>
      <c r="M33" s="133">
        <v>0</v>
      </c>
      <c r="N33" s="133">
        <v>0</v>
      </c>
      <c r="O33" s="133">
        <v>0</v>
      </c>
      <c r="P33" s="133">
        <v>0</v>
      </c>
      <c r="Q33" s="133">
        <v>0</v>
      </c>
      <c r="R33" s="133">
        <v>0</v>
      </c>
      <c r="S33" s="133">
        <v>0</v>
      </c>
      <c r="T33" s="133">
        <v>0</v>
      </c>
      <c r="U33" s="133">
        <v>0</v>
      </c>
      <c r="V33" s="133">
        <v>0</v>
      </c>
      <c r="W33" s="133">
        <v>0.32129999999999997</v>
      </c>
      <c r="X33" s="133">
        <v>0</v>
      </c>
      <c r="Y33" s="133">
        <v>0</v>
      </c>
      <c r="Z33" s="133">
        <v>0</v>
      </c>
      <c r="AA33" s="133">
        <v>0</v>
      </c>
      <c r="AB33" s="133">
        <v>0</v>
      </c>
      <c r="AC33" s="133">
        <v>0</v>
      </c>
      <c r="AD33" s="133">
        <v>0</v>
      </c>
      <c r="AE33" s="133">
        <v>0</v>
      </c>
      <c r="AF33" s="133">
        <v>16</v>
      </c>
      <c r="AG33" s="133">
        <v>16.321300000000001</v>
      </c>
    </row>
    <row r="34" spans="1:33" x14ac:dyDescent="0.45">
      <c r="B34" s="130" t="s">
        <v>659</v>
      </c>
      <c r="C34" s="133">
        <v>0</v>
      </c>
      <c r="D34" s="133">
        <v>0</v>
      </c>
      <c r="E34" s="133">
        <v>0</v>
      </c>
      <c r="F34" s="133">
        <v>0</v>
      </c>
      <c r="G34" s="133">
        <v>0</v>
      </c>
      <c r="H34" s="133">
        <v>0</v>
      </c>
      <c r="I34" s="133">
        <v>0</v>
      </c>
      <c r="J34" s="133">
        <v>0</v>
      </c>
      <c r="K34" s="133">
        <v>0</v>
      </c>
      <c r="L34" s="133">
        <v>0</v>
      </c>
      <c r="M34" s="133">
        <v>0</v>
      </c>
      <c r="N34" s="133">
        <v>0</v>
      </c>
      <c r="O34" s="133">
        <v>0</v>
      </c>
      <c r="P34" s="133">
        <v>0</v>
      </c>
      <c r="Q34" s="133">
        <v>0</v>
      </c>
      <c r="R34" s="133">
        <v>0</v>
      </c>
      <c r="S34" s="133">
        <v>0</v>
      </c>
      <c r="T34" s="133">
        <v>0</v>
      </c>
      <c r="U34" s="133">
        <v>0</v>
      </c>
      <c r="V34" s="133">
        <v>0</v>
      </c>
      <c r="W34" s="133">
        <v>0.48480000000000001</v>
      </c>
      <c r="X34" s="133">
        <v>0</v>
      </c>
      <c r="Y34" s="133">
        <v>0</v>
      </c>
      <c r="Z34" s="133">
        <v>0</v>
      </c>
      <c r="AA34" s="133">
        <v>0</v>
      </c>
      <c r="AB34" s="133">
        <v>0</v>
      </c>
      <c r="AC34" s="133">
        <v>0</v>
      </c>
      <c r="AD34" s="133">
        <v>0</v>
      </c>
      <c r="AE34" s="133">
        <v>0</v>
      </c>
      <c r="AF34" s="133">
        <v>22</v>
      </c>
      <c r="AG34" s="133">
        <v>22.4848</v>
      </c>
    </row>
    <row r="35" spans="1:33" x14ac:dyDescent="0.45">
      <c r="A35" s="126" t="s">
        <v>657</v>
      </c>
      <c r="B35" s="129"/>
      <c r="C35" s="129">
        <v>0</v>
      </c>
      <c r="D35" s="129">
        <v>0</v>
      </c>
      <c r="E35" s="129">
        <v>0</v>
      </c>
      <c r="F35" s="129">
        <v>0</v>
      </c>
      <c r="G35" s="129">
        <v>0</v>
      </c>
      <c r="H35" s="129">
        <v>0</v>
      </c>
      <c r="I35" s="129">
        <v>0</v>
      </c>
      <c r="J35" s="129">
        <v>0</v>
      </c>
      <c r="K35" s="129">
        <v>0</v>
      </c>
      <c r="L35" s="129">
        <v>0</v>
      </c>
      <c r="M35" s="129">
        <v>0</v>
      </c>
      <c r="N35" s="129">
        <v>0</v>
      </c>
      <c r="O35" s="129">
        <v>0</v>
      </c>
      <c r="P35" s="129">
        <v>0</v>
      </c>
      <c r="Q35" s="129">
        <v>0</v>
      </c>
      <c r="R35" s="129">
        <v>0</v>
      </c>
      <c r="S35" s="129">
        <v>29.99</v>
      </c>
      <c r="T35" s="129">
        <v>0</v>
      </c>
      <c r="U35" s="129">
        <v>0</v>
      </c>
      <c r="V35" s="129">
        <v>0</v>
      </c>
      <c r="W35" s="129">
        <v>0.51</v>
      </c>
      <c r="X35" s="129">
        <v>0</v>
      </c>
      <c r="Y35" s="129">
        <v>4.08</v>
      </c>
      <c r="Z35" s="129">
        <v>0</v>
      </c>
      <c r="AA35" s="129">
        <v>0</v>
      </c>
      <c r="AB35" s="129">
        <v>0</v>
      </c>
      <c r="AC35" s="129">
        <v>0</v>
      </c>
      <c r="AD35" s="129">
        <v>0</v>
      </c>
      <c r="AE35" s="129">
        <v>0</v>
      </c>
      <c r="AF35" s="129">
        <v>0</v>
      </c>
      <c r="AG35" s="129">
        <v>34.58</v>
      </c>
    </row>
    <row r="36" spans="1:33" x14ac:dyDescent="0.45">
      <c r="B36" s="130" t="s">
        <v>656</v>
      </c>
      <c r="C36" s="133">
        <v>0</v>
      </c>
      <c r="D36" s="133">
        <v>0</v>
      </c>
      <c r="E36" s="133">
        <v>0</v>
      </c>
      <c r="F36" s="133">
        <v>0</v>
      </c>
      <c r="G36" s="133">
        <v>0</v>
      </c>
      <c r="H36" s="133">
        <v>0</v>
      </c>
      <c r="I36" s="133">
        <v>0</v>
      </c>
      <c r="J36" s="133">
        <v>0</v>
      </c>
      <c r="K36" s="133">
        <v>0</v>
      </c>
      <c r="L36" s="133">
        <v>0</v>
      </c>
      <c r="M36" s="133">
        <v>0</v>
      </c>
      <c r="N36" s="133">
        <v>0</v>
      </c>
      <c r="O36" s="133">
        <v>0</v>
      </c>
      <c r="P36" s="133">
        <v>0</v>
      </c>
      <c r="Q36" s="133">
        <v>0</v>
      </c>
      <c r="R36" s="133">
        <v>0</v>
      </c>
      <c r="S36" s="133">
        <v>29.99</v>
      </c>
      <c r="T36" s="133">
        <v>0</v>
      </c>
      <c r="U36" s="133">
        <v>0</v>
      </c>
      <c r="V36" s="133">
        <v>0</v>
      </c>
      <c r="W36" s="133">
        <v>0.51</v>
      </c>
      <c r="X36" s="133">
        <v>0</v>
      </c>
      <c r="Y36" s="133">
        <v>4.08</v>
      </c>
      <c r="Z36" s="133">
        <v>0</v>
      </c>
      <c r="AA36" s="133">
        <v>0</v>
      </c>
      <c r="AB36" s="133">
        <v>0</v>
      </c>
      <c r="AC36" s="133">
        <v>0</v>
      </c>
      <c r="AD36" s="133">
        <v>0</v>
      </c>
      <c r="AE36" s="133">
        <v>0</v>
      </c>
      <c r="AF36" s="133">
        <v>0</v>
      </c>
      <c r="AG36" s="133">
        <v>34.58</v>
      </c>
    </row>
    <row r="37" spans="1:33" x14ac:dyDescent="0.45">
      <c r="A37" s="126" t="s">
        <v>53</v>
      </c>
      <c r="B37" s="129"/>
      <c r="C37" s="129">
        <v>0</v>
      </c>
      <c r="D37" s="129">
        <v>0</v>
      </c>
      <c r="E37" s="129">
        <v>0</v>
      </c>
      <c r="F37" s="129">
        <v>0</v>
      </c>
      <c r="G37" s="129">
        <v>0</v>
      </c>
      <c r="H37" s="129">
        <v>0</v>
      </c>
      <c r="I37" s="129">
        <v>0</v>
      </c>
      <c r="J37" s="129">
        <v>0</v>
      </c>
      <c r="K37" s="129">
        <v>0</v>
      </c>
      <c r="L37" s="129">
        <v>0</v>
      </c>
      <c r="M37" s="129">
        <v>0</v>
      </c>
      <c r="N37" s="129">
        <v>0</v>
      </c>
      <c r="O37" s="129">
        <v>0</v>
      </c>
      <c r="P37" s="129">
        <v>7.5</v>
      </c>
      <c r="Q37" s="129">
        <v>0</v>
      </c>
      <c r="R37" s="129">
        <v>0</v>
      </c>
      <c r="S37" s="129">
        <v>0</v>
      </c>
      <c r="T37" s="129">
        <v>0</v>
      </c>
      <c r="U37" s="129">
        <v>0</v>
      </c>
      <c r="V37" s="129">
        <v>6.4</v>
      </c>
      <c r="W37" s="129">
        <v>1.177</v>
      </c>
      <c r="X37" s="129">
        <v>0</v>
      </c>
      <c r="Y37" s="129">
        <v>9.3000000000000007</v>
      </c>
      <c r="Z37" s="129">
        <v>0</v>
      </c>
      <c r="AA37" s="129">
        <v>0</v>
      </c>
      <c r="AB37" s="129">
        <v>0</v>
      </c>
      <c r="AC37" s="129">
        <v>0</v>
      </c>
      <c r="AD37" s="129">
        <v>0</v>
      </c>
      <c r="AE37" s="129">
        <v>0</v>
      </c>
      <c r="AF37" s="129">
        <v>32</v>
      </c>
      <c r="AG37" s="129">
        <v>56.376999999999995</v>
      </c>
    </row>
    <row r="38" spans="1:33" x14ac:dyDescent="0.45">
      <c r="B38" s="130" t="s">
        <v>54</v>
      </c>
      <c r="C38" s="133">
        <v>0</v>
      </c>
      <c r="D38" s="133">
        <v>0</v>
      </c>
      <c r="E38" s="133">
        <v>0</v>
      </c>
      <c r="F38" s="133">
        <v>0</v>
      </c>
      <c r="G38" s="133">
        <v>0</v>
      </c>
      <c r="H38" s="133">
        <v>0</v>
      </c>
      <c r="I38" s="133">
        <v>0</v>
      </c>
      <c r="J38" s="133">
        <v>0</v>
      </c>
      <c r="K38" s="133">
        <v>0</v>
      </c>
      <c r="L38" s="133">
        <v>0</v>
      </c>
      <c r="M38" s="133">
        <v>0</v>
      </c>
      <c r="N38" s="133">
        <v>0</v>
      </c>
      <c r="O38" s="133">
        <v>0</v>
      </c>
      <c r="P38" s="133">
        <v>7.5</v>
      </c>
      <c r="Q38" s="133">
        <v>0</v>
      </c>
      <c r="R38" s="133">
        <v>0</v>
      </c>
      <c r="S38" s="133">
        <v>0</v>
      </c>
      <c r="T38" s="133">
        <v>0</v>
      </c>
      <c r="U38" s="133">
        <v>0</v>
      </c>
      <c r="V38" s="133">
        <v>6.4</v>
      </c>
      <c r="W38" s="133">
        <v>1.177</v>
      </c>
      <c r="X38" s="133">
        <v>0</v>
      </c>
      <c r="Y38" s="133">
        <v>9.3000000000000007</v>
      </c>
      <c r="Z38" s="133">
        <v>0</v>
      </c>
      <c r="AA38" s="133">
        <v>0</v>
      </c>
      <c r="AB38" s="133">
        <v>0</v>
      </c>
      <c r="AC38" s="133">
        <v>0</v>
      </c>
      <c r="AD38" s="133">
        <v>0</v>
      </c>
      <c r="AE38" s="133">
        <v>0</v>
      </c>
      <c r="AF38" s="133">
        <v>32</v>
      </c>
      <c r="AG38" s="133">
        <v>56.376999999999995</v>
      </c>
    </row>
    <row r="39" spans="1:33" x14ac:dyDescent="0.45">
      <c r="A39" s="126" t="s">
        <v>655</v>
      </c>
      <c r="B39" s="129"/>
      <c r="C39" s="129">
        <v>0</v>
      </c>
      <c r="D39" s="129">
        <v>0</v>
      </c>
      <c r="E39" s="129">
        <v>0</v>
      </c>
      <c r="F39" s="129">
        <v>0</v>
      </c>
      <c r="G39" s="129">
        <v>0</v>
      </c>
      <c r="H39" s="129">
        <v>0.84</v>
      </c>
      <c r="I39" s="129">
        <v>0</v>
      </c>
      <c r="J39" s="129">
        <v>1.74</v>
      </c>
      <c r="K39" s="129">
        <v>0</v>
      </c>
      <c r="L39" s="129">
        <v>1.67</v>
      </c>
      <c r="M39" s="129">
        <v>0</v>
      </c>
      <c r="N39" s="129">
        <v>0</v>
      </c>
      <c r="O39" s="129">
        <v>0</v>
      </c>
      <c r="P39" s="129">
        <v>20</v>
      </c>
      <c r="Q39" s="129">
        <v>8.01</v>
      </c>
      <c r="R39" s="129">
        <v>0</v>
      </c>
      <c r="S39" s="129">
        <v>0</v>
      </c>
      <c r="T39" s="129">
        <v>0</v>
      </c>
      <c r="U39" s="129">
        <v>0</v>
      </c>
      <c r="V39" s="129">
        <v>0</v>
      </c>
      <c r="W39" s="129">
        <v>3.35</v>
      </c>
      <c r="X39" s="129">
        <v>0</v>
      </c>
      <c r="Y39" s="129">
        <v>15.5</v>
      </c>
      <c r="Z39" s="129">
        <v>0</v>
      </c>
      <c r="AA39" s="129">
        <v>0</v>
      </c>
      <c r="AB39" s="129">
        <v>0</v>
      </c>
      <c r="AC39" s="129">
        <v>0</v>
      </c>
      <c r="AD39" s="129">
        <v>0</v>
      </c>
      <c r="AE39" s="129">
        <v>0</v>
      </c>
      <c r="AF39" s="129">
        <v>85.4</v>
      </c>
      <c r="AG39" s="129">
        <v>136.51</v>
      </c>
    </row>
    <row r="40" spans="1:33" x14ac:dyDescent="0.45">
      <c r="B40" s="130" t="s">
        <v>654</v>
      </c>
      <c r="C40" s="133">
        <v>0</v>
      </c>
      <c r="D40" s="133">
        <v>0</v>
      </c>
      <c r="E40" s="133">
        <v>0</v>
      </c>
      <c r="F40" s="133">
        <v>0</v>
      </c>
      <c r="G40" s="133">
        <v>0</v>
      </c>
      <c r="H40" s="133">
        <v>0.84</v>
      </c>
      <c r="I40" s="133">
        <v>0</v>
      </c>
      <c r="J40" s="133">
        <v>1.74</v>
      </c>
      <c r="K40" s="133">
        <v>0</v>
      </c>
      <c r="L40" s="133">
        <v>1.67</v>
      </c>
      <c r="M40" s="133">
        <v>0</v>
      </c>
      <c r="N40" s="133">
        <v>0</v>
      </c>
      <c r="O40" s="133">
        <v>0</v>
      </c>
      <c r="P40" s="133">
        <v>20</v>
      </c>
      <c r="Q40" s="133">
        <v>8.01</v>
      </c>
      <c r="R40" s="133">
        <v>0</v>
      </c>
      <c r="S40" s="133">
        <v>0</v>
      </c>
      <c r="T40" s="133">
        <v>0</v>
      </c>
      <c r="U40" s="133">
        <v>0</v>
      </c>
      <c r="V40" s="133">
        <v>0</v>
      </c>
      <c r="W40" s="133">
        <v>3.35</v>
      </c>
      <c r="X40" s="133">
        <v>0</v>
      </c>
      <c r="Y40" s="133">
        <v>15.5</v>
      </c>
      <c r="Z40" s="133">
        <v>0</v>
      </c>
      <c r="AA40" s="133">
        <v>0</v>
      </c>
      <c r="AB40" s="133">
        <v>0</v>
      </c>
      <c r="AC40" s="133">
        <v>0</v>
      </c>
      <c r="AD40" s="133">
        <v>0</v>
      </c>
      <c r="AE40" s="133">
        <v>0</v>
      </c>
      <c r="AF40" s="133">
        <v>85.4</v>
      </c>
      <c r="AG40" s="133">
        <v>136.51</v>
      </c>
    </row>
    <row r="41" spans="1:33" x14ac:dyDescent="0.45">
      <c r="A41" s="126" t="s">
        <v>653</v>
      </c>
      <c r="B41" s="129"/>
      <c r="C41" s="129">
        <v>0</v>
      </c>
      <c r="D41" s="129">
        <v>0</v>
      </c>
      <c r="E41" s="129">
        <v>0</v>
      </c>
      <c r="F41" s="129">
        <v>0</v>
      </c>
      <c r="G41" s="129">
        <v>0</v>
      </c>
      <c r="H41" s="129">
        <v>0</v>
      </c>
      <c r="I41" s="129">
        <v>0</v>
      </c>
      <c r="J41" s="129">
        <v>0.1</v>
      </c>
      <c r="K41" s="129">
        <v>0</v>
      </c>
      <c r="L41" s="129">
        <v>0</v>
      </c>
      <c r="M41" s="129">
        <v>0</v>
      </c>
      <c r="N41" s="129">
        <v>0</v>
      </c>
      <c r="O41" s="129">
        <v>0</v>
      </c>
      <c r="P41" s="129">
        <v>0</v>
      </c>
      <c r="Q41" s="129">
        <v>8.6</v>
      </c>
      <c r="R41" s="129">
        <v>0</v>
      </c>
      <c r="S41" s="129">
        <v>0</v>
      </c>
      <c r="T41" s="129">
        <v>0</v>
      </c>
      <c r="U41" s="129">
        <v>0</v>
      </c>
      <c r="V41" s="129">
        <v>0</v>
      </c>
      <c r="W41" s="129">
        <v>0.06</v>
      </c>
      <c r="X41" s="129">
        <v>0</v>
      </c>
      <c r="Y41" s="129">
        <v>1.3</v>
      </c>
      <c r="Z41" s="129">
        <v>0</v>
      </c>
      <c r="AA41" s="129">
        <v>0</v>
      </c>
      <c r="AB41" s="129">
        <v>0</v>
      </c>
      <c r="AC41" s="129">
        <v>0</v>
      </c>
      <c r="AD41" s="129">
        <v>0</v>
      </c>
      <c r="AE41" s="129">
        <v>0</v>
      </c>
      <c r="AF41" s="129">
        <v>0</v>
      </c>
      <c r="AG41" s="129">
        <v>10.06</v>
      </c>
    </row>
    <row r="42" spans="1:33" x14ac:dyDescent="0.45">
      <c r="B42" s="130" t="s">
        <v>652</v>
      </c>
      <c r="C42" s="133">
        <v>0</v>
      </c>
      <c r="D42" s="133">
        <v>0</v>
      </c>
      <c r="E42" s="133">
        <v>0</v>
      </c>
      <c r="F42" s="133">
        <v>0</v>
      </c>
      <c r="G42" s="133">
        <v>0</v>
      </c>
      <c r="H42" s="133">
        <v>0</v>
      </c>
      <c r="I42" s="133">
        <v>0</v>
      </c>
      <c r="J42" s="133">
        <v>0.1</v>
      </c>
      <c r="K42" s="133">
        <v>0</v>
      </c>
      <c r="L42" s="133">
        <v>0</v>
      </c>
      <c r="M42" s="133">
        <v>0</v>
      </c>
      <c r="N42" s="133">
        <v>0</v>
      </c>
      <c r="O42" s="133">
        <v>0</v>
      </c>
      <c r="P42" s="133">
        <v>0</v>
      </c>
      <c r="Q42" s="133">
        <v>8.6</v>
      </c>
      <c r="R42" s="133">
        <v>0</v>
      </c>
      <c r="S42" s="133">
        <v>0</v>
      </c>
      <c r="T42" s="133">
        <v>0</v>
      </c>
      <c r="U42" s="133">
        <v>0</v>
      </c>
      <c r="V42" s="133">
        <v>0</v>
      </c>
      <c r="W42" s="133">
        <v>0.06</v>
      </c>
      <c r="X42" s="133">
        <v>0</v>
      </c>
      <c r="Y42" s="133">
        <v>1.3</v>
      </c>
      <c r="Z42" s="133">
        <v>0</v>
      </c>
      <c r="AA42" s="133">
        <v>0</v>
      </c>
      <c r="AB42" s="133">
        <v>0</v>
      </c>
      <c r="AC42" s="133">
        <v>0</v>
      </c>
      <c r="AD42" s="133">
        <v>0</v>
      </c>
      <c r="AE42" s="133">
        <v>0</v>
      </c>
      <c r="AF42" s="133">
        <v>0</v>
      </c>
      <c r="AG42" s="133">
        <v>10.06</v>
      </c>
    </row>
    <row r="43" spans="1:33" x14ac:dyDescent="0.45">
      <c r="A43" s="126" t="s">
        <v>651</v>
      </c>
      <c r="B43" s="129"/>
      <c r="C43" s="129">
        <v>0</v>
      </c>
      <c r="D43" s="129">
        <v>293.024</v>
      </c>
      <c r="E43" s="129">
        <v>0</v>
      </c>
      <c r="F43" s="129">
        <v>0</v>
      </c>
      <c r="G43" s="129">
        <v>3.9</v>
      </c>
      <c r="H43" s="129">
        <v>0</v>
      </c>
      <c r="I43" s="129">
        <v>0</v>
      </c>
      <c r="J43" s="129">
        <v>1.5</v>
      </c>
      <c r="K43" s="129">
        <v>0</v>
      </c>
      <c r="L43" s="129">
        <v>1.33</v>
      </c>
      <c r="M43" s="129">
        <v>0</v>
      </c>
      <c r="N43" s="129">
        <v>0</v>
      </c>
      <c r="O43" s="129">
        <v>10.054</v>
      </c>
      <c r="P43" s="129">
        <v>36.5</v>
      </c>
      <c r="Q43" s="129">
        <v>0</v>
      </c>
      <c r="R43" s="129">
        <v>9</v>
      </c>
      <c r="S43" s="129">
        <v>0</v>
      </c>
      <c r="T43" s="129">
        <v>0</v>
      </c>
      <c r="U43" s="129">
        <v>0</v>
      </c>
      <c r="V43" s="129">
        <v>1.5</v>
      </c>
      <c r="W43" s="129">
        <v>8.7911800000000007</v>
      </c>
      <c r="X43" s="129">
        <v>0</v>
      </c>
      <c r="Y43" s="129">
        <v>0</v>
      </c>
      <c r="Z43" s="129">
        <v>0</v>
      </c>
      <c r="AA43" s="129">
        <v>0</v>
      </c>
      <c r="AB43" s="129">
        <v>0</v>
      </c>
      <c r="AC43" s="129">
        <v>0</v>
      </c>
      <c r="AD43" s="129">
        <v>0</v>
      </c>
      <c r="AE43" s="129">
        <v>0</v>
      </c>
      <c r="AF43" s="129">
        <v>2</v>
      </c>
      <c r="AG43" s="129">
        <v>367.59917999999993</v>
      </c>
    </row>
    <row r="44" spans="1:33" x14ac:dyDescent="0.45">
      <c r="B44" s="130" t="s">
        <v>62</v>
      </c>
      <c r="C44" s="133">
        <v>0</v>
      </c>
      <c r="D44" s="133">
        <v>293.024</v>
      </c>
      <c r="E44" s="133">
        <v>0</v>
      </c>
      <c r="F44" s="133">
        <v>0</v>
      </c>
      <c r="G44" s="133">
        <v>3.9</v>
      </c>
      <c r="H44" s="133">
        <v>0</v>
      </c>
      <c r="I44" s="133">
        <v>0</v>
      </c>
      <c r="J44" s="133">
        <v>1.5</v>
      </c>
      <c r="K44" s="133">
        <v>0</v>
      </c>
      <c r="L44" s="133">
        <v>1.33</v>
      </c>
      <c r="M44" s="133">
        <v>0</v>
      </c>
      <c r="N44" s="133">
        <v>0</v>
      </c>
      <c r="O44" s="133">
        <v>10.054</v>
      </c>
      <c r="P44" s="133">
        <v>36.5</v>
      </c>
      <c r="Q44" s="133">
        <v>0</v>
      </c>
      <c r="R44" s="133">
        <v>9</v>
      </c>
      <c r="S44" s="133">
        <v>0</v>
      </c>
      <c r="T44" s="133">
        <v>0</v>
      </c>
      <c r="U44" s="133">
        <v>0</v>
      </c>
      <c r="V44" s="133">
        <v>1.5</v>
      </c>
      <c r="W44" s="133">
        <v>8.7911800000000007</v>
      </c>
      <c r="X44" s="133">
        <v>0</v>
      </c>
      <c r="Y44" s="133">
        <v>0</v>
      </c>
      <c r="Z44" s="133">
        <v>0</v>
      </c>
      <c r="AA44" s="133">
        <v>0</v>
      </c>
      <c r="AB44" s="133">
        <v>0</v>
      </c>
      <c r="AC44" s="133">
        <v>0</v>
      </c>
      <c r="AD44" s="133">
        <v>0</v>
      </c>
      <c r="AE44" s="133">
        <v>0</v>
      </c>
      <c r="AF44" s="133">
        <v>2</v>
      </c>
      <c r="AG44" s="133">
        <v>367.59917999999993</v>
      </c>
    </row>
    <row r="45" spans="1:33" x14ac:dyDescent="0.45">
      <c r="A45" s="126" t="s">
        <v>647</v>
      </c>
      <c r="B45" s="129"/>
      <c r="C45" s="129">
        <v>0</v>
      </c>
      <c r="D45" s="129">
        <v>93.974100000000007</v>
      </c>
      <c r="E45" s="129">
        <v>0</v>
      </c>
      <c r="F45" s="129">
        <v>15.187650000000001</v>
      </c>
      <c r="G45" s="129">
        <v>0</v>
      </c>
      <c r="H45" s="129">
        <v>0</v>
      </c>
      <c r="I45" s="129">
        <v>0</v>
      </c>
      <c r="J45" s="129">
        <v>1.991976</v>
      </c>
      <c r="K45" s="129">
        <v>0</v>
      </c>
      <c r="L45" s="129">
        <v>0</v>
      </c>
      <c r="M45" s="129">
        <v>0</v>
      </c>
      <c r="N45" s="129">
        <v>0</v>
      </c>
      <c r="O45" s="129">
        <v>19.940100000000001</v>
      </c>
      <c r="P45" s="129">
        <v>19.73</v>
      </c>
      <c r="Q45" s="129">
        <v>0</v>
      </c>
      <c r="R45" s="129">
        <v>24.28</v>
      </c>
      <c r="S45" s="129">
        <v>15.25</v>
      </c>
      <c r="T45" s="129">
        <v>0</v>
      </c>
      <c r="U45" s="129">
        <v>0</v>
      </c>
      <c r="V45" s="129">
        <v>0</v>
      </c>
      <c r="W45" s="129">
        <v>7.316419999999999</v>
      </c>
      <c r="X45" s="129">
        <v>0</v>
      </c>
      <c r="Y45" s="129">
        <v>0</v>
      </c>
      <c r="Z45" s="129">
        <v>0</v>
      </c>
      <c r="AA45" s="129">
        <v>0</v>
      </c>
      <c r="AB45" s="129">
        <v>0</v>
      </c>
      <c r="AC45" s="129">
        <v>0</v>
      </c>
      <c r="AD45" s="129">
        <v>0</v>
      </c>
      <c r="AE45" s="129">
        <v>0</v>
      </c>
      <c r="AF45" s="129">
        <v>0</v>
      </c>
      <c r="AG45" s="129">
        <v>197.67024600000002</v>
      </c>
    </row>
    <row r="46" spans="1:33" x14ac:dyDescent="0.45">
      <c r="B46" s="130" t="s">
        <v>650</v>
      </c>
      <c r="C46" s="133">
        <v>0</v>
      </c>
      <c r="D46" s="133">
        <v>0</v>
      </c>
      <c r="E46" s="133">
        <v>0</v>
      </c>
      <c r="F46" s="133">
        <v>0</v>
      </c>
      <c r="G46" s="133">
        <v>0</v>
      </c>
      <c r="H46" s="133">
        <v>0</v>
      </c>
      <c r="I46" s="133">
        <v>0</v>
      </c>
      <c r="J46" s="133">
        <v>1.1499999999999999</v>
      </c>
      <c r="K46" s="133">
        <v>0</v>
      </c>
      <c r="L46" s="133">
        <v>0</v>
      </c>
      <c r="M46" s="133">
        <v>0</v>
      </c>
      <c r="N46" s="133">
        <v>0</v>
      </c>
      <c r="O46" s="133">
        <v>0</v>
      </c>
      <c r="P46" s="133">
        <v>2.98</v>
      </c>
      <c r="Q46" s="133">
        <v>0</v>
      </c>
      <c r="R46" s="133">
        <v>7.55</v>
      </c>
      <c r="S46" s="133">
        <v>12.88</v>
      </c>
      <c r="T46" s="133">
        <v>0</v>
      </c>
      <c r="U46" s="133">
        <v>0</v>
      </c>
      <c r="V46" s="133">
        <v>0</v>
      </c>
      <c r="W46" s="133">
        <v>0.51500000000000001</v>
      </c>
      <c r="X46" s="133">
        <v>0</v>
      </c>
      <c r="Y46" s="133">
        <v>0</v>
      </c>
      <c r="Z46" s="133">
        <v>0</v>
      </c>
      <c r="AA46" s="133">
        <v>0</v>
      </c>
      <c r="AB46" s="133">
        <v>0</v>
      </c>
      <c r="AC46" s="133">
        <v>0</v>
      </c>
      <c r="AD46" s="133">
        <v>0</v>
      </c>
      <c r="AE46" s="133">
        <v>0</v>
      </c>
      <c r="AF46" s="133">
        <v>0</v>
      </c>
      <c r="AG46" s="133">
        <v>25.074999999999999</v>
      </c>
    </row>
    <row r="47" spans="1:33" x14ac:dyDescent="0.45">
      <c r="A47" s="126"/>
      <c r="B47" s="129" t="s">
        <v>649</v>
      </c>
      <c r="C47" s="129">
        <v>0</v>
      </c>
      <c r="D47" s="129">
        <v>93.974100000000007</v>
      </c>
      <c r="E47" s="129">
        <v>0</v>
      </c>
      <c r="F47" s="129">
        <v>4.2876500000000002</v>
      </c>
      <c r="G47" s="129">
        <v>0</v>
      </c>
      <c r="H47" s="129">
        <v>0</v>
      </c>
      <c r="I47" s="129">
        <v>0</v>
      </c>
      <c r="J47" s="129">
        <v>0.74197599999999997</v>
      </c>
      <c r="K47" s="129">
        <v>0</v>
      </c>
      <c r="L47" s="129">
        <v>0</v>
      </c>
      <c r="M47" s="129">
        <v>0</v>
      </c>
      <c r="N47" s="129">
        <v>0</v>
      </c>
      <c r="O47" s="129">
        <v>19.940100000000001</v>
      </c>
      <c r="P47" s="129">
        <v>13.32</v>
      </c>
      <c r="Q47" s="129">
        <v>0</v>
      </c>
      <c r="R47" s="129">
        <v>2.89</v>
      </c>
      <c r="S47" s="129">
        <v>0.87</v>
      </c>
      <c r="T47" s="129">
        <v>0</v>
      </c>
      <c r="U47" s="129">
        <v>0</v>
      </c>
      <c r="V47" s="129">
        <v>0</v>
      </c>
      <c r="W47" s="129">
        <v>6.2064199999999996</v>
      </c>
      <c r="X47" s="129">
        <v>0</v>
      </c>
      <c r="Y47" s="129">
        <v>0</v>
      </c>
      <c r="Z47" s="129">
        <v>0</v>
      </c>
      <c r="AA47" s="129">
        <v>0</v>
      </c>
      <c r="AB47" s="129">
        <v>0</v>
      </c>
      <c r="AC47" s="129">
        <v>0</v>
      </c>
      <c r="AD47" s="129">
        <v>0</v>
      </c>
      <c r="AE47" s="129">
        <v>0</v>
      </c>
      <c r="AF47" s="129">
        <v>0</v>
      </c>
      <c r="AG47" s="129">
        <v>142.23024600000002</v>
      </c>
    </row>
    <row r="48" spans="1:33" x14ac:dyDescent="0.45">
      <c r="B48" s="130" t="s">
        <v>646</v>
      </c>
      <c r="C48" s="133">
        <v>0</v>
      </c>
      <c r="D48" s="133">
        <v>0</v>
      </c>
      <c r="E48" s="133">
        <v>0</v>
      </c>
      <c r="F48" s="133">
        <v>10.9</v>
      </c>
      <c r="G48" s="133">
        <v>0</v>
      </c>
      <c r="H48" s="133">
        <v>0</v>
      </c>
      <c r="I48" s="133">
        <v>0</v>
      </c>
      <c r="J48" s="133">
        <v>0.1</v>
      </c>
      <c r="K48" s="133">
        <v>0</v>
      </c>
      <c r="L48" s="133">
        <v>0</v>
      </c>
      <c r="M48" s="133">
        <v>0</v>
      </c>
      <c r="N48" s="133">
        <v>0</v>
      </c>
      <c r="O48" s="133">
        <v>0</v>
      </c>
      <c r="P48" s="133">
        <v>3.43</v>
      </c>
      <c r="Q48" s="133">
        <v>0</v>
      </c>
      <c r="R48" s="133">
        <v>13.84</v>
      </c>
      <c r="S48" s="133">
        <v>1.5</v>
      </c>
      <c r="T48" s="133">
        <v>0</v>
      </c>
      <c r="U48" s="133">
        <v>0</v>
      </c>
      <c r="V48" s="133">
        <v>0</v>
      </c>
      <c r="W48" s="133">
        <v>0.59499999999999997</v>
      </c>
      <c r="X48" s="133">
        <v>0</v>
      </c>
      <c r="Y48" s="133">
        <v>0</v>
      </c>
      <c r="Z48" s="133">
        <v>0</v>
      </c>
      <c r="AA48" s="133">
        <v>0</v>
      </c>
      <c r="AB48" s="133">
        <v>0</v>
      </c>
      <c r="AC48" s="133">
        <v>0</v>
      </c>
      <c r="AD48" s="133">
        <v>0</v>
      </c>
      <c r="AE48" s="133">
        <v>0</v>
      </c>
      <c r="AF48" s="133">
        <v>0</v>
      </c>
      <c r="AG48" s="133">
        <v>30.364999999999998</v>
      </c>
    </row>
    <row r="49" spans="1:33" x14ac:dyDescent="0.45">
      <c r="A49" s="126" t="s">
        <v>644</v>
      </c>
      <c r="B49" s="129"/>
      <c r="C49" s="129">
        <v>0</v>
      </c>
      <c r="D49" s="129">
        <v>0</v>
      </c>
      <c r="E49" s="129">
        <v>0</v>
      </c>
      <c r="F49" s="129">
        <v>0</v>
      </c>
      <c r="G49" s="129">
        <v>0</v>
      </c>
      <c r="H49" s="129">
        <v>0</v>
      </c>
      <c r="I49" s="129">
        <v>0</v>
      </c>
      <c r="J49" s="129">
        <v>0.72</v>
      </c>
      <c r="K49" s="129">
        <v>0</v>
      </c>
      <c r="L49" s="129">
        <v>0</v>
      </c>
      <c r="M49" s="129">
        <v>0</v>
      </c>
      <c r="N49" s="129">
        <v>0</v>
      </c>
      <c r="O49" s="129">
        <v>0</v>
      </c>
      <c r="P49" s="129">
        <v>4.1980000000000004</v>
      </c>
      <c r="Q49" s="129">
        <v>0</v>
      </c>
      <c r="R49" s="129">
        <v>0</v>
      </c>
      <c r="S49" s="129">
        <v>27.463999999999999</v>
      </c>
      <c r="T49" s="129">
        <v>0</v>
      </c>
      <c r="U49" s="129">
        <v>0</v>
      </c>
      <c r="V49" s="129">
        <v>0</v>
      </c>
      <c r="W49" s="129">
        <v>0.76368000000000003</v>
      </c>
      <c r="X49" s="129">
        <v>0</v>
      </c>
      <c r="Y49" s="129">
        <v>0</v>
      </c>
      <c r="Z49" s="129">
        <v>0</v>
      </c>
      <c r="AA49" s="129">
        <v>0</v>
      </c>
      <c r="AB49" s="129">
        <v>0</v>
      </c>
      <c r="AC49" s="129">
        <v>0</v>
      </c>
      <c r="AD49" s="129">
        <v>0</v>
      </c>
      <c r="AE49" s="129">
        <v>0</v>
      </c>
      <c r="AF49" s="129">
        <v>0</v>
      </c>
      <c r="AG49" s="129">
        <v>33.145679999999999</v>
      </c>
    </row>
    <row r="50" spans="1:33" x14ac:dyDescent="0.45">
      <c r="B50" s="130" t="s">
        <v>645</v>
      </c>
      <c r="C50" s="133">
        <v>0</v>
      </c>
      <c r="D50" s="133">
        <v>0</v>
      </c>
      <c r="E50" s="133">
        <v>0</v>
      </c>
      <c r="F50" s="133">
        <v>0</v>
      </c>
      <c r="G50" s="133">
        <v>0</v>
      </c>
      <c r="H50" s="133">
        <v>0</v>
      </c>
      <c r="I50" s="133">
        <v>0</v>
      </c>
      <c r="J50" s="133">
        <v>6.3E-2</v>
      </c>
      <c r="K50" s="133">
        <v>0</v>
      </c>
      <c r="L50" s="133">
        <v>0</v>
      </c>
      <c r="M50" s="133">
        <v>0</v>
      </c>
      <c r="N50" s="133">
        <v>0</v>
      </c>
      <c r="O50" s="133">
        <v>0</v>
      </c>
      <c r="P50" s="133">
        <v>4.1980000000000004</v>
      </c>
      <c r="Q50" s="133">
        <v>0</v>
      </c>
      <c r="R50" s="133">
        <v>0</v>
      </c>
      <c r="S50" s="133">
        <v>24.998999999999999</v>
      </c>
      <c r="T50" s="133">
        <v>0</v>
      </c>
      <c r="U50" s="133">
        <v>0</v>
      </c>
      <c r="V50" s="133">
        <v>0</v>
      </c>
      <c r="W50" s="133">
        <v>0.69240000000000002</v>
      </c>
      <c r="X50" s="133">
        <v>0</v>
      </c>
      <c r="Y50" s="133">
        <v>0</v>
      </c>
      <c r="Z50" s="133">
        <v>0</v>
      </c>
      <c r="AA50" s="133">
        <v>0</v>
      </c>
      <c r="AB50" s="133">
        <v>0</v>
      </c>
      <c r="AC50" s="133">
        <v>0</v>
      </c>
      <c r="AD50" s="133">
        <v>0</v>
      </c>
      <c r="AE50" s="133">
        <v>0</v>
      </c>
      <c r="AF50" s="133">
        <v>0</v>
      </c>
      <c r="AG50" s="133">
        <v>29.952399999999997</v>
      </c>
    </row>
    <row r="51" spans="1:33" x14ac:dyDescent="0.45">
      <c r="B51" s="130" t="s">
        <v>643</v>
      </c>
      <c r="C51" s="133">
        <v>0</v>
      </c>
      <c r="D51" s="133">
        <v>0</v>
      </c>
      <c r="E51" s="133">
        <v>0</v>
      </c>
      <c r="F51" s="133">
        <v>0</v>
      </c>
      <c r="G51" s="133">
        <v>0</v>
      </c>
      <c r="H51" s="133">
        <v>0</v>
      </c>
      <c r="I51" s="133">
        <v>0</v>
      </c>
      <c r="J51" s="133">
        <v>0.65700000000000003</v>
      </c>
      <c r="K51" s="133">
        <v>0</v>
      </c>
      <c r="L51" s="133">
        <v>0</v>
      </c>
      <c r="M51" s="133">
        <v>0</v>
      </c>
      <c r="N51" s="133">
        <v>0</v>
      </c>
      <c r="O51" s="133">
        <v>0</v>
      </c>
      <c r="P51" s="133">
        <v>0</v>
      </c>
      <c r="Q51" s="133">
        <v>0</v>
      </c>
      <c r="R51" s="133">
        <v>0</v>
      </c>
      <c r="S51" s="133">
        <v>2.4649999999999999</v>
      </c>
      <c r="T51" s="133">
        <v>0</v>
      </c>
      <c r="U51" s="133">
        <v>0</v>
      </c>
      <c r="V51" s="133">
        <v>0</v>
      </c>
      <c r="W51" s="133">
        <v>7.1279999999999996E-2</v>
      </c>
      <c r="X51" s="133">
        <v>0</v>
      </c>
      <c r="Y51" s="133">
        <v>0</v>
      </c>
      <c r="Z51" s="133">
        <v>0</v>
      </c>
      <c r="AA51" s="133">
        <v>0</v>
      </c>
      <c r="AB51" s="133">
        <v>0</v>
      </c>
      <c r="AC51" s="133">
        <v>0</v>
      </c>
      <c r="AD51" s="133">
        <v>0</v>
      </c>
      <c r="AE51" s="133">
        <v>0</v>
      </c>
      <c r="AF51" s="133">
        <v>0</v>
      </c>
      <c r="AG51" s="133">
        <v>3.1932799999999997</v>
      </c>
    </row>
    <row r="52" spans="1:33" x14ac:dyDescent="0.45">
      <c r="A52" s="134" t="s">
        <v>640</v>
      </c>
      <c r="B52" s="130"/>
      <c r="C52" s="133">
        <v>0</v>
      </c>
      <c r="D52" s="133">
        <v>196.30600000000001</v>
      </c>
      <c r="E52" s="133">
        <v>0</v>
      </c>
      <c r="F52" s="133">
        <v>0</v>
      </c>
      <c r="G52" s="133">
        <v>8.65171E-2</v>
      </c>
      <c r="H52" s="133">
        <v>2.7959999999999998</v>
      </c>
      <c r="I52" s="133">
        <v>9.06E-2</v>
      </c>
      <c r="J52" s="133">
        <v>5.4800000000000001E-2</v>
      </c>
      <c r="K52" s="133">
        <v>1.1855</v>
      </c>
      <c r="L52" s="133">
        <v>0</v>
      </c>
      <c r="M52" s="133">
        <v>2.2170000000000001</v>
      </c>
      <c r="N52" s="133">
        <v>0</v>
      </c>
      <c r="O52" s="133">
        <v>6.1619200000000003</v>
      </c>
      <c r="P52" s="133">
        <v>9.7650000000000006</v>
      </c>
      <c r="Q52" s="133">
        <v>94.512</v>
      </c>
      <c r="R52" s="133">
        <v>0</v>
      </c>
      <c r="S52" s="133">
        <v>1.407</v>
      </c>
      <c r="T52" s="133">
        <v>0</v>
      </c>
      <c r="U52" s="133">
        <v>0</v>
      </c>
      <c r="V52" s="133">
        <v>0</v>
      </c>
      <c r="W52" s="133">
        <v>7.6180000000000003</v>
      </c>
      <c r="X52" s="133">
        <v>0</v>
      </c>
      <c r="Y52" s="133">
        <v>8.4640000000000004</v>
      </c>
      <c r="Z52" s="133">
        <v>0</v>
      </c>
      <c r="AA52" s="133">
        <v>2.0270000000000001</v>
      </c>
      <c r="AB52" s="133">
        <v>0.63400000000000001</v>
      </c>
      <c r="AC52" s="133">
        <v>0</v>
      </c>
      <c r="AD52" s="133">
        <v>0</v>
      </c>
      <c r="AE52" s="133">
        <v>0</v>
      </c>
      <c r="AF52" s="133">
        <v>157.77099999999999</v>
      </c>
      <c r="AG52" s="133">
        <v>491.09633710000008</v>
      </c>
    </row>
    <row r="53" spans="1:33" x14ac:dyDescent="0.45">
      <c r="B53" s="130" t="s">
        <v>642</v>
      </c>
      <c r="C53" s="133">
        <v>0</v>
      </c>
      <c r="D53" s="133">
        <v>196.30600000000001</v>
      </c>
      <c r="E53" s="133">
        <v>0</v>
      </c>
      <c r="F53" s="133">
        <v>0</v>
      </c>
      <c r="G53" s="133">
        <v>8.02171E-2</v>
      </c>
      <c r="H53" s="133">
        <v>2.7959999999999998</v>
      </c>
      <c r="I53" s="133">
        <v>0</v>
      </c>
      <c r="J53" s="133">
        <v>2.8899999999999999E-2</v>
      </c>
      <c r="K53" s="133">
        <v>1.1855</v>
      </c>
      <c r="L53" s="133">
        <v>0</v>
      </c>
      <c r="M53" s="133">
        <v>2.2170000000000001</v>
      </c>
      <c r="N53" s="133">
        <v>0</v>
      </c>
      <c r="O53" s="133">
        <v>6.1619200000000003</v>
      </c>
      <c r="P53" s="133">
        <v>9.7650000000000006</v>
      </c>
      <c r="Q53" s="133">
        <v>94.512</v>
      </c>
      <c r="R53" s="133">
        <v>0</v>
      </c>
      <c r="S53" s="133">
        <v>1.407</v>
      </c>
      <c r="T53" s="133">
        <v>0</v>
      </c>
      <c r="U53" s="133">
        <v>0</v>
      </c>
      <c r="V53" s="133">
        <v>0</v>
      </c>
      <c r="W53" s="133">
        <v>7.5194000000000001</v>
      </c>
      <c r="X53" s="133">
        <v>0</v>
      </c>
      <c r="Y53" s="133">
        <v>0</v>
      </c>
      <c r="Z53" s="133">
        <v>0</v>
      </c>
      <c r="AA53" s="133">
        <v>2.0270000000000001</v>
      </c>
      <c r="AB53" s="133">
        <v>0.63400000000000001</v>
      </c>
      <c r="AC53" s="133">
        <v>0</v>
      </c>
      <c r="AD53" s="133">
        <v>0</v>
      </c>
      <c r="AE53" s="133">
        <v>0</v>
      </c>
      <c r="AF53" s="133">
        <v>157.77099999999999</v>
      </c>
      <c r="AG53" s="133">
        <v>482.41093710000007</v>
      </c>
    </row>
    <row r="54" spans="1:33" x14ac:dyDescent="0.45">
      <c r="B54" s="130" t="s">
        <v>641</v>
      </c>
      <c r="C54" s="133">
        <v>0</v>
      </c>
      <c r="D54" s="133">
        <v>0</v>
      </c>
      <c r="E54" s="133">
        <v>0</v>
      </c>
      <c r="F54" s="133">
        <v>0</v>
      </c>
      <c r="G54" s="133">
        <v>0</v>
      </c>
      <c r="H54" s="133">
        <v>0</v>
      </c>
      <c r="I54" s="133">
        <v>0</v>
      </c>
      <c r="J54" s="133">
        <v>3.3E-3</v>
      </c>
      <c r="K54" s="133">
        <v>0</v>
      </c>
      <c r="L54" s="133">
        <v>0</v>
      </c>
      <c r="M54" s="133">
        <v>0</v>
      </c>
      <c r="N54" s="133">
        <v>0</v>
      </c>
      <c r="O54" s="133">
        <v>0</v>
      </c>
      <c r="P54" s="133">
        <v>0</v>
      </c>
      <c r="Q54" s="133">
        <v>0</v>
      </c>
      <c r="R54" s="133">
        <v>0</v>
      </c>
      <c r="S54" s="133">
        <v>0</v>
      </c>
      <c r="T54" s="133">
        <v>0</v>
      </c>
      <c r="U54" s="133">
        <v>0</v>
      </c>
      <c r="V54" s="133">
        <v>0</v>
      </c>
      <c r="W54" s="133">
        <v>5.5999999999999999E-3</v>
      </c>
      <c r="X54" s="133">
        <v>0</v>
      </c>
      <c r="Y54" s="133">
        <v>2.9239999999999999</v>
      </c>
      <c r="Z54" s="133">
        <v>0</v>
      </c>
      <c r="AA54" s="133">
        <v>0</v>
      </c>
      <c r="AB54" s="133">
        <v>0</v>
      </c>
      <c r="AC54" s="133">
        <v>0</v>
      </c>
      <c r="AD54" s="133">
        <v>0</v>
      </c>
      <c r="AE54" s="133">
        <v>0</v>
      </c>
      <c r="AF54" s="133">
        <v>0</v>
      </c>
      <c r="AG54" s="133">
        <v>2.9328999999999996</v>
      </c>
    </row>
    <row r="55" spans="1:33" x14ac:dyDescent="0.45">
      <c r="B55" s="130" t="s">
        <v>639</v>
      </c>
      <c r="C55" s="133">
        <v>0</v>
      </c>
      <c r="D55" s="133">
        <v>0</v>
      </c>
      <c r="E55" s="133">
        <v>0</v>
      </c>
      <c r="F55" s="133">
        <v>0</v>
      </c>
      <c r="G55" s="133">
        <v>6.3E-3</v>
      </c>
      <c r="H55" s="133">
        <v>0</v>
      </c>
      <c r="I55" s="133">
        <v>9.06E-2</v>
      </c>
      <c r="J55" s="133">
        <v>2.2599999999999999E-2</v>
      </c>
      <c r="K55" s="133">
        <v>0</v>
      </c>
      <c r="L55" s="133">
        <v>0</v>
      </c>
      <c r="M55" s="133">
        <v>0</v>
      </c>
      <c r="N55" s="133">
        <v>0</v>
      </c>
      <c r="O55" s="133">
        <v>0</v>
      </c>
      <c r="P55" s="133">
        <v>0</v>
      </c>
      <c r="Q55" s="133">
        <v>0</v>
      </c>
      <c r="R55" s="133">
        <v>0</v>
      </c>
      <c r="S55" s="133">
        <v>0</v>
      </c>
      <c r="T55" s="133">
        <v>0</v>
      </c>
      <c r="U55" s="133">
        <v>0</v>
      </c>
      <c r="V55" s="133">
        <v>0</v>
      </c>
      <c r="W55" s="133">
        <v>9.2999999999999999E-2</v>
      </c>
      <c r="X55" s="133">
        <v>0</v>
      </c>
      <c r="Y55" s="133">
        <v>5.54</v>
      </c>
      <c r="Z55" s="133">
        <v>0</v>
      </c>
      <c r="AA55" s="133">
        <v>0</v>
      </c>
      <c r="AB55" s="133">
        <v>0</v>
      </c>
      <c r="AC55" s="133">
        <v>0</v>
      </c>
      <c r="AD55" s="133">
        <v>0</v>
      </c>
      <c r="AE55" s="133">
        <v>0</v>
      </c>
      <c r="AF55" s="133">
        <v>0</v>
      </c>
      <c r="AG55" s="133">
        <v>5.7525000000000004</v>
      </c>
    </row>
    <row r="56" spans="1:33" x14ac:dyDescent="0.45">
      <c r="A56" s="134" t="s">
        <v>637</v>
      </c>
      <c r="B56" s="130"/>
      <c r="C56" s="133">
        <v>0</v>
      </c>
      <c r="D56" s="133">
        <v>194.31700000000001</v>
      </c>
      <c r="E56" s="133">
        <v>0</v>
      </c>
      <c r="F56" s="133">
        <v>51.212299999999999</v>
      </c>
      <c r="G56" s="133">
        <v>8.9700000000000006</v>
      </c>
      <c r="H56" s="133">
        <v>0</v>
      </c>
      <c r="I56" s="133">
        <v>2.25</v>
      </c>
      <c r="J56" s="133">
        <v>0.72000000000000008</v>
      </c>
      <c r="K56" s="133">
        <v>4.1900000000000004</v>
      </c>
      <c r="L56" s="133">
        <v>0</v>
      </c>
      <c r="M56" s="133">
        <v>225.76300000000001</v>
      </c>
      <c r="N56" s="133">
        <v>0</v>
      </c>
      <c r="O56" s="133">
        <v>0</v>
      </c>
      <c r="P56" s="133">
        <v>79.97</v>
      </c>
      <c r="Q56" s="133">
        <v>0</v>
      </c>
      <c r="R56" s="133">
        <v>14.494899999999999</v>
      </c>
      <c r="S56" s="133">
        <v>0</v>
      </c>
      <c r="T56" s="133">
        <v>0</v>
      </c>
      <c r="U56" s="133">
        <v>0</v>
      </c>
      <c r="V56" s="133">
        <v>0</v>
      </c>
      <c r="W56" s="133">
        <v>20.383200000000002</v>
      </c>
      <c r="X56" s="133">
        <v>7.4077699999999993</v>
      </c>
      <c r="Y56" s="133">
        <v>8.7999999999999989</v>
      </c>
      <c r="Z56" s="133">
        <v>0</v>
      </c>
      <c r="AA56" s="133">
        <v>0</v>
      </c>
      <c r="AB56" s="133">
        <v>0</v>
      </c>
      <c r="AC56" s="133">
        <v>0</v>
      </c>
      <c r="AD56" s="133">
        <v>1.45</v>
      </c>
      <c r="AE56" s="133">
        <v>44.451599999999999</v>
      </c>
      <c r="AF56" s="133">
        <v>14.9716</v>
      </c>
      <c r="AG56" s="133">
        <v>679.35137000000009</v>
      </c>
    </row>
    <row r="57" spans="1:33" x14ac:dyDescent="0.45">
      <c r="B57" s="130" t="s">
        <v>638</v>
      </c>
      <c r="C57" s="133">
        <v>0</v>
      </c>
      <c r="D57" s="133">
        <v>194.31700000000001</v>
      </c>
      <c r="E57" s="133">
        <v>0</v>
      </c>
      <c r="F57" s="133">
        <v>51.212299999999999</v>
      </c>
      <c r="G57" s="133">
        <v>8.9700000000000006</v>
      </c>
      <c r="H57" s="133">
        <v>0</v>
      </c>
      <c r="I57" s="133">
        <v>2.25</v>
      </c>
      <c r="J57" s="133">
        <v>0.04</v>
      </c>
      <c r="K57" s="133">
        <v>4.1900000000000004</v>
      </c>
      <c r="L57" s="133">
        <v>0</v>
      </c>
      <c r="M57" s="133">
        <v>225.76300000000001</v>
      </c>
      <c r="N57" s="133">
        <v>0</v>
      </c>
      <c r="O57" s="133">
        <v>0</v>
      </c>
      <c r="P57" s="133">
        <v>79.97</v>
      </c>
      <c r="Q57" s="133">
        <v>0</v>
      </c>
      <c r="R57" s="133">
        <v>14.494899999999999</v>
      </c>
      <c r="S57" s="133">
        <v>0</v>
      </c>
      <c r="T57" s="133">
        <v>0</v>
      </c>
      <c r="U57" s="133">
        <v>0</v>
      </c>
      <c r="V57" s="133">
        <v>0</v>
      </c>
      <c r="W57" s="133">
        <v>20.222200000000001</v>
      </c>
      <c r="X57" s="133">
        <v>1.1077699999999999</v>
      </c>
      <c r="Y57" s="133">
        <v>7.89</v>
      </c>
      <c r="Z57" s="133">
        <v>0</v>
      </c>
      <c r="AA57" s="133">
        <v>0</v>
      </c>
      <c r="AB57" s="133">
        <v>0</v>
      </c>
      <c r="AC57" s="133">
        <v>0</v>
      </c>
      <c r="AD57" s="133">
        <v>1.45</v>
      </c>
      <c r="AE57" s="133">
        <v>44.451599999999999</v>
      </c>
      <c r="AF57" s="133">
        <v>14.9716</v>
      </c>
      <c r="AG57" s="133">
        <v>671.30037000000004</v>
      </c>
    </row>
    <row r="58" spans="1:33" x14ac:dyDescent="0.45">
      <c r="B58" s="130" t="s">
        <v>636</v>
      </c>
      <c r="C58" s="133">
        <v>0</v>
      </c>
      <c r="D58" s="133">
        <v>0</v>
      </c>
      <c r="E58" s="133">
        <v>0</v>
      </c>
      <c r="F58" s="133">
        <v>0</v>
      </c>
      <c r="G58" s="133">
        <v>0</v>
      </c>
      <c r="H58" s="133">
        <v>0</v>
      </c>
      <c r="I58" s="133">
        <v>0</v>
      </c>
      <c r="J58" s="133">
        <v>0.68</v>
      </c>
      <c r="K58" s="133">
        <v>0</v>
      </c>
      <c r="L58" s="133">
        <v>0</v>
      </c>
      <c r="M58" s="133">
        <v>0</v>
      </c>
      <c r="N58" s="133">
        <v>0</v>
      </c>
      <c r="O58" s="133">
        <v>0</v>
      </c>
      <c r="P58" s="133">
        <v>0</v>
      </c>
      <c r="Q58" s="133">
        <v>0</v>
      </c>
      <c r="R58" s="133">
        <v>0</v>
      </c>
      <c r="S58" s="133">
        <v>0</v>
      </c>
      <c r="T58" s="133">
        <v>0</v>
      </c>
      <c r="U58" s="133">
        <v>0</v>
      </c>
      <c r="V58" s="133">
        <v>0</v>
      </c>
      <c r="W58" s="133">
        <v>0.161</v>
      </c>
      <c r="X58" s="133">
        <v>6.3</v>
      </c>
      <c r="Y58" s="133">
        <v>0.91</v>
      </c>
      <c r="Z58" s="133">
        <v>0</v>
      </c>
      <c r="AA58" s="133">
        <v>0</v>
      </c>
      <c r="AB58" s="133">
        <v>0</v>
      </c>
      <c r="AC58" s="133">
        <v>0</v>
      </c>
      <c r="AD58" s="133">
        <v>0</v>
      </c>
      <c r="AE58" s="133">
        <v>0</v>
      </c>
      <c r="AF58" s="133">
        <v>0</v>
      </c>
      <c r="AG58" s="133">
        <v>8.0510000000000002</v>
      </c>
    </row>
    <row r="59" spans="1:33" x14ac:dyDescent="0.45">
      <c r="A59" s="134" t="s">
        <v>635</v>
      </c>
      <c r="B59" s="130"/>
      <c r="C59" s="133">
        <v>0</v>
      </c>
      <c r="D59" s="133">
        <v>0</v>
      </c>
      <c r="E59" s="133">
        <v>0</v>
      </c>
      <c r="F59" s="133">
        <v>0</v>
      </c>
      <c r="G59" s="133">
        <v>0</v>
      </c>
      <c r="H59" s="133">
        <v>0</v>
      </c>
      <c r="I59" s="133">
        <v>0</v>
      </c>
      <c r="J59" s="133">
        <v>0</v>
      </c>
      <c r="K59" s="133">
        <v>0</v>
      </c>
      <c r="L59" s="133">
        <v>0</v>
      </c>
      <c r="M59" s="133">
        <v>0</v>
      </c>
      <c r="N59" s="133">
        <v>0</v>
      </c>
      <c r="O59" s="133">
        <v>0</v>
      </c>
      <c r="P59" s="133">
        <v>0</v>
      </c>
      <c r="Q59" s="133">
        <v>47</v>
      </c>
      <c r="R59" s="133">
        <v>0</v>
      </c>
      <c r="S59" s="133">
        <v>0</v>
      </c>
      <c r="T59" s="133">
        <v>0</v>
      </c>
      <c r="U59" s="133">
        <v>0</v>
      </c>
      <c r="V59" s="133">
        <v>0</v>
      </c>
      <c r="W59" s="133">
        <v>0.13500000000000001</v>
      </c>
      <c r="X59" s="133">
        <v>0</v>
      </c>
      <c r="Y59" s="133">
        <v>0</v>
      </c>
      <c r="Z59" s="133">
        <v>0</v>
      </c>
      <c r="AA59" s="133">
        <v>0</v>
      </c>
      <c r="AB59" s="133">
        <v>0</v>
      </c>
      <c r="AC59" s="133">
        <v>0</v>
      </c>
      <c r="AD59" s="133">
        <v>0</v>
      </c>
      <c r="AE59" s="133">
        <v>0</v>
      </c>
      <c r="AF59" s="133">
        <v>0</v>
      </c>
      <c r="AG59" s="133">
        <v>47.134999999999998</v>
      </c>
    </row>
    <row r="60" spans="1:33" x14ac:dyDescent="0.45">
      <c r="A60" s="126"/>
      <c r="B60" s="129" t="s">
        <v>634</v>
      </c>
      <c r="C60" s="129">
        <v>0</v>
      </c>
      <c r="D60" s="129">
        <v>0</v>
      </c>
      <c r="E60" s="129">
        <v>0</v>
      </c>
      <c r="F60" s="129">
        <v>0</v>
      </c>
      <c r="G60" s="129">
        <v>0</v>
      </c>
      <c r="H60" s="129">
        <v>0</v>
      </c>
      <c r="I60" s="129">
        <v>0</v>
      </c>
      <c r="J60" s="129">
        <v>0</v>
      </c>
      <c r="K60" s="129">
        <v>0</v>
      </c>
      <c r="L60" s="129">
        <v>0</v>
      </c>
      <c r="M60" s="129">
        <v>0</v>
      </c>
      <c r="N60" s="129">
        <v>0</v>
      </c>
      <c r="O60" s="129">
        <v>0</v>
      </c>
      <c r="P60" s="129">
        <v>0</v>
      </c>
      <c r="Q60" s="129">
        <v>47</v>
      </c>
      <c r="R60" s="129">
        <v>0</v>
      </c>
      <c r="S60" s="129">
        <v>0</v>
      </c>
      <c r="T60" s="129">
        <v>0</v>
      </c>
      <c r="U60" s="129">
        <v>0</v>
      </c>
      <c r="V60" s="129">
        <v>0</v>
      </c>
      <c r="W60" s="129">
        <v>0.13500000000000001</v>
      </c>
      <c r="X60" s="129">
        <v>0</v>
      </c>
      <c r="Y60" s="129">
        <v>0</v>
      </c>
      <c r="Z60" s="129">
        <v>0</v>
      </c>
      <c r="AA60" s="129">
        <v>0</v>
      </c>
      <c r="AB60" s="129">
        <v>0</v>
      </c>
      <c r="AC60" s="129">
        <v>0</v>
      </c>
      <c r="AD60" s="129">
        <v>0</v>
      </c>
      <c r="AE60" s="129">
        <v>0</v>
      </c>
      <c r="AF60" s="129">
        <v>0</v>
      </c>
      <c r="AG60" s="129">
        <v>47.134999999999998</v>
      </c>
    </row>
    <row r="61" spans="1:33" x14ac:dyDescent="0.45">
      <c r="A61" s="134" t="s">
        <v>633</v>
      </c>
      <c r="B61" s="130"/>
      <c r="C61" s="133">
        <v>0</v>
      </c>
      <c r="D61" s="133">
        <v>0</v>
      </c>
      <c r="E61" s="133">
        <v>0</v>
      </c>
      <c r="F61" s="133">
        <v>0</v>
      </c>
      <c r="G61" s="133">
        <v>0</v>
      </c>
      <c r="H61" s="133">
        <v>0</v>
      </c>
      <c r="I61" s="133">
        <v>0.36</v>
      </c>
      <c r="J61" s="133">
        <v>0.222</v>
      </c>
      <c r="K61" s="133">
        <v>0</v>
      </c>
      <c r="L61" s="133">
        <v>0</v>
      </c>
      <c r="M61" s="133">
        <v>0</v>
      </c>
      <c r="N61" s="133">
        <v>0</v>
      </c>
      <c r="O61" s="133">
        <v>0</v>
      </c>
      <c r="P61" s="133">
        <v>0</v>
      </c>
      <c r="Q61" s="133">
        <v>0</v>
      </c>
      <c r="R61" s="133">
        <v>9.9350000000000005</v>
      </c>
      <c r="S61" s="133">
        <v>3.7149999999999999</v>
      </c>
      <c r="T61" s="133">
        <v>0</v>
      </c>
      <c r="U61" s="133">
        <v>0</v>
      </c>
      <c r="V61" s="133">
        <v>0</v>
      </c>
      <c r="W61" s="133">
        <v>0.33759</v>
      </c>
      <c r="X61" s="133">
        <v>0</v>
      </c>
      <c r="Y61" s="133">
        <v>0.61199999999999999</v>
      </c>
      <c r="Z61" s="133">
        <v>0</v>
      </c>
      <c r="AA61" s="133">
        <v>0</v>
      </c>
      <c r="AB61" s="133">
        <v>0</v>
      </c>
      <c r="AC61" s="133">
        <v>0</v>
      </c>
      <c r="AD61" s="133">
        <v>0</v>
      </c>
      <c r="AE61" s="133">
        <v>0</v>
      </c>
      <c r="AF61" s="133">
        <v>0</v>
      </c>
      <c r="AG61" s="133">
        <v>15.18159</v>
      </c>
    </row>
    <row r="62" spans="1:33" x14ac:dyDescent="0.45">
      <c r="A62" s="126"/>
      <c r="B62" s="129" t="s">
        <v>65</v>
      </c>
      <c r="C62" s="129">
        <v>0</v>
      </c>
      <c r="D62" s="129">
        <v>0</v>
      </c>
      <c r="E62" s="129">
        <v>0</v>
      </c>
      <c r="F62" s="129">
        <v>0</v>
      </c>
      <c r="G62" s="129">
        <v>0</v>
      </c>
      <c r="H62" s="129">
        <v>0</v>
      </c>
      <c r="I62" s="129">
        <v>0.36</v>
      </c>
      <c r="J62" s="129">
        <v>0.222</v>
      </c>
      <c r="K62" s="129">
        <v>0</v>
      </c>
      <c r="L62" s="129">
        <v>0</v>
      </c>
      <c r="M62" s="129">
        <v>0</v>
      </c>
      <c r="N62" s="129">
        <v>0</v>
      </c>
      <c r="O62" s="129">
        <v>0</v>
      </c>
      <c r="P62" s="129">
        <v>0</v>
      </c>
      <c r="Q62" s="129">
        <v>0</v>
      </c>
      <c r="R62" s="129">
        <v>9.9350000000000005</v>
      </c>
      <c r="S62" s="129">
        <v>3.7149999999999999</v>
      </c>
      <c r="T62" s="129">
        <v>0</v>
      </c>
      <c r="U62" s="129">
        <v>0</v>
      </c>
      <c r="V62" s="129">
        <v>0</v>
      </c>
      <c r="W62" s="129">
        <v>0.33759</v>
      </c>
      <c r="X62" s="129">
        <v>0</v>
      </c>
      <c r="Y62" s="129">
        <v>0.61199999999999999</v>
      </c>
      <c r="Z62" s="129">
        <v>0</v>
      </c>
      <c r="AA62" s="129">
        <v>0</v>
      </c>
      <c r="AB62" s="129">
        <v>0</v>
      </c>
      <c r="AC62" s="129">
        <v>0</v>
      </c>
      <c r="AD62" s="129">
        <v>0</v>
      </c>
      <c r="AE62" s="129">
        <v>0</v>
      </c>
      <c r="AF62" s="129">
        <v>0</v>
      </c>
      <c r="AG62" s="129">
        <v>15.18159</v>
      </c>
    </row>
    <row r="63" spans="1:33" x14ac:dyDescent="0.45">
      <c r="A63" s="134" t="s">
        <v>631</v>
      </c>
      <c r="B63" s="130"/>
      <c r="C63" s="133">
        <v>0</v>
      </c>
      <c r="D63" s="133">
        <v>0</v>
      </c>
      <c r="E63" s="133">
        <v>0</v>
      </c>
      <c r="F63" s="133">
        <v>24.4909</v>
      </c>
      <c r="G63" s="133">
        <v>18.556000000000001</v>
      </c>
      <c r="H63" s="133">
        <v>16.295200000000001</v>
      </c>
      <c r="I63" s="133">
        <v>0</v>
      </c>
      <c r="J63" s="133">
        <v>0.35408400000000001</v>
      </c>
      <c r="K63" s="133">
        <v>0</v>
      </c>
      <c r="L63" s="133">
        <v>0</v>
      </c>
      <c r="M63" s="133">
        <v>187.34299999999999</v>
      </c>
      <c r="N63" s="133">
        <v>0</v>
      </c>
      <c r="O63" s="133">
        <v>0</v>
      </c>
      <c r="P63" s="133">
        <v>80.335999999999999</v>
      </c>
      <c r="Q63" s="133">
        <v>0.48099999999999998</v>
      </c>
      <c r="R63" s="133">
        <v>0</v>
      </c>
      <c r="S63" s="133">
        <v>38.135100000000001</v>
      </c>
      <c r="T63" s="133">
        <v>0</v>
      </c>
      <c r="U63" s="133">
        <v>0</v>
      </c>
      <c r="V63" s="133">
        <v>0</v>
      </c>
      <c r="W63" s="133">
        <v>10.597099999999999</v>
      </c>
      <c r="X63" s="133">
        <v>0</v>
      </c>
      <c r="Y63" s="133">
        <v>0</v>
      </c>
      <c r="Z63" s="133">
        <v>0</v>
      </c>
      <c r="AA63" s="133">
        <v>0</v>
      </c>
      <c r="AB63" s="133">
        <v>0</v>
      </c>
      <c r="AC63" s="133">
        <v>0</v>
      </c>
      <c r="AD63" s="133">
        <v>0</v>
      </c>
      <c r="AE63" s="133">
        <v>0</v>
      </c>
      <c r="AF63" s="133">
        <v>0.28106100000000001</v>
      </c>
      <c r="AG63" s="133">
        <v>376.86944499999998</v>
      </c>
    </row>
    <row r="64" spans="1:33" x14ac:dyDescent="0.45">
      <c r="A64" s="126"/>
      <c r="B64" s="129" t="s">
        <v>632</v>
      </c>
      <c r="C64" s="129">
        <v>0</v>
      </c>
      <c r="D64" s="129">
        <v>0</v>
      </c>
      <c r="E64" s="129">
        <v>0</v>
      </c>
      <c r="F64" s="129">
        <v>0</v>
      </c>
      <c r="G64" s="129">
        <v>0.61</v>
      </c>
      <c r="H64" s="129">
        <v>0</v>
      </c>
      <c r="I64" s="129">
        <v>0</v>
      </c>
      <c r="J64" s="129">
        <v>0.11700000000000001</v>
      </c>
      <c r="K64" s="129">
        <v>0</v>
      </c>
      <c r="L64" s="129">
        <v>0</v>
      </c>
      <c r="M64" s="129">
        <v>0</v>
      </c>
      <c r="N64" s="129">
        <v>0</v>
      </c>
      <c r="O64" s="129">
        <v>0</v>
      </c>
      <c r="P64" s="129">
        <v>0</v>
      </c>
      <c r="Q64" s="129">
        <v>0</v>
      </c>
      <c r="R64" s="129">
        <v>0</v>
      </c>
      <c r="S64" s="129">
        <v>6.4050000000000002</v>
      </c>
      <c r="T64" s="129">
        <v>0</v>
      </c>
      <c r="U64" s="129">
        <v>0</v>
      </c>
      <c r="V64" s="129">
        <v>0</v>
      </c>
      <c r="W64" s="129">
        <v>0.13800000000000001</v>
      </c>
      <c r="X64" s="129">
        <v>0</v>
      </c>
      <c r="Y64" s="129">
        <v>0</v>
      </c>
      <c r="Z64" s="129">
        <v>0</v>
      </c>
      <c r="AA64" s="129">
        <v>0</v>
      </c>
      <c r="AB64" s="129">
        <v>0</v>
      </c>
      <c r="AC64" s="129">
        <v>0</v>
      </c>
      <c r="AD64" s="129">
        <v>0</v>
      </c>
      <c r="AE64" s="129">
        <v>0</v>
      </c>
      <c r="AF64" s="129">
        <v>0</v>
      </c>
      <c r="AG64" s="129">
        <v>7.2700000000000005</v>
      </c>
    </row>
    <row r="65" spans="1:33" x14ac:dyDescent="0.45">
      <c r="B65" s="130" t="s">
        <v>630</v>
      </c>
      <c r="C65" s="133">
        <v>0</v>
      </c>
      <c r="D65" s="133">
        <v>0</v>
      </c>
      <c r="E65" s="133">
        <v>0</v>
      </c>
      <c r="F65" s="133">
        <v>24.4909</v>
      </c>
      <c r="G65" s="133">
        <v>17.946000000000002</v>
      </c>
      <c r="H65" s="133">
        <v>16.295200000000001</v>
      </c>
      <c r="I65" s="133">
        <v>0</v>
      </c>
      <c r="J65" s="133">
        <v>0.23708399999999999</v>
      </c>
      <c r="K65" s="133">
        <v>0</v>
      </c>
      <c r="L65" s="133">
        <v>0</v>
      </c>
      <c r="M65" s="133">
        <v>187.34299999999999</v>
      </c>
      <c r="N65" s="133">
        <v>0</v>
      </c>
      <c r="O65" s="133">
        <v>0</v>
      </c>
      <c r="P65" s="133">
        <v>80.335999999999999</v>
      </c>
      <c r="Q65" s="133">
        <v>0.48099999999999998</v>
      </c>
      <c r="R65" s="133">
        <v>0</v>
      </c>
      <c r="S65" s="133">
        <v>31.7301</v>
      </c>
      <c r="T65" s="133">
        <v>0</v>
      </c>
      <c r="U65" s="133">
        <v>0</v>
      </c>
      <c r="V65" s="133">
        <v>0</v>
      </c>
      <c r="W65" s="133">
        <v>10.459099999999999</v>
      </c>
      <c r="X65" s="133">
        <v>0</v>
      </c>
      <c r="Y65" s="133">
        <v>0</v>
      </c>
      <c r="Z65" s="133">
        <v>0</v>
      </c>
      <c r="AA65" s="133">
        <v>0</v>
      </c>
      <c r="AB65" s="133">
        <v>0</v>
      </c>
      <c r="AC65" s="133">
        <v>0</v>
      </c>
      <c r="AD65" s="133">
        <v>0</v>
      </c>
      <c r="AE65" s="133">
        <v>0</v>
      </c>
      <c r="AF65" s="133">
        <v>0.28106100000000001</v>
      </c>
      <c r="AG65" s="133">
        <v>369.599445</v>
      </c>
    </row>
    <row r="66" spans="1:33" x14ac:dyDescent="0.45">
      <c r="A66" s="134" t="s">
        <v>628</v>
      </c>
      <c r="B66" s="130"/>
      <c r="C66" s="133">
        <v>0</v>
      </c>
      <c r="D66" s="133">
        <v>0</v>
      </c>
      <c r="E66" s="133">
        <v>0</v>
      </c>
      <c r="F66" s="133">
        <v>3.2719999999999998</v>
      </c>
      <c r="G66" s="133">
        <v>0</v>
      </c>
      <c r="H66" s="133">
        <v>0</v>
      </c>
      <c r="I66" s="133">
        <v>0</v>
      </c>
      <c r="J66" s="133">
        <v>7.9000000000000001E-2</v>
      </c>
      <c r="K66" s="133">
        <v>0</v>
      </c>
      <c r="L66" s="133">
        <v>0</v>
      </c>
      <c r="M66" s="133">
        <v>24.908999999999999</v>
      </c>
      <c r="N66" s="133">
        <v>0</v>
      </c>
      <c r="O66" s="133">
        <v>0</v>
      </c>
      <c r="P66" s="133">
        <v>0</v>
      </c>
      <c r="Q66" s="133">
        <v>0</v>
      </c>
      <c r="R66" s="133">
        <v>0</v>
      </c>
      <c r="S66" s="133">
        <v>8.9049999999999994</v>
      </c>
      <c r="T66" s="133">
        <v>0</v>
      </c>
      <c r="U66" s="133">
        <v>0</v>
      </c>
      <c r="V66" s="133">
        <v>0</v>
      </c>
      <c r="W66" s="133">
        <v>1.1340000000000001</v>
      </c>
      <c r="X66" s="133">
        <v>0</v>
      </c>
      <c r="Y66" s="133">
        <v>0</v>
      </c>
      <c r="Z66" s="133">
        <v>0</v>
      </c>
      <c r="AA66" s="133">
        <v>0</v>
      </c>
      <c r="AB66" s="133">
        <v>0</v>
      </c>
      <c r="AC66" s="133">
        <v>0</v>
      </c>
      <c r="AD66" s="133">
        <v>0</v>
      </c>
      <c r="AE66" s="133">
        <v>0</v>
      </c>
      <c r="AF66" s="133">
        <v>13.678000000000001</v>
      </c>
      <c r="AG66" s="133">
        <v>51.977000000000004</v>
      </c>
    </row>
    <row r="67" spans="1:33" x14ac:dyDescent="0.45">
      <c r="B67" s="130" t="s">
        <v>629</v>
      </c>
      <c r="C67" s="133">
        <v>0</v>
      </c>
      <c r="D67" s="133">
        <v>0</v>
      </c>
      <c r="E67" s="133">
        <v>0</v>
      </c>
      <c r="F67" s="133">
        <v>0</v>
      </c>
      <c r="G67" s="133">
        <v>0</v>
      </c>
      <c r="H67" s="133">
        <v>0</v>
      </c>
      <c r="I67" s="133">
        <v>0</v>
      </c>
      <c r="J67" s="133">
        <v>0</v>
      </c>
      <c r="K67" s="133">
        <v>0</v>
      </c>
      <c r="L67" s="133">
        <v>0</v>
      </c>
      <c r="M67" s="133">
        <v>0</v>
      </c>
      <c r="N67" s="133">
        <v>0</v>
      </c>
      <c r="O67" s="133">
        <v>0</v>
      </c>
      <c r="P67" s="133">
        <v>0</v>
      </c>
      <c r="Q67" s="133">
        <v>0</v>
      </c>
      <c r="R67" s="133">
        <v>0</v>
      </c>
      <c r="S67" s="133">
        <v>0</v>
      </c>
      <c r="T67" s="133">
        <v>0</v>
      </c>
      <c r="U67" s="133">
        <v>0</v>
      </c>
      <c r="V67" s="133">
        <v>0</v>
      </c>
      <c r="W67" s="133">
        <v>2.8000000000000001E-2</v>
      </c>
      <c r="X67" s="133">
        <v>0</v>
      </c>
      <c r="Y67" s="133">
        <v>0</v>
      </c>
      <c r="Z67" s="133">
        <v>0</v>
      </c>
      <c r="AA67" s="133">
        <v>0</v>
      </c>
      <c r="AB67" s="133">
        <v>0</v>
      </c>
      <c r="AC67" s="133">
        <v>0</v>
      </c>
      <c r="AD67" s="133">
        <v>0</v>
      </c>
      <c r="AE67" s="133">
        <v>0</v>
      </c>
      <c r="AF67" s="133">
        <v>13.678000000000001</v>
      </c>
      <c r="AG67" s="133">
        <v>13.706000000000001</v>
      </c>
    </row>
    <row r="68" spans="1:33" x14ac:dyDescent="0.45">
      <c r="A68" s="126"/>
      <c r="B68" s="129" t="s">
        <v>627</v>
      </c>
      <c r="C68" s="129">
        <v>0</v>
      </c>
      <c r="D68" s="129">
        <v>0</v>
      </c>
      <c r="E68" s="129">
        <v>0</v>
      </c>
      <c r="F68" s="129">
        <v>3.2719999999999998</v>
      </c>
      <c r="G68" s="129">
        <v>0</v>
      </c>
      <c r="H68" s="129">
        <v>0</v>
      </c>
      <c r="I68" s="129">
        <v>0</v>
      </c>
      <c r="J68" s="129">
        <v>7.9000000000000001E-2</v>
      </c>
      <c r="K68" s="129">
        <v>0</v>
      </c>
      <c r="L68" s="129">
        <v>0</v>
      </c>
      <c r="M68" s="129">
        <v>24.908999999999999</v>
      </c>
      <c r="N68" s="129">
        <v>0</v>
      </c>
      <c r="O68" s="129">
        <v>0</v>
      </c>
      <c r="P68" s="129">
        <v>0</v>
      </c>
      <c r="Q68" s="129">
        <v>0</v>
      </c>
      <c r="R68" s="129">
        <v>0</v>
      </c>
      <c r="S68" s="129">
        <v>8.9049999999999994</v>
      </c>
      <c r="T68" s="129">
        <v>0</v>
      </c>
      <c r="U68" s="129">
        <v>0</v>
      </c>
      <c r="V68" s="129">
        <v>0</v>
      </c>
      <c r="W68" s="129">
        <v>1.1060000000000001</v>
      </c>
      <c r="X68" s="129">
        <v>0</v>
      </c>
      <c r="Y68" s="129">
        <v>0</v>
      </c>
      <c r="Z68" s="129">
        <v>0</v>
      </c>
      <c r="AA68" s="129">
        <v>0</v>
      </c>
      <c r="AB68" s="129">
        <v>0</v>
      </c>
      <c r="AC68" s="129">
        <v>0</v>
      </c>
      <c r="AD68" s="129">
        <v>0</v>
      </c>
      <c r="AE68" s="129">
        <v>0</v>
      </c>
      <c r="AF68" s="129">
        <v>0</v>
      </c>
      <c r="AG68" s="129">
        <v>38.271000000000001</v>
      </c>
    </row>
    <row r="69" spans="1:33" x14ac:dyDescent="0.45">
      <c r="A69" s="134" t="s">
        <v>623</v>
      </c>
      <c r="B69" s="130"/>
      <c r="C69" s="133">
        <v>0</v>
      </c>
      <c r="D69" s="133">
        <v>0</v>
      </c>
      <c r="E69" s="133">
        <v>0</v>
      </c>
      <c r="F69" s="133">
        <v>14.112</v>
      </c>
      <c r="G69" s="133">
        <v>0</v>
      </c>
      <c r="H69" s="133">
        <v>0</v>
      </c>
      <c r="I69" s="133">
        <v>0</v>
      </c>
      <c r="J69" s="133">
        <v>0.1048</v>
      </c>
      <c r="K69" s="133">
        <v>0</v>
      </c>
      <c r="L69" s="133">
        <v>0</v>
      </c>
      <c r="M69" s="133">
        <v>1.6135999999999999</v>
      </c>
      <c r="N69" s="133">
        <v>0</v>
      </c>
      <c r="O69" s="133">
        <v>0</v>
      </c>
      <c r="P69" s="133">
        <v>7.51</v>
      </c>
      <c r="Q69" s="133">
        <v>0</v>
      </c>
      <c r="R69" s="133">
        <v>0</v>
      </c>
      <c r="S69" s="133">
        <v>19.321999999999999</v>
      </c>
      <c r="T69" s="133">
        <v>0</v>
      </c>
      <c r="U69" s="133">
        <v>0</v>
      </c>
      <c r="V69" s="133">
        <v>0</v>
      </c>
      <c r="W69" s="133">
        <v>0.75819000000000003</v>
      </c>
      <c r="X69" s="133">
        <v>7.1639999999999997</v>
      </c>
      <c r="Y69" s="133">
        <v>2.7040000000000002</v>
      </c>
      <c r="Z69" s="133">
        <v>0</v>
      </c>
      <c r="AA69" s="133">
        <v>0</v>
      </c>
      <c r="AB69" s="133">
        <v>0</v>
      </c>
      <c r="AC69" s="133">
        <v>0</v>
      </c>
      <c r="AD69" s="133">
        <v>0</v>
      </c>
      <c r="AE69" s="133">
        <v>0</v>
      </c>
      <c r="AF69" s="133">
        <v>0</v>
      </c>
      <c r="AG69" s="133">
        <v>53.288589999999999</v>
      </c>
    </row>
    <row r="70" spans="1:33" x14ac:dyDescent="0.45">
      <c r="B70" s="130" t="s">
        <v>626</v>
      </c>
      <c r="C70" s="133">
        <v>0</v>
      </c>
      <c r="D70" s="133">
        <v>0</v>
      </c>
      <c r="E70" s="133">
        <v>0</v>
      </c>
      <c r="F70" s="133">
        <v>14.112</v>
      </c>
      <c r="G70" s="133">
        <v>0</v>
      </c>
      <c r="H70" s="133">
        <v>0</v>
      </c>
      <c r="I70" s="133">
        <v>0</v>
      </c>
      <c r="J70" s="133">
        <v>1.4999999999999999E-2</v>
      </c>
      <c r="K70" s="133">
        <v>0</v>
      </c>
      <c r="L70" s="133">
        <v>0</v>
      </c>
      <c r="M70" s="133">
        <v>1.6135999999999999</v>
      </c>
      <c r="N70" s="133">
        <v>0</v>
      </c>
      <c r="O70" s="133">
        <v>0</v>
      </c>
      <c r="P70" s="133">
        <v>7.51</v>
      </c>
      <c r="Q70" s="133">
        <v>0</v>
      </c>
      <c r="R70" s="133">
        <v>0</v>
      </c>
      <c r="S70" s="133">
        <v>19.321999999999999</v>
      </c>
      <c r="T70" s="133">
        <v>0</v>
      </c>
      <c r="U70" s="133">
        <v>0</v>
      </c>
      <c r="V70" s="133">
        <v>0</v>
      </c>
      <c r="W70" s="133">
        <v>0.70299999999999996</v>
      </c>
      <c r="X70" s="133">
        <v>7.1639999999999997</v>
      </c>
      <c r="Y70" s="133">
        <v>9.6000000000000002E-2</v>
      </c>
      <c r="Z70" s="133">
        <v>0</v>
      </c>
      <c r="AA70" s="133">
        <v>0</v>
      </c>
      <c r="AB70" s="133">
        <v>0</v>
      </c>
      <c r="AC70" s="133">
        <v>0</v>
      </c>
      <c r="AD70" s="133">
        <v>0</v>
      </c>
      <c r="AE70" s="133">
        <v>0</v>
      </c>
      <c r="AF70" s="133">
        <v>0</v>
      </c>
      <c r="AG70" s="133">
        <v>50.535600000000002</v>
      </c>
    </row>
    <row r="71" spans="1:33" x14ac:dyDescent="0.45">
      <c r="A71" s="126"/>
      <c r="B71" s="129" t="s">
        <v>625</v>
      </c>
      <c r="C71" s="129">
        <v>0</v>
      </c>
      <c r="D71" s="129">
        <v>0</v>
      </c>
      <c r="E71" s="129">
        <v>0</v>
      </c>
      <c r="F71" s="129">
        <v>0</v>
      </c>
      <c r="G71" s="129">
        <v>0</v>
      </c>
      <c r="H71" s="129">
        <v>0</v>
      </c>
      <c r="I71" s="129">
        <v>0</v>
      </c>
      <c r="J71" s="129">
        <v>0</v>
      </c>
      <c r="K71" s="129">
        <v>0</v>
      </c>
      <c r="L71" s="129">
        <v>0</v>
      </c>
      <c r="M71" s="129">
        <v>0</v>
      </c>
      <c r="N71" s="129">
        <v>0</v>
      </c>
      <c r="O71" s="129">
        <v>0</v>
      </c>
      <c r="P71" s="129">
        <v>0</v>
      </c>
      <c r="Q71" s="129">
        <v>0</v>
      </c>
      <c r="R71" s="129">
        <v>0</v>
      </c>
      <c r="S71" s="129">
        <v>0</v>
      </c>
      <c r="T71" s="129">
        <v>0</v>
      </c>
      <c r="U71" s="129">
        <v>0</v>
      </c>
      <c r="V71" s="129">
        <v>0</v>
      </c>
      <c r="W71" s="129">
        <v>0</v>
      </c>
      <c r="X71" s="129">
        <v>0</v>
      </c>
      <c r="Y71" s="129">
        <v>0</v>
      </c>
      <c r="Z71" s="129">
        <v>0</v>
      </c>
      <c r="AA71" s="129">
        <v>0</v>
      </c>
      <c r="AB71" s="129">
        <v>0</v>
      </c>
      <c r="AC71" s="129">
        <v>0</v>
      </c>
      <c r="AD71" s="129">
        <v>0</v>
      </c>
      <c r="AE71" s="129">
        <v>0</v>
      </c>
      <c r="AF71" s="129">
        <v>0</v>
      </c>
      <c r="AG71" s="129">
        <v>0</v>
      </c>
    </row>
    <row r="72" spans="1:33" x14ac:dyDescent="0.45">
      <c r="B72" s="130" t="s">
        <v>624</v>
      </c>
      <c r="C72" s="133">
        <v>0</v>
      </c>
      <c r="D72" s="133">
        <v>0</v>
      </c>
      <c r="E72" s="133">
        <v>0</v>
      </c>
      <c r="F72" s="133">
        <v>0</v>
      </c>
      <c r="G72" s="133">
        <v>0</v>
      </c>
      <c r="H72" s="133">
        <v>0</v>
      </c>
      <c r="I72" s="133">
        <v>0</v>
      </c>
      <c r="J72" s="133">
        <v>8.0000000000000002E-3</v>
      </c>
      <c r="K72" s="133">
        <v>0</v>
      </c>
      <c r="L72" s="133">
        <v>0</v>
      </c>
      <c r="M72" s="133">
        <v>0</v>
      </c>
      <c r="N72" s="133">
        <v>0</v>
      </c>
      <c r="O72" s="133">
        <v>0</v>
      </c>
      <c r="P72" s="133">
        <v>0</v>
      </c>
      <c r="Q72" s="133">
        <v>0</v>
      </c>
      <c r="R72" s="133">
        <v>0</v>
      </c>
      <c r="S72" s="133">
        <v>0</v>
      </c>
      <c r="T72" s="133">
        <v>0</v>
      </c>
      <c r="U72" s="133">
        <v>0</v>
      </c>
      <c r="V72" s="133">
        <v>0</v>
      </c>
      <c r="W72" s="133">
        <v>4.1000000000000002E-2</v>
      </c>
      <c r="X72" s="133">
        <v>0</v>
      </c>
      <c r="Y72" s="133">
        <v>2.028</v>
      </c>
      <c r="Z72" s="133">
        <v>0</v>
      </c>
      <c r="AA72" s="133">
        <v>0</v>
      </c>
      <c r="AB72" s="133">
        <v>0</v>
      </c>
      <c r="AC72" s="133">
        <v>0</v>
      </c>
      <c r="AD72" s="133">
        <v>0</v>
      </c>
      <c r="AE72" s="133">
        <v>0</v>
      </c>
      <c r="AF72" s="133">
        <v>0</v>
      </c>
      <c r="AG72" s="133">
        <v>2.077</v>
      </c>
    </row>
    <row r="73" spans="1:33" x14ac:dyDescent="0.45">
      <c r="B73" s="130" t="s">
        <v>622</v>
      </c>
      <c r="C73" s="133">
        <v>0</v>
      </c>
      <c r="D73" s="133">
        <v>0</v>
      </c>
      <c r="E73" s="133">
        <v>0</v>
      </c>
      <c r="F73" s="133">
        <v>0</v>
      </c>
      <c r="G73" s="133">
        <v>0</v>
      </c>
      <c r="H73" s="133">
        <v>0</v>
      </c>
      <c r="I73" s="133">
        <v>0</v>
      </c>
      <c r="J73" s="133">
        <v>8.1799999999999998E-2</v>
      </c>
      <c r="K73" s="133">
        <v>0</v>
      </c>
      <c r="L73" s="133">
        <v>0</v>
      </c>
      <c r="M73" s="133">
        <v>0</v>
      </c>
      <c r="N73" s="133">
        <v>0</v>
      </c>
      <c r="O73" s="133">
        <v>0</v>
      </c>
      <c r="P73" s="133">
        <v>0</v>
      </c>
      <c r="Q73" s="133">
        <v>0</v>
      </c>
      <c r="R73" s="133">
        <v>0</v>
      </c>
      <c r="S73" s="133">
        <v>0</v>
      </c>
      <c r="T73" s="133">
        <v>0</v>
      </c>
      <c r="U73" s="133">
        <v>0</v>
      </c>
      <c r="V73" s="133">
        <v>0</v>
      </c>
      <c r="W73" s="133">
        <v>1.4189999999999999E-2</v>
      </c>
      <c r="X73" s="133">
        <v>0</v>
      </c>
      <c r="Y73" s="133">
        <v>0.57999999999999996</v>
      </c>
      <c r="Z73" s="133">
        <v>0</v>
      </c>
      <c r="AA73" s="133">
        <v>0</v>
      </c>
      <c r="AB73" s="133">
        <v>0</v>
      </c>
      <c r="AC73" s="133">
        <v>0</v>
      </c>
      <c r="AD73" s="133">
        <v>0</v>
      </c>
      <c r="AE73" s="133">
        <v>0</v>
      </c>
      <c r="AF73" s="133">
        <v>0</v>
      </c>
      <c r="AG73" s="133">
        <v>0.67598999999999998</v>
      </c>
    </row>
    <row r="74" spans="1:33" x14ac:dyDescent="0.45">
      <c r="A74" s="134" t="s">
        <v>610</v>
      </c>
      <c r="B74" s="130"/>
      <c r="C74" s="133">
        <v>16.941199999999998</v>
      </c>
      <c r="D74" s="133">
        <v>1923.8440000000001</v>
      </c>
      <c r="E74" s="133">
        <v>0</v>
      </c>
      <c r="F74" s="133">
        <v>49.0426</v>
      </c>
      <c r="G74" s="133">
        <v>54.5</v>
      </c>
      <c r="H74" s="133">
        <v>93.107799999999997</v>
      </c>
      <c r="I74" s="133">
        <v>0.2</v>
      </c>
      <c r="J74" s="133">
        <v>13.789459600000001</v>
      </c>
      <c r="K74" s="133">
        <v>0</v>
      </c>
      <c r="L74" s="133">
        <v>32.722439999999999</v>
      </c>
      <c r="M74" s="133">
        <v>133.39249999999998</v>
      </c>
      <c r="N74" s="133">
        <v>222.328</v>
      </c>
      <c r="O74" s="133">
        <v>43.002200000000002</v>
      </c>
      <c r="P74" s="133">
        <v>346.1</v>
      </c>
      <c r="Q74" s="133">
        <v>244.39999999999998</v>
      </c>
      <c r="R74" s="133">
        <v>98.6053</v>
      </c>
      <c r="S74" s="133">
        <v>459.673</v>
      </c>
      <c r="T74" s="133">
        <v>28.665595</v>
      </c>
      <c r="U74" s="133">
        <v>0</v>
      </c>
      <c r="V74" s="133">
        <v>0</v>
      </c>
      <c r="W74" s="133">
        <v>144.4228</v>
      </c>
      <c r="X74" s="133">
        <v>17</v>
      </c>
      <c r="Y74" s="133">
        <v>86.4</v>
      </c>
      <c r="Z74" s="133">
        <v>0</v>
      </c>
      <c r="AA74" s="133">
        <v>112.5</v>
      </c>
      <c r="AB74" s="133">
        <v>232.6</v>
      </c>
      <c r="AC74" s="133">
        <v>3.4621200000000001</v>
      </c>
      <c r="AD74" s="133">
        <v>0</v>
      </c>
      <c r="AE74" s="133">
        <v>64.128900000000002</v>
      </c>
      <c r="AF74" s="133">
        <v>0</v>
      </c>
      <c r="AG74" s="133">
        <v>4420.8279146000004</v>
      </c>
    </row>
    <row r="75" spans="1:33" x14ac:dyDescent="0.45">
      <c r="A75" s="126"/>
      <c r="B75" s="129" t="s">
        <v>621</v>
      </c>
      <c r="C75" s="129">
        <v>0</v>
      </c>
      <c r="D75" s="129">
        <v>0</v>
      </c>
      <c r="E75" s="129">
        <v>0</v>
      </c>
      <c r="F75" s="129">
        <v>0</v>
      </c>
      <c r="G75" s="129">
        <v>0</v>
      </c>
      <c r="H75" s="129">
        <v>0</v>
      </c>
      <c r="I75" s="129">
        <v>0</v>
      </c>
      <c r="J75" s="129">
        <v>0</v>
      </c>
      <c r="K75" s="129">
        <v>0</v>
      </c>
      <c r="L75" s="129">
        <v>0</v>
      </c>
      <c r="M75" s="129">
        <v>0</v>
      </c>
      <c r="N75" s="129">
        <v>0</v>
      </c>
      <c r="O75" s="129">
        <v>0</v>
      </c>
      <c r="P75" s="129">
        <v>0</v>
      </c>
      <c r="Q75" s="129">
        <v>0</v>
      </c>
      <c r="R75" s="129">
        <v>0</v>
      </c>
      <c r="S75" s="129">
        <v>0</v>
      </c>
      <c r="T75" s="129">
        <v>0</v>
      </c>
      <c r="U75" s="129">
        <v>0</v>
      </c>
      <c r="V75" s="129">
        <v>0</v>
      </c>
      <c r="W75" s="129">
        <v>0</v>
      </c>
      <c r="X75" s="129">
        <v>0</v>
      </c>
      <c r="Y75" s="129">
        <v>0</v>
      </c>
      <c r="Z75" s="129">
        <v>0</v>
      </c>
      <c r="AA75" s="129">
        <v>0</v>
      </c>
      <c r="AB75" s="129">
        <v>0</v>
      </c>
      <c r="AC75" s="129">
        <v>0</v>
      </c>
      <c r="AD75" s="129">
        <v>0</v>
      </c>
      <c r="AE75" s="129">
        <v>0</v>
      </c>
      <c r="AF75" s="129">
        <v>0</v>
      </c>
      <c r="AG75" s="129">
        <v>0</v>
      </c>
    </row>
    <row r="76" spans="1:33" x14ac:dyDescent="0.45">
      <c r="B76" s="130" t="s">
        <v>620</v>
      </c>
      <c r="C76" s="133">
        <v>0</v>
      </c>
      <c r="D76" s="133">
        <v>0</v>
      </c>
      <c r="E76" s="133">
        <v>0</v>
      </c>
      <c r="F76" s="133">
        <v>0</v>
      </c>
      <c r="G76" s="133">
        <v>1.8</v>
      </c>
      <c r="H76" s="133">
        <v>0</v>
      </c>
      <c r="I76" s="133">
        <v>0</v>
      </c>
      <c r="J76" s="133">
        <v>0.4</v>
      </c>
      <c r="K76" s="133">
        <v>0</v>
      </c>
      <c r="L76" s="133">
        <v>0</v>
      </c>
      <c r="M76" s="133">
        <v>0</v>
      </c>
      <c r="N76" s="133">
        <v>0</v>
      </c>
      <c r="O76" s="133">
        <v>0</v>
      </c>
      <c r="P76" s="133">
        <v>0</v>
      </c>
      <c r="Q76" s="133">
        <v>8.8000000000000007</v>
      </c>
      <c r="R76" s="133">
        <v>0</v>
      </c>
      <c r="S76" s="133">
        <v>24.9</v>
      </c>
      <c r="T76" s="133">
        <v>0</v>
      </c>
      <c r="U76" s="133">
        <v>0</v>
      </c>
      <c r="V76" s="133">
        <v>0</v>
      </c>
      <c r="W76" s="133">
        <v>1.07</v>
      </c>
      <c r="X76" s="133">
        <v>0</v>
      </c>
      <c r="Y76" s="133">
        <v>7.4</v>
      </c>
      <c r="Z76" s="133">
        <v>0</v>
      </c>
      <c r="AA76" s="133">
        <v>0</v>
      </c>
      <c r="AB76" s="133">
        <v>0</v>
      </c>
      <c r="AC76" s="133">
        <v>0</v>
      </c>
      <c r="AD76" s="133">
        <v>0</v>
      </c>
      <c r="AE76" s="133">
        <v>0</v>
      </c>
      <c r="AF76" s="133">
        <v>0</v>
      </c>
      <c r="AG76" s="133">
        <v>44.370000000000005</v>
      </c>
    </row>
    <row r="77" spans="1:33" x14ac:dyDescent="0.45">
      <c r="B77" s="130" t="s">
        <v>619</v>
      </c>
      <c r="C77" s="133">
        <v>0</v>
      </c>
      <c r="D77" s="133">
        <v>0</v>
      </c>
      <c r="E77" s="133">
        <v>0</v>
      </c>
      <c r="F77" s="133">
        <v>0</v>
      </c>
      <c r="G77" s="133">
        <v>0</v>
      </c>
      <c r="H77" s="133">
        <v>0</v>
      </c>
      <c r="I77" s="133">
        <v>0</v>
      </c>
      <c r="J77" s="133">
        <v>0</v>
      </c>
      <c r="K77" s="133">
        <v>0</v>
      </c>
      <c r="L77" s="133">
        <v>0</v>
      </c>
      <c r="M77" s="133">
        <v>0</v>
      </c>
      <c r="N77" s="133">
        <v>0</v>
      </c>
      <c r="O77" s="133">
        <v>0</v>
      </c>
      <c r="P77" s="133">
        <v>0</v>
      </c>
      <c r="Q77" s="133">
        <v>0</v>
      </c>
      <c r="R77" s="133">
        <v>0</v>
      </c>
      <c r="S77" s="133">
        <v>0</v>
      </c>
      <c r="T77" s="133">
        <v>0</v>
      </c>
      <c r="U77" s="133">
        <v>0</v>
      </c>
      <c r="V77" s="133">
        <v>0</v>
      </c>
      <c r="W77" s="133">
        <v>0</v>
      </c>
      <c r="X77" s="133">
        <v>0</v>
      </c>
      <c r="Y77" s="133">
        <v>0</v>
      </c>
      <c r="Z77" s="133">
        <v>0</v>
      </c>
      <c r="AA77" s="133">
        <v>0</v>
      </c>
      <c r="AB77" s="133">
        <v>0</v>
      </c>
      <c r="AC77" s="133">
        <v>0</v>
      </c>
      <c r="AD77" s="133">
        <v>0</v>
      </c>
      <c r="AE77" s="133">
        <v>0</v>
      </c>
      <c r="AF77" s="133">
        <v>0</v>
      </c>
      <c r="AG77" s="133">
        <v>0</v>
      </c>
    </row>
    <row r="78" spans="1:33" x14ac:dyDescent="0.45">
      <c r="A78" s="126"/>
      <c r="B78" s="129" t="s">
        <v>618</v>
      </c>
      <c r="C78" s="344">
        <v>0</v>
      </c>
      <c r="D78" s="344">
        <v>210.21700000000001</v>
      </c>
      <c r="E78" s="129">
        <v>0</v>
      </c>
      <c r="F78" s="129">
        <v>49.0426</v>
      </c>
      <c r="G78" s="129">
        <v>0</v>
      </c>
      <c r="H78" s="129">
        <v>0</v>
      </c>
      <c r="I78" s="129">
        <v>0.2</v>
      </c>
      <c r="J78" s="129">
        <v>0.97783100000000001</v>
      </c>
      <c r="K78" s="129">
        <v>0</v>
      </c>
      <c r="L78" s="129">
        <v>15.253299999999999</v>
      </c>
      <c r="M78" s="129">
        <v>102.34099999999999</v>
      </c>
      <c r="N78" s="129">
        <v>0</v>
      </c>
      <c r="O78" s="129">
        <v>0</v>
      </c>
      <c r="P78" s="129">
        <v>188</v>
      </c>
      <c r="Q78" s="129">
        <v>76.599999999999994</v>
      </c>
      <c r="R78" s="129">
        <v>98.6053</v>
      </c>
      <c r="S78" s="129">
        <v>108.773</v>
      </c>
      <c r="T78" s="129">
        <v>0.485095</v>
      </c>
      <c r="U78" s="129">
        <v>0</v>
      </c>
      <c r="V78" s="129">
        <v>0</v>
      </c>
      <c r="W78" s="129">
        <v>60.531500000000001</v>
      </c>
      <c r="X78" s="129">
        <v>0</v>
      </c>
      <c r="Y78" s="129">
        <v>0</v>
      </c>
      <c r="Z78" s="129">
        <v>0</v>
      </c>
      <c r="AA78" s="129">
        <v>16.2</v>
      </c>
      <c r="AB78" s="129">
        <v>34.9</v>
      </c>
      <c r="AC78" s="129">
        <v>3.4621200000000001</v>
      </c>
      <c r="AD78" s="129">
        <v>0</v>
      </c>
      <c r="AE78" s="129">
        <v>64.128900000000002</v>
      </c>
      <c r="AF78" s="129">
        <v>0</v>
      </c>
      <c r="AG78" s="344">
        <v>1029.72</v>
      </c>
    </row>
    <row r="79" spans="1:33" x14ac:dyDescent="0.45">
      <c r="B79" s="130" t="s">
        <v>616</v>
      </c>
      <c r="C79" s="133">
        <v>0</v>
      </c>
      <c r="D79" s="133">
        <v>110</v>
      </c>
      <c r="E79" s="133">
        <v>0</v>
      </c>
      <c r="F79" s="133">
        <v>0</v>
      </c>
      <c r="G79" s="133">
        <v>27</v>
      </c>
      <c r="H79" s="133">
        <v>0.2</v>
      </c>
      <c r="I79" s="133">
        <v>0</v>
      </c>
      <c r="J79" s="133">
        <v>0</v>
      </c>
      <c r="K79" s="133">
        <v>0</v>
      </c>
      <c r="L79" s="133">
        <v>0</v>
      </c>
      <c r="M79" s="133">
        <v>0</v>
      </c>
      <c r="N79" s="133">
        <v>0</v>
      </c>
      <c r="O79" s="133">
        <v>0</v>
      </c>
      <c r="P79" s="133">
        <v>9.4</v>
      </c>
      <c r="Q79" s="133">
        <v>0</v>
      </c>
      <c r="R79" s="133">
        <v>0</v>
      </c>
      <c r="S79" s="133">
        <v>0</v>
      </c>
      <c r="T79" s="133">
        <v>0</v>
      </c>
      <c r="U79" s="133">
        <v>0</v>
      </c>
      <c r="V79" s="133">
        <v>0</v>
      </c>
      <c r="W79" s="133">
        <v>3.7</v>
      </c>
      <c r="X79" s="133">
        <v>17</v>
      </c>
      <c r="Y79" s="133">
        <v>66</v>
      </c>
      <c r="Z79" s="133">
        <v>0</v>
      </c>
      <c r="AA79" s="133">
        <v>63.5</v>
      </c>
      <c r="AB79" s="133">
        <v>129.5</v>
      </c>
      <c r="AC79" s="133">
        <v>0</v>
      </c>
      <c r="AD79" s="133">
        <v>0</v>
      </c>
      <c r="AE79" s="133">
        <v>0</v>
      </c>
      <c r="AF79" s="133">
        <v>0</v>
      </c>
      <c r="AG79" s="133">
        <v>426.29999999999995</v>
      </c>
    </row>
    <row r="80" spans="1:33" x14ac:dyDescent="0.45">
      <c r="A80" s="126"/>
      <c r="B80" s="129" t="s">
        <v>615</v>
      </c>
      <c r="C80" s="129">
        <v>0</v>
      </c>
      <c r="D80" s="129">
        <v>0</v>
      </c>
      <c r="E80" s="129">
        <v>0</v>
      </c>
      <c r="F80" s="129">
        <v>0</v>
      </c>
      <c r="G80" s="129">
        <v>0</v>
      </c>
      <c r="H80" s="129">
        <v>0</v>
      </c>
      <c r="I80" s="129">
        <v>0</v>
      </c>
      <c r="J80" s="129">
        <v>0</v>
      </c>
      <c r="K80" s="129">
        <v>0</v>
      </c>
      <c r="L80" s="129">
        <v>0</v>
      </c>
      <c r="M80" s="129">
        <v>0</v>
      </c>
      <c r="N80" s="129">
        <v>0</v>
      </c>
      <c r="O80" s="129">
        <v>0</v>
      </c>
      <c r="P80" s="129">
        <v>0</v>
      </c>
      <c r="Q80" s="129">
        <v>0</v>
      </c>
      <c r="R80" s="129">
        <v>0</v>
      </c>
      <c r="S80" s="129">
        <v>0</v>
      </c>
      <c r="T80" s="129">
        <v>0</v>
      </c>
      <c r="U80" s="129">
        <v>0</v>
      </c>
      <c r="V80" s="129">
        <v>0</v>
      </c>
      <c r="W80" s="129">
        <v>0</v>
      </c>
      <c r="X80" s="129">
        <v>0</v>
      </c>
      <c r="Y80" s="129">
        <v>0</v>
      </c>
      <c r="Z80" s="129">
        <v>0</v>
      </c>
      <c r="AA80" s="129">
        <v>0</v>
      </c>
      <c r="AB80" s="129">
        <v>0</v>
      </c>
      <c r="AC80" s="129">
        <v>0</v>
      </c>
      <c r="AD80" s="129">
        <v>0</v>
      </c>
      <c r="AE80" s="129">
        <v>0</v>
      </c>
      <c r="AF80" s="129">
        <v>0</v>
      </c>
      <c r="AG80" s="129">
        <v>0</v>
      </c>
    </row>
    <row r="81" spans="1:33" x14ac:dyDescent="0.45">
      <c r="B81" s="130" t="s">
        <v>614</v>
      </c>
      <c r="C81" s="133">
        <v>0</v>
      </c>
      <c r="D81" s="133">
        <v>932.34699999999998</v>
      </c>
      <c r="E81" s="133">
        <v>0</v>
      </c>
      <c r="F81" s="133">
        <v>0</v>
      </c>
      <c r="G81" s="133">
        <v>0</v>
      </c>
      <c r="H81" s="133">
        <v>92.907799999999995</v>
      </c>
      <c r="I81" s="133">
        <v>0</v>
      </c>
      <c r="J81" s="133">
        <v>4.9888599999999998E-2</v>
      </c>
      <c r="K81" s="133">
        <v>0</v>
      </c>
      <c r="L81" s="133">
        <v>4.4691400000000003</v>
      </c>
      <c r="M81" s="133">
        <v>0</v>
      </c>
      <c r="N81" s="133">
        <v>222.328</v>
      </c>
      <c r="O81" s="133">
        <v>0</v>
      </c>
      <c r="P81" s="133">
        <v>58</v>
      </c>
      <c r="Q81" s="133">
        <v>158.69999999999999</v>
      </c>
      <c r="R81" s="133">
        <v>0</v>
      </c>
      <c r="S81" s="133">
        <v>147</v>
      </c>
      <c r="T81" s="133">
        <v>0</v>
      </c>
      <c r="U81" s="133">
        <v>0</v>
      </c>
      <c r="V81" s="133">
        <v>0</v>
      </c>
      <c r="W81" s="133">
        <v>32.607100000000003</v>
      </c>
      <c r="X81" s="133">
        <v>0</v>
      </c>
      <c r="Y81" s="133">
        <v>0</v>
      </c>
      <c r="Z81" s="133">
        <v>0</v>
      </c>
      <c r="AA81" s="133">
        <v>24.5</v>
      </c>
      <c r="AB81" s="133">
        <v>55.5</v>
      </c>
      <c r="AC81" s="133">
        <v>0</v>
      </c>
      <c r="AD81" s="133">
        <v>0</v>
      </c>
      <c r="AE81" s="133">
        <v>0</v>
      </c>
      <c r="AF81" s="133">
        <v>0</v>
      </c>
      <c r="AG81" s="133">
        <v>1728.4089285999999</v>
      </c>
    </row>
    <row r="82" spans="1:33" x14ac:dyDescent="0.45">
      <c r="A82" s="126"/>
      <c r="B82" s="129" t="s">
        <v>613</v>
      </c>
      <c r="C82" s="129">
        <v>0</v>
      </c>
      <c r="D82" s="129">
        <v>670.90899999999999</v>
      </c>
      <c r="E82" s="129">
        <v>0</v>
      </c>
      <c r="F82" s="129">
        <v>0</v>
      </c>
      <c r="G82" s="129">
        <v>9.8000000000000007</v>
      </c>
      <c r="H82" s="129">
        <v>0</v>
      </c>
      <c r="I82" s="129">
        <v>0</v>
      </c>
      <c r="J82" s="129">
        <v>9.0617400000000004</v>
      </c>
      <c r="K82" s="129">
        <v>0</v>
      </c>
      <c r="L82" s="129">
        <v>13</v>
      </c>
      <c r="M82" s="129">
        <v>31.051500000000001</v>
      </c>
      <c r="N82" s="129">
        <v>0</v>
      </c>
      <c r="O82" s="129">
        <v>43.002200000000002</v>
      </c>
      <c r="P82" s="129">
        <v>69.599999999999994</v>
      </c>
      <c r="Q82" s="129">
        <v>0</v>
      </c>
      <c r="R82" s="129">
        <v>0</v>
      </c>
      <c r="S82" s="129">
        <v>0</v>
      </c>
      <c r="T82" s="129">
        <v>28.180499999999999</v>
      </c>
      <c r="U82" s="129">
        <v>0</v>
      </c>
      <c r="V82" s="129">
        <v>0</v>
      </c>
      <c r="W82" s="129">
        <v>37.8142</v>
      </c>
      <c r="X82" s="129">
        <v>0</v>
      </c>
      <c r="Y82" s="129">
        <v>0</v>
      </c>
      <c r="Z82" s="129">
        <v>0</v>
      </c>
      <c r="AA82" s="129">
        <v>0</v>
      </c>
      <c r="AB82" s="129">
        <v>0</v>
      </c>
      <c r="AC82" s="129">
        <v>0</v>
      </c>
      <c r="AD82" s="129">
        <v>0</v>
      </c>
      <c r="AE82" s="129">
        <v>0</v>
      </c>
      <c r="AF82" s="129">
        <v>0</v>
      </c>
      <c r="AG82" s="129">
        <v>912.41914000000008</v>
      </c>
    </row>
    <row r="83" spans="1:33" x14ac:dyDescent="0.45">
      <c r="B83" s="130" t="s">
        <v>612</v>
      </c>
      <c r="C83" s="133">
        <v>0</v>
      </c>
      <c r="D83" s="133">
        <v>0</v>
      </c>
      <c r="E83" s="133">
        <v>0</v>
      </c>
      <c r="F83" s="133">
        <v>0</v>
      </c>
      <c r="G83" s="133">
        <v>1.4</v>
      </c>
      <c r="H83" s="133">
        <v>0</v>
      </c>
      <c r="I83" s="133">
        <v>0</v>
      </c>
      <c r="J83" s="133">
        <v>1.9</v>
      </c>
      <c r="K83" s="133">
        <v>0</v>
      </c>
      <c r="L83" s="133">
        <v>0</v>
      </c>
      <c r="M83" s="133">
        <v>0</v>
      </c>
      <c r="N83" s="133">
        <v>0</v>
      </c>
      <c r="O83" s="133">
        <v>0</v>
      </c>
      <c r="P83" s="133">
        <v>10.5</v>
      </c>
      <c r="Q83" s="133">
        <v>0</v>
      </c>
      <c r="R83" s="133">
        <v>0</v>
      </c>
      <c r="S83" s="133">
        <v>79</v>
      </c>
      <c r="T83" s="133">
        <v>0</v>
      </c>
      <c r="U83" s="133">
        <v>0</v>
      </c>
      <c r="V83" s="133">
        <v>0</v>
      </c>
      <c r="W83" s="133">
        <v>2.2999999999999998</v>
      </c>
      <c r="X83" s="133">
        <v>0</v>
      </c>
      <c r="Y83" s="133">
        <v>5</v>
      </c>
      <c r="Z83" s="133">
        <v>0</v>
      </c>
      <c r="AA83" s="133">
        <v>0</v>
      </c>
      <c r="AB83" s="133">
        <v>0</v>
      </c>
      <c r="AC83" s="133">
        <v>0</v>
      </c>
      <c r="AD83" s="133">
        <v>0</v>
      </c>
      <c r="AE83" s="133">
        <v>0</v>
      </c>
      <c r="AF83" s="133">
        <v>0</v>
      </c>
      <c r="AG83" s="133">
        <v>100.10000000000001</v>
      </c>
    </row>
    <row r="84" spans="1:33" x14ac:dyDescent="0.45">
      <c r="B84" s="130" t="s">
        <v>611</v>
      </c>
      <c r="C84" s="133">
        <v>0</v>
      </c>
      <c r="D84" s="133">
        <v>0</v>
      </c>
      <c r="E84" s="133">
        <v>0</v>
      </c>
      <c r="F84" s="133">
        <v>0</v>
      </c>
      <c r="G84" s="133">
        <v>5.7</v>
      </c>
      <c r="H84" s="133">
        <v>0</v>
      </c>
      <c r="I84" s="133">
        <v>0</v>
      </c>
      <c r="J84" s="133">
        <v>0</v>
      </c>
      <c r="K84" s="133">
        <v>0</v>
      </c>
      <c r="L84" s="133">
        <v>0</v>
      </c>
      <c r="M84" s="133">
        <v>0</v>
      </c>
      <c r="N84" s="133">
        <v>0</v>
      </c>
      <c r="O84" s="133">
        <v>0</v>
      </c>
      <c r="P84" s="133">
        <v>0</v>
      </c>
      <c r="Q84" s="133">
        <v>0.3</v>
      </c>
      <c r="R84" s="133">
        <v>0</v>
      </c>
      <c r="S84" s="133">
        <v>40</v>
      </c>
      <c r="T84" s="133">
        <v>0</v>
      </c>
      <c r="U84" s="133">
        <v>0</v>
      </c>
      <c r="V84" s="133">
        <v>0</v>
      </c>
      <c r="W84" s="133">
        <v>4.7</v>
      </c>
      <c r="X84" s="133">
        <v>0</v>
      </c>
      <c r="Y84" s="133">
        <v>0</v>
      </c>
      <c r="Z84" s="133">
        <v>0</v>
      </c>
      <c r="AA84" s="133">
        <v>8.3000000000000007</v>
      </c>
      <c r="AB84" s="133">
        <v>12.7</v>
      </c>
      <c r="AC84" s="133">
        <v>0</v>
      </c>
      <c r="AD84" s="133">
        <v>0</v>
      </c>
      <c r="AE84" s="133">
        <v>0</v>
      </c>
      <c r="AF84" s="133">
        <v>0</v>
      </c>
      <c r="AG84" s="133">
        <v>71.7</v>
      </c>
    </row>
    <row r="85" spans="1:33" x14ac:dyDescent="0.45">
      <c r="A85" s="126"/>
      <c r="B85" s="129" t="s">
        <v>609</v>
      </c>
      <c r="C85" s="129">
        <v>0</v>
      </c>
      <c r="D85" s="129">
        <v>0</v>
      </c>
      <c r="E85" s="129">
        <v>0</v>
      </c>
      <c r="F85" s="129">
        <v>0</v>
      </c>
      <c r="G85" s="129">
        <v>8.8000000000000007</v>
      </c>
      <c r="H85" s="129">
        <v>0</v>
      </c>
      <c r="I85" s="129">
        <v>0</v>
      </c>
      <c r="J85" s="129">
        <v>1.4</v>
      </c>
      <c r="K85" s="129">
        <v>0</v>
      </c>
      <c r="L85" s="129">
        <v>0</v>
      </c>
      <c r="M85" s="129">
        <v>0</v>
      </c>
      <c r="N85" s="129">
        <v>0</v>
      </c>
      <c r="O85" s="129">
        <v>0</v>
      </c>
      <c r="P85" s="129">
        <v>10.6</v>
      </c>
      <c r="Q85" s="129">
        <v>0</v>
      </c>
      <c r="R85" s="129">
        <v>0</v>
      </c>
      <c r="S85" s="129">
        <v>60</v>
      </c>
      <c r="T85" s="129">
        <v>0</v>
      </c>
      <c r="U85" s="129">
        <v>0</v>
      </c>
      <c r="V85" s="129">
        <v>0</v>
      </c>
      <c r="W85" s="129">
        <v>1.7</v>
      </c>
      <c r="X85" s="129">
        <v>0</v>
      </c>
      <c r="Y85" s="129">
        <v>8</v>
      </c>
      <c r="Z85" s="129">
        <v>0</v>
      </c>
      <c r="AA85" s="129">
        <v>0</v>
      </c>
      <c r="AB85" s="129">
        <v>0</v>
      </c>
      <c r="AC85" s="129">
        <v>0</v>
      </c>
      <c r="AD85" s="129">
        <v>0</v>
      </c>
      <c r="AE85" s="129">
        <v>0</v>
      </c>
      <c r="AF85" s="129">
        <v>0</v>
      </c>
      <c r="AG85" s="129">
        <v>90.5</v>
      </c>
    </row>
    <row r="86" spans="1:33" x14ac:dyDescent="0.45">
      <c r="A86" s="134" t="s">
        <v>608</v>
      </c>
      <c r="B86" s="130"/>
      <c r="C86" s="133">
        <v>0</v>
      </c>
      <c r="D86" s="133">
        <v>0</v>
      </c>
      <c r="E86" s="133">
        <v>0</v>
      </c>
      <c r="F86" s="133">
        <v>0</v>
      </c>
      <c r="G86" s="133">
        <v>0</v>
      </c>
      <c r="H86" s="133">
        <v>0</v>
      </c>
      <c r="I86" s="133">
        <v>0</v>
      </c>
      <c r="J86" s="133">
        <v>0</v>
      </c>
      <c r="K86" s="133">
        <v>0</v>
      </c>
      <c r="L86" s="133">
        <v>0</v>
      </c>
      <c r="M86" s="133">
        <v>0</v>
      </c>
      <c r="N86" s="133">
        <v>0</v>
      </c>
      <c r="O86" s="133">
        <v>0</v>
      </c>
      <c r="P86" s="133">
        <v>0</v>
      </c>
      <c r="Q86" s="133">
        <v>0</v>
      </c>
      <c r="R86" s="133">
        <v>0</v>
      </c>
      <c r="S86" s="133">
        <v>0</v>
      </c>
      <c r="T86" s="133">
        <v>0</v>
      </c>
      <c r="U86" s="133">
        <v>0</v>
      </c>
      <c r="V86" s="133">
        <v>0</v>
      </c>
      <c r="W86" s="133">
        <v>0</v>
      </c>
      <c r="X86" s="133">
        <v>0</v>
      </c>
      <c r="Y86" s="133">
        <v>0</v>
      </c>
      <c r="Z86" s="133">
        <v>0</v>
      </c>
      <c r="AA86" s="133">
        <v>0</v>
      </c>
      <c r="AB86" s="133">
        <v>0</v>
      </c>
      <c r="AC86" s="133">
        <v>0</v>
      </c>
      <c r="AD86" s="133">
        <v>0</v>
      </c>
      <c r="AE86" s="133">
        <v>0</v>
      </c>
      <c r="AF86" s="133">
        <v>0</v>
      </c>
      <c r="AG86" s="133">
        <v>0</v>
      </c>
    </row>
    <row r="87" spans="1:33" x14ac:dyDescent="0.45">
      <c r="A87" s="126"/>
      <c r="B87" s="129" t="s">
        <v>608</v>
      </c>
      <c r="C87" s="129">
        <v>0</v>
      </c>
      <c r="D87" s="129">
        <v>0</v>
      </c>
      <c r="E87" s="129">
        <v>0</v>
      </c>
      <c r="F87" s="129">
        <v>0</v>
      </c>
      <c r="G87" s="129">
        <v>0</v>
      </c>
      <c r="H87" s="129">
        <v>0</v>
      </c>
      <c r="I87" s="129">
        <v>0</v>
      </c>
      <c r="J87" s="129">
        <v>0</v>
      </c>
      <c r="K87" s="129">
        <v>0</v>
      </c>
      <c r="L87" s="129">
        <v>0</v>
      </c>
      <c r="M87" s="129">
        <v>0</v>
      </c>
      <c r="N87" s="129">
        <v>0</v>
      </c>
      <c r="O87" s="129">
        <v>0</v>
      </c>
      <c r="P87" s="129">
        <v>0</v>
      </c>
      <c r="Q87" s="129">
        <v>0</v>
      </c>
      <c r="R87" s="129">
        <v>0</v>
      </c>
      <c r="S87" s="129">
        <v>0</v>
      </c>
      <c r="T87" s="129">
        <v>0</v>
      </c>
      <c r="U87" s="129">
        <v>0</v>
      </c>
      <c r="V87" s="129">
        <v>0</v>
      </c>
      <c r="W87" s="129">
        <v>0</v>
      </c>
      <c r="X87" s="129">
        <v>0</v>
      </c>
      <c r="Y87" s="129">
        <v>0</v>
      </c>
      <c r="Z87" s="129">
        <v>0</v>
      </c>
      <c r="AA87" s="129">
        <v>0</v>
      </c>
      <c r="AB87" s="129">
        <v>0</v>
      </c>
      <c r="AC87" s="129">
        <v>0</v>
      </c>
      <c r="AD87" s="129">
        <v>0</v>
      </c>
      <c r="AE87" s="129">
        <v>0</v>
      </c>
      <c r="AF87" s="129">
        <v>0</v>
      </c>
      <c r="AG87" s="129">
        <v>0</v>
      </c>
    </row>
    <row r="88" spans="1:33" x14ac:dyDescent="0.45">
      <c r="A88" s="134" t="s">
        <v>605</v>
      </c>
      <c r="B88" s="130"/>
      <c r="C88" s="133">
        <v>0</v>
      </c>
      <c r="D88" s="133">
        <v>113.372</v>
      </c>
      <c r="E88" s="133">
        <v>0</v>
      </c>
      <c r="F88" s="133">
        <v>10.29</v>
      </c>
      <c r="G88" s="133">
        <v>1.3860000000000001</v>
      </c>
      <c r="H88" s="133">
        <v>0</v>
      </c>
      <c r="I88" s="133">
        <v>0</v>
      </c>
      <c r="J88" s="133">
        <v>0</v>
      </c>
      <c r="K88" s="133">
        <v>0</v>
      </c>
      <c r="L88" s="133">
        <v>0</v>
      </c>
      <c r="M88" s="133">
        <v>0</v>
      </c>
      <c r="N88" s="133">
        <v>0</v>
      </c>
      <c r="O88" s="133">
        <v>0</v>
      </c>
      <c r="P88" s="133">
        <v>0</v>
      </c>
      <c r="Q88" s="133">
        <v>0</v>
      </c>
      <c r="R88" s="133">
        <v>10.29</v>
      </c>
      <c r="S88" s="133">
        <v>27.19</v>
      </c>
      <c r="T88" s="133">
        <v>0</v>
      </c>
      <c r="U88" s="133">
        <v>0</v>
      </c>
      <c r="V88" s="133">
        <v>0</v>
      </c>
      <c r="W88" s="133">
        <v>6.4378200000000003</v>
      </c>
      <c r="X88" s="133">
        <v>0</v>
      </c>
      <c r="Y88" s="133">
        <v>0</v>
      </c>
      <c r="Z88" s="133">
        <v>0</v>
      </c>
      <c r="AA88" s="133">
        <v>0</v>
      </c>
      <c r="AB88" s="133">
        <v>0</v>
      </c>
      <c r="AC88" s="133">
        <v>0</v>
      </c>
      <c r="AD88" s="133">
        <v>0</v>
      </c>
      <c r="AE88" s="133">
        <v>0</v>
      </c>
      <c r="AF88" s="133">
        <v>1.6</v>
      </c>
      <c r="AG88" s="133">
        <v>170.56582</v>
      </c>
    </row>
    <row r="89" spans="1:33" x14ac:dyDescent="0.45">
      <c r="A89" s="126"/>
      <c r="B89" s="129" t="s">
        <v>607</v>
      </c>
      <c r="C89" s="129">
        <v>0</v>
      </c>
      <c r="D89" s="129">
        <v>113.372</v>
      </c>
      <c r="E89" s="129">
        <v>0</v>
      </c>
      <c r="F89" s="129">
        <v>2.4</v>
      </c>
      <c r="G89" s="129">
        <v>1.1240000000000001</v>
      </c>
      <c r="H89" s="129">
        <v>0</v>
      </c>
      <c r="I89" s="129">
        <v>0</v>
      </c>
      <c r="J89" s="129">
        <v>0</v>
      </c>
      <c r="K89" s="129">
        <v>0</v>
      </c>
      <c r="L89" s="129">
        <v>0</v>
      </c>
      <c r="M89" s="129">
        <v>0</v>
      </c>
      <c r="N89" s="129">
        <v>0</v>
      </c>
      <c r="O89" s="129">
        <v>0</v>
      </c>
      <c r="P89" s="129">
        <v>0</v>
      </c>
      <c r="Q89" s="129">
        <v>0</v>
      </c>
      <c r="R89" s="129">
        <v>2.4</v>
      </c>
      <c r="S89" s="129">
        <v>19.3</v>
      </c>
      <c r="T89" s="129">
        <v>0</v>
      </c>
      <c r="U89" s="129">
        <v>0</v>
      </c>
      <c r="V89" s="129">
        <v>0</v>
      </c>
      <c r="W89" s="129">
        <v>5.9778200000000004</v>
      </c>
      <c r="X89" s="129">
        <v>0</v>
      </c>
      <c r="Y89" s="129">
        <v>0</v>
      </c>
      <c r="Z89" s="129">
        <v>0</v>
      </c>
      <c r="AA89" s="129">
        <v>0</v>
      </c>
      <c r="AB89" s="129">
        <v>0</v>
      </c>
      <c r="AC89" s="129">
        <v>0</v>
      </c>
      <c r="AD89" s="129">
        <v>0</v>
      </c>
      <c r="AE89" s="129">
        <v>0</v>
      </c>
      <c r="AF89" s="129">
        <v>1.6</v>
      </c>
      <c r="AG89" s="129">
        <v>146.17382000000001</v>
      </c>
    </row>
    <row r="90" spans="1:33" x14ac:dyDescent="0.45">
      <c r="B90" s="130" t="s">
        <v>606</v>
      </c>
      <c r="C90" s="133">
        <v>0</v>
      </c>
      <c r="D90" s="133">
        <v>0</v>
      </c>
      <c r="E90" s="133">
        <v>0</v>
      </c>
      <c r="F90" s="133">
        <v>1.44</v>
      </c>
      <c r="G90" s="133">
        <v>5.3999999999999999E-2</v>
      </c>
      <c r="H90" s="133">
        <v>0</v>
      </c>
      <c r="I90" s="133">
        <v>0</v>
      </c>
      <c r="J90" s="133">
        <v>0</v>
      </c>
      <c r="K90" s="133">
        <v>0</v>
      </c>
      <c r="L90" s="133">
        <v>0</v>
      </c>
      <c r="M90" s="133">
        <v>0</v>
      </c>
      <c r="N90" s="133">
        <v>0</v>
      </c>
      <c r="O90" s="133">
        <v>0</v>
      </c>
      <c r="P90" s="133">
        <v>0</v>
      </c>
      <c r="Q90" s="133">
        <v>0</v>
      </c>
      <c r="R90" s="133">
        <v>1.44</v>
      </c>
      <c r="S90" s="133">
        <v>1.44</v>
      </c>
      <c r="T90" s="133">
        <v>0</v>
      </c>
      <c r="U90" s="133">
        <v>0</v>
      </c>
      <c r="V90" s="133">
        <v>0</v>
      </c>
      <c r="W90" s="133">
        <v>0.12</v>
      </c>
      <c r="X90" s="133">
        <v>0</v>
      </c>
      <c r="Y90" s="133">
        <v>0</v>
      </c>
      <c r="Z90" s="133">
        <v>0</v>
      </c>
      <c r="AA90" s="133">
        <v>0</v>
      </c>
      <c r="AB90" s="133">
        <v>0</v>
      </c>
      <c r="AC90" s="133">
        <v>0</v>
      </c>
      <c r="AD90" s="133">
        <v>0</v>
      </c>
      <c r="AE90" s="133">
        <v>0</v>
      </c>
      <c r="AF90" s="133">
        <v>0</v>
      </c>
      <c r="AG90" s="133">
        <v>4.4940000000000007</v>
      </c>
    </row>
    <row r="91" spans="1:33" x14ac:dyDescent="0.45">
      <c r="A91" s="126"/>
      <c r="B91" s="129" t="s">
        <v>604</v>
      </c>
      <c r="C91" s="129">
        <v>0</v>
      </c>
      <c r="D91" s="129">
        <v>0</v>
      </c>
      <c r="E91" s="129">
        <v>0</v>
      </c>
      <c r="F91" s="129">
        <v>6.45</v>
      </c>
      <c r="G91" s="129">
        <v>0.20799999999999999</v>
      </c>
      <c r="H91" s="129">
        <v>0</v>
      </c>
      <c r="I91" s="129">
        <v>0</v>
      </c>
      <c r="J91" s="129">
        <v>0</v>
      </c>
      <c r="K91" s="129">
        <v>0</v>
      </c>
      <c r="L91" s="129">
        <v>0</v>
      </c>
      <c r="M91" s="129">
        <v>0</v>
      </c>
      <c r="N91" s="129">
        <v>0</v>
      </c>
      <c r="O91" s="129">
        <v>0</v>
      </c>
      <c r="P91" s="129">
        <v>0</v>
      </c>
      <c r="Q91" s="129">
        <v>0</v>
      </c>
      <c r="R91" s="129">
        <v>6.45</v>
      </c>
      <c r="S91" s="129">
        <v>6.45</v>
      </c>
      <c r="T91" s="129">
        <v>0</v>
      </c>
      <c r="U91" s="129">
        <v>0</v>
      </c>
      <c r="V91" s="129">
        <v>0</v>
      </c>
      <c r="W91" s="129">
        <v>0.34</v>
      </c>
      <c r="X91" s="129">
        <v>0</v>
      </c>
      <c r="Y91" s="129">
        <v>0</v>
      </c>
      <c r="Z91" s="129">
        <v>0</v>
      </c>
      <c r="AA91" s="129">
        <v>0</v>
      </c>
      <c r="AB91" s="129">
        <v>0</v>
      </c>
      <c r="AC91" s="129">
        <v>0</v>
      </c>
      <c r="AD91" s="129">
        <v>0</v>
      </c>
      <c r="AE91" s="129">
        <v>0</v>
      </c>
      <c r="AF91" s="129">
        <v>0</v>
      </c>
      <c r="AG91" s="129">
        <v>19.898</v>
      </c>
    </row>
    <row r="92" spans="1:33" x14ac:dyDescent="0.45">
      <c r="A92" s="134" t="s">
        <v>603</v>
      </c>
      <c r="B92" s="130"/>
      <c r="C92" s="133">
        <v>0</v>
      </c>
      <c r="D92" s="133">
        <v>0</v>
      </c>
      <c r="E92" s="133">
        <v>0</v>
      </c>
      <c r="F92" s="133">
        <v>0</v>
      </c>
      <c r="G92" s="133">
        <v>0</v>
      </c>
      <c r="H92" s="133">
        <v>0</v>
      </c>
      <c r="I92" s="133">
        <v>0</v>
      </c>
      <c r="J92" s="133">
        <v>0.69</v>
      </c>
      <c r="K92" s="133">
        <v>0</v>
      </c>
      <c r="L92" s="133">
        <v>0</v>
      </c>
      <c r="M92" s="133">
        <v>0</v>
      </c>
      <c r="N92" s="133">
        <v>0</v>
      </c>
      <c r="O92" s="133">
        <v>0</v>
      </c>
      <c r="P92" s="133">
        <v>7.3</v>
      </c>
      <c r="Q92" s="133">
        <v>0</v>
      </c>
      <c r="R92" s="133">
        <v>0</v>
      </c>
      <c r="S92" s="133">
        <v>0</v>
      </c>
      <c r="T92" s="133">
        <v>0</v>
      </c>
      <c r="U92" s="133">
        <v>0</v>
      </c>
      <c r="V92" s="133">
        <v>0</v>
      </c>
      <c r="W92" s="133">
        <v>1.48</v>
      </c>
      <c r="X92" s="133">
        <v>0</v>
      </c>
      <c r="Y92" s="133">
        <v>3.5</v>
      </c>
      <c r="Z92" s="133">
        <v>0</v>
      </c>
      <c r="AA92" s="133">
        <v>0</v>
      </c>
      <c r="AB92" s="133">
        <v>0</v>
      </c>
      <c r="AC92" s="133">
        <v>0</v>
      </c>
      <c r="AD92" s="133">
        <v>0</v>
      </c>
      <c r="AE92" s="133">
        <v>0</v>
      </c>
      <c r="AF92" s="133">
        <v>44.6</v>
      </c>
      <c r="AG92" s="133">
        <v>57.569999999999993</v>
      </c>
    </row>
    <row r="93" spans="1:33" x14ac:dyDescent="0.45">
      <c r="B93" s="130" t="s">
        <v>602</v>
      </c>
      <c r="C93" s="133">
        <v>0</v>
      </c>
      <c r="D93" s="133">
        <v>0</v>
      </c>
      <c r="E93" s="133">
        <v>0</v>
      </c>
      <c r="F93" s="133">
        <v>0</v>
      </c>
      <c r="G93" s="133">
        <v>0</v>
      </c>
      <c r="H93" s="133">
        <v>0</v>
      </c>
      <c r="I93" s="133">
        <v>0</v>
      </c>
      <c r="J93" s="133">
        <v>0.69</v>
      </c>
      <c r="K93" s="133">
        <v>0</v>
      </c>
      <c r="L93" s="133">
        <v>0</v>
      </c>
      <c r="M93" s="133">
        <v>0</v>
      </c>
      <c r="N93" s="133">
        <v>0</v>
      </c>
      <c r="O93" s="133">
        <v>0</v>
      </c>
      <c r="P93" s="133">
        <v>7.3</v>
      </c>
      <c r="Q93" s="133">
        <v>0</v>
      </c>
      <c r="R93" s="133">
        <v>0</v>
      </c>
      <c r="S93" s="133">
        <v>0</v>
      </c>
      <c r="T93" s="133">
        <v>0</v>
      </c>
      <c r="U93" s="133">
        <v>0</v>
      </c>
      <c r="V93" s="133">
        <v>0</v>
      </c>
      <c r="W93" s="133">
        <v>1.48</v>
      </c>
      <c r="X93" s="133">
        <v>0</v>
      </c>
      <c r="Y93" s="133">
        <v>3.5</v>
      </c>
      <c r="Z93" s="133">
        <v>0</v>
      </c>
      <c r="AA93" s="133">
        <v>0</v>
      </c>
      <c r="AB93" s="133">
        <v>0</v>
      </c>
      <c r="AC93" s="133">
        <v>0</v>
      </c>
      <c r="AD93" s="133">
        <v>0</v>
      </c>
      <c r="AE93" s="133">
        <v>0</v>
      </c>
      <c r="AF93" s="133">
        <v>44.6</v>
      </c>
      <c r="AG93" s="133">
        <v>57.569999999999993</v>
      </c>
    </row>
    <row r="94" spans="1:33" x14ac:dyDescent="0.45">
      <c r="A94" s="126" t="s">
        <v>601</v>
      </c>
      <c r="B94" s="129"/>
      <c r="C94" s="129">
        <v>0</v>
      </c>
      <c r="D94" s="129">
        <v>0</v>
      </c>
      <c r="E94" s="129">
        <v>0</v>
      </c>
      <c r="F94" s="129">
        <v>0</v>
      </c>
      <c r="G94" s="129">
        <v>0</v>
      </c>
      <c r="H94" s="129">
        <v>3</v>
      </c>
      <c r="I94" s="129">
        <v>1.4999999999999999E-2</v>
      </c>
      <c r="J94" s="129">
        <v>1.6465000000000001</v>
      </c>
      <c r="K94" s="129">
        <v>0</v>
      </c>
      <c r="L94" s="129">
        <v>0</v>
      </c>
      <c r="M94" s="129">
        <v>16.435199999999998</v>
      </c>
      <c r="N94" s="129">
        <v>0</v>
      </c>
      <c r="O94" s="129">
        <v>171.13399999999999</v>
      </c>
      <c r="P94" s="129">
        <v>0</v>
      </c>
      <c r="Q94" s="129">
        <v>0</v>
      </c>
      <c r="R94" s="129">
        <v>0</v>
      </c>
      <c r="S94" s="129">
        <v>0</v>
      </c>
      <c r="T94" s="129">
        <v>0</v>
      </c>
      <c r="U94" s="129">
        <v>0</v>
      </c>
      <c r="V94" s="129">
        <v>0</v>
      </c>
      <c r="W94" s="129">
        <v>8.8507200000000008</v>
      </c>
      <c r="X94" s="129">
        <v>0</v>
      </c>
      <c r="Y94" s="129">
        <v>24</v>
      </c>
      <c r="Z94" s="129">
        <v>0</v>
      </c>
      <c r="AA94" s="129">
        <v>0</v>
      </c>
      <c r="AB94" s="129">
        <v>0</v>
      </c>
      <c r="AC94" s="129">
        <v>0</v>
      </c>
      <c r="AD94" s="129">
        <v>0</v>
      </c>
      <c r="AE94" s="129">
        <v>0</v>
      </c>
      <c r="AF94" s="129">
        <v>0</v>
      </c>
      <c r="AG94" s="129">
        <v>225.08141999999998</v>
      </c>
    </row>
    <row r="95" spans="1:33" x14ac:dyDescent="0.45">
      <c r="B95" s="130" t="s">
        <v>600</v>
      </c>
      <c r="C95" s="133">
        <v>0</v>
      </c>
      <c r="D95" s="133">
        <v>0</v>
      </c>
      <c r="E95" s="133">
        <v>0</v>
      </c>
      <c r="F95" s="133">
        <v>0</v>
      </c>
      <c r="G95" s="133">
        <v>0</v>
      </c>
      <c r="H95" s="133">
        <v>3</v>
      </c>
      <c r="I95" s="133">
        <v>1.4999999999999999E-2</v>
      </c>
      <c r="J95" s="133">
        <v>1.6465000000000001</v>
      </c>
      <c r="K95" s="133">
        <v>0</v>
      </c>
      <c r="L95" s="133">
        <v>0</v>
      </c>
      <c r="M95" s="133">
        <v>16.435199999999998</v>
      </c>
      <c r="N95" s="133">
        <v>0</v>
      </c>
      <c r="O95" s="133">
        <v>171.13399999999999</v>
      </c>
      <c r="P95" s="133">
        <v>0</v>
      </c>
      <c r="Q95" s="133">
        <v>0</v>
      </c>
      <c r="R95" s="133">
        <v>0</v>
      </c>
      <c r="S95" s="133">
        <v>0</v>
      </c>
      <c r="T95" s="133">
        <v>0</v>
      </c>
      <c r="U95" s="133">
        <v>0</v>
      </c>
      <c r="V95" s="133">
        <v>0</v>
      </c>
      <c r="W95" s="133">
        <v>8.8507200000000008</v>
      </c>
      <c r="X95" s="133">
        <v>0</v>
      </c>
      <c r="Y95" s="133">
        <v>24</v>
      </c>
      <c r="Z95" s="133">
        <v>0</v>
      </c>
      <c r="AA95" s="133">
        <v>0</v>
      </c>
      <c r="AB95" s="133">
        <v>0</v>
      </c>
      <c r="AC95" s="133">
        <v>0</v>
      </c>
      <c r="AD95" s="133">
        <v>0</v>
      </c>
      <c r="AE95" s="133">
        <v>0</v>
      </c>
      <c r="AF95" s="133">
        <v>0</v>
      </c>
      <c r="AG95" s="133">
        <v>225.08141999999998</v>
      </c>
    </row>
    <row r="96" spans="1:33" x14ac:dyDescent="0.45">
      <c r="A96" s="134" t="s">
        <v>597</v>
      </c>
      <c r="B96" s="130"/>
      <c r="C96" s="133">
        <v>0</v>
      </c>
      <c r="D96" s="133">
        <v>0</v>
      </c>
      <c r="E96" s="133">
        <v>0</v>
      </c>
      <c r="F96" s="133">
        <v>129.46600000000001</v>
      </c>
      <c r="G96" s="133">
        <v>6.6639999999999997</v>
      </c>
      <c r="H96" s="133">
        <v>0</v>
      </c>
      <c r="I96" s="133">
        <v>0</v>
      </c>
      <c r="J96" s="133">
        <v>3.55</v>
      </c>
      <c r="K96" s="133">
        <v>0</v>
      </c>
      <c r="L96" s="133">
        <v>3.319</v>
      </c>
      <c r="M96" s="133">
        <v>407.33</v>
      </c>
      <c r="N96" s="133">
        <v>0</v>
      </c>
      <c r="O96" s="133">
        <v>0</v>
      </c>
      <c r="P96" s="133">
        <v>136.28</v>
      </c>
      <c r="Q96" s="133">
        <v>0</v>
      </c>
      <c r="R96" s="133">
        <v>0</v>
      </c>
      <c r="S96" s="133">
        <v>0</v>
      </c>
      <c r="T96" s="133">
        <v>0</v>
      </c>
      <c r="U96" s="133">
        <v>0</v>
      </c>
      <c r="V96" s="133">
        <v>0</v>
      </c>
      <c r="W96" s="133">
        <v>27.165499999999998</v>
      </c>
      <c r="X96" s="133">
        <v>0</v>
      </c>
      <c r="Y96" s="133">
        <v>5.9089999999999998</v>
      </c>
      <c r="Z96" s="133">
        <v>0</v>
      </c>
      <c r="AA96" s="133">
        <v>0</v>
      </c>
      <c r="AB96" s="133">
        <v>0</v>
      </c>
      <c r="AC96" s="133">
        <v>0</v>
      </c>
      <c r="AD96" s="133">
        <v>0</v>
      </c>
      <c r="AE96" s="133">
        <v>0</v>
      </c>
      <c r="AF96" s="133">
        <v>0</v>
      </c>
      <c r="AG96" s="133">
        <v>719.68350000000009</v>
      </c>
    </row>
    <row r="97" spans="1:33" x14ac:dyDescent="0.45">
      <c r="A97" s="126"/>
      <c r="B97" s="129" t="s">
        <v>599</v>
      </c>
      <c r="C97" s="129">
        <v>0</v>
      </c>
      <c r="D97" s="129">
        <v>0</v>
      </c>
      <c r="E97" s="129">
        <v>0</v>
      </c>
      <c r="F97" s="129">
        <v>129.46600000000001</v>
      </c>
      <c r="G97" s="129">
        <v>3.0409999999999999</v>
      </c>
      <c r="H97" s="129">
        <v>0</v>
      </c>
      <c r="I97" s="129">
        <v>0</v>
      </c>
      <c r="J97" s="129">
        <v>3.4079999999999999</v>
      </c>
      <c r="K97" s="129">
        <v>0</v>
      </c>
      <c r="L97" s="129">
        <v>3.319</v>
      </c>
      <c r="M97" s="129">
        <v>407.33</v>
      </c>
      <c r="N97" s="129">
        <v>0</v>
      </c>
      <c r="O97" s="129">
        <v>0</v>
      </c>
      <c r="P97" s="129">
        <v>136.28</v>
      </c>
      <c r="Q97" s="129">
        <v>0</v>
      </c>
      <c r="R97" s="129">
        <v>0</v>
      </c>
      <c r="S97" s="129">
        <v>0</v>
      </c>
      <c r="T97" s="129">
        <v>0</v>
      </c>
      <c r="U97" s="129">
        <v>0</v>
      </c>
      <c r="V97" s="129">
        <v>0</v>
      </c>
      <c r="W97" s="129">
        <v>27.0275</v>
      </c>
      <c r="X97" s="129">
        <v>0</v>
      </c>
      <c r="Y97" s="129">
        <v>0</v>
      </c>
      <c r="Z97" s="129">
        <v>0</v>
      </c>
      <c r="AA97" s="129">
        <v>0</v>
      </c>
      <c r="AB97" s="129">
        <v>0</v>
      </c>
      <c r="AC97" s="129">
        <v>0</v>
      </c>
      <c r="AD97" s="129">
        <v>0</v>
      </c>
      <c r="AE97" s="129">
        <v>0</v>
      </c>
      <c r="AF97" s="129">
        <v>0</v>
      </c>
      <c r="AG97" s="129">
        <v>709.87150000000008</v>
      </c>
    </row>
    <row r="98" spans="1:33" x14ac:dyDescent="0.45">
      <c r="B98" s="130" t="s">
        <v>598</v>
      </c>
      <c r="C98" s="133">
        <v>0</v>
      </c>
      <c r="D98" s="133">
        <v>0</v>
      </c>
      <c r="E98" s="133">
        <v>0</v>
      </c>
      <c r="F98" s="133">
        <v>0</v>
      </c>
      <c r="G98" s="133">
        <v>0</v>
      </c>
      <c r="H98" s="133">
        <v>0</v>
      </c>
      <c r="I98" s="133">
        <v>0</v>
      </c>
      <c r="J98" s="133">
        <v>0.14199999999999999</v>
      </c>
      <c r="K98" s="133">
        <v>0</v>
      </c>
      <c r="L98" s="133">
        <v>0</v>
      </c>
      <c r="M98" s="133">
        <v>0</v>
      </c>
      <c r="N98" s="133">
        <v>0</v>
      </c>
      <c r="O98" s="133">
        <v>0</v>
      </c>
      <c r="P98" s="133">
        <v>0</v>
      </c>
      <c r="Q98" s="133">
        <v>0</v>
      </c>
      <c r="R98" s="133">
        <v>0</v>
      </c>
      <c r="S98" s="133">
        <v>0</v>
      </c>
      <c r="T98" s="133">
        <v>0</v>
      </c>
      <c r="U98" s="133">
        <v>0</v>
      </c>
      <c r="V98" s="133">
        <v>0</v>
      </c>
      <c r="W98" s="133">
        <v>1.7000000000000001E-2</v>
      </c>
      <c r="X98" s="133">
        <v>0</v>
      </c>
      <c r="Y98" s="133">
        <v>0.71499999999999997</v>
      </c>
      <c r="Z98" s="133">
        <v>0</v>
      </c>
      <c r="AA98" s="133">
        <v>0</v>
      </c>
      <c r="AB98" s="133">
        <v>0</v>
      </c>
      <c r="AC98" s="133">
        <v>0</v>
      </c>
      <c r="AD98" s="133">
        <v>0</v>
      </c>
      <c r="AE98" s="133">
        <v>0</v>
      </c>
      <c r="AF98" s="133">
        <v>0</v>
      </c>
      <c r="AG98" s="133">
        <v>0.874</v>
      </c>
    </row>
    <row r="99" spans="1:33" x14ac:dyDescent="0.45">
      <c r="B99" s="130" t="s">
        <v>596</v>
      </c>
      <c r="C99" s="133">
        <v>0</v>
      </c>
      <c r="D99" s="133">
        <v>0</v>
      </c>
      <c r="E99" s="133">
        <v>0</v>
      </c>
      <c r="F99" s="133">
        <v>0</v>
      </c>
      <c r="G99" s="133">
        <v>3.6230000000000002</v>
      </c>
      <c r="H99" s="133">
        <v>0</v>
      </c>
      <c r="I99" s="133">
        <v>0</v>
      </c>
      <c r="J99" s="133">
        <v>0</v>
      </c>
      <c r="K99" s="133">
        <v>0</v>
      </c>
      <c r="L99" s="133">
        <v>0</v>
      </c>
      <c r="M99" s="133">
        <v>0</v>
      </c>
      <c r="N99" s="133">
        <v>0</v>
      </c>
      <c r="O99" s="133">
        <v>0</v>
      </c>
      <c r="P99" s="133">
        <v>0</v>
      </c>
      <c r="Q99" s="133">
        <v>0</v>
      </c>
      <c r="R99" s="133">
        <v>0</v>
      </c>
      <c r="S99" s="133">
        <v>0</v>
      </c>
      <c r="T99" s="133">
        <v>0</v>
      </c>
      <c r="U99" s="133">
        <v>0</v>
      </c>
      <c r="V99" s="133">
        <v>0</v>
      </c>
      <c r="W99" s="133">
        <v>0.121</v>
      </c>
      <c r="X99" s="133">
        <v>0</v>
      </c>
      <c r="Y99" s="133">
        <v>5.194</v>
      </c>
      <c r="Z99" s="133">
        <v>0</v>
      </c>
      <c r="AA99" s="133">
        <v>0</v>
      </c>
      <c r="AB99" s="133">
        <v>0</v>
      </c>
      <c r="AC99" s="133">
        <v>0</v>
      </c>
      <c r="AD99" s="133">
        <v>0</v>
      </c>
      <c r="AE99" s="133">
        <v>0</v>
      </c>
      <c r="AF99" s="133">
        <v>0</v>
      </c>
      <c r="AG99" s="133">
        <v>8.9380000000000006</v>
      </c>
    </row>
    <row r="100" spans="1:33" x14ac:dyDescent="0.45">
      <c r="A100" s="134" t="s">
        <v>593</v>
      </c>
      <c r="B100" s="130"/>
      <c r="C100" s="133">
        <v>0</v>
      </c>
      <c r="D100" s="133">
        <v>0</v>
      </c>
      <c r="E100" s="133">
        <v>0</v>
      </c>
      <c r="F100" s="133">
        <v>3.5853299999999999</v>
      </c>
      <c r="G100" s="133">
        <v>1.18672</v>
      </c>
      <c r="H100" s="133">
        <v>0</v>
      </c>
      <c r="I100" s="133">
        <v>0.1</v>
      </c>
      <c r="J100" s="133">
        <v>0</v>
      </c>
      <c r="K100" s="133">
        <v>0</v>
      </c>
      <c r="L100" s="133">
        <v>0</v>
      </c>
      <c r="M100" s="133">
        <v>81.192800000000005</v>
      </c>
      <c r="N100" s="133">
        <v>0</v>
      </c>
      <c r="O100" s="133">
        <v>0</v>
      </c>
      <c r="P100" s="133">
        <v>23.2</v>
      </c>
      <c r="Q100" s="133">
        <v>0</v>
      </c>
      <c r="R100" s="133">
        <v>0</v>
      </c>
      <c r="S100" s="133">
        <v>0.44816699999999998</v>
      </c>
      <c r="T100" s="133">
        <v>0</v>
      </c>
      <c r="U100" s="133">
        <v>0</v>
      </c>
      <c r="V100" s="133">
        <v>0</v>
      </c>
      <c r="W100" s="133">
        <v>4.4581299999999997</v>
      </c>
      <c r="X100" s="133">
        <v>17.006999999999998</v>
      </c>
      <c r="Y100" s="133">
        <v>4.4489999999999998</v>
      </c>
      <c r="Z100" s="133">
        <v>0</v>
      </c>
      <c r="AA100" s="133">
        <v>0</v>
      </c>
      <c r="AB100" s="133">
        <v>0</v>
      </c>
      <c r="AC100" s="133">
        <v>0</v>
      </c>
      <c r="AD100" s="133">
        <v>0</v>
      </c>
      <c r="AE100" s="133">
        <v>0</v>
      </c>
      <c r="AF100" s="133">
        <v>19.067399999999999</v>
      </c>
      <c r="AG100" s="133">
        <v>154.69454700000003</v>
      </c>
    </row>
    <row r="101" spans="1:33" x14ac:dyDescent="0.45">
      <c r="B101" s="130" t="s">
        <v>595</v>
      </c>
      <c r="C101" s="133">
        <v>0</v>
      </c>
      <c r="D101" s="133">
        <v>0</v>
      </c>
      <c r="E101" s="133">
        <v>0</v>
      </c>
      <c r="F101" s="133">
        <v>3.5853299999999999</v>
      </c>
      <c r="G101" s="133">
        <v>1.0167200000000001</v>
      </c>
      <c r="H101" s="133">
        <v>0</v>
      </c>
      <c r="I101" s="133">
        <v>0</v>
      </c>
      <c r="J101" s="133">
        <v>0</v>
      </c>
      <c r="K101" s="133">
        <v>0</v>
      </c>
      <c r="L101" s="133">
        <v>0</v>
      </c>
      <c r="M101" s="133">
        <v>81.192800000000005</v>
      </c>
      <c r="N101" s="133">
        <v>0</v>
      </c>
      <c r="O101" s="133">
        <v>0</v>
      </c>
      <c r="P101" s="133">
        <v>23.2</v>
      </c>
      <c r="Q101" s="133">
        <v>0</v>
      </c>
      <c r="R101" s="133">
        <v>0</v>
      </c>
      <c r="S101" s="133">
        <v>0.44816699999999998</v>
      </c>
      <c r="T101" s="133">
        <v>0</v>
      </c>
      <c r="U101" s="133">
        <v>0</v>
      </c>
      <c r="V101" s="133">
        <v>0</v>
      </c>
      <c r="W101" s="133">
        <v>3.7181299999999999</v>
      </c>
      <c r="X101" s="133">
        <v>6.7889999999999997</v>
      </c>
      <c r="Y101" s="133">
        <v>0</v>
      </c>
      <c r="Z101" s="133">
        <v>0</v>
      </c>
      <c r="AA101" s="133">
        <v>0</v>
      </c>
      <c r="AB101" s="133">
        <v>0</v>
      </c>
      <c r="AC101" s="133">
        <v>0</v>
      </c>
      <c r="AD101" s="133">
        <v>0</v>
      </c>
      <c r="AE101" s="133">
        <v>0</v>
      </c>
      <c r="AF101" s="133">
        <v>17.2544</v>
      </c>
      <c r="AG101" s="133">
        <v>137.20454700000002</v>
      </c>
    </row>
    <row r="102" spans="1:33" x14ac:dyDescent="0.45">
      <c r="A102" s="126"/>
      <c r="B102" s="129" t="s">
        <v>594</v>
      </c>
      <c r="C102" s="129">
        <v>0</v>
      </c>
      <c r="D102" s="129">
        <v>0</v>
      </c>
      <c r="E102" s="129">
        <v>0</v>
      </c>
      <c r="F102" s="129">
        <v>0</v>
      </c>
      <c r="G102" s="129">
        <v>0.17</v>
      </c>
      <c r="H102" s="129">
        <v>0</v>
      </c>
      <c r="I102" s="129">
        <v>0</v>
      </c>
      <c r="J102" s="129">
        <v>0</v>
      </c>
      <c r="K102" s="129">
        <v>0</v>
      </c>
      <c r="L102" s="129">
        <v>0</v>
      </c>
      <c r="M102" s="129">
        <v>0</v>
      </c>
      <c r="N102" s="129">
        <v>0</v>
      </c>
      <c r="O102" s="129">
        <v>0</v>
      </c>
      <c r="P102" s="129">
        <v>0</v>
      </c>
      <c r="Q102" s="129">
        <v>0</v>
      </c>
      <c r="R102" s="129">
        <v>0</v>
      </c>
      <c r="S102" s="129">
        <v>0</v>
      </c>
      <c r="T102" s="129">
        <v>0</v>
      </c>
      <c r="U102" s="129">
        <v>0</v>
      </c>
      <c r="V102" s="129">
        <v>0</v>
      </c>
      <c r="W102" s="129">
        <v>0.11</v>
      </c>
      <c r="X102" s="129">
        <v>10.218</v>
      </c>
      <c r="Y102" s="129">
        <v>0</v>
      </c>
      <c r="Z102" s="129">
        <v>0</v>
      </c>
      <c r="AA102" s="129">
        <v>0</v>
      </c>
      <c r="AB102" s="129">
        <v>0</v>
      </c>
      <c r="AC102" s="129">
        <v>0</v>
      </c>
      <c r="AD102" s="129">
        <v>0</v>
      </c>
      <c r="AE102" s="129">
        <v>0</v>
      </c>
      <c r="AF102" s="129">
        <v>1.8129999999999999</v>
      </c>
      <c r="AG102" s="129">
        <v>12.311</v>
      </c>
    </row>
    <row r="103" spans="1:33" x14ac:dyDescent="0.45">
      <c r="B103" s="130" t="s">
        <v>592</v>
      </c>
      <c r="C103" s="133">
        <v>0</v>
      </c>
      <c r="D103" s="133">
        <v>0</v>
      </c>
      <c r="E103" s="133">
        <v>0</v>
      </c>
      <c r="F103" s="133">
        <v>0</v>
      </c>
      <c r="G103" s="133">
        <v>0</v>
      </c>
      <c r="H103" s="133">
        <v>0</v>
      </c>
      <c r="I103" s="133">
        <v>0.1</v>
      </c>
      <c r="J103" s="133">
        <v>0</v>
      </c>
      <c r="K103" s="133">
        <v>0</v>
      </c>
      <c r="L103" s="133">
        <v>0</v>
      </c>
      <c r="M103" s="133">
        <v>0</v>
      </c>
      <c r="N103" s="133">
        <v>0</v>
      </c>
      <c r="O103" s="133">
        <v>0</v>
      </c>
      <c r="P103" s="133">
        <v>0</v>
      </c>
      <c r="Q103" s="133">
        <v>0</v>
      </c>
      <c r="R103" s="133">
        <v>0</v>
      </c>
      <c r="S103" s="133">
        <v>0</v>
      </c>
      <c r="T103" s="133">
        <v>0</v>
      </c>
      <c r="U103" s="133">
        <v>0</v>
      </c>
      <c r="V103" s="133">
        <v>0</v>
      </c>
      <c r="W103" s="133">
        <v>0.63</v>
      </c>
      <c r="X103" s="133">
        <v>0</v>
      </c>
      <c r="Y103" s="133">
        <v>4.4489999999999998</v>
      </c>
      <c r="Z103" s="133">
        <v>0</v>
      </c>
      <c r="AA103" s="133">
        <v>0</v>
      </c>
      <c r="AB103" s="133">
        <v>0</v>
      </c>
      <c r="AC103" s="133">
        <v>0</v>
      </c>
      <c r="AD103" s="133">
        <v>0</v>
      </c>
      <c r="AE103" s="133">
        <v>0</v>
      </c>
      <c r="AF103" s="133">
        <v>0</v>
      </c>
      <c r="AG103" s="133">
        <v>5.1789999999999994</v>
      </c>
    </row>
    <row r="104" spans="1:33" x14ac:dyDescent="0.45">
      <c r="A104" s="134" t="s">
        <v>589</v>
      </c>
      <c r="B104" s="130"/>
      <c r="C104" s="133">
        <v>0</v>
      </c>
      <c r="D104" s="133">
        <v>0</v>
      </c>
      <c r="E104" s="133">
        <v>0</v>
      </c>
      <c r="F104" s="133">
        <v>0</v>
      </c>
      <c r="G104" s="133">
        <v>2.5680000000000001</v>
      </c>
      <c r="H104" s="133">
        <v>1.1140000000000001</v>
      </c>
      <c r="I104" s="133">
        <v>0</v>
      </c>
      <c r="J104" s="133">
        <v>0.11</v>
      </c>
      <c r="K104" s="133">
        <v>0</v>
      </c>
      <c r="L104" s="133">
        <v>0</v>
      </c>
      <c r="M104" s="133">
        <v>57.026000000000003</v>
      </c>
      <c r="N104" s="133">
        <v>0</v>
      </c>
      <c r="O104" s="133">
        <v>0</v>
      </c>
      <c r="P104" s="133">
        <v>8.0169999999999995</v>
      </c>
      <c r="Q104" s="133">
        <v>0</v>
      </c>
      <c r="R104" s="133">
        <v>0</v>
      </c>
      <c r="S104" s="133">
        <v>20.004000000000001</v>
      </c>
      <c r="T104" s="133">
        <v>0</v>
      </c>
      <c r="U104" s="133">
        <v>0</v>
      </c>
      <c r="V104" s="133">
        <v>0</v>
      </c>
      <c r="W104" s="133">
        <v>1.8169999999999999</v>
      </c>
      <c r="X104" s="133">
        <v>0</v>
      </c>
      <c r="Y104" s="133">
        <v>6.6129999999999995</v>
      </c>
      <c r="Z104" s="133">
        <v>0</v>
      </c>
      <c r="AA104" s="133">
        <v>0</v>
      </c>
      <c r="AB104" s="133">
        <v>0</v>
      </c>
      <c r="AC104" s="133">
        <v>0</v>
      </c>
      <c r="AD104" s="133">
        <v>0</v>
      </c>
      <c r="AE104" s="133">
        <v>0</v>
      </c>
      <c r="AF104" s="133">
        <v>0</v>
      </c>
      <c r="AG104" s="133">
        <v>97.269000000000005</v>
      </c>
    </row>
    <row r="105" spans="1:33" x14ac:dyDescent="0.45">
      <c r="B105" s="130" t="s">
        <v>591</v>
      </c>
      <c r="C105" s="133">
        <v>0</v>
      </c>
      <c r="D105" s="133">
        <v>0</v>
      </c>
      <c r="E105" s="133">
        <v>0</v>
      </c>
      <c r="F105" s="133">
        <v>0</v>
      </c>
      <c r="G105" s="133">
        <v>2.5680000000000001</v>
      </c>
      <c r="H105" s="133">
        <v>1.1140000000000001</v>
      </c>
      <c r="I105" s="133">
        <v>0</v>
      </c>
      <c r="J105" s="133">
        <v>0</v>
      </c>
      <c r="K105" s="133">
        <v>0</v>
      </c>
      <c r="L105" s="133">
        <v>0</v>
      </c>
      <c r="M105" s="133">
        <v>57.026000000000003</v>
      </c>
      <c r="N105" s="133">
        <v>0</v>
      </c>
      <c r="O105" s="133">
        <v>0</v>
      </c>
      <c r="P105" s="133">
        <v>8.0169999999999995</v>
      </c>
      <c r="Q105" s="133">
        <v>0</v>
      </c>
      <c r="R105" s="133">
        <v>0</v>
      </c>
      <c r="S105" s="133">
        <v>20.004000000000001</v>
      </c>
      <c r="T105" s="133">
        <v>0</v>
      </c>
      <c r="U105" s="133">
        <v>0</v>
      </c>
      <c r="V105" s="133">
        <v>0</v>
      </c>
      <c r="W105" s="133">
        <v>1.716</v>
      </c>
      <c r="X105" s="133">
        <v>0</v>
      </c>
      <c r="Y105" s="133">
        <v>4.0000000000000001E-3</v>
      </c>
      <c r="Z105" s="133">
        <v>0</v>
      </c>
      <c r="AA105" s="133">
        <v>0</v>
      </c>
      <c r="AB105" s="133">
        <v>0</v>
      </c>
      <c r="AC105" s="133">
        <v>0</v>
      </c>
      <c r="AD105" s="133">
        <v>0</v>
      </c>
      <c r="AE105" s="133">
        <v>0</v>
      </c>
      <c r="AF105" s="133">
        <v>0</v>
      </c>
      <c r="AG105" s="133">
        <v>90.448999999999998</v>
      </c>
    </row>
    <row r="106" spans="1:33" x14ac:dyDescent="0.45">
      <c r="B106" s="130" t="s">
        <v>590</v>
      </c>
      <c r="C106" s="133">
        <v>0</v>
      </c>
      <c r="D106" s="133">
        <v>0</v>
      </c>
      <c r="E106" s="133">
        <v>0</v>
      </c>
      <c r="F106" s="133">
        <v>0</v>
      </c>
      <c r="G106" s="133">
        <v>0</v>
      </c>
      <c r="H106" s="133">
        <v>0</v>
      </c>
      <c r="I106" s="133">
        <v>0</v>
      </c>
      <c r="J106" s="133">
        <v>5.3999999999999999E-2</v>
      </c>
      <c r="K106" s="133">
        <v>0</v>
      </c>
      <c r="L106" s="133">
        <v>0</v>
      </c>
      <c r="M106" s="133">
        <v>0</v>
      </c>
      <c r="N106" s="133">
        <v>0</v>
      </c>
      <c r="O106" s="133">
        <v>0</v>
      </c>
      <c r="P106" s="133">
        <v>0</v>
      </c>
      <c r="Q106" s="133">
        <v>0</v>
      </c>
      <c r="R106" s="133">
        <v>0</v>
      </c>
      <c r="S106" s="133">
        <v>0</v>
      </c>
      <c r="T106" s="133">
        <v>0</v>
      </c>
      <c r="U106" s="133">
        <v>0</v>
      </c>
      <c r="V106" s="133">
        <v>0</v>
      </c>
      <c r="W106" s="133">
        <v>4.9000000000000002E-2</v>
      </c>
      <c r="X106" s="133">
        <v>0</v>
      </c>
      <c r="Y106" s="133">
        <v>2.8679999999999999</v>
      </c>
      <c r="Z106" s="133">
        <v>0</v>
      </c>
      <c r="AA106" s="133">
        <v>0</v>
      </c>
      <c r="AB106" s="133">
        <v>0</v>
      </c>
      <c r="AC106" s="133">
        <v>0</v>
      </c>
      <c r="AD106" s="133">
        <v>0</v>
      </c>
      <c r="AE106" s="133">
        <v>0</v>
      </c>
      <c r="AF106" s="133">
        <v>0</v>
      </c>
      <c r="AG106" s="133">
        <v>2.9709999999999996</v>
      </c>
    </row>
    <row r="107" spans="1:33" x14ac:dyDescent="0.45">
      <c r="B107" s="130" t="s">
        <v>588</v>
      </c>
      <c r="C107" s="133">
        <v>0</v>
      </c>
      <c r="D107" s="133">
        <v>0</v>
      </c>
      <c r="E107" s="133">
        <v>0</v>
      </c>
      <c r="F107" s="133">
        <v>0</v>
      </c>
      <c r="G107" s="133">
        <v>0</v>
      </c>
      <c r="H107" s="133">
        <v>0</v>
      </c>
      <c r="I107" s="133">
        <v>0</v>
      </c>
      <c r="J107" s="133">
        <v>5.6000000000000001E-2</v>
      </c>
      <c r="K107" s="133">
        <v>0</v>
      </c>
      <c r="L107" s="133">
        <v>0</v>
      </c>
      <c r="M107" s="133">
        <v>0</v>
      </c>
      <c r="N107" s="133">
        <v>0</v>
      </c>
      <c r="O107" s="133">
        <v>0</v>
      </c>
      <c r="P107" s="133">
        <v>0</v>
      </c>
      <c r="Q107" s="133">
        <v>0</v>
      </c>
      <c r="R107" s="133">
        <v>0</v>
      </c>
      <c r="S107" s="133">
        <v>0</v>
      </c>
      <c r="T107" s="133">
        <v>0</v>
      </c>
      <c r="U107" s="133">
        <v>0</v>
      </c>
      <c r="V107" s="133">
        <v>0</v>
      </c>
      <c r="W107" s="133">
        <v>5.1999999999999998E-2</v>
      </c>
      <c r="X107" s="133">
        <v>0</v>
      </c>
      <c r="Y107" s="133">
        <v>3.7410000000000001</v>
      </c>
      <c r="Z107" s="133">
        <v>0</v>
      </c>
      <c r="AA107" s="133">
        <v>0</v>
      </c>
      <c r="AB107" s="133">
        <v>0</v>
      </c>
      <c r="AC107" s="133">
        <v>0</v>
      </c>
      <c r="AD107" s="133">
        <v>0</v>
      </c>
      <c r="AE107" s="133">
        <v>0</v>
      </c>
      <c r="AF107" s="133">
        <v>0</v>
      </c>
      <c r="AG107" s="133">
        <v>3.8490000000000002</v>
      </c>
    </row>
    <row r="108" spans="1:33" x14ac:dyDescent="0.45">
      <c r="A108" s="134" t="s">
        <v>582</v>
      </c>
      <c r="B108" s="130"/>
      <c r="C108" s="133">
        <v>0</v>
      </c>
      <c r="D108" s="133">
        <v>0</v>
      </c>
      <c r="E108" s="133">
        <v>0</v>
      </c>
      <c r="F108" s="133">
        <v>61.3459</v>
      </c>
      <c r="G108" s="133">
        <v>0</v>
      </c>
      <c r="H108" s="133">
        <v>0</v>
      </c>
      <c r="I108" s="133">
        <v>0</v>
      </c>
      <c r="J108" s="133">
        <v>1.79</v>
      </c>
      <c r="K108" s="133">
        <v>0</v>
      </c>
      <c r="L108" s="133">
        <v>0</v>
      </c>
      <c r="M108" s="133">
        <v>67.553899999999999</v>
      </c>
      <c r="N108" s="133">
        <v>0</v>
      </c>
      <c r="O108" s="133">
        <v>46.228999999999999</v>
      </c>
      <c r="P108" s="133">
        <v>65.7</v>
      </c>
      <c r="Q108" s="133">
        <v>0.35</v>
      </c>
      <c r="R108" s="133">
        <v>0</v>
      </c>
      <c r="S108" s="133">
        <v>76.349000000000004</v>
      </c>
      <c r="T108" s="133">
        <v>0</v>
      </c>
      <c r="U108" s="133">
        <v>0</v>
      </c>
      <c r="V108" s="133">
        <v>0</v>
      </c>
      <c r="W108" s="133">
        <v>11.549099999999999</v>
      </c>
      <c r="X108" s="133">
        <v>0</v>
      </c>
      <c r="Y108" s="133">
        <v>16.310000000000002</v>
      </c>
      <c r="Z108" s="133">
        <v>0</v>
      </c>
      <c r="AA108" s="133">
        <v>0</v>
      </c>
      <c r="AB108" s="133">
        <v>0</v>
      </c>
      <c r="AC108" s="133">
        <v>0</v>
      </c>
      <c r="AD108" s="133">
        <v>3.7</v>
      </c>
      <c r="AE108" s="133">
        <v>0</v>
      </c>
      <c r="AF108" s="133">
        <v>20.158000000000001</v>
      </c>
      <c r="AG108" s="133">
        <v>371.03489999999999</v>
      </c>
    </row>
    <row r="109" spans="1:33" x14ac:dyDescent="0.45">
      <c r="B109" s="130" t="s">
        <v>586</v>
      </c>
      <c r="C109" s="133">
        <v>0</v>
      </c>
      <c r="D109" s="133">
        <v>0</v>
      </c>
      <c r="E109" s="133">
        <v>0</v>
      </c>
      <c r="F109" s="133">
        <v>0</v>
      </c>
      <c r="G109" s="133">
        <v>0</v>
      </c>
      <c r="H109" s="133">
        <v>0</v>
      </c>
      <c r="I109" s="133">
        <v>0</v>
      </c>
      <c r="J109" s="133">
        <v>0.05</v>
      </c>
      <c r="K109" s="133">
        <v>0</v>
      </c>
      <c r="L109" s="133">
        <v>0</v>
      </c>
      <c r="M109" s="133">
        <v>0</v>
      </c>
      <c r="N109" s="133">
        <v>0</v>
      </c>
      <c r="O109" s="133">
        <v>0</v>
      </c>
      <c r="P109" s="133">
        <v>0</v>
      </c>
      <c r="Q109" s="133">
        <v>0</v>
      </c>
      <c r="R109" s="133">
        <v>0</v>
      </c>
      <c r="S109" s="133">
        <v>0</v>
      </c>
      <c r="T109" s="133">
        <v>0</v>
      </c>
      <c r="U109" s="133">
        <v>0</v>
      </c>
      <c r="V109" s="133">
        <v>0</v>
      </c>
      <c r="W109" s="133">
        <v>6.6000000000000003E-2</v>
      </c>
      <c r="X109" s="133">
        <v>0</v>
      </c>
      <c r="Y109" s="133">
        <v>4.97</v>
      </c>
      <c r="Z109" s="133">
        <v>0</v>
      </c>
      <c r="AA109" s="133">
        <v>0</v>
      </c>
      <c r="AB109" s="133">
        <v>0</v>
      </c>
      <c r="AC109" s="133">
        <v>0</v>
      </c>
      <c r="AD109" s="133">
        <v>0</v>
      </c>
      <c r="AE109" s="133">
        <v>0</v>
      </c>
      <c r="AF109" s="133">
        <v>0</v>
      </c>
      <c r="AG109" s="133">
        <v>5.0859999999999994</v>
      </c>
    </row>
    <row r="110" spans="1:33" x14ac:dyDescent="0.45">
      <c r="B110" s="130" t="s">
        <v>585</v>
      </c>
      <c r="C110" s="133">
        <v>0</v>
      </c>
      <c r="D110" s="133">
        <v>0</v>
      </c>
      <c r="E110" s="133">
        <v>0</v>
      </c>
      <c r="F110" s="133">
        <v>61.3459</v>
      </c>
      <c r="G110" s="133">
        <v>0</v>
      </c>
      <c r="H110" s="133">
        <v>0</v>
      </c>
      <c r="I110" s="133">
        <v>0</v>
      </c>
      <c r="J110" s="133">
        <v>1.7</v>
      </c>
      <c r="K110" s="133">
        <v>0</v>
      </c>
      <c r="L110" s="133">
        <v>0</v>
      </c>
      <c r="M110" s="133">
        <v>67.553899999999999</v>
      </c>
      <c r="N110" s="133">
        <v>0</v>
      </c>
      <c r="O110" s="133">
        <v>46.228999999999999</v>
      </c>
      <c r="P110" s="133">
        <v>65.7</v>
      </c>
      <c r="Q110" s="133">
        <v>0.35</v>
      </c>
      <c r="R110" s="133">
        <v>0</v>
      </c>
      <c r="S110" s="133">
        <v>76.349000000000004</v>
      </c>
      <c r="T110" s="133">
        <v>0</v>
      </c>
      <c r="U110" s="133">
        <v>0</v>
      </c>
      <c r="V110" s="133">
        <v>0</v>
      </c>
      <c r="W110" s="133">
        <v>11.3271</v>
      </c>
      <c r="X110" s="133">
        <v>0</v>
      </c>
      <c r="Y110" s="133">
        <v>0</v>
      </c>
      <c r="Z110" s="133">
        <v>0</v>
      </c>
      <c r="AA110" s="133">
        <v>0</v>
      </c>
      <c r="AB110" s="133">
        <v>0</v>
      </c>
      <c r="AC110" s="133">
        <v>0</v>
      </c>
      <c r="AD110" s="133">
        <v>3.7</v>
      </c>
      <c r="AE110" s="133">
        <v>0</v>
      </c>
      <c r="AF110" s="133">
        <v>20.158000000000001</v>
      </c>
      <c r="AG110" s="133">
        <v>354.41289999999998</v>
      </c>
    </row>
    <row r="111" spans="1:33" x14ac:dyDescent="0.45">
      <c r="B111" s="130" t="s">
        <v>583</v>
      </c>
      <c r="C111" s="133">
        <v>0</v>
      </c>
      <c r="D111" s="133">
        <v>0</v>
      </c>
      <c r="E111" s="133">
        <v>0</v>
      </c>
      <c r="F111" s="133">
        <v>0</v>
      </c>
      <c r="G111" s="133">
        <v>0</v>
      </c>
      <c r="H111" s="133">
        <v>0</v>
      </c>
      <c r="I111" s="133">
        <v>0</v>
      </c>
      <c r="J111" s="133">
        <v>0.02</v>
      </c>
      <c r="K111" s="133">
        <v>0</v>
      </c>
      <c r="L111" s="133">
        <v>0</v>
      </c>
      <c r="M111" s="133">
        <v>0</v>
      </c>
      <c r="N111" s="133">
        <v>0</v>
      </c>
      <c r="O111" s="133">
        <v>0</v>
      </c>
      <c r="P111" s="133">
        <v>0</v>
      </c>
      <c r="Q111" s="133">
        <v>0</v>
      </c>
      <c r="R111" s="133">
        <v>0</v>
      </c>
      <c r="S111" s="133">
        <v>0</v>
      </c>
      <c r="T111" s="133">
        <v>0</v>
      </c>
      <c r="U111" s="133">
        <v>0</v>
      </c>
      <c r="V111" s="133">
        <v>0</v>
      </c>
      <c r="W111" s="133">
        <v>5.6000000000000001E-2</v>
      </c>
      <c r="X111" s="133">
        <v>0</v>
      </c>
      <c r="Y111" s="133">
        <v>5.24</v>
      </c>
      <c r="Z111" s="133">
        <v>0</v>
      </c>
      <c r="AA111" s="133">
        <v>0</v>
      </c>
      <c r="AB111" s="133">
        <v>0</v>
      </c>
      <c r="AC111" s="133">
        <v>0</v>
      </c>
      <c r="AD111" s="133">
        <v>0</v>
      </c>
      <c r="AE111" s="133">
        <v>0</v>
      </c>
      <c r="AF111" s="133">
        <v>0</v>
      </c>
      <c r="AG111" s="133">
        <v>5.3159999999999998</v>
      </c>
    </row>
    <row r="112" spans="1:33" x14ac:dyDescent="0.45">
      <c r="B112" s="130" t="s">
        <v>581</v>
      </c>
      <c r="C112" s="133">
        <v>0</v>
      </c>
      <c r="D112" s="133">
        <v>0</v>
      </c>
      <c r="E112" s="133">
        <v>0</v>
      </c>
      <c r="F112" s="133">
        <v>0</v>
      </c>
      <c r="G112" s="133">
        <v>0</v>
      </c>
      <c r="H112" s="133">
        <v>0</v>
      </c>
      <c r="I112" s="133">
        <v>0</v>
      </c>
      <c r="J112" s="133">
        <v>0.02</v>
      </c>
      <c r="K112" s="133">
        <v>0</v>
      </c>
      <c r="L112" s="133">
        <v>0</v>
      </c>
      <c r="M112" s="133">
        <v>0</v>
      </c>
      <c r="N112" s="133">
        <v>0</v>
      </c>
      <c r="O112" s="133">
        <v>0</v>
      </c>
      <c r="P112" s="133">
        <v>0</v>
      </c>
      <c r="Q112" s="133">
        <v>0</v>
      </c>
      <c r="R112" s="133">
        <v>0</v>
      </c>
      <c r="S112" s="133">
        <v>0</v>
      </c>
      <c r="T112" s="133">
        <v>0</v>
      </c>
      <c r="U112" s="133">
        <v>0</v>
      </c>
      <c r="V112" s="133">
        <v>0</v>
      </c>
      <c r="W112" s="133">
        <v>0.1</v>
      </c>
      <c r="X112" s="133">
        <v>0</v>
      </c>
      <c r="Y112" s="133">
        <v>6.1</v>
      </c>
      <c r="Z112" s="133">
        <v>0</v>
      </c>
      <c r="AA112" s="133">
        <v>0</v>
      </c>
      <c r="AB112" s="133">
        <v>0</v>
      </c>
      <c r="AC112" s="133">
        <v>0</v>
      </c>
      <c r="AD112" s="133">
        <v>0</v>
      </c>
      <c r="AE112" s="133">
        <v>0</v>
      </c>
      <c r="AF112" s="133">
        <v>0</v>
      </c>
      <c r="AG112" s="133">
        <v>6.2199999999999989</v>
      </c>
    </row>
    <row r="113" spans="1:33" x14ac:dyDescent="0.45">
      <c r="A113" s="134" t="s">
        <v>580</v>
      </c>
      <c r="B113" s="130"/>
      <c r="C113" s="133">
        <v>0</v>
      </c>
      <c r="D113" s="133">
        <v>69.099999999999994</v>
      </c>
      <c r="E113" s="133">
        <v>0</v>
      </c>
      <c r="F113" s="133">
        <v>0</v>
      </c>
      <c r="G113" s="133">
        <v>7.7</v>
      </c>
      <c r="H113" s="133">
        <v>0</v>
      </c>
      <c r="I113" s="133">
        <v>0</v>
      </c>
      <c r="J113" s="133">
        <v>1.3</v>
      </c>
      <c r="K113" s="133">
        <v>0</v>
      </c>
      <c r="L113" s="133">
        <v>0</v>
      </c>
      <c r="M113" s="133">
        <v>43.3</v>
      </c>
      <c r="N113" s="133">
        <v>0</v>
      </c>
      <c r="O113" s="133">
        <v>3.7</v>
      </c>
      <c r="P113" s="133">
        <v>0</v>
      </c>
      <c r="Q113" s="133">
        <v>16.5</v>
      </c>
      <c r="R113" s="133">
        <v>0</v>
      </c>
      <c r="S113" s="133">
        <v>0</v>
      </c>
      <c r="T113" s="133">
        <v>0</v>
      </c>
      <c r="U113" s="133">
        <v>0</v>
      </c>
      <c r="V113" s="133">
        <v>0</v>
      </c>
      <c r="W113" s="133">
        <v>4</v>
      </c>
      <c r="X113" s="133">
        <v>0</v>
      </c>
      <c r="Y113" s="133">
        <v>0</v>
      </c>
      <c r="Z113" s="133">
        <v>0</v>
      </c>
      <c r="AA113" s="133">
        <v>0</v>
      </c>
      <c r="AB113" s="133">
        <v>0</v>
      </c>
      <c r="AC113" s="133">
        <v>0</v>
      </c>
      <c r="AD113" s="133">
        <v>0</v>
      </c>
      <c r="AE113" s="133">
        <v>0</v>
      </c>
      <c r="AF113" s="133">
        <v>0</v>
      </c>
      <c r="AG113" s="133">
        <v>145.6</v>
      </c>
    </row>
    <row r="114" spans="1:33" x14ac:dyDescent="0.45">
      <c r="A114" s="126"/>
      <c r="B114" s="129" t="s">
        <v>579</v>
      </c>
      <c r="C114" s="129">
        <v>0</v>
      </c>
      <c r="D114" s="129">
        <v>69.099999999999994</v>
      </c>
      <c r="E114" s="129">
        <v>0</v>
      </c>
      <c r="F114" s="129">
        <v>0</v>
      </c>
      <c r="G114" s="129">
        <v>7.7</v>
      </c>
      <c r="H114" s="129">
        <v>0</v>
      </c>
      <c r="I114" s="129">
        <v>0</v>
      </c>
      <c r="J114" s="129">
        <v>1.3</v>
      </c>
      <c r="K114" s="129">
        <v>0</v>
      </c>
      <c r="L114" s="129">
        <v>0</v>
      </c>
      <c r="M114" s="129">
        <v>43.3</v>
      </c>
      <c r="N114" s="129">
        <v>0</v>
      </c>
      <c r="O114" s="129">
        <v>3.7</v>
      </c>
      <c r="P114" s="129">
        <v>0</v>
      </c>
      <c r="Q114" s="129">
        <v>16.5</v>
      </c>
      <c r="R114" s="129">
        <v>0</v>
      </c>
      <c r="S114" s="129">
        <v>0</v>
      </c>
      <c r="T114" s="129">
        <v>0</v>
      </c>
      <c r="U114" s="129">
        <v>0</v>
      </c>
      <c r="V114" s="129">
        <v>0</v>
      </c>
      <c r="W114" s="129">
        <v>4</v>
      </c>
      <c r="X114" s="129">
        <v>0</v>
      </c>
      <c r="Y114" s="129">
        <v>0</v>
      </c>
      <c r="Z114" s="129">
        <v>0</v>
      </c>
      <c r="AA114" s="129">
        <v>0</v>
      </c>
      <c r="AB114" s="129">
        <v>0</v>
      </c>
      <c r="AC114" s="129">
        <v>0</v>
      </c>
      <c r="AD114" s="129">
        <v>0</v>
      </c>
      <c r="AE114" s="129">
        <v>0</v>
      </c>
      <c r="AF114" s="129">
        <v>0</v>
      </c>
      <c r="AG114" s="129">
        <v>145.6</v>
      </c>
    </row>
    <row r="115" spans="1:33" x14ac:dyDescent="0.45">
      <c r="A115" s="134" t="s">
        <v>576</v>
      </c>
      <c r="B115" s="130"/>
      <c r="C115" s="133">
        <v>0</v>
      </c>
      <c r="D115" s="133">
        <v>0</v>
      </c>
      <c r="E115" s="133">
        <v>0</v>
      </c>
      <c r="F115" s="133">
        <v>9.3000000000000007</v>
      </c>
      <c r="G115" s="133">
        <v>0</v>
      </c>
      <c r="H115" s="133">
        <v>0</v>
      </c>
      <c r="I115" s="133">
        <v>0.02</v>
      </c>
      <c r="J115" s="133">
        <v>0.04</v>
      </c>
      <c r="K115" s="133">
        <v>0</v>
      </c>
      <c r="L115" s="133">
        <v>0</v>
      </c>
      <c r="M115" s="133">
        <v>24.46</v>
      </c>
      <c r="N115" s="133">
        <v>0</v>
      </c>
      <c r="O115" s="133">
        <v>0</v>
      </c>
      <c r="P115" s="133">
        <v>7.1</v>
      </c>
      <c r="Q115" s="133">
        <v>0.91200000000000003</v>
      </c>
      <c r="R115" s="133">
        <v>0</v>
      </c>
      <c r="S115" s="133">
        <v>10.3</v>
      </c>
      <c r="T115" s="133">
        <v>0</v>
      </c>
      <c r="U115" s="133">
        <v>0</v>
      </c>
      <c r="V115" s="133">
        <v>0</v>
      </c>
      <c r="W115" s="133">
        <v>1.3349299999999999</v>
      </c>
      <c r="X115" s="133">
        <v>2.3650000000000002</v>
      </c>
      <c r="Y115" s="133">
        <v>0</v>
      </c>
      <c r="Z115" s="133">
        <v>0</v>
      </c>
      <c r="AA115" s="133">
        <v>0</v>
      </c>
      <c r="AB115" s="133">
        <v>0</v>
      </c>
      <c r="AC115" s="133">
        <v>0</v>
      </c>
      <c r="AD115" s="133">
        <v>0</v>
      </c>
      <c r="AE115" s="133">
        <v>0</v>
      </c>
      <c r="AF115" s="133">
        <v>5.7388199999999996</v>
      </c>
      <c r="AG115" s="133">
        <v>61.570749999999997</v>
      </c>
    </row>
    <row r="116" spans="1:33" x14ac:dyDescent="0.45">
      <c r="B116" s="130" t="s">
        <v>578</v>
      </c>
      <c r="C116" s="133">
        <v>0</v>
      </c>
      <c r="D116" s="133">
        <v>0</v>
      </c>
      <c r="E116" s="133">
        <v>0</v>
      </c>
      <c r="F116" s="133">
        <v>9.3000000000000007</v>
      </c>
      <c r="G116" s="133">
        <v>0</v>
      </c>
      <c r="H116" s="133">
        <v>0</v>
      </c>
      <c r="I116" s="133">
        <v>0</v>
      </c>
      <c r="J116" s="133">
        <v>0.04</v>
      </c>
      <c r="K116" s="133">
        <v>0</v>
      </c>
      <c r="L116" s="133">
        <v>0</v>
      </c>
      <c r="M116" s="133">
        <v>24.46</v>
      </c>
      <c r="N116" s="133">
        <v>0</v>
      </c>
      <c r="O116" s="133">
        <v>0</v>
      </c>
      <c r="P116" s="133">
        <v>7.1</v>
      </c>
      <c r="Q116" s="133">
        <v>0.91200000000000003</v>
      </c>
      <c r="R116" s="133">
        <v>0</v>
      </c>
      <c r="S116" s="133">
        <v>10.3</v>
      </c>
      <c r="T116" s="133">
        <v>0</v>
      </c>
      <c r="U116" s="133">
        <v>0</v>
      </c>
      <c r="V116" s="133">
        <v>0</v>
      </c>
      <c r="W116" s="133">
        <v>1.1895899999999999</v>
      </c>
      <c r="X116" s="133">
        <v>0</v>
      </c>
      <c r="Y116" s="133">
        <v>0</v>
      </c>
      <c r="Z116" s="133">
        <v>0</v>
      </c>
      <c r="AA116" s="133">
        <v>0</v>
      </c>
      <c r="AB116" s="133">
        <v>0</v>
      </c>
      <c r="AC116" s="133">
        <v>0</v>
      </c>
      <c r="AD116" s="133">
        <v>0</v>
      </c>
      <c r="AE116" s="133">
        <v>0</v>
      </c>
      <c r="AF116" s="133">
        <v>0</v>
      </c>
      <c r="AG116" s="133">
        <v>53.301589999999997</v>
      </c>
    </row>
    <row r="117" spans="1:33" x14ac:dyDescent="0.45">
      <c r="A117" s="126"/>
      <c r="B117" s="129" t="s">
        <v>577</v>
      </c>
      <c r="C117" s="129">
        <v>0</v>
      </c>
      <c r="D117" s="129">
        <v>0</v>
      </c>
      <c r="E117" s="129">
        <v>0</v>
      </c>
      <c r="F117" s="129">
        <v>0</v>
      </c>
      <c r="G117" s="129">
        <v>0</v>
      </c>
      <c r="H117" s="129">
        <v>0</v>
      </c>
      <c r="I117" s="129">
        <v>0</v>
      </c>
      <c r="J117" s="129">
        <v>0</v>
      </c>
      <c r="K117" s="129">
        <v>0</v>
      </c>
      <c r="L117" s="129">
        <v>0</v>
      </c>
      <c r="M117" s="129">
        <v>0</v>
      </c>
      <c r="N117" s="129">
        <v>0</v>
      </c>
      <c r="O117" s="129">
        <v>0</v>
      </c>
      <c r="P117" s="129">
        <v>0</v>
      </c>
      <c r="Q117" s="129">
        <v>0</v>
      </c>
      <c r="R117" s="129">
        <v>0</v>
      </c>
      <c r="S117" s="129">
        <v>0</v>
      </c>
      <c r="T117" s="129">
        <v>0</v>
      </c>
      <c r="U117" s="129">
        <v>0</v>
      </c>
      <c r="V117" s="129">
        <v>0</v>
      </c>
      <c r="W117" s="129">
        <v>0.12534000000000001</v>
      </c>
      <c r="X117" s="129">
        <v>0</v>
      </c>
      <c r="Y117" s="129">
        <v>0</v>
      </c>
      <c r="Z117" s="129">
        <v>0</v>
      </c>
      <c r="AA117" s="129">
        <v>0</v>
      </c>
      <c r="AB117" s="129">
        <v>0</v>
      </c>
      <c r="AC117" s="129">
        <v>0</v>
      </c>
      <c r="AD117" s="129">
        <v>0</v>
      </c>
      <c r="AE117" s="129">
        <v>0</v>
      </c>
      <c r="AF117" s="129">
        <v>5.7388199999999996</v>
      </c>
      <c r="AG117" s="129">
        <v>5.86416</v>
      </c>
    </row>
    <row r="118" spans="1:33" x14ac:dyDescent="0.45">
      <c r="B118" s="130" t="s">
        <v>575</v>
      </c>
      <c r="C118" s="133">
        <v>0</v>
      </c>
      <c r="D118" s="133">
        <v>0</v>
      </c>
      <c r="E118" s="133">
        <v>0</v>
      </c>
      <c r="F118" s="133">
        <v>0</v>
      </c>
      <c r="G118" s="133">
        <v>0</v>
      </c>
      <c r="H118" s="133">
        <v>0</v>
      </c>
      <c r="I118" s="133">
        <v>0.02</v>
      </c>
      <c r="J118" s="133">
        <v>0</v>
      </c>
      <c r="K118" s="133">
        <v>0</v>
      </c>
      <c r="L118" s="133">
        <v>0</v>
      </c>
      <c r="M118" s="133">
        <v>0</v>
      </c>
      <c r="N118" s="133">
        <v>0</v>
      </c>
      <c r="O118" s="133">
        <v>0</v>
      </c>
      <c r="P118" s="133">
        <v>0</v>
      </c>
      <c r="Q118" s="133">
        <v>0</v>
      </c>
      <c r="R118" s="133">
        <v>0</v>
      </c>
      <c r="S118" s="133">
        <v>0</v>
      </c>
      <c r="T118" s="133">
        <v>0</v>
      </c>
      <c r="U118" s="133">
        <v>0</v>
      </c>
      <c r="V118" s="133">
        <v>0</v>
      </c>
      <c r="W118" s="133">
        <v>0.02</v>
      </c>
      <c r="X118" s="133">
        <v>2.3650000000000002</v>
      </c>
      <c r="Y118" s="133">
        <v>0</v>
      </c>
      <c r="Z118" s="133">
        <v>0</v>
      </c>
      <c r="AA118" s="133">
        <v>0</v>
      </c>
      <c r="AB118" s="133">
        <v>0</v>
      </c>
      <c r="AC118" s="133">
        <v>0</v>
      </c>
      <c r="AD118" s="133">
        <v>0</v>
      </c>
      <c r="AE118" s="133">
        <v>0</v>
      </c>
      <c r="AF118" s="133">
        <v>0</v>
      </c>
      <c r="AG118" s="133">
        <v>2.4050000000000002</v>
      </c>
    </row>
    <row r="119" spans="1:33" x14ac:dyDescent="0.45">
      <c r="A119" s="134" t="s">
        <v>571</v>
      </c>
      <c r="B119" s="130"/>
      <c r="C119" s="133">
        <v>0</v>
      </c>
      <c r="D119" s="133">
        <v>0</v>
      </c>
      <c r="E119" s="133">
        <v>0</v>
      </c>
      <c r="F119" s="133">
        <v>64.634</v>
      </c>
      <c r="G119" s="133">
        <v>9.59</v>
      </c>
      <c r="H119" s="133">
        <v>0.80500000000000005</v>
      </c>
      <c r="I119" s="133">
        <v>0.05</v>
      </c>
      <c r="J119" s="133">
        <v>0.7350000000000001</v>
      </c>
      <c r="K119" s="133">
        <v>0</v>
      </c>
      <c r="L119" s="133">
        <v>0</v>
      </c>
      <c r="M119" s="133">
        <v>97.551000000000002</v>
      </c>
      <c r="N119" s="133">
        <v>0</v>
      </c>
      <c r="O119" s="133">
        <v>0</v>
      </c>
      <c r="P119" s="133">
        <v>26.786999999999999</v>
      </c>
      <c r="Q119" s="133">
        <v>15.762</v>
      </c>
      <c r="R119" s="133">
        <v>0</v>
      </c>
      <c r="S119" s="133">
        <v>4.298</v>
      </c>
      <c r="T119" s="133">
        <v>0</v>
      </c>
      <c r="U119" s="133">
        <v>0</v>
      </c>
      <c r="V119" s="133">
        <v>0</v>
      </c>
      <c r="W119" s="133">
        <v>5.9816099999999999</v>
      </c>
      <c r="X119" s="133">
        <v>0</v>
      </c>
      <c r="Y119" s="133">
        <v>0</v>
      </c>
      <c r="Z119" s="133">
        <v>0</v>
      </c>
      <c r="AA119" s="133">
        <v>12.15</v>
      </c>
      <c r="AB119" s="133">
        <v>16.196999999999999</v>
      </c>
      <c r="AC119" s="133">
        <v>9.2258800000000001</v>
      </c>
      <c r="AD119" s="133">
        <v>0</v>
      </c>
      <c r="AE119" s="133">
        <v>0</v>
      </c>
      <c r="AF119" s="133">
        <v>0</v>
      </c>
      <c r="AG119" s="133">
        <v>263.76649000000003</v>
      </c>
    </row>
    <row r="120" spans="1:33" x14ac:dyDescent="0.45">
      <c r="B120" s="130" t="s">
        <v>574</v>
      </c>
      <c r="C120" s="133">
        <v>0</v>
      </c>
      <c r="D120" s="133">
        <v>0</v>
      </c>
      <c r="E120" s="133">
        <v>0</v>
      </c>
      <c r="F120" s="133">
        <v>0</v>
      </c>
      <c r="G120" s="133">
        <v>0</v>
      </c>
      <c r="H120" s="133">
        <v>0</v>
      </c>
      <c r="I120" s="133">
        <v>0</v>
      </c>
      <c r="J120" s="133">
        <v>0.15</v>
      </c>
      <c r="K120" s="133">
        <v>0</v>
      </c>
      <c r="L120" s="133">
        <v>0</v>
      </c>
      <c r="M120" s="133">
        <v>12.958</v>
      </c>
      <c r="N120" s="133">
        <v>0</v>
      </c>
      <c r="O120" s="133">
        <v>0</v>
      </c>
      <c r="P120" s="133">
        <v>0</v>
      </c>
      <c r="Q120" s="133">
        <v>0</v>
      </c>
      <c r="R120" s="133">
        <v>0</v>
      </c>
      <c r="S120" s="133">
        <v>0</v>
      </c>
      <c r="T120" s="133">
        <v>0</v>
      </c>
      <c r="U120" s="133">
        <v>0</v>
      </c>
      <c r="V120" s="133">
        <v>0</v>
      </c>
      <c r="W120" s="133">
        <v>0.32817000000000002</v>
      </c>
      <c r="X120" s="133">
        <v>0</v>
      </c>
      <c r="Y120" s="133">
        <v>0</v>
      </c>
      <c r="Z120" s="133">
        <v>0</v>
      </c>
      <c r="AA120" s="133">
        <v>0</v>
      </c>
      <c r="AB120" s="133">
        <v>0</v>
      </c>
      <c r="AC120" s="133">
        <v>0</v>
      </c>
      <c r="AD120" s="133">
        <v>0</v>
      </c>
      <c r="AE120" s="133">
        <v>0</v>
      </c>
      <c r="AF120" s="133">
        <v>0</v>
      </c>
      <c r="AG120" s="133">
        <v>13.436170000000001</v>
      </c>
    </row>
    <row r="121" spans="1:33" x14ac:dyDescent="0.45">
      <c r="A121" s="126"/>
      <c r="B121" s="129" t="s">
        <v>573</v>
      </c>
      <c r="C121" s="129">
        <v>0</v>
      </c>
      <c r="D121" s="129">
        <v>0</v>
      </c>
      <c r="E121" s="129">
        <v>0</v>
      </c>
      <c r="F121" s="129">
        <v>0</v>
      </c>
      <c r="G121" s="129">
        <v>0</v>
      </c>
      <c r="H121" s="129">
        <v>0</v>
      </c>
      <c r="I121" s="129">
        <v>0</v>
      </c>
      <c r="J121" s="129">
        <v>0.26100000000000001</v>
      </c>
      <c r="K121" s="129">
        <v>0</v>
      </c>
      <c r="L121" s="129">
        <v>0</v>
      </c>
      <c r="M121" s="129">
        <v>0</v>
      </c>
      <c r="N121" s="129">
        <v>0</v>
      </c>
      <c r="O121" s="129">
        <v>0</v>
      </c>
      <c r="P121" s="129">
        <v>0</v>
      </c>
      <c r="Q121" s="129">
        <v>0</v>
      </c>
      <c r="R121" s="129">
        <v>0</v>
      </c>
      <c r="S121" s="129">
        <v>0</v>
      </c>
      <c r="T121" s="129">
        <v>0</v>
      </c>
      <c r="U121" s="129">
        <v>0</v>
      </c>
      <c r="V121" s="129">
        <v>0</v>
      </c>
      <c r="W121" s="129">
        <v>0.19886999999999999</v>
      </c>
      <c r="X121" s="129">
        <v>0</v>
      </c>
      <c r="Y121" s="129">
        <v>0</v>
      </c>
      <c r="Z121" s="129">
        <v>0</v>
      </c>
      <c r="AA121" s="129">
        <v>0</v>
      </c>
      <c r="AB121" s="129">
        <v>0</v>
      </c>
      <c r="AC121" s="129">
        <v>9.2258800000000001</v>
      </c>
      <c r="AD121" s="129">
        <v>0</v>
      </c>
      <c r="AE121" s="129">
        <v>0</v>
      </c>
      <c r="AF121" s="129">
        <v>0</v>
      </c>
      <c r="AG121" s="129">
        <v>9.6857499999999987</v>
      </c>
    </row>
    <row r="122" spans="1:33" x14ac:dyDescent="0.45">
      <c r="B122" s="130" t="s">
        <v>572</v>
      </c>
      <c r="C122" s="133">
        <v>0</v>
      </c>
      <c r="D122" s="133">
        <v>0</v>
      </c>
      <c r="E122" s="133">
        <v>0</v>
      </c>
      <c r="F122" s="133">
        <v>0</v>
      </c>
      <c r="G122" s="133">
        <v>4.9550000000000001</v>
      </c>
      <c r="H122" s="133">
        <v>0</v>
      </c>
      <c r="I122" s="133">
        <v>0</v>
      </c>
      <c r="J122" s="133">
        <v>0.32400000000000001</v>
      </c>
      <c r="K122" s="133">
        <v>0</v>
      </c>
      <c r="L122" s="133">
        <v>0</v>
      </c>
      <c r="M122" s="133">
        <v>0</v>
      </c>
      <c r="N122" s="133">
        <v>0</v>
      </c>
      <c r="O122" s="133">
        <v>0</v>
      </c>
      <c r="P122" s="133">
        <v>0</v>
      </c>
      <c r="Q122" s="133">
        <v>15.762</v>
      </c>
      <c r="R122" s="133">
        <v>0</v>
      </c>
      <c r="S122" s="133">
        <v>0</v>
      </c>
      <c r="T122" s="133">
        <v>0</v>
      </c>
      <c r="U122" s="133">
        <v>0</v>
      </c>
      <c r="V122" s="133">
        <v>0</v>
      </c>
      <c r="W122" s="133">
        <v>0.47532000000000002</v>
      </c>
      <c r="X122" s="133">
        <v>0</v>
      </c>
      <c r="Y122" s="133">
        <v>0</v>
      </c>
      <c r="Z122" s="133">
        <v>0</v>
      </c>
      <c r="AA122" s="133">
        <v>0</v>
      </c>
      <c r="AB122" s="133">
        <v>0</v>
      </c>
      <c r="AC122" s="133">
        <v>0</v>
      </c>
      <c r="AD122" s="133">
        <v>0</v>
      </c>
      <c r="AE122" s="133">
        <v>0</v>
      </c>
      <c r="AF122" s="133">
        <v>0</v>
      </c>
      <c r="AG122" s="133">
        <v>21.51632</v>
      </c>
    </row>
    <row r="123" spans="1:33" x14ac:dyDescent="0.45">
      <c r="A123" s="126"/>
      <c r="B123" s="129" t="s">
        <v>570</v>
      </c>
      <c r="C123" s="129">
        <v>0</v>
      </c>
      <c r="D123" s="129">
        <v>0</v>
      </c>
      <c r="E123" s="129">
        <v>0</v>
      </c>
      <c r="F123" s="129">
        <v>64.634</v>
      </c>
      <c r="G123" s="129">
        <v>4.6349999999999998</v>
      </c>
      <c r="H123" s="129">
        <v>0.80500000000000005</v>
      </c>
      <c r="I123" s="129">
        <v>0.05</v>
      </c>
      <c r="J123" s="129">
        <v>0</v>
      </c>
      <c r="K123" s="129">
        <v>0</v>
      </c>
      <c r="L123" s="129">
        <v>0</v>
      </c>
      <c r="M123" s="129">
        <v>84.593000000000004</v>
      </c>
      <c r="N123" s="129">
        <v>0</v>
      </c>
      <c r="O123" s="129">
        <v>0</v>
      </c>
      <c r="P123" s="129">
        <v>26.786999999999999</v>
      </c>
      <c r="Q123" s="129">
        <v>0</v>
      </c>
      <c r="R123" s="129">
        <v>0</v>
      </c>
      <c r="S123" s="129">
        <v>4.298</v>
      </c>
      <c r="T123" s="129">
        <v>0</v>
      </c>
      <c r="U123" s="129">
        <v>0</v>
      </c>
      <c r="V123" s="129">
        <v>0</v>
      </c>
      <c r="W123" s="129">
        <v>4.9792500000000004</v>
      </c>
      <c r="X123" s="129">
        <v>0</v>
      </c>
      <c r="Y123" s="129">
        <v>0</v>
      </c>
      <c r="Z123" s="129">
        <v>0</v>
      </c>
      <c r="AA123" s="129">
        <v>12.15</v>
      </c>
      <c r="AB123" s="129">
        <v>16.196999999999999</v>
      </c>
      <c r="AC123" s="129">
        <v>0</v>
      </c>
      <c r="AD123" s="129">
        <v>0</v>
      </c>
      <c r="AE123" s="129">
        <v>0</v>
      </c>
      <c r="AF123" s="129">
        <v>0</v>
      </c>
      <c r="AG123" s="129">
        <v>219.12825000000004</v>
      </c>
    </row>
    <row r="124" spans="1:33" x14ac:dyDescent="0.45">
      <c r="A124" s="134" t="s">
        <v>568</v>
      </c>
      <c r="B124" s="130"/>
      <c r="C124" s="133">
        <v>0</v>
      </c>
      <c r="D124" s="133">
        <v>0</v>
      </c>
      <c r="E124" s="133">
        <v>0</v>
      </c>
      <c r="F124" s="133">
        <v>6.5654500000000002</v>
      </c>
      <c r="G124" s="133">
        <v>0</v>
      </c>
      <c r="H124" s="133">
        <v>0</v>
      </c>
      <c r="I124" s="133">
        <v>0</v>
      </c>
      <c r="J124" s="133">
        <v>2.4</v>
      </c>
      <c r="K124" s="133">
        <v>0</v>
      </c>
      <c r="L124" s="133">
        <v>0.7</v>
      </c>
      <c r="M124" s="133">
        <v>6.5654500000000002</v>
      </c>
      <c r="N124" s="133">
        <v>0</v>
      </c>
      <c r="O124" s="133">
        <v>0</v>
      </c>
      <c r="P124" s="133">
        <v>20.5</v>
      </c>
      <c r="Q124" s="133">
        <v>0</v>
      </c>
      <c r="R124" s="133">
        <v>37.423000000000002</v>
      </c>
      <c r="S124" s="133">
        <v>26.261800000000001</v>
      </c>
      <c r="T124" s="133">
        <v>0</v>
      </c>
      <c r="U124" s="133">
        <v>0</v>
      </c>
      <c r="V124" s="133">
        <v>88.587299999999999</v>
      </c>
      <c r="W124" s="133">
        <v>7.1250600000000004</v>
      </c>
      <c r="X124" s="133">
        <v>0</v>
      </c>
      <c r="Y124" s="133">
        <v>9.6</v>
      </c>
      <c r="Z124" s="133">
        <v>0</v>
      </c>
      <c r="AA124" s="133">
        <v>0</v>
      </c>
      <c r="AB124" s="133">
        <v>0</v>
      </c>
      <c r="AC124" s="133">
        <v>0</v>
      </c>
      <c r="AD124" s="133">
        <v>0</v>
      </c>
      <c r="AE124" s="133">
        <v>0</v>
      </c>
      <c r="AF124" s="133">
        <v>0</v>
      </c>
      <c r="AG124" s="133">
        <v>205.72806</v>
      </c>
    </row>
    <row r="125" spans="1:33" x14ac:dyDescent="0.45">
      <c r="A125" s="126"/>
      <c r="B125" s="129" t="s">
        <v>567</v>
      </c>
      <c r="C125" s="129">
        <v>0</v>
      </c>
      <c r="D125" s="129">
        <v>0</v>
      </c>
      <c r="E125" s="129">
        <v>0</v>
      </c>
      <c r="F125" s="129">
        <v>6.5654500000000002</v>
      </c>
      <c r="G125" s="129">
        <v>0</v>
      </c>
      <c r="H125" s="129">
        <v>0</v>
      </c>
      <c r="I125" s="129">
        <v>0</v>
      </c>
      <c r="J125" s="129">
        <v>2.4</v>
      </c>
      <c r="K125" s="129">
        <v>0</v>
      </c>
      <c r="L125" s="129">
        <v>0.7</v>
      </c>
      <c r="M125" s="129">
        <v>6.5654500000000002</v>
      </c>
      <c r="N125" s="129">
        <v>0</v>
      </c>
      <c r="O125" s="129">
        <v>0</v>
      </c>
      <c r="P125" s="129">
        <v>20.5</v>
      </c>
      <c r="Q125" s="129">
        <v>0</v>
      </c>
      <c r="R125" s="129">
        <v>37.423000000000002</v>
      </c>
      <c r="S125" s="129">
        <v>26.261800000000001</v>
      </c>
      <c r="T125" s="129">
        <v>0</v>
      </c>
      <c r="U125" s="129">
        <v>0</v>
      </c>
      <c r="V125" s="129">
        <v>88.587299999999999</v>
      </c>
      <c r="W125" s="129">
        <v>7.1250600000000004</v>
      </c>
      <c r="X125" s="129">
        <v>0</v>
      </c>
      <c r="Y125" s="129">
        <v>9.6</v>
      </c>
      <c r="Z125" s="129">
        <v>0</v>
      </c>
      <c r="AA125" s="129">
        <v>0</v>
      </c>
      <c r="AB125" s="129">
        <v>0</v>
      </c>
      <c r="AC125" s="129">
        <v>0</v>
      </c>
      <c r="AD125" s="129">
        <v>0</v>
      </c>
      <c r="AE125" s="129">
        <v>0</v>
      </c>
      <c r="AF125" s="129">
        <v>0</v>
      </c>
      <c r="AG125" s="129">
        <v>205.72806</v>
      </c>
    </row>
    <row r="126" spans="1:33" x14ac:dyDescent="0.45">
      <c r="A126" s="134" t="s">
        <v>566</v>
      </c>
      <c r="B126" s="130"/>
      <c r="C126" s="133">
        <v>0</v>
      </c>
      <c r="D126" s="133">
        <v>0</v>
      </c>
      <c r="E126" s="133">
        <v>0</v>
      </c>
      <c r="F126" s="133">
        <v>64.702299999999994</v>
      </c>
      <c r="G126" s="133">
        <v>2.8820600000000001</v>
      </c>
      <c r="H126" s="133">
        <v>0</v>
      </c>
      <c r="I126" s="133">
        <v>0</v>
      </c>
      <c r="J126" s="133">
        <v>0</v>
      </c>
      <c r="K126" s="133">
        <v>0</v>
      </c>
      <c r="L126" s="133">
        <v>0.42954500000000001</v>
      </c>
      <c r="M126" s="133">
        <v>20.318000000000001</v>
      </c>
      <c r="N126" s="133">
        <v>0</v>
      </c>
      <c r="O126" s="133">
        <v>74.118300000000005</v>
      </c>
      <c r="P126" s="133">
        <v>76.875</v>
      </c>
      <c r="Q126" s="133">
        <v>398.517</v>
      </c>
      <c r="R126" s="133">
        <v>0</v>
      </c>
      <c r="S126" s="133">
        <v>14.6661</v>
      </c>
      <c r="T126" s="133">
        <v>0</v>
      </c>
      <c r="U126" s="133">
        <v>0</v>
      </c>
      <c r="V126" s="133">
        <v>0</v>
      </c>
      <c r="W126" s="133">
        <v>9.8604099999999999</v>
      </c>
      <c r="X126" s="133">
        <v>0</v>
      </c>
      <c r="Y126" s="133">
        <v>0</v>
      </c>
      <c r="Z126" s="133">
        <v>0</v>
      </c>
      <c r="AA126" s="133">
        <v>0</v>
      </c>
      <c r="AB126" s="133">
        <v>0</v>
      </c>
      <c r="AC126" s="133">
        <v>0</v>
      </c>
      <c r="AD126" s="133">
        <v>0</v>
      </c>
      <c r="AE126" s="133">
        <v>0</v>
      </c>
      <c r="AF126" s="133">
        <v>93.477599999999995</v>
      </c>
      <c r="AG126" s="133">
        <v>755.846315</v>
      </c>
    </row>
    <row r="127" spans="1:33" x14ac:dyDescent="0.45">
      <c r="A127" s="126"/>
      <c r="B127" s="129" t="s">
        <v>565</v>
      </c>
      <c r="C127" s="129">
        <v>0</v>
      </c>
      <c r="D127" s="129">
        <v>0</v>
      </c>
      <c r="E127" s="129">
        <v>0</v>
      </c>
      <c r="F127" s="129">
        <v>64.702299999999994</v>
      </c>
      <c r="G127" s="129">
        <v>2.8820600000000001</v>
      </c>
      <c r="H127" s="129">
        <v>0</v>
      </c>
      <c r="I127" s="129">
        <v>0</v>
      </c>
      <c r="J127" s="129">
        <v>0</v>
      </c>
      <c r="K127" s="129">
        <v>0</v>
      </c>
      <c r="L127" s="129">
        <v>0.42954500000000001</v>
      </c>
      <c r="M127" s="129">
        <v>20.318000000000001</v>
      </c>
      <c r="N127" s="129">
        <v>0</v>
      </c>
      <c r="O127" s="129">
        <v>74.118300000000005</v>
      </c>
      <c r="P127" s="129">
        <v>76.875</v>
      </c>
      <c r="Q127" s="129">
        <v>398.517</v>
      </c>
      <c r="R127" s="129">
        <v>0</v>
      </c>
      <c r="S127" s="129">
        <v>14.6661</v>
      </c>
      <c r="T127" s="129">
        <v>0</v>
      </c>
      <c r="U127" s="129">
        <v>0</v>
      </c>
      <c r="V127" s="129">
        <v>0</v>
      </c>
      <c r="W127" s="129">
        <v>9.8604099999999999</v>
      </c>
      <c r="X127" s="129">
        <v>0</v>
      </c>
      <c r="Y127" s="129">
        <v>0</v>
      </c>
      <c r="Z127" s="129">
        <v>0</v>
      </c>
      <c r="AA127" s="129">
        <v>0</v>
      </c>
      <c r="AB127" s="129">
        <v>0</v>
      </c>
      <c r="AC127" s="129">
        <v>0</v>
      </c>
      <c r="AD127" s="129">
        <v>0</v>
      </c>
      <c r="AE127" s="129">
        <v>0</v>
      </c>
      <c r="AF127" s="129">
        <v>93.477599999999995</v>
      </c>
      <c r="AG127" s="129">
        <v>755.846315</v>
      </c>
    </row>
    <row r="128" spans="1:33" x14ac:dyDescent="0.45">
      <c r="A128" s="134" t="s">
        <v>560</v>
      </c>
      <c r="B128" s="130"/>
      <c r="C128" s="133">
        <v>0</v>
      </c>
      <c r="D128" s="133">
        <v>907.58199999999999</v>
      </c>
      <c r="E128" s="133">
        <v>0</v>
      </c>
      <c r="F128" s="133">
        <v>71.692999999999998</v>
      </c>
      <c r="G128" s="133">
        <v>3.6130000000000004</v>
      </c>
      <c r="H128" s="133">
        <v>52.125999999999998</v>
      </c>
      <c r="I128" s="133">
        <v>0</v>
      </c>
      <c r="J128" s="133">
        <v>0.75600000000000001</v>
      </c>
      <c r="K128" s="133">
        <v>0</v>
      </c>
      <c r="L128" s="133">
        <v>9.4510000000000005</v>
      </c>
      <c r="M128" s="133">
        <v>160.74200000000002</v>
      </c>
      <c r="N128" s="133">
        <v>404.21300000000002</v>
      </c>
      <c r="O128" s="133">
        <v>0</v>
      </c>
      <c r="P128" s="133">
        <v>463.85300000000001</v>
      </c>
      <c r="Q128" s="133">
        <v>1104.68</v>
      </c>
      <c r="R128" s="133">
        <v>0</v>
      </c>
      <c r="S128" s="133">
        <v>48.719000000000001</v>
      </c>
      <c r="T128" s="133">
        <v>0</v>
      </c>
      <c r="U128" s="133">
        <v>0</v>
      </c>
      <c r="V128" s="133">
        <v>0</v>
      </c>
      <c r="W128" s="133">
        <v>59.360999999999997</v>
      </c>
      <c r="X128" s="133">
        <v>0</v>
      </c>
      <c r="Y128" s="133">
        <v>79.703000000000003</v>
      </c>
      <c r="Z128" s="133">
        <v>0</v>
      </c>
      <c r="AA128" s="133">
        <v>92.748999999999995</v>
      </c>
      <c r="AB128" s="133">
        <v>225.64400000000001</v>
      </c>
      <c r="AC128" s="133">
        <v>0</v>
      </c>
      <c r="AD128" s="133">
        <v>0</v>
      </c>
      <c r="AE128" s="133">
        <v>0</v>
      </c>
      <c r="AF128" s="133">
        <v>37.662999999999997</v>
      </c>
      <c r="AG128" s="133">
        <v>3722.5480000000002</v>
      </c>
    </row>
    <row r="129" spans="1:33" x14ac:dyDescent="0.45">
      <c r="B129" s="130" t="s">
        <v>564</v>
      </c>
      <c r="C129" s="133">
        <v>0</v>
      </c>
      <c r="D129" s="133">
        <v>0</v>
      </c>
      <c r="E129" s="133">
        <v>0</v>
      </c>
      <c r="F129" s="133">
        <v>0</v>
      </c>
      <c r="G129" s="133">
        <v>0</v>
      </c>
      <c r="H129" s="133">
        <v>0</v>
      </c>
      <c r="I129" s="133">
        <v>0</v>
      </c>
      <c r="J129" s="133">
        <v>0</v>
      </c>
      <c r="K129" s="133">
        <v>0</v>
      </c>
      <c r="L129" s="133">
        <v>0</v>
      </c>
      <c r="M129" s="133">
        <v>0</v>
      </c>
      <c r="N129" s="133">
        <v>0</v>
      </c>
      <c r="O129" s="133">
        <v>0</v>
      </c>
      <c r="P129" s="133">
        <v>0</v>
      </c>
      <c r="Q129" s="133">
        <v>0</v>
      </c>
      <c r="R129" s="133">
        <v>0</v>
      </c>
      <c r="S129" s="133">
        <v>0</v>
      </c>
      <c r="T129" s="133">
        <v>0</v>
      </c>
      <c r="U129" s="133">
        <v>0</v>
      </c>
      <c r="V129" s="133">
        <v>0</v>
      </c>
      <c r="W129" s="133">
        <v>0</v>
      </c>
      <c r="X129" s="133">
        <v>0</v>
      </c>
      <c r="Y129" s="133">
        <v>0</v>
      </c>
      <c r="Z129" s="133">
        <v>0</v>
      </c>
      <c r="AA129" s="133">
        <v>0</v>
      </c>
      <c r="AB129" s="133">
        <v>0</v>
      </c>
      <c r="AC129" s="133">
        <v>0</v>
      </c>
      <c r="AD129" s="133">
        <v>0</v>
      </c>
      <c r="AE129" s="133">
        <v>0</v>
      </c>
      <c r="AF129" s="133">
        <v>0</v>
      </c>
      <c r="AG129" s="133">
        <v>0</v>
      </c>
    </row>
    <row r="130" spans="1:33" x14ac:dyDescent="0.45">
      <c r="B130" s="130" t="s">
        <v>563</v>
      </c>
      <c r="C130" s="133">
        <v>0</v>
      </c>
      <c r="D130" s="133">
        <v>907.58199999999999</v>
      </c>
      <c r="E130" s="133">
        <v>0</v>
      </c>
      <c r="F130" s="133">
        <v>41.268999999999998</v>
      </c>
      <c r="G130" s="133">
        <v>3.1190000000000002</v>
      </c>
      <c r="H130" s="133">
        <v>52.125999999999998</v>
      </c>
      <c r="I130" s="133">
        <v>0</v>
      </c>
      <c r="J130" s="133">
        <v>0.75600000000000001</v>
      </c>
      <c r="K130" s="133">
        <v>0</v>
      </c>
      <c r="L130" s="133">
        <v>9.4510000000000005</v>
      </c>
      <c r="M130" s="133">
        <v>92.528000000000006</v>
      </c>
      <c r="N130" s="133">
        <v>404.21300000000002</v>
      </c>
      <c r="O130" s="133">
        <v>0</v>
      </c>
      <c r="P130" s="133">
        <v>423.27300000000002</v>
      </c>
      <c r="Q130" s="133">
        <v>1104.68</v>
      </c>
      <c r="R130" s="133">
        <v>0</v>
      </c>
      <c r="S130" s="133">
        <v>28.044</v>
      </c>
      <c r="T130" s="133">
        <v>0</v>
      </c>
      <c r="U130" s="133">
        <v>0</v>
      </c>
      <c r="V130" s="133">
        <v>0</v>
      </c>
      <c r="W130" s="133">
        <v>56.531999999999996</v>
      </c>
      <c r="X130" s="133">
        <v>0</v>
      </c>
      <c r="Y130" s="133">
        <v>79.703000000000003</v>
      </c>
      <c r="Z130" s="133">
        <v>0</v>
      </c>
      <c r="AA130" s="133">
        <v>92.748999999999995</v>
      </c>
      <c r="AB130" s="133">
        <v>225.64400000000001</v>
      </c>
      <c r="AC130" s="133">
        <v>0</v>
      </c>
      <c r="AD130" s="133">
        <v>0</v>
      </c>
      <c r="AE130" s="133">
        <v>0</v>
      </c>
      <c r="AF130" s="133">
        <v>23.277999999999999</v>
      </c>
      <c r="AG130" s="133">
        <v>3544.9470000000001</v>
      </c>
    </row>
    <row r="131" spans="1:33" x14ac:dyDescent="0.45">
      <c r="A131" s="126"/>
      <c r="B131" s="129" t="s">
        <v>562</v>
      </c>
      <c r="C131" s="129">
        <v>0</v>
      </c>
      <c r="D131" s="129">
        <v>0</v>
      </c>
      <c r="E131" s="129">
        <v>0</v>
      </c>
      <c r="F131" s="129">
        <v>30.423999999999999</v>
      </c>
      <c r="G131" s="129">
        <v>0.49399999999999999</v>
      </c>
      <c r="H131" s="129">
        <v>0</v>
      </c>
      <c r="I131" s="129">
        <v>0</v>
      </c>
      <c r="J131" s="129">
        <v>0</v>
      </c>
      <c r="K131" s="129">
        <v>0</v>
      </c>
      <c r="L131" s="129">
        <v>0</v>
      </c>
      <c r="M131" s="129">
        <v>68.213999999999999</v>
      </c>
      <c r="N131" s="129">
        <v>0</v>
      </c>
      <c r="O131" s="129">
        <v>0</v>
      </c>
      <c r="P131" s="129">
        <v>40.58</v>
      </c>
      <c r="Q131" s="129">
        <v>0</v>
      </c>
      <c r="R131" s="129">
        <v>0</v>
      </c>
      <c r="S131" s="129">
        <v>20.675000000000001</v>
      </c>
      <c r="T131" s="129">
        <v>0</v>
      </c>
      <c r="U131" s="129">
        <v>0</v>
      </c>
      <c r="V131" s="129">
        <v>0</v>
      </c>
      <c r="W131" s="129">
        <v>2.8290000000000002</v>
      </c>
      <c r="X131" s="129">
        <v>0</v>
      </c>
      <c r="Y131" s="129">
        <v>0</v>
      </c>
      <c r="Z131" s="129">
        <v>0</v>
      </c>
      <c r="AA131" s="129">
        <v>0</v>
      </c>
      <c r="AB131" s="129">
        <v>0</v>
      </c>
      <c r="AC131" s="129">
        <v>0</v>
      </c>
      <c r="AD131" s="129">
        <v>0</v>
      </c>
      <c r="AE131" s="129">
        <v>0</v>
      </c>
      <c r="AF131" s="129">
        <v>14.385</v>
      </c>
      <c r="AG131" s="129">
        <v>177.601</v>
      </c>
    </row>
    <row r="132" spans="1:33" x14ac:dyDescent="0.45">
      <c r="B132" s="130" t="s">
        <v>560</v>
      </c>
      <c r="C132" s="133">
        <v>0</v>
      </c>
      <c r="D132" s="133">
        <v>0</v>
      </c>
      <c r="E132" s="133">
        <v>0</v>
      </c>
      <c r="F132" s="133">
        <v>0</v>
      </c>
      <c r="G132" s="133">
        <v>0</v>
      </c>
      <c r="H132" s="133">
        <v>0</v>
      </c>
      <c r="I132" s="133">
        <v>0</v>
      </c>
      <c r="J132" s="133">
        <v>0</v>
      </c>
      <c r="K132" s="133">
        <v>0</v>
      </c>
      <c r="L132" s="133">
        <v>0</v>
      </c>
      <c r="M132" s="133">
        <v>0</v>
      </c>
      <c r="N132" s="133">
        <v>0</v>
      </c>
      <c r="O132" s="133">
        <v>0</v>
      </c>
      <c r="P132" s="133">
        <v>0</v>
      </c>
      <c r="Q132" s="133">
        <v>0</v>
      </c>
      <c r="R132" s="133">
        <v>0</v>
      </c>
      <c r="S132" s="133">
        <v>0</v>
      </c>
      <c r="T132" s="133">
        <v>0</v>
      </c>
      <c r="U132" s="133">
        <v>0</v>
      </c>
      <c r="V132" s="133">
        <v>0</v>
      </c>
      <c r="W132" s="133">
        <v>0</v>
      </c>
      <c r="X132" s="133">
        <v>0</v>
      </c>
      <c r="Y132" s="133">
        <v>0</v>
      </c>
      <c r="Z132" s="133">
        <v>0</v>
      </c>
      <c r="AA132" s="133">
        <v>0</v>
      </c>
      <c r="AB132" s="133">
        <v>0</v>
      </c>
      <c r="AC132" s="133">
        <v>0</v>
      </c>
      <c r="AD132" s="133">
        <v>0</v>
      </c>
      <c r="AE132" s="133">
        <v>0</v>
      </c>
      <c r="AF132" s="133">
        <v>0</v>
      </c>
      <c r="AG132" s="133">
        <v>0</v>
      </c>
    </row>
    <row r="133" spans="1:33" x14ac:dyDescent="0.45">
      <c r="B133" s="130" t="s">
        <v>561</v>
      </c>
      <c r="C133" s="133">
        <v>0</v>
      </c>
      <c r="D133" s="133">
        <v>0</v>
      </c>
      <c r="E133" s="133">
        <v>0</v>
      </c>
      <c r="F133" s="133">
        <v>0</v>
      </c>
      <c r="G133" s="133">
        <v>0</v>
      </c>
      <c r="H133" s="133">
        <v>0</v>
      </c>
      <c r="I133" s="133">
        <v>0</v>
      </c>
      <c r="J133" s="133">
        <v>0</v>
      </c>
      <c r="K133" s="133">
        <v>0</v>
      </c>
      <c r="L133" s="133">
        <v>0</v>
      </c>
      <c r="M133" s="133">
        <v>0</v>
      </c>
      <c r="N133" s="133">
        <v>0</v>
      </c>
      <c r="O133" s="133">
        <v>0</v>
      </c>
      <c r="P133" s="133">
        <v>0</v>
      </c>
      <c r="Q133" s="133">
        <v>0</v>
      </c>
      <c r="R133" s="133">
        <v>0</v>
      </c>
      <c r="S133" s="133">
        <v>0</v>
      </c>
      <c r="T133" s="133">
        <v>0</v>
      </c>
      <c r="U133" s="133">
        <v>0</v>
      </c>
      <c r="V133" s="133">
        <v>0</v>
      </c>
      <c r="W133" s="133">
        <v>0</v>
      </c>
      <c r="X133" s="133">
        <v>0</v>
      </c>
      <c r="Y133" s="133">
        <v>0</v>
      </c>
      <c r="Z133" s="133">
        <v>0</v>
      </c>
      <c r="AA133" s="133">
        <v>0</v>
      </c>
      <c r="AB133" s="133">
        <v>0</v>
      </c>
      <c r="AC133" s="133">
        <v>0</v>
      </c>
      <c r="AD133" s="133">
        <v>0</v>
      </c>
      <c r="AE133" s="133">
        <v>0</v>
      </c>
      <c r="AF133" s="133">
        <v>0</v>
      </c>
      <c r="AG133" s="133">
        <v>0</v>
      </c>
    </row>
    <row r="134" spans="1:33" x14ac:dyDescent="0.45">
      <c r="B134" s="130" t="s">
        <v>559</v>
      </c>
      <c r="C134" s="133">
        <v>0</v>
      </c>
      <c r="D134" s="133">
        <v>0</v>
      </c>
      <c r="E134" s="133">
        <v>0</v>
      </c>
      <c r="F134" s="133">
        <v>0</v>
      </c>
      <c r="G134" s="133">
        <v>0</v>
      </c>
      <c r="H134" s="133">
        <v>0</v>
      </c>
      <c r="I134" s="133">
        <v>0</v>
      </c>
      <c r="J134" s="133">
        <v>0</v>
      </c>
      <c r="K134" s="133">
        <v>0</v>
      </c>
      <c r="L134" s="133">
        <v>0</v>
      </c>
      <c r="M134" s="133">
        <v>0</v>
      </c>
      <c r="N134" s="133">
        <v>0</v>
      </c>
      <c r="O134" s="133">
        <v>0</v>
      </c>
      <c r="P134" s="133">
        <v>0</v>
      </c>
      <c r="Q134" s="133">
        <v>0</v>
      </c>
      <c r="R134" s="133">
        <v>0</v>
      </c>
      <c r="S134" s="133">
        <v>0</v>
      </c>
      <c r="T134" s="133">
        <v>0</v>
      </c>
      <c r="U134" s="133">
        <v>0</v>
      </c>
      <c r="V134" s="133">
        <v>0</v>
      </c>
      <c r="W134" s="133">
        <v>0</v>
      </c>
      <c r="X134" s="133">
        <v>0</v>
      </c>
      <c r="Y134" s="133">
        <v>0</v>
      </c>
      <c r="Z134" s="133">
        <v>0</v>
      </c>
      <c r="AA134" s="133">
        <v>0</v>
      </c>
      <c r="AB134" s="133">
        <v>0</v>
      </c>
      <c r="AC134" s="133">
        <v>0</v>
      </c>
      <c r="AD134" s="133">
        <v>0</v>
      </c>
      <c r="AE134" s="133">
        <v>0</v>
      </c>
      <c r="AF134" s="133">
        <v>0</v>
      </c>
      <c r="AG134" s="133">
        <v>0</v>
      </c>
    </row>
    <row r="135" spans="1:33" x14ac:dyDescent="0.45">
      <c r="A135" s="126" t="s">
        <v>556</v>
      </c>
      <c r="B135" s="129"/>
      <c r="C135" s="129">
        <v>0</v>
      </c>
      <c r="D135" s="129">
        <v>0</v>
      </c>
      <c r="E135" s="129">
        <v>0</v>
      </c>
      <c r="F135" s="129">
        <v>12.096</v>
      </c>
      <c r="G135" s="129">
        <v>0</v>
      </c>
      <c r="H135" s="129">
        <v>0</v>
      </c>
      <c r="I135" s="129">
        <v>0</v>
      </c>
      <c r="J135" s="129">
        <v>4.3010000000000002</v>
      </c>
      <c r="K135" s="129">
        <v>0</v>
      </c>
      <c r="L135" s="129">
        <v>0</v>
      </c>
      <c r="M135" s="129">
        <v>110.331</v>
      </c>
      <c r="N135" s="129">
        <v>0</v>
      </c>
      <c r="O135" s="129">
        <v>0</v>
      </c>
      <c r="P135" s="129">
        <v>9</v>
      </c>
      <c r="Q135" s="129">
        <v>3.0590000000000002</v>
      </c>
      <c r="R135" s="129">
        <v>0</v>
      </c>
      <c r="S135" s="129">
        <v>0</v>
      </c>
      <c r="T135" s="129">
        <v>0</v>
      </c>
      <c r="U135" s="129">
        <v>0</v>
      </c>
      <c r="V135" s="129">
        <v>0</v>
      </c>
      <c r="W135" s="129">
        <v>3.4620299999999999</v>
      </c>
      <c r="X135" s="129">
        <v>0</v>
      </c>
      <c r="Y135" s="129">
        <v>6.4000000000000001E-2</v>
      </c>
      <c r="Z135" s="129">
        <v>0</v>
      </c>
      <c r="AA135" s="129">
        <v>0</v>
      </c>
      <c r="AB135" s="129">
        <v>0</v>
      </c>
      <c r="AC135" s="129">
        <v>0</v>
      </c>
      <c r="AD135" s="129">
        <v>0</v>
      </c>
      <c r="AE135" s="129">
        <v>0</v>
      </c>
      <c r="AF135" s="129">
        <v>0</v>
      </c>
      <c r="AG135" s="129">
        <v>142.31303</v>
      </c>
    </row>
    <row r="136" spans="1:33" x14ac:dyDescent="0.45">
      <c r="B136" s="130" t="s">
        <v>558</v>
      </c>
      <c r="C136" s="133">
        <v>0</v>
      </c>
      <c r="D136" s="133">
        <v>0</v>
      </c>
      <c r="E136" s="133">
        <v>0</v>
      </c>
      <c r="F136" s="133">
        <v>12.096</v>
      </c>
      <c r="G136" s="133">
        <v>0</v>
      </c>
      <c r="H136" s="133">
        <v>0</v>
      </c>
      <c r="I136" s="133">
        <v>0</v>
      </c>
      <c r="J136" s="133">
        <v>4.2759999999999998</v>
      </c>
      <c r="K136" s="133">
        <v>0</v>
      </c>
      <c r="L136" s="133">
        <v>0</v>
      </c>
      <c r="M136" s="133">
        <v>110.331</v>
      </c>
      <c r="N136" s="133">
        <v>0</v>
      </c>
      <c r="O136" s="133">
        <v>0</v>
      </c>
      <c r="P136" s="133">
        <v>9</v>
      </c>
      <c r="Q136" s="133">
        <v>0</v>
      </c>
      <c r="R136" s="133">
        <v>0</v>
      </c>
      <c r="S136" s="133">
        <v>0</v>
      </c>
      <c r="T136" s="133">
        <v>0</v>
      </c>
      <c r="U136" s="133">
        <v>0</v>
      </c>
      <c r="V136" s="133">
        <v>0</v>
      </c>
      <c r="W136" s="133">
        <v>3.39</v>
      </c>
      <c r="X136" s="133">
        <v>0</v>
      </c>
      <c r="Y136" s="133">
        <v>0</v>
      </c>
      <c r="Z136" s="133">
        <v>0</v>
      </c>
      <c r="AA136" s="133">
        <v>0</v>
      </c>
      <c r="AB136" s="133">
        <v>0</v>
      </c>
      <c r="AC136" s="133">
        <v>0</v>
      </c>
      <c r="AD136" s="133">
        <v>0</v>
      </c>
      <c r="AE136" s="133">
        <v>0</v>
      </c>
      <c r="AF136" s="133">
        <v>0</v>
      </c>
      <c r="AG136" s="133">
        <v>139.09299999999999</v>
      </c>
    </row>
    <row r="137" spans="1:33" x14ac:dyDescent="0.45">
      <c r="B137" s="130" t="s">
        <v>555</v>
      </c>
      <c r="C137" s="133">
        <v>0</v>
      </c>
      <c r="D137" s="133">
        <v>0</v>
      </c>
      <c r="E137" s="133">
        <v>0</v>
      </c>
      <c r="F137" s="133">
        <v>0</v>
      </c>
      <c r="G137" s="133">
        <v>0</v>
      </c>
      <c r="H137" s="133">
        <v>0</v>
      </c>
      <c r="I137" s="133">
        <v>0</v>
      </c>
      <c r="J137" s="133">
        <v>2.5000000000000001E-2</v>
      </c>
      <c r="K137" s="133">
        <v>0</v>
      </c>
      <c r="L137" s="133">
        <v>0</v>
      </c>
      <c r="M137" s="133">
        <v>0</v>
      </c>
      <c r="N137" s="133">
        <v>0</v>
      </c>
      <c r="O137" s="133">
        <v>0</v>
      </c>
      <c r="P137" s="133">
        <v>0</v>
      </c>
      <c r="Q137" s="133">
        <v>3.0590000000000002</v>
      </c>
      <c r="R137" s="133">
        <v>0</v>
      </c>
      <c r="S137" s="133">
        <v>0</v>
      </c>
      <c r="T137" s="133">
        <v>0</v>
      </c>
      <c r="U137" s="133">
        <v>0</v>
      </c>
      <c r="V137" s="133">
        <v>0</v>
      </c>
      <c r="W137" s="133">
        <v>7.2029999999999997E-2</v>
      </c>
      <c r="X137" s="133">
        <v>0</v>
      </c>
      <c r="Y137" s="133">
        <v>6.4000000000000001E-2</v>
      </c>
      <c r="Z137" s="133">
        <v>0</v>
      </c>
      <c r="AA137" s="133">
        <v>0</v>
      </c>
      <c r="AB137" s="133">
        <v>0</v>
      </c>
      <c r="AC137" s="133">
        <v>0</v>
      </c>
      <c r="AD137" s="133">
        <v>0</v>
      </c>
      <c r="AE137" s="133">
        <v>0</v>
      </c>
      <c r="AF137" s="133">
        <v>0</v>
      </c>
      <c r="AG137" s="133">
        <v>3.2200300000000004</v>
      </c>
    </row>
    <row r="138" spans="1:33" x14ac:dyDescent="0.45">
      <c r="A138" s="134" t="s">
        <v>554</v>
      </c>
      <c r="B138" s="130"/>
      <c r="C138" s="133">
        <v>0</v>
      </c>
      <c r="D138" s="133">
        <v>0</v>
      </c>
      <c r="E138" s="133">
        <v>0</v>
      </c>
      <c r="F138" s="133">
        <v>0</v>
      </c>
      <c r="G138" s="133">
        <v>1.3</v>
      </c>
      <c r="H138" s="133">
        <v>0</v>
      </c>
      <c r="I138" s="133">
        <v>0</v>
      </c>
      <c r="J138" s="133">
        <v>0</v>
      </c>
      <c r="K138" s="133">
        <v>0</v>
      </c>
      <c r="L138" s="133">
        <v>0</v>
      </c>
      <c r="M138" s="133">
        <v>1.5</v>
      </c>
      <c r="N138" s="133">
        <v>0</v>
      </c>
      <c r="O138" s="133">
        <v>0</v>
      </c>
      <c r="P138" s="133">
        <v>0</v>
      </c>
      <c r="Q138" s="133">
        <v>0</v>
      </c>
      <c r="R138" s="133">
        <v>0</v>
      </c>
      <c r="S138" s="133">
        <v>27.3</v>
      </c>
      <c r="T138" s="133">
        <v>0</v>
      </c>
      <c r="U138" s="133">
        <v>0</v>
      </c>
      <c r="V138" s="133">
        <v>0</v>
      </c>
      <c r="W138" s="133">
        <v>0.25</v>
      </c>
      <c r="X138" s="133">
        <v>0</v>
      </c>
      <c r="Y138" s="133">
        <v>0</v>
      </c>
      <c r="Z138" s="133">
        <v>0</v>
      </c>
      <c r="AA138" s="133">
        <v>0</v>
      </c>
      <c r="AB138" s="133">
        <v>0</v>
      </c>
      <c r="AC138" s="133">
        <v>0</v>
      </c>
      <c r="AD138" s="133">
        <v>0</v>
      </c>
      <c r="AE138" s="133">
        <v>0</v>
      </c>
      <c r="AF138" s="133">
        <v>0</v>
      </c>
      <c r="AG138" s="133">
        <v>30.35</v>
      </c>
    </row>
    <row r="139" spans="1:33" x14ac:dyDescent="0.45">
      <c r="A139" s="126"/>
      <c r="B139" s="129" t="s">
        <v>553</v>
      </c>
      <c r="C139" s="129">
        <v>0</v>
      </c>
      <c r="D139" s="129">
        <v>0</v>
      </c>
      <c r="E139" s="129">
        <v>0</v>
      </c>
      <c r="F139" s="129">
        <v>0</v>
      </c>
      <c r="G139" s="129">
        <v>1.3</v>
      </c>
      <c r="H139" s="129">
        <v>0</v>
      </c>
      <c r="I139" s="129">
        <v>0</v>
      </c>
      <c r="J139" s="129">
        <v>0</v>
      </c>
      <c r="K139" s="129">
        <v>0</v>
      </c>
      <c r="L139" s="129">
        <v>0</v>
      </c>
      <c r="M139" s="129">
        <v>1.5</v>
      </c>
      <c r="N139" s="129">
        <v>0</v>
      </c>
      <c r="O139" s="129">
        <v>0</v>
      </c>
      <c r="P139" s="129">
        <v>0</v>
      </c>
      <c r="Q139" s="129">
        <v>0</v>
      </c>
      <c r="R139" s="129">
        <v>0</v>
      </c>
      <c r="S139" s="129">
        <v>27.3</v>
      </c>
      <c r="T139" s="129">
        <v>0</v>
      </c>
      <c r="U139" s="129">
        <v>0</v>
      </c>
      <c r="V139" s="129">
        <v>0</v>
      </c>
      <c r="W139" s="129">
        <v>0.25</v>
      </c>
      <c r="X139" s="129">
        <v>0</v>
      </c>
      <c r="Y139" s="129">
        <v>0</v>
      </c>
      <c r="Z139" s="129">
        <v>0</v>
      </c>
      <c r="AA139" s="129">
        <v>0</v>
      </c>
      <c r="AB139" s="129">
        <v>0</v>
      </c>
      <c r="AC139" s="129">
        <v>0</v>
      </c>
      <c r="AD139" s="129">
        <v>0</v>
      </c>
      <c r="AE139" s="129">
        <v>0</v>
      </c>
      <c r="AF139" s="129">
        <v>0</v>
      </c>
      <c r="AG139" s="129">
        <v>30.35</v>
      </c>
    </row>
    <row r="140" spans="1:33" x14ac:dyDescent="0.45">
      <c r="A140" s="134" t="s">
        <v>550</v>
      </c>
      <c r="B140" s="130"/>
      <c r="C140" s="133">
        <v>0</v>
      </c>
      <c r="D140" s="133">
        <v>0</v>
      </c>
      <c r="E140" s="133">
        <v>0</v>
      </c>
      <c r="F140" s="133">
        <v>9.370000000000001</v>
      </c>
      <c r="G140" s="133">
        <v>0</v>
      </c>
      <c r="H140" s="133">
        <v>0</v>
      </c>
      <c r="I140" s="133">
        <v>0</v>
      </c>
      <c r="J140" s="133">
        <v>0.89800000000000013</v>
      </c>
      <c r="K140" s="133">
        <v>0</v>
      </c>
      <c r="L140" s="133">
        <v>0</v>
      </c>
      <c r="M140" s="133">
        <v>20.100000000000001</v>
      </c>
      <c r="N140" s="133">
        <v>4.78</v>
      </c>
      <c r="O140" s="133">
        <v>0</v>
      </c>
      <c r="P140" s="133">
        <v>9.879999999999999</v>
      </c>
      <c r="Q140" s="133">
        <v>0.248</v>
      </c>
      <c r="R140" s="133">
        <v>0</v>
      </c>
      <c r="S140" s="133">
        <v>26.689999999999998</v>
      </c>
      <c r="T140" s="133">
        <v>0</v>
      </c>
      <c r="U140" s="133">
        <v>0</v>
      </c>
      <c r="V140" s="133">
        <v>0</v>
      </c>
      <c r="W140" s="133">
        <v>1.21516</v>
      </c>
      <c r="X140" s="133">
        <v>0</v>
      </c>
      <c r="Y140" s="133">
        <v>0.25700000000000001</v>
      </c>
      <c r="Z140" s="133">
        <v>0</v>
      </c>
      <c r="AA140" s="133">
        <v>0</v>
      </c>
      <c r="AB140" s="133">
        <v>0</v>
      </c>
      <c r="AC140" s="133">
        <v>0</v>
      </c>
      <c r="AD140" s="133">
        <v>0</v>
      </c>
      <c r="AE140" s="133">
        <v>0</v>
      </c>
      <c r="AF140" s="133">
        <v>11.120000000000001</v>
      </c>
      <c r="AG140" s="133">
        <v>84.558160000000001</v>
      </c>
    </row>
    <row r="141" spans="1:33" x14ac:dyDescent="0.45">
      <c r="B141" s="130" t="s">
        <v>552</v>
      </c>
      <c r="C141" s="133">
        <v>0</v>
      </c>
      <c r="D141" s="133">
        <v>0</v>
      </c>
      <c r="E141" s="133">
        <v>0</v>
      </c>
      <c r="F141" s="133">
        <v>1.58</v>
      </c>
      <c r="G141" s="133">
        <v>0</v>
      </c>
      <c r="H141" s="133">
        <v>0</v>
      </c>
      <c r="I141" s="133">
        <v>0</v>
      </c>
      <c r="J141" s="133">
        <v>0.56100000000000005</v>
      </c>
      <c r="K141" s="133">
        <v>0</v>
      </c>
      <c r="L141" s="133">
        <v>0</v>
      </c>
      <c r="M141" s="133">
        <v>3.46</v>
      </c>
      <c r="N141" s="133">
        <v>0</v>
      </c>
      <c r="O141" s="133">
        <v>0</v>
      </c>
      <c r="P141" s="133">
        <v>2.4900000000000002</v>
      </c>
      <c r="Q141" s="133">
        <v>0</v>
      </c>
      <c r="R141" s="133">
        <v>0</v>
      </c>
      <c r="S141" s="133">
        <v>4.29</v>
      </c>
      <c r="T141" s="133">
        <v>0</v>
      </c>
      <c r="U141" s="133">
        <v>0</v>
      </c>
      <c r="V141" s="133">
        <v>0</v>
      </c>
      <c r="W141" s="133">
        <v>0.22</v>
      </c>
      <c r="X141" s="133">
        <v>0</v>
      </c>
      <c r="Y141" s="133">
        <v>0</v>
      </c>
      <c r="Z141" s="133">
        <v>0</v>
      </c>
      <c r="AA141" s="133">
        <v>0</v>
      </c>
      <c r="AB141" s="133">
        <v>0</v>
      </c>
      <c r="AC141" s="133">
        <v>0</v>
      </c>
      <c r="AD141" s="133">
        <v>0</v>
      </c>
      <c r="AE141" s="133">
        <v>0</v>
      </c>
      <c r="AF141" s="133">
        <v>4.9000000000000004</v>
      </c>
      <c r="AG141" s="133">
        <v>17.500999999999998</v>
      </c>
    </row>
    <row r="142" spans="1:33" x14ac:dyDescent="0.45">
      <c r="B142" s="130" t="s">
        <v>551</v>
      </c>
      <c r="C142" s="133">
        <v>0</v>
      </c>
      <c r="D142" s="133">
        <v>0</v>
      </c>
      <c r="E142" s="133">
        <v>0</v>
      </c>
      <c r="F142" s="133">
        <v>7.79</v>
      </c>
      <c r="G142" s="133">
        <v>0</v>
      </c>
      <c r="H142" s="133">
        <v>0</v>
      </c>
      <c r="I142" s="133">
        <v>0</v>
      </c>
      <c r="J142" s="133">
        <v>0.30499999999999999</v>
      </c>
      <c r="K142" s="133">
        <v>0</v>
      </c>
      <c r="L142" s="133">
        <v>0</v>
      </c>
      <c r="M142" s="133">
        <v>16.64</v>
      </c>
      <c r="N142" s="133">
        <v>4.78</v>
      </c>
      <c r="O142" s="133">
        <v>0</v>
      </c>
      <c r="P142" s="133">
        <v>7.39</v>
      </c>
      <c r="Q142" s="133">
        <v>0.248</v>
      </c>
      <c r="R142" s="133">
        <v>0</v>
      </c>
      <c r="S142" s="133">
        <v>22.4</v>
      </c>
      <c r="T142" s="133">
        <v>0</v>
      </c>
      <c r="U142" s="133">
        <v>0</v>
      </c>
      <c r="V142" s="133">
        <v>0</v>
      </c>
      <c r="W142" s="133">
        <v>0.98699999999999999</v>
      </c>
      <c r="X142" s="133">
        <v>0</v>
      </c>
      <c r="Y142" s="133">
        <v>0</v>
      </c>
      <c r="Z142" s="133">
        <v>0</v>
      </c>
      <c r="AA142" s="133">
        <v>0</v>
      </c>
      <c r="AB142" s="133">
        <v>0</v>
      </c>
      <c r="AC142" s="133">
        <v>0</v>
      </c>
      <c r="AD142" s="133">
        <v>0</v>
      </c>
      <c r="AE142" s="133">
        <v>0</v>
      </c>
      <c r="AF142" s="133">
        <v>6.22</v>
      </c>
      <c r="AG142" s="133">
        <v>66.759999999999991</v>
      </c>
    </row>
    <row r="143" spans="1:33" x14ac:dyDescent="0.45">
      <c r="B143" s="130" t="s">
        <v>549</v>
      </c>
      <c r="C143" s="133">
        <v>0</v>
      </c>
      <c r="D143" s="133">
        <v>0</v>
      </c>
      <c r="E143" s="133">
        <v>0</v>
      </c>
      <c r="F143" s="133">
        <v>0</v>
      </c>
      <c r="G143" s="133">
        <v>0</v>
      </c>
      <c r="H143" s="133">
        <v>0</v>
      </c>
      <c r="I143" s="133">
        <v>0</v>
      </c>
      <c r="J143" s="133">
        <v>3.2000000000000001E-2</v>
      </c>
      <c r="K143" s="133">
        <v>0</v>
      </c>
      <c r="L143" s="133">
        <v>0</v>
      </c>
      <c r="M143" s="133">
        <v>0</v>
      </c>
      <c r="N143" s="133">
        <v>0</v>
      </c>
      <c r="O143" s="133">
        <v>0</v>
      </c>
      <c r="P143" s="133">
        <v>0</v>
      </c>
      <c r="Q143" s="133">
        <v>0</v>
      </c>
      <c r="R143" s="133">
        <v>0</v>
      </c>
      <c r="S143" s="133">
        <v>0</v>
      </c>
      <c r="T143" s="133">
        <v>0</v>
      </c>
      <c r="U143" s="133">
        <v>0</v>
      </c>
      <c r="V143" s="133">
        <v>0</v>
      </c>
      <c r="W143" s="133">
        <v>8.1600000000000006E-3</v>
      </c>
      <c r="X143" s="133">
        <v>0</v>
      </c>
      <c r="Y143" s="133">
        <v>0.25700000000000001</v>
      </c>
      <c r="Z143" s="133">
        <v>0</v>
      </c>
      <c r="AA143" s="133">
        <v>0</v>
      </c>
      <c r="AB143" s="133">
        <v>0</v>
      </c>
      <c r="AC143" s="133">
        <v>0</v>
      </c>
      <c r="AD143" s="133">
        <v>0</v>
      </c>
      <c r="AE143" s="133">
        <v>0</v>
      </c>
      <c r="AF143" s="133">
        <v>0</v>
      </c>
      <c r="AG143" s="133">
        <v>0.29716000000000004</v>
      </c>
    </row>
    <row r="144" spans="1:33" x14ac:dyDescent="0.45">
      <c r="A144" s="126" t="s">
        <v>548</v>
      </c>
      <c r="B144" s="129"/>
      <c r="C144" s="129">
        <v>0</v>
      </c>
      <c r="D144" s="129">
        <v>428.35599999999999</v>
      </c>
      <c r="E144" s="129">
        <v>0</v>
      </c>
      <c r="F144" s="129">
        <v>0</v>
      </c>
      <c r="G144" s="129">
        <v>2.3E-2</v>
      </c>
      <c r="H144" s="129">
        <v>21.6</v>
      </c>
      <c r="I144" s="129">
        <v>0</v>
      </c>
      <c r="J144" s="129">
        <v>0</v>
      </c>
      <c r="K144" s="129">
        <v>0</v>
      </c>
      <c r="L144" s="129">
        <v>0</v>
      </c>
      <c r="M144" s="129">
        <v>126.176</v>
      </c>
      <c r="N144" s="129">
        <v>0</v>
      </c>
      <c r="O144" s="129">
        <v>0</v>
      </c>
      <c r="P144" s="129">
        <v>84.9</v>
      </c>
      <c r="Q144" s="129">
        <v>12.69</v>
      </c>
      <c r="R144" s="129">
        <v>0</v>
      </c>
      <c r="S144" s="129">
        <v>0</v>
      </c>
      <c r="T144" s="129">
        <v>0</v>
      </c>
      <c r="U144" s="129">
        <v>0</v>
      </c>
      <c r="V144" s="129">
        <v>0</v>
      </c>
      <c r="W144" s="129">
        <v>21.870200000000001</v>
      </c>
      <c r="X144" s="129">
        <v>0</v>
      </c>
      <c r="Y144" s="129">
        <v>0</v>
      </c>
      <c r="Z144" s="129">
        <v>0</v>
      </c>
      <c r="AA144" s="129">
        <v>0</v>
      </c>
      <c r="AB144" s="129">
        <v>0</v>
      </c>
      <c r="AC144" s="129">
        <v>0</v>
      </c>
      <c r="AD144" s="129">
        <v>0</v>
      </c>
      <c r="AE144" s="129">
        <v>0</v>
      </c>
      <c r="AF144" s="129">
        <v>0</v>
      </c>
      <c r="AG144" s="129">
        <v>695.61520000000007</v>
      </c>
    </row>
    <row r="145" spans="1:33" x14ac:dyDescent="0.45">
      <c r="B145" s="130" t="s">
        <v>547</v>
      </c>
      <c r="C145" s="133">
        <v>0</v>
      </c>
      <c r="D145" s="133">
        <v>428.35599999999999</v>
      </c>
      <c r="E145" s="133">
        <v>0</v>
      </c>
      <c r="F145" s="133">
        <v>0</v>
      </c>
      <c r="G145" s="133">
        <v>2.3E-2</v>
      </c>
      <c r="H145" s="133">
        <v>21.6</v>
      </c>
      <c r="I145" s="133">
        <v>0</v>
      </c>
      <c r="J145" s="133">
        <v>0</v>
      </c>
      <c r="K145" s="133">
        <v>0</v>
      </c>
      <c r="L145" s="133">
        <v>0</v>
      </c>
      <c r="M145" s="133">
        <v>126.176</v>
      </c>
      <c r="N145" s="133">
        <v>0</v>
      </c>
      <c r="O145" s="133">
        <v>0</v>
      </c>
      <c r="P145" s="133">
        <v>84.9</v>
      </c>
      <c r="Q145" s="133">
        <v>12.69</v>
      </c>
      <c r="R145" s="133">
        <v>0</v>
      </c>
      <c r="S145" s="133">
        <v>0</v>
      </c>
      <c r="T145" s="133">
        <v>0</v>
      </c>
      <c r="U145" s="133">
        <v>0</v>
      </c>
      <c r="V145" s="133">
        <v>0</v>
      </c>
      <c r="W145" s="133">
        <v>21.870200000000001</v>
      </c>
      <c r="X145" s="133">
        <v>0</v>
      </c>
      <c r="Y145" s="133">
        <v>0</v>
      </c>
      <c r="Z145" s="133">
        <v>0</v>
      </c>
      <c r="AA145" s="133">
        <v>0</v>
      </c>
      <c r="AB145" s="133">
        <v>0</v>
      </c>
      <c r="AC145" s="133">
        <v>0</v>
      </c>
      <c r="AD145" s="133">
        <v>0</v>
      </c>
      <c r="AE145" s="133">
        <v>0</v>
      </c>
      <c r="AF145" s="133">
        <v>0</v>
      </c>
      <c r="AG145" s="133">
        <v>695.61520000000007</v>
      </c>
    </row>
    <row r="146" spans="1:33" x14ac:dyDescent="0.45">
      <c r="A146" s="126" t="s">
        <v>546</v>
      </c>
      <c r="B146" s="129"/>
      <c r="C146" s="129">
        <v>0</v>
      </c>
      <c r="D146" s="129">
        <v>0</v>
      </c>
      <c r="E146" s="129">
        <v>0</v>
      </c>
      <c r="F146" s="129">
        <v>0</v>
      </c>
      <c r="G146" s="129">
        <v>0</v>
      </c>
      <c r="H146" s="129">
        <v>0</v>
      </c>
      <c r="I146" s="129">
        <v>0</v>
      </c>
      <c r="J146" s="129">
        <v>0.09</v>
      </c>
      <c r="K146" s="129">
        <v>0</v>
      </c>
      <c r="L146" s="129">
        <v>0</v>
      </c>
      <c r="M146" s="129">
        <v>0</v>
      </c>
      <c r="N146" s="129">
        <v>0</v>
      </c>
      <c r="O146" s="129">
        <v>0</v>
      </c>
      <c r="P146" s="129">
        <v>0</v>
      </c>
      <c r="Q146" s="129">
        <v>0</v>
      </c>
      <c r="R146" s="129">
        <v>0</v>
      </c>
      <c r="S146" s="129">
        <v>0</v>
      </c>
      <c r="T146" s="129">
        <v>0</v>
      </c>
      <c r="U146" s="129">
        <v>0</v>
      </c>
      <c r="V146" s="129">
        <v>0</v>
      </c>
      <c r="W146" s="129">
        <v>0.38</v>
      </c>
      <c r="X146" s="129">
        <v>0</v>
      </c>
      <c r="Y146" s="129">
        <v>3.1</v>
      </c>
      <c r="Z146" s="129">
        <v>0</v>
      </c>
      <c r="AA146" s="129">
        <v>0</v>
      </c>
      <c r="AB146" s="129">
        <v>0</v>
      </c>
      <c r="AC146" s="129">
        <v>0</v>
      </c>
      <c r="AD146" s="129">
        <v>0</v>
      </c>
      <c r="AE146" s="129">
        <v>0</v>
      </c>
      <c r="AF146" s="129">
        <v>0</v>
      </c>
      <c r="AG146" s="129">
        <v>3.57</v>
      </c>
    </row>
    <row r="147" spans="1:33" x14ac:dyDescent="0.45">
      <c r="B147" s="130" t="s">
        <v>545</v>
      </c>
      <c r="C147" s="133">
        <v>0</v>
      </c>
      <c r="D147" s="133">
        <v>0</v>
      </c>
      <c r="E147" s="133">
        <v>0</v>
      </c>
      <c r="F147" s="133">
        <v>0</v>
      </c>
      <c r="G147" s="133">
        <v>0</v>
      </c>
      <c r="H147" s="133">
        <v>0</v>
      </c>
      <c r="I147" s="133">
        <v>0</v>
      </c>
      <c r="J147" s="133">
        <v>0.09</v>
      </c>
      <c r="K147" s="133">
        <v>0</v>
      </c>
      <c r="L147" s="133">
        <v>0</v>
      </c>
      <c r="M147" s="133">
        <v>0</v>
      </c>
      <c r="N147" s="133">
        <v>0</v>
      </c>
      <c r="O147" s="133">
        <v>0</v>
      </c>
      <c r="P147" s="133">
        <v>0</v>
      </c>
      <c r="Q147" s="133">
        <v>0</v>
      </c>
      <c r="R147" s="133">
        <v>0</v>
      </c>
      <c r="S147" s="133">
        <v>0</v>
      </c>
      <c r="T147" s="133">
        <v>0</v>
      </c>
      <c r="U147" s="133">
        <v>0</v>
      </c>
      <c r="V147" s="133">
        <v>0</v>
      </c>
      <c r="W147" s="133">
        <v>0.38</v>
      </c>
      <c r="X147" s="133">
        <v>0</v>
      </c>
      <c r="Y147" s="133">
        <v>3.1</v>
      </c>
      <c r="Z147" s="133">
        <v>0</v>
      </c>
      <c r="AA147" s="133">
        <v>0</v>
      </c>
      <c r="AB147" s="133">
        <v>0</v>
      </c>
      <c r="AC147" s="133">
        <v>0</v>
      </c>
      <c r="AD147" s="133">
        <v>0</v>
      </c>
      <c r="AE147" s="133">
        <v>0</v>
      </c>
      <c r="AF147" s="133">
        <v>0</v>
      </c>
      <c r="AG147" s="133">
        <v>3.57</v>
      </c>
    </row>
    <row r="148" spans="1:33" x14ac:dyDescent="0.45">
      <c r="A148" s="126" t="s">
        <v>543</v>
      </c>
      <c r="B148" s="129"/>
      <c r="C148" s="129">
        <v>0</v>
      </c>
      <c r="D148" s="129">
        <v>0</v>
      </c>
      <c r="E148" s="129">
        <v>0</v>
      </c>
      <c r="F148" s="129">
        <v>0</v>
      </c>
      <c r="G148" s="129">
        <v>2.7170000000000001</v>
      </c>
      <c r="H148" s="129">
        <v>0</v>
      </c>
      <c r="I148" s="129">
        <v>0</v>
      </c>
      <c r="J148" s="129">
        <v>2.7930600000000001</v>
      </c>
      <c r="K148" s="129">
        <v>0</v>
      </c>
      <c r="L148" s="129">
        <v>0</v>
      </c>
      <c r="M148" s="129">
        <v>0</v>
      </c>
      <c r="N148" s="129">
        <v>0</v>
      </c>
      <c r="O148" s="129">
        <v>0</v>
      </c>
      <c r="P148" s="129">
        <v>0</v>
      </c>
      <c r="Q148" s="129">
        <v>0</v>
      </c>
      <c r="R148" s="129">
        <v>0</v>
      </c>
      <c r="S148" s="129">
        <v>12.157999999999999</v>
      </c>
      <c r="T148" s="129">
        <v>0</v>
      </c>
      <c r="U148" s="129">
        <v>0</v>
      </c>
      <c r="V148" s="129">
        <v>58.997100000000003</v>
      </c>
      <c r="W148" s="129">
        <v>0.59699999999999998</v>
      </c>
      <c r="X148" s="129">
        <v>0</v>
      </c>
      <c r="Y148" s="129">
        <v>3.0110000000000001</v>
      </c>
      <c r="Z148" s="129">
        <v>0</v>
      </c>
      <c r="AA148" s="129">
        <v>0</v>
      </c>
      <c r="AB148" s="129">
        <v>0</v>
      </c>
      <c r="AC148" s="129">
        <v>0</v>
      </c>
      <c r="AD148" s="129">
        <v>0</v>
      </c>
      <c r="AE148" s="129">
        <v>0</v>
      </c>
      <c r="AF148" s="129">
        <v>0</v>
      </c>
      <c r="AG148" s="129">
        <v>80.273160000000004</v>
      </c>
    </row>
    <row r="149" spans="1:33" x14ac:dyDescent="0.45">
      <c r="B149" s="130" t="s">
        <v>544</v>
      </c>
      <c r="C149" s="133">
        <v>0</v>
      </c>
      <c r="D149" s="133">
        <v>0</v>
      </c>
      <c r="E149" s="133">
        <v>0</v>
      </c>
      <c r="F149" s="133">
        <v>0</v>
      </c>
      <c r="G149" s="133">
        <v>2.7170000000000001</v>
      </c>
      <c r="H149" s="133">
        <v>0</v>
      </c>
      <c r="I149" s="133">
        <v>0</v>
      </c>
      <c r="J149" s="133">
        <v>0</v>
      </c>
      <c r="K149" s="133">
        <v>0</v>
      </c>
      <c r="L149" s="133">
        <v>0</v>
      </c>
      <c r="M149" s="133">
        <v>0</v>
      </c>
      <c r="N149" s="133">
        <v>0</v>
      </c>
      <c r="O149" s="133">
        <v>0</v>
      </c>
      <c r="P149" s="133">
        <v>0</v>
      </c>
      <c r="Q149" s="133">
        <v>0</v>
      </c>
      <c r="R149" s="133">
        <v>0</v>
      </c>
      <c r="S149" s="133">
        <v>12.157999999999999</v>
      </c>
      <c r="T149" s="133">
        <v>0</v>
      </c>
      <c r="U149" s="133">
        <v>0</v>
      </c>
      <c r="V149" s="133">
        <v>0</v>
      </c>
      <c r="W149" s="133">
        <v>0.14899999999999999</v>
      </c>
      <c r="X149" s="133">
        <v>0</v>
      </c>
      <c r="Y149" s="133">
        <v>3.0110000000000001</v>
      </c>
      <c r="Z149" s="133">
        <v>0</v>
      </c>
      <c r="AA149" s="133">
        <v>0</v>
      </c>
      <c r="AB149" s="133">
        <v>0</v>
      </c>
      <c r="AC149" s="133">
        <v>0</v>
      </c>
      <c r="AD149" s="133">
        <v>0</v>
      </c>
      <c r="AE149" s="133">
        <v>0</v>
      </c>
      <c r="AF149" s="133">
        <v>0</v>
      </c>
      <c r="AG149" s="133">
        <v>18.035</v>
      </c>
    </row>
    <row r="150" spans="1:33" x14ac:dyDescent="0.45">
      <c r="A150" s="126"/>
      <c r="B150" s="129" t="s">
        <v>542</v>
      </c>
      <c r="C150" s="129">
        <v>0</v>
      </c>
      <c r="D150" s="129">
        <v>0</v>
      </c>
      <c r="E150" s="129">
        <v>0</v>
      </c>
      <c r="F150" s="129">
        <v>0</v>
      </c>
      <c r="G150" s="129">
        <v>0</v>
      </c>
      <c r="H150" s="129">
        <v>0</v>
      </c>
      <c r="I150" s="129">
        <v>0</v>
      </c>
      <c r="J150" s="129">
        <v>2.7930600000000001</v>
      </c>
      <c r="K150" s="129">
        <v>0</v>
      </c>
      <c r="L150" s="129">
        <v>0</v>
      </c>
      <c r="M150" s="129">
        <v>0</v>
      </c>
      <c r="N150" s="129">
        <v>0</v>
      </c>
      <c r="O150" s="129">
        <v>0</v>
      </c>
      <c r="P150" s="129">
        <v>0</v>
      </c>
      <c r="Q150" s="129">
        <v>0</v>
      </c>
      <c r="R150" s="129">
        <v>0</v>
      </c>
      <c r="S150" s="129">
        <v>0</v>
      </c>
      <c r="T150" s="129">
        <v>0</v>
      </c>
      <c r="U150" s="129">
        <v>0</v>
      </c>
      <c r="V150" s="129">
        <v>58.997100000000003</v>
      </c>
      <c r="W150" s="129">
        <v>0.44800000000000001</v>
      </c>
      <c r="X150" s="129">
        <v>0</v>
      </c>
      <c r="Y150" s="129">
        <v>0</v>
      </c>
      <c r="Z150" s="129">
        <v>0</v>
      </c>
      <c r="AA150" s="129">
        <v>0</v>
      </c>
      <c r="AB150" s="129">
        <v>0</v>
      </c>
      <c r="AC150" s="129">
        <v>0</v>
      </c>
      <c r="AD150" s="129">
        <v>0</v>
      </c>
      <c r="AE150" s="129">
        <v>0</v>
      </c>
      <c r="AF150" s="129">
        <v>0</v>
      </c>
      <c r="AG150" s="129">
        <v>62.238160000000001</v>
      </c>
    </row>
    <row r="151" spans="1:33" x14ac:dyDescent="0.45">
      <c r="A151" s="134" t="s">
        <v>538</v>
      </c>
      <c r="B151" s="130"/>
      <c r="C151" s="133">
        <v>0</v>
      </c>
      <c r="D151" s="133">
        <v>0</v>
      </c>
      <c r="E151" s="133">
        <v>0</v>
      </c>
      <c r="F151" s="133">
        <v>21.394600000000001</v>
      </c>
      <c r="G151" s="133">
        <v>0</v>
      </c>
      <c r="H151" s="133">
        <v>0</v>
      </c>
      <c r="I151" s="133">
        <v>0</v>
      </c>
      <c r="J151" s="133">
        <v>2.2389999999999999</v>
      </c>
      <c r="K151" s="133">
        <v>0</v>
      </c>
      <c r="L151" s="133">
        <v>0</v>
      </c>
      <c r="M151" s="133">
        <v>21.394600000000001</v>
      </c>
      <c r="N151" s="133">
        <v>0</v>
      </c>
      <c r="O151" s="133">
        <v>0</v>
      </c>
      <c r="P151" s="133">
        <v>11.36</v>
      </c>
      <c r="Q151" s="133">
        <v>0</v>
      </c>
      <c r="R151" s="133">
        <v>21.394600000000001</v>
      </c>
      <c r="S151" s="133">
        <v>32.464599999999997</v>
      </c>
      <c r="T151" s="133">
        <v>0</v>
      </c>
      <c r="U151" s="133">
        <v>0</v>
      </c>
      <c r="V151" s="133">
        <v>0</v>
      </c>
      <c r="W151" s="133">
        <v>4.5799800000000008</v>
      </c>
      <c r="X151" s="133">
        <v>0</v>
      </c>
      <c r="Y151" s="133">
        <v>0</v>
      </c>
      <c r="Z151" s="133">
        <v>0</v>
      </c>
      <c r="AA151" s="133">
        <v>0</v>
      </c>
      <c r="AB151" s="133">
        <v>0</v>
      </c>
      <c r="AC151" s="133">
        <v>0</v>
      </c>
      <c r="AD151" s="133">
        <v>0</v>
      </c>
      <c r="AE151" s="133">
        <v>0</v>
      </c>
      <c r="AF151" s="133">
        <v>21.494599999999998</v>
      </c>
      <c r="AG151" s="133">
        <v>136.32198</v>
      </c>
    </row>
    <row r="152" spans="1:33" x14ac:dyDescent="0.45">
      <c r="B152" s="130" t="s">
        <v>541</v>
      </c>
      <c r="C152" s="133">
        <v>0</v>
      </c>
      <c r="D152" s="133">
        <v>0</v>
      </c>
      <c r="E152" s="133">
        <v>0</v>
      </c>
      <c r="F152" s="133">
        <v>11.2326</v>
      </c>
      <c r="G152" s="133">
        <v>0</v>
      </c>
      <c r="H152" s="133">
        <v>0</v>
      </c>
      <c r="I152" s="133">
        <v>0</v>
      </c>
      <c r="J152" s="133">
        <v>0.56699999999999995</v>
      </c>
      <c r="K152" s="133">
        <v>0</v>
      </c>
      <c r="L152" s="133">
        <v>0</v>
      </c>
      <c r="M152" s="133">
        <v>11.2326</v>
      </c>
      <c r="N152" s="133">
        <v>0</v>
      </c>
      <c r="O152" s="133">
        <v>0</v>
      </c>
      <c r="P152" s="133">
        <v>6.7</v>
      </c>
      <c r="Q152" s="133">
        <v>0</v>
      </c>
      <c r="R152" s="133">
        <v>11.2326</v>
      </c>
      <c r="S152" s="133">
        <v>11.2326</v>
      </c>
      <c r="T152" s="133">
        <v>0</v>
      </c>
      <c r="U152" s="133">
        <v>0</v>
      </c>
      <c r="V152" s="133">
        <v>0</v>
      </c>
      <c r="W152" s="133">
        <v>2.0347599999999999</v>
      </c>
      <c r="X152" s="133">
        <v>0</v>
      </c>
      <c r="Y152" s="133">
        <v>0</v>
      </c>
      <c r="Z152" s="133">
        <v>0</v>
      </c>
      <c r="AA152" s="133">
        <v>0</v>
      </c>
      <c r="AB152" s="133">
        <v>0</v>
      </c>
      <c r="AC152" s="133">
        <v>0</v>
      </c>
      <c r="AD152" s="133">
        <v>0</v>
      </c>
      <c r="AE152" s="133">
        <v>0</v>
      </c>
      <c r="AF152" s="133">
        <v>11.332599999999999</v>
      </c>
      <c r="AG152" s="133">
        <v>65.564760000000007</v>
      </c>
    </row>
    <row r="153" spans="1:33" x14ac:dyDescent="0.45">
      <c r="B153" s="130" t="s">
        <v>540</v>
      </c>
      <c r="C153" s="133">
        <v>0</v>
      </c>
      <c r="D153" s="133">
        <v>0</v>
      </c>
      <c r="E153" s="133">
        <v>0</v>
      </c>
      <c r="F153" s="133">
        <v>0</v>
      </c>
      <c r="G153" s="133">
        <v>0</v>
      </c>
      <c r="H153" s="133">
        <v>0</v>
      </c>
      <c r="I153" s="133">
        <v>0</v>
      </c>
      <c r="J153" s="133">
        <v>0.121</v>
      </c>
      <c r="K153" s="133">
        <v>0</v>
      </c>
      <c r="L153" s="133">
        <v>0</v>
      </c>
      <c r="M153" s="133">
        <v>0</v>
      </c>
      <c r="N153" s="133">
        <v>0</v>
      </c>
      <c r="O153" s="133">
        <v>0</v>
      </c>
      <c r="P153" s="133">
        <v>0</v>
      </c>
      <c r="Q153" s="133">
        <v>0</v>
      </c>
      <c r="R153" s="133">
        <v>0</v>
      </c>
      <c r="S153" s="133">
        <v>8.3699999999999992</v>
      </c>
      <c r="T153" s="133">
        <v>0</v>
      </c>
      <c r="U153" s="133">
        <v>0</v>
      </c>
      <c r="V153" s="133">
        <v>0</v>
      </c>
      <c r="W153" s="133">
        <v>0.18</v>
      </c>
      <c r="X153" s="133">
        <v>0</v>
      </c>
      <c r="Y153" s="133">
        <v>0</v>
      </c>
      <c r="Z153" s="133">
        <v>0</v>
      </c>
      <c r="AA153" s="133">
        <v>0</v>
      </c>
      <c r="AB153" s="133">
        <v>0</v>
      </c>
      <c r="AC153" s="133">
        <v>0</v>
      </c>
      <c r="AD153" s="133">
        <v>0</v>
      </c>
      <c r="AE153" s="133">
        <v>0</v>
      </c>
      <c r="AF153" s="133">
        <v>0</v>
      </c>
      <c r="AG153" s="133">
        <v>8.6709999999999994</v>
      </c>
    </row>
    <row r="154" spans="1:33" x14ac:dyDescent="0.45">
      <c r="A154" s="126"/>
      <c r="B154" s="129" t="s">
        <v>539</v>
      </c>
      <c r="C154" s="129">
        <v>0</v>
      </c>
      <c r="D154" s="129">
        <v>0</v>
      </c>
      <c r="E154" s="129">
        <v>0</v>
      </c>
      <c r="F154" s="129">
        <v>0</v>
      </c>
      <c r="G154" s="129">
        <v>0</v>
      </c>
      <c r="H154" s="129">
        <v>0</v>
      </c>
      <c r="I154" s="129">
        <v>0</v>
      </c>
      <c r="J154" s="129">
        <v>5.0999999999999997E-2</v>
      </c>
      <c r="K154" s="129">
        <v>0</v>
      </c>
      <c r="L154" s="129">
        <v>0</v>
      </c>
      <c r="M154" s="129">
        <v>0</v>
      </c>
      <c r="N154" s="129">
        <v>0</v>
      </c>
      <c r="O154" s="129">
        <v>0</v>
      </c>
      <c r="P154" s="129">
        <v>0</v>
      </c>
      <c r="Q154" s="129">
        <v>0</v>
      </c>
      <c r="R154" s="129">
        <v>0</v>
      </c>
      <c r="S154" s="129">
        <v>2.7</v>
      </c>
      <c r="T154" s="129">
        <v>0</v>
      </c>
      <c r="U154" s="129">
        <v>0</v>
      </c>
      <c r="V154" s="129">
        <v>0</v>
      </c>
      <c r="W154" s="129">
        <v>5.0999999999999997E-2</v>
      </c>
      <c r="X154" s="129">
        <v>0</v>
      </c>
      <c r="Y154" s="129">
        <v>0</v>
      </c>
      <c r="Z154" s="129">
        <v>0</v>
      </c>
      <c r="AA154" s="129">
        <v>0</v>
      </c>
      <c r="AB154" s="129">
        <v>0</v>
      </c>
      <c r="AC154" s="129">
        <v>0</v>
      </c>
      <c r="AD154" s="129">
        <v>0</v>
      </c>
      <c r="AE154" s="129">
        <v>0</v>
      </c>
      <c r="AF154" s="129">
        <v>0</v>
      </c>
      <c r="AG154" s="129">
        <v>2.8020000000000005</v>
      </c>
    </row>
    <row r="155" spans="1:33" x14ac:dyDescent="0.45">
      <c r="B155" s="130" t="s">
        <v>537</v>
      </c>
      <c r="C155" s="133">
        <v>0</v>
      </c>
      <c r="D155" s="133">
        <v>0</v>
      </c>
      <c r="E155" s="133">
        <v>0</v>
      </c>
      <c r="F155" s="133">
        <v>10.162000000000001</v>
      </c>
      <c r="G155" s="133">
        <v>0</v>
      </c>
      <c r="H155" s="133">
        <v>0</v>
      </c>
      <c r="I155" s="133">
        <v>0</v>
      </c>
      <c r="J155" s="133">
        <v>1.5</v>
      </c>
      <c r="K155" s="133">
        <v>0</v>
      </c>
      <c r="L155" s="133">
        <v>0</v>
      </c>
      <c r="M155" s="133">
        <v>10.162000000000001</v>
      </c>
      <c r="N155" s="133">
        <v>0</v>
      </c>
      <c r="O155" s="133">
        <v>0</v>
      </c>
      <c r="P155" s="133">
        <v>4.66</v>
      </c>
      <c r="Q155" s="133">
        <v>0</v>
      </c>
      <c r="R155" s="133">
        <v>10.162000000000001</v>
      </c>
      <c r="S155" s="133">
        <v>10.162000000000001</v>
      </c>
      <c r="T155" s="133">
        <v>0</v>
      </c>
      <c r="U155" s="133">
        <v>0</v>
      </c>
      <c r="V155" s="133">
        <v>0</v>
      </c>
      <c r="W155" s="133">
        <v>2.3142200000000002</v>
      </c>
      <c r="X155" s="133">
        <v>0</v>
      </c>
      <c r="Y155" s="133">
        <v>0</v>
      </c>
      <c r="Z155" s="133">
        <v>0</v>
      </c>
      <c r="AA155" s="133">
        <v>0</v>
      </c>
      <c r="AB155" s="133">
        <v>0</v>
      </c>
      <c r="AC155" s="133">
        <v>0</v>
      </c>
      <c r="AD155" s="133">
        <v>0</v>
      </c>
      <c r="AE155" s="133">
        <v>0</v>
      </c>
      <c r="AF155" s="133">
        <v>10.162000000000001</v>
      </c>
      <c r="AG155" s="133">
        <v>59.284219999999998</v>
      </c>
    </row>
    <row r="156" spans="1:33" x14ac:dyDescent="0.45">
      <c r="A156" s="126" t="s">
        <v>536</v>
      </c>
      <c r="B156" s="129"/>
      <c r="C156" s="129">
        <v>0</v>
      </c>
      <c r="D156" s="129">
        <v>0</v>
      </c>
      <c r="E156" s="129">
        <v>0</v>
      </c>
      <c r="F156" s="129">
        <v>0</v>
      </c>
      <c r="G156" s="129">
        <v>0</v>
      </c>
      <c r="H156" s="129">
        <v>0</v>
      </c>
      <c r="I156" s="129">
        <v>0</v>
      </c>
      <c r="J156" s="129">
        <v>0</v>
      </c>
      <c r="K156" s="129">
        <v>0</v>
      </c>
      <c r="L156" s="129">
        <v>0</v>
      </c>
      <c r="M156" s="129">
        <v>0</v>
      </c>
      <c r="N156" s="129">
        <v>0</v>
      </c>
      <c r="O156" s="129">
        <v>0</v>
      </c>
      <c r="P156" s="129">
        <v>0</v>
      </c>
      <c r="Q156" s="129">
        <v>0</v>
      </c>
      <c r="R156" s="129">
        <v>0</v>
      </c>
      <c r="S156" s="129">
        <v>0</v>
      </c>
      <c r="T156" s="129">
        <v>0</v>
      </c>
      <c r="U156" s="129">
        <v>0</v>
      </c>
      <c r="V156" s="129">
        <v>0</v>
      </c>
      <c r="W156" s="129">
        <v>0</v>
      </c>
      <c r="X156" s="129">
        <v>0</v>
      </c>
      <c r="Y156" s="129">
        <v>0</v>
      </c>
      <c r="Z156" s="129">
        <v>0</v>
      </c>
      <c r="AA156" s="129">
        <v>0</v>
      </c>
      <c r="AB156" s="129">
        <v>0</v>
      </c>
      <c r="AC156" s="129">
        <v>0</v>
      </c>
      <c r="AD156" s="129">
        <v>0</v>
      </c>
      <c r="AE156" s="129">
        <v>0</v>
      </c>
      <c r="AF156" s="129">
        <v>0</v>
      </c>
      <c r="AG156" s="129">
        <v>0</v>
      </c>
    </row>
    <row r="157" spans="1:33" x14ac:dyDescent="0.45">
      <c r="B157" s="130" t="s">
        <v>74</v>
      </c>
      <c r="C157" s="133">
        <v>0</v>
      </c>
      <c r="D157" s="133">
        <v>0</v>
      </c>
      <c r="E157" s="133">
        <v>0</v>
      </c>
      <c r="F157" s="133">
        <v>0</v>
      </c>
      <c r="G157" s="133">
        <v>0</v>
      </c>
      <c r="H157" s="133">
        <v>0</v>
      </c>
      <c r="I157" s="133">
        <v>0</v>
      </c>
      <c r="J157" s="133">
        <v>0</v>
      </c>
      <c r="K157" s="133">
        <v>0</v>
      </c>
      <c r="L157" s="133">
        <v>0</v>
      </c>
      <c r="M157" s="133">
        <v>0</v>
      </c>
      <c r="N157" s="133">
        <v>0</v>
      </c>
      <c r="O157" s="133">
        <v>0</v>
      </c>
      <c r="P157" s="133">
        <v>0</v>
      </c>
      <c r="Q157" s="133">
        <v>0</v>
      </c>
      <c r="R157" s="133">
        <v>0</v>
      </c>
      <c r="S157" s="133">
        <v>0</v>
      </c>
      <c r="T157" s="133">
        <v>0</v>
      </c>
      <c r="U157" s="133">
        <v>0</v>
      </c>
      <c r="V157" s="133">
        <v>0</v>
      </c>
      <c r="W157" s="133">
        <v>0</v>
      </c>
      <c r="X157" s="133">
        <v>0</v>
      </c>
      <c r="Y157" s="133">
        <v>0</v>
      </c>
      <c r="Z157" s="133">
        <v>0</v>
      </c>
      <c r="AA157" s="133">
        <v>0</v>
      </c>
      <c r="AB157" s="133">
        <v>0</v>
      </c>
      <c r="AC157" s="133">
        <v>0</v>
      </c>
      <c r="AD157" s="133">
        <v>0</v>
      </c>
      <c r="AE157" s="133">
        <v>0</v>
      </c>
      <c r="AF157" s="133">
        <v>0</v>
      </c>
      <c r="AG157" s="133">
        <v>0</v>
      </c>
    </row>
    <row r="158" spans="1:33" x14ac:dyDescent="0.45">
      <c r="A158" s="134" t="s">
        <v>535</v>
      </c>
      <c r="B158" s="130"/>
      <c r="C158" s="133">
        <v>0</v>
      </c>
      <c r="D158" s="133">
        <v>0</v>
      </c>
      <c r="E158" s="133">
        <v>0</v>
      </c>
      <c r="F158" s="133">
        <v>0</v>
      </c>
      <c r="G158" s="133">
        <v>0</v>
      </c>
      <c r="H158" s="133">
        <v>0</v>
      </c>
      <c r="I158" s="133">
        <v>0</v>
      </c>
      <c r="J158" s="133">
        <v>0.4</v>
      </c>
      <c r="K158" s="133">
        <v>0</v>
      </c>
      <c r="L158" s="133">
        <v>0</v>
      </c>
      <c r="M158" s="133">
        <v>39</v>
      </c>
      <c r="N158" s="133">
        <v>0</v>
      </c>
      <c r="O158" s="133">
        <v>0</v>
      </c>
      <c r="P158" s="133">
        <v>5.9</v>
      </c>
      <c r="Q158" s="133">
        <v>0</v>
      </c>
      <c r="R158" s="133">
        <v>0</v>
      </c>
      <c r="S158" s="133">
        <v>2.6</v>
      </c>
      <c r="T158" s="133">
        <v>0</v>
      </c>
      <c r="U158" s="133">
        <v>0</v>
      </c>
      <c r="V158" s="133">
        <v>0</v>
      </c>
      <c r="W158" s="133">
        <v>0.86299999999999999</v>
      </c>
      <c r="X158" s="133">
        <v>0</v>
      </c>
      <c r="Y158" s="133">
        <v>0</v>
      </c>
      <c r="Z158" s="133">
        <v>0</v>
      </c>
      <c r="AA158" s="133">
        <v>0</v>
      </c>
      <c r="AB158" s="133">
        <v>0</v>
      </c>
      <c r="AC158" s="133">
        <v>0</v>
      </c>
      <c r="AD158" s="133">
        <v>0</v>
      </c>
      <c r="AE158" s="133">
        <v>0</v>
      </c>
      <c r="AF158" s="133">
        <v>0</v>
      </c>
      <c r="AG158" s="133">
        <v>48.762999999999998</v>
      </c>
    </row>
    <row r="159" spans="1:33" x14ac:dyDescent="0.45">
      <c r="B159" s="130" t="s">
        <v>534</v>
      </c>
      <c r="C159" s="133">
        <v>0</v>
      </c>
      <c r="D159" s="133">
        <v>0</v>
      </c>
      <c r="E159" s="133">
        <v>0</v>
      </c>
      <c r="F159" s="133">
        <v>0</v>
      </c>
      <c r="G159" s="133">
        <v>0</v>
      </c>
      <c r="H159" s="133">
        <v>0</v>
      </c>
      <c r="I159" s="133">
        <v>0</v>
      </c>
      <c r="J159" s="133">
        <v>0.4</v>
      </c>
      <c r="K159" s="133">
        <v>0</v>
      </c>
      <c r="L159" s="133">
        <v>0</v>
      </c>
      <c r="M159" s="133">
        <v>39</v>
      </c>
      <c r="N159" s="133">
        <v>0</v>
      </c>
      <c r="O159" s="133">
        <v>0</v>
      </c>
      <c r="P159" s="133">
        <v>5.9</v>
      </c>
      <c r="Q159" s="133">
        <v>0</v>
      </c>
      <c r="R159" s="133">
        <v>0</v>
      </c>
      <c r="S159" s="133">
        <v>2.6</v>
      </c>
      <c r="T159" s="133">
        <v>0</v>
      </c>
      <c r="U159" s="133">
        <v>0</v>
      </c>
      <c r="V159" s="133">
        <v>0</v>
      </c>
      <c r="W159" s="133">
        <v>0.86299999999999999</v>
      </c>
      <c r="X159" s="133">
        <v>0</v>
      </c>
      <c r="Y159" s="133">
        <v>0</v>
      </c>
      <c r="Z159" s="133">
        <v>0</v>
      </c>
      <c r="AA159" s="133">
        <v>0</v>
      </c>
      <c r="AB159" s="133">
        <v>0</v>
      </c>
      <c r="AC159" s="133">
        <v>0</v>
      </c>
      <c r="AD159" s="133">
        <v>0</v>
      </c>
      <c r="AE159" s="133">
        <v>0</v>
      </c>
      <c r="AF159" s="133">
        <v>0</v>
      </c>
      <c r="AG159" s="133">
        <v>48.762999999999998</v>
      </c>
    </row>
    <row r="160" spans="1:33" x14ac:dyDescent="0.45">
      <c r="A160" s="134" t="s">
        <v>533</v>
      </c>
      <c r="B160" s="130"/>
      <c r="C160" s="133">
        <v>0</v>
      </c>
      <c r="D160" s="133">
        <v>0</v>
      </c>
      <c r="E160" s="133">
        <v>0</v>
      </c>
      <c r="F160" s="133">
        <v>37.645000000000003</v>
      </c>
      <c r="G160" s="133">
        <v>0</v>
      </c>
      <c r="H160" s="133">
        <v>3.8</v>
      </c>
      <c r="I160" s="133">
        <v>9.8000000000000007</v>
      </c>
      <c r="J160" s="133">
        <v>0</v>
      </c>
      <c r="K160" s="133">
        <v>1.9</v>
      </c>
      <c r="L160" s="133">
        <v>0</v>
      </c>
      <c r="M160" s="133">
        <v>15.9488</v>
      </c>
      <c r="N160" s="133">
        <v>0</v>
      </c>
      <c r="O160" s="133">
        <v>0</v>
      </c>
      <c r="P160" s="133">
        <v>36</v>
      </c>
      <c r="Q160" s="133">
        <v>37.89</v>
      </c>
      <c r="R160" s="133">
        <v>4.0673899999999996</v>
      </c>
      <c r="S160" s="133">
        <v>41.933199999999999</v>
      </c>
      <c r="T160" s="133">
        <v>0</v>
      </c>
      <c r="U160" s="133">
        <v>0</v>
      </c>
      <c r="V160" s="133">
        <v>21.701799999999999</v>
      </c>
      <c r="W160" s="133">
        <v>6.2066999999999997</v>
      </c>
      <c r="X160" s="133">
        <v>0</v>
      </c>
      <c r="Y160" s="133">
        <v>4.3</v>
      </c>
      <c r="Z160" s="133">
        <v>0</v>
      </c>
      <c r="AA160" s="133">
        <v>0</v>
      </c>
      <c r="AB160" s="133">
        <v>0</v>
      </c>
      <c r="AC160" s="133">
        <v>0</v>
      </c>
      <c r="AD160" s="133">
        <v>0</v>
      </c>
      <c r="AE160" s="133">
        <v>0</v>
      </c>
      <c r="AF160" s="133">
        <v>0</v>
      </c>
      <c r="AG160" s="133">
        <v>221.19289000000003</v>
      </c>
    </row>
    <row r="161" spans="1:33" x14ac:dyDescent="0.45">
      <c r="B161" s="130" t="s">
        <v>532</v>
      </c>
      <c r="C161" s="133">
        <v>0</v>
      </c>
      <c r="D161" s="133">
        <v>0</v>
      </c>
      <c r="E161" s="133">
        <v>0</v>
      </c>
      <c r="F161" s="133">
        <v>37.645000000000003</v>
      </c>
      <c r="G161" s="133">
        <v>0</v>
      </c>
      <c r="H161" s="133">
        <v>3.8</v>
      </c>
      <c r="I161" s="133">
        <v>9.8000000000000007</v>
      </c>
      <c r="J161" s="133">
        <v>0</v>
      </c>
      <c r="K161" s="133">
        <v>1.9</v>
      </c>
      <c r="L161" s="133">
        <v>0</v>
      </c>
      <c r="M161" s="133">
        <v>15.9488</v>
      </c>
      <c r="N161" s="133">
        <v>0</v>
      </c>
      <c r="O161" s="133">
        <v>0</v>
      </c>
      <c r="P161" s="133">
        <v>36</v>
      </c>
      <c r="Q161" s="133">
        <v>37.89</v>
      </c>
      <c r="R161" s="133">
        <v>4.0673899999999996</v>
      </c>
      <c r="S161" s="133">
        <v>41.933199999999999</v>
      </c>
      <c r="T161" s="133">
        <v>0</v>
      </c>
      <c r="U161" s="133">
        <v>0</v>
      </c>
      <c r="V161" s="133">
        <v>21.701799999999999</v>
      </c>
      <c r="W161" s="133">
        <v>6.2066999999999997</v>
      </c>
      <c r="X161" s="133">
        <v>0</v>
      </c>
      <c r="Y161" s="133">
        <v>4.3</v>
      </c>
      <c r="Z161" s="133">
        <v>0</v>
      </c>
      <c r="AA161" s="133">
        <v>0</v>
      </c>
      <c r="AB161" s="133">
        <v>0</v>
      </c>
      <c r="AC161" s="133">
        <v>0</v>
      </c>
      <c r="AD161" s="133">
        <v>0</v>
      </c>
      <c r="AE161" s="133">
        <v>0</v>
      </c>
      <c r="AF161" s="133">
        <v>0</v>
      </c>
      <c r="AG161" s="133">
        <v>221.19289000000003</v>
      </c>
    </row>
    <row r="162" spans="1:33" x14ac:dyDescent="0.45">
      <c r="A162" s="134" t="s">
        <v>530</v>
      </c>
      <c r="B162" s="130"/>
      <c r="C162" s="133">
        <v>0</v>
      </c>
      <c r="D162" s="133">
        <v>113.053</v>
      </c>
      <c r="E162" s="133">
        <v>0</v>
      </c>
      <c r="F162" s="133">
        <v>0</v>
      </c>
      <c r="G162" s="133">
        <v>0.428954</v>
      </c>
      <c r="H162" s="133">
        <v>0</v>
      </c>
      <c r="I162" s="133">
        <v>0</v>
      </c>
      <c r="J162" s="133">
        <v>0</v>
      </c>
      <c r="K162" s="133">
        <v>0</v>
      </c>
      <c r="L162" s="133">
        <v>0</v>
      </c>
      <c r="M162" s="133">
        <v>0</v>
      </c>
      <c r="N162" s="133">
        <v>0</v>
      </c>
      <c r="O162" s="133">
        <v>0</v>
      </c>
      <c r="P162" s="133">
        <v>14.5</v>
      </c>
      <c r="Q162" s="133">
        <v>1.6</v>
      </c>
      <c r="R162" s="133">
        <v>0</v>
      </c>
      <c r="S162" s="133">
        <v>109.7</v>
      </c>
      <c r="T162" s="133">
        <v>0</v>
      </c>
      <c r="U162" s="133">
        <v>0</v>
      </c>
      <c r="V162" s="133">
        <v>0</v>
      </c>
      <c r="W162" s="133">
        <v>8.01</v>
      </c>
      <c r="X162" s="133">
        <v>0</v>
      </c>
      <c r="Y162" s="133">
        <v>0</v>
      </c>
      <c r="Z162" s="133">
        <v>0</v>
      </c>
      <c r="AA162" s="133">
        <v>0</v>
      </c>
      <c r="AB162" s="133">
        <v>0</v>
      </c>
      <c r="AC162" s="133">
        <v>0</v>
      </c>
      <c r="AD162" s="133">
        <v>0</v>
      </c>
      <c r="AE162" s="133">
        <v>0</v>
      </c>
      <c r="AF162" s="133">
        <v>0</v>
      </c>
      <c r="AG162" s="133">
        <v>247.291954</v>
      </c>
    </row>
    <row r="163" spans="1:33" x14ac:dyDescent="0.45">
      <c r="B163" s="130" t="s">
        <v>531</v>
      </c>
      <c r="C163" s="133">
        <v>0</v>
      </c>
      <c r="D163" s="133">
        <v>113.053</v>
      </c>
      <c r="E163" s="133">
        <v>0</v>
      </c>
      <c r="F163" s="133">
        <v>0</v>
      </c>
      <c r="G163" s="133">
        <v>0.108954</v>
      </c>
      <c r="H163" s="133">
        <v>0</v>
      </c>
      <c r="I163" s="133">
        <v>0</v>
      </c>
      <c r="J163" s="133">
        <v>0</v>
      </c>
      <c r="K163" s="133">
        <v>0</v>
      </c>
      <c r="L163" s="133">
        <v>0</v>
      </c>
      <c r="M163" s="133">
        <v>0</v>
      </c>
      <c r="N163" s="133">
        <v>0</v>
      </c>
      <c r="O163" s="133">
        <v>0</v>
      </c>
      <c r="P163" s="133">
        <v>14.5</v>
      </c>
      <c r="Q163" s="133">
        <v>1.6</v>
      </c>
      <c r="R163" s="133">
        <v>0</v>
      </c>
      <c r="S163" s="133">
        <v>86</v>
      </c>
      <c r="T163" s="133">
        <v>0</v>
      </c>
      <c r="U163" s="133">
        <v>0</v>
      </c>
      <c r="V163" s="133">
        <v>0</v>
      </c>
      <c r="W163" s="133">
        <v>7.38</v>
      </c>
      <c r="X163" s="133">
        <v>0</v>
      </c>
      <c r="Y163" s="133">
        <v>0</v>
      </c>
      <c r="Z163" s="133">
        <v>0</v>
      </c>
      <c r="AA163" s="133">
        <v>0</v>
      </c>
      <c r="AB163" s="133">
        <v>0</v>
      </c>
      <c r="AC163" s="133">
        <v>0</v>
      </c>
      <c r="AD163" s="133">
        <v>0</v>
      </c>
      <c r="AE163" s="133">
        <v>0</v>
      </c>
      <c r="AF163" s="133">
        <v>0</v>
      </c>
      <c r="AG163" s="133">
        <v>222.641954</v>
      </c>
    </row>
    <row r="164" spans="1:33" x14ac:dyDescent="0.45">
      <c r="A164" s="126"/>
      <c r="B164" s="129" t="s">
        <v>529</v>
      </c>
      <c r="C164" s="129">
        <v>0</v>
      </c>
      <c r="D164" s="129">
        <v>0</v>
      </c>
      <c r="E164" s="129">
        <v>0</v>
      </c>
      <c r="F164" s="129">
        <v>0</v>
      </c>
      <c r="G164" s="129">
        <v>0.32</v>
      </c>
      <c r="H164" s="129">
        <v>0</v>
      </c>
      <c r="I164" s="129">
        <v>0</v>
      </c>
      <c r="J164" s="129">
        <v>0</v>
      </c>
      <c r="K164" s="129">
        <v>0</v>
      </c>
      <c r="L164" s="129">
        <v>0</v>
      </c>
      <c r="M164" s="129">
        <v>0</v>
      </c>
      <c r="N164" s="129">
        <v>0</v>
      </c>
      <c r="O164" s="129">
        <v>0</v>
      </c>
      <c r="P164" s="129">
        <v>0</v>
      </c>
      <c r="Q164" s="129">
        <v>0</v>
      </c>
      <c r="R164" s="129">
        <v>0</v>
      </c>
      <c r="S164" s="129">
        <v>23.7</v>
      </c>
      <c r="T164" s="129">
        <v>0</v>
      </c>
      <c r="U164" s="129">
        <v>0</v>
      </c>
      <c r="V164" s="129">
        <v>0</v>
      </c>
      <c r="W164" s="129">
        <v>0.63</v>
      </c>
      <c r="X164" s="129">
        <v>0</v>
      </c>
      <c r="Y164" s="129">
        <v>0</v>
      </c>
      <c r="Z164" s="129">
        <v>0</v>
      </c>
      <c r="AA164" s="129">
        <v>0</v>
      </c>
      <c r="AB164" s="129">
        <v>0</v>
      </c>
      <c r="AC164" s="129">
        <v>0</v>
      </c>
      <c r="AD164" s="129">
        <v>0</v>
      </c>
      <c r="AE164" s="129">
        <v>0</v>
      </c>
      <c r="AF164" s="129">
        <v>0</v>
      </c>
      <c r="AG164" s="129">
        <v>24.65</v>
      </c>
    </row>
    <row r="165" spans="1:33" x14ac:dyDescent="0.45">
      <c r="A165" s="134" t="s">
        <v>528</v>
      </c>
      <c r="B165" s="130"/>
      <c r="C165" s="133">
        <v>0</v>
      </c>
      <c r="D165" s="133">
        <v>0</v>
      </c>
      <c r="E165" s="133">
        <v>0</v>
      </c>
      <c r="F165" s="133">
        <v>0</v>
      </c>
      <c r="G165" s="133">
        <v>10.548999999999999</v>
      </c>
      <c r="H165" s="133">
        <v>0</v>
      </c>
      <c r="I165" s="133">
        <v>0</v>
      </c>
      <c r="J165" s="133">
        <v>0</v>
      </c>
      <c r="K165" s="133">
        <v>0</v>
      </c>
      <c r="L165" s="133">
        <v>0</v>
      </c>
      <c r="M165" s="133">
        <v>0</v>
      </c>
      <c r="N165" s="133">
        <v>1.4300000000000001E-4</v>
      </c>
      <c r="O165" s="133">
        <v>0</v>
      </c>
      <c r="P165" s="133">
        <v>0</v>
      </c>
      <c r="Q165" s="133">
        <v>38.523000000000003</v>
      </c>
      <c r="R165" s="133">
        <v>0</v>
      </c>
      <c r="S165" s="133">
        <v>0</v>
      </c>
      <c r="T165" s="133">
        <v>0</v>
      </c>
      <c r="U165" s="133">
        <v>0</v>
      </c>
      <c r="V165" s="133">
        <v>0</v>
      </c>
      <c r="W165" s="133">
        <v>0.36528100000000002</v>
      </c>
      <c r="X165" s="133">
        <v>0</v>
      </c>
      <c r="Y165" s="133">
        <v>0</v>
      </c>
      <c r="Z165" s="133">
        <v>0</v>
      </c>
      <c r="AA165" s="133">
        <v>0</v>
      </c>
      <c r="AB165" s="133">
        <v>0</v>
      </c>
      <c r="AC165" s="133">
        <v>0</v>
      </c>
      <c r="AD165" s="133">
        <v>0</v>
      </c>
      <c r="AE165" s="133">
        <v>0</v>
      </c>
      <c r="AF165" s="133">
        <v>0</v>
      </c>
      <c r="AG165" s="133">
        <v>49.437424</v>
      </c>
    </row>
    <row r="166" spans="1:33" x14ac:dyDescent="0.45">
      <c r="B166" s="130" t="s">
        <v>527</v>
      </c>
      <c r="C166" s="133">
        <v>0</v>
      </c>
      <c r="D166" s="133">
        <v>0</v>
      </c>
      <c r="E166" s="133">
        <v>0</v>
      </c>
      <c r="F166" s="133">
        <v>0</v>
      </c>
      <c r="G166" s="133">
        <v>10.548999999999999</v>
      </c>
      <c r="H166" s="133">
        <v>0</v>
      </c>
      <c r="I166" s="133">
        <v>0</v>
      </c>
      <c r="J166" s="133">
        <v>0</v>
      </c>
      <c r="K166" s="133">
        <v>0</v>
      </c>
      <c r="L166" s="133">
        <v>0</v>
      </c>
      <c r="M166" s="133">
        <v>0</v>
      </c>
      <c r="N166" s="133">
        <v>1.4300000000000001E-4</v>
      </c>
      <c r="O166" s="133">
        <v>0</v>
      </c>
      <c r="P166" s="133">
        <v>0</v>
      </c>
      <c r="Q166" s="133">
        <v>38.523000000000003</v>
      </c>
      <c r="R166" s="133">
        <v>0</v>
      </c>
      <c r="S166" s="133">
        <v>0</v>
      </c>
      <c r="T166" s="133">
        <v>0</v>
      </c>
      <c r="U166" s="133">
        <v>0</v>
      </c>
      <c r="V166" s="133">
        <v>0</v>
      </c>
      <c r="W166" s="133">
        <v>0.36528100000000002</v>
      </c>
      <c r="X166" s="133">
        <v>0</v>
      </c>
      <c r="Y166" s="133">
        <v>0</v>
      </c>
      <c r="Z166" s="133">
        <v>0</v>
      </c>
      <c r="AA166" s="133">
        <v>0</v>
      </c>
      <c r="AB166" s="133">
        <v>0</v>
      </c>
      <c r="AC166" s="133">
        <v>0</v>
      </c>
      <c r="AD166" s="133">
        <v>0</v>
      </c>
      <c r="AE166" s="133">
        <v>0</v>
      </c>
      <c r="AF166" s="133">
        <v>0</v>
      </c>
      <c r="AG166" s="133">
        <v>49.437424</v>
      </c>
    </row>
    <row r="167" spans="1:33" x14ac:dyDescent="0.45">
      <c r="A167" s="134" t="s">
        <v>526</v>
      </c>
      <c r="B167" s="130"/>
      <c r="C167" s="133">
        <v>0</v>
      </c>
      <c r="D167" s="133">
        <v>0</v>
      </c>
      <c r="E167" s="133">
        <v>0</v>
      </c>
      <c r="F167" s="133">
        <v>0.8</v>
      </c>
      <c r="G167" s="133">
        <v>0</v>
      </c>
      <c r="H167" s="133">
        <v>0</v>
      </c>
      <c r="I167" s="133">
        <v>0</v>
      </c>
      <c r="J167" s="133">
        <v>0.57999999999999996</v>
      </c>
      <c r="K167" s="133">
        <v>0</v>
      </c>
      <c r="L167" s="133">
        <v>0</v>
      </c>
      <c r="M167" s="133">
        <v>0</v>
      </c>
      <c r="N167" s="133">
        <v>0</v>
      </c>
      <c r="O167" s="133">
        <v>0</v>
      </c>
      <c r="P167" s="133">
        <v>0</v>
      </c>
      <c r="Q167" s="133">
        <v>0</v>
      </c>
      <c r="R167" s="133">
        <v>0</v>
      </c>
      <c r="S167" s="133">
        <v>38.58</v>
      </c>
      <c r="T167" s="133">
        <v>0</v>
      </c>
      <c r="U167" s="133">
        <v>0</v>
      </c>
      <c r="V167" s="133">
        <v>0</v>
      </c>
      <c r="W167" s="133">
        <v>1.3</v>
      </c>
      <c r="X167" s="133">
        <v>0</v>
      </c>
      <c r="Y167" s="133">
        <v>5.6660000000000004</v>
      </c>
      <c r="Z167" s="133">
        <v>0</v>
      </c>
      <c r="AA167" s="133">
        <v>0</v>
      </c>
      <c r="AB167" s="133">
        <v>0</v>
      </c>
      <c r="AC167" s="133">
        <v>0</v>
      </c>
      <c r="AD167" s="133">
        <v>0</v>
      </c>
      <c r="AE167" s="133">
        <v>1.6654800000000001</v>
      </c>
      <c r="AF167" s="133">
        <v>0</v>
      </c>
      <c r="AG167" s="133">
        <v>48.591480000000004</v>
      </c>
    </row>
    <row r="168" spans="1:33" x14ac:dyDescent="0.45">
      <c r="A168" s="126"/>
      <c r="B168" s="129" t="s">
        <v>525</v>
      </c>
      <c r="C168" s="129">
        <v>0</v>
      </c>
      <c r="D168" s="129">
        <v>0</v>
      </c>
      <c r="E168" s="129">
        <v>0</v>
      </c>
      <c r="F168" s="129">
        <v>0.8</v>
      </c>
      <c r="G168" s="129">
        <v>0</v>
      </c>
      <c r="H168" s="129">
        <v>0</v>
      </c>
      <c r="I168" s="129">
        <v>0</v>
      </c>
      <c r="J168" s="129">
        <v>0.57999999999999996</v>
      </c>
      <c r="K168" s="129">
        <v>0</v>
      </c>
      <c r="L168" s="129">
        <v>0</v>
      </c>
      <c r="M168" s="129">
        <v>0</v>
      </c>
      <c r="N168" s="129">
        <v>0</v>
      </c>
      <c r="O168" s="129">
        <v>0</v>
      </c>
      <c r="P168" s="129">
        <v>0</v>
      </c>
      <c r="Q168" s="129">
        <v>0</v>
      </c>
      <c r="R168" s="129">
        <v>0</v>
      </c>
      <c r="S168" s="129">
        <v>38.58</v>
      </c>
      <c r="T168" s="129">
        <v>0</v>
      </c>
      <c r="U168" s="129">
        <v>0</v>
      </c>
      <c r="V168" s="129">
        <v>0</v>
      </c>
      <c r="W168" s="129">
        <v>1.3</v>
      </c>
      <c r="X168" s="129">
        <v>0</v>
      </c>
      <c r="Y168" s="129">
        <v>5.6660000000000004</v>
      </c>
      <c r="Z168" s="129">
        <v>0</v>
      </c>
      <c r="AA168" s="129">
        <v>0</v>
      </c>
      <c r="AB168" s="129">
        <v>0</v>
      </c>
      <c r="AC168" s="129">
        <v>0</v>
      </c>
      <c r="AD168" s="129">
        <v>0</v>
      </c>
      <c r="AE168" s="129">
        <v>1.6654800000000001</v>
      </c>
      <c r="AF168" s="129">
        <v>0</v>
      </c>
      <c r="AG168" s="129">
        <v>48.591480000000004</v>
      </c>
    </row>
    <row r="169" spans="1:33" x14ac:dyDescent="0.45">
      <c r="A169" s="134" t="s">
        <v>520</v>
      </c>
      <c r="B169" s="130"/>
      <c r="C169" s="133">
        <v>0</v>
      </c>
      <c r="D169" s="133">
        <v>0</v>
      </c>
      <c r="E169" s="133">
        <v>0</v>
      </c>
      <c r="F169" s="133">
        <v>92.254800000000003</v>
      </c>
      <c r="G169" s="133">
        <v>2.6</v>
      </c>
      <c r="H169" s="133">
        <v>1</v>
      </c>
      <c r="I169" s="133">
        <v>0.60000000000000009</v>
      </c>
      <c r="J169" s="133">
        <v>1.1800000000000002</v>
      </c>
      <c r="K169" s="133">
        <v>0</v>
      </c>
      <c r="L169" s="133">
        <v>0.2</v>
      </c>
      <c r="M169" s="133">
        <v>21.144300000000001</v>
      </c>
      <c r="N169" s="133">
        <v>0</v>
      </c>
      <c r="O169" s="133">
        <v>41.589799999999997</v>
      </c>
      <c r="P169" s="133">
        <v>151.99600000000001</v>
      </c>
      <c r="Q169" s="133">
        <v>1.4</v>
      </c>
      <c r="R169" s="133">
        <v>62.833199999999998</v>
      </c>
      <c r="S169" s="133">
        <v>222.11200000000002</v>
      </c>
      <c r="T169" s="133">
        <v>0</v>
      </c>
      <c r="U169" s="133">
        <v>0</v>
      </c>
      <c r="V169" s="133">
        <v>18.674099999999999</v>
      </c>
      <c r="W169" s="133">
        <v>18.693930000000002</v>
      </c>
      <c r="X169" s="133">
        <v>0</v>
      </c>
      <c r="Y169" s="133">
        <v>18.7</v>
      </c>
      <c r="Z169" s="133">
        <v>0</v>
      </c>
      <c r="AA169" s="133">
        <v>0</v>
      </c>
      <c r="AB169" s="133">
        <v>0</v>
      </c>
      <c r="AC169" s="133">
        <v>0</v>
      </c>
      <c r="AD169" s="133">
        <v>0</v>
      </c>
      <c r="AE169" s="133">
        <v>0</v>
      </c>
      <c r="AF169" s="133">
        <v>16.7059</v>
      </c>
      <c r="AG169" s="133">
        <v>671.68403000000012</v>
      </c>
    </row>
    <row r="170" spans="1:33" x14ac:dyDescent="0.45">
      <c r="B170" s="130" t="s">
        <v>524</v>
      </c>
      <c r="C170" s="133">
        <v>0</v>
      </c>
      <c r="D170" s="133">
        <v>0</v>
      </c>
      <c r="E170" s="133">
        <v>0</v>
      </c>
      <c r="F170" s="133">
        <v>0</v>
      </c>
      <c r="G170" s="133">
        <v>0</v>
      </c>
      <c r="H170" s="133">
        <v>0</v>
      </c>
      <c r="I170" s="133">
        <v>0</v>
      </c>
      <c r="J170" s="133">
        <v>0</v>
      </c>
      <c r="K170" s="133">
        <v>0</v>
      </c>
      <c r="L170" s="133">
        <v>0</v>
      </c>
      <c r="M170" s="133">
        <v>0</v>
      </c>
      <c r="N170" s="133">
        <v>0</v>
      </c>
      <c r="O170" s="133">
        <v>0</v>
      </c>
      <c r="P170" s="133">
        <v>0</v>
      </c>
      <c r="Q170" s="133">
        <v>0</v>
      </c>
      <c r="R170" s="133">
        <v>0</v>
      </c>
      <c r="S170" s="133">
        <v>0</v>
      </c>
      <c r="T170" s="133">
        <v>0</v>
      </c>
      <c r="U170" s="133">
        <v>0</v>
      </c>
      <c r="V170" s="133">
        <v>0</v>
      </c>
      <c r="W170" s="133">
        <v>0</v>
      </c>
      <c r="X170" s="133">
        <v>0</v>
      </c>
      <c r="Y170" s="133">
        <v>0</v>
      </c>
      <c r="Z170" s="133">
        <v>0</v>
      </c>
      <c r="AA170" s="133">
        <v>0</v>
      </c>
      <c r="AB170" s="133">
        <v>0</v>
      </c>
      <c r="AC170" s="133">
        <v>0</v>
      </c>
      <c r="AD170" s="133">
        <v>0</v>
      </c>
      <c r="AE170" s="133">
        <v>0</v>
      </c>
      <c r="AF170" s="133">
        <v>0</v>
      </c>
      <c r="AG170" s="133">
        <v>0</v>
      </c>
    </row>
    <row r="171" spans="1:33" x14ac:dyDescent="0.45">
      <c r="B171" s="130" t="s">
        <v>523</v>
      </c>
      <c r="C171" s="133">
        <v>0</v>
      </c>
      <c r="D171" s="133">
        <v>0</v>
      </c>
      <c r="E171" s="133">
        <v>0</v>
      </c>
      <c r="F171" s="133">
        <v>0</v>
      </c>
      <c r="G171" s="133">
        <v>0.6</v>
      </c>
      <c r="H171" s="133">
        <v>0</v>
      </c>
      <c r="I171" s="133">
        <v>0.3</v>
      </c>
      <c r="J171" s="133">
        <v>0.08</v>
      </c>
      <c r="K171" s="133">
        <v>0</v>
      </c>
      <c r="L171" s="133">
        <v>0</v>
      </c>
      <c r="M171" s="133">
        <v>0</v>
      </c>
      <c r="N171" s="133">
        <v>0</v>
      </c>
      <c r="O171" s="133">
        <v>0</v>
      </c>
      <c r="P171" s="133">
        <v>0</v>
      </c>
      <c r="Q171" s="133">
        <v>0</v>
      </c>
      <c r="R171" s="133">
        <v>0</v>
      </c>
      <c r="S171" s="133">
        <v>0</v>
      </c>
      <c r="T171" s="133">
        <v>0</v>
      </c>
      <c r="U171" s="133">
        <v>0</v>
      </c>
      <c r="V171" s="133">
        <v>0</v>
      </c>
      <c r="W171" s="133">
        <v>0.53985000000000005</v>
      </c>
      <c r="X171" s="133">
        <v>0</v>
      </c>
      <c r="Y171" s="133">
        <v>7.3</v>
      </c>
      <c r="Z171" s="133">
        <v>0</v>
      </c>
      <c r="AA171" s="133">
        <v>0</v>
      </c>
      <c r="AB171" s="133">
        <v>0</v>
      </c>
      <c r="AC171" s="133">
        <v>0</v>
      </c>
      <c r="AD171" s="133">
        <v>0</v>
      </c>
      <c r="AE171" s="133">
        <v>0</v>
      </c>
      <c r="AF171" s="133">
        <v>16.7059</v>
      </c>
      <c r="AG171" s="133">
        <v>25.525750000000002</v>
      </c>
    </row>
    <row r="172" spans="1:33" x14ac:dyDescent="0.45">
      <c r="B172" s="130" t="s">
        <v>522</v>
      </c>
      <c r="C172" s="133">
        <v>0</v>
      </c>
      <c r="D172" s="133">
        <v>0</v>
      </c>
      <c r="E172" s="133">
        <v>0</v>
      </c>
      <c r="F172" s="133">
        <v>0</v>
      </c>
      <c r="G172" s="133">
        <v>1.8</v>
      </c>
      <c r="H172" s="133">
        <v>0</v>
      </c>
      <c r="I172" s="133">
        <v>0.1</v>
      </c>
      <c r="J172" s="133">
        <v>0.2</v>
      </c>
      <c r="K172" s="133">
        <v>0</v>
      </c>
      <c r="L172" s="133">
        <v>0</v>
      </c>
      <c r="M172" s="133">
        <v>0</v>
      </c>
      <c r="N172" s="133">
        <v>0</v>
      </c>
      <c r="O172" s="133">
        <v>0</v>
      </c>
      <c r="P172" s="133">
        <v>7.3</v>
      </c>
      <c r="Q172" s="133">
        <v>0</v>
      </c>
      <c r="R172" s="133">
        <v>0</v>
      </c>
      <c r="S172" s="133">
        <v>66.7</v>
      </c>
      <c r="T172" s="133">
        <v>0</v>
      </c>
      <c r="U172" s="133">
        <v>0</v>
      </c>
      <c r="V172" s="133">
        <v>0</v>
      </c>
      <c r="W172" s="133">
        <v>1.6964999999999999</v>
      </c>
      <c r="X172" s="133">
        <v>0</v>
      </c>
      <c r="Y172" s="133">
        <v>10.5</v>
      </c>
      <c r="Z172" s="133">
        <v>0</v>
      </c>
      <c r="AA172" s="133">
        <v>0</v>
      </c>
      <c r="AB172" s="133">
        <v>0</v>
      </c>
      <c r="AC172" s="133">
        <v>0</v>
      </c>
      <c r="AD172" s="133">
        <v>0</v>
      </c>
      <c r="AE172" s="133">
        <v>0</v>
      </c>
      <c r="AF172" s="133">
        <v>0</v>
      </c>
      <c r="AG172" s="133">
        <v>88.296499999999995</v>
      </c>
    </row>
    <row r="173" spans="1:33" x14ac:dyDescent="0.45">
      <c r="A173" s="126"/>
      <c r="B173" s="129" t="s">
        <v>521</v>
      </c>
      <c r="C173" s="129">
        <v>0</v>
      </c>
      <c r="D173" s="129">
        <v>0</v>
      </c>
      <c r="E173" s="129">
        <v>0</v>
      </c>
      <c r="F173" s="129">
        <v>92.254800000000003</v>
      </c>
      <c r="G173" s="129">
        <v>0.2</v>
      </c>
      <c r="H173" s="129">
        <v>1</v>
      </c>
      <c r="I173" s="129">
        <v>0.2</v>
      </c>
      <c r="J173" s="129">
        <v>0.9</v>
      </c>
      <c r="K173" s="129">
        <v>0</v>
      </c>
      <c r="L173" s="129">
        <v>0.2</v>
      </c>
      <c r="M173" s="129">
        <v>21.144300000000001</v>
      </c>
      <c r="N173" s="129">
        <v>0</v>
      </c>
      <c r="O173" s="129">
        <v>41.589799999999997</v>
      </c>
      <c r="P173" s="129">
        <v>143.12</v>
      </c>
      <c r="Q173" s="129">
        <v>1.4</v>
      </c>
      <c r="R173" s="129">
        <v>62.833199999999998</v>
      </c>
      <c r="S173" s="129">
        <v>155.41200000000001</v>
      </c>
      <c r="T173" s="129">
        <v>0</v>
      </c>
      <c r="U173" s="129">
        <v>0</v>
      </c>
      <c r="V173" s="129">
        <v>18.674099999999999</v>
      </c>
      <c r="W173" s="129">
        <v>16.410299999999999</v>
      </c>
      <c r="X173" s="129">
        <v>0</v>
      </c>
      <c r="Y173" s="129">
        <v>0.9</v>
      </c>
      <c r="Z173" s="129">
        <v>0</v>
      </c>
      <c r="AA173" s="129">
        <v>0</v>
      </c>
      <c r="AB173" s="129">
        <v>0</v>
      </c>
      <c r="AC173" s="129">
        <v>0</v>
      </c>
      <c r="AD173" s="129">
        <v>0</v>
      </c>
      <c r="AE173" s="129">
        <v>0</v>
      </c>
      <c r="AF173" s="129">
        <v>0</v>
      </c>
      <c r="AG173" s="129">
        <v>556.23850000000004</v>
      </c>
    </row>
    <row r="174" spans="1:33" x14ac:dyDescent="0.45">
      <c r="B174" s="130" t="s">
        <v>519</v>
      </c>
      <c r="C174" s="133">
        <v>0</v>
      </c>
      <c r="D174" s="133">
        <v>0</v>
      </c>
      <c r="E174" s="133">
        <v>0</v>
      </c>
      <c r="F174" s="133">
        <v>0</v>
      </c>
      <c r="G174" s="133">
        <v>0</v>
      </c>
      <c r="H174" s="133">
        <v>0</v>
      </c>
      <c r="I174" s="133">
        <v>0</v>
      </c>
      <c r="J174" s="133">
        <v>0</v>
      </c>
      <c r="K174" s="133">
        <v>0</v>
      </c>
      <c r="L174" s="133">
        <v>0</v>
      </c>
      <c r="M174" s="133">
        <v>0</v>
      </c>
      <c r="N174" s="133">
        <v>0</v>
      </c>
      <c r="O174" s="133">
        <v>0</v>
      </c>
      <c r="P174" s="133">
        <v>1.5760000000000001</v>
      </c>
      <c r="Q174" s="133">
        <v>0</v>
      </c>
      <c r="R174" s="133">
        <v>0</v>
      </c>
      <c r="S174" s="133">
        <v>0</v>
      </c>
      <c r="T174" s="133">
        <v>0</v>
      </c>
      <c r="U174" s="133">
        <v>0</v>
      </c>
      <c r="V174" s="133">
        <v>0</v>
      </c>
      <c r="W174" s="133">
        <v>4.7280000000000003E-2</v>
      </c>
      <c r="X174" s="133">
        <v>0</v>
      </c>
      <c r="Y174" s="133">
        <v>0</v>
      </c>
      <c r="Z174" s="133">
        <v>0</v>
      </c>
      <c r="AA174" s="133">
        <v>0</v>
      </c>
      <c r="AB174" s="133">
        <v>0</v>
      </c>
      <c r="AC174" s="133">
        <v>0</v>
      </c>
      <c r="AD174" s="133">
        <v>0</v>
      </c>
      <c r="AE174" s="133">
        <v>0</v>
      </c>
      <c r="AF174" s="133">
        <v>0</v>
      </c>
      <c r="AG174" s="133">
        <v>1.6232800000000001</v>
      </c>
    </row>
    <row r="175" spans="1:33" x14ac:dyDescent="0.45">
      <c r="A175" s="126" t="s">
        <v>518</v>
      </c>
      <c r="B175" s="129"/>
      <c r="C175" s="129">
        <v>0</v>
      </c>
      <c r="D175" s="129">
        <v>0</v>
      </c>
      <c r="E175" s="129">
        <v>0</v>
      </c>
      <c r="F175" s="129">
        <v>0</v>
      </c>
      <c r="G175" s="129">
        <v>3</v>
      </c>
      <c r="H175" s="129">
        <v>0</v>
      </c>
      <c r="I175" s="129">
        <v>0</v>
      </c>
      <c r="J175" s="129">
        <v>0.41</v>
      </c>
      <c r="K175" s="129">
        <v>0</v>
      </c>
      <c r="L175" s="129">
        <v>0</v>
      </c>
      <c r="M175" s="129">
        <v>0</v>
      </c>
      <c r="N175" s="129">
        <v>0</v>
      </c>
      <c r="O175" s="129">
        <v>0</v>
      </c>
      <c r="P175" s="129">
        <v>2.4</v>
      </c>
      <c r="Q175" s="129">
        <v>0</v>
      </c>
      <c r="R175" s="129">
        <v>18.5</v>
      </c>
      <c r="S175" s="129">
        <v>16.440000000000001</v>
      </c>
      <c r="T175" s="129">
        <v>0</v>
      </c>
      <c r="U175" s="129">
        <v>0</v>
      </c>
      <c r="V175" s="129">
        <v>0</v>
      </c>
      <c r="W175" s="129">
        <v>1.6319999999999999</v>
      </c>
      <c r="X175" s="129">
        <v>0</v>
      </c>
      <c r="Y175" s="129">
        <v>8.19</v>
      </c>
      <c r="Z175" s="129">
        <v>0</v>
      </c>
      <c r="AA175" s="129">
        <v>0</v>
      </c>
      <c r="AB175" s="129">
        <v>0</v>
      </c>
      <c r="AC175" s="129">
        <v>0</v>
      </c>
      <c r="AD175" s="129">
        <v>0</v>
      </c>
      <c r="AE175" s="129">
        <v>0</v>
      </c>
      <c r="AF175" s="129">
        <v>27.8</v>
      </c>
      <c r="AG175" s="129">
        <v>78.372000000000014</v>
      </c>
    </row>
    <row r="176" spans="1:33" x14ac:dyDescent="0.45">
      <c r="B176" s="130" t="s">
        <v>77</v>
      </c>
      <c r="C176" s="133">
        <v>0</v>
      </c>
      <c r="D176" s="133">
        <v>0</v>
      </c>
      <c r="E176" s="133">
        <v>0</v>
      </c>
      <c r="F176" s="133">
        <v>0</v>
      </c>
      <c r="G176" s="133">
        <v>3</v>
      </c>
      <c r="H176" s="133">
        <v>0</v>
      </c>
      <c r="I176" s="133">
        <v>0</v>
      </c>
      <c r="J176" s="133">
        <v>0.41</v>
      </c>
      <c r="K176" s="133">
        <v>0</v>
      </c>
      <c r="L176" s="133">
        <v>0</v>
      </c>
      <c r="M176" s="133">
        <v>0</v>
      </c>
      <c r="N176" s="133">
        <v>0</v>
      </c>
      <c r="O176" s="133">
        <v>0</v>
      </c>
      <c r="P176" s="133">
        <v>2.4</v>
      </c>
      <c r="Q176" s="133">
        <v>0</v>
      </c>
      <c r="R176" s="133">
        <v>18.5</v>
      </c>
      <c r="S176" s="133">
        <v>16.440000000000001</v>
      </c>
      <c r="T176" s="133">
        <v>0</v>
      </c>
      <c r="U176" s="133">
        <v>0</v>
      </c>
      <c r="V176" s="133">
        <v>0</v>
      </c>
      <c r="W176" s="133">
        <v>1.6319999999999999</v>
      </c>
      <c r="X176" s="133">
        <v>0</v>
      </c>
      <c r="Y176" s="133">
        <v>8.19</v>
      </c>
      <c r="Z176" s="133">
        <v>0</v>
      </c>
      <c r="AA176" s="133">
        <v>0</v>
      </c>
      <c r="AB176" s="133">
        <v>0</v>
      </c>
      <c r="AC176" s="133">
        <v>0</v>
      </c>
      <c r="AD176" s="133">
        <v>0</v>
      </c>
      <c r="AE176" s="133">
        <v>0</v>
      </c>
      <c r="AF176" s="133">
        <v>27.8</v>
      </c>
      <c r="AG176" s="133">
        <v>78.372000000000014</v>
      </c>
    </row>
    <row r="177" spans="1:33" x14ac:dyDescent="0.45">
      <c r="A177" s="126" t="s">
        <v>515</v>
      </c>
      <c r="B177" s="129"/>
      <c r="C177" s="129">
        <v>0</v>
      </c>
      <c r="D177" s="129">
        <v>243.90899999999999</v>
      </c>
      <c r="E177" s="129">
        <v>0</v>
      </c>
      <c r="F177" s="129">
        <v>28.075299999999999</v>
      </c>
      <c r="G177" s="129">
        <v>0</v>
      </c>
      <c r="H177" s="129">
        <v>0</v>
      </c>
      <c r="I177" s="129">
        <v>0</v>
      </c>
      <c r="J177" s="129">
        <v>3.0386700000000002</v>
      </c>
      <c r="K177" s="129">
        <v>0</v>
      </c>
      <c r="L177" s="129">
        <v>14.03</v>
      </c>
      <c r="M177" s="129">
        <v>128.96700000000001</v>
      </c>
      <c r="N177" s="129">
        <v>0</v>
      </c>
      <c r="O177" s="129">
        <v>4.3468499999999999</v>
      </c>
      <c r="P177" s="129">
        <v>132.31800000000001</v>
      </c>
      <c r="Q177" s="129">
        <v>0</v>
      </c>
      <c r="R177" s="129">
        <v>4.7709299999999999</v>
      </c>
      <c r="S177" s="129">
        <v>29.6248</v>
      </c>
      <c r="T177" s="129">
        <v>0</v>
      </c>
      <c r="U177" s="129">
        <v>0</v>
      </c>
      <c r="V177" s="129">
        <v>0</v>
      </c>
      <c r="W177" s="129">
        <v>26.074400000000001</v>
      </c>
      <c r="X177" s="129">
        <v>0</v>
      </c>
      <c r="Y177" s="129">
        <v>20.3</v>
      </c>
      <c r="Z177" s="129">
        <v>25.43</v>
      </c>
      <c r="AA177" s="129">
        <v>5.0199999999999996</v>
      </c>
      <c r="AB177" s="129">
        <v>10.74</v>
      </c>
      <c r="AC177" s="129">
        <v>0</v>
      </c>
      <c r="AD177" s="129">
        <v>0</v>
      </c>
      <c r="AE177" s="129">
        <v>0</v>
      </c>
      <c r="AF177" s="129">
        <v>47.0227</v>
      </c>
      <c r="AG177" s="129">
        <v>723.66765000000009</v>
      </c>
    </row>
    <row r="178" spans="1:33" x14ac:dyDescent="0.45">
      <c r="B178" s="130" t="s">
        <v>517</v>
      </c>
      <c r="C178" s="133">
        <v>0</v>
      </c>
      <c r="D178" s="133">
        <v>0</v>
      </c>
      <c r="E178" s="133">
        <v>0</v>
      </c>
      <c r="F178" s="133">
        <v>0</v>
      </c>
      <c r="G178" s="133">
        <v>0</v>
      </c>
      <c r="H178" s="133">
        <v>0</v>
      </c>
      <c r="I178" s="133">
        <v>0</v>
      </c>
      <c r="J178" s="133">
        <v>0.18</v>
      </c>
      <c r="K178" s="133">
        <v>0</v>
      </c>
      <c r="L178" s="133">
        <v>0</v>
      </c>
      <c r="M178" s="133">
        <v>0</v>
      </c>
      <c r="N178" s="133">
        <v>0</v>
      </c>
      <c r="O178" s="133">
        <v>0</v>
      </c>
      <c r="P178" s="133">
        <v>2.2200000000000002</v>
      </c>
      <c r="Q178" s="133">
        <v>0</v>
      </c>
      <c r="R178" s="133">
        <v>0</v>
      </c>
      <c r="S178" s="133">
        <v>14.58</v>
      </c>
      <c r="T178" s="133">
        <v>0</v>
      </c>
      <c r="U178" s="133">
        <v>0</v>
      </c>
      <c r="V178" s="133">
        <v>0</v>
      </c>
      <c r="W178" s="133">
        <v>0.42</v>
      </c>
      <c r="X178" s="133">
        <v>0</v>
      </c>
      <c r="Y178" s="133">
        <v>0</v>
      </c>
      <c r="Z178" s="133">
        <v>0</v>
      </c>
      <c r="AA178" s="133">
        <v>0</v>
      </c>
      <c r="AB178" s="133">
        <v>0</v>
      </c>
      <c r="AC178" s="133">
        <v>0</v>
      </c>
      <c r="AD178" s="133">
        <v>0</v>
      </c>
      <c r="AE178" s="133">
        <v>0</v>
      </c>
      <c r="AF178" s="133">
        <v>0</v>
      </c>
      <c r="AG178" s="133">
        <v>17.400000000000002</v>
      </c>
    </row>
    <row r="179" spans="1:33" x14ac:dyDescent="0.45">
      <c r="B179" s="130" t="s">
        <v>516</v>
      </c>
      <c r="C179" s="133">
        <v>0</v>
      </c>
      <c r="D179" s="133">
        <v>243.90899999999999</v>
      </c>
      <c r="E179" s="133">
        <v>0</v>
      </c>
      <c r="F179" s="133">
        <v>28.075299999999999</v>
      </c>
      <c r="G179" s="133">
        <v>0</v>
      </c>
      <c r="H179" s="133">
        <v>0</v>
      </c>
      <c r="I179" s="133">
        <v>0</v>
      </c>
      <c r="J179" s="133">
        <v>2.7716699999999999</v>
      </c>
      <c r="K179" s="133">
        <v>0</v>
      </c>
      <c r="L179" s="133">
        <v>14.03</v>
      </c>
      <c r="M179" s="133">
        <v>128.96700000000001</v>
      </c>
      <c r="N179" s="133">
        <v>0</v>
      </c>
      <c r="O179" s="133">
        <v>4.3468499999999999</v>
      </c>
      <c r="P179" s="133">
        <v>130.09800000000001</v>
      </c>
      <c r="Q179" s="133">
        <v>0</v>
      </c>
      <c r="R179" s="133">
        <v>4.7709299999999999</v>
      </c>
      <c r="S179" s="133">
        <v>15.0448</v>
      </c>
      <c r="T179" s="133">
        <v>0</v>
      </c>
      <c r="U179" s="133">
        <v>0</v>
      </c>
      <c r="V179" s="133">
        <v>0</v>
      </c>
      <c r="W179" s="133">
        <v>25.542400000000001</v>
      </c>
      <c r="X179" s="133">
        <v>0</v>
      </c>
      <c r="Y179" s="133">
        <v>13.8</v>
      </c>
      <c r="Z179" s="133">
        <v>25.43</v>
      </c>
      <c r="AA179" s="133">
        <v>5.0199999999999996</v>
      </c>
      <c r="AB179" s="133">
        <v>10.74</v>
      </c>
      <c r="AC179" s="133">
        <v>0</v>
      </c>
      <c r="AD179" s="133">
        <v>0</v>
      </c>
      <c r="AE179" s="133">
        <v>0</v>
      </c>
      <c r="AF179" s="133">
        <v>47.0227</v>
      </c>
      <c r="AG179" s="133">
        <v>699.56865000000016</v>
      </c>
    </row>
    <row r="180" spans="1:33" x14ac:dyDescent="0.45">
      <c r="B180" s="130" t="s">
        <v>514</v>
      </c>
      <c r="C180" s="133">
        <v>0</v>
      </c>
      <c r="D180" s="133">
        <v>0</v>
      </c>
      <c r="E180" s="133">
        <v>0</v>
      </c>
      <c r="F180" s="133">
        <v>0</v>
      </c>
      <c r="G180" s="133">
        <v>0</v>
      </c>
      <c r="H180" s="133">
        <v>0</v>
      </c>
      <c r="I180" s="133">
        <v>0</v>
      </c>
      <c r="J180" s="133">
        <v>8.6999999999999994E-2</v>
      </c>
      <c r="K180" s="133">
        <v>0</v>
      </c>
      <c r="L180" s="133">
        <v>0</v>
      </c>
      <c r="M180" s="133">
        <v>0</v>
      </c>
      <c r="N180" s="133">
        <v>0</v>
      </c>
      <c r="O180" s="133">
        <v>0</v>
      </c>
      <c r="P180" s="133">
        <v>0</v>
      </c>
      <c r="Q180" s="133">
        <v>0</v>
      </c>
      <c r="R180" s="133">
        <v>0</v>
      </c>
      <c r="S180" s="133">
        <v>0</v>
      </c>
      <c r="T180" s="133">
        <v>0</v>
      </c>
      <c r="U180" s="133">
        <v>0</v>
      </c>
      <c r="V180" s="133">
        <v>0</v>
      </c>
      <c r="W180" s="133">
        <v>0.112</v>
      </c>
      <c r="X180" s="133">
        <v>0</v>
      </c>
      <c r="Y180" s="133">
        <v>6.5</v>
      </c>
      <c r="Z180" s="133">
        <v>0</v>
      </c>
      <c r="AA180" s="133">
        <v>0</v>
      </c>
      <c r="AB180" s="133">
        <v>0</v>
      </c>
      <c r="AC180" s="133">
        <v>0</v>
      </c>
      <c r="AD180" s="133">
        <v>0</v>
      </c>
      <c r="AE180" s="133">
        <v>0</v>
      </c>
      <c r="AF180" s="133">
        <v>0</v>
      </c>
      <c r="AG180" s="133">
        <v>6.6989999999999998</v>
      </c>
    </row>
    <row r="181" spans="1:33" x14ac:dyDescent="0.45">
      <c r="A181" s="134" t="s">
        <v>513</v>
      </c>
      <c r="B181" s="130"/>
      <c r="C181" s="133">
        <v>0</v>
      </c>
      <c r="D181" s="133">
        <v>0</v>
      </c>
      <c r="E181" s="133">
        <v>0</v>
      </c>
      <c r="F181" s="133">
        <v>52.7042</v>
      </c>
      <c r="G181" s="133">
        <v>0</v>
      </c>
      <c r="H181" s="133">
        <v>0</v>
      </c>
      <c r="I181" s="133">
        <v>0</v>
      </c>
      <c r="J181" s="133">
        <v>1.76</v>
      </c>
      <c r="K181" s="133">
        <v>0</v>
      </c>
      <c r="L181" s="133">
        <v>3.27</v>
      </c>
      <c r="M181" s="133">
        <v>142.80099999999999</v>
      </c>
      <c r="N181" s="133">
        <v>0</v>
      </c>
      <c r="O181" s="133">
        <v>0</v>
      </c>
      <c r="P181" s="133">
        <v>85.5</v>
      </c>
      <c r="Q181" s="133">
        <v>0</v>
      </c>
      <c r="R181" s="133">
        <v>28.366800000000001</v>
      </c>
      <c r="S181" s="133">
        <v>0.53724899999999998</v>
      </c>
      <c r="T181" s="133">
        <v>0</v>
      </c>
      <c r="U181" s="133">
        <v>0</v>
      </c>
      <c r="V181" s="133">
        <v>0</v>
      </c>
      <c r="W181" s="133">
        <v>16.825800000000001</v>
      </c>
      <c r="X181" s="133">
        <v>0</v>
      </c>
      <c r="Y181" s="133">
        <v>0</v>
      </c>
      <c r="Z181" s="133">
        <v>56.4</v>
      </c>
      <c r="AA181" s="133">
        <v>0</v>
      </c>
      <c r="AB181" s="133">
        <v>0</v>
      </c>
      <c r="AC181" s="133">
        <v>0</v>
      </c>
      <c r="AD181" s="133">
        <v>0</v>
      </c>
      <c r="AE181" s="133">
        <v>0</v>
      </c>
      <c r="AF181" s="133">
        <v>0</v>
      </c>
      <c r="AG181" s="133">
        <v>388.16504900000001</v>
      </c>
    </row>
    <row r="182" spans="1:33" x14ac:dyDescent="0.45">
      <c r="B182" s="130" t="s">
        <v>512</v>
      </c>
      <c r="C182" s="133">
        <v>0</v>
      </c>
      <c r="D182" s="133">
        <v>0</v>
      </c>
      <c r="E182" s="133">
        <v>0</v>
      </c>
      <c r="F182" s="133">
        <v>52.7042</v>
      </c>
      <c r="G182" s="133">
        <v>0</v>
      </c>
      <c r="H182" s="133">
        <v>0</v>
      </c>
      <c r="I182" s="133">
        <v>0</v>
      </c>
      <c r="J182" s="133">
        <v>1.76</v>
      </c>
      <c r="K182" s="133">
        <v>0</v>
      </c>
      <c r="L182" s="133">
        <v>3.27</v>
      </c>
      <c r="M182" s="133">
        <v>142.80099999999999</v>
      </c>
      <c r="N182" s="133">
        <v>0</v>
      </c>
      <c r="O182" s="133">
        <v>0</v>
      </c>
      <c r="P182" s="133">
        <v>85.5</v>
      </c>
      <c r="Q182" s="133">
        <v>0</v>
      </c>
      <c r="R182" s="133">
        <v>28.366800000000001</v>
      </c>
      <c r="S182" s="133">
        <v>0.53724899999999998</v>
      </c>
      <c r="T182" s="133">
        <v>0</v>
      </c>
      <c r="U182" s="133">
        <v>0</v>
      </c>
      <c r="V182" s="133">
        <v>0</v>
      </c>
      <c r="W182" s="133">
        <v>16.825800000000001</v>
      </c>
      <c r="X182" s="133">
        <v>0</v>
      </c>
      <c r="Y182" s="133">
        <v>0</v>
      </c>
      <c r="Z182" s="133">
        <v>56.4</v>
      </c>
      <c r="AA182" s="133">
        <v>0</v>
      </c>
      <c r="AB182" s="133">
        <v>0</v>
      </c>
      <c r="AC182" s="133">
        <v>0</v>
      </c>
      <c r="AD182" s="133">
        <v>0</v>
      </c>
      <c r="AE182" s="133">
        <v>0</v>
      </c>
      <c r="AF182" s="133">
        <v>0</v>
      </c>
      <c r="AG182" s="133">
        <v>388.16504900000001</v>
      </c>
    </row>
    <row r="183" spans="1:33" x14ac:dyDescent="0.45">
      <c r="A183" s="134" t="s">
        <v>511</v>
      </c>
      <c r="B183" s="130"/>
      <c r="C183" s="133">
        <v>0</v>
      </c>
      <c r="D183" s="133">
        <v>0</v>
      </c>
      <c r="E183" s="133">
        <v>0</v>
      </c>
      <c r="F183" s="133">
        <v>0</v>
      </c>
      <c r="G183" s="133">
        <v>0</v>
      </c>
      <c r="H183" s="133">
        <v>0</v>
      </c>
      <c r="I183" s="133">
        <v>0</v>
      </c>
      <c r="J183" s="133">
        <v>0.52</v>
      </c>
      <c r="K183" s="133">
        <v>0</v>
      </c>
      <c r="L183" s="133">
        <v>0</v>
      </c>
      <c r="M183" s="133">
        <v>0</v>
      </c>
      <c r="N183" s="133">
        <v>0</v>
      </c>
      <c r="O183" s="133">
        <v>0</v>
      </c>
      <c r="P183" s="133">
        <v>0</v>
      </c>
      <c r="Q183" s="133">
        <v>0</v>
      </c>
      <c r="R183" s="133">
        <v>0</v>
      </c>
      <c r="S183" s="133">
        <v>17.600000000000001</v>
      </c>
      <c r="T183" s="133">
        <v>0</v>
      </c>
      <c r="U183" s="133">
        <v>0</v>
      </c>
      <c r="V183" s="133">
        <v>0</v>
      </c>
      <c r="W183" s="133">
        <v>0.44400000000000001</v>
      </c>
      <c r="X183" s="133">
        <v>0</v>
      </c>
      <c r="Y183" s="133">
        <v>0</v>
      </c>
      <c r="Z183" s="133">
        <v>0</v>
      </c>
      <c r="AA183" s="133">
        <v>0</v>
      </c>
      <c r="AB183" s="133">
        <v>0</v>
      </c>
      <c r="AC183" s="133">
        <v>0</v>
      </c>
      <c r="AD183" s="133">
        <v>0</v>
      </c>
      <c r="AE183" s="133">
        <v>0</v>
      </c>
      <c r="AF183" s="133">
        <v>0</v>
      </c>
      <c r="AG183" s="133">
        <v>18.564</v>
      </c>
    </row>
    <row r="184" spans="1:33" x14ac:dyDescent="0.45">
      <c r="B184" s="130" t="s">
        <v>80</v>
      </c>
      <c r="C184" s="133">
        <v>0</v>
      </c>
      <c r="D184" s="133">
        <v>0</v>
      </c>
      <c r="E184" s="133">
        <v>0</v>
      </c>
      <c r="F184" s="133">
        <v>0</v>
      </c>
      <c r="G184" s="133">
        <v>0</v>
      </c>
      <c r="H184" s="133">
        <v>0</v>
      </c>
      <c r="I184" s="133">
        <v>0</v>
      </c>
      <c r="J184" s="133">
        <v>0.52</v>
      </c>
      <c r="K184" s="133">
        <v>0</v>
      </c>
      <c r="L184" s="133">
        <v>0</v>
      </c>
      <c r="M184" s="133">
        <v>0</v>
      </c>
      <c r="N184" s="133">
        <v>0</v>
      </c>
      <c r="O184" s="133">
        <v>0</v>
      </c>
      <c r="P184" s="133">
        <v>0</v>
      </c>
      <c r="Q184" s="133">
        <v>0</v>
      </c>
      <c r="R184" s="133">
        <v>0</v>
      </c>
      <c r="S184" s="133">
        <v>17.600000000000001</v>
      </c>
      <c r="T184" s="133">
        <v>0</v>
      </c>
      <c r="U184" s="133">
        <v>0</v>
      </c>
      <c r="V184" s="133">
        <v>0</v>
      </c>
      <c r="W184" s="133">
        <v>0.44400000000000001</v>
      </c>
      <c r="X184" s="133">
        <v>0</v>
      </c>
      <c r="Y184" s="133">
        <v>0</v>
      </c>
      <c r="Z184" s="133">
        <v>0</v>
      </c>
      <c r="AA184" s="133">
        <v>0</v>
      </c>
      <c r="AB184" s="133">
        <v>0</v>
      </c>
      <c r="AC184" s="133">
        <v>0</v>
      </c>
      <c r="AD184" s="133">
        <v>0</v>
      </c>
      <c r="AE184" s="133">
        <v>0</v>
      </c>
      <c r="AF184" s="133">
        <v>0</v>
      </c>
      <c r="AG184" s="133">
        <v>18.564</v>
      </c>
    </row>
    <row r="185" spans="1:33" x14ac:dyDescent="0.45">
      <c r="A185" s="126" t="s">
        <v>510</v>
      </c>
      <c r="B185" s="129"/>
      <c r="C185" s="129">
        <v>0</v>
      </c>
      <c r="D185" s="129">
        <v>0</v>
      </c>
      <c r="E185" s="129">
        <v>0</v>
      </c>
      <c r="F185" s="129">
        <v>0</v>
      </c>
      <c r="G185" s="129">
        <v>0</v>
      </c>
      <c r="H185" s="129">
        <v>0</v>
      </c>
      <c r="I185" s="129">
        <v>0</v>
      </c>
      <c r="J185" s="129">
        <v>0.23</v>
      </c>
      <c r="K185" s="129">
        <v>0</v>
      </c>
      <c r="L185" s="129">
        <v>0</v>
      </c>
      <c r="M185" s="129">
        <v>0</v>
      </c>
      <c r="N185" s="129">
        <v>8.5000000000000006E-2</v>
      </c>
      <c r="O185" s="129">
        <v>0</v>
      </c>
      <c r="P185" s="129">
        <v>0</v>
      </c>
      <c r="Q185" s="129">
        <v>180.17699999999999</v>
      </c>
      <c r="R185" s="129">
        <v>0</v>
      </c>
      <c r="S185" s="129">
        <v>0</v>
      </c>
      <c r="T185" s="129">
        <v>0</v>
      </c>
      <c r="U185" s="129">
        <v>0</v>
      </c>
      <c r="V185" s="129">
        <v>0</v>
      </c>
      <c r="W185" s="129">
        <v>4.84497</v>
      </c>
      <c r="X185" s="129">
        <v>0</v>
      </c>
      <c r="Y185" s="129">
        <v>4.7963500000000003</v>
      </c>
      <c r="Z185" s="129">
        <v>0</v>
      </c>
      <c r="AA185" s="129">
        <v>0</v>
      </c>
      <c r="AB185" s="129">
        <v>0</v>
      </c>
      <c r="AC185" s="129">
        <v>0</v>
      </c>
      <c r="AD185" s="129">
        <v>0</v>
      </c>
      <c r="AE185" s="129">
        <v>0</v>
      </c>
      <c r="AF185" s="129">
        <v>0</v>
      </c>
      <c r="AG185" s="129">
        <v>190.13332</v>
      </c>
    </row>
    <row r="186" spans="1:33" x14ac:dyDescent="0.45">
      <c r="B186" s="130" t="s">
        <v>509</v>
      </c>
      <c r="C186" s="133">
        <v>0</v>
      </c>
      <c r="D186" s="133">
        <v>0</v>
      </c>
      <c r="E186" s="133">
        <v>0</v>
      </c>
      <c r="F186" s="133">
        <v>0</v>
      </c>
      <c r="G186" s="133">
        <v>0</v>
      </c>
      <c r="H186" s="133">
        <v>0</v>
      </c>
      <c r="I186" s="133">
        <v>0</v>
      </c>
      <c r="J186" s="133">
        <v>0.23</v>
      </c>
      <c r="K186" s="133">
        <v>0</v>
      </c>
      <c r="L186" s="133">
        <v>0</v>
      </c>
      <c r="M186" s="133">
        <v>0</v>
      </c>
      <c r="N186" s="133">
        <v>8.5000000000000006E-2</v>
      </c>
      <c r="O186" s="133">
        <v>0</v>
      </c>
      <c r="P186" s="133">
        <v>0</v>
      </c>
      <c r="Q186" s="133">
        <v>180.17699999999999</v>
      </c>
      <c r="R186" s="133">
        <v>0</v>
      </c>
      <c r="S186" s="133">
        <v>0</v>
      </c>
      <c r="T186" s="133">
        <v>0</v>
      </c>
      <c r="U186" s="133">
        <v>0</v>
      </c>
      <c r="V186" s="133">
        <v>0</v>
      </c>
      <c r="W186" s="133">
        <v>4.84497</v>
      </c>
      <c r="X186" s="133">
        <v>0</v>
      </c>
      <c r="Y186" s="133">
        <v>4.7963500000000003</v>
      </c>
      <c r="Z186" s="133">
        <v>0</v>
      </c>
      <c r="AA186" s="133">
        <v>0</v>
      </c>
      <c r="AB186" s="133">
        <v>0</v>
      </c>
      <c r="AC186" s="133">
        <v>0</v>
      </c>
      <c r="AD186" s="133">
        <v>0</v>
      </c>
      <c r="AE186" s="133">
        <v>0</v>
      </c>
      <c r="AF186" s="133">
        <v>0</v>
      </c>
      <c r="AG186" s="133">
        <v>190.13332</v>
      </c>
    </row>
    <row r="187" spans="1:33" x14ac:dyDescent="0.45">
      <c r="A187" s="134" t="s">
        <v>508</v>
      </c>
      <c r="B187" s="130"/>
      <c r="C187" s="133">
        <v>0</v>
      </c>
      <c r="D187" s="133">
        <v>77.349500000000006</v>
      </c>
      <c r="E187" s="133">
        <v>0</v>
      </c>
      <c r="F187" s="133">
        <v>0</v>
      </c>
      <c r="G187" s="133">
        <v>26.711200000000002</v>
      </c>
      <c r="H187" s="133">
        <v>0</v>
      </c>
      <c r="I187" s="133">
        <v>0</v>
      </c>
      <c r="J187" s="133">
        <v>13.364100000000001</v>
      </c>
      <c r="K187" s="133">
        <v>0</v>
      </c>
      <c r="L187" s="133">
        <v>0</v>
      </c>
      <c r="M187" s="133">
        <v>0</v>
      </c>
      <c r="N187" s="133">
        <v>0</v>
      </c>
      <c r="O187" s="133">
        <v>164.667</v>
      </c>
      <c r="P187" s="133">
        <v>21.2</v>
      </c>
      <c r="Q187" s="133">
        <v>0</v>
      </c>
      <c r="R187" s="133">
        <v>0</v>
      </c>
      <c r="S187" s="133">
        <v>0</v>
      </c>
      <c r="T187" s="133">
        <v>0</v>
      </c>
      <c r="U187" s="133">
        <v>0</v>
      </c>
      <c r="V187" s="133">
        <v>43.780700000000003</v>
      </c>
      <c r="W187" s="133">
        <v>13.707100000000001</v>
      </c>
      <c r="X187" s="133">
        <v>0</v>
      </c>
      <c r="Y187" s="133">
        <v>0</v>
      </c>
      <c r="Z187" s="133">
        <v>0</v>
      </c>
      <c r="AA187" s="133">
        <v>0</v>
      </c>
      <c r="AB187" s="133">
        <v>0</v>
      </c>
      <c r="AC187" s="133">
        <v>0</v>
      </c>
      <c r="AD187" s="133">
        <v>0</v>
      </c>
      <c r="AE187" s="133">
        <v>5.1349600000000004</v>
      </c>
      <c r="AF187" s="133">
        <v>0</v>
      </c>
      <c r="AG187" s="133">
        <v>365.91456000000005</v>
      </c>
    </row>
    <row r="188" spans="1:33" x14ac:dyDescent="0.45">
      <c r="A188" s="126"/>
      <c r="B188" s="129" t="s">
        <v>83</v>
      </c>
      <c r="C188" s="129">
        <v>0</v>
      </c>
      <c r="D188" s="129">
        <v>77.349500000000006</v>
      </c>
      <c r="E188" s="129">
        <v>0</v>
      </c>
      <c r="F188" s="129">
        <v>0</v>
      </c>
      <c r="G188" s="129">
        <v>26.711200000000002</v>
      </c>
      <c r="H188" s="129">
        <v>0</v>
      </c>
      <c r="I188" s="129">
        <v>0</v>
      </c>
      <c r="J188" s="129">
        <v>13.364100000000001</v>
      </c>
      <c r="K188" s="129">
        <v>0</v>
      </c>
      <c r="L188" s="129">
        <v>0</v>
      </c>
      <c r="M188" s="129">
        <v>0</v>
      </c>
      <c r="N188" s="129">
        <v>0</v>
      </c>
      <c r="O188" s="129">
        <v>164.667</v>
      </c>
      <c r="P188" s="129">
        <v>21.2</v>
      </c>
      <c r="Q188" s="129">
        <v>0</v>
      </c>
      <c r="R188" s="129">
        <v>0</v>
      </c>
      <c r="S188" s="129">
        <v>0</v>
      </c>
      <c r="T188" s="129">
        <v>0</v>
      </c>
      <c r="U188" s="129">
        <v>0</v>
      </c>
      <c r="V188" s="129">
        <v>43.780700000000003</v>
      </c>
      <c r="W188" s="129">
        <v>13.707100000000001</v>
      </c>
      <c r="X188" s="129">
        <v>0</v>
      </c>
      <c r="Y188" s="129">
        <v>0</v>
      </c>
      <c r="Z188" s="129">
        <v>0</v>
      </c>
      <c r="AA188" s="129">
        <v>0</v>
      </c>
      <c r="AB188" s="129">
        <v>0</v>
      </c>
      <c r="AC188" s="129">
        <v>0</v>
      </c>
      <c r="AD188" s="129">
        <v>0</v>
      </c>
      <c r="AE188" s="129">
        <v>5.1349600000000004</v>
      </c>
      <c r="AF188" s="129">
        <v>0</v>
      </c>
      <c r="AG188" s="129">
        <v>365.91456000000005</v>
      </c>
    </row>
    <row r="189" spans="1:33" x14ac:dyDescent="0.45">
      <c r="A189" s="134" t="s">
        <v>507</v>
      </c>
      <c r="B189" s="130"/>
      <c r="C189" s="133">
        <v>0</v>
      </c>
      <c r="D189" s="133">
        <v>147.36500000000001</v>
      </c>
      <c r="E189" s="133">
        <v>0</v>
      </c>
      <c r="F189" s="133">
        <v>0</v>
      </c>
      <c r="G189" s="133">
        <v>1.8680000000000001</v>
      </c>
      <c r="H189" s="133">
        <v>0</v>
      </c>
      <c r="I189" s="133">
        <v>0</v>
      </c>
      <c r="J189" s="133">
        <v>4.2024900000000001</v>
      </c>
      <c r="K189" s="133">
        <v>0</v>
      </c>
      <c r="L189" s="133">
        <v>0.82925800000000005</v>
      </c>
      <c r="M189" s="133">
        <v>0</v>
      </c>
      <c r="N189" s="133">
        <v>0</v>
      </c>
      <c r="O189" s="133">
        <v>0</v>
      </c>
      <c r="P189" s="133">
        <v>159.352</v>
      </c>
      <c r="Q189" s="133">
        <v>6.6859999999999999</v>
      </c>
      <c r="R189" s="133">
        <v>0</v>
      </c>
      <c r="S189" s="133">
        <v>0</v>
      </c>
      <c r="T189" s="133">
        <v>0</v>
      </c>
      <c r="U189" s="133">
        <v>0</v>
      </c>
      <c r="V189" s="133">
        <v>0</v>
      </c>
      <c r="W189" s="133">
        <v>26.802099999999999</v>
      </c>
      <c r="X189" s="133">
        <v>0</v>
      </c>
      <c r="Y189" s="133">
        <v>0</v>
      </c>
      <c r="Z189" s="133">
        <v>0</v>
      </c>
      <c r="AA189" s="133">
        <v>0</v>
      </c>
      <c r="AB189" s="133">
        <v>0</v>
      </c>
      <c r="AC189" s="133">
        <v>0</v>
      </c>
      <c r="AD189" s="133">
        <v>0</v>
      </c>
      <c r="AE189" s="133">
        <v>0</v>
      </c>
      <c r="AF189" s="133">
        <v>333.745</v>
      </c>
      <c r="AG189" s="133">
        <v>680.84984800000007</v>
      </c>
    </row>
    <row r="190" spans="1:33" x14ac:dyDescent="0.45">
      <c r="A190" s="126"/>
      <c r="B190" s="129" t="s">
        <v>506</v>
      </c>
      <c r="C190" s="129">
        <v>0</v>
      </c>
      <c r="D190" s="129">
        <v>147.36500000000001</v>
      </c>
      <c r="E190" s="129">
        <v>0</v>
      </c>
      <c r="F190" s="129">
        <v>0</v>
      </c>
      <c r="G190" s="129">
        <v>1.8680000000000001</v>
      </c>
      <c r="H190" s="129">
        <v>0</v>
      </c>
      <c r="I190" s="129">
        <v>0</v>
      </c>
      <c r="J190" s="129">
        <v>4.2024900000000001</v>
      </c>
      <c r="K190" s="129">
        <v>0</v>
      </c>
      <c r="L190" s="129">
        <v>0.82925800000000005</v>
      </c>
      <c r="M190" s="129">
        <v>0</v>
      </c>
      <c r="N190" s="129">
        <v>0</v>
      </c>
      <c r="O190" s="129">
        <v>0</v>
      </c>
      <c r="P190" s="129">
        <v>159.352</v>
      </c>
      <c r="Q190" s="129">
        <v>6.6859999999999999</v>
      </c>
      <c r="R190" s="129">
        <v>0</v>
      </c>
      <c r="S190" s="129">
        <v>0</v>
      </c>
      <c r="T190" s="129">
        <v>0</v>
      </c>
      <c r="U190" s="129">
        <v>0</v>
      </c>
      <c r="V190" s="129">
        <v>0</v>
      </c>
      <c r="W190" s="129">
        <v>26.802099999999999</v>
      </c>
      <c r="X190" s="129">
        <v>0</v>
      </c>
      <c r="Y190" s="129">
        <v>0</v>
      </c>
      <c r="Z190" s="129">
        <v>0</v>
      </c>
      <c r="AA190" s="129">
        <v>0</v>
      </c>
      <c r="AB190" s="129">
        <v>0</v>
      </c>
      <c r="AC190" s="129">
        <v>0</v>
      </c>
      <c r="AD190" s="129">
        <v>0</v>
      </c>
      <c r="AE190" s="129">
        <v>0</v>
      </c>
      <c r="AF190" s="129">
        <v>333.745</v>
      </c>
      <c r="AG190" s="129">
        <v>680.84984800000007</v>
      </c>
    </row>
    <row r="191" spans="1:33" x14ac:dyDescent="0.45">
      <c r="A191" s="134" t="s">
        <v>505</v>
      </c>
      <c r="B191" s="130"/>
      <c r="C191" s="133">
        <v>0</v>
      </c>
      <c r="D191" s="133">
        <v>0</v>
      </c>
      <c r="E191" s="133">
        <v>0</v>
      </c>
      <c r="F191" s="133">
        <v>0</v>
      </c>
      <c r="G191" s="133">
        <v>0</v>
      </c>
      <c r="H191" s="133">
        <v>0.63294099999999998</v>
      </c>
      <c r="I191" s="133">
        <v>0</v>
      </c>
      <c r="J191" s="133">
        <v>0.18</v>
      </c>
      <c r="K191" s="133">
        <v>0</v>
      </c>
      <c r="L191" s="133">
        <v>0</v>
      </c>
      <c r="M191" s="133">
        <v>0</v>
      </c>
      <c r="N191" s="133">
        <v>0</v>
      </c>
      <c r="O191" s="133">
        <v>43.9</v>
      </c>
      <c r="P191" s="133">
        <v>0</v>
      </c>
      <c r="Q191" s="133">
        <v>0</v>
      </c>
      <c r="R191" s="133">
        <v>0</v>
      </c>
      <c r="S191" s="133">
        <v>0</v>
      </c>
      <c r="T191" s="133">
        <v>0</v>
      </c>
      <c r="U191" s="133">
        <v>0</v>
      </c>
      <c r="V191" s="133">
        <v>0</v>
      </c>
      <c r="W191" s="133">
        <v>2.09</v>
      </c>
      <c r="X191" s="133">
        <v>0</v>
      </c>
      <c r="Y191" s="133">
        <v>2.2000000000000002</v>
      </c>
      <c r="Z191" s="133">
        <v>0</v>
      </c>
      <c r="AA191" s="133">
        <v>0</v>
      </c>
      <c r="AB191" s="133">
        <v>0</v>
      </c>
      <c r="AC191" s="133">
        <v>0</v>
      </c>
      <c r="AD191" s="133">
        <v>0</v>
      </c>
      <c r="AE191" s="133">
        <v>0</v>
      </c>
      <c r="AF191" s="133">
        <v>0</v>
      </c>
      <c r="AG191" s="133">
        <v>49.002941000000007</v>
      </c>
    </row>
    <row r="192" spans="1:33" x14ac:dyDescent="0.45">
      <c r="B192" s="130" t="s">
        <v>504</v>
      </c>
      <c r="C192" s="133">
        <v>0</v>
      </c>
      <c r="D192" s="133">
        <v>0</v>
      </c>
      <c r="E192" s="133">
        <v>0</v>
      </c>
      <c r="F192" s="133">
        <v>0</v>
      </c>
      <c r="G192" s="133">
        <v>0</v>
      </c>
      <c r="H192" s="133">
        <v>0.63294099999999998</v>
      </c>
      <c r="I192" s="133">
        <v>0</v>
      </c>
      <c r="J192" s="133">
        <v>0.18</v>
      </c>
      <c r="K192" s="133">
        <v>0</v>
      </c>
      <c r="L192" s="133">
        <v>0</v>
      </c>
      <c r="M192" s="133">
        <v>0</v>
      </c>
      <c r="N192" s="133">
        <v>0</v>
      </c>
      <c r="O192" s="133">
        <v>43.9</v>
      </c>
      <c r="P192" s="133">
        <v>0</v>
      </c>
      <c r="Q192" s="133">
        <v>0</v>
      </c>
      <c r="R192" s="133">
        <v>0</v>
      </c>
      <c r="S192" s="133">
        <v>0</v>
      </c>
      <c r="T192" s="133">
        <v>0</v>
      </c>
      <c r="U192" s="133">
        <v>0</v>
      </c>
      <c r="V192" s="133">
        <v>0</v>
      </c>
      <c r="W192" s="133">
        <v>2.09</v>
      </c>
      <c r="X192" s="133">
        <v>0</v>
      </c>
      <c r="Y192" s="133">
        <v>2.2000000000000002</v>
      </c>
      <c r="Z192" s="133">
        <v>0</v>
      </c>
      <c r="AA192" s="133">
        <v>0</v>
      </c>
      <c r="AB192" s="133">
        <v>0</v>
      </c>
      <c r="AC192" s="133">
        <v>0</v>
      </c>
      <c r="AD192" s="133">
        <v>0</v>
      </c>
      <c r="AE192" s="133">
        <v>0</v>
      </c>
      <c r="AF192" s="133">
        <v>0</v>
      </c>
      <c r="AG192" s="133">
        <v>49.002941000000007</v>
      </c>
    </row>
    <row r="193" spans="1:33" x14ac:dyDescent="0.45">
      <c r="A193" s="134" t="s">
        <v>502</v>
      </c>
      <c r="B193" s="130"/>
      <c r="C193" s="133">
        <v>0</v>
      </c>
      <c r="D193" s="133">
        <v>137.36099999999999</v>
      </c>
      <c r="E193" s="133">
        <v>0</v>
      </c>
      <c r="F193" s="133">
        <v>0</v>
      </c>
      <c r="G193" s="133">
        <v>12.393000000000001</v>
      </c>
      <c r="H193" s="133">
        <v>0</v>
      </c>
      <c r="I193" s="133">
        <v>0.45</v>
      </c>
      <c r="J193" s="133">
        <v>17.305999999999997</v>
      </c>
      <c r="K193" s="133">
        <v>0</v>
      </c>
      <c r="L193" s="133">
        <v>0</v>
      </c>
      <c r="M193" s="133">
        <v>0</v>
      </c>
      <c r="N193" s="133">
        <v>0</v>
      </c>
      <c r="O193" s="133">
        <v>58.450200000000002</v>
      </c>
      <c r="P193" s="133">
        <v>17.873000000000001</v>
      </c>
      <c r="Q193" s="133">
        <v>28.471</v>
      </c>
      <c r="R193" s="133">
        <v>0</v>
      </c>
      <c r="S193" s="133">
        <v>12.83821</v>
      </c>
      <c r="T193" s="133">
        <v>0</v>
      </c>
      <c r="U193" s="133">
        <v>0</v>
      </c>
      <c r="V193" s="133">
        <v>0</v>
      </c>
      <c r="W193" s="133">
        <v>9.2344299999999997</v>
      </c>
      <c r="X193" s="133">
        <v>0</v>
      </c>
      <c r="Y193" s="133">
        <v>3.2829999999999999</v>
      </c>
      <c r="Z193" s="133">
        <v>0</v>
      </c>
      <c r="AA193" s="133">
        <v>0</v>
      </c>
      <c r="AB193" s="133">
        <v>0</v>
      </c>
      <c r="AC193" s="133">
        <v>0</v>
      </c>
      <c r="AD193" s="133">
        <v>0</v>
      </c>
      <c r="AE193" s="133">
        <v>0</v>
      </c>
      <c r="AF193" s="133">
        <v>0</v>
      </c>
      <c r="AG193" s="133">
        <v>297.65983999999997</v>
      </c>
    </row>
    <row r="194" spans="1:33" x14ac:dyDescent="0.45">
      <c r="A194" s="126"/>
      <c r="B194" s="129" t="s">
        <v>503</v>
      </c>
      <c r="C194" s="129">
        <v>0</v>
      </c>
      <c r="D194" s="129">
        <v>137.36099999999999</v>
      </c>
      <c r="E194" s="129">
        <v>0</v>
      </c>
      <c r="F194" s="129">
        <v>0</v>
      </c>
      <c r="G194" s="129">
        <v>12.393000000000001</v>
      </c>
      <c r="H194" s="129">
        <v>0</v>
      </c>
      <c r="I194" s="129">
        <v>0</v>
      </c>
      <c r="J194" s="129">
        <v>16.274999999999999</v>
      </c>
      <c r="K194" s="129">
        <v>0</v>
      </c>
      <c r="L194" s="129">
        <v>0</v>
      </c>
      <c r="M194" s="129">
        <v>0</v>
      </c>
      <c r="N194" s="129">
        <v>0</v>
      </c>
      <c r="O194" s="129">
        <v>58.450200000000002</v>
      </c>
      <c r="P194" s="129">
        <v>17.873000000000001</v>
      </c>
      <c r="Q194" s="129">
        <v>28.471</v>
      </c>
      <c r="R194" s="129">
        <v>0</v>
      </c>
      <c r="S194" s="129">
        <v>4.3662099999999997</v>
      </c>
      <c r="T194" s="129">
        <v>0</v>
      </c>
      <c r="U194" s="129">
        <v>0</v>
      </c>
      <c r="V194" s="129">
        <v>0</v>
      </c>
      <c r="W194" s="129">
        <v>9.0904299999999996</v>
      </c>
      <c r="X194" s="129">
        <v>0</v>
      </c>
      <c r="Y194" s="129">
        <v>3.2829999999999999</v>
      </c>
      <c r="Z194" s="129">
        <v>0</v>
      </c>
      <c r="AA194" s="129">
        <v>0</v>
      </c>
      <c r="AB194" s="129">
        <v>0</v>
      </c>
      <c r="AC194" s="129">
        <v>0</v>
      </c>
      <c r="AD194" s="129">
        <v>0</v>
      </c>
      <c r="AE194" s="129">
        <v>0</v>
      </c>
      <c r="AF194" s="129">
        <v>0</v>
      </c>
      <c r="AG194" s="129">
        <v>287.56283999999999</v>
      </c>
    </row>
    <row r="195" spans="1:33" x14ac:dyDescent="0.45">
      <c r="B195" s="130" t="s">
        <v>501</v>
      </c>
      <c r="C195" s="133">
        <v>0</v>
      </c>
      <c r="D195" s="133">
        <v>0</v>
      </c>
      <c r="E195" s="133">
        <v>0</v>
      </c>
      <c r="F195" s="133">
        <v>0</v>
      </c>
      <c r="G195" s="133">
        <v>0</v>
      </c>
      <c r="H195" s="133">
        <v>0</v>
      </c>
      <c r="I195" s="133">
        <v>0.45</v>
      </c>
      <c r="J195" s="133">
        <v>1.0309999999999999</v>
      </c>
      <c r="K195" s="133">
        <v>0</v>
      </c>
      <c r="L195" s="133">
        <v>0</v>
      </c>
      <c r="M195" s="133">
        <v>0</v>
      </c>
      <c r="N195" s="133">
        <v>0</v>
      </c>
      <c r="O195" s="133">
        <v>0</v>
      </c>
      <c r="P195" s="133">
        <v>0</v>
      </c>
      <c r="Q195" s="133">
        <v>0</v>
      </c>
      <c r="R195" s="133">
        <v>0</v>
      </c>
      <c r="S195" s="133">
        <v>8.4719999999999995</v>
      </c>
      <c r="T195" s="133">
        <v>0</v>
      </c>
      <c r="U195" s="133">
        <v>0</v>
      </c>
      <c r="V195" s="133">
        <v>0</v>
      </c>
      <c r="W195" s="133">
        <v>0.14399999999999999</v>
      </c>
      <c r="X195" s="133">
        <v>0</v>
      </c>
      <c r="Y195" s="133">
        <v>0</v>
      </c>
      <c r="Z195" s="133">
        <v>0</v>
      </c>
      <c r="AA195" s="133">
        <v>0</v>
      </c>
      <c r="AB195" s="133">
        <v>0</v>
      </c>
      <c r="AC195" s="133">
        <v>0</v>
      </c>
      <c r="AD195" s="133">
        <v>0</v>
      </c>
      <c r="AE195" s="133">
        <v>0</v>
      </c>
      <c r="AF195" s="133">
        <v>0</v>
      </c>
      <c r="AG195" s="133">
        <v>10.097</v>
      </c>
    </row>
    <row r="196" spans="1:33" x14ac:dyDescent="0.45">
      <c r="A196" s="126" t="s">
        <v>498</v>
      </c>
      <c r="B196" s="129"/>
      <c r="C196" s="129">
        <v>0</v>
      </c>
      <c r="D196" s="129">
        <v>0</v>
      </c>
      <c r="E196" s="129">
        <v>0</v>
      </c>
      <c r="F196" s="129">
        <v>0</v>
      </c>
      <c r="G196" s="129">
        <v>40.332999999999998</v>
      </c>
      <c r="H196" s="129">
        <v>20.535</v>
      </c>
      <c r="I196" s="129">
        <v>0.33800000000000002</v>
      </c>
      <c r="J196" s="129">
        <v>0</v>
      </c>
      <c r="K196" s="129">
        <v>0</v>
      </c>
      <c r="L196" s="129">
        <v>0</v>
      </c>
      <c r="M196" s="129">
        <v>0</v>
      </c>
      <c r="N196" s="129">
        <v>0</v>
      </c>
      <c r="O196" s="129">
        <v>169.262</v>
      </c>
      <c r="P196" s="129">
        <v>102.51100000000001</v>
      </c>
      <c r="Q196" s="129">
        <v>10.305</v>
      </c>
      <c r="R196" s="129">
        <v>0</v>
      </c>
      <c r="S196" s="129">
        <v>256.697</v>
      </c>
      <c r="T196" s="129">
        <v>0</v>
      </c>
      <c r="U196" s="129">
        <v>0</v>
      </c>
      <c r="V196" s="129">
        <v>0</v>
      </c>
      <c r="W196" s="129">
        <v>25.68</v>
      </c>
      <c r="X196" s="129">
        <v>12.72</v>
      </c>
      <c r="Y196" s="129">
        <v>8.3350000000000009</v>
      </c>
      <c r="Z196" s="129">
        <v>0</v>
      </c>
      <c r="AA196" s="129">
        <v>67.741</v>
      </c>
      <c r="AB196" s="129">
        <v>142.4</v>
      </c>
      <c r="AC196" s="129">
        <v>0</v>
      </c>
      <c r="AD196" s="129">
        <v>0</v>
      </c>
      <c r="AE196" s="129">
        <v>0</v>
      </c>
      <c r="AF196" s="129">
        <v>32.788200000000003</v>
      </c>
      <c r="AG196" s="129">
        <v>889.64519999999993</v>
      </c>
    </row>
    <row r="197" spans="1:33" x14ac:dyDescent="0.45">
      <c r="B197" s="130" t="s">
        <v>500</v>
      </c>
      <c r="C197" s="133">
        <v>0</v>
      </c>
      <c r="D197" s="133">
        <v>0</v>
      </c>
      <c r="E197" s="133">
        <v>0</v>
      </c>
      <c r="F197" s="133">
        <v>0</v>
      </c>
      <c r="G197" s="133">
        <v>36.783000000000001</v>
      </c>
      <c r="H197" s="133">
        <v>16.625</v>
      </c>
      <c r="I197" s="133">
        <v>0</v>
      </c>
      <c r="J197" s="133">
        <v>0</v>
      </c>
      <c r="K197" s="133">
        <v>0</v>
      </c>
      <c r="L197" s="133">
        <v>0</v>
      </c>
      <c r="M197" s="133">
        <v>0</v>
      </c>
      <c r="N197" s="133">
        <v>0</v>
      </c>
      <c r="O197" s="133">
        <v>169.262</v>
      </c>
      <c r="P197" s="133">
        <v>99.561000000000007</v>
      </c>
      <c r="Q197" s="133">
        <v>10.305</v>
      </c>
      <c r="R197" s="133">
        <v>0</v>
      </c>
      <c r="S197" s="133">
        <v>215.42699999999999</v>
      </c>
      <c r="T197" s="133">
        <v>0</v>
      </c>
      <c r="U197" s="133">
        <v>0</v>
      </c>
      <c r="V197" s="133">
        <v>0</v>
      </c>
      <c r="W197" s="133">
        <v>24.15</v>
      </c>
      <c r="X197" s="133">
        <v>0</v>
      </c>
      <c r="Y197" s="133">
        <v>5.0949999999999998</v>
      </c>
      <c r="Z197" s="133">
        <v>0</v>
      </c>
      <c r="AA197" s="133">
        <v>67.741</v>
      </c>
      <c r="AB197" s="133">
        <v>142.4</v>
      </c>
      <c r="AC197" s="133">
        <v>0</v>
      </c>
      <c r="AD197" s="133">
        <v>0</v>
      </c>
      <c r="AE197" s="133">
        <v>0</v>
      </c>
      <c r="AF197" s="133">
        <v>32.788200000000003</v>
      </c>
      <c r="AG197" s="133">
        <v>820.13719999999989</v>
      </c>
    </row>
    <row r="198" spans="1:33" x14ac:dyDescent="0.45">
      <c r="A198" s="126"/>
      <c r="B198" s="129" t="s">
        <v>497</v>
      </c>
      <c r="C198" s="129">
        <v>0</v>
      </c>
      <c r="D198" s="129">
        <v>0</v>
      </c>
      <c r="E198" s="129">
        <v>0</v>
      </c>
      <c r="F198" s="129">
        <v>0</v>
      </c>
      <c r="G198" s="129">
        <v>3.55</v>
      </c>
      <c r="H198" s="129">
        <v>3.91</v>
      </c>
      <c r="I198" s="129">
        <v>0.33800000000000002</v>
      </c>
      <c r="J198" s="129">
        <v>0</v>
      </c>
      <c r="K198" s="129">
        <v>0</v>
      </c>
      <c r="L198" s="129">
        <v>0</v>
      </c>
      <c r="M198" s="129">
        <v>0</v>
      </c>
      <c r="N198" s="129">
        <v>0</v>
      </c>
      <c r="O198" s="129">
        <v>0</v>
      </c>
      <c r="P198" s="129">
        <v>2.95</v>
      </c>
      <c r="Q198" s="129">
        <v>0</v>
      </c>
      <c r="R198" s="129">
        <v>0</v>
      </c>
      <c r="S198" s="129">
        <v>41.27</v>
      </c>
      <c r="T198" s="129">
        <v>0</v>
      </c>
      <c r="U198" s="129">
        <v>0</v>
      </c>
      <c r="V198" s="129">
        <v>0</v>
      </c>
      <c r="W198" s="129">
        <v>1.53</v>
      </c>
      <c r="X198" s="129">
        <v>12.72</v>
      </c>
      <c r="Y198" s="129">
        <v>3.24</v>
      </c>
      <c r="Z198" s="129">
        <v>0</v>
      </c>
      <c r="AA198" s="129">
        <v>0</v>
      </c>
      <c r="AB198" s="129">
        <v>0</v>
      </c>
      <c r="AC198" s="129">
        <v>0</v>
      </c>
      <c r="AD198" s="129">
        <v>0</v>
      </c>
      <c r="AE198" s="129">
        <v>0</v>
      </c>
      <c r="AF198" s="129">
        <v>0</v>
      </c>
      <c r="AG198" s="129">
        <v>69.50800000000001</v>
      </c>
    </row>
    <row r="199" spans="1:33" x14ac:dyDescent="0.45">
      <c r="A199" s="134" t="s">
        <v>493</v>
      </c>
      <c r="B199" s="130"/>
      <c r="C199" s="133">
        <v>0</v>
      </c>
      <c r="D199" s="133">
        <v>0</v>
      </c>
      <c r="E199" s="133">
        <v>0</v>
      </c>
      <c r="F199" s="133">
        <v>22</v>
      </c>
      <c r="G199" s="133">
        <v>0.26100000000000001</v>
      </c>
      <c r="H199" s="133">
        <v>0</v>
      </c>
      <c r="I199" s="133">
        <v>0</v>
      </c>
      <c r="J199" s="133">
        <v>0.27899999999999997</v>
      </c>
      <c r="K199" s="133">
        <v>0</v>
      </c>
      <c r="L199" s="133">
        <v>0</v>
      </c>
      <c r="M199" s="133">
        <v>65</v>
      </c>
      <c r="N199" s="133">
        <v>0</v>
      </c>
      <c r="O199" s="133">
        <v>0</v>
      </c>
      <c r="P199" s="133">
        <v>27.6</v>
      </c>
      <c r="Q199" s="133">
        <v>0</v>
      </c>
      <c r="R199" s="133">
        <v>22</v>
      </c>
      <c r="S199" s="133">
        <v>17.867100000000001</v>
      </c>
      <c r="T199" s="133">
        <v>0</v>
      </c>
      <c r="U199" s="133">
        <v>0</v>
      </c>
      <c r="V199" s="133">
        <v>0</v>
      </c>
      <c r="W199" s="133">
        <v>0.97036499999999992</v>
      </c>
      <c r="X199" s="133">
        <v>0</v>
      </c>
      <c r="Y199" s="133">
        <v>5.4009999999999998</v>
      </c>
      <c r="Z199" s="133">
        <v>0</v>
      </c>
      <c r="AA199" s="133">
        <v>0</v>
      </c>
      <c r="AB199" s="133">
        <v>0</v>
      </c>
      <c r="AC199" s="133">
        <v>0</v>
      </c>
      <c r="AD199" s="133">
        <v>0</v>
      </c>
      <c r="AE199" s="133">
        <v>0</v>
      </c>
      <c r="AF199" s="133">
        <v>0</v>
      </c>
      <c r="AG199" s="133">
        <v>161.37846500000001</v>
      </c>
    </row>
    <row r="200" spans="1:33" x14ac:dyDescent="0.45">
      <c r="B200" s="130" t="s">
        <v>496</v>
      </c>
      <c r="C200" s="133">
        <v>0</v>
      </c>
      <c r="D200" s="133">
        <v>0</v>
      </c>
      <c r="E200" s="133">
        <v>0</v>
      </c>
      <c r="F200" s="133">
        <v>0</v>
      </c>
      <c r="G200" s="133">
        <v>0</v>
      </c>
      <c r="H200" s="133">
        <v>0</v>
      </c>
      <c r="I200" s="133">
        <v>0</v>
      </c>
      <c r="J200" s="133">
        <v>0.16</v>
      </c>
      <c r="K200" s="133">
        <v>0</v>
      </c>
      <c r="L200" s="133">
        <v>0</v>
      </c>
      <c r="M200" s="133">
        <v>0</v>
      </c>
      <c r="N200" s="133">
        <v>0</v>
      </c>
      <c r="O200" s="133">
        <v>0</v>
      </c>
      <c r="P200" s="133">
        <v>0</v>
      </c>
      <c r="Q200" s="133">
        <v>0</v>
      </c>
      <c r="R200" s="133">
        <v>0</v>
      </c>
      <c r="S200" s="133">
        <v>0</v>
      </c>
      <c r="T200" s="133">
        <v>0</v>
      </c>
      <c r="U200" s="133">
        <v>0</v>
      </c>
      <c r="V200" s="133">
        <v>0</v>
      </c>
      <c r="W200" s="133">
        <v>2.1999999999999999E-2</v>
      </c>
      <c r="X200" s="133">
        <v>0</v>
      </c>
      <c r="Y200" s="133">
        <v>1.117</v>
      </c>
      <c r="Z200" s="133">
        <v>0</v>
      </c>
      <c r="AA200" s="133">
        <v>0</v>
      </c>
      <c r="AB200" s="133">
        <v>0</v>
      </c>
      <c r="AC200" s="133">
        <v>0</v>
      </c>
      <c r="AD200" s="133">
        <v>0</v>
      </c>
      <c r="AE200" s="133">
        <v>0</v>
      </c>
      <c r="AF200" s="133">
        <v>0</v>
      </c>
      <c r="AG200" s="133">
        <v>1.2989999999999999</v>
      </c>
    </row>
    <row r="201" spans="1:33" x14ac:dyDescent="0.45">
      <c r="A201" s="126"/>
      <c r="B201" s="129" t="s">
        <v>495</v>
      </c>
      <c r="C201" s="129">
        <v>0</v>
      </c>
      <c r="D201" s="129">
        <v>0</v>
      </c>
      <c r="E201" s="129">
        <v>0</v>
      </c>
      <c r="F201" s="129">
        <v>0</v>
      </c>
      <c r="G201" s="129">
        <v>0</v>
      </c>
      <c r="H201" s="129">
        <v>0</v>
      </c>
      <c r="I201" s="129">
        <v>0</v>
      </c>
      <c r="J201" s="129">
        <v>7.1999999999999995E-2</v>
      </c>
      <c r="K201" s="129">
        <v>0</v>
      </c>
      <c r="L201" s="129">
        <v>0</v>
      </c>
      <c r="M201" s="129">
        <v>0</v>
      </c>
      <c r="N201" s="129">
        <v>0</v>
      </c>
      <c r="O201" s="129">
        <v>0</v>
      </c>
      <c r="P201" s="129">
        <v>0</v>
      </c>
      <c r="Q201" s="129">
        <v>0</v>
      </c>
      <c r="R201" s="129">
        <v>0</v>
      </c>
      <c r="S201" s="129">
        <v>0</v>
      </c>
      <c r="T201" s="129">
        <v>0</v>
      </c>
      <c r="U201" s="129">
        <v>0</v>
      </c>
      <c r="V201" s="129">
        <v>0</v>
      </c>
      <c r="W201" s="129">
        <v>2.3E-2</v>
      </c>
      <c r="X201" s="129">
        <v>0</v>
      </c>
      <c r="Y201" s="129">
        <v>1.159</v>
      </c>
      <c r="Z201" s="129">
        <v>0</v>
      </c>
      <c r="AA201" s="129">
        <v>0</v>
      </c>
      <c r="AB201" s="129">
        <v>0</v>
      </c>
      <c r="AC201" s="129">
        <v>0</v>
      </c>
      <c r="AD201" s="129">
        <v>0</v>
      </c>
      <c r="AE201" s="129">
        <v>0</v>
      </c>
      <c r="AF201" s="129">
        <v>0</v>
      </c>
      <c r="AG201" s="129">
        <v>1.254</v>
      </c>
    </row>
    <row r="202" spans="1:33" x14ac:dyDescent="0.45">
      <c r="B202" s="130" t="s">
        <v>494</v>
      </c>
      <c r="C202" s="133">
        <v>0</v>
      </c>
      <c r="D202" s="133">
        <v>0</v>
      </c>
      <c r="E202" s="133">
        <v>0</v>
      </c>
      <c r="F202" s="133">
        <v>0</v>
      </c>
      <c r="G202" s="133">
        <v>0</v>
      </c>
      <c r="H202" s="133">
        <v>0</v>
      </c>
      <c r="I202" s="133">
        <v>0</v>
      </c>
      <c r="J202" s="133">
        <v>4.7E-2</v>
      </c>
      <c r="K202" s="133">
        <v>0</v>
      </c>
      <c r="L202" s="133">
        <v>0</v>
      </c>
      <c r="M202" s="133">
        <v>0</v>
      </c>
      <c r="N202" s="133">
        <v>0</v>
      </c>
      <c r="O202" s="133">
        <v>0</v>
      </c>
      <c r="P202" s="133">
        <v>0</v>
      </c>
      <c r="Q202" s="133">
        <v>0</v>
      </c>
      <c r="R202" s="133">
        <v>0</v>
      </c>
      <c r="S202" s="133">
        <v>0</v>
      </c>
      <c r="T202" s="133">
        <v>0</v>
      </c>
      <c r="U202" s="133">
        <v>0</v>
      </c>
      <c r="V202" s="133">
        <v>0</v>
      </c>
      <c r="W202" s="133">
        <v>5.0999999999999997E-2</v>
      </c>
      <c r="X202" s="133">
        <v>0</v>
      </c>
      <c r="Y202" s="133">
        <v>3.125</v>
      </c>
      <c r="Z202" s="133">
        <v>0</v>
      </c>
      <c r="AA202" s="133">
        <v>0</v>
      </c>
      <c r="AB202" s="133">
        <v>0</v>
      </c>
      <c r="AC202" s="133">
        <v>0</v>
      </c>
      <c r="AD202" s="133">
        <v>0</v>
      </c>
      <c r="AE202" s="133">
        <v>0</v>
      </c>
      <c r="AF202" s="133">
        <v>0</v>
      </c>
      <c r="AG202" s="133">
        <v>3.2230000000000003</v>
      </c>
    </row>
    <row r="203" spans="1:33" x14ac:dyDescent="0.45">
      <c r="B203" s="130" t="s">
        <v>492</v>
      </c>
      <c r="C203" s="133">
        <v>0</v>
      </c>
      <c r="D203" s="133">
        <v>0</v>
      </c>
      <c r="E203" s="133">
        <v>0</v>
      </c>
      <c r="F203" s="133">
        <v>22</v>
      </c>
      <c r="G203" s="133">
        <v>0.26100000000000001</v>
      </c>
      <c r="H203" s="133">
        <v>0</v>
      </c>
      <c r="I203" s="133">
        <v>0</v>
      </c>
      <c r="J203" s="133">
        <v>0</v>
      </c>
      <c r="K203" s="133">
        <v>0</v>
      </c>
      <c r="L203" s="133">
        <v>0</v>
      </c>
      <c r="M203" s="133">
        <v>65</v>
      </c>
      <c r="N203" s="133">
        <v>0</v>
      </c>
      <c r="O203" s="133">
        <v>0</v>
      </c>
      <c r="P203" s="133">
        <v>27.6</v>
      </c>
      <c r="Q203" s="133">
        <v>0</v>
      </c>
      <c r="R203" s="133">
        <v>22</v>
      </c>
      <c r="S203" s="133">
        <v>17.867100000000001</v>
      </c>
      <c r="T203" s="133">
        <v>0</v>
      </c>
      <c r="U203" s="133">
        <v>0</v>
      </c>
      <c r="V203" s="133">
        <v>0</v>
      </c>
      <c r="W203" s="133">
        <v>0.87436499999999995</v>
      </c>
      <c r="X203" s="133">
        <v>0</v>
      </c>
      <c r="Y203" s="133">
        <v>0</v>
      </c>
      <c r="Z203" s="133">
        <v>0</v>
      </c>
      <c r="AA203" s="133">
        <v>0</v>
      </c>
      <c r="AB203" s="133">
        <v>0</v>
      </c>
      <c r="AC203" s="133">
        <v>0</v>
      </c>
      <c r="AD203" s="133">
        <v>0</v>
      </c>
      <c r="AE203" s="133">
        <v>0</v>
      </c>
      <c r="AF203" s="133">
        <v>0</v>
      </c>
      <c r="AG203" s="133">
        <v>155.602465</v>
      </c>
    </row>
    <row r="204" spans="1:33" x14ac:dyDescent="0.45">
      <c r="A204" s="134" t="s">
        <v>490</v>
      </c>
      <c r="B204" s="130"/>
      <c r="C204" s="133">
        <v>0</v>
      </c>
      <c r="D204" s="133">
        <v>159.48699999999999</v>
      </c>
      <c r="E204" s="133">
        <v>0</v>
      </c>
      <c r="F204" s="133">
        <v>0</v>
      </c>
      <c r="G204" s="133">
        <v>0</v>
      </c>
      <c r="H204" s="133">
        <v>0</v>
      </c>
      <c r="I204" s="133">
        <v>0</v>
      </c>
      <c r="J204" s="133">
        <v>2.1463299999999998</v>
      </c>
      <c r="K204" s="133">
        <v>0</v>
      </c>
      <c r="L204" s="133">
        <v>0</v>
      </c>
      <c r="M204" s="133">
        <v>0</v>
      </c>
      <c r="N204" s="133">
        <v>3.5000000000000001E-3</v>
      </c>
      <c r="O204" s="133">
        <v>56.827599999999997</v>
      </c>
      <c r="P204" s="133">
        <v>16.75</v>
      </c>
      <c r="Q204" s="133">
        <v>69.47</v>
      </c>
      <c r="R204" s="133">
        <v>0</v>
      </c>
      <c r="S204" s="133">
        <v>29.18</v>
      </c>
      <c r="T204" s="133">
        <v>0</v>
      </c>
      <c r="U204" s="133">
        <v>0</v>
      </c>
      <c r="V204" s="133">
        <v>0</v>
      </c>
      <c r="W204" s="133">
        <v>9.2893000000000008</v>
      </c>
      <c r="X204" s="133">
        <v>0</v>
      </c>
      <c r="Y204" s="133">
        <v>0</v>
      </c>
      <c r="Z204" s="133">
        <v>0</v>
      </c>
      <c r="AA204" s="133">
        <v>0</v>
      </c>
      <c r="AB204" s="133">
        <v>0</v>
      </c>
      <c r="AC204" s="133">
        <v>0</v>
      </c>
      <c r="AD204" s="133">
        <v>0</v>
      </c>
      <c r="AE204" s="133">
        <v>0</v>
      </c>
      <c r="AF204" s="133">
        <v>0</v>
      </c>
      <c r="AG204" s="133">
        <v>343.15373</v>
      </c>
    </row>
    <row r="205" spans="1:33" x14ac:dyDescent="0.45">
      <c r="B205" s="130" t="s">
        <v>489</v>
      </c>
      <c r="C205" s="133">
        <v>0</v>
      </c>
      <c r="D205" s="133">
        <v>159.48699999999999</v>
      </c>
      <c r="E205" s="133">
        <v>0</v>
      </c>
      <c r="F205" s="133">
        <v>0</v>
      </c>
      <c r="G205" s="133">
        <v>0</v>
      </c>
      <c r="H205" s="133">
        <v>0</v>
      </c>
      <c r="I205" s="133">
        <v>0</v>
      </c>
      <c r="J205" s="133">
        <v>2.1463299999999998</v>
      </c>
      <c r="K205" s="133">
        <v>0</v>
      </c>
      <c r="L205" s="133">
        <v>0</v>
      </c>
      <c r="M205" s="133">
        <v>0</v>
      </c>
      <c r="N205" s="133">
        <v>3.5000000000000001E-3</v>
      </c>
      <c r="O205" s="133">
        <v>56.827599999999997</v>
      </c>
      <c r="P205" s="133">
        <v>16.75</v>
      </c>
      <c r="Q205" s="133">
        <v>69.47</v>
      </c>
      <c r="R205" s="133">
        <v>0</v>
      </c>
      <c r="S205" s="133">
        <v>29.18</v>
      </c>
      <c r="T205" s="133">
        <v>0</v>
      </c>
      <c r="U205" s="133">
        <v>0</v>
      </c>
      <c r="V205" s="133">
        <v>0</v>
      </c>
      <c r="W205" s="133">
        <v>9.2893000000000008</v>
      </c>
      <c r="X205" s="133">
        <v>0</v>
      </c>
      <c r="Y205" s="133">
        <v>0</v>
      </c>
      <c r="Z205" s="133">
        <v>0</v>
      </c>
      <c r="AA205" s="133">
        <v>0</v>
      </c>
      <c r="AB205" s="133">
        <v>0</v>
      </c>
      <c r="AC205" s="133">
        <v>0</v>
      </c>
      <c r="AD205" s="133">
        <v>0</v>
      </c>
      <c r="AE205" s="133">
        <v>0</v>
      </c>
      <c r="AF205" s="133">
        <v>0</v>
      </c>
      <c r="AG205" s="133">
        <v>343.15373</v>
      </c>
    </row>
    <row r="206" spans="1:33" x14ac:dyDescent="0.45">
      <c r="A206" s="126" t="s">
        <v>480</v>
      </c>
      <c r="B206" s="129"/>
      <c r="C206" s="129">
        <v>0</v>
      </c>
      <c r="D206" s="129">
        <v>0</v>
      </c>
      <c r="E206" s="129">
        <v>0</v>
      </c>
      <c r="F206" s="129">
        <v>0</v>
      </c>
      <c r="G206" s="129">
        <v>0.60899999999999999</v>
      </c>
      <c r="H206" s="129">
        <v>0</v>
      </c>
      <c r="I206" s="129">
        <v>0</v>
      </c>
      <c r="J206" s="129">
        <v>7.6720000000000006</v>
      </c>
      <c r="K206" s="129">
        <v>0</v>
      </c>
      <c r="L206" s="129">
        <v>0</v>
      </c>
      <c r="M206" s="129">
        <v>0</v>
      </c>
      <c r="N206" s="129">
        <v>0</v>
      </c>
      <c r="O206" s="129">
        <v>0</v>
      </c>
      <c r="P206" s="129">
        <v>0</v>
      </c>
      <c r="Q206" s="129">
        <v>0</v>
      </c>
      <c r="R206" s="129">
        <v>0</v>
      </c>
      <c r="S206" s="129">
        <v>85.4</v>
      </c>
      <c r="T206" s="129">
        <v>0</v>
      </c>
      <c r="U206" s="129">
        <v>0</v>
      </c>
      <c r="V206" s="129">
        <v>0</v>
      </c>
      <c r="W206" s="129">
        <v>1.9219999999999999</v>
      </c>
      <c r="X206" s="129">
        <v>12.618</v>
      </c>
      <c r="Y206" s="129">
        <v>0.89800000000000002</v>
      </c>
      <c r="Z206" s="129">
        <v>0</v>
      </c>
      <c r="AA206" s="129">
        <v>0</v>
      </c>
      <c r="AB206" s="129">
        <v>0</v>
      </c>
      <c r="AC206" s="129">
        <v>16.905999999999999</v>
      </c>
      <c r="AD206" s="129">
        <v>0</v>
      </c>
      <c r="AE206" s="129">
        <v>0</v>
      </c>
      <c r="AF206" s="129">
        <v>0</v>
      </c>
      <c r="AG206" s="129">
        <v>126.02500000000001</v>
      </c>
    </row>
    <row r="207" spans="1:33" x14ac:dyDescent="0.45">
      <c r="B207" s="130" t="s">
        <v>488</v>
      </c>
      <c r="C207" s="133">
        <v>0</v>
      </c>
      <c r="D207" s="133">
        <v>0</v>
      </c>
      <c r="E207" s="133">
        <v>0</v>
      </c>
      <c r="F207" s="133">
        <v>0</v>
      </c>
      <c r="G207" s="133">
        <v>0</v>
      </c>
      <c r="H207" s="133">
        <v>0</v>
      </c>
      <c r="I207" s="133">
        <v>0</v>
      </c>
      <c r="J207" s="133">
        <v>0.43</v>
      </c>
      <c r="K207" s="133">
        <v>0</v>
      </c>
      <c r="L207" s="133">
        <v>0</v>
      </c>
      <c r="M207" s="133">
        <v>0</v>
      </c>
      <c r="N207" s="133">
        <v>0</v>
      </c>
      <c r="O207" s="133">
        <v>0</v>
      </c>
      <c r="P207" s="133">
        <v>0</v>
      </c>
      <c r="Q207" s="133">
        <v>0</v>
      </c>
      <c r="R207" s="133">
        <v>0</v>
      </c>
      <c r="S207" s="133">
        <v>11.65</v>
      </c>
      <c r="T207" s="133">
        <v>0</v>
      </c>
      <c r="U207" s="133">
        <v>0</v>
      </c>
      <c r="V207" s="133">
        <v>0</v>
      </c>
      <c r="W207" s="133">
        <v>0.154</v>
      </c>
      <c r="X207" s="133">
        <v>0</v>
      </c>
      <c r="Y207" s="133">
        <v>0</v>
      </c>
      <c r="Z207" s="133">
        <v>0</v>
      </c>
      <c r="AA207" s="133">
        <v>0</v>
      </c>
      <c r="AB207" s="133">
        <v>0</v>
      </c>
      <c r="AC207" s="133">
        <v>0</v>
      </c>
      <c r="AD207" s="133">
        <v>0</v>
      </c>
      <c r="AE207" s="133">
        <v>0</v>
      </c>
      <c r="AF207" s="133">
        <v>0</v>
      </c>
      <c r="AG207" s="133">
        <v>12.234</v>
      </c>
    </row>
    <row r="208" spans="1:33" x14ac:dyDescent="0.45">
      <c r="A208" s="126"/>
      <c r="B208" s="129" t="s">
        <v>487</v>
      </c>
      <c r="C208" s="129">
        <v>0</v>
      </c>
      <c r="D208" s="129">
        <v>0</v>
      </c>
      <c r="E208" s="129">
        <v>0</v>
      </c>
      <c r="F208" s="129">
        <v>0</v>
      </c>
      <c r="G208" s="129">
        <v>0</v>
      </c>
      <c r="H208" s="129">
        <v>0</v>
      </c>
      <c r="I208" s="129">
        <v>0</v>
      </c>
      <c r="J208" s="129">
        <v>0.41899999999999998</v>
      </c>
      <c r="K208" s="129">
        <v>0</v>
      </c>
      <c r="L208" s="129">
        <v>0</v>
      </c>
      <c r="M208" s="129">
        <v>0</v>
      </c>
      <c r="N208" s="129">
        <v>0</v>
      </c>
      <c r="O208" s="129">
        <v>0</v>
      </c>
      <c r="P208" s="129">
        <v>0</v>
      </c>
      <c r="Q208" s="129">
        <v>0</v>
      </c>
      <c r="R208" s="129">
        <v>0</v>
      </c>
      <c r="S208" s="129">
        <v>9.2629999999999999</v>
      </c>
      <c r="T208" s="129">
        <v>0</v>
      </c>
      <c r="U208" s="129">
        <v>0</v>
      </c>
      <c r="V208" s="129">
        <v>0</v>
      </c>
      <c r="W208" s="129">
        <v>9.2999999999999999E-2</v>
      </c>
      <c r="X208" s="129">
        <v>0</v>
      </c>
      <c r="Y208" s="129">
        <v>0</v>
      </c>
      <c r="Z208" s="129">
        <v>0</v>
      </c>
      <c r="AA208" s="129">
        <v>0</v>
      </c>
      <c r="AB208" s="129">
        <v>0</v>
      </c>
      <c r="AC208" s="129">
        <v>0</v>
      </c>
      <c r="AD208" s="129">
        <v>0</v>
      </c>
      <c r="AE208" s="129">
        <v>0</v>
      </c>
      <c r="AF208" s="129">
        <v>0</v>
      </c>
      <c r="AG208" s="129">
        <v>9.7750000000000004</v>
      </c>
    </row>
    <row r="209" spans="1:33" x14ac:dyDescent="0.45">
      <c r="B209" s="130" t="s">
        <v>486</v>
      </c>
      <c r="C209" s="133">
        <v>0</v>
      </c>
      <c r="D209" s="133">
        <v>0</v>
      </c>
      <c r="E209" s="133">
        <v>0</v>
      </c>
      <c r="F209" s="133">
        <v>0</v>
      </c>
      <c r="G209" s="133">
        <v>0</v>
      </c>
      <c r="H209" s="133">
        <v>0</v>
      </c>
      <c r="I209" s="133">
        <v>0</v>
      </c>
      <c r="J209" s="133">
        <v>0.158</v>
      </c>
      <c r="K209" s="133">
        <v>0</v>
      </c>
      <c r="L209" s="133">
        <v>0</v>
      </c>
      <c r="M209" s="133">
        <v>0</v>
      </c>
      <c r="N209" s="133">
        <v>0</v>
      </c>
      <c r="O209" s="133">
        <v>0</v>
      </c>
      <c r="P209" s="133">
        <v>0</v>
      </c>
      <c r="Q209" s="133">
        <v>0</v>
      </c>
      <c r="R209" s="133">
        <v>0</v>
      </c>
      <c r="S209" s="133">
        <v>15.981</v>
      </c>
      <c r="T209" s="133">
        <v>0</v>
      </c>
      <c r="U209" s="133">
        <v>0</v>
      </c>
      <c r="V209" s="133">
        <v>0</v>
      </c>
      <c r="W209" s="133">
        <v>0.24199999999999999</v>
      </c>
      <c r="X209" s="133">
        <v>0</v>
      </c>
      <c r="Y209" s="133">
        <v>0</v>
      </c>
      <c r="Z209" s="133">
        <v>0</v>
      </c>
      <c r="AA209" s="133">
        <v>0</v>
      </c>
      <c r="AB209" s="133">
        <v>0</v>
      </c>
      <c r="AC209" s="133">
        <v>0</v>
      </c>
      <c r="AD209" s="133">
        <v>0</v>
      </c>
      <c r="AE209" s="133">
        <v>0</v>
      </c>
      <c r="AF209" s="133">
        <v>0</v>
      </c>
      <c r="AG209" s="133">
        <v>16.381</v>
      </c>
    </row>
    <row r="210" spans="1:33" x14ac:dyDescent="0.45">
      <c r="A210" s="126"/>
      <c r="B210" s="129" t="s">
        <v>485</v>
      </c>
      <c r="C210" s="129">
        <v>0</v>
      </c>
      <c r="D210" s="129">
        <v>0</v>
      </c>
      <c r="E210" s="129">
        <v>0</v>
      </c>
      <c r="F210" s="129">
        <v>0</v>
      </c>
      <c r="G210" s="129">
        <v>0</v>
      </c>
      <c r="H210" s="129">
        <v>0</v>
      </c>
      <c r="I210" s="129">
        <v>0</v>
      </c>
      <c r="J210" s="129">
        <v>9.6000000000000002E-2</v>
      </c>
      <c r="K210" s="129">
        <v>0</v>
      </c>
      <c r="L210" s="129">
        <v>0</v>
      </c>
      <c r="M210" s="129">
        <v>0</v>
      </c>
      <c r="N210" s="129">
        <v>0</v>
      </c>
      <c r="O210" s="129">
        <v>0</v>
      </c>
      <c r="P210" s="129">
        <v>0</v>
      </c>
      <c r="Q210" s="129">
        <v>0</v>
      </c>
      <c r="R210" s="129">
        <v>0</v>
      </c>
      <c r="S210" s="129">
        <v>0</v>
      </c>
      <c r="T210" s="129">
        <v>0</v>
      </c>
      <c r="U210" s="129">
        <v>0</v>
      </c>
      <c r="V210" s="129">
        <v>0</v>
      </c>
      <c r="W210" s="129">
        <v>0.113</v>
      </c>
      <c r="X210" s="129">
        <v>7.2430000000000003</v>
      </c>
      <c r="Y210" s="129">
        <v>0.54800000000000004</v>
      </c>
      <c r="Z210" s="129">
        <v>0</v>
      </c>
      <c r="AA210" s="129">
        <v>0</v>
      </c>
      <c r="AB210" s="129">
        <v>0</v>
      </c>
      <c r="AC210" s="129">
        <v>0</v>
      </c>
      <c r="AD210" s="129">
        <v>0</v>
      </c>
      <c r="AE210" s="129">
        <v>0</v>
      </c>
      <c r="AF210" s="129">
        <v>0</v>
      </c>
      <c r="AG210" s="129">
        <v>8</v>
      </c>
    </row>
    <row r="211" spans="1:33" x14ac:dyDescent="0.45">
      <c r="B211" s="130" t="s">
        <v>484</v>
      </c>
      <c r="C211" s="133">
        <v>0</v>
      </c>
      <c r="D211" s="133">
        <v>0</v>
      </c>
      <c r="E211" s="133">
        <v>0</v>
      </c>
      <c r="F211" s="133">
        <v>0</v>
      </c>
      <c r="G211" s="133">
        <v>0</v>
      </c>
      <c r="H211" s="133">
        <v>0</v>
      </c>
      <c r="I211" s="133">
        <v>0</v>
      </c>
      <c r="J211" s="133">
        <v>0</v>
      </c>
      <c r="K211" s="133">
        <v>0</v>
      </c>
      <c r="L211" s="133">
        <v>0</v>
      </c>
      <c r="M211" s="133">
        <v>0</v>
      </c>
      <c r="N211" s="133">
        <v>0</v>
      </c>
      <c r="O211" s="133">
        <v>0</v>
      </c>
      <c r="P211" s="133">
        <v>0</v>
      </c>
      <c r="Q211" s="133">
        <v>0</v>
      </c>
      <c r="R211" s="133">
        <v>0</v>
      </c>
      <c r="S211" s="133">
        <v>0</v>
      </c>
      <c r="T211" s="133">
        <v>0</v>
      </c>
      <c r="U211" s="133">
        <v>0</v>
      </c>
      <c r="V211" s="133">
        <v>0</v>
      </c>
      <c r="W211" s="133">
        <v>0.27900000000000003</v>
      </c>
      <c r="X211" s="133">
        <v>5.375</v>
      </c>
      <c r="Y211" s="133">
        <v>0.35</v>
      </c>
      <c r="Z211" s="133">
        <v>0</v>
      </c>
      <c r="AA211" s="133">
        <v>0</v>
      </c>
      <c r="AB211" s="133">
        <v>0</v>
      </c>
      <c r="AC211" s="133">
        <v>7.4779999999999998</v>
      </c>
      <c r="AD211" s="133">
        <v>0</v>
      </c>
      <c r="AE211" s="133">
        <v>0</v>
      </c>
      <c r="AF211" s="133">
        <v>0</v>
      </c>
      <c r="AG211" s="133">
        <v>13.481999999999999</v>
      </c>
    </row>
    <row r="212" spans="1:33" x14ac:dyDescent="0.45">
      <c r="A212" s="126"/>
      <c r="B212" s="129" t="s">
        <v>483</v>
      </c>
      <c r="C212" s="129">
        <v>0</v>
      </c>
      <c r="D212" s="129">
        <v>0</v>
      </c>
      <c r="E212" s="129">
        <v>0</v>
      </c>
      <c r="F212" s="129">
        <v>0</v>
      </c>
      <c r="G212" s="129">
        <v>0</v>
      </c>
      <c r="H212" s="129">
        <v>0</v>
      </c>
      <c r="I212" s="129">
        <v>0</v>
      </c>
      <c r="J212" s="129">
        <v>6.4</v>
      </c>
      <c r="K212" s="129">
        <v>0</v>
      </c>
      <c r="L212" s="129">
        <v>0</v>
      </c>
      <c r="M212" s="129">
        <v>0</v>
      </c>
      <c r="N212" s="129">
        <v>0</v>
      </c>
      <c r="O212" s="129">
        <v>0</v>
      </c>
      <c r="P212" s="129">
        <v>0</v>
      </c>
      <c r="Q212" s="129">
        <v>0</v>
      </c>
      <c r="R212" s="129">
        <v>0</v>
      </c>
      <c r="S212" s="129">
        <v>16.452000000000002</v>
      </c>
      <c r="T212" s="129">
        <v>0</v>
      </c>
      <c r="U212" s="129">
        <v>0</v>
      </c>
      <c r="V212" s="129">
        <v>0</v>
      </c>
      <c r="W212" s="129">
        <v>0.504</v>
      </c>
      <c r="X212" s="129">
        <v>0</v>
      </c>
      <c r="Y212" s="129">
        <v>0</v>
      </c>
      <c r="Z212" s="129">
        <v>0</v>
      </c>
      <c r="AA212" s="129">
        <v>0</v>
      </c>
      <c r="AB212" s="129">
        <v>0</v>
      </c>
      <c r="AC212" s="129">
        <v>9.4280000000000008</v>
      </c>
      <c r="AD212" s="129">
        <v>0</v>
      </c>
      <c r="AE212" s="129">
        <v>0</v>
      </c>
      <c r="AF212" s="129">
        <v>0</v>
      </c>
      <c r="AG212" s="129">
        <v>32.783999999999999</v>
      </c>
    </row>
    <row r="213" spans="1:33" x14ac:dyDescent="0.45">
      <c r="B213" s="130" t="s">
        <v>482</v>
      </c>
      <c r="C213" s="133">
        <v>0</v>
      </c>
      <c r="D213" s="133">
        <v>0</v>
      </c>
      <c r="E213" s="133">
        <v>0</v>
      </c>
      <c r="F213" s="133">
        <v>0</v>
      </c>
      <c r="G213" s="133">
        <v>0</v>
      </c>
      <c r="H213" s="133">
        <v>0</v>
      </c>
      <c r="I213" s="133">
        <v>0</v>
      </c>
      <c r="J213" s="133">
        <v>0.10199999999999999</v>
      </c>
      <c r="K213" s="133">
        <v>0</v>
      </c>
      <c r="L213" s="133">
        <v>0</v>
      </c>
      <c r="M213" s="133">
        <v>0</v>
      </c>
      <c r="N213" s="133">
        <v>0</v>
      </c>
      <c r="O213" s="133">
        <v>0</v>
      </c>
      <c r="P213" s="133">
        <v>0</v>
      </c>
      <c r="Q213" s="133">
        <v>0</v>
      </c>
      <c r="R213" s="133">
        <v>0</v>
      </c>
      <c r="S213" s="133">
        <v>9.2789999999999999</v>
      </c>
      <c r="T213" s="133">
        <v>0</v>
      </c>
      <c r="U213" s="133">
        <v>0</v>
      </c>
      <c r="V213" s="133">
        <v>0</v>
      </c>
      <c r="W213" s="133">
        <v>0.17799999999999999</v>
      </c>
      <c r="X213" s="133">
        <v>0</v>
      </c>
      <c r="Y213" s="133">
        <v>0</v>
      </c>
      <c r="Z213" s="133">
        <v>0</v>
      </c>
      <c r="AA213" s="133">
        <v>0</v>
      </c>
      <c r="AB213" s="133">
        <v>0</v>
      </c>
      <c r="AC213" s="133">
        <v>0</v>
      </c>
      <c r="AD213" s="133">
        <v>0</v>
      </c>
      <c r="AE213" s="133">
        <v>0</v>
      </c>
      <c r="AF213" s="133">
        <v>0</v>
      </c>
      <c r="AG213" s="133">
        <v>9.5590000000000011</v>
      </c>
    </row>
    <row r="214" spans="1:33" x14ac:dyDescent="0.45">
      <c r="A214" s="126"/>
      <c r="B214" s="129" t="s">
        <v>481</v>
      </c>
      <c r="C214" s="129">
        <v>0</v>
      </c>
      <c r="D214" s="129">
        <v>0</v>
      </c>
      <c r="E214" s="129">
        <v>0</v>
      </c>
      <c r="F214" s="129">
        <v>0</v>
      </c>
      <c r="G214" s="129">
        <v>0.60899999999999999</v>
      </c>
      <c r="H214" s="129">
        <v>0</v>
      </c>
      <c r="I214" s="129">
        <v>0</v>
      </c>
      <c r="J214" s="129">
        <v>4.2000000000000003E-2</v>
      </c>
      <c r="K214" s="129">
        <v>0</v>
      </c>
      <c r="L214" s="129">
        <v>0</v>
      </c>
      <c r="M214" s="129">
        <v>0</v>
      </c>
      <c r="N214" s="129">
        <v>0</v>
      </c>
      <c r="O214" s="129">
        <v>0</v>
      </c>
      <c r="P214" s="129">
        <v>0</v>
      </c>
      <c r="Q214" s="129">
        <v>0</v>
      </c>
      <c r="R214" s="129">
        <v>0</v>
      </c>
      <c r="S214" s="129">
        <v>15.342000000000001</v>
      </c>
      <c r="T214" s="129">
        <v>0</v>
      </c>
      <c r="U214" s="129">
        <v>0</v>
      </c>
      <c r="V214" s="129">
        <v>0</v>
      </c>
      <c r="W214" s="129">
        <v>0.224</v>
      </c>
      <c r="X214" s="129">
        <v>0</v>
      </c>
      <c r="Y214" s="129">
        <v>0</v>
      </c>
      <c r="Z214" s="129">
        <v>0</v>
      </c>
      <c r="AA214" s="129">
        <v>0</v>
      </c>
      <c r="AB214" s="129">
        <v>0</v>
      </c>
      <c r="AC214" s="129">
        <v>0</v>
      </c>
      <c r="AD214" s="129">
        <v>0</v>
      </c>
      <c r="AE214" s="129">
        <v>0</v>
      </c>
      <c r="AF214" s="129">
        <v>0</v>
      </c>
      <c r="AG214" s="129">
        <v>16.216999999999999</v>
      </c>
    </row>
    <row r="215" spans="1:33" x14ac:dyDescent="0.45">
      <c r="B215" s="130" t="s">
        <v>479</v>
      </c>
      <c r="C215" s="133">
        <v>0</v>
      </c>
      <c r="D215" s="133">
        <v>0</v>
      </c>
      <c r="E215" s="133">
        <v>0</v>
      </c>
      <c r="F215" s="133">
        <v>0</v>
      </c>
      <c r="G215" s="133">
        <v>0</v>
      </c>
      <c r="H215" s="133">
        <v>0</v>
      </c>
      <c r="I215" s="133">
        <v>0</v>
      </c>
      <c r="J215" s="133">
        <v>2.5000000000000001E-2</v>
      </c>
      <c r="K215" s="133">
        <v>0</v>
      </c>
      <c r="L215" s="133">
        <v>0</v>
      </c>
      <c r="M215" s="133">
        <v>0</v>
      </c>
      <c r="N215" s="133">
        <v>0</v>
      </c>
      <c r="O215" s="133">
        <v>0</v>
      </c>
      <c r="P215" s="133">
        <v>0</v>
      </c>
      <c r="Q215" s="133">
        <v>0</v>
      </c>
      <c r="R215" s="133">
        <v>0</v>
      </c>
      <c r="S215" s="133">
        <v>7.4329999999999998</v>
      </c>
      <c r="T215" s="133">
        <v>0</v>
      </c>
      <c r="U215" s="133">
        <v>0</v>
      </c>
      <c r="V215" s="133">
        <v>0</v>
      </c>
      <c r="W215" s="133">
        <v>0.13500000000000001</v>
      </c>
      <c r="X215" s="133">
        <v>0</v>
      </c>
      <c r="Y215" s="133">
        <v>0</v>
      </c>
      <c r="Z215" s="133">
        <v>0</v>
      </c>
      <c r="AA215" s="133">
        <v>0</v>
      </c>
      <c r="AB215" s="133">
        <v>0</v>
      </c>
      <c r="AC215" s="133">
        <v>0</v>
      </c>
      <c r="AD215" s="133">
        <v>0</v>
      </c>
      <c r="AE215" s="133">
        <v>0</v>
      </c>
      <c r="AF215" s="133">
        <v>0</v>
      </c>
      <c r="AG215" s="133">
        <v>7.593</v>
      </c>
    </row>
    <row r="216" spans="1:33" x14ac:dyDescent="0.45">
      <c r="A216" s="126" t="s">
        <v>478</v>
      </c>
      <c r="B216" s="129"/>
      <c r="C216" s="129">
        <v>0</v>
      </c>
      <c r="D216" s="129">
        <v>0</v>
      </c>
      <c r="E216" s="129">
        <v>0</v>
      </c>
      <c r="F216" s="129">
        <v>0</v>
      </c>
      <c r="G216" s="129">
        <v>0</v>
      </c>
      <c r="H216" s="129">
        <v>0</v>
      </c>
      <c r="I216" s="129">
        <v>0</v>
      </c>
      <c r="J216" s="129">
        <v>0.41976000000000002</v>
      </c>
      <c r="K216" s="129">
        <v>0</v>
      </c>
      <c r="L216" s="129">
        <v>0</v>
      </c>
      <c r="M216" s="129">
        <v>0</v>
      </c>
      <c r="N216" s="129">
        <v>0</v>
      </c>
      <c r="O216" s="129">
        <v>0</v>
      </c>
      <c r="P216" s="129">
        <v>0</v>
      </c>
      <c r="Q216" s="129">
        <v>0</v>
      </c>
      <c r="R216" s="129">
        <v>0</v>
      </c>
      <c r="S216" s="129">
        <v>0</v>
      </c>
      <c r="T216" s="129">
        <v>0</v>
      </c>
      <c r="U216" s="129">
        <v>0</v>
      </c>
      <c r="V216" s="129">
        <v>0</v>
      </c>
      <c r="W216" s="129">
        <v>0.46800000000000003</v>
      </c>
      <c r="X216" s="129">
        <v>33.264200000000002</v>
      </c>
      <c r="Y216" s="129">
        <v>3.6198199999999998</v>
      </c>
      <c r="Z216" s="129">
        <v>0</v>
      </c>
      <c r="AA216" s="129">
        <v>0</v>
      </c>
      <c r="AB216" s="129">
        <v>0</v>
      </c>
      <c r="AC216" s="129">
        <v>0</v>
      </c>
      <c r="AD216" s="129">
        <v>0</v>
      </c>
      <c r="AE216" s="129">
        <v>0</v>
      </c>
      <c r="AF216" s="129">
        <v>0</v>
      </c>
      <c r="AG216" s="129">
        <v>37.771780000000007</v>
      </c>
    </row>
    <row r="217" spans="1:33" x14ac:dyDescent="0.45">
      <c r="B217" s="130" t="s">
        <v>477</v>
      </c>
      <c r="C217" s="133">
        <v>0</v>
      </c>
      <c r="D217" s="133">
        <v>0</v>
      </c>
      <c r="E217" s="133">
        <v>0</v>
      </c>
      <c r="F217" s="133">
        <v>0</v>
      </c>
      <c r="G217" s="133">
        <v>0</v>
      </c>
      <c r="H217" s="133">
        <v>0</v>
      </c>
      <c r="I217" s="133">
        <v>0</v>
      </c>
      <c r="J217" s="133">
        <v>0.41976000000000002</v>
      </c>
      <c r="K217" s="133">
        <v>0</v>
      </c>
      <c r="L217" s="133">
        <v>0</v>
      </c>
      <c r="M217" s="133">
        <v>0</v>
      </c>
      <c r="N217" s="133">
        <v>0</v>
      </c>
      <c r="O217" s="133">
        <v>0</v>
      </c>
      <c r="P217" s="133">
        <v>0</v>
      </c>
      <c r="Q217" s="133">
        <v>0</v>
      </c>
      <c r="R217" s="133">
        <v>0</v>
      </c>
      <c r="S217" s="133">
        <v>0</v>
      </c>
      <c r="T217" s="133">
        <v>0</v>
      </c>
      <c r="U217" s="133">
        <v>0</v>
      </c>
      <c r="V217" s="133">
        <v>0</v>
      </c>
      <c r="W217" s="133">
        <v>0.46800000000000003</v>
      </c>
      <c r="X217" s="133">
        <v>33.264200000000002</v>
      </c>
      <c r="Y217" s="133">
        <v>3.6198199999999998</v>
      </c>
      <c r="Z217" s="133">
        <v>0</v>
      </c>
      <c r="AA217" s="133">
        <v>0</v>
      </c>
      <c r="AB217" s="133">
        <v>0</v>
      </c>
      <c r="AC217" s="133">
        <v>0</v>
      </c>
      <c r="AD217" s="133">
        <v>0</v>
      </c>
      <c r="AE217" s="133">
        <v>0</v>
      </c>
      <c r="AF217" s="133">
        <v>0</v>
      </c>
      <c r="AG217" s="133">
        <v>37.771780000000007</v>
      </c>
    </row>
    <row r="218" spans="1:33" x14ac:dyDescent="0.45">
      <c r="A218" s="134" t="s">
        <v>476</v>
      </c>
      <c r="B218" s="130"/>
      <c r="C218" s="133">
        <v>0</v>
      </c>
      <c r="D218" s="133">
        <v>0</v>
      </c>
      <c r="E218" s="133">
        <v>0</v>
      </c>
      <c r="F218" s="133">
        <v>0</v>
      </c>
      <c r="G218" s="133">
        <v>0</v>
      </c>
      <c r="H218" s="133">
        <v>0</v>
      </c>
      <c r="I218" s="133">
        <v>0</v>
      </c>
      <c r="J218" s="133">
        <v>0</v>
      </c>
      <c r="K218" s="133">
        <v>0</v>
      </c>
      <c r="L218" s="133">
        <v>0</v>
      </c>
      <c r="M218" s="133">
        <v>0</v>
      </c>
      <c r="N218" s="133">
        <v>0</v>
      </c>
      <c r="O218" s="133">
        <v>0</v>
      </c>
      <c r="P218" s="133">
        <v>0</v>
      </c>
      <c r="Q218" s="133">
        <v>0</v>
      </c>
      <c r="R218" s="133">
        <v>0</v>
      </c>
      <c r="S218" s="133">
        <v>0</v>
      </c>
      <c r="T218" s="133">
        <v>0</v>
      </c>
      <c r="U218" s="133">
        <v>0</v>
      </c>
      <c r="V218" s="133">
        <v>0</v>
      </c>
      <c r="W218" s="133">
        <v>0</v>
      </c>
      <c r="X218" s="133">
        <v>0</v>
      </c>
      <c r="Y218" s="133">
        <v>0</v>
      </c>
      <c r="Z218" s="133">
        <v>0</v>
      </c>
      <c r="AA218" s="133">
        <v>0</v>
      </c>
      <c r="AB218" s="133">
        <v>0</v>
      </c>
      <c r="AC218" s="133">
        <v>0</v>
      </c>
      <c r="AD218" s="133">
        <v>0</v>
      </c>
      <c r="AE218" s="133">
        <v>0</v>
      </c>
      <c r="AF218" s="133">
        <v>0</v>
      </c>
      <c r="AG218" s="133">
        <v>0</v>
      </c>
    </row>
    <row r="219" spans="1:33" x14ac:dyDescent="0.45">
      <c r="A219" s="126"/>
      <c r="B219" s="129" t="s">
        <v>89</v>
      </c>
      <c r="C219" s="129">
        <v>0</v>
      </c>
      <c r="D219" s="129">
        <v>0</v>
      </c>
      <c r="E219" s="129">
        <v>0</v>
      </c>
      <c r="F219" s="129">
        <v>0</v>
      </c>
      <c r="G219" s="129">
        <v>0</v>
      </c>
      <c r="H219" s="129">
        <v>0</v>
      </c>
      <c r="I219" s="129">
        <v>0</v>
      </c>
      <c r="J219" s="129">
        <v>0</v>
      </c>
      <c r="K219" s="129">
        <v>0</v>
      </c>
      <c r="L219" s="129">
        <v>0</v>
      </c>
      <c r="M219" s="129">
        <v>0</v>
      </c>
      <c r="N219" s="129">
        <v>0</v>
      </c>
      <c r="O219" s="129">
        <v>0</v>
      </c>
      <c r="P219" s="129">
        <v>0</v>
      </c>
      <c r="Q219" s="129">
        <v>0</v>
      </c>
      <c r="R219" s="129">
        <v>0</v>
      </c>
      <c r="S219" s="129">
        <v>0</v>
      </c>
      <c r="T219" s="129">
        <v>0</v>
      </c>
      <c r="U219" s="129">
        <v>0</v>
      </c>
      <c r="V219" s="129">
        <v>0</v>
      </c>
      <c r="W219" s="129">
        <v>0</v>
      </c>
      <c r="X219" s="129">
        <v>0</v>
      </c>
      <c r="Y219" s="129">
        <v>0</v>
      </c>
      <c r="Z219" s="129">
        <v>0</v>
      </c>
      <c r="AA219" s="129">
        <v>0</v>
      </c>
      <c r="AB219" s="129">
        <v>0</v>
      </c>
      <c r="AC219" s="129">
        <v>0</v>
      </c>
      <c r="AD219" s="129">
        <v>0</v>
      </c>
      <c r="AE219" s="129">
        <v>0</v>
      </c>
      <c r="AF219" s="129">
        <v>0</v>
      </c>
      <c r="AG219" s="129">
        <v>0</v>
      </c>
    </row>
    <row r="220" spans="1:33" x14ac:dyDescent="0.45">
      <c r="A220" s="134" t="s">
        <v>472</v>
      </c>
      <c r="B220" s="130"/>
      <c r="C220" s="133">
        <v>0</v>
      </c>
      <c r="D220" s="133">
        <v>0</v>
      </c>
      <c r="E220" s="133">
        <v>0</v>
      </c>
      <c r="F220" s="133">
        <v>0</v>
      </c>
      <c r="G220" s="133">
        <v>0</v>
      </c>
      <c r="H220" s="133">
        <v>0</v>
      </c>
      <c r="I220" s="133">
        <v>0</v>
      </c>
      <c r="J220" s="133">
        <v>0.89749999999999996</v>
      </c>
      <c r="K220" s="133">
        <v>0</v>
      </c>
      <c r="L220" s="133">
        <v>0</v>
      </c>
      <c r="M220" s="133">
        <v>0</v>
      </c>
      <c r="N220" s="133">
        <v>0</v>
      </c>
      <c r="O220" s="133">
        <v>0</v>
      </c>
      <c r="P220" s="133">
        <v>3.04</v>
      </c>
      <c r="Q220" s="133">
        <v>0</v>
      </c>
      <c r="R220" s="133">
        <v>0</v>
      </c>
      <c r="S220" s="133">
        <v>24.42</v>
      </c>
      <c r="T220" s="133">
        <v>0</v>
      </c>
      <c r="U220" s="133">
        <v>0</v>
      </c>
      <c r="V220" s="133">
        <v>0</v>
      </c>
      <c r="W220" s="133">
        <v>1.0605</v>
      </c>
      <c r="X220" s="133">
        <v>8.31</v>
      </c>
      <c r="Y220" s="133">
        <v>18.440000000000001</v>
      </c>
      <c r="Z220" s="133">
        <v>0</v>
      </c>
      <c r="AA220" s="133">
        <v>0</v>
      </c>
      <c r="AB220" s="133">
        <v>0</v>
      </c>
      <c r="AC220" s="133">
        <v>0</v>
      </c>
      <c r="AD220" s="133">
        <v>0</v>
      </c>
      <c r="AE220" s="133">
        <v>1.36</v>
      </c>
      <c r="AF220" s="133">
        <v>0</v>
      </c>
      <c r="AG220" s="133">
        <v>57.528000000000006</v>
      </c>
    </row>
    <row r="221" spans="1:33" x14ac:dyDescent="0.45">
      <c r="A221" s="126"/>
      <c r="B221" s="129" t="s">
        <v>475</v>
      </c>
      <c r="C221" s="129">
        <v>0</v>
      </c>
      <c r="D221" s="129">
        <v>0</v>
      </c>
      <c r="E221" s="129">
        <v>0</v>
      </c>
      <c r="F221" s="129">
        <v>0</v>
      </c>
      <c r="G221" s="129">
        <v>0</v>
      </c>
      <c r="H221" s="129">
        <v>0</v>
      </c>
      <c r="I221" s="129">
        <v>0</v>
      </c>
      <c r="J221" s="129">
        <v>0.51600000000000001</v>
      </c>
      <c r="K221" s="129">
        <v>0</v>
      </c>
      <c r="L221" s="129">
        <v>0</v>
      </c>
      <c r="M221" s="129">
        <v>0</v>
      </c>
      <c r="N221" s="129">
        <v>0</v>
      </c>
      <c r="O221" s="129">
        <v>0</v>
      </c>
      <c r="P221" s="129">
        <v>0</v>
      </c>
      <c r="Q221" s="129">
        <v>0</v>
      </c>
      <c r="R221" s="129">
        <v>0</v>
      </c>
      <c r="S221" s="129">
        <v>7.82</v>
      </c>
      <c r="T221" s="129">
        <v>0</v>
      </c>
      <c r="U221" s="129">
        <v>0</v>
      </c>
      <c r="V221" s="129">
        <v>0</v>
      </c>
      <c r="W221" s="129">
        <v>0.17199999999999999</v>
      </c>
      <c r="X221" s="129">
        <v>0</v>
      </c>
      <c r="Y221" s="129">
        <v>0</v>
      </c>
      <c r="Z221" s="129">
        <v>0</v>
      </c>
      <c r="AA221" s="129">
        <v>0</v>
      </c>
      <c r="AB221" s="129">
        <v>0</v>
      </c>
      <c r="AC221" s="129">
        <v>0</v>
      </c>
      <c r="AD221" s="129">
        <v>0</v>
      </c>
      <c r="AE221" s="129">
        <v>0</v>
      </c>
      <c r="AF221" s="129">
        <v>0</v>
      </c>
      <c r="AG221" s="129">
        <v>8.5080000000000009</v>
      </c>
    </row>
    <row r="222" spans="1:33" x14ac:dyDescent="0.45">
      <c r="B222" s="130" t="s">
        <v>474</v>
      </c>
      <c r="C222" s="133">
        <v>0</v>
      </c>
      <c r="D222" s="133">
        <v>0</v>
      </c>
      <c r="E222" s="133">
        <v>0</v>
      </c>
      <c r="F222" s="133">
        <v>0</v>
      </c>
      <c r="G222" s="133">
        <v>0</v>
      </c>
      <c r="H222" s="133">
        <v>0</v>
      </c>
      <c r="I222" s="133">
        <v>0</v>
      </c>
      <c r="J222" s="133">
        <v>0.23499999999999999</v>
      </c>
      <c r="K222" s="133">
        <v>0</v>
      </c>
      <c r="L222" s="133">
        <v>0</v>
      </c>
      <c r="M222" s="133">
        <v>0</v>
      </c>
      <c r="N222" s="133">
        <v>0</v>
      </c>
      <c r="O222" s="133">
        <v>0</v>
      </c>
      <c r="P222" s="133">
        <v>0</v>
      </c>
      <c r="Q222" s="133">
        <v>0</v>
      </c>
      <c r="R222" s="133">
        <v>0</v>
      </c>
      <c r="S222" s="133">
        <v>0</v>
      </c>
      <c r="T222" s="133">
        <v>0</v>
      </c>
      <c r="U222" s="133">
        <v>0</v>
      </c>
      <c r="V222" s="133">
        <v>0</v>
      </c>
      <c r="W222" s="133">
        <v>0.22600000000000001</v>
      </c>
      <c r="X222" s="133">
        <v>8.31</v>
      </c>
      <c r="Y222" s="133">
        <v>3.57</v>
      </c>
      <c r="Z222" s="133">
        <v>0</v>
      </c>
      <c r="AA222" s="133">
        <v>0</v>
      </c>
      <c r="AB222" s="133">
        <v>0</v>
      </c>
      <c r="AC222" s="133">
        <v>0</v>
      </c>
      <c r="AD222" s="133">
        <v>0</v>
      </c>
      <c r="AE222" s="133">
        <v>0</v>
      </c>
      <c r="AF222" s="133">
        <v>0</v>
      </c>
      <c r="AG222" s="133">
        <v>12.341000000000001</v>
      </c>
    </row>
    <row r="223" spans="1:33" x14ac:dyDescent="0.45">
      <c r="A223" s="126"/>
      <c r="B223" s="129" t="s">
        <v>473</v>
      </c>
      <c r="C223" s="129">
        <v>0</v>
      </c>
      <c r="D223" s="129">
        <v>0</v>
      </c>
      <c r="E223" s="129">
        <v>0</v>
      </c>
      <c r="F223" s="129">
        <v>0</v>
      </c>
      <c r="G223" s="129">
        <v>0</v>
      </c>
      <c r="H223" s="129">
        <v>0</v>
      </c>
      <c r="I223" s="129">
        <v>0</v>
      </c>
      <c r="J223" s="129">
        <v>3.5000000000000001E-3</v>
      </c>
      <c r="K223" s="129">
        <v>0</v>
      </c>
      <c r="L223" s="129">
        <v>0</v>
      </c>
      <c r="M223" s="129">
        <v>0</v>
      </c>
      <c r="N223" s="129">
        <v>0</v>
      </c>
      <c r="O223" s="129">
        <v>0</v>
      </c>
      <c r="P223" s="129">
        <v>3.04</v>
      </c>
      <c r="Q223" s="129">
        <v>0</v>
      </c>
      <c r="R223" s="129">
        <v>0</v>
      </c>
      <c r="S223" s="129">
        <v>16.600000000000001</v>
      </c>
      <c r="T223" s="129">
        <v>0</v>
      </c>
      <c r="U223" s="129">
        <v>0</v>
      </c>
      <c r="V223" s="129">
        <v>0</v>
      </c>
      <c r="W223" s="129">
        <v>0.63</v>
      </c>
      <c r="X223" s="129">
        <v>0</v>
      </c>
      <c r="Y223" s="129">
        <v>11.5</v>
      </c>
      <c r="Z223" s="129">
        <v>0</v>
      </c>
      <c r="AA223" s="129">
        <v>0</v>
      </c>
      <c r="AB223" s="129">
        <v>0</v>
      </c>
      <c r="AC223" s="129">
        <v>0</v>
      </c>
      <c r="AD223" s="129">
        <v>0</v>
      </c>
      <c r="AE223" s="129">
        <v>1.36</v>
      </c>
      <c r="AF223" s="129">
        <v>0</v>
      </c>
      <c r="AG223" s="129">
        <v>33.133500000000005</v>
      </c>
    </row>
    <row r="224" spans="1:33" x14ac:dyDescent="0.45">
      <c r="B224" s="130" t="s">
        <v>471</v>
      </c>
      <c r="C224" s="133">
        <v>0</v>
      </c>
      <c r="D224" s="133">
        <v>0</v>
      </c>
      <c r="E224" s="133">
        <v>0</v>
      </c>
      <c r="F224" s="133">
        <v>0</v>
      </c>
      <c r="G224" s="133">
        <v>0</v>
      </c>
      <c r="H224" s="133">
        <v>0</v>
      </c>
      <c r="I224" s="133">
        <v>0</v>
      </c>
      <c r="J224" s="133">
        <v>0.14299999999999999</v>
      </c>
      <c r="K224" s="133">
        <v>0</v>
      </c>
      <c r="L224" s="133">
        <v>0</v>
      </c>
      <c r="M224" s="133">
        <v>0</v>
      </c>
      <c r="N224" s="133">
        <v>0</v>
      </c>
      <c r="O224" s="133">
        <v>0</v>
      </c>
      <c r="P224" s="133">
        <v>0</v>
      </c>
      <c r="Q224" s="133">
        <v>0</v>
      </c>
      <c r="R224" s="133">
        <v>0</v>
      </c>
      <c r="S224" s="133">
        <v>0</v>
      </c>
      <c r="T224" s="133">
        <v>0</v>
      </c>
      <c r="U224" s="133">
        <v>0</v>
      </c>
      <c r="V224" s="133">
        <v>0</v>
      </c>
      <c r="W224" s="133">
        <v>3.2500000000000001E-2</v>
      </c>
      <c r="X224" s="133">
        <v>0</v>
      </c>
      <c r="Y224" s="133">
        <v>3.37</v>
      </c>
      <c r="Z224" s="133">
        <v>0</v>
      </c>
      <c r="AA224" s="133">
        <v>0</v>
      </c>
      <c r="AB224" s="133">
        <v>0</v>
      </c>
      <c r="AC224" s="133">
        <v>0</v>
      </c>
      <c r="AD224" s="133">
        <v>0</v>
      </c>
      <c r="AE224" s="133">
        <v>0</v>
      </c>
      <c r="AF224" s="133">
        <v>0</v>
      </c>
      <c r="AG224" s="133">
        <v>3.5455000000000001</v>
      </c>
    </row>
    <row r="225" spans="1:33" x14ac:dyDescent="0.45">
      <c r="A225" s="134" t="s">
        <v>470</v>
      </c>
      <c r="B225" s="130"/>
      <c r="C225" s="133">
        <v>0</v>
      </c>
      <c r="D225" s="133">
        <v>0</v>
      </c>
      <c r="E225" s="133">
        <v>0</v>
      </c>
      <c r="F225" s="133">
        <v>0</v>
      </c>
      <c r="G225" s="133">
        <v>0</v>
      </c>
      <c r="H225" s="133">
        <v>0</v>
      </c>
      <c r="I225" s="133">
        <v>0</v>
      </c>
      <c r="J225" s="133">
        <v>12.195</v>
      </c>
      <c r="K225" s="133">
        <v>0</v>
      </c>
      <c r="L225" s="133">
        <v>0</v>
      </c>
      <c r="M225" s="133">
        <v>0</v>
      </c>
      <c r="N225" s="133">
        <v>0</v>
      </c>
      <c r="O225" s="133">
        <v>0</v>
      </c>
      <c r="P225" s="133">
        <v>0</v>
      </c>
      <c r="Q225" s="133">
        <v>42.735999999999997</v>
      </c>
      <c r="R225" s="133">
        <v>0</v>
      </c>
      <c r="S225" s="133">
        <v>0</v>
      </c>
      <c r="T225" s="133">
        <v>0</v>
      </c>
      <c r="U225" s="133">
        <v>0</v>
      </c>
      <c r="V225" s="133">
        <v>0</v>
      </c>
      <c r="W225" s="133">
        <v>1.26996</v>
      </c>
      <c r="X225" s="133">
        <v>0</v>
      </c>
      <c r="Y225" s="133">
        <v>0</v>
      </c>
      <c r="Z225" s="133">
        <v>0</v>
      </c>
      <c r="AA225" s="133">
        <v>0</v>
      </c>
      <c r="AB225" s="133">
        <v>0</v>
      </c>
      <c r="AC225" s="133">
        <v>0</v>
      </c>
      <c r="AD225" s="133">
        <v>0</v>
      </c>
      <c r="AE225" s="133">
        <v>0</v>
      </c>
      <c r="AF225" s="133">
        <v>0</v>
      </c>
      <c r="AG225" s="133">
        <v>56.200959999999995</v>
      </c>
    </row>
    <row r="226" spans="1:33" x14ac:dyDescent="0.45">
      <c r="B226" s="130" t="s">
        <v>469</v>
      </c>
      <c r="C226" s="133">
        <v>0</v>
      </c>
      <c r="D226" s="133">
        <v>0</v>
      </c>
      <c r="E226" s="133">
        <v>0</v>
      </c>
      <c r="F226" s="133">
        <v>0</v>
      </c>
      <c r="G226" s="133">
        <v>0</v>
      </c>
      <c r="H226" s="133">
        <v>0</v>
      </c>
      <c r="I226" s="133">
        <v>0</v>
      </c>
      <c r="J226" s="133">
        <v>12.195</v>
      </c>
      <c r="K226" s="133">
        <v>0</v>
      </c>
      <c r="L226" s="133">
        <v>0</v>
      </c>
      <c r="M226" s="133">
        <v>0</v>
      </c>
      <c r="N226" s="133">
        <v>0</v>
      </c>
      <c r="O226" s="133">
        <v>0</v>
      </c>
      <c r="P226" s="133">
        <v>0</v>
      </c>
      <c r="Q226" s="133">
        <v>42.735999999999997</v>
      </c>
      <c r="R226" s="133">
        <v>0</v>
      </c>
      <c r="S226" s="133">
        <v>0</v>
      </c>
      <c r="T226" s="133">
        <v>0</v>
      </c>
      <c r="U226" s="133">
        <v>0</v>
      </c>
      <c r="V226" s="133">
        <v>0</v>
      </c>
      <c r="W226" s="133">
        <v>1.26996</v>
      </c>
      <c r="X226" s="133">
        <v>0</v>
      </c>
      <c r="Y226" s="133">
        <v>0</v>
      </c>
      <c r="Z226" s="133">
        <v>0</v>
      </c>
      <c r="AA226" s="133">
        <v>0</v>
      </c>
      <c r="AB226" s="133">
        <v>0</v>
      </c>
      <c r="AC226" s="133">
        <v>0</v>
      </c>
      <c r="AD226" s="133">
        <v>0</v>
      </c>
      <c r="AE226" s="133">
        <v>0</v>
      </c>
      <c r="AF226" s="133">
        <v>0</v>
      </c>
      <c r="AG226" s="133">
        <v>56.200959999999995</v>
      </c>
    </row>
    <row r="227" spans="1:33" x14ac:dyDescent="0.45">
      <c r="A227" s="134" t="s">
        <v>467</v>
      </c>
      <c r="B227" s="130"/>
      <c r="C227" s="133">
        <v>0</v>
      </c>
      <c r="D227" s="133">
        <v>343.68400000000003</v>
      </c>
      <c r="E227" s="133">
        <v>0</v>
      </c>
      <c r="F227" s="133">
        <v>0</v>
      </c>
      <c r="G227" s="133">
        <v>2.9729999999999999</v>
      </c>
      <c r="H227" s="133">
        <v>0</v>
      </c>
      <c r="I227" s="133">
        <v>0</v>
      </c>
      <c r="J227" s="133">
        <v>2.8820000000000001</v>
      </c>
      <c r="K227" s="133">
        <v>0</v>
      </c>
      <c r="L227" s="133">
        <v>0</v>
      </c>
      <c r="M227" s="133">
        <v>0</v>
      </c>
      <c r="N227" s="133">
        <v>0</v>
      </c>
      <c r="O227" s="133">
        <v>0</v>
      </c>
      <c r="P227" s="133">
        <v>9.6460000000000008</v>
      </c>
      <c r="Q227" s="133">
        <v>11.393000000000001</v>
      </c>
      <c r="R227" s="133">
        <v>0</v>
      </c>
      <c r="S227" s="133">
        <v>0</v>
      </c>
      <c r="T227" s="133">
        <v>0</v>
      </c>
      <c r="U227" s="133">
        <v>0</v>
      </c>
      <c r="V227" s="133">
        <v>0</v>
      </c>
      <c r="W227" s="133">
        <v>33.8887</v>
      </c>
      <c r="X227" s="133">
        <v>0</v>
      </c>
      <c r="Y227" s="133">
        <v>0</v>
      </c>
      <c r="Z227" s="133">
        <v>0</v>
      </c>
      <c r="AA227" s="133">
        <v>0</v>
      </c>
      <c r="AB227" s="133">
        <v>0</v>
      </c>
      <c r="AC227" s="133">
        <v>0</v>
      </c>
      <c r="AD227" s="133">
        <v>0</v>
      </c>
      <c r="AE227" s="133">
        <v>0</v>
      </c>
      <c r="AF227" s="133">
        <v>0</v>
      </c>
      <c r="AG227" s="133">
        <v>404.4667</v>
      </c>
    </row>
    <row r="228" spans="1:33" x14ac:dyDescent="0.45">
      <c r="A228" s="126"/>
      <c r="B228" s="129" t="s">
        <v>468</v>
      </c>
      <c r="C228" s="129">
        <v>0</v>
      </c>
      <c r="D228" s="129">
        <v>52.213000000000001</v>
      </c>
      <c r="E228" s="129">
        <v>0</v>
      </c>
      <c r="F228" s="129">
        <v>0</v>
      </c>
      <c r="G228" s="129">
        <v>0</v>
      </c>
      <c r="H228" s="129">
        <v>0</v>
      </c>
      <c r="I228" s="129">
        <v>0</v>
      </c>
      <c r="J228" s="129">
        <v>0</v>
      </c>
      <c r="K228" s="129">
        <v>0</v>
      </c>
      <c r="L228" s="129">
        <v>0</v>
      </c>
      <c r="M228" s="129">
        <v>0</v>
      </c>
      <c r="N228" s="129">
        <v>0</v>
      </c>
      <c r="O228" s="129">
        <v>0</v>
      </c>
      <c r="P228" s="129">
        <v>0</v>
      </c>
      <c r="Q228" s="129">
        <v>11.393000000000001</v>
      </c>
      <c r="R228" s="129">
        <v>0</v>
      </c>
      <c r="S228" s="129">
        <v>0</v>
      </c>
      <c r="T228" s="129">
        <v>0</v>
      </c>
      <c r="U228" s="129">
        <v>0</v>
      </c>
      <c r="V228" s="129">
        <v>0</v>
      </c>
      <c r="W228" s="129">
        <v>27.361000000000001</v>
      </c>
      <c r="X228" s="129">
        <v>0</v>
      </c>
      <c r="Y228" s="129">
        <v>0</v>
      </c>
      <c r="Z228" s="129">
        <v>0</v>
      </c>
      <c r="AA228" s="129">
        <v>0</v>
      </c>
      <c r="AB228" s="129">
        <v>0</v>
      </c>
      <c r="AC228" s="129">
        <v>0</v>
      </c>
      <c r="AD228" s="129">
        <v>0</v>
      </c>
      <c r="AE228" s="129">
        <v>0</v>
      </c>
      <c r="AF228" s="129">
        <v>0</v>
      </c>
      <c r="AG228" s="129">
        <v>90.966999999999999</v>
      </c>
    </row>
    <row r="229" spans="1:33" x14ac:dyDescent="0.45">
      <c r="B229" s="130" t="s">
        <v>466</v>
      </c>
      <c r="C229" s="133">
        <v>0</v>
      </c>
      <c r="D229" s="133">
        <v>291.471</v>
      </c>
      <c r="E229" s="133">
        <v>0</v>
      </c>
      <c r="F229" s="133">
        <v>0</v>
      </c>
      <c r="G229" s="133">
        <v>2.9729999999999999</v>
      </c>
      <c r="H229" s="133">
        <v>0</v>
      </c>
      <c r="I229" s="133">
        <v>0</v>
      </c>
      <c r="J229" s="133">
        <v>2.8820000000000001</v>
      </c>
      <c r="K229" s="133">
        <v>0</v>
      </c>
      <c r="L229" s="133">
        <v>0</v>
      </c>
      <c r="M229" s="133">
        <v>0</v>
      </c>
      <c r="N229" s="133">
        <v>0</v>
      </c>
      <c r="O229" s="133">
        <v>0</v>
      </c>
      <c r="P229" s="133">
        <v>9.6460000000000008</v>
      </c>
      <c r="Q229" s="133">
        <v>0</v>
      </c>
      <c r="R229" s="133">
        <v>0</v>
      </c>
      <c r="S229" s="133">
        <v>0</v>
      </c>
      <c r="T229" s="133">
        <v>0</v>
      </c>
      <c r="U229" s="133">
        <v>0</v>
      </c>
      <c r="V229" s="133">
        <v>0</v>
      </c>
      <c r="W229" s="133">
        <v>6.5277000000000003</v>
      </c>
      <c r="X229" s="133">
        <v>0</v>
      </c>
      <c r="Y229" s="133">
        <v>0</v>
      </c>
      <c r="Z229" s="133">
        <v>0</v>
      </c>
      <c r="AA229" s="133">
        <v>0</v>
      </c>
      <c r="AB229" s="133">
        <v>0</v>
      </c>
      <c r="AC229" s="133">
        <v>0</v>
      </c>
      <c r="AD229" s="133">
        <v>0</v>
      </c>
      <c r="AE229" s="133">
        <v>0</v>
      </c>
      <c r="AF229" s="133">
        <v>0</v>
      </c>
      <c r="AG229" s="133">
        <v>313.49970000000002</v>
      </c>
    </row>
    <row r="230" spans="1:33" x14ac:dyDescent="0.45">
      <c r="A230" s="126" t="s">
        <v>465</v>
      </c>
      <c r="B230" s="129"/>
      <c r="C230" s="129">
        <v>0</v>
      </c>
      <c r="D230" s="129">
        <v>0</v>
      </c>
      <c r="E230" s="129">
        <v>0</v>
      </c>
      <c r="F230" s="129">
        <v>0</v>
      </c>
      <c r="G230" s="129">
        <v>0</v>
      </c>
      <c r="H230" s="129">
        <v>0</v>
      </c>
      <c r="I230" s="129">
        <v>0</v>
      </c>
      <c r="J230" s="129">
        <v>0.68</v>
      </c>
      <c r="K230" s="129">
        <v>0</v>
      </c>
      <c r="L230" s="129">
        <v>0</v>
      </c>
      <c r="M230" s="129">
        <v>0</v>
      </c>
      <c r="N230" s="129">
        <v>0</v>
      </c>
      <c r="O230" s="129">
        <v>0</v>
      </c>
      <c r="P230" s="129">
        <v>0</v>
      </c>
      <c r="Q230" s="129">
        <v>0</v>
      </c>
      <c r="R230" s="129">
        <v>0</v>
      </c>
      <c r="S230" s="129">
        <v>0</v>
      </c>
      <c r="T230" s="129">
        <v>0</v>
      </c>
      <c r="U230" s="129">
        <v>0</v>
      </c>
      <c r="V230" s="129">
        <v>0</v>
      </c>
      <c r="W230" s="129">
        <v>0.35555999999999999</v>
      </c>
      <c r="X230" s="129">
        <v>0</v>
      </c>
      <c r="Y230" s="129">
        <v>0</v>
      </c>
      <c r="Z230" s="129">
        <v>0</v>
      </c>
      <c r="AA230" s="129">
        <v>0</v>
      </c>
      <c r="AB230" s="129">
        <v>0</v>
      </c>
      <c r="AC230" s="129">
        <v>0</v>
      </c>
      <c r="AD230" s="129">
        <v>0</v>
      </c>
      <c r="AE230" s="129">
        <v>0</v>
      </c>
      <c r="AF230" s="129">
        <v>15.003500000000001</v>
      </c>
      <c r="AG230" s="129">
        <v>16.039059999999999</v>
      </c>
    </row>
    <row r="231" spans="1:33" x14ac:dyDescent="0.45">
      <c r="B231" s="130" t="s">
        <v>464</v>
      </c>
      <c r="C231" s="133">
        <v>0</v>
      </c>
      <c r="D231" s="133">
        <v>0</v>
      </c>
      <c r="E231" s="133">
        <v>0</v>
      </c>
      <c r="F231" s="133">
        <v>0</v>
      </c>
      <c r="G231" s="133">
        <v>0</v>
      </c>
      <c r="H231" s="133">
        <v>0</v>
      </c>
      <c r="I231" s="133">
        <v>0</v>
      </c>
      <c r="J231" s="133">
        <v>0.68</v>
      </c>
      <c r="K231" s="133">
        <v>0</v>
      </c>
      <c r="L231" s="133">
        <v>0</v>
      </c>
      <c r="M231" s="133">
        <v>0</v>
      </c>
      <c r="N231" s="133">
        <v>0</v>
      </c>
      <c r="O231" s="133">
        <v>0</v>
      </c>
      <c r="P231" s="133">
        <v>0</v>
      </c>
      <c r="Q231" s="133">
        <v>0</v>
      </c>
      <c r="R231" s="133">
        <v>0</v>
      </c>
      <c r="S231" s="133">
        <v>0</v>
      </c>
      <c r="T231" s="133">
        <v>0</v>
      </c>
      <c r="U231" s="133">
        <v>0</v>
      </c>
      <c r="V231" s="133">
        <v>0</v>
      </c>
      <c r="W231" s="133">
        <v>0.35555999999999999</v>
      </c>
      <c r="X231" s="133">
        <v>0</v>
      </c>
      <c r="Y231" s="133">
        <v>0</v>
      </c>
      <c r="Z231" s="133">
        <v>0</v>
      </c>
      <c r="AA231" s="133">
        <v>0</v>
      </c>
      <c r="AB231" s="133">
        <v>0</v>
      </c>
      <c r="AC231" s="133">
        <v>0</v>
      </c>
      <c r="AD231" s="133">
        <v>0</v>
      </c>
      <c r="AE231" s="133">
        <v>0</v>
      </c>
      <c r="AF231" s="133">
        <v>15.003500000000001</v>
      </c>
      <c r="AG231" s="133">
        <v>16.039059999999999</v>
      </c>
    </row>
    <row r="232" spans="1:33" x14ac:dyDescent="0.45">
      <c r="A232" s="126" t="s">
        <v>459</v>
      </c>
      <c r="B232" s="129"/>
      <c r="C232" s="129">
        <v>0</v>
      </c>
      <c r="D232" s="129">
        <v>0</v>
      </c>
      <c r="E232" s="129">
        <v>0</v>
      </c>
      <c r="F232" s="129">
        <v>0</v>
      </c>
      <c r="G232" s="129">
        <v>3.681</v>
      </c>
      <c r="H232" s="129">
        <v>0</v>
      </c>
      <c r="I232" s="129">
        <v>1.3979999999999999</v>
      </c>
      <c r="J232" s="129">
        <v>2.7629999999999999</v>
      </c>
      <c r="K232" s="129">
        <v>0</v>
      </c>
      <c r="L232" s="129">
        <v>0</v>
      </c>
      <c r="M232" s="129">
        <v>0</v>
      </c>
      <c r="N232" s="129">
        <v>0</v>
      </c>
      <c r="O232" s="129">
        <v>0</v>
      </c>
      <c r="P232" s="129">
        <v>0</v>
      </c>
      <c r="Q232" s="129">
        <v>100.41199999999999</v>
      </c>
      <c r="R232" s="129">
        <v>0</v>
      </c>
      <c r="S232" s="129">
        <v>0</v>
      </c>
      <c r="T232" s="129">
        <v>0</v>
      </c>
      <c r="U232" s="129">
        <v>0</v>
      </c>
      <c r="V232" s="129">
        <v>0</v>
      </c>
      <c r="W232" s="129">
        <v>1.9549999999999998</v>
      </c>
      <c r="X232" s="129">
        <v>0</v>
      </c>
      <c r="Y232" s="129">
        <v>8.6320000000000014</v>
      </c>
      <c r="Z232" s="129">
        <v>0</v>
      </c>
      <c r="AA232" s="129">
        <v>0</v>
      </c>
      <c r="AB232" s="129">
        <v>0</v>
      </c>
      <c r="AC232" s="129">
        <v>0</v>
      </c>
      <c r="AD232" s="129">
        <v>0</v>
      </c>
      <c r="AE232" s="129">
        <v>0</v>
      </c>
      <c r="AF232" s="129">
        <v>6.6235330000000001</v>
      </c>
      <c r="AG232" s="129">
        <v>125.46453299999997</v>
      </c>
    </row>
    <row r="233" spans="1:33" x14ac:dyDescent="0.45">
      <c r="B233" s="130" t="s">
        <v>463</v>
      </c>
      <c r="C233" s="133">
        <v>0</v>
      </c>
      <c r="D233" s="133">
        <v>0</v>
      </c>
      <c r="E233" s="133">
        <v>0</v>
      </c>
      <c r="F233" s="133">
        <v>0</v>
      </c>
      <c r="G233" s="133">
        <v>0</v>
      </c>
      <c r="H233" s="133">
        <v>0</v>
      </c>
      <c r="I233" s="133">
        <v>0</v>
      </c>
      <c r="J233" s="133">
        <v>0.89100000000000001</v>
      </c>
      <c r="K233" s="133">
        <v>0</v>
      </c>
      <c r="L233" s="133">
        <v>0</v>
      </c>
      <c r="M233" s="133">
        <v>0</v>
      </c>
      <c r="N233" s="133">
        <v>0</v>
      </c>
      <c r="O233" s="133">
        <v>0</v>
      </c>
      <c r="P233" s="133">
        <v>0</v>
      </c>
      <c r="Q233" s="133">
        <v>17.54</v>
      </c>
      <c r="R233" s="133">
        <v>0</v>
      </c>
      <c r="S233" s="133">
        <v>0</v>
      </c>
      <c r="T233" s="133">
        <v>0</v>
      </c>
      <c r="U233" s="133">
        <v>0</v>
      </c>
      <c r="V233" s="133">
        <v>0</v>
      </c>
      <c r="W233" s="133">
        <v>8.4000000000000005E-2</v>
      </c>
      <c r="X233" s="133">
        <v>0</v>
      </c>
      <c r="Y233" s="133">
        <v>0</v>
      </c>
      <c r="Z233" s="133">
        <v>0</v>
      </c>
      <c r="AA233" s="133">
        <v>0</v>
      </c>
      <c r="AB233" s="133">
        <v>0</v>
      </c>
      <c r="AC233" s="133">
        <v>0</v>
      </c>
      <c r="AD233" s="133">
        <v>0</v>
      </c>
      <c r="AE233" s="133">
        <v>0</v>
      </c>
      <c r="AF233" s="133">
        <v>0.21176500000000001</v>
      </c>
      <c r="AG233" s="133">
        <v>18.726765</v>
      </c>
    </row>
    <row r="234" spans="1:33" x14ac:dyDescent="0.45">
      <c r="B234" s="130" t="s">
        <v>462</v>
      </c>
      <c r="C234" s="133">
        <v>0</v>
      </c>
      <c r="D234" s="133">
        <v>0</v>
      </c>
      <c r="E234" s="133">
        <v>0</v>
      </c>
      <c r="F234" s="133">
        <v>0</v>
      </c>
      <c r="G234" s="133">
        <v>0</v>
      </c>
      <c r="H234" s="133">
        <v>0</v>
      </c>
      <c r="I234" s="133">
        <v>0</v>
      </c>
      <c r="J234" s="133">
        <v>0</v>
      </c>
      <c r="K234" s="133">
        <v>0</v>
      </c>
      <c r="L234" s="133">
        <v>0</v>
      </c>
      <c r="M234" s="133">
        <v>0</v>
      </c>
      <c r="N234" s="133">
        <v>0</v>
      </c>
      <c r="O234" s="133">
        <v>0</v>
      </c>
      <c r="P234" s="133">
        <v>0</v>
      </c>
      <c r="Q234" s="133">
        <v>1.3620000000000001</v>
      </c>
      <c r="R234" s="133">
        <v>0</v>
      </c>
      <c r="S234" s="133">
        <v>0</v>
      </c>
      <c r="T234" s="133">
        <v>0</v>
      </c>
      <c r="U234" s="133">
        <v>0</v>
      </c>
      <c r="V234" s="133">
        <v>0</v>
      </c>
      <c r="W234" s="133">
        <v>0.21</v>
      </c>
      <c r="X234" s="133">
        <v>0</v>
      </c>
      <c r="Y234" s="133">
        <v>3.8250000000000002</v>
      </c>
      <c r="Z234" s="133">
        <v>0</v>
      </c>
      <c r="AA234" s="133">
        <v>0</v>
      </c>
      <c r="AB234" s="133">
        <v>0</v>
      </c>
      <c r="AC234" s="133">
        <v>0</v>
      </c>
      <c r="AD234" s="133">
        <v>0</v>
      </c>
      <c r="AE234" s="133">
        <v>0</v>
      </c>
      <c r="AF234" s="133">
        <v>0</v>
      </c>
      <c r="AG234" s="133">
        <v>5.3970000000000002</v>
      </c>
    </row>
    <row r="235" spans="1:33" x14ac:dyDescent="0.45">
      <c r="B235" s="130" t="s">
        <v>461</v>
      </c>
      <c r="C235" s="133">
        <v>0</v>
      </c>
      <c r="D235" s="133">
        <v>0</v>
      </c>
      <c r="E235" s="133">
        <v>0</v>
      </c>
      <c r="F235" s="133">
        <v>0</v>
      </c>
      <c r="G235" s="133">
        <v>3.5009999999999999</v>
      </c>
      <c r="H235" s="133">
        <v>0</v>
      </c>
      <c r="I235" s="133">
        <v>1.3979999999999999</v>
      </c>
      <c r="J235" s="133">
        <v>1.6419999999999999</v>
      </c>
      <c r="K235" s="133">
        <v>0</v>
      </c>
      <c r="L235" s="133">
        <v>0</v>
      </c>
      <c r="M235" s="133">
        <v>0</v>
      </c>
      <c r="N235" s="133">
        <v>0</v>
      </c>
      <c r="O235" s="133">
        <v>0</v>
      </c>
      <c r="P235" s="133">
        <v>0</v>
      </c>
      <c r="Q235" s="133">
        <v>77.8</v>
      </c>
      <c r="R235" s="133">
        <v>0</v>
      </c>
      <c r="S235" s="133">
        <v>0</v>
      </c>
      <c r="T235" s="133">
        <v>0</v>
      </c>
      <c r="U235" s="133">
        <v>0</v>
      </c>
      <c r="V235" s="133">
        <v>0</v>
      </c>
      <c r="W235" s="133">
        <v>1.63</v>
      </c>
      <c r="X235" s="133">
        <v>0</v>
      </c>
      <c r="Y235" s="133">
        <v>4.8070000000000004</v>
      </c>
      <c r="Z235" s="133">
        <v>0</v>
      </c>
      <c r="AA235" s="133">
        <v>0</v>
      </c>
      <c r="AB235" s="133">
        <v>0</v>
      </c>
      <c r="AC235" s="133">
        <v>0</v>
      </c>
      <c r="AD235" s="133">
        <v>0</v>
      </c>
      <c r="AE235" s="133">
        <v>0</v>
      </c>
      <c r="AF235" s="133">
        <v>6.1176500000000003</v>
      </c>
      <c r="AG235" s="133">
        <v>96.895649999999989</v>
      </c>
    </row>
    <row r="236" spans="1:33" x14ac:dyDescent="0.45">
      <c r="A236" s="126"/>
      <c r="B236" s="129" t="s">
        <v>460</v>
      </c>
      <c r="C236" s="129">
        <v>0</v>
      </c>
      <c r="D236" s="129">
        <v>0</v>
      </c>
      <c r="E236" s="129">
        <v>0</v>
      </c>
      <c r="F236" s="129">
        <v>0</v>
      </c>
      <c r="G236" s="129">
        <v>0</v>
      </c>
      <c r="H236" s="129">
        <v>0</v>
      </c>
      <c r="I236" s="129">
        <v>0</v>
      </c>
      <c r="J236" s="129">
        <v>0</v>
      </c>
      <c r="K236" s="129">
        <v>0</v>
      </c>
      <c r="L236" s="129">
        <v>0</v>
      </c>
      <c r="M236" s="129">
        <v>0</v>
      </c>
      <c r="N236" s="129">
        <v>0</v>
      </c>
      <c r="O236" s="129">
        <v>0</v>
      </c>
      <c r="P236" s="129">
        <v>0</v>
      </c>
      <c r="Q236" s="129">
        <v>0</v>
      </c>
      <c r="R236" s="129">
        <v>0</v>
      </c>
      <c r="S236" s="129">
        <v>0</v>
      </c>
      <c r="T236" s="129">
        <v>0</v>
      </c>
      <c r="U236" s="129">
        <v>0</v>
      </c>
      <c r="V236" s="129">
        <v>0</v>
      </c>
      <c r="W236" s="129">
        <v>0</v>
      </c>
      <c r="X236" s="129">
        <v>0</v>
      </c>
      <c r="Y236" s="129">
        <v>0</v>
      </c>
      <c r="Z236" s="129">
        <v>0</v>
      </c>
      <c r="AA236" s="129">
        <v>0</v>
      </c>
      <c r="AB236" s="129">
        <v>0</v>
      </c>
      <c r="AC236" s="129">
        <v>0</v>
      </c>
      <c r="AD236" s="129">
        <v>0</v>
      </c>
      <c r="AE236" s="129">
        <v>0</v>
      </c>
      <c r="AF236" s="129">
        <v>0</v>
      </c>
      <c r="AG236" s="129">
        <v>0</v>
      </c>
    </row>
    <row r="237" spans="1:33" x14ac:dyDescent="0.45">
      <c r="B237" s="130" t="s">
        <v>458</v>
      </c>
      <c r="C237" s="133">
        <v>0</v>
      </c>
      <c r="D237" s="133">
        <v>0</v>
      </c>
      <c r="E237" s="133">
        <v>0</v>
      </c>
      <c r="F237" s="133">
        <v>0</v>
      </c>
      <c r="G237" s="133">
        <v>0.18</v>
      </c>
      <c r="H237" s="133">
        <v>0</v>
      </c>
      <c r="I237" s="133">
        <v>0</v>
      </c>
      <c r="J237" s="133">
        <v>0.23</v>
      </c>
      <c r="K237" s="133">
        <v>0</v>
      </c>
      <c r="L237" s="133">
        <v>0</v>
      </c>
      <c r="M237" s="133">
        <v>0</v>
      </c>
      <c r="N237" s="133">
        <v>0</v>
      </c>
      <c r="O237" s="133">
        <v>0</v>
      </c>
      <c r="P237" s="133">
        <v>0</v>
      </c>
      <c r="Q237" s="133">
        <v>3.71</v>
      </c>
      <c r="R237" s="133">
        <v>0</v>
      </c>
      <c r="S237" s="133">
        <v>0</v>
      </c>
      <c r="T237" s="133">
        <v>0</v>
      </c>
      <c r="U237" s="133">
        <v>0</v>
      </c>
      <c r="V237" s="133">
        <v>0</v>
      </c>
      <c r="W237" s="133">
        <v>3.1E-2</v>
      </c>
      <c r="X237" s="133">
        <v>0</v>
      </c>
      <c r="Y237" s="133">
        <v>0</v>
      </c>
      <c r="Z237" s="133">
        <v>0</v>
      </c>
      <c r="AA237" s="133">
        <v>0</v>
      </c>
      <c r="AB237" s="133">
        <v>0</v>
      </c>
      <c r="AC237" s="133">
        <v>0</v>
      </c>
      <c r="AD237" s="133">
        <v>0</v>
      </c>
      <c r="AE237" s="133">
        <v>0</v>
      </c>
      <c r="AF237" s="133">
        <v>0.29411799999999999</v>
      </c>
      <c r="AG237" s="133">
        <v>4.4451179999999999</v>
      </c>
    </row>
    <row r="238" spans="1:33" x14ac:dyDescent="0.45">
      <c r="A238" s="126" t="s">
        <v>457</v>
      </c>
      <c r="B238" s="129"/>
      <c r="C238" s="129">
        <v>0</v>
      </c>
      <c r="D238" s="129">
        <v>113.57599999999999</v>
      </c>
      <c r="E238" s="129">
        <v>0</v>
      </c>
      <c r="F238" s="129">
        <v>0</v>
      </c>
      <c r="G238" s="129">
        <v>0</v>
      </c>
      <c r="H238" s="129">
        <v>0</v>
      </c>
      <c r="I238" s="129">
        <v>0</v>
      </c>
      <c r="J238" s="129">
        <v>1.92</v>
      </c>
      <c r="K238" s="129">
        <v>0</v>
      </c>
      <c r="L238" s="129">
        <v>0</v>
      </c>
      <c r="M238" s="129">
        <v>50.277200000000001</v>
      </c>
      <c r="N238" s="129">
        <v>0</v>
      </c>
      <c r="O238" s="129">
        <v>21.722899999999999</v>
      </c>
      <c r="P238" s="129">
        <v>0</v>
      </c>
      <c r="Q238" s="129">
        <v>0</v>
      </c>
      <c r="R238" s="129">
        <v>0</v>
      </c>
      <c r="S238" s="129">
        <v>0</v>
      </c>
      <c r="T238" s="129">
        <v>0</v>
      </c>
      <c r="U238" s="129">
        <v>0</v>
      </c>
      <c r="V238" s="129">
        <v>0</v>
      </c>
      <c r="W238" s="129">
        <v>4.4370000000000003</v>
      </c>
      <c r="X238" s="129">
        <v>0</v>
      </c>
      <c r="Y238" s="129">
        <v>7.23</v>
      </c>
      <c r="Z238" s="129">
        <v>0</v>
      </c>
      <c r="AA238" s="129">
        <v>0</v>
      </c>
      <c r="AB238" s="129">
        <v>0</v>
      </c>
      <c r="AC238" s="129">
        <v>0</v>
      </c>
      <c r="AD238" s="129">
        <v>0</v>
      </c>
      <c r="AE238" s="129">
        <v>0</v>
      </c>
      <c r="AF238" s="129">
        <v>0</v>
      </c>
      <c r="AG238" s="129">
        <v>199.16309999999999</v>
      </c>
    </row>
    <row r="239" spans="1:33" x14ac:dyDescent="0.45">
      <c r="B239" s="130" t="s">
        <v>456</v>
      </c>
      <c r="C239" s="133">
        <v>0</v>
      </c>
      <c r="D239" s="133">
        <v>113.57599999999999</v>
      </c>
      <c r="E239" s="133">
        <v>0</v>
      </c>
      <c r="F239" s="133">
        <v>0</v>
      </c>
      <c r="G239" s="133">
        <v>0</v>
      </c>
      <c r="H239" s="133">
        <v>0</v>
      </c>
      <c r="I239" s="133">
        <v>0</v>
      </c>
      <c r="J239" s="133">
        <v>1.92</v>
      </c>
      <c r="K239" s="133">
        <v>0</v>
      </c>
      <c r="L239" s="133">
        <v>0</v>
      </c>
      <c r="M239" s="133">
        <v>50.277200000000001</v>
      </c>
      <c r="N239" s="133">
        <v>0</v>
      </c>
      <c r="O239" s="133">
        <v>21.722899999999999</v>
      </c>
      <c r="P239" s="133">
        <v>0</v>
      </c>
      <c r="Q239" s="133">
        <v>0</v>
      </c>
      <c r="R239" s="133">
        <v>0</v>
      </c>
      <c r="S239" s="133">
        <v>0</v>
      </c>
      <c r="T239" s="133">
        <v>0</v>
      </c>
      <c r="U239" s="133">
        <v>0</v>
      </c>
      <c r="V239" s="133">
        <v>0</v>
      </c>
      <c r="W239" s="133">
        <v>4.4370000000000003</v>
      </c>
      <c r="X239" s="133">
        <v>0</v>
      </c>
      <c r="Y239" s="133">
        <v>7.23</v>
      </c>
      <c r="Z239" s="133">
        <v>0</v>
      </c>
      <c r="AA239" s="133">
        <v>0</v>
      </c>
      <c r="AB239" s="133">
        <v>0</v>
      </c>
      <c r="AC239" s="133">
        <v>0</v>
      </c>
      <c r="AD239" s="133">
        <v>0</v>
      </c>
      <c r="AE239" s="133">
        <v>0</v>
      </c>
      <c r="AF239" s="133">
        <v>0</v>
      </c>
      <c r="AG239" s="133">
        <v>199.16309999999999</v>
      </c>
    </row>
    <row r="240" spans="1:33" x14ac:dyDescent="0.45">
      <c r="A240" s="126" t="s">
        <v>453</v>
      </c>
      <c r="B240" s="129"/>
      <c r="C240" s="129">
        <v>0</v>
      </c>
      <c r="D240" s="129">
        <v>0</v>
      </c>
      <c r="E240" s="129">
        <v>0</v>
      </c>
      <c r="F240" s="129">
        <v>5.2</v>
      </c>
      <c r="G240" s="129">
        <v>0</v>
      </c>
      <c r="H240" s="129">
        <v>0</v>
      </c>
      <c r="I240" s="129">
        <v>0</v>
      </c>
      <c r="J240" s="129">
        <v>0.17300000000000001</v>
      </c>
      <c r="K240" s="129">
        <v>0</v>
      </c>
      <c r="L240" s="129">
        <v>0</v>
      </c>
      <c r="M240" s="129">
        <v>56.4</v>
      </c>
      <c r="N240" s="129">
        <v>0</v>
      </c>
      <c r="O240" s="129">
        <v>0</v>
      </c>
      <c r="P240" s="129">
        <v>13.7</v>
      </c>
      <c r="Q240" s="129">
        <v>0</v>
      </c>
      <c r="R240" s="129">
        <v>0</v>
      </c>
      <c r="S240" s="129">
        <v>11</v>
      </c>
      <c r="T240" s="129">
        <v>0</v>
      </c>
      <c r="U240" s="129">
        <v>0</v>
      </c>
      <c r="V240" s="129">
        <v>0</v>
      </c>
      <c r="W240" s="129">
        <v>2.6630000000000003</v>
      </c>
      <c r="X240" s="129">
        <v>0</v>
      </c>
      <c r="Y240" s="129">
        <v>1.7</v>
      </c>
      <c r="Z240" s="129">
        <v>0</v>
      </c>
      <c r="AA240" s="129">
        <v>0</v>
      </c>
      <c r="AB240" s="129">
        <v>0</v>
      </c>
      <c r="AC240" s="129">
        <v>0</v>
      </c>
      <c r="AD240" s="129">
        <v>0</v>
      </c>
      <c r="AE240" s="129">
        <v>0</v>
      </c>
      <c r="AF240" s="129">
        <v>9</v>
      </c>
      <c r="AG240" s="129">
        <v>99.835999999999984</v>
      </c>
    </row>
    <row r="241" spans="1:33" x14ac:dyDescent="0.45">
      <c r="B241" s="130" t="s">
        <v>455</v>
      </c>
      <c r="C241" s="133">
        <v>0</v>
      </c>
      <c r="D241" s="133">
        <v>0</v>
      </c>
      <c r="E241" s="133">
        <v>0</v>
      </c>
      <c r="F241" s="133">
        <v>0</v>
      </c>
      <c r="G241" s="133">
        <v>0</v>
      </c>
      <c r="H241" s="133">
        <v>0</v>
      </c>
      <c r="I241" s="133">
        <v>0</v>
      </c>
      <c r="J241" s="133">
        <v>7.0000000000000007E-2</v>
      </c>
      <c r="K241" s="133">
        <v>0</v>
      </c>
      <c r="L241" s="133">
        <v>0</v>
      </c>
      <c r="M241" s="133">
        <v>0</v>
      </c>
      <c r="N241" s="133">
        <v>0</v>
      </c>
      <c r="O241" s="133">
        <v>0</v>
      </c>
      <c r="P241" s="133">
        <v>0</v>
      </c>
      <c r="Q241" s="133">
        <v>0</v>
      </c>
      <c r="R241" s="133">
        <v>0</v>
      </c>
      <c r="S241" s="133">
        <v>0</v>
      </c>
      <c r="T241" s="133">
        <v>0</v>
      </c>
      <c r="U241" s="133">
        <v>0</v>
      </c>
      <c r="V241" s="133">
        <v>0</v>
      </c>
      <c r="W241" s="133">
        <v>0.16300000000000001</v>
      </c>
      <c r="X241" s="133">
        <v>0</v>
      </c>
      <c r="Y241" s="133">
        <v>1.4</v>
      </c>
      <c r="Z241" s="133">
        <v>0</v>
      </c>
      <c r="AA241" s="133">
        <v>0</v>
      </c>
      <c r="AB241" s="133">
        <v>0</v>
      </c>
      <c r="AC241" s="133">
        <v>0</v>
      </c>
      <c r="AD241" s="133">
        <v>0</v>
      </c>
      <c r="AE241" s="133">
        <v>0</v>
      </c>
      <c r="AF241" s="133">
        <v>9</v>
      </c>
      <c r="AG241" s="133">
        <v>10.633000000000001</v>
      </c>
    </row>
    <row r="242" spans="1:33" x14ac:dyDescent="0.45">
      <c r="A242" s="126"/>
      <c r="B242" s="129" t="s">
        <v>454</v>
      </c>
      <c r="C242" s="129">
        <v>0</v>
      </c>
      <c r="D242" s="129">
        <v>0</v>
      </c>
      <c r="E242" s="129">
        <v>0</v>
      </c>
      <c r="F242" s="129">
        <v>0</v>
      </c>
      <c r="G242" s="129">
        <v>0</v>
      </c>
      <c r="H242" s="129">
        <v>0</v>
      </c>
      <c r="I242" s="129">
        <v>0</v>
      </c>
      <c r="J242" s="129">
        <v>0.09</v>
      </c>
      <c r="K242" s="129">
        <v>0</v>
      </c>
      <c r="L242" s="129">
        <v>0</v>
      </c>
      <c r="M242" s="129">
        <v>0</v>
      </c>
      <c r="N242" s="129">
        <v>0</v>
      </c>
      <c r="O242" s="129">
        <v>0</v>
      </c>
      <c r="P242" s="129">
        <v>1.6</v>
      </c>
      <c r="Q242" s="129">
        <v>0</v>
      </c>
      <c r="R242" s="129">
        <v>0</v>
      </c>
      <c r="S242" s="129">
        <v>11</v>
      </c>
      <c r="T242" s="129">
        <v>0</v>
      </c>
      <c r="U242" s="129">
        <v>0</v>
      </c>
      <c r="V242" s="129">
        <v>0</v>
      </c>
      <c r="W242" s="129">
        <v>0.4</v>
      </c>
      <c r="X242" s="129">
        <v>0</v>
      </c>
      <c r="Y242" s="129">
        <v>0.3</v>
      </c>
      <c r="Z242" s="129">
        <v>0</v>
      </c>
      <c r="AA242" s="129">
        <v>0</v>
      </c>
      <c r="AB242" s="129">
        <v>0</v>
      </c>
      <c r="AC242" s="129">
        <v>0</v>
      </c>
      <c r="AD242" s="129">
        <v>0</v>
      </c>
      <c r="AE242" s="129">
        <v>0</v>
      </c>
      <c r="AF242" s="129">
        <v>0</v>
      </c>
      <c r="AG242" s="129">
        <v>13.39</v>
      </c>
    </row>
    <row r="243" spans="1:33" x14ac:dyDescent="0.45">
      <c r="B243" s="130" t="s">
        <v>452</v>
      </c>
      <c r="C243" s="133">
        <v>0</v>
      </c>
      <c r="D243" s="133">
        <v>0</v>
      </c>
      <c r="E243" s="133">
        <v>0</v>
      </c>
      <c r="F243" s="133">
        <v>5.2</v>
      </c>
      <c r="G243" s="133">
        <v>0</v>
      </c>
      <c r="H243" s="133">
        <v>0</v>
      </c>
      <c r="I243" s="133">
        <v>0</v>
      </c>
      <c r="J243" s="133">
        <v>1.2999999999999999E-2</v>
      </c>
      <c r="K243" s="133">
        <v>0</v>
      </c>
      <c r="L243" s="133">
        <v>0</v>
      </c>
      <c r="M243" s="133">
        <v>56.4</v>
      </c>
      <c r="N243" s="133">
        <v>0</v>
      </c>
      <c r="O243" s="133">
        <v>0</v>
      </c>
      <c r="P243" s="133">
        <v>12.1</v>
      </c>
      <c r="Q243" s="133">
        <v>0</v>
      </c>
      <c r="R243" s="133">
        <v>0</v>
      </c>
      <c r="S243" s="133">
        <v>0</v>
      </c>
      <c r="T243" s="133">
        <v>0</v>
      </c>
      <c r="U243" s="133">
        <v>0</v>
      </c>
      <c r="V243" s="133">
        <v>0</v>
      </c>
      <c r="W243" s="133">
        <v>2.1</v>
      </c>
      <c r="X243" s="133">
        <v>0</v>
      </c>
      <c r="Y243" s="133">
        <v>0</v>
      </c>
      <c r="Z243" s="133">
        <v>0</v>
      </c>
      <c r="AA243" s="133">
        <v>0</v>
      </c>
      <c r="AB243" s="133">
        <v>0</v>
      </c>
      <c r="AC243" s="133">
        <v>0</v>
      </c>
      <c r="AD243" s="133">
        <v>0</v>
      </c>
      <c r="AE243" s="133">
        <v>0</v>
      </c>
      <c r="AF243" s="133">
        <v>0</v>
      </c>
      <c r="AG243" s="133">
        <v>75.812999999999988</v>
      </c>
    </row>
    <row r="244" spans="1:33" x14ac:dyDescent="0.45">
      <c r="A244" s="126" t="s">
        <v>449</v>
      </c>
      <c r="B244" s="129"/>
      <c r="C244" s="129">
        <v>0</v>
      </c>
      <c r="D244" s="129">
        <v>0</v>
      </c>
      <c r="E244" s="129">
        <v>15.7</v>
      </c>
      <c r="F244" s="129">
        <v>0</v>
      </c>
      <c r="G244" s="129">
        <v>8.39</v>
      </c>
      <c r="H244" s="129">
        <v>0</v>
      </c>
      <c r="I244" s="129">
        <v>16.25</v>
      </c>
      <c r="J244" s="129">
        <v>55.4</v>
      </c>
      <c r="K244" s="129">
        <v>0</v>
      </c>
      <c r="L244" s="129">
        <v>6.1</v>
      </c>
      <c r="M244" s="129">
        <v>1</v>
      </c>
      <c r="N244" s="129">
        <v>0</v>
      </c>
      <c r="O244" s="129">
        <v>0</v>
      </c>
      <c r="P244" s="129">
        <v>0</v>
      </c>
      <c r="Q244" s="129">
        <v>752.86</v>
      </c>
      <c r="R244" s="129">
        <v>0</v>
      </c>
      <c r="S244" s="129">
        <v>13.6</v>
      </c>
      <c r="T244" s="129">
        <v>0</v>
      </c>
      <c r="U244" s="129">
        <v>0</v>
      </c>
      <c r="V244" s="129">
        <v>0</v>
      </c>
      <c r="W244" s="129">
        <v>31.169999999999998</v>
      </c>
      <c r="X244" s="129">
        <v>0</v>
      </c>
      <c r="Y244" s="129">
        <v>52.57</v>
      </c>
      <c r="Z244" s="129">
        <v>0</v>
      </c>
      <c r="AA244" s="129">
        <v>0</v>
      </c>
      <c r="AB244" s="129">
        <v>0</v>
      </c>
      <c r="AC244" s="129">
        <v>0</v>
      </c>
      <c r="AD244" s="129">
        <v>0</v>
      </c>
      <c r="AE244" s="129">
        <v>0</v>
      </c>
      <c r="AF244" s="129">
        <v>0</v>
      </c>
      <c r="AG244" s="129">
        <v>953.04000000000008</v>
      </c>
    </row>
    <row r="245" spans="1:33" x14ac:dyDescent="0.45">
      <c r="B245" s="130" t="s">
        <v>451</v>
      </c>
      <c r="C245" s="133">
        <v>0</v>
      </c>
      <c r="D245" s="133">
        <v>0</v>
      </c>
      <c r="E245" s="133">
        <v>15.7</v>
      </c>
      <c r="F245" s="133">
        <v>0</v>
      </c>
      <c r="G245" s="133">
        <v>8.3000000000000007</v>
      </c>
      <c r="H245" s="133">
        <v>0</v>
      </c>
      <c r="I245" s="133">
        <v>16.100000000000001</v>
      </c>
      <c r="J245" s="133">
        <v>52.6</v>
      </c>
      <c r="K245" s="133">
        <v>0</v>
      </c>
      <c r="L245" s="133">
        <v>6.1</v>
      </c>
      <c r="M245" s="133">
        <v>0</v>
      </c>
      <c r="N245" s="133">
        <v>0</v>
      </c>
      <c r="O245" s="133">
        <v>0</v>
      </c>
      <c r="P245" s="133">
        <v>0</v>
      </c>
      <c r="Q245" s="133">
        <v>746</v>
      </c>
      <c r="R245" s="133">
        <v>0</v>
      </c>
      <c r="S245" s="133">
        <v>0</v>
      </c>
      <c r="T245" s="133">
        <v>0</v>
      </c>
      <c r="U245" s="133">
        <v>0</v>
      </c>
      <c r="V245" s="133">
        <v>0</v>
      </c>
      <c r="W245" s="133">
        <v>30.4</v>
      </c>
      <c r="X245" s="133">
        <v>0</v>
      </c>
      <c r="Y245" s="133">
        <v>38.700000000000003</v>
      </c>
      <c r="Z245" s="133">
        <v>0</v>
      </c>
      <c r="AA245" s="133">
        <v>0</v>
      </c>
      <c r="AB245" s="133">
        <v>0</v>
      </c>
      <c r="AC245" s="133">
        <v>0</v>
      </c>
      <c r="AD245" s="133">
        <v>0</v>
      </c>
      <c r="AE245" s="133">
        <v>0</v>
      </c>
      <c r="AF245" s="133">
        <v>0</v>
      </c>
      <c r="AG245" s="133">
        <v>913.90000000000009</v>
      </c>
    </row>
    <row r="246" spans="1:33" x14ac:dyDescent="0.45">
      <c r="A246" s="126"/>
      <c r="B246" s="129" t="s">
        <v>450</v>
      </c>
      <c r="C246" s="129">
        <v>0</v>
      </c>
      <c r="D246" s="129">
        <v>0</v>
      </c>
      <c r="E246" s="129">
        <v>0</v>
      </c>
      <c r="F246" s="129">
        <v>0</v>
      </c>
      <c r="G246" s="129">
        <v>0.09</v>
      </c>
      <c r="H246" s="129">
        <v>0</v>
      </c>
      <c r="I246" s="129">
        <v>0.15</v>
      </c>
      <c r="J246" s="129">
        <v>0</v>
      </c>
      <c r="K246" s="129">
        <v>0</v>
      </c>
      <c r="L246" s="129">
        <v>0</v>
      </c>
      <c r="M246" s="129">
        <v>0</v>
      </c>
      <c r="N246" s="129">
        <v>0</v>
      </c>
      <c r="O246" s="129">
        <v>0</v>
      </c>
      <c r="P246" s="129">
        <v>0</v>
      </c>
      <c r="Q246" s="129">
        <v>6.86</v>
      </c>
      <c r="R246" s="129">
        <v>0</v>
      </c>
      <c r="S246" s="129">
        <v>0</v>
      </c>
      <c r="T246" s="129">
        <v>0</v>
      </c>
      <c r="U246" s="129">
        <v>0</v>
      </c>
      <c r="V246" s="129">
        <v>0</v>
      </c>
      <c r="W246" s="129">
        <v>0.25</v>
      </c>
      <c r="X246" s="129">
        <v>0</v>
      </c>
      <c r="Y246" s="129">
        <v>0.37</v>
      </c>
      <c r="Z246" s="129">
        <v>0</v>
      </c>
      <c r="AA246" s="129">
        <v>0</v>
      </c>
      <c r="AB246" s="129">
        <v>0</v>
      </c>
      <c r="AC246" s="129">
        <v>0</v>
      </c>
      <c r="AD246" s="129">
        <v>0</v>
      </c>
      <c r="AE246" s="129">
        <v>0</v>
      </c>
      <c r="AF246" s="129">
        <v>0</v>
      </c>
      <c r="AG246" s="129">
        <v>7.7200000000000006</v>
      </c>
    </row>
    <row r="247" spans="1:33" x14ac:dyDescent="0.45">
      <c r="B247" s="130" t="s">
        <v>448</v>
      </c>
      <c r="C247" s="133">
        <v>0</v>
      </c>
      <c r="D247" s="133">
        <v>0</v>
      </c>
      <c r="E247" s="133">
        <v>0</v>
      </c>
      <c r="F247" s="133">
        <v>0</v>
      </c>
      <c r="G247" s="133">
        <v>0</v>
      </c>
      <c r="H247" s="133">
        <v>0</v>
      </c>
      <c r="I247" s="133">
        <v>0</v>
      </c>
      <c r="J247" s="133">
        <v>2.8</v>
      </c>
      <c r="K247" s="133">
        <v>0</v>
      </c>
      <c r="L247" s="133">
        <v>0</v>
      </c>
      <c r="M247" s="133">
        <v>1</v>
      </c>
      <c r="N247" s="133">
        <v>0</v>
      </c>
      <c r="O247" s="133">
        <v>0</v>
      </c>
      <c r="P247" s="133">
        <v>0</v>
      </c>
      <c r="Q247" s="133">
        <v>0</v>
      </c>
      <c r="R247" s="133">
        <v>0</v>
      </c>
      <c r="S247" s="133">
        <v>13.6</v>
      </c>
      <c r="T247" s="133">
        <v>0</v>
      </c>
      <c r="U247" s="133">
        <v>0</v>
      </c>
      <c r="V247" s="133">
        <v>0</v>
      </c>
      <c r="W247" s="133">
        <v>0.52</v>
      </c>
      <c r="X247" s="133">
        <v>0</v>
      </c>
      <c r="Y247" s="133">
        <v>13.5</v>
      </c>
      <c r="Z247" s="133">
        <v>0</v>
      </c>
      <c r="AA247" s="133">
        <v>0</v>
      </c>
      <c r="AB247" s="133">
        <v>0</v>
      </c>
      <c r="AC247" s="133">
        <v>0</v>
      </c>
      <c r="AD247" s="133">
        <v>0</v>
      </c>
      <c r="AE247" s="133">
        <v>0</v>
      </c>
      <c r="AF247" s="133">
        <v>0</v>
      </c>
      <c r="AG247" s="133">
        <v>31.419999999999998</v>
      </c>
    </row>
    <row r="248" spans="1:33" x14ac:dyDescent="0.45">
      <c r="A248" s="126" t="s">
        <v>447</v>
      </c>
      <c r="B248" s="129"/>
      <c r="C248" s="129">
        <v>0</v>
      </c>
      <c r="D248" s="129">
        <v>0</v>
      </c>
      <c r="E248" s="129">
        <v>0</v>
      </c>
      <c r="F248" s="129">
        <v>0</v>
      </c>
      <c r="G248" s="129">
        <v>0</v>
      </c>
      <c r="H248" s="129">
        <v>0</v>
      </c>
      <c r="I248" s="129">
        <v>0</v>
      </c>
      <c r="J248" s="129">
        <v>0.19</v>
      </c>
      <c r="K248" s="129">
        <v>0</v>
      </c>
      <c r="L248" s="129">
        <v>0</v>
      </c>
      <c r="M248" s="129">
        <v>0</v>
      </c>
      <c r="N248" s="129">
        <v>0</v>
      </c>
      <c r="O248" s="129">
        <v>0</v>
      </c>
      <c r="P248" s="129">
        <v>4.3</v>
      </c>
      <c r="Q248" s="129">
        <v>0</v>
      </c>
      <c r="R248" s="129">
        <v>0</v>
      </c>
      <c r="S248" s="129">
        <v>27</v>
      </c>
      <c r="T248" s="129">
        <v>0</v>
      </c>
      <c r="U248" s="129">
        <v>0</v>
      </c>
      <c r="V248" s="129">
        <v>0</v>
      </c>
      <c r="W248" s="129">
        <v>0.5</v>
      </c>
      <c r="X248" s="129">
        <v>0</v>
      </c>
      <c r="Y248" s="129">
        <v>0</v>
      </c>
      <c r="Z248" s="129">
        <v>0</v>
      </c>
      <c r="AA248" s="129">
        <v>0</v>
      </c>
      <c r="AB248" s="129">
        <v>0</v>
      </c>
      <c r="AC248" s="129">
        <v>0</v>
      </c>
      <c r="AD248" s="129">
        <v>0</v>
      </c>
      <c r="AE248" s="129">
        <v>0</v>
      </c>
      <c r="AF248" s="129">
        <v>0</v>
      </c>
      <c r="AG248" s="129">
        <v>31.990000000000002</v>
      </c>
    </row>
    <row r="249" spans="1:33" x14ac:dyDescent="0.45">
      <c r="B249" s="130" t="s">
        <v>446</v>
      </c>
      <c r="C249" s="133">
        <v>0</v>
      </c>
      <c r="D249" s="133">
        <v>0</v>
      </c>
      <c r="E249" s="133">
        <v>0</v>
      </c>
      <c r="F249" s="133">
        <v>0</v>
      </c>
      <c r="G249" s="133">
        <v>0</v>
      </c>
      <c r="H249" s="133">
        <v>0</v>
      </c>
      <c r="I249" s="133">
        <v>0</v>
      </c>
      <c r="J249" s="133">
        <v>0.19</v>
      </c>
      <c r="K249" s="133">
        <v>0</v>
      </c>
      <c r="L249" s="133">
        <v>0</v>
      </c>
      <c r="M249" s="133">
        <v>0</v>
      </c>
      <c r="N249" s="133">
        <v>0</v>
      </c>
      <c r="O249" s="133">
        <v>0</v>
      </c>
      <c r="P249" s="133">
        <v>4.3</v>
      </c>
      <c r="Q249" s="133">
        <v>0</v>
      </c>
      <c r="R249" s="133">
        <v>0</v>
      </c>
      <c r="S249" s="133">
        <v>27</v>
      </c>
      <c r="T249" s="133">
        <v>0</v>
      </c>
      <c r="U249" s="133">
        <v>0</v>
      </c>
      <c r="V249" s="133">
        <v>0</v>
      </c>
      <c r="W249" s="133">
        <v>0.5</v>
      </c>
      <c r="X249" s="133">
        <v>0</v>
      </c>
      <c r="Y249" s="133">
        <v>0</v>
      </c>
      <c r="Z249" s="133">
        <v>0</v>
      </c>
      <c r="AA249" s="133">
        <v>0</v>
      </c>
      <c r="AB249" s="133">
        <v>0</v>
      </c>
      <c r="AC249" s="133">
        <v>0</v>
      </c>
      <c r="AD249" s="133">
        <v>0</v>
      </c>
      <c r="AE249" s="133">
        <v>0</v>
      </c>
      <c r="AF249" s="133">
        <v>0</v>
      </c>
      <c r="AG249" s="133">
        <v>31.990000000000002</v>
      </c>
    </row>
    <row r="250" spans="1:33" x14ac:dyDescent="0.45">
      <c r="A250" s="126" t="s">
        <v>444</v>
      </c>
      <c r="B250" s="129"/>
      <c r="C250" s="129">
        <v>0</v>
      </c>
      <c r="D250" s="129">
        <v>0</v>
      </c>
      <c r="E250" s="129">
        <v>0</v>
      </c>
      <c r="F250" s="129">
        <v>4.4967300000000003</v>
      </c>
      <c r="G250" s="129">
        <v>0</v>
      </c>
      <c r="H250" s="129">
        <v>0</v>
      </c>
      <c r="I250" s="129">
        <v>0</v>
      </c>
      <c r="J250" s="129">
        <v>1.93</v>
      </c>
      <c r="K250" s="129">
        <v>0</v>
      </c>
      <c r="L250" s="129">
        <v>0</v>
      </c>
      <c r="M250" s="129">
        <v>63.928699999999999</v>
      </c>
      <c r="N250" s="129">
        <v>0</v>
      </c>
      <c r="O250" s="129">
        <v>0</v>
      </c>
      <c r="P250" s="129">
        <v>18.21</v>
      </c>
      <c r="Q250" s="129">
        <v>0</v>
      </c>
      <c r="R250" s="129">
        <v>0</v>
      </c>
      <c r="S250" s="129">
        <v>34.837600000000002</v>
      </c>
      <c r="T250" s="129">
        <v>0</v>
      </c>
      <c r="U250" s="129">
        <v>0</v>
      </c>
      <c r="V250" s="129">
        <v>0</v>
      </c>
      <c r="W250" s="129">
        <v>3.5925500000000001</v>
      </c>
      <c r="X250" s="129">
        <v>7.3500000000000005</v>
      </c>
      <c r="Y250" s="129">
        <v>0</v>
      </c>
      <c r="Z250" s="129">
        <v>0</v>
      </c>
      <c r="AA250" s="129">
        <v>0</v>
      </c>
      <c r="AB250" s="129">
        <v>0</v>
      </c>
      <c r="AC250" s="129">
        <v>0</v>
      </c>
      <c r="AD250" s="129">
        <v>0</v>
      </c>
      <c r="AE250" s="129">
        <v>0</v>
      </c>
      <c r="AF250" s="129">
        <v>0</v>
      </c>
      <c r="AG250" s="129">
        <v>134.34558000000001</v>
      </c>
    </row>
    <row r="251" spans="1:33" x14ac:dyDescent="0.45">
      <c r="B251" s="130" t="s">
        <v>445</v>
      </c>
      <c r="C251" s="133">
        <v>0</v>
      </c>
      <c r="D251" s="133">
        <v>0</v>
      </c>
      <c r="E251" s="133">
        <v>0</v>
      </c>
      <c r="F251" s="133">
        <v>4.4967300000000003</v>
      </c>
      <c r="G251" s="133">
        <v>0</v>
      </c>
      <c r="H251" s="133">
        <v>0</v>
      </c>
      <c r="I251" s="133">
        <v>0</v>
      </c>
      <c r="J251" s="133">
        <v>1.89</v>
      </c>
      <c r="K251" s="133">
        <v>0</v>
      </c>
      <c r="L251" s="133">
        <v>0</v>
      </c>
      <c r="M251" s="133">
        <v>63.928699999999999</v>
      </c>
      <c r="N251" s="133">
        <v>0</v>
      </c>
      <c r="O251" s="133">
        <v>0</v>
      </c>
      <c r="P251" s="133">
        <v>18.21</v>
      </c>
      <c r="Q251" s="133">
        <v>0</v>
      </c>
      <c r="R251" s="133">
        <v>0</v>
      </c>
      <c r="S251" s="133">
        <v>34.837600000000002</v>
      </c>
      <c r="T251" s="133">
        <v>0</v>
      </c>
      <c r="U251" s="133">
        <v>0</v>
      </c>
      <c r="V251" s="133">
        <v>0</v>
      </c>
      <c r="W251" s="133">
        <v>3.5525500000000001</v>
      </c>
      <c r="X251" s="133">
        <v>5.65</v>
      </c>
      <c r="Y251" s="133">
        <v>0</v>
      </c>
      <c r="Z251" s="133">
        <v>0</v>
      </c>
      <c r="AA251" s="133">
        <v>0</v>
      </c>
      <c r="AB251" s="133">
        <v>0</v>
      </c>
      <c r="AC251" s="133">
        <v>0</v>
      </c>
      <c r="AD251" s="133">
        <v>0</v>
      </c>
      <c r="AE251" s="133">
        <v>0</v>
      </c>
      <c r="AF251" s="133">
        <v>0</v>
      </c>
      <c r="AG251" s="133">
        <v>132.56558000000001</v>
      </c>
    </row>
    <row r="252" spans="1:33" x14ac:dyDescent="0.45">
      <c r="A252" s="126"/>
      <c r="B252" s="129" t="s">
        <v>443</v>
      </c>
      <c r="C252" s="129">
        <v>0</v>
      </c>
      <c r="D252" s="129">
        <v>0</v>
      </c>
      <c r="E252" s="129">
        <v>0</v>
      </c>
      <c r="F252" s="129">
        <v>0</v>
      </c>
      <c r="G252" s="129">
        <v>0</v>
      </c>
      <c r="H252" s="129">
        <v>0</v>
      </c>
      <c r="I252" s="129">
        <v>0</v>
      </c>
      <c r="J252" s="129">
        <v>0.04</v>
      </c>
      <c r="K252" s="129">
        <v>0</v>
      </c>
      <c r="L252" s="129">
        <v>0</v>
      </c>
      <c r="M252" s="129">
        <v>0</v>
      </c>
      <c r="N252" s="129">
        <v>0</v>
      </c>
      <c r="O252" s="129">
        <v>0</v>
      </c>
      <c r="P252" s="129">
        <v>0</v>
      </c>
      <c r="Q252" s="129">
        <v>0</v>
      </c>
      <c r="R252" s="129">
        <v>0</v>
      </c>
      <c r="S252" s="129">
        <v>0</v>
      </c>
      <c r="T252" s="129">
        <v>0</v>
      </c>
      <c r="U252" s="129">
        <v>0</v>
      </c>
      <c r="V252" s="129">
        <v>0</v>
      </c>
      <c r="W252" s="129">
        <v>0.04</v>
      </c>
      <c r="X252" s="129">
        <v>1.7</v>
      </c>
      <c r="Y252" s="129">
        <v>0</v>
      </c>
      <c r="Z252" s="129">
        <v>0</v>
      </c>
      <c r="AA252" s="129">
        <v>0</v>
      </c>
      <c r="AB252" s="129">
        <v>0</v>
      </c>
      <c r="AC252" s="129">
        <v>0</v>
      </c>
      <c r="AD252" s="129">
        <v>0</v>
      </c>
      <c r="AE252" s="129">
        <v>0</v>
      </c>
      <c r="AF252" s="129">
        <v>0</v>
      </c>
      <c r="AG252" s="129">
        <v>1.78</v>
      </c>
    </row>
    <row r="253" spans="1:33" x14ac:dyDescent="0.45">
      <c r="A253" s="134" t="s">
        <v>442</v>
      </c>
      <c r="B253" s="130"/>
      <c r="C253" s="133">
        <v>0</v>
      </c>
      <c r="D253" s="133">
        <v>0</v>
      </c>
      <c r="E253" s="133">
        <v>0</v>
      </c>
      <c r="F253" s="133">
        <v>5.4</v>
      </c>
      <c r="G253" s="133">
        <v>0</v>
      </c>
      <c r="H253" s="133">
        <v>0</v>
      </c>
      <c r="I253" s="133">
        <v>0</v>
      </c>
      <c r="J253" s="133">
        <v>0.70295200000000002</v>
      </c>
      <c r="K253" s="133">
        <v>0</v>
      </c>
      <c r="L253" s="133">
        <v>0</v>
      </c>
      <c r="M253" s="133">
        <v>87.22</v>
      </c>
      <c r="N253" s="133">
        <v>0</v>
      </c>
      <c r="O253" s="133">
        <v>0</v>
      </c>
      <c r="P253" s="133">
        <v>1.87</v>
      </c>
      <c r="Q253" s="133">
        <v>0</v>
      </c>
      <c r="R253" s="133">
        <v>5.4</v>
      </c>
      <c r="S253" s="133">
        <v>14.7074</v>
      </c>
      <c r="T253" s="133">
        <v>0</v>
      </c>
      <c r="U253" s="133">
        <v>0</v>
      </c>
      <c r="V253" s="133">
        <v>0</v>
      </c>
      <c r="W253" s="133">
        <v>4.7487899999999996</v>
      </c>
      <c r="X253" s="133">
        <v>0</v>
      </c>
      <c r="Y253" s="133">
        <v>0</v>
      </c>
      <c r="Z253" s="133">
        <v>0</v>
      </c>
      <c r="AA253" s="133">
        <v>0</v>
      </c>
      <c r="AB253" s="133">
        <v>0</v>
      </c>
      <c r="AC253" s="133">
        <v>0</v>
      </c>
      <c r="AD253" s="133">
        <v>0</v>
      </c>
      <c r="AE253" s="133">
        <v>0</v>
      </c>
      <c r="AF253" s="133">
        <v>9.1764700000000001</v>
      </c>
      <c r="AG253" s="133">
        <v>129.22561200000001</v>
      </c>
    </row>
    <row r="254" spans="1:33" x14ac:dyDescent="0.45">
      <c r="A254" s="126"/>
      <c r="B254" s="129" t="s">
        <v>441</v>
      </c>
      <c r="C254" s="129">
        <v>0</v>
      </c>
      <c r="D254" s="129">
        <v>0</v>
      </c>
      <c r="E254" s="129">
        <v>0</v>
      </c>
      <c r="F254" s="129">
        <v>5.4</v>
      </c>
      <c r="G254" s="129">
        <v>0</v>
      </c>
      <c r="H254" s="129">
        <v>0</v>
      </c>
      <c r="I254" s="129">
        <v>0</v>
      </c>
      <c r="J254" s="129">
        <v>0.70295200000000002</v>
      </c>
      <c r="K254" s="129">
        <v>0</v>
      </c>
      <c r="L254" s="129">
        <v>0</v>
      </c>
      <c r="M254" s="129">
        <v>87.22</v>
      </c>
      <c r="N254" s="129">
        <v>0</v>
      </c>
      <c r="O254" s="129">
        <v>0</v>
      </c>
      <c r="P254" s="129">
        <v>1.87</v>
      </c>
      <c r="Q254" s="129">
        <v>0</v>
      </c>
      <c r="R254" s="129">
        <v>5.4</v>
      </c>
      <c r="S254" s="129">
        <v>14.7074</v>
      </c>
      <c r="T254" s="129">
        <v>0</v>
      </c>
      <c r="U254" s="129">
        <v>0</v>
      </c>
      <c r="V254" s="129">
        <v>0</v>
      </c>
      <c r="W254" s="129">
        <v>4.7487899999999996</v>
      </c>
      <c r="X254" s="129">
        <v>0</v>
      </c>
      <c r="Y254" s="129">
        <v>0</v>
      </c>
      <c r="Z254" s="129">
        <v>0</v>
      </c>
      <c r="AA254" s="129">
        <v>0</v>
      </c>
      <c r="AB254" s="129">
        <v>0</v>
      </c>
      <c r="AC254" s="129">
        <v>0</v>
      </c>
      <c r="AD254" s="129">
        <v>0</v>
      </c>
      <c r="AE254" s="129">
        <v>0</v>
      </c>
      <c r="AF254" s="129">
        <v>9.1764700000000001</v>
      </c>
      <c r="AG254" s="129">
        <v>129.22561200000001</v>
      </c>
    </row>
    <row r="255" spans="1:33" x14ac:dyDescent="0.45">
      <c r="A255" s="134" t="s">
        <v>440</v>
      </c>
      <c r="B255" s="130"/>
      <c r="C255" s="133">
        <v>0</v>
      </c>
      <c r="D255" s="133">
        <v>0</v>
      </c>
      <c r="E255" s="133">
        <v>0</v>
      </c>
      <c r="F255" s="133">
        <v>0</v>
      </c>
      <c r="G255" s="133">
        <v>0</v>
      </c>
      <c r="H255" s="133">
        <v>0</v>
      </c>
      <c r="I255" s="133">
        <v>0</v>
      </c>
      <c r="J255" s="133">
        <v>0</v>
      </c>
      <c r="K255" s="133">
        <v>0</v>
      </c>
      <c r="L255" s="133">
        <v>0</v>
      </c>
      <c r="M255" s="133">
        <v>0</v>
      </c>
      <c r="N255" s="133">
        <v>0</v>
      </c>
      <c r="O255" s="133">
        <v>0</v>
      </c>
      <c r="P255" s="133">
        <v>0</v>
      </c>
      <c r="Q255" s="133">
        <v>0</v>
      </c>
      <c r="R255" s="133">
        <v>0</v>
      </c>
      <c r="S255" s="133">
        <v>0</v>
      </c>
      <c r="T255" s="133">
        <v>0</v>
      </c>
      <c r="U255" s="133">
        <v>0</v>
      </c>
      <c r="V255" s="133">
        <v>0</v>
      </c>
      <c r="W255" s="133">
        <v>0</v>
      </c>
      <c r="X255" s="133">
        <v>0</v>
      </c>
      <c r="Y255" s="133">
        <v>0</v>
      </c>
      <c r="Z255" s="133">
        <v>0</v>
      </c>
      <c r="AA255" s="133">
        <v>0</v>
      </c>
      <c r="AB255" s="133">
        <v>0</v>
      </c>
      <c r="AC255" s="133">
        <v>0</v>
      </c>
      <c r="AD255" s="133">
        <v>0</v>
      </c>
      <c r="AE255" s="133">
        <v>0</v>
      </c>
      <c r="AF255" s="133">
        <v>0</v>
      </c>
      <c r="AG255" s="133">
        <v>0</v>
      </c>
    </row>
    <row r="256" spans="1:33" x14ac:dyDescent="0.45">
      <c r="A256" s="126"/>
      <c r="B256" s="129" t="s">
        <v>439</v>
      </c>
      <c r="C256" s="129">
        <v>0</v>
      </c>
      <c r="D256" s="129">
        <v>0</v>
      </c>
      <c r="E256" s="129">
        <v>0</v>
      </c>
      <c r="F256" s="129">
        <v>0</v>
      </c>
      <c r="G256" s="129">
        <v>0</v>
      </c>
      <c r="H256" s="129">
        <v>0</v>
      </c>
      <c r="I256" s="129">
        <v>0</v>
      </c>
      <c r="J256" s="129">
        <v>0</v>
      </c>
      <c r="K256" s="129">
        <v>0</v>
      </c>
      <c r="L256" s="129">
        <v>0</v>
      </c>
      <c r="M256" s="129">
        <v>0</v>
      </c>
      <c r="N256" s="129">
        <v>0</v>
      </c>
      <c r="O256" s="129">
        <v>0</v>
      </c>
      <c r="P256" s="129">
        <v>0</v>
      </c>
      <c r="Q256" s="129">
        <v>0</v>
      </c>
      <c r="R256" s="129">
        <v>0</v>
      </c>
      <c r="S256" s="129">
        <v>0</v>
      </c>
      <c r="T256" s="129">
        <v>0</v>
      </c>
      <c r="U256" s="129">
        <v>0</v>
      </c>
      <c r="V256" s="129">
        <v>0</v>
      </c>
      <c r="W256" s="129">
        <v>0</v>
      </c>
      <c r="X256" s="129">
        <v>0</v>
      </c>
      <c r="Y256" s="129">
        <v>0</v>
      </c>
      <c r="Z256" s="129">
        <v>0</v>
      </c>
      <c r="AA256" s="129">
        <v>0</v>
      </c>
      <c r="AB256" s="129">
        <v>0</v>
      </c>
      <c r="AC256" s="129">
        <v>0</v>
      </c>
      <c r="AD256" s="129">
        <v>0</v>
      </c>
      <c r="AE256" s="129">
        <v>0</v>
      </c>
      <c r="AF256" s="129">
        <v>0</v>
      </c>
      <c r="AG256" s="129">
        <v>0</v>
      </c>
    </row>
    <row r="257" spans="1:33" x14ac:dyDescent="0.45">
      <c r="A257" s="134" t="s">
        <v>438</v>
      </c>
      <c r="B257" s="130"/>
      <c r="C257" s="133">
        <v>0</v>
      </c>
      <c r="D257" s="133">
        <v>0</v>
      </c>
      <c r="E257" s="133">
        <v>0</v>
      </c>
      <c r="F257" s="133">
        <v>0</v>
      </c>
      <c r="G257" s="133">
        <v>0</v>
      </c>
      <c r="H257" s="133">
        <v>0</v>
      </c>
      <c r="I257" s="133">
        <v>0</v>
      </c>
      <c r="J257" s="133">
        <v>0</v>
      </c>
      <c r="K257" s="133">
        <v>0</v>
      </c>
      <c r="L257" s="133">
        <v>0</v>
      </c>
      <c r="M257" s="133">
        <v>0</v>
      </c>
      <c r="N257" s="133">
        <v>0</v>
      </c>
      <c r="O257" s="133">
        <v>0</v>
      </c>
      <c r="P257" s="133">
        <v>0</v>
      </c>
      <c r="Q257" s="133">
        <v>0</v>
      </c>
      <c r="R257" s="133">
        <v>0</v>
      </c>
      <c r="S257" s="133">
        <v>0</v>
      </c>
      <c r="T257" s="133">
        <v>0</v>
      </c>
      <c r="U257" s="133">
        <v>0</v>
      </c>
      <c r="V257" s="133">
        <v>0</v>
      </c>
      <c r="W257" s="133">
        <v>0</v>
      </c>
      <c r="X257" s="133">
        <v>0</v>
      </c>
      <c r="Y257" s="133">
        <v>0</v>
      </c>
      <c r="Z257" s="133">
        <v>0</v>
      </c>
      <c r="AA257" s="133">
        <v>0</v>
      </c>
      <c r="AB257" s="133">
        <v>0</v>
      </c>
      <c r="AC257" s="133">
        <v>0</v>
      </c>
      <c r="AD257" s="133">
        <v>0</v>
      </c>
      <c r="AE257" s="133">
        <v>0</v>
      </c>
      <c r="AF257" s="133">
        <v>0</v>
      </c>
      <c r="AG257" s="133">
        <v>0</v>
      </c>
    </row>
    <row r="258" spans="1:33" x14ac:dyDescent="0.45">
      <c r="B258" s="130" t="s">
        <v>437</v>
      </c>
      <c r="C258" s="133">
        <v>0</v>
      </c>
      <c r="D258" s="133">
        <v>0</v>
      </c>
      <c r="E258" s="133">
        <v>0</v>
      </c>
      <c r="F258" s="133">
        <v>0</v>
      </c>
      <c r="G258" s="133">
        <v>0</v>
      </c>
      <c r="H258" s="133">
        <v>0</v>
      </c>
      <c r="I258" s="133">
        <v>0</v>
      </c>
      <c r="J258" s="133">
        <v>0</v>
      </c>
      <c r="K258" s="133">
        <v>0</v>
      </c>
      <c r="L258" s="133">
        <v>0</v>
      </c>
      <c r="M258" s="133">
        <v>0</v>
      </c>
      <c r="N258" s="133">
        <v>0</v>
      </c>
      <c r="O258" s="133">
        <v>0</v>
      </c>
      <c r="P258" s="133">
        <v>0</v>
      </c>
      <c r="Q258" s="133">
        <v>0</v>
      </c>
      <c r="R258" s="133">
        <v>0</v>
      </c>
      <c r="S258" s="133">
        <v>0</v>
      </c>
      <c r="T258" s="133">
        <v>0</v>
      </c>
      <c r="U258" s="133">
        <v>0</v>
      </c>
      <c r="V258" s="133">
        <v>0</v>
      </c>
      <c r="W258" s="133">
        <v>0</v>
      </c>
      <c r="X258" s="133">
        <v>0</v>
      </c>
      <c r="Y258" s="133">
        <v>0</v>
      </c>
      <c r="Z258" s="133">
        <v>0</v>
      </c>
      <c r="AA258" s="133">
        <v>0</v>
      </c>
      <c r="AB258" s="133">
        <v>0</v>
      </c>
      <c r="AC258" s="133">
        <v>0</v>
      </c>
      <c r="AD258" s="133">
        <v>0</v>
      </c>
      <c r="AE258" s="133">
        <v>0</v>
      </c>
      <c r="AF258" s="133">
        <v>0</v>
      </c>
      <c r="AG258" s="133">
        <v>0</v>
      </c>
    </row>
    <row r="259" spans="1:33" x14ac:dyDescent="0.45">
      <c r="A259" s="126" t="s">
        <v>432</v>
      </c>
      <c r="B259" s="129"/>
      <c r="C259" s="129">
        <v>0</v>
      </c>
      <c r="D259" s="129">
        <v>539.64</v>
      </c>
      <c r="E259" s="129">
        <v>0</v>
      </c>
      <c r="F259" s="129">
        <v>45.915999999999997</v>
      </c>
      <c r="G259" s="129">
        <v>0</v>
      </c>
      <c r="H259" s="129">
        <v>1.8470594</v>
      </c>
      <c r="I259" s="129">
        <v>1.0189999999999999</v>
      </c>
      <c r="J259" s="129">
        <v>18.466000000000001</v>
      </c>
      <c r="K259" s="129">
        <v>0</v>
      </c>
      <c r="L259" s="129">
        <v>5.4279999999999999</v>
      </c>
      <c r="M259" s="129">
        <v>85.072000000000003</v>
      </c>
      <c r="N259" s="129">
        <v>0</v>
      </c>
      <c r="O259" s="129">
        <v>151.65700000000001</v>
      </c>
      <c r="P259" s="129">
        <v>225.36</v>
      </c>
      <c r="Q259" s="129">
        <v>0</v>
      </c>
      <c r="R259" s="129">
        <v>82.751999999999995</v>
      </c>
      <c r="S259" s="129">
        <v>119.224</v>
      </c>
      <c r="T259" s="129">
        <v>70.47</v>
      </c>
      <c r="U259" s="129">
        <v>11.997</v>
      </c>
      <c r="V259" s="129">
        <v>46.115000000000002</v>
      </c>
      <c r="W259" s="129">
        <v>64.736999999999995</v>
      </c>
      <c r="X259" s="129">
        <v>0</v>
      </c>
      <c r="Y259" s="129">
        <v>9.91</v>
      </c>
      <c r="Z259" s="129">
        <v>0</v>
      </c>
      <c r="AA259" s="129">
        <v>6.1869999999999994</v>
      </c>
      <c r="AB259" s="129">
        <v>17.457999999999998</v>
      </c>
      <c r="AC259" s="129">
        <v>3.8400000000000003</v>
      </c>
      <c r="AD259" s="129">
        <v>0</v>
      </c>
      <c r="AE259" s="129">
        <v>0</v>
      </c>
      <c r="AF259" s="129">
        <v>0</v>
      </c>
      <c r="AG259" s="129">
        <v>1507.0950593999999</v>
      </c>
    </row>
    <row r="260" spans="1:33" x14ac:dyDescent="0.45">
      <c r="B260" s="130" t="s">
        <v>436</v>
      </c>
      <c r="C260" s="133">
        <v>0</v>
      </c>
      <c r="D260" s="133">
        <v>0</v>
      </c>
      <c r="E260" s="133">
        <v>0</v>
      </c>
      <c r="F260" s="133">
        <v>0</v>
      </c>
      <c r="G260" s="133">
        <v>0</v>
      </c>
      <c r="H260" s="133">
        <v>0</v>
      </c>
      <c r="I260" s="133">
        <v>0</v>
      </c>
      <c r="J260" s="133">
        <v>0.71</v>
      </c>
      <c r="K260" s="133">
        <v>0</v>
      </c>
      <c r="L260" s="133">
        <v>0</v>
      </c>
      <c r="M260" s="133">
        <v>2.4</v>
      </c>
      <c r="N260" s="133">
        <v>0</v>
      </c>
      <c r="O260" s="133">
        <v>30.7</v>
      </c>
      <c r="P260" s="133">
        <v>3.61</v>
      </c>
      <c r="Q260" s="133">
        <v>0</v>
      </c>
      <c r="R260" s="133">
        <v>0</v>
      </c>
      <c r="S260" s="133">
        <v>0</v>
      </c>
      <c r="T260" s="133">
        <v>0</v>
      </c>
      <c r="U260" s="133">
        <v>0</v>
      </c>
      <c r="V260" s="133">
        <v>0</v>
      </c>
      <c r="W260" s="133">
        <v>0.95199999999999996</v>
      </c>
      <c r="X260" s="133">
        <v>0</v>
      </c>
      <c r="Y260" s="133">
        <v>9.91</v>
      </c>
      <c r="Z260" s="133">
        <v>0</v>
      </c>
      <c r="AA260" s="133">
        <v>0</v>
      </c>
      <c r="AB260" s="133">
        <v>0</v>
      </c>
      <c r="AC260" s="133">
        <v>0</v>
      </c>
      <c r="AD260" s="133">
        <v>0</v>
      </c>
      <c r="AE260" s="133">
        <v>0</v>
      </c>
      <c r="AF260" s="133">
        <v>0</v>
      </c>
      <c r="AG260" s="133">
        <v>48.281999999999996</v>
      </c>
    </row>
    <row r="261" spans="1:33" x14ac:dyDescent="0.45">
      <c r="B261" s="130" t="s">
        <v>435</v>
      </c>
      <c r="C261" s="133">
        <v>0</v>
      </c>
      <c r="D261" s="133">
        <v>0</v>
      </c>
      <c r="E261" s="133">
        <v>0</v>
      </c>
      <c r="F261" s="133">
        <v>0</v>
      </c>
      <c r="G261" s="133">
        <v>0</v>
      </c>
      <c r="H261" s="133">
        <v>0</v>
      </c>
      <c r="I261" s="133">
        <v>0</v>
      </c>
      <c r="J261" s="133">
        <v>0</v>
      </c>
      <c r="K261" s="133">
        <v>0</v>
      </c>
      <c r="L261" s="133">
        <v>0</v>
      </c>
      <c r="M261" s="133">
        <v>0</v>
      </c>
      <c r="N261" s="133">
        <v>0</v>
      </c>
      <c r="O261" s="133">
        <v>0</v>
      </c>
      <c r="P261" s="133">
        <v>0</v>
      </c>
      <c r="Q261" s="133">
        <v>0</v>
      </c>
      <c r="R261" s="133">
        <v>0</v>
      </c>
      <c r="S261" s="133">
        <v>0</v>
      </c>
      <c r="T261" s="133">
        <v>0</v>
      </c>
      <c r="U261" s="133">
        <v>0</v>
      </c>
      <c r="V261" s="133">
        <v>0</v>
      </c>
      <c r="W261" s="133">
        <v>0</v>
      </c>
      <c r="X261" s="133">
        <v>0</v>
      </c>
      <c r="Y261" s="133">
        <v>0</v>
      </c>
      <c r="Z261" s="133">
        <v>0</v>
      </c>
      <c r="AA261" s="133">
        <v>0</v>
      </c>
      <c r="AB261" s="133">
        <v>0</v>
      </c>
      <c r="AC261" s="133">
        <v>0</v>
      </c>
      <c r="AD261" s="133">
        <v>0</v>
      </c>
      <c r="AE261" s="133">
        <v>0</v>
      </c>
      <c r="AF261" s="133">
        <v>0</v>
      </c>
      <c r="AG261" s="133">
        <v>0</v>
      </c>
    </row>
    <row r="262" spans="1:33" x14ac:dyDescent="0.45">
      <c r="A262" s="126"/>
      <c r="B262" s="129" t="s">
        <v>434</v>
      </c>
      <c r="C262" s="129">
        <v>0</v>
      </c>
      <c r="D262" s="129">
        <v>523.25</v>
      </c>
      <c r="E262" s="129">
        <v>0</v>
      </c>
      <c r="F262" s="129">
        <v>44.72</v>
      </c>
      <c r="G262" s="129">
        <v>0</v>
      </c>
      <c r="H262" s="129">
        <v>1.8235300000000001</v>
      </c>
      <c r="I262" s="129">
        <v>0.99</v>
      </c>
      <c r="J262" s="129">
        <v>17.47</v>
      </c>
      <c r="K262" s="129">
        <v>0</v>
      </c>
      <c r="L262" s="129">
        <v>5.35</v>
      </c>
      <c r="M262" s="129">
        <v>80.52</v>
      </c>
      <c r="N262" s="129">
        <v>0</v>
      </c>
      <c r="O262" s="129">
        <v>116.98</v>
      </c>
      <c r="P262" s="129">
        <v>215.64</v>
      </c>
      <c r="Q262" s="129">
        <v>0</v>
      </c>
      <c r="R262" s="129">
        <v>80.599999999999994</v>
      </c>
      <c r="S262" s="129">
        <v>116.12</v>
      </c>
      <c r="T262" s="129">
        <v>68.81</v>
      </c>
      <c r="U262" s="129">
        <v>11.82</v>
      </c>
      <c r="V262" s="129">
        <v>44.82</v>
      </c>
      <c r="W262" s="129">
        <v>61.78</v>
      </c>
      <c r="X262" s="129">
        <v>0</v>
      </c>
      <c r="Y262" s="129">
        <v>0</v>
      </c>
      <c r="Z262" s="129">
        <v>0</v>
      </c>
      <c r="AA262" s="129">
        <v>6.01</v>
      </c>
      <c r="AB262" s="129">
        <v>17.13</v>
      </c>
      <c r="AC262" s="129">
        <v>3.74</v>
      </c>
      <c r="AD262" s="129">
        <v>0</v>
      </c>
      <c r="AE262" s="129">
        <v>0</v>
      </c>
      <c r="AF262" s="129">
        <v>0</v>
      </c>
      <c r="AG262" s="129">
        <v>1417.5735299999999</v>
      </c>
    </row>
    <row r="263" spans="1:33" x14ac:dyDescent="0.45">
      <c r="B263" s="130" t="s">
        <v>431</v>
      </c>
      <c r="C263" s="133">
        <v>0</v>
      </c>
      <c r="D263" s="133">
        <v>16.39</v>
      </c>
      <c r="E263" s="133">
        <v>0</v>
      </c>
      <c r="F263" s="133">
        <v>1.196</v>
      </c>
      <c r="G263" s="133">
        <v>0</v>
      </c>
      <c r="H263" s="133">
        <v>2.3529399999999999E-2</v>
      </c>
      <c r="I263" s="133">
        <v>2.9000000000000001E-2</v>
      </c>
      <c r="J263" s="133">
        <v>0.28599999999999998</v>
      </c>
      <c r="K263" s="133">
        <v>0</v>
      </c>
      <c r="L263" s="133">
        <v>7.8E-2</v>
      </c>
      <c r="M263" s="133">
        <v>2.1520000000000001</v>
      </c>
      <c r="N263" s="133">
        <v>0</v>
      </c>
      <c r="O263" s="133">
        <v>3.9769999999999999</v>
      </c>
      <c r="P263" s="133">
        <v>6.11</v>
      </c>
      <c r="Q263" s="133">
        <v>0</v>
      </c>
      <c r="R263" s="133">
        <v>2.1520000000000001</v>
      </c>
      <c r="S263" s="133">
        <v>3.1040000000000001</v>
      </c>
      <c r="T263" s="133">
        <v>1.66</v>
      </c>
      <c r="U263" s="133">
        <v>0.17699999999999999</v>
      </c>
      <c r="V263" s="133">
        <v>1.2949999999999999</v>
      </c>
      <c r="W263" s="133">
        <v>2.0049999999999999</v>
      </c>
      <c r="X263" s="133">
        <v>0</v>
      </c>
      <c r="Y263" s="133">
        <v>0</v>
      </c>
      <c r="Z263" s="133">
        <v>0</v>
      </c>
      <c r="AA263" s="133">
        <v>0.17699999999999999</v>
      </c>
      <c r="AB263" s="133">
        <v>0.32800000000000001</v>
      </c>
      <c r="AC263" s="133">
        <v>0.1</v>
      </c>
      <c r="AD263" s="133">
        <v>0</v>
      </c>
      <c r="AE263" s="133">
        <v>0</v>
      </c>
      <c r="AF263" s="133">
        <v>0</v>
      </c>
      <c r="AG263" s="133">
        <v>41.239529400000016</v>
      </c>
    </row>
    <row r="264" spans="1:33" x14ac:dyDescent="0.45">
      <c r="A264" s="126" t="s">
        <v>428</v>
      </c>
      <c r="B264" s="129"/>
      <c r="C264" s="129">
        <v>0</v>
      </c>
      <c r="D264" s="129">
        <v>0</v>
      </c>
      <c r="E264" s="129">
        <v>0</v>
      </c>
      <c r="F264" s="129">
        <v>69.357699999999994</v>
      </c>
      <c r="G264" s="129">
        <v>0.74926999999999999</v>
      </c>
      <c r="H264" s="129">
        <v>0</v>
      </c>
      <c r="I264" s="129">
        <v>0</v>
      </c>
      <c r="J264" s="129">
        <v>0</v>
      </c>
      <c r="K264" s="129">
        <v>0</v>
      </c>
      <c r="L264" s="129">
        <v>0</v>
      </c>
      <c r="M264" s="129">
        <v>60.3476</v>
      </c>
      <c r="N264" s="129">
        <v>0</v>
      </c>
      <c r="O264" s="129">
        <v>88.352900000000005</v>
      </c>
      <c r="P264" s="129">
        <v>121.959</v>
      </c>
      <c r="Q264" s="129">
        <v>0</v>
      </c>
      <c r="R264" s="129">
        <v>0</v>
      </c>
      <c r="S264" s="129">
        <v>7.0230800000000002</v>
      </c>
      <c r="T264" s="129">
        <v>0</v>
      </c>
      <c r="U264" s="129">
        <v>0</v>
      </c>
      <c r="V264" s="129">
        <v>0</v>
      </c>
      <c r="W264" s="129">
        <v>10.41966</v>
      </c>
      <c r="X264" s="129">
        <v>0</v>
      </c>
      <c r="Y264" s="129">
        <v>0</v>
      </c>
      <c r="Z264" s="129">
        <v>0</v>
      </c>
      <c r="AA264" s="129">
        <v>0</v>
      </c>
      <c r="AB264" s="129">
        <v>0</v>
      </c>
      <c r="AC264" s="129">
        <v>0</v>
      </c>
      <c r="AD264" s="129">
        <v>0</v>
      </c>
      <c r="AE264" s="129">
        <v>0</v>
      </c>
      <c r="AF264" s="129">
        <v>0</v>
      </c>
      <c r="AG264" s="129">
        <v>358.20920999999998</v>
      </c>
    </row>
    <row r="265" spans="1:33" x14ac:dyDescent="0.45">
      <c r="B265" s="130" t="s">
        <v>430</v>
      </c>
      <c r="C265" s="133">
        <v>0</v>
      </c>
      <c r="D265" s="133">
        <v>0</v>
      </c>
      <c r="E265" s="133">
        <v>0</v>
      </c>
      <c r="F265" s="133">
        <v>69.357699999999994</v>
      </c>
      <c r="G265" s="133">
        <v>0.74926999999999999</v>
      </c>
      <c r="H265" s="133">
        <v>0</v>
      </c>
      <c r="I265" s="133">
        <v>0</v>
      </c>
      <c r="J265" s="133">
        <v>0</v>
      </c>
      <c r="K265" s="133">
        <v>0</v>
      </c>
      <c r="L265" s="133">
        <v>0</v>
      </c>
      <c r="M265" s="133">
        <v>23.678899999999999</v>
      </c>
      <c r="N265" s="133">
        <v>0</v>
      </c>
      <c r="O265" s="133">
        <v>88.352900000000005</v>
      </c>
      <c r="P265" s="133">
        <v>101.675</v>
      </c>
      <c r="Q265" s="133">
        <v>0</v>
      </c>
      <c r="R265" s="133">
        <v>0</v>
      </c>
      <c r="S265" s="133">
        <v>7.0230800000000002</v>
      </c>
      <c r="T265" s="133">
        <v>0</v>
      </c>
      <c r="U265" s="133">
        <v>0</v>
      </c>
      <c r="V265" s="133">
        <v>0</v>
      </c>
      <c r="W265" s="133">
        <v>8.9639100000000003</v>
      </c>
      <c r="X265" s="133">
        <v>0</v>
      </c>
      <c r="Y265" s="133">
        <v>0</v>
      </c>
      <c r="Z265" s="133">
        <v>0</v>
      </c>
      <c r="AA265" s="133">
        <v>0</v>
      </c>
      <c r="AB265" s="133">
        <v>0</v>
      </c>
      <c r="AC265" s="133">
        <v>0</v>
      </c>
      <c r="AD265" s="133">
        <v>0</v>
      </c>
      <c r="AE265" s="133">
        <v>0</v>
      </c>
      <c r="AF265" s="133">
        <v>0</v>
      </c>
      <c r="AG265" s="133">
        <v>299.80075999999997</v>
      </c>
    </row>
    <row r="266" spans="1:33" x14ac:dyDescent="0.45">
      <c r="B266" s="130" t="s">
        <v>429</v>
      </c>
      <c r="C266" s="133">
        <v>0</v>
      </c>
      <c r="D266" s="133">
        <v>0</v>
      </c>
      <c r="E266" s="133">
        <v>0</v>
      </c>
      <c r="F266" s="133">
        <v>0</v>
      </c>
      <c r="G266" s="133">
        <v>0</v>
      </c>
      <c r="H266" s="133">
        <v>0</v>
      </c>
      <c r="I266" s="133">
        <v>0</v>
      </c>
      <c r="J266" s="133">
        <v>0</v>
      </c>
      <c r="K266" s="133">
        <v>0</v>
      </c>
      <c r="L266" s="133">
        <v>0</v>
      </c>
      <c r="M266" s="133">
        <v>36.668700000000001</v>
      </c>
      <c r="N266" s="133">
        <v>0</v>
      </c>
      <c r="O266" s="133">
        <v>0</v>
      </c>
      <c r="P266" s="133">
        <v>20.283999999999999</v>
      </c>
      <c r="Q266" s="133">
        <v>0</v>
      </c>
      <c r="R266" s="133">
        <v>0</v>
      </c>
      <c r="S266" s="133">
        <v>0</v>
      </c>
      <c r="T266" s="133">
        <v>0</v>
      </c>
      <c r="U266" s="133">
        <v>0</v>
      </c>
      <c r="V266" s="133">
        <v>0</v>
      </c>
      <c r="W266" s="133">
        <v>1.4557500000000001</v>
      </c>
      <c r="X266" s="133">
        <v>0</v>
      </c>
      <c r="Y266" s="133">
        <v>0</v>
      </c>
      <c r="Z266" s="133">
        <v>0</v>
      </c>
      <c r="AA266" s="133">
        <v>0</v>
      </c>
      <c r="AB266" s="133">
        <v>0</v>
      </c>
      <c r="AC266" s="133">
        <v>0</v>
      </c>
      <c r="AD266" s="133">
        <v>0</v>
      </c>
      <c r="AE266" s="133">
        <v>0</v>
      </c>
      <c r="AF266" s="133">
        <v>0</v>
      </c>
      <c r="AG266" s="133">
        <v>58.408450000000002</v>
      </c>
    </row>
    <row r="267" spans="1:33" x14ac:dyDescent="0.45">
      <c r="B267" s="130" t="s">
        <v>427</v>
      </c>
      <c r="C267" s="133">
        <v>0</v>
      </c>
      <c r="D267" s="133">
        <v>0</v>
      </c>
      <c r="E267" s="133">
        <v>0</v>
      </c>
      <c r="F267" s="133">
        <v>0</v>
      </c>
      <c r="G267" s="133">
        <v>0</v>
      </c>
      <c r="H267" s="133">
        <v>0</v>
      </c>
      <c r="I267" s="133">
        <v>0</v>
      </c>
      <c r="J267" s="133">
        <v>0</v>
      </c>
      <c r="K267" s="133">
        <v>0</v>
      </c>
      <c r="L267" s="133">
        <v>0</v>
      </c>
      <c r="M267" s="133">
        <v>0</v>
      </c>
      <c r="N267" s="133">
        <v>0</v>
      </c>
      <c r="O267" s="133">
        <v>0</v>
      </c>
      <c r="P267" s="133">
        <v>0</v>
      </c>
      <c r="Q267" s="133">
        <v>0</v>
      </c>
      <c r="R267" s="133">
        <v>0</v>
      </c>
      <c r="S267" s="133">
        <v>0</v>
      </c>
      <c r="T267" s="133">
        <v>0</v>
      </c>
      <c r="U267" s="133">
        <v>0</v>
      </c>
      <c r="V267" s="133">
        <v>0</v>
      </c>
      <c r="W267" s="133">
        <v>0</v>
      </c>
      <c r="X267" s="133">
        <v>0</v>
      </c>
      <c r="Y267" s="133">
        <v>0</v>
      </c>
      <c r="Z267" s="133">
        <v>0</v>
      </c>
      <c r="AA267" s="133">
        <v>0</v>
      </c>
      <c r="AB267" s="133">
        <v>0</v>
      </c>
      <c r="AC267" s="133">
        <v>0</v>
      </c>
      <c r="AD267" s="133">
        <v>0</v>
      </c>
      <c r="AE267" s="133">
        <v>0</v>
      </c>
      <c r="AF267" s="133">
        <v>0</v>
      </c>
      <c r="AG267" s="133">
        <v>0</v>
      </c>
    </row>
    <row r="268" spans="1:33" x14ac:dyDescent="0.45">
      <c r="A268" s="134" t="s">
        <v>418</v>
      </c>
      <c r="B268" s="130"/>
      <c r="C268" s="133">
        <v>0</v>
      </c>
      <c r="D268" s="133">
        <v>0</v>
      </c>
      <c r="E268" s="133">
        <v>0</v>
      </c>
      <c r="F268" s="133">
        <v>0</v>
      </c>
      <c r="G268" s="133">
        <v>0</v>
      </c>
      <c r="H268" s="133">
        <v>0</v>
      </c>
      <c r="I268" s="133">
        <v>0.107</v>
      </c>
      <c r="J268" s="133">
        <v>4.7184399999999993</v>
      </c>
      <c r="K268" s="133">
        <v>0</v>
      </c>
      <c r="L268" s="133">
        <v>0</v>
      </c>
      <c r="M268" s="133">
        <v>0</v>
      </c>
      <c r="N268" s="133">
        <v>0.63100000000000001</v>
      </c>
      <c r="O268" s="133">
        <v>0</v>
      </c>
      <c r="P268" s="133">
        <v>0</v>
      </c>
      <c r="Q268" s="133">
        <v>1.617</v>
      </c>
      <c r="R268" s="133">
        <v>56.718000000000004</v>
      </c>
      <c r="S268" s="133">
        <v>166.10599999999999</v>
      </c>
      <c r="T268" s="133">
        <v>0</v>
      </c>
      <c r="U268" s="133">
        <v>0</v>
      </c>
      <c r="V268" s="133">
        <v>9.2349999999999994</v>
      </c>
      <c r="W268" s="133">
        <v>6.9964799999999983</v>
      </c>
      <c r="X268" s="133">
        <v>23.865000000000002</v>
      </c>
      <c r="Y268" s="133">
        <v>52.240000000000009</v>
      </c>
      <c r="Z268" s="133">
        <v>0</v>
      </c>
      <c r="AA268" s="133">
        <v>0</v>
      </c>
      <c r="AB268" s="133">
        <v>0</v>
      </c>
      <c r="AC268" s="133">
        <v>0</v>
      </c>
      <c r="AD268" s="133">
        <v>0</v>
      </c>
      <c r="AE268" s="133">
        <v>0</v>
      </c>
      <c r="AF268" s="133">
        <v>14.5</v>
      </c>
      <c r="AG268" s="133">
        <v>336.73392000000007</v>
      </c>
    </row>
    <row r="269" spans="1:33" x14ac:dyDescent="0.45">
      <c r="A269" s="126"/>
      <c r="B269" s="129" t="s">
        <v>426</v>
      </c>
      <c r="C269" s="129">
        <v>0</v>
      </c>
      <c r="D269" s="129">
        <v>0</v>
      </c>
      <c r="E269" s="129">
        <v>0</v>
      </c>
      <c r="F269" s="129">
        <v>0</v>
      </c>
      <c r="G269" s="129">
        <v>0</v>
      </c>
      <c r="H269" s="129">
        <v>0</v>
      </c>
      <c r="I269" s="129">
        <v>0</v>
      </c>
      <c r="J269" s="129">
        <v>3.5999999999999997E-2</v>
      </c>
      <c r="K269" s="129">
        <v>0</v>
      </c>
      <c r="L269" s="129">
        <v>0</v>
      </c>
      <c r="M269" s="129">
        <v>0</v>
      </c>
      <c r="N269" s="129">
        <v>0</v>
      </c>
      <c r="O269" s="129">
        <v>0</v>
      </c>
      <c r="P269" s="129">
        <v>0</v>
      </c>
      <c r="Q269" s="129">
        <v>0</v>
      </c>
      <c r="R269" s="129">
        <v>0</v>
      </c>
      <c r="S269" s="129">
        <v>0</v>
      </c>
      <c r="T269" s="129">
        <v>0</v>
      </c>
      <c r="U269" s="129">
        <v>0</v>
      </c>
      <c r="V269" s="129">
        <v>0</v>
      </c>
      <c r="W269" s="129">
        <v>6.7000000000000004E-2</v>
      </c>
      <c r="X269" s="129">
        <v>0</v>
      </c>
      <c r="Y269" s="129">
        <v>3.347</v>
      </c>
      <c r="Z269" s="129">
        <v>0</v>
      </c>
      <c r="AA269" s="129">
        <v>0</v>
      </c>
      <c r="AB269" s="129">
        <v>0</v>
      </c>
      <c r="AC269" s="129">
        <v>0</v>
      </c>
      <c r="AD269" s="129">
        <v>0</v>
      </c>
      <c r="AE269" s="129">
        <v>0</v>
      </c>
      <c r="AF269" s="129">
        <v>0</v>
      </c>
      <c r="AG269" s="129">
        <v>3.45</v>
      </c>
    </row>
    <row r="270" spans="1:33" x14ac:dyDescent="0.45">
      <c r="B270" s="130" t="s">
        <v>424</v>
      </c>
      <c r="C270" s="133">
        <v>0</v>
      </c>
      <c r="D270" s="133">
        <v>0</v>
      </c>
      <c r="E270" s="133">
        <v>0</v>
      </c>
      <c r="F270" s="133">
        <v>0</v>
      </c>
      <c r="G270" s="133">
        <v>0</v>
      </c>
      <c r="H270" s="133">
        <v>0</v>
      </c>
      <c r="I270" s="133">
        <v>0</v>
      </c>
      <c r="J270" s="133">
        <v>0.312</v>
      </c>
      <c r="K270" s="133">
        <v>0</v>
      </c>
      <c r="L270" s="133">
        <v>0</v>
      </c>
      <c r="M270" s="133">
        <v>0</v>
      </c>
      <c r="N270" s="133">
        <v>0.63100000000000001</v>
      </c>
      <c r="O270" s="133">
        <v>0</v>
      </c>
      <c r="P270" s="133">
        <v>0</v>
      </c>
      <c r="Q270" s="133">
        <v>1.361</v>
      </c>
      <c r="R270" s="133">
        <v>0</v>
      </c>
      <c r="S270" s="133">
        <v>24.561</v>
      </c>
      <c r="T270" s="133">
        <v>0</v>
      </c>
      <c r="U270" s="133">
        <v>0</v>
      </c>
      <c r="V270" s="133">
        <v>0</v>
      </c>
      <c r="W270" s="133">
        <v>0.71299999999999997</v>
      </c>
      <c r="X270" s="133">
        <v>0</v>
      </c>
      <c r="Y270" s="133">
        <v>0.69399999999999995</v>
      </c>
      <c r="Z270" s="133">
        <v>0</v>
      </c>
      <c r="AA270" s="133">
        <v>0</v>
      </c>
      <c r="AB270" s="133">
        <v>0</v>
      </c>
      <c r="AC270" s="133">
        <v>0</v>
      </c>
      <c r="AD270" s="133">
        <v>0</v>
      </c>
      <c r="AE270" s="133">
        <v>0</v>
      </c>
      <c r="AF270" s="133">
        <v>0</v>
      </c>
      <c r="AG270" s="133">
        <v>28.272000000000002</v>
      </c>
    </row>
    <row r="271" spans="1:33" x14ac:dyDescent="0.45">
      <c r="A271" s="126"/>
      <c r="B271" s="129" t="s">
        <v>423</v>
      </c>
      <c r="C271" s="129">
        <v>0</v>
      </c>
      <c r="D271" s="129">
        <v>0</v>
      </c>
      <c r="E271" s="129">
        <v>0</v>
      </c>
      <c r="F271" s="129">
        <v>0</v>
      </c>
      <c r="G271" s="129">
        <v>0</v>
      </c>
      <c r="H271" s="129">
        <v>0</v>
      </c>
      <c r="I271" s="129">
        <v>0</v>
      </c>
      <c r="J271" s="129">
        <v>0.54100000000000004</v>
      </c>
      <c r="K271" s="129">
        <v>0</v>
      </c>
      <c r="L271" s="129">
        <v>0</v>
      </c>
      <c r="M271" s="129">
        <v>0</v>
      </c>
      <c r="N271" s="129">
        <v>0</v>
      </c>
      <c r="O271" s="129">
        <v>0</v>
      </c>
      <c r="P271" s="129">
        <v>0</v>
      </c>
      <c r="Q271" s="129">
        <v>0</v>
      </c>
      <c r="R271" s="129">
        <v>0</v>
      </c>
      <c r="S271" s="129">
        <v>20.814</v>
      </c>
      <c r="T271" s="129">
        <v>0</v>
      </c>
      <c r="U271" s="129">
        <v>0</v>
      </c>
      <c r="V271" s="129">
        <v>0</v>
      </c>
      <c r="W271" s="129">
        <v>0.23899999999999999</v>
      </c>
      <c r="X271" s="129">
        <v>0</v>
      </c>
      <c r="Y271" s="129">
        <v>0</v>
      </c>
      <c r="Z271" s="129">
        <v>0</v>
      </c>
      <c r="AA271" s="129">
        <v>0</v>
      </c>
      <c r="AB271" s="129">
        <v>0</v>
      </c>
      <c r="AC271" s="129">
        <v>0</v>
      </c>
      <c r="AD271" s="129">
        <v>0</v>
      </c>
      <c r="AE271" s="129">
        <v>0</v>
      </c>
      <c r="AF271" s="129">
        <v>0</v>
      </c>
      <c r="AG271" s="129">
        <v>21.594000000000001</v>
      </c>
    </row>
    <row r="272" spans="1:33" x14ac:dyDescent="0.45">
      <c r="B272" s="130" t="s">
        <v>422</v>
      </c>
      <c r="C272" s="133">
        <v>0</v>
      </c>
      <c r="D272" s="133">
        <v>0</v>
      </c>
      <c r="E272" s="133">
        <v>0</v>
      </c>
      <c r="F272" s="133">
        <v>0</v>
      </c>
      <c r="G272" s="133">
        <v>0</v>
      </c>
      <c r="H272" s="133">
        <v>0</v>
      </c>
      <c r="I272" s="133">
        <v>0</v>
      </c>
      <c r="J272" s="133">
        <v>0</v>
      </c>
      <c r="K272" s="133">
        <v>0</v>
      </c>
      <c r="L272" s="133">
        <v>0</v>
      </c>
      <c r="M272" s="133">
        <v>0</v>
      </c>
      <c r="N272" s="133">
        <v>0</v>
      </c>
      <c r="O272" s="133">
        <v>0</v>
      </c>
      <c r="P272" s="133">
        <v>0</v>
      </c>
      <c r="Q272" s="133">
        <v>0</v>
      </c>
      <c r="R272" s="133">
        <v>0</v>
      </c>
      <c r="S272" s="133">
        <v>0</v>
      </c>
      <c r="T272" s="133">
        <v>0</v>
      </c>
      <c r="U272" s="133">
        <v>0</v>
      </c>
      <c r="V272" s="133">
        <v>0</v>
      </c>
      <c r="W272" s="133">
        <v>1.0999999999999999E-2</v>
      </c>
      <c r="X272" s="133">
        <v>0</v>
      </c>
      <c r="Y272" s="133">
        <v>3.9340000000000002</v>
      </c>
      <c r="Z272" s="133">
        <v>0</v>
      </c>
      <c r="AA272" s="133">
        <v>0</v>
      </c>
      <c r="AB272" s="133">
        <v>0</v>
      </c>
      <c r="AC272" s="133">
        <v>0</v>
      </c>
      <c r="AD272" s="133">
        <v>0</v>
      </c>
      <c r="AE272" s="133">
        <v>0</v>
      </c>
      <c r="AF272" s="133">
        <v>0</v>
      </c>
      <c r="AG272" s="133">
        <v>3.9450000000000003</v>
      </c>
    </row>
    <row r="273" spans="1:33" x14ac:dyDescent="0.45">
      <c r="B273" s="130" t="s">
        <v>1181</v>
      </c>
      <c r="C273" s="133">
        <v>0</v>
      </c>
      <c r="D273" s="133">
        <v>0</v>
      </c>
      <c r="E273" s="133">
        <v>0</v>
      </c>
      <c r="F273" s="133">
        <v>0</v>
      </c>
      <c r="G273" s="133">
        <v>0</v>
      </c>
      <c r="H273" s="133">
        <v>0</v>
      </c>
      <c r="I273" s="133">
        <v>0</v>
      </c>
      <c r="J273" s="133">
        <v>1.0999999999999999E-2</v>
      </c>
      <c r="K273" s="133">
        <v>0</v>
      </c>
      <c r="L273" s="133">
        <v>0</v>
      </c>
      <c r="M273" s="133">
        <v>0</v>
      </c>
      <c r="N273" s="133">
        <v>0</v>
      </c>
      <c r="O273" s="133">
        <v>0</v>
      </c>
      <c r="P273" s="133">
        <v>0</v>
      </c>
      <c r="Q273" s="133">
        <v>0</v>
      </c>
      <c r="R273" s="133">
        <v>0</v>
      </c>
      <c r="S273" s="133">
        <v>0</v>
      </c>
      <c r="T273" s="133">
        <v>0</v>
      </c>
      <c r="U273" s="133">
        <v>0</v>
      </c>
      <c r="V273" s="133">
        <v>0</v>
      </c>
      <c r="W273" s="133">
        <v>7.0000000000000007E-2</v>
      </c>
      <c r="X273" s="133">
        <v>0</v>
      </c>
      <c r="Y273" s="133">
        <v>0.91900000000000004</v>
      </c>
      <c r="Z273" s="133">
        <v>0</v>
      </c>
      <c r="AA273" s="133">
        <v>0</v>
      </c>
      <c r="AB273" s="133">
        <v>0</v>
      </c>
      <c r="AC273" s="133">
        <v>0</v>
      </c>
      <c r="AD273" s="133">
        <v>0</v>
      </c>
      <c r="AE273" s="133">
        <v>0</v>
      </c>
      <c r="AF273" s="133">
        <v>0</v>
      </c>
      <c r="AG273" s="133">
        <v>1</v>
      </c>
    </row>
    <row r="274" spans="1:33" x14ac:dyDescent="0.45">
      <c r="B274" s="130" t="s">
        <v>97</v>
      </c>
      <c r="C274" s="133">
        <v>0</v>
      </c>
      <c r="D274" s="133">
        <v>0</v>
      </c>
      <c r="E274" s="133">
        <v>0</v>
      </c>
      <c r="F274" s="133">
        <v>0</v>
      </c>
      <c r="G274" s="133">
        <v>0</v>
      </c>
      <c r="H274" s="133">
        <v>0</v>
      </c>
      <c r="I274" s="133">
        <v>0</v>
      </c>
      <c r="J274" s="133">
        <v>5.8999999999999997E-2</v>
      </c>
      <c r="K274" s="133">
        <v>0</v>
      </c>
      <c r="L274" s="133">
        <v>0</v>
      </c>
      <c r="M274" s="133">
        <v>0</v>
      </c>
      <c r="N274" s="133">
        <v>0</v>
      </c>
      <c r="O274" s="133">
        <v>0</v>
      </c>
      <c r="P274" s="133">
        <v>0</v>
      </c>
      <c r="Q274" s="133">
        <v>0</v>
      </c>
      <c r="R274" s="133">
        <v>0</v>
      </c>
      <c r="S274" s="133">
        <v>37.481999999999999</v>
      </c>
      <c r="T274" s="133">
        <v>0</v>
      </c>
      <c r="U274" s="133">
        <v>0</v>
      </c>
      <c r="V274" s="133">
        <v>0</v>
      </c>
      <c r="W274" s="133">
        <v>0.64300000000000002</v>
      </c>
      <c r="X274" s="133">
        <v>0</v>
      </c>
      <c r="Y274" s="133">
        <v>0</v>
      </c>
      <c r="Z274" s="133">
        <v>0</v>
      </c>
      <c r="AA274" s="133">
        <v>0</v>
      </c>
      <c r="AB274" s="133">
        <v>0</v>
      </c>
      <c r="AC274" s="133">
        <v>0</v>
      </c>
      <c r="AD274" s="133">
        <v>0</v>
      </c>
      <c r="AE274" s="133">
        <v>0</v>
      </c>
      <c r="AF274" s="133">
        <v>0</v>
      </c>
      <c r="AG274" s="133">
        <v>38.183999999999997</v>
      </c>
    </row>
    <row r="275" spans="1:33" x14ac:dyDescent="0.45">
      <c r="B275" s="130" t="s">
        <v>99</v>
      </c>
      <c r="C275" s="133">
        <v>0</v>
      </c>
      <c r="D275" s="133">
        <v>0</v>
      </c>
      <c r="E275" s="133">
        <v>0</v>
      </c>
      <c r="F275" s="133">
        <v>0</v>
      </c>
      <c r="G275" s="133">
        <v>0</v>
      </c>
      <c r="H275" s="133">
        <v>0</v>
      </c>
      <c r="I275" s="133">
        <v>0</v>
      </c>
      <c r="J275" s="133">
        <v>0.79700000000000004</v>
      </c>
      <c r="K275" s="133">
        <v>0</v>
      </c>
      <c r="L275" s="133">
        <v>0</v>
      </c>
      <c r="M275" s="133">
        <v>0</v>
      </c>
      <c r="N275" s="133">
        <v>0</v>
      </c>
      <c r="O275" s="133">
        <v>0</v>
      </c>
      <c r="P275" s="133">
        <v>0</v>
      </c>
      <c r="Q275" s="133">
        <v>0.25600000000000001</v>
      </c>
      <c r="R275" s="133">
        <v>0</v>
      </c>
      <c r="S275" s="133">
        <v>35.567999999999998</v>
      </c>
      <c r="T275" s="133">
        <v>0</v>
      </c>
      <c r="U275" s="133">
        <v>0</v>
      </c>
      <c r="V275" s="133">
        <v>9.2349999999999994</v>
      </c>
      <c r="W275" s="133">
        <v>1.4239999999999999</v>
      </c>
      <c r="X275" s="133">
        <v>0</v>
      </c>
      <c r="Y275" s="133">
        <v>6.5679999999999996</v>
      </c>
      <c r="Z275" s="133">
        <v>0</v>
      </c>
      <c r="AA275" s="133">
        <v>0</v>
      </c>
      <c r="AB275" s="133">
        <v>0</v>
      </c>
      <c r="AC275" s="133">
        <v>0</v>
      </c>
      <c r="AD275" s="133">
        <v>0</v>
      </c>
      <c r="AE275" s="133">
        <v>0</v>
      </c>
      <c r="AF275" s="133">
        <v>0</v>
      </c>
      <c r="AG275" s="133">
        <v>53.847999999999992</v>
      </c>
    </row>
    <row r="276" spans="1:33" x14ac:dyDescent="0.45">
      <c r="B276" s="130" t="s">
        <v>421</v>
      </c>
      <c r="C276" s="133">
        <v>0</v>
      </c>
      <c r="D276" s="133">
        <v>0</v>
      </c>
      <c r="E276" s="133">
        <v>0</v>
      </c>
      <c r="F276" s="133">
        <v>0</v>
      </c>
      <c r="G276" s="133">
        <v>0</v>
      </c>
      <c r="H276" s="133">
        <v>0</v>
      </c>
      <c r="I276" s="133">
        <v>0</v>
      </c>
      <c r="J276" s="133">
        <v>6.2E-2</v>
      </c>
      <c r="K276" s="133">
        <v>0</v>
      </c>
      <c r="L276" s="133">
        <v>0</v>
      </c>
      <c r="M276" s="133">
        <v>0</v>
      </c>
      <c r="N276" s="133">
        <v>0</v>
      </c>
      <c r="O276" s="133">
        <v>0</v>
      </c>
      <c r="P276" s="133">
        <v>0</v>
      </c>
      <c r="Q276" s="133">
        <v>0</v>
      </c>
      <c r="R276" s="133">
        <v>0</v>
      </c>
      <c r="S276" s="133">
        <v>0</v>
      </c>
      <c r="T276" s="133">
        <v>0</v>
      </c>
      <c r="U276" s="133">
        <v>0</v>
      </c>
      <c r="V276" s="133">
        <v>0</v>
      </c>
      <c r="W276" s="133">
        <v>0.114</v>
      </c>
      <c r="X276" s="133">
        <v>0</v>
      </c>
      <c r="Y276" s="133">
        <v>7.96</v>
      </c>
      <c r="Z276" s="133">
        <v>0</v>
      </c>
      <c r="AA276" s="133">
        <v>0</v>
      </c>
      <c r="AB276" s="133">
        <v>0</v>
      </c>
      <c r="AC276" s="133">
        <v>0</v>
      </c>
      <c r="AD276" s="133">
        <v>0</v>
      </c>
      <c r="AE276" s="133">
        <v>0</v>
      </c>
      <c r="AF276" s="133">
        <v>0</v>
      </c>
      <c r="AG276" s="133">
        <v>8.136000000000001</v>
      </c>
    </row>
    <row r="277" spans="1:33" x14ac:dyDescent="0.45">
      <c r="B277" s="130" t="s">
        <v>101</v>
      </c>
      <c r="C277" s="133">
        <v>0</v>
      </c>
      <c r="D277" s="133">
        <v>0</v>
      </c>
      <c r="E277" s="133">
        <v>0</v>
      </c>
      <c r="F277" s="133">
        <v>0</v>
      </c>
      <c r="G277" s="133">
        <v>0</v>
      </c>
      <c r="H277" s="133">
        <v>0</v>
      </c>
      <c r="I277" s="133">
        <v>0</v>
      </c>
      <c r="J277" s="133">
        <v>2.5999999999999999E-2</v>
      </c>
      <c r="K277" s="133">
        <v>0</v>
      </c>
      <c r="L277" s="133">
        <v>0</v>
      </c>
      <c r="M277" s="133">
        <v>0</v>
      </c>
      <c r="N277" s="133">
        <v>0</v>
      </c>
      <c r="O277" s="133">
        <v>0</v>
      </c>
      <c r="P277" s="133">
        <v>0</v>
      </c>
      <c r="Q277" s="133">
        <v>0</v>
      </c>
      <c r="R277" s="133">
        <v>0</v>
      </c>
      <c r="S277" s="133">
        <v>0</v>
      </c>
      <c r="T277" s="133">
        <v>0</v>
      </c>
      <c r="U277" s="133">
        <v>0</v>
      </c>
      <c r="V277" s="133">
        <v>0</v>
      </c>
      <c r="W277" s="133">
        <v>0.11799999999999999</v>
      </c>
      <c r="X277" s="133">
        <v>0</v>
      </c>
      <c r="Y277" s="133">
        <v>10.589</v>
      </c>
      <c r="Z277" s="133">
        <v>0</v>
      </c>
      <c r="AA277" s="133">
        <v>0</v>
      </c>
      <c r="AB277" s="133">
        <v>0</v>
      </c>
      <c r="AC277" s="133">
        <v>0</v>
      </c>
      <c r="AD277" s="133">
        <v>0</v>
      </c>
      <c r="AE277" s="133">
        <v>0</v>
      </c>
      <c r="AF277" s="133">
        <v>0</v>
      </c>
      <c r="AG277" s="133">
        <v>10.733000000000001</v>
      </c>
    </row>
    <row r="278" spans="1:33" x14ac:dyDescent="0.45">
      <c r="B278" s="130" t="s">
        <v>103</v>
      </c>
      <c r="C278" s="133">
        <v>0</v>
      </c>
      <c r="D278" s="133">
        <v>0</v>
      </c>
      <c r="E278" s="133">
        <v>0</v>
      </c>
      <c r="F278" s="133">
        <v>0</v>
      </c>
      <c r="G278" s="133">
        <v>0</v>
      </c>
      <c r="H278" s="133">
        <v>0</v>
      </c>
      <c r="I278" s="133">
        <v>0</v>
      </c>
      <c r="J278" s="133">
        <v>0.222</v>
      </c>
      <c r="K278" s="133">
        <v>0</v>
      </c>
      <c r="L278" s="133">
        <v>0</v>
      </c>
      <c r="M278" s="133">
        <v>0</v>
      </c>
      <c r="N278" s="133">
        <v>0</v>
      </c>
      <c r="O278" s="133">
        <v>0</v>
      </c>
      <c r="P278" s="133">
        <v>0</v>
      </c>
      <c r="Q278" s="133">
        <v>0</v>
      </c>
      <c r="R278" s="133">
        <v>56.718000000000004</v>
      </c>
      <c r="S278" s="133">
        <v>0</v>
      </c>
      <c r="T278" s="133">
        <v>0</v>
      </c>
      <c r="U278" s="133">
        <v>0</v>
      </c>
      <c r="V278" s="133">
        <v>0</v>
      </c>
      <c r="W278" s="133">
        <v>1.141</v>
      </c>
      <c r="X278" s="133">
        <v>11.776</v>
      </c>
      <c r="Y278" s="133">
        <v>0</v>
      </c>
      <c r="Z278" s="133">
        <v>0</v>
      </c>
      <c r="AA278" s="133">
        <v>0</v>
      </c>
      <c r="AB278" s="133">
        <v>0</v>
      </c>
      <c r="AC278" s="133">
        <v>0</v>
      </c>
      <c r="AD278" s="133">
        <v>0</v>
      </c>
      <c r="AE278" s="133">
        <v>0</v>
      </c>
      <c r="AF278" s="133">
        <v>0</v>
      </c>
      <c r="AG278" s="133">
        <v>69.857000000000014</v>
      </c>
    </row>
    <row r="279" spans="1:33" x14ac:dyDescent="0.45">
      <c r="B279" s="130" t="s">
        <v>105</v>
      </c>
      <c r="C279" s="133">
        <v>0</v>
      </c>
      <c r="D279" s="133">
        <v>0</v>
      </c>
      <c r="E279" s="133">
        <v>0</v>
      </c>
      <c r="F279" s="133">
        <v>0</v>
      </c>
      <c r="G279" s="133">
        <v>0</v>
      </c>
      <c r="H279" s="133">
        <v>0</v>
      </c>
      <c r="I279" s="133">
        <v>0</v>
      </c>
      <c r="J279" s="133">
        <v>2.5999999999999999E-2</v>
      </c>
      <c r="K279" s="133">
        <v>0</v>
      </c>
      <c r="L279" s="133">
        <v>0</v>
      </c>
      <c r="M279" s="133">
        <v>0</v>
      </c>
      <c r="N279" s="133">
        <v>0</v>
      </c>
      <c r="O279" s="133">
        <v>0</v>
      </c>
      <c r="P279" s="133">
        <v>0</v>
      </c>
      <c r="Q279" s="133">
        <v>0</v>
      </c>
      <c r="R279" s="133">
        <v>0</v>
      </c>
      <c r="S279" s="133">
        <v>2.2109999999999999</v>
      </c>
      <c r="T279" s="133">
        <v>0</v>
      </c>
      <c r="U279" s="133">
        <v>0</v>
      </c>
      <c r="V279" s="133">
        <v>0</v>
      </c>
      <c r="W279" s="133">
        <v>0.316</v>
      </c>
      <c r="X279" s="133">
        <v>12.089</v>
      </c>
      <c r="Y279" s="133">
        <v>0</v>
      </c>
      <c r="Z279" s="133">
        <v>0</v>
      </c>
      <c r="AA279" s="133">
        <v>0</v>
      </c>
      <c r="AB279" s="133">
        <v>0</v>
      </c>
      <c r="AC279" s="133">
        <v>0</v>
      </c>
      <c r="AD279" s="133">
        <v>0</v>
      </c>
      <c r="AE279" s="133">
        <v>0</v>
      </c>
      <c r="AF279" s="133">
        <v>0</v>
      </c>
      <c r="AG279" s="133">
        <v>14.642000000000001</v>
      </c>
    </row>
    <row r="280" spans="1:33" x14ac:dyDescent="0.45">
      <c r="B280" s="130" t="s">
        <v>1183</v>
      </c>
      <c r="C280" s="133">
        <v>0</v>
      </c>
      <c r="D280" s="133">
        <v>0</v>
      </c>
      <c r="E280" s="133">
        <v>0</v>
      </c>
      <c r="F280" s="133">
        <v>0</v>
      </c>
      <c r="G280" s="133">
        <v>0</v>
      </c>
      <c r="H280" s="133">
        <v>0</v>
      </c>
      <c r="I280" s="133">
        <v>0</v>
      </c>
      <c r="J280" s="133">
        <v>0.19800000000000001</v>
      </c>
      <c r="K280" s="133">
        <v>0</v>
      </c>
      <c r="L280" s="133">
        <v>0</v>
      </c>
      <c r="M280" s="133">
        <v>0</v>
      </c>
      <c r="N280" s="133">
        <v>0</v>
      </c>
      <c r="O280" s="133">
        <v>0</v>
      </c>
      <c r="P280" s="133">
        <v>0</v>
      </c>
      <c r="Q280" s="133">
        <v>0</v>
      </c>
      <c r="R280" s="133">
        <v>0</v>
      </c>
      <c r="S280" s="133">
        <v>0</v>
      </c>
      <c r="T280" s="133">
        <v>0</v>
      </c>
      <c r="U280" s="133">
        <v>0</v>
      </c>
      <c r="V280" s="133">
        <v>0</v>
      </c>
      <c r="W280" s="133">
        <v>9.9479999999999999E-2</v>
      </c>
      <c r="X280" s="133">
        <v>0</v>
      </c>
      <c r="Y280" s="133">
        <v>4.5259999999999998</v>
      </c>
      <c r="Z280" s="133">
        <v>0</v>
      </c>
      <c r="AA280" s="133">
        <v>0</v>
      </c>
      <c r="AB280" s="133">
        <v>0</v>
      </c>
      <c r="AC280" s="133">
        <v>0</v>
      </c>
      <c r="AD280" s="133">
        <v>0</v>
      </c>
      <c r="AE280" s="133">
        <v>0</v>
      </c>
      <c r="AF280" s="133">
        <v>0</v>
      </c>
      <c r="AG280" s="133">
        <v>4.82348</v>
      </c>
    </row>
    <row r="281" spans="1:33" x14ac:dyDescent="0.45">
      <c r="A281" s="126"/>
      <c r="B281" s="129" t="s">
        <v>107</v>
      </c>
      <c r="C281" s="129">
        <v>0</v>
      </c>
      <c r="D281" s="129">
        <v>0</v>
      </c>
      <c r="E281" s="129">
        <v>0</v>
      </c>
      <c r="F281" s="129">
        <v>0</v>
      </c>
      <c r="G281" s="129">
        <v>0</v>
      </c>
      <c r="H281" s="129">
        <v>0</v>
      </c>
      <c r="I281" s="129">
        <v>0</v>
      </c>
      <c r="J281" s="129">
        <v>1.1744399999999999</v>
      </c>
      <c r="K281" s="129">
        <v>0</v>
      </c>
      <c r="L281" s="129">
        <v>0</v>
      </c>
      <c r="M281" s="129">
        <v>0</v>
      </c>
      <c r="N281" s="129">
        <v>0</v>
      </c>
      <c r="O281" s="129">
        <v>0</v>
      </c>
      <c r="P281" s="129">
        <v>0</v>
      </c>
      <c r="Q281" s="129">
        <v>0</v>
      </c>
      <c r="R281" s="129">
        <v>0</v>
      </c>
      <c r="S281" s="129">
        <v>0</v>
      </c>
      <c r="T281" s="129">
        <v>0</v>
      </c>
      <c r="U281" s="129">
        <v>0</v>
      </c>
      <c r="V281" s="129">
        <v>0</v>
      </c>
      <c r="W281" s="129">
        <v>0.108</v>
      </c>
      <c r="X281" s="129">
        <v>0</v>
      </c>
      <c r="Y281" s="129">
        <v>4.8600000000000003</v>
      </c>
      <c r="Z281" s="129">
        <v>0</v>
      </c>
      <c r="AA281" s="129">
        <v>0</v>
      </c>
      <c r="AB281" s="129">
        <v>0</v>
      </c>
      <c r="AC281" s="129">
        <v>0</v>
      </c>
      <c r="AD281" s="129">
        <v>0</v>
      </c>
      <c r="AE281" s="129">
        <v>0</v>
      </c>
      <c r="AF281" s="129">
        <v>14.5</v>
      </c>
      <c r="AG281" s="129">
        <v>20.642440000000001</v>
      </c>
    </row>
    <row r="282" spans="1:33" x14ac:dyDescent="0.45">
      <c r="B282" s="130" t="s">
        <v>420</v>
      </c>
      <c r="C282" s="133">
        <v>0</v>
      </c>
      <c r="D282" s="133">
        <v>0</v>
      </c>
      <c r="E282" s="133">
        <v>0</v>
      </c>
      <c r="F282" s="133">
        <v>0</v>
      </c>
      <c r="G282" s="133">
        <v>0</v>
      </c>
      <c r="H282" s="133">
        <v>0</v>
      </c>
      <c r="I282" s="133">
        <v>0</v>
      </c>
      <c r="J282" s="133">
        <v>0.60299999999999998</v>
      </c>
      <c r="K282" s="133">
        <v>0</v>
      </c>
      <c r="L282" s="133">
        <v>0</v>
      </c>
      <c r="M282" s="133">
        <v>0</v>
      </c>
      <c r="N282" s="133">
        <v>0</v>
      </c>
      <c r="O282" s="133">
        <v>0</v>
      </c>
      <c r="P282" s="133">
        <v>0</v>
      </c>
      <c r="Q282" s="133">
        <v>0</v>
      </c>
      <c r="R282" s="133">
        <v>0</v>
      </c>
      <c r="S282" s="133">
        <v>34.351999999999997</v>
      </c>
      <c r="T282" s="133">
        <v>0</v>
      </c>
      <c r="U282" s="133">
        <v>0</v>
      </c>
      <c r="V282" s="133">
        <v>0</v>
      </c>
      <c r="W282" s="133">
        <v>1.698</v>
      </c>
      <c r="X282" s="133">
        <v>0</v>
      </c>
      <c r="Y282" s="133">
        <v>0</v>
      </c>
      <c r="Z282" s="133">
        <v>0</v>
      </c>
      <c r="AA282" s="133">
        <v>0</v>
      </c>
      <c r="AB282" s="133">
        <v>0</v>
      </c>
      <c r="AC282" s="133">
        <v>0</v>
      </c>
      <c r="AD282" s="133">
        <v>0</v>
      </c>
      <c r="AE282" s="133">
        <v>0</v>
      </c>
      <c r="AF282" s="133">
        <v>0</v>
      </c>
      <c r="AG282" s="133">
        <v>36.652999999999999</v>
      </c>
    </row>
    <row r="283" spans="1:33" x14ac:dyDescent="0.45">
      <c r="A283" s="126"/>
      <c r="B283" s="129" t="s">
        <v>419</v>
      </c>
      <c r="C283" s="129">
        <v>0</v>
      </c>
      <c r="D283" s="129">
        <v>0</v>
      </c>
      <c r="E283" s="129">
        <v>0</v>
      </c>
      <c r="F283" s="129">
        <v>0</v>
      </c>
      <c r="G283" s="129">
        <v>0</v>
      </c>
      <c r="H283" s="129">
        <v>0</v>
      </c>
      <c r="I283" s="129">
        <v>0</v>
      </c>
      <c r="J283" s="129">
        <v>0.43</v>
      </c>
      <c r="K283" s="129">
        <v>0</v>
      </c>
      <c r="L283" s="129">
        <v>0</v>
      </c>
      <c r="M283" s="129">
        <v>0</v>
      </c>
      <c r="N283" s="129">
        <v>0</v>
      </c>
      <c r="O283" s="129">
        <v>0</v>
      </c>
      <c r="P283" s="129">
        <v>0</v>
      </c>
      <c r="Q283" s="129">
        <v>0</v>
      </c>
      <c r="R283" s="129">
        <v>0</v>
      </c>
      <c r="S283" s="129">
        <v>11.118</v>
      </c>
      <c r="T283" s="129">
        <v>0</v>
      </c>
      <c r="U283" s="129">
        <v>0</v>
      </c>
      <c r="V283" s="129">
        <v>0</v>
      </c>
      <c r="W283" s="129">
        <v>0.21199999999999999</v>
      </c>
      <c r="X283" s="129">
        <v>0</v>
      </c>
      <c r="Y283" s="129">
        <v>0</v>
      </c>
      <c r="Z283" s="129">
        <v>0</v>
      </c>
      <c r="AA283" s="129">
        <v>0</v>
      </c>
      <c r="AB283" s="129">
        <v>0</v>
      </c>
      <c r="AC283" s="129">
        <v>0</v>
      </c>
      <c r="AD283" s="129">
        <v>0</v>
      </c>
      <c r="AE283" s="129">
        <v>0</v>
      </c>
      <c r="AF283" s="129">
        <v>0</v>
      </c>
      <c r="AG283" s="129">
        <v>11.76</v>
      </c>
    </row>
    <row r="284" spans="1:33" x14ac:dyDescent="0.45">
      <c r="B284" s="130" t="s">
        <v>109</v>
      </c>
      <c r="C284" s="133">
        <v>0</v>
      </c>
      <c r="D284" s="133">
        <v>0</v>
      </c>
      <c r="E284" s="133">
        <v>0</v>
      </c>
      <c r="F284" s="133">
        <v>0</v>
      </c>
      <c r="G284" s="133">
        <v>0</v>
      </c>
      <c r="H284" s="133">
        <v>0</v>
      </c>
      <c r="I284" s="133">
        <v>0.107</v>
      </c>
      <c r="J284" s="133">
        <v>0.221</v>
      </c>
      <c r="K284" s="133">
        <v>0</v>
      </c>
      <c r="L284" s="133">
        <v>0</v>
      </c>
      <c r="M284" s="133">
        <v>0</v>
      </c>
      <c r="N284" s="133">
        <v>0</v>
      </c>
      <c r="O284" s="133">
        <v>0</v>
      </c>
      <c r="P284" s="133">
        <v>0</v>
      </c>
      <c r="Q284" s="133">
        <v>0</v>
      </c>
      <c r="R284" s="133">
        <v>0</v>
      </c>
      <c r="S284" s="133">
        <v>0</v>
      </c>
      <c r="T284" s="133">
        <v>0</v>
      </c>
      <c r="U284" s="133">
        <v>0</v>
      </c>
      <c r="V284" s="133">
        <v>0</v>
      </c>
      <c r="W284" s="133">
        <v>2.3E-2</v>
      </c>
      <c r="X284" s="133">
        <v>0</v>
      </c>
      <c r="Y284" s="133">
        <v>8.843</v>
      </c>
      <c r="Z284" s="133">
        <v>0</v>
      </c>
      <c r="AA284" s="133">
        <v>0</v>
      </c>
      <c r="AB284" s="133">
        <v>0</v>
      </c>
      <c r="AC284" s="133">
        <v>0</v>
      </c>
      <c r="AD284" s="133">
        <v>0</v>
      </c>
      <c r="AE284" s="133">
        <v>0</v>
      </c>
      <c r="AF284" s="133">
        <v>0</v>
      </c>
      <c r="AG284" s="133">
        <v>9.1939999999999991</v>
      </c>
    </row>
    <row r="285" spans="1:33" x14ac:dyDescent="0.45">
      <c r="A285" s="126" t="s">
        <v>416</v>
      </c>
      <c r="B285" s="129"/>
      <c r="C285" s="129">
        <v>0</v>
      </c>
      <c r="D285" s="129">
        <v>0</v>
      </c>
      <c r="E285" s="129">
        <v>0</v>
      </c>
      <c r="F285" s="129">
        <v>0</v>
      </c>
      <c r="G285" s="129">
        <v>0</v>
      </c>
      <c r="H285" s="129">
        <v>0</v>
      </c>
      <c r="I285" s="129">
        <v>0</v>
      </c>
      <c r="J285" s="129">
        <v>0.375</v>
      </c>
      <c r="K285" s="129">
        <v>0</v>
      </c>
      <c r="L285" s="129">
        <v>0</v>
      </c>
      <c r="M285" s="129">
        <v>60.152000000000001</v>
      </c>
      <c r="N285" s="129">
        <v>0</v>
      </c>
      <c r="O285" s="129">
        <v>0</v>
      </c>
      <c r="P285" s="129">
        <v>0</v>
      </c>
      <c r="Q285" s="129">
        <v>0</v>
      </c>
      <c r="R285" s="129">
        <v>0</v>
      </c>
      <c r="S285" s="129">
        <v>0</v>
      </c>
      <c r="T285" s="129">
        <v>0</v>
      </c>
      <c r="U285" s="129">
        <v>0</v>
      </c>
      <c r="V285" s="129">
        <v>0</v>
      </c>
      <c r="W285" s="129">
        <v>1.43712</v>
      </c>
      <c r="X285" s="129">
        <v>0</v>
      </c>
      <c r="Y285" s="129">
        <v>7.0000000000000007E-2</v>
      </c>
      <c r="Z285" s="129">
        <v>0</v>
      </c>
      <c r="AA285" s="129">
        <v>0</v>
      </c>
      <c r="AB285" s="129">
        <v>0</v>
      </c>
      <c r="AC285" s="129">
        <v>0</v>
      </c>
      <c r="AD285" s="129">
        <v>0</v>
      </c>
      <c r="AE285" s="129">
        <v>0</v>
      </c>
      <c r="AF285" s="129">
        <v>5.5305900000000001</v>
      </c>
      <c r="AG285" s="129">
        <v>67.564710000000005</v>
      </c>
    </row>
    <row r="286" spans="1:33" x14ac:dyDescent="0.45">
      <c r="B286" s="130" t="s">
        <v>417</v>
      </c>
      <c r="C286" s="133">
        <v>0</v>
      </c>
      <c r="D286" s="133">
        <v>0</v>
      </c>
      <c r="E286" s="133">
        <v>0</v>
      </c>
      <c r="F286" s="133">
        <v>0</v>
      </c>
      <c r="G286" s="133">
        <v>0</v>
      </c>
      <c r="H286" s="133">
        <v>0</v>
      </c>
      <c r="I286" s="133">
        <v>0</v>
      </c>
      <c r="J286" s="133">
        <v>0</v>
      </c>
      <c r="K286" s="133">
        <v>0</v>
      </c>
      <c r="L286" s="133">
        <v>0</v>
      </c>
      <c r="M286" s="133">
        <v>0</v>
      </c>
      <c r="N286" s="133">
        <v>0</v>
      </c>
      <c r="O286" s="133">
        <v>0</v>
      </c>
      <c r="P286" s="133">
        <v>0</v>
      </c>
      <c r="Q286" s="133">
        <v>0</v>
      </c>
      <c r="R286" s="133">
        <v>0</v>
      </c>
      <c r="S286" s="133">
        <v>0</v>
      </c>
      <c r="T286" s="133">
        <v>0</v>
      </c>
      <c r="U286" s="133">
        <v>0</v>
      </c>
      <c r="V286" s="133">
        <v>0</v>
      </c>
      <c r="W286" s="133">
        <v>0.11550000000000001</v>
      </c>
      <c r="X286" s="133">
        <v>0</v>
      </c>
      <c r="Y286" s="133">
        <v>0</v>
      </c>
      <c r="Z286" s="133">
        <v>0</v>
      </c>
      <c r="AA286" s="133">
        <v>0</v>
      </c>
      <c r="AB286" s="133">
        <v>0</v>
      </c>
      <c r="AC286" s="133">
        <v>0</v>
      </c>
      <c r="AD286" s="133">
        <v>0</v>
      </c>
      <c r="AE286" s="133">
        <v>0</v>
      </c>
      <c r="AF286" s="133">
        <v>5.5305900000000001</v>
      </c>
      <c r="AG286" s="133">
        <v>5.6460900000000001</v>
      </c>
    </row>
    <row r="287" spans="1:33" x14ac:dyDescent="0.45">
      <c r="B287" s="130" t="s">
        <v>415</v>
      </c>
      <c r="C287" s="133">
        <v>0</v>
      </c>
      <c r="D287" s="133">
        <v>0</v>
      </c>
      <c r="E287" s="133">
        <v>0</v>
      </c>
      <c r="F287" s="133">
        <v>0</v>
      </c>
      <c r="G287" s="133">
        <v>0</v>
      </c>
      <c r="H287" s="133">
        <v>0</v>
      </c>
      <c r="I287" s="133">
        <v>0</v>
      </c>
      <c r="J287" s="133">
        <v>0.375</v>
      </c>
      <c r="K287" s="133">
        <v>0</v>
      </c>
      <c r="L287" s="133">
        <v>0</v>
      </c>
      <c r="M287" s="133">
        <v>60.152000000000001</v>
      </c>
      <c r="N287" s="133">
        <v>0</v>
      </c>
      <c r="O287" s="133">
        <v>0</v>
      </c>
      <c r="P287" s="133">
        <v>0</v>
      </c>
      <c r="Q287" s="133">
        <v>0</v>
      </c>
      <c r="R287" s="133">
        <v>0</v>
      </c>
      <c r="S287" s="133">
        <v>0</v>
      </c>
      <c r="T287" s="133">
        <v>0</v>
      </c>
      <c r="U287" s="133">
        <v>0</v>
      </c>
      <c r="V287" s="133">
        <v>0</v>
      </c>
      <c r="W287" s="133">
        <v>1.32162</v>
      </c>
      <c r="X287" s="133">
        <v>0</v>
      </c>
      <c r="Y287" s="133">
        <v>7.0000000000000007E-2</v>
      </c>
      <c r="Z287" s="133">
        <v>0</v>
      </c>
      <c r="AA287" s="133">
        <v>0</v>
      </c>
      <c r="AB287" s="133">
        <v>0</v>
      </c>
      <c r="AC287" s="133">
        <v>0</v>
      </c>
      <c r="AD287" s="133">
        <v>0</v>
      </c>
      <c r="AE287" s="133">
        <v>0</v>
      </c>
      <c r="AF287" s="133">
        <v>0</v>
      </c>
      <c r="AG287" s="133">
        <v>61.918620000000004</v>
      </c>
    </row>
    <row r="288" spans="1:33" x14ac:dyDescent="0.45">
      <c r="A288" s="126" t="s">
        <v>413</v>
      </c>
      <c r="B288" s="129"/>
      <c r="C288" s="129">
        <v>0</v>
      </c>
      <c r="D288" s="129">
        <v>0</v>
      </c>
      <c r="E288" s="129">
        <v>0</v>
      </c>
      <c r="F288" s="129">
        <v>9.4037500000000005</v>
      </c>
      <c r="G288" s="129">
        <v>0</v>
      </c>
      <c r="H288" s="129">
        <v>0.5</v>
      </c>
      <c r="I288" s="129">
        <v>0</v>
      </c>
      <c r="J288" s="129">
        <v>2.30484</v>
      </c>
      <c r="K288" s="129">
        <v>0</v>
      </c>
      <c r="L288" s="129">
        <v>0</v>
      </c>
      <c r="M288" s="129">
        <v>13.068300000000001</v>
      </c>
      <c r="N288" s="129">
        <v>0</v>
      </c>
      <c r="O288" s="129">
        <v>84.189700000000002</v>
      </c>
      <c r="P288" s="129">
        <v>19.8</v>
      </c>
      <c r="Q288" s="129">
        <v>0</v>
      </c>
      <c r="R288" s="129">
        <v>0</v>
      </c>
      <c r="S288" s="129">
        <v>37.207499999999996</v>
      </c>
      <c r="T288" s="129">
        <v>0</v>
      </c>
      <c r="U288" s="129">
        <v>0</v>
      </c>
      <c r="V288" s="129">
        <v>0</v>
      </c>
      <c r="W288" s="129">
        <v>3.8449500000000003</v>
      </c>
      <c r="X288" s="129">
        <v>0</v>
      </c>
      <c r="Y288" s="129">
        <v>0</v>
      </c>
      <c r="Z288" s="129">
        <v>0</v>
      </c>
      <c r="AA288" s="129">
        <v>0</v>
      </c>
      <c r="AB288" s="129">
        <v>0</v>
      </c>
      <c r="AC288" s="129">
        <v>0</v>
      </c>
      <c r="AD288" s="129">
        <v>0</v>
      </c>
      <c r="AE288" s="129">
        <v>0</v>
      </c>
      <c r="AF288" s="129">
        <v>2.9411800000000001</v>
      </c>
      <c r="AG288" s="129">
        <v>173.26022000000003</v>
      </c>
    </row>
    <row r="289" spans="1:33" x14ac:dyDescent="0.45">
      <c r="B289" s="130" t="s">
        <v>414</v>
      </c>
      <c r="C289" s="133">
        <v>0</v>
      </c>
      <c r="D289" s="133">
        <v>0</v>
      </c>
      <c r="E289" s="133">
        <v>0</v>
      </c>
      <c r="F289" s="133">
        <v>0</v>
      </c>
      <c r="G289" s="133">
        <v>0</v>
      </c>
      <c r="H289" s="133">
        <v>0</v>
      </c>
      <c r="I289" s="133">
        <v>0</v>
      </c>
      <c r="J289" s="133">
        <v>0.16</v>
      </c>
      <c r="K289" s="133">
        <v>0</v>
      </c>
      <c r="L289" s="133">
        <v>0</v>
      </c>
      <c r="M289" s="133">
        <v>3</v>
      </c>
      <c r="N289" s="133">
        <v>0</v>
      </c>
      <c r="O289" s="133">
        <v>0</v>
      </c>
      <c r="P289" s="133">
        <v>0</v>
      </c>
      <c r="Q289" s="133">
        <v>0</v>
      </c>
      <c r="R289" s="133">
        <v>0</v>
      </c>
      <c r="S289" s="133">
        <v>2.4</v>
      </c>
      <c r="T289" s="133">
        <v>0</v>
      </c>
      <c r="U289" s="133">
        <v>0</v>
      </c>
      <c r="V289" s="133">
        <v>0</v>
      </c>
      <c r="W289" s="133">
        <v>0.12441000000000001</v>
      </c>
      <c r="X289" s="133">
        <v>0</v>
      </c>
      <c r="Y289" s="133">
        <v>0</v>
      </c>
      <c r="Z289" s="133">
        <v>0</v>
      </c>
      <c r="AA289" s="133">
        <v>0</v>
      </c>
      <c r="AB289" s="133">
        <v>0</v>
      </c>
      <c r="AC289" s="133">
        <v>0</v>
      </c>
      <c r="AD289" s="133">
        <v>0</v>
      </c>
      <c r="AE289" s="133">
        <v>0</v>
      </c>
      <c r="AF289" s="133">
        <v>0</v>
      </c>
      <c r="AG289" s="133">
        <v>5.6844100000000006</v>
      </c>
    </row>
    <row r="290" spans="1:33" x14ac:dyDescent="0.45">
      <c r="B290" s="130" t="s">
        <v>412</v>
      </c>
      <c r="C290" s="133">
        <v>0</v>
      </c>
      <c r="D290" s="133">
        <v>0</v>
      </c>
      <c r="E290" s="133">
        <v>0</v>
      </c>
      <c r="F290" s="133">
        <v>9.4037500000000005</v>
      </c>
      <c r="G290" s="133">
        <v>0</v>
      </c>
      <c r="H290" s="133">
        <v>0.5</v>
      </c>
      <c r="I290" s="133">
        <v>0</v>
      </c>
      <c r="J290" s="133">
        <v>2.1448399999999999</v>
      </c>
      <c r="K290" s="133">
        <v>0</v>
      </c>
      <c r="L290" s="133">
        <v>0</v>
      </c>
      <c r="M290" s="133">
        <v>10.068300000000001</v>
      </c>
      <c r="N290" s="133">
        <v>0</v>
      </c>
      <c r="O290" s="133">
        <v>84.189700000000002</v>
      </c>
      <c r="P290" s="133">
        <v>19.8</v>
      </c>
      <c r="Q290" s="133">
        <v>0</v>
      </c>
      <c r="R290" s="133">
        <v>0</v>
      </c>
      <c r="S290" s="133">
        <v>34.807499999999997</v>
      </c>
      <c r="T290" s="133">
        <v>0</v>
      </c>
      <c r="U290" s="133">
        <v>0</v>
      </c>
      <c r="V290" s="133">
        <v>0</v>
      </c>
      <c r="W290" s="133">
        <v>3.7205400000000002</v>
      </c>
      <c r="X290" s="133">
        <v>0</v>
      </c>
      <c r="Y290" s="133">
        <v>0</v>
      </c>
      <c r="Z290" s="133">
        <v>0</v>
      </c>
      <c r="AA290" s="133">
        <v>0</v>
      </c>
      <c r="AB290" s="133">
        <v>0</v>
      </c>
      <c r="AC290" s="133">
        <v>0</v>
      </c>
      <c r="AD290" s="133">
        <v>0</v>
      </c>
      <c r="AE290" s="133">
        <v>0</v>
      </c>
      <c r="AF290" s="133">
        <v>2.9411800000000001</v>
      </c>
      <c r="AG290" s="133">
        <v>167.57581000000002</v>
      </c>
    </row>
    <row r="291" spans="1:33" x14ac:dyDescent="0.45">
      <c r="A291" s="134" t="s">
        <v>411</v>
      </c>
      <c r="B291" s="130"/>
      <c r="C291" s="133">
        <v>0</v>
      </c>
      <c r="D291" s="133">
        <v>0</v>
      </c>
      <c r="E291" s="133">
        <v>0</v>
      </c>
      <c r="F291" s="133">
        <v>0</v>
      </c>
      <c r="G291" s="133">
        <v>0</v>
      </c>
      <c r="H291" s="133">
        <v>0</v>
      </c>
      <c r="I291" s="133">
        <v>0</v>
      </c>
      <c r="J291" s="133">
        <v>1.3</v>
      </c>
      <c r="K291" s="133">
        <v>0</v>
      </c>
      <c r="L291" s="133">
        <v>0</v>
      </c>
      <c r="M291" s="133">
        <v>0</v>
      </c>
      <c r="N291" s="133">
        <v>0</v>
      </c>
      <c r="O291" s="133">
        <v>0</v>
      </c>
      <c r="P291" s="133">
        <v>0</v>
      </c>
      <c r="Q291" s="133">
        <v>0</v>
      </c>
      <c r="R291" s="133">
        <v>0</v>
      </c>
      <c r="S291" s="133">
        <v>15.8</v>
      </c>
      <c r="T291" s="133">
        <v>0</v>
      </c>
      <c r="U291" s="133">
        <v>0</v>
      </c>
      <c r="V291" s="133">
        <v>0</v>
      </c>
      <c r="W291" s="133">
        <v>0.42899999999999999</v>
      </c>
      <c r="X291" s="133">
        <v>0</v>
      </c>
      <c r="Y291" s="133">
        <v>0.5</v>
      </c>
      <c r="Z291" s="133">
        <v>0</v>
      </c>
      <c r="AA291" s="133">
        <v>0</v>
      </c>
      <c r="AB291" s="133">
        <v>0</v>
      </c>
      <c r="AC291" s="133">
        <v>0</v>
      </c>
      <c r="AD291" s="133">
        <v>0</v>
      </c>
      <c r="AE291" s="133">
        <v>0</v>
      </c>
      <c r="AF291" s="133">
        <v>0</v>
      </c>
      <c r="AG291" s="133">
        <v>18.029</v>
      </c>
    </row>
    <row r="292" spans="1:33" x14ac:dyDescent="0.45">
      <c r="B292" s="130" t="s">
        <v>410</v>
      </c>
      <c r="C292" s="133">
        <v>0</v>
      </c>
      <c r="D292" s="133">
        <v>0</v>
      </c>
      <c r="E292" s="133">
        <v>0</v>
      </c>
      <c r="F292" s="133">
        <v>0</v>
      </c>
      <c r="G292" s="133">
        <v>0</v>
      </c>
      <c r="H292" s="133">
        <v>0</v>
      </c>
      <c r="I292" s="133">
        <v>0</v>
      </c>
      <c r="J292" s="133">
        <v>1.3</v>
      </c>
      <c r="K292" s="133">
        <v>0</v>
      </c>
      <c r="L292" s="133">
        <v>0</v>
      </c>
      <c r="M292" s="133">
        <v>0</v>
      </c>
      <c r="N292" s="133">
        <v>0</v>
      </c>
      <c r="O292" s="133">
        <v>0</v>
      </c>
      <c r="P292" s="133">
        <v>0</v>
      </c>
      <c r="Q292" s="133">
        <v>0</v>
      </c>
      <c r="R292" s="133">
        <v>0</v>
      </c>
      <c r="S292" s="133">
        <v>15.8</v>
      </c>
      <c r="T292" s="133">
        <v>0</v>
      </c>
      <c r="U292" s="133">
        <v>0</v>
      </c>
      <c r="V292" s="133">
        <v>0</v>
      </c>
      <c r="W292" s="133">
        <v>0.42899999999999999</v>
      </c>
      <c r="X292" s="133">
        <v>0</v>
      </c>
      <c r="Y292" s="133">
        <v>0.5</v>
      </c>
      <c r="Z292" s="133">
        <v>0</v>
      </c>
      <c r="AA292" s="133">
        <v>0</v>
      </c>
      <c r="AB292" s="133">
        <v>0</v>
      </c>
      <c r="AC292" s="133">
        <v>0</v>
      </c>
      <c r="AD292" s="133">
        <v>0</v>
      </c>
      <c r="AE292" s="133">
        <v>0</v>
      </c>
      <c r="AF292" s="133">
        <v>0</v>
      </c>
      <c r="AG292" s="133">
        <v>18.029</v>
      </c>
    </row>
    <row r="293" spans="1:33" x14ac:dyDescent="0.45">
      <c r="A293" s="126" t="s">
        <v>111</v>
      </c>
      <c r="B293" s="129"/>
      <c r="C293" s="129">
        <v>0</v>
      </c>
      <c r="D293" s="129">
        <v>0</v>
      </c>
      <c r="E293" s="129">
        <v>0</v>
      </c>
      <c r="F293" s="129">
        <v>0</v>
      </c>
      <c r="G293" s="129">
        <v>1.589</v>
      </c>
      <c r="H293" s="129">
        <v>0</v>
      </c>
      <c r="I293" s="129">
        <v>0</v>
      </c>
      <c r="J293" s="129">
        <v>0.45300000000000001</v>
      </c>
      <c r="K293" s="129">
        <v>0</v>
      </c>
      <c r="L293" s="129">
        <v>1.5049999999999999</v>
      </c>
      <c r="M293" s="129">
        <v>0</v>
      </c>
      <c r="N293" s="129">
        <v>0</v>
      </c>
      <c r="O293" s="129">
        <v>0</v>
      </c>
      <c r="P293" s="129">
        <v>0</v>
      </c>
      <c r="Q293" s="129">
        <v>7.0000000000000007E-2</v>
      </c>
      <c r="R293" s="129">
        <v>0</v>
      </c>
      <c r="S293" s="129">
        <v>0</v>
      </c>
      <c r="T293" s="129">
        <v>0</v>
      </c>
      <c r="U293" s="129">
        <v>1.964</v>
      </c>
      <c r="V293" s="129">
        <v>0</v>
      </c>
      <c r="W293" s="129">
        <v>13.669</v>
      </c>
      <c r="X293" s="129">
        <v>0</v>
      </c>
      <c r="Y293" s="129">
        <v>0</v>
      </c>
      <c r="Z293" s="129">
        <v>159.28299999999999</v>
      </c>
      <c r="AA293" s="129">
        <v>125.33</v>
      </c>
      <c r="AB293" s="129">
        <v>250.32900000000001</v>
      </c>
      <c r="AC293" s="129">
        <v>0</v>
      </c>
      <c r="AD293" s="129">
        <v>0</v>
      </c>
      <c r="AE293" s="129">
        <v>0</v>
      </c>
      <c r="AF293" s="129">
        <v>0</v>
      </c>
      <c r="AG293" s="129">
        <v>554.19200000000012</v>
      </c>
    </row>
    <row r="294" spans="1:33" x14ac:dyDescent="0.45">
      <c r="B294" s="130" t="s">
        <v>409</v>
      </c>
      <c r="C294" s="133">
        <v>0</v>
      </c>
      <c r="D294" s="133">
        <v>0</v>
      </c>
      <c r="E294" s="133">
        <v>0</v>
      </c>
      <c r="F294" s="133">
        <v>0</v>
      </c>
      <c r="G294" s="133">
        <v>1.589</v>
      </c>
      <c r="H294" s="133">
        <v>0</v>
      </c>
      <c r="I294" s="133">
        <v>0</v>
      </c>
      <c r="J294" s="133">
        <v>0.45300000000000001</v>
      </c>
      <c r="K294" s="133">
        <v>0</v>
      </c>
      <c r="L294" s="133">
        <v>1.5049999999999999</v>
      </c>
      <c r="M294" s="133">
        <v>0</v>
      </c>
      <c r="N294" s="133">
        <v>0</v>
      </c>
      <c r="O294" s="133">
        <v>0</v>
      </c>
      <c r="P294" s="133">
        <v>0</v>
      </c>
      <c r="Q294" s="133">
        <v>7.0000000000000007E-2</v>
      </c>
      <c r="R294" s="133">
        <v>0</v>
      </c>
      <c r="S294" s="133">
        <v>0</v>
      </c>
      <c r="T294" s="133">
        <v>0</v>
      </c>
      <c r="U294" s="133">
        <v>1.964</v>
      </c>
      <c r="V294" s="133">
        <v>0</v>
      </c>
      <c r="W294" s="133">
        <v>13.669</v>
      </c>
      <c r="X294" s="133">
        <v>0</v>
      </c>
      <c r="Y294" s="133">
        <v>0</v>
      </c>
      <c r="Z294" s="133">
        <v>159.28299999999999</v>
      </c>
      <c r="AA294" s="133">
        <v>125.33</v>
      </c>
      <c r="AB294" s="133">
        <v>250.32900000000001</v>
      </c>
      <c r="AC294" s="133">
        <v>0</v>
      </c>
      <c r="AD294" s="133">
        <v>0</v>
      </c>
      <c r="AE294" s="133">
        <v>0</v>
      </c>
      <c r="AF294" s="133">
        <v>0</v>
      </c>
      <c r="AG294" s="133">
        <v>554.19200000000012</v>
      </c>
    </row>
    <row r="295" spans="1:33" x14ac:dyDescent="0.45">
      <c r="A295" s="126" t="s">
        <v>406</v>
      </c>
      <c r="B295" s="129"/>
      <c r="C295" s="129">
        <v>0</v>
      </c>
      <c r="D295" s="129">
        <v>0</v>
      </c>
      <c r="E295" s="129">
        <v>0</v>
      </c>
      <c r="F295" s="129">
        <v>0</v>
      </c>
      <c r="G295" s="129">
        <v>1.425</v>
      </c>
      <c r="H295" s="129">
        <v>0</v>
      </c>
      <c r="I295" s="129">
        <v>0.65200000000000002</v>
      </c>
      <c r="J295" s="129">
        <v>0.67600000000000005</v>
      </c>
      <c r="K295" s="129">
        <v>0</v>
      </c>
      <c r="L295" s="129">
        <v>0</v>
      </c>
      <c r="M295" s="129">
        <v>116.191</v>
      </c>
      <c r="N295" s="129">
        <v>0</v>
      </c>
      <c r="O295" s="129">
        <v>0</v>
      </c>
      <c r="P295" s="129">
        <v>31.794</v>
      </c>
      <c r="Q295" s="129">
        <v>7.0490000000000004</v>
      </c>
      <c r="R295" s="129">
        <v>0</v>
      </c>
      <c r="S295" s="129">
        <v>22.942830000000001</v>
      </c>
      <c r="T295" s="129">
        <v>0</v>
      </c>
      <c r="U295" s="129">
        <v>0</v>
      </c>
      <c r="V295" s="129">
        <v>0</v>
      </c>
      <c r="W295" s="129">
        <v>6.3150500000000003</v>
      </c>
      <c r="X295" s="129">
        <v>0</v>
      </c>
      <c r="Y295" s="129">
        <v>13.103</v>
      </c>
      <c r="Z295" s="129">
        <v>0</v>
      </c>
      <c r="AA295" s="129">
        <v>0</v>
      </c>
      <c r="AB295" s="129">
        <v>0</v>
      </c>
      <c r="AC295" s="129">
        <v>0</v>
      </c>
      <c r="AD295" s="129">
        <v>0</v>
      </c>
      <c r="AE295" s="129">
        <v>0</v>
      </c>
      <c r="AF295" s="129">
        <v>0</v>
      </c>
      <c r="AG295" s="129">
        <v>200.14787999999999</v>
      </c>
    </row>
    <row r="296" spans="1:33" x14ac:dyDescent="0.45">
      <c r="B296" s="130" t="s">
        <v>408</v>
      </c>
      <c r="C296" s="133">
        <v>0</v>
      </c>
      <c r="D296" s="133">
        <v>0</v>
      </c>
      <c r="E296" s="133">
        <v>0</v>
      </c>
      <c r="F296" s="133">
        <v>0</v>
      </c>
      <c r="G296" s="133">
        <v>0</v>
      </c>
      <c r="H296" s="133">
        <v>0</v>
      </c>
      <c r="I296" s="133">
        <v>0</v>
      </c>
      <c r="J296" s="133">
        <v>6.0000000000000001E-3</v>
      </c>
      <c r="K296" s="133">
        <v>0</v>
      </c>
      <c r="L296" s="133">
        <v>0</v>
      </c>
      <c r="M296" s="133">
        <v>0</v>
      </c>
      <c r="N296" s="133">
        <v>0</v>
      </c>
      <c r="O296" s="133">
        <v>0</v>
      </c>
      <c r="P296" s="133">
        <v>0</v>
      </c>
      <c r="Q296" s="133">
        <v>7.0490000000000004</v>
      </c>
      <c r="R296" s="133">
        <v>0</v>
      </c>
      <c r="S296" s="133">
        <v>0</v>
      </c>
      <c r="T296" s="133">
        <v>0</v>
      </c>
      <c r="U296" s="133">
        <v>0</v>
      </c>
      <c r="V296" s="133">
        <v>0</v>
      </c>
      <c r="W296" s="133">
        <v>0.5</v>
      </c>
      <c r="X296" s="133">
        <v>0</v>
      </c>
      <c r="Y296" s="133">
        <v>13.103</v>
      </c>
      <c r="Z296" s="133">
        <v>0</v>
      </c>
      <c r="AA296" s="133">
        <v>0</v>
      </c>
      <c r="AB296" s="133">
        <v>0</v>
      </c>
      <c r="AC296" s="133">
        <v>0</v>
      </c>
      <c r="AD296" s="133">
        <v>0</v>
      </c>
      <c r="AE296" s="133">
        <v>0</v>
      </c>
      <c r="AF296" s="133">
        <v>0</v>
      </c>
      <c r="AG296" s="133">
        <v>20.658000000000001</v>
      </c>
    </row>
    <row r="297" spans="1:33" x14ac:dyDescent="0.45">
      <c r="A297" s="126"/>
      <c r="B297" s="129" t="s">
        <v>407</v>
      </c>
      <c r="C297" s="129">
        <v>0</v>
      </c>
      <c r="D297" s="129">
        <v>0</v>
      </c>
      <c r="E297" s="129">
        <v>0</v>
      </c>
      <c r="F297" s="129">
        <v>0</v>
      </c>
      <c r="G297" s="129">
        <v>0</v>
      </c>
      <c r="H297" s="129">
        <v>0</v>
      </c>
      <c r="I297" s="129">
        <v>0.65200000000000002</v>
      </c>
      <c r="J297" s="129">
        <v>4.2000000000000003E-2</v>
      </c>
      <c r="K297" s="129">
        <v>0</v>
      </c>
      <c r="L297" s="129">
        <v>0</v>
      </c>
      <c r="M297" s="129">
        <v>116.191</v>
      </c>
      <c r="N297" s="129">
        <v>0</v>
      </c>
      <c r="O297" s="129">
        <v>0</v>
      </c>
      <c r="P297" s="129">
        <v>28.945</v>
      </c>
      <c r="Q297" s="129">
        <v>0</v>
      </c>
      <c r="R297" s="129">
        <v>0</v>
      </c>
      <c r="S297" s="129">
        <v>3.8638300000000001</v>
      </c>
      <c r="T297" s="129">
        <v>0</v>
      </c>
      <c r="U297" s="129">
        <v>0</v>
      </c>
      <c r="V297" s="129">
        <v>0</v>
      </c>
      <c r="W297" s="129">
        <v>5.3180500000000004</v>
      </c>
      <c r="X297" s="129">
        <v>0</v>
      </c>
      <c r="Y297" s="129">
        <v>0</v>
      </c>
      <c r="Z297" s="129">
        <v>0</v>
      </c>
      <c r="AA297" s="129">
        <v>0</v>
      </c>
      <c r="AB297" s="129">
        <v>0</v>
      </c>
      <c r="AC297" s="129">
        <v>0</v>
      </c>
      <c r="AD297" s="129">
        <v>0</v>
      </c>
      <c r="AE297" s="129">
        <v>0</v>
      </c>
      <c r="AF297" s="129">
        <v>0</v>
      </c>
      <c r="AG297" s="129">
        <v>155.01187999999999</v>
      </c>
    </row>
    <row r="298" spans="1:33" x14ac:dyDescent="0.45">
      <c r="B298" s="130" t="s">
        <v>405</v>
      </c>
      <c r="C298" s="133">
        <v>0</v>
      </c>
      <c r="D298" s="133">
        <v>0</v>
      </c>
      <c r="E298" s="133">
        <v>0</v>
      </c>
      <c r="F298" s="133">
        <v>0</v>
      </c>
      <c r="G298" s="133">
        <v>1.425</v>
      </c>
      <c r="H298" s="133">
        <v>0</v>
      </c>
      <c r="I298" s="133">
        <v>0</v>
      </c>
      <c r="J298" s="133">
        <v>0.628</v>
      </c>
      <c r="K298" s="133">
        <v>0</v>
      </c>
      <c r="L298" s="133">
        <v>0</v>
      </c>
      <c r="M298" s="133">
        <v>0</v>
      </c>
      <c r="N298" s="133">
        <v>0</v>
      </c>
      <c r="O298" s="133">
        <v>0</v>
      </c>
      <c r="P298" s="133">
        <v>2.8490000000000002</v>
      </c>
      <c r="Q298" s="133">
        <v>0</v>
      </c>
      <c r="R298" s="133">
        <v>0</v>
      </c>
      <c r="S298" s="133">
        <v>19.079000000000001</v>
      </c>
      <c r="T298" s="133">
        <v>0</v>
      </c>
      <c r="U298" s="133">
        <v>0</v>
      </c>
      <c r="V298" s="133">
        <v>0</v>
      </c>
      <c r="W298" s="133">
        <v>0.497</v>
      </c>
      <c r="X298" s="133">
        <v>0</v>
      </c>
      <c r="Y298" s="133">
        <v>0</v>
      </c>
      <c r="Z298" s="133">
        <v>0</v>
      </c>
      <c r="AA298" s="133">
        <v>0</v>
      </c>
      <c r="AB298" s="133">
        <v>0</v>
      </c>
      <c r="AC298" s="133">
        <v>0</v>
      </c>
      <c r="AD298" s="133">
        <v>0</v>
      </c>
      <c r="AE298" s="133">
        <v>0</v>
      </c>
      <c r="AF298" s="133">
        <v>0</v>
      </c>
      <c r="AG298" s="133">
        <v>24.478000000000002</v>
      </c>
    </row>
    <row r="299" spans="1:33" x14ac:dyDescent="0.45">
      <c r="A299" s="126" t="s">
        <v>404</v>
      </c>
      <c r="B299" s="129"/>
      <c r="C299" s="129">
        <v>0</v>
      </c>
      <c r="D299" s="129">
        <v>0</v>
      </c>
      <c r="E299" s="129">
        <v>0</v>
      </c>
      <c r="F299" s="129">
        <v>1.5</v>
      </c>
      <c r="G299" s="129">
        <v>0</v>
      </c>
      <c r="H299" s="129">
        <v>0</v>
      </c>
      <c r="I299" s="129">
        <v>0</v>
      </c>
      <c r="J299" s="129">
        <v>0</v>
      </c>
      <c r="K299" s="129">
        <v>0</v>
      </c>
      <c r="L299" s="129">
        <v>0</v>
      </c>
      <c r="M299" s="129">
        <v>0</v>
      </c>
      <c r="N299" s="129">
        <v>0</v>
      </c>
      <c r="O299" s="129">
        <v>0</v>
      </c>
      <c r="P299" s="129">
        <v>0</v>
      </c>
      <c r="Q299" s="129">
        <v>0</v>
      </c>
      <c r="R299" s="129">
        <v>0</v>
      </c>
      <c r="S299" s="129">
        <v>8.6999999999999993</v>
      </c>
      <c r="T299" s="129">
        <v>0</v>
      </c>
      <c r="U299" s="129">
        <v>0</v>
      </c>
      <c r="V299" s="129">
        <v>0</v>
      </c>
      <c r="W299" s="129">
        <v>0.23880000000000001</v>
      </c>
      <c r="X299" s="129">
        <v>0</v>
      </c>
      <c r="Y299" s="129">
        <v>1.3</v>
      </c>
      <c r="Z299" s="129">
        <v>0</v>
      </c>
      <c r="AA299" s="129">
        <v>0</v>
      </c>
      <c r="AB299" s="129">
        <v>0</v>
      </c>
      <c r="AC299" s="129">
        <v>0</v>
      </c>
      <c r="AD299" s="129">
        <v>0</v>
      </c>
      <c r="AE299" s="129">
        <v>0</v>
      </c>
      <c r="AF299" s="129">
        <v>0</v>
      </c>
      <c r="AG299" s="129">
        <v>11.738799999999999</v>
      </c>
    </row>
    <row r="300" spans="1:33" x14ac:dyDescent="0.45">
      <c r="B300" s="130" t="s">
        <v>403</v>
      </c>
      <c r="C300" s="133">
        <v>0</v>
      </c>
      <c r="D300" s="133">
        <v>0</v>
      </c>
      <c r="E300" s="133">
        <v>0</v>
      </c>
      <c r="F300" s="133">
        <v>1.5</v>
      </c>
      <c r="G300" s="133">
        <v>0</v>
      </c>
      <c r="H300" s="133">
        <v>0</v>
      </c>
      <c r="I300" s="133">
        <v>0</v>
      </c>
      <c r="J300" s="133">
        <v>0</v>
      </c>
      <c r="K300" s="133">
        <v>0</v>
      </c>
      <c r="L300" s="133">
        <v>0</v>
      </c>
      <c r="M300" s="133">
        <v>0</v>
      </c>
      <c r="N300" s="133">
        <v>0</v>
      </c>
      <c r="O300" s="133">
        <v>0</v>
      </c>
      <c r="P300" s="133">
        <v>0</v>
      </c>
      <c r="Q300" s="133">
        <v>0</v>
      </c>
      <c r="R300" s="133">
        <v>0</v>
      </c>
      <c r="S300" s="133">
        <v>8.6999999999999993</v>
      </c>
      <c r="T300" s="133">
        <v>0</v>
      </c>
      <c r="U300" s="133">
        <v>0</v>
      </c>
      <c r="V300" s="133">
        <v>0</v>
      </c>
      <c r="W300" s="133">
        <v>0.23880000000000001</v>
      </c>
      <c r="X300" s="133">
        <v>0</v>
      </c>
      <c r="Y300" s="133">
        <v>1.3</v>
      </c>
      <c r="Z300" s="133">
        <v>0</v>
      </c>
      <c r="AA300" s="133">
        <v>0</v>
      </c>
      <c r="AB300" s="133">
        <v>0</v>
      </c>
      <c r="AC300" s="133">
        <v>0</v>
      </c>
      <c r="AD300" s="133">
        <v>0</v>
      </c>
      <c r="AE300" s="133">
        <v>0</v>
      </c>
      <c r="AF300" s="133">
        <v>0</v>
      </c>
      <c r="AG300" s="133">
        <v>11.738799999999999</v>
      </c>
    </row>
    <row r="301" spans="1:33" x14ac:dyDescent="0.45">
      <c r="A301" s="134" t="s">
        <v>402</v>
      </c>
      <c r="B301" s="130"/>
      <c r="C301" s="133">
        <v>0</v>
      </c>
      <c r="D301" s="133">
        <v>123.10299999999999</v>
      </c>
      <c r="E301" s="133">
        <v>0</v>
      </c>
      <c r="F301" s="133">
        <v>0</v>
      </c>
      <c r="G301" s="133">
        <v>0</v>
      </c>
      <c r="H301" s="133">
        <v>0</v>
      </c>
      <c r="I301" s="133">
        <v>0</v>
      </c>
      <c r="J301" s="133">
        <v>3.9588999999999999</v>
      </c>
      <c r="K301" s="133">
        <v>0</v>
      </c>
      <c r="L301" s="133">
        <v>0</v>
      </c>
      <c r="M301" s="133">
        <v>0</v>
      </c>
      <c r="N301" s="133">
        <v>0</v>
      </c>
      <c r="O301" s="133">
        <v>0</v>
      </c>
      <c r="P301" s="133">
        <v>0</v>
      </c>
      <c r="Q301" s="133">
        <v>0</v>
      </c>
      <c r="R301" s="133">
        <v>43.548400000000001</v>
      </c>
      <c r="S301" s="133">
        <v>0</v>
      </c>
      <c r="T301" s="133">
        <v>0</v>
      </c>
      <c r="U301" s="133">
        <v>0</v>
      </c>
      <c r="V301" s="133">
        <v>0</v>
      </c>
      <c r="W301" s="133">
        <v>7.10379</v>
      </c>
      <c r="X301" s="133">
        <v>0</v>
      </c>
      <c r="Y301" s="133">
        <v>0</v>
      </c>
      <c r="Z301" s="133">
        <v>0</v>
      </c>
      <c r="AA301" s="133">
        <v>0</v>
      </c>
      <c r="AB301" s="133">
        <v>0</v>
      </c>
      <c r="AC301" s="133">
        <v>0</v>
      </c>
      <c r="AD301" s="133">
        <v>0</v>
      </c>
      <c r="AE301" s="133">
        <v>0</v>
      </c>
      <c r="AF301" s="133">
        <v>0</v>
      </c>
      <c r="AG301" s="133">
        <v>177.71409</v>
      </c>
    </row>
    <row r="302" spans="1:33" x14ac:dyDescent="0.45">
      <c r="A302" s="126"/>
      <c r="B302" s="129" t="s">
        <v>401</v>
      </c>
      <c r="C302" s="129">
        <v>0</v>
      </c>
      <c r="D302" s="129">
        <v>123.10299999999999</v>
      </c>
      <c r="E302" s="129">
        <v>0</v>
      </c>
      <c r="F302" s="129">
        <v>0</v>
      </c>
      <c r="G302" s="129">
        <v>0</v>
      </c>
      <c r="H302" s="129">
        <v>0</v>
      </c>
      <c r="I302" s="129">
        <v>0</v>
      </c>
      <c r="J302" s="129">
        <v>3.9588999999999999</v>
      </c>
      <c r="K302" s="129">
        <v>0</v>
      </c>
      <c r="L302" s="129">
        <v>0</v>
      </c>
      <c r="M302" s="129">
        <v>0</v>
      </c>
      <c r="N302" s="129">
        <v>0</v>
      </c>
      <c r="O302" s="129">
        <v>0</v>
      </c>
      <c r="P302" s="129">
        <v>0</v>
      </c>
      <c r="Q302" s="129">
        <v>0</v>
      </c>
      <c r="R302" s="129">
        <v>43.548400000000001</v>
      </c>
      <c r="S302" s="129">
        <v>0</v>
      </c>
      <c r="T302" s="129">
        <v>0</v>
      </c>
      <c r="U302" s="129">
        <v>0</v>
      </c>
      <c r="V302" s="129">
        <v>0</v>
      </c>
      <c r="W302" s="129">
        <v>7.10379</v>
      </c>
      <c r="X302" s="129">
        <v>0</v>
      </c>
      <c r="Y302" s="129">
        <v>0</v>
      </c>
      <c r="Z302" s="129">
        <v>0</v>
      </c>
      <c r="AA302" s="129">
        <v>0</v>
      </c>
      <c r="AB302" s="129">
        <v>0</v>
      </c>
      <c r="AC302" s="129">
        <v>0</v>
      </c>
      <c r="AD302" s="129">
        <v>0</v>
      </c>
      <c r="AE302" s="129">
        <v>0</v>
      </c>
      <c r="AF302" s="129">
        <v>0</v>
      </c>
      <c r="AG302" s="129">
        <v>177.71409</v>
      </c>
    </row>
    <row r="303" spans="1:33" x14ac:dyDescent="0.45">
      <c r="A303" s="134" t="s">
        <v>398</v>
      </c>
      <c r="B303" s="130"/>
      <c r="C303" s="133">
        <v>0</v>
      </c>
      <c r="D303" s="133">
        <v>0</v>
      </c>
      <c r="E303" s="133">
        <v>0</v>
      </c>
      <c r="F303" s="133">
        <v>0</v>
      </c>
      <c r="G303" s="133">
        <v>1.6</v>
      </c>
      <c r="H303" s="133">
        <v>0</v>
      </c>
      <c r="I303" s="133">
        <v>0</v>
      </c>
      <c r="J303" s="133">
        <v>6.34</v>
      </c>
      <c r="K303" s="133">
        <v>0</v>
      </c>
      <c r="L303" s="133">
        <v>0</v>
      </c>
      <c r="M303" s="133">
        <v>121.02500000000001</v>
      </c>
      <c r="N303" s="133">
        <v>0</v>
      </c>
      <c r="O303" s="133">
        <v>0</v>
      </c>
      <c r="P303" s="133">
        <v>32.14</v>
      </c>
      <c r="Q303" s="133">
        <v>0</v>
      </c>
      <c r="R303" s="133">
        <v>0</v>
      </c>
      <c r="S303" s="133">
        <v>12.47</v>
      </c>
      <c r="T303" s="133">
        <v>0</v>
      </c>
      <c r="U303" s="133">
        <v>0</v>
      </c>
      <c r="V303" s="133">
        <v>0</v>
      </c>
      <c r="W303" s="133">
        <v>4.3569199999999997</v>
      </c>
      <c r="X303" s="133">
        <v>0</v>
      </c>
      <c r="Y303" s="133">
        <v>2.2229999999999999</v>
      </c>
      <c r="Z303" s="133">
        <v>0</v>
      </c>
      <c r="AA303" s="133">
        <v>0</v>
      </c>
      <c r="AB303" s="133">
        <v>0</v>
      </c>
      <c r="AC303" s="133">
        <v>0</v>
      </c>
      <c r="AD303" s="133">
        <v>0</v>
      </c>
      <c r="AE303" s="133">
        <v>0</v>
      </c>
      <c r="AF303" s="133">
        <v>0</v>
      </c>
      <c r="AG303" s="133">
        <v>180.15492</v>
      </c>
    </row>
    <row r="304" spans="1:33" x14ac:dyDescent="0.45">
      <c r="A304" s="126"/>
      <c r="B304" s="129" t="s">
        <v>400</v>
      </c>
      <c r="C304" s="129">
        <v>0</v>
      </c>
      <c r="D304" s="129">
        <v>0</v>
      </c>
      <c r="E304" s="129">
        <v>0</v>
      </c>
      <c r="F304" s="129">
        <v>0</v>
      </c>
      <c r="G304" s="129">
        <v>0</v>
      </c>
      <c r="H304" s="129">
        <v>0</v>
      </c>
      <c r="I304" s="129">
        <v>0</v>
      </c>
      <c r="J304" s="129">
        <v>7.9000000000000001E-2</v>
      </c>
      <c r="K304" s="129">
        <v>0</v>
      </c>
      <c r="L304" s="129">
        <v>0</v>
      </c>
      <c r="M304" s="129">
        <v>0</v>
      </c>
      <c r="N304" s="129">
        <v>0</v>
      </c>
      <c r="O304" s="129">
        <v>0</v>
      </c>
      <c r="P304" s="129">
        <v>0</v>
      </c>
      <c r="Q304" s="129">
        <v>0</v>
      </c>
      <c r="R304" s="129">
        <v>0</v>
      </c>
      <c r="S304" s="129">
        <v>0</v>
      </c>
      <c r="T304" s="129">
        <v>0</v>
      </c>
      <c r="U304" s="129">
        <v>0</v>
      </c>
      <c r="V304" s="129">
        <v>0</v>
      </c>
      <c r="W304" s="129">
        <v>2.9000000000000001E-2</v>
      </c>
      <c r="X304" s="129">
        <v>0</v>
      </c>
      <c r="Y304" s="129">
        <v>2.2229999999999999</v>
      </c>
      <c r="Z304" s="129">
        <v>0</v>
      </c>
      <c r="AA304" s="129">
        <v>0</v>
      </c>
      <c r="AB304" s="129">
        <v>0</v>
      </c>
      <c r="AC304" s="129">
        <v>0</v>
      </c>
      <c r="AD304" s="129">
        <v>0</v>
      </c>
      <c r="AE304" s="129">
        <v>0</v>
      </c>
      <c r="AF304" s="129">
        <v>0</v>
      </c>
      <c r="AG304" s="129">
        <v>2.331</v>
      </c>
    </row>
    <row r="305" spans="1:33" x14ac:dyDescent="0.45">
      <c r="B305" s="130" t="s">
        <v>399</v>
      </c>
      <c r="C305" s="133">
        <v>0</v>
      </c>
      <c r="D305" s="133">
        <v>0</v>
      </c>
      <c r="E305" s="133">
        <v>0</v>
      </c>
      <c r="F305" s="133">
        <v>0</v>
      </c>
      <c r="G305" s="133">
        <v>1.6</v>
      </c>
      <c r="H305" s="133">
        <v>0</v>
      </c>
      <c r="I305" s="133">
        <v>0</v>
      </c>
      <c r="J305" s="133">
        <v>0.41099999999999998</v>
      </c>
      <c r="K305" s="133">
        <v>0</v>
      </c>
      <c r="L305" s="133">
        <v>0</v>
      </c>
      <c r="M305" s="133">
        <v>0</v>
      </c>
      <c r="N305" s="133">
        <v>0</v>
      </c>
      <c r="O305" s="133">
        <v>0</v>
      </c>
      <c r="P305" s="133">
        <v>1.21</v>
      </c>
      <c r="Q305" s="133">
        <v>0</v>
      </c>
      <c r="R305" s="133">
        <v>0</v>
      </c>
      <c r="S305" s="133">
        <v>12.47</v>
      </c>
      <c r="T305" s="133">
        <v>0</v>
      </c>
      <c r="U305" s="133">
        <v>0</v>
      </c>
      <c r="V305" s="133">
        <v>0</v>
      </c>
      <c r="W305" s="133">
        <v>0.24399999999999999</v>
      </c>
      <c r="X305" s="133">
        <v>0</v>
      </c>
      <c r="Y305" s="133">
        <v>0</v>
      </c>
      <c r="Z305" s="133">
        <v>0</v>
      </c>
      <c r="AA305" s="133">
        <v>0</v>
      </c>
      <c r="AB305" s="133">
        <v>0</v>
      </c>
      <c r="AC305" s="133">
        <v>0</v>
      </c>
      <c r="AD305" s="133">
        <v>0</v>
      </c>
      <c r="AE305" s="133">
        <v>0</v>
      </c>
      <c r="AF305" s="133">
        <v>0</v>
      </c>
      <c r="AG305" s="133">
        <v>15.934999999999999</v>
      </c>
    </row>
    <row r="306" spans="1:33" x14ac:dyDescent="0.45">
      <c r="B306" s="130" t="s">
        <v>397</v>
      </c>
      <c r="C306" s="133">
        <v>0</v>
      </c>
      <c r="D306" s="133">
        <v>0</v>
      </c>
      <c r="E306" s="133">
        <v>0</v>
      </c>
      <c r="F306" s="133">
        <v>0</v>
      </c>
      <c r="G306" s="133">
        <v>0</v>
      </c>
      <c r="H306" s="133">
        <v>0</v>
      </c>
      <c r="I306" s="133">
        <v>0</v>
      </c>
      <c r="J306" s="133">
        <v>5.85</v>
      </c>
      <c r="K306" s="133">
        <v>0</v>
      </c>
      <c r="L306" s="133">
        <v>0</v>
      </c>
      <c r="M306" s="133">
        <v>121.02500000000001</v>
      </c>
      <c r="N306" s="133">
        <v>0</v>
      </c>
      <c r="O306" s="133">
        <v>0</v>
      </c>
      <c r="P306" s="133">
        <v>30.93</v>
      </c>
      <c r="Q306" s="133">
        <v>0</v>
      </c>
      <c r="R306" s="133">
        <v>0</v>
      </c>
      <c r="S306" s="133">
        <v>0</v>
      </c>
      <c r="T306" s="133">
        <v>0</v>
      </c>
      <c r="U306" s="133">
        <v>0</v>
      </c>
      <c r="V306" s="133">
        <v>0</v>
      </c>
      <c r="W306" s="133">
        <v>4.08392</v>
      </c>
      <c r="X306" s="133">
        <v>0</v>
      </c>
      <c r="Y306" s="133">
        <v>0</v>
      </c>
      <c r="Z306" s="133">
        <v>0</v>
      </c>
      <c r="AA306" s="133">
        <v>0</v>
      </c>
      <c r="AB306" s="133">
        <v>0</v>
      </c>
      <c r="AC306" s="133">
        <v>0</v>
      </c>
      <c r="AD306" s="133">
        <v>0</v>
      </c>
      <c r="AE306" s="133">
        <v>0</v>
      </c>
      <c r="AF306" s="133">
        <v>0</v>
      </c>
      <c r="AG306" s="133">
        <v>161.88892000000001</v>
      </c>
    </row>
    <row r="307" spans="1:33" x14ac:dyDescent="0.45">
      <c r="A307" s="134" t="s">
        <v>396</v>
      </c>
      <c r="B307" s="130"/>
      <c r="C307" s="133">
        <v>0</v>
      </c>
      <c r="D307" s="133">
        <v>0</v>
      </c>
      <c r="E307" s="133">
        <v>0</v>
      </c>
      <c r="F307" s="133">
        <v>3.05</v>
      </c>
      <c r="G307" s="133">
        <v>2.16</v>
      </c>
      <c r="H307" s="133">
        <v>0</v>
      </c>
      <c r="I307" s="133">
        <v>0</v>
      </c>
      <c r="J307" s="133">
        <v>0</v>
      </c>
      <c r="K307" s="133">
        <v>0</v>
      </c>
      <c r="L307" s="133">
        <v>0</v>
      </c>
      <c r="M307" s="133">
        <v>46.14</v>
      </c>
      <c r="N307" s="133">
        <v>0</v>
      </c>
      <c r="O307" s="133">
        <v>0</v>
      </c>
      <c r="P307" s="133">
        <v>3.95</v>
      </c>
      <c r="Q307" s="133">
        <v>0</v>
      </c>
      <c r="R307" s="133">
        <v>0</v>
      </c>
      <c r="S307" s="133">
        <v>1.71</v>
      </c>
      <c r="T307" s="133">
        <v>0</v>
      </c>
      <c r="U307" s="133">
        <v>0</v>
      </c>
      <c r="V307" s="133">
        <v>0</v>
      </c>
      <c r="W307" s="133">
        <v>1.2170000000000001</v>
      </c>
      <c r="X307" s="133">
        <v>0</v>
      </c>
      <c r="Y307" s="133">
        <v>5.46</v>
      </c>
      <c r="Z307" s="133">
        <v>0</v>
      </c>
      <c r="AA307" s="133">
        <v>0</v>
      </c>
      <c r="AB307" s="133">
        <v>0</v>
      </c>
      <c r="AC307" s="133">
        <v>0</v>
      </c>
      <c r="AD307" s="133">
        <v>1.27</v>
      </c>
      <c r="AE307" s="133">
        <v>0</v>
      </c>
      <c r="AF307" s="133">
        <v>0</v>
      </c>
      <c r="AG307" s="133">
        <v>64.957000000000008</v>
      </c>
    </row>
    <row r="308" spans="1:33" x14ac:dyDescent="0.45">
      <c r="B308" s="130" t="s">
        <v>395</v>
      </c>
      <c r="C308" s="133">
        <v>0</v>
      </c>
      <c r="D308" s="133">
        <v>0</v>
      </c>
      <c r="E308" s="133">
        <v>0</v>
      </c>
      <c r="F308" s="133">
        <v>3.05</v>
      </c>
      <c r="G308" s="133">
        <v>2.16</v>
      </c>
      <c r="H308" s="133">
        <v>0</v>
      </c>
      <c r="I308" s="133">
        <v>0</v>
      </c>
      <c r="J308" s="133">
        <v>0</v>
      </c>
      <c r="K308" s="133">
        <v>0</v>
      </c>
      <c r="L308" s="133">
        <v>0</v>
      </c>
      <c r="M308" s="133">
        <v>46.14</v>
      </c>
      <c r="N308" s="133">
        <v>0</v>
      </c>
      <c r="O308" s="133">
        <v>0</v>
      </c>
      <c r="P308" s="133">
        <v>3.95</v>
      </c>
      <c r="Q308" s="133">
        <v>0</v>
      </c>
      <c r="R308" s="133">
        <v>0</v>
      </c>
      <c r="S308" s="133">
        <v>1.71</v>
      </c>
      <c r="T308" s="133">
        <v>0</v>
      </c>
      <c r="U308" s="133">
        <v>0</v>
      </c>
      <c r="V308" s="133">
        <v>0</v>
      </c>
      <c r="W308" s="133">
        <v>1.2170000000000001</v>
      </c>
      <c r="X308" s="133">
        <v>0</v>
      </c>
      <c r="Y308" s="133">
        <v>5.46</v>
      </c>
      <c r="Z308" s="133">
        <v>0</v>
      </c>
      <c r="AA308" s="133">
        <v>0</v>
      </c>
      <c r="AB308" s="133">
        <v>0</v>
      </c>
      <c r="AC308" s="133">
        <v>0</v>
      </c>
      <c r="AD308" s="133">
        <v>1.27</v>
      </c>
      <c r="AE308" s="133">
        <v>0</v>
      </c>
      <c r="AF308" s="133">
        <v>0</v>
      </c>
      <c r="AG308" s="133">
        <v>64.957000000000008</v>
      </c>
    </row>
    <row r="309" spans="1:33" x14ac:dyDescent="0.45">
      <c r="A309" s="134" t="s">
        <v>393</v>
      </c>
      <c r="B309" s="130"/>
      <c r="C309" s="133">
        <v>0</v>
      </c>
      <c r="D309" s="133">
        <v>0</v>
      </c>
      <c r="E309" s="133">
        <v>0</v>
      </c>
      <c r="F309" s="133">
        <v>0</v>
      </c>
      <c r="G309" s="133">
        <v>0</v>
      </c>
      <c r="H309" s="133">
        <v>0</v>
      </c>
      <c r="I309" s="133">
        <v>0</v>
      </c>
      <c r="J309" s="133">
        <v>0</v>
      </c>
      <c r="K309" s="133">
        <v>0</v>
      </c>
      <c r="L309" s="133">
        <v>0</v>
      </c>
      <c r="M309" s="133">
        <v>0</v>
      </c>
      <c r="N309" s="133">
        <v>0</v>
      </c>
      <c r="O309" s="133">
        <v>0</v>
      </c>
      <c r="P309" s="133">
        <v>0</v>
      </c>
      <c r="Q309" s="133">
        <v>0</v>
      </c>
      <c r="R309" s="133">
        <v>0</v>
      </c>
      <c r="S309" s="133">
        <v>0</v>
      </c>
      <c r="T309" s="133">
        <v>0</v>
      </c>
      <c r="U309" s="133">
        <v>0</v>
      </c>
      <c r="V309" s="133">
        <v>0</v>
      </c>
      <c r="W309" s="133">
        <v>0</v>
      </c>
      <c r="X309" s="133">
        <v>0</v>
      </c>
      <c r="Y309" s="133">
        <v>0</v>
      </c>
      <c r="Z309" s="133">
        <v>0</v>
      </c>
      <c r="AA309" s="133">
        <v>0</v>
      </c>
      <c r="AB309" s="133">
        <v>0</v>
      </c>
      <c r="AC309" s="133">
        <v>0</v>
      </c>
      <c r="AD309" s="133">
        <v>0</v>
      </c>
      <c r="AE309" s="133">
        <v>0</v>
      </c>
      <c r="AF309" s="133">
        <v>0</v>
      </c>
      <c r="AG309" s="133">
        <v>0</v>
      </c>
    </row>
    <row r="310" spans="1:33" x14ac:dyDescent="0.45">
      <c r="A310" s="126"/>
      <c r="B310" s="129" t="s">
        <v>394</v>
      </c>
      <c r="C310" s="129">
        <v>0</v>
      </c>
      <c r="D310" s="129">
        <v>0</v>
      </c>
      <c r="E310" s="129">
        <v>0</v>
      </c>
      <c r="F310" s="129">
        <v>0</v>
      </c>
      <c r="G310" s="129">
        <v>0</v>
      </c>
      <c r="H310" s="129">
        <v>0</v>
      </c>
      <c r="I310" s="129">
        <v>0</v>
      </c>
      <c r="J310" s="129">
        <v>0</v>
      </c>
      <c r="K310" s="129">
        <v>0</v>
      </c>
      <c r="L310" s="129">
        <v>0</v>
      </c>
      <c r="M310" s="129">
        <v>0</v>
      </c>
      <c r="N310" s="129">
        <v>0</v>
      </c>
      <c r="O310" s="129">
        <v>0</v>
      </c>
      <c r="P310" s="129">
        <v>0</v>
      </c>
      <c r="Q310" s="129">
        <v>0</v>
      </c>
      <c r="R310" s="129">
        <v>0</v>
      </c>
      <c r="S310" s="129">
        <v>0</v>
      </c>
      <c r="T310" s="129">
        <v>0</v>
      </c>
      <c r="U310" s="129">
        <v>0</v>
      </c>
      <c r="V310" s="129">
        <v>0</v>
      </c>
      <c r="W310" s="129">
        <v>0</v>
      </c>
      <c r="X310" s="129">
        <v>0</v>
      </c>
      <c r="Y310" s="129">
        <v>0</v>
      </c>
      <c r="Z310" s="129">
        <v>0</v>
      </c>
      <c r="AA310" s="129">
        <v>0</v>
      </c>
      <c r="AB310" s="129">
        <v>0</v>
      </c>
      <c r="AC310" s="129">
        <v>0</v>
      </c>
      <c r="AD310" s="129">
        <v>0</v>
      </c>
      <c r="AE310" s="129">
        <v>0</v>
      </c>
      <c r="AF310" s="129">
        <v>0</v>
      </c>
      <c r="AG310" s="129">
        <v>0</v>
      </c>
    </row>
    <row r="311" spans="1:33" x14ac:dyDescent="0.45">
      <c r="B311" s="130" t="s">
        <v>392</v>
      </c>
      <c r="C311" s="133">
        <v>0</v>
      </c>
      <c r="D311" s="133">
        <v>0</v>
      </c>
      <c r="E311" s="133">
        <v>0</v>
      </c>
      <c r="F311" s="133">
        <v>0</v>
      </c>
      <c r="G311" s="133">
        <v>0</v>
      </c>
      <c r="H311" s="133">
        <v>0</v>
      </c>
      <c r="I311" s="133">
        <v>0</v>
      </c>
      <c r="J311" s="133">
        <v>0</v>
      </c>
      <c r="K311" s="133">
        <v>0</v>
      </c>
      <c r="L311" s="133">
        <v>0</v>
      </c>
      <c r="M311" s="133">
        <v>0</v>
      </c>
      <c r="N311" s="133">
        <v>0</v>
      </c>
      <c r="O311" s="133">
        <v>0</v>
      </c>
      <c r="P311" s="133">
        <v>0</v>
      </c>
      <c r="Q311" s="133">
        <v>0</v>
      </c>
      <c r="R311" s="133">
        <v>0</v>
      </c>
      <c r="S311" s="133">
        <v>0</v>
      </c>
      <c r="T311" s="133">
        <v>0</v>
      </c>
      <c r="U311" s="133">
        <v>0</v>
      </c>
      <c r="V311" s="133">
        <v>0</v>
      </c>
      <c r="W311" s="133">
        <v>0</v>
      </c>
      <c r="X311" s="133">
        <v>0</v>
      </c>
      <c r="Y311" s="133">
        <v>0</v>
      </c>
      <c r="Z311" s="133">
        <v>0</v>
      </c>
      <c r="AA311" s="133">
        <v>0</v>
      </c>
      <c r="AB311" s="133">
        <v>0</v>
      </c>
      <c r="AC311" s="133">
        <v>0</v>
      </c>
      <c r="AD311" s="133">
        <v>0</v>
      </c>
      <c r="AE311" s="133">
        <v>0</v>
      </c>
      <c r="AF311" s="133">
        <v>0</v>
      </c>
      <c r="AG311" s="133">
        <v>0</v>
      </c>
    </row>
    <row r="312" spans="1:33" x14ac:dyDescent="0.45">
      <c r="A312" s="126" t="s">
        <v>391</v>
      </c>
      <c r="B312" s="129"/>
      <c r="C312" s="129">
        <v>0</v>
      </c>
      <c r="D312" s="129">
        <v>0</v>
      </c>
      <c r="E312" s="129">
        <v>0</v>
      </c>
      <c r="F312" s="129">
        <v>49.055</v>
      </c>
      <c r="G312" s="129">
        <v>2.2999999999999998</v>
      </c>
      <c r="H312" s="129">
        <v>0</v>
      </c>
      <c r="I312" s="129">
        <v>0</v>
      </c>
      <c r="J312" s="129">
        <v>0.5</v>
      </c>
      <c r="K312" s="129">
        <v>0</v>
      </c>
      <c r="L312" s="129">
        <v>0</v>
      </c>
      <c r="M312" s="129">
        <v>35.239199999999997</v>
      </c>
      <c r="N312" s="129">
        <v>0</v>
      </c>
      <c r="O312" s="129">
        <v>0</v>
      </c>
      <c r="P312" s="129">
        <v>32</v>
      </c>
      <c r="Q312" s="129">
        <v>0.4</v>
      </c>
      <c r="R312" s="129">
        <v>11.5288</v>
      </c>
      <c r="S312" s="129">
        <v>29.0275</v>
      </c>
      <c r="T312" s="129">
        <v>0</v>
      </c>
      <c r="U312" s="129">
        <v>0</v>
      </c>
      <c r="V312" s="129">
        <v>0</v>
      </c>
      <c r="W312" s="129">
        <v>3.3291300000000001</v>
      </c>
      <c r="X312" s="129">
        <v>0</v>
      </c>
      <c r="Y312" s="129">
        <v>6.7</v>
      </c>
      <c r="Z312" s="129">
        <v>0</v>
      </c>
      <c r="AA312" s="129">
        <v>0</v>
      </c>
      <c r="AB312" s="129">
        <v>0</v>
      </c>
      <c r="AC312" s="129">
        <v>0</v>
      </c>
      <c r="AD312" s="129">
        <v>0</v>
      </c>
      <c r="AE312" s="129">
        <v>0</v>
      </c>
      <c r="AF312" s="129">
        <v>0</v>
      </c>
      <c r="AG312" s="129">
        <v>170.07962999999998</v>
      </c>
    </row>
    <row r="313" spans="1:33" x14ac:dyDescent="0.45">
      <c r="B313" s="130" t="s">
        <v>390</v>
      </c>
      <c r="C313" s="133">
        <v>0</v>
      </c>
      <c r="D313" s="133">
        <v>0</v>
      </c>
      <c r="E313" s="133">
        <v>0</v>
      </c>
      <c r="F313" s="133">
        <v>49.055</v>
      </c>
      <c r="G313" s="133">
        <v>2.2999999999999998</v>
      </c>
      <c r="H313" s="133">
        <v>0</v>
      </c>
      <c r="I313" s="133">
        <v>0</v>
      </c>
      <c r="J313" s="133">
        <v>0.5</v>
      </c>
      <c r="K313" s="133">
        <v>0</v>
      </c>
      <c r="L313" s="133">
        <v>0</v>
      </c>
      <c r="M313" s="133">
        <v>35.239199999999997</v>
      </c>
      <c r="N313" s="133">
        <v>0</v>
      </c>
      <c r="O313" s="133">
        <v>0</v>
      </c>
      <c r="P313" s="133">
        <v>32</v>
      </c>
      <c r="Q313" s="133">
        <v>0.4</v>
      </c>
      <c r="R313" s="133">
        <v>11.5288</v>
      </c>
      <c r="S313" s="133">
        <v>29.0275</v>
      </c>
      <c r="T313" s="133">
        <v>0</v>
      </c>
      <c r="U313" s="133">
        <v>0</v>
      </c>
      <c r="V313" s="133">
        <v>0</v>
      </c>
      <c r="W313" s="133">
        <v>3.3291300000000001</v>
      </c>
      <c r="X313" s="133">
        <v>0</v>
      </c>
      <c r="Y313" s="133">
        <v>6.7</v>
      </c>
      <c r="Z313" s="133">
        <v>0</v>
      </c>
      <c r="AA313" s="133">
        <v>0</v>
      </c>
      <c r="AB313" s="133">
        <v>0</v>
      </c>
      <c r="AC313" s="133">
        <v>0</v>
      </c>
      <c r="AD313" s="133">
        <v>0</v>
      </c>
      <c r="AE313" s="133">
        <v>0</v>
      </c>
      <c r="AF313" s="133">
        <v>0</v>
      </c>
      <c r="AG313" s="133">
        <v>170.07962999999998</v>
      </c>
    </row>
    <row r="314" spans="1:33" x14ac:dyDescent="0.45">
      <c r="A314" s="134" t="s">
        <v>389</v>
      </c>
      <c r="B314" s="130"/>
      <c r="C314" s="133">
        <v>0</v>
      </c>
      <c r="D314" s="133">
        <v>0</v>
      </c>
      <c r="E314" s="133">
        <v>0</v>
      </c>
      <c r="F314" s="133">
        <v>0</v>
      </c>
      <c r="G314" s="133">
        <v>0</v>
      </c>
      <c r="H314" s="133">
        <v>0</v>
      </c>
      <c r="I314" s="133">
        <v>0</v>
      </c>
      <c r="J314" s="133">
        <v>1.55E-2</v>
      </c>
      <c r="K314" s="133">
        <v>0</v>
      </c>
      <c r="L314" s="133">
        <v>0</v>
      </c>
      <c r="M314" s="133">
        <v>0</v>
      </c>
      <c r="N314" s="133">
        <v>0</v>
      </c>
      <c r="O314" s="133">
        <v>0</v>
      </c>
      <c r="P314" s="133">
        <v>0</v>
      </c>
      <c r="Q314" s="133">
        <v>96.8</v>
      </c>
      <c r="R314" s="133">
        <v>0</v>
      </c>
      <c r="S314" s="133">
        <v>0</v>
      </c>
      <c r="T314" s="133">
        <v>0</v>
      </c>
      <c r="U314" s="133">
        <v>0</v>
      </c>
      <c r="V314" s="133">
        <v>0</v>
      </c>
      <c r="W314" s="133">
        <v>2.4209999999999998</v>
      </c>
      <c r="X314" s="133">
        <v>0</v>
      </c>
      <c r="Y314" s="133">
        <v>0</v>
      </c>
      <c r="Z314" s="133">
        <v>0</v>
      </c>
      <c r="AA314" s="133">
        <v>0</v>
      </c>
      <c r="AB314" s="133">
        <v>0</v>
      </c>
      <c r="AC314" s="133">
        <v>0</v>
      </c>
      <c r="AD314" s="133">
        <v>0</v>
      </c>
      <c r="AE314" s="133">
        <v>0</v>
      </c>
      <c r="AF314" s="133">
        <v>0</v>
      </c>
      <c r="AG314" s="133">
        <v>99.236499999999992</v>
      </c>
    </row>
    <row r="315" spans="1:33" x14ac:dyDescent="0.45">
      <c r="B315" s="130" t="s">
        <v>388</v>
      </c>
      <c r="C315" s="133">
        <v>0</v>
      </c>
      <c r="D315" s="133">
        <v>0</v>
      </c>
      <c r="E315" s="133">
        <v>0</v>
      </c>
      <c r="F315" s="133">
        <v>0</v>
      </c>
      <c r="G315" s="133">
        <v>0</v>
      </c>
      <c r="H315" s="133">
        <v>0</v>
      </c>
      <c r="I315" s="133">
        <v>0</v>
      </c>
      <c r="J315" s="133">
        <v>1.55E-2</v>
      </c>
      <c r="K315" s="133">
        <v>0</v>
      </c>
      <c r="L315" s="133">
        <v>0</v>
      </c>
      <c r="M315" s="133">
        <v>0</v>
      </c>
      <c r="N315" s="133">
        <v>0</v>
      </c>
      <c r="O315" s="133">
        <v>0</v>
      </c>
      <c r="P315" s="133">
        <v>0</v>
      </c>
      <c r="Q315" s="133">
        <v>96.8</v>
      </c>
      <c r="R315" s="133">
        <v>0</v>
      </c>
      <c r="S315" s="133">
        <v>0</v>
      </c>
      <c r="T315" s="133">
        <v>0</v>
      </c>
      <c r="U315" s="133">
        <v>0</v>
      </c>
      <c r="V315" s="133">
        <v>0</v>
      </c>
      <c r="W315" s="133">
        <v>2.4209999999999998</v>
      </c>
      <c r="X315" s="133">
        <v>0</v>
      </c>
      <c r="Y315" s="133">
        <v>0</v>
      </c>
      <c r="Z315" s="133">
        <v>0</v>
      </c>
      <c r="AA315" s="133">
        <v>0</v>
      </c>
      <c r="AB315" s="133">
        <v>0</v>
      </c>
      <c r="AC315" s="133">
        <v>0</v>
      </c>
      <c r="AD315" s="133">
        <v>0</v>
      </c>
      <c r="AE315" s="133">
        <v>0</v>
      </c>
      <c r="AF315" s="133">
        <v>0</v>
      </c>
      <c r="AG315" s="133">
        <v>99.236499999999992</v>
      </c>
    </row>
    <row r="316" spans="1:33" x14ac:dyDescent="0.45">
      <c r="A316" s="126" t="s">
        <v>387</v>
      </c>
      <c r="B316" s="129"/>
      <c r="C316" s="129">
        <v>0</v>
      </c>
      <c r="D316" s="129">
        <v>0</v>
      </c>
      <c r="E316" s="129">
        <v>0</v>
      </c>
      <c r="F316" s="129">
        <v>13.6</v>
      </c>
      <c r="G316" s="129">
        <v>0</v>
      </c>
      <c r="H316" s="129">
        <v>0</v>
      </c>
      <c r="I316" s="129">
        <v>0</v>
      </c>
      <c r="J316" s="129">
        <v>1.1499999999999999</v>
      </c>
      <c r="K316" s="129">
        <v>0</v>
      </c>
      <c r="L316" s="129">
        <v>0</v>
      </c>
      <c r="M316" s="129">
        <v>0</v>
      </c>
      <c r="N316" s="129">
        <v>0</v>
      </c>
      <c r="O316" s="129">
        <v>0</v>
      </c>
      <c r="P316" s="129">
        <v>0</v>
      </c>
      <c r="Q316" s="129">
        <v>0</v>
      </c>
      <c r="R316" s="129">
        <v>0</v>
      </c>
      <c r="S316" s="129">
        <v>13.6</v>
      </c>
      <c r="T316" s="129">
        <v>0</v>
      </c>
      <c r="U316" s="129">
        <v>0</v>
      </c>
      <c r="V316" s="129">
        <v>0</v>
      </c>
      <c r="W316" s="129">
        <v>0.25800000000000001</v>
      </c>
      <c r="X316" s="129">
        <v>0</v>
      </c>
      <c r="Y316" s="129">
        <v>5.2</v>
      </c>
      <c r="Z316" s="129">
        <v>0</v>
      </c>
      <c r="AA316" s="129">
        <v>0</v>
      </c>
      <c r="AB316" s="129">
        <v>0</v>
      </c>
      <c r="AC316" s="129">
        <v>0</v>
      </c>
      <c r="AD316" s="129">
        <v>0</v>
      </c>
      <c r="AE316" s="129">
        <v>0</v>
      </c>
      <c r="AF316" s="129">
        <v>0</v>
      </c>
      <c r="AG316" s="129">
        <v>33.808000000000007</v>
      </c>
    </row>
    <row r="317" spans="1:33" x14ac:dyDescent="0.45">
      <c r="B317" s="130" t="s">
        <v>114</v>
      </c>
      <c r="C317" s="133">
        <v>0</v>
      </c>
      <c r="D317" s="133">
        <v>0</v>
      </c>
      <c r="E317" s="135">
        <v>0</v>
      </c>
      <c r="F317" s="133">
        <v>13.6</v>
      </c>
      <c r="G317" s="133">
        <v>0</v>
      </c>
      <c r="H317" s="133">
        <v>0</v>
      </c>
      <c r="I317" s="133">
        <v>0</v>
      </c>
      <c r="J317" s="133">
        <v>1.1499999999999999</v>
      </c>
      <c r="K317" s="133">
        <v>0</v>
      </c>
      <c r="L317" s="133">
        <v>0</v>
      </c>
      <c r="M317" s="133">
        <v>0</v>
      </c>
      <c r="N317" s="133">
        <v>0</v>
      </c>
      <c r="O317" s="133">
        <v>0</v>
      </c>
      <c r="P317" s="133">
        <v>0</v>
      </c>
      <c r="Q317" s="133">
        <v>0</v>
      </c>
      <c r="R317" s="133">
        <v>0</v>
      </c>
      <c r="S317" s="133">
        <v>13.6</v>
      </c>
      <c r="T317" s="133">
        <v>0</v>
      </c>
      <c r="U317" s="133">
        <v>0</v>
      </c>
      <c r="V317" s="133">
        <v>0</v>
      </c>
      <c r="W317" s="133">
        <v>0.25800000000000001</v>
      </c>
      <c r="X317" s="133">
        <v>0</v>
      </c>
      <c r="Y317" s="133">
        <v>5.2</v>
      </c>
      <c r="Z317" s="133">
        <v>0</v>
      </c>
      <c r="AA317" s="133">
        <v>0</v>
      </c>
      <c r="AB317" s="133">
        <v>0</v>
      </c>
      <c r="AC317" s="133">
        <v>0</v>
      </c>
      <c r="AD317" s="133">
        <v>0</v>
      </c>
      <c r="AE317" s="133">
        <v>0</v>
      </c>
      <c r="AF317" s="133">
        <v>0</v>
      </c>
      <c r="AG317" s="133">
        <v>33.808000000000007</v>
      </c>
    </row>
    <row r="318" spans="1:33" x14ac:dyDescent="0.45">
      <c r="A318" s="134" t="s">
        <v>386</v>
      </c>
      <c r="B318" s="130"/>
      <c r="C318" s="133">
        <v>0</v>
      </c>
      <c r="D318" s="133">
        <v>0</v>
      </c>
      <c r="E318" s="135">
        <v>0</v>
      </c>
      <c r="F318" s="133">
        <v>0</v>
      </c>
      <c r="G318" s="133">
        <v>0</v>
      </c>
      <c r="H318" s="133">
        <v>0</v>
      </c>
      <c r="I318" s="133">
        <v>0</v>
      </c>
      <c r="J318" s="133">
        <v>0</v>
      </c>
      <c r="K318" s="133">
        <v>0</v>
      </c>
      <c r="L318" s="133">
        <v>0</v>
      </c>
      <c r="M318" s="133">
        <v>0</v>
      </c>
      <c r="N318" s="133">
        <v>0</v>
      </c>
      <c r="O318" s="133">
        <v>0</v>
      </c>
      <c r="P318" s="133">
        <v>0</v>
      </c>
      <c r="Q318" s="133">
        <v>0</v>
      </c>
      <c r="R318" s="133">
        <v>0</v>
      </c>
      <c r="S318" s="133">
        <v>0</v>
      </c>
      <c r="T318" s="133">
        <v>0</v>
      </c>
      <c r="U318" s="133">
        <v>0</v>
      </c>
      <c r="V318" s="133">
        <v>0</v>
      </c>
      <c r="W318" s="133">
        <v>1E-8</v>
      </c>
      <c r="X318" s="133">
        <v>0</v>
      </c>
      <c r="Y318" s="133">
        <v>0</v>
      </c>
      <c r="Z318" s="133">
        <v>0</v>
      </c>
      <c r="AA318" s="133">
        <v>0</v>
      </c>
      <c r="AB318" s="133">
        <v>0</v>
      </c>
      <c r="AC318" s="133">
        <v>0</v>
      </c>
      <c r="AD318" s="133">
        <v>0</v>
      </c>
      <c r="AE318" s="133">
        <v>0</v>
      </c>
      <c r="AF318" s="133">
        <v>0</v>
      </c>
      <c r="AG318" s="133">
        <v>1E-8</v>
      </c>
    </row>
    <row r="319" spans="1:33" x14ac:dyDescent="0.45">
      <c r="B319" s="130" t="s">
        <v>385</v>
      </c>
      <c r="C319" s="133">
        <v>0</v>
      </c>
      <c r="D319" s="133">
        <v>0</v>
      </c>
      <c r="E319" s="133">
        <v>0</v>
      </c>
      <c r="F319" s="133">
        <v>0</v>
      </c>
      <c r="G319" s="133">
        <v>0</v>
      </c>
      <c r="H319" s="133">
        <v>0</v>
      </c>
      <c r="I319" s="133">
        <v>0</v>
      </c>
      <c r="J319" s="133">
        <v>0</v>
      </c>
      <c r="K319" s="133">
        <v>0</v>
      </c>
      <c r="L319" s="133">
        <v>0</v>
      </c>
      <c r="M319" s="133">
        <v>0</v>
      </c>
      <c r="N319" s="133">
        <v>0</v>
      </c>
      <c r="O319" s="133">
        <v>0</v>
      </c>
      <c r="P319" s="133">
        <v>0</v>
      </c>
      <c r="Q319" s="133">
        <v>0</v>
      </c>
      <c r="R319" s="133">
        <v>0</v>
      </c>
      <c r="S319" s="133">
        <v>0</v>
      </c>
      <c r="T319" s="133">
        <v>0</v>
      </c>
      <c r="U319" s="133">
        <v>0</v>
      </c>
      <c r="V319" s="133">
        <v>0</v>
      </c>
      <c r="W319" s="133">
        <v>1E-8</v>
      </c>
      <c r="X319" s="133">
        <v>0</v>
      </c>
      <c r="Y319" s="133">
        <v>0</v>
      </c>
      <c r="Z319" s="133">
        <v>0</v>
      </c>
      <c r="AA319" s="133">
        <v>0</v>
      </c>
      <c r="AB319" s="133">
        <v>0</v>
      </c>
      <c r="AC319" s="133">
        <v>0</v>
      </c>
      <c r="AD319" s="133">
        <v>0</v>
      </c>
      <c r="AE319" s="133">
        <v>0</v>
      </c>
      <c r="AF319" s="133">
        <v>0</v>
      </c>
      <c r="AG319" s="133">
        <v>1E-8</v>
      </c>
    </row>
    <row r="320" spans="1:33" x14ac:dyDescent="0.45">
      <c r="A320" s="126" t="s">
        <v>4</v>
      </c>
      <c r="B320" s="129"/>
      <c r="C320" s="129">
        <v>0</v>
      </c>
      <c r="D320" s="129">
        <v>0</v>
      </c>
      <c r="E320" s="129">
        <v>0</v>
      </c>
      <c r="F320" s="129">
        <v>0</v>
      </c>
      <c r="G320" s="129">
        <v>0</v>
      </c>
      <c r="H320" s="129">
        <v>0</v>
      </c>
      <c r="I320" s="129">
        <v>0</v>
      </c>
      <c r="J320" s="129">
        <v>0</v>
      </c>
      <c r="K320" s="129">
        <v>0</v>
      </c>
      <c r="L320" s="129">
        <v>0</v>
      </c>
      <c r="M320" s="129">
        <v>0</v>
      </c>
      <c r="N320" s="129">
        <v>0</v>
      </c>
      <c r="O320" s="129">
        <v>0</v>
      </c>
      <c r="P320" s="129">
        <v>0</v>
      </c>
      <c r="Q320" s="129">
        <v>0</v>
      </c>
      <c r="R320" s="129">
        <v>0</v>
      </c>
      <c r="S320" s="129">
        <v>0</v>
      </c>
      <c r="T320" s="129">
        <v>0</v>
      </c>
      <c r="U320" s="129">
        <v>0</v>
      </c>
      <c r="V320" s="129">
        <v>0</v>
      </c>
      <c r="W320" s="129">
        <v>0</v>
      </c>
      <c r="X320" s="129">
        <v>0</v>
      </c>
      <c r="Y320" s="129">
        <v>0</v>
      </c>
      <c r="Z320" s="129">
        <v>0</v>
      </c>
      <c r="AA320" s="129">
        <v>0</v>
      </c>
      <c r="AB320" s="129">
        <v>0</v>
      </c>
      <c r="AC320" s="129">
        <v>0</v>
      </c>
      <c r="AD320" s="129">
        <v>0</v>
      </c>
      <c r="AE320" s="129">
        <v>0</v>
      </c>
      <c r="AF320" s="129">
        <v>0</v>
      </c>
      <c r="AG320" s="129">
        <v>0</v>
      </c>
    </row>
    <row r="321" spans="1:33" x14ac:dyDescent="0.45">
      <c r="B321" s="130" t="s">
        <v>383</v>
      </c>
      <c r="C321" s="133">
        <v>0</v>
      </c>
      <c r="D321" s="133">
        <v>0</v>
      </c>
      <c r="E321" s="133">
        <v>0</v>
      </c>
      <c r="F321" s="133">
        <v>0</v>
      </c>
      <c r="G321" s="133">
        <v>0</v>
      </c>
      <c r="H321" s="133">
        <v>0</v>
      </c>
      <c r="I321" s="133">
        <v>0</v>
      </c>
      <c r="J321" s="133">
        <v>0</v>
      </c>
      <c r="K321" s="133">
        <v>0</v>
      </c>
      <c r="L321" s="133">
        <v>0</v>
      </c>
      <c r="M321" s="133">
        <v>0</v>
      </c>
      <c r="N321" s="133">
        <v>0</v>
      </c>
      <c r="O321" s="133">
        <v>0</v>
      </c>
      <c r="P321" s="133">
        <v>0</v>
      </c>
      <c r="Q321" s="133">
        <v>0</v>
      </c>
      <c r="R321" s="133">
        <v>0</v>
      </c>
      <c r="S321" s="133">
        <v>0</v>
      </c>
      <c r="T321" s="133">
        <v>0</v>
      </c>
      <c r="U321" s="133">
        <v>0</v>
      </c>
      <c r="V321" s="133">
        <v>0</v>
      </c>
      <c r="W321" s="133">
        <v>0</v>
      </c>
      <c r="X321" s="133">
        <v>0</v>
      </c>
      <c r="Y321" s="133">
        <v>0</v>
      </c>
      <c r="Z321" s="133">
        <v>0</v>
      </c>
      <c r="AA321" s="133">
        <v>0</v>
      </c>
      <c r="AB321" s="133">
        <v>0</v>
      </c>
      <c r="AC321" s="133">
        <v>0</v>
      </c>
      <c r="AD321" s="133">
        <v>0</v>
      </c>
      <c r="AE321" s="133">
        <v>0</v>
      </c>
      <c r="AF321" s="133">
        <v>0</v>
      </c>
      <c r="AG321" s="133">
        <v>0</v>
      </c>
    </row>
    <row r="322" spans="1:33" x14ac:dyDescent="0.45">
      <c r="A322" s="126"/>
      <c r="B322" s="129" t="s">
        <v>382</v>
      </c>
      <c r="C322" s="129">
        <v>0</v>
      </c>
      <c r="D322" s="129">
        <v>0</v>
      </c>
      <c r="E322" s="129">
        <v>0</v>
      </c>
      <c r="F322" s="129">
        <v>0</v>
      </c>
      <c r="G322" s="129">
        <v>0</v>
      </c>
      <c r="H322" s="129">
        <v>0</v>
      </c>
      <c r="I322" s="129">
        <v>0</v>
      </c>
      <c r="J322" s="129">
        <v>0</v>
      </c>
      <c r="K322" s="129">
        <v>0</v>
      </c>
      <c r="L322" s="129">
        <v>0</v>
      </c>
      <c r="M322" s="129">
        <v>0</v>
      </c>
      <c r="N322" s="129">
        <v>0</v>
      </c>
      <c r="O322" s="129">
        <v>0</v>
      </c>
      <c r="P322" s="129">
        <v>0</v>
      </c>
      <c r="Q322" s="129">
        <v>0</v>
      </c>
      <c r="R322" s="129">
        <v>0</v>
      </c>
      <c r="S322" s="129">
        <v>0</v>
      </c>
      <c r="T322" s="129">
        <v>0</v>
      </c>
      <c r="U322" s="129">
        <v>0</v>
      </c>
      <c r="V322" s="129">
        <v>0</v>
      </c>
      <c r="W322" s="129">
        <v>0</v>
      </c>
      <c r="X322" s="129">
        <v>0</v>
      </c>
      <c r="Y322" s="129">
        <v>0</v>
      </c>
      <c r="Z322" s="129">
        <v>0</v>
      </c>
      <c r="AA322" s="129">
        <v>0</v>
      </c>
      <c r="AB322" s="129">
        <v>0</v>
      </c>
      <c r="AC322" s="129">
        <v>0</v>
      </c>
      <c r="AD322" s="129">
        <v>0</v>
      </c>
      <c r="AE322" s="129">
        <v>0</v>
      </c>
      <c r="AF322" s="129">
        <v>0</v>
      </c>
      <c r="AG322" s="129">
        <v>0</v>
      </c>
    </row>
    <row r="323" spans="1:33" x14ac:dyDescent="0.45">
      <c r="B323" s="130" t="s">
        <v>5</v>
      </c>
      <c r="C323" s="133">
        <v>0</v>
      </c>
      <c r="D323" s="133">
        <v>0</v>
      </c>
      <c r="E323" s="133">
        <v>0</v>
      </c>
      <c r="F323" s="133">
        <v>0</v>
      </c>
      <c r="G323" s="133">
        <v>0</v>
      </c>
      <c r="H323" s="133">
        <v>0</v>
      </c>
      <c r="I323" s="133">
        <v>0</v>
      </c>
      <c r="J323" s="133">
        <v>0</v>
      </c>
      <c r="K323" s="133">
        <v>0</v>
      </c>
      <c r="L323" s="133">
        <v>0</v>
      </c>
      <c r="M323" s="133">
        <v>0</v>
      </c>
      <c r="N323" s="133">
        <v>0</v>
      </c>
      <c r="O323" s="133">
        <v>0</v>
      </c>
      <c r="P323" s="133">
        <v>0</v>
      </c>
      <c r="Q323" s="133">
        <v>0</v>
      </c>
      <c r="R323" s="133">
        <v>0</v>
      </c>
      <c r="S323" s="133">
        <v>0</v>
      </c>
      <c r="T323" s="133">
        <v>0</v>
      </c>
      <c r="U323" s="133">
        <v>0</v>
      </c>
      <c r="V323" s="133">
        <v>0</v>
      </c>
      <c r="W323" s="133">
        <v>0</v>
      </c>
      <c r="X323" s="133">
        <v>0</v>
      </c>
      <c r="Y323" s="133">
        <v>0</v>
      </c>
      <c r="Z323" s="133">
        <v>0</v>
      </c>
      <c r="AA323" s="133">
        <v>0</v>
      </c>
      <c r="AB323" s="133">
        <v>0</v>
      </c>
      <c r="AC323" s="133">
        <v>0</v>
      </c>
      <c r="AD323" s="133">
        <v>0</v>
      </c>
      <c r="AE323" s="133">
        <v>0</v>
      </c>
      <c r="AF323" s="133">
        <v>0</v>
      </c>
      <c r="AG323" s="133">
        <v>0</v>
      </c>
    </row>
    <row r="324" spans="1:33" x14ac:dyDescent="0.45">
      <c r="A324" s="126" t="s">
        <v>381</v>
      </c>
      <c r="B324" s="129"/>
      <c r="C324" s="129">
        <v>0</v>
      </c>
      <c r="D324" s="129">
        <v>0</v>
      </c>
      <c r="E324" s="129">
        <v>0</v>
      </c>
      <c r="F324" s="129">
        <v>8.59</v>
      </c>
      <c r="G324" s="129">
        <v>0</v>
      </c>
      <c r="H324" s="129">
        <v>0</v>
      </c>
      <c r="I324" s="129">
        <v>0</v>
      </c>
      <c r="J324" s="129">
        <v>0.02</v>
      </c>
      <c r="K324" s="129">
        <v>0</v>
      </c>
      <c r="L324" s="129">
        <v>0</v>
      </c>
      <c r="M324" s="129">
        <v>0.85299999999999998</v>
      </c>
      <c r="N324" s="129">
        <v>0</v>
      </c>
      <c r="O324" s="129">
        <v>0</v>
      </c>
      <c r="P324" s="129">
        <v>9.0609999999999999</v>
      </c>
      <c r="Q324" s="129">
        <v>0</v>
      </c>
      <c r="R324" s="129">
        <v>18.704000000000001</v>
      </c>
      <c r="S324" s="129">
        <v>4.4980000000000002</v>
      </c>
      <c r="T324" s="129">
        <v>0</v>
      </c>
      <c r="U324" s="129">
        <v>0</v>
      </c>
      <c r="V324" s="129">
        <v>0</v>
      </c>
      <c r="W324" s="129">
        <v>1.0289999999999999</v>
      </c>
      <c r="X324" s="129">
        <v>0</v>
      </c>
      <c r="Y324" s="129">
        <v>0</v>
      </c>
      <c r="Z324" s="129">
        <v>0</v>
      </c>
      <c r="AA324" s="129">
        <v>0</v>
      </c>
      <c r="AB324" s="129">
        <v>0</v>
      </c>
      <c r="AC324" s="129">
        <v>0</v>
      </c>
      <c r="AD324" s="129">
        <v>0</v>
      </c>
      <c r="AE324" s="129">
        <v>0</v>
      </c>
      <c r="AF324" s="129">
        <v>16.760999999999999</v>
      </c>
      <c r="AG324" s="129">
        <v>59.516000000000005</v>
      </c>
    </row>
    <row r="325" spans="1:33" x14ac:dyDescent="0.45">
      <c r="B325" s="130" t="s">
        <v>380</v>
      </c>
      <c r="C325" s="133">
        <v>0</v>
      </c>
      <c r="D325" s="133">
        <v>0</v>
      </c>
      <c r="E325" s="133">
        <v>0</v>
      </c>
      <c r="F325" s="133">
        <v>8.59</v>
      </c>
      <c r="G325" s="133">
        <v>0</v>
      </c>
      <c r="H325" s="133">
        <v>0</v>
      </c>
      <c r="I325" s="133">
        <v>0</v>
      </c>
      <c r="J325" s="133">
        <v>0.02</v>
      </c>
      <c r="K325" s="133">
        <v>0</v>
      </c>
      <c r="L325" s="133">
        <v>0</v>
      </c>
      <c r="M325" s="133">
        <v>0.85299999999999998</v>
      </c>
      <c r="N325" s="133">
        <v>0</v>
      </c>
      <c r="O325" s="133">
        <v>0</v>
      </c>
      <c r="P325" s="133">
        <v>9.0609999999999999</v>
      </c>
      <c r="Q325" s="133">
        <v>0</v>
      </c>
      <c r="R325" s="133">
        <v>18.704000000000001</v>
      </c>
      <c r="S325" s="133">
        <v>4.4980000000000002</v>
      </c>
      <c r="T325" s="133">
        <v>0</v>
      </c>
      <c r="U325" s="133">
        <v>0</v>
      </c>
      <c r="V325" s="133">
        <v>0</v>
      </c>
      <c r="W325" s="133">
        <v>1.0289999999999999</v>
      </c>
      <c r="X325" s="133">
        <v>0</v>
      </c>
      <c r="Y325" s="133">
        <v>0</v>
      </c>
      <c r="Z325" s="133">
        <v>0</v>
      </c>
      <c r="AA325" s="133">
        <v>0</v>
      </c>
      <c r="AB325" s="133">
        <v>0</v>
      </c>
      <c r="AC325" s="133">
        <v>0</v>
      </c>
      <c r="AD325" s="133">
        <v>0</v>
      </c>
      <c r="AE325" s="133">
        <v>0</v>
      </c>
      <c r="AF325" s="133">
        <v>16.760999999999999</v>
      </c>
      <c r="AG325" s="133">
        <v>59.516000000000005</v>
      </c>
    </row>
    <row r="326" spans="1:33" x14ac:dyDescent="0.45">
      <c r="A326" s="134" t="s">
        <v>376</v>
      </c>
      <c r="B326" s="130"/>
      <c r="C326" s="133">
        <v>0</v>
      </c>
      <c r="D326" s="133">
        <v>0</v>
      </c>
      <c r="E326" s="133">
        <v>0</v>
      </c>
      <c r="F326" s="133">
        <v>0</v>
      </c>
      <c r="G326" s="133">
        <v>0</v>
      </c>
      <c r="H326" s="133">
        <v>0</v>
      </c>
      <c r="I326" s="133">
        <v>6.8000000000000005E-2</v>
      </c>
      <c r="J326" s="133">
        <v>2.379</v>
      </c>
      <c r="K326" s="133">
        <v>0</v>
      </c>
      <c r="L326" s="133">
        <v>0</v>
      </c>
      <c r="M326" s="133">
        <v>0</v>
      </c>
      <c r="N326" s="133">
        <v>0</v>
      </c>
      <c r="O326" s="133">
        <v>0</v>
      </c>
      <c r="P326" s="133">
        <v>0</v>
      </c>
      <c r="Q326" s="133">
        <v>300</v>
      </c>
      <c r="R326" s="133">
        <v>0</v>
      </c>
      <c r="S326" s="133">
        <v>0</v>
      </c>
      <c r="T326" s="133">
        <v>0</v>
      </c>
      <c r="U326" s="133">
        <v>0</v>
      </c>
      <c r="V326" s="133">
        <v>0</v>
      </c>
      <c r="W326" s="133">
        <v>2.9453</v>
      </c>
      <c r="X326" s="133">
        <v>0</v>
      </c>
      <c r="Y326" s="133">
        <v>10.041</v>
      </c>
      <c r="Z326" s="133">
        <v>0</v>
      </c>
      <c r="AA326" s="133">
        <v>0</v>
      </c>
      <c r="AB326" s="133">
        <v>0</v>
      </c>
      <c r="AC326" s="133">
        <v>0</v>
      </c>
      <c r="AD326" s="133">
        <v>1.63</v>
      </c>
      <c r="AE326" s="133">
        <v>0</v>
      </c>
      <c r="AF326" s="133">
        <v>2.0470600000000001</v>
      </c>
      <c r="AG326" s="133">
        <v>319.11036000000001</v>
      </c>
    </row>
    <row r="327" spans="1:33" x14ac:dyDescent="0.45">
      <c r="A327" s="126"/>
      <c r="B327" s="129" t="s">
        <v>379</v>
      </c>
      <c r="C327" s="129">
        <v>0</v>
      </c>
      <c r="D327" s="129">
        <v>0</v>
      </c>
      <c r="E327" s="129">
        <v>0</v>
      </c>
      <c r="F327" s="129">
        <v>0</v>
      </c>
      <c r="G327" s="129">
        <v>0</v>
      </c>
      <c r="H327" s="129">
        <v>0</v>
      </c>
      <c r="I327" s="129">
        <v>0</v>
      </c>
      <c r="J327" s="129">
        <v>1.4999999999999999E-2</v>
      </c>
      <c r="K327" s="129">
        <v>0</v>
      </c>
      <c r="L327" s="129">
        <v>0</v>
      </c>
      <c r="M327" s="129">
        <v>0</v>
      </c>
      <c r="N327" s="129">
        <v>0</v>
      </c>
      <c r="O327" s="129">
        <v>0</v>
      </c>
      <c r="P327" s="129">
        <v>0</v>
      </c>
      <c r="Q327" s="129">
        <v>0</v>
      </c>
      <c r="R327" s="129">
        <v>0</v>
      </c>
      <c r="S327" s="129">
        <v>0</v>
      </c>
      <c r="T327" s="129">
        <v>0</v>
      </c>
      <c r="U327" s="129">
        <v>0</v>
      </c>
      <c r="V327" s="129">
        <v>0</v>
      </c>
      <c r="W327" s="129">
        <v>0.6</v>
      </c>
      <c r="X327" s="129">
        <v>0</v>
      </c>
      <c r="Y327" s="129">
        <v>7.69</v>
      </c>
      <c r="Z327" s="129">
        <v>0</v>
      </c>
      <c r="AA327" s="129">
        <v>0</v>
      </c>
      <c r="AB327" s="129">
        <v>0</v>
      </c>
      <c r="AC327" s="129">
        <v>0</v>
      </c>
      <c r="AD327" s="129">
        <v>0</v>
      </c>
      <c r="AE327" s="129">
        <v>0</v>
      </c>
      <c r="AF327" s="129">
        <v>0</v>
      </c>
      <c r="AG327" s="129">
        <v>8.3049999999999997</v>
      </c>
    </row>
    <row r="328" spans="1:33" x14ac:dyDescent="0.45">
      <c r="B328" s="130" t="s">
        <v>378</v>
      </c>
      <c r="C328" s="133">
        <v>0</v>
      </c>
      <c r="D328" s="133">
        <v>0</v>
      </c>
      <c r="E328" s="133">
        <v>0</v>
      </c>
      <c r="F328" s="133">
        <v>0</v>
      </c>
      <c r="G328" s="133">
        <v>0</v>
      </c>
      <c r="H328" s="133">
        <v>0</v>
      </c>
      <c r="I328" s="133">
        <v>0</v>
      </c>
      <c r="J328" s="133">
        <v>2.2799999999999998</v>
      </c>
      <c r="K328" s="133">
        <v>0</v>
      </c>
      <c r="L328" s="133">
        <v>0</v>
      </c>
      <c r="M328" s="133">
        <v>0</v>
      </c>
      <c r="N328" s="133">
        <v>0</v>
      </c>
      <c r="O328" s="133">
        <v>0</v>
      </c>
      <c r="P328" s="133">
        <v>0</v>
      </c>
      <c r="Q328" s="133">
        <v>300</v>
      </c>
      <c r="R328" s="133">
        <v>0</v>
      </c>
      <c r="S328" s="133">
        <v>0</v>
      </c>
      <c r="T328" s="133">
        <v>0</v>
      </c>
      <c r="U328" s="133">
        <v>0</v>
      </c>
      <c r="V328" s="133">
        <v>0</v>
      </c>
      <c r="W328" s="133">
        <v>2</v>
      </c>
      <c r="X328" s="133">
        <v>0</v>
      </c>
      <c r="Y328" s="133">
        <v>0</v>
      </c>
      <c r="Z328" s="133">
        <v>0</v>
      </c>
      <c r="AA328" s="133">
        <v>0</v>
      </c>
      <c r="AB328" s="133">
        <v>0</v>
      </c>
      <c r="AC328" s="133">
        <v>0</v>
      </c>
      <c r="AD328" s="133">
        <v>1.63</v>
      </c>
      <c r="AE328" s="133">
        <v>0</v>
      </c>
      <c r="AF328" s="133">
        <v>0</v>
      </c>
      <c r="AG328" s="133">
        <v>305.91000000000003</v>
      </c>
    </row>
    <row r="329" spans="1:33" x14ac:dyDescent="0.45">
      <c r="A329" s="126"/>
      <c r="B329" s="129" t="s">
        <v>377</v>
      </c>
      <c r="C329" s="129">
        <v>0</v>
      </c>
      <c r="D329" s="129">
        <v>0</v>
      </c>
      <c r="E329" s="129">
        <v>0</v>
      </c>
      <c r="F329" s="129">
        <v>0</v>
      </c>
      <c r="G329" s="129">
        <v>0</v>
      </c>
      <c r="H329" s="129">
        <v>0</v>
      </c>
      <c r="I329" s="129">
        <v>0</v>
      </c>
      <c r="J329" s="129">
        <v>0</v>
      </c>
      <c r="K329" s="129">
        <v>0</v>
      </c>
      <c r="L329" s="129">
        <v>0</v>
      </c>
      <c r="M329" s="129">
        <v>0</v>
      </c>
      <c r="N329" s="129">
        <v>0</v>
      </c>
      <c r="O329" s="129">
        <v>0</v>
      </c>
      <c r="P329" s="129">
        <v>0</v>
      </c>
      <c r="Q329" s="129">
        <v>0</v>
      </c>
      <c r="R329" s="129">
        <v>0</v>
      </c>
      <c r="S329" s="129">
        <v>0</v>
      </c>
      <c r="T329" s="129">
        <v>0</v>
      </c>
      <c r="U329" s="129">
        <v>0</v>
      </c>
      <c r="V329" s="129">
        <v>0</v>
      </c>
      <c r="W329" s="129">
        <v>4.53E-2</v>
      </c>
      <c r="X329" s="129">
        <v>0</v>
      </c>
      <c r="Y329" s="129">
        <v>0</v>
      </c>
      <c r="Z329" s="129">
        <v>0</v>
      </c>
      <c r="AA329" s="129">
        <v>0</v>
      </c>
      <c r="AB329" s="129">
        <v>0</v>
      </c>
      <c r="AC329" s="129">
        <v>0</v>
      </c>
      <c r="AD329" s="129">
        <v>0</v>
      </c>
      <c r="AE329" s="129">
        <v>0</v>
      </c>
      <c r="AF329" s="129">
        <v>2.0470600000000001</v>
      </c>
      <c r="AG329" s="129">
        <v>2.0923600000000002</v>
      </c>
    </row>
    <row r="330" spans="1:33" x14ac:dyDescent="0.45">
      <c r="B330" s="130" t="s">
        <v>375</v>
      </c>
      <c r="C330" s="133">
        <v>0</v>
      </c>
      <c r="D330" s="133">
        <v>0</v>
      </c>
      <c r="E330" s="133">
        <v>0</v>
      </c>
      <c r="F330" s="133">
        <v>0</v>
      </c>
      <c r="G330" s="133">
        <v>0</v>
      </c>
      <c r="H330" s="133">
        <v>0</v>
      </c>
      <c r="I330" s="133">
        <v>6.8000000000000005E-2</v>
      </c>
      <c r="J330" s="133">
        <v>8.4000000000000005E-2</v>
      </c>
      <c r="K330" s="133">
        <v>0</v>
      </c>
      <c r="L330" s="133">
        <v>0</v>
      </c>
      <c r="M330" s="133">
        <v>0</v>
      </c>
      <c r="N330" s="133">
        <v>0</v>
      </c>
      <c r="O330" s="133">
        <v>0</v>
      </c>
      <c r="P330" s="133">
        <v>0</v>
      </c>
      <c r="Q330" s="133">
        <v>0</v>
      </c>
      <c r="R330" s="133">
        <v>0</v>
      </c>
      <c r="S330" s="133">
        <v>0</v>
      </c>
      <c r="T330" s="133">
        <v>0</v>
      </c>
      <c r="U330" s="133">
        <v>0</v>
      </c>
      <c r="V330" s="133">
        <v>0</v>
      </c>
      <c r="W330" s="133">
        <v>0.3</v>
      </c>
      <c r="X330" s="133">
        <v>0</v>
      </c>
      <c r="Y330" s="133">
        <v>2.351</v>
      </c>
      <c r="Z330" s="133">
        <v>0</v>
      </c>
      <c r="AA330" s="133">
        <v>0</v>
      </c>
      <c r="AB330" s="133">
        <v>0</v>
      </c>
      <c r="AC330" s="133">
        <v>0</v>
      </c>
      <c r="AD330" s="133">
        <v>0</v>
      </c>
      <c r="AE330" s="133">
        <v>0</v>
      </c>
      <c r="AF330" s="133">
        <v>0</v>
      </c>
      <c r="AG330" s="133">
        <v>2.8029999999999999</v>
      </c>
    </row>
    <row r="331" spans="1:33" x14ac:dyDescent="0.45">
      <c r="A331" s="126" t="s">
        <v>374</v>
      </c>
      <c r="B331" s="129"/>
      <c r="C331" s="129">
        <v>0</v>
      </c>
      <c r="D331" s="129">
        <v>0</v>
      </c>
      <c r="E331" s="129">
        <v>0</v>
      </c>
      <c r="F331" s="129">
        <v>0</v>
      </c>
      <c r="G331" s="129">
        <v>0</v>
      </c>
      <c r="H331" s="129">
        <v>0</v>
      </c>
      <c r="I331" s="129">
        <v>0</v>
      </c>
      <c r="J331" s="129">
        <v>0</v>
      </c>
      <c r="K331" s="129">
        <v>0</v>
      </c>
      <c r="L331" s="129">
        <v>0</v>
      </c>
      <c r="M331" s="129">
        <v>0</v>
      </c>
      <c r="N331" s="129">
        <v>0</v>
      </c>
      <c r="O331" s="129">
        <v>0</v>
      </c>
      <c r="P331" s="129">
        <v>0</v>
      </c>
      <c r="Q331" s="129">
        <v>0</v>
      </c>
      <c r="R331" s="129">
        <v>0</v>
      </c>
      <c r="S331" s="129">
        <v>0</v>
      </c>
      <c r="T331" s="129">
        <v>0</v>
      </c>
      <c r="U331" s="129">
        <v>0</v>
      </c>
      <c r="V331" s="129">
        <v>0</v>
      </c>
      <c r="W331" s="129">
        <v>0</v>
      </c>
      <c r="X331" s="129">
        <v>0</v>
      </c>
      <c r="Y331" s="129">
        <v>0</v>
      </c>
      <c r="Z331" s="129">
        <v>0</v>
      </c>
      <c r="AA331" s="129">
        <v>0</v>
      </c>
      <c r="AB331" s="129">
        <v>0</v>
      </c>
      <c r="AC331" s="129">
        <v>0</v>
      </c>
      <c r="AD331" s="129">
        <v>0</v>
      </c>
      <c r="AE331" s="129">
        <v>0</v>
      </c>
      <c r="AF331" s="129">
        <v>0</v>
      </c>
      <c r="AG331" s="129">
        <v>0</v>
      </c>
    </row>
    <row r="332" spans="1:33" x14ac:dyDescent="0.45">
      <c r="B332" s="130" t="s">
        <v>373</v>
      </c>
      <c r="C332" s="133">
        <v>0</v>
      </c>
      <c r="D332" s="133">
        <v>0</v>
      </c>
      <c r="E332" s="133">
        <v>0</v>
      </c>
      <c r="F332" s="133">
        <v>0</v>
      </c>
      <c r="G332" s="133">
        <v>0</v>
      </c>
      <c r="H332" s="133">
        <v>0</v>
      </c>
      <c r="I332" s="133">
        <v>0</v>
      </c>
      <c r="J332" s="133">
        <v>0</v>
      </c>
      <c r="K332" s="133">
        <v>0</v>
      </c>
      <c r="L332" s="133">
        <v>0</v>
      </c>
      <c r="M332" s="133">
        <v>0</v>
      </c>
      <c r="N332" s="133">
        <v>0</v>
      </c>
      <c r="O332" s="133">
        <v>0</v>
      </c>
      <c r="P332" s="133">
        <v>0</v>
      </c>
      <c r="Q332" s="133">
        <v>0</v>
      </c>
      <c r="R332" s="133">
        <v>0</v>
      </c>
      <c r="S332" s="133">
        <v>0</v>
      </c>
      <c r="T332" s="133">
        <v>0</v>
      </c>
      <c r="U332" s="133">
        <v>0</v>
      </c>
      <c r="V332" s="133">
        <v>0</v>
      </c>
      <c r="W332" s="133">
        <v>0</v>
      </c>
      <c r="X332" s="133">
        <v>0</v>
      </c>
      <c r="Y332" s="133">
        <v>0</v>
      </c>
      <c r="Z332" s="133">
        <v>0</v>
      </c>
      <c r="AA332" s="133">
        <v>0</v>
      </c>
      <c r="AB332" s="133">
        <v>0</v>
      </c>
      <c r="AC332" s="133">
        <v>0</v>
      </c>
      <c r="AD332" s="133">
        <v>0</v>
      </c>
      <c r="AE332" s="133">
        <v>0</v>
      </c>
      <c r="AF332" s="133">
        <v>0</v>
      </c>
      <c r="AG332" s="133">
        <v>0</v>
      </c>
    </row>
    <row r="333" spans="1:33" x14ac:dyDescent="0.45">
      <c r="A333" s="126" t="s">
        <v>371</v>
      </c>
      <c r="B333" s="129"/>
      <c r="C333" s="129">
        <v>0</v>
      </c>
      <c r="D333" s="129">
        <v>0</v>
      </c>
      <c r="E333" s="129">
        <v>0</v>
      </c>
      <c r="F333" s="129">
        <v>38.7363</v>
      </c>
      <c r="G333" s="129">
        <v>0</v>
      </c>
      <c r="H333" s="129">
        <v>0</v>
      </c>
      <c r="I333" s="129">
        <v>0</v>
      </c>
      <c r="J333" s="129">
        <v>1.5</v>
      </c>
      <c r="K333" s="129">
        <v>0</v>
      </c>
      <c r="L333" s="129">
        <v>0</v>
      </c>
      <c r="M333" s="129">
        <v>29.0732</v>
      </c>
      <c r="N333" s="129">
        <v>0</v>
      </c>
      <c r="O333" s="129">
        <v>0</v>
      </c>
      <c r="P333" s="129">
        <v>5.0999999999999996</v>
      </c>
      <c r="Q333" s="129">
        <v>0</v>
      </c>
      <c r="R333" s="129">
        <v>0</v>
      </c>
      <c r="S333" s="129">
        <v>29.0732</v>
      </c>
      <c r="T333" s="129">
        <v>0</v>
      </c>
      <c r="U333" s="129">
        <v>0</v>
      </c>
      <c r="V333" s="129">
        <v>0</v>
      </c>
      <c r="W333" s="129">
        <v>3.19055</v>
      </c>
      <c r="X333" s="129">
        <v>34.6</v>
      </c>
      <c r="Y333" s="129">
        <v>2.8</v>
      </c>
      <c r="Z333" s="129">
        <v>0</v>
      </c>
      <c r="AA333" s="129">
        <v>0</v>
      </c>
      <c r="AB333" s="129">
        <v>0</v>
      </c>
      <c r="AC333" s="129">
        <v>0</v>
      </c>
      <c r="AD333" s="129">
        <v>0</v>
      </c>
      <c r="AE333" s="129">
        <v>0</v>
      </c>
      <c r="AF333" s="129">
        <v>0</v>
      </c>
      <c r="AG333" s="129">
        <v>144.07325</v>
      </c>
    </row>
    <row r="334" spans="1:33" x14ac:dyDescent="0.45">
      <c r="B334" s="130" t="s">
        <v>372</v>
      </c>
      <c r="C334" s="133">
        <v>0</v>
      </c>
      <c r="D334" s="133">
        <v>0</v>
      </c>
      <c r="E334" s="133">
        <v>0</v>
      </c>
      <c r="F334" s="133">
        <v>7</v>
      </c>
      <c r="G334" s="133">
        <v>0</v>
      </c>
      <c r="H334" s="133">
        <v>0</v>
      </c>
      <c r="I334" s="133">
        <v>0</v>
      </c>
      <c r="J334" s="133">
        <v>0.1</v>
      </c>
      <c r="K334" s="133">
        <v>0</v>
      </c>
      <c r="L334" s="133">
        <v>0</v>
      </c>
      <c r="M334" s="133">
        <v>5.3</v>
      </c>
      <c r="N334" s="133">
        <v>0</v>
      </c>
      <c r="O334" s="133">
        <v>0</v>
      </c>
      <c r="P334" s="133">
        <v>0</v>
      </c>
      <c r="Q334" s="133">
        <v>0</v>
      </c>
      <c r="R334" s="133">
        <v>0</v>
      </c>
      <c r="S334" s="133">
        <v>5.3</v>
      </c>
      <c r="T334" s="133">
        <v>0</v>
      </c>
      <c r="U334" s="133">
        <v>0</v>
      </c>
      <c r="V334" s="133">
        <v>0</v>
      </c>
      <c r="W334" s="133">
        <v>0.42</v>
      </c>
      <c r="X334" s="133">
        <v>0</v>
      </c>
      <c r="Y334" s="133">
        <v>1.7</v>
      </c>
      <c r="Z334" s="133">
        <v>0</v>
      </c>
      <c r="AA334" s="133">
        <v>0</v>
      </c>
      <c r="AB334" s="133">
        <v>0</v>
      </c>
      <c r="AC334" s="133">
        <v>0</v>
      </c>
      <c r="AD334" s="133">
        <v>0</v>
      </c>
      <c r="AE334" s="133">
        <v>0</v>
      </c>
      <c r="AF334" s="133">
        <v>0</v>
      </c>
      <c r="AG334" s="133">
        <v>19.82</v>
      </c>
    </row>
    <row r="335" spans="1:33" x14ac:dyDescent="0.45">
      <c r="A335" s="126"/>
      <c r="B335" s="129" t="s">
        <v>370</v>
      </c>
      <c r="C335" s="129">
        <v>0</v>
      </c>
      <c r="D335" s="129">
        <v>0</v>
      </c>
      <c r="E335" s="129">
        <v>0</v>
      </c>
      <c r="F335" s="129">
        <v>31.7363</v>
      </c>
      <c r="G335" s="129">
        <v>0</v>
      </c>
      <c r="H335" s="129">
        <v>0</v>
      </c>
      <c r="I335" s="129">
        <v>0</v>
      </c>
      <c r="J335" s="129">
        <v>1.4</v>
      </c>
      <c r="K335" s="129">
        <v>0</v>
      </c>
      <c r="L335" s="129">
        <v>0</v>
      </c>
      <c r="M335" s="129">
        <v>23.773199999999999</v>
      </c>
      <c r="N335" s="129">
        <v>0</v>
      </c>
      <c r="O335" s="129">
        <v>0</v>
      </c>
      <c r="P335" s="129">
        <v>5.0999999999999996</v>
      </c>
      <c r="Q335" s="129">
        <v>0</v>
      </c>
      <c r="R335" s="129">
        <v>0</v>
      </c>
      <c r="S335" s="129">
        <v>23.773199999999999</v>
      </c>
      <c r="T335" s="129">
        <v>0</v>
      </c>
      <c r="U335" s="129">
        <v>0</v>
      </c>
      <c r="V335" s="129">
        <v>0</v>
      </c>
      <c r="W335" s="129">
        <v>2.7705500000000001</v>
      </c>
      <c r="X335" s="129">
        <v>34.6</v>
      </c>
      <c r="Y335" s="129">
        <v>1.1000000000000001</v>
      </c>
      <c r="Z335" s="129">
        <v>0</v>
      </c>
      <c r="AA335" s="129">
        <v>0</v>
      </c>
      <c r="AB335" s="129">
        <v>0</v>
      </c>
      <c r="AC335" s="129">
        <v>0</v>
      </c>
      <c r="AD335" s="129">
        <v>0</v>
      </c>
      <c r="AE335" s="129">
        <v>0</v>
      </c>
      <c r="AF335" s="129">
        <v>0</v>
      </c>
      <c r="AG335" s="129">
        <v>124.25324999999999</v>
      </c>
    </row>
    <row r="336" spans="1:33" x14ac:dyDescent="0.45">
      <c r="A336" s="134" t="s">
        <v>369</v>
      </c>
      <c r="B336" s="130"/>
      <c r="C336" s="133">
        <v>0</v>
      </c>
      <c r="D336" s="133">
        <v>0</v>
      </c>
      <c r="E336" s="133">
        <v>0</v>
      </c>
      <c r="F336" s="133">
        <v>23.3</v>
      </c>
      <c r="G336" s="133">
        <v>0</v>
      </c>
      <c r="H336" s="133">
        <v>0</v>
      </c>
      <c r="I336" s="133">
        <v>0</v>
      </c>
      <c r="J336" s="133">
        <v>0</v>
      </c>
      <c r="K336" s="133">
        <v>0</v>
      </c>
      <c r="L336" s="133">
        <v>0.4</v>
      </c>
      <c r="M336" s="133">
        <v>8.5</v>
      </c>
      <c r="N336" s="133">
        <v>0</v>
      </c>
      <c r="O336" s="133">
        <v>0</v>
      </c>
      <c r="P336" s="133">
        <v>8.6999999999999993</v>
      </c>
      <c r="Q336" s="133">
        <v>0</v>
      </c>
      <c r="R336" s="133">
        <v>3.3</v>
      </c>
      <c r="S336" s="133">
        <v>18.8</v>
      </c>
      <c r="T336" s="133">
        <v>0</v>
      </c>
      <c r="U336" s="133">
        <v>0</v>
      </c>
      <c r="V336" s="133">
        <v>0</v>
      </c>
      <c r="W336" s="133">
        <v>1.6</v>
      </c>
      <c r="X336" s="133">
        <v>0</v>
      </c>
      <c r="Y336" s="133">
        <v>0</v>
      </c>
      <c r="Z336" s="133">
        <v>0</v>
      </c>
      <c r="AA336" s="133">
        <v>0</v>
      </c>
      <c r="AB336" s="133">
        <v>0</v>
      </c>
      <c r="AC336" s="133">
        <v>0</v>
      </c>
      <c r="AD336" s="133">
        <v>0</v>
      </c>
      <c r="AE336" s="133">
        <v>0</v>
      </c>
      <c r="AF336" s="133">
        <v>0</v>
      </c>
      <c r="AG336" s="133">
        <v>64.599999999999994</v>
      </c>
    </row>
    <row r="337" spans="1:33" x14ac:dyDescent="0.45">
      <c r="B337" s="130" t="s">
        <v>368</v>
      </c>
      <c r="C337" s="133">
        <v>0</v>
      </c>
      <c r="D337" s="133">
        <v>0</v>
      </c>
      <c r="E337" s="133">
        <v>0</v>
      </c>
      <c r="F337" s="133">
        <v>23.3</v>
      </c>
      <c r="G337" s="133">
        <v>0</v>
      </c>
      <c r="H337" s="133">
        <v>0</v>
      </c>
      <c r="I337" s="133">
        <v>0</v>
      </c>
      <c r="J337" s="133">
        <v>0</v>
      </c>
      <c r="K337" s="133">
        <v>0</v>
      </c>
      <c r="L337" s="133">
        <v>0.4</v>
      </c>
      <c r="M337" s="133">
        <v>8.5</v>
      </c>
      <c r="N337" s="133">
        <v>0</v>
      </c>
      <c r="O337" s="133">
        <v>0</v>
      </c>
      <c r="P337" s="133">
        <v>8.6999999999999993</v>
      </c>
      <c r="Q337" s="133">
        <v>0</v>
      </c>
      <c r="R337" s="133">
        <v>3.3</v>
      </c>
      <c r="S337" s="133">
        <v>18.8</v>
      </c>
      <c r="T337" s="133">
        <v>0</v>
      </c>
      <c r="U337" s="133">
        <v>0</v>
      </c>
      <c r="V337" s="133">
        <v>0</v>
      </c>
      <c r="W337" s="133">
        <v>1.6</v>
      </c>
      <c r="X337" s="133">
        <v>0</v>
      </c>
      <c r="Y337" s="133">
        <v>0</v>
      </c>
      <c r="Z337" s="133">
        <v>0</v>
      </c>
      <c r="AA337" s="133">
        <v>0</v>
      </c>
      <c r="AB337" s="133">
        <v>0</v>
      </c>
      <c r="AC337" s="133">
        <v>0</v>
      </c>
      <c r="AD337" s="133">
        <v>0</v>
      </c>
      <c r="AE337" s="133">
        <v>0</v>
      </c>
      <c r="AF337" s="133">
        <v>0</v>
      </c>
      <c r="AG337" s="133">
        <v>64.599999999999994</v>
      </c>
    </row>
    <row r="338" spans="1:33" x14ac:dyDescent="0.45">
      <c r="A338" s="134" t="s">
        <v>367</v>
      </c>
      <c r="B338" s="130"/>
      <c r="C338" s="133">
        <v>0</v>
      </c>
      <c r="D338" s="133">
        <v>0</v>
      </c>
      <c r="E338" s="133">
        <v>0</v>
      </c>
      <c r="F338" s="133">
        <v>0</v>
      </c>
      <c r="G338" s="133">
        <v>6.0784700000000003</v>
      </c>
      <c r="H338" s="133">
        <v>2.0811999999999999</v>
      </c>
      <c r="I338" s="133">
        <v>0.17779</v>
      </c>
      <c r="J338" s="133">
        <v>0</v>
      </c>
      <c r="K338" s="133">
        <v>0</v>
      </c>
      <c r="L338" s="133">
        <v>0</v>
      </c>
      <c r="M338" s="133">
        <v>34.091799999999999</v>
      </c>
      <c r="N338" s="133">
        <v>0</v>
      </c>
      <c r="O338" s="133">
        <v>3.1898300000000002</v>
      </c>
      <c r="P338" s="133">
        <v>11.9251</v>
      </c>
      <c r="Q338" s="133">
        <v>0</v>
      </c>
      <c r="R338" s="133">
        <v>9.8944899999999993</v>
      </c>
      <c r="S338" s="133">
        <v>35.645400000000002</v>
      </c>
      <c r="T338" s="133">
        <v>0</v>
      </c>
      <c r="U338" s="133">
        <v>0</v>
      </c>
      <c r="V338" s="133">
        <v>0</v>
      </c>
      <c r="W338" s="133">
        <v>3.12012</v>
      </c>
      <c r="X338" s="133">
        <v>0</v>
      </c>
      <c r="Y338" s="133">
        <v>56.333500000000001</v>
      </c>
      <c r="Z338" s="133">
        <v>0</v>
      </c>
      <c r="AA338" s="133">
        <v>0</v>
      </c>
      <c r="AB338" s="133">
        <v>0</v>
      </c>
      <c r="AC338" s="133">
        <v>0</v>
      </c>
      <c r="AD338" s="133">
        <v>0</v>
      </c>
      <c r="AE338" s="133">
        <v>0</v>
      </c>
      <c r="AF338" s="133">
        <v>12.294499999999999</v>
      </c>
      <c r="AG338" s="133">
        <v>174.83219999999997</v>
      </c>
    </row>
    <row r="339" spans="1:33" x14ac:dyDescent="0.45">
      <c r="B339" s="130" t="s">
        <v>366</v>
      </c>
      <c r="C339" s="133">
        <v>0</v>
      </c>
      <c r="D339" s="133">
        <v>0</v>
      </c>
      <c r="E339" s="133">
        <v>0</v>
      </c>
      <c r="F339" s="133">
        <v>0</v>
      </c>
      <c r="G339" s="133">
        <v>6.0784700000000003</v>
      </c>
      <c r="H339" s="133">
        <v>2.0811999999999999</v>
      </c>
      <c r="I339" s="133">
        <v>0.17779</v>
      </c>
      <c r="J339" s="133">
        <v>0</v>
      </c>
      <c r="K339" s="133">
        <v>0</v>
      </c>
      <c r="L339" s="133">
        <v>0</v>
      </c>
      <c r="M339" s="133">
        <v>34.091799999999999</v>
      </c>
      <c r="N339" s="133">
        <v>0</v>
      </c>
      <c r="O339" s="133">
        <v>3.1898300000000002</v>
      </c>
      <c r="P339" s="133">
        <v>11.9251</v>
      </c>
      <c r="Q339" s="133">
        <v>0</v>
      </c>
      <c r="R339" s="133">
        <v>9.8944899999999993</v>
      </c>
      <c r="S339" s="133">
        <v>35.645400000000002</v>
      </c>
      <c r="T339" s="133">
        <v>0</v>
      </c>
      <c r="U339" s="133">
        <v>0</v>
      </c>
      <c r="V339" s="133">
        <v>0</v>
      </c>
      <c r="W339" s="133">
        <v>3.12012</v>
      </c>
      <c r="X339" s="133">
        <v>0</v>
      </c>
      <c r="Y339" s="133">
        <v>56.333500000000001</v>
      </c>
      <c r="Z339" s="133">
        <v>0</v>
      </c>
      <c r="AA339" s="133">
        <v>0</v>
      </c>
      <c r="AB339" s="133">
        <v>0</v>
      </c>
      <c r="AC339" s="133">
        <v>0</v>
      </c>
      <c r="AD339" s="133">
        <v>0</v>
      </c>
      <c r="AE339" s="133">
        <v>0</v>
      </c>
      <c r="AF339" s="133">
        <v>12.294499999999999</v>
      </c>
      <c r="AG339" s="133">
        <v>174.83219999999997</v>
      </c>
    </row>
    <row r="340" spans="1:33" x14ac:dyDescent="0.45">
      <c r="A340" s="126" t="s">
        <v>364</v>
      </c>
      <c r="B340" s="129"/>
      <c r="C340" s="129">
        <v>0</v>
      </c>
      <c r="D340" s="129">
        <v>0</v>
      </c>
      <c r="E340" s="129">
        <v>0</v>
      </c>
      <c r="F340" s="129">
        <v>0</v>
      </c>
      <c r="G340" s="129">
        <v>0</v>
      </c>
      <c r="H340" s="129">
        <v>0</v>
      </c>
      <c r="I340" s="129">
        <v>0</v>
      </c>
      <c r="J340" s="129">
        <v>2.61</v>
      </c>
      <c r="K340" s="129">
        <v>0</v>
      </c>
      <c r="L340" s="129">
        <v>0</v>
      </c>
      <c r="M340" s="129">
        <v>0</v>
      </c>
      <c r="N340" s="129">
        <v>0</v>
      </c>
      <c r="O340" s="129">
        <v>36.795999999999999</v>
      </c>
      <c r="P340" s="129">
        <v>24.63</v>
      </c>
      <c r="Q340" s="129">
        <v>0</v>
      </c>
      <c r="R340" s="129">
        <v>55.164999999999999</v>
      </c>
      <c r="S340" s="129">
        <v>0</v>
      </c>
      <c r="T340" s="129">
        <v>0</v>
      </c>
      <c r="U340" s="129">
        <v>0</v>
      </c>
      <c r="V340" s="129">
        <v>94.739000000000004</v>
      </c>
      <c r="W340" s="129">
        <v>8.2230000000000008</v>
      </c>
      <c r="X340" s="129">
        <v>0</v>
      </c>
      <c r="Y340" s="129">
        <v>54.445999999999998</v>
      </c>
      <c r="Z340" s="129">
        <v>0</v>
      </c>
      <c r="AA340" s="129">
        <v>0</v>
      </c>
      <c r="AB340" s="129">
        <v>0</v>
      </c>
      <c r="AC340" s="129">
        <v>0</v>
      </c>
      <c r="AD340" s="129">
        <v>2.9420000000000002</v>
      </c>
      <c r="AE340" s="129">
        <v>0</v>
      </c>
      <c r="AF340" s="129">
        <v>1.127</v>
      </c>
      <c r="AG340" s="129">
        <v>280.67800000000005</v>
      </c>
    </row>
    <row r="341" spans="1:33" x14ac:dyDescent="0.45">
      <c r="B341" s="130" t="s">
        <v>363</v>
      </c>
      <c r="C341" s="133">
        <v>0</v>
      </c>
      <c r="D341" s="133">
        <v>0</v>
      </c>
      <c r="E341" s="133">
        <v>0</v>
      </c>
      <c r="F341" s="133">
        <v>0</v>
      </c>
      <c r="G341" s="133">
        <v>0</v>
      </c>
      <c r="H341" s="133">
        <v>0</v>
      </c>
      <c r="I341" s="133">
        <v>0</v>
      </c>
      <c r="J341" s="133">
        <v>2.61</v>
      </c>
      <c r="K341" s="133">
        <v>0</v>
      </c>
      <c r="L341" s="133">
        <v>0</v>
      </c>
      <c r="M341" s="133">
        <v>0</v>
      </c>
      <c r="N341" s="133">
        <v>0</v>
      </c>
      <c r="O341" s="133">
        <v>36.795999999999999</v>
      </c>
      <c r="P341" s="133">
        <v>24.63</v>
      </c>
      <c r="Q341" s="133">
        <v>0</v>
      </c>
      <c r="R341" s="133">
        <v>55.164999999999999</v>
      </c>
      <c r="S341" s="133">
        <v>0</v>
      </c>
      <c r="T341" s="133">
        <v>0</v>
      </c>
      <c r="U341" s="133">
        <v>0</v>
      </c>
      <c r="V341" s="133">
        <v>94.739000000000004</v>
      </c>
      <c r="W341" s="133">
        <v>8.2230000000000008</v>
      </c>
      <c r="X341" s="133">
        <v>0</v>
      </c>
      <c r="Y341" s="133">
        <v>54.445999999999998</v>
      </c>
      <c r="Z341" s="133">
        <v>0</v>
      </c>
      <c r="AA341" s="133">
        <v>0</v>
      </c>
      <c r="AB341" s="133">
        <v>0</v>
      </c>
      <c r="AC341" s="133">
        <v>0</v>
      </c>
      <c r="AD341" s="133">
        <v>2.9420000000000002</v>
      </c>
      <c r="AE341" s="133">
        <v>0</v>
      </c>
      <c r="AF341" s="133">
        <v>1.127</v>
      </c>
      <c r="AG341" s="133">
        <v>280.67800000000005</v>
      </c>
    </row>
    <row r="342" spans="1:33" x14ac:dyDescent="0.45">
      <c r="A342" s="134" t="s">
        <v>362</v>
      </c>
      <c r="B342" s="130"/>
      <c r="C342" s="133">
        <v>0</v>
      </c>
      <c r="D342" s="133">
        <v>0</v>
      </c>
      <c r="E342" s="133">
        <v>0</v>
      </c>
      <c r="F342" s="133">
        <v>3.0924700000000001</v>
      </c>
      <c r="G342" s="133">
        <v>0</v>
      </c>
      <c r="H342" s="133">
        <v>0</v>
      </c>
      <c r="I342" s="133">
        <v>0</v>
      </c>
      <c r="J342" s="133">
        <v>4.53</v>
      </c>
      <c r="K342" s="133">
        <v>0</v>
      </c>
      <c r="L342" s="133">
        <v>0</v>
      </c>
      <c r="M342" s="133">
        <v>16.459499999999998</v>
      </c>
      <c r="N342" s="133">
        <v>0</v>
      </c>
      <c r="O342" s="133">
        <v>107.268</v>
      </c>
      <c r="P342" s="133">
        <v>19.131</v>
      </c>
      <c r="Q342" s="133">
        <v>0</v>
      </c>
      <c r="R342" s="133">
        <v>0</v>
      </c>
      <c r="S342" s="133">
        <v>0</v>
      </c>
      <c r="T342" s="133">
        <v>0</v>
      </c>
      <c r="U342" s="133">
        <v>0</v>
      </c>
      <c r="V342" s="133">
        <v>0</v>
      </c>
      <c r="W342" s="133">
        <v>4.3133499999999998</v>
      </c>
      <c r="X342" s="133">
        <v>0</v>
      </c>
      <c r="Y342" s="133">
        <v>16.452999999999999</v>
      </c>
      <c r="Z342" s="133">
        <v>0</v>
      </c>
      <c r="AA342" s="133">
        <v>0</v>
      </c>
      <c r="AB342" s="133">
        <v>0</v>
      </c>
      <c r="AC342" s="133">
        <v>0</v>
      </c>
      <c r="AD342" s="133">
        <v>0</v>
      </c>
      <c r="AE342" s="133">
        <v>0</v>
      </c>
      <c r="AF342" s="133">
        <v>12.8988</v>
      </c>
      <c r="AG342" s="133">
        <v>184.14612</v>
      </c>
    </row>
    <row r="343" spans="1:33" x14ac:dyDescent="0.45">
      <c r="B343" s="130" t="s">
        <v>361</v>
      </c>
      <c r="C343" s="133">
        <v>0</v>
      </c>
      <c r="D343" s="133">
        <v>0</v>
      </c>
      <c r="E343" s="133">
        <v>0</v>
      </c>
      <c r="F343" s="133">
        <v>3.0924700000000001</v>
      </c>
      <c r="G343" s="133">
        <v>0</v>
      </c>
      <c r="H343" s="133">
        <v>0</v>
      </c>
      <c r="I343" s="133">
        <v>0</v>
      </c>
      <c r="J343" s="133">
        <v>4.53</v>
      </c>
      <c r="K343" s="133">
        <v>0</v>
      </c>
      <c r="L343" s="133">
        <v>0</v>
      </c>
      <c r="M343" s="133">
        <v>16.459499999999998</v>
      </c>
      <c r="N343" s="133">
        <v>0</v>
      </c>
      <c r="O343" s="133">
        <v>107.268</v>
      </c>
      <c r="P343" s="133">
        <v>19.131</v>
      </c>
      <c r="Q343" s="133">
        <v>0</v>
      </c>
      <c r="R343" s="133">
        <v>0</v>
      </c>
      <c r="S343" s="133">
        <v>0</v>
      </c>
      <c r="T343" s="133">
        <v>0</v>
      </c>
      <c r="U343" s="133">
        <v>0</v>
      </c>
      <c r="V343" s="133">
        <v>0</v>
      </c>
      <c r="W343" s="133">
        <v>4.3133499999999998</v>
      </c>
      <c r="X343" s="133">
        <v>0</v>
      </c>
      <c r="Y343" s="133">
        <v>16.452999999999999</v>
      </c>
      <c r="Z343" s="133">
        <v>0</v>
      </c>
      <c r="AA343" s="133">
        <v>0</v>
      </c>
      <c r="AB343" s="133">
        <v>0</v>
      </c>
      <c r="AC343" s="133">
        <v>0</v>
      </c>
      <c r="AD343" s="133">
        <v>0</v>
      </c>
      <c r="AE343" s="133">
        <v>0</v>
      </c>
      <c r="AF343" s="133">
        <v>12.8988</v>
      </c>
      <c r="AG343" s="133">
        <v>184.14612</v>
      </c>
    </row>
    <row r="344" spans="1:33" x14ac:dyDescent="0.45">
      <c r="A344" s="126" t="s">
        <v>360</v>
      </c>
      <c r="B344" s="129"/>
      <c r="C344" s="129">
        <v>0</v>
      </c>
      <c r="D344" s="129">
        <v>0</v>
      </c>
      <c r="E344" s="129">
        <v>0</v>
      </c>
      <c r="F344" s="129">
        <v>23</v>
      </c>
      <c r="G344" s="129">
        <v>0</v>
      </c>
      <c r="H344" s="129">
        <v>0.15</v>
      </c>
      <c r="I344" s="129">
        <v>0</v>
      </c>
      <c r="J344" s="129">
        <v>0.5</v>
      </c>
      <c r="K344" s="129">
        <v>0</v>
      </c>
      <c r="L344" s="129">
        <v>0</v>
      </c>
      <c r="M344" s="129">
        <v>78.7</v>
      </c>
      <c r="N344" s="129">
        <v>0</v>
      </c>
      <c r="O344" s="129">
        <v>10.4</v>
      </c>
      <c r="P344" s="129">
        <v>12.9</v>
      </c>
      <c r="Q344" s="129">
        <v>0.15</v>
      </c>
      <c r="R344" s="129">
        <v>0</v>
      </c>
      <c r="S344" s="129">
        <v>0</v>
      </c>
      <c r="T344" s="129">
        <v>0</v>
      </c>
      <c r="U344" s="129">
        <v>0</v>
      </c>
      <c r="V344" s="129">
        <v>0</v>
      </c>
      <c r="W344" s="129">
        <v>1.91</v>
      </c>
      <c r="X344" s="129">
        <v>0</v>
      </c>
      <c r="Y344" s="129">
        <v>0</v>
      </c>
      <c r="Z344" s="129">
        <v>0</v>
      </c>
      <c r="AA344" s="129">
        <v>0</v>
      </c>
      <c r="AB344" s="129">
        <v>0</v>
      </c>
      <c r="AC344" s="129">
        <v>0</v>
      </c>
      <c r="AD344" s="129">
        <v>0</v>
      </c>
      <c r="AE344" s="129">
        <v>0</v>
      </c>
      <c r="AF344" s="129">
        <v>0</v>
      </c>
      <c r="AG344" s="129">
        <v>127.71000000000001</v>
      </c>
    </row>
    <row r="345" spans="1:33" x14ac:dyDescent="0.45">
      <c r="B345" s="130" t="s">
        <v>359</v>
      </c>
      <c r="C345" s="133">
        <v>0</v>
      </c>
      <c r="D345" s="133">
        <v>0</v>
      </c>
      <c r="E345" s="133">
        <v>0</v>
      </c>
      <c r="F345" s="133">
        <v>23</v>
      </c>
      <c r="G345" s="133">
        <v>0</v>
      </c>
      <c r="H345" s="133">
        <v>0.15</v>
      </c>
      <c r="I345" s="133">
        <v>0</v>
      </c>
      <c r="J345" s="133">
        <v>0.5</v>
      </c>
      <c r="K345" s="133">
        <v>0</v>
      </c>
      <c r="L345" s="133">
        <v>0</v>
      </c>
      <c r="M345" s="133">
        <v>78.7</v>
      </c>
      <c r="N345" s="133">
        <v>0</v>
      </c>
      <c r="O345" s="133">
        <v>10.4</v>
      </c>
      <c r="P345" s="133">
        <v>12.9</v>
      </c>
      <c r="Q345" s="133">
        <v>0.15</v>
      </c>
      <c r="R345" s="133">
        <v>0</v>
      </c>
      <c r="S345" s="133">
        <v>0</v>
      </c>
      <c r="T345" s="133">
        <v>0</v>
      </c>
      <c r="U345" s="133">
        <v>0</v>
      </c>
      <c r="V345" s="133">
        <v>0</v>
      </c>
      <c r="W345" s="133">
        <v>1.91</v>
      </c>
      <c r="X345" s="133">
        <v>0</v>
      </c>
      <c r="Y345" s="133">
        <v>0</v>
      </c>
      <c r="Z345" s="133">
        <v>0</v>
      </c>
      <c r="AA345" s="133">
        <v>0</v>
      </c>
      <c r="AB345" s="133">
        <v>0</v>
      </c>
      <c r="AC345" s="133">
        <v>0</v>
      </c>
      <c r="AD345" s="133">
        <v>0</v>
      </c>
      <c r="AE345" s="133">
        <v>0</v>
      </c>
      <c r="AF345" s="133">
        <v>0</v>
      </c>
      <c r="AG345" s="133">
        <v>127.71000000000001</v>
      </c>
    </row>
    <row r="346" spans="1:33" x14ac:dyDescent="0.45">
      <c r="A346" s="126" t="s">
        <v>342</v>
      </c>
      <c r="B346" s="129"/>
      <c r="C346" s="129">
        <v>0</v>
      </c>
      <c r="D346" s="129">
        <v>0</v>
      </c>
      <c r="E346" s="129">
        <v>0</v>
      </c>
      <c r="F346" s="129">
        <v>97.930899999999994</v>
      </c>
      <c r="G346" s="129">
        <v>0</v>
      </c>
      <c r="H346" s="129">
        <v>0</v>
      </c>
      <c r="I346" s="129">
        <v>0</v>
      </c>
      <c r="J346" s="129">
        <v>10.687724000000001</v>
      </c>
      <c r="K346" s="129">
        <v>0</v>
      </c>
      <c r="L346" s="129">
        <v>0</v>
      </c>
      <c r="M346" s="129">
        <v>44.872810000000001</v>
      </c>
      <c r="N346" s="129">
        <v>0</v>
      </c>
      <c r="O346" s="129">
        <v>0</v>
      </c>
      <c r="P346" s="129">
        <v>72.900000000000006</v>
      </c>
      <c r="Q346" s="129">
        <v>46.083999999999996</v>
      </c>
      <c r="R346" s="129">
        <v>169.22640000000001</v>
      </c>
      <c r="S346" s="129">
        <v>17.375579999999999</v>
      </c>
      <c r="T346" s="129">
        <v>0</v>
      </c>
      <c r="U346" s="129">
        <v>0</v>
      </c>
      <c r="V346" s="129">
        <v>61.636200000000002</v>
      </c>
      <c r="W346" s="129">
        <v>23.170729999999999</v>
      </c>
      <c r="X346" s="129">
        <v>0</v>
      </c>
      <c r="Y346" s="129">
        <v>157.20499999999996</v>
      </c>
      <c r="Z346" s="129">
        <v>0</v>
      </c>
      <c r="AA346" s="129">
        <v>0</v>
      </c>
      <c r="AB346" s="129">
        <v>0</v>
      </c>
      <c r="AC346" s="129">
        <v>0</v>
      </c>
      <c r="AD346" s="129">
        <v>0</v>
      </c>
      <c r="AE346" s="129">
        <v>0</v>
      </c>
      <c r="AF346" s="129">
        <v>69.371200000000002</v>
      </c>
      <c r="AG346" s="129">
        <v>770.46054400000014</v>
      </c>
    </row>
    <row r="347" spans="1:33" x14ac:dyDescent="0.45">
      <c r="B347" s="130" t="s">
        <v>358</v>
      </c>
      <c r="C347" s="133">
        <v>0</v>
      </c>
      <c r="D347" s="133">
        <v>0</v>
      </c>
      <c r="E347" s="133">
        <v>0</v>
      </c>
      <c r="F347" s="133">
        <v>0</v>
      </c>
      <c r="G347" s="133">
        <v>0</v>
      </c>
      <c r="H347" s="133">
        <v>0</v>
      </c>
      <c r="I347" s="133">
        <v>0</v>
      </c>
      <c r="J347" s="133">
        <v>0.26700000000000002</v>
      </c>
      <c r="K347" s="133">
        <v>0</v>
      </c>
      <c r="L347" s="133">
        <v>0</v>
      </c>
      <c r="M347" s="133">
        <v>0</v>
      </c>
      <c r="N347" s="133">
        <v>0</v>
      </c>
      <c r="O347" s="133">
        <v>0</v>
      </c>
      <c r="P347" s="133">
        <v>0</v>
      </c>
      <c r="Q347" s="133">
        <v>0</v>
      </c>
      <c r="R347" s="133">
        <v>0</v>
      </c>
      <c r="S347" s="133">
        <v>0</v>
      </c>
      <c r="T347" s="133">
        <v>0</v>
      </c>
      <c r="U347" s="133">
        <v>0</v>
      </c>
      <c r="V347" s="133">
        <v>0</v>
      </c>
      <c r="W347" s="133">
        <v>0.12</v>
      </c>
      <c r="X347" s="133">
        <v>0</v>
      </c>
      <c r="Y347" s="133">
        <v>9.5220000000000002</v>
      </c>
      <c r="Z347" s="133">
        <v>0</v>
      </c>
      <c r="AA347" s="133">
        <v>0</v>
      </c>
      <c r="AB347" s="133">
        <v>0</v>
      </c>
      <c r="AC347" s="133">
        <v>0</v>
      </c>
      <c r="AD347" s="133">
        <v>0</v>
      </c>
      <c r="AE347" s="133">
        <v>0</v>
      </c>
      <c r="AF347" s="133">
        <v>0</v>
      </c>
      <c r="AG347" s="133">
        <v>9.9089999999999989</v>
      </c>
    </row>
    <row r="348" spans="1:33" x14ac:dyDescent="0.45">
      <c r="B348" s="130" t="s">
        <v>357</v>
      </c>
      <c r="C348" s="133">
        <v>0</v>
      </c>
      <c r="D348" s="133">
        <v>0</v>
      </c>
      <c r="E348" s="133">
        <v>0</v>
      </c>
      <c r="F348" s="133">
        <v>0</v>
      </c>
      <c r="G348" s="133">
        <v>0</v>
      </c>
      <c r="H348" s="133">
        <v>0</v>
      </c>
      <c r="I348" s="133">
        <v>0</v>
      </c>
      <c r="J348" s="133">
        <v>0.1</v>
      </c>
      <c r="K348" s="133">
        <v>0</v>
      </c>
      <c r="L348" s="133">
        <v>0</v>
      </c>
      <c r="M348" s="133">
        <v>0</v>
      </c>
      <c r="N348" s="133">
        <v>0</v>
      </c>
      <c r="O348" s="133">
        <v>0</v>
      </c>
      <c r="P348" s="133">
        <v>0</v>
      </c>
      <c r="Q348" s="133">
        <v>0</v>
      </c>
      <c r="R348" s="133">
        <v>0</v>
      </c>
      <c r="S348" s="133">
        <v>0</v>
      </c>
      <c r="T348" s="133">
        <v>0</v>
      </c>
      <c r="U348" s="133">
        <v>0</v>
      </c>
      <c r="V348" s="133">
        <v>0</v>
      </c>
      <c r="W348" s="133">
        <v>0.107</v>
      </c>
      <c r="X348" s="133">
        <v>0</v>
      </c>
      <c r="Y348" s="133">
        <v>9.8260000000000005</v>
      </c>
      <c r="Z348" s="133">
        <v>0</v>
      </c>
      <c r="AA348" s="133">
        <v>0</v>
      </c>
      <c r="AB348" s="133">
        <v>0</v>
      </c>
      <c r="AC348" s="133">
        <v>0</v>
      </c>
      <c r="AD348" s="133">
        <v>0</v>
      </c>
      <c r="AE348" s="133">
        <v>0</v>
      </c>
      <c r="AF348" s="133">
        <v>0</v>
      </c>
      <c r="AG348" s="133">
        <v>10.032999999999999</v>
      </c>
    </row>
    <row r="349" spans="1:33" x14ac:dyDescent="0.45">
      <c r="B349" s="130" t="s">
        <v>356</v>
      </c>
      <c r="C349" s="133">
        <v>0</v>
      </c>
      <c r="D349" s="133">
        <v>0</v>
      </c>
      <c r="E349" s="133">
        <v>0</v>
      </c>
      <c r="F349" s="133">
        <v>7.9619999999999997</v>
      </c>
      <c r="G349" s="133">
        <v>0</v>
      </c>
      <c r="H349" s="133">
        <v>0</v>
      </c>
      <c r="I349" s="133">
        <v>0</v>
      </c>
      <c r="J349" s="133">
        <v>0.20100000000000001</v>
      </c>
      <c r="K349" s="133">
        <v>0</v>
      </c>
      <c r="L349" s="133">
        <v>0</v>
      </c>
      <c r="M349" s="133">
        <v>0</v>
      </c>
      <c r="N349" s="133">
        <v>0</v>
      </c>
      <c r="O349" s="133">
        <v>0</v>
      </c>
      <c r="P349" s="133">
        <v>0</v>
      </c>
      <c r="Q349" s="133">
        <v>0</v>
      </c>
      <c r="R349" s="133">
        <v>7.9619999999999997</v>
      </c>
      <c r="S349" s="133">
        <v>0</v>
      </c>
      <c r="T349" s="133">
        <v>0</v>
      </c>
      <c r="U349" s="133">
        <v>0</v>
      </c>
      <c r="V349" s="133">
        <v>0</v>
      </c>
      <c r="W349" s="133">
        <v>0.36199999999999999</v>
      </c>
      <c r="X349" s="133">
        <v>0</v>
      </c>
      <c r="Y349" s="133">
        <v>6.4020000000000001</v>
      </c>
      <c r="Z349" s="133">
        <v>0</v>
      </c>
      <c r="AA349" s="133">
        <v>0</v>
      </c>
      <c r="AB349" s="133">
        <v>0</v>
      </c>
      <c r="AC349" s="133">
        <v>0</v>
      </c>
      <c r="AD349" s="133">
        <v>0</v>
      </c>
      <c r="AE349" s="133">
        <v>0</v>
      </c>
      <c r="AF349" s="133">
        <v>0</v>
      </c>
      <c r="AG349" s="133">
        <v>22.888999999999999</v>
      </c>
    </row>
    <row r="350" spans="1:33" x14ac:dyDescent="0.45">
      <c r="B350" s="130" t="s">
        <v>355</v>
      </c>
      <c r="C350" s="133">
        <v>0</v>
      </c>
      <c r="D350" s="133">
        <v>0</v>
      </c>
      <c r="E350" s="133">
        <v>0</v>
      </c>
      <c r="F350" s="133">
        <v>0</v>
      </c>
      <c r="G350" s="133">
        <v>0</v>
      </c>
      <c r="H350" s="133">
        <v>0</v>
      </c>
      <c r="I350" s="133">
        <v>0</v>
      </c>
      <c r="J350" s="133">
        <v>0.183</v>
      </c>
      <c r="K350" s="133">
        <v>0</v>
      </c>
      <c r="L350" s="133">
        <v>0</v>
      </c>
      <c r="M350" s="133">
        <v>0</v>
      </c>
      <c r="N350" s="133">
        <v>0</v>
      </c>
      <c r="O350" s="133">
        <v>0</v>
      </c>
      <c r="P350" s="133">
        <v>0</v>
      </c>
      <c r="Q350" s="133">
        <v>0</v>
      </c>
      <c r="R350" s="133">
        <v>0</v>
      </c>
      <c r="S350" s="133">
        <v>0</v>
      </c>
      <c r="T350" s="133">
        <v>0</v>
      </c>
      <c r="U350" s="133">
        <v>0</v>
      </c>
      <c r="V350" s="133">
        <v>0</v>
      </c>
      <c r="W350" s="133">
        <v>0.11799999999999999</v>
      </c>
      <c r="X350" s="133">
        <v>0</v>
      </c>
      <c r="Y350" s="133">
        <v>12.526999999999999</v>
      </c>
      <c r="Z350" s="133">
        <v>0</v>
      </c>
      <c r="AA350" s="133">
        <v>0</v>
      </c>
      <c r="AB350" s="133">
        <v>0</v>
      </c>
      <c r="AC350" s="133">
        <v>0</v>
      </c>
      <c r="AD350" s="133">
        <v>0</v>
      </c>
      <c r="AE350" s="133">
        <v>0</v>
      </c>
      <c r="AF350" s="133">
        <v>0</v>
      </c>
      <c r="AG350" s="133">
        <v>12.827999999999999</v>
      </c>
    </row>
    <row r="351" spans="1:33" x14ac:dyDescent="0.45">
      <c r="B351" s="130" t="s">
        <v>354</v>
      </c>
      <c r="C351" s="133">
        <v>0</v>
      </c>
      <c r="D351" s="133">
        <v>0</v>
      </c>
      <c r="E351" s="133">
        <v>0</v>
      </c>
      <c r="F351" s="133">
        <v>0</v>
      </c>
      <c r="G351" s="133">
        <v>0</v>
      </c>
      <c r="H351" s="133">
        <v>0</v>
      </c>
      <c r="I351" s="133">
        <v>0</v>
      </c>
      <c r="J351" s="133">
        <v>3.2000000000000001E-2</v>
      </c>
      <c r="K351" s="133">
        <v>0</v>
      </c>
      <c r="L351" s="133">
        <v>0</v>
      </c>
      <c r="M351" s="133">
        <v>0</v>
      </c>
      <c r="N351" s="133">
        <v>0</v>
      </c>
      <c r="O351" s="133">
        <v>0</v>
      </c>
      <c r="P351" s="133">
        <v>0</v>
      </c>
      <c r="Q351" s="133">
        <v>0</v>
      </c>
      <c r="R351" s="133">
        <v>0</v>
      </c>
      <c r="S351" s="133">
        <v>0</v>
      </c>
      <c r="T351" s="133">
        <v>0</v>
      </c>
      <c r="U351" s="133">
        <v>0</v>
      </c>
      <c r="V351" s="133">
        <v>0</v>
      </c>
      <c r="W351" s="133">
        <v>9.6000000000000002E-2</v>
      </c>
      <c r="X351" s="133">
        <v>0</v>
      </c>
      <c r="Y351" s="133">
        <v>7.9080000000000004</v>
      </c>
      <c r="Z351" s="133">
        <v>0</v>
      </c>
      <c r="AA351" s="133">
        <v>0</v>
      </c>
      <c r="AB351" s="133">
        <v>0</v>
      </c>
      <c r="AC351" s="133">
        <v>0</v>
      </c>
      <c r="AD351" s="133">
        <v>0</v>
      </c>
      <c r="AE351" s="133">
        <v>0</v>
      </c>
      <c r="AF351" s="133">
        <v>0</v>
      </c>
      <c r="AG351" s="133">
        <v>8.0359999999999996</v>
      </c>
    </row>
    <row r="352" spans="1:33" x14ac:dyDescent="0.45">
      <c r="B352" s="130" t="s">
        <v>353</v>
      </c>
      <c r="C352" s="133">
        <v>0</v>
      </c>
      <c r="D352" s="133">
        <v>0</v>
      </c>
      <c r="E352" s="133">
        <v>0</v>
      </c>
      <c r="F352" s="133">
        <v>0</v>
      </c>
      <c r="G352" s="133">
        <v>0</v>
      </c>
      <c r="H352" s="133">
        <v>0</v>
      </c>
      <c r="I352" s="133">
        <v>0</v>
      </c>
      <c r="J352" s="133">
        <v>1.4E-2</v>
      </c>
      <c r="K352" s="133">
        <v>0</v>
      </c>
      <c r="L352" s="133">
        <v>0</v>
      </c>
      <c r="M352" s="133">
        <v>0</v>
      </c>
      <c r="N352" s="133">
        <v>0</v>
      </c>
      <c r="O352" s="133">
        <v>0</v>
      </c>
      <c r="P352" s="133">
        <v>0</v>
      </c>
      <c r="Q352" s="133">
        <v>0</v>
      </c>
      <c r="R352" s="133">
        <v>0</v>
      </c>
      <c r="S352" s="133">
        <v>0</v>
      </c>
      <c r="T352" s="133">
        <v>0</v>
      </c>
      <c r="U352" s="133">
        <v>0</v>
      </c>
      <c r="V352" s="133">
        <v>0</v>
      </c>
      <c r="W352" s="133">
        <v>7.1999999999999995E-2</v>
      </c>
      <c r="X352" s="133">
        <v>0</v>
      </c>
      <c r="Y352" s="133">
        <v>7.3109999999999999</v>
      </c>
      <c r="Z352" s="133">
        <v>0</v>
      </c>
      <c r="AA352" s="133">
        <v>0</v>
      </c>
      <c r="AB352" s="133">
        <v>0</v>
      </c>
      <c r="AC352" s="133">
        <v>0</v>
      </c>
      <c r="AD352" s="133">
        <v>0</v>
      </c>
      <c r="AE352" s="133">
        <v>0</v>
      </c>
      <c r="AF352" s="133">
        <v>0</v>
      </c>
      <c r="AG352" s="133">
        <v>7.3970000000000002</v>
      </c>
    </row>
    <row r="353" spans="1:33" x14ac:dyDescent="0.45">
      <c r="B353" s="130" t="s">
        <v>352</v>
      </c>
      <c r="C353" s="133">
        <v>0</v>
      </c>
      <c r="D353" s="133">
        <v>0</v>
      </c>
      <c r="E353" s="133">
        <v>0</v>
      </c>
      <c r="F353" s="133">
        <v>0</v>
      </c>
      <c r="G353" s="133">
        <v>0</v>
      </c>
      <c r="H353" s="133">
        <v>0</v>
      </c>
      <c r="I353" s="133">
        <v>0</v>
      </c>
      <c r="J353" s="133">
        <v>6.6000000000000003E-2</v>
      </c>
      <c r="K353" s="133">
        <v>0</v>
      </c>
      <c r="L353" s="133">
        <v>0</v>
      </c>
      <c r="M353" s="133">
        <v>0</v>
      </c>
      <c r="N353" s="133">
        <v>0</v>
      </c>
      <c r="O353" s="133">
        <v>0</v>
      </c>
      <c r="P353" s="133">
        <v>0</v>
      </c>
      <c r="Q353" s="133">
        <v>0</v>
      </c>
      <c r="R353" s="133">
        <v>0</v>
      </c>
      <c r="S353" s="133">
        <v>0</v>
      </c>
      <c r="T353" s="133">
        <v>0</v>
      </c>
      <c r="U353" s="133">
        <v>0</v>
      </c>
      <c r="V353" s="133">
        <v>0</v>
      </c>
      <c r="W353" s="133">
        <v>4.1000000000000002E-2</v>
      </c>
      <c r="X353" s="133">
        <v>0</v>
      </c>
      <c r="Y353" s="133">
        <v>3.58</v>
      </c>
      <c r="Z353" s="133">
        <v>0</v>
      </c>
      <c r="AA353" s="133">
        <v>0</v>
      </c>
      <c r="AB353" s="133">
        <v>0</v>
      </c>
      <c r="AC353" s="133">
        <v>0</v>
      </c>
      <c r="AD353" s="133">
        <v>0</v>
      </c>
      <c r="AE353" s="133">
        <v>0</v>
      </c>
      <c r="AF353" s="133">
        <v>0</v>
      </c>
      <c r="AG353" s="133">
        <v>3.6869999999999998</v>
      </c>
    </row>
    <row r="354" spans="1:33" x14ac:dyDescent="0.45">
      <c r="B354" s="130" t="s">
        <v>351</v>
      </c>
      <c r="C354" s="133">
        <v>0</v>
      </c>
      <c r="D354" s="133">
        <v>0</v>
      </c>
      <c r="E354" s="133">
        <v>0</v>
      </c>
      <c r="F354" s="133">
        <v>28.494199999999999</v>
      </c>
      <c r="G354" s="133">
        <v>0</v>
      </c>
      <c r="H354" s="133">
        <v>0</v>
      </c>
      <c r="I354" s="133">
        <v>0</v>
      </c>
      <c r="J354" s="133">
        <v>0</v>
      </c>
      <c r="K354" s="133">
        <v>0</v>
      </c>
      <c r="L354" s="133">
        <v>0</v>
      </c>
      <c r="M354" s="133">
        <v>8.4982100000000003</v>
      </c>
      <c r="N354" s="133">
        <v>0</v>
      </c>
      <c r="O354" s="133">
        <v>0</v>
      </c>
      <c r="P354" s="133">
        <v>0</v>
      </c>
      <c r="Q354" s="133">
        <v>0</v>
      </c>
      <c r="R354" s="133">
        <v>24.796600000000002</v>
      </c>
      <c r="S354" s="133">
        <v>5.9289800000000001</v>
      </c>
      <c r="T354" s="133">
        <v>0</v>
      </c>
      <c r="U354" s="133">
        <v>0</v>
      </c>
      <c r="V354" s="133">
        <v>26.1204</v>
      </c>
      <c r="W354" s="133">
        <v>3.9985300000000001</v>
      </c>
      <c r="X354" s="133">
        <v>0</v>
      </c>
      <c r="Y354" s="133">
        <v>0</v>
      </c>
      <c r="Z354" s="133">
        <v>0</v>
      </c>
      <c r="AA354" s="133">
        <v>0</v>
      </c>
      <c r="AB354" s="133">
        <v>0</v>
      </c>
      <c r="AC354" s="133">
        <v>0</v>
      </c>
      <c r="AD354" s="133">
        <v>0</v>
      </c>
      <c r="AE354" s="133">
        <v>0</v>
      </c>
      <c r="AF354" s="133">
        <v>21.3142</v>
      </c>
      <c r="AG354" s="133">
        <v>119.15112000000001</v>
      </c>
    </row>
    <row r="355" spans="1:33" x14ac:dyDescent="0.45">
      <c r="A355" s="126"/>
      <c r="B355" s="129" t="s">
        <v>350</v>
      </c>
      <c r="C355" s="129">
        <v>0</v>
      </c>
      <c r="D355" s="129">
        <v>0</v>
      </c>
      <c r="E355" s="129">
        <v>0</v>
      </c>
      <c r="F355" s="129">
        <v>0</v>
      </c>
      <c r="G355" s="129">
        <v>0</v>
      </c>
      <c r="H355" s="129">
        <v>0</v>
      </c>
      <c r="I355" s="129">
        <v>0</v>
      </c>
      <c r="J355" s="129">
        <v>8.7999999999999995E-2</v>
      </c>
      <c r="K355" s="129">
        <v>0</v>
      </c>
      <c r="L355" s="129">
        <v>0</v>
      </c>
      <c r="M355" s="129">
        <v>0</v>
      </c>
      <c r="N355" s="129">
        <v>0</v>
      </c>
      <c r="O355" s="129">
        <v>0</v>
      </c>
      <c r="P355" s="129">
        <v>0</v>
      </c>
      <c r="Q355" s="129">
        <v>0</v>
      </c>
      <c r="R355" s="129">
        <v>0</v>
      </c>
      <c r="S355" s="129">
        <v>0</v>
      </c>
      <c r="T355" s="129">
        <v>0</v>
      </c>
      <c r="U355" s="129">
        <v>0</v>
      </c>
      <c r="V355" s="129">
        <v>0</v>
      </c>
      <c r="W355" s="129">
        <v>5.2999999999999999E-2</v>
      </c>
      <c r="X355" s="129">
        <v>0</v>
      </c>
      <c r="Y355" s="129">
        <v>4.2300000000000004</v>
      </c>
      <c r="Z355" s="129">
        <v>0</v>
      </c>
      <c r="AA355" s="129">
        <v>0</v>
      </c>
      <c r="AB355" s="129">
        <v>0</v>
      </c>
      <c r="AC355" s="129">
        <v>0</v>
      </c>
      <c r="AD355" s="129">
        <v>0</v>
      </c>
      <c r="AE355" s="129">
        <v>0</v>
      </c>
      <c r="AF355" s="129">
        <v>0</v>
      </c>
      <c r="AG355" s="129">
        <v>4.3710000000000004</v>
      </c>
    </row>
    <row r="356" spans="1:33" x14ac:dyDescent="0.45">
      <c r="B356" s="130" t="s">
        <v>349</v>
      </c>
      <c r="C356" s="133">
        <v>0</v>
      </c>
      <c r="D356" s="133">
        <v>0</v>
      </c>
      <c r="E356" s="133">
        <v>0</v>
      </c>
      <c r="F356" s="133">
        <v>0</v>
      </c>
      <c r="G356" s="133">
        <v>0</v>
      </c>
      <c r="H356" s="133">
        <v>0</v>
      </c>
      <c r="I356" s="133">
        <v>0</v>
      </c>
      <c r="J356" s="133">
        <v>0.79460399999999998</v>
      </c>
      <c r="K356" s="133">
        <v>0</v>
      </c>
      <c r="L356" s="133">
        <v>0</v>
      </c>
      <c r="M356" s="133">
        <v>0</v>
      </c>
      <c r="N356" s="133">
        <v>0</v>
      </c>
      <c r="O356" s="133">
        <v>0</v>
      </c>
      <c r="P356" s="133">
        <v>0</v>
      </c>
      <c r="Q356" s="133">
        <v>0</v>
      </c>
      <c r="R356" s="133">
        <v>68.524500000000003</v>
      </c>
      <c r="S356" s="133">
        <v>0</v>
      </c>
      <c r="T356" s="133">
        <v>0</v>
      </c>
      <c r="U356" s="133">
        <v>0</v>
      </c>
      <c r="V356" s="133">
        <v>0</v>
      </c>
      <c r="W356" s="133">
        <v>2.8837999999999999</v>
      </c>
      <c r="X356" s="133">
        <v>0</v>
      </c>
      <c r="Y356" s="133">
        <v>7.7969999999999997</v>
      </c>
      <c r="Z356" s="133">
        <v>0</v>
      </c>
      <c r="AA356" s="133">
        <v>0</v>
      </c>
      <c r="AB356" s="133">
        <v>0</v>
      </c>
      <c r="AC356" s="133">
        <v>0</v>
      </c>
      <c r="AD356" s="133">
        <v>0</v>
      </c>
      <c r="AE356" s="133">
        <v>0</v>
      </c>
      <c r="AF356" s="133">
        <v>0</v>
      </c>
      <c r="AG356" s="133">
        <v>79.999904000000001</v>
      </c>
    </row>
    <row r="357" spans="1:33" x14ac:dyDescent="0.45">
      <c r="B357" s="130" t="s">
        <v>348</v>
      </c>
      <c r="C357" s="133">
        <v>0</v>
      </c>
      <c r="D357" s="133">
        <v>0</v>
      </c>
      <c r="E357" s="133">
        <v>0</v>
      </c>
      <c r="F357" s="133">
        <v>0</v>
      </c>
      <c r="G357" s="133">
        <v>0</v>
      </c>
      <c r="H357" s="133">
        <v>0</v>
      </c>
      <c r="I357" s="133">
        <v>0</v>
      </c>
      <c r="J357" s="133">
        <v>0.35799999999999998</v>
      </c>
      <c r="K357" s="133">
        <v>0</v>
      </c>
      <c r="L357" s="133">
        <v>0</v>
      </c>
      <c r="M357" s="133">
        <v>0</v>
      </c>
      <c r="N357" s="133">
        <v>0</v>
      </c>
      <c r="O357" s="133">
        <v>0</v>
      </c>
      <c r="P357" s="133">
        <v>0</v>
      </c>
      <c r="Q357" s="133">
        <v>7.431</v>
      </c>
      <c r="R357" s="133">
        <v>0</v>
      </c>
      <c r="S357" s="133">
        <v>0</v>
      </c>
      <c r="T357" s="133">
        <v>0</v>
      </c>
      <c r="U357" s="133">
        <v>0</v>
      </c>
      <c r="V357" s="133">
        <v>0</v>
      </c>
      <c r="W357" s="133">
        <v>0.13900000000000001</v>
      </c>
      <c r="X357" s="133">
        <v>0</v>
      </c>
      <c r="Y357" s="133">
        <v>8.6869999999999994</v>
      </c>
      <c r="Z357" s="133">
        <v>0</v>
      </c>
      <c r="AA357" s="133">
        <v>0</v>
      </c>
      <c r="AB357" s="133">
        <v>0</v>
      </c>
      <c r="AC357" s="133">
        <v>0</v>
      </c>
      <c r="AD357" s="133">
        <v>0</v>
      </c>
      <c r="AE357" s="133">
        <v>0</v>
      </c>
      <c r="AF357" s="133">
        <v>0</v>
      </c>
      <c r="AG357" s="133">
        <v>16.614999999999998</v>
      </c>
    </row>
    <row r="358" spans="1:33" x14ac:dyDescent="0.45">
      <c r="B358" s="130" t="s">
        <v>347</v>
      </c>
      <c r="C358" s="133">
        <v>0</v>
      </c>
      <c r="D358" s="133">
        <v>0</v>
      </c>
      <c r="E358" s="133">
        <v>0</v>
      </c>
      <c r="F358" s="133">
        <v>0</v>
      </c>
      <c r="G358" s="133">
        <v>0</v>
      </c>
      <c r="H358" s="133">
        <v>0</v>
      </c>
      <c r="I358" s="133">
        <v>0</v>
      </c>
      <c r="J358" s="133">
        <v>0.30599999999999999</v>
      </c>
      <c r="K358" s="133">
        <v>0</v>
      </c>
      <c r="L358" s="133">
        <v>0</v>
      </c>
      <c r="M358" s="133">
        <v>0</v>
      </c>
      <c r="N358" s="133">
        <v>0</v>
      </c>
      <c r="O358" s="133">
        <v>0</v>
      </c>
      <c r="P358" s="133">
        <v>0</v>
      </c>
      <c r="Q358" s="133">
        <v>0</v>
      </c>
      <c r="R358" s="133">
        <v>0</v>
      </c>
      <c r="S358" s="133">
        <v>0</v>
      </c>
      <c r="T358" s="133">
        <v>0</v>
      </c>
      <c r="U358" s="133">
        <v>0</v>
      </c>
      <c r="V358" s="133">
        <v>0</v>
      </c>
      <c r="W358" s="133">
        <v>0.115</v>
      </c>
      <c r="X358" s="133">
        <v>0</v>
      </c>
      <c r="Y358" s="133">
        <v>11.318</v>
      </c>
      <c r="Z358" s="133">
        <v>0</v>
      </c>
      <c r="AA358" s="133">
        <v>0</v>
      </c>
      <c r="AB358" s="133">
        <v>0</v>
      </c>
      <c r="AC358" s="133">
        <v>0</v>
      </c>
      <c r="AD358" s="133">
        <v>0</v>
      </c>
      <c r="AE358" s="133">
        <v>0</v>
      </c>
      <c r="AF358" s="133">
        <v>0</v>
      </c>
      <c r="AG358" s="133">
        <v>11.738999999999999</v>
      </c>
    </row>
    <row r="359" spans="1:33" x14ac:dyDescent="0.45">
      <c r="B359" s="130" t="s">
        <v>346</v>
      </c>
      <c r="C359" s="133">
        <v>0</v>
      </c>
      <c r="D359" s="133">
        <v>0</v>
      </c>
      <c r="E359" s="133">
        <v>0</v>
      </c>
      <c r="F359" s="133">
        <v>61.474699999999999</v>
      </c>
      <c r="G359" s="133">
        <v>0</v>
      </c>
      <c r="H359" s="133">
        <v>0</v>
      </c>
      <c r="I359" s="133">
        <v>0</v>
      </c>
      <c r="J359" s="133">
        <v>6.0591200000000001</v>
      </c>
      <c r="K359" s="133">
        <v>0</v>
      </c>
      <c r="L359" s="133">
        <v>0</v>
      </c>
      <c r="M359" s="133">
        <v>36.374600000000001</v>
      </c>
      <c r="N359" s="133">
        <v>0</v>
      </c>
      <c r="O359" s="133">
        <v>0</v>
      </c>
      <c r="P359" s="133">
        <v>72.900000000000006</v>
      </c>
      <c r="Q359" s="133">
        <v>0</v>
      </c>
      <c r="R359" s="133">
        <v>67.943299999999994</v>
      </c>
      <c r="S359" s="133">
        <v>11.4466</v>
      </c>
      <c r="T359" s="133">
        <v>0</v>
      </c>
      <c r="U359" s="133">
        <v>0</v>
      </c>
      <c r="V359" s="133">
        <v>35.515799999999999</v>
      </c>
      <c r="W359" s="133">
        <v>13.180199999999999</v>
      </c>
      <c r="X359" s="133">
        <v>0</v>
      </c>
      <c r="Y359" s="133">
        <v>0</v>
      </c>
      <c r="Z359" s="133">
        <v>0</v>
      </c>
      <c r="AA359" s="133">
        <v>0</v>
      </c>
      <c r="AB359" s="133">
        <v>0</v>
      </c>
      <c r="AC359" s="133">
        <v>0</v>
      </c>
      <c r="AD359" s="133">
        <v>0</v>
      </c>
      <c r="AE359" s="133">
        <v>0</v>
      </c>
      <c r="AF359" s="133">
        <v>48.057000000000002</v>
      </c>
      <c r="AG359" s="133">
        <v>352.95132000000001</v>
      </c>
    </row>
    <row r="360" spans="1:33" x14ac:dyDescent="0.45">
      <c r="B360" s="130" t="s">
        <v>345</v>
      </c>
      <c r="C360" s="133">
        <v>0</v>
      </c>
      <c r="D360" s="133">
        <v>0</v>
      </c>
      <c r="E360" s="133">
        <v>0</v>
      </c>
      <c r="F360" s="133">
        <v>0</v>
      </c>
      <c r="G360" s="133">
        <v>0</v>
      </c>
      <c r="H360" s="133">
        <v>0</v>
      </c>
      <c r="I360" s="133">
        <v>0</v>
      </c>
      <c r="J360" s="133">
        <v>1.63</v>
      </c>
      <c r="K360" s="133">
        <v>0</v>
      </c>
      <c r="L360" s="133">
        <v>0</v>
      </c>
      <c r="M360" s="133">
        <v>0</v>
      </c>
      <c r="N360" s="133">
        <v>0</v>
      </c>
      <c r="O360" s="133">
        <v>0</v>
      </c>
      <c r="P360" s="133">
        <v>0</v>
      </c>
      <c r="Q360" s="133">
        <v>0</v>
      </c>
      <c r="R360" s="133">
        <v>0</v>
      </c>
      <c r="S360" s="133">
        <v>0</v>
      </c>
      <c r="T360" s="133">
        <v>0</v>
      </c>
      <c r="U360" s="133">
        <v>0</v>
      </c>
      <c r="V360" s="133">
        <v>0</v>
      </c>
      <c r="W360" s="133">
        <v>0.71099999999999997</v>
      </c>
      <c r="X360" s="133">
        <v>0</v>
      </c>
      <c r="Y360" s="133">
        <v>42.929000000000002</v>
      </c>
      <c r="Z360" s="133">
        <v>0</v>
      </c>
      <c r="AA360" s="133">
        <v>0</v>
      </c>
      <c r="AB360" s="133">
        <v>0</v>
      </c>
      <c r="AC360" s="133">
        <v>0</v>
      </c>
      <c r="AD360" s="133">
        <v>0</v>
      </c>
      <c r="AE360" s="133">
        <v>0</v>
      </c>
      <c r="AF360" s="133">
        <v>0</v>
      </c>
      <c r="AG360" s="133">
        <v>45.27</v>
      </c>
    </row>
    <row r="361" spans="1:33" x14ac:dyDescent="0.45">
      <c r="B361" s="130" t="s">
        <v>344</v>
      </c>
      <c r="C361" s="133">
        <v>0</v>
      </c>
      <c r="D361" s="133">
        <v>0</v>
      </c>
      <c r="E361" s="133">
        <v>0</v>
      </c>
      <c r="F361" s="133">
        <v>0</v>
      </c>
      <c r="G361" s="133">
        <v>0</v>
      </c>
      <c r="H361" s="133">
        <v>0</v>
      </c>
      <c r="I361" s="133">
        <v>0</v>
      </c>
      <c r="J361" s="133">
        <v>0</v>
      </c>
      <c r="K361" s="133">
        <v>0</v>
      </c>
      <c r="L361" s="133">
        <v>0</v>
      </c>
      <c r="M361" s="133">
        <v>0</v>
      </c>
      <c r="N361" s="133">
        <v>0</v>
      </c>
      <c r="O361" s="133">
        <v>0</v>
      </c>
      <c r="P361" s="133">
        <v>0</v>
      </c>
      <c r="Q361" s="133">
        <v>38.652999999999999</v>
      </c>
      <c r="R361" s="133">
        <v>0</v>
      </c>
      <c r="S361" s="133">
        <v>0</v>
      </c>
      <c r="T361" s="133">
        <v>0</v>
      </c>
      <c r="U361" s="133">
        <v>0</v>
      </c>
      <c r="V361" s="133">
        <v>0</v>
      </c>
      <c r="W361" s="133">
        <v>0.97319999999999995</v>
      </c>
      <c r="X361" s="133">
        <v>0</v>
      </c>
      <c r="Y361" s="133">
        <v>0</v>
      </c>
      <c r="Z361" s="133">
        <v>0</v>
      </c>
      <c r="AA361" s="133">
        <v>0</v>
      </c>
      <c r="AB361" s="133">
        <v>0</v>
      </c>
      <c r="AC361" s="133">
        <v>0</v>
      </c>
      <c r="AD361" s="133">
        <v>0</v>
      </c>
      <c r="AE361" s="133">
        <v>0</v>
      </c>
      <c r="AF361" s="133">
        <v>0</v>
      </c>
      <c r="AG361" s="133">
        <v>39.626199999999997</v>
      </c>
    </row>
    <row r="362" spans="1:33" x14ac:dyDescent="0.45">
      <c r="B362" s="130" t="s">
        <v>343</v>
      </c>
      <c r="C362" s="133">
        <v>0</v>
      </c>
      <c r="D362" s="133">
        <v>0</v>
      </c>
      <c r="E362" s="133">
        <v>0</v>
      </c>
      <c r="F362" s="133">
        <v>0</v>
      </c>
      <c r="G362" s="133">
        <v>0</v>
      </c>
      <c r="H362" s="133">
        <v>0</v>
      </c>
      <c r="I362" s="133">
        <v>0</v>
      </c>
      <c r="J362" s="133">
        <v>0.56100000000000005</v>
      </c>
      <c r="K362" s="133">
        <v>0</v>
      </c>
      <c r="L362" s="133">
        <v>0</v>
      </c>
      <c r="M362" s="133">
        <v>0</v>
      </c>
      <c r="N362" s="133">
        <v>0</v>
      </c>
      <c r="O362" s="133">
        <v>0</v>
      </c>
      <c r="P362" s="133">
        <v>0</v>
      </c>
      <c r="Q362" s="133">
        <v>0</v>
      </c>
      <c r="R362" s="133">
        <v>0</v>
      </c>
      <c r="S362" s="133">
        <v>0</v>
      </c>
      <c r="T362" s="133">
        <v>0</v>
      </c>
      <c r="U362" s="133">
        <v>0</v>
      </c>
      <c r="V362" s="133">
        <v>0</v>
      </c>
      <c r="W362" s="133">
        <v>0.152</v>
      </c>
      <c r="X362" s="133">
        <v>0</v>
      </c>
      <c r="Y362" s="133">
        <v>20.992000000000001</v>
      </c>
      <c r="Z362" s="133">
        <v>0</v>
      </c>
      <c r="AA362" s="133">
        <v>0</v>
      </c>
      <c r="AB362" s="133">
        <v>0</v>
      </c>
      <c r="AC362" s="133">
        <v>0</v>
      </c>
      <c r="AD362" s="133">
        <v>0</v>
      </c>
      <c r="AE362" s="133">
        <v>0</v>
      </c>
      <c r="AF362" s="133">
        <v>0</v>
      </c>
      <c r="AG362" s="133">
        <v>21.705000000000002</v>
      </c>
    </row>
    <row r="363" spans="1:33" x14ac:dyDescent="0.45">
      <c r="B363" s="130" t="s">
        <v>341</v>
      </c>
      <c r="C363" s="133">
        <v>0</v>
      </c>
      <c r="D363" s="133">
        <v>0</v>
      </c>
      <c r="E363" s="133">
        <v>0</v>
      </c>
      <c r="F363" s="133">
        <v>0</v>
      </c>
      <c r="G363" s="133">
        <v>0</v>
      </c>
      <c r="H363" s="133">
        <v>0</v>
      </c>
      <c r="I363" s="133">
        <v>0</v>
      </c>
      <c r="J363" s="133">
        <v>2.8000000000000001E-2</v>
      </c>
      <c r="K363" s="133">
        <v>0</v>
      </c>
      <c r="L363" s="133">
        <v>0</v>
      </c>
      <c r="M363" s="133">
        <v>0</v>
      </c>
      <c r="N363" s="133">
        <v>0</v>
      </c>
      <c r="O363" s="133">
        <v>0</v>
      </c>
      <c r="P363" s="133">
        <v>0</v>
      </c>
      <c r="Q363" s="133">
        <v>0</v>
      </c>
      <c r="R363" s="133">
        <v>0</v>
      </c>
      <c r="S363" s="133">
        <v>0</v>
      </c>
      <c r="T363" s="133">
        <v>0</v>
      </c>
      <c r="U363" s="133">
        <v>0</v>
      </c>
      <c r="V363" s="133">
        <v>0</v>
      </c>
      <c r="W363" s="133">
        <v>4.9000000000000002E-2</v>
      </c>
      <c r="X363" s="133">
        <v>0</v>
      </c>
      <c r="Y363" s="133">
        <v>4.1760000000000002</v>
      </c>
      <c r="Z363" s="133">
        <v>0</v>
      </c>
      <c r="AA363" s="133">
        <v>0</v>
      </c>
      <c r="AB363" s="133">
        <v>0</v>
      </c>
      <c r="AC363" s="133">
        <v>0</v>
      </c>
      <c r="AD363" s="133">
        <v>0</v>
      </c>
      <c r="AE363" s="133">
        <v>0</v>
      </c>
      <c r="AF363" s="133">
        <v>0</v>
      </c>
      <c r="AG363" s="133">
        <v>4.2530000000000001</v>
      </c>
    </row>
    <row r="364" spans="1:33" x14ac:dyDescent="0.45">
      <c r="A364" s="134" t="s">
        <v>336</v>
      </c>
      <c r="B364" s="130"/>
      <c r="C364" s="133">
        <v>0</v>
      </c>
      <c r="D364" s="133">
        <v>136.541</v>
      </c>
      <c r="E364" s="133">
        <v>0</v>
      </c>
      <c r="F364" s="133">
        <v>0</v>
      </c>
      <c r="G364" s="133">
        <v>6.2910000000000004</v>
      </c>
      <c r="H364" s="133">
        <v>0</v>
      </c>
      <c r="I364" s="133">
        <v>0</v>
      </c>
      <c r="J364" s="133">
        <v>1.6012200000000001</v>
      </c>
      <c r="K364" s="133">
        <v>0.51500000000000001</v>
      </c>
      <c r="L364" s="133">
        <v>0</v>
      </c>
      <c r="M364" s="133">
        <v>143.18100000000001</v>
      </c>
      <c r="N364" s="133">
        <v>0</v>
      </c>
      <c r="O364" s="133">
        <v>0</v>
      </c>
      <c r="P364" s="133">
        <v>56.097000000000001</v>
      </c>
      <c r="Q364" s="133">
        <v>5.6959999999999997</v>
      </c>
      <c r="R364" s="133">
        <v>0</v>
      </c>
      <c r="S364" s="133">
        <v>76.430000000000007</v>
      </c>
      <c r="T364" s="133">
        <v>0</v>
      </c>
      <c r="U364" s="133">
        <v>0</v>
      </c>
      <c r="V364" s="133">
        <v>0</v>
      </c>
      <c r="W364" s="133">
        <v>13.6412</v>
      </c>
      <c r="X364" s="133">
        <v>12.295</v>
      </c>
      <c r="Y364" s="133">
        <v>11.606</v>
      </c>
      <c r="Z364" s="133">
        <v>0</v>
      </c>
      <c r="AA364" s="133">
        <v>0</v>
      </c>
      <c r="AB364" s="133">
        <v>0</v>
      </c>
      <c r="AC364" s="133">
        <v>0</v>
      </c>
      <c r="AD364" s="133">
        <v>0</v>
      </c>
      <c r="AE364" s="133">
        <v>0</v>
      </c>
      <c r="AF364" s="133">
        <v>0</v>
      </c>
      <c r="AG364" s="133">
        <v>463.89441999999997</v>
      </c>
    </row>
    <row r="365" spans="1:33" x14ac:dyDescent="0.45">
      <c r="B365" s="130" t="s">
        <v>340</v>
      </c>
      <c r="C365" s="133">
        <v>0</v>
      </c>
      <c r="D365" s="133">
        <v>0</v>
      </c>
      <c r="E365" s="133">
        <v>0</v>
      </c>
      <c r="F365" s="133">
        <v>0</v>
      </c>
      <c r="G365" s="133">
        <v>0</v>
      </c>
      <c r="H365" s="133">
        <v>0</v>
      </c>
      <c r="I365" s="133">
        <v>0</v>
      </c>
      <c r="J365" s="133">
        <v>6.7000000000000004E-2</v>
      </c>
      <c r="K365" s="133">
        <v>0</v>
      </c>
      <c r="L365" s="133">
        <v>0</v>
      </c>
      <c r="M365" s="133">
        <v>0</v>
      </c>
      <c r="N365" s="133">
        <v>0</v>
      </c>
      <c r="O365" s="133">
        <v>0</v>
      </c>
      <c r="P365" s="133">
        <v>0</v>
      </c>
      <c r="Q365" s="133">
        <v>0</v>
      </c>
      <c r="R365" s="133">
        <v>0</v>
      </c>
      <c r="S365" s="133">
        <v>0</v>
      </c>
      <c r="T365" s="133">
        <v>0</v>
      </c>
      <c r="U365" s="133">
        <v>0</v>
      </c>
      <c r="V365" s="133">
        <v>0</v>
      </c>
      <c r="W365" s="133">
        <v>0.1</v>
      </c>
      <c r="X365" s="133">
        <v>12.295</v>
      </c>
      <c r="Y365" s="133">
        <v>0</v>
      </c>
      <c r="Z365" s="133">
        <v>0</v>
      </c>
      <c r="AA365" s="133">
        <v>0</v>
      </c>
      <c r="AB365" s="133">
        <v>0</v>
      </c>
      <c r="AC365" s="133">
        <v>0</v>
      </c>
      <c r="AD365" s="133">
        <v>0</v>
      </c>
      <c r="AE365" s="133">
        <v>0</v>
      </c>
      <c r="AF365" s="133">
        <v>0</v>
      </c>
      <c r="AG365" s="133">
        <v>12.462</v>
      </c>
    </row>
    <row r="366" spans="1:33" x14ac:dyDescent="0.45">
      <c r="B366" s="130" t="s">
        <v>339</v>
      </c>
      <c r="C366" s="133">
        <v>0</v>
      </c>
      <c r="D366" s="133">
        <v>136.541</v>
      </c>
      <c r="E366" s="133">
        <v>0</v>
      </c>
      <c r="F366" s="133">
        <v>0</v>
      </c>
      <c r="G366" s="133">
        <v>6.2910000000000004</v>
      </c>
      <c r="H366" s="133">
        <v>0</v>
      </c>
      <c r="I366" s="133">
        <v>0</v>
      </c>
      <c r="J366" s="133">
        <v>1.33392</v>
      </c>
      <c r="K366" s="133">
        <v>0.51500000000000001</v>
      </c>
      <c r="L366" s="133">
        <v>0</v>
      </c>
      <c r="M366" s="133">
        <v>143.18100000000001</v>
      </c>
      <c r="N366" s="133">
        <v>0</v>
      </c>
      <c r="O366" s="133">
        <v>0</v>
      </c>
      <c r="P366" s="133">
        <v>56.097000000000001</v>
      </c>
      <c r="Q366" s="133">
        <v>5.6959999999999997</v>
      </c>
      <c r="R366" s="133">
        <v>0</v>
      </c>
      <c r="S366" s="133">
        <v>76.430000000000007</v>
      </c>
      <c r="T366" s="133">
        <v>0</v>
      </c>
      <c r="U366" s="133">
        <v>0</v>
      </c>
      <c r="V366" s="133">
        <v>0</v>
      </c>
      <c r="W366" s="133">
        <v>13.4148</v>
      </c>
      <c r="X366" s="133">
        <v>0</v>
      </c>
      <c r="Y366" s="133">
        <v>0</v>
      </c>
      <c r="Z366" s="133">
        <v>0</v>
      </c>
      <c r="AA366" s="133">
        <v>0</v>
      </c>
      <c r="AB366" s="133">
        <v>0</v>
      </c>
      <c r="AC366" s="133">
        <v>0</v>
      </c>
      <c r="AD366" s="133">
        <v>0</v>
      </c>
      <c r="AE366" s="133">
        <v>0</v>
      </c>
      <c r="AF366" s="133">
        <v>0</v>
      </c>
      <c r="AG366" s="133">
        <v>439.49972000000002</v>
      </c>
    </row>
    <row r="367" spans="1:33" x14ac:dyDescent="0.45">
      <c r="B367" s="130" t="s">
        <v>338</v>
      </c>
      <c r="C367" s="133">
        <v>0</v>
      </c>
      <c r="D367" s="133">
        <v>0</v>
      </c>
      <c r="E367" s="133">
        <v>0</v>
      </c>
      <c r="F367" s="133">
        <v>0</v>
      </c>
      <c r="G367" s="133">
        <v>0</v>
      </c>
      <c r="H367" s="133">
        <v>0</v>
      </c>
      <c r="I367" s="133">
        <v>0</v>
      </c>
      <c r="J367" s="133">
        <v>0.1</v>
      </c>
      <c r="K367" s="133">
        <v>0</v>
      </c>
      <c r="L367" s="133">
        <v>0</v>
      </c>
      <c r="M367" s="133">
        <v>0</v>
      </c>
      <c r="N367" s="133">
        <v>0</v>
      </c>
      <c r="O367" s="133">
        <v>0</v>
      </c>
      <c r="P367" s="133">
        <v>0</v>
      </c>
      <c r="Q367" s="133">
        <v>0</v>
      </c>
      <c r="R367" s="133">
        <v>0</v>
      </c>
      <c r="S367" s="133">
        <v>0</v>
      </c>
      <c r="T367" s="133">
        <v>0</v>
      </c>
      <c r="U367" s="133">
        <v>0</v>
      </c>
      <c r="V367" s="133">
        <v>0</v>
      </c>
      <c r="W367" s="133">
        <v>5.1200000000000002E-2</v>
      </c>
      <c r="X367" s="133">
        <v>0</v>
      </c>
      <c r="Y367" s="133">
        <v>5.34</v>
      </c>
      <c r="Z367" s="133">
        <v>0</v>
      </c>
      <c r="AA367" s="133">
        <v>0</v>
      </c>
      <c r="AB367" s="133">
        <v>0</v>
      </c>
      <c r="AC367" s="133">
        <v>0</v>
      </c>
      <c r="AD367" s="133">
        <v>0</v>
      </c>
      <c r="AE367" s="133">
        <v>0</v>
      </c>
      <c r="AF367" s="133">
        <v>0</v>
      </c>
      <c r="AG367" s="133">
        <v>5.4911999999999992</v>
      </c>
    </row>
    <row r="368" spans="1:33" x14ac:dyDescent="0.45">
      <c r="B368" s="130" t="s">
        <v>337</v>
      </c>
      <c r="C368" s="133">
        <v>0</v>
      </c>
      <c r="D368" s="133">
        <v>0</v>
      </c>
      <c r="E368" s="133">
        <v>0</v>
      </c>
      <c r="F368" s="133">
        <v>0</v>
      </c>
      <c r="G368" s="133">
        <v>0</v>
      </c>
      <c r="H368" s="133">
        <v>0</v>
      </c>
      <c r="I368" s="133">
        <v>0</v>
      </c>
      <c r="J368" s="133">
        <v>3.2800000000000003E-2</v>
      </c>
      <c r="K368" s="133">
        <v>0</v>
      </c>
      <c r="L368" s="133">
        <v>0</v>
      </c>
      <c r="M368" s="133">
        <v>0</v>
      </c>
      <c r="N368" s="133">
        <v>0</v>
      </c>
      <c r="O368" s="133">
        <v>0</v>
      </c>
      <c r="P368" s="133">
        <v>0</v>
      </c>
      <c r="Q368" s="133">
        <v>0</v>
      </c>
      <c r="R368" s="133">
        <v>0</v>
      </c>
      <c r="S368" s="133">
        <v>0</v>
      </c>
      <c r="T368" s="133">
        <v>0</v>
      </c>
      <c r="U368" s="133">
        <v>0</v>
      </c>
      <c r="V368" s="133">
        <v>0</v>
      </c>
      <c r="W368" s="133">
        <v>2.2700000000000001E-2</v>
      </c>
      <c r="X368" s="133">
        <v>0</v>
      </c>
      <c r="Y368" s="133">
        <v>2.4359999999999999</v>
      </c>
      <c r="Z368" s="133">
        <v>0</v>
      </c>
      <c r="AA368" s="133">
        <v>0</v>
      </c>
      <c r="AB368" s="133">
        <v>0</v>
      </c>
      <c r="AC368" s="133">
        <v>0</v>
      </c>
      <c r="AD368" s="133">
        <v>0</v>
      </c>
      <c r="AE368" s="133">
        <v>0</v>
      </c>
      <c r="AF368" s="133">
        <v>0</v>
      </c>
      <c r="AG368" s="133">
        <v>2.4914999999999998</v>
      </c>
    </row>
    <row r="369" spans="1:33" x14ac:dyDescent="0.45">
      <c r="A369" s="126"/>
      <c r="B369" s="129" t="s">
        <v>335</v>
      </c>
      <c r="C369" s="129">
        <v>0</v>
      </c>
      <c r="D369" s="129">
        <v>0</v>
      </c>
      <c r="E369" s="129">
        <v>0</v>
      </c>
      <c r="F369" s="129">
        <v>0</v>
      </c>
      <c r="G369" s="129">
        <v>0</v>
      </c>
      <c r="H369" s="129">
        <v>0</v>
      </c>
      <c r="I369" s="129">
        <v>0</v>
      </c>
      <c r="J369" s="129">
        <v>6.7500000000000004E-2</v>
      </c>
      <c r="K369" s="129">
        <v>0</v>
      </c>
      <c r="L369" s="129">
        <v>0</v>
      </c>
      <c r="M369" s="129">
        <v>0</v>
      </c>
      <c r="N369" s="129">
        <v>0</v>
      </c>
      <c r="O369" s="129">
        <v>0</v>
      </c>
      <c r="P369" s="129">
        <v>0</v>
      </c>
      <c r="Q369" s="129">
        <v>0</v>
      </c>
      <c r="R369" s="129">
        <v>0</v>
      </c>
      <c r="S369" s="129">
        <v>0</v>
      </c>
      <c r="T369" s="129">
        <v>0</v>
      </c>
      <c r="U369" s="129">
        <v>0</v>
      </c>
      <c r="V369" s="129">
        <v>0</v>
      </c>
      <c r="W369" s="129">
        <v>5.2499999999999998E-2</v>
      </c>
      <c r="X369" s="129">
        <v>0</v>
      </c>
      <c r="Y369" s="129">
        <v>3.83</v>
      </c>
      <c r="Z369" s="129">
        <v>0</v>
      </c>
      <c r="AA369" s="129">
        <v>0</v>
      </c>
      <c r="AB369" s="129">
        <v>0</v>
      </c>
      <c r="AC369" s="129">
        <v>0</v>
      </c>
      <c r="AD369" s="129">
        <v>0</v>
      </c>
      <c r="AE369" s="129">
        <v>0</v>
      </c>
      <c r="AF369" s="129">
        <v>0</v>
      </c>
      <c r="AG369" s="129">
        <v>3.95</v>
      </c>
    </row>
    <row r="370" spans="1:33" x14ac:dyDescent="0.45">
      <c r="A370" s="134" t="s">
        <v>333</v>
      </c>
      <c r="B370" s="130"/>
      <c r="C370" s="133">
        <v>0</v>
      </c>
      <c r="D370" s="133">
        <v>0</v>
      </c>
      <c r="E370" s="133">
        <v>0</v>
      </c>
      <c r="F370" s="133">
        <v>0</v>
      </c>
      <c r="G370" s="133">
        <v>0</v>
      </c>
      <c r="H370" s="133">
        <v>0</v>
      </c>
      <c r="I370" s="133">
        <v>0</v>
      </c>
      <c r="J370" s="133">
        <v>0.22800000000000001</v>
      </c>
      <c r="K370" s="133">
        <v>0</v>
      </c>
      <c r="L370" s="133">
        <v>0</v>
      </c>
      <c r="M370" s="133">
        <v>0</v>
      </c>
      <c r="N370" s="133">
        <v>0</v>
      </c>
      <c r="O370" s="133">
        <v>0</v>
      </c>
      <c r="P370" s="133">
        <v>0</v>
      </c>
      <c r="Q370" s="133">
        <v>24.907</v>
      </c>
      <c r="R370" s="133">
        <v>0</v>
      </c>
      <c r="S370" s="133">
        <v>0</v>
      </c>
      <c r="T370" s="133">
        <v>0</v>
      </c>
      <c r="U370" s="133">
        <v>0</v>
      </c>
      <c r="V370" s="133">
        <v>0</v>
      </c>
      <c r="W370" s="133">
        <v>1</v>
      </c>
      <c r="X370" s="133">
        <v>0</v>
      </c>
      <c r="Y370" s="133">
        <v>18.629000000000001</v>
      </c>
      <c r="Z370" s="133">
        <v>0</v>
      </c>
      <c r="AA370" s="133">
        <v>0</v>
      </c>
      <c r="AB370" s="133">
        <v>0</v>
      </c>
      <c r="AC370" s="133">
        <v>0</v>
      </c>
      <c r="AD370" s="133">
        <v>0</v>
      </c>
      <c r="AE370" s="133">
        <v>0</v>
      </c>
      <c r="AF370" s="133">
        <v>5.3882399999999997</v>
      </c>
      <c r="AG370" s="133">
        <v>50.152239999999999</v>
      </c>
    </row>
    <row r="371" spans="1:33" x14ac:dyDescent="0.45">
      <c r="B371" s="130" t="s">
        <v>334</v>
      </c>
      <c r="C371" s="133">
        <v>0</v>
      </c>
      <c r="D371" s="133">
        <v>0</v>
      </c>
      <c r="E371" s="133">
        <v>0</v>
      </c>
      <c r="F371" s="133">
        <v>0</v>
      </c>
      <c r="G371" s="133">
        <v>0</v>
      </c>
      <c r="H371" s="133">
        <v>0</v>
      </c>
      <c r="I371" s="133">
        <v>0</v>
      </c>
      <c r="J371" s="133">
        <v>0.17100000000000001</v>
      </c>
      <c r="K371" s="133">
        <v>0</v>
      </c>
      <c r="L371" s="133">
        <v>0</v>
      </c>
      <c r="M371" s="133">
        <v>0</v>
      </c>
      <c r="N371" s="133">
        <v>0</v>
      </c>
      <c r="O371" s="133">
        <v>0</v>
      </c>
      <c r="P371" s="133">
        <v>0</v>
      </c>
      <c r="Q371" s="133">
        <v>24.907</v>
      </c>
      <c r="R371" s="133">
        <v>0</v>
      </c>
      <c r="S371" s="133">
        <v>0</v>
      </c>
      <c r="T371" s="133">
        <v>0</v>
      </c>
      <c r="U371" s="133">
        <v>0</v>
      </c>
      <c r="V371" s="133">
        <v>0</v>
      </c>
      <c r="W371" s="133">
        <v>0.9</v>
      </c>
      <c r="X371" s="133">
        <v>0</v>
      </c>
      <c r="Y371" s="133">
        <v>18.629000000000001</v>
      </c>
      <c r="Z371" s="133">
        <v>0</v>
      </c>
      <c r="AA371" s="133">
        <v>0</v>
      </c>
      <c r="AB371" s="133">
        <v>0</v>
      </c>
      <c r="AC371" s="133">
        <v>0</v>
      </c>
      <c r="AD371" s="133">
        <v>0</v>
      </c>
      <c r="AE371" s="133">
        <v>0</v>
      </c>
      <c r="AF371" s="133">
        <v>0</v>
      </c>
      <c r="AG371" s="133">
        <v>44.606999999999999</v>
      </c>
    </row>
    <row r="372" spans="1:33" x14ac:dyDescent="0.45">
      <c r="A372" s="126"/>
      <c r="B372" s="129" t="s">
        <v>332</v>
      </c>
      <c r="C372" s="129">
        <v>0</v>
      </c>
      <c r="D372" s="129">
        <v>0</v>
      </c>
      <c r="E372" s="129">
        <v>0</v>
      </c>
      <c r="F372" s="129">
        <v>0</v>
      </c>
      <c r="G372" s="129">
        <v>0</v>
      </c>
      <c r="H372" s="129">
        <v>0</v>
      </c>
      <c r="I372" s="129">
        <v>0</v>
      </c>
      <c r="J372" s="129">
        <v>5.7000000000000002E-2</v>
      </c>
      <c r="K372" s="129">
        <v>0</v>
      </c>
      <c r="L372" s="129">
        <v>0</v>
      </c>
      <c r="M372" s="129">
        <v>0</v>
      </c>
      <c r="N372" s="129">
        <v>0</v>
      </c>
      <c r="O372" s="129">
        <v>0</v>
      </c>
      <c r="P372" s="129">
        <v>0</v>
      </c>
      <c r="Q372" s="129">
        <v>0</v>
      </c>
      <c r="R372" s="129">
        <v>0</v>
      </c>
      <c r="S372" s="129">
        <v>0</v>
      </c>
      <c r="T372" s="129">
        <v>0</v>
      </c>
      <c r="U372" s="129">
        <v>0</v>
      </c>
      <c r="V372" s="129">
        <v>0</v>
      </c>
      <c r="W372" s="129">
        <v>0.1</v>
      </c>
      <c r="X372" s="129">
        <v>0</v>
      </c>
      <c r="Y372" s="129">
        <v>0</v>
      </c>
      <c r="Z372" s="129">
        <v>0</v>
      </c>
      <c r="AA372" s="129">
        <v>0</v>
      </c>
      <c r="AB372" s="129">
        <v>0</v>
      </c>
      <c r="AC372" s="129">
        <v>0</v>
      </c>
      <c r="AD372" s="129">
        <v>0</v>
      </c>
      <c r="AE372" s="129">
        <v>0</v>
      </c>
      <c r="AF372" s="129">
        <v>5.3882399999999997</v>
      </c>
      <c r="AG372" s="129">
        <v>5.5452399999999997</v>
      </c>
    </row>
    <row r="373" spans="1:33" x14ac:dyDescent="0.45">
      <c r="A373" s="134" t="s">
        <v>331</v>
      </c>
      <c r="B373" s="130"/>
      <c r="C373" s="133">
        <v>0</v>
      </c>
      <c r="D373" s="133">
        <v>0</v>
      </c>
      <c r="E373" s="133">
        <v>0</v>
      </c>
      <c r="F373" s="133">
        <v>0</v>
      </c>
      <c r="G373" s="133">
        <v>0</v>
      </c>
      <c r="H373" s="133">
        <v>0</v>
      </c>
      <c r="I373" s="133">
        <v>0</v>
      </c>
      <c r="J373" s="133">
        <v>0</v>
      </c>
      <c r="K373" s="133">
        <v>0</v>
      </c>
      <c r="L373" s="133">
        <v>0</v>
      </c>
      <c r="M373" s="133">
        <v>0</v>
      </c>
      <c r="N373" s="133">
        <v>0</v>
      </c>
      <c r="O373" s="133">
        <v>0</v>
      </c>
      <c r="P373" s="133">
        <v>0</v>
      </c>
      <c r="Q373" s="133">
        <v>0</v>
      </c>
      <c r="R373" s="133">
        <v>0</v>
      </c>
      <c r="S373" s="133">
        <v>0</v>
      </c>
      <c r="T373" s="133">
        <v>0</v>
      </c>
      <c r="U373" s="133">
        <v>0</v>
      </c>
      <c r="V373" s="133">
        <v>0</v>
      </c>
      <c r="W373" s="133">
        <v>0.19</v>
      </c>
      <c r="X373" s="133">
        <v>0</v>
      </c>
      <c r="Y373" s="133">
        <v>0</v>
      </c>
      <c r="Z373" s="133">
        <v>0</v>
      </c>
      <c r="AA373" s="133">
        <v>0.72199999999999998</v>
      </c>
      <c r="AB373" s="133">
        <v>1.5780000000000001</v>
      </c>
      <c r="AC373" s="133">
        <v>0</v>
      </c>
      <c r="AD373" s="133">
        <v>0</v>
      </c>
      <c r="AE373" s="133">
        <v>0</v>
      </c>
      <c r="AF373" s="133">
        <v>0</v>
      </c>
      <c r="AG373" s="133">
        <v>2.4900000000000002</v>
      </c>
    </row>
    <row r="374" spans="1:33" x14ac:dyDescent="0.45">
      <c r="B374" s="130" t="s">
        <v>330</v>
      </c>
      <c r="C374" s="133">
        <v>0</v>
      </c>
      <c r="D374" s="133">
        <v>0</v>
      </c>
      <c r="E374" s="133">
        <v>0</v>
      </c>
      <c r="F374" s="133">
        <v>0</v>
      </c>
      <c r="G374" s="133">
        <v>0</v>
      </c>
      <c r="H374" s="133">
        <v>0</v>
      </c>
      <c r="I374" s="133">
        <v>0</v>
      </c>
      <c r="J374" s="133">
        <v>0</v>
      </c>
      <c r="K374" s="133">
        <v>0</v>
      </c>
      <c r="L374" s="133">
        <v>0</v>
      </c>
      <c r="M374" s="133">
        <v>0</v>
      </c>
      <c r="N374" s="133">
        <v>0</v>
      </c>
      <c r="O374" s="133">
        <v>0</v>
      </c>
      <c r="P374" s="133">
        <v>0</v>
      </c>
      <c r="Q374" s="133">
        <v>0</v>
      </c>
      <c r="R374" s="133">
        <v>0</v>
      </c>
      <c r="S374" s="133">
        <v>0</v>
      </c>
      <c r="T374" s="133">
        <v>0</v>
      </c>
      <c r="U374" s="133">
        <v>0</v>
      </c>
      <c r="V374" s="133">
        <v>0</v>
      </c>
      <c r="W374" s="133">
        <v>0.19</v>
      </c>
      <c r="X374" s="133">
        <v>0</v>
      </c>
      <c r="Y374" s="133">
        <v>0</v>
      </c>
      <c r="Z374" s="133">
        <v>0</v>
      </c>
      <c r="AA374" s="133">
        <v>0.72199999999999998</v>
      </c>
      <c r="AB374" s="133">
        <v>1.5780000000000001</v>
      </c>
      <c r="AC374" s="133">
        <v>0</v>
      </c>
      <c r="AD374" s="133">
        <v>0</v>
      </c>
      <c r="AE374" s="133">
        <v>0</v>
      </c>
      <c r="AF374" s="133">
        <v>0</v>
      </c>
      <c r="AG374" s="133">
        <v>2.4900000000000002</v>
      </c>
    </row>
    <row r="375" spans="1:33" x14ac:dyDescent="0.45">
      <c r="A375" s="126" t="s">
        <v>329</v>
      </c>
      <c r="B375" s="129"/>
      <c r="C375" s="129">
        <v>0</v>
      </c>
      <c r="D375" s="129">
        <v>0</v>
      </c>
      <c r="E375" s="129">
        <v>0</v>
      </c>
      <c r="F375" s="129">
        <v>0</v>
      </c>
      <c r="G375" s="129">
        <v>0</v>
      </c>
      <c r="H375" s="129">
        <v>0</v>
      </c>
      <c r="I375" s="129">
        <v>0</v>
      </c>
      <c r="J375" s="129">
        <v>0</v>
      </c>
      <c r="K375" s="129">
        <v>0</v>
      </c>
      <c r="L375" s="129">
        <v>0</v>
      </c>
      <c r="M375" s="129">
        <v>0</v>
      </c>
      <c r="N375" s="129">
        <v>0</v>
      </c>
      <c r="O375" s="129">
        <v>0</v>
      </c>
      <c r="P375" s="129">
        <v>0</v>
      </c>
      <c r="Q375" s="129">
        <v>0</v>
      </c>
      <c r="R375" s="129">
        <v>0</v>
      </c>
      <c r="S375" s="129">
        <v>0</v>
      </c>
      <c r="T375" s="129">
        <v>0</v>
      </c>
      <c r="U375" s="129">
        <v>0</v>
      </c>
      <c r="V375" s="129">
        <v>0</v>
      </c>
      <c r="W375" s="129">
        <v>0</v>
      </c>
      <c r="X375" s="129">
        <v>0</v>
      </c>
      <c r="Y375" s="129">
        <v>0</v>
      </c>
      <c r="Z375" s="129">
        <v>0</v>
      </c>
      <c r="AA375" s="129">
        <v>0</v>
      </c>
      <c r="AB375" s="129">
        <v>0</v>
      </c>
      <c r="AC375" s="129">
        <v>0</v>
      </c>
      <c r="AD375" s="129">
        <v>0</v>
      </c>
      <c r="AE375" s="129">
        <v>0</v>
      </c>
      <c r="AF375" s="129">
        <v>0</v>
      </c>
      <c r="AG375" s="129">
        <v>0</v>
      </c>
    </row>
    <row r="376" spans="1:33" x14ac:dyDescent="0.45">
      <c r="B376" s="130" t="s">
        <v>328</v>
      </c>
      <c r="C376" s="133">
        <v>0</v>
      </c>
      <c r="D376" s="133">
        <v>0</v>
      </c>
      <c r="E376" s="133">
        <v>0</v>
      </c>
      <c r="F376" s="133">
        <v>0</v>
      </c>
      <c r="G376" s="133">
        <v>0</v>
      </c>
      <c r="H376" s="133">
        <v>0</v>
      </c>
      <c r="I376" s="133">
        <v>0</v>
      </c>
      <c r="J376" s="133">
        <v>0</v>
      </c>
      <c r="K376" s="133">
        <v>0</v>
      </c>
      <c r="L376" s="133">
        <v>0</v>
      </c>
      <c r="M376" s="133">
        <v>0</v>
      </c>
      <c r="N376" s="133">
        <v>0</v>
      </c>
      <c r="O376" s="133">
        <v>0</v>
      </c>
      <c r="P376" s="133">
        <v>0</v>
      </c>
      <c r="Q376" s="133">
        <v>0</v>
      </c>
      <c r="R376" s="133">
        <v>0</v>
      </c>
      <c r="S376" s="133">
        <v>0</v>
      </c>
      <c r="T376" s="133">
        <v>0</v>
      </c>
      <c r="U376" s="133">
        <v>0</v>
      </c>
      <c r="V376" s="133">
        <v>0</v>
      </c>
      <c r="W376" s="133">
        <v>0</v>
      </c>
      <c r="X376" s="133">
        <v>0</v>
      </c>
      <c r="Y376" s="133">
        <v>0</v>
      </c>
      <c r="Z376" s="133">
        <v>0</v>
      </c>
      <c r="AA376" s="133">
        <v>0</v>
      </c>
      <c r="AB376" s="133">
        <v>0</v>
      </c>
      <c r="AC376" s="133">
        <v>0</v>
      </c>
      <c r="AD376" s="133">
        <v>0</v>
      </c>
      <c r="AE376" s="133">
        <v>0</v>
      </c>
      <c r="AF376" s="133">
        <v>0</v>
      </c>
      <c r="AG376" s="133">
        <v>0</v>
      </c>
    </row>
    <row r="377" spans="1:33" x14ac:dyDescent="0.45">
      <c r="A377" s="126" t="s">
        <v>324</v>
      </c>
      <c r="B377" s="129"/>
      <c r="C377" s="129">
        <v>0</v>
      </c>
      <c r="D377" s="129">
        <v>0</v>
      </c>
      <c r="E377" s="129">
        <v>0</v>
      </c>
      <c r="F377" s="129">
        <v>36.129999999999995</v>
      </c>
      <c r="G377" s="129">
        <v>5.2899999999999991</v>
      </c>
      <c r="H377" s="129">
        <v>0</v>
      </c>
      <c r="I377" s="129">
        <v>0</v>
      </c>
      <c r="J377" s="129">
        <v>8.5999999999999993E-2</v>
      </c>
      <c r="K377" s="129">
        <v>0</v>
      </c>
      <c r="L377" s="129">
        <v>0</v>
      </c>
      <c r="M377" s="129">
        <v>56.67</v>
      </c>
      <c r="N377" s="129">
        <v>0</v>
      </c>
      <c r="O377" s="129">
        <v>0</v>
      </c>
      <c r="P377" s="129">
        <v>39.339999999999996</v>
      </c>
      <c r="Q377" s="129">
        <v>0</v>
      </c>
      <c r="R377" s="129">
        <v>56.18</v>
      </c>
      <c r="S377" s="129">
        <v>54.76</v>
      </c>
      <c r="T377" s="129">
        <v>0</v>
      </c>
      <c r="U377" s="129">
        <v>0</v>
      </c>
      <c r="V377" s="129">
        <v>0</v>
      </c>
      <c r="W377" s="129">
        <v>6.0000000000000009</v>
      </c>
      <c r="X377" s="129">
        <v>0</v>
      </c>
      <c r="Y377" s="129">
        <v>0</v>
      </c>
      <c r="Z377" s="129">
        <v>0</v>
      </c>
      <c r="AA377" s="129">
        <v>0</v>
      </c>
      <c r="AB377" s="129">
        <v>0</v>
      </c>
      <c r="AC377" s="129">
        <v>0</v>
      </c>
      <c r="AD377" s="129">
        <v>0</v>
      </c>
      <c r="AE377" s="129">
        <v>0</v>
      </c>
      <c r="AF377" s="129">
        <v>0</v>
      </c>
      <c r="AG377" s="129">
        <v>254.45600000000005</v>
      </c>
    </row>
    <row r="378" spans="1:33" x14ac:dyDescent="0.45">
      <c r="B378" s="130" t="s">
        <v>327</v>
      </c>
      <c r="C378" s="133">
        <v>0</v>
      </c>
      <c r="D378" s="133">
        <v>0</v>
      </c>
      <c r="E378" s="133">
        <v>0</v>
      </c>
      <c r="F378" s="133">
        <v>22.47</v>
      </c>
      <c r="G378" s="133">
        <v>0.97</v>
      </c>
      <c r="H378" s="133">
        <v>0</v>
      </c>
      <c r="I378" s="133">
        <v>0</v>
      </c>
      <c r="J378" s="133">
        <v>0</v>
      </c>
      <c r="K378" s="133">
        <v>0</v>
      </c>
      <c r="L378" s="133">
        <v>0</v>
      </c>
      <c r="M378" s="133">
        <v>32.46</v>
      </c>
      <c r="N378" s="133">
        <v>0</v>
      </c>
      <c r="O378" s="133">
        <v>0</v>
      </c>
      <c r="P378" s="133">
        <v>27.77</v>
      </c>
      <c r="Q378" s="133">
        <v>0</v>
      </c>
      <c r="R378" s="133">
        <v>56.18</v>
      </c>
      <c r="S378" s="133">
        <v>13.73</v>
      </c>
      <c r="T378" s="133">
        <v>0</v>
      </c>
      <c r="U378" s="133">
        <v>0</v>
      </c>
      <c r="V378" s="133">
        <v>0</v>
      </c>
      <c r="W378" s="133">
        <v>3.87</v>
      </c>
      <c r="X378" s="133">
        <v>0</v>
      </c>
      <c r="Y378" s="133">
        <v>0</v>
      </c>
      <c r="Z378" s="133">
        <v>0</v>
      </c>
      <c r="AA378" s="133">
        <v>0</v>
      </c>
      <c r="AB378" s="133">
        <v>0</v>
      </c>
      <c r="AC378" s="133">
        <v>0</v>
      </c>
      <c r="AD378" s="133">
        <v>0</v>
      </c>
      <c r="AE378" s="133">
        <v>0</v>
      </c>
      <c r="AF378" s="133">
        <v>0</v>
      </c>
      <c r="AG378" s="133">
        <v>157.45000000000002</v>
      </c>
    </row>
    <row r="379" spans="1:33" x14ac:dyDescent="0.45">
      <c r="A379" s="126"/>
      <c r="B379" s="129" t="s">
        <v>326</v>
      </c>
      <c r="C379" s="129">
        <v>0</v>
      </c>
      <c r="D379" s="129">
        <v>0</v>
      </c>
      <c r="E379" s="129">
        <v>0</v>
      </c>
      <c r="F379" s="129">
        <v>2.98</v>
      </c>
      <c r="G379" s="129">
        <v>0.85</v>
      </c>
      <c r="H379" s="129">
        <v>0</v>
      </c>
      <c r="I379" s="129">
        <v>0</v>
      </c>
      <c r="J379" s="129">
        <v>0</v>
      </c>
      <c r="K379" s="129">
        <v>0</v>
      </c>
      <c r="L379" s="129">
        <v>0</v>
      </c>
      <c r="M379" s="129">
        <v>21.85</v>
      </c>
      <c r="N379" s="129">
        <v>0</v>
      </c>
      <c r="O379" s="129">
        <v>0</v>
      </c>
      <c r="P379" s="129">
        <v>3.82</v>
      </c>
      <c r="Q379" s="129">
        <v>0</v>
      </c>
      <c r="R379" s="129">
        <v>0</v>
      </c>
      <c r="S379" s="129">
        <v>0</v>
      </c>
      <c r="T379" s="129">
        <v>0</v>
      </c>
      <c r="U379" s="129">
        <v>0</v>
      </c>
      <c r="V379" s="129">
        <v>0</v>
      </c>
      <c r="W379" s="129">
        <v>0.83</v>
      </c>
      <c r="X379" s="129">
        <v>0</v>
      </c>
      <c r="Y379" s="129">
        <v>0</v>
      </c>
      <c r="Z379" s="129">
        <v>0</v>
      </c>
      <c r="AA379" s="129">
        <v>0</v>
      </c>
      <c r="AB379" s="129">
        <v>0</v>
      </c>
      <c r="AC379" s="129">
        <v>0</v>
      </c>
      <c r="AD379" s="129">
        <v>0</v>
      </c>
      <c r="AE379" s="129">
        <v>0</v>
      </c>
      <c r="AF379" s="129">
        <v>0</v>
      </c>
      <c r="AG379" s="129">
        <v>30.330000000000002</v>
      </c>
    </row>
    <row r="380" spans="1:33" x14ac:dyDescent="0.45">
      <c r="B380" s="130" t="s">
        <v>325</v>
      </c>
      <c r="C380" s="133">
        <v>0</v>
      </c>
      <c r="D380" s="133">
        <v>0</v>
      </c>
      <c r="E380" s="133">
        <v>0</v>
      </c>
      <c r="F380" s="133">
        <v>0</v>
      </c>
      <c r="G380" s="133">
        <v>0.49</v>
      </c>
      <c r="H380" s="133">
        <v>0</v>
      </c>
      <c r="I380" s="133">
        <v>0</v>
      </c>
      <c r="J380" s="133">
        <v>0</v>
      </c>
      <c r="K380" s="133">
        <v>0</v>
      </c>
      <c r="L380" s="133">
        <v>0</v>
      </c>
      <c r="M380" s="133">
        <v>0.23</v>
      </c>
      <c r="N380" s="133">
        <v>0</v>
      </c>
      <c r="O380" s="133">
        <v>0</v>
      </c>
      <c r="P380" s="133">
        <v>1.24</v>
      </c>
      <c r="Q380" s="133">
        <v>0</v>
      </c>
      <c r="R380" s="133">
        <v>0</v>
      </c>
      <c r="S380" s="133">
        <v>11.13</v>
      </c>
      <c r="T380" s="133">
        <v>0</v>
      </c>
      <c r="U380" s="133">
        <v>0</v>
      </c>
      <c r="V380" s="133">
        <v>0</v>
      </c>
      <c r="W380" s="133">
        <v>0.27</v>
      </c>
      <c r="X380" s="133">
        <v>0</v>
      </c>
      <c r="Y380" s="133">
        <v>0</v>
      </c>
      <c r="Z380" s="133">
        <v>0</v>
      </c>
      <c r="AA380" s="133">
        <v>0</v>
      </c>
      <c r="AB380" s="133">
        <v>0</v>
      </c>
      <c r="AC380" s="133">
        <v>0</v>
      </c>
      <c r="AD380" s="133">
        <v>0</v>
      </c>
      <c r="AE380" s="133">
        <v>0</v>
      </c>
      <c r="AF380" s="133">
        <v>0</v>
      </c>
      <c r="AG380" s="133">
        <v>13.360000000000001</v>
      </c>
    </row>
    <row r="381" spans="1:33" x14ac:dyDescent="0.45">
      <c r="B381" s="130" t="s">
        <v>323</v>
      </c>
      <c r="C381" s="133">
        <v>0</v>
      </c>
      <c r="D381" s="133">
        <v>0</v>
      </c>
      <c r="E381" s="133">
        <v>0</v>
      </c>
      <c r="F381" s="133">
        <v>10.68</v>
      </c>
      <c r="G381" s="133">
        <v>2.98</v>
      </c>
      <c r="H381" s="133">
        <v>0</v>
      </c>
      <c r="I381" s="133">
        <v>0</v>
      </c>
      <c r="J381" s="133">
        <v>8.5999999999999993E-2</v>
      </c>
      <c r="K381" s="133">
        <v>0</v>
      </c>
      <c r="L381" s="133">
        <v>0</v>
      </c>
      <c r="M381" s="133">
        <v>2.13</v>
      </c>
      <c r="N381" s="133">
        <v>0</v>
      </c>
      <c r="O381" s="133">
        <v>0</v>
      </c>
      <c r="P381" s="133">
        <v>6.51</v>
      </c>
      <c r="Q381" s="133">
        <v>0</v>
      </c>
      <c r="R381" s="133">
        <v>0</v>
      </c>
      <c r="S381" s="133">
        <v>29.9</v>
      </c>
      <c r="T381" s="133">
        <v>0</v>
      </c>
      <c r="U381" s="133">
        <v>0</v>
      </c>
      <c r="V381" s="133">
        <v>0</v>
      </c>
      <c r="W381" s="133">
        <v>1.03</v>
      </c>
      <c r="X381" s="133">
        <v>0</v>
      </c>
      <c r="Y381" s="133">
        <v>0</v>
      </c>
      <c r="Z381" s="133">
        <v>0</v>
      </c>
      <c r="AA381" s="133">
        <v>0</v>
      </c>
      <c r="AB381" s="133">
        <v>0</v>
      </c>
      <c r="AC381" s="133">
        <v>0</v>
      </c>
      <c r="AD381" s="133">
        <v>0</v>
      </c>
      <c r="AE381" s="133">
        <v>0</v>
      </c>
      <c r="AF381" s="133">
        <v>0</v>
      </c>
      <c r="AG381" s="133">
        <v>53.315999999999995</v>
      </c>
    </row>
    <row r="382" spans="1:33" x14ac:dyDescent="0.45">
      <c r="A382" s="134" t="s">
        <v>321</v>
      </c>
      <c r="B382" s="130"/>
      <c r="C382" s="133">
        <v>0</v>
      </c>
      <c r="D382" s="133">
        <v>0</v>
      </c>
      <c r="E382" s="133">
        <v>0</v>
      </c>
      <c r="F382" s="133">
        <v>0</v>
      </c>
      <c r="G382" s="133">
        <v>0</v>
      </c>
      <c r="H382" s="133">
        <v>2.984</v>
      </c>
      <c r="I382" s="133">
        <v>0</v>
      </c>
      <c r="J382" s="133">
        <v>4.8000000000000001E-2</v>
      </c>
      <c r="K382" s="133">
        <v>0</v>
      </c>
      <c r="L382" s="133">
        <v>0</v>
      </c>
      <c r="M382" s="133">
        <v>0</v>
      </c>
      <c r="N382" s="133">
        <v>0</v>
      </c>
      <c r="O382" s="133">
        <v>0</v>
      </c>
      <c r="P382" s="133">
        <v>0</v>
      </c>
      <c r="Q382" s="133">
        <v>89.26</v>
      </c>
      <c r="R382" s="133">
        <v>0</v>
      </c>
      <c r="S382" s="133">
        <v>0</v>
      </c>
      <c r="T382" s="133">
        <v>0</v>
      </c>
      <c r="U382" s="133">
        <v>0</v>
      </c>
      <c r="V382" s="133">
        <v>0</v>
      </c>
      <c r="W382" s="133">
        <v>1.0205</v>
      </c>
      <c r="X382" s="133">
        <v>0</v>
      </c>
      <c r="Y382" s="133">
        <v>0.93049999999999999</v>
      </c>
      <c r="Z382" s="133">
        <v>0</v>
      </c>
      <c r="AA382" s="133">
        <v>0</v>
      </c>
      <c r="AB382" s="133">
        <v>0</v>
      </c>
      <c r="AC382" s="133">
        <v>0</v>
      </c>
      <c r="AD382" s="133">
        <v>0</v>
      </c>
      <c r="AE382" s="133">
        <v>0</v>
      </c>
      <c r="AF382" s="133">
        <v>0</v>
      </c>
      <c r="AG382" s="133">
        <v>94.242999999999995</v>
      </c>
    </row>
    <row r="383" spans="1:33" x14ac:dyDescent="0.45">
      <c r="A383" s="126"/>
      <c r="B383" s="129" t="s">
        <v>322</v>
      </c>
      <c r="C383" s="129">
        <v>0</v>
      </c>
      <c r="D383" s="129">
        <v>0</v>
      </c>
      <c r="E383" s="129">
        <v>0</v>
      </c>
      <c r="F383" s="129">
        <v>0</v>
      </c>
      <c r="G383" s="129">
        <v>0</v>
      </c>
      <c r="H383" s="129">
        <v>2.984</v>
      </c>
      <c r="I383" s="129">
        <v>0</v>
      </c>
      <c r="J383" s="129">
        <v>3.8600000000000002E-2</v>
      </c>
      <c r="K383" s="129">
        <v>0</v>
      </c>
      <c r="L383" s="129">
        <v>0</v>
      </c>
      <c r="M383" s="129">
        <v>0</v>
      </c>
      <c r="N383" s="129">
        <v>0</v>
      </c>
      <c r="O383" s="129">
        <v>0</v>
      </c>
      <c r="P383" s="129">
        <v>0</v>
      </c>
      <c r="Q383" s="129">
        <v>89.26</v>
      </c>
      <c r="R383" s="129">
        <v>0</v>
      </c>
      <c r="S383" s="129">
        <v>0</v>
      </c>
      <c r="T383" s="129">
        <v>0</v>
      </c>
      <c r="U383" s="129">
        <v>0</v>
      </c>
      <c r="V383" s="129">
        <v>0</v>
      </c>
      <c r="W383" s="129">
        <v>1</v>
      </c>
      <c r="X383" s="129">
        <v>0</v>
      </c>
      <c r="Y383" s="129">
        <v>0</v>
      </c>
      <c r="Z383" s="129">
        <v>0</v>
      </c>
      <c r="AA383" s="129">
        <v>0</v>
      </c>
      <c r="AB383" s="129">
        <v>0</v>
      </c>
      <c r="AC383" s="129">
        <v>0</v>
      </c>
      <c r="AD383" s="129">
        <v>0</v>
      </c>
      <c r="AE383" s="129">
        <v>0</v>
      </c>
      <c r="AF383" s="129">
        <v>0</v>
      </c>
      <c r="AG383" s="129">
        <v>93.282600000000002</v>
      </c>
    </row>
    <row r="384" spans="1:33" x14ac:dyDescent="0.45">
      <c r="B384" s="130" t="s">
        <v>320</v>
      </c>
      <c r="C384" s="133">
        <v>0</v>
      </c>
      <c r="D384" s="133">
        <v>0</v>
      </c>
      <c r="E384" s="133">
        <v>0</v>
      </c>
      <c r="F384" s="133">
        <v>0</v>
      </c>
      <c r="G384" s="133">
        <v>0</v>
      </c>
      <c r="H384" s="133">
        <v>0</v>
      </c>
      <c r="I384" s="133">
        <v>0</v>
      </c>
      <c r="J384" s="133">
        <v>9.4000000000000004E-3</v>
      </c>
      <c r="K384" s="133">
        <v>0</v>
      </c>
      <c r="L384" s="133">
        <v>0</v>
      </c>
      <c r="M384" s="133">
        <v>0</v>
      </c>
      <c r="N384" s="133">
        <v>0</v>
      </c>
      <c r="O384" s="133">
        <v>0</v>
      </c>
      <c r="P384" s="133">
        <v>0</v>
      </c>
      <c r="Q384" s="133">
        <v>0</v>
      </c>
      <c r="R384" s="133">
        <v>0</v>
      </c>
      <c r="S384" s="133">
        <v>0</v>
      </c>
      <c r="T384" s="133">
        <v>0</v>
      </c>
      <c r="U384" s="133">
        <v>0</v>
      </c>
      <c r="V384" s="133">
        <v>0</v>
      </c>
      <c r="W384" s="133">
        <v>2.0500000000000001E-2</v>
      </c>
      <c r="X384" s="133">
        <v>0</v>
      </c>
      <c r="Y384" s="133">
        <v>0.93049999999999999</v>
      </c>
      <c r="Z384" s="133">
        <v>0</v>
      </c>
      <c r="AA384" s="133">
        <v>0</v>
      </c>
      <c r="AB384" s="133">
        <v>0</v>
      </c>
      <c r="AC384" s="133">
        <v>0</v>
      </c>
      <c r="AD384" s="133">
        <v>0</v>
      </c>
      <c r="AE384" s="133">
        <v>0</v>
      </c>
      <c r="AF384" s="133">
        <v>0</v>
      </c>
      <c r="AG384" s="133">
        <v>0.96039999999999992</v>
      </c>
    </row>
    <row r="385" spans="1:33" x14ac:dyDescent="0.45">
      <c r="A385" s="126" t="s">
        <v>312</v>
      </c>
      <c r="B385" s="129"/>
      <c r="C385" s="129">
        <v>0</v>
      </c>
      <c r="D385" s="129">
        <v>2048.04</v>
      </c>
      <c r="E385" s="129">
        <v>0</v>
      </c>
      <c r="F385" s="129">
        <v>0</v>
      </c>
      <c r="G385" s="129">
        <v>382.05199999999996</v>
      </c>
      <c r="H385" s="129">
        <v>0</v>
      </c>
      <c r="I385" s="129">
        <v>28.424000000000003</v>
      </c>
      <c r="J385" s="129">
        <v>111.928</v>
      </c>
      <c r="K385" s="129">
        <v>0</v>
      </c>
      <c r="L385" s="129">
        <v>30.698</v>
      </c>
      <c r="M385" s="129">
        <v>1288.6199999999999</v>
      </c>
      <c r="N385" s="129">
        <v>0</v>
      </c>
      <c r="O385" s="129">
        <v>207.66300000000001</v>
      </c>
      <c r="P385" s="129">
        <v>1087.71</v>
      </c>
      <c r="Q385" s="129">
        <v>0</v>
      </c>
      <c r="R385" s="129">
        <v>0</v>
      </c>
      <c r="S385" s="129">
        <v>0</v>
      </c>
      <c r="T385" s="129">
        <v>371.791</v>
      </c>
      <c r="U385" s="129">
        <v>57.862000000000002</v>
      </c>
      <c r="V385" s="129">
        <v>0</v>
      </c>
      <c r="W385" s="129">
        <v>252.721</v>
      </c>
      <c r="X385" s="129">
        <v>0</v>
      </c>
      <c r="Y385" s="129">
        <v>433.58599999999996</v>
      </c>
      <c r="Z385" s="129">
        <v>0</v>
      </c>
      <c r="AA385" s="129">
        <v>574.8950000000001</v>
      </c>
      <c r="AB385" s="129">
        <v>1184.376</v>
      </c>
      <c r="AC385" s="129">
        <v>0</v>
      </c>
      <c r="AD385" s="129">
        <v>0</v>
      </c>
      <c r="AE385" s="129">
        <v>0</v>
      </c>
      <c r="AF385" s="129">
        <v>14.712999999999999</v>
      </c>
      <c r="AG385" s="129">
        <v>8075.0789999999997</v>
      </c>
    </row>
    <row r="386" spans="1:33" x14ac:dyDescent="0.45">
      <c r="B386" s="130" t="s">
        <v>319</v>
      </c>
      <c r="C386" s="133">
        <v>0</v>
      </c>
      <c r="D386" s="133">
        <v>0</v>
      </c>
      <c r="E386" s="133">
        <v>0</v>
      </c>
      <c r="F386" s="133">
        <v>0</v>
      </c>
      <c r="G386" s="133">
        <v>0</v>
      </c>
      <c r="H386" s="133">
        <v>0</v>
      </c>
      <c r="I386" s="133">
        <v>0</v>
      </c>
      <c r="J386" s="133">
        <v>0</v>
      </c>
      <c r="K386" s="133">
        <v>0</v>
      </c>
      <c r="L386" s="133">
        <v>0</v>
      </c>
      <c r="M386" s="133">
        <v>0</v>
      </c>
      <c r="N386" s="133">
        <v>0</v>
      </c>
      <c r="O386" s="133">
        <v>0</v>
      </c>
      <c r="P386" s="133">
        <v>0</v>
      </c>
      <c r="Q386" s="133">
        <v>0</v>
      </c>
      <c r="R386" s="133">
        <v>0</v>
      </c>
      <c r="S386" s="133">
        <v>0</v>
      </c>
      <c r="T386" s="133">
        <v>0</v>
      </c>
      <c r="U386" s="133">
        <v>0</v>
      </c>
      <c r="V386" s="133">
        <v>0</v>
      </c>
      <c r="W386" s="133">
        <v>0</v>
      </c>
      <c r="X386" s="133">
        <v>0</v>
      </c>
      <c r="Y386" s="133">
        <v>0</v>
      </c>
      <c r="Z386" s="133">
        <v>0</v>
      </c>
      <c r="AA386" s="133">
        <v>0</v>
      </c>
      <c r="AB386" s="133">
        <v>0</v>
      </c>
      <c r="AC386" s="133">
        <v>0</v>
      </c>
      <c r="AD386" s="133">
        <v>0</v>
      </c>
      <c r="AE386" s="133">
        <v>0</v>
      </c>
      <c r="AF386" s="133">
        <v>0</v>
      </c>
      <c r="AG386" s="133">
        <v>0</v>
      </c>
    </row>
    <row r="387" spans="1:33" x14ac:dyDescent="0.45">
      <c r="A387" s="126"/>
      <c r="B387" s="129" t="s">
        <v>318</v>
      </c>
      <c r="C387" s="129">
        <v>0</v>
      </c>
      <c r="D387" s="129">
        <v>0</v>
      </c>
      <c r="E387" s="129">
        <v>0</v>
      </c>
      <c r="F387" s="129">
        <v>0</v>
      </c>
      <c r="G387" s="129">
        <v>0</v>
      </c>
      <c r="H387" s="129">
        <v>0</v>
      </c>
      <c r="I387" s="129">
        <v>0</v>
      </c>
      <c r="J387" s="129">
        <v>0</v>
      </c>
      <c r="K387" s="129">
        <v>0</v>
      </c>
      <c r="L387" s="129">
        <v>0</v>
      </c>
      <c r="M387" s="129">
        <v>0</v>
      </c>
      <c r="N387" s="129">
        <v>0</v>
      </c>
      <c r="O387" s="129">
        <v>0</v>
      </c>
      <c r="P387" s="129">
        <v>0</v>
      </c>
      <c r="Q387" s="129">
        <v>0</v>
      </c>
      <c r="R387" s="129">
        <v>0</v>
      </c>
      <c r="S387" s="129">
        <v>0</v>
      </c>
      <c r="T387" s="129">
        <v>0</v>
      </c>
      <c r="U387" s="129">
        <v>0</v>
      </c>
      <c r="V387" s="129">
        <v>0</v>
      </c>
      <c r="W387" s="129">
        <v>0</v>
      </c>
      <c r="X387" s="129">
        <v>0</v>
      </c>
      <c r="Y387" s="129">
        <v>0</v>
      </c>
      <c r="Z387" s="129">
        <v>0</v>
      </c>
      <c r="AA387" s="129">
        <v>0</v>
      </c>
      <c r="AB387" s="129">
        <v>0</v>
      </c>
      <c r="AC387" s="129">
        <v>0</v>
      </c>
      <c r="AD387" s="129">
        <v>0</v>
      </c>
      <c r="AE387" s="129">
        <v>0</v>
      </c>
      <c r="AF387" s="129">
        <v>0</v>
      </c>
      <c r="AG387" s="129">
        <v>0</v>
      </c>
    </row>
    <row r="388" spans="1:33" x14ac:dyDescent="0.45">
      <c r="B388" s="130" t="s">
        <v>317</v>
      </c>
      <c r="C388" s="133">
        <v>0</v>
      </c>
      <c r="D388" s="133">
        <v>0</v>
      </c>
      <c r="E388" s="133">
        <v>0</v>
      </c>
      <c r="F388" s="133">
        <v>0</v>
      </c>
      <c r="G388" s="133">
        <v>0</v>
      </c>
      <c r="H388" s="133">
        <v>0</v>
      </c>
      <c r="I388" s="133">
        <v>0</v>
      </c>
      <c r="J388" s="133">
        <v>0</v>
      </c>
      <c r="K388" s="133">
        <v>0</v>
      </c>
      <c r="L388" s="133">
        <v>0</v>
      </c>
      <c r="M388" s="133">
        <v>0</v>
      </c>
      <c r="N388" s="133">
        <v>0</v>
      </c>
      <c r="O388" s="133">
        <v>0</v>
      </c>
      <c r="P388" s="133">
        <v>0</v>
      </c>
      <c r="Q388" s="133">
        <v>0</v>
      </c>
      <c r="R388" s="133">
        <v>0</v>
      </c>
      <c r="S388" s="133">
        <v>0</v>
      </c>
      <c r="T388" s="133">
        <v>0</v>
      </c>
      <c r="U388" s="133">
        <v>0</v>
      </c>
      <c r="V388" s="133">
        <v>0</v>
      </c>
      <c r="W388" s="133">
        <v>0</v>
      </c>
      <c r="X388" s="133">
        <v>0</v>
      </c>
      <c r="Y388" s="133">
        <v>0</v>
      </c>
      <c r="Z388" s="133">
        <v>0</v>
      </c>
      <c r="AA388" s="133">
        <v>0</v>
      </c>
      <c r="AB388" s="133">
        <v>0</v>
      </c>
      <c r="AC388" s="133">
        <v>0</v>
      </c>
      <c r="AD388" s="133">
        <v>0</v>
      </c>
      <c r="AE388" s="133">
        <v>0</v>
      </c>
      <c r="AF388" s="133">
        <v>0</v>
      </c>
      <c r="AG388" s="133">
        <v>0</v>
      </c>
    </row>
    <row r="389" spans="1:33" x14ac:dyDescent="0.45">
      <c r="B389" s="130" t="s">
        <v>112</v>
      </c>
      <c r="C389" s="133">
        <v>0</v>
      </c>
      <c r="D389" s="133">
        <v>2048.04</v>
      </c>
      <c r="E389" s="133">
        <v>0</v>
      </c>
      <c r="F389" s="133">
        <v>0</v>
      </c>
      <c r="G389" s="133">
        <v>360.12599999999998</v>
      </c>
      <c r="H389" s="133">
        <v>0</v>
      </c>
      <c r="I389" s="133">
        <v>23.577000000000002</v>
      </c>
      <c r="J389" s="133">
        <v>111.928</v>
      </c>
      <c r="K389" s="133">
        <v>0</v>
      </c>
      <c r="L389" s="133">
        <v>30.698</v>
      </c>
      <c r="M389" s="133">
        <v>1288.6199999999999</v>
      </c>
      <c r="N389" s="133">
        <v>0</v>
      </c>
      <c r="O389" s="133">
        <v>207.66300000000001</v>
      </c>
      <c r="P389" s="133">
        <v>1087.71</v>
      </c>
      <c r="Q389" s="133">
        <v>0</v>
      </c>
      <c r="R389" s="133">
        <v>0</v>
      </c>
      <c r="S389" s="133">
        <v>0</v>
      </c>
      <c r="T389" s="133">
        <v>371.791</v>
      </c>
      <c r="U389" s="133">
        <v>57.862000000000002</v>
      </c>
      <c r="V389" s="133">
        <v>0</v>
      </c>
      <c r="W389" s="133">
        <v>251.97</v>
      </c>
      <c r="X389" s="133">
        <v>0</v>
      </c>
      <c r="Y389" s="133">
        <v>408.36399999999998</v>
      </c>
      <c r="Z389" s="133">
        <v>0</v>
      </c>
      <c r="AA389" s="133">
        <v>566.95000000000005</v>
      </c>
      <c r="AB389" s="133">
        <v>1174.71</v>
      </c>
      <c r="AC389" s="133">
        <v>0</v>
      </c>
      <c r="AD389" s="133">
        <v>0</v>
      </c>
      <c r="AE389" s="133">
        <v>0</v>
      </c>
      <c r="AF389" s="133">
        <v>14.712999999999999</v>
      </c>
      <c r="AG389" s="133">
        <v>8004.7219999999998</v>
      </c>
    </row>
    <row r="390" spans="1:33" x14ac:dyDescent="0.45">
      <c r="B390" s="130" t="s">
        <v>316</v>
      </c>
      <c r="C390" s="133">
        <v>0</v>
      </c>
      <c r="D390" s="133">
        <v>0</v>
      </c>
      <c r="E390" s="133">
        <v>0</v>
      </c>
      <c r="F390" s="133">
        <v>0</v>
      </c>
      <c r="G390" s="133">
        <v>0</v>
      </c>
      <c r="H390" s="133">
        <v>0</v>
      </c>
      <c r="I390" s="133">
        <v>0</v>
      </c>
      <c r="J390" s="133">
        <v>0</v>
      </c>
      <c r="K390" s="133">
        <v>0</v>
      </c>
      <c r="L390" s="133">
        <v>0</v>
      </c>
      <c r="M390" s="133">
        <v>0</v>
      </c>
      <c r="N390" s="133">
        <v>0</v>
      </c>
      <c r="O390" s="133">
        <v>0</v>
      </c>
      <c r="P390" s="133">
        <v>0</v>
      </c>
      <c r="Q390" s="133">
        <v>0</v>
      </c>
      <c r="R390" s="133">
        <v>0</v>
      </c>
      <c r="S390" s="133">
        <v>0</v>
      </c>
      <c r="T390" s="133">
        <v>0</v>
      </c>
      <c r="U390" s="133">
        <v>0</v>
      </c>
      <c r="V390" s="133">
        <v>0</v>
      </c>
      <c r="W390" s="133">
        <v>0</v>
      </c>
      <c r="X390" s="133">
        <v>0</v>
      </c>
      <c r="Y390" s="133">
        <v>0</v>
      </c>
      <c r="Z390" s="133">
        <v>0</v>
      </c>
      <c r="AA390" s="133">
        <v>0</v>
      </c>
      <c r="AB390" s="133">
        <v>0</v>
      </c>
      <c r="AC390" s="133">
        <v>0</v>
      </c>
      <c r="AD390" s="133">
        <v>0</v>
      </c>
      <c r="AE390" s="133">
        <v>0</v>
      </c>
      <c r="AF390" s="133">
        <v>0</v>
      </c>
      <c r="AG390" s="133">
        <v>0</v>
      </c>
    </row>
    <row r="391" spans="1:33" x14ac:dyDescent="0.45">
      <c r="A391" s="126"/>
      <c r="B391" s="129" t="s">
        <v>315</v>
      </c>
      <c r="C391" s="129">
        <v>0</v>
      </c>
      <c r="D391" s="129">
        <v>0</v>
      </c>
      <c r="E391" s="129">
        <v>0</v>
      </c>
      <c r="F391" s="129">
        <v>0</v>
      </c>
      <c r="G391" s="129">
        <v>0</v>
      </c>
      <c r="H391" s="129">
        <v>0</v>
      </c>
      <c r="I391" s="129">
        <v>0</v>
      </c>
      <c r="J391" s="129">
        <v>0</v>
      </c>
      <c r="K391" s="129">
        <v>0</v>
      </c>
      <c r="L391" s="129">
        <v>0</v>
      </c>
      <c r="M391" s="129">
        <v>0</v>
      </c>
      <c r="N391" s="129">
        <v>0</v>
      </c>
      <c r="O391" s="129">
        <v>0</v>
      </c>
      <c r="P391" s="129">
        <v>0</v>
      </c>
      <c r="Q391" s="129">
        <v>0</v>
      </c>
      <c r="R391" s="129">
        <v>0</v>
      </c>
      <c r="S391" s="129">
        <v>0</v>
      </c>
      <c r="T391" s="129">
        <v>0</v>
      </c>
      <c r="U391" s="129">
        <v>0</v>
      </c>
      <c r="V391" s="129">
        <v>0</v>
      </c>
      <c r="W391" s="129">
        <v>0</v>
      </c>
      <c r="X391" s="129">
        <v>0</v>
      </c>
      <c r="Y391" s="129">
        <v>0</v>
      </c>
      <c r="Z391" s="129">
        <v>0</v>
      </c>
      <c r="AA391" s="129">
        <v>0</v>
      </c>
      <c r="AB391" s="129">
        <v>0</v>
      </c>
      <c r="AC391" s="129">
        <v>0</v>
      </c>
      <c r="AD391" s="129">
        <v>0</v>
      </c>
      <c r="AE391" s="129">
        <v>0</v>
      </c>
      <c r="AF391" s="129">
        <v>0</v>
      </c>
      <c r="AG391" s="129">
        <v>0</v>
      </c>
    </row>
    <row r="392" spans="1:33" x14ac:dyDescent="0.45">
      <c r="B392" s="130" t="s">
        <v>314</v>
      </c>
      <c r="C392" s="133">
        <v>0</v>
      </c>
      <c r="D392" s="133">
        <v>0</v>
      </c>
      <c r="E392" s="133">
        <v>0</v>
      </c>
      <c r="F392" s="133">
        <v>0</v>
      </c>
      <c r="G392" s="133">
        <v>0</v>
      </c>
      <c r="H392" s="133">
        <v>0</v>
      </c>
      <c r="I392" s="133">
        <v>0</v>
      </c>
      <c r="J392" s="133">
        <v>0</v>
      </c>
      <c r="K392" s="133">
        <v>0</v>
      </c>
      <c r="L392" s="133">
        <v>0</v>
      </c>
      <c r="M392" s="133">
        <v>0</v>
      </c>
      <c r="N392" s="133">
        <v>0</v>
      </c>
      <c r="O392" s="133">
        <v>0</v>
      </c>
      <c r="P392" s="133">
        <v>0</v>
      </c>
      <c r="Q392" s="133">
        <v>0</v>
      </c>
      <c r="R392" s="133">
        <v>0</v>
      </c>
      <c r="S392" s="133">
        <v>0</v>
      </c>
      <c r="T392" s="133">
        <v>0</v>
      </c>
      <c r="U392" s="133">
        <v>0</v>
      </c>
      <c r="V392" s="133">
        <v>0</v>
      </c>
      <c r="W392" s="133">
        <v>0</v>
      </c>
      <c r="X392" s="133">
        <v>0</v>
      </c>
      <c r="Y392" s="133">
        <v>0</v>
      </c>
      <c r="Z392" s="133">
        <v>0</v>
      </c>
      <c r="AA392" s="133">
        <v>0</v>
      </c>
      <c r="AB392" s="133">
        <v>0</v>
      </c>
      <c r="AC392" s="133">
        <v>0</v>
      </c>
      <c r="AD392" s="133">
        <v>0</v>
      </c>
      <c r="AE392" s="133">
        <v>0</v>
      </c>
      <c r="AF392" s="133">
        <v>0</v>
      </c>
      <c r="AG392" s="133">
        <v>0</v>
      </c>
    </row>
    <row r="393" spans="1:33" x14ac:dyDescent="0.45">
      <c r="A393" s="126"/>
      <c r="B393" s="129" t="s">
        <v>313</v>
      </c>
      <c r="C393" s="129">
        <v>0</v>
      </c>
      <c r="D393" s="129">
        <v>0</v>
      </c>
      <c r="E393" s="129">
        <v>0</v>
      </c>
      <c r="F393" s="129">
        <v>0</v>
      </c>
      <c r="G393" s="129">
        <v>21.925999999999998</v>
      </c>
      <c r="H393" s="129">
        <v>0</v>
      </c>
      <c r="I393" s="129">
        <v>4.8470000000000004</v>
      </c>
      <c r="J393" s="129">
        <v>0</v>
      </c>
      <c r="K393" s="129">
        <v>0</v>
      </c>
      <c r="L393" s="129">
        <v>0</v>
      </c>
      <c r="M393" s="129">
        <v>0</v>
      </c>
      <c r="N393" s="129">
        <v>0</v>
      </c>
      <c r="O393" s="129">
        <v>0</v>
      </c>
      <c r="P393" s="129">
        <v>0</v>
      </c>
      <c r="Q393" s="129">
        <v>0</v>
      </c>
      <c r="R393" s="129">
        <v>0</v>
      </c>
      <c r="S393" s="129">
        <v>0</v>
      </c>
      <c r="T393" s="129">
        <v>0</v>
      </c>
      <c r="U393" s="129">
        <v>0</v>
      </c>
      <c r="V393" s="129">
        <v>0</v>
      </c>
      <c r="W393" s="129">
        <v>0.751</v>
      </c>
      <c r="X393" s="129">
        <v>0</v>
      </c>
      <c r="Y393" s="129">
        <v>25.222000000000001</v>
      </c>
      <c r="Z393" s="129">
        <v>0</v>
      </c>
      <c r="AA393" s="129">
        <v>7.9450000000000003</v>
      </c>
      <c r="AB393" s="129">
        <v>9.6660000000000004</v>
      </c>
      <c r="AC393" s="129">
        <v>0</v>
      </c>
      <c r="AD393" s="129">
        <v>0</v>
      </c>
      <c r="AE393" s="129">
        <v>0</v>
      </c>
      <c r="AF393" s="129">
        <v>0</v>
      </c>
      <c r="AG393" s="129">
        <v>70.356999999999985</v>
      </c>
    </row>
    <row r="394" spans="1:33" x14ac:dyDescent="0.45">
      <c r="B394" s="130" t="s">
        <v>311</v>
      </c>
      <c r="C394" s="133">
        <v>0</v>
      </c>
      <c r="D394" s="133">
        <v>0</v>
      </c>
      <c r="E394" s="133">
        <v>0</v>
      </c>
      <c r="F394" s="133">
        <v>0</v>
      </c>
      <c r="G394" s="133">
        <v>0</v>
      </c>
      <c r="H394" s="133">
        <v>0</v>
      </c>
      <c r="I394" s="133">
        <v>0</v>
      </c>
      <c r="J394" s="133">
        <v>0</v>
      </c>
      <c r="K394" s="133">
        <v>0</v>
      </c>
      <c r="L394" s="133">
        <v>0</v>
      </c>
      <c r="M394" s="133">
        <v>0</v>
      </c>
      <c r="N394" s="133">
        <v>0</v>
      </c>
      <c r="O394" s="133">
        <v>0</v>
      </c>
      <c r="P394" s="133">
        <v>0</v>
      </c>
      <c r="Q394" s="133">
        <v>0</v>
      </c>
      <c r="R394" s="133">
        <v>0</v>
      </c>
      <c r="S394" s="133">
        <v>0</v>
      </c>
      <c r="T394" s="133">
        <v>0</v>
      </c>
      <c r="U394" s="133">
        <v>0</v>
      </c>
      <c r="V394" s="133">
        <v>0</v>
      </c>
      <c r="W394" s="133">
        <v>0</v>
      </c>
      <c r="X394" s="133">
        <v>0</v>
      </c>
      <c r="Y394" s="133">
        <v>0</v>
      </c>
      <c r="Z394" s="133">
        <v>0</v>
      </c>
      <c r="AA394" s="133">
        <v>0</v>
      </c>
      <c r="AB394" s="133">
        <v>0</v>
      </c>
      <c r="AC394" s="133">
        <v>0</v>
      </c>
      <c r="AD394" s="133">
        <v>0</v>
      </c>
      <c r="AE394" s="133">
        <v>0</v>
      </c>
      <c r="AF394" s="133">
        <v>0</v>
      </c>
      <c r="AG394" s="133">
        <v>0</v>
      </c>
    </row>
    <row r="395" spans="1:33" x14ac:dyDescent="0.45">
      <c r="A395" s="134" t="s">
        <v>305</v>
      </c>
      <c r="B395" s="130"/>
      <c r="C395" s="133">
        <v>0</v>
      </c>
      <c r="D395" s="133">
        <v>419.98200000000003</v>
      </c>
      <c r="E395" s="133">
        <v>0</v>
      </c>
      <c r="F395" s="133">
        <v>0</v>
      </c>
      <c r="G395" s="133">
        <v>0</v>
      </c>
      <c r="H395" s="133">
        <v>0</v>
      </c>
      <c r="I395" s="133">
        <v>35.721999999999994</v>
      </c>
      <c r="J395" s="133">
        <v>2.9470000000000005</v>
      </c>
      <c r="K395" s="133">
        <v>0</v>
      </c>
      <c r="L395" s="133">
        <v>6.12</v>
      </c>
      <c r="M395" s="133">
        <v>0</v>
      </c>
      <c r="N395" s="133">
        <v>0</v>
      </c>
      <c r="O395" s="133">
        <v>0</v>
      </c>
      <c r="P395" s="133">
        <v>50.030999999999999</v>
      </c>
      <c r="Q395" s="133">
        <v>195.68100000000001</v>
      </c>
      <c r="R395" s="133">
        <v>20.599</v>
      </c>
      <c r="S395" s="133">
        <v>15.272</v>
      </c>
      <c r="T395" s="133">
        <v>0</v>
      </c>
      <c r="U395" s="133">
        <v>2.3580000000000001</v>
      </c>
      <c r="V395" s="133">
        <v>0</v>
      </c>
      <c r="W395" s="133">
        <v>21.495900000000002</v>
      </c>
      <c r="X395" s="133">
        <v>0</v>
      </c>
      <c r="Y395" s="133">
        <v>127.789</v>
      </c>
      <c r="Z395" s="133">
        <v>0</v>
      </c>
      <c r="AA395" s="133">
        <v>0</v>
      </c>
      <c r="AB395" s="133">
        <v>0</v>
      </c>
      <c r="AC395" s="133">
        <v>0</v>
      </c>
      <c r="AD395" s="133">
        <v>0</v>
      </c>
      <c r="AE395" s="133">
        <v>7.2999999999999995E-2</v>
      </c>
      <c r="AF395" s="133">
        <v>1.3111299999999999</v>
      </c>
      <c r="AG395" s="133">
        <v>899.38103000000001</v>
      </c>
    </row>
    <row r="396" spans="1:33" x14ac:dyDescent="0.45">
      <c r="A396" s="126"/>
      <c r="B396" s="129" t="s">
        <v>310</v>
      </c>
      <c r="C396" s="129">
        <v>0</v>
      </c>
      <c r="D396" s="129">
        <v>0</v>
      </c>
      <c r="E396" s="129">
        <v>0</v>
      </c>
      <c r="F396" s="129">
        <v>0</v>
      </c>
      <c r="G396" s="129">
        <v>0</v>
      </c>
      <c r="H396" s="129">
        <v>0</v>
      </c>
      <c r="I396" s="129">
        <v>0</v>
      </c>
      <c r="J396" s="129">
        <v>0.39200000000000002</v>
      </c>
      <c r="K396" s="129">
        <v>0</v>
      </c>
      <c r="L396" s="129">
        <v>3.851</v>
      </c>
      <c r="M396" s="129">
        <v>0</v>
      </c>
      <c r="N396" s="129">
        <v>0</v>
      </c>
      <c r="O396" s="129">
        <v>0</v>
      </c>
      <c r="P396" s="129">
        <v>3.6930000000000001</v>
      </c>
      <c r="Q396" s="129">
        <v>0</v>
      </c>
      <c r="R396" s="129">
        <v>20.599</v>
      </c>
      <c r="S396" s="129">
        <v>0</v>
      </c>
      <c r="T396" s="129">
        <v>0</v>
      </c>
      <c r="U396" s="129">
        <v>0</v>
      </c>
      <c r="V396" s="129">
        <v>0</v>
      </c>
      <c r="W396" s="129">
        <v>0.76200000000000001</v>
      </c>
      <c r="X396" s="129">
        <v>0</v>
      </c>
      <c r="Y396" s="129">
        <v>0</v>
      </c>
      <c r="Z396" s="129">
        <v>0</v>
      </c>
      <c r="AA396" s="129">
        <v>0</v>
      </c>
      <c r="AB396" s="129">
        <v>0</v>
      </c>
      <c r="AC396" s="129">
        <v>0</v>
      </c>
      <c r="AD396" s="129">
        <v>0</v>
      </c>
      <c r="AE396" s="129">
        <v>0</v>
      </c>
      <c r="AF396" s="129">
        <v>0</v>
      </c>
      <c r="AG396" s="129">
        <v>29.297000000000001</v>
      </c>
    </row>
    <row r="397" spans="1:33" x14ac:dyDescent="0.45">
      <c r="B397" s="130" t="s">
        <v>309</v>
      </c>
      <c r="C397" s="133">
        <v>0</v>
      </c>
      <c r="D397" s="133">
        <v>0</v>
      </c>
      <c r="E397" s="133">
        <v>0</v>
      </c>
      <c r="F397" s="133">
        <v>0</v>
      </c>
      <c r="G397" s="133">
        <v>0</v>
      </c>
      <c r="H397" s="133">
        <v>0</v>
      </c>
      <c r="I397" s="133">
        <v>0</v>
      </c>
      <c r="J397" s="133">
        <v>0.39200000000000002</v>
      </c>
      <c r="K397" s="133">
        <v>0</v>
      </c>
      <c r="L397" s="133">
        <v>0</v>
      </c>
      <c r="M397" s="133">
        <v>0</v>
      </c>
      <c r="N397" s="133">
        <v>0</v>
      </c>
      <c r="O397" s="133">
        <v>0</v>
      </c>
      <c r="P397" s="133">
        <v>1.575</v>
      </c>
      <c r="Q397" s="133">
        <v>0</v>
      </c>
      <c r="R397" s="133">
        <v>0</v>
      </c>
      <c r="S397" s="133">
        <v>15.272</v>
      </c>
      <c r="T397" s="133">
        <v>0</v>
      </c>
      <c r="U397" s="133">
        <v>0.36</v>
      </c>
      <c r="V397" s="133">
        <v>0</v>
      </c>
      <c r="W397" s="133">
        <v>0.52800000000000002</v>
      </c>
      <c r="X397" s="133">
        <v>0</v>
      </c>
      <c r="Y397" s="133">
        <v>0</v>
      </c>
      <c r="Z397" s="133">
        <v>0</v>
      </c>
      <c r="AA397" s="133">
        <v>0</v>
      </c>
      <c r="AB397" s="133">
        <v>0</v>
      </c>
      <c r="AC397" s="133">
        <v>0</v>
      </c>
      <c r="AD397" s="133">
        <v>0</v>
      </c>
      <c r="AE397" s="133">
        <v>0</v>
      </c>
      <c r="AF397" s="133">
        <v>0</v>
      </c>
      <c r="AG397" s="133">
        <v>18.126999999999999</v>
      </c>
    </row>
    <row r="398" spans="1:33" x14ac:dyDescent="0.45">
      <c r="A398" s="126"/>
      <c r="B398" s="129" t="s">
        <v>308</v>
      </c>
      <c r="C398" s="129">
        <v>0</v>
      </c>
      <c r="D398" s="129">
        <v>300.36</v>
      </c>
      <c r="E398" s="129">
        <v>0</v>
      </c>
      <c r="F398" s="129">
        <v>0</v>
      </c>
      <c r="G398" s="129">
        <v>0</v>
      </c>
      <c r="H398" s="129">
        <v>0</v>
      </c>
      <c r="I398" s="129">
        <v>3.2970000000000002</v>
      </c>
      <c r="J398" s="129">
        <v>1.2250000000000001</v>
      </c>
      <c r="K398" s="129">
        <v>0</v>
      </c>
      <c r="L398" s="129">
        <v>1.151</v>
      </c>
      <c r="M398" s="129">
        <v>0</v>
      </c>
      <c r="N398" s="129">
        <v>0</v>
      </c>
      <c r="O398" s="129">
        <v>0</v>
      </c>
      <c r="P398" s="129">
        <v>44.762999999999998</v>
      </c>
      <c r="Q398" s="129">
        <v>195.68100000000001</v>
      </c>
      <c r="R398" s="129">
        <v>0</v>
      </c>
      <c r="S398" s="129">
        <v>0</v>
      </c>
      <c r="T398" s="129">
        <v>0</v>
      </c>
      <c r="U398" s="129">
        <v>1.998</v>
      </c>
      <c r="V398" s="129">
        <v>0</v>
      </c>
      <c r="W398" s="129">
        <v>17.493300000000001</v>
      </c>
      <c r="X398" s="129">
        <v>0</v>
      </c>
      <c r="Y398" s="129">
        <v>119.79900000000001</v>
      </c>
      <c r="Z398" s="129">
        <v>0</v>
      </c>
      <c r="AA398" s="129">
        <v>0</v>
      </c>
      <c r="AB398" s="129">
        <v>0</v>
      </c>
      <c r="AC398" s="129">
        <v>0</v>
      </c>
      <c r="AD398" s="129">
        <v>0</v>
      </c>
      <c r="AE398" s="129">
        <v>0</v>
      </c>
      <c r="AF398" s="129">
        <v>1.3111299999999999</v>
      </c>
      <c r="AG398" s="129">
        <v>687.07843000000003</v>
      </c>
    </row>
    <row r="399" spans="1:33" x14ac:dyDescent="0.45">
      <c r="B399" s="130" t="s">
        <v>307</v>
      </c>
      <c r="C399" s="133">
        <v>0</v>
      </c>
      <c r="D399" s="133">
        <v>0</v>
      </c>
      <c r="E399" s="133">
        <v>0</v>
      </c>
      <c r="F399" s="133">
        <v>0</v>
      </c>
      <c r="G399" s="133">
        <v>0</v>
      </c>
      <c r="H399" s="133">
        <v>0</v>
      </c>
      <c r="I399" s="133">
        <v>0</v>
      </c>
      <c r="J399" s="133">
        <v>0</v>
      </c>
      <c r="K399" s="133">
        <v>0</v>
      </c>
      <c r="L399" s="133">
        <v>0</v>
      </c>
      <c r="M399" s="133">
        <v>0</v>
      </c>
      <c r="N399" s="133">
        <v>0</v>
      </c>
      <c r="O399" s="133">
        <v>0</v>
      </c>
      <c r="P399" s="133">
        <v>0</v>
      </c>
      <c r="Q399" s="133">
        <v>0</v>
      </c>
      <c r="R399" s="133">
        <v>0</v>
      </c>
      <c r="S399" s="133">
        <v>0</v>
      </c>
      <c r="T399" s="133">
        <v>0</v>
      </c>
      <c r="U399" s="133">
        <v>0</v>
      </c>
      <c r="V399" s="133">
        <v>0</v>
      </c>
      <c r="W399" s="133">
        <v>0</v>
      </c>
      <c r="X399" s="133">
        <v>0</v>
      </c>
      <c r="Y399" s="133">
        <v>0</v>
      </c>
      <c r="Z399" s="133">
        <v>0</v>
      </c>
      <c r="AA399" s="133">
        <v>0</v>
      </c>
      <c r="AB399" s="133">
        <v>0</v>
      </c>
      <c r="AC399" s="133">
        <v>0</v>
      </c>
      <c r="AD399" s="133">
        <v>0</v>
      </c>
      <c r="AE399" s="133">
        <v>0</v>
      </c>
      <c r="AF399" s="133">
        <v>0</v>
      </c>
      <c r="AG399" s="133">
        <v>0</v>
      </c>
    </row>
    <row r="400" spans="1:33" x14ac:dyDescent="0.45">
      <c r="A400" s="126"/>
      <c r="B400" s="129" t="s">
        <v>306</v>
      </c>
      <c r="C400" s="129">
        <v>0</v>
      </c>
      <c r="D400" s="129">
        <v>119.622</v>
      </c>
      <c r="E400" s="129">
        <v>0</v>
      </c>
      <c r="F400" s="129">
        <v>0</v>
      </c>
      <c r="G400" s="129">
        <v>0</v>
      </c>
      <c r="H400" s="129">
        <v>0</v>
      </c>
      <c r="I400" s="129">
        <v>32.424999999999997</v>
      </c>
      <c r="J400" s="129">
        <v>0.184</v>
      </c>
      <c r="K400" s="129">
        <v>0</v>
      </c>
      <c r="L400" s="129">
        <v>1.1180000000000001</v>
      </c>
      <c r="M400" s="129">
        <v>0</v>
      </c>
      <c r="N400" s="129">
        <v>0</v>
      </c>
      <c r="O400" s="129">
        <v>0</v>
      </c>
      <c r="P400" s="129">
        <v>0</v>
      </c>
      <c r="Q400" s="129">
        <v>0</v>
      </c>
      <c r="R400" s="129">
        <v>0</v>
      </c>
      <c r="S400" s="129">
        <v>0</v>
      </c>
      <c r="T400" s="129">
        <v>0</v>
      </c>
      <c r="U400" s="129">
        <v>0</v>
      </c>
      <c r="V400" s="129">
        <v>0</v>
      </c>
      <c r="W400" s="129">
        <v>2.6126</v>
      </c>
      <c r="X400" s="129">
        <v>0</v>
      </c>
      <c r="Y400" s="129">
        <v>0</v>
      </c>
      <c r="Z400" s="129">
        <v>0</v>
      </c>
      <c r="AA400" s="129">
        <v>0</v>
      </c>
      <c r="AB400" s="129">
        <v>0</v>
      </c>
      <c r="AC400" s="129">
        <v>0</v>
      </c>
      <c r="AD400" s="129">
        <v>0</v>
      </c>
      <c r="AE400" s="129">
        <v>7.2999999999999995E-2</v>
      </c>
      <c r="AF400" s="129">
        <v>0</v>
      </c>
      <c r="AG400" s="129">
        <v>156.03460000000001</v>
      </c>
    </row>
    <row r="401" spans="1:33" x14ac:dyDescent="0.45">
      <c r="B401" s="130" t="s">
        <v>304</v>
      </c>
      <c r="C401" s="133">
        <v>0</v>
      </c>
      <c r="D401" s="133">
        <v>0</v>
      </c>
      <c r="E401" s="133">
        <v>0</v>
      </c>
      <c r="F401" s="133">
        <v>0</v>
      </c>
      <c r="G401" s="133">
        <v>0</v>
      </c>
      <c r="H401" s="133">
        <v>0</v>
      </c>
      <c r="I401" s="133">
        <v>0</v>
      </c>
      <c r="J401" s="133">
        <v>0.754</v>
      </c>
      <c r="K401" s="133">
        <v>0</v>
      </c>
      <c r="L401" s="133">
        <v>0</v>
      </c>
      <c r="M401" s="133">
        <v>0</v>
      </c>
      <c r="N401" s="133">
        <v>0</v>
      </c>
      <c r="O401" s="133">
        <v>0</v>
      </c>
      <c r="P401" s="133">
        <v>0</v>
      </c>
      <c r="Q401" s="133">
        <v>0</v>
      </c>
      <c r="R401" s="133">
        <v>0</v>
      </c>
      <c r="S401" s="133">
        <v>0</v>
      </c>
      <c r="T401" s="133">
        <v>0</v>
      </c>
      <c r="U401" s="133">
        <v>0</v>
      </c>
      <c r="V401" s="133">
        <v>0</v>
      </c>
      <c r="W401" s="133">
        <v>0.1</v>
      </c>
      <c r="X401" s="133">
        <v>0</v>
      </c>
      <c r="Y401" s="133">
        <v>7.99</v>
      </c>
      <c r="Z401" s="133">
        <v>0</v>
      </c>
      <c r="AA401" s="133">
        <v>0</v>
      </c>
      <c r="AB401" s="133">
        <v>0</v>
      </c>
      <c r="AC401" s="133">
        <v>0</v>
      </c>
      <c r="AD401" s="133">
        <v>0</v>
      </c>
      <c r="AE401" s="133">
        <v>0</v>
      </c>
      <c r="AF401" s="133">
        <v>0</v>
      </c>
      <c r="AG401" s="133">
        <v>8.8439999999999994</v>
      </c>
    </row>
    <row r="402" spans="1:33" x14ac:dyDescent="0.45">
      <c r="A402" s="126" t="s">
        <v>299</v>
      </c>
      <c r="B402" s="129"/>
      <c r="C402" s="129">
        <v>0</v>
      </c>
      <c r="D402" s="129">
        <v>0</v>
      </c>
      <c r="E402" s="129">
        <v>0</v>
      </c>
      <c r="F402" s="129">
        <v>27.424600000000002</v>
      </c>
      <c r="G402" s="129">
        <v>1.4</v>
      </c>
      <c r="H402" s="129">
        <v>0</v>
      </c>
      <c r="I402" s="129">
        <v>0</v>
      </c>
      <c r="J402" s="129">
        <v>0.50768599999999997</v>
      </c>
      <c r="K402" s="129">
        <v>0</v>
      </c>
      <c r="L402" s="129">
        <v>0</v>
      </c>
      <c r="M402" s="129">
        <v>38.172600000000003</v>
      </c>
      <c r="N402" s="129">
        <v>0</v>
      </c>
      <c r="O402" s="129">
        <v>11.8148</v>
      </c>
      <c r="P402" s="129">
        <v>24.303000000000001</v>
      </c>
      <c r="Q402" s="129">
        <v>0</v>
      </c>
      <c r="R402" s="129">
        <v>0</v>
      </c>
      <c r="S402" s="129">
        <v>10.0044</v>
      </c>
      <c r="T402" s="129">
        <v>0</v>
      </c>
      <c r="U402" s="129">
        <v>0</v>
      </c>
      <c r="V402" s="129">
        <v>0</v>
      </c>
      <c r="W402" s="129">
        <v>5.4426250000000005</v>
      </c>
      <c r="X402" s="129">
        <v>0</v>
      </c>
      <c r="Y402" s="129">
        <v>24.08</v>
      </c>
      <c r="Z402" s="129">
        <v>0</v>
      </c>
      <c r="AA402" s="129">
        <v>0</v>
      </c>
      <c r="AB402" s="129">
        <v>0</v>
      </c>
      <c r="AC402" s="129">
        <v>0</v>
      </c>
      <c r="AD402" s="129">
        <v>0</v>
      </c>
      <c r="AE402" s="129">
        <v>0</v>
      </c>
      <c r="AF402" s="129">
        <v>16.511389999999999</v>
      </c>
      <c r="AG402" s="129">
        <v>159.66110100000003</v>
      </c>
    </row>
    <row r="403" spans="1:33" x14ac:dyDescent="0.45">
      <c r="B403" s="130" t="s">
        <v>302</v>
      </c>
      <c r="C403" s="133">
        <v>0</v>
      </c>
      <c r="D403" s="133">
        <v>0</v>
      </c>
      <c r="E403" s="133">
        <v>0</v>
      </c>
      <c r="F403" s="133">
        <v>0</v>
      </c>
      <c r="G403" s="133">
        <v>1.4</v>
      </c>
      <c r="H403" s="133">
        <v>0</v>
      </c>
      <c r="I403" s="133">
        <v>0</v>
      </c>
      <c r="J403" s="133">
        <v>0.14199999999999999</v>
      </c>
      <c r="K403" s="133">
        <v>0</v>
      </c>
      <c r="L403" s="133">
        <v>0</v>
      </c>
      <c r="M403" s="133">
        <v>0</v>
      </c>
      <c r="N403" s="133">
        <v>0</v>
      </c>
      <c r="O403" s="133">
        <v>0</v>
      </c>
      <c r="P403" s="133">
        <v>0</v>
      </c>
      <c r="Q403" s="133">
        <v>0</v>
      </c>
      <c r="R403" s="133">
        <v>0</v>
      </c>
      <c r="S403" s="133">
        <v>0</v>
      </c>
      <c r="T403" s="133">
        <v>0</v>
      </c>
      <c r="U403" s="133">
        <v>0</v>
      </c>
      <c r="V403" s="133">
        <v>0</v>
      </c>
      <c r="W403" s="133">
        <v>3.1085000000000002E-2</v>
      </c>
      <c r="X403" s="133">
        <v>0</v>
      </c>
      <c r="Y403" s="133">
        <v>0</v>
      </c>
      <c r="Z403" s="133">
        <v>0</v>
      </c>
      <c r="AA403" s="133">
        <v>0</v>
      </c>
      <c r="AB403" s="133">
        <v>0</v>
      </c>
      <c r="AC403" s="133">
        <v>0</v>
      </c>
      <c r="AD403" s="133">
        <v>0</v>
      </c>
      <c r="AE403" s="133">
        <v>0</v>
      </c>
      <c r="AF403" s="133">
        <v>11.6671</v>
      </c>
      <c r="AG403" s="133">
        <v>13.240184999999999</v>
      </c>
    </row>
    <row r="404" spans="1:33" x14ac:dyDescent="0.45">
      <c r="A404" s="126"/>
      <c r="B404" s="129" t="s">
        <v>301</v>
      </c>
      <c r="C404" s="129">
        <v>0</v>
      </c>
      <c r="D404" s="129">
        <v>0</v>
      </c>
      <c r="E404" s="129">
        <v>0</v>
      </c>
      <c r="F404" s="129">
        <v>0</v>
      </c>
      <c r="G404" s="129">
        <v>0</v>
      </c>
      <c r="H404" s="129">
        <v>0</v>
      </c>
      <c r="I404" s="129">
        <v>0</v>
      </c>
      <c r="J404" s="129">
        <v>0</v>
      </c>
      <c r="K404" s="129">
        <v>0</v>
      </c>
      <c r="L404" s="129">
        <v>0</v>
      </c>
      <c r="M404" s="129">
        <v>0</v>
      </c>
      <c r="N404" s="129">
        <v>0</v>
      </c>
      <c r="O404" s="129">
        <v>0</v>
      </c>
      <c r="P404" s="129">
        <v>0</v>
      </c>
      <c r="Q404" s="129">
        <v>0</v>
      </c>
      <c r="R404" s="129">
        <v>0</v>
      </c>
      <c r="S404" s="129">
        <v>0</v>
      </c>
      <c r="T404" s="129">
        <v>0</v>
      </c>
      <c r="U404" s="129">
        <v>0</v>
      </c>
      <c r="V404" s="129">
        <v>0</v>
      </c>
      <c r="W404" s="129">
        <v>0</v>
      </c>
      <c r="X404" s="129">
        <v>0</v>
      </c>
      <c r="Y404" s="129">
        <v>0</v>
      </c>
      <c r="Z404" s="129">
        <v>0</v>
      </c>
      <c r="AA404" s="129">
        <v>0</v>
      </c>
      <c r="AB404" s="129">
        <v>0</v>
      </c>
      <c r="AC404" s="129">
        <v>0</v>
      </c>
      <c r="AD404" s="129">
        <v>0</v>
      </c>
      <c r="AE404" s="129">
        <v>0</v>
      </c>
      <c r="AF404" s="129">
        <v>0</v>
      </c>
      <c r="AG404" s="129">
        <v>0</v>
      </c>
    </row>
    <row r="405" spans="1:33" x14ac:dyDescent="0.45">
      <c r="B405" s="130" t="s">
        <v>300</v>
      </c>
      <c r="C405" s="133">
        <v>0</v>
      </c>
      <c r="D405" s="133">
        <v>0</v>
      </c>
      <c r="E405" s="133">
        <v>0</v>
      </c>
      <c r="F405" s="133">
        <v>0</v>
      </c>
      <c r="G405" s="133">
        <v>0</v>
      </c>
      <c r="H405" s="133">
        <v>0</v>
      </c>
      <c r="I405" s="133">
        <v>0</v>
      </c>
      <c r="J405" s="133">
        <v>5.5E-2</v>
      </c>
      <c r="K405" s="133">
        <v>0</v>
      </c>
      <c r="L405" s="133">
        <v>0</v>
      </c>
      <c r="M405" s="133">
        <v>0</v>
      </c>
      <c r="N405" s="133">
        <v>0</v>
      </c>
      <c r="O405" s="133">
        <v>0</v>
      </c>
      <c r="P405" s="133">
        <v>0</v>
      </c>
      <c r="Q405" s="133">
        <v>0</v>
      </c>
      <c r="R405" s="133">
        <v>0</v>
      </c>
      <c r="S405" s="133">
        <v>0</v>
      </c>
      <c r="T405" s="133">
        <v>0</v>
      </c>
      <c r="U405" s="133">
        <v>0</v>
      </c>
      <c r="V405" s="133">
        <v>0</v>
      </c>
      <c r="W405" s="133">
        <v>5.7000000000000002E-2</v>
      </c>
      <c r="X405" s="133">
        <v>0</v>
      </c>
      <c r="Y405" s="133">
        <v>3.9380000000000002</v>
      </c>
      <c r="Z405" s="133">
        <v>0</v>
      </c>
      <c r="AA405" s="133">
        <v>0</v>
      </c>
      <c r="AB405" s="133">
        <v>0</v>
      </c>
      <c r="AC405" s="133">
        <v>0</v>
      </c>
      <c r="AD405" s="133">
        <v>0</v>
      </c>
      <c r="AE405" s="133">
        <v>0</v>
      </c>
      <c r="AF405" s="133">
        <v>0</v>
      </c>
      <c r="AG405" s="133">
        <v>4.0500000000000007</v>
      </c>
    </row>
    <row r="406" spans="1:33" x14ac:dyDescent="0.45">
      <c r="A406" s="126"/>
      <c r="B406" s="129" t="s">
        <v>298</v>
      </c>
      <c r="C406" s="129">
        <v>0</v>
      </c>
      <c r="D406" s="129">
        <v>0</v>
      </c>
      <c r="E406" s="129">
        <v>0</v>
      </c>
      <c r="F406" s="129">
        <v>27.424600000000002</v>
      </c>
      <c r="G406" s="129">
        <v>0</v>
      </c>
      <c r="H406" s="129">
        <v>0</v>
      </c>
      <c r="I406" s="129">
        <v>0</v>
      </c>
      <c r="J406" s="129">
        <v>0.31068600000000002</v>
      </c>
      <c r="K406" s="129">
        <v>0</v>
      </c>
      <c r="L406" s="129">
        <v>0</v>
      </c>
      <c r="M406" s="129">
        <v>38.172600000000003</v>
      </c>
      <c r="N406" s="129">
        <v>0</v>
      </c>
      <c r="O406" s="129">
        <v>11.8148</v>
      </c>
      <c r="P406" s="129">
        <v>24.303000000000001</v>
      </c>
      <c r="Q406" s="129">
        <v>0</v>
      </c>
      <c r="R406" s="129">
        <v>0</v>
      </c>
      <c r="S406" s="129">
        <v>10.0044</v>
      </c>
      <c r="T406" s="129">
        <v>0</v>
      </c>
      <c r="U406" s="129">
        <v>0</v>
      </c>
      <c r="V406" s="129">
        <v>0</v>
      </c>
      <c r="W406" s="129">
        <v>5.3545400000000001</v>
      </c>
      <c r="X406" s="129">
        <v>0</v>
      </c>
      <c r="Y406" s="129">
        <v>20.141999999999999</v>
      </c>
      <c r="Z406" s="129">
        <v>0</v>
      </c>
      <c r="AA406" s="129">
        <v>0</v>
      </c>
      <c r="AB406" s="129">
        <v>0</v>
      </c>
      <c r="AC406" s="129">
        <v>0</v>
      </c>
      <c r="AD406" s="129">
        <v>0</v>
      </c>
      <c r="AE406" s="129">
        <v>0</v>
      </c>
      <c r="AF406" s="129">
        <v>4.84429</v>
      </c>
      <c r="AG406" s="129">
        <v>142.37091600000002</v>
      </c>
    </row>
    <row r="407" spans="1:33" x14ac:dyDescent="0.45">
      <c r="A407" s="134" t="s">
        <v>297</v>
      </c>
      <c r="B407" s="130"/>
      <c r="C407" s="133">
        <v>0</v>
      </c>
      <c r="D407" s="133">
        <v>137.31100000000001</v>
      </c>
      <c r="E407" s="133">
        <v>0</v>
      </c>
      <c r="F407" s="133">
        <v>2.44809E-2</v>
      </c>
      <c r="G407" s="133">
        <v>1.3979999999999999</v>
      </c>
      <c r="H407" s="133">
        <v>3.347</v>
      </c>
      <c r="I407" s="133">
        <v>0</v>
      </c>
      <c r="J407" s="133">
        <v>3.0971899999999999</v>
      </c>
      <c r="K407" s="133">
        <v>0</v>
      </c>
      <c r="L407" s="133">
        <v>1.5529999999999999</v>
      </c>
      <c r="M407" s="133">
        <v>8.7888999999999999</v>
      </c>
      <c r="N407" s="133">
        <v>0</v>
      </c>
      <c r="O407" s="133">
        <v>367.392</v>
      </c>
      <c r="P407" s="133">
        <v>181.30799999999999</v>
      </c>
      <c r="Q407" s="133">
        <v>0</v>
      </c>
      <c r="R407" s="133">
        <v>70.4255</v>
      </c>
      <c r="S407" s="133">
        <v>37.186500000000002</v>
      </c>
      <c r="T407" s="133">
        <v>0</v>
      </c>
      <c r="U407" s="133">
        <v>30.718</v>
      </c>
      <c r="V407" s="133">
        <v>0</v>
      </c>
      <c r="W407" s="133">
        <v>35.059899999999999</v>
      </c>
      <c r="X407" s="133">
        <v>0</v>
      </c>
      <c r="Y407" s="133">
        <v>16.081</v>
      </c>
      <c r="Z407" s="133">
        <v>0</v>
      </c>
      <c r="AA407" s="133">
        <v>3.33</v>
      </c>
      <c r="AB407" s="133">
        <v>4.1150000000000002</v>
      </c>
      <c r="AC407" s="133">
        <v>0</v>
      </c>
      <c r="AD407" s="133">
        <v>0</v>
      </c>
      <c r="AE407" s="133">
        <v>0</v>
      </c>
      <c r="AF407" s="133">
        <v>0.86062399999999994</v>
      </c>
      <c r="AG407" s="133">
        <v>901.9960949</v>
      </c>
    </row>
    <row r="408" spans="1:33" x14ac:dyDescent="0.45">
      <c r="B408" s="130" t="s">
        <v>296</v>
      </c>
      <c r="C408" s="133">
        <v>0</v>
      </c>
      <c r="D408" s="133">
        <v>137.31100000000001</v>
      </c>
      <c r="E408" s="133">
        <v>0</v>
      </c>
      <c r="F408" s="133">
        <v>2.44809E-2</v>
      </c>
      <c r="G408" s="133">
        <v>1.3979999999999999</v>
      </c>
      <c r="H408" s="133">
        <v>3.347</v>
      </c>
      <c r="I408" s="133">
        <v>0</v>
      </c>
      <c r="J408" s="133">
        <v>3.0971899999999999</v>
      </c>
      <c r="K408" s="133">
        <v>0</v>
      </c>
      <c r="L408" s="133">
        <v>1.5529999999999999</v>
      </c>
      <c r="M408" s="133">
        <v>8.7888999999999999</v>
      </c>
      <c r="N408" s="133">
        <v>0</v>
      </c>
      <c r="O408" s="133">
        <v>367.392</v>
      </c>
      <c r="P408" s="133">
        <v>181.30799999999999</v>
      </c>
      <c r="Q408" s="133">
        <v>0</v>
      </c>
      <c r="R408" s="133">
        <v>70.4255</v>
      </c>
      <c r="S408" s="133">
        <v>37.186500000000002</v>
      </c>
      <c r="T408" s="133">
        <v>0</v>
      </c>
      <c r="U408" s="133">
        <v>30.718</v>
      </c>
      <c r="V408" s="133">
        <v>0</v>
      </c>
      <c r="W408" s="133">
        <v>35.059899999999999</v>
      </c>
      <c r="X408" s="133">
        <v>0</v>
      </c>
      <c r="Y408" s="133">
        <v>16.081</v>
      </c>
      <c r="Z408" s="133">
        <v>0</v>
      </c>
      <c r="AA408" s="133">
        <v>3.33</v>
      </c>
      <c r="AB408" s="133">
        <v>4.1150000000000002</v>
      </c>
      <c r="AC408" s="133">
        <v>0</v>
      </c>
      <c r="AD408" s="133">
        <v>0</v>
      </c>
      <c r="AE408" s="133">
        <v>0</v>
      </c>
      <c r="AF408" s="133">
        <v>0.86062399999999994</v>
      </c>
      <c r="AG408" s="133">
        <v>901.9960949</v>
      </c>
    </row>
    <row r="409" spans="1:33" x14ac:dyDescent="0.45">
      <c r="A409" s="134" t="s">
        <v>295</v>
      </c>
      <c r="B409" s="130"/>
      <c r="C409" s="133">
        <v>0</v>
      </c>
      <c r="D409" s="133">
        <v>0</v>
      </c>
      <c r="E409" s="133">
        <v>0</v>
      </c>
      <c r="F409" s="133">
        <v>0</v>
      </c>
      <c r="G409" s="133">
        <v>0</v>
      </c>
      <c r="H409" s="133">
        <v>0</v>
      </c>
      <c r="I409" s="133">
        <v>0</v>
      </c>
      <c r="J409" s="133">
        <v>3.8</v>
      </c>
      <c r="K409" s="133">
        <v>0</v>
      </c>
      <c r="L409" s="133">
        <v>0</v>
      </c>
      <c r="M409" s="133">
        <v>0</v>
      </c>
      <c r="N409" s="133">
        <v>0</v>
      </c>
      <c r="O409" s="133">
        <v>0</v>
      </c>
      <c r="P409" s="133">
        <v>0</v>
      </c>
      <c r="Q409" s="133">
        <v>51</v>
      </c>
      <c r="R409" s="133">
        <v>0</v>
      </c>
      <c r="S409" s="133">
        <v>0</v>
      </c>
      <c r="T409" s="133">
        <v>0</v>
      </c>
      <c r="U409" s="133">
        <v>0</v>
      </c>
      <c r="V409" s="133">
        <v>0</v>
      </c>
      <c r="W409" s="133">
        <v>1.38</v>
      </c>
      <c r="X409" s="133">
        <v>0</v>
      </c>
      <c r="Y409" s="133">
        <v>0</v>
      </c>
      <c r="Z409" s="133">
        <v>0</v>
      </c>
      <c r="AA409" s="133">
        <v>0</v>
      </c>
      <c r="AB409" s="133">
        <v>0</v>
      </c>
      <c r="AC409" s="133">
        <v>0</v>
      </c>
      <c r="AD409" s="133">
        <v>0</v>
      </c>
      <c r="AE409" s="133">
        <v>0</v>
      </c>
      <c r="AF409" s="133">
        <v>0</v>
      </c>
      <c r="AG409" s="133">
        <v>56.18</v>
      </c>
    </row>
    <row r="410" spans="1:33" x14ac:dyDescent="0.45">
      <c r="A410" s="126"/>
      <c r="B410" s="129" t="s">
        <v>127</v>
      </c>
      <c r="C410" s="129">
        <v>0</v>
      </c>
      <c r="D410" s="129">
        <v>0</v>
      </c>
      <c r="E410" s="129">
        <v>0</v>
      </c>
      <c r="F410" s="129">
        <v>0</v>
      </c>
      <c r="G410" s="129">
        <v>0</v>
      </c>
      <c r="H410" s="129">
        <v>0</v>
      </c>
      <c r="I410" s="129">
        <v>0</v>
      </c>
      <c r="J410" s="129">
        <v>3.8</v>
      </c>
      <c r="K410" s="129">
        <v>0</v>
      </c>
      <c r="L410" s="129">
        <v>0</v>
      </c>
      <c r="M410" s="129">
        <v>0</v>
      </c>
      <c r="N410" s="129">
        <v>0</v>
      </c>
      <c r="O410" s="129">
        <v>0</v>
      </c>
      <c r="P410" s="129">
        <v>0</v>
      </c>
      <c r="Q410" s="129">
        <v>51</v>
      </c>
      <c r="R410" s="129">
        <v>0</v>
      </c>
      <c r="S410" s="129">
        <v>0</v>
      </c>
      <c r="T410" s="129">
        <v>0</v>
      </c>
      <c r="U410" s="129">
        <v>0</v>
      </c>
      <c r="V410" s="129">
        <v>0</v>
      </c>
      <c r="W410" s="129">
        <v>1.38</v>
      </c>
      <c r="X410" s="129">
        <v>0</v>
      </c>
      <c r="Y410" s="129">
        <v>0</v>
      </c>
      <c r="Z410" s="129">
        <v>0</v>
      </c>
      <c r="AA410" s="129">
        <v>0</v>
      </c>
      <c r="AB410" s="129">
        <v>0</v>
      </c>
      <c r="AC410" s="129">
        <v>0</v>
      </c>
      <c r="AD410" s="129">
        <v>0</v>
      </c>
      <c r="AE410" s="129">
        <v>0</v>
      </c>
      <c r="AF410" s="129">
        <v>0</v>
      </c>
      <c r="AG410" s="129">
        <v>56.18</v>
      </c>
    </row>
    <row r="411" spans="1:33" x14ac:dyDescent="0.45">
      <c r="A411" s="134" t="s">
        <v>289</v>
      </c>
      <c r="B411" s="130"/>
      <c r="C411" s="133">
        <v>0</v>
      </c>
      <c r="D411" s="133">
        <v>931.9</v>
      </c>
      <c r="E411" s="133">
        <v>0</v>
      </c>
      <c r="F411" s="133">
        <v>0.717221</v>
      </c>
      <c r="G411" s="133">
        <v>4.5648799999999996</v>
      </c>
      <c r="H411" s="133">
        <v>0</v>
      </c>
      <c r="I411" s="133">
        <v>0</v>
      </c>
      <c r="J411" s="133">
        <v>2.6070000000000002</v>
      </c>
      <c r="K411" s="133">
        <v>0</v>
      </c>
      <c r="L411" s="133">
        <v>9.560179999999999</v>
      </c>
      <c r="M411" s="133">
        <v>80.525999999999996</v>
      </c>
      <c r="N411" s="133">
        <v>0</v>
      </c>
      <c r="O411" s="133">
        <v>339.87299999999999</v>
      </c>
      <c r="P411" s="133">
        <v>206.54500000000002</v>
      </c>
      <c r="Q411" s="133">
        <v>9.859</v>
      </c>
      <c r="R411" s="133">
        <v>0</v>
      </c>
      <c r="S411" s="133">
        <v>8.3000000000000007</v>
      </c>
      <c r="T411" s="133">
        <v>1</v>
      </c>
      <c r="U411" s="133">
        <v>0</v>
      </c>
      <c r="V411" s="133">
        <v>0</v>
      </c>
      <c r="W411" s="133">
        <v>49.633449999999996</v>
      </c>
      <c r="X411" s="133">
        <v>0</v>
      </c>
      <c r="Y411" s="133">
        <v>13.7</v>
      </c>
      <c r="Z411" s="133">
        <v>0</v>
      </c>
      <c r="AA411" s="133">
        <v>0</v>
      </c>
      <c r="AB411" s="133">
        <v>0</v>
      </c>
      <c r="AC411" s="133">
        <v>0</v>
      </c>
      <c r="AD411" s="133">
        <v>1</v>
      </c>
      <c r="AE411" s="133">
        <v>0</v>
      </c>
      <c r="AF411" s="133">
        <v>51.488190000000003</v>
      </c>
      <c r="AG411" s="133">
        <v>1711.2739209999997</v>
      </c>
    </row>
    <row r="412" spans="1:33" x14ac:dyDescent="0.45">
      <c r="A412" s="126"/>
      <c r="B412" s="129" t="s">
        <v>294</v>
      </c>
      <c r="C412" s="129">
        <v>0</v>
      </c>
      <c r="D412" s="129">
        <v>0</v>
      </c>
      <c r="E412" s="129">
        <v>0</v>
      </c>
      <c r="F412" s="129">
        <v>0</v>
      </c>
      <c r="G412" s="129">
        <v>0.95</v>
      </c>
      <c r="H412" s="129">
        <v>0</v>
      </c>
      <c r="I412" s="129">
        <v>0</v>
      </c>
      <c r="J412" s="129">
        <v>0</v>
      </c>
      <c r="K412" s="129">
        <v>0</v>
      </c>
      <c r="L412" s="129">
        <v>0</v>
      </c>
      <c r="M412" s="129">
        <v>13.456</v>
      </c>
      <c r="N412" s="129">
        <v>0</v>
      </c>
      <c r="O412" s="129">
        <v>0</v>
      </c>
      <c r="P412" s="129">
        <v>0</v>
      </c>
      <c r="Q412" s="129">
        <v>0</v>
      </c>
      <c r="R412" s="129">
        <v>0</v>
      </c>
      <c r="S412" s="129">
        <v>0</v>
      </c>
      <c r="T412" s="129">
        <v>0</v>
      </c>
      <c r="U412" s="129">
        <v>0</v>
      </c>
      <c r="V412" s="129">
        <v>0</v>
      </c>
      <c r="W412" s="129">
        <v>0.40300000000000002</v>
      </c>
      <c r="X412" s="129">
        <v>0</v>
      </c>
      <c r="Y412" s="129">
        <v>0</v>
      </c>
      <c r="Z412" s="129">
        <v>0</v>
      </c>
      <c r="AA412" s="129">
        <v>0</v>
      </c>
      <c r="AB412" s="129">
        <v>0</v>
      </c>
      <c r="AC412" s="129">
        <v>0</v>
      </c>
      <c r="AD412" s="129">
        <v>0</v>
      </c>
      <c r="AE412" s="129">
        <v>0</v>
      </c>
      <c r="AF412" s="129">
        <v>0</v>
      </c>
      <c r="AG412" s="129">
        <v>14.808999999999999</v>
      </c>
    </row>
    <row r="413" spans="1:33" x14ac:dyDescent="0.45">
      <c r="B413" s="130" t="s">
        <v>293</v>
      </c>
      <c r="C413" s="133">
        <v>0</v>
      </c>
      <c r="D413" s="133">
        <v>0</v>
      </c>
      <c r="E413" s="133">
        <v>0</v>
      </c>
      <c r="F413" s="133">
        <v>0</v>
      </c>
      <c r="G413" s="133">
        <v>3.0678800000000002</v>
      </c>
      <c r="H413" s="133">
        <v>0</v>
      </c>
      <c r="I413" s="133">
        <v>0</v>
      </c>
      <c r="J413" s="133">
        <v>3.6999999999999998E-2</v>
      </c>
      <c r="K413" s="133">
        <v>0</v>
      </c>
      <c r="L413" s="133">
        <v>0.39900000000000002</v>
      </c>
      <c r="M413" s="133">
        <v>26.687000000000001</v>
      </c>
      <c r="N413" s="133">
        <v>0</v>
      </c>
      <c r="O413" s="133">
        <v>131.273</v>
      </c>
      <c r="P413" s="133">
        <v>9.5410000000000004</v>
      </c>
      <c r="Q413" s="133">
        <v>0</v>
      </c>
      <c r="R413" s="133">
        <v>0</v>
      </c>
      <c r="S413" s="133">
        <v>0</v>
      </c>
      <c r="T413" s="133">
        <v>0</v>
      </c>
      <c r="U413" s="133">
        <v>0</v>
      </c>
      <c r="V413" s="133">
        <v>0</v>
      </c>
      <c r="W413" s="133">
        <v>5.0794499999999996</v>
      </c>
      <c r="X413" s="133">
        <v>0</v>
      </c>
      <c r="Y413" s="133">
        <v>13.7</v>
      </c>
      <c r="Z413" s="133">
        <v>0</v>
      </c>
      <c r="AA413" s="133">
        <v>0</v>
      </c>
      <c r="AB413" s="133">
        <v>0</v>
      </c>
      <c r="AC413" s="133">
        <v>0</v>
      </c>
      <c r="AD413" s="133">
        <v>0</v>
      </c>
      <c r="AE413" s="133">
        <v>0</v>
      </c>
      <c r="AF413" s="133">
        <v>0</v>
      </c>
      <c r="AG413" s="133">
        <v>189.78433000000001</v>
      </c>
    </row>
    <row r="414" spans="1:33" x14ac:dyDescent="0.45">
      <c r="B414" s="130" t="s">
        <v>292</v>
      </c>
      <c r="C414" s="133">
        <v>0</v>
      </c>
      <c r="D414" s="133">
        <v>0</v>
      </c>
      <c r="E414" s="133">
        <v>0</v>
      </c>
      <c r="F414" s="133">
        <v>0</v>
      </c>
      <c r="G414" s="133">
        <v>0</v>
      </c>
      <c r="H414" s="133">
        <v>0</v>
      </c>
      <c r="I414" s="133">
        <v>0</v>
      </c>
      <c r="J414" s="133">
        <v>0.87</v>
      </c>
      <c r="K414" s="133">
        <v>0</v>
      </c>
      <c r="L414" s="133">
        <v>0</v>
      </c>
      <c r="M414" s="133">
        <v>0</v>
      </c>
      <c r="N414" s="133">
        <v>0</v>
      </c>
      <c r="O414" s="133">
        <v>0</v>
      </c>
      <c r="P414" s="133">
        <v>0</v>
      </c>
      <c r="Q414" s="133">
        <v>0</v>
      </c>
      <c r="R414" s="133">
        <v>0</v>
      </c>
      <c r="S414" s="133">
        <v>0</v>
      </c>
      <c r="T414" s="133">
        <v>0</v>
      </c>
      <c r="U414" s="133">
        <v>0</v>
      </c>
      <c r="V414" s="133">
        <v>0</v>
      </c>
      <c r="W414" s="133">
        <v>3.0000000000000001E-3</v>
      </c>
      <c r="X414" s="133">
        <v>0</v>
      </c>
      <c r="Y414" s="133">
        <v>0</v>
      </c>
      <c r="Z414" s="133">
        <v>0</v>
      </c>
      <c r="AA414" s="133">
        <v>0</v>
      </c>
      <c r="AB414" s="133">
        <v>0</v>
      </c>
      <c r="AC414" s="133">
        <v>0</v>
      </c>
      <c r="AD414" s="133">
        <v>0</v>
      </c>
      <c r="AE414" s="133">
        <v>0</v>
      </c>
      <c r="AF414" s="133">
        <v>23.874099999999999</v>
      </c>
      <c r="AG414" s="133">
        <v>24.7471</v>
      </c>
    </row>
    <row r="415" spans="1:33" x14ac:dyDescent="0.45">
      <c r="B415" s="130" t="s">
        <v>291</v>
      </c>
      <c r="C415" s="133">
        <v>0</v>
      </c>
      <c r="D415" s="133">
        <v>931.9</v>
      </c>
      <c r="E415" s="133">
        <v>0</v>
      </c>
      <c r="F415" s="133">
        <v>0.717221</v>
      </c>
      <c r="G415" s="133">
        <v>0.54700000000000004</v>
      </c>
      <c r="H415" s="133">
        <v>0</v>
      </c>
      <c r="I415" s="133">
        <v>0</v>
      </c>
      <c r="J415" s="133">
        <v>1.1000000000000001</v>
      </c>
      <c r="K415" s="133">
        <v>0</v>
      </c>
      <c r="L415" s="133">
        <v>5.8</v>
      </c>
      <c r="M415" s="133">
        <v>21</v>
      </c>
      <c r="N415" s="133">
        <v>0</v>
      </c>
      <c r="O415" s="133">
        <v>208.6</v>
      </c>
      <c r="P415" s="133">
        <v>192.3</v>
      </c>
      <c r="Q415" s="133">
        <v>0</v>
      </c>
      <c r="R415" s="133">
        <v>0</v>
      </c>
      <c r="S415" s="133">
        <v>8.3000000000000007</v>
      </c>
      <c r="T415" s="133">
        <v>1</v>
      </c>
      <c r="U415" s="133">
        <v>0</v>
      </c>
      <c r="V415" s="133">
        <v>0</v>
      </c>
      <c r="W415" s="133">
        <v>43.162999999999997</v>
      </c>
      <c r="X415" s="133">
        <v>0</v>
      </c>
      <c r="Y415" s="133">
        <v>0</v>
      </c>
      <c r="Z415" s="133">
        <v>0</v>
      </c>
      <c r="AA415" s="133">
        <v>0</v>
      </c>
      <c r="AB415" s="133">
        <v>0</v>
      </c>
      <c r="AC415" s="133">
        <v>0</v>
      </c>
      <c r="AD415" s="133">
        <v>1</v>
      </c>
      <c r="AE415" s="133">
        <v>0</v>
      </c>
      <c r="AF415" s="133">
        <v>13</v>
      </c>
      <c r="AG415" s="133">
        <v>1428.4272209999999</v>
      </c>
    </row>
    <row r="416" spans="1:33" x14ac:dyDescent="0.45">
      <c r="B416" s="130" t="s">
        <v>290</v>
      </c>
      <c r="C416" s="133">
        <v>0</v>
      </c>
      <c r="D416" s="133">
        <v>0</v>
      </c>
      <c r="E416" s="133">
        <v>0</v>
      </c>
      <c r="F416" s="133">
        <v>0</v>
      </c>
      <c r="G416" s="133">
        <v>0</v>
      </c>
      <c r="H416" s="133">
        <v>0</v>
      </c>
      <c r="I416" s="133">
        <v>0</v>
      </c>
      <c r="J416" s="133">
        <v>0.39</v>
      </c>
      <c r="K416" s="133">
        <v>0</v>
      </c>
      <c r="L416" s="133">
        <v>3.3611800000000001</v>
      </c>
      <c r="M416" s="133">
        <v>0</v>
      </c>
      <c r="N416" s="133">
        <v>0</v>
      </c>
      <c r="O416" s="133">
        <v>0</v>
      </c>
      <c r="P416" s="133">
        <v>0</v>
      </c>
      <c r="Q416" s="133">
        <v>9.859</v>
      </c>
      <c r="R416" s="133">
        <v>0</v>
      </c>
      <c r="S416" s="133">
        <v>0</v>
      </c>
      <c r="T416" s="133">
        <v>0</v>
      </c>
      <c r="U416" s="133">
        <v>0</v>
      </c>
      <c r="V416" s="133">
        <v>0</v>
      </c>
      <c r="W416" s="133">
        <v>0.39</v>
      </c>
      <c r="X416" s="133">
        <v>0</v>
      </c>
      <c r="Y416" s="133">
        <v>0</v>
      </c>
      <c r="Z416" s="133">
        <v>0</v>
      </c>
      <c r="AA416" s="133">
        <v>0</v>
      </c>
      <c r="AB416" s="133">
        <v>0</v>
      </c>
      <c r="AC416" s="133">
        <v>0</v>
      </c>
      <c r="AD416" s="133">
        <v>0</v>
      </c>
      <c r="AE416" s="133">
        <v>0</v>
      </c>
      <c r="AF416" s="133">
        <v>10.083500000000001</v>
      </c>
      <c r="AG416" s="133">
        <v>24.083680000000001</v>
      </c>
    </row>
    <row r="417" spans="1:33" x14ac:dyDescent="0.45">
      <c r="A417" s="126"/>
      <c r="B417" s="129" t="s">
        <v>288</v>
      </c>
      <c r="C417" s="129">
        <v>0</v>
      </c>
      <c r="D417" s="129">
        <v>0</v>
      </c>
      <c r="E417" s="129">
        <v>0</v>
      </c>
      <c r="F417" s="129">
        <v>0</v>
      </c>
      <c r="G417" s="129">
        <v>0</v>
      </c>
      <c r="H417" s="129">
        <v>0</v>
      </c>
      <c r="I417" s="129">
        <v>0</v>
      </c>
      <c r="J417" s="129">
        <v>0.21</v>
      </c>
      <c r="K417" s="129">
        <v>0</v>
      </c>
      <c r="L417" s="129">
        <v>0</v>
      </c>
      <c r="M417" s="129">
        <v>19.382999999999999</v>
      </c>
      <c r="N417" s="129">
        <v>0</v>
      </c>
      <c r="O417" s="129">
        <v>0</v>
      </c>
      <c r="P417" s="129">
        <v>4.7039999999999997</v>
      </c>
      <c r="Q417" s="129">
        <v>0</v>
      </c>
      <c r="R417" s="129">
        <v>0</v>
      </c>
      <c r="S417" s="129">
        <v>0</v>
      </c>
      <c r="T417" s="129">
        <v>0</v>
      </c>
      <c r="U417" s="129">
        <v>0</v>
      </c>
      <c r="V417" s="129">
        <v>0</v>
      </c>
      <c r="W417" s="129">
        <v>0.59499999999999997</v>
      </c>
      <c r="X417" s="129">
        <v>0</v>
      </c>
      <c r="Y417" s="129">
        <v>0</v>
      </c>
      <c r="Z417" s="129">
        <v>0</v>
      </c>
      <c r="AA417" s="129">
        <v>0</v>
      </c>
      <c r="AB417" s="129">
        <v>0</v>
      </c>
      <c r="AC417" s="129">
        <v>0</v>
      </c>
      <c r="AD417" s="129">
        <v>0</v>
      </c>
      <c r="AE417" s="129">
        <v>0</v>
      </c>
      <c r="AF417" s="129">
        <v>4.5305900000000001</v>
      </c>
      <c r="AG417" s="129">
        <v>29.42259</v>
      </c>
    </row>
    <row r="418" spans="1:33" x14ac:dyDescent="0.45">
      <c r="A418" s="134" t="s">
        <v>286</v>
      </c>
      <c r="B418" s="130"/>
      <c r="C418" s="133">
        <v>0</v>
      </c>
      <c r="D418" s="133">
        <v>111.87</v>
      </c>
      <c r="E418" s="133">
        <v>0</v>
      </c>
      <c r="F418" s="133">
        <v>1.7429299999999998E-2</v>
      </c>
      <c r="G418" s="133">
        <v>7.4139999999999997</v>
      </c>
      <c r="H418" s="133">
        <v>1.2470000000000001</v>
      </c>
      <c r="I418" s="133">
        <v>2.988</v>
      </c>
      <c r="J418" s="133">
        <v>2.57538</v>
      </c>
      <c r="K418" s="133">
        <v>0</v>
      </c>
      <c r="L418" s="133">
        <v>1.3169999999999999</v>
      </c>
      <c r="M418" s="133">
        <v>7.0063599999999999</v>
      </c>
      <c r="N418" s="133">
        <v>0</v>
      </c>
      <c r="O418" s="133">
        <v>307.84800000000001</v>
      </c>
      <c r="P418" s="133">
        <v>148.64699999999999</v>
      </c>
      <c r="Q418" s="133">
        <v>36.5</v>
      </c>
      <c r="R418" s="133">
        <v>58.2804</v>
      </c>
      <c r="S418" s="133">
        <v>30.769100000000002</v>
      </c>
      <c r="T418" s="133">
        <v>0</v>
      </c>
      <c r="U418" s="133">
        <v>5.6609999999999996</v>
      </c>
      <c r="V418" s="133">
        <v>0</v>
      </c>
      <c r="W418" s="133">
        <v>33.161099999999998</v>
      </c>
      <c r="X418" s="133">
        <v>0</v>
      </c>
      <c r="Y418" s="133">
        <v>13.930999999999999</v>
      </c>
      <c r="Z418" s="133">
        <v>0</v>
      </c>
      <c r="AA418" s="133">
        <v>0</v>
      </c>
      <c r="AB418" s="133">
        <v>0</v>
      </c>
      <c r="AC418" s="133">
        <v>0</v>
      </c>
      <c r="AD418" s="133">
        <v>0</v>
      </c>
      <c r="AE418" s="133">
        <v>0</v>
      </c>
      <c r="AF418" s="133">
        <v>0.71024399999999999</v>
      </c>
      <c r="AG418" s="133">
        <v>769.94301330000008</v>
      </c>
    </row>
    <row r="419" spans="1:33" x14ac:dyDescent="0.45">
      <c r="A419" s="126"/>
      <c r="B419" s="129" t="s">
        <v>287</v>
      </c>
      <c r="C419" s="129">
        <v>0</v>
      </c>
      <c r="D419" s="129">
        <v>0</v>
      </c>
      <c r="E419" s="129">
        <v>0</v>
      </c>
      <c r="F419" s="129">
        <v>0</v>
      </c>
      <c r="G419" s="129">
        <v>7.4139999999999997</v>
      </c>
      <c r="H419" s="129">
        <v>1.2470000000000001</v>
      </c>
      <c r="I419" s="129">
        <v>0</v>
      </c>
      <c r="J419" s="129">
        <v>0</v>
      </c>
      <c r="K419" s="129">
        <v>0</v>
      </c>
      <c r="L419" s="129">
        <v>0</v>
      </c>
      <c r="M419" s="129">
        <v>0</v>
      </c>
      <c r="N419" s="129">
        <v>0</v>
      </c>
      <c r="O419" s="129">
        <v>0</v>
      </c>
      <c r="P419" s="129">
        <v>0</v>
      </c>
      <c r="Q419" s="129">
        <v>36.5</v>
      </c>
      <c r="R419" s="129">
        <v>0</v>
      </c>
      <c r="S419" s="129">
        <v>0</v>
      </c>
      <c r="T419" s="129">
        <v>0</v>
      </c>
      <c r="U419" s="129">
        <v>0</v>
      </c>
      <c r="V419" s="129">
        <v>0</v>
      </c>
      <c r="W419" s="129">
        <v>2.2000000000000002</v>
      </c>
      <c r="X419" s="129">
        <v>0</v>
      </c>
      <c r="Y419" s="129">
        <v>0.82099999999999995</v>
      </c>
      <c r="Z419" s="129">
        <v>0</v>
      </c>
      <c r="AA419" s="129">
        <v>0</v>
      </c>
      <c r="AB419" s="129">
        <v>0</v>
      </c>
      <c r="AC419" s="129">
        <v>0</v>
      </c>
      <c r="AD419" s="129">
        <v>0</v>
      </c>
      <c r="AE419" s="129">
        <v>0</v>
      </c>
      <c r="AF419" s="129">
        <v>0</v>
      </c>
      <c r="AG419" s="129">
        <v>48.182000000000002</v>
      </c>
    </row>
    <row r="420" spans="1:33" x14ac:dyDescent="0.45">
      <c r="B420" s="130" t="s">
        <v>285</v>
      </c>
      <c r="C420" s="133">
        <v>0</v>
      </c>
      <c r="D420" s="133">
        <v>111.87</v>
      </c>
      <c r="E420" s="133">
        <v>0</v>
      </c>
      <c r="F420" s="133">
        <v>1.7429299999999998E-2</v>
      </c>
      <c r="G420" s="133">
        <v>0</v>
      </c>
      <c r="H420" s="133">
        <v>0</v>
      </c>
      <c r="I420" s="133">
        <v>2.988</v>
      </c>
      <c r="J420" s="133">
        <v>2.57538</v>
      </c>
      <c r="K420" s="133">
        <v>0</v>
      </c>
      <c r="L420" s="133">
        <v>1.3169999999999999</v>
      </c>
      <c r="M420" s="133">
        <v>7.0063599999999999</v>
      </c>
      <c r="N420" s="133">
        <v>0</v>
      </c>
      <c r="O420" s="133">
        <v>307.84800000000001</v>
      </c>
      <c r="P420" s="133">
        <v>148.64699999999999</v>
      </c>
      <c r="Q420" s="133">
        <v>0</v>
      </c>
      <c r="R420" s="133">
        <v>58.2804</v>
      </c>
      <c r="S420" s="133">
        <v>30.769100000000002</v>
      </c>
      <c r="T420" s="133">
        <v>0</v>
      </c>
      <c r="U420" s="133">
        <v>5.6609999999999996</v>
      </c>
      <c r="V420" s="133">
        <v>0</v>
      </c>
      <c r="W420" s="133">
        <v>30.961099999999998</v>
      </c>
      <c r="X420" s="133">
        <v>0</v>
      </c>
      <c r="Y420" s="133">
        <v>13.11</v>
      </c>
      <c r="Z420" s="133">
        <v>0</v>
      </c>
      <c r="AA420" s="133">
        <v>0</v>
      </c>
      <c r="AB420" s="133">
        <v>0</v>
      </c>
      <c r="AC420" s="133">
        <v>0</v>
      </c>
      <c r="AD420" s="133">
        <v>0</v>
      </c>
      <c r="AE420" s="133">
        <v>0</v>
      </c>
      <c r="AF420" s="133">
        <v>0.71024399999999999</v>
      </c>
      <c r="AG420" s="133">
        <v>721.76101330000006</v>
      </c>
    </row>
    <row r="421" spans="1:33" x14ac:dyDescent="0.45">
      <c r="A421" s="126" t="s">
        <v>284</v>
      </c>
      <c r="B421" s="129"/>
      <c r="C421" s="129">
        <v>0</v>
      </c>
      <c r="D421" s="129">
        <v>0</v>
      </c>
      <c r="E421" s="129">
        <v>0</v>
      </c>
      <c r="F421" s="129">
        <v>0</v>
      </c>
      <c r="G421" s="129">
        <v>0</v>
      </c>
      <c r="H421" s="129">
        <v>0</v>
      </c>
      <c r="I421" s="129">
        <v>0</v>
      </c>
      <c r="J421" s="129">
        <v>0.123679</v>
      </c>
      <c r="K421" s="129">
        <v>0</v>
      </c>
      <c r="L421" s="129">
        <v>0</v>
      </c>
      <c r="M421" s="129">
        <v>1.73681</v>
      </c>
      <c r="N421" s="129">
        <v>0</v>
      </c>
      <c r="O421" s="129">
        <v>41.577399999999997</v>
      </c>
      <c r="P421" s="129">
        <v>0</v>
      </c>
      <c r="Q421" s="129">
        <v>0</v>
      </c>
      <c r="R421" s="129">
        <v>0</v>
      </c>
      <c r="S421" s="129">
        <v>0</v>
      </c>
      <c r="T421" s="129">
        <v>0</v>
      </c>
      <c r="U421" s="129">
        <v>0</v>
      </c>
      <c r="V421" s="129">
        <v>0</v>
      </c>
      <c r="W421" s="129">
        <v>1.59066</v>
      </c>
      <c r="X421" s="129">
        <v>0</v>
      </c>
      <c r="Y421" s="129">
        <v>1.4999999999999999E-2</v>
      </c>
      <c r="Z421" s="129">
        <v>0</v>
      </c>
      <c r="AA421" s="129">
        <v>0</v>
      </c>
      <c r="AB421" s="129">
        <v>0</v>
      </c>
      <c r="AC421" s="129">
        <v>0</v>
      </c>
      <c r="AD421" s="129">
        <v>0</v>
      </c>
      <c r="AE421" s="129">
        <v>8.9761900000000008</v>
      </c>
      <c r="AF421" s="129">
        <v>0</v>
      </c>
      <c r="AG421" s="129">
        <v>54.019739000000001</v>
      </c>
    </row>
    <row r="422" spans="1:33" x14ac:dyDescent="0.45">
      <c r="B422" s="130" t="s">
        <v>283</v>
      </c>
      <c r="C422" s="133">
        <v>0</v>
      </c>
      <c r="D422" s="133">
        <v>0</v>
      </c>
      <c r="E422" s="133">
        <v>0</v>
      </c>
      <c r="F422" s="133">
        <v>0</v>
      </c>
      <c r="G422" s="133">
        <v>0</v>
      </c>
      <c r="H422" s="133">
        <v>0</v>
      </c>
      <c r="I422" s="133">
        <v>0</v>
      </c>
      <c r="J422" s="133">
        <v>0.123679</v>
      </c>
      <c r="K422" s="133">
        <v>0</v>
      </c>
      <c r="L422" s="133">
        <v>0</v>
      </c>
      <c r="M422" s="133">
        <v>1.73681</v>
      </c>
      <c r="N422" s="133">
        <v>0</v>
      </c>
      <c r="O422" s="133">
        <v>41.577399999999997</v>
      </c>
      <c r="P422" s="133">
        <v>0</v>
      </c>
      <c r="Q422" s="133">
        <v>0</v>
      </c>
      <c r="R422" s="133">
        <v>0</v>
      </c>
      <c r="S422" s="133">
        <v>0</v>
      </c>
      <c r="T422" s="133">
        <v>0</v>
      </c>
      <c r="U422" s="133">
        <v>0</v>
      </c>
      <c r="V422" s="133">
        <v>0</v>
      </c>
      <c r="W422" s="133">
        <v>1.59066</v>
      </c>
      <c r="X422" s="133">
        <v>0</v>
      </c>
      <c r="Y422" s="133">
        <v>1.4999999999999999E-2</v>
      </c>
      <c r="Z422" s="133">
        <v>0</v>
      </c>
      <c r="AA422" s="133">
        <v>0</v>
      </c>
      <c r="AB422" s="133">
        <v>0</v>
      </c>
      <c r="AC422" s="133">
        <v>0</v>
      </c>
      <c r="AD422" s="133">
        <v>0</v>
      </c>
      <c r="AE422" s="133">
        <v>8.9761900000000008</v>
      </c>
      <c r="AF422" s="133">
        <v>0</v>
      </c>
      <c r="AG422" s="133">
        <v>54.019739000000001</v>
      </c>
    </row>
    <row r="423" spans="1:33" x14ac:dyDescent="0.45">
      <c r="A423" s="134" t="s">
        <v>280</v>
      </c>
      <c r="B423" s="130"/>
      <c r="C423" s="133">
        <v>0</v>
      </c>
      <c r="D423" s="133">
        <v>0</v>
      </c>
      <c r="E423" s="133">
        <v>0</v>
      </c>
      <c r="F423" s="133">
        <v>0</v>
      </c>
      <c r="G423" s="133">
        <v>0</v>
      </c>
      <c r="H423" s="133">
        <v>0</v>
      </c>
      <c r="I423" s="133">
        <v>0.81699999999999995</v>
      </c>
      <c r="J423" s="133">
        <v>0.36199999999999999</v>
      </c>
      <c r="K423" s="133">
        <v>0</v>
      </c>
      <c r="L423" s="133">
        <v>0</v>
      </c>
      <c r="M423" s="133">
        <v>47.2</v>
      </c>
      <c r="N423" s="133">
        <v>0</v>
      </c>
      <c r="O423" s="133">
        <v>0</v>
      </c>
      <c r="P423" s="133">
        <v>5.0010000000000003</v>
      </c>
      <c r="Q423" s="133">
        <v>0</v>
      </c>
      <c r="R423" s="133">
        <v>0</v>
      </c>
      <c r="S423" s="133">
        <v>0</v>
      </c>
      <c r="T423" s="133">
        <v>0</v>
      </c>
      <c r="U423" s="133">
        <v>0</v>
      </c>
      <c r="V423" s="133">
        <v>0</v>
      </c>
      <c r="W423" s="133">
        <v>1.4081999999999999</v>
      </c>
      <c r="X423" s="133">
        <v>7.4569999999999999</v>
      </c>
      <c r="Y423" s="133">
        <v>18.241</v>
      </c>
      <c r="Z423" s="133">
        <v>0</v>
      </c>
      <c r="AA423" s="133">
        <v>0</v>
      </c>
      <c r="AB423" s="133">
        <v>0</v>
      </c>
      <c r="AC423" s="133">
        <v>0</v>
      </c>
      <c r="AD423" s="133">
        <v>0</v>
      </c>
      <c r="AE423" s="133">
        <v>0</v>
      </c>
      <c r="AF423" s="133">
        <v>0</v>
      </c>
      <c r="AG423" s="133">
        <v>80.486200000000011</v>
      </c>
    </row>
    <row r="424" spans="1:33" x14ac:dyDescent="0.45">
      <c r="B424" s="130" t="s">
        <v>282</v>
      </c>
      <c r="C424" s="133">
        <v>0</v>
      </c>
      <c r="D424" s="133">
        <v>0</v>
      </c>
      <c r="E424" s="133">
        <v>0</v>
      </c>
      <c r="F424" s="133">
        <v>0</v>
      </c>
      <c r="G424" s="133">
        <v>0</v>
      </c>
      <c r="H424" s="133">
        <v>0</v>
      </c>
      <c r="I424" s="133">
        <v>0</v>
      </c>
      <c r="J424" s="133">
        <v>9.7000000000000003E-2</v>
      </c>
      <c r="K424" s="133">
        <v>0</v>
      </c>
      <c r="L424" s="133">
        <v>0</v>
      </c>
      <c r="M424" s="133">
        <v>0</v>
      </c>
      <c r="N424" s="133">
        <v>0</v>
      </c>
      <c r="O424" s="133">
        <v>0</v>
      </c>
      <c r="P424" s="133">
        <v>0</v>
      </c>
      <c r="Q424" s="133">
        <v>0</v>
      </c>
      <c r="R424" s="133">
        <v>0</v>
      </c>
      <c r="S424" s="133">
        <v>0</v>
      </c>
      <c r="T424" s="133">
        <v>0</v>
      </c>
      <c r="U424" s="133">
        <v>0</v>
      </c>
      <c r="V424" s="133">
        <v>0</v>
      </c>
      <c r="W424" s="133">
        <v>7.8200000000000006E-2</v>
      </c>
      <c r="X424" s="133">
        <v>0</v>
      </c>
      <c r="Y424" s="133">
        <v>4.25</v>
      </c>
      <c r="Z424" s="133">
        <v>0</v>
      </c>
      <c r="AA424" s="133">
        <v>0</v>
      </c>
      <c r="AB424" s="133">
        <v>0</v>
      </c>
      <c r="AC424" s="133">
        <v>0</v>
      </c>
      <c r="AD424" s="133">
        <v>0</v>
      </c>
      <c r="AE424" s="133">
        <v>0</v>
      </c>
      <c r="AF424" s="133">
        <v>0</v>
      </c>
      <c r="AG424" s="133">
        <v>4.4252000000000002</v>
      </c>
    </row>
    <row r="425" spans="1:33" x14ac:dyDescent="0.45">
      <c r="B425" s="130" t="s">
        <v>281</v>
      </c>
      <c r="C425" s="133">
        <v>0</v>
      </c>
      <c r="D425" s="133">
        <v>0</v>
      </c>
      <c r="E425" s="133">
        <v>0</v>
      </c>
      <c r="F425" s="133">
        <v>0</v>
      </c>
      <c r="G425" s="133">
        <v>0</v>
      </c>
      <c r="H425" s="133">
        <v>0</v>
      </c>
      <c r="I425" s="133">
        <v>0</v>
      </c>
      <c r="J425" s="133">
        <v>0.26500000000000001</v>
      </c>
      <c r="K425" s="133">
        <v>0</v>
      </c>
      <c r="L425" s="133">
        <v>0</v>
      </c>
      <c r="M425" s="133">
        <v>47.2</v>
      </c>
      <c r="N425" s="133">
        <v>0</v>
      </c>
      <c r="O425" s="133">
        <v>0</v>
      </c>
      <c r="P425" s="133">
        <v>5.0010000000000003</v>
      </c>
      <c r="Q425" s="133">
        <v>0</v>
      </c>
      <c r="R425" s="133">
        <v>0</v>
      </c>
      <c r="S425" s="133">
        <v>0</v>
      </c>
      <c r="T425" s="133">
        <v>0</v>
      </c>
      <c r="U425" s="133">
        <v>0</v>
      </c>
      <c r="V425" s="133">
        <v>0</v>
      </c>
      <c r="W425" s="133">
        <v>1.1779999999999999</v>
      </c>
      <c r="X425" s="133">
        <v>0</v>
      </c>
      <c r="Y425" s="133">
        <v>13.991</v>
      </c>
      <c r="Z425" s="133">
        <v>0</v>
      </c>
      <c r="AA425" s="133">
        <v>0</v>
      </c>
      <c r="AB425" s="133">
        <v>0</v>
      </c>
      <c r="AC425" s="133">
        <v>0</v>
      </c>
      <c r="AD425" s="133">
        <v>0</v>
      </c>
      <c r="AE425" s="133">
        <v>0</v>
      </c>
      <c r="AF425" s="133">
        <v>0</v>
      </c>
      <c r="AG425" s="133">
        <v>67.635000000000005</v>
      </c>
    </row>
    <row r="426" spans="1:33" x14ac:dyDescent="0.45">
      <c r="B426" s="130" t="s">
        <v>279</v>
      </c>
      <c r="C426" s="133">
        <v>0</v>
      </c>
      <c r="D426" s="133">
        <v>0</v>
      </c>
      <c r="E426" s="133">
        <v>0</v>
      </c>
      <c r="F426" s="133">
        <v>0</v>
      </c>
      <c r="G426" s="133">
        <v>0</v>
      </c>
      <c r="H426" s="133">
        <v>0</v>
      </c>
      <c r="I426" s="133">
        <v>0.81699999999999995</v>
      </c>
      <c r="J426" s="133">
        <v>0</v>
      </c>
      <c r="K426" s="133">
        <v>0</v>
      </c>
      <c r="L426" s="133">
        <v>0</v>
      </c>
      <c r="M426" s="133">
        <v>0</v>
      </c>
      <c r="N426" s="133">
        <v>0</v>
      </c>
      <c r="O426" s="133">
        <v>0</v>
      </c>
      <c r="P426" s="133">
        <v>0</v>
      </c>
      <c r="Q426" s="133">
        <v>0</v>
      </c>
      <c r="R426" s="133">
        <v>0</v>
      </c>
      <c r="S426" s="133">
        <v>0</v>
      </c>
      <c r="T426" s="133">
        <v>0</v>
      </c>
      <c r="U426" s="133">
        <v>0</v>
      </c>
      <c r="V426" s="133">
        <v>0</v>
      </c>
      <c r="W426" s="133">
        <v>0.152</v>
      </c>
      <c r="X426" s="133">
        <v>7.4569999999999999</v>
      </c>
      <c r="Y426" s="133">
        <v>0</v>
      </c>
      <c r="Z426" s="133">
        <v>0</v>
      </c>
      <c r="AA426" s="133">
        <v>0</v>
      </c>
      <c r="AB426" s="133">
        <v>0</v>
      </c>
      <c r="AC426" s="133">
        <v>0</v>
      </c>
      <c r="AD426" s="133">
        <v>0</v>
      </c>
      <c r="AE426" s="133">
        <v>0</v>
      </c>
      <c r="AF426" s="133">
        <v>0</v>
      </c>
      <c r="AG426" s="133">
        <v>8.4260000000000002</v>
      </c>
    </row>
    <row r="427" spans="1:33" x14ac:dyDescent="0.45">
      <c r="A427" s="134" t="s">
        <v>278</v>
      </c>
      <c r="B427" s="130"/>
      <c r="C427" s="133">
        <v>0</v>
      </c>
      <c r="D427" s="133">
        <v>0</v>
      </c>
      <c r="E427" s="133">
        <v>0</v>
      </c>
      <c r="F427" s="133">
        <v>0</v>
      </c>
      <c r="G427" s="133">
        <v>0</v>
      </c>
      <c r="H427" s="133">
        <v>0</v>
      </c>
      <c r="I427" s="133">
        <v>0</v>
      </c>
      <c r="J427" s="133">
        <v>0</v>
      </c>
      <c r="K427" s="133">
        <v>0</v>
      </c>
      <c r="L427" s="133">
        <v>0</v>
      </c>
      <c r="M427" s="133">
        <v>0</v>
      </c>
      <c r="N427" s="133">
        <v>0</v>
      </c>
      <c r="O427" s="133">
        <v>0</v>
      </c>
      <c r="P427" s="133">
        <v>0</v>
      </c>
      <c r="Q427" s="133">
        <v>0</v>
      </c>
      <c r="R427" s="133">
        <v>0</v>
      </c>
      <c r="S427" s="133">
        <v>0</v>
      </c>
      <c r="T427" s="133">
        <v>0</v>
      </c>
      <c r="U427" s="133">
        <v>0</v>
      </c>
      <c r="V427" s="133">
        <v>0</v>
      </c>
      <c r="W427" s="133">
        <v>0</v>
      </c>
      <c r="X427" s="133">
        <v>0</v>
      </c>
      <c r="Y427" s="133">
        <v>0</v>
      </c>
      <c r="Z427" s="133">
        <v>0</v>
      </c>
      <c r="AA427" s="133">
        <v>0</v>
      </c>
      <c r="AB427" s="133">
        <v>0</v>
      </c>
      <c r="AC427" s="133">
        <v>0</v>
      </c>
      <c r="AD427" s="133">
        <v>0</v>
      </c>
      <c r="AE427" s="133">
        <v>0</v>
      </c>
      <c r="AF427" s="133">
        <v>0</v>
      </c>
      <c r="AG427" s="133">
        <v>0</v>
      </c>
    </row>
    <row r="428" spans="1:33" x14ac:dyDescent="0.45">
      <c r="B428" s="130" t="s">
        <v>278</v>
      </c>
      <c r="C428" s="133">
        <v>0</v>
      </c>
      <c r="D428" s="133">
        <v>0</v>
      </c>
      <c r="E428" s="133">
        <v>0</v>
      </c>
      <c r="F428" s="133">
        <v>0</v>
      </c>
      <c r="G428" s="133">
        <v>0</v>
      </c>
      <c r="H428" s="133">
        <v>0</v>
      </c>
      <c r="I428" s="133">
        <v>0</v>
      </c>
      <c r="J428" s="133">
        <v>0</v>
      </c>
      <c r="K428" s="133">
        <v>0</v>
      </c>
      <c r="L428" s="133">
        <v>0</v>
      </c>
      <c r="M428" s="133">
        <v>0</v>
      </c>
      <c r="N428" s="133">
        <v>0</v>
      </c>
      <c r="O428" s="133">
        <v>0</v>
      </c>
      <c r="P428" s="133">
        <v>0</v>
      </c>
      <c r="Q428" s="133">
        <v>0</v>
      </c>
      <c r="R428" s="133">
        <v>0</v>
      </c>
      <c r="S428" s="133">
        <v>0</v>
      </c>
      <c r="T428" s="133">
        <v>0</v>
      </c>
      <c r="U428" s="133">
        <v>0</v>
      </c>
      <c r="V428" s="133">
        <v>0</v>
      </c>
      <c r="W428" s="133">
        <v>0</v>
      </c>
      <c r="X428" s="133">
        <v>0</v>
      </c>
      <c r="Y428" s="133">
        <v>0</v>
      </c>
      <c r="Z428" s="133">
        <v>0</v>
      </c>
      <c r="AA428" s="133">
        <v>0</v>
      </c>
      <c r="AB428" s="133">
        <v>0</v>
      </c>
      <c r="AC428" s="133">
        <v>0</v>
      </c>
      <c r="AD428" s="133">
        <v>0</v>
      </c>
      <c r="AE428" s="133">
        <v>0</v>
      </c>
      <c r="AF428" s="133">
        <v>0</v>
      </c>
      <c r="AG428" s="133">
        <v>0</v>
      </c>
    </row>
    <row r="429" spans="1:33" x14ac:dyDescent="0.45">
      <c r="A429" s="134" t="s">
        <v>277</v>
      </c>
      <c r="B429" s="130"/>
      <c r="C429" s="133">
        <v>0</v>
      </c>
      <c r="D429" s="133">
        <v>0</v>
      </c>
      <c r="E429" s="133">
        <v>0</v>
      </c>
      <c r="F429" s="133">
        <v>0</v>
      </c>
      <c r="G429" s="133">
        <v>0</v>
      </c>
      <c r="H429" s="133">
        <v>0</v>
      </c>
      <c r="I429" s="133">
        <v>0</v>
      </c>
      <c r="J429" s="133">
        <v>0</v>
      </c>
      <c r="K429" s="133">
        <v>0</v>
      </c>
      <c r="L429" s="133">
        <v>0</v>
      </c>
      <c r="M429" s="133">
        <v>0</v>
      </c>
      <c r="N429" s="133">
        <v>0</v>
      </c>
      <c r="O429" s="133">
        <v>0</v>
      </c>
      <c r="P429" s="133">
        <v>0</v>
      </c>
      <c r="Q429" s="133">
        <v>0</v>
      </c>
      <c r="R429" s="133">
        <v>0</v>
      </c>
      <c r="S429" s="133">
        <v>0</v>
      </c>
      <c r="T429" s="133">
        <v>0</v>
      </c>
      <c r="U429" s="133">
        <v>0</v>
      </c>
      <c r="V429" s="133">
        <v>0</v>
      </c>
      <c r="W429" s="133">
        <v>0.39387</v>
      </c>
      <c r="X429" s="133">
        <v>0</v>
      </c>
      <c r="Y429" s="133">
        <v>0</v>
      </c>
      <c r="Z429" s="133">
        <v>0</v>
      </c>
      <c r="AA429" s="133">
        <v>0</v>
      </c>
      <c r="AB429" s="133">
        <v>0</v>
      </c>
      <c r="AC429" s="133">
        <v>0</v>
      </c>
      <c r="AD429" s="133">
        <v>0</v>
      </c>
      <c r="AE429" s="133">
        <v>0</v>
      </c>
      <c r="AF429" s="133">
        <v>19</v>
      </c>
      <c r="AG429" s="133">
        <v>19.39387</v>
      </c>
    </row>
    <row r="430" spans="1:33" x14ac:dyDescent="0.45">
      <c r="B430" s="130" t="s">
        <v>130</v>
      </c>
      <c r="C430" s="133">
        <v>0</v>
      </c>
      <c r="D430" s="133">
        <v>0</v>
      </c>
      <c r="E430" s="133">
        <v>0</v>
      </c>
      <c r="F430" s="133">
        <v>0</v>
      </c>
      <c r="G430" s="133">
        <v>0</v>
      </c>
      <c r="H430" s="133">
        <v>0</v>
      </c>
      <c r="I430" s="133">
        <v>0</v>
      </c>
      <c r="J430" s="133">
        <v>0</v>
      </c>
      <c r="K430" s="133">
        <v>0</v>
      </c>
      <c r="L430" s="133">
        <v>0</v>
      </c>
      <c r="M430" s="133">
        <v>0</v>
      </c>
      <c r="N430" s="133">
        <v>0</v>
      </c>
      <c r="O430" s="133">
        <v>0</v>
      </c>
      <c r="P430" s="133">
        <v>0</v>
      </c>
      <c r="Q430" s="133">
        <v>0</v>
      </c>
      <c r="R430" s="133">
        <v>0</v>
      </c>
      <c r="S430" s="133">
        <v>0</v>
      </c>
      <c r="T430" s="133">
        <v>0</v>
      </c>
      <c r="U430" s="133">
        <v>0</v>
      </c>
      <c r="V430" s="133">
        <v>0</v>
      </c>
      <c r="W430" s="133">
        <v>0.39387</v>
      </c>
      <c r="X430" s="133">
        <v>0</v>
      </c>
      <c r="Y430" s="133">
        <v>0</v>
      </c>
      <c r="Z430" s="133">
        <v>0</v>
      </c>
      <c r="AA430" s="133">
        <v>0</v>
      </c>
      <c r="AB430" s="133">
        <v>0</v>
      </c>
      <c r="AC430" s="133">
        <v>0</v>
      </c>
      <c r="AD430" s="133">
        <v>0</v>
      </c>
      <c r="AE430" s="133">
        <v>0</v>
      </c>
      <c r="AF430" s="133">
        <v>19</v>
      </c>
      <c r="AG430" s="133">
        <v>19.39387</v>
      </c>
    </row>
    <row r="431" spans="1:33" x14ac:dyDescent="0.45">
      <c r="A431" s="134" t="s">
        <v>276</v>
      </c>
      <c r="B431" s="130"/>
      <c r="C431" s="133">
        <v>0</v>
      </c>
      <c r="D431" s="133">
        <v>0</v>
      </c>
      <c r="E431" s="133">
        <v>0</v>
      </c>
      <c r="F431" s="133">
        <v>17.639700000000001</v>
      </c>
      <c r="G431" s="133">
        <v>0</v>
      </c>
      <c r="H431" s="133">
        <v>0</v>
      </c>
      <c r="I431" s="133">
        <v>0</v>
      </c>
      <c r="J431" s="133">
        <v>0.59699999999999998</v>
      </c>
      <c r="K431" s="133">
        <v>0</v>
      </c>
      <c r="L431" s="133">
        <v>0</v>
      </c>
      <c r="M431" s="133">
        <v>90.789900000000003</v>
      </c>
      <c r="N431" s="133">
        <v>0</v>
      </c>
      <c r="O431" s="133">
        <v>0</v>
      </c>
      <c r="P431" s="133">
        <v>25.3</v>
      </c>
      <c r="Q431" s="133">
        <v>0</v>
      </c>
      <c r="R431" s="133">
        <v>4.3205600000000004</v>
      </c>
      <c r="S431" s="133">
        <v>0</v>
      </c>
      <c r="T431" s="133">
        <v>0</v>
      </c>
      <c r="U431" s="133">
        <v>0</v>
      </c>
      <c r="V431" s="133">
        <v>0</v>
      </c>
      <c r="W431" s="133">
        <v>5</v>
      </c>
      <c r="X431" s="133">
        <v>0</v>
      </c>
      <c r="Y431" s="133">
        <v>0</v>
      </c>
      <c r="Z431" s="133">
        <v>0</v>
      </c>
      <c r="AA431" s="133">
        <v>0</v>
      </c>
      <c r="AB431" s="133">
        <v>0</v>
      </c>
      <c r="AC431" s="133">
        <v>0</v>
      </c>
      <c r="AD431" s="133">
        <v>0</v>
      </c>
      <c r="AE431" s="133">
        <v>0</v>
      </c>
      <c r="AF431" s="133">
        <v>0</v>
      </c>
      <c r="AG431" s="133">
        <v>143.64716000000001</v>
      </c>
    </row>
    <row r="432" spans="1:33" x14ac:dyDescent="0.45">
      <c r="B432" s="130" t="s">
        <v>275</v>
      </c>
      <c r="C432" s="133">
        <v>0</v>
      </c>
      <c r="D432" s="133">
        <v>0</v>
      </c>
      <c r="E432" s="133">
        <v>0</v>
      </c>
      <c r="F432" s="133">
        <v>17.639700000000001</v>
      </c>
      <c r="G432" s="133">
        <v>0</v>
      </c>
      <c r="H432" s="133">
        <v>0</v>
      </c>
      <c r="I432" s="133">
        <v>0</v>
      </c>
      <c r="J432" s="133">
        <v>0.59699999999999998</v>
      </c>
      <c r="K432" s="133">
        <v>0</v>
      </c>
      <c r="L432" s="133">
        <v>0</v>
      </c>
      <c r="M432" s="133">
        <v>90.789900000000003</v>
      </c>
      <c r="N432" s="133">
        <v>0</v>
      </c>
      <c r="O432" s="133">
        <v>0</v>
      </c>
      <c r="P432" s="133">
        <v>25.3</v>
      </c>
      <c r="Q432" s="133">
        <v>0</v>
      </c>
      <c r="R432" s="133">
        <v>4.3205600000000004</v>
      </c>
      <c r="S432" s="133">
        <v>0</v>
      </c>
      <c r="T432" s="133">
        <v>0</v>
      </c>
      <c r="U432" s="133">
        <v>0</v>
      </c>
      <c r="V432" s="133">
        <v>0</v>
      </c>
      <c r="W432" s="133">
        <v>5</v>
      </c>
      <c r="X432" s="133">
        <v>0</v>
      </c>
      <c r="Y432" s="133">
        <v>0</v>
      </c>
      <c r="Z432" s="133">
        <v>0</v>
      </c>
      <c r="AA432" s="133">
        <v>0</v>
      </c>
      <c r="AB432" s="133">
        <v>0</v>
      </c>
      <c r="AC432" s="133">
        <v>0</v>
      </c>
      <c r="AD432" s="133">
        <v>0</v>
      </c>
      <c r="AE432" s="133">
        <v>0</v>
      </c>
      <c r="AF432" s="133">
        <v>0</v>
      </c>
      <c r="AG432" s="133">
        <v>143.64716000000001</v>
      </c>
    </row>
    <row r="433" spans="1:33" x14ac:dyDescent="0.45">
      <c r="A433" s="134" t="s">
        <v>273</v>
      </c>
      <c r="B433" s="130"/>
      <c r="C433" s="133">
        <v>0</v>
      </c>
      <c r="D433" s="133">
        <v>0</v>
      </c>
      <c r="E433" s="133">
        <v>0</v>
      </c>
      <c r="F433" s="133">
        <v>11.3</v>
      </c>
      <c r="G433" s="133">
        <v>0</v>
      </c>
      <c r="H433" s="133">
        <v>3.7</v>
      </c>
      <c r="I433" s="133">
        <v>0</v>
      </c>
      <c r="J433" s="133">
        <v>0.11</v>
      </c>
      <c r="K433" s="133">
        <v>0</v>
      </c>
      <c r="L433" s="133">
        <v>0</v>
      </c>
      <c r="M433" s="133">
        <v>20.2</v>
      </c>
      <c r="N433" s="133">
        <v>1.5</v>
      </c>
      <c r="O433" s="133">
        <v>0</v>
      </c>
      <c r="P433" s="133">
        <v>15.06</v>
      </c>
      <c r="Q433" s="133">
        <v>0</v>
      </c>
      <c r="R433" s="133">
        <v>0</v>
      </c>
      <c r="S433" s="133">
        <v>48.5</v>
      </c>
      <c r="T433" s="133">
        <v>0</v>
      </c>
      <c r="U433" s="133">
        <v>0</v>
      </c>
      <c r="V433" s="133">
        <v>0</v>
      </c>
      <c r="W433" s="133">
        <v>2.2109999999999999</v>
      </c>
      <c r="X433" s="133">
        <v>0</v>
      </c>
      <c r="Y433" s="133">
        <v>21.069400000000002</v>
      </c>
      <c r="Z433" s="133">
        <v>0</v>
      </c>
      <c r="AA433" s="133">
        <v>0</v>
      </c>
      <c r="AB433" s="133">
        <v>0</v>
      </c>
      <c r="AC433" s="133">
        <v>0</v>
      </c>
      <c r="AD433" s="133">
        <v>0</v>
      </c>
      <c r="AE433" s="133">
        <v>0</v>
      </c>
      <c r="AF433" s="133">
        <v>0</v>
      </c>
      <c r="AG433" s="133">
        <v>123.6504</v>
      </c>
    </row>
    <row r="434" spans="1:33" x14ac:dyDescent="0.45">
      <c r="B434" s="130" t="s">
        <v>272</v>
      </c>
      <c r="C434" s="133">
        <v>0</v>
      </c>
      <c r="D434" s="133">
        <v>0</v>
      </c>
      <c r="E434" s="133">
        <v>0</v>
      </c>
      <c r="F434" s="133">
        <v>11.3</v>
      </c>
      <c r="G434" s="133">
        <v>0</v>
      </c>
      <c r="H434" s="133">
        <v>3.7</v>
      </c>
      <c r="I434" s="133">
        <v>0</v>
      </c>
      <c r="J434" s="133">
        <v>0.11</v>
      </c>
      <c r="K434" s="133">
        <v>0</v>
      </c>
      <c r="L434" s="133">
        <v>0</v>
      </c>
      <c r="M434" s="133">
        <v>20.2</v>
      </c>
      <c r="N434" s="133">
        <v>1.5</v>
      </c>
      <c r="O434" s="133">
        <v>0</v>
      </c>
      <c r="P434" s="133">
        <v>15.06</v>
      </c>
      <c r="Q434" s="133">
        <v>0</v>
      </c>
      <c r="R434" s="133">
        <v>0</v>
      </c>
      <c r="S434" s="133">
        <v>48.5</v>
      </c>
      <c r="T434" s="133">
        <v>0</v>
      </c>
      <c r="U434" s="133">
        <v>0</v>
      </c>
      <c r="V434" s="133">
        <v>0</v>
      </c>
      <c r="W434" s="133">
        <v>2.2109999999999999</v>
      </c>
      <c r="X434" s="133">
        <v>0</v>
      </c>
      <c r="Y434" s="133">
        <v>21.069400000000002</v>
      </c>
      <c r="Z434" s="133">
        <v>0</v>
      </c>
      <c r="AA434" s="133">
        <v>0</v>
      </c>
      <c r="AB434" s="133">
        <v>0</v>
      </c>
      <c r="AC434" s="133">
        <v>0</v>
      </c>
      <c r="AD434" s="133">
        <v>0</v>
      </c>
      <c r="AE434" s="133">
        <v>0</v>
      </c>
      <c r="AF434" s="133">
        <v>0</v>
      </c>
      <c r="AG434" s="133">
        <v>123.6504</v>
      </c>
    </row>
    <row r="435" spans="1:33" x14ac:dyDescent="0.45">
      <c r="A435" s="134" t="s">
        <v>271</v>
      </c>
      <c r="B435" s="130"/>
      <c r="C435" s="133">
        <v>0</v>
      </c>
      <c r="D435" s="133">
        <v>0</v>
      </c>
      <c r="E435" s="133">
        <v>0</v>
      </c>
      <c r="F435" s="133">
        <v>0</v>
      </c>
      <c r="G435" s="133">
        <v>24.3</v>
      </c>
      <c r="H435" s="133">
        <v>0</v>
      </c>
      <c r="I435" s="133">
        <v>0</v>
      </c>
      <c r="J435" s="133">
        <v>0.14000000000000001</v>
      </c>
      <c r="K435" s="133">
        <v>0</v>
      </c>
      <c r="L435" s="133">
        <v>0</v>
      </c>
      <c r="M435" s="133">
        <v>269.46499999999997</v>
      </c>
      <c r="N435" s="133">
        <v>0</v>
      </c>
      <c r="O435" s="133">
        <v>0</v>
      </c>
      <c r="P435" s="133">
        <v>51.8</v>
      </c>
      <c r="Q435" s="133">
        <v>0</v>
      </c>
      <c r="R435" s="133">
        <v>0</v>
      </c>
      <c r="S435" s="133">
        <v>0</v>
      </c>
      <c r="T435" s="133">
        <v>0</v>
      </c>
      <c r="U435" s="133">
        <v>0</v>
      </c>
      <c r="V435" s="133">
        <v>0</v>
      </c>
      <c r="W435" s="133">
        <v>6.6936799999999996</v>
      </c>
      <c r="X435" s="133">
        <v>0</v>
      </c>
      <c r="Y435" s="133">
        <v>0</v>
      </c>
      <c r="Z435" s="133">
        <v>0</v>
      </c>
      <c r="AA435" s="133">
        <v>0</v>
      </c>
      <c r="AB435" s="133">
        <v>0</v>
      </c>
      <c r="AC435" s="133">
        <v>0</v>
      </c>
      <c r="AD435" s="133">
        <v>0</v>
      </c>
      <c r="AE435" s="133">
        <v>0</v>
      </c>
      <c r="AF435" s="133">
        <v>0</v>
      </c>
      <c r="AG435" s="133">
        <v>352.39867999999996</v>
      </c>
    </row>
    <row r="436" spans="1:33" x14ac:dyDescent="0.45">
      <c r="A436" s="126"/>
      <c r="B436" s="129" t="s">
        <v>270</v>
      </c>
      <c r="C436" s="129">
        <v>0</v>
      </c>
      <c r="D436" s="129">
        <v>0</v>
      </c>
      <c r="E436" s="129">
        <v>0</v>
      </c>
      <c r="F436" s="129">
        <v>0</v>
      </c>
      <c r="G436" s="129">
        <v>24.3</v>
      </c>
      <c r="H436" s="129">
        <v>0</v>
      </c>
      <c r="I436" s="129">
        <v>0</v>
      </c>
      <c r="J436" s="129">
        <v>0.14000000000000001</v>
      </c>
      <c r="K436" s="129">
        <v>0</v>
      </c>
      <c r="L436" s="129">
        <v>0</v>
      </c>
      <c r="M436" s="129">
        <v>269.46499999999997</v>
      </c>
      <c r="N436" s="129">
        <v>0</v>
      </c>
      <c r="O436" s="129">
        <v>0</v>
      </c>
      <c r="P436" s="129">
        <v>51.8</v>
      </c>
      <c r="Q436" s="129">
        <v>0</v>
      </c>
      <c r="R436" s="129">
        <v>0</v>
      </c>
      <c r="S436" s="129">
        <v>0</v>
      </c>
      <c r="T436" s="129">
        <v>0</v>
      </c>
      <c r="U436" s="129">
        <v>0</v>
      </c>
      <c r="V436" s="129">
        <v>0</v>
      </c>
      <c r="W436" s="129">
        <v>6.6936799999999996</v>
      </c>
      <c r="X436" s="129">
        <v>0</v>
      </c>
      <c r="Y436" s="129">
        <v>0</v>
      </c>
      <c r="Z436" s="129">
        <v>0</v>
      </c>
      <c r="AA436" s="129">
        <v>0</v>
      </c>
      <c r="AB436" s="129">
        <v>0</v>
      </c>
      <c r="AC436" s="129">
        <v>0</v>
      </c>
      <c r="AD436" s="129">
        <v>0</v>
      </c>
      <c r="AE436" s="129">
        <v>0</v>
      </c>
      <c r="AF436" s="129">
        <v>0</v>
      </c>
      <c r="AG436" s="129">
        <v>352.39867999999996</v>
      </c>
    </row>
    <row r="437" spans="1:33" x14ac:dyDescent="0.45">
      <c r="A437" s="134" t="s">
        <v>267</v>
      </c>
      <c r="B437" s="130"/>
      <c r="C437" s="133">
        <v>0</v>
      </c>
      <c r="D437" s="133">
        <v>174.381</v>
      </c>
      <c r="E437" s="133">
        <v>0</v>
      </c>
      <c r="F437" s="133">
        <v>0</v>
      </c>
      <c r="G437" s="133">
        <v>0.47199999999999998</v>
      </c>
      <c r="H437" s="133">
        <v>0</v>
      </c>
      <c r="I437" s="133">
        <v>0</v>
      </c>
      <c r="J437" s="133">
        <v>0.62356299999999998</v>
      </c>
      <c r="K437" s="133">
        <v>0</v>
      </c>
      <c r="L437" s="133">
        <v>0</v>
      </c>
      <c r="M437" s="133">
        <v>0</v>
      </c>
      <c r="N437" s="133">
        <v>0</v>
      </c>
      <c r="O437" s="133">
        <v>6.585</v>
      </c>
      <c r="P437" s="133">
        <v>62.756999999999998</v>
      </c>
      <c r="Q437" s="133">
        <v>0</v>
      </c>
      <c r="R437" s="133">
        <v>0</v>
      </c>
      <c r="S437" s="133">
        <v>60.097999999999999</v>
      </c>
      <c r="T437" s="133">
        <v>0</v>
      </c>
      <c r="U437" s="133">
        <v>0</v>
      </c>
      <c r="V437" s="133">
        <v>18.506</v>
      </c>
      <c r="W437" s="133">
        <v>11.09313</v>
      </c>
      <c r="X437" s="133">
        <v>0</v>
      </c>
      <c r="Y437" s="133">
        <v>11.475</v>
      </c>
      <c r="Z437" s="133">
        <v>0</v>
      </c>
      <c r="AA437" s="133">
        <v>0</v>
      </c>
      <c r="AB437" s="133">
        <v>0</v>
      </c>
      <c r="AC437" s="133">
        <v>0</v>
      </c>
      <c r="AD437" s="133">
        <v>0</v>
      </c>
      <c r="AE437" s="133">
        <v>0</v>
      </c>
      <c r="AF437" s="133">
        <v>0</v>
      </c>
      <c r="AG437" s="133">
        <v>345.99069299999996</v>
      </c>
    </row>
    <row r="438" spans="1:33" x14ac:dyDescent="0.45">
      <c r="B438" s="130" t="s">
        <v>269</v>
      </c>
      <c r="C438" s="133">
        <v>0</v>
      </c>
      <c r="D438" s="133">
        <v>0</v>
      </c>
      <c r="E438" s="133">
        <v>0</v>
      </c>
      <c r="F438" s="133">
        <v>0</v>
      </c>
      <c r="G438" s="133">
        <v>0.14799999999999999</v>
      </c>
      <c r="H438" s="133">
        <v>0</v>
      </c>
      <c r="I438" s="133">
        <v>0</v>
      </c>
      <c r="J438" s="133">
        <v>0</v>
      </c>
      <c r="K438" s="133">
        <v>0</v>
      </c>
      <c r="L438" s="133">
        <v>0</v>
      </c>
      <c r="M438" s="133">
        <v>0</v>
      </c>
      <c r="N438" s="133">
        <v>0</v>
      </c>
      <c r="O438" s="133">
        <v>0</v>
      </c>
      <c r="P438" s="133">
        <v>0</v>
      </c>
      <c r="Q438" s="133">
        <v>0</v>
      </c>
      <c r="R438" s="133">
        <v>0</v>
      </c>
      <c r="S438" s="133">
        <v>0</v>
      </c>
      <c r="T438" s="133">
        <v>0</v>
      </c>
      <c r="U438" s="133">
        <v>0</v>
      </c>
      <c r="V438" s="133">
        <v>0</v>
      </c>
      <c r="W438" s="133">
        <v>9.6939999999999998E-2</v>
      </c>
      <c r="X438" s="133">
        <v>0</v>
      </c>
      <c r="Y438" s="133">
        <v>5.4550000000000001</v>
      </c>
      <c r="Z438" s="133">
        <v>0</v>
      </c>
      <c r="AA438" s="133">
        <v>0</v>
      </c>
      <c r="AB438" s="133">
        <v>0</v>
      </c>
      <c r="AC438" s="133">
        <v>0</v>
      </c>
      <c r="AD438" s="133">
        <v>0</v>
      </c>
      <c r="AE438" s="133">
        <v>0</v>
      </c>
      <c r="AF438" s="133">
        <v>0</v>
      </c>
      <c r="AG438" s="133">
        <v>5.6999399999999998</v>
      </c>
    </row>
    <row r="439" spans="1:33" x14ac:dyDescent="0.45">
      <c r="A439" s="126"/>
      <c r="B439" s="129" t="s">
        <v>268</v>
      </c>
      <c r="C439" s="129">
        <v>0</v>
      </c>
      <c r="D439" s="129">
        <v>0</v>
      </c>
      <c r="E439" s="129">
        <v>0</v>
      </c>
      <c r="F439" s="129">
        <v>0</v>
      </c>
      <c r="G439" s="129">
        <v>0.188</v>
      </c>
      <c r="H439" s="129">
        <v>0</v>
      </c>
      <c r="I439" s="129">
        <v>0</v>
      </c>
      <c r="J439" s="129">
        <v>0</v>
      </c>
      <c r="K439" s="129">
        <v>0</v>
      </c>
      <c r="L439" s="129">
        <v>0</v>
      </c>
      <c r="M439" s="129">
        <v>0</v>
      </c>
      <c r="N439" s="129">
        <v>0</v>
      </c>
      <c r="O439" s="129">
        <v>0</v>
      </c>
      <c r="P439" s="129">
        <v>0</v>
      </c>
      <c r="Q439" s="129">
        <v>0</v>
      </c>
      <c r="R439" s="129">
        <v>0</v>
      </c>
      <c r="S439" s="129">
        <v>2.5179999999999998</v>
      </c>
      <c r="T439" s="129">
        <v>0</v>
      </c>
      <c r="U439" s="129">
        <v>0</v>
      </c>
      <c r="V439" s="129">
        <v>0</v>
      </c>
      <c r="W439" s="129">
        <v>0.12959000000000001</v>
      </c>
      <c r="X439" s="129">
        <v>0</v>
      </c>
      <c r="Y439" s="129">
        <v>6.02</v>
      </c>
      <c r="Z439" s="129">
        <v>0</v>
      </c>
      <c r="AA439" s="129">
        <v>0</v>
      </c>
      <c r="AB439" s="129">
        <v>0</v>
      </c>
      <c r="AC439" s="129">
        <v>0</v>
      </c>
      <c r="AD439" s="129">
        <v>0</v>
      </c>
      <c r="AE439" s="129">
        <v>0</v>
      </c>
      <c r="AF439" s="129">
        <v>0</v>
      </c>
      <c r="AG439" s="129">
        <v>8.8555899999999994</v>
      </c>
    </row>
    <row r="440" spans="1:33" x14ac:dyDescent="0.45">
      <c r="B440" s="130" t="s">
        <v>266</v>
      </c>
      <c r="C440" s="133">
        <v>0</v>
      </c>
      <c r="D440" s="133">
        <v>174.381</v>
      </c>
      <c r="E440" s="133">
        <v>0</v>
      </c>
      <c r="F440" s="133">
        <v>0</v>
      </c>
      <c r="G440" s="133">
        <v>0.13600000000000001</v>
      </c>
      <c r="H440" s="133">
        <v>0</v>
      </c>
      <c r="I440" s="133">
        <v>0</v>
      </c>
      <c r="J440" s="133">
        <v>0.62356299999999998</v>
      </c>
      <c r="K440" s="133">
        <v>0</v>
      </c>
      <c r="L440" s="133">
        <v>0</v>
      </c>
      <c r="M440" s="133">
        <v>0</v>
      </c>
      <c r="N440" s="133">
        <v>0</v>
      </c>
      <c r="O440" s="133">
        <v>6.585</v>
      </c>
      <c r="P440" s="133">
        <v>62.756999999999998</v>
      </c>
      <c r="Q440" s="133">
        <v>0</v>
      </c>
      <c r="R440" s="133">
        <v>0</v>
      </c>
      <c r="S440" s="133">
        <v>57.58</v>
      </c>
      <c r="T440" s="133">
        <v>0</v>
      </c>
      <c r="U440" s="133">
        <v>0</v>
      </c>
      <c r="V440" s="133">
        <v>18.506</v>
      </c>
      <c r="W440" s="133">
        <v>10.8666</v>
      </c>
      <c r="X440" s="133">
        <v>0</v>
      </c>
      <c r="Y440" s="133">
        <v>0</v>
      </c>
      <c r="Z440" s="133">
        <v>0</v>
      </c>
      <c r="AA440" s="133">
        <v>0</v>
      </c>
      <c r="AB440" s="133">
        <v>0</v>
      </c>
      <c r="AC440" s="133">
        <v>0</v>
      </c>
      <c r="AD440" s="133">
        <v>0</v>
      </c>
      <c r="AE440" s="133">
        <v>0</v>
      </c>
      <c r="AF440" s="133">
        <v>0</v>
      </c>
      <c r="AG440" s="133">
        <v>331.43516299999999</v>
      </c>
    </row>
    <row r="441" spans="1:33" x14ac:dyDescent="0.45">
      <c r="A441" s="126" t="s">
        <v>263</v>
      </c>
      <c r="B441" s="129"/>
      <c r="C441" s="129">
        <v>0</v>
      </c>
      <c r="D441" s="129">
        <v>0</v>
      </c>
      <c r="E441" s="129">
        <v>0</v>
      </c>
      <c r="F441" s="129">
        <v>0</v>
      </c>
      <c r="G441" s="129">
        <v>0</v>
      </c>
      <c r="H441" s="129">
        <v>0</v>
      </c>
      <c r="I441" s="129">
        <v>6.0999999999999997E-4</v>
      </c>
      <c r="J441" s="129">
        <v>0.502826</v>
      </c>
      <c r="K441" s="129">
        <v>0</v>
      </c>
      <c r="L441" s="129">
        <v>0</v>
      </c>
      <c r="M441" s="129">
        <v>0</v>
      </c>
      <c r="N441" s="129">
        <v>0</v>
      </c>
      <c r="O441" s="129">
        <v>0</v>
      </c>
      <c r="P441" s="129">
        <v>0</v>
      </c>
      <c r="Q441" s="129">
        <v>34.9</v>
      </c>
      <c r="R441" s="129">
        <v>0</v>
      </c>
      <c r="S441" s="129">
        <v>0</v>
      </c>
      <c r="T441" s="129">
        <v>0</v>
      </c>
      <c r="U441" s="129">
        <v>0</v>
      </c>
      <c r="V441" s="129">
        <v>0</v>
      </c>
      <c r="W441" s="129">
        <v>0.60807800000000001</v>
      </c>
      <c r="X441" s="129">
        <v>0</v>
      </c>
      <c r="Y441" s="129">
        <v>5.9141779999999997</v>
      </c>
      <c r="Z441" s="129">
        <v>0</v>
      </c>
      <c r="AA441" s="129">
        <v>0</v>
      </c>
      <c r="AB441" s="129">
        <v>0</v>
      </c>
      <c r="AC441" s="129">
        <v>0</v>
      </c>
      <c r="AD441" s="129">
        <v>0</v>
      </c>
      <c r="AE441" s="129">
        <v>0</v>
      </c>
      <c r="AF441" s="129">
        <v>19.010000000000002</v>
      </c>
      <c r="AG441" s="129">
        <v>60.935692000000003</v>
      </c>
    </row>
    <row r="442" spans="1:33" x14ac:dyDescent="0.45">
      <c r="B442" s="130" t="s">
        <v>265</v>
      </c>
      <c r="C442" s="133">
        <v>0</v>
      </c>
      <c r="D442" s="133">
        <v>0</v>
      </c>
      <c r="E442" s="133">
        <v>0</v>
      </c>
      <c r="F442" s="133">
        <v>0</v>
      </c>
      <c r="G442" s="133">
        <v>0</v>
      </c>
      <c r="H442" s="133">
        <v>0</v>
      </c>
      <c r="I442" s="133">
        <v>0</v>
      </c>
      <c r="J442" s="133">
        <v>5.0900000000000001E-2</v>
      </c>
      <c r="K442" s="133">
        <v>0</v>
      </c>
      <c r="L442" s="133">
        <v>0</v>
      </c>
      <c r="M442" s="133">
        <v>0</v>
      </c>
      <c r="N442" s="133">
        <v>0</v>
      </c>
      <c r="O442" s="133">
        <v>0</v>
      </c>
      <c r="P442" s="133">
        <v>0</v>
      </c>
      <c r="Q442" s="133">
        <v>0</v>
      </c>
      <c r="R442" s="133">
        <v>0</v>
      </c>
      <c r="S442" s="133">
        <v>0</v>
      </c>
      <c r="T442" s="133">
        <v>0</v>
      </c>
      <c r="U442" s="133">
        <v>0</v>
      </c>
      <c r="V442" s="133">
        <v>0</v>
      </c>
      <c r="W442" s="133">
        <v>3.0943999999999999E-2</v>
      </c>
      <c r="X442" s="133">
        <v>0</v>
      </c>
      <c r="Y442" s="133">
        <v>2.52</v>
      </c>
      <c r="Z442" s="133">
        <v>0</v>
      </c>
      <c r="AA442" s="133">
        <v>0</v>
      </c>
      <c r="AB442" s="133">
        <v>0</v>
      </c>
      <c r="AC442" s="133">
        <v>0</v>
      </c>
      <c r="AD442" s="133">
        <v>0</v>
      </c>
      <c r="AE442" s="133">
        <v>0</v>
      </c>
      <c r="AF442" s="133">
        <v>0</v>
      </c>
      <c r="AG442" s="133">
        <v>2.6018439999999998</v>
      </c>
    </row>
    <row r="443" spans="1:33" x14ac:dyDescent="0.45">
      <c r="A443" s="126"/>
      <c r="B443" s="129" t="s">
        <v>264</v>
      </c>
      <c r="C443" s="129">
        <v>0</v>
      </c>
      <c r="D443" s="129">
        <v>0</v>
      </c>
      <c r="E443" s="129">
        <v>0</v>
      </c>
      <c r="F443" s="129">
        <v>0</v>
      </c>
      <c r="G443" s="129">
        <v>0</v>
      </c>
      <c r="H443" s="129">
        <v>0</v>
      </c>
      <c r="I443" s="129">
        <v>6.0999999999999997E-4</v>
      </c>
      <c r="J443" s="129">
        <v>0</v>
      </c>
      <c r="K443" s="129">
        <v>0</v>
      </c>
      <c r="L443" s="129">
        <v>0</v>
      </c>
      <c r="M443" s="129">
        <v>0</v>
      </c>
      <c r="N443" s="129">
        <v>0</v>
      </c>
      <c r="O443" s="129">
        <v>0</v>
      </c>
      <c r="P443" s="129">
        <v>0</v>
      </c>
      <c r="Q443" s="129">
        <v>0</v>
      </c>
      <c r="R443" s="129">
        <v>0</v>
      </c>
      <c r="S443" s="129">
        <v>0</v>
      </c>
      <c r="T443" s="129">
        <v>0</v>
      </c>
      <c r="U443" s="129">
        <v>0</v>
      </c>
      <c r="V443" s="129">
        <v>0</v>
      </c>
      <c r="W443" s="129">
        <v>1.0394E-2</v>
      </c>
      <c r="X443" s="129">
        <v>0</v>
      </c>
      <c r="Y443" s="129">
        <v>0.88917800000000002</v>
      </c>
      <c r="Z443" s="129">
        <v>0</v>
      </c>
      <c r="AA443" s="129">
        <v>0</v>
      </c>
      <c r="AB443" s="129">
        <v>0</v>
      </c>
      <c r="AC443" s="129">
        <v>0</v>
      </c>
      <c r="AD443" s="129">
        <v>0</v>
      </c>
      <c r="AE443" s="129">
        <v>0</v>
      </c>
      <c r="AF443" s="129">
        <v>0</v>
      </c>
      <c r="AG443" s="129">
        <v>0.90018200000000004</v>
      </c>
    </row>
    <row r="444" spans="1:33" x14ac:dyDescent="0.45">
      <c r="B444" s="130" t="s">
        <v>262</v>
      </c>
      <c r="C444" s="133">
        <v>0</v>
      </c>
      <c r="D444" s="133">
        <v>0</v>
      </c>
      <c r="E444" s="133">
        <v>0</v>
      </c>
      <c r="F444" s="133">
        <v>0</v>
      </c>
      <c r="G444" s="133">
        <v>0</v>
      </c>
      <c r="H444" s="133">
        <v>0</v>
      </c>
      <c r="I444" s="133">
        <v>0</v>
      </c>
      <c r="J444" s="133">
        <v>0.45192599999999999</v>
      </c>
      <c r="K444" s="133">
        <v>0</v>
      </c>
      <c r="L444" s="133">
        <v>0</v>
      </c>
      <c r="M444" s="133">
        <v>0</v>
      </c>
      <c r="N444" s="133">
        <v>0</v>
      </c>
      <c r="O444" s="133">
        <v>0</v>
      </c>
      <c r="P444" s="133">
        <v>0</v>
      </c>
      <c r="Q444" s="133">
        <v>34.9</v>
      </c>
      <c r="R444" s="133">
        <v>0</v>
      </c>
      <c r="S444" s="133">
        <v>0</v>
      </c>
      <c r="T444" s="133">
        <v>0</v>
      </c>
      <c r="U444" s="133">
        <v>0</v>
      </c>
      <c r="V444" s="133">
        <v>0</v>
      </c>
      <c r="W444" s="133">
        <v>0.56674000000000002</v>
      </c>
      <c r="X444" s="133">
        <v>0</v>
      </c>
      <c r="Y444" s="133">
        <v>2.5049999999999999</v>
      </c>
      <c r="Z444" s="133">
        <v>0</v>
      </c>
      <c r="AA444" s="133">
        <v>0</v>
      </c>
      <c r="AB444" s="133">
        <v>0</v>
      </c>
      <c r="AC444" s="133">
        <v>0</v>
      </c>
      <c r="AD444" s="133">
        <v>0</v>
      </c>
      <c r="AE444" s="133">
        <v>0</v>
      </c>
      <c r="AF444" s="133">
        <v>19.010000000000002</v>
      </c>
      <c r="AG444" s="133">
        <v>57.433666000000002</v>
      </c>
    </row>
    <row r="445" spans="1:33" x14ac:dyDescent="0.45">
      <c r="A445" s="126" t="s">
        <v>258</v>
      </c>
      <c r="B445" s="129"/>
      <c r="C445" s="129">
        <v>0.47529399999999999</v>
      </c>
      <c r="D445" s="129">
        <v>259.7</v>
      </c>
      <c r="E445" s="129">
        <v>0</v>
      </c>
      <c r="F445" s="129">
        <v>130.19999999999999</v>
      </c>
      <c r="G445" s="129">
        <v>14.3</v>
      </c>
      <c r="H445" s="129">
        <v>0</v>
      </c>
      <c r="I445" s="129">
        <v>4.2</v>
      </c>
      <c r="J445" s="129">
        <v>18.484000000000002</v>
      </c>
      <c r="K445" s="129">
        <v>0</v>
      </c>
      <c r="L445" s="129">
        <v>0</v>
      </c>
      <c r="M445" s="129">
        <v>9.3000000000000007</v>
      </c>
      <c r="N445" s="129">
        <v>0</v>
      </c>
      <c r="O445" s="129">
        <v>65.5</v>
      </c>
      <c r="P445" s="129">
        <v>187.1</v>
      </c>
      <c r="Q445" s="129">
        <v>0</v>
      </c>
      <c r="R445" s="129">
        <v>53.9</v>
      </c>
      <c r="S445" s="129">
        <v>80.8</v>
      </c>
      <c r="T445" s="129">
        <v>0</v>
      </c>
      <c r="U445" s="129">
        <v>0</v>
      </c>
      <c r="V445" s="129">
        <v>6.5</v>
      </c>
      <c r="W445" s="129">
        <v>35.015000000000001</v>
      </c>
      <c r="X445" s="129">
        <v>0</v>
      </c>
      <c r="Y445" s="129">
        <v>40.099999999999994</v>
      </c>
      <c r="Z445" s="129">
        <v>0</v>
      </c>
      <c r="AA445" s="129">
        <v>14</v>
      </c>
      <c r="AB445" s="129">
        <v>25.635300000000001</v>
      </c>
      <c r="AC445" s="129">
        <v>0</v>
      </c>
      <c r="AD445" s="129">
        <v>0</v>
      </c>
      <c r="AE445" s="129">
        <v>0</v>
      </c>
      <c r="AF445" s="129">
        <v>44.094099999999997</v>
      </c>
      <c r="AG445" s="129">
        <v>989.30369399999995</v>
      </c>
    </row>
    <row r="446" spans="1:33" x14ac:dyDescent="0.45">
      <c r="B446" s="130" t="s">
        <v>261</v>
      </c>
      <c r="C446" s="133">
        <v>0</v>
      </c>
      <c r="D446" s="133">
        <v>0</v>
      </c>
      <c r="E446" s="133">
        <v>0</v>
      </c>
      <c r="F446" s="133">
        <v>0</v>
      </c>
      <c r="G446" s="133">
        <v>0</v>
      </c>
      <c r="H446" s="133">
        <v>0</v>
      </c>
      <c r="I446" s="133">
        <v>0</v>
      </c>
      <c r="J446" s="133">
        <v>1.71</v>
      </c>
      <c r="K446" s="133">
        <v>0</v>
      </c>
      <c r="L446" s="133">
        <v>0</v>
      </c>
      <c r="M446" s="133">
        <v>0</v>
      </c>
      <c r="N446" s="133">
        <v>0</v>
      </c>
      <c r="O446" s="133">
        <v>0</v>
      </c>
      <c r="P446" s="133">
        <v>0</v>
      </c>
      <c r="Q446" s="133">
        <v>0</v>
      </c>
      <c r="R446" s="133">
        <v>0</v>
      </c>
      <c r="S446" s="133">
        <v>0</v>
      </c>
      <c r="T446" s="133">
        <v>0</v>
      </c>
      <c r="U446" s="133">
        <v>0</v>
      </c>
      <c r="V446" s="133">
        <v>0</v>
      </c>
      <c r="W446" s="133">
        <v>0.16600000000000001</v>
      </c>
      <c r="X446" s="133">
        <v>0</v>
      </c>
      <c r="Y446" s="133">
        <v>7.7</v>
      </c>
      <c r="Z446" s="133">
        <v>0</v>
      </c>
      <c r="AA446" s="133">
        <v>0</v>
      </c>
      <c r="AB446" s="133">
        <v>0</v>
      </c>
      <c r="AC446" s="133">
        <v>0</v>
      </c>
      <c r="AD446" s="133">
        <v>0</v>
      </c>
      <c r="AE446" s="133">
        <v>0</v>
      </c>
      <c r="AF446" s="133">
        <v>0</v>
      </c>
      <c r="AG446" s="133">
        <v>9.5760000000000005</v>
      </c>
    </row>
    <row r="447" spans="1:33" x14ac:dyDescent="0.45">
      <c r="A447" s="126"/>
      <c r="B447" s="129" t="s">
        <v>260</v>
      </c>
      <c r="C447" s="129">
        <v>0</v>
      </c>
      <c r="D447" s="129">
        <v>0</v>
      </c>
      <c r="E447" s="129">
        <v>0</v>
      </c>
      <c r="F447" s="129">
        <v>0</v>
      </c>
      <c r="G447" s="129">
        <v>0</v>
      </c>
      <c r="H447" s="129">
        <v>0</v>
      </c>
      <c r="I447" s="129">
        <v>0</v>
      </c>
      <c r="J447" s="129">
        <v>2.4E-2</v>
      </c>
      <c r="K447" s="129">
        <v>0</v>
      </c>
      <c r="L447" s="129">
        <v>0</v>
      </c>
      <c r="M447" s="129">
        <v>0</v>
      </c>
      <c r="N447" s="129">
        <v>0</v>
      </c>
      <c r="O447" s="129">
        <v>0</v>
      </c>
      <c r="P447" s="129">
        <v>0</v>
      </c>
      <c r="Q447" s="129">
        <v>0</v>
      </c>
      <c r="R447" s="129">
        <v>0</v>
      </c>
      <c r="S447" s="129">
        <v>0</v>
      </c>
      <c r="T447" s="129">
        <v>0</v>
      </c>
      <c r="U447" s="129">
        <v>0</v>
      </c>
      <c r="V447" s="129">
        <v>0</v>
      </c>
      <c r="W447" s="129">
        <v>0.17</v>
      </c>
      <c r="X447" s="129">
        <v>0</v>
      </c>
      <c r="Y447" s="129">
        <v>10.5</v>
      </c>
      <c r="Z447" s="129">
        <v>0</v>
      </c>
      <c r="AA447" s="129">
        <v>0</v>
      </c>
      <c r="AB447" s="129">
        <v>0</v>
      </c>
      <c r="AC447" s="129">
        <v>0</v>
      </c>
      <c r="AD447" s="129">
        <v>0</v>
      </c>
      <c r="AE447" s="129">
        <v>0</v>
      </c>
      <c r="AF447" s="129">
        <v>0</v>
      </c>
      <c r="AG447" s="129">
        <v>10.693999999999999</v>
      </c>
    </row>
    <row r="448" spans="1:33" x14ac:dyDescent="0.45">
      <c r="B448" s="130" t="s">
        <v>259</v>
      </c>
      <c r="C448" s="133">
        <v>0</v>
      </c>
      <c r="D448" s="133">
        <v>0</v>
      </c>
      <c r="E448" s="133">
        <v>0</v>
      </c>
      <c r="F448" s="133">
        <v>0</v>
      </c>
      <c r="G448" s="133">
        <v>0</v>
      </c>
      <c r="H448" s="133">
        <v>0</v>
      </c>
      <c r="I448" s="133">
        <v>0</v>
      </c>
      <c r="J448" s="133">
        <v>0.25</v>
      </c>
      <c r="K448" s="133">
        <v>0</v>
      </c>
      <c r="L448" s="133">
        <v>0</v>
      </c>
      <c r="M448" s="133">
        <v>0</v>
      </c>
      <c r="N448" s="133">
        <v>0</v>
      </c>
      <c r="O448" s="133">
        <v>0</v>
      </c>
      <c r="P448" s="133">
        <v>0</v>
      </c>
      <c r="Q448" s="133">
        <v>0</v>
      </c>
      <c r="R448" s="133">
        <v>0</v>
      </c>
      <c r="S448" s="133">
        <v>0</v>
      </c>
      <c r="T448" s="133">
        <v>0</v>
      </c>
      <c r="U448" s="133">
        <v>0</v>
      </c>
      <c r="V448" s="133">
        <v>0</v>
      </c>
      <c r="W448" s="133">
        <v>3.1E-2</v>
      </c>
      <c r="X448" s="133">
        <v>0</v>
      </c>
      <c r="Y448" s="133">
        <v>0</v>
      </c>
      <c r="Z448" s="133">
        <v>0</v>
      </c>
      <c r="AA448" s="133">
        <v>0</v>
      </c>
      <c r="AB448" s="133">
        <v>0</v>
      </c>
      <c r="AC448" s="133">
        <v>0</v>
      </c>
      <c r="AD448" s="133">
        <v>0</v>
      </c>
      <c r="AE448" s="133">
        <v>0</v>
      </c>
      <c r="AF448" s="133">
        <v>11.2941</v>
      </c>
      <c r="AG448" s="133">
        <v>11.575100000000001</v>
      </c>
    </row>
    <row r="449" spans="1:33" x14ac:dyDescent="0.45">
      <c r="A449" s="126"/>
      <c r="B449" s="129" t="s">
        <v>257</v>
      </c>
      <c r="C449" s="129">
        <v>0.47529399999999999</v>
      </c>
      <c r="D449" s="129">
        <v>259.7</v>
      </c>
      <c r="E449" s="129">
        <v>0</v>
      </c>
      <c r="F449" s="129">
        <v>130.19999999999999</v>
      </c>
      <c r="G449" s="129">
        <v>14.3</v>
      </c>
      <c r="H449" s="129">
        <v>0</v>
      </c>
      <c r="I449" s="129">
        <v>4.2</v>
      </c>
      <c r="J449" s="129">
        <v>16.5</v>
      </c>
      <c r="K449" s="129">
        <v>0</v>
      </c>
      <c r="L449" s="129">
        <v>0</v>
      </c>
      <c r="M449" s="129">
        <v>9.3000000000000007</v>
      </c>
      <c r="N449" s="129">
        <v>0</v>
      </c>
      <c r="O449" s="129">
        <v>65.5</v>
      </c>
      <c r="P449" s="129">
        <v>187.1</v>
      </c>
      <c r="Q449" s="129">
        <v>0</v>
      </c>
      <c r="R449" s="129">
        <v>53.9</v>
      </c>
      <c r="S449" s="129">
        <v>80.8</v>
      </c>
      <c r="T449" s="129">
        <v>0</v>
      </c>
      <c r="U449" s="129">
        <v>0</v>
      </c>
      <c r="V449" s="129">
        <v>6.5</v>
      </c>
      <c r="W449" s="129">
        <v>34.648000000000003</v>
      </c>
      <c r="X449" s="129">
        <v>0</v>
      </c>
      <c r="Y449" s="129">
        <v>21.9</v>
      </c>
      <c r="Z449" s="129">
        <v>0</v>
      </c>
      <c r="AA449" s="129">
        <v>14</v>
      </c>
      <c r="AB449" s="129">
        <v>25.635300000000001</v>
      </c>
      <c r="AC449" s="129">
        <v>0</v>
      </c>
      <c r="AD449" s="129">
        <v>0</v>
      </c>
      <c r="AE449" s="129">
        <v>0</v>
      </c>
      <c r="AF449" s="129">
        <v>32.799999999999997</v>
      </c>
      <c r="AG449" s="129">
        <v>957.45859399999995</v>
      </c>
    </row>
    <row r="450" spans="1:33" x14ac:dyDescent="0.45">
      <c r="A450" s="134" t="s">
        <v>255</v>
      </c>
      <c r="B450" s="130"/>
      <c r="C450" s="133">
        <v>0</v>
      </c>
      <c r="D450" s="133">
        <v>0</v>
      </c>
      <c r="E450" s="133">
        <v>0</v>
      </c>
      <c r="F450" s="133">
        <v>0.17199999999999999</v>
      </c>
      <c r="G450" s="133">
        <v>0</v>
      </c>
      <c r="H450" s="133">
        <v>0</v>
      </c>
      <c r="I450" s="133">
        <v>0</v>
      </c>
      <c r="J450" s="133">
        <v>0.91300000000000003</v>
      </c>
      <c r="K450" s="133">
        <v>0</v>
      </c>
      <c r="L450" s="133">
        <v>0</v>
      </c>
      <c r="M450" s="133">
        <v>24.331</v>
      </c>
      <c r="N450" s="133">
        <v>0</v>
      </c>
      <c r="O450" s="133">
        <v>0</v>
      </c>
      <c r="P450" s="133">
        <v>6.0120000000000005</v>
      </c>
      <c r="Q450" s="133">
        <v>0</v>
      </c>
      <c r="R450" s="133">
        <v>0</v>
      </c>
      <c r="S450" s="133">
        <v>9.5549999999999997</v>
      </c>
      <c r="T450" s="133">
        <v>0</v>
      </c>
      <c r="U450" s="133">
        <v>0</v>
      </c>
      <c r="V450" s="133">
        <v>0</v>
      </c>
      <c r="W450" s="133">
        <v>1.4470000000000001</v>
      </c>
      <c r="X450" s="133">
        <v>0</v>
      </c>
      <c r="Y450" s="133">
        <v>7.657</v>
      </c>
      <c r="Z450" s="133">
        <v>0</v>
      </c>
      <c r="AA450" s="133">
        <v>0</v>
      </c>
      <c r="AB450" s="133">
        <v>0</v>
      </c>
      <c r="AC450" s="133">
        <v>0</v>
      </c>
      <c r="AD450" s="133">
        <v>0</v>
      </c>
      <c r="AE450" s="133">
        <v>0</v>
      </c>
      <c r="AF450" s="133">
        <v>21.017000000000003</v>
      </c>
      <c r="AG450" s="133">
        <v>71.104000000000013</v>
      </c>
    </row>
    <row r="451" spans="1:33" x14ac:dyDescent="0.45">
      <c r="B451" s="130" t="s">
        <v>256</v>
      </c>
      <c r="C451" s="133">
        <v>0</v>
      </c>
      <c r="D451" s="133">
        <v>0</v>
      </c>
      <c r="E451" s="133">
        <v>0</v>
      </c>
      <c r="F451" s="133">
        <v>0</v>
      </c>
      <c r="G451" s="133">
        <v>0</v>
      </c>
      <c r="H451" s="133">
        <v>0</v>
      </c>
      <c r="I451" s="133">
        <v>0</v>
      </c>
      <c r="J451" s="133">
        <v>0.45600000000000002</v>
      </c>
      <c r="K451" s="133">
        <v>0</v>
      </c>
      <c r="L451" s="133">
        <v>0</v>
      </c>
      <c r="M451" s="133">
        <v>9.2270000000000003</v>
      </c>
      <c r="N451" s="133">
        <v>0</v>
      </c>
      <c r="O451" s="133">
        <v>0</v>
      </c>
      <c r="P451" s="133">
        <v>2.2320000000000002</v>
      </c>
      <c r="Q451" s="133">
        <v>0</v>
      </c>
      <c r="R451" s="133">
        <v>0</v>
      </c>
      <c r="S451" s="133">
        <v>3.8170000000000002</v>
      </c>
      <c r="T451" s="133">
        <v>0</v>
      </c>
      <c r="U451" s="133">
        <v>0</v>
      </c>
      <c r="V451" s="133">
        <v>0</v>
      </c>
      <c r="W451" s="133">
        <v>0.57599999999999996</v>
      </c>
      <c r="X451" s="133">
        <v>0</v>
      </c>
      <c r="Y451" s="133">
        <v>7.657</v>
      </c>
      <c r="Z451" s="133">
        <v>0</v>
      </c>
      <c r="AA451" s="133">
        <v>0</v>
      </c>
      <c r="AB451" s="133">
        <v>0</v>
      </c>
      <c r="AC451" s="133">
        <v>0</v>
      </c>
      <c r="AD451" s="133">
        <v>0</v>
      </c>
      <c r="AE451" s="133">
        <v>0</v>
      </c>
      <c r="AF451" s="133">
        <v>8.2810000000000006</v>
      </c>
      <c r="AG451" s="133">
        <v>32.246000000000002</v>
      </c>
    </row>
    <row r="452" spans="1:33" x14ac:dyDescent="0.45">
      <c r="B452" s="130" t="s">
        <v>254</v>
      </c>
      <c r="C452" s="133">
        <v>0</v>
      </c>
      <c r="D452" s="133">
        <v>0</v>
      </c>
      <c r="E452" s="133">
        <v>0</v>
      </c>
      <c r="F452" s="133">
        <v>0.17199999999999999</v>
      </c>
      <c r="G452" s="133">
        <v>0</v>
      </c>
      <c r="H452" s="133">
        <v>0</v>
      </c>
      <c r="I452" s="133">
        <v>0</v>
      </c>
      <c r="J452" s="133">
        <v>0.45700000000000002</v>
      </c>
      <c r="K452" s="133">
        <v>0</v>
      </c>
      <c r="L452" s="133">
        <v>0</v>
      </c>
      <c r="M452" s="133">
        <v>15.103999999999999</v>
      </c>
      <c r="N452" s="133">
        <v>0</v>
      </c>
      <c r="O452" s="133">
        <v>0</v>
      </c>
      <c r="P452" s="133">
        <v>3.78</v>
      </c>
      <c r="Q452" s="133">
        <v>0</v>
      </c>
      <c r="R452" s="133">
        <v>0</v>
      </c>
      <c r="S452" s="133">
        <v>5.7380000000000004</v>
      </c>
      <c r="T452" s="133">
        <v>0</v>
      </c>
      <c r="U452" s="133">
        <v>0</v>
      </c>
      <c r="V452" s="133">
        <v>0</v>
      </c>
      <c r="W452" s="133">
        <v>0.871</v>
      </c>
      <c r="X452" s="133">
        <v>0</v>
      </c>
      <c r="Y452" s="133">
        <v>0</v>
      </c>
      <c r="Z452" s="133">
        <v>0</v>
      </c>
      <c r="AA452" s="133">
        <v>0</v>
      </c>
      <c r="AB452" s="133">
        <v>0</v>
      </c>
      <c r="AC452" s="133">
        <v>0</v>
      </c>
      <c r="AD452" s="133">
        <v>0</v>
      </c>
      <c r="AE452" s="133">
        <v>0</v>
      </c>
      <c r="AF452" s="133">
        <v>12.736000000000001</v>
      </c>
      <c r="AG452" s="133">
        <v>38.858000000000004</v>
      </c>
    </row>
    <row r="453" spans="1:33" x14ac:dyDescent="0.45">
      <c r="A453" s="134" t="s">
        <v>253</v>
      </c>
      <c r="B453" s="130"/>
      <c r="C453" s="133">
        <v>0</v>
      </c>
      <c r="D453" s="133">
        <v>0</v>
      </c>
      <c r="E453" s="133">
        <v>0</v>
      </c>
      <c r="F453" s="133">
        <v>8.8940000000000001</v>
      </c>
      <c r="G453" s="133">
        <v>0</v>
      </c>
      <c r="H453" s="133">
        <v>0</v>
      </c>
      <c r="I453" s="133">
        <v>0</v>
      </c>
      <c r="J453" s="133">
        <v>2.9000000000000001E-2</v>
      </c>
      <c r="K453" s="133">
        <v>0</v>
      </c>
      <c r="L453" s="133">
        <v>0</v>
      </c>
      <c r="M453" s="133">
        <v>7.6449999999999996</v>
      </c>
      <c r="N453" s="133">
        <v>0</v>
      </c>
      <c r="O453" s="133">
        <v>0</v>
      </c>
      <c r="P453" s="133">
        <v>0</v>
      </c>
      <c r="Q453" s="133">
        <v>0</v>
      </c>
      <c r="R453" s="133">
        <v>5.798</v>
      </c>
      <c r="S453" s="133">
        <v>16.952000000000002</v>
      </c>
      <c r="T453" s="133">
        <v>0</v>
      </c>
      <c r="U453" s="133">
        <v>0</v>
      </c>
      <c r="V453" s="133">
        <v>0</v>
      </c>
      <c r="W453" s="133">
        <v>0.53600000000000003</v>
      </c>
      <c r="X453" s="133">
        <v>0</v>
      </c>
      <c r="Y453" s="133">
        <v>0</v>
      </c>
      <c r="Z453" s="133">
        <v>0</v>
      </c>
      <c r="AA453" s="133">
        <v>0</v>
      </c>
      <c r="AB453" s="133">
        <v>0</v>
      </c>
      <c r="AC453" s="133">
        <v>0</v>
      </c>
      <c r="AD453" s="133">
        <v>0</v>
      </c>
      <c r="AE453" s="133">
        <v>0</v>
      </c>
      <c r="AF453" s="133">
        <v>4.2129399999999997</v>
      </c>
      <c r="AG453" s="133">
        <v>44.066940000000002</v>
      </c>
    </row>
    <row r="454" spans="1:33" x14ac:dyDescent="0.45">
      <c r="B454" s="130" t="s">
        <v>252</v>
      </c>
      <c r="C454" s="133">
        <v>0</v>
      </c>
      <c r="D454" s="133">
        <v>0</v>
      </c>
      <c r="E454" s="133">
        <v>0</v>
      </c>
      <c r="F454" s="133">
        <v>8.8940000000000001</v>
      </c>
      <c r="G454" s="133">
        <v>0</v>
      </c>
      <c r="H454" s="133">
        <v>0</v>
      </c>
      <c r="I454" s="133">
        <v>0</v>
      </c>
      <c r="J454" s="133">
        <v>2.9000000000000001E-2</v>
      </c>
      <c r="K454" s="133">
        <v>0</v>
      </c>
      <c r="L454" s="133">
        <v>0</v>
      </c>
      <c r="M454" s="133">
        <v>7.6449999999999996</v>
      </c>
      <c r="N454" s="133">
        <v>0</v>
      </c>
      <c r="O454" s="133">
        <v>0</v>
      </c>
      <c r="P454" s="133">
        <v>0</v>
      </c>
      <c r="Q454" s="133">
        <v>0</v>
      </c>
      <c r="R454" s="133">
        <v>5.798</v>
      </c>
      <c r="S454" s="133">
        <v>16.952000000000002</v>
      </c>
      <c r="T454" s="133">
        <v>0</v>
      </c>
      <c r="U454" s="133">
        <v>0</v>
      </c>
      <c r="V454" s="133">
        <v>0</v>
      </c>
      <c r="W454" s="133">
        <v>0.53600000000000003</v>
      </c>
      <c r="X454" s="133">
        <v>0</v>
      </c>
      <c r="Y454" s="133">
        <v>0</v>
      </c>
      <c r="Z454" s="133">
        <v>0</v>
      </c>
      <c r="AA454" s="133">
        <v>0</v>
      </c>
      <c r="AB454" s="133">
        <v>0</v>
      </c>
      <c r="AC454" s="133">
        <v>0</v>
      </c>
      <c r="AD454" s="133">
        <v>0</v>
      </c>
      <c r="AE454" s="133">
        <v>0</v>
      </c>
      <c r="AF454" s="133">
        <v>4.2129399999999997</v>
      </c>
      <c r="AG454" s="133">
        <v>44.066940000000002</v>
      </c>
    </row>
    <row r="455" spans="1:33" x14ac:dyDescent="0.45">
      <c r="A455" s="134" t="s">
        <v>249</v>
      </c>
      <c r="B455" s="130"/>
      <c r="C455" s="133">
        <v>0</v>
      </c>
      <c r="D455" s="133">
        <v>0</v>
      </c>
      <c r="E455" s="133">
        <v>0</v>
      </c>
      <c r="F455" s="133">
        <v>17.948</v>
      </c>
      <c r="G455" s="133">
        <v>1.2909999999999999</v>
      </c>
      <c r="H455" s="133">
        <v>7.5869999999999997</v>
      </c>
      <c r="I455" s="133">
        <v>0.255</v>
      </c>
      <c r="J455" s="133">
        <v>0.253</v>
      </c>
      <c r="K455" s="133">
        <v>0</v>
      </c>
      <c r="L455" s="133">
        <v>0</v>
      </c>
      <c r="M455" s="133">
        <v>0</v>
      </c>
      <c r="N455" s="133">
        <v>0</v>
      </c>
      <c r="O455" s="133">
        <v>0</v>
      </c>
      <c r="P455" s="133">
        <v>7.069</v>
      </c>
      <c r="Q455" s="133">
        <v>132.52500000000001</v>
      </c>
      <c r="R455" s="133">
        <v>0</v>
      </c>
      <c r="S455" s="133">
        <v>16.414000000000001</v>
      </c>
      <c r="T455" s="133">
        <v>0</v>
      </c>
      <c r="U455" s="133">
        <v>5.5129400000000004</v>
      </c>
      <c r="V455" s="133">
        <v>0</v>
      </c>
      <c r="W455" s="133">
        <v>2.3534099999999998</v>
      </c>
      <c r="X455" s="133">
        <v>4.4980000000000002</v>
      </c>
      <c r="Y455" s="133">
        <v>7.7889999999999997</v>
      </c>
      <c r="Z455" s="133">
        <v>0</v>
      </c>
      <c r="AA455" s="133">
        <v>0</v>
      </c>
      <c r="AB455" s="133">
        <v>0</v>
      </c>
      <c r="AC455" s="133">
        <v>0</v>
      </c>
      <c r="AD455" s="133">
        <v>0</v>
      </c>
      <c r="AE455" s="133">
        <v>0</v>
      </c>
      <c r="AF455" s="133">
        <v>0</v>
      </c>
      <c r="AG455" s="133">
        <v>203.49535</v>
      </c>
    </row>
    <row r="456" spans="1:33" x14ac:dyDescent="0.45">
      <c r="B456" s="130" t="s">
        <v>251</v>
      </c>
      <c r="C456" s="133">
        <v>0</v>
      </c>
      <c r="D456" s="133">
        <v>0</v>
      </c>
      <c r="E456" s="133">
        <v>0</v>
      </c>
      <c r="F456" s="133">
        <v>0</v>
      </c>
      <c r="G456" s="133">
        <v>0</v>
      </c>
      <c r="H456" s="133">
        <v>0</v>
      </c>
      <c r="I456" s="133">
        <v>0.255</v>
      </c>
      <c r="J456" s="133">
        <v>6.9000000000000006E-2</v>
      </c>
      <c r="K456" s="133">
        <v>0</v>
      </c>
      <c r="L456" s="133">
        <v>0</v>
      </c>
      <c r="M456" s="133">
        <v>0</v>
      </c>
      <c r="N456" s="133">
        <v>0</v>
      </c>
      <c r="O456" s="133">
        <v>0</v>
      </c>
      <c r="P456" s="133">
        <v>0</v>
      </c>
      <c r="Q456" s="133">
        <v>0</v>
      </c>
      <c r="R456" s="133">
        <v>0</v>
      </c>
      <c r="S456" s="133">
        <v>0</v>
      </c>
      <c r="T456" s="133">
        <v>0</v>
      </c>
      <c r="U456" s="133">
        <v>0</v>
      </c>
      <c r="V456" s="133">
        <v>0</v>
      </c>
      <c r="W456" s="133">
        <v>9.5000000000000001E-2</v>
      </c>
      <c r="X456" s="133">
        <v>0</v>
      </c>
      <c r="Y456" s="133">
        <v>7.7889999999999997</v>
      </c>
      <c r="Z456" s="133">
        <v>0</v>
      </c>
      <c r="AA456" s="133">
        <v>0</v>
      </c>
      <c r="AB456" s="133">
        <v>0</v>
      </c>
      <c r="AC456" s="133">
        <v>0</v>
      </c>
      <c r="AD456" s="133">
        <v>0</v>
      </c>
      <c r="AE456" s="133">
        <v>0</v>
      </c>
      <c r="AF456" s="133">
        <v>0</v>
      </c>
      <c r="AG456" s="133">
        <v>8.2080000000000002</v>
      </c>
    </row>
    <row r="457" spans="1:33" x14ac:dyDescent="0.45">
      <c r="B457" s="130" t="s">
        <v>250</v>
      </c>
      <c r="C457" s="133">
        <v>0</v>
      </c>
      <c r="D457" s="133">
        <v>0</v>
      </c>
      <c r="E457" s="133">
        <v>0</v>
      </c>
      <c r="F457" s="133">
        <v>17.948</v>
      </c>
      <c r="G457" s="133">
        <v>0.99299999999999999</v>
      </c>
      <c r="H457" s="133">
        <v>7.5869999999999997</v>
      </c>
      <c r="I457" s="133">
        <v>0</v>
      </c>
      <c r="J457" s="133">
        <v>0</v>
      </c>
      <c r="K457" s="133">
        <v>0</v>
      </c>
      <c r="L457" s="133">
        <v>0</v>
      </c>
      <c r="M457" s="133">
        <v>0</v>
      </c>
      <c r="N457" s="133">
        <v>0</v>
      </c>
      <c r="O457" s="133">
        <v>0</v>
      </c>
      <c r="P457" s="133">
        <v>7.069</v>
      </c>
      <c r="Q457" s="133">
        <v>132.52500000000001</v>
      </c>
      <c r="R457" s="133">
        <v>0</v>
      </c>
      <c r="S457" s="133">
        <v>16.414000000000001</v>
      </c>
      <c r="T457" s="133">
        <v>0</v>
      </c>
      <c r="U457" s="133">
        <v>5.5129400000000004</v>
      </c>
      <c r="V457" s="133">
        <v>0</v>
      </c>
      <c r="W457" s="133">
        <v>2.1429999999999998</v>
      </c>
      <c r="X457" s="133">
        <v>0</v>
      </c>
      <c r="Y457" s="133">
        <v>0</v>
      </c>
      <c r="Z457" s="133">
        <v>0</v>
      </c>
      <c r="AA457" s="133">
        <v>0</v>
      </c>
      <c r="AB457" s="133">
        <v>0</v>
      </c>
      <c r="AC457" s="133">
        <v>0</v>
      </c>
      <c r="AD457" s="133">
        <v>0</v>
      </c>
      <c r="AE457" s="133">
        <v>0</v>
      </c>
      <c r="AF457" s="133">
        <v>0</v>
      </c>
      <c r="AG457" s="133">
        <v>190.19194000000002</v>
      </c>
    </row>
    <row r="458" spans="1:33" x14ac:dyDescent="0.45">
      <c r="B458" s="130" t="s">
        <v>248</v>
      </c>
      <c r="C458" s="133">
        <v>0</v>
      </c>
      <c r="D458" s="133">
        <v>0</v>
      </c>
      <c r="E458" s="133">
        <v>0</v>
      </c>
      <c r="F458" s="133">
        <v>0</v>
      </c>
      <c r="G458" s="133">
        <v>0.29799999999999999</v>
      </c>
      <c r="H458" s="133">
        <v>0</v>
      </c>
      <c r="I458" s="133">
        <v>0</v>
      </c>
      <c r="J458" s="133">
        <v>0.184</v>
      </c>
      <c r="K458" s="133">
        <v>0</v>
      </c>
      <c r="L458" s="133">
        <v>0</v>
      </c>
      <c r="M458" s="133">
        <v>0</v>
      </c>
      <c r="N458" s="133">
        <v>0</v>
      </c>
      <c r="O458" s="133">
        <v>0</v>
      </c>
      <c r="P458" s="133">
        <v>0</v>
      </c>
      <c r="Q458" s="133">
        <v>0</v>
      </c>
      <c r="R458" s="133">
        <v>0</v>
      </c>
      <c r="S458" s="133">
        <v>0</v>
      </c>
      <c r="T458" s="133">
        <v>0</v>
      </c>
      <c r="U458" s="133">
        <v>0</v>
      </c>
      <c r="V458" s="133">
        <v>0</v>
      </c>
      <c r="W458" s="133">
        <v>0.11541</v>
      </c>
      <c r="X458" s="133">
        <v>4.4980000000000002</v>
      </c>
      <c r="Y458" s="133">
        <v>0</v>
      </c>
      <c r="Z458" s="133">
        <v>0</v>
      </c>
      <c r="AA458" s="133">
        <v>0</v>
      </c>
      <c r="AB458" s="133">
        <v>0</v>
      </c>
      <c r="AC458" s="133">
        <v>0</v>
      </c>
      <c r="AD458" s="133">
        <v>0</v>
      </c>
      <c r="AE458" s="133">
        <v>0</v>
      </c>
      <c r="AF458" s="133">
        <v>0</v>
      </c>
      <c r="AG458" s="133">
        <v>5.0954100000000002</v>
      </c>
    </row>
    <row r="459" spans="1:33" x14ac:dyDescent="0.45">
      <c r="A459" s="134" t="s">
        <v>243</v>
      </c>
      <c r="B459" s="130"/>
      <c r="C459" s="133">
        <v>0</v>
      </c>
      <c r="D459" s="133">
        <v>0</v>
      </c>
      <c r="E459" s="133">
        <v>0</v>
      </c>
      <c r="F459" s="133">
        <v>18.475999999999999</v>
      </c>
      <c r="G459" s="133">
        <v>0</v>
      </c>
      <c r="H459" s="133">
        <v>0</v>
      </c>
      <c r="I459" s="133">
        <v>0</v>
      </c>
      <c r="J459" s="133">
        <v>2.6670000000000003</v>
      </c>
      <c r="K459" s="133">
        <v>0</v>
      </c>
      <c r="L459" s="133">
        <v>0</v>
      </c>
      <c r="M459" s="133">
        <v>5.3620000000000001</v>
      </c>
      <c r="N459" s="133">
        <v>0</v>
      </c>
      <c r="O459" s="133">
        <v>0</v>
      </c>
      <c r="P459" s="133">
        <v>9.5709999999999997</v>
      </c>
      <c r="Q459" s="133">
        <v>0</v>
      </c>
      <c r="R459" s="133">
        <v>1.46</v>
      </c>
      <c r="S459" s="133">
        <v>89.479000000000013</v>
      </c>
      <c r="T459" s="133">
        <v>0</v>
      </c>
      <c r="U459" s="133">
        <v>0</v>
      </c>
      <c r="V459" s="133">
        <v>0</v>
      </c>
      <c r="W459" s="133">
        <v>4.673</v>
      </c>
      <c r="X459" s="133">
        <v>0</v>
      </c>
      <c r="Y459" s="133">
        <v>2.762</v>
      </c>
      <c r="Z459" s="133">
        <v>0</v>
      </c>
      <c r="AA459" s="133">
        <v>0</v>
      </c>
      <c r="AB459" s="133">
        <v>0</v>
      </c>
      <c r="AC459" s="133">
        <v>19.167819999999999</v>
      </c>
      <c r="AD459" s="133">
        <v>0</v>
      </c>
      <c r="AE459" s="133">
        <v>0</v>
      </c>
      <c r="AF459" s="133">
        <v>55.073</v>
      </c>
      <c r="AG459" s="133">
        <v>208.69082</v>
      </c>
    </row>
    <row r="460" spans="1:33" x14ac:dyDescent="0.45">
      <c r="B460" s="130" t="s">
        <v>247</v>
      </c>
      <c r="C460" s="133">
        <v>0</v>
      </c>
      <c r="D460" s="133">
        <v>0</v>
      </c>
      <c r="E460" s="133">
        <v>0</v>
      </c>
      <c r="F460" s="133">
        <v>4.26</v>
      </c>
      <c r="G460" s="133">
        <v>0</v>
      </c>
      <c r="H460" s="133">
        <v>0</v>
      </c>
      <c r="I460" s="133">
        <v>0</v>
      </c>
      <c r="J460" s="133">
        <v>0.434</v>
      </c>
      <c r="K460" s="133">
        <v>0</v>
      </c>
      <c r="L460" s="133">
        <v>0</v>
      </c>
      <c r="M460" s="133">
        <v>2.2570000000000001</v>
      </c>
      <c r="N460" s="133">
        <v>0</v>
      </c>
      <c r="O460" s="133">
        <v>0</v>
      </c>
      <c r="P460" s="133">
        <v>1.905</v>
      </c>
      <c r="Q460" s="133">
        <v>0</v>
      </c>
      <c r="R460" s="133">
        <v>1.46</v>
      </c>
      <c r="S460" s="133">
        <v>5.758</v>
      </c>
      <c r="T460" s="133">
        <v>0</v>
      </c>
      <c r="U460" s="133">
        <v>0</v>
      </c>
      <c r="V460" s="133">
        <v>0</v>
      </c>
      <c r="W460" s="133">
        <v>0.47399999999999998</v>
      </c>
      <c r="X460" s="133">
        <v>0</v>
      </c>
      <c r="Y460" s="133">
        <v>0</v>
      </c>
      <c r="Z460" s="133">
        <v>0</v>
      </c>
      <c r="AA460" s="133">
        <v>0</v>
      </c>
      <c r="AB460" s="133">
        <v>0</v>
      </c>
      <c r="AC460" s="133">
        <v>1.73882</v>
      </c>
      <c r="AD460" s="133">
        <v>0</v>
      </c>
      <c r="AE460" s="133">
        <v>0</v>
      </c>
      <c r="AF460" s="133">
        <v>5.6059999999999999</v>
      </c>
      <c r="AG460" s="133">
        <v>23.892820000000004</v>
      </c>
    </row>
    <row r="461" spans="1:33" x14ac:dyDescent="0.45">
      <c r="B461" s="130" t="s">
        <v>246</v>
      </c>
      <c r="C461" s="133">
        <v>0</v>
      </c>
      <c r="D461" s="133">
        <v>0</v>
      </c>
      <c r="E461" s="133">
        <v>0</v>
      </c>
      <c r="F461" s="133">
        <v>0</v>
      </c>
      <c r="G461" s="133">
        <v>0</v>
      </c>
      <c r="H461" s="133">
        <v>0</v>
      </c>
      <c r="I461" s="133">
        <v>0</v>
      </c>
      <c r="J461" s="133">
        <v>0.12</v>
      </c>
      <c r="K461" s="133">
        <v>0</v>
      </c>
      <c r="L461" s="133">
        <v>0</v>
      </c>
      <c r="M461" s="133">
        <v>0</v>
      </c>
      <c r="N461" s="133">
        <v>0</v>
      </c>
      <c r="O461" s="133">
        <v>0</v>
      </c>
      <c r="P461" s="133">
        <v>0.74199999999999999</v>
      </c>
      <c r="Q461" s="133">
        <v>0</v>
      </c>
      <c r="R461" s="133">
        <v>0</v>
      </c>
      <c r="S461" s="133">
        <v>21.498000000000001</v>
      </c>
      <c r="T461" s="133">
        <v>0</v>
      </c>
      <c r="U461" s="133">
        <v>0</v>
      </c>
      <c r="V461" s="133">
        <v>0</v>
      </c>
      <c r="W461" s="133">
        <v>0.42799999999999999</v>
      </c>
      <c r="X461" s="133">
        <v>0</v>
      </c>
      <c r="Y461" s="133">
        <v>0</v>
      </c>
      <c r="Z461" s="133">
        <v>0</v>
      </c>
      <c r="AA461" s="133">
        <v>0</v>
      </c>
      <c r="AB461" s="133">
        <v>0</v>
      </c>
      <c r="AC461" s="133">
        <v>17.428999999999998</v>
      </c>
      <c r="AD461" s="133">
        <v>0</v>
      </c>
      <c r="AE461" s="133">
        <v>0</v>
      </c>
      <c r="AF461" s="133">
        <v>0</v>
      </c>
      <c r="AG461" s="133">
        <v>40.216999999999992</v>
      </c>
    </row>
    <row r="462" spans="1:33" x14ac:dyDescent="0.45">
      <c r="B462" s="130" t="s">
        <v>245</v>
      </c>
      <c r="C462" s="133">
        <v>0</v>
      </c>
      <c r="D462" s="133">
        <v>0</v>
      </c>
      <c r="E462" s="133">
        <v>0</v>
      </c>
      <c r="F462" s="133">
        <v>14.215999999999999</v>
      </c>
      <c r="G462" s="133">
        <v>0</v>
      </c>
      <c r="H462" s="133">
        <v>0</v>
      </c>
      <c r="I462" s="133">
        <v>0</v>
      </c>
      <c r="J462" s="133">
        <v>2.024</v>
      </c>
      <c r="K462" s="133">
        <v>0</v>
      </c>
      <c r="L462" s="133">
        <v>0</v>
      </c>
      <c r="M462" s="133">
        <v>3.105</v>
      </c>
      <c r="N462" s="133">
        <v>0</v>
      </c>
      <c r="O462" s="133">
        <v>0</v>
      </c>
      <c r="P462" s="133">
        <v>5.8959999999999999</v>
      </c>
      <c r="Q462" s="133">
        <v>0</v>
      </c>
      <c r="R462" s="133">
        <v>0</v>
      </c>
      <c r="S462" s="133">
        <v>42.895000000000003</v>
      </c>
      <c r="T462" s="133">
        <v>0</v>
      </c>
      <c r="U462" s="133">
        <v>0</v>
      </c>
      <c r="V462" s="133">
        <v>0</v>
      </c>
      <c r="W462" s="133">
        <v>3.3969999999999998</v>
      </c>
      <c r="X462" s="133">
        <v>0</v>
      </c>
      <c r="Y462" s="133">
        <v>0</v>
      </c>
      <c r="Z462" s="133">
        <v>0</v>
      </c>
      <c r="AA462" s="133">
        <v>0</v>
      </c>
      <c r="AB462" s="133">
        <v>0</v>
      </c>
      <c r="AC462" s="133">
        <v>0</v>
      </c>
      <c r="AD462" s="133">
        <v>0</v>
      </c>
      <c r="AE462" s="133">
        <v>0</v>
      </c>
      <c r="AF462" s="133">
        <v>49.466999999999999</v>
      </c>
      <c r="AG462" s="133">
        <v>121</v>
      </c>
    </row>
    <row r="463" spans="1:33" x14ac:dyDescent="0.45">
      <c r="B463" s="130" t="s">
        <v>244</v>
      </c>
      <c r="C463" s="133">
        <v>0</v>
      </c>
      <c r="D463" s="133">
        <v>0</v>
      </c>
      <c r="E463" s="133">
        <v>0</v>
      </c>
      <c r="F463" s="133">
        <v>0</v>
      </c>
      <c r="G463" s="133">
        <v>0</v>
      </c>
      <c r="H463" s="133">
        <v>0</v>
      </c>
      <c r="I463" s="133">
        <v>0</v>
      </c>
      <c r="J463" s="133">
        <v>2.4E-2</v>
      </c>
      <c r="K463" s="133">
        <v>0</v>
      </c>
      <c r="L463" s="133">
        <v>0</v>
      </c>
      <c r="M463" s="133">
        <v>0</v>
      </c>
      <c r="N463" s="133">
        <v>0</v>
      </c>
      <c r="O463" s="133">
        <v>0</v>
      </c>
      <c r="P463" s="133">
        <v>0</v>
      </c>
      <c r="Q463" s="133">
        <v>0</v>
      </c>
      <c r="R463" s="133">
        <v>0</v>
      </c>
      <c r="S463" s="133">
        <v>0</v>
      </c>
      <c r="T463" s="133">
        <v>0</v>
      </c>
      <c r="U463" s="133">
        <v>0</v>
      </c>
      <c r="V463" s="133">
        <v>0</v>
      </c>
      <c r="W463" s="133">
        <v>4.5999999999999999E-2</v>
      </c>
      <c r="X463" s="133">
        <v>0</v>
      </c>
      <c r="Y463" s="133">
        <v>2.762</v>
      </c>
      <c r="Z463" s="133">
        <v>0</v>
      </c>
      <c r="AA463" s="133">
        <v>0</v>
      </c>
      <c r="AB463" s="133">
        <v>0</v>
      </c>
      <c r="AC463" s="133">
        <v>0</v>
      </c>
      <c r="AD463" s="133">
        <v>0</v>
      </c>
      <c r="AE463" s="133">
        <v>0</v>
      </c>
      <c r="AF463" s="133">
        <v>0</v>
      </c>
      <c r="AG463" s="133">
        <v>2.8319999999999999</v>
      </c>
    </row>
    <row r="464" spans="1:33" x14ac:dyDescent="0.45">
      <c r="B464" s="130" t="s">
        <v>133</v>
      </c>
      <c r="C464" s="133">
        <v>0</v>
      </c>
      <c r="D464" s="133">
        <v>0</v>
      </c>
      <c r="E464" s="133">
        <v>0</v>
      </c>
      <c r="F464" s="133">
        <v>0</v>
      </c>
      <c r="G464" s="133">
        <v>0</v>
      </c>
      <c r="H464" s="133">
        <v>0</v>
      </c>
      <c r="I464" s="133">
        <v>0</v>
      </c>
      <c r="J464" s="133">
        <v>6.5000000000000002E-2</v>
      </c>
      <c r="K464" s="133">
        <v>0</v>
      </c>
      <c r="L464" s="133">
        <v>0</v>
      </c>
      <c r="M464" s="133">
        <v>0</v>
      </c>
      <c r="N464" s="133">
        <v>0</v>
      </c>
      <c r="O464" s="133">
        <v>0</v>
      </c>
      <c r="P464" s="133">
        <v>1.028</v>
      </c>
      <c r="Q464" s="133">
        <v>0</v>
      </c>
      <c r="R464" s="133">
        <v>0</v>
      </c>
      <c r="S464" s="133">
        <v>19.327999999999999</v>
      </c>
      <c r="T464" s="133">
        <v>0</v>
      </c>
      <c r="U464" s="133">
        <v>0</v>
      </c>
      <c r="V464" s="133">
        <v>0</v>
      </c>
      <c r="W464" s="133">
        <v>0.32800000000000001</v>
      </c>
      <c r="X464" s="133">
        <v>0</v>
      </c>
      <c r="Y464" s="133">
        <v>0</v>
      </c>
      <c r="Z464" s="133">
        <v>0</v>
      </c>
      <c r="AA464" s="133">
        <v>0</v>
      </c>
      <c r="AB464" s="133">
        <v>0</v>
      </c>
      <c r="AC464" s="133">
        <v>0</v>
      </c>
      <c r="AD464" s="133">
        <v>0</v>
      </c>
      <c r="AE464" s="133">
        <v>0</v>
      </c>
      <c r="AF464" s="133">
        <v>0</v>
      </c>
      <c r="AG464" s="133">
        <v>20.748999999999999</v>
      </c>
    </row>
    <row r="465" spans="1:33" x14ac:dyDescent="0.45">
      <c r="A465" s="134" t="s">
        <v>232</v>
      </c>
      <c r="B465" s="130"/>
      <c r="C465" s="133">
        <v>0</v>
      </c>
      <c r="D465" s="133">
        <v>1085.876683</v>
      </c>
      <c r="E465" s="133">
        <v>0</v>
      </c>
      <c r="F465" s="133">
        <v>60.580500000000001</v>
      </c>
      <c r="G465" s="133">
        <v>161.69709999999998</v>
      </c>
      <c r="H465" s="133">
        <v>12.90437</v>
      </c>
      <c r="I465" s="133">
        <v>85.5</v>
      </c>
      <c r="J465" s="133">
        <v>23.250900000000001</v>
      </c>
      <c r="K465" s="133">
        <v>6.8799799999999998</v>
      </c>
      <c r="L465" s="133">
        <v>55.008200000000002</v>
      </c>
      <c r="M465" s="133">
        <v>195.64619999999999</v>
      </c>
      <c r="N465" s="133">
        <v>0</v>
      </c>
      <c r="O465" s="133">
        <v>429.577</v>
      </c>
      <c r="P465" s="133">
        <v>289.29700000000003</v>
      </c>
      <c r="Q465" s="133">
        <v>208.548</v>
      </c>
      <c r="R465" s="133">
        <v>13.4725</v>
      </c>
      <c r="S465" s="133">
        <v>70.992020000000011</v>
      </c>
      <c r="T465" s="133">
        <v>35.567999999999998</v>
      </c>
      <c r="U465" s="133">
        <v>0</v>
      </c>
      <c r="V465" s="133">
        <v>99.917000000000002</v>
      </c>
      <c r="W465" s="133">
        <v>117.40333000000001</v>
      </c>
      <c r="X465" s="133">
        <v>125.90300000000001</v>
      </c>
      <c r="Y465" s="133">
        <v>190.65099999999998</v>
      </c>
      <c r="Z465" s="133">
        <v>0</v>
      </c>
      <c r="AA465" s="133">
        <v>13</v>
      </c>
      <c r="AB465" s="133">
        <v>46.5</v>
      </c>
      <c r="AC465" s="133">
        <v>0</v>
      </c>
      <c r="AD465" s="133">
        <v>0</v>
      </c>
      <c r="AE465" s="133">
        <v>2.4</v>
      </c>
      <c r="AF465" s="133">
        <v>0</v>
      </c>
      <c r="AG465" s="133">
        <v>3330.5727830000001</v>
      </c>
    </row>
    <row r="466" spans="1:33" x14ac:dyDescent="0.45">
      <c r="B466" s="130" t="s">
        <v>242</v>
      </c>
      <c r="C466" s="133">
        <v>0</v>
      </c>
      <c r="D466" s="133">
        <v>0</v>
      </c>
      <c r="E466" s="133">
        <v>0</v>
      </c>
      <c r="F466" s="133">
        <v>13.882999999999999</v>
      </c>
      <c r="G466" s="133">
        <v>0</v>
      </c>
      <c r="H466" s="133">
        <v>0</v>
      </c>
      <c r="I466" s="133">
        <v>0</v>
      </c>
      <c r="J466" s="133">
        <v>0.96</v>
      </c>
      <c r="K466" s="133">
        <v>0</v>
      </c>
      <c r="L466" s="133">
        <v>0</v>
      </c>
      <c r="M466" s="133">
        <v>0</v>
      </c>
      <c r="N466" s="133">
        <v>0</v>
      </c>
      <c r="O466" s="133">
        <v>0</v>
      </c>
      <c r="P466" s="133">
        <v>3.9420000000000002</v>
      </c>
      <c r="Q466" s="133">
        <v>0</v>
      </c>
      <c r="R466" s="133">
        <v>0</v>
      </c>
      <c r="S466" s="133">
        <v>5.577</v>
      </c>
      <c r="T466" s="133">
        <v>0</v>
      </c>
      <c r="U466" s="133">
        <v>0</v>
      </c>
      <c r="V466" s="133">
        <v>0</v>
      </c>
      <c r="W466" s="133">
        <v>0.65400000000000003</v>
      </c>
      <c r="X466" s="133">
        <v>0</v>
      </c>
      <c r="Y466" s="133">
        <v>0</v>
      </c>
      <c r="Z466" s="133">
        <v>0</v>
      </c>
      <c r="AA466" s="133">
        <v>0</v>
      </c>
      <c r="AB466" s="133">
        <v>0</v>
      </c>
      <c r="AC466" s="133">
        <v>0</v>
      </c>
      <c r="AD466" s="133">
        <v>0</v>
      </c>
      <c r="AE466" s="133">
        <v>0</v>
      </c>
      <c r="AF466" s="133">
        <v>0</v>
      </c>
      <c r="AG466" s="133">
        <v>25.016000000000002</v>
      </c>
    </row>
    <row r="467" spans="1:33" x14ac:dyDescent="0.45">
      <c r="B467" s="130" t="s">
        <v>241</v>
      </c>
      <c r="C467" s="133">
        <v>0</v>
      </c>
      <c r="D467" s="133">
        <v>0</v>
      </c>
      <c r="E467" s="133">
        <v>0</v>
      </c>
      <c r="F467" s="133">
        <v>0</v>
      </c>
      <c r="G467" s="133">
        <v>13.976100000000001</v>
      </c>
      <c r="H467" s="133">
        <v>0</v>
      </c>
      <c r="I467" s="133">
        <v>0</v>
      </c>
      <c r="J467" s="133">
        <v>0</v>
      </c>
      <c r="K467" s="133">
        <v>0</v>
      </c>
      <c r="L467" s="133">
        <v>0</v>
      </c>
      <c r="M467" s="133">
        <v>0</v>
      </c>
      <c r="N467" s="133">
        <v>0</v>
      </c>
      <c r="O467" s="133">
        <v>268.50299999999999</v>
      </c>
      <c r="P467" s="133">
        <v>49.13</v>
      </c>
      <c r="Q467" s="133">
        <v>4.548</v>
      </c>
      <c r="R467" s="133">
        <v>0</v>
      </c>
      <c r="S467" s="133">
        <v>2.4540600000000001</v>
      </c>
      <c r="T467" s="133">
        <v>0</v>
      </c>
      <c r="U467" s="133">
        <v>0</v>
      </c>
      <c r="V467" s="133">
        <v>0</v>
      </c>
      <c r="W467" s="133">
        <v>21.561499999999999</v>
      </c>
      <c r="X467" s="133">
        <v>125.90300000000001</v>
      </c>
      <c r="Y467" s="133">
        <v>0</v>
      </c>
      <c r="Z467" s="133">
        <v>0</v>
      </c>
      <c r="AA467" s="133">
        <v>0</v>
      </c>
      <c r="AB467" s="133">
        <v>0</v>
      </c>
      <c r="AC467" s="133">
        <v>0</v>
      </c>
      <c r="AD467" s="133">
        <v>0</v>
      </c>
      <c r="AE467" s="133">
        <v>0</v>
      </c>
      <c r="AF467" s="133">
        <v>0</v>
      </c>
      <c r="AG467" s="133">
        <v>486.07566000000003</v>
      </c>
    </row>
    <row r="468" spans="1:33" x14ac:dyDescent="0.45">
      <c r="A468" s="126"/>
      <c r="B468" s="129" t="s">
        <v>240</v>
      </c>
      <c r="C468" s="129">
        <v>0</v>
      </c>
      <c r="D468" s="129">
        <v>0</v>
      </c>
      <c r="E468" s="129">
        <v>0</v>
      </c>
      <c r="F468" s="129">
        <v>0</v>
      </c>
      <c r="G468" s="129">
        <v>17.132000000000001</v>
      </c>
      <c r="H468" s="129">
        <v>11.388999999999999</v>
      </c>
      <c r="I468" s="129">
        <v>0</v>
      </c>
      <c r="J468" s="129">
        <v>8.1000000000000003E-2</v>
      </c>
      <c r="K468" s="129">
        <v>0</v>
      </c>
      <c r="L468" s="129">
        <v>0</v>
      </c>
      <c r="M468" s="129">
        <v>0</v>
      </c>
      <c r="N468" s="129">
        <v>0</v>
      </c>
      <c r="O468" s="129">
        <v>0</v>
      </c>
      <c r="P468" s="129">
        <v>6.875</v>
      </c>
      <c r="Q468" s="129">
        <v>0</v>
      </c>
      <c r="R468" s="129">
        <v>0</v>
      </c>
      <c r="S468" s="129">
        <v>43.561</v>
      </c>
      <c r="T468" s="129">
        <v>0</v>
      </c>
      <c r="U468" s="129">
        <v>0</v>
      </c>
      <c r="V468" s="129">
        <v>0</v>
      </c>
      <c r="W468" s="129">
        <v>1.5680000000000001</v>
      </c>
      <c r="X468" s="129">
        <v>0</v>
      </c>
      <c r="Y468" s="129">
        <v>2.589</v>
      </c>
      <c r="Z468" s="129">
        <v>0</v>
      </c>
      <c r="AA468" s="129">
        <v>0</v>
      </c>
      <c r="AB468" s="129">
        <v>0</v>
      </c>
      <c r="AC468" s="129">
        <v>0</v>
      </c>
      <c r="AD468" s="129">
        <v>0</v>
      </c>
      <c r="AE468" s="129">
        <v>2.4</v>
      </c>
      <c r="AF468" s="129">
        <v>0</v>
      </c>
      <c r="AG468" s="129">
        <v>85.594999999999999</v>
      </c>
    </row>
    <row r="469" spans="1:33" x14ac:dyDescent="0.45">
      <c r="B469" s="130" t="s">
        <v>239</v>
      </c>
      <c r="C469" s="133">
        <v>0</v>
      </c>
      <c r="D469" s="133">
        <v>0</v>
      </c>
      <c r="E469" s="133">
        <v>0</v>
      </c>
      <c r="F469" s="133">
        <v>9</v>
      </c>
      <c r="G469" s="133">
        <v>0</v>
      </c>
      <c r="H469" s="133">
        <v>0</v>
      </c>
      <c r="I469" s="133">
        <v>0</v>
      </c>
      <c r="J469" s="133">
        <v>4.07</v>
      </c>
      <c r="K469" s="133">
        <v>0</v>
      </c>
      <c r="L469" s="133">
        <v>0</v>
      </c>
      <c r="M469" s="133">
        <v>56.4</v>
      </c>
      <c r="N469" s="133">
        <v>0</v>
      </c>
      <c r="O469" s="133">
        <v>0</v>
      </c>
      <c r="P469" s="133">
        <v>0</v>
      </c>
      <c r="Q469" s="133">
        <v>0</v>
      </c>
      <c r="R469" s="133">
        <v>0</v>
      </c>
      <c r="S469" s="133">
        <v>11.6</v>
      </c>
      <c r="T469" s="133">
        <v>0</v>
      </c>
      <c r="U469" s="133">
        <v>0</v>
      </c>
      <c r="V469" s="133">
        <v>0</v>
      </c>
      <c r="W469" s="133">
        <v>2</v>
      </c>
      <c r="X469" s="133">
        <v>0</v>
      </c>
      <c r="Y469" s="133">
        <v>0</v>
      </c>
      <c r="Z469" s="133">
        <v>0</v>
      </c>
      <c r="AA469" s="133">
        <v>0</v>
      </c>
      <c r="AB469" s="133">
        <v>0</v>
      </c>
      <c r="AC469" s="133">
        <v>0</v>
      </c>
      <c r="AD469" s="133">
        <v>0</v>
      </c>
      <c r="AE469" s="133">
        <v>0</v>
      </c>
      <c r="AF469" s="133">
        <v>0</v>
      </c>
      <c r="AG469" s="133">
        <v>83.07</v>
      </c>
    </row>
    <row r="470" spans="1:33" x14ac:dyDescent="0.45">
      <c r="B470" s="130" t="s">
        <v>238</v>
      </c>
      <c r="C470" s="133">
        <v>0</v>
      </c>
      <c r="D470" s="133">
        <v>0</v>
      </c>
      <c r="E470" s="133">
        <v>0</v>
      </c>
      <c r="F470" s="133">
        <v>37.697499999999998</v>
      </c>
      <c r="G470" s="133">
        <v>0</v>
      </c>
      <c r="H470" s="133">
        <v>0</v>
      </c>
      <c r="I470" s="133">
        <v>0</v>
      </c>
      <c r="J470" s="133">
        <v>0.56399999999999995</v>
      </c>
      <c r="K470" s="133">
        <v>0</v>
      </c>
      <c r="L470" s="133">
        <v>2.2130000000000001</v>
      </c>
      <c r="M470" s="133">
        <v>72.294799999999995</v>
      </c>
      <c r="N470" s="133">
        <v>0</v>
      </c>
      <c r="O470" s="133">
        <v>0</v>
      </c>
      <c r="P470" s="133">
        <v>33.262999999999998</v>
      </c>
      <c r="Q470" s="133">
        <v>0</v>
      </c>
      <c r="R470" s="133">
        <v>13.4725</v>
      </c>
      <c r="S470" s="133">
        <v>7.7999599999999996</v>
      </c>
      <c r="T470" s="133">
        <v>0</v>
      </c>
      <c r="U470" s="133">
        <v>0</v>
      </c>
      <c r="V470" s="133">
        <v>0</v>
      </c>
      <c r="W470" s="133">
        <v>6.5324299999999997</v>
      </c>
      <c r="X470" s="133">
        <v>0</v>
      </c>
      <c r="Y470" s="133">
        <v>0</v>
      </c>
      <c r="Z470" s="133">
        <v>0</v>
      </c>
      <c r="AA470" s="133">
        <v>0</v>
      </c>
      <c r="AB470" s="133">
        <v>0</v>
      </c>
      <c r="AC470" s="133">
        <v>0</v>
      </c>
      <c r="AD470" s="133">
        <v>0</v>
      </c>
      <c r="AE470" s="133">
        <v>0</v>
      </c>
      <c r="AF470" s="133">
        <v>0</v>
      </c>
      <c r="AG470" s="133">
        <v>173.83718999999999</v>
      </c>
    </row>
    <row r="471" spans="1:33" x14ac:dyDescent="0.45">
      <c r="B471" s="130" t="s">
        <v>237</v>
      </c>
      <c r="C471" s="133">
        <v>0</v>
      </c>
      <c r="D471" s="133">
        <v>0.85668299999999997</v>
      </c>
      <c r="E471" s="133">
        <v>0</v>
      </c>
      <c r="F471" s="133">
        <v>0</v>
      </c>
      <c r="G471" s="133">
        <v>0</v>
      </c>
      <c r="H471" s="133">
        <v>1.5153700000000001</v>
      </c>
      <c r="I471" s="133">
        <v>0</v>
      </c>
      <c r="J471" s="133">
        <v>0</v>
      </c>
      <c r="K471" s="133">
        <v>6.8799799999999998</v>
      </c>
      <c r="L471" s="133">
        <v>0</v>
      </c>
      <c r="M471" s="133">
        <v>66.951400000000007</v>
      </c>
      <c r="N471" s="133">
        <v>0</v>
      </c>
      <c r="O471" s="133">
        <v>161.07400000000001</v>
      </c>
      <c r="P471" s="133">
        <v>51.087000000000003</v>
      </c>
      <c r="Q471" s="133">
        <v>0</v>
      </c>
      <c r="R471" s="133">
        <v>0</v>
      </c>
      <c r="S471" s="133">
        <v>0</v>
      </c>
      <c r="T471" s="133">
        <v>0</v>
      </c>
      <c r="U471" s="133">
        <v>0</v>
      </c>
      <c r="V471" s="133">
        <v>0</v>
      </c>
      <c r="W471" s="133">
        <v>11.1587</v>
      </c>
      <c r="X471" s="133">
        <v>0</v>
      </c>
      <c r="Y471" s="133">
        <v>0</v>
      </c>
      <c r="Z471" s="133">
        <v>0</v>
      </c>
      <c r="AA471" s="133">
        <v>0</v>
      </c>
      <c r="AB471" s="133">
        <v>0</v>
      </c>
      <c r="AC471" s="133">
        <v>0</v>
      </c>
      <c r="AD471" s="133">
        <v>0</v>
      </c>
      <c r="AE471" s="133">
        <v>0</v>
      </c>
      <c r="AF471" s="133">
        <v>0</v>
      </c>
      <c r="AG471" s="133">
        <v>299.52313300000003</v>
      </c>
    </row>
    <row r="472" spans="1:33" x14ac:dyDescent="0.45">
      <c r="B472" s="130" t="s">
        <v>236</v>
      </c>
      <c r="C472" s="133">
        <v>0</v>
      </c>
      <c r="D472" s="133">
        <v>0</v>
      </c>
      <c r="E472" s="133">
        <v>0</v>
      </c>
      <c r="F472" s="133">
        <v>0</v>
      </c>
      <c r="G472" s="133">
        <v>28.489000000000001</v>
      </c>
      <c r="H472" s="133">
        <v>0</v>
      </c>
      <c r="I472" s="133">
        <v>0</v>
      </c>
      <c r="J472" s="133">
        <v>0.11</v>
      </c>
      <c r="K472" s="133">
        <v>0</v>
      </c>
      <c r="L472" s="133">
        <v>0</v>
      </c>
      <c r="M472" s="133">
        <v>0</v>
      </c>
      <c r="N472" s="133">
        <v>0</v>
      </c>
      <c r="O472" s="133">
        <v>0</v>
      </c>
      <c r="P472" s="133">
        <v>0</v>
      </c>
      <c r="Q472" s="133">
        <v>0</v>
      </c>
      <c r="R472" s="133">
        <v>0</v>
      </c>
      <c r="S472" s="133">
        <v>0</v>
      </c>
      <c r="T472" s="133">
        <v>0</v>
      </c>
      <c r="U472" s="133">
        <v>0</v>
      </c>
      <c r="V472" s="133">
        <v>0</v>
      </c>
      <c r="W472" s="133">
        <v>0.53400000000000003</v>
      </c>
      <c r="X472" s="133">
        <v>0</v>
      </c>
      <c r="Y472" s="133">
        <v>0</v>
      </c>
      <c r="Z472" s="133">
        <v>0</v>
      </c>
      <c r="AA472" s="133">
        <v>0</v>
      </c>
      <c r="AB472" s="133">
        <v>0</v>
      </c>
      <c r="AC472" s="133">
        <v>0</v>
      </c>
      <c r="AD472" s="133">
        <v>0</v>
      </c>
      <c r="AE472" s="133">
        <v>0</v>
      </c>
      <c r="AF472" s="133">
        <v>0</v>
      </c>
      <c r="AG472" s="133">
        <v>29.132999999999999</v>
      </c>
    </row>
    <row r="473" spans="1:33" x14ac:dyDescent="0.45">
      <c r="B473" s="130" t="s">
        <v>235</v>
      </c>
      <c r="C473" s="133">
        <v>0</v>
      </c>
      <c r="D473" s="133">
        <v>0</v>
      </c>
      <c r="E473" s="133">
        <v>0</v>
      </c>
      <c r="F473" s="133">
        <v>0</v>
      </c>
      <c r="G473" s="133">
        <v>0</v>
      </c>
      <c r="H473" s="133">
        <v>0</v>
      </c>
      <c r="I473" s="133">
        <v>0</v>
      </c>
      <c r="J473" s="133">
        <v>1.59</v>
      </c>
      <c r="K473" s="133">
        <v>0</v>
      </c>
      <c r="L473" s="133">
        <v>0</v>
      </c>
      <c r="M473" s="133">
        <v>0</v>
      </c>
      <c r="N473" s="133">
        <v>0</v>
      </c>
      <c r="O473" s="133">
        <v>0</v>
      </c>
      <c r="P473" s="133">
        <v>0</v>
      </c>
      <c r="Q473" s="133">
        <v>0</v>
      </c>
      <c r="R473" s="133">
        <v>0</v>
      </c>
      <c r="S473" s="133">
        <v>0</v>
      </c>
      <c r="T473" s="133">
        <v>0</v>
      </c>
      <c r="U473" s="133">
        <v>0</v>
      </c>
      <c r="V473" s="133">
        <v>0</v>
      </c>
      <c r="W473" s="133">
        <v>0.2</v>
      </c>
      <c r="X473" s="133">
        <v>0</v>
      </c>
      <c r="Y473" s="133">
        <v>23.1</v>
      </c>
      <c r="Z473" s="133">
        <v>0</v>
      </c>
      <c r="AA473" s="133">
        <v>0</v>
      </c>
      <c r="AB473" s="133">
        <v>0</v>
      </c>
      <c r="AC473" s="133">
        <v>0</v>
      </c>
      <c r="AD473" s="133">
        <v>0</v>
      </c>
      <c r="AE473" s="133">
        <v>0</v>
      </c>
      <c r="AF473" s="133">
        <v>0</v>
      </c>
      <c r="AG473" s="133">
        <v>24.89</v>
      </c>
    </row>
    <row r="474" spans="1:33" x14ac:dyDescent="0.45">
      <c r="A474" s="126"/>
      <c r="B474" s="129" t="s">
        <v>234</v>
      </c>
      <c r="C474" s="129">
        <v>0</v>
      </c>
      <c r="D474" s="129">
        <v>1085.02</v>
      </c>
      <c r="E474" s="129">
        <v>0</v>
      </c>
      <c r="F474" s="129">
        <v>0</v>
      </c>
      <c r="G474" s="129">
        <v>91.6</v>
      </c>
      <c r="H474" s="129">
        <v>0</v>
      </c>
      <c r="I474" s="129">
        <v>85.5</v>
      </c>
      <c r="J474" s="129">
        <v>15.835900000000001</v>
      </c>
      <c r="K474" s="129">
        <v>0</v>
      </c>
      <c r="L474" s="129">
        <v>52.795200000000001</v>
      </c>
      <c r="M474" s="129">
        <v>0</v>
      </c>
      <c r="N474" s="129">
        <v>0</v>
      </c>
      <c r="O474" s="129">
        <v>0</v>
      </c>
      <c r="P474" s="129">
        <v>145</v>
      </c>
      <c r="Q474" s="129">
        <v>0</v>
      </c>
      <c r="R474" s="129">
        <v>0</v>
      </c>
      <c r="S474" s="129">
        <v>0</v>
      </c>
      <c r="T474" s="129">
        <v>35.567999999999998</v>
      </c>
      <c r="U474" s="129">
        <v>0</v>
      </c>
      <c r="V474" s="129">
        <v>99.917000000000002</v>
      </c>
      <c r="W474" s="129">
        <v>71.794700000000006</v>
      </c>
      <c r="X474" s="129">
        <v>0</v>
      </c>
      <c r="Y474" s="129">
        <v>164.96199999999999</v>
      </c>
      <c r="Z474" s="129">
        <v>0</v>
      </c>
      <c r="AA474" s="129">
        <v>13</v>
      </c>
      <c r="AB474" s="129">
        <v>46.5</v>
      </c>
      <c r="AC474" s="129">
        <v>0</v>
      </c>
      <c r="AD474" s="129">
        <v>0</v>
      </c>
      <c r="AE474" s="129">
        <v>0</v>
      </c>
      <c r="AF474" s="129">
        <v>0</v>
      </c>
      <c r="AG474" s="129">
        <v>1907.4927999999998</v>
      </c>
    </row>
    <row r="475" spans="1:33" x14ac:dyDescent="0.45">
      <c r="B475" s="130" t="s">
        <v>231</v>
      </c>
      <c r="C475" s="133">
        <v>0</v>
      </c>
      <c r="D475" s="133">
        <v>0</v>
      </c>
      <c r="E475" s="133">
        <v>0</v>
      </c>
      <c r="F475" s="133">
        <v>0</v>
      </c>
      <c r="G475" s="133">
        <v>10.5</v>
      </c>
      <c r="H475" s="133">
        <v>0</v>
      </c>
      <c r="I475" s="133">
        <v>0</v>
      </c>
      <c r="J475" s="133">
        <v>0.04</v>
      </c>
      <c r="K475" s="133">
        <v>0</v>
      </c>
      <c r="L475" s="133">
        <v>0</v>
      </c>
      <c r="M475" s="133">
        <v>0</v>
      </c>
      <c r="N475" s="133">
        <v>0</v>
      </c>
      <c r="O475" s="133">
        <v>0</v>
      </c>
      <c r="P475" s="133">
        <v>0</v>
      </c>
      <c r="Q475" s="133">
        <v>204</v>
      </c>
      <c r="R475" s="133">
        <v>0</v>
      </c>
      <c r="S475" s="133">
        <v>0</v>
      </c>
      <c r="T475" s="133">
        <v>0</v>
      </c>
      <c r="U475" s="133">
        <v>0</v>
      </c>
      <c r="V475" s="133">
        <v>0</v>
      </c>
      <c r="W475" s="133">
        <v>1.4</v>
      </c>
      <c r="X475" s="133">
        <v>0</v>
      </c>
      <c r="Y475" s="133">
        <v>0</v>
      </c>
      <c r="Z475" s="133">
        <v>0</v>
      </c>
      <c r="AA475" s="133">
        <v>0</v>
      </c>
      <c r="AB475" s="133">
        <v>0</v>
      </c>
      <c r="AC475" s="133">
        <v>0</v>
      </c>
      <c r="AD475" s="133">
        <v>0</v>
      </c>
      <c r="AE475" s="133">
        <v>0</v>
      </c>
      <c r="AF475" s="133">
        <v>0</v>
      </c>
      <c r="AG475" s="133">
        <v>215.94</v>
      </c>
    </row>
    <row r="476" spans="1:33" x14ac:dyDescent="0.45">
      <c r="A476" s="134" t="s">
        <v>7</v>
      </c>
      <c r="B476" s="130"/>
      <c r="C476" s="133">
        <v>0</v>
      </c>
      <c r="D476" s="133">
        <v>0</v>
      </c>
      <c r="E476" s="133">
        <v>0</v>
      </c>
      <c r="F476" s="133">
        <v>0</v>
      </c>
      <c r="G476" s="133">
        <v>0</v>
      </c>
      <c r="H476" s="133">
        <v>0</v>
      </c>
      <c r="I476" s="133">
        <v>0</v>
      </c>
      <c r="J476" s="133">
        <v>0</v>
      </c>
      <c r="K476" s="133">
        <v>0</v>
      </c>
      <c r="L476" s="133">
        <v>0</v>
      </c>
      <c r="M476" s="133">
        <v>0</v>
      </c>
      <c r="N476" s="133">
        <v>0</v>
      </c>
      <c r="O476" s="133">
        <v>0</v>
      </c>
      <c r="P476" s="133">
        <v>0</v>
      </c>
      <c r="Q476" s="133">
        <v>0</v>
      </c>
      <c r="R476" s="133">
        <v>0</v>
      </c>
      <c r="S476" s="133">
        <v>0</v>
      </c>
      <c r="T476" s="133">
        <v>0</v>
      </c>
      <c r="U476" s="133">
        <v>0</v>
      </c>
      <c r="V476" s="133">
        <v>0</v>
      </c>
      <c r="W476" s="133">
        <v>0</v>
      </c>
      <c r="X476" s="133">
        <v>0</v>
      </c>
      <c r="Y476" s="133">
        <v>0</v>
      </c>
      <c r="Z476" s="133">
        <v>0</v>
      </c>
      <c r="AA476" s="133">
        <v>0</v>
      </c>
      <c r="AB476" s="133">
        <v>0</v>
      </c>
      <c r="AC476" s="133">
        <v>0</v>
      </c>
      <c r="AD476" s="133">
        <v>0</v>
      </c>
      <c r="AE476" s="133">
        <v>0</v>
      </c>
      <c r="AF476" s="133">
        <v>0</v>
      </c>
      <c r="AG476" s="133">
        <v>0</v>
      </c>
    </row>
    <row r="477" spans="1:33" x14ac:dyDescent="0.45">
      <c r="A477" s="126"/>
      <c r="B477" s="129" t="s">
        <v>230</v>
      </c>
      <c r="C477" s="129">
        <v>0</v>
      </c>
      <c r="D477" s="129">
        <v>0</v>
      </c>
      <c r="E477" s="129">
        <v>0</v>
      </c>
      <c r="F477" s="129">
        <v>0</v>
      </c>
      <c r="G477" s="129">
        <v>0</v>
      </c>
      <c r="H477" s="129">
        <v>0</v>
      </c>
      <c r="I477" s="129">
        <v>0</v>
      </c>
      <c r="J477" s="129">
        <v>0</v>
      </c>
      <c r="K477" s="129">
        <v>0</v>
      </c>
      <c r="L477" s="129">
        <v>0</v>
      </c>
      <c r="M477" s="129">
        <v>0</v>
      </c>
      <c r="N477" s="129">
        <v>0</v>
      </c>
      <c r="O477" s="129">
        <v>0</v>
      </c>
      <c r="P477" s="129">
        <v>0</v>
      </c>
      <c r="Q477" s="129">
        <v>0</v>
      </c>
      <c r="R477" s="129">
        <v>0</v>
      </c>
      <c r="S477" s="129">
        <v>0</v>
      </c>
      <c r="T477" s="129">
        <v>0</v>
      </c>
      <c r="U477" s="129">
        <v>0</v>
      </c>
      <c r="V477" s="129">
        <v>0</v>
      </c>
      <c r="W477" s="129">
        <v>0</v>
      </c>
      <c r="X477" s="129">
        <v>0</v>
      </c>
      <c r="Y477" s="129">
        <v>0</v>
      </c>
      <c r="Z477" s="129">
        <v>0</v>
      </c>
      <c r="AA477" s="129">
        <v>0</v>
      </c>
      <c r="AB477" s="129">
        <v>0</v>
      </c>
      <c r="AC477" s="129">
        <v>0</v>
      </c>
      <c r="AD477" s="129">
        <v>0</v>
      </c>
      <c r="AE477" s="129">
        <v>0</v>
      </c>
      <c r="AF477" s="129">
        <v>0</v>
      </c>
      <c r="AG477" s="129">
        <v>0</v>
      </c>
    </row>
    <row r="478" spans="1:33" x14ac:dyDescent="0.45">
      <c r="B478" s="130" t="s">
        <v>8</v>
      </c>
      <c r="C478" s="133">
        <v>0</v>
      </c>
      <c r="D478" s="133">
        <v>0</v>
      </c>
      <c r="E478" s="133">
        <v>0</v>
      </c>
      <c r="F478" s="133">
        <v>0</v>
      </c>
      <c r="G478" s="133">
        <v>0</v>
      </c>
      <c r="H478" s="133">
        <v>0</v>
      </c>
      <c r="I478" s="133">
        <v>0</v>
      </c>
      <c r="J478" s="133">
        <v>0</v>
      </c>
      <c r="K478" s="133">
        <v>0</v>
      </c>
      <c r="L478" s="133">
        <v>0</v>
      </c>
      <c r="M478" s="133">
        <v>0</v>
      </c>
      <c r="N478" s="133">
        <v>0</v>
      </c>
      <c r="O478" s="133">
        <v>0</v>
      </c>
      <c r="P478" s="133">
        <v>0</v>
      </c>
      <c r="Q478" s="133">
        <v>0</v>
      </c>
      <c r="R478" s="133">
        <v>0</v>
      </c>
      <c r="S478" s="133">
        <v>0</v>
      </c>
      <c r="T478" s="133">
        <v>0</v>
      </c>
      <c r="U478" s="133">
        <v>0</v>
      </c>
      <c r="V478" s="133">
        <v>0</v>
      </c>
      <c r="W478" s="133">
        <v>0</v>
      </c>
      <c r="X478" s="133">
        <v>0</v>
      </c>
      <c r="Y478" s="133">
        <v>0</v>
      </c>
      <c r="Z478" s="133">
        <v>0</v>
      </c>
      <c r="AA478" s="133">
        <v>0</v>
      </c>
      <c r="AB478" s="133">
        <v>0</v>
      </c>
      <c r="AC478" s="133">
        <v>0</v>
      </c>
      <c r="AD478" s="133">
        <v>0</v>
      </c>
      <c r="AE478" s="133">
        <v>0</v>
      </c>
      <c r="AF478" s="133">
        <v>0</v>
      </c>
      <c r="AG478" s="133">
        <v>0</v>
      </c>
    </row>
    <row r="479" spans="1:33" x14ac:dyDescent="0.45">
      <c r="A479" s="126" t="s">
        <v>225</v>
      </c>
      <c r="B479" s="129"/>
      <c r="C479" s="129">
        <v>0</v>
      </c>
      <c r="D479" s="129">
        <v>0</v>
      </c>
      <c r="E479" s="129">
        <v>0</v>
      </c>
      <c r="F479" s="129">
        <v>41.631900000000002</v>
      </c>
      <c r="G479" s="129">
        <v>0.7</v>
      </c>
      <c r="H479" s="129">
        <v>3.09</v>
      </c>
      <c r="I479" s="129">
        <v>0</v>
      </c>
      <c r="J479" s="129">
        <v>0.156807</v>
      </c>
      <c r="K479" s="129">
        <v>0.36</v>
      </c>
      <c r="L479" s="129">
        <v>0</v>
      </c>
      <c r="M479" s="129">
        <v>47.654800000000002</v>
      </c>
      <c r="N479" s="129">
        <v>0</v>
      </c>
      <c r="O479" s="129">
        <v>0</v>
      </c>
      <c r="P479" s="129">
        <v>19.946000000000002</v>
      </c>
      <c r="Q479" s="129">
        <v>0</v>
      </c>
      <c r="R479" s="129">
        <v>0</v>
      </c>
      <c r="S479" s="129">
        <v>4.3244300000000004</v>
      </c>
      <c r="T479" s="129">
        <v>0</v>
      </c>
      <c r="U479" s="129">
        <v>0</v>
      </c>
      <c r="V479" s="129">
        <v>0</v>
      </c>
      <c r="W479" s="129">
        <v>1.5710769999999998</v>
      </c>
      <c r="X479" s="129">
        <v>0</v>
      </c>
      <c r="Y479" s="129">
        <v>0</v>
      </c>
      <c r="Z479" s="129">
        <v>0</v>
      </c>
      <c r="AA479" s="129">
        <v>0</v>
      </c>
      <c r="AB479" s="129">
        <v>0</v>
      </c>
      <c r="AC479" s="129">
        <v>0</v>
      </c>
      <c r="AD479" s="129">
        <v>0</v>
      </c>
      <c r="AE479" s="129">
        <v>0</v>
      </c>
      <c r="AF479" s="129">
        <v>35.252409999999998</v>
      </c>
      <c r="AG479" s="129">
        <v>154.68742399999999</v>
      </c>
    </row>
    <row r="480" spans="1:33" x14ac:dyDescent="0.45">
      <c r="B480" s="130" t="s">
        <v>229</v>
      </c>
      <c r="C480" s="133">
        <v>0</v>
      </c>
      <c r="D480" s="133">
        <v>0</v>
      </c>
      <c r="E480" s="133">
        <v>0</v>
      </c>
      <c r="F480" s="133">
        <v>0</v>
      </c>
      <c r="G480" s="133">
        <v>0</v>
      </c>
      <c r="H480" s="133">
        <v>0</v>
      </c>
      <c r="I480" s="133">
        <v>0</v>
      </c>
      <c r="J480" s="133">
        <v>0</v>
      </c>
      <c r="K480" s="133">
        <v>0</v>
      </c>
      <c r="L480" s="133">
        <v>0</v>
      </c>
      <c r="M480" s="133">
        <v>0</v>
      </c>
      <c r="N480" s="133">
        <v>0</v>
      </c>
      <c r="O480" s="133">
        <v>0</v>
      </c>
      <c r="P480" s="133">
        <v>0</v>
      </c>
      <c r="Q480" s="133">
        <v>0</v>
      </c>
      <c r="R480" s="133">
        <v>0</v>
      </c>
      <c r="S480" s="133">
        <v>0</v>
      </c>
      <c r="T480" s="133">
        <v>0</v>
      </c>
      <c r="U480" s="133">
        <v>0</v>
      </c>
      <c r="V480" s="133">
        <v>0</v>
      </c>
      <c r="W480" s="133">
        <v>0.1053</v>
      </c>
      <c r="X480" s="133">
        <v>0</v>
      </c>
      <c r="Y480" s="133">
        <v>0</v>
      </c>
      <c r="Z480" s="133">
        <v>0</v>
      </c>
      <c r="AA480" s="133">
        <v>0</v>
      </c>
      <c r="AB480" s="133">
        <v>0</v>
      </c>
      <c r="AC480" s="133">
        <v>0</v>
      </c>
      <c r="AD480" s="133">
        <v>0</v>
      </c>
      <c r="AE480" s="133">
        <v>0</v>
      </c>
      <c r="AF480" s="133">
        <v>5.1724100000000002</v>
      </c>
      <c r="AG480" s="133">
        <v>5.2777099999999999</v>
      </c>
    </row>
    <row r="481" spans="1:33" x14ac:dyDescent="0.45">
      <c r="B481" s="130" t="s">
        <v>228</v>
      </c>
      <c r="C481" s="133">
        <v>0</v>
      </c>
      <c r="D481" s="133">
        <v>0</v>
      </c>
      <c r="E481" s="133">
        <v>0</v>
      </c>
      <c r="F481" s="133">
        <v>0</v>
      </c>
      <c r="G481" s="133">
        <v>0.1</v>
      </c>
      <c r="H481" s="133">
        <v>0</v>
      </c>
      <c r="I481" s="133">
        <v>0</v>
      </c>
      <c r="J481" s="133">
        <v>0</v>
      </c>
      <c r="K481" s="133">
        <v>0</v>
      </c>
      <c r="L481" s="133">
        <v>0</v>
      </c>
      <c r="M481" s="133">
        <v>0</v>
      </c>
      <c r="N481" s="133">
        <v>0</v>
      </c>
      <c r="O481" s="133">
        <v>0</v>
      </c>
      <c r="P481" s="133">
        <v>0</v>
      </c>
      <c r="Q481" s="133">
        <v>0</v>
      </c>
      <c r="R481" s="133">
        <v>0</v>
      </c>
      <c r="S481" s="133">
        <v>0.4</v>
      </c>
      <c r="T481" s="133">
        <v>0</v>
      </c>
      <c r="U481" s="133">
        <v>0</v>
      </c>
      <c r="V481" s="133">
        <v>0</v>
      </c>
      <c r="W481" s="133">
        <v>0.10299999999999999</v>
      </c>
      <c r="X481" s="133">
        <v>0</v>
      </c>
      <c r="Y481" s="133">
        <v>0</v>
      </c>
      <c r="Z481" s="133">
        <v>0</v>
      </c>
      <c r="AA481" s="133">
        <v>0</v>
      </c>
      <c r="AB481" s="133">
        <v>0</v>
      </c>
      <c r="AC481" s="133">
        <v>0</v>
      </c>
      <c r="AD481" s="133">
        <v>0</v>
      </c>
      <c r="AE481" s="133">
        <v>0</v>
      </c>
      <c r="AF481" s="133">
        <v>4.9000000000000004</v>
      </c>
      <c r="AG481" s="133">
        <v>5.5030000000000001</v>
      </c>
    </row>
    <row r="482" spans="1:33" x14ac:dyDescent="0.45">
      <c r="B482" s="130" t="s">
        <v>227</v>
      </c>
      <c r="C482" s="133">
        <v>0</v>
      </c>
      <c r="D482" s="133">
        <v>0</v>
      </c>
      <c r="E482" s="133">
        <v>0</v>
      </c>
      <c r="F482" s="133">
        <v>0</v>
      </c>
      <c r="G482" s="133">
        <v>0.13</v>
      </c>
      <c r="H482" s="133">
        <v>0</v>
      </c>
      <c r="I482" s="133">
        <v>0</v>
      </c>
      <c r="J482" s="133">
        <v>0</v>
      </c>
      <c r="K482" s="133">
        <v>0</v>
      </c>
      <c r="L482" s="133">
        <v>0</v>
      </c>
      <c r="M482" s="133">
        <v>0</v>
      </c>
      <c r="N482" s="133">
        <v>0</v>
      </c>
      <c r="O482" s="133">
        <v>0</v>
      </c>
      <c r="P482" s="133">
        <v>0</v>
      </c>
      <c r="Q482" s="133">
        <v>0</v>
      </c>
      <c r="R482" s="133">
        <v>0</v>
      </c>
      <c r="S482" s="133">
        <v>0</v>
      </c>
      <c r="T482" s="133">
        <v>0</v>
      </c>
      <c r="U482" s="133">
        <v>0</v>
      </c>
      <c r="V482" s="133">
        <v>0</v>
      </c>
      <c r="W482" s="133">
        <v>0.155</v>
      </c>
      <c r="X482" s="133">
        <v>0</v>
      </c>
      <c r="Y482" s="133">
        <v>0</v>
      </c>
      <c r="Z482" s="133">
        <v>0</v>
      </c>
      <c r="AA482" s="133">
        <v>0</v>
      </c>
      <c r="AB482" s="133">
        <v>0</v>
      </c>
      <c r="AC482" s="133">
        <v>0</v>
      </c>
      <c r="AD482" s="133">
        <v>0</v>
      </c>
      <c r="AE482" s="133">
        <v>0</v>
      </c>
      <c r="AF482" s="133">
        <v>10.1</v>
      </c>
      <c r="AG482" s="133">
        <v>10.385</v>
      </c>
    </row>
    <row r="483" spans="1:33" x14ac:dyDescent="0.45">
      <c r="B483" s="130" t="s">
        <v>226</v>
      </c>
      <c r="C483" s="133">
        <v>0</v>
      </c>
      <c r="D483" s="133">
        <v>0</v>
      </c>
      <c r="E483" s="133">
        <v>0</v>
      </c>
      <c r="F483" s="133">
        <v>0</v>
      </c>
      <c r="G483" s="133">
        <v>0.37</v>
      </c>
      <c r="H483" s="133">
        <v>0</v>
      </c>
      <c r="I483" s="133">
        <v>0</v>
      </c>
      <c r="J483" s="133">
        <v>0</v>
      </c>
      <c r="K483" s="133">
        <v>0</v>
      </c>
      <c r="L483" s="133">
        <v>0</v>
      </c>
      <c r="M483" s="133">
        <v>0</v>
      </c>
      <c r="N483" s="133">
        <v>0</v>
      </c>
      <c r="O483" s="133">
        <v>0</v>
      </c>
      <c r="P483" s="133">
        <v>0</v>
      </c>
      <c r="Q483" s="133">
        <v>0</v>
      </c>
      <c r="R483" s="133">
        <v>0</v>
      </c>
      <c r="S483" s="133">
        <v>0</v>
      </c>
      <c r="T483" s="133">
        <v>0</v>
      </c>
      <c r="U483" s="133">
        <v>0</v>
      </c>
      <c r="V483" s="133">
        <v>0</v>
      </c>
      <c r="W483" s="133">
        <v>0.23599999999999999</v>
      </c>
      <c r="X483" s="133">
        <v>0</v>
      </c>
      <c r="Y483" s="133">
        <v>0</v>
      </c>
      <c r="Z483" s="133">
        <v>0</v>
      </c>
      <c r="AA483" s="133">
        <v>0</v>
      </c>
      <c r="AB483" s="133">
        <v>0</v>
      </c>
      <c r="AC483" s="133">
        <v>0</v>
      </c>
      <c r="AD483" s="133">
        <v>0</v>
      </c>
      <c r="AE483" s="133">
        <v>0</v>
      </c>
      <c r="AF483" s="133">
        <v>15.08</v>
      </c>
      <c r="AG483" s="133">
        <v>15.686</v>
      </c>
    </row>
    <row r="484" spans="1:33" x14ac:dyDescent="0.45">
      <c r="B484" s="130" t="s">
        <v>224</v>
      </c>
      <c r="C484" s="133">
        <v>0</v>
      </c>
      <c r="D484" s="133">
        <v>0</v>
      </c>
      <c r="E484" s="133">
        <v>0</v>
      </c>
      <c r="F484" s="133">
        <v>41.631900000000002</v>
      </c>
      <c r="G484" s="133">
        <v>0.1</v>
      </c>
      <c r="H484" s="133">
        <v>3.09</v>
      </c>
      <c r="I484" s="133">
        <v>0</v>
      </c>
      <c r="J484" s="133">
        <v>0.156807</v>
      </c>
      <c r="K484" s="133">
        <v>0.36</v>
      </c>
      <c r="L484" s="133">
        <v>0</v>
      </c>
      <c r="M484" s="133">
        <v>47.654800000000002</v>
      </c>
      <c r="N484" s="133">
        <v>0</v>
      </c>
      <c r="O484" s="133">
        <v>0</v>
      </c>
      <c r="P484" s="133">
        <v>19.946000000000002</v>
      </c>
      <c r="Q484" s="133">
        <v>0</v>
      </c>
      <c r="R484" s="133">
        <v>0</v>
      </c>
      <c r="S484" s="133">
        <v>3.9244300000000001</v>
      </c>
      <c r="T484" s="133">
        <v>0</v>
      </c>
      <c r="U484" s="133">
        <v>0</v>
      </c>
      <c r="V484" s="133">
        <v>0</v>
      </c>
      <c r="W484" s="133">
        <v>0.971777</v>
      </c>
      <c r="X484" s="133">
        <v>0</v>
      </c>
      <c r="Y484" s="133">
        <v>0</v>
      </c>
      <c r="Z484" s="133">
        <v>0</v>
      </c>
      <c r="AA484" s="133">
        <v>0</v>
      </c>
      <c r="AB484" s="133">
        <v>0</v>
      </c>
      <c r="AC484" s="133">
        <v>0</v>
      </c>
      <c r="AD484" s="133">
        <v>0</v>
      </c>
      <c r="AE484" s="133">
        <v>0</v>
      </c>
      <c r="AF484" s="133">
        <v>0</v>
      </c>
      <c r="AG484" s="133">
        <v>117.835714</v>
      </c>
    </row>
    <row r="485" spans="1:33" x14ac:dyDescent="0.45">
      <c r="A485" s="134" t="s">
        <v>221</v>
      </c>
      <c r="B485" s="130"/>
      <c r="C485" s="133">
        <v>0</v>
      </c>
      <c r="D485" s="133">
        <v>0</v>
      </c>
      <c r="E485" s="133">
        <v>0</v>
      </c>
      <c r="F485" s="133">
        <v>0</v>
      </c>
      <c r="G485" s="133">
        <v>0</v>
      </c>
      <c r="H485" s="133">
        <v>0</v>
      </c>
      <c r="I485" s="133">
        <v>0</v>
      </c>
      <c r="J485" s="133">
        <v>0.43940400000000002</v>
      </c>
      <c r="K485" s="133">
        <v>0</v>
      </c>
      <c r="L485" s="133">
        <v>0</v>
      </c>
      <c r="M485" s="133">
        <v>0</v>
      </c>
      <c r="N485" s="133">
        <v>0</v>
      </c>
      <c r="O485" s="133">
        <v>100.065</v>
      </c>
      <c r="P485" s="133">
        <v>33.438000000000002</v>
      </c>
      <c r="Q485" s="133">
        <v>0.4</v>
      </c>
      <c r="R485" s="133">
        <v>17.77</v>
      </c>
      <c r="S485" s="133">
        <v>10.62</v>
      </c>
      <c r="T485" s="133">
        <v>0</v>
      </c>
      <c r="U485" s="133">
        <v>0</v>
      </c>
      <c r="V485" s="133">
        <v>0</v>
      </c>
      <c r="W485" s="133">
        <v>2.8332899999999999</v>
      </c>
      <c r="X485" s="133">
        <v>2.71</v>
      </c>
      <c r="Y485" s="133">
        <v>0.18</v>
      </c>
      <c r="Z485" s="133">
        <v>0</v>
      </c>
      <c r="AA485" s="133">
        <v>0</v>
      </c>
      <c r="AB485" s="133">
        <v>0</v>
      </c>
      <c r="AC485" s="133">
        <v>0</v>
      </c>
      <c r="AD485" s="133">
        <v>0</v>
      </c>
      <c r="AE485" s="133">
        <v>0</v>
      </c>
      <c r="AF485" s="133">
        <v>0</v>
      </c>
      <c r="AG485" s="133">
        <v>168.45569400000002</v>
      </c>
    </row>
    <row r="486" spans="1:33" x14ac:dyDescent="0.45">
      <c r="B486" s="130" t="s">
        <v>223</v>
      </c>
      <c r="C486" s="133">
        <v>0</v>
      </c>
      <c r="D486" s="133">
        <v>0</v>
      </c>
      <c r="E486" s="133">
        <v>0</v>
      </c>
      <c r="F486" s="133">
        <v>0</v>
      </c>
      <c r="G486" s="133">
        <v>0</v>
      </c>
      <c r="H486" s="133">
        <v>0</v>
      </c>
      <c r="I486" s="133">
        <v>0</v>
      </c>
      <c r="J486" s="133">
        <v>7.9000000000000001E-2</v>
      </c>
      <c r="K486" s="133">
        <v>0</v>
      </c>
      <c r="L486" s="133">
        <v>0</v>
      </c>
      <c r="M486" s="133">
        <v>0</v>
      </c>
      <c r="N486" s="133">
        <v>0</v>
      </c>
      <c r="O486" s="133">
        <v>0</v>
      </c>
      <c r="P486" s="133">
        <v>0</v>
      </c>
      <c r="Q486" s="133">
        <v>0</v>
      </c>
      <c r="R486" s="133">
        <v>0</v>
      </c>
      <c r="S486" s="133">
        <v>0</v>
      </c>
      <c r="T486" s="133">
        <v>0</v>
      </c>
      <c r="U486" s="133">
        <v>0</v>
      </c>
      <c r="V486" s="133">
        <v>0</v>
      </c>
      <c r="W486" s="133">
        <v>4.8000000000000001E-2</v>
      </c>
      <c r="X486" s="133">
        <v>2.71</v>
      </c>
      <c r="Y486" s="133">
        <v>0.18</v>
      </c>
      <c r="Z486" s="133">
        <v>0</v>
      </c>
      <c r="AA486" s="133">
        <v>0</v>
      </c>
      <c r="AB486" s="133">
        <v>0</v>
      </c>
      <c r="AC486" s="133">
        <v>0</v>
      </c>
      <c r="AD486" s="133">
        <v>0</v>
      </c>
      <c r="AE486" s="133">
        <v>0</v>
      </c>
      <c r="AF486" s="133">
        <v>0</v>
      </c>
      <c r="AG486" s="133">
        <v>3.0169999999999999</v>
      </c>
    </row>
    <row r="487" spans="1:33" x14ac:dyDescent="0.45">
      <c r="B487" s="130" t="s">
        <v>222</v>
      </c>
      <c r="C487" s="133">
        <v>0</v>
      </c>
      <c r="D487" s="133">
        <v>0</v>
      </c>
      <c r="E487" s="133">
        <v>0</v>
      </c>
      <c r="F487" s="133">
        <v>0</v>
      </c>
      <c r="G487" s="133">
        <v>0</v>
      </c>
      <c r="H487" s="133">
        <v>0</v>
      </c>
      <c r="I487" s="133">
        <v>0</v>
      </c>
      <c r="J487" s="133">
        <v>0.360404</v>
      </c>
      <c r="K487" s="133">
        <v>0</v>
      </c>
      <c r="L487" s="133">
        <v>0</v>
      </c>
      <c r="M487" s="133">
        <v>0</v>
      </c>
      <c r="N487" s="133">
        <v>0</v>
      </c>
      <c r="O487" s="133">
        <v>100.065</v>
      </c>
      <c r="P487" s="133">
        <v>32</v>
      </c>
      <c r="Q487" s="133">
        <v>0.4</v>
      </c>
      <c r="R487" s="133">
        <v>0</v>
      </c>
      <c r="S487" s="133">
        <v>0</v>
      </c>
      <c r="T487" s="133">
        <v>0</v>
      </c>
      <c r="U487" s="133">
        <v>0</v>
      </c>
      <c r="V487" s="133">
        <v>0</v>
      </c>
      <c r="W487" s="133">
        <v>2.1352899999999999</v>
      </c>
      <c r="X487" s="133">
        <v>0</v>
      </c>
      <c r="Y487" s="133">
        <v>0</v>
      </c>
      <c r="Z487" s="133">
        <v>0</v>
      </c>
      <c r="AA487" s="133">
        <v>0</v>
      </c>
      <c r="AB487" s="133">
        <v>0</v>
      </c>
      <c r="AC487" s="133">
        <v>0</v>
      </c>
      <c r="AD487" s="133">
        <v>0</v>
      </c>
      <c r="AE487" s="133">
        <v>0</v>
      </c>
      <c r="AF487" s="133">
        <v>0</v>
      </c>
      <c r="AG487" s="133">
        <v>134.96069400000002</v>
      </c>
    </row>
    <row r="488" spans="1:33" x14ac:dyDescent="0.45">
      <c r="B488" s="130" t="s">
        <v>220</v>
      </c>
      <c r="C488" s="133">
        <v>0</v>
      </c>
      <c r="D488" s="133">
        <v>0</v>
      </c>
      <c r="E488" s="133">
        <v>0</v>
      </c>
      <c r="F488" s="133">
        <v>0</v>
      </c>
      <c r="G488" s="133">
        <v>0</v>
      </c>
      <c r="H488" s="133">
        <v>0</v>
      </c>
      <c r="I488" s="133">
        <v>0</v>
      </c>
      <c r="J488" s="133">
        <v>0</v>
      </c>
      <c r="K488" s="133">
        <v>0</v>
      </c>
      <c r="L488" s="133">
        <v>0</v>
      </c>
      <c r="M488" s="133">
        <v>0</v>
      </c>
      <c r="N488" s="133">
        <v>0</v>
      </c>
      <c r="O488" s="133">
        <v>0</v>
      </c>
      <c r="P488" s="133">
        <v>1.4379999999999999</v>
      </c>
      <c r="Q488" s="133">
        <v>0</v>
      </c>
      <c r="R488" s="133">
        <v>17.77</v>
      </c>
      <c r="S488" s="133">
        <v>10.62</v>
      </c>
      <c r="T488" s="133">
        <v>0</v>
      </c>
      <c r="U488" s="133">
        <v>0</v>
      </c>
      <c r="V488" s="133">
        <v>0</v>
      </c>
      <c r="W488" s="133">
        <v>0.65</v>
      </c>
      <c r="X488" s="133">
        <v>0</v>
      </c>
      <c r="Y488" s="133">
        <v>0</v>
      </c>
      <c r="Z488" s="133">
        <v>0</v>
      </c>
      <c r="AA488" s="133">
        <v>0</v>
      </c>
      <c r="AB488" s="133">
        <v>0</v>
      </c>
      <c r="AC488" s="133">
        <v>0</v>
      </c>
      <c r="AD488" s="133">
        <v>0</v>
      </c>
      <c r="AE488" s="133">
        <v>0</v>
      </c>
      <c r="AF488" s="133">
        <v>0</v>
      </c>
      <c r="AG488" s="133">
        <v>30.477999999999998</v>
      </c>
    </row>
    <row r="489" spans="1:33" x14ac:dyDescent="0.45">
      <c r="A489" s="134" t="s">
        <v>48</v>
      </c>
      <c r="B489" s="130"/>
      <c r="C489" s="133">
        <v>0</v>
      </c>
      <c r="D489" s="133">
        <v>137.41092</v>
      </c>
      <c r="E489" s="133">
        <v>0</v>
      </c>
      <c r="F489" s="133">
        <v>115.5223</v>
      </c>
      <c r="G489" s="133">
        <v>0</v>
      </c>
      <c r="H489" s="133">
        <v>0</v>
      </c>
      <c r="I489" s="133">
        <v>0</v>
      </c>
      <c r="J489" s="133">
        <v>13.519659999999998</v>
      </c>
      <c r="K489" s="133">
        <v>2.7959999999999998</v>
      </c>
      <c r="L489" s="133">
        <v>3.3410289999999998</v>
      </c>
      <c r="M489" s="133">
        <v>66.116039999999998</v>
      </c>
      <c r="N489" s="133">
        <v>0</v>
      </c>
      <c r="O489" s="133">
        <v>57.404699999999998</v>
      </c>
      <c r="P489" s="133">
        <v>122.506</v>
      </c>
      <c r="Q489" s="133">
        <v>139.44399999999999</v>
      </c>
      <c r="R489" s="133">
        <v>111.158</v>
      </c>
      <c r="S489" s="133">
        <v>27.170840000000002</v>
      </c>
      <c r="T489" s="133">
        <v>0</v>
      </c>
      <c r="U489" s="133">
        <v>0.83399999999999996</v>
      </c>
      <c r="V489" s="133">
        <v>0</v>
      </c>
      <c r="W489" s="133">
        <v>24.533009999999997</v>
      </c>
      <c r="X489" s="133">
        <v>10.097</v>
      </c>
      <c r="Y489" s="133">
        <v>34.492899999999999</v>
      </c>
      <c r="Z489" s="133">
        <v>0</v>
      </c>
      <c r="AA489" s="133">
        <v>0</v>
      </c>
      <c r="AB489" s="133">
        <v>0</v>
      </c>
      <c r="AC489" s="133">
        <v>0</v>
      </c>
      <c r="AD489" s="133">
        <v>0</v>
      </c>
      <c r="AE489" s="133">
        <v>0</v>
      </c>
      <c r="AF489" s="133">
        <v>132.68545399999999</v>
      </c>
      <c r="AG489" s="133">
        <v>999.03185300000007</v>
      </c>
    </row>
    <row r="490" spans="1:33" x14ac:dyDescent="0.45">
      <c r="B490" s="130" t="s">
        <v>219</v>
      </c>
      <c r="C490" s="133">
        <v>0</v>
      </c>
      <c r="D490" s="133">
        <v>134.60300000000001</v>
      </c>
      <c r="E490" s="133">
        <v>0</v>
      </c>
      <c r="F490" s="133">
        <v>0</v>
      </c>
      <c r="G490" s="133">
        <v>0</v>
      </c>
      <c r="H490" s="133">
        <v>0</v>
      </c>
      <c r="I490" s="133">
        <v>0</v>
      </c>
      <c r="J490" s="133">
        <v>1.3280000000000001</v>
      </c>
      <c r="K490" s="133">
        <v>1.92</v>
      </c>
      <c r="L490" s="133">
        <v>0</v>
      </c>
      <c r="M490" s="133">
        <v>0</v>
      </c>
      <c r="N490" s="133">
        <v>0</v>
      </c>
      <c r="O490" s="133">
        <v>0</v>
      </c>
      <c r="P490" s="133">
        <v>14.349</v>
      </c>
      <c r="Q490" s="133">
        <v>25.582000000000001</v>
      </c>
      <c r="R490" s="133">
        <v>17.242000000000001</v>
      </c>
      <c r="S490" s="133">
        <v>0</v>
      </c>
      <c r="T490" s="133">
        <v>0</v>
      </c>
      <c r="U490" s="133">
        <v>0</v>
      </c>
      <c r="V490" s="133">
        <v>0</v>
      </c>
      <c r="W490" s="133">
        <v>5.82</v>
      </c>
      <c r="X490" s="133">
        <v>0</v>
      </c>
      <c r="Y490" s="133">
        <v>0.56999999999999995</v>
      </c>
      <c r="Z490" s="133">
        <v>0</v>
      </c>
      <c r="AA490" s="133">
        <v>0</v>
      </c>
      <c r="AB490" s="133">
        <v>0</v>
      </c>
      <c r="AC490" s="133">
        <v>0</v>
      </c>
      <c r="AD490" s="133">
        <v>0</v>
      </c>
      <c r="AE490" s="133">
        <v>0</v>
      </c>
      <c r="AF490" s="133">
        <v>2.2835299999999998</v>
      </c>
      <c r="AG490" s="133">
        <v>203.69752999999997</v>
      </c>
    </row>
    <row r="491" spans="1:33" x14ac:dyDescent="0.45">
      <c r="A491" s="126"/>
      <c r="B491" s="129" t="s">
        <v>218</v>
      </c>
      <c r="C491" s="129">
        <v>0</v>
      </c>
      <c r="D491" s="129">
        <v>0</v>
      </c>
      <c r="E491" s="129">
        <v>0</v>
      </c>
      <c r="F491" s="129">
        <v>0</v>
      </c>
      <c r="G491" s="129">
        <v>0</v>
      </c>
      <c r="H491" s="129">
        <v>0</v>
      </c>
      <c r="I491" s="129">
        <v>0</v>
      </c>
      <c r="J491" s="129">
        <v>0.57899999999999996</v>
      </c>
      <c r="K491" s="129">
        <v>0</v>
      </c>
      <c r="L491" s="129">
        <v>0</v>
      </c>
      <c r="M491" s="129">
        <v>0</v>
      </c>
      <c r="N491" s="129">
        <v>0</v>
      </c>
      <c r="O491" s="129">
        <v>0</v>
      </c>
      <c r="P491" s="129">
        <v>3.0150000000000001</v>
      </c>
      <c r="Q491" s="129">
        <v>0</v>
      </c>
      <c r="R491" s="129">
        <v>14.452999999999999</v>
      </c>
      <c r="S491" s="129">
        <v>0</v>
      </c>
      <c r="T491" s="129">
        <v>0</v>
      </c>
      <c r="U491" s="129">
        <v>0</v>
      </c>
      <c r="V491" s="129">
        <v>0</v>
      </c>
      <c r="W491" s="129">
        <v>0.44063999999999998</v>
      </c>
      <c r="X491" s="129">
        <v>0</v>
      </c>
      <c r="Y491" s="129">
        <v>0</v>
      </c>
      <c r="Z491" s="129">
        <v>0</v>
      </c>
      <c r="AA491" s="129">
        <v>0</v>
      </c>
      <c r="AB491" s="129">
        <v>0</v>
      </c>
      <c r="AC491" s="129">
        <v>0</v>
      </c>
      <c r="AD491" s="129">
        <v>0</v>
      </c>
      <c r="AE491" s="129">
        <v>0</v>
      </c>
      <c r="AF491" s="129">
        <v>0.96599999999999997</v>
      </c>
      <c r="AG491" s="129">
        <v>19.453639999999996</v>
      </c>
    </row>
    <row r="492" spans="1:33" x14ac:dyDescent="0.45">
      <c r="B492" s="130" t="s">
        <v>217</v>
      </c>
      <c r="C492" s="133">
        <v>0</v>
      </c>
      <c r="D492" s="133">
        <v>0</v>
      </c>
      <c r="E492" s="133">
        <v>0</v>
      </c>
      <c r="F492" s="133">
        <v>0</v>
      </c>
      <c r="G492" s="133">
        <v>0</v>
      </c>
      <c r="H492" s="133">
        <v>0</v>
      </c>
      <c r="I492" s="133">
        <v>0</v>
      </c>
      <c r="J492" s="133">
        <v>2.52494</v>
      </c>
      <c r="K492" s="133">
        <v>0</v>
      </c>
      <c r="L492" s="133">
        <v>0</v>
      </c>
      <c r="M492" s="133">
        <v>0</v>
      </c>
      <c r="N492" s="133">
        <v>0</v>
      </c>
      <c r="O492" s="133">
        <v>0</v>
      </c>
      <c r="P492" s="133">
        <v>0</v>
      </c>
      <c r="Q492" s="133">
        <v>25.103000000000002</v>
      </c>
      <c r="R492" s="133">
        <v>0</v>
      </c>
      <c r="S492" s="133">
        <v>0</v>
      </c>
      <c r="T492" s="133">
        <v>0</v>
      </c>
      <c r="U492" s="133">
        <v>0</v>
      </c>
      <c r="V492" s="133">
        <v>0</v>
      </c>
      <c r="W492" s="133">
        <v>4.1000000000000002E-2</v>
      </c>
      <c r="X492" s="133">
        <v>0</v>
      </c>
      <c r="Y492" s="133">
        <v>0</v>
      </c>
      <c r="Z492" s="133">
        <v>0</v>
      </c>
      <c r="AA492" s="133">
        <v>0</v>
      </c>
      <c r="AB492" s="133">
        <v>0</v>
      </c>
      <c r="AC492" s="133">
        <v>0</v>
      </c>
      <c r="AD492" s="133">
        <v>0</v>
      </c>
      <c r="AE492" s="133">
        <v>0</v>
      </c>
      <c r="AF492" s="133">
        <v>0.61685400000000001</v>
      </c>
      <c r="AG492" s="133">
        <v>28.285794000000003</v>
      </c>
    </row>
    <row r="493" spans="1:33" x14ac:dyDescent="0.45">
      <c r="A493" s="126"/>
      <c r="B493" s="129" t="s">
        <v>216</v>
      </c>
      <c r="C493" s="129">
        <v>0</v>
      </c>
      <c r="D493" s="129">
        <v>0</v>
      </c>
      <c r="E493" s="129">
        <v>0</v>
      </c>
      <c r="F493" s="129">
        <v>0</v>
      </c>
      <c r="G493" s="129">
        <v>0</v>
      </c>
      <c r="H493" s="129">
        <v>0</v>
      </c>
      <c r="I493" s="129">
        <v>0</v>
      </c>
      <c r="J493" s="129">
        <v>0.22</v>
      </c>
      <c r="K493" s="129">
        <v>0</v>
      </c>
      <c r="L493" s="129">
        <v>0</v>
      </c>
      <c r="M493" s="129">
        <v>0</v>
      </c>
      <c r="N493" s="129">
        <v>0</v>
      </c>
      <c r="O493" s="129">
        <v>0</v>
      </c>
      <c r="P493" s="129">
        <v>0</v>
      </c>
      <c r="Q493" s="129">
        <v>0</v>
      </c>
      <c r="R493" s="129">
        <v>0</v>
      </c>
      <c r="S493" s="129">
        <v>0</v>
      </c>
      <c r="T493" s="129">
        <v>0</v>
      </c>
      <c r="U493" s="129">
        <v>0</v>
      </c>
      <c r="V493" s="129">
        <v>0</v>
      </c>
      <c r="W493" s="129">
        <v>0.10299999999999999</v>
      </c>
      <c r="X493" s="129">
        <v>7.1239999999999997</v>
      </c>
      <c r="Y493" s="129">
        <v>0</v>
      </c>
      <c r="Z493" s="129">
        <v>0</v>
      </c>
      <c r="AA493" s="129">
        <v>0</v>
      </c>
      <c r="AB493" s="129">
        <v>0</v>
      </c>
      <c r="AC493" s="129">
        <v>0</v>
      </c>
      <c r="AD493" s="129">
        <v>0</v>
      </c>
      <c r="AE493" s="129">
        <v>0</v>
      </c>
      <c r="AF493" s="129">
        <v>0</v>
      </c>
      <c r="AG493" s="129">
        <v>7.4469999999999992</v>
      </c>
    </row>
    <row r="494" spans="1:33" x14ac:dyDescent="0.45">
      <c r="B494" s="130" t="s">
        <v>215</v>
      </c>
      <c r="C494" s="133">
        <v>0</v>
      </c>
      <c r="D494" s="133">
        <v>0</v>
      </c>
      <c r="E494" s="133">
        <v>0</v>
      </c>
      <c r="F494" s="133">
        <v>0</v>
      </c>
      <c r="G494" s="133">
        <v>0</v>
      </c>
      <c r="H494" s="133">
        <v>0</v>
      </c>
      <c r="I494" s="133">
        <v>0</v>
      </c>
      <c r="J494" s="133">
        <v>0</v>
      </c>
      <c r="K494" s="133">
        <v>0</v>
      </c>
      <c r="L494" s="133">
        <v>1.18503</v>
      </c>
      <c r="M494" s="133">
        <v>0</v>
      </c>
      <c r="N494" s="133">
        <v>0</v>
      </c>
      <c r="O494" s="133">
        <v>0</v>
      </c>
      <c r="P494" s="133">
        <v>7.89</v>
      </c>
      <c r="Q494" s="133">
        <v>31.783999999999999</v>
      </c>
      <c r="R494" s="133">
        <v>45.553899999999999</v>
      </c>
      <c r="S494" s="133">
        <v>13.0893</v>
      </c>
      <c r="T494" s="133">
        <v>0</v>
      </c>
      <c r="U494" s="133">
        <v>0</v>
      </c>
      <c r="V494" s="133">
        <v>0</v>
      </c>
      <c r="W494" s="133">
        <v>2.1865399999999999</v>
      </c>
      <c r="X494" s="133">
        <v>0</v>
      </c>
      <c r="Y494" s="133">
        <v>0</v>
      </c>
      <c r="Z494" s="133">
        <v>0</v>
      </c>
      <c r="AA494" s="133">
        <v>0</v>
      </c>
      <c r="AB494" s="133">
        <v>0</v>
      </c>
      <c r="AC494" s="133">
        <v>0</v>
      </c>
      <c r="AD494" s="133">
        <v>0</v>
      </c>
      <c r="AE494" s="133">
        <v>0</v>
      </c>
      <c r="AF494" s="133">
        <v>10.665900000000001</v>
      </c>
      <c r="AG494" s="133">
        <v>112.35467</v>
      </c>
    </row>
    <row r="495" spans="1:33" x14ac:dyDescent="0.45">
      <c r="A495" s="126"/>
      <c r="B495" s="129" t="s">
        <v>214</v>
      </c>
      <c r="C495" s="129">
        <v>0</v>
      </c>
      <c r="D495" s="129">
        <v>0</v>
      </c>
      <c r="E495" s="129">
        <v>0</v>
      </c>
      <c r="F495" s="129">
        <v>53.1083</v>
      </c>
      <c r="G495" s="129">
        <v>0</v>
      </c>
      <c r="H495" s="129">
        <v>0</v>
      </c>
      <c r="I495" s="129">
        <v>0</v>
      </c>
      <c r="J495" s="129">
        <v>0.55200000000000005</v>
      </c>
      <c r="K495" s="129">
        <v>0</v>
      </c>
      <c r="L495" s="129">
        <v>0</v>
      </c>
      <c r="M495" s="129">
        <v>1.1913899999999999</v>
      </c>
      <c r="N495" s="129">
        <v>0</v>
      </c>
      <c r="O495" s="129">
        <v>0</v>
      </c>
      <c r="P495" s="129">
        <v>39.619</v>
      </c>
      <c r="Q495" s="129">
        <v>0</v>
      </c>
      <c r="R495" s="129">
        <v>33.143099999999997</v>
      </c>
      <c r="S495" s="129">
        <v>0</v>
      </c>
      <c r="T495" s="129">
        <v>0</v>
      </c>
      <c r="U495" s="129">
        <v>0.83399999999999996</v>
      </c>
      <c r="V495" s="129">
        <v>0</v>
      </c>
      <c r="W495" s="129">
        <v>3.8870399999999998</v>
      </c>
      <c r="X495" s="129">
        <v>0</v>
      </c>
      <c r="Y495" s="129">
        <v>0</v>
      </c>
      <c r="Z495" s="129">
        <v>0</v>
      </c>
      <c r="AA495" s="129">
        <v>0</v>
      </c>
      <c r="AB495" s="129">
        <v>0</v>
      </c>
      <c r="AC495" s="129">
        <v>0</v>
      </c>
      <c r="AD495" s="129">
        <v>0</v>
      </c>
      <c r="AE495" s="129">
        <v>0</v>
      </c>
      <c r="AF495" s="129">
        <v>5.5240499999999999</v>
      </c>
      <c r="AG495" s="129">
        <v>137.85888</v>
      </c>
    </row>
    <row r="496" spans="1:33" x14ac:dyDescent="0.45">
      <c r="B496" s="130" t="s">
        <v>213</v>
      </c>
      <c r="C496" s="133">
        <v>0</v>
      </c>
      <c r="D496" s="133">
        <v>0</v>
      </c>
      <c r="E496" s="133">
        <v>0</v>
      </c>
      <c r="F496" s="133">
        <v>14.055</v>
      </c>
      <c r="G496" s="133">
        <v>0</v>
      </c>
      <c r="H496" s="133">
        <v>0</v>
      </c>
      <c r="I496" s="133">
        <v>0</v>
      </c>
      <c r="J496" s="133">
        <v>1.37</v>
      </c>
      <c r="K496" s="133">
        <v>0</v>
      </c>
      <c r="L496" s="133">
        <v>0</v>
      </c>
      <c r="M496" s="133">
        <v>10.920999999999999</v>
      </c>
      <c r="N496" s="133">
        <v>0</v>
      </c>
      <c r="O496" s="133">
        <v>0</v>
      </c>
      <c r="P496" s="133">
        <v>6.8579999999999997</v>
      </c>
      <c r="Q496" s="133">
        <v>4.8380000000000001</v>
      </c>
      <c r="R496" s="133">
        <v>0</v>
      </c>
      <c r="S496" s="133">
        <v>5.9390000000000001</v>
      </c>
      <c r="T496" s="133">
        <v>0</v>
      </c>
      <c r="U496" s="133">
        <v>0</v>
      </c>
      <c r="V496" s="133">
        <v>0</v>
      </c>
      <c r="W496" s="133">
        <v>0.98799999999999999</v>
      </c>
      <c r="X496" s="133">
        <v>0</v>
      </c>
      <c r="Y496" s="133">
        <v>0</v>
      </c>
      <c r="Z496" s="133">
        <v>0</v>
      </c>
      <c r="AA496" s="133">
        <v>0</v>
      </c>
      <c r="AB496" s="133">
        <v>0</v>
      </c>
      <c r="AC496" s="133">
        <v>0</v>
      </c>
      <c r="AD496" s="133">
        <v>0</v>
      </c>
      <c r="AE496" s="133">
        <v>0</v>
      </c>
      <c r="AF496" s="133">
        <v>0</v>
      </c>
      <c r="AG496" s="133">
        <v>44.968999999999994</v>
      </c>
    </row>
    <row r="497" spans="1:33" x14ac:dyDescent="0.45">
      <c r="B497" s="130" t="s">
        <v>212</v>
      </c>
      <c r="C497" s="133">
        <v>0</v>
      </c>
      <c r="D497" s="133">
        <v>0</v>
      </c>
      <c r="E497" s="133">
        <v>0</v>
      </c>
      <c r="F497" s="133">
        <v>0</v>
      </c>
      <c r="G497" s="133">
        <v>0</v>
      </c>
      <c r="H497" s="133">
        <v>0</v>
      </c>
      <c r="I497" s="133">
        <v>0</v>
      </c>
      <c r="J497" s="133">
        <v>0.91500000000000004</v>
      </c>
      <c r="K497" s="133">
        <v>0</v>
      </c>
      <c r="L497" s="133">
        <v>0.44705899999999998</v>
      </c>
      <c r="M497" s="133">
        <v>0</v>
      </c>
      <c r="N497" s="133">
        <v>0</v>
      </c>
      <c r="O497" s="133">
        <v>0</v>
      </c>
      <c r="P497" s="133">
        <v>0</v>
      </c>
      <c r="Q497" s="133">
        <v>12.813000000000001</v>
      </c>
      <c r="R497" s="133">
        <v>0</v>
      </c>
      <c r="S497" s="133">
        <v>0</v>
      </c>
      <c r="T497" s="133">
        <v>0</v>
      </c>
      <c r="U497" s="133">
        <v>0</v>
      </c>
      <c r="V497" s="133">
        <v>0</v>
      </c>
      <c r="W497" s="133">
        <v>3.9E-2</v>
      </c>
      <c r="X497" s="133">
        <v>0</v>
      </c>
      <c r="Y497" s="133">
        <v>0</v>
      </c>
      <c r="Z497" s="133">
        <v>0</v>
      </c>
      <c r="AA497" s="133">
        <v>0</v>
      </c>
      <c r="AB497" s="133">
        <v>0</v>
      </c>
      <c r="AC497" s="133">
        <v>0</v>
      </c>
      <c r="AD497" s="133">
        <v>0</v>
      </c>
      <c r="AE497" s="133">
        <v>0</v>
      </c>
      <c r="AF497" s="133">
        <v>3.81412</v>
      </c>
      <c r="AG497" s="133">
        <v>18.028179000000002</v>
      </c>
    </row>
    <row r="498" spans="1:33" x14ac:dyDescent="0.45">
      <c r="B498" s="130" t="s">
        <v>211</v>
      </c>
      <c r="C498" s="133">
        <v>0</v>
      </c>
      <c r="D498" s="133">
        <v>0</v>
      </c>
      <c r="E498" s="133">
        <v>0</v>
      </c>
      <c r="F498" s="133">
        <v>0</v>
      </c>
      <c r="G498" s="133">
        <v>0</v>
      </c>
      <c r="H498" s="133">
        <v>0</v>
      </c>
      <c r="I498" s="133">
        <v>0</v>
      </c>
      <c r="J498" s="133">
        <v>0.27200000000000002</v>
      </c>
      <c r="K498" s="133">
        <v>0</v>
      </c>
      <c r="L498" s="133">
        <v>0</v>
      </c>
      <c r="M498" s="133">
        <v>0</v>
      </c>
      <c r="N498" s="133">
        <v>0</v>
      </c>
      <c r="O498" s="133">
        <v>0</v>
      </c>
      <c r="P498" s="133">
        <v>0</v>
      </c>
      <c r="Q498" s="133">
        <v>0</v>
      </c>
      <c r="R498" s="133">
        <v>0</v>
      </c>
      <c r="S498" s="133">
        <v>0</v>
      </c>
      <c r="T498" s="133">
        <v>0</v>
      </c>
      <c r="U498" s="133">
        <v>0</v>
      </c>
      <c r="V498" s="133">
        <v>0</v>
      </c>
      <c r="W498" s="133">
        <v>0.32900000000000001</v>
      </c>
      <c r="X498" s="133">
        <v>0.46</v>
      </c>
      <c r="Y498" s="133">
        <v>0</v>
      </c>
      <c r="Z498" s="133">
        <v>0</v>
      </c>
      <c r="AA498" s="133">
        <v>0</v>
      </c>
      <c r="AB498" s="133">
        <v>0</v>
      </c>
      <c r="AC498" s="133">
        <v>0</v>
      </c>
      <c r="AD498" s="133">
        <v>0</v>
      </c>
      <c r="AE498" s="133">
        <v>0</v>
      </c>
      <c r="AF498" s="133">
        <v>13.792999999999999</v>
      </c>
      <c r="AG498" s="133">
        <v>14.853999999999999</v>
      </c>
    </row>
    <row r="499" spans="1:33" x14ac:dyDescent="0.45">
      <c r="B499" s="130" t="s">
        <v>210</v>
      </c>
      <c r="C499" s="133">
        <v>0</v>
      </c>
      <c r="D499" s="133">
        <v>0</v>
      </c>
      <c r="E499" s="133">
        <v>0</v>
      </c>
      <c r="F499" s="133">
        <v>48.359000000000002</v>
      </c>
      <c r="G499" s="133">
        <v>0</v>
      </c>
      <c r="H499" s="133">
        <v>0</v>
      </c>
      <c r="I499" s="133">
        <v>0</v>
      </c>
      <c r="J499" s="133">
        <v>1.639</v>
      </c>
      <c r="K499" s="133">
        <v>0</v>
      </c>
      <c r="L499" s="133">
        <v>0</v>
      </c>
      <c r="M499" s="133">
        <v>47.363</v>
      </c>
      <c r="N499" s="133">
        <v>0</v>
      </c>
      <c r="O499" s="133">
        <v>0</v>
      </c>
      <c r="P499" s="133">
        <v>24.856999999999999</v>
      </c>
      <c r="Q499" s="133">
        <v>0</v>
      </c>
      <c r="R499" s="133">
        <v>0</v>
      </c>
      <c r="S499" s="133">
        <v>2.8479999999999999</v>
      </c>
      <c r="T499" s="133">
        <v>0</v>
      </c>
      <c r="U499" s="133">
        <v>0</v>
      </c>
      <c r="V499" s="133">
        <v>0</v>
      </c>
      <c r="W499" s="133">
        <v>2.5009999999999999</v>
      </c>
      <c r="X499" s="133">
        <v>0</v>
      </c>
      <c r="Y499" s="133">
        <v>0</v>
      </c>
      <c r="Z499" s="133">
        <v>0</v>
      </c>
      <c r="AA499" s="133">
        <v>0</v>
      </c>
      <c r="AB499" s="133">
        <v>0</v>
      </c>
      <c r="AC499" s="133">
        <v>0</v>
      </c>
      <c r="AD499" s="133">
        <v>0</v>
      </c>
      <c r="AE499" s="133">
        <v>0</v>
      </c>
      <c r="AF499" s="133">
        <v>0</v>
      </c>
      <c r="AG499" s="133">
        <v>127.56700000000001</v>
      </c>
    </row>
    <row r="500" spans="1:33" x14ac:dyDescent="0.45">
      <c r="A500" s="126"/>
      <c r="B500" s="129" t="s">
        <v>209</v>
      </c>
      <c r="C500" s="129">
        <v>0</v>
      </c>
      <c r="D500" s="129">
        <v>2.8079200000000002</v>
      </c>
      <c r="E500" s="129">
        <v>0</v>
      </c>
      <c r="F500" s="129">
        <v>0</v>
      </c>
      <c r="G500" s="129">
        <v>0</v>
      </c>
      <c r="H500" s="129">
        <v>0</v>
      </c>
      <c r="I500" s="129">
        <v>0</v>
      </c>
      <c r="J500" s="129">
        <v>1.0607200000000001</v>
      </c>
      <c r="K500" s="129">
        <v>0</v>
      </c>
      <c r="L500" s="129">
        <v>1.7089399999999999</v>
      </c>
      <c r="M500" s="129">
        <v>6.6406499999999999</v>
      </c>
      <c r="N500" s="129">
        <v>0</v>
      </c>
      <c r="O500" s="129">
        <v>57.404699999999998</v>
      </c>
      <c r="P500" s="129">
        <v>10.436999999999999</v>
      </c>
      <c r="Q500" s="129">
        <v>18.523</v>
      </c>
      <c r="R500" s="129">
        <v>0</v>
      </c>
      <c r="S500" s="129">
        <v>5.2935400000000001</v>
      </c>
      <c r="T500" s="129">
        <v>0</v>
      </c>
      <c r="U500" s="129">
        <v>0</v>
      </c>
      <c r="V500" s="129">
        <v>0</v>
      </c>
      <c r="W500" s="129">
        <v>7.2937900000000004</v>
      </c>
      <c r="X500" s="129">
        <v>0</v>
      </c>
      <c r="Y500" s="129">
        <v>0</v>
      </c>
      <c r="Z500" s="129">
        <v>0</v>
      </c>
      <c r="AA500" s="129">
        <v>0</v>
      </c>
      <c r="AB500" s="129">
        <v>0</v>
      </c>
      <c r="AC500" s="129">
        <v>0</v>
      </c>
      <c r="AD500" s="129">
        <v>0</v>
      </c>
      <c r="AE500" s="129">
        <v>0</v>
      </c>
      <c r="AF500" s="129">
        <v>0</v>
      </c>
      <c r="AG500" s="129">
        <v>111.17026</v>
      </c>
    </row>
    <row r="501" spans="1:33" x14ac:dyDescent="0.45">
      <c r="B501" s="130" t="s">
        <v>208</v>
      </c>
      <c r="C501" s="133">
        <v>0</v>
      </c>
      <c r="D501" s="133">
        <v>0</v>
      </c>
      <c r="E501" s="133">
        <v>0</v>
      </c>
      <c r="F501" s="133">
        <v>0</v>
      </c>
      <c r="G501" s="133">
        <v>0</v>
      </c>
      <c r="H501" s="133">
        <v>0</v>
      </c>
      <c r="I501" s="133">
        <v>0</v>
      </c>
      <c r="J501" s="133">
        <v>4.5999999999999999E-2</v>
      </c>
      <c r="K501" s="133">
        <v>0</v>
      </c>
      <c r="L501" s="133">
        <v>0</v>
      </c>
      <c r="M501" s="133">
        <v>0</v>
      </c>
      <c r="N501" s="133">
        <v>0</v>
      </c>
      <c r="O501" s="133">
        <v>0</v>
      </c>
      <c r="P501" s="133">
        <v>0</v>
      </c>
      <c r="Q501" s="133">
        <v>0</v>
      </c>
      <c r="R501" s="133">
        <v>0</v>
      </c>
      <c r="S501" s="133">
        <v>0</v>
      </c>
      <c r="T501" s="133">
        <v>0</v>
      </c>
      <c r="U501" s="133">
        <v>0</v>
      </c>
      <c r="V501" s="133">
        <v>0</v>
      </c>
      <c r="W501" s="133">
        <v>5.0999999999999997E-2</v>
      </c>
      <c r="X501" s="133">
        <v>2.5129999999999999</v>
      </c>
      <c r="Y501" s="133">
        <v>0</v>
      </c>
      <c r="Z501" s="133">
        <v>0</v>
      </c>
      <c r="AA501" s="133">
        <v>0</v>
      </c>
      <c r="AB501" s="133">
        <v>0</v>
      </c>
      <c r="AC501" s="133">
        <v>0</v>
      </c>
      <c r="AD501" s="133">
        <v>0</v>
      </c>
      <c r="AE501" s="133">
        <v>0</v>
      </c>
      <c r="AF501" s="133">
        <v>0</v>
      </c>
      <c r="AG501" s="133">
        <v>2.61</v>
      </c>
    </row>
    <row r="502" spans="1:33" x14ac:dyDescent="0.45">
      <c r="B502" s="130" t="s">
        <v>207</v>
      </c>
      <c r="C502" s="133">
        <v>0</v>
      </c>
      <c r="D502" s="133">
        <v>0</v>
      </c>
      <c r="E502" s="133">
        <v>0</v>
      </c>
      <c r="F502" s="133">
        <v>0</v>
      </c>
      <c r="G502" s="133">
        <v>0</v>
      </c>
      <c r="H502" s="133">
        <v>0</v>
      </c>
      <c r="I502" s="133">
        <v>0</v>
      </c>
      <c r="J502" s="133">
        <v>0.379</v>
      </c>
      <c r="K502" s="133">
        <v>0.876</v>
      </c>
      <c r="L502" s="133">
        <v>0</v>
      </c>
      <c r="M502" s="133">
        <v>0</v>
      </c>
      <c r="N502" s="133">
        <v>0</v>
      </c>
      <c r="O502" s="133">
        <v>0</v>
      </c>
      <c r="P502" s="133">
        <v>0</v>
      </c>
      <c r="Q502" s="133">
        <v>20.800999999999998</v>
      </c>
      <c r="R502" s="133">
        <v>0</v>
      </c>
      <c r="S502" s="133">
        <v>0</v>
      </c>
      <c r="T502" s="133">
        <v>0</v>
      </c>
      <c r="U502" s="133">
        <v>0</v>
      </c>
      <c r="V502" s="133">
        <v>0</v>
      </c>
      <c r="W502" s="133">
        <v>0.70499999999999996</v>
      </c>
      <c r="X502" s="133">
        <v>0</v>
      </c>
      <c r="Y502" s="133">
        <v>33.922899999999998</v>
      </c>
      <c r="Z502" s="133">
        <v>0</v>
      </c>
      <c r="AA502" s="133">
        <v>0</v>
      </c>
      <c r="AB502" s="133">
        <v>0</v>
      </c>
      <c r="AC502" s="133">
        <v>0</v>
      </c>
      <c r="AD502" s="133">
        <v>0</v>
      </c>
      <c r="AE502" s="133">
        <v>0</v>
      </c>
      <c r="AF502" s="133">
        <v>0</v>
      </c>
      <c r="AG502" s="133">
        <v>56.683899999999994</v>
      </c>
    </row>
    <row r="503" spans="1:33" x14ac:dyDescent="0.45">
      <c r="A503" s="126"/>
      <c r="B503" s="129" t="s">
        <v>206</v>
      </c>
      <c r="C503" s="129">
        <v>0</v>
      </c>
      <c r="D503" s="129">
        <v>0</v>
      </c>
      <c r="E503" s="129">
        <v>0</v>
      </c>
      <c r="F503" s="129">
        <v>0</v>
      </c>
      <c r="G503" s="129">
        <v>0</v>
      </c>
      <c r="H503" s="129">
        <v>0</v>
      </c>
      <c r="I503" s="129">
        <v>0</v>
      </c>
      <c r="J503" s="129">
        <v>0.49399999999999999</v>
      </c>
      <c r="K503" s="129">
        <v>0</v>
      </c>
      <c r="L503" s="129">
        <v>0</v>
      </c>
      <c r="M503" s="129">
        <v>0</v>
      </c>
      <c r="N503" s="129">
        <v>0</v>
      </c>
      <c r="O503" s="129">
        <v>0</v>
      </c>
      <c r="P503" s="129">
        <v>0</v>
      </c>
      <c r="Q503" s="129">
        <v>0</v>
      </c>
      <c r="R503" s="129">
        <v>0.76600000000000001</v>
      </c>
      <c r="S503" s="129">
        <v>1E-3</v>
      </c>
      <c r="T503" s="129">
        <v>0</v>
      </c>
      <c r="U503" s="129">
        <v>0</v>
      </c>
      <c r="V503" s="129">
        <v>0</v>
      </c>
      <c r="W503" s="129">
        <v>0.11</v>
      </c>
      <c r="X503" s="129">
        <v>0</v>
      </c>
      <c r="Y503" s="129">
        <v>0</v>
      </c>
      <c r="Z503" s="129">
        <v>0</v>
      </c>
      <c r="AA503" s="129">
        <v>0</v>
      </c>
      <c r="AB503" s="129">
        <v>0</v>
      </c>
      <c r="AC503" s="129">
        <v>0</v>
      </c>
      <c r="AD503" s="129">
        <v>0</v>
      </c>
      <c r="AE503" s="129">
        <v>0</v>
      </c>
      <c r="AF503" s="129">
        <v>7.5979999999999999</v>
      </c>
      <c r="AG503" s="129">
        <v>8.9689999999999994</v>
      </c>
    </row>
    <row r="504" spans="1:33" x14ac:dyDescent="0.45">
      <c r="B504" s="130" t="s">
        <v>205</v>
      </c>
      <c r="C504" s="133">
        <v>0</v>
      </c>
      <c r="D504" s="133">
        <v>0</v>
      </c>
      <c r="E504" s="133">
        <v>0</v>
      </c>
      <c r="F504" s="133">
        <v>0</v>
      </c>
      <c r="G504" s="133">
        <v>0</v>
      </c>
      <c r="H504" s="133">
        <v>0</v>
      </c>
      <c r="I504" s="133">
        <v>0</v>
      </c>
      <c r="J504" s="133">
        <v>2.14</v>
      </c>
      <c r="K504" s="133">
        <v>0</v>
      </c>
      <c r="L504" s="133">
        <v>0</v>
      </c>
      <c r="M504" s="133">
        <v>0</v>
      </c>
      <c r="N504" s="133">
        <v>0</v>
      </c>
      <c r="O504" s="133">
        <v>0</v>
      </c>
      <c r="P504" s="133">
        <v>15.481</v>
      </c>
      <c r="Q504" s="133">
        <v>0</v>
      </c>
      <c r="R504" s="133">
        <v>0</v>
      </c>
      <c r="S504" s="133">
        <v>0</v>
      </c>
      <c r="T504" s="133">
        <v>0</v>
      </c>
      <c r="U504" s="133">
        <v>0</v>
      </c>
      <c r="V504" s="133">
        <v>0</v>
      </c>
      <c r="W504" s="133">
        <v>3.7999999999999999E-2</v>
      </c>
      <c r="X504" s="133">
        <v>0</v>
      </c>
      <c r="Y504" s="133">
        <v>0</v>
      </c>
      <c r="Z504" s="133">
        <v>0</v>
      </c>
      <c r="AA504" s="133">
        <v>0</v>
      </c>
      <c r="AB504" s="133">
        <v>0</v>
      </c>
      <c r="AC504" s="133">
        <v>0</v>
      </c>
      <c r="AD504" s="133">
        <v>0</v>
      </c>
      <c r="AE504" s="133">
        <v>0</v>
      </c>
      <c r="AF504" s="133">
        <v>87.424000000000007</v>
      </c>
      <c r="AG504" s="133">
        <v>105.083</v>
      </c>
    </row>
    <row r="505" spans="1:33" x14ac:dyDescent="0.45">
      <c r="B505" s="130" t="s">
        <v>204</v>
      </c>
      <c r="C505" s="133">
        <v>0</v>
      </c>
      <c r="D505" s="133">
        <v>0</v>
      </c>
      <c r="E505" s="133">
        <v>0</v>
      </c>
      <c r="F505" s="133">
        <v>0</v>
      </c>
      <c r="G505" s="133">
        <v>0</v>
      </c>
      <c r="H505" s="133">
        <v>0</v>
      </c>
      <c r="I505" s="133">
        <v>0</v>
      </c>
      <c r="J505" s="133">
        <v>0</v>
      </c>
      <c r="K505" s="133">
        <v>0</v>
      </c>
      <c r="L505" s="133">
        <v>0</v>
      </c>
      <c r="M505" s="133">
        <v>0</v>
      </c>
      <c r="N505" s="133">
        <v>0</v>
      </c>
      <c r="O505" s="133">
        <v>0</v>
      </c>
      <c r="P505" s="133">
        <v>0</v>
      </c>
      <c r="Q505" s="133">
        <v>0</v>
      </c>
      <c r="R505" s="133">
        <v>0</v>
      </c>
      <c r="S505" s="133">
        <v>0</v>
      </c>
      <c r="T505" s="133">
        <v>0</v>
      </c>
      <c r="U505" s="133">
        <v>0</v>
      </c>
      <c r="V505" s="133">
        <v>0</v>
      </c>
      <c r="W505" s="133">
        <v>0</v>
      </c>
      <c r="X505" s="133">
        <v>0</v>
      </c>
      <c r="Y505" s="133">
        <v>0</v>
      </c>
      <c r="Z505" s="133">
        <v>0</v>
      </c>
      <c r="AA505" s="133">
        <v>0</v>
      </c>
      <c r="AB505" s="133">
        <v>0</v>
      </c>
      <c r="AC505" s="133">
        <v>0</v>
      </c>
      <c r="AD505" s="133">
        <v>0</v>
      </c>
      <c r="AE505" s="133">
        <v>0</v>
      </c>
      <c r="AF505" s="133">
        <v>0</v>
      </c>
      <c r="AG505" s="133">
        <v>0</v>
      </c>
    </row>
    <row r="506" spans="1:33" x14ac:dyDescent="0.45">
      <c r="A506" s="134" t="s">
        <v>197</v>
      </c>
      <c r="B506" s="130"/>
      <c r="C506" s="133">
        <v>0</v>
      </c>
      <c r="D506" s="133">
        <v>0</v>
      </c>
      <c r="E506" s="133">
        <v>0</v>
      </c>
      <c r="F506" s="133">
        <v>38.714100000000002</v>
      </c>
      <c r="G506" s="133">
        <v>1.8</v>
      </c>
      <c r="H506" s="133">
        <v>0.84099999999999997</v>
      </c>
      <c r="I506" s="133">
        <v>0</v>
      </c>
      <c r="J506" s="133">
        <v>0.31350000000000006</v>
      </c>
      <c r="K506" s="133">
        <v>0</v>
      </c>
      <c r="L506" s="133">
        <v>0</v>
      </c>
      <c r="M506" s="133">
        <v>70.4602</v>
      </c>
      <c r="N506" s="133">
        <v>0</v>
      </c>
      <c r="O506" s="133">
        <v>0</v>
      </c>
      <c r="P506" s="133">
        <v>28.727</v>
      </c>
      <c r="Q506" s="133">
        <v>0.27300000000000002</v>
      </c>
      <c r="R506" s="133">
        <v>0</v>
      </c>
      <c r="S506" s="133">
        <v>25.886700000000001</v>
      </c>
      <c r="T506" s="133">
        <v>0</v>
      </c>
      <c r="U506" s="133">
        <v>0</v>
      </c>
      <c r="V506" s="133">
        <v>0</v>
      </c>
      <c r="W506" s="133">
        <v>4.7573999999999996</v>
      </c>
      <c r="X506" s="133">
        <v>0</v>
      </c>
      <c r="Y506" s="133">
        <v>11.151999999999999</v>
      </c>
      <c r="Z506" s="133">
        <v>0</v>
      </c>
      <c r="AA506" s="133">
        <v>0.112</v>
      </c>
      <c r="AB506" s="133">
        <v>0.22500000000000001</v>
      </c>
      <c r="AC506" s="133">
        <v>0</v>
      </c>
      <c r="AD506" s="133">
        <v>0.32700000000000001</v>
      </c>
      <c r="AE506" s="133">
        <v>0</v>
      </c>
      <c r="AF506" s="133">
        <v>13.7271</v>
      </c>
      <c r="AG506" s="133">
        <v>197.316</v>
      </c>
    </row>
    <row r="507" spans="1:33" x14ac:dyDescent="0.45">
      <c r="B507" s="130" t="s">
        <v>203</v>
      </c>
      <c r="C507" s="133">
        <v>0</v>
      </c>
      <c r="D507" s="133">
        <v>0</v>
      </c>
      <c r="E507" s="133">
        <v>0</v>
      </c>
      <c r="F507" s="133">
        <v>0</v>
      </c>
      <c r="G507" s="133">
        <v>0</v>
      </c>
      <c r="H507" s="133">
        <v>0</v>
      </c>
      <c r="I507" s="133">
        <v>0</v>
      </c>
      <c r="J507" s="133">
        <v>4.5900000000000003E-2</v>
      </c>
      <c r="K507" s="133">
        <v>0</v>
      </c>
      <c r="L507" s="133">
        <v>0</v>
      </c>
      <c r="M507" s="133">
        <v>0</v>
      </c>
      <c r="N507" s="133">
        <v>0</v>
      </c>
      <c r="O507" s="133">
        <v>0</v>
      </c>
      <c r="P507" s="133">
        <v>0</v>
      </c>
      <c r="Q507" s="133">
        <v>0</v>
      </c>
      <c r="R507" s="133">
        <v>0</v>
      </c>
      <c r="S507" s="133">
        <v>0</v>
      </c>
      <c r="T507" s="133">
        <v>0</v>
      </c>
      <c r="U507" s="133">
        <v>0</v>
      </c>
      <c r="V507" s="133">
        <v>0</v>
      </c>
      <c r="W507" s="133">
        <v>5.688E-2</v>
      </c>
      <c r="X507" s="133">
        <v>0</v>
      </c>
      <c r="Y507" s="133">
        <v>2.4609999999999999</v>
      </c>
      <c r="Z507" s="133">
        <v>0</v>
      </c>
      <c r="AA507" s="133">
        <v>0</v>
      </c>
      <c r="AB507" s="133">
        <v>0</v>
      </c>
      <c r="AC507" s="133">
        <v>0</v>
      </c>
      <c r="AD507" s="133">
        <v>0</v>
      </c>
      <c r="AE507" s="133">
        <v>0</v>
      </c>
      <c r="AF507" s="133">
        <v>0</v>
      </c>
      <c r="AG507" s="133">
        <v>2.5637799999999999</v>
      </c>
    </row>
    <row r="508" spans="1:33" x14ac:dyDescent="0.45">
      <c r="B508" s="130" t="s">
        <v>202</v>
      </c>
      <c r="C508" s="133">
        <v>0</v>
      </c>
      <c r="D508" s="133">
        <v>0</v>
      </c>
      <c r="E508" s="133">
        <v>0</v>
      </c>
      <c r="F508" s="133">
        <v>0</v>
      </c>
      <c r="G508" s="133">
        <v>0</v>
      </c>
      <c r="H508" s="133">
        <v>0</v>
      </c>
      <c r="I508" s="133">
        <v>0</v>
      </c>
      <c r="J508" s="133">
        <v>7.1499999999999994E-2</v>
      </c>
      <c r="K508" s="133">
        <v>0</v>
      </c>
      <c r="L508" s="133">
        <v>0</v>
      </c>
      <c r="M508" s="133">
        <v>0</v>
      </c>
      <c r="N508" s="133">
        <v>0</v>
      </c>
      <c r="O508" s="133">
        <v>0</v>
      </c>
      <c r="P508" s="133">
        <v>0</v>
      </c>
      <c r="Q508" s="133">
        <v>0</v>
      </c>
      <c r="R508" s="133">
        <v>0</v>
      </c>
      <c r="S508" s="133">
        <v>0</v>
      </c>
      <c r="T508" s="133">
        <v>0</v>
      </c>
      <c r="U508" s="133">
        <v>0</v>
      </c>
      <c r="V508" s="133">
        <v>0</v>
      </c>
      <c r="W508" s="133">
        <v>9.69E-2</v>
      </c>
      <c r="X508" s="133">
        <v>0</v>
      </c>
      <c r="Y508" s="133">
        <v>3.46</v>
      </c>
      <c r="Z508" s="133">
        <v>0</v>
      </c>
      <c r="AA508" s="133">
        <v>0.10100000000000001</v>
      </c>
      <c r="AB508" s="133">
        <v>0.20300000000000001</v>
      </c>
      <c r="AC508" s="133">
        <v>0</v>
      </c>
      <c r="AD508" s="133">
        <v>0</v>
      </c>
      <c r="AE508" s="133">
        <v>0</v>
      </c>
      <c r="AF508" s="133">
        <v>0</v>
      </c>
      <c r="AG508" s="133">
        <v>3.9323999999999999</v>
      </c>
    </row>
    <row r="509" spans="1:33" x14ac:dyDescent="0.45">
      <c r="B509" s="130" t="s">
        <v>201</v>
      </c>
      <c r="C509" s="133">
        <v>0</v>
      </c>
      <c r="D509" s="133">
        <v>0</v>
      </c>
      <c r="E509" s="133">
        <v>0</v>
      </c>
      <c r="F509" s="133">
        <v>0</v>
      </c>
      <c r="G509" s="133">
        <v>0</v>
      </c>
      <c r="H509" s="133">
        <v>0</v>
      </c>
      <c r="I509" s="133">
        <v>0</v>
      </c>
      <c r="J509" s="133">
        <v>0.11650000000000001</v>
      </c>
      <c r="K509" s="133">
        <v>0</v>
      </c>
      <c r="L509" s="133">
        <v>0</v>
      </c>
      <c r="M509" s="133">
        <v>0</v>
      </c>
      <c r="N509" s="133">
        <v>0</v>
      </c>
      <c r="O509" s="133">
        <v>0</v>
      </c>
      <c r="P509" s="133">
        <v>0</v>
      </c>
      <c r="Q509" s="133">
        <v>0</v>
      </c>
      <c r="R509" s="133">
        <v>0</v>
      </c>
      <c r="S509" s="133">
        <v>0</v>
      </c>
      <c r="T509" s="133">
        <v>0</v>
      </c>
      <c r="U509" s="133">
        <v>0</v>
      </c>
      <c r="V509" s="133">
        <v>0</v>
      </c>
      <c r="W509" s="133">
        <v>0.10238999999999999</v>
      </c>
      <c r="X509" s="133">
        <v>0</v>
      </c>
      <c r="Y509" s="133">
        <v>4.5170000000000003</v>
      </c>
      <c r="Z509" s="133">
        <v>0</v>
      </c>
      <c r="AA509" s="133">
        <v>1.0999999999999999E-2</v>
      </c>
      <c r="AB509" s="133">
        <v>2.1999999999999999E-2</v>
      </c>
      <c r="AC509" s="133">
        <v>0</v>
      </c>
      <c r="AD509" s="133">
        <v>0</v>
      </c>
      <c r="AE509" s="133">
        <v>0</v>
      </c>
      <c r="AF509" s="133">
        <v>0</v>
      </c>
      <c r="AG509" s="133">
        <v>4.7688900000000007</v>
      </c>
    </row>
    <row r="510" spans="1:33" x14ac:dyDescent="0.45">
      <c r="B510" s="130" t="s">
        <v>199</v>
      </c>
      <c r="C510" s="133">
        <v>0</v>
      </c>
      <c r="D510" s="133">
        <v>0</v>
      </c>
      <c r="E510" s="133">
        <v>0</v>
      </c>
      <c r="F510" s="133">
        <v>0</v>
      </c>
      <c r="G510" s="133">
        <v>0</v>
      </c>
      <c r="H510" s="133">
        <v>0</v>
      </c>
      <c r="I510" s="133">
        <v>0</v>
      </c>
      <c r="J510" s="133">
        <v>3.9100000000000003E-2</v>
      </c>
      <c r="K510" s="133">
        <v>0</v>
      </c>
      <c r="L510" s="133">
        <v>0</v>
      </c>
      <c r="M510" s="133">
        <v>0</v>
      </c>
      <c r="N510" s="133">
        <v>0</v>
      </c>
      <c r="O510" s="133">
        <v>0</v>
      </c>
      <c r="P510" s="133">
        <v>0</v>
      </c>
      <c r="Q510" s="133">
        <v>0</v>
      </c>
      <c r="R510" s="133">
        <v>0</v>
      </c>
      <c r="S510" s="133">
        <v>0</v>
      </c>
      <c r="T510" s="133">
        <v>0</v>
      </c>
      <c r="U510" s="133">
        <v>0</v>
      </c>
      <c r="V510" s="133">
        <v>0</v>
      </c>
      <c r="W510" s="133">
        <v>1.8450000000000001E-2</v>
      </c>
      <c r="X510" s="133">
        <v>0</v>
      </c>
      <c r="Y510" s="133">
        <v>0.71399999999999997</v>
      </c>
      <c r="Z510" s="133">
        <v>0</v>
      </c>
      <c r="AA510" s="133">
        <v>0</v>
      </c>
      <c r="AB510" s="133">
        <v>0</v>
      </c>
      <c r="AC510" s="133">
        <v>0</v>
      </c>
      <c r="AD510" s="133">
        <v>0</v>
      </c>
      <c r="AE510" s="133">
        <v>0</v>
      </c>
      <c r="AF510" s="133">
        <v>0</v>
      </c>
      <c r="AG510" s="133">
        <v>0.77154999999999996</v>
      </c>
    </row>
    <row r="511" spans="1:33" x14ac:dyDescent="0.45">
      <c r="B511" s="130" t="s">
        <v>198</v>
      </c>
      <c r="C511" s="133">
        <v>0</v>
      </c>
      <c r="D511" s="133">
        <v>0</v>
      </c>
      <c r="E511" s="133">
        <v>0</v>
      </c>
      <c r="F511" s="133">
        <v>0</v>
      </c>
      <c r="G511" s="133">
        <v>0</v>
      </c>
      <c r="H511" s="133">
        <v>0</v>
      </c>
      <c r="I511" s="133">
        <v>0</v>
      </c>
      <c r="J511" s="133">
        <v>3.5000000000000003E-2</v>
      </c>
      <c r="K511" s="133">
        <v>0</v>
      </c>
      <c r="L511" s="133">
        <v>0</v>
      </c>
      <c r="M511" s="133">
        <v>0</v>
      </c>
      <c r="N511" s="133">
        <v>0</v>
      </c>
      <c r="O511" s="133">
        <v>0</v>
      </c>
      <c r="P511" s="133">
        <v>0</v>
      </c>
      <c r="Q511" s="133">
        <v>0</v>
      </c>
      <c r="R511" s="133">
        <v>0</v>
      </c>
      <c r="S511" s="133">
        <v>0</v>
      </c>
      <c r="T511" s="133">
        <v>0</v>
      </c>
      <c r="U511" s="133">
        <v>0</v>
      </c>
      <c r="V511" s="133">
        <v>0</v>
      </c>
      <c r="W511" s="133">
        <v>0.27389999999999998</v>
      </c>
      <c r="X511" s="133">
        <v>0</v>
      </c>
      <c r="Y511" s="133">
        <v>0</v>
      </c>
      <c r="Z511" s="133">
        <v>0</v>
      </c>
      <c r="AA511" s="133">
        <v>0</v>
      </c>
      <c r="AB511" s="133">
        <v>0</v>
      </c>
      <c r="AC511" s="133">
        <v>0</v>
      </c>
      <c r="AD511" s="133">
        <v>0</v>
      </c>
      <c r="AE511" s="133">
        <v>0</v>
      </c>
      <c r="AF511" s="133">
        <v>13.7271</v>
      </c>
      <c r="AG511" s="133">
        <v>14.036</v>
      </c>
    </row>
    <row r="512" spans="1:33" x14ac:dyDescent="0.45">
      <c r="B512" s="130" t="s">
        <v>196</v>
      </c>
      <c r="C512" s="133">
        <v>0</v>
      </c>
      <c r="D512" s="133">
        <v>0</v>
      </c>
      <c r="E512" s="133">
        <v>0</v>
      </c>
      <c r="F512" s="133">
        <v>38.714100000000002</v>
      </c>
      <c r="G512" s="133">
        <v>1.8</v>
      </c>
      <c r="H512" s="133">
        <v>0.84099999999999997</v>
      </c>
      <c r="I512" s="133">
        <v>0</v>
      </c>
      <c r="J512" s="133">
        <v>5.4999999999999997E-3</v>
      </c>
      <c r="K512" s="133">
        <v>0</v>
      </c>
      <c r="L512" s="133">
        <v>0</v>
      </c>
      <c r="M512" s="133">
        <v>70.4602</v>
      </c>
      <c r="N512" s="133">
        <v>0</v>
      </c>
      <c r="O512" s="133">
        <v>0</v>
      </c>
      <c r="P512" s="133">
        <v>28.727</v>
      </c>
      <c r="Q512" s="133">
        <v>0.27300000000000002</v>
      </c>
      <c r="R512" s="133">
        <v>0</v>
      </c>
      <c r="S512" s="133">
        <v>25.886700000000001</v>
      </c>
      <c r="T512" s="133">
        <v>0</v>
      </c>
      <c r="U512" s="133">
        <v>0</v>
      </c>
      <c r="V512" s="133">
        <v>0</v>
      </c>
      <c r="W512" s="133">
        <v>4.2088799999999997</v>
      </c>
      <c r="X512" s="133">
        <v>0</v>
      </c>
      <c r="Y512" s="133">
        <v>0</v>
      </c>
      <c r="Z512" s="133">
        <v>0</v>
      </c>
      <c r="AA512" s="133">
        <v>0</v>
      </c>
      <c r="AB512" s="133">
        <v>0</v>
      </c>
      <c r="AC512" s="133">
        <v>0</v>
      </c>
      <c r="AD512" s="133">
        <v>0.32700000000000001</v>
      </c>
      <c r="AE512" s="133">
        <v>0</v>
      </c>
      <c r="AF512" s="133">
        <v>0</v>
      </c>
      <c r="AG512" s="133">
        <v>171.24338</v>
      </c>
    </row>
    <row r="513" spans="1:33" x14ac:dyDescent="0.45">
      <c r="A513" s="134" t="s">
        <v>191</v>
      </c>
      <c r="B513" s="130"/>
      <c r="C513" s="133">
        <v>0</v>
      </c>
      <c r="D513" s="133">
        <v>0</v>
      </c>
      <c r="E513" s="133">
        <v>0</v>
      </c>
      <c r="F513" s="133">
        <v>18.545000000000002</v>
      </c>
      <c r="G513" s="133">
        <v>12.366337999999999</v>
      </c>
      <c r="H513" s="133">
        <v>0</v>
      </c>
      <c r="I513" s="133">
        <v>2E-3</v>
      </c>
      <c r="J513" s="133">
        <v>0.98599999999999999</v>
      </c>
      <c r="K513" s="133">
        <v>0</v>
      </c>
      <c r="L513" s="133">
        <v>0</v>
      </c>
      <c r="M513" s="133">
        <v>33.072000000000003</v>
      </c>
      <c r="N513" s="133">
        <v>0</v>
      </c>
      <c r="O513" s="133">
        <v>81.53</v>
      </c>
      <c r="P513" s="133">
        <v>34.173000000000002</v>
      </c>
      <c r="Q513" s="133">
        <v>25.545999999999999</v>
      </c>
      <c r="R513" s="133">
        <v>24.397000000000002</v>
      </c>
      <c r="S513" s="133">
        <v>47.387</v>
      </c>
      <c r="T513" s="133">
        <v>0</v>
      </c>
      <c r="U513" s="133">
        <v>0</v>
      </c>
      <c r="V513" s="133">
        <v>0.871</v>
      </c>
      <c r="W513" s="133">
        <v>8.0849999999999991</v>
      </c>
      <c r="X513" s="133">
        <v>0</v>
      </c>
      <c r="Y513" s="133">
        <v>8.0094399999999997</v>
      </c>
      <c r="Z513" s="133">
        <v>0</v>
      </c>
      <c r="AA513" s="133">
        <v>1.254</v>
      </c>
      <c r="AB513" s="133">
        <v>8.6180000000000003</v>
      </c>
      <c r="AC513" s="133">
        <v>0</v>
      </c>
      <c r="AD513" s="133">
        <v>0</v>
      </c>
      <c r="AE513" s="133">
        <v>0</v>
      </c>
      <c r="AF513" s="133">
        <v>0</v>
      </c>
      <c r="AG513" s="133">
        <v>304.84177799999998</v>
      </c>
    </row>
    <row r="514" spans="1:33" x14ac:dyDescent="0.45">
      <c r="B514" s="130" t="s">
        <v>195</v>
      </c>
      <c r="C514" s="133">
        <v>0</v>
      </c>
      <c r="D514" s="133">
        <v>0</v>
      </c>
      <c r="E514" s="133">
        <v>0</v>
      </c>
      <c r="F514" s="133">
        <v>7.383</v>
      </c>
      <c r="G514" s="133">
        <v>3.085</v>
      </c>
      <c r="H514" s="133">
        <v>0</v>
      </c>
      <c r="I514" s="133">
        <v>0</v>
      </c>
      <c r="J514" s="133">
        <v>0.114</v>
      </c>
      <c r="K514" s="133">
        <v>0</v>
      </c>
      <c r="L514" s="133">
        <v>0</v>
      </c>
      <c r="M514" s="133">
        <v>31.681000000000001</v>
      </c>
      <c r="N514" s="133">
        <v>0</v>
      </c>
      <c r="O514" s="133">
        <v>0</v>
      </c>
      <c r="P514" s="133">
        <v>16.812000000000001</v>
      </c>
      <c r="Q514" s="133">
        <v>4.9969999999999999</v>
      </c>
      <c r="R514" s="133">
        <v>20.443000000000001</v>
      </c>
      <c r="S514" s="133">
        <v>20.797999999999998</v>
      </c>
      <c r="T514" s="133">
        <v>0</v>
      </c>
      <c r="U514" s="133">
        <v>0</v>
      </c>
      <c r="V514" s="133">
        <v>0.871</v>
      </c>
      <c r="W514" s="133">
        <v>3.3969999999999998</v>
      </c>
      <c r="X514" s="133">
        <v>0</v>
      </c>
      <c r="Y514" s="133">
        <v>6.7350000000000003</v>
      </c>
      <c r="Z514" s="133">
        <v>0</v>
      </c>
      <c r="AA514" s="133">
        <v>1.254</v>
      </c>
      <c r="AB514" s="133">
        <v>8.6180000000000003</v>
      </c>
      <c r="AC514" s="133">
        <v>0</v>
      </c>
      <c r="AD514" s="133">
        <v>0</v>
      </c>
      <c r="AE514" s="133">
        <v>0</v>
      </c>
      <c r="AF514" s="133">
        <v>0</v>
      </c>
      <c r="AG514" s="133">
        <v>126.18799999999999</v>
      </c>
    </row>
    <row r="515" spans="1:33" x14ac:dyDescent="0.45">
      <c r="B515" s="130" t="s">
        <v>193</v>
      </c>
      <c r="C515" s="133">
        <v>0</v>
      </c>
      <c r="D515" s="133">
        <v>0</v>
      </c>
      <c r="E515" s="133">
        <v>0</v>
      </c>
      <c r="F515" s="133">
        <v>0</v>
      </c>
      <c r="G515" s="133">
        <v>1.2210000000000001</v>
      </c>
      <c r="H515" s="133">
        <v>0</v>
      </c>
      <c r="I515" s="133">
        <v>1E-3</v>
      </c>
      <c r="J515" s="133">
        <v>0</v>
      </c>
      <c r="K515" s="133">
        <v>0</v>
      </c>
      <c r="L515" s="133">
        <v>0</v>
      </c>
      <c r="M515" s="133">
        <v>0</v>
      </c>
      <c r="N515" s="133">
        <v>0</v>
      </c>
      <c r="O515" s="133">
        <v>0</v>
      </c>
      <c r="P515" s="133">
        <v>0</v>
      </c>
      <c r="Q515" s="133">
        <v>0</v>
      </c>
      <c r="R515" s="133">
        <v>0</v>
      </c>
      <c r="S515" s="133">
        <v>15.356</v>
      </c>
      <c r="T515" s="133">
        <v>0</v>
      </c>
      <c r="U515" s="133">
        <v>0</v>
      </c>
      <c r="V515" s="133">
        <v>0</v>
      </c>
      <c r="W515" s="133">
        <v>0.34799999999999998</v>
      </c>
      <c r="X515" s="133">
        <v>0</v>
      </c>
      <c r="Y515" s="133">
        <v>0</v>
      </c>
      <c r="Z515" s="133">
        <v>0</v>
      </c>
      <c r="AA515" s="133">
        <v>0</v>
      </c>
      <c r="AB515" s="133">
        <v>0</v>
      </c>
      <c r="AC515" s="133">
        <v>0</v>
      </c>
      <c r="AD515" s="133">
        <v>0</v>
      </c>
      <c r="AE515" s="133">
        <v>0</v>
      </c>
      <c r="AF515" s="133">
        <v>0</v>
      </c>
      <c r="AG515" s="133">
        <v>16.925999999999998</v>
      </c>
    </row>
    <row r="516" spans="1:33" x14ac:dyDescent="0.45">
      <c r="A516" s="126"/>
      <c r="B516" s="129" t="s">
        <v>192</v>
      </c>
      <c r="C516" s="129">
        <v>0</v>
      </c>
      <c r="D516" s="129">
        <v>0</v>
      </c>
      <c r="E516" s="129">
        <v>0</v>
      </c>
      <c r="F516" s="129">
        <v>11.162000000000001</v>
      </c>
      <c r="G516" s="129">
        <v>7.6325599999999998</v>
      </c>
      <c r="H516" s="129">
        <v>0</v>
      </c>
      <c r="I516" s="129">
        <v>1E-3</v>
      </c>
      <c r="J516" s="129">
        <v>0.872</v>
      </c>
      <c r="K516" s="129">
        <v>0</v>
      </c>
      <c r="L516" s="129">
        <v>0</v>
      </c>
      <c r="M516" s="129">
        <v>1.391</v>
      </c>
      <c r="N516" s="129">
        <v>0</v>
      </c>
      <c r="O516" s="129">
        <v>81.53</v>
      </c>
      <c r="P516" s="129">
        <v>17.361000000000001</v>
      </c>
      <c r="Q516" s="129">
        <v>1.34</v>
      </c>
      <c r="R516" s="129">
        <v>3.9540000000000002</v>
      </c>
      <c r="S516" s="129">
        <v>11.233000000000001</v>
      </c>
      <c r="T516" s="129">
        <v>0</v>
      </c>
      <c r="U516" s="129">
        <v>0</v>
      </c>
      <c r="V516" s="129">
        <v>0</v>
      </c>
      <c r="W516" s="129">
        <v>4.2530000000000001</v>
      </c>
      <c r="X516" s="129">
        <v>0</v>
      </c>
      <c r="Y516" s="129">
        <v>0</v>
      </c>
      <c r="Z516" s="129">
        <v>0</v>
      </c>
      <c r="AA516" s="129">
        <v>0</v>
      </c>
      <c r="AB516" s="129">
        <v>0</v>
      </c>
      <c r="AC516" s="129">
        <v>0</v>
      </c>
      <c r="AD516" s="129">
        <v>0</v>
      </c>
      <c r="AE516" s="129">
        <v>0</v>
      </c>
      <c r="AF516" s="129">
        <v>0</v>
      </c>
      <c r="AG516" s="129">
        <v>140.72955999999999</v>
      </c>
    </row>
    <row r="517" spans="1:33" x14ac:dyDescent="0.45">
      <c r="B517" s="130" t="s">
        <v>190</v>
      </c>
      <c r="C517" s="133">
        <v>0</v>
      </c>
      <c r="D517" s="133">
        <v>0</v>
      </c>
      <c r="E517" s="133">
        <v>0</v>
      </c>
      <c r="F517" s="133">
        <v>0</v>
      </c>
      <c r="G517" s="133">
        <v>0.42777799999999999</v>
      </c>
      <c r="H517" s="133">
        <v>0</v>
      </c>
      <c r="I517" s="133">
        <v>0</v>
      </c>
      <c r="J517" s="133">
        <v>0</v>
      </c>
      <c r="K517" s="133">
        <v>0</v>
      </c>
      <c r="L517" s="133">
        <v>0</v>
      </c>
      <c r="M517" s="133">
        <v>0</v>
      </c>
      <c r="N517" s="133">
        <v>0</v>
      </c>
      <c r="O517" s="133">
        <v>0</v>
      </c>
      <c r="P517" s="133">
        <v>0</v>
      </c>
      <c r="Q517" s="133">
        <v>19.209</v>
      </c>
      <c r="R517" s="133">
        <v>0</v>
      </c>
      <c r="S517" s="133">
        <v>0</v>
      </c>
      <c r="T517" s="133">
        <v>0</v>
      </c>
      <c r="U517" s="133">
        <v>0</v>
      </c>
      <c r="V517" s="133">
        <v>0</v>
      </c>
      <c r="W517" s="133">
        <v>8.6999999999999994E-2</v>
      </c>
      <c r="X517" s="133">
        <v>0</v>
      </c>
      <c r="Y517" s="133">
        <v>1.27444</v>
      </c>
      <c r="Z517" s="133">
        <v>0</v>
      </c>
      <c r="AA517" s="133">
        <v>0</v>
      </c>
      <c r="AB517" s="133">
        <v>0</v>
      </c>
      <c r="AC517" s="133">
        <v>0</v>
      </c>
      <c r="AD517" s="133">
        <v>0</v>
      </c>
      <c r="AE517" s="133">
        <v>0</v>
      </c>
      <c r="AF517" s="133">
        <v>0</v>
      </c>
      <c r="AG517" s="133">
        <v>20.998218000000001</v>
      </c>
    </row>
    <row r="518" spans="1:33" x14ac:dyDescent="0.45">
      <c r="A518" s="126" t="s">
        <v>187</v>
      </c>
      <c r="B518" s="129"/>
      <c r="C518" s="129">
        <v>0</v>
      </c>
      <c r="D518" s="129">
        <v>156.16999999999999</v>
      </c>
      <c r="E518" s="129">
        <v>0</v>
      </c>
      <c r="F518" s="129">
        <v>0</v>
      </c>
      <c r="G518" s="129">
        <v>0</v>
      </c>
      <c r="H518" s="129">
        <v>0</v>
      </c>
      <c r="I518" s="129">
        <v>0</v>
      </c>
      <c r="J518" s="129">
        <v>6.4620000000000006</v>
      </c>
      <c r="K518" s="129">
        <v>0</v>
      </c>
      <c r="L518" s="129">
        <v>0</v>
      </c>
      <c r="M518" s="129">
        <v>34.293999999999997</v>
      </c>
      <c r="N518" s="129">
        <v>0</v>
      </c>
      <c r="O518" s="129">
        <v>0</v>
      </c>
      <c r="P518" s="129">
        <v>14.048</v>
      </c>
      <c r="Q518" s="129">
        <v>0</v>
      </c>
      <c r="R518" s="129">
        <v>0</v>
      </c>
      <c r="S518" s="129">
        <v>34.106999999999999</v>
      </c>
      <c r="T518" s="129">
        <v>0</v>
      </c>
      <c r="U518" s="129">
        <v>0</v>
      </c>
      <c r="V518" s="129">
        <v>0</v>
      </c>
      <c r="W518" s="129">
        <v>10.570319999999999</v>
      </c>
      <c r="X518" s="129">
        <v>0</v>
      </c>
      <c r="Y518" s="129">
        <v>0</v>
      </c>
      <c r="Z518" s="129">
        <v>0</v>
      </c>
      <c r="AA518" s="129">
        <v>0</v>
      </c>
      <c r="AB518" s="129">
        <v>0</v>
      </c>
      <c r="AC518" s="129">
        <v>0</v>
      </c>
      <c r="AD518" s="129">
        <v>0</v>
      </c>
      <c r="AE518" s="129">
        <v>0</v>
      </c>
      <c r="AF518" s="129">
        <v>0</v>
      </c>
      <c r="AG518" s="129">
        <v>255.65132</v>
      </c>
    </row>
    <row r="519" spans="1:33" x14ac:dyDescent="0.45">
      <c r="B519" s="130" t="s">
        <v>189</v>
      </c>
      <c r="C519" s="133">
        <v>0</v>
      </c>
      <c r="D519" s="133">
        <v>0</v>
      </c>
      <c r="E519" s="133">
        <v>0</v>
      </c>
      <c r="F519" s="133">
        <v>0</v>
      </c>
      <c r="G519" s="133">
        <v>0</v>
      </c>
      <c r="H519" s="133">
        <v>0</v>
      </c>
      <c r="I519" s="133">
        <v>0</v>
      </c>
      <c r="J519" s="133">
        <v>0.38500000000000001</v>
      </c>
      <c r="K519" s="133">
        <v>0</v>
      </c>
      <c r="L519" s="133">
        <v>0</v>
      </c>
      <c r="M519" s="133">
        <v>0</v>
      </c>
      <c r="N519" s="133">
        <v>0</v>
      </c>
      <c r="O519" s="133">
        <v>0</v>
      </c>
      <c r="P519" s="133">
        <v>0</v>
      </c>
      <c r="Q519" s="133">
        <v>0</v>
      </c>
      <c r="R519" s="133">
        <v>0</v>
      </c>
      <c r="S519" s="133">
        <v>9.4179999999999993</v>
      </c>
      <c r="T519" s="133">
        <v>0</v>
      </c>
      <c r="U519" s="133">
        <v>0</v>
      </c>
      <c r="V519" s="133">
        <v>0</v>
      </c>
      <c r="W519" s="133">
        <v>0.28699999999999998</v>
      </c>
      <c r="X519" s="133">
        <v>0</v>
      </c>
      <c r="Y519" s="133">
        <v>0</v>
      </c>
      <c r="Z519" s="133">
        <v>0</v>
      </c>
      <c r="AA519" s="133">
        <v>0</v>
      </c>
      <c r="AB519" s="133">
        <v>0</v>
      </c>
      <c r="AC519" s="133">
        <v>0</v>
      </c>
      <c r="AD519" s="133">
        <v>0</v>
      </c>
      <c r="AE519" s="133">
        <v>0</v>
      </c>
      <c r="AF519" s="133">
        <v>0</v>
      </c>
      <c r="AG519" s="133">
        <v>10.09</v>
      </c>
    </row>
    <row r="520" spans="1:33" x14ac:dyDescent="0.45">
      <c r="B520" s="130" t="s">
        <v>188</v>
      </c>
      <c r="C520" s="133">
        <v>0</v>
      </c>
      <c r="D520" s="133">
        <v>0</v>
      </c>
      <c r="E520" s="133">
        <v>0</v>
      </c>
      <c r="F520" s="133">
        <v>0</v>
      </c>
      <c r="G520" s="133">
        <v>0</v>
      </c>
      <c r="H520" s="133">
        <v>0</v>
      </c>
      <c r="I520" s="133">
        <v>0</v>
      </c>
      <c r="J520" s="133">
        <v>1.927</v>
      </c>
      <c r="K520" s="133">
        <v>0</v>
      </c>
      <c r="L520" s="133">
        <v>0</v>
      </c>
      <c r="M520" s="133">
        <v>18.289000000000001</v>
      </c>
      <c r="N520" s="133">
        <v>0</v>
      </c>
      <c r="O520" s="133">
        <v>0</v>
      </c>
      <c r="P520" s="133">
        <v>0</v>
      </c>
      <c r="Q520" s="133">
        <v>0</v>
      </c>
      <c r="R520" s="133">
        <v>0</v>
      </c>
      <c r="S520" s="133">
        <v>15.699</v>
      </c>
      <c r="T520" s="133">
        <v>0</v>
      </c>
      <c r="U520" s="133">
        <v>0</v>
      </c>
      <c r="V520" s="133">
        <v>0</v>
      </c>
      <c r="W520" s="133">
        <v>0.82599999999999996</v>
      </c>
      <c r="X520" s="133">
        <v>0</v>
      </c>
      <c r="Y520" s="133">
        <v>0</v>
      </c>
      <c r="Z520" s="133">
        <v>0</v>
      </c>
      <c r="AA520" s="133">
        <v>0</v>
      </c>
      <c r="AB520" s="133">
        <v>0</v>
      </c>
      <c r="AC520" s="133">
        <v>0</v>
      </c>
      <c r="AD520" s="133">
        <v>0</v>
      </c>
      <c r="AE520" s="133">
        <v>0</v>
      </c>
      <c r="AF520" s="133">
        <v>0</v>
      </c>
      <c r="AG520" s="133">
        <v>36.741</v>
      </c>
    </row>
    <row r="521" spans="1:33" x14ac:dyDescent="0.45">
      <c r="B521" s="130" t="s">
        <v>186</v>
      </c>
      <c r="C521" s="133">
        <v>0</v>
      </c>
      <c r="D521" s="133">
        <v>156.16999999999999</v>
      </c>
      <c r="E521" s="133">
        <v>0</v>
      </c>
      <c r="F521" s="133">
        <v>0</v>
      </c>
      <c r="G521" s="133">
        <v>0</v>
      </c>
      <c r="H521" s="133">
        <v>0</v>
      </c>
      <c r="I521" s="133">
        <v>0</v>
      </c>
      <c r="J521" s="133">
        <v>4.1500000000000004</v>
      </c>
      <c r="K521" s="133">
        <v>0</v>
      </c>
      <c r="L521" s="133">
        <v>0</v>
      </c>
      <c r="M521" s="133">
        <v>16.004999999999999</v>
      </c>
      <c r="N521" s="133">
        <v>0</v>
      </c>
      <c r="O521" s="133">
        <v>0</v>
      </c>
      <c r="P521" s="133">
        <v>14.048</v>
      </c>
      <c r="Q521" s="133">
        <v>0</v>
      </c>
      <c r="R521" s="133">
        <v>0</v>
      </c>
      <c r="S521" s="133">
        <v>8.99</v>
      </c>
      <c r="T521" s="133">
        <v>0</v>
      </c>
      <c r="U521" s="133">
        <v>0</v>
      </c>
      <c r="V521" s="133">
        <v>0</v>
      </c>
      <c r="W521" s="133">
        <v>9.4573199999999993</v>
      </c>
      <c r="X521" s="133">
        <v>0</v>
      </c>
      <c r="Y521" s="133">
        <v>0</v>
      </c>
      <c r="Z521" s="133">
        <v>0</v>
      </c>
      <c r="AA521" s="133">
        <v>0</v>
      </c>
      <c r="AB521" s="133">
        <v>0</v>
      </c>
      <c r="AC521" s="133">
        <v>0</v>
      </c>
      <c r="AD521" s="133">
        <v>0</v>
      </c>
      <c r="AE521" s="133">
        <v>0</v>
      </c>
      <c r="AF521" s="133">
        <v>0</v>
      </c>
      <c r="AG521" s="133">
        <v>208.82032000000001</v>
      </c>
    </row>
    <row r="522" spans="1:33" x14ac:dyDescent="0.45">
      <c r="A522" s="134" t="s">
        <v>182</v>
      </c>
      <c r="B522" s="130"/>
      <c r="C522" s="133">
        <v>0</v>
      </c>
      <c r="D522" s="133">
        <v>62.235300000000002</v>
      </c>
      <c r="E522" s="133">
        <v>0</v>
      </c>
      <c r="F522" s="133">
        <v>0</v>
      </c>
      <c r="G522" s="133">
        <v>5.2</v>
      </c>
      <c r="H522" s="133">
        <v>0</v>
      </c>
      <c r="I522" s="133">
        <v>0</v>
      </c>
      <c r="J522" s="133">
        <v>0</v>
      </c>
      <c r="K522" s="133">
        <v>0</v>
      </c>
      <c r="L522" s="133">
        <v>0</v>
      </c>
      <c r="M522" s="133">
        <v>0</v>
      </c>
      <c r="N522" s="133">
        <v>0</v>
      </c>
      <c r="O522" s="133">
        <v>0</v>
      </c>
      <c r="P522" s="133">
        <v>10.6</v>
      </c>
      <c r="Q522" s="133">
        <v>179.1</v>
      </c>
      <c r="R522" s="133">
        <v>0</v>
      </c>
      <c r="S522" s="133">
        <v>0</v>
      </c>
      <c r="T522" s="133">
        <v>0</v>
      </c>
      <c r="U522" s="133">
        <v>0</v>
      </c>
      <c r="V522" s="133">
        <v>0</v>
      </c>
      <c r="W522" s="133">
        <v>4</v>
      </c>
      <c r="X522" s="133">
        <v>0</v>
      </c>
      <c r="Y522" s="133">
        <v>41.7</v>
      </c>
      <c r="Z522" s="133">
        <v>0</v>
      </c>
      <c r="AA522" s="133">
        <v>0</v>
      </c>
      <c r="AB522" s="133">
        <v>0</v>
      </c>
      <c r="AC522" s="133">
        <v>0</v>
      </c>
      <c r="AD522" s="133">
        <v>0</v>
      </c>
      <c r="AE522" s="133">
        <v>0</v>
      </c>
      <c r="AF522" s="133">
        <v>74.7</v>
      </c>
      <c r="AG522" s="133">
        <v>377.53530000000001</v>
      </c>
    </row>
    <row r="523" spans="1:33" x14ac:dyDescent="0.45">
      <c r="B523" s="130" t="s">
        <v>185</v>
      </c>
      <c r="C523" s="133">
        <v>0</v>
      </c>
      <c r="D523" s="133">
        <v>62.235300000000002</v>
      </c>
      <c r="E523" s="133">
        <v>0</v>
      </c>
      <c r="F523" s="133">
        <v>0</v>
      </c>
      <c r="G523" s="133">
        <v>5.2</v>
      </c>
      <c r="H523" s="133">
        <v>0</v>
      </c>
      <c r="I523" s="133">
        <v>0</v>
      </c>
      <c r="J523" s="133">
        <v>0</v>
      </c>
      <c r="K523" s="133">
        <v>0</v>
      </c>
      <c r="L523" s="133">
        <v>0</v>
      </c>
      <c r="M523" s="133">
        <v>0</v>
      </c>
      <c r="N523" s="133">
        <v>0</v>
      </c>
      <c r="O523" s="133">
        <v>0</v>
      </c>
      <c r="P523" s="133">
        <v>10.6</v>
      </c>
      <c r="Q523" s="133">
        <v>179.1</v>
      </c>
      <c r="R523" s="133">
        <v>0</v>
      </c>
      <c r="S523" s="133">
        <v>0</v>
      </c>
      <c r="T523" s="133">
        <v>0</v>
      </c>
      <c r="U523" s="133">
        <v>0</v>
      </c>
      <c r="V523" s="133">
        <v>0</v>
      </c>
      <c r="W523" s="133">
        <v>4</v>
      </c>
      <c r="X523" s="133">
        <v>0</v>
      </c>
      <c r="Y523" s="133">
        <v>41.7</v>
      </c>
      <c r="Z523" s="133">
        <v>0</v>
      </c>
      <c r="AA523" s="133">
        <v>0</v>
      </c>
      <c r="AB523" s="133">
        <v>0</v>
      </c>
      <c r="AC523" s="133">
        <v>0</v>
      </c>
      <c r="AD523" s="133">
        <v>0</v>
      </c>
      <c r="AE523" s="133">
        <v>0</v>
      </c>
      <c r="AF523" s="133">
        <v>74.7</v>
      </c>
      <c r="AG523" s="133">
        <v>377.53530000000001</v>
      </c>
    </row>
    <row r="524" spans="1:33" x14ac:dyDescent="0.45">
      <c r="A524" s="126"/>
      <c r="B524" s="129" t="s">
        <v>184</v>
      </c>
      <c r="C524" s="129">
        <v>0</v>
      </c>
      <c r="D524" s="129">
        <v>0</v>
      </c>
      <c r="E524" s="129">
        <v>0</v>
      </c>
      <c r="F524" s="129">
        <v>0</v>
      </c>
      <c r="G524" s="129">
        <v>0</v>
      </c>
      <c r="H524" s="129">
        <v>0</v>
      </c>
      <c r="I524" s="129">
        <v>0</v>
      </c>
      <c r="J524" s="129">
        <v>0</v>
      </c>
      <c r="K524" s="129">
        <v>0</v>
      </c>
      <c r="L524" s="129">
        <v>0</v>
      </c>
      <c r="M524" s="129">
        <v>0</v>
      </c>
      <c r="N524" s="129">
        <v>0</v>
      </c>
      <c r="O524" s="129">
        <v>0</v>
      </c>
      <c r="P524" s="129">
        <v>0</v>
      </c>
      <c r="Q524" s="129">
        <v>0</v>
      </c>
      <c r="R524" s="129">
        <v>0</v>
      </c>
      <c r="S524" s="129">
        <v>0</v>
      </c>
      <c r="T524" s="129">
        <v>0</v>
      </c>
      <c r="U524" s="129">
        <v>0</v>
      </c>
      <c r="V524" s="129">
        <v>0</v>
      </c>
      <c r="W524" s="129">
        <v>0</v>
      </c>
      <c r="X524" s="129">
        <v>0</v>
      </c>
      <c r="Y524" s="129">
        <v>0</v>
      </c>
      <c r="Z524" s="129">
        <v>0</v>
      </c>
      <c r="AA524" s="129">
        <v>0</v>
      </c>
      <c r="AB524" s="129">
        <v>0</v>
      </c>
      <c r="AC524" s="129">
        <v>0</v>
      </c>
      <c r="AD524" s="129">
        <v>0</v>
      </c>
      <c r="AE524" s="129">
        <v>0</v>
      </c>
      <c r="AF524" s="129">
        <v>0</v>
      </c>
      <c r="AG524" s="129">
        <v>0</v>
      </c>
    </row>
    <row r="525" spans="1:33" x14ac:dyDescent="0.45">
      <c r="B525" s="130" t="s">
        <v>183</v>
      </c>
      <c r="C525" s="133">
        <v>0</v>
      </c>
      <c r="D525" s="133">
        <v>0</v>
      </c>
      <c r="E525" s="133">
        <v>0</v>
      </c>
      <c r="F525" s="133">
        <v>0</v>
      </c>
      <c r="G525" s="133">
        <v>0</v>
      </c>
      <c r="H525" s="133">
        <v>0</v>
      </c>
      <c r="I525" s="133">
        <v>0</v>
      </c>
      <c r="J525" s="133">
        <v>0</v>
      </c>
      <c r="K525" s="133">
        <v>0</v>
      </c>
      <c r="L525" s="133">
        <v>0</v>
      </c>
      <c r="M525" s="133">
        <v>0</v>
      </c>
      <c r="N525" s="133">
        <v>0</v>
      </c>
      <c r="O525" s="133">
        <v>0</v>
      </c>
      <c r="P525" s="133">
        <v>0</v>
      </c>
      <c r="Q525" s="133">
        <v>0</v>
      </c>
      <c r="R525" s="133">
        <v>0</v>
      </c>
      <c r="S525" s="133">
        <v>0</v>
      </c>
      <c r="T525" s="133">
        <v>0</v>
      </c>
      <c r="U525" s="133">
        <v>0</v>
      </c>
      <c r="V525" s="133">
        <v>0</v>
      </c>
      <c r="W525" s="133">
        <v>0</v>
      </c>
      <c r="X525" s="133">
        <v>0</v>
      </c>
      <c r="Y525" s="133">
        <v>0</v>
      </c>
      <c r="Z525" s="133">
        <v>0</v>
      </c>
      <c r="AA525" s="133">
        <v>0</v>
      </c>
      <c r="AB525" s="133">
        <v>0</v>
      </c>
      <c r="AC525" s="133">
        <v>0</v>
      </c>
      <c r="AD525" s="133">
        <v>0</v>
      </c>
      <c r="AE525" s="133">
        <v>0</v>
      </c>
      <c r="AF525" s="133">
        <v>0</v>
      </c>
      <c r="AG525" s="133">
        <v>0</v>
      </c>
    </row>
    <row r="526" spans="1:33" x14ac:dyDescent="0.45">
      <c r="B526" s="130" t="s">
        <v>181</v>
      </c>
      <c r="C526" s="133">
        <v>0</v>
      </c>
      <c r="D526" s="133">
        <v>0</v>
      </c>
      <c r="E526" s="133">
        <v>0</v>
      </c>
      <c r="F526" s="133">
        <v>0</v>
      </c>
      <c r="G526" s="133">
        <v>0</v>
      </c>
      <c r="H526" s="133">
        <v>0</v>
      </c>
      <c r="I526" s="133">
        <v>0</v>
      </c>
      <c r="J526" s="133">
        <v>0</v>
      </c>
      <c r="K526" s="133">
        <v>0</v>
      </c>
      <c r="L526" s="133">
        <v>0</v>
      </c>
      <c r="M526" s="133">
        <v>0</v>
      </c>
      <c r="N526" s="133">
        <v>0</v>
      </c>
      <c r="O526" s="133">
        <v>0</v>
      </c>
      <c r="P526" s="133">
        <v>0</v>
      </c>
      <c r="Q526" s="133">
        <v>0</v>
      </c>
      <c r="R526" s="133">
        <v>0</v>
      </c>
      <c r="S526" s="133">
        <v>0</v>
      </c>
      <c r="T526" s="133">
        <v>0</v>
      </c>
      <c r="U526" s="133">
        <v>0</v>
      </c>
      <c r="V526" s="133">
        <v>0</v>
      </c>
      <c r="W526" s="133">
        <v>0</v>
      </c>
      <c r="X526" s="133">
        <v>0</v>
      </c>
      <c r="Y526" s="133">
        <v>0</v>
      </c>
      <c r="Z526" s="133">
        <v>0</v>
      </c>
      <c r="AA526" s="133">
        <v>0</v>
      </c>
      <c r="AB526" s="133">
        <v>0</v>
      </c>
      <c r="AC526" s="133">
        <v>0</v>
      </c>
      <c r="AD526" s="133">
        <v>0</v>
      </c>
      <c r="AE526" s="133">
        <v>0</v>
      </c>
      <c r="AF526" s="133">
        <v>0</v>
      </c>
      <c r="AG526" s="133">
        <v>0</v>
      </c>
    </row>
    <row r="527" spans="1:33" x14ac:dyDescent="0.45">
      <c r="A527" s="134" t="s">
        <v>175</v>
      </c>
      <c r="B527" s="130"/>
      <c r="C527" s="133">
        <v>0</v>
      </c>
      <c r="D527" s="133">
        <v>0</v>
      </c>
      <c r="E527" s="133">
        <v>0</v>
      </c>
      <c r="F527" s="133">
        <v>56.307899999999997</v>
      </c>
      <c r="G527" s="133">
        <v>2.9200000000000004</v>
      </c>
      <c r="H527" s="133">
        <v>0</v>
      </c>
      <c r="I527" s="133">
        <v>0</v>
      </c>
      <c r="J527" s="133">
        <v>0.68101100000000003</v>
      </c>
      <c r="K527" s="133">
        <v>0</v>
      </c>
      <c r="L527" s="133">
        <v>0</v>
      </c>
      <c r="M527" s="133">
        <v>212.048</v>
      </c>
      <c r="N527" s="133">
        <v>0</v>
      </c>
      <c r="O527" s="133">
        <v>22.475999999999999</v>
      </c>
      <c r="P527" s="133">
        <v>67.3</v>
      </c>
      <c r="Q527" s="133">
        <v>0.5</v>
      </c>
      <c r="R527" s="133">
        <v>51.218899999999998</v>
      </c>
      <c r="S527" s="133">
        <v>110.1618</v>
      </c>
      <c r="T527" s="133">
        <v>0</v>
      </c>
      <c r="U527" s="133">
        <v>0</v>
      </c>
      <c r="V527" s="133">
        <v>25.1846</v>
      </c>
      <c r="W527" s="133">
        <v>16.396699999999999</v>
      </c>
      <c r="X527" s="133">
        <v>0</v>
      </c>
      <c r="Y527" s="133">
        <v>7.3710000000000004</v>
      </c>
      <c r="Z527" s="133">
        <v>0</v>
      </c>
      <c r="AA527" s="133">
        <v>0</v>
      </c>
      <c r="AB527" s="133">
        <v>0</v>
      </c>
      <c r="AC527" s="133">
        <v>0</v>
      </c>
      <c r="AD527" s="133">
        <v>0</v>
      </c>
      <c r="AE527" s="133">
        <v>0</v>
      </c>
      <c r="AF527" s="133">
        <v>0</v>
      </c>
      <c r="AG527" s="133">
        <v>572.56591100000014</v>
      </c>
    </row>
    <row r="528" spans="1:33" x14ac:dyDescent="0.45">
      <c r="B528" s="130" t="s">
        <v>180</v>
      </c>
      <c r="C528" s="133">
        <v>0</v>
      </c>
      <c r="D528" s="133">
        <v>0</v>
      </c>
      <c r="E528" s="133">
        <v>0</v>
      </c>
      <c r="F528" s="133">
        <v>0</v>
      </c>
      <c r="G528" s="133">
        <v>0.88600000000000001</v>
      </c>
      <c r="H528" s="133">
        <v>0</v>
      </c>
      <c r="I528" s="133">
        <v>0</v>
      </c>
      <c r="J528" s="133">
        <v>0</v>
      </c>
      <c r="K528" s="133">
        <v>0</v>
      </c>
      <c r="L528" s="133">
        <v>0</v>
      </c>
      <c r="M528" s="133">
        <v>0</v>
      </c>
      <c r="N528" s="133">
        <v>0</v>
      </c>
      <c r="O528" s="133">
        <v>0</v>
      </c>
      <c r="P528" s="133">
        <v>0</v>
      </c>
      <c r="Q528" s="133">
        <v>0</v>
      </c>
      <c r="R528" s="133">
        <v>0</v>
      </c>
      <c r="S528" s="133">
        <v>13.518000000000001</v>
      </c>
      <c r="T528" s="133">
        <v>0</v>
      </c>
      <c r="U528" s="133">
        <v>0</v>
      </c>
      <c r="V528" s="133">
        <v>0</v>
      </c>
      <c r="W528" s="133">
        <v>0.26</v>
      </c>
      <c r="X528" s="133">
        <v>0</v>
      </c>
      <c r="Y528" s="133">
        <v>4.0330000000000004</v>
      </c>
      <c r="Z528" s="133">
        <v>0</v>
      </c>
      <c r="AA528" s="133">
        <v>0</v>
      </c>
      <c r="AB528" s="133">
        <v>0</v>
      </c>
      <c r="AC528" s="133">
        <v>0</v>
      </c>
      <c r="AD528" s="133">
        <v>0</v>
      </c>
      <c r="AE528" s="133">
        <v>0</v>
      </c>
      <c r="AF528" s="133">
        <v>0</v>
      </c>
      <c r="AG528" s="133">
        <v>18.697000000000003</v>
      </c>
    </row>
    <row r="529" spans="1:33" x14ac:dyDescent="0.45">
      <c r="A529" s="126"/>
      <c r="B529" s="129" t="s">
        <v>179</v>
      </c>
      <c r="C529" s="129">
        <v>0</v>
      </c>
      <c r="D529" s="129">
        <v>0</v>
      </c>
      <c r="E529" s="129">
        <v>0</v>
      </c>
      <c r="F529" s="129">
        <v>0</v>
      </c>
      <c r="G529" s="129">
        <v>0.98</v>
      </c>
      <c r="H529" s="129">
        <v>0</v>
      </c>
      <c r="I529" s="129">
        <v>0</v>
      </c>
      <c r="J529" s="129">
        <v>0</v>
      </c>
      <c r="K529" s="129">
        <v>0</v>
      </c>
      <c r="L529" s="129">
        <v>0</v>
      </c>
      <c r="M529" s="129">
        <v>0</v>
      </c>
      <c r="N529" s="129">
        <v>0</v>
      </c>
      <c r="O529" s="129">
        <v>0</v>
      </c>
      <c r="P529" s="129">
        <v>0</v>
      </c>
      <c r="Q529" s="129">
        <v>0</v>
      </c>
      <c r="R529" s="129">
        <v>0</v>
      </c>
      <c r="S529" s="129">
        <v>6.8650000000000002</v>
      </c>
      <c r="T529" s="129">
        <v>0</v>
      </c>
      <c r="U529" s="129">
        <v>0</v>
      </c>
      <c r="V529" s="129">
        <v>0</v>
      </c>
      <c r="W529" s="129">
        <v>0.2</v>
      </c>
      <c r="X529" s="129">
        <v>0</v>
      </c>
      <c r="Y529" s="129">
        <v>3.3380000000000001</v>
      </c>
      <c r="Z529" s="129">
        <v>0</v>
      </c>
      <c r="AA529" s="129">
        <v>0</v>
      </c>
      <c r="AB529" s="129">
        <v>0</v>
      </c>
      <c r="AC529" s="129">
        <v>0</v>
      </c>
      <c r="AD529" s="129">
        <v>0</v>
      </c>
      <c r="AE529" s="129">
        <v>0</v>
      </c>
      <c r="AF529" s="129">
        <v>0</v>
      </c>
      <c r="AG529" s="129">
        <v>11.382999999999999</v>
      </c>
    </row>
    <row r="530" spans="1:33" x14ac:dyDescent="0.45">
      <c r="B530" s="130" t="s">
        <v>178</v>
      </c>
      <c r="C530" s="133">
        <v>0</v>
      </c>
      <c r="D530" s="133">
        <v>0</v>
      </c>
      <c r="E530" s="133">
        <v>0</v>
      </c>
      <c r="F530" s="133">
        <v>0</v>
      </c>
      <c r="G530" s="133">
        <v>0.95399999999999996</v>
      </c>
      <c r="H530" s="133">
        <v>0</v>
      </c>
      <c r="I530" s="133">
        <v>0</v>
      </c>
      <c r="J530" s="133">
        <v>0</v>
      </c>
      <c r="K530" s="133">
        <v>0</v>
      </c>
      <c r="L530" s="133">
        <v>0</v>
      </c>
      <c r="M530" s="133">
        <v>0</v>
      </c>
      <c r="N530" s="133">
        <v>0</v>
      </c>
      <c r="O530" s="133">
        <v>0</v>
      </c>
      <c r="P530" s="133">
        <v>0</v>
      </c>
      <c r="Q530" s="133">
        <v>0</v>
      </c>
      <c r="R530" s="133">
        <v>0</v>
      </c>
      <c r="S530" s="133">
        <v>13.128</v>
      </c>
      <c r="T530" s="133">
        <v>0</v>
      </c>
      <c r="U530" s="133">
        <v>0</v>
      </c>
      <c r="V530" s="133">
        <v>0</v>
      </c>
      <c r="W530" s="133">
        <v>0.19</v>
      </c>
      <c r="X530" s="133">
        <v>0</v>
      </c>
      <c r="Y530" s="133">
        <v>0</v>
      </c>
      <c r="Z530" s="133">
        <v>0</v>
      </c>
      <c r="AA530" s="133">
        <v>0</v>
      </c>
      <c r="AB530" s="133">
        <v>0</v>
      </c>
      <c r="AC530" s="133">
        <v>0</v>
      </c>
      <c r="AD530" s="133">
        <v>0</v>
      </c>
      <c r="AE530" s="133">
        <v>0</v>
      </c>
      <c r="AF530" s="133">
        <v>0</v>
      </c>
      <c r="AG530" s="133">
        <v>14.272</v>
      </c>
    </row>
    <row r="531" spans="1:33" x14ac:dyDescent="0.45">
      <c r="A531" s="126"/>
      <c r="B531" s="129" t="s">
        <v>177</v>
      </c>
      <c r="C531" s="129">
        <v>0</v>
      </c>
      <c r="D531" s="129">
        <v>0</v>
      </c>
      <c r="E531" s="129">
        <v>0</v>
      </c>
      <c r="F531" s="129">
        <v>0</v>
      </c>
      <c r="G531" s="129">
        <v>0</v>
      </c>
      <c r="H531" s="129">
        <v>0</v>
      </c>
      <c r="I531" s="129">
        <v>0</v>
      </c>
      <c r="J531" s="129">
        <v>0</v>
      </c>
      <c r="K531" s="129">
        <v>0</v>
      </c>
      <c r="L531" s="129">
        <v>0</v>
      </c>
      <c r="M531" s="129">
        <v>0</v>
      </c>
      <c r="N531" s="129">
        <v>0</v>
      </c>
      <c r="O531" s="129">
        <v>0</v>
      </c>
      <c r="P531" s="129">
        <v>0</v>
      </c>
      <c r="Q531" s="129">
        <v>0</v>
      </c>
      <c r="R531" s="129">
        <v>0</v>
      </c>
      <c r="S531" s="129">
        <v>12.7</v>
      </c>
      <c r="T531" s="129">
        <v>0</v>
      </c>
      <c r="U531" s="129">
        <v>0</v>
      </c>
      <c r="V531" s="129">
        <v>0</v>
      </c>
      <c r="W531" s="129">
        <v>1.6</v>
      </c>
      <c r="X531" s="129">
        <v>0</v>
      </c>
      <c r="Y531" s="129">
        <v>0</v>
      </c>
      <c r="Z531" s="129">
        <v>0</v>
      </c>
      <c r="AA531" s="129">
        <v>0</v>
      </c>
      <c r="AB531" s="129">
        <v>0</v>
      </c>
      <c r="AC531" s="129">
        <v>0</v>
      </c>
      <c r="AD531" s="129">
        <v>0</v>
      </c>
      <c r="AE531" s="129">
        <v>0</v>
      </c>
      <c r="AF531" s="129">
        <v>0</v>
      </c>
      <c r="AG531" s="129">
        <v>14.299999999999999</v>
      </c>
    </row>
    <row r="532" spans="1:33" x14ac:dyDescent="0.45">
      <c r="B532" s="130" t="s">
        <v>174</v>
      </c>
      <c r="C532" s="133">
        <v>0</v>
      </c>
      <c r="D532" s="133">
        <v>0</v>
      </c>
      <c r="E532" s="133">
        <v>0</v>
      </c>
      <c r="F532" s="133">
        <v>56.307899999999997</v>
      </c>
      <c r="G532" s="133">
        <v>0.1</v>
      </c>
      <c r="H532" s="133">
        <v>0</v>
      </c>
      <c r="I532" s="133">
        <v>0</v>
      </c>
      <c r="J532" s="133">
        <v>0.68101100000000003</v>
      </c>
      <c r="K532" s="133">
        <v>0</v>
      </c>
      <c r="L532" s="133">
        <v>0</v>
      </c>
      <c r="M532" s="133">
        <v>212.048</v>
      </c>
      <c r="N532" s="133">
        <v>0</v>
      </c>
      <c r="O532" s="133">
        <v>22.475999999999999</v>
      </c>
      <c r="P532" s="133">
        <v>67.3</v>
      </c>
      <c r="Q532" s="133">
        <v>0.5</v>
      </c>
      <c r="R532" s="133">
        <v>51.218899999999998</v>
      </c>
      <c r="S532" s="133">
        <v>63.950800000000001</v>
      </c>
      <c r="T532" s="133">
        <v>0</v>
      </c>
      <c r="U532" s="133">
        <v>0</v>
      </c>
      <c r="V532" s="133">
        <v>25.1846</v>
      </c>
      <c r="W532" s="133">
        <v>14.146699999999999</v>
      </c>
      <c r="X532" s="133">
        <v>0</v>
      </c>
      <c r="Y532" s="133">
        <v>0</v>
      </c>
      <c r="Z532" s="133">
        <v>0</v>
      </c>
      <c r="AA532" s="133">
        <v>0</v>
      </c>
      <c r="AB532" s="133">
        <v>0</v>
      </c>
      <c r="AC532" s="133">
        <v>0</v>
      </c>
      <c r="AD532" s="133">
        <v>0</v>
      </c>
      <c r="AE532" s="133">
        <v>0</v>
      </c>
      <c r="AF532" s="133">
        <v>0</v>
      </c>
      <c r="AG532" s="133">
        <v>513.9139110000001</v>
      </c>
    </row>
    <row r="533" spans="1:33" x14ac:dyDescent="0.45">
      <c r="A533" s="134" t="s">
        <v>172</v>
      </c>
      <c r="B533" s="130"/>
      <c r="C533" s="133">
        <v>0</v>
      </c>
      <c r="D533" s="133">
        <v>0</v>
      </c>
      <c r="E533" s="133">
        <v>0</v>
      </c>
      <c r="F533" s="133">
        <v>11.938000000000001</v>
      </c>
      <c r="G533" s="133">
        <v>6.3259999999999996</v>
      </c>
      <c r="H533" s="133">
        <v>3.1030000000000002</v>
      </c>
      <c r="I533" s="133">
        <v>0</v>
      </c>
      <c r="J533" s="133">
        <v>1.1910000000000001</v>
      </c>
      <c r="K533" s="133">
        <v>0</v>
      </c>
      <c r="L533" s="133">
        <v>0</v>
      </c>
      <c r="M533" s="133">
        <v>102.946</v>
      </c>
      <c r="N533" s="133">
        <v>0</v>
      </c>
      <c r="O533" s="133">
        <v>19.533999999999999</v>
      </c>
      <c r="P533" s="133">
        <v>21.082999999999998</v>
      </c>
      <c r="Q533" s="133">
        <v>0</v>
      </c>
      <c r="R533" s="133">
        <v>0</v>
      </c>
      <c r="S533" s="133">
        <v>0</v>
      </c>
      <c r="T533" s="133">
        <v>0</v>
      </c>
      <c r="U533" s="133">
        <v>0</v>
      </c>
      <c r="V533" s="133">
        <v>0</v>
      </c>
      <c r="W533" s="133">
        <v>3.617</v>
      </c>
      <c r="X533" s="133">
        <v>0</v>
      </c>
      <c r="Y533" s="133">
        <v>3.9649999999999999</v>
      </c>
      <c r="Z533" s="133">
        <v>0</v>
      </c>
      <c r="AA533" s="133">
        <v>0</v>
      </c>
      <c r="AB533" s="133">
        <v>0</v>
      </c>
      <c r="AC533" s="133">
        <v>0</v>
      </c>
      <c r="AD533" s="133">
        <v>0</v>
      </c>
      <c r="AE533" s="133">
        <v>0</v>
      </c>
      <c r="AF533" s="133">
        <v>5.42</v>
      </c>
      <c r="AG533" s="133">
        <v>179.12299999999996</v>
      </c>
    </row>
    <row r="534" spans="1:33" x14ac:dyDescent="0.45">
      <c r="B534" s="130" t="s">
        <v>171</v>
      </c>
      <c r="C534" s="133">
        <v>0</v>
      </c>
      <c r="D534" s="133">
        <v>0</v>
      </c>
      <c r="E534" s="133">
        <v>0</v>
      </c>
      <c r="F534" s="133">
        <v>11.938000000000001</v>
      </c>
      <c r="G534" s="133">
        <v>6.3259999999999996</v>
      </c>
      <c r="H534" s="133">
        <v>3.1030000000000002</v>
      </c>
      <c r="I534" s="133">
        <v>0</v>
      </c>
      <c r="J534" s="133">
        <v>1.1910000000000001</v>
      </c>
      <c r="K534" s="133">
        <v>0</v>
      </c>
      <c r="L534" s="133">
        <v>0</v>
      </c>
      <c r="M534" s="133">
        <v>102.946</v>
      </c>
      <c r="N534" s="133">
        <v>0</v>
      </c>
      <c r="O534" s="133">
        <v>19.533999999999999</v>
      </c>
      <c r="P534" s="133">
        <v>21.082999999999998</v>
      </c>
      <c r="Q534" s="133">
        <v>0</v>
      </c>
      <c r="R534" s="133">
        <v>0</v>
      </c>
      <c r="S534" s="133">
        <v>0</v>
      </c>
      <c r="T534" s="133">
        <v>0</v>
      </c>
      <c r="U534" s="133">
        <v>0</v>
      </c>
      <c r="V534" s="133">
        <v>0</v>
      </c>
      <c r="W534" s="133">
        <v>3.617</v>
      </c>
      <c r="X534" s="133">
        <v>0</v>
      </c>
      <c r="Y534" s="133">
        <v>3.9649999999999999</v>
      </c>
      <c r="Z534" s="133">
        <v>0</v>
      </c>
      <c r="AA534" s="133">
        <v>0</v>
      </c>
      <c r="AB534" s="133">
        <v>0</v>
      </c>
      <c r="AC534" s="133">
        <v>0</v>
      </c>
      <c r="AD534" s="133">
        <v>0</v>
      </c>
      <c r="AE534" s="133">
        <v>0</v>
      </c>
      <c r="AF534" s="133">
        <v>5.42</v>
      </c>
      <c r="AG534" s="133">
        <v>179.12299999999996</v>
      </c>
    </row>
    <row r="535" spans="1:33" x14ac:dyDescent="0.45">
      <c r="A535" s="134" t="s">
        <v>169</v>
      </c>
      <c r="B535" s="130"/>
      <c r="C535" s="133">
        <v>0</v>
      </c>
      <c r="D535" s="133">
        <v>0</v>
      </c>
      <c r="E535" s="133">
        <v>0</v>
      </c>
      <c r="F535" s="133">
        <v>0.627</v>
      </c>
      <c r="G535" s="133">
        <v>0</v>
      </c>
      <c r="H535" s="133">
        <v>0</v>
      </c>
      <c r="I535" s="133">
        <v>0</v>
      </c>
      <c r="J535" s="133">
        <v>0.13</v>
      </c>
      <c r="K535" s="133">
        <v>0</v>
      </c>
      <c r="L535" s="133">
        <v>0</v>
      </c>
      <c r="M535" s="133">
        <v>0</v>
      </c>
      <c r="N535" s="133">
        <v>0</v>
      </c>
      <c r="O535" s="133">
        <v>0</v>
      </c>
      <c r="P535" s="133">
        <v>0.26600000000000001</v>
      </c>
      <c r="Q535" s="133">
        <v>18.989999999999998</v>
      </c>
      <c r="R535" s="133">
        <v>0</v>
      </c>
      <c r="S535" s="133">
        <v>6.5410000000000004</v>
      </c>
      <c r="T535" s="133">
        <v>0</v>
      </c>
      <c r="U535" s="133">
        <v>0</v>
      </c>
      <c r="V535" s="133">
        <v>0</v>
      </c>
      <c r="W535" s="133">
        <v>0.60699999999999998</v>
      </c>
      <c r="X535" s="133">
        <v>0</v>
      </c>
      <c r="Y535" s="133">
        <v>8.645999999999999</v>
      </c>
      <c r="Z535" s="133">
        <v>0</v>
      </c>
      <c r="AA535" s="133">
        <v>0</v>
      </c>
      <c r="AB535" s="133">
        <v>0</v>
      </c>
      <c r="AC535" s="133">
        <v>0</v>
      </c>
      <c r="AD535" s="133">
        <v>0</v>
      </c>
      <c r="AE535" s="133">
        <v>0</v>
      </c>
      <c r="AF535" s="133">
        <v>0.38300000000000001</v>
      </c>
      <c r="AG535" s="133">
        <v>36.19</v>
      </c>
    </row>
    <row r="536" spans="1:33" x14ac:dyDescent="0.45">
      <c r="A536" s="126"/>
      <c r="B536" s="129" t="s">
        <v>170</v>
      </c>
      <c r="C536" s="129">
        <v>0</v>
      </c>
      <c r="D536" s="129">
        <v>0</v>
      </c>
      <c r="E536" s="129">
        <v>0</v>
      </c>
      <c r="F536" s="129">
        <v>0</v>
      </c>
      <c r="G536" s="129">
        <v>0</v>
      </c>
      <c r="H536" s="129">
        <v>0</v>
      </c>
      <c r="I536" s="129">
        <v>0</v>
      </c>
      <c r="J536" s="129">
        <v>7.4999999999999997E-2</v>
      </c>
      <c r="K536" s="129">
        <v>0</v>
      </c>
      <c r="L536" s="129">
        <v>0</v>
      </c>
      <c r="M536" s="129">
        <v>0</v>
      </c>
      <c r="N536" s="129">
        <v>0</v>
      </c>
      <c r="O536" s="129">
        <v>0</v>
      </c>
      <c r="P536" s="129">
        <v>0</v>
      </c>
      <c r="Q536" s="129">
        <v>0</v>
      </c>
      <c r="R536" s="129">
        <v>0</v>
      </c>
      <c r="S536" s="129">
        <v>0</v>
      </c>
      <c r="T536" s="129">
        <v>0</v>
      </c>
      <c r="U536" s="129">
        <v>0</v>
      </c>
      <c r="V536" s="129">
        <v>0</v>
      </c>
      <c r="W536" s="129">
        <v>0.124</v>
      </c>
      <c r="X536" s="129">
        <v>0</v>
      </c>
      <c r="Y536" s="129">
        <v>7.7249999999999996</v>
      </c>
      <c r="Z536" s="129">
        <v>0</v>
      </c>
      <c r="AA536" s="129">
        <v>0</v>
      </c>
      <c r="AB536" s="129">
        <v>0</v>
      </c>
      <c r="AC536" s="129">
        <v>0</v>
      </c>
      <c r="AD536" s="129">
        <v>0</v>
      </c>
      <c r="AE536" s="129">
        <v>0</v>
      </c>
      <c r="AF536" s="129">
        <v>0</v>
      </c>
      <c r="AG536" s="129">
        <v>7.9239999999999995</v>
      </c>
    </row>
    <row r="537" spans="1:33" x14ac:dyDescent="0.45">
      <c r="B537" s="130" t="s">
        <v>168</v>
      </c>
      <c r="C537" s="133">
        <v>0</v>
      </c>
      <c r="D537" s="133">
        <v>0</v>
      </c>
      <c r="E537" s="133">
        <v>0</v>
      </c>
      <c r="F537" s="133">
        <v>0.627</v>
      </c>
      <c r="G537" s="133">
        <v>0</v>
      </c>
      <c r="H537" s="133">
        <v>0</v>
      </c>
      <c r="I537" s="133">
        <v>0</v>
      </c>
      <c r="J537" s="133">
        <v>5.5E-2</v>
      </c>
      <c r="K537" s="133">
        <v>0</v>
      </c>
      <c r="L537" s="133">
        <v>0</v>
      </c>
      <c r="M537" s="133">
        <v>0</v>
      </c>
      <c r="N537" s="133">
        <v>0</v>
      </c>
      <c r="O537" s="133">
        <v>0</v>
      </c>
      <c r="P537" s="133">
        <v>0.26600000000000001</v>
      </c>
      <c r="Q537" s="133">
        <v>18.989999999999998</v>
      </c>
      <c r="R537" s="133">
        <v>0</v>
      </c>
      <c r="S537" s="133">
        <v>6.5410000000000004</v>
      </c>
      <c r="T537" s="133">
        <v>0</v>
      </c>
      <c r="U537" s="133">
        <v>0</v>
      </c>
      <c r="V537" s="133">
        <v>0</v>
      </c>
      <c r="W537" s="133">
        <v>0.48299999999999998</v>
      </c>
      <c r="X537" s="133">
        <v>0</v>
      </c>
      <c r="Y537" s="133">
        <v>0.92100000000000004</v>
      </c>
      <c r="Z537" s="133">
        <v>0</v>
      </c>
      <c r="AA537" s="133">
        <v>0</v>
      </c>
      <c r="AB537" s="133">
        <v>0</v>
      </c>
      <c r="AC537" s="133">
        <v>0</v>
      </c>
      <c r="AD537" s="133">
        <v>0</v>
      </c>
      <c r="AE537" s="133">
        <v>0</v>
      </c>
      <c r="AF537" s="133">
        <v>0.38300000000000001</v>
      </c>
      <c r="AG537" s="133">
        <v>28.265999999999998</v>
      </c>
    </row>
    <row r="538" spans="1:33" x14ac:dyDescent="0.45">
      <c r="A538" s="126" t="s">
        <v>167</v>
      </c>
      <c r="B538" s="129"/>
      <c r="C538" s="129">
        <v>0</v>
      </c>
      <c r="D538" s="129">
        <v>0</v>
      </c>
      <c r="E538" s="129">
        <v>0</v>
      </c>
      <c r="F538" s="129">
        <v>0</v>
      </c>
      <c r="G538" s="129">
        <v>0</v>
      </c>
      <c r="H538" s="129">
        <v>0</v>
      </c>
      <c r="I538" s="129">
        <v>0</v>
      </c>
      <c r="J538" s="129">
        <v>0</v>
      </c>
      <c r="K538" s="129">
        <v>0</v>
      </c>
      <c r="L538" s="129">
        <v>0</v>
      </c>
      <c r="M538" s="129">
        <v>0</v>
      </c>
      <c r="N538" s="129">
        <v>0</v>
      </c>
      <c r="O538" s="129">
        <v>0</v>
      </c>
      <c r="P538" s="129">
        <v>0</v>
      </c>
      <c r="Q538" s="129">
        <v>0</v>
      </c>
      <c r="R538" s="129">
        <v>0</v>
      </c>
      <c r="S538" s="129">
        <v>0</v>
      </c>
      <c r="T538" s="129">
        <v>0</v>
      </c>
      <c r="U538" s="129">
        <v>0</v>
      </c>
      <c r="V538" s="129">
        <v>0</v>
      </c>
      <c r="W538" s="129">
        <v>0</v>
      </c>
      <c r="X538" s="129">
        <v>0</v>
      </c>
      <c r="Y538" s="129">
        <v>0</v>
      </c>
      <c r="Z538" s="129">
        <v>0</v>
      </c>
      <c r="AA538" s="129">
        <v>0</v>
      </c>
      <c r="AB538" s="129">
        <v>0</v>
      </c>
      <c r="AC538" s="129">
        <v>0</v>
      </c>
      <c r="AD538" s="129">
        <v>0</v>
      </c>
      <c r="AE538" s="129">
        <v>0</v>
      </c>
      <c r="AF538" s="129">
        <v>0</v>
      </c>
      <c r="AG538" s="129">
        <v>0</v>
      </c>
    </row>
    <row r="539" spans="1:33" x14ac:dyDescent="0.45">
      <c r="B539" s="130" t="s">
        <v>136</v>
      </c>
      <c r="C539" s="133">
        <v>0</v>
      </c>
      <c r="D539" s="133">
        <v>0</v>
      </c>
      <c r="E539" s="133">
        <v>0</v>
      </c>
      <c r="F539" s="133">
        <v>0</v>
      </c>
      <c r="G539" s="133">
        <v>0</v>
      </c>
      <c r="H539" s="133">
        <v>0</v>
      </c>
      <c r="I539" s="133">
        <v>0</v>
      </c>
      <c r="J539" s="133">
        <v>0</v>
      </c>
      <c r="K539" s="133">
        <v>0</v>
      </c>
      <c r="L539" s="133">
        <v>0</v>
      </c>
      <c r="M539" s="133">
        <v>0</v>
      </c>
      <c r="N539" s="133">
        <v>0</v>
      </c>
      <c r="O539" s="133">
        <v>0</v>
      </c>
      <c r="P539" s="133">
        <v>0</v>
      </c>
      <c r="Q539" s="133">
        <v>0</v>
      </c>
      <c r="R539" s="133">
        <v>0</v>
      </c>
      <c r="S539" s="133">
        <v>0</v>
      </c>
      <c r="T539" s="133">
        <v>0</v>
      </c>
      <c r="U539" s="133">
        <v>0</v>
      </c>
      <c r="V539" s="133">
        <v>0</v>
      </c>
      <c r="W539" s="133">
        <v>0</v>
      </c>
      <c r="X539" s="133">
        <v>0</v>
      </c>
      <c r="Y539" s="133">
        <v>0</v>
      </c>
      <c r="Z539" s="133">
        <v>0</v>
      </c>
      <c r="AA539" s="133">
        <v>0</v>
      </c>
      <c r="AB539" s="133">
        <v>0</v>
      </c>
      <c r="AC539" s="133">
        <v>0</v>
      </c>
      <c r="AD539" s="133">
        <v>0</v>
      </c>
      <c r="AE539" s="133">
        <v>0</v>
      </c>
      <c r="AF539" s="133">
        <v>0</v>
      </c>
      <c r="AG539" s="133">
        <v>0</v>
      </c>
    </row>
    <row r="540" spans="1:33" x14ac:dyDescent="0.45">
      <c r="A540" s="126" t="s">
        <v>162</v>
      </c>
      <c r="B540" s="129"/>
      <c r="C540" s="129">
        <v>0</v>
      </c>
      <c r="D540" s="129">
        <v>275.65000000000003</v>
      </c>
      <c r="E540" s="129">
        <v>0</v>
      </c>
      <c r="F540" s="129">
        <v>0</v>
      </c>
      <c r="G540" s="129">
        <v>2.8200000000000003</v>
      </c>
      <c r="H540" s="129">
        <v>5.7682399999999996</v>
      </c>
      <c r="I540" s="129">
        <v>0</v>
      </c>
      <c r="J540" s="129">
        <v>0.83600000000000008</v>
      </c>
      <c r="K540" s="129">
        <v>0</v>
      </c>
      <c r="L540" s="129">
        <v>1.5669999999999999</v>
      </c>
      <c r="M540" s="129">
        <v>0</v>
      </c>
      <c r="N540" s="129">
        <v>0</v>
      </c>
      <c r="O540" s="129">
        <v>198.14599999999999</v>
      </c>
      <c r="P540" s="129">
        <v>0</v>
      </c>
      <c r="Q540" s="129">
        <v>379.71899999999999</v>
      </c>
      <c r="R540" s="129">
        <v>0</v>
      </c>
      <c r="S540" s="129">
        <v>13.12</v>
      </c>
      <c r="T540" s="129">
        <v>0</v>
      </c>
      <c r="U540" s="129">
        <v>0</v>
      </c>
      <c r="V540" s="129">
        <v>0</v>
      </c>
      <c r="W540" s="129">
        <v>28.192399999999999</v>
      </c>
      <c r="X540" s="129">
        <v>0</v>
      </c>
      <c r="Y540" s="129">
        <v>163.625</v>
      </c>
      <c r="Z540" s="129">
        <v>0</v>
      </c>
      <c r="AA540" s="129">
        <v>13.202</v>
      </c>
      <c r="AB540" s="129">
        <v>26.902000000000001</v>
      </c>
      <c r="AC540" s="129">
        <v>0</v>
      </c>
      <c r="AD540" s="129">
        <v>1.0580000000000001</v>
      </c>
      <c r="AE540" s="129">
        <v>0</v>
      </c>
      <c r="AF540" s="129">
        <v>4.4169999999999998</v>
      </c>
      <c r="AG540" s="129">
        <v>1115.0226400000001</v>
      </c>
    </row>
    <row r="541" spans="1:33" x14ac:dyDescent="0.45">
      <c r="B541" s="130" t="s">
        <v>166</v>
      </c>
      <c r="C541" s="133">
        <v>0</v>
      </c>
      <c r="D541" s="133">
        <v>274.24</v>
      </c>
      <c r="E541" s="133">
        <v>0</v>
      </c>
      <c r="F541" s="133">
        <v>0</v>
      </c>
      <c r="G541" s="133">
        <v>1.29</v>
      </c>
      <c r="H541" s="133">
        <v>5.7682399999999996</v>
      </c>
      <c r="I541" s="133">
        <v>0</v>
      </c>
      <c r="J541" s="133">
        <v>0.249</v>
      </c>
      <c r="K541" s="133">
        <v>0</v>
      </c>
      <c r="L541" s="133">
        <v>1.5669999999999999</v>
      </c>
      <c r="M541" s="133">
        <v>0</v>
      </c>
      <c r="N541" s="133">
        <v>0</v>
      </c>
      <c r="O541" s="133">
        <v>0</v>
      </c>
      <c r="P541" s="133">
        <v>92.77</v>
      </c>
      <c r="Q541" s="133">
        <v>379.42700000000002</v>
      </c>
      <c r="R541" s="133">
        <v>0</v>
      </c>
      <c r="S541" s="133">
        <v>0</v>
      </c>
      <c r="T541" s="133">
        <v>0</v>
      </c>
      <c r="U541" s="133">
        <v>0</v>
      </c>
      <c r="V541" s="133">
        <v>0</v>
      </c>
      <c r="W541" s="133">
        <v>19.2775</v>
      </c>
      <c r="X541" s="133">
        <v>0</v>
      </c>
      <c r="Y541" s="133">
        <v>149.1</v>
      </c>
      <c r="Z541" s="133">
        <v>0</v>
      </c>
      <c r="AA541" s="133">
        <v>13.202</v>
      </c>
      <c r="AB541" s="133">
        <v>26.902000000000001</v>
      </c>
      <c r="AC541" s="133">
        <v>0</v>
      </c>
      <c r="AD541" s="133">
        <v>0</v>
      </c>
      <c r="AE541" s="133">
        <v>0</v>
      </c>
      <c r="AF541" s="133">
        <v>0</v>
      </c>
      <c r="AG541" s="133">
        <v>871.02274</v>
      </c>
    </row>
    <row r="542" spans="1:33" x14ac:dyDescent="0.45">
      <c r="A542" s="126"/>
      <c r="B542" s="129" t="s">
        <v>164</v>
      </c>
      <c r="C542" s="129">
        <v>0</v>
      </c>
      <c r="D542" s="129">
        <v>0</v>
      </c>
      <c r="E542" s="129">
        <v>0</v>
      </c>
      <c r="F542" s="129">
        <v>0</v>
      </c>
      <c r="G542" s="129">
        <v>0</v>
      </c>
      <c r="H542" s="129">
        <v>0</v>
      </c>
      <c r="I542" s="129">
        <v>0</v>
      </c>
      <c r="J542" s="129">
        <v>1.2E-2</v>
      </c>
      <c r="K542" s="129">
        <v>0</v>
      </c>
      <c r="L542" s="129">
        <v>0</v>
      </c>
      <c r="M542" s="129">
        <v>0</v>
      </c>
      <c r="N542" s="129">
        <v>0</v>
      </c>
      <c r="O542" s="129">
        <v>0</v>
      </c>
      <c r="P542" s="129">
        <v>0</v>
      </c>
      <c r="Q542" s="129">
        <v>0</v>
      </c>
      <c r="R542" s="129">
        <v>0</v>
      </c>
      <c r="S542" s="129">
        <v>0</v>
      </c>
      <c r="T542" s="129">
        <v>0</v>
      </c>
      <c r="U542" s="129">
        <v>0</v>
      </c>
      <c r="V542" s="129">
        <v>0</v>
      </c>
      <c r="W542" s="129">
        <v>5.4899999999999997E-2</v>
      </c>
      <c r="X542" s="129">
        <v>0</v>
      </c>
      <c r="Y542" s="129">
        <v>2.4750000000000001</v>
      </c>
      <c r="Z542" s="129">
        <v>0</v>
      </c>
      <c r="AA542" s="129">
        <v>0</v>
      </c>
      <c r="AB542" s="129">
        <v>0</v>
      </c>
      <c r="AC542" s="129">
        <v>0</v>
      </c>
      <c r="AD542" s="129">
        <v>0</v>
      </c>
      <c r="AE542" s="129">
        <v>0</v>
      </c>
      <c r="AF542" s="129">
        <v>0</v>
      </c>
      <c r="AG542" s="129">
        <v>2.5419</v>
      </c>
    </row>
    <row r="543" spans="1:33" x14ac:dyDescent="0.45">
      <c r="B543" s="130" t="s">
        <v>163</v>
      </c>
      <c r="C543" s="133">
        <v>0</v>
      </c>
      <c r="D543" s="133">
        <v>0</v>
      </c>
      <c r="E543" s="133">
        <v>0</v>
      </c>
      <c r="F543" s="133">
        <v>0</v>
      </c>
      <c r="G543" s="133">
        <v>0</v>
      </c>
      <c r="H543" s="133">
        <v>0</v>
      </c>
      <c r="I543" s="133">
        <v>0</v>
      </c>
      <c r="J543" s="133">
        <v>2.5000000000000001E-2</v>
      </c>
      <c r="K543" s="133">
        <v>0</v>
      </c>
      <c r="L543" s="133">
        <v>0</v>
      </c>
      <c r="M543" s="133">
        <v>0</v>
      </c>
      <c r="N543" s="133">
        <v>0</v>
      </c>
      <c r="O543" s="133">
        <v>0</v>
      </c>
      <c r="P543" s="133">
        <v>0</v>
      </c>
      <c r="Q543" s="133">
        <v>0</v>
      </c>
      <c r="R543" s="133">
        <v>0</v>
      </c>
      <c r="S543" s="133">
        <v>0</v>
      </c>
      <c r="T543" s="133">
        <v>0</v>
      </c>
      <c r="U543" s="133">
        <v>0</v>
      </c>
      <c r="V543" s="133">
        <v>0</v>
      </c>
      <c r="W543" s="133">
        <v>0.219</v>
      </c>
      <c r="X543" s="133">
        <v>0</v>
      </c>
      <c r="Y543" s="133">
        <v>12.05</v>
      </c>
      <c r="Z543" s="133">
        <v>0</v>
      </c>
      <c r="AA543" s="133">
        <v>0</v>
      </c>
      <c r="AB543" s="133">
        <v>0</v>
      </c>
      <c r="AC543" s="133">
        <v>0</v>
      </c>
      <c r="AD543" s="133">
        <v>0</v>
      </c>
      <c r="AE543" s="133">
        <v>0</v>
      </c>
      <c r="AF543" s="133">
        <v>0</v>
      </c>
      <c r="AG543" s="133">
        <v>12.294</v>
      </c>
    </row>
    <row r="544" spans="1:33" x14ac:dyDescent="0.45">
      <c r="B544" s="130" t="s">
        <v>161</v>
      </c>
      <c r="C544" s="133">
        <v>0</v>
      </c>
      <c r="D544" s="133">
        <v>1.41</v>
      </c>
      <c r="E544" s="133">
        <v>0</v>
      </c>
      <c r="F544" s="133">
        <v>0</v>
      </c>
      <c r="G544" s="133">
        <v>1.53</v>
      </c>
      <c r="H544" s="133">
        <v>0</v>
      </c>
      <c r="I544" s="133">
        <v>0</v>
      </c>
      <c r="J544" s="133">
        <v>0.55000000000000004</v>
      </c>
      <c r="K544" s="133">
        <v>0</v>
      </c>
      <c r="L544" s="133">
        <v>0</v>
      </c>
      <c r="M544" s="133">
        <v>0</v>
      </c>
      <c r="N544" s="133">
        <v>0</v>
      </c>
      <c r="O544" s="133">
        <v>198.14599999999999</v>
      </c>
      <c r="P544" s="133">
        <v>0</v>
      </c>
      <c r="Q544" s="133">
        <v>0.29199999999999998</v>
      </c>
      <c r="R544" s="133">
        <v>0</v>
      </c>
      <c r="S544" s="133">
        <v>13.12</v>
      </c>
      <c r="T544" s="133">
        <v>0</v>
      </c>
      <c r="U544" s="133">
        <v>0</v>
      </c>
      <c r="V544" s="133">
        <v>0</v>
      </c>
      <c r="W544" s="133">
        <v>8.641</v>
      </c>
      <c r="X544" s="133">
        <v>0</v>
      </c>
      <c r="Y544" s="133">
        <v>0</v>
      </c>
      <c r="Z544" s="133">
        <v>0</v>
      </c>
      <c r="AA544" s="133">
        <v>0</v>
      </c>
      <c r="AB544" s="133">
        <v>0</v>
      </c>
      <c r="AC544" s="133">
        <v>0</v>
      </c>
      <c r="AD544" s="133">
        <v>1.0580000000000001</v>
      </c>
      <c r="AE544" s="133">
        <v>0</v>
      </c>
      <c r="AF544" s="133">
        <v>4.4169999999999998</v>
      </c>
      <c r="AG544" s="133">
        <v>229.16399999999999</v>
      </c>
    </row>
    <row r="545" spans="1:33" x14ac:dyDescent="0.45">
      <c r="A545" s="134" t="s">
        <v>159</v>
      </c>
      <c r="B545" s="130"/>
      <c r="C545" s="133">
        <v>0</v>
      </c>
      <c r="D545" s="133">
        <v>0</v>
      </c>
      <c r="E545" s="133">
        <v>0</v>
      </c>
      <c r="F545" s="133">
        <v>0</v>
      </c>
      <c r="G545" s="133">
        <v>0</v>
      </c>
      <c r="H545" s="133">
        <v>0</v>
      </c>
      <c r="I545" s="133">
        <v>0</v>
      </c>
      <c r="J545" s="133">
        <v>0.1</v>
      </c>
      <c r="K545" s="133">
        <v>0</v>
      </c>
      <c r="L545" s="133">
        <v>0</v>
      </c>
      <c r="M545" s="133">
        <v>39.158999999999999</v>
      </c>
      <c r="N545" s="133">
        <v>0</v>
      </c>
      <c r="O545" s="133">
        <v>0</v>
      </c>
      <c r="P545" s="133">
        <v>4.2</v>
      </c>
      <c r="Q545" s="133">
        <v>0</v>
      </c>
      <c r="R545" s="133">
        <v>0</v>
      </c>
      <c r="S545" s="133">
        <v>0</v>
      </c>
      <c r="T545" s="133">
        <v>0</v>
      </c>
      <c r="U545" s="133">
        <v>0</v>
      </c>
      <c r="V545" s="133">
        <v>0</v>
      </c>
      <c r="W545" s="133">
        <v>0.79200000000000004</v>
      </c>
      <c r="X545" s="133">
        <v>0</v>
      </c>
      <c r="Y545" s="133">
        <v>0</v>
      </c>
      <c r="Z545" s="133">
        <v>0</v>
      </c>
      <c r="AA545" s="133">
        <v>0</v>
      </c>
      <c r="AB545" s="133">
        <v>0</v>
      </c>
      <c r="AC545" s="133">
        <v>0</v>
      </c>
      <c r="AD545" s="133">
        <v>0</v>
      </c>
      <c r="AE545" s="133">
        <v>0</v>
      </c>
      <c r="AF545" s="133">
        <v>0</v>
      </c>
      <c r="AG545" s="133">
        <v>44.251000000000005</v>
      </c>
    </row>
    <row r="546" spans="1:33" x14ac:dyDescent="0.45">
      <c r="B546" s="130" t="s">
        <v>158</v>
      </c>
      <c r="C546" s="133">
        <v>0</v>
      </c>
      <c r="D546" s="133">
        <v>0</v>
      </c>
      <c r="E546" s="133">
        <v>0</v>
      </c>
      <c r="F546" s="133">
        <v>0</v>
      </c>
      <c r="G546" s="133">
        <v>0</v>
      </c>
      <c r="H546" s="133">
        <v>0</v>
      </c>
      <c r="I546" s="133">
        <v>0</v>
      </c>
      <c r="J546" s="133">
        <v>0.1</v>
      </c>
      <c r="K546" s="133">
        <v>0</v>
      </c>
      <c r="L546" s="133">
        <v>0</v>
      </c>
      <c r="M546" s="133">
        <v>39.158999999999999</v>
      </c>
      <c r="N546" s="133">
        <v>0</v>
      </c>
      <c r="O546" s="133">
        <v>0</v>
      </c>
      <c r="P546" s="133">
        <v>4.2</v>
      </c>
      <c r="Q546" s="133">
        <v>0</v>
      </c>
      <c r="R546" s="133">
        <v>0</v>
      </c>
      <c r="S546" s="133">
        <v>0</v>
      </c>
      <c r="T546" s="133">
        <v>0</v>
      </c>
      <c r="U546" s="133">
        <v>0</v>
      </c>
      <c r="V546" s="133">
        <v>0</v>
      </c>
      <c r="W546" s="133">
        <v>0.79200000000000004</v>
      </c>
      <c r="X546" s="133">
        <v>0</v>
      </c>
      <c r="Y546" s="133">
        <v>0</v>
      </c>
      <c r="Z546" s="133">
        <v>0</v>
      </c>
      <c r="AA546" s="133">
        <v>0</v>
      </c>
      <c r="AB546" s="133">
        <v>0</v>
      </c>
      <c r="AC546" s="133">
        <v>0</v>
      </c>
      <c r="AD546" s="133">
        <v>0</v>
      </c>
      <c r="AE546" s="133">
        <v>0</v>
      </c>
      <c r="AF546" s="133">
        <v>0</v>
      </c>
      <c r="AG546" s="133">
        <v>44.251000000000005</v>
      </c>
    </row>
    <row r="547" spans="1:33" x14ac:dyDescent="0.45">
      <c r="A547" s="134" t="s">
        <v>157</v>
      </c>
      <c r="B547" s="130"/>
      <c r="C547" s="133">
        <v>0</v>
      </c>
      <c r="D547" s="133">
        <v>0</v>
      </c>
      <c r="E547" s="133">
        <v>0</v>
      </c>
      <c r="F547" s="133">
        <v>0</v>
      </c>
      <c r="G547" s="133">
        <v>0</v>
      </c>
      <c r="H547" s="133">
        <v>0</v>
      </c>
      <c r="I547" s="133">
        <v>0</v>
      </c>
      <c r="J547" s="133">
        <v>0.7</v>
      </c>
      <c r="K547" s="133">
        <v>0</v>
      </c>
      <c r="L547" s="133">
        <v>0</v>
      </c>
      <c r="M547" s="133">
        <v>0</v>
      </c>
      <c r="N547" s="133">
        <v>0</v>
      </c>
      <c r="O547" s="133">
        <v>0</v>
      </c>
      <c r="P547" s="133">
        <v>0</v>
      </c>
      <c r="Q547" s="133">
        <v>0</v>
      </c>
      <c r="R547" s="133">
        <v>0</v>
      </c>
      <c r="S547" s="133">
        <v>0</v>
      </c>
      <c r="T547" s="133">
        <v>0</v>
      </c>
      <c r="U547" s="133">
        <v>0</v>
      </c>
      <c r="V547" s="133">
        <v>0</v>
      </c>
      <c r="W547" s="133">
        <v>1.383</v>
      </c>
      <c r="X547" s="133">
        <v>0</v>
      </c>
      <c r="Y547" s="133">
        <v>0</v>
      </c>
      <c r="Z547" s="133">
        <v>0</v>
      </c>
      <c r="AA547" s="133">
        <v>0</v>
      </c>
      <c r="AB547" s="133">
        <v>0</v>
      </c>
      <c r="AC547" s="133">
        <v>0</v>
      </c>
      <c r="AD547" s="133">
        <v>0</v>
      </c>
      <c r="AE547" s="133">
        <v>0</v>
      </c>
      <c r="AF547" s="133">
        <v>53.9</v>
      </c>
      <c r="AG547" s="133">
        <v>55.983000000000004</v>
      </c>
    </row>
    <row r="548" spans="1:33" x14ac:dyDescent="0.45">
      <c r="B548" s="130" t="s">
        <v>156</v>
      </c>
      <c r="C548" s="133">
        <v>0</v>
      </c>
      <c r="D548" s="133">
        <v>0</v>
      </c>
      <c r="E548" s="133">
        <v>0</v>
      </c>
      <c r="F548" s="133">
        <v>0</v>
      </c>
      <c r="G548" s="133">
        <v>0</v>
      </c>
      <c r="H548" s="133">
        <v>0</v>
      </c>
      <c r="I548" s="133">
        <v>0</v>
      </c>
      <c r="J548" s="133">
        <v>0.7</v>
      </c>
      <c r="K548" s="133">
        <v>0</v>
      </c>
      <c r="L548" s="133">
        <v>0</v>
      </c>
      <c r="M548" s="133">
        <v>0</v>
      </c>
      <c r="N548" s="133">
        <v>0</v>
      </c>
      <c r="O548" s="133">
        <v>0</v>
      </c>
      <c r="P548" s="133">
        <v>0</v>
      </c>
      <c r="Q548" s="133">
        <v>0</v>
      </c>
      <c r="R548" s="133">
        <v>0</v>
      </c>
      <c r="S548" s="133">
        <v>0</v>
      </c>
      <c r="T548" s="133">
        <v>0</v>
      </c>
      <c r="U548" s="133">
        <v>0</v>
      </c>
      <c r="V548" s="133">
        <v>0</v>
      </c>
      <c r="W548" s="133">
        <v>1.383</v>
      </c>
      <c r="X548" s="133">
        <v>0</v>
      </c>
      <c r="Y548" s="133">
        <v>0</v>
      </c>
      <c r="Z548" s="133">
        <v>0</v>
      </c>
      <c r="AA548" s="133">
        <v>0</v>
      </c>
      <c r="AB548" s="133">
        <v>0</v>
      </c>
      <c r="AC548" s="133">
        <v>0</v>
      </c>
      <c r="AD548" s="133">
        <v>0</v>
      </c>
      <c r="AE548" s="133">
        <v>0</v>
      </c>
      <c r="AF548" s="133">
        <v>53.9</v>
      </c>
      <c r="AG548" s="133">
        <v>55.983000000000004</v>
      </c>
    </row>
    <row r="549" spans="1:33" x14ac:dyDescent="0.45">
      <c r="A549" s="126" t="s">
        <v>12</v>
      </c>
      <c r="B549" s="129"/>
      <c r="C549" s="129">
        <v>0</v>
      </c>
      <c r="D549" s="129">
        <v>0</v>
      </c>
      <c r="E549" s="129">
        <v>0</v>
      </c>
      <c r="F549" s="129">
        <v>0</v>
      </c>
      <c r="G549" s="129">
        <v>0</v>
      </c>
      <c r="H549" s="129">
        <v>0</v>
      </c>
      <c r="I549" s="129">
        <v>0</v>
      </c>
      <c r="J549" s="129">
        <v>0</v>
      </c>
      <c r="K549" s="129">
        <v>0</v>
      </c>
      <c r="L549" s="129">
        <v>0</v>
      </c>
      <c r="M549" s="129">
        <v>0</v>
      </c>
      <c r="N549" s="129">
        <v>0</v>
      </c>
      <c r="O549" s="129">
        <v>0</v>
      </c>
      <c r="P549" s="129">
        <v>0</v>
      </c>
      <c r="Q549" s="129">
        <v>0</v>
      </c>
      <c r="R549" s="129">
        <v>0</v>
      </c>
      <c r="S549" s="129">
        <v>0</v>
      </c>
      <c r="T549" s="129">
        <v>0</v>
      </c>
      <c r="U549" s="129">
        <v>0</v>
      </c>
      <c r="V549" s="129">
        <v>0</v>
      </c>
      <c r="W549" s="129">
        <v>0</v>
      </c>
      <c r="X549" s="129">
        <v>0</v>
      </c>
      <c r="Y549" s="129">
        <v>0</v>
      </c>
      <c r="Z549" s="129">
        <v>0</v>
      </c>
      <c r="AA549" s="129">
        <v>0</v>
      </c>
      <c r="AB549" s="129">
        <v>0</v>
      </c>
      <c r="AC549" s="129">
        <v>0</v>
      </c>
      <c r="AD549" s="129">
        <v>0</v>
      </c>
      <c r="AE549" s="129">
        <v>0</v>
      </c>
      <c r="AF549" s="129">
        <v>0</v>
      </c>
      <c r="AG549" s="129">
        <v>0</v>
      </c>
    </row>
    <row r="550" spans="1:33" x14ac:dyDescent="0.45">
      <c r="B550" s="130" t="s">
        <v>14</v>
      </c>
      <c r="C550" s="133">
        <v>0</v>
      </c>
      <c r="D550" s="133">
        <v>0</v>
      </c>
      <c r="E550" s="133">
        <v>0</v>
      </c>
      <c r="F550" s="133">
        <v>0</v>
      </c>
      <c r="G550" s="133">
        <v>0</v>
      </c>
      <c r="H550" s="133">
        <v>0</v>
      </c>
      <c r="I550" s="133">
        <v>0</v>
      </c>
      <c r="J550" s="133">
        <v>0</v>
      </c>
      <c r="K550" s="133">
        <v>0</v>
      </c>
      <c r="L550" s="133">
        <v>0</v>
      </c>
      <c r="M550" s="133">
        <v>0</v>
      </c>
      <c r="N550" s="133">
        <v>0</v>
      </c>
      <c r="O550" s="133">
        <v>0</v>
      </c>
      <c r="P550" s="133">
        <v>0</v>
      </c>
      <c r="Q550" s="133">
        <v>0</v>
      </c>
      <c r="R550" s="133">
        <v>0</v>
      </c>
      <c r="S550" s="133">
        <v>0</v>
      </c>
      <c r="T550" s="133">
        <v>0</v>
      </c>
      <c r="U550" s="133">
        <v>0</v>
      </c>
      <c r="V550" s="133">
        <v>0</v>
      </c>
      <c r="W550" s="133">
        <v>0</v>
      </c>
      <c r="X550" s="133">
        <v>0</v>
      </c>
      <c r="Y550" s="133">
        <v>0</v>
      </c>
      <c r="Z550" s="133">
        <v>0</v>
      </c>
      <c r="AA550" s="133">
        <v>0</v>
      </c>
      <c r="AB550" s="133">
        <v>0</v>
      </c>
      <c r="AC550" s="133">
        <v>0</v>
      </c>
      <c r="AD550" s="133">
        <v>0</v>
      </c>
      <c r="AE550" s="133">
        <v>0</v>
      </c>
      <c r="AF550" s="133">
        <v>0</v>
      </c>
      <c r="AG550" s="133">
        <v>0</v>
      </c>
    </row>
    <row r="551" spans="1:33" x14ac:dyDescent="0.45">
      <c r="A551" s="134" t="s">
        <v>149</v>
      </c>
      <c r="B551" s="130"/>
      <c r="C551" s="133">
        <v>0</v>
      </c>
      <c r="D551" s="133">
        <v>0</v>
      </c>
      <c r="E551" s="133">
        <v>0</v>
      </c>
      <c r="F551" s="133">
        <v>175.0658</v>
      </c>
      <c r="G551" s="133">
        <v>6.7670000000000003</v>
      </c>
      <c r="H551" s="133">
        <v>3.7519200000000001</v>
      </c>
      <c r="I551" s="133">
        <v>2.1932999999999998</v>
      </c>
      <c r="J551" s="133">
        <v>6.2266500000000002</v>
      </c>
      <c r="K551" s="133">
        <v>0</v>
      </c>
      <c r="L551" s="133">
        <v>1.3262529999999999</v>
      </c>
      <c r="M551" s="133">
        <v>14.24831</v>
      </c>
      <c r="N551" s="133">
        <v>0</v>
      </c>
      <c r="O551" s="133">
        <v>0</v>
      </c>
      <c r="P551" s="133">
        <v>89.873999999999995</v>
      </c>
      <c r="Q551" s="133">
        <v>6.5452000000000004</v>
      </c>
      <c r="R551" s="133">
        <v>69.275400000000005</v>
      </c>
      <c r="S551" s="133">
        <v>44.079599999999999</v>
      </c>
      <c r="T551" s="133">
        <v>0</v>
      </c>
      <c r="U551" s="133">
        <v>0</v>
      </c>
      <c r="V551" s="133">
        <v>63.020299999999999</v>
      </c>
      <c r="W551" s="133">
        <v>15.442599999999999</v>
      </c>
      <c r="X551" s="133">
        <v>0</v>
      </c>
      <c r="Y551" s="133">
        <v>0.75240000000000007</v>
      </c>
      <c r="Z551" s="133">
        <v>0</v>
      </c>
      <c r="AA551" s="133">
        <v>0</v>
      </c>
      <c r="AB551" s="133">
        <v>0</v>
      </c>
      <c r="AC551" s="133">
        <v>0</v>
      </c>
      <c r="AD551" s="133">
        <v>0</v>
      </c>
      <c r="AE551" s="133">
        <v>0</v>
      </c>
      <c r="AF551" s="133">
        <v>2.4234100000000001</v>
      </c>
      <c r="AG551" s="133">
        <v>500.99214299999994</v>
      </c>
    </row>
    <row r="552" spans="1:33" x14ac:dyDescent="0.45">
      <c r="A552" s="126"/>
      <c r="B552" s="129" t="s">
        <v>154</v>
      </c>
      <c r="C552" s="129">
        <v>0</v>
      </c>
      <c r="D552" s="129">
        <v>0</v>
      </c>
      <c r="E552" s="129">
        <v>0</v>
      </c>
      <c r="F552" s="129">
        <v>0</v>
      </c>
      <c r="G552" s="129">
        <v>1.4569000000000001</v>
      </c>
      <c r="H552" s="129">
        <v>0</v>
      </c>
      <c r="I552" s="129">
        <v>0.98150000000000004</v>
      </c>
      <c r="J552" s="129">
        <v>5.5999999999999999E-3</v>
      </c>
      <c r="K552" s="129">
        <v>0</v>
      </c>
      <c r="L552" s="129">
        <v>0</v>
      </c>
      <c r="M552" s="129">
        <v>0</v>
      </c>
      <c r="N552" s="129">
        <v>0</v>
      </c>
      <c r="O552" s="129">
        <v>0</v>
      </c>
      <c r="P552" s="129">
        <v>0</v>
      </c>
      <c r="Q552" s="129">
        <v>0</v>
      </c>
      <c r="R552" s="129">
        <v>0</v>
      </c>
      <c r="S552" s="129">
        <v>7.7039</v>
      </c>
      <c r="T552" s="129">
        <v>0</v>
      </c>
      <c r="U552" s="129">
        <v>0</v>
      </c>
      <c r="V552" s="129">
        <v>0</v>
      </c>
      <c r="W552" s="129">
        <v>0.29010000000000002</v>
      </c>
      <c r="X552" s="129">
        <v>0</v>
      </c>
      <c r="Y552" s="129">
        <v>0</v>
      </c>
      <c r="Z552" s="129">
        <v>0</v>
      </c>
      <c r="AA552" s="129">
        <v>0</v>
      </c>
      <c r="AB552" s="129">
        <v>0</v>
      </c>
      <c r="AC552" s="129">
        <v>0</v>
      </c>
      <c r="AD552" s="129">
        <v>0</v>
      </c>
      <c r="AE552" s="129">
        <v>0</v>
      </c>
      <c r="AF552" s="129">
        <v>0</v>
      </c>
      <c r="AG552" s="129">
        <v>10.438000000000001</v>
      </c>
    </row>
    <row r="553" spans="1:33" x14ac:dyDescent="0.45">
      <c r="B553" s="130" t="s">
        <v>153</v>
      </c>
      <c r="C553" s="133">
        <v>0</v>
      </c>
      <c r="D553" s="133">
        <v>0</v>
      </c>
      <c r="E553" s="133">
        <v>0</v>
      </c>
      <c r="F553" s="133">
        <v>0</v>
      </c>
      <c r="G553" s="133">
        <v>0.4531</v>
      </c>
      <c r="H553" s="133">
        <v>0</v>
      </c>
      <c r="I553" s="133">
        <v>1.1748000000000001</v>
      </c>
      <c r="J553" s="133">
        <v>3.5499999999999997E-2</v>
      </c>
      <c r="K553" s="133">
        <v>0</v>
      </c>
      <c r="L553" s="133">
        <v>0</v>
      </c>
      <c r="M553" s="133">
        <v>0</v>
      </c>
      <c r="N553" s="133">
        <v>0</v>
      </c>
      <c r="O553" s="133">
        <v>0</v>
      </c>
      <c r="P553" s="133">
        <v>0</v>
      </c>
      <c r="Q553" s="133">
        <v>0</v>
      </c>
      <c r="R553" s="133">
        <v>0</v>
      </c>
      <c r="S553" s="133">
        <v>5.1432000000000002</v>
      </c>
      <c r="T553" s="133">
        <v>0</v>
      </c>
      <c r="U553" s="133">
        <v>0</v>
      </c>
      <c r="V553" s="133">
        <v>0</v>
      </c>
      <c r="W553" s="133">
        <v>0.1605</v>
      </c>
      <c r="X553" s="133">
        <v>0</v>
      </c>
      <c r="Y553" s="133">
        <v>0.1057</v>
      </c>
      <c r="Z553" s="133">
        <v>0</v>
      </c>
      <c r="AA553" s="133">
        <v>0</v>
      </c>
      <c r="AB553" s="133">
        <v>0</v>
      </c>
      <c r="AC553" s="133">
        <v>0</v>
      </c>
      <c r="AD553" s="133">
        <v>0</v>
      </c>
      <c r="AE553" s="133">
        <v>0</v>
      </c>
      <c r="AF553" s="133">
        <v>0</v>
      </c>
      <c r="AG553" s="133">
        <v>7.0728</v>
      </c>
    </row>
    <row r="554" spans="1:33" x14ac:dyDescent="0.45">
      <c r="A554" s="126"/>
      <c r="B554" s="129" t="s">
        <v>152</v>
      </c>
      <c r="C554" s="129">
        <v>0</v>
      </c>
      <c r="D554" s="129">
        <v>0</v>
      </c>
      <c r="E554" s="129">
        <v>0</v>
      </c>
      <c r="F554" s="129">
        <v>0</v>
      </c>
      <c r="G554" s="129">
        <v>0</v>
      </c>
      <c r="H554" s="129">
        <v>0</v>
      </c>
      <c r="I554" s="129">
        <v>0</v>
      </c>
      <c r="J554" s="129">
        <v>0.1497</v>
      </c>
      <c r="K554" s="129">
        <v>0</v>
      </c>
      <c r="L554" s="129">
        <v>0</v>
      </c>
      <c r="M554" s="129">
        <v>0</v>
      </c>
      <c r="N554" s="129">
        <v>0</v>
      </c>
      <c r="O554" s="129">
        <v>0</v>
      </c>
      <c r="P554" s="129">
        <v>0</v>
      </c>
      <c r="Q554" s="129">
        <v>6.5452000000000004</v>
      </c>
      <c r="R554" s="129">
        <v>0</v>
      </c>
      <c r="S554" s="129">
        <v>0</v>
      </c>
      <c r="T554" s="129">
        <v>0</v>
      </c>
      <c r="U554" s="129">
        <v>0</v>
      </c>
      <c r="V554" s="129">
        <v>0</v>
      </c>
      <c r="W554" s="129">
        <v>0.20039999999999999</v>
      </c>
      <c r="X554" s="129">
        <v>0</v>
      </c>
      <c r="Y554" s="129">
        <v>0</v>
      </c>
      <c r="Z554" s="129">
        <v>0</v>
      </c>
      <c r="AA554" s="129">
        <v>0</v>
      </c>
      <c r="AB554" s="129">
        <v>0</v>
      </c>
      <c r="AC554" s="129">
        <v>0</v>
      </c>
      <c r="AD554" s="129">
        <v>0</v>
      </c>
      <c r="AE554" s="129">
        <v>0</v>
      </c>
      <c r="AF554" s="129">
        <v>2.4234100000000001</v>
      </c>
      <c r="AG554" s="129">
        <v>9.3187100000000012</v>
      </c>
    </row>
    <row r="555" spans="1:33" x14ac:dyDescent="0.45">
      <c r="B555" s="130" t="s">
        <v>151</v>
      </c>
      <c r="C555" s="133">
        <v>0</v>
      </c>
      <c r="D555" s="133">
        <v>0</v>
      </c>
      <c r="E555" s="133">
        <v>0</v>
      </c>
      <c r="F555" s="133">
        <v>0</v>
      </c>
      <c r="G555" s="133">
        <v>0</v>
      </c>
      <c r="H555" s="133">
        <v>0</v>
      </c>
      <c r="I555" s="133">
        <v>0</v>
      </c>
      <c r="J555" s="133">
        <v>3.2000000000000002E-3</v>
      </c>
      <c r="K555" s="133">
        <v>0</v>
      </c>
      <c r="L555" s="133">
        <v>0</v>
      </c>
      <c r="M555" s="133">
        <v>0</v>
      </c>
      <c r="N555" s="133">
        <v>0</v>
      </c>
      <c r="O555" s="133">
        <v>0</v>
      </c>
      <c r="P555" s="133">
        <v>0</v>
      </c>
      <c r="Q555" s="133">
        <v>0</v>
      </c>
      <c r="R555" s="133">
        <v>0</v>
      </c>
      <c r="S555" s="133">
        <v>0</v>
      </c>
      <c r="T555" s="133">
        <v>0</v>
      </c>
      <c r="U555" s="133">
        <v>0</v>
      </c>
      <c r="V555" s="133">
        <v>0</v>
      </c>
      <c r="W555" s="133">
        <v>2.3480000000000001E-2</v>
      </c>
      <c r="X555" s="133">
        <v>0</v>
      </c>
      <c r="Y555" s="133">
        <v>0.64670000000000005</v>
      </c>
      <c r="Z555" s="133">
        <v>0</v>
      </c>
      <c r="AA555" s="133">
        <v>0</v>
      </c>
      <c r="AB555" s="133">
        <v>0</v>
      </c>
      <c r="AC555" s="133">
        <v>0</v>
      </c>
      <c r="AD555" s="133">
        <v>0</v>
      </c>
      <c r="AE555" s="133">
        <v>0</v>
      </c>
      <c r="AF555" s="133">
        <v>0</v>
      </c>
      <c r="AG555" s="133">
        <v>0.67338000000000009</v>
      </c>
    </row>
    <row r="556" spans="1:33" x14ac:dyDescent="0.45">
      <c r="B556" s="130" t="s">
        <v>150</v>
      </c>
      <c r="C556" s="133">
        <v>0</v>
      </c>
      <c r="D556" s="133">
        <v>0</v>
      </c>
      <c r="E556" s="133">
        <v>0</v>
      </c>
      <c r="F556" s="133">
        <v>114.2</v>
      </c>
      <c r="G556" s="133">
        <v>0</v>
      </c>
      <c r="H556" s="133">
        <v>2.2696299999999998</v>
      </c>
      <c r="I556" s="133">
        <v>0</v>
      </c>
      <c r="J556" s="133">
        <v>5.9916499999999999</v>
      </c>
      <c r="K556" s="133">
        <v>0</v>
      </c>
      <c r="L556" s="133">
        <v>0.99251699999999998</v>
      </c>
      <c r="M556" s="133">
        <v>9.7331199999999995</v>
      </c>
      <c r="N556" s="133">
        <v>0</v>
      </c>
      <c r="O556" s="133">
        <v>0</v>
      </c>
      <c r="P556" s="133">
        <v>0</v>
      </c>
      <c r="Q556" s="133">
        <v>0</v>
      </c>
      <c r="R556" s="133">
        <v>44.587800000000001</v>
      </c>
      <c r="S556" s="133">
        <v>19.855</v>
      </c>
      <c r="T556" s="133">
        <v>0</v>
      </c>
      <c r="U556" s="133">
        <v>0</v>
      </c>
      <c r="V556" s="133">
        <v>39.6402</v>
      </c>
      <c r="W556" s="133">
        <v>8.8352000000000004</v>
      </c>
      <c r="X556" s="133">
        <v>0</v>
      </c>
      <c r="Y556" s="133">
        <v>0</v>
      </c>
      <c r="Z556" s="133">
        <v>0</v>
      </c>
      <c r="AA556" s="133">
        <v>0</v>
      </c>
      <c r="AB556" s="133">
        <v>0</v>
      </c>
      <c r="AC556" s="133">
        <v>0</v>
      </c>
      <c r="AD556" s="133">
        <v>0</v>
      </c>
      <c r="AE556" s="133">
        <v>0</v>
      </c>
      <c r="AF556" s="133">
        <v>0</v>
      </c>
      <c r="AG556" s="133">
        <v>246.10511700000001</v>
      </c>
    </row>
    <row r="557" spans="1:33" x14ac:dyDescent="0.45">
      <c r="A557" s="126"/>
      <c r="B557" s="129" t="s">
        <v>148</v>
      </c>
      <c r="C557" s="129">
        <v>0</v>
      </c>
      <c r="D557" s="129">
        <v>0</v>
      </c>
      <c r="E557" s="129">
        <v>0</v>
      </c>
      <c r="F557" s="129">
        <v>60.8658</v>
      </c>
      <c r="G557" s="129">
        <v>4.8570000000000002</v>
      </c>
      <c r="H557" s="129">
        <v>1.4822900000000001</v>
      </c>
      <c r="I557" s="129">
        <v>3.6999999999999998E-2</v>
      </c>
      <c r="J557" s="129">
        <v>4.1000000000000002E-2</v>
      </c>
      <c r="K557" s="129">
        <v>0</v>
      </c>
      <c r="L557" s="129">
        <v>0.33373599999999998</v>
      </c>
      <c r="M557" s="129">
        <v>4.5151899999999996</v>
      </c>
      <c r="N557" s="129">
        <v>0</v>
      </c>
      <c r="O557" s="129">
        <v>0</v>
      </c>
      <c r="P557" s="129">
        <v>89.873999999999995</v>
      </c>
      <c r="Q557" s="129">
        <v>0</v>
      </c>
      <c r="R557" s="129">
        <v>24.6876</v>
      </c>
      <c r="S557" s="129">
        <v>11.3775</v>
      </c>
      <c r="T557" s="129">
        <v>0</v>
      </c>
      <c r="U557" s="129">
        <v>0</v>
      </c>
      <c r="V557" s="129">
        <v>23.380099999999999</v>
      </c>
      <c r="W557" s="129">
        <v>5.9329200000000002</v>
      </c>
      <c r="X557" s="129">
        <v>0</v>
      </c>
      <c r="Y557" s="129">
        <v>0</v>
      </c>
      <c r="Z557" s="129">
        <v>0</v>
      </c>
      <c r="AA557" s="129">
        <v>0</v>
      </c>
      <c r="AB557" s="129">
        <v>0</v>
      </c>
      <c r="AC557" s="129">
        <v>0</v>
      </c>
      <c r="AD557" s="129">
        <v>0</v>
      </c>
      <c r="AE557" s="129">
        <v>0</v>
      </c>
      <c r="AF557" s="129">
        <v>0</v>
      </c>
      <c r="AG557" s="129">
        <v>227.38413599999998</v>
      </c>
    </row>
    <row r="558" spans="1:33" x14ac:dyDescent="0.45">
      <c r="A558" s="134" t="s">
        <v>1255</v>
      </c>
      <c r="B558" s="130"/>
    </row>
    <row r="559" spans="1:33" x14ac:dyDescent="0.45">
      <c r="A559" s="126"/>
      <c r="B559" s="129" t="s">
        <v>1255</v>
      </c>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c r="AA559" s="129"/>
      <c r="AB559" s="129"/>
      <c r="AC559" s="129"/>
      <c r="AD559" s="129"/>
      <c r="AE559" s="129"/>
      <c r="AF559" s="129"/>
      <c r="AG559" s="129"/>
    </row>
    <row r="560" spans="1:33" x14ac:dyDescent="0.45">
      <c r="A560" s="134" t="s">
        <v>1256</v>
      </c>
      <c r="B560" s="130"/>
      <c r="C560" s="133">
        <v>17.416494</v>
      </c>
      <c r="D560" s="133">
        <v>12223.757502999999</v>
      </c>
      <c r="E560" s="133">
        <v>15.7</v>
      </c>
      <c r="F560" s="133">
        <v>2081.1733112000006</v>
      </c>
      <c r="G560" s="133">
        <v>909.0365091000001</v>
      </c>
      <c r="H560" s="133">
        <v>273.77873039999997</v>
      </c>
      <c r="I560" s="133">
        <v>194.28130000000004</v>
      </c>
      <c r="J560" s="133">
        <v>457.35986660000032</v>
      </c>
      <c r="K560" s="133">
        <v>17.82648</v>
      </c>
      <c r="L560" s="133">
        <v>191.87490499999998</v>
      </c>
      <c r="M560" s="133">
        <v>6298.076579999999</v>
      </c>
      <c r="N560" s="133">
        <v>633.54064300000005</v>
      </c>
      <c r="O560" s="133">
        <v>3706.9303000000014</v>
      </c>
      <c r="P560" s="133">
        <v>6048.7461000000012</v>
      </c>
      <c r="Q560" s="133">
        <v>5318.5682000000006</v>
      </c>
      <c r="R560" s="133">
        <v>1397.8189700000003</v>
      </c>
      <c r="S560" s="133">
        <v>3432.9035260000001</v>
      </c>
      <c r="T560" s="133">
        <v>507.494595</v>
      </c>
      <c r="U560" s="133">
        <v>116.90694000000002</v>
      </c>
      <c r="V560" s="133">
        <v>665.3651000000001</v>
      </c>
      <c r="W560" s="133">
        <v>1587.9454060099999</v>
      </c>
      <c r="X560" s="133">
        <v>352.97396999999995</v>
      </c>
      <c r="Y560" s="133">
        <v>2152.209488</v>
      </c>
      <c r="Z560" s="133">
        <v>241.113</v>
      </c>
      <c r="AA560" s="133">
        <v>1044.2190000000001</v>
      </c>
      <c r="AB560" s="133">
        <v>2193.9512999999997</v>
      </c>
      <c r="AC560" s="133">
        <v>52.601820000000004</v>
      </c>
      <c r="AD560" s="133">
        <v>13.417</v>
      </c>
      <c r="AE560" s="133">
        <v>128.19013000000001</v>
      </c>
      <c r="AF560" s="133">
        <v>2369.3701459999997</v>
      </c>
      <c r="AG560" s="133">
        <v>54644.547313310031</v>
      </c>
    </row>
    <row r="561" spans="1:33" x14ac:dyDescent="0.45">
      <c r="A561" s="126"/>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c r="AA561" s="129"/>
      <c r="AB561" s="129"/>
      <c r="AC561" s="129"/>
      <c r="AD561" s="129"/>
      <c r="AE561" s="129"/>
      <c r="AF561" s="129"/>
      <c r="AG561" s="129"/>
    </row>
    <row r="562" spans="1:33" x14ac:dyDescent="0.45">
      <c r="B562" s="130"/>
    </row>
    <row r="563" spans="1:33" x14ac:dyDescent="0.45">
      <c r="A563" s="126"/>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c r="AA563" s="129"/>
      <c r="AB563" s="129"/>
      <c r="AC563" s="129"/>
      <c r="AD563" s="129"/>
      <c r="AE563" s="129"/>
      <c r="AF563" s="129"/>
      <c r="AG563" s="129"/>
    </row>
    <row r="564" spans="1:33" x14ac:dyDescent="0.45">
      <c r="B564" s="130"/>
    </row>
    <row r="565" spans="1:33" x14ac:dyDescent="0.45">
      <c r="A565" s="126"/>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c r="AA565" s="129"/>
      <c r="AB565" s="129"/>
      <c r="AC565" s="129"/>
      <c r="AD565" s="129"/>
      <c r="AE565" s="129"/>
      <c r="AF565" s="129"/>
      <c r="AG565" s="129"/>
    </row>
    <row r="566" spans="1:33" x14ac:dyDescent="0.45">
      <c r="B566" s="130"/>
    </row>
    <row r="567" spans="1:33" x14ac:dyDescent="0.45">
      <c r="A567" s="126"/>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c r="AA567" s="129"/>
      <c r="AB567" s="129"/>
      <c r="AC567" s="129"/>
      <c r="AD567" s="129"/>
      <c r="AE567" s="129"/>
      <c r="AF567" s="129"/>
      <c r="AG567" s="129"/>
    </row>
    <row r="568" spans="1:33" x14ac:dyDescent="0.45">
      <c r="B568" s="130"/>
    </row>
    <row r="569" spans="1:33" x14ac:dyDescent="0.45">
      <c r="A569" s="126"/>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c r="AA569" s="129"/>
      <c r="AB569" s="129"/>
      <c r="AC569" s="129"/>
      <c r="AD569" s="129"/>
      <c r="AE569" s="129"/>
      <c r="AF569" s="129"/>
      <c r="AG569" s="129"/>
    </row>
    <row r="570" spans="1:33" x14ac:dyDescent="0.45">
      <c r="B570" s="130"/>
    </row>
    <row r="571" spans="1:33" x14ac:dyDescent="0.45">
      <c r="A571" s="126"/>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c r="AA571" s="129"/>
      <c r="AB571" s="129"/>
      <c r="AC571" s="129"/>
      <c r="AD571" s="129"/>
      <c r="AE571" s="129"/>
      <c r="AF571" s="129"/>
      <c r="AG571" s="129"/>
    </row>
    <row r="572" spans="1:33" x14ac:dyDescent="0.45">
      <c r="B572" s="130"/>
    </row>
    <row r="573" spans="1:33" x14ac:dyDescent="0.45">
      <c r="A573" s="126"/>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c r="AA573" s="129"/>
      <c r="AB573" s="129"/>
      <c r="AC573" s="129"/>
      <c r="AD573" s="129"/>
      <c r="AE573" s="129"/>
      <c r="AF573" s="129"/>
      <c r="AG573" s="129"/>
    </row>
    <row r="574" spans="1:33" x14ac:dyDescent="0.45">
      <c r="B574" s="130"/>
    </row>
    <row r="575" spans="1:33" x14ac:dyDescent="0.45">
      <c r="B575" s="130"/>
    </row>
    <row r="576" spans="1:33" x14ac:dyDescent="0.45">
      <c r="B576" s="130"/>
    </row>
    <row r="577" spans="1:33" x14ac:dyDescent="0.45">
      <c r="A577" s="126"/>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c r="AA577" s="129"/>
      <c r="AB577" s="129"/>
      <c r="AC577" s="129"/>
      <c r="AD577" s="129"/>
      <c r="AE577" s="129"/>
      <c r="AF577" s="129"/>
      <c r="AG577" s="129"/>
    </row>
    <row r="578" spans="1:33" x14ac:dyDescent="0.45">
      <c r="B578" s="130"/>
    </row>
    <row r="579" spans="1:33" x14ac:dyDescent="0.45">
      <c r="B579" s="130"/>
    </row>
    <row r="580" spans="1:33" x14ac:dyDescent="0.45">
      <c r="B580" s="130"/>
    </row>
    <row r="581" spans="1:33" x14ac:dyDescent="0.45">
      <c r="A581" s="126"/>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c r="AA581" s="129"/>
      <c r="AB581" s="129"/>
      <c r="AC581" s="129"/>
      <c r="AD581" s="129"/>
      <c r="AE581" s="129"/>
      <c r="AF581" s="129"/>
      <c r="AG581" s="129"/>
    </row>
    <row r="582" spans="1:33" x14ac:dyDescent="0.45">
      <c r="B582" s="130"/>
    </row>
    <row r="583" spans="1:33" x14ac:dyDescent="0.45">
      <c r="B583" s="130"/>
    </row>
    <row r="584" spans="1:33" x14ac:dyDescent="0.45">
      <c r="B584" s="130"/>
    </row>
    <row r="585" spans="1:33" x14ac:dyDescent="0.45">
      <c r="B585" s="130"/>
    </row>
    <row r="586" spans="1:33" x14ac:dyDescent="0.45">
      <c r="A586" s="126"/>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c r="AA586" s="129"/>
      <c r="AB586" s="129"/>
      <c r="AC586" s="129"/>
      <c r="AD586" s="129"/>
      <c r="AE586" s="129"/>
      <c r="AF586" s="129"/>
      <c r="AG586" s="129"/>
    </row>
    <row r="587" spans="1:33" x14ac:dyDescent="0.45">
      <c r="B587" s="130"/>
    </row>
    <row r="588" spans="1:33" x14ac:dyDescent="0.45">
      <c r="B588" s="130"/>
    </row>
    <row r="589" spans="1:33" x14ac:dyDescent="0.45">
      <c r="A589" s="126"/>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c r="AA589" s="129"/>
      <c r="AB589" s="129"/>
      <c r="AC589" s="129"/>
      <c r="AD589" s="129"/>
      <c r="AE589" s="129"/>
      <c r="AF589" s="129"/>
      <c r="AG589" s="129"/>
    </row>
    <row r="590" spans="1:33" x14ac:dyDescent="0.45">
      <c r="B590" s="130"/>
    </row>
    <row r="591" spans="1:33" x14ac:dyDescent="0.45">
      <c r="A591" s="126"/>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c r="AA591" s="129"/>
      <c r="AB591" s="129"/>
      <c r="AC591" s="129"/>
      <c r="AD591" s="129"/>
      <c r="AE591" s="129"/>
      <c r="AF591" s="129"/>
      <c r="AG591" s="129"/>
    </row>
    <row r="592" spans="1:33" x14ac:dyDescent="0.45">
      <c r="B592" s="130"/>
    </row>
    <row r="593" spans="1:33" x14ac:dyDescent="0.45">
      <c r="B593" s="130"/>
    </row>
    <row r="594" spans="1:33" x14ac:dyDescent="0.45">
      <c r="B594" s="130"/>
    </row>
    <row r="595" spans="1:33" x14ac:dyDescent="0.45">
      <c r="A595" s="126"/>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c r="AA595" s="129"/>
      <c r="AB595" s="129"/>
      <c r="AC595" s="129"/>
      <c r="AD595" s="129"/>
      <c r="AE595" s="129"/>
      <c r="AF595" s="129"/>
      <c r="AG595" s="129"/>
    </row>
    <row r="596" spans="1:33" x14ac:dyDescent="0.45">
      <c r="B596" s="130"/>
    </row>
    <row r="597" spans="1:33" x14ac:dyDescent="0.45">
      <c r="B597" s="130"/>
    </row>
    <row r="598" spans="1:33" x14ac:dyDescent="0.45">
      <c r="B598" s="130"/>
    </row>
    <row r="599" spans="1:33" x14ac:dyDescent="0.45">
      <c r="B599" s="130"/>
    </row>
    <row r="600" spans="1:33" x14ac:dyDescent="0.45">
      <c r="B600" s="130"/>
    </row>
    <row r="601" spans="1:33" x14ac:dyDescent="0.45">
      <c r="A601" s="126"/>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c r="AA601" s="129"/>
      <c r="AB601" s="129"/>
      <c r="AC601" s="129"/>
      <c r="AD601" s="129"/>
      <c r="AE601" s="129"/>
      <c r="AF601" s="129"/>
      <c r="AG601" s="129"/>
    </row>
    <row r="602" spans="1:33" x14ac:dyDescent="0.45">
      <c r="B602" s="130"/>
    </row>
    <row r="603" spans="1:33" x14ac:dyDescent="0.45">
      <c r="B603" s="130"/>
    </row>
    <row r="604" spans="1:33" x14ac:dyDescent="0.45">
      <c r="B604" s="130"/>
    </row>
    <row r="605" spans="1:33" x14ac:dyDescent="0.45">
      <c r="B605" s="130"/>
    </row>
    <row r="606" spans="1:33" x14ac:dyDescent="0.45">
      <c r="B606" s="130"/>
    </row>
    <row r="607" spans="1:33" x14ac:dyDescent="0.45">
      <c r="B607" s="130"/>
    </row>
    <row r="608" spans="1:33" x14ac:dyDescent="0.45">
      <c r="B608" s="130"/>
    </row>
    <row r="609" spans="1:33" x14ac:dyDescent="0.45">
      <c r="B609" s="130"/>
    </row>
    <row r="610" spans="1:33" x14ac:dyDescent="0.45">
      <c r="B610" s="130"/>
    </row>
    <row r="611" spans="1:33" x14ac:dyDescent="0.45">
      <c r="B611" s="130"/>
    </row>
    <row r="612" spans="1:33" x14ac:dyDescent="0.45">
      <c r="A612" s="126"/>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c r="AA612" s="129"/>
      <c r="AB612" s="129"/>
      <c r="AC612" s="129"/>
      <c r="AD612" s="129"/>
      <c r="AE612" s="129"/>
      <c r="AF612" s="129"/>
      <c r="AG612" s="129"/>
    </row>
    <row r="613" spans="1:33" x14ac:dyDescent="0.45">
      <c r="B613" s="130"/>
    </row>
    <row r="614" spans="1:33" x14ac:dyDescent="0.45">
      <c r="B614" s="131"/>
    </row>
    <row r="615" spans="1:33" x14ac:dyDescent="0.45">
      <c r="A615" s="126"/>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c r="AA615" s="129"/>
      <c r="AB615" s="129"/>
      <c r="AC615" s="129"/>
      <c r="AD615" s="129"/>
      <c r="AE615" s="129"/>
      <c r="AF615" s="129"/>
      <c r="AG615" s="129"/>
    </row>
    <row r="616" spans="1:33" x14ac:dyDescent="0.45">
      <c r="B616" s="130"/>
    </row>
    <row r="617" spans="1:33" x14ac:dyDescent="0.45">
      <c r="B617" s="130"/>
    </row>
    <row r="618" spans="1:33" x14ac:dyDescent="0.45">
      <c r="B618" s="130"/>
    </row>
    <row r="619" spans="1:33" x14ac:dyDescent="0.45">
      <c r="B619" s="130"/>
    </row>
    <row r="620" spans="1:33" x14ac:dyDescent="0.45">
      <c r="B620" s="130"/>
    </row>
    <row r="621" spans="1:33" x14ac:dyDescent="0.45">
      <c r="A621" s="126"/>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c r="AA621" s="129"/>
      <c r="AB621" s="129"/>
      <c r="AC621" s="129"/>
      <c r="AD621" s="129"/>
      <c r="AE621" s="129"/>
      <c r="AF621" s="129"/>
      <c r="AG621" s="129"/>
    </row>
    <row r="622" spans="1:33" x14ac:dyDescent="0.45">
      <c r="B622" s="130"/>
    </row>
    <row r="623" spans="1:33" x14ac:dyDescent="0.45">
      <c r="B623" s="130"/>
    </row>
    <row r="624" spans="1:33" x14ac:dyDescent="0.45">
      <c r="B624" s="130"/>
    </row>
    <row r="625" spans="1:33" x14ac:dyDescent="0.45">
      <c r="A625" s="126"/>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c r="AA625" s="129"/>
      <c r="AB625" s="129"/>
      <c r="AC625" s="129"/>
      <c r="AD625" s="129"/>
      <c r="AE625" s="129"/>
      <c r="AF625" s="129"/>
      <c r="AG625" s="129"/>
    </row>
    <row r="626" spans="1:33" x14ac:dyDescent="0.45">
      <c r="B626" s="130"/>
    </row>
    <row r="627" spans="1:33" x14ac:dyDescent="0.45">
      <c r="B627" s="130"/>
    </row>
    <row r="628" spans="1:33" x14ac:dyDescent="0.45">
      <c r="B628" s="130"/>
    </row>
    <row r="629" spans="1:33" x14ac:dyDescent="0.45">
      <c r="B629" s="130"/>
    </row>
    <row r="630" spans="1:33" x14ac:dyDescent="0.45">
      <c r="B630" s="130"/>
    </row>
    <row r="631" spans="1:33" x14ac:dyDescent="0.45">
      <c r="B631" s="130"/>
    </row>
    <row r="632" spans="1:33" x14ac:dyDescent="0.45">
      <c r="B632" s="130"/>
    </row>
    <row r="633" spans="1:33" x14ac:dyDescent="0.45">
      <c r="B633" s="130"/>
    </row>
    <row r="634" spans="1:33" x14ac:dyDescent="0.45">
      <c r="B634" s="130"/>
    </row>
    <row r="635" spans="1:33" x14ac:dyDescent="0.45">
      <c r="B635" s="130"/>
    </row>
    <row r="636" spans="1:33" x14ac:dyDescent="0.45">
      <c r="B636" s="130"/>
    </row>
    <row r="637" spans="1:33" x14ac:dyDescent="0.45">
      <c r="B637" s="130"/>
    </row>
    <row r="638" spans="1:33" x14ac:dyDescent="0.45">
      <c r="B638" s="130"/>
    </row>
    <row r="639" spans="1:33" x14ac:dyDescent="0.45">
      <c r="B639" s="130"/>
    </row>
    <row r="640" spans="1:33" x14ac:dyDescent="0.45">
      <c r="B640" s="130"/>
    </row>
    <row r="641" spans="1:33" x14ac:dyDescent="0.45">
      <c r="B641" s="130"/>
    </row>
    <row r="642" spans="1:33" x14ac:dyDescent="0.45">
      <c r="A642" s="126"/>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c r="AA642" s="129"/>
      <c r="AB642" s="129"/>
      <c r="AC642" s="129"/>
      <c r="AD642" s="129"/>
      <c r="AE642" s="129"/>
      <c r="AF642" s="129"/>
      <c r="AG642" s="129"/>
    </row>
    <row r="643" spans="1:33" x14ac:dyDescent="0.45">
      <c r="B643" s="130"/>
    </row>
    <row r="644" spans="1:33" x14ac:dyDescent="0.45">
      <c r="B644" s="130"/>
    </row>
    <row r="645" spans="1:33" x14ac:dyDescent="0.45">
      <c r="B645" s="130"/>
    </row>
    <row r="646" spans="1:33" x14ac:dyDescent="0.45">
      <c r="B646" s="130"/>
    </row>
    <row r="647" spans="1:33" x14ac:dyDescent="0.45">
      <c r="B647" s="130"/>
    </row>
    <row r="648" spans="1:33" x14ac:dyDescent="0.45">
      <c r="B648" s="130"/>
    </row>
    <row r="649" spans="1:33" x14ac:dyDescent="0.45">
      <c r="A649" s="126"/>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c r="AA649" s="129"/>
      <c r="AB649" s="129"/>
      <c r="AC649" s="129"/>
      <c r="AD649" s="129"/>
      <c r="AE649" s="129"/>
      <c r="AF649" s="129"/>
      <c r="AG649" s="129"/>
    </row>
    <row r="650" spans="1:33" x14ac:dyDescent="0.45">
      <c r="B650" s="130"/>
    </row>
    <row r="651" spans="1:33" x14ac:dyDescent="0.45">
      <c r="B651" s="130"/>
    </row>
    <row r="652" spans="1:33" x14ac:dyDescent="0.45">
      <c r="B652" s="130"/>
    </row>
    <row r="653" spans="1:33" x14ac:dyDescent="0.45">
      <c r="B653" s="130"/>
    </row>
    <row r="654" spans="1:33" x14ac:dyDescent="0.45">
      <c r="A654" s="126"/>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c r="AA654" s="129"/>
      <c r="AB654" s="129"/>
      <c r="AC654" s="129"/>
      <c r="AD654" s="129"/>
      <c r="AE654" s="129"/>
      <c r="AF654" s="129"/>
      <c r="AG654" s="129"/>
    </row>
    <row r="655" spans="1:33" x14ac:dyDescent="0.45">
      <c r="B655" s="130"/>
    </row>
    <row r="656" spans="1:33" x14ac:dyDescent="0.45">
      <c r="B656" s="130"/>
    </row>
    <row r="657" spans="1:33" x14ac:dyDescent="0.45">
      <c r="B657" s="130"/>
    </row>
    <row r="658" spans="1:33" x14ac:dyDescent="0.45">
      <c r="A658" s="126"/>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c r="AA658" s="129"/>
      <c r="AB658" s="129"/>
      <c r="AC658" s="129"/>
      <c r="AD658" s="129"/>
      <c r="AE658" s="129"/>
      <c r="AF658" s="129"/>
      <c r="AG658" s="129"/>
    </row>
    <row r="659" spans="1:33" x14ac:dyDescent="0.45">
      <c r="B659" s="130"/>
    </row>
    <row r="660" spans="1:33" x14ac:dyDescent="0.45">
      <c r="B660" s="130"/>
    </row>
    <row r="661" spans="1:33" x14ac:dyDescent="0.45">
      <c r="B661" s="130"/>
    </row>
    <row r="662" spans="1:33" x14ac:dyDescent="0.45">
      <c r="B662" s="130"/>
    </row>
    <row r="663" spans="1:33" x14ac:dyDescent="0.45">
      <c r="A663" s="126"/>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c r="AA663" s="129"/>
      <c r="AB663" s="129"/>
      <c r="AC663" s="129"/>
      <c r="AD663" s="129"/>
      <c r="AE663" s="129"/>
      <c r="AF663" s="129"/>
      <c r="AG663" s="129"/>
    </row>
    <row r="664" spans="1:33" x14ac:dyDescent="0.45">
      <c r="B664" s="130"/>
    </row>
    <row r="665" spans="1:33" x14ac:dyDescent="0.45">
      <c r="B665" s="130"/>
    </row>
    <row r="666" spans="1:33" x14ac:dyDescent="0.45">
      <c r="B666" s="130"/>
    </row>
    <row r="667" spans="1:33" x14ac:dyDescent="0.45">
      <c r="B667" s="130"/>
    </row>
    <row r="668" spans="1:33" x14ac:dyDescent="0.45">
      <c r="B668" s="130"/>
    </row>
    <row r="669" spans="1:33" x14ac:dyDescent="0.45">
      <c r="B669" s="130"/>
    </row>
    <row r="670" spans="1:33" x14ac:dyDescent="0.45">
      <c r="A670" s="126"/>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c r="AA670" s="129"/>
      <c r="AB670" s="129"/>
      <c r="AC670" s="129"/>
      <c r="AD670" s="129"/>
      <c r="AE670" s="129"/>
      <c r="AF670" s="129"/>
      <c r="AG670" s="129"/>
    </row>
    <row r="671" spans="1:33" x14ac:dyDescent="0.45">
      <c r="B671" s="130"/>
    </row>
    <row r="672" spans="1:33" x14ac:dyDescent="0.45">
      <c r="A672" s="126"/>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c r="AA672" s="129"/>
      <c r="AB672" s="129"/>
      <c r="AC672" s="129"/>
      <c r="AD672" s="129"/>
      <c r="AE672" s="129"/>
      <c r="AF672" s="129"/>
      <c r="AG672" s="129"/>
    </row>
    <row r="673" spans="1:33" x14ac:dyDescent="0.45">
      <c r="B673" s="130"/>
    </row>
    <row r="674" spans="1:33" x14ac:dyDescent="0.45">
      <c r="A674" s="126"/>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c r="AA674" s="129"/>
      <c r="AB674" s="129"/>
      <c r="AC674" s="129"/>
      <c r="AD674" s="129"/>
      <c r="AE674" s="129"/>
      <c r="AF674" s="129"/>
      <c r="AG674" s="129"/>
    </row>
    <row r="675" spans="1:33" x14ac:dyDescent="0.45">
      <c r="B675" s="130"/>
    </row>
    <row r="676" spans="1:33" x14ac:dyDescent="0.45">
      <c r="B676" s="130"/>
    </row>
    <row r="677" spans="1:33" x14ac:dyDescent="0.45">
      <c r="A677" s="126"/>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c r="AA677" s="129"/>
      <c r="AB677" s="129"/>
      <c r="AC677" s="129"/>
      <c r="AD677" s="129"/>
      <c r="AE677" s="129"/>
      <c r="AF677" s="129"/>
      <c r="AG677" s="129"/>
    </row>
    <row r="678" spans="1:33" x14ac:dyDescent="0.45">
      <c r="B678" s="130"/>
    </row>
    <row r="679" spans="1:33" x14ac:dyDescent="0.45">
      <c r="A679" s="126"/>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c r="AA679" s="129"/>
      <c r="AB679" s="129"/>
      <c r="AC679" s="129"/>
      <c r="AD679" s="129"/>
      <c r="AE679" s="129"/>
      <c r="AF679" s="129"/>
      <c r="AG679" s="129"/>
    </row>
    <row r="680" spans="1:33" x14ac:dyDescent="0.45">
      <c r="B680" s="130"/>
    </row>
    <row r="681" spans="1:33" x14ac:dyDescent="0.45">
      <c r="A681" s="126"/>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c r="AA681" s="129"/>
      <c r="AB681" s="129"/>
      <c r="AC681" s="129"/>
      <c r="AD681" s="129"/>
      <c r="AE681" s="129"/>
      <c r="AF681" s="129"/>
      <c r="AG681" s="129"/>
    </row>
    <row r="682" spans="1:33" x14ac:dyDescent="0.45">
      <c r="B682" s="130"/>
    </row>
    <row r="683" spans="1:33" x14ac:dyDescent="0.45">
      <c r="A683" s="126"/>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c r="AA683" s="129"/>
      <c r="AB683" s="129"/>
      <c r="AC683" s="129"/>
      <c r="AD683" s="129"/>
      <c r="AE683" s="129"/>
      <c r="AF683" s="129"/>
      <c r="AG683" s="129"/>
    </row>
    <row r="684" spans="1:33" x14ac:dyDescent="0.45">
      <c r="B684" s="130"/>
    </row>
    <row r="685" spans="1:33" x14ac:dyDescent="0.45">
      <c r="A685" s="126"/>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c r="AA685" s="129"/>
      <c r="AB685" s="129"/>
      <c r="AC685" s="129"/>
      <c r="AD685" s="129"/>
      <c r="AE685" s="129"/>
      <c r="AF685" s="129"/>
      <c r="AG685" s="129"/>
    </row>
    <row r="686" spans="1:33" x14ac:dyDescent="0.45">
      <c r="B686" s="130"/>
    </row>
    <row r="687" spans="1:33" x14ac:dyDescent="0.45">
      <c r="B687" s="130"/>
    </row>
    <row r="688" spans="1:33" x14ac:dyDescent="0.45">
      <c r="B688" s="130"/>
    </row>
    <row r="689" spans="1:33" x14ac:dyDescent="0.45">
      <c r="B689" s="130"/>
    </row>
    <row r="690" spans="1:33" x14ac:dyDescent="0.45">
      <c r="A690" s="126"/>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c r="AA690" s="129"/>
      <c r="AB690" s="129"/>
      <c r="AC690" s="129"/>
      <c r="AD690" s="129"/>
      <c r="AE690" s="129"/>
      <c r="AF690" s="129"/>
      <c r="AG690" s="129"/>
    </row>
    <row r="691" spans="1:33" x14ac:dyDescent="0.45">
      <c r="B691" s="130"/>
    </row>
    <row r="692" spans="1:33" x14ac:dyDescent="0.45">
      <c r="A692" s="126"/>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c r="AA692" s="129"/>
      <c r="AB692" s="129"/>
      <c r="AC692" s="129"/>
      <c r="AD692" s="129"/>
      <c r="AE692" s="129"/>
      <c r="AF692" s="129"/>
      <c r="AG692" s="129"/>
    </row>
    <row r="693" spans="1:33" x14ac:dyDescent="0.45">
      <c r="B693" s="130"/>
    </row>
    <row r="694" spans="1:33" x14ac:dyDescent="0.45">
      <c r="A694" s="126"/>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c r="AA694" s="129"/>
      <c r="AB694" s="129"/>
      <c r="AC694" s="129"/>
      <c r="AD694" s="129"/>
      <c r="AE694" s="129"/>
      <c r="AF694" s="129"/>
      <c r="AG694" s="129"/>
    </row>
    <row r="695" spans="1:33" x14ac:dyDescent="0.45">
      <c r="B695" s="130"/>
    </row>
    <row r="696" spans="1:33" x14ac:dyDescent="0.45">
      <c r="A696" s="126"/>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c r="AA696" s="129"/>
      <c r="AB696" s="129"/>
      <c r="AC696" s="129"/>
      <c r="AD696" s="129"/>
      <c r="AE696" s="129"/>
      <c r="AF696" s="129"/>
      <c r="AG696" s="129"/>
    </row>
    <row r="697" spans="1:33" x14ac:dyDescent="0.45">
      <c r="B697" s="130"/>
    </row>
    <row r="698" spans="1:33" x14ac:dyDescent="0.45">
      <c r="A698" s="126"/>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c r="AA698" s="129"/>
      <c r="AB698" s="129"/>
      <c r="AC698" s="129"/>
      <c r="AD698" s="129"/>
      <c r="AE698" s="129"/>
      <c r="AF698" s="129"/>
      <c r="AG698" s="129"/>
    </row>
    <row r="699" spans="1:33" x14ac:dyDescent="0.45">
      <c r="B699" s="130"/>
    </row>
    <row r="700" spans="1:33" x14ac:dyDescent="0.45">
      <c r="A700" s="126"/>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c r="AA700" s="129"/>
      <c r="AB700" s="129"/>
      <c r="AC700" s="129"/>
      <c r="AD700" s="129"/>
      <c r="AE700" s="129"/>
      <c r="AF700" s="129"/>
      <c r="AG700" s="129"/>
    </row>
    <row r="701" spans="1:33" x14ac:dyDescent="0.45">
      <c r="B701" s="130"/>
    </row>
    <row r="702" spans="1:33" x14ac:dyDescent="0.45">
      <c r="A702" s="126"/>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c r="AA702" s="129"/>
      <c r="AB702" s="129"/>
      <c r="AC702" s="129"/>
      <c r="AD702" s="129"/>
      <c r="AE702" s="129"/>
      <c r="AF702" s="129"/>
      <c r="AG702" s="129"/>
    </row>
    <row r="703" spans="1:33" x14ac:dyDescent="0.45">
      <c r="B703" s="130"/>
    </row>
    <row r="704" spans="1:33" x14ac:dyDescent="0.45">
      <c r="B704" s="130"/>
    </row>
    <row r="705" spans="1:33" x14ac:dyDescent="0.45">
      <c r="B705" s="130"/>
    </row>
    <row r="706" spans="1:33" x14ac:dyDescent="0.45">
      <c r="B706" s="130"/>
    </row>
    <row r="707" spans="1:33" x14ac:dyDescent="0.45">
      <c r="B707" s="130"/>
    </row>
    <row r="708" spans="1:33" x14ac:dyDescent="0.45">
      <c r="B708" s="130"/>
    </row>
    <row r="709" spans="1:33" x14ac:dyDescent="0.45">
      <c r="A709" s="127"/>
      <c r="B709" s="132"/>
      <c r="C709" s="132"/>
      <c r="D709" s="132"/>
      <c r="E709" s="132"/>
      <c r="F709" s="132"/>
      <c r="G709" s="132"/>
      <c r="H709" s="132"/>
      <c r="I709" s="132"/>
      <c r="J709" s="132"/>
      <c r="K709" s="132"/>
      <c r="L709" s="132"/>
      <c r="M709" s="132"/>
      <c r="N709" s="132"/>
      <c r="O709" s="132"/>
      <c r="P709" s="132"/>
      <c r="Q709" s="132"/>
      <c r="R709" s="132"/>
      <c r="S709" s="132"/>
      <c r="T709" s="132"/>
      <c r="U709" s="132"/>
      <c r="V709" s="132"/>
      <c r="W709" s="132"/>
      <c r="X709" s="132"/>
      <c r="Y709" s="132"/>
      <c r="Z709" s="132"/>
      <c r="AA709" s="132"/>
      <c r="AB709" s="132"/>
      <c r="AC709" s="132"/>
      <c r="AD709" s="132"/>
      <c r="AE709" s="132"/>
      <c r="AF709" s="132"/>
      <c r="AG709" s="132"/>
    </row>
  </sheetData>
  <conditionalFormatting sqref="B614">
    <cfRule type="duplicateValues" dxfId="38" priority="5"/>
  </conditionalFormatting>
  <conditionalFormatting sqref="B1:B1048576">
    <cfRule type="duplicateValues" dxfId="37" priority="1"/>
    <cfRule type="duplicateValues" dxfId="36" priority="2"/>
    <cfRule type="duplicateValues" dxfId="35" priority="3"/>
    <cfRule type="duplicateValues" dxfId="34" priority="4"/>
  </conditionalFormatting>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7B30B-FAD3-468A-B4EB-8C38FF6ADAEE}">
  <sheetPr codeName="Blad13" filterMode="1">
    <tabColor theme="9" tint="0.39997558519241921"/>
  </sheetPr>
  <dimension ref="A1:CA419"/>
  <sheetViews>
    <sheetView workbookViewId="0">
      <pane xSplit="2" ySplit="1" topLeftCell="X407" activePane="bottomRight" state="frozen"/>
      <selection pane="topRight" activeCell="C1" sqref="C1"/>
      <selection pane="bottomLeft" activeCell="A2" sqref="A2"/>
      <selection pane="bottomRight" activeCell="AJ429" sqref="AJ428:AJ429"/>
    </sheetView>
  </sheetViews>
  <sheetFormatPr defaultColWidth="9.1328125" defaultRowHeight="14.25" x14ac:dyDescent="0.45"/>
  <cols>
    <col min="1" max="1" width="30" style="31" customWidth="1"/>
    <col min="2" max="2" width="50" style="31" customWidth="1"/>
    <col min="3" max="19" width="9.1328125" style="31"/>
    <col min="20" max="20" width="9.86328125" style="31" bestFit="1" customWidth="1"/>
    <col min="21" max="32" width="9.1328125" style="31"/>
    <col min="33" max="33" width="8.86328125"/>
    <col min="34" max="37" width="9.1328125" style="31"/>
    <col min="38" max="38" width="9.86328125" style="31" bestFit="1" customWidth="1"/>
    <col min="39" max="54" width="9.1328125" style="31"/>
    <col min="55" max="55" width="9.86328125" style="31" bestFit="1" customWidth="1"/>
    <col min="56" max="62" width="9.1328125" style="31"/>
    <col min="63" max="63" width="9.86328125" style="31" bestFit="1" customWidth="1"/>
    <col min="64" max="67" width="9.1328125" style="31"/>
    <col min="68" max="68" width="7.3984375" style="32" customWidth="1"/>
    <col min="69" max="69" width="6.86328125" style="32" customWidth="1"/>
    <col min="70" max="74" width="9.1328125" style="31"/>
    <col min="75" max="75" width="9.1328125" style="32"/>
    <col min="76" max="16384" width="9.1328125" style="31"/>
  </cols>
  <sheetData>
    <row r="1" spans="1:79" customFormat="1" ht="102" x14ac:dyDescent="0.45">
      <c r="A1" s="67" t="s">
        <v>724</v>
      </c>
      <c r="B1" s="67" t="s">
        <v>2</v>
      </c>
      <c r="C1" s="67" t="s">
        <v>1220</v>
      </c>
      <c r="D1" s="67" t="s">
        <v>747</v>
      </c>
      <c r="E1" s="67" t="s">
        <v>1293</v>
      </c>
      <c r="F1" s="67" t="s">
        <v>745</v>
      </c>
      <c r="G1" s="67" t="s">
        <v>727</v>
      </c>
      <c r="H1" s="67" t="s">
        <v>1212</v>
      </c>
      <c r="I1" s="67" t="s">
        <v>726</v>
      </c>
      <c r="J1" s="48" t="s">
        <v>736</v>
      </c>
      <c r="K1" s="331" t="s">
        <v>766</v>
      </c>
      <c r="L1" s="67" t="s">
        <v>1294</v>
      </c>
      <c r="M1" s="67" t="s">
        <v>1226</v>
      </c>
      <c r="N1" s="67" t="s">
        <v>1224</v>
      </c>
      <c r="O1" s="67" t="s">
        <v>1222</v>
      </c>
      <c r="P1" s="67" t="s">
        <v>1221</v>
      </c>
      <c r="Q1" s="67" t="s">
        <v>1295</v>
      </c>
      <c r="R1" s="67" t="s">
        <v>1216</v>
      </c>
      <c r="S1" s="67" t="s">
        <v>1217</v>
      </c>
      <c r="T1" s="67" t="s">
        <v>1215</v>
      </c>
      <c r="U1" s="67" t="s">
        <v>1296</v>
      </c>
      <c r="V1" s="67" t="s">
        <v>754</v>
      </c>
      <c r="W1" s="67" t="s">
        <v>739</v>
      </c>
      <c r="X1" s="67" t="s">
        <v>1297</v>
      </c>
      <c r="Y1" s="67" t="s">
        <v>1219</v>
      </c>
      <c r="Z1" s="67" t="s">
        <v>1225</v>
      </c>
      <c r="AA1" s="67" t="s">
        <v>1214</v>
      </c>
      <c r="AB1" s="67" t="s">
        <v>1213</v>
      </c>
      <c r="AC1" s="67" t="s">
        <v>1223</v>
      </c>
      <c r="AD1" s="331" t="s">
        <v>783</v>
      </c>
      <c r="AE1" s="67" t="s">
        <v>1227</v>
      </c>
      <c r="AF1" s="67" t="s">
        <v>1218</v>
      </c>
      <c r="AG1" s="49" t="s">
        <v>1257</v>
      </c>
      <c r="AH1" s="31"/>
      <c r="AI1" s="50" t="s">
        <v>1258</v>
      </c>
      <c r="AJ1" s="50" t="s">
        <v>1259</v>
      </c>
      <c r="AK1" s="51" t="s">
        <v>1260</v>
      </c>
      <c r="AL1" s="51" t="s">
        <v>1261</v>
      </c>
      <c r="AM1" s="51" t="s">
        <v>1262</v>
      </c>
      <c r="AN1" s="50" t="s">
        <v>1263</v>
      </c>
      <c r="AO1" s="52" t="s">
        <v>1264</v>
      </c>
      <c r="AP1" s="60" t="s">
        <v>1210</v>
      </c>
      <c r="AQ1" s="53" t="s">
        <v>1266</v>
      </c>
      <c r="AS1" s="31"/>
      <c r="AT1" s="54" t="s">
        <v>1267</v>
      </c>
      <c r="AU1" s="55" t="s">
        <v>1268</v>
      </c>
      <c r="AV1" s="56" t="s">
        <v>751</v>
      </c>
      <c r="AW1" s="56" t="s">
        <v>734</v>
      </c>
      <c r="AX1" s="56" t="s">
        <v>1269</v>
      </c>
      <c r="AY1" s="56"/>
      <c r="AZ1" s="57" t="s">
        <v>1270</v>
      </c>
      <c r="BC1" t="s">
        <v>1271</v>
      </c>
      <c r="BD1" t="s">
        <v>1272</v>
      </c>
      <c r="BE1" t="s">
        <v>1273</v>
      </c>
      <c r="BF1" t="s">
        <v>1274</v>
      </c>
      <c r="BG1" s="58" t="s">
        <v>786</v>
      </c>
      <c r="BH1" s="59" t="s">
        <v>1275</v>
      </c>
      <c r="BI1" s="59" t="s">
        <v>1276</v>
      </c>
      <c r="BJ1" s="59" t="s">
        <v>1277</v>
      </c>
      <c r="BK1" s="304" t="s">
        <v>1278</v>
      </c>
      <c r="BL1" s="58" t="s">
        <v>1279</v>
      </c>
      <c r="BO1" s="306" t="s">
        <v>1280</v>
      </c>
      <c r="BP1" s="307" t="s">
        <v>1281</v>
      </c>
      <c r="BQ1" s="307" t="s">
        <v>1282</v>
      </c>
      <c r="BR1" s="306" t="s">
        <v>1283</v>
      </c>
      <c r="BS1" s="24"/>
      <c r="BT1" s="24" t="s">
        <v>1284</v>
      </c>
      <c r="BW1" s="307" t="s">
        <v>1285</v>
      </c>
      <c r="BZ1" s="24" t="s">
        <v>1286</v>
      </c>
      <c r="CA1" s="24" t="s">
        <v>1287</v>
      </c>
    </row>
    <row r="2" spans="1:79" x14ac:dyDescent="0.45">
      <c r="A2" s="31" t="s">
        <v>15</v>
      </c>
      <c r="B2" s="31" t="s">
        <v>24</v>
      </c>
      <c r="C2" s="31">
        <f>VLOOKUP($B2,'Tillförd energi'!$B$1:$AI$720,MATCH(C$1,'Tillförd energi'!$B$1:$AQ$1,0),FALSE)</f>
        <v>0</v>
      </c>
      <c r="D2" s="31">
        <f>VLOOKUP($B2,'Tillförd energi'!$B$1:$AI$720,MATCH(D$1,'Tillförd energi'!$B$1:$AQ$1,0),FALSE)</f>
        <v>1.252</v>
      </c>
      <c r="E2" s="31">
        <f>VLOOKUP($B2,'Tillförd energi'!$B$1:$AI$720,MATCH(E$1,'Tillförd energi'!$B$1:$AQ$1,0),FALSE)</f>
        <v>0</v>
      </c>
      <c r="F2" s="31">
        <f>VLOOKUP($B2,'Tillförd energi'!$B$1:$AI$720,MATCH(F$1,'Tillförd energi'!$B$1:$AQ$1,0),FALSE)</f>
        <v>0</v>
      </c>
      <c r="G2" s="31">
        <f>VLOOKUP($B2,'Tillförd energi'!$B$1:$AI$720,MATCH(G$1,'Tillförd energi'!$B$1:$AQ$1,0),FALSE)</f>
        <v>0</v>
      </c>
      <c r="H2" s="31">
        <f>VLOOKUP($B2,'Tillförd energi'!$B$1:$AI$720,MATCH(H$1,'Tillförd energi'!$B$1:$AQ$1,0),FALSE)</f>
        <v>0</v>
      </c>
      <c r="I2" s="31">
        <f>VLOOKUP($B2,'Tillförd energi'!$B$1:$AI$720,MATCH(I$1,'Tillförd energi'!$B$1:$AQ$1,0),FALSE)</f>
        <v>0</v>
      </c>
      <c r="J2" s="31">
        <f>VLOOKUP($B2,'Tillförd energi'!$B$1:$AI$720,MATCH(J$1,'Tillförd energi'!$B$1:$AQ$1,0),FALSE)</f>
        <v>0</v>
      </c>
      <c r="K2" s="31">
        <f>VLOOKUP($B2,'Tillförd energi'!$B$1:$AI$720,MATCH(K$1,'Tillförd energi'!$B$1:$AQ$1,0),FALSE)</f>
        <v>0</v>
      </c>
      <c r="L2" s="31">
        <f>VLOOKUP($B2,'Tillförd energi'!$B$1:$AI$720,MATCH(L$1,'Tillförd energi'!$B$1:$AQ$1,0),FALSE)</f>
        <v>0</v>
      </c>
      <c r="M2" s="31">
        <f>VLOOKUP($B2,'Tillförd energi'!$B$1:$AI$720,MATCH(M$1,'Tillförd energi'!$B$1:$AQ$1,0),FALSE)</f>
        <v>0</v>
      </c>
      <c r="N2" s="31">
        <f>VLOOKUP($B2,'Tillförd energi'!$B$1:$AI$720,MATCH(N$1,'Tillförd energi'!$B$1:$AQ$1,0),FALSE)</f>
        <v>0</v>
      </c>
      <c r="O2" s="31">
        <f>VLOOKUP($B2,'Tillförd energi'!$B$1:$AI$720,MATCH(O$1,'Tillförd energi'!$B$1:$AQ$1,0),FALSE)</f>
        <v>0</v>
      </c>
      <c r="P2" s="31">
        <f>VLOOKUP($B2,'Tillförd energi'!$B$1:$AI$720,MATCH(P$1,'Tillförd energi'!$B$1:$AQ$1,0),FALSE)</f>
        <v>0</v>
      </c>
      <c r="Q2" s="31">
        <f>VLOOKUP($B2,'Tillförd energi'!$B$1:$AI$720,MATCH(Q$1,'Tillförd energi'!$B$1:$AQ$1,0),FALSE)</f>
        <v>65.849000000000004</v>
      </c>
      <c r="R2" s="31">
        <f>VLOOKUP($B2,'Tillförd energi'!$B$1:$AI$720,MATCH(R$1,'Tillförd energi'!$B$1:$AQ$1,0),FALSE)</f>
        <v>0</v>
      </c>
      <c r="S2" s="31">
        <f>VLOOKUP($B2,'Tillförd energi'!$B$1:$AI$720,MATCH(S$1,'Tillförd energi'!$B$1:$AQ$1,0),FALSE)</f>
        <v>0</v>
      </c>
      <c r="T2" s="31">
        <f>VLOOKUP($B2,'Tillförd energi'!$B$1:$AI$720,MATCH(T$1,'Tillförd energi'!$B$1:$AQ$1,0),FALSE)</f>
        <v>0</v>
      </c>
      <c r="U2" s="31">
        <f>VLOOKUP($B2,'Tillförd energi'!$B$1:$AI$720,MATCH(U$1,'Tillförd energi'!$B$1:$AQ$1,0),FALSE)</f>
        <v>0</v>
      </c>
      <c r="V2" s="31">
        <f>VLOOKUP($B2,'Tillförd energi'!$B$1:$AI$720,MATCH(V$1,'Tillförd energi'!$B$1:$AQ$1,0),FALSE)</f>
        <v>0</v>
      </c>
      <c r="W2" s="31">
        <f>VLOOKUP($B2,'Tillförd energi'!$B$1:$AI$720,MATCH(W$1,'Tillförd energi'!$B$1:$AQ$1,0),FALSE)</f>
        <v>0</v>
      </c>
      <c r="X2" s="31">
        <f>VLOOKUP($B2,'Tillförd energi'!$B$1:$AI$720,MATCH(X$1,'Tillförd energi'!$B$1:$AQ$1,0),FALSE)</f>
        <v>0</v>
      </c>
      <c r="Y2" s="31">
        <f>VLOOKUP($B2,'Tillförd energi'!$B$1:$AI$720,MATCH(Y$1,'Tillförd energi'!$B$1:$AQ$1,0),FALSE)</f>
        <v>0</v>
      </c>
      <c r="Z2" s="31">
        <f>VLOOKUP($B2,'Tillförd energi'!$B$1:$AI$720,MATCH(Z$1,'Tillförd energi'!$B$1:$AQ$1,0),FALSE)</f>
        <v>0</v>
      </c>
      <c r="AA2" s="31">
        <f>VLOOKUP($B2,'Tillförd energi'!$B$1:$AI$720,MATCH(AA$1,'Tillförd energi'!$B$1:$AQ$1,0),FALSE)</f>
        <v>0</v>
      </c>
      <c r="AB2" s="31">
        <f>VLOOKUP($B2,'Tillförd energi'!$B$1:$AI$720,MATCH(AB$1,'Tillförd energi'!$B$1:$AQ$1,0),FALSE)</f>
        <v>0</v>
      </c>
      <c r="AC2" s="31">
        <f>VLOOKUP($B2,'Tillförd energi'!$B$1:$AI$720,MATCH(AC$1,'Tillförd energi'!$B$1:$AQ$1,0),FALSE)</f>
        <v>8.9290000000000003</v>
      </c>
      <c r="AD2" s="31">
        <f>VLOOKUP($B2,'Tillförd energi'!$B$1:$AI$720,MATCH(AD$1,'Tillförd energi'!$B$1:$AQ$1,0),FALSE)</f>
        <v>0</v>
      </c>
      <c r="AE2" s="31">
        <f>VLOOKUP($B2,'Tillförd energi'!$B$1:$AI$720,MATCH(AE$1,'Tillförd energi'!$B$1:$AQ$1,0),FALSE)</f>
        <v>0</v>
      </c>
      <c r="AF2" s="31">
        <f>VLOOKUP($B2,'Tillförd energi'!$B$1:$AI$720,MATCH(AF$1,'Tillförd energi'!$B$1:$AQ$1,0),FALSE)</f>
        <v>2.23</v>
      </c>
      <c r="AG2" s="31">
        <f>IFERROR(VLOOKUP(B2,Miljö!$B$1:$AC$550,MATCH("Köpt mängd produktionsspecifik fjärrvärme:",Miljö!$B$1:$AC$1,0),FALSE)/1,0)</f>
        <v>0</v>
      </c>
      <c r="AI2" s="31">
        <f>SUM(C2:AF2)</f>
        <v>78.260000000000005</v>
      </c>
      <c r="AJ2" s="31">
        <f>SUM(C2:AG2)</f>
        <v>78.260000000000005</v>
      </c>
      <c r="AK2" s="31">
        <f>IF(ISERROR(1/VLOOKUP($B2,Leveranser!$B$1:$S$499,MATCH("Såld värme (GWh)",Leveranser!$B$1:$S$1,0),FALSE)),"",VLOOKUP($B2,Leveranser!$B$1:$S$499,MATCH("Såld värme (GWh)",Leveranser!$B$1:$S$1,0),FALSE))</f>
        <v>59.720999999999997</v>
      </c>
      <c r="AL2" s="31">
        <f>VLOOKUP($B2,Leveranser!$B$1:$Y$499,MATCH("Totalt såld fjärrvärme till andra fjärrvärmeföretag",Leveranser!$B$1:$AA$1,0),FALSE)</f>
        <v>0</v>
      </c>
      <c r="AM2" s="31">
        <f>IF(ISERROR(1/VLOOKUP($B2,Miljö!$B$1:$S$500,MATCH("Såld mängd produktionsspecifik fjärrvärme (GWh)",Miljö!$B$1:$R$1,0),FALSE)),0,VLOOKUP($B2,Miljö!$B$1:$S$500,MATCH("Såld mängd produktionsspecifik fjärrvärme (GWh)",Miljö!$B$1:$R$1,0),FALSE))</f>
        <v>0</v>
      </c>
      <c r="AN2" s="32">
        <f>IFERROR(AK2/AJ2,"")</f>
        <v>0.76311014566828506</v>
      </c>
      <c r="AP2" s="31" t="str">
        <f>IFERROR(VLOOKUP($B2,Miljövärden!$B$2:$H$550,7,FALSE),"Nej, saknas")</f>
        <v>Ja</v>
      </c>
      <c r="AQ2" s="31" t="str">
        <f>IFERROR(VLOOKUP($B2,Miljövärden!$B$2:$H$551,6,FALSE),"Nej, saknas")</f>
        <v>Ja</v>
      </c>
      <c r="AU2" s="31">
        <f>Z2+AA2+AF2</f>
        <v>2.23</v>
      </c>
      <c r="AV2" s="31">
        <f>X2</f>
        <v>0</v>
      </c>
      <c r="AW2" s="31">
        <f>M2+N2+O2+P2+Q2</f>
        <v>65.849000000000004</v>
      </c>
      <c r="AX2" s="31">
        <f>R2+S2+T2+U2</f>
        <v>0</v>
      </c>
      <c r="AZ2" s="31">
        <f>L2+M2+N2+O2+P2+Q2+R2+S2+T2+U2+V2+W2+X2</f>
        <v>65.849000000000004</v>
      </c>
      <c r="BC2" s="31">
        <f>C2+D2+E2+F2+G2+H2+AE2</f>
        <v>1.252</v>
      </c>
      <c r="BD2" s="31">
        <f>Y2</f>
        <v>0</v>
      </c>
      <c r="BE2" s="31">
        <f>M2+N2+O2+P2+Q2+R2+S2+T2+U2+V2+W2+X2</f>
        <v>65.849000000000004</v>
      </c>
      <c r="BF2" s="31">
        <f>I2+J2+K2+L2+AB2+AC2+AD2</f>
        <v>8.9290000000000003</v>
      </c>
      <c r="BG2" s="31">
        <f>Z2+AA2+AF2</f>
        <v>2.23</v>
      </c>
      <c r="BH2" s="31">
        <f>VLOOKUP(B2,Miljö!$B$1:$BX$482,MATCH("Fossilandel för ursprungspecificerad el ()",Miljö!$B$1:$I$1,0),FALSE)</f>
        <v>0</v>
      </c>
      <c r="BI2" s="31">
        <f>VLOOKUP(B2,Miljö!$B$1:$BX$482,MATCH("Kärnkraftsandel för ursprungsspecificerad el ()",Miljö!$B$1:$O$1,0),FALSE)</f>
        <v>1</v>
      </c>
      <c r="BJ2" s="31">
        <f>AG2</f>
        <v>0</v>
      </c>
      <c r="BK2" s="31" t="str">
        <f>VLOOKUP(B2,Miljö!$B$1:$P$482,MATCH("Fossil andel i procent (%)",Miljö!$B$1:$P$1,0),FALSE)</f>
        <v>ET</v>
      </c>
      <c r="BL2" s="31">
        <f>SUM(BC2:BG2,BJ2)</f>
        <v>78.260000000000005</v>
      </c>
      <c r="BN2" s="31">
        <f>IF(AP2="ja",(BC2+IFERROR(BG2*BH2,0)+IFERROR(BJ2*BK2/100,0))/$BL2,"")</f>
        <v>1.5997955532839253E-2</v>
      </c>
      <c r="BO2" s="32">
        <f>IF(AP2="ja",(BC2+IFERROR(BG2*BH2,0)+IFERROR(BJ2*BK2/100,0))/$BL2,"")</f>
        <v>1.5997955532839253E-2</v>
      </c>
      <c r="BP2" s="32">
        <f>IF(AP2="ja",(BD2+IFERROR(BG2*BI2,0)+IFERROR(BJ2*(1-BK2/100),0))/$BL2,"")</f>
        <v>2.8494761052900587E-2</v>
      </c>
      <c r="BQ2" s="32">
        <f>IF(AP2="ja",(BE2+IFERROR(BG2*(1-BH2-BI2),0))/$BL2,"")</f>
        <v>0.84141323792486578</v>
      </c>
      <c r="BR2" s="32">
        <f>IF(AP2="Ja",BF2/$BL2,"")</f>
        <v>0.11409404548939432</v>
      </c>
      <c r="BT2" s="62">
        <f>SUM(BO2:BR2)</f>
        <v>0.99999999999999989</v>
      </c>
      <c r="BW2" s="32">
        <f>IF(AP2="Ja",VLOOKUP(B2,Miljövärden!$B$2:$H$551,MATCH("Total andel fossilt",Miljövärden!$B$2:$H$2,0),FALSE),"")</f>
        <v>1.5997999999999998E-2</v>
      </c>
      <c r="BX2" s="62">
        <f>BW2-BO2</f>
        <v>4.4467160745242928E-8</v>
      </c>
      <c r="BZ2" s="31">
        <f>IFERROR(BW2-BO2,"")</f>
        <v>4.4467160745242928E-8</v>
      </c>
      <c r="CA2" s="32">
        <f>IFERROR(ROUND(BW2,3)-ROUND(BO2,3),"")</f>
        <v>0</v>
      </c>
    </row>
    <row r="3" spans="1:79" x14ac:dyDescent="0.45">
      <c r="A3" s="31" t="s">
        <v>15</v>
      </c>
      <c r="B3" s="31" t="s">
        <v>16</v>
      </c>
      <c r="C3" s="31">
        <f>VLOOKUP($B3,'Tillförd energi'!$B$1:$AI$720,MATCH(C$1,'Tillförd energi'!$B$1:$AQ$1,0),FALSE)</f>
        <v>0</v>
      </c>
      <c r="D3" s="31">
        <f>VLOOKUP($B3,'Tillförd energi'!$B$1:$AI$720,MATCH(D$1,'Tillförd energi'!$B$1:$AQ$1,0),FALSE)</f>
        <v>0</v>
      </c>
      <c r="E3" s="31">
        <f>VLOOKUP($B3,'Tillförd energi'!$B$1:$AI$720,MATCH(E$1,'Tillförd energi'!$B$1:$AQ$1,0),FALSE)</f>
        <v>0</v>
      </c>
      <c r="F3" s="31">
        <f>VLOOKUP($B3,'Tillförd energi'!$B$1:$AI$720,MATCH(F$1,'Tillförd energi'!$B$1:$AQ$1,0),FALSE)</f>
        <v>0</v>
      </c>
      <c r="G3" s="31">
        <f>VLOOKUP($B3,'Tillförd energi'!$B$1:$AI$720,MATCH(G$1,'Tillförd energi'!$B$1:$AQ$1,0),FALSE)</f>
        <v>0</v>
      </c>
      <c r="H3" s="31">
        <f>VLOOKUP($B3,'Tillförd energi'!$B$1:$AI$720,MATCH(H$1,'Tillförd energi'!$B$1:$AQ$1,0),FALSE)</f>
        <v>0</v>
      </c>
      <c r="I3" s="31">
        <f>VLOOKUP($B3,'Tillförd energi'!$B$1:$AI$720,MATCH(I$1,'Tillförd energi'!$B$1:$AQ$1,0),FALSE)</f>
        <v>0</v>
      </c>
      <c r="J3" s="31">
        <f>VLOOKUP($B3,'Tillförd energi'!$B$1:$AI$720,MATCH(J$1,'Tillförd energi'!$B$1:$AQ$1,0),FALSE)</f>
        <v>0.48099999999999998</v>
      </c>
      <c r="K3" s="31">
        <f>VLOOKUP($B3,'Tillförd energi'!$B$1:$AI$720,MATCH(K$1,'Tillförd energi'!$B$1:$AQ$1,0),FALSE)</f>
        <v>0</v>
      </c>
      <c r="L3" s="31">
        <f>VLOOKUP($B3,'Tillförd energi'!$B$1:$AI$720,MATCH(L$1,'Tillförd energi'!$B$1:$AQ$1,0),FALSE)</f>
        <v>0</v>
      </c>
      <c r="M3" s="31">
        <f>VLOOKUP($B3,'Tillförd energi'!$B$1:$AI$720,MATCH(M$1,'Tillförd energi'!$B$1:$AQ$1,0),FALSE)</f>
        <v>0</v>
      </c>
      <c r="N3" s="31">
        <f>VLOOKUP($B3,'Tillförd energi'!$B$1:$AI$720,MATCH(N$1,'Tillförd energi'!$B$1:$AQ$1,0),FALSE)</f>
        <v>0</v>
      </c>
      <c r="O3" s="31">
        <f>VLOOKUP($B3,'Tillförd energi'!$B$1:$AI$720,MATCH(O$1,'Tillförd energi'!$B$1:$AQ$1,0),FALSE)</f>
        <v>0</v>
      </c>
      <c r="P3" s="31">
        <f>VLOOKUP($B3,'Tillförd energi'!$B$1:$AI$720,MATCH(P$1,'Tillförd energi'!$B$1:$AQ$1,0),FALSE)</f>
        <v>0</v>
      </c>
      <c r="Q3" s="31">
        <f>VLOOKUP($B3,'Tillförd energi'!$B$1:$AI$720,MATCH(Q$1,'Tillförd energi'!$B$1:$AQ$1,0),FALSE)</f>
        <v>0</v>
      </c>
      <c r="R3" s="31">
        <f>VLOOKUP($B3,'Tillförd energi'!$B$1:$AI$720,MATCH(R$1,'Tillförd energi'!$B$1:$AQ$1,0),FALSE)</f>
        <v>8.4</v>
      </c>
      <c r="S3" s="31">
        <f>VLOOKUP($B3,'Tillförd energi'!$B$1:$AI$720,MATCH(S$1,'Tillförd energi'!$B$1:$AQ$1,0),FALSE)</f>
        <v>0</v>
      </c>
      <c r="T3" s="31">
        <f>VLOOKUP($B3,'Tillförd energi'!$B$1:$AI$720,MATCH(T$1,'Tillförd energi'!$B$1:$AQ$1,0),FALSE)</f>
        <v>0</v>
      </c>
      <c r="U3" s="31">
        <f>VLOOKUP($B3,'Tillförd energi'!$B$1:$AI$720,MATCH(U$1,'Tillförd energi'!$B$1:$AQ$1,0),FALSE)</f>
        <v>0</v>
      </c>
      <c r="V3" s="31">
        <f>VLOOKUP($B3,'Tillförd energi'!$B$1:$AI$720,MATCH(V$1,'Tillförd energi'!$B$1:$AQ$1,0),FALSE)</f>
        <v>0</v>
      </c>
      <c r="W3" s="31">
        <f>VLOOKUP($B3,'Tillförd energi'!$B$1:$AI$720,MATCH(W$1,'Tillförd energi'!$B$1:$AQ$1,0),FALSE)</f>
        <v>0</v>
      </c>
      <c r="X3" s="31">
        <f>VLOOKUP($B3,'Tillförd energi'!$B$1:$AI$720,MATCH(X$1,'Tillförd energi'!$B$1:$AQ$1,0),FALSE)</f>
        <v>0</v>
      </c>
      <c r="Y3" s="31">
        <f>VLOOKUP($B3,'Tillförd energi'!$B$1:$AI$720,MATCH(Y$1,'Tillförd energi'!$B$1:$AQ$1,0),FALSE)</f>
        <v>0</v>
      </c>
      <c r="Z3" s="31">
        <f>VLOOKUP($B3,'Tillförd energi'!$B$1:$AI$720,MATCH(Z$1,'Tillförd energi'!$B$1:$AQ$1,0),FALSE)</f>
        <v>0</v>
      </c>
      <c r="AA3" s="31">
        <f>VLOOKUP($B3,'Tillförd energi'!$B$1:$AI$720,MATCH(AA$1,'Tillförd energi'!$B$1:$AQ$1,0),FALSE)</f>
        <v>0</v>
      </c>
      <c r="AB3" s="31">
        <f>VLOOKUP($B3,'Tillförd energi'!$B$1:$AI$720,MATCH(AB$1,'Tillförd energi'!$B$1:$AQ$1,0),FALSE)</f>
        <v>0</v>
      </c>
      <c r="AC3" s="31">
        <f>VLOOKUP($B3,'Tillförd energi'!$B$1:$AI$720,MATCH(AC$1,'Tillförd energi'!$B$1:$AQ$1,0),FALSE)</f>
        <v>0</v>
      </c>
      <c r="AD3" s="31">
        <f>VLOOKUP($B3,'Tillförd energi'!$B$1:$AI$720,MATCH(AD$1,'Tillförd energi'!$B$1:$AQ$1,0),FALSE)</f>
        <v>0</v>
      </c>
      <c r="AE3" s="31">
        <f>VLOOKUP($B3,'Tillförd energi'!$B$1:$AI$720,MATCH(AE$1,'Tillförd energi'!$B$1:$AQ$1,0),FALSE)</f>
        <v>0</v>
      </c>
      <c r="AF3" s="31">
        <f>VLOOKUP($B3,'Tillförd energi'!$B$1:$AI$720,MATCH(AF$1,'Tillförd energi'!$B$1:$AQ$1,0),FALSE)</f>
        <v>0.14299999999999999</v>
      </c>
      <c r="AG3" s="31">
        <f>IFERROR(VLOOKUP(B3,Miljö!$B$1:$AC$550,MATCH("Köpt mängd produktionsspecifik fjärrvärme:",Miljö!$B$1:$AC$1,0),FALSE)/1,0)</f>
        <v>0</v>
      </c>
      <c r="AI3" s="31">
        <f t="shared" ref="AI3:AI66" si="0">SUM(C3:AF3)</f>
        <v>9.0240000000000009</v>
      </c>
      <c r="AJ3" s="31">
        <f t="shared" ref="AJ3:AJ66" si="1">SUM(C3:AG3)</f>
        <v>9.0240000000000009</v>
      </c>
      <c r="AK3" s="31">
        <f>IF(ISERROR(1/VLOOKUP($B3,Leveranser!$B$1:$S$499,MATCH("Såld värme (GWh)",Leveranser!$B$1:$S$1,0),FALSE)),"",VLOOKUP($B3,Leveranser!$B$1:$S$499,MATCH("Såld värme (GWh)",Leveranser!$B$1:$S$1,0),FALSE))</f>
        <v>7.4340000000000002</v>
      </c>
      <c r="AL3" s="31">
        <f>VLOOKUP($B3,Leveranser!$B$1:$Y$499,MATCH("Totalt såld fjärrvärme till andra fjärrvärmeföretag",Leveranser!$B$1:$AA$1,0),FALSE)</f>
        <v>0</v>
      </c>
      <c r="AM3" s="31">
        <f>IF(ISERROR(1/VLOOKUP($B3,Miljö!$B$1:$S$500,MATCH("Såld mängd produktionsspecifik fjärrvärme (GWh)",Miljö!$B$1:$R$1,0),FALSE)),0,VLOOKUP($B3,Miljö!$B$1:$S$500,MATCH("Såld mängd produktionsspecifik fjärrvärme (GWh)",Miljö!$B$1:$R$1,0),FALSE))</f>
        <v>0</v>
      </c>
      <c r="AN3" s="32">
        <f t="shared" ref="AN3:AN66" si="2">IFERROR(AK3/AJ3,"")</f>
        <v>0.82380319148936165</v>
      </c>
      <c r="AP3" s="31" t="str">
        <f>IFERROR(VLOOKUP($B3,Miljövärden!$B$2:$H$550,7,FALSE),"Nej, saknas")</f>
        <v>Ja</v>
      </c>
      <c r="AQ3" s="31" t="str">
        <f>IFERROR(VLOOKUP($B3,Miljövärden!$B$2:$H$551,6,FALSE),"Nej, saknas")</f>
        <v>Ja</v>
      </c>
      <c r="AU3" s="31">
        <f t="shared" ref="AU3:AU66" si="3">Z3+AA3+AF3</f>
        <v>0.14299999999999999</v>
      </c>
      <c r="AV3" s="31">
        <f t="shared" ref="AV3:AV66" si="4">X3</f>
        <v>0</v>
      </c>
      <c r="AW3" s="31">
        <f t="shared" ref="AW3:AW66" si="5">M3+N3+O3+P3+Q3</f>
        <v>0</v>
      </c>
      <c r="AX3" s="31">
        <f t="shared" ref="AX3:AX66" si="6">R3+S3+T3+U3</f>
        <v>8.4</v>
      </c>
      <c r="AZ3" s="31">
        <f t="shared" ref="AZ3:AZ66" si="7">L3+M3+N3+O3+P3+Q3+R3+S3+T3+U3+V3+W3+X3</f>
        <v>8.4</v>
      </c>
      <c r="BC3" s="31">
        <f t="shared" ref="BC3:BC66" si="8">C3+D3+E3+F3+G3+H3+AE3</f>
        <v>0</v>
      </c>
      <c r="BD3" s="31">
        <f t="shared" ref="BD3:BD66" si="9">Y3</f>
        <v>0</v>
      </c>
      <c r="BE3" s="31">
        <f t="shared" ref="BE3:BE66" si="10">M3+N3+O3+P3+Q3+R3+S3+T3+U3+V3+W3+X3</f>
        <v>8.4</v>
      </c>
      <c r="BF3" s="31">
        <f t="shared" ref="BF3:BF66" si="11">I3+J3+K3+L3+AB3+AC3+AD3</f>
        <v>0.48099999999999998</v>
      </c>
      <c r="BG3" s="31">
        <f t="shared" ref="BG3:BG66" si="12">Z3+AA3+AF3</f>
        <v>0.14299999999999999</v>
      </c>
      <c r="BH3" s="31">
        <f>VLOOKUP(B3,Miljö!$B$1:$BX$482,MATCH("Fossilandel för ursprungspecificerad el ()",Miljö!$B$1:$I$1,0),FALSE)</f>
        <v>0</v>
      </c>
      <c r="BI3" s="31">
        <f>VLOOKUP(B3,Miljö!$B$1:$BX$482,MATCH("Kärnkraftsandel för ursprungsspecificerad el ()",Miljö!$B$1:$O$1,0),FALSE)</f>
        <v>1</v>
      </c>
      <c r="BJ3" s="31">
        <f t="shared" ref="BJ3:BJ66" si="13">AG3</f>
        <v>0</v>
      </c>
      <c r="BK3" s="31" t="str">
        <f>VLOOKUP(B3,Miljö!$B$1:$P$482,MATCH("Fossil andel i procent (%)",Miljö!$B$1:$P$1,0),FALSE)</f>
        <v>ET</v>
      </c>
      <c r="BL3" s="31">
        <f t="shared" ref="BL3:BL66" si="14">SUM(BC3:BG3,BJ3)</f>
        <v>9.0240000000000009</v>
      </c>
      <c r="BN3" s="31">
        <f>IF(AP3="ja",(BC3+IFERROR(BG3*BH3,0)+IFERROR(BJ3*BK3/100,0))/$BL3,"")</f>
        <v>0</v>
      </c>
      <c r="BO3" s="32">
        <f>IF(AP3="ja",(BC3+IFERROR(BG3*BH3,0)+IFERROR(BJ3*BK3/100,0))/$BL3,"")</f>
        <v>0</v>
      </c>
      <c r="BP3" s="32">
        <f t="shared" ref="BP3:BP66" si="15">IF(AP3="ja",(BD3+IFERROR(BG3*BI3,0)+IFERROR(BJ3*(1-BK3/100),0))/$BL3,"")</f>
        <v>1.5846631205673756E-2</v>
      </c>
      <c r="BQ3" s="32">
        <f t="shared" ref="BQ3:BQ66" si="16">IF(AP3="ja",(BE3+IFERROR(BG3*(1-BH3-BI3),0))/$BL3,"")</f>
        <v>0.93085106382978722</v>
      </c>
      <c r="BR3" s="32">
        <f t="shared" ref="BR3:BR66" si="17">IF(AP3="Ja",BF3/$BL3,"")</f>
        <v>5.3302304964538999E-2</v>
      </c>
      <c r="BT3" s="62">
        <f t="shared" ref="BT3:BT66" si="18">SUM(BO3:BR3)</f>
        <v>1</v>
      </c>
      <c r="BW3" s="32">
        <f>IF(AP3="Ja",VLOOKUP(B3,Miljövärden!$B$2:$H$551,MATCH("Total andel fossilt",Miljövärden!$B$2:$H$2,0),FALSE),"")</f>
        <v>0</v>
      </c>
      <c r="BX3" s="62">
        <f t="shared" ref="BX3:BX66" si="19">BW3-BO3</f>
        <v>0</v>
      </c>
      <c r="BZ3" s="31">
        <f t="shared" ref="BZ3:BZ66" si="20">IFERROR(BW3-BO3,"")</f>
        <v>0</v>
      </c>
      <c r="CA3" s="32">
        <f t="shared" ref="CA3:CA66" si="21">IFERROR(ROUND(BW3,3)-ROUND(BO3,3),"")</f>
        <v>0</v>
      </c>
    </row>
    <row r="4" spans="1:79" x14ac:dyDescent="0.45">
      <c r="A4" s="31" t="s">
        <v>15</v>
      </c>
      <c r="B4" s="31" t="s">
        <v>18</v>
      </c>
      <c r="C4" s="31">
        <f>VLOOKUP($B4,'Tillförd energi'!$B$1:$AI$720,MATCH(C$1,'Tillförd energi'!$B$1:$AQ$1,0),FALSE)</f>
        <v>0</v>
      </c>
      <c r="D4" s="31">
        <f>VLOOKUP($B4,'Tillförd energi'!$B$1:$AI$720,MATCH(D$1,'Tillförd energi'!$B$1:$AQ$1,0),FALSE)</f>
        <v>0.14899999999999999</v>
      </c>
      <c r="E4" s="31">
        <f>VLOOKUP($B4,'Tillförd energi'!$B$1:$AI$720,MATCH(E$1,'Tillförd energi'!$B$1:$AQ$1,0),FALSE)</f>
        <v>0</v>
      </c>
      <c r="F4" s="31">
        <f>VLOOKUP($B4,'Tillförd energi'!$B$1:$AI$720,MATCH(F$1,'Tillförd energi'!$B$1:$AQ$1,0),FALSE)</f>
        <v>0</v>
      </c>
      <c r="G4" s="31">
        <f>VLOOKUP($B4,'Tillförd energi'!$B$1:$AI$720,MATCH(G$1,'Tillförd energi'!$B$1:$AQ$1,0),FALSE)</f>
        <v>0</v>
      </c>
      <c r="H4" s="31">
        <f>VLOOKUP($B4,'Tillförd energi'!$B$1:$AI$720,MATCH(H$1,'Tillförd energi'!$B$1:$AQ$1,0),FALSE)</f>
        <v>0</v>
      </c>
      <c r="I4" s="31">
        <f>VLOOKUP($B4,'Tillförd energi'!$B$1:$AI$720,MATCH(I$1,'Tillförd energi'!$B$1:$AQ$1,0),FALSE)</f>
        <v>0</v>
      </c>
      <c r="J4" s="31">
        <f>VLOOKUP($B4,'Tillförd energi'!$B$1:$AI$720,MATCH(J$1,'Tillförd energi'!$B$1:$AQ$1,0),FALSE)</f>
        <v>0</v>
      </c>
      <c r="K4" s="31">
        <f>VLOOKUP($B4,'Tillförd energi'!$B$1:$AI$720,MATCH(K$1,'Tillförd energi'!$B$1:$AQ$1,0),FALSE)</f>
        <v>0</v>
      </c>
      <c r="L4" s="31">
        <f>VLOOKUP($B4,'Tillförd energi'!$B$1:$AI$720,MATCH(L$1,'Tillförd energi'!$B$1:$AQ$1,0),FALSE)</f>
        <v>0</v>
      </c>
      <c r="M4" s="31">
        <f>VLOOKUP($B4,'Tillförd energi'!$B$1:$AI$720,MATCH(M$1,'Tillförd energi'!$B$1:$AQ$1,0),FALSE)</f>
        <v>0</v>
      </c>
      <c r="N4" s="31">
        <f>VLOOKUP($B4,'Tillförd energi'!$B$1:$AI$720,MATCH(N$1,'Tillförd energi'!$B$1:$AQ$1,0),FALSE)</f>
        <v>0</v>
      </c>
      <c r="O4" s="31">
        <f>VLOOKUP($B4,'Tillförd energi'!$B$1:$AI$720,MATCH(O$1,'Tillförd energi'!$B$1:$AQ$1,0),FALSE)</f>
        <v>0</v>
      </c>
      <c r="P4" s="31">
        <f>VLOOKUP($B4,'Tillförd energi'!$B$1:$AI$720,MATCH(P$1,'Tillförd energi'!$B$1:$AQ$1,0),FALSE)</f>
        <v>0</v>
      </c>
      <c r="Q4" s="31">
        <f>VLOOKUP($B4,'Tillförd energi'!$B$1:$AI$720,MATCH(Q$1,'Tillförd energi'!$B$1:$AQ$1,0),FALSE)</f>
        <v>18.361999999999998</v>
      </c>
      <c r="R4" s="31">
        <f>VLOOKUP($B4,'Tillförd energi'!$B$1:$AI$720,MATCH(R$1,'Tillförd energi'!$B$1:$AQ$1,0),FALSE)</f>
        <v>0</v>
      </c>
      <c r="S4" s="31">
        <f>VLOOKUP($B4,'Tillförd energi'!$B$1:$AI$720,MATCH(S$1,'Tillförd energi'!$B$1:$AQ$1,0),FALSE)</f>
        <v>0</v>
      </c>
      <c r="T4" s="31">
        <f>VLOOKUP($B4,'Tillförd energi'!$B$1:$AI$720,MATCH(T$1,'Tillförd energi'!$B$1:$AQ$1,0),FALSE)</f>
        <v>0</v>
      </c>
      <c r="U4" s="31">
        <f>VLOOKUP($B4,'Tillförd energi'!$B$1:$AI$720,MATCH(U$1,'Tillförd energi'!$B$1:$AQ$1,0),FALSE)</f>
        <v>0</v>
      </c>
      <c r="V4" s="31">
        <f>VLOOKUP($B4,'Tillförd energi'!$B$1:$AI$720,MATCH(V$1,'Tillförd energi'!$B$1:$AQ$1,0),FALSE)</f>
        <v>0</v>
      </c>
      <c r="W4" s="31">
        <f>VLOOKUP($B4,'Tillförd energi'!$B$1:$AI$720,MATCH(W$1,'Tillförd energi'!$B$1:$AQ$1,0),FALSE)</f>
        <v>0</v>
      </c>
      <c r="X4" s="31">
        <f>VLOOKUP($B4,'Tillförd energi'!$B$1:$AI$720,MATCH(X$1,'Tillförd energi'!$B$1:$AQ$1,0),FALSE)</f>
        <v>0</v>
      </c>
      <c r="Y4" s="31">
        <f>VLOOKUP($B4,'Tillförd energi'!$B$1:$AI$720,MATCH(Y$1,'Tillförd energi'!$B$1:$AQ$1,0),FALSE)</f>
        <v>0</v>
      </c>
      <c r="Z4" s="31">
        <f>VLOOKUP($B4,'Tillförd energi'!$B$1:$AI$720,MATCH(Z$1,'Tillförd energi'!$B$1:$AQ$1,0),FALSE)</f>
        <v>0</v>
      </c>
      <c r="AA4" s="31">
        <f>VLOOKUP($B4,'Tillförd energi'!$B$1:$AI$720,MATCH(AA$1,'Tillförd energi'!$B$1:$AQ$1,0),FALSE)</f>
        <v>0</v>
      </c>
      <c r="AB4" s="31">
        <f>VLOOKUP($B4,'Tillförd energi'!$B$1:$AI$720,MATCH(AB$1,'Tillförd energi'!$B$1:$AQ$1,0),FALSE)</f>
        <v>0</v>
      </c>
      <c r="AC4" s="31">
        <f>VLOOKUP($B4,'Tillförd energi'!$B$1:$AI$720,MATCH(AC$1,'Tillförd energi'!$B$1:$AQ$1,0),FALSE)</f>
        <v>0</v>
      </c>
      <c r="AD4" s="31">
        <f>VLOOKUP($B4,'Tillförd energi'!$B$1:$AI$720,MATCH(AD$1,'Tillförd energi'!$B$1:$AQ$1,0),FALSE)</f>
        <v>0</v>
      </c>
      <c r="AE4" s="31">
        <f>VLOOKUP($B4,'Tillförd energi'!$B$1:$AI$720,MATCH(AE$1,'Tillförd energi'!$B$1:$AQ$1,0),FALSE)</f>
        <v>0</v>
      </c>
      <c r="AF4" s="31">
        <f>VLOOKUP($B4,'Tillförd energi'!$B$1:$AI$720,MATCH(AF$1,'Tillförd energi'!$B$1:$AQ$1,0),FALSE)</f>
        <v>0.59599999999999997</v>
      </c>
      <c r="AG4" s="31">
        <f>IFERROR(VLOOKUP(B4,Miljö!$B$1:$AC$550,MATCH("Köpt mängd produktionsspecifik fjärrvärme:",Miljö!$B$1:$AC$1,0),FALSE)/1,0)</f>
        <v>0</v>
      </c>
      <c r="AI4" s="31">
        <f t="shared" si="0"/>
        <v>19.106999999999999</v>
      </c>
      <c r="AJ4" s="31">
        <f t="shared" si="1"/>
        <v>19.106999999999999</v>
      </c>
      <c r="AK4" s="31">
        <f>IF(ISERROR(1/VLOOKUP($B4,Leveranser!$B$1:$S$499,MATCH("Såld värme (GWh)",Leveranser!$B$1:$S$1,0),FALSE)),"",VLOOKUP($B4,Leveranser!$B$1:$S$499,MATCH("Såld värme (GWh)",Leveranser!$B$1:$S$1,0),FALSE))</f>
        <v>15.275</v>
      </c>
      <c r="AL4" s="31">
        <f>VLOOKUP($B4,Leveranser!$B$1:$Y$499,MATCH("Totalt såld fjärrvärme till andra fjärrvärmeföretag",Leveranser!$B$1:$AA$1,0),FALSE)</f>
        <v>0</v>
      </c>
      <c r="AM4" s="31">
        <f>IF(ISERROR(1/VLOOKUP($B4,Miljö!$B$1:$S$500,MATCH("Såld mängd produktionsspecifik fjärrvärme (GWh)",Miljö!$B$1:$R$1,0),FALSE)),0,VLOOKUP($B4,Miljö!$B$1:$S$500,MATCH("Såld mängd produktionsspecifik fjärrvärme (GWh)",Miljö!$B$1:$R$1,0),FALSE))</f>
        <v>0</v>
      </c>
      <c r="AN4" s="32">
        <f t="shared" si="2"/>
        <v>0.799445229497043</v>
      </c>
      <c r="AP4" s="31" t="str">
        <f>IFERROR(VLOOKUP($B4,Miljövärden!$B$2:$H$550,7,FALSE),"Nej, saknas")</f>
        <v>Ja</v>
      </c>
      <c r="AQ4" s="31" t="str">
        <f>IFERROR(VLOOKUP($B4,Miljövärden!$B$2:$H$551,6,FALSE),"Nej, saknas")</f>
        <v>Ja</v>
      </c>
      <c r="AU4" s="31">
        <f t="shared" si="3"/>
        <v>0.59599999999999997</v>
      </c>
      <c r="AV4" s="31">
        <f t="shared" si="4"/>
        <v>0</v>
      </c>
      <c r="AW4" s="31">
        <f t="shared" si="5"/>
        <v>18.361999999999998</v>
      </c>
      <c r="AX4" s="31">
        <f t="shared" si="6"/>
        <v>0</v>
      </c>
      <c r="AZ4" s="31">
        <f t="shared" si="7"/>
        <v>18.361999999999998</v>
      </c>
      <c r="BC4" s="31">
        <f t="shared" si="8"/>
        <v>0.14899999999999999</v>
      </c>
      <c r="BD4" s="31">
        <f t="shared" si="9"/>
        <v>0</v>
      </c>
      <c r="BE4" s="31">
        <f t="shared" si="10"/>
        <v>18.361999999999998</v>
      </c>
      <c r="BF4" s="31">
        <f t="shared" si="11"/>
        <v>0</v>
      </c>
      <c r="BG4" s="31">
        <f t="shared" si="12"/>
        <v>0.59599999999999997</v>
      </c>
      <c r="BH4" s="31">
        <f>VLOOKUP(B4,Miljö!$B$1:$BX$482,MATCH("Fossilandel för ursprungspecificerad el ()",Miljö!$B$1:$I$1,0),FALSE)</f>
        <v>0</v>
      </c>
      <c r="BI4" s="31">
        <f>VLOOKUP(B4,Miljö!$B$1:$BX$482,MATCH("Kärnkraftsandel för ursprungsspecificerad el ()",Miljö!$B$1:$O$1,0),FALSE)</f>
        <v>1</v>
      </c>
      <c r="BJ4" s="31">
        <f t="shared" si="13"/>
        <v>0</v>
      </c>
      <c r="BK4" s="31" t="str">
        <f>VLOOKUP(B4,Miljö!$B$1:$P$482,MATCH("Fossil andel i procent (%)",Miljö!$B$1:$P$1,0),FALSE)</f>
        <v>ET</v>
      </c>
      <c r="BL4" s="31">
        <f t="shared" si="14"/>
        <v>19.106999999999999</v>
      </c>
      <c r="BO4" s="32">
        <f t="shared" ref="BO4:BO66" si="22">IF(AP4="ja",(BC4+IFERROR(BG4*BH4,0)+IFERROR(BJ4*BK4/100,0))/$BL4,"")</f>
        <v>7.7981891453394042E-3</v>
      </c>
      <c r="BP4" s="32">
        <f t="shared" si="15"/>
        <v>3.1192756581357617E-2</v>
      </c>
      <c r="BQ4" s="32">
        <f t="shared" si="16"/>
        <v>0.96100905427330297</v>
      </c>
      <c r="BR4" s="32">
        <f t="shared" si="17"/>
        <v>0</v>
      </c>
      <c r="BT4" s="62">
        <f t="shared" si="18"/>
        <v>1</v>
      </c>
      <c r="BW4" s="32">
        <f>IF(AP4="Ja",VLOOKUP(B4,Miljövärden!$B$2:$H$551,MATCH("Total andel fossilt",Miljövärden!$B$2:$H$2,0),FALSE),"")</f>
        <v>7.79819E-3</v>
      </c>
      <c r="BX4" s="62">
        <f t="shared" si="19"/>
        <v>8.546605957671094E-10</v>
      </c>
      <c r="BZ4" s="31">
        <f t="shared" si="20"/>
        <v>8.546605957671094E-10</v>
      </c>
      <c r="CA4" s="32">
        <f t="shared" si="21"/>
        <v>0</v>
      </c>
    </row>
    <row r="5" spans="1:79" x14ac:dyDescent="0.45">
      <c r="A5" s="31" t="s">
        <v>15</v>
      </c>
      <c r="B5" s="31" t="s">
        <v>28</v>
      </c>
      <c r="C5" s="31">
        <f>VLOOKUP($B5,'Tillförd energi'!$B$1:$AI$720,MATCH(C$1,'Tillförd energi'!$B$1:$AQ$1,0),FALSE)</f>
        <v>0</v>
      </c>
      <c r="D5" s="31">
        <f>VLOOKUP($B5,'Tillförd energi'!$B$1:$AI$720,MATCH(D$1,'Tillförd energi'!$B$1:$AQ$1,0),FALSE)</f>
        <v>2.7690000000000001</v>
      </c>
      <c r="E5" s="31">
        <f>VLOOKUP($B5,'Tillförd energi'!$B$1:$AI$720,MATCH(E$1,'Tillförd energi'!$B$1:$AQ$1,0),FALSE)</f>
        <v>0</v>
      </c>
      <c r="F5" s="31">
        <f>VLOOKUP($B5,'Tillförd energi'!$B$1:$AI$720,MATCH(F$1,'Tillförd energi'!$B$1:$AQ$1,0),FALSE)</f>
        <v>0</v>
      </c>
      <c r="G5" s="31">
        <f>VLOOKUP($B5,'Tillförd energi'!$B$1:$AI$720,MATCH(G$1,'Tillförd energi'!$B$1:$AQ$1,0),FALSE)</f>
        <v>0</v>
      </c>
      <c r="H5" s="31">
        <f>VLOOKUP($B5,'Tillförd energi'!$B$1:$AI$720,MATCH(H$1,'Tillförd energi'!$B$1:$AQ$1,0),FALSE)</f>
        <v>0</v>
      </c>
      <c r="I5" s="31">
        <f>VLOOKUP($B5,'Tillförd energi'!$B$1:$AI$720,MATCH(I$1,'Tillförd energi'!$B$1:$AQ$1,0),FALSE)</f>
        <v>0</v>
      </c>
      <c r="J5" s="31">
        <f>VLOOKUP($B5,'Tillförd energi'!$B$1:$AI$720,MATCH(J$1,'Tillförd energi'!$B$1:$AQ$1,0),FALSE)</f>
        <v>0</v>
      </c>
      <c r="K5" s="31">
        <f>VLOOKUP($B5,'Tillförd energi'!$B$1:$AI$720,MATCH(K$1,'Tillförd energi'!$B$1:$AQ$1,0),FALSE)</f>
        <v>0</v>
      </c>
      <c r="L5" s="31">
        <f>VLOOKUP($B5,'Tillförd energi'!$B$1:$AI$720,MATCH(L$1,'Tillförd energi'!$B$1:$AQ$1,0),FALSE)</f>
        <v>0</v>
      </c>
      <c r="M5" s="31">
        <f>VLOOKUP($B5,'Tillförd energi'!$B$1:$AI$720,MATCH(M$1,'Tillförd energi'!$B$1:$AQ$1,0),FALSE)</f>
        <v>0</v>
      </c>
      <c r="N5" s="31">
        <f>VLOOKUP($B5,'Tillförd energi'!$B$1:$AI$720,MATCH(N$1,'Tillförd energi'!$B$1:$AQ$1,0),FALSE)</f>
        <v>0</v>
      </c>
      <c r="O5" s="31">
        <f>VLOOKUP($B5,'Tillförd energi'!$B$1:$AI$720,MATCH(O$1,'Tillförd energi'!$B$1:$AQ$1,0),FALSE)</f>
        <v>0</v>
      </c>
      <c r="P5" s="31">
        <f>VLOOKUP($B5,'Tillförd energi'!$B$1:$AI$720,MATCH(P$1,'Tillförd energi'!$B$1:$AQ$1,0),FALSE)</f>
        <v>0</v>
      </c>
      <c r="Q5" s="31">
        <f>VLOOKUP($B5,'Tillförd energi'!$B$1:$AI$720,MATCH(Q$1,'Tillförd energi'!$B$1:$AQ$1,0),FALSE)</f>
        <v>0</v>
      </c>
      <c r="R5" s="31">
        <f>VLOOKUP($B5,'Tillförd energi'!$B$1:$AI$720,MATCH(R$1,'Tillförd energi'!$B$1:$AQ$1,0),FALSE)</f>
        <v>11.872</v>
      </c>
      <c r="S5" s="31">
        <f>VLOOKUP($B5,'Tillförd energi'!$B$1:$AI$720,MATCH(S$1,'Tillförd energi'!$B$1:$AQ$1,0),FALSE)</f>
        <v>0</v>
      </c>
      <c r="T5" s="31">
        <f>VLOOKUP($B5,'Tillförd energi'!$B$1:$AI$720,MATCH(T$1,'Tillförd energi'!$B$1:$AQ$1,0),FALSE)</f>
        <v>0</v>
      </c>
      <c r="U5" s="31">
        <f>VLOOKUP($B5,'Tillförd energi'!$B$1:$AI$720,MATCH(U$1,'Tillförd energi'!$B$1:$AQ$1,0),FALSE)</f>
        <v>0</v>
      </c>
      <c r="V5" s="31">
        <f>VLOOKUP($B5,'Tillförd energi'!$B$1:$AI$720,MATCH(V$1,'Tillförd energi'!$B$1:$AQ$1,0),FALSE)</f>
        <v>0</v>
      </c>
      <c r="W5" s="31">
        <f>VLOOKUP($B5,'Tillförd energi'!$B$1:$AI$720,MATCH(W$1,'Tillförd energi'!$B$1:$AQ$1,0),FALSE)</f>
        <v>0</v>
      </c>
      <c r="X5" s="31">
        <f>VLOOKUP($B5,'Tillförd energi'!$B$1:$AI$720,MATCH(X$1,'Tillförd energi'!$B$1:$AQ$1,0),FALSE)</f>
        <v>0</v>
      </c>
      <c r="Y5" s="31">
        <f>VLOOKUP($B5,'Tillförd energi'!$B$1:$AI$720,MATCH(Y$1,'Tillförd energi'!$B$1:$AQ$1,0),FALSE)</f>
        <v>0</v>
      </c>
      <c r="Z5" s="31">
        <f>VLOOKUP($B5,'Tillförd energi'!$B$1:$AI$720,MATCH(Z$1,'Tillförd energi'!$B$1:$AQ$1,0),FALSE)</f>
        <v>0</v>
      </c>
      <c r="AA5" s="31">
        <f>VLOOKUP($B5,'Tillförd energi'!$B$1:$AI$720,MATCH(AA$1,'Tillförd energi'!$B$1:$AQ$1,0),FALSE)</f>
        <v>0</v>
      </c>
      <c r="AB5" s="31">
        <f>VLOOKUP($B5,'Tillförd energi'!$B$1:$AI$720,MATCH(AB$1,'Tillförd energi'!$B$1:$AQ$1,0),FALSE)</f>
        <v>0</v>
      </c>
      <c r="AC5" s="31">
        <f>VLOOKUP($B5,'Tillförd energi'!$B$1:$AI$720,MATCH(AC$1,'Tillförd energi'!$B$1:$AQ$1,0),FALSE)</f>
        <v>0</v>
      </c>
      <c r="AD5" s="31">
        <f>VLOOKUP($B5,'Tillförd energi'!$B$1:$AI$720,MATCH(AD$1,'Tillförd energi'!$B$1:$AQ$1,0),FALSE)</f>
        <v>71.063000000000002</v>
      </c>
      <c r="AE5" s="31">
        <f>VLOOKUP($B5,'Tillförd energi'!$B$1:$AI$720,MATCH(AE$1,'Tillförd energi'!$B$1:$AQ$1,0),FALSE)</f>
        <v>0</v>
      </c>
      <c r="AF5" s="31">
        <f>VLOOKUP($B5,'Tillförd energi'!$B$1:$AI$720,MATCH(AF$1,'Tillförd energi'!$B$1:$AQ$1,0),FALSE)</f>
        <v>0.23599999999999999</v>
      </c>
      <c r="AG5" s="31">
        <f>IFERROR(VLOOKUP(B5,Miljö!$B$1:$AC$550,MATCH("Köpt mängd produktionsspecifik fjärrvärme:",Miljö!$B$1:$AC$1,0),FALSE)/1,0)</f>
        <v>0</v>
      </c>
      <c r="AI5" s="31">
        <f t="shared" si="0"/>
        <v>85.940000000000012</v>
      </c>
      <c r="AJ5" s="31">
        <f t="shared" si="1"/>
        <v>85.940000000000012</v>
      </c>
      <c r="AK5" s="31">
        <f>IF(ISERROR(1/VLOOKUP($B5,Leveranser!$B$1:$S$499,MATCH("Såld värme (GWh)",Leveranser!$B$1:$S$1,0),FALSE)),"",VLOOKUP($B5,Leveranser!$B$1:$S$499,MATCH("Såld värme (GWh)",Leveranser!$B$1:$S$1,0),FALSE))</f>
        <v>70.462000000000003</v>
      </c>
      <c r="AL5" s="31">
        <f>VLOOKUP($B5,Leveranser!$B$1:$Y$499,MATCH("Totalt såld fjärrvärme till andra fjärrvärmeföretag",Leveranser!$B$1:$AA$1,0),FALSE)</f>
        <v>0</v>
      </c>
      <c r="AM5" s="31">
        <f>IF(ISERROR(1/VLOOKUP($B5,Miljö!$B$1:$S$500,MATCH("Såld mängd produktionsspecifik fjärrvärme (GWh)",Miljö!$B$1:$R$1,0),FALSE)),0,VLOOKUP($B5,Miljö!$B$1:$S$500,MATCH("Såld mängd produktionsspecifik fjärrvärme (GWh)",Miljö!$B$1:$R$1,0),FALSE))</f>
        <v>0</v>
      </c>
      <c r="AN5" s="32">
        <f t="shared" si="2"/>
        <v>0.8198976029788223</v>
      </c>
      <c r="AP5" s="31" t="str">
        <f>IFERROR(VLOOKUP($B5,Miljövärden!$B$2:$H$550,7,FALSE),"Nej, saknas")</f>
        <v>Ja</v>
      </c>
      <c r="AQ5" s="31" t="str">
        <f>IFERROR(VLOOKUP($B5,Miljövärden!$B$2:$H$551,6,FALSE),"Nej, saknas")</f>
        <v>Ja</v>
      </c>
      <c r="AU5" s="31">
        <f t="shared" si="3"/>
        <v>0.23599999999999999</v>
      </c>
      <c r="AV5" s="31">
        <f t="shared" si="4"/>
        <v>0</v>
      </c>
      <c r="AW5" s="31">
        <f t="shared" si="5"/>
        <v>0</v>
      </c>
      <c r="AX5" s="31">
        <f t="shared" si="6"/>
        <v>11.872</v>
      </c>
      <c r="AZ5" s="31">
        <f t="shared" si="7"/>
        <v>11.872</v>
      </c>
      <c r="BC5" s="31">
        <f t="shared" si="8"/>
        <v>2.7690000000000001</v>
      </c>
      <c r="BD5" s="31">
        <f t="shared" si="9"/>
        <v>0</v>
      </c>
      <c r="BE5" s="31">
        <f t="shared" si="10"/>
        <v>11.872</v>
      </c>
      <c r="BF5" s="31">
        <f t="shared" si="11"/>
        <v>71.063000000000002</v>
      </c>
      <c r="BG5" s="31">
        <f t="shared" si="12"/>
        <v>0.23599999999999999</v>
      </c>
      <c r="BH5" s="31">
        <f>VLOOKUP(B5,Miljö!$B$1:$BX$482,MATCH("Fossilandel för ursprungspecificerad el ()",Miljö!$B$1:$I$1,0),FALSE)</f>
        <v>0</v>
      </c>
      <c r="BI5" s="31">
        <f>VLOOKUP(B5,Miljö!$B$1:$BX$482,MATCH("Kärnkraftsandel för ursprungsspecificerad el ()",Miljö!$B$1:$O$1,0),FALSE)</f>
        <v>1</v>
      </c>
      <c r="BJ5" s="31">
        <f t="shared" si="13"/>
        <v>0</v>
      </c>
      <c r="BK5" s="31" t="str">
        <f>VLOOKUP(B5,Miljö!$B$1:$P$482,MATCH("Fossil andel i procent (%)",Miljö!$B$1:$P$1,0),FALSE)</f>
        <v>ET</v>
      </c>
      <c r="BL5" s="31">
        <f t="shared" si="14"/>
        <v>85.940000000000012</v>
      </c>
      <c r="BO5" s="32">
        <f>IF(AP5="ja",(BC5+IFERROR(BG5*BH5,0)+IFERROR(BJ5*BK5/100,0))/$BL5,"")</f>
        <v>3.2220153595531764E-2</v>
      </c>
      <c r="BP5" s="32">
        <f t="shared" si="15"/>
        <v>2.7461019315801719E-3</v>
      </c>
      <c r="BQ5" s="32">
        <f t="shared" si="16"/>
        <v>0.13814289038864322</v>
      </c>
      <c r="BR5" s="32">
        <f t="shared" si="17"/>
        <v>0.82689085408424479</v>
      </c>
      <c r="BT5" s="62">
        <f t="shared" si="18"/>
        <v>1</v>
      </c>
      <c r="BW5" s="32">
        <f>IF(AP5="Ja",VLOOKUP(B5,Miljövärden!$B$2:$H$551,MATCH("Total andel fossilt",Miljövärden!$B$2:$H$2,0),FALSE),"")</f>
        <v>3.2220199999999997E-2</v>
      </c>
      <c r="BX5" s="62">
        <f t="shared" si="19"/>
        <v>4.6404468233285368E-8</v>
      </c>
      <c r="BZ5" s="31">
        <f t="shared" si="20"/>
        <v>4.6404468233285368E-8</v>
      </c>
      <c r="CA5" s="32">
        <f t="shared" si="21"/>
        <v>0</v>
      </c>
    </row>
    <row r="6" spans="1:79" x14ac:dyDescent="0.45">
      <c r="A6" s="31" t="s">
        <v>15</v>
      </c>
      <c r="B6" s="31" t="s">
        <v>22</v>
      </c>
      <c r="C6" s="31">
        <f>VLOOKUP($B6,'Tillförd energi'!$B$1:$AI$720,MATCH(C$1,'Tillförd energi'!$B$1:$AQ$1,0),FALSE)</f>
        <v>0</v>
      </c>
      <c r="D6" s="31">
        <f>VLOOKUP($B6,'Tillförd energi'!$B$1:$AI$720,MATCH(D$1,'Tillförd energi'!$B$1:$AQ$1,0),FALSE)</f>
        <v>5.3999999999999999E-2</v>
      </c>
      <c r="E6" s="31">
        <f>VLOOKUP($B6,'Tillförd energi'!$B$1:$AI$720,MATCH(E$1,'Tillförd energi'!$B$1:$AQ$1,0),FALSE)</f>
        <v>0</v>
      </c>
      <c r="F6" s="31">
        <f>VLOOKUP($B6,'Tillförd energi'!$B$1:$AI$720,MATCH(F$1,'Tillförd energi'!$B$1:$AQ$1,0),FALSE)</f>
        <v>0</v>
      </c>
      <c r="G6" s="31">
        <f>VLOOKUP($B6,'Tillförd energi'!$B$1:$AI$720,MATCH(G$1,'Tillförd energi'!$B$1:$AQ$1,0),FALSE)</f>
        <v>0</v>
      </c>
      <c r="H6" s="31">
        <f>VLOOKUP($B6,'Tillförd energi'!$B$1:$AI$720,MATCH(H$1,'Tillförd energi'!$B$1:$AQ$1,0),FALSE)</f>
        <v>0</v>
      </c>
      <c r="I6" s="31">
        <f>VLOOKUP($B6,'Tillförd energi'!$B$1:$AI$720,MATCH(I$1,'Tillförd energi'!$B$1:$AQ$1,0),FALSE)</f>
        <v>0</v>
      </c>
      <c r="J6" s="31">
        <f>VLOOKUP($B6,'Tillförd energi'!$B$1:$AI$720,MATCH(J$1,'Tillförd energi'!$B$1:$AQ$1,0),FALSE)</f>
        <v>0</v>
      </c>
      <c r="K6" s="31">
        <f>VLOOKUP($B6,'Tillförd energi'!$B$1:$AI$720,MATCH(K$1,'Tillförd energi'!$B$1:$AQ$1,0),FALSE)</f>
        <v>0</v>
      </c>
      <c r="L6" s="31">
        <f>VLOOKUP($B6,'Tillförd energi'!$B$1:$AI$720,MATCH(L$1,'Tillförd energi'!$B$1:$AQ$1,0),FALSE)</f>
        <v>0</v>
      </c>
      <c r="M6" s="31">
        <f>VLOOKUP($B6,'Tillförd energi'!$B$1:$AI$720,MATCH(M$1,'Tillförd energi'!$B$1:$AQ$1,0),FALSE)</f>
        <v>0</v>
      </c>
      <c r="N6" s="31">
        <f>VLOOKUP($B6,'Tillförd energi'!$B$1:$AI$720,MATCH(N$1,'Tillförd energi'!$B$1:$AQ$1,0),FALSE)</f>
        <v>0</v>
      </c>
      <c r="O6" s="31">
        <f>VLOOKUP($B6,'Tillförd energi'!$B$1:$AI$720,MATCH(O$1,'Tillförd energi'!$B$1:$AQ$1,0),FALSE)</f>
        <v>0</v>
      </c>
      <c r="P6" s="31">
        <f>VLOOKUP($B6,'Tillförd energi'!$B$1:$AI$720,MATCH(P$1,'Tillförd energi'!$B$1:$AQ$1,0),FALSE)</f>
        <v>0</v>
      </c>
      <c r="Q6" s="31">
        <f>VLOOKUP($B6,'Tillförd energi'!$B$1:$AI$720,MATCH(Q$1,'Tillförd energi'!$B$1:$AQ$1,0),FALSE)</f>
        <v>29.126000000000001</v>
      </c>
      <c r="R6" s="31">
        <f>VLOOKUP($B6,'Tillförd energi'!$B$1:$AI$720,MATCH(R$1,'Tillförd energi'!$B$1:$AQ$1,0),FALSE)</f>
        <v>0</v>
      </c>
      <c r="S6" s="31">
        <f>VLOOKUP($B6,'Tillförd energi'!$B$1:$AI$720,MATCH(S$1,'Tillförd energi'!$B$1:$AQ$1,0),FALSE)</f>
        <v>0</v>
      </c>
      <c r="T6" s="31">
        <f>VLOOKUP($B6,'Tillförd energi'!$B$1:$AI$720,MATCH(T$1,'Tillförd energi'!$B$1:$AQ$1,0),FALSE)</f>
        <v>0</v>
      </c>
      <c r="U6" s="31">
        <f>VLOOKUP($B6,'Tillförd energi'!$B$1:$AI$720,MATCH(U$1,'Tillförd energi'!$B$1:$AQ$1,0),FALSE)</f>
        <v>0</v>
      </c>
      <c r="V6" s="31">
        <f>VLOOKUP($B6,'Tillförd energi'!$B$1:$AI$720,MATCH(V$1,'Tillförd energi'!$B$1:$AQ$1,0),FALSE)</f>
        <v>0</v>
      </c>
      <c r="W6" s="31">
        <f>VLOOKUP($B6,'Tillförd energi'!$B$1:$AI$720,MATCH(W$1,'Tillförd energi'!$B$1:$AQ$1,0),FALSE)</f>
        <v>0</v>
      </c>
      <c r="X6" s="31">
        <f>VLOOKUP($B6,'Tillförd energi'!$B$1:$AI$720,MATCH(X$1,'Tillförd energi'!$B$1:$AQ$1,0),FALSE)</f>
        <v>0</v>
      </c>
      <c r="Y6" s="31">
        <f>VLOOKUP($B6,'Tillförd energi'!$B$1:$AI$720,MATCH(Y$1,'Tillförd energi'!$B$1:$AQ$1,0),FALSE)</f>
        <v>0</v>
      </c>
      <c r="Z6" s="31">
        <f>VLOOKUP($B6,'Tillförd energi'!$B$1:$AI$720,MATCH(Z$1,'Tillförd energi'!$B$1:$AQ$1,0),FALSE)</f>
        <v>0</v>
      </c>
      <c r="AA6" s="31">
        <f>VLOOKUP($B6,'Tillförd energi'!$B$1:$AI$720,MATCH(AA$1,'Tillförd energi'!$B$1:$AQ$1,0),FALSE)</f>
        <v>0</v>
      </c>
      <c r="AB6" s="31">
        <f>VLOOKUP($B6,'Tillförd energi'!$B$1:$AI$720,MATCH(AB$1,'Tillförd energi'!$B$1:$AQ$1,0),FALSE)</f>
        <v>0</v>
      </c>
      <c r="AC6" s="31">
        <f>VLOOKUP($B6,'Tillförd energi'!$B$1:$AI$720,MATCH(AC$1,'Tillförd energi'!$B$1:$AQ$1,0),FALSE)</f>
        <v>3.3</v>
      </c>
      <c r="AD6" s="31">
        <f>VLOOKUP($B6,'Tillförd energi'!$B$1:$AI$720,MATCH(AD$1,'Tillförd energi'!$B$1:$AQ$1,0),FALSE)</f>
        <v>0</v>
      </c>
      <c r="AE6" s="31">
        <f>VLOOKUP($B6,'Tillförd energi'!$B$1:$AI$720,MATCH(AE$1,'Tillförd energi'!$B$1:$AQ$1,0),FALSE)</f>
        <v>0</v>
      </c>
      <c r="AF6" s="31">
        <f>VLOOKUP($B6,'Tillförd energi'!$B$1:$AI$720,MATCH(AF$1,'Tillförd energi'!$B$1:$AQ$1,0),FALSE)</f>
        <v>0.55600000000000005</v>
      </c>
      <c r="AG6" s="31">
        <f>IFERROR(VLOOKUP(B6,Miljö!$B$1:$AC$550,MATCH("Köpt mängd produktionsspecifik fjärrvärme:",Miljö!$B$1:$AC$1,0),FALSE)/1,0)</f>
        <v>0</v>
      </c>
      <c r="AI6" s="31">
        <f t="shared" si="0"/>
        <v>33.035999999999994</v>
      </c>
      <c r="AJ6" s="31">
        <f t="shared" si="1"/>
        <v>33.035999999999994</v>
      </c>
      <c r="AK6" s="31">
        <f>IF(ISERROR(1/VLOOKUP($B6,Leveranser!$B$1:$S$499,MATCH("Såld värme (GWh)",Leveranser!$B$1:$S$1,0),FALSE)),"",VLOOKUP($B6,Leveranser!$B$1:$S$499,MATCH("Såld värme (GWh)",Leveranser!$B$1:$S$1,0),FALSE))</f>
        <v>22.591000000000001</v>
      </c>
      <c r="AL6" s="31">
        <f>VLOOKUP($B6,Leveranser!$B$1:$Y$499,MATCH("Totalt såld fjärrvärme till andra fjärrvärmeföretag",Leveranser!$B$1:$AA$1,0),FALSE)</f>
        <v>0</v>
      </c>
      <c r="AM6" s="31">
        <f>IF(ISERROR(1/VLOOKUP($B6,Miljö!$B$1:$S$500,MATCH("Såld mängd produktionsspecifik fjärrvärme (GWh)",Miljö!$B$1:$R$1,0),FALSE)),0,VLOOKUP($B6,Miljö!$B$1:$S$500,MATCH("Såld mängd produktionsspecifik fjärrvärme (GWh)",Miljö!$B$1:$R$1,0),FALSE))</f>
        <v>0</v>
      </c>
      <c r="AN6" s="32">
        <f t="shared" si="2"/>
        <v>0.68382976147233332</v>
      </c>
      <c r="AP6" s="31" t="str">
        <f>IFERROR(VLOOKUP($B6,Miljövärden!$B$2:$H$550,7,FALSE),"Nej, saknas")</f>
        <v>Ja</v>
      </c>
      <c r="AQ6" s="31" t="str">
        <f>IFERROR(VLOOKUP($B6,Miljövärden!$B$2:$H$551,6,FALSE),"Nej, saknas")</f>
        <v>Ja</v>
      </c>
      <c r="AU6" s="31">
        <f t="shared" si="3"/>
        <v>0.55600000000000005</v>
      </c>
      <c r="AV6" s="31">
        <f t="shared" si="4"/>
        <v>0</v>
      </c>
      <c r="AW6" s="31">
        <f t="shared" si="5"/>
        <v>29.126000000000001</v>
      </c>
      <c r="AX6" s="31">
        <f t="shared" si="6"/>
        <v>0</v>
      </c>
      <c r="AZ6" s="31">
        <f t="shared" si="7"/>
        <v>29.126000000000001</v>
      </c>
      <c r="BC6" s="31">
        <f t="shared" si="8"/>
        <v>5.3999999999999999E-2</v>
      </c>
      <c r="BD6" s="31">
        <f t="shared" si="9"/>
        <v>0</v>
      </c>
      <c r="BE6" s="31">
        <f t="shared" si="10"/>
        <v>29.126000000000001</v>
      </c>
      <c r="BF6" s="31">
        <f t="shared" si="11"/>
        <v>3.3</v>
      </c>
      <c r="BG6" s="31">
        <f t="shared" si="12"/>
        <v>0.55600000000000005</v>
      </c>
      <c r="BH6" s="31">
        <f>VLOOKUP(B6,Miljö!$B$1:$BX$482,MATCH("Fossilandel för ursprungspecificerad el ()",Miljö!$B$1:$I$1,0),FALSE)</f>
        <v>0</v>
      </c>
      <c r="BI6" s="31">
        <f>VLOOKUP(B6,Miljö!$B$1:$BX$482,MATCH("Kärnkraftsandel för ursprungsspecificerad el ()",Miljö!$B$1:$O$1,0),FALSE)</f>
        <v>1</v>
      </c>
      <c r="BJ6" s="31">
        <f t="shared" si="13"/>
        <v>0</v>
      </c>
      <c r="BK6" s="31" t="str">
        <f>VLOOKUP(B6,Miljö!$B$1:$P$482,MATCH("Fossil andel i procent (%)",Miljö!$B$1:$P$1,0),FALSE)</f>
        <v>ET</v>
      </c>
      <c r="BL6" s="31">
        <f t="shared" si="14"/>
        <v>33.035999999999994</v>
      </c>
      <c r="BO6" s="32">
        <f t="shared" si="22"/>
        <v>1.6345804576825284E-3</v>
      </c>
      <c r="BP6" s="32">
        <f t="shared" si="15"/>
        <v>1.6830124712434925E-2</v>
      </c>
      <c r="BQ6" s="32">
        <f t="shared" si="16"/>
        <v>0.88164426686039488</v>
      </c>
      <c r="BR6" s="32">
        <f t="shared" si="17"/>
        <v>9.9891027969487844E-2</v>
      </c>
      <c r="BT6" s="62">
        <f t="shared" si="18"/>
        <v>1.0000000000000002</v>
      </c>
      <c r="BW6" s="32">
        <f>IF(AP6="Ja",VLOOKUP(B6,Miljövärden!$B$2:$H$551,MATCH("Total andel fossilt",Miljövärden!$B$2:$H$2,0),FALSE),"")</f>
        <v>1.6345800000000001E-3</v>
      </c>
      <c r="BX6" s="62">
        <f t="shared" si="19"/>
        <v>-4.5768252837814771E-10</v>
      </c>
      <c r="BZ6" s="31">
        <f t="shared" si="20"/>
        <v>-4.5768252837814771E-10</v>
      </c>
      <c r="CA6" s="32">
        <f t="shared" si="21"/>
        <v>0</v>
      </c>
    </row>
    <row r="7" spans="1:79" x14ac:dyDescent="0.45">
      <c r="A7" s="31" t="s">
        <v>15</v>
      </c>
      <c r="B7" s="31" t="s">
        <v>30</v>
      </c>
      <c r="C7" s="31">
        <f>VLOOKUP($B7,'Tillförd energi'!$B$1:$AI$720,MATCH(C$1,'Tillförd energi'!$B$1:$AQ$1,0),FALSE)</f>
        <v>0</v>
      </c>
      <c r="D7" s="31">
        <f>VLOOKUP($B7,'Tillförd energi'!$B$1:$AI$720,MATCH(D$1,'Tillförd energi'!$B$1:$AQ$1,0),FALSE)</f>
        <v>0.27800000000000002</v>
      </c>
      <c r="E7" s="31">
        <f>VLOOKUP($B7,'Tillförd energi'!$B$1:$AI$720,MATCH(E$1,'Tillförd energi'!$B$1:$AQ$1,0),FALSE)</f>
        <v>0</v>
      </c>
      <c r="F7" s="31">
        <f>VLOOKUP($B7,'Tillförd energi'!$B$1:$AI$720,MATCH(F$1,'Tillförd energi'!$B$1:$AQ$1,0),FALSE)</f>
        <v>0</v>
      </c>
      <c r="G7" s="31">
        <f>VLOOKUP($B7,'Tillförd energi'!$B$1:$AI$720,MATCH(G$1,'Tillförd energi'!$B$1:$AQ$1,0),FALSE)</f>
        <v>0</v>
      </c>
      <c r="H7" s="31">
        <f>VLOOKUP($B7,'Tillförd energi'!$B$1:$AI$720,MATCH(H$1,'Tillförd energi'!$B$1:$AQ$1,0),FALSE)</f>
        <v>0</v>
      </c>
      <c r="I7" s="31">
        <f>VLOOKUP($B7,'Tillförd energi'!$B$1:$AI$720,MATCH(I$1,'Tillförd energi'!$B$1:$AQ$1,0),FALSE)</f>
        <v>0</v>
      </c>
      <c r="J7" s="31">
        <f>VLOOKUP($B7,'Tillförd energi'!$B$1:$AI$720,MATCH(J$1,'Tillförd energi'!$B$1:$AQ$1,0),FALSE)</f>
        <v>0</v>
      </c>
      <c r="K7" s="31">
        <f>VLOOKUP($B7,'Tillförd energi'!$B$1:$AI$720,MATCH(K$1,'Tillförd energi'!$B$1:$AQ$1,0),FALSE)</f>
        <v>0</v>
      </c>
      <c r="L7" s="31">
        <f>VLOOKUP($B7,'Tillförd energi'!$B$1:$AI$720,MATCH(L$1,'Tillförd energi'!$B$1:$AQ$1,0),FALSE)</f>
        <v>0</v>
      </c>
      <c r="M7" s="31">
        <f>VLOOKUP($B7,'Tillförd energi'!$B$1:$AI$720,MATCH(M$1,'Tillförd energi'!$B$1:$AQ$1,0),FALSE)</f>
        <v>0</v>
      </c>
      <c r="N7" s="31">
        <f>VLOOKUP($B7,'Tillförd energi'!$B$1:$AI$720,MATCH(N$1,'Tillförd energi'!$B$1:$AQ$1,0),FALSE)</f>
        <v>0</v>
      </c>
      <c r="O7" s="31">
        <f>VLOOKUP($B7,'Tillförd energi'!$B$1:$AI$720,MATCH(O$1,'Tillförd energi'!$B$1:$AQ$1,0),FALSE)</f>
        <v>0</v>
      </c>
      <c r="P7" s="31">
        <f>VLOOKUP($B7,'Tillförd energi'!$B$1:$AI$720,MATCH(P$1,'Tillförd energi'!$B$1:$AQ$1,0),FALSE)</f>
        <v>0</v>
      </c>
      <c r="Q7" s="31">
        <f>VLOOKUP($B7,'Tillförd energi'!$B$1:$AI$720,MATCH(Q$1,'Tillförd energi'!$B$1:$AQ$1,0),FALSE)</f>
        <v>27.106000000000002</v>
      </c>
      <c r="R7" s="31">
        <f>VLOOKUP($B7,'Tillförd energi'!$B$1:$AI$720,MATCH(R$1,'Tillförd energi'!$B$1:$AQ$1,0),FALSE)</f>
        <v>0</v>
      </c>
      <c r="S7" s="31">
        <f>VLOOKUP($B7,'Tillförd energi'!$B$1:$AI$720,MATCH(S$1,'Tillförd energi'!$B$1:$AQ$1,0),FALSE)</f>
        <v>0</v>
      </c>
      <c r="T7" s="31">
        <f>VLOOKUP($B7,'Tillförd energi'!$B$1:$AI$720,MATCH(T$1,'Tillförd energi'!$B$1:$AQ$1,0),FALSE)</f>
        <v>0</v>
      </c>
      <c r="U7" s="31">
        <f>VLOOKUP($B7,'Tillförd energi'!$B$1:$AI$720,MATCH(U$1,'Tillförd energi'!$B$1:$AQ$1,0),FALSE)</f>
        <v>0</v>
      </c>
      <c r="V7" s="31">
        <f>VLOOKUP($B7,'Tillförd energi'!$B$1:$AI$720,MATCH(V$1,'Tillförd energi'!$B$1:$AQ$1,0),FALSE)</f>
        <v>0</v>
      </c>
      <c r="W7" s="31">
        <f>VLOOKUP($B7,'Tillförd energi'!$B$1:$AI$720,MATCH(W$1,'Tillförd energi'!$B$1:$AQ$1,0),FALSE)</f>
        <v>1.119</v>
      </c>
      <c r="X7" s="31">
        <f>VLOOKUP($B7,'Tillförd energi'!$B$1:$AI$720,MATCH(X$1,'Tillförd energi'!$B$1:$AQ$1,0),FALSE)</f>
        <v>0</v>
      </c>
      <c r="Y7" s="31">
        <f>VLOOKUP($B7,'Tillförd energi'!$B$1:$AI$720,MATCH(Y$1,'Tillförd energi'!$B$1:$AQ$1,0),FALSE)</f>
        <v>0</v>
      </c>
      <c r="Z7" s="31">
        <f>VLOOKUP($B7,'Tillförd energi'!$B$1:$AI$720,MATCH(Z$1,'Tillförd energi'!$B$1:$AQ$1,0),FALSE)</f>
        <v>0</v>
      </c>
      <c r="AA7" s="31">
        <f>VLOOKUP($B7,'Tillförd energi'!$B$1:$AI$720,MATCH(AA$1,'Tillförd energi'!$B$1:$AQ$1,0),FALSE)</f>
        <v>0</v>
      </c>
      <c r="AB7" s="31">
        <f>VLOOKUP($B7,'Tillförd energi'!$B$1:$AI$720,MATCH(AB$1,'Tillförd energi'!$B$1:$AQ$1,0),FALSE)</f>
        <v>0</v>
      </c>
      <c r="AC7" s="31">
        <f>VLOOKUP($B7,'Tillförd energi'!$B$1:$AI$720,MATCH(AC$1,'Tillförd energi'!$B$1:$AQ$1,0),FALSE)</f>
        <v>2.7759999999999998</v>
      </c>
      <c r="AD7" s="31">
        <f>VLOOKUP($B7,'Tillförd energi'!$B$1:$AI$720,MATCH(AD$1,'Tillförd energi'!$B$1:$AQ$1,0),FALSE)</f>
        <v>0</v>
      </c>
      <c r="AE7" s="31">
        <f>VLOOKUP($B7,'Tillförd energi'!$B$1:$AI$720,MATCH(AE$1,'Tillförd energi'!$B$1:$AQ$1,0),FALSE)</f>
        <v>0</v>
      </c>
      <c r="AF7" s="31">
        <f>VLOOKUP($B7,'Tillförd energi'!$B$1:$AI$720,MATCH(AF$1,'Tillförd energi'!$B$1:$AQ$1,0),FALSE)</f>
        <v>0.93200000000000005</v>
      </c>
      <c r="AG7" s="31">
        <f>IFERROR(VLOOKUP(B7,Miljö!$B$1:$AC$550,MATCH("Köpt mängd produktionsspecifik fjärrvärme:",Miljö!$B$1:$AC$1,0),FALSE)/1,0)</f>
        <v>0</v>
      </c>
      <c r="AI7" s="31">
        <f t="shared" si="0"/>
        <v>32.210999999999999</v>
      </c>
      <c r="AJ7" s="31">
        <f t="shared" si="1"/>
        <v>32.210999999999999</v>
      </c>
      <c r="AK7" s="31">
        <f>IF(ISERROR(1/VLOOKUP($B7,Leveranser!$B$1:$S$499,MATCH("Såld värme (GWh)",Leveranser!$B$1:$S$1,0),FALSE)),"",VLOOKUP($B7,Leveranser!$B$1:$S$499,MATCH("Såld värme (GWh)",Leveranser!$B$1:$S$1,0),FALSE))</f>
        <v>22.984000000000002</v>
      </c>
      <c r="AL7" s="31">
        <f>VLOOKUP($B7,Leveranser!$B$1:$Y$499,MATCH("Totalt såld fjärrvärme till andra fjärrvärmeföretag",Leveranser!$B$1:$AA$1,0),FALSE)</f>
        <v>0</v>
      </c>
      <c r="AM7" s="31">
        <f>IF(ISERROR(1/VLOOKUP($B7,Miljö!$B$1:$S$500,MATCH("Såld mängd produktionsspecifik fjärrvärme (GWh)",Miljö!$B$1:$R$1,0),FALSE)),0,VLOOKUP($B7,Miljö!$B$1:$S$500,MATCH("Såld mängd produktionsspecifik fjärrvärme (GWh)",Miljö!$B$1:$R$1,0),FALSE))</f>
        <v>0</v>
      </c>
      <c r="AN7" s="32">
        <f t="shared" si="2"/>
        <v>0.71354506224581671</v>
      </c>
      <c r="AP7" s="31" t="str">
        <f>IFERROR(VLOOKUP($B7,Miljövärden!$B$2:$H$550,7,FALSE),"Nej, saknas")</f>
        <v>Ja</v>
      </c>
      <c r="AQ7" s="31" t="str">
        <f>IFERROR(VLOOKUP($B7,Miljövärden!$B$2:$H$551,6,FALSE),"Nej, saknas")</f>
        <v>Ja</v>
      </c>
      <c r="AU7" s="31">
        <f t="shared" si="3"/>
        <v>0.93200000000000005</v>
      </c>
      <c r="AV7" s="31">
        <f t="shared" si="4"/>
        <v>0</v>
      </c>
      <c r="AW7" s="31">
        <f t="shared" si="5"/>
        <v>27.106000000000002</v>
      </c>
      <c r="AX7" s="31">
        <f t="shared" si="6"/>
        <v>0</v>
      </c>
      <c r="AZ7" s="31">
        <f t="shared" si="7"/>
        <v>28.225000000000001</v>
      </c>
      <c r="BC7" s="31">
        <f t="shared" si="8"/>
        <v>0.27800000000000002</v>
      </c>
      <c r="BD7" s="31">
        <f t="shared" si="9"/>
        <v>0</v>
      </c>
      <c r="BE7" s="31">
        <f t="shared" si="10"/>
        <v>28.225000000000001</v>
      </c>
      <c r="BF7" s="31">
        <f t="shared" si="11"/>
        <v>2.7759999999999998</v>
      </c>
      <c r="BG7" s="31">
        <f t="shared" si="12"/>
        <v>0.93200000000000005</v>
      </c>
      <c r="BH7" s="31">
        <f>VLOOKUP(B7,Miljö!$B$1:$BX$482,MATCH("Fossilandel för ursprungspecificerad el ()",Miljö!$B$1:$I$1,0),FALSE)</f>
        <v>0</v>
      </c>
      <c r="BI7" s="31">
        <f>VLOOKUP(B7,Miljö!$B$1:$BX$482,MATCH("Kärnkraftsandel för ursprungsspecificerad el ()",Miljö!$B$1:$O$1,0),FALSE)</f>
        <v>1</v>
      </c>
      <c r="BJ7" s="31">
        <f t="shared" si="13"/>
        <v>0</v>
      </c>
      <c r="BK7" s="31" t="str">
        <f>VLOOKUP(B7,Miljö!$B$1:$P$482,MATCH("Fossil andel i procent (%)",Miljö!$B$1:$P$1,0),FALSE)</f>
        <v>ET</v>
      </c>
      <c r="BL7" s="31">
        <f t="shared" si="14"/>
        <v>32.210999999999999</v>
      </c>
      <c r="BO7" s="32">
        <f t="shared" si="22"/>
        <v>8.6305920337772825E-3</v>
      </c>
      <c r="BP7" s="32">
        <f t="shared" si="15"/>
        <v>2.8934215019713765E-2</v>
      </c>
      <c r="BQ7" s="32">
        <f t="shared" si="16"/>
        <v>0.87625345378907837</v>
      </c>
      <c r="BR7" s="32">
        <f t="shared" si="17"/>
        <v>8.6181739157430687E-2</v>
      </c>
      <c r="BT7" s="62">
        <f t="shared" si="18"/>
        <v>1.0000000000000002</v>
      </c>
      <c r="BW7" s="32">
        <f>IF(AP7="Ja",VLOOKUP(B7,Miljövärden!$B$2:$H$551,MATCH("Total andel fossilt",Miljövärden!$B$2:$H$2,0),FALSE),"")</f>
        <v>8.6305900000000005E-3</v>
      </c>
      <c r="BX7" s="62">
        <f t="shared" si="19"/>
        <v>-2.033777282001159E-9</v>
      </c>
      <c r="BZ7" s="31">
        <f t="shared" si="20"/>
        <v>-2.033777282001159E-9</v>
      </c>
      <c r="CA7" s="32">
        <f t="shared" si="21"/>
        <v>0</v>
      </c>
    </row>
    <row r="8" spans="1:79" x14ac:dyDescent="0.45">
      <c r="A8" s="31" t="s">
        <v>15</v>
      </c>
      <c r="B8" s="31" t="s">
        <v>26</v>
      </c>
      <c r="C8" s="31">
        <f>VLOOKUP($B8,'Tillförd energi'!$B$1:$AI$720,MATCH(C$1,'Tillförd energi'!$B$1:$AQ$1,0),FALSE)</f>
        <v>0</v>
      </c>
      <c r="D8" s="31">
        <f>VLOOKUP($B8,'Tillförd energi'!$B$1:$AI$720,MATCH(D$1,'Tillförd energi'!$B$1:$AQ$1,0),FALSE)</f>
        <v>0</v>
      </c>
      <c r="E8" s="31">
        <f>VLOOKUP($B8,'Tillförd energi'!$B$1:$AI$720,MATCH(E$1,'Tillförd energi'!$B$1:$AQ$1,0),FALSE)</f>
        <v>0</v>
      </c>
      <c r="F8" s="31">
        <f>VLOOKUP($B8,'Tillförd energi'!$B$1:$AI$720,MATCH(F$1,'Tillförd energi'!$B$1:$AQ$1,0),FALSE)</f>
        <v>0</v>
      </c>
      <c r="G8" s="31">
        <f>VLOOKUP($B8,'Tillförd energi'!$B$1:$AI$720,MATCH(G$1,'Tillförd energi'!$B$1:$AQ$1,0),FALSE)</f>
        <v>0</v>
      </c>
      <c r="H8" s="31">
        <f>VLOOKUP($B8,'Tillförd energi'!$B$1:$AI$720,MATCH(H$1,'Tillförd energi'!$B$1:$AQ$1,0),FALSE)</f>
        <v>0</v>
      </c>
      <c r="I8" s="31">
        <f>VLOOKUP($B8,'Tillförd energi'!$B$1:$AI$720,MATCH(I$1,'Tillförd energi'!$B$1:$AQ$1,0),FALSE)</f>
        <v>0</v>
      </c>
      <c r="J8" s="31">
        <f>VLOOKUP($B8,'Tillförd energi'!$B$1:$AI$720,MATCH(J$1,'Tillförd energi'!$B$1:$AQ$1,0),FALSE)</f>
        <v>1.2</v>
      </c>
      <c r="K8" s="31">
        <f>VLOOKUP($B8,'Tillförd energi'!$B$1:$AI$720,MATCH(K$1,'Tillförd energi'!$B$1:$AQ$1,0),FALSE)</f>
        <v>0</v>
      </c>
      <c r="L8" s="31">
        <f>VLOOKUP($B8,'Tillförd energi'!$B$1:$AI$720,MATCH(L$1,'Tillförd energi'!$B$1:$AQ$1,0),FALSE)</f>
        <v>0</v>
      </c>
      <c r="M8" s="31">
        <f>VLOOKUP($B8,'Tillförd energi'!$B$1:$AI$720,MATCH(M$1,'Tillförd energi'!$B$1:$AQ$1,0),FALSE)</f>
        <v>0</v>
      </c>
      <c r="N8" s="31">
        <f>VLOOKUP($B8,'Tillförd energi'!$B$1:$AI$720,MATCH(N$1,'Tillförd energi'!$B$1:$AQ$1,0),FALSE)</f>
        <v>0</v>
      </c>
      <c r="O8" s="31">
        <f>VLOOKUP($B8,'Tillförd energi'!$B$1:$AI$720,MATCH(O$1,'Tillförd energi'!$B$1:$AQ$1,0),FALSE)</f>
        <v>0</v>
      </c>
      <c r="P8" s="31">
        <f>VLOOKUP($B8,'Tillförd energi'!$B$1:$AI$720,MATCH(P$1,'Tillförd energi'!$B$1:$AQ$1,0),FALSE)</f>
        <v>0</v>
      </c>
      <c r="Q8" s="31">
        <f>VLOOKUP($B8,'Tillförd energi'!$B$1:$AI$720,MATCH(Q$1,'Tillförd energi'!$B$1:$AQ$1,0),FALSE)</f>
        <v>27.614999999999998</v>
      </c>
      <c r="R8" s="31">
        <f>VLOOKUP($B8,'Tillförd energi'!$B$1:$AI$720,MATCH(R$1,'Tillförd energi'!$B$1:$AQ$1,0),FALSE)</f>
        <v>0</v>
      </c>
      <c r="S8" s="31">
        <f>VLOOKUP($B8,'Tillförd energi'!$B$1:$AI$720,MATCH(S$1,'Tillförd energi'!$B$1:$AQ$1,0),FALSE)</f>
        <v>0</v>
      </c>
      <c r="T8" s="31">
        <f>VLOOKUP($B8,'Tillförd energi'!$B$1:$AI$720,MATCH(T$1,'Tillförd energi'!$B$1:$AQ$1,0),FALSE)</f>
        <v>0</v>
      </c>
      <c r="U8" s="31">
        <f>VLOOKUP($B8,'Tillförd energi'!$B$1:$AI$720,MATCH(U$1,'Tillförd energi'!$B$1:$AQ$1,0),FALSE)</f>
        <v>0</v>
      </c>
      <c r="V8" s="31">
        <f>VLOOKUP($B8,'Tillförd energi'!$B$1:$AI$720,MATCH(V$1,'Tillförd energi'!$B$1:$AQ$1,0),FALSE)</f>
        <v>0</v>
      </c>
      <c r="W8" s="31">
        <f>VLOOKUP($B8,'Tillförd energi'!$B$1:$AI$720,MATCH(W$1,'Tillförd energi'!$B$1:$AQ$1,0),FALSE)</f>
        <v>0</v>
      </c>
      <c r="X8" s="31">
        <f>VLOOKUP($B8,'Tillförd energi'!$B$1:$AI$720,MATCH(X$1,'Tillförd energi'!$B$1:$AQ$1,0),FALSE)</f>
        <v>0</v>
      </c>
      <c r="Y8" s="31">
        <f>VLOOKUP($B8,'Tillförd energi'!$B$1:$AI$720,MATCH(Y$1,'Tillförd energi'!$B$1:$AQ$1,0),FALSE)</f>
        <v>0</v>
      </c>
      <c r="Z8" s="31">
        <f>VLOOKUP($B8,'Tillförd energi'!$B$1:$AI$720,MATCH(Z$1,'Tillförd energi'!$B$1:$AQ$1,0),FALSE)</f>
        <v>0</v>
      </c>
      <c r="AA8" s="31">
        <f>VLOOKUP($B8,'Tillförd energi'!$B$1:$AI$720,MATCH(AA$1,'Tillförd energi'!$B$1:$AQ$1,0),FALSE)</f>
        <v>0</v>
      </c>
      <c r="AB8" s="31">
        <f>VLOOKUP($B8,'Tillförd energi'!$B$1:$AI$720,MATCH(AB$1,'Tillförd energi'!$B$1:$AQ$1,0),FALSE)</f>
        <v>0</v>
      </c>
      <c r="AC8" s="31">
        <f>VLOOKUP($B8,'Tillförd energi'!$B$1:$AI$720,MATCH(AC$1,'Tillförd energi'!$B$1:$AQ$1,0),FALSE)</f>
        <v>3.7679999999999998</v>
      </c>
      <c r="AD8" s="31">
        <f>VLOOKUP($B8,'Tillförd energi'!$B$1:$AI$720,MATCH(AD$1,'Tillförd energi'!$B$1:$AQ$1,0),FALSE)</f>
        <v>0</v>
      </c>
      <c r="AE8" s="31">
        <f>VLOOKUP($B8,'Tillförd energi'!$B$1:$AI$720,MATCH(AE$1,'Tillförd energi'!$B$1:$AQ$1,0),FALSE)</f>
        <v>0</v>
      </c>
      <c r="AF8" s="31">
        <f>VLOOKUP($B8,'Tillförd energi'!$B$1:$AI$720,MATCH(AF$1,'Tillförd energi'!$B$1:$AQ$1,0),FALSE)</f>
        <v>0.95199999999999996</v>
      </c>
      <c r="AG8" s="31">
        <f>IFERROR(VLOOKUP(B8,Miljö!$B$1:$AC$550,MATCH("Köpt mängd produktionsspecifik fjärrvärme:",Miljö!$B$1:$AC$1,0),FALSE)/1,0)</f>
        <v>0</v>
      </c>
      <c r="AI8" s="31">
        <f t="shared" si="0"/>
        <v>33.534999999999997</v>
      </c>
      <c r="AJ8" s="31">
        <f t="shared" si="1"/>
        <v>33.534999999999997</v>
      </c>
      <c r="AK8" s="31">
        <f>IF(ISERROR(1/VLOOKUP($B8,Leveranser!$B$1:$S$499,MATCH("Såld värme (GWh)",Leveranser!$B$1:$S$1,0),FALSE)),"",VLOOKUP($B8,Leveranser!$B$1:$S$499,MATCH("Såld värme (GWh)",Leveranser!$B$1:$S$1,0),FALSE))</f>
        <v>25.547000000000001</v>
      </c>
      <c r="AL8" s="31">
        <f>VLOOKUP($B8,Leveranser!$B$1:$Y$499,MATCH("Totalt såld fjärrvärme till andra fjärrvärmeföretag",Leveranser!$B$1:$AA$1,0),FALSE)</f>
        <v>0</v>
      </c>
      <c r="AM8" s="31">
        <f>IF(ISERROR(1/VLOOKUP($B8,Miljö!$B$1:$S$500,MATCH("Såld mängd produktionsspecifik fjärrvärme (GWh)",Miljö!$B$1:$R$1,0),FALSE)),0,VLOOKUP($B8,Miljö!$B$1:$S$500,MATCH("Såld mängd produktionsspecifik fjärrvärme (GWh)",Miljö!$B$1:$R$1,0),FALSE))</f>
        <v>0</v>
      </c>
      <c r="AN8" s="32">
        <f t="shared" si="2"/>
        <v>0.7618011033248846</v>
      </c>
      <c r="AP8" s="31" t="str">
        <f>IFERROR(VLOOKUP($B8,Miljövärden!$B$2:$H$550,7,FALSE),"Nej, saknas")</f>
        <v>Ja</v>
      </c>
      <c r="AQ8" s="31" t="str">
        <f>IFERROR(VLOOKUP($B8,Miljövärden!$B$2:$H$551,6,FALSE),"Nej, saknas")</f>
        <v>Ja</v>
      </c>
      <c r="AU8" s="31">
        <f t="shared" si="3"/>
        <v>0.95199999999999996</v>
      </c>
      <c r="AV8" s="31">
        <f t="shared" si="4"/>
        <v>0</v>
      </c>
      <c r="AW8" s="31">
        <f t="shared" si="5"/>
        <v>27.614999999999998</v>
      </c>
      <c r="AX8" s="31">
        <f t="shared" si="6"/>
        <v>0</v>
      </c>
      <c r="AZ8" s="31">
        <f t="shared" si="7"/>
        <v>27.614999999999998</v>
      </c>
      <c r="BC8" s="31">
        <f t="shared" si="8"/>
        <v>0</v>
      </c>
      <c r="BD8" s="31">
        <f t="shared" si="9"/>
        <v>0</v>
      </c>
      <c r="BE8" s="31">
        <f t="shared" si="10"/>
        <v>27.614999999999998</v>
      </c>
      <c r="BF8" s="31">
        <f t="shared" si="11"/>
        <v>4.968</v>
      </c>
      <c r="BG8" s="31">
        <f t="shared" si="12"/>
        <v>0.95199999999999996</v>
      </c>
      <c r="BH8" s="31">
        <f>VLOOKUP(B8,Miljö!$B$1:$BX$482,MATCH("Fossilandel för ursprungspecificerad el ()",Miljö!$B$1:$I$1,0),FALSE)</f>
        <v>0</v>
      </c>
      <c r="BI8" s="31">
        <f>VLOOKUP(B8,Miljö!$B$1:$BX$482,MATCH("Kärnkraftsandel för ursprungsspecificerad el ()",Miljö!$B$1:$O$1,0),FALSE)</f>
        <v>1</v>
      </c>
      <c r="BJ8" s="31">
        <f t="shared" si="13"/>
        <v>0</v>
      </c>
      <c r="BK8" s="31" t="str">
        <f>VLOOKUP(B8,Miljö!$B$1:$P$482,MATCH("Fossil andel i procent (%)",Miljö!$B$1:$P$1,0),FALSE)</f>
        <v>ET</v>
      </c>
      <c r="BL8" s="31">
        <f t="shared" si="14"/>
        <v>33.534999999999997</v>
      </c>
      <c r="BO8" s="32">
        <f t="shared" si="22"/>
        <v>0</v>
      </c>
      <c r="BP8" s="32">
        <f t="shared" si="15"/>
        <v>2.8388251080960193E-2</v>
      </c>
      <c r="BQ8" s="32">
        <f t="shared" si="16"/>
        <v>0.82346801848814677</v>
      </c>
      <c r="BR8" s="32">
        <f t="shared" si="17"/>
        <v>0.1481437304308931</v>
      </c>
      <c r="BT8" s="62">
        <f t="shared" si="18"/>
        <v>1</v>
      </c>
      <c r="BW8" s="32">
        <f>IF(AP8="Ja",VLOOKUP(B8,Miljövärden!$B$2:$H$551,MATCH("Total andel fossilt",Miljövärden!$B$2:$H$2,0),FALSE),"")</f>
        <v>0</v>
      </c>
      <c r="BX8" s="62">
        <f t="shared" si="19"/>
        <v>0</v>
      </c>
      <c r="BZ8" s="31">
        <f t="shared" si="20"/>
        <v>0</v>
      </c>
      <c r="CA8" s="32">
        <f t="shared" si="21"/>
        <v>0</v>
      </c>
    </row>
    <row r="9" spans="1:79" x14ac:dyDescent="0.45">
      <c r="A9" s="31" t="s">
        <v>15</v>
      </c>
      <c r="B9" s="31" t="s">
        <v>20</v>
      </c>
      <c r="C9" s="31">
        <f>VLOOKUP($B9,'Tillförd energi'!$B$1:$AI$720,MATCH(C$1,'Tillförd energi'!$B$1:$AQ$1,0),FALSE)</f>
        <v>0</v>
      </c>
      <c r="D9" s="31">
        <f>VLOOKUP($B9,'Tillförd energi'!$B$1:$AI$720,MATCH(D$1,'Tillförd energi'!$B$1:$AQ$1,0),FALSE)</f>
        <v>0.97499999999999998</v>
      </c>
      <c r="E9" s="31">
        <f>VLOOKUP($B9,'Tillförd energi'!$B$1:$AI$720,MATCH(E$1,'Tillförd energi'!$B$1:$AQ$1,0),FALSE)</f>
        <v>0</v>
      </c>
      <c r="F9" s="31">
        <f>VLOOKUP($B9,'Tillförd energi'!$B$1:$AI$720,MATCH(F$1,'Tillförd energi'!$B$1:$AQ$1,0),FALSE)</f>
        <v>0</v>
      </c>
      <c r="G9" s="31">
        <f>VLOOKUP($B9,'Tillförd energi'!$B$1:$AI$720,MATCH(G$1,'Tillförd energi'!$B$1:$AQ$1,0),FALSE)</f>
        <v>0</v>
      </c>
      <c r="H9" s="31">
        <f>VLOOKUP($B9,'Tillförd energi'!$B$1:$AI$720,MATCH(H$1,'Tillförd energi'!$B$1:$AQ$1,0),FALSE)</f>
        <v>0</v>
      </c>
      <c r="I9" s="31">
        <f>VLOOKUP($B9,'Tillförd energi'!$B$1:$AI$720,MATCH(I$1,'Tillförd energi'!$B$1:$AQ$1,0),FALSE)</f>
        <v>68.287000000000006</v>
      </c>
      <c r="J9" s="31">
        <f>VLOOKUP($B9,'Tillförd energi'!$B$1:$AI$720,MATCH(J$1,'Tillförd energi'!$B$1:$AQ$1,0),FALSE)</f>
        <v>0</v>
      </c>
      <c r="K9" s="31">
        <f>VLOOKUP($B9,'Tillförd energi'!$B$1:$AI$720,MATCH(K$1,'Tillförd energi'!$B$1:$AQ$1,0),FALSE)</f>
        <v>0</v>
      </c>
      <c r="L9" s="31">
        <f>VLOOKUP($B9,'Tillförd energi'!$B$1:$AI$720,MATCH(L$1,'Tillförd energi'!$B$1:$AQ$1,0),FALSE)</f>
        <v>0</v>
      </c>
      <c r="M9" s="31">
        <f>VLOOKUP($B9,'Tillförd energi'!$B$1:$AI$720,MATCH(M$1,'Tillförd energi'!$B$1:$AQ$1,0),FALSE)</f>
        <v>0</v>
      </c>
      <c r="N9" s="31">
        <f>VLOOKUP($B9,'Tillförd energi'!$B$1:$AI$720,MATCH(N$1,'Tillförd energi'!$B$1:$AQ$1,0),FALSE)</f>
        <v>0</v>
      </c>
      <c r="O9" s="31">
        <f>VLOOKUP($B9,'Tillförd energi'!$B$1:$AI$720,MATCH(O$1,'Tillförd energi'!$B$1:$AQ$1,0),FALSE)</f>
        <v>0</v>
      </c>
      <c r="P9" s="31">
        <f>VLOOKUP($B9,'Tillförd energi'!$B$1:$AI$720,MATCH(P$1,'Tillförd energi'!$B$1:$AQ$1,0),FALSE)</f>
        <v>0</v>
      </c>
      <c r="Q9" s="31">
        <f>VLOOKUP($B9,'Tillförd energi'!$B$1:$AI$720,MATCH(Q$1,'Tillförd energi'!$B$1:$AQ$1,0),FALSE)</f>
        <v>43.963999999999999</v>
      </c>
      <c r="R9" s="31">
        <f>VLOOKUP($B9,'Tillförd energi'!$B$1:$AI$720,MATCH(R$1,'Tillförd energi'!$B$1:$AQ$1,0),FALSE)</f>
        <v>0</v>
      </c>
      <c r="S9" s="31">
        <f>VLOOKUP($B9,'Tillförd energi'!$B$1:$AI$720,MATCH(S$1,'Tillförd energi'!$B$1:$AQ$1,0),FALSE)</f>
        <v>0</v>
      </c>
      <c r="T9" s="31">
        <f>VLOOKUP($B9,'Tillförd energi'!$B$1:$AI$720,MATCH(T$1,'Tillförd energi'!$B$1:$AQ$1,0),FALSE)</f>
        <v>0</v>
      </c>
      <c r="U9" s="31">
        <f>VLOOKUP($B9,'Tillförd energi'!$B$1:$AI$720,MATCH(U$1,'Tillförd energi'!$B$1:$AQ$1,0),FALSE)</f>
        <v>0</v>
      </c>
      <c r="V9" s="31">
        <f>VLOOKUP($B9,'Tillförd energi'!$B$1:$AI$720,MATCH(V$1,'Tillförd energi'!$B$1:$AQ$1,0),FALSE)</f>
        <v>0</v>
      </c>
      <c r="W9" s="31">
        <f>VLOOKUP($B9,'Tillförd energi'!$B$1:$AI$720,MATCH(W$1,'Tillförd energi'!$B$1:$AQ$1,0),FALSE)</f>
        <v>0</v>
      </c>
      <c r="X9" s="31">
        <f>VLOOKUP($B9,'Tillförd energi'!$B$1:$AI$720,MATCH(X$1,'Tillförd energi'!$B$1:$AQ$1,0),FALSE)</f>
        <v>0</v>
      </c>
      <c r="Y9" s="31">
        <f>VLOOKUP($B9,'Tillförd energi'!$B$1:$AI$720,MATCH(Y$1,'Tillförd energi'!$B$1:$AQ$1,0),FALSE)</f>
        <v>0</v>
      </c>
      <c r="Z9" s="31">
        <f>VLOOKUP($B9,'Tillförd energi'!$B$1:$AI$720,MATCH(Z$1,'Tillförd energi'!$B$1:$AQ$1,0),FALSE)</f>
        <v>0</v>
      </c>
      <c r="AA9" s="31">
        <f>VLOOKUP($B9,'Tillförd energi'!$B$1:$AI$720,MATCH(AA$1,'Tillförd energi'!$B$1:$AQ$1,0),FALSE)</f>
        <v>0</v>
      </c>
      <c r="AB9" s="31">
        <f>VLOOKUP($B9,'Tillförd energi'!$B$1:$AI$720,MATCH(AB$1,'Tillförd energi'!$B$1:$AQ$1,0),FALSE)</f>
        <v>0</v>
      </c>
      <c r="AC9" s="31">
        <f>VLOOKUP($B9,'Tillförd energi'!$B$1:$AI$720,MATCH(AC$1,'Tillförd energi'!$B$1:$AQ$1,0),FALSE)</f>
        <v>6.8360000000000003</v>
      </c>
      <c r="AD9" s="31">
        <f>VLOOKUP($B9,'Tillförd energi'!$B$1:$AI$720,MATCH(AD$1,'Tillförd energi'!$B$1:$AQ$1,0),FALSE)</f>
        <v>18.297999999999998</v>
      </c>
      <c r="AE9" s="31">
        <f>VLOOKUP($B9,'Tillförd energi'!$B$1:$AI$720,MATCH(AE$1,'Tillförd energi'!$B$1:$AQ$1,0),FALSE)</f>
        <v>0</v>
      </c>
      <c r="AF9" s="31">
        <f>VLOOKUP($B9,'Tillförd energi'!$B$1:$AI$720,MATCH(AF$1,'Tillförd energi'!$B$1:$AQ$1,0),FALSE)</f>
        <v>4</v>
      </c>
      <c r="AG9" s="31">
        <f>IFERROR(VLOOKUP(B9,Miljö!$B$1:$AC$550,MATCH("Köpt mängd produktionsspecifik fjärrvärme:",Miljö!$B$1:$AC$1,0),FALSE)/1,0)</f>
        <v>0</v>
      </c>
      <c r="AI9" s="31">
        <f t="shared" si="0"/>
        <v>142.35999999999999</v>
      </c>
      <c r="AJ9" s="31">
        <f t="shared" si="1"/>
        <v>142.35999999999999</v>
      </c>
      <c r="AK9" s="31">
        <f>IF(ISERROR(1/VLOOKUP($B9,Leveranser!$B$1:$S$499,MATCH("Såld värme (GWh)",Leveranser!$B$1:$S$1,0),FALSE)),"",VLOOKUP($B9,Leveranser!$B$1:$S$499,MATCH("Såld värme (GWh)",Leveranser!$B$1:$S$1,0),FALSE))</f>
        <v>104.622</v>
      </c>
      <c r="AL9" s="31">
        <f>VLOOKUP($B9,Leveranser!$B$1:$Y$499,MATCH("Totalt såld fjärrvärme till andra fjärrvärmeföretag",Leveranser!$B$1:$AA$1,0),FALSE)</f>
        <v>0</v>
      </c>
      <c r="AM9" s="31">
        <f>IF(ISERROR(1/VLOOKUP($B9,Miljö!$B$1:$S$500,MATCH("Såld mängd produktionsspecifik fjärrvärme (GWh)",Miljö!$B$1:$R$1,0),FALSE)),0,VLOOKUP($B9,Miljö!$B$1:$S$500,MATCH("Såld mängd produktionsspecifik fjärrvärme (GWh)",Miljö!$B$1:$R$1,0),FALSE))</f>
        <v>0</v>
      </c>
      <c r="AN9" s="32">
        <f t="shared" si="2"/>
        <v>0.73491149199213268</v>
      </c>
      <c r="AP9" s="31" t="str">
        <f>IFERROR(VLOOKUP($B9,Miljövärden!$B$2:$H$550,7,FALSE),"Nej, saknas")</f>
        <v>Ja</v>
      </c>
      <c r="AQ9" s="31" t="str">
        <f>IFERROR(VLOOKUP($B9,Miljövärden!$B$2:$H$551,6,FALSE),"Nej, saknas")</f>
        <v>Nej</v>
      </c>
      <c r="AU9" s="31">
        <f t="shared" si="3"/>
        <v>4</v>
      </c>
      <c r="AV9" s="31">
        <f t="shared" si="4"/>
        <v>0</v>
      </c>
      <c r="AW9" s="31">
        <f t="shared" si="5"/>
        <v>43.963999999999999</v>
      </c>
      <c r="AX9" s="31">
        <f t="shared" si="6"/>
        <v>0</v>
      </c>
      <c r="AZ9" s="31">
        <f t="shared" si="7"/>
        <v>43.963999999999999</v>
      </c>
      <c r="BC9" s="31">
        <f t="shared" si="8"/>
        <v>0.97499999999999998</v>
      </c>
      <c r="BD9" s="31">
        <f t="shared" si="9"/>
        <v>0</v>
      </c>
      <c r="BE9" s="31">
        <f t="shared" si="10"/>
        <v>43.963999999999999</v>
      </c>
      <c r="BF9" s="31">
        <f t="shared" si="11"/>
        <v>93.421000000000006</v>
      </c>
      <c r="BG9" s="31">
        <f t="shared" si="12"/>
        <v>4</v>
      </c>
      <c r="BH9" s="31">
        <f>VLOOKUP(B9,Miljö!$B$1:$BX$482,MATCH("Fossilandel för ursprungspecificerad el ()",Miljö!$B$1:$I$1,0),FALSE)</f>
        <v>0</v>
      </c>
      <c r="BI9" s="31">
        <f>VLOOKUP(B9,Miljö!$B$1:$BX$482,MATCH("Kärnkraftsandel för ursprungsspecificerad el ()",Miljö!$B$1:$O$1,0),FALSE)</f>
        <v>1</v>
      </c>
      <c r="BJ9" s="31">
        <f t="shared" si="13"/>
        <v>0</v>
      </c>
      <c r="BK9" s="31" t="str">
        <f>VLOOKUP(B9,Miljö!$B$1:$P$482,MATCH("Fossil andel i procent (%)",Miljö!$B$1:$P$1,0),FALSE)</f>
        <v>ET</v>
      </c>
      <c r="BL9" s="31">
        <f t="shared" si="14"/>
        <v>142.36000000000001</v>
      </c>
      <c r="BO9" s="32">
        <f t="shared" si="22"/>
        <v>6.8488339421185719E-3</v>
      </c>
      <c r="BP9" s="32">
        <f t="shared" si="15"/>
        <v>2.8097780275358242E-2</v>
      </c>
      <c r="BQ9" s="32">
        <f t="shared" si="16"/>
        <v>0.30882270300646247</v>
      </c>
      <c r="BR9" s="32">
        <f t="shared" si="17"/>
        <v>0.65623068277606067</v>
      </c>
      <c r="BT9" s="62">
        <f t="shared" si="18"/>
        <v>1</v>
      </c>
      <c r="BW9" s="32">
        <f>IF(AP9="Ja",VLOOKUP(B9,Miljövärden!$B$2:$H$551,MATCH("Total andel fossilt",Miljövärden!$B$2:$H$2,0),FALSE),"")</f>
        <v>6.8488300000000002E-3</v>
      </c>
      <c r="BX9" s="62">
        <f t="shared" si="19"/>
        <v>-3.9421185716800866E-9</v>
      </c>
      <c r="BZ9" s="31">
        <f t="shared" si="20"/>
        <v>-3.9421185716800866E-9</v>
      </c>
      <c r="CA9" s="32">
        <f t="shared" si="21"/>
        <v>0</v>
      </c>
    </row>
    <row r="10" spans="1:79" x14ac:dyDescent="0.45">
      <c r="A10" s="31" t="s">
        <v>15</v>
      </c>
      <c r="B10" s="31" t="s">
        <v>32</v>
      </c>
      <c r="C10" s="31">
        <f>VLOOKUP($B10,'Tillförd energi'!$B$1:$AI$720,MATCH(C$1,'Tillförd energi'!$B$1:$AQ$1,0),FALSE)</f>
        <v>0</v>
      </c>
      <c r="D10" s="31">
        <f>VLOOKUP($B10,'Tillförd energi'!$B$1:$AI$720,MATCH(D$1,'Tillförd energi'!$B$1:$AQ$1,0),FALSE)</f>
        <v>0.03</v>
      </c>
      <c r="E10" s="31">
        <f>VLOOKUP($B10,'Tillförd energi'!$B$1:$AI$720,MATCH(E$1,'Tillförd energi'!$B$1:$AQ$1,0),FALSE)</f>
        <v>0</v>
      </c>
      <c r="F10" s="31">
        <f>VLOOKUP($B10,'Tillförd energi'!$B$1:$AI$720,MATCH(F$1,'Tillförd energi'!$B$1:$AQ$1,0),FALSE)</f>
        <v>0</v>
      </c>
      <c r="G10" s="31">
        <f>VLOOKUP($B10,'Tillförd energi'!$B$1:$AI$720,MATCH(G$1,'Tillförd energi'!$B$1:$AQ$1,0),FALSE)</f>
        <v>0</v>
      </c>
      <c r="H10" s="31">
        <f>VLOOKUP($B10,'Tillförd energi'!$B$1:$AI$720,MATCH(H$1,'Tillförd energi'!$B$1:$AQ$1,0),FALSE)</f>
        <v>0.04</v>
      </c>
      <c r="I10" s="31">
        <f>VLOOKUP($B10,'Tillförd energi'!$B$1:$AI$720,MATCH(I$1,'Tillförd energi'!$B$1:$AQ$1,0),FALSE)</f>
        <v>0</v>
      </c>
      <c r="J10" s="31">
        <f>VLOOKUP($B10,'Tillförd energi'!$B$1:$AI$720,MATCH(J$1,'Tillförd energi'!$B$1:$AQ$1,0),FALSE)</f>
        <v>0.314</v>
      </c>
      <c r="K10" s="31">
        <f>VLOOKUP($B10,'Tillförd energi'!$B$1:$AI$720,MATCH(K$1,'Tillförd energi'!$B$1:$AQ$1,0),FALSE)</f>
        <v>0</v>
      </c>
      <c r="L10" s="31">
        <f>VLOOKUP($B10,'Tillförd energi'!$B$1:$AI$720,MATCH(L$1,'Tillförd energi'!$B$1:$AQ$1,0),FALSE)</f>
        <v>0</v>
      </c>
      <c r="M10" s="31">
        <f>VLOOKUP($B10,'Tillförd energi'!$B$1:$AI$720,MATCH(M$1,'Tillförd energi'!$B$1:$AQ$1,0),FALSE)</f>
        <v>0</v>
      </c>
      <c r="N10" s="31">
        <f>VLOOKUP($B10,'Tillförd energi'!$B$1:$AI$720,MATCH(N$1,'Tillförd energi'!$B$1:$AQ$1,0),FALSE)</f>
        <v>0</v>
      </c>
      <c r="O10" s="31">
        <f>VLOOKUP($B10,'Tillförd energi'!$B$1:$AI$720,MATCH(O$1,'Tillförd energi'!$B$1:$AQ$1,0),FALSE)</f>
        <v>0</v>
      </c>
      <c r="P10" s="31">
        <f>VLOOKUP($B10,'Tillförd energi'!$B$1:$AI$720,MATCH(P$1,'Tillförd energi'!$B$1:$AQ$1,0),FALSE)</f>
        <v>0</v>
      </c>
      <c r="Q10" s="31">
        <f>VLOOKUP($B10,'Tillförd energi'!$B$1:$AI$720,MATCH(Q$1,'Tillförd energi'!$B$1:$AQ$1,0),FALSE)</f>
        <v>70.410399999999996</v>
      </c>
      <c r="R10" s="31">
        <f>VLOOKUP($B10,'Tillförd energi'!$B$1:$AI$720,MATCH(R$1,'Tillförd energi'!$B$1:$AQ$1,0),FALSE)</f>
        <v>0</v>
      </c>
      <c r="S10" s="31">
        <f>VLOOKUP($B10,'Tillförd energi'!$B$1:$AI$720,MATCH(S$1,'Tillförd energi'!$B$1:$AQ$1,0),FALSE)</f>
        <v>6.343</v>
      </c>
      <c r="T10" s="31">
        <f>VLOOKUP($B10,'Tillförd energi'!$B$1:$AI$720,MATCH(T$1,'Tillförd energi'!$B$1:$AQ$1,0),FALSE)</f>
        <v>0</v>
      </c>
      <c r="U10" s="31">
        <f>VLOOKUP($B10,'Tillförd energi'!$B$1:$AI$720,MATCH(U$1,'Tillförd energi'!$B$1:$AQ$1,0),FALSE)</f>
        <v>0</v>
      </c>
      <c r="V10" s="31">
        <f>VLOOKUP($B10,'Tillförd energi'!$B$1:$AI$720,MATCH(V$1,'Tillförd energi'!$B$1:$AQ$1,0),FALSE)</f>
        <v>0</v>
      </c>
      <c r="W10" s="31">
        <f>VLOOKUP($B10,'Tillförd energi'!$B$1:$AI$720,MATCH(W$1,'Tillförd energi'!$B$1:$AQ$1,0),FALSE)</f>
        <v>1.5349999999999999</v>
      </c>
      <c r="X10" s="31">
        <f>VLOOKUP($B10,'Tillförd energi'!$B$1:$AI$720,MATCH(X$1,'Tillförd energi'!$B$1:$AQ$1,0),FALSE)</f>
        <v>0</v>
      </c>
      <c r="Y10" s="31">
        <f>VLOOKUP($B10,'Tillförd energi'!$B$1:$AI$720,MATCH(Y$1,'Tillförd energi'!$B$1:$AQ$1,0),FALSE)</f>
        <v>0</v>
      </c>
      <c r="Z10" s="31">
        <f>VLOOKUP($B10,'Tillförd energi'!$B$1:$AI$720,MATCH(Z$1,'Tillförd energi'!$B$1:$AQ$1,0),FALSE)</f>
        <v>0</v>
      </c>
      <c r="AA10" s="31">
        <f>VLOOKUP($B10,'Tillförd energi'!$B$1:$AI$720,MATCH(AA$1,'Tillförd energi'!$B$1:$AQ$1,0),FALSE)</f>
        <v>0</v>
      </c>
      <c r="AB10" s="31">
        <f>VLOOKUP($B10,'Tillförd energi'!$B$1:$AI$720,MATCH(AB$1,'Tillförd energi'!$B$1:$AQ$1,0),FALSE)</f>
        <v>0</v>
      </c>
      <c r="AC10" s="31">
        <f>VLOOKUP($B10,'Tillförd energi'!$B$1:$AI$720,MATCH(AC$1,'Tillförd energi'!$B$1:$AQ$1,0),FALSE)</f>
        <v>13.855</v>
      </c>
      <c r="AD10" s="31">
        <f>VLOOKUP($B10,'Tillförd energi'!$B$1:$AI$720,MATCH(AD$1,'Tillförd energi'!$B$1:$AQ$1,0),FALSE)</f>
        <v>0</v>
      </c>
      <c r="AE10" s="31">
        <f>VLOOKUP($B10,'Tillförd energi'!$B$1:$AI$720,MATCH(AE$1,'Tillförd energi'!$B$1:$AQ$1,0),FALSE)</f>
        <v>0</v>
      </c>
      <c r="AF10" s="31">
        <f>VLOOKUP($B10,'Tillförd energi'!$B$1:$AI$720,MATCH(AF$1,'Tillförd energi'!$B$1:$AQ$1,0),FALSE)</f>
        <v>1.7</v>
      </c>
      <c r="AG10" s="31">
        <f>IFERROR(VLOOKUP(B10,Miljö!$B$1:$AC$550,MATCH("Köpt mängd produktionsspecifik fjärrvärme:",Miljö!$B$1:$AC$1,0),FALSE)/1,0)</f>
        <v>0</v>
      </c>
      <c r="AI10" s="31">
        <f t="shared" si="0"/>
        <v>94.227400000000003</v>
      </c>
      <c r="AJ10" s="31">
        <f t="shared" si="1"/>
        <v>94.227400000000003</v>
      </c>
      <c r="AK10" s="31">
        <f>IF(ISERROR(1/VLOOKUP($B10,Leveranser!$B$1:$S$499,MATCH("Såld värme (GWh)",Leveranser!$B$1:$S$1,0),FALSE)),"",VLOOKUP($B10,Leveranser!$B$1:$S$499,MATCH("Såld värme (GWh)",Leveranser!$B$1:$S$1,0),FALSE))</f>
        <v>84.292000000000002</v>
      </c>
      <c r="AL10" s="31">
        <f>VLOOKUP($B10,Leveranser!$B$1:$Y$499,MATCH("Totalt såld fjärrvärme till andra fjärrvärmeföretag",Leveranser!$B$1:$AA$1,0),FALSE)</f>
        <v>0</v>
      </c>
      <c r="AM10" s="31">
        <f>IF(ISERROR(1/VLOOKUP($B10,Miljö!$B$1:$S$500,MATCH("Såld mängd produktionsspecifik fjärrvärme (GWh)",Miljö!$B$1:$R$1,0),FALSE)),0,VLOOKUP($B10,Miljö!$B$1:$S$500,MATCH("Såld mängd produktionsspecifik fjärrvärme (GWh)",Miljö!$B$1:$R$1,0),FALSE))</f>
        <v>0</v>
      </c>
      <c r="AN10" s="32">
        <f t="shared" si="2"/>
        <v>0.89455933199897264</v>
      </c>
      <c r="AP10" s="31" t="str">
        <f>IFERROR(VLOOKUP($B10,Miljövärden!$B$2:$H$550,7,FALSE),"Nej, saknas")</f>
        <v>Ja</v>
      </c>
      <c r="AQ10" s="31" t="str">
        <f>IFERROR(VLOOKUP($B10,Miljövärden!$B$2:$H$551,6,FALSE),"Nej, saknas")</f>
        <v>Ja</v>
      </c>
      <c r="AU10" s="31">
        <f t="shared" si="3"/>
        <v>1.7</v>
      </c>
      <c r="AV10" s="31">
        <f t="shared" si="4"/>
        <v>0</v>
      </c>
      <c r="AW10" s="31">
        <f t="shared" si="5"/>
        <v>70.410399999999996</v>
      </c>
      <c r="AX10" s="31">
        <f t="shared" si="6"/>
        <v>6.343</v>
      </c>
      <c r="AZ10" s="31">
        <f t="shared" si="7"/>
        <v>78.288399999999996</v>
      </c>
      <c r="BC10" s="31">
        <f t="shared" si="8"/>
        <v>7.0000000000000007E-2</v>
      </c>
      <c r="BD10" s="31">
        <f t="shared" si="9"/>
        <v>0</v>
      </c>
      <c r="BE10" s="31">
        <f t="shared" si="10"/>
        <v>78.288399999999996</v>
      </c>
      <c r="BF10" s="31">
        <f t="shared" si="11"/>
        <v>14.169</v>
      </c>
      <c r="BG10" s="31">
        <f t="shared" si="12"/>
        <v>1.7</v>
      </c>
      <c r="BH10" s="31">
        <f>VLOOKUP(B10,Miljö!$B$1:$BX$482,MATCH("Fossilandel för ursprungspecificerad el ()",Miljö!$B$1:$I$1,0),FALSE)</f>
        <v>0</v>
      </c>
      <c r="BI10" s="31">
        <f>VLOOKUP(B10,Miljö!$B$1:$BX$482,MATCH("Kärnkraftsandel för ursprungsspecificerad el ()",Miljö!$B$1:$O$1,0),FALSE)</f>
        <v>1</v>
      </c>
      <c r="BJ10" s="31">
        <f t="shared" si="13"/>
        <v>0</v>
      </c>
      <c r="BK10" s="31" t="str">
        <f>VLOOKUP(B10,Miljö!$B$1:$P$482,MATCH("Fossil andel i procent (%)",Miljö!$B$1:$P$1,0),FALSE)</f>
        <v>ET</v>
      </c>
      <c r="BL10" s="31">
        <f t="shared" si="14"/>
        <v>94.227399999999989</v>
      </c>
      <c r="BO10" s="32">
        <f t="shared" si="22"/>
        <v>7.4288370473981041E-4</v>
      </c>
      <c r="BP10" s="32">
        <f t="shared" si="15"/>
        <v>1.8041461400823966E-2</v>
      </c>
      <c r="BQ10" s="32">
        <f t="shared" si="16"/>
        <v>0.8308453804307453</v>
      </c>
      <c r="BR10" s="32">
        <f t="shared" si="17"/>
        <v>0.15037027446369106</v>
      </c>
      <c r="BT10" s="62">
        <f t="shared" si="18"/>
        <v>1.0000000000000002</v>
      </c>
      <c r="BW10" s="32">
        <f>IF(AP10="Ja",VLOOKUP(B10,Miljövärden!$B$2:$H$551,MATCH("Total andel fossilt",Miljövärden!$B$2:$H$2,0),FALSE),"")</f>
        <v>7.4288399999999997E-4</v>
      </c>
      <c r="BX10" s="62">
        <f t="shared" si="19"/>
        <v>2.9526018956171907E-10</v>
      </c>
      <c r="BZ10" s="31">
        <f t="shared" si="20"/>
        <v>2.9526018956171907E-10</v>
      </c>
      <c r="CA10" s="32">
        <f t="shared" si="21"/>
        <v>0</v>
      </c>
    </row>
    <row r="11" spans="1:79" x14ac:dyDescent="0.45">
      <c r="A11" s="31" t="s">
        <v>672</v>
      </c>
      <c r="B11" s="31" t="s">
        <v>681</v>
      </c>
      <c r="C11" s="31">
        <f>VLOOKUP($B11,'Tillförd energi'!$B$1:$AI$720,MATCH(C$1,'Tillförd energi'!$B$1:$AQ$1,0),FALSE)</f>
        <v>0</v>
      </c>
      <c r="D11" s="31">
        <f>VLOOKUP($B11,'Tillförd energi'!$B$1:$AI$720,MATCH(D$1,'Tillförd energi'!$B$1:$AQ$1,0),FALSE)</f>
        <v>0</v>
      </c>
      <c r="E11" s="31">
        <f>VLOOKUP($B11,'Tillförd energi'!$B$1:$AI$720,MATCH(E$1,'Tillförd energi'!$B$1:$AQ$1,0),FALSE)</f>
        <v>0</v>
      </c>
      <c r="F11" s="31">
        <f>VLOOKUP($B11,'Tillförd energi'!$B$1:$AI$720,MATCH(F$1,'Tillförd energi'!$B$1:$AQ$1,0),FALSE)</f>
        <v>0</v>
      </c>
      <c r="G11" s="31">
        <f>VLOOKUP($B11,'Tillförd energi'!$B$1:$AI$720,MATCH(G$1,'Tillförd energi'!$B$1:$AQ$1,0),FALSE)</f>
        <v>0</v>
      </c>
      <c r="H11" s="31">
        <f>VLOOKUP($B11,'Tillförd energi'!$B$1:$AI$720,MATCH(H$1,'Tillförd energi'!$B$1:$AQ$1,0),FALSE)</f>
        <v>0</v>
      </c>
      <c r="I11" s="31">
        <f>VLOOKUP($B11,'Tillförd energi'!$B$1:$AI$720,MATCH(I$1,'Tillförd energi'!$B$1:$AQ$1,0),FALSE)</f>
        <v>0</v>
      </c>
      <c r="J11" s="31">
        <f>VLOOKUP($B11,'Tillförd energi'!$B$1:$AI$720,MATCH(J$1,'Tillförd energi'!$B$1:$AQ$1,0),FALSE)</f>
        <v>0</v>
      </c>
      <c r="K11" s="31">
        <f>VLOOKUP($B11,'Tillförd energi'!$B$1:$AI$720,MATCH(K$1,'Tillförd energi'!$B$1:$AQ$1,0),FALSE)</f>
        <v>0</v>
      </c>
      <c r="L11" s="31">
        <f>VLOOKUP($B11,'Tillförd energi'!$B$1:$AI$720,MATCH(L$1,'Tillförd energi'!$B$1:$AQ$1,0),FALSE)</f>
        <v>0</v>
      </c>
      <c r="M11" s="31">
        <f>VLOOKUP($B11,'Tillförd energi'!$B$1:$AI$720,MATCH(M$1,'Tillförd energi'!$B$1:$AQ$1,0),FALSE)</f>
        <v>0</v>
      </c>
      <c r="N11" s="31">
        <f>VLOOKUP($B11,'Tillförd energi'!$B$1:$AI$720,MATCH(N$1,'Tillförd energi'!$B$1:$AQ$1,0),FALSE)</f>
        <v>0</v>
      </c>
      <c r="O11" s="31">
        <f>VLOOKUP($B11,'Tillförd energi'!$B$1:$AI$720,MATCH(O$1,'Tillförd energi'!$B$1:$AQ$1,0),FALSE)</f>
        <v>0</v>
      </c>
      <c r="P11" s="31">
        <f>VLOOKUP($B11,'Tillförd energi'!$B$1:$AI$720,MATCH(P$1,'Tillförd energi'!$B$1:$AQ$1,0),FALSE)</f>
        <v>0</v>
      </c>
      <c r="Q11" s="31">
        <f>VLOOKUP($B11,'Tillförd energi'!$B$1:$AI$720,MATCH(Q$1,'Tillförd energi'!$B$1:$AQ$1,0),FALSE)</f>
        <v>6.9529399999999999</v>
      </c>
      <c r="R11" s="31">
        <f>VLOOKUP($B11,'Tillförd energi'!$B$1:$AI$720,MATCH(R$1,'Tillförd energi'!$B$1:$AQ$1,0),FALSE)</f>
        <v>0</v>
      </c>
      <c r="S11" s="31">
        <f>VLOOKUP($B11,'Tillförd energi'!$B$1:$AI$720,MATCH(S$1,'Tillförd energi'!$B$1:$AQ$1,0),FALSE)</f>
        <v>0</v>
      </c>
      <c r="T11" s="31">
        <f>VLOOKUP($B11,'Tillförd energi'!$B$1:$AI$720,MATCH(T$1,'Tillförd energi'!$B$1:$AQ$1,0),FALSE)</f>
        <v>0</v>
      </c>
      <c r="U11" s="31">
        <f>VLOOKUP($B11,'Tillförd energi'!$B$1:$AI$720,MATCH(U$1,'Tillförd energi'!$B$1:$AQ$1,0),FALSE)</f>
        <v>0</v>
      </c>
      <c r="V11" s="31">
        <f>VLOOKUP($B11,'Tillförd energi'!$B$1:$AI$720,MATCH(V$1,'Tillförd energi'!$B$1:$AQ$1,0),FALSE)</f>
        <v>0</v>
      </c>
      <c r="W11" s="31">
        <f>VLOOKUP($B11,'Tillförd energi'!$B$1:$AI$720,MATCH(W$1,'Tillförd energi'!$B$1:$AQ$1,0),FALSE)</f>
        <v>0</v>
      </c>
      <c r="X11" s="31">
        <f>VLOOKUP($B11,'Tillförd energi'!$B$1:$AI$720,MATCH(X$1,'Tillförd energi'!$B$1:$AQ$1,0),FALSE)</f>
        <v>0</v>
      </c>
      <c r="Y11" s="31">
        <f>VLOOKUP($B11,'Tillförd energi'!$B$1:$AI$720,MATCH(Y$1,'Tillförd energi'!$B$1:$AQ$1,0),FALSE)</f>
        <v>0</v>
      </c>
      <c r="Z11" s="31">
        <f>VLOOKUP($B11,'Tillförd energi'!$B$1:$AI$720,MATCH(Z$1,'Tillförd energi'!$B$1:$AQ$1,0),FALSE)</f>
        <v>0</v>
      </c>
      <c r="AA11" s="31">
        <f>VLOOKUP($B11,'Tillförd energi'!$B$1:$AI$720,MATCH(AA$1,'Tillförd energi'!$B$1:$AQ$1,0),FALSE)</f>
        <v>0</v>
      </c>
      <c r="AB11" s="31">
        <f>VLOOKUP($B11,'Tillförd energi'!$B$1:$AI$720,MATCH(AB$1,'Tillförd energi'!$B$1:$AQ$1,0),FALSE)</f>
        <v>0</v>
      </c>
      <c r="AC11" s="31">
        <f>VLOOKUP($B11,'Tillförd energi'!$B$1:$AI$720,MATCH(AC$1,'Tillförd energi'!$B$1:$AQ$1,0),FALSE)</f>
        <v>0</v>
      </c>
      <c r="AD11" s="31">
        <f>VLOOKUP($B11,'Tillförd energi'!$B$1:$AI$720,MATCH(AD$1,'Tillförd energi'!$B$1:$AQ$1,0),FALSE)</f>
        <v>0</v>
      </c>
      <c r="AE11" s="31">
        <f>VLOOKUP($B11,'Tillförd energi'!$B$1:$AI$720,MATCH(AE$1,'Tillförd energi'!$B$1:$AQ$1,0),FALSE)</f>
        <v>0</v>
      </c>
      <c r="AF11" s="31">
        <f>VLOOKUP($B11,'Tillförd energi'!$B$1:$AI$720,MATCH(AF$1,'Tillförd energi'!$B$1:$AQ$1,0),FALSE)</f>
        <v>0.14699999999999999</v>
      </c>
      <c r="AG11" s="31">
        <f>IFERROR(VLOOKUP(B11,Miljö!$B$1:$AC$550,MATCH("Köpt mängd produktionsspecifik fjärrvärme:",Miljö!$B$1:$AC$1,0),FALSE)/1,0)</f>
        <v>0</v>
      </c>
      <c r="AI11" s="31">
        <f t="shared" si="0"/>
        <v>7.0999400000000001</v>
      </c>
      <c r="AJ11" s="31">
        <f t="shared" si="1"/>
        <v>7.0999400000000001</v>
      </c>
      <c r="AK11" s="31">
        <f>IF(ISERROR(1/VLOOKUP($B11,Leveranser!$B$1:$S$499,MATCH("Såld värme (GWh)",Leveranser!$B$1:$S$1,0),FALSE)),"",VLOOKUP($B11,Leveranser!$B$1:$S$499,MATCH("Såld värme (GWh)",Leveranser!$B$1:$S$1,0),FALSE))</f>
        <v>4.9000000000000004</v>
      </c>
      <c r="AL11" s="31">
        <f>VLOOKUP($B11,Leveranser!$B$1:$Y$499,MATCH("Totalt såld fjärrvärme till andra fjärrvärmeföretag",Leveranser!$B$1:$AA$1,0),FALSE)</f>
        <v>0</v>
      </c>
      <c r="AM11" s="31">
        <f>IF(ISERROR(1/VLOOKUP($B11,Miljö!$B$1:$S$500,MATCH("Såld mängd produktionsspecifik fjärrvärme (GWh)",Miljö!$B$1:$R$1,0),FALSE)),0,VLOOKUP($B11,Miljö!$B$1:$S$500,MATCH("Såld mängd produktionsspecifik fjärrvärme (GWh)",Miljö!$B$1:$R$1,0),FALSE))</f>
        <v>0</v>
      </c>
      <c r="AN11" s="32">
        <f t="shared" si="2"/>
        <v>0.69014667729586454</v>
      </c>
      <c r="AP11" s="31" t="str">
        <f>IFERROR(VLOOKUP($B11,Miljövärden!$B$2:$H$550,7,FALSE),"Nej, saknas")</f>
        <v>Ja</v>
      </c>
      <c r="AQ11" s="31" t="str">
        <f>IFERROR(VLOOKUP($B11,Miljövärden!$B$2:$H$551,6,FALSE),"Nej, saknas")</f>
        <v>Ja</v>
      </c>
      <c r="AU11" s="31">
        <f t="shared" si="3"/>
        <v>0.14699999999999999</v>
      </c>
      <c r="AV11" s="31">
        <f t="shared" si="4"/>
        <v>0</v>
      </c>
      <c r="AW11" s="31">
        <f t="shared" si="5"/>
        <v>6.9529399999999999</v>
      </c>
      <c r="AX11" s="31">
        <f t="shared" si="6"/>
        <v>0</v>
      </c>
      <c r="AZ11" s="31">
        <f t="shared" si="7"/>
        <v>6.9529399999999999</v>
      </c>
      <c r="BC11" s="31">
        <f t="shared" si="8"/>
        <v>0</v>
      </c>
      <c r="BD11" s="31">
        <f t="shared" si="9"/>
        <v>0</v>
      </c>
      <c r="BE11" s="31">
        <f t="shared" si="10"/>
        <v>6.9529399999999999</v>
      </c>
      <c r="BF11" s="31">
        <f t="shared" si="11"/>
        <v>0</v>
      </c>
      <c r="BG11" s="31">
        <f t="shared" si="12"/>
        <v>0.14699999999999999</v>
      </c>
      <c r="BH11" s="31">
        <f>VLOOKUP(B11,Miljö!$B$1:$BX$482,MATCH("Fossilandel för ursprungspecificerad el ()",Miljö!$B$1:$I$1,0),FALSE)</f>
        <v>0</v>
      </c>
      <c r="BI11" s="31">
        <f>VLOOKUP(B11,Miljö!$B$1:$BX$482,MATCH("Kärnkraftsandel för ursprungsspecificerad el ()",Miljö!$B$1:$O$1,0),FALSE)</f>
        <v>1</v>
      </c>
      <c r="BJ11" s="31">
        <f t="shared" si="13"/>
        <v>0</v>
      </c>
      <c r="BK11" s="31" t="str">
        <f>VLOOKUP(B11,Miljö!$B$1:$P$482,MATCH("Fossil andel i procent (%)",Miljö!$B$1:$P$1,0),FALSE)</f>
        <v>ET</v>
      </c>
      <c r="BL11" s="31">
        <f t="shared" si="14"/>
        <v>7.0999400000000001</v>
      </c>
      <c r="BO11" s="32">
        <f t="shared" si="22"/>
        <v>0</v>
      </c>
      <c r="BP11" s="32">
        <f t="shared" si="15"/>
        <v>2.0704400318875934E-2</v>
      </c>
      <c r="BQ11" s="32">
        <f t="shared" si="16"/>
        <v>0.97929559968112401</v>
      </c>
      <c r="BR11" s="32">
        <f t="shared" si="17"/>
        <v>0</v>
      </c>
      <c r="BT11" s="62">
        <f t="shared" si="18"/>
        <v>0.99999999999999989</v>
      </c>
      <c r="BW11" s="32">
        <f>IF(AP11="Ja",VLOOKUP(B11,Miljövärden!$B$2:$H$551,MATCH("Total andel fossilt",Miljövärden!$B$2:$H$2,0),FALSE),"")</f>
        <v>0</v>
      </c>
      <c r="BX11" s="62">
        <f t="shared" si="19"/>
        <v>0</v>
      </c>
      <c r="BZ11" s="31">
        <f t="shared" si="20"/>
        <v>0</v>
      </c>
      <c r="CA11" s="32">
        <f t="shared" si="21"/>
        <v>0</v>
      </c>
    </row>
    <row r="12" spans="1:79" x14ac:dyDescent="0.45">
      <c r="A12" s="31" t="s">
        <v>672</v>
      </c>
      <c r="B12" s="31" t="s">
        <v>679</v>
      </c>
      <c r="C12" s="31">
        <f>VLOOKUP($B12,'Tillförd energi'!$B$1:$AI$720,MATCH(C$1,'Tillförd energi'!$B$1:$AQ$1,0),FALSE)</f>
        <v>0</v>
      </c>
      <c r="D12" s="31">
        <f>VLOOKUP($B12,'Tillförd energi'!$B$1:$AI$720,MATCH(D$1,'Tillförd energi'!$B$1:$AQ$1,0),FALSE)</f>
        <v>3.6999999999999998E-2</v>
      </c>
      <c r="E12" s="31">
        <f>VLOOKUP($B12,'Tillförd energi'!$B$1:$AI$720,MATCH(E$1,'Tillförd energi'!$B$1:$AQ$1,0),FALSE)</f>
        <v>0</v>
      </c>
      <c r="F12" s="31">
        <f>VLOOKUP($B12,'Tillförd energi'!$B$1:$AI$720,MATCH(F$1,'Tillförd energi'!$B$1:$AQ$1,0),FALSE)</f>
        <v>0</v>
      </c>
      <c r="G12" s="31">
        <f>VLOOKUP($B12,'Tillförd energi'!$B$1:$AI$720,MATCH(G$1,'Tillförd energi'!$B$1:$AQ$1,0),FALSE)</f>
        <v>0</v>
      </c>
      <c r="H12" s="31">
        <f>VLOOKUP($B12,'Tillförd energi'!$B$1:$AI$720,MATCH(H$1,'Tillförd energi'!$B$1:$AQ$1,0),FALSE)</f>
        <v>0</v>
      </c>
      <c r="I12" s="31">
        <f>VLOOKUP($B12,'Tillförd energi'!$B$1:$AI$720,MATCH(I$1,'Tillförd energi'!$B$1:$AQ$1,0),FALSE)</f>
        <v>0</v>
      </c>
      <c r="J12" s="31">
        <f>VLOOKUP($B12,'Tillförd energi'!$B$1:$AI$720,MATCH(J$1,'Tillförd energi'!$B$1:$AQ$1,0),FALSE)</f>
        <v>0</v>
      </c>
      <c r="K12" s="31">
        <f>VLOOKUP($B12,'Tillförd energi'!$B$1:$AI$720,MATCH(K$1,'Tillförd energi'!$B$1:$AQ$1,0),FALSE)</f>
        <v>0</v>
      </c>
      <c r="L12" s="31">
        <f>VLOOKUP($B12,'Tillförd energi'!$B$1:$AI$720,MATCH(L$1,'Tillförd energi'!$B$1:$AQ$1,0),FALSE)</f>
        <v>0</v>
      </c>
      <c r="M12" s="31">
        <f>VLOOKUP($B12,'Tillförd energi'!$B$1:$AI$720,MATCH(M$1,'Tillförd energi'!$B$1:$AQ$1,0),FALSE)</f>
        <v>0</v>
      </c>
      <c r="N12" s="31">
        <f>VLOOKUP($B12,'Tillförd energi'!$B$1:$AI$720,MATCH(N$1,'Tillförd energi'!$B$1:$AQ$1,0),FALSE)</f>
        <v>0</v>
      </c>
      <c r="O12" s="31">
        <f>VLOOKUP($B12,'Tillförd energi'!$B$1:$AI$720,MATCH(O$1,'Tillförd energi'!$B$1:$AQ$1,0),FALSE)</f>
        <v>0</v>
      </c>
      <c r="P12" s="31">
        <f>VLOOKUP($B12,'Tillförd energi'!$B$1:$AI$720,MATCH(P$1,'Tillförd energi'!$B$1:$AQ$1,0),FALSE)</f>
        <v>6.0289999999999999</v>
      </c>
      <c r="Q12" s="31">
        <f>VLOOKUP($B12,'Tillförd energi'!$B$1:$AI$720,MATCH(Q$1,'Tillförd energi'!$B$1:$AQ$1,0),FALSE)</f>
        <v>0</v>
      </c>
      <c r="R12" s="31">
        <f>VLOOKUP($B12,'Tillförd energi'!$B$1:$AI$720,MATCH(R$1,'Tillförd energi'!$B$1:$AQ$1,0),FALSE)</f>
        <v>0</v>
      </c>
      <c r="S12" s="31">
        <f>VLOOKUP($B12,'Tillförd energi'!$B$1:$AI$720,MATCH(S$1,'Tillförd energi'!$B$1:$AQ$1,0),FALSE)</f>
        <v>0</v>
      </c>
      <c r="T12" s="31">
        <f>VLOOKUP($B12,'Tillförd energi'!$B$1:$AI$720,MATCH(T$1,'Tillförd energi'!$B$1:$AQ$1,0),FALSE)</f>
        <v>0</v>
      </c>
      <c r="U12" s="31">
        <f>VLOOKUP($B12,'Tillförd energi'!$B$1:$AI$720,MATCH(U$1,'Tillförd energi'!$B$1:$AQ$1,0),FALSE)</f>
        <v>0</v>
      </c>
      <c r="V12" s="31">
        <f>VLOOKUP($B12,'Tillförd energi'!$B$1:$AI$720,MATCH(V$1,'Tillförd energi'!$B$1:$AQ$1,0),FALSE)</f>
        <v>0</v>
      </c>
      <c r="W12" s="31">
        <f>VLOOKUP($B12,'Tillförd energi'!$B$1:$AI$720,MATCH(W$1,'Tillförd energi'!$B$1:$AQ$1,0),FALSE)</f>
        <v>0</v>
      </c>
      <c r="X12" s="31">
        <f>VLOOKUP($B12,'Tillförd energi'!$B$1:$AI$720,MATCH(X$1,'Tillförd energi'!$B$1:$AQ$1,0),FALSE)</f>
        <v>0</v>
      </c>
      <c r="Y12" s="31">
        <f>VLOOKUP($B12,'Tillförd energi'!$B$1:$AI$720,MATCH(Y$1,'Tillförd energi'!$B$1:$AQ$1,0),FALSE)</f>
        <v>0</v>
      </c>
      <c r="Z12" s="31">
        <f>VLOOKUP($B12,'Tillförd energi'!$B$1:$AI$720,MATCH(Z$1,'Tillförd energi'!$B$1:$AQ$1,0),FALSE)</f>
        <v>0</v>
      </c>
      <c r="AA12" s="31">
        <f>VLOOKUP($B12,'Tillförd energi'!$B$1:$AI$720,MATCH(AA$1,'Tillförd energi'!$B$1:$AQ$1,0),FALSE)</f>
        <v>0</v>
      </c>
      <c r="AB12" s="31">
        <f>VLOOKUP($B12,'Tillförd energi'!$B$1:$AI$720,MATCH(AB$1,'Tillförd energi'!$B$1:$AQ$1,0),FALSE)</f>
        <v>0</v>
      </c>
      <c r="AC12" s="31">
        <f>VLOOKUP($B12,'Tillförd energi'!$B$1:$AI$720,MATCH(AC$1,'Tillförd energi'!$B$1:$AQ$1,0),FALSE)</f>
        <v>0</v>
      </c>
      <c r="AD12" s="31">
        <f>VLOOKUP($B12,'Tillförd energi'!$B$1:$AI$720,MATCH(AD$1,'Tillförd energi'!$B$1:$AQ$1,0),FALSE)</f>
        <v>0</v>
      </c>
      <c r="AE12" s="31">
        <f>VLOOKUP($B12,'Tillförd energi'!$B$1:$AI$720,MATCH(AE$1,'Tillförd energi'!$B$1:$AQ$1,0),FALSE)</f>
        <v>0</v>
      </c>
      <c r="AF12" s="31">
        <f>VLOOKUP($B12,'Tillförd energi'!$B$1:$AI$720,MATCH(AF$1,'Tillförd energi'!$B$1:$AQ$1,0),FALSE)</f>
        <v>9.0999999999999998E-2</v>
      </c>
      <c r="AG12" s="31">
        <f>IFERROR(VLOOKUP(B12,Miljö!$B$1:$AC$550,MATCH("Köpt mängd produktionsspecifik fjärrvärme:",Miljö!$B$1:$AC$1,0),FALSE)/1,0)</f>
        <v>0</v>
      </c>
      <c r="AI12" s="31">
        <f t="shared" si="0"/>
        <v>6.157</v>
      </c>
      <c r="AJ12" s="31">
        <f t="shared" si="1"/>
        <v>6.157</v>
      </c>
      <c r="AK12" s="31">
        <f>IF(ISERROR(1/VLOOKUP($B12,Leveranser!$B$1:$S$499,MATCH("Såld värme (GWh)",Leveranser!$B$1:$S$1,0),FALSE)),"",VLOOKUP($B12,Leveranser!$B$1:$S$499,MATCH("Såld värme (GWh)",Leveranser!$B$1:$S$1,0),FALSE))</f>
        <v>4.1840000000000002</v>
      </c>
      <c r="AL12" s="31">
        <f>VLOOKUP($B12,Leveranser!$B$1:$Y$499,MATCH("Totalt såld fjärrvärme till andra fjärrvärmeföretag",Leveranser!$B$1:$AA$1,0),FALSE)</f>
        <v>0</v>
      </c>
      <c r="AM12" s="31">
        <f>IF(ISERROR(1/VLOOKUP($B12,Miljö!$B$1:$S$500,MATCH("Såld mängd produktionsspecifik fjärrvärme (GWh)",Miljö!$B$1:$R$1,0),FALSE)),0,VLOOKUP($B12,Miljö!$B$1:$S$500,MATCH("Såld mängd produktionsspecifik fjärrvärme (GWh)",Miljö!$B$1:$R$1,0),FALSE))</f>
        <v>0</v>
      </c>
      <c r="AN12" s="32">
        <f t="shared" si="2"/>
        <v>0.67955172973850908</v>
      </c>
      <c r="AP12" s="31" t="str">
        <f>IFERROR(VLOOKUP($B12,Miljövärden!$B$2:$H$550,7,FALSE),"Nej, saknas")</f>
        <v>Ja</v>
      </c>
      <c r="AQ12" s="31" t="str">
        <f>IFERROR(VLOOKUP($B12,Miljövärden!$B$2:$H$551,6,FALSE),"Nej, saknas")</f>
        <v>Ja</v>
      </c>
      <c r="AU12" s="31">
        <f t="shared" si="3"/>
        <v>9.0999999999999998E-2</v>
      </c>
      <c r="AV12" s="31">
        <f t="shared" si="4"/>
        <v>0</v>
      </c>
      <c r="AW12" s="31">
        <f t="shared" si="5"/>
        <v>6.0289999999999999</v>
      </c>
      <c r="AX12" s="31">
        <f t="shared" si="6"/>
        <v>0</v>
      </c>
      <c r="AZ12" s="31">
        <f t="shared" si="7"/>
        <v>6.0289999999999999</v>
      </c>
      <c r="BC12" s="31">
        <f t="shared" si="8"/>
        <v>3.6999999999999998E-2</v>
      </c>
      <c r="BD12" s="31">
        <f t="shared" si="9"/>
        <v>0</v>
      </c>
      <c r="BE12" s="31">
        <f t="shared" si="10"/>
        <v>6.0289999999999999</v>
      </c>
      <c r="BF12" s="31">
        <f t="shared" si="11"/>
        <v>0</v>
      </c>
      <c r="BG12" s="31">
        <f t="shared" si="12"/>
        <v>9.0999999999999998E-2</v>
      </c>
      <c r="BH12" s="31">
        <f>VLOOKUP(B12,Miljö!$B$1:$BX$482,MATCH("Fossilandel för ursprungspecificerad el ()",Miljö!$B$1:$I$1,0),FALSE)</f>
        <v>0</v>
      </c>
      <c r="BI12" s="31">
        <f>VLOOKUP(B12,Miljö!$B$1:$BX$482,MATCH("Kärnkraftsandel för ursprungsspecificerad el ()",Miljö!$B$1:$O$1,0),FALSE)</f>
        <v>1</v>
      </c>
      <c r="BJ12" s="31">
        <f t="shared" si="13"/>
        <v>0</v>
      </c>
      <c r="BK12" s="31" t="str">
        <f>VLOOKUP(B12,Miljö!$B$1:$P$482,MATCH("Fossil andel i procent (%)",Miljö!$B$1:$P$1,0),FALSE)</f>
        <v>ET</v>
      </c>
      <c r="BL12" s="31">
        <f t="shared" si="14"/>
        <v>6.157</v>
      </c>
      <c r="BO12" s="32">
        <f t="shared" si="22"/>
        <v>6.0094201721617672E-3</v>
      </c>
      <c r="BP12" s="32">
        <f t="shared" si="15"/>
        <v>1.4779925288289751E-2</v>
      </c>
      <c r="BQ12" s="32">
        <f t="shared" si="16"/>
        <v>0.97921065453954848</v>
      </c>
      <c r="BR12" s="32">
        <f t="shared" si="17"/>
        <v>0</v>
      </c>
      <c r="BT12" s="62">
        <f t="shared" si="18"/>
        <v>1</v>
      </c>
      <c r="BW12" s="32">
        <f>IF(AP12="Ja",VLOOKUP(B12,Miljövärden!$B$2:$H$551,MATCH("Total andel fossilt",Miljövärden!$B$2:$H$2,0),FALSE),"")</f>
        <v>6.0094199999999997E-3</v>
      </c>
      <c r="BX12" s="62">
        <f t="shared" si="19"/>
        <v>-1.7216176748102718E-10</v>
      </c>
      <c r="BZ12" s="31">
        <f t="shared" si="20"/>
        <v>-1.7216176748102718E-10</v>
      </c>
      <c r="CA12" s="32">
        <f t="shared" si="21"/>
        <v>0</v>
      </c>
    </row>
    <row r="13" spans="1:79" x14ac:dyDescent="0.45">
      <c r="A13" s="31" t="s">
        <v>672</v>
      </c>
      <c r="B13" s="31" t="s">
        <v>678</v>
      </c>
      <c r="C13" s="31">
        <f>VLOOKUP($B13,'Tillförd energi'!$B$1:$AI$720,MATCH(C$1,'Tillförd energi'!$B$1:$AQ$1,0),FALSE)</f>
        <v>0</v>
      </c>
      <c r="D13" s="31">
        <f>VLOOKUP($B13,'Tillförd energi'!$B$1:$AI$720,MATCH(D$1,'Tillförd energi'!$B$1:$AQ$1,0),FALSE)</f>
        <v>2.7E-2</v>
      </c>
      <c r="E13" s="31">
        <f>VLOOKUP($B13,'Tillförd energi'!$B$1:$AI$720,MATCH(E$1,'Tillförd energi'!$B$1:$AQ$1,0),FALSE)</f>
        <v>0</v>
      </c>
      <c r="F13" s="31">
        <f>VLOOKUP($B13,'Tillförd energi'!$B$1:$AI$720,MATCH(F$1,'Tillförd energi'!$B$1:$AQ$1,0),FALSE)</f>
        <v>0</v>
      </c>
      <c r="G13" s="31">
        <f>VLOOKUP($B13,'Tillförd energi'!$B$1:$AI$720,MATCH(G$1,'Tillförd energi'!$B$1:$AQ$1,0),FALSE)</f>
        <v>0</v>
      </c>
      <c r="H13" s="31">
        <f>VLOOKUP($B13,'Tillförd energi'!$B$1:$AI$720,MATCH(H$1,'Tillförd energi'!$B$1:$AQ$1,0),FALSE)</f>
        <v>0</v>
      </c>
      <c r="I13" s="31">
        <f>VLOOKUP($B13,'Tillförd energi'!$B$1:$AI$720,MATCH(I$1,'Tillförd energi'!$B$1:$AQ$1,0),FALSE)</f>
        <v>0</v>
      </c>
      <c r="J13" s="31">
        <f>VLOOKUP($B13,'Tillförd energi'!$B$1:$AI$720,MATCH(J$1,'Tillförd energi'!$B$1:$AQ$1,0),FALSE)</f>
        <v>0</v>
      </c>
      <c r="K13" s="31">
        <f>VLOOKUP($B13,'Tillförd energi'!$B$1:$AI$720,MATCH(K$1,'Tillförd energi'!$B$1:$AQ$1,0),FALSE)</f>
        <v>0</v>
      </c>
      <c r="L13" s="31">
        <f>VLOOKUP($B13,'Tillförd energi'!$B$1:$AI$720,MATCH(L$1,'Tillförd energi'!$B$1:$AQ$1,0),FALSE)</f>
        <v>0</v>
      </c>
      <c r="M13" s="31">
        <f>VLOOKUP($B13,'Tillförd energi'!$B$1:$AI$720,MATCH(M$1,'Tillförd energi'!$B$1:$AQ$1,0),FALSE)</f>
        <v>0</v>
      </c>
      <c r="N13" s="31">
        <f>VLOOKUP($B13,'Tillförd energi'!$B$1:$AI$720,MATCH(N$1,'Tillförd energi'!$B$1:$AQ$1,0),FALSE)</f>
        <v>0</v>
      </c>
      <c r="O13" s="31">
        <f>VLOOKUP($B13,'Tillförd energi'!$B$1:$AI$720,MATCH(O$1,'Tillförd energi'!$B$1:$AQ$1,0),FALSE)</f>
        <v>0</v>
      </c>
      <c r="P13" s="31">
        <f>VLOOKUP($B13,'Tillförd energi'!$B$1:$AI$720,MATCH(P$1,'Tillförd energi'!$B$1:$AQ$1,0),FALSE)</f>
        <v>0</v>
      </c>
      <c r="Q13" s="31">
        <f>VLOOKUP($B13,'Tillförd energi'!$B$1:$AI$720,MATCH(Q$1,'Tillförd energi'!$B$1:$AQ$1,0),FALSE)</f>
        <v>7.8719999999999999</v>
      </c>
      <c r="R13" s="31">
        <f>VLOOKUP($B13,'Tillförd energi'!$B$1:$AI$720,MATCH(R$1,'Tillförd energi'!$B$1:$AQ$1,0),FALSE)</f>
        <v>0</v>
      </c>
      <c r="S13" s="31">
        <f>VLOOKUP($B13,'Tillförd energi'!$B$1:$AI$720,MATCH(S$1,'Tillförd energi'!$B$1:$AQ$1,0),FALSE)</f>
        <v>0</v>
      </c>
      <c r="T13" s="31">
        <f>VLOOKUP($B13,'Tillförd energi'!$B$1:$AI$720,MATCH(T$1,'Tillförd energi'!$B$1:$AQ$1,0),FALSE)</f>
        <v>0</v>
      </c>
      <c r="U13" s="31">
        <f>VLOOKUP($B13,'Tillförd energi'!$B$1:$AI$720,MATCH(U$1,'Tillförd energi'!$B$1:$AQ$1,0),FALSE)</f>
        <v>0</v>
      </c>
      <c r="V13" s="31">
        <f>VLOOKUP($B13,'Tillförd energi'!$B$1:$AI$720,MATCH(V$1,'Tillförd energi'!$B$1:$AQ$1,0),FALSE)</f>
        <v>0</v>
      </c>
      <c r="W13" s="31">
        <f>VLOOKUP($B13,'Tillförd energi'!$B$1:$AI$720,MATCH(W$1,'Tillförd energi'!$B$1:$AQ$1,0),FALSE)</f>
        <v>0</v>
      </c>
      <c r="X13" s="31">
        <f>VLOOKUP($B13,'Tillförd energi'!$B$1:$AI$720,MATCH(X$1,'Tillförd energi'!$B$1:$AQ$1,0),FALSE)</f>
        <v>0</v>
      </c>
      <c r="Y13" s="31">
        <f>VLOOKUP($B13,'Tillförd energi'!$B$1:$AI$720,MATCH(Y$1,'Tillförd energi'!$B$1:$AQ$1,0),FALSE)</f>
        <v>0</v>
      </c>
      <c r="Z13" s="31">
        <f>VLOOKUP($B13,'Tillförd energi'!$B$1:$AI$720,MATCH(Z$1,'Tillförd energi'!$B$1:$AQ$1,0),FALSE)</f>
        <v>0</v>
      </c>
      <c r="AA13" s="31">
        <f>VLOOKUP($B13,'Tillförd energi'!$B$1:$AI$720,MATCH(AA$1,'Tillförd energi'!$B$1:$AQ$1,0),FALSE)</f>
        <v>0</v>
      </c>
      <c r="AB13" s="31">
        <f>VLOOKUP($B13,'Tillförd energi'!$B$1:$AI$720,MATCH(AB$1,'Tillförd energi'!$B$1:$AQ$1,0),FALSE)</f>
        <v>0</v>
      </c>
      <c r="AC13" s="31">
        <f>VLOOKUP($B13,'Tillförd energi'!$B$1:$AI$720,MATCH(AC$1,'Tillförd energi'!$B$1:$AQ$1,0),FALSE)</f>
        <v>0</v>
      </c>
      <c r="AD13" s="31">
        <f>VLOOKUP($B13,'Tillförd energi'!$B$1:$AI$720,MATCH(AD$1,'Tillförd energi'!$B$1:$AQ$1,0),FALSE)</f>
        <v>0</v>
      </c>
      <c r="AE13" s="31">
        <f>VLOOKUP($B13,'Tillförd energi'!$B$1:$AI$720,MATCH(AE$1,'Tillförd energi'!$B$1:$AQ$1,0),FALSE)</f>
        <v>0</v>
      </c>
      <c r="AF13" s="31">
        <f>VLOOKUP($B13,'Tillförd energi'!$B$1:$AI$720,MATCH(AF$1,'Tillförd energi'!$B$1:$AQ$1,0),FALSE)</f>
        <v>0.13100000000000001</v>
      </c>
      <c r="AG13" s="31">
        <f>IFERROR(VLOOKUP(B13,Miljö!$B$1:$AC$550,MATCH("Köpt mängd produktionsspecifik fjärrvärme:",Miljö!$B$1:$AC$1,0),FALSE)/1,0)</f>
        <v>0</v>
      </c>
      <c r="AI13" s="31">
        <f t="shared" si="0"/>
        <v>8.0299999999999994</v>
      </c>
      <c r="AJ13" s="31">
        <f t="shared" si="1"/>
        <v>8.0299999999999994</v>
      </c>
      <c r="AK13" s="31">
        <f>IF(ISERROR(1/VLOOKUP($B13,Leveranser!$B$1:$S$499,MATCH("Såld värme (GWh)",Leveranser!$B$1:$S$1,0),FALSE)),"",VLOOKUP($B13,Leveranser!$B$1:$S$499,MATCH("Såld värme (GWh)",Leveranser!$B$1:$S$1,0),FALSE))</f>
        <v>5.5890000000000004</v>
      </c>
      <c r="AL13" s="31">
        <f>VLOOKUP($B13,Leveranser!$B$1:$Y$499,MATCH("Totalt såld fjärrvärme till andra fjärrvärmeföretag",Leveranser!$B$1:$AA$1,0),FALSE)</f>
        <v>0</v>
      </c>
      <c r="AM13" s="31">
        <f>IF(ISERROR(1/VLOOKUP($B13,Miljö!$B$1:$S$500,MATCH("Såld mängd produktionsspecifik fjärrvärme (GWh)",Miljö!$B$1:$R$1,0),FALSE)),0,VLOOKUP($B13,Miljö!$B$1:$S$500,MATCH("Såld mängd produktionsspecifik fjärrvärme (GWh)",Miljö!$B$1:$R$1,0),FALSE))</f>
        <v>0</v>
      </c>
      <c r="AN13" s="32">
        <f t="shared" si="2"/>
        <v>0.69601494396014951</v>
      </c>
      <c r="AP13" s="31" t="str">
        <f>IFERROR(VLOOKUP($B13,Miljövärden!$B$2:$H$550,7,FALSE),"Nej, saknas")</f>
        <v>Ja</v>
      </c>
      <c r="AQ13" s="31" t="str">
        <f>IFERROR(VLOOKUP($B13,Miljövärden!$B$2:$H$551,6,FALSE),"Nej, saknas")</f>
        <v>Ja</v>
      </c>
      <c r="AU13" s="31">
        <f t="shared" si="3"/>
        <v>0.13100000000000001</v>
      </c>
      <c r="AV13" s="31">
        <f t="shared" si="4"/>
        <v>0</v>
      </c>
      <c r="AW13" s="31">
        <f t="shared" si="5"/>
        <v>7.8719999999999999</v>
      </c>
      <c r="AX13" s="31">
        <f t="shared" si="6"/>
        <v>0</v>
      </c>
      <c r="AZ13" s="31">
        <f t="shared" si="7"/>
        <v>7.8719999999999999</v>
      </c>
      <c r="BC13" s="31">
        <f t="shared" si="8"/>
        <v>2.7E-2</v>
      </c>
      <c r="BD13" s="31">
        <f t="shared" si="9"/>
        <v>0</v>
      </c>
      <c r="BE13" s="31">
        <f t="shared" si="10"/>
        <v>7.8719999999999999</v>
      </c>
      <c r="BF13" s="31">
        <f t="shared" si="11"/>
        <v>0</v>
      </c>
      <c r="BG13" s="31">
        <f t="shared" si="12"/>
        <v>0.13100000000000001</v>
      </c>
      <c r="BH13" s="31">
        <f>VLOOKUP(B13,Miljö!$B$1:$BX$482,MATCH("Fossilandel för ursprungspecificerad el ()",Miljö!$B$1:$I$1,0),FALSE)</f>
        <v>0</v>
      </c>
      <c r="BI13" s="31">
        <f>VLOOKUP(B13,Miljö!$B$1:$BX$482,MATCH("Kärnkraftsandel för ursprungsspecificerad el ()",Miljö!$B$1:$O$1,0),FALSE)</f>
        <v>1</v>
      </c>
      <c r="BJ13" s="31">
        <f t="shared" si="13"/>
        <v>0</v>
      </c>
      <c r="BK13" s="31" t="str">
        <f>VLOOKUP(B13,Miljö!$B$1:$P$482,MATCH("Fossil andel i procent (%)",Miljö!$B$1:$P$1,0),FALSE)</f>
        <v>ET</v>
      </c>
      <c r="BL13" s="31">
        <f t="shared" si="14"/>
        <v>8.0299999999999994</v>
      </c>
      <c r="BO13" s="32">
        <f t="shared" si="22"/>
        <v>3.3623910336239107E-3</v>
      </c>
      <c r="BP13" s="32">
        <f t="shared" si="15"/>
        <v>1.6313823163138234E-2</v>
      </c>
      <c r="BQ13" s="32">
        <f t="shared" si="16"/>
        <v>0.98032378580323787</v>
      </c>
      <c r="BR13" s="32">
        <f t="shared" si="17"/>
        <v>0</v>
      </c>
      <c r="BT13" s="62">
        <f t="shared" si="18"/>
        <v>1</v>
      </c>
      <c r="BW13" s="32">
        <f>IF(AP13="Ja",VLOOKUP(B13,Miljövärden!$B$2:$H$551,MATCH("Total andel fossilt",Miljövärden!$B$2:$H$2,0),FALSE),"")</f>
        <v>3.3623899999999998E-3</v>
      </c>
      <c r="BX13" s="62">
        <f t="shared" si="19"/>
        <v>-1.0336239108545142E-9</v>
      </c>
      <c r="BZ13" s="31">
        <f t="shared" si="20"/>
        <v>-1.0336239108545142E-9</v>
      </c>
      <c r="CA13" s="32">
        <f t="shared" si="21"/>
        <v>0</v>
      </c>
    </row>
    <row r="14" spans="1:79" x14ac:dyDescent="0.45">
      <c r="A14" s="31" t="s">
        <v>672</v>
      </c>
      <c r="B14" s="31" t="s">
        <v>677</v>
      </c>
      <c r="C14" s="31">
        <f>VLOOKUP($B14,'Tillförd energi'!$B$1:$AI$720,MATCH(C$1,'Tillförd energi'!$B$1:$AQ$1,0),FALSE)</f>
        <v>0</v>
      </c>
      <c r="D14" s="31">
        <f>VLOOKUP($B14,'Tillförd energi'!$B$1:$AI$720,MATCH(D$1,'Tillförd energi'!$B$1:$AQ$1,0),FALSE)</f>
        <v>0.155</v>
      </c>
      <c r="E14" s="31">
        <f>VLOOKUP($B14,'Tillförd energi'!$B$1:$AI$720,MATCH(E$1,'Tillförd energi'!$B$1:$AQ$1,0),FALSE)</f>
        <v>0</v>
      </c>
      <c r="F14" s="31">
        <f>VLOOKUP($B14,'Tillförd energi'!$B$1:$AI$720,MATCH(F$1,'Tillförd energi'!$B$1:$AQ$1,0),FALSE)</f>
        <v>0</v>
      </c>
      <c r="G14" s="31">
        <f>VLOOKUP($B14,'Tillförd energi'!$B$1:$AI$720,MATCH(G$1,'Tillförd energi'!$B$1:$AQ$1,0),FALSE)</f>
        <v>0</v>
      </c>
      <c r="H14" s="31">
        <f>VLOOKUP($B14,'Tillförd energi'!$B$1:$AI$720,MATCH(H$1,'Tillförd energi'!$B$1:$AQ$1,0),FALSE)</f>
        <v>0</v>
      </c>
      <c r="I14" s="31">
        <f>VLOOKUP($B14,'Tillförd energi'!$B$1:$AI$720,MATCH(I$1,'Tillförd energi'!$B$1:$AQ$1,0),FALSE)</f>
        <v>0</v>
      </c>
      <c r="J14" s="31">
        <f>VLOOKUP($B14,'Tillförd energi'!$B$1:$AI$720,MATCH(J$1,'Tillförd energi'!$B$1:$AQ$1,0),FALSE)</f>
        <v>0</v>
      </c>
      <c r="K14" s="31">
        <f>VLOOKUP($B14,'Tillförd energi'!$B$1:$AI$720,MATCH(K$1,'Tillförd energi'!$B$1:$AQ$1,0),FALSE)</f>
        <v>0</v>
      </c>
      <c r="L14" s="31">
        <f>VLOOKUP($B14,'Tillförd energi'!$B$1:$AI$720,MATCH(L$1,'Tillförd energi'!$B$1:$AQ$1,0),FALSE)</f>
        <v>0</v>
      </c>
      <c r="M14" s="31">
        <f>VLOOKUP($B14,'Tillförd energi'!$B$1:$AI$720,MATCH(M$1,'Tillförd energi'!$B$1:$AQ$1,0),FALSE)</f>
        <v>0</v>
      </c>
      <c r="N14" s="31">
        <f>VLOOKUP($B14,'Tillförd energi'!$B$1:$AI$720,MATCH(N$1,'Tillförd energi'!$B$1:$AQ$1,0),FALSE)</f>
        <v>0</v>
      </c>
      <c r="O14" s="31">
        <f>VLOOKUP($B14,'Tillförd energi'!$B$1:$AI$720,MATCH(O$1,'Tillförd energi'!$B$1:$AQ$1,0),FALSE)</f>
        <v>0</v>
      </c>
      <c r="P14" s="31">
        <f>VLOOKUP($B14,'Tillförd energi'!$B$1:$AI$720,MATCH(P$1,'Tillförd energi'!$B$1:$AQ$1,0),FALSE)</f>
        <v>0</v>
      </c>
      <c r="Q14" s="31">
        <f>VLOOKUP($B14,'Tillförd energi'!$B$1:$AI$720,MATCH(Q$1,'Tillförd energi'!$B$1:$AQ$1,0),FALSE)</f>
        <v>11.523</v>
      </c>
      <c r="R14" s="31">
        <f>VLOOKUP($B14,'Tillförd energi'!$B$1:$AI$720,MATCH(R$1,'Tillförd energi'!$B$1:$AQ$1,0),FALSE)</f>
        <v>0</v>
      </c>
      <c r="S14" s="31">
        <f>VLOOKUP($B14,'Tillförd energi'!$B$1:$AI$720,MATCH(S$1,'Tillförd energi'!$B$1:$AQ$1,0),FALSE)</f>
        <v>0</v>
      </c>
      <c r="T14" s="31">
        <f>VLOOKUP($B14,'Tillförd energi'!$B$1:$AI$720,MATCH(T$1,'Tillförd energi'!$B$1:$AQ$1,0),FALSE)</f>
        <v>0</v>
      </c>
      <c r="U14" s="31">
        <f>VLOOKUP($B14,'Tillförd energi'!$B$1:$AI$720,MATCH(U$1,'Tillförd energi'!$B$1:$AQ$1,0),FALSE)</f>
        <v>0</v>
      </c>
      <c r="V14" s="31">
        <f>VLOOKUP($B14,'Tillförd energi'!$B$1:$AI$720,MATCH(V$1,'Tillförd energi'!$B$1:$AQ$1,0),FALSE)</f>
        <v>0</v>
      </c>
      <c r="W14" s="31">
        <f>VLOOKUP($B14,'Tillförd energi'!$B$1:$AI$720,MATCH(W$1,'Tillförd energi'!$B$1:$AQ$1,0),FALSE)</f>
        <v>0</v>
      </c>
      <c r="X14" s="31">
        <f>VLOOKUP($B14,'Tillförd energi'!$B$1:$AI$720,MATCH(X$1,'Tillförd energi'!$B$1:$AQ$1,0),FALSE)</f>
        <v>0</v>
      </c>
      <c r="Y14" s="31">
        <f>VLOOKUP($B14,'Tillförd energi'!$B$1:$AI$720,MATCH(Y$1,'Tillförd energi'!$B$1:$AQ$1,0),FALSE)</f>
        <v>0</v>
      </c>
      <c r="Z14" s="31">
        <f>VLOOKUP($B14,'Tillförd energi'!$B$1:$AI$720,MATCH(Z$1,'Tillförd energi'!$B$1:$AQ$1,0),FALSE)</f>
        <v>0</v>
      </c>
      <c r="AA14" s="31">
        <f>VLOOKUP($B14,'Tillförd energi'!$B$1:$AI$720,MATCH(AA$1,'Tillförd energi'!$B$1:$AQ$1,0),FALSE)</f>
        <v>0</v>
      </c>
      <c r="AB14" s="31">
        <f>VLOOKUP($B14,'Tillförd energi'!$B$1:$AI$720,MATCH(AB$1,'Tillförd energi'!$B$1:$AQ$1,0),FALSE)</f>
        <v>0</v>
      </c>
      <c r="AC14" s="31">
        <f>VLOOKUP($B14,'Tillförd energi'!$B$1:$AI$720,MATCH(AC$1,'Tillförd energi'!$B$1:$AQ$1,0),FALSE)</f>
        <v>0</v>
      </c>
      <c r="AD14" s="31">
        <f>VLOOKUP($B14,'Tillförd energi'!$B$1:$AI$720,MATCH(AD$1,'Tillförd energi'!$B$1:$AQ$1,0),FALSE)</f>
        <v>0</v>
      </c>
      <c r="AE14" s="31">
        <f>VLOOKUP($B14,'Tillförd energi'!$B$1:$AI$720,MATCH(AE$1,'Tillförd energi'!$B$1:$AQ$1,0),FALSE)</f>
        <v>0</v>
      </c>
      <c r="AF14" s="31">
        <f>VLOOKUP($B14,'Tillförd energi'!$B$1:$AI$720,MATCH(AF$1,'Tillförd energi'!$B$1:$AQ$1,0),FALSE)</f>
        <v>0.115</v>
      </c>
      <c r="AG14" s="31">
        <f>IFERROR(VLOOKUP(B14,Miljö!$B$1:$AC$550,MATCH("Köpt mängd produktionsspecifik fjärrvärme:",Miljö!$B$1:$AC$1,0),FALSE)/1,0)</f>
        <v>0</v>
      </c>
      <c r="AI14" s="31">
        <f t="shared" si="0"/>
        <v>11.792999999999999</v>
      </c>
      <c r="AJ14" s="31">
        <f t="shared" si="1"/>
        <v>11.792999999999999</v>
      </c>
      <c r="AK14" s="31">
        <f>IF(ISERROR(1/VLOOKUP($B14,Leveranser!$B$1:$S$499,MATCH("Såld värme (GWh)",Leveranser!$B$1:$S$1,0),FALSE)),"",VLOOKUP($B14,Leveranser!$B$1:$S$499,MATCH("Såld värme (GWh)",Leveranser!$B$1:$S$1,0),FALSE))</f>
        <v>7.6479999999999997</v>
      </c>
      <c r="AL14" s="31">
        <f>VLOOKUP($B14,Leveranser!$B$1:$Y$499,MATCH("Totalt såld fjärrvärme till andra fjärrvärmeföretag",Leveranser!$B$1:$AA$1,0),FALSE)</f>
        <v>0</v>
      </c>
      <c r="AM14" s="31">
        <f>IF(ISERROR(1/VLOOKUP($B14,Miljö!$B$1:$S$500,MATCH("Såld mängd produktionsspecifik fjärrvärme (GWh)",Miljö!$B$1:$R$1,0),FALSE)),0,VLOOKUP($B14,Miljö!$B$1:$S$500,MATCH("Såld mängd produktionsspecifik fjärrvärme (GWh)",Miljö!$B$1:$R$1,0),FALSE))</f>
        <v>0</v>
      </c>
      <c r="AN14" s="32">
        <f t="shared" si="2"/>
        <v>0.64852030865767829</v>
      </c>
      <c r="AP14" s="31" t="str">
        <f>IFERROR(VLOOKUP($B14,Miljövärden!$B$2:$H$550,7,FALSE),"Nej, saknas")</f>
        <v>Ja</v>
      </c>
      <c r="AQ14" s="31" t="str">
        <f>IFERROR(VLOOKUP($B14,Miljövärden!$B$2:$H$551,6,FALSE),"Nej, saknas")</f>
        <v>Ja</v>
      </c>
      <c r="AU14" s="31">
        <f t="shared" si="3"/>
        <v>0.115</v>
      </c>
      <c r="AV14" s="31">
        <f t="shared" si="4"/>
        <v>0</v>
      </c>
      <c r="AW14" s="31">
        <f t="shared" si="5"/>
        <v>11.523</v>
      </c>
      <c r="AX14" s="31">
        <f t="shared" si="6"/>
        <v>0</v>
      </c>
      <c r="AZ14" s="31">
        <f t="shared" si="7"/>
        <v>11.523</v>
      </c>
      <c r="BC14" s="31">
        <f t="shared" si="8"/>
        <v>0.155</v>
      </c>
      <c r="BD14" s="31">
        <f t="shared" si="9"/>
        <v>0</v>
      </c>
      <c r="BE14" s="31">
        <f t="shared" si="10"/>
        <v>11.523</v>
      </c>
      <c r="BF14" s="31">
        <f t="shared" si="11"/>
        <v>0</v>
      </c>
      <c r="BG14" s="31">
        <f t="shared" si="12"/>
        <v>0.115</v>
      </c>
      <c r="BH14" s="31">
        <f>VLOOKUP(B14,Miljö!$B$1:$BX$482,MATCH("Fossilandel för ursprungspecificerad el ()",Miljö!$B$1:$I$1,0),FALSE)</f>
        <v>0</v>
      </c>
      <c r="BI14" s="31">
        <f>VLOOKUP(B14,Miljö!$B$1:$BX$482,MATCH("Kärnkraftsandel för ursprungsspecificerad el ()",Miljö!$B$1:$O$1,0),FALSE)</f>
        <v>1</v>
      </c>
      <c r="BJ14" s="31">
        <f t="shared" si="13"/>
        <v>0</v>
      </c>
      <c r="BK14" s="31" t="str">
        <f>VLOOKUP(B14,Miljö!$B$1:$P$482,MATCH("Fossil andel i procent (%)",Miljö!$B$1:$P$1,0),FALSE)</f>
        <v>ET</v>
      </c>
      <c r="BL14" s="31">
        <f t="shared" si="14"/>
        <v>11.792999999999999</v>
      </c>
      <c r="BO14" s="32">
        <f t="shared" si="22"/>
        <v>1.3143390146697194E-2</v>
      </c>
      <c r="BP14" s="32">
        <f t="shared" si="15"/>
        <v>9.7515475281946921E-3</v>
      </c>
      <c r="BQ14" s="32">
        <f t="shared" si="16"/>
        <v>0.97710506232510819</v>
      </c>
      <c r="BR14" s="32">
        <f t="shared" si="17"/>
        <v>0</v>
      </c>
      <c r="BT14" s="62">
        <f t="shared" si="18"/>
        <v>1</v>
      </c>
      <c r="BW14" s="32">
        <f>IF(AP14="Ja",VLOOKUP(B14,Miljövärden!$B$2:$H$551,MATCH("Total andel fossilt",Miljövärden!$B$2:$H$2,0),FALSE),"")</f>
        <v>1.31434E-2</v>
      </c>
      <c r="BX14" s="62">
        <f t="shared" si="19"/>
        <v>9.853302805618025E-9</v>
      </c>
      <c r="BZ14" s="31">
        <f t="shared" si="20"/>
        <v>9.853302805618025E-9</v>
      </c>
      <c r="CA14" s="32">
        <f t="shared" si="21"/>
        <v>0</v>
      </c>
    </row>
    <row r="15" spans="1:79" x14ac:dyDescent="0.45">
      <c r="A15" s="31" t="s">
        <v>672</v>
      </c>
      <c r="B15" s="31" t="s">
        <v>675</v>
      </c>
      <c r="C15" s="31">
        <f>VLOOKUP($B15,'Tillförd energi'!$B$1:$AI$720,MATCH(C$1,'Tillförd energi'!$B$1:$AQ$1,0),FALSE)</f>
        <v>0</v>
      </c>
      <c r="D15" s="31">
        <f>VLOOKUP($B15,'Tillförd energi'!$B$1:$AI$720,MATCH(D$1,'Tillförd energi'!$B$1:$AQ$1,0),FALSE)</f>
        <v>0.6</v>
      </c>
      <c r="E15" s="31">
        <f>VLOOKUP($B15,'Tillförd energi'!$B$1:$AI$720,MATCH(E$1,'Tillförd energi'!$B$1:$AQ$1,0),FALSE)</f>
        <v>0</v>
      </c>
      <c r="F15" s="31">
        <f>VLOOKUP($B15,'Tillförd energi'!$B$1:$AI$720,MATCH(F$1,'Tillförd energi'!$B$1:$AQ$1,0),FALSE)</f>
        <v>0</v>
      </c>
      <c r="G15" s="31">
        <f>VLOOKUP($B15,'Tillförd energi'!$B$1:$AI$720,MATCH(G$1,'Tillförd energi'!$B$1:$AQ$1,0),FALSE)</f>
        <v>0</v>
      </c>
      <c r="H15" s="31">
        <f>VLOOKUP($B15,'Tillförd energi'!$B$1:$AI$720,MATCH(H$1,'Tillförd energi'!$B$1:$AQ$1,0),FALSE)</f>
        <v>0</v>
      </c>
      <c r="I15" s="31">
        <f>VLOOKUP($B15,'Tillförd energi'!$B$1:$AI$720,MATCH(I$1,'Tillförd energi'!$B$1:$AQ$1,0),FALSE)</f>
        <v>0</v>
      </c>
      <c r="J15" s="31">
        <f>VLOOKUP($B15,'Tillförd energi'!$B$1:$AI$720,MATCH(J$1,'Tillförd energi'!$B$1:$AQ$1,0),FALSE)</f>
        <v>0</v>
      </c>
      <c r="K15" s="31">
        <f>VLOOKUP($B15,'Tillförd energi'!$B$1:$AI$720,MATCH(K$1,'Tillförd energi'!$B$1:$AQ$1,0),FALSE)</f>
        <v>0</v>
      </c>
      <c r="L15" s="31">
        <f>VLOOKUP($B15,'Tillförd energi'!$B$1:$AI$720,MATCH(L$1,'Tillförd energi'!$B$1:$AQ$1,0),FALSE)</f>
        <v>0</v>
      </c>
      <c r="M15" s="31">
        <f>VLOOKUP($B15,'Tillförd energi'!$B$1:$AI$720,MATCH(M$1,'Tillförd energi'!$B$1:$AQ$1,0),FALSE)</f>
        <v>0</v>
      </c>
      <c r="N15" s="31">
        <f>VLOOKUP($B15,'Tillförd energi'!$B$1:$AI$720,MATCH(N$1,'Tillförd energi'!$B$1:$AQ$1,0),FALSE)</f>
        <v>0</v>
      </c>
      <c r="O15" s="31">
        <f>VLOOKUP($B15,'Tillförd energi'!$B$1:$AI$720,MATCH(O$1,'Tillförd energi'!$B$1:$AQ$1,0),FALSE)</f>
        <v>0</v>
      </c>
      <c r="P15" s="31">
        <f>VLOOKUP($B15,'Tillförd energi'!$B$1:$AI$720,MATCH(P$1,'Tillförd energi'!$B$1:$AQ$1,0),FALSE)</f>
        <v>0</v>
      </c>
      <c r="Q15" s="31">
        <f>VLOOKUP($B15,'Tillförd energi'!$B$1:$AI$720,MATCH(Q$1,'Tillförd energi'!$B$1:$AQ$1,0),FALSE)</f>
        <v>0</v>
      </c>
      <c r="R15" s="31">
        <f>VLOOKUP($B15,'Tillförd energi'!$B$1:$AI$720,MATCH(R$1,'Tillförd energi'!$B$1:$AQ$1,0),FALSE)</f>
        <v>4.2</v>
      </c>
      <c r="S15" s="31">
        <f>VLOOKUP($B15,'Tillförd energi'!$B$1:$AI$720,MATCH(S$1,'Tillförd energi'!$B$1:$AQ$1,0),FALSE)</f>
        <v>0</v>
      </c>
      <c r="T15" s="31">
        <f>VLOOKUP($B15,'Tillförd energi'!$B$1:$AI$720,MATCH(T$1,'Tillförd energi'!$B$1:$AQ$1,0),FALSE)</f>
        <v>0</v>
      </c>
      <c r="U15" s="31">
        <f>VLOOKUP($B15,'Tillförd energi'!$B$1:$AI$720,MATCH(U$1,'Tillförd energi'!$B$1:$AQ$1,0),FALSE)</f>
        <v>0</v>
      </c>
      <c r="V15" s="31">
        <f>VLOOKUP($B15,'Tillförd energi'!$B$1:$AI$720,MATCH(V$1,'Tillförd energi'!$B$1:$AQ$1,0),FALSE)</f>
        <v>0</v>
      </c>
      <c r="W15" s="31">
        <f>VLOOKUP($B15,'Tillförd energi'!$B$1:$AI$720,MATCH(W$1,'Tillförd energi'!$B$1:$AQ$1,0),FALSE)</f>
        <v>0</v>
      </c>
      <c r="X15" s="31">
        <f>VLOOKUP($B15,'Tillförd energi'!$B$1:$AI$720,MATCH(X$1,'Tillförd energi'!$B$1:$AQ$1,0),FALSE)</f>
        <v>0</v>
      </c>
      <c r="Y15" s="31">
        <f>VLOOKUP($B15,'Tillförd energi'!$B$1:$AI$720,MATCH(Y$1,'Tillförd energi'!$B$1:$AQ$1,0),FALSE)</f>
        <v>0</v>
      </c>
      <c r="Z15" s="31">
        <f>VLOOKUP($B15,'Tillförd energi'!$B$1:$AI$720,MATCH(Z$1,'Tillförd energi'!$B$1:$AQ$1,0),FALSE)</f>
        <v>0.2</v>
      </c>
      <c r="AA15" s="31">
        <f>VLOOKUP($B15,'Tillförd energi'!$B$1:$AI$720,MATCH(AA$1,'Tillförd energi'!$B$1:$AQ$1,0),FALSE)</f>
        <v>0</v>
      </c>
      <c r="AB15" s="31">
        <f>VLOOKUP($B15,'Tillförd energi'!$B$1:$AI$720,MATCH(AB$1,'Tillförd energi'!$B$1:$AQ$1,0),FALSE)</f>
        <v>0</v>
      </c>
      <c r="AC15" s="31">
        <f>VLOOKUP($B15,'Tillförd energi'!$B$1:$AI$720,MATCH(AC$1,'Tillförd energi'!$B$1:$AQ$1,0),FALSE)</f>
        <v>0</v>
      </c>
      <c r="AD15" s="31">
        <f>VLOOKUP($B15,'Tillförd energi'!$B$1:$AI$720,MATCH(AD$1,'Tillförd energi'!$B$1:$AQ$1,0),FALSE)</f>
        <v>0</v>
      </c>
      <c r="AE15" s="31">
        <f>VLOOKUP($B15,'Tillförd energi'!$B$1:$AI$720,MATCH(AE$1,'Tillförd energi'!$B$1:$AQ$1,0),FALSE)</f>
        <v>0</v>
      </c>
      <c r="AF15" s="31">
        <f>VLOOKUP($B15,'Tillförd energi'!$B$1:$AI$720,MATCH(AF$1,'Tillförd energi'!$B$1:$AQ$1,0),FALSE)</f>
        <v>0.26200000000000001</v>
      </c>
      <c r="AG15" s="31">
        <f>IFERROR(VLOOKUP(B15,Miljö!$B$1:$AC$550,MATCH("Köpt mängd produktionsspecifik fjärrvärme:",Miljö!$B$1:$AC$1,0),FALSE)/1,0)</f>
        <v>0</v>
      </c>
      <c r="AI15" s="31">
        <f t="shared" si="0"/>
        <v>5.2620000000000005</v>
      </c>
      <c r="AJ15" s="31">
        <f t="shared" si="1"/>
        <v>5.2620000000000005</v>
      </c>
      <c r="AK15" s="31">
        <f>IF(ISERROR(1/VLOOKUP($B15,Leveranser!$B$1:$S$499,MATCH("Såld värme (GWh)",Leveranser!$B$1:$S$1,0),FALSE)),"",VLOOKUP($B15,Leveranser!$B$1:$S$499,MATCH("Såld värme (GWh)",Leveranser!$B$1:$S$1,0),FALSE))</f>
        <v>3.9</v>
      </c>
      <c r="AL15" s="31">
        <f>VLOOKUP($B15,Leveranser!$B$1:$Y$499,MATCH("Totalt såld fjärrvärme till andra fjärrvärmeföretag",Leveranser!$B$1:$AA$1,0),FALSE)</f>
        <v>0</v>
      </c>
      <c r="AM15" s="31">
        <f>IF(ISERROR(1/VLOOKUP($B15,Miljö!$B$1:$S$500,MATCH("Såld mängd produktionsspecifik fjärrvärme (GWh)",Miljö!$B$1:$R$1,0),FALSE)),0,VLOOKUP($B15,Miljö!$B$1:$S$500,MATCH("Såld mängd produktionsspecifik fjärrvärme (GWh)",Miljö!$B$1:$R$1,0),FALSE))</f>
        <v>0</v>
      </c>
      <c r="AN15" s="32">
        <f t="shared" si="2"/>
        <v>0.74116305587229181</v>
      </c>
      <c r="AP15" s="31" t="str">
        <f>IFERROR(VLOOKUP($B15,Miljövärden!$B$2:$H$550,7,FALSE),"Nej, saknas")</f>
        <v>Ja</v>
      </c>
      <c r="AQ15" s="31" t="str">
        <f>IFERROR(VLOOKUP($B15,Miljövärden!$B$2:$H$551,6,FALSE),"Nej, saknas")</f>
        <v>Nej</v>
      </c>
      <c r="AU15" s="31">
        <f t="shared" si="3"/>
        <v>0.46200000000000002</v>
      </c>
      <c r="AV15" s="31">
        <f t="shared" si="4"/>
        <v>0</v>
      </c>
      <c r="AW15" s="31">
        <f t="shared" si="5"/>
        <v>0</v>
      </c>
      <c r="AX15" s="31">
        <f t="shared" si="6"/>
        <v>4.2</v>
      </c>
      <c r="AZ15" s="31">
        <f t="shared" si="7"/>
        <v>4.2</v>
      </c>
      <c r="BC15" s="31">
        <f t="shared" si="8"/>
        <v>0.6</v>
      </c>
      <c r="BD15" s="31">
        <f t="shared" si="9"/>
        <v>0</v>
      </c>
      <c r="BE15" s="31">
        <f t="shared" si="10"/>
        <v>4.2</v>
      </c>
      <c r="BF15" s="31">
        <f t="shared" si="11"/>
        <v>0</v>
      </c>
      <c r="BG15" s="31">
        <f t="shared" si="12"/>
        <v>0.46200000000000002</v>
      </c>
      <c r="BH15" s="31">
        <f>VLOOKUP(B15,Miljö!$B$1:$BX$482,MATCH("Fossilandel för ursprungspecificerad el ()",Miljö!$B$1:$I$1,0),FALSE)</f>
        <v>0</v>
      </c>
      <c r="BI15" s="31">
        <f>VLOOKUP(B15,Miljö!$B$1:$BX$482,MATCH("Kärnkraftsandel för ursprungsspecificerad el ()",Miljö!$B$1:$O$1,0),FALSE)</f>
        <v>1</v>
      </c>
      <c r="BJ15" s="31">
        <f t="shared" si="13"/>
        <v>0</v>
      </c>
      <c r="BK15" s="31" t="str">
        <f>VLOOKUP(B15,Miljö!$B$1:$P$482,MATCH("Fossil andel i procent (%)",Miljö!$B$1:$P$1,0),FALSE)</f>
        <v>ET</v>
      </c>
      <c r="BL15" s="31">
        <f t="shared" si="14"/>
        <v>5.2619999999999996</v>
      </c>
      <c r="BO15" s="32">
        <f t="shared" si="22"/>
        <v>0.11402508551881414</v>
      </c>
      <c r="BP15" s="32">
        <f t="shared" si="15"/>
        <v>8.77993158494869E-2</v>
      </c>
      <c r="BQ15" s="32">
        <f t="shared" si="16"/>
        <v>0.79817559863169907</v>
      </c>
      <c r="BR15" s="32">
        <f t="shared" si="17"/>
        <v>0</v>
      </c>
      <c r="BT15" s="62">
        <f t="shared" si="18"/>
        <v>1</v>
      </c>
      <c r="BW15" s="32">
        <f>IF(AP15="Ja",VLOOKUP(B15,Miljövärden!$B$2:$H$551,MATCH("Total andel fossilt",Miljövärden!$B$2:$H$2,0),FALSE),"")</f>
        <v>0.114025</v>
      </c>
      <c r="BX15" s="62">
        <f t="shared" si="19"/>
        <v>-8.5518814141316568E-8</v>
      </c>
      <c r="BZ15" s="31">
        <f t="shared" si="20"/>
        <v>-8.5518814141316568E-8</v>
      </c>
      <c r="CA15" s="32">
        <f t="shared" si="21"/>
        <v>0</v>
      </c>
    </row>
    <row r="16" spans="1:79" x14ac:dyDescent="0.45">
      <c r="A16" s="31" t="s">
        <v>672</v>
      </c>
      <c r="B16" s="31" t="s">
        <v>674</v>
      </c>
      <c r="C16" s="31">
        <f>VLOOKUP($B16,'Tillförd energi'!$B$1:$AI$720,MATCH(C$1,'Tillförd energi'!$B$1:$AQ$1,0),FALSE)</f>
        <v>0</v>
      </c>
      <c r="D16" s="31">
        <f>VLOOKUP($B16,'Tillförd energi'!$B$1:$AI$720,MATCH(D$1,'Tillförd energi'!$B$1:$AQ$1,0),FALSE)</f>
        <v>5.6000000000000001E-2</v>
      </c>
      <c r="E16" s="31">
        <f>VLOOKUP($B16,'Tillförd energi'!$B$1:$AI$720,MATCH(E$1,'Tillförd energi'!$B$1:$AQ$1,0),FALSE)</f>
        <v>0</v>
      </c>
      <c r="F16" s="31">
        <f>VLOOKUP($B16,'Tillförd energi'!$B$1:$AI$720,MATCH(F$1,'Tillförd energi'!$B$1:$AQ$1,0),FALSE)</f>
        <v>0</v>
      </c>
      <c r="G16" s="31">
        <f>VLOOKUP($B16,'Tillförd energi'!$B$1:$AI$720,MATCH(G$1,'Tillförd energi'!$B$1:$AQ$1,0),FALSE)</f>
        <v>0</v>
      </c>
      <c r="H16" s="31">
        <f>VLOOKUP($B16,'Tillförd energi'!$B$1:$AI$720,MATCH(H$1,'Tillförd energi'!$B$1:$AQ$1,0),FALSE)</f>
        <v>0</v>
      </c>
      <c r="I16" s="31">
        <f>VLOOKUP($B16,'Tillförd energi'!$B$1:$AI$720,MATCH(I$1,'Tillförd energi'!$B$1:$AQ$1,0),FALSE)</f>
        <v>0</v>
      </c>
      <c r="J16" s="31">
        <f>VLOOKUP($B16,'Tillförd energi'!$B$1:$AI$720,MATCH(J$1,'Tillförd energi'!$B$1:$AQ$1,0),FALSE)</f>
        <v>0</v>
      </c>
      <c r="K16" s="31">
        <f>VLOOKUP($B16,'Tillförd energi'!$B$1:$AI$720,MATCH(K$1,'Tillförd energi'!$B$1:$AQ$1,0),FALSE)</f>
        <v>0</v>
      </c>
      <c r="L16" s="31">
        <f>VLOOKUP($B16,'Tillförd energi'!$B$1:$AI$720,MATCH(L$1,'Tillförd energi'!$B$1:$AQ$1,0),FALSE)</f>
        <v>0</v>
      </c>
      <c r="M16" s="31">
        <f>VLOOKUP($B16,'Tillförd energi'!$B$1:$AI$720,MATCH(M$1,'Tillförd energi'!$B$1:$AQ$1,0),FALSE)</f>
        <v>0</v>
      </c>
      <c r="N16" s="31">
        <f>VLOOKUP($B16,'Tillförd energi'!$B$1:$AI$720,MATCH(N$1,'Tillförd energi'!$B$1:$AQ$1,0),FALSE)</f>
        <v>0</v>
      </c>
      <c r="O16" s="31">
        <f>VLOOKUP($B16,'Tillförd energi'!$B$1:$AI$720,MATCH(O$1,'Tillförd energi'!$B$1:$AQ$1,0),FALSE)</f>
        <v>0</v>
      </c>
      <c r="P16" s="31">
        <f>VLOOKUP($B16,'Tillförd energi'!$B$1:$AI$720,MATCH(P$1,'Tillförd energi'!$B$1:$AQ$1,0),FALSE)</f>
        <v>0</v>
      </c>
      <c r="Q16" s="31">
        <f>VLOOKUP($B16,'Tillförd energi'!$B$1:$AI$720,MATCH(Q$1,'Tillförd energi'!$B$1:$AQ$1,0),FALSE)</f>
        <v>0</v>
      </c>
      <c r="R16" s="31">
        <f>VLOOKUP($B16,'Tillförd energi'!$B$1:$AI$720,MATCH(R$1,'Tillförd energi'!$B$1:$AQ$1,0),FALSE)</f>
        <v>2.2789999999999999</v>
      </c>
      <c r="S16" s="31">
        <f>VLOOKUP($B16,'Tillförd energi'!$B$1:$AI$720,MATCH(S$1,'Tillförd energi'!$B$1:$AQ$1,0),FALSE)</f>
        <v>0</v>
      </c>
      <c r="T16" s="31">
        <f>VLOOKUP($B16,'Tillförd energi'!$B$1:$AI$720,MATCH(T$1,'Tillförd energi'!$B$1:$AQ$1,0),FALSE)</f>
        <v>0</v>
      </c>
      <c r="U16" s="31">
        <f>VLOOKUP($B16,'Tillförd energi'!$B$1:$AI$720,MATCH(U$1,'Tillförd energi'!$B$1:$AQ$1,0),FALSE)</f>
        <v>0</v>
      </c>
      <c r="V16" s="31">
        <f>VLOOKUP($B16,'Tillförd energi'!$B$1:$AI$720,MATCH(V$1,'Tillförd energi'!$B$1:$AQ$1,0),FALSE)</f>
        <v>0</v>
      </c>
      <c r="W16" s="31">
        <f>VLOOKUP($B16,'Tillförd energi'!$B$1:$AI$720,MATCH(W$1,'Tillförd energi'!$B$1:$AQ$1,0),FALSE)</f>
        <v>0</v>
      </c>
      <c r="X16" s="31">
        <f>VLOOKUP($B16,'Tillförd energi'!$B$1:$AI$720,MATCH(X$1,'Tillförd energi'!$B$1:$AQ$1,0),FALSE)</f>
        <v>0</v>
      </c>
      <c r="Y16" s="31">
        <f>VLOOKUP($B16,'Tillförd energi'!$B$1:$AI$720,MATCH(Y$1,'Tillförd energi'!$B$1:$AQ$1,0),FALSE)</f>
        <v>0</v>
      </c>
      <c r="Z16" s="31">
        <f>VLOOKUP($B16,'Tillförd energi'!$B$1:$AI$720,MATCH(Z$1,'Tillförd energi'!$B$1:$AQ$1,0),FALSE)</f>
        <v>0</v>
      </c>
      <c r="AA16" s="31">
        <f>VLOOKUP($B16,'Tillförd energi'!$B$1:$AI$720,MATCH(AA$1,'Tillförd energi'!$B$1:$AQ$1,0),FALSE)</f>
        <v>0</v>
      </c>
      <c r="AB16" s="31">
        <f>VLOOKUP($B16,'Tillförd energi'!$B$1:$AI$720,MATCH(AB$1,'Tillförd energi'!$B$1:$AQ$1,0),FALSE)</f>
        <v>0</v>
      </c>
      <c r="AC16" s="31">
        <f>VLOOKUP($B16,'Tillförd energi'!$B$1:$AI$720,MATCH(AC$1,'Tillförd energi'!$B$1:$AQ$1,0),FALSE)</f>
        <v>0</v>
      </c>
      <c r="AD16" s="31">
        <f>VLOOKUP($B16,'Tillförd energi'!$B$1:$AI$720,MATCH(AD$1,'Tillförd energi'!$B$1:$AQ$1,0),FALSE)</f>
        <v>0</v>
      </c>
      <c r="AE16" s="31">
        <f>VLOOKUP($B16,'Tillförd energi'!$B$1:$AI$720,MATCH(AE$1,'Tillförd energi'!$B$1:$AQ$1,0),FALSE)</f>
        <v>0</v>
      </c>
      <c r="AF16" s="31">
        <f>VLOOKUP($B16,'Tillförd energi'!$B$1:$AI$720,MATCH(AF$1,'Tillförd energi'!$B$1:$AQ$1,0),FALSE)</f>
        <v>2.5000000000000001E-2</v>
      </c>
      <c r="AG16" s="31">
        <f>IFERROR(VLOOKUP(B16,Miljö!$B$1:$AC$550,MATCH("Köpt mängd produktionsspecifik fjärrvärme:",Miljö!$B$1:$AC$1,0),FALSE)/1,0)</f>
        <v>0</v>
      </c>
      <c r="AI16" s="31">
        <f t="shared" si="0"/>
        <v>2.36</v>
      </c>
      <c r="AJ16" s="31">
        <f t="shared" si="1"/>
        <v>2.36</v>
      </c>
      <c r="AK16" s="31">
        <f>IF(ISERROR(1/VLOOKUP($B16,Leveranser!$B$1:$S$499,MATCH("Såld värme (GWh)",Leveranser!$B$1:$S$1,0),FALSE)),"",VLOOKUP($B16,Leveranser!$B$1:$S$499,MATCH("Såld värme (GWh)",Leveranser!$B$1:$S$1,0),FALSE))</f>
        <v>1.827</v>
      </c>
      <c r="AL16" s="31">
        <f>VLOOKUP($B16,Leveranser!$B$1:$Y$499,MATCH("Totalt såld fjärrvärme till andra fjärrvärmeföretag",Leveranser!$B$1:$AA$1,0),FALSE)</f>
        <v>0</v>
      </c>
      <c r="AM16" s="31">
        <f>IF(ISERROR(1/VLOOKUP($B16,Miljö!$B$1:$S$500,MATCH("Såld mängd produktionsspecifik fjärrvärme (GWh)",Miljö!$B$1:$R$1,0),FALSE)),0,VLOOKUP($B16,Miljö!$B$1:$S$500,MATCH("Såld mängd produktionsspecifik fjärrvärme (GWh)",Miljö!$B$1:$R$1,0),FALSE))</f>
        <v>0</v>
      </c>
      <c r="AN16" s="32">
        <f t="shared" si="2"/>
        <v>0.77415254237288134</v>
      </c>
      <c r="AP16" s="31" t="str">
        <f>IFERROR(VLOOKUP($B16,Miljövärden!$B$2:$H$550,7,FALSE),"Nej, saknas")</f>
        <v>Ja</v>
      </c>
      <c r="AQ16" s="31" t="str">
        <f>IFERROR(VLOOKUP($B16,Miljövärden!$B$2:$H$551,6,FALSE),"Nej, saknas")</f>
        <v>Ja</v>
      </c>
      <c r="AU16" s="31">
        <f t="shared" si="3"/>
        <v>2.5000000000000001E-2</v>
      </c>
      <c r="AV16" s="31">
        <f t="shared" si="4"/>
        <v>0</v>
      </c>
      <c r="AW16" s="31">
        <f t="shared" si="5"/>
        <v>0</v>
      </c>
      <c r="AX16" s="31">
        <f t="shared" si="6"/>
        <v>2.2789999999999999</v>
      </c>
      <c r="AZ16" s="31">
        <f t="shared" si="7"/>
        <v>2.2789999999999999</v>
      </c>
      <c r="BC16" s="31">
        <f t="shared" si="8"/>
        <v>5.6000000000000001E-2</v>
      </c>
      <c r="BD16" s="31">
        <f t="shared" si="9"/>
        <v>0</v>
      </c>
      <c r="BE16" s="31">
        <f t="shared" si="10"/>
        <v>2.2789999999999999</v>
      </c>
      <c r="BF16" s="31">
        <f t="shared" si="11"/>
        <v>0</v>
      </c>
      <c r="BG16" s="31">
        <f t="shared" si="12"/>
        <v>2.5000000000000001E-2</v>
      </c>
      <c r="BH16" s="31">
        <f>VLOOKUP(B16,Miljö!$B$1:$BX$482,MATCH("Fossilandel för ursprungspecificerad el ()",Miljö!$B$1:$I$1,0),FALSE)</f>
        <v>0</v>
      </c>
      <c r="BI16" s="31">
        <f>VLOOKUP(B16,Miljö!$B$1:$BX$482,MATCH("Kärnkraftsandel för ursprungsspecificerad el ()",Miljö!$B$1:$O$1,0),FALSE)</f>
        <v>1</v>
      </c>
      <c r="BJ16" s="31">
        <f t="shared" si="13"/>
        <v>0</v>
      </c>
      <c r="BK16" s="31" t="str">
        <f>VLOOKUP(B16,Miljö!$B$1:$P$482,MATCH("Fossil andel i procent (%)",Miljö!$B$1:$P$1,0),FALSE)</f>
        <v>ET</v>
      </c>
      <c r="BL16" s="31">
        <f t="shared" si="14"/>
        <v>2.36</v>
      </c>
      <c r="BO16" s="32">
        <f t="shared" si="22"/>
        <v>2.3728813559322035E-2</v>
      </c>
      <c r="BP16" s="32">
        <f t="shared" si="15"/>
        <v>1.0593220338983052E-2</v>
      </c>
      <c r="BQ16" s="32">
        <f t="shared" si="16"/>
        <v>0.96567796610169498</v>
      </c>
      <c r="BR16" s="32">
        <f t="shared" si="17"/>
        <v>0</v>
      </c>
      <c r="BT16" s="62">
        <f t="shared" si="18"/>
        <v>1</v>
      </c>
      <c r="BW16" s="32">
        <f>IF(AP16="Ja",VLOOKUP(B16,Miljövärden!$B$2:$H$551,MATCH("Total andel fossilt",Miljövärden!$B$2:$H$2,0),FALSE),"")</f>
        <v>2.3728800000000001E-2</v>
      </c>
      <c r="BX16" s="62">
        <f t="shared" si="19"/>
        <v>-1.3559322033229737E-8</v>
      </c>
      <c r="BZ16" s="31">
        <f t="shared" si="20"/>
        <v>-1.3559322033229737E-8</v>
      </c>
      <c r="CA16" s="32">
        <f t="shared" si="21"/>
        <v>0</v>
      </c>
    </row>
    <row r="17" spans="1:79" x14ac:dyDescent="0.45">
      <c r="A17" s="31" t="s">
        <v>672</v>
      </c>
      <c r="B17" s="31" t="s">
        <v>673</v>
      </c>
      <c r="C17" s="31">
        <f>VLOOKUP($B17,'Tillförd energi'!$B$1:$AI$720,MATCH(C$1,'Tillförd energi'!$B$1:$AQ$1,0),FALSE)</f>
        <v>0</v>
      </c>
      <c r="D17" s="31">
        <f>VLOOKUP($B17,'Tillförd energi'!$B$1:$AI$720,MATCH(D$1,'Tillförd energi'!$B$1:$AQ$1,0),FALSE)</f>
        <v>8.6999999999999994E-2</v>
      </c>
      <c r="E17" s="31">
        <f>VLOOKUP($B17,'Tillförd energi'!$B$1:$AI$720,MATCH(E$1,'Tillförd energi'!$B$1:$AQ$1,0),FALSE)</f>
        <v>0</v>
      </c>
      <c r="F17" s="31">
        <f>VLOOKUP($B17,'Tillförd energi'!$B$1:$AI$720,MATCH(F$1,'Tillförd energi'!$B$1:$AQ$1,0),FALSE)</f>
        <v>0</v>
      </c>
      <c r="G17" s="31">
        <f>VLOOKUP($B17,'Tillförd energi'!$B$1:$AI$720,MATCH(G$1,'Tillförd energi'!$B$1:$AQ$1,0),FALSE)</f>
        <v>0</v>
      </c>
      <c r="H17" s="31">
        <f>VLOOKUP($B17,'Tillförd energi'!$B$1:$AI$720,MATCH(H$1,'Tillförd energi'!$B$1:$AQ$1,0),FALSE)</f>
        <v>0</v>
      </c>
      <c r="I17" s="31">
        <f>VLOOKUP($B17,'Tillförd energi'!$B$1:$AI$720,MATCH(I$1,'Tillförd energi'!$B$1:$AQ$1,0),FALSE)</f>
        <v>0</v>
      </c>
      <c r="J17" s="31">
        <f>VLOOKUP($B17,'Tillförd energi'!$B$1:$AI$720,MATCH(J$1,'Tillförd energi'!$B$1:$AQ$1,0),FALSE)</f>
        <v>0</v>
      </c>
      <c r="K17" s="31">
        <f>VLOOKUP($B17,'Tillförd energi'!$B$1:$AI$720,MATCH(K$1,'Tillförd energi'!$B$1:$AQ$1,0),FALSE)</f>
        <v>0</v>
      </c>
      <c r="L17" s="31">
        <f>VLOOKUP($B17,'Tillförd energi'!$B$1:$AI$720,MATCH(L$1,'Tillförd energi'!$B$1:$AQ$1,0),FALSE)</f>
        <v>0</v>
      </c>
      <c r="M17" s="31">
        <f>VLOOKUP($B17,'Tillförd energi'!$B$1:$AI$720,MATCH(M$1,'Tillförd energi'!$B$1:$AQ$1,0),FALSE)</f>
        <v>0</v>
      </c>
      <c r="N17" s="31">
        <f>VLOOKUP($B17,'Tillförd energi'!$B$1:$AI$720,MATCH(N$1,'Tillförd energi'!$B$1:$AQ$1,0),FALSE)</f>
        <v>0</v>
      </c>
      <c r="O17" s="31">
        <f>VLOOKUP($B17,'Tillförd energi'!$B$1:$AI$720,MATCH(O$1,'Tillförd energi'!$B$1:$AQ$1,0),FALSE)</f>
        <v>0</v>
      </c>
      <c r="P17" s="31">
        <f>VLOOKUP($B17,'Tillförd energi'!$B$1:$AI$720,MATCH(P$1,'Tillförd energi'!$B$1:$AQ$1,0),FALSE)</f>
        <v>0</v>
      </c>
      <c r="Q17" s="31">
        <f>VLOOKUP($B17,'Tillförd energi'!$B$1:$AI$720,MATCH(Q$1,'Tillförd energi'!$B$1:$AQ$1,0),FALSE)</f>
        <v>6.8239999999999998</v>
      </c>
      <c r="R17" s="31">
        <f>VLOOKUP($B17,'Tillförd energi'!$B$1:$AI$720,MATCH(R$1,'Tillförd energi'!$B$1:$AQ$1,0),FALSE)</f>
        <v>0.77300000000000002</v>
      </c>
      <c r="S17" s="31">
        <f>VLOOKUP($B17,'Tillförd energi'!$B$1:$AI$720,MATCH(S$1,'Tillförd energi'!$B$1:$AQ$1,0),FALSE)</f>
        <v>0</v>
      </c>
      <c r="T17" s="31">
        <f>VLOOKUP($B17,'Tillförd energi'!$B$1:$AI$720,MATCH(T$1,'Tillförd energi'!$B$1:$AQ$1,0),FALSE)</f>
        <v>0</v>
      </c>
      <c r="U17" s="31">
        <f>VLOOKUP($B17,'Tillförd energi'!$B$1:$AI$720,MATCH(U$1,'Tillförd energi'!$B$1:$AQ$1,0),FALSE)</f>
        <v>0</v>
      </c>
      <c r="V17" s="31">
        <f>VLOOKUP($B17,'Tillförd energi'!$B$1:$AI$720,MATCH(V$1,'Tillförd energi'!$B$1:$AQ$1,0),FALSE)</f>
        <v>0</v>
      </c>
      <c r="W17" s="31">
        <f>VLOOKUP($B17,'Tillförd energi'!$B$1:$AI$720,MATCH(W$1,'Tillförd energi'!$B$1:$AQ$1,0),FALSE)</f>
        <v>0</v>
      </c>
      <c r="X17" s="31">
        <f>VLOOKUP($B17,'Tillförd energi'!$B$1:$AI$720,MATCH(X$1,'Tillförd energi'!$B$1:$AQ$1,0),FALSE)</f>
        <v>0</v>
      </c>
      <c r="Y17" s="31">
        <f>VLOOKUP($B17,'Tillförd energi'!$B$1:$AI$720,MATCH(Y$1,'Tillförd energi'!$B$1:$AQ$1,0),FALSE)</f>
        <v>0</v>
      </c>
      <c r="Z17" s="31">
        <f>VLOOKUP($B17,'Tillförd energi'!$B$1:$AI$720,MATCH(Z$1,'Tillförd energi'!$B$1:$AQ$1,0),FALSE)</f>
        <v>0</v>
      </c>
      <c r="AA17" s="31">
        <f>VLOOKUP($B17,'Tillförd energi'!$B$1:$AI$720,MATCH(AA$1,'Tillförd energi'!$B$1:$AQ$1,0),FALSE)</f>
        <v>0</v>
      </c>
      <c r="AB17" s="31">
        <f>VLOOKUP($B17,'Tillförd energi'!$B$1:$AI$720,MATCH(AB$1,'Tillförd energi'!$B$1:$AQ$1,0),FALSE)</f>
        <v>0</v>
      </c>
      <c r="AC17" s="31">
        <f>VLOOKUP($B17,'Tillförd energi'!$B$1:$AI$720,MATCH(AC$1,'Tillförd energi'!$B$1:$AQ$1,0),FALSE)</f>
        <v>0</v>
      </c>
      <c r="AD17" s="31">
        <f>VLOOKUP($B17,'Tillförd energi'!$B$1:$AI$720,MATCH(AD$1,'Tillförd energi'!$B$1:$AQ$1,0),FALSE)</f>
        <v>0</v>
      </c>
      <c r="AE17" s="31">
        <f>VLOOKUP($B17,'Tillförd energi'!$B$1:$AI$720,MATCH(AE$1,'Tillförd energi'!$B$1:$AQ$1,0),FALSE)</f>
        <v>0</v>
      </c>
      <c r="AF17" s="31">
        <f>VLOOKUP($B17,'Tillförd energi'!$B$1:$AI$720,MATCH(AF$1,'Tillförd energi'!$B$1:$AQ$1,0),FALSE)</f>
        <v>0.17299999999999999</v>
      </c>
      <c r="AG17" s="31">
        <f>IFERROR(VLOOKUP(B17,Miljö!$B$1:$AC$550,MATCH("Köpt mängd produktionsspecifik fjärrvärme:",Miljö!$B$1:$AC$1,0),FALSE)/1,0)</f>
        <v>0</v>
      </c>
      <c r="AI17" s="31">
        <f t="shared" si="0"/>
        <v>7.8569999999999993</v>
      </c>
      <c r="AJ17" s="31">
        <f t="shared" si="1"/>
        <v>7.8569999999999993</v>
      </c>
      <c r="AK17" s="31">
        <f>IF(ISERROR(1/VLOOKUP($B17,Leveranser!$B$1:$S$499,MATCH("Såld värme (GWh)",Leveranser!$B$1:$S$1,0),FALSE)),"",VLOOKUP($B17,Leveranser!$B$1:$S$499,MATCH("Såld värme (GWh)",Leveranser!$B$1:$S$1,0),FALSE))</f>
        <v>5.1020000000000003</v>
      </c>
      <c r="AL17" s="31">
        <f>VLOOKUP($B17,Leveranser!$B$1:$Y$499,MATCH("Totalt såld fjärrvärme till andra fjärrvärmeföretag",Leveranser!$B$1:$AA$1,0),FALSE)</f>
        <v>0</v>
      </c>
      <c r="AM17" s="31">
        <f>IF(ISERROR(1/VLOOKUP($B17,Miljö!$B$1:$S$500,MATCH("Såld mängd produktionsspecifik fjärrvärme (GWh)",Miljö!$B$1:$R$1,0),FALSE)),0,VLOOKUP($B17,Miljö!$B$1:$S$500,MATCH("Såld mängd produktionsspecifik fjärrvärme (GWh)",Miljö!$B$1:$R$1,0),FALSE))</f>
        <v>0</v>
      </c>
      <c r="AN17" s="32">
        <f t="shared" si="2"/>
        <v>0.64935726104110991</v>
      </c>
      <c r="AP17" s="31" t="str">
        <f>IFERROR(VLOOKUP($B17,Miljövärden!$B$2:$H$550,7,FALSE),"Nej, saknas")</f>
        <v>Ja</v>
      </c>
      <c r="AQ17" s="31" t="str">
        <f>IFERROR(VLOOKUP($B17,Miljövärden!$B$2:$H$551,6,FALSE),"Nej, saknas")</f>
        <v>Ja</v>
      </c>
      <c r="AU17" s="31">
        <f t="shared" si="3"/>
        <v>0.17299999999999999</v>
      </c>
      <c r="AV17" s="31">
        <f t="shared" si="4"/>
        <v>0</v>
      </c>
      <c r="AW17" s="31">
        <f t="shared" si="5"/>
        <v>6.8239999999999998</v>
      </c>
      <c r="AX17" s="31">
        <f t="shared" si="6"/>
        <v>0.77300000000000002</v>
      </c>
      <c r="AZ17" s="31">
        <f t="shared" si="7"/>
        <v>7.5969999999999995</v>
      </c>
      <c r="BC17" s="31">
        <f t="shared" si="8"/>
        <v>8.6999999999999994E-2</v>
      </c>
      <c r="BD17" s="31">
        <f t="shared" si="9"/>
        <v>0</v>
      </c>
      <c r="BE17" s="31">
        <f t="shared" si="10"/>
        <v>7.5969999999999995</v>
      </c>
      <c r="BF17" s="31">
        <f t="shared" si="11"/>
        <v>0</v>
      </c>
      <c r="BG17" s="31">
        <f t="shared" si="12"/>
        <v>0.17299999999999999</v>
      </c>
      <c r="BH17" s="31">
        <f>VLOOKUP(B17,Miljö!$B$1:$BX$482,MATCH("Fossilandel för ursprungspecificerad el ()",Miljö!$B$1:$I$1,0),FALSE)</f>
        <v>0</v>
      </c>
      <c r="BI17" s="31">
        <f>VLOOKUP(B17,Miljö!$B$1:$BX$482,MATCH("Kärnkraftsandel för ursprungsspecificerad el ()",Miljö!$B$1:$O$1,0),FALSE)</f>
        <v>1</v>
      </c>
      <c r="BJ17" s="31">
        <f t="shared" si="13"/>
        <v>0</v>
      </c>
      <c r="BK17" s="31" t="str">
        <f>VLOOKUP(B17,Miljö!$B$1:$P$482,MATCH("Fossil andel i procent (%)",Miljö!$B$1:$P$1,0),FALSE)</f>
        <v>ET</v>
      </c>
      <c r="BL17" s="31">
        <f t="shared" si="14"/>
        <v>7.8569999999999993</v>
      </c>
      <c r="BO17" s="32">
        <f t="shared" si="22"/>
        <v>1.1072928598701794E-2</v>
      </c>
      <c r="BP17" s="32">
        <f t="shared" si="15"/>
        <v>2.2018582156039201E-2</v>
      </c>
      <c r="BQ17" s="32">
        <f t="shared" si="16"/>
        <v>0.96690848924525907</v>
      </c>
      <c r="BR17" s="32">
        <f t="shared" si="17"/>
        <v>0</v>
      </c>
      <c r="BT17" s="62">
        <f t="shared" si="18"/>
        <v>1</v>
      </c>
      <c r="BW17" s="32">
        <f>IF(AP17="Ja",VLOOKUP(B17,Miljövärden!$B$2:$H$551,MATCH("Total andel fossilt",Miljövärden!$B$2:$H$2,0),FALSE),"")</f>
        <v>1.10729E-2</v>
      </c>
      <c r="BX17" s="62">
        <f t="shared" si="19"/>
        <v>-2.859870179387769E-8</v>
      </c>
      <c r="BZ17" s="31">
        <f t="shared" si="20"/>
        <v>-2.859870179387769E-8</v>
      </c>
      <c r="CA17" s="32">
        <f t="shared" si="21"/>
        <v>0</v>
      </c>
    </row>
    <row r="18" spans="1:79" x14ac:dyDescent="0.45">
      <c r="A18" s="31" t="s">
        <v>672</v>
      </c>
      <c r="B18" s="31" t="s">
        <v>680</v>
      </c>
      <c r="C18" s="31">
        <f>VLOOKUP($B18,'Tillförd energi'!$B$1:$AI$720,MATCH(C$1,'Tillförd energi'!$B$1:$AQ$1,0),FALSE)</f>
        <v>0</v>
      </c>
      <c r="D18" s="31">
        <f>VLOOKUP($B18,'Tillförd energi'!$B$1:$AI$720,MATCH(D$1,'Tillförd energi'!$B$1:$AQ$1,0),FALSE)</f>
        <v>9.5000000000000001E-2</v>
      </c>
      <c r="E18" s="31">
        <f>VLOOKUP($B18,'Tillförd energi'!$B$1:$AI$720,MATCH(E$1,'Tillförd energi'!$B$1:$AQ$1,0),FALSE)</f>
        <v>0</v>
      </c>
      <c r="F18" s="31">
        <f>VLOOKUP($B18,'Tillförd energi'!$B$1:$AI$720,MATCH(F$1,'Tillförd energi'!$B$1:$AQ$1,0),FALSE)</f>
        <v>0</v>
      </c>
      <c r="G18" s="31">
        <f>VLOOKUP($B18,'Tillförd energi'!$B$1:$AI$720,MATCH(G$1,'Tillförd energi'!$B$1:$AQ$1,0),FALSE)</f>
        <v>0</v>
      </c>
      <c r="H18" s="31">
        <f>VLOOKUP($B18,'Tillförd energi'!$B$1:$AI$720,MATCH(H$1,'Tillförd energi'!$B$1:$AQ$1,0),FALSE)</f>
        <v>0</v>
      </c>
      <c r="I18" s="31">
        <f>VLOOKUP($B18,'Tillförd energi'!$B$1:$AI$720,MATCH(I$1,'Tillförd energi'!$B$1:$AQ$1,0),FALSE)</f>
        <v>0</v>
      </c>
      <c r="J18" s="31">
        <f>VLOOKUP($B18,'Tillförd energi'!$B$1:$AI$720,MATCH(J$1,'Tillförd energi'!$B$1:$AQ$1,0),FALSE)</f>
        <v>0</v>
      </c>
      <c r="K18" s="31">
        <f>VLOOKUP($B18,'Tillförd energi'!$B$1:$AI$720,MATCH(K$1,'Tillförd energi'!$B$1:$AQ$1,0),FALSE)</f>
        <v>0</v>
      </c>
      <c r="L18" s="31">
        <f>VLOOKUP($B18,'Tillförd energi'!$B$1:$AI$720,MATCH(L$1,'Tillförd energi'!$B$1:$AQ$1,0),FALSE)</f>
        <v>0</v>
      </c>
      <c r="M18" s="31">
        <f>VLOOKUP($B18,'Tillförd energi'!$B$1:$AI$720,MATCH(M$1,'Tillförd energi'!$B$1:$AQ$1,0),FALSE)</f>
        <v>0</v>
      </c>
      <c r="N18" s="31">
        <f>VLOOKUP($B18,'Tillförd energi'!$B$1:$AI$720,MATCH(N$1,'Tillförd energi'!$B$1:$AQ$1,0),FALSE)</f>
        <v>0</v>
      </c>
      <c r="O18" s="31">
        <f>VLOOKUP($B18,'Tillförd energi'!$B$1:$AI$720,MATCH(O$1,'Tillförd energi'!$B$1:$AQ$1,0),FALSE)</f>
        <v>0</v>
      </c>
      <c r="P18" s="31">
        <f>VLOOKUP($B18,'Tillförd energi'!$B$1:$AI$720,MATCH(P$1,'Tillförd energi'!$B$1:$AQ$1,0),FALSE)</f>
        <v>0</v>
      </c>
      <c r="Q18" s="31">
        <f>VLOOKUP($B18,'Tillförd energi'!$B$1:$AI$720,MATCH(Q$1,'Tillförd energi'!$B$1:$AQ$1,0),FALSE)</f>
        <v>16.954999999999998</v>
      </c>
      <c r="R18" s="31">
        <f>VLOOKUP($B18,'Tillförd energi'!$B$1:$AI$720,MATCH(R$1,'Tillförd energi'!$B$1:$AQ$1,0),FALSE)</f>
        <v>3.7749999999999999</v>
      </c>
      <c r="S18" s="31">
        <f>VLOOKUP($B18,'Tillförd energi'!$B$1:$AI$720,MATCH(S$1,'Tillförd energi'!$B$1:$AQ$1,0),FALSE)</f>
        <v>0</v>
      </c>
      <c r="T18" s="31">
        <f>VLOOKUP($B18,'Tillförd energi'!$B$1:$AI$720,MATCH(T$1,'Tillförd energi'!$B$1:$AQ$1,0),FALSE)</f>
        <v>0</v>
      </c>
      <c r="U18" s="31">
        <f>VLOOKUP($B18,'Tillförd energi'!$B$1:$AI$720,MATCH(U$1,'Tillförd energi'!$B$1:$AQ$1,0),FALSE)</f>
        <v>0</v>
      </c>
      <c r="V18" s="31">
        <f>VLOOKUP($B18,'Tillförd energi'!$B$1:$AI$720,MATCH(V$1,'Tillförd energi'!$B$1:$AQ$1,0),FALSE)</f>
        <v>0</v>
      </c>
      <c r="W18" s="31">
        <f>VLOOKUP($B18,'Tillförd energi'!$B$1:$AI$720,MATCH(W$1,'Tillförd energi'!$B$1:$AQ$1,0),FALSE)</f>
        <v>0</v>
      </c>
      <c r="X18" s="31">
        <f>VLOOKUP($B18,'Tillförd energi'!$B$1:$AI$720,MATCH(X$1,'Tillförd energi'!$B$1:$AQ$1,0),FALSE)</f>
        <v>0</v>
      </c>
      <c r="Y18" s="31">
        <f>VLOOKUP($B18,'Tillförd energi'!$B$1:$AI$720,MATCH(Y$1,'Tillförd energi'!$B$1:$AQ$1,0),FALSE)</f>
        <v>0</v>
      </c>
      <c r="Z18" s="31">
        <f>VLOOKUP($B18,'Tillförd energi'!$B$1:$AI$720,MATCH(Z$1,'Tillförd energi'!$B$1:$AQ$1,0),FALSE)</f>
        <v>0</v>
      </c>
      <c r="AA18" s="31">
        <f>VLOOKUP($B18,'Tillförd energi'!$B$1:$AI$720,MATCH(AA$1,'Tillförd energi'!$B$1:$AQ$1,0),FALSE)</f>
        <v>0</v>
      </c>
      <c r="AB18" s="31">
        <f>VLOOKUP($B18,'Tillförd energi'!$B$1:$AI$720,MATCH(AB$1,'Tillförd energi'!$B$1:$AQ$1,0),FALSE)</f>
        <v>0</v>
      </c>
      <c r="AC18" s="31">
        <f>VLOOKUP($B18,'Tillförd energi'!$B$1:$AI$720,MATCH(AC$1,'Tillförd energi'!$B$1:$AQ$1,0),FALSE)</f>
        <v>0</v>
      </c>
      <c r="AD18" s="31">
        <f>VLOOKUP($B18,'Tillförd energi'!$B$1:$AI$720,MATCH(AD$1,'Tillförd energi'!$B$1:$AQ$1,0),FALSE)</f>
        <v>0</v>
      </c>
      <c r="AE18" s="31">
        <f>VLOOKUP($B18,'Tillförd energi'!$B$1:$AI$720,MATCH(AE$1,'Tillförd energi'!$B$1:$AQ$1,0),FALSE)</f>
        <v>0</v>
      </c>
      <c r="AF18" s="31">
        <f>VLOOKUP($B18,'Tillförd energi'!$B$1:$AI$720,MATCH(AF$1,'Tillförd energi'!$B$1:$AQ$1,0),FALSE)</f>
        <v>0.41299999999999998</v>
      </c>
      <c r="AG18" s="31">
        <f>IFERROR(VLOOKUP(B18,Miljö!$B$1:$AC$550,MATCH("Köpt mängd produktionsspecifik fjärrvärme:",Miljö!$B$1:$AC$1,0),FALSE)/1,0)</f>
        <v>0</v>
      </c>
      <c r="AI18" s="31">
        <f t="shared" si="0"/>
        <v>21.237999999999996</v>
      </c>
      <c r="AJ18" s="31">
        <f t="shared" si="1"/>
        <v>21.237999999999996</v>
      </c>
      <c r="AK18" s="31">
        <f>IF(ISERROR(1/VLOOKUP($B18,Leveranser!$B$1:$S$499,MATCH("Såld värme (GWh)",Leveranser!$B$1:$S$1,0),FALSE)),"",VLOOKUP($B18,Leveranser!$B$1:$S$499,MATCH("Såld värme (GWh)",Leveranser!$B$1:$S$1,0),FALSE))</f>
        <v>14.776999999999999</v>
      </c>
      <c r="AL18" s="31">
        <f>VLOOKUP($B18,Leveranser!$B$1:$Y$499,MATCH("Totalt såld fjärrvärme till andra fjärrvärmeföretag",Leveranser!$B$1:$AA$1,0),FALSE)</f>
        <v>0</v>
      </c>
      <c r="AM18" s="31">
        <f>IF(ISERROR(1/VLOOKUP($B18,Miljö!$B$1:$S$500,MATCH("Såld mängd produktionsspecifik fjärrvärme (GWh)",Miljö!$B$1:$R$1,0),FALSE)),0,VLOOKUP($B18,Miljö!$B$1:$S$500,MATCH("Såld mängd produktionsspecifik fjärrvärme (GWh)",Miljö!$B$1:$R$1,0),FALSE))</f>
        <v>0</v>
      </c>
      <c r="AN18" s="32">
        <f t="shared" si="2"/>
        <v>0.69578114700065929</v>
      </c>
      <c r="AP18" s="31" t="str">
        <f>IFERROR(VLOOKUP($B18,Miljövärden!$B$2:$H$550,7,FALSE),"Nej, saknas")</f>
        <v>Ja</v>
      </c>
      <c r="AQ18" s="31" t="str">
        <f>IFERROR(VLOOKUP($B18,Miljövärden!$B$2:$H$551,6,FALSE),"Nej, saknas")</f>
        <v>Ja</v>
      </c>
      <c r="AU18" s="31">
        <f t="shared" si="3"/>
        <v>0.41299999999999998</v>
      </c>
      <c r="AV18" s="31">
        <f t="shared" si="4"/>
        <v>0</v>
      </c>
      <c r="AW18" s="31">
        <f t="shared" si="5"/>
        <v>16.954999999999998</v>
      </c>
      <c r="AX18" s="31">
        <f t="shared" si="6"/>
        <v>3.7749999999999999</v>
      </c>
      <c r="AZ18" s="31">
        <f t="shared" si="7"/>
        <v>20.729999999999997</v>
      </c>
      <c r="BC18" s="31">
        <f t="shared" si="8"/>
        <v>9.5000000000000001E-2</v>
      </c>
      <c r="BD18" s="31">
        <f t="shared" si="9"/>
        <v>0</v>
      </c>
      <c r="BE18" s="31">
        <f t="shared" si="10"/>
        <v>20.729999999999997</v>
      </c>
      <c r="BF18" s="31">
        <f t="shared" si="11"/>
        <v>0</v>
      </c>
      <c r="BG18" s="31">
        <f t="shared" si="12"/>
        <v>0.41299999999999998</v>
      </c>
      <c r="BH18" s="31">
        <f>VLOOKUP(B18,Miljö!$B$1:$BX$482,MATCH("Fossilandel för ursprungspecificerad el ()",Miljö!$B$1:$I$1,0),FALSE)</f>
        <v>0</v>
      </c>
      <c r="BI18" s="31">
        <f>VLOOKUP(B18,Miljö!$B$1:$BX$482,MATCH("Kärnkraftsandel för ursprungsspecificerad el ()",Miljö!$B$1:$O$1,0),FALSE)</f>
        <v>1</v>
      </c>
      <c r="BJ18" s="31">
        <f t="shared" si="13"/>
        <v>0</v>
      </c>
      <c r="BK18" s="31" t="str">
        <f>VLOOKUP(B18,Miljö!$B$1:$P$482,MATCH("Fossil andel i procent (%)",Miljö!$B$1:$P$1,0),FALSE)</f>
        <v>ET</v>
      </c>
      <c r="BL18" s="31">
        <f t="shared" si="14"/>
        <v>21.237999999999996</v>
      </c>
      <c r="BO18" s="32">
        <f t="shared" si="22"/>
        <v>4.4731142292117913E-3</v>
      </c>
      <c r="BP18" s="32">
        <f t="shared" si="15"/>
        <v>1.9446275543836523E-2</v>
      </c>
      <c r="BQ18" s="32">
        <f t="shared" si="16"/>
        <v>0.97608061022695169</v>
      </c>
      <c r="BR18" s="32">
        <f t="shared" si="17"/>
        <v>0</v>
      </c>
      <c r="BT18" s="62">
        <f t="shared" si="18"/>
        <v>1</v>
      </c>
      <c r="BW18" s="32">
        <f>IF(AP18="Ja",VLOOKUP(B18,Miljövärden!$B$2:$H$551,MATCH("Total andel fossilt",Miljövärden!$B$2:$H$2,0),FALSE),"")</f>
        <v>4.4731099999999998E-3</v>
      </c>
      <c r="BX18" s="62">
        <f t="shared" si="19"/>
        <v>-4.2292117915371241E-9</v>
      </c>
      <c r="BZ18" s="31">
        <f t="shared" si="20"/>
        <v>-4.2292117915371241E-9</v>
      </c>
      <c r="CA18" s="32">
        <f t="shared" si="21"/>
        <v>0</v>
      </c>
    </row>
    <row r="19" spans="1:79" x14ac:dyDescent="0.45">
      <c r="A19" s="31" t="s">
        <v>672</v>
      </c>
      <c r="B19" s="31" t="s">
        <v>676</v>
      </c>
      <c r="C19" s="31">
        <f>VLOOKUP($B19,'Tillförd energi'!$B$1:$AI$720,MATCH(C$1,'Tillförd energi'!$B$1:$AQ$1,0),FALSE)</f>
        <v>0</v>
      </c>
      <c r="D19" s="31">
        <f>VLOOKUP($B19,'Tillförd energi'!$B$1:$AI$720,MATCH(D$1,'Tillförd energi'!$B$1:$AQ$1,0),FALSE)</f>
        <v>0.15</v>
      </c>
      <c r="E19" s="31">
        <f>VLOOKUP($B19,'Tillförd energi'!$B$1:$AI$720,MATCH(E$1,'Tillförd energi'!$B$1:$AQ$1,0),FALSE)</f>
        <v>0</v>
      </c>
      <c r="F19" s="31">
        <f>VLOOKUP($B19,'Tillförd energi'!$B$1:$AI$720,MATCH(F$1,'Tillförd energi'!$B$1:$AQ$1,0),FALSE)</f>
        <v>0</v>
      </c>
      <c r="G19" s="31">
        <f>VLOOKUP($B19,'Tillförd energi'!$B$1:$AI$720,MATCH(G$1,'Tillförd energi'!$B$1:$AQ$1,0),FALSE)</f>
        <v>0</v>
      </c>
      <c r="H19" s="31">
        <f>VLOOKUP($B19,'Tillförd energi'!$B$1:$AI$720,MATCH(H$1,'Tillförd energi'!$B$1:$AQ$1,0),FALSE)</f>
        <v>0</v>
      </c>
      <c r="I19" s="31">
        <f>VLOOKUP($B19,'Tillförd energi'!$B$1:$AI$720,MATCH(I$1,'Tillförd energi'!$B$1:$AQ$1,0),FALSE)</f>
        <v>0</v>
      </c>
      <c r="J19" s="31">
        <f>VLOOKUP($B19,'Tillförd energi'!$B$1:$AI$720,MATCH(J$1,'Tillförd energi'!$B$1:$AQ$1,0),FALSE)</f>
        <v>0</v>
      </c>
      <c r="K19" s="31">
        <f>VLOOKUP($B19,'Tillförd energi'!$B$1:$AI$720,MATCH(K$1,'Tillförd energi'!$B$1:$AQ$1,0),FALSE)</f>
        <v>0</v>
      </c>
      <c r="L19" s="31">
        <f>VLOOKUP($B19,'Tillförd energi'!$B$1:$AI$720,MATCH(L$1,'Tillförd energi'!$B$1:$AQ$1,0),FALSE)</f>
        <v>0</v>
      </c>
      <c r="M19" s="31">
        <f>VLOOKUP($B19,'Tillförd energi'!$B$1:$AI$720,MATCH(M$1,'Tillförd energi'!$B$1:$AQ$1,0),FALSE)</f>
        <v>0</v>
      </c>
      <c r="N19" s="31">
        <f>VLOOKUP($B19,'Tillförd energi'!$B$1:$AI$720,MATCH(N$1,'Tillförd energi'!$B$1:$AQ$1,0),FALSE)</f>
        <v>0</v>
      </c>
      <c r="O19" s="31">
        <f>VLOOKUP($B19,'Tillförd energi'!$B$1:$AI$720,MATCH(O$1,'Tillförd energi'!$B$1:$AQ$1,0),FALSE)</f>
        <v>0</v>
      </c>
      <c r="P19" s="31">
        <f>VLOOKUP($B19,'Tillförd energi'!$B$1:$AI$720,MATCH(P$1,'Tillförd energi'!$B$1:$AQ$1,0),FALSE)</f>
        <v>0</v>
      </c>
      <c r="Q19" s="31">
        <f>VLOOKUP($B19,'Tillförd energi'!$B$1:$AI$720,MATCH(Q$1,'Tillförd energi'!$B$1:$AQ$1,0),FALSE)</f>
        <v>21.321999999999999</v>
      </c>
      <c r="R19" s="31">
        <f>VLOOKUP($B19,'Tillförd energi'!$B$1:$AI$720,MATCH(R$1,'Tillförd energi'!$B$1:$AQ$1,0),FALSE)</f>
        <v>0</v>
      </c>
      <c r="S19" s="31">
        <f>VLOOKUP($B19,'Tillförd energi'!$B$1:$AI$720,MATCH(S$1,'Tillförd energi'!$B$1:$AQ$1,0),FALSE)</f>
        <v>0</v>
      </c>
      <c r="T19" s="31">
        <f>VLOOKUP($B19,'Tillförd energi'!$B$1:$AI$720,MATCH(T$1,'Tillförd energi'!$B$1:$AQ$1,0),FALSE)</f>
        <v>0</v>
      </c>
      <c r="U19" s="31">
        <f>VLOOKUP($B19,'Tillförd energi'!$B$1:$AI$720,MATCH(U$1,'Tillförd energi'!$B$1:$AQ$1,0),FALSE)</f>
        <v>0</v>
      </c>
      <c r="V19" s="31">
        <f>VLOOKUP($B19,'Tillförd energi'!$B$1:$AI$720,MATCH(V$1,'Tillförd energi'!$B$1:$AQ$1,0),FALSE)</f>
        <v>0</v>
      </c>
      <c r="W19" s="31">
        <f>VLOOKUP($B19,'Tillförd energi'!$B$1:$AI$720,MATCH(W$1,'Tillförd energi'!$B$1:$AQ$1,0),FALSE)</f>
        <v>0</v>
      </c>
      <c r="X19" s="31">
        <f>VLOOKUP($B19,'Tillförd energi'!$B$1:$AI$720,MATCH(X$1,'Tillförd energi'!$B$1:$AQ$1,0),FALSE)</f>
        <v>0</v>
      </c>
      <c r="Y19" s="31">
        <f>VLOOKUP($B19,'Tillförd energi'!$B$1:$AI$720,MATCH(Y$1,'Tillförd energi'!$B$1:$AQ$1,0),FALSE)</f>
        <v>0</v>
      </c>
      <c r="Z19" s="31">
        <f>VLOOKUP($B19,'Tillförd energi'!$B$1:$AI$720,MATCH(Z$1,'Tillförd energi'!$B$1:$AQ$1,0),FALSE)</f>
        <v>0</v>
      </c>
      <c r="AA19" s="31">
        <f>VLOOKUP($B19,'Tillförd energi'!$B$1:$AI$720,MATCH(AA$1,'Tillförd energi'!$B$1:$AQ$1,0),FALSE)</f>
        <v>0</v>
      </c>
      <c r="AB19" s="31">
        <f>VLOOKUP($B19,'Tillförd energi'!$B$1:$AI$720,MATCH(AB$1,'Tillförd energi'!$B$1:$AQ$1,0),FALSE)</f>
        <v>0</v>
      </c>
      <c r="AC19" s="31">
        <f>VLOOKUP($B19,'Tillförd energi'!$B$1:$AI$720,MATCH(AC$1,'Tillförd energi'!$B$1:$AQ$1,0),FALSE)</f>
        <v>0</v>
      </c>
      <c r="AD19" s="31">
        <f>VLOOKUP($B19,'Tillförd energi'!$B$1:$AI$720,MATCH(AD$1,'Tillförd energi'!$B$1:$AQ$1,0),FALSE)</f>
        <v>0</v>
      </c>
      <c r="AE19" s="31">
        <f>VLOOKUP($B19,'Tillförd energi'!$B$1:$AI$720,MATCH(AE$1,'Tillförd energi'!$B$1:$AQ$1,0),FALSE)</f>
        <v>0</v>
      </c>
      <c r="AF19" s="31">
        <f>VLOOKUP($B19,'Tillförd energi'!$B$1:$AI$720,MATCH(AF$1,'Tillförd energi'!$B$1:$AQ$1,0),FALSE)</f>
        <v>0.40899999999999997</v>
      </c>
      <c r="AG19" s="31">
        <f>IFERROR(VLOOKUP(B19,Miljö!$B$1:$AC$550,MATCH("Köpt mängd produktionsspecifik fjärrvärme:",Miljö!$B$1:$AC$1,0),FALSE)/1,0)</f>
        <v>0</v>
      </c>
      <c r="AI19" s="31">
        <f t="shared" si="0"/>
        <v>21.880999999999997</v>
      </c>
      <c r="AJ19" s="31">
        <f t="shared" si="1"/>
        <v>21.880999999999997</v>
      </c>
      <c r="AK19" s="31">
        <f>IF(ISERROR(1/VLOOKUP($B19,Leveranser!$B$1:$S$499,MATCH("Såld värme (GWh)",Leveranser!$B$1:$S$1,0),FALSE)),"",VLOOKUP($B19,Leveranser!$B$1:$S$499,MATCH("Såld värme (GWh)",Leveranser!$B$1:$S$1,0),FALSE))</f>
        <v>15.265000000000001</v>
      </c>
      <c r="AL19" s="31">
        <f>VLOOKUP($B19,Leveranser!$B$1:$Y$499,MATCH("Totalt såld fjärrvärme till andra fjärrvärmeföretag",Leveranser!$B$1:$AA$1,0),FALSE)</f>
        <v>0</v>
      </c>
      <c r="AM19" s="31">
        <f>IF(ISERROR(1/VLOOKUP($B19,Miljö!$B$1:$S$500,MATCH("Såld mängd produktionsspecifik fjärrvärme (GWh)",Miljö!$B$1:$R$1,0),FALSE)),0,VLOOKUP($B19,Miljö!$B$1:$S$500,MATCH("Såld mängd produktionsspecifik fjärrvärme (GWh)",Miljö!$B$1:$R$1,0),FALSE))</f>
        <v>0</v>
      </c>
      <c r="AN19" s="32">
        <f t="shared" si="2"/>
        <v>0.69763721950550717</v>
      </c>
      <c r="AP19" s="31" t="str">
        <f>IFERROR(VLOOKUP($B19,Miljövärden!$B$2:$H$550,7,FALSE),"Nej, saknas")</f>
        <v>Ja</v>
      </c>
      <c r="AQ19" s="31" t="str">
        <f>IFERROR(VLOOKUP($B19,Miljövärden!$B$2:$H$551,6,FALSE),"Nej, saknas")</f>
        <v>Ja</v>
      </c>
      <c r="AU19" s="31">
        <f t="shared" si="3"/>
        <v>0.40899999999999997</v>
      </c>
      <c r="AV19" s="31">
        <f t="shared" si="4"/>
        <v>0</v>
      </c>
      <c r="AW19" s="31">
        <f t="shared" si="5"/>
        <v>21.321999999999999</v>
      </c>
      <c r="AX19" s="31">
        <f t="shared" si="6"/>
        <v>0</v>
      </c>
      <c r="AZ19" s="31">
        <f t="shared" si="7"/>
        <v>21.321999999999999</v>
      </c>
      <c r="BC19" s="31">
        <f t="shared" si="8"/>
        <v>0.15</v>
      </c>
      <c r="BD19" s="31">
        <f t="shared" si="9"/>
        <v>0</v>
      </c>
      <c r="BE19" s="31">
        <f t="shared" si="10"/>
        <v>21.321999999999999</v>
      </c>
      <c r="BF19" s="31">
        <f t="shared" si="11"/>
        <v>0</v>
      </c>
      <c r="BG19" s="31">
        <f t="shared" si="12"/>
        <v>0.40899999999999997</v>
      </c>
      <c r="BH19" s="31">
        <f>VLOOKUP(B19,Miljö!$B$1:$BX$482,MATCH("Fossilandel för ursprungspecificerad el ()",Miljö!$B$1:$I$1,0),FALSE)</f>
        <v>0</v>
      </c>
      <c r="BI19" s="31">
        <f>VLOOKUP(B19,Miljö!$B$1:$BX$482,MATCH("Kärnkraftsandel för ursprungsspecificerad el ()",Miljö!$B$1:$O$1,0),FALSE)</f>
        <v>1</v>
      </c>
      <c r="BJ19" s="31">
        <f t="shared" si="13"/>
        <v>0</v>
      </c>
      <c r="BK19" s="31" t="str">
        <f>VLOOKUP(B19,Miljö!$B$1:$P$482,MATCH("Fossil andel i procent (%)",Miljö!$B$1:$P$1,0),FALSE)</f>
        <v>ET</v>
      </c>
      <c r="BL19" s="31">
        <f t="shared" si="14"/>
        <v>21.880999999999997</v>
      </c>
      <c r="BO19" s="32">
        <f t="shared" si="22"/>
        <v>6.8552625565559168E-3</v>
      </c>
      <c r="BP19" s="32">
        <f t="shared" si="15"/>
        <v>1.8692015904209134E-2</v>
      </c>
      <c r="BQ19" s="32">
        <f t="shared" si="16"/>
        <v>0.97445272153923501</v>
      </c>
      <c r="BR19" s="32">
        <f t="shared" si="17"/>
        <v>0</v>
      </c>
      <c r="BT19" s="62">
        <f t="shared" si="18"/>
        <v>1</v>
      </c>
      <c r="BW19" s="32">
        <f>IF(AP19="Ja",VLOOKUP(B19,Miljövärden!$B$2:$H$551,MATCH("Total andel fossilt",Miljövärden!$B$2:$H$2,0),FALSE),"")</f>
        <v>6.8552600000000002E-3</v>
      </c>
      <c r="BX19" s="62">
        <f t="shared" si="19"/>
        <v>-2.5565559166190743E-9</v>
      </c>
      <c r="BZ19" s="31">
        <f t="shared" si="20"/>
        <v>-2.5565559166190743E-9</v>
      </c>
      <c r="CA19" s="32">
        <f t="shared" si="21"/>
        <v>0</v>
      </c>
    </row>
    <row r="20" spans="1:79" x14ac:dyDescent="0.45">
      <c r="A20" s="31" t="s">
        <v>672</v>
      </c>
      <c r="B20" s="31" t="s">
        <v>671</v>
      </c>
      <c r="C20" s="31">
        <f>VLOOKUP($B20,'Tillförd energi'!$B$1:$AI$720,MATCH(C$1,'Tillförd energi'!$B$1:$AQ$1,0),FALSE)</f>
        <v>0</v>
      </c>
      <c r="D20" s="31">
        <f>VLOOKUP($B20,'Tillförd energi'!$B$1:$AI$720,MATCH(D$1,'Tillförd energi'!$B$1:$AQ$1,0),FALSE)</f>
        <v>0.11799999999999999</v>
      </c>
      <c r="E20" s="31">
        <f>VLOOKUP($B20,'Tillförd energi'!$B$1:$AI$720,MATCH(E$1,'Tillförd energi'!$B$1:$AQ$1,0),FALSE)</f>
        <v>0</v>
      </c>
      <c r="F20" s="31">
        <f>VLOOKUP($B20,'Tillförd energi'!$B$1:$AI$720,MATCH(F$1,'Tillförd energi'!$B$1:$AQ$1,0),FALSE)</f>
        <v>0</v>
      </c>
      <c r="G20" s="31">
        <f>VLOOKUP($B20,'Tillförd energi'!$B$1:$AI$720,MATCH(G$1,'Tillförd energi'!$B$1:$AQ$1,0),FALSE)</f>
        <v>0</v>
      </c>
      <c r="H20" s="31">
        <f>VLOOKUP($B20,'Tillförd energi'!$B$1:$AI$720,MATCH(H$1,'Tillförd energi'!$B$1:$AQ$1,0),FALSE)</f>
        <v>0</v>
      </c>
      <c r="I20" s="31">
        <f>VLOOKUP($B20,'Tillförd energi'!$B$1:$AI$720,MATCH(I$1,'Tillförd energi'!$B$1:$AQ$1,0),FALSE)</f>
        <v>0</v>
      </c>
      <c r="J20" s="31">
        <f>VLOOKUP($B20,'Tillförd energi'!$B$1:$AI$720,MATCH(J$1,'Tillförd energi'!$B$1:$AQ$1,0),FALSE)</f>
        <v>0</v>
      </c>
      <c r="K20" s="31">
        <f>VLOOKUP($B20,'Tillförd energi'!$B$1:$AI$720,MATCH(K$1,'Tillförd energi'!$B$1:$AQ$1,0),FALSE)</f>
        <v>0</v>
      </c>
      <c r="L20" s="31">
        <f>VLOOKUP($B20,'Tillförd energi'!$B$1:$AI$720,MATCH(L$1,'Tillförd energi'!$B$1:$AQ$1,0),FALSE)</f>
        <v>0</v>
      </c>
      <c r="M20" s="31">
        <f>VLOOKUP($B20,'Tillförd energi'!$B$1:$AI$720,MATCH(M$1,'Tillförd energi'!$B$1:$AQ$1,0),FALSE)</f>
        <v>0</v>
      </c>
      <c r="N20" s="31">
        <f>VLOOKUP($B20,'Tillförd energi'!$B$1:$AI$720,MATCH(N$1,'Tillförd energi'!$B$1:$AQ$1,0),FALSE)</f>
        <v>0</v>
      </c>
      <c r="O20" s="31">
        <f>VLOOKUP($B20,'Tillförd energi'!$B$1:$AI$720,MATCH(O$1,'Tillförd energi'!$B$1:$AQ$1,0),FALSE)</f>
        <v>0</v>
      </c>
      <c r="P20" s="31">
        <f>VLOOKUP($B20,'Tillförd energi'!$B$1:$AI$720,MATCH(P$1,'Tillförd energi'!$B$1:$AQ$1,0),FALSE)</f>
        <v>0</v>
      </c>
      <c r="Q20" s="31">
        <f>VLOOKUP($B20,'Tillförd energi'!$B$1:$AI$720,MATCH(Q$1,'Tillförd energi'!$B$1:$AQ$1,0),FALSE)</f>
        <v>4.49</v>
      </c>
      <c r="R20" s="31">
        <f>VLOOKUP($B20,'Tillförd energi'!$B$1:$AI$720,MATCH(R$1,'Tillförd energi'!$B$1:$AQ$1,0),FALSE)</f>
        <v>0</v>
      </c>
      <c r="S20" s="31">
        <f>VLOOKUP($B20,'Tillförd energi'!$B$1:$AI$720,MATCH(S$1,'Tillförd energi'!$B$1:$AQ$1,0),FALSE)</f>
        <v>0</v>
      </c>
      <c r="T20" s="31">
        <f>VLOOKUP($B20,'Tillförd energi'!$B$1:$AI$720,MATCH(T$1,'Tillförd energi'!$B$1:$AQ$1,0),FALSE)</f>
        <v>0</v>
      </c>
      <c r="U20" s="31">
        <f>VLOOKUP($B20,'Tillförd energi'!$B$1:$AI$720,MATCH(U$1,'Tillförd energi'!$B$1:$AQ$1,0),FALSE)</f>
        <v>0</v>
      </c>
      <c r="V20" s="31">
        <f>VLOOKUP($B20,'Tillförd energi'!$B$1:$AI$720,MATCH(V$1,'Tillförd energi'!$B$1:$AQ$1,0),FALSE)</f>
        <v>0</v>
      </c>
      <c r="W20" s="31">
        <f>VLOOKUP($B20,'Tillförd energi'!$B$1:$AI$720,MATCH(W$1,'Tillförd energi'!$B$1:$AQ$1,0),FALSE)</f>
        <v>0</v>
      </c>
      <c r="X20" s="31">
        <f>VLOOKUP($B20,'Tillförd energi'!$B$1:$AI$720,MATCH(X$1,'Tillförd energi'!$B$1:$AQ$1,0),FALSE)</f>
        <v>0</v>
      </c>
      <c r="Y20" s="31">
        <f>VLOOKUP($B20,'Tillförd energi'!$B$1:$AI$720,MATCH(Y$1,'Tillförd energi'!$B$1:$AQ$1,0),FALSE)</f>
        <v>0</v>
      </c>
      <c r="Z20" s="31">
        <f>VLOOKUP($B20,'Tillförd energi'!$B$1:$AI$720,MATCH(Z$1,'Tillförd energi'!$B$1:$AQ$1,0),FALSE)</f>
        <v>0</v>
      </c>
      <c r="AA20" s="31">
        <f>VLOOKUP($B20,'Tillförd energi'!$B$1:$AI$720,MATCH(AA$1,'Tillförd energi'!$B$1:$AQ$1,0),FALSE)</f>
        <v>0</v>
      </c>
      <c r="AB20" s="31">
        <f>VLOOKUP($B20,'Tillförd energi'!$B$1:$AI$720,MATCH(AB$1,'Tillförd energi'!$B$1:$AQ$1,0),FALSE)</f>
        <v>0</v>
      </c>
      <c r="AC20" s="31">
        <f>VLOOKUP($B20,'Tillförd energi'!$B$1:$AI$720,MATCH(AC$1,'Tillförd energi'!$B$1:$AQ$1,0),FALSE)</f>
        <v>0</v>
      </c>
      <c r="AD20" s="31">
        <f>VLOOKUP($B20,'Tillförd energi'!$B$1:$AI$720,MATCH(AD$1,'Tillförd energi'!$B$1:$AQ$1,0),FALSE)</f>
        <v>0</v>
      </c>
      <c r="AE20" s="31">
        <f>VLOOKUP($B20,'Tillförd energi'!$B$1:$AI$720,MATCH(AE$1,'Tillförd energi'!$B$1:$AQ$1,0),FALSE)</f>
        <v>0</v>
      </c>
      <c r="AF20" s="31">
        <f>VLOOKUP($B20,'Tillförd energi'!$B$1:$AI$720,MATCH(AF$1,'Tillförd energi'!$B$1:$AQ$1,0),FALSE)</f>
        <v>8.1000000000000003E-2</v>
      </c>
      <c r="AG20" s="31">
        <f>IFERROR(VLOOKUP(B20,Miljö!$B$1:$AC$550,MATCH("Köpt mängd produktionsspecifik fjärrvärme:",Miljö!$B$1:$AC$1,0),FALSE)/1,0)</f>
        <v>0</v>
      </c>
      <c r="AI20" s="31">
        <f t="shared" si="0"/>
        <v>4.6890000000000009</v>
      </c>
      <c r="AJ20" s="31">
        <f t="shared" si="1"/>
        <v>4.6890000000000009</v>
      </c>
      <c r="AK20" s="31">
        <f>IF(ISERROR(1/VLOOKUP($B20,Leveranser!$B$1:$S$499,MATCH("Såld värme (GWh)",Leveranser!$B$1:$S$1,0),FALSE)),"",VLOOKUP($B20,Leveranser!$B$1:$S$499,MATCH("Såld värme (GWh)",Leveranser!$B$1:$S$1,0),FALSE))</f>
        <v>3.1920000000000002</v>
      </c>
      <c r="AL20" s="31">
        <f>VLOOKUP($B20,Leveranser!$B$1:$Y$499,MATCH("Totalt såld fjärrvärme till andra fjärrvärmeföretag",Leveranser!$B$1:$AA$1,0),FALSE)</f>
        <v>0</v>
      </c>
      <c r="AM20" s="31">
        <f>IF(ISERROR(1/VLOOKUP($B20,Miljö!$B$1:$S$500,MATCH("Såld mängd produktionsspecifik fjärrvärme (GWh)",Miljö!$B$1:$R$1,0),FALSE)),0,VLOOKUP($B20,Miljö!$B$1:$S$500,MATCH("Såld mängd produktionsspecifik fjärrvärme (GWh)",Miljö!$B$1:$R$1,0),FALSE))</f>
        <v>0</v>
      </c>
      <c r="AN20" s="32">
        <f t="shared" si="2"/>
        <v>0.68074216250799735</v>
      </c>
      <c r="AP20" s="31" t="str">
        <f>IFERROR(VLOOKUP($B20,Miljövärden!$B$2:$H$550,7,FALSE),"Nej, saknas")</f>
        <v>Ja</v>
      </c>
      <c r="AQ20" s="31" t="str">
        <f>IFERROR(VLOOKUP($B20,Miljövärden!$B$2:$H$551,6,FALSE),"Nej, saknas")</f>
        <v>Nej</v>
      </c>
      <c r="AU20" s="31">
        <f t="shared" si="3"/>
        <v>8.1000000000000003E-2</v>
      </c>
      <c r="AV20" s="31">
        <f t="shared" si="4"/>
        <v>0</v>
      </c>
      <c r="AW20" s="31">
        <f t="shared" si="5"/>
        <v>4.49</v>
      </c>
      <c r="AX20" s="31">
        <f t="shared" si="6"/>
        <v>0</v>
      </c>
      <c r="AZ20" s="31">
        <f t="shared" si="7"/>
        <v>4.49</v>
      </c>
      <c r="BC20" s="31">
        <f t="shared" si="8"/>
        <v>0.11799999999999999</v>
      </c>
      <c r="BD20" s="31">
        <f t="shared" si="9"/>
        <v>0</v>
      </c>
      <c r="BE20" s="31">
        <f t="shared" si="10"/>
        <v>4.49</v>
      </c>
      <c r="BF20" s="31">
        <f t="shared" si="11"/>
        <v>0</v>
      </c>
      <c r="BG20" s="31">
        <f t="shared" si="12"/>
        <v>8.1000000000000003E-2</v>
      </c>
      <c r="BH20" s="31">
        <f>VLOOKUP(B20,Miljö!$B$1:$BX$482,MATCH("Fossilandel för ursprungspecificerad el ()",Miljö!$B$1:$I$1,0),FALSE)</f>
        <v>0</v>
      </c>
      <c r="BI20" s="31">
        <f>VLOOKUP(B20,Miljö!$B$1:$BX$482,MATCH("Kärnkraftsandel för ursprungsspecificerad el ()",Miljö!$B$1:$O$1,0),FALSE)</f>
        <v>1</v>
      </c>
      <c r="BJ20" s="31">
        <f t="shared" si="13"/>
        <v>0</v>
      </c>
      <c r="BK20" s="31" t="str">
        <f>VLOOKUP(B20,Miljö!$B$1:$P$482,MATCH("Fossil andel i procent (%)",Miljö!$B$1:$P$1,0),FALSE)</f>
        <v>ET</v>
      </c>
      <c r="BL20" s="31">
        <f t="shared" si="14"/>
        <v>4.6890000000000009</v>
      </c>
      <c r="BO20" s="32">
        <f t="shared" si="22"/>
        <v>2.5165280443591377E-2</v>
      </c>
      <c r="BP20" s="32">
        <f t="shared" si="15"/>
        <v>1.7274472168905947E-2</v>
      </c>
      <c r="BQ20" s="32">
        <f t="shared" si="16"/>
        <v>0.95756024738750256</v>
      </c>
      <c r="BR20" s="32">
        <f t="shared" si="17"/>
        <v>0</v>
      </c>
      <c r="BT20" s="62">
        <f t="shared" si="18"/>
        <v>0.99999999999999989</v>
      </c>
      <c r="BW20" s="32">
        <f>IF(AP20="Ja",VLOOKUP(B20,Miljövärden!$B$2:$H$551,MATCH("Total andel fossilt",Miljövärden!$B$2:$H$2,0),FALSE),"")</f>
        <v>2.5165300000000002E-2</v>
      </c>
      <c r="BX20" s="62">
        <f t="shared" si="19"/>
        <v>1.9556408624443744E-8</v>
      </c>
      <c r="BZ20" s="31">
        <f t="shared" si="20"/>
        <v>1.9556408624443744E-8</v>
      </c>
      <c r="CA20" s="32">
        <f t="shared" si="21"/>
        <v>0</v>
      </c>
    </row>
    <row r="21" spans="1:79" x14ac:dyDescent="0.45">
      <c r="A21" s="31" t="s">
        <v>666</v>
      </c>
      <c r="B21" s="31" t="s">
        <v>669</v>
      </c>
      <c r="C21" s="31">
        <f>VLOOKUP($B21,'Tillförd energi'!$B$1:$AI$720,MATCH(C$1,'Tillförd energi'!$B$1:$AQ$1,0),FALSE)</f>
        <v>0</v>
      </c>
      <c r="D21" s="31">
        <f>VLOOKUP($B21,'Tillförd energi'!$B$1:$AI$720,MATCH(D$1,'Tillförd energi'!$B$1:$AQ$1,0),FALSE)</f>
        <v>8.1000000000000003E-2</v>
      </c>
      <c r="E21" s="31">
        <f>VLOOKUP($B21,'Tillförd energi'!$B$1:$AI$720,MATCH(E$1,'Tillförd energi'!$B$1:$AQ$1,0),FALSE)</f>
        <v>0</v>
      </c>
      <c r="F21" s="31">
        <f>VLOOKUP($B21,'Tillförd energi'!$B$1:$AI$720,MATCH(F$1,'Tillförd energi'!$B$1:$AQ$1,0),FALSE)</f>
        <v>0</v>
      </c>
      <c r="G21" s="31">
        <f>VLOOKUP($B21,'Tillförd energi'!$B$1:$AI$720,MATCH(G$1,'Tillförd energi'!$B$1:$AQ$1,0),FALSE)</f>
        <v>0</v>
      </c>
      <c r="H21" s="31">
        <f>VLOOKUP($B21,'Tillförd energi'!$B$1:$AI$720,MATCH(H$1,'Tillförd energi'!$B$1:$AQ$1,0),FALSE)</f>
        <v>0</v>
      </c>
      <c r="I21" s="31">
        <f>VLOOKUP($B21,'Tillförd energi'!$B$1:$AI$720,MATCH(I$1,'Tillförd energi'!$B$1:$AQ$1,0),FALSE)</f>
        <v>0</v>
      </c>
      <c r="J21" s="31">
        <f>VLOOKUP($B21,'Tillförd energi'!$B$1:$AI$720,MATCH(J$1,'Tillförd energi'!$B$1:$AQ$1,0),FALSE)</f>
        <v>0</v>
      </c>
      <c r="K21" s="31">
        <f>VLOOKUP($B21,'Tillförd energi'!$B$1:$AI$720,MATCH(K$1,'Tillförd energi'!$B$1:$AQ$1,0),FALSE)</f>
        <v>0</v>
      </c>
      <c r="L21" s="31">
        <f>VLOOKUP($B21,'Tillförd energi'!$B$1:$AI$720,MATCH(L$1,'Tillförd energi'!$B$1:$AQ$1,0),FALSE)</f>
        <v>0</v>
      </c>
      <c r="M21" s="31">
        <f>VLOOKUP($B21,'Tillförd energi'!$B$1:$AI$720,MATCH(M$1,'Tillförd energi'!$B$1:$AQ$1,0),FALSE)</f>
        <v>0</v>
      </c>
      <c r="N21" s="31">
        <f>VLOOKUP($B21,'Tillförd energi'!$B$1:$AI$720,MATCH(N$1,'Tillförd energi'!$B$1:$AQ$1,0),FALSE)</f>
        <v>0</v>
      </c>
      <c r="O21" s="31">
        <f>VLOOKUP($B21,'Tillförd energi'!$B$1:$AI$720,MATCH(O$1,'Tillförd energi'!$B$1:$AQ$1,0),FALSE)</f>
        <v>0</v>
      </c>
      <c r="P21" s="31">
        <f>VLOOKUP($B21,'Tillförd energi'!$B$1:$AI$720,MATCH(P$1,'Tillförd energi'!$B$1:$AQ$1,0),FALSE)</f>
        <v>0</v>
      </c>
      <c r="Q21" s="31">
        <f>VLOOKUP($B21,'Tillförd energi'!$B$1:$AI$720,MATCH(Q$1,'Tillförd energi'!$B$1:$AQ$1,0),FALSE)</f>
        <v>0</v>
      </c>
      <c r="R21" s="31">
        <f>VLOOKUP($B21,'Tillförd energi'!$B$1:$AI$720,MATCH(R$1,'Tillförd energi'!$B$1:$AQ$1,0),FALSE)</f>
        <v>6.8440000000000003</v>
      </c>
      <c r="S21" s="31">
        <f>VLOOKUP($B21,'Tillförd energi'!$B$1:$AI$720,MATCH(S$1,'Tillförd energi'!$B$1:$AQ$1,0),FALSE)</f>
        <v>0</v>
      </c>
      <c r="T21" s="31">
        <f>VLOOKUP($B21,'Tillförd energi'!$B$1:$AI$720,MATCH(T$1,'Tillförd energi'!$B$1:$AQ$1,0),FALSE)</f>
        <v>0</v>
      </c>
      <c r="U21" s="31">
        <f>VLOOKUP($B21,'Tillförd energi'!$B$1:$AI$720,MATCH(U$1,'Tillförd energi'!$B$1:$AQ$1,0),FALSE)</f>
        <v>0</v>
      </c>
      <c r="V21" s="31">
        <f>VLOOKUP($B21,'Tillförd energi'!$B$1:$AI$720,MATCH(V$1,'Tillförd energi'!$B$1:$AQ$1,0),FALSE)</f>
        <v>0</v>
      </c>
      <c r="W21" s="31">
        <f>VLOOKUP($B21,'Tillförd energi'!$B$1:$AI$720,MATCH(W$1,'Tillförd energi'!$B$1:$AQ$1,0),FALSE)</f>
        <v>0</v>
      </c>
      <c r="X21" s="31">
        <f>VLOOKUP($B21,'Tillförd energi'!$B$1:$AI$720,MATCH(X$1,'Tillförd energi'!$B$1:$AQ$1,0),FALSE)</f>
        <v>0</v>
      </c>
      <c r="Y21" s="31">
        <f>VLOOKUP($B21,'Tillförd energi'!$B$1:$AI$720,MATCH(Y$1,'Tillförd energi'!$B$1:$AQ$1,0),FALSE)</f>
        <v>0</v>
      </c>
      <c r="Z21" s="31">
        <f>VLOOKUP($B21,'Tillförd energi'!$B$1:$AI$720,MATCH(Z$1,'Tillförd energi'!$B$1:$AQ$1,0),FALSE)</f>
        <v>0</v>
      </c>
      <c r="AA21" s="31">
        <f>VLOOKUP($B21,'Tillförd energi'!$B$1:$AI$720,MATCH(AA$1,'Tillförd energi'!$B$1:$AQ$1,0),FALSE)</f>
        <v>0</v>
      </c>
      <c r="AB21" s="31">
        <f>VLOOKUP($B21,'Tillförd energi'!$B$1:$AI$720,MATCH(AB$1,'Tillförd energi'!$B$1:$AQ$1,0),FALSE)</f>
        <v>0</v>
      </c>
      <c r="AC21" s="31">
        <f>VLOOKUP($B21,'Tillförd energi'!$B$1:$AI$720,MATCH(AC$1,'Tillförd energi'!$B$1:$AQ$1,0),FALSE)</f>
        <v>0</v>
      </c>
      <c r="AD21" s="31">
        <f>VLOOKUP($B21,'Tillförd energi'!$B$1:$AI$720,MATCH(AD$1,'Tillförd energi'!$B$1:$AQ$1,0),FALSE)</f>
        <v>0</v>
      </c>
      <c r="AE21" s="31">
        <f>VLOOKUP($B21,'Tillförd energi'!$B$1:$AI$720,MATCH(AE$1,'Tillförd energi'!$B$1:$AQ$1,0),FALSE)</f>
        <v>0</v>
      </c>
      <c r="AF21" s="31">
        <f>VLOOKUP($B21,'Tillförd energi'!$B$1:$AI$720,MATCH(AF$1,'Tillförd energi'!$B$1:$AQ$1,0),FALSE)</f>
        <v>0.106</v>
      </c>
      <c r="AG21" s="31">
        <f>IFERROR(VLOOKUP(B21,Miljö!$B$1:$AC$550,MATCH("Köpt mängd produktionsspecifik fjärrvärme:",Miljö!$B$1:$AC$1,0),FALSE)/1,0)</f>
        <v>0</v>
      </c>
      <c r="AI21" s="31">
        <f t="shared" si="0"/>
        <v>7.0310000000000006</v>
      </c>
      <c r="AJ21" s="31">
        <f t="shared" si="1"/>
        <v>7.0310000000000006</v>
      </c>
      <c r="AK21" s="31">
        <f>IF(ISERROR(1/VLOOKUP($B21,Leveranser!$B$1:$S$499,MATCH("Såld värme (GWh)",Leveranser!$B$1:$S$1,0),FALSE)),"",VLOOKUP($B21,Leveranser!$B$1:$S$499,MATCH("Såld värme (GWh)",Leveranser!$B$1:$S$1,0),FALSE))</f>
        <v>5</v>
      </c>
      <c r="AL21" s="31">
        <f>VLOOKUP($B21,Leveranser!$B$1:$Y$499,MATCH("Totalt såld fjärrvärme till andra fjärrvärmeföretag",Leveranser!$B$1:$AA$1,0),FALSE)</f>
        <v>0</v>
      </c>
      <c r="AM21" s="31">
        <f>IF(ISERROR(1/VLOOKUP($B21,Miljö!$B$1:$S$500,MATCH("Såld mängd produktionsspecifik fjärrvärme (GWh)",Miljö!$B$1:$R$1,0),FALSE)),0,VLOOKUP($B21,Miljö!$B$1:$S$500,MATCH("Såld mängd produktionsspecifik fjärrvärme (GWh)",Miljö!$B$1:$R$1,0),FALSE))</f>
        <v>0</v>
      </c>
      <c r="AN21" s="32">
        <f t="shared" si="2"/>
        <v>0.71113639596074518</v>
      </c>
      <c r="AP21" s="31" t="str">
        <f>IFERROR(VLOOKUP($B21,Miljövärden!$B$2:$H$550,7,FALSE),"Nej, saknas")</f>
        <v>Ja</v>
      </c>
      <c r="AQ21" s="31" t="str">
        <f>IFERROR(VLOOKUP($B21,Miljövärden!$B$2:$H$551,6,FALSE),"Nej, saknas")</f>
        <v>Nej</v>
      </c>
      <c r="AU21" s="31">
        <f t="shared" si="3"/>
        <v>0.106</v>
      </c>
      <c r="AV21" s="31">
        <f t="shared" si="4"/>
        <v>0</v>
      </c>
      <c r="AW21" s="31">
        <f t="shared" si="5"/>
        <v>0</v>
      </c>
      <c r="AX21" s="31">
        <f t="shared" si="6"/>
        <v>6.8440000000000003</v>
      </c>
      <c r="AZ21" s="31">
        <f t="shared" si="7"/>
        <v>6.8440000000000003</v>
      </c>
      <c r="BC21" s="31">
        <f t="shared" si="8"/>
        <v>8.1000000000000003E-2</v>
      </c>
      <c r="BD21" s="31">
        <f t="shared" si="9"/>
        <v>0</v>
      </c>
      <c r="BE21" s="31">
        <f t="shared" si="10"/>
        <v>6.8440000000000003</v>
      </c>
      <c r="BF21" s="31">
        <f t="shared" si="11"/>
        <v>0</v>
      </c>
      <c r="BG21" s="31">
        <f t="shared" si="12"/>
        <v>0.106</v>
      </c>
      <c r="BH21" s="31">
        <f>VLOOKUP(B21,Miljö!$B$1:$BX$482,MATCH("Fossilandel för ursprungspecificerad el ()",Miljö!$B$1:$I$1,0),FALSE)</f>
        <v>0</v>
      </c>
      <c r="BI21" s="31">
        <f>VLOOKUP(B21,Miljö!$B$1:$BX$482,MATCH("Kärnkraftsandel för ursprungsspecificerad el ()",Miljö!$B$1:$O$1,0),FALSE)</f>
        <v>0</v>
      </c>
      <c r="BJ21" s="31">
        <f t="shared" si="13"/>
        <v>0</v>
      </c>
      <c r="BK21" s="31" t="str">
        <f>VLOOKUP(B21,Miljö!$B$1:$P$482,MATCH("Fossil andel i procent (%)",Miljö!$B$1:$P$1,0),FALSE)</f>
        <v>ET</v>
      </c>
      <c r="BL21" s="31">
        <f t="shared" si="14"/>
        <v>7.0310000000000006</v>
      </c>
      <c r="BO21" s="32">
        <f t="shared" si="22"/>
        <v>1.1520409614564072E-2</v>
      </c>
      <c r="BP21" s="32">
        <f t="shared" si="15"/>
        <v>0</v>
      </c>
      <c r="BQ21" s="32">
        <f t="shared" si="16"/>
        <v>0.98847959038543587</v>
      </c>
      <c r="BR21" s="32">
        <f t="shared" si="17"/>
        <v>0</v>
      </c>
      <c r="BT21" s="62">
        <f t="shared" si="18"/>
        <v>0.99999999999999989</v>
      </c>
      <c r="BW21" s="32">
        <f>IF(AP21="Ja",VLOOKUP(B21,Miljövärden!$B$2:$H$551,MATCH("Total andel fossilt",Miljövärden!$B$2:$H$2,0),FALSE),"")</f>
        <v>1.15204E-2</v>
      </c>
      <c r="BX21" s="62">
        <f t="shared" si="19"/>
        <v>-9.6145640719746961E-9</v>
      </c>
      <c r="BZ21" s="31">
        <f t="shared" si="20"/>
        <v>-9.6145640719746961E-9</v>
      </c>
      <c r="CA21" s="32">
        <f t="shared" si="21"/>
        <v>0</v>
      </c>
    </row>
    <row r="22" spans="1:79" x14ac:dyDescent="0.45">
      <c r="A22" s="31" t="s">
        <v>666</v>
      </c>
      <c r="B22" s="31" t="s">
        <v>668</v>
      </c>
      <c r="C22" s="31">
        <f>VLOOKUP($B22,'Tillförd energi'!$B$1:$AI$720,MATCH(C$1,'Tillförd energi'!$B$1:$AQ$1,0),FALSE)</f>
        <v>0</v>
      </c>
      <c r="D22" s="31">
        <f>VLOOKUP($B22,'Tillförd energi'!$B$1:$AI$720,MATCH(D$1,'Tillförd energi'!$B$1:$AQ$1,0),FALSE)</f>
        <v>0.30750499999999997</v>
      </c>
      <c r="E22" s="31">
        <f>VLOOKUP($B22,'Tillförd energi'!$B$1:$AI$720,MATCH(E$1,'Tillförd energi'!$B$1:$AQ$1,0),FALSE)</f>
        <v>0</v>
      </c>
      <c r="F22" s="31">
        <f>VLOOKUP($B22,'Tillförd energi'!$B$1:$AI$720,MATCH(F$1,'Tillförd energi'!$B$1:$AQ$1,0),FALSE)</f>
        <v>0</v>
      </c>
      <c r="G22" s="31">
        <f>VLOOKUP($B22,'Tillförd energi'!$B$1:$AI$720,MATCH(G$1,'Tillförd energi'!$B$1:$AQ$1,0),FALSE)</f>
        <v>0</v>
      </c>
      <c r="H22" s="31">
        <f>VLOOKUP($B22,'Tillförd energi'!$B$1:$AI$720,MATCH(H$1,'Tillförd energi'!$B$1:$AQ$1,0),FALSE)</f>
        <v>0</v>
      </c>
      <c r="I22" s="31">
        <f>VLOOKUP($B22,'Tillförd energi'!$B$1:$AI$720,MATCH(I$1,'Tillförd energi'!$B$1:$AQ$1,0),FALSE)</f>
        <v>0</v>
      </c>
      <c r="J22" s="31">
        <f>VLOOKUP($B22,'Tillförd energi'!$B$1:$AI$720,MATCH(J$1,'Tillförd energi'!$B$1:$AQ$1,0),FALSE)</f>
        <v>0</v>
      </c>
      <c r="K22" s="31">
        <f>VLOOKUP($B22,'Tillförd energi'!$B$1:$AI$720,MATCH(K$1,'Tillförd energi'!$B$1:$AQ$1,0),FALSE)</f>
        <v>0</v>
      </c>
      <c r="L22" s="31">
        <f>VLOOKUP($B22,'Tillförd energi'!$B$1:$AI$720,MATCH(L$1,'Tillförd energi'!$B$1:$AQ$1,0),FALSE)</f>
        <v>32.985100000000003</v>
      </c>
      <c r="M22" s="31">
        <f>VLOOKUP($B22,'Tillförd energi'!$B$1:$AI$720,MATCH(M$1,'Tillförd energi'!$B$1:$AQ$1,0),FALSE)</f>
        <v>36.429200000000002</v>
      </c>
      <c r="N22" s="31">
        <f>VLOOKUP($B22,'Tillförd energi'!$B$1:$AI$720,MATCH(N$1,'Tillförd energi'!$B$1:$AQ$1,0),FALSE)</f>
        <v>124.751</v>
      </c>
      <c r="O22" s="31">
        <f>VLOOKUP($B22,'Tillförd energi'!$B$1:$AI$720,MATCH(O$1,'Tillförd energi'!$B$1:$AQ$1,0),FALSE)</f>
        <v>17.365500000000001</v>
      </c>
      <c r="P22" s="31">
        <f>VLOOKUP($B22,'Tillförd energi'!$B$1:$AI$720,MATCH(P$1,'Tillförd energi'!$B$1:$AQ$1,0),FALSE)</f>
        <v>1.3767199999999999</v>
      </c>
      <c r="Q22" s="31">
        <f>VLOOKUP($B22,'Tillförd energi'!$B$1:$AI$720,MATCH(Q$1,'Tillförd energi'!$B$1:$AQ$1,0),FALSE)</f>
        <v>1.3428599999999999</v>
      </c>
      <c r="R22" s="31">
        <f>VLOOKUP($B22,'Tillförd energi'!$B$1:$AI$720,MATCH(R$1,'Tillförd energi'!$B$1:$AQ$1,0),FALSE)</f>
        <v>0</v>
      </c>
      <c r="S22" s="31">
        <f>VLOOKUP($B22,'Tillförd energi'!$B$1:$AI$720,MATCH(S$1,'Tillförd energi'!$B$1:$AQ$1,0),FALSE)</f>
        <v>0</v>
      </c>
      <c r="T22" s="31">
        <f>VLOOKUP($B22,'Tillförd energi'!$B$1:$AI$720,MATCH(T$1,'Tillförd energi'!$B$1:$AQ$1,0),FALSE)</f>
        <v>0</v>
      </c>
      <c r="U22" s="31">
        <f>VLOOKUP($B22,'Tillförd energi'!$B$1:$AI$720,MATCH(U$1,'Tillförd energi'!$B$1:$AQ$1,0),FALSE)</f>
        <v>0</v>
      </c>
      <c r="V22" s="31">
        <f>VLOOKUP($B22,'Tillförd energi'!$B$1:$AI$720,MATCH(V$1,'Tillförd energi'!$B$1:$AQ$1,0),FALSE)</f>
        <v>0</v>
      </c>
      <c r="W22" s="31">
        <f>VLOOKUP($B22,'Tillförd energi'!$B$1:$AI$720,MATCH(W$1,'Tillförd energi'!$B$1:$AQ$1,0),FALSE)</f>
        <v>1.6639999999999999</v>
      </c>
      <c r="X22" s="31">
        <f>VLOOKUP($B22,'Tillförd energi'!$B$1:$AI$720,MATCH(X$1,'Tillförd energi'!$B$1:$AQ$1,0),FALSE)</f>
        <v>0</v>
      </c>
      <c r="Y22" s="31">
        <f>VLOOKUP($B22,'Tillförd energi'!$B$1:$AI$720,MATCH(Y$1,'Tillförd energi'!$B$1:$AQ$1,0),FALSE)</f>
        <v>0</v>
      </c>
      <c r="Z22" s="31">
        <f>VLOOKUP($B22,'Tillförd energi'!$B$1:$AI$720,MATCH(Z$1,'Tillförd energi'!$B$1:$AQ$1,0),FALSE)</f>
        <v>0</v>
      </c>
      <c r="AA22" s="31">
        <f>VLOOKUP($B22,'Tillförd energi'!$B$1:$AI$720,MATCH(AA$1,'Tillförd energi'!$B$1:$AQ$1,0),FALSE)</f>
        <v>0</v>
      </c>
      <c r="AB22" s="31">
        <f>VLOOKUP($B22,'Tillförd energi'!$B$1:$AI$720,MATCH(AB$1,'Tillförd energi'!$B$1:$AQ$1,0),FALSE)</f>
        <v>0</v>
      </c>
      <c r="AC22" s="31">
        <f>VLOOKUP($B22,'Tillförd energi'!$B$1:$AI$720,MATCH(AC$1,'Tillförd energi'!$B$1:$AQ$1,0),FALSE)</f>
        <v>61.481999999999999</v>
      </c>
      <c r="AD22" s="31">
        <f>VLOOKUP($B22,'Tillförd energi'!$B$1:$AI$720,MATCH(AD$1,'Tillförd energi'!$B$1:$AQ$1,0),FALSE)</f>
        <v>0</v>
      </c>
      <c r="AE22" s="31">
        <f>VLOOKUP($B22,'Tillförd energi'!$B$1:$AI$720,MATCH(AE$1,'Tillförd energi'!$B$1:$AQ$1,0),FALSE)</f>
        <v>0</v>
      </c>
      <c r="AF22" s="31">
        <f>VLOOKUP($B22,'Tillförd energi'!$B$1:$AI$720,MATCH(AF$1,'Tillförd energi'!$B$1:$AQ$1,0),FALSE)</f>
        <v>8.8739799999999995</v>
      </c>
      <c r="AG22" s="31">
        <f>IFERROR(VLOOKUP(B22,Miljö!$B$1:$AC$550,MATCH("Köpt mängd produktionsspecifik fjärrvärme:",Miljö!$B$1:$AC$1,0),FALSE)/1,0)</f>
        <v>0</v>
      </c>
      <c r="AI22" s="31">
        <f t="shared" si="0"/>
        <v>286.57786500000003</v>
      </c>
      <c r="AJ22" s="31">
        <f t="shared" si="1"/>
        <v>286.57786500000003</v>
      </c>
      <c r="AK22" s="31">
        <f>IF(ISERROR(1/VLOOKUP($B22,Leveranser!$B$1:$S$499,MATCH("Såld värme (GWh)",Leveranser!$B$1:$S$1,0),FALSE)),"",VLOOKUP($B22,Leveranser!$B$1:$S$499,MATCH("Såld värme (GWh)",Leveranser!$B$1:$S$1,0),FALSE))</f>
        <v>236.58</v>
      </c>
      <c r="AL22" s="31">
        <f>VLOOKUP($B22,Leveranser!$B$1:$Y$499,MATCH("Totalt såld fjärrvärme till andra fjärrvärmeföretag",Leveranser!$B$1:$AA$1,0),FALSE)</f>
        <v>0</v>
      </c>
      <c r="AM22" s="31">
        <f>IF(ISERROR(1/VLOOKUP($B22,Miljö!$B$1:$S$500,MATCH("Såld mängd produktionsspecifik fjärrvärme (GWh)",Miljö!$B$1:$R$1,0),FALSE)),0,VLOOKUP($B22,Miljö!$B$1:$S$500,MATCH("Såld mängd produktionsspecifik fjärrvärme (GWh)",Miljö!$B$1:$R$1,0),FALSE))</f>
        <v>0</v>
      </c>
      <c r="AN22" s="32">
        <f t="shared" si="2"/>
        <v>0.82553479836972055</v>
      </c>
      <c r="AP22" s="31" t="str">
        <f>IFERROR(VLOOKUP($B22,Miljövärden!$B$2:$H$550,7,FALSE),"Nej, saknas")</f>
        <v>Ja</v>
      </c>
      <c r="AQ22" s="31" t="str">
        <f>IFERROR(VLOOKUP($B22,Miljövärden!$B$2:$H$551,6,FALSE),"Nej, saknas")</f>
        <v>Nej</v>
      </c>
      <c r="AU22" s="31">
        <f t="shared" si="3"/>
        <v>8.8739799999999995</v>
      </c>
      <c r="AV22" s="31">
        <f t="shared" si="4"/>
        <v>0</v>
      </c>
      <c r="AW22" s="31">
        <f t="shared" si="5"/>
        <v>181.26528000000002</v>
      </c>
      <c r="AX22" s="31">
        <f t="shared" si="6"/>
        <v>0</v>
      </c>
      <c r="AZ22" s="31">
        <f t="shared" si="7"/>
        <v>215.91437999999999</v>
      </c>
      <c r="BC22" s="31">
        <f t="shared" si="8"/>
        <v>0.30750499999999997</v>
      </c>
      <c r="BD22" s="31">
        <f t="shared" si="9"/>
        <v>0</v>
      </c>
      <c r="BE22" s="31">
        <f t="shared" si="10"/>
        <v>182.92928000000001</v>
      </c>
      <c r="BF22" s="31">
        <f t="shared" si="11"/>
        <v>94.467100000000002</v>
      </c>
      <c r="BG22" s="31">
        <f t="shared" si="12"/>
        <v>8.8739799999999995</v>
      </c>
      <c r="BH22" s="31">
        <f>VLOOKUP(B22,Miljö!$B$1:$BX$482,MATCH("Fossilandel för ursprungspecificerad el ()",Miljö!$B$1:$I$1,0),FALSE)</f>
        <v>0</v>
      </c>
      <c r="BI22" s="31">
        <f>VLOOKUP(B22,Miljö!$B$1:$BX$482,MATCH("Kärnkraftsandel för ursprungsspecificerad el ()",Miljö!$B$1:$O$1,0),FALSE)</f>
        <v>0</v>
      </c>
      <c r="BJ22" s="31">
        <f t="shared" si="13"/>
        <v>0</v>
      </c>
      <c r="BK22" s="31" t="str">
        <f>VLOOKUP(B22,Miljö!$B$1:$P$482,MATCH("Fossil andel i procent (%)",Miljö!$B$1:$P$1,0),FALSE)</f>
        <v>ET</v>
      </c>
      <c r="BL22" s="31">
        <f t="shared" si="14"/>
        <v>286.57786500000003</v>
      </c>
      <c r="BO22" s="32">
        <f t="shared" si="22"/>
        <v>1.0730242546820564E-3</v>
      </c>
      <c r="BP22" s="32">
        <f t="shared" si="15"/>
        <v>0</v>
      </c>
      <c r="BQ22" s="32">
        <f t="shared" si="16"/>
        <v>0.66928846720244761</v>
      </c>
      <c r="BR22" s="32">
        <f t="shared" si="17"/>
        <v>0.32963850854287013</v>
      </c>
      <c r="BT22" s="62">
        <f t="shared" si="18"/>
        <v>0.99999999999999978</v>
      </c>
      <c r="BW22" s="32">
        <f>IF(AP22="Ja",VLOOKUP(B22,Miljövärden!$B$2:$H$551,MATCH("Total andel fossilt",Miljövärden!$B$2:$H$2,0),FALSE),"")</f>
        <v>1.0730200000000001E-3</v>
      </c>
      <c r="BX22" s="62">
        <f t="shared" si="19"/>
        <v>-4.254682056323289E-9</v>
      </c>
      <c r="BZ22" s="31">
        <f t="shared" si="20"/>
        <v>-4.254682056323289E-9</v>
      </c>
      <c r="CA22" s="32">
        <f t="shared" si="21"/>
        <v>0</v>
      </c>
    </row>
    <row r="23" spans="1:79" x14ac:dyDescent="0.45">
      <c r="A23" s="31" t="s">
        <v>666</v>
      </c>
      <c r="B23" s="31" t="s">
        <v>665</v>
      </c>
      <c r="C23" s="31">
        <f>VLOOKUP($B23,'Tillförd energi'!$B$1:$AI$720,MATCH(C$1,'Tillförd energi'!$B$1:$AQ$1,0),FALSE)</f>
        <v>0</v>
      </c>
      <c r="D23" s="31">
        <f>VLOOKUP($B23,'Tillförd energi'!$B$1:$AI$720,MATCH(D$1,'Tillförd energi'!$B$1:$AQ$1,0),FALSE)</f>
        <v>0.182</v>
      </c>
      <c r="E23" s="31">
        <f>VLOOKUP($B23,'Tillförd energi'!$B$1:$AI$720,MATCH(E$1,'Tillförd energi'!$B$1:$AQ$1,0),FALSE)</f>
        <v>0</v>
      </c>
      <c r="F23" s="31">
        <f>VLOOKUP($B23,'Tillförd energi'!$B$1:$AI$720,MATCH(F$1,'Tillförd energi'!$B$1:$AQ$1,0),FALSE)</f>
        <v>0</v>
      </c>
      <c r="G23" s="31">
        <f>VLOOKUP($B23,'Tillförd energi'!$B$1:$AI$720,MATCH(G$1,'Tillförd energi'!$B$1:$AQ$1,0),FALSE)</f>
        <v>0</v>
      </c>
      <c r="H23" s="31">
        <f>VLOOKUP($B23,'Tillförd energi'!$B$1:$AI$720,MATCH(H$1,'Tillförd energi'!$B$1:$AQ$1,0),FALSE)</f>
        <v>0</v>
      </c>
      <c r="I23" s="31">
        <f>VLOOKUP($B23,'Tillförd energi'!$B$1:$AI$720,MATCH(I$1,'Tillförd energi'!$B$1:$AQ$1,0),FALSE)</f>
        <v>0</v>
      </c>
      <c r="J23" s="31">
        <f>VLOOKUP($B23,'Tillförd energi'!$B$1:$AI$720,MATCH(J$1,'Tillförd energi'!$B$1:$AQ$1,0),FALSE)</f>
        <v>0</v>
      </c>
      <c r="K23" s="31">
        <f>VLOOKUP($B23,'Tillförd energi'!$B$1:$AI$720,MATCH(K$1,'Tillförd energi'!$B$1:$AQ$1,0),FALSE)</f>
        <v>0</v>
      </c>
      <c r="L23" s="31">
        <f>VLOOKUP($B23,'Tillförd energi'!$B$1:$AI$720,MATCH(L$1,'Tillförd energi'!$B$1:$AQ$1,0),FALSE)</f>
        <v>0</v>
      </c>
      <c r="M23" s="31">
        <f>VLOOKUP($B23,'Tillförd energi'!$B$1:$AI$720,MATCH(M$1,'Tillförd energi'!$B$1:$AQ$1,0),FALSE)</f>
        <v>0</v>
      </c>
      <c r="N23" s="31">
        <f>VLOOKUP($B23,'Tillförd energi'!$B$1:$AI$720,MATCH(N$1,'Tillförd energi'!$B$1:$AQ$1,0),FALSE)</f>
        <v>0</v>
      </c>
      <c r="O23" s="31">
        <f>VLOOKUP($B23,'Tillförd energi'!$B$1:$AI$720,MATCH(O$1,'Tillförd energi'!$B$1:$AQ$1,0),FALSE)</f>
        <v>0</v>
      </c>
      <c r="P23" s="31">
        <f>VLOOKUP($B23,'Tillförd energi'!$B$1:$AI$720,MATCH(P$1,'Tillförd energi'!$B$1:$AQ$1,0),FALSE)</f>
        <v>0</v>
      </c>
      <c r="Q23" s="31">
        <f>VLOOKUP($B23,'Tillförd energi'!$B$1:$AI$720,MATCH(Q$1,'Tillförd energi'!$B$1:$AQ$1,0),FALSE)</f>
        <v>0</v>
      </c>
      <c r="R23" s="31">
        <f>VLOOKUP($B23,'Tillförd energi'!$B$1:$AI$720,MATCH(R$1,'Tillförd energi'!$B$1:$AQ$1,0),FALSE)</f>
        <v>0.68</v>
      </c>
      <c r="S23" s="31">
        <f>VLOOKUP($B23,'Tillförd energi'!$B$1:$AI$720,MATCH(S$1,'Tillförd energi'!$B$1:$AQ$1,0),FALSE)</f>
        <v>0</v>
      </c>
      <c r="T23" s="31">
        <f>VLOOKUP($B23,'Tillförd energi'!$B$1:$AI$720,MATCH(T$1,'Tillförd energi'!$B$1:$AQ$1,0),FALSE)</f>
        <v>0</v>
      </c>
      <c r="U23" s="31">
        <f>VLOOKUP($B23,'Tillförd energi'!$B$1:$AI$720,MATCH(U$1,'Tillförd energi'!$B$1:$AQ$1,0),FALSE)</f>
        <v>0</v>
      </c>
      <c r="V23" s="31">
        <f>VLOOKUP($B23,'Tillförd energi'!$B$1:$AI$720,MATCH(V$1,'Tillförd energi'!$B$1:$AQ$1,0),FALSE)</f>
        <v>0</v>
      </c>
      <c r="W23" s="31">
        <f>VLOOKUP($B23,'Tillförd energi'!$B$1:$AI$720,MATCH(W$1,'Tillförd energi'!$B$1:$AQ$1,0),FALSE)</f>
        <v>0</v>
      </c>
      <c r="X23" s="31">
        <f>VLOOKUP($B23,'Tillförd energi'!$B$1:$AI$720,MATCH(X$1,'Tillförd energi'!$B$1:$AQ$1,0),FALSE)</f>
        <v>0</v>
      </c>
      <c r="Y23" s="31">
        <f>VLOOKUP($B23,'Tillförd energi'!$B$1:$AI$720,MATCH(Y$1,'Tillförd energi'!$B$1:$AQ$1,0),FALSE)</f>
        <v>0</v>
      </c>
      <c r="Z23" s="31">
        <f>VLOOKUP($B23,'Tillförd energi'!$B$1:$AI$720,MATCH(Z$1,'Tillförd energi'!$B$1:$AQ$1,0),FALSE)</f>
        <v>3.4000000000000002E-2</v>
      </c>
      <c r="AA23" s="31">
        <f>VLOOKUP($B23,'Tillförd energi'!$B$1:$AI$720,MATCH(AA$1,'Tillförd energi'!$B$1:$AQ$1,0),FALSE)</f>
        <v>0</v>
      </c>
      <c r="AB23" s="31">
        <f>VLOOKUP($B23,'Tillförd energi'!$B$1:$AI$720,MATCH(AB$1,'Tillförd energi'!$B$1:$AQ$1,0),FALSE)</f>
        <v>0</v>
      </c>
      <c r="AC23" s="31">
        <f>VLOOKUP($B23,'Tillförd energi'!$B$1:$AI$720,MATCH(AC$1,'Tillförd energi'!$B$1:$AQ$1,0),FALSE)</f>
        <v>0</v>
      </c>
      <c r="AD23" s="31">
        <f>VLOOKUP($B23,'Tillförd energi'!$B$1:$AI$720,MATCH(AD$1,'Tillförd energi'!$B$1:$AQ$1,0),FALSE)</f>
        <v>0</v>
      </c>
      <c r="AE23" s="31">
        <f>VLOOKUP($B23,'Tillförd energi'!$B$1:$AI$720,MATCH(AE$1,'Tillförd energi'!$B$1:$AQ$1,0),FALSE)</f>
        <v>0</v>
      </c>
      <c r="AF23" s="31">
        <f>VLOOKUP($B23,'Tillförd energi'!$B$1:$AI$720,MATCH(AF$1,'Tillförd energi'!$B$1:$AQ$1,0),FALSE)</f>
        <v>1.0999999999999999E-2</v>
      </c>
      <c r="AG23" s="31">
        <f>IFERROR(VLOOKUP(B23,Miljö!$B$1:$AC$550,MATCH("Köpt mängd produktionsspecifik fjärrvärme:",Miljö!$B$1:$AC$1,0),FALSE)/1,0)</f>
        <v>0</v>
      </c>
      <c r="AI23" s="31">
        <f t="shared" si="0"/>
        <v>0.90700000000000014</v>
      </c>
      <c r="AJ23" s="31">
        <f t="shared" si="1"/>
        <v>0.90700000000000014</v>
      </c>
      <c r="AK23" s="31">
        <f>IF(ISERROR(1/VLOOKUP($B23,Leveranser!$B$1:$S$499,MATCH("Såld värme (GWh)",Leveranser!$B$1:$S$1,0),FALSE)),"",VLOOKUP($B23,Leveranser!$B$1:$S$499,MATCH("Såld värme (GWh)",Leveranser!$B$1:$S$1,0),FALSE))</f>
        <v>0.63</v>
      </c>
      <c r="AL23" s="31">
        <f>VLOOKUP($B23,Leveranser!$B$1:$Y$499,MATCH("Totalt såld fjärrvärme till andra fjärrvärmeföretag",Leveranser!$B$1:$AA$1,0),FALSE)</f>
        <v>0</v>
      </c>
      <c r="AM23" s="31">
        <f>IF(ISERROR(1/VLOOKUP($B23,Miljö!$B$1:$S$500,MATCH("Såld mängd produktionsspecifik fjärrvärme (GWh)",Miljö!$B$1:$R$1,0),FALSE)),0,VLOOKUP($B23,Miljö!$B$1:$S$500,MATCH("Såld mängd produktionsspecifik fjärrvärme (GWh)",Miljö!$B$1:$R$1,0),FALSE))</f>
        <v>0</v>
      </c>
      <c r="AN23" s="32">
        <f t="shared" si="2"/>
        <v>0.69459757442116854</v>
      </c>
      <c r="AP23" s="31" t="str">
        <f>IFERROR(VLOOKUP($B23,Miljövärden!$B$2:$H$550,7,FALSE),"Nej, saknas")</f>
        <v>Ja</v>
      </c>
      <c r="AQ23" s="31" t="str">
        <f>IFERROR(VLOOKUP($B23,Miljövärden!$B$2:$H$551,6,FALSE),"Nej, saknas")</f>
        <v>Nej</v>
      </c>
      <c r="AU23" s="31">
        <f t="shared" si="3"/>
        <v>4.4999999999999998E-2</v>
      </c>
      <c r="AV23" s="31">
        <f t="shared" si="4"/>
        <v>0</v>
      </c>
      <c r="AW23" s="31">
        <f t="shared" si="5"/>
        <v>0</v>
      </c>
      <c r="AX23" s="31">
        <f t="shared" si="6"/>
        <v>0.68</v>
      </c>
      <c r="AZ23" s="31">
        <f t="shared" si="7"/>
        <v>0.68</v>
      </c>
      <c r="BC23" s="31">
        <f t="shared" si="8"/>
        <v>0.182</v>
      </c>
      <c r="BD23" s="31">
        <f t="shared" si="9"/>
        <v>0</v>
      </c>
      <c r="BE23" s="31">
        <f t="shared" si="10"/>
        <v>0.68</v>
      </c>
      <c r="BF23" s="31">
        <f t="shared" si="11"/>
        <v>0</v>
      </c>
      <c r="BG23" s="31">
        <f t="shared" si="12"/>
        <v>4.4999999999999998E-2</v>
      </c>
      <c r="BH23" s="31">
        <f>VLOOKUP(B23,Miljö!$B$1:$BX$482,MATCH("Fossilandel för ursprungspecificerad el ()",Miljö!$B$1:$I$1,0),FALSE)</f>
        <v>0</v>
      </c>
      <c r="BI23" s="31">
        <f>VLOOKUP(B23,Miljö!$B$1:$BX$482,MATCH("Kärnkraftsandel för ursprungsspecificerad el ()",Miljö!$B$1:$O$1,0),FALSE)</f>
        <v>0</v>
      </c>
      <c r="BJ23" s="31">
        <f t="shared" si="13"/>
        <v>0</v>
      </c>
      <c r="BK23" s="31" t="str">
        <f>VLOOKUP(B23,Miljö!$B$1:$P$482,MATCH("Fossil andel i procent (%)",Miljö!$B$1:$P$1,0),FALSE)</f>
        <v>ET</v>
      </c>
      <c r="BL23" s="31">
        <f t="shared" si="14"/>
        <v>0.90700000000000014</v>
      </c>
      <c r="BO23" s="32">
        <f t="shared" si="22"/>
        <v>0.20066152149944869</v>
      </c>
      <c r="BP23" s="32">
        <f t="shared" si="15"/>
        <v>0</v>
      </c>
      <c r="BQ23" s="32">
        <f t="shared" si="16"/>
        <v>0.79933847850055129</v>
      </c>
      <c r="BR23" s="32">
        <f t="shared" si="17"/>
        <v>0</v>
      </c>
      <c r="BT23" s="62">
        <f t="shared" si="18"/>
        <v>1</v>
      </c>
      <c r="BW23" s="32">
        <f>IF(AP23="Ja",VLOOKUP(B23,Miljövärden!$B$2:$H$551,MATCH("Total andel fossilt",Miljövärden!$B$2:$H$2,0),FALSE),"")</f>
        <v>0.20066200000000001</v>
      </c>
      <c r="BX23" s="62">
        <f t="shared" si="19"/>
        <v>4.7850055132081515E-7</v>
      </c>
      <c r="BZ23" s="31">
        <f t="shared" si="20"/>
        <v>4.7850055132081515E-7</v>
      </c>
      <c r="CA23" s="32">
        <f t="shared" si="21"/>
        <v>0</v>
      </c>
    </row>
    <row r="24" spans="1:79" x14ac:dyDescent="0.45">
      <c r="A24" s="31" t="s">
        <v>666</v>
      </c>
      <c r="B24" s="31" t="s">
        <v>667</v>
      </c>
      <c r="C24" s="31">
        <f>VLOOKUP($B24,'Tillförd energi'!$B$1:$AI$720,MATCH(C$1,'Tillförd energi'!$B$1:$AQ$1,0),FALSE)</f>
        <v>0</v>
      </c>
      <c r="D24" s="31">
        <f>VLOOKUP($B24,'Tillförd energi'!$B$1:$AI$720,MATCH(D$1,'Tillförd energi'!$B$1:$AQ$1,0),FALSE)</f>
        <v>0.09</v>
      </c>
      <c r="E24" s="31">
        <f>VLOOKUP($B24,'Tillförd energi'!$B$1:$AI$720,MATCH(E$1,'Tillförd energi'!$B$1:$AQ$1,0),FALSE)</f>
        <v>0</v>
      </c>
      <c r="F24" s="31">
        <f>VLOOKUP($B24,'Tillförd energi'!$B$1:$AI$720,MATCH(F$1,'Tillförd energi'!$B$1:$AQ$1,0),FALSE)</f>
        <v>0</v>
      </c>
      <c r="G24" s="31">
        <f>VLOOKUP($B24,'Tillförd energi'!$B$1:$AI$720,MATCH(G$1,'Tillförd energi'!$B$1:$AQ$1,0),FALSE)</f>
        <v>0</v>
      </c>
      <c r="H24" s="31">
        <f>VLOOKUP($B24,'Tillförd energi'!$B$1:$AI$720,MATCH(H$1,'Tillförd energi'!$B$1:$AQ$1,0),FALSE)</f>
        <v>0</v>
      </c>
      <c r="I24" s="31">
        <f>VLOOKUP($B24,'Tillförd energi'!$B$1:$AI$720,MATCH(I$1,'Tillförd energi'!$B$1:$AQ$1,0),FALSE)</f>
        <v>0</v>
      </c>
      <c r="J24" s="31">
        <f>VLOOKUP($B24,'Tillförd energi'!$B$1:$AI$720,MATCH(J$1,'Tillförd energi'!$B$1:$AQ$1,0),FALSE)</f>
        <v>0</v>
      </c>
      <c r="K24" s="31">
        <f>VLOOKUP($B24,'Tillförd energi'!$B$1:$AI$720,MATCH(K$1,'Tillförd energi'!$B$1:$AQ$1,0),FALSE)</f>
        <v>0</v>
      </c>
      <c r="L24" s="31">
        <f>VLOOKUP($B24,'Tillförd energi'!$B$1:$AI$720,MATCH(L$1,'Tillförd energi'!$B$1:$AQ$1,0),FALSE)</f>
        <v>0</v>
      </c>
      <c r="M24" s="31">
        <f>VLOOKUP($B24,'Tillförd energi'!$B$1:$AI$720,MATCH(M$1,'Tillförd energi'!$B$1:$AQ$1,0),FALSE)</f>
        <v>0</v>
      </c>
      <c r="N24" s="31">
        <f>VLOOKUP($B24,'Tillförd energi'!$B$1:$AI$720,MATCH(N$1,'Tillförd energi'!$B$1:$AQ$1,0),FALSE)</f>
        <v>0</v>
      </c>
      <c r="O24" s="31">
        <f>VLOOKUP($B24,'Tillförd energi'!$B$1:$AI$720,MATCH(O$1,'Tillförd energi'!$B$1:$AQ$1,0),FALSE)</f>
        <v>0</v>
      </c>
      <c r="P24" s="31">
        <f>VLOOKUP($B24,'Tillförd energi'!$B$1:$AI$720,MATCH(P$1,'Tillförd energi'!$B$1:$AQ$1,0),FALSE)</f>
        <v>0</v>
      </c>
      <c r="Q24" s="31">
        <f>VLOOKUP($B24,'Tillförd energi'!$B$1:$AI$720,MATCH(Q$1,'Tillförd energi'!$B$1:$AQ$1,0),FALSE)</f>
        <v>0</v>
      </c>
      <c r="R24" s="31">
        <f>VLOOKUP($B24,'Tillförd energi'!$B$1:$AI$720,MATCH(R$1,'Tillförd energi'!$B$1:$AQ$1,0),FALSE)</f>
        <v>4.9489999999999998</v>
      </c>
      <c r="S24" s="31">
        <f>VLOOKUP($B24,'Tillförd energi'!$B$1:$AI$720,MATCH(S$1,'Tillförd energi'!$B$1:$AQ$1,0),FALSE)</f>
        <v>0</v>
      </c>
      <c r="T24" s="31">
        <f>VLOOKUP($B24,'Tillförd energi'!$B$1:$AI$720,MATCH(T$1,'Tillförd energi'!$B$1:$AQ$1,0),FALSE)</f>
        <v>0</v>
      </c>
      <c r="U24" s="31">
        <f>VLOOKUP($B24,'Tillförd energi'!$B$1:$AI$720,MATCH(U$1,'Tillförd energi'!$B$1:$AQ$1,0),FALSE)</f>
        <v>0</v>
      </c>
      <c r="V24" s="31">
        <f>VLOOKUP($B24,'Tillförd energi'!$B$1:$AI$720,MATCH(V$1,'Tillförd energi'!$B$1:$AQ$1,0),FALSE)</f>
        <v>0</v>
      </c>
      <c r="W24" s="31">
        <f>VLOOKUP($B24,'Tillförd energi'!$B$1:$AI$720,MATCH(W$1,'Tillförd energi'!$B$1:$AQ$1,0),FALSE)</f>
        <v>0</v>
      </c>
      <c r="X24" s="31">
        <f>VLOOKUP($B24,'Tillförd energi'!$B$1:$AI$720,MATCH(X$1,'Tillförd energi'!$B$1:$AQ$1,0),FALSE)</f>
        <v>0</v>
      </c>
      <c r="Y24" s="31">
        <f>VLOOKUP($B24,'Tillförd energi'!$B$1:$AI$720,MATCH(Y$1,'Tillförd energi'!$B$1:$AQ$1,0),FALSE)</f>
        <v>0</v>
      </c>
      <c r="Z24" s="31">
        <f>VLOOKUP($B24,'Tillförd energi'!$B$1:$AI$720,MATCH(Z$1,'Tillförd energi'!$B$1:$AQ$1,0),FALSE)</f>
        <v>0</v>
      </c>
      <c r="AA24" s="31">
        <f>VLOOKUP($B24,'Tillförd energi'!$B$1:$AI$720,MATCH(AA$1,'Tillförd energi'!$B$1:$AQ$1,0),FALSE)</f>
        <v>0</v>
      </c>
      <c r="AB24" s="31">
        <f>VLOOKUP($B24,'Tillförd energi'!$B$1:$AI$720,MATCH(AB$1,'Tillförd energi'!$B$1:$AQ$1,0),FALSE)</f>
        <v>0</v>
      </c>
      <c r="AC24" s="31">
        <f>VLOOKUP($B24,'Tillförd energi'!$B$1:$AI$720,MATCH(AC$1,'Tillförd energi'!$B$1:$AQ$1,0),FALSE)</f>
        <v>0</v>
      </c>
      <c r="AD24" s="31">
        <f>VLOOKUP($B24,'Tillförd energi'!$B$1:$AI$720,MATCH(AD$1,'Tillförd energi'!$B$1:$AQ$1,0),FALSE)</f>
        <v>0</v>
      </c>
      <c r="AE24" s="31">
        <f>VLOOKUP($B24,'Tillförd energi'!$B$1:$AI$720,MATCH(AE$1,'Tillförd energi'!$B$1:$AQ$1,0),FALSE)</f>
        <v>0</v>
      </c>
      <c r="AF24" s="31">
        <f>VLOOKUP($B24,'Tillförd energi'!$B$1:$AI$720,MATCH(AF$1,'Tillförd energi'!$B$1:$AQ$1,0),FALSE)</f>
        <v>8.1000000000000003E-2</v>
      </c>
      <c r="AG24" s="31">
        <f>IFERROR(VLOOKUP(B24,Miljö!$B$1:$AC$550,MATCH("Köpt mängd produktionsspecifik fjärrvärme:",Miljö!$B$1:$AC$1,0),FALSE)/1,0)</f>
        <v>0</v>
      </c>
      <c r="AI24" s="31">
        <f t="shared" si="0"/>
        <v>5.12</v>
      </c>
      <c r="AJ24" s="31">
        <f t="shared" si="1"/>
        <v>5.12</v>
      </c>
      <c r="AK24" s="31">
        <f>IF(ISERROR(1/VLOOKUP($B24,Leveranser!$B$1:$S$499,MATCH("Såld värme (GWh)",Leveranser!$B$1:$S$1,0),FALSE)),"",VLOOKUP($B24,Leveranser!$B$1:$S$499,MATCH("Såld värme (GWh)",Leveranser!$B$1:$S$1,0),FALSE))</f>
        <v>3.53</v>
      </c>
      <c r="AL24" s="31">
        <f>VLOOKUP($B24,Leveranser!$B$1:$Y$499,MATCH("Totalt såld fjärrvärme till andra fjärrvärmeföretag",Leveranser!$B$1:$AA$1,0),FALSE)</f>
        <v>0</v>
      </c>
      <c r="AM24" s="31">
        <f>IF(ISERROR(1/VLOOKUP($B24,Miljö!$B$1:$S$500,MATCH("Såld mängd produktionsspecifik fjärrvärme (GWh)",Miljö!$B$1:$R$1,0),FALSE)),0,VLOOKUP($B24,Miljö!$B$1:$S$500,MATCH("Såld mängd produktionsspecifik fjärrvärme (GWh)",Miljö!$B$1:$R$1,0),FALSE))</f>
        <v>0</v>
      </c>
      <c r="AN24" s="32">
        <f t="shared" si="2"/>
        <v>0.689453125</v>
      </c>
      <c r="AP24" s="31" t="str">
        <f>IFERROR(VLOOKUP($B24,Miljövärden!$B$2:$H$550,7,FALSE),"Nej, saknas")</f>
        <v>Ja</v>
      </c>
      <c r="AQ24" s="31" t="str">
        <f>IFERROR(VLOOKUP($B24,Miljövärden!$B$2:$H$551,6,FALSE),"Nej, saknas")</f>
        <v>Nej</v>
      </c>
      <c r="AU24" s="31">
        <f t="shared" si="3"/>
        <v>8.1000000000000003E-2</v>
      </c>
      <c r="AV24" s="31">
        <f t="shared" si="4"/>
        <v>0</v>
      </c>
      <c r="AW24" s="31">
        <f t="shared" si="5"/>
        <v>0</v>
      </c>
      <c r="AX24" s="31">
        <f t="shared" si="6"/>
        <v>4.9489999999999998</v>
      </c>
      <c r="AZ24" s="31">
        <f t="shared" si="7"/>
        <v>4.9489999999999998</v>
      </c>
      <c r="BC24" s="31">
        <f t="shared" si="8"/>
        <v>0.09</v>
      </c>
      <c r="BD24" s="31">
        <f t="shared" si="9"/>
        <v>0</v>
      </c>
      <c r="BE24" s="31">
        <f t="shared" si="10"/>
        <v>4.9489999999999998</v>
      </c>
      <c r="BF24" s="31">
        <f t="shared" si="11"/>
        <v>0</v>
      </c>
      <c r="BG24" s="31">
        <f t="shared" si="12"/>
        <v>8.1000000000000003E-2</v>
      </c>
      <c r="BH24" s="31">
        <f>VLOOKUP(B24,Miljö!$B$1:$BX$482,MATCH("Fossilandel för ursprungspecificerad el ()",Miljö!$B$1:$I$1,0),FALSE)</f>
        <v>0</v>
      </c>
      <c r="BI24" s="31">
        <f>VLOOKUP(B24,Miljö!$B$1:$BX$482,MATCH("Kärnkraftsandel för ursprungsspecificerad el ()",Miljö!$B$1:$O$1,0),FALSE)</f>
        <v>0</v>
      </c>
      <c r="BJ24" s="31">
        <f t="shared" si="13"/>
        <v>0</v>
      </c>
      <c r="BK24" s="31" t="str">
        <f>VLOOKUP(B24,Miljö!$B$1:$P$482,MATCH("Fossil andel i procent (%)",Miljö!$B$1:$P$1,0),FALSE)</f>
        <v>ET</v>
      </c>
      <c r="BL24" s="31">
        <f t="shared" si="14"/>
        <v>5.12</v>
      </c>
      <c r="BO24" s="32">
        <f t="shared" si="22"/>
        <v>1.7578125E-2</v>
      </c>
      <c r="BP24" s="32">
        <f t="shared" si="15"/>
        <v>0</v>
      </c>
      <c r="BQ24" s="32">
        <f t="shared" si="16"/>
        <v>0.982421875</v>
      </c>
      <c r="BR24" s="32">
        <f t="shared" si="17"/>
        <v>0</v>
      </c>
      <c r="BT24" s="62">
        <f t="shared" si="18"/>
        <v>1</v>
      </c>
      <c r="BW24" s="32">
        <f>IF(AP24="Ja",VLOOKUP(B24,Miljövärden!$B$2:$H$551,MATCH("Total andel fossilt",Miljövärden!$B$2:$H$2,0),FALSE),"")</f>
        <v>1.7578099999999999E-2</v>
      </c>
      <c r="BX24" s="62">
        <f t="shared" si="19"/>
        <v>-2.5000000000718892E-8</v>
      </c>
      <c r="BZ24" s="31">
        <f t="shared" si="20"/>
        <v>-2.5000000000718892E-8</v>
      </c>
      <c r="CA24" s="32">
        <f t="shared" si="21"/>
        <v>0</v>
      </c>
    </row>
    <row r="25" spans="1:79" x14ac:dyDescent="0.45">
      <c r="A25" s="31" t="s">
        <v>666</v>
      </c>
      <c r="B25" s="31" t="s">
        <v>670</v>
      </c>
      <c r="C25" s="31">
        <f>VLOOKUP($B25,'Tillförd energi'!$B$1:$AI$720,MATCH(C$1,'Tillförd energi'!$B$1:$AQ$1,0),FALSE)</f>
        <v>0</v>
      </c>
      <c r="D25" s="31">
        <f>VLOOKUP($B25,'Tillförd energi'!$B$1:$AI$720,MATCH(D$1,'Tillförd energi'!$B$1:$AQ$1,0),FALSE)</f>
        <v>1.0999999999999999E-2</v>
      </c>
      <c r="E25" s="31">
        <f>VLOOKUP($B25,'Tillförd energi'!$B$1:$AI$720,MATCH(E$1,'Tillförd energi'!$B$1:$AQ$1,0),FALSE)</f>
        <v>0</v>
      </c>
      <c r="F25" s="31">
        <f>VLOOKUP($B25,'Tillförd energi'!$B$1:$AI$720,MATCH(F$1,'Tillförd energi'!$B$1:$AQ$1,0),FALSE)</f>
        <v>0</v>
      </c>
      <c r="G25" s="31">
        <f>VLOOKUP($B25,'Tillförd energi'!$B$1:$AI$720,MATCH(G$1,'Tillförd energi'!$B$1:$AQ$1,0),FALSE)</f>
        <v>0</v>
      </c>
      <c r="H25" s="31">
        <f>VLOOKUP($B25,'Tillförd energi'!$B$1:$AI$720,MATCH(H$1,'Tillförd energi'!$B$1:$AQ$1,0),FALSE)</f>
        <v>0</v>
      </c>
      <c r="I25" s="31">
        <f>VLOOKUP($B25,'Tillförd energi'!$B$1:$AI$720,MATCH(I$1,'Tillförd energi'!$B$1:$AQ$1,0),FALSE)</f>
        <v>0</v>
      </c>
      <c r="J25" s="31">
        <f>VLOOKUP($B25,'Tillförd energi'!$B$1:$AI$720,MATCH(J$1,'Tillförd energi'!$B$1:$AQ$1,0),FALSE)</f>
        <v>0</v>
      </c>
      <c r="K25" s="31">
        <f>VLOOKUP($B25,'Tillförd energi'!$B$1:$AI$720,MATCH(K$1,'Tillförd energi'!$B$1:$AQ$1,0),FALSE)</f>
        <v>0</v>
      </c>
      <c r="L25" s="31">
        <f>VLOOKUP($B25,'Tillförd energi'!$B$1:$AI$720,MATCH(L$1,'Tillförd energi'!$B$1:$AQ$1,0),FALSE)</f>
        <v>0</v>
      </c>
      <c r="M25" s="31">
        <f>VLOOKUP($B25,'Tillförd energi'!$B$1:$AI$720,MATCH(M$1,'Tillförd energi'!$B$1:$AQ$1,0),FALSE)</f>
        <v>0</v>
      </c>
      <c r="N25" s="31">
        <f>VLOOKUP($B25,'Tillförd energi'!$B$1:$AI$720,MATCH(N$1,'Tillförd energi'!$B$1:$AQ$1,0),FALSE)</f>
        <v>0</v>
      </c>
      <c r="O25" s="31">
        <f>VLOOKUP($B25,'Tillförd energi'!$B$1:$AI$720,MATCH(O$1,'Tillförd energi'!$B$1:$AQ$1,0),FALSE)</f>
        <v>0</v>
      </c>
      <c r="P25" s="31">
        <f>VLOOKUP($B25,'Tillförd energi'!$B$1:$AI$720,MATCH(P$1,'Tillförd energi'!$B$1:$AQ$1,0),FALSE)</f>
        <v>0</v>
      </c>
      <c r="Q25" s="31">
        <f>VLOOKUP($B25,'Tillförd energi'!$B$1:$AI$720,MATCH(Q$1,'Tillförd energi'!$B$1:$AQ$1,0),FALSE)</f>
        <v>0</v>
      </c>
      <c r="R25" s="31">
        <f>VLOOKUP($B25,'Tillförd energi'!$B$1:$AI$720,MATCH(R$1,'Tillförd energi'!$B$1:$AQ$1,0),FALSE)</f>
        <v>0.61599999999999999</v>
      </c>
      <c r="S25" s="31">
        <f>VLOOKUP($B25,'Tillförd energi'!$B$1:$AI$720,MATCH(S$1,'Tillförd energi'!$B$1:$AQ$1,0),FALSE)</f>
        <v>0</v>
      </c>
      <c r="T25" s="31">
        <f>VLOOKUP($B25,'Tillförd energi'!$B$1:$AI$720,MATCH(T$1,'Tillförd energi'!$B$1:$AQ$1,0),FALSE)</f>
        <v>0</v>
      </c>
      <c r="U25" s="31">
        <f>VLOOKUP($B25,'Tillförd energi'!$B$1:$AI$720,MATCH(U$1,'Tillförd energi'!$B$1:$AQ$1,0),FALSE)</f>
        <v>0</v>
      </c>
      <c r="V25" s="31">
        <f>VLOOKUP($B25,'Tillförd energi'!$B$1:$AI$720,MATCH(V$1,'Tillförd energi'!$B$1:$AQ$1,0),FALSE)</f>
        <v>0</v>
      </c>
      <c r="W25" s="31">
        <f>VLOOKUP($B25,'Tillförd energi'!$B$1:$AI$720,MATCH(W$1,'Tillförd energi'!$B$1:$AQ$1,0),FALSE)</f>
        <v>0</v>
      </c>
      <c r="X25" s="31">
        <f>VLOOKUP($B25,'Tillförd energi'!$B$1:$AI$720,MATCH(X$1,'Tillförd energi'!$B$1:$AQ$1,0),FALSE)</f>
        <v>0</v>
      </c>
      <c r="Y25" s="31">
        <f>VLOOKUP($B25,'Tillförd energi'!$B$1:$AI$720,MATCH(Y$1,'Tillförd energi'!$B$1:$AQ$1,0),FALSE)</f>
        <v>0</v>
      </c>
      <c r="Z25" s="31">
        <f>VLOOKUP($B25,'Tillförd energi'!$B$1:$AI$720,MATCH(Z$1,'Tillförd energi'!$B$1:$AQ$1,0),FALSE)</f>
        <v>0</v>
      </c>
      <c r="AA25" s="31">
        <f>VLOOKUP($B25,'Tillförd energi'!$B$1:$AI$720,MATCH(AA$1,'Tillförd energi'!$B$1:$AQ$1,0),FALSE)</f>
        <v>0</v>
      </c>
      <c r="AB25" s="31">
        <f>VLOOKUP($B25,'Tillförd energi'!$B$1:$AI$720,MATCH(AB$1,'Tillförd energi'!$B$1:$AQ$1,0),FALSE)</f>
        <v>0</v>
      </c>
      <c r="AC25" s="31">
        <f>VLOOKUP($B25,'Tillförd energi'!$B$1:$AI$720,MATCH(AC$1,'Tillförd energi'!$B$1:$AQ$1,0),FALSE)</f>
        <v>0</v>
      </c>
      <c r="AD25" s="31">
        <f>VLOOKUP($B25,'Tillförd energi'!$B$1:$AI$720,MATCH(AD$1,'Tillförd energi'!$B$1:$AQ$1,0),FALSE)</f>
        <v>0</v>
      </c>
      <c r="AE25" s="31">
        <f>VLOOKUP($B25,'Tillförd energi'!$B$1:$AI$720,MATCH(AE$1,'Tillförd energi'!$B$1:$AQ$1,0),FALSE)</f>
        <v>0</v>
      </c>
      <c r="AF25" s="31">
        <f>VLOOKUP($B25,'Tillförd energi'!$B$1:$AI$720,MATCH(AF$1,'Tillförd energi'!$B$1:$AQ$1,0),FALSE)</f>
        <v>1.2E-2</v>
      </c>
      <c r="AG25" s="31">
        <f>IFERROR(VLOOKUP(B25,Miljö!$B$1:$AC$550,MATCH("Köpt mängd produktionsspecifik fjärrvärme:",Miljö!$B$1:$AC$1,0),FALSE)/1,0)</f>
        <v>0</v>
      </c>
      <c r="AI25" s="31">
        <f t="shared" si="0"/>
        <v>0.63900000000000001</v>
      </c>
      <c r="AJ25" s="31">
        <f t="shared" si="1"/>
        <v>0.63900000000000001</v>
      </c>
      <c r="AK25" s="31">
        <f>IF(ISERROR(1/VLOOKUP($B25,Leveranser!$B$1:$S$499,MATCH("Såld värme (GWh)",Leveranser!$B$1:$S$1,0),FALSE)),"",VLOOKUP($B25,Leveranser!$B$1:$S$499,MATCH("Såld värme (GWh)",Leveranser!$B$1:$S$1,0),FALSE))</f>
        <v>0.39</v>
      </c>
      <c r="AL25" s="31">
        <f>VLOOKUP($B25,Leveranser!$B$1:$Y$499,MATCH("Totalt såld fjärrvärme till andra fjärrvärmeföretag",Leveranser!$B$1:$AA$1,0),FALSE)</f>
        <v>0</v>
      </c>
      <c r="AM25" s="31">
        <f>IF(ISERROR(1/VLOOKUP($B25,Miljö!$B$1:$S$500,MATCH("Såld mängd produktionsspecifik fjärrvärme (GWh)",Miljö!$B$1:$R$1,0),FALSE)),0,VLOOKUP($B25,Miljö!$B$1:$S$500,MATCH("Såld mängd produktionsspecifik fjärrvärme (GWh)",Miljö!$B$1:$R$1,0),FALSE))</f>
        <v>0</v>
      </c>
      <c r="AN25" s="32">
        <f t="shared" si="2"/>
        <v>0.61032863849765262</v>
      </c>
      <c r="AP25" s="31" t="str">
        <f>IFERROR(VLOOKUP($B25,Miljövärden!$B$2:$H$550,7,FALSE),"Nej, saknas")</f>
        <v>Ja</v>
      </c>
      <c r="AQ25" s="31" t="str">
        <f>IFERROR(VLOOKUP($B25,Miljövärden!$B$2:$H$551,6,FALSE),"Nej, saknas")</f>
        <v>Nej</v>
      </c>
      <c r="AU25" s="31">
        <f t="shared" si="3"/>
        <v>1.2E-2</v>
      </c>
      <c r="AV25" s="31">
        <f t="shared" si="4"/>
        <v>0</v>
      </c>
      <c r="AW25" s="31">
        <f t="shared" si="5"/>
        <v>0</v>
      </c>
      <c r="AX25" s="31">
        <f t="shared" si="6"/>
        <v>0.61599999999999999</v>
      </c>
      <c r="AZ25" s="31">
        <f t="shared" si="7"/>
        <v>0.61599999999999999</v>
      </c>
      <c r="BC25" s="31">
        <f t="shared" si="8"/>
        <v>1.0999999999999999E-2</v>
      </c>
      <c r="BD25" s="31">
        <f t="shared" si="9"/>
        <v>0</v>
      </c>
      <c r="BE25" s="31">
        <f t="shared" si="10"/>
        <v>0.61599999999999999</v>
      </c>
      <c r="BF25" s="31">
        <f t="shared" si="11"/>
        <v>0</v>
      </c>
      <c r="BG25" s="31">
        <f t="shared" si="12"/>
        <v>1.2E-2</v>
      </c>
      <c r="BH25" s="31">
        <f>VLOOKUP(B25,Miljö!$B$1:$BX$482,MATCH("Fossilandel för ursprungspecificerad el ()",Miljö!$B$1:$I$1,0),FALSE)</f>
        <v>0</v>
      </c>
      <c r="BI25" s="31">
        <f>VLOOKUP(B25,Miljö!$B$1:$BX$482,MATCH("Kärnkraftsandel för ursprungsspecificerad el ()",Miljö!$B$1:$O$1,0),FALSE)</f>
        <v>0</v>
      </c>
      <c r="BJ25" s="31">
        <f t="shared" si="13"/>
        <v>0</v>
      </c>
      <c r="BK25" s="31" t="str">
        <f>VLOOKUP(B25,Miljö!$B$1:$P$482,MATCH("Fossil andel i procent (%)",Miljö!$B$1:$P$1,0),FALSE)</f>
        <v>ET</v>
      </c>
      <c r="BL25" s="31">
        <f t="shared" si="14"/>
        <v>0.63900000000000001</v>
      </c>
      <c r="BO25" s="32">
        <f t="shared" si="22"/>
        <v>1.7214397496087636E-2</v>
      </c>
      <c r="BP25" s="32">
        <f t="shared" si="15"/>
        <v>0</v>
      </c>
      <c r="BQ25" s="32">
        <f t="shared" si="16"/>
        <v>0.98278560250391234</v>
      </c>
      <c r="BR25" s="32">
        <f t="shared" si="17"/>
        <v>0</v>
      </c>
      <c r="BT25" s="62">
        <f t="shared" si="18"/>
        <v>1</v>
      </c>
      <c r="BW25" s="32">
        <f>IF(AP25="Ja",VLOOKUP(B25,Miljövärden!$B$2:$H$551,MATCH("Total andel fossilt",Miljövärden!$B$2:$H$2,0),FALSE),"")</f>
        <v>1.7214400000000001E-2</v>
      </c>
      <c r="BX25" s="62">
        <f t="shared" si="19"/>
        <v>2.5039123656422912E-9</v>
      </c>
      <c r="BZ25" s="31">
        <f t="shared" si="20"/>
        <v>2.5039123656422912E-9</v>
      </c>
      <c r="CA25" s="32">
        <f t="shared" si="21"/>
        <v>0</v>
      </c>
    </row>
    <row r="26" spans="1:79" x14ac:dyDescent="0.45">
      <c r="A26" s="31" t="s">
        <v>664</v>
      </c>
      <c r="B26" s="31" t="s">
        <v>663</v>
      </c>
      <c r="C26" s="31">
        <f>VLOOKUP($B26,'Tillförd energi'!$B$1:$AI$720,MATCH(C$1,'Tillförd energi'!$B$1:$AQ$1,0),FALSE)</f>
        <v>0</v>
      </c>
      <c r="D26" s="31">
        <f>VLOOKUP($B26,'Tillförd energi'!$B$1:$AI$720,MATCH(D$1,'Tillförd energi'!$B$1:$AQ$1,0),FALSE)</f>
        <v>1.2E-2</v>
      </c>
      <c r="E26" s="31">
        <f>VLOOKUP($B26,'Tillförd energi'!$B$1:$AI$720,MATCH(E$1,'Tillförd energi'!$B$1:$AQ$1,0),FALSE)</f>
        <v>0</v>
      </c>
      <c r="F26" s="31">
        <f>VLOOKUP($B26,'Tillförd energi'!$B$1:$AI$720,MATCH(F$1,'Tillförd energi'!$B$1:$AQ$1,0),FALSE)</f>
        <v>0</v>
      </c>
      <c r="G26" s="31">
        <f>VLOOKUP($B26,'Tillförd energi'!$B$1:$AI$720,MATCH(G$1,'Tillförd energi'!$B$1:$AQ$1,0),FALSE)</f>
        <v>0</v>
      </c>
      <c r="H26" s="31">
        <f>VLOOKUP($B26,'Tillförd energi'!$B$1:$AI$720,MATCH(H$1,'Tillförd energi'!$B$1:$AQ$1,0),FALSE)</f>
        <v>0</v>
      </c>
      <c r="I26" s="31">
        <f>VLOOKUP($B26,'Tillförd energi'!$B$1:$AI$720,MATCH(I$1,'Tillförd energi'!$B$1:$AQ$1,0),FALSE)</f>
        <v>0</v>
      </c>
      <c r="J26" s="31">
        <f>VLOOKUP($B26,'Tillförd energi'!$B$1:$AI$720,MATCH(J$1,'Tillförd energi'!$B$1:$AQ$1,0),FALSE)</f>
        <v>1.23</v>
      </c>
      <c r="K26" s="31">
        <f>VLOOKUP($B26,'Tillförd energi'!$B$1:$AI$720,MATCH(K$1,'Tillförd energi'!$B$1:$AQ$1,0),FALSE)</f>
        <v>0</v>
      </c>
      <c r="L26" s="31">
        <f>VLOOKUP($B26,'Tillförd energi'!$B$1:$AI$720,MATCH(L$1,'Tillförd energi'!$B$1:$AQ$1,0),FALSE)</f>
        <v>0</v>
      </c>
      <c r="M26" s="31">
        <f>VLOOKUP($B26,'Tillförd energi'!$B$1:$AI$720,MATCH(M$1,'Tillförd energi'!$B$1:$AQ$1,0),FALSE)</f>
        <v>0</v>
      </c>
      <c r="N26" s="31">
        <f>VLOOKUP($B26,'Tillförd energi'!$B$1:$AI$720,MATCH(N$1,'Tillförd energi'!$B$1:$AQ$1,0),FALSE)</f>
        <v>0</v>
      </c>
      <c r="O26" s="31">
        <f>VLOOKUP($B26,'Tillförd energi'!$B$1:$AI$720,MATCH(O$1,'Tillförd energi'!$B$1:$AQ$1,0),FALSE)</f>
        <v>0</v>
      </c>
      <c r="P26" s="31">
        <f>VLOOKUP($B26,'Tillförd energi'!$B$1:$AI$720,MATCH(P$1,'Tillförd energi'!$B$1:$AQ$1,0),FALSE)</f>
        <v>0</v>
      </c>
      <c r="Q26" s="31">
        <f>VLOOKUP($B26,'Tillförd energi'!$B$1:$AI$720,MATCH(Q$1,'Tillförd energi'!$B$1:$AQ$1,0),FALSE)</f>
        <v>120</v>
      </c>
      <c r="R26" s="31">
        <f>VLOOKUP($B26,'Tillförd energi'!$B$1:$AI$720,MATCH(R$1,'Tillförd energi'!$B$1:$AQ$1,0),FALSE)</f>
        <v>0</v>
      </c>
      <c r="S26" s="31">
        <f>VLOOKUP($B26,'Tillförd energi'!$B$1:$AI$720,MATCH(S$1,'Tillförd energi'!$B$1:$AQ$1,0),FALSE)</f>
        <v>0</v>
      </c>
      <c r="T26" s="31">
        <f>VLOOKUP($B26,'Tillförd energi'!$B$1:$AI$720,MATCH(T$1,'Tillförd energi'!$B$1:$AQ$1,0),FALSE)</f>
        <v>0</v>
      </c>
      <c r="U26" s="31">
        <f>VLOOKUP($B26,'Tillförd energi'!$B$1:$AI$720,MATCH(U$1,'Tillförd energi'!$B$1:$AQ$1,0),FALSE)</f>
        <v>0</v>
      </c>
      <c r="V26" s="31">
        <f>VLOOKUP($B26,'Tillförd energi'!$B$1:$AI$720,MATCH(V$1,'Tillförd energi'!$B$1:$AQ$1,0),FALSE)</f>
        <v>0</v>
      </c>
      <c r="W26" s="31">
        <f>VLOOKUP($B26,'Tillförd energi'!$B$1:$AI$720,MATCH(W$1,'Tillförd energi'!$B$1:$AQ$1,0),FALSE)</f>
        <v>8.0000000000000002E-3</v>
      </c>
      <c r="X26" s="31">
        <f>VLOOKUP($B26,'Tillförd energi'!$B$1:$AI$720,MATCH(X$1,'Tillförd energi'!$B$1:$AQ$1,0),FALSE)</f>
        <v>0</v>
      </c>
      <c r="Y26" s="31">
        <f>VLOOKUP($B26,'Tillförd energi'!$B$1:$AI$720,MATCH(Y$1,'Tillförd energi'!$B$1:$AQ$1,0),FALSE)</f>
        <v>0</v>
      </c>
      <c r="Z26" s="31">
        <f>VLOOKUP($B26,'Tillförd energi'!$B$1:$AI$720,MATCH(Z$1,'Tillförd energi'!$B$1:$AQ$1,0),FALSE)</f>
        <v>0</v>
      </c>
      <c r="AA26" s="31">
        <f>VLOOKUP($B26,'Tillförd energi'!$B$1:$AI$720,MATCH(AA$1,'Tillförd energi'!$B$1:$AQ$1,0),FALSE)</f>
        <v>0</v>
      </c>
      <c r="AB26" s="31">
        <f>VLOOKUP($B26,'Tillförd energi'!$B$1:$AI$720,MATCH(AB$1,'Tillförd energi'!$B$1:$AQ$1,0),FALSE)</f>
        <v>0</v>
      </c>
      <c r="AC26" s="31">
        <f>VLOOKUP($B26,'Tillförd energi'!$B$1:$AI$720,MATCH(AC$1,'Tillförd energi'!$B$1:$AQ$1,0),FALSE)</f>
        <v>30.314</v>
      </c>
      <c r="AD26" s="31">
        <f>VLOOKUP($B26,'Tillförd energi'!$B$1:$AI$720,MATCH(AD$1,'Tillförd energi'!$B$1:$AQ$1,0),FALSE)</f>
        <v>0</v>
      </c>
      <c r="AE26" s="31">
        <f>VLOOKUP($B26,'Tillförd energi'!$B$1:$AI$720,MATCH(AE$1,'Tillförd energi'!$B$1:$AQ$1,0),FALSE)</f>
        <v>0</v>
      </c>
      <c r="AF26" s="31">
        <f>VLOOKUP($B26,'Tillförd energi'!$B$1:$AI$720,MATCH(AF$1,'Tillförd energi'!$B$1:$AQ$1,0),FALSE)</f>
        <v>2.8</v>
      </c>
      <c r="AG26" s="31">
        <f>IFERROR(VLOOKUP(B26,Miljö!$B$1:$AC$550,MATCH("Köpt mängd produktionsspecifik fjärrvärme:",Miljö!$B$1:$AC$1,0),FALSE)/1,0)</f>
        <v>0</v>
      </c>
      <c r="AI26" s="31">
        <f t="shared" si="0"/>
        <v>154.364</v>
      </c>
      <c r="AJ26" s="31">
        <f t="shared" si="1"/>
        <v>154.364</v>
      </c>
      <c r="AK26" s="31">
        <f>IF(ISERROR(1/VLOOKUP($B26,Leveranser!$B$1:$S$499,MATCH("Såld värme (GWh)",Leveranser!$B$1:$S$1,0),FALSE)),"",VLOOKUP($B26,Leveranser!$B$1:$S$499,MATCH("Såld värme (GWh)",Leveranser!$B$1:$S$1,0),FALSE))</f>
        <v>119.2</v>
      </c>
      <c r="AL26" s="31">
        <f>VLOOKUP($B26,Leveranser!$B$1:$Y$499,MATCH("Totalt såld fjärrvärme till andra fjärrvärmeföretag",Leveranser!$B$1:$AA$1,0),FALSE)</f>
        <v>0</v>
      </c>
      <c r="AM26" s="31">
        <f>IF(ISERROR(1/VLOOKUP($B26,Miljö!$B$1:$S$500,MATCH("Såld mängd produktionsspecifik fjärrvärme (GWh)",Miljö!$B$1:$R$1,0),FALSE)),0,VLOOKUP($B26,Miljö!$B$1:$S$500,MATCH("Såld mängd produktionsspecifik fjärrvärme (GWh)",Miljö!$B$1:$R$1,0),FALSE))</f>
        <v>0</v>
      </c>
      <c r="AN26" s="32">
        <f t="shared" si="2"/>
        <v>0.77220077220077221</v>
      </c>
      <c r="AP26" s="31" t="str">
        <f>IFERROR(VLOOKUP($B26,Miljövärden!$B$2:$H$550,7,FALSE),"Nej, saknas")</f>
        <v>Ja</v>
      </c>
      <c r="AQ26" s="31" t="str">
        <f>IFERROR(VLOOKUP($B26,Miljövärden!$B$2:$H$551,6,FALSE),"Nej, saknas")</f>
        <v>Ja</v>
      </c>
      <c r="AU26" s="31">
        <f t="shared" si="3"/>
        <v>2.8</v>
      </c>
      <c r="AV26" s="31">
        <f t="shared" si="4"/>
        <v>0</v>
      </c>
      <c r="AW26" s="31">
        <f t="shared" si="5"/>
        <v>120</v>
      </c>
      <c r="AX26" s="31">
        <f t="shared" si="6"/>
        <v>0</v>
      </c>
      <c r="AZ26" s="31">
        <f t="shared" si="7"/>
        <v>120.008</v>
      </c>
      <c r="BC26" s="31">
        <f t="shared" si="8"/>
        <v>1.2E-2</v>
      </c>
      <c r="BD26" s="31">
        <f t="shared" si="9"/>
        <v>0</v>
      </c>
      <c r="BE26" s="31">
        <f t="shared" si="10"/>
        <v>120.008</v>
      </c>
      <c r="BF26" s="31">
        <f t="shared" si="11"/>
        <v>31.544</v>
      </c>
      <c r="BG26" s="31">
        <f t="shared" si="12"/>
        <v>2.8</v>
      </c>
      <c r="BH26" s="31">
        <f>VLOOKUP(B26,Miljö!$B$1:$BX$482,MATCH("Fossilandel för ursprungspecificerad el ()",Miljö!$B$1:$I$1,0),FALSE)</f>
        <v>0</v>
      </c>
      <c r="BI26" s="31">
        <f>VLOOKUP(B26,Miljö!$B$1:$BX$482,MATCH("Kärnkraftsandel för ursprungsspecificerad el ()",Miljö!$B$1:$O$1,0),FALSE)</f>
        <v>0</v>
      </c>
      <c r="BJ26" s="31">
        <f t="shared" si="13"/>
        <v>0</v>
      </c>
      <c r="BK26" s="31" t="str">
        <f>VLOOKUP(B26,Miljö!$B$1:$P$482,MATCH("Fossil andel i procent (%)",Miljö!$B$1:$P$1,0),FALSE)</f>
        <v>ET</v>
      </c>
      <c r="BL26" s="31">
        <f t="shared" si="14"/>
        <v>154.364</v>
      </c>
      <c r="BO26" s="32">
        <f t="shared" si="22"/>
        <v>7.7738332771889817E-5</v>
      </c>
      <c r="BP26" s="32">
        <f t="shared" si="15"/>
        <v>0</v>
      </c>
      <c r="BQ26" s="32">
        <f t="shared" si="16"/>
        <v>0.79557409758752029</v>
      </c>
      <c r="BR26" s="32">
        <f t="shared" si="17"/>
        <v>0.20434816407970771</v>
      </c>
      <c r="BT26" s="62">
        <f t="shared" si="18"/>
        <v>0.99999999999999989</v>
      </c>
      <c r="BW26" s="32">
        <f>IF(AP26="Ja",VLOOKUP(B26,Miljövärden!$B$2:$H$551,MATCH("Total andel fossilt",Miljövärden!$B$2:$H$2,0),FALSE),"")</f>
        <v>7.7738300000000001E-5</v>
      </c>
      <c r="BX26" s="62">
        <f t="shared" si="19"/>
        <v>-3.2771889816132251E-11</v>
      </c>
      <c r="BZ26" s="31">
        <f t="shared" si="20"/>
        <v>-3.2771889816132251E-11</v>
      </c>
      <c r="CA26" s="32">
        <f t="shared" si="21"/>
        <v>0</v>
      </c>
    </row>
    <row r="27" spans="1:79" x14ac:dyDescent="0.45">
      <c r="A27" s="31" t="s">
        <v>660</v>
      </c>
      <c r="B27" s="31" t="s">
        <v>662</v>
      </c>
      <c r="C27" s="31">
        <f>VLOOKUP($B27,'Tillförd energi'!$B$1:$AI$720,MATCH(C$1,'Tillförd energi'!$B$1:$AQ$1,0),FALSE)</f>
        <v>0</v>
      </c>
      <c r="D27" s="31">
        <f>VLOOKUP($B27,'Tillförd energi'!$B$1:$AI$720,MATCH(D$1,'Tillförd energi'!$B$1:$AQ$1,0),FALSE)</f>
        <v>0</v>
      </c>
      <c r="E27" s="31">
        <f>VLOOKUP($B27,'Tillförd energi'!$B$1:$AI$720,MATCH(E$1,'Tillförd energi'!$B$1:$AQ$1,0),FALSE)</f>
        <v>0</v>
      </c>
      <c r="F27" s="31">
        <f>VLOOKUP($B27,'Tillförd energi'!$B$1:$AI$720,MATCH(F$1,'Tillförd energi'!$B$1:$AQ$1,0),FALSE)</f>
        <v>0</v>
      </c>
      <c r="G27" s="31">
        <f>VLOOKUP($B27,'Tillförd energi'!$B$1:$AI$720,MATCH(G$1,'Tillförd energi'!$B$1:$AQ$1,0),FALSE)</f>
        <v>0</v>
      </c>
      <c r="H27" s="31">
        <f>VLOOKUP($B27,'Tillförd energi'!$B$1:$AI$720,MATCH(H$1,'Tillförd energi'!$B$1:$AQ$1,0),FALSE)</f>
        <v>0</v>
      </c>
      <c r="I27" s="31">
        <f>VLOOKUP($B27,'Tillförd energi'!$B$1:$AI$720,MATCH(I$1,'Tillförd energi'!$B$1:$AQ$1,0),FALSE)</f>
        <v>0</v>
      </c>
      <c r="J27" s="31">
        <f>VLOOKUP($B27,'Tillförd energi'!$B$1:$AI$720,MATCH(J$1,'Tillförd energi'!$B$1:$AQ$1,0),FALSE)</f>
        <v>0</v>
      </c>
      <c r="K27" s="31">
        <f>VLOOKUP($B27,'Tillförd energi'!$B$1:$AI$720,MATCH(K$1,'Tillförd energi'!$B$1:$AQ$1,0),FALSE)</f>
        <v>0</v>
      </c>
      <c r="L27" s="31">
        <f>VLOOKUP($B27,'Tillförd energi'!$B$1:$AI$720,MATCH(L$1,'Tillförd energi'!$B$1:$AQ$1,0),FALSE)</f>
        <v>0</v>
      </c>
      <c r="M27" s="31">
        <f>VLOOKUP($B27,'Tillförd energi'!$B$1:$AI$720,MATCH(M$1,'Tillförd energi'!$B$1:$AQ$1,0),FALSE)</f>
        <v>0</v>
      </c>
      <c r="N27" s="31">
        <f>VLOOKUP($B27,'Tillförd energi'!$B$1:$AI$720,MATCH(N$1,'Tillförd energi'!$B$1:$AQ$1,0),FALSE)</f>
        <v>0</v>
      </c>
      <c r="O27" s="31">
        <f>VLOOKUP($B27,'Tillförd energi'!$B$1:$AI$720,MATCH(O$1,'Tillförd energi'!$B$1:$AQ$1,0),FALSE)</f>
        <v>0</v>
      </c>
      <c r="P27" s="31">
        <f>VLOOKUP($B27,'Tillförd energi'!$B$1:$AI$720,MATCH(P$1,'Tillförd energi'!$B$1:$AQ$1,0),FALSE)</f>
        <v>0</v>
      </c>
      <c r="Q27" s="31">
        <f>VLOOKUP($B27,'Tillförd energi'!$B$1:$AI$720,MATCH(Q$1,'Tillförd energi'!$B$1:$AQ$1,0),FALSE)</f>
        <v>79</v>
      </c>
      <c r="R27" s="31">
        <f>VLOOKUP($B27,'Tillförd energi'!$B$1:$AI$720,MATCH(R$1,'Tillförd energi'!$B$1:$AQ$1,0),FALSE)</f>
        <v>0</v>
      </c>
      <c r="S27" s="31">
        <f>VLOOKUP($B27,'Tillförd energi'!$B$1:$AI$720,MATCH(S$1,'Tillförd energi'!$B$1:$AQ$1,0),FALSE)</f>
        <v>0</v>
      </c>
      <c r="T27" s="31">
        <f>VLOOKUP($B27,'Tillförd energi'!$B$1:$AI$720,MATCH(T$1,'Tillförd energi'!$B$1:$AQ$1,0),FALSE)</f>
        <v>0</v>
      </c>
      <c r="U27" s="31">
        <f>VLOOKUP($B27,'Tillförd energi'!$B$1:$AI$720,MATCH(U$1,'Tillförd energi'!$B$1:$AQ$1,0),FALSE)</f>
        <v>0</v>
      </c>
      <c r="V27" s="31">
        <f>VLOOKUP($B27,'Tillförd energi'!$B$1:$AI$720,MATCH(V$1,'Tillförd energi'!$B$1:$AQ$1,0),FALSE)</f>
        <v>0</v>
      </c>
      <c r="W27" s="31">
        <f>VLOOKUP($B27,'Tillförd energi'!$B$1:$AI$720,MATCH(W$1,'Tillförd energi'!$B$1:$AQ$1,0),FALSE)</f>
        <v>0</v>
      </c>
      <c r="X27" s="31">
        <f>VLOOKUP($B27,'Tillförd energi'!$B$1:$AI$720,MATCH(X$1,'Tillförd energi'!$B$1:$AQ$1,0),FALSE)</f>
        <v>0</v>
      </c>
      <c r="Y27" s="31">
        <f>VLOOKUP($B27,'Tillförd energi'!$B$1:$AI$720,MATCH(Y$1,'Tillförd energi'!$B$1:$AQ$1,0),FALSE)</f>
        <v>0</v>
      </c>
      <c r="Z27" s="31">
        <f>VLOOKUP($B27,'Tillförd energi'!$B$1:$AI$720,MATCH(Z$1,'Tillförd energi'!$B$1:$AQ$1,0),FALSE)</f>
        <v>0</v>
      </c>
      <c r="AA27" s="31">
        <f>VLOOKUP($B27,'Tillförd energi'!$B$1:$AI$720,MATCH(AA$1,'Tillförd energi'!$B$1:$AQ$1,0),FALSE)</f>
        <v>0</v>
      </c>
      <c r="AB27" s="31">
        <f>VLOOKUP($B27,'Tillförd energi'!$B$1:$AI$720,MATCH(AB$1,'Tillförd energi'!$B$1:$AQ$1,0),FALSE)</f>
        <v>0</v>
      </c>
      <c r="AC27" s="31">
        <f>VLOOKUP($B27,'Tillförd energi'!$B$1:$AI$720,MATCH(AC$1,'Tillförd energi'!$B$1:$AQ$1,0),FALSE)</f>
        <v>0</v>
      </c>
      <c r="AD27" s="31">
        <f>VLOOKUP($B27,'Tillförd energi'!$B$1:$AI$720,MATCH(AD$1,'Tillförd energi'!$B$1:$AQ$1,0),FALSE)</f>
        <v>0</v>
      </c>
      <c r="AE27" s="31">
        <f>VLOOKUP($B27,'Tillförd energi'!$B$1:$AI$720,MATCH(AE$1,'Tillförd energi'!$B$1:$AQ$1,0),FALSE)</f>
        <v>0</v>
      </c>
      <c r="AF27" s="31">
        <f>VLOOKUP($B27,'Tillförd energi'!$B$1:$AI$720,MATCH(AF$1,'Tillförd energi'!$B$1:$AQ$1,0),FALSE)</f>
        <v>1.6413</v>
      </c>
      <c r="AG27" s="31">
        <f>IFERROR(VLOOKUP(B27,Miljö!$B$1:$AC$550,MATCH("Köpt mängd produktionsspecifik fjärrvärme:",Miljö!$B$1:$AC$1,0),FALSE)/1,0)</f>
        <v>0</v>
      </c>
      <c r="AI27" s="31">
        <f t="shared" si="0"/>
        <v>80.641300000000001</v>
      </c>
      <c r="AJ27" s="31">
        <f t="shared" si="1"/>
        <v>80.641300000000001</v>
      </c>
      <c r="AK27" s="31">
        <f>IF(ISERROR(1/VLOOKUP($B27,Leveranser!$B$1:$S$499,MATCH("Såld värme (GWh)",Leveranser!$B$1:$S$1,0),FALSE)),"",VLOOKUP($B27,Leveranser!$B$1:$S$499,MATCH("Såld värme (GWh)",Leveranser!$B$1:$S$1,0),FALSE))</f>
        <v>54.71</v>
      </c>
      <c r="AL27" s="31">
        <f>VLOOKUP($B27,Leveranser!$B$1:$Y$499,MATCH("Totalt såld fjärrvärme till andra fjärrvärmeföretag",Leveranser!$B$1:$AA$1,0),FALSE)</f>
        <v>0</v>
      </c>
      <c r="AM27" s="31">
        <f>IF(ISERROR(1/VLOOKUP($B27,Miljö!$B$1:$S$500,MATCH("Såld mängd produktionsspecifik fjärrvärme (GWh)",Miljö!$B$1:$R$1,0),FALSE)),0,VLOOKUP($B27,Miljö!$B$1:$S$500,MATCH("Såld mängd produktionsspecifik fjärrvärme (GWh)",Miljö!$B$1:$R$1,0),FALSE))</f>
        <v>0</v>
      </c>
      <c r="AN27" s="32">
        <f t="shared" si="2"/>
        <v>0.67843648353883179</v>
      </c>
      <c r="AP27" s="31" t="str">
        <f>IFERROR(VLOOKUP($B27,Miljövärden!$B$2:$H$550,7,FALSE),"Nej, saknas")</f>
        <v>Ja</v>
      </c>
      <c r="AQ27" s="31" t="str">
        <f>IFERROR(VLOOKUP($B27,Miljövärden!$B$2:$H$551,6,FALSE),"Nej, saknas")</f>
        <v>Ja</v>
      </c>
      <c r="AU27" s="31">
        <f t="shared" si="3"/>
        <v>1.6413</v>
      </c>
      <c r="AV27" s="31">
        <f t="shared" si="4"/>
        <v>0</v>
      </c>
      <c r="AW27" s="31">
        <f t="shared" si="5"/>
        <v>79</v>
      </c>
      <c r="AX27" s="31">
        <f t="shared" si="6"/>
        <v>0</v>
      </c>
      <c r="AZ27" s="31">
        <f t="shared" si="7"/>
        <v>79</v>
      </c>
      <c r="BC27" s="31">
        <f t="shared" si="8"/>
        <v>0</v>
      </c>
      <c r="BD27" s="31">
        <f t="shared" si="9"/>
        <v>0</v>
      </c>
      <c r="BE27" s="31">
        <f t="shared" si="10"/>
        <v>79</v>
      </c>
      <c r="BF27" s="31">
        <f t="shared" si="11"/>
        <v>0</v>
      </c>
      <c r="BG27" s="31">
        <f t="shared" si="12"/>
        <v>1.6413</v>
      </c>
      <c r="BH27" s="31">
        <f>VLOOKUP(B27,Miljö!$B$1:$BX$482,MATCH("Fossilandel för ursprungspecificerad el ()",Miljö!$B$1:$I$1,0),FALSE)</f>
        <v>0.35</v>
      </c>
      <c r="BI27" s="31">
        <f>VLOOKUP(B27,Miljö!$B$1:$BX$482,MATCH("Kärnkraftsandel för ursprungsspecificerad el ()",Miljö!$B$1:$O$1,0),FALSE)</f>
        <v>0.3977</v>
      </c>
      <c r="BJ27" s="31">
        <f t="shared" si="13"/>
        <v>0</v>
      </c>
      <c r="BK27" s="31" t="str">
        <f>VLOOKUP(B27,Miljö!$B$1:$P$482,MATCH("Fossil andel i procent (%)",Miljö!$B$1:$P$1,0),FALSE)</f>
        <v>ET</v>
      </c>
      <c r="BL27" s="31">
        <f t="shared" si="14"/>
        <v>80.641300000000001</v>
      </c>
      <c r="BO27" s="32">
        <f t="shared" si="22"/>
        <v>7.1235830771577335E-3</v>
      </c>
      <c r="BP27" s="32">
        <f t="shared" si="15"/>
        <v>8.0944256851018023E-3</v>
      </c>
      <c r="BQ27" s="32">
        <f t="shared" si="16"/>
        <v>0.98478199123774046</v>
      </c>
      <c r="BR27" s="32">
        <f t="shared" si="17"/>
        <v>0</v>
      </c>
      <c r="BT27" s="62">
        <f t="shared" si="18"/>
        <v>1</v>
      </c>
      <c r="BW27" s="32">
        <f>IF(AP27="Ja",VLOOKUP(B27,Miljövärden!$B$2:$H$551,MATCH("Total andel fossilt",Miljövärden!$B$2:$H$2,0),FALSE),"")</f>
        <v>7.12358E-3</v>
      </c>
      <c r="BX27" s="62">
        <f t="shared" si="19"/>
        <v>-3.0771577334831601E-9</v>
      </c>
      <c r="BZ27" s="31">
        <f t="shared" si="20"/>
        <v>-3.0771577334831601E-9</v>
      </c>
      <c r="CA27" s="32">
        <f t="shared" si="21"/>
        <v>0</v>
      </c>
    </row>
    <row r="28" spans="1:79" x14ac:dyDescent="0.45">
      <c r="A28" s="31" t="s">
        <v>660</v>
      </c>
      <c r="B28" s="31" t="s">
        <v>661</v>
      </c>
      <c r="C28" s="31">
        <f>VLOOKUP($B28,'Tillförd energi'!$B$1:$AI$720,MATCH(C$1,'Tillförd energi'!$B$1:$AQ$1,0),FALSE)</f>
        <v>0</v>
      </c>
      <c r="D28" s="31">
        <f>VLOOKUP($B28,'Tillförd energi'!$B$1:$AI$720,MATCH(D$1,'Tillförd energi'!$B$1:$AQ$1,0),FALSE)</f>
        <v>0</v>
      </c>
      <c r="E28" s="31">
        <f>VLOOKUP($B28,'Tillförd energi'!$B$1:$AI$720,MATCH(E$1,'Tillförd energi'!$B$1:$AQ$1,0),FALSE)</f>
        <v>0</v>
      </c>
      <c r="F28" s="31">
        <f>VLOOKUP($B28,'Tillförd energi'!$B$1:$AI$720,MATCH(F$1,'Tillförd energi'!$B$1:$AQ$1,0),FALSE)</f>
        <v>0</v>
      </c>
      <c r="G28" s="31">
        <f>VLOOKUP($B28,'Tillförd energi'!$B$1:$AI$720,MATCH(G$1,'Tillförd energi'!$B$1:$AQ$1,0),FALSE)</f>
        <v>0</v>
      </c>
      <c r="H28" s="31">
        <f>VLOOKUP($B28,'Tillförd energi'!$B$1:$AI$720,MATCH(H$1,'Tillförd energi'!$B$1:$AQ$1,0),FALSE)</f>
        <v>0</v>
      </c>
      <c r="I28" s="31">
        <f>VLOOKUP($B28,'Tillförd energi'!$B$1:$AI$720,MATCH(I$1,'Tillförd energi'!$B$1:$AQ$1,0),FALSE)</f>
        <v>0</v>
      </c>
      <c r="J28" s="31">
        <f>VLOOKUP($B28,'Tillförd energi'!$B$1:$AI$720,MATCH(J$1,'Tillförd energi'!$B$1:$AQ$1,0),FALSE)</f>
        <v>0</v>
      </c>
      <c r="K28" s="31">
        <f>VLOOKUP($B28,'Tillförd energi'!$B$1:$AI$720,MATCH(K$1,'Tillförd energi'!$B$1:$AQ$1,0),FALSE)</f>
        <v>0</v>
      </c>
      <c r="L28" s="31">
        <f>VLOOKUP($B28,'Tillförd energi'!$B$1:$AI$720,MATCH(L$1,'Tillförd energi'!$B$1:$AQ$1,0),FALSE)</f>
        <v>0</v>
      </c>
      <c r="M28" s="31">
        <f>VLOOKUP($B28,'Tillförd energi'!$B$1:$AI$720,MATCH(M$1,'Tillförd energi'!$B$1:$AQ$1,0),FALSE)</f>
        <v>0</v>
      </c>
      <c r="N28" s="31">
        <f>VLOOKUP($B28,'Tillförd energi'!$B$1:$AI$720,MATCH(N$1,'Tillförd energi'!$B$1:$AQ$1,0),FALSE)</f>
        <v>0</v>
      </c>
      <c r="O28" s="31">
        <f>VLOOKUP($B28,'Tillförd energi'!$B$1:$AI$720,MATCH(O$1,'Tillförd energi'!$B$1:$AQ$1,0),FALSE)</f>
        <v>0</v>
      </c>
      <c r="P28" s="31">
        <f>VLOOKUP($B28,'Tillförd energi'!$B$1:$AI$720,MATCH(P$1,'Tillförd energi'!$B$1:$AQ$1,0),FALSE)</f>
        <v>0</v>
      </c>
      <c r="Q28" s="31">
        <f>VLOOKUP($B28,'Tillförd energi'!$B$1:$AI$720,MATCH(Q$1,'Tillförd energi'!$B$1:$AQ$1,0),FALSE)</f>
        <v>16</v>
      </c>
      <c r="R28" s="31">
        <f>VLOOKUP($B28,'Tillförd energi'!$B$1:$AI$720,MATCH(R$1,'Tillförd energi'!$B$1:$AQ$1,0),FALSE)</f>
        <v>0</v>
      </c>
      <c r="S28" s="31">
        <f>VLOOKUP($B28,'Tillförd energi'!$B$1:$AI$720,MATCH(S$1,'Tillförd energi'!$B$1:$AQ$1,0),FALSE)</f>
        <v>0</v>
      </c>
      <c r="T28" s="31">
        <f>VLOOKUP($B28,'Tillförd energi'!$B$1:$AI$720,MATCH(T$1,'Tillförd energi'!$B$1:$AQ$1,0),FALSE)</f>
        <v>0</v>
      </c>
      <c r="U28" s="31">
        <f>VLOOKUP($B28,'Tillförd energi'!$B$1:$AI$720,MATCH(U$1,'Tillförd energi'!$B$1:$AQ$1,0),FALSE)</f>
        <v>0</v>
      </c>
      <c r="V28" s="31">
        <f>VLOOKUP($B28,'Tillförd energi'!$B$1:$AI$720,MATCH(V$1,'Tillförd energi'!$B$1:$AQ$1,0),FALSE)</f>
        <v>0</v>
      </c>
      <c r="W28" s="31">
        <f>VLOOKUP($B28,'Tillförd energi'!$B$1:$AI$720,MATCH(W$1,'Tillförd energi'!$B$1:$AQ$1,0),FALSE)</f>
        <v>0</v>
      </c>
      <c r="X28" s="31">
        <f>VLOOKUP($B28,'Tillförd energi'!$B$1:$AI$720,MATCH(X$1,'Tillförd energi'!$B$1:$AQ$1,0),FALSE)</f>
        <v>0</v>
      </c>
      <c r="Y28" s="31">
        <f>VLOOKUP($B28,'Tillförd energi'!$B$1:$AI$720,MATCH(Y$1,'Tillförd energi'!$B$1:$AQ$1,0),FALSE)</f>
        <v>0</v>
      </c>
      <c r="Z28" s="31">
        <f>VLOOKUP($B28,'Tillförd energi'!$B$1:$AI$720,MATCH(Z$1,'Tillförd energi'!$B$1:$AQ$1,0),FALSE)</f>
        <v>0</v>
      </c>
      <c r="AA28" s="31">
        <f>VLOOKUP($B28,'Tillförd energi'!$B$1:$AI$720,MATCH(AA$1,'Tillförd energi'!$B$1:$AQ$1,0),FALSE)</f>
        <v>0</v>
      </c>
      <c r="AB28" s="31">
        <f>VLOOKUP($B28,'Tillförd energi'!$B$1:$AI$720,MATCH(AB$1,'Tillförd energi'!$B$1:$AQ$1,0),FALSE)</f>
        <v>0</v>
      </c>
      <c r="AC28" s="31">
        <f>VLOOKUP($B28,'Tillförd energi'!$B$1:$AI$720,MATCH(AC$1,'Tillförd energi'!$B$1:$AQ$1,0),FALSE)</f>
        <v>0</v>
      </c>
      <c r="AD28" s="31">
        <f>VLOOKUP($B28,'Tillförd energi'!$B$1:$AI$720,MATCH(AD$1,'Tillförd energi'!$B$1:$AQ$1,0),FALSE)</f>
        <v>0</v>
      </c>
      <c r="AE28" s="31">
        <f>VLOOKUP($B28,'Tillförd energi'!$B$1:$AI$720,MATCH(AE$1,'Tillförd energi'!$B$1:$AQ$1,0),FALSE)</f>
        <v>0</v>
      </c>
      <c r="AF28" s="31">
        <f>VLOOKUP($B28,'Tillförd energi'!$B$1:$AI$720,MATCH(AF$1,'Tillförd energi'!$B$1:$AQ$1,0),FALSE)</f>
        <v>0.32129999999999997</v>
      </c>
      <c r="AG28" s="31">
        <f>IFERROR(VLOOKUP(B28,Miljö!$B$1:$AC$550,MATCH("Köpt mängd produktionsspecifik fjärrvärme:",Miljö!$B$1:$AC$1,0),FALSE)/1,0)</f>
        <v>0</v>
      </c>
      <c r="AI28" s="31">
        <f t="shared" si="0"/>
        <v>16.321300000000001</v>
      </c>
      <c r="AJ28" s="31">
        <f t="shared" si="1"/>
        <v>16.321300000000001</v>
      </c>
      <c r="AK28" s="31">
        <f>IF(ISERROR(1/VLOOKUP($B28,Leveranser!$B$1:$S$499,MATCH("Såld värme (GWh)",Leveranser!$B$1:$S$1,0),FALSE)),"",VLOOKUP($B28,Leveranser!$B$1:$S$499,MATCH("Såld värme (GWh)",Leveranser!$B$1:$S$1,0),FALSE))</f>
        <v>10.71</v>
      </c>
      <c r="AL28" s="31">
        <f>VLOOKUP($B28,Leveranser!$B$1:$Y$499,MATCH("Totalt såld fjärrvärme till andra fjärrvärmeföretag",Leveranser!$B$1:$AA$1,0),FALSE)</f>
        <v>0</v>
      </c>
      <c r="AM28" s="31">
        <f>IF(ISERROR(1/VLOOKUP($B28,Miljö!$B$1:$S$500,MATCH("Såld mängd produktionsspecifik fjärrvärme (GWh)",Miljö!$B$1:$R$1,0),FALSE)),0,VLOOKUP($B28,Miljö!$B$1:$S$500,MATCH("Såld mängd produktionsspecifik fjärrvärme (GWh)",Miljö!$B$1:$R$1,0),FALSE))</f>
        <v>0</v>
      </c>
      <c r="AN28" s="32">
        <f t="shared" si="2"/>
        <v>0.65619772934753973</v>
      </c>
      <c r="AP28" s="31" t="str">
        <f>IFERROR(VLOOKUP($B28,Miljövärden!$B$2:$H$550,7,FALSE),"Nej, saknas")</f>
        <v>Ja</v>
      </c>
      <c r="AQ28" s="31" t="str">
        <f>IFERROR(VLOOKUP($B28,Miljövärden!$B$2:$H$551,6,FALSE),"Nej, saknas")</f>
        <v>Ja</v>
      </c>
      <c r="AU28" s="31">
        <f t="shared" si="3"/>
        <v>0.32129999999999997</v>
      </c>
      <c r="AV28" s="31">
        <f t="shared" si="4"/>
        <v>0</v>
      </c>
      <c r="AW28" s="31">
        <f t="shared" si="5"/>
        <v>16</v>
      </c>
      <c r="AX28" s="31">
        <f t="shared" si="6"/>
        <v>0</v>
      </c>
      <c r="AZ28" s="31">
        <f t="shared" si="7"/>
        <v>16</v>
      </c>
      <c r="BC28" s="31">
        <f t="shared" si="8"/>
        <v>0</v>
      </c>
      <c r="BD28" s="31">
        <f t="shared" si="9"/>
        <v>0</v>
      </c>
      <c r="BE28" s="31">
        <f t="shared" si="10"/>
        <v>16</v>
      </c>
      <c r="BF28" s="31">
        <f t="shared" si="11"/>
        <v>0</v>
      </c>
      <c r="BG28" s="31">
        <f t="shared" si="12"/>
        <v>0.32129999999999997</v>
      </c>
      <c r="BH28" s="31">
        <f>VLOOKUP(B28,Miljö!$B$1:$BX$482,MATCH("Fossilandel för ursprungspecificerad el ()",Miljö!$B$1:$I$1,0),FALSE)</f>
        <v>0.35</v>
      </c>
      <c r="BI28" s="31">
        <f>VLOOKUP(B28,Miljö!$B$1:$BX$482,MATCH("Kärnkraftsandel för ursprungsspecificerad el ()",Miljö!$B$1:$O$1,0),FALSE)</f>
        <v>0.3977</v>
      </c>
      <c r="BJ28" s="31">
        <f t="shared" si="13"/>
        <v>0</v>
      </c>
      <c r="BK28" s="31" t="str">
        <f>VLOOKUP(B28,Miljö!$B$1:$P$482,MATCH("Fossil andel i procent (%)",Miljö!$B$1:$P$1,0),FALSE)</f>
        <v>ET</v>
      </c>
      <c r="BL28" s="31">
        <f t="shared" si="14"/>
        <v>16.321300000000001</v>
      </c>
      <c r="BO28" s="32">
        <f t="shared" si="22"/>
        <v>6.8900761581491658E-3</v>
      </c>
      <c r="BP28" s="32">
        <f t="shared" si="15"/>
        <v>7.8290951088454963E-3</v>
      </c>
      <c r="BQ28" s="32">
        <f t="shared" si="16"/>
        <v>0.98528082873300527</v>
      </c>
      <c r="BR28" s="32">
        <f t="shared" si="17"/>
        <v>0</v>
      </c>
      <c r="BT28" s="62">
        <f t="shared" si="18"/>
        <v>0.99999999999999989</v>
      </c>
      <c r="BW28" s="32">
        <f>IF(AP28="Ja",VLOOKUP(B28,Miljövärden!$B$2:$H$551,MATCH("Total andel fossilt",Miljövärden!$B$2:$H$2,0),FALSE),"")</f>
        <v>6.8900799999999998E-3</v>
      </c>
      <c r="BX28" s="62">
        <f t="shared" si="19"/>
        <v>3.8418508339910229E-9</v>
      </c>
      <c r="BZ28" s="31">
        <f t="shared" si="20"/>
        <v>3.8418508339910229E-9</v>
      </c>
      <c r="CA28" s="32">
        <f t="shared" si="21"/>
        <v>0</v>
      </c>
    </row>
    <row r="29" spans="1:79" x14ac:dyDescent="0.45">
      <c r="A29" s="31" t="s">
        <v>660</v>
      </c>
      <c r="B29" s="31" t="s">
        <v>659</v>
      </c>
      <c r="C29" s="31">
        <f>VLOOKUP($B29,'Tillförd energi'!$B$1:$AI$720,MATCH(C$1,'Tillförd energi'!$B$1:$AQ$1,0),FALSE)</f>
        <v>0</v>
      </c>
      <c r="D29" s="31">
        <f>VLOOKUP($B29,'Tillförd energi'!$B$1:$AI$720,MATCH(D$1,'Tillförd energi'!$B$1:$AQ$1,0),FALSE)</f>
        <v>0</v>
      </c>
      <c r="E29" s="31">
        <f>VLOOKUP($B29,'Tillförd energi'!$B$1:$AI$720,MATCH(E$1,'Tillförd energi'!$B$1:$AQ$1,0),FALSE)</f>
        <v>0</v>
      </c>
      <c r="F29" s="31">
        <f>VLOOKUP($B29,'Tillförd energi'!$B$1:$AI$720,MATCH(F$1,'Tillförd energi'!$B$1:$AQ$1,0),FALSE)</f>
        <v>0</v>
      </c>
      <c r="G29" s="31">
        <f>VLOOKUP($B29,'Tillförd energi'!$B$1:$AI$720,MATCH(G$1,'Tillförd energi'!$B$1:$AQ$1,0),FALSE)</f>
        <v>0</v>
      </c>
      <c r="H29" s="31">
        <f>VLOOKUP($B29,'Tillförd energi'!$B$1:$AI$720,MATCH(H$1,'Tillförd energi'!$B$1:$AQ$1,0),FALSE)</f>
        <v>0</v>
      </c>
      <c r="I29" s="31">
        <f>VLOOKUP($B29,'Tillförd energi'!$B$1:$AI$720,MATCH(I$1,'Tillförd energi'!$B$1:$AQ$1,0),FALSE)</f>
        <v>0</v>
      </c>
      <c r="J29" s="31">
        <f>VLOOKUP($B29,'Tillförd energi'!$B$1:$AI$720,MATCH(J$1,'Tillförd energi'!$B$1:$AQ$1,0),FALSE)</f>
        <v>0</v>
      </c>
      <c r="K29" s="31">
        <f>VLOOKUP($B29,'Tillförd energi'!$B$1:$AI$720,MATCH(K$1,'Tillförd energi'!$B$1:$AQ$1,0),FALSE)</f>
        <v>0</v>
      </c>
      <c r="L29" s="31">
        <f>VLOOKUP($B29,'Tillförd energi'!$B$1:$AI$720,MATCH(L$1,'Tillförd energi'!$B$1:$AQ$1,0),FALSE)</f>
        <v>0</v>
      </c>
      <c r="M29" s="31">
        <f>VLOOKUP($B29,'Tillförd energi'!$B$1:$AI$720,MATCH(M$1,'Tillförd energi'!$B$1:$AQ$1,0),FALSE)</f>
        <v>0</v>
      </c>
      <c r="N29" s="31">
        <f>VLOOKUP($B29,'Tillförd energi'!$B$1:$AI$720,MATCH(N$1,'Tillförd energi'!$B$1:$AQ$1,0),FALSE)</f>
        <v>0</v>
      </c>
      <c r="O29" s="31">
        <f>VLOOKUP($B29,'Tillförd energi'!$B$1:$AI$720,MATCH(O$1,'Tillförd energi'!$B$1:$AQ$1,0),FALSE)</f>
        <v>0</v>
      </c>
      <c r="P29" s="31">
        <f>VLOOKUP($B29,'Tillförd energi'!$B$1:$AI$720,MATCH(P$1,'Tillförd energi'!$B$1:$AQ$1,0),FALSE)</f>
        <v>0</v>
      </c>
      <c r="Q29" s="31">
        <f>VLOOKUP($B29,'Tillförd energi'!$B$1:$AI$720,MATCH(Q$1,'Tillförd energi'!$B$1:$AQ$1,0),FALSE)</f>
        <v>22</v>
      </c>
      <c r="R29" s="31">
        <f>VLOOKUP($B29,'Tillförd energi'!$B$1:$AI$720,MATCH(R$1,'Tillförd energi'!$B$1:$AQ$1,0),FALSE)</f>
        <v>0</v>
      </c>
      <c r="S29" s="31">
        <f>VLOOKUP($B29,'Tillförd energi'!$B$1:$AI$720,MATCH(S$1,'Tillförd energi'!$B$1:$AQ$1,0),FALSE)</f>
        <v>0</v>
      </c>
      <c r="T29" s="31">
        <f>VLOOKUP($B29,'Tillförd energi'!$B$1:$AI$720,MATCH(T$1,'Tillförd energi'!$B$1:$AQ$1,0),FALSE)</f>
        <v>0</v>
      </c>
      <c r="U29" s="31">
        <f>VLOOKUP($B29,'Tillförd energi'!$B$1:$AI$720,MATCH(U$1,'Tillförd energi'!$B$1:$AQ$1,0),FALSE)</f>
        <v>0</v>
      </c>
      <c r="V29" s="31">
        <f>VLOOKUP($B29,'Tillförd energi'!$B$1:$AI$720,MATCH(V$1,'Tillförd energi'!$B$1:$AQ$1,0),FALSE)</f>
        <v>0</v>
      </c>
      <c r="W29" s="31">
        <f>VLOOKUP($B29,'Tillförd energi'!$B$1:$AI$720,MATCH(W$1,'Tillförd energi'!$B$1:$AQ$1,0),FALSE)</f>
        <v>0</v>
      </c>
      <c r="X29" s="31">
        <f>VLOOKUP($B29,'Tillförd energi'!$B$1:$AI$720,MATCH(X$1,'Tillförd energi'!$B$1:$AQ$1,0),FALSE)</f>
        <v>0</v>
      </c>
      <c r="Y29" s="31">
        <f>VLOOKUP($B29,'Tillförd energi'!$B$1:$AI$720,MATCH(Y$1,'Tillförd energi'!$B$1:$AQ$1,0),FALSE)</f>
        <v>0</v>
      </c>
      <c r="Z29" s="31">
        <f>VLOOKUP($B29,'Tillförd energi'!$B$1:$AI$720,MATCH(Z$1,'Tillförd energi'!$B$1:$AQ$1,0),FALSE)</f>
        <v>0</v>
      </c>
      <c r="AA29" s="31">
        <f>VLOOKUP($B29,'Tillförd energi'!$B$1:$AI$720,MATCH(AA$1,'Tillförd energi'!$B$1:$AQ$1,0),FALSE)</f>
        <v>0</v>
      </c>
      <c r="AB29" s="31">
        <f>VLOOKUP($B29,'Tillförd energi'!$B$1:$AI$720,MATCH(AB$1,'Tillförd energi'!$B$1:$AQ$1,0),FALSE)</f>
        <v>0</v>
      </c>
      <c r="AC29" s="31">
        <f>VLOOKUP($B29,'Tillförd energi'!$B$1:$AI$720,MATCH(AC$1,'Tillförd energi'!$B$1:$AQ$1,0),FALSE)</f>
        <v>0</v>
      </c>
      <c r="AD29" s="31">
        <f>VLOOKUP($B29,'Tillförd energi'!$B$1:$AI$720,MATCH(AD$1,'Tillförd energi'!$B$1:$AQ$1,0),FALSE)</f>
        <v>0</v>
      </c>
      <c r="AE29" s="31">
        <f>VLOOKUP($B29,'Tillförd energi'!$B$1:$AI$720,MATCH(AE$1,'Tillförd energi'!$B$1:$AQ$1,0),FALSE)</f>
        <v>0</v>
      </c>
      <c r="AF29" s="31">
        <f>VLOOKUP($B29,'Tillförd energi'!$B$1:$AI$720,MATCH(AF$1,'Tillförd energi'!$B$1:$AQ$1,0),FALSE)</f>
        <v>0.48480000000000001</v>
      </c>
      <c r="AG29" s="31">
        <f>IFERROR(VLOOKUP(B29,Miljö!$B$1:$AC$550,MATCH("Köpt mängd produktionsspecifik fjärrvärme:",Miljö!$B$1:$AC$1,0),FALSE)/1,0)</f>
        <v>0</v>
      </c>
      <c r="AI29" s="31">
        <f t="shared" si="0"/>
        <v>22.4848</v>
      </c>
      <c r="AJ29" s="31">
        <f t="shared" si="1"/>
        <v>22.4848</v>
      </c>
      <c r="AK29" s="31">
        <f>IF(ISERROR(1/VLOOKUP($B29,Leveranser!$B$1:$S$499,MATCH("Såld värme (GWh)",Leveranser!$B$1:$S$1,0),FALSE)),"",VLOOKUP($B29,Leveranser!$B$1:$S$499,MATCH("Såld värme (GWh)",Leveranser!$B$1:$S$1,0),FALSE))</f>
        <v>16.16</v>
      </c>
      <c r="AL29" s="31">
        <f>VLOOKUP($B29,Leveranser!$B$1:$Y$499,MATCH("Totalt såld fjärrvärme till andra fjärrvärmeföretag",Leveranser!$B$1:$AA$1,0),FALSE)</f>
        <v>0</v>
      </c>
      <c r="AM29" s="31">
        <f>IF(ISERROR(1/VLOOKUP($B29,Miljö!$B$1:$S$500,MATCH("Såld mängd produktionsspecifik fjärrvärme (GWh)",Miljö!$B$1:$R$1,0),FALSE)),0,VLOOKUP($B29,Miljö!$B$1:$S$500,MATCH("Såld mängd produktionsspecifik fjärrvärme (GWh)",Miljö!$B$1:$R$1,0),FALSE))</f>
        <v>0</v>
      </c>
      <c r="AN29" s="32">
        <f t="shared" si="2"/>
        <v>0.71870774923503877</v>
      </c>
      <c r="AP29" s="31" t="str">
        <f>IFERROR(VLOOKUP($B29,Miljövärden!$B$2:$H$550,7,FALSE),"Nej, saknas")</f>
        <v>Ja</v>
      </c>
      <c r="AQ29" s="31" t="str">
        <f>IFERROR(VLOOKUP($B29,Miljövärden!$B$2:$H$551,6,FALSE),"Nej, saknas")</f>
        <v>Ja</v>
      </c>
      <c r="AU29" s="31">
        <f t="shared" si="3"/>
        <v>0.48480000000000001</v>
      </c>
      <c r="AV29" s="31">
        <f t="shared" si="4"/>
        <v>0</v>
      </c>
      <c r="AW29" s="31">
        <f t="shared" si="5"/>
        <v>22</v>
      </c>
      <c r="AX29" s="31">
        <f t="shared" si="6"/>
        <v>0</v>
      </c>
      <c r="AZ29" s="31">
        <f t="shared" si="7"/>
        <v>22</v>
      </c>
      <c r="BC29" s="31">
        <f t="shared" si="8"/>
        <v>0</v>
      </c>
      <c r="BD29" s="31">
        <f t="shared" si="9"/>
        <v>0</v>
      </c>
      <c r="BE29" s="31">
        <f t="shared" si="10"/>
        <v>22</v>
      </c>
      <c r="BF29" s="31">
        <f t="shared" si="11"/>
        <v>0</v>
      </c>
      <c r="BG29" s="31">
        <f t="shared" si="12"/>
        <v>0.48480000000000001</v>
      </c>
      <c r="BH29" s="31">
        <f>VLOOKUP(B29,Miljö!$B$1:$BX$482,MATCH("Fossilandel för ursprungspecificerad el ()",Miljö!$B$1:$I$1,0),FALSE)</f>
        <v>0.35</v>
      </c>
      <c r="BI29" s="31">
        <f>VLOOKUP(B29,Miljö!$B$1:$BX$482,MATCH("Kärnkraftsandel för ursprungsspecificerad el ()",Miljö!$B$1:$O$1,0),FALSE)</f>
        <v>0.3977</v>
      </c>
      <c r="BJ29" s="31">
        <f t="shared" si="13"/>
        <v>0</v>
      </c>
      <c r="BK29" s="31" t="str">
        <f>VLOOKUP(B29,Miljö!$B$1:$P$482,MATCH("Fossil andel i procent (%)",Miljö!$B$1:$P$1,0),FALSE)</f>
        <v>ET</v>
      </c>
      <c r="BL29" s="31">
        <f t="shared" si="14"/>
        <v>22.4848</v>
      </c>
      <c r="BO29" s="32">
        <f t="shared" si="22"/>
        <v>7.5464313669679067E-3</v>
      </c>
      <c r="BP29" s="32">
        <f t="shared" si="15"/>
        <v>8.5749021561232468E-3</v>
      </c>
      <c r="BQ29" s="32">
        <f t="shared" si="16"/>
        <v>0.9838786664769088</v>
      </c>
      <c r="BR29" s="32">
        <f t="shared" si="17"/>
        <v>0</v>
      </c>
      <c r="BT29" s="62">
        <f t="shared" si="18"/>
        <v>1</v>
      </c>
      <c r="BW29" s="32">
        <f>IF(AP29="Ja",VLOOKUP(B29,Miljövärden!$B$2:$H$551,MATCH("Total andel fossilt",Miljövärden!$B$2:$H$2,0),FALSE),"")</f>
        <v>7.5464299999999998E-3</v>
      </c>
      <c r="BX29" s="62">
        <f t="shared" si="19"/>
        <v>-1.3669679069239216E-9</v>
      </c>
      <c r="BZ29" s="31">
        <f t="shared" si="20"/>
        <v>-1.3669679069239216E-9</v>
      </c>
      <c r="CA29" s="32">
        <f t="shared" si="21"/>
        <v>0</v>
      </c>
    </row>
    <row r="30" spans="1:79" x14ac:dyDescent="0.45">
      <c r="A30" s="31" t="s">
        <v>657</v>
      </c>
      <c r="B30" s="31" t="s">
        <v>656</v>
      </c>
      <c r="C30" s="31">
        <f>VLOOKUP($B30,'Tillförd energi'!$B$1:$AI$720,MATCH(C$1,'Tillförd energi'!$B$1:$AQ$1,0),FALSE)</f>
        <v>0</v>
      </c>
      <c r="D30" s="31">
        <f>VLOOKUP($B30,'Tillförd energi'!$B$1:$AI$720,MATCH(D$1,'Tillförd energi'!$B$1:$AQ$1,0),FALSE)</f>
        <v>0</v>
      </c>
      <c r="E30" s="31">
        <f>VLOOKUP($B30,'Tillförd energi'!$B$1:$AI$720,MATCH(E$1,'Tillförd energi'!$B$1:$AQ$1,0),FALSE)</f>
        <v>0</v>
      </c>
      <c r="F30" s="31">
        <f>VLOOKUP($B30,'Tillförd energi'!$B$1:$AI$720,MATCH(F$1,'Tillförd energi'!$B$1:$AQ$1,0),FALSE)</f>
        <v>0</v>
      </c>
      <c r="G30" s="31">
        <f>VLOOKUP($B30,'Tillförd energi'!$B$1:$AI$720,MATCH(G$1,'Tillförd energi'!$B$1:$AQ$1,0),FALSE)</f>
        <v>0</v>
      </c>
      <c r="H30" s="31">
        <f>VLOOKUP($B30,'Tillförd energi'!$B$1:$AI$720,MATCH(H$1,'Tillförd energi'!$B$1:$AQ$1,0),FALSE)</f>
        <v>0</v>
      </c>
      <c r="I30" s="31">
        <f>VLOOKUP($B30,'Tillförd energi'!$B$1:$AI$720,MATCH(I$1,'Tillförd energi'!$B$1:$AQ$1,0),FALSE)</f>
        <v>0</v>
      </c>
      <c r="J30" s="31">
        <f>VLOOKUP($B30,'Tillförd energi'!$B$1:$AI$720,MATCH(J$1,'Tillförd energi'!$B$1:$AQ$1,0),FALSE)</f>
        <v>0</v>
      </c>
      <c r="K30" s="31">
        <f>VLOOKUP($B30,'Tillförd energi'!$B$1:$AI$720,MATCH(K$1,'Tillförd energi'!$B$1:$AQ$1,0),FALSE)</f>
        <v>0</v>
      </c>
      <c r="L30" s="31">
        <f>VLOOKUP($B30,'Tillförd energi'!$B$1:$AI$720,MATCH(L$1,'Tillförd energi'!$B$1:$AQ$1,0),FALSE)</f>
        <v>0</v>
      </c>
      <c r="M30" s="31">
        <f>VLOOKUP($B30,'Tillförd energi'!$B$1:$AI$720,MATCH(M$1,'Tillförd energi'!$B$1:$AQ$1,0),FALSE)</f>
        <v>0</v>
      </c>
      <c r="N30" s="31">
        <f>VLOOKUP($B30,'Tillförd energi'!$B$1:$AI$720,MATCH(N$1,'Tillförd energi'!$B$1:$AQ$1,0),FALSE)</f>
        <v>0</v>
      </c>
      <c r="O30" s="31">
        <f>VLOOKUP($B30,'Tillförd energi'!$B$1:$AI$720,MATCH(O$1,'Tillförd energi'!$B$1:$AQ$1,0),FALSE)</f>
        <v>0</v>
      </c>
      <c r="P30" s="31">
        <f>VLOOKUP($B30,'Tillförd energi'!$B$1:$AI$720,MATCH(P$1,'Tillförd energi'!$B$1:$AQ$1,0),FALSE)</f>
        <v>29.99</v>
      </c>
      <c r="Q30" s="31">
        <f>VLOOKUP($B30,'Tillförd energi'!$B$1:$AI$720,MATCH(Q$1,'Tillförd energi'!$B$1:$AQ$1,0),FALSE)</f>
        <v>0</v>
      </c>
      <c r="R30" s="31">
        <f>VLOOKUP($B30,'Tillförd energi'!$B$1:$AI$720,MATCH(R$1,'Tillförd energi'!$B$1:$AQ$1,0),FALSE)</f>
        <v>4.08</v>
      </c>
      <c r="S30" s="31">
        <f>VLOOKUP($B30,'Tillförd energi'!$B$1:$AI$720,MATCH(S$1,'Tillförd energi'!$B$1:$AQ$1,0),FALSE)</f>
        <v>0</v>
      </c>
      <c r="T30" s="31">
        <f>VLOOKUP($B30,'Tillförd energi'!$B$1:$AI$720,MATCH(T$1,'Tillförd energi'!$B$1:$AQ$1,0),FALSE)</f>
        <v>0</v>
      </c>
      <c r="U30" s="31">
        <f>VLOOKUP($B30,'Tillförd energi'!$B$1:$AI$720,MATCH(U$1,'Tillförd energi'!$B$1:$AQ$1,0),FALSE)</f>
        <v>0</v>
      </c>
      <c r="V30" s="31">
        <f>VLOOKUP($B30,'Tillförd energi'!$B$1:$AI$720,MATCH(V$1,'Tillförd energi'!$B$1:$AQ$1,0),FALSE)</f>
        <v>0</v>
      </c>
      <c r="W30" s="31">
        <f>VLOOKUP($B30,'Tillförd energi'!$B$1:$AI$720,MATCH(W$1,'Tillförd energi'!$B$1:$AQ$1,0),FALSE)</f>
        <v>0</v>
      </c>
      <c r="X30" s="31">
        <f>VLOOKUP($B30,'Tillförd energi'!$B$1:$AI$720,MATCH(X$1,'Tillförd energi'!$B$1:$AQ$1,0),FALSE)</f>
        <v>0</v>
      </c>
      <c r="Y30" s="31">
        <f>VLOOKUP($B30,'Tillförd energi'!$B$1:$AI$720,MATCH(Y$1,'Tillförd energi'!$B$1:$AQ$1,0),FALSE)</f>
        <v>0</v>
      </c>
      <c r="Z30" s="31">
        <f>VLOOKUP($B30,'Tillförd energi'!$B$1:$AI$720,MATCH(Z$1,'Tillförd energi'!$B$1:$AQ$1,0),FALSE)</f>
        <v>0</v>
      </c>
      <c r="AA30" s="31">
        <f>VLOOKUP($B30,'Tillförd energi'!$B$1:$AI$720,MATCH(AA$1,'Tillförd energi'!$B$1:$AQ$1,0),FALSE)</f>
        <v>0</v>
      </c>
      <c r="AB30" s="31">
        <f>VLOOKUP($B30,'Tillförd energi'!$B$1:$AI$720,MATCH(AB$1,'Tillförd energi'!$B$1:$AQ$1,0),FALSE)</f>
        <v>0</v>
      </c>
      <c r="AC30" s="31">
        <f>VLOOKUP($B30,'Tillförd energi'!$B$1:$AI$720,MATCH(AC$1,'Tillförd energi'!$B$1:$AQ$1,0),FALSE)</f>
        <v>0</v>
      </c>
      <c r="AD30" s="31">
        <f>VLOOKUP($B30,'Tillförd energi'!$B$1:$AI$720,MATCH(AD$1,'Tillförd energi'!$B$1:$AQ$1,0),FALSE)</f>
        <v>0</v>
      </c>
      <c r="AE30" s="31">
        <f>VLOOKUP($B30,'Tillförd energi'!$B$1:$AI$720,MATCH(AE$1,'Tillförd energi'!$B$1:$AQ$1,0),FALSE)</f>
        <v>0</v>
      </c>
      <c r="AF30" s="31">
        <f>VLOOKUP($B30,'Tillförd energi'!$B$1:$AI$720,MATCH(AF$1,'Tillförd energi'!$B$1:$AQ$1,0),FALSE)</f>
        <v>0.51</v>
      </c>
      <c r="AG30" s="31">
        <f>IFERROR(VLOOKUP(B30,Miljö!$B$1:$AC$550,MATCH("Köpt mängd produktionsspecifik fjärrvärme:",Miljö!$B$1:$AC$1,0),FALSE)/1,0)</f>
        <v>0</v>
      </c>
      <c r="AI30" s="31">
        <f t="shared" si="0"/>
        <v>34.58</v>
      </c>
      <c r="AJ30" s="31">
        <f t="shared" si="1"/>
        <v>34.58</v>
      </c>
      <c r="AK30" s="31">
        <f>IF(ISERROR(1/VLOOKUP($B30,Leveranser!$B$1:$S$499,MATCH("Såld värme (GWh)",Leveranser!$B$1:$S$1,0),FALSE)),"",VLOOKUP($B30,Leveranser!$B$1:$S$499,MATCH("Såld värme (GWh)",Leveranser!$B$1:$S$1,0),FALSE))</f>
        <v>24.748999999999999</v>
      </c>
      <c r="AL30" s="31">
        <f>VLOOKUP($B30,Leveranser!$B$1:$Y$499,MATCH("Totalt såld fjärrvärme till andra fjärrvärmeföretag",Leveranser!$B$1:$AA$1,0),FALSE)</f>
        <v>0</v>
      </c>
      <c r="AM30" s="31">
        <f>IF(ISERROR(1/VLOOKUP($B30,Miljö!$B$1:$S$500,MATCH("Såld mängd produktionsspecifik fjärrvärme (GWh)",Miljö!$B$1:$R$1,0),FALSE)),0,VLOOKUP($B30,Miljö!$B$1:$S$500,MATCH("Såld mängd produktionsspecifik fjärrvärme (GWh)",Miljö!$B$1:$R$1,0),FALSE))</f>
        <v>0</v>
      </c>
      <c r="AN30" s="32">
        <f t="shared" si="2"/>
        <v>0.71570271833429733</v>
      </c>
      <c r="AP30" s="31" t="str">
        <f>IFERROR(VLOOKUP($B30,Miljövärden!$B$2:$H$550,7,FALSE),"Nej, saknas")</f>
        <v>Ja</v>
      </c>
      <c r="AQ30" s="31" t="str">
        <f>IFERROR(VLOOKUP($B30,Miljövärden!$B$2:$H$551,6,FALSE),"Nej, saknas")</f>
        <v>Ja</v>
      </c>
      <c r="AU30" s="31">
        <f t="shared" si="3"/>
        <v>0.51</v>
      </c>
      <c r="AV30" s="31">
        <f t="shared" si="4"/>
        <v>0</v>
      </c>
      <c r="AW30" s="31">
        <f t="shared" si="5"/>
        <v>29.99</v>
      </c>
      <c r="AX30" s="31">
        <f t="shared" si="6"/>
        <v>4.08</v>
      </c>
      <c r="AZ30" s="31">
        <f t="shared" si="7"/>
        <v>34.07</v>
      </c>
      <c r="BC30" s="31">
        <f t="shared" si="8"/>
        <v>0</v>
      </c>
      <c r="BD30" s="31">
        <f t="shared" si="9"/>
        <v>0</v>
      </c>
      <c r="BE30" s="31">
        <f t="shared" si="10"/>
        <v>34.07</v>
      </c>
      <c r="BF30" s="31">
        <f t="shared" si="11"/>
        <v>0</v>
      </c>
      <c r="BG30" s="31">
        <f t="shared" si="12"/>
        <v>0.51</v>
      </c>
      <c r="BH30" s="31">
        <f>VLOOKUP(B30,Miljö!$B$1:$BX$482,MATCH("Fossilandel för ursprungspecificerad el ()",Miljö!$B$1:$I$1,0),FALSE)</f>
        <v>0</v>
      </c>
      <c r="BI30" s="31">
        <f>VLOOKUP(B30,Miljö!$B$1:$BX$482,MATCH("Kärnkraftsandel för ursprungsspecificerad el ()",Miljö!$B$1:$O$1,0),FALSE)</f>
        <v>0</v>
      </c>
      <c r="BJ30" s="31">
        <f t="shared" si="13"/>
        <v>0</v>
      </c>
      <c r="BK30" s="31" t="str">
        <f>VLOOKUP(B30,Miljö!$B$1:$P$482,MATCH("Fossil andel i procent (%)",Miljö!$B$1:$P$1,0),FALSE)</f>
        <v>ET</v>
      </c>
      <c r="BL30" s="31">
        <f t="shared" si="14"/>
        <v>34.58</v>
      </c>
      <c r="BO30" s="32">
        <f t="shared" si="22"/>
        <v>0</v>
      </c>
      <c r="BP30" s="32">
        <f t="shared" si="15"/>
        <v>0</v>
      </c>
      <c r="BQ30" s="32">
        <f t="shared" si="16"/>
        <v>1</v>
      </c>
      <c r="BR30" s="32">
        <f t="shared" si="17"/>
        <v>0</v>
      </c>
      <c r="BT30" s="62">
        <f t="shared" si="18"/>
        <v>1</v>
      </c>
      <c r="BW30" s="32">
        <f>IF(AP30="Ja",VLOOKUP(B30,Miljövärden!$B$2:$H$551,MATCH("Total andel fossilt",Miljövärden!$B$2:$H$2,0),FALSE),"")</f>
        <v>0</v>
      </c>
      <c r="BX30" s="62">
        <f t="shared" si="19"/>
        <v>0</v>
      </c>
      <c r="BZ30" s="31">
        <f t="shared" si="20"/>
        <v>0</v>
      </c>
      <c r="CA30" s="32">
        <f t="shared" si="21"/>
        <v>0</v>
      </c>
    </row>
    <row r="31" spans="1:79" x14ac:dyDescent="0.45">
      <c r="A31" s="31" t="s">
        <v>53</v>
      </c>
      <c r="B31" s="31" t="s">
        <v>54</v>
      </c>
      <c r="C31" s="31">
        <f>VLOOKUP($B31,'Tillförd energi'!$B$1:$AI$720,MATCH(C$1,'Tillförd energi'!$B$1:$AQ$1,0),FALSE)</f>
        <v>0</v>
      </c>
      <c r="D31" s="31">
        <f>VLOOKUP($B31,'Tillförd energi'!$B$1:$AI$720,MATCH(D$1,'Tillförd energi'!$B$1:$AQ$1,0),FALSE)</f>
        <v>0</v>
      </c>
      <c r="E31" s="31">
        <f>VLOOKUP($B31,'Tillförd energi'!$B$1:$AI$720,MATCH(E$1,'Tillförd energi'!$B$1:$AQ$1,0),FALSE)</f>
        <v>0</v>
      </c>
      <c r="F31" s="31">
        <f>VLOOKUP($B31,'Tillförd energi'!$B$1:$AI$720,MATCH(F$1,'Tillförd energi'!$B$1:$AQ$1,0),FALSE)</f>
        <v>0</v>
      </c>
      <c r="G31" s="31">
        <f>VLOOKUP($B31,'Tillförd energi'!$B$1:$AI$720,MATCH(G$1,'Tillförd energi'!$B$1:$AQ$1,0),FALSE)</f>
        <v>0</v>
      </c>
      <c r="H31" s="31">
        <f>VLOOKUP($B31,'Tillförd energi'!$B$1:$AI$720,MATCH(H$1,'Tillförd energi'!$B$1:$AQ$1,0),FALSE)</f>
        <v>0</v>
      </c>
      <c r="I31" s="31">
        <f>VLOOKUP($B31,'Tillförd energi'!$B$1:$AI$720,MATCH(I$1,'Tillförd energi'!$B$1:$AQ$1,0),FALSE)</f>
        <v>0</v>
      </c>
      <c r="J31" s="31">
        <f>VLOOKUP($B31,'Tillförd energi'!$B$1:$AI$720,MATCH(J$1,'Tillförd energi'!$B$1:$AQ$1,0),FALSE)</f>
        <v>0</v>
      </c>
      <c r="K31" s="31">
        <f>VLOOKUP($B31,'Tillförd energi'!$B$1:$AI$720,MATCH(K$1,'Tillförd energi'!$B$1:$AQ$1,0),FALSE)</f>
        <v>0</v>
      </c>
      <c r="L31" s="31">
        <f>VLOOKUP($B31,'Tillförd energi'!$B$1:$AI$720,MATCH(L$1,'Tillförd energi'!$B$1:$AQ$1,0),FALSE)</f>
        <v>0</v>
      </c>
      <c r="M31" s="31">
        <f>VLOOKUP($B31,'Tillförd energi'!$B$1:$AI$720,MATCH(M$1,'Tillförd energi'!$B$1:$AQ$1,0),FALSE)</f>
        <v>0</v>
      </c>
      <c r="N31" s="31">
        <f>VLOOKUP($B31,'Tillförd energi'!$B$1:$AI$720,MATCH(N$1,'Tillförd energi'!$B$1:$AQ$1,0),FALSE)</f>
        <v>0</v>
      </c>
      <c r="O31" s="31">
        <f>VLOOKUP($B31,'Tillförd energi'!$B$1:$AI$720,MATCH(O$1,'Tillförd energi'!$B$1:$AQ$1,0),FALSE)</f>
        <v>0</v>
      </c>
      <c r="P31" s="31">
        <f>VLOOKUP($B31,'Tillförd energi'!$B$1:$AI$720,MATCH(P$1,'Tillförd energi'!$B$1:$AQ$1,0),FALSE)</f>
        <v>0</v>
      </c>
      <c r="Q31" s="31">
        <f>VLOOKUP($B31,'Tillförd energi'!$B$1:$AI$720,MATCH(Q$1,'Tillförd energi'!$B$1:$AQ$1,0),FALSE)</f>
        <v>32</v>
      </c>
      <c r="R31" s="31">
        <f>VLOOKUP($B31,'Tillförd energi'!$B$1:$AI$720,MATCH(R$1,'Tillförd energi'!$B$1:$AQ$1,0),FALSE)</f>
        <v>9.3000000000000007</v>
      </c>
      <c r="S31" s="31">
        <f>VLOOKUP($B31,'Tillförd energi'!$B$1:$AI$720,MATCH(S$1,'Tillförd energi'!$B$1:$AQ$1,0),FALSE)</f>
        <v>0</v>
      </c>
      <c r="T31" s="31">
        <f>VLOOKUP($B31,'Tillförd energi'!$B$1:$AI$720,MATCH(T$1,'Tillförd energi'!$B$1:$AQ$1,0),FALSE)</f>
        <v>0</v>
      </c>
      <c r="U31" s="31">
        <f>VLOOKUP($B31,'Tillförd energi'!$B$1:$AI$720,MATCH(U$1,'Tillförd energi'!$B$1:$AQ$1,0),FALSE)</f>
        <v>0</v>
      </c>
      <c r="V31" s="31">
        <f>VLOOKUP($B31,'Tillförd energi'!$B$1:$AI$720,MATCH(V$1,'Tillförd energi'!$B$1:$AQ$1,0),FALSE)</f>
        <v>0</v>
      </c>
      <c r="W31" s="31">
        <f>VLOOKUP($B31,'Tillförd energi'!$B$1:$AI$720,MATCH(W$1,'Tillförd energi'!$B$1:$AQ$1,0),FALSE)</f>
        <v>0</v>
      </c>
      <c r="X31" s="31">
        <f>VLOOKUP($B31,'Tillförd energi'!$B$1:$AI$720,MATCH(X$1,'Tillförd energi'!$B$1:$AQ$1,0),FALSE)</f>
        <v>0</v>
      </c>
      <c r="Y31" s="31">
        <f>VLOOKUP($B31,'Tillförd energi'!$B$1:$AI$720,MATCH(Y$1,'Tillförd energi'!$B$1:$AQ$1,0),FALSE)</f>
        <v>6.4</v>
      </c>
      <c r="Z31" s="31">
        <f>VLOOKUP($B31,'Tillförd energi'!$B$1:$AI$720,MATCH(Z$1,'Tillförd energi'!$B$1:$AQ$1,0),FALSE)</f>
        <v>0</v>
      </c>
      <c r="AA31" s="31">
        <f>VLOOKUP($B31,'Tillförd energi'!$B$1:$AI$720,MATCH(AA$1,'Tillförd energi'!$B$1:$AQ$1,0),FALSE)</f>
        <v>0</v>
      </c>
      <c r="AB31" s="31">
        <f>VLOOKUP($B31,'Tillförd energi'!$B$1:$AI$720,MATCH(AB$1,'Tillförd energi'!$B$1:$AQ$1,0),FALSE)</f>
        <v>0</v>
      </c>
      <c r="AC31" s="31">
        <f>VLOOKUP($B31,'Tillförd energi'!$B$1:$AI$720,MATCH(AC$1,'Tillförd energi'!$B$1:$AQ$1,0),FALSE)</f>
        <v>7.5</v>
      </c>
      <c r="AD31" s="31">
        <f>VLOOKUP($B31,'Tillförd energi'!$B$1:$AI$720,MATCH(AD$1,'Tillförd energi'!$B$1:$AQ$1,0),FALSE)</f>
        <v>0</v>
      </c>
      <c r="AE31" s="31">
        <f>VLOOKUP($B31,'Tillförd energi'!$B$1:$AI$720,MATCH(AE$1,'Tillförd energi'!$B$1:$AQ$1,0),FALSE)</f>
        <v>0</v>
      </c>
      <c r="AF31" s="31">
        <f>VLOOKUP($B31,'Tillförd energi'!$B$1:$AI$720,MATCH(AF$1,'Tillförd energi'!$B$1:$AQ$1,0),FALSE)</f>
        <v>1.177</v>
      </c>
      <c r="AG31" s="31">
        <f>IFERROR(VLOOKUP(B31,Miljö!$B$1:$AC$550,MATCH("Köpt mängd produktionsspecifik fjärrvärme:",Miljö!$B$1:$AC$1,0),FALSE)/1,0)</f>
        <v>0</v>
      </c>
      <c r="AI31" s="31">
        <f t="shared" si="0"/>
        <v>56.376999999999995</v>
      </c>
      <c r="AJ31" s="31">
        <f t="shared" si="1"/>
        <v>56.376999999999995</v>
      </c>
      <c r="AK31" s="31">
        <f>IF(ISERROR(1/VLOOKUP($B31,Leveranser!$B$1:$S$499,MATCH("Såld värme (GWh)",Leveranser!$B$1:$S$1,0),FALSE)),"",VLOOKUP($B31,Leveranser!$B$1:$S$499,MATCH("Såld värme (GWh)",Leveranser!$B$1:$S$1,0),FALSE))</f>
        <v>41.6</v>
      </c>
      <c r="AL31" s="31">
        <f>VLOOKUP($B31,Leveranser!$B$1:$Y$499,MATCH("Totalt såld fjärrvärme till andra fjärrvärmeföretag",Leveranser!$B$1:$AA$1,0),FALSE)</f>
        <v>0</v>
      </c>
      <c r="AM31" s="31">
        <f>IF(ISERROR(1/VLOOKUP($B31,Miljö!$B$1:$S$500,MATCH("Såld mängd produktionsspecifik fjärrvärme (GWh)",Miljö!$B$1:$R$1,0),FALSE)),0,VLOOKUP($B31,Miljö!$B$1:$S$500,MATCH("Såld mängd produktionsspecifik fjärrvärme (GWh)",Miljö!$B$1:$R$1,0),FALSE))</f>
        <v>0</v>
      </c>
      <c r="AN31" s="32">
        <f t="shared" si="2"/>
        <v>0.73788956489348501</v>
      </c>
      <c r="AP31" s="31" t="str">
        <f>IFERROR(VLOOKUP($B31,Miljövärden!$B$2:$H$550,7,FALSE),"Nej, saknas")</f>
        <v>Ja</v>
      </c>
      <c r="AQ31" s="31" t="str">
        <f>IFERROR(VLOOKUP($B31,Miljövärden!$B$2:$H$551,6,FALSE),"Nej, saknas")</f>
        <v>Ja</v>
      </c>
      <c r="AU31" s="31">
        <f t="shared" si="3"/>
        <v>1.177</v>
      </c>
      <c r="AV31" s="31">
        <f t="shared" si="4"/>
        <v>0</v>
      </c>
      <c r="AW31" s="31">
        <f t="shared" si="5"/>
        <v>32</v>
      </c>
      <c r="AX31" s="31">
        <f t="shared" si="6"/>
        <v>9.3000000000000007</v>
      </c>
      <c r="AZ31" s="31">
        <f t="shared" si="7"/>
        <v>41.3</v>
      </c>
      <c r="BC31" s="31">
        <f t="shared" si="8"/>
        <v>0</v>
      </c>
      <c r="BD31" s="31">
        <f t="shared" si="9"/>
        <v>6.4</v>
      </c>
      <c r="BE31" s="31">
        <f t="shared" si="10"/>
        <v>41.3</v>
      </c>
      <c r="BF31" s="31">
        <f t="shared" si="11"/>
        <v>7.5</v>
      </c>
      <c r="BG31" s="31">
        <f t="shared" si="12"/>
        <v>1.177</v>
      </c>
      <c r="BH31" s="31">
        <f>VLOOKUP(B31,Miljö!$B$1:$BX$482,MATCH("Fossilandel för ursprungspecificerad el ()",Miljö!$B$1:$I$1,0),FALSE)</f>
        <v>0.35</v>
      </c>
      <c r="BI31" s="31">
        <f>VLOOKUP(B31,Miljö!$B$1:$BX$482,MATCH("Kärnkraftsandel för ursprungsspecificerad el ()",Miljö!$B$1:$O$1,0),FALSE)</f>
        <v>0.3977</v>
      </c>
      <c r="BJ31" s="31">
        <f t="shared" si="13"/>
        <v>0</v>
      </c>
      <c r="BK31" s="31" t="str">
        <f>VLOOKUP(B31,Miljö!$B$1:$P$482,MATCH("Fossil andel i procent (%)",Miljö!$B$1:$P$1,0),FALSE)</f>
        <v>ET</v>
      </c>
      <c r="BL31" s="31">
        <f t="shared" si="14"/>
        <v>56.376999999999995</v>
      </c>
      <c r="BO31" s="32">
        <f t="shared" si="22"/>
        <v>7.3070578427372867E-3</v>
      </c>
      <c r="BP31" s="32">
        <f t="shared" si="15"/>
        <v>0.1218243769622364</v>
      </c>
      <c r="BQ31" s="32">
        <f t="shared" si="16"/>
        <v>0.73783559075509519</v>
      </c>
      <c r="BR31" s="32">
        <f t="shared" si="17"/>
        <v>0.1330329744399312</v>
      </c>
      <c r="BT31" s="62">
        <f t="shared" si="18"/>
        <v>1</v>
      </c>
      <c r="BW31" s="32">
        <f>IF(AP31="Ja",VLOOKUP(B31,Miljövärden!$B$2:$H$551,MATCH("Total andel fossilt",Miljövärden!$B$2:$H$2,0),FALSE),"")</f>
        <v>7.3070599999999998E-3</v>
      </c>
      <c r="BX31" s="62">
        <f t="shared" si="19"/>
        <v>2.1572627130830857E-9</v>
      </c>
      <c r="BZ31" s="31">
        <f t="shared" si="20"/>
        <v>2.1572627130830857E-9</v>
      </c>
      <c r="CA31" s="32">
        <f t="shared" si="21"/>
        <v>0</v>
      </c>
    </row>
    <row r="32" spans="1:79" x14ac:dyDescent="0.45">
      <c r="A32" s="31" t="s">
        <v>655</v>
      </c>
      <c r="B32" s="31" t="s">
        <v>654</v>
      </c>
      <c r="C32" s="31">
        <f>VLOOKUP($B32,'Tillförd energi'!$B$1:$AI$720,MATCH(C$1,'Tillförd energi'!$B$1:$AQ$1,0),FALSE)</f>
        <v>0</v>
      </c>
      <c r="D32" s="31">
        <f>VLOOKUP($B32,'Tillförd energi'!$B$1:$AI$720,MATCH(D$1,'Tillförd energi'!$B$1:$AQ$1,0),FALSE)</f>
        <v>1.74</v>
      </c>
      <c r="E32" s="31">
        <f>VLOOKUP($B32,'Tillförd energi'!$B$1:$AI$720,MATCH(E$1,'Tillförd energi'!$B$1:$AQ$1,0),FALSE)</f>
        <v>0</v>
      </c>
      <c r="F32" s="31">
        <f>VLOOKUP($B32,'Tillförd energi'!$B$1:$AI$720,MATCH(F$1,'Tillförd energi'!$B$1:$AQ$1,0),FALSE)</f>
        <v>1.67</v>
      </c>
      <c r="G32" s="31">
        <f>VLOOKUP($B32,'Tillförd energi'!$B$1:$AI$720,MATCH(G$1,'Tillförd energi'!$B$1:$AQ$1,0),FALSE)</f>
        <v>0</v>
      </c>
      <c r="H32" s="31">
        <f>VLOOKUP($B32,'Tillförd energi'!$B$1:$AI$720,MATCH(H$1,'Tillförd energi'!$B$1:$AQ$1,0),FALSE)</f>
        <v>0</v>
      </c>
      <c r="I32" s="31">
        <f>VLOOKUP($B32,'Tillförd energi'!$B$1:$AI$720,MATCH(I$1,'Tillförd energi'!$B$1:$AQ$1,0),FALSE)</f>
        <v>0</v>
      </c>
      <c r="J32" s="31">
        <f>VLOOKUP($B32,'Tillförd energi'!$B$1:$AI$720,MATCH(J$1,'Tillförd energi'!$B$1:$AQ$1,0),FALSE)</f>
        <v>0.84</v>
      </c>
      <c r="K32" s="31">
        <f>VLOOKUP($B32,'Tillförd energi'!$B$1:$AI$720,MATCH(K$1,'Tillförd energi'!$B$1:$AQ$1,0),FALSE)</f>
        <v>0</v>
      </c>
      <c r="L32" s="31">
        <f>VLOOKUP($B32,'Tillförd energi'!$B$1:$AI$720,MATCH(L$1,'Tillförd energi'!$B$1:$AQ$1,0),FALSE)</f>
        <v>0</v>
      </c>
      <c r="M32" s="31">
        <f>VLOOKUP($B32,'Tillförd energi'!$B$1:$AI$720,MATCH(M$1,'Tillförd energi'!$B$1:$AQ$1,0),FALSE)</f>
        <v>0</v>
      </c>
      <c r="N32" s="31">
        <f>VLOOKUP($B32,'Tillförd energi'!$B$1:$AI$720,MATCH(N$1,'Tillförd energi'!$B$1:$AQ$1,0),FALSE)</f>
        <v>0</v>
      </c>
      <c r="O32" s="31">
        <f>VLOOKUP($B32,'Tillförd energi'!$B$1:$AI$720,MATCH(O$1,'Tillförd energi'!$B$1:$AQ$1,0),FALSE)</f>
        <v>0</v>
      </c>
      <c r="P32" s="31">
        <f>VLOOKUP($B32,'Tillförd energi'!$B$1:$AI$720,MATCH(P$1,'Tillförd energi'!$B$1:$AQ$1,0),FALSE)</f>
        <v>0</v>
      </c>
      <c r="Q32" s="31">
        <f>VLOOKUP($B32,'Tillförd energi'!$B$1:$AI$720,MATCH(Q$1,'Tillförd energi'!$B$1:$AQ$1,0),FALSE)</f>
        <v>85.4</v>
      </c>
      <c r="R32" s="31">
        <f>VLOOKUP($B32,'Tillförd energi'!$B$1:$AI$720,MATCH(R$1,'Tillförd energi'!$B$1:$AQ$1,0),FALSE)</f>
        <v>15.5</v>
      </c>
      <c r="S32" s="31">
        <f>VLOOKUP($B32,'Tillförd energi'!$B$1:$AI$720,MATCH(S$1,'Tillförd energi'!$B$1:$AQ$1,0),FALSE)</f>
        <v>0</v>
      </c>
      <c r="T32" s="31">
        <f>VLOOKUP($B32,'Tillförd energi'!$B$1:$AI$720,MATCH(T$1,'Tillförd energi'!$B$1:$AQ$1,0),FALSE)</f>
        <v>0</v>
      </c>
      <c r="U32" s="31">
        <f>VLOOKUP($B32,'Tillförd energi'!$B$1:$AI$720,MATCH(U$1,'Tillförd energi'!$B$1:$AQ$1,0),FALSE)</f>
        <v>0</v>
      </c>
      <c r="V32" s="31">
        <f>VLOOKUP($B32,'Tillförd energi'!$B$1:$AI$720,MATCH(V$1,'Tillförd energi'!$B$1:$AQ$1,0),FALSE)</f>
        <v>0</v>
      </c>
      <c r="W32" s="31">
        <f>VLOOKUP($B32,'Tillförd energi'!$B$1:$AI$720,MATCH(W$1,'Tillförd energi'!$B$1:$AQ$1,0),FALSE)</f>
        <v>0</v>
      </c>
      <c r="X32" s="31">
        <f>VLOOKUP($B32,'Tillförd energi'!$B$1:$AI$720,MATCH(X$1,'Tillförd energi'!$B$1:$AQ$1,0),FALSE)</f>
        <v>0</v>
      </c>
      <c r="Y32" s="31">
        <f>VLOOKUP($B32,'Tillförd energi'!$B$1:$AI$720,MATCH(Y$1,'Tillförd energi'!$B$1:$AQ$1,0),FALSE)</f>
        <v>0</v>
      </c>
      <c r="Z32" s="31">
        <f>VLOOKUP($B32,'Tillförd energi'!$B$1:$AI$720,MATCH(Z$1,'Tillförd energi'!$B$1:$AQ$1,0),FALSE)</f>
        <v>0</v>
      </c>
      <c r="AA32" s="31">
        <f>VLOOKUP($B32,'Tillförd energi'!$B$1:$AI$720,MATCH(AA$1,'Tillförd energi'!$B$1:$AQ$1,0),FALSE)</f>
        <v>0</v>
      </c>
      <c r="AB32" s="31">
        <f>VLOOKUP($B32,'Tillförd energi'!$B$1:$AI$720,MATCH(AB$1,'Tillförd energi'!$B$1:$AQ$1,0),FALSE)</f>
        <v>0</v>
      </c>
      <c r="AC32" s="31">
        <f>VLOOKUP($B32,'Tillförd energi'!$B$1:$AI$720,MATCH(AC$1,'Tillförd energi'!$B$1:$AQ$1,0),FALSE)</f>
        <v>20</v>
      </c>
      <c r="AD32" s="31">
        <f>VLOOKUP($B32,'Tillförd energi'!$B$1:$AI$720,MATCH(AD$1,'Tillförd energi'!$B$1:$AQ$1,0),FALSE)</f>
        <v>8.01</v>
      </c>
      <c r="AE32" s="31">
        <f>VLOOKUP($B32,'Tillförd energi'!$B$1:$AI$720,MATCH(AE$1,'Tillförd energi'!$B$1:$AQ$1,0),FALSE)</f>
        <v>0</v>
      </c>
      <c r="AF32" s="31">
        <f>VLOOKUP($B32,'Tillförd energi'!$B$1:$AI$720,MATCH(AF$1,'Tillförd energi'!$B$1:$AQ$1,0),FALSE)</f>
        <v>3.35</v>
      </c>
      <c r="AG32" s="31">
        <f>IFERROR(VLOOKUP(B32,Miljö!$B$1:$AC$550,MATCH("Köpt mängd produktionsspecifik fjärrvärme:",Miljö!$B$1:$AC$1,0),FALSE)/1,0)</f>
        <v>0</v>
      </c>
      <c r="AI32" s="31">
        <f t="shared" si="0"/>
        <v>136.51</v>
      </c>
      <c r="AJ32" s="31">
        <f t="shared" si="1"/>
        <v>136.51</v>
      </c>
      <c r="AK32" s="31">
        <f>IF(ISERROR(1/VLOOKUP($B32,Leveranser!$B$1:$S$499,MATCH("Såld värme (GWh)",Leveranser!$B$1:$S$1,0),FALSE)),"",VLOOKUP($B32,Leveranser!$B$1:$S$499,MATCH("Såld värme (GWh)",Leveranser!$B$1:$S$1,0),FALSE))</f>
        <v>106.7</v>
      </c>
      <c r="AL32" s="31">
        <f>VLOOKUP($B32,Leveranser!$B$1:$Y$499,MATCH("Totalt såld fjärrvärme till andra fjärrvärmeföretag",Leveranser!$B$1:$AA$1,0),FALSE)</f>
        <v>0</v>
      </c>
      <c r="AM32" s="31">
        <f>IF(ISERROR(1/VLOOKUP($B32,Miljö!$B$1:$S$500,MATCH("Såld mängd produktionsspecifik fjärrvärme (GWh)",Miljö!$B$1:$R$1,0),FALSE)),0,VLOOKUP($B32,Miljö!$B$1:$S$500,MATCH("Såld mängd produktionsspecifik fjärrvärme (GWh)",Miljö!$B$1:$R$1,0),FALSE))</f>
        <v>0</v>
      </c>
      <c r="AN32" s="32">
        <f t="shared" si="2"/>
        <v>0.7816277195809832</v>
      </c>
      <c r="AP32" s="31" t="str">
        <f>IFERROR(VLOOKUP($B32,Miljövärden!$B$2:$H$550,7,FALSE),"Nej, saknas")</f>
        <v>Ja</v>
      </c>
      <c r="AQ32" s="31" t="str">
        <f>IFERROR(VLOOKUP($B32,Miljövärden!$B$2:$H$551,6,FALSE),"Nej, saknas")</f>
        <v>Nej</v>
      </c>
      <c r="AU32" s="31">
        <f t="shared" si="3"/>
        <v>3.35</v>
      </c>
      <c r="AV32" s="31">
        <f t="shared" si="4"/>
        <v>0</v>
      </c>
      <c r="AW32" s="31">
        <f t="shared" si="5"/>
        <v>85.4</v>
      </c>
      <c r="AX32" s="31">
        <f t="shared" si="6"/>
        <v>15.5</v>
      </c>
      <c r="AZ32" s="31">
        <f t="shared" si="7"/>
        <v>100.9</v>
      </c>
      <c r="BC32" s="31">
        <f t="shared" si="8"/>
        <v>3.41</v>
      </c>
      <c r="BD32" s="31">
        <f t="shared" si="9"/>
        <v>0</v>
      </c>
      <c r="BE32" s="31">
        <f t="shared" si="10"/>
        <v>100.9</v>
      </c>
      <c r="BF32" s="31">
        <f t="shared" si="11"/>
        <v>28.85</v>
      </c>
      <c r="BG32" s="31">
        <f t="shared" si="12"/>
        <v>3.35</v>
      </c>
      <c r="BH32" s="31">
        <f>VLOOKUP(B32,Miljö!$B$1:$BX$482,MATCH("Fossilandel för ursprungspecificerad el ()",Miljö!$B$1:$I$1,0),FALSE)</f>
        <v>0</v>
      </c>
      <c r="BI32" s="31">
        <f>VLOOKUP(B32,Miljö!$B$1:$BX$482,MATCH("Kärnkraftsandel för ursprungsspecificerad el ()",Miljö!$B$1:$O$1,0),FALSE)</f>
        <v>0</v>
      </c>
      <c r="BJ32" s="31">
        <f t="shared" si="13"/>
        <v>0</v>
      </c>
      <c r="BK32" s="31" t="str">
        <f>VLOOKUP(B32,Miljö!$B$1:$P$482,MATCH("Fossil andel i procent (%)",Miljö!$B$1:$P$1,0),FALSE)</f>
        <v>ET</v>
      </c>
      <c r="BL32" s="31">
        <f t="shared" si="14"/>
        <v>136.51</v>
      </c>
      <c r="BO32" s="32">
        <f t="shared" si="22"/>
        <v>2.4979854955680905E-2</v>
      </c>
      <c r="BP32" s="32">
        <f t="shared" si="15"/>
        <v>0</v>
      </c>
      <c r="BQ32" s="32">
        <f t="shared" si="16"/>
        <v>0.76368031646033263</v>
      </c>
      <c r="BR32" s="32">
        <f t="shared" si="17"/>
        <v>0.21133982858398653</v>
      </c>
      <c r="BT32" s="62">
        <f t="shared" si="18"/>
        <v>1</v>
      </c>
      <c r="BW32" s="32">
        <f>IF(AP32="Ja",VLOOKUP(B32,Miljövärden!$B$2:$H$551,MATCH("Total andel fossilt",Miljövärden!$B$2:$H$2,0),FALSE),"")</f>
        <v>2.4979899999999999E-2</v>
      </c>
      <c r="BX32" s="62">
        <f t="shared" si="19"/>
        <v>4.5044319094134089E-8</v>
      </c>
      <c r="BZ32" s="31">
        <f t="shared" si="20"/>
        <v>4.5044319094134089E-8</v>
      </c>
      <c r="CA32" s="32">
        <f t="shared" si="21"/>
        <v>0</v>
      </c>
    </row>
    <row r="33" spans="1:79" x14ac:dyDescent="0.45">
      <c r="A33" s="31" t="s">
        <v>653</v>
      </c>
      <c r="B33" s="31" t="s">
        <v>652</v>
      </c>
      <c r="C33" s="31">
        <f>VLOOKUP($B33,'Tillförd energi'!$B$1:$AI$720,MATCH(C$1,'Tillförd energi'!$B$1:$AQ$1,0),FALSE)</f>
        <v>0</v>
      </c>
      <c r="D33" s="31">
        <f>VLOOKUP($B33,'Tillförd energi'!$B$1:$AI$720,MATCH(D$1,'Tillförd energi'!$B$1:$AQ$1,0),FALSE)</f>
        <v>0.1</v>
      </c>
      <c r="E33" s="31">
        <f>VLOOKUP($B33,'Tillförd energi'!$B$1:$AI$720,MATCH(E$1,'Tillförd energi'!$B$1:$AQ$1,0),FALSE)</f>
        <v>0</v>
      </c>
      <c r="F33" s="31">
        <f>VLOOKUP($B33,'Tillförd energi'!$B$1:$AI$720,MATCH(F$1,'Tillförd energi'!$B$1:$AQ$1,0),FALSE)</f>
        <v>0</v>
      </c>
      <c r="G33" s="31">
        <f>VLOOKUP($B33,'Tillförd energi'!$B$1:$AI$720,MATCH(G$1,'Tillförd energi'!$B$1:$AQ$1,0),FALSE)</f>
        <v>0</v>
      </c>
      <c r="H33" s="31">
        <f>VLOOKUP($B33,'Tillförd energi'!$B$1:$AI$720,MATCH(H$1,'Tillförd energi'!$B$1:$AQ$1,0),FALSE)</f>
        <v>0</v>
      </c>
      <c r="I33" s="31">
        <f>VLOOKUP($B33,'Tillförd energi'!$B$1:$AI$720,MATCH(I$1,'Tillförd energi'!$B$1:$AQ$1,0),FALSE)</f>
        <v>0</v>
      </c>
      <c r="J33" s="31">
        <f>VLOOKUP($B33,'Tillförd energi'!$B$1:$AI$720,MATCH(J$1,'Tillförd energi'!$B$1:$AQ$1,0),FALSE)</f>
        <v>0</v>
      </c>
      <c r="K33" s="31">
        <f>VLOOKUP($B33,'Tillförd energi'!$B$1:$AI$720,MATCH(K$1,'Tillförd energi'!$B$1:$AQ$1,0),FALSE)</f>
        <v>0</v>
      </c>
      <c r="L33" s="31">
        <f>VLOOKUP($B33,'Tillförd energi'!$B$1:$AI$720,MATCH(L$1,'Tillförd energi'!$B$1:$AQ$1,0),FALSE)</f>
        <v>0</v>
      </c>
      <c r="M33" s="31">
        <f>VLOOKUP($B33,'Tillförd energi'!$B$1:$AI$720,MATCH(M$1,'Tillförd energi'!$B$1:$AQ$1,0),FALSE)</f>
        <v>0</v>
      </c>
      <c r="N33" s="31">
        <f>VLOOKUP($B33,'Tillförd energi'!$B$1:$AI$720,MATCH(N$1,'Tillförd energi'!$B$1:$AQ$1,0),FALSE)</f>
        <v>0</v>
      </c>
      <c r="O33" s="31">
        <f>VLOOKUP($B33,'Tillförd energi'!$B$1:$AI$720,MATCH(O$1,'Tillförd energi'!$B$1:$AQ$1,0),FALSE)</f>
        <v>0</v>
      </c>
      <c r="P33" s="31">
        <f>VLOOKUP($B33,'Tillförd energi'!$B$1:$AI$720,MATCH(P$1,'Tillförd energi'!$B$1:$AQ$1,0),FALSE)</f>
        <v>0</v>
      </c>
      <c r="Q33" s="31">
        <f>VLOOKUP($B33,'Tillförd energi'!$B$1:$AI$720,MATCH(Q$1,'Tillförd energi'!$B$1:$AQ$1,0),FALSE)</f>
        <v>0</v>
      </c>
      <c r="R33" s="31">
        <f>VLOOKUP($B33,'Tillförd energi'!$B$1:$AI$720,MATCH(R$1,'Tillförd energi'!$B$1:$AQ$1,0),FALSE)</f>
        <v>1.3</v>
      </c>
      <c r="S33" s="31">
        <f>VLOOKUP($B33,'Tillförd energi'!$B$1:$AI$720,MATCH(S$1,'Tillförd energi'!$B$1:$AQ$1,0),FALSE)</f>
        <v>0</v>
      </c>
      <c r="T33" s="31">
        <f>VLOOKUP($B33,'Tillförd energi'!$B$1:$AI$720,MATCH(T$1,'Tillförd energi'!$B$1:$AQ$1,0),FALSE)</f>
        <v>0</v>
      </c>
      <c r="U33" s="31">
        <f>VLOOKUP($B33,'Tillförd energi'!$B$1:$AI$720,MATCH(U$1,'Tillförd energi'!$B$1:$AQ$1,0),FALSE)</f>
        <v>0</v>
      </c>
      <c r="V33" s="31">
        <f>VLOOKUP($B33,'Tillförd energi'!$B$1:$AI$720,MATCH(V$1,'Tillförd energi'!$B$1:$AQ$1,0),FALSE)</f>
        <v>0</v>
      </c>
      <c r="W33" s="31">
        <f>VLOOKUP($B33,'Tillförd energi'!$B$1:$AI$720,MATCH(W$1,'Tillförd energi'!$B$1:$AQ$1,0),FALSE)</f>
        <v>0</v>
      </c>
      <c r="X33" s="31">
        <f>VLOOKUP($B33,'Tillförd energi'!$B$1:$AI$720,MATCH(X$1,'Tillförd energi'!$B$1:$AQ$1,0),FALSE)</f>
        <v>0</v>
      </c>
      <c r="Y33" s="31">
        <f>VLOOKUP($B33,'Tillförd energi'!$B$1:$AI$720,MATCH(Y$1,'Tillförd energi'!$B$1:$AQ$1,0),FALSE)</f>
        <v>0</v>
      </c>
      <c r="Z33" s="31">
        <f>VLOOKUP($B33,'Tillförd energi'!$B$1:$AI$720,MATCH(Z$1,'Tillförd energi'!$B$1:$AQ$1,0),FALSE)</f>
        <v>0</v>
      </c>
      <c r="AA33" s="31">
        <f>VLOOKUP($B33,'Tillförd energi'!$B$1:$AI$720,MATCH(AA$1,'Tillförd energi'!$B$1:$AQ$1,0),FALSE)</f>
        <v>0</v>
      </c>
      <c r="AB33" s="31">
        <f>VLOOKUP($B33,'Tillförd energi'!$B$1:$AI$720,MATCH(AB$1,'Tillförd energi'!$B$1:$AQ$1,0),FALSE)</f>
        <v>0</v>
      </c>
      <c r="AC33" s="31">
        <f>VLOOKUP($B33,'Tillförd energi'!$B$1:$AI$720,MATCH(AC$1,'Tillförd energi'!$B$1:$AQ$1,0),FALSE)</f>
        <v>0</v>
      </c>
      <c r="AD33" s="31">
        <f>VLOOKUP($B33,'Tillförd energi'!$B$1:$AI$720,MATCH(AD$1,'Tillförd energi'!$B$1:$AQ$1,0),FALSE)</f>
        <v>8.6</v>
      </c>
      <c r="AE33" s="31">
        <f>VLOOKUP($B33,'Tillförd energi'!$B$1:$AI$720,MATCH(AE$1,'Tillförd energi'!$B$1:$AQ$1,0),FALSE)</f>
        <v>0</v>
      </c>
      <c r="AF33" s="31">
        <f>VLOOKUP($B33,'Tillförd energi'!$B$1:$AI$720,MATCH(AF$1,'Tillförd energi'!$B$1:$AQ$1,0),FALSE)</f>
        <v>0.06</v>
      </c>
      <c r="AG33" s="31">
        <f>IFERROR(VLOOKUP(B33,Miljö!$B$1:$AC$550,MATCH("Köpt mängd produktionsspecifik fjärrvärme:",Miljö!$B$1:$AC$1,0),FALSE)/1,0)</f>
        <v>0</v>
      </c>
      <c r="AI33" s="31">
        <f t="shared" si="0"/>
        <v>10.06</v>
      </c>
      <c r="AJ33" s="31">
        <f t="shared" si="1"/>
        <v>10.06</v>
      </c>
      <c r="AK33" s="31">
        <f>IF(ISERROR(1/VLOOKUP($B33,Leveranser!$B$1:$S$499,MATCH("Såld värme (GWh)",Leveranser!$B$1:$S$1,0),FALSE)),"",VLOOKUP($B33,Leveranser!$B$1:$S$499,MATCH("Såld värme (GWh)",Leveranser!$B$1:$S$1,0),FALSE))</f>
        <v>8.6999999999999993</v>
      </c>
      <c r="AL33" s="31">
        <f>VLOOKUP($B33,Leveranser!$B$1:$Y$499,MATCH("Totalt såld fjärrvärme till andra fjärrvärmeföretag",Leveranser!$B$1:$AA$1,0),FALSE)</f>
        <v>0</v>
      </c>
      <c r="AM33" s="31">
        <f>IF(ISERROR(1/VLOOKUP($B33,Miljö!$B$1:$S$500,MATCH("Såld mängd produktionsspecifik fjärrvärme (GWh)",Miljö!$B$1:$R$1,0),FALSE)),0,VLOOKUP($B33,Miljö!$B$1:$S$500,MATCH("Såld mängd produktionsspecifik fjärrvärme (GWh)",Miljö!$B$1:$R$1,0),FALSE))</f>
        <v>0</v>
      </c>
      <c r="AN33" s="32">
        <f t="shared" si="2"/>
        <v>0.86481113320079517</v>
      </c>
      <c r="AP33" s="31" t="str">
        <f>IFERROR(VLOOKUP($B33,Miljövärden!$B$2:$H$550,7,FALSE),"Nej, saknas")</f>
        <v>Ja</v>
      </c>
      <c r="AQ33" s="31" t="str">
        <f>IFERROR(VLOOKUP($B33,Miljövärden!$B$2:$H$551,6,FALSE),"Nej, saknas")</f>
        <v>Ja</v>
      </c>
      <c r="AU33" s="31">
        <f t="shared" si="3"/>
        <v>0.06</v>
      </c>
      <c r="AV33" s="31">
        <f t="shared" si="4"/>
        <v>0</v>
      </c>
      <c r="AW33" s="31">
        <f t="shared" si="5"/>
        <v>0</v>
      </c>
      <c r="AX33" s="31">
        <f t="shared" si="6"/>
        <v>1.3</v>
      </c>
      <c r="AZ33" s="31">
        <f t="shared" si="7"/>
        <v>1.3</v>
      </c>
      <c r="BC33" s="31">
        <f t="shared" si="8"/>
        <v>0.1</v>
      </c>
      <c r="BD33" s="31">
        <f t="shared" si="9"/>
        <v>0</v>
      </c>
      <c r="BE33" s="31">
        <f t="shared" si="10"/>
        <v>1.3</v>
      </c>
      <c r="BF33" s="31">
        <f t="shared" si="11"/>
        <v>8.6</v>
      </c>
      <c r="BG33" s="31">
        <f t="shared" si="12"/>
        <v>0.06</v>
      </c>
      <c r="BH33" s="31">
        <f>VLOOKUP(B33,Miljö!$B$1:$BX$482,MATCH("Fossilandel för ursprungspecificerad el ()",Miljö!$B$1:$I$1,0),FALSE)</f>
        <v>0</v>
      </c>
      <c r="BI33" s="31">
        <f>VLOOKUP(B33,Miljö!$B$1:$BX$482,MATCH("Kärnkraftsandel för ursprungsspecificerad el ()",Miljö!$B$1:$O$1,0),FALSE)</f>
        <v>0</v>
      </c>
      <c r="BJ33" s="31">
        <f t="shared" si="13"/>
        <v>0</v>
      </c>
      <c r="BK33" s="31" t="str">
        <f>VLOOKUP(B33,Miljö!$B$1:$P$482,MATCH("Fossil andel i procent (%)",Miljö!$B$1:$P$1,0),FALSE)</f>
        <v>ET</v>
      </c>
      <c r="BL33" s="31">
        <f t="shared" si="14"/>
        <v>10.06</v>
      </c>
      <c r="BO33" s="32">
        <f t="shared" si="22"/>
        <v>9.9403578528827041E-3</v>
      </c>
      <c r="BP33" s="32">
        <f t="shared" si="15"/>
        <v>0</v>
      </c>
      <c r="BQ33" s="32">
        <f t="shared" si="16"/>
        <v>0.13518886679920478</v>
      </c>
      <c r="BR33" s="32">
        <f t="shared" si="17"/>
        <v>0.85487077534791245</v>
      </c>
      <c r="BT33" s="62">
        <f t="shared" si="18"/>
        <v>0.99999999999999989</v>
      </c>
      <c r="BW33" s="32">
        <f>IF(AP33="Ja",VLOOKUP(B33,Miljövärden!$B$2:$H$551,MATCH("Total andel fossilt",Miljövärden!$B$2:$H$2,0),FALSE),"")</f>
        <v>9.9403600000000005E-3</v>
      </c>
      <c r="BX33" s="62">
        <f t="shared" si="19"/>
        <v>2.147117296458223E-9</v>
      </c>
      <c r="BZ33" s="31">
        <f t="shared" si="20"/>
        <v>2.147117296458223E-9</v>
      </c>
      <c r="CA33" s="32">
        <f t="shared" si="21"/>
        <v>0</v>
      </c>
    </row>
    <row r="34" spans="1:79" x14ac:dyDescent="0.45">
      <c r="A34" s="31" t="s">
        <v>651</v>
      </c>
      <c r="B34" s="31" t="s">
        <v>62</v>
      </c>
      <c r="C34" s="31">
        <f>VLOOKUP($B34,'Tillförd energi'!$B$1:$AI$720,MATCH(C$1,'Tillförd energi'!$B$1:$AQ$1,0),FALSE)</f>
        <v>0</v>
      </c>
      <c r="D34" s="31">
        <f>VLOOKUP($B34,'Tillförd energi'!$B$1:$AI$720,MATCH(D$1,'Tillförd energi'!$B$1:$AQ$1,0),FALSE)</f>
        <v>1.5</v>
      </c>
      <c r="E34" s="31">
        <f>VLOOKUP($B34,'Tillförd energi'!$B$1:$AI$720,MATCH(E$1,'Tillförd energi'!$B$1:$AQ$1,0),FALSE)</f>
        <v>0</v>
      </c>
      <c r="F34" s="31">
        <f>VLOOKUP($B34,'Tillförd energi'!$B$1:$AI$720,MATCH(F$1,'Tillförd energi'!$B$1:$AQ$1,0),FALSE)</f>
        <v>1.33</v>
      </c>
      <c r="G34" s="31">
        <f>VLOOKUP($B34,'Tillförd energi'!$B$1:$AI$720,MATCH(G$1,'Tillförd energi'!$B$1:$AQ$1,0),FALSE)</f>
        <v>0</v>
      </c>
      <c r="H34" s="31">
        <f>VLOOKUP($B34,'Tillförd energi'!$B$1:$AI$720,MATCH(H$1,'Tillförd energi'!$B$1:$AQ$1,0),FALSE)</f>
        <v>0</v>
      </c>
      <c r="I34" s="31">
        <f>VLOOKUP($B34,'Tillförd energi'!$B$1:$AI$720,MATCH(I$1,'Tillförd energi'!$B$1:$AQ$1,0),FALSE)</f>
        <v>293.024</v>
      </c>
      <c r="J34" s="31">
        <f>VLOOKUP($B34,'Tillförd energi'!$B$1:$AI$720,MATCH(J$1,'Tillförd energi'!$B$1:$AQ$1,0),FALSE)</f>
        <v>0</v>
      </c>
      <c r="K34" s="31">
        <f>VLOOKUP($B34,'Tillförd energi'!$B$1:$AI$720,MATCH(K$1,'Tillförd energi'!$B$1:$AQ$1,0),FALSE)</f>
        <v>0</v>
      </c>
      <c r="L34" s="31">
        <f>VLOOKUP($B34,'Tillförd energi'!$B$1:$AI$720,MATCH(L$1,'Tillförd energi'!$B$1:$AQ$1,0),FALSE)</f>
        <v>10.054</v>
      </c>
      <c r="M34" s="31">
        <f>VLOOKUP($B34,'Tillförd energi'!$B$1:$AI$720,MATCH(M$1,'Tillförd energi'!$B$1:$AQ$1,0),FALSE)</f>
        <v>0</v>
      </c>
      <c r="N34" s="31">
        <f>VLOOKUP($B34,'Tillförd energi'!$B$1:$AI$720,MATCH(N$1,'Tillförd energi'!$B$1:$AQ$1,0),FALSE)</f>
        <v>0</v>
      </c>
      <c r="O34" s="31">
        <f>VLOOKUP($B34,'Tillförd energi'!$B$1:$AI$720,MATCH(O$1,'Tillförd energi'!$B$1:$AQ$1,0),FALSE)</f>
        <v>9</v>
      </c>
      <c r="P34" s="31">
        <f>VLOOKUP($B34,'Tillförd energi'!$B$1:$AI$720,MATCH(P$1,'Tillförd energi'!$B$1:$AQ$1,0),FALSE)</f>
        <v>0</v>
      </c>
      <c r="Q34" s="31">
        <f>VLOOKUP($B34,'Tillförd energi'!$B$1:$AI$720,MATCH(Q$1,'Tillförd energi'!$B$1:$AQ$1,0),FALSE)</f>
        <v>2</v>
      </c>
      <c r="R34" s="31">
        <f>VLOOKUP($B34,'Tillförd energi'!$B$1:$AI$720,MATCH(R$1,'Tillförd energi'!$B$1:$AQ$1,0),FALSE)</f>
        <v>0</v>
      </c>
      <c r="S34" s="31">
        <f>VLOOKUP($B34,'Tillförd energi'!$B$1:$AI$720,MATCH(S$1,'Tillförd energi'!$B$1:$AQ$1,0),FALSE)</f>
        <v>0</v>
      </c>
      <c r="T34" s="31">
        <f>VLOOKUP($B34,'Tillförd energi'!$B$1:$AI$720,MATCH(T$1,'Tillförd energi'!$B$1:$AQ$1,0),FALSE)</f>
        <v>0</v>
      </c>
      <c r="U34" s="31">
        <f>VLOOKUP($B34,'Tillförd energi'!$B$1:$AI$720,MATCH(U$1,'Tillförd energi'!$B$1:$AQ$1,0),FALSE)</f>
        <v>0</v>
      </c>
      <c r="V34" s="31">
        <f>VLOOKUP($B34,'Tillförd energi'!$B$1:$AI$720,MATCH(V$1,'Tillförd energi'!$B$1:$AQ$1,0),FALSE)</f>
        <v>0</v>
      </c>
      <c r="W34" s="31">
        <f>VLOOKUP($B34,'Tillförd energi'!$B$1:$AI$720,MATCH(W$1,'Tillförd energi'!$B$1:$AQ$1,0),FALSE)</f>
        <v>3.9</v>
      </c>
      <c r="X34" s="31">
        <f>VLOOKUP($B34,'Tillförd energi'!$B$1:$AI$720,MATCH(X$1,'Tillförd energi'!$B$1:$AQ$1,0),FALSE)</f>
        <v>0</v>
      </c>
      <c r="Y34" s="31">
        <f>VLOOKUP($B34,'Tillförd energi'!$B$1:$AI$720,MATCH(Y$1,'Tillförd energi'!$B$1:$AQ$1,0),FALSE)</f>
        <v>1.5</v>
      </c>
      <c r="Z34" s="31">
        <f>VLOOKUP($B34,'Tillförd energi'!$B$1:$AI$720,MATCH(Z$1,'Tillförd energi'!$B$1:$AQ$1,0),FALSE)</f>
        <v>0</v>
      </c>
      <c r="AA34" s="31">
        <f>VLOOKUP($B34,'Tillförd energi'!$B$1:$AI$720,MATCH(AA$1,'Tillförd energi'!$B$1:$AQ$1,0),FALSE)</f>
        <v>0</v>
      </c>
      <c r="AB34" s="31">
        <f>VLOOKUP($B34,'Tillförd energi'!$B$1:$AI$720,MATCH(AB$1,'Tillförd energi'!$B$1:$AQ$1,0),FALSE)</f>
        <v>0</v>
      </c>
      <c r="AC34" s="31">
        <f>VLOOKUP($B34,'Tillförd energi'!$B$1:$AI$720,MATCH(AC$1,'Tillförd energi'!$B$1:$AQ$1,0),FALSE)</f>
        <v>36.5</v>
      </c>
      <c r="AD34" s="31">
        <f>VLOOKUP($B34,'Tillförd energi'!$B$1:$AI$720,MATCH(AD$1,'Tillförd energi'!$B$1:$AQ$1,0),FALSE)</f>
        <v>0</v>
      </c>
      <c r="AE34" s="31">
        <f>VLOOKUP($B34,'Tillförd energi'!$B$1:$AI$720,MATCH(AE$1,'Tillförd energi'!$B$1:$AQ$1,0),FALSE)</f>
        <v>0</v>
      </c>
      <c r="AF34" s="31">
        <f>VLOOKUP($B34,'Tillförd energi'!$B$1:$AI$720,MATCH(AF$1,'Tillförd energi'!$B$1:$AQ$1,0),FALSE)</f>
        <v>8.7911800000000007</v>
      </c>
      <c r="AG34" s="31">
        <f>IFERROR(VLOOKUP(B34,Miljö!$B$1:$AC$550,MATCH("Köpt mängd produktionsspecifik fjärrvärme:",Miljö!$B$1:$AC$1,0),FALSE)/1,0)</f>
        <v>0</v>
      </c>
      <c r="AI34" s="31">
        <f t="shared" si="0"/>
        <v>367.59917999999993</v>
      </c>
      <c r="AJ34" s="31">
        <f t="shared" si="1"/>
        <v>367.59917999999993</v>
      </c>
      <c r="AK34" s="31">
        <f>IF(ISERROR(1/VLOOKUP($B34,Leveranser!$B$1:$S$499,MATCH("Såld värme (GWh)",Leveranser!$B$1:$S$1,0),FALSE)),"",VLOOKUP($B34,Leveranser!$B$1:$S$499,MATCH("Såld värme (GWh)",Leveranser!$B$1:$S$1,0),FALSE))</f>
        <v>275</v>
      </c>
      <c r="AL34" s="31">
        <f>VLOOKUP($B34,Leveranser!$B$1:$Y$499,MATCH("Totalt såld fjärrvärme till andra fjärrvärmeföretag",Leveranser!$B$1:$AA$1,0),FALSE)</f>
        <v>0</v>
      </c>
      <c r="AM34" s="31">
        <f>IF(ISERROR(1/VLOOKUP($B34,Miljö!$B$1:$S$500,MATCH("Såld mängd produktionsspecifik fjärrvärme (GWh)",Miljö!$B$1:$R$1,0),FALSE)),0,VLOOKUP($B34,Miljö!$B$1:$S$500,MATCH("Såld mängd produktionsspecifik fjärrvärme (GWh)",Miljö!$B$1:$R$1,0),FALSE))</f>
        <v>0</v>
      </c>
      <c r="AN34" s="32">
        <f t="shared" si="2"/>
        <v>0.74809742502690035</v>
      </c>
      <c r="AP34" s="31" t="str">
        <f>IFERROR(VLOOKUP($B34,Miljövärden!$B$2:$H$550,7,FALSE),"Nej, saknas")</f>
        <v>Ja</v>
      </c>
      <c r="AQ34" s="31" t="str">
        <f>IFERROR(VLOOKUP($B34,Miljövärden!$B$2:$H$551,6,FALSE),"Nej, saknas")</f>
        <v>Ja</v>
      </c>
      <c r="AU34" s="31">
        <f t="shared" si="3"/>
        <v>8.7911800000000007</v>
      </c>
      <c r="AV34" s="31">
        <f t="shared" si="4"/>
        <v>0</v>
      </c>
      <c r="AW34" s="31">
        <f t="shared" si="5"/>
        <v>11</v>
      </c>
      <c r="AX34" s="31">
        <f t="shared" si="6"/>
        <v>0</v>
      </c>
      <c r="AZ34" s="31">
        <f t="shared" si="7"/>
        <v>24.954000000000001</v>
      </c>
      <c r="BC34" s="31">
        <f t="shared" si="8"/>
        <v>2.83</v>
      </c>
      <c r="BD34" s="31">
        <f t="shared" si="9"/>
        <v>1.5</v>
      </c>
      <c r="BE34" s="31">
        <f t="shared" si="10"/>
        <v>14.9</v>
      </c>
      <c r="BF34" s="31">
        <f t="shared" si="11"/>
        <v>339.57799999999997</v>
      </c>
      <c r="BG34" s="31">
        <f t="shared" si="12"/>
        <v>8.7911800000000007</v>
      </c>
      <c r="BH34" s="31">
        <f>VLOOKUP(B34,Miljö!$B$1:$BX$482,MATCH("Fossilandel för ursprungspecificerad el ()",Miljö!$B$1:$I$1,0),FALSE)</f>
        <v>0.35</v>
      </c>
      <c r="BI34" s="31">
        <f>VLOOKUP(B34,Miljö!$B$1:$BX$482,MATCH("Kärnkraftsandel för ursprungsspecificerad el ()",Miljö!$B$1:$O$1,0),FALSE)</f>
        <v>0.3977</v>
      </c>
      <c r="BJ34" s="31">
        <f t="shared" si="13"/>
        <v>0</v>
      </c>
      <c r="BK34" s="31" t="str">
        <f>VLOOKUP(B34,Miljö!$B$1:$P$482,MATCH("Fossil andel i procent (%)",Miljö!$B$1:$P$1,0),FALSE)</f>
        <v>ET</v>
      </c>
      <c r="BL34" s="31">
        <f t="shared" si="14"/>
        <v>367.59917999999999</v>
      </c>
      <c r="BO34" s="32">
        <f t="shared" si="22"/>
        <v>1.6068896018756083E-2</v>
      </c>
      <c r="BP34" s="32">
        <f t="shared" si="15"/>
        <v>1.3591576254332235E-2</v>
      </c>
      <c r="BQ34" s="32">
        <f t="shared" si="16"/>
        <v>4.6567064469512691E-2</v>
      </c>
      <c r="BR34" s="32">
        <f t="shared" si="17"/>
        <v>0.92377246325739892</v>
      </c>
      <c r="BT34" s="62">
        <f t="shared" si="18"/>
        <v>0.99999999999999989</v>
      </c>
      <c r="BW34" s="32">
        <f>IF(AP34="Ja",VLOOKUP(B34,Miljövärden!$B$2:$H$551,MATCH("Total andel fossilt",Miljövärden!$B$2:$H$2,0),FALSE),"")</f>
        <v>1.6068900000000001E-2</v>
      </c>
      <c r="BX34" s="62">
        <f t="shared" si="19"/>
        <v>3.9812439178721348E-9</v>
      </c>
      <c r="BZ34" s="31">
        <f t="shared" si="20"/>
        <v>3.9812439178721348E-9</v>
      </c>
      <c r="CA34" s="32">
        <f t="shared" si="21"/>
        <v>0</v>
      </c>
    </row>
    <row r="35" spans="1:79" x14ac:dyDescent="0.45">
      <c r="A35" s="31" t="s">
        <v>647</v>
      </c>
      <c r="B35" s="31" t="s">
        <v>650</v>
      </c>
      <c r="C35" s="31">
        <f>VLOOKUP($B35,'Tillförd energi'!$B$1:$AI$720,MATCH(C$1,'Tillförd energi'!$B$1:$AQ$1,0),FALSE)</f>
        <v>0</v>
      </c>
      <c r="D35" s="31">
        <f>VLOOKUP($B35,'Tillförd energi'!$B$1:$AI$720,MATCH(D$1,'Tillförd energi'!$B$1:$AQ$1,0),FALSE)</f>
        <v>1.1499999999999999</v>
      </c>
      <c r="E35" s="31">
        <f>VLOOKUP($B35,'Tillförd energi'!$B$1:$AI$720,MATCH(E$1,'Tillförd energi'!$B$1:$AQ$1,0),FALSE)</f>
        <v>0</v>
      </c>
      <c r="F35" s="31">
        <f>VLOOKUP($B35,'Tillförd energi'!$B$1:$AI$720,MATCH(F$1,'Tillförd energi'!$B$1:$AQ$1,0),FALSE)</f>
        <v>0</v>
      </c>
      <c r="G35" s="31">
        <f>VLOOKUP($B35,'Tillförd energi'!$B$1:$AI$720,MATCH(G$1,'Tillförd energi'!$B$1:$AQ$1,0),FALSE)</f>
        <v>0</v>
      </c>
      <c r="H35" s="31">
        <f>VLOOKUP($B35,'Tillförd energi'!$B$1:$AI$720,MATCH(H$1,'Tillförd energi'!$B$1:$AQ$1,0),FALSE)</f>
        <v>0</v>
      </c>
      <c r="I35" s="31">
        <f>VLOOKUP($B35,'Tillförd energi'!$B$1:$AI$720,MATCH(I$1,'Tillförd energi'!$B$1:$AQ$1,0),FALSE)</f>
        <v>0</v>
      </c>
      <c r="J35" s="31">
        <f>VLOOKUP($B35,'Tillförd energi'!$B$1:$AI$720,MATCH(J$1,'Tillförd energi'!$B$1:$AQ$1,0),FALSE)</f>
        <v>0</v>
      </c>
      <c r="K35" s="31">
        <f>VLOOKUP($B35,'Tillförd energi'!$B$1:$AI$720,MATCH(K$1,'Tillförd energi'!$B$1:$AQ$1,0),FALSE)</f>
        <v>0</v>
      </c>
      <c r="L35" s="31">
        <f>VLOOKUP($B35,'Tillförd energi'!$B$1:$AI$720,MATCH(L$1,'Tillförd energi'!$B$1:$AQ$1,0),FALSE)</f>
        <v>0</v>
      </c>
      <c r="M35" s="31">
        <f>VLOOKUP($B35,'Tillförd energi'!$B$1:$AI$720,MATCH(M$1,'Tillförd energi'!$B$1:$AQ$1,0),FALSE)</f>
        <v>0</v>
      </c>
      <c r="N35" s="31">
        <f>VLOOKUP($B35,'Tillförd energi'!$B$1:$AI$720,MATCH(N$1,'Tillförd energi'!$B$1:$AQ$1,0),FALSE)</f>
        <v>0</v>
      </c>
      <c r="O35" s="31">
        <f>VLOOKUP($B35,'Tillförd energi'!$B$1:$AI$720,MATCH(O$1,'Tillförd energi'!$B$1:$AQ$1,0),FALSE)</f>
        <v>7.55</v>
      </c>
      <c r="P35" s="31">
        <f>VLOOKUP($B35,'Tillförd energi'!$B$1:$AI$720,MATCH(P$1,'Tillförd energi'!$B$1:$AQ$1,0),FALSE)</f>
        <v>12.88</v>
      </c>
      <c r="Q35" s="31">
        <f>VLOOKUP($B35,'Tillförd energi'!$B$1:$AI$720,MATCH(Q$1,'Tillförd energi'!$B$1:$AQ$1,0),FALSE)</f>
        <v>0</v>
      </c>
      <c r="R35" s="31">
        <f>VLOOKUP($B35,'Tillförd energi'!$B$1:$AI$720,MATCH(R$1,'Tillförd energi'!$B$1:$AQ$1,0),FALSE)</f>
        <v>0</v>
      </c>
      <c r="S35" s="31">
        <f>VLOOKUP($B35,'Tillförd energi'!$B$1:$AI$720,MATCH(S$1,'Tillförd energi'!$B$1:$AQ$1,0),FALSE)</f>
        <v>0</v>
      </c>
      <c r="T35" s="31">
        <f>VLOOKUP($B35,'Tillförd energi'!$B$1:$AI$720,MATCH(T$1,'Tillförd energi'!$B$1:$AQ$1,0),FALSE)</f>
        <v>0</v>
      </c>
      <c r="U35" s="31">
        <f>VLOOKUP($B35,'Tillförd energi'!$B$1:$AI$720,MATCH(U$1,'Tillförd energi'!$B$1:$AQ$1,0),FALSE)</f>
        <v>0</v>
      </c>
      <c r="V35" s="31">
        <f>VLOOKUP($B35,'Tillförd energi'!$B$1:$AI$720,MATCH(V$1,'Tillförd energi'!$B$1:$AQ$1,0),FALSE)</f>
        <v>0</v>
      </c>
      <c r="W35" s="31">
        <f>VLOOKUP($B35,'Tillförd energi'!$B$1:$AI$720,MATCH(W$1,'Tillförd energi'!$B$1:$AQ$1,0),FALSE)</f>
        <v>0</v>
      </c>
      <c r="X35" s="31">
        <f>VLOOKUP($B35,'Tillförd energi'!$B$1:$AI$720,MATCH(X$1,'Tillförd energi'!$B$1:$AQ$1,0),FALSE)</f>
        <v>0</v>
      </c>
      <c r="Y35" s="31">
        <f>VLOOKUP($B35,'Tillförd energi'!$B$1:$AI$720,MATCH(Y$1,'Tillförd energi'!$B$1:$AQ$1,0),FALSE)</f>
        <v>0</v>
      </c>
      <c r="Z35" s="31">
        <f>VLOOKUP($B35,'Tillförd energi'!$B$1:$AI$720,MATCH(Z$1,'Tillförd energi'!$B$1:$AQ$1,0),FALSE)</f>
        <v>0</v>
      </c>
      <c r="AA35" s="31">
        <f>VLOOKUP($B35,'Tillförd energi'!$B$1:$AI$720,MATCH(AA$1,'Tillförd energi'!$B$1:$AQ$1,0),FALSE)</f>
        <v>0</v>
      </c>
      <c r="AB35" s="31">
        <f>VLOOKUP($B35,'Tillförd energi'!$B$1:$AI$720,MATCH(AB$1,'Tillförd energi'!$B$1:$AQ$1,0),FALSE)</f>
        <v>0</v>
      </c>
      <c r="AC35" s="31">
        <f>VLOOKUP($B35,'Tillförd energi'!$B$1:$AI$720,MATCH(AC$1,'Tillförd energi'!$B$1:$AQ$1,0),FALSE)</f>
        <v>2.98</v>
      </c>
      <c r="AD35" s="31">
        <f>VLOOKUP($B35,'Tillförd energi'!$B$1:$AI$720,MATCH(AD$1,'Tillförd energi'!$B$1:$AQ$1,0),FALSE)</f>
        <v>0</v>
      </c>
      <c r="AE35" s="31">
        <f>VLOOKUP($B35,'Tillförd energi'!$B$1:$AI$720,MATCH(AE$1,'Tillförd energi'!$B$1:$AQ$1,0),FALSE)</f>
        <v>0</v>
      </c>
      <c r="AF35" s="31">
        <f>VLOOKUP($B35,'Tillförd energi'!$B$1:$AI$720,MATCH(AF$1,'Tillförd energi'!$B$1:$AQ$1,0),FALSE)</f>
        <v>0.51500000000000001</v>
      </c>
      <c r="AG35" s="31">
        <f>IFERROR(VLOOKUP(B35,Miljö!$B$1:$AC$550,MATCH("Köpt mängd produktionsspecifik fjärrvärme:",Miljö!$B$1:$AC$1,0),FALSE)/1,0)</f>
        <v>0</v>
      </c>
      <c r="AI35" s="31">
        <f t="shared" si="0"/>
        <v>25.074999999999999</v>
      </c>
      <c r="AJ35" s="31">
        <f t="shared" si="1"/>
        <v>25.074999999999999</v>
      </c>
      <c r="AK35" s="31">
        <f>IF(ISERROR(1/VLOOKUP($B35,Leveranser!$B$1:$S$499,MATCH("Såld värme (GWh)",Leveranser!$B$1:$S$1,0),FALSE)),"",VLOOKUP($B35,Leveranser!$B$1:$S$499,MATCH("Såld värme (GWh)",Leveranser!$B$1:$S$1,0),FALSE))</f>
        <v>17.331</v>
      </c>
      <c r="AL35" s="31">
        <f>VLOOKUP($B35,Leveranser!$B$1:$Y$499,MATCH("Totalt såld fjärrvärme till andra fjärrvärmeföretag",Leveranser!$B$1:$AA$1,0),FALSE)</f>
        <v>0</v>
      </c>
      <c r="AM35" s="31">
        <f>IF(ISERROR(1/VLOOKUP($B35,Miljö!$B$1:$S$500,MATCH("Såld mängd produktionsspecifik fjärrvärme (GWh)",Miljö!$B$1:$R$1,0),FALSE)),0,VLOOKUP($B35,Miljö!$B$1:$S$500,MATCH("Såld mängd produktionsspecifik fjärrvärme (GWh)",Miljö!$B$1:$R$1,0),FALSE))</f>
        <v>0</v>
      </c>
      <c r="AN35" s="32">
        <f t="shared" si="2"/>
        <v>0.69116650049850448</v>
      </c>
      <c r="AP35" s="31" t="str">
        <f>IFERROR(VLOOKUP($B35,Miljövärden!$B$2:$H$550,7,FALSE),"Nej, saknas")</f>
        <v>Ja</v>
      </c>
      <c r="AQ35" s="31" t="str">
        <f>IFERROR(VLOOKUP($B35,Miljövärden!$B$2:$H$551,6,FALSE),"Nej, saknas")</f>
        <v>Ja</v>
      </c>
      <c r="AU35" s="31">
        <f t="shared" si="3"/>
        <v>0.51500000000000001</v>
      </c>
      <c r="AV35" s="31">
        <f t="shared" si="4"/>
        <v>0</v>
      </c>
      <c r="AW35" s="31">
        <f t="shared" si="5"/>
        <v>20.43</v>
      </c>
      <c r="AX35" s="31">
        <f t="shared" si="6"/>
        <v>0</v>
      </c>
      <c r="AZ35" s="31">
        <f t="shared" si="7"/>
        <v>20.43</v>
      </c>
      <c r="BC35" s="31">
        <f t="shared" si="8"/>
        <v>1.1499999999999999</v>
      </c>
      <c r="BD35" s="31">
        <f t="shared" si="9"/>
        <v>0</v>
      </c>
      <c r="BE35" s="31">
        <f t="shared" si="10"/>
        <v>20.43</v>
      </c>
      <c r="BF35" s="31">
        <f t="shared" si="11"/>
        <v>2.98</v>
      </c>
      <c r="BG35" s="31">
        <f t="shared" si="12"/>
        <v>0.51500000000000001</v>
      </c>
      <c r="BH35" s="31">
        <f>VLOOKUP(B35,Miljö!$B$1:$BX$482,MATCH("Fossilandel för ursprungspecificerad el ()",Miljö!$B$1:$I$1,0),FALSE)</f>
        <v>0</v>
      </c>
      <c r="BI35" s="31">
        <f>VLOOKUP(B35,Miljö!$B$1:$BX$482,MATCH("Kärnkraftsandel för ursprungsspecificerad el ()",Miljö!$B$1:$O$1,0),FALSE)</f>
        <v>0</v>
      </c>
      <c r="BJ35" s="31">
        <f t="shared" si="13"/>
        <v>0</v>
      </c>
      <c r="BK35" s="31" t="str">
        <f>VLOOKUP(B35,Miljö!$B$1:$P$482,MATCH("Fossil andel i procent (%)",Miljö!$B$1:$P$1,0),FALSE)</f>
        <v>ET</v>
      </c>
      <c r="BL35" s="31">
        <f t="shared" si="14"/>
        <v>25.074999999999999</v>
      </c>
      <c r="BO35" s="32">
        <f t="shared" si="22"/>
        <v>4.5862412761714856E-2</v>
      </c>
      <c r="BP35" s="32">
        <f t="shared" si="15"/>
        <v>0</v>
      </c>
      <c r="BQ35" s="32">
        <f t="shared" si="16"/>
        <v>0.83529411764705885</v>
      </c>
      <c r="BR35" s="32">
        <f t="shared" si="17"/>
        <v>0.11884346959122633</v>
      </c>
      <c r="BT35" s="62">
        <f t="shared" si="18"/>
        <v>1</v>
      </c>
      <c r="BW35" s="32">
        <f>IF(AP35="Ja",VLOOKUP(B35,Miljövärden!$B$2:$H$551,MATCH("Total andel fossilt",Miljövärden!$B$2:$H$2,0),FALSE),"")</f>
        <v>4.5862399999999998E-2</v>
      </c>
      <c r="BX35" s="62">
        <f t="shared" si="19"/>
        <v>-1.276171485847799E-8</v>
      </c>
      <c r="BZ35" s="31">
        <f t="shared" si="20"/>
        <v>-1.276171485847799E-8</v>
      </c>
      <c r="CA35" s="32">
        <f t="shared" si="21"/>
        <v>0</v>
      </c>
    </row>
    <row r="36" spans="1:79" x14ac:dyDescent="0.45">
      <c r="A36" s="31" t="s">
        <v>647</v>
      </c>
      <c r="B36" s="31" t="s">
        <v>649</v>
      </c>
      <c r="C36" s="31">
        <f>VLOOKUP($B36,'Tillförd energi'!$B$1:$AI$720,MATCH(C$1,'Tillförd energi'!$B$1:$AQ$1,0),FALSE)</f>
        <v>0</v>
      </c>
      <c r="D36" s="31">
        <f>VLOOKUP($B36,'Tillförd energi'!$B$1:$AI$720,MATCH(D$1,'Tillförd energi'!$B$1:$AQ$1,0),FALSE)</f>
        <v>0.74197599999999997</v>
      </c>
      <c r="E36" s="31">
        <f>VLOOKUP($B36,'Tillförd energi'!$B$1:$AI$720,MATCH(E$1,'Tillförd energi'!$B$1:$AQ$1,0),FALSE)</f>
        <v>0</v>
      </c>
      <c r="F36" s="31">
        <f>VLOOKUP($B36,'Tillförd energi'!$B$1:$AI$720,MATCH(F$1,'Tillförd energi'!$B$1:$AQ$1,0),FALSE)</f>
        <v>0</v>
      </c>
      <c r="G36" s="31">
        <f>VLOOKUP($B36,'Tillförd energi'!$B$1:$AI$720,MATCH(G$1,'Tillförd energi'!$B$1:$AQ$1,0),FALSE)</f>
        <v>0</v>
      </c>
      <c r="H36" s="31">
        <f>VLOOKUP($B36,'Tillförd energi'!$B$1:$AI$720,MATCH(H$1,'Tillförd energi'!$B$1:$AQ$1,0),FALSE)</f>
        <v>0</v>
      </c>
      <c r="I36" s="31">
        <f>VLOOKUP($B36,'Tillförd energi'!$B$1:$AI$720,MATCH(I$1,'Tillförd energi'!$B$1:$AQ$1,0),FALSE)</f>
        <v>93.974100000000007</v>
      </c>
      <c r="J36" s="31">
        <f>VLOOKUP($B36,'Tillförd energi'!$B$1:$AI$720,MATCH(J$1,'Tillförd energi'!$B$1:$AQ$1,0),FALSE)</f>
        <v>0</v>
      </c>
      <c r="K36" s="31">
        <f>VLOOKUP($B36,'Tillförd energi'!$B$1:$AI$720,MATCH(K$1,'Tillförd energi'!$B$1:$AQ$1,0),FALSE)</f>
        <v>0</v>
      </c>
      <c r="L36" s="31">
        <f>VLOOKUP($B36,'Tillförd energi'!$B$1:$AI$720,MATCH(L$1,'Tillförd energi'!$B$1:$AQ$1,0),FALSE)</f>
        <v>19.940100000000001</v>
      </c>
      <c r="M36" s="31">
        <f>VLOOKUP($B36,'Tillförd energi'!$B$1:$AI$720,MATCH(M$1,'Tillförd energi'!$B$1:$AQ$1,0),FALSE)</f>
        <v>4.2876500000000002</v>
      </c>
      <c r="N36" s="31">
        <f>VLOOKUP($B36,'Tillförd energi'!$B$1:$AI$720,MATCH(N$1,'Tillförd energi'!$B$1:$AQ$1,0),FALSE)</f>
        <v>0</v>
      </c>
      <c r="O36" s="31">
        <f>VLOOKUP($B36,'Tillförd energi'!$B$1:$AI$720,MATCH(O$1,'Tillförd energi'!$B$1:$AQ$1,0),FALSE)</f>
        <v>2.89</v>
      </c>
      <c r="P36" s="31">
        <f>VLOOKUP($B36,'Tillförd energi'!$B$1:$AI$720,MATCH(P$1,'Tillförd energi'!$B$1:$AQ$1,0),FALSE)</f>
        <v>0.87</v>
      </c>
      <c r="Q36" s="31">
        <f>VLOOKUP($B36,'Tillförd energi'!$B$1:$AI$720,MATCH(Q$1,'Tillförd energi'!$B$1:$AQ$1,0),FALSE)</f>
        <v>0</v>
      </c>
      <c r="R36" s="31">
        <f>VLOOKUP($B36,'Tillförd energi'!$B$1:$AI$720,MATCH(R$1,'Tillförd energi'!$B$1:$AQ$1,0),FALSE)</f>
        <v>0</v>
      </c>
      <c r="S36" s="31">
        <f>VLOOKUP($B36,'Tillförd energi'!$B$1:$AI$720,MATCH(S$1,'Tillförd energi'!$B$1:$AQ$1,0),FALSE)</f>
        <v>0</v>
      </c>
      <c r="T36" s="31">
        <f>VLOOKUP($B36,'Tillförd energi'!$B$1:$AI$720,MATCH(T$1,'Tillförd energi'!$B$1:$AQ$1,0),FALSE)</f>
        <v>0</v>
      </c>
      <c r="U36" s="31">
        <f>VLOOKUP($B36,'Tillförd energi'!$B$1:$AI$720,MATCH(U$1,'Tillförd energi'!$B$1:$AQ$1,0),FALSE)</f>
        <v>0</v>
      </c>
      <c r="V36" s="31">
        <f>VLOOKUP($B36,'Tillförd energi'!$B$1:$AI$720,MATCH(V$1,'Tillförd energi'!$B$1:$AQ$1,0),FALSE)</f>
        <v>0</v>
      </c>
      <c r="W36" s="31">
        <f>VLOOKUP($B36,'Tillförd energi'!$B$1:$AI$720,MATCH(W$1,'Tillförd energi'!$B$1:$AQ$1,0),FALSE)</f>
        <v>0</v>
      </c>
      <c r="X36" s="31">
        <f>VLOOKUP($B36,'Tillförd energi'!$B$1:$AI$720,MATCH(X$1,'Tillförd energi'!$B$1:$AQ$1,0),FALSE)</f>
        <v>0</v>
      </c>
      <c r="Y36" s="31">
        <f>VLOOKUP($B36,'Tillförd energi'!$B$1:$AI$720,MATCH(Y$1,'Tillförd energi'!$B$1:$AQ$1,0),FALSE)</f>
        <v>0</v>
      </c>
      <c r="Z36" s="31">
        <f>VLOOKUP($B36,'Tillförd energi'!$B$1:$AI$720,MATCH(Z$1,'Tillförd energi'!$B$1:$AQ$1,0),FALSE)</f>
        <v>0</v>
      </c>
      <c r="AA36" s="31">
        <f>VLOOKUP($B36,'Tillförd energi'!$B$1:$AI$720,MATCH(AA$1,'Tillförd energi'!$B$1:$AQ$1,0),FALSE)</f>
        <v>0</v>
      </c>
      <c r="AB36" s="31">
        <f>VLOOKUP($B36,'Tillförd energi'!$B$1:$AI$720,MATCH(AB$1,'Tillförd energi'!$B$1:$AQ$1,0),FALSE)</f>
        <v>0</v>
      </c>
      <c r="AC36" s="31">
        <f>VLOOKUP($B36,'Tillförd energi'!$B$1:$AI$720,MATCH(AC$1,'Tillförd energi'!$B$1:$AQ$1,0),FALSE)</f>
        <v>13.32</v>
      </c>
      <c r="AD36" s="31">
        <f>VLOOKUP($B36,'Tillförd energi'!$B$1:$AI$720,MATCH(AD$1,'Tillförd energi'!$B$1:$AQ$1,0),FALSE)</f>
        <v>0</v>
      </c>
      <c r="AE36" s="31">
        <f>VLOOKUP($B36,'Tillförd energi'!$B$1:$AI$720,MATCH(AE$1,'Tillförd energi'!$B$1:$AQ$1,0),FALSE)</f>
        <v>0</v>
      </c>
      <c r="AF36" s="31">
        <f>VLOOKUP($B36,'Tillförd energi'!$B$1:$AI$720,MATCH(AF$1,'Tillförd energi'!$B$1:$AQ$1,0),FALSE)</f>
        <v>6.2064199999999996</v>
      </c>
      <c r="AG36" s="31">
        <f>IFERROR(VLOOKUP(B36,Miljö!$B$1:$AC$550,MATCH("Köpt mängd produktionsspecifik fjärrvärme:",Miljö!$B$1:$AC$1,0),FALSE)/1,0)</f>
        <v>0</v>
      </c>
      <c r="AI36" s="31">
        <f t="shared" si="0"/>
        <v>142.23024600000002</v>
      </c>
      <c r="AJ36" s="31">
        <f t="shared" si="1"/>
        <v>142.23024600000002</v>
      </c>
      <c r="AK36" s="31">
        <f>IF(ISERROR(1/VLOOKUP($B36,Leveranser!$B$1:$S$499,MATCH("Såld värme (GWh)",Leveranser!$B$1:$S$1,0),FALSE)),"",VLOOKUP($B36,Leveranser!$B$1:$S$499,MATCH("Såld värme (GWh)",Leveranser!$B$1:$S$1,0),FALSE))</f>
        <v>123.673</v>
      </c>
      <c r="AL36" s="31">
        <f>VLOOKUP($B36,Leveranser!$B$1:$Y$499,MATCH("Totalt såld fjärrvärme till andra fjärrvärmeföretag",Leveranser!$B$1:$AA$1,0),FALSE)</f>
        <v>0</v>
      </c>
      <c r="AM36" s="31">
        <f>IF(ISERROR(1/VLOOKUP($B36,Miljö!$B$1:$S$500,MATCH("Såld mängd produktionsspecifik fjärrvärme (GWh)",Miljö!$B$1:$R$1,0),FALSE)),0,VLOOKUP($B36,Miljö!$B$1:$S$500,MATCH("Såld mängd produktionsspecifik fjärrvärme (GWh)",Miljö!$B$1:$R$1,0),FALSE))</f>
        <v>0</v>
      </c>
      <c r="AN36" s="32">
        <f t="shared" si="2"/>
        <v>0.86952672499771944</v>
      </c>
      <c r="AP36" s="31" t="str">
        <f>IFERROR(VLOOKUP($B36,Miljövärden!$B$2:$H$550,7,FALSE),"Nej, saknas")</f>
        <v>Ja</v>
      </c>
      <c r="AQ36" s="31" t="str">
        <f>IFERROR(VLOOKUP($B36,Miljövärden!$B$2:$H$551,6,FALSE),"Nej, saknas")</f>
        <v>Ja</v>
      </c>
      <c r="AU36" s="31">
        <f t="shared" si="3"/>
        <v>6.2064199999999996</v>
      </c>
      <c r="AV36" s="31">
        <f t="shared" si="4"/>
        <v>0</v>
      </c>
      <c r="AW36" s="31">
        <f t="shared" si="5"/>
        <v>8.0476499999999991</v>
      </c>
      <c r="AX36" s="31">
        <f t="shared" si="6"/>
        <v>0</v>
      </c>
      <c r="AZ36" s="31">
        <f t="shared" si="7"/>
        <v>27.987750000000002</v>
      </c>
      <c r="BC36" s="31">
        <f t="shared" si="8"/>
        <v>0.74197599999999997</v>
      </c>
      <c r="BD36" s="31">
        <f t="shared" si="9"/>
        <v>0</v>
      </c>
      <c r="BE36" s="31">
        <f t="shared" si="10"/>
        <v>8.0476499999999991</v>
      </c>
      <c r="BF36" s="31">
        <f t="shared" si="11"/>
        <v>127.23420000000002</v>
      </c>
      <c r="BG36" s="31">
        <f t="shared" si="12"/>
        <v>6.2064199999999996</v>
      </c>
      <c r="BH36" s="31">
        <f>VLOOKUP(B36,Miljö!$B$1:$BX$482,MATCH("Fossilandel för ursprungspecificerad el ()",Miljö!$B$1:$I$1,0),FALSE)</f>
        <v>0</v>
      </c>
      <c r="BI36" s="31">
        <f>VLOOKUP(B36,Miljö!$B$1:$BX$482,MATCH("Kärnkraftsandel för ursprungsspecificerad el ()",Miljö!$B$1:$O$1,0),FALSE)</f>
        <v>0</v>
      </c>
      <c r="BJ36" s="31">
        <f t="shared" si="13"/>
        <v>0</v>
      </c>
      <c r="BK36" s="31" t="str">
        <f>VLOOKUP(B36,Miljö!$B$1:$P$482,MATCH("Fossil andel i procent (%)",Miljö!$B$1:$P$1,0),FALSE)</f>
        <v>ET</v>
      </c>
      <c r="BL36" s="31">
        <f t="shared" si="14"/>
        <v>142.23024600000002</v>
      </c>
      <c r="BO36" s="32">
        <f t="shared" si="22"/>
        <v>5.2167244370792962E-3</v>
      </c>
      <c r="BP36" s="32">
        <f t="shared" si="15"/>
        <v>0</v>
      </c>
      <c r="BQ36" s="32">
        <f t="shared" si="16"/>
        <v>0.10021827565425147</v>
      </c>
      <c r="BR36" s="32">
        <f t="shared" si="17"/>
        <v>0.89456499990866922</v>
      </c>
      <c r="BT36" s="62">
        <f t="shared" si="18"/>
        <v>1</v>
      </c>
      <c r="BW36" s="32">
        <f>IF(AP36="Ja",VLOOKUP(B36,Miljövärden!$B$2:$H$551,MATCH("Total andel fossilt",Miljövärden!$B$2:$H$2,0),FALSE),"")</f>
        <v>5.2167300000000002E-3</v>
      </c>
      <c r="BX36" s="62">
        <f t="shared" si="19"/>
        <v>5.562920703944263E-9</v>
      </c>
      <c r="BZ36" s="31">
        <f t="shared" si="20"/>
        <v>5.562920703944263E-9</v>
      </c>
      <c r="CA36" s="32">
        <f t="shared" si="21"/>
        <v>0</v>
      </c>
    </row>
    <row r="37" spans="1:79" x14ac:dyDescent="0.45">
      <c r="A37" s="31" t="s">
        <v>647</v>
      </c>
      <c r="B37" s="31" t="s">
        <v>646</v>
      </c>
      <c r="C37" s="31">
        <f>VLOOKUP($B37,'Tillförd energi'!$B$1:$AI$720,MATCH(C$1,'Tillförd energi'!$B$1:$AQ$1,0),FALSE)</f>
        <v>0</v>
      </c>
      <c r="D37" s="31">
        <f>VLOOKUP($B37,'Tillförd energi'!$B$1:$AI$720,MATCH(D$1,'Tillförd energi'!$B$1:$AQ$1,0),FALSE)</f>
        <v>0.1</v>
      </c>
      <c r="E37" s="31">
        <f>VLOOKUP($B37,'Tillförd energi'!$B$1:$AI$720,MATCH(E$1,'Tillförd energi'!$B$1:$AQ$1,0),FALSE)</f>
        <v>0</v>
      </c>
      <c r="F37" s="31">
        <f>VLOOKUP($B37,'Tillförd energi'!$B$1:$AI$720,MATCH(F$1,'Tillförd energi'!$B$1:$AQ$1,0),FALSE)</f>
        <v>0</v>
      </c>
      <c r="G37" s="31">
        <f>VLOOKUP($B37,'Tillförd energi'!$B$1:$AI$720,MATCH(G$1,'Tillförd energi'!$B$1:$AQ$1,0),FALSE)</f>
        <v>0</v>
      </c>
      <c r="H37" s="31">
        <f>VLOOKUP($B37,'Tillförd energi'!$B$1:$AI$720,MATCH(H$1,'Tillförd energi'!$B$1:$AQ$1,0),FALSE)</f>
        <v>0</v>
      </c>
      <c r="I37" s="31">
        <f>VLOOKUP($B37,'Tillförd energi'!$B$1:$AI$720,MATCH(I$1,'Tillförd energi'!$B$1:$AQ$1,0),FALSE)</f>
        <v>0</v>
      </c>
      <c r="J37" s="31">
        <f>VLOOKUP($B37,'Tillförd energi'!$B$1:$AI$720,MATCH(J$1,'Tillförd energi'!$B$1:$AQ$1,0),FALSE)</f>
        <v>0</v>
      </c>
      <c r="K37" s="31">
        <f>VLOOKUP($B37,'Tillförd energi'!$B$1:$AI$720,MATCH(K$1,'Tillförd energi'!$B$1:$AQ$1,0),FALSE)</f>
        <v>0</v>
      </c>
      <c r="L37" s="31">
        <f>VLOOKUP($B37,'Tillförd energi'!$B$1:$AI$720,MATCH(L$1,'Tillförd energi'!$B$1:$AQ$1,0),FALSE)</f>
        <v>0</v>
      </c>
      <c r="M37" s="31">
        <f>VLOOKUP($B37,'Tillförd energi'!$B$1:$AI$720,MATCH(M$1,'Tillförd energi'!$B$1:$AQ$1,0),FALSE)</f>
        <v>10.9</v>
      </c>
      <c r="N37" s="31">
        <f>VLOOKUP($B37,'Tillförd energi'!$B$1:$AI$720,MATCH(N$1,'Tillförd energi'!$B$1:$AQ$1,0),FALSE)</f>
        <v>0</v>
      </c>
      <c r="O37" s="31">
        <f>VLOOKUP($B37,'Tillförd energi'!$B$1:$AI$720,MATCH(O$1,'Tillförd energi'!$B$1:$AQ$1,0),FALSE)</f>
        <v>13.84</v>
      </c>
      <c r="P37" s="31">
        <f>VLOOKUP($B37,'Tillförd energi'!$B$1:$AI$720,MATCH(P$1,'Tillförd energi'!$B$1:$AQ$1,0),FALSE)</f>
        <v>1.5</v>
      </c>
      <c r="Q37" s="31">
        <f>VLOOKUP($B37,'Tillförd energi'!$B$1:$AI$720,MATCH(Q$1,'Tillförd energi'!$B$1:$AQ$1,0),FALSE)</f>
        <v>0</v>
      </c>
      <c r="R37" s="31">
        <f>VLOOKUP($B37,'Tillförd energi'!$B$1:$AI$720,MATCH(R$1,'Tillförd energi'!$B$1:$AQ$1,0),FALSE)</f>
        <v>0</v>
      </c>
      <c r="S37" s="31">
        <f>VLOOKUP($B37,'Tillförd energi'!$B$1:$AI$720,MATCH(S$1,'Tillförd energi'!$B$1:$AQ$1,0),FALSE)</f>
        <v>0</v>
      </c>
      <c r="T37" s="31">
        <f>VLOOKUP($B37,'Tillförd energi'!$B$1:$AI$720,MATCH(T$1,'Tillförd energi'!$B$1:$AQ$1,0),FALSE)</f>
        <v>0</v>
      </c>
      <c r="U37" s="31">
        <f>VLOOKUP($B37,'Tillförd energi'!$B$1:$AI$720,MATCH(U$1,'Tillförd energi'!$B$1:$AQ$1,0),FALSE)</f>
        <v>0</v>
      </c>
      <c r="V37" s="31">
        <f>VLOOKUP($B37,'Tillförd energi'!$B$1:$AI$720,MATCH(V$1,'Tillförd energi'!$B$1:$AQ$1,0),FALSE)</f>
        <v>0</v>
      </c>
      <c r="W37" s="31">
        <f>VLOOKUP($B37,'Tillförd energi'!$B$1:$AI$720,MATCH(W$1,'Tillförd energi'!$B$1:$AQ$1,0),FALSE)</f>
        <v>0</v>
      </c>
      <c r="X37" s="31">
        <f>VLOOKUP($B37,'Tillförd energi'!$B$1:$AI$720,MATCH(X$1,'Tillförd energi'!$B$1:$AQ$1,0),FALSE)</f>
        <v>0</v>
      </c>
      <c r="Y37" s="31">
        <f>VLOOKUP($B37,'Tillförd energi'!$B$1:$AI$720,MATCH(Y$1,'Tillförd energi'!$B$1:$AQ$1,0),FALSE)</f>
        <v>0</v>
      </c>
      <c r="Z37" s="31">
        <f>VLOOKUP($B37,'Tillförd energi'!$B$1:$AI$720,MATCH(Z$1,'Tillförd energi'!$B$1:$AQ$1,0),FALSE)</f>
        <v>0</v>
      </c>
      <c r="AA37" s="31">
        <f>VLOOKUP($B37,'Tillförd energi'!$B$1:$AI$720,MATCH(AA$1,'Tillförd energi'!$B$1:$AQ$1,0),FALSE)</f>
        <v>0</v>
      </c>
      <c r="AB37" s="31">
        <f>VLOOKUP($B37,'Tillförd energi'!$B$1:$AI$720,MATCH(AB$1,'Tillförd energi'!$B$1:$AQ$1,0),FALSE)</f>
        <v>0</v>
      </c>
      <c r="AC37" s="31">
        <f>VLOOKUP($B37,'Tillförd energi'!$B$1:$AI$720,MATCH(AC$1,'Tillförd energi'!$B$1:$AQ$1,0),FALSE)</f>
        <v>3.43</v>
      </c>
      <c r="AD37" s="31">
        <f>VLOOKUP($B37,'Tillförd energi'!$B$1:$AI$720,MATCH(AD$1,'Tillförd energi'!$B$1:$AQ$1,0),FALSE)</f>
        <v>0</v>
      </c>
      <c r="AE37" s="31">
        <f>VLOOKUP($B37,'Tillförd energi'!$B$1:$AI$720,MATCH(AE$1,'Tillförd energi'!$B$1:$AQ$1,0),FALSE)</f>
        <v>0</v>
      </c>
      <c r="AF37" s="31">
        <f>VLOOKUP($B37,'Tillförd energi'!$B$1:$AI$720,MATCH(AF$1,'Tillförd energi'!$B$1:$AQ$1,0),FALSE)</f>
        <v>0.59499999999999997</v>
      </c>
      <c r="AG37" s="31">
        <f>IFERROR(VLOOKUP(B37,Miljö!$B$1:$AC$550,MATCH("Köpt mängd produktionsspecifik fjärrvärme:",Miljö!$B$1:$AC$1,0),FALSE)/1,0)</f>
        <v>0</v>
      </c>
      <c r="AI37" s="31">
        <f t="shared" si="0"/>
        <v>30.364999999999998</v>
      </c>
      <c r="AJ37" s="31">
        <f t="shared" si="1"/>
        <v>30.364999999999998</v>
      </c>
      <c r="AK37" s="31">
        <f>IF(ISERROR(1/VLOOKUP($B37,Leveranser!$B$1:$S$499,MATCH("Såld värme (GWh)",Leveranser!$B$1:$S$1,0),FALSE)),"",VLOOKUP($B37,Leveranser!$B$1:$S$499,MATCH("Såld värme (GWh)",Leveranser!$B$1:$S$1,0),FALSE))</f>
        <v>22.18</v>
      </c>
      <c r="AL37" s="31">
        <f>VLOOKUP($B37,Leveranser!$B$1:$Y$499,MATCH("Totalt såld fjärrvärme till andra fjärrvärmeföretag",Leveranser!$B$1:$AA$1,0),FALSE)</f>
        <v>0</v>
      </c>
      <c r="AM37" s="31">
        <f>IF(ISERROR(1/VLOOKUP($B37,Miljö!$B$1:$S$500,MATCH("Såld mängd produktionsspecifik fjärrvärme (GWh)",Miljö!$B$1:$R$1,0),FALSE)),0,VLOOKUP($B37,Miljö!$B$1:$S$500,MATCH("Såld mängd produktionsspecifik fjärrvärme (GWh)",Miljö!$B$1:$R$1,0),FALSE))</f>
        <v>0</v>
      </c>
      <c r="AN37" s="32">
        <f t="shared" si="2"/>
        <v>0.73044623744442616</v>
      </c>
      <c r="AP37" s="31" t="str">
        <f>IFERROR(VLOOKUP($B37,Miljövärden!$B$2:$H$550,7,FALSE),"Nej, saknas")</f>
        <v>Ja</v>
      </c>
      <c r="AQ37" s="31" t="str">
        <f>IFERROR(VLOOKUP($B37,Miljövärden!$B$2:$H$551,6,FALSE),"Nej, saknas")</f>
        <v>Ja</v>
      </c>
      <c r="AU37" s="31">
        <f t="shared" si="3"/>
        <v>0.59499999999999997</v>
      </c>
      <c r="AV37" s="31">
        <f t="shared" si="4"/>
        <v>0</v>
      </c>
      <c r="AW37" s="31">
        <f t="shared" si="5"/>
        <v>26.240000000000002</v>
      </c>
      <c r="AX37" s="31">
        <f t="shared" si="6"/>
        <v>0</v>
      </c>
      <c r="AZ37" s="31">
        <f t="shared" si="7"/>
        <v>26.240000000000002</v>
      </c>
      <c r="BC37" s="31">
        <f t="shared" si="8"/>
        <v>0.1</v>
      </c>
      <c r="BD37" s="31">
        <f t="shared" si="9"/>
        <v>0</v>
      </c>
      <c r="BE37" s="31">
        <f t="shared" si="10"/>
        <v>26.240000000000002</v>
      </c>
      <c r="BF37" s="31">
        <f t="shared" si="11"/>
        <v>3.43</v>
      </c>
      <c r="BG37" s="31">
        <f t="shared" si="12"/>
        <v>0.59499999999999997</v>
      </c>
      <c r="BH37" s="31">
        <f>VLOOKUP(B37,Miljö!$B$1:$BX$482,MATCH("Fossilandel för ursprungspecificerad el ()",Miljö!$B$1:$I$1,0),FALSE)</f>
        <v>0</v>
      </c>
      <c r="BI37" s="31">
        <f>VLOOKUP(B37,Miljö!$B$1:$BX$482,MATCH("Kärnkraftsandel för ursprungsspecificerad el ()",Miljö!$B$1:$O$1,0),FALSE)</f>
        <v>0</v>
      </c>
      <c r="BJ37" s="31">
        <f t="shared" si="13"/>
        <v>0</v>
      </c>
      <c r="BK37" s="31" t="str">
        <f>VLOOKUP(B37,Miljö!$B$1:$P$482,MATCH("Fossil andel i procent (%)",Miljö!$B$1:$P$1,0),FALSE)</f>
        <v>ET</v>
      </c>
      <c r="BL37" s="31">
        <f t="shared" si="14"/>
        <v>30.365000000000002</v>
      </c>
      <c r="BO37" s="32">
        <f t="shared" si="22"/>
        <v>3.2932652725177012E-3</v>
      </c>
      <c r="BP37" s="32">
        <f t="shared" si="15"/>
        <v>0</v>
      </c>
      <c r="BQ37" s="32">
        <f t="shared" si="16"/>
        <v>0.88374773588012512</v>
      </c>
      <c r="BR37" s="32">
        <f t="shared" si="17"/>
        <v>0.11295899884735715</v>
      </c>
      <c r="BT37" s="62">
        <f t="shared" si="18"/>
        <v>1</v>
      </c>
      <c r="BW37" s="32">
        <f>IF(AP37="Ja",VLOOKUP(B37,Miljövärden!$B$2:$H$551,MATCH("Total andel fossilt",Miljövärden!$B$2:$H$2,0),FALSE),"")</f>
        <v>3.2932700000000001E-3</v>
      </c>
      <c r="BX37" s="62">
        <f t="shared" si="19"/>
        <v>4.7274822988566112E-9</v>
      </c>
      <c r="BZ37" s="31">
        <f t="shared" si="20"/>
        <v>4.7274822988566112E-9</v>
      </c>
      <c r="CA37" s="32">
        <f t="shared" si="21"/>
        <v>0</v>
      </c>
    </row>
    <row r="38" spans="1:79" x14ac:dyDescent="0.45">
      <c r="A38" s="31" t="s">
        <v>644</v>
      </c>
      <c r="B38" s="31" t="s">
        <v>645</v>
      </c>
      <c r="C38" s="31">
        <f>VLOOKUP($B38,'Tillförd energi'!$B$1:$AI$720,MATCH(C$1,'Tillförd energi'!$B$1:$AQ$1,0),FALSE)</f>
        <v>0</v>
      </c>
      <c r="D38" s="31">
        <f>VLOOKUP($B38,'Tillförd energi'!$B$1:$AI$720,MATCH(D$1,'Tillförd energi'!$B$1:$AQ$1,0),FALSE)</f>
        <v>6.3E-2</v>
      </c>
      <c r="E38" s="31">
        <f>VLOOKUP($B38,'Tillförd energi'!$B$1:$AI$720,MATCH(E$1,'Tillförd energi'!$B$1:$AQ$1,0),FALSE)</f>
        <v>0</v>
      </c>
      <c r="F38" s="31">
        <f>VLOOKUP($B38,'Tillförd energi'!$B$1:$AI$720,MATCH(F$1,'Tillförd energi'!$B$1:$AQ$1,0),FALSE)</f>
        <v>0</v>
      </c>
      <c r="G38" s="31">
        <f>VLOOKUP($B38,'Tillförd energi'!$B$1:$AI$720,MATCH(G$1,'Tillförd energi'!$B$1:$AQ$1,0),FALSE)</f>
        <v>0</v>
      </c>
      <c r="H38" s="31">
        <f>VLOOKUP($B38,'Tillförd energi'!$B$1:$AI$720,MATCH(H$1,'Tillförd energi'!$B$1:$AQ$1,0),FALSE)</f>
        <v>0</v>
      </c>
      <c r="I38" s="31">
        <f>VLOOKUP($B38,'Tillförd energi'!$B$1:$AI$720,MATCH(I$1,'Tillförd energi'!$B$1:$AQ$1,0),FALSE)</f>
        <v>0</v>
      </c>
      <c r="J38" s="31">
        <f>VLOOKUP($B38,'Tillförd energi'!$B$1:$AI$720,MATCH(J$1,'Tillförd energi'!$B$1:$AQ$1,0),FALSE)</f>
        <v>0</v>
      </c>
      <c r="K38" s="31">
        <f>VLOOKUP($B38,'Tillförd energi'!$B$1:$AI$720,MATCH(K$1,'Tillförd energi'!$B$1:$AQ$1,0),FALSE)</f>
        <v>0</v>
      </c>
      <c r="L38" s="31">
        <f>VLOOKUP($B38,'Tillförd energi'!$B$1:$AI$720,MATCH(L$1,'Tillförd energi'!$B$1:$AQ$1,0),FALSE)</f>
        <v>0</v>
      </c>
      <c r="M38" s="31">
        <f>VLOOKUP($B38,'Tillförd energi'!$B$1:$AI$720,MATCH(M$1,'Tillförd energi'!$B$1:$AQ$1,0),FALSE)</f>
        <v>0</v>
      </c>
      <c r="N38" s="31">
        <f>VLOOKUP($B38,'Tillförd energi'!$B$1:$AI$720,MATCH(N$1,'Tillförd energi'!$B$1:$AQ$1,0),FALSE)</f>
        <v>0</v>
      </c>
      <c r="O38" s="31">
        <f>VLOOKUP($B38,'Tillförd energi'!$B$1:$AI$720,MATCH(O$1,'Tillförd energi'!$B$1:$AQ$1,0),FALSE)</f>
        <v>0</v>
      </c>
      <c r="P38" s="31">
        <f>VLOOKUP($B38,'Tillförd energi'!$B$1:$AI$720,MATCH(P$1,'Tillförd energi'!$B$1:$AQ$1,0),FALSE)</f>
        <v>24.998999999999999</v>
      </c>
      <c r="Q38" s="31">
        <f>VLOOKUP($B38,'Tillförd energi'!$B$1:$AI$720,MATCH(Q$1,'Tillförd energi'!$B$1:$AQ$1,0),FALSE)</f>
        <v>0</v>
      </c>
      <c r="R38" s="31">
        <f>VLOOKUP($B38,'Tillförd energi'!$B$1:$AI$720,MATCH(R$1,'Tillförd energi'!$B$1:$AQ$1,0),FALSE)</f>
        <v>0</v>
      </c>
      <c r="S38" s="31">
        <f>VLOOKUP($B38,'Tillförd energi'!$B$1:$AI$720,MATCH(S$1,'Tillförd energi'!$B$1:$AQ$1,0),FALSE)</f>
        <v>0</v>
      </c>
      <c r="T38" s="31">
        <f>VLOOKUP($B38,'Tillförd energi'!$B$1:$AI$720,MATCH(T$1,'Tillförd energi'!$B$1:$AQ$1,0),FALSE)</f>
        <v>0</v>
      </c>
      <c r="U38" s="31">
        <f>VLOOKUP($B38,'Tillförd energi'!$B$1:$AI$720,MATCH(U$1,'Tillförd energi'!$B$1:$AQ$1,0),FALSE)</f>
        <v>0</v>
      </c>
      <c r="V38" s="31">
        <f>VLOOKUP($B38,'Tillförd energi'!$B$1:$AI$720,MATCH(V$1,'Tillförd energi'!$B$1:$AQ$1,0),FALSE)</f>
        <v>0</v>
      </c>
      <c r="W38" s="31">
        <f>VLOOKUP($B38,'Tillförd energi'!$B$1:$AI$720,MATCH(W$1,'Tillförd energi'!$B$1:$AQ$1,0),FALSE)</f>
        <v>0</v>
      </c>
      <c r="X38" s="31">
        <f>VLOOKUP($B38,'Tillförd energi'!$B$1:$AI$720,MATCH(X$1,'Tillförd energi'!$B$1:$AQ$1,0),FALSE)</f>
        <v>0</v>
      </c>
      <c r="Y38" s="31">
        <f>VLOOKUP($B38,'Tillförd energi'!$B$1:$AI$720,MATCH(Y$1,'Tillförd energi'!$B$1:$AQ$1,0),FALSE)</f>
        <v>0</v>
      </c>
      <c r="Z38" s="31">
        <f>VLOOKUP($B38,'Tillförd energi'!$B$1:$AI$720,MATCH(Z$1,'Tillförd energi'!$B$1:$AQ$1,0),FALSE)</f>
        <v>0</v>
      </c>
      <c r="AA38" s="31">
        <f>VLOOKUP($B38,'Tillförd energi'!$B$1:$AI$720,MATCH(AA$1,'Tillförd energi'!$B$1:$AQ$1,0),FALSE)</f>
        <v>0</v>
      </c>
      <c r="AB38" s="31">
        <f>VLOOKUP($B38,'Tillförd energi'!$B$1:$AI$720,MATCH(AB$1,'Tillförd energi'!$B$1:$AQ$1,0),FALSE)</f>
        <v>0</v>
      </c>
      <c r="AC38" s="31">
        <f>VLOOKUP($B38,'Tillförd energi'!$B$1:$AI$720,MATCH(AC$1,'Tillförd energi'!$B$1:$AQ$1,0),FALSE)</f>
        <v>4.1980000000000004</v>
      </c>
      <c r="AD38" s="31">
        <f>VLOOKUP($B38,'Tillförd energi'!$B$1:$AI$720,MATCH(AD$1,'Tillförd energi'!$B$1:$AQ$1,0),FALSE)</f>
        <v>0</v>
      </c>
      <c r="AE38" s="31">
        <f>VLOOKUP($B38,'Tillförd energi'!$B$1:$AI$720,MATCH(AE$1,'Tillförd energi'!$B$1:$AQ$1,0),FALSE)</f>
        <v>0</v>
      </c>
      <c r="AF38" s="31">
        <f>VLOOKUP($B38,'Tillförd energi'!$B$1:$AI$720,MATCH(AF$1,'Tillförd energi'!$B$1:$AQ$1,0),FALSE)</f>
        <v>0.69240000000000002</v>
      </c>
      <c r="AG38" s="31">
        <f>IFERROR(VLOOKUP(B38,Miljö!$B$1:$AC$550,MATCH("Köpt mängd produktionsspecifik fjärrvärme:",Miljö!$B$1:$AC$1,0),FALSE)/1,0)</f>
        <v>0</v>
      </c>
      <c r="AI38" s="31">
        <f t="shared" si="0"/>
        <v>29.952399999999997</v>
      </c>
      <c r="AJ38" s="31">
        <f t="shared" si="1"/>
        <v>29.952399999999997</v>
      </c>
      <c r="AK38" s="31">
        <f>IF(ISERROR(1/VLOOKUP($B38,Leveranser!$B$1:$S$499,MATCH("Såld värme (GWh)",Leveranser!$B$1:$S$1,0),FALSE)),"",VLOOKUP($B38,Leveranser!$B$1:$S$499,MATCH("Såld värme (GWh)",Leveranser!$B$1:$S$1,0),FALSE))</f>
        <v>23.08</v>
      </c>
      <c r="AL38" s="31">
        <f>VLOOKUP($B38,Leveranser!$B$1:$Y$499,MATCH("Totalt såld fjärrvärme till andra fjärrvärmeföretag",Leveranser!$B$1:$AA$1,0),FALSE)</f>
        <v>0</v>
      </c>
      <c r="AM38" s="31">
        <f>IF(ISERROR(1/VLOOKUP($B38,Miljö!$B$1:$S$500,MATCH("Såld mängd produktionsspecifik fjärrvärme (GWh)",Miljö!$B$1:$R$1,0),FALSE)),0,VLOOKUP($B38,Miljö!$B$1:$S$500,MATCH("Såld mängd produktionsspecifik fjärrvärme (GWh)",Miljö!$B$1:$R$1,0),FALSE))</f>
        <v>0</v>
      </c>
      <c r="AN38" s="32">
        <f t="shared" si="2"/>
        <v>0.77055594877205169</v>
      </c>
      <c r="AP38" s="31" t="str">
        <f>IFERROR(VLOOKUP($B38,Miljövärden!$B$2:$H$550,7,FALSE),"Nej, saknas")</f>
        <v>Ja</v>
      </c>
      <c r="AQ38" s="31" t="str">
        <f>IFERROR(VLOOKUP($B38,Miljövärden!$B$2:$H$551,6,FALSE),"Nej, saknas")</f>
        <v>Ja</v>
      </c>
      <c r="AU38" s="31">
        <f t="shared" si="3"/>
        <v>0.69240000000000002</v>
      </c>
      <c r="AV38" s="31">
        <f t="shared" si="4"/>
        <v>0</v>
      </c>
      <c r="AW38" s="31">
        <f t="shared" si="5"/>
        <v>24.998999999999999</v>
      </c>
      <c r="AX38" s="31">
        <f t="shared" si="6"/>
        <v>0</v>
      </c>
      <c r="AZ38" s="31">
        <f t="shared" si="7"/>
        <v>24.998999999999999</v>
      </c>
      <c r="BC38" s="31">
        <f t="shared" si="8"/>
        <v>6.3E-2</v>
      </c>
      <c r="BD38" s="31">
        <f t="shared" si="9"/>
        <v>0</v>
      </c>
      <c r="BE38" s="31">
        <f t="shared" si="10"/>
        <v>24.998999999999999</v>
      </c>
      <c r="BF38" s="31">
        <f t="shared" si="11"/>
        <v>4.1980000000000004</v>
      </c>
      <c r="BG38" s="31">
        <f t="shared" si="12"/>
        <v>0.69240000000000002</v>
      </c>
      <c r="BH38" s="31">
        <f>VLOOKUP(B38,Miljö!$B$1:$BX$482,MATCH("Fossilandel för ursprungspecificerad el ()",Miljö!$B$1:$I$1,0),FALSE)</f>
        <v>0.35</v>
      </c>
      <c r="BI38" s="31">
        <f>VLOOKUP(B38,Miljö!$B$1:$BX$482,MATCH("Kärnkraftsandel för ursprungsspecificerad el ()",Miljö!$B$1:$O$1,0),FALSE)</f>
        <v>0.3977</v>
      </c>
      <c r="BJ38" s="31">
        <f t="shared" si="13"/>
        <v>0</v>
      </c>
      <c r="BK38" s="31" t="str">
        <f>VLOOKUP(B38,Miljö!$B$1:$P$482,MATCH("Fossil andel i procent (%)",Miljö!$B$1:$P$1,0),FALSE)</f>
        <v>ET</v>
      </c>
      <c r="BL38" s="31">
        <f t="shared" si="14"/>
        <v>29.952399999999997</v>
      </c>
      <c r="BO38" s="32">
        <f t="shared" si="22"/>
        <v>1.0194174757281554E-2</v>
      </c>
      <c r="BP38" s="32">
        <f t="shared" si="15"/>
        <v>9.1935030247993488E-3</v>
      </c>
      <c r="BQ38" s="32">
        <f t="shared" si="16"/>
        <v>0.84045660848546366</v>
      </c>
      <c r="BR38" s="32">
        <f t="shared" si="17"/>
        <v>0.14015571373245553</v>
      </c>
      <c r="BT38" s="62">
        <f t="shared" si="18"/>
        <v>1.0000000000000002</v>
      </c>
      <c r="BW38" s="32">
        <f>IF(AP38="Ja",VLOOKUP(B38,Miljövärden!$B$2:$H$551,MATCH("Total andel fossilt",Miljövärden!$B$2:$H$2,0),FALSE),"")</f>
        <v>1.01942E-2</v>
      </c>
      <c r="BX38" s="62">
        <f t="shared" si="19"/>
        <v>2.5242718446755186E-8</v>
      </c>
      <c r="BZ38" s="31">
        <f t="shared" si="20"/>
        <v>2.5242718446755186E-8</v>
      </c>
      <c r="CA38" s="32">
        <f t="shared" si="21"/>
        <v>0</v>
      </c>
    </row>
    <row r="39" spans="1:79" x14ac:dyDescent="0.45">
      <c r="A39" s="31" t="s">
        <v>644</v>
      </c>
      <c r="B39" s="31" t="s">
        <v>643</v>
      </c>
      <c r="C39" s="31">
        <f>VLOOKUP($B39,'Tillförd energi'!$B$1:$AI$720,MATCH(C$1,'Tillförd energi'!$B$1:$AQ$1,0),FALSE)</f>
        <v>0</v>
      </c>
      <c r="D39" s="31">
        <f>VLOOKUP($B39,'Tillförd energi'!$B$1:$AI$720,MATCH(D$1,'Tillförd energi'!$B$1:$AQ$1,0),FALSE)</f>
        <v>0.65700000000000003</v>
      </c>
      <c r="E39" s="31">
        <f>VLOOKUP($B39,'Tillförd energi'!$B$1:$AI$720,MATCH(E$1,'Tillförd energi'!$B$1:$AQ$1,0),FALSE)</f>
        <v>0</v>
      </c>
      <c r="F39" s="31">
        <f>VLOOKUP($B39,'Tillförd energi'!$B$1:$AI$720,MATCH(F$1,'Tillförd energi'!$B$1:$AQ$1,0),FALSE)</f>
        <v>0</v>
      </c>
      <c r="G39" s="31">
        <f>VLOOKUP($B39,'Tillförd energi'!$B$1:$AI$720,MATCH(G$1,'Tillförd energi'!$B$1:$AQ$1,0),FALSE)</f>
        <v>0</v>
      </c>
      <c r="H39" s="31">
        <f>VLOOKUP($B39,'Tillförd energi'!$B$1:$AI$720,MATCH(H$1,'Tillförd energi'!$B$1:$AQ$1,0),FALSE)</f>
        <v>0</v>
      </c>
      <c r="I39" s="31">
        <f>VLOOKUP($B39,'Tillförd energi'!$B$1:$AI$720,MATCH(I$1,'Tillförd energi'!$B$1:$AQ$1,0),FALSE)</f>
        <v>0</v>
      </c>
      <c r="J39" s="31">
        <f>VLOOKUP($B39,'Tillförd energi'!$B$1:$AI$720,MATCH(J$1,'Tillförd energi'!$B$1:$AQ$1,0),FALSE)</f>
        <v>0</v>
      </c>
      <c r="K39" s="31">
        <f>VLOOKUP($B39,'Tillförd energi'!$B$1:$AI$720,MATCH(K$1,'Tillförd energi'!$B$1:$AQ$1,0),FALSE)</f>
        <v>0</v>
      </c>
      <c r="L39" s="31">
        <f>VLOOKUP($B39,'Tillförd energi'!$B$1:$AI$720,MATCH(L$1,'Tillförd energi'!$B$1:$AQ$1,0),FALSE)</f>
        <v>0</v>
      </c>
      <c r="M39" s="31">
        <f>VLOOKUP($B39,'Tillförd energi'!$B$1:$AI$720,MATCH(M$1,'Tillförd energi'!$B$1:$AQ$1,0),FALSE)</f>
        <v>0</v>
      </c>
      <c r="N39" s="31">
        <f>VLOOKUP($B39,'Tillförd energi'!$B$1:$AI$720,MATCH(N$1,'Tillförd energi'!$B$1:$AQ$1,0),FALSE)</f>
        <v>0</v>
      </c>
      <c r="O39" s="31">
        <f>VLOOKUP($B39,'Tillförd energi'!$B$1:$AI$720,MATCH(O$1,'Tillförd energi'!$B$1:$AQ$1,0),FALSE)</f>
        <v>0</v>
      </c>
      <c r="P39" s="31">
        <f>VLOOKUP($B39,'Tillförd energi'!$B$1:$AI$720,MATCH(P$1,'Tillförd energi'!$B$1:$AQ$1,0),FALSE)</f>
        <v>2.4649999999999999</v>
      </c>
      <c r="Q39" s="31">
        <f>VLOOKUP($B39,'Tillförd energi'!$B$1:$AI$720,MATCH(Q$1,'Tillförd energi'!$B$1:$AQ$1,0),FALSE)</f>
        <v>0</v>
      </c>
      <c r="R39" s="31">
        <f>VLOOKUP($B39,'Tillförd energi'!$B$1:$AI$720,MATCH(R$1,'Tillförd energi'!$B$1:$AQ$1,0),FALSE)</f>
        <v>0</v>
      </c>
      <c r="S39" s="31">
        <f>VLOOKUP($B39,'Tillförd energi'!$B$1:$AI$720,MATCH(S$1,'Tillförd energi'!$B$1:$AQ$1,0),FALSE)</f>
        <v>0</v>
      </c>
      <c r="T39" s="31">
        <f>VLOOKUP($B39,'Tillförd energi'!$B$1:$AI$720,MATCH(T$1,'Tillförd energi'!$B$1:$AQ$1,0),FALSE)</f>
        <v>0</v>
      </c>
      <c r="U39" s="31">
        <f>VLOOKUP($B39,'Tillförd energi'!$B$1:$AI$720,MATCH(U$1,'Tillförd energi'!$B$1:$AQ$1,0),FALSE)</f>
        <v>0</v>
      </c>
      <c r="V39" s="31">
        <f>VLOOKUP($B39,'Tillförd energi'!$B$1:$AI$720,MATCH(V$1,'Tillförd energi'!$B$1:$AQ$1,0),FALSE)</f>
        <v>0</v>
      </c>
      <c r="W39" s="31">
        <f>VLOOKUP($B39,'Tillförd energi'!$B$1:$AI$720,MATCH(W$1,'Tillförd energi'!$B$1:$AQ$1,0),FALSE)</f>
        <v>0</v>
      </c>
      <c r="X39" s="31">
        <f>VLOOKUP($B39,'Tillförd energi'!$B$1:$AI$720,MATCH(X$1,'Tillförd energi'!$B$1:$AQ$1,0),FALSE)</f>
        <v>0</v>
      </c>
      <c r="Y39" s="31">
        <f>VLOOKUP($B39,'Tillförd energi'!$B$1:$AI$720,MATCH(Y$1,'Tillförd energi'!$B$1:$AQ$1,0),FALSE)</f>
        <v>0</v>
      </c>
      <c r="Z39" s="31">
        <f>VLOOKUP($B39,'Tillförd energi'!$B$1:$AI$720,MATCH(Z$1,'Tillförd energi'!$B$1:$AQ$1,0),FALSE)</f>
        <v>0</v>
      </c>
      <c r="AA39" s="31">
        <f>VLOOKUP($B39,'Tillförd energi'!$B$1:$AI$720,MATCH(AA$1,'Tillförd energi'!$B$1:$AQ$1,0),FALSE)</f>
        <v>0</v>
      </c>
      <c r="AB39" s="31">
        <f>VLOOKUP($B39,'Tillförd energi'!$B$1:$AI$720,MATCH(AB$1,'Tillförd energi'!$B$1:$AQ$1,0),FALSE)</f>
        <v>0</v>
      </c>
      <c r="AC39" s="31">
        <f>VLOOKUP($B39,'Tillförd energi'!$B$1:$AI$720,MATCH(AC$1,'Tillförd energi'!$B$1:$AQ$1,0),FALSE)</f>
        <v>0</v>
      </c>
      <c r="AD39" s="31">
        <f>VLOOKUP($B39,'Tillförd energi'!$B$1:$AI$720,MATCH(AD$1,'Tillförd energi'!$B$1:$AQ$1,0),FALSE)</f>
        <v>0</v>
      </c>
      <c r="AE39" s="31">
        <f>VLOOKUP($B39,'Tillförd energi'!$B$1:$AI$720,MATCH(AE$1,'Tillförd energi'!$B$1:$AQ$1,0),FALSE)</f>
        <v>0</v>
      </c>
      <c r="AF39" s="31">
        <f>VLOOKUP($B39,'Tillförd energi'!$B$1:$AI$720,MATCH(AF$1,'Tillförd energi'!$B$1:$AQ$1,0),FALSE)</f>
        <v>7.1279999999999996E-2</v>
      </c>
      <c r="AG39" s="31">
        <f>IFERROR(VLOOKUP(B39,Miljö!$B$1:$AC$550,MATCH("Köpt mängd produktionsspecifik fjärrvärme:",Miljö!$B$1:$AC$1,0),FALSE)/1,0)</f>
        <v>0</v>
      </c>
      <c r="AI39" s="31">
        <f t="shared" si="0"/>
        <v>3.1932799999999997</v>
      </c>
      <c r="AJ39" s="31">
        <f t="shared" si="1"/>
        <v>3.1932799999999997</v>
      </c>
      <c r="AK39" s="31">
        <f>IF(ISERROR(1/VLOOKUP($B39,Leveranser!$B$1:$S$499,MATCH("Såld värme (GWh)",Leveranser!$B$1:$S$1,0),FALSE)),"",VLOOKUP($B39,Leveranser!$B$1:$S$499,MATCH("Såld värme (GWh)",Leveranser!$B$1:$S$1,0),FALSE))</f>
        <v>2.3759999999999999</v>
      </c>
      <c r="AL39" s="31">
        <f>VLOOKUP($B39,Leveranser!$B$1:$Y$499,MATCH("Totalt såld fjärrvärme till andra fjärrvärmeföretag",Leveranser!$B$1:$AA$1,0),FALSE)</f>
        <v>0</v>
      </c>
      <c r="AM39" s="31">
        <f>IF(ISERROR(1/VLOOKUP($B39,Miljö!$B$1:$S$500,MATCH("Såld mängd produktionsspecifik fjärrvärme (GWh)",Miljö!$B$1:$R$1,0),FALSE)),0,VLOOKUP($B39,Miljö!$B$1:$S$500,MATCH("Såld mängd produktionsspecifik fjärrvärme (GWh)",Miljö!$B$1:$R$1,0),FALSE))</f>
        <v>0</v>
      </c>
      <c r="AN39" s="32">
        <f t="shared" si="2"/>
        <v>0.74406253131576316</v>
      </c>
      <c r="AP39" s="31" t="str">
        <f>IFERROR(VLOOKUP($B39,Miljövärden!$B$2:$H$550,7,FALSE),"Nej, saknas")</f>
        <v>Ja</v>
      </c>
      <c r="AQ39" s="31" t="str">
        <f>IFERROR(VLOOKUP($B39,Miljövärden!$B$2:$H$551,6,FALSE),"Nej, saknas")</f>
        <v>Ja</v>
      </c>
      <c r="AU39" s="31">
        <f t="shared" si="3"/>
        <v>7.1279999999999996E-2</v>
      </c>
      <c r="AV39" s="31">
        <f t="shared" si="4"/>
        <v>0</v>
      </c>
      <c r="AW39" s="31">
        <f t="shared" si="5"/>
        <v>2.4649999999999999</v>
      </c>
      <c r="AX39" s="31">
        <f t="shared" si="6"/>
        <v>0</v>
      </c>
      <c r="AZ39" s="31">
        <f t="shared" si="7"/>
        <v>2.4649999999999999</v>
      </c>
      <c r="BC39" s="31">
        <f t="shared" si="8"/>
        <v>0.65700000000000003</v>
      </c>
      <c r="BD39" s="31">
        <f t="shared" si="9"/>
        <v>0</v>
      </c>
      <c r="BE39" s="31">
        <f t="shared" si="10"/>
        <v>2.4649999999999999</v>
      </c>
      <c r="BF39" s="31">
        <f t="shared" si="11"/>
        <v>0</v>
      </c>
      <c r="BG39" s="31">
        <f t="shared" si="12"/>
        <v>7.1279999999999996E-2</v>
      </c>
      <c r="BH39" s="31">
        <f>VLOOKUP(B39,Miljö!$B$1:$BX$482,MATCH("Fossilandel för ursprungspecificerad el ()",Miljö!$B$1:$I$1,0),FALSE)</f>
        <v>0.35</v>
      </c>
      <c r="BI39" s="31">
        <f>VLOOKUP(B39,Miljö!$B$1:$BX$482,MATCH("Kärnkraftsandel för ursprungsspecificerad el ()",Miljö!$B$1:$O$1,0),FALSE)</f>
        <v>0.3977</v>
      </c>
      <c r="BJ39" s="31">
        <f t="shared" si="13"/>
        <v>0</v>
      </c>
      <c r="BK39" s="31" t="str">
        <f>VLOOKUP(B39,Miljö!$B$1:$P$482,MATCH("Fossil andel i procent (%)",Miljö!$B$1:$P$1,0),FALSE)</f>
        <v>ET</v>
      </c>
      <c r="BL39" s="31">
        <f t="shared" si="14"/>
        <v>3.1932799999999997</v>
      </c>
      <c r="BO39" s="32">
        <f t="shared" si="22"/>
        <v>0.21355722016234094</v>
      </c>
      <c r="BP39" s="32">
        <f t="shared" si="15"/>
        <v>8.8774100611283702E-3</v>
      </c>
      <c r="BQ39" s="32">
        <f t="shared" si="16"/>
        <v>0.77756536977653079</v>
      </c>
      <c r="BR39" s="32">
        <f t="shared" si="17"/>
        <v>0</v>
      </c>
      <c r="BT39" s="62">
        <f t="shared" si="18"/>
        <v>1</v>
      </c>
      <c r="BW39" s="32">
        <f>IF(AP39="Ja",VLOOKUP(B39,Miljövärden!$B$2:$H$551,MATCH("Total andel fossilt",Miljövärden!$B$2:$H$2,0),FALSE),"")</f>
        <v>0.213557</v>
      </c>
      <c r="BX39" s="62">
        <f t="shared" si="19"/>
        <v>-2.2016234094146547E-7</v>
      </c>
      <c r="BZ39" s="31">
        <f t="shared" si="20"/>
        <v>-2.2016234094146547E-7</v>
      </c>
      <c r="CA39" s="32">
        <f t="shared" si="21"/>
        <v>0</v>
      </c>
    </row>
    <row r="40" spans="1:79" x14ac:dyDescent="0.45">
      <c r="A40" s="31" t="s">
        <v>640</v>
      </c>
      <c r="B40" s="31" t="s">
        <v>642</v>
      </c>
      <c r="C40" s="31">
        <f>VLOOKUP($B40,'Tillförd energi'!$B$1:$AI$720,MATCH(C$1,'Tillförd energi'!$B$1:$AQ$1,0),FALSE)</f>
        <v>0</v>
      </c>
      <c r="D40" s="31">
        <f>VLOOKUP($B40,'Tillförd energi'!$B$1:$AI$720,MATCH(D$1,'Tillförd energi'!$B$1:$AQ$1,0),FALSE)</f>
        <v>2.8899999999999999E-2</v>
      </c>
      <c r="E40" s="31">
        <f>VLOOKUP($B40,'Tillförd energi'!$B$1:$AI$720,MATCH(E$1,'Tillförd energi'!$B$1:$AQ$1,0),FALSE)</f>
        <v>1.1855</v>
      </c>
      <c r="F40" s="31">
        <f>VLOOKUP($B40,'Tillförd energi'!$B$1:$AI$720,MATCH(F$1,'Tillförd energi'!$B$1:$AQ$1,0),FALSE)</f>
        <v>0</v>
      </c>
      <c r="G40" s="31">
        <f>VLOOKUP($B40,'Tillförd energi'!$B$1:$AI$720,MATCH(G$1,'Tillförd energi'!$B$1:$AQ$1,0),FALSE)</f>
        <v>0</v>
      </c>
      <c r="H40" s="31">
        <f>VLOOKUP($B40,'Tillförd energi'!$B$1:$AI$720,MATCH(H$1,'Tillförd energi'!$B$1:$AQ$1,0),FALSE)</f>
        <v>0</v>
      </c>
      <c r="I40" s="31">
        <f>VLOOKUP($B40,'Tillförd energi'!$B$1:$AI$720,MATCH(I$1,'Tillförd energi'!$B$1:$AQ$1,0),FALSE)</f>
        <v>196.30600000000001</v>
      </c>
      <c r="J40" s="31">
        <f>VLOOKUP($B40,'Tillförd energi'!$B$1:$AI$720,MATCH(J$1,'Tillförd energi'!$B$1:$AQ$1,0),FALSE)</f>
        <v>2.7959999999999998</v>
      </c>
      <c r="K40" s="31">
        <f>VLOOKUP($B40,'Tillförd energi'!$B$1:$AI$720,MATCH(K$1,'Tillförd energi'!$B$1:$AQ$1,0),FALSE)</f>
        <v>0</v>
      </c>
      <c r="L40" s="31">
        <f>VLOOKUP($B40,'Tillförd energi'!$B$1:$AI$720,MATCH(L$1,'Tillförd energi'!$B$1:$AQ$1,0),FALSE)</f>
        <v>6.1619200000000003</v>
      </c>
      <c r="M40" s="31">
        <f>VLOOKUP($B40,'Tillförd energi'!$B$1:$AI$720,MATCH(M$1,'Tillförd energi'!$B$1:$AQ$1,0),FALSE)</f>
        <v>0</v>
      </c>
      <c r="N40" s="31">
        <f>VLOOKUP($B40,'Tillförd energi'!$B$1:$AI$720,MATCH(N$1,'Tillförd energi'!$B$1:$AQ$1,0),FALSE)</f>
        <v>2.2170000000000001</v>
      </c>
      <c r="O40" s="31">
        <f>VLOOKUP($B40,'Tillförd energi'!$B$1:$AI$720,MATCH(O$1,'Tillförd energi'!$B$1:$AQ$1,0),FALSE)</f>
        <v>0</v>
      </c>
      <c r="P40" s="31">
        <f>VLOOKUP($B40,'Tillförd energi'!$B$1:$AI$720,MATCH(P$1,'Tillförd energi'!$B$1:$AQ$1,0),FALSE)</f>
        <v>1.407</v>
      </c>
      <c r="Q40" s="31">
        <f>VLOOKUP($B40,'Tillförd energi'!$B$1:$AI$720,MATCH(Q$1,'Tillförd energi'!$B$1:$AQ$1,0),FALSE)</f>
        <v>157.77099999999999</v>
      </c>
      <c r="R40" s="31">
        <f>VLOOKUP($B40,'Tillförd energi'!$B$1:$AI$720,MATCH(R$1,'Tillförd energi'!$B$1:$AQ$1,0),FALSE)</f>
        <v>0</v>
      </c>
      <c r="S40" s="31">
        <f>VLOOKUP($B40,'Tillförd energi'!$B$1:$AI$720,MATCH(S$1,'Tillförd energi'!$B$1:$AQ$1,0),FALSE)</f>
        <v>0</v>
      </c>
      <c r="T40" s="31">
        <f>VLOOKUP($B40,'Tillförd energi'!$B$1:$AI$720,MATCH(T$1,'Tillförd energi'!$B$1:$AQ$1,0),FALSE)</f>
        <v>0</v>
      </c>
      <c r="U40" s="31">
        <f>VLOOKUP($B40,'Tillförd energi'!$B$1:$AI$720,MATCH(U$1,'Tillförd energi'!$B$1:$AQ$1,0),FALSE)</f>
        <v>0</v>
      </c>
      <c r="V40" s="31">
        <f>VLOOKUP($B40,'Tillförd energi'!$B$1:$AI$720,MATCH(V$1,'Tillförd energi'!$B$1:$AQ$1,0),FALSE)</f>
        <v>0</v>
      </c>
      <c r="W40" s="31">
        <f>VLOOKUP($B40,'Tillförd energi'!$B$1:$AI$720,MATCH(W$1,'Tillförd energi'!$B$1:$AQ$1,0),FALSE)</f>
        <v>8.02171E-2</v>
      </c>
      <c r="X40" s="31">
        <f>VLOOKUP($B40,'Tillförd energi'!$B$1:$AI$720,MATCH(X$1,'Tillförd energi'!$B$1:$AQ$1,0),FALSE)</f>
        <v>0</v>
      </c>
      <c r="Y40" s="31">
        <f>VLOOKUP($B40,'Tillförd energi'!$B$1:$AI$720,MATCH(Y$1,'Tillförd energi'!$B$1:$AQ$1,0),FALSE)</f>
        <v>0</v>
      </c>
      <c r="Z40" s="31">
        <f>VLOOKUP($B40,'Tillförd energi'!$B$1:$AI$720,MATCH(Z$1,'Tillförd energi'!$B$1:$AQ$1,0),FALSE)</f>
        <v>0</v>
      </c>
      <c r="AA40" s="31">
        <f>VLOOKUP($B40,'Tillförd energi'!$B$1:$AI$720,MATCH(AA$1,'Tillförd energi'!$B$1:$AQ$1,0),FALSE)</f>
        <v>2.0270000000000001</v>
      </c>
      <c r="AB40" s="31">
        <f>VLOOKUP($B40,'Tillförd energi'!$B$1:$AI$720,MATCH(AB$1,'Tillförd energi'!$B$1:$AQ$1,0),FALSE)</f>
        <v>0.63400000000000001</v>
      </c>
      <c r="AC40" s="31">
        <f>VLOOKUP($B40,'Tillförd energi'!$B$1:$AI$720,MATCH(AC$1,'Tillförd energi'!$B$1:$AQ$1,0),FALSE)</f>
        <v>9.7650000000000006</v>
      </c>
      <c r="AD40" s="31">
        <f>VLOOKUP($B40,'Tillförd energi'!$B$1:$AI$720,MATCH(AD$1,'Tillförd energi'!$B$1:$AQ$1,0),FALSE)</f>
        <v>94.512</v>
      </c>
      <c r="AE40" s="31">
        <f>VLOOKUP($B40,'Tillförd energi'!$B$1:$AI$720,MATCH(AE$1,'Tillförd energi'!$B$1:$AQ$1,0),FALSE)</f>
        <v>0</v>
      </c>
      <c r="AF40" s="31">
        <f>VLOOKUP($B40,'Tillförd energi'!$B$1:$AI$720,MATCH(AF$1,'Tillförd energi'!$B$1:$AQ$1,0),FALSE)</f>
        <v>7.5194000000000001</v>
      </c>
      <c r="AG40" s="31">
        <f>IFERROR(VLOOKUP(B40,Miljö!$B$1:$AC$550,MATCH("Köpt mängd produktionsspecifik fjärrvärme:",Miljö!$B$1:$AC$1,0),FALSE)/1,0)</f>
        <v>2.8555000000000001</v>
      </c>
      <c r="AI40" s="31">
        <f t="shared" si="0"/>
        <v>482.41093710000007</v>
      </c>
      <c r="AJ40" s="31">
        <f t="shared" si="1"/>
        <v>485.26643710000008</v>
      </c>
      <c r="AK40" s="31">
        <f>IF(ISERROR(1/VLOOKUP($B40,Leveranser!$B$1:$S$499,MATCH("Såld värme (GWh)",Leveranser!$B$1:$S$1,0),FALSE)),"",VLOOKUP($B40,Leveranser!$B$1:$S$499,MATCH("Såld värme (GWh)",Leveranser!$B$1:$S$1,0),FALSE))</f>
        <v>430.88900000000001</v>
      </c>
      <c r="AL40" s="31">
        <f>VLOOKUP($B40,Leveranser!$B$1:$Y$499,MATCH("Totalt såld fjärrvärme till andra fjärrvärmeföretag",Leveranser!$B$1:$AA$1,0),FALSE)</f>
        <v>50.125</v>
      </c>
      <c r="AM40" s="31">
        <f>IF(ISERROR(1/VLOOKUP($B40,Miljö!$B$1:$S$500,MATCH("Såld mängd produktionsspecifik fjärrvärme (GWh)",Miljö!$B$1:$R$1,0),FALSE)),0,VLOOKUP($B40,Miljö!$B$1:$S$500,MATCH("Såld mängd produktionsspecifik fjärrvärme (GWh)",Miljö!$B$1:$R$1,0),FALSE))</f>
        <v>50.125</v>
      </c>
      <c r="AN40" s="32">
        <f t="shared" si="2"/>
        <v>0.88794313197309716</v>
      </c>
      <c r="AP40" s="31" t="str">
        <f>IFERROR(VLOOKUP($B40,Miljövärden!$B$2:$H$550,7,FALSE),"Nej, saknas")</f>
        <v>Ja</v>
      </c>
      <c r="AQ40" s="31" t="str">
        <f>IFERROR(VLOOKUP($B40,Miljövärden!$B$2:$H$551,6,FALSE),"Nej, saknas")</f>
        <v>Ja</v>
      </c>
      <c r="AU40" s="31">
        <f t="shared" si="3"/>
        <v>9.5464000000000002</v>
      </c>
      <c r="AV40" s="31">
        <f t="shared" si="4"/>
        <v>0</v>
      </c>
      <c r="AW40" s="31">
        <f t="shared" si="5"/>
        <v>161.39499999999998</v>
      </c>
      <c r="AX40" s="31">
        <f t="shared" si="6"/>
        <v>0</v>
      </c>
      <c r="AZ40" s="31">
        <f t="shared" si="7"/>
        <v>167.63713709999999</v>
      </c>
      <c r="BC40" s="31">
        <f t="shared" si="8"/>
        <v>1.2143999999999999</v>
      </c>
      <c r="BD40" s="31">
        <f t="shared" si="9"/>
        <v>0</v>
      </c>
      <c r="BE40" s="31">
        <f t="shared" si="10"/>
        <v>161.47521709999998</v>
      </c>
      <c r="BF40" s="31">
        <f t="shared" si="11"/>
        <v>310.17491999999999</v>
      </c>
      <c r="BG40" s="31">
        <f t="shared" si="12"/>
        <v>9.5464000000000002</v>
      </c>
      <c r="BH40" s="31">
        <f>VLOOKUP(B40,Miljö!$B$1:$BX$482,MATCH("Fossilandel för ursprungspecificerad el ()",Miljö!$B$1:$I$1,0),FALSE)</f>
        <v>0</v>
      </c>
      <c r="BI40" s="31">
        <f>VLOOKUP(B40,Miljö!$B$1:$BX$482,MATCH("Kärnkraftsandel för ursprungsspecificerad el ()",Miljö!$B$1:$O$1,0),FALSE)</f>
        <v>0</v>
      </c>
      <c r="BJ40" s="31">
        <f t="shared" si="13"/>
        <v>2.8555000000000001</v>
      </c>
      <c r="BK40" s="31">
        <f>VLOOKUP(B40,Miljö!$B$1:$P$482,MATCH("Fossil andel i procent (%)",Miljö!$B$1:$P$1,0),FALSE)</f>
        <v>0</v>
      </c>
      <c r="BL40" s="31">
        <f t="shared" si="14"/>
        <v>485.26643710000002</v>
      </c>
      <c r="BO40" s="32">
        <f t="shared" si="22"/>
        <v>2.5025427417922695E-3</v>
      </c>
      <c r="BP40" s="32">
        <f t="shared" si="15"/>
        <v>5.8843962443905027E-3</v>
      </c>
      <c r="BQ40" s="32">
        <f t="shared" si="16"/>
        <v>0.35242828274306792</v>
      </c>
      <c r="BR40" s="32">
        <f t="shared" si="17"/>
        <v>0.63918477827074927</v>
      </c>
      <c r="BT40" s="62">
        <f t="shared" si="18"/>
        <v>1</v>
      </c>
      <c r="BW40" s="32">
        <f>IF(AP40="Ja",VLOOKUP(B40,Miljövärden!$B$2:$H$551,MATCH("Total andel fossilt",Miljövärden!$B$2:$H$2,0),FALSE),"")</f>
        <v>2.7908199999999998E-3</v>
      </c>
      <c r="BX40" s="62">
        <f t="shared" si="19"/>
        <v>2.8827725820773035E-4</v>
      </c>
      <c r="BZ40" s="31">
        <f t="shared" si="20"/>
        <v>2.8827725820773035E-4</v>
      </c>
      <c r="CA40" s="32">
        <f t="shared" si="21"/>
        <v>0</v>
      </c>
    </row>
    <row r="41" spans="1:79" x14ac:dyDescent="0.45">
      <c r="A41" s="31" t="s">
        <v>640</v>
      </c>
      <c r="B41" s="31" t="s">
        <v>641</v>
      </c>
      <c r="C41" s="31">
        <f>VLOOKUP($B41,'Tillförd energi'!$B$1:$AI$720,MATCH(C$1,'Tillförd energi'!$B$1:$AQ$1,0),FALSE)</f>
        <v>0</v>
      </c>
      <c r="D41" s="31">
        <f>VLOOKUP($B41,'Tillförd energi'!$B$1:$AI$720,MATCH(D$1,'Tillförd energi'!$B$1:$AQ$1,0),FALSE)</f>
        <v>3.3E-3</v>
      </c>
      <c r="E41" s="31">
        <f>VLOOKUP($B41,'Tillförd energi'!$B$1:$AI$720,MATCH(E$1,'Tillförd energi'!$B$1:$AQ$1,0),FALSE)</f>
        <v>0</v>
      </c>
      <c r="F41" s="31">
        <f>VLOOKUP($B41,'Tillförd energi'!$B$1:$AI$720,MATCH(F$1,'Tillförd energi'!$B$1:$AQ$1,0),FALSE)</f>
        <v>0</v>
      </c>
      <c r="G41" s="31">
        <f>VLOOKUP($B41,'Tillförd energi'!$B$1:$AI$720,MATCH(G$1,'Tillförd energi'!$B$1:$AQ$1,0),FALSE)</f>
        <v>0</v>
      </c>
      <c r="H41" s="31">
        <f>VLOOKUP($B41,'Tillförd energi'!$B$1:$AI$720,MATCH(H$1,'Tillförd energi'!$B$1:$AQ$1,0),FALSE)</f>
        <v>0</v>
      </c>
      <c r="I41" s="31">
        <f>VLOOKUP($B41,'Tillförd energi'!$B$1:$AI$720,MATCH(I$1,'Tillförd energi'!$B$1:$AQ$1,0),FALSE)</f>
        <v>0</v>
      </c>
      <c r="J41" s="31">
        <f>VLOOKUP($B41,'Tillförd energi'!$B$1:$AI$720,MATCH(J$1,'Tillförd energi'!$B$1:$AQ$1,0),FALSE)</f>
        <v>0</v>
      </c>
      <c r="K41" s="31">
        <f>VLOOKUP($B41,'Tillförd energi'!$B$1:$AI$720,MATCH(K$1,'Tillförd energi'!$B$1:$AQ$1,0),FALSE)</f>
        <v>0</v>
      </c>
      <c r="L41" s="31">
        <f>VLOOKUP($B41,'Tillförd energi'!$B$1:$AI$720,MATCH(L$1,'Tillförd energi'!$B$1:$AQ$1,0),FALSE)</f>
        <v>0</v>
      </c>
      <c r="M41" s="31">
        <f>VLOOKUP($B41,'Tillförd energi'!$B$1:$AI$720,MATCH(M$1,'Tillförd energi'!$B$1:$AQ$1,0),FALSE)</f>
        <v>0</v>
      </c>
      <c r="N41" s="31">
        <f>VLOOKUP($B41,'Tillförd energi'!$B$1:$AI$720,MATCH(N$1,'Tillförd energi'!$B$1:$AQ$1,0),FALSE)</f>
        <v>0</v>
      </c>
      <c r="O41" s="31">
        <f>VLOOKUP($B41,'Tillförd energi'!$B$1:$AI$720,MATCH(O$1,'Tillförd energi'!$B$1:$AQ$1,0),FALSE)</f>
        <v>0</v>
      </c>
      <c r="P41" s="31">
        <f>VLOOKUP($B41,'Tillförd energi'!$B$1:$AI$720,MATCH(P$1,'Tillförd energi'!$B$1:$AQ$1,0),FALSE)</f>
        <v>0</v>
      </c>
      <c r="Q41" s="31">
        <f>VLOOKUP($B41,'Tillförd energi'!$B$1:$AI$720,MATCH(Q$1,'Tillförd energi'!$B$1:$AQ$1,0),FALSE)</f>
        <v>0</v>
      </c>
      <c r="R41" s="31">
        <f>VLOOKUP($B41,'Tillförd energi'!$B$1:$AI$720,MATCH(R$1,'Tillförd energi'!$B$1:$AQ$1,0),FALSE)</f>
        <v>2.9239999999999999</v>
      </c>
      <c r="S41" s="31">
        <f>VLOOKUP($B41,'Tillförd energi'!$B$1:$AI$720,MATCH(S$1,'Tillförd energi'!$B$1:$AQ$1,0),FALSE)</f>
        <v>0</v>
      </c>
      <c r="T41" s="31">
        <f>VLOOKUP($B41,'Tillförd energi'!$B$1:$AI$720,MATCH(T$1,'Tillförd energi'!$B$1:$AQ$1,0),FALSE)</f>
        <v>0</v>
      </c>
      <c r="U41" s="31">
        <f>VLOOKUP($B41,'Tillförd energi'!$B$1:$AI$720,MATCH(U$1,'Tillförd energi'!$B$1:$AQ$1,0),FALSE)</f>
        <v>0</v>
      </c>
      <c r="V41" s="31">
        <f>VLOOKUP($B41,'Tillförd energi'!$B$1:$AI$720,MATCH(V$1,'Tillförd energi'!$B$1:$AQ$1,0),FALSE)</f>
        <v>0</v>
      </c>
      <c r="W41" s="31">
        <f>VLOOKUP($B41,'Tillförd energi'!$B$1:$AI$720,MATCH(W$1,'Tillförd energi'!$B$1:$AQ$1,0),FALSE)</f>
        <v>0</v>
      </c>
      <c r="X41" s="31">
        <f>VLOOKUP($B41,'Tillförd energi'!$B$1:$AI$720,MATCH(X$1,'Tillförd energi'!$B$1:$AQ$1,0),FALSE)</f>
        <v>0</v>
      </c>
      <c r="Y41" s="31">
        <f>VLOOKUP($B41,'Tillförd energi'!$B$1:$AI$720,MATCH(Y$1,'Tillförd energi'!$B$1:$AQ$1,0),FALSE)</f>
        <v>0</v>
      </c>
      <c r="Z41" s="31">
        <f>VLOOKUP($B41,'Tillförd energi'!$B$1:$AI$720,MATCH(Z$1,'Tillförd energi'!$B$1:$AQ$1,0),FALSE)</f>
        <v>0</v>
      </c>
      <c r="AA41" s="31">
        <f>VLOOKUP($B41,'Tillförd energi'!$B$1:$AI$720,MATCH(AA$1,'Tillförd energi'!$B$1:$AQ$1,0),FALSE)</f>
        <v>0</v>
      </c>
      <c r="AB41" s="31">
        <f>VLOOKUP($B41,'Tillförd energi'!$B$1:$AI$720,MATCH(AB$1,'Tillförd energi'!$B$1:$AQ$1,0),FALSE)</f>
        <v>0</v>
      </c>
      <c r="AC41" s="31">
        <f>VLOOKUP($B41,'Tillförd energi'!$B$1:$AI$720,MATCH(AC$1,'Tillförd energi'!$B$1:$AQ$1,0),FALSE)</f>
        <v>0</v>
      </c>
      <c r="AD41" s="31">
        <f>VLOOKUP($B41,'Tillförd energi'!$B$1:$AI$720,MATCH(AD$1,'Tillförd energi'!$B$1:$AQ$1,0),FALSE)</f>
        <v>0</v>
      </c>
      <c r="AE41" s="31">
        <f>VLOOKUP($B41,'Tillförd energi'!$B$1:$AI$720,MATCH(AE$1,'Tillförd energi'!$B$1:$AQ$1,0),FALSE)</f>
        <v>0</v>
      </c>
      <c r="AF41" s="31">
        <f>VLOOKUP($B41,'Tillförd energi'!$B$1:$AI$720,MATCH(AF$1,'Tillförd energi'!$B$1:$AQ$1,0),FALSE)</f>
        <v>5.5999999999999999E-3</v>
      </c>
      <c r="AG41" s="31">
        <f>IFERROR(VLOOKUP(B41,Miljö!$B$1:$AC$550,MATCH("Köpt mängd produktionsspecifik fjärrvärme:",Miljö!$B$1:$AC$1,0),FALSE)/1,0)</f>
        <v>0</v>
      </c>
      <c r="AI41" s="31">
        <f t="shared" si="0"/>
        <v>2.9328999999999996</v>
      </c>
      <c r="AJ41" s="31">
        <f t="shared" si="1"/>
        <v>2.9328999999999996</v>
      </c>
      <c r="AK41" s="31">
        <f>IF(ISERROR(1/VLOOKUP($B41,Leveranser!$B$1:$S$499,MATCH("Såld värme (GWh)",Leveranser!$B$1:$S$1,0),FALSE)),"",VLOOKUP($B41,Leveranser!$B$1:$S$499,MATCH("Såld värme (GWh)",Leveranser!$B$1:$S$1,0),FALSE))</f>
        <v>1.861</v>
      </c>
      <c r="AL41" s="31">
        <f>VLOOKUP($B41,Leveranser!$B$1:$Y$499,MATCH("Totalt såld fjärrvärme till andra fjärrvärmeföretag",Leveranser!$B$1:$AA$1,0),FALSE)</f>
        <v>0</v>
      </c>
      <c r="AM41" s="31">
        <f>IF(ISERROR(1/VLOOKUP($B41,Miljö!$B$1:$S$500,MATCH("Såld mängd produktionsspecifik fjärrvärme (GWh)",Miljö!$B$1:$R$1,0),FALSE)),0,VLOOKUP($B41,Miljö!$B$1:$S$500,MATCH("Såld mängd produktionsspecifik fjärrvärme (GWh)",Miljö!$B$1:$R$1,0),FALSE))</f>
        <v>0</v>
      </c>
      <c r="AN41" s="32">
        <f t="shared" si="2"/>
        <v>0.63452555491152107</v>
      </c>
      <c r="AP41" s="31" t="str">
        <f>IFERROR(VLOOKUP($B41,Miljövärden!$B$2:$H$550,7,FALSE),"Nej, saknas")</f>
        <v>Ja</v>
      </c>
      <c r="AQ41" s="31" t="str">
        <f>IFERROR(VLOOKUP($B41,Miljövärden!$B$2:$H$551,6,FALSE),"Nej, saknas")</f>
        <v>Nej</v>
      </c>
      <c r="AU41" s="31">
        <f t="shared" si="3"/>
        <v>5.5999999999999999E-3</v>
      </c>
      <c r="AV41" s="31">
        <f t="shared" si="4"/>
        <v>0</v>
      </c>
      <c r="AW41" s="31">
        <f t="shared" si="5"/>
        <v>0</v>
      </c>
      <c r="AX41" s="31">
        <f t="shared" si="6"/>
        <v>2.9239999999999999</v>
      </c>
      <c r="AZ41" s="31">
        <f t="shared" si="7"/>
        <v>2.9239999999999999</v>
      </c>
      <c r="BC41" s="31">
        <f t="shared" si="8"/>
        <v>3.3E-3</v>
      </c>
      <c r="BD41" s="31">
        <f t="shared" si="9"/>
        <v>0</v>
      </c>
      <c r="BE41" s="31">
        <f t="shared" si="10"/>
        <v>2.9239999999999999</v>
      </c>
      <c r="BF41" s="31">
        <f t="shared" si="11"/>
        <v>0</v>
      </c>
      <c r="BG41" s="31">
        <f t="shared" si="12"/>
        <v>5.5999999999999999E-3</v>
      </c>
      <c r="BH41" s="31">
        <f>VLOOKUP(B41,Miljö!$B$1:$BX$482,MATCH("Fossilandel för ursprungspecificerad el ()",Miljö!$B$1:$I$1,0),FALSE)</f>
        <v>0</v>
      </c>
      <c r="BI41" s="31">
        <f>VLOOKUP(B41,Miljö!$B$1:$BX$482,MATCH("Kärnkraftsandel för ursprungsspecificerad el ()",Miljö!$B$1:$O$1,0),FALSE)</f>
        <v>0</v>
      </c>
      <c r="BJ41" s="31">
        <f t="shared" si="13"/>
        <v>0</v>
      </c>
      <c r="BK41" s="31" t="str">
        <f>VLOOKUP(B41,Miljö!$B$1:$P$482,MATCH("Fossil andel i procent (%)",Miljö!$B$1:$P$1,0),FALSE)</f>
        <v>ET</v>
      </c>
      <c r="BL41" s="31">
        <f t="shared" si="14"/>
        <v>2.9328999999999996</v>
      </c>
      <c r="BO41" s="32">
        <f t="shared" si="22"/>
        <v>1.1251662177367112E-3</v>
      </c>
      <c r="BP41" s="32">
        <f t="shared" si="15"/>
        <v>0</v>
      </c>
      <c r="BQ41" s="32">
        <f t="shared" si="16"/>
        <v>0.99887483378226338</v>
      </c>
      <c r="BR41" s="32">
        <f t="shared" si="17"/>
        <v>0</v>
      </c>
      <c r="BT41" s="62">
        <f t="shared" si="18"/>
        <v>1</v>
      </c>
      <c r="BW41" s="32">
        <f>IF(AP41="Ja",VLOOKUP(B41,Miljövärden!$B$2:$H$551,MATCH("Total andel fossilt",Miljövärden!$B$2:$H$2,0),FALSE),"")</f>
        <v>1.12517E-3</v>
      </c>
      <c r="BX41" s="62">
        <f t="shared" si="19"/>
        <v>3.7822632888064728E-9</v>
      </c>
      <c r="BZ41" s="31">
        <f t="shared" si="20"/>
        <v>3.7822632888064728E-9</v>
      </c>
      <c r="CA41" s="32">
        <f t="shared" si="21"/>
        <v>0</v>
      </c>
    </row>
    <row r="42" spans="1:79" x14ac:dyDescent="0.45">
      <c r="A42" s="31" t="s">
        <v>640</v>
      </c>
      <c r="B42" s="31" t="s">
        <v>639</v>
      </c>
      <c r="C42" s="31">
        <f>VLOOKUP($B42,'Tillförd energi'!$B$1:$AI$720,MATCH(C$1,'Tillförd energi'!$B$1:$AQ$1,0),FALSE)</f>
        <v>0</v>
      </c>
      <c r="D42" s="31">
        <f>VLOOKUP($B42,'Tillförd energi'!$B$1:$AI$720,MATCH(D$1,'Tillförd energi'!$B$1:$AQ$1,0),FALSE)</f>
        <v>2.2599999999999999E-2</v>
      </c>
      <c r="E42" s="31">
        <f>VLOOKUP($B42,'Tillförd energi'!$B$1:$AI$720,MATCH(E$1,'Tillförd energi'!$B$1:$AQ$1,0),FALSE)</f>
        <v>0</v>
      </c>
      <c r="F42" s="31">
        <f>VLOOKUP($B42,'Tillförd energi'!$B$1:$AI$720,MATCH(F$1,'Tillförd energi'!$B$1:$AQ$1,0),FALSE)</f>
        <v>0</v>
      </c>
      <c r="G42" s="31">
        <f>VLOOKUP($B42,'Tillförd energi'!$B$1:$AI$720,MATCH(G$1,'Tillförd energi'!$B$1:$AQ$1,0),FALSE)</f>
        <v>0</v>
      </c>
      <c r="H42" s="31">
        <f>VLOOKUP($B42,'Tillförd energi'!$B$1:$AI$720,MATCH(H$1,'Tillförd energi'!$B$1:$AQ$1,0),FALSE)</f>
        <v>0</v>
      </c>
      <c r="I42" s="31">
        <f>VLOOKUP($B42,'Tillförd energi'!$B$1:$AI$720,MATCH(I$1,'Tillförd energi'!$B$1:$AQ$1,0),FALSE)</f>
        <v>0</v>
      </c>
      <c r="J42" s="31">
        <f>VLOOKUP($B42,'Tillförd energi'!$B$1:$AI$720,MATCH(J$1,'Tillförd energi'!$B$1:$AQ$1,0),FALSE)</f>
        <v>0</v>
      </c>
      <c r="K42" s="31">
        <f>VLOOKUP($B42,'Tillförd energi'!$B$1:$AI$720,MATCH(K$1,'Tillförd energi'!$B$1:$AQ$1,0),FALSE)</f>
        <v>0</v>
      </c>
      <c r="L42" s="31">
        <f>VLOOKUP($B42,'Tillförd energi'!$B$1:$AI$720,MATCH(L$1,'Tillförd energi'!$B$1:$AQ$1,0),FALSE)</f>
        <v>0</v>
      </c>
      <c r="M42" s="31">
        <f>VLOOKUP($B42,'Tillförd energi'!$B$1:$AI$720,MATCH(M$1,'Tillförd energi'!$B$1:$AQ$1,0),FALSE)</f>
        <v>0</v>
      </c>
      <c r="N42" s="31">
        <f>VLOOKUP($B42,'Tillförd energi'!$B$1:$AI$720,MATCH(N$1,'Tillförd energi'!$B$1:$AQ$1,0),FALSE)</f>
        <v>0</v>
      </c>
      <c r="O42" s="31">
        <f>VLOOKUP($B42,'Tillförd energi'!$B$1:$AI$720,MATCH(O$1,'Tillförd energi'!$B$1:$AQ$1,0),FALSE)</f>
        <v>0</v>
      </c>
      <c r="P42" s="31">
        <f>VLOOKUP($B42,'Tillförd energi'!$B$1:$AI$720,MATCH(P$1,'Tillförd energi'!$B$1:$AQ$1,0),FALSE)</f>
        <v>0</v>
      </c>
      <c r="Q42" s="31">
        <f>VLOOKUP($B42,'Tillförd energi'!$B$1:$AI$720,MATCH(Q$1,'Tillförd energi'!$B$1:$AQ$1,0),FALSE)</f>
        <v>0</v>
      </c>
      <c r="R42" s="31">
        <f>VLOOKUP($B42,'Tillförd energi'!$B$1:$AI$720,MATCH(R$1,'Tillförd energi'!$B$1:$AQ$1,0),FALSE)</f>
        <v>5.54</v>
      </c>
      <c r="S42" s="31">
        <f>VLOOKUP($B42,'Tillförd energi'!$B$1:$AI$720,MATCH(S$1,'Tillförd energi'!$B$1:$AQ$1,0),FALSE)</f>
        <v>0</v>
      </c>
      <c r="T42" s="31">
        <f>VLOOKUP($B42,'Tillförd energi'!$B$1:$AI$720,MATCH(T$1,'Tillförd energi'!$B$1:$AQ$1,0),FALSE)</f>
        <v>0</v>
      </c>
      <c r="U42" s="31">
        <f>VLOOKUP($B42,'Tillförd energi'!$B$1:$AI$720,MATCH(U$1,'Tillförd energi'!$B$1:$AQ$1,0),FALSE)</f>
        <v>0</v>
      </c>
      <c r="V42" s="31">
        <f>VLOOKUP($B42,'Tillförd energi'!$B$1:$AI$720,MATCH(V$1,'Tillförd energi'!$B$1:$AQ$1,0),FALSE)</f>
        <v>0</v>
      </c>
      <c r="W42" s="31">
        <f>VLOOKUP($B42,'Tillförd energi'!$B$1:$AI$720,MATCH(W$1,'Tillförd energi'!$B$1:$AQ$1,0),FALSE)</f>
        <v>6.3E-3</v>
      </c>
      <c r="X42" s="31">
        <f>VLOOKUP($B42,'Tillförd energi'!$B$1:$AI$720,MATCH(X$1,'Tillförd energi'!$B$1:$AQ$1,0),FALSE)</f>
        <v>0</v>
      </c>
      <c r="Y42" s="31">
        <f>VLOOKUP($B42,'Tillförd energi'!$B$1:$AI$720,MATCH(Y$1,'Tillförd energi'!$B$1:$AQ$1,0),FALSE)</f>
        <v>0</v>
      </c>
      <c r="Z42" s="31">
        <f>VLOOKUP($B42,'Tillförd energi'!$B$1:$AI$720,MATCH(Z$1,'Tillförd energi'!$B$1:$AQ$1,0),FALSE)</f>
        <v>9.06E-2</v>
      </c>
      <c r="AA42" s="31">
        <f>VLOOKUP($B42,'Tillförd energi'!$B$1:$AI$720,MATCH(AA$1,'Tillförd energi'!$B$1:$AQ$1,0),FALSE)</f>
        <v>0</v>
      </c>
      <c r="AB42" s="31">
        <f>VLOOKUP($B42,'Tillförd energi'!$B$1:$AI$720,MATCH(AB$1,'Tillförd energi'!$B$1:$AQ$1,0),FALSE)</f>
        <v>0</v>
      </c>
      <c r="AC42" s="31">
        <f>VLOOKUP($B42,'Tillförd energi'!$B$1:$AI$720,MATCH(AC$1,'Tillförd energi'!$B$1:$AQ$1,0),FALSE)</f>
        <v>0</v>
      </c>
      <c r="AD42" s="31">
        <f>VLOOKUP($B42,'Tillförd energi'!$B$1:$AI$720,MATCH(AD$1,'Tillförd energi'!$B$1:$AQ$1,0),FALSE)</f>
        <v>0</v>
      </c>
      <c r="AE42" s="31">
        <f>VLOOKUP($B42,'Tillförd energi'!$B$1:$AI$720,MATCH(AE$1,'Tillförd energi'!$B$1:$AQ$1,0),FALSE)</f>
        <v>0</v>
      </c>
      <c r="AF42" s="31">
        <f>VLOOKUP($B42,'Tillförd energi'!$B$1:$AI$720,MATCH(AF$1,'Tillförd energi'!$B$1:$AQ$1,0),FALSE)</f>
        <v>9.2999999999999999E-2</v>
      </c>
      <c r="AG42" s="31">
        <f>IFERROR(VLOOKUP(B42,Miljö!$B$1:$AC$550,MATCH("Köpt mängd produktionsspecifik fjärrvärme:",Miljö!$B$1:$AC$1,0),FALSE)/1,0)</f>
        <v>0</v>
      </c>
      <c r="AI42" s="31">
        <f t="shared" si="0"/>
        <v>5.7525000000000004</v>
      </c>
      <c r="AJ42" s="31">
        <f t="shared" si="1"/>
        <v>5.7525000000000004</v>
      </c>
      <c r="AK42" s="31">
        <f>IF(ISERROR(1/VLOOKUP($B42,Leveranser!$B$1:$S$499,MATCH("Såld värme (GWh)",Leveranser!$B$1:$S$1,0),FALSE)),"",VLOOKUP($B42,Leveranser!$B$1:$S$499,MATCH("Såld värme (GWh)",Leveranser!$B$1:$S$1,0),FALSE))</f>
        <v>3.2610000000000001</v>
      </c>
      <c r="AL42" s="31">
        <f>VLOOKUP($B42,Leveranser!$B$1:$Y$499,MATCH("Totalt såld fjärrvärme till andra fjärrvärmeföretag",Leveranser!$B$1:$AA$1,0),FALSE)</f>
        <v>0</v>
      </c>
      <c r="AM42" s="31">
        <f>IF(ISERROR(1/VLOOKUP($B42,Miljö!$B$1:$S$500,MATCH("Såld mängd produktionsspecifik fjärrvärme (GWh)",Miljö!$B$1:$R$1,0),FALSE)),0,VLOOKUP($B42,Miljö!$B$1:$S$500,MATCH("Såld mängd produktionsspecifik fjärrvärme (GWh)",Miljö!$B$1:$R$1,0),FALSE))</f>
        <v>0</v>
      </c>
      <c r="AN42" s="32">
        <f t="shared" si="2"/>
        <v>0.56688396349413295</v>
      </c>
      <c r="AP42" s="31" t="str">
        <f>IFERROR(VLOOKUP($B42,Miljövärden!$B$2:$H$550,7,FALSE),"Nej, saknas")</f>
        <v>Ja</v>
      </c>
      <c r="AQ42" s="31" t="str">
        <f>IFERROR(VLOOKUP($B42,Miljövärden!$B$2:$H$551,6,FALSE),"Nej, saknas")</f>
        <v>Ja</v>
      </c>
      <c r="AU42" s="31">
        <f t="shared" si="3"/>
        <v>0.18359999999999999</v>
      </c>
      <c r="AV42" s="31">
        <f t="shared" si="4"/>
        <v>0</v>
      </c>
      <c r="AW42" s="31">
        <f t="shared" si="5"/>
        <v>0</v>
      </c>
      <c r="AX42" s="31">
        <f t="shared" si="6"/>
        <v>5.54</v>
      </c>
      <c r="AZ42" s="31">
        <f t="shared" si="7"/>
        <v>5.5463000000000005</v>
      </c>
      <c r="BC42" s="31">
        <f t="shared" si="8"/>
        <v>2.2599999999999999E-2</v>
      </c>
      <c r="BD42" s="31">
        <f t="shared" si="9"/>
        <v>0</v>
      </c>
      <c r="BE42" s="31">
        <f t="shared" si="10"/>
        <v>5.5463000000000005</v>
      </c>
      <c r="BF42" s="31">
        <f t="shared" si="11"/>
        <v>0</v>
      </c>
      <c r="BG42" s="31">
        <f t="shared" si="12"/>
        <v>0.18359999999999999</v>
      </c>
      <c r="BH42" s="31">
        <f>VLOOKUP(B42,Miljö!$B$1:$BX$482,MATCH("Fossilandel för ursprungspecificerad el ()",Miljö!$B$1:$I$1,0),FALSE)</f>
        <v>0</v>
      </c>
      <c r="BI42" s="31">
        <f>VLOOKUP(B42,Miljö!$B$1:$BX$482,MATCH("Kärnkraftsandel för ursprungsspecificerad el ()",Miljö!$B$1:$O$1,0),FALSE)</f>
        <v>0</v>
      </c>
      <c r="BJ42" s="31">
        <f t="shared" si="13"/>
        <v>0</v>
      </c>
      <c r="BK42" s="31" t="str">
        <f>VLOOKUP(B42,Miljö!$B$1:$P$482,MATCH("Fossil andel i procent (%)",Miljö!$B$1:$P$1,0),FALSE)</f>
        <v>ET</v>
      </c>
      <c r="BL42" s="31">
        <f t="shared" si="14"/>
        <v>5.7525000000000004</v>
      </c>
      <c r="BO42" s="32">
        <f t="shared" si="22"/>
        <v>3.9287266405910468E-3</v>
      </c>
      <c r="BP42" s="32">
        <f t="shared" si="15"/>
        <v>0</v>
      </c>
      <c r="BQ42" s="32">
        <f t="shared" si="16"/>
        <v>0.99607127335940904</v>
      </c>
      <c r="BR42" s="32">
        <f t="shared" si="17"/>
        <v>0</v>
      </c>
      <c r="BT42" s="62">
        <f t="shared" si="18"/>
        <v>1</v>
      </c>
      <c r="BW42" s="32">
        <f>IF(AP42="Ja",VLOOKUP(B42,Miljövärden!$B$2:$H$551,MATCH("Total andel fossilt",Miljövärden!$B$2:$H$2,0),FALSE),"")</f>
        <v>3.9287300000000001E-3</v>
      </c>
      <c r="BX42" s="62">
        <f t="shared" si="19"/>
        <v>3.3594089532754112E-9</v>
      </c>
      <c r="BZ42" s="31">
        <f t="shared" si="20"/>
        <v>3.3594089532754112E-9</v>
      </c>
      <c r="CA42" s="32">
        <f t="shared" si="21"/>
        <v>0</v>
      </c>
    </row>
    <row r="43" spans="1:79" x14ac:dyDescent="0.45">
      <c r="A43" s="31" t="s">
        <v>637</v>
      </c>
      <c r="B43" s="31" t="s">
        <v>638</v>
      </c>
      <c r="C43" s="31">
        <f>VLOOKUP($B43,'Tillförd energi'!$B$1:$AI$720,MATCH(C$1,'Tillförd energi'!$B$1:$AQ$1,0),FALSE)</f>
        <v>0</v>
      </c>
      <c r="D43" s="31">
        <f>VLOOKUP($B43,'Tillförd energi'!$B$1:$AI$720,MATCH(D$1,'Tillförd energi'!$B$1:$AQ$1,0),FALSE)</f>
        <v>0.04</v>
      </c>
      <c r="E43" s="31">
        <f>VLOOKUP($B43,'Tillförd energi'!$B$1:$AI$720,MATCH(E$1,'Tillförd energi'!$B$1:$AQ$1,0),FALSE)</f>
        <v>4.1900000000000004</v>
      </c>
      <c r="F43" s="31">
        <f>VLOOKUP($B43,'Tillförd energi'!$B$1:$AI$720,MATCH(F$1,'Tillförd energi'!$B$1:$AQ$1,0),FALSE)</f>
        <v>0</v>
      </c>
      <c r="G43" s="31">
        <f>VLOOKUP($B43,'Tillförd energi'!$B$1:$AI$720,MATCH(G$1,'Tillförd energi'!$B$1:$AQ$1,0),FALSE)</f>
        <v>0</v>
      </c>
      <c r="H43" s="31">
        <f>VLOOKUP($B43,'Tillförd energi'!$B$1:$AI$720,MATCH(H$1,'Tillförd energi'!$B$1:$AQ$1,0),FALSE)</f>
        <v>1.45</v>
      </c>
      <c r="I43" s="31">
        <f>VLOOKUP($B43,'Tillförd energi'!$B$1:$AI$720,MATCH(I$1,'Tillförd energi'!$B$1:$AQ$1,0),FALSE)</f>
        <v>194.31700000000001</v>
      </c>
      <c r="J43" s="31">
        <f>VLOOKUP($B43,'Tillförd energi'!$B$1:$AI$720,MATCH(J$1,'Tillförd energi'!$B$1:$AQ$1,0),FALSE)</f>
        <v>0</v>
      </c>
      <c r="K43" s="31">
        <f>VLOOKUP($B43,'Tillförd energi'!$B$1:$AI$720,MATCH(K$1,'Tillförd energi'!$B$1:$AQ$1,0),FALSE)</f>
        <v>0</v>
      </c>
      <c r="L43" s="31">
        <f>VLOOKUP($B43,'Tillförd energi'!$B$1:$AI$720,MATCH(L$1,'Tillförd energi'!$B$1:$AQ$1,0),FALSE)</f>
        <v>0</v>
      </c>
      <c r="M43" s="31">
        <f>VLOOKUP($B43,'Tillförd energi'!$B$1:$AI$720,MATCH(M$1,'Tillförd energi'!$B$1:$AQ$1,0),FALSE)</f>
        <v>51.212299999999999</v>
      </c>
      <c r="N43" s="31">
        <f>VLOOKUP($B43,'Tillförd energi'!$B$1:$AI$720,MATCH(N$1,'Tillförd energi'!$B$1:$AQ$1,0),FALSE)</f>
        <v>225.76300000000001</v>
      </c>
      <c r="O43" s="31">
        <f>VLOOKUP($B43,'Tillförd energi'!$B$1:$AI$720,MATCH(O$1,'Tillförd energi'!$B$1:$AQ$1,0),FALSE)</f>
        <v>14.494899999999999</v>
      </c>
      <c r="P43" s="31">
        <f>VLOOKUP($B43,'Tillförd energi'!$B$1:$AI$720,MATCH(P$1,'Tillförd energi'!$B$1:$AQ$1,0),FALSE)</f>
        <v>0</v>
      </c>
      <c r="Q43" s="31">
        <f>VLOOKUP($B43,'Tillförd energi'!$B$1:$AI$720,MATCH(Q$1,'Tillförd energi'!$B$1:$AQ$1,0),FALSE)</f>
        <v>14.9716</v>
      </c>
      <c r="R43" s="31">
        <f>VLOOKUP($B43,'Tillförd energi'!$B$1:$AI$720,MATCH(R$1,'Tillförd energi'!$B$1:$AQ$1,0),FALSE)</f>
        <v>7.89</v>
      </c>
      <c r="S43" s="31">
        <f>VLOOKUP($B43,'Tillförd energi'!$B$1:$AI$720,MATCH(S$1,'Tillförd energi'!$B$1:$AQ$1,0),FALSE)</f>
        <v>1.1077699999999999</v>
      </c>
      <c r="T43" s="31">
        <f>VLOOKUP($B43,'Tillförd energi'!$B$1:$AI$720,MATCH(T$1,'Tillförd energi'!$B$1:$AQ$1,0),FALSE)</f>
        <v>0</v>
      </c>
      <c r="U43" s="31">
        <f>VLOOKUP($B43,'Tillförd energi'!$B$1:$AI$720,MATCH(U$1,'Tillförd energi'!$B$1:$AQ$1,0),FALSE)</f>
        <v>44.451599999999999</v>
      </c>
      <c r="V43" s="31">
        <f>VLOOKUP($B43,'Tillförd energi'!$B$1:$AI$720,MATCH(V$1,'Tillförd energi'!$B$1:$AQ$1,0),FALSE)</f>
        <v>0</v>
      </c>
      <c r="W43" s="31">
        <f>VLOOKUP($B43,'Tillförd energi'!$B$1:$AI$720,MATCH(W$1,'Tillförd energi'!$B$1:$AQ$1,0),FALSE)</f>
        <v>8.9700000000000006</v>
      </c>
      <c r="X43" s="31">
        <f>VLOOKUP($B43,'Tillförd energi'!$B$1:$AI$720,MATCH(X$1,'Tillförd energi'!$B$1:$AQ$1,0),FALSE)</f>
        <v>0</v>
      </c>
      <c r="Y43" s="31">
        <f>VLOOKUP($B43,'Tillförd energi'!$B$1:$AI$720,MATCH(Y$1,'Tillförd energi'!$B$1:$AQ$1,0),FALSE)</f>
        <v>0</v>
      </c>
      <c r="Z43" s="31">
        <f>VLOOKUP($B43,'Tillförd energi'!$B$1:$AI$720,MATCH(Z$1,'Tillförd energi'!$B$1:$AQ$1,0),FALSE)</f>
        <v>2.25</v>
      </c>
      <c r="AA43" s="31">
        <f>VLOOKUP($B43,'Tillförd energi'!$B$1:$AI$720,MATCH(AA$1,'Tillförd energi'!$B$1:$AQ$1,0),FALSE)</f>
        <v>0</v>
      </c>
      <c r="AB43" s="31">
        <f>VLOOKUP($B43,'Tillförd energi'!$B$1:$AI$720,MATCH(AB$1,'Tillförd energi'!$B$1:$AQ$1,0),FALSE)</f>
        <v>0</v>
      </c>
      <c r="AC43" s="31">
        <f>VLOOKUP($B43,'Tillförd energi'!$B$1:$AI$720,MATCH(AC$1,'Tillförd energi'!$B$1:$AQ$1,0),FALSE)</f>
        <v>79.97</v>
      </c>
      <c r="AD43" s="31">
        <f>VLOOKUP($B43,'Tillförd energi'!$B$1:$AI$720,MATCH(AD$1,'Tillförd energi'!$B$1:$AQ$1,0),FALSE)</f>
        <v>0</v>
      </c>
      <c r="AE43" s="31">
        <f>VLOOKUP($B43,'Tillförd energi'!$B$1:$AI$720,MATCH(AE$1,'Tillförd energi'!$B$1:$AQ$1,0),FALSE)</f>
        <v>0</v>
      </c>
      <c r="AF43" s="31">
        <f>VLOOKUP($B43,'Tillförd energi'!$B$1:$AI$720,MATCH(AF$1,'Tillförd energi'!$B$1:$AQ$1,0),FALSE)</f>
        <v>20.222200000000001</v>
      </c>
      <c r="AG43" s="31">
        <f>IFERROR(VLOOKUP(B43,Miljö!$B$1:$AC$550,MATCH("Köpt mängd produktionsspecifik fjärrvärme:",Miljö!$B$1:$AC$1,0),FALSE)/1,0)</f>
        <v>0</v>
      </c>
      <c r="AI43" s="31">
        <f t="shared" si="0"/>
        <v>671.30037000000004</v>
      </c>
      <c r="AJ43" s="31">
        <f t="shared" si="1"/>
        <v>671.30037000000004</v>
      </c>
      <c r="AK43" s="31">
        <f>IF(ISERROR(1/VLOOKUP($B43,Leveranser!$B$1:$S$499,MATCH("Såld värme (GWh)",Leveranser!$B$1:$S$1,0),FALSE)),"",VLOOKUP($B43,Leveranser!$B$1:$S$499,MATCH("Såld värme (GWh)",Leveranser!$B$1:$S$1,0),FALSE))</f>
        <v>586.19399999999996</v>
      </c>
      <c r="AL43" s="31">
        <f>VLOOKUP($B43,Leveranser!$B$1:$Y$499,MATCH("Totalt såld fjärrvärme till andra fjärrvärmeföretag",Leveranser!$B$1:$AA$1,0),FALSE)</f>
        <v>0</v>
      </c>
      <c r="AM43" s="31">
        <f>IF(ISERROR(1/VLOOKUP($B43,Miljö!$B$1:$S$500,MATCH("Såld mängd produktionsspecifik fjärrvärme (GWh)",Miljö!$B$1:$R$1,0),FALSE)),0,VLOOKUP($B43,Miljö!$B$1:$S$500,MATCH("Såld mängd produktionsspecifik fjärrvärme (GWh)",Miljö!$B$1:$R$1,0),FALSE))</f>
        <v>5.6719999999999997</v>
      </c>
      <c r="AN43" s="32">
        <f t="shared" si="2"/>
        <v>0.8732216250677769</v>
      </c>
      <c r="AP43" s="31" t="str">
        <f>IFERROR(VLOOKUP($B43,Miljövärden!$B$2:$H$550,7,FALSE),"Nej, saknas")</f>
        <v>Ja</v>
      </c>
      <c r="AQ43" s="31" t="str">
        <f>IFERROR(VLOOKUP($B43,Miljövärden!$B$2:$H$551,6,FALSE),"Nej, saknas")</f>
        <v>Nej</v>
      </c>
      <c r="AU43" s="31">
        <f t="shared" si="3"/>
        <v>22.472200000000001</v>
      </c>
      <c r="AV43" s="31">
        <f t="shared" si="4"/>
        <v>0</v>
      </c>
      <c r="AW43" s="31">
        <f t="shared" si="5"/>
        <v>306.4418</v>
      </c>
      <c r="AX43" s="31">
        <f t="shared" si="6"/>
        <v>53.449370000000002</v>
      </c>
      <c r="AZ43" s="31">
        <f t="shared" si="7"/>
        <v>368.86117000000002</v>
      </c>
      <c r="BC43" s="31">
        <f t="shared" si="8"/>
        <v>5.6800000000000006</v>
      </c>
      <c r="BD43" s="31">
        <f t="shared" si="9"/>
        <v>0</v>
      </c>
      <c r="BE43" s="31">
        <f t="shared" si="10"/>
        <v>368.86117000000002</v>
      </c>
      <c r="BF43" s="31">
        <f t="shared" si="11"/>
        <v>274.28700000000003</v>
      </c>
      <c r="BG43" s="31">
        <f t="shared" si="12"/>
        <v>22.472200000000001</v>
      </c>
      <c r="BH43" s="31">
        <f>VLOOKUP(B43,Miljö!$B$1:$BX$482,MATCH("Fossilandel för ursprungspecificerad el ()",Miljö!$B$1:$I$1,0),FALSE)</f>
        <v>0</v>
      </c>
      <c r="BI43" s="31">
        <f>VLOOKUP(B43,Miljö!$B$1:$BX$482,MATCH("Kärnkraftsandel för ursprungsspecificerad el ()",Miljö!$B$1:$O$1,0),FALSE)</f>
        <v>0</v>
      </c>
      <c r="BJ43" s="31">
        <f t="shared" si="13"/>
        <v>0</v>
      </c>
      <c r="BK43" s="31" t="str">
        <f>VLOOKUP(B43,Miljö!$B$1:$P$482,MATCH("Fossil andel i procent (%)",Miljö!$B$1:$P$1,0),FALSE)</f>
        <v>ET</v>
      </c>
      <c r="BL43" s="31">
        <f t="shared" si="14"/>
        <v>671.30037000000004</v>
      </c>
      <c r="BO43" s="32">
        <f t="shared" si="22"/>
        <v>8.4611900333080407E-3</v>
      </c>
      <c r="BP43" s="32">
        <f t="shared" si="15"/>
        <v>0</v>
      </c>
      <c r="BQ43" s="32">
        <f t="shared" si="16"/>
        <v>0.58294824118747313</v>
      </c>
      <c r="BR43" s="32">
        <f t="shared" si="17"/>
        <v>0.40859056877921879</v>
      </c>
      <c r="BT43" s="62">
        <f t="shared" si="18"/>
        <v>1</v>
      </c>
      <c r="BW43" s="32">
        <f>IF(AP43="Ja",VLOOKUP(B43,Miljövärden!$B$2:$H$551,MATCH("Total andel fossilt",Miljövärden!$B$2:$H$2,0),FALSE),"")</f>
        <v>8.5332900000000007E-3</v>
      </c>
      <c r="BX43" s="62">
        <f t="shared" si="19"/>
        <v>7.2099966691959935E-5</v>
      </c>
      <c r="BZ43" s="31">
        <f t="shared" si="20"/>
        <v>7.2099966691959935E-5</v>
      </c>
      <c r="CA43" s="32">
        <f t="shared" si="21"/>
        <v>9.9999999999999915E-4</v>
      </c>
    </row>
    <row r="44" spans="1:79" x14ac:dyDescent="0.45">
      <c r="A44" s="31" t="s">
        <v>637</v>
      </c>
      <c r="B44" s="31" t="s">
        <v>636</v>
      </c>
      <c r="C44" s="31">
        <f>VLOOKUP($B44,'Tillförd energi'!$B$1:$AI$720,MATCH(C$1,'Tillförd energi'!$B$1:$AQ$1,0),FALSE)</f>
        <v>0</v>
      </c>
      <c r="D44" s="31">
        <f>VLOOKUP($B44,'Tillförd energi'!$B$1:$AI$720,MATCH(D$1,'Tillförd energi'!$B$1:$AQ$1,0),FALSE)</f>
        <v>0.68</v>
      </c>
      <c r="E44" s="31">
        <f>VLOOKUP($B44,'Tillförd energi'!$B$1:$AI$720,MATCH(E$1,'Tillförd energi'!$B$1:$AQ$1,0),FALSE)</f>
        <v>0</v>
      </c>
      <c r="F44" s="31">
        <f>VLOOKUP($B44,'Tillförd energi'!$B$1:$AI$720,MATCH(F$1,'Tillförd energi'!$B$1:$AQ$1,0),FALSE)</f>
        <v>0</v>
      </c>
      <c r="G44" s="31">
        <f>VLOOKUP($B44,'Tillförd energi'!$B$1:$AI$720,MATCH(G$1,'Tillförd energi'!$B$1:$AQ$1,0),FALSE)</f>
        <v>0</v>
      </c>
      <c r="H44" s="31">
        <f>VLOOKUP($B44,'Tillförd energi'!$B$1:$AI$720,MATCH(H$1,'Tillförd energi'!$B$1:$AQ$1,0),FALSE)</f>
        <v>0</v>
      </c>
      <c r="I44" s="31">
        <f>VLOOKUP($B44,'Tillförd energi'!$B$1:$AI$720,MATCH(I$1,'Tillförd energi'!$B$1:$AQ$1,0),FALSE)</f>
        <v>0</v>
      </c>
      <c r="J44" s="31">
        <f>VLOOKUP($B44,'Tillförd energi'!$B$1:$AI$720,MATCH(J$1,'Tillförd energi'!$B$1:$AQ$1,0),FALSE)</f>
        <v>0</v>
      </c>
      <c r="K44" s="31">
        <f>VLOOKUP($B44,'Tillförd energi'!$B$1:$AI$720,MATCH(K$1,'Tillförd energi'!$B$1:$AQ$1,0),FALSE)</f>
        <v>0</v>
      </c>
      <c r="L44" s="31">
        <f>VLOOKUP($B44,'Tillförd energi'!$B$1:$AI$720,MATCH(L$1,'Tillförd energi'!$B$1:$AQ$1,0),FALSE)</f>
        <v>0</v>
      </c>
      <c r="M44" s="31">
        <f>VLOOKUP($B44,'Tillförd energi'!$B$1:$AI$720,MATCH(M$1,'Tillförd energi'!$B$1:$AQ$1,0),FALSE)</f>
        <v>0</v>
      </c>
      <c r="N44" s="31">
        <f>VLOOKUP($B44,'Tillförd energi'!$B$1:$AI$720,MATCH(N$1,'Tillförd energi'!$B$1:$AQ$1,0),FALSE)</f>
        <v>0</v>
      </c>
      <c r="O44" s="31">
        <f>VLOOKUP($B44,'Tillförd energi'!$B$1:$AI$720,MATCH(O$1,'Tillförd energi'!$B$1:$AQ$1,0),FALSE)</f>
        <v>0</v>
      </c>
      <c r="P44" s="31">
        <f>VLOOKUP($B44,'Tillförd energi'!$B$1:$AI$720,MATCH(P$1,'Tillförd energi'!$B$1:$AQ$1,0),FALSE)</f>
        <v>0</v>
      </c>
      <c r="Q44" s="31">
        <f>VLOOKUP($B44,'Tillförd energi'!$B$1:$AI$720,MATCH(Q$1,'Tillförd energi'!$B$1:$AQ$1,0),FALSE)</f>
        <v>0</v>
      </c>
      <c r="R44" s="31">
        <f>VLOOKUP($B44,'Tillförd energi'!$B$1:$AI$720,MATCH(R$1,'Tillförd energi'!$B$1:$AQ$1,0),FALSE)</f>
        <v>0.91</v>
      </c>
      <c r="S44" s="31">
        <f>VLOOKUP($B44,'Tillförd energi'!$B$1:$AI$720,MATCH(S$1,'Tillförd energi'!$B$1:$AQ$1,0),FALSE)</f>
        <v>6.3</v>
      </c>
      <c r="T44" s="31">
        <f>VLOOKUP($B44,'Tillförd energi'!$B$1:$AI$720,MATCH(T$1,'Tillförd energi'!$B$1:$AQ$1,0),FALSE)</f>
        <v>0</v>
      </c>
      <c r="U44" s="31">
        <f>VLOOKUP($B44,'Tillförd energi'!$B$1:$AI$720,MATCH(U$1,'Tillförd energi'!$B$1:$AQ$1,0),FALSE)</f>
        <v>0</v>
      </c>
      <c r="V44" s="31">
        <f>VLOOKUP($B44,'Tillförd energi'!$B$1:$AI$720,MATCH(V$1,'Tillförd energi'!$B$1:$AQ$1,0),FALSE)</f>
        <v>0</v>
      </c>
      <c r="W44" s="31">
        <f>VLOOKUP($B44,'Tillförd energi'!$B$1:$AI$720,MATCH(W$1,'Tillförd energi'!$B$1:$AQ$1,0),FALSE)</f>
        <v>0</v>
      </c>
      <c r="X44" s="31">
        <f>VLOOKUP($B44,'Tillförd energi'!$B$1:$AI$720,MATCH(X$1,'Tillförd energi'!$B$1:$AQ$1,0),FALSE)</f>
        <v>0</v>
      </c>
      <c r="Y44" s="31">
        <f>VLOOKUP($B44,'Tillförd energi'!$B$1:$AI$720,MATCH(Y$1,'Tillförd energi'!$B$1:$AQ$1,0),FALSE)</f>
        <v>0</v>
      </c>
      <c r="Z44" s="31">
        <f>VLOOKUP($B44,'Tillförd energi'!$B$1:$AI$720,MATCH(Z$1,'Tillförd energi'!$B$1:$AQ$1,0),FALSE)</f>
        <v>0</v>
      </c>
      <c r="AA44" s="31">
        <f>VLOOKUP($B44,'Tillförd energi'!$B$1:$AI$720,MATCH(AA$1,'Tillförd energi'!$B$1:$AQ$1,0),FALSE)</f>
        <v>0</v>
      </c>
      <c r="AB44" s="31">
        <f>VLOOKUP($B44,'Tillförd energi'!$B$1:$AI$720,MATCH(AB$1,'Tillförd energi'!$B$1:$AQ$1,0),FALSE)</f>
        <v>0</v>
      </c>
      <c r="AC44" s="31">
        <f>VLOOKUP($B44,'Tillförd energi'!$B$1:$AI$720,MATCH(AC$1,'Tillförd energi'!$B$1:$AQ$1,0),FALSE)</f>
        <v>0</v>
      </c>
      <c r="AD44" s="31">
        <f>VLOOKUP($B44,'Tillförd energi'!$B$1:$AI$720,MATCH(AD$1,'Tillförd energi'!$B$1:$AQ$1,0),FALSE)</f>
        <v>0</v>
      </c>
      <c r="AE44" s="31">
        <f>VLOOKUP($B44,'Tillförd energi'!$B$1:$AI$720,MATCH(AE$1,'Tillförd energi'!$B$1:$AQ$1,0),FALSE)</f>
        <v>0</v>
      </c>
      <c r="AF44" s="31">
        <f>VLOOKUP($B44,'Tillförd energi'!$B$1:$AI$720,MATCH(AF$1,'Tillförd energi'!$B$1:$AQ$1,0),FALSE)</f>
        <v>0.161</v>
      </c>
      <c r="AG44" s="31">
        <f>IFERROR(VLOOKUP(B44,Miljö!$B$1:$AC$550,MATCH("Köpt mängd produktionsspecifik fjärrvärme:",Miljö!$B$1:$AC$1,0),FALSE)/1,0)</f>
        <v>0</v>
      </c>
      <c r="AI44" s="31">
        <f t="shared" si="0"/>
        <v>8.0510000000000002</v>
      </c>
      <c r="AJ44" s="31">
        <f t="shared" si="1"/>
        <v>8.0510000000000002</v>
      </c>
      <c r="AK44" s="31">
        <f>IF(ISERROR(1/VLOOKUP($B44,Leveranser!$B$1:$S$499,MATCH("Såld värme (GWh)",Leveranser!$B$1:$S$1,0),FALSE)),"",VLOOKUP($B44,Leveranser!$B$1:$S$499,MATCH("Såld värme (GWh)",Leveranser!$B$1:$S$1,0),FALSE))</f>
        <v>7.0259999999999998</v>
      </c>
      <c r="AL44" s="31">
        <f>VLOOKUP($B44,Leveranser!$B$1:$Y$499,MATCH("Totalt såld fjärrvärme till andra fjärrvärmeföretag",Leveranser!$B$1:$AA$1,0),FALSE)</f>
        <v>0</v>
      </c>
      <c r="AM44" s="31">
        <f>IF(ISERROR(1/VLOOKUP($B44,Miljö!$B$1:$S$500,MATCH("Såld mängd produktionsspecifik fjärrvärme (GWh)",Miljö!$B$1:$R$1,0),FALSE)),0,VLOOKUP($B44,Miljö!$B$1:$S$500,MATCH("Såld mängd produktionsspecifik fjärrvärme (GWh)",Miljö!$B$1:$R$1,0),FALSE))</f>
        <v>0</v>
      </c>
      <c r="AN44" s="32">
        <f t="shared" si="2"/>
        <v>0.87268662277977882</v>
      </c>
      <c r="AP44" s="31" t="str">
        <f>IFERROR(VLOOKUP($B44,Miljövärden!$B$2:$H$550,7,FALSE),"Nej, saknas")</f>
        <v>Ja</v>
      </c>
      <c r="AQ44" s="31" t="str">
        <f>IFERROR(VLOOKUP($B44,Miljövärden!$B$2:$H$551,6,FALSE),"Nej, saknas")</f>
        <v>Nej</v>
      </c>
      <c r="AU44" s="31">
        <f t="shared" si="3"/>
        <v>0.161</v>
      </c>
      <c r="AV44" s="31">
        <f t="shared" si="4"/>
        <v>0</v>
      </c>
      <c r="AW44" s="31">
        <f t="shared" si="5"/>
        <v>0</v>
      </c>
      <c r="AX44" s="31">
        <f t="shared" si="6"/>
        <v>7.21</v>
      </c>
      <c r="AZ44" s="31">
        <f t="shared" si="7"/>
        <v>7.21</v>
      </c>
      <c r="BC44" s="31">
        <f t="shared" si="8"/>
        <v>0.68</v>
      </c>
      <c r="BD44" s="31">
        <f t="shared" si="9"/>
        <v>0</v>
      </c>
      <c r="BE44" s="31">
        <f t="shared" si="10"/>
        <v>7.21</v>
      </c>
      <c r="BF44" s="31">
        <f t="shared" si="11"/>
        <v>0</v>
      </c>
      <c r="BG44" s="31">
        <f t="shared" si="12"/>
        <v>0.161</v>
      </c>
      <c r="BH44" s="31">
        <f>VLOOKUP(B44,Miljö!$B$1:$BX$482,MATCH("Fossilandel för ursprungspecificerad el ()",Miljö!$B$1:$I$1,0),FALSE)</f>
        <v>0</v>
      </c>
      <c r="BI44" s="31">
        <f>VLOOKUP(B44,Miljö!$B$1:$BX$482,MATCH("Kärnkraftsandel för ursprungsspecificerad el ()",Miljö!$B$1:$O$1,0),FALSE)</f>
        <v>0</v>
      </c>
      <c r="BJ44" s="31">
        <f t="shared" si="13"/>
        <v>0</v>
      </c>
      <c r="BK44" s="31" t="str">
        <f>VLOOKUP(B44,Miljö!$B$1:$P$482,MATCH("Fossil andel i procent (%)",Miljö!$B$1:$P$1,0),FALSE)</f>
        <v>ET</v>
      </c>
      <c r="BL44" s="31">
        <f t="shared" si="14"/>
        <v>8.0510000000000002</v>
      </c>
      <c r="BO44" s="32">
        <f t="shared" si="22"/>
        <v>8.4461557570488149E-2</v>
      </c>
      <c r="BP44" s="32">
        <f t="shared" si="15"/>
        <v>0</v>
      </c>
      <c r="BQ44" s="32">
        <f t="shared" si="16"/>
        <v>0.91553844242951177</v>
      </c>
      <c r="BR44" s="32">
        <f t="shared" si="17"/>
        <v>0</v>
      </c>
      <c r="BT44" s="62">
        <f t="shared" si="18"/>
        <v>0.99999999999999989</v>
      </c>
      <c r="BW44" s="32">
        <f>IF(AP44="Ja",VLOOKUP(B44,Miljövärden!$B$2:$H$551,MATCH("Total andel fossilt",Miljövärden!$B$2:$H$2,0),FALSE),"")</f>
        <v>8.4461599999999998E-2</v>
      </c>
      <c r="BX44" s="62">
        <f t="shared" si="19"/>
        <v>4.2429511848407486E-8</v>
      </c>
      <c r="BZ44" s="31">
        <f t="shared" si="20"/>
        <v>4.2429511848407486E-8</v>
      </c>
      <c r="CA44" s="32">
        <f t="shared" si="21"/>
        <v>0</v>
      </c>
    </row>
    <row r="45" spans="1:79" x14ac:dyDescent="0.45">
      <c r="A45" s="31" t="s">
        <v>635</v>
      </c>
      <c r="B45" s="31" t="s">
        <v>634</v>
      </c>
      <c r="C45" s="31">
        <f>VLOOKUP($B45,'Tillförd energi'!$B$1:$AI$720,MATCH(C$1,'Tillförd energi'!$B$1:$AQ$1,0),FALSE)</f>
        <v>0</v>
      </c>
      <c r="D45" s="31">
        <f>VLOOKUP($B45,'Tillförd energi'!$B$1:$AI$720,MATCH(D$1,'Tillförd energi'!$B$1:$AQ$1,0),FALSE)</f>
        <v>0</v>
      </c>
      <c r="E45" s="31">
        <f>VLOOKUP($B45,'Tillförd energi'!$B$1:$AI$720,MATCH(E$1,'Tillförd energi'!$B$1:$AQ$1,0),FALSE)</f>
        <v>0</v>
      </c>
      <c r="F45" s="31">
        <f>VLOOKUP($B45,'Tillförd energi'!$B$1:$AI$720,MATCH(F$1,'Tillförd energi'!$B$1:$AQ$1,0),FALSE)</f>
        <v>0</v>
      </c>
      <c r="G45" s="31">
        <f>VLOOKUP($B45,'Tillförd energi'!$B$1:$AI$720,MATCH(G$1,'Tillförd energi'!$B$1:$AQ$1,0),FALSE)</f>
        <v>0</v>
      </c>
      <c r="H45" s="31">
        <f>VLOOKUP($B45,'Tillförd energi'!$B$1:$AI$720,MATCH(H$1,'Tillförd energi'!$B$1:$AQ$1,0),FALSE)</f>
        <v>0</v>
      </c>
      <c r="I45" s="31">
        <f>VLOOKUP($B45,'Tillförd energi'!$B$1:$AI$720,MATCH(I$1,'Tillförd energi'!$B$1:$AQ$1,0),FALSE)</f>
        <v>0</v>
      </c>
      <c r="J45" s="31">
        <f>VLOOKUP($B45,'Tillförd energi'!$B$1:$AI$720,MATCH(J$1,'Tillförd energi'!$B$1:$AQ$1,0),FALSE)</f>
        <v>0</v>
      </c>
      <c r="K45" s="31">
        <f>VLOOKUP($B45,'Tillförd energi'!$B$1:$AI$720,MATCH(K$1,'Tillförd energi'!$B$1:$AQ$1,0),FALSE)</f>
        <v>0</v>
      </c>
      <c r="L45" s="31">
        <f>VLOOKUP($B45,'Tillförd energi'!$B$1:$AI$720,MATCH(L$1,'Tillförd energi'!$B$1:$AQ$1,0),FALSE)</f>
        <v>0</v>
      </c>
      <c r="M45" s="31">
        <f>VLOOKUP($B45,'Tillförd energi'!$B$1:$AI$720,MATCH(M$1,'Tillförd energi'!$B$1:$AQ$1,0),FALSE)</f>
        <v>0</v>
      </c>
      <c r="N45" s="31">
        <f>VLOOKUP($B45,'Tillförd energi'!$B$1:$AI$720,MATCH(N$1,'Tillförd energi'!$B$1:$AQ$1,0),FALSE)</f>
        <v>0</v>
      </c>
      <c r="O45" s="31">
        <f>VLOOKUP($B45,'Tillförd energi'!$B$1:$AI$720,MATCH(O$1,'Tillförd energi'!$B$1:$AQ$1,0),FALSE)</f>
        <v>0</v>
      </c>
      <c r="P45" s="31">
        <f>VLOOKUP($B45,'Tillförd energi'!$B$1:$AI$720,MATCH(P$1,'Tillförd energi'!$B$1:$AQ$1,0),FALSE)</f>
        <v>0</v>
      </c>
      <c r="Q45" s="31">
        <f>VLOOKUP($B45,'Tillförd energi'!$B$1:$AI$720,MATCH(Q$1,'Tillförd energi'!$B$1:$AQ$1,0),FALSE)</f>
        <v>0</v>
      </c>
      <c r="R45" s="31">
        <f>VLOOKUP($B45,'Tillförd energi'!$B$1:$AI$720,MATCH(R$1,'Tillförd energi'!$B$1:$AQ$1,0),FALSE)</f>
        <v>0</v>
      </c>
      <c r="S45" s="31">
        <f>VLOOKUP($B45,'Tillförd energi'!$B$1:$AI$720,MATCH(S$1,'Tillförd energi'!$B$1:$AQ$1,0),FALSE)</f>
        <v>0</v>
      </c>
      <c r="T45" s="31">
        <f>VLOOKUP($B45,'Tillförd energi'!$B$1:$AI$720,MATCH(T$1,'Tillförd energi'!$B$1:$AQ$1,0),FALSE)</f>
        <v>0</v>
      </c>
      <c r="U45" s="31">
        <f>VLOOKUP($B45,'Tillförd energi'!$B$1:$AI$720,MATCH(U$1,'Tillförd energi'!$B$1:$AQ$1,0),FALSE)</f>
        <v>0</v>
      </c>
      <c r="V45" s="31">
        <f>VLOOKUP($B45,'Tillförd energi'!$B$1:$AI$720,MATCH(V$1,'Tillförd energi'!$B$1:$AQ$1,0),FALSE)</f>
        <v>0</v>
      </c>
      <c r="W45" s="31">
        <f>VLOOKUP($B45,'Tillförd energi'!$B$1:$AI$720,MATCH(W$1,'Tillförd energi'!$B$1:$AQ$1,0),FALSE)</f>
        <v>0</v>
      </c>
      <c r="X45" s="31">
        <f>VLOOKUP($B45,'Tillförd energi'!$B$1:$AI$720,MATCH(X$1,'Tillförd energi'!$B$1:$AQ$1,0),FALSE)</f>
        <v>0</v>
      </c>
      <c r="Y45" s="31">
        <f>VLOOKUP($B45,'Tillförd energi'!$B$1:$AI$720,MATCH(Y$1,'Tillförd energi'!$B$1:$AQ$1,0),FALSE)</f>
        <v>0</v>
      </c>
      <c r="Z45" s="31">
        <f>VLOOKUP($B45,'Tillförd energi'!$B$1:$AI$720,MATCH(Z$1,'Tillförd energi'!$B$1:$AQ$1,0),FALSE)</f>
        <v>0</v>
      </c>
      <c r="AA45" s="31">
        <f>VLOOKUP($B45,'Tillförd energi'!$B$1:$AI$720,MATCH(AA$1,'Tillförd energi'!$B$1:$AQ$1,0),FALSE)</f>
        <v>0</v>
      </c>
      <c r="AB45" s="31">
        <f>VLOOKUP($B45,'Tillförd energi'!$B$1:$AI$720,MATCH(AB$1,'Tillförd energi'!$B$1:$AQ$1,0),FALSE)</f>
        <v>0</v>
      </c>
      <c r="AC45" s="31">
        <f>VLOOKUP($B45,'Tillförd energi'!$B$1:$AI$720,MATCH(AC$1,'Tillförd energi'!$B$1:$AQ$1,0),FALSE)</f>
        <v>0</v>
      </c>
      <c r="AD45" s="31">
        <f>VLOOKUP($B45,'Tillförd energi'!$B$1:$AI$720,MATCH(AD$1,'Tillförd energi'!$B$1:$AQ$1,0),FALSE)</f>
        <v>47</v>
      </c>
      <c r="AE45" s="31">
        <f>VLOOKUP($B45,'Tillförd energi'!$B$1:$AI$720,MATCH(AE$1,'Tillförd energi'!$B$1:$AQ$1,0),FALSE)</f>
        <v>0</v>
      </c>
      <c r="AF45" s="31">
        <f>VLOOKUP($B45,'Tillförd energi'!$B$1:$AI$720,MATCH(AF$1,'Tillförd energi'!$B$1:$AQ$1,0),FALSE)</f>
        <v>0.13500000000000001</v>
      </c>
      <c r="AG45" s="31">
        <f>IFERROR(VLOOKUP(B45,Miljö!$B$1:$AC$550,MATCH("Köpt mängd produktionsspecifik fjärrvärme:",Miljö!$B$1:$AC$1,0),FALSE)/1,0)</f>
        <v>0</v>
      </c>
      <c r="AI45" s="31">
        <f t="shared" si="0"/>
        <v>47.134999999999998</v>
      </c>
      <c r="AJ45" s="31">
        <f t="shared" si="1"/>
        <v>47.134999999999998</v>
      </c>
      <c r="AK45" s="31">
        <f>IF(ISERROR(1/VLOOKUP($B45,Leveranser!$B$1:$S$499,MATCH("Såld värme (GWh)",Leveranser!$B$1:$S$1,0),FALSE)),"",VLOOKUP($B45,Leveranser!$B$1:$S$499,MATCH("Såld värme (GWh)",Leveranser!$B$1:$S$1,0),FALSE))</f>
        <v>34.299999999999997</v>
      </c>
      <c r="AL45" s="31">
        <f>VLOOKUP($B45,Leveranser!$B$1:$Y$499,MATCH("Totalt såld fjärrvärme till andra fjärrvärmeföretag",Leveranser!$B$1:$AA$1,0),FALSE)</f>
        <v>0</v>
      </c>
      <c r="AM45" s="31">
        <f>IF(ISERROR(1/VLOOKUP($B45,Miljö!$B$1:$S$500,MATCH("Såld mängd produktionsspecifik fjärrvärme (GWh)",Miljö!$B$1:$R$1,0),FALSE)),0,VLOOKUP($B45,Miljö!$B$1:$S$500,MATCH("Såld mängd produktionsspecifik fjärrvärme (GWh)",Miljö!$B$1:$R$1,0),FALSE))</f>
        <v>0</v>
      </c>
      <c r="AN45" s="32">
        <f t="shared" si="2"/>
        <v>0.72769704041582683</v>
      </c>
      <c r="AP45" s="31" t="str">
        <f>IFERROR(VLOOKUP($B45,Miljövärden!$B$2:$H$550,7,FALSE),"Nej, saknas")</f>
        <v>Ja</v>
      </c>
      <c r="AQ45" s="31" t="str">
        <f>IFERROR(VLOOKUP($B45,Miljövärden!$B$2:$H$551,6,FALSE),"Nej, saknas")</f>
        <v>Ja</v>
      </c>
      <c r="AU45" s="31">
        <f t="shared" si="3"/>
        <v>0.13500000000000001</v>
      </c>
      <c r="AV45" s="31">
        <f t="shared" si="4"/>
        <v>0</v>
      </c>
      <c r="AW45" s="31">
        <f t="shared" si="5"/>
        <v>0</v>
      </c>
      <c r="AX45" s="31">
        <f t="shared" si="6"/>
        <v>0</v>
      </c>
      <c r="AZ45" s="31">
        <f t="shared" si="7"/>
        <v>0</v>
      </c>
      <c r="BC45" s="31">
        <f t="shared" si="8"/>
        <v>0</v>
      </c>
      <c r="BD45" s="31">
        <f t="shared" si="9"/>
        <v>0</v>
      </c>
      <c r="BE45" s="31">
        <f t="shared" si="10"/>
        <v>0</v>
      </c>
      <c r="BF45" s="31">
        <f t="shared" si="11"/>
        <v>47</v>
      </c>
      <c r="BG45" s="31">
        <f t="shared" si="12"/>
        <v>0.13500000000000001</v>
      </c>
      <c r="BH45" s="31">
        <f>VLOOKUP(B45,Miljö!$B$1:$BX$482,MATCH("Fossilandel för ursprungspecificerad el ()",Miljö!$B$1:$I$1,0),FALSE)</f>
        <v>0</v>
      </c>
      <c r="BI45" s="31">
        <f>VLOOKUP(B45,Miljö!$B$1:$BX$482,MATCH("Kärnkraftsandel för ursprungsspecificerad el ()",Miljö!$B$1:$O$1,0),FALSE)</f>
        <v>0</v>
      </c>
      <c r="BJ45" s="31">
        <f t="shared" si="13"/>
        <v>0</v>
      </c>
      <c r="BK45" s="31" t="str">
        <f>VLOOKUP(B45,Miljö!$B$1:$P$482,MATCH("Fossil andel i procent (%)",Miljö!$B$1:$P$1,0),FALSE)</f>
        <v>ET</v>
      </c>
      <c r="BL45" s="31">
        <f t="shared" si="14"/>
        <v>47.134999999999998</v>
      </c>
      <c r="BO45" s="32">
        <f t="shared" si="22"/>
        <v>0</v>
      </c>
      <c r="BP45" s="32">
        <f t="shared" si="15"/>
        <v>0</v>
      </c>
      <c r="BQ45" s="32">
        <f t="shared" si="16"/>
        <v>2.8641137159223511E-3</v>
      </c>
      <c r="BR45" s="32">
        <f t="shared" si="17"/>
        <v>0.99713588628407768</v>
      </c>
      <c r="BT45" s="62">
        <f t="shared" si="18"/>
        <v>1</v>
      </c>
      <c r="BW45" s="32">
        <f>IF(AP45="Ja",VLOOKUP(B45,Miljövärden!$B$2:$H$551,MATCH("Total andel fossilt",Miljövärden!$B$2:$H$2,0),FALSE),"")</f>
        <v>0</v>
      </c>
      <c r="BX45" s="62">
        <f t="shared" si="19"/>
        <v>0</v>
      </c>
      <c r="BZ45" s="31">
        <f t="shared" si="20"/>
        <v>0</v>
      </c>
      <c r="CA45" s="32">
        <f t="shared" si="21"/>
        <v>0</v>
      </c>
    </row>
    <row r="46" spans="1:79" x14ac:dyDescent="0.45">
      <c r="A46" s="31" t="s">
        <v>633</v>
      </c>
      <c r="B46" s="31" t="s">
        <v>65</v>
      </c>
      <c r="C46" s="31">
        <f>VLOOKUP($B46,'Tillförd energi'!$B$1:$AI$720,MATCH(C$1,'Tillförd energi'!$B$1:$AQ$1,0),FALSE)</f>
        <v>0</v>
      </c>
      <c r="D46" s="31">
        <f>VLOOKUP($B46,'Tillförd energi'!$B$1:$AI$720,MATCH(D$1,'Tillförd energi'!$B$1:$AQ$1,0),FALSE)</f>
        <v>0.222</v>
      </c>
      <c r="E46" s="31">
        <f>VLOOKUP($B46,'Tillförd energi'!$B$1:$AI$720,MATCH(E$1,'Tillförd energi'!$B$1:$AQ$1,0),FALSE)</f>
        <v>0</v>
      </c>
      <c r="F46" s="31">
        <f>VLOOKUP($B46,'Tillförd energi'!$B$1:$AI$720,MATCH(F$1,'Tillförd energi'!$B$1:$AQ$1,0),FALSE)</f>
        <v>0</v>
      </c>
      <c r="G46" s="31">
        <f>VLOOKUP($B46,'Tillförd energi'!$B$1:$AI$720,MATCH(G$1,'Tillförd energi'!$B$1:$AQ$1,0),FALSE)</f>
        <v>0</v>
      </c>
      <c r="H46" s="31">
        <f>VLOOKUP($B46,'Tillförd energi'!$B$1:$AI$720,MATCH(H$1,'Tillförd energi'!$B$1:$AQ$1,0),FALSE)</f>
        <v>0</v>
      </c>
      <c r="I46" s="31">
        <f>VLOOKUP($B46,'Tillförd energi'!$B$1:$AI$720,MATCH(I$1,'Tillförd energi'!$B$1:$AQ$1,0),FALSE)</f>
        <v>0</v>
      </c>
      <c r="J46" s="31">
        <f>VLOOKUP($B46,'Tillförd energi'!$B$1:$AI$720,MATCH(J$1,'Tillförd energi'!$B$1:$AQ$1,0),FALSE)</f>
        <v>0</v>
      </c>
      <c r="K46" s="31">
        <f>VLOOKUP($B46,'Tillförd energi'!$B$1:$AI$720,MATCH(K$1,'Tillförd energi'!$B$1:$AQ$1,0),FALSE)</f>
        <v>0</v>
      </c>
      <c r="L46" s="31">
        <f>VLOOKUP($B46,'Tillförd energi'!$B$1:$AI$720,MATCH(L$1,'Tillförd energi'!$B$1:$AQ$1,0),FALSE)</f>
        <v>0</v>
      </c>
      <c r="M46" s="31">
        <f>VLOOKUP($B46,'Tillförd energi'!$B$1:$AI$720,MATCH(M$1,'Tillförd energi'!$B$1:$AQ$1,0),FALSE)</f>
        <v>0</v>
      </c>
      <c r="N46" s="31">
        <f>VLOOKUP($B46,'Tillförd energi'!$B$1:$AI$720,MATCH(N$1,'Tillförd energi'!$B$1:$AQ$1,0),FALSE)</f>
        <v>0</v>
      </c>
      <c r="O46" s="31">
        <f>VLOOKUP($B46,'Tillförd energi'!$B$1:$AI$720,MATCH(O$1,'Tillförd energi'!$B$1:$AQ$1,0),FALSE)</f>
        <v>9.9350000000000005</v>
      </c>
      <c r="P46" s="31">
        <f>VLOOKUP($B46,'Tillförd energi'!$B$1:$AI$720,MATCH(P$1,'Tillförd energi'!$B$1:$AQ$1,0),FALSE)</f>
        <v>3.7149999999999999</v>
      </c>
      <c r="Q46" s="31">
        <f>VLOOKUP($B46,'Tillförd energi'!$B$1:$AI$720,MATCH(Q$1,'Tillförd energi'!$B$1:$AQ$1,0),FALSE)</f>
        <v>0</v>
      </c>
      <c r="R46" s="31">
        <f>VLOOKUP($B46,'Tillförd energi'!$B$1:$AI$720,MATCH(R$1,'Tillförd energi'!$B$1:$AQ$1,0),FALSE)</f>
        <v>0.61199999999999999</v>
      </c>
      <c r="S46" s="31">
        <f>VLOOKUP($B46,'Tillförd energi'!$B$1:$AI$720,MATCH(S$1,'Tillförd energi'!$B$1:$AQ$1,0),FALSE)</f>
        <v>0</v>
      </c>
      <c r="T46" s="31">
        <f>VLOOKUP($B46,'Tillförd energi'!$B$1:$AI$720,MATCH(T$1,'Tillförd energi'!$B$1:$AQ$1,0),FALSE)</f>
        <v>0</v>
      </c>
      <c r="U46" s="31">
        <f>VLOOKUP($B46,'Tillförd energi'!$B$1:$AI$720,MATCH(U$1,'Tillförd energi'!$B$1:$AQ$1,0),FALSE)</f>
        <v>0</v>
      </c>
      <c r="V46" s="31">
        <f>VLOOKUP($B46,'Tillförd energi'!$B$1:$AI$720,MATCH(V$1,'Tillförd energi'!$B$1:$AQ$1,0),FALSE)</f>
        <v>0</v>
      </c>
      <c r="W46" s="31">
        <f>VLOOKUP($B46,'Tillförd energi'!$B$1:$AI$720,MATCH(W$1,'Tillförd energi'!$B$1:$AQ$1,0),FALSE)</f>
        <v>0</v>
      </c>
      <c r="X46" s="31">
        <f>VLOOKUP($B46,'Tillförd energi'!$B$1:$AI$720,MATCH(X$1,'Tillförd energi'!$B$1:$AQ$1,0),FALSE)</f>
        <v>0</v>
      </c>
      <c r="Y46" s="31">
        <f>VLOOKUP($B46,'Tillförd energi'!$B$1:$AI$720,MATCH(Y$1,'Tillförd energi'!$B$1:$AQ$1,0),FALSE)</f>
        <v>0</v>
      </c>
      <c r="Z46" s="31">
        <f>VLOOKUP($B46,'Tillförd energi'!$B$1:$AI$720,MATCH(Z$1,'Tillförd energi'!$B$1:$AQ$1,0),FALSE)</f>
        <v>0.36</v>
      </c>
      <c r="AA46" s="31">
        <f>VLOOKUP($B46,'Tillförd energi'!$B$1:$AI$720,MATCH(AA$1,'Tillförd energi'!$B$1:$AQ$1,0),FALSE)</f>
        <v>0</v>
      </c>
      <c r="AB46" s="31">
        <f>VLOOKUP($B46,'Tillförd energi'!$B$1:$AI$720,MATCH(AB$1,'Tillförd energi'!$B$1:$AQ$1,0),FALSE)</f>
        <v>0</v>
      </c>
      <c r="AC46" s="31">
        <f>VLOOKUP($B46,'Tillförd energi'!$B$1:$AI$720,MATCH(AC$1,'Tillförd energi'!$B$1:$AQ$1,0),FALSE)</f>
        <v>0</v>
      </c>
      <c r="AD46" s="31">
        <f>VLOOKUP($B46,'Tillförd energi'!$B$1:$AI$720,MATCH(AD$1,'Tillförd energi'!$B$1:$AQ$1,0),FALSE)</f>
        <v>0</v>
      </c>
      <c r="AE46" s="31">
        <f>VLOOKUP($B46,'Tillförd energi'!$B$1:$AI$720,MATCH(AE$1,'Tillförd energi'!$B$1:$AQ$1,0),FALSE)</f>
        <v>0</v>
      </c>
      <c r="AF46" s="31">
        <f>VLOOKUP($B46,'Tillförd energi'!$B$1:$AI$720,MATCH(AF$1,'Tillförd energi'!$B$1:$AQ$1,0),FALSE)</f>
        <v>0.33759</v>
      </c>
      <c r="AG46" s="31">
        <f>IFERROR(VLOOKUP(B46,Miljö!$B$1:$AC$550,MATCH("Köpt mängd produktionsspecifik fjärrvärme:",Miljö!$B$1:$AC$1,0),FALSE)/1,0)</f>
        <v>0</v>
      </c>
      <c r="AI46" s="31">
        <f t="shared" si="0"/>
        <v>15.18159</v>
      </c>
      <c r="AJ46" s="31">
        <f t="shared" si="1"/>
        <v>15.18159</v>
      </c>
      <c r="AK46" s="31">
        <f>IF(ISERROR(1/VLOOKUP($B46,Leveranser!$B$1:$S$499,MATCH("Såld värme (GWh)",Leveranser!$B$1:$S$1,0),FALSE)),"",VLOOKUP($B46,Leveranser!$B$1:$S$499,MATCH("Såld värme (GWh)",Leveranser!$B$1:$S$1,0),FALSE))</f>
        <v>11.253</v>
      </c>
      <c r="AL46" s="31">
        <f>VLOOKUP($B46,Leveranser!$B$1:$Y$499,MATCH("Totalt såld fjärrvärme till andra fjärrvärmeföretag",Leveranser!$B$1:$AA$1,0),FALSE)</f>
        <v>0</v>
      </c>
      <c r="AM46" s="31">
        <f>IF(ISERROR(1/VLOOKUP($B46,Miljö!$B$1:$S$500,MATCH("Såld mängd produktionsspecifik fjärrvärme (GWh)",Miljö!$B$1:$R$1,0),FALSE)),0,VLOOKUP($B46,Miljö!$B$1:$S$500,MATCH("Såld mängd produktionsspecifik fjärrvärme (GWh)",Miljö!$B$1:$R$1,0),FALSE))</f>
        <v>0</v>
      </c>
      <c r="AN46" s="32">
        <f t="shared" si="2"/>
        <v>0.74122670945533375</v>
      </c>
      <c r="AP46" s="31" t="str">
        <f>IFERROR(VLOOKUP($B46,Miljövärden!$B$2:$H$550,7,FALSE),"Nej, saknas")</f>
        <v>Ja</v>
      </c>
      <c r="AQ46" s="31" t="str">
        <f>IFERROR(VLOOKUP($B46,Miljövärden!$B$2:$H$551,6,FALSE),"Nej, saknas")</f>
        <v>Ja</v>
      </c>
      <c r="AU46" s="31">
        <f t="shared" si="3"/>
        <v>0.69758999999999993</v>
      </c>
      <c r="AV46" s="31">
        <f t="shared" si="4"/>
        <v>0</v>
      </c>
      <c r="AW46" s="31">
        <f t="shared" si="5"/>
        <v>13.65</v>
      </c>
      <c r="AX46" s="31">
        <f t="shared" si="6"/>
        <v>0.61199999999999999</v>
      </c>
      <c r="AZ46" s="31">
        <f t="shared" si="7"/>
        <v>14.262</v>
      </c>
      <c r="BC46" s="31">
        <f t="shared" si="8"/>
        <v>0.222</v>
      </c>
      <c r="BD46" s="31">
        <f t="shared" si="9"/>
        <v>0</v>
      </c>
      <c r="BE46" s="31">
        <f t="shared" si="10"/>
        <v>14.262</v>
      </c>
      <c r="BF46" s="31">
        <f t="shared" si="11"/>
        <v>0</v>
      </c>
      <c r="BG46" s="31">
        <f t="shared" si="12"/>
        <v>0.69758999999999993</v>
      </c>
      <c r="BH46" s="31">
        <f>VLOOKUP(B46,Miljö!$B$1:$BX$482,MATCH("Fossilandel för ursprungspecificerad el ()",Miljö!$B$1:$I$1,0),FALSE)</f>
        <v>0.35</v>
      </c>
      <c r="BI46" s="31">
        <f>VLOOKUP(B46,Miljö!$B$1:$BX$482,MATCH("Kärnkraftsandel för ursprungsspecificerad el ()",Miljö!$B$1:$O$1,0),FALSE)</f>
        <v>0.3977</v>
      </c>
      <c r="BJ46" s="31">
        <f t="shared" si="13"/>
        <v>0</v>
      </c>
      <c r="BK46" s="31" t="str">
        <f>VLOOKUP(B46,Miljö!$B$1:$P$482,MATCH("Fossil andel i procent (%)",Miljö!$B$1:$P$1,0),FALSE)</f>
        <v>ET</v>
      </c>
      <c r="BL46" s="31">
        <f t="shared" si="14"/>
        <v>15.18159</v>
      </c>
      <c r="BO46" s="32">
        <f t="shared" si="22"/>
        <v>3.0705380661709344E-2</v>
      </c>
      <c r="BP46" s="32">
        <f t="shared" si="15"/>
        <v>1.8274208630321327E-2</v>
      </c>
      <c r="BQ46" s="32">
        <f t="shared" si="16"/>
        <v>0.95102041070796939</v>
      </c>
      <c r="BR46" s="32">
        <f t="shared" si="17"/>
        <v>0</v>
      </c>
      <c r="BT46" s="62">
        <f t="shared" si="18"/>
        <v>1</v>
      </c>
      <c r="BW46" s="32">
        <f>IF(AP46="Ja",VLOOKUP(B46,Miljövärden!$B$2:$H$551,MATCH("Total andel fossilt",Miljövärden!$B$2:$H$2,0),FALSE),"")</f>
        <v>3.0705400000000001E-2</v>
      </c>
      <c r="BX46" s="62">
        <f t="shared" si="19"/>
        <v>1.9338290656312207E-8</v>
      </c>
      <c r="BZ46" s="31">
        <f t="shared" si="20"/>
        <v>1.9338290656312207E-8</v>
      </c>
      <c r="CA46" s="32">
        <f t="shared" si="21"/>
        <v>0</v>
      </c>
    </row>
    <row r="47" spans="1:79" x14ac:dyDescent="0.45">
      <c r="A47" s="31" t="s">
        <v>631</v>
      </c>
      <c r="B47" s="31" t="s">
        <v>632</v>
      </c>
      <c r="C47" s="31">
        <f>VLOOKUP($B47,'Tillförd energi'!$B$1:$AI$720,MATCH(C$1,'Tillförd energi'!$B$1:$AQ$1,0),FALSE)</f>
        <v>0</v>
      </c>
      <c r="D47" s="31">
        <f>VLOOKUP($B47,'Tillförd energi'!$B$1:$AI$720,MATCH(D$1,'Tillförd energi'!$B$1:$AQ$1,0),FALSE)</f>
        <v>0.11700000000000001</v>
      </c>
      <c r="E47" s="31">
        <f>VLOOKUP($B47,'Tillförd energi'!$B$1:$AI$720,MATCH(E$1,'Tillförd energi'!$B$1:$AQ$1,0),FALSE)</f>
        <v>0</v>
      </c>
      <c r="F47" s="31">
        <f>VLOOKUP($B47,'Tillförd energi'!$B$1:$AI$720,MATCH(F$1,'Tillförd energi'!$B$1:$AQ$1,0),FALSE)</f>
        <v>0</v>
      </c>
      <c r="G47" s="31">
        <f>VLOOKUP($B47,'Tillförd energi'!$B$1:$AI$720,MATCH(G$1,'Tillförd energi'!$B$1:$AQ$1,0),FALSE)</f>
        <v>0</v>
      </c>
      <c r="H47" s="31">
        <f>VLOOKUP($B47,'Tillförd energi'!$B$1:$AI$720,MATCH(H$1,'Tillförd energi'!$B$1:$AQ$1,0),FALSE)</f>
        <v>0</v>
      </c>
      <c r="I47" s="31">
        <f>VLOOKUP($B47,'Tillförd energi'!$B$1:$AI$720,MATCH(I$1,'Tillförd energi'!$B$1:$AQ$1,0),FALSE)</f>
        <v>0</v>
      </c>
      <c r="J47" s="31">
        <f>VLOOKUP($B47,'Tillförd energi'!$B$1:$AI$720,MATCH(J$1,'Tillförd energi'!$B$1:$AQ$1,0),FALSE)</f>
        <v>0</v>
      </c>
      <c r="K47" s="31">
        <f>VLOOKUP($B47,'Tillförd energi'!$B$1:$AI$720,MATCH(K$1,'Tillförd energi'!$B$1:$AQ$1,0),FALSE)</f>
        <v>0</v>
      </c>
      <c r="L47" s="31">
        <f>VLOOKUP($B47,'Tillförd energi'!$B$1:$AI$720,MATCH(L$1,'Tillförd energi'!$B$1:$AQ$1,0),FALSE)</f>
        <v>0</v>
      </c>
      <c r="M47" s="31">
        <f>VLOOKUP($B47,'Tillförd energi'!$B$1:$AI$720,MATCH(M$1,'Tillförd energi'!$B$1:$AQ$1,0),FALSE)</f>
        <v>0</v>
      </c>
      <c r="N47" s="31">
        <f>VLOOKUP($B47,'Tillförd energi'!$B$1:$AI$720,MATCH(N$1,'Tillförd energi'!$B$1:$AQ$1,0),FALSE)</f>
        <v>0</v>
      </c>
      <c r="O47" s="31">
        <f>VLOOKUP($B47,'Tillförd energi'!$B$1:$AI$720,MATCH(O$1,'Tillförd energi'!$B$1:$AQ$1,0),FALSE)</f>
        <v>0</v>
      </c>
      <c r="P47" s="31">
        <f>VLOOKUP($B47,'Tillförd energi'!$B$1:$AI$720,MATCH(P$1,'Tillförd energi'!$B$1:$AQ$1,0),FALSE)</f>
        <v>6.4050000000000002</v>
      </c>
      <c r="Q47" s="31">
        <f>VLOOKUP($B47,'Tillförd energi'!$B$1:$AI$720,MATCH(Q$1,'Tillförd energi'!$B$1:$AQ$1,0),FALSE)</f>
        <v>0</v>
      </c>
      <c r="R47" s="31">
        <f>VLOOKUP($B47,'Tillförd energi'!$B$1:$AI$720,MATCH(R$1,'Tillförd energi'!$B$1:$AQ$1,0),FALSE)</f>
        <v>0</v>
      </c>
      <c r="S47" s="31">
        <f>VLOOKUP($B47,'Tillförd energi'!$B$1:$AI$720,MATCH(S$1,'Tillförd energi'!$B$1:$AQ$1,0),FALSE)</f>
        <v>0</v>
      </c>
      <c r="T47" s="31">
        <f>VLOOKUP($B47,'Tillförd energi'!$B$1:$AI$720,MATCH(T$1,'Tillförd energi'!$B$1:$AQ$1,0),FALSE)</f>
        <v>0</v>
      </c>
      <c r="U47" s="31">
        <f>VLOOKUP($B47,'Tillförd energi'!$B$1:$AI$720,MATCH(U$1,'Tillförd energi'!$B$1:$AQ$1,0),FALSE)</f>
        <v>0</v>
      </c>
      <c r="V47" s="31">
        <f>VLOOKUP($B47,'Tillförd energi'!$B$1:$AI$720,MATCH(V$1,'Tillförd energi'!$B$1:$AQ$1,0),FALSE)</f>
        <v>0</v>
      </c>
      <c r="W47" s="31">
        <f>VLOOKUP($B47,'Tillförd energi'!$B$1:$AI$720,MATCH(W$1,'Tillförd energi'!$B$1:$AQ$1,0),FALSE)</f>
        <v>0.61</v>
      </c>
      <c r="X47" s="31">
        <f>VLOOKUP($B47,'Tillförd energi'!$B$1:$AI$720,MATCH(X$1,'Tillförd energi'!$B$1:$AQ$1,0),FALSE)</f>
        <v>0</v>
      </c>
      <c r="Y47" s="31">
        <f>VLOOKUP($B47,'Tillförd energi'!$B$1:$AI$720,MATCH(Y$1,'Tillförd energi'!$B$1:$AQ$1,0),FALSE)</f>
        <v>0</v>
      </c>
      <c r="Z47" s="31">
        <f>VLOOKUP($B47,'Tillförd energi'!$B$1:$AI$720,MATCH(Z$1,'Tillförd energi'!$B$1:$AQ$1,0),FALSE)</f>
        <v>0</v>
      </c>
      <c r="AA47" s="31">
        <f>VLOOKUP($B47,'Tillförd energi'!$B$1:$AI$720,MATCH(AA$1,'Tillförd energi'!$B$1:$AQ$1,0),FALSE)</f>
        <v>0</v>
      </c>
      <c r="AB47" s="31">
        <f>VLOOKUP($B47,'Tillförd energi'!$B$1:$AI$720,MATCH(AB$1,'Tillförd energi'!$B$1:$AQ$1,0),FALSE)</f>
        <v>0</v>
      </c>
      <c r="AC47" s="31">
        <f>VLOOKUP($B47,'Tillförd energi'!$B$1:$AI$720,MATCH(AC$1,'Tillförd energi'!$B$1:$AQ$1,0),FALSE)</f>
        <v>0</v>
      </c>
      <c r="AD47" s="31">
        <f>VLOOKUP($B47,'Tillförd energi'!$B$1:$AI$720,MATCH(AD$1,'Tillförd energi'!$B$1:$AQ$1,0),FALSE)</f>
        <v>0</v>
      </c>
      <c r="AE47" s="31">
        <f>VLOOKUP($B47,'Tillförd energi'!$B$1:$AI$720,MATCH(AE$1,'Tillförd energi'!$B$1:$AQ$1,0),FALSE)</f>
        <v>0</v>
      </c>
      <c r="AF47" s="31">
        <f>VLOOKUP($B47,'Tillförd energi'!$B$1:$AI$720,MATCH(AF$1,'Tillförd energi'!$B$1:$AQ$1,0),FALSE)</f>
        <v>0.13800000000000001</v>
      </c>
      <c r="AG47" s="31">
        <f>IFERROR(VLOOKUP(B47,Miljö!$B$1:$AC$550,MATCH("Köpt mängd produktionsspecifik fjärrvärme:",Miljö!$B$1:$AC$1,0),FALSE)/1,0)</f>
        <v>0</v>
      </c>
      <c r="AI47" s="31">
        <f t="shared" si="0"/>
        <v>7.2700000000000005</v>
      </c>
      <c r="AJ47" s="31">
        <f t="shared" si="1"/>
        <v>7.2700000000000005</v>
      </c>
      <c r="AK47" s="31">
        <f>IF(ISERROR(1/VLOOKUP($B47,Leveranser!$B$1:$S$499,MATCH("Såld värme (GWh)",Leveranser!$B$1:$S$1,0),FALSE)),"",VLOOKUP($B47,Leveranser!$B$1:$S$499,MATCH("Såld värme (GWh)",Leveranser!$B$1:$S$1,0),FALSE))</f>
        <v>4.4779999999999998</v>
      </c>
      <c r="AL47" s="31">
        <f>VLOOKUP($B47,Leveranser!$B$1:$Y$499,MATCH("Totalt såld fjärrvärme till andra fjärrvärmeföretag",Leveranser!$B$1:$AA$1,0),FALSE)</f>
        <v>0</v>
      </c>
      <c r="AM47" s="31">
        <f>IF(ISERROR(1/VLOOKUP($B47,Miljö!$B$1:$S$500,MATCH("Såld mängd produktionsspecifik fjärrvärme (GWh)",Miljö!$B$1:$R$1,0),FALSE)),0,VLOOKUP($B47,Miljö!$B$1:$S$500,MATCH("Såld mängd produktionsspecifik fjärrvärme (GWh)",Miljö!$B$1:$R$1,0),FALSE))</f>
        <v>0</v>
      </c>
      <c r="AN47" s="32">
        <f t="shared" si="2"/>
        <v>0.61595598349381009</v>
      </c>
      <c r="AP47" s="31" t="str">
        <f>IFERROR(VLOOKUP($B47,Miljövärden!$B$2:$H$550,7,FALSE),"Nej, saknas")</f>
        <v>Ja</v>
      </c>
      <c r="AQ47" s="31" t="str">
        <f>IFERROR(VLOOKUP($B47,Miljövärden!$B$2:$H$551,6,FALSE),"Nej, saknas")</f>
        <v>Nej</v>
      </c>
      <c r="AU47" s="31">
        <f t="shared" si="3"/>
        <v>0.13800000000000001</v>
      </c>
      <c r="AV47" s="31">
        <f t="shared" si="4"/>
        <v>0</v>
      </c>
      <c r="AW47" s="31">
        <f t="shared" si="5"/>
        <v>6.4050000000000002</v>
      </c>
      <c r="AX47" s="31">
        <f t="shared" si="6"/>
        <v>0</v>
      </c>
      <c r="AZ47" s="31">
        <f t="shared" si="7"/>
        <v>7.0150000000000006</v>
      </c>
      <c r="BC47" s="31">
        <f t="shared" si="8"/>
        <v>0.11700000000000001</v>
      </c>
      <c r="BD47" s="31">
        <f t="shared" si="9"/>
        <v>0</v>
      </c>
      <c r="BE47" s="31">
        <f t="shared" si="10"/>
        <v>7.0150000000000006</v>
      </c>
      <c r="BF47" s="31">
        <f t="shared" si="11"/>
        <v>0</v>
      </c>
      <c r="BG47" s="31">
        <f t="shared" si="12"/>
        <v>0.13800000000000001</v>
      </c>
      <c r="BH47" s="31">
        <f>VLOOKUP(B47,Miljö!$B$1:$BX$482,MATCH("Fossilandel för ursprungspecificerad el ()",Miljö!$B$1:$I$1,0),FALSE)</f>
        <v>0</v>
      </c>
      <c r="BI47" s="31">
        <f>VLOOKUP(B47,Miljö!$B$1:$BX$482,MATCH("Kärnkraftsandel för ursprungsspecificerad el ()",Miljö!$B$1:$O$1,0),FALSE)</f>
        <v>0</v>
      </c>
      <c r="BJ47" s="31">
        <f t="shared" si="13"/>
        <v>0</v>
      </c>
      <c r="BK47" s="31" t="str">
        <f>VLOOKUP(B47,Miljö!$B$1:$P$482,MATCH("Fossil andel i procent (%)",Miljö!$B$1:$P$1,0),FALSE)</f>
        <v>ET</v>
      </c>
      <c r="BL47" s="31">
        <f t="shared" si="14"/>
        <v>7.2700000000000005</v>
      </c>
      <c r="BO47" s="32">
        <f t="shared" si="22"/>
        <v>1.6093535075653372E-2</v>
      </c>
      <c r="BP47" s="32">
        <f t="shared" si="15"/>
        <v>0</v>
      </c>
      <c r="BQ47" s="32">
        <f t="shared" si="16"/>
        <v>0.98390646492434664</v>
      </c>
      <c r="BR47" s="32">
        <f t="shared" si="17"/>
        <v>0</v>
      </c>
      <c r="BT47" s="62">
        <f t="shared" si="18"/>
        <v>1</v>
      </c>
      <c r="BW47" s="32">
        <f>IF(AP47="Ja",VLOOKUP(B47,Miljövärden!$B$2:$H$551,MATCH("Total andel fossilt",Miljövärden!$B$2:$H$2,0),FALSE),"")</f>
        <v>1.60935E-2</v>
      </c>
      <c r="BX47" s="62">
        <f t="shared" si="19"/>
        <v>-3.50756533713803E-8</v>
      </c>
      <c r="BZ47" s="31">
        <f t="shared" si="20"/>
        <v>-3.50756533713803E-8</v>
      </c>
      <c r="CA47" s="32">
        <f t="shared" si="21"/>
        <v>0</v>
      </c>
    </row>
    <row r="48" spans="1:79" x14ac:dyDescent="0.45">
      <c r="A48" s="31" t="s">
        <v>631</v>
      </c>
      <c r="B48" s="31" t="s">
        <v>630</v>
      </c>
      <c r="C48" s="31">
        <f>VLOOKUP($B48,'Tillförd energi'!$B$1:$AI$720,MATCH(C$1,'Tillförd energi'!$B$1:$AQ$1,0),FALSE)</f>
        <v>0</v>
      </c>
      <c r="D48" s="31">
        <f>VLOOKUP($B48,'Tillförd energi'!$B$1:$AI$720,MATCH(D$1,'Tillförd energi'!$B$1:$AQ$1,0),FALSE)</f>
        <v>0.23708399999999999</v>
      </c>
      <c r="E48" s="31">
        <f>VLOOKUP($B48,'Tillförd energi'!$B$1:$AI$720,MATCH(E$1,'Tillförd energi'!$B$1:$AQ$1,0),FALSE)</f>
        <v>0</v>
      </c>
      <c r="F48" s="31">
        <f>VLOOKUP($B48,'Tillförd energi'!$B$1:$AI$720,MATCH(F$1,'Tillförd energi'!$B$1:$AQ$1,0),FALSE)</f>
        <v>0</v>
      </c>
      <c r="G48" s="31">
        <f>VLOOKUP($B48,'Tillförd energi'!$B$1:$AI$720,MATCH(G$1,'Tillförd energi'!$B$1:$AQ$1,0),FALSE)</f>
        <v>0</v>
      </c>
      <c r="H48" s="31">
        <f>VLOOKUP($B48,'Tillförd energi'!$B$1:$AI$720,MATCH(H$1,'Tillförd energi'!$B$1:$AQ$1,0),FALSE)</f>
        <v>0</v>
      </c>
      <c r="I48" s="31">
        <f>VLOOKUP($B48,'Tillförd energi'!$B$1:$AI$720,MATCH(I$1,'Tillförd energi'!$B$1:$AQ$1,0),FALSE)</f>
        <v>0</v>
      </c>
      <c r="J48" s="31">
        <f>VLOOKUP($B48,'Tillförd energi'!$B$1:$AI$720,MATCH(J$1,'Tillförd energi'!$B$1:$AQ$1,0),FALSE)</f>
        <v>16.295200000000001</v>
      </c>
      <c r="K48" s="31">
        <f>VLOOKUP($B48,'Tillförd energi'!$B$1:$AI$720,MATCH(K$1,'Tillförd energi'!$B$1:$AQ$1,0),FALSE)</f>
        <v>0</v>
      </c>
      <c r="L48" s="31">
        <f>VLOOKUP($B48,'Tillförd energi'!$B$1:$AI$720,MATCH(L$1,'Tillförd energi'!$B$1:$AQ$1,0),FALSE)</f>
        <v>0</v>
      </c>
      <c r="M48" s="31">
        <f>VLOOKUP($B48,'Tillförd energi'!$B$1:$AI$720,MATCH(M$1,'Tillförd energi'!$B$1:$AQ$1,0),FALSE)</f>
        <v>24.4909</v>
      </c>
      <c r="N48" s="31">
        <f>VLOOKUP($B48,'Tillförd energi'!$B$1:$AI$720,MATCH(N$1,'Tillförd energi'!$B$1:$AQ$1,0),FALSE)</f>
        <v>187.34299999999999</v>
      </c>
      <c r="O48" s="31">
        <f>VLOOKUP($B48,'Tillförd energi'!$B$1:$AI$720,MATCH(O$1,'Tillförd energi'!$B$1:$AQ$1,0),FALSE)</f>
        <v>0</v>
      </c>
      <c r="P48" s="31">
        <f>VLOOKUP($B48,'Tillförd energi'!$B$1:$AI$720,MATCH(P$1,'Tillförd energi'!$B$1:$AQ$1,0),FALSE)</f>
        <v>31.7301</v>
      </c>
      <c r="Q48" s="31">
        <f>VLOOKUP($B48,'Tillförd energi'!$B$1:$AI$720,MATCH(Q$1,'Tillförd energi'!$B$1:$AQ$1,0),FALSE)</f>
        <v>0.28106100000000001</v>
      </c>
      <c r="R48" s="31">
        <f>VLOOKUP($B48,'Tillförd energi'!$B$1:$AI$720,MATCH(R$1,'Tillförd energi'!$B$1:$AQ$1,0),FALSE)</f>
        <v>0</v>
      </c>
      <c r="S48" s="31">
        <f>VLOOKUP($B48,'Tillförd energi'!$B$1:$AI$720,MATCH(S$1,'Tillförd energi'!$B$1:$AQ$1,0),FALSE)</f>
        <v>0</v>
      </c>
      <c r="T48" s="31">
        <f>VLOOKUP($B48,'Tillförd energi'!$B$1:$AI$720,MATCH(T$1,'Tillförd energi'!$B$1:$AQ$1,0),FALSE)</f>
        <v>0</v>
      </c>
      <c r="U48" s="31">
        <f>VLOOKUP($B48,'Tillförd energi'!$B$1:$AI$720,MATCH(U$1,'Tillförd energi'!$B$1:$AQ$1,0),FALSE)</f>
        <v>0</v>
      </c>
      <c r="V48" s="31">
        <f>VLOOKUP($B48,'Tillförd energi'!$B$1:$AI$720,MATCH(V$1,'Tillförd energi'!$B$1:$AQ$1,0),FALSE)</f>
        <v>0</v>
      </c>
      <c r="W48" s="31">
        <f>VLOOKUP($B48,'Tillförd energi'!$B$1:$AI$720,MATCH(W$1,'Tillförd energi'!$B$1:$AQ$1,0),FALSE)</f>
        <v>17.946000000000002</v>
      </c>
      <c r="X48" s="31">
        <f>VLOOKUP($B48,'Tillförd energi'!$B$1:$AI$720,MATCH(X$1,'Tillförd energi'!$B$1:$AQ$1,0),FALSE)</f>
        <v>0</v>
      </c>
      <c r="Y48" s="31">
        <f>VLOOKUP($B48,'Tillförd energi'!$B$1:$AI$720,MATCH(Y$1,'Tillförd energi'!$B$1:$AQ$1,0),FALSE)</f>
        <v>0</v>
      </c>
      <c r="Z48" s="31">
        <f>VLOOKUP($B48,'Tillförd energi'!$B$1:$AI$720,MATCH(Z$1,'Tillförd energi'!$B$1:$AQ$1,0),FALSE)</f>
        <v>0</v>
      </c>
      <c r="AA48" s="31">
        <f>VLOOKUP($B48,'Tillförd energi'!$B$1:$AI$720,MATCH(AA$1,'Tillförd energi'!$B$1:$AQ$1,0),FALSE)</f>
        <v>0</v>
      </c>
      <c r="AB48" s="31">
        <f>VLOOKUP($B48,'Tillförd energi'!$B$1:$AI$720,MATCH(AB$1,'Tillförd energi'!$B$1:$AQ$1,0),FALSE)</f>
        <v>0</v>
      </c>
      <c r="AC48" s="31">
        <f>VLOOKUP($B48,'Tillförd energi'!$B$1:$AI$720,MATCH(AC$1,'Tillförd energi'!$B$1:$AQ$1,0),FALSE)</f>
        <v>80.335999999999999</v>
      </c>
      <c r="AD48" s="31">
        <f>VLOOKUP($B48,'Tillförd energi'!$B$1:$AI$720,MATCH(AD$1,'Tillförd energi'!$B$1:$AQ$1,0),FALSE)</f>
        <v>0.48099999999999998</v>
      </c>
      <c r="AE48" s="31">
        <f>VLOOKUP($B48,'Tillförd energi'!$B$1:$AI$720,MATCH(AE$1,'Tillförd energi'!$B$1:$AQ$1,0),FALSE)</f>
        <v>0</v>
      </c>
      <c r="AF48" s="31">
        <f>VLOOKUP($B48,'Tillförd energi'!$B$1:$AI$720,MATCH(AF$1,'Tillförd energi'!$B$1:$AQ$1,0),FALSE)</f>
        <v>10.459099999999999</v>
      </c>
      <c r="AG48" s="31">
        <f>IFERROR(VLOOKUP(B48,Miljö!$B$1:$AC$550,MATCH("Köpt mängd produktionsspecifik fjärrvärme:",Miljö!$B$1:$AC$1,0),FALSE)/1,0)</f>
        <v>0</v>
      </c>
      <c r="AI48" s="31">
        <f t="shared" si="0"/>
        <v>369.599445</v>
      </c>
      <c r="AJ48" s="31">
        <f t="shared" si="1"/>
        <v>369.599445</v>
      </c>
      <c r="AK48" s="31">
        <f>IF(ISERROR(1/VLOOKUP($B48,Leveranser!$B$1:$S$499,MATCH("Såld värme (GWh)",Leveranser!$B$1:$S$1,0),FALSE)),"",VLOOKUP($B48,Leveranser!$B$1:$S$499,MATCH("Såld värme (GWh)",Leveranser!$B$1:$S$1,0),FALSE))</f>
        <v>340.601</v>
      </c>
      <c r="AL48" s="31">
        <f>VLOOKUP($B48,Leveranser!$B$1:$Y$499,MATCH("Totalt såld fjärrvärme till andra fjärrvärmeföretag",Leveranser!$B$1:$AA$1,0),FALSE)</f>
        <v>0</v>
      </c>
      <c r="AM48" s="31">
        <f>IF(ISERROR(1/VLOOKUP($B48,Miljö!$B$1:$S$500,MATCH("Såld mängd produktionsspecifik fjärrvärme (GWh)",Miljö!$B$1:$R$1,0),FALSE)),0,VLOOKUP($B48,Miljö!$B$1:$S$500,MATCH("Såld mängd produktionsspecifik fjärrvärme (GWh)",Miljö!$B$1:$R$1,0),FALSE))</f>
        <v>0</v>
      </c>
      <c r="AN48" s="32">
        <f t="shared" si="2"/>
        <v>0.92154088597183903</v>
      </c>
      <c r="AP48" s="31" t="str">
        <f>IFERROR(VLOOKUP($B48,Miljövärden!$B$2:$H$550,7,FALSE),"Nej, saknas")</f>
        <v>Ja</v>
      </c>
      <c r="AQ48" s="31" t="str">
        <f>IFERROR(VLOOKUP($B48,Miljövärden!$B$2:$H$551,6,FALSE),"Nej, saknas")</f>
        <v>Nej</v>
      </c>
      <c r="AU48" s="31">
        <f t="shared" si="3"/>
        <v>10.459099999999999</v>
      </c>
      <c r="AV48" s="31">
        <f t="shared" si="4"/>
        <v>0</v>
      </c>
      <c r="AW48" s="31">
        <f t="shared" si="5"/>
        <v>243.84506099999999</v>
      </c>
      <c r="AX48" s="31">
        <f t="shared" si="6"/>
        <v>0</v>
      </c>
      <c r="AZ48" s="31">
        <f t="shared" si="7"/>
        <v>261.79106100000001</v>
      </c>
      <c r="BC48" s="31">
        <f t="shared" si="8"/>
        <v>0.23708399999999999</v>
      </c>
      <c r="BD48" s="31">
        <f t="shared" si="9"/>
        <v>0</v>
      </c>
      <c r="BE48" s="31">
        <f t="shared" si="10"/>
        <v>261.79106100000001</v>
      </c>
      <c r="BF48" s="31">
        <f t="shared" si="11"/>
        <v>97.112200000000001</v>
      </c>
      <c r="BG48" s="31">
        <f t="shared" si="12"/>
        <v>10.459099999999999</v>
      </c>
      <c r="BH48" s="31">
        <f>VLOOKUP(B48,Miljö!$B$1:$BX$482,MATCH("Fossilandel för ursprungspecificerad el ()",Miljö!$B$1:$I$1,0),FALSE)</f>
        <v>0</v>
      </c>
      <c r="BI48" s="31">
        <f>VLOOKUP(B48,Miljö!$B$1:$BX$482,MATCH("Kärnkraftsandel för ursprungsspecificerad el ()",Miljö!$B$1:$O$1,0),FALSE)</f>
        <v>0</v>
      </c>
      <c r="BJ48" s="31">
        <f t="shared" si="13"/>
        <v>0</v>
      </c>
      <c r="BK48" s="31" t="str">
        <f>VLOOKUP(B48,Miljö!$B$1:$P$482,MATCH("Fossil andel i procent (%)",Miljö!$B$1:$P$1,0),FALSE)</f>
        <v>ET</v>
      </c>
      <c r="BL48" s="31">
        <f t="shared" si="14"/>
        <v>369.599445</v>
      </c>
      <c r="BO48" s="32">
        <f t="shared" si="22"/>
        <v>6.4146200219537667E-4</v>
      </c>
      <c r="BP48" s="32">
        <f t="shared" si="15"/>
        <v>0</v>
      </c>
      <c r="BQ48" s="32">
        <f t="shared" si="16"/>
        <v>0.73660868457202366</v>
      </c>
      <c r="BR48" s="32">
        <f t="shared" si="17"/>
        <v>0.262749853425781</v>
      </c>
      <c r="BT48" s="62">
        <f t="shared" si="18"/>
        <v>1</v>
      </c>
      <c r="BW48" s="32">
        <f>IF(AP48="Ja",VLOOKUP(B48,Miljövärden!$B$2:$H$551,MATCH("Total andel fossilt",Miljövärden!$B$2:$H$2,0),FALSE),"")</f>
        <v>6.4146299999999999E-4</v>
      </c>
      <c r="BX48" s="62">
        <f t="shared" si="19"/>
        <v>9.97804623322808E-10</v>
      </c>
      <c r="BZ48" s="31">
        <f t="shared" si="20"/>
        <v>9.97804623322808E-10</v>
      </c>
      <c r="CA48" s="32">
        <f t="shared" si="21"/>
        <v>0</v>
      </c>
    </row>
    <row r="49" spans="1:79" x14ac:dyDescent="0.45">
      <c r="A49" s="31" t="s">
        <v>628</v>
      </c>
      <c r="B49" s="31" t="s">
        <v>629</v>
      </c>
      <c r="C49" s="31">
        <f>VLOOKUP($B49,'Tillförd energi'!$B$1:$AI$720,MATCH(C$1,'Tillförd energi'!$B$1:$AQ$1,0),FALSE)</f>
        <v>0</v>
      </c>
      <c r="D49" s="31">
        <f>VLOOKUP($B49,'Tillförd energi'!$B$1:$AI$720,MATCH(D$1,'Tillförd energi'!$B$1:$AQ$1,0),FALSE)</f>
        <v>0</v>
      </c>
      <c r="E49" s="31">
        <f>VLOOKUP($B49,'Tillförd energi'!$B$1:$AI$720,MATCH(E$1,'Tillförd energi'!$B$1:$AQ$1,0),FALSE)</f>
        <v>0</v>
      </c>
      <c r="F49" s="31">
        <f>VLOOKUP($B49,'Tillförd energi'!$B$1:$AI$720,MATCH(F$1,'Tillförd energi'!$B$1:$AQ$1,0),FALSE)</f>
        <v>0</v>
      </c>
      <c r="G49" s="31">
        <f>VLOOKUP($B49,'Tillförd energi'!$B$1:$AI$720,MATCH(G$1,'Tillförd energi'!$B$1:$AQ$1,0),FALSE)</f>
        <v>0</v>
      </c>
      <c r="H49" s="31">
        <f>VLOOKUP($B49,'Tillförd energi'!$B$1:$AI$720,MATCH(H$1,'Tillförd energi'!$B$1:$AQ$1,0),FALSE)</f>
        <v>0</v>
      </c>
      <c r="I49" s="31">
        <f>VLOOKUP($B49,'Tillförd energi'!$B$1:$AI$720,MATCH(I$1,'Tillförd energi'!$B$1:$AQ$1,0),FALSE)</f>
        <v>0</v>
      </c>
      <c r="J49" s="31">
        <f>VLOOKUP($B49,'Tillförd energi'!$B$1:$AI$720,MATCH(J$1,'Tillförd energi'!$B$1:$AQ$1,0),FALSE)</f>
        <v>0</v>
      </c>
      <c r="K49" s="31">
        <f>VLOOKUP($B49,'Tillförd energi'!$B$1:$AI$720,MATCH(K$1,'Tillförd energi'!$B$1:$AQ$1,0),FALSE)</f>
        <v>0</v>
      </c>
      <c r="L49" s="31">
        <f>VLOOKUP($B49,'Tillförd energi'!$B$1:$AI$720,MATCH(L$1,'Tillförd energi'!$B$1:$AQ$1,0),FALSE)</f>
        <v>0</v>
      </c>
      <c r="M49" s="31">
        <f>VLOOKUP($B49,'Tillförd energi'!$B$1:$AI$720,MATCH(M$1,'Tillförd energi'!$B$1:$AQ$1,0),FALSE)</f>
        <v>0</v>
      </c>
      <c r="N49" s="31">
        <f>VLOOKUP($B49,'Tillförd energi'!$B$1:$AI$720,MATCH(N$1,'Tillförd energi'!$B$1:$AQ$1,0),FALSE)</f>
        <v>0</v>
      </c>
      <c r="O49" s="31">
        <f>VLOOKUP($B49,'Tillförd energi'!$B$1:$AI$720,MATCH(O$1,'Tillförd energi'!$B$1:$AQ$1,0),FALSE)</f>
        <v>0</v>
      </c>
      <c r="P49" s="31">
        <f>VLOOKUP($B49,'Tillförd energi'!$B$1:$AI$720,MATCH(P$1,'Tillförd energi'!$B$1:$AQ$1,0),FALSE)</f>
        <v>0</v>
      </c>
      <c r="Q49" s="31">
        <f>VLOOKUP($B49,'Tillförd energi'!$B$1:$AI$720,MATCH(Q$1,'Tillförd energi'!$B$1:$AQ$1,0),FALSE)</f>
        <v>13.678000000000001</v>
      </c>
      <c r="R49" s="31">
        <f>VLOOKUP($B49,'Tillförd energi'!$B$1:$AI$720,MATCH(R$1,'Tillförd energi'!$B$1:$AQ$1,0),FALSE)</f>
        <v>0</v>
      </c>
      <c r="S49" s="31">
        <f>VLOOKUP($B49,'Tillförd energi'!$B$1:$AI$720,MATCH(S$1,'Tillförd energi'!$B$1:$AQ$1,0),FALSE)</f>
        <v>0</v>
      </c>
      <c r="T49" s="31">
        <f>VLOOKUP($B49,'Tillförd energi'!$B$1:$AI$720,MATCH(T$1,'Tillförd energi'!$B$1:$AQ$1,0),FALSE)</f>
        <v>0</v>
      </c>
      <c r="U49" s="31">
        <f>VLOOKUP($B49,'Tillförd energi'!$B$1:$AI$720,MATCH(U$1,'Tillförd energi'!$B$1:$AQ$1,0),FALSE)</f>
        <v>0</v>
      </c>
      <c r="V49" s="31">
        <f>VLOOKUP($B49,'Tillförd energi'!$B$1:$AI$720,MATCH(V$1,'Tillförd energi'!$B$1:$AQ$1,0),FALSE)</f>
        <v>0</v>
      </c>
      <c r="W49" s="31">
        <f>VLOOKUP($B49,'Tillförd energi'!$B$1:$AI$720,MATCH(W$1,'Tillförd energi'!$B$1:$AQ$1,0),FALSE)</f>
        <v>0</v>
      </c>
      <c r="X49" s="31">
        <f>VLOOKUP($B49,'Tillförd energi'!$B$1:$AI$720,MATCH(X$1,'Tillförd energi'!$B$1:$AQ$1,0),FALSE)</f>
        <v>0</v>
      </c>
      <c r="Y49" s="31">
        <f>VLOOKUP($B49,'Tillförd energi'!$B$1:$AI$720,MATCH(Y$1,'Tillförd energi'!$B$1:$AQ$1,0),FALSE)</f>
        <v>0</v>
      </c>
      <c r="Z49" s="31">
        <f>VLOOKUP($B49,'Tillförd energi'!$B$1:$AI$720,MATCH(Z$1,'Tillförd energi'!$B$1:$AQ$1,0),FALSE)</f>
        <v>0</v>
      </c>
      <c r="AA49" s="31">
        <f>VLOOKUP($B49,'Tillförd energi'!$B$1:$AI$720,MATCH(AA$1,'Tillförd energi'!$B$1:$AQ$1,0),FALSE)</f>
        <v>0</v>
      </c>
      <c r="AB49" s="31">
        <f>VLOOKUP($B49,'Tillförd energi'!$B$1:$AI$720,MATCH(AB$1,'Tillförd energi'!$B$1:$AQ$1,0),FALSE)</f>
        <v>0</v>
      </c>
      <c r="AC49" s="31">
        <f>VLOOKUP($B49,'Tillförd energi'!$B$1:$AI$720,MATCH(AC$1,'Tillförd energi'!$B$1:$AQ$1,0),FALSE)</f>
        <v>0</v>
      </c>
      <c r="AD49" s="31">
        <f>VLOOKUP($B49,'Tillförd energi'!$B$1:$AI$720,MATCH(AD$1,'Tillförd energi'!$B$1:$AQ$1,0),FALSE)</f>
        <v>0</v>
      </c>
      <c r="AE49" s="31">
        <f>VLOOKUP($B49,'Tillförd energi'!$B$1:$AI$720,MATCH(AE$1,'Tillförd energi'!$B$1:$AQ$1,0),FALSE)</f>
        <v>0</v>
      </c>
      <c r="AF49" s="31">
        <f>VLOOKUP($B49,'Tillförd energi'!$B$1:$AI$720,MATCH(AF$1,'Tillförd energi'!$B$1:$AQ$1,0),FALSE)</f>
        <v>2.8000000000000001E-2</v>
      </c>
      <c r="AG49" s="31">
        <f>IFERROR(VLOOKUP(B49,Miljö!$B$1:$AC$550,MATCH("Köpt mängd produktionsspecifik fjärrvärme:",Miljö!$B$1:$AC$1,0),FALSE)/1,0)</f>
        <v>0</v>
      </c>
      <c r="AI49" s="31">
        <f t="shared" si="0"/>
        <v>13.706000000000001</v>
      </c>
      <c r="AJ49" s="31">
        <f t="shared" si="1"/>
        <v>13.706000000000001</v>
      </c>
      <c r="AK49" s="31">
        <f>IF(ISERROR(1/VLOOKUP($B49,Leveranser!$B$1:$S$499,MATCH("Såld värme (GWh)",Leveranser!$B$1:$S$1,0),FALSE)),"",VLOOKUP($B49,Leveranser!$B$1:$S$499,MATCH("Såld värme (GWh)",Leveranser!$B$1:$S$1,0),FALSE))</f>
        <v>9.0679999999999996</v>
      </c>
      <c r="AL49" s="31">
        <f>VLOOKUP($B49,Leveranser!$B$1:$Y$499,MATCH("Totalt såld fjärrvärme till andra fjärrvärmeföretag",Leveranser!$B$1:$AA$1,0),FALSE)</f>
        <v>0</v>
      </c>
      <c r="AM49" s="31">
        <f>IF(ISERROR(1/VLOOKUP($B49,Miljö!$B$1:$S$500,MATCH("Såld mängd produktionsspecifik fjärrvärme (GWh)",Miljö!$B$1:$R$1,0),FALSE)),0,VLOOKUP($B49,Miljö!$B$1:$S$500,MATCH("Såld mängd produktionsspecifik fjärrvärme (GWh)",Miljö!$B$1:$R$1,0),FALSE))</f>
        <v>0</v>
      </c>
      <c r="AN49" s="32">
        <f t="shared" si="2"/>
        <v>0.66160805486648178</v>
      </c>
      <c r="AP49" s="31" t="str">
        <f>IFERROR(VLOOKUP($B49,Miljövärden!$B$2:$H$550,7,FALSE),"Nej, saknas")</f>
        <v>Ja</v>
      </c>
      <c r="AQ49" s="31" t="str">
        <f>IFERROR(VLOOKUP($B49,Miljövärden!$B$2:$H$551,6,FALSE),"Nej, saknas")</f>
        <v>Ja</v>
      </c>
      <c r="AU49" s="31">
        <f t="shared" si="3"/>
        <v>2.8000000000000001E-2</v>
      </c>
      <c r="AV49" s="31">
        <f t="shared" si="4"/>
        <v>0</v>
      </c>
      <c r="AW49" s="31">
        <f t="shared" si="5"/>
        <v>13.678000000000001</v>
      </c>
      <c r="AX49" s="31">
        <f t="shared" si="6"/>
        <v>0</v>
      </c>
      <c r="AZ49" s="31">
        <f t="shared" si="7"/>
        <v>13.678000000000001</v>
      </c>
      <c r="BC49" s="31">
        <f t="shared" si="8"/>
        <v>0</v>
      </c>
      <c r="BD49" s="31">
        <f t="shared" si="9"/>
        <v>0</v>
      </c>
      <c r="BE49" s="31">
        <f t="shared" si="10"/>
        <v>13.678000000000001</v>
      </c>
      <c r="BF49" s="31">
        <f t="shared" si="11"/>
        <v>0</v>
      </c>
      <c r="BG49" s="31">
        <f t="shared" si="12"/>
        <v>2.8000000000000001E-2</v>
      </c>
      <c r="BH49" s="31">
        <f>VLOOKUP(B49,Miljö!$B$1:$BX$482,MATCH("Fossilandel för ursprungspecificerad el ()",Miljö!$B$1:$I$1,0),FALSE)</f>
        <v>0</v>
      </c>
      <c r="BI49" s="31">
        <f>VLOOKUP(B49,Miljö!$B$1:$BX$482,MATCH("Kärnkraftsandel för ursprungsspecificerad el ()",Miljö!$B$1:$O$1,0),FALSE)</f>
        <v>0</v>
      </c>
      <c r="BJ49" s="31">
        <f t="shared" si="13"/>
        <v>0</v>
      </c>
      <c r="BK49" s="31" t="str">
        <f>VLOOKUP(B49,Miljö!$B$1:$P$482,MATCH("Fossil andel i procent (%)",Miljö!$B$1:$P$1,0),FALSE)</f>
        <v>ET</v>
      </c>
      <c r="BL49" s="31">
        <f t="shared" si="14"/>
        <v>13.706000000000001</v>
      </c>
      <c r="BO49" s="32">
        <f t="shared" si="22"/>
        <v>0</v>
      </c>
      <c r="BP49" s="32">
        <f t="shared" si="15"/>
        <v>0</v>
      </c>
      <c r="BQ49" s="32">
        <f t="shared" si="16"/>
        <v>1</v>
      </c>
      <c r="BR49" s="32">
        <f t="shared" si="17"/>
        <v>0</v>
      </c>
      <c r="BT49" s="62">
        <f t="shared" si="18"/>
        <v>1</v>
      </c>
      <c r="BW49" s="32">
        <f>IF(AP49="Ja",VLOOKUP(B49,Miljövärden!$B$2:$H$551,MATCH("Total andel fossilt",Miljövärden!$B$2:$H$2,0),FALSE),"")</f>
        <v>0</v>
      </c>
      <c r="BX49" s="62">
        <f t="shared" si="19"/>
        <v>0</v>
      </c>
      <c r="BZ49" s="31">
        <f t="shared" si="20"/>
        <v>0</v>
      </c>
      <c r="CA49" s="32">
        <f t="shared" si="21"/>
        <v>0</v>
      </c>
    </row>
    <row r="50" spans="1:79" x14ac:dyDescent="0.45">
      <c r="A50" s="31" t="s">
        <v>628</v>
      </c>
      <c r="B50" s="31" t="s">
        <v>627</v>
      </c>
      <c r="C50" s="31">
        <f>VLOOKUP($B50,'Tillförd energi'!$B$1:$AI$720,MATCH(C$1,'Tillförd energi'!$B$1:$AQ$1,0),FALSE)</f>
        <v>0</v>
      </c>
      <c r="D50" s="31">
        <f>VLOOKUP($B50,'Tillförd energi'!$B$1:$AI$720,MATCH(D$1,'Tillförd energi'!$B$1:$AQ$1,0),FALSE)</f>
        <v>7.9000000000000001E-2</v>
      </c>
      <c r="E50" s="31">
        <f>VLOOKUP($B50,'Tillförd energi'!$B$1:$AI$720,MATCH(E$1,'Tillförd energi'!$B$1:$AQ$1,0),FALSE)</f>
        <v>0</v>
      </c>
      <c r="F50" s="31">
        <f>VLOOKUP($B50,'Tillförd energi'!$B$1:$AI$720,MATCH(F$1,'Tillförd energi'!$B$1:$AQ$1,0),FALSE)</f>
        <v>0</v>
      </c>
      <c r="G50" s="31">
        <f>VLOOKUP($B50,'Tillförd energi'!$B$1:$AI$720,MATCH(G$1,'Tillförd energi'!$B$1:$AQ$1,0),FALSE)</f>
        <v>0</v>
      </c>
      <c r="H50" s="31">
        <f>VLOOKUP($B50,'Tillförd energi'!$B$1:$AI$720,MATCH(H$1,'Tillförd energi'!$B$1:$AQ$1,0),FALSE)</f>
        <v>0</v>
      </c>
      <c r="I50" s="31">
        <f>VLOOKUP($B50,'Tillförd energi'!$B$1:$AI$720,MATCH(I$1,'Tillförd energi'!$B$1:$AQ$1,0),FALSE)</f>
        <v>0</v>
      </c>
      <c r="J50" s="31">
        <f>VLOOKUP($B50,'Tillförd energi'!$B$1:$AI$720,MATCH(J$1,'Tillförd energi'!$B$1:$AQ$1,0),FALSE)</f>
        <v>0</v>
      </c>
      <c r="K50" s="31">
        <f>VLOOKUP($B50,'Tillförd energi'!$B$1:$AI$720,MATCH(K$1,'Tillförd energi'!$B$1:$AQ$1,0),FALSE)</f>
        <v>0</v>
      </c>
      <c r="L50" s="31">
        <f>VLOOKUP($B50,'Tillförd energi'!$B$1:$AI$720,MATCH(L$1,'Tillförd energi'!$B$1:$AQ$1,0),FALSE)</f>
        <v>0</v>
      </c>
      <c r="M50" s="31">
        <f>VLOOKUP($B50,'Tillförd energi'!$B$1:$AI$720,MATCH(M$1,'Tillförd energi'!$B$1:$AQ$1,0),FALSE)</f>
        <v>3.2719999999999998</v>
      </c>
      <c r="N50" s="31">
        <f>VLOOKUP($B50,'Tillförd energi'!$B$1:$AI$720,MATCH(N$1,'Tillförd energi'!$B$1:$AQ$1,0),FALSE)</f>
        <v>24.908999999999999</v>
      </c>
      <c r="O50" s="31">
        <f>VLOOKUP($B50,'Tillförd energi'!$B$1:$AI$720,MATCH(O$1,'Tillförd energi'!$B$1:$AQ$1,0),FALSE)</f>
        <v>0</v>
      </c>
      <c r="P50" s="31">
        <f>VLOOKUP($B50,'Tillförd energi'!$B$1:$AI$720,MATCH(P$1,'Tillförd energi'!$B$1:$AQ$1,0),FALSE)</f>
        <v>8.9049999999999994</v>
      </c>
      <c r="Q50" s="31">
        <f>VLOOKUP($B50,'Tillförd energi'!$B$1:$AI$720,MATCH(Q$1,'Tillförd energi'!$B$1:$AQ$1,0),FALSE)</f>
        <v>0</v>
      </c>
      <c r="R50" s="31">
        <f>VLOOKUP($B50,'Tillförd energi'!$B$1:$AI$720,MATCH(R$1,'Tillförd energi'!$B$1:$AQ$1,0),FALSE)</f>
        <v>0</v>
      </c>
      <c r="S50" s="31">
        <f>VLOOKUP($B50,'Tillförd energi'!$B$1:$AI$720,MATCH(S$1,'Tillförd energi'!$B$1:$AQ$1,0),FALSE)</f>
        <v>0</v>
      </c>
      <c r="T50" s="31">
        <f>VLOOKUP($B50,'Tillförd energi'!$B$1:$AI$720,MATCH(T$1,'Tillförd energi'!$B$1:$AQ$1,0),FALSE)</f>
        <v>0</v>
      </c>
      <c r="U50" s="31">
        <f>VLOOKUP($B50,'Tillförd energi'!$B$1:$AI$720,MATCH(U$1,'Tillförd energi'!$B$1:$AQ$1,0),FALSE)</f>
        <v>0</v>
      </c>
      <c r="V50" s="31">
        <f>VLOOKUP($B50,'Tillförd energi'!$B$1:$AI$720,MATCH(V$1,'Tillförd energi'!$B$1:$AQ$1,0),FALSE)</f>
        <v>0</v>
      </c>
      <c r="W50" s="31">
        <f>VLOOKUP($B50,'Tillförd energi'!$B$1:$AI$720,MATCH(W$1,'Tillförd energi'!$B$1:$AQ$1,0),FALSE)</f>
        <v>0</v>
      </c>
      <c r="X50" s="31">
        <f>VLOOKUP($B50,'Tillförd energi'!$B$1:$AI$720,MATCH(X$1,'Tillförd energi'!$B$1:$AQ$1,0),FALSE)</f>
        <v>0</v>
      </c>
      <c r="Y50" s="31">
        <f>VLOOKUP($B50,'Tillförd energi'!$B$1:$AI$720,MATCH(Y$1,'Tillförd energi'!$B$1:$AQ$1,0),FALSE)</f>
        <v>0</v>
      </c>
      <c r="Z50" s="31">
        <f>VLOOKUP($B50,'Tillförd energi'!$B$1:$AI$720,MATCH(Z$1,'Tillförd energi'!$B$1:$AQ$1,0),FALSE)</f>
        <v>0</v>
      </c>
      <c r="AA50" s="31">
        <f>VLOOKUP($B50,'Tillförd energi'!$B$1:$AI$720,MATCH(AA$1,'Tillförd energi'!$B$1:$AQ$1,0),FALSE)</f>
        <v>0</v>
      </c>
      <c r="AB50" s="31">
        <f>VLOOKUP($B50,'Tillförd energi'!$B$1:$AI$720,MATCH(AB$1,'Tillförd energi'!$B$1:$AQ$1,0),FALSE)</f>
        <v>0</v>
      </c>
      <c r="AC50" s="31">
        <f>VLOOKUP($B50,'Tillförd energi'!$B$1:$AI$720,MATCH(AC$1,'Tillförd energi'!$B$1:$AQ$1,0),FALSE)</f>
        <v>0</v>
      </c>
      <c r="AD50" s="31">
        <f>VLOOKUP($B50,'Tillförd energi'!$B$1:$AI$720,MATCH(AD$1,'Tillförd energi'!$B$1:$AQ$1,0),FALSE)</f>
        <v>0</v>
      </c>
      <c r="AE50" s="31">
        <f>VLOOKUP($B50,'Tillförd energi'!$B$1:$AI$720,MATCH(AE$1,'Tillförd energi'!$B$1:$AQ$1,0),FALSE)</f>
        <v>0</v>
      </c>
      <c r="AF50" s="31">
        <f>VLOOKUP($B50,'Tillförd energi'!$B$1:$AI$720,MATCH(AF$1,'Tillförd energi'!$B$1:$AQ$1,0),FALSE)</f>
        <v>1.1060000000000001</v>
      </c>
      <c r="AG50" s="31">
        <f>IFERROR(VLOOKUP(B50,Miljö!$B$1:$AC$550,MATCH("Köpt mängd produktionsspecifik fjärrvärme:",Miljö!$B$1:$AC$1,0),FALSE)/1,0)</f>
        <v>0</v>
      </c>
      <c r="AI50" s="31">
        <f t="shared" si="0"/>
        <v>38.271000000000001</v>
      </c>
      <c r="AJ50" s="31">
        <f t="shared" si="1"/>
        <v>38.271000000000001</v>
      </c>
      <c r="AK50" s="31">
        <f>IF(ISERROR(1/VLOOKUP($B50,Leveranser!$B$1:$S$499,MATCH("Såld värme (GWh)",Leveranser!$B$1:$S$1,0),FALSE)),"",VLOOKUP($B50,Leveranser!$B$1:$S$499,MATCH("Såld värme (GWh)",Leveranser!$B$1:$S$1,0),FALSE))</f>
        <v>32.793999999999997</v>
      </c>
      <c r="AL50" s="31">
        <f>VLOOKUP($B50,Leveranser!$B$1:$Y$499,MATCH("Totalt såld fjärrvärme till andra fjärrvärmeföretag",Leveranser!$B$1:$AA$1,0),FALSE)</f>
        <v>0</v>
      </c>
      <c r="AM50" s="31">
        <f>IF(ISERROR(1/VLOOKUP($B50,Miljö!$B$1:$S$500,MATCH("Såld mängd produktionsspecifik fjärrvärme (GWh)",Miljö!$B$1:$R$1,0),FALSE)),0,VLOOKUP($B50,Miljö!$B$1:$S$500,MATCH("Såld mängd produktionsspecifik fjärrvärme (GWh)",Miljö!$B$1:$R$1,0),FALSE))</f>
        <v>0</v>
      </c>
      <c r="AN50" s="32">
        <f t="shared" si="2"/>
        <v>0.85688902824593027</v>
      </c>
      <c r="AP50" s="31" t="str">
        <f>IFERROR(VLOOKUP($B50,Miljövärden!$B$2:$H$550,7,FALSE),"Nej, saknas")</f>
        <v>Ja</v>
      </c>
      <c r="AQ50" s="31" t="str">
        <f>IFERROR(VLOOKUP($B50,Miljövärden!$B$2:$H$551,6,FALSE),"Nej, saknas")</f>
        <v>Ja</v>
      </c>
      <c r="AU50" s="31">
        <f t="shared" si="3"/>
        <v>1.1060000000000001</v>
      </c>
      <c r="AV50" s="31">
        <f t="shared" si="4"/>
        <v>0</v>
      </c>
      <c r="AW50" s="31">
        <f t="shared" si="5"/>
        <v>37.085999999999999</v>
      </c>
      <c r="AX50" s="31">
        <f t="shared" si="6"/>
        <v>0</v>
      </c>
      <c r="AZ50" s="31">
        <f t="shared" si="7"/>
        <v>37.085999999999999</v>
      </c>
      <c r="BC50" s="31">
        <f t="shared" si="8"/>
        <v>7.9000000000000001E-2</v>
      </c>
      <c r="BD50" s="31">
        <f t="shared" si="9"/>
        <v>0</v>
      </c>
      <c r="BE50" s="31">
        <f t="shared" si="10"/>
        <v>37.085999999999999</v>
      </c>
      <c r="BF50" s="31">
        <f t="shared" si="11"/>
        <v>0</v>
      </c>
      <c r="BG50" s="31">
        <f t="shared" si="12"/>
        <v>1.1060000000000001</v>
      </c>
      <c r="BH50" s="31">
        <f>VLOOKUP(B50,Miljö!$B$1:$BX$482,MATCH("Fossilandel för ursprungspecificerad el ()",Miljö!$B$1:$I$1,0),FALSE)</f>
        <v>0</v>
      </c>
      <c r="BI50" s="31">
        <f>VLOOKUP(B50,Miljö!$B$1:$BX$482,MATCH("Kärnkraftsandel för ursprungsspecificerad el ()",Miljö!$B$1:$O$1,0),FALSE)</f>
        <v>0</v>
      </c>
      <c r="BJ50" s="31">
        <f t="shared" si="13"/>
        <v>0</v>
      </c>
      <c r="BK50" s="31" t="str">
        <f>VLOOKUP(B50,Miljö!$B$1:$P$482,MATCH("Fossil andel i procent (%)",Miljö!$B$1:$P$1,0),FALSE)</f>
        <v>ET</v>
      </c>
      <c r="BL50" s="31">
        <f t="shared" si="14"/>
        <v>38.271000000000001</v>
      </c>
      <c r="BO50" s="32">
        <f t="shared" si="22"/>
        <v>2.0642261764782731E-3</v>
      </c>
      <c r="BP50" s="32">
        <f t="shared" si="15"/>
        <v>0</v>
      </c>
      <c r="BQ50" s="32">
        <f t="shared" si="16"/>
        <v>0.99793577382352172</v>
      </c>
      <c r="BR50" s="32">
        <f t="shared" si="17"/>
        <v>0</v>
      </c>
      <c r="BT50" s="62">
        <f t="shared" si="18"/>
        <v>1</v>
      </c>
      <c r="BW50" s="32">
        <f>IF(AP50="Ja",VLOOKUP(B50,Miljövärden!$B$2:$H$551,MATCH("Total andel fossilt",Miljövärden!$B$2:$H$2,0),FALSE),"")</f>
        <v>2.0642299999999998E-3</v>
      </c>
      <c r="BX50" s="62">
        <f t="shared" si="19"/>
        <v>3.8235217266618937E-9</v>
      </c>
      <c r="BZ50" s="31">
        <f t="shared" si="20"/>
        <v>3.8235217266618937E-9</v>
      </c>
      <c r="CA50" s="32">
        <f t="shared" si="21"/>
        <v>0</v>
      </c>
    </row>
    <row r="51" spans="1:79" x14ac:dyDescent="0.45">
      <c r="A51" s="31" t="s">
        <v>623</v>
      </c>
      <c r="B51" s="31" t="s">
        <v>626</v>
      </c>
      <c r="C51" s="31">
        <f>VLOOKUP($B51,'Tillförd energi'!$B$1:$AI$720,MATCH(C$1,'Tillförd energi'!$B$1:$AQ$1,0),FALSE)</f>
        <v>0</v>
      </c>
      <c r="D51" s="31">
        <f>VLOOKUP($B51,'Tillförd energi'!$B$1:$AI$720,MATCH(D$1,'Tillförd energi'!$B$1:$AQ$1,0),FALSE)</f>
        <v>1.4999999999999999E-2</v>
      </c>
      <c r="E51" s="31">
        <f>VLOOKUP($B51,'Tillförd energi'!$B$1:$AI$720,MATCH(E$1,'Tillförd energi'!$B$1:$AQ$1,0),FALSE)</f>
        <v>0</v>
      </c>
      <c r="F51" s="31">
        <f>VLOOKUP($B51,'Tillförd energi'!$B$1:$AI$720,MATCH(F$1,'Tillförd energi'!$B$1:$AQ$1,0),FALSE)</f>
        <v>0</v>
      </c>
      <c r="G51" s="31">
        <f>VLOOKUP($B51,'Tillförd energi'!$B$1:$AI$720,MATCH(G$1,'Tillförd energi'!$B$1:$AQ$1,0),FALSE)</f>
        <v>0</v>
      </c>
      <c r="H51" s="31">
        <f>VLOOKUP($B51,'Tillförd energi'!$B$1:$AI$720,MATCH(H$1,'Tillförd energi'!$B$1:$AQ$1,0),FALSE)</f>
        <v>0</v>
      </c>
      <c r="I51" s="31">
        <f>VLOOKUP($B51,'Tillförd energi'!$B$1:$AI$720,MATCH(I$1,'Tillförd energi'!$B$1:$AQ$1,0),FALSE)</f>
        <v>0</v>
      </c>
      <c r="J51" s="31">
        <f>VLOOKUP($B51,'Tillförd energi'!$B$1:$AI$720,MATCH(J$1,'Tillförd energi'!$B$1:$AQ$1,0),FALSE)</f>
        <v>0</v>
      </c>
      <c r="K51" s="31">
        <f>VLOOKUP($B51,'Tillförd energi'!$B$1:$AI$720,MATCH(K$1,'Tillförd energi'!$B$1:$AQ$1,0),FALSE)</f>
        <v>0</v>
      </c>
      <c r="L51" s="31">
        <f>VLOOKUP($B51,'Tillförd energi'!$B$1:$AI$720,MATCH(L$1,'Tillförd energi'!$B$1:$AQ$1,0),FALSE)</f>
        <v>0</v>
      </c>
      <c r="M51" s="31">
        <f>VLOOKUP($B51,'Tillförd energi'!$B$1:$AI$720,MATCH(M$1,'Tillförd energi'!$B$1:$AQ$1,0),FALSE)</f>
        <v>14.112</v>
      </c>
      <c r="N51" s="31">
        <f>VLOOKUP($B51,'Tillförd energi'!$B$1:$AI$720,MATCH(N$1,'Tillförd energi'!$B$1:$AQ$1,0),FALSE)</f>
        <v>1.6135999999999999</v>
      </c>
      <c r="O51" s="31">
        <f>VLOOKUP($B51,'Tillförd energi'!$B$1:$AI$720,MATCH(O$1,'Tillförd energi'!$B$1:$AQ$1,0),FALSE)</f>
        <v>0</v>
      </c>
      <c r="P51" s="31">
        <f>VLOOKUP($B51,'Tillförd energi'!$B$1:$AI$720,MATCH(P$1,'Tillförd energi'!$B$1:$AQ$1,0),FALSE)</f>
        <v>19.321999999999999</v>
      </c>
      <c r="Q51" s="31">
        <f>VLOOKUP($B51,'Tillförd energi'!$B$1:$AI$720,MATCH(Q$1,'Tillförd energi'!$B$1:$AQ$1,0),FALSE)</f>
        <v>0</v>
      </c>
      <c r="R51" s="31">
        <f>VLOOKUP($B51,'Tillförd energi'!$B$1:$AI$720,MATCH(R$1,'Tillförd energi'!$B$1:$AQ$1,0),FALSE)</f>
        <v>9.6000000000000002E-2</v>
      </c>
      <c r="S51" s="31">
        <f>VLOOKUP($B51,'Tillförd energi'!$B$1:$AI$720,MATCH(S$1,'Tillförd energi'!$B$1:$AQ$1,0),FALSE)</f>
        <v>7.1639999999999997</v>
      </c>
      <c r="T51" s="31">
        <f>VLOOKUP($B51,'Tillförd energi'!$B$1:$AI$720,MATCH(T$1,'Tillförd energi'!$B$1:$AQ$1,0),FALSE)</f>
        <v>0</v>
      </c>
      <c r="U51" s="31">
        <f>VLOOKUP($B51,'Tillförd energi'!$B$1:$AI$720,MATCH(U$1,'Tillförd energi'!$B$1:$AQ$1,0),FALSE)</f>
        <v>0</v>
      </c>
      <c r="V51" s="31">
        <f>VLOOKUP($B51,'Tillförd energi'!$B$1:$AI$720,MATCH(V$1,'Tillförd energi'!$B$1:$AQ$1,0),FALSE)</f>
        <v>0</v>
      </c>
      <c r="W51" s="31">
        <f>VLOOKUP($B51,'Tillförd energi'!$B$1:$AI$720,MATCH(W$1,'Tillförd energi'!$B$1:$AQ$1,0),FALSE)</f>
        <v>0</v>
      </c>
      <c r="X51" s="31">
        <f>VLOOKUP($B51,'Tillförd energi'!$B$1:$AI$720,MATCH(X$1,'Tillförd energi'!$B$1:$AQ$1,0),FALSE)</f>
        <v>0</v>
      </c>
      <c r="Y51" s="31">
        <f>VLOOKUP($B51,'Tillförd energi'!$B$1:$AI$720,MATCH(Y$1,'Tillförd energi'!$B$1:$AQ$1,0),FALSE)</f>
        <v>0</v>
      </c>
      <c r="Z51" s="31">
        <f>VLOOKUP($B51,'Tillförd energi'!$B$1:$AI$720,MATCH(Z$1,'Tillförd energi'!$B$1:$AQ$1,0),FALSE)</f>
        <v>0</v>
      </c>
      <c r="AA51" s="31">
        <f>VLOOKUP($B51,'Tillförd energi'!$B$1:$AI$720,MATCH(AA$1,'Tillförd energi'!$B$1:$AQ$1,0),FALSE)</f>
        <v>0</v>
      </c>
      <c r="AB51" s="31">
        <f>VLOOKUP($B51,'Tillförd energi'!$B$1:$AI$720,MATCH(AB$1,'Tillförd energi'!$B$1:$AQ$1,0),FALSE)</f>
        <v>0</v>
      </c>
      <c r="AC51" s="31">
        <f>VLOOKUP($B51,'Tillförd energi'!$B$1:$AI$720,MATCH(AC$1,'Tillförd energi'!$B$1:$AQ$1,0),FALSE)</f>
        <v>7.51</v>
      </c>
      <c r="AD51" s="31">
        <f>VLOOKUP($B51,'Tillförd energi'!$B$1:$AI$720,MATCH(AD$1,'Tillförd energi'!$B$1:$AQ$1,0),FALSE)</f>
        <v>0</v>
      </c>
      <c r="AE51" s="31">
        <f>VLOOKUP($B51,'Tillförd energi'!$B$1:$AI$720,MATCH(AE$1,'Tillförd energi'!$B$1:$AQ$1,0),FALSE)</f>
        <v>0</v>
      </c>
      <c r="AF51" s="31">
        <f>VLOOKUP($B51,'Tillförd energi'!$B$1:$AI$720,MATCH(AF$1,'Tillförd energi'!$B$1:$AQ$1,0),FALSE)</f>
        <v>0.70299999999999996</v>
      </c>
      <c r="AG51" s="31">
        <f>IFERROR(VLOOKUP(B51,Miljö!$B$1:$AC$550,MATCH("Köpt mängd produktionsspecifik fjärrvärme:",Miljö!$B$1:$AC$1,0),FALSE)/1,0)</f>
        <v>0</v>
      </c>
      <c r="AI51" s="31">
        <f t="shared" si="0"/>
        <v>50.535600000000002</v>
      </c>
      <c r="AJ51" s="31">
        <f t="shared" si="1"/>
        <v>50.535600000000002</v>
      </c>
      <c r="AK51" s="31">
        <f>IF(ISERROR(1/VLOOKUP($B51,Leveranser!$B$1:$S$499,MATCH("Såld värme (GWh)",Leveranser!$B$1:$S$1,0),FALSE)),"",VLOOKUP($B51,Leveranser!$B$1:$S$499,MATCH("Såld värme (GWh)",Leveranser!$B$1:$S$1,0),FALSE))</f>
        <v>35.67</v>
      </c>
      <c r="AL51" s="31">
        <f>VLOOKUP($B51,Leveranser!$B$1:$Y$499,MATCH("Totalt såld fjärrvärme till andra fjärrvärmeföretag",Leveranser!$B$1:$AA$1,0),FALSE)</f>
        <v>0</v>
      </c>
      <c r="AM51" s="31">
        <f>IF(ISERROR(1/VLOOKUP($B51,Miljö!$B$1:$S$500,MATCH("Såld mängd produktionsspecifik fjärrvärme (GWh)",Miljö!$B$1:$R$1,0),FALSE)),0,VLOOKUP($B51,Miljö!$B$1:$S$500,MATCH("Såld mängd produktionsspecifik fjärrvärme (GWh)",Miljö!$B$1:$R$1,0),FALSE))</f>
        <v>0</v>
      </c>
      <c r="AN51" s="32">
        <f t="shared" si="2"/>
        <v>0.70583905207418141</v>
      </c>
      <c r="AP51" s="31" t="str">
        <f>IFERROR(VLOOKUP($B51,Miljövärden!$B$2:$H$550,7,FALSE),"Nej, saknas")</f>
        <v>Ja</v>
      </c>
      <c r="AQ51" s="31" t="str">
        <f>IFERROR(VLOOKUP($B51,Miljövärden!$B$2:$H$551,6,FALSE),"Nej, saknas")</f>
        <v>Nej</v>
      </c>
      <c r="AU51" s="31">
        <f t="shared" si="3"/>
        <v>0.70299999999999996</v>
      </c>
      <c r="AV51" s="31">
        <f t="shared" si="4"/>
        <v>0</v>
      </c>
      <c r="AW51" s="31">
        <f t="shared" si="5"/>
        <v>35.047600000000003</v>
      </c>
      <c r="AX51" s="31">
        <f t="shared" si="6"/>
        <v>7.26</v>
      </c>
      <c r="AZ51" s="31">
        <f t="shared" si="7"/>
        <v>42.307600000000001</v>
      </c>
      <c r="BC51" s="31">
        <f t="shared" si="8"/>
        <v>1.4999999999999999E-2</v>
      </c>
      <c r="BD51" s="31">
        <f t="shared" si="9"/>
        <v>0</v>
      </c>
      <c r="BE51" s="31">
        <f t="shared" si="10"/>
        <v>42.307600000000001</v>
      </c>
      <c r="BF51" s="31">
        <f t="shared" si="11"/>
        <v>7.51</v>
      </c>
      <c r="BG51" s="31">
        <f t="shared" si="12"/>
        <v>0.70299999999999996</v>
      </c>
      <c r="BH51" s="31">
        <f>VLOOKUP(B51,Miljö!$B$1:$BX$482,MATCH("Fossilandel för ursprungspecificerad el ()",Miljö!$B$1:$I$1,0),FALSE)</f>
        <v>0</v>
      </c>
      <c r="BI51" s="31">
        <f>VLOOKUP(B51,Miljö!$B$1:$BX$482,MATCH("Kärnkraftsandel för ursprungsspecificerad el ()",Miljö!$B$1:$O$1,0),FALSE)</f>
        <v>0</v>
      </c>
      <c r="BJ51" s="31">
        <f t="shared" si="13"/>
        <v>0</v>
      </c>
      <c r="BK51" s="31" t="str">
        <f>VLOOKUP(B51,Miljö!$B$1:$P$482,MATCH("Fossil andel i procent (%)",Miljö!$B$1:$P$1,0),FALSE)</f>
        <v>ET</v>
      </c>
      <c r="BL51" s="31">
        <f t="shared" si="14"/>
        <v>50.535600000000002</v>
      </c>
      <c r="BO51" s="32">
        <f t="shared" si="22"/>
        <v>2.968204592406145E-4</v>
      </c>
      <c r="BP51" s="32">
        <f t="shared" si="15"/>
        <v>0</v>
      </c>
      <c r="BQ51" s="32">
        <f t="shared" si="16"/>
        <v>0.85109506961429171</v>
      </c>
      <c r="BR51" s="32">
        <f t="shared" si="17"/>
        <v>0.14860810992646767</v>
      </c>
      <c r="BT51" s="62">
        <f t="shared" si="18"/>
        <v>1</v>
      </c>
      <c r="BW51" s="32">
        <f>IF(AP51="Ja",VLOOKUP(B51,Miljövärden!$B$2:$H$551,MATCH("Total andel fossilt",Miljövärden!$B$2:$H$2,0),FALSE),"")</f>
        <v>2.9681999999999999E-4</v>
      </c>
      <c r="BX51" s="62">
        <f t="shared" si="19"/>
        <v>-4.5924061450354492E-10</v>
      </c>
      <c r="BZ51" s="31">
        <f t="shared" si="20"/>
        <v>-4.5924061450354492E-10</v>
      </c>
      <c r="CA51" s="32">
        <f t="shared" si="21"/>
        <v>0</v>
      </c>
    </row>
    <row r="52" spans="1:79" hidden="1" x14ac:dyDescent="0.45">
      <c r="A52" s="31" t="s">
        <v>623</v>
      </c>
      <c r="B52" s="31" t="s">
        <v>625</v>
      </c>
      <c r="C52" s="31">
        <f>VLOOKUP($B52,'Tillförd energi'!$B$1:$AI$720,MATCH(C$1,'Tillförd energi'!$B$1:$AQ$1,0),FALSE)</f>
        <v>0</v>
      </c>
      <c r="D52" s="31">
        <f>VLOOKUP($B52,'Tillförd energi'!$B$1:$AI$720,MATCH(D$1,'Tillförd energi'!$B$1:$AQ$1,0),FALSE)</f>
        <v>0</v>
      </c>
      <c r="E52" s="31">
        <f>VLOOKUP($B52,'Tillförd energi'!$B$1:$AI$720,MATCH(E$1,'Tillförd energi'!$B$1:$AQ$1,0),FALSE)</f>
        <v>0</v>
      </c>
      <c r="F52" s="31">
        <f>VLOOKUP($B52,'Tillförd energi'!$B$1:$AI$720,MATCH(F$1,'Tillförd energi'!$B$1:$AQ$1,0),FALSE)</f>
        <v>0</v>
      </c>
      <c r="G52" s="31">
        <f>VLOOKUP($B52,'Tillförd energi'!$B$1:$AI$720,MATCH(G$1,'Tillförd energi'!$B$1:$AQ$1,0),FALSE)</f>
        <v>0</v>
      </c>
      <c r="H52" s="31">
        <f>VLOOKUP($B52,'Tillförd energi'!$B$1:$AI$720,MATCH(H$1,'Tillförd energi'!$B$1:$AQ$1,0),FALSE)</f>
        <v>0</v>
      </c>
      <c r="I52" s="31">
        <f>VLOOKUP($B52,'Tillförd energi'!$B$1:$AI$720,MATCH(I$1,'Tillförd energi'!$B$1:$AQ$1,0),FALSE)</f>
        <v>0</v>
      </c>
      <c r="J52" s="31">
        <f>VLOOKUP($B52,'Tillförd energi'!$B$1:$AI$720,MATCH(J$1,'Tillförd energi'!$B$1:$AQ$1,0),FALSE)</f>
        <v>0</v>
      </c>
      <c r="K52" s="31">
        <f>VLOOKUP($B52,'Tillförd energi'!$B$1:$AI$720,MATCH(K$1,'Tillförd energi'!$B$1:$AQ$1,0),FALSE)</f>
        <v>0</v>
      </c>
      <c r="L52" s="31">
        <f>VLOOKUP($B52,'Tillförd energi'!$B$1:$AI$720,MATCH(L$1,'Tillförd energi'!$B$1:$AQ$1,0),FALSE)</f>
        <v>0</v>
      </c>
      <c r="M52" s="31">
        <f>VLOOKUP($B52,'Tillförd energi'!$B$1:$AI$720,MATCH(M$1,'Tillförd energi'!$B$1:$AQ$1,0),FALSE)</f>
        <v>0</v>
      </c>
      <c r="N52" s="31">
        <f>VLOOKUP($B52,'Tillförd energi'!$B$1:$AI$720,MATCH(N$1,'Tillförd energi'!$B$1:$AQ$1,0),FALSE)</f>
        <v>0</v>
      </c>
      <c r="O52" s="31">
        <f>VLOOKUP($B52,'Tillförd energi'!$B$1:$AI$720,MATCH(O$1,'Tillförd energi'!$B$1:$AQ$1,0),FALSE)</f>
        <v>0</v>
      </c>
      <c r="P52" s="31">
        <f>VLOOKUP($B52,'Tillförd energi'!$B$1:$AI$720,MATCH(P$1,'Tillförd energi'!$B$1:$AQ$1,0),FALSE)</f>
        <v>0</v>
      </c>
      <c r="Q52" s="31">
        <f>VLOOKUP($B52,'Tillförd energi'!$B$1:$AI$720,MATCH(Q$1,'Tillförd energi'!$B$1:$AQ$1,0),FALSE)</f>
        <v>0</v>
      </c>
      <c r="R52" s="31">
        <f>VLOOKUP($B52,'Tillförd energi'!$B$1:$AI$720,MATCH(R$1,'Tillförd energi'!$B$1:$AQ$1,0),FALSE)</f>
        <v>0</v>
      </c>
      <c r="S52" s="31">
        <f>VLOOKUP($B52,'Tillförd energi'!$B$1:$AI$720,MATCH(S$1,'Tillförd energi'!$B$1:$AQ$1,0),FALSE)</f>
        <v>0</v>
      </c>
      <c r="T52" s="31">
        <f>VLOOKUP($B52,'Tillförd energi'!$B$1:$AI$720,MATCH(T$1,'Tillförd energi'!$B$1:$AQ$1,0),FALSE)</f>
        <v>0</v>
      </c>
      <c r="U52" s="31">
        <f>VLOOKUP($B52,'Tillförd energi'!$B$1:$AI$720,MATCH(U$1,'Tillförd energi'!$B$1:$AQ$1,0),FALSE)</f>
        <v>0</v>
      </c>
      <c r="V52" s="31">
        <f>VLOOKUP($B52,'Tillförd energi'!$B$1:$AI$720,MATCH(V$1,'Tillförd energi'!$B$1:$AQ$1,0),FALSE)</f>
        <v>0</v>
      </c>
      <c r="W52" s="31">
        <f>VLOOKUP($B52,'Tillförd energi'!$B$1:$AI$720,MATCH(W$1,'Tillförd energi'!$B$1:$AQ$1,0),FALSE)</f>
        <v>0</v>
      </c>
      <c r="X52" s="31">
        <f>VLOOKUP($B52,'Tillförd energi'!$B$1:$AI$720,MATCH(X$1,'Tillförd energi'!$B$1:$AQ$1,0),FALSE)</f>
        <v>0</v>
      </c>
      <c r="Y52" s="31">
        <f>VLOOKUP($B52,'Tillförd energi'!$B$1:$AI$720,MATCH(Y$1,'Tillförd energi'!$B$1:$AQ$1,0),FALSE)</f>
        <v>0</v>
      </c>
      <c r="Z52" s="31">
        <f>VLOOKUP($B52,'Tillförd energi'!$B$1:$AI$720,MATCH(Z$1,'Tillförd energi'!$B$1:$AQ$1,0),FALSE)</f>
        <v>0</v>
      </c>
      <c r="AA52" s="31">
        <f>VLOOKUP($B52,'Tillförd energi'!$B$1:$AI$720,MATCH(AA$1,'Tillförd energi'!$B$1:$AQ$1,0),FALSE)</f>
        <v>0</v>
      </c>
      <c r="AB52" s="31">
        <f>VLOOKUP($B52,'Tillförd energi'!$B$1:$AI$720,MATCH(AB$1,'Tillförd energi'!$B$1:$AQ$1,0),FALSE)</f>
        <v>0</v>
      </c>
      <c r="AC52" s="31">
        <f>VLOOKUP($B52,'Tillförd energi'!$B$1:$AI$720,MATCH(AC$1,'Tillförd energi'!$B$1:$AQ$1,0),FALSE)</f>
        <v>0</v>
      </c>
      <c r="AD52" s="31">
        <f>VLOOKUP($B52,'Tillförd energi'!$B$1:$AI$720,MATCH(AD$1,'Tillförd energi'!$B$1:$AQ$1,0),FALSE)</f>
        <v>0</v>
      </c>
      <c r="AE52" s="31">
        <f>VLOOKUP($B52,'Tillförd energi'!$B$1:$AI$720,MATCH(AE$1,'Tillförd energi'!$B$1:$AQ$1,0),FALSE)</f>
        <v>0</v>
      </c>
      <c r="AF52" s="31">
        <f>VLOOKUP($B52,'Tillförd energi'!$B$1:$AI$720,MATCH(AF$1,'Tillförd energi'!$B$1:$AQ$1,0),FALSE)</f>
        <v>0</v>
      </c>
      <c r="AG52" s="31">
        <f>IFERROR(VLOOKUP(B52,Miljö!$B$1:$AC$550,MATCH("Köpt mängd produktionsspecifik fjärrvärme:",Miljö!$B$1:$AC$1,0),FALSE)/1,0)</f>
        <v>0</v>
      </c>
      <c r="AI52" s="31">
        <f t="shared" si="0"/>
        <v>0</v>
      </c>
      <c r="AJ52" s="31">
        <f t="shared" si="1"/>
        <v>0</v>
      </c>
      <c r="AK52" s="31" t="str">
        <f>IF(ISERROR(1/VLOOKUP($B52,Leveranser!$B$1:$S$499,MATCH("Såld värme (GWh)",Leveranser!$B$1:$S$1,0),FALSE)),"",VLOOKUP($B52,Leveranser!$B$1:$S$499,MATCH("Såld värme (GWh)",Leveranser!$B$1:$S$1,0),FALSE))</f>
        <v/>
      </c>
      <c r="AL52" s="31">
        <f>VLOOKUP($B52,Leveranser!$B$1:$Y$499,MATCH("Totalt såld fjärrvärme till andra fjärrvärmeföretag",Leveranser!$B$1:$AA$1,0),FALSE)</f>
        <v>0</v>
      </c>
      <c r="AM52" s="31">
        <f>IF(ISERROR(1/VLOOKUP($B52,Miljö!$B$1:$S$500,MATCH("Såld mängd produktionsspecifik fjärrvärme (GWh)",Miljö!$B$1:$R$1,0),FALSE)),0,VLOOKUP($B52,Miljö!$B$1:$S$500,MATCH("Såld mängd produktionsspecifik fjärrvärme (GWh)",Miljö!$B$1:$R$1,0),FALSE))</f>
        <v>0</v>
      </c>
      <c r="AN52" s="32" t="str">
        <f t="shared" si="2"/>
        <v/>
      </c>
      <c r="AP52" s="31" t="str">
        <f>IFERROR(VLOOKUP($B52,Miljövärden!$B$2:$H$550,7,FALSE),"Nej, saknas")</f>
        <v>Nej</v>
      </c>
      <c r="AQ52" s="31" t="str">
        <f>IFERROR(VLOOKUP($B52,Miljövärden!$B$2:$H$551,6,FALSE),"Nej, saknas")</f>
        <v>Nej</v>
      </c>
      <c r="AU52" s="31">
        <f t="shared" si="3"/>
        <v>0</v>
      </c>
      <c r="AV52" s="31">
        <f t="shared" si="4"/>
        <v>0</v>
      </c>
      <c r="AW52" s="31">
        <f t="shared" si="5"/>
        <v>0</v>
      </c>
      <c r="AX52" s="31">
        <f t="shared" si="6"/>
        <v>0</v>
      </c>
      <c r="AZ52" s="31">
        <f t="shared" si="7"/>
        <v>0</v>
      </c>
      <c r="BC52" s="31">
        <f t="shared" si="8"/>
        <v>0</v>
      </c>
      <c r="BD52" s="31">
        <f t="shared" si="9"/>
        <v>0</v>
      </c>
      <c r="BE52" s="31">
        <f t="shared" si="10"/>
        <v>0</v>
      </c>
      <c r="BF52" s="31">
        <f t="shared" si="11"/>
        <v>0</v>
      </c>
      <c r="BG52" s="31">
        <f t="shared" si="12"/>
        <v>0</v>
      </c>
      <c r="BH52" s="31" t="str">
        <f>VLOOKUP(B52,Miljö!$B$1:$BX$482,MATCH("Fossilandel för ursprungspecificerad el ()",Miljö!$B$1:$I$1,0),FALSE)</f>
        <v>-</v>
      </c>
      <c r="BI52" s="31" t="str">
        <f>VLOOKUP(B52,Miljö!$B$1:$BX$482,MATCH("Kärnkraftsandel för ursprungsspecificerad el ()",Miljö!$B$1:$O$1,0),FALSE)</f>
        <v>-</v>
      </c>
      <c r="BJ52" s="31">
        <f t="shared" si="13"/>
        <v>0</v>
      </c>
      <c r="BK52" s="31" t="str">
        <f>VLOOKUP(B52,Miljö!$B$1:$P$482,MATCH("Fossil andel i procent (%)",Miljö!$B$1:$P$1,0),FALSE)</f>
        <v>-</v>
      </c>
      <c r="BL52" s="31">
        <f t="shared" si="14"/>
        <v>0</v>
      </c>
      <c r="BO52" s="32" t="str">
        <f t="shared" si="22"/>
        <v/>
      </c>
      <c r="BP52" s="32" t="str">
        <f t="shared" si="15"/>
        <v/>
      </c>
      <c r="BQ52" s="32" t="str">
        <f t="shared" si="16"/>
        <v/>
      </c>
      <c r="BR52" s="32" t="str">
        <f t="shared" si="17"/>
        <v/>
      </c>
      <c r="BT52" s="62">
        <f t="shared" si="18"/>
        <v>0</v>
      </c>
      <c r="BW52" s="32" t="str">
        <f>IF(AP52="Ja",VLOOKUP(B52,Miljövärden!$B$2:$H$551,MATCH("Total andel fossilt",Miljövärden!$B$2:$H$2,0),FALSE),"")</f>
        <v/>
      </c>
      <c r="BX52" s="62" t="e">
        <f t="shared" si="19"/>
        <v>#VALUE!</v>
      </c>
      <c r="BZ52" s="31" t="str">
        <f t="shared" si="20"/>
        <v/>
      </c>
      <c r="CA52" s="32" t="str">
        <f t="shared" si="21"/>
        <v/>
      </c>
    </row>
    <row r="53" spans="1:79" x14ac:dyDescent="0.45">
      <c r="A53" s="31" t="s">
        <v>623</v>
      </c>
      <c r="B53" s="31" t="s">
        <v>624</v>
      </c>
      <c r="C53" s="31">
        <f>VLOOKUP($B53,'Tillförd energi'!$B$1:$AI$720,MATCH(C$1,'Tillförd energi'!$B$1:$AQ$1,0),FALSE)</f>
        <v>0</v>
      </c>
      <c r="D53" s="31">
        <f>VLOOKUP($B53,'Tillförd energi'!$B$1:$AI$720,MATCH(D$1,'Tillförd energi'!$B$1:$AQ$1,0),FALSE)</f>
        <v>8.0000000000000002E-3</v>
      </c>
      <c r="E53" s="31">
        <f>VLOOKUP($B53,'Tillförd energi'!$B$1:$AI$720,MATCH(E$1,'Tillförd energi'!$B$1:$AQ$1,0),FALSE)</f>
        <v>0</v>
      </c>
      <c r="F53" s="31">
        <f>VLOOKUP($B53,'Tillförd energi'!$B$1:$AI$720,MATCH(F$1,'Tillförd energi'!$B$1:$AQ$1,0),FALSE)</f>
        <v>0</v>
      </c>
      <c r="G53" s="31">
        <f>VLOOKUP($B53,'Tillförd energi'!$B$1:$AI$720,MATCH(G$1,'Tillförd energi'!$B$1:$AQ$1,0),FALSE)</f>
        <v>0</v>
      </c>
      <c r="H53" s="31">
        <f>VLOOKUP($B53,'Tillförd energi'!$B$1:$AI$720,MATCH(H$1,'Tillförd energi'!$B$1:$AQ$1,0),FALSE)</f>
        <v>0</v>
      </c>
      <c r="I53" s="31">
        <f>VLOOKUP($B53,'Tillförd energi'!$B$1:$AI$720,MATCH(I$1,'Tillförd energi'!$B$1:$AQ$1,0),FALSE)</f>
        <v>0</v>
      </c>
      <c r="J53" s="31">
        <f>VLOOKUP($B53,'Tillförd energi'!$B$1:$AI$720,MATCH(J$1,'Tillförd energi'!$B$1:$AQ$1,0),FALSE)</f>
        <v>0</v>
      </c>
      <c r="K53" s="31">
        <f>VLOOKUP($B53,'Tillförd energi'!$B$1:$AI$720,MATCH(K$1,'Tillförd energi'!$B$1:$AQ$1,0),FALSE)</f>
        <v>0</v>
      </c>
      <c r="L53" s="31">
        <f>VLOOKUP($B53,'Tillförd energi'!$B$1:$AI$720,MATCH(L$1,'Tillförd energi'!$B$1:$AQ$1,0),FALSE)</f>
        <v>0</v>
      </c>
      <c r="M53" s="31">
        <f>VLOOKUP($B53,'Tillförd energi'!$B$1:$AI$720,MATCH(M$1,'Tillförd energi'!$B$1:$AQ$1,0),FALSE)</f>
        <v>0</v>
      </c>
      <c r="N53" s="31">
        <f>VLOOKUP($B53,'Tillförd energi'!$B$1:$AI$720,MATCH(N$1,'Tillförd energi'!$B$1:$AQ$1,0),FALSE)</f>
        <v>0</v>
      </c>
      <c r="O53" s="31">
        <f>VLOOKUP($B53,'Tillförd energi'!$B$1:$AI$720,MATCH(O$1,'Tillförd energi'!$B$1:$AQ$1,0),FALSE)</f>
        <v>0</v>
      </c>
      <c r="P53" s="31">
        <f>VLOOKUP($B53,'Tillförd energi'!$B$1:$AI$720,MATCH(P$1,'Tillförd energi'!$B$1:$AQ$1,0),FALSE)</f>
        <v>0</v>
      </c>
      <c r="Q53" s="31">
        <f>VLOOKUP($B53,'Tillförd energi'!$B$1:$AI$720,MATCH(Q$1,'Tillförd energi'!$B$1:$AQ$1,0),FALSE)</f>
        <v>0</v>
      </c>
      <c r="R53" s="31">
        <f>VLOOKUP($B53,'Tillförd energi'!$B$1:$AI$720,MATCH(R$1,'Tillförd energi'!$B$1:$AQ$1,0),FALSE)</f>
        <v>2.028</v>
      </c>
      <c r="S53" s="31">
        <f>VLOOKUP($B53,'Tillförd energi'!$B$1:$AI$720,MATCH(S$1,'Tillförd energi'!$B$1:$AQ$1,0),FALSE)</f>
        <v>0</v>
      </c>
      <c r="T53" s="31">
        <f>VLOOKUP($B53,'Tillförd energi'!$B$1:$AI$720,MATCH(T$1,'Tillförd energi'!$B$1:$AQ$1,0),FALSE)</f>
        <v>0</v>
      </c>
      <c r="U53" s="31">
        <f>VLOOKUP($B53,'Tillförd energi'!$B$1:$AI$720,MATCH(U$1,'Tillförd energi'!$B$1:$AQ$1,0),FALSE)</f>
        <v>0</v>
      </c>
      <c r="V53" s="31">
        <f>VLOOKUP($B53,'Tillförd energi'!$B$1:$AI$720,MATCH(V$1,'Tillförd energi'!$B$1:$AQ$1,0),FALSE)</f>
        <v>0</v>
      </c>
      <c r="W53" s="31">
        <f>VLOOKUP($B53,'Tillförd energi'!$B$1:$AI$720,MATCH(W$1,'Tillförd energi'!$B$1:$AQ$1,0),FALSE)</f>
        <v>0</v>
      </c>
      <c r="X53" s="31">
        <f>VLOOKUP($B53,'Tillförd energi'!$B$1:$AI$720,MATCH(X$1,'Tillförd energi'!$B$1:$AQ$1,0),FALSE)</f>
        <v>0</v>
      </c>
      <c r="Y53" s="31">
        <f>VLOOKUP($B53,'Tillförd energi'!$B$1:$AI$720,MATCH(Y$1,'Tillförd energi'!$B$1:$AQ$1,0),FALSE)</f>
        <v>0</v>
      </c>
      <c r="Z53" s="31">
        <f>VLOOKUP($B53,'Tillförd energi'!$B$1:$AI$720,MATCH(Z$1,'Tillförd energi'!$B$1:$AQ$1,0),FALSE)</f>
        <v>0</v>
      </c>
      <c r="AA53" s="31">
        <f>VLOOKUP($B53,'Tillförd energi'!$B$1:$AI$720,MATCH(AA$1,'Tillförd energi'!$B$1:$AQ$1,0),FALSE)</f>
        <v>0</v>
      </c>
      <c r="AB53" s="31">
        <f>VLOOKUP($B53,'Tillförd energi'!$B$1:$AI$720,MATCH(AB$1,'Tillförd energi'!$B$1:$AQ$1,0),FALSE)</f>
        <v>0</v>
      </c>
      <c r="AC53" s="31">
        <f>VLOOKUP($B53,'Tillförd energi'!$B$1:$AI$720,MATCH(AC$1,'Tillförd energi'!$B$1:$AQ$1,0),FALSE)</f>
        <v>0</v>
      </c>
      <c r="AD53" s="31">
        <f>VLOOKUP($B53,'Tillförd energi'!$B$1:$AI$720,MATCH(AD$1,'Tillförd energi'!$B$1:$AQ$1,0),FALSE)</f>
        <v>0</v>
      </c>
      <c r="AE53" s="31">
        <f>VLOOKUP($B53,'Tillförd energi'!$B$1:$AI$720,MATCH(AE$1,'Tillförd energi'!$B$1:$AQ$1,0),FALSE)</f>
        <v>0</v>
      </c>
      <c r="AF53" s="31">
        <f>VLOOKUP($B53,'Tillförd energi'!$B$1:$AI$720,MATCH(AF$1,'Tillförd energi'!$B$1:$AQ$1,0),FALSE)</f>
        <v>4.1000000000000002E-2</v>
      </c>
      <c r="AG53" s="31">
        <f>IFERROR(VLOOKUP(B53,Miljö!$B$1:$AC$550,MATCH("Köpt mängd produktionsspecifik fjärrvärme:",Miljö!$B$1:$AC$1,0),FALSE)/1,0)</f>
        <v>0</v>
      </c>
      <c r="AI53" s="31">
        <f t="shared" si="0"/>
        <v>2.077</v>
      </c>
      <c r="AJ53" s="31">
        <f t="shared" si="1"/>
        <v>2.077</v>
      </c>
      <c r="AK53" s="31">
        <f>IF(ISERROR(1/VLOOKUP($B53,Leveranser!$B$1:$S$499,MATCH("Såld värme (GWh)",Leveranser!$B$1:$S$1,0),FALSE)),"",VLOOKUP($B53,Leveranser!$B$1:$S$499,MATCH("Såld värme (GWh)",Leveranser!$B$1:$S$1,0),FALSE))</f>
        <v>1.38</v>
      </c>
      <c r="AL53" s="31">
        <f>VLOOKUP($B53,Leveranser!$B$1:$Y$499,MATCH("Totalt såld fjärrvärme till andra fjärrvärmeföretag",Leveranser!$B$1:$AA$1,0),FALSE)</f>
        <v>0</v>
      </c>
      <c r="AM53" s="31">
        <f>IF(ISERROR(1/VLOOKUP($B53,Miljö!$B$1:$S$500,MATCH("Såld mängd produktionsspecifik fjärrvärme (GWh)",Miljö!$B$1:$R$1,0),FALSE)),0,VLOOKUP($B53,Miljö!$B$1:$S$500,MATCH("Såld mängd produktionsspecifik fjärrvärme (GWh)",Miljö!$B$1:$R$1,0),FALSE))</f>
        <v>0</v>
      </c>
      <c r="AN53" s="32">
        <f t="shared" si="2"/>
        <v>0.66441983630235912</v>
      </c>
      <c r="AP53" s="31" t="str">
        <f>IFERROR(VLOOKUP($B53,Miljövärden!$B$2:$H$550,7,FALSE),"Nej, saknas")</f>
        <v>Ja</v>
      </c>
      <c r="AQ53" s="31" t="str">
        <f>IFERROR(VLOOKUP($B53,Miljövärden!$B$2:$H$551,6,FALSE),"Nej, saknas")</f>
        <v>Nej</v>
      </c>
      <c r="AU53" s="31">
        <f t="shared" si="3"/>
        <v>4.1000000000000002E-2</v>
      </c>
      <c r="AV53" s="31">
        <f t="shared" si="4"/>
        <v>0</v>
      </c>
      <c r="AW53" s="31">
        <f t="shared" si="5"/>
        <v>0</v>
      </c>
      <c r="AX53" s="31">
        <f t="shared" si="6"/>
        <v>2.028</v>
      </c>
      <c r="AZ53" s="31">
        <f t="shared" si="7"/>
        <v>2.028</v>
      </c>
      <c r="BC53" s="31">
        <f t="shared" si="8"/>
        <v>8.0000000000000002E-3</v>
      </c>
      <c r="BD53" s="31">
        <f t="shared" si="9"/>
        <v>0</v>
      </c>
      <c r="BE53" s="31">
        <f t="shared" si="10"/>
        <v>2.028</v>
      </c>
      <c r="BF53" s="31">
        <f t="shared" si="11"/>
        <v>0</v>
      </c>
      <c r="BG53" s="31">
        <f t="shared" si="12"/>
        <v>4.1000000000000002E-2</v>
      </c>
      <c r="BH53" s="31">
        <f>VLOOKUP(B53,Miljö!$B$1:$BX$482,MATCH("Fossilandel för ursprungspecificerad el ()",Miljö!$B$1:$I$1,0),FALSE)</f>
        <v>0</v>
      </c>
      <c r="BI53" s="31">
        <f>VLOOKUP(B53,Miljö!$B$1:$BX$482,MATCH("Kärnkraftsandel för ursprungsspecificerad el ()",Miljö!$B$1:$O$1,0),FALSE)</f>
        <v>0</v>
      </c>
      <c r="BJ53" s="31">
        <f t="shared" si="13"/>
        <v>0</v>
      </c>
      <c r="BK53" s="31" t="str">
        <f>VLOOKUP(B53,Miljö!$B$1:$P$482,MATCH("Fossil andel i procent (%)",Miljö!$B$1:$P$1,0),FALSE)</f>
        <v>ET</v>
      </c>
      <c r="BL53" s="31">
        <f t="shared" si="14"/>
        <v>2.077</v>
      </c>
      <c r="BO53" s="32">
        <f t="shared" si="22"/>
        <v>3.8517091959557057E-3</v>
      </c>
      <c r="BP53" s="32">
        <f t="shared" si="15"/>
        <v>0</v>
      </c>
      <c r="BQ53" s="32">
        <f t="shared" si="16"/>
        <v>0.99614829080404432</v>
      </c>
      <c r="BR53" s="32">
        <f t="shared" si="17"/>
        <v>0</v>
      </c>
      <c r="BT53" s="62">
        <f t="shared" si="18"/>
        <v>1</v>
      </c>
      <c r="BW53" s="32">
        <f>IF(AP53="Ja",VLOOKUP(B53,Miljövärden!$B$2:$H$551,MATCH("Total andel fossilt",Miljövärden!$B$2:$H$2,0),FALSE),"")</f>
        <v>3.8517099999999999E-3</v>
      </c>
      <c r="BX53" s="62">
        <f t="shared" si="19"/>
        <v>8.0404429425237622E-10</v>
      </c>
      <c r="BZ53" s="31">
        <f t="shared" si="20"/>
        <v>8.0404429425237622E-10</v>
      </c>
      <c r="CA53" s="32">
        <f t="shared" si="21"/>
        <v>0</v>
      </c>
    </row>
    <row r="54" spans="1:79" x14ac:dyDescent="0.45">
      <c r="A54" s="31" t="s">
        <v>623</v>
      </c>
      <c r="B54" s="31" t="s">
        <v>622</v>
      </c>
      <c r="C54" s="31">
        <f>VLOOKUP($B54,'Tillförd energi'!$B$1:$AI$720,MATCH(C$1,'Tillförd energi'!$B$1:$AQ$1,0),FALSE)</f>
        <v>0</v>
      </c>
      <c r="D54" s="31">
        <f>VLOOKUP($B54,'Tillförd energi'!$B$1:$AI$720,MATCH(D$1,'Tillförd energi'!$B$1:$AQ$1,0),FALSE)</f>
        <v>8.1799999999999998E-2</v>
      </c>
      <c r="E54" s="31">
        <f>VLOOKUP($B54,'Tillförd energi'!$B$1:$AI$720,MATCH(E$1,'Tillförd energi'!$B$1:$AQ$1,0),FALSE)</f>
        <v>0</v>
      </c>
      <c r="F54" s="31">
        <f>VLOOKUP($B54,'Tillförd energi'!$B$1:$AI$720,MATCH(F$1,'Tillförd energi'!$B$1:$AQ$1,0),FALSE)</f>
        <v>0</v>
      </c>
      <c r="G54" s="31">
        <f>VLOOKUP($B54,'Tillförd energi'!$B$1:$AI$720,MATCH(G$1,'Tillförd energi'!$B$1:$AQ$1,0),FALSE)</f>
        <v>0</v>
      </c>
      <c r="H54" s="31">
        <f>VLOOKUP($B54,'Tillförd energi'!$B$1:$AI$720,MATCH(H$1,'Tillförd energi'!$B$1:$AQ$1,0),FALSE)</f>
        <v>0</v>
      </c>
      <c r="I54" s="31">
        <f>VLOOKUP($B54,'Tillförd energi'!$B$1:$AI$720,MATCH(I$1,'Tillförd energi'!$B$1:$AQ$1,0),FALSE)</f>
        <v>0</v>
      </c>
      <c r="J54" s="31">
        <f>VLOOKUP($B54,'Tillförd energi'!$B$1:$AI$720,MATCH(J$1,'Tillförd energi'!$B$1:$AQ$1,0),FALSE)</f>
        <v>0</v>
      </c>
      <c r="K54" s="31">
        <f>VLOOKUP($B54,'Tillförd energi'!$B$1:$AI$720,MATCH(K$1,'Tillförd energi'!$B$1:$AQ$1,0),FALSE)</f>
        <v>0</v>
      </c>
      <c r="L54" s="31">
        <f>VLOOKUP($B54,'Tillförd energi'!$B$1:$AI$720,MATCH(L$1,'Tillförd energi'!$B$1:$AQ$1,0),FALSE)</f>
        <v>0</v>
      </c>
      <c r="M54" s="31">
        <f>VLOOKUP($B54,'Tillförd energi'!$B$1:$AI$720,MATCH(M$1,'Tillförd energi'!$B$1:$AQ$1,0),FALSE)</f>
        <v>0</v>
      </c>
      <c r="N54" s="31">
        <f>VLOOKUP($B54,'Tillförd energi'!$B$1:$AI$720,MATCH(N$1,'Tillförd energi'!$B$1:$AQ$1,0),FALSE)</f>
        <v>0</v>
      </c>
      <c r="O54" s="31">
        <f>VLOOKUP($B54,'Tillförd energi'!$B$1:$AI$720,MATCH(O$1,'Tillförd energi'!$B$1:$AQ$1,0),FALSE)</f>
        <v>0</v>
      </c>
      <c r="P54" s="31">
        <f>VLOOKUP($B54,'Tillförd energi'!$B$1:$AI$720,MATCH(P$1,'Tillförd energi'!$B$1:$AQ$1,0),FALSE)</f>
        <v>0</v>
      </c>
      <c r="Q54" s="31">
        <f>VLOOKUP($B54,'Tillförd energi'!$B$1:$AI$720,MATCH(Q$1,'Tillförd energi'!$B$1:$AQ$1,0),FALSE)</f>
        <v>0</v>
      </c>
      <c r="R54" s="31">
        <f>VLOOKUP($B54,'Tillförd energi'!$B$1:$AI$720,MATCH(R$1,'Tillförd energi'!$B$1:$AQ$1,0),FALSE)</f>
        <v>0.57999999999999996</v>
      </c>
      <c r="S54" s="31">
        <f>VLOOKUP($B54,'Tillförd energi'!$B$1:$AI$720,MATCH(S$1,'Tillförd energi'!$B$1:$AQ$1,0),FALSE)</f>
        <v>0</v>
      </c>
      <c r="T54" s="31">
        <f>VLOOKUP($B54,'Tillförd energi'!$B$1:$AI$720,MATCH(T$1,'Tillförd energi'!$B$1:$AQ$1,0),FALSE)</f>
        <v>0</v>
      </c>
      <c r="U54" s="31">
        <f>VLOOKUP($B54,'Tillförd energi'!$B$1:$AI$720,MATCH(U$1,'Tillförd energi'!$B$1:$AQ$1,0),FALSE)</f>
        <v>0</v>
      </c>
      <c r="V54" s="31">
        <f>VLOOKUP($B54,'Tillförd energi'!$B$1:$AI$720,MATCH(V$1,'Tillförd energi'!$B$1:$AQ$1,0),FALSE)</f>
        <v>0</v>
      </c>
      <c r="W54" s="31">
        <f>VLOOKUP($B54,'Tillförd energi'!$B$1:$AI$720,MATCH(W$1,'Tillförd energi'!$B$1:$AQ$1,0),FALSE)</f>
        <v>0</v>
      </c>
      <c r="X54" s="31">
        <f>VLOOKUP($B54,'Tillförd energi'!$B$1:$AI$720,MATCH(X$1,'Tillförd energi'!$B$1:$AQ$1,0),FALSE)</f>
        <v>0</v>
      </c>
      <c r="Y54" s="31">
        <f>VLOOKUP($B54,'Tillförd energi'!$B$1:$AI$720,MATCH(Y$1,'Tillförd energi'!$B$1:$AQ$1,0),FALSE)</f>
        <v>0</v>
      </c>
      <c r="Z54" s="31">
        <f>VLOOKUP($B54,'Tillförd energi'!$B$1:$AI$720,MATCH(Z$1,'Tillförd energi'!$B$1:$AQ$1,0),FALSE)</f>
        <v>0</v>
      </c>
      <c r="AA54" s="31">
        <f>VLOOKUP($B54,'Tillförd energi'!$B$1:$AI$720,MATCH(AA$1,'Tillförd energi'!$B$1:$AQ$1,0),FALSE)</f>
        <v>0</v>
      </c>
      <c r="AB54" s="31">
        <f>VLOOKUP($B54,'Tillförd energi'!$B$1:$AI$720,MATCH(AB$1,'Tillförd energi'!$B$1:$AQ$1,0),FALSE)</f>
        <v>0</v>
      </c>
      <c r="AC54" s="31">
        <f>VLOOKUP($B54,'Tillförd energi'!$B$1:$AI$720,MATCH(AC$1,'Tillförd energi'!$B$1:$AQ$1,0),FALSE)</f>
        <v>0</v>
      </c>
      <c r="AD54" s="31">
        <f>VLOOKUP($B54,'Tillförd energi'!$B$1:$AI$720,MATCH(AD$1,'Tillförd energi'!$B$1:$AQ$1,0),FALSE)</f>
        <v>0</v>
      </c>
      <c r="AE54" s="31">
        <f>VLOOKUP($B54,'Tillförd energi'!$B$1:$AI$720,MATCH(AE$1,'Tillförd energi'!$B$1:$AQ$1,0),FALSE)</f>
        <v>0</v>
      </c>
      <c r="AF54" s="31">
        <f>VLOOKUP($B54,'Tillförd energi'!$B$1:$AI$720,MATCH(AF$1,'Tillförd energi'!$B$1:$AQ$1,0),FALSE)</f>
        <v>1.4189999999999999E-2</v>
      </c>
      <c r="AG54" s="31">
        <f>IFERROR(VLOOKUP(B54,Miljö!$B$1:$AC$550,MATCH("Köpt mängd produktionsspecifik fjärrvärme:",Miljö!$B$1:$AC$1,0),FALSE)/1,0)</f>
        <v>0</v>
      </c>
      <c r="AI54" s="31">
        <f t="shared" si="0"/>
        <v>0.67598999999999998</v>
      </c>
      <c r="AJ54" s="31">
        <f t="shared" si="1"/>
        <v>0.67598999999999998</v>
      </c>
      <c r="AK54" s="31">
        <f>IF(ISERROR(1/VLOOKUP($B54,Leveranser!$B$1:$S$499,MATCH("Såld värme (GWh)",Leveranser!$B$1:$S$1,0),FALSE)),"",VLOOKUP($B54,Leveranser!$B$1:$S$499,MATCH("Såld värme (GWh)",Leveranser!$B$1:$S$1,0),FALSE))</f>
        <v>0.47299999999999998</v>
      </c>
      <c r="AL54" s="31">
        <f>VLOOKUP($B54,Leveranser!$B$1:$Y$499,MATCH("Totalt såld fjärrvärme till andra fjärrvärmeföretag",Leveranser!$B$1:$AA$1,0),FALSE)</f>
        <v>0</v>
      </c>
      <c r="AM54" s="31">
        <f>IF(ISERROR(1/VLOOKUP($B54,Miljö!$B$1:$S$500,MATCH("Såld mängd produktionsspecifik fjärrvärme (GWh)",Miljö!$B$1:$R$1,0),FALSE)),0,VLOOKUP($B54,Miljö!$B$1:$S$500,MATCH("Såld mängd produktionsspecifik fjärrvärme (GWh)",Miljö!$B$1:$R$1,0),FALSE))</f>
        <v>0</v>
      </c>
      <c r="AN54" s="32">
        <f t="shared" si="2"/>
        <v>0.69971449281794107</v>
      </c>
      <c r="AP54" s="31" t="str">
        <f>IFERROR(VLOOKUP($B54,Miljövärden!$B$2:$H$550,7,FALSE),"Nej, saknas")</f>
        <v>Ja</v>
      </c>
      <c r="AQ54" s="31" t="str">
        <f>IFERROR(VLOOKUP($B54,Miljövärden!$B$2:$H$551,6,FALSE),"Nej, saknas")</f>
        <v>Nej</v>
      </c>
      <c r="AU54" s="31">
        <f t="shared" si="3"/>
        <v>1.4189999999999999E-2</v>
      </c>
      <c r="AV54" s="31">
        <f t="shared" si="4"/>
        <v>0</v>
      </c>
      <c r="AW54" s="31">
        <f t="shared" si="5"/>
        <v>0</v>
      </c>
      <c r="AX54" s="31">
        <f t="shared" si="6"/>
        <v>0.57999999999999996</v>
      </c>
      <c r="AZ54" s="31">
        <f t="shared" si="7"/>
        <v>0.57999999999999996</v>
      </c>
      <c r="BC54" s="31">
        <f t="shared" si="8"/>
        <v>8.1799999999999998E-2</v>
      </c>
      <c r="BD54" s="31">
        <f t="shared" si="9"/>
        <v>0</v>
      </c>
      <c r="BE54" s="31">
        <f t="shared" si="10"/>
        <v>0.57999999999999996</v>
      </c>
      <c r="BF54" s="31">
        <f t="shared" si="11"/>
        <v>0</v>
      </c>
      <c r="BG54" s="31">
        <f t="shared" si="12"/>
        <v>1.4189999999999999E-2</v>
      </c>
      <c r="BH54" s="31">
        <f>VLOOKUP(B54,Miljö!$B$1:$BX$482,MATCH("Fossilandel för ursprungspecificerad el ()",Miljö!$B$1:$I$1,0),FALSE)</f>
        <v>0.35</v>
      </c>
      <c r="BI54" s="31">
        <f>VLOOKUP(B54,Miljö!$B$1:$BX$482,MATCH("Kärnkraftsandel för ursprungsspecificerad el ()",Miljö!$B$1:$O$1,0),FALSE)</f>
        <v>0.3977</v>
      </c>
      <c r="BJ54" s="31">
        <f t="shared" si="13"/>
        <v>0</v>
      </c>
      <c r="BK54" s="31" t="str">
        <f>VLOOKUP(B54,Miljö!$B$1:$P$482,MATCH("Fossil andel i procent (%)",Miljö!$B$1:$P$1,0),FALSE)</f>
        <v>ET</v>
      </c>
      <c r="BL54" s="31">
        <f t="shared" si="14"/>
        <v>0.67598999999999998</v>
      </c>
      <c r="BO54" s="32">
        <f t="shared" si="22"/>
        <v>0.12835470938919213</v>
      </c>
      <c r="BP54" s="32">
        <f t="shared" si="15"/>
        <v>8.348293613810856E-3</v>
      </c>
      <c r="BQ54" s="32">
        <f t="shared" si="16"/>
        <v>0.86329699699699702</v>
      </c>
      <c r="BR54" s="32">
        <f t="shared" si="17"/>
        <v>0</v>
      </c>
      <c r="BT54" s="62">
        <f t="shared" si="18"/>
        <v>1</v>
      </c>
      <c r="BW54" s="32">
        <f>IF(AP54="Ja",VLOOKUP(B54,Miljövärden!$B$2:$H$551,MATCH("Total andel fossilt",Miljövärden!$B$2:$H$2,0),FALSE),"")</f>
        <v>0.128355</v>
      </c>
      <c r="BX54" s="62">
        <f t="shared" si="19"/>
        <v>2.906108078626346E-7</v>
      </c>
      <c r="BZ54" s="31">
        <f t="shared" si="20"/>
        <v>2.906108078626346E-7</v>
      </c>
      <c r="CA54" s="32">
        <f t="shared" si="21"/>
        <v>0</v>
      </c>
    </row>
    <row r="55" spans="1:79" x14ac:dyDescent="0.45">
      <c r="A55" s="31" t="s">
        <v>610</v>
      </c>
      <c r="B55" s="31" t="s">
        <v>613</v>
      </c>
      <c r="C55" s="31">
        <f>VLOOKUP($B55,'Tillförd energi'!$B$1:$AI$720,MATCH(C$1,'Tillförd energi'!$B$1:$AQ$1,0),FALSE)</f>
        <v>28.180499999999999</v>
      </c>
      <c r="D55" s="31">
        <f>VLOOKUP($B55,'Tillförd energi'!$B$1:$AI$720,MATCH(D$1,'Tillförd energi'!$B$1:$AQ$1,0),FALSE)</f>
        <v>9.0617400000000004</v>
      </c>
      <c r="E55" s="31">
        <f>VLOOKUP($B55,'Tillförd energi'!$B$1:$AI$720,MATCH(E$1,'Tillförd energi'!$B$1:$AQ$1,0),FALSE)</f>
        <v>0</v>
      </c>
      <c r="F55" s="31">
        <f>VLOOKUP($B55,'Tillförd energi'!$B$1:$AI$720,MATCH(F$1,'Tillförd energi'!$B$1:$AQ$1,0),FALSE)</f>
        <v>13</v>
      </c>
      <c r="G55" s="31">
        <f>VLOOKUP($B55,'Tillförd energi'!$B$1:$AI$720,MATCH(G$1,'Tillförd energi'!$B$1:$AQ$1,0),FALSE)</f>
        <v>0</v>
      </c>
      <c r="H55" s="31">
        <f>VLOOKUP($B55,'Tillförd energi'!$B$1:$AI$720,MATCH(H$1,'Tillförd energi'!$B$1:$AQ$1,0),FALSE)</f>
        <v>0</v>
      </c>
      <c r="I55" s="31">
        <f>VLOOKUP($B55,'Tillförd energi'!$B$1:$AI$720,MATCH(I$1,'Tillförd energi'!$B$1:$AQ$1,0),FALSE)</f>
        <v>670.90899999999999</v>
      </c>
      <c r="J55" s="31">
        <f>VLOOKUP($B55,'Tillförd energi'!$B$1:$AI$720,MATCH(J$1,'Tillförd energi'!$B$1:$AQ$1,0),FALSE)</f>
        <v>0</v>
      </c>
      <c r="K55" s="31">
        <f>VLOOKUP($B55,'Tillförd energi'!$B$1:$AI$720,MATCH(K$1,'Tillförd energi'!$B$1:$AQ$1,0),FALSE)</f>
        <v>0</v>
      </c>
      <c r="L55" s="31">
        <f>VLOOKUP($B55,'Tillförd energi'!$B$1:$AI$720,MATCH(L$1,'Tillförd energi'!$B$1:$AQ$1,0),FALSE)</f>
        <v>43.002200000000002</v>
      </c>
      <c r="M55" s="31">
        <f>VLOOKUP($B55,'Tillförd energi'!$B$1:$AI$720,MATCH(M$1,'Tillförd energi'!$B$1:$AQ$1,0),FALSE)</f>
        <v>0</v>
      </c>
      <c r="N55" s="31">
        <f>VLOOKUP($B55,'Tillförd energi'!$B$1:$AI$720,MATCH(N$1,'Tillförd energi'!$B$1:$AQ$1,0),FALSE)</f>
        <v>31.051500000000001</v>
      </c>
      <c r="O55" s="31">
        <f>VLOOKUP($B55,'Tillförd energi'!$B$1:$AI$720,MATCH(O$1,'Tillförd energi'!$B$1:$AQ$1,0),FALSE)</f>
        <v>0</v>
      </c>
      <c r="P55" s="31">
        <f>VLOOKUP($B55,'Tillförd energi'!$B$1:$AI$720,MATCH(P$1,'Tillförd energi'!$B$1:$AQ$1,0),FALSE)</f>
        <v>0</v>
      </c>
      <c r="Q55" s="31">
        <f>VLOOKUP($B55,'Tillförd energi'!$B$1:$AI$720,MATCH(Q$1,'Tillförd energi'!$B$1:$AQ$1,0),FALSE)</f>
        <v>0</v>
      </c>
      <c r="R55" s="31">
        <f>VLOOKUP($B55,'Tillförd energi'!$B$1:$AI$720,MATCH(R$1,'Tillförd energi'!$B$1:$AQ$1,0),FALSE)</f>
        <v>0</v>
      </c>
      <c r="S55" s="31">
        <f>VLOOKUP($B55,'Tillförd energi'!$B$1:$AI$720,MATCH(S$1,'Tillförd energi'!$B$1:$AQ$1,0),FALSE)</f>
        <v>0</v>
      </c>
      <c r="T55" s="31">
        <f>VLOOKUP($B55,'Tillförd energi'!$B$1:$AI$720,MATCH(T$1,'Tillförd energi'!$B$1:$AQ$1,0),FALSE)</f>
        <v>0</v>
      </c>
      <c r="U55" s="31">
        <f>VLOOKUP($B55,'Tillförd energi'!$B$1:$AI$720,MATCH(U$1,'Tillförd energi'!$B$1:$AQ$1,0),FALSE)</f>
        <v>0</v>
      </c>
      <c r="V55" s="31">
        <f>VLOOKUP($B55,'Tillförd energi'!$B$1:$AI$720,MATCH(V$1,'Tillförd energi'!$B$1:$AQ$1,0),FALSE)</f>
        <v>0</v>
      </c>
      <c r="W55" s="31">
        <f>VLOOKUP($B55,'Tillförd energi'!$B$1:$AI$720,MATCH(W$1,'Tillförd energi'!$B$1:$AQ$1,0),FALSE)</f>
        <v>9.8000000000000007</v>
      </c>
      <c r="X55" s="31">
        <f>VLOOKUP($B55,'Tillförd energi'!$B$1:$AI$720,MATCH(X$1,'Tillförd energi'!$B$1:$AQ$1,0),FALSE)</f>
        <v>0</v>
      </c>
      <c r="Y55" s="31">
        <f>VLOOKUP($B55,'Tillförd energi'!$B$1:$AI$720,MATCH(Y$1,'Tillförd energi'!$B$1:$AQ$1,0),FALSE)</f>
        <v>0</v>
      </c>
      <c r="Z55" s="31">
        <f>VLOOKUP($B55,'Tillförd energi'!$B$1:$AI$720,MATCH(Z$1,'Tillförd energi'!$B$1:$AQ$1,0),FALSE)</f>
        <v>0</v>
      </c>
      <c r="AA55" s="31">
        <f>VLOOKUP($B55,'Tillförd energi'!$B$1:$AI$720,MATCH(AA$1,'Tillförd energi'!$B$1:$AQ$1,0),FALSE)</f>
        <v>0</v>
      </c>
      <c r="AB55" s="31">
        <f>VLOOKUP($B55,'Tillförd energi'!$B$1:$AI$720,MATCH(AB$1,'Tillförd energi'!$B$1:$AQ$1,0),FALSE)</f>
        <v>0</v>
      </c>
      <c r="AC55" s="31">
        <f>VLOOKUP($B55,'Tillförd energi'!$B$1:$AI$720,MATCH(AC$1,'Tillförd energi'!$B$1:$AQ$1,0),FALSE)</f>
        <v>69.599999999999994</v>
      </c>
      <c r="AD55" s="31">
        <f>VLOOKUP($B55,'Tillförd energi'!$B$1:$AI$720,MATCH(AD$1,'Tillförd energi'!$B$1:$AQ$1,0),FALSE)</f>
        <v>0</v>
      </c>
      <c r="AE55" s="31">
        <f>VLOOKUP($B55,'Tillförd energi'!$B$1:$AI$720,MATCH(AE$1,'Tillförd energi'!$B$1:$AQ$1,0),FALSE)</f>
        <v>0</v>
      </c>
      <c r="AF55" s="31">
        <f>VLOOKUP($B55,'Tillförd energi'!$B$1:$AI$720,MATCH(AF$1,'Tillförd energi'!$B$1:$AQ$1,0),FALSE)</f>
        <v>37.8142</v>
      </c>
      <c r="AG55" s="31">
        <f>IFERROR(VLOOKUP(B55,Miljö!$B$1:$AC$550,MATCH("Köpt mängd produktionsspecifik fjärrvärme:",Miljö!$B$1:$AC$1,0),FALSE)/1,0)</f>
        <v>0</v>
      </c>
      <c r="AI55" s="31">
        <f t="shared" si="0"/>
        <v>912.41914000000008</v>
      </c>
      <c r="AJ55" s="31">
        <f t="shared" si="1"/>
        <v>912.41914000000008</v>
      </c>
      <c r="AK55" s="31">
        <f>IF(ISERROR(1/VLOOKUP($B55,Leveranser!$B$1:$S$499,MATCH("Såld värme (GWh)",Leveranser!$B$1:$S$1,0),FALSE)),"",VLOOKUP($B55,Leveranser!$B$1:$S$499,MATCH("Såld värme (GWh)",Leveranser!$B$1:$S$1,0),FALSE))</f>
        <v>879</v>
      </c>
      <c r="AL55" s="31">
        <f>VLOOKUP($B55,Leveranser!$B$1:$Y$499,MATCH("Totalt såld fjärrvärme till andra fjärrvärmeföretag",Leveranser!$B$1:$AA$1,0),FALSE)</f>
        <v>0</v>
      </c>
      <c r="AM55" s="31">
        <f>IF(ISERROR(1/VLOOKUP($B55,Miljö!$B$1:$S$500,MATCH("Såld mängd produktionsspecifik fjärrvärme (GWh)",Miljö!$B$1:$R$1,0),FALSE)),0,VLOOKUP($B55,Miljö!$B$1:$S$500,MATCH("Såld mängd produktionsspecifik fjärrvärme (GWh)",Miljö!$B$1:$R$1,0),FALSE))</f>
        <v>0</v>
      </c>
      <c r="AN55" s="32">
        <f t="shared" si="2"/>
        <v>0.96337303928104789</v>
      </c>
      <c r="AP55" s="31" t="str">
        <f>IFERROR(VLOOKUP($B55,Miljövärden!$B$2:$H$550,7,FALSE),"Nej, saknas")</f>
        <v>Ja</v>
      </c>
      <c r="AQ55" s="31" t="str">
        <f>IFERROR(VLOOKUP($B55,Miljövärden!$B$2:$H$551,6,FALSE),"Nej, saknas")</f>
        <v>Ja</v>
      </c>
      <c r="AU55" s="31">
        <f t="shared" si="3"/>
        <v>37.8142</v>
      </c>
      <c r="AV55" s="31">
        <f t="shared" si="4"/>
        <v>0</v>
      </c>
      <c r="AW55" s="31">
        <f t="shared" si="5"/>
        <v>31.051500000000001</v>
      </c>
      <c r="AX55" s="31">
        <f t="shared" si="6"/>
        <v>0</v>
      </c>
      <c r="AZ55" s="31">
        <f t="shared" si="7"/>
        <v>83.853700000000003</v>
      </c>
      <c r="BC55" s="31">
        <f t="shared" si="8"/>
        <v>50.242239999999995</v>
      </c>
      <c r="BD55" s="31">
        <f t="shared" si="9"/>
        <v>0</v>
      </c>
      <c r="BE55" s="31">
        <f t="shared" si="10"/>
        <v>40.851500000000001</v>
      </c>
      <c r="BF55" s="31">
        <f t="shared" si="11"/>
        <v>783.51120000000003</v>
      </c>
      <c r="BG55" s="31">
        <f t="shared" si="12"/>
        <v>37.8142</v>
      </c>
      <c r="BH55" s="31">
        <f>VLOOKUP(B55,Miljö!$B$1:$BX$482,MATCH("Fossilandel för ursprungspecificerad el ()",Miljö!$B$1:$I$1,0),FALSE)</f>
        <v>0.35</v>
      </c>
      <c r="BI55" s="31">
        <f>VLOOKUP(B55,Miljö!$B$1:$BX$482,MATCH("Kärnkraftsandel för ursprungsspecificerad el ()",Miljö!$B$1:$O$1,0),FALSE)</f>
        <v>0.3977</v>
      </c>
      <c r="BJ55" s="31">
        <f t="shared" si="13"/>
        <v>0</v>
      </c>
      <c r="BK55" s="31" t="str">
        <f>VLOOKUP(B55,Miljö!$B$1:$P$482,MATCH("Fossil andel i procent (%)",Miljö!$B$1:$P$1,0),FALSE)</f>
        <v>ET</v>
      </c>
      <c r="BL55" s="31">
        <f>SUM(BC55:BG55,BJ55)</f>
        <v>912.41914000000008</v>
      </c>
      <c r="BO55" s="32">
        <f t="shared" si="22"/>
        <v>6.9570230628875213E-2</v>
      </c>
      <c r="BP55" s="32">
        <f t="shared" si="15"/>
        <v>1.6482235718992041E-2</v>
      </c>
      <c r="BQ55" s="32">
        <f t="shared" si="16"/>
        <v>5.5229028470402314E-2</v>
      </c>
      <c r="BR55" s="32">
        <f t="shared" si="17"/>
        <v>0.85871850518173032</v>
      </c>
      <c r="BT55" s="62">
        <f t="shared" si="18"/>
        <v>0.99999999999999989</v>
      </c>
      <c r="BW55" s="32">
        <f>IF(AP55="Ja",VLOOKUP(B55,Miljövärden!$B$2:$H$551,MATCH("Total andel fossilt",Miljövärden!$B$2:$H$2,0),FALSE),"")</f>
        <v>6.9570199999999999E-2</v>
      </c>
      <c r="BX55" s="62">
        <f t="shared" si="19"/>
        <v>-3.0628875213878359E-8</v>
      </c>
      <c r="BZ55" s="31">
        <f t="shared" si="20"/>
        <v>-3.0628875213878359E-8</v>
      </c>
      <c r="CA55" s="32">
        <f t="shared" si="21"/>
        <v>0</v>
      </c>
    </row>
    <row r="56" spans="1:79" hidden="1" x14ac:dyDescent="0.45">
      <c r="A56" s="31" t="s">
        <v>610</v>
      </c>
      <c r="B56" s="31" t="s">
        <v>621</v>
      </c>
      <c r="C56" s="31">
        <f>VLOOKUP($B56,'Tillförd energi'!$B$1:$AI$720,MATCH(C$1,'Tillförd energi'!$B$1:$AQ$1,0),FALSE)</f>
        <v>0</v>
      </c>
      <c r="D56" s="31">
        <f>VLOOKUP($B56,'Tillförd energi'!$B$1:$AI$720,MATCH(D$1,'Tillförd energi'!$B$1:$AQ$1,0),FALSE)</f>
        <v>0</v>
      </c>
      <c r="E56" s="31">
        <f>VLOOKUP($B56,'Tillförd energi'!$B$1:$AI$720,MATCH(E$1,'Tillförd energi'!$B$1:$AQ$1,0),FALSE)</f>
        <v>0</v>
      </c>
      <c r="F56" s="31">
        <f>VLOOKUP($B56,'Tillförd energi'!$B$1:$AI$720,MATCH(F$1,'Tillförd energi'!$B$1:$AQ$1,0),FALSE)</f>
        <v>0</v>
      </c>
      <c r="G56" s="31">
        <f>VLOOKUP($B56,'Tillförd energi'!$B$1:$AI$720,MATCH(G$1,'Tillförd energi'!$B$1:$AQ$1,0),FALSE)</f>
        <v>0</v>
      </c>
      <c r="H56" s="31">
        <f>VLOOKUP($B56,'Tillförd energi'!$B$1:$AI$720,MATCH(H$1,'Tillförd energi'!$B$1:$AQ$1,0),FALSE)</f>
        <v>0</v>
      </c>
      <c r="I56" s="31">
        <f>VLOOKUP($B56,'Tillförd energi'!$B$1:$AI$720,MATCH(I$1,'Tillförd energi'!$B$1:$AQ$1,0),FALSE)</f>
        <v>0</v>
      </c>
      <c r="J56" s="31">
        <f>VLOOKUP($B56,'Tillförd energi'!$B$1:$AI$720,MATCH(J$1,'Tillförd energi'!$B$1:$AQ$1,0),FALSE)</f>
        <v>0</v>
      </c>
      <c r="K56" s="31">
        <f>VLOOKUP($B56,'Tillförd energi'!$B$1:$AI$720,MATCH(K$1,'Tillförd energi'!$B$1:$AQ$1,0),FALSE)</f>
        <v>0</v>
      </c>
      <c r="L56" s="31">
        <f>VLOOKUP($B56,'Tillförd energi'!$B$1:$AI$720,MATCH(L$1,'Tillförd energi'!$B$1:$AQ$1,0),FALSE)</f>
        <v>0</v>
      </c>
      <c r="M56" s="31">
        <f>VLOOKUP($B56,'Tillförd energi'!$B$1:$AI$720,MATCH(M$1,'Tillförd energi'!$B$1:$AQ$1,0),FALSE)</f>
        <v>0</v>
      </c>
      <c r="N56" s="31">
        <f>VLOOKUP($B56,'Tillförd energi'!$B$1:$AI$720,MATCH(N$1,'Tillförd energi'!$B$1:$AQ$1,0),FALSE)</f>
        <v>0</v>
      </c>
      <c r="O56" s="31">
        <f>VLOOKUP($B56,'Tillförd energi'!$B$1:$AI$720,MATCH(O$1,'Tillförd energi'!$B$1:$AQ$1,0),FALSE)</f>
        <v>0</v>
      </c>
      <c r="P56" s="31">
        <f>VLOOKUP($B56,'Tillförd energi'!$B$1:$AI$720,MATCH(P$1,'Tillförd energi'!$B$1:$AQ$1,0),FALSE)</f>
        <v>0</v>
      </c>
      <c r="Q56" s="31">
        <f>VLOOKUP($B56,'Tillförd energi'!$B$1:$AI$720,MATCH(Q$1,'Tillförd energi'!$B$1:$AQ$1,0),FALSE)</f>
        <v>0</v>
      </c>
      <c r="R56" s="31">
        <f>VLOOKUP($B56,'Tillförd energi'!$B$1:$AI$720,MATCH(R$1,'Tillförd energi'!$B$1:$AQ$1,0),FALSE)</f>
        <v>0</v>
      </c>
      <c r="S56" s="31">
        <f>VLOOKUP($B56,'Tillförd energi'!$B$1:$AI$720,MATCH(S$1,'Tillförd energi'!$B$1:$AQ$1,0),FALSE)</f>
        <v>0</v>
      </c>
      <c r="T56" s="31">
        <f>VLOOKUP($B56,'Tillförd energi'!$B$1:$AI$720,MATCH(T$1,'Tillförd energi'!$B$1:$AQ$1,0),FALSE)</f>
        <v>0</v>
      </c>
      <c r="U56" s="31">
        <f>VLOOKUP($B56,'Tillförd energi'!$B$1:$AI$720,MATCH(U$1,'Tillförd energi'!$B$1:$AQ$1,0),FALSE)</f>
        <v>0</v>
      </c>
      <c r="V56" s="31">
        <f>VLOOKUP($B56,'Tillförd energi'!$B$1:$AI$720,MATCH(V$1,'Tillförd energi'!$B$1:$AQ$1,0),FALSE)</f>
        <v>0</v>
      </c>
      <c r="W56" s="31">
        <f>VLOOKUP($B56,'Tillförd energi'!$B$1:$AI$720,MATCH(W$1,'Tillförd energi'!$B$1:$AQ$1,0),FALSE)</f>
        <v>0</v>
      </c>
      <c r="X56" s="31">
        <f>VLOOKUP($B56,'Tillförd energi'!$B$1:$AI$720,MATCH(X$1,'Tillförd energi'!$B$1:$AQ$1,0),FALSE)</f>
        <v>0</v>
      </c>
      <c r="Y56" s="31">
        <f>VLOOKUP($B56,'Tillförd energi'!$B$1:$AI$720,MATCH(Y$1,'Tillförd energi'!$B$1:$AQ$1,0),FALSE)</f>
        <v>0</v>
      </c>
      <c r="Z56" s="31">
        <f>VLOOKUP($B56,'Tillförd energi'!$B$1:$AI$720,MATCH(Z$1,'Tillförd energi'!$B$1:$AQ$1,0),FALSE)</f>
        <v>0</v>
      </c>
      <c r="AA56" s="31">
        <f>VLOOKUP($B56,'Tillförd energi'!$B$1:$AI$720,MATCH(AA$1,'Tillförd energi'!$B$1:$AQ$1,0),FALSE)</f>
        <v>0</v>
      </c>
      <c r="AB56" s="31">
        <f>VLOOKUP($B56,'Tillförd energi'!$B$1:$AI$720,MATCH(AB$1,'Tillförd energi'!$B$1:$AQ$1,0),FALSE)</f>
        <v>0</v>
      </c>
      <c r="AC56" s="31">
        <f>VLOOKUP($B56,'Tillförd energi'!$B$1:$AI$720,MATCH(AC$1,'Tillförd energi'!$B$1:$AQ$1,0),FALSE)</f>
        <v>0</v>
      </c>
      <c r="AD56" s="31">
        <f>VLOOKUP($B56,'Tillförd energi'!$B$1:$AI$720,MATCH(AD$1,'Tillförd energi'!$B$1:$AQ$1,0),FALSE)</f>
        <v>0</v>
      </c>
      <c r="AE56" s="31">
        <f>VLOOKUP($B56,'Tillförd energi'!$B$1:$AI$720,MATCH(AE$1,'Tillförd energi'!$B$1:$AQ$1,0),FALSE)</f>
        <v>0</v>
      </c>
      <c r="AF56" s="31">
        <f>VLOOKUP($B56,'Tillförd energi'!$B$1:$AI$720,MATCH(AF$1,'Tillförd energi'!$B$1:$AQ$1,0),FALSE)</f>
        <v>0</v>
      </c>
      <c r="AG56" s="31">
        <f>IFERROR(VLOOKUP(B56,Miljö!$B$1:$AC$550,MATCH("Köpt mängd produktionsspecifik fjärrvärme:",Miljö!$B$1:$AC$1,0),FALSE)/1,0)</f>
        <v>0</v>
      </c>
      <c r="AI56" s="31">
        <f t="shared" si="0"/>
        <v>0</v>
      </c>
      <c r="AJ56" s="31">
        <f t="shared" si="1"/>
        <v>0</v>
      </c>
      <c r="AK56" s="31" t="str">
        <f>IF(ISERROR(1/VLOOKUP($B56,Leveranser!$B$1:$S$499,MATCH("Såld värme (GWh)",Leveranser!$B$1:$S$1,0),FALSE)),"",VLOOKUP($B56,Leveranser!$B$1:$S$499,MATCH("Såld värme (GWh)",Leveranser!$B$1:$S$1,0),FALSE))</f>
        <v/>
      </c>
      <c r="AL56" s="31">
        <f>VLOOKUP($B56,Leveranser!$B$1:$Y$499,MATCH("Totalt såld fjärrvärme till andra fjärrvärmeföretag",Leveranser!$B$1:$AA$1,0),FALSE)</f>
        <v>0</v>
      </c>
      <c r="AM56" s="31">
        <f>IF(ISERROR(1/VLOOKUP($B56,Miljö!$B$1:$S$500,MATCH("Såld mängd produktionsspecifik fjärrvärme (GWh)",Miljö!$B$1:$R$1,0),FALSE)),0,VLOOKUP($B56,Miljö!$B$1:$S$500,MATCH("Såld mängd produktionsspecifik fjärrvärme (GWh)",Miljö!$B$1:$R$1,0),FALSE))</f>
        <v>0</v>
      </c>
      <c r="AN56" s="32" t="str">
        <f t="shared" si="2"/>
        <v/>
      </c>
      <c r="AP56" s="31" t="str">
        <f>IFERROR(VLOOKUP($B56,Miljövärden!$B$2:$H$550,7,FALSE),"Nej, saknas")</f>
        <v>Nej</v>
      </c>
      <c r="AQ56" s="31" t="str">
        <f>IFERROR(VLOOKUP($B56,Miljövärden!$B$2:$H$551,6,FALSE),"Nej, saknas")</f>
        <v>Nej</v>
      </c>
      <c r="AU56" s="31">
        <f t="shared" si="3"/>
        <v>0</v>
      </c>
      <c r="AV56" s="31">
        <f t="shared" si="4"/>
        <v>0</v>
      </c>
      <c r="AW56" s="31">
        <f t="shared" si="5"/>
        <v>0</v>
      </c>
      <c r="AX56" s="31">
        <f t="shared" si="6"/>
        <v>0</v>
      </c>
      <c r="AZ56" s="31">
        <f t="shared" si="7"/>
        <v>0</v>
      </c>
      <c r="BC56" s="31">
        <f t="shared" si="8"/>
        <v>0</v>
      </c>
      <c r="BD56" s="31">
        <f t="shared" si="9"/>
        <v>0</v>
      </c>
      <c r="BE56" s="31">
        <f t="shared" si="10"/>
        <v>0</v>
      </c>
      <c r="BF56" s="31">
        <f t="shared" si="11"/>
        <v>0</v>
      </c>
      <c r="BG56" s="31">
        <f t="shared" si="12"/>
        <v>0</v>
      </c>
      <c r="BH56" s="31">
        <f>VLOOKUP(B56,Miljö!$B$1:$BX$482,MATCH("Fossilandel för ursprungspecificerad el ()",Miljö!$B$1:$I$1,0),FALSE)</f>
        <v>0.35</v>
      </c>
      <c r="BI56" s="31">
        <f>VLOOKUP(B56,Miljö!$B$1:$BX$482,MATCH("Kärnkraftsandel för ursprungsspecificerad el ()",Miljö!$B$1:$O$1,0),FALSE)</f>
        <v>0.3977</v>
      </c>
      <c r="BJ56" s="31">
        <f t="shared" si="13"/>
        <v>0</v>
      </c>
      <c r="BK56" s="31" t="str">
        <f>VLOOKUP(B56,Miljö!$B$1:$P$482,MATCH("Fossil andel i procent (%)",Miljö!$B$1:$P$1,0),FALSE)</f>
        <v>ET</v>
      </c>
      <c r="BL56" s="31">
        <f t="shared" si="14"/>
        <v>0</v>
      </c>
      <c r="BO56" s="32" t="str">
        <f t="shared" si="22"/>
        <v/>
      </c>
      <c r="BP56" s="32" t="str">
        <f t="shared" si="15"/>
        <v/>
      </c>
      <c r="BQ56" s="32" t="str">
        <f t="shared" si="16"/>
        <v/>
      </c>
      <c r="BR56" s="32" t="str">
        <f t="shared" si="17"/>
        <v/>
      </c>
      <c r="BT56" s="62">
        <f t="shared" si="18"/>
        <v>0</v>
      </c>
      <c r="BW56" s="32" t="str">
        <f>IF(AP56="Ja",VLOOKUP(B56,Miljövärden!$B$2:$H$551,MATCH("Total andel fossilt",Miljövärden!$B$2:$H$2,0),FALSE),"")</f>
        <v/>
      </c>
      <c r="BX56" s="62" t="e">
        <f t="shared" si="19"/>
        <v>#VALUE!</v>
      </c>
      <c r="BZ56" s="31" t="str">
        <f t="shared" si="20"/>
        <v/>
      </c>
      <c r="CA56" s="32" t="str">
        <f t="shared" si="21"/>
        <v/>
      </c>
    </row>
    <row r="57" spans="1:79" x14ac:dyDescent="0.45">
      <c r="A57" s="31" t="s">
        <v>610</v>
      </c>
      <c r="B57" s="31" t="s">
        <v>620</v>
      </c>
      <c r="C57" s="31">
        <f>VLOOKUP($B57,'Tillförd energi'!$B$1:$AI$720,MATCH(C$1,'Tillförd energi'!$B$1:$AQ$1,0),FALSE)</f>
        <v>0</v>
      </c>
      <c r="D57" s="31">
        <f>VLOOKUP($B57,'Tillförd energi'!$B$1:$AI$720,MATCH(D$1,'Tillförd energi'!$B$1:$AQ$1,0),FALSE)</f>
        <v>0.4</v>
      </c>
      <c r="E57" s="31">
        <f>VLOOKUP($B57,'Tillförd energi'!$B$1:$AI$720,MATCH(E$1,'Tillförd energi'!$B$1:$AQ$1,0),FALSE)</f>
        <v>0</v>
      </c>
      <c r="F57" s="31">
        <f>VLOOKUP($B57,'Tillförd energi'!$B$1:$AI$720,MATCH(F$1,'Tillförd energi'!$B$1:$AQ$1,0),FALSE)</f>
        <v>0</v>
      </c>
      <c r="G57" s="31">
        <f>VLOOKUP($B57,'Tillförd energi'!$B$1:$AI$720,MATCH(G$1,'Tillförd energi'!$B$1:$AQ$1,0),FALSE)</f>
        <v>0</v>
      </c>
      <c r="H57" s="31">
        <f>VLOOKUP($B57,'Tillförd energi'!$B$1:$AI$720,MATCH(H$1,'Tillförd energi'!$B$1:$AQ$1,0),FALSE)</f>
        <v>0</v>
      </c>
      <c r="I57" s="31">
        <f>VLOOKUP($B57,'Tillförd energi'!$B$1:$AI$720,MATCH(I$1,'Tillförd energi'!$B$1:$AQ$1,0),FALSE)</f>
        <v>0</v>
      </c>
      <c r="J57" s="31">
        <f>VLOOKUP($B57,'Tillförd energi'!$B$1:$AI$720,MATCH(J$1,'Tillförd energi'!$B$1:$AQ$1,0),FALSE)</f>
        <v>0</v>
      </c>
      <c r="K57" s="31">
        <f>VLOOKUP($B57,'Tillförd energi'!$B$1:$AI$720,MATCH(K$1,'Tillförd energi'!$B$1:$AQ$1,0),FALSE)</f>
        <v>0</v>
      </c>
      <c r="L57" s="31">
        <f>VLOOKUP($B57,'Tillförd energi'!$B$1:$AI$720,MATCH(L$1,'Tillförd energi'!$B$1:$AQ$1,0),FALSE)</f>
        <v>0</v>
      </c>
      <c r="M57" s="31">
        <f>VLOOKUP($B57,'Tillförd energi'!$B$1:$AI$720,MATCH(M$1,'Tillförd energi'!$B$1:$AQ$1,0),FALSE)</f>
        <v>0</v>
      </c>
      <c r="N57" s="31">
        <f>VLOOKUP($B57,'Tillförd energi'!$B$1:$AI$720,MATCH(N$1,'Tillförd energi'!$B$1:$AQ$1,0),FALSE)</f>
        <v>0</v>
      </c>
      <c r="O57" s="31">
        <f>VLOOKUP($B57,'Tillförd energi'!$B$1:$AI$720,MATCH(O$1,'Tillförd energi'!$B$1:$AQ$1,0),FALSE)</f>
        <v>0</v>
      </c>
      <c r="P57" s="31">
        <f>VLOOKUP($B57,'Tillförd energi'!$B$1:$AI$720,MATCH(P$1,'Tillförd energi'!$B$1:$AQ$1,0),FALSE)</f>
        <v>24.9</v>
      </c>
      <c r="Q57" s="31">
        <f>VLOOKUP($B57,'Tillförd energi'!$B$1:$AI$720,MATCH(Q$1,'Tillförd energi'!$B$1:$AQ$1,0),FALSE)</f>
        <v>0</v>
      </c>
      <c r="R57" s="31">
        <f>VLOOKUP($B57,'Tillförd energi'!$B$1:$AI$720,MATCH(R$1,'Tillförd energi'!$B$1:$AQ$1,0),FALSE)</f>
        <v>7.4</v>
      </c>
      <c r="S57" s="31">
        <f>VLOOKUP($B57,'Tillförd energi'!$B$1:$AI$720,MATCH(S$1,'Tillförd energi'!$B$1:$AQ$1,0),FALSE)</f>
        <v>0</v>
      </c>
      <c r="T57" s="31">
        <f>VLOOKUP($B57,'Tillförd energi'!$B$1:$AI$720,MATCH(T$1,'Tillförd energi'!$B$1:$AQ$1,0),FALSE)</f>
        <v>0</v>
      </c>
      <c r="U57" s="31">
        <f>VLOOKUP($B57,'Tillförd energi'!$B$1:$AI$720,MATCH(U$1,'Tillförd energi'!$B$1:$AQ$1,0),FALSE)</f>
        <v>0</v>
      </c>
      <c r="V57" s="31">
        <f>VLOOKUP($B57,'Tillförd energi'!$B$1:$AI$720,MATCH(V$1,'Tillförd energi'!$B$1:$AQ$1,0),FALSE)</f>
        <v>0</v>
      </c>
      <c r="W57" s="31">
        <f>VLOOKUP($B57,'Tillförd energi'!$B$1:$AI$720,MATCH(W$1,'Tillförd energi'!$B$1:$AQ$1,0),FALSE)</f>
        <v>1.8</v>
      </c>
      <c r="X57" s="31">
        <f>VLOOKUP($B57,'Tillförd energi'!$B$1:$AI$720,MATCH(X$1,'Tillförd energi'!$B$1:$AQ$1,0),FALSE)</f>
        <v>0</v>
      </c>
      <c r="Y57" s="31">
        <f>VLOOKUP($B57,'Tillförd energi'!$B$1:$AI$720,MATCH(Y$1,'Tillförd energi'!$B$1:$AQ$1,0),FALSE)</f>
        <v>0</v>
      </c>
      <c r="Z57" s="31">
        <f>VLOOKUP($B57,'Tillförd energi'!$B$1:$AI$720,MATCH(Z$1,'Tillförd energi'!$B$1:$AQ$1,0),FALSE)</f>
        <v>0</v>
      </c>
      <c r="AA57" s="31">
        <f>VLOOKUP($B57,'Tillförd energi'!$B$1:$AI$720,MATCH(AA$1,'Tillförd energi'!$B$1:$AQ$1,0),FALSE)</f>
        <v>0</v>
      </c>
      <c r="AB57" s="31">
        <f>VLOOKUP($B57,'Tillförd energi'!$B$1:$AI$720,MATCH(AB$1,'Tillförd energi'!$B$1:$AQ$1,0),FALSE)</f>
        <v>0</v>
      </c>
      <c r="AC57" s="31">
        <f>VLOOKUP($B57,'Tillförd energi'!$B$1:$AI$720,MATCH(AC$1,'Tillförd energi'!$B$1:$AQ$1,0),FALSE)</f>
        <v>0</v>
      </c>
      <c r="AD57" s="31">
        <f>VLOOKUP($B57,'Tillförd energi'!$B$1:$AI$720,MATCH(AD$1,'Tillförd energi'!$B$1:$AQ$1,0),FALSE)</f>
        <v>8.8000000000000007</v>
      </c>
      <c r="AE57" s="31">
        <f>VLOOKUP($B57,'Tillförd energi'!$B$1:$AI$720,MATCH(AE$1,'Tillförd energi'!$B$1:$AQ$1,0),FALSE)</f>
        <v>0</v>
      </c>
      <c r="AF57" s="31">
        <f>VLOOKUP($B57,'Tillförd energi'!$B$1:$AI$720,MATCH(AF$1,'Tillförd energi'!$B$1:$AQ$1,0),FALSE)</f>
        <v>1.07</v>
      </c>
      <c r="AG57" s="31">
        <f>IFERROR(VLOOKUP(B57,Miljö!$B$1:$AC$550,MATCH("Köpt mängd produktionsspecifik fjärrvärme:",Miljö!$B$1:$AC$1,0),FALSE)/1,0)</f>
        <v>0</v>
      </c>
      <c r="AI57" s="31">
        <f t="shared" si="0"/>
        <v>44.37</v>
      </c>
      <c r="AJ57" s="31">
        <f t="shared" si="1"/>
        <v>44.37</v>
      </c>
      <c r="AK57" s="31">
        <f>IF(ISERROR(1/VLOOKUP($B57,Leveranser!$B$1:$S$499,MATCH("Såld värme (GWh)",Leveranser!$B$1:$S$1,0),FALSE)),"",VLOOKUP($B57,Leveranser!$B$1:$S$499,MATCH("Såld värme (GWh)",Leveranser!$B$1:$S$1,0),FALSE))</f>
        <v>33.200000000000003</v>
      </c>
      <c r="AL57" s="31">
        <f>VLOOKUP($B57,Leveranser!$B$1:$Y$499,MATCH("Totalt såld fjärrvärme till andra fjärrvärmeföretag",Leveranser!$B$1:$AA$1,0),FALSE)</f>
        <v>0</v>
      </c>
      <c r="AM57" s="31">
        <f>IF(ISERROR(1/VLOOKUP($B57,Miljö!$B$1:$S$500,MATCH("Såld mängd produktionsspecifik fjärrvärme (GWh)",Miljö!$B$1:$R$1,0),FALSE)),0,VLOOKUP($B57,Miljö!$B$1:$S$500,MATCH("Såld mängd produktionsspecifik fjärrvärme (GWh)",Miljö!$B$1:$R$1,0),FALSE))</f>
        <v>0</v>
      </c>
      <c r="AN57" s="32">
        <f t="shared" si="2"/>
        <v>0.7482533243182331</v>
      </c>
      <c r="AP57" s="31" t="str">
        <f>IFERROR(VLOOKUP($B57,Miljövärden!$B$2:$H$550,7,FALSE),"Nej, saknas")</f>
        <v>Ja</v>
      </c>
      <c r="AQ57" s="31" t="str">
        <f>IFERROR(VLOOKUP($B57,Miljövärden!$B$2:$H$551,6,FALSE),"Nej, saknas")</f>
        <v>Ja</v>
      </c>
      <c r="AU57" s="31">
        <f t="shared" si="3"/>
        <v>1.07</v>
      </c>
      <c r="AV57" s="31">
        <f t="shared" si="4"/>
        <v>0</v>
      </c>
      <c r="AW57" s="31">
        <f t="shared" si="5"/>
        <v>24.9</v>
      </c>
      <c r="AX57" s="31">
        <f t="shared" si="6"/>
        <v>7.4</v>
      </c>
      <c r="AZ57" s="31">
        <f t="shared" si="7"/>
        <v>34.099999999999994</v>
      </c>
      <c r="BC57" s="31">
        <f t="shared" si="8"/>
        <v>0.4</v>
      </c>
      <c r="BD57" s="31">
        <f t="shared" si="9"/>
        <v>0</v>
      </c>
      <c r="BE57" s="31">
        <f t="shared" si="10"/>
        <v>34.099999999999994</v>
      </c>
      <c r="BF57" s="31">
        <f t="shared" si="11"/>
        <v>8.8000000000000007</v>
      </c>
      <c r="BG57" s="31">
        <f t="shared" si="12"/>
        <v>1.07</v>
      </c>
      <c r="BH57" s="31">
        <f>VLOOKUP(B57,Miljö!$B$1:$BX$482,MATCH("Fossilandel för ursprungspecificerad el ()",Miljö!$B$1:$I$1,0),FALSE)</f>
        <v>0.35</v>
      </c>
      <c r="BI57" s="31">
        <f>VLOOKUP(B57,Miljö!$B$1:$BX$482,MATCH("Kärnkraftsandel för ursprungsspecificerad el ()",Miljö!$B$1:$O$1,0),FALSE)</f>
        <v>0.3977</v>
      </c>
      <c r="BJ57" s="31">
        <f t="shared" si="13"/>
        <v>0</v>
      </c>
      <c r="BK57" s="31" t="str">
        <f>VLOOKUP(B57,Miljö!$B$1:$P$482,MATCH("Fossil andel i procent (%)",Miljö!$B$1:$P$1,0),FALSE)</f>
        <v>ET</v>
      </c>
      <c r="BL57" s="31">
        <f t="shared" si="14"/>
        <v>44.37</v>
      </c>
      <c r="BO57" s="32">
        <f t="shared" si="22"/>
        <v>1.7455487942303359E-2</v>
      </c>
      <c r="BP57" s="32">
        <f t="shared" si="15"/>
        <v>9.5906919089474869E-3</v>
      </c>
      <c r="BQ57" s="32">
        <f t="shared" si="16"/>
        <v>0.77462161370295246</v>
      </c>
      <c r="BR57" s="32">
        <f t="shared" si="17"/>
        <v>0.19833220644579674</v>
      </c>
      <c r="BT57" s="62">
        <f t="shared" si="18"/>
        <v>1</v>
      </c>
      <c r="BW57" s="32">
        <f>IF(AP57="Ja",VLOOKUP(B57,Miljövärden!$B$2:$H$551,MATCH("Total andel fossilt",Miljövärden!$B$2:$H$2,0),FALSE),"")</f>
        <v>1.7455499999999999E-2</v>
      </c>
      <c r="BX57" s="62">
        <f t="shared" si="19"/>
        <v>1.2057696639755644E-8</v>
      </c>
      <c r="BZ57" s="31">
        <f t="shared" si="20"/>
        <v>1.2057696639755644E-8</v>
      </c>
      <c r="CA57" s="32">
        <f t="shared" si="21"/>
        <v>0</v>
      </c>
    </row>
    <row r="58" spans="1:79" hidden="1" x14ac:dyDescent="0.45">
      <c r="A58" s="31" t="s">
        <v>610</v>
      </c>
      <c r="B58" s="31" t="s">
        <v>619</v>
      </c>
      <c r="C58" s="31">
        <f>VLOOKUP($B58,'Tillförd energi'!$B$1:$AI$720,MATCH(C$1,'Tillförd energi'!$B$1:$AQ$1,0),FALSE)</f>
        <v>0</v>
      </c>
      <c r="D58" s="31">
        <f>VLOOKUP($B58,'Tillförd energi'!$B$1:$AI$720,MATCH(D$1,'Tillförd energi'!$B$1:$AQ$1,0),FALSE)</f>
        <v>0</v>
      </c>
      <c r="E58" s="31">
        <f>VLOOKUP($B58,'Tillförd energi'!$B$1:$AI$720,MATCH(E$1,'Tillförd energi'!$B$1:$AQ$1,0),FALSE)</f>
        <v>0</v>
      </c>
      <c r="F58" s="31">
        <f>VLOOKUP($B58,'Tillförd energi'!$B$1:$AI$720,MATCH(F$1,'Tillförd energi'!$B$1:$AQ$1,0),FALSE)</f>
        <v>0</v>
      </c>
      <c r="G58" s="31">
        <f>VLOOKUP($B58,'Tillförd energi'!$B$1:$AI$720,MATCH(G$1,'Tillförd energi'!$B$1:$AQ$1,0),FALSE)</f>
        <v>0</v>
      </c>
      <c r="H58" s="31">
        <f>VLOOKUP($B58,'Tillförd energi'!$B$1:$AI$720,MATCH(H$1,'Tillförd energi'!$B$1:$AQ$1,0),FALSE)</f>
        <v>0</v>
      </c>
      <c r="I58" s="31">
        <f>VLOOKUP($B58,'Tillförd energi'!$B$1:$AI$720,MATCH(I$1,'Tillförd energi'!$B$1:$AQ$1,0),FALSE)</f>
        <v>0</v>
      </c>
      <c r="J58" s="31">
        <f>VLOOKUP($B58,'Tillförd energi'!$B$1:$AI$720,MATCH(J$1,'Tillförd energi'!$B$1:$AQ$1,0),FALSE)</f>
        <v>0</v>
      </c>
      <c r="K58" s="31">
        <f>VLOOKUP($B58,'Tillförd energi'!$B$1:$AI$720,MATCH(K$1,'Tillförd energi'!$B$1:$AQ$1,0),FALSE)</f>
        <v>0</v>
      </c>
      <c r="L58" s="31">
        <f>VLOOKUP($B58,'Tillförd energi'!$B$1:$AI$720,MATCH(L$1,'Tillförd energi'!$B$1:$AQ$1,0),FALSE)</f>
        <v>0</v>
      </c>
      <c r="M58" s="31">
        <f>VLOOKUP($B58,'Tillförd energi'!$B$1:$AI$720,MATCH(M$1,'Tillförd energi'!$B$1:$AQ$1,0),FALSE)</f>
        <v>0</v>
      </c>
      <c r="N58" s="31">
        <f>VLOOKUP($B58,'Tillförd energi'!$B$1:$AI$720,MATCH(N$1,'Tillförd energi'!$B$1:$AQ$1,0),FALSE)</f>
        <v>0</v>
      </c>
      <c r="O58" s="31">
        <f>VLOOKUP($B58,'Tillförd energi'!$B$1:$AI$720,MATCH(O$1,'Tillförd energi'!$B$1:$AQ$1,0),FALSE)</f>
        <v>0</v>
      </c>
      <c r="P58" s="31">
        <f>VLOOKUP($B58,'Tillförd energi'!$B$1:$AI$720,MATCH(P$1,'Tillförd energi'!$B$1:$AQ$1,0),FALSE)</f>
        <v>0</v>
      </c>
      <c r="Q58" s="31">
        <f>VLOOKUP($B58,'Tillförd energi'!$B$1:$AI$720,MATCH(Q$1,'Tillförd energi'!$B$1:$AQ$1,0),FALSE)</f>
        <v>0</v>
      </c>
      <c r="R58" s="31">
        <f>VLOOKUP($B58,'Tillförd energi'!$B$1:$AI$720,MATCH(R$1,'Tillförd energi'!$B$1:$AQ$1,0),FALSE)</f>
        <v>0</v>
      </c>
      <c r="S58" s="31">
        <f>VLOOKUP($B58,'Tillförd energi'!$B$1:$AI$720,MATCH(S$1,'Tillförd energi'!$B$1:$AQ$1,0),FALSE)</f>
        <v>0</v>
      </c>
      <c r="T58" s="31">
        <f>VLOOKUP($B58,'Tillförd energi'!$B$1:$AI$720,MATCH(T$1,'Tillförd energi'!$B$1:$AQ$1,0),FALSE)</f>
        <v>0</v>
      </c>
      <c r="U58" s="31">
        <f>VLOOKUP($B58,'Tillförd energi'!$B$1:$AI$720,MATCH(U$1,'Tillförd energi'!$B$1:$AQ$1,0),FALSE)</f>
        <v>0</v>
      </c>
      <c r="V58" s="31">
        <f>VLOOKUP($B58,'Tillförd energi'!$B$1:$AI$720,MATCH(V$1,'Tillförd energi'!$B$1:$AQ$1,0),FALSE)</f>
        <v>0</v>
      </c>
      <c r="W58" s="31">
        <f>VLOOKUP($B58,'Tillförd energi'!$B$1:$AI$720,MATCH(W$1,'Tillförd energi'!$B$1:$AQ$1,0),FALSE)</f>
        <v>0</v>
      </c>
      <c r="X58" s="31">
        <f>VLOOKUP($B58,'Tillförd energi'!$B$1:$AI$720,MATCH(X$1,'Tillförd energi'!$B$1:$AQ$1,0),FALSE)</f>
        <v>0</v>
      </c>
      <c r="Y58" s="31">
        <f>VLOOKUP($B58,'Tillförd energi'!$B$1:$AI$720,MATCH(Y$1,'Tillförd energi'!$B$1:$AQ$1,0),FALSE)</f>
        <v>0</v>
      </c>
      <c r="Z58" s="31">
        <f>VLOOKUP($B58,'Tillförd energi'!$B$1:$AI$720,MATCH(Z$1,'Tillförd energi'!$B$1:$AQ$1,0),FALSE)</f>
        <v>0</v>
      </c>
      <c r="AA58" s="31">
        <f>VLOOKUP($B58,'Tillförd energi'!$B$1:$AI$720,MATCH(AA$1,'Tillförd energi'!$B$1:$AQ$1,0),FALSE)</f>
        <v>0</v>
      </c>
      <c r="AB58" s="31">
        <f>VLOOKUP($B58,'Tillförd energi'!$B$1:$AI$720,MATCH(AB$1,'Tillförd energi'!$B$1:$AQ$1,0),FALSE)</f>
        <v>0</v>
      </c>
      <c r="AC58" s="31">
        <f>VLOOKUP($B58,'Tillförd energi'!$B$1:$AI$720,MATCH(AC$1,'Tillförd energi'!$B$1:$AQ$1,0),FALSE)</f>
        <v>0</v>
      </c>
      <c r="AD58" s="31">
        <f>VLOOKUP($B58,'Tillförd energi'!$B$1:$AI$720,MATCH(AD$1,'Tillförd energi'!$B$1:$AQ$1,0),FALSE)</f>
        <v>0</v>
      </c>
      <c r="AE58" s="31">
        <f>VLOOKUP($B58,'Tillförd energi'!$B$1:$AI$720,MATCH(AE$1,'Tillförd energi'!$B$1:$AQ$1,0),FALSE)</f>
        <v>0</v>
      </c>
      <c r="AF58" s="31">
        <f>VLOOKUP($B58,'Tillförd energi'!$B$1:$AI$720,MATCH(AF$1,'Tillförd energi'!$B$1:$AQ$1,0),FALSE)</f>
        <v>0</v>
      </c>
      <c r="AG58" s="31">
        <f>IFERROR(VLOOKUP(B58,Miljö!$B$1:$AC$550,MATCH("Köpt mängd produktionsspecifik fjärrvärme:",Miljö!$B$1:$AC$1,0),FALSE)/1,0)</f>
        <v>0</v>
      </c>
      <c r="AI58" s="31">
        <f t="shared" si="0"/>
        <v>0</v>
      </c>
      <c r="AJ58" s="31">
        <f t="shared" si="1"/>
        <v>0</v>
      </c>
      <c r="AK58" s="31" t="str">
        <f>IF(ISERROR(1/VLOOKUP($B58,Leveranser!$B$1:$S$499,MATCH("Såld värme (GWh)",Leveranser!$B$1:$S$1,0),FALSE)),"",VLOOKUP($B58,Leveranser!$B$1:$S$499,MATCH("Såld värme (GWh)",Leveranser!$B$1:$S$1,0),FALSE))</f>
        <v/>
      </c>
      <c r="AL58" s="31">
        <f>VLOOKUP($B58,Leveranser!$B$1:$Y$499,MATCH("Totalt såld fjärrvärme till andra fjärrvärmeföretag",Leveranser!$B$1:$AA$1,0),FALSE)</f>
        <v>0</v>
      </c>
      <c r="AM58" s="31">
        <f>IF(ISERROR(1/VLOOKUP($B58,Miljö!$B$1:$S$500,MATCH("Såld mängd produktionsspecifik fjärrvärme (GWh)",Miljö!$B$1:$R$1,0),FALSE)),0,VLOOKUP($B58,Miljö!$B$1:$S$500,MATCH("Såld mängd produktionsspecifik fjärrvärme (GWh)",Miljö!$B$1:$R$1,0),FALSE))</f>
        <v>0</v>
      </c>
      <c r="AN58" s="32" t="str">
        <f t="shared" si="2"/>
        <v/>
      </c>
      <c r="AP58" s="31" t="str">
        <f>IFERROR(VLOOKUP($B58,Miljövärden!$B$2:$H$550,7,FALSE),"Nej, saknas")</f>
        <v>Nej</v>
      </c>
      <c r="AQ58" s="31" t="str">
        <f>IFERROR(VLOOKUP($B58,Miljövärden!$B$2:$H$551,6,FALSE),"Nej, saknas")</f>
        <v>Nej</v>
      </c>
      <c r="AU58" s="31">
        <f t="shared" si="3"/>
        <v>0</v>
      </c>
      <c r="AV58" s="31">
        <f t="shared" si="4"/>
        <v>0</v>
      </c>
      <c r="AW58" s="31">
        <f t="shared" si="5"/>
        <v>0</v>
      </c>
      <c r="AX58" s="31">
        <f t="shared" si="6"/>
        <v>0</v>
      </c>
      <c r="AZ58" s="31">
        <f t="shared" si="7"/>
        <v>0</v>
      </c>
      <c r="BC58" s="31">
        <f t="shared" si="8"/>
        <v>0</v>
      </c>
      <c r="BD58" s="31">
        <f t="shared" si="9"/>
        <v>0</v>
      </c>
      <c r="BE58" s="31">
        <f t="shared" si="10"/>
        <v>0</v>
      </c>
      <c r="BF58" s="31">
        <f t="shared" si="11"/>
        <v>0</v>
      </c>
      <c r="BG58" s="31">
        <f t="shared" si="12"/>
        <v>0</v>
      </c>
      <c r="BH58" s="31">
        <f>VLOOKUP(B58,Miljö!$B$1:$BX$482,MATCH("Fossilandel för ursprungspecificerad el ()",Miljö!$B$1:$I$1,0),FALSE)</f>
        <v>0.35</v>
      </c>
      <c r="BI58" s="31">
        <f>VLOOKUP(B58,Miljö!$B$1:$BX$482,MATCH("Kärnkraftsandel för ursprungsspecificerad el ()",Miljö!$B$1:$O$1,0),FALSE)</f>
        <v>0.3977</v>
      </c>
      <c r="BJ58" s="31">
        <f t="shared" si="13"/>
        <v>0</v>
      </c>
      <c r="BK58" s="31" t="str">
        <f>VLOOKUP(B58,Miljö!$B$1:$P$482,MATCH("Fossil andel i procent (%)",Miljö!$B$1:$P$1,0),FALSE)</f>
        <v>ET</v>
      </c>
      <c r="BL58" s="31">
        <f t="shared" si="14"/>
        <v>0</v>
      </c>
      <c r="BO58" s="32" t="str">
        <f t="shared" si="22"/>
        <v/>
      </c>
      <c r="BP58" s="32" t="str">
        <f t="shared" si="15"/>
        <v/>
      </c>
      <c r="BQ58" s="32" t="str">
        <f t="shared" si="16"/>
        <v/>
      </c>
      <c r="BR58" s="32" t="str">
        <f t="shared" si="17"/>
        <v/>
      </c>
      <c r="BT58" s="62">
        <f t="shared" si="18"/>
        <v>0</v>
      </c>
      <c r="BW58" s="32" t="str">
        <f>IF(AP58="Ja",VLOOKUP(B58,Miljövärden!$B$2:$H$551,MATCH("Total andel fossilt",Miljövärden!$B$2:$H$2,0),FALSE),"")</f>
        <v/>
      </c>
      <c r="BX58" s="62" t="e">
        <f t="shared" si="19"/>
        <v>#VALUE!</v>
      </c>
      <c r="BZ58" s="31" t="str">
        <f t="shared" si="20"/>
        <v/>
      </c>
      <c r="CA58" s="32" t="str">
        <f t="shared" si="21"/>
        <v/>
      </c>
    </row>
    <row r="59" spans="1:79" x14ac:dyDescent="0.45">
      <c r="A59" s="31" t="s">
        <v>610</v>
      </c>
      <c r="B59" s="31" t="s">
        <v>618</v>
      </c>
      <c r="C59" s="31">
        <f>VLOOKUP($B59,'Tillförd energi'!$B$1:$AI$720,MATCH(C$1,'Tillförd energi'!$B$1:$AQ$1,0),FALSE)</f>
        <v>0.485095</v>
      </c>
      <c r="D59" s="31">
        <f>VLOOKUP($B59,'Tillförd energi'!$B$1:$AI$720,MATCH(D$1,'Tillförd energi'!$B$1:$AQ$1,0),FALSE)</f>
        <v>0.97783100000000001</v>
      </c>
      <c r="E59" s="31">
        <f>VLOOKUP($B59,'Tillförd energi'!$B$1:$AI$720,MATCH(E$1,'Tillförd energi'!$B$1:$AQ$1,0),FALSE)</f>
        <v>0</v>
      </c>
      <c r="F59" s="31">
        <f>VLOOKUP($B59,'Tillförd energi'!$B$1:$AI$720,MATCH(F$1,'Tillförd energi'!$B$1:$AQ$1,0),FALSE)</f>
        <v>15.253299999999999</v>
      </c>
      <c r="G59" s="31">
        <f>VLOOKUP($B59,'Tillförd energi'!$B$1:$AI$720,MATCH(G$1,'Tillförd energi'!$B$1:$AQ$1,0),FALSE)</f>
        <v>0</v>
      </c>
      <c r="H59" s="31">
        <f>VLOOKUP($B59,'Tillförd energi'!$B$1:$AI$720,MATCH(H$1,'Tillförd energi'!$B$1:$AQ$1,0),FALSE)</f>
        <v>0</v>
      </c>
      <c r="I59" s="31">
        <f>VLOOKUP($B59,'Tillförd energi'!$B$1:$AI$720,MATCH(I$1,'Tillförd energi'!$B$1:$AQ$1,0),FALSE)</f>
        <v>210.21700000000001</v>
      </c>
      <c r="J59" s="31">
        <f>VLOOKUP($B59,'Tillförd energi'!$B$1:$AI$720,MATCH(J$1,'Tillförd energi'!$B$1:$AQ$1,0),FALSE)</f>
        <v>0</v>
      </c>
      <c r="K59" s="31">
        <f>VLOOKUP($B59,'Tillförd energi'!$B$1:$AI$720,MATCH(K$1,'Tillförd energi'!$B$1:$AQ$1,0),FALSE)</f>
        <v>0</v>
      </c>
      <c r="L59" s="31">
        <f>VLOOKUP($B59,'Tillförd energi'!$B$1:$AI$720,MATCH(L$1,'Tillförd energi'!$B$1:$AQ$1,0),FALSE)</f>
        <v>0</v>
      </c>
      <c r="M59" s="31">
        <f>VLOOKUP($B59,'Tillförd energi'!$B$1:$AI$720,MATCH(M$1,'Tillförd energi'!$B$1:$AQ$1,0),FALSE)</f>
        <v>49.0426</v>
      </c>
      <c r="N59" s="31">
        <f>VLOOKUP($B59,'Tillförd energi'!$B$1:$AI$720,MATCH(N$1,'Tillförd energi'!$B$1:$AQ$1,0),FALSE)</f>
        <v>102.34099999999999</v>
      </c>
      <c r="O59" s="31">
        <f>VLOOKUP($B59,'Tillförd energi'!$B$1:$AI$720,MATCH(O$1,'Tillförd energi'!$B$1:$AQ$1,0),FALSE)</f>
        <v>98.6053</v>
      </c>
      <c r="P59" s="31">
        <f>VLOOKUP($B59,'Tillförd energi'!$B$1:$AI$720,MATCH(P$1,'Tillförd energi'!$B$1:$AQ$1,0),FALSE)</f>
        <v>108.773</v>
      </c>
      <c r="Q59" s="31">
        <f>VLOOKUP($B59,'Tillförd energi'!$B$1:$AI$720,MATCH(Q$1,'Tillförd energi'!$B$1:$AQ$1,0),FALSE)</f>
        <v>0</v>
      </c>
      <c r="R59" s="31">
        <f>VLOOKUP($B59,'Tillförd energi'!$B$1:$AI$720,MATCH(R$1,'Tillförd energi'!$B$1:$AQ$1,0),FALSE)</f>
        <v>0</v>
      </c>
      <c r="S59" s="31">
        <f>VLOOKUP($B59,'Tillförd energi'!$B$1:$AI$720,MATCH(S$1,'Tillförd energi'!$B$1:$AQ$1,0),FALSE)</f>
        <v>0</v>
      </c>
      <c r="T59" s="31">
        <f>VLOOKUP($B59,'Tillförd energi'!$B$1:$AI$720,MATCH(T$1,'Tillförd energi'!$B$1:$AQ$1,0),FALSE)</f>
        <v>0</v>
      </c>
      <c r="U59" s="31">
        <f>VLOOKUP($B59,'Tillförd energi'!$B$1:$AI$720,MATCH(U$1,'Tillförd energi'!$B$1:$AQ$1,0),FALSE)</f>
        <v>64.128900000000002</v>
      </c>
      <c r="V59" s="31">
        <f>VLOOKUP($B59,'Tillförd energi'!$B$1:$AI$720,MATCH(V$1,'Tillförd energi'!$B$1:$AQ$1,0),FALSE)</f>
        <v>0</v>
      </c>
      <c r="W59" s="31">
        <f>VLOOKUP($B59,'Tillförd energi'!$B$1:$AI$720,MATCH(W$1,'Tillförd energi'!$B$1:$AQ$1,0),FALSE)</f>
        <v>0</v>
      </c>
      <c r="X59" s="31">
        <f>VLOOKUP($B59,'Tillförd energi'!$B$1:$AI$720,MATCH(X$1,'Tillförd energi'!$B$1:$AQ$1,0),FALSE)</f>
        <v>3.4621200000000001</v>
      </c>
      <c r="Y59" s="31">
        <f>VLOOKUP($B59,'Tillförd energi'!$B$1:$AI$720,MATCH(Y$1,'Tillförd energi'!$B$1:$AQ$1,0),FALSE)</f>
        <v>0</v>
      </c>
      <c r="Z59" s="31">
        <f>VLOOKUP($B59,'Tillförd energi'!$B$1:$AI$720,MATCH(Z$1,'Tillförd energi'!$B$1:$AQ$1,0),FALSE)</f>
        <v>0.2</v>
      </c>
      <c r="AA59" s="31">
        <f>VLOOKUP($B59,'Tillförd energi'!$B$1:$AI$720,MATCH(AA$1,'Tillförd energi'!$B$1:$AQ$1,0),FALSE)</f>
        <v>16.2</v>
      </c>
      <c r="AB59" s="31">
        <f>VLOOKUP($B59,'Tillförd energi'!$B$1:$AI$720,MATCH(AB$1,'Tillförd energi'!$B$1:$AQ$1,0),FALSE)</f>
        <v>34.9</v>
      </c>
      <c r="AC59" s="31">
        <f>VLOOKUP($B59,'Tillförd energi'!$B$1:$AI$720,MATCH(AC$1,'Tillförd energi'!$B$1:$AQ$1,0),FALSE)</f>
        <v>188</v>
      </c>
      <c r="AD59" s="31">
        <f>VLOOKUP($B59,'Tillförd energi'!$B$1:$AI$720,MATCH(AD$1,'Tillförd energi'!$B$1:$AQ$1,0),FALSE)</f>
        <v>76.599999999999994</v>
      </c>
      <c r="AE59" s="31">
        <f>VLOOKUP($B59,'Tillförd energi'!$B$1:$AI$720,MATCH(AE$1,'Tillförd energi'!$B$1:$AQ$1,0),FALSE)</f>
        <v>0</v>
      </c>
      <c r="AF59" s="31">
        <f>VLOOKUP($B59,'Tillförd energi'!$B$1:$AI$720,MATCH(AF$1,'Tillförd energi'!$B$1:$AQ$1,0),FALSE)</f>
        <v>60.531500000000001</v>
      </c>
      <c r="AG59" s="31">
        <f>IFERROR(VLOOKUP(B59,Miljö!$B$1:$AC$550,MATCH("Köpt mängd produktionsspecifik fjärrvärme:",Miljö!$B$1:$AC$1,0),FALSE)/1,0)</f>
        <v>0</v>
      </c>
      <c r="AI59" s="31">
        <f t="shared" si="0"/>
        <v>1029.7176460000003</v>
      </c>
      <c r="AJ59" s="31">
        <f t="shared" si="1"/>
        <v>1029.7176460000003</v>
      </c>
      <c r="AK59" s="31">
        <f>IF(ISERROR(1/VLOOKUP($B59,Leveranser!$B$1:$S$499,MATCH("Såld värme (GWh)",Leveranser!$B$1:$S$1,0),FALSE)),"",VLOOKUP($B59,Leveranser!$B$1:$S$499,MATCH("Såld värme (GWh)",Leveranser!$B$1:$S$1,0),FALSE))</f>
        <v>1015</v>
      </c>
      <c r="AL59" s="31">
        <f>VLOOKUP($B59,Leveranser!$B$1:$Y$499,MATCH("Totalt såld fjärrvärme till andra fjärrvärmeföretag",Leveranser!$B$1:$AA$1,0),FALSE)</f>
        <v>0</v>
      </c>
      <c r="AM59" s="31">
        <f>IF(ISERROR(1/VLOOKUP($B59,Miljö!$B$1:$S$500,MATCH("Såld mängd produktionsspecifik fjärrvärme (GWh)",Miljö!$B$1:$R$1,0),FALSE)),0,VLOOKUP($B59,Miljö!$B$1:$S$500,MATCH("Såld mängd produktionsspecifik fjärrvärme (GWh)",Miljö!$B$1:$R$1,0),FALSE))</f>
        <v>0</v>
      </c>
      <c r="AN59" s="32">
        <f t="shared" si="2"/>
        <v>0.98570710518832827</v>
      </c>
      <c r="AP59" s="31" t="str">
        <f>IFERROR(VLOOKUP($B59,Miljövärden!$B$2:$H$550,7,FALSE),"Nej, saknas")</f>
        <v>Ja</v>
      </c>
      <c r="AQ59" s="31" t="str">
        <f>IFERROR(VLOOKUP($B59,Miljövärden!$B$2:$H$551,6,FALSE),"Nej, saknas")</f>
        <v>Ja</v>
      </c>
      <c r="AU59" s="31">
        <f t="shared" si="3"/>
        <v>76.9315</v>
      </c>
      <c r="AV59" s="31">
        <f t="shared" si="4"/>
        <v>3.4621200000000001</v>
      </c>
      <c r="AW59" s="31">
        <f t="shared" si="5"/>
        <v>358.76189999999997</v>
      </c>
      <c r="AX59" s="31">
        <f t="shared" si="6"/>
        <v>64.128900000000002</v>
      </c>
      <c r="AZ59" s="31">
        <f t="shared" si="7"/>
        <v>426.35291999999998</v>
      </c>
      <c r="BC59" s="31">
        <f t="shared" si="8"/>
        <v>16.716225999999999</v>
      </c>
      <c r="BD59" s="31">
        <f t="shared" si="9"/>
        <v>0</v>
      </c>
      <c r="BE59" s="31">
        <f t="shared" si="10"/>
        <v>426.35291999999998</v>
      </c>
      <c r="BF59" s="31">
        <f t="shared" si="11"/>
        <v>509.71699999999998</v>
      </c>
      <c r="BG59" s="31">
        <f t="shared" si="12"/>
        <v>76.9315</v>
      </c>
      <c r="BH59" s="31">
        <f>VLOOKUP(B59,Miljö!$B$1:$BX$482,MATCH("Fossilandel för ursprungspecificerad el ()",Miljö!$B$1:$I$1,0),FALSE)</f>
        <v>0.35</v>
      </c>
      <c r="BI59" s="31">
        <f>VLOOKUP(B59,Miljö!$B$1:$BX$482,MATCH("Kärnkraftsandel för ursprungsspecificerad el ()",Miljö!$B$1:$O$1,0),FALSE)</f>
        <v>0.3977</v>
      </c>
      <c r="BJ59" s="31">
        <f t="shared" si="13"/>
        <v>0</v>
      </c>
      <c r="BK59" s="31" t="str">
        <f>VLOOKUP(B59,Miljö!$B$1:$P$482,MATCH("Fossil andel i procent (%)",Miljö!$B$1:$P$1,0),FALSE)</f>
        <v>ET</v>
      </c>
      <c r="BL59" s="31">
        <f t="shared" si="14"/>
        <v>1029.7176459999998</v>
      </c>
      <c r="BO59" s="32">
        <f>IF(AP59="ja",(BC59+IFERROR(BG59*BH59,0)+IFERROR(BJ59*BK59/100,0))/$BL59,"")</f>
        <v>4.2382735859224079E-2</v>
      </c>
      <c r="BP59" s="32">
        <f t="shared" si="15"/>
        <v>2.971266702950141E-2</v>
      </c>
      <c r="BQ59" s="32">
        <f t="shared" si="16"/>
        <v>0.4328980271257778</v>
      </c>
      <c r="BR59" s="32">
        <f t="shared" si="17"/>
        <v>0.49500656998549686</v>
      </c>
      <c r="BT59" s="62">
        <f t="shared" si="18"/>
        <v>1</v>
      </c>
      <c r="BW59" s="32">
        <f>IF(AP59="Ja",VLOOKUP(B59,Miljövärden!$B$2:$H$551,MATCH("Total andel fossilt",Miljövärden!$B$2:$H$2,0),FALSE),"")</f>
        <v>4.1681900000000001E-2</v>
      </c>
      <c r="BX59" s="62">
        <f t="shared" si="19"/>
        <v>-7.0083585922407765E-4</v>
      </c>
      <c r="BZ59" s="31">
        <f t="shared" si="20"/>
        <v>-7.0083585922407765E-4</v>
      </c>
      <c r="CA59" s="32">
        <f t="shared" si="21"/>
        <v>0</v>
      </c>
    </row>
    <row r="60" spans="1:79" x14ac:dyDescent="0.45">
      <c r="A60" s="31" t="s">
        <v>610</v>
      </c>
      <c r="B60" s="31" t="s">
        <v>616</v>
      </c>
      <c r="C60" s="31">
        <f>VLOOKUP($B60,'Tillförd energi'!$B$1:$AI$720,MATCH(C$1,'Tillförd energi'!$B$1:$AQ$1,0),FALSE)</f>
        <v>0</v>
      </c>
      <c r="D60" s="31">
        <f>VLOOKUP($B60,'Tillförd energi'!$B$1:$AI$720,MATCH(D$1,'Tillförd energi'!$B$1:$AQ$1,0),FALSE)</f>
        <v>0</v>
      </c>
      <c r="E60" s="31">
        <f>VLOOKUP($B60,'Tillförd energi'!$B$1:$AI$720,MATCH(E$1,'Tillförd energi'!$B$1:$AQ$1,0),FALSE)</f>
        <v>0</v>
      </c>
      <c r="F60" s="31">
        <f>VLOOKUP($B60,'Tillförd energi'!$B$1:$AI$720,MATCH(F$1,'Tillförd energi'!$B$1:$AQ$1,0),FALSE)</f>
        <v>0</v>
      </c>
      <c r="G60" s="31">
        <f>VLOOKUP($B60,'Tillförd energi'!$B$1:$AI$720,MATCH(G$1,'Tillförd energi'!$B$1:$AQ$1,0),FALSE)</f>
        <v>0</v>
      </c>
      <c r="H60" s="31">
        <f>VLOOKUP($B60,'Tillförd energi'!$B$1:$AI$720,MATCH(H$1,'Tillförd energi'!$B$1:$AQ$1,0),FALSE)</f>
        <v>0</v>
      </c>
      <c r="I60" s="31">
        <f>VLOOKUP($B60,'Tillförd energi'!$B$1:$AI$720,MATCH(I$1,'Tillförd energi'!$B$1:$AQ$1,0),FALSE)</f>
        <v>110</v>
      </c>
      <c r="J60" s="31">
        <f>VLOOKUP($B60,'Tillförd energi'!$B$1:$AI$720,MATCH(J$1,'Tillförd energi'!$B$1:$AQ$1,0),FALSE)</f>
        <v>0.2</v>
      </c>
      <c r="K60" s="31">
        <f>VLOOKUP($B60,'Tillförd energi'!$B$1:$AI$720,MATCH(K$1,'Tillförd energi'!$B$1:$AQ$1,0),FALSE)</f>
        <v>0</v>
      </c>
      <c r="L60" s="31">
        <f>VLOOKUP($B60,'Tillförd energi'!$B$1:$AI$720,MATCH(L$1,'Tillförd energi'!$B$1:$AQ$1,0),FALSE)</f>
        <v>0</v>
      </c>
      <c r="M60" s="31">
        <f>VLOOKUP($B60,'Tillförd energi'!$B$1:$AI$720,MATCH(M$1,'Tillförd energi'!$B$1:$AQ$1,0),FALSE)</f>
        <v>0</v>
      </c>
      <c r="N60" s="31">
        <f>VLOOKUP($B60,'Tillförd energi'!$B$1:$AI$720,MATCH(N$1,'Tillförd energi'!$B$1:$AQ$1,0),FALSE)</f>
        <v>0</v>
      </c>
      <c r="O60" s="31">
        <f>VLOOKUP($B60,'Tillförd energi'!$B$1:$AI$720,MATCH(O$1,'Tillförd energi'!$B$1:$AQ$1,0),FALSE)</f>
        <v>0</v>
      </c>
      <c r="P60" s="31">
        <f>VLOOKUP($B60,'Tillförd energi'!$B$1:$AI$720,MATCH(P$1,'Tillförd energi'!$B$1:$AQ$1,0),FALSE)</f>
        <v>0</v>
      </c>
      <c r="Q60" s="31">
        <f>VLOOKUP($B60,'Tillförd energi'!$B$1:$AI$720,MATCH(Q$1,'Tillförd energi'!$B$1:$AQ$1,0),FALSE)</f>
        <v>0</v>
      </c>
      <c r="R60" s="31">
        <f>VLOOKUP($B60,'Tillförd energi'!$B$1:$AI$720,MATCH(R$1,'Tillförd energi'!$B$1:$AQ$1,0),FALSE)</f>
        <v>66</v>
      </c>
      <c r="S60" s="31">
        <f>VLOOKUP($B60,'Tillförd energi'!$B$1:$AI$720,MATCH(S$1,'Tillförd energi'!$B$1:$AQ$1,0),FALSE)</f>
        <v>17</v>
      </c>
      <c r="T60" s="31">
        <f>VLOOKUP($B60,'Tillförd energi'!$B$1:$AI$720,MATCH(T$1,'Tillförd energi'!$B$1:$AQ$1,0),FALSE)</f>
        <v>0</v>
      </c>
      <c r="U60" s="31">
        <f>VLOOKUP($B60,'Tillförd energi'!$B$1:$AI$720,MATCH(U$1,'Tillförd energi'!$B$1:$AQ$1,0),FALSE)</f>
        <v>0</v>
      </c>
      <c r="V60" s="31">
        <f>VLOOKUP($B60,'Tillförd energi'!$B$1:$AI$720,MATCH(V$1,'Tillförd energi'!$B$1:$AQ$1,0),FALSE)</f>
        <v>0</v>
      </c>
      <c r="W60" s="31">
        <f>VLOOKUP($B60,'Tillförd energi'!$B$1:$AI$720,MATCH(W$1,'Tillförd energi'!$B$1:$AQ$1,0),FALSE)</f>
        <v>27</v>
      </c>
      <c r="X60" s="31">
        <f>VLOOKUP($B60,'Tillförd energi'!$B$1:$AI$720,MATCH(X$1,'Tillförd energi'!$B$1:$AQ$1,0),FALSE)</f>
        <v>0</v>
      </c>
      <c r="Y60" s="31">
        <f>VLOOKUP($B60,'Tillförd energi'!$B$1:$AI$720,MATCH(Y$1,'Tillförd energi'!$B$1:$AQ$1,0),FALSE)</f>
        <v>0</v>
      </c>
      <c r="Z60" s="31">
        <f>VLOOKUP($B60,'Tillförd energi'!$B$1:$AI$720,MATCH(Z$1,'Tillförd energi'!$B$1:$AQ$1,0),FALSE)</f>
        <v>0</v>
      </c>
      <c r="AA60" s="31">
        <f>VLOOKUP($B60,'Tillförd energi'!$B$1:$AI$720,MATCH(AA$1,'Tillförd energi'!$B$1:$AQ$1,0),FALSE)</f>
        <v>63.5</v>
      </c>
      <c r="AB60" s="31">
        <f>VLOOKUP($B60,'Tillförd energi'!$B$1:$AI$720,MATCH(AB$1,'Tillförd energi'!$B$1:$AQ$1,0),FALSE)</f>
        <v>129.5</v>
      </c>
      <c r="AC60" s="31">
        <f>VLOOKUP($B60,'Tillförd energi'!$B$1:$AI$720,MATCH(AC$1,'Tillförd energi'!$B$1:$AQ$1,0),FALSE)</f>
        <v>9.4</v>
      </c>
      <c r="AD60" s="31">
        <f>VLOOKUP($B60,'Tillförd energi'!$B$1:$AI$720,MATCH(AD$1,'Tillförd energi'!$B$1:$AQ$1,0),FALSE)</f>
        <v>0</v>
      </c>
      <c r="AE60" s="31">
        <f>VLOOKUP($B60,'Tillförd energi'!$B$1:$AI$720,MATCH(AE$1,'Tillförd energi'!$B$1:$AQ$1,0),FALSE)</f>
        <v>0</v>
      </c>
      <c r="AF60" s="31">
        <f>VLOOKUP($B60,'Tillförd energi'!$B$1:$AI$720,MATCH(AF$1,'Tillförd energi'!$B$1:$AQ$1,0),FALSE)</f>
        <v>3.7</v>
      </c>
      <c r="AG60" s="31">
        <f>IFERROR(VLOOKUP(B60,Miljö!$B$1:$AC$550,MATCH("Köpt mängd produktionsspecifik fjärrvärme:",Miljö!$B$1:$AC$1,0),FALSE)/1,0)</f>
        <v>76.8</v>
      </c>
      <c r="AI60" s="31">
        <f t="shared" si="0"/>
        <v>426.29999999999995</v>
      </c>
      <c r="AJ60" s="31">
        <f t="shared" si="1"/>
        <v>503.09999999999997</v>
      </c>
      <c r="AK60" s="31">
        <f>IF(ISERROR(1/VLOOKUP($B60,Leveranser!$B$1:$S$499,MATCH("Såld värme (GWh)",Leveranser!$B$1:$S$1,0),FALSE)),"",VLOOKUP($B60,Leveranser!$B$1:$S$499,MATCH("Såld värme (GWh)",Leveranser!$B$1:$S$1,0),FALSE))</f>
        <v>462</v>
      </c>
      <c r="AL60" s="31">
        <f>VLOOKUP($B60,Leveranser!$B$1:$Y$499,MATCH("Totalt såld fjärrvärme till andra fjärrvärmeföretag",Leveranser!$B$1:$AA$1,0),FALSE)</f>
        <v>82</v>
      </c>
      <c r="AM60" s="31">
        <f>IF(ISERROR(1/VLOOKUP($B60,Miljö!$B$1:$S$500,MATCH("Såld mängd produktionsspecifik fjärrvärme (GWh)",Miljö!$B$1:$R$1,0),FALSE)),0,VLOOKUP($B60,Miljö!$B$1:$S$500,MATCH("Såld mängd produktionsspecifik fjärrvärme (GWh)",Miljö!$B$1:$R$1,0),FALSE))</f>
        <v>0</v>
      </c>
      <c r="AN60" s="32">
        <f t="shared" si="2"/>
        <v>0.91830649970184863</v>
      </c>
      <c r="AP60" s="31" t="str">
        <f>IFERROR(VLOOKUP($B60,Miljövärden!$B$2:$H$550,7,FALSE),"Nej, saknas")</f>
        <v>Ja</v>
      </c>
      <c r="AQ60" s="31" t="str">
        <f>IFERROR(VLOOKUP($B60,Miljövärden!$B$2:$H$551,6,FALSE),"Nej, saknas")</f>
        <v>Ja</v>
      </c>
      <c r="AU60" s="31">
        <f t="shared" si="3"/>
        <v>67.2</v>
      </c>
      <c r="AV60" s="31">
        <f t="shared" si="4"/>
        <v>0</v>
      </c>
      <c r="AW60" s="31">
        <f t="shared" si="5"/>
        <v>0</v>
      </c>
      <c r="AX60" s="31">
        <f t="shared" si="6"/>
        <v>83</v>
      </c>
      <c r="AZ60" s="31">
        <f t="shared" si="7"/>
        <v>110</v>
      </c>
      <c r="BC60" s="31">
        <f t="shared" si="8"/>
        <v>0</v>
      </c>
      <c r="BD60" s="31">
        <f t="shared" si="9"/>
        <v>0</v>
      </c>
      <c r="BE60" s="31">
        <f t="shared" si="10"/>
        <v>110</v>
      </c>
      <c r="BF60" s="31">
        <f t="shared" si="11"/>
        <v>249.1</v>
      </c>
      <c r="BG60" s="31">
        <f t="shared" si="12"/>
        <v>67.2</v>
      </c>
      <c r="BH60" s="31">
        <f>VLOOKUP(B60,Miljö!$B$1:$BX$482,MATCH("Fossilandel för ursprungspecificerad el ()",Miljö!$B$1:$I$1,0),FALSE)</f>
        <v>2.8400000000000002E-2</v>
      </c>
      <c r="BI60" s="31">
        <f>VLOOKUP(B60,Miljö!$B$1:$BX$482,MATCH("Kärnkraftsandel för ursprungsspecificerad el ()",Miljö!$B$1:$O$1,0),FALSE)</f>
        <v>0.32400000000000001</v>
      </c>
      <c r="BJ60" s="31">
        <f t="shared" si="13"/>
        <v>76.8</v>
      </c>
      <c r="BK60" s="31">
        <f>VLOOKUP(B60,Miljö!$B$1:$P$482,MATCH("Fossil andel i procent (%)",Miljö!$B$1:$P$1,0),FALSE)</f>
        <v>10</v>
      </c>
      <c r="BL60" s="31">
        <f t="shared" si="14"/>
        <v>503.1</v>
      </c>
      <c r="BO60" s="32">
        <f t="shared" si="22"/>
        <v>1.9058795468097793E-2</v>
      </c>
      <c r="BP60" s="32">
        <f>IF(AP60="ja",(BD60+IFERROR(BG60*BI60,0)+IFERROR(BJ60*(1-BK60/100),0))/$BL60,"")</f>
        <v>0.18066547406082289</v>
      </c>
      <c r="BQ60" s="32">
        <f>IF(AP60="ja",(BE60+IFERROR(BG60*(1-BH60-BI60),0))/$BL60,"")</f>
        <v>0.3051455376664679</v>
      </c>
      <c r="BR60" s="32">
        <f>IF(AP60="Ja",BF60/$BL60,"")</f>
        <v>0.4951301928046114</v>
      </c>
      <c r="BT60" s="62">
        <f>SUM(BO60:BR60)</f>
        <v>1</v>
      </c>
      <c r="BW60" s="32">
        <f>IF(AP60="Ja",VLOOKUP(B60,Miljövärden!$B$2:$H$551,MATCH("Total andel fossilt",Miljövärden!$B$2:$H$2,0),FALSE),"")</f>
        <v>1.9E-2</v>
      </c>
      <c r="BX60" s="62">
        <f t="shared" si="19"/>
        <v>-5.8795468097793541E-5</v>
      </c>
      <c r="BZ60" s="31">
        <f t="shared" si="20"/>
        <v>-5.8795468097793541E-5</v>
      </c>
      <c r="CA60" s="32">
        <f t="shared" si="21"/>
        <v>0</v>
      </c>
    </row>
    <row r="61" spans="1:79" hidden="1" x14ac:dyDescent="0.45">
      <c r="A61" s="31" t="s">
        <v>610</v>
      </c>
      <c r="B61" s="31" t="s">
        <v>615</v>
      </c>
      <c r="C61" s="31">
        <f>VLOOKUP($B61,'Tillförd energi'!$B$1:$AI$720,MATCH(C$1,'Tillförd energi'!$B$1:$AQ$1,0),FALSE)</f>
        <v>0</v>
      </c>
      <c r="D61" s="31">
        <f>VLOOKUP($B61,'Tillförd energi'!$B$1:$AI$720,MATCH(D$1,'Tillförd energi'!$B$1:$AQ$1,0),FALSE)</f>
        <v>0</v>
      </c>
      <c r="E61" s="31">
        <f>VLOOKUP($B61,'Tillförd energi'!$B$1:$AI$720,MATCH(E$1,'Tillförd energi'!$B$1:$AQ$1,0),FALSE)</f>
        <v>0</v>
      </c>
      <c r="F61" s="31">
        <f>VLOOKUP($B61,'Tillförd energi'!$B$1:$AI$720,MATCH(F$1,'Tillförd energi'!$B$1:$AQ$1,0),FALSE)</f>
        <v>0</v>
      </c>
      <c r="G61" s="31">
        <f>VLOOKUP($B61,'Tillförd energi'!$B$1:$AI$720,MATCH(G$1,'Tillförd energi'!$B$1:$AQ$1,0),FALSE)</f>
        <v>0</v>
      </c>
      <c r="H61" s="31">
        <f>VLOOKUP($B61,'Tillförd energi'!$B$1:$AI$720,MATCH(H$1,'Tillförd energi'!$B$1:$AQ$1,0),FALSE)</f>
        <v>0</v>
      </c>
      <c r="I61" s="31">
        <f>VLOOKUP($B61,'Tillförd energi'!$B$1:$AI$720,MATCH(I$1,'Tillförd energi'!$B$1:$AQ$1,0),FALSE)</f>
        <v>0</v>
      </c>
      <c r="J61" s="31">
        <f>VLOOKUP($B61,'Tillförd energi'!$B$1:$AI$720,MATCH(J$1,'Tillförd energi'!$B$1:$AQ$1,0),FALSE)</f>
        <v>0</v>
      </c>
      <c r="K61" s="31">
        <f>VLOOKUP($B61,'Tillförd energi'!$B$1:$AI$720,MATCH(K$1,'Tillförd energi'!$B$1:$AQ$1,0),FALSE)</f>
        <v>0</v>
      </c>
      <c r="L61" s="31">
        <f>VLOOKUP($B61,'Tillförd energi'!$B$1:$AI$720,MATCH(L$1,'Tillförd energi'!$B$1:$AQ$1,0),FALSE)</f>
        <v>0</v>
      </c>
      <c r="M61" s="31">
        <f>VLOOKUP($B61,'Tillförd energi'!$B$1:$AI$720,MATCH(M$1,'Tillförd energi'!$B$1:$AQ$1,0),FALSE)</f>
        <v>0</v>
      </c>
      <c r="N61" s="31">
        <f>VLOOKUP($B61,'Tillförd energi'!$B$1:$AI$720,MATCH(N$1,'Tillförd energi'!$B$1:$AQ$1,0),FALSE)</f>
        <v>0</v>
      </c>
      <c r="O61" s="31">
        <f>VLOOKUP($B61,'Tillförd energi'!$B$1:$AI$720,MATCH(O$1,'Tillförd energi'!$B$1:$AQ$1,0),FALSE)</f>
        <v>0</v>
      </c>
      <c r="P61" s="31">
        <f>VLOOKUP($B61,'Tillförd energi'!$B$1:$AI$720,MATCH(P$1,'Tillförd energi'!$B$1:$AQ$1,0),FALSE)</f>
        <v>0</v>
      </c>
      <c r="Q61" s="31">
        <f>VLOOKUP($B61,'Tillförd energi'!$B$1:$AI$720,MATCH(Q$1,'Tillförd energi'!$B$1:$AQ$1,0),FALSE)</f>
        <v>0</v>
      </c>
      <c r="R61" s="31">
        <f>VLOOKUP($B61,'Tillförd energi'!$B$1:$AI$720,MATCH(R$1,'Tillförd energi'!$B$1:$AQ$1,0),FALSE)</f>
        <v>0</v>
      </c>
      <c r="S61" s="31">
        <f>VLOOKUP($B61,'Tillförd energi'!$B$1:$AI$720,MATCH(S$1,'Tillförd energi'!$B$1:$AQ$1,0),FALSE)</f>
        <v>0</v>
      </c>
      <c r="T61" s="31">
        <f>VLOOKUP($B61,'Tillförd energi'!$B$1:$AI$720,MATCH(T$1,'Tillförd energi'!$B$1:$AQ$1,0),FALSE)</f>
        <v>0</v>
      </c>
      <c r="U61" s="31">
        <f>VLOOKUP($B61,'Tillförd energi'!$B$1:$AI$720,MATCH(U$1,'Tillförd energi'!$B$1:$AQ$1,0),FALSE)</f>
        <v>0</v>
      </c>
      <c r="V61" s="31">
        <f>VLOOKUP($B61,'Tillförd energi'!$B$1:$AI$720,MATCH(V$1,'Tillförd energi'!$B$1:$AQ$1,0),FALSE)</f>
        <v>0</v>
      </c>
      <c r="W61" s="31">
        <f>VLOOKUP($B61,'Tillförd energi'!$B$1:$AI$720,MATCH(W$1,'Tillförd energi'!$B$1:$AQ$1,0),FALSE)</f>
        <v>0</v>
      </c>
      <c r="X61" s="31">
        <f>VLOOKUP($B61,'Tillförd energi'!$B$1:$AI$720,MATCH(X$1,'Tillförd energi'!$B$1:$AQ$1,0),FALSE)</f>
        <v>0</v>
      </c>
      <c r="Y61" s="31">
        <f>VLOOKUP($B61,'Tillförd energi'!$B$1:$AI$720,MATCH(Y$1,'Tillförd energi'!$B$1:$AQ$1,0),FALSE)</f>
        <v>0</v>
      </c>
      <c r="Z61" s="31">
        <f>VLOOKUP($B61,'Tillförd energi'!$B$1:$AI$720,MATCH(Z$1,'Tillförd energi'!$B$1:$AQ$1,0),FALSE)</f>
        <v>0</v>
      </c>
      <c r="AA61" s="31">
        <f>VLOOKUP($B61,'Tillförd energi'!$B$1:$AI$720,MATCH(AA$1,'Tillförd energi'!$B$1:$AQ$1,0),FALSE)</f>
        <v>0</v>
      </c>
      <c r="AB61" s="31">
        <f>VLOOKUP($B61,'Tillförd energi'!$B$1:$AI$720,MATCH(AB$1,'Tillförd energi'!$B$1:$AQ$1,0),FALSE)</f>
        <v>0</v>
      </c>
      <c r="AC61" s="31">
        <f>VLOOKUP($B61,'Tillförd energi'!$B$1:$AI$720,MATCH(AC$1,'Tillförd energi'!$B$1:$AQ$1,0),FALSE)</f>
        <v>0</v>
      </c>
      <c r="AD61" s="31">
        <f>VLOOKUP($B61,'Tillförd energi'!$B$1:$AI$720,MATCH(AD$1,'Tillförd energi'!$B$1:$AQ$1,0),FALSE)</f>
        <v>0</v>
      </c>
      <c r="AE61" s="31">
        <f>VLOOKUP($B61,'Tillförd energi'!$B$1:$AI$720,MATCH(AE$1,'Tillförd energi'!$B$1:$AQ$1,0),FALSE)</f>
        <v>0</v>
      </c>
      <c r="AF61" s="31">
        <f>VLOOKUP($B61,'Tillförd energi'!$B$1:$AI$720,MATCH(AF$1,'Tillförd energi'!$B$1:$AQ$1,0),FALSE)</f>
        <v>0</v>
      </c>
      <c r="AG61" s="31">
        <f>IFERROR(VLOOKUP(B61,Miljö!$B$1:$AC$550,MATCH("Köpt mängd produktionsspecifik fjärrvärme:",Miljö!$B$1:$AC$1,0),FALSE)/1,0)</f>
        <v>0</v>
      </c>
      <c r="AI61" s="31">
        <f t="shared" si="0"/>
        <v>0</v>
      </c>
      <c r="AJ61" s="31">
        <f t="shared" si="1"/>
        <v>0</v>
      </c>
      <c r="AK61" s="31" t="str">
        <f>IF(ISERROR(1/VLOOKUP($B61,Leveranser!$B$1:$S$499,MATCH("Såld värme (GWh)",Leveranser!$B$1:$S$1,0),FALSE)),"",VLOOKUP($B61,Leveranser!$B$1:$S$499,MATCH("Såld värme (GWh)",Leveranser!$B$1:$S$1,0),FALSE))</f>
        <v/>
      </c>
      <c r="AL61" s="31">
        <f>VLOOKUP($B61,Leveranser!$B$1:$Y$499,MATCH("Totalt såld fjärrvärme till andra fjärrvärmeföretag",Leveranser!$B$1:$AA$1,0),FALSE)</f>
        <v>0</v>
      </c>
      <c r="AM61" s="31">
        <f>IF(ISERROR(1/VLOOKUP($B61,Miljö!$B$1:$S$500,MATCH("Såld mängd produktionsspecifik fjärrvärme (GWh)",Miljö!$B$1:$R$1,0),FALSE)),0,VLOOKUP($B61,Miljö!$B$1:$S$500,MATCH("Såld mängd produktionsspecifik fjärrvärme (GWh)",Miljö!$B$1:$R$1,0),FALSE))</f>
        <v>0</v>
      </c>
      <c r="AN61" s="32" t="str">
        <f t="shared" si="2"/>
        <v/>
      </c>
      <c r="AP61" s="31" t="str">
        <f>IFERROR(VLOOKUP($B61,Miljövärden!$B$2:$H$550,7,FALSE),"Nej, saknas")</f>
        <v>Nej</v>
      </c>
      <c r="AQ61" s="31" t="str">
        <f>IFERROR(VLOOKUP($B61,Miljövärden!$B$2:$H$551,6,FALSE),"Nej, saknas")</f>
        <v>Nej</v>
      </c>
      <c r="AU61" s="31">
        <f t="shared" si="3"/>
        <v>0</v>
      </c>
      <c r="AV61" s="31">
        <f t="shared" si="4"/>
        <v>0</v>
      </c>
      <c r="AW61" s="31">
        <f t="shared" si="5"/>
        <v>0</v>
      </c>
      <c r="AX61" s="31">
        <f t="shared" si="6"/>
        <v>0</v>
      </c>
      <c r="AZ61" s="31">
        <f t="shared" si="7"/>
        <v>0</v>
      </c>
      <c r="BC61" s="31">
        <f t="shared" si="8"/>
        <v>0</v>
      </c>
      <c r="BD61" s="31">
        <f t="shared" si="9"/>
        <v>0</v>
      </c>
      <c r="BE61" s="31">
        <f t="shared" si="10"/>
        <v>0</v>
      </c>
      <c r="BF61" s="31">
        <f t="shared" si="11"/>
        <v>0</v>
      </c>
      <c r="BG61" s="31">
        <f t="shared" si="12"/>
        <v>0</v>
      </c>
      <c r="BH61" s="31" t="str">
        <f>VLOOKUP(B61,Miljö!$B$1:$BX$482,MATCH("Fossilandel för ursprungspecificerad el ()",Miljö!$B$1:$I$1,0),FALSE)</f>
        <v>-</v>
      </c>
      <c r="BI61" s="31" t="str">
        <f>VLOOKUP(B61,Miljö!$B$1:$BX$482,MATCH("Kärnkraftsandel för ursprungsspecificerad el ()",Miljö!$B$1:$O$1,0),FALSE)</f>
        <v>-</v>
      </c>
      <c r="BJ61" s="31">
        <f t="shared" si="13"/>
        <v>0</v>
      </c>
      <c r="BK61" s="31" t="str">
        <f>VLOOKUP(B61,Miljö!$B$1:$P$482,MATCH("Fossil andel i procent (%)",Miljö!$B$1:$P$1,0),FALSE)</f>
        <v>-</v>
      </c>
      <c r="BL61" s="31">
        <f t="shared" si="14"/>
        <v>0</v>
      </c>
      <c r="BO61" s="32" t="str">
        <f t="shared" si="22"/>
        <v/>
      </c>
      <c r="BP61" s="32" t="str">
        <f t="shared" si="15"/>
        <v/>
      </c>
      <c r="BQ61" s="32" t="str">
        <f t="shared" si="16"/>
        <v/>
      </c>
      <c r="BR61" s="32" t="str">
        <f t="shared" si="17"/>
        <v/>
      </c>
      <c r="BT61" s="62">
        <f t="shared" si="18"/>
        <v>0</v>
      </c>
      <c r="BW61" s="32" t="str">
        <f>IF(AP61="Ja",VLOOKUP(B61,Miljövärden!$B$2:$H$551,MATCH("Total andel fossilt",Miljövärden!$B$2:$H$2,0),FALSE),"")</f>
        <v/>
      </c>
      <c r="BX61" s="62" t="e">
        <f t="shared" si="19"/>
        <v>#VALUE!</v>
      </c>
      <c r="BZ61" s="31" t="str">
        <f t="shared" si="20"/>
        <v/>
      </c>
      <c r="CA61" s="32" t="str">
        <f t="shared" si="21"/>
        <v/>
      </c>
    </row>
    <row r="62" spans="1:79" x14ac:dyDescent="0.45">
      <c r="A62" s="31" t="s">
        <v>610</v>
      </c>
      <c r="B62" s="31" t="s">
        <v>614</v>
      </c>
      <c r="C62" s="31">
        <f>VLOOKUP($B62,'Tillförd energi'!$B$1:$AI$720,MATCH(C$1,'Tillförd energi'!$B$1:$AQ$1,0),FALSE)</f>
        <v>0</v>
      </c>
      <c r="D62" s="31">
        <f>VLOOKUP($B62,'Tillförd energi'!$B$1:$AI$720,MATCH(D$1,'Tillförd energi'!$B$1:$AQ$1,0),FALSE)</f>
        <v>4.9888599999999998E-2</v>
      </c>
      <c r="E62" s="31">
        <f>VLOOKUP($B62,'Tillförd energi'!$B$1:$AI$720,MATCH(E$1,'Tillförd energi'!$B$1:$AQ$1,0),FALSE)</f>
        <v>0</v>
      </c>
      <c r="F62" s="31">
        <f>VLOOKUP($B62,'Tillförd energi'!$B$1:$AI$720,MATCH(F$1,'Tillförd energi'!$B$1:$AQ$1,0),FALSE)</f>
        <v>4.4691400000000003</v>
      </c>
      <c r="G62" s="31">
        <f>VLOOKUP($B62,'Tillförd energi'!$B$1:$AI$720,MATCH(G$1,'Tillförd energi'!$B$1:$AQ$1,0),FALSE)</f>
        <v>222.328</v>
      </c>
      <c r="H62" s="31">
        <f>VLOOKUP($B62,'Tillförd energi'!$B$1:$AI$720,MATCH(H$1,'Tillförd energi'!$B$1:$AQ$1,0),FALSE)</f>
        <v>0</v>
      </c>
      <c r="I62" s="31">
        <f>VLOOKUP($B62,'Tillförd energi'!$B$1:$AI$720,MATCH(I$1,'Tillförd energi'!$B$1:$AQ$1,0),FALSE)</f>
        <v>932.34699999999998</v>
      </c>
      <c r="J62" s="31">
        <f>VLOOKUP($B62,'Tillförd energi'!$B$1:$AI$720,MATCH(J$1,'Tillförd energi'!$B$1:$AQ$1,0),FALSE)</f>
        <v>92.907799999999995</v>
      </c>
      <c r="K62" s="31">
        <f>VLOOKUP($B62,'Tillförd energi'!$B$1:$AI$720,MATCH(K$1,'Tillförd energi'!$B$1:$AQ$1,0),FALSE)</f>
        <v>0</v>
      </c>
      <c r="L62" s="31">
        <f>VLOOKUP($B62,'Tillförd energi'!$B$1:$AI$720,MATCH(L$1,'Tillförd energi'!$B$1:$AQ$1,0),FALSE)</f>
        <v>0</v>
      </c>
      <c r="M62" s="31">
        <f>VLOOKUP($B62,'Tillförd energi'!$B$1:$AI$720,MATCH(M$1,'Tillförd energi'!$B$1:$AQ$1,0),FALSE)</f>
        <v>0</v>
      </c>
      <c r="N62" s="31">
        <f>VLOOKUP($B62,'Tillförd energi'!$B$1:$AI$720,MATCH(N$1,'Tillförd energi'!$B$1:$AQ$1,0),FALSE)</f>
        <v>0</v>
      </c>
      <c r="O62" s="31">
        <f>VLOOKUP($B62,'Tillförd energi'!$B$1:$AI$720,MATCH(O$1,'Tillförd energi'!$B$1:$AQ$1,0),FALSE)</f>
        <v>0</v>
      </c>
      <c r="P62" s="31">
        <f>VLOOKUP($B62,'Tillförd energi'!$B$1:$AI$720,MATCH(P$1,'Tillförd energi'!$B$1:$AQ$1,0),FALSE)</f>
        <v>147</v>
      </c>
      <c r="Q62" s="31">
        <f>VLOOKUP($B62,'Tillförd energi'!$B$1:$AI$720,MATCH(Q$1,'Tillförd energi'!$B$1:$AQ$1,0),FALSE)</f>
        <v>0</v>
      </c>
      <c r="R62" s="31">
        <f>VLOOKUP($B62,'Tillförd energi'!$B$1:$AI$720,MATCH(R$1,'Tillförd energi'!$B$1:$AQ$1,0),FALSE)</f>
        <v>0</v>
      </c>
      <c r="S62" s="31">
        <f>VLOOKUP($B62,'Tillförd energi'!$B$1:$AI$720,MATCH(S$1,'Tillförd energi'!$B$1:$AQ$1,0),FALSE)</f>
        <v>0</v>
      </c>
      <c r="T62" s="31">
        <f>VLOOKUP($B62,'Tillförd energi'!$B$1:$AI$720,MATCH(T$1,'Tillförd energi'!$B$1:$AQ$1,0),FALSE)</f>
        <v>0</v>
      </c>
      <c r="U62" s="31">
        <f>VLOOKUP($B62,'Tillförd energi'!$B$1:$AI$720,MATCH(U$1,'Tillförd energi'!$B$1:$AQ$1,0),FALSE)</f>
        <v>0</v>
      </c>
      <c r="V62" s="31">
        <f>VLOOKUP($B62,'Tillförd energi'!$B$1:$AI$720,MATCH(V$1,'Tillförd energi'!$B$1:$AQ$1,0),FALSE)</f>
        <v>0</v>
      </c>
      <c r="W62" s="31">
        <f>VLOOKUP($B62,'Tillförd energi'!$B$1:$AI$720,MATCH(W$1,'Tillförd energi'!$B$1:$AQ$1,0),FALSE)</f>
        <v>0</v>
      </c>
      <c r="X62" s="31">
        <f>VLOOKUP($B62,'Tillförd energi'!$B$1:$AI$720,MATCH(X$1,'Tillförd energi'!$B$1:$AQ$1,0),FALSE)</f>
        <v>0</v>
      </c>
      <c r="Y62" s="31">
        <f>VLOOKUP($B62,'Tillförd energi'!$B$1:$AI$720,MATCH(Y$1,'Tillförd energi'!$B$1:$AQ$1,0),FALSE)</f>
        <v>0</v>
      </c>
      <c r="Z62" s="31">
        <f>VLOOKUP($B62,'Tillförd energi'!$B$1:$AI$720,MATCH(Z$1,'Tillförd energi'!$B$1:$AQ$1,0),FALSE)</f>
        <v>0</v>
      </c>
      <c r="AA62" s="31">
        <f>VLOOKUP($B62,'Tillförd energi'!$B$1:$AI$720,MATCH(AA$1,'Tillförd energi'!$B$1:$AQ$1,0),FALSE)</f>
        <v>24.5</v>
      </c>
      <c r="AB62" s="31">
        <f>VLOOKUP($B62,'Tillförd energi'!$B$1:$AI$720,MATCH(AB$1,'Tillförd energi'!$B$1:$AQ$1,0),FALSE)</f>
        <v>55.5</v>
      </c>
      <c r="AC62" s="31">
        <f>VLOOKUP($B62,'Tillförd energi'!$B$1:$AI$720,MATCH(AC$1,'Tillförd energi'!$B$1:$AQ$1,0),FALSE)</f>
        <v>58</v>
      </c>
      <c r="AD62" s="31">
        <f>VLOOKUP($B62,'Tillförd energi'!$B$1:$AI$720,MATCH(AD$1,'Tillförd energi'!$B$1:$AQ$1,0),FALSE)</f>
        <v>158.69999999999999</v>
      </c>
      <c r="AE62" s="31">
        <f>VLOOKUP($B62,'Tillförd energi'!$B$1:$AI$720,MATCH(AE$1,'Tillförd energi'!$B$1:$AQ$1,0),FALSE)</f>
        <v>0</v>
      </c>
      <c r="AF62" s="31">
        <f>VLOOKUP($B62,'Tillförd energi'!$B$1:$AI$720,MATCH(AF$1,'Tillförd energi'!$B$1:$AQ$1,0),FALSE)</f>
        <v>32.607100000000003</v>
      </c>
      <c r="AG62" s="31">
        <f>IFERROR(VLOOKUP(B62,Miljö!$B$1:$AC$550,MATCH("Köpt mängd produktionsspecifik fjärrvärme:",Miljö!$B$1:$AC$1,0),FALSE)/1,0)</f>
        <v>0</v>
      </c>
      <c r="AI62" s="31">
        <f t="shared" si="0"/>
        <v>1728.4089285999999</v>
      </c>
      <c r="AJ62" s="31">
        <f t="shared" si="1"/>
        <v>1728.4089285999999</v>
      </c>
      <c r="AK62" s="31">
        <f>IF(ISERROR(1/VLOOKUP($B62,Leveranser!$B$1:$S$499,MATCH("Såld värme (GWh)",Leveranser!$B$1:$S$1,0),FALSE)),"",VLOOKUP($B62,Leveranser!$B$1:$S$499,MATCH("Såld värme (GWh)",Leveranser!$B$1:$S$1,0),FALSE))</f>
        <v>1971</v>
      </c>
      <c r="AL62" s="31">
        <f>VLOOKUP($B62,Leveranser!$B$1:$Y$499,MATCH("Totalt såld fjärrvärme till andra fjärrvärmeföretag",Leveranser!$B$1:$AA$1,0),FALSE)</f>
        <v>0</v>
      </c>
      <c r="AM62" s="31">
        <f>IF(ISERROR(1/VLOOKUP($B62,Miljö!$B$1:$S$500,MATCH("Såld mängd produktionsspecifik fjärrvärme (GWh)",Miljö!$B$1:$R$1,0),FALSE)),0,VLOOKUP($B62,Miljö!$B$1:$S$500,MATCH("Såld mängd produktionsspecifik fjärrvärme (GWh)",Miljö!$B$1:$R$1,0),FALSE))</f>
        <v>0</v>
      </c>
      <c r="AN62" s="32">
        <f t="shared" si="2"/>
        <v>1.1403551366727187</v>
      </c>
      <c r="AP62" s="31" t="str">
        <f>IFERROR(VLOOKUP($B62,Miljövärden!$B$2:$H$550,7,FALSE),"Nej, saknas")</f>
        <v>Ja</v>
      </c>
      <c r="AQ62" s="31" t="str">
        <f>IFERROR(VLOOKUP($B62,Miljövärden!$B$2:$H$551,6,FALSE),"Nej, saknas")</f>
        <v>Ja</v>
      </c>
      <c r="AU62" s="31">
        <f t="shared" si="3"/>
        <v>57.107100000000003</v>
      </c>
      <c r="AV62" s="31">
        <f t="shared" si="4"/>
        <v>0</v>
      </c>
      <c r="AW62" s="31">
        <f t="shared" si="5"/>
        <v>147</v>
      </c>
      <c r="AX62" s="31">
        <f t="shared" si="6"/>
        <v>0</v>
      </c>
      <c r="AZ62" s="31">
        <f t="shared" si="7"/>
        <v>147</v>
      </c>
      <c r="BC62" s="31">
        <f t="shared" si="8"/>
        <v>226.84702860000002</v>
      </c>
      <c r="BD62" s="31">
        <f t="shared" si="9"/>
        <v>0</v>
      </c>
      <c r="BE62" s="31">
        <f t="shared" si="10"/>
        <v>147</v>
      </c>
      <c r="BF62" s="31">
        <f t="shared" si="11"/>
        <v>1297.4548</v>
      </c>
      <c r="BG62" s="31">
        <f t="shared" si="12"/>
        <v>57.107100000000003</v>
      </c>
      <c r="BH62" s="31">
        <f>VLOOKUP(B62,Miljö!$B$1:$BX$482,MATCH("Fossilandel för ursprungspecificerad el ()",Miljö!$B$1:$I$1,0),FALSE)</f>
        <v>0.19600000000000001</v>
      </c>
      <c r="BI62" s="31">
        <f>VLOOKUP(B62,Miljö!$B$1:$BX$482,MATCH("Kärnkraftsandel för ursprungsspecificerad el ()",Miljö!$B$1:$O$1,0),FALSE)</f>
        <v>0.22389999999999999</v>
      </c>
      <c r="BJ62" s="31">
        <f t="shared" si="13"/>
        <v>0</v>
      </c>
      <c r="BK62" s="31" t="str">
        <f>VLOOKUP(B62,Miljö!$B$1:$P$482,MATCH("Fossil andel i procent (%)",Miljö!$B$1:$P$1,0),FALSE)</f>
        <v>ET</v>
      </c>
      <c r="BL62" s="31">
        <f t="shared" si="14"/>
        <v>1728.4089286000001</v>
      </c>
      <c r="BO62" s="32">
        <f t="shared" si="22"/>
        <v>0.13772204960362641</v>
      </c>
      <c r="BP62" s="32">
        <f t="shared" si="15"/>
        <v>7.3977167546552787E-3</v>
      </c>
      <c r="BQ62" s="32">
        <f t="shared" si="16"/>
        <v>0.10421597905994526</v>
      </c>
      <c r="BR62" s="32">
        <f t="shared" si="17"/>
        <v>0.75066425458177299</v>
      </c>
      <c r="BT62" s="62">
        <f t="shared" si="18"/>
        <v>1</v>
      </c>
      <c r="BW62" s="32">
        <f>IF(AP62="Ja",VLOOKUP(B62,Miljövärden!$B$2:$H$551,MATCH("Total andel fossilt",Miljövärden!$B$2:$H$2,0),FALSE),"")</f>
        <v>0.13800000000000001</v>
      </c>
      <c r="BX62" s="62">
        <f t="shared" si="19"/>
        <v>2.7795039637359964E-4</v>
      </c>
      <c r="BZ62" s="31">
        <f t="shared" si="20"/>
        <v>2.7795039637359964E-4</v>
      </c>
      <c r="CA62" s="32">
        <f t="shared" si="21"/>
        <v>0</v>
      </c>
    </row>
    <row r="63" spans="1:79" x14ac:dyDescent="0.45">
      <c r="A63" s="31" t="s">
        <v>610</v>
      </c>
      <c r="B63" s="31" t="s">
        <v>611</v>
      </c>
      <c r="C63" s="31">
        <f>VLOOKUP($B63,'Tillförd energi'!$B$1:$AI$720,MATCH(C$1,'Tillförd energi'!$B$1:$AQ$1,0),FALSE)</f>
        <v>0</v>
      </c>
      <c r="D63" s="31">
        <f>VLOOKUP($B63,'Tillförd energi'!$B$1:$AI$720,MATCH(D$1,'Tillförd energi'!$B$1:$AQ$1,0),FALSE)</f>
        <v>0</v>
      </c>
      <c r="E63" s="31">
        <f>VLOOKUP($B63,'Tillförd energi'!$B$1:$AI$720,MATCH(E$1,'Tillförd energi'!$B$1:$AQ$1,0),FALSE)</f>
        <v>0</v>
      </c>
      <c r="F63" s="31">
        <f>VLOOKUP($B63,'Tillförd energi'!$B$1:$AI$720,MATCH(F$1,'Tillförd energi'!$B$1:$AQ$1,0),FALSE)</f>
        <v>0</v>
      </c>
      <c r="G63" s="31">
        <f>VLOOKUP($B63,'Tillförd energi'!$B$1:$AI$720,MATCH(G$1,'Tillförd energi'!$B$1:$AQ$1,0),FALSE)</f>
        <v>0</v>
      </c>
      <c r="H63" s="31">
        <f>VLOOKUP($B63,'Tillförd energi'!$B$1:$AI$720,MATCH(H$1,'Tillförd energi'!$B$1:$AQ$1,0),FALSE)</f>
        <v>0</v>
      </c>
      <c r="I63" s="31">
        <f>VLOOKUP($B63,'Tillförd energi'!$B$1:$AI$720,MATCH(I$1,'Tillförd energi'!$B$1:$AQ$1,0),FALSE)</f>
        <v>0</v>
      </c>
      <c r="J63" s="31">
        <f>VLOOKUP($B63,'Tillförd energi'!$B$1:$AI$720,MATCH(J$1,'Tillförd energi'!$B$1:$AQ$1,0),FALSE)</f>
        <v>0</v>
      </c>
      <c r="K63" s="31">
        <f>VLOOKUP($B63,'Tillförd energi'!$B$1:$AI$720,MATCH(K$1,'Tillförd energi'!$B$1:$AQ$1,0),FALSE)</f>
        <v>0</v>
      </c>
      <c r="L63" s="31">
        <f>VLOOKUP($B63,'Tillförd energi'!$B$1:$AI$720,MATCH(L$1,'Tillförd energi'!$B$1:$AQ$1,0),FALSE)</f>
        <v>0</v>
      </c>
      <c r="M63" s="31">
        <f>VLOOKUP($B63,'Tillförd energi'!$B$1:$AI$720,MATCH(M$1,'Tillförd energi'!$B$1:$AQ$1,0),FALSE)</f>
        <v>0</v>
      </c>
      <c r="N63" s="31">
        <f>VLOOKUP($B63,'Tillförd energi'!$B$1:$AI$720,MATCH(N$1,'Tillförd energi'!$B$1:$AQ$1,0),FALSE)</f>
        <v>0</v>
      </c>
      <c r="O63" s="31">
        <f>VLOOKUP($B63,'Tillförd energi'!$B$1:$AI$720,MATCH(O$1,'Tillförd energi'!$B$1:$AQ$1,0),FALSE)</f>
        <v>0</v>
      </c>
      <c r="P63" s="31">
        <f>VLOOKUP($B63,'Tillförd energi'!$B$1:$AI$720,MATCH(P$1,'Tillförd energi'!$B$1:$AQ$1,0),FALSE)</f>
        <v>40</v>
      </c>
      <c r="Q63" s="31">
        <f>VLOOKUP($B63,'Tillförd energi'!$B$1:$AI$720,MATCH(Q$1,'Tillförd energi'!$B$1:$AQ$1,0),FALSE)</f>
        <v>0</v>
      </c>
      <c r="R63" s="31">
        <f>VLOOKUP($B63,'Tillförd energi'!$B$1:$AI$720,MATCH(R$1,'Tillförd energi'!$B$1:$AQ$1,0),FALSE)</f>
        <v>0</v>
      </c>
      <c r="S63" s="31">
        <f>VLOOKUP($B63,'Tillförd energi'!$B$1:$AI$720,MATCH(S$1,'Tillförd energi'!$B$1:$AQ$1,0),FALSE)</f>
        <v>0</v>
      </c>
      <c r="T63" s="31">
        <f>VLOOKUP($B63,'Tillförd energi'!$B$1:$AI$720,MATCH(T$1,'Tillförd energi'!$B$1:$AQ$1,0),FALSE)</f>
        <v>0</v>
      </c>
      <c r="U63" s="31">
        <f>VLOOKUP($B63,'Tillförd energi'!$B$1:$AI$720,MATCH(U$1,'Tillförd energi'!$B$1:$AQ$1,0),FALSE)</f>
        <v>0</v>
      </c>
      <c r="V63" s="31">
        <f>VLOOKUP($B63,'Tillförd energi'!$B$1:$AI$720,MATCH(V$1,'Tillförd energi'!$B$1:$AQ$1,0),FALSE)</f>
        <v>0</v>
      </c>
      <c r="W63" s="31">
        <f>VLOOKUP($B63,'Tillförd energi'!$B$1:$AI$720,MATCH(W$1,'Tillförd energi'!$B$1:$AQ$1,0),FALSE)</f>
        <v>5.7</v>
      </c>
      <c r="X63" s="31">
        <f>VLOOKUP($B63,'Tillförd energi'!$B$1:$AI$720,MATCH(X$1,'Tillförd energi'!$B$1:$AQ$1,0),FALSE)</f>
        <v>0</v>
      </c>
      <c r="Y63" s="31">
        <f>VLOOKUP($B63,'Tillförd energi'!$B$1:$AI$720,MATCH(Y$1,'Tillförd energi'!$B$1:$AQ$1,0),FALSE)</f>
        <v>0</v>
      </c>
      <c r="Z63" s="31">
        <f>VLOOKUP($B63,'Tillförd energi'!$B$1:$AI$720,MATCH(Z$1,'Tillförd energi'!$B$1:$AQ$1,0),FALSE)</f>
        <v>0</v>
      </c>
      <c r="AA63" s="31">
        <f>VLOOKUP($B63,'Tillförd energi'!$B$1:$AI$720,MATCH(AA$1,'Tillförd energi'!$B$1:$AQ$1,0),FALSE)</f>
        <v>8.3000000000000007</v>
      </c>
      <c r="AB63" s="31">
        <f>VLOOKUP($B63,'Tillförd energi'!$B$1:$AI$720,MATCH(AB$1,'Tillförd energi'!$B$1:$AQ$1,0),FALSE)</f>
        <v>12.7</v>
      </c>
      <c r="AC63" s="31">
        <f>VLOOKUP($B63,'Tillförd energi'!$B$1:$AI$720,MATCH(AC$1,'Tillförd energi'!$B$1:$AQ$1,0),FALSE)</f>
        <v>0</v>
      </c>
      <c r="AD63" s="31">
        <f>VLOOKUP($B63,'Tillförd energi'!$B$1:$AI$720,MATCH(AD$1,'Tillförd energi'!$B$1:$AQ$1,0),FALSE)</f>
        <v>0.3</v>
      </c>
      <c r="AE63" s="31">
        <f>VLOOKUP($B63,'Tillförd energi'!$B$1:$AI$720,MATCH(AE$1,'Tillförd energi'!$B$1:$AQ$1,0),FALSE)</f>
        <v>0</v>
      </c>
      <c r="AF63" s="31">
        <f>VLOOKUP($B63,'Tillförd energi'!$B$1:$AI$720,MATCH(AF$1,'Tillförd energi'!$B$1:$AQ$1,0),FALSE)</f>
        <v>4.7</v>
      </c>
      <c r="AG63" s="31">
        <f>IFERROR(VLOOKUP(B63,Miljö!$B$1:$AC$550,MATCH("Köpt mängd produktionsspecifik fjärrvärme:",Miljö!$B$1:$AC$1,0),FALSE)/1,0)</f>
        <v>0</v>
      </c>
      <c r="AI63" s="31">
        <f t="shared" si="0"/>
        <v>71.7</v>
      </c>
      <c r="AJ63" s="31">
        <f t="shared" si="1"/>
        <v>71.7</v>
      </c>
      <c r="AK63" s="31">
        <f>IF(ISERROR(1/VLOOKUP($B63,Leveranser!$B$1:$S$499,MATCH("Såld värme (GWh)",Leveranser!$B$1:$S$1,0),FALSE)),"",VLOOKUP($B63,Leveranser!$B$1:$S$499,MATCH("Såld värme (GWh)",Leveranser!$B$1:$S$1,0),FALSE))</f>
        <v>61</v>
      </c>
      <c r="AL63" s="31">
        <f>VLOOKUP($B63,Leveranser!$B$1:$Y$499,MATCH("Totalt såld fjärrvärme till andra fjärrvärmeföretag",Leveranser!$B$1:$AA$1,0),FALSE)</f>
        <v>0</v>
      </c>
      <c r="AM63" s="31">
        <f>IF(ISERROR(1/VLOOKUP($B63,Miljö!$B$1:$S$500,MATCH("Såld mängd produktionsspecifik fjärrvärme (GWh)",Miljö!$B$1:$R$1,0),FALSE)),0,VLOOKUP($B63,Miljö!$B$1:$S$500,MATCH("Såld mängd produktionsspecifik fjärrvärme (GWh)",Miljö!$B$1:$R$1,0),FALSE))</f>
        <v>0</v>
      </c>
      <c r="AN63" s="32">
        <f t="shared" si="2"/>
        <v>0.85076708507670851</v>
      </c>
      <c r="AP63" s="31" t="str">
        <f>IFERROR(VLOOKUP($B63,Miljövärden!$B$2:$H$550,7,FALSE),"Nej, saknas")</f>
        <v>Ja</v>
      </c>
      <c r="AQ63" s="31" t="str">
        <f>IFERROR(VLOOKUP($B63,Miljövärden!$B$2:$H$551,6,FALSE),"Nej, saknas")</f>
        <v>Ja</v>
      </c>
      <c r="AU63" s="31">
        <f t="shared" si="3"/>
        <v>13</v>
      </c>
      <c r="AV63" s="31">
        <f t="shared" si="4"/>
        <v>0</v>
      </c>
      <c r="AW63" s="31">
        <f t="shared" si="5"/>
        <v>40</v>
      </c>
      <c r="AX63" s="31">
        <f t="shared" si="6"/>
        <v>0</v>
      </c>
      <c r="AZ63" s="31">
        <f t="shared" si="7"/>
        <v>45.7</v>
      </c>
      <c r="BC63" s="31">
        <f t="shared" si="8"/>
        <v>0</v>
      </c>
      <c r="BD63" s="31">
        <f t="shared" si="9"/>
        <v>0</v>
      </c>
      <c r="BE63" s="31">
        <f t="shared" si="10"/>
        <v>45.7</v>
      </c>
      <c r="BF63" s="31">
        <f t="shared" si="11"/>
        <v>13</v>
      </c>
      <c r="BG63" s="31">
        <f t="shared" si="12"/>
        <v>13</v>
      </c>
      <c r="BH63" s="31">
        <f>VLOOKUP(B63,Miljö!$B$1:$BX$482,MATCH("Fossilandel för ursprungspecificerad el ()",Miljö!$B$1:$I$1,0),FALSE)</f>
        <v>0.35</v>
      </c>
      <c r="BI63" s="31">
        <f>VLOOKUP(B63,Miljö!$B$1:$BX$482,MATCH("Kärnkraftsandel för ursprungsspecificerad el ()",Miljö!$B$1:$O$1,0),FALSE)</f>
        <v>0.3977</v>
      </c>
      <c r="BJ63" s="31">
        <f t="shared" si="13"/>
        <v>0</v>
      </c>
      <c r="BK63" s="31" t="str">
        <f>VLOOKUP(B63,Miljö!$B$1:$P$482,MATCH("Fossil andel i procent (%)",Miljö!$B$1:$P$1,0),FALSE)</f>
        <v>ET</v>
      </c>
      <c r="BL63" s="31">
        <f t="shared" si="14"/>
        <v>71.7</v>
      </c>
      <c r="BO63" s="32">
        <f t="shared" si="22"/>
        <v>6.3458856345885634E-2</v>
      </c>
      <c r="BP63" s="32">
        <f t="shared" si="15"/>
        <v>7.2107391910739185E-2</v>
      </c>
      <c r="BQ63" s="32">
        <f t="shared" si="16"/>
        <v>0.68312273361227338</v>
      </c>
      <c r="BR63" s="32">
        <f t="shared" si="17"/>
        <v>0.18131101813110181</v>
      </c>
      <c r="BT63" s="62">
        <f t="shared" si="18"/>
        <v>1</v>
      </c>
      <c r="BW63" s="32">
        <f>IF(AP63="Ja",VLOOKUP(B63,Miljövärden!$B$2:$H$551,MATCH("Total andel fossilt",Miljövärden!$B$2:$H$2,0),FALSE),"")</f>
        <v>6.3458899999999999E-2</v>
      </c>
      <c r="BX63" s="62">
        <f t="shared" si="19"/>
        <v>4.3654114365021535E-8</v>
      </c>
      <c r="BZ63" s="31">
        <f t="shared" si="20"/>
        <v>4.3654114365021535E-8</v>
      </c>
      <c r="CA63" s="32">
        <f t="shared" si="21"/>
        <v>0</v>
      </c>
    </row>
    <row r="64" spans="1:79" x14ac:dyDescent="0.45">
      <c r="A64" s="31" t="s">
        <v>610</v>
      </c>
      <c r="B64" s="31" t="s">
        <v>609</v>
      </c>
      <c r="C64" s="31">
        <f>VLOOKUP($B64,'Tillförd energi'!$B$1:$AI$720,MATCH(C$1,'Tillförd energi'!$B$1:$AQ$1,0),FALSE)</f>
        <v>0</v>
      </c>
      <c r="D64" s="31">
        <f>VLOOKUP($B64,'Tillförd energi'!$B$1:$AI$720,MATCH(D$1,'Tillförd energi'!$B$1:$AQ$1,0),FALSE)</f>
        <v>1.4</v>
      </c>
      <c r="E64" s="31">
        <f>VLOOKUP($B64,'Tillförd energi'!$B$1:$AI$720,MATCH(E$1,'Tillförd energi'!$B$1:$AQ$1,0),FALSE)</f>
        <v>0</v>
      </c>
      <c r="F64" s="31">
        <f>VLOOKUP($B64,'Tillförd energi'!$B$1:$AI$720,MATCH(F$1,'Tillförd energi'!$B$1:$AQ$1,0),FALSE)</f>
        <v>0</v>
      </c>
      <c r="G64" s="31">
        <f>VLOOKUP($B64,'Tillförd energi'!$B$1:$AI$720,MATCH(G$1,'Tillförd energi'!$B$1:$AQ$1,0),FALSE)</f>
        <v>0</v>
      </c>
      <c r="H64" s="31">
        <f>VLOOKUP($B64,'Tillförd energi'!$B$1:$AI$720,MATCH(H$1,'Tillförd energi'!$B$1:$AQ$1,0),FALSE)</f>
        <v>0</v>
      </c>
      <c r="I64" s="31">
        <f>VLOOKUP($B64,'Tillförd energi'!$B$1:$AI$720,MATCH(I$1,'Tillförd energi'!$B$1:$AQ$1,0),FALSE)</f>
        <v>0</v>
      </c>
      <c r="J64" s="31">
        <f>VLOOKUP($B64,'Tillförd energi'!$B$1:$AI$720,MATCH(J$1,'Tillförd energi'!$B$1:$AQ$1,0),FALSE)</f>
        <v>0</v>
      </c>
      <c r="K64" s="31">
        <f>VLOOKUP($B64,'Tillförd energi'!$B$1:$AI$720,MATCH(K$1,'Tillförd energi'!$B$1:$AQ$1,0),FALSE)</f>
        <v>0</v>
      </c>
      <c r="L64" s="31">
        <f>VLOOKUP($B64,'Tillförd energi'!$B$1:$AI$720,MATCH(L$1,'Tillförd energi'!$B$1:$AQ$1,0),FALSE)</f>
        <v>0</v>
      </c>
      <c r="M64" s="31">
        <f>VLOOKUP($B64,'Tillförd energi'!$B$1:$AI$720,MATCH(M$1,'Tillförd energi'!$B$1:$AQ$1,0),FALSE)</f>
        <v>0</v>
      </c>
      <c r="N64" s="31">
        <f>VLOOKUP($B64,'Tillförd energi'!$B$1:$AI$720,MATCH(N$1,'Tillförd energi'!$B$1:$AQ$1,0),FALSE)</f>
        <v>0</v>
      </c>
      <c r="O64" s="31">
        <f>VLOOKUP($B64,'Tillförd energi'!$B$1:$AI$720,MATCH(O$1,'Tillförd energi'!$B$1:$AQ$1,0),FALSE)</f>
        <v>0</v>
      </c>
      <c r="P64" s="31">
        <f>VLOOKUP($B64,'Tillförd energi'!$B$1:$AI$720,MATCH(P$1,'Tillförd energi'!$B$1:$AQ$1,0),FALSE)</f>
        <v>60</v>
      </c>
      <c r="Q64" s="31">
        <f>VLOOKUP($B64,'Tillförd energi'!$B$1:$AI$720,MATCH(Q$1,'Tillförd energi'!$B$1:$AQ$1,0),FALSE)</f>
        <v>0</v>
      </c>
      <c r="R64" s="31">
        <f>VLOOKUP($B64,'Tillförd energi'!$B$1:$AI$720,MATCH(R$1,'Tillförd energi'!$B$1:$AQ$1,0),FALSE)</f>
        <v>8</v>
      </c>
      <c r="S64" s="31">
        <f>VLOOKUP($B64,'Tillförd energi'!$B$1:$AI$720,MATCH(S$1,'Tillförd energi'!$B$1:$AQ$1,0),FALSE)</f>
        <v>0</v>
      </c>
      <c r="T64" s="31">
        <f>VLOOKUP($B64,'Tillförd energi'!$B$1:$AI$720,MATCH(T$1,'Tillförd energi'!$B$1:$AQ$1,0),FALSE)</f>
        <v>0</v>
      </c>
      <c r="U64" s="31">
        <f>VLOOKUP($B64,'Tillförd energi'!$B$1:$AI$720,MATCH(U$1,'Tillförd energi'!$B$1:$AQ$1,0),FALSE)</f>
        <v>0</v>
      </c>
      <c r="V64" s="31">
        <f>VLOOKUP($B64,'Tillförd energi'!$B$1:$AI$720,MATCH(V$1,'Tillförd energi'!$B$1:$AQ$1,0),FALSE)</f>
        <v>0</v>
      </c>
      <c r="W64" s="31">
        <f>VLOOKUP($B64,'Tillförd energi'!$B$1:$AI$720,MATCH(W$1,'Tillförd energi'!$B$1:$AQ$1,0),FALSE)</f>
        <v>8.8000000000000007</v>
      </c>
      <c r="X64" s="31">
        <f>VLOOKUP($B64,'Tillförd energi'!$B$1:$AI$720,MATCH(X$1,'Tillförd energi'!$B$1:$AQ$1,0),FALSE)</f>
        <v>0</v>
      </c>
      <c r="Y64" s="31">
        <f>VLOOKUP($B64,'Tillförd energi'!$B$1:$AI$720,MATCH(Y$1,'Tillförd energi'!$B$1:$AQ$1,0),FALSE)</f>
        <v>0</v>
      </c>
      <c r="Z64" s="31">
        <f>VLOOKUP($B64,'Tillförd energi'!$B$1:$AI$720,MATCH(Z$1,'Tillförd energi'!$B$1:$AQ$1,0),FALSE)</f>
        <v>0</v>
      </c>
      <c r="AA64" s="31">
        <f>VLOOKUP($B64,'Tillförd energi'!$B$1:$AI$720,MATCH(AA$1,'Tillförd energi'!$B$1:$AQ$1,0),FALSE)</f>
        <v>0</v>
      </c>
      <c r="AB64" s="31">
        <f>VLOOKUP($B64,'Tillförd energi'!$B$1:$AI$720,MATCH(AB$1,'Tillförd energi'!$B$1:$AQ$1,0),FALSE)</f>
        <v>0</v>
      </c>
      <c r="AC64" s="31">
        <f>VLOOKUP($B64,'Tillförd energi'!$B$1:$AI$720,MATCH(AC$1,'Tillförd energi'!$B$1:$AQ$1,0),FALSE)</f>
        <v>10.6</v>
      </c>
      <c r="AD64" s="31">
        <f>VLOOKUP($B64,'Tillförd energi'!$B$1:$AI$720,MATCH(AD$1,'Tillförd energi'!$B$1:$AQ$1,0),FALSE)</f>
        <v>0</v>
      </c>
      <c r="AE64" s="31">
        <f>VLOOKUP($B64,'Tillförd energi'!$B$1:$AI$720,MATCH(AE$1,'Tillförd energi'!$B$1:$AQ$1,0),FALSE)</f>
        <v>0</v>
      </c>
      <c r="AF64" s="31">
        <f>VLOOKUP($B64,'Tillförd energi'!$B$1:$AI$720,MATCH(AF$1,'Tillförd energi'!$B$1:$AQ$1,0),FALSE)</f>
        <v>1.7</v>
      </c>
      <c r="AG64" s="31">
        <f>IFERROR(VLOOKUP(B64,Miljö!$B$1:$AC$550,MATCH("Köpt mängd produktionsspecifik fjärrvärme:",Miljö!$B$1:$AC$1,0),FALSE)/1,0)</f>
        <v>0</v>
      </c>
      <c r="AI64" s="31">
        <f t="shared" si="0"/>
        <v>90.5</v>
      </c>
      <c r="AJ64" s="31">
        <f t="shared" si="1"/>
        <v>90.5</v>
      </c>
      <c r="AK64" s="31">
        <f>IF(ISERROR(1/VLOOKUP($B64,Leveranser!$B$1:$S$499,MATCH("Såld värme (GWh)",Leveranser!$B$1:$S$1,0),FALSE)),"",VLOOKUP($B64,Leveranser!$B$1:$S$499,MATCH("Såld värme (GWh)",Leveranser!$B$1:$S$1,0),FALSE))</f>
        <v>65</v>
      </c>
      <c r="AL64" s="31">
        <f>VLOOKUP($B64,Leveranser!$B$1:$Y$499,MATCH("Totalt såld fjärrvärme till andra fjärrvärmeföretag",Leveranser!$B$1:$AA$1,0),FALSE)</f>
        <v>0</v>
      </c>
      <c r="AM64" s="31">
        <f>IF(ISERROR(1/VLOOKUP($B64,Miljö!$B$1:$S$500,MATCH("Såld mängd produktionsspecifik fjärrvärme (GWh)",Miljö!$B$1:$R$1,0),FALSE)),0,VLOOKUP($B64,Miljö!$B$1:$S$500,MATCH("Såld mängd produktionsspecifik fjärrvärme (GWh)",Miljö!$B$1:$R$1,0),FALSE))</f>
        <v>0</v>
      </c>
      <c r="AN64" s="32">
        <f t="shared" si="2"/>
        <v>0.71823204419889508</v>
      </c>
      <c r="AP64" s="31" t="str">
        <f>IFERROR(VLOOKUP($B64,Miljövärden!$B$2:$H$550,7,FALSE),"Nej, saknas")</f>
        <v>Ja</v>
      </c>
      <c r="AQ64" s="31" t="str">
        <f>IFERROR(VLOOKUP($B64,Miljövärden!$B$2:$H$551,6,FALSE),"Nej, saknas")</f>
        <v>Ja</v>
      </c>
      <c r="AU64" s="31">
        <f t="shared" si="3"/>
        <v>1.7</v>
      </c>
      <c r="AV64" s="31">
        <f t="shared" si="4"/>
        <v>0</v>
      </c>
      <c r="AW64" s="31">
        <f t="shared" si="5"/>
        <v>60</v>
      </c>
      <c r="AX64" s="31">
        <f t="shared" si="6"/>
        <v>8</v>
      </c>
      <c r="AZ64" s="31">
        <f t="shared" si="7"/>
        <v>76.8</v>
      </c>
      <c r="BC64" s="31">
        <f t="shared" si="8"/>
        <v>1.4</v>
      </c>
      <c r="BD64" s="31">
        <f t="shared" si="9"/>
        <v>0</v>
      </c>
      <c r="BE64" s="31">
        <f t="shared" si="10"/>
        <v>76.8</v>
      </c>
      <c r="BF64" s="31">
        <f t="shared" si="11"/>
        <v>10.6</v>
      </c>
      <c r="BG64" s="31">
        <f t="shared" si="12"/>
        <v>1.7</v>
      </c>
      <c r="BH64" s="31">
        <f>VLOOKUP(B64,Miljö!$B$1:$BX$482,MATCH("Fossilandel för ursprungspecificerad el ()",Miljö!$B$1:$I$1,0),FALSE)</f>
        <v>0.35399999999999998</v>
      </c>
      <c r="BI64" s="31">
        <f>VLOOKUP(B64,Miljö!$B$1:$BX$482,MATCH("Kärnkraftsandel för ursprungsspecificerad el ()",Miljö!$B$1:$O$1,0),FALSE)</f>
        <v>0.39800000000000002</v>
      </c>
      <c r="BJ64" s="31">
        <f t="shared" si="13"/>
        <v>0</v>
      </c>
      <c r="BK64" s="31" t="str">
        <f>VLOOKUP(B64,Miljö!$B$1:$P$482,MATCH("Fossil andel i procent (%)",Miljö!$B$1:$P$1,0),FALSE)</f>
        <v>ET</v>
      </c>
      <c r="BL64" s="31">
        <f t="shared" si="14"/>
        <v>90.5</v>
      </c>
      <c r="BO64" s="32">
        <f t="shared" si="22"/>
        <v>2.2119337016574585E-2</v>
      </c>
      <c r="BP64" s="32">
        <f t="shared" si="15"/>
        <v>7.4762430939226514E-3</v>
      </c>
      <c r="BQ64" s="32">
        <f t="shared" si="16"/>
        <v>0.85327734806629829</v>
      </c>
      <c r="BR64" s="32">
        <f t="shared" si="17"/>
        <v>0.11712707182320442</v>
      </c>
      <c r="BT64" s="62">
        <f t="shared" si="18"/>
        <v>1</v>
      </c>
      <c r="BW64" s="32">
        <f>IF(AP64="Ja",VLOOKUP(B64,Miljövärden!$B$2:$H$551,MATCH("Total andel fossilt",Miljövärden!$B$2:$H$2,0),FALSE),"")</f>
        <v>2.2119300000000001E-2</v>
      </c>
      <c r="BX64" s="62">
        <f t="shared" si="19"/>
        <v>-3.7016574583326189E-8</v>
      </c>
      <c r="BZ64" s="31">
        <f t="shared" si="20"/>
        <v>-3.7016574583326189E-8</v>
      </c>
      <c r="CA64" s="32">
        <f t="shared" si="21"/>
        <v>0</v>
      </c>
    </row>
    <row r="65" spans="1:79" x14ac:dyDescent="0.45">
      <c r="A65" s="31" t="s">
        <v>610</v>
      </c>
      <c r="B65" s="31" t="s">
        <v>612</v>
      </c>
      <c r="C65" s="31">
        <f>VLOOKUP($B65,'Tillförd energi'!$B$1:$AI$720,MATCH(C$1,'Tillförd energi'!$B$1:$AQ$1,0),FALSE)</f>
        <v>0</v>
      </c>
      <c r="D65" s="31">
        <f>VLOOKUP($B65,'Tillförd energi'!$B$1:$AI$720,MATCH(D$1,'Tillförd energi'!$B$1:$AQ$1,0),FALSE)</f>
        <v>1.9</v>
      </c>
      <c r="E65" s="31">
        <f>VLOOKUP($B65,'Tillförd energi'!$B$1:$AI$720,MATCH(E$1,'Tillförd energi'!$B$1:$AQ$1,0),FALSE)</f>
        <v>0</v>
      </c>
      <c r="F65" s="31">
        <f>VLOOKUP($B65,'Tillförd energi'!$B$1:$AI$720,MATCH(F$1,'Tillförd energi'!$B$1:$AQ$1,0),FALSE)</f>
        <v>0</v>
      </c>
      <c r="G65" s="31">
        <f>VLOOKUP($B65,'Tillförd energi'!$B$1:$AI$720,MATCH(G$1,'Tillförd energi'!$B$1:$AQ$1,0),FALSE)</f>
        <v>0</v>
      </c>
      <c r="H65" s="31">
        <f>VLOOKUP($B65,'Tillförd energi'!$B$1:$AI$720,MATCH(H$1,'Tillförd energi'!$B$1:$AQ$1,0),FALSE)</f>
        <v>0</v>
      </c>
      <c r="I65" s="31">
        <f>VLOOKUP($B65,'Tillförd energi'!$B$1:$AI$720,MATCH(I$1,'Tillförd energi'!$B$1:$AQ$1,0),FALSE)</f>
        <v>0</v>
      </c>
      <c r="J65" s="31">
        <f>VLOOKUP($B65,'Tillförd energi'!$B$1:$AI$720,MATCH(J$1,'Tillförd energi'!$B$1:$AQ$1,0),FALSE)</f>
        <v>0</v>
      </c>
      <c r="K65" s="31">
        <f>VLOOKUP($B65,'Tillförd energi'!$B$1:$AI$720,MATCH(K$1,'Tillförd energi'!$B$1:$AQ$1,0),FALSE)</f>
        <v>0</v>
      </c>
      <c r="L65" s="31">
        <f>VLOOKUP($B65,'Tillförd energi'!$B$1:$AI$720,MATCH(L$1,'Tillförd energi'!$B$1:$AQ$1,0),FALSE)</f>
        <v>0</v>
      </c>
      <c r="M65" s="31">
        <f>VLOOKUP($B65,'Tillförd energi'!$B$1:$AI$720,MATCH(M$1,'Tillförd energi'!$B$1:$AQ$1,0),FALSE)</f>
        <v>0</v>
      </c>
      <c r="N65" s="31">
        <f>VLOOKUP($B65,'Tillförd energi'!$B$1:$AI$720,MATCH(N$1,'Tillförd energi'!$B$1:$AQ$1,0),FALSE)</f>
        <v>0</v>
      </c>
      <c r="O65" s="31">
        <f>VLOOKUP($B65,'Tillförd energi'!$B$1:$AI$720,MATCH(O$1,'Tillförd energi'!$B$1:$AQ$1,0),FALSE)</f>
        <v>0</v>
      </c>
      <c r="P65" s="31">
        <f>VLOOKUP($B65,'Tillförd energi'!$B$1:$AI$720,MATCH(P$1,'Tillförd energi'!$B$1:$AQ$1,0),FALSE)</f>
        <v>79</v>
      </c>
      <c r="Q65" s="31">
        <f>VLOOKUP($B65,'Tillförd energi'!$B$1:$AI$720,MATCH(Q$1,'Tillförd energi'!$B$1:$AQ$1,0),FALSE)</f>
        <v>0</v>
      </c>
      <c r="R65" s="31">
        <f>VLOOKUP($B65,'Tillförd energi'!$B$1:$AI$720,MATCH(R$1,'Tillförd energi'!$B$1:$AQ$1,0),FALSE)</f>
        <v>5</v>
      </c>
      <c r="S65" s="31">
        <f>VLOOKUP($B65,'Tillförd energi'!$B$1:$AI$720,MATCH(S$1,'Tillförd energi'!$B$1:$AQ$1,0),FALSE)</f>
        <v>0</v>
      </c>
      <c r="T65" s="31">
        <f>VLOOKUP($B65,'Tillförd energi'!$B$1:$AI$720,MATCH(T$1,'Tillförd energi'!$B$1:$AQ$1,0),FALSE)</f>
        <v>0</v>
      </c>
      <c r="U65" s="31">
        <f>VLOOKUP($B65,'Tillförd energi'!$B$1:$AI$720,MATCH(U$1,'Tillförd energi'!$B$1:$AQ$1,0),FALSE)</f>
        <v>0</v>
      </c>
      <c r="V65" s="31">
        <f>VLOOKUP($B65,'Tillförd energi'!$B$1:$AI$720,MATCH(V$1,'Tillförd energi'!$B$1:$AQ$1,0),FALSE)</f>
        <v>0</v>
      </c>
      <c r="W65" s="31">
        <f>VLOOKUP($B65,'Tillförd energi'!$B$1:$AI$720,MATCH(W$1,'Tillförd energi'!$B$1:$AQ$1,0),FALSE)</f>
        <v>1.4</v>
      </c>
      <c r="X65" s="31">
        <f>VLOOKUP($B65,'Tillförd energi'!$B$1:$AI$720,MATCH(X$1,'Tillförd energi'!$B$1:$AQ$1,0),FALSE)</f>
        <v>0</v>
      </c>
      <c r="Y65" s="31">
        <f>VLOOKUP($B65,'Tillförd energi'!$B$1:$AI$720,MATCH(Y$1,'Tillförd energi'!$B$1:$AQ$1,0),FALSE)</f>
        <v>0</v>
      </c>
      <c r="Z65" s="31">
        <f>VLOOKUP($B65,'Tillförd energi'!$B$1:$AI$720,MATCH(Z$1,'Tillförd energi'!$B$1:$AQ$1,0),FALSE)</f>
        <v>0</v>
      </c>
      <c r="AA65" s="31">
        <f>VLOOKUP($B65,'Tillförd energi'!$B$1:$AI$720,MATCH(AA$1,'Tillförd energi'!$B$1:$AQ$1,0),FALSE)</f>
        <v>0</v>
      </c>
      <c r="AB65" s="31">
        <f>VLOOKUP($B65,'Tillförd energi'!$B$1:$AI$720,MATCH(AB$1,'Tillförd energi'!$B$1:$AQ$1,0),FALSE)</f>
        <v>0</v>
      </c>
      <c r="AC65" s="31">
        <f>VLOOKUP($B65,'Tillförd energi'!$B$1:$AI$720,MATCH(AC$1,'Tillförd energi'!$B$1:$AQ$1,0),FALSE)</f>
        <v>10.5</v>
      </c>
      <c r="AD65" s="31">
        <f>VLOOKUP($B65,'Tillförd energi'!$B$1:$AI$720,MATCH(AD$1,'Tillförd energi'!$B$1:$AQ$1,0),FALSE)</f>
        <v>0</v>
      </c>
      <c r="AE65" s="31">
        <f>VLOOKUP($B65,'Tillförd energi'!$B$1:$AI$720,MATCH(AE$1,'Tillförd energi'!$B$1:$AQ$1,0),FALSE)</f>
        <v>0</v>
      </c>
      <c r="AF65" s="31">
        <f>VLOOKUP($B65,'Tillförd energi'!$B$1:$AI$720,MATCH(AF$1,'Tillförd energi'!$B$1:$AQ$1,0),FALSE)</f>
        <v>2.2999999999999998</v>
      </c>
      <c r="AG65" s="31">
        <f>IFERROR(VLOOKUP(B65,Miljö!$B$1:$AC$550,MATCH("Köpt mängd produktionsspecifik fjärrvärme:",Miljö!$B$1:$AC$1,0),FALSE)/1,0)</f>
        <v>0</v>
      </c>
      <c r="AI65" s="31">
        <f t="shared" si="0"/>
        <v>100.10000000000001</v>
      </c>
      <c r="AJ65" s="31">
        <f t="shared" si="1"/>
        <v>100.10000000000001</v>
      </c>
      <c r="AK65" s="31">
        <f>IF(ISERROR(1/VLOOKUP($B65,Leveranser!$B$1:$S$499,MATCH("Såld värme (GWh)",Leveranser!$B$1:$S$1,0),FALSE)),"",VLOOKUP($B65,Leveranser!$B$1:$S$499,MATCH("Såld värme (GWh)",Leveranser!$B$1:$S$1,0),FALSE))</f>
        <v>77.5</v>
      </c>
      <c r="AL65" s="31">
        <f>VLOOKUP($B65,Leveranser!$B$1:$Y$499,MATCH("Totalt såld fjärrvärme till andra fjärrvärmeföretag",Leveranser!$B$1:$AA$1,0),FALSE)</f>
        <v>0</v>
      </c>
      <c r="AM65" s="31">
        <f>IF(ISERROR(1/VLOOKUP($B65,Miljö!$B$1:$S$500,MATCH("Såld mängd produktionsspecifik fjärrvärme (GWh)",Miljö!$B$1:$R$1,0),FALSE)),0,VLOOKUP($B65,Miljö!$B$1:$S$500,MATCH("Såld mängd produktionsspecifik fjärrvärme (GWh)",Miljö!$B$1:$R$1,0),FALSE))</f>
        <v>0</v>
      </c>
      <c r="AN65" s="32">
        <f t="shared" si="2"/>
        <v>0.77422577422577421</v>
      </c>
      <c r="AP65" s="31" t="str">
        <f>IFERROR(VLOOKUP($B65,Miljövärden!$B$2:$H$550,7,FALSE),"Nej, saknas")</f>
        <v>Ja</v>
      </c>
      <c r="AQ65" s="31" t="str">
        <f>IFERROR(VLOOKUP($B65,Miljövärden!$B$2:$H$551,6,FALSE),"Nej, saknas")</f>
        <v>Ja</v>
      </c>
      <c r="AU65" s="31">
        <f t="shared" si="3"/>
        <v>2.2999999999999998</v>
      </c>
      <c r="AV65" s="31">
        <f t="shared" si="4"/>
        <v>0</v>
      </c>
      <c r="AW65" s="31">
        <f t="shared" si="5"/>
        <v>79</v>
      </c>
      <c r="AX65" s="31">
        <f t="shared" si="6"/>
        <v>5</v>
      </c>
      <c r="AZ65" s="31">
        <f t="shared" si="7"/>
        <v>85.4</v>
      </c>
      <c r="BC65" s="31">
        <f t="shared" si="8"/>
        <v>1.9</v>
      </c>
      <c r="BD65" s="31">
        <f t="shared" si="9"/>
        <v>0</v>
      </c>
      <c r="BE65" s="31">
        <f t="shared" si="10"/>
        <v>85.4</v>
      </c>
      <c r="BF65" s="31">
        <f t="shared" si="11"/>
        <v>10.5</v>
      </c>
      <c r="BG65" s="31">
        <f t="shared" si="12"/>
        <v>2.2999999999999998</v>
      </c>
      <c r="BH65" s="31">
        <f>VLOOKUP(B65,Miljö!$B$1:$BX$482,MATCH("Fossilandel för ursprungspecificerad el ()",Miljö!$B$1:$I$1,0),FALSE)</f>
        <v>0.35399999999999998</v>
      </c>
      <c r="BI65" s="31">
        <f>VLOOKUP(B65,Miljö!$B$1:$BX$482,MATCH("Kärnkraftsandel för ursprungsspecificerad el ()",Miljö!$B$1:$O$1,0),FALSE)</f>
        <v>0.39800000000000002</v>
      </c>
      <c r="BJ65" s="31">
        <f t="shared" si="13"/>
        <v>0</v>
      </c>
      <c r="BK65" s="31" t="str">
        <f>VLOOKUP(B65,Miljö!$B$1:$P$482,MATCH("Fossil andel i procent (%)",Miljö!$B$1:$P$1,0),FALSE)</f>
        <v>ET</v>
      </c>
      <c r="BL65" s="31">
        <f t="shared" si="14"/>
        <v>100.10000000000001</v>
      </c>
      <c r="BO65" s="32">
        <f t="shared" si="22"/>
        <v>2.7114885114885114E-2</v>
      </c>
      <c r="BP65" s="32">
        <f t="shared" si="15"/>
        <v>9.1448551448551438E-3</v>
      </c>
      <c r="BQ65" s="32">
        <f t="shared" si="16"/>
        <v>0.85884515484515489</v>
      </c>
      <c r="BR65" s="32">
        <f t="shared" si="17"/>
        <v>0.10489510489510488</v>
      </c>
      <c r="BT65" s="62">
        <f t="shared" si="18"/>
        <v>1</v>
      </c>
      <c r="BW65" s="32">
        <f>IF(AP65="Ja",VLOOKUP(B65,Miljövärden!$B$2:$H$551,MATCH("Total andel fossilt",Miljövärden!$B$2:$H$2,0),FALSE),"")</f>
        <v>2.7114900000000001E-2</v>
      </c>
      <c r="BX65" s="62">
        <f t="shared" si="19"/>
        <v>1.4885114887203121E-8</v>
      </c>
      <c r="BZ65" s="31">
        <f t="shared" si="20"/>
        <v>1.4885114887203121E-8</v>
      </c>
      <c r="CA65" s="32">
        <f t="shared" si="21"/>
        <v>0</v>
      </c>
    </row>
    <row r="66" spans="1:79" hidden="1" x14ac:dyDescent="0.45">
      <c r="A66" s="31" t="s">
        <v>608</v>
      </c>
      <c r="B66" s="31" t="s">
        <v>608</v>
      </c>
      <c r="C66" s="31">
        <f>VLOOKUP($B66,'Tillförd energi'!$B$1:$AI$720,MATCH(C$1,'Tillförd energi'!$B$1:$AQ$1,0),FALSE)</f>
        <v>0</v>
      </c>
      <c r="D66" s="31">
        <f>VLOOKUP($B66,'Tillförd energi'!$B$1:$AI$720,MATCH(D$1,'Tillförd energi'!$B$1:$AQ$1,0),FALSE)</f>
        <v>0</v>
      </c>
      <c r="E66" s="31">
        <f>VLOOKUP($B66,'Tillförd energi'!$B$1:$AI$720,MATCH(E$1,'Tillförd energi'!$B$1:$AQ$1,0),FALSE)</f>
        <v>0</v>
      </c>
      <c r="F66" s="31">
        <f>VLOOKUP($B66,'Tillförd energi'!$B$1:$AI$720,MATCH(F$1,'Tillförd energi'!$B$1:$AQ$1,0),FALSE)</f>
        <v>0</v>
      </c>
      <c r="G66" s="31">
        <f>VLOOKUP($B66,'Tillförd energi'!$B$1:$AI$720,MATCH(G$1,'Tillförd energi'!$B$1:$AQ$1,0),FALSE)</f>
        <v>0</v>
      </c>
      <c r="H66" s="31">
        <f>VLOOKUP($B66,'Tillförd energi'!$B$1:$AI$720,MATCH(H$1,'Tillförd energi'!$B$1:$AQ$1,0),FALSE)</f>
        <v>0</v>
      </c>
      <c r="I66" s="31">
        <f>VLOOKUP($B66,'Tillförd energi'!$B$1:$AI$720,MATCH(I$1,'Tillförd energi'!$B$1:$AQ$1,0),FALSE)</f>
        <v>0</v>
      </c>
      <c r="J66" s="31">
        <f>VLOOKUP($B66,'Tillförd energi'!$B$1:$AI$720,MATCH(J$1,'Tillförd energi'!$B$1:$AQ$1,0),FALSE)</f>
        <v>0</v>
      </c>
      <c r="K66" s="31">
        <f>VLOOKUP($B66,'Tillförd energi'!$B$1:$AI$720,MATCH(K$1,'Tillförd energi'!$B$1:$AQ$1,0),FALSE)</f>
        <v>0</v>
      </c>
      <c r="L66" s="31">
        <f>VLOOKUP($B66,'Tillförd energi'!$B$1:$AI$720,MATCH(L$1,'Tillförd energi'!$B$1:$AQ$1,0),FALSE)</f>
        <v>0</v>
      </c>
      <c r="M66" s="31">
        <f>VLOOKUP($B66,'Tillförd energi'!$B$1:$AI$720,MATCH(M$1,'Tillförd energi'!$B$1:$AQ$1,0),FALSE)</f>
        <v>0</v>
      </c>
      <c r="N66" s="31">
        <f>VLOOKUP($B66,'Tillförd energi'!$B$1:$AI$720,MATCH(N$1,'Tillförd energi'!$B$1:$AQ$1,0),FALSE)</f>
        <v>0</v>
      </c>
      <c r="O66" s="31">
        <f>VLOOKUP($B66,'Tillförd energi'!$B$1:$AI$720,MATCH(O$1,'Tillförd energi'!$B$1:$AQ$1,0),FALSE)</f>
        <v>0</v>
      </c>
      <c r="P66" s="31">
        <f>VLOOKUP($B66,'Tillförd energi'!$B$1:$AI$720,MATCH(P$1,'Tillförd energi'!$B$1:$AQ$1,0),FALSE)</f>
        <v>0</v>
      </c>
      <c r="Q66" s="31">
        <f>VLOOKUP($B66,'Tillförd energi'!$B$1:$AI$720,MATCH(Q$1,'Tillförd energi'!$B$1:$AQ$1,0),FALSE)</f>
        <v>0</v>
      </c>
      <c r="R66" s="31">
        <f>VLOOKUP($B66,'Tillförd energi'!$B$1:$AI$720,MATCH(R$1,'Tillförd energi'!$B$1:$AQ$1,0),FALSE)</f>
        <v>0</v>
      </c>
      <c r="S66" s="31">
        <f>VLOOKUP($B66,'Tillförd energi'!$B$1:$AI$720,MATCH(S$1,'Tillförd energi'!$B$1:$AQ$1,0),FALSE)</f>
        <v>0</v>
      </c>
      <c r="T66" s="31">
        <f>VLOOKUP($B66,'Tillförd energi'!$B$1:$AI$720,MATCH(T$1,'Tillförd energi'!$B$1:$AQ$1,0),FALSE)</f>
        <v>0</v>
      </c>
      <c r="U66" s="31">
        <f>VLOOKUP($B66,'Tillförd energi'!$B$1:$AI$720,MATCH(U$1,'Tillförd energi'!$B$1:$AQ$1,0),FALSE)</f>
        <v>0</v>
      </c>
      <c r="V66" s="31">
        <f>VLOOKUP($B66,'Tillförd energi'!$B$1:$AI$720,MATCH(V$1,'Tillförd energi'!$B$1:$AQ$1,0),FALSE)</f>
        <v>0</v>
      </c>
      <c r="W66" s="31">
        <f>VLOOKUP($B66,'Tillförd energi'!$B$1:$AI$720,MATCH(W$1,'Tillförd energi'!$B$1:$AQ$1,0),FALSE)</f>
        <v>0</v>
      </c>
      <c r="X66" s="31">
        <f>VLOOKUP($B66,'Tillförd energi'!$B$1:$AI$720,MATCH(X$1,'Tillförd energi'!$B$1:$AQ$1,0),FALSE)</f>
        <v>0</v>
      </c>
      <c r="Y66" s="31">
        <f>VLOOKUP($B66,'Tillförd energi'!$B$1:$AI$720,MATCH(Y$1,'Tillförd energi'!$B$1:$AQ$1,0),FALSE)</f>
        <v>0</v>
      </c>
      <c r="Z66" s="31">
        <f>VLOOKUP($B66,'Tillförd energi'!$B$1:$AI$720,MATCH(Z$1,'Tillförd energi'!$B$1:$AQ$1,0),FALSE)</f>
        <v>0</v>
      </c>
      <c r="AA66" s="31">
        <f>VLOOKUP($B66,'Tillförd energi'!$B$1:$AI$720,MATCH(AA$1,'Tillförd energi'!$B$1:$AQ$1,0),FALSE)</f>
        <v>0</v>
      </c>
      <c r="AB66" s="31">
        <f>VLOOKUP($B66,'Tillförd energi'!$B$1:$AI$720,MATCH(AB$1,'Tillförd energi'!$B$1:$AQ$1,0),FALSE)</f>
        <v>0</v>
      </c>
      <c r="AC66" s="31">
        <f>VLOOKUP($B66,'Tillförd energi'!$B$1:$AI$720,MATCH(AC$1,'Tillförd energi'!$B$1:$AQ$1,0),FALSE)</f>
        <v>0</v>
      </c>
      <c r="AD66" s="31">
        <f>VLOOKUP($B66,'Tillförd energi'!$B$1:$AI$720,MATCH(AD$1,'Tillförd energi'!$B$1:$AQ$1,0),FALSE)</f>
        <v>0</v>
      </c>
      <c r="AE66" s="31">
        <f>VLOOKUP($B66,'Tillförd energi'!$B$1:$AI$720,MATCH(AE$1,'Tillförd energi'!$B$1:$AQ$1,0),FALSE)</f>
        <v>0</v>
      </c>
      <c r="AF66" s="31">
        <f>VLOOKUP($B66,'Tillförd energi'!$B$1:$AI$720,MATCH(AF$1,'Tillförd energi'!$B$1:$AQ$1,0),FALSE)</f>
        <v>0</v>
      </c>
      <c r="AG66" s="31">
        <f>IFERROR(VLOOKUP(B66,Miljö!$B$1:$AC$550,MATCH("Köpt mängd produktionsspecifik fjärrvärme:",Miljö!$B$1:$AC$1,0),FALSE)/1,0)</f>
        <v>0</v>
      </c>
      <c r="AI66" s="31">
        <f t="shared" si="0"/>
        <v>0</v>
      </c>
      <c r="AJ66" s="31">
        <f t="shared" si="1"/>
        <v>0</v>
      </c>
      <c r="AK66" s="31" t="str">
        <f>IF(ISERROR(1/VLOOKUP($B66,Leveranser!$B$1:$S$499,MATCH("Såld värme (GWh)",Leveranser!$B$1:$S$1,0),FALSE)),"",VLOOKUP($B66,Leveranser!$B$1:$S$499,MATCH("Såld värme (GWh)",Leveranser!$B$1:$S$1,0),FALSE))</f>
        <v/>
      </c>
      <c r="AL66" s="31">
        <f>VLOOKUP($B66,Leveranser!$B$1:$Y$499,MATCH("Totalt såld fjärrvärme till andra fjärrvärmeföretag",Leveranser!$B$1:$AA$1,0),FALSE)</f>
        <v>0</v>
      </c>
      <c r="AM66" s="31">
        <f>IF(ISERROR(1/VLOOKUP($B66,Miljö!$B$1:$S$500,MATCH("Såld mängd produktionsspecifik fjärrvärme (GWh)",Miljö!$B$1:$R$1,0),FALSE)),0,VLOOKUP($B66,Miljö!$B$1:$S$500,MATCH("Såld mängd produktionsspecifik fjärrvärme (GWh)",Miljö!$B$1:$R$1,0),FALSE))</f>
        <v>0</v>
      </c>
      <c r="AN66" s="32" t="str">
        <f t="shared" si="2"/>
        <v/>
      </c>
      <c r="AP66" s="31" t="str">
        <f>IFERROR(VLOOKUP($B66,Miljövärden!$B$2:$H$550,7,FALSE),"Nej, saknas")</f>
        <v>Nej</v>
      </c>
      <c r="AQ66" s="31" t="str">
        <f>IFERROR(VLOOKUP($B66,Miljövärden!$B$2:$H$551,6,FALSE),"Nej, saknas")</f>
        <v>Nej</v>
      </c>
      <c r="AU66" s="31">
        <f t="shared" si="3"/>
        <v>0</v>
      </c>
      <c r="AV66" s="31">
        <f t="shared" si="4"/>
        <v>0</v>
      </c>
      <c r="AW66" s="31">
        <f t="shared" si="5"/>
        <v>0</v>
      </c>
      <c r="AX66" s="31">
        <f t="shared" si="6"/>
        <v>0</v>
      </c>
      <c r="AZ66" s="31">
        <f t="shared" si="7"/>
        <v>0</v>
      </c>
      <c r="BC66" s="31">
        <f t="shared" si="8"/>
        <v>0</v>
      </c>
      <c r="BD66" s="31">
        <f t="shared" si="9"/>
        <v>0</v>
      </c>
      <c r="BE66" s="31">
        <f t="shared" si="10"/>
        <v>0</v>
      </c>
      <c r="BF66" s="31">
        <f t="shared" si="11"/>
        <v>0</v>
      </c>
      <c r="BG66" s="31">
        <f t="shared" si="12"/>
        <v>0</v>
      </c>
      <c r="BH66" s="31" t="str">
        <f>VLOOKUP(B66,Miljö!$B$1:$BX$482,MATCH("Fossilandel för ursprungspecificerad el ()",Miljö!$B$1:$I$1,0),FALSE)</f>
        <v>-</v>
      </c>
      <c r="BI66" s="31" t="str">
        <f>VLOOKUP(B66,Miljö!$B$1:$BX$482,MATCH("Kärnkraftsandel för ursprungsspecificerad el ()",Miljö!$B$1:$O$1,0),FALSE)</f>
        <v>-</v>
      </c>
      <c r="BJ66" s="31">
        <f t="shared" si="13"/>
        <v>0</v>
      </c>
      <c r="BK66" s="31" t="str">
        <f>VLOOKUP(B66,Miljö!$B$1:$P$482,MATCH("Fossil andel i procent (%)",Miljö!$B$1:$P$1,0),FALSE)</f>
        <v>-</v>
      </c>
      <c r="BL66" s="31">
        <f t="shared" si="14"/>
        <v>0</v>
      </c>
      <c r="BO66" s="32" t="str">
        <f t="shared" si="22"/>
        <v/>
      </c>
      <c r="BP66" s="32" t="str">
        <f t="shared" si="15"/>
        <v/>
      </c>
      <c r="BQ66" s="32" t="str">
        <f t="shared" si="16"/>
        <v/>
      </c>
      <c r="BR66" s="32" t="str">
        <f t="shared" si="17"/>
        <v/>
      </c>
      <c r="BT66" s="62">
        <f t="shared" si="18"/>
        <v>0</v>
      </c>
      <c r="BW66" s="32" t="str">
        <f>IF(AP66="Ja",VLOOKUP(B66,Miljövärden!$B$2:$H$551,MATCH("Total andel fossilt",Miljövärden!$B$2:$H$2,0),FALSE),"")</f>
        <v/>
      </c>
      <c r="BX66" s="62" t="e">
        <f t="shared" si="19"/>
        <v>#VALUE!</v>
      </c>
      <c r="BZ66" s="31" t="str">
        <f t="shared" si="20"/>
        <v/>
      </c>
      <c r="CA66" s="32" t="str">
        <f t="shared" si="21"/>
        <v/>
      </c>
    </row>
    <row r="67" spans="1:79" x14ac:dyDescent="0.45">
      <c r="A67" s="31" t="s">
        <v>605</v>
      </c>
      <c r="B67" s="31" t="s">
        <v>607</v>
      </c>
      <c r="C67" s="31">
        <f>VLOOKUP($B67,'Tillförd energi'!$B$1:$AI$720,MATCH(C$1,'Tillförd energi'!$B$1:$AQ$1,0),FALSE)</f>
        <v>0</v>
      </c>
      <c r="D67" s="31">
        <f>VLOOKUP($B67,'Tillförd energi'!$B$1:$AI$720,MATCH(D$1,'Tillförd energi'!$B$1:$AQ$1,0),FALSE)</f>
        <v>0</v>
      </c>
      <c r="E67" s="31">
        <f>VLOOKUP($B67,'Tillförd energi'!$B$1:$AI$720,MATCH(E$1,'Tillförd energi'!$B$1:$AQ$1,0),FALSE)</f>
        <v>0</v>
      </c>
      <c r="F67" s="31">
        <f>VLOOKUP($B67,'Tillförd energi'!$B$1:$AI$720,MATCH(F$1,'Tillförd energi'!$B$1:$AQ$1,0),FALSE)</f>
        <v>0</v>
      </c>
      <c r="G67" s="31">
        <f>VLOOKUP($B67,'Tillförd energi'!$B$1:$AI$720,MATCH(G$1,'Tillförd energi'!$B$1:$AQ$1,0),FALSE)</f>
        <v>0</v>
      </c>
      <c r="H67" s="31">
        <f>VLOOKUP($B67,'Tillförd energi'!$B$1:$AI$720,MATCH(H$1,'Tillförd energi'!$B$1:$AQ$1,0),FALSE)</f>
        <v>0</v>
      </c>
      <c r="I67" s="31">
        <f>VLOOKUP($B67,'Tillförd energi'!$B$1:$AI$720,MATCH(I$1,'Tillförd energi'!$B$1:$AQ$1,0),FALSE)</f>
        <v>113.372</v>
      </c>
      <c r="J67" s="31">
        <f>VLOOKUP($B67,'Tillförd energi'!$B$1:$AI$720,MATCH(J$1,'Tillförd energi'!$B$1:$AQ$1,0),FALSE)</f>
        <v>0</v>
      </c>
      <c r="K67" s="31">
        <f>VLOOKUP($B67,'Tillförd energi'!$B$1:$AI$720,MATCH(K$1,'Tillförd energi'!$B$1:$AQ$1,0),FALSE)</f>
        <v>0</v>
      </c>
      <c r="L67" s="31">
        <f>VLOOKUP($B67,'Tillförd energi'!$B$1:$AI$720,MATCH(L$1,'Tillförd energi'!$B$1:$AQ$1,0),FALSE)</f>
        <v>0</v>
      </c>
      <c r="M67" s="31">
        <f>VLOOKUP($B67,'Tillförd energi'!$B$1:$AI$720,MATCH(M$1,'Tillförd energi'!$B$1:$AQ$1,0),FALSE)</f>
        <v>2.4</v>
      </c>
      <c r="N67" s="31">
        <f>VLOOKUP($B67,'Tillförd energi'!$B$1:$AI$720,MATCH(N$1,'Tillförd energi'!$B$1:$AQ$1,0),FALSE)</f>
        <v>0</v>
      </c>
      <c r="O67" s="31">
        <f>VLOOKUP($B67,'Tillförd energi'!$B$1:$AI$720,MATCH(O$1,'Tillförd energi'!$B$1:$AQ$1,0),FALSE)</f>
        <v>2.4</v>
      </c>
      <c r="P67" s="31">
        <f>VLOOKUP($B67,'Tillförd energi'!$B$1:$AI$720,MATCH(P$1,'Tillförd energi'!$B$1:$AQ$1,0),FALSE)</f>
        <v>19.3</v>
      </c>
      <c r="Q67" s="31">
        <f>VLOOKUP($B67,'Tillförd energi'!$B$1:$AI$720,MATCH(Q$1,'Tillförd energi'!$B$1:$AQ$1,0),FALSE)</f>
        <v>1.6</v>
      </c>
      <c r="R67" s="31">
        <f>VLOOKUP($B67,'Tillförd energi'!$B$1:$AI$720,MATCH(R$1,'Tillförd energi'!$B$1:$AQ$1,0),FALSE)</f>
        <v>0</v>
      </c>
      <c r="S67" s="31">
        <f>VLOOKUP($B67,'Tillförd energi'!$B$1:$AI$720,MATCH(S$1,'Tillförd energi'!$B$1:$AQ$1,0),FALSE)</f>
        <v>0</v>
      </c>
      <c r="T67" s="31">
        <f>VLOOKUP($B67,'Tillförd energi'!$B$1:$AI$720,MATCH(T$1,'Tillförd energi'!$B$1:$AQ$1,0),FALSE)</f>
        <v>0</v>
      </c>
      <c r="U67" s="31">
        <f>VLOOKUP($B67,'Tillförd energi'!$B$1:$AI$720,MATCH(U$1,'Tillförd energi'!$B$1:$AQ$1,0),FALSE)</f>
        <v>0</v>
      </c>
      <c r="V67" s="31">
        <f>VLOOKUP($B67,'Tillförd energi'!$B$1:$AI$720,MATCH(V$1,'Tillförd energi'!$B$1:$AQ$1,0),FALSE)</f>
        <v>0</v>
      </c>
      <c r="W67" s="31">
        <f>VLOOKUP($B67,'Tillförd energi'!$B$1:$AI$720,MATCH(W$1,'Tillförd energi'!$B$1:$AQ$1,0),FALSE)</f>
        <v>1.1240000000000001</v>
      </c>
      <c r="X67" s="31">
        <f>VLOOKUP($B67,'Tillförd energi'!$B$1:$AI$720,MATCH(X$1,'Tillförd energi'!$B$1:$AQ$1,0),FALSE)</f>
        <v>0</v>
      </c>
      <c r="Y67" s="31">
        <f>VLOOKUP($B67,'Tillförd energi'!$B$1:$AI$720,MATCH(Y$1,'Tillförd energi'!$B$1:$AQ$1,0),FALSE)</f>
        <v>0</v>
      </c>
      <c r="Z67" s="31">
        <f>VLOOKUP($B67,'Tillförd energi'!$B$1:$AI$720,MATCH(Z$1,'Tillförd energi'!$B$1:$AQ$1,0),FALSE)</f>
        <v>0</v>
      </c>
      <c r="AA67" s="31">
        <f>VLOOKUP($B67,'Tillförd energi'!$B$1:$AI$720,MATCH(AA$1,'Tillförd energi'!$B$1:$AQ$1,0),FALSE)</f>
        <v>0</v>
      </c>
      <c r="AB67" s="31">
        <f>VLOOKUP($B67,'Tillförd energi'!$B$1:$AI$720,MATCH(AB$1,'Tillförd energi'!$B$1:$AQ$1,0),FALSE)</f>
        <v>0</v>
      </c>
      <c r="AC67" s="31">
        <f>VLOOKUP($B67,'Tillförd energi'!$B$1:$AI$720,MATCH(AC$1,'Tillförd energi'!$B$1:$AQ$1,0),FALSE)</f>
        <v>0</v>
      </c>
      <c r="AD67" s="31">
        <f>VLOOKUP($B67,'Tillförd energi'!$B$1:$AI$720,MATCH(AD$1,'Tillförd energi'!$B$1:$AQ$1,0),FALSE)</f>
        <v>0</v>
      </c>
      <c r="AE67" s="31">
        <f>VLOOKUP($B67,'Tillförd energi'!$B$1:$AI$720,MATCH(AE$1,'Tillförd energi'!$B$1:$AQ$1,0),FALSE)</f>
        <v>0</v>
      </c>
      <c r="AF67" s="31">
        <f>VLOOKUP($B67,'Tillförd energi'!$B$1:$AI$720,MATCH(AF$1,'Tillförd energi'!$B$1:$AQ$1,0),FALSE)</f>
        <v>5.9778200000000004</v>
      </c>
      <c r="AG67" s="31">
        <f>IFERROR(VLOOKUP(B67,Miljö!$B$1:$AC$550,MATCH("Köpt mängd produktionsspecifik fjärrvärme:",Miljö!$B$1:$AC$1,0),FALSE)/1,0)</f>
        <v>0</v>
      </c>
      <c r="AI67" s="31">
        <f t="shared" ref="AI67:AI130" si="23">SUM(C67:AF67)</f>
        <v>146.17382000000001</v>
      </c>
      <c r="AJ67" s="31">
        <f t="shared" ref="AJ67:AJ130" si="24">SUM(C67:AG67)</f>
        <v>146.17382000000001</v>
      </c>
      <c r="AK67" s="31">
        <f>IF(ISERROR(1/VLOOKUP($B67,Leveranser!$B$1:$S$499,MATCH("Såld värme (GWh)",Leveranser!$B$1:$S$1,0),FALSE)),"",VLOOKUP($B67,Leveranser!$B$1:$S$499,MATCH("Såld värme (GWh)",Leveranser!$B$1:$S$1,0),FALSE))</f>
        <v>102.72199999999999</v>
      </c>
      <c r="AL67" s="31">
        <f>VLOOKUP($B67,Leveranser!$B$1:$Y$499,MATCH("Totalt såld fjärrvärme till andra fjärrvärmeföretag",Leveranser!$B$1:$AA$1,0),FALSE)</f>
        <v>0</v>
      </c>
      <c r="AM67" s="31">
        <f>IF(ISERROR(1/VLOOKUP($B67,Miljö!$B$1:$S$500,MATCH("Såld mängd produktionsspecifik fjärrvärme (GWh)",Miljö!$B$1:$R$1,0),FALSE)),0,VLOOKUP($B67,Miljö!$B$1:$S$500,MATCH("Såld mängd produktionsspecifik fjärrvärme (GWh)",Miljö!$B$1:$R$1,0),FALSE))</f>
        <v>0</v>
      </c>
      <c r="AN67" s="32">
        <f t="shared" ref="AN67:AN130" si="25">IFERROR(AK67/AJ67,"")</f>
        <v>0.70273869835241354</v>
      </c>
      <c r="AP67" s="31" t="str">
        <f>IFERROR(VLOOKUP($B67,Miljövärden!$B$2:$H$550,7,FALSE),"Nej, saknas")</f>
        <v>Ja</v>
      </c>
      <c r="AQ67" s="31" t="str">
        <f>IFERROR(VLOOKUP($B67,Miljövärden!$B$2:$H$551,6,FALSE),"Nej, saknas")</f>
        <v>Ja</v>
      </c>
      <c r="AU67" s="31">
        <f t="shared" ref="AU67:AU130" si="26">Z67+AA67+AF67</f>
        <v>5.9778200000000004</v>
      </c>
      <c r="AV67" s="31">
        <f t="shared" ref="AV67:AV130" si="27">X67</f>
        <v>0</v>
      </c>
      <c r="AW67" s="31">
        <f t="shared" ref="AW67:AW130" si="28">M67+N67+O67+P67+Q67</f>
        <v>25.700000000000003</v>
      </c>
      <c r="AX67" s="31">
        <f t="shared" ref="AX67:AX130" si="29">R67+S67+T67+U67</f>
        <v>0</v>
      </c>
      <c r="AZ67" s="31">
        <f t="shared" ref="AZ67:AZ130" si="30">L67+M67+N67+O67+P67+Q67+R67+S67+T67+U67+V67+W67+X67</f>
        <v>26.824000000000002</v>
      </c>
      <c r="BC67" s="31">
        <f t="shared" ref="BC67:BC130" si="31">C67+D67+E67+F67+G67+H67+AE67</f>
        <v>0</v>
      </c>
      <c r="BD67" s="31">
        <f t="shared" ref="BD67:BD130" si="32">Y67</f>
        <v>0</v>
      </c>
      <c r="BE67" s="31">
        <f t="shared" ref="BE67:BE130" si="33">M67+N67+O67+P67+Q67+R67+S67+T67+U67+V67+W67+X67</f>
        <v>26.824000000000002</v>
      </c>
      <c r="BF67" s="31">
        <f t="shared" ref="BF67:BF130" si="34">I67+J67+K67+L67+AB67+AC67+AD67</f>
        <v>113.372</v>
      </c>
      <c r="BG67" s="31">
        <f t="shared" ref="BG67:BG130" si="35">Z67+AA67+AF67</f>
        <v>5.9778200000000004</v>
      </c>
      <c r="BH67" s="31">
        <f>VLOOKUP(B67,Miljö!$B$1:$BX$482,MATCH("Fossilandel för ursprungspecificerad el ()",Miljö!$B$1:$I$1,0),FALSE)</f>
        <v>0.35</v>
      </c>
      <c r="BI67" s="31">
        <f>VLOOKUP(B67,Miljö!$B$1:$BX$482,MATCH("Kärnkraftsandel för ursprungsspecificerad el ()",Miljö!$B$1:$O$1,0),FALSE)</f>
        <v>0.3977</v>
      </c>
      <c r="BJ67" s="31">
        <f t="shared" ref="BJ67:BJ130" si="36">AG67</f>
        <v>0</v>
      </c>
      <c r="BK67" s="31" t="str">
        <f>VLOOKUP(B67,Miljö!$B$1:$P$482,MATCH("Fossil andel i procent (%)",Miljö!$B$1:$P$1,0),FALSE)</f>
        <v>ET</v>
      </c>
      <c r="BL67" s="31">
        <f t="shared" ref="BL67:BL130" si="37">SUM(BC67:BG67,BJ67)</f>
        <v>146.17382000000001</v>
      </c>
      <c r="BO67" s="32">
        <f t="shared" ref="BO67:BO130" si="38">IF(AP67="ja",(BC67+IFERROR(BG67*BH67,0)+IFERROR(BJ67*BK67/100,0))/$BL67,"")</f>
        <v>1.4313349681906102E-2</v>
      </c>
      <c r="BP67" s="32">
        <f t="shared" ref="BP67:BP130" si="39">IF(AP67="ja",(BD67+IFERROR(BG67*BI67,0)+IFERROR(BJ67*(1-BK67/100),0))/$BL67,"")</f>
        <v>1.626405476712588E-2</v>
      </c>
      <c r="BQ67" s="32">
        <f t="shared" ref="BQ67:BQ130" si="40">IF(AP67="ja",(BE67+IFERROR(BG67*(1-BH67-BI67),0))/$BL67,"")</f>
        <v>0.19382543321369039</v>
      </c>
      <c r="BR67" s="32">
        <f t="shared" ref="BR67:BR130" si="41">IF(AP67="Ja",BF67/$BL67,"")</f>
        <v>0.7755971623372776</v>
      </c>
      <c r="BT67" s="62">
        <f t="shared" ref="BT67:BT130" si="42">SUM(BO67:BR67)</f>
        <v>1</v>
      </c>
      <c r="BW67" s="32">
        <f>IF(AP67="Ja",VLOOKUP(B67,Miljövärden!$B$2:$H$551,MATCH("Total andel fossilt",Miljövärden!$B$2:$H$2,0),FALSE),"")</f>
        <v>1.43134E-2</v>
      </c>
      <c r="BX67" s="62">
        <f t="shared" ref="BX67:BX130" si="43">BW67-BO67</f>
        <v>5.0318093898146787E-8</v>
      </c>
      <c r="BZ67" s="31">
        <f t="shared" ref="BZ67:BZ130" si="44">IFERROR(BW67-BO67,"")</f>
        <v>5.0318093898146787E-8</v>
      </c>
      <c r="CA67" s="32">
        <f t="shared" ref="CA67:CA130" si="45">IFERROR(ROUND(BW67,3)-ROUND(BO67,3),"")</f>
        <v>0</v>
      </c>
    </row>
    <row r="68" spans="1:79" x14ac:dyDescent="0.45">
      <c r="A68" s="31" t="s">
        <v>605</v>
      </c>
      <c r="B68" s="31" t="s">
        <v>606</v>
      </c>
      <c r="C68" s="31">
        <f>VLOOKUP($B68,'Tillförd energi'!$B$1:$AI$720,MATCH(C$1,'Tillförd energi'!$B$1:$AQ$1,0),FALSE)</f>
        <v>0</v>
      </c>
      <c r="D68" s="31">
        <f>VLOOKUP($B68,'Tillförd energi'!$B$1:$AI$720,MATCH(D$1,'Tillförd energi'!$B$1:$AQ$1,0),FALSE)</f>
        <v>0</v>
      </c>
      <c r="E68" s="31">
        <f>VLOOKUP($B68,'Tillförd energi'!$B$1:$AI$720,MATCH(E$1,'Tillförd energi'!$B$1:$AQ$1,0),FALSE)</f>
        <v>0</v>
      </c>
      <c r="F68" s="31">
        <f>VLOOKUP($B68,'Tillförd energi'!$B$1:$AI$720,MATCH(F$1,'Tillförd energi'!$B$1:$AQ$1,0),FALSE)</f>
        <v>0</v>
      </c>
      <c r="G68" s="31">
        <f>VLOOKUP($B68,'Tillförd energi'!$B$1:$AI$720,MATCH(G$1,'Tillförd energi'!$B$1:$AQ$1,0),FALSE)</f>
        <v>0</v>
      </c>
      <c r="H68" s="31">
        <f>VLOOKUP($B68,'Tillförd energi'!$B$1:$AI$720,MATCH(H$1,'Tillförd energi'!$B$1:$AQ$1,0),FALSE)</f>
        <v>0</v>
      </c>
      <c r="I68" s="31">
        <f>VLOOKUP($B68,'Tillförd energi'!$B$1:$AI$720,MATCH(I$1,'Tillförd energi'!$B$1:$AQ$1,0),FALSE)</f>
        <v>0</v>
      </c>
      <c r="J68" s="31">
        <f>VLOOKUP($B68,'Tillförd energi'!$B$1:$AI$720,MATCH(J$1,'Tillförd energi'!$B$1:$AQ$1,0),FALSE)</f>
        <v>0</v>
      </c>
      <c r="K68" s="31">
        <f>VLOOKUP($B68,'Tillförd energi'!$B$1:$AI$720,MATCH(K$1,'Tillförd energi'!$B$1:$AQ$1,0),FALSE)</f>
        <v>0</v>
      </c>
      <c r="L68" s="31">
        <f>VLOOKUP($B68,'Tillförd energi'!$B$1:$AI$720,MATCH(L$1,'Tillförd energi'!$B$1:$AQ$1,0),FALSE)</f>
        <v>0</v>
      </c>
      <c r="M68" s="31">
        <f>VLOOKUP($B68,'Tillförd energi'!$B$1:$AI$720,MATCH(M$1,'Tillförd energi'!$B$1:$AQ$1,0),FALSE)</f>
        <v>1.44</v>
      </c>
      <c r="N68" s="31">
        <f>VLOOKUP($B68,'Tillförd energi'!$B$1:$AI$720,MATCH(N$1,'Tillförd energi'!$B$1:$AQ$1,0),FALSE)</f>
        <v>0</v>
      </c>
      <c r="O68" s="31">
        <f>VLOOKUP($B68,'Tillförd energi'!$B$1:$AI$720,MATCH(O$1,'Tillförd energi'!$B$1:$AQ$1,0),FALSE)</f>
        <v>1.44</v>
      </c>
      <c r="P68" s="31">
        <f>VLOOKUP($B68,'Tillförd energi'!$B$1:$AI$720,MATCH(P$1,'Tillförd energi'!$B$1:$AQ$1,0),FALSE)</f>
        <v>1.44</v>
      </c>
      <c r="Q68" s="31">
        <f>VLOOKUP($B68,'Tillförd energi'!$B$1:$AI$720,MATCH(Q$1,'Tillförd energi'!$B$1:$AQ$1,0),FALSE)</f>
        <v>0</v>
      </c>
      <c r="R68" s="31">
        <f>VLOOKUP($B68,'Tillförd energi'!$B$1:$AI$720,MATCH(R$1,'Tillförd energi'!$B$1:$AQ$1,0),FALSE)</f>
        <v>0</v>
      </c>
      <c r="S68" s="31">
        <f>VLOOKUP($B68,'Tillförd energi'!$B$1:$AI$720,MATCH(S$1,'Tillförd energi'!$B$1:$AQ$1,0),FALSE)</f>
        <v>0</v>
      </c>
      <c r="T68" s="31">
        <f>VLOOKUP($B68,'Tillförd energi'!$B$1:$AI$720,MATCH(T$1,'Tillförd energi'!$B$1:$AQ$1,0),FALSE)</f>
        <v>0</v>
      </c>
      <c r="U68" s="31">
        <f>VLOOKUP($B68,'Tillförd energi'!$B$1:$AI$720,MATCH(U$1,'Tillförd energi'!$B$1:$AQ$1,0),FALSE)</f>
        <v>0</v>
      </c>
      <c r="V68" s="31">
        <f>VLOOKUP($B68,'Tillförd energi'!$B$1:$AI$720,MATCH(V$1,'Tillförd energi'!$B$1:$AQ$1,0),FALSE)</f>
        <v>0</v>
      </c>
      <c r="W68" s="31">
        <f>VLOOKUP($B68,'Tillförd energi'!$B$1:$AI$720,MATCH(W$1,'Tillförd energi'!$B$1:$AQ$1,0),FALSE)</f>
        <v>5.3999999999999999E-2</v>
      </c>
      <c r="X68" s="31">
        <f>VLOOKUP($B68,'Tillförd energi'!$B$1:$AI$720,MATCH(X$1,'Tillförd energi'!$B$1:$AQ$1,0),FALSE)</f>
        <v>0</v>
      </c>
      <c r="Y68" s="31">
        <f>VLOOKUP($B68,'Tillförd energi'!$B$1:$AI$720,MATCH(Y$1,'Tillförd energi'!$B$1:$AQ$1,0),FALSE)</f>
        <v>0</v>
      </c>
      <c r="Z68" s="31">
        <f>VLOOKUP($B68,'Tillförd energi'!$B$1:$AI$720,MATCH(Z$1,'Tillförd energi'!$B$1:$AQ$1,0),FALSE)</f>
        <v>0</v>
      </c>
      <c r="AA68" s="31">
        <f>VLOOKUP($B68,'Tillförd energi'!$B$1:$AI$720,MATCH(AA$1,'Tillförd energi'!$B$1:$AQ$1,0),FALSE)</f>
        <v>0</v>
      </c>
      <c r="AB68" s="31">
        <f>VLOOKUP($B68,'Tillförd energi'!$B$1:$AI$720,MATCH(AB$1,'Tillförd energi'!$B$1:$AQ$1,0),FALSE)</f>
        <v>0</v>
      </c>
      <c r="AC68" s="31">
        <f>VLOOKUP($B68,'Tillförd energi'!$B$1:$AI$720,MATCH(AC$1,'Tillförd energi'!$B$1:$AQ$1,0),FALSE)</f>
        <v>0</v>
      </c>
      <c r="AD68" s="31">
        <f>VLOOKUP($B68,'Tillförd energi'!$B$1:$AI$720,MATCH(AD$1,'Tillförd energi'!$B$1:$AQ$1,0),FALSE)</f>
        <v>0</v>
      </c>
      <c r="AE68" s="31">
        <f>VLOOKUP($B68,'Tillförd energi'!$B$1:$AI$720,MATCH(AE$1,'Tillförd energi'!$B$1:$AQ$1,0),FALSE)</f>
        <v>0</v>
      </c>
      <c r="AF68" s="31">
        <f>VLOOKUP($B68,'Tillförd energi'!$B$1:$AI$720,MATCH(AF$1,'Tillförd energi'!$B$1:$AQ$1,0),FALSE)</f>
        <v>0.12</v>
      </c>
      <c r="AG68" s="31">
        <f>IFERROR(VLOOKUP(B68,Miljö!$B$1:$AC$550,MATCH("Köpt mängd produktionsspecifik fjärrvärme:",Miljö!$B$1:$AC$1,0),FALSE)/1,0)</f>
        <v>0</v>
      </c>
      <c r="AI68" s="31">
        <f t="shared" si="23"/>
        <v>4.4940000000000007</v>
      </c>
      <c r="AJ68" s="31">
        <f t="shared" si="24"/>
        <v>4.4940000000000007</v>
      </c>
      <c r="AK68" s="31">
        <f>IF(ISERROR(1/VLOOKUP($B68,Leveranser!$B$1:$S$499,MATCH("Såld värme (GWh)",Leveranser!$B$1:$S$1,0),FALSE)),"",VLOOKUP($B68,Leveranser!$B$1:$S$499,MATCH("Såld värme (GWh)",Leveranser!$B$1:$S$1,0),FALSE))</f>
        <v>2.8330000000000002</v>
      </c>
      <c r="AL68" s="31">
        <f>VLOOKUP($B68,Leveranser!$B$1:$Y$499,MATCH("Totalt såld fjärrvärme till andra fjärrvärmeföretag",Leveranser!$B$1:$AA$1,0),FALSE)</f>
        <v>0</v>
      </c>
      <c r="AM68" s="31">
        <f>IF(ISERROR(1/VLOOKUP($B68,Miljö!$B$1:$S$500,MATCH("Såld mängd produktionsspecifik fjärrvärme (GWh)",Miljö!$B$1:$R$1,0),FALSE)),0,VLOOKUP($B68,Miljö!$B$1:$S$500,MATCH("Såld mängd produktionsspecifik fjärrvärme (GWh)",Miljö!$B$1:$R$1,0),FALSE))</f>
        <v>0</v>
      </c>
      <c r="AN68" s="32">
        <f t="shared" si="25"/>
        <v>0.63039608366711164</v>
      </c>
      <c r="AP68" s="31" t="str">
        <f>IFERROR(VLOOKUP($B68,Miljövärden!$B$2:$H$550,7,FALSE),"Nej, saknas")</f>
        <v>Ja</v>
      </c>
      <c r="AQ68" s="31" t="str">
        <f>IFERROR(VLOOKUP($B68,Miljövärden!$B$2:$H$551,6,FALSE),"Nej, saknas")</f>
        <v>Nej</v>
      </c>
      <c r="AU68" s="31">
        <f t="shared" si="26"/>
        <v>0.12</v>
      </c>
      <c r="AV68" s="31">
        <f t="shared" si="27"/>
        <v>0</v>
      </c>
      <c r="AW68" s="31">
        <f t="shared" si="28"/>
        <v>4.32</v>
      </c>
      <c r="AX68" s="31">
        <f t="shared" si="29"/>
        <v>0</v>
      </c>
      <c r="AZ68" s="31">
        <f t="shared" si="30"/>
        <v>4.3740000000000006</v>
      </c>
      <c r="BC68" s="31">
        <f t="shared" si="31"/>
        <v>0</v>
      </c>
      <c r="BD68" s="31">
        <f t="shared" si="32"/>
        <v>0</v>
      </c>
      <c r="BE68" s="31">
        <f t="shared" si="33"/>
        <v>4.3740000000000006</v>
      </c>
      <c r="BF68" s="31">
        <f t="shared" si="34"/>
        <v>0</v>
      </c>
      <c r="BG68" s="31">
        <f t="shared" si="35"/>
        <v>0.12</v>
      </c>
      <c r="BH68" s="31">
        <f>VLOOKUP(B68,Miljö!$B$1:$BX$482,MATCH("Fossilandel för ursprungspecificerad el ()",Miljö!$B$1:$I$1,0),FALSE)</f>
        <v>0.35</v>
      </c>
      <c r="BI68" s="31">
        <f>VLOOKUP(B68,Miljö!$B$1:$BX$482,MATCH("Kärnkraftsandel för ursprungsspecificerad el ()",Miljö!$B$1:$O$1,0),FALSE)</f>
        <v>0.3977</v>
      </c>
      <c r="BJ68" s="31">
        <f t="shared" si="36"/>
        <v>0</v>
      </c>
      <c r="BK68" s="31" t="str">
        <f>VLOOKUP(B68,Miljö!$B$1:$P$482,MATCH("Fossil andel i procent (%)",Miljö!$B$1:$P$1,0),FALSE)</f>
        <v>ET</v>
      </c>
      <c r="BL68" s="31">
        <f t="shared" si="37"/>
        <v>4.4940000000000007</v>
      </c>
      <c r="BO68" s="32">
        <f t="shared" si="38"/>
        <v>9.3457943925233621E-3</v>
      </c>
      <c r="BP68" s="32">
        <f t="shared" si="39"/>
        <v>1.0619492656875833E-2</v>
      </c>
      <c r="BQ68" s="32">
        <f t="shared" si="40"/>
        <v>0.98003471295060074</v>
      </c>
      <c r="BR68" s="32">
        <f t="shared" si="41"/>
        <v>0</v>
      </c>
      <c r="BT68" s="62">
        <f t="shared" si="42"/>
        <v>0.99999999999999989</v>
      </c>
      <c r="BW68" s="32">
        <f>IF(AP68="Ja",VLOOKUP(B68,Miljövärden!$B$2:$H$551,MATCH("Total andel fossilt",Miljövärden!$B$2:$H$2,0),FALSE),"")</f>
        <v>9.3457899999999997E-3</v>
      </c>
      <c r="BX68" s="62">
        <f t="shared" si="43"/>
        <v>-4.3925233624009241E-9</v>
      </c>
      <c r="BZ68" s="31">
        <f t="shared" si="44"/>
        <v>-4.3925233624009241E-9</v>
      </c>
      <c r="CA68" s="32">
        <f t="shared" si="45"/>
        <v>0</v>
      </c>
    </row>
    <row r="69" spans="1:79" x14ac:dyDescent="0.45">
      <c r="A69" s="31" t="s">
        <v>605</v>
      </c>
      <c r="B69" s="31" t="s">
        <v>604</v>
      </c>
      <c r="C69" s="31">
        <f>VLOOKUP($B69,'Tillförd energi'!$B$1:$AI$720,MATCH(C$1,'Tillförd energi'!$B$1:$AQ$1,0),FALSE)</f>
        <v>0</v>
      </c>
      <c r="D69" s="31">
        <f>VLOOKUP($B69,'Tillförd energi'!$B$1:$AI$720,MATCH(D$1,'Tillförd energi'!$B$1:$AQ$1,0),FALSE)</f>
        <v>0</v>
      </c>
      <c r="E69" s="31">
        <f>VLOOKUP($B69,'Tillförd energi'!$B$1:$AI$720,MATCH(E$1,'Tillförd energi'!$B$1:$AQ$1,0),FALSE)</f>
        <v>0</v>
      </c>
      <c r="F69" s="31">
        <f>VLOOKUP($B69,'Tillförd energi'!$B$1:$AI$720,MATCH(F$1,'Tillförd energi'!$B$1:$AQ$1,0),FALSE)</f>
        <v>0</v>
      </c>
      <c r="G69" s="31">
        <f>VLOOKUP($B69,'Tillförd energi'!$B$1:$AI$720,MATCH(G$1,'Tillförd energi'!$B$1:$AQ$1,0),FALSE)</f>
        <v>0</v>
      </c>
      <c r="H69" s="31">
        <f>VLOOKUP($B69,'Tillförd energi'!$B$1:$AI$720,MATCH(H$1,'Tillförd energi'!$B$1:$AQ$1,0),FALSE)</f>
        <v>0</v>
      </c>
      <c r="I69" s="31">
        <f>VLOOKUP($B69,'Tillförd energi'!$B$1:$AI$720,MATCH(I$1,'Tillförd energi'!$B$1:$AQ$1,0),FALSE)</f>
        <v>0</v>
      </c>
      <c r="J69" s="31">
        <f>VLOOKUP($B69,'Tillförd energi'!$B$1:$AI$720,MATCH(J$1,'Tillförd energi'!$B$1:$AQ$1,0),FALSE)</f>
        <v>0</v>
      </c>
      <c r="K69" s="31">
        <f>VLOOKUP($B69,'Tillförd energi'!$B$1:$AI$720,MATCH(K$1,'Tillförd energi'!$B$1:$AQ$1,0),FALSE)</f>
        <v>0</v>
      </c>
      <c r="L69" s="31">
        <f>VLOOKUP($B69,'Tillförd energi'!$B$1:$AI$720,MATCH(L$1,'Tillförd energi'!$B$1:$AQ$1,0),FALSE)</f>
        <v>0</v>
      </c>
      <c r="M69" s="31">
        <f>VLOOKUP($B69,'Tillförd energi'!$B$1:$AI$720,MATCH(M$1,'Tillförd energi'!$B$1:$AQ$1,0),FALSE)</f>
        <v>6.45</v>
      </c>
      <c r="N69" s="31">
        <f>VLOOKUP($B69,'Tillförd energi'!$B$1:$AI$720,MATCH(N$1,'Tillförd energi'!$B$1:$AQ$1,0),FALSE)</f>
        <v>0</v>
      </c>
      <c r="O69" s="31">
        <f>VLOOKUP($B69,'Tillförd energi'!$B$1:$AI$720,MATCH(O$1,'Tillförd energi'!$B$1:$AQ$1,0),FALSE)</f>
        <v>6.45</v>
      </c>
      <c r="P69" s="31">
        <f>VLOOKUP($B69,'Tillförd energi'!$B$1:$AI$720,MATCH(P$1,'Tillförd energi'!$B$1:$AQ$1,0),FALSE)</f>
        <v>6.45</v>
      </c>
      <c r="Q69" s="31">
        <f>VLOOKUP($B69,'Tillförd energi'!$B$1:$AI$720,MATCH(Q$1,'Tillförd energi'!$B$1:$AQ$1,0),FALSE)</f>
        <v>0</v>
      </c>
      <c r="R69" s="31">
        <f>VLOOKUP($B69,'Tillförd energi'!$B$1:$AI$720,MATCH(R$1,'Tillförd energi'!$B$1:$AQ$1,0),FALSE)</f>
        <v>0</v>
      </c>
      <c r="S69" s="31">
        <f>VLOOKUP($B69,'Tillförd energi'!$B$1:$AI$720,MATCH(S$1,'Tillförd energi'!$B$1:$AQ$1,0),FALSE)</f>
        <v>0</v>
      </c>
      <c r="T69" s="31">
        <f>VLOOKUP($B69,'Tillförd energi'!$B$1:$AI$720,MATCH(T$1,'Tillförd energi'!$B$1:$AQ$1,0),FALSE)</f>
        <v>0</v>
      </c>
      <c r="U69" s="31">
        <f>VLOOKUP($B69,'Tillförd energi'!$B$1:$AI$720,MATCH(U$1,'Tillförd energi'!$B$1:$AQ$1,0),FALSE)</f>
        <v>0</v>
      </c>
      <c r="V69" s="31">
        <f>VLOOKUP($B69,'Tillförd energi'!$B$1:$AI$720,MATCH(V$1,'Tillförd energi'!$B$1:$AQ$1,0),FALSE)</f>
        <v>0</v>
      </c>
      <c r="W69" s="31">
        <f>VLOOKUP($B69,'Tillförd energi'!$B$1:$AI$720,MATCH(W$1,'Tillförd energi'!$B$1:$AQ$1,0),FALSE)</f>
        <v>0.20799999999999999</v>
      </c>
      <c r="X69" s="31">
        <f>VLOOKUP($B69,'Tillförd energi'!$B$1:$AI$720,MATCH(X$1,'Tillförd energi'!$B$1:$AQ$1,0),FALSE)</f>
        <v>0</v>
      </c>
      <c r="Y69" s="31">
        <f>VLOOKUP($B69,'Tillförd energi'!$B$1:$AI$720,MATCH(Y$1,'Tillförd energi'!$B$1:$AQ$1,0),FALSE)</f>
        <v>0</v>
      </c>
      <c r="Z69" s="31">
        <f>VLOOKUP($B69,'Tillförd energi'!$B$1:$AI$720,MATCH(Z$1,'Tillförd energi'!$B$1:$AQ$1,0),FALSE)</f>
        <v>0</v>
      </c>
      <c r="AA69" s="31">
        <f>VLOOKUP($B69,'Tillförd energi'!$B$1:$AI$720,MATCH(AA$1,'Tillförd energi'!$B$1:$AQ$1,0),FALSE)</f>
        <v>0</v>
      </c>
      <c r="AB69" s="31">
        <f>VLOOKUP($B69,'Tillförd energi'!$B$1:$AI$720,MATCH(AB$1,'Tillförd energi'!$B$1:$AQ$1,0),FALSE)</f>
        <v>0</v>
      </c>
      <c r="AC69" s="31">
        <f>VLOOKUP($B69,'Tillförd energi'!$B$1:$AI$720,MATCH(AC$1,'Tillförd energi'!$B$1:$AQ$1,0),FALSE)</f>
        <v>0</v>
      </c>
      <c r="AD69" s="31">
        <f>VLOOKUP($B69,'Tillförd energi'!$B$1:$AI$720,MATCH(AD$1,'Tillförd energi'!$B$1:$AQ$1,0),FALSE)</f>
        <v>0</v>
      </c>
      <c r="AE69" s="31">
        <f>VLOOKUP($B69,'Tillförd energi'!$B$1:$AI$720,MATCH(AE$1,'Tillförd energi'!$B$1:$AQ$1,0),FALSE)</f>
        <v>0</v>
      </c>
      <c r="AF69" s="31">
        <f>VLOOKUP($B69,'Tillförd energi'!$B$1:$AI$720,MATCH(AF$1,'Tillförd energi'!$B$1:$AQ$1,0),FALSE)</f>
        <v>0.34</v>
      </c>
      <c r="AG69" s="31">
        <f>IFERROR(VLOOKUP(B69,Miljö!$B$1:$AC$550,MATCH("Köpt mängd produktionsspecifik fjärrvärme:",Miljö!$B$1:$AC$1,0),FALSE)/1,0)</f>
        <v>0</v>
      </c>
      <c r="AI69" s="31">
        <f t="shared" si="23"/>
        <v>19.898</v>
      </c>
      <c r="AJ69" s="31">
        <f t="shared" si="24"/>
        <v>19.898</v>
      </c>
      <c r="AK69" s="31">
        <f>IF(ISERROR(1/VLOOKUP($B69,Leveranser!$B$1:$S$499,MATCH("Såld värme (GWh)",Leveranser!$B$1:$S$1,0),FALSE)),"",VLOOKUP($B69,Leveranser!$B$1:$S$499,MATCH("Såld värme (GWh)",Leveranser!$B$1:$S$1,0),FALSE))</f>
        <v>12.869</v>
      </c>
      <c r="AL69" s="31">
        <f>VLOOKUP($B69,Leveranser!$B$1:$Y$499,MATCH("Totalt såld fjärrvärme till andra fjärrvärmeföretag",Leveranser!$B$1:$AA$1,0),FALSE)</f>
        <v>0</v>
      </c>
      <c r="AM69" s="31">
        <f>IF(ISERROR(1/VLOOKUP($B69,Miljö!$B$1:$S$500,MATCH("Såld mängd produktionsspecifik fjärrvärme (GWh)",Miljö!$B$1:$R$1,0),FALSE)),0,VLOOKUP($B69,Miljö!$B$1:$S$500,MATCH("Såld mängd produktionsspecifik fjärrvärme (GWh)",Miljö!$B$1:$R$1,0),FALSE))</f>
        <v>0</v>
      </c>
      <c r="AN69" s="32">
        <f t="shared" si="25"/>
        <v>0.64674841692632423</v>
      </c>
      <c r="AP69" s="31" t="str">
        <f>IFERROR(VLOOKUP($B69,Miljövärden!$B$2:$H$550,7,FALSE),"Nej, saknas")</f>
        <v>Ja</v>
      </c>
      <c r="AQ69" s="31" t="str">
        <f>IFERROR(VLOOKUP($B69,Miljövärden!$B$2:$H$551,6,FALSE),"Nej, saknas")</f>
        <v>Nej</v>
      </c>
      <c r="AU69" s="31">
        <f t="shared" si="26"/>
        <v>0.34</v>
      </c>
      <c r="AV69" s="31">
        <f t="shared" si="27"/>
        <v>0</v>
      </c>
      <c r="AW69" s="31">
        <f t="shared" si="28"/>
        <v>19.350000000000001</v>
      </c>
      <c r="AX69" s="31">
        <f t="shared" si="29"/>
        <v>0</v>
      </c>
      <c r="AZ69" s="31">
        <f t="shared" si="30"/>
        <v>19.558</v>
      </c>
      <c r="BC69" s="31">
        <f t="shared" si="31"/>
        <v>0</v>
      </c>
      <c r="BD69" s="31">
        <f t="shared" si="32"/>
        <v>0</v>
      </c>
      <c r="BE69" s="31">
        <f t="shared" si="33"/>
        <v>19.558</v>
      </c>
      <c r="BF69" s="31">
        <f t="shared" si="34"/>
        <v>0</v>
      </c>
      <c r="BG69" s="31">
        <f t="shared" si="35"/>
        <v>0.34</v>
      </c>
      <c r="BH69" s="31">
        <f>VLOOKUP(B69,Miljö!$B$1:$BX$482,MATCH("Fossilandel för ursprungspecificerad el ()",Miljö!$B$1:$I$1,0),FALSE)</f>
        <v>0.35</v>
      </c>
      <c r="BI69" s="31">
        <f>VLOOKUP(B69,Miljö!$B$1:$BX$482,MATCH("Kärnkraftsandel för ursprungsspecificerad el ()",Miljö!$B$1:$O$1,0),FALSE)</f>
        <v>0.3977</v>
      </c>
      <c r="BJ69" s="31">
        <f t="shared" si="36"/>
        <v>0</v>
      </c>
      <c r="BK69" s="31" t="str">
        <f>VLOOKUP(B69,Miljö!$B$1:$P$482,MATCH("Fossil andel i procent (%)",Miljö!$B$1:$P$1,0),FALSE)</f>
        <v>ET</v>
      </c>
      <c r="BL69" s="31">
        <f t="shared" si="37"/>
        <v>19.898</v>
      </c>
      <c r="BO69" s="32">
        <f t="shared" si="38"/>
        <v>5.9805005528193785E-3</v>
      </c>
      <c r="BP69" s="32">
        <f t="shared" si="39"/>
        <v>6.7955573424464772E-3</v>
      </c>
      <c r="BQ69" s="32">
        <f t="shared" si="40"/>
        <v>0.98722394210473408</v>
      </c>
      <c r="BR69" s="32">
        <f t="shared" si="41"/>
        <v>0</v>
      </c>
      <c r="BT69" s="62">
        <f t="shared" si="42"/>
        <v>0.99999999999999989</v>
      </c>
      <c r="BW69" s="32">
        <f>IF(AP69="Ja",VLOOKUP(B69,Miljövärden!$B$2:$H$551,MATCH("Total andel fossilt",Miljövärden!$B$2:$H$2,0),FALSE),"")</f>
        <v>5.9804999999999997E-3</v>
      </c>
      <c r="BX69" s="62">
        <f t="shared" si="43"/>
        <v>-5.5281937881568322E-10</v>
      </c>
      <c r="BZ69" s="31">
        <f t="shared" si="44"/>
        <v>-5.5281937881568322E-10</v>
      </c>
      <c r="CA69" s="32">
        <f t="shared" si="45"/>
        <v>0</v>
      </c>
    </row>
    <row r="70" spans="1:79" x14ac:dyDescent="0.45">
      <c r="A70" s="31" t="s">
        <v>603</v>
      </c>
      <c r="B70" s="31" t="s">
        <v>602</v>
      </c>
      <c r="C70" s="31">
        <f>VLOOKUP($B70,'Tillförd energi'!$B$1:$AI$720,MATCH(C$1,'Tillförd energi'!$B$1:$AQ$1,0),FALSE)</f>
        <v>0</v>
      </c>
      <c r="D70" s="31">
        <f>VLOOKUP($B70,'Tillförd energi'!$B$1:$AI$720,MATCH(D$1,'Tillförd energi'!$B$1:$AQ$1,0),FALSE)</f>
        <v>0.69</v>
      </c>
      <c r="E70" s="31">
        <f>VLOOKUP($B70,'Tillförd energi'!$B$1:$AI$720,MATCH(E$1,'Tillförd energi'!$B$1:$AQ$1,0),FALSE)</f>
        <v>0</v>
      </c>
      <c r="F70" s="31">
        <f>VLOOKUP($B70,'Tillförd energi'!$B$1:$AI$720,MATCH(F$1,'Tillförd energi'!$B$1:$AQ$1,0),FALSE)</f>
        <v>0</v>
      </c>
      <c r="G70" s="31">
        <f>VLOOKUP($B70,'Tillförd energi'!$B$1:$AI$720,MATCH(G$1,'Tillförd energi'!$B$1:$AQ$1,0),FALSE)</f>
        <v>0</v>
      </c>
      <c r="H70" s="31">
        <f>VLOOKUP($B70,'Tillförd energi'!$B$1:$AI$720,MATCH(H$1,'Tillförd energi'!$B$1:$AQ$1,0),FALSE)</f>
        <v>0</v>
      </c>
      <c r="I70" s="31">
        <f>VLOOKUP($B70,'Tillförd energi'!$B$1:$AI$720,MATCH(I$1,'Tillförd energi'!$B$1:$AQ$1,0),FALSE)</f>
        <v>0</v>
      </c>
      <c r="J70" s="31">
        <f>VLOOKUP($B70,'Tillförd energi'!$B$1:$AI$720,MATCH(J$1,'Tillförd energi'!$B$1:$AQ$1,0),FALSE)</f>
        <v>0</v>
      </c>
      <c r="K70" s="31">
        <f>VLOOKUP($B70,'Tillförd energi'!$B$1:$AI$720,MATCH(K$1,'Tillförd energi'!$B$1:$AQ$1,0),FALSE)</f>
        <v>0</v>
      </c>
      <c r="L70" s="31">
        <f>VLOOKUP($B70,'Tillförd energi'!$B$1:$AI$720,MATCH(L$1,'Tillförd energi'!$B$1:$AQ$1,0),FALSE)</f>
        <v>0</v>
      </c>
      <c r="M70" s="31">
        <f>VLOOKUP($B70,'Tillförd energi'!$B$1:$AI$720,MATCH(M$1,'Tillförd energi'!$B$1:$AQ$1,0),FALSE)</f>
        <v>0</v>
      </c>
      <c r="N70" s="31">
        <f>VLOOKUP($B70,'Tillförd energi'!$B$1:$AI$720,MATCH(N$1,'Tillförd energi'!$B$1:$AQ$1,0),FALSE)</f>
        <v>0</v>
      </c>
      <c r="O70" s="31">
        <f>VLOOKUP($B70,'Tillförd energi'!$B$1:$AI$720,MATCH(O$1,'Tillförd energi'!$B$1:$AQ$1,0),FALSE)</f>
        <v>0</v>
      </c>
      <c r="P70" s="31">
        <f>VLOOKUP($B70,'Tillförd energi'!$B$1:$AI$720,MATCH(P$1,'Tillförd energi'!$B$1:$AQ$1,0),FALSE)</f>
        <v>0</v>
      </c>
      <c r="Q70" s="31">
        <f>VLOOKUP($B70,'Tillförd energi'!$B$1:$AI$720,MATCH(Q$1,'Tillförd energi'!$B$1:$AQ$1,0),FALSE)</f>
        <v>44.6</v>
      </c>
      <c r="R70" s="31">
        <f>VLOOKUP($B70,'Tillförd energi'!$B$1:$AI$720,MATCH(R$1,'Tillförd energi'!$B$1:$AQ$1,0),FALSE)</f>
        <v>3.5</v>
      </c>
      <c r="S70" s="31">
        <f>VLOOKUP($B70,'Tillförd energi'!$B$1:$AI$720,MATCH(S$1,'Tillförd energi'!$B$1:$AQ$1,0),FALSE)</f>
        <v>0</v>
      </c>
      <c r="T70" s="31">
        <f>VLOOKUP($B70,'Tillförd energi'!$B$1:$AI$720,MATCH(T$1,'Tillförd energi'!$B$1:$AQ$1,0),FALSE)</f>
        <v>0</v>
      </c>
      <c r="U70" s="31">
        <f>VLOOKUP($B70,'Tillförd energi'!$B$1:$AI$720,MATCH(U$1,'Tillförd energi'!$B$1:$AQ$1,0),FALSE)</f>
        <v>0</v>
      </c>
      <c r="V70" s="31">
        <f>VLOOKUP($B70,'Tillförd energi'!$B$1:$AI$720,MATCH(V$1,'Tillförd energi'!$B$1:$AQ$1,0),FALSE)</f>
        <v>0</v>
      </c>
      <c r="W70" s="31">
        <f>VLOOKUP($B70,'Tillförd energi'!$B$1:$AI$720,MATCH(W$1,'Tillförd energi'!$B$1:$AQ$1,0),FALSE)</f>
        <v>0</v>
      </c>
      <c r="X70" s="31">
        <f>VLOOKUP($B70,'Tillförd energi'!$B$1:$AI$720,MATCH(X$1,'Tillförd energi'!$B$1:$AQ$1,0),FALSE)</f>
        <v>0</v>
      </c>
      <c r="Y70" s="31">
        <f>VLOOKUP($B70,'Tillförd energi'!$B$1:$AI$720,MATCH(Y$1,'Tillförd energi'!$B$1:$AQ$1,0),FALSE)</f>
        <v>0</v>
      </c>
      <c r="Z70" s="31">
        <f>VLOOKUP($B70,'Tillförd energi'!$B$1:$AI$720,MATCH(Z$1,'Tillförd energi'!$B$1:$AQ$1,0),FALSE)</f>
        <v>0</v>
      </c>
      <c r="AA70" s="31">
        <f>VLOOKUP($B70,'Tillförd energi'!$B$1:$AI$720,MATCH(AA$1,'Tillförd energi'!$B$1:$AQ$1,0),FALSE)</f>
        <v>0</v>
      </c>
      <c r="AB70" s="31">
        <f>VLOOKUP($B70,'Tillförd energi'!$B$1:$AI$720,MATCH(AB$1,'Tillförd energi'!$B$1:$AQ$1,0),FALSE)</f>
        <v>0</v>
      </c>
      <c r="AC70" s="31">
        <f>VLOOKUP($B70,'Tillförd energi'!$B$1:$AI$720,MATCH(AC$1,'Tillförd energi'!$B$1:$AQ$1,0),FALSE)</f>
        <v>7.3</v>
      </c>
      <c r="AD70" s="31">
        <f>VLOOKUP($B70,'Tillförd energi'!$B$1:$AI$720,MATCH(AD$1,'Tillförd energi'!$B$1:$AQ$1,0),FALSE)</f>
        <v>0</v>
      </c>
      <c r="AE70" s="31">
        <f>VLOOKUP($B70,'Tillförd energi'!$B$1:$AI$720,MATCH(AE$1,'Tillförd energi'!$B$1:$AQ$1,0),FALSE)</f>
        <v>0</v>
      </c>
      <c r="AF70" s="31">
        <f>VLOOKUP($B70,'Tillförd energi'!$B$1:$AI$720,MATCH(AF$1,'Tillförd energi'!$B$1:$AQ$1,0),FALSE)</f>
        <v>1.48</v>
      </c>
      <c r="AG70" s="31">
        <f>IFERROR(VLOOKUP(B70,Miljö!$B$1:$AC$550,MATCH("Köpt mängd produktionsspecifik fjärrvärme:",Miljö!$B$1:$AC$1,0),FALSE)/1,0)</f>
        <v>0</v>
      </c>
      <c r="AI70" s="31">
        <f t="shared" si="23"/>
        <v>57.569999999999993</v>
      </c>
      <c r="AJ70" s="31">
        <f t="shared" si="24"/>
        <v>57.569999999999993</v>
      </c>
      <c r="AK70" s="31">
        <f>IF(ISERROR(1/VLOOKUP($B70,Leveranser!$B$1:$S$499,MATCH("Såld värme (GWh)",Leveranser!$B$1:$S$1,0),FALSE)),"",VLOOKUP($B70,Leveranser!$B$1:$S$499,MATCH("Såld värme (GWh)",Leveranser!$B$1:$S$1,0),FALSE))</f>
        <v>42.5</v>
      </c>
      <c r="AL70" s="31">
        <f>VLOOKUP($B70,Leveranser!$B$1:$Y$499,MATCH("Totalt såld fjärrvärme till andra fjärrvärmeföretag",Leveranser!$B$1:$AA$1,0),FALSE)</f>
        <v>0</v>
      </c>
      <c r="AM70" s="31">
        <f>IF(ISERROR(1/VLOOKUP($B70,Miljö!$B$1:$S$500,MATCH("Såld mängd produktionsspecifik fjärrvärme (GWh)",Miljö!$B$1:$R$1,0),FALSE)),0,VLOOKUP($B70,Miljö!$B$1:$S$500,MATCH("Såld mängd produktionsspecifik fjärrvärme (GWh)",Miljö!$B$1:$R$1,0),FALSE))</f>
        <v>0</v>
      </c>
      <c r="AN70" s="32">
        <f t="shared" si="25"/>
        <v>0.73823171790863307</v>
      </c>
      <c r="AP70" s="31" t="str">
        <f>IFERROR(VLOOKUP($B70,Miljövärden!$B$2:$H$550,7,FALSE),"Nej, saknas")</f>
        <v>Ja</v>
      </c>
      <c r="AQ70" s="31" t="str">
        <f>IFERROR(VLOOKUP($B70,Miljövärden!$B$2:$H$551,6,FALSE),"Nej, saknas")</f>
        <v>Ja</v>
      </c>
      <c r="AU70" s="31">
        <f t="shared" si="26"/>
        <v>1.48</v>
      </c>
      <c r="AV70" s="31">
        <f t="shared" si="27"/>
        <v>0</v>
      </c>
      <c r="AW70" s="31">
        <f t="shared" si="28"/>
        <v>44.6</v>
      </c>
      <c r="AX70" s="31">
        <f t="shared" si="29"/>
        <v>3.5</v>
      </c>
      <c r="AZ70" s="31">
        <f t="shared" si="30"/>
        <v>48.1</v>
      </c>
      <c r="BC70" s="31">
        <f t="shared" si="31"/>
        <v>0.69</v>
      </c>
      <c r="BD70" s="31">
        <f t="shared" si="32"/>
        <v>0</v>
      </c>
      <c r="BE70" s="31">
        <f t="shared" si="33"/>
        <v>48.1</v>
      </c>
      <c r="BF70" s="31">
        <f t="shared" si="34"/>
        <v>7.3</v>
      </c>
      <c r="BG70" s="31">
        <f t="shared" si="35"/>
        <v>1.48</v>
      </c>
      <c r="BH70" s="31">
        <f>VLOOKUP(B70,Miljö!$B$1:$BX$482,MATCH("Fossilandel för ursprungspecificerad el ()",Miljö!$B$1:$I$1,0),FALSE)</f>
        <v>0</v>
      </c>
      <c r="BI70" s="31">
        <f>VLOOKUP(B70,Miljö!$B$1:$BX$482,MATCH("Kärnkraftsandel för ursprungsspecificerad el ()",Miljö!$B$1:$O$1,0),FALSE)</f>
        <v>0</v>
      </c>
      <c r="BJ70" s="31">
        <f t="shared" si="36"/>
        <v>0</v>
      </c>
      <c r="BK70" s="31" t="str">
        <f>VLOOKUP(B70,Miljö!$B$1:$P$482,MATCH("Fossil andel i procent (%)",Miljö!$B$1:$P$1,0),FALSE)</f>
        <v>ET</v>
      </c>
      <c r="BL70" s="31">
        <f t="shared" si="37"/>
        <v>57.569999999999993</v>
      </c>
      <c r="BO70" s="32">
        <f t="shared" si="38"/>
        <v>1.1985409067222513E-2</v>
      </c>
      <c r="BP70" s="32">
        <f t="shared" si="39"/>
        <v>0</v>
      </c>
      <c r="BQ70" s="32">
        <f t="shared" si="40"/>
        <v>0.86121243703317707</v>
      </c>
      <c r="BR70" s="32">
        <f t="shared" si="41"/>
        <v>0.12680215389960051</v>
      </c>
      <c r="BT70" s="62">
        <f t="shared" si="42"/>
        <v>1.0000000000000002</v>
      </c>
      <c r="BW70" s="32">
        <f>IF(AP70="Ja",VLOOKUP(B70,Miljövärden!$B$2:$H$551,MATCH("Total andel fossilt",Miljövärden!$B$2:$H$2,0),FALSE),"")</f>
        <v>1.19854E-2</v>
      </c>
      <c r="BX70" s="62">
        <f t="shared" si="43"/>
        <v>-9.0672225127458317E-9</v>
      </c>
      <c r="BZ70" s="31">
        <f t="shared" si="44"/>
        <v>-9.0672225127458317E-9</v>
      </c>
      <c r="CA70" s="32">
        <f t="shared" si="45"/>
        <v>0</v>
      </c>
    </row>
    <row r="71" spans="1:79" x14ac:dyDescent="0.45">
      <c r="A71" s="31" t="s">
        <v>601</v>
      </c>
      <c r="B71" s="31" t="s">
        <v>600</v>
      </c>
      <c r="C71" s="31">
        <f>VLOOKUP($B71,'Tillförd energi'!$B$1:$AI$720,MATCH(C$1,'Tillförd energi'!$B$1:$AQ$1,0),FALSE)</f>
        <v>0</v>
      </c>
      <c r="D71" s="31">
        <f>VLOOKUP($B71,'Tillförd energi'!$B$1:$AI$720,MATCH(D$1,'Tillförd energi'!$B$1:$AQ$1,0),FALSE)</f>
        <v>1.6465000000000001</v>
      </c>
      <c r="E71" s="31">
        <f>VLOOKUP($B71,'Tillförd energi'!$B$1:$AI$720,MATCH(E$1,'Tillförd energi'!$B$1:$AQ$1,0),FALSE)</f>
        <v>0</v>
      </c>
      <c r="F71" s="31">
        <f>VLOOKUP($B71,'Tillförd energi'!$B$1:$AI$720,MATCH(F$1,'Tillförd energi'!$B$1:$AQ$1,0),FALSE)</f>
        <v>0</v>
      </c>
      <c r="G71" s="31">
        <f>VLOOKUP($B71,'Tillförd energi'!$B$1:$AI$720,MATCH(G$1,'Tillförd energi'!$B$1:$AQ$1,0),FALSE)</f>
        <v>0</v>
      </c>
      <c r="H71" s="31">
        <f>VLOOKUP($B71,'Tillförd energi'!$B$1:$AI$720,MATCH(H$1,'Tillförd energi'!$B$1:$AQ$1,0),FALSE)</f>
        <v>0</v>
      </c>
      <c r="I71" s="31">
        <f>VLOOKUP($B71,'Tillförd energi'!$B$1:$AI$720,MATCH(I$1,'Tillförd energi'!$B$1:$AQ$1,0),FALSE)</f>
        <v>0</v>
      </c>
      <c r="J71" s="31">
        <f>VLOOKUP($B71,'Tillförd energi'!$B$1:$AI$720,MATCH(J$1,'Tillförd energi'!$B$1:$AQ$1,0),FALSE)</f>
        <v>3</v>
      </c>
      <c r="K71" s="31">
        <f>VLOOKUP($B71,'Tillförd energi'!$B$1:$AI$720,MATCH(K$1,'Tillförd energi'!$B$1:$AQ$1,0),FALSE)</f>
        <v>0</v>
      </c>
      <c r="L71" s="31">
        <f>VLOOKUP($B71,'Tillförd energi'!$B$1:$AI$720,MATCH(L$1,'Tillförd energi'!$B$1:$AQ$1,0),FALSE)</f>
        <v>171.13399999999999</v>
      </c>
      <c r="M71" s="31">
        <f>VLOOKUP($B71,'Tillförd energi'!$B$1:$AI$720,MATCH(M$1,'Tillförd energi'!$B$1:$AQ$1,0),FALSE)</f>
        <v>0</v>
      </c>
      <c r="N71" s="31">
        <f>VLOOKUP($B71,'Tillförd energi'!$B$1:$AI$720,MATCH(N$1,'Tillförd energi'!$B$1:$AQ$1,0),FALSE)</f>
        <v>16.435199999999998</v>
      </c>
      <c r="O71" s="31">
        <f>VLOOKUP($B71,'Tillförd energi'!$B$1:$AI$720,MATCH(O$1,'Tillförd energi'!$B$1:$AQ$1,0),FALSE)</f>
        <v>0</v>
      </c>
      <c r="P71" s="31">
        <f>VLOOKUP($B71,'Tillförd energi'!$B$1:$AI$720,MATCH(P$1,'Tillförd energi'!$B$1:$AQ$1,0),FALSE)</f>
        <v>0</v>
      </c>
      <c r="Q71" s="31">
        <f>VLOOKUP($B71,'Tillförd energi'!$B$1:$AI$720,MATCH(Q$1,'Tillförd energi'!$B$1:$AQ$1,0),FALSE)</f>
        <v>0</v>
      </c>
      <c r="R71" s="31">
        <f>VLOOKUP($B71,'Tillförd energi'!$B$1:$AI$720,MATCH(R$1,'Tillförd energi'!$B$1:$AQ$1,0),FALSE)</f>
        <v>24</v>
      </c>
      <c r="S71" s="31">
        <f>VLOOKUP($B71,'Tillförd energi'!$B$1:$AI$720,MATCH(S$1,'Tillförd energi'!$B$1:$AQ$1,0),FALSE)</f>
        <v>0</v>
      </c>
      <c r="T71" s="31">
        <f>VLOOKUP($B71,'Tillförd energi'!$B$1:$AI$720,MATCH(T$1,'Tillförd energi'!$B$1:$AQ$1,0),FALSE)</f>
        <v>0</v>
      </c>
      <c r="U71" s="31">
        <f>VLOOKUP($B71,'Tillförd energi'!$B$1:$AI$720,MATCH(U$1,'Tillförd energi'!$B$1:$AQ$1,0),FALSE)</f>
        <v>0</v>
      </c>
      <c r="V71" s="31">
        <f>VLOOKUP($B71,'Tillförd energi'!$B$1:$AI$720,MATCH(V$1,'Tillförd energi'!$B$1:$AQ$1,0),FALSE)</f>
        <v>0</v>
      </c>
      <c r="W71" s="31">
        <f>VLOOKUP($B71,'Tillförd energi'!$B$1:$AI$720,MATCH(W$1,'Tillförd energi'!$B$1:$AQ$1,0),FALSE)</f>
        <v>0</v>
      </c>
      <c r="X71" s="31">
        <f>VLOOKUP($B71,'Tillförd energi'!$B$1:$AI$720,MATCH(X$1,'Tillförd energi'!$B$1:$AQ$1,0),FALSE)</f>
        <v>0</v>
      </c>
      <c r="Y71" s="31">
        <f>VLOOKUP($B71,'Tillförd energi'!$B$1:$AI$720,MATCH(Y$1,'Tillförd energi'!$B$1:$AQ$1,0),FALSE)</f>
        <v>0</v>
      </c>
      <c r="Z71" s="31">
        <f>VLOOKUP($B71,'Tillförd energi'!$B$1:$AI$720,MATCH(Z$1,'Tillförd energi'!$B$1:$AQ$1,0),FALSE)</f>
        <v>1.4999999999999999E-2</v>
      </c>
      <c r="AA71" s="31">
        <f>VLOOKUP($B71,'Tillförd energi'!$B$1:$AI$720,MATCH(AA$1,'Tillförd energi'!$B$1:$AQ$1,0),FALSE)</f>
        <v>0</v>
      </c>
      <c r="AB71" s="31">
        <f>VLOOKUP($B71,'Tillförd energi'!$B$1:$AI$720,MATCH(AB$1,'Tillförd energi'!$B$1:$AQ$1,0),FALSE)</f>
        <v>0</v>
      </c>
      <c r="AC71" s="31">
        <f>VLOOKUP($B71,'Tillförd energi'!$B$1:$AI$720,MATCH(AC$1,'Tillförd energi'!$B$1:$AQ$1,0),FALSE)</f>
        <v>0</v>
      </c>
      <c r="AD71" s="31">
        <f>VLOOKUP($B71,'Tillförd energi'!$B$1:$AI$720,MATCH(AD$1,'Tillförd energi'!$B$1:$AQ$1,0),FALSE)</f>
        <v>0</v>
      </c>
      <c r="AE71" s="31">
        <f>VLOOKUP($B71,'Tillförd energi'!$B$1:$AI$720,MATCH(AE$1,'Tillförd energi'!$B$1:$AQ$1,0),FALSE)</f>
        <v>0</v>
      </c>
      <c r="AF71" s="31">
        <f>VLOOKUP($B71,'Tillförd energi'!$B$1:$AI$720,MATCH(AF$1,'Tillförd energi'!$B$1:$AQ$1,0),FALSE)</f>
        <v>8.8507200000000008</v>
      </c>
      <c r="AG71" s="31">
        <f>IFERROR(VLOOKUP(B71,Miljö!$B$1:$AC$550,MATCH("Köpt mängd produktionsspecifik fjärrvärme:",Miljö!$B$1:$AC$1,0),FALSE)/1,0)</f>
        <v>0</v>
      </c>
      <c r="AI71" s="31">
        <f t="shared" si="23"/>
        <v>225.08141999999998</v>
      </c>
      <c r="AJ71" s="31">
        <f t="shared" si="24"/>
        <v>225.08141999999998</v>
      </c>
      <c r="AK71" s="31">
        <f>IF(ISERROR(1/VLOOKUP($B71,Leveranser!$B$1:$S$499,MATCH("Såld värme (GWh)",Leveranser!$B$1:$S$1,0),FALSE)),"",VLOOKUP($B71,Leveranser!$B$1:$S$499,MATCH("Såld värme (GWh)",Leveranser!$B$1:$S$1,0),FALSE))</f>
        <v>213</v>
      </c>
      <c r="AL71" s="31">
        <f>VLOOKUP($B71,Leveranser!$B$1:$Y$499,MATCH("Totalt såld fjärrvärme till andra fjärrvärmeföretag",Leveranser!$B$1:$AA$1,0),FALSE)</f>
        <v>0</v>
      </c>
      <c r="AM71" s="31">
        <f>IF(ISERROR(1/VLOOKUP($B71,Miljö!$B$1:$S$500,MATCH("Såld mängd produktionsspecifik fjärrvärme (GWh)",Miljö!$B$1:$R$1,0),FALSE)),0,VLOOKUP($B71,Miljö!$B$1:$S$500,MATCH("Såld mängd produktionsspecifik fjärrvärme (GWh)",Miljö!$B$1:$R$1,0),FALSE))</f>
        <v>0</v>
      </c>
      <c r="AN71" s="32">
        <f t="shared" si="25"/>
        <v>0.9463242234743322</v>
      </c>
      <c r="AP71" s="31" t="str">
        <f>IFERROR(VLOOKUP($B71,Miljövärden!$B$2:$H$550,7,FALSE),"Nej, saknas")</f>
        <v>Ja</v>
      </c>
      <c r="AQ71" s="31" t="str">
        <f>IFERROR(VLOOKUP($B71,Miljövärden!$B$2:$H$551,6,FALSE),"Nej, saknas")</f>
        <v>Ja</v>
      </c>
      <c r="AU71" s="31">
        <f t="shared" si="26"/>
        <v>8.8657200000000014</v>
      </c>
      <c r="AV71" s="31">
        <f t="shared" si="27"/>
        <v>0</v>
      </c>
      <c r="AW71" s="31">
        <f t="shared" si="28"/>
        <v>16.435199999999998</v>
      </c>
      <c r="AX71" s="31">
        <f t="shared" si="29"/>
        <v>24</v>
      </c>
      <c r="AZ71" s="31">
        <f t="shared" si="30"/>
        <v>211.5692</v>
      </c>
      <c r="BC71" s="31">
        <f t="shared" si="31"/>
        <v>1.6465000000000001</v>
      </c>
      <c r="BD71" s="31">
        <f t="shared" si="32"/>
        <v>0</v>
      </c>
      <c r="BE71" s="31">
        <f t="shared" si="33"/>
        <v>40.435199999999995</v>
      </c>
      <c r="BF71" s="31">
        <f t="shared" si="34"/>
        <v>174.13399999999999</v>
      </c>
      <c r="BG71" s="31">
        <f t="shared" si="35"/>
        <v>8.8657200000000014</v>
      </c>
      <c r="BH71" s="31">
        <f>VLOOKUP(B71,Miljö!$B$1:$BX$482,MATCH("Fossilandel för ursprungspecificerad el ()",Miljö!$B$1:$I$1,0),FALSE)</f>
        <v>0.25</v>
      </c>
      <c r="BI71" s="31">
        <f>VLOOKUP(B71,Miljö!$B$1:$BX$482,MATCH("Kärnkraftsandel för ursprungsspecificerad el ()",Miljö!$B$1:$O$1,0),FALSE)</f>
        <v>0</v>
      </c>
      <c r="BJ71" s="31">
        <f t="shared" si="36"/>
        <v>0</v>
      </c>
      <c r="BK71" s="31" t="str">
        <f>VLOOKUP(B71,Miljö!$B$1:$P$482,MATCH("Fossil andel i procent (%)",Miljö!$B$1:$P$1,0),FALSE)</f>
        <v>ET</v>
      </c>
      <c r="BL71" s="31">
        <f t="shared" si="37"/>
        <v>225.08141999999998</v>
      </c>
      <c r="BO71" s="32">
        <f t="shared" si="38"/>
        <v>1.7162367289134752E-2</v>
      </c>
      <c r="BP71" s="32">
        <f t="shared" si="39"/>
        <v>0</v>
      </c>
      <c r="BQ71" s="32">
        <f t="shared" si="40"/>
        <v>0.20918870158185424</v>
      </c>
      <c r="BR71" s="32">
        <f t="shared" si="41"/>
        <v>0.77364893112901101</v>
      </c>
      <c r="BT71" s="62">
        <f t="shared" si="42"/>
        <v>1</v>
      </c>
      <c r="BW71" s="32">
        <f>IF(AP71="Ja",VLOOKUP(B71,Miljövärden!$B$2:$H$551,MATCH("Total andel fossilt",Miljövärden!$B$2:$H$2,0),FALSE),"")</f>
        <v>1.7162400000000001E-2</v>
      </c>
      <c r="BX71" s="62">
        <f t="shared" si="43"/>
        <v>3.2710865249113708E-8</v>
      </c>
      <c r="BZ71" s="31">
        <f t="shared" si="44"/>
        <v>3.2710865249113708E-8</v>
      </c>
      <c r="CA71" s="32">
        <f t="shared" si="45"/>
        <v>0</v>
      </c>
    </row>
    <row r="72" spans="1:79" x14ac:dyDescent="0.45">
      <c r="A72" s="31" t="s">
        <v>597</v>
      </c>
      <c r="B72" s="31" t="s">
        <v>599</v>
      </c>
      <c r="C72" s="31">
        <f>VLOOKUP($B72,'Tillförd energi'!$B$1:$AI$720,MATCH(C$1,'Tillförd energi'!$B$1:$AQ$1,0),FALSE)</f>
        <v>0</v>
      </c>
      <c r="D72" s="31">
        <f>VLOOKUP($B72,'Tillförd energi'!$B$1:$AI$720,MATCH(D$1,'Tillförd energi'!$B$1:$AQ$1,0),FALSE)</f>
        <v>3.4079999999999999</v>
      </c>
      <c r="E72" s="31">
        <f>VLOOKUP($B72,'Tillförd energi'!$B$1:$AI$720,MATCH(E$1,'Tillförd energi'!$B$1:$AQ$1,0),FALSE)</f>
        <v>0</v>
      </c>
      <c r="F72" s="31">
        <f>VLOOKUP($B72,'Tillförd energi'!$B$1:$AI$720,MATCH(F$1,'Tillförd energi'!$B$1:$AQ$1,0),FALSE)</f>
        <v>3.319</v>
      </c>
      <c r="G72" s="31">
        <f>VLOOKUP($B72,'Tillförd energi'!$B$1:$AI$720,MATCH(G$1,'Tillförd energi'!$B$1:$AQ$1,0),FALSE)</f>
        <v>0</v>
      </c>
      <c r="H72" s="31">
        <f>VLOOKUP($B72,'Tillförd energi'!$B$1:$AI$720,MATCH(H$1,'Tillförd energi'!$B$1:$AQ$1,0),FALSE)</f>
        <v>0</v>
      </c>
      <c r="I72" s="31">
        <f>VLOOKUP($B72,'Tillförd energi'!$B$1:$AI$720,MATCH(I$1,'Tillförd energi'!$B$1:$AQ$1,0),FALSE)</f>
        <v>0</v>
      </c>
      <c r="J72" s="31">
        <f>VLOOKUP($B72,'Tillförd energi'!$B$1:$AI$720,MATCH(J$1,'Tillförd energi'!$B$1:$AQ$1,0),FALSE)</f>
        <v>0</v>
      </c>
      <c r="K72" s="31">
        <f>VLOOKUP($B72,'Tillförd energi'!$B$1:$AI$720,MATCH(K$1,'Tillförd energi'!$B$1:$AQ$1,0),FALSE)</f>
        <v>0</v>
      </c>
      <c r="L72" s="31">
        <f>VLOOKUP($B72,'Tillförd energi'!$B$1:$AI$720,MATCH(L$1,'Tillförd energi'!$B$1:$AQ$1,0),FALSE)</f>
        <v>0</v>
      </c>
      <c r="M72" s="31">
        <f>VLOOKUP($B72,'Tillförd energi'!$B$1:$AI$720,MATCH(M$1,'Tillförd energi'!$B$1:$AQ$1,0),FALSE)</f>
        <v>129.46600000000001</v>
      </c>
      <c r="N72" s="31">
        <f>VLOOKUP($B72,'Tillförd energi'!$B$1:$AI$720,MATCH(N$1,'Tillförd energi'!$B$1:$AQ$1,0),FALSE)</f>
        <v>407.33</v>
      </c>
      <c r="O72" s="31">
        <f>VLOOKUP($B72,'Tillförd energi'!$B$1:$AI$720,MATCH(O$1,'Tillförd energi'!$B$1:$AQ$1,0),FALSE)</f>
        <v>0</v>
      </c>
      <c r="P72" s="31">
        <f>VLOOKUP($B72,'Tillförd energi'!$B$1:$AI$720,MATCH(P$1,'Tillförd energi'!$B$1:$AQ$1,0),FALSE)</f>
        <v>0</v>
      </c>
      <c r="Q72" s="31">
        <f>VLOOKUP($B72,'Tillförd energi'!$B$1:$AI$720,MATCH(Q$1,'Tillförd energi'!$B$1:$AQ$1,0),FALSE)</f>
        <v>0</v>
      </c>
      <c r="R72" s="31">
        <f>VLOOKUP($B72,'Tillförd energi'!$B$1:$AI$720,MATCH(R$1,'Tillförd energi'!$B$1:$AQ$1,0),FALSE)</f>
        <v>0</v>
      </c>
      <c r="S72" s="31">
        <f>VLOOKUP($B72,'Tillförd energi'!$B$1:$AI$720,MATCH(S$1,'Tillförd energi'!$B$1:$AQ$1,0),FALSE)</f>
        <v>0</v>
      </c>
      <c r="T72" s="31">
        <f>VLOOKUP($B72,'Tillförd energi'!$B$1:$AI$720,MATCH(T$1,'Tillförd energi'!$B$1:$AQ$1,0),FALSE)</f>
        <v>0</v>
      </c>
      <c r="U72" s="31">
        <f>VLOOKUP($B72,'Tillförd energi'!$B$1:$AI$720,MATCH(U$1,'Tillförd energi'!$B$1:$AQ$1,0),FALSE)</f>
        <v>0</v>
      </c>
      <c r="V72" s="31">
        <f>VLOOKUP($B72,'Tillförd energi'!$B$1:$AI$720,MATCH(V$1,'Tillförd energi'!$B$1:$AQ$1,0),FALSE)</f>
        <v>0</v>
      </c>
      <c r="W72" s="31">
        <f>VLOOKUP($B72,'Tillförd energi'!$B$1:$AI$720,MATCH(W$1,'Tillförd energi'!$B$1:$AQ$1,0),FALSE)</f>
        <v>3.0409999999999999</v>
      </c>
      <c r="X72" s="31">
        <f>VLOOKUP($B72,'Tillförd energi'!$B$1:$AI$720,MATCH(X$1,'Tillförd energi'!$B$1:$AQ$1,0),FALSE)</f>
        <v>0</v>
      </c>
      <c r="Y72" s="31">
        <f>VLOOKUP($B72,'Tillförd energi'!$B$1:$AI$720,MATCH(Y$1,'Tillförd energi'!$B$1:$AQ$1,0),FALSE)</f>
        <v>0</v>
      </c>
      <c r="Z72" s="31">
        <f>VLOOKUP($B72,'Tillförd energi'!$B$1:$AI$720,MATCH(Z$1,'Tillförd energi'!$B$1:$AQ$1,0),FALSE)</f>
        <v>0</v>
      </c>
      <c r="AA72" s="31">
        <f>VLOOKUP($B72,'Tillförd energi'!$B$1:$AI$720,MATCH(AA$1,'Tillförd energi'!$B$1:$AQ$1,0),FALSE)</f>
        <v>0</v>
      </c>
      <c r="AB72" s="31">
        <f>VLOOKUP($B72,'Tillförd energi'!$B$1:$AI$720,MATCH(AB$1,'Tillförd energi'!$B$1:$AQ$1,0),FALSE)</f>
        <v>0</v>
      </c>
      <c r="AC72" s="31">
        <f>VLOOKUP($B72,'Tillförd energi'!$B$1:$AI$720,MATCH(AC$1,'Tillförd energi'!$B$1:$AQ$1,0),FALSE)</f>
        <v>136.28</v>
      </c>
      <c r="AD72" s="31">
        <f>VLOOKUP($B72,'Tillförd energi'!$B$1:$AI$720,MATCH(AD$1,'Tillförd energi'!$B$1:$AQ$1,0),FALSE)</f>
        <v>0</v>
      </c>
      <c r="AE72" s="31">
        <f>VLOOKUP($B72,'Tillförd energi'!$B$1:$AI$720,MATCH(AE$1,'Tillförd energi'!$B$1:$AQ$1,0),FALSE)</f>
        <v>0</v>
      </c>
      <c r="AF72" s="31">
        <f>VLOOKUP($B72,'Tillförd energi'!$B$1:$AI$720,MATCH(AF$1,'Tillförd energi'!$B$1:$AQ$1,0),FALSE)</f>
        <v>27.0275</v>
      </c>
      <c r="AG72" s="31">
        <f>IFERROR(VLOOKUP(B72,Miljö!$B$1:$AC$550,MATCH("Köpt mängd produktionsspecifik fjärrvärme:",Miljö!$B$1:$AC$1,0),FALSE)/1,0)</f>
        <v>0</v>
      </c>
      <c r="AI72" s="31">
        <f t="shared" si="23"/>
        <v>709.87150000000008</v>
      </c>
      <c r="AJ72" s="31">
        <f t="shared" si="24"/>
        <v>709.87150000000008</v>
      </c>
      <c r="AK72" s="31">
        <f>IF(ISERROR(1/VLOOKUP($B72,Leveranser!$B$1:$S$499,MATCH("Såld värme (GWh)",Leveranser!$B$1:$S$1,0),FALSE)),"",VLOOKUP($B72,Leveranser!$B$1:$S$499,MATCH("Såld värme (GWh)",Leveranser!$B$1:$S$1,0),FALSE))</f>
        <v>640.34</v>
      </c>
      <c r="AL72" s="31">
        <f>VLOOKUP($B72,Leveranser!$B$1:$Y$499,MATCH("Totalt såld fjärrvärme till andra fjärrvärmeföretag",Leveranser!$B$1:$AA$1,0),FALSE)</f>
        <v>0</v>
      </c>
      <c r="AM72" s="31">
        <f>IF(ISERROR(1/VLOOKUP($B72,Miljö!$B$1:$S$500,MATCH("Såld mängd produktionsspecifik fjärrvärme (GWh)",Miljö!$B$1:$R$1,0),FALSE)),0,VLOOKUP($B72,Miljö!$B$1:$S$500,MATCH("Såld mängd produktionsspecifik fjärrvärme (GWh)",Miljö!$B$1:$R$1,0),FALSE))</f>
        <v>0</v>
      </c>
      <c r="AN72" s="32">
        <f t="shared" si="25"/>
        <v>0.90205058239413749</v>
      </c>
      <c r="AP72" s="31" t="str">
        <f>IFERROR(VLOOKUP($B72,Miljövärden!$B$2:$H$550,7,FALSE),"Nej, saknas")</f>
        <v>Ja</v>
      </c>
      <c r="AQ72" s="31" t="str">
        <f>IFERROR(VLOOKUP($B72,Miljövärden!$B$2:$H$551,6,FALSE),"Nej, saknas")</f>
        <v>Ja</v>
      </c>
      <c r="AU72" s="31">
        <f t="shared" si="26"/>
        <v>27.0275</v>
      </c>
      <c r="AV72" s="31">
        <f t="shared" si="27"/>
        <v>0</v>
      </c>
      <c r="AW72" s="31">
        <f t="shared" si="28"/>
        <v>536.79600000000005</v>
      </c>
      <c r="AX72" s="31">
        <f t="shared" si="29"/>
        <v>0</v>
      </c>
      <c r="AZ72" s="31">
        <f t="shared" si="30"/>
        <v>539.8370000000001</v>
      </c>
      <c r="BC72" s="31">
        <f t="shared" si="31"/>
        <v>6.7270000000000003</v>
      </c>
      <c r="BD72" s="31">
        <f t="shared" si="32"/>
        <v>0</v>
      </c>
      <c r="BE72" s="31">
        <f t="shared" si="33"/>
        <v>539.8370000000001</v>
      </c>
      <c r="BF72" s="31">
        <f t="shared" si="34"/>
        <v>136.28</v>
      </c>
      <c r="BG72" s="31">
        <f t="shared" si="35"/>
        <v>27.0275</v>
      </c>
      <c r="BH72" s="31">
        <f>VLOOKUP(B72,Miljö!$B$1:$BX$482,MATCH("Fossilandel för ursprungspecificerad el ()",Miljö!$B$1:$I$1,0),FALSE)</f>
        <v>0</v>
      </c>
      <c r="BI72" s="31">
        <f>VLOOKUP(B72,Miljö!$B$1:$BX$482,MATCH("Kärnkraftsandel för ursprungsspecificerad el ()",Miljö!$B$1:$O$1,0),FALSE)</f>
        <v>0</v>
      </c>
      <c r="BJ72" s="31">
        <f t="shared" si="36"/>
        <v>0</v>
      </c>
      <c r="BK72" s="31" t="str">
        <f>VLOOKUP(B72,Miljö!$B$1:$P$482,MATCH("Fossil andel i procent (%)",Miljö!$B$1:$P$1,0),FALSE)</f>
        <v>ET</v>
      </c>
      <c r="BL72" s="31">
        <f t="shared" si="37"/>
        <v>709.87150000000008</v>
      </c>
      <c r="BO72" s="32">
        <f t="shared" si="38"/>
        <v>9.4763629755526164E-3</v>
      </c>
      <c r="BP72" s="32">
        <f t="shared" si="39"/>
        <v>0</v>
      </c>
      <c r="BQ72" s="32">
        <f t="shared" si="40"/>
        <v>0.79854522966480568</v>
      </c>
      <c r="BR72" s="32">
        <f t="shared" si="41"/>
        <v>0.19197840735964183</v>
      </c>
      <c r="BT72" s="62">
        <f t="shared" si="42"/>
        <v>1.0000000000000002</v>
      </c>
      <c r="BW72" s="32">
        <f>IF(AP72="Ja",VLOOKUP(B72,Miljövärden!$B$2:$H$551,MATCH("Total andel fossilt",Miljövärden!$B$2:$H$2,0),FALSE),"")</f>
        <v>9.4763599999999996E-3</v>
      </c>
      <c r="BX72" s="62">
        <f t="shared" si="43"/>
        <v>-2.9755526168018243E-9</v>
      </c>
      <c r="BZ72" s="31">
        <f t="shared" si="44"/>
        <v>-2.9755526168018243E-9</v>
      </c>
      <c r="CA72" s="32">
        <f t="shared" si="45"/>
        <v>0</v>
      </c>
    </row>
    <row r="73" spans="1:79" x14ac:dyDescent="0.45">
      <c r="A73" s="31" t="s">
        <v>597</v>
      </c>
      <c r="B73" s="31" t="s">
        <v>598</v>
      </c>
      <c r="C73" s="31">
        <f>VLOOKUP($B73,'Tillförd energi'!$B$1:$AI$720,MATCH(C$1,'Tillförd energi'!$B$1:$AQ$1,0),FALSE)</f>
        <v>0</v>
      </c>
      <c r="D73" s="31">
        <f>VLOOKUP($B73,'Tillförd energi'!$B$1:$AI$720,MATCH(D$1,'Tillförd energi'!$B$1:$AQ$1,0),FALSE)</f>
        <v>0.14199999999999999</v>
      </c>
      <c r="E73" s="31">
        <f>VLOOKUP($B73,'Tillförd energi'!$B$1:$AI$720,MATCH(E$1,'Tillförd energi'!$B$1:$AQ$1,0),FALSE)</f>
        <v>0</v>
      </c>
      <c r="F73" s="31">
        <f>VLOOKUP($B73,'Tillförd energi'!$B$1:$AI$720,MATCH(F$1,'Tillförd energi'!$B$1:$AQ$1,0),FALSE)</f>
        <v>0</v>
      </c>
      <c r="G73" s="31">
        <f>VLOOKUP($B73,'Tillförd energi'!$B$1:$AI$720,MATCH(G$1,'Tillförd energi'!$B$1:$AQ$1,0),FALSE)</f>
        <v>0</v>
      </c>
      <c r="H73" s="31">
        <f>VLOOKUP($B73,'Tillförd energi'!$B$1:$AI$720,MATCH(H$1,'Tillförd energi'!$B$1:$AQ$1,0),FALSE)</f>
        <v>0</v>
      </c>
      <c r="I73" s="31">
        <f>VLOOKUP($B73,'Tillförd energi'!$B$1:$AI$720,MATCH(I$1,'Tillförd energi'!$B$1:$AQ$1,0),FALSE)</f>
        <v>0</v>
      </c>
      <c r="J73" s="31">
        <f>VLOOKUP($B73,'Tillförd energi'!$B$1:$AI$720,MATCH(J$1,'Tillförd energi'!$B$1:$AQ$1,0),FALSE)</f>
        <v>0</v>
      </c>
      <c r="K73" s="31">
        <f>VLOOKUP($B73,'Tillförd energi'!$B$1:$AI$720,MATCH(K$1,'Tillförd energi'!$B$1:$AQ$1,0),FALSE)</f>
        <v>0</v>
      </c>
      <c r="L73" s="31">
        <f>VLOOKUP($B73,'Tillförd energi'!$B$1:$AI$720,MATCH(L$1,'Tillförd energi'!$B$1:$AQ$1,0),FALSE)</f>
        <v>0</v>
      </c>
      <c r="M73" s="31">
        <f>VLOOKUP($B73,'Tillförd energi'!$B$1:$AI$720,MATCH(M$1,'Tillförd energi'!$B$1:$AQ$1,0),FALSE)</f>
        <v>0</v>
      </c>
      <c r="N73" s="31">
        <f>VLOOKUP($B73,'Tillförd energi'!$B$1:$AI$720,MATCH(N$1,'Tillförd energi'!$B$1:$AQ$1,0),FALSE)</f>
        <v>0</v>
      </c>
      <c r="O73" s="31">
        <f>VLOOKUP($B73,'Tillförd energi'!$B$1:$AI$720,MATCH(O$1,'Tillförd energi'!$B$1:$AQ$1,0),FALSE)</f>
        <v>0</v>
      </c>
      <c r="P73" s="31">
        <f>VLOOKUP($B73,'Tillförd energi'!$B$1:$AI$720,MATCH(P$1,'Tillförd energi'!$B$1:$AQ$1,0),FALSE)</f>
        <v>0</v>
      </c>
      <c r="Q73" s="31">
        <f>VLOOKUP($B73,'Tillförd energi'!$B$1:$AI$720,MATCH(Q$1,'Tillförd energi'!$B$1:$AQ$1,0),FALSE)</f>
        <v>0</v>
      </c>
      <c r="R73" s="31">
        <f>VLOOKUP($B73,'Tillförd energi'!$B$1:$AI$720,MATCH(R$1,'Tillförd energi'!$B$1:$AQ$1,0),FALSE)</f>
        <v>0.71499999999999997</v>
      </c>
      <c r="S73" s="31">
        <f>VLOOKUP($B73,'Tillförd energi'!$B$1:$AI$720,MATCH(S$1,'Tillförd energi'!$B$1:$AQ$1,0),FALSE)</f>
        <v>0</v>
      </c>
      <c r="T73" s="31">
        <f>VLOOKUP($B73,'Tillförd energi'!$B$1:$AI$720,MATCH(T$1,'Tillförd energi'!$B$1:$AQ$1,0),FALSE)</f>
        <v>0</v>
      </c>
      <c r="U73" s="31">
        <f>VLOOKUP($B73,'Tillförd energi'!$B$1:$AI$720,MATCH(U$1,'Tillförd energi'!$B$1:$AQ$1,0),FALSE)</f>
        <v>0</v>
      </c>
      <c r="V73" s="31">
        <f>VLOOKUP($B73,'Tillförd energi'!$B$1:$AI$720,MATCH(V$1,'Tillförd energi'!$B$1:$AQ$1,0),FALSE)</f>
        <v>0</v>
      </c>
      <c r="W73" s="31">
        <f>VLOOKUP($B73,'Tillförd energi'!$B$1:$AI$720,MATCH(W$1,'Tillförd energi'!$B$1:$AQ$1,0),FALSE)</f>
        <v>0</v>
      </c>
      <c r="X73" s="31">
        <f>VLOOKUP($B73,'Tillförd energi'!$B$1:$AI$720,MATCH(X$1,'Tillförd energi'!$B$1:$AQ$1,0),FALSE)</f>
        <v>0</v>
      </c>
      <c r="Y73" s="31">
        <f>VLOOKUP($B73,'Tillförd energi'!$B$1:$AI$720,MATCH(Y$1,'Tillförd energi'!$B$1:$AQ$1,0),FALSE)</f>
        <v>0</v>
      </c>
      <c r="Z73" s="31">
        <f>VLOOKUP($B73,'Tillförd energi'!$B$1:$AI$720,MATCH(Z$1,'Tillförd energi'!$B$1:$AQ$1,0),FALSE)</f>
        <v>0</v>
      </c>
      <c r="AA73" s="31">
        <f>VLOOKUP($B73,'Tillförd energi'!$B$1:$AI$720,MATCH(AA$1,'Tillförd energi'!$B$1:$AQ$1,0),FALSE)</f>
        <v>0</v>
      </c>
      <c r="AB73" s="31">
        <f>VLOOKUP($B73,'Tillförd energi'!$B$1:$AI$720,MATCH(AB$1,'Tillförd energi'!$B$1:$AQ$1,0),FALSE)</f>
        <v>0</v>
      </c>
      <c r="AC73" s="31">
        <f>VLOOKUP($B73,'Tillförd energi'!$B$1:$AI$720,MATCH(AC$1,'Tillförd energi'!$B$1:$AQ$1,0),FALSE)</f>
        <v>0</v>
      </c>
      <c r="AD73" s="31">
        <f>VLOOKUP($B73,'Tillförd energi'!$B$1:$AI$720,MATCH(AD$1,'Tillförd energi'!$B$1:$AQ$1,0),FALSE)</f>
        <v>0</v>
      </c>
      <c r="AE73" s="31">
        <f>VLOOKUP($B73,'Tillförd energi'!$B$1:$AI$720,MATCH(AE$1,'Tillförd energi'!$B$1:$AQ$1,0),FALSE)</f>
        <v>0</v>
      </c>
      <c r="AF73" s="31">
        <f>VLOOKUP($B73,'Tillförd energi'!$B$1:$AI$720,MATCH(AF$1,'Tillförd energi'!$B$1:$AQ$1,0),FALSE)</f>
        <v>1.7000000000000001E-2</v>
      </c>
      <c r="AG73" s="31">
        <f>IFERROR(VLOOKUP(B73,Miljö!$B$1:$AC$550,MATCH("Köpt mängd produktionsspecifik fjärrvärme:",Miljö!$B$1:$AC$1,0),FALSE)/1,0)</f>
        <v>0</v>
      </c>
      <c r="AI73" s="31">
        <f t="shared" si="23"/>
        <v>0.874</v>
      </c>
      <c r="AJ73" s="31">
        <f t="shared" si="24"/>
        <v>0.874</v>
      </c>
      <c r="AK73" s="31">
        <f>IF(ISERROR(1/VLOOKUP($B73,Leveranser!$B$1:$S$499,MATCH("Såld värme (GWh)",Leveranser!$B$1:$S$1,0),FALSE)),"",VLOOKUP($B73,Leveranser!$B$1:$S$499,MATCH("Såld värme (GWh)",Leveranser!$B$1:$S$1,0),FALSE))</f>
        <v>0.77500000000000002</v>
      </c>
      <c r="AL73" s="31">
        <f>VLOOKUP($B73,Leveranser!$B$1:$Y$499,MATCH("Totalt såld fjärrvärme till andra fjärrvärmeföretag",Leveranser!$B$1:$AA$1,0),FALSE)</f>
        <v>0</v>
      </c>
      <c r="AM73" s="31">
        <f>IF(ISERROR(1/VLOOKUP($B73,Miljö!$B$1:$S$500,MATCH("Såld mängd produktionsspecifik fjärrvärme (GWh)",Miljö!$B$1:$R$1,0),FALSE)),0,VLOOKUP($B73,Miljö!$B$1:$S$500,MATCH("Såld mängd produktionsspecifik fjärrvärme (GWh)",Miljö!$B$1:$R$1,0),FALSE))</f>
        <v>0</v>
      </c>
      <c r="AN73" s="32">
        <f t="shared" si="25"/>
        <v>0.88672768878718533</v>
      </c>
      <c r="AP73" s="31" t="str">
        <f>IFERROR(VLOOKUP($B73,Miljövärden!$B$2:$H$550,7,FALSE),"Nej, saknas")</f>
        <v>Ja</v>
      </c>
      <c r="AQ73" s="31" t="str">
        <f>IFERROR(VLOOKUP($B73,Miljövärden!$B$2:$H$551,6,FALSE),"Nej, saknas")</f>
        <v>Nej</v>
      </c>
      <c r="AU73" s="31">
        <f t="shared" si="26"/>
        <v>1.7000000000000001E-2</v>
      </c>
      <c r="AV73" s="31">
        <f t="shared" si="27"/>
        <v>0</v>
      </c>
      <c r="AW73" s="31">
        <f t="shared" si="28"/>
        <v>0</v>
      </c>
      <c r="AX73" s="31">
        <f t="shared" si="29"/>
        <v>0.71499999999999997</v>
      </c>
      <c r="AZ73" s="31">
        <f t="shared" si="30"/>
        <v>0.71499999999999997</v>
      </c>
      <c r="BC73" s="31">
        <f t="shared" si="31"/>
        <v>0.14199999999999999</v>
      </c>
      <c r="BD73" s="31">
        <f t="shared" si="32"/>
        <v>0</v>
      </c>
      <c r="BE73" s="31">
        <f t="shared" si="33"/>
        <v>0.71499999999999997</v>
      </c>
      <c r="BF73" s="31">
        <f t="shared" si="34"/>
        <v>0</v>
      </c>
      <c r="BG73" s="31">
        <f t="shared" si="35"/>
        <v>1.7000000000000001E-2</v>
      </c>
      <c r="BH73" s="31">
        <f>VLOOKUP(B73,Miljö!$B$1:$BX$482,MATCH("Fossilandel för ursprungspecificerad el ()",Miljö!$B$1:$I$1,0),FALSE)</f>
        <v>0</v>
      </c>
      <c r="BI73" s="31">
        <f>VLOOKUP(B73,Miljö!$B$1:$BX$482,MATCH("Kärnkraftsandel för ursprungsspecificerad el ()",Miljö!$B$1:$O$1,0),FALSE)</f>
        <v>0</v>
      </c>
      <c r="BJ73" s="31">
        <f t="shared" si="36"/>
        <v>0</v>
      </c>
      <c r="BK73" s="31" t="str">
        <f>VLOOKUP(B73,Miljö!$B$1:$P$482,MATCH("Fossil andel i procent (%)",Miljö!$B$1:$P$1,0),FALSE)</f>
        <v>ET</v>
      </c>
      <c r="BL73" s="31">
        <f t="shared" si="37"/>
        <v>0.874</v>
      </c>
      <c r="BO73" s="32">
        <f t="shared" si="38"/>
        <v>0.16247139588100684</v>
      </c>
      <c r="BP73" s="32">
        <f t="shared" si="39"/>
        <v>0</v>
      </c>
      <c r="BQ73" s="32">
        <f t="shared" si="40"/>
        <v>0.8375286041189931</v>
      </c>
      <c r="BR73" s="32">
        <f t="shared" si="41"/>
        <v>0</v>
      </c>
      <c r="BT73" s="62">
        <f t="shared" si="42"/>
        <v>1</v>
      </c>
      <c r="BW73" s="32">
        <f>IF(AP73="Ja",VLOOKUP(B73,Miljövärden!$B$2:$H$551,MATCH("Total andel fossilt",Miljövärden!$B$2:$H$2,0),FALSE),"")</f>
        <v>0.162471</v>
      </c>
      <c r="BX73" s="62">
        <f t="shared" si="43"/>
        <v>-3.958810068371843E-7</v>
      </c>
      <c r="BZ73" s="31">
        <f t="shared" si="44"/>
        <v>-3.958810068371843E-7</v>
      </c>
      <c r="CA73" s="32">
        <f t="shared" si="45"/>
        <v>0</v>
      </c>
    </row>
    <row r="74" spans="1:79" x14ac:dyDescent="0.45">
      <c r="A74" s="31" t="s">
        <v>597</v>
      </c>
      <c r="B74" s="31" t="s">
        <v>596</v>
      </c>
      <c r="C74" s="31">
        <f>VLOOKUP($B74,'Tillförd energi'!$B$1:$AI$720,MATCH(C$1,'Tillförd energi'!$B$1:$AQ$1,0),FALSE)</f>
        <v>0</v>
      </c>
      <c r="D74" s="31">
        <f>VLOOKUP($B74,'Tillförd energi'!$B$1:$AI$720,MATCH(D$1,'Tillförd energi'!$B$1:$AQ$1,0),FALSE)</f>
        <v>0</v>
      </c>
      <c r="E74" s="31">
        <f>VLOOKUP($B74,'Tillförd energi'!$B$1:$AI$720,MATCH(E$1,'Tillförd energi'!$B$1:$AQ$1,0),FALSE)</f>
        <v>0</v>
      </c>
      <c r="F74" s="31">
        <f>VLOOKUP($B74,'Tillförd energi'!$B$1:$AI$720,MATCH(F$1,'Tillförd energi'!$B$1:$AQ$1,0),FALSE)</f>
        <v>0</v>
      </c>
      <c r="G74" s="31">
        <f>VLOOKUP($B74,'Tillförd energi'!$B$1:$AI$720,MATCH(G$1,'Tillförd energi'!$B$1:$AQ$1,0),FALSE)</f>
        <v>0</v>
      </c>
      <c r="H74" s="31">
        <f>VLOOKUP($B74,'Tillförd energi'!$B$1:$AI$720,MATCH(H$1,'Tillförd energi'!$B$1:$AQ$1,0),FALSE)</f>
        <v>0</v>
      </c>
      <c r="I74" s="31">
        <f>VLOOKUP($B74,'Tillförd energi'!$B$1:$AI$720,MATCH(I$1,'Tillförd energi'!$B$1:$AQ$1,0),FALSE)</f>
        <v>0</v>
      </c>
      <c r="J74" s="31">
        <f>VLOOKUP($B74,'Tillförd energi'!$B$1:$AI$720,MATCH(J$1,'Tillförd energi'!$B$1:$AQ$1,0),FALSE)</f>
        <v>0</v>
      </c>
      <c r="K74" s="31">
        <f>VLOOKUP($B74,'Tillförd energi'!$B$1:$AI$720,MATCH(K$1,'Tillförd energi'!$B$1:$AQ$1,0),FALSE)</f>
        <v>0</v>
      </c>
      <c r="L74" s="31">
        <f>VLOOKUP($B74,'Tillförd energi'!$B$1:$AI$720,MATCH(L$1,'Tillförd energi'!$B$1:$AQ$1,0),FALSE)</f>
        <v>0</v>
      </c>
      <c r="M74" s="31">
        <f>VLOOKUP($B74,'Tillförd energi'!$B$1:$AI$720,MATCH(M$1,'Tillförd energi'!$B$1:$AQ$1,0),FALSE)</f>
        <v>0</v>
      </c>
      <c r="N74" s="31">
        <f>VLOOKUP($B74,'Tillförd energi'!$B$1:$AI$720,MATCH(N$1,'Tillförd energi'!$B$1:$AQ$1,0),FALSE)</f>
        <v>0</v>
      </c>
      <c r="O74" s="31">
        <f>VLOOKUP($B74,'Tillförd energi'!$B$1:$AI$720,MATCH(O$1,'Tillförd energi'!$B$1:$AQ$1,0),FALSE)</f>
        <v>0</v>
      </c>
      <c r="P74" s="31">
        <f>VLOOKUP($B74,'Tillförd energi'!$B$1:$AI$720,MATCH(P$1,'Tillförd energi'!$B$1:$AQ$1,0),FALSE)</f>
        <v>0</v>
      </c>
      <c r="Q74" s="31">
        <f>VLOOKUP($B74,'Tillförd energi'!$B$1:$AI$720,MATCH(Q$1,'Tillförd energi'!$B$1:$AQ$1,0),FALSE)</f>
        <v>0</v>
      </c>
      <c r="R74" s="31">
        <f>VLOOKUP($B74,'Tillförd energi'!$B$1:$AI$720,MATCH(R$1,'Tillförd energi'!$B$1:$AQ$1,0),FALSE)</f>
        <v>5.194</v>
      </c>
      <c r="S74" s="31">
        <f>VLOOKUP($B74,'Tillförd energi'!$B$1:$AI$720,MATCH(S$1,'Tillförd energi'!$B$1:$AQ$1,0),FALSE)</f>
        <v>0</v>
      </c>
      <c r="T74" s="31">
        <f>VLOOKUP($B74,'Tillförd energi'!$B$1:$AI$720,MATCH(T$1,'Tillförd energi'!$B$1:$AQ$1,0),FALSE)</f>
        <v>0</v>
      </c>
      <c r="U74" s="31">
        <f>VLOOKUP($B74,'Tillförd energi'!$B$1:$AI$720,MATCH(U$1,'Tillförd energi'!$B$1:$AQ$1,0),FALSE)</f>
        <v>0</v>
      </c>
      <c r="V74" s="31">
        <f>VLOOKUP($B74,'Tillförd energi'!$B$1:$AI$720,MATCH(V$1,'Tillförd energi'!$B$1:$AQ$1,0),FALSE)</f>
        <v>0</v>
      </c>
      <c r="W74" s="31">
        <f>VLOOKUP($B74,'Tillförd energi'!$B$1:$AI$720,MATCH(W$1,'Tillförd energi'!$B$1:$AQ$1,0),FALSE)</f>
        <v>3.6230000000000002</v>
      </c>
      <c r="X74" s="31">
        <f>VLOOKUP($B74,'Tillförd energi'!$B$1:$AI$720,MATCH(X$1,'Tillförd energi'!$B$1:$AQ$1,0),FALSE)</f>
        <v>0</v>
      </c>
      <c r="Y74" s="31">
        <f>VLOOKUP($B74,'Tillförd energi'!$B$1:$AI$720,MATCH(Y$1,'Tillförd energi'!$B$1:$AQ$1,0),FALSE)</f>
        <v>0</v>
      </c>
      <c r="Z74" s="31">
        <f>VLOOKUP($B74,'Tillförd energi'!$B$1:$AI$720,MATCH(Z$1,'Tillförd energi'!$B$1:$AQ$1,0),FALSE)</f>
        <v>0</v>
      </c>
      <c r="AA74" s="31">
        <f>VLOOKUP($B74,'Tillförd energi'!$B$1:$AI$720,MATCH(AA$1,'Tillförd energi'!$B$1:$AQ$1,0),FALSE)</f>
        <v>0</v>
      </c>
      <c r="AB74" s="31">
        <f>VLOOKUP($B74,'Tillförd energi'!$B$1:$AI$720,MATCH(AB$1,'Tillförd energi'!$B$1:$AQ$1,0),FALSE)</f>
        <v>0</v>
      </c>
      <c r="AC74" s="31">
        <f>VLOOKUP($B74,'Tillförd energi'!$B$1:$AI$720,MATCH(AC$1,'Tillförd energi'!$B$1:$AQ$1,0),FALSE)</f>
        <v>0</v>
      </c>
      <c r="AD74" s="31">
        <f>VLOOKUP($B74,'Tillförd energi'!$B$1:$AI$720,MATCH(AD$1,'Tillförd energi'!$B$1:$AQ$1,0),FALSE)</f>
        <v>0</v>
      </c>
      <c r="AE74" s="31">
        <f>VLOOKUP($B74,'Tillförd energi'!$B$1:$AI$720,MATCH(AE$1,'Tillförd energi'!$B$1:$AQ$1,0),FALSE)</f>
        <v>0</v>
      </c>
      <c r="AF74" s="31">
        <f>VLOOKUP($B74,'Tillförd energi'!$B$1:$AI$720,MATCH(AF$1,'Tillförd energi'!$B$1:$AQ$1,0),FALSE)</f>
        <v>0.121</v>
      </c>
      <c r="AG74" s="31">
        <f>IFERROR(VLOOKUP(B74,Miljö!$B$1:$AC$550,MATCH("Köpt mängd produktionsspecifik fjärrvärme:",Miljö!$B$1:$AC$1,0),FALSE)/1,0)</f>
        <v>0</v>
      </c>
      <c r="AI74" s="31">
        <f t="shared" si="23"/>
        <v>8.9380000000000006</v>
      </c>
      <c r="AJ74" s="31">
        <f t="shared" si="24"/>
        <v>8.9380000000000006</v>
      </c>
      <c r="AK74" s="31">
        <f>IF(ISERROR(1/VLOOKUP($B74,Leveranser!$B$1:$S$499,MATCH("Såld värme (GWh)",Leveranser!$B$1:$S$1,0),FALSE)),"",VLOOKUP($B74,Leveranser!$B$1:$S$499,MATCH("Såld värme (GWh)",Leveranser!$B$1:$S$1,0),FALSE))</f>
        <v>5.8049999999999997</v>
      </c>
      <c r="AL74" s="31">
        <f>VLOOKUP($B74,Leveranser!$B$1:$Y$499,MATCH("Totalt såld fjärrvärme till andra fjärrvärmeföretag",Leveranser!$B$1:$AA$1,0),FALSE)</f>
        <v>0</v>
      </c>
      <c r="AM74" s="31">
        <f>IF(ISERROR(1/VLOOKUP($B74,Miljö!$B$1:$S$500,MATCH("Såld mängd produktionsspecifik fjärrvärme (GWh)",Miljö!$B$1:$R$1,0),FALSE)),0,VLOOKUP($B74,Miljö!$B$1:$S$500,MATCH("Såld mängd produktionsspecifik fjärrvärme (GWh)",Miljö!$B$1:$R$1,0),FALSE))</f>
        <v>0</v>
      </c>
      <c r="AN74" s="32">
        <f t="shared" si="25"/>
        <v>0.64947415529201158</v>
      </c>
      <c r="AP74" s="31" t="str">
        <f>IFERROR(VLOOKUP($B74,Miljövärden!$B$2:$H$550,7,FALSE),"Nej, saknas")</f>
        <v>Ja</v>
      </c>
      <c r="AQ74" s="31" t="str">
        <f>IFERROR(VLOOKUP($B74,Miljövärden!$B$2:$H$551,6,FALSE),"Nej, saknas")</f>
        <v>Nej</v>
      </c>
      <c r="AU74" s="31">
        <f t="shared" si="26"/>
        <v>0.121</v>
      </c>
      <c r="AV74" s="31">
        <f t="shared" si="27"/>
        <v>0</v>
      </c>
      <c r="AW74" s="31">
        <f t="shared" si="28"/>
        <v>0</v>
      </c>
      <c r="AX74" s="31">
        <f t="shared" si="29"/>
        <v>5.194</v>
      </c>
      <c r="AZ74" s="31">
        <f t="shared" si="30"/>
        <v>8.8170000000000002</v>
      </c>
      <c r="BC74" s="31">
        <f t="shared" si="31"/>
        <v>0</v>
      </c>
      <c r="BD74" s="31">
        <f t="shared" si="32"/>
        <v>0</v>
      </c>
      <c r="BE74" s="31">
        <f t="shared" si="33"/>
        <v>8.8170000000000002</v>
      </c>
      <c r="BF74" s="31">
        <f t="shared" si="34"/>
        <v>0</v>
      </c>
      <c r="BG74" s="31">
        <f t="shared" si="35"/>
        <v>0.121</v>
      </c>
      <c r="BH74" s="31">
        <f>VLOOKUP(B74,Miljö!$B$1:$BX$482,MATCH("Fossilandel för ursprungspecificerad el ()",Miljö!$B$1:$I$1,0),FALSE)</f>
        <v>0</v>
      </c>
      <c r="BI74" s="31">
        <f>VLOOKUP(B74,Miljö!$B$1:$BX$482,MATCH("Kärnkraftsandel för ursprungsspecificerad el ()",Miljö!$B$1:$O$1,0),FALSE)</f>
        <v>0</v>
      </c>
      <c r="BJ74" s="31">
        <f t="shared" si="36"/>
        <v>0</v>
      </c>
      <c r="BK74" s="31" t="str">
        <f>VLOOKUP(B74,Miljö!$B$1:$P$482,MATCH("Fossil andel i procent (%)",Miljö!$B$1:$P$1,0),FALSE)</f>
        <v>ET</v>
      </c>
      <c r="BL74" s="31">
        <f t="shared" si="37"/>
        <v>8.9380000000000006</v>
      </c>
      <c r="BO74" s="32">
        <f t="shared" si="38"/>
        <v>0</v>
      </c>
      <c r="BP74" s="32">
        <f t="shared" si="39"/>
        <v>0</v>
      </c>
      <c r="BQ74" s="32">
        <f t="shared" si="40"/>
        <v>1</v>
      </c>
      <c r="BR74" s="32">
        <f t="shared" si="41"/>
        <v>0</v>
      </c>
      <c r="BT74" s="62">
        <f t="shared" si="42"/>
        <v>1</v>
      </c>
      <c r="BW74" s="32">
        <f>IF(AP74="Ja",VLOOKUP(B74,Miljövärden!$B$2:$H$551,MATCH("Total andel fossilt",Miljövärden!$B$2:$H$2,0),FALSE),"")</f>
        <v>0</v>
      </c>
      <c r="BX74" s="62">
        <f t="shared" si="43"/>
        <v>0</v>
      </c>
      <c r="BZ74" s="31">
        <f t="shared" si="44"/>
        <v>0</v>
      </c>
      <c r="CA74" s="32">
        <f t="shared" si="45"/>
        <v>0</v>
      </c>
    </row>
    <row r="75" spans="1:79" x14ac:dyDescent="0.45">
      <c r="A75" s="31" t="s">
        <v>593</v>
      </c>
      <c r="B75" s="31" t="s">
        <v>595</v>
      </c>
      <c r="C75" s="31">
        <f>VLOOKUP($B75,'Tillförd energi'!$B$1:$AI$720,MATCH(C$1,'Tillförd energi'!$B$1:$AQ$1,0),FALSE)</f>
        <v>0</v>
      </c>
      <c r="D75" s="31">
        <f>VLOOKUP($B75,'Tillförd energi'!$B$1:$AI$720,MATCH(D$1,'Tillförd energi'!$B$1:$AQ$1,0),FALSE)</f>
        <v>0</v>
      </c>
      <c r="E75" s="31">
        <f>VLOOKUP($B75,'Tillförd energi'!$B$1:$AI$720,MATCH(E$1,'Tillförd energi'!$B$1:$AQ$1,0),FALSE)</f>
        <v>0</v>
      </c>
      <c r="F75" s="31">
        <f>VLOOKUP($B75,'Tillförd energi'!$B$1:$AI$720,MATCH(F$1,'Tillförd energi'!$B$1:$AQ$1,0),FALSE)</f>
        <v>0</v>
      </c>
      <c r="G75" s="31">
        <f>VLOOKUP($B75,'Tillförd energi'!$B$1:$AI$720,MATCH(G$1,'Tillförd energi'!$B$1:$AQ$1,0),FALSE)</f>
        <v>0</v>
      </c>
      <c r="H75" s="31">
        <f>VLOOKUP($B75,'Tillförd energi'!$B$1:$AI$720,MATCH(H$1,'Tillförd energi'!$B$1:$AQ$1,0),FALSE)</f>
        <v>0</v>
      </c>
      <c r="I75" s="31">
        <f>VLOOKUP($B75,'Tillförd energi'!$B$1:$AI$720,MATCH(I$1,'Tillförd energi'!$B$1:$AQ$1,0),FALSE)</f>
        <v>0</v>
      </c>
      <c r="J75" s="31">
        <f>VLOOKUP($B75,'Tillförd energi'!$B$1:$AI$720,MATCH(J$1,'Tillförd energi'!$B$1:$AQ$1,0),FALSE)</f>
        <v>0</v>
      </c>
      <c r="K75" s="31">
        <f>VLOOKUP($B75,'Tillförd energi'!$B$1:$AI$720,MATCH(K$1,'Tillförd energi'!$B$1:$AQ$1,0),FALSE)</f>
        <v>0</v>
      </c>
      <c r="L75" s="31">
        <f>VLOOKUP($B75,'Tillförd energi'!$B$1:$AI$720,MATCH(L$1,'Tillförd energi'!$B$1:$AQ$1,0),FALSE)</f>
        <v>0</v>
      </c>
      <c r="M75" s="31">
        <f>VLOOKUP($B75,'Tillförd energi'!$B$1:$AI$720,MATCH(M$1,'Tillförd energi'!$B$1:$AQ$1,0),FALSE)</f>
        <v>3.5853299999999999</v>
      </c>
      <c r="N75" s="31">
        <f>VLOOKUP($B75,'Tillförd energi'!$B$1:$AI$720,MATCH(N$1,'Tillförd energi'!$B$1:$AQ$1,0),FALSE)</f>
        <v>81.192800000000005</v>
      </c>
      <c r="O75" s="31">
        <f>VLOOKUP($B75,'Tillförd energi'!$B$1:$AI$720,MATCH(O$1,'Tillförd energi'!$B$1:$AQ$1,0),FALSE)</f>
        <v>0</v>
      </c>
      <c r="P75" s="31">
        <f>VLOOKUP($B75,'Tillförd energi'!$B$1:$AI$720,MATCH(P$1,'Tillförd energi'!$B$1:$AQ$1,0),FALSE)</f>
        <v>0.44816699999999998</v>
      </c>
      <c r="Q75" s="31">
        <f>VLOOKUP($B75,'Tillförd energi'!$B$1:$AI$720,MATCH(Q$1,'Tillförd energi'!$B$1:$AQ$1,0),FALSE)</f>
        <v>17.2544</v>
      </c>
      <c r="R75" s="31">
        <f>VLOOKUP($B75,'Tillförd energi'!$B$1:$AI$720,MATCH(R$1,'Tillförd energi'!$B$1:$AQ$1,0),FALSE)</f>
        <v>0</v>
      </c>
      <c r="S75" s="31">
        <f>VLOOKUP($B75,'Tillförd energi'!$B$1:$AI$720,MATCH(S$1,'Tillförd energi'!$B$1:$AQ$1,0),FALSE)</f>
        <v>6.7889999999999997</v>
      </c>
      <c r="T75" s="31">
        <f>VLOOKUP($B75,'Tillförd energi'!$B$1:$AI$720,MATCH(T$1,'Tillförd energi'!$B$1:$AQ$1,0),FALSE)</f>
        <v>0</v>
      </c>
      <c r="U75" s="31">
        <f>VLOOKUP($B75,'Tillförd energi'!$B$1:$AI$720,MATCH(U$1,'Tillförd energi'!$B$1:$AQ$1,0),FALSE)</f>
        <v>0</v>
      </c>
      <c r="V75" s="31">
        <f>VLOOKUP($B75,'Tillförd energi'!$B$1:$AI$720,MATCH(V$1,'Tillförd energi'!$B$1:$AQ$1,0),FALSE)</f>
        <v>0</v>
      </c>
      <c r="W75" s="31">
        <f>VLOOKUP($B75,'Tillförd energi'!$B$1:$AI$720,MATCH(W$1,'Tillförd energi'!$B$1:$AQ$1,0),FALSE)</f>
        <v>1.0167200000000001</v>
      </c>
      <c r="X75" s="31">
        <f>VLOOKUP($B75,'Tillförd energi'!$B$1:$AI$720,MATCH(X$1,'Tillförd energi'!$B$1:$AQ$1,0),FALSE)</f>
        <v>0</v>
      </c>
      <c r="Y75" s="31">
        <f>VLOOKUP($B75,'Tillförd energi'!$B$1:$AI$720,MATCH(Y$1,'Tillförd energi'!$B$1:$AQ$1,0),FALSE)</f>
        <v>0</v>
      </c>
      <c r="Z75" s="31">
        <f>VLOOKUP($B75,'Tillförd energi'!$B$1:$AI$720,MATCH(Z$1,'Tillförd energi'!$B$1:$AQ$1,0),FALSE)</f>
        <v>0</v>
      </c>
      <c r="AA75" s="31">
        <f>VLOOKUP($B75,'Tillförd energi'!$B$1:$AI$720,MATCH(AA$1,'Tillförd energi'!$B$1:$AQ$1,0),FALSE)</f>
        <v>0</v>
      </c>
      <c r="AB75" s="31">
        <f>VLOOKUP($B75,'Tillförd energi'!$B$1:$AI$720,MATCH(AB$1,'Tillförd energi'!$B$1:$AQ$1,0),FALSE)</f>
        <v>0</v>
      </c>
      <c r="AC75" s="31">
        <f>VLOOKUP($B75,'Tillförd energi'!$B$1:$AI$720,MATCH(AC$1,'Tillförd energi'!$B$1:$AQ$1,0),FALSE)</f>
        <v>23.2</v>
      </c>
      <c r="AD75" s="31">
        <f>VLOOKUP($B75,'Tillförd energi'!$B$1:$AI$720,MATCH(AD$1,'Tillförd energi'!$B$1:$AQ$1,0),FALSE)</f>
        <v>0</v>
      </c>
      <c r="AE75" s="31">
        <f>VLOOKUP($B75,'Tillförd energi'!$B$1:$AI$720,MATCH(AE$1,'Tillförd energi'!$B$1:$AQ$1,0),FALSE)</f>
        <v>0</v>
      </c>
      <c r="AF75" s="31">
        <f>VLOOKUP($B75,'Tillförd energi'!$B$1:$AI$720,MATCH(AF$1,'Tillförd energi'!$B$1:$AQ$1,0),FALSE)</f>
        <v>3.7181299999999999</v>
      </c>
      <c r="AG75" s="31">
        <f>IFERROR(VLOOKUP(B75,Miljö!$B$1:$AC$550,MATCH("Köpt mängd produktionsspecifik fjärrvärme:",Miljö!$B$1:$AC$1,0),FALSE)/1,0)</f>
        <v>0</v>
      </c>
      <c r="AI75" s="31">
        <f t="shared" si="23"/>
        <v>137.20454700000002</v>
      </c>
      <c r="AJ75" s="31">
        <f t="shared" si="24"/>
        <v>137.20454700000002</v>
      </c>
      <c r="AK75" s="31">
        <f>IF(ISERROR(1/VLOOKUP($B75,Leveranser!$B$1:$S$499,MATCH("Såld värme (GWh)",Leveranser!$B$1:$S$1,0),FALSE)),"",VLOOKUP($B75,Leveranser!$B$1:$S$499,MATCH("Såld värme (GWh)",Leveranser!$B$1:$S$1,0),FALSE))</f>
        <v>102.3</v>
      </c>
      <c r="AL75" s="31">
        <f>VLOOKUP($B75,Leveranser!$B$1:$Y$499,MATCH("Totalt såld fjärrvärme till andra fjärrvärmeföretag",Leveranser!$B$1:$AA$1,0),FALSE)</f>
        <v>0</v>
      </c>
      <c r="AM75" s="31">
        <f>IF(ISERROR(1/VLOOKUP($B75,Miljö!$B$1:$S$500,MATCH("Såld mängd produktionsspecifik fjärrvärme (GWh)",Miljö!$B$1:$R$1,0),FALSE)),0,VLOOKUP($B75,Miljö!$B$1:$S$500,MATCH("Såld mängd produktionsspecifik fjärrvärme (GWh)",Miljö!$B$1:$R$1,0),FALSE))</f>
        <v>0</v>
      </c>
      <c r="AN75" s="32">
        <f t="shared" si="25"/>
        <v>0.745602111860039</v>
      </c>
      <c r="AP75" s="31" t="str">
        <f>IFERROR(VLOOKUP($B75,Miljövärden!$B$2:$H$550,7,FALSE),"Nej, saknas")</f>
        <v>Ja</v>
      </c>
      <c r="AQ75" s="31" t="str">
        <f>IFERROR(VLOOKUP($B75,Miljövärden!$B$2:$H$551,6,FALSE),"Nej, saknas")</f>
        <v>Ja</v>
      </c>
      <c r="AU75" s="31">
        <f t="shared" si="26"/>
        <v>3.7181299999999999</v>
      </c>
      <c r="AV75" s="31">
        <f t="shared" si="27"/>
        <v>0</v>
      </c>
      <c r="AW75" s="31">
        <f t="shared" si="28"/>
        <v>102.48069700000001</v>
      </c>
      <c r="AX75" s="31">
        <f t="shared" si="29"/>
        <v>6.7889999999999997</v>
      </c>
      <c r="AZ75" s="31">
        <f t="shared" si="30"/>
        <v>110.28641700000001</v>
      </c>
      <c r="BC75" s="31">
        <f t="shared" si="31"/>
        <v>0</v>
      </c>
      <c r="BD75" s="31">
        <f t="shared" si="32"/>
        <v>0</v>
      </c>
      <c r="BE75" s="31">
        <f t="shared" si="33"/>
        <v>110.28641700000001</v>
      </c>
      <c r="BF75" s="31">
        <f t="shared" si="34"/>
        <v>23.2</v>
      </c>
      <c r="BG75" s="31">
        <f t="shared" si="35"/>
        <v>3.7181299999999999</v>
      </c>
      <c r="BH75" s="31">
        <f>VLOOKUP(B75,Miljö!$B$1:$BX$482,MATCH("Fossilandel för ursprungspecificerad el ()",Miljö!$B$1:$I$1,0),FALSE)</f>
        <v>0</v>
      </c>
      <c r="BI75" s="31">
        <f>VLOOKUP(B75,Miljö!$B$1:$BX$482,MATCH("Kärnkraftsandel för ursprungsspecificerad el ()",Miljö!$B$1:$O$1,0),FALSE)</f>
        <v>0</v>
      </c>
      <c r="BJ75" s="31">
        <f t="shared" si="36"/>
        <v>0</v>
      </c>
      <c r="BK75" s="31" t="str">
        <f>VLOOKUP(B75,Miljö!$B$1:$P$482,MATCH("Fossil andel i procent (%)",Miljö!$B$1:$P$1,0),FALSE)</f>
        <v>ET</v>
      </c>
      <c r="BL75" s="31">
        <f t="shared" si="37"/>
        <v>137.20454700000002</v>
      </c>
      <c r="BO75" s="32">
        <f t="shared" si="38"/>
        <v>0</v>
      </c>
      <c r="BP75" s="32">
        <f t="shared" si="39"/>
        <v>0</v>
      </c>
      <c r="BQ75" s="32">
        <f t="shared" si="40"/>
        <v>0.8309093939867751</v>
      </c>
      <c r="BR75" s="32">
        <f t="shared" si="41"/>
        <v>0.16909060601322487</v>
      </c>
      <c r="BT75" s="62">
        <f t="shared" si="42"/>
        <v>1</v>
      </c>
      <c r="BW75" s="32">
        <f>IF(AP75="Ja",VLOOKUP(B75,Miljövärden!$B$2:$H$551,MATCH("Total andel fossilt",Miljövärden!$B$2:$H$2,0),FALSE),"")</f>
        <v>0</v>
      </c>
      <c r="BX75" s="62">
        <f t="shared" si="43"/>
        <v>0</v>
      </c>
      <c r="BZ75" s="31">
        <f t="shared" si="44"/>
        <v>0</v>
      </c>
      <c r="CA75" s="32">
        <f t="shared" si="45"/>
        <v>0</v>
      </c>
    </row>
    <row r="76" spans="1:79" x14ac:dyDescent="0.45">
      <c r="A76" s="31" t="s">
        <v>593</v>
      </c>
      <c r="B76" s="31" t="s">
        <v>594</v>
      </c>
      <c r="C76" s="31">
        <f>VLOOKUP($B76,'Tillförd energi'!$B$1:$AI$720,MATCH(C$1,'Tillförd energi'!$B$1:$AQ$1,0),FALSE)</f>
        <v>0</v>
      </c>
      <c r="D76" s="31">
        <f>VLOOKUP($B76,'Tillförd energi'!$B$1:$AI$720,MATCH(D$1,'Tillförd energi'!$B$1:$AQ$1,0),FALSE)</f>
        <v>0</v>
      </c>
      <c r="E76" s="31">
        <f>VLOOKUP($B76,'Tillförd energi'!$B$1:$AI$720,MATCH(E$1,'Tillförd energi'!$B$1:$AQ$1,0),FALSE)</f>
        <v>0</v>
      </c>
      <c r="F76" s="31">
        <f>VLOOKUP($B76,'Tillförd energi'!$B$1:$AI$720,MATCH(F$1,'Tillförd energi'!$B$1:$AQ$1,0),FALSE)</f>
        <v>0</v>
      </c>
      <c r="G76" s="31">
        <f>VLOOKUP($B76,'Tillförd energi'!$B$1:$AI$720,MATCH(G$1,'Tillförd energi'!$B$1:$AQ$1,0),FALSE)</f>
        <v>0</v>
      </c>
      <c r="H76" s="31">
        <f>VLOOKUP($B76,'Tillförd energi'!$B$1:$AI$720,MATCH(H$1,'Tillförd energi'!$B$1:$AQ$1,0),FALSE)</f>
        <v>0</v>
      </c>
      <c r="I76" s="31">
        <f>VLOOKUP($B76,'Tillförd energi'!$B$1:$AI$720,MATCH(I$1,'Tillförd energi'!$B$1:$AQ$1,0),FALSE)</f>
        <v>0</v>
      </c>
      <c r="J76" s="31">
        <f>VLOOKUP($B76,'Tillförd energi'!$B$1:$AI$720,MATCH(J$1,'Tillförd energi'!$B$1:$AQ$1,0),FALSE)</f>
        <v>0</v>
      </c>
      <c r="K76" s="31">
        <f>VLOOKUP($B76,'Tillförd energi'!$B$1:$AI$720,MATCH(K$1,'Tillförd energi'!$B$1:$AQ$1,0),FALSE)</f>
        <v>0</v>
      </c>
      <c r="L76" s="31">
        <f>VLOOKUP($B76,'Tillförd energi'!$B$1:$AI$720,MATCH(L$1,'Tillförd energi'!$B$1:$AQ$1,0),FALSE)</f>
        <v>0</v>
      </c>
      <c r="M76" s="31">
        <f>VLOOKUP($B76,'Tillförd energi'!$B$1:$AI$720,MATCH(M$1,'Tillförd energi'!$B$1:$AQ$1,0),FALSE)</f>
        <v>0</v>
      </c>
      <c r="N76" s="31">
        <f>VLOOKUP($B76,'Tillförd energi'!$B$1:$AI$720,MATCH(N$1,'Tillförd energi'!$B$1:$AQ$1,0),FALSE)</f>
        <v>0</v>
      </c>
      <c r="O76" s="31">
        <f>VLOOKUP($B76,'Tillförd energi'!$B$1:$AI$720,MATCH(O$1,'Tillförd energi'!$B$1:$AQ$1,0),FALSE)</f>
        <v>0</v>
      </c>
      <c r="P76" s="31">
        <f>VLOOKUP($B76,'Tillförd energi'!$B$1:$AI$720,MATCH(P$1,'Tillförd energi'!$B$1:$AQ$1,0),FALSE)</f>
        <v>0</v>
      </c>
      <c r="Q76" s="31">
        <f>VLOOKUP($B76,'Tillförd energi'!$B$1:$AI$720,MATCH(Q$1,'Tillförd energi'!$B$1:$AQ$1,0),FALSE)</f>
        <v>1.8129999999999999</v>
      </c>
      <c r="R76" s="31">
        <f>VLOOKUP($B76,'Tillförd energi'!$B$1:$AI$720,MATCH(R$1,'Tillförd energi'!$B$1:$AQ$1,0),FALSE)</f>
        <v>0</v>
      </c>
      <c r="S76" s="31">
        <f>VLOOKUP($B76,'Tillförd energi'!$B$1:$AI$720,MATCH(S$1,'Tillförd energi'!$B$1:$AQ$1,0),FALSE)</f>
        <v>10.218</v>
      </c>
      <c r="T76" s="31">
        <f>VLOOKUP($B76,'Tillförd energi'!$B$1:$AI$720,MATCH(T$1,'Tillförd energi'!$B$1:$AQ$1,0),FALSE)</f>
        <v>0</v>
      </c>
      <c r="U76" s="31">
        <f>VLOOKUP($B76,'Tillförd energi'!$B$1:$AI$720,MATCH(U$1,'Tillförd energi'!$B$1:$AQ$1,0),FALSE)</f>
        <v>0</v>
      </c>
      <c r="V76" s="31">
        <f>VLOOKUP($B76,'Tillförd energi'!$B$1:$AI$720,MATCH(V$1,'Tillförd energi'!$B$1:$AQ$1,0),FALSE)</f>
        <v>0</v>
      </c>
      <c r="W76" s="31">
        <f>VLOOKUP($B76,'Tillförd energi'!$B$1:$AI$720,MATCH(W$1,'Tillförd energi'!$B$1:$AQ$1,0),FALSE)</f>
        <v>0.17</v>
      </c>
      <c r="X76" s="31">
        <f>VLOOKUP($B76,'Tillförd energi'!$B$1:$AI$720,MATCH(X$1,'Tillförd energi'!$B$1:$AQ$1,0),FALSE)</f>
        <v>0</v>
      </c>
      <c r="Y76" s="31">
        <f>VLOOKUP($B76,'Tillförd energi'!$B$1:$AI$720,MATCH(Y$1,'Tillförd energi'!$B$1:$AQ$1,0),FALSE)</f>
        <v>0</v>
      </c>
      <c r="Z76" s="31">
        <f>VLOOKUP($B76,'Tillförd energi'!$B$1:$AI$720,MATCH(Z$1,'Tillförd energi'!$B$1:$AQ$1,0),FALSE)</f>
        <v>0</v>
      </c>
      <c r="AA76" s="31">
        <f>VLOOKUP($B76,'Tillförd energi'!$B$1:$AI$720,MATCH(AA$1,'Tillförd energi'!$B$1:$AQ$1,0),FALSE)</f>
        <v>0</v>
      </c>
      <c r="AB76" s="31">
        <f>VLOOKUP($B76,'Tillförd energi'!$B$1:$AI$720,MATCH(AB$1,'Tillförd energi'!$B$1:$AQ$1,0),FALSE)</f>
        <v>0</v>
      </c>
      <c r="AC76" s="31">
        <f>VLOOKUP($B76,'Tillförd energi'!$B$1:$AI$720,MATCH(AC$1,'Tillförd energi'!$B$1:$AQ$1,0),FALSE)</f>
        <v>0</v>
      </c>
      <c r="AD76" s="31">
        <f>VLOOKUP($B76,'Tillförd energi'!$B$1:$AI$720,MATCH(AD$1,'Tillförd energi'!$B$1:$AQ$1,0),FALSE)</f>
        <v>0</v>
      </c>
      <c r="AE76" s="31">
        <f>VLOOKUP($B76,'Tillförd energi'!$B$1:$AI$720,MATCH(AE$1,'Tillförd energi'!$B$1:$AQ$1,0),FALSE)</f>
        <v>0</v>
      </c>
      <c r="AF76" s="31">
        <f>VLOOKUP($B76,'Tillförd energi'!$B$1:$AI$720,MATCH(AF$1,'Tillförd energi'!$B$1:$AQ$1,0),FALSE)</f>
        <v>0.11</v>
      </c>
      <c r="AG76" s="31">
        <f>IFERROR(VLOOKUP(B76,Miljö!$B$1:$AC$550,MATCH("Köpt mängd produktionsspecifik fjärrvärme:",Miljö!$B$1:$AC$1,0),FALSE)/1,0)</f>
        <v>0</v>
      </c>
      <c r="AI76" s="31">
        <f t="shared" si="23"/>
        <v>12.311</v>
      </c>
      <c r="AJ76" s="31">
        <f t="shared" si="24"/>
        <v>12.311</v>
      </c>
      <c r="AK76" s="31">
        <f>IF(ISERROR(1/VLOOKUP($B76,Leveranser!$B$1:$S$499,MATCH("Såld värme (GWh)",Leveranser!$B$1:$S$1,0),FALSE)),"",VLOOKUP($B76,Leveranser!$B$1:$S$499,MATCH("Såld värme (GWh)",Leveranser!$B$1:$S$1,0),FALSE))</f>
        <v>9.1</v>
      </c>
      <c r="AL76" s="31">
        <f>VLOOKUP($B76,Leveranser!$B$1:$Y$499,MATCH("Totalt såld fjärrvärme till andra fjärrvärmeföretag",Leveranser!$B$1:$AA$1,0),FALSE)</f>
        <v>0</v>
      </c>
      <c r="AM76" s="31">
        <f>IF(ISERROR(1/VLOOKUP($B76,Miljö!$B$1:$S$500,MATCH("Såld mängd produktionsspecifik fjärrvärme (GWh)",Miljö!$B$1:$R$1,0),FALSE)),0,VLOOKUP($B76,Miljö!$B$1:$S$500,MATCH("Såld mängd produktionsspecifik fjärrvärme (GWh)",Miljö!$B$1:$R$1,0),FALSE))</f>
        <v>0</v>
      </c>
      <c r="AN76" s="32">
        <f t="shared" si="25"/>
        <v>0.73917634635691654</v>
      </c>
      <c r="AP76" s="31" t="str">
        <f>IFERROR(VLOOKUP($B76,Miljövärden!$B$2:$H$550,7,FALSE),"Nej, saknas")</f>
        <v>Ja</v>
      </c>
      <c r="AQ76" s="31" t="str">
        <f>IFERROR(VLOOKUP($B76,Miljövärden!$B$2:$H$551,6,FALSE),"Nej, saknas")</f>
        <v>Ja</v>
      </c>
      <c r="AU76" s="31">
        <f t="shared" si="26"/>
        <v>0.11</v>
      </c>
      <c r="AV76" s="31">
        <f t="shared" si="27"/>
        <v>0</v>
      </c>
      <c r="AW76" s="31">
        <f t="shared" si="28"/>
        <v>1.8129999999999999</v>
      </c>
      <c r="AX76" s="31">
        <f t="shared" si="29"/>
        <v>10.218</v>
      </c>
      <c r="AZ76" s="31">
        <f t="shared" si="30"/>
        <v>12.201000000000001</v>
      </c>
      <c r="BC76" s="31">
        <f t="shared" si="31"/>
        <v>0</v>
      </c>
      <c r="BD76" s="31">
        <f t="shared" si="32"/>
        <v>0</v>
      </c>
      <c r="BE76" s="31">
        <f t="shared" si="33"/>
        <v>12.201000000000001</v>
      </c>
      <c r="BF76" s="31">
        <f t="shared" si="34"/>
        <v>0</v>
      </c>
      <c r="BG76" s="31">
        <f t="shared" si="35"/>
        <v>0.11</v>
      </c>
      <c r="BH76" s="31">
        <f>VLOOKUP(B76,Miljö!$B$1:$BX$482,MATCH("Fossilandel för ursprungspecificerad el ()",Miljö!$B$1:$I$1,0),FALSE)</f>
        <v>0</v>
      </c>
      <c r="BI76" s="31">
        <f>VLOOKUP(B76,Miljö!$B$1:$BX$482,MATCH("Kärnkraftsandel för ursprungsspecificerad el ()",Miljö!$B$1:$O$1,0),FALSE)</f>
        <v>0</v>
      </c>
      <c r="BJ76" s="31">
        <f t="shared" si="36"/>
        <v>0</v>
      </c>
      <c r="BK76" s="31" t="str">
        <f>VLOOKUP(B76,Miljö!$B$1:$P$482,MATCH("Fossil andel i procent (%)",Miljö!$B$1:$P$1,0),FALSE)</f>
        <v>ET</v>
      </c>
      <c r="BL76" s="31">
        <f t="shared" si="37"/>
        <v>12.311</v>
      </c>
      <c r="BO76" s="32">
        <f t="shared" si="38"/>
        <v>0</v>
      </c>
      <c r="BP76" s="32">
        <f t="shared" si="39"/>
        <v>0</v>
      </c>
      <c r="BQ76" s="32">
        <f t="shared" si="40"/>
        <v>1</v>
      </c>
      <c r="BR76" s="32">
        <f t="shared" si="41"/>
        <v>0</v>
      </c>
      <c r="BT76" s="62">
        <f t="shared" si="42"/>
        <v>1</v>
      </c>
      <c r="BW76" s="32">
        <f>IF(AP76="Ja",VLOOKUP(B76,Miljövärden!$B$2:$H$551,MATCH("Total andel fossilt",Miljövärden!$B$2:$H$2,0),FALSE),"")</f>
        <v>0</v>
      </c>
      <c r="BX76" s="62">
        <f t="shared" si="43"/>
        <v>0</v>
      </c>
      <c r="BZ76" s="31">
        <f t="shared" si="44"/>
        <v>0</v>
      </c>
      <c r="CA76" s="32">
        <f t="shared" si="45"/>
        <v>0</v>
      </c>
    </row>
    <row r="77" spans="1:79" x14ac:dyDescent="0.45">
      <c r="A77" s="31" t="s">
        <v>593</v>
      </c>
      <c r="B77" s="31" t="s">
        <v>592</v>
      </c>
      <c r="C77" s="31">
        <f>VLOOKUP($B77,'Tillförd energi'!$B$1:$AI$720,MATCH(C$1,'Tillförd energi'!$B$1:$AQ$1,0),FALSE)</f>
        <v>0</v>
      </c>
      <c r="D77" s="31">
        <f>VLOOKUP($B77,'Tillförd energi'!$B$1:$AI$720,MATCH(D$1,'Tillförd energi'!$B$1:$AQ$1,0),FALSE)</f>
        <v>0</v>
      </c>
      <c r="E77" s="31">
        <f>VLOOKUP($B77,'Tillförd energi'!$B$1:$AI$720,MATCH(E$1,'Tillförd energi'!$B$1:$AQ$1,0),FALSE)</f>
        <v>0</v>
      </c>
      <c r="F77" s="31">
        <f>VLOOKUP($B77,'Tillförd energi'!$B$1:$AI$720,MATCH(F$1,'Tillförd energi'!$B$1:$AQ$1,0),FALSE)</f>
        <v>0</v>
      </c>
      <c r="G77" s="31">
        <f>VLOOKUP($B77,'Tillförd energi'!$B$1:$AI$720,MATCH(G$1,'Tillförd energi'!$B$1:$AQ$1,0),FALSE)</f>
        <v>0</v>
      </c>
      <c r="H77" s="31">
        <f>VLOOKUP($B77,'Tillförd energi'!$B$1:$AI$720,MATCH(H$1,'Tillförd energi'!$B$1:$AQ$1,0),FALSE)</f>
        <v>0</v>
      </c>
      <c r="I77" s="31">
        <f>VLOOKUP($B77,'Tillförd energi'!$B$1:$AI$720,MATCH(I$1,'Tillförd energi'!$B$1:$AQ$1,0),FALSE)</f>
        <v>0</v>
      </c>
      <c r="J77" s="31">
        <f>VLOOKUP($B77,'Tillförd energi'!$B$1:$AI$720,MATCH(J$1,'Tillförd energi'!$B$1:$AQ$1,0),FALSE)</f>
        <v>0</v>
      </c>
      <c r="K77" s="31">
        <f>VLOOKUP($B77,'Tillförd energi'!$B$1:$AI$720,MATCH(K$1,'Tillförd energi'!$B$1:$AQ$1,0),FALSE)</f>
        <v>0</v>
      </c>
      <c r="L77" s="31">
        <f>VLOOKUP($B77,'Tillförd energi'!$B$1:$AI$720,MATCH(L$1,'Tillförd energi'!$B$1:$AQ$1,0),FALSE)</f>
        <v>0</v>
      </c>
      <c r="M77" s="31">
        <f>VLOOKUP($B77,'Tillförd energi'!$B$1:$AI$720,MATCH(M$1,'Tillförd energi'!$B$1:$AQ$1,0),FALSE)</f>
        <v>0</v>
      </c>
      <c r="N77" s="31">
        <f>VLOOKUP($B77,'Tillförd energi'!$B$1:$AI$720,MATCH(N$1,'Tillförd energi'!$B$1:$AQ$1,0),FALSE)</f>
        <v>0</v>
      </c>
      <c r="O77" s="31">
        <f>VLOOKUP($B77,'Tillförd energi'!$B$1:$AI$720,MATCH(O$1,'Tillförd energi'!$B$1:$AQ$1,0),FALSE)</f>
        <v>0</v>
      </c>
      <c r="P77" s="31">
        <f>VLOOKUP($B77,'Tillförd energi'!$B$1:$AI$720,MATCH(P$1,'Tillförd energi'!$B$1:$AQ$1,0),FALSE)</f>
        <v>0</v>
      </c>
      <c r="Q77" s="31">
        <f>VLOOKUP($B77,'Tillförd energi'!$B$1:$AI$720,MATCH(Q$1,'Tillförd energi'!$B$1:$AQ$1,0),FALSE)</f>
        <v>0</v>
      </c>
      <c r="R77" s="31">
        <f>VLOOKUP($B77,'Tillförd energi'!$B$1:$AI$720,MATCH(R$1,'Tillförd energi'!$B$1:$AQ$1,0),FALSE)</f>
        <v>4.4489999999999998</v>
      </c>
      <c r="S77" s="31">
        <f>VLOOKUP($B77,'Tillförd energi'!$B$1:$AI$720,MATCH(S$1,'Tillförd energi'!$B$1:$AQ$1,0),FALSE)</f>
        <v>0</v>
      </c>
      <c r="T77" s="31">
        <f>VLOOKUP($B77,'Tillförd energi'!$B$1:$AI$720,MATCH(T$1,'Tillförd energi'!$B$1:$AQ$1,0),FALSE)</f>
        <v>0</v>
      </c>
      <c r="U77" s="31">
        <f>VLOOKUP($B77,'Tillförd energi'!$B$1:$AI$720,MATCH(U$1,'Tillförd energi'!$B$1:$AQ$1,0),FALSE)</f>
        <v>0</v>
      </c>
      <c r="V77" s="31">
        <f>VLOOKUP($B77,'Tillförd energi'!$B$1:$AI$720,MATCH(V$1,'Tillförd energi'!$B$1:$AQ$1,0),FALSE)</f>
        <v>0</v>
      </c>
      <c r="W77" s="31">
        <f>VLOOKUP($B77,'Tillförd energi'!$B$1:$AI$720,MATCH(W$1,'Tillförd energi'!$B$1:$AQ$1,0),FALSE)</f>
        <v>0</v>
      </c>
      <c r="X77" s="31">
        <f>VLOOKUP($B77,'Tillförd energi'!$B$1:$AI$720,MATCH(X$1,'Tillförd energi'!$B$1:$AQ$1,0),FALSE)</f>
        <v>0</v>
      </c>
      <c r="Y77" s="31">
        <f>VLOOKUP($B77,'Tillförd energi'!$B$1:$AI$720,MATCH(Y$1,'Tillförd energi'!$B$1:$AQ$1,0),FALSE)</f>
        <v>0</v>
      </c>
      <c r="Z77" s="31">
        <f>VLOOKUP($B77,'Tillförd energi'!$B$1:$AI$720,MATCH(Z$1,'Tillförd energi'!$B$1:$AQ$1,0),FALSE)</f>
        <v>0.1</v>
      </c>
      <c r="AA77" s="31">
        <f>VLOOKUP($B77,'Tillförd energi'!$B$1:$AI$720,MATCH(AA$1,'Tillförd energi'!$B$1:$AQ$1,0),FALSE)</f>
        <v>0</v>
      </c>
      <c r="AB77" s="31">
        <f>VLOOKUP($B77,'Tillförd energi'!$B$1:$AI$720,MATCH(AB$1,'Tillförd energi'!$B$1:$AQ$1,0),FALSE)</f>
        <v>0</v>
      </c>
      <c r="AC77" s="31">
        <f>VLOOKUP($B77,'Tillförd energi'!$B$1:$AI$720,MATCH(AC$1,'Tillförd energi'!$B$1:$AQ$1,0),FALSE)</f>
        <v>0</v>
      </c>
      <c r="AD77" s="31">
        <f>VLOOKUP($B77,'Tillförd energi'!$B$1:$AI$720,MATCH(AD$1,'Tillförd energi'!$B$1:$AQ$1,0),FALSE)</f>
        <v>0</v>
      </c>
      <c r="AE77" s="31">
        <f>VLOOKUP($B77,'Tillförd energi'!$B$1:$AI$720,MATCH(AE$1,'Tillförd energi'!$B$1:$AQ$1,0),FALSE)</f>
        <v>0</v>
      </c>
      <c r="AF77" s="31">
        <f>VLOOKUP($B77,'Tillförd energi'!$B$1:$AI$720,MATCH(AF$1,'Tillförd energi'!$B$1:$AQ$1,0),FALSE)</f>
        <v>0.63</v>
      </c>
      <c r="AG77" s="31">
        <f>IFERROR(VLOOKUP(B77,Miljö!$B$1:$AC$550,MATCH("Köpt mängd produktionsspecifik fjärrvärme:",Miljö!$B$1:$AC$1,0),FALSE)/1,0)</f>
        <v>0</v>
      </c>
      <c r="AI77" s="31">
        <f t="shared" si="23"/>
        <v>5.1789999999999994</v>
      </c>
      <c r="AJ77" s="31">
        <f t="shared" si="24"/>
        <v>5.1789999999999994</v>
      </c>
      <c r="AK77" s="31">
        <f>IF(ISERROR(1/VLOOKUP($B77,Leveranser!$B$1:$S$499,MATCH("Såld värme (GWh)",Leveranser!$B$1:$S$1,0),FALSE)),"",VLOOKUP($B77,Leveranser!$B$1:$S$499,MATCH("Såld värme (GWh)",Leveranser!$B$1:$S$1,0),FALSE))</f>
        <v>4</v>
      </c>
      <c r="AL77" s="31">
        <f>VLOOKUP($B77,Leveranser!$B$1:$Y$499,MATCH("Totalt såld fjärrvärme till andra fjärrvärmeföretag",Leveranser!$B$1:$AA$1,0),FALSE)</f>
        <v>0</v>
      </c>
      <c r="AM77" s="31">
        <f>IF(ISERROR(1/VLOOKUP($B77,Miljö!$B$1:$S$500,MATCH("Såld mängd produktionsspecifik fjärrvärme (GWh)",Miljö!$B$1:$R$1,0),FALSE)),0,VLOOKUP($B77,Miljö!$B$1:$S$500,MATCH("Såld mängd produktionsspecifik fjärrvärme (GWh)",Miljö!$B$1:$R$1,0),FALSE))</f>
        <v>0</v>
      </c>
      <c r="AN77" s="32">
        <f t="shared" si="25"/>
        <v>0.77234987449314552</v>
      </c>
      <c r="AP77" s="31" t="str">
        <f>IFERROR(VLOOKUP($B77,Miljövärden!$B$2:$H$550,7,FALSE),"Nej, saknas")</f>
        <v>Ja</v>
      </c>
      <c r="AQ77" s="31" t="str">
        <f>IFERROR(VLOOKUP($B77,Miljövärden!$B$2:$H$551,6,FALSE),"Nej, saknas")</f>
        <v>Ja</v>
      </c>
      <c r="AU77" s="31">
        <f t="shared" si="26"/>
        <v>0.73</v>
      </c>
      <c r="AV77" s="31">
        <f t="shared" si="27"/>
        <v>0</v>
      </c>
      <c r="AW77" s="31">
        <f t="shared" si="28"/>
        <v>0</v>
      </c>
      <c r="AX77" s="31">
        <f t="shared" si="29"/>
        <v>4.4489999999999998</v>
      </c>
      <c r="AZ77" s="31">
        <f t="shared" si="30"/>
        <v>4.4489999999999998</v>
      </c>
      <c r="BC77" s="31">
        <f t="shared" si="31"/>
        <v>0</v>
      </c>
      <c r="BD77" s="31">
        <f t="shared" si="32"/>
        <v>0</v>
      </c>
      <c r="BE77" s="31">
        <f t="shared" si="33"/>
        <v>4.4489999999999998</v>
      </c>
      <c r="BF77" s="31">
        <f t="shared" si="34"/>
        <v>0</v>
      </c>
      <c r="BG77" s="31">
        <f t="shared" si="35"/>
        <v>0.73</v>
      </c>
      <c r="BH77" s="31">
        <f>VLOOKUP(B77,Miljö!$B$1:$BX$482,MATCH("Fossilandel för ursprungspecificerad el ()",Miljö!$B$1:$I$1,0),FALSE)</f>
        <v>0</v>
      </c>
      <c r="BI77" s="31">
        <f>VLOOKUP(B77,Miljö!$B$1:$BX$482,MATCH("Kärnkraftsandel för ursprungsspecificerad el ()",Miljö!$B$1:$O$1,0),FALSE)</f>
        <v>0</v>
      </c>
      <c r="BJ77" s="31">
        <f t="shared" si="36"/>
        <v>0</v>
      </c>
      <c r="BK77" s="31" t="str">
        <f>VLOOKUP(B77,Miljö!$B$1:$P$482,MATCH("Fossil andel i procent (%)",Miljö!$B$1:$P$1,0),FALSE)</f>
        <v>ET</v>
      </c>
      <c r="BL77" s="31">
        <f t="shared" si="37"/>
        <v>5.1790000000000003</v>
      </c>
      <c r="BO77" s="32">
        <f t="shared" si="38"/>
        <v>0</v>
      </c>
      <c r="BP77" s="32">
        <f t="shared" si="39"/>
        <v>0</v>
      </c>
      <c r="BQ77" s="32">
        <f t="shared" si="40"/>
        <v>1</v>
      </c>
      <c r="BR77" s="32">
        <f t="shared" si="41"/>
        <v>0</v>
      </c>
      <c r="BT77" s="62">
        <f t="shared" si="42"/>
        <v>1</v>
      </c>
      <c r="BW77" s="32">
        <f>IF(AP77="Ja",VLOOKUP(B77,Miljövärden!$B$2:$H$551,MATCH("Total andel fossilt",Miljövärden!$B$2:$H$2,0),FALSE),"")</f>
        <v>0</v>
      </c>
      <c r="BX77" s="62">
        <f t="shared" si="43"/>
        <v>0</v>
      </c>
      <c r="BZ77" s="31">
        <f t="shared" si="44"/>
        <v>0</v>
      </c>
      <c r="CA77" s="32">
        <f t="shared" si="45"/>
        <v>0</v>
      </c>
    </row>
    <row r="78" spans="1:79" x14ac:dyDescent="0.45">
      <c r="A78" s="31" t="s">
        <v>589</v>
      </c>
      <c r="B78" s="31" t="s">
        <v>591</v>
      </c>
      <c r="C78" s="31">
        <f>VLOOKUP($B78,'Tillförd energi'!$B$1:$AI$720,MATCH(C$1,'Tillförd energi'!$B$1:$AQ$1,0),FALSE)</f>
        <v>0</v>
      </c>
      <c r="D78" s="31">
        <f>VLOOKUP($B78,'Tillförd energi'!$B$1:$AI$720,MATCH(D$1,'Tillförd energi'!$B$1:$AQ$1,0),FALSE)</f>
        <v>0</v>
      </c>
      <c r="E78" s="31">
        <f>VLOOKUP($B78,'Tillförd energi'!$B$1:$AI$720,MATCH(E$1,'Tillförd energi'!$B$1:$AQ$1,0),FALSE)</f>
        <v>0</v>
      </c>
      <c r="F78" s="31">
        <f>VLOOKUP($B78,'Tillförd energi'!$B$1:$AI$720,MATCH(F$1,'Tillförd energi'!$B$1:$AQ$1,0),FALSE)</f>
        <v>0</v>
      </c>
      <c r="G78" s="31">
        <f>VLOOKUP($B78,'Tillförd energi'!$B$1:$AI$720,MATCH(G$1,'Tillförd energi'!$B$1:$AQ$1,0),FALSE)</f>
        <v>0</v>
      </c>
      <c r="H78" s="31">
        <f>VLOOKUP($B78,'Tillförd energi'!$B$1:$AI$720,MATCH(H$1,'Tillförd energi'!$B$1:$AQ$1,0),FALSE)</f>
        <v>0</v>
      </c>
      <c r="I78" s="31">
        <f>VLOOKUP($B78,'Tillförd energi'!$B$1:$AI$720,MATCH(I$1,'Tillförd energi'!$B$1:$AQ$1,0),FALSE)</f>
        <v>0</v>
      </c>
      <c r="J78" s="31">
        <f>VLOOKUP($B78,'Tillförd energi'!$B$1:$AI$720,MATCH(J$1,'Tillförd energi'!$B$1:$AQ$1,0),FALSE)</f>
        <v>1.1140000000000001</v>
      </c>
      <c r="K78" s="31">
        <f>VLOOKUP($B78,'Tillförd energi'!$B$1:$AI$720,MATCH(K$1,'Tillförd energi'!$B$1:$AQ$1,0),FALSE)</f>
        <v>0</v>
      </c>
      <c r="L78" s="31">
        <f>VLOOKUP($B78,'Tillförd energi'!$B$1:$AI$720,MATCH(L$1,'Tillförd energi'!$B$1:$AQ$1,0),FALSE)</f>
        <v>0</v>
      </c>
      <c r="M78" s="31">
        <f>VLOOKUP($B78,'Tillförd energi'!$B$1:$AI$720,MATCH(M$1,'Tillförd energi'!$B$1:$AQ$1,0),FALSE)</f>
        <v>0</v>
      </c>
      <c r="N78" s="31">
        <f>VLOOKUP($B78,'Tillförd energi'!$B$1:$AI$720,MATCH(N$1,'Tillförd energi'!$B$1:$AQ$1,0),FALSE)</f>
        <v>57.026000000000003</v>
      </c>
      <c r="O78" s="31">
        <f>VLOOKUP($B78,'Tillförd energi'!$B$1:$AI$720,MATCH(O$1,'Tillförd energi'!$B$1:$AQ$1,0),FALSE)</f>
        <v>0</v>
      </c>
      <c r="P78" s="31">
        <f>VLOOKUP($B78,'Tillförd energi'!$B$1:$AI$720,MATCH(P$1,'Tillförd energi'!$B$1:$AQ$1,0),FALSE)</f>
        <v>20.004000000000001</v>
      </c>
      <c r="Q78" s="31">
        <f>VLOOKUP($B78,'Tillförd energi'!$B$1:$AI$720,MATCH(Q$1,'Tillförd energi'!$B$1:$AQ$1,0),FALSE)</f>
        <v>0</v>
      </c>
      <c r="R78" s="31">
        <f>VLOOKUP($B78,'Tillförd energi'!$B$1:$AI$720,MATCH(R$1,'Tillförd energi'!$B$1:$AQ$1,0),FALSE)</f>
        <v>4.0000000000000001E-3</v>
      </c>
      <c r="S78" s="31">
        <f>VLOOKUP($B78,'Tillförd energi'!$B$1:$AI$720,MATCH(S$1,'Tillförd energi'!$B$1:$AQ$1,0),FALSE)</f>
        <v>0</v>
      </c>
      <c r="T78" s="31">
        <f>VLOOKUP($B78,'Tillförd energi'!$B$1:$AI$720,MATCH(T$1,'Tillförd energi'!$B$1:$AQ$1,0),FALSE)</f>
        <v>0</v>
      </c>
      <c r="U78" s="31">
        <f>VLOOKUP($B78,'Tillförd energi'!$B$1:$AI$720,MATCH(U$1,'Tillförd energi'!$B$1:$AQ$1,0),FALSE)</f>
        <v>0</v>
      </c>
      <c r="V78" s="31">
        <f>VLOOKUP($B78,'Tillförd energi'!$B$1:$AI$720,MATCH(V$1,'Tillförd energi'!$B$1:$AQ$1,0),FALSE)</f>
        <v>0</v>
      </c>
      <c r="W78" s="31">
        <f>VLOOKUP($B78,'Tillförd energi'!$B$1:$AI$720,MATCH(W$1,'Tillförd energi'!$B$1:$AQ$1,0),FALSE)</f>
        <v>2.5680000000000001</v>
      </c>
      <c r="X78" s="31">
        <f>VLOOKUP($B78,'Tillförd energi'!$B$1:$AI$720,MATCH(X$1,'Tillförd energi'!$B$1:$AQ$1,0),FALSE)</f>
        <v>0</v>
      </c>
      <c r="Y78" s="31">
        <f>VLOOKUP($B78,'Tillförd energi'!$B$1:$AI$720,MATCH(Y$1,'Tillförd energi'!$B$1:$AQ$1,0),FALSE)</f>
        <v>0</v>
      </c>
      <c r="Z78" s="31">
        <f>VLOOKUP($B78,'Tillförd energi'!$B$1:$AI$720,MATCH(Z$1,'Tillförd energi'!$B$1:$AQ$1,0),FALSE)</f>
        <v>0</v>
      </c>
      <c r="AA78" s="31">
        <f>VLOOKUP($B78,'Tillförd energi'!$B$1:$AI$720,MATCH(AA$1,'Tillförd energi'!$B$1:$AQ$1,0),FALSE)</f>
        <v>0</v>
      </c>
      <c r="AB78" s="31">
        <f>VLOOKUP($B78,'Tillförd energi'!$B$1:$AI$720,MATCH(AB$1,'Tillförd energi'!$B$1:$AQ$1,0),FALSE)</f>
        <v>0</v>
      </c>
      <c r="AC78" s="31">
        <f>VLOOKUP($B78,'Tillförd energi'!$B$1:$AI$720,MATCH(AC$1,'Tillförd energi'!$B$1:$AQ$1,0),FALSE)</f>
        <v>8.0169999999999995</v>
      </c>
      <c r="AD78" s="31">
        <f>VLOOKUP($B78,'Tillförd energi'!$B$1:$AI$720,MATCH(AD$1,'Tillförd energi'!$B$1:$AQ$1,0),FALSE)</f>
        <v>0</v>
      </c>
      <c r="AE78" s="31">
        <f>VLOOKUP($B78,'Tillförd energi'!$B$1:$AI$720,MATCH(AE$1,'Tillförd energi'!$B$1:$AQ$1,0),FALSE)</f>
        <v>0</v>
      </c>
      <c r="AF78" s="31">
        <f>VLOOKUP($B78,'Tillförd energi'!$B$1:$AI$720,MATCH(AF$1,'Tillförd energi'!$B$1:$AQ$1,0),FALSE)</f>
        <v>1.716</v>
      </c>
      <c r="AG78" s="31">
        <f>IFERROR(VLOOKUP(B78,Miljö!$B$1:$AC$550,MATCH("Köpt mängd produktionsspecifik fjärrvärme:",Miljö!$B$1:$AC$1,0),FALSE)/1,0)</f>
        <v>0</v>
      </c>
      <c r="AI78" s="31">
        <f t="shared" si="23"/>
        <v>90.448999999999998</v>
      </c>
      <c r="AJ78" s="31">
        <f t="shared" si="24"/>
        <v>90.448999999999998</v>
      </c>
      <c r="AK78" s="31">
        <f>IF(ISERROR(1/VLOOKUP($B78,Leveranser!$B$1:$S$499,MATCH("Såld värme (GWh)",Leveranser!$B$1:$S$1,0),FALSE)),"",VLOOKUP($B78,Leveranser!$B$1:$S$499,MATCH("Såld värme (GWh)",Leveranser!$B$1:$S$1,0),FALSE))</f>
        <v>63.613999999999997</v>
      </c>
      <c r="AL78" s="31">
        <f>VLOOKUP($B78,Leveranser!$B$1:$Y$499,MATCH("Totalt såld fjärrvärme till andra fjärrvärmeföretag",Leveranser!$B$1:$AA$1,0),FALSE)</f>
        <v>0</v>
      </c>
      <c r="AM78" s="31">
        <f>IF(ISERROR(1/VLOOKUP($B78,Miljö!$B$1:$S$500,MATCH("Såld mängd produktionsspecifik fjärrvärme (GWh)",Miljö!$B$1:$R$1,0),FALSE)),0,VLOOKUP($B78,Miljö!$B$1:$S$500,MATCH("Såld mängd produktionsspecifik fjärrvärme (GWh)",Miljö!$B$1:$R$1,0),FALSE))</f>
        <v>0</v>
      </c>
      <c r="AN78" s="32">
        <f t="shared" si="25"/>
        <v>0.70331346946898254</v>
      </c>
      <c r="AP78" s="31" t="str">
        <f>IFERROR(VLOOKUP($B78,Miljövärden!$B$2:$H$550,7,FALSE),"Nej, saknas")</f>
        <v>Ja</v>
      </c>
      <c r="AQ78" s="31" t="str">
        <f>IFERROR(VLOOKUP($B78,Miljövärden!$B$2:$H$551,6,FALSE),"Nej, saknas")</f>
        <v>Ja</v>
      </c>
      <c r="AU78" s="31">
        <f t="shared" si="26"/>
        <v>1.716</v>
      </c>
      <c r="AV78" s="31">
        <f t="shared" si="27"/>
        <v>0</v>
      </c>
      <c r="AW78" s="31">
        <f t="shared" si="28"/>
        <v>77.03</v>
      </c>
      <c r="AX78" s="31">
        <f t="shared" si="29"/>
        <v>4.0000000000000001E-3</v>
      </c>
      <c r="AZ78" s="31">
        <f t="shared" si="30"/>
        <v>79.602000000000004</v>
      </c>
      <c r="BC78" s="31">
        <f t="shared" si="31"/>
        <v>0</v>
      </c>
      <c r="BD78" s="31">
        <f t="shared" si="32"/>
        <v>0</v>
      </c>
      <c r="BE78" s="31">
        <f t="shared" si="33"/>
        <v>79.602000000000004</v>
      </c>
      <c r="BF78" s="31">
        <f t="shared" si="34"/>
        <v>9.1310000000000002</v>
      </c>
      <c r="BG78" s="31">
        <f t="shared" si="35"/>
        <v>1.716</v>
      </c>
      <c r="BH78" s="31">
        <f>VLOOKUP(B78,Miljö!$B$1:$BX$482,MATCH("Fossilandel för ursprungspecificerad el ()",Miljö!$B$1:$I$1,0),FALSE)</f>
        <v>0</v>
      </c>
      <c r="BI78" s="31">
        <f>VLOOKUP(B78,Miljö!$B$1:$BX$482,MATCH("Kärnkraftsandel för ursprungsspecificerad el ()",Miljö!$B$1:$O$1,0),FALSE)</f>
        <v>0</v>
      </c>
      <c r="BJ78" s="31">
        <f t="shared" si="36"/>
        <v>0</v>
      </c>
      <c r="BK78" s="31" t="str">
        <f>VLOOKUP(B78,Miljö!$B$1:$P$482,MATCH("Fossil andel i procent (%)",Miljö!$B$1:$P$1,0),FALSE)</f>
        <v>ET</v>
      </c>
      <c r="BL78" s="31">
        <f t="shared" si="37"/>
        <v>90.448999999999998</v>
      </c>
      <c r="BO78" s="32">
        <f t="shared" si="38"/>
        <v>0</v>
      </c>
      <c r="BP78" s="32">
        <f t="shared" si="39"/>
        <v>0</v>
      </c>
      <c r="BQ78" s="32">
        <f t="shared" si="40"/>
        <v>0.89904808234474676</v>
      </c>
      <c r="BR78" s="32">
        <f t="shared" si="41"/>
        <v>0.10095191765525324</v>
      </c>
      <c r="BT78" s="62">
        <f t="shared" si="42"/>
        <v>1</v>
      </c>
      <c r="BW78" s="32">
        <f>IF(AP78="Ja",VLOOKUP(B78,Miljövärden!$B$2:$H$551,MATCH("Total andel fossilt",Miljövärden!$B$2:$H$2,0),FALSE),"")</f>
        <v>0</v>
      </c>
      <c r="BX78" s="62">
        <f t="shared" si="43"/>
        <v>0</v>
      </c>
      <c r="BZ78" s="31">
        <f t="shared" si="44"/>
        <v>0</v>
      </c>
      <c r="CA78" s="32">
        <f t="shared" si="45"/>
        <v>0</v>
      </c>
    </row>
    <row r="79" spans="1:79" x14ac:dyDescent="0.45">
      <c r="A79" s="31" t="s">
        <v>589</v>
      </c>
      <c r="B79" s="31" t="s">
        <v>590</v>
      </c>
      <c r="C79" s="31">
        <f>VLOOKUP($B79,'Tillförd energi'!$B$1:$AI$720,MATCH(C$1,'Tillförd energi'!$B$1:$AQ$1,0),FALSE)</f>
        <v>0</v>
      </c>
      <c r="D79" s="31">
        <f>VLOOKUP($B79,'Tillförd energi'!$B$1:$AI$720,MATCH(D$1,'Tillförd energi'!$B$1:$AQ$1,0),FALSE)</f>
        <v>5.3999999999999999E-2</v>
      </c>
      <c r="E79" s="31">
        <f>VLOOKUP($B79,'Tillförd energi'!$B$1:$AI$720,MATCH(E$1,'Tillförd energi'!$B$1:$AQ$1,0),FALSE)</f>
        <v>0</v>
      </c>
      <c r="F79" s="31">
        <f>VLOOKUP($B79,'Tillförd energi'!$B$1:$AI$720,MATCH(F$1,'Tillförd energi'!$B$1:$AQ$1,0),FALSE)</f>
        <v>0</v>
      </c>
      <c r="G79" s="31">
        <f>VLOOKUP($B79,'Tillförd energi'!$B$1:$AI$720,MATCH(G$1,'Tillförd energi'!$B$1:$AQ$1,0),FALSE)</f>
        <v>0</v>
      </c>
      <c r="H79" s="31">
        <f>VLOOKUP($B79,'Tillförd energi'!$B$1:$AI$720,MATCH(H$1,'Tillförd energi'!$B$1:$AQ$1,0),FALSE)</f>
        <v>0</v>
      </c>
      <c r="I79" s="31">
        <f>VLOOKUP($B79,'Tillförd energi'!$B$1:$AI$720,MATCH(I$1,'Tillförd energi'!$B$1:$AQ$1,0),FALSE)</f>
        <v>0</v>
      </c>
      <c r="J79" s="31">
        <f>VLOOKUP($B79,'Tillförd energi'!$B$1:$AI$720,MATCH(J$1,'Tillförd energi'!$B$1:$AQ$1,0),FALSE)</f>
        <v>0</v>
      </c>
      <c r="K79" s="31">
        <f>VLOOKUP($B79,'Tillförd energi'!$B$1:$AI$720,MATCH(K$1,'Tillförd energi'!$B$1:$AQ$1,0),FALSE)</f>
        <v>0</v>
      </c>
      <c r="L79" s="31">
        <f>VLOOKUP($B79,'Tillförd energi'!$B$1:$AI$720,MATCH(L$1,'Tillförd energi'!$B$1:$AQ$1,0),FALSE)</f>
        <v>0</v>
      </c>
      <c r="M79" s="31">
        <f>VLOOKUP($B79,'Tillförd energi'!$B$1:$AI$720,MATCH(M$1,'Tillförd energi'!$B$1:$AQ$1,0),FALSE)</f>
        <v>0</v>
      </c>
      <c r="N79" s="31">
        <f>VLOOKUP($B79,'Tillförd energi'!$B$1:$AI$720,MATCH(N$1,'Tillförd energi'!$B$1:$AQ$1,0),FALSE)</f>
        <v>0</v>
      </c>
      <c r="O79" s="31">
        <f>VLOOKUP($B79,'Tillförd energi'!$B$1:$AI$720,MATCH(O$1,'Tillförd energi'!$B$1:$AQ$1,0),FALSE)</f>
        <v>0</v>
      </c>
      <c r="P79" s="31">
        <f>VLOOKUP($B79,'Tillförd energi'!$B$1:$AI$720,MATCH(P$1,'Tillförd energi'!$B$1:$AQ$1,0),FALSE)</f>
        <v>0</v>
      </c>
      <c r="Q79" s="31">
        <f>VLOOKUP($B79,'Tillförd energi'!$B$1:$AI$720,MATCH(Q$1,'Tillförd energi'!$B$1:$AQ$1,0),FALSE)</f>
        <v>0</v>
      </c>
      <c r="R79" s="31">
        <f>VLOOKUP($B79,'Tillförd energi'!$B$1:$AI$720,MATCH(R$1,'Tillförd energi'!$B$1:$AQ$1,0),FALSE)</f>
        <v>2.8679999999999999</v>
      </c>
      <c r="S79" s="31">
        <f>VLOOKUP($B79,'Tillförd energi'!$B$1:$AI$720,MATCH(S$1,'Tillförd energi'!$B$1:$AQ$1,0),FALSE)</f>
        <v>0</v>
      </c>
      <c r="T79" s="31">
        <f>VLOOKUP($B79,'Tillförd energi'!$B$1:$AI$720,MATCH(T$1,'Tillförd energi'!$B$1:$AQ$1,0),FALSE)</f>
        <v>0</v>
      </c>
      <c r="U79" s="31">
        <f>VLOOKUP($B79,'Tillförd energi'!$B$1:$AI$720,MATCH(U$1,'Tillförd energi'!$B$1:$AQ$1,0),FALSE)</f>
        <v>0</v>
      </c>
      <c r="V79" s="31">
        <f>VLOOKUP($B79,'Tillförd energi'!$B$1:$AI$720,MATCH(V$1,'Tillförd energi'!$B$1:$AQ$1,0),FALSE)</f>
        <v>0</v>
      </c>
      <c r="W79" s="31">
        <f>VLOOKUP($B79,'Tillförd energi'!$B$1:$AI$720,MATCH(W$1,'Tillförd energi'!$B$1:$AQ$1,0),FALSE)</f>
        <v>0</v>
      </c>
      <c r="X79" s="31">
        <f>VLOOKUP($B79,'Tillförd energi'!$B$1:$AI$720,MATCH(X$1,'Tillförd energi'!$B$1:$AQ$1,0),FALSE)</f>
        <v>0</v>
      </c>
      <c r="Y79" s="31">
        <f>VLOOKUP($B79,'Tillförd energi'!$B$1:$AI$720,MATCH(Y$1,'Tillförd energi'!$B$1:$AQ$1,0),FALSE)</f>
        <v>0</v>
      </c>
      <c r="Z79" s="31">
        <f>VLOOKUP($B79,'Tillförd energi'!$B$1:$AI$720,MATCH(Z$1,'Tillförd energi'!$B$1:$AQ$1,0),FALSE)</f>
        <v>0</v>
      </c>
      <c r="AA79" s="31">
        <f>VLOOKUP($B79,'Tillförd energi'!$B$1:$AI$720,MATCH(AA$1,'Tillförd energi'!$B$1:$AQ$1,0),FALSE)</f>
        <v>0</v>
      </c>
      <c r="AB79" s="31">
        <f>VLOOKUP($B79,'Tillförd energi'!$B$1:$AI$720,MATCH(AB$1,'Tillförd energi'!$B$1:$AQ$1,0),FALSE)</f>
        <v>0</v>
      </c>
      <c r="AC79" s="31">
        <f>VLOOKUP($B79,'Tillförd energi'!$B$1:$AI$720,MATCH(AC$1,'Tillförd energi'!$B$1:$AQ$1,0),FALSE)</f>
        <v>0</v>
      </c>
      <c r="AD79" s="31">
        <f>VLOOKUP($B79,'Tillförd energi'!$B$1:$AI$720,MATCH(AD$1,'Tillförd energi'!$B$1:$AQ$1,0),FALSE)</f>
        <v>0</v>
      </c>
      <c r="AE79" s="31">
        <f>VLOOKUP($B79,'Tillförd energi'!$B$1:$AI$720,MATCH(AE$1,'Tillförd energi'!$B$1:$AQ$1,0),FALSE)</f>
        <v>0</v>
      </c>
      <c r="AF79" s="31">
        <f>VLOOKUP($B79,'Tillförd energi'!$B$1:$AI$720,MATCH(AF$1,'Tillförd energi'!$B$1:$AQ$1,0),FALSE)</f>
        <v>4.9000000000000002E-2</v>
      </c>
      <c r="AG79" s="31">
        <f>IFERROR(VLOOKUP(B79,Miljö!$B$1:$AC$550,MATCH("Köpt mängd produktionsspecifik fjärrvärme:",Miljö!$B$1:$AC$1,0),FALSE)/1,0)</f>
        <v>0</v>
      </c>
      <c r="AI79" s="31">
        <f t="shared" si="23"/>
        <v>2.9709999999999996</v>
      </c>
      <c r="AJ79" s="31">
        <f t="shared" si="24"/>
        <v>2.9709999999999996</v>
      </c>
      <c r="AK79" s="31">
        <f>IF(ISERROR(1/VLOOKUP($B79,Leveranser!$B$1:$S$499,MATCH("Såld värme (GWh)",Leveranser!$B$1:$S$1,0),FALSE)),"",VLOOKUP($B79,Leveranser!$B$1:$S$499,MATCH("Såld värme (GWh)",Leveranser!$B$1:$S$1,0),FALSE))</f>
        <v>2.3220000000000001</v>
      </c>
      <c r="AL79" s="31">
        <f>VLOOKUP($B79,Leveranser!$B$1:$Y$499,MATCH("Totalt såld fjärrvärme till andra fjärrvärmeföretag",Leveranser!$B$1:$AA$1,0),FALSE)</f>
        <v>0</v>
      </c>
      <c r="AM79" s="31">
        <f>IF(ISERROR(1/VLOOKUP($B79,Miljö!$B$1:$S$500,MATCH("Såld mängd produktionsspecifik fjärrvärme (GWh)",Miljö!$B$1:$R$1,0),FALSE)),0,VLOOKUP($B79,Miljö!$B$1:$S$500,MATCH("Såld mängd produktionsspecifik fjärrvärme (GWh)",Miljö!$B$1:$R$1,0),FALSE))</f>
        <v>0</v>
      </c>
      <c r="AN79" s="32">
        <f t="shared" si="25"/>
        <v>0.78155503197576581</v>
      </c>
      <c r="AP79" s="31" t="str">
        <f>IFERROR(VLOOKUP($B79,Miljövärden!$B$2:$H$550,7,FALSE),"Nej, saknas")</f>
        <v>Ja</v>
      </c>
      <c r="AQ79" s="31" t="str">
        <f>IFERROR(VLOOKUP($B79,Miljövärden!$B$2:$H$551,6,FALSE),"Nej, saknas")</f>
        <v>Ja</v>
      </c>
      <c r="AU79" s="31">
        <f t="shared" si="26"/>
        <v>4.9000000000000002E-2</v>
      </c>
      <c r="AV79" s="31">
        <f t="shared" si="27"/>
        <v>0</v>
      </c>
      <c r="AW79" s="31">
        <f t="shared" si="28"/>
        <v>0</v>
      </c>
      <c r="AX79" s="31">
        <f t="shared" si="29"/>
        <v>2.8679999999999999</v>
      </c>
      <c r="AZ79" s="31">
        <f t="shared" si="30"/>
        <v>2.8679999999999999</v>
      </c>
      <c r="BC79" s="31">
        <f t="shared" si="31"/>
        <v>5.3999999999999999E-2</v>
      </c>
      <c r="BD79" s="31">
        <f t="shared" si="32"/>
        <v>0</v>
      </c>
      <c r="BE79" s="31">
        <f t="shared" si="33"/>
        <v>2.8679999999999999</v>
      </c>
      <c r="BF79" s="31">
        <f t="shared" si="34"/>
        <v>0</v>
      </c>
      <c r="BG79" s="31">
        <f t="shared" si="35"/>
        <v>4.9000000000000002E-2</v>
      </c>
      <c r="BH79" s="31">
        <f>VLOOKUP(B79,Miljö!$B$1:$BX$482,MATCH("Fossilandel för ursprungspecificerad el ()",Miljö!$B$1:$I$1,0),FALSE)</f>
        <v>0</v>
      </c>
      <c r="BI79" s="31">
        <f>VLOOKUP(B79,Miljö!$B$1:$BX$482,MATCH("Kärnkraftsandel för ursprungsspecificerad el ()",Miljö!$B$1:$O$1,0),FALSE)</f>
        <v>0</v>
      </c>
      <c r="BJ79" s="31">
        <f t="shared" si="36"/>
        <v>0</v>
      </c>
      <c r="BK79" s="31" t="str">
        <f>VLOOKUP(B79,Miljö!$B$1:$P$482,MATCH("Fossil andel i procent (%)",Miljö!$B$1:$P$1,0),FALSE)</f>
        <v>ET</v>
      </c>
      <c r="BL79" s="31">
        <f t="shared" si="37"/>
        <v>2.9709999999999996</v>
      </c>
      <c r="BO79" s="32">
        <f t="shared" si="38"/>
        <v>1.8175698418041064E-2</v>
      </c>
      <c r="BP79" s="32">
        <f t="shared" si="39"/>
        <v>0</v>
      </c>
      <c r="BQ79" s="32">
        <f t="shared" si="40"/>
        <v>0.98182430158195899</v>
      </c>
      <c r="BR79" s="32">
        <f t="shared" si="41"/>
        <v>0</v>
      </c>
      <c r="BT79" s="62">
        <f t="shared" si="42"/>
        <v>1</v>
      </c>
      <c r="BW79" s="32">
        <f>IF(AP79="Ja",VLOOKUP(B79,Miljövärden!$B$2:$H$551,MATCH("Total andel fossilt",Miljövärden!$B$2:$H$2,0),FALSE),"")</f>
        <v>1.8175699999999999E-2</v>
      </c>
      <c r="BX79" s="62">
        <f t="shared" si="43"/>
        <v>1.5819589353760488E-9</v>
      </c>
      <c r="BZ79" s="31">
        <f t="shared" si="44"/>
        <v>1.5819589353760488E-9</v>
      </c>
      <c r="CA79" s="32">
        <f t="shared" si="45"/>
        <v>0</v>
      </c>
    </row>
    <row r="80" spans="1:79" x14ac:dyDescent="0.45">
      <c r="A80" s="31" t="s">
        <v>589</v>
      </c>
      <c r="B80" s="31" t="s">
        <v>588</v>
      </c>
      <c r="C80" s="31">
        <f>VLOOKUP($B80,'Tillförd energi'!$B$1:$AI$720,MATCH(C$1,'Tillförd energi'!$B$1:$AQ$1,0),FALSE)</f>
        <v>0</v>
      </c>
      <c r="D80" s="31">
        <f>VLOOKUP($B80,'Tillförd energi'!$B$1:$AI$720,MATCH(D$1,'Tillförd energi'!$B$1:$AQ$1,0),FALSE)</f>
        <v>5.6000000000000001E-2</v>
      </c>
      <c r="E80" s="31">
        <f>VLOOKUP($B80,'Tillförd energi'!$B$1:$AI$720,MATCH(E$1,'Tillförd energi'!$B$1:$AQ$1,0),FALSE)</f>
        <v>0</v>
      </c>
      <c r="F80" s="31">
        <f>VLOOKUP($B80,'Tillförd energi'!$B$1:$AI$720,MATCH(F$1,'Tillförd energi'!$B$1:$AQ$1,0),FALSE)</f>
        <v>0</v>
      </c>
      <c r="G80" s="31">
        <f>VLOOKUP($B80,'Tillförd energi'!$B$1:$AI$720,MATCH(G$1,'Tillförd energi'!$B$1:$AQ$1,0),FALSE)</f>
        <v>0</v>
      </c>
      <c r="H80" s="31">
        <f>VLOOKUP($B80,'Tillförd energi'!$B$1:$AI$720,MATCH(H$1,'Tillförd energi'!$B$1:$AQ$1,0),FALSE)</f>
        <v>0</v>
      </c>
      <c r="I80" s="31">
        <f>VLOOKUP($B80,'Tillförd energi'!$B$1:$AI$720,MATCH(I$1,'Tillförd energi'!$B$1:$AQ$1,0),FALSE)</f>
        <v>0</v>
      </c>
      <c r="J80" s="31">
        <f>VLOOKUP($B80,'Tillförd energi'!$B$1:$AI$720,MATCH(J$1,'Tillförd energi'!$B$1:$AQ$1,0),FALSE)</f>
        <v>0</v>
      </c>
      <c r="K80" s="31">
        <f>VLOOKUP($B80,'Tillförd energi'!$B$1:$AI$720,MATCH(K$1,'Tillförd energi'!$B$1:$AQ$1,0),FALSE)</f>
        <v>0</v>
      </c>
      <c r="L80" s="31">
        <f>VLOOKUP($B80,'Tillförd energi'!$B$1:$AI$720,MATCH(L$1,'Tillförd energi'!$B$1:$AQ$1,0),FALSE)</f>
        <v>0</v>
      </c>
      <c r="M80" s="31">
        <f>VLOOKUP($B80,'Tillförd energi'!$B$1:$AI$720,MATCH(M$1,'Tillförd energi'!$B$1:$AQ$1,0),FALSE)</f>
        <v>0</v>
      </c>
      <c r="N80" s="31">
        <f>VLOOKUP($B80,'Tillförd energi'!$B$1:$AI$720,MATCH(N$1,'Tillförd energi'!$B$1:$AQ$1,0),FALSE)</f>
        <v>0</v>
      </c>
      <c r="O80" s="31">
        <f>VLOOKUP($B80,'Tillförd energi'!$B$1:$AI$720,MATCH(O$1,'Tillförd energi'!$B$1:$AQ$1,0),FALSE)</f>
        <v>0</v>
      </c>
      <c r="P80" s="31">
        <f>VLOOKUP($B80,'Tillförd energi'!$B$1:$AI$720,MATCH(P$1,'Tillförd energi'!$B$1:$AQ$1,0),FALSE)</f>
        <v>0</v>
      </c>
      <c r="Q80" s="31">
        <f>VLOOKUP($B80,'Tillförd energi'!$B$1:$AI$720,MATCH(Q$1,'Tillförd energi'!$B$1:$AQ$1,0),FALSE)</f>
        <v>0</v>
      </c>
      <c r="R80" s="31">
        <f>VLOOKUP($B80,'Tillförd energi'!$B$1:$AI$720,MATCH(R$1,'Tillförd energi'!$B$1:$AQ$1,0),FALSE)</f>
        <v>3.7410000000000001</v>
      </c>
      <c r="S80" s="31">
        <f>VLOOKUP($B80,'Tillförd energi'!$B$1:$AI$720,MATCH(S$1,'Tillförd energi'!$B$1:$AQ$1,0),FALSE)</f>
        <v>0</v>
      </c>
      <c r="T80" s="31">
        <f>VLOOKUP($B80,'Tillförd energi'!$B$1:$AI$720,MATCH(T$1,'Tillförd energi'!$B$1:$AQ$1,0),FALSE)</f>
        <v>0</v>
      </c>
      <c r="U80" s="31">
        <f>VLOOKUP($B80,'Tillförd energi'!$B$1:$AI$720,MATCH(U$1,'Tillförd energi'!$B$1:$AQ$1,0),FALSE)</f>
        <v>0</v>
      </c>
      <c r="V80" s="31">
        <f>VLOOKUP($B80,'Tillförd energi'!$B$1:$AI$720,MATCH(V$1,'Tillförd energi'!$B$1:$AQ$1,0),FALSE)</f>
        <v>0</v>
      </c>
      <c r="W80" s="31">
        <f>VLOOKUP($B80,'Tillförd energi'!$B$1:$AI$720,MATCH(W$1,'Tillförd energi'!$B$1:$AQ$1,0),FALSE)</f>
        <v>0</v>
      </c>
      <c r="X80" s="31">
        <f>VLOOKUP($B80,'Tillförd energi'!$B$1:$AI$720,MATCH(X$1,'Tillförd energi'!$B$1:$AQ$1,0),FALSE)</f>
        <v>0</v>
      </c>
      <c r="Y80" s="31">
        <f>VLOOKUP($B80,'Tillförd energi'!$B$1:$AI$720,MATCH(Y$1,'Tillförd energi'!$B$1:$AQ$1,0),FALSE)</f>
        <v>0</v>
      </c>
      <c r="Z80" s="31">
        <f>VLOOKUP($B80,'Tillförd energi'!$B$1:$AI$720,MATCH(Z$1,'Tillförd energi'!$B$1:$AQ$1,0),FALSE)</f>
        <v>0</v>
      </c>
      <c r="AA80" s="31">
        <f>VLOOKUP($B80,'Tillförd energi'!$B$1:$AI$720,MATCH(AA$1,'Tillförd energi'!$B$1:$AQ$1,0),FALSE)</f>
        <v>0</v>
      </c>
      <c r="AB80" s="31">
        <f>VLOOKUP($B80,'Tillförd energi'!$B$1:$AI$720,MATCH(AB$1,'Tillförd energi'!$B$1:$AQ$1,0),FALSE)</f>
        <v>0</v>
      </c>
      <c r="AC80" s="31">
        <f>VLOOKUP($B80,'Tillförd energi'!$B$1:$AI$720,MATCH(AC$1,'Tillförd energi'!$B$1:$AQ$1,0),FALSE)</f>
        <v>0</v>
      </c>
      <c r="AD80" s="31">
        <f>VLOOKUP($B80,'Tillförd energi'!$B$1:$AI$720,MATCH(AD$1,'Tillförd energi'!$B$1:$AQ$1,0),FALSE)</f>
        <v>0</v>
      </c>
      <c r="AE80" s="31">
        <f>VLOOKUP($B80,'Tillförd energi'!$B$1:$AI$720,MATCH(AE$1,'Tillförd energi'!$B$1:$AQ$1,0),FALSE)</f>
        <v>0</v>
      </c>
      <c r="AF80" s="31">
        <f>VLOOKUP($B80,'Tillförd energi'!$B$1:$AI$720,MATCH(AF$1,'Tillförd energi'!$B$1:$AQ$1,0),FALSE)</f>
        <v>5.1999999999999998E-2</v>
      </c>
      <c r="AG80" s="31">
        <f>IFERROR(VLOOKUP(B80,Miljö!$B$1:$AC$550,MATCH("Köpt mängd produktionsspecifik fjärrvärme:",Miljö!$B$1:$AC$1,0),FALSE)/1,0)</f>
        <v>0</v>
      </c>
      <c r="AI80" s="31">
        <f t="shared" si="23"/>
        <v>3.8490000000000002</v>
      </c>
      <c r="AJ80" s="31">
        <f t="shared" si="24"/>
        <v>3.8490000000000002</v>
      </c>
      <c r="AK80" s="31">
        <f>IF(ISERROR(1/VLOOKUP($B80,Leveranser!$B$1:$S$499,MATCH("Såld värme (GWh)",Leveranser!$B$1:$S$1,0),FALSE)),"",VLOOKUP($B80,Leveranser!$B$1:$S$499,MATCH("Såld värme (GWh)",Leveranser!$B$1:$S$1,0),FALSE))</f>
        <v>3.036</v>
      </c>
      <c r="AL80" s="31">
        <f>VLOOKUP($B80,Leveranser!$B$1:$Y$499,MATCH("Totalt såld fjärrvärme till andra fjärrvärmeföretag",Leveranser!$B$1:$AA$1,0),FALSE)</f>
        <v>0</v>
      </c>
      <c r="AM80" s="31">
        <f>IF(ISERROR(1/VLOOKUP($B80,Miljö!$B$1:$S$500,MATCH("Såld mängd produktionsspecifik fjärrvärme (GWh)",Miljö!$B$1:$R$1,0),FALSE)),0,VLOOKUP($B80,Miljö!$B$1:$S$500,MATCH("Såld mängd produktionsspecifik fjärrvärme (GWh)",Miljö!$B$1:$R$1,0),FALSE))</f>
        <v>0</v>
      </c>
      <c r="AN80" s="32">
        <f t="shared" si="25"/>
        <v>0.78877630553390488</v>
      </c>
      <c r="AP80" s="31" t="str">
        <f>IFERROR(VLOOKUP($B80,Miljövärden!$B$2:$H$550,7,FALSE),"Nej, saknas")</f>
        <v>Ja</v>
      </c>
      <c r="AQ80" s="31" t="str">
        <f>IFERROR(VLOOKUP($B80,Miljövärden!$B$2:$H$551,6,FALSE),"Nej, saknas")</f>
        <v>Ja</v>
      </c>
      <c r="AU80" s="31">
        <f t="shared" si="26"/>
        <v>5.1999999999999998E-2</v>
      </c>
      <c r="AV80" s="31">
        <f t="shared" si="27"/>
        <v>0</v>
      </c>
      <c r="AW80" s="31">
        <f t="shared" si="28"/>
        <v>0</v>
      </c>
      <c r="AX80" s="31">
        <f t="shared" si="29"/>
        <v>3.7410000000000001</v>
      </c>
      <c r="AZ80" s="31">
        <f t="shared" si="30"/>
        <v>3.7410000000000001</v>
      </c>
      <c r="BC80" s="31">
        <f t="shared" si="31"/>
        <v>5.6000000000000001E-2</v>
      </c>
      <c r="BD80" s="31">
        <f t="shared" si="32"/>
        <v>0</v>
      </c>
      <c r="BE80" s="31">
        <f t="shared" si="33"/>
        <v>3.7410000000000001</v>
      </c>
      <c r="BF80" s="31">
        <f t="shared" si="34"/>
        <v>0</v>
      </c>
      <c r="BG80" s="31">
        <f t="shared" si="35"/>
        <v>5.1999999999999998E-2</v>
      </c>
      <c r="BH80" s="31">
        <f>VLOOKUP(B80,Miljö!$B$1:$BX$482,MATCH("Fossilandel för ursprungspecificerad el ()",Miljö!$B$1:$I$1,0),FALSE)</f>
        <v>0.01</v>
      </c>
      <c r="BI80" s="31">
        <f>VLOOKUP(B80,Miljö!$B$1:$BX$482,MATCH("Kärnkraftsandel för ursprungsspecificerad el ()",Miljö!$B$1:$O$1,0),FALSE)</f>
        <v>0</v>
      </c>
      <c r="BJ80" s="31">
        <f t="shared" si="36"/>
        <v>0</v>
      </c>
      <c r="BK80" s="31" t="str">
        <f>VLOOKUP(B80,Miljö!$B$1:$P$482,MATCH("Fossil andel i procent (%)",Miljö!$B$1:$P$1,0),FALSE)</f>
        <v>ET</v>
      </c>
      <c r="BL80" s="31">
        <f t="shared" si="37"/>
        <v>3.8490000000000002</v>
      </c>
      <c r="BO80" s="32">
        <f t="shared" si="38"/>
        <v>1.4684333593141075E-2</v>
      </c>
      <c r="BP80" s="32">
        <f t="shared" si="39"/>
        <v>0</v>
      </c>
      <c r="BQ80" s="32">
        <f t="shared" si="40"/>
        <v>0.98531566640685897</v>
      </c>
      <c r="BR80" s="32">
        <f t="shared" si="41"/>
        <v>0</v>
      </c>
      <c r="BT80" s="62">
        <f t="shared" si="42"/>
        <v>1</v>
      </c>
      <c r="BW80" s="32">
        <f>IF(AP80="Ja",VLOOKUP(B80,Miljövärden!$B$2:$H$551,MATCH("Total andel fossilt",Miljövärden!$B$2:$H$2,0),FALSE),"")</f>
        <v>1.4684300000000001E-2</v>
      </c>
      <c r="BX80" s="62">
        <f t="shared" si="43"/>
        <v>-3.3593141074428345E-8</v>
      </c>
      <c r="BZ80" s="31">
        <f t="shared" si="44"/>
        <v>-3.3593141074428345E-8</v>
      </c>
      <c r="CA80" s="32">
        <f t="shared" si="45"/>
        <v>0</v>
      </c>
    </row>
    <row r="81" spans="1:79" x14ac:dyDescent="0.45">
      <c r="A81" s="31" t="s">
        <v>582</v>
      </c>
      <c r="B81" s="31" t="s">
        <v>586</v>
      </c>
      <c r="C81" s="31">
        <f>VLOOKUP($B81,'Tillförd energi'!$B$1:$AI$720,MATCH(C$1,'Tillförd energi'!$B$1:$AQ$1,0),FALSE)</f>
        <v>0</v>
      </c>
      <c r="D81" s="31">
        <f>VLOOKUP($B81,'Tillförd energi'!$B$1:$AI$720,MATCH(D$1,'Tillförd energi'!$B$1:$AQ$1,0),FALSE)</f>
        <v>0.05</v>
      </c>
      <c r="E81" s="31">
        <f>VLOOKUP($B81,'Tillförd energi'!$B$1:$AI$720,MATCH(E$1,'Tillförd energi'!$B$1:$AQ$1,0),FALSE)</f>
        <v>0</v>
      </c>
      <c r="F81" s="31">
        <f>VLOOKUP($B81,'Tillförd energi'!$B$1:$AI$720,MATCH(F$1,'Tillförd energi'!$B$1:$AQ$1,0),FALSE)</f>
        <v>0</v>
      </c>
      <c r="G81" s="31">
        <f>VLOOKUP($B81,'Tillförd energi'!$B$1:$AI$720,MATCH(G$1,'Tillförd energi'!$B$1:$AQ$1,0),FALSE)</f>
        <v>0</v>
      </c>
      <c r="H81" s="31">
        <f>VLOOKUP($B81,'Tillförd energi'!$B$1:$AI$720,MATCH(H$1,'Tillförd energi'!$B$1:$AQ$1,0),FALSE)</f>
        <v>0</v>
      </c>
      <c r="I81" s="31">
        <f>VLOOKUP($B81,'Tillförd energi'!$B$1:$AI$720,MATCH(I$1,'Tillförd energi'!$B$1:$AQ$1,0),FALSE)</f>
        <v>0</v>
      </c>
      <c r="J81" s="31">
        <f>VLOOKUP($B81,'Tillförd energi'!$B$1:$AI$720,MATCH(J$1,'Tillförd energi'!$B$1:$AQ$1,0),FALSE)</f>
        <v>0</v>
      </c>
      <c r="K81" s="31">
        <f>VLOOKUP($B81,'Tillförd energi'!$B$1:$AI$720,MATCH(K$1,'Tillförd energi'!$B$1:$AQ$1,0),FALSE)</f>
        <v>0</v>
      </c>
      <c r="L81" s="31">
        <f>VLOOKUP($B81,'Tillförd energi'!$B$1:$AI$720,MATCH(L$1,'Tillförd energi'!$B$1:$AQ$1,0),FALSE)</f>
        <v>0</v>
      </c>
      <c r="M81" s="31">
        <f>VLOOKUP($B81,'Tillförd energi'!$B$1:$AI$720,MATCH(M$1,'Tillförd energi'!$B$1:$AQ$1,0),FALSE)</f>
        <v>0</v>
      </c>
      <c r="N81" s="31">
        <f>VLOOKUP($B81,'Tillförd energi'!$B$1:$AI$720,MATCH(N$1,'Tillförd energi'!$B$1:$AQ$1,0),FALSE)</f>
        <v>0</v>
      </c>
      <c r="O81" s="31">
        <f>VLOOKUP($B81,'Tillförd energi'!$B$1:$AI$720,MATCH(O$1,'Tillförd energi'!$B$1:$AQ$1,0),FALSE)</f>
        <v>0</v>
      </c>
      <c r="P81" s="31">
        <f>VLOOKUP($B81,'Tillförd energi'!$B$1:$AI$720,MATCH(P$1,'Tillförd energi'!$B$1:$AQ$1,0),FALSE)</f>
        <v>0</v>
      </c>
      <c r="Q81" s="31">
        <f>VLOOKUP($B81,'Tillförd energi'!$B$1:$AI$720,MATCH(Q$1,'Tillförd energi'!$B$1:$AQ$1,0),FALSE)</f>
        <v>0</v>
      </c>
      <c r="R81" s="31">
        <f>VLOOKUP($B81,'Tillförd energi'!$B$1:$AI$720,MATCH(R$1,'Tillförd energi'!$B$1:$AQ$1,0),FALSE)</f>
        <v>4.97</v>
      </c>
      <c r="S81" s="31">
        <f>VLOOKUP($B81,'Tillförd energi'!$B$1:$AI$720,MATCH(S$1,'Tillförd energi'!$B$1:$AQ$1,0),FALSE)</f>
        <v>0</v>
      </c>
      <c r="T81" s="31">
        <f>VLOOKUP($B81,'Tillförd energi'!$B$1:$AI$720,MATCH(T$1,'Tillförd energi'!$B$1:$AQ$1,0),FALSE)</f>
        <v>0</v>
      </c>
      <c r="U81" s="31">
        <f>VLOOKUP($B81,'Tillförd energi'!$B$1:$AI$720,MATCH(U$1,'Tillförd energi'!$B$1:$AQ$1,0),FALSE)</f>
        <v>0</v>
      </c>
      <c r="V81" s="31">
        <f>VLOOKUP($B81,'Tillförd energi'!$B$1:$AI$720,MATCH(V$1,'Tillförd energi'!$B$1:$AQ$1,0),FALSE)</f>
        <v>0</v>
      </c>
      <c r="W81" s="31">
        <f>VLOOKUP($B81,'Tillförd energi'!$B$1:$AI$720,MATCH(W$1,'Tillförd energi'!$B$1:$AQ$1,0),FALSE)</f>
        <v>0</v>
      </c>
      <c r="X81" s="31">
        <f>VLOOKUP($B81,'Tillförd energi'!$B$1:$AI$720,MATCH(X$1,'Tillförd energi'!$B$1:$AQ$1,0),FALSE)</f>
        <v>0</v>
      </c>
      <c r="Y81" s="31">
        <f>VLOOKUP($B81,'Tillförd energi'!$B$1:$AI$720,MATCH(Y$1,'Tillförd energi'!$B$1:$AQ$1,0),FALSE)</f>
        <v>0</v>
      </c>
      <c r="Z81" s="31">
        <f>VLOOKUP($B81,'Tillförd energi'!$B$1:$AI$720,MATCH(Z$1,'Tillförd energi'!$B$1:$AQ$1,0),FALSE)</f>
        <v>0</v>
      </c>
      <c r="AA81" s="31">
        <f>VLOOKUP($B81,'Tillförd energi'!$B$1:$AI$720,MATCH(AA$1,'Tillförd energi'!$B$1:$AQ$1,0),FALSE)</f>
        <v>0</v>
      </c>
      <c r="AB81" s="31">
        <f>VLOOKUP($B81,'Tillförd energi'!$B$1:$AI$720,MATCH(AB$1,'Tillförd energi'!$B$1:$AQ$1,0),FALSE)</f>
        <v>0</v>
      </c>
      <c r="AC81" s="31">
        <f>VLOOKUP($B81,'Tillförd energi'!$B$1:$AI$720,MATCH(AC$1,'Tillförd energi'!$B$1:$AQ$1,0),FALSE)</f>
        <v>0</v>
      </c>
      <c r="AD81" s="31">
        <f>VLOOKUP($B81,'Tillförd energi'!$B$1:$AI$720,MATCH(AD$1,'Tillförd energi'!$B$1:$AQ$1,0),FALSE)</f>
        <v>0</v>
      </c>
      <c r="AE81" s="31">
        <f>VLOOKUP($B81,'Tillförd energi'!$B$1:$AI$720,MATCH(AE$1,'Tillförd energi'!$B$1:$AQ$1,0),FALSE)</f>
        <v>0</v>
      </c>
      <c r="AF81" s="31">
        <f>VLOOKUP($B81,'Tillförd energi'!$B$1:$AI$720,MATCH(AF$1,'Tillförd energi'!$B$1:$AQ$1,0),FALSE)</f>
        <v>6.6000000000000003E-2</v>
      </c>
      <c r="AG81" s="31">
        <f>IFERROR(VLOOKUP(B81,Miljö!$B$1:$AC$550,MATCH("Köpt mängd produktionsspecifik fjärrvärme:",Miljö!$B$1:$AC$1,0),FALSE)/1,0)</f>
        <v>0</v>
      </c>
      <c r="AI81" s="31">
        <f t="shared" si="23"/>
        <v>5.0859999999999994</v>
      </c>
      <c r="AJ81" s="31">
        <f t="shared" si="24"/>
        <v>5.0859999999999994</v>
      </c>
      <c r="AK81" s="31">
        <f>IF(ISERROR(1/VLOOKUP($B81,Leveranser!$B$1:$S$499,MATCH("Såld värme (GWh)",Leveranser!$B$1:$S$1,0),FALSE)),"",VLOOKUP($B81,Leveranser!$B$1:$S$499,MATCH("Såld värme (GWh)",Leveranser!$B$1:$S$1,0),FALSE))</f>
        <v>3.96</v>
      </c>
      <c r="AL81" s="31">
        <f>VLOOKUP($B81,Leveranser!$B$1:$Y$499,MATCH("Totalt såld fjärrvärme till andra fjärrvärmeföretag",Leveranser!$B$1:$AA$1,0),FALSE)</f>
        <v>0</v>
      </c>
      <c r="AM81" s="31">
        <f>IF(ISERROR(1/VLOOKUP($B81,Miljö!$B$1:$S$500,MATCH("Såld mängd produktionsspecifik fjärrvärme (GWh)",Miljö!$B$1:$R$1,0),FALSE)),0,VLOOKUP($B81,Miljö!$B$1:$S$500,MATCH("Såld mängd produktionsspecifik fjärrvärme (GWh)",Miljö!$B$1:$R$1,0),FALSE))</f>
        <v>0</v>
      </c>
      <c r="AN81" s="32">
        <f t="shared" si="25"/>
        <v>0.77860794337396788</v>
      </c>
      <c r="AP81" s="31" t="str">
        <f>IFERROR(VLOOKUP($B81,Miljövärden!$B$2:$H$550,7,FALSE),"Nej, saknas")</f>
        <v>Ja</v>
      </c>
      <c r="AQ81" s="31" t="str">
        <f>IFERROR(VLOOKUP($B81,Miljövärden!$B$2:$H$551,6,FALSE),"Nej, saknas")</f>
        <v>Ja</v>
      </c>
      <c r="AU81" s="31">
        <f t="shared" si="26"/>
        <v>6.6000000000000003E-2</v>
      </c>
      <c r="AV81" s="31">
        <f t="shared" si="27"/>
        <v>0</v>
      </c>
      <c r="AW81" s="31">
        <f t="shared" si="28"/>
        <v>0</v>
      </c>
      <c r="AX81" s="31">
        <f t="shared" si="29"/>
        <v>4.97</v>
      </c>
      <c r="AZ81" s="31">
        <f t="shared" si="30"/>
        <v>4.97</v>
      </c>
      <c r="BC81" s="31">
        <f t="shared" si="31"/>
        <v>0.05</v>
      </c>
      <c r="BD81" s="31">
        <f t="shared" si="32"/>
        <v>0</v>
      </c>
      <c r="BE81" s="31">
        <f t="shared" si="33"/>
        <v>4.97</v>
      </c>
      <c r="BF81" s="31">
        <f t="shared" si="34"/>
        <v>0</v>
      </c>
      <c r="BG81" s="31">
        <f t="shared" si="35"/>
        <v>6.6000000000000003E-2</v>
      </c>
      <c r="BH81" s="31">
        <f>VLOOKUP(B81,Miljö!$B$1:$BX$482,MATCH("Fossilandel för ursprungspecificerad el ()",Miljö!$B$1:$I$1,0),FALSE)</f>
        <v>0</v>
      </c>
      <c r="BI81" s="31">
        <f>VLOOKUP(B81,Miljö!$B$1:$BX$482,MATCH("Kärnkraftsandel för ursprungsspecificerad el ()",Miljö!$B$1:$O$1,0),FALSE)</f>
        <v>0</v>
      </c>
      <c r="BJ81" s="31">
        <f t="shared" si="36"/>
        <v>0</v>
      </c>
      <c r="BK81" s="31" t="str">
        <f>VLOOKUP(B81,Miljö!$B$1:$P$482,MATCH("Fossil andel i procent (%)",Miljö!$B$1:$P$1,0),FALSE)</f>
        <v>ET</v>
      </c>
      <c r="BL81" s="31">
        <f t="shared" si="37"/>
        <v>5.0859999999999994</v>
      </c>
      <c r="BO81" s="32">
        <f t="shared" si="38"/>
        <v>9.8309083759339378E-3</v>
      </c>
      <c r="BP81" s="32">
        <f t="shared" si="39"/>
        <v>0</v>
      </c>
      <c r="BQ81" s="32">
        <f t="shared" si="40"/>
        <v>0.99016909162406608</v>
      </c>
      <c r="BR81" s="32">
        <f t="shared" si="41"/>
        <v>0</v>
      </c>
      <c r="BT81" s="62">
        <f t="shared" si="42"/>
        <v>1</v>
      </c>
      <c r="BW81" s="32">
        <f>IF(AP81="Ja",VLOOKUP(B81,Miljövärden!$B$2:$H$551,MATCH("Total andel fossilt",Miljövärden!$B$2:$H$2,0),FALSE),"")</f>
        <v>9.83091E-3</v>
      </c>
      <c r="BX81" s="62">
        <f t="shared" si="43"/>
        <v>1.6240660621891223E-9</v>
      </c>
      <c r="BZ81" s="31">
        <f t="shared" si="44"/>
        <v>1.6240660621891223E-9</v>
      </c>
      <c r="CA81" s="32">
        <f t="shared" si="45"/>
        <v>0</v>
      </c>
    </row>
    <row r="82" spans="1:79" x14ac:dyDescent="0.45">
      <c r="A82" s="31" t="s">
        <v>582</v>
      </c>
      <c r="B82" s="31" t="s">
        <v>585</v>
      </c>
      <c r="C82" s="31">
        <f>VLOOKUP($B82,'Tillförd energi'!$B$1:$AI$720,MATCH(C$1,'Tillförd energi'!$B$1:$AQ$1,0),FALSE)</f>
        <v>0</v>
      </c>
      <c r="D82" s="31">
        <f>VLOOKUP($B82,'Tillförd energi'!$B$1:$AI$720,MATCH(D$1,'Tillförd energi'!$B$1:$AQ$1,0),FALSE)</f>
        <v>1.7</v>
      </c>
      <c r="E82" s="31">
        <f>VLOOKUP($B82,'Tillförd energi'!$B$1:$AI$720,MATCH(E$1,'Tillförd energi'!$B$1:$AQ$1,0),FALSE)</f>
        <v>0</v>
      </c>
      <c r="F82" s="31">
        <f>VLOOKUP($B82,'Tillförd energi'!$B$1:$AI$720,MATCH(F$1,'Tillförd energi'!$B$1:$AQ$1,0),FALSE)</f>
        <v>0</v>
      </c>
      <c r="G82" s="31">
        <f>VLOOKUP($B82,'Tillförd energi'!$B$1:$AI$720,MATCH(G$1,'Tillförd energi'!$B$1:$AQ$1,0),FALSE)</f>
        <v>0</v>
      </c>
      <c r="H82" s="31">
        <f>VLOOKUP($B82,'Tillförd energi'!$B$1:$AI$720,MATCH(H$1,'Tillförd energi'!$B$1:$AQ$1,0),FALSE)</f>
        <v>3.7</v>
      </c>
      <c r="I82" s="31">
        <f>VLOOKUP($B82,'Tillförd energi'!$B$1:$AI$720,MATCH(I$1,'Tillförd energi'!$B$1:$AQ$1,0),FALSE)</f>
        <v>0</v>
      </c>
      <c r="J82" s="31">
        <f>VLOOKUP($B82,'Tillförd energi'!$B$1:$AI$720,MATCH(J$1,'Tillförd energi'!$B$1:$AQ$1,0),FALSE)</f>
        <v>0</v>
      </c>
      <c r="K82" s="31">
        <f>VLOOKUP($B82,'Tillförd energi'!$B$1:$AI$720,MATCH(K$1,'Tillförd energi'!$B$1:$AQ$1,0),FALSE)</f>
        <v>0</v>
      </c>
      <c r="L82" s="31">
        <f>VLOOKUP($B82,'Tillförd energi'!$B$1:$AI$720,MATCH(L$1,'Tillförd energi'!$B$1:$AQ$1,0),FALSE)</f>
        <v>46.228999999999999</v>
      </c>
      <c r="M82" s="31">
        <f>VLOOKUP($B82,'Tillförd energi'!$B$1:$AI$720,MATCH(M$1,'Tillförd energi'!$B$1:$AQ$1,0),FALSE)</f>
        <v>61.3459</v>
      </c>
      <c r="N82" s="31">
        <f>VLOOKUP($B82,'Tillförd energi'!$B$1:$AI$720,MATCH(N$1,'Tillförd energi'!$B$1:$AQ$1,0),FALSE)</f>
        <v>67.553899999999999</v>
      </c>
      <c r="O82" s="31">
        <f>VLOOKUP($B82,'Tillförd energi'!$B$1:$AI$720,MATCH(O$1,'Tillförd energi'!$B$1:$AQ$1,0),FALSE)</f>
        <v>0</v>
      </c>
      <c r="P82" s="31">
        <f>VLOOKUP($B82,'Tillförd energi'!$B$1:$AI$720,MATCH(P$1,'Tillförd energi'!$B$1:$AQ$1,0),FALSE)</f>
        <v>76.349000000000004</v>
      </c>
      <c r="Q82" s="31">
        <f>VLOOKUP($B82,'Tillförd energi'!$B$1:$AI$720,MATCH(Q$1,'Tillförd energi'!$B$1:$AQ$1,0),FALSE)</f>
        <v>20.158000000000001</v>
      </c>
      <c r="R82" s="31">
        <f>VLOOKUP($B82,'Tillförd energi'!$B$1:$AI$720,MATCH(R$1,'Tillförd energi'!$B$1:$AQ$1,0),FALSE)</f>
        <v>0</v>
      </c>
      <c r="S82" s="31">
        <f>VLOOKUP($B82,'Tillförd energi'!$B$1:$AI$720,MATCH(S$1,'Tillförd energi'!$B$1:$AQ$1,0),FALSE)</f>
        <v>0</v>
      </c>
      <c r="T82" s="31">
        <f>VLOOKUP($B82,'Tillförd energi'!$B$1:$AI$720,MATCH(T$1,'Tillförd energi'!$B$1:$AQ$1,0),FALSE)</f>
        <v>0</v>
      </c>
      <c r="U82" s="31">
        <f>VLOOKUP($B82,'Tillförd energi'!$B$1:$AI$720,MATCH(U$1,'Tillförd energi'!$B$1:$AQ$1,0),FALSE)</f>
        <v>0</v>
      </c>
      <c r="V82" s="31">
        <f>VLOOKUP($B82,'Tillförd energi'!$B$1:$AI$720,MATCH(V$1,'Tillförd energi'!$B$1:$AQ$1,0),FALSE)</f>
        <v>0</v>
      </c>
      <c r="W82" s="31">
        <f>VLOOKUP($B82,'Tillförd energi'!$B$1:$AI$720,MATCH(W$1,'Tillförd energi'!$B$1:$AQ$1,0),FALSE)</f>
        <v>0</v>
      </c>
      <c r="X82" s="31">
        <f>VLOOKUP($B82,'Tillförd energi'!$B$1:$AI$720,MATCH(X$1,'Tillförd energi'!$B$1:$AQ$1,0),FALSE)</f>
        <v>0</v>
      </c>
      <c r="Y82" s="31">
        <f>VLOOKUP($B82,'Tillförd energi'!$B$1:$AI$720,MATCH(Y$1,'Tillförd energi'!$B$1:$AQ$1,0),FALSE)</f>
        <v>0</v>
      </c>
      <c r="Z82" s="31">
        <f>VLOOKUP($B82,'Tillförd energi'!$B$1:$AI$720,MATCH(Z$1,'Tillförd energi'!$B$1:$AQ$1,0),FALSE)</f>
        <v>0</v>
      </c>
      <c r="AA82" s="31">
        <f>VLOOKUP($B82,'Tillförd energi'!$B$1:$AI$720,MATCH(AA$1,'Tillförd energi'!$B$1:$AQ$1,0),FALSE)</f>
        <v>0</v>
      </c>
      <c r="AB82" s="31">
        <f>VLOOKUP($B82,'Tillförd energi'!$B$1:$AI$720,MATCH(AB$1,'Tillförd energi'!$B$1:$AQ$1,0),FALSE)</f>
        <v>0</v>
      </c>
      <c r="AC82" s="31">
        <f>VLOOKUP($B82,'Tillförd energi'!$B$1:$AI$720,MATCH(AC$1,'Tillförd energi'!$B$1:$AQ$1,0),FALSE)</f>
        <v>65.7</v>
      </c>
      <c r="AD82" s="31">
        <f>VLOOKUP($B82,'Tillförd energi'!$B$1:$AI$720,MATCH(AD$1,'Tillförd energi'!$B$1:$AQ$1,0),FALSE)</f>
        <v>0.35</v>
      </c>
      <c r="AE82" s="31">
        <f>VLOOKUP($B82,'Tillförd energi'!$B$1:$AI$720,MATCH(AE$1,'Tillförd energi'!$B$1:$AQ$1,0),FALSE)</f>
        <v>0</v>
      </c>
      <c r="AF82" s="31">
        <f>VLOOKUP($B82,'Tillförd energi'!$B$1:$AI$720,MATCH(AF$1,'Tillförd energi'!$B$1:$AQ$1,0),FALSE)</f>
        <v>11.3271</v>
      </c>
      <c r="AG82" s="31">
        <f>IFERROR(VLOOKUP(B82,Miljö!$B$1:$AC$550,MATCH("Köpt mängd produktionsspecifik fjärrvärme:",Miljö!$B$1:$AC$1,0),FALSE)/1,0)</f>
        <v>50.02</v>
      </c>
      <c r="AI82" s="31">
        <f t="shared" si="23"/>
        <v>354.41289999999998</v>
      </c>
      <c r="AJ82" s="31">
        <f t="shared" si="24"/>
        <v>404.43289999999996</v>
      </c>
      <c r="AK82" s="31">
        <f>IF(ISERROR(1/VLOOKUP($B82,Leveranser!$B$1:$S$499,MATCH("Såld värme (GWh)",Leveranser!$B$1:$S$1,0),FALSE)),"",VLOOKUP($B82,Leveranser!$B$1:$S$499,MATCH("Såld värme (GWh)",Leveranser!$B$1:$S$1,0),FALSE))</f>
        <v>352.86</v>
      </c>
      <c r="AL82" s="31">
        <f>VLOOKUP($B82,Leveranser!$B$1:$Y$499,MATCH("Totalt såld fjärrvärme till andra fjärrvärmeföretag",Leveranser!$B$1:$AA$1,0),FALSE)</f>
        <v>2.85</v>
      </c>
      <c r="AM82" s="31">
        <f>IF(ISERROR(1/VLOOKUP($B82,Miljö!$B$1:$S$500,MATCH("Såld mängd produktionsspecifik fjärrvärme (GWh)",Miljö!$B$1:$R$1,0),FALSE)),0,VLOOKUP($B82,Miljö!$B$1:$S$500,MATCH("Såld mängd produktionsspecifik fjärrvärme (GWh)",Miljö!$B$1:$R$1,0),FALSE))</f>
        <v>2.85</v>
      </c>
      <c r="AN82" s="32">
        <f t="shared" si="25"/>
        <v>0.87248094801387333</v>
      </c>
      <c r="AP82" s="31" t="str">
        <f>IFERROR(VLOOKUP($B82,Miljövärden!$B$2:$H$550,7,FALSE),"Nej, saknas")</f>
        <v>Ja</v>
      </c>
      <c r="AQ82" s="31" t="str">
        <f>IFERROR(VLOOKUP($B82,Miljövärden!$B$2:$H$551,6,FALSE),"Nej, saknas")</f>
        <v>Ja</v>
      </c>
      <c r="AU82" s="31">
        <f t="shared" si="26"/>
        <v>11.3271</v>
      </c>
      <c r="AV82" s="31">
        <f t="shared" si="27"/>
        <v>0</v>
      </c>
      <c r="AW82" s="31">
        <f t="shared" si="28"/>
        <v>225.40680000000003</v>
      </c>
      <c r="AX82" s="31">
        <f t="shared" si="29"/>
        <v>0</v>
      </c>
      <c r="AZ82" s="31">
        <f t="shared" si="30"/>
        <v>271.63580000000002</v>
      </c>
      <c r="BC82" s="31">
        <f t="shared" si="31"/>
        <v>5.4</v>
      </c>
      <c r="BD82" s="31">
        <f t="shared" si="32"/>
        <v>0</v>
      </c>
      <c r="BE82" s="31">
        <f t="shared" si="33"/>
        <v>225.40680000000003</v>
      </c>
      <c r="BF82" s="31">
        <f t="shared" si="34"/>
        <v>112.279</v>
      </c>
      <c r="BG82" s="31">
        <f t="shared" si="35"/>
        <v>11.3271</v>
      </c>
      <c r="BH82" s="31">
        <f>VLOOKUP(B82,Miljö!$B$1:$BX$482,MATCH("Fossilandel för ursprungspecificerad el ()",Miljö!$B$1:$I$1,0),FALSE)</f>
        <v>0</v>
      </c>
      <c r="BI82" s="31">
        <f>VLOOKUP(B82,Miljö!$B$1:$BX$482,MATCH("Kärnkraftsandel för ursprungsspecificerad el ()",Miljö!$B$1:$O$1,0),FALSE)</f>
        <v>0</v>
      </c>
      <c r="BJ82" s="31">
        <f t="shared" si="36"/>
        <v>50.02</v>
      </c>
      <c r="BK82" s="31">
        <f>VLOOKUP(B82,Miljö!$B$1:$P$482,MATCH("Fossil andel i procent (%)",Miljö!$B$1:$P$1,0),FALSE)</f>
        <v>0</v>
      </c>
      <c r="BL82" s="31">
        <f t="shared" si="37"/>
        <v>404.43290000000002</v>
      </c>
      <c r="BO82" s="32">
        <f t="shared" si="38"/>
        <v>1.3352029471390681E-2</v>
      </c>
      <c r="BP82" s="32">
        <f t="shared" si="39"/>
        <v>0.12367935447388183</v>
      </c>
      <c r="BQ82" s="32">
        <f t="shared" si="40"/>
        <v>0.58534777956986195</v>
      </c>
      <c r="BR82" s="32">
        <f t="shared" si="41"/>
        <v>0.27762083648486557</v>
      </c>
      <c r="BT82" s="62">
        <f t="shared" si="42"/>
        <v>1</v>
      </c>
      <c r="BW82" s="32">
        <f>IF(AP82="Ja",VLOOKUP(B82,Miljövärden!$B$2:$H$551,MATCH("Total andel fossilt",Miljövärden!$B$2:$H$2,0),FALSE),"")</f>
        <v>1.34468E-2</v>
      </c>
      <c r="BX82" s="62">
        <f t="shared" si="43"/>
        <v>9.4770528609318741E-5</v>
      </c>
      <c r="BZ82" s="31">
        <f t="shared" si="44"/>
        <v>9.4770528609318741E-5</v>
      </c>
      <c r="CA82" s="32">
        <f t="shared" si="45"/>
        <v>0</v>
      </c>
    </row>
    <row r="83" spans="1:79" x14ac:dyDescent="0.45">
      <c r="A83" s="31" t="s">
        <v>582</v>
      </c>
      <c r="B83" s="31" t="s">
        <v>583</v>
      </c>
      <c r="C83" s="31">
        <f>VLOOKUP($B83,'Tillförd energi'!$B$1:$AI$720,MATCH(C$1,'Tillförd energi'!$B$1:$AQ$1,0),FALSE)</f>
        <v>0</v>
      </c>
      <c r="D83" s="31">
        <f>VLOOKUP($B83,'Tillförd energi'!$B$1:$AI$720,MATCH(D$1,'Tillförd energi'!$B$1:$AQ$1,0),FALSE)</f>
        <v>0.02</v>
      </c>
      <c r="E83" s="31">
        <f>VLOOKUP($B83,'Tillförd energi'!$B$1:$AI$720,MATCH(E$1,'Tillförd energi'!$B$1:$AQ$1,0),FALSE)</f>
        <v>0</v>
      </c>
      <c r="F83" s="31">
        <f>VLOOKUP($B83,'Tillförd energi'!$B$1:$AI$720,MATCH(F$1,'Tillförd energi'!$B$1:$AQ$1,0),FALSE)</f>
        <v>0</v>
      </c>
      <c r="G83" s="31">
        <f>VLOOKUP($B83,'Tillförd energi'!$B$1:$AI$720,MATCH(G$1,'Tillförd energi'!$B$1:$AQ$1,0),FALSE)</f>
        <v>0</v>
      </c>
      <c r="H83" s="31">
        <f>VLOOKUP($B83,'Tillförd energi'!$B$1:$AI$720,MATCH(H$1,'Tillförd energi'!$B$1:$AQ$1,0),FALSE)</f>
        <v>0</v>
      </c>
      <c r="I83" s="31">
        <f>VLOOKUP($B83,'Tillförd energi'!$B$1:$AI$720,MATCH(I$1,'Tillförd energi'!$B$1:$AQ$1,0),FALSE)</f>
        <v>0</v>
      </c>
      <c r="J83" s="31">
        <f>VLOOKUP($B83,'Tillförd energi'!$B$1:$AI$720,MATCH(J$1,'Tillförd energi'!$B$1:$AQ$1,0),FALSE)</f>
        <v>0</v>
      </c>
      <c r="K83" s="31">
        <f>VLOOKUP($B83,'Tillförd energi'!$B$1:$AI$720,MATCH(K$1,'Tillförd energi'!$B$1:$AQ$1,0),FALSE)</f>
        <v>0</v>
      </c>
      <c r="L83" s="31">
        <f>VLOOKUP($B83,'Tillförd energi'!$B$1:$AI$720,MATCH(L$1,'Tillförd energi'!$B$1:$AQ$1,0),FALSE)</f>
        <v>0</v>
      </c>
      <c r="M83" s="31">
        <f>VLOOKUP($B83,'Tillförd energi'!$B$1:$AI$720,MATCH(M$1,'Tillförd energi'!$B$1:$AQ$1,0),FALSE)</f>
        <v>0</v>
      </c>
      <c r="N83" s="31">
        <f>VLOOKUP($B83,'Tillförd energi'!$B$1:$AI$720,MATCH(N$1,'Tillförd energi'!$B$1:$AQ$1,0),FALSE)</f>
        <v>0</v>
      </c>
      <c r="O83" s="31">
        <f>VLOOKUP($B83,'Tillförd energi'!$B$1:$AI$720,MATCH(O$1,'Tillförd energi'!$B$1:$AQ$1,0),FALSE)</f>
        <v>0</v>
      </c>
      <c r="P83" s="31">
        <f>VLOOKUP($B83,'Tillförd energi'!$B$1:$AI$720,MATCH(P$1,'Tillförd energi'!$B$1:$AQ$1,0),FALSE)</f>
        <v>0</v>
      </c>
      <c r="Q83" s="31">
        <f>VLOOKUP($B83,'Tillförd energi'!$B$1:$AI$720,MATCH(Q$1,'Tillförd energi'!$B$1:$AQ$1,0),FALSE)</f>
        <v>0</v>
      </c>
      <c r="R83" s="31">
        <f>VLOOKUP($B83,'Tillförd energi'!$B$1:$AI$720,MATCH(R$1,'Tillförd energi'!$B$1:$AQ$1,0),FALSE)</f>
        <v>5.24</v>
      </c>
      <c r="S83" s="31">
        <f>VLOOKUP($B83,'Tillförd energi'!$B$1:$AI$720,MATCH(S$1,'Tillförd energi'!$B$1:$AQ$1,0),FALSE)</f>
        <v>0</v>
      </c>
      <c r="T83" s="31">
        <f>VLOOKUP($B83,'Tillförd energi'!$B$1:$AI$720,MATCH(T$1,'Tillförd energi'!$B$1:$AQ$1,0),FALSE)</f>
        <v>0</v>
      </c>
      <c r="U83" s="31">
        <f>VLOOKUP($B83,'Tillförd energi'!$B$1:$AI$720,MATCH(U$1,'Tillförd energi'!$B$1:$AQ$1,0),FALSE)</f>
        <v>0</v>
      </c>
      <c r="V83" s="31">
        <f>VLOOKUP($B83,'Tillförd energi'!$B$1:$AI$720,MATCH(V$1,'Tillförd energi'!$B$1:$AQ$1,0),FALSE)</f>
        <v>0</v>
      </c>
      <c r="W83" s="31">
        <f>VLOOKUP($B83,'Tillförd energi'!$B$1:$AI$720,MATCH(W$1,'Tillförd energi'!$B$1:$AQ$1,0),FALSE)</f>
        <v>0</v>
      </c>
      <c r="X83" s="31">
        <f>VLOOKUP($B83,'Tillförd energi'!$B$1:$AI$720,MATCH(X$1,'Tillförd energi'!$B$1:$AQ$1,0),FALSE)</f>
        <v>0</v>
      </c>
      <c r="Y83" s="31">
        <f>VLOOKUP($B83,'Tillförd energi'!$B$1:$AI$720,MATCH(Y$1,'Tillförd energi'!$B$1:$AQ$1,0),FALSE)</f>
        <v>0</v>
      </c>
      <c r="Z83" s="31">
        <f>VLOOKUP($B83,'Tillförd energi'!$B$1:$AI$720,MATCH(Z$1,'Tillförd energi'!$B$1:$AQ$1,0),FALSE)</f>
        <v>0</v>
      </c>
      <c r="AA83" s="31">
        <f>VLOOKUP($B83,'Tillförd energi'!$B$1:$AI$720,MATCH(AA$1,'Tillförd energi'!$B$1:$AQ$1,0),FALSE)</f>
        <v>0</v>
      </c>
      <c r="AB83" s="31">
        <f>VLOOKUP($B83,'Tillförd energi'!$B$1:$AI$720,MATCH(AB$1,'Tillförd energi'!$B$1:$AQ$1,0),FALSE)</f>
        <v>0</v>
      </c>
      <c r="AC83" s="31">
        <f>VLOOKUP($B83,'Tillförd energi'!$B$1:$AI$720,MATCH(AC$1,'Tillförd energi'!$B$1:$AQ$1,0),FALSE)</f>
        <v>0</v>
      </c>
      <c r="AD83" s="31">
        <f>VLOOKUP($B83,'Tillförd energi'!$B$1:$AI$720,MATCH(AD$1,'Tillförd energi'!$B$1:$AQ$1,0),FALSE)</f>
        <v>0</v>
      </c>
      <c r="AE83" s="31">
        <f>VLOOKUP($B83,'Tillförd energi'!$B$1:$AI$720,MATCH(AE$1,'Tillförd energi'!$B$1:$AQ$1,0),FALSE)</f>
        <v>0</v>
      </c>
      <c r="AF83" s="31">
        <f>VLOOKUP($B83,'Tillförd energi'!$B$1:$AI$720,MATCH(AF$1,'Tillförd energi'!$B$1:$AQ$1,0),FALSE)</f>
        <v>5.6000000000000001E-2</v>
      </c>
      <c r="AG83" s="31">
        <f>IFERROR(VLOOKUP(B83,Miljö!$B$1:$AC$550,MATCH("Köpt mängd produktionsspecifik fjärrvärme:",Miljö!$B$1:$AC$1,0),FALSE)/1,0)</f>
        <v>0</v>
      </c>
      <c r="AI83" s="31">
        <f t="shared" si="23"/>
        <v>5.3159999999999998</v>
      </c>
      <c r="AJ83" s="31">
        <f t="shared" si="24"/>
        <v>5.3159999999999998</v>
      </c>
      <c r="AK83" s="31">
        <f>IF(ISERROR(1/VLOOKUP($B83,Leveranser!$B$1:$S$499,MATCH("Såld värme (GWh)",Leveranser!$B$1:$S$1,0),FALSE)),"",VLOOKUP($B83,Leveranser!$B$1:$S$499,MATCH("Såld värme (GWh)",Leveranser!$B$1:$S$1,0),FALSE))</f>
        <v>4.2699999999999996</v>
      </c>
      <c r="AL83" s="31">
        <f>VLOOKUP($B83,Leveranser!$B$1:$Y$499,MATCH("Totalt såld fjärrvärme till andra fjärrvärmeföretag",Leveranser!$B$1:$AA$1,0),FALSE)</f>
        <v>0</v>
      </c>
      <c r="AM83" s="31">
        <f>IF(ISERROR(1/VLOOKUP($B83,Miljö!$B$1:$S$500,MATCH("Såld mängd produktionsspecifik fjärrvärme (GWh)",Miljö!$B$1:$R$1,0),FALSE)),0,VLOOKUP($B83,Miljö!$B$1:$S$500,MATCH("Såld mängd produktionsspecifik fjärrvärme (GWh)",Miljö!$B$1:$R$1,0),FALSE))</f>
        <v>0</v>
      </c>
      <c r="AN83" s="32">
        <f t="shared" si="25"/>
        <v>0.80323551542513161</v>
      </c>
      <c r="AP83" s="31" t="str">
        <f>IFERROR(VLOOKUP($B83,Miljövärden!$B$2:$H$550,7,FALSE),"Nej, saknas")</f>
        <v>Ja</v>
      </c>
      <c r="AQ83" s="31" t="str">
        <f>IFERROR(VLOOKUP($B83,Miljövärden!$B$2:$H$551,6,FALSE),"Nej, saknas")</f>
        <v>Ja</v>
      </c>
      <c r="AU83" s="31">
        <f t="shared" si="26"/>
        <v>5.6000000000000001E-2</v>
      </c>
      <c r="AV83" s="31">
        <f t="shared" si="27"/>
        <v>0</v>
      </c>
      <c r="AW83" s="31">
        <f t="shared" si="28"/>
        <v>0</v>
      </c>
      <c r="AX83" s="31">
        <f t="shared" si="29"/>
        <v>5.24</v>
      </c>
      <c r="AZ83" s="31">
        <f t="shared" si="30"/>
        <v>5.24</v>
      </c>
      <c r="BC83" s="31">
        <f t="shared" si="31"/>
        <v>0.02</v>
      </c>
      <c r="BD83" s="31">
        <f t="shared" si="32"/>
        <v>0</v>
      </c>
      <c r="BE83" s="31">
        <f t="shared" si="33"/>
        <v>5.24</v>
      </c>
      <c r="BF83" s="31">
        <f t="shared" si="34"/>
        <v>0</v>
      </c>
      <c r="BG83" s="31">
        <f t="shared" si="35"/>
        <v>5.6000000000000001E-2</v>
      </c>
      <c r="BH83" s="31">
        <f>VLOOKUP(B83,Miljö!$B$1:$BX$482,MATCH("Fossilandel för ursprungspecificerad el ()",Miljö!$B$1:$I$1,0),FALSE)</f>
        <v>0</v>
      </c>
      <c r="BI83" s="31">
        <f>VLOOKUP(B83,Miljö!$B$1:$BX$482,MATCH("Kärnkraftsandel för ursprungsspecificerad el ()",Miljö!$B$1:$O$1,0),FALSE)</f>
        <v>0</v>
      </c>
      <c r="BJ83" s="31">
        <f t="shared" si="36"/>
        <v>0</v>
      </c>
      <c r="BK83" s="31" t="str">
        <f>VLOOKUP(B83,Miljö!$B$1:$P$482,MATCH("Fossil andel i procent (%)",Miljö!$B$1:$P$1,0),FALSE)</f>
        <v>ET</v>
      </c>
      <c r="BL83" s="31">
        <f t="shared" si="37"/>
        <v>5.3159999999999998</v>
      </c>
      <c r="BO83" s="32">
        <f t="shared" si="38"/>
        <v>3.7622272385252073E-3</v>
      </c>
      <c r="BP83" s="32">
        <f t="shared" si="39"/>
        <v>0</v>
      </c>
      <c r="BQ83" s="32">
        <f t="shared" si="40"/>
        <v>0.99623777276147485</v>
      </c>
      <c r="BR83" s="32">
        <f t="shared" si="41"/>
        <v>0</v>
      </c>
      <c r="BT83" s="62">
        <f t="shared" si="42"/>
        <v>1</v>
      </c>
      <c r="BW83" s="32">
        <f>IF(AP83="Ja",VLOOKUP(B83,Miljövärden!$B$2:$H$551,MATCH("Total andel fossilt",Miljövärden!$B$2:$H$2,0),FALSE),"")</f>
        <v>3.7622300000000001E-3</v>
      </c>
      <c r="BX83" s="62">
        <f t="shared" si="43"/>
        <v>2.7614747927576233E-9</v>
      </c>
      <c r="BZ83" s="31">
        <f t="shared" si="44"/>
        <v>2.7614747927576233E-9</v>
      </c>
      <c r="CA83" s="32">
        <f t="shared" si="45"/>
        <v>0</v>
      </c>
    </row>
    <row r="84" spans="1:79" x14ac:dyDescent="0.45">
      <c r="A84" s="31" t="s">
        <v>582</v>
      </c>
      <c r="B84" s="31" t="s">
        <v>581</v>
      </c>
      <c r="C84" s="31">
        <f>VLOOKUP($B84,'Tillförd energi'!$B$1:$AI$720,MATCH(C$1,'Tillförd energi'!$B$1:$AQ$1,0),FALSE)</f>
        <v>0</v>
      </c>
      <c r="D84" s="31">
        <f>VLOOKUP($B84,'Tillförd energi'!$B$1:$AI$720,MATCH(D$1,'Tillförd energi'!$B$1:$AQ$1,0),FALSE)</f>
        <v>0.02</v>
      </c>
      <c r="E84" s="31">
        <f>VLOOKUP($B84,'Tillförd energi'!$B$1:$AI$720,MATCH(E$1,'Tillförd energi'!$B$1:$AQ$1,0),FALSE)</f>
        <v>0</v>
      </c>
      <c r="F84" s="31">
        <f>VLOOKUP($B84,'Tillförd energi'!$B$1:$AI$720,MATCH(F$1,'Tillförd energi'!$B$1:$AQ$1,0),FALSE)</f>
        <v>0</v>
      </c>
      <c r="G84" s="31">
        <f>VLOOKUP($B84,'Tillförd energi'!$B$1:$AI$720,MATCH(G$1,'Tillförd energi'!$B$1:$AQ$1,0),FALSE)</f>
        <v>0</v>
      </c>
      <c r="H84" s="31">
        <f>VLOOKUP($B84,'Tillförd energi'!$B$1:$AI$720,MATCH(H$1,'Tillförd energi'!$B$1:$AQ$1,0),FALSE)</f>
        <v>0</v>
      </c>
      <c r="I84" s="31">
        <f>VLOOKUP($B84,'Tillförd energi'!$B$1:$AI$720,MATCH(I$1,'Tillförd energi'!$B$1:$AQ$1,0),FALSE)</f>
        <v>0</v>
      </c>
      <c r="J84" s="31">
        <f>VLOOKUP($B84,'Tillförd energi'!$B$1:$AI$720,MATCH(J$1,'Tillförd energi'!$B$1:$AQ$1,0),FALSE)</f>
        <v>0</v>
      </c>
      <c r="K84" s="31">
        <f>VLOOKUP($B84,'Tillförd energi'!$B$1:$AI$720,MATCH(K$1,'Tillförd energi'!$B$1:$AQ$1,0),FALSE)</f>
        <v>0</v>
      </c>
      <c r="L84" s="31">
        <f>VLOOKUP($B84,'Tillförd energi'!$B$1:$AI$720,MATCH(L$1,'Tillförd energi'!$B$1:$AQ$1,0),FALSE)</f>
        <v>0</v>
      </c>
      <c r="M84" s="31">
        <f>VLOOKUP($B84,'Tillförd energi'!$B$1:$AI$720,MATCH(M$1,'Tillförd energi'!$B$1:$AQ$1,0),FALSE)</f>
        <v>0</v>
      </c>
      <c r="N84" s="31">
        <f>VLOOKUP($B84,'Tillförd energi'!$B$1:$AI$720,MATCH(N$1,'Tillförd energi'!$B$1:$AQ$1,0),FALSE)</f>
        <v>0</v>
      </c>
      <c r="O84" s="31">
        <f>VLOOKUP($B84,'Tillförd energi'!$B$1:$AI$720,MATCH(O$1,'Tillförd energi'!$B$1:$AQ$1,0),FALSE)</f>
        <v>0</v>
      </c>
      <c r="P84" s="31">
        <f>VLOOKUP($B84,'Tillförd energi'!$B$1:$AI$720,MATCH(P$1,'Tillförd energi'!$B$1:$AQ$1,0),FALSE)</f>
        <v>0</v>
      </c>
      <c r="Q84" s="31">
        <f>VLOOKUP($B84,'Tillförd energi'!$B$1:$AI$720,MATCH(Q$1,'Tillförd energi'!$B$1:$AQ$1,0),FALSE)</f>
        <v>0</v>
      </c>
      <c r="R84" s="31">
        <f>VLOOKUP($B84,'Tillförd energi'!$B$1:$AI$720,MATCH(R$1,'Tillförd energi'!$B$1:$AQ$1,0),FALSE)</f>
        <v>6.1</v>
      </c>
      <c r="S84" s="31">
        <f>VLOOKUP($B84,'Tillförd energi'!$B$1:$AI$720,MATCH(S$1,'Tillförd energi'!$B$1:$AQ$1,0),FALSE)</f>
        <v>0</v>
      </c>
      <c r="T84" s="31">
        <f>VLOOKUP($B84,'Tillförd energi'!$B$1:$AI$720,MATCH(T$1,'Tillförd energi'!$B$1:$AQ$1,0),FALSE)</f>
        <v>0</v>
      </c>
      <c r="U84" s="31">
        <f>VLOOKUP($B84,'Tillförd energi'!$B$1:$AI$720,MATCH(U$1,'Tillförd energi'!$B$1:$AQ$1,0),FALSE)</f>
        <v>0</v>
      </c>
      <c r="V84" s="31">
        <f>VLOOKUP($B84,'Tillförd energi'!$B$1:$AI$720,MATCH(V$1,'Tillförd energi'!$B$1:$AQ$1,0),FALSE)</f>
        <v>0</v>
      </c>
      <c r="W84" s="31">
        <f>VLOOKUP($B84,'Tillförd energi'!$B$1:$AI$720,MATCH(W$1,'Tillförd energi'!$B$1:$AQ$1,0),FALSE)</f>
        <v>0</v>
      </c>
      <c r="X84" s="31">
        <f>VLOOKUP($B84,'Tillförd energi'!$B$1:$AI$720,MATCH(X$1,'Tillförd energi'!$B$1:$AQ$1,0),FALSE)</f>
        <v>0</v>
      </c>
      <c r="Y84" s="31">
        <f>VLOOKUP($B84,'Tillförd energi'!$B$1:$AI$720,MATCH(Y$1,'Tillförd energi'!$B$1:$AQ$1,0),FALSE)</f>
        <v>0</v>
      </c>
      <c r="Z84" s="31">
        <f>VLOOKUP($B84,'Tillförd energi'!$B$1:$AI$720,MATCH(Z$1,'Tillförd energi'!$B$1:$AQ$1,0),FALSE)</f>
        <v>0</v>
      </c>
      <c r="AA84" s="31">
        <f>VLOOKUP($B84,'Tillförd energi'!$B$1:$AI$720,MATCH(AA$1,'Tillförd energi'!$B$1:$AQ$1,0),FALSE)</f>
        <v>0</v>
      </c>
      <c r="AB84" s="31">
        <f>VLOOKUP($B84,'Tillförd energi'!$B$1:$AI$720,MATCH(AB$1,'Tillförd energi'!$B$1:$AQ$1,0),FALSE)</f>
        <v>0</v>
      </c>
      <c r="AC84" s="31">
        <f>VLOOKUP($B84,'Tillförd energi'!$B$1:$AI$720,MATCH(AC$1,'Tillförd energi'!$B$1:$AQ$1,0),FALSE)</f>
        <v>0</v>
      </c>
      <c r="AD84" s="31">
        <f>VLOOKUP($B84,'Tillförd energi'!$B$1:$AI$720,MATCH(AD$1,'Tillförd energi'!$B$1:$AQ$1,0),FALSE)</f>
        <v>0</v>
      </c>
      <c r="AE84" s="31">
        <f>VLOOKUP($B84,'Tillförd energi'!$B$1:$AI$720,MATCH(AE$1,'Tillförd energi'!$B$1:$AQ$1,0),FALSE)</f>
        <v>0</v>
      </c>
      <c r="AF84" s="31">
        <f>VLOOKUP($B84,'Tillförd energi'!$B$1:$AI$720,MATCH(AF$1,'Tillförd energi'!$B$1:$AQ$1,0),FALSE)</f>
        <v>0.1</v>
      </c>
      <c r="AG84" s="31">
        <f>IFERROR(VLOOKUP(B84,Miljö!$B$1:$AC$550,MATCH("Köpt mängd produktionsspecifik fjärrvärme:",Miljö!$B$1:$AC$1,0),FALSE)/1,0)</f>
        <v>0</v>
      </c>
      <c r="AI84" s="31">
        <f t="shared" si="23"/>
        <v>6.2199999999999989</v>
      </c>
      <c r="AJ84" s="31">
        <f t="shared" si="24"/>
        <v>6.2199999999999989</v>
      </c>
      <c r="AK84" s="31">
        <f>IF(ISERROR(1/VLOOKUP($B84,Leveranser!$B$1:$S$499,MATCH("Såld värme (GWh)",Leveranser!$B$1:$S$1,0),FALSE)),"",VLOOKUP($B84,Leveranser!$B$1:$S$499,MATCH("Såld värme (GWh)",Leveranser!$B$1:$S$1,0),FALSE))</f>
        <v>4.8499999999999996</v>
      </c>
      <c r="AL84" s="31">
        <f>VLOOKUP($B84,Leveranser!$B$1:$Y$499,MATCH("Totalt såld fjärrvärme till andra fjärrvärmeföretag",Leveranser!$B$1:$AA$1,0),FALSE)</f>
        <v>0</v>
      </c>
      <c r="AM84" s="31">
        <f>IF(ISERROR(1/VLOOKUP($B84,Miljö!$B$1:$S$500,MATCH("Såld mängd produktionsspecifik fjärrvärme (GWh)",Miljö!$B$1:$R$1,0),FALSE)),0,VLOOKUP($B84,Miljö!$B$1:$S$500,MATCH("Såld mängd produktionsspecifik fjärrvärme (GWh)",Miljö!$B$1:$R$1,0),FALSE))</f>
        <v>0</v>
      </c>
      <c r="AN84" s="32">
        <f t="shared" si="25"/>
        <v>0.77974276527331199</v>
      </c>
      <c r="AP84" s="31" t="str">
        <f>IFERROR(VLOOKUP($B84,Miljövärden!$B$2:$H$550,7,FALSE),"Nej, saknas")</f>
        <v>Ja</v>
      </c>
      <c r="AQ84" s="31" t="str">
        <f>IFERROR(VLOOKUP($B84,Miljövärden!$B$2:$H$551,6,FALSE),"Nej, saknas")</f>
        <v>Ja</v>
      </c>
      <c r="AU84" s="31">
        <f t="shared" si="26"/>
        <v>0.1</v>
      </c>
      <c r="AV84" s="31">
        <f t="shared" si="27"/>
        <v>0</v>
      </c>
      <c r="AW84" s="31">
        <f t="shared" si="28"/>
        <v>0</v>
      </c>
      <c r="AX84" s="31">
        <f t="shared" si="29"/>
        <v>6.1</v>
      </c>
      <c r="AZ84" s="31">
        <f t="shared" si="30"/>
        <v>6.1</v>
      </c>
      <c r="BC84" s="31">
        <f t="shared" si="31"/>
        <v>0.02</v>
      </c>
      <c r="BD84" s="31">
        <f t="shared" si="32"/>
        <v>0</v>
      </c>
      <c r="BE84" s="31">
        <f t="shared" si="33"/>
        <v>6.1</v>
      </c>
      <c r="BF84" s="31">
        <f t="shared" si="34"/>
        <v>0</v>
      </c>
      <c r="BG84" s="31">
        <f t="shared" si="35"/>
        <v>0.1</v>
      </c>
      <c r="BH84" s="31">
        <f>VLOOKUP(B84,Miljö!$B$1:$BX$482,MATCH("Fossilandel för ursprungspecificerad el ()",Miljö!$B$1:$I$1,0),FALSE)</f>
        <v>0</v>
      </c>
      <c r="BI84" s="31">
        <f>VLOOKUP(B84,Miljö!$B$1:$BX$482,MATCH("Kärnkraftsandel för ursprungsspecificerad el ()",Miljö!$B$1:$O$1,0),FALSE)</f>
        <v>0</v>
      </c>
      <c r="BJ84" s="31">
        <f t="shared" si="36"/>
        <v>0</v>
      </c>
      <c r="BK84" s="31" t="str">
        <f>VLOOKUP(B84,Miljö!$B$1:$P$482,MATCH("Fossil andel i procent (%)",Miljö!$B$1:$P$1,0),FALSE)</f>
        <v>ET</v>
      </c>
      <c r="BL84" s="31">
        <f t="shared" si="37"/>
        <v>6.2199999999999989</v>
      </c>
      <c r="BO84" s="32">
        <f t="shared" si="38"/>
        <v>3.215434083601287E-3</v>
      </c>
      <c r="BP84" s="32">
        <f t="shared" si="39"/>
        <v>0</v>
      </c>
      <c r="BQ84" s="32">
        <f t="shared" si="40"/>
        <v>0.99678456591639875</v>
      </c>
      <c r="BR84" s="32">
        <f t="shared" si="41"/>
        <v>0</v>
      </c>
      <c r="BT84" s="62">
        <f t="shared" si="42"/>
        <v>1</v>
      </c>
      <c r="BW84" s="32">
        <f>IF(AP84="Ja",VLOOKUP(B84,Miljövärden!$B$2:$H$551,MATCH("Total andel fossilt",Miljövärden!$B$2:$H$2,0),FALSE),"")</f>
        <v>3.21543E-3</v>
      </c>
      <c r="BX84" s="62">
        <f t="shared" si="43"/>
        <v>-4.0836012869804872E-9</v>
      </c>
      <c r="BZ84" s="31">
        <f t="shared" si="44"/>
        <v>-4.0836012869804872E-9</v>
      </c>
      <c r="CA84" s="32">
        <f t="shared" si="45"/>
        <v>0</v>
      </c>
    </row>
    <row r="85" spans="1:79" x14ac:dyDescent="0.45">
      <c r="A85" s="31" t="s">
        <v>580</v>
      </c>
      <c r="B85" s="31" t="s">
        <v>579</v>
      </c>
      <c r="C85" s="31">
        <f>VLOOKUP($B85,'Tillförd energi'!$B$1:$AI$720,MATCH(C$1,'Tillförd energi'!$B$1:$AQ$1,0),FALSE)</f>
        <v>0</v>
      </c>
      <c r="D85" s="31">
        <f>VLOOKUP($B85,'Tillförd energi'!$B$1:$AI$720,MATCH(D$1,'Tillförd energi'!$B$1:$AQ$1,0),FALSE)</f>
        <v>1.3</v>
      </c>
      <c r="E85" s="31">
        <f>VLOOKUP($B85,'Tillförd energi'!$B$1:$AI$720,MATCH(E$1,'Tillförd energi'!$B$1:$AQ$1,0),FALSE)</f>
        <v>0</v>
      </c>
      <c r="F85" s="31">
        <f>VLOOKUP($B85,'Tillförd energi'!$B$1:$AI$720,MATCH(F$1,'Tillförd energi'!$B$1:$AQ$1,0),FALSE)</f>
        <v>0</v>
      </c>
      <c r="G85" s="31">
        <f>VLOOKUP($B85,'Tillförd energi'!$B$1:$AI$720,MATCH(G$1,'Tillförd energi'!$B$1:$AQ$1,0),FALSE)</f>
        <v>0</v>
      </c>
      <c r="H85" s="31">
        <f>VLOOKUP($B85,'Tillförd energi'!$B$1:$AI$720,MATCH(H$1,'Tillförd energi'!$B$1:$AQ$1,0),FALSE)</f>
        <v>0</v>
      </c>
      <c r="I85" s="31">
        <f>VLOOKUP($B85,'Tillförd energi'!$B$1:$AI$720,MATCH(I$1,'Tillförd energi'!$B$1:$AQ$1,0),FALSE)</f>
        <v>69.099999999999994</v>
      </c>
      <c r="J85" s="31">
        <f>VLOOKUP($B85,'Tillförd energi'!$B$1:$AI$720,MATCH(J$1,'Tillförd energi'!$B$1:$AQ$1,0),FALSE)</f>
        <v>0</v>
      </c>
      <c r="K85" s="31">
        <f>VLOOKUP($B85,'Tillförd energi'!$B$1:$AI$720,MATCH(K$1,'Tillförd energi'!$B$1:$AQ$1,0),FALSE)</f>
        <v>0</v>
      </c>
      <c r="L85" s="31">
        <f>VLOOKUP($B85,'Tillförd energi'!$B$1:$AI$720,MATCH(L$1,'Tillförd energi'!$B$1:$AQ$1,0),FALSE)</f>
        <v>3.7</v>
      </c>
      <c r="M85" s="31">
        <f>VLOOKUP($B85,'Tillförd energi'!$B$1:$AI$720,MATCH(M$1,'Tillförd energi'!$B$1:$AQ$1,0),FALSE)</f>
        <v>0</v>
      </c>
      <c r="N85" s="31">
        <f>VLOOKUP($B85,'Tillförd energi'!$B$1:$AI$720,MATCH(N$1,'Tillförd energi'!$B$1:$AQ$1,0),FALSE)</f>
        <v>43.3</v>
      </c>
      <c r="O85" s="31">
        <f>VLOOKUP($B85,'Tillförd energi'!$B$1:$AI$720,MATCH(O$1,'Tillförd energi'!$B$1:$AQ$1,0),FALSE)</f>
        <v>0</v>
      </c>
      <c r="P85" s="31">
        <f>VLOOKUP($B85,'Tillförd energi'!$B$1:$AI$720,MATCH(P$1,'Tillförd energi'!$B$1:$AQ$1,0),FALSE)</f>
        <v>0</v>
      </c>
      <c r="Q85" s="31">
        <f>VLOOKUP($B85,'Tillförd energi'!$B$1:$AI$720,MATCH(Q$1,'Tillförd energi'!$B$1:$AQ$1,0),FALSE)</f>
        <v>0</v>
      </c>
      <c r="R85" s="31">
        <f>VLOOKUP($B85,'Tillförd energi'!$B$1:$AI$720,MATCH(R$1,'Tillförd energi'!$B$1:$AQ$1,0),FALSE)</f>
        <v>0</v>
      </c>
      <c r="S85" s="31">
        <f>VLOOKUP($B85,'Tillförd energi'!$B$1:$AI$720,MATCH(S$1,'Tillförd energi'!$B$1:$AQ$1,0),FALSE)</f>
        <v>0</v>
      </c>
      <c r="T85" s="31">
        <f>VLOOKUP($B85,'Tillförd energi'!$B$1:$AI$720,MATCH(T$1,'Tillförd energi'!$B$1:$AQ$1,0),FALSE)</f>
        <v>0</v>
      </c>
      <c r="U85" s="31">
        <f>VLOOKUP($B85,'Tillförd energi'!$B$1:$AI$720,MATCH(U$1,'Tillförd energi'!$B$1:$AQ$1,0),FALSE)</f>
        <v>0</v>
      </c>
      <c r="V85" s="31">
        <f>VLOOKUP($B85,'Tillförd energi'!$B$1:$AI$720,MATCH(V$1,'Tillförd energi'!$B$1:$AQ$1,0),FALSE)</f>
        <v>0</v>
      </c>
      <c r="W85" s="31">
        <f>VLOOKUP($B85,'Tillförd energi'!$B$1:$AI$720,MATCH(W$1,'Tillförd energi'!$B$1:$AQ$1,0),FALSE)</f>
        <v>7.7</v>
      </c>
      <c r="X85" s="31">
        <f>VLOOKUP($B85,'Tillförd energi'!$B$1:$AI$720,MATCH(X$1,'Tillförd energi'!$B$1:$AQ$1,0),FALSE)</f>
        <v>0</v>
      </c>
      <c r="Y85" s="31">
        <f>VLOOKUP($B85,'Tillförd energi'!$B$1:$AI$720,MATCH(Y$1,'Tillförd energi'!$B$1:$AQ$1,0),FALSE)</f>
        <v>0</v>
      </c>
      <c r="Z85" s="31">
        <f>VLOOKUP($B85,'Tillförd energi'!$B$1:$AI$720,MATCH(Z$1,'Tillförd energi'!$B$1:$AQ$1,0),FALSE)</f>
        <v>0</v>
      </c>
      <c r="AA85" s="31">
        <f>VLOOKUP($B85,'Tillförd energi'!$B$1:$AI$720,MATCH(AA$1,'Tillförd energi'!$B$1:$AQ$1,0),FALSE)</f>
        <v>0</v>
      </c>
      <c r="AB85" s="31">
        <f>VLOOKUP($B85,'Tillförd energi'!$B$1:$AI$720,MATCH(AB$1,'Tillförd energi'!$B$1:$AQ$1,0),FALSE)</f>
        <v>0</v>
      </c>
      <c r="AC85" s="31">
        <f>VLOOKUP($B85,'Tillförd energi'!$B$1:$AI$720,MATCH(AC$1,'Tillförd energi'!$B$1:$AQ$1,0),FALSE)</f>
        <v>0</v>
      </c>
      <c r="AD85" s="31">
        <f>VLOOKUP($B85,'Tillförd energi'!$B$1:$AI$720,MATCH(AD$1,'Tillförd energi'!$B$1:$AQ$1,0),FALSE)</f>
        <v>16.5</v>
      </c>
      <c r="AE85" s="31">
        <f>VLOOKUP($B85,'Tillförd energi'!$B$1:$AI$720,MATCH(AE$1,'Tillförd energi'!$B$1:$AQ$1,0),FALSE)</f>
        <v>0</v>
      </c>
      <c r="AF85" s="31">
        <f>VLOOKUP($B85,'Tillförd energi'!$B$1:$AI$720,MATCH(AF$1,'Tillförd energi'!$B$1:$AQ$1,0),FALSE)</f>
        <v>4</v>
      </c>
      <c r="AG85" s="31">
        <f>IFERROR(VLOOKUP(B85,Miljö!$B$1:$AC$550,MATCH("Köpt mängd produktionsspecifik fjärrvärme:",Miljö!$B$1:$AC$1,0),FALSE)/1,0)</f>
        <v>0</v>
      </c>
      <c r="AI85" s="31">
        <f t="shared" si="23"/>
        <v>145.6</v>
      </c>
      <c r="AJ85" s="31">
        <f t="shared" si="24"/>
        <v>145.6</v>
      </c>
      <c r="AK85" s="31">
        <f>IF(ISERROR(1/VLOOKUP($B85,Leveranser!$B$1:$S$499,MATCH("Såld värme (GWh)",Leveranser!$B$1:$S$1,0),FALSE)),"",VLOOKUP($B85,Leveranser!$B$1:$S$499,MATCH("Såld värme (GWh)",Leveranser!$B$1:$S$1,0),FALSE))</f>
        <v>110</v>
      </c>
      <c r="AL85" s="31">
        <f>VLOOKUP($B85,Leveranser!$B$1:$Y$499,MATCH("Totalt såld fjärrvärme till andra fjärrvärmeföretag",Leveranser!$B$1:$AA$1,0),FALSE)</f>
        <v>0</v>
      </c>
      <c r="AM85" s="31">
        <f>IF(ISERROR(1/VLOOKUP($B85,Miljö!$B$1:$S$500,MATCH("Såld mängd produktionsspecifik fjärrvärme (GWh)",Miljö!$B$1:$R$1,0),FALSE)),0,VLOOKUP($B85,Miljö!$B$1:$S$500,MATCH("Såld mängd produktionsspecifik fjärrvärme (GWh)",Miljö!$B$1:$R$1,0),FALSE))</f>
        <v>0</v>
      </c>
      <c r="AN85" s="32">
        <f t="shared" si="25"/>
        <v>0.75549450549450547</v>
      </c>
      <c r="AP85" s="31" t="str">
        <f>IFERROR(VLOOKUP($B85,Miljövärden!$B$2:$H$550,7,FALSE),"Nej, saknas")</f>
        <v>Ja</v>
      </c>
      <c r="AQ85" s="31" t="str">
        <f>IFERROR(VLOOKUP($B85,Miljövärden!$B$2:$H$551,6,FALSE),"Nej, saknas")</f>
        <v>Ja</v>
      </c>
      <c r="AU85" s="31">
        <f t="shared" si="26"/>
        <v>4</v>
      </c>
      <c r="AV85" s="31">
        <f t="shared" si="27"/>
        <v>0</v>
      </c>
      <c r="AW85" s="31">
        <f t="shared" si="28"/>
        <v>43.3</v>
      </c>
      <c r="AX85" s="31">
        <f t="shared" si="29"/>
        <v>0</v>
      </c>
      <c r="AZ85" s="31">
        <f t="shared" si="30"/>
        <v>54.7</v>
      </c>
      <c r="BC85" s="31">
        <f t="shared" si="31"/>
        <v>1.3</v>
      </c>
      <c r="BD85" s="31">
        <f t="shared" si="32"/>
        <v>0</v>
      </c>
      <c r="BE85" s="31">
        <f t="shared" si="33"/>
        <v>51</v>
      </c>
      <c r="BF85" s="31">
        <f t="shared" si="34"/>
        <v>89.3</v>
      </c>
      <c r="BG85" s="31">
        <f t="shared" si="35"/>
        <v>4</v>
      </c>
      <c r="BH85" s="31">
        <f>VLOOKUP(B85,Miljö!$B$1:$BX$482,MATCH("Fossilandel för ursprungspecificerad el ()",Miljö!$B$1:$I$1,0),FALSE)</f>
        <v>0</v>
      </c>
      <c r="BI85" s="31">
        <f>VLOOKUP(B85,Miljö!$B$1:$BX$482,MATCH("Kärnkraftsandel för ursprungsspecificerad el ()",Miljö!$B$1:$O$1,0),FALSE)</f>
        <v>0</v>
      </c>
      <c r="BJ85" s="31">
        <f t="shared" si="36"/>
        <v>0</v>
      </c>
      <c r="BK85" s="31" t="str">
        <f>VLOOKUP(B85,Miljö!$B$1:$P$482,MATCH("Fossil andel i procent (%)",Miljö!$B$1:$P$1,0),FALSE)</f>
        <v>ET</v>
      </c>
      <c r="BL85" s="31">
        <f t="shared" si="37"/>
        <v>145.6</v>
      </c>
      <c r="BO85" s="32">
        <f t="shared" si="38"/>
        <v>8.9285714285714298E-3</v>
      </c>
      <c r="BP85" s="32">
        <f t="shared" si="39"/>
        <v>0</v>
      </c>
      <c r="BQ85" s="32">
        <f t="shared" si="40"/>
        <v>0.37774725274725274</v>
      </c>
      <c r="BR85" s="32">
        <f t="shared" si="41"/>
        <v>0.61332417582417587</v>
      </c>
      <c r="BT85" s="62">
        <f t="shared" si="42"/>
        <v>1</v>
      </c>
      <c r="BW85" s="32">
        <f>IF(AP85="Ja",VLOOKUP(B85,Miljövärden!$B$2:$H$551,MATCH("Total andel fossilt",Miljövärden!$B$2:$H$2,0),FALSE),"")</f>
        <v>8.9285700000000003E-3</v>
      </c>
      <c r="BX85" s="62">
        <f t="shared" si="43"/>
        <v>-1.4285714295542151E-9</v>
      </c>
      <c r="BZ85" s="31">
        <f t="shared" si="44"/>
        <v>-1.4285714295542151E-9</v>
      </c>
      <c r="CA85" s="32">
        <f t="shared" si="45"/>
        <v>0</v>
      </c>
    </row>
    <row r="86" spans="1:79" x14ac:dyDescent="0.45">
      <c r="A86" s="31" t="s">
        <v>576</v>
      </c>
      <c r="B86" s="31" t="s">
        <v>578</v>
      </c>
      <c r="C86" s="31">
        <f>VLOOKUP($B86,'Tillförd energi'!$B$1:$AI$720,MATCH(C$1,'Tillförd energi'!$B$1:$AQ$1,0),FALSE)</f>
        <v>0</v>
      </c>
      <c r="D86" s="31">
        <f>VLOOKUP($B86,'Tillförd energi'!$B$1:$AI$720,MATCH(D$1,'Tillförd energi'!$B$1:$AQ$1,0),FALSE)</f>
        <v>0.04</v>
      </c>
      <c r="E86" s="31">
        <f>VLOOKUP($B86,'Tillförd energi'!$B$1:$AI$720,MATCH(E$1,'Tillförd energi'!$B$1:$AQ$1,0),FALSE)</f>
        <v>0</v>
      </c>
      <c r="F86" s="31">
        <f>VLOOKUP($B86,'Tillförd energi'!$B$1:$AI$720,MATCH(F$1,'Tillförd energi'!$B$1:$AQ$1,0),FALSE)</f>
        <v>0</v>
      </c>
      <c r="G86" s="31">
        <f>VLOOKUP($B86,'Tillförd energi'!$B$1:$AI$720,MATCH(G$1,'Tillförd energi'!$B$1:$AQ$1,0),FALSE)</f>
        <v>0</v>
      </c>
      <c r="H86" s="31">
        <f>VLOOKUP($B86,'Tillförd energi'!$B$1:$AI$720,MATCH(H$1,'Tillförd energi'!$B$1:$AQ$1,0),FALSE)</f>
        <v>0</v>
      </c>
      <c r="I86" s="31">
        <f>VLOOKUP($B86,'Tillförd energi'!$B$1:$AI$720,MATCH(I$1,'Tillförd energi'!$B$1:$AQ$1,0),FALSE)</f>
        <v>0</v>
      </c>
      <c r="J86" s="31">
        <f>VLOOKUP($B86,'Tillförd energi'!$B$1:$AI$720,MATCH(J$1,'Tillförd energi'!$B$1:$AQ$1,0),FALSE)</f>
        <v>0</v>
      </c>
      <c r="K86" s="31">
        <f>VLOOKUP($B86,'Tillförd energi'!$B$1:$AI$720,MATCH(K$1,'Tillförd energi'!$B$1:$AQ$1,0),FALSE)</f>
        <v>0</v>
      </c>
      <c r="L86" s="31">
        <f>VLOOKUP($B86,'Tillförd energi'!$B$1:$AI$720,MATCH(L$1,'Tillförd energi'!$B$1:$AQ$1,0),FALSE)</f>
        <v>0</v>
      </c>
      <c r="M86" s="31">
        <f>VLOOKUP($B86,'Tillförd energi'!$B$1:$AI$720,MATCH(M$1,'Tillförd energi'!$B$1:$AQ$1,0),FALSE)</f>
        <v>9.3000000000000007</v>
      </c>
      <c r="N86" s="31">
        <f>VLOOKUP($B86,'Tillförd energi'!$B$1:$AI$720,MATCH(N$1,'Tillförd energi'!$B$1:$AQ$1,0),FALSE)</f>
        <v>24.46</v>
      </c>
      <c r="O86" s="31">
        <f>VLOOKUP($B86,'Tillförd energi'!$B$1:$AI$720,MATCH(O$1,'Tillförd energi'!$B$1:$AQ$1,0),FALSE)</f>
        <v>0</v>
      </c>
      <c r="P86" s="31">
        <f>VLOOKUP($B86,'Tillförd energi'!$B$1:$AI$720,MATCH(P$1,'Tillförd energi'!$B$1:$AQ$1,0),FALSE)</f>
        <v>10.3</v>
      </c>
      <c r="Q86" s="31">
        <f>VLOOKUP($B86,'Tillförd energi'!$B$1:$AI$720,MATCH(Q$1,'Tillförd energi'!$B$1:$AQ$1,0),FALSE)</f>
        <v>0</v>
      </c>
      <c r="R86" s="31">
        <f>VLOOKUP($B86,'Tillförd energi'!$B$1:$AI$720,MATCH(R$1,'Tillförd energi'!$B$1:$AQ$1,0),FALSE)</f>
        <v>0</v>
      </c>
      <c r="S86" s="31">
        <f>VLOOKUP($B86,'Tillförd energi'!$B$1:$AI$720,MATCH(S$1,'Tillförd energi'!$B$1:$AQ$1,0),FALSE)</f>
        <v>0</v>
      </c>
      <c r="T86" s="31">
        <f>VLOOKUP($B86,'Tillförd energi'!$B$1:$AI$720,MATCH(T$1,'Tillförd energi'!$B$1:$AQ$1,0),FALSE)</f>
        <v>0</v>
      </c>
      <c r="U86" s="31">
        <f>VLOOKUP($B86,'Tillförd energi'!$B$1:$AI$720,MATCH(U$1,'Tillförd energi'!$B$1:$AQ$1,0),FALSE)</f>
        <v>0</v>
      </c>
      <c r="V86" s="31">
        <f>VLOOKUP($B86,'Tillförd energi'!$B$1:$AI$720,MATCH(V$1,'Tillförd energi'!$B$1:$AQ$1,0),FALSE)</f>
        <v>0</v>
      </c>
      <c r="W86" s="31">
        <f>VLOOKUP($B86,'Tillförd energi'!$B$1:$AI$720,MATCH(W$1,'Tillförd energi'!$B$1:$AQ$1,0),FALSE)</f>
        <v>0</v>
      </c>
      <c r="X86" s="31">
        <f>VLOOKUP($B86,'Tillförd energi'!$B$1:$AI$720,MATCH(X$1,'Tillförd energi'!$B$1:$AQ$1,0),FALSE)</f>
        <v>0</v>
      </c>
      <c r="Y86" s="31">
        <f>VLOOKUP($B86,'Tillförd energi'!$B$1:$AI$720,MATCH(Y$1,'Tillförd energi'!$B$1:$AQ$1,0),FALSE)</f>
        <v>0</v>
      </c>
      <c r="Z86" s="31">
        <f>VLOOKUP($B86,'Tillförd energi'!$B$1:$AI$720,MATCH(Z$1,'Tillförd energi'!$B$1:$AQ$1,0),FALSE)</f>
        <v>0</v>
      </c>
      <c r="AA86" s="31">
        <f>VLOOKUP($B86,'Tillförd energi'!$B$1:$AI$720,MATCH(AA$1,'Tillförd energi'!$B$1:$AQ$1,0),FALSE)</f>
        <v>0</v>
      </c>
      <c r="AB86" s="31">
        <f>VLOOKUP($B86,'Tillförd energi'!$B$1:$AI$720,MATCH(AB$1,'Tillförd energi'!$B$1:$AQ$1,0),FALSE)</f>
        <v>0</v>
      </c>
      <c r="AC86" s="31">
        <f>VLOOKUP($B86,'Tillförd energi'!$B$1:$AI$720,MATCH(AC$1,'Tillförd energi'!$B$1:$AQ$1,0),FALSE)</f>
        <v>7.1</v>
      </c>
      <c r="AD86" s="31">
        <f>VLOOKUP($B86,'Tillförd energi'!$B$1:$AI$720,MATCH(AD$1,'Tillförd energi'!$B$1:$AQ$1,0),FALSE)</f>
        <v>0.91200000000000003</v>
      </c>
      <c r="AE86" s="31">
        <f>VLOOKUP($B86,'Tillförd energi'!$B$1:$AI$720,MATCH(AE$1,'Tillförd energi'!$B$1:$AQ$1,0),FALSE)</f>
        <v>0</v>
      </c>
      <c r="AF86" s="31">
        <f>VLOOKUP($B86,'Tillförd energi'!$B$1:$AI$720,MATCH(AF$1,'Tillförd energi'!$B$1:$AQ$1,0),FALSE)</f>
        <v>1.1895899999999999</v>
      </c>
      <c r="AG86" s="31">
        <f>IFERROR(VLOOKUP(B86,Miljö!$B$1:$AC$550,MATCH("Köpt mängd produktionsspecifik fjärrvärme:",Miljö!$B$1:$AC$1,0),FALSE)/1,0)</f>
        <v>0</v>
      </c>
      <c r="AI86" s="31">
        <f t="shared" si="23"/>
        <v>53.301589999999997</v>
      </c>
      <c r="AJ86" s="31">
        <f t="shared" si="24"/>
        <v>53.301589999999997</v>
      </c>
      <c r="AK86" s="31">
        <f>IF(ISERROR(1/VLOOKUP($B86,Leveranser!$B$1:$S$499,MATCH("Såld värme (GWh)",Leveranser!$B$1:$S$1,0),FALSE)),"",VLOOKUP($B86,Leveranser!$B$1:$S$499,MATCH("Såld värme (GWh)",Leveranser!$B$1:$S$1,0),FALSE))</f>
        <v>39.652999999999999</v>
      </c>
      <c r="AL86" s="31">
        <f>VLOOKUP($B86,Leveranser!$B$1:$Y$499,MATCH("Totalt såld fjärrvärme till andra fjärrvärmeföretag",Leveranser!$B$1:$AA$1,0),FALSE)</f>
        <v>0</v>
      </c>
      <c r="AM86" s="31">
        <f>IF(ISERROR(1/VLOOKUP($B86,Miljö!$B$1:$S$500,MATCH("Såld mängd produktionsspecifik fjärrvärme (GWh)",Miljö!$B$1:$R$1,0),FALSE)),0,VLOOKUP($B86,Miljö!$B$1:$S$500,MATCH("Såld mängd produktionsspecifik fjärrvärme (GWh)",Miljö!$B$1:$R$1,0),FALSE))</f>
        <v>0</v>
      </c>
      <c r="AN86" s="32">
        <f t="shared" si="25"/>
        <v>0.74393653172447582</v>
      </c>
      <c r="AP86" s="31" t="str">
        <f>IFERROR(VLOOKUP($B86,Miljövärden!$B$2:$H$550,7,FALSE),"Nej, saknas")</f>
        <v>Ja</v>
      </c>
      <c r="AQ86" s="31" t="str">
        <f>IFERROR(VLOOKUP($B86,Miljövärden!$B$2:$H$551,6,FALSE),"Nej, saknas")</f>
        <v>Ja</v>
      </c>
      <c r="AU86" s="31">
        <f t="shared" si="26"/>
        <v>1.1895899999999999</v>
      </c>
      <c r="AV86" s="31">
        <f t="shared" si="27"/>
        <v>0</v>
      </c>
      <c r="AW86" s="31">
        <f t="shared" si="28"/>
        <v>44.06</v>
      </c>
      <c r="AX86" s="31">
        <f t="shared" si="29"/>
        <v>0</v>
      </c>
      <c r="AZ86" s="31">
        <f t="shared" si="30"/>
        <v>44.06</v>
      </c>
      <c r="BC86" s="31">
        <f t="shared" si="31"/>
        <v>0.04</v>
      </c>
      <c r="BD86" s="31">
        <f t="shared" si="32"/>
        <v>0</v>
      </c>
      <c r="BE86" s="31">
        <f t="shared" si="33"/>
        <v>44.06</v>
      </c>
      <c r="BF86" s="31">
        <f t="shared" si="34"/>
        <v>8.0120000000000005</v>
      </c>
      <c r="BG86" s="31">
        <f t="shared" si="35"/>
        <v>1.1895899999999999</v>
      </c>
      <c r="BH86" s="31">
        <f>VLOOKUP(B86,Miljö!$B$1:$BX$482,MATCH("Fossilandel för ursprungspecificerad el ()",Miljö!$B$1:$I$1,0),FALSE)</f>
        <v>0</v>
      </c>
      <c r="BI86" s="31">
        <f>VLOOKUP(B86,Miljö!$B$1:$BX$482,MATCH("Kärnkraftsandel för ursprungsspecificerad el ()",Miljö!$B$1:$O$1,0),FALSE)</f>
        <v>0</v>
      </c>
      <c r="BJ86" s="31">
        <f t="shared" si="36"/>
        <v>0</v>
      </c>
      <c r="BK86" s="31" t="str">
        <f>VLOOKUP(B86,Miljö!$B$1:$P$482,MATCH("Fossil andel i procent (%)",Miljö!$B$1:$P$1,0),FALSE)</f>
        <v>ET</v>
      </c>
      <c r="BL86" s="31">
        <f t="shared" si="37"/>
        <v>53.301590000000004</v>
      </c>
      <c r="BO86" s="32">
        <f t="shared" si="38"/>
        <v>7.504466564693473E-4</v>
      </c>
      <c r="BP86" s="32">
        <f t="shared" si="39"/>
        <v>0</v>
      </c>
      <c r="BQ86" s="32">
        <f t="shared" si="40"/>
        <v>0.84893508805272044</v>
      </c>
      <c r="BR86" s="32">
        <f t="shared" si="41"/>
        <v>0.15031446529081027</v>
      </c>
      <c r="BT86" s="62">
        <f t="shared" si="42"/>
        <v>1</v>
      </c>
      <c r="BW86" s="32">
        <f>IF(AP86="Ja",VLOOKUP(B86,Miljövärden!$B$2:$H$551,MATCH("Total andel fossilt",Miljövärden!$B$2:$H$2,0),FALSE),"")</f>
        <v>7.5044700000000001E-4</v>
      </c>
      <c r="BX86" s="62">
        <f t="shared" si="43"/>
        <v>3.4353065270914529E-10</v>
      </c>
      <c r="BZ86" s="31">
        <f t="shared" si="44"/>
        <v>3.4353065270914529E-10</v>
      </c>
      <c r="CA86" s="32">
        <f t="shared" si="45"/>
        <v>0</v>
      </c>
    </row>
    <row r="87" spans="1:79" x14ac:dyDescent="0.45">
      <c r="A87" s="31" t="s">
        <v>576</v>
      </c>
      <c r="B87" s="31" t="s">
        <v>577</v>
      </c>
      <c r="C87" s="31">
        <f>VLOOKUP($B87,'Tillförd energi'!$B$1:$AI$720,MATCH(C$1,'Tillförd energi'!$B$1:$AQ$1,0),FALSE)</f>
        <v>0</v>
      </c>
      <c r="D87" s="31">
        <f>VLOOKUP($B87,'Tillförd energi'!$B$1:$AI$720,MATCH(D$1,'Tillförd energi'!$B$1:$AQ$1,0),FALSE)</f>
        <v>0</v>
      </c>
      <c r="E87" s="31">
        <f>VLOOKUP($B87,'Tillförd energi'!$B$1:$AI$720,MATCH(E$1,'Tillförd energi'!$B$1:$AQ$1,0),FALSE)</f>
        <v>0</v>
      </c>
      <c r="F87" s="31">
        <f>VLOOKUP($B87,'Tillförd energi'!$B$1:$AI$720,MATCH(F$1,'Tillförd energi'!$B$1:$AQ$1,0),FALSE)</f>
        <v>0</v>
      </c>
      <c r="G87" s="31">
        <f>VLOOKUP($B87,'Tillförd energi'!$B$1:$AI$720,MATCH(G$1,'Tillförd energi'!$B$1:$AQ$1,0),FALSE)</f>
        <v>0</v>
      </c>
      <c r="H87" s="31">
        <f>VLOOKUP($B87,'Tillförd energi'!$B$1:$AI$720,MATCH(H$1,'Tillförd energi'!$B$1:$AQ$1,0),FALSE)</f>
        <v>0</v>
      </c>
      <c r="I87" s="31">
        <f>VLOOKUP($B87,'Tillförd energi'!$B$1:$AI$720,MATCH(I$1,'Tillförd energi'!$B$1:$AQ$1,0),FALSE)</f>
        <v>0</v>
      </c>
      <c r="J87" s="31">
        <f>VLOOKUP($B87,'Tillförd energi'!$B$1:$AI$720,MATCH(J$1,'Tillförd energi'!$B$1:$AQ$1,0),FALSE)</f>
        <v>0</v>
      </c>
      <c r="K87" s="31">
        <f>VLOOKUP($B87,'Tillförd energi'!$B$1:$AI$720,MATCH(K$1,'Tillförd energi'!$B$1:$AQ$1,0),FALSE)</f>
        <v>0</v>
      </c>
      <c r="L87" s="31">
        <f>VLOOKUP($B87,'Tillförd energi'!$B$1:$AI$720,MATCH(L$1,'Tillförd energi'!$B$1:$AQ$1,0),FALSE)</f>
        <v>0</v>
      </c>
      <c r="M87" s="31">
        <f>VLOOKUP($B87,'Tillförd energi'!$B$1:$AI$720,MATCH(M$1,'Tillförd energi'!$B$1:$AQ$1,0),FALSE)</f>
        <v>0</v>
      </c>
      <c r="N87" s="31">
        <f>VLOOKUP($B87,'Tillförd energi'!$B$1:$AI$720,MATCH(N$1,'Tillförd energi'!$B$1:$AQ$1,0),FALSE)</f>
        <v>0</v>
      </c>
      <c r="O87" s="31">
        <f>VLOOKUP($B87,'Tillförd energi'!$B$1:$AI$720,MATCH(O$1,'Tillförd energi'!$B$1:$AQ$1,0),FALSE)</f>
        <v>0</v>
      </c>
      <c r="P87" s="31">
        <f>VLOOKUP($B87,'Tillförd energi'!$B$1:$AI$720,MATCH(P$1,'Tillförd energi'!$B$1:$AQ$1,0),FALSE)</f>
        <v>0</v>
      </c>
      <c r="Q87" s="31">
        <f>VLOOKUP($B87,'Tillförd energi'!$B$1:$AI$720,MATCH(Q$1,'Tillförd energi'!$B$1:$AQ$1,0),FALSE)</f>
        <v>5.7388199999999996</v>
      </c>
      <c r="R87" s="31">
        <f>VLOOKUP($B87,'Tillförd energi'!$B$1:$AI$720,MATCH(R$1,'Tillförd energi'!$B$1:$AQ$1,0),FALSE)</f>
        <v>0</v>
      </c>
      <c r="S87" s="31">
        <f>VLOOKUP($B87,'Tillförd energi'!$B$1:$AI$720,MATCH(S$1,'Tillförd energi'!$B$1:$AQ$1,0),FALSE)</f>
        <v>0</v>
      </c>
      <c r="T87" s="31">
        <f>VLOOKUP($B87,'Tillförd energi'!$B$1:$AI$720,MATCH(T$1,'Tillförd energi'!$B$1:$AQ$1,0),FALSE)</f>
        <v>0</v>
      </c>
      <c r="U87" s="31">
        <f>VLOOKUP($B87,'Tillförd energi'!$B$1:$AI$720,MATCH(U$1,'Tillförd energi'!$B$1:$AQ$1,0),FALSE)</f>
        <v>0</v>
      </c>
      <c r="V87" s="31">
        <f>VLOOKUP($B87,'Tillförd energi'!$B$1:$AI$720,MATCH(V$1,'Tillförd energi'!$B$1:$AQ$1,0),FALSE)</f>
        <v>0</v>
      </c>
      <c r="W87" s="31">
        <f>VLOOKUP($B87,'Tillförd energi'!$B$1:$AI$720,MATCH(W$1,'Tillförd energi'!$B$1:$AQ$1,0),FALSE)</f>
        <v>0</v>
      </c>
      <c r="X87" s="31">
        <f>VLOOKUP($B87,'Tillförd energi'!$B$1:$AI$720,MATCH(X$1,'Tillförd energi'!$B$1:$AQ$1,0),FALSE)</f>
        <v>0</v>
      </c>
      <c r="Y87" s="31">
        <f>VLOOKUP($B87,'Tillförd energi'!$B$1:$AI$720,MATCH(Y$1,'Tillförd energi'!$B$1:$AQ$1,0),FALSE)</f>
        <v>0</v>
      </c>
      <c r="Z87" s="31">
        <f>VLOOKUP($B87,'Tillförd energi'!$B$1:$AI$720,MATCH(Z$1,'Tillförd energi'!$B$1:$AQ$1,0),FALSE)</f>
        <v>0</v>
      </c>
      <c r="AA87" s="31">
        <f>VLOOKUP($B87,'Tillförd energi'!$B$1:$AI$720,MATCH(AA$1,'Tillförd energi'!$B$1:$AQ$1,0),FALSE)</f>
        <v>0</v>
      </c>
      <c r="AB87" s="31">
        <f>VLOOKUP($B87,'Tillförd energi'!$B$1:$AI$720,MATCH(AB$1,'Tillförd energi'!$B$1:$AQ$1,0),FALSE)</f>
        <v>0</v>
      </c>
      <c r="AC87" s="31">
        <f>VLOOKUP($B87,'Tillförd energi'!$B$1:$AI$720,MATCH(AC$1,'Tillförd energi'!$B$1:$AQ$1,0),FALSE)</f>
        <v>0</v>
      </c>
      <c r="AD87" s="31">
        <f>VLOOKUP($B87,'Tillförd energi'!$B$1:$AI$720,MATCH(AD$1,'Tillförd energi'!$B$1:$AQ$1,0),FALSE)</f>
        <v>0</v>
      </c>
      <c r="AE87" s="31">
        <f>VLOOKUP($B87,'Tillförd energi'!$B$1:$AI$720,MATCH(AE$1,'Tillförd energi'!$B$1:$AQ$1,0),FALSE)</f>
        <v>0</v>
      </c>
      <c r="AF87" s="31">
        <f>VLOOKUP($B87,'Tillförd energi'!$B$1:$AI$720,MATCH(AF$1,'Tillförd energi'!$B$1:$AQ$1,0),FALSE)</f>
        <v>0.12534000000000001</v>
      </c>
      <c r="AG87" s="31">
        <f>IFERROR(VLOOKUP(B87,Miljö!$B$1:$AC$550,MATCH("Köpt mängd produktionsspecifik fjärrvärme:",Miljö!$B$1:$AC$1,0),FALSE)/1,0)</f>
        <v>0</v>
      </c>
      <c r="AI87" s="31">
        <f t="shared" si="23"/>
        <v>5.86416</v>
      </c>
      <c r="AJ87" s="31">
        <f t="shared" si="24"/>
        <v>5.86416</v>
      </c>
      <c r="AK87" s="31">
        <f>IF(ISERROR(1/VLOOKUP($B87,Leveranser!$B$1:$S$499,MATCH("Såld värme (GWh)",Leveranser!$B$1:$S$1,0),FALSE)),"",VLOOKUP($B87,Leveranser!$B$1:$S$499,MATCH("Såld värme (GWh)",Leveranser!$B$1:$S$1,0),FALSE))</f>
        <v>4.1779999999999999</v>
      </c>
      <c r="AL87" s="31">
        <f>VLOOKUP($B87,Leveranser!$B$1:$Y$499,MATCH("Totalt såld fjärrvärme till andra fjärrvärmeföretag",Leveranser!$B$1:$AA$1,0),FALSE)</f>
        <v>0</v>
      </c>
      <c r="AM87" s="31">
        <f>IF(ISERROR(1/VLOOKUP($B87,Miljö!$B$1:$S$500,MATCH("Såld mängd produktionsspecifik fjärrvärme (GWh)",Miljö!$B$1:$R$1,0),FALSE)),0,VLOOKUP($B87,Miljö!$B$1:$S$500,MATCH("Såld mängd produktionsspecifik fjärrvärme (GWh)",Miljö!$B$1:$R$1,0),FALSE))</f>
        <v>0</v>
      </c>
      <c r="AN87" s="32">
        <f t="shared" si="25"/>
        <v>0.71246350713486672</v>
      </c>
      <c r="AP87" s="31" t="str">
        <f>IFERROR(VLOOKUP($B87,Miljövärden!$B$2:$H$550,7,FALSE),"Nej, saknas")</f>
        <v>Ja</v>
      </c>
      <c r="AQ87" s="31" t="str">
        <f>IFERROR(VLOOKUP($B87,Miljövärden!$B$2:$H$551,6,FALSE),"Nej, saknas")</f>
        <v>Ja</v>
      </c>
      <c r="AU87" s="31">
        <f t="shared" si="26"/>
        <v>0.12534000000000001</v>
      </c>
      <c r="AV87" s="31">
        <f t="shared" si="27"/>
        <v>0</v>
      </c>
      <c r="AW87" s="31">
        <f t="shared" si="28"/>
        <v>5.7388199999999996</v>
      </c>
      <c r="AX87" s="31">
        <f t="shared" si="29"/>
        <v>0</v>
      </c>
      <c r="AZ87" s="31">
        <f t="shared" si="30"/>
        <v>5.7388199999999996</v>
      </c>
      <c r="BC87" s="31">
        <f t="shared" si="31"/>
        <v>0</v>
      </c>
      <c r="BD87" s="31">
        <f t="shared" si="32"/>
        <v>0</v>
      </c>
      <c r="BE87" s="31">
        <f t="shared" si="33"/>
        <v>5.7388199999999996</v>
      </c>
      <c r="BF87" s="31">
        <f t="shared" si="34"/>
        <v>0</v>
      </c>
      <c r="BG87" s="31">
        <f t="shared" si="35"/>
        <v>0.12534000000000001</v>
      </c>
      <c r="BH87" s="31">
        <f>VLOOKUP(B87,Miljö!$B$1:$BX$482,MATCH("Fossilandel för ursprungspecificerad el ()",Miljö!$B$1:$I$1,0),FALSE)</f>
        <v>0.35</v>
      </c>
      <c r="BI87" s="31">
        <f>VLOOKUP(B87,Miljö!$B$1:$BX$482,MATCH("Kärnkraftsandel för ursprungsspecificerad el ()",Miljö!$B$1:$O$1,0),FALSE)</f>
        <v>0.3977</v>
      </c>
      <c r="BJ87" s="31">
        <f t="shared" si="36"/>
        <v>0</v>
      </c>
      <c r="BK87" s="31" t="str">
        <f>VLOOKUP(B87,Miljö!$B$1:$P$482,MATCH("Fossil andel i procent (%)",Miljö!$B$1:$P$1,0),FALSE)</f>
        <v>ET</v>
      </c>
      <c r="BL87" s="31">
        <f t="shared" si="37"/>
        <v>5.86416</v>
      </c>
      <c r="BO87" s="32">
        <f t="shared" si="38"/>
        <v>7.4808668249160999E-3</v>
      </c>
      <c r="BP87" s="32">
        <f t="shared" si="39"/>
        <v>8.5004021036260945E-3</v>
      </c>
      <c r="BQ87" s="32">
        <f t="shared" si="40"/>
        <v>0.98401873107145776</v>
      </c>
      <c r="BR87" s="32">
        <f t="shared" si="41"/>
        <v>0</v>
      </c>
      <c r="BT87" s="62">
        <f t="shared" si="42"/>
        <v>1</v>
      </c>
      <c r="BW87" s="32">
        <f>IF(AP87="Ja",VLOOKUP(B87,Miljövärden!$B$2:$H$551,MATCH("Total andel fossilt",Miljövärden!$B$2:$H$2,0),FALSE),"")</f>
        <v>7.4808699999999997E-3</v>
      </c>
      <c r="BX87" s="62">
        <f t="shared" si="43"/>
        <v>3.1750838997909869E-9</v>
      </c>
      <c r="BZ87" s="31">
        <f t="shared" si="44"/>
        <v>3.1750838997909869E-9</v>
      </c>
      <c r="CA87" s="32">
        <f t="shared" si="45"/>
        <v>0</v>
      </c>
    </row>
    <row r="88" spans="1:79" x14ac:dyDescent="0.45">
      <c r="A88" s="31" t="s">
        <v>576</v>
      </c>
      <c r="B88" s="31" t="s">
        <v>575</v>
      </c>
      <c r="C88" s="31">
        <f>VLOOKUP($B88,'Tillförd energi'!$B$1:$AI$720,MATCH(C$1,'Tillförd energi'!$B$1:$AQ$1,0),FALSE)</f>
        <v>0</v>
      </c>
      <c r="D88" s="31">
        <f>VLOOKUP($B88,'Tillförd energi'!$B$1:$AI$720,MATCH(D$1,'Tillförd energi'!$B$1:$AQ$1,0),FALSE)</f>
        <v>0</v>
      </c>
      <c r="E88" s="31">
        <f>VLOOKUP($B88,'Tillförd energi'!$B$1:$AI$720,MATCH(E$1,'Tillförd energi'!$B$1:$AQ$1,0),FALSE)</f>
        <v>0</v>
      </c>
      <c r="F88" s="31">
        <f>VLOOKUP($B88,'Tillförd energi'!$B$1:$AI$720,MATCH(F$1,'Tillförd energi'!$B$1:$AQ$1,0),FALSE)</f>
        <v>0</v>
      </c>
      <c r="G88" s="31">
        <f>VLOOKUP($B88,'Tillförd energi'!$B$1:$AI$720,MATCH(G$1,'Tillförd energi'!$B$1:$AQ$1,0),FALSE)</f>
        <v>0</v>
      </c>
      <c r="H88" s="31">
        <f>VLOOKUP($B88,'Tillförd energi'!$B$1:$AI$720,MATCH(H$1,'Tillförd energi'!$B$1:$AQ$1,0),FALSE)</f>
        <v>0</v>
      </c>
      <c r="I88" s="31">
        <f>VLOOKUP($B88,'Tillförd energi'!$B$1:$AI$720,MATCH(I$1,'Tillförd energi'!$B$1:$AQ$1,0),FALSE)</f>
        <v>0</v>
      </c>
      <c r="J88" s="31">
        <f>VLOOKUP($B88,'Tillförd energi'!$B$1:$AI$720,MATCH(J$1,'Tillförd energi'!$B$1:$AQ$1,0),FALSE)</f>
        <v>0</v>
      </c>
      <c r="K88" s="31">
        <f>VLOOKUP($B88,'Tillförd energi'!$B$1:$AI$720,MATCH(K$1,'Tillförd energi'!$B$1:$AQ$1,0),FALSE)</f>
        <v>0</v>
      </c>
      <c r="L88" s="31">
        <f>VLOOKUP($B88,'Tillförd energi'!$B$1:$AI$720,MATCH(L$1,'Tillförd energi'!$B$1:$AQ$1,0),FALSE)</f>
        <v>0</v>
      </c>
      <c r="M88" s="31">
        <f>VLOOKUP($B88,'Tillförd energi'!$B$1:$AI$720,MATCH(M$1,'Tillförd energi'!$B$1:$AQ$1,0),FALSE)</f>
        <v>0</v>
      </c>
      <c r="N88" s="31">
        <f>VLOOKUP($B88,'Tillförd energi'!$B$1:$AI$720,MATCH(N$1,'Tillförd energi'!$B$1:$AQ$1,0),FALSE)</f>
        <v>0</v>
      </c>
      <c r="O88" s="31">
        <f>VLOOKUP($B88,'Tillförd energi'!$B$1:$AI$720,MATCH(O$1,'Tillförd energi'!$B$1:$AQ$1,0),FALSE)</f>
        <v>0</v>
      </c>
      <c r="P88" s="31">
        <f>VLOOKUP($B88,'Tillförd energi'!$B$1:$AI$720,MATCH(P$1,'Tillförd energi'!$B$1:$AQ$1,0),FALSE)</f>
        <v>0</v>
      </c>
      <c r="Q88" s="31">
        <f>VLOOKUP($B88,'Tillförd energi'!$B$1:$AI$720,MATCH(Q$1,'Tillförd energi'!$B$1:$AQ$1,0),FALSE)</f>
        <v>0</v>
      </c>
      <c r="R88" s="31">
        <f>VLOOKUP($B88,'Tillförd energi'!$B$1:$AI$720,MATCH(R$1,'Tillförd energi'!$B$1:$AQ$1,0),FALSE)</f>
        <v>0</v>
      </c>
      <c r="S88" s="31">
        <f>VLOOKUP($B88,'Tillförd energi'!$B$1:$AI$720,MATCH(S$1,'Tillförd energi'!$B$1:$AQ$1,0),FALSE)</f>
        <v>2.3650000000000002</v>
      </c>
      <c r="T88" s="31">
        <f>VLOOKUP($B88,'Tillförd energi'!$B$1:$AI$720,MATCH(T$1,'Tillförd energi'!$B$1:$AQ$1,0),FALSE)</f>
        <v>0</v>
      </c>
      <c r="U88" s="31">
        <f>VLOOKUP($B88,'Tillförd energi'!$B$1:$AI$720,MATCH(U$1,'Tillförd energi'!$B$1:$AQ$1,0),FALSE)</f>
        <v>0</v>
      </c>
      <c r="V88" s="31">
        <f>VLOOKUP($B88,'Tillförd energi'!$B$1:$AI$720,MATCH(V$1,'Tillförd energi'!$B$1:$AQ$1,0),FALSE)</f>
        <v>0</v>
      </c>
      <c r="W88" s="31">
        <f>VLOOKUP($B88,'Tillförd energi'!$B$1:$AI$720,MATCH(W$1,'Tillförd energi'!$B$1:$AQ$1,0),FALSE)</f>
        <v>0</v>
      </c>
      <c r="X88" s="31">
        <f>VLOOKUP($B88,'Tillförd energi'!$B$1:$AI$720,MATCH(X$1,'Tillförd energi'!$B$1:$AQ$1,0),FALSE)</f>
        <v>0</v>
      </c>
      <c r="Y88" s="31">
        <f>VLOOKUP($B88,'Tillförd energi'!$B$1:$AI$720,MATCH(Y$1,'Tillförd energi'!$B$1:$AQ$1,0),FALSE)</f>
        <v>0</v>
      </c>
      <c r="Z88" s="31">
        <f>VLOOKUP($B88,'Tillförd energi'!$B$1:$AI$720,MATCH(Z$1,'Tillförd energi'!$B$1:$AQ$1,0),FALSE)</f>
        <v>0.02</v>
      </c>
      <c r="AA88" s="31">
        <f>VLOOKUP($B88,'Tillförd energi'!$B$1:$AI$720,MATCH(AA$1,'Tillförd energi'!$B$1:$AQ$1,0),FALSE)</f>
        <v>0</v>
      </c>
      <c r="AB88" s="31">
        <f>VLOOKUP($B88,'Tillförd energi'!$B$1:$AI$720,MATCH(AB$1,'Tillförd energi'!$B$1:$AQ$1,0),FALSE)</f>
        <v>0</v>
      </c>
      <c r="AC88" s="31">
        <f>VLOOKUP($B88,'Tillförd energi'!$B$1:$AI$720,MATCH(AC$1,'Tillförd energi'!$B$1:$AQ$1,0),FALSE)</f>
        <v>0</v>
      </c>
      <c r="AD88" s="31">
        <f>VLOOKUP($B88,'Tillförd energi'!$B$1:$AI$720,MATCH(AD$1,'Tillförd energi'!$B$1:$AQ$1,0),FALSE)</f>
        <v>0</v>
      </c>
      <c r="AE88" s="31">
        <f>VLOOKUP($B88,'Tillförd energi'!$B$1:$AI$720,MATCH(AE$1,'Tillförd energi'!$B$1:$AQ$1,0),FALSE)</f>
        <v>0</v>
      </c>
      <c r="AF88" s="31">
        <f>VLOOKUP($B88,'Tillförd energi'!$B$1:$AI$720,MATCH(AF$1,'Tillförd energi'!$B$1:$AQ$1,0),FALSE)</f>
        <v>0.02</v>
      </c>
      <c r="AG88" s="31">
        <f>IFERROR(VLOOKUP(B88,Miljö!$B$1:$AC$550,MATCH("Köpt mängd produktionsspecifik fjärrvärme:",Miljö!$B$1:$AC$1,0),FALSE)/1,0)</f>
        <v>0</v>
      </c>
      <c r="AI88" s="31">
        <f t="shared" si="23"/>
        <v>2.4050000000000002</v>
      </c>
      <c r="AJ88" s="31">
        <f t="shared" si="24"/>
        <v>2.4050000000000002</v>
      </c>
      <c r="AK88" s="31">
        <f>IF(ISERROR(1/VLOOKUP($B88,Leveranser!$B$1:$S$499,MATCH("Såld värme (GWh)",Leveranser!$B$1:$S$1,0),FALSE)),"",VLOOKUP($B88,Leveranser!$B$1:$S$499,MATCH("Såld värme (GWh)",Leveranser!$B$1:$S$1,0),FALSE))</f>
        <v>2.0609999999999999</v>
      </c>
      <c r="AL88" s="31">
        <f>VLOOKUP($B88,Leveranser!$B$1:$Y$499,MATCH("Totalt såld fjärrvärme till andra fjärrvärmeföretag",Leveranser!$B$1:$AA$1,0),FALSE)</f>
        <v>0</v>
      </c>
      <c r="AM88" s="31">
        <f>IF(ISERROR(1/VLOOKUP($B88,Miljö!$B$1:$S$500,MATCH("Såld mängd produktionsspecifik fjärrvärme (GWh)",Miljö!$B$1:$R$1,0),FALSE)),0,VLOOKUP($B88,Miljö!$B$1:$S$500,MATCH("Såld mängd produktionsspecifik fjärrvärme (GWh)",Miljö!$B$1:$R$1,0),FALSE))</f>
        <v>0</v>
      </c>
      <c r="AN88" s="32">
        <f t="shared" si="25"/>
        <v>0.85696465696465685</v>
      </c>
      <c r="AP88" s="31" t="str">
        <f>IFERROR(VLOOKUP($B88,Miljövärden!$B$2:$H$550,7,FALSE),"Nej, saknas")</f>
        <v>Ja</v>
      </c>
      <c r="AQ88" s="31" t="str">
        <f>IFERROR(VLOOKUP($B88,Miljövärden!$B$2:$H$551,6,FALSE),"Nej, saknas")</f>
        <v>Ja</v>
      </c>
      <c r="AU88" s="31">
        <f t="shared" si="26"/>
        <v>0.04</v>
      </c>
      <c r="AV88" s="31">
        <f t="shared" si="27"/>
        <v>0</v>
      </c>
      <c r="AW88" s="31">
        <f t="shared" si="28"/>
        <v>0</v>
      </c>
      <c r="AX88" s="31">
        <f t="shared" si="29"/>
        <v>2.3650000000000002</v>
      </c>
      <c r="AZ88" s="31">
        <f t="shared" si="30"/>
        <v>2.3650000000000002</v>
      </c>
      <c r="BC88" s="31">
        <f t="shared" si="31"/>
        <v>0</v>
      </c>
      <c r="BD88" s="31">
        <f t="shared" si="32"/>
        <v>0</v>
      </c>
      <c r="BE88" s="31">
        <f t="shared" si="33"/>
        <v>2.3650000000000002</v>
      </c>
      <c r="BF88" s="31">
        <f t="shared" si="34"/>
        <v>0</v>
      </c>
      <c r="BG88" s="31">
        <f t="shared" si="35"/>
        <v>0.04</v>
      </c>
      <c r="BH88" s="31">
        <f>VLOOKUP(B88,Miljö!$B$1:$BX$482,MATCH("Fossilandel för ursprungspecificerad el ()",Miljö!$B$1:$I$1,0),FALSE)</f>
        <v>0</v>
      </c>
      <c r="BI88" s="31">
        <f>VLOOKUP(B88,Miljö!$B$1:$BX$482,MATCH("Kärnkraftsandel för ursprungsspecificerad el ()",Miljö!$B$1:$O$1,0),FALSE)</f>
        <v>0</v>
      </c>
      <c r="BJ88" s="31">
        <f t="shared" si="36"/>
        <v>0</v>
      </c>
      <c r="BK88" s="31" t="str">
        <f>VLOOKUP(B88,Miljö!$B$1:$P$482,MATCH("Fossil andel i procent (%)",Miljö!$B$1:$P$1,0),FALSE)</f>
        <v>ET</v>
      </c>
      <c r="BL88" s="31">
        <f t="shared" si="37"/>
        <v>2.4050000000000002</v>
      </c>
      <c r="BO88" s="32">
        <f t="shared" si="38"/>
        <v>0</v>
      </c>
      <c r="BP88" s="32">
        <f t="shared" si="39"/>
        <v>0</v>
      </c>
      <c r="BQ88" s="32">
        <f t="shared" si="40"/>
        <v>1</v>
      </c>
      <c r="BR88" s="32">
        <f t="shared" si="41"/>
        <v>0</v>
      </c>
      <c r="BT88" s="62">
        <f t="shared" si="42"/>
        <v>1</v>
      </c>
      <c r="BW88" s="32">
        <f>IF(AP88="Ja",VLOOKUP(B88,Miljövärden!$B$2:$H$551,MATCH("Total andel fossilt",Miljövärden!$B$2:$H$2,0),FALSE),"")</f>
        <v>0</v>
      </c>
      <c r="BX88" s="62">
        <f t="shared" si="43"/>
        <v>0</v>
      </c>
      <c r="BZ88" s="31">
        <f t="shared" si="44"/>
        <v>0</v>
      </c>
      <c r="CA88" s="32">
        <f t="shared" si="45"/>
        <v>0</v>
      </c>
    </row>
    <row r="89" spans="1:79" x14ac:dyDescent="0.45">
      <c r="A89" s="31" t="s">
        <v>571</v>
      </c>
      <c r="B89" s="31" t="s">
        <v>574</v>
      </c>
      <c r="C89" s="31">
        <f>VLOOKUP($B89,'Tillförd energi'!$B$1:$AI$720,MATCH(C$1,'Tillförd energi'!$B$1:$AQ$1,0),FALSE)</f>
        <v>0</v>
      </c>
      <c r="D89" s="31">
        <f>VLOOKUP($B89,'Tillförd energi'!$B$1:$AI$720,MATCH(D$1,'Tillförd energi'!$B$1:$AQ$1,0),FALSE)</f>
        <v>0.15</v>
      </c>
      <c r="E89" s="31">
        <f>VLOOKUP($B89,'Tillförd energi'!$B$1:$AI$720,MATCH(E$1,'Tillförd energi'!$B$1:$AQ$1,0),FALSE)</f>
        <v>0</v>
      </c>
      <c r="F89" s="31">
        <f>VLOOKUP($B89,'Tillförd energi'!$B$1:$AI$720,MATCH(F$1,'Tillförd energi'!$B$1:$AQ$1,0),FALSE)</f>
        <v>0</v>
      </c>
      <c r="G89" s="31">
        <f>VLOOKUP($B89,'Tillförd energi'!$B$1:$AI$720,MATCH(G$1,'Tillförd energi'!$B$1:$AQ$1,0),FALSE)</f>
        <v>0</v>
      </c>
      <c r="H89" s="31">
        <f>VLOOKUP($B89,'Tillförd energi'!$B$1:$AI$720,MATCH(H$1,'Tillförd energi'!$B$1:$AQ$1,0),FALSE)</f>
        <v>0</v>
      </c>
      <c r="I89" s="31">
        <f>VLOOKUP($B89,'Tillförd energi'!$B$1:$AI$720,MATCH(I$1,'Tillförd energi'!$B$1:$AQ$1,0),FALSE)</f>
        <v>0</v>
      </c>
      <c r="J89" s="31">
        <f>VLOOKUP($B89,'Tillförd energi'!$B$1:$AI$720,MATCH(J$1,'Tillförd energi'!$B$1:$AQ$1,0),FALSE)</f>
        <v>0</v>
      </c>
      <c r="K89" s="31">
        <f>VLOOKUP($B89,'Tillförd energi'!$B$1:$AI$720,MATCH(K$1,'Tillförd energi'!$B$1:$AQ$1,0),FALSE)</f>
        <v>0</v>
      </c>
      <c r="L89" s="31">
        <f>VLOOKUP($B89,'Tillförd energi'!$B$1:$AI$720,MATCH(L$1,'Tillförd energi'!$B$1:$AQ$1,0),FALSE)</f>
        <v>0</v>
      </c>
      <c r="M89" s="31">
        <f>VLOOKUP($B89,'Tillförd energi'!$B$1:$AI$720,MATCH(M$1,'Tillförd energi'!$B$1:$AQ$1,0),FALSE)</f>
        <v>0</v>
      </c>
      <c r="N89" s="31">
        <f>VLOOKUP($B89,'Tillförd energi'!$B$1:$AI$720,MATCH(N$1,'Tillförd energi'!$B$1:$AQ$1,0),FALSE)</f>
        <v>12.958</v>
      </c>
      <c r="O89" s="31">
        <f>VLOOKUP($B89,'Tillförd energi'!$B$1:$AI$720,MATCH(O$1,'Tillförd energi'!$B$1:$AQ$1,0),FALSE)</f>
        <v>0</v>
      </c>
      <c r="P89" s="31">
        <f>VLOOKUP($B89,'Tillförd energi'!$B$1:$AI$720,MATCH(P$1,'Tillförd energi'!$B$1:$AQ$1,0),FALSE)</f>
        <v>0</v>
      </c>
      <c r="Q89" s="31">
        <f>VLOOKUP($B89,'Tillförd energi'!$B$1:$AI$720,MATCH(Q$1,'Tillförd energi'!$B$1:$AQ$1,0),FALSE)</f>
        <v>0</v>
      </c>
      <c r="R89" s="31">
        <f>VLOOKUP($B89,'Tillförd energi'!$B$1:$AI$720,MATCH(R$1,'Tillförd energi'!$B$1:$AQ$1,0),FALSE)</f>
        <v>0</v>
      </c>
      <c r="S89" s="31">
        <f>VLOOKUP($B89,'Tillförd energi'!$B$1:$AI$720,MATCH(S$1,'Tillförd energi'!$B$1:$AQ$1,0),FALSE)</f>
        <v>0</v>
      </c>
      <c r="T89" s="31">
        <f>VLOOKUP($B89,'Tillförd energi'!$B$1:$AI$720,MATCH(T$1,'Tillförd energi'!$B$1:$AQ$1,0),FALSE)</f>
        <v>0</v>
      </c>
      <c r="U89" s="31">
        <f>VLOOKUP($B89,'Tillförd energi'!$B$1:$AI$720,MATCH(U$1,'Tillförd energi'!$B$1:$AQ$1,0),FALSE)</f>
        <v>0</v>
      </c>
      <c r="V89" s="31">
        <f>VLOOKUP($B89,'Tillförd energi'!$B$1:$AI$720,MATCH(V$1,'Tillförd energi'!$B$1:$AQ$1,0),FALSE)</f>
        <v>0</v>
      </c>
      <c r="W89" s="31">
        <f>VLOOKUP($B89,'Tillförd energi'!$B$1:$AI$720,MATCH(W$1,'Tillförd energi'!$B$1:$AQ$1,0),FALSE)</f>
        <v>0</v>
      </c>
      <c r="X89" s="31">
        <f>VLOOKUP($B89,'Tillförd energi'!$B$1:$AI$720,MATCH(X$1,'Tillförd energi'!$B$1:$AQ$1,0),FALSE)</f>
        <v>0</v>
      </c>
      <c r="Y89" s="31">
        <f>VLOOKUP($B89,'Tillförd energi'!$B$1:$AI$720,MATCH(Y$1,'Tillförd energi'!$B$1:$AQ$1,0),FALSE)</f>
        <v>0</v>
      </c>
      <c r="Z89" s="31">
        <f>VLOOKUP($B89,'Tillförd energi'!$B$1:$AI$720,MATCH(Z$1,'Tillförd energi'!$B$1:$AQ$1,0),FALSE)</f>
        <v>0</v>
      </c>
      <c r="AA89" s="31">
        <f>VLOOKUP($B89,'Tillförd energi'!$B$1:$AI$720,MATCH(AA$1,'Tillförd energi'!$B$1:$AQ$1,0),FALSE)</f>
        <v>0</v>
      </c>
      <c r="AB89" s="31">
        <f>VLOOKUP($B89,'Tillförd energi'!$B$1:$AI$720,MATCH(AB$1,'Tillförd energi'!$B$1:$AQ$1,0),FALSE)</f>
        <v>0</v>
      </c>
      <c r="AC89" s="31">
        <f>VLOOKUP($B89,'Tillförd energi'!$B$1:$AI$720,MATCH(AC$1,'Tillförd energi'!$B$1:$AQ$1,0),FALSE)</f>
        <v>0</v>
      </c>
      <c r="AD89" s="31">
        <f>VLOOKUP($B89,'Tillförd energi'!$B$1:$AI$720,MATCH(AD$1,'Tillförd energi'!$B$1:$AQ$1,0),FALSE)</f>
        <v>0</v>
      </c>
      <c r="AE89" s="31">
        <f>VLOOKUP($B89,'Tillförd energi'!$B$1:$AI$720,MATCH(AE$1,'Tillförd energi'!$B$1:$AQ$1,0),FALSE)</f>
        <v>0</v>
      </c>
      <c r="AF89" s="31">
        <f>VLOOKUP($B89,'Tillförd energi'!$B$1:$AI$720,MATCH(AF$1,'Tillförd energi'!$B$1:$AQ$1,0),FALSE)</f>
        <v>0.32817000000000002</v>
      </c>
      <c r="AG89" s="31">
        <f>IFERROR(VLOOKUP(B89,Miljö!$B$1:$AC$550,MATCH("Köpt mängd produktionsspecifik fjärrvärme:",Miljö!$B$1:$AC$1,0),FALSE)/1,0)</f>
        <v>0</v>
      </c>
      <c r="AI89" s="31">
        <f t="shared" si="23"/>
        <v>13.436170000000001</v>
      </c>
      <c r="AJ89" s="31">
        <f t="shared" si="24"/>
        <v>13.436170000000001</v>
      </c>
      <c r="AK89" s="31">
        <f>IF(ISERROR(1/VLOOKUP($B89,Leveranser!$B$1:$S$499,MATCH("Såld värme (GWh)",Leveranser!$B$1:$S$1,0),FALSE)),"",VLOOKUP($B89,Leveranser!$B$1:$S$499,MATCH("Såld värme (GWh)",Leveranser!$B$1:$S$1,0),FALSE))</f>
        <v>10.939</v>
      </c>
      <c r="AL89" s="31">
        <f>VLOOKUP($B89,Leveranser!$B$1:$Y$499,MATCH("Totalt såld fjärrvärme till andra fjärrvärmeföretag",Leveranser!$B$1:$AA$1,0),FALSE)</f>
        <v>0</v>
      </c>
      <c r="AM89" s="31">
        <f>IF(ISERROR(1/VLOOKUP($B89,Miljö!$B$1:$S$500,MATCH("Såld mängd produktionsspecifik fjärrvärme (GWh)",Miljö!$B$1:$R$1,0),FALSE)),0,VLOOKUP($B89,Miljö!$B$1:$S$500,MATCH("Såld mängd produktionsspecifik fjärrvärme (GWh)",Miljö!$B$1:$R$1,0),FALSE))</f>
        <v>0</v>
      </c>
      <c r="AN89" s="32">
        <f t="shared" si="25"/>
        <v>0.81414569776952805</v>
      </c>
      <c r="AP89" s="31" t="str">
        <f>IFERROR(VLOOKUP($B89,Miljövärden!$B$2:$H$550,7,FALSE),"Nej, saknas")</f>
        <v>Ja</v>
      </c>
      <c r="AQ89" s="31" t="str">
        <f>IFERROR(VLOOKUP($B89,Miljövärden!$B$2:$H$551,6,FALSE),"Nej, saknas")</f>
        <v>Ja</v>
      </c>
      <c r="AU89" s="31">
        <f t="shared" si="26"/>
        <v>0.32817000000000002</v>
      </c>
      <c r="AV89" s="31">
        <f t="shared" si="27"/>
        <v>0</v>
      </c>
      <c r="AW89" s="31">
        <f t="shared" si="28"/>
        <v>12.958</v>
      </c>
      <c r="AX89" s="31">
        <f t="shared" si="29"/>
        <v>0</v>
      </c>
      <c r="AZ89" s="31">
        <f t="shared" si="30"/>
        <v>12.958</v>
      </c>
      <c r="BC89" s="31">
        <f t="shared" si="31"/>
        <v>0.15</v>
      </c>
      <c r="BD89" s="31">
        <f t="shared" si="32"/>
        <v>0</v>
      </c>
      <c r="BE89" s="31">
        <f t="shared" si="33"/>
        <v>12.958</v>
      </c>
      <c r="BF89" s="31">
        <f t="shared" si="34"/>
        <v>0</v>
      </c>
      <c r="BG89" s="31">
        <f t="shared" si="35"/>
        <v>0.32817000000000002</v>
      </c>
      <c r="BH89" s="31">
        <f>VLOOKUP(B89,Miljö!$B$1:$BX$482,MATCH("Fossilandel för ursprungspecificerad el ()",Miljö!$B$1:$I$1,0),FALSE)</f>
        <v>0</v>
      </c>
      <c r="BI89" s="31">
        <f>VLOOKUP(B89,Miljö!$B$1:$BX$482,MATCH("Kärnkraftsandel för ursprungsspecificerad el ()",Miljö!$B$1:$O$1,0),FALSE)</f>
        <v>0</v>
      </c>
      <c r="BJ89" s="31">
        <f t="shared" si="36"/>
        <v>0</v>
      </c>
      <c r="BK89" s="31" t="str">
        <f>VLOOKUP(B89,Miljö!$B$1:$P$482,MATCH("Fossil andel i procent (%)",Miljö!$B$1:$P$1,0),FALSE)</f>
        <v>ET</v>
      </c>
      <c r="BL89" s="31">
        <f t="shared" si="37"/>
        <v>13.436170000000001</v>
      </c>
      <c r="BO89" s="32">
        <f t="shared" si="38"/>
        <v>1.1163895663719645E-2</v>
      </c>
      <c r="BP89" s="32">
        <f t="shared" si="39"/>
        <v>0</v>
      </c>
      <c r="BQ89" s="32">
        <f t="shared" si="40"/>
        <v>0.98883610433628033</v>
      </c>
      <c r="BR89" s="32">
        <f t="shared" si="41"/>
        <v>0</v>
      </c>
      <c r="BT89" s="62">
        <f t="shared" si="42"/>
        <v>1</v>
      </c>
      <c r="BW89" s="32">
        <f>IF(AP89="Ja",VLOOKUP(B89,Miljövärden!$B$2:$H$551,MATCH("Total andel fossilt",Miljövärden!$B$2:$H$2,0),FALSE),"")</f>
        <v>1.1163899999999999E-2</v>
      </c>
      <c r="BX89" s="62">
        <f t="shared" si="43"/>
        <v>4.3362803538865569E-9</v>
      </c>
      <c r="BZ89" s="31">
        <f t="shared" si="44"/>
        <v>4.3362803538865569E-9</v>
      </c>
      <c r="CA89" s="32">
        <f t="shared" si="45"/>
        <v>0</v>
      </c>
    </row>
    <row r="90" spans="1:79" x14ac:dyDescent="0.45">
      <c r="A90" s="31" t="s">
        <v>571</v>
      </c>
      <c r="B90" s="31" t="s">
        <v>573</v>
      </c>
      <c r="C90" s="31">
        <f>VLOOKUP($B90,'Tillförd energi'!$B$1:$AI$720,MATCH(C$1,'Tillförd energi'!$B$1:$AQ$1,0),FALSE)</f>
        <v>0</v>
      </c>
      <c r="D90" s="31">
        <f>VLOOKUP($B90,'Tillförd energi'!$B$1:$AI$720,MATCH(D$1,'Tillförd energi'!$B$1:$AQ$1,0),FALSE)</f>
        <v>0.26100000000000001</v>
      </c>
      <c r="E90" s="31">
        <f>VLOOKUP($B90,'Tillförd energi'!$B$1:$AI$720,MATCH(E$1,'Tillförd energi'!$B$1:$AQ$1,0),FALSE)</f>
        <v>0</v>
      </c>
      <c r="F90" s="31">
        <f>VLOOKUP($B90,'Tillförd energi'!$B$1:$AI$720,MATCH(F$1,'Tillförd energi'!$B$1:$AQ$1,0),FALSE)</f>
        <v>0</v>
      </c>
      <c r="G90" s="31">
        <f>VLOOKUP($B90,'Tillförd energi'!$B$1:$AI$720,MATCH(G$1,'Tillförd energi'!$B$1:$AQ$1,0),FALSE)</f>
        <v>0</v>
      </c>
      <c r="H90" s="31">
        <f>VLOOKUP($B90,'Tillförd energi'!$B$1:$AI$720,MATCH(H$1,'Tillförd energi'!$B$1:$AQ$1,0),FALSE)</f>
        <v>0</v>
      </c>
      <c r="I90" s="31">
        <f>VLOOKUP($B90,'Tillförd energi'!$B$1:$AI$720,MATCH(I$1,'Tillförd energi'!$B$1:$AQ$1,0),FALSE)</f>
        <v>0</v>
      </c>
      <c r="J90" s="31">
        <f>VLOOKUP($B90,'Tillförd energi'!$B$1:$AI$720,MATCH(J$1,'Tillförd energi'!$B$1:$AQ$1,0),FALSE)</f>
        <v>0</v>
      </c>
      <c r="K90" s="31">
        <f>VLOOKUP($B90,'Tillförd energi'!$B$1:$AI$720,MATCH(K$1,'Tillförd energi'!$B$1:$AQ$1,0),FALSE)</f>
        <v>0</v>
      </c>
      <c r="L90" s="31">
        <f>VLOOKUP($B90,'Tillförd energi'!$B$1:$AI$720,MATCH(L$1,'Tillförd energi'!$B$1:$AQ$1,0),FALSE)</f>
        <v>0</v>
      </c>
      <c r="M90" s="31">
        <f>VLOOKUP($B90,'Tillförd energi'!$B$1:$AI$720,MATCH(M$1,'Tillförd energi'!$B$1:$AQ$1,0),FALSE)</f>
        <v>0</v>
      </c>
      <c r="N90" s="31">
        <f>VLOOKUP($B90,'Tillförd energi'!$B$1:$AI$720,MATCH(N$1,'Tillförd energi'!$B$1:$AQ$1,0),FALSE)</f>
        <v>0</v>
      </c>
      <c r="O90" s="31">
        <f>VLOOKUP($B90,'Tillförd energi'!$B$1:$AI$720,MATCH(O$1,'Tillförd energi'!$B$1:$AQ$1,0),FALSE)</f>
        <v>0</v>
      </c>
      <c r="P90" s="31">
        <f>VLOOKUP($B90,'Tillförd energi'!$B$1:$AI$720,MATCH(P$1,'Tillförd energi'!$B$1:$AQ$1,0),FALSE)</f>
        <v>0</v>
      </c>
      <c r="Q90" s="31">
        <f>VLOOKUP($B90,'Tillförd energi'!$B$1:$AI$720,MATCH(Q$1,'Tillförd energi'!$B$1:$AQ$1,0),FALSE)</f>
        <v>0</v>
      </c>
      <c r="R90" s="31">
        <f>VLOOKUP($B90,'Tillförd energi'!$B$1:$AI$720,MATCH(R$1,'Tillförd energi'!$B$1:$AQ$1,0),FALSE)</f>
        <v>0</v>
      </c>
      <c r="S90" s="31">
        <f>VLOOKUP($B90,'Tillförd energi'!$B$1:$AI$720,MATCH(S$1,'Tillförd energi'!$B$1:$AQ$1,0),FALSE)</f>
        <v>0</v>
      </c>
      <c r="T90" s="31">
        <f>VLOOKUP($B90,'Tillförd energi'!$B$1:$AI$720,MATCH(T$1,'Tillförd energi'!$B$1:$AQ$1,0),FALSE)</f>
        <v>0</v>
      </c>
      <c r="U90" s="31">
        <f>VLOOKUP($B90,'Tillförd energi'!$B$1:$AI$720,MATCH(U$1,'Tillförd energi'!$B$1:$AQ$1,0),FALSE)</f>
        <v>0</v>
      </c>
      <c r="V90" s="31">
        <f>VLOOKUP($B90,'Tillförd energi'!$B$1:$AI$720,MATCH(V$1,'Tillförd energi'!$B$1:$AQ$1,0),FALSE)</f>
        <v>0</v>
      </c>
      <c r="W90" s="31">
        <f>VLOOKUP($B90,'Tillförd energi'!$B$1:$AI$720,MATCH(W$1,'Tillförd energi'!$B$1:$AQ$1,0),FALSE)</f>
        <v>0</v>
      </c>
      <c r="X90" s="31">
        <f>VLOOKUP($B90,'Tillförd energi'!$B$1:$AI$720,MATCH(X$1,'Tillförd energi'!$B$1:$AQ$1,0),FALSE)</f>
        <v>9.2258800000000001</v>
      </c>
      <c r="Y90" s="31">
        <f>VLOOKUP($B90,'Tillförd energi'!$B$1:$AI$720,MATCH(Y$1,'Tillförd energi'!$B$1:$AQ$1,0),FALSE)</f>
        <v>0</v>
      </c>
      <c r="Z90" s="31">
        <f>VLOOKUP($B90,'Tillförd energi'!$B$1:$AI$720,MATCH(Z$1,'Tillförd energi'!$B$1:$AQ$1,0),FALSE)</f>
        <v>0</v>
      </c>
      <c r="AA90" s="31">
        <f>VLOOKUP($B90,'Tillförd energi'!$B$1:$AI$720,MATCH(AA$1,'Tillförd energi'!$B$1:$AQ$1,0),FALSE)</f>
        <v>0</v>
      </c>
      <c r="AB90" s="31">
        <f>VLOOKUP($B90,'Tillförd energi'!$B$1:$AI$720,MATCH(AB$1,'Tillförd energi'!$B$1:$AQ$1,0),FALSE)</f>
        <v>0</v>
      </c>
      <c r="AC90" s="31">
        <f>VLOOKUP($B90,'Tillförd energi'!$B$1:$AI$720,MATCH(AC$1,'Tillförd energi'!$B$1:$AQ$1,0),FALSE)</f>
        <v>0</v>
      </c>
      <c r="AD90" s="31">
        <f>VLOOKUP($B90,'Tillförd energi'!$B$1:$AI$720,MATCH(AD$1,'Tillförd energi'!$B$1:$AQ$1,0),FALSE)</f>
        <v>0</v>
      </c>
      <c r="AE90" s="31">
        <f>VLOOKUP($B90,'Tillförd energi'!$B$1:$AI$720,MATCH(AE$1,'Tillförd energi'!$B$1:$AQ$1,0),FALSE)</f>
        <v>0</v>
      </c>
      <c r="AF90" s="31">
        <f>VLOOKUP($B90,'Tillförd energi'!$B$1:$AI$720,MATCH(AF$1,'Tillförd energi'!$B$1:$AQ$1,0),FALSE)</f>
        <v>0.19886999999999999</v>
      </c>
      <c r="AG90" s="31">
        <f>IFERROR(VLOOKUP(B90,Miljö!$B$1:$AC$550,MATCH("Köpt mängd produktionsspecifik fjärrvärme:",Miljö!$B$1:$AC$1,0),FALSE)/1,0)</f>
        <v>0</v>
      </c>
      <c r="AI90" s="31">
        <f t="shared" si="23"/>
        <v>9.6857499999999987</v>
      </c>
      <c r="AJ90" s="31">
        <f t="shared" si="24"/>
        <v>9.6857499999999987</v>
      </c>
      <c r="AK90" s="31">
        <f>IF(ISERROR(1/VLOOKUP($B90,Leveranser!$B$1:$S$499,MATCH("Såld värme (GWh)",Leveranser!$B$1:$S$1,0),FALSE)),"",VLOOKUP($B90,Leveranser!$B$1:$S$499,MATCH("Såld värme (GWh)",Leveranser!$B$1:$S$1,0),FALSE))</f>
        <v>6.6289999999999996</v>
      </c>
      <c r="AL90" s="31">
        <f>VLOOKUP($B90,Leveranser!$B$1:$Y$499,MATCH("Totalt såld fjärrvärme till andra fjärrvärmeföretag",Leveranser!$B$1:$AA$1,0),FALSE)</f>
        <v>0</v>
      </c>
      <c r="AM90" s="31">
        <f>IF(ISERROR(1/VLOOKUP($B90,Miljö!$B$1:$S$500,MATCH("Såld mängd produktionsspecifik fjärrvärme (GWh)",Miljö!$B$1:$R$1,0),FALSE)),0,VLOOKUP($B90,Miljö!$B$1:$S$500,MATCH("Såld mängd produktionsspecifik fjärrvärme (GWh)",Miljö!$B$1:$R$1,0),FALSE))</f>
        <v>0</v>
      </c>
      <c r="AN90" s="32">
        <f t="shared" si="25"/>
        <v>0.68440750587202859</v>
      </c>
      <c r="AP90" s="31" t="str">
        <f>IFERROR(VLOOKUP($B90,Miljövärden!$B$2:$H$550,7,FALSE),"Nej, saknas")</f>
        <v>Ja</v>
      </c>
      <c r="AQ90" s="31" t="str">
        <f>IFERROR(VLOOKUP($B90,Miljövärden!$B$2:$H$551,6,FALSE),"Nej, saknas")</f>
        <v>Ja</v>
      </c>
      <c r="AU90" s="31">
        <f t="shared" si="26"/>
        <v>0.19886999999999999</v>
      </c>
      <c r="AV90" s="31">
        <f t="shared" si="27"/>
        <v>9.2258800000000001</v>
      </c>
      <c r="AW90" s="31">
        <f t="shared" si="28"/>
        <v>0</v>
      </c>
      <c r="AX90" s="31">
        <f t="shared" si="29"/>
        <v>0</v>
      </c>
      <c r="AZ90" s="31">
        <f t="shared" si="30"/>
        <v>9.2258800000000001</v>
      </c>
      <c r="BC90" s="31">
        <f t="shared" si="31"/>
        <v>0.26100000000000001</v>
      </c>
      <c r="BD90" s="31">
        <f t="shared" si="32"/>
        <v>0</v>
      </c>
      <c r="BE90" s="31">
        <f t="shared" si="33"/>
        <v>9.2258800000000001</v>
      </c>
      <c r="BF90" s="31">
        <f t="shared" si="34"/>
        <v>0</v>
      </c>
      <c r="BG90" s="31">
        <f t="shared" si="35"/>
        <v>0.19886999999999999</v>
      </c>
      <c r="BH90" s="31">
        <f>VLOOKUP(B90,Miljö!$B$1:$BX$482,MATCH("Fossilandel för ursprungspecificerad el ()",Miljö!$B$1:$I$1,0),FALSE)</f>
        <v>0</v>
      </c>
      <c r="BI90" s="31">
        <f>VLOOKUP(B90,Miljö!$B$1:$BX$482,MATCH("Kärnkraftsandel för ursprungsspecificerad el ()",Miljö!$B$1:$O$1,0),FALSE)</f>
        <v>0</v>
      </c>
      <c r="BJ90" s="31">
        <f t="shared" si="36"/>
        <v>0</v>
      </c>
      <c r="BK90" s="31" t="str">
        <f>VLOOKUP(B90,Miljö!$B$1:$P$482,MATCH("Fossil andel i procent (%)",Miljö!$B$1:$P$1,0),FALSE)</f>
        <v>ET</v>
      </c>
      <c r="BL90" s="31">
        <f t="shared" si="37"/>
        <v>9.6857499999999987</v>
      </c>
      <c r="BO90" s="32">
        <f t="shared" si="38"/>
        <v>2.6946803293498186E-2</v>
      </c>
      <c r="BP90" s="32">
        <f t="shared" si="39"/>
        <v>0</v>
      </c>
      <c r="BQ90" s="32">
        <f t="shared" si="40"/>
        <v>0.97305319670650192</v>
      </c>
      <c r="BR90" s="32">
        <f t="shared" si="41"/>
        <v>0</v>
      </c>
      <c r="BT90" s="62">
        <f t="shared" si="42"/>
        <v>1</v>
      </c>
      <c r="BW90" s="32">
        <f>IF(AP90="Ja",VLOOKUP(B90,Miljövärden!$B$2:$H$551,MATCH("Total andel fossilt",Miljövärden!$B$2:$H$2,0),FALSE),"")</f>
        <v>2.69468E-2</v>
      </c>
      <c r="BX90" s="62">
        <f t="shared" si="43"/>
        <v>-3.293498185980015E-9</v>
      </c>
      <c r="BZ90" s="31">
        <f t="shared" si="44"/>
        <v>-3.293498185980015E-9</v>
      </c>
      <c r="CA90" s="32">
        <f t="shared" si="45"/>
        <v>0</v>
      </c>
    </row>
    <row r="91" spans="1:79" x14ac:dyDescent="0.45">
      <c r="A91" s="31" t="s">
        <v>571</v>
      </c>
      <c r="B91" s="31" t="s">
        <v>572</v>
      </c>
      <c r="C91" s="31">
        <f>VLOOKUP($B91,'Tillförd energi'!$B$1:$AI$720,MATCH(C$1,'Tillförd energi'!$B$1:$AQ$1,0),FALSE)</f>
        <v>0</v>
      </c>
      <c r="D91" s="31">
        <f>VLOOKUP($B91,'Tillförd energi'!$B$1:$AI$720,MATCH(D$1,'Tillförd energi'!$B$1:$AQ$1,0),FALSE)</f>
        <v>0.32400000000000001</v>
      </c>
      <c r="E91" s="31">
        <f>VLOOKUP($B91,'Tillförd energi'!$B$1:$AI$720,MATCH(E$1,'Tillförd energi'!$B$1:$AQ$1,0),FALSE)</f>
        <v>0</v>
      </c>
      <c r="F91" s="31">
        <f>VLOOKUP($B91,'Tillförd energi'!$B$1:$AI$720,MATCH(F$1,'Tillförd energi'!$B$1:$AQ$1,0),FALSE)</f>
        <v>0</v>
      </c>
      <c r="G91" s="31">
        <f>VLOOKUP($B91,'Tillförd energi'!$B$1:$AI$720,MATCH(G$1,'Tillförd energi'!$B$1:$AQ$1,0),FALSE)</f>
        <v>0</v>
      </c>
      <c r="H91" s="31">
        <f>VLOOKUP($B91,'Tillförd energi'!$B$1:$AI$720,MATCH(H$1,'Tillförd energi'!$B$1:$AQ$1,0),FALSE)</f>
        <v>0</v>
      </c>
      <c r="I91" s="31">
        <f>VLOOKUP($B91,'Tillförd energi'!$B$1:$AI$720,MATCH(I$1,'Tillförd energi'!$B$1:$AQ$1,0),FALSE)</f>
        <v>0</v>
      </c>
      <c r="J91" s="31">
        <f>VLOOKUP($B91,'Tillförd energi'!$B$1:$AI$720,MATCH(J$1,'Tillförd energi'!$B$1:$AQ$1,0),FALSE)</f>
        <v>0</v>
      </c>
      <c r="K91" s="31">
        <f>VLOOKUP($B91,'Tillförd energi'!$B$1:$AI$720,MATCH(K$1,'Tillförd energi'!$B$1:$AQ$1,0),FALSE)</f>
        <v>0</v>
      </c>
      <c r="L91" s="31">
        <f>VLOOKUP($B91,'Tillförd energi'!$B$1:$AI$720,MATCH(L$1,'Tillförd energi'!$B$1:$AQ$1,0),FALSE)</f>
        <v>0</v>
      </c>
      <c r="M91" s="31">
        <f>VLOOKUP($B91,'Tillförd energi'!$B$1:$AI$720,MATCH(M$1,'Tillförd energi'!$B$1:$AQ$1,0),FALSE)</f>
        <v>0</v>
      </c>
      <c r="N91" s="31">
        <f>VLOOKUP($B91,'Tillförd energi'!$B$1:$AI$720,MATCH(N$1,'Tillförd energi'!$B$1:$AQ$1,0),FALSE)</f>
        <v>0</v>
      </c>
      <c r="O91" s="31">
        <f>VLOOKUP($B91,'Tillförd energi'!$B$1:$AI$720,MATCH(O$1,'Tillförd energi'!$B$1:$AQ$1,0),FALSE)</f>
        <v>0</v>
      </c>
      <c r="P91" s="31">
        <f>VLOOKUP($B91,'Tillförd energi'!$B$1:$AI$720,MATCH(P$1,'Tillförd energi'!$B$1:$AQ$1,0),FALSE)</f>
        <v>0</v>
      </c>
      <c r="Q91" s="31">
        <f>VLOOKUP($B91,'Tillförd energi'!$B$1:$AI$720,MATCH(Q$1,'Tillförd energi'!$B$1:$AQ$1,0),FALSE)</f>
        <v>0</v>
      </c>
      <c r="R91" s="31">
        <f>VLOOKUP($B91,'Tillförd energi'!$B$1:$AI$720,MATCH(R$1,'Tillförd energi'!$B$1:$AQ$1,0),FALSE)</f>
        <v>0</v>
      </c>
      <c r="S91" s="31">
        <f>VLOOKUP($B91,'Tillförd energi'!$B$1:$AI$720,MATCH(S$1,'Tillförd energi'!$B$1:$AQ$1,0),FALSE)</f>
        <v>0</v>
      </c>
      <c r="T91" s="31">
        <f>VLOOKUP($B91,'Tillförd energi'!$B$1:$AI$720,MATCH(T$1,'Tillförd energi'!$B$1:$AQ$1,0),FALSE)</f>
        <v>0</v>
      </c>
      <c r="U91" s="31">
        <f>VLOOKUP($B91,'Tillförd energi'!$B$1:$AI$720,MATCH(U$1,'Tillförd energi'!$B$1:$AQ$1,0),FALSE)</f>
        <v>0</v>
      </c>
      <c r="V91" s="31">
        <f>VLOOKUP($B91,'Tillförd energi'!$B$1:$AI$720,MATCH(V$1,'Tillförd energi'!$B$1:$AQ$1,0),FALSE)</f>
        <v>0</v>
      </c>
      <c r="W91" s="31">
        <f>VLOOKUP($B91,'Tillförd energi'!$B$1:$AI$720,MATCH(W$1,'Tillförd energi'!$B$1:$AQ$1,0),FALSE)</f>
        <v>4.9550000000000001</v>
      </c>
      <c r="X91" s="31">
        <f>VLOOKUP($B91,'Tillförd energi'!$B$1:$AI$720,MATCH(X$1,'Tillförd energi'!$B$1:$AQ$1,0),FALSE)</f>
        <v>0</v>
      </c>
      <c r="Y91" s="31">
        <f>VLOOKUP($B91,'Tillförd energi'!$B$1:$AI$720,MATCH(Y$1,'Tillförd energi'!$B$1:$AQ$1,0),FALSE)</f>
        <v>0</v>
      </c>
      <c r="Z91" s="31">
        <f>VLOOKUP($B91,'Tillförd energi'!$B$1:$AI$720,MATCH(Z$1,'Tillförd energi'!$B$1:$AQ$1,0),FALSE)</f>
        <v>0</v>
      </c>
      <c r="AA91" s="31">
        <f>VLOOKUP($B91,'Tillförd energi'!$B$1:$AI$720,MATCH(AA$1,'Tillförd energi'!$B$1:$AQ$1,0),FALSE)</f>
        <v>0</v>
      </c>
      <c r="AB91" s="31">
        <f>VLOOKUP($B91,'Tillförd energi'!$B$1:$AI$720,MATCH(AB$1,'Tillförd energi'!$B$1:$AQ$1,0),FALSE)</f>
        <v>0</v>
      </c>
      <c r="AC91" s="31">
        <f>VLOOKUP($B91,'Tillförd energi'!$B$1:$AI$720,MATCH(AC$1,'Tillförd energi'!$B$1:$AQ$1,0),FALSE)</f>
        <v>0</v>
      </c>
      <c r="AD91" s="31">
        <f>VLOOKUP($B91,'Tillförd energi'!$B$1:$AI$720,MATCH(AD$1,'Tillförd energi'!$B$1:$AQ$1,0),FALSE)</f>
        <v>15.762</v>
      </c>
      <c r="AE91" s="31">
        <f>VLOOKUP($B91,'Tillförd energi'!$B$1:$AI$720,MATCH(AE$1,'Tillförd energi'!$B$1:$AQ$1,0),FALSE)</f>
        <v>0</v>
      </c>
      <c r="AF91" s="31">
        <f>VLOOKUP($B91,'Tillförd energi'!$B$1:$AI$720,MATCH(AF$1,'Tillförd energi'!$B$1:$AQ$1,0),FALSE)</f>
        <v>0.47532000000000002</v>
      </c>
      <c r="AG91" s="31">
        <f>IFERROR(VLOOKUP(B91,Miljö!$B$1:$AC$550,MATCH("Köpt mängd produktionsspecifik fjärrvärme:",Miljö!$B$1:$AC$1,0),FALSE)/1,0)</f>
        <v>0</v>
      </c>
      <c r="AI91" s="31">
        <f t="shared" si="23"/>
        <v>21.51632</v>
      </c>
      <c r="AJ91" s="31">
        <f t="shared" si="24"/>
        <v>21.51632</v>
      </c>
      <c r="AK91" s="31">
        <f>IF(ISERROR(1/VLOOKUP($B91,Leveranser!$B$1:$S$499,MATCH("Såld värme (GWh)",Leveranser!$B$1:$S$1,0),FALSE)),"",VLOOKUP($B91,Leveranser!$B$1:$S$499,MATCH("Såld värme (GWh)",Leveranser!$B$1:$S$1,0),FALSE))</f>
        <v>15.843999999999999</v>
      </c>
      <c r="AL91" s="31">
        <f>VLOOKUP($B91,Leveranser!$B$1:$Y$499,MATCH("Totalt såld fjärrvärme till andra fjärrvärmeföretag",Leveranser!$B$1:$AA$1,0),FALSE)</f>
        <v>0</v>
      </c>
      <c r="AM91" s="31">
        <f>IF(ISERROR(1/VLOOKUP($B91,Miljö!$B$1:$S$500,MATCH("Såld mängd produktionsspecifik fjärrvärme (GWh)",Miljö!$B$1:$R$1,0),FALSE)),0,VLOOKUP($B91,Miljö!$B$1:$S$500,MATCH("Såld mängd produktionsspecifik fjärrvärme (GWh)",Miljö!$B$1:$R$1,0),FALSE))</f>
        <v>0</v>
      </c>
      <c r="AN91" s="32">
        <f t="shared" si="25"/>
        <v>0.73637127538538183</v>
      </c>
      <c r="AP91" s="31" t="str">
        <f>IFERROR(VLOOKUP($B91,Miljövärden!$B$2:$H$550,7,FALSE),"Nej, saknas")</f>
        <v>Ja</v>
      </c>
      <c r="AQ91" s="31" t="str">
        <f>IFERROR(VLOOKUP($B91,Miljövärden!$B$2:$H$551,6,FALSE),"Nej, saknas")</f>
        <v>Ja</v>
      </c>
      <c r="AU91" s="31">
        <f t="shared" si="26"/>
        <v>0.47532000000000002</v>
      </c>
      <c r="AV91" s="31">
        <f t="shared" si="27"/>
        <v>0</v>
      </c>
      <c r="AW91" s="31">
        <f t="shared" si="28"/>
        <v>0</v>
      </c>
      <c r="AX91" s="31">
        <f t="shared" si="29"/>
        <v>0</v>
      </c>
      <c r="AZ91" s="31">
        <f t="shared" si="30"/>
        <v>4.9550000000000001</v>
      </c>
      <c r="BC91" s="31">
        <f t="shared" si="31"/>
        <v>0.32400000000000001</v>
      </c>
      <c r="BD91" s="31">
        <f t="shared" si="32"/>
        <v>0</v>
      </c>
      <c r="BE91" s="31">
        <f t="shared" si="33"/>
        <v>4.9550000000000001</v>
      </c>
      <c r="BF91" s="31">
        <f t="shared" si="34"/>
        <v>15.762</v>
      </c>
      <c r="BG91" s="31">
        <f t="shared" si="35"/>
        <v>0.47532000000000002</v>
      </c>
      <c r="BH91" s="31">
        <f>VLOOKUP(B91,Miljö!$B$1:$BX$482,MATCH("Fossilandel för ursprungspecificerad el ()",Miljö!$B$1:$I$1,0),FALSE)</f>
        <v>0</v>
      </c>
      <c r="BI91" s="31">
        <f>VLOOKUP(B91,Miljö!$B$1:$BX$482,MATCH("Kärnkraftsandel för ursprungsspecificerad el ()",Miljö!$B$1:$O$1,0),FALSE)</f>
        <v>0</v>
      </c>
      <c r="BJ91" s="31">
        <f t="shared" si="36"/>
        <v>0</v>
      </c>
      <c r="BK91" s="31" t="str">
        <f>VLOOKUP(B91,Miljö!$B$1:$P$482,MATCH("Fossil andel i procent (%)",Miljö!$B$1:$P$1,0),FALSE)</f>
        <v>ET</v>
      </c>
      <c r="BL91" s="31">
        <f t="shared" si="37"/>
        <v>21.51632</v>
      </c>
      <c r="BO91" s="32">
        <f t="shared" si="38"/>
        <v>1.5058337113409728E-2</v>
      </c>
      <c r="BP91" s="32">
        <f t="shared" si="39"/>
        <v>0</v>
      </c>
      <c r="BQ91" s="32">
        <f t="shared" si="40"/>
        <v>0.2523814481286763</v>
      </c>
      <c r="BR91" s="32">
        <f t="shared" si="41"/>
        <v>0.732560214757914</v>
      </c>
      <c r="BT91" s="62">
        <f t="shared" si="42"/>
        <v>1</v>
      </c>
      <c r="BW91" s="32">
        <f>IF(AP91="Ja",VLOOKUP(B91,Miljövärden!$B$2:$H$551,MATCH("Total andel fossilt",Miljövärden!$B$2:$H$2,0),FALSE),"")</f>
        <v>1.50584E-2</v>
      </c>
      <c r="BX91" s="62">
        <f t="shared" si="43"/>
        <v>6.2886590272009935E-8</v>
      </c>
      <c r="BZ91" s="31">
        <f t="shared" si="44"/>
        <v>6.2886590272009935E-8</v>
      </c>
      <c r="CA91" s="32">
        <f t="shared" si="45"/>
        <v>0</v>
      </c>
    </row>
    <row r="92" spans="1:79" x14ac:dyDescent="0.45">
      <c r="A92" s="31" t="s">
        <v>571</v>
      </c>
      <c r="B92" s="31" t="s">
        <v>570</v>
      </c>
      <c r="C92" s="31">
        <f>VLOOKUP($B92,'Tillförd energi'!$B$1:$AI$720,MATCH(C$1,'Tillförd energi'!$B$1:$AQ$1,0),FALSE)</f>
        <v>0</v>
      </c>
      <c r="D92" s="31">
        <f>VLOOKUP($B92,'Tillförd energi'!$B$1:$AI$720,MATCH(D$1,'Tillförd energi'!$B$1:$AQ$1,0),FALSE)</f>
        <v>0</v>
      </c>
      <c r="E92" s="31">
        <f>VLOOKUP($B92,'Tillförd energi'!$B$1:$AI$720,MATCH(E$1,'Tillförd energi'!$B$1:$AQ$1,0),FALSE)</f>
        <v>0</v>
      </c>
      <c r="F92" s="31">
        <f>VLOOKUP($B92,'Tillförd energi'!$B$1:$AI$720,MATCH(F$1,'Tillförd energi'!$B$1:$AQ$1,0),FALSE)</f>
        <v>0</v>
      </c>
      <c r="G92" s="31">
        <f>VLOOKUP($B92,'Tillförd energi'!$B$1:$AI$720,MATCH(G$1,'Tillförd energi'!$B$1:$AQ$1,0),FALSE)</f>
        <v>0</v>
      </c>
      <c r="H92" s="31">
        <f>VLOOKUP($B92,'Tillförd energi'!$B$1:$AI$720,MATCH(H$1,'Tillförd energi'!$B$1:$AQ$1,0),FALSE)</f>
        <v>0</v>
      </c>
      <c r="I92" s="31">
        <f>VLOOKUP($B92,'Tillförd energi'!$B$1:$AI$720,MATCH(I$1,'Tillförd energi'!$B$1:$AQ$1,0),FALSE)</f>
        <v>0</v>
      </c>
      <c r="J92" s="31">
        <f>VLOOKUP($B92,'Tillförd energi'!$B$1:$AI$720,MATCH(J$1,'Tillförd energi'!$B$1:$AQ$1,0),FALSE)</f>
        <v>0.80500000000000005</v>
      </c>
      <c r="K92" s="31">
        <f>VLOOKUP($B92,'Tillförd energi'!$B$1:$AI$720,MATCH(K$1,'Tillförd energi'!$B$1:$AQ$1,0),FALSE)</f>
        <v>0</v>
      </c>
      <c r="L92" s="31">
        <f>VLOOKUP($B92,'Tillförd energi'!$B$1:$AI$720,MATCH(L$1,'Tillförd energi'!$B$1:$AQ$1,0),FALSE)</f>
        <v>0</v>
      </c>
      <c r="M92" s="31">
        <f>VLOOKUP($B92,'Tillförd energi'!$B$1:$AI$720,MATCH(M$1,'Tillförd energi'!$B$1:$AQ$1,0),FALSE)</f>
        <v>64.634</v>
      </c>
      <c r="N92" s="31">
        <f>VLOOKUP($B92,'Tillförd energi'!$B$1:$AI$720,MATCH(N$1,'Tillförd energi'!$B$1:$AQ$1,0),FALSE)</f>
        <v>84.593000000000004</v>
      </c>
      <c r="O92" s="31">
        <f>VLOOKUP($B92,'Tillförd energi'!$B$1:$AI$720,MATCH(O$1,'Tillförd energi'!$B$1:$AQ$1,0),FALSE)</f>
        <v>0</v>
      </c>
      <c r="P92" s="31">
        <f>VLOOKUP($B92,'Tillförd energi'!$B$1:$AI$720,MATCH(P$1,'Tillförd energi'!$B$1:$AQ$1,0),FALSE)</f>
        <v>4.298</v>
      </c>
      <c r="Q92" s="31">
        <f>VLOOKUP($B92,'Tillförd energi'!$B$1:$AI$720,MATCH(Q$1,'Tillförd energi'!$B$1:$AQ$1,0),FALSE)</f>
        <v>0</v>
      </c>
      <c r="R92" s="31">
        <f>VLOOKUP($B92,'Tillförd energi'!$B$1:$AI$720,MATCH(R$1,'Tillförd energi'!$B$1:$AQ$1,0),FALSE)</f>
        <v>0</v>
      </c>
      <c r="S92" s="31">
        <f>VLOOKUP($B92,'Tillförd energi'!$B$1:$AI$720,MATCH(S$1,'Tillförd energi'!$B$1:$AQ$1,0),FALSE)</f>
        <v>0</v>
      </c>
      <c r="T92" s="31">
        <f>VLOOKUP($B92,'Tillförd energi'!$B$1:$AI$720,MATCH(T$1,'Tillförd energi'!$B$1:$AQ$1,0),FALSE)</f>
        <v>0</v>
      </c>
      <c r="U92" s="31">
        <f>VLOOKUP($B92,'Tillförd energi'!$B$1:$AI$720,MATCH(U$1,'Tillförd energi'!$B$1:$AQ$1,0),FALSE)</f>
        <v>0</v>
      </c>
      <c r="V92" s="31">
        <f>VLOOKUP($B92,'Tillförd energi'!$B$1:$AI$720,MATCH(V$1,'Tillförd energi'!$B$1:$AQ$1,0),FALSE)</f>
        <v>0</v>
      </c>
      <c r="W92" s="31">
        <f>VLOOKUP($B92,'Tillförd energi'!$B$1:$AI$720,MATCH(W$1,'Tillförd energi'!$B$1:$AQ$1,0),FALSE)</f>
        <v>4.6349999999999998</v>
      </c>
      <c r="X92" s="31">
        <f>VLOOKUP($B92,'Tillförd energi'!$B$1:$AI$720,MATCH(X$1,'Tillförd energi'!$B$1:$AQ$1,0),FALSE)</f>
        <v>0</v>
      </c>
      <c r="Y92" s="31">
        <f>VLOOKUP($B92,'Tillförd energi'!$B$1:$AI$720,MATCH(Y$1,'Tillförd energi'!$B$1:$AQ$1,0),FALSE)</f>
        <v>0</v>
      </c>
      <c r="Z92" s="31">
        <f>VLOOKUP($B92,'Tillförd energi'!$B$1:$AI$720,MATCH(Z$1,'Tillförd energi'!$B$1:$AQ$1,0),FALSE)</f>
        <v>0.05</v>
      </c>
      <c r="AA92" s="31">
        <f>VLOOKUP($B92,'Tillförd energi'!$B$1:$AI$720,MATCH(AA$1,'Tillförd energi'!$B$1:$AQ$1,0),FALSE)</f>
        <v>12.15</v>
      </c>
      <c r="AB92" s="31">
        <f>VLOOKUP($B92,'Tillförd energi'!$B$1:$AI$720,MATCH(AB$1,'Tillförd energi'!$B$1:$AQ$1,0),FALSE)</f>
        <v>16.196999999999999</v>
      </c>
      <c r="AC92" s="31">
        <f>VLOOKUP($B92,'Tillförd energi'!$B$1:$AI$720,MATCH(AC$1,'Tillförd energi'!$B$1:$AQ$1,0),FALSE)</f>
        <v>26.786999999999999</v>
      </c>
      <c r="AD92" s="31">
        <f>VLOOKUP($B92,'Tillförd energi'!$B$1:$AI$720,MATCH(AD$1,'Tillförd energi'!$B$1:$AQ$1,0),FALSE)</f>
        <v>0</v>
      </c>
      <c r="AE92" s="31">
        <f>VLOOKUP($B92,'Tillförd energi'!$B$1:$AI$720,MATCH(AE$1,'Tillförd energi'!$B$1:$AQ$1,0),FALSE)</f>
        <v>0</v>
      </c>
      <c r="AF92" s="31">
        <f>VLOOKUP($B92,'Tillförd energi'!$B$1:$AI$720,MATCH(AF$1,'Tillförd energi'!$B$1:$AQ$1,0),FALSE)</f>
        <v>4.9792500000000004</v>
      </c>
      <c r="AG92" s="31">
        <f>IFERROR(VLOOKUP(B92,Miljö!$B$1:$AC$550,MATCH("Köpt mängd produktionsspecifik fjärrvärme:",Miljö!$B$1:$AC$1,0),FALSE)/1,0)</f>
        <v>0</v>
      </c>
      <c r="AI92" s="31">
        <f t="shared" si="23"/>
        <v>219.12825000000004</v>
      </c>
      <c r="AJ92" s="31">
        <f t="shared" si="24"/>
        <v>219.12825000000004</v>
      </c>
      <c r="AK92" s="31">
        <f>IF(ISERROR(1/VLOOKUP($B92,Leveranser!$B$1:$S$499,MATCH("Såld värme (GWh)",Leveranser!$B$1:$S$1,0),FALSE)),"",VLOOKUP($B92,Leveranser!$B$1:$S$499,MATCH("Såld värme (GWh)",Leveranser!$B$1:$S$1,0),FALSE))</f>
        <v>165.97499999999999</v>
      </c>
      <c r="AL92" s="31">
        <f>VLOOKUP($B92,Leveranser!$B$1:$Y$499,MATCH("Totalt såld fjärrvärme till andra fjärrvärmeföretag",Leveranser!$B$1:$AA$1,0),FALSE)</f>
        <v>0</v>
      </c>
      <c r="AM92" s="31">
        <f>IF(ISERROR(1/VLOOKUP($B92,Miljö!$B$1:$S$500,MATCH("Såld mängd produktionsspecifik fjärrvärme (GWh)",Miljö!$B$1:$R$1,0),FALSE)),0,VLOOKUP($B92,Miljö!$B$1:$S$500,MATCH("Såld mängd produktionsspecifik fjärrvärme (GWh)",Miljö!$B$1:$R$1,0),FALSE))</f>
        <v>0</v>
      </c>
      <c r="AN92" s="32">
        <f t="shared" si="25"/>
        <v>0.75743314702691222</v>
      </c>
      <c r="AP92" s="31" t="str">
        <f>IFERROR(VLOOKUP($B92,Miljövärden!$B$2:$H$550,7,FALSE),"Nej, saknas")</f>
        <v>Ja</v>
      </c>
      <c r="AQ92" s="31" t="str">
        <f>IFERROR(VLOOKUP($B92,Miljövärden!$B$2:$H$551,6,FALSE),"Nej, saknas")</f>
        <v>Ja</v>
      </c>
      <c r="AU92" s="31">
        <f t="shared" si="26"/>
        <v>17.179250000000003</v>
      </c>
      <c r="AV92" s="31">
        <f t="shared" si="27"/>
        <v>0</v>
      </c>
      <c r="AW92" s="31">
        <f t="shared" si="28"/>
        <v>153.52500000000001</v>
      </c>
      <c r="AX92" s="31">
        <f t="shared" si="29"/>
        <v>0</v>
      </c>
      <c r="AZ92" s="31">
        <f t="shared" si="30"/>
        <v>158.16</v>
      </c>
      <c r="BC92" s="31">
        <f t="shared" si="31"/>
        <v>0</v>
      </c>
      <c r="BD92" s="31">
        <f t="shared" si="32"/>
        <v>0</v>
      </c>
      <c r="BE92" s="31">
        <f t="shared" si="33"/>
        <v>158.16</v>
      </c>
      <c r="BF92" s="31">
        <f t="shared" si="34"/>
        <v>43.789000000000001</v>
      </c>
      <c r="BG92" s="31">
        <f t="shared" si="35"/>
        <v>17.179250000000003</v>
      </c>
      <c r="BH92" s="31">
        <f>VLOOKUP(B92,Miljö!$B$1:$BX$482,MATCH("Fossilandel för ursprungspecificerad el ()",Miljö!$B$1:$I$1,0),FALSE)</f>
        <v>0</v>
      </c>
      <c r="BI92" s="31">
        <f>VLOOKUP(B92,Miljö!$B$1:$BX$482,MATCH("Kärnkraftsandel för ursprungsspecificerad el ()",Miljö!$B$1:$O$1,0),FALSE)</f>
        <v>0</v>
      </c>
      <c r="BJ92" s="31">
        <f t="shared" si="36"/>
        <v>0</v>
      </c>
      <c r="BK92" s="31" t="str">
        <f>VLOOKUP(B92,Miljö!$B$1:$P$482,MATCH("Fossil andel i procent (%)",Miljö!$B$1:$P$1,0),FALSE)</f>
        <v>ET</v>
      </c>
      <c r="BL92" s="31">
        <f t="shared" si="37"/>
        <v>219.12825000000001</v>
      </c>
      <c r="BO92" s="32">
        <f t="shared" si="38"/>
        <v>0</v>
      </c>
      <c r="BP92" s="32">
        <f t="shared" si="39"/>
        <v>0</v>
      </c>
      <c r="BQ92" s="32">
        <f t="shared" si="40"/>
        <v>0.80016725365168562</v>
      </c>
      <c r="BR92" s="32">
        <f t="shared" si="41"/>
        <v>0.19983274634831427</v>
      </c>
      <c r="BT92" s="62">
        <f t="shared" si="42"/>
        <v>0.99999999999999989</v>
      </c>
      <c r="BW92" s="32">
        <f>IF(AP92="Ja",VLOOKUP(B92,Miljövärden!$B$2:$H$551,MATCH("Total andel fossilt",Miljövärden!$B$2:$H$2,0),FALSE),"")</f>
        <v>0</v>
      </c>
      <c r="BX92" s="62">
        <f t="shared" si="43"/>
        <v>0</v>
      </c>
      <c r="BZ92" s="31">
        <f t="shared" si="44"/>
        <v>0</v>
      </c>
      <c r="CA92" s="32">
        <f t="shared" si="45"/>
        <v>0</v>
      </c>
    </row>
    <row r="93" spans="1:79" x14ac:dyDescent="0.45">
      <c r="A93" s="31" t="s">
        <v>568</v>
      </c>
      <c r="B93" s="31" t="s">
        <v>567</v>
      </c>
      <c r="C93" s="31">
        <f>VLOOKUP($B93,'Tillförd energi'!$B$1:$AI$720,MATCH(C$1,'Tillförd energi'!$B$1:$AQ$1,0),FALSE)</f>
        <v>0</v>
      </c>
      <c r="D93" s="31">
        <f>VLOOKUP($B93,'Tillförd energi'!$B$1:$AI$720,MATCH(D$1,'Tillförd energi'!$B$1:$AQ$1,0),FALSE)</f>
        <v>2.4</v>
      </c>
      <c r="E93" s="31">
        <f>VLOOKUP($B93,'Tillförd energi'!$B$1:$AI$720,MATCH(E$1,'Tillförd energi'!$B$1:$AQ$1,0),FALSE)</f>
        <v>0</v>
      </c>
      <c r="F93" s="31">
        <f>VLOOKUP($B93,'Tillförd energi'!$B$1:$AI$720,MATCH(F$1,'Tillförd energi'!$B$1:$AQ$1,0),FALSE)</f>
        <v>0.7</v>
      </c>
      <c r="G93" s="31">
        <f>VLOOKUP($B93,'Tillförd energi'!$B$1:$AI$720,MATCH(G$1,'Tillförd energi'!$B$1:$AQ$1,0),FALSE)</f>
        <v>0</v>
      </c>
      <c r="H93" s="31">
        <f>VLOOKUP($B93,'Tillförd energi'!$B$1:$AI$720,MATCH(H$1,'Tillförd energi'!$B$1:$AQ$1,0),FALSE)</f>
        <v>0</v>
      </c>
      <c r="I93" s="31">
        <f>VLOOKUP($B93,'Tillförd energi'!$B$1:$AI$720,MATCH(I$1,'Tillförd energi'!$B$1:$AQ$1,0),FALSE)</f>
        <v>0</v>
      </c>
      <c r="J93" s="31">
        <f>VLOOKUP($B93,'Tillförd energi'!$B$1:$AI$720,MATCH(J$1,'Tillförd energi'!$B$1:$AQ$1,0),FALSE)</f>
        <v>0</v>
      </c>
      <c r="K93" s="31">
        <f>VLOOKUP($B93,'Tillförd energi'!$B$1:$AI$720,MATCH(K$1,'Tillförd energi'!$B$1:$AQ$1,0),FALSE)</f>
        <v>0</v>
      </c>
      <c r="L93" s="31">
        <f>VLOOKUP($B93,'Tillförd energi'!$B$1:$AI$720,MATCH(L$1,'Tillförd energi'!$B$1:$AQ$1,0),FALSE)</f>
        <v>0</v>
      </c>
      <c r="M93" s="31">
        <f>VLOOKUP($B93,'Tillförd energi'!$B$1:$AI$720,MATCH(M$1,'Tillförd energi'!$B$1:$AQ$1,0),FALSE)</f>
        <v>6.5654500000000002</v>
      </c>
      <c r="N93" s="31">
        <f>VLOOKUP($B93,'Tillförd energi'!$B$1:$AI$720,MATCH(N$1,'Tillförd energi'!$B$1:$AQ$1,0),FALSE)</f>
        <v>6.5654500000000002</v>
      </c>
      <c r="O93" s="31">
        <f>VLOOKUP($B93,'Tillförd energi'!$B$1:$AI$720,MATCH(O$1,'Tillförd energi'!$B$1:$AQ$1,0),FALSE)</f>
        <v>37.423000000000002</v>
      </c>
      <c r="P93" s="31">
        <f>VLOOKUP($B93,'Tillförd energi'!$B$1:$AI$720,MATCH(P$1,'Tillförd energi'!$B$1:$AQ$1,0),FALSE)</f>
        <v>26.261800000000001</v>
      </c>
      <c r="Q93" s="31">
        <f>VLOOKUP($B93,'Tillförd energi'!$B$1:$AI$720,MATCH(Q$1,'Tillförd energi'!$B$1:$AQ$1,0),FALSE)</f>
        <v>0</v>
      </c>
      <c r="R93" s="31">
        <f>VLOOKUP($B93,'Tillförd energi'!$B$1:$AI$720,MATCH(R$1,'Tillförd energi'!$B$1:$AQ$1,0),FALSE)</f>
        <v>9.6</v>
      </c>
      <c r="S93" s="31">
        <f>VLOOKUP($B93,'Tillförd energi'!$B$1:$AI$720,MATCH(S$1,'Tillförd energi'!$B$1:$AQ$1,0),FALSE)</f>
        <v>0</v>
      </c>
      <c r="T93" s="31">
        <f>VLOOKUP($B93,'Tillförd energi'!$B$1:$AI$720,MATCH(T$1,'Tillförd energi'!$B$1:$AQ$1,0),FALSE)</f>
        <v>0</v>
      </c>
      <c r="U93" s="31">
        <f>VLOOKUP($B93,'Tillförd energi'!$B$1:$AI$720,MATCH(U$1,'Tillförd energi'!$B$1:$AQ$1,0),FALSE)</f>
        <v>0</v>
      </c>
      <c r="V93" s="31">
        <f>VLOOKUP($B93,'Tillförd energi'!$B$1:$AI$720,MATCH(V$1,'Tillförd energi'!$B$1:$AQ$1,0),FALSE)</f>
        <v>0</v>
      </c>
      <c r="W93" s="31">
        <f>VLOOKUP($B93,'Tillförd energi'!$B$1:$AI$720,MATCH(W$1,'Tillförd energi'!$B$1:$AQ$1,0),FALSE)</f>
        <v>0</v>
      </c>
      <c r="X93" s="31">
        <f>VLOOKUP($B93,'Tillförd energi'!$B$1:$AI$720,MATCH(X$1,'Tillförd energi'!$B$1:$AQ$1,0),FALSE)</f>
        <v>0</v>
      </c>
      <c r="Y93" s="31">
        <f>VLOOKUP($B93,'Tillförd energi'!$B$1:$AI$720,MATCH(Y$1,'Tillförd energi'!$B$1:$AQ$1,0),FALSE)</f>
        <v>88.587299999999999</v>
      </c>
      <c r="Z93" s="31">
        <f>VLOOKUP($B93,'Tillförd energi'!$B$1:$AI$720,MATCH(Z$1,'Tillförd energi'!$B$1:$AQ$1,0),FALSE)</f>
        <v>0</v>
      </c>
      <c r="AA93" s="31">
        <f>VLOOKUP($B93,'Tillförd energi'!$B$1:$AI$720,MATCH(AA$1,'Tillförd energi'!$B$1:$AQ$1,0),FALSE)</f>
        <v>0</v>
      </c>
      <c r="AB93" s="31">
        <f>VLOOKUP($B93,'Tillförd energi'!$B$1:$AI$720,MATCH(AB$1,'Tillförd energi'!$B$1:$AQ$1,0),FALSE)</f>
        <v>0</v>
      </c>
      <c r="AC93" s="31">
        <f>VLOOKUP($B93,'Tillförd energi'!$B$1:$AI$720,MATCH(AC$1,'Tillförd energi'!$B$1:$AQ$1,0),FALSE)</f>
        <v>20.5</v>
      </c>
      <c r="AD93" s="31">
        <f>VLOOKUP($B93,'Tillförd energi'!$B$1:$AI$720,MATCH(AD$1,'Tillförd energi'!$B$1:$AQ$1,0),FALSE)</f>
        <v>0</v>
      </c>
      <c r="AE93" s="31">
        <f>VLOOKUP($B93,'Tillförd energi'!$B$1:$AI$720,MATCH(AE$1,'Tillförd energi'!$B$1:$AQ$1,0),FALSE)</f>
        <v>0</v>
      </c>
      <c r="AF93" s="31">
        <f>VLOOKUP($B93,'Tillförd energi'!$B$1:$AI$720,MATCH(AF$1,'Tillförd energi'!$B$1:$AQ$1,0),FALSE)</f>
        <v>7.1250600000000004</v>
      </c>
      <c r="AG93" s="31">
        <f>IFERROR(VLOOKUP(B93,Miljö!$B$1:$AC$550,MATCH("Köpt mängd produktionsspecifik fjärrvärme:",Miljö!$B$1:$AC$1,0),FALSE)/1,0)</f>
        <v>0</v>
      </c>
      <c r="AI93" s="31">
        <f t="shared" si="23"/>
        <v>205.72806</v>
      </c>
      <c r="AJ93" s="31">
        <f t="shared" si="24"/>
        <v>205.72806</v>
      </c>
      <c r="AK93" s="31">
        <f>IF(ISERROR(1/VLOOKUP($B93,Leveranser!$B$1:$S$499,MATCH("Såld värme (GWh)",Leveranser!$B$1:$S$1,0),FALSE)),"",VLOOKUP($B93,Leveranser!$B$1:$S$499,MATCH("Såld värme (GWh)",Leveranser!$B$1:$S$1,0),FALSE))</f>
        <v>165</v>
      </c>
      <c r="AL93" s="31">
        <f>VLOOKUP($B93,Leveranser!$B$1:$Y$499,MATCH("Totalt såld fjärrvärme till andra fjärrvärmeföretag",Leveranser!$B$1:$AA$1,0),FALSE)</f>
        <v>0</v>
      </c>
      <c r="AM93" s="31">
        <f>IF(ISERROR(1/VLOOKUP($B93,Miljö!$B$1:$S$500,MATCH("Såld mängd produktionsspecifik fjärrvärme (GWh)",Miljö!$B$1:$R$1,0),FALSE)),0,VLOOKUP($B93,Miljö!$B$1:$S$500,MATCH("Såld mängd produktionsspecifik fjärrvärme (GWh)",Miljö!$B$1:$R$1,0),FALSE))</f>
        <v>2.391</v>
      </c>
      <c r="AN93" s="32">
        <f t="shared" si="25"/>
        <v>0.80202963076597333</v>
      </c>
      <c r="AP93" s="31" t="str">
        <f>IFERROR(VLOOKUP($B93,Miljövärden!$B$2:$H$550,7,FALSE),"Nej, saknas")</f>
        <v>Ja</v>
      </c>
      <c r="AQ93" s="31" t="str">
        <f>IFERROR(VLOOKUP($B93,Miljövärden!$B$2:$H$551,6,FALSE),"Nej, saknas")</f>
        <v>Ja</v>
      </c>
      <c r="AU93" s="31">
        <f t="shared" si="26"/>
        <v>7.1250600000000004</v>
      </c>
      <c r="AV93" s="31">
        <f t="shared" si="27"/>
        <v>0</v>
      </c>
      <c r="AW93" s="31">
        <f t="shared" si="28"/>
        <v>76.815699999999993</v>
      </c>
      <c r="AX93" s="31">
        <f t="shared" si="29"/>
        <v>9.6</v>
      </c>
      <c r="AZ93" s="31">
        <f t="shared" si="30"/>
        <v>86.415699999999987</v>
      </c>
      <c r="BC93" s="31">
        <f t="shared" si="31"/>
        <v>3.0999999999999996</v>
      </c>
      <c r="BD93" s="31">
        <f t="shared" si="32"/>
        <v>88.587299999999999</v>
      </c>
      <c r="BE93" s="31">
        <f t="shared" si="33"/>
        <v>86.415699999999987</v>
      </c>
      <c r="BF93" s="31">
        <f t="shared" si="34"/>
        <v>20.5</v>
      </c>
      <c r="BG93" s="31">
        <f t="shared" si="35"/>
        <v>7.1250600000000004</v>
      </c>
      <c r="BH93" s="31">
        <f>VLOOKUP(B93,Miljö!$B$1:$BX$482,MATCH("Fossilandel för ursprungspecificerad el ()",Miljö!$B$1:$I$1,0),FALSE)</f>
        <v>0</v>
      </c>
      <c r="BI93" s="31">
        <f>VLOOKUP(B93,Miljö!$B$1:$BX$482,MATCH("Kärnkraftsandel för ursprungsspecificerad el ()",Miljö!$B$1:$O$1,0),FALSE)</f>
        <v>0</v>
      </c>
      <c r="BJ93" s="31">
        <f t="shared" si="36"/>
        <v>0</v>
      </c>
      <c r="BK93" s="31" t="str">
        <f>VLOOKUP(B93,Miljö!$B$1:$P$482,MATCH("Fossil andel i procent (%)",Miljö!$B$1:$P$1,0),FALSE)</f>
        <v>ET</v>
      </c>
      <c r="BL93" s="31">
        <f t="shared" si="37"/>
        <v>205.72805999999997</v>
      </c>
      <c r="BO93" s="32">
        <f t="shared" si="38"/>
        <v>1.5068435487118286E-2</v>
      </c>
      <c r="BP93" s="32">
        <f t="shared" si="39"/>
        <v>0.43060387581548193</v>
      </c>
      <c r="BQ93" s="32">
        <f t="shared" si="40"/>
        <v>0.45468158305677897</v>
      </c>
      <c r="BR93" s="32">
        <f t="shared" si="41"/>
        <v>9.9646105640620944E-2</v>
      </c>
      <c r="BT93" s="62">
        <f t="shared" si="42"/>
        <v>1.0000000000000002</v>
      </c>
      <c r="BW93" s="32">
        <f>IF(AP93="Ja",VLOOKUP(B93,Miljövärden!$B$2:$H$551,MATCH("Total andel fossilt",Miljövärden!$B$2:$H$2,0),FALSE),"")</f>
        <v>1.52456E-2</v>
      </c>
      <c r="BX93" s="62">
        <f t="shared" si="43"/>
        <v>1.7716451288171328E-4</v>
      </c>
      <c r="BZ93" s="31">
        <f t="shared" si="44"/>
        <v>1.7716451288171328E-4</v>
      </c>
      <c r="CA93" s="32">
        <f t="shared" si="45"/>
        <v>0</v>
      </c>
    </row>
    <row r="94" spans="1:79" x14ac:dyDescent="0.45">
      <c r="A94" s="31" t="s">
        <v>566</v>
      </c>
      <c r="B94" s="31" t="s">
        <v>565</v>
      </c>
      <c r="C94" s="31">
        <f>VLOOKUP($B94,'Tillförd energi'!$B$1:$AI$720,MATCH(C$1,'Tillförd energi'!$B$1:$AQ$1,0),FALSE)</f>
        <v>0</v>
      </c>
      <c r="D94" s="31">
        <f>VLOOKUP($B94,'Tillförd energi'!$B$1:$AI$720,MATCH(D$1,'Tillförd energi'!$B$1:$AQ$1,0),FALSE)</f>
        <v>0</v>
      </c>
      <c r="E94" s="31">
        <f>VLOOKUP($B94,'Tillförd energi'!$B$1:$AI$720,MATCH(E$1,'Tillförd energi'!$B$1:$AQ$1,0),FALSE)</f>
        <v>0</v>
      </c>
      <c r="F94" s="31">
        <f>VLOOKUP($B94,'Tillförd energi'!$B$1:$AI$720,MATCH(F$1,'Tillförd energi'!$B$1:$AQ$1,0),FALSE)</f>
        <v>0.42954500000000001</v>
      </c>
      <c r="G94" s="31">
        <f>VLOOKUP($B94,'Tillförd energi'!$B$1:$AI$720,MATCH(G$1,'Tillförd energi'!$B$1:$AQ$1,0),FALSE)</f>
        <v>0</v>
      </c>
      <c r="H94" s="31">
        <f>VLOOKUP($B94,'Tillförd energi'!$B$1:$AI$720,MATCH(H$1,'Tillförd energi'!$B$1:$AQ$1,0),FALSE)</f>
        <v>0</v>
      </c>
      <c r="I94" s="31">
        <f>VLOOKUP($B94,'Tillförd energi'!$B$1:$AI$720,MATCH(I$1,'Tillförd energi'!$B$1:$AQ$1,0),FALSE)</f>
        <v>0</v>
      </c>
      <c r="J94" s="31">
        <f>VLOOKUP($B94,'Tillförd energi'!$B$1:$AI$720,MATCH(J$1,'Tillförd energi'!$B$1:$AQ$1,0),FALSE)</f>
        <v>0</v>
      </c>
      <c r="K94" s="31">
        <f>VLOOKUP($B94,'Tillförd energi'!$B$1:$AI$720,MATCH(K$1,'Tillförd energi'!$B$1:$AQ$1,0),FALSE)</f>
        <v>0</v>
      </c>
      <c r="L94" s="31">
        <f>VLOOKUP($B94,'Tillförd energi'!$B$1:$AI$720,MATCH(L$1,'Tillförd energi'!$B$1:$AQ$1,0),FALSE)</f>
        <v>74.118300000000005</v>
      </c>
      <c r="M94" s="31">
        <f>VLOOKUP($B94,'Tillförd energi'!$B$1:$AI$720,MATCH(M$1,'Tillförd energi'!$B$1:$AQ$1,0),FALSE)</f>
        <v>64.702299999999994</v>
      </c>
      <c r="N94" s="31">
        <f>VLOOKUP($B94,'Tillförd energi'!$B$1:$AI$720,MATCH(N$1,'Tillförd energi'!$B$1:$AQ$1,0),FALSE)</f>
        <v>20.318000000000001</v>
      </c>
      <c r="O94" s="31">
        <f>VLOOKUP($B94,'Tillförd energi'!$B$1:$AI$720,MATCH(O$1,'Tillförd energi'!$B$1:$AQ$1,0),FALSE)</f>
        <v>0</v>
      </c>
      <c r="P94" s="31">
        <f>VLOOKUP($B94,'Tillförd energi'!$B$1:$AI$720,MATCH(P$1,'Tillförd energi'!$B$1:$AQ$1,0),FALSE)</f>
        <v>14.6661</v>
      </c>
      <c r="Q94" s="31">
        <f>VLOOKUP($B94,'Tillförd energi'!$B$1:$AI$720,MATCH(Q$1,'Tillförd energi'!$B$1:$AQ$1,0),FALSE)</f>
        <v>93.477599999999995</v>
      </c>
      <c r="R94" s="31">
        <f>VLOOKUP($B94,'Tillförd energi'!$B$1:$AI$720,MATCH(R$1,'Tillförd energi'!$B$1:$AQ$1,0),FALSE)</f>
        <v>0</v>
      </c>
      <c r="S94" s="31">
        <f>VLOOKUP($B94,'Tillförd energi'!$B$1:$AI$720,MATCH(S$1,'Tillförd energi'!$B$1:$AQ$1,0),FALSE)</f>
        <v>0</v>
      </c>
      <c r="T94" s="31">
        <f>VLOOKUP($B94,'Tillförd energi'!$B$1:$AI$720,MATCH(T$1,'Tillförd energi'!$B$1:$AQ$1,0),FALSE)</f>
        <v>0</v>
      </c>
      <c r="U94" s="31">
        <f>VLOOKUP($B94,'Tillförd energi'!$B$1:$AI$720,MATCH(U$1,'Tillförd energi'!$B$1:$AQ$1,0),FALSE)</f>
        <v>0</v>
      </c>
      <c r="V94" s="31">
        <f>VLOOKUP($B94,'Tillförd energi'!$B$1:$AI$720,MATCH(V$1,'Tillförd energi'!$B$1:$AQ$1,0),FALSE)</f>
        <v>0</v>
      </c>
      <c r="W94" s="31">
        <f>VLOOKUP($B94,'Tillförd energi'!$B$1:$AI$720,MATCH(W$1,'Tillförd energi'!$B$1:$AQ$1,0),FALSE)</f>
        <v>2.8820600000000001</v>
      </c>
      <c r="X94" s="31">
        <f>VLOOKUP($B94,'Tillförd energi'!$B$1:$AI$720,MATCH(X$1,'Tillförd energi'!$B$1:$AQ$1,0),FALSE)</f>
        <v>0</v>
      </c>
      <c r="Y94" s="31">
        <f>VLOOKUP($B94,'Tillförd energi'!$B$1:$AI$720,MATCH(Y$1,'Tillförd energi'!$B$1:$AQ$1,0),FALSE)</f>
        <v>0</v>
      </c>
      <c r="Z94" s="31">
        <f>VLOOKUP($B94,'Tillförd energi'!$B$1:$AI$720,MATCH(Z$1,'Tillförd energi'!$B$1:$AQ$1,0),FALSE)</f>
        <v>0</v>
      </c>
      <c r="AA94" s="31">
        <f>VLOOKUP($B94,'Tillförd energi'!$B$1:$AI$720,MATCH(AA$1,'Tillförd energi'!$B$1:$AQ$1,0),FALSE)</f>
        <v>0</v>
      </c>
      <c r="AB94" s="31">
        <f>VLOOKUP($B94,'Tillförd energi'!$B$1:$AI$720,MATCH(AB$1,'Tillförd energi'!$B$1:$AQ$1,0),FALSE)</f>
        <v>0</v>
      </c>
      <c r="AC94" s="31">
        <f>VLOOKUP($B94,'Tillförd energi'!$B$1:$AI$720,MATCH(AC$1,'Tillförd energi'!$B$1:$AQ$1,0),FALSE)</f>
        <v>76.875</v>
      </c>
      <c r="AD94" s="31">
        <f>VLOOKUP($B94,'Tillförd energi'!$B$1:$AI$720,MATCH(AD$1,'Tillförd energi'!$B$1:$AQ$1,0),FALSE)</f>
        <v>398.517</v>
      </c>
      <c r="AE94" s="31">
        <f>VLOOKUP($B94,'Tillförd energi'!$B$1:$AI$720,MATCH(AE$1,'Tillförd energi'!$B$1:$AQ$1,0),FALSE)</f>
        <v>0</v>
      </c>
      <c r="AF94" s="31">
        <f>VLOOKUP($B94,'Tillförd energi'!$B$1:$AI$720,MATCH(AF$1,'Tillförd energi'!$B$1:$AQ$1,0),FALSE)</f>
        <v>9.8604099999999999</v>
      </c>
      <c r="AG94" s="31">
        <f>IFERROR(VLOOKUP(B94,Miljö!$B$1:$AC$550,MATCH("Köpt mängd produktionsspecifik fjärrvärme:",Miljö!$B$1:$AC$1,0),FALSE)/1,0)</f>
        <v>0</v>
      </c>
      <c r="AI94" s="31">
        <f t="shared" si="23"/>
        <v>755.846315</v>
      </c>
      <c r="AJ94" s="31">
        <f t="shared" si="24"/>
        <v>755.846315</v>
      </c>
      <c r="AK94" s="31">
        <f>IF(ISERROR(1/VLOOKUP($B94,Leveranser!$B$1:$S$499,MATCH("Såld värme (GWh)",Leveranser!$B$1:$S$1,0),FALSE)),"",VLOOKUP($B94,Leveranser!$B$1:$S$499,MATCH("Såld värme (GWh)",Leveranser!$B$1:$S$1,0),FALSE))</f>
        <v>685</v>
      </c>
      <c r="AL94" s="31">
        <f>VLOOKUP($B94,Leveranser!$B$1:$Y$499,MATCH("Totalt såld fjärrvärme till andra fjärrvärmeföretag",Leveranser!$B$1:$AA$1,0),FALSE)</f>
        <v>0</v>
      </c>
      <c r="AM94" s="31">
        <f>IF(ISERROR(1/VLOOKUP($B94,Miljö!$B$1:$S$500,MATCH("Såld mängd produktionsspecifik fjärrvärme (GWh)",Miljö!$B$1:$R$1,0),FALSE)),0,VLOOKUP($B94,Miljö!$B$1:$S$500,MATCH("Såld mängd produktionsspecifik fjärrvärme (GWh)",Miljö!$B$1:$R$1,0),FALSE))</f>
        <v>0</v>
      </c>
      <c r="AN94" s="32">
        <f t="shared" si="25"/>
        <v>0.90626888880181944</v>
      </c>
      <c r="AP94" s="31" t="str">
        <f>IFERROR(VLOOKUP($B94,Miljövärden!$B$2:$H$550,7,FALSE),"Nej, saknas")</f>
        <v>Ja</v>
      </c>
      <c r="AQ94" s="31" t="str">
        <f>IFERROR(VLOOKUP($B94,Miljövärden!$B$2:$H$551,6,FALSE),"Nej, saknas")</f>
        <v>Ja</v>
      </c>
      <c r="AU94" s="31">
        <f t="shared" si="26"/>
        <v>9.8604099999999999</v>
      </c>
      <c r="AV94" s="31">
        <f t="shared" si="27"/>
        <v>0</v>
      </c>
      <c r="AW94" s="31">
        <f t="shared" si="28"/>
        <v>193.16399999999999</v>
      </c>
      <c r="AX94" s="31">
        <f t="shared" si="29"/>
        <v>0</v>
      </c>
      <c r="AZ94" s="31">
        <f t="shared" si="30"/>
        <v>270.16436000000004</v>
      </c>
      <c r="BC94" s="31">
        <f t="shared" si="31"/>
        <v>0.42954500000000001</v>
      </c>
      <c r="BD94" s="31">
        <f t="shared" si="32"/>
        <v>0</v>
      </c>
      <c r="BE94" s="31">
        <f t="shared" si="33"/>
        <v>196.04605999999998</v>
      </c>
      <c r="BF94" s="31">
        <f t="shared" si="34"/>
        <v>549.51030000000003</v>
      </c>
      <c r="BG94" s="31">
        <f t="shared" si="35"/>
        <v>9.8604099999999999</v>
      </c>
      <c r="BH94" s="31">
        <f>VLOOKUP(B94,Miljö!$B$1:$BX$482,MATCH("Fossilandel för ursprungspecificerad el ()",Miljö!$B$1:$I$1,0),FALSE)</f>
        <v>0</v>
      </c>
      <c r="BI94" s="31">
        <f>VLOOKUP(B94,Miljö!$B$1:$BX$482,MATCH("Kärnkraftsandel för ursprungsspecificerad el ()",Miljö!$B$1:$O$1,0),FALSE)</f>
        <v>0</v>
      </c>
      <c r="BJ94" s="31">
        <f t="shared" si="36"/>
        <v>0</v>
      </c>
      <c r="BK94" s="31" t="str">
        <f>VLOOKUP(B94,Miljö!$B$1:$P$482,MATCH("Fossil andel i procent (%)",Miljö!$B$1:$P$1,0),FALSE)</f>
        <v>ET</v>
      </c>
      <c r="BL94" s="31">
        <f t="shared" si="37"/>
        <v>755.846315</v>
      </c>
      <c r="BO94" s="32">
        <f t="shared" si="38"/>
        <v>5.6829674429252196E-4</v>
      </c>
      <c r="BP94" s="32">
        <f t="shared" si="39"/>
        <v>0</v>
      </c>
      <c r="BQ94" s="32">
        <f t="shared" si="40"/>
        <v>0.27241843469197835</v>
      </c>
      <c r="BR94" s="32">
        <f t="shared" si="41"/>
        <v>0.72701326856372916</v>
      </c>
      <c r="BT94" s="62">
        <f t="shared" si="42"/>
        <v>1</v>
      </c>
      <c r="BW94" s="32">
        <f>IF(AP94="Ja",VLOOKUP(B94,Miljövärden!$B$2:$H$551,MATCH("Total andel fossilt",Miljövärden!$B$2:$H$2,0),FALSE),"")</f>
        <v>5.6829700000000005E-4</v>
      </c>
      <c r="BX94" s="62">
        <f t="shared" si="43"/>
        <v>2.5570747808675159E-10</v>
      </c>
      <c r="BZ94" s="31">
        <f t="shared" si="44"/>
        <v>2.5570747808675159E-10</v>
      </c>
      <c r="CA94" s="32">
        <f t="shared" si="45"/>
        <v>0</v>
      </c>
    </row>
    <row r="95" spans="1:79" x14ac:dyDescent="0.45">
      <c r="A95" s="31" t="s">
        <v>560</v>
      </c>
      <c r="B95" s="31" t="s">
        <v>563</v>
      </c>
      <c r="C95" s="31">
        <f>VLOOKUP($B95,'Tillförd energi'!$B$1:$AI$720,MATCH(C$1,'Tillförd energi'!$B$1:$AQ$1,0),FALSE)</f>
        <v>0</v>
      </c>
      <c r="D95" s="31">
        <f>VLOOKUP($B95,'Tillförd energi'!$B$1:$AI$720,MATCH(D$1,'Tillförd energi'!$B$1:$AQ$1,0),FALSE)</f>
        <v>0.75600000000000001</v>
      </c>
      <c r="E95" s="31">
        <f>VLOOKUP($B95,'Tillförd energi'!$B$1:$AI$720,MATCH(E$1,'Tillförd energi'!$B$1:$AQ$1,0),FALSE)</f>
        <v>0</v>
      </c>
      <c r="F95" s="31">
        <f>VLOOKUP($B95,'Tillförd energi'!$B$1:$AI$720,MATCH(F$1,'Tillförd energi'!$B$1:$AQ$1,0),FALSE)</f>
        <v>9.4510000000000005</v>
      </c>
      <c r="G95" s="31">
        <f>VLOOKUP($B95,'Tillförd energi'!$B$1:$AI$720,MATCH(G$1,'Tillförd energi'!$B$1:$AQ$1,0),FALSE)</f>
        <v>404.21300000000002</v>
      </c>
      <c r="H95" s="31">
        <f>VLOOKUP($B95,'Tillförd energi'!$B$1:$AI$720,MATCH(H$1,'Tillförd energi'!$B$1:$AQ$1,0),FALSE)</f>
        <v>0</v>
      </c>
      <c r="I95" s="31">
        <f>VLOOKUP($B95,'Tillförd energi'!$B$1:$AI$720,MATCH(I$1,'Tillförd energi'!$B$1:$AQ$1,0),FALSE)</f>
        <v>907.58199999999999</v>
      </c>
      <c r="J95" s="31">
        <f>VLOOKUP($B95,'Tillförd energi'!$B$1:$AI$720,MATCH(J$1,'Tillförd energi'!$B$1:$AQ$1,0),FALSE)</f>
        <v>52.125999999999998</v>
      </c>
      <c r="K95" s="31">
        <f>VLOOKUP($B95,'Tillförd energi'!$B$1:$AI$720,MATCH(K$1,'Tillförd energi'!$B$1:$AQ$1,0),FALSE)</f>
        <v>0</v>
      </c>
      <c r="L95" s="31">
        <f>VLOOKUP($B95,'Tillförd energi'!$B$1:$AI$720,MATCH(L$1,'Tillförd energi'!$B$1:$AQ$1,0),FALSE)</f>
        <v>0</v>
      </c>
      <c r="M95" s="31">
        <f>VLOOKUP($B95,'Tillförd energi'!$B$1:$AI$720,MATCH(M$1,'Tillförd energi'!$B$1:$AQ$1,0),FALSE)</f>
        <v>41.268999999999998</v>
      </c>
      <c r="N95" s="31">
        <f>VLOOKUP($B95,'Tillförd energi'!$B$1:$AI$720,MATCH(N$1,'Tillförd energi'!$B$1:$AQ$1,0),FALSE)</f>
        <v>92.528000000000006</v>
      </c>
      <c r="O95" s="31">
        <f>VLOOKUP($B95,'Tillförd energi'!$B$1:$AI$720,MATCH(O$1,'Tillförd energi'!$B$1:$AQ$1,0),FALSE)</f>
        <v>0</v>
      </c>
      <c r="P95" s="31">
        <f>VLOOKUP($B95,'Tillförd energi'!$B$1:$AI$720,MATCH(P$1,'Tillförd energi'!$B$1:$AQ$1,0),FALSE)</f>
        <v>28.044</v>
      </c>
      <c r="Q95" s="31">
        <f>VLOOKUP($B95,'Tillförd energi'!$B$1:$AI$720,MATCH(Q$1,'Tillförd energi'!$B$1:$AQ$1,0),FALSE)</f>
        <v>23.277999999999999</v>
      </c>
      <c r="R95" s="31">
        <f>VLOOKUP($B95,'Tillförd energi'!$B$1:$AI$720,MATCH(R$1,'Tillförd energi'!$B$1:$AQ$1,0),FALSE)</f>
        <v>79.703000000000003</v>
      </c>
      <c r="S95" s="31">
        <f>VLOOKUP($B95,'Tillförd energi'!$B$1:$AI$720,MATCH(S$1,'Tillförd energi'!$B$1:$AQ$1,0),FALSE)</f>
        <v>0</v>
      </c>
      <c r="T95" s="31">
        <f>VLOOKUP($B95,'Tillförd energi'!$B$1:$AI$720,MATCH(T$1,'Tillförd energi'!$B$1:$AQ$1,0),FALSE)</f>
        <v>0</v>
      </c>
      <c r="U95" s="31">
        <f>VLOOKUP($B95,'Tillförd energi'!$B$1:$AI$720,MATCH(U$1,'Tillförd energi'!$B$1:$AQ$1,0),FALSE)</f>
        <v>0</v>
      </c>
      <c r="V95" s="31">
        <f>VLOOKUP($B95,'Tillförd energi'!$B$1:$AI$720,MATCH(V$1,'Tillförd energi'!$B$1:$AQ$1,0),FALSE)</f>
        <v>0</v>
      </c>
      <c r="W95" s="31">
        <f>VLOOKUP($B95,'Tillförd energi'!$B$1:$AI$720,MATCH(W$1,'Tillförd energi'!$B$1:$AQ$1,0),FALSE)</f>
        <v>3.1190000000000002</v>
      </c>
      <c r="X95" s="31">
        <f>VLOOKUP($B95,'Tillförd energi'!$B$1:$AI$720,MATCH(X$1,'Tillförd energi'!$B$1:$AQ$1,0),FALSE)</f>
        <v>0</v>
      </c>
      <c r="Y95" s="31">
        <f>VLOOKUP($B95,'Tillförd energi'!$B$1:$AI$720,MATCH(Y$1,'Tillförd energi'!$B$1:$AQ$1,0),FALSE)</f>
        <v>0</v>
      </c>
      <c r="Z95" s="31">
        <f>VLOOKUP($B95,'Tillförd energi'!$B$1:$AI$720,MATCH(Z$1,'Tillförd energi'!$B$1:$AQ$1,0),FALSE)</f>
        <v>0</v>
      </c>
      <c r="AA95" s="31">
        <f>VLOOKUP($B95,'Tillförd energi'!$B$1:$AI$720,MATCH(AA$1,'Tillförd energi'!$B$1:$AQ$1,0),FALSE)</f>
        <v>92.748999999999995</v>
      </c>
      <c r="AB95" s="31">
        <f>VLOOKUP($B95,'Tillförd energi'!$B$1:$AI$720,MATCH(AB$1,'Tillförd energi'!$B$1:$AQ$1,0),FALSE)</f>
        <v>225.64400000000001</v>
      </c>
      <c r="AC95" s="31">
        <f>VLOOKUP($B95,'Tillförd energi'!$B$1:$AI$720,MATCH(AC$1,'Tillförd energi'!$B$1:$AQ$1,0),FALSE)</f>
        <v>423.27300000000002</v>
      </c>
      <c r="AD95" s="31">
        <f>VLOOKUP($B95,'Tillförd energi'!$B$1:$AI$720,MATCH(AD$1,'Tillförd energi'!$B$1:$AQ$1,0),FALSE)</f>
        <v>1104.68</v>
      </c>
      <c r="AE95" s="31">
        <f>VLOOKUP($B95,'Tillförd energi'!$B$1:$AI$720,MATCH(AE$1,'Tillförd energi'!$B$1:$AQ$1,0),FALSE)</f>
        <v>0</v>
      </c>
      <c r="AF95" s="31">
        <f>VLOOKUP($B95,'Tillförd energi'!$B$1:$AI$720,MATCH(AF$1,'Tillförd energi'!$B$1:$AQ$1,0),FALSE)</f>
        <v>56.531999999999996</v>
      </c>
      <c r="AG95" s="31">
        <f>IFERROR(VLOOKUP(B95,Miljö!$B$1:$AC$550,MATCH("Köpt mängd produktionsspecifik fjärrvärme:",Miljö!$B$1:$AC$1,0),FALSE)/1,0)</f>
        <v>109.63500000000001</v>
      </c>
      <c r="AI95" s="31">
        <f t="shared" si="23"/>
        <v>3544.9470000000001</v>
      </c>
      <c r="AJ95" s="31">
        <f t="shared" si="24"/>
        <v>3654.5820000000003</v>
      </c>
      <c r="AK95" s="31">
        <f>IF(ISERROR(1/VLOOKUP($B95,Leveranser!$B$1:$S$499,MATCH("Såld värme (GWh)",Leveranser!$B$1:$S$1,0),FALSE)),"",VLOOKUP($B95,Leveranser!$B$1:$S$499,MATCH("Såld värme (GWh)",Leveranser!$B$1:$S$1,0),FALSE))</f>
        <v>3155.53</v>
      </c>
      <c r="AL95" s="31">
        <f>VLOOKUP($B95,Leveranser!$B$1:$Y$499,MATCH("Totalt såld fjärrvärme till andra fjärrvärmeföretag",Leveranser!$B$1:$AA$1,0),FALSE)</f>
        <v>216.69</v>
      </c>
      <c r="AM95" s="31">
        <f>IF(ISERROR(1/VLOOKUP($B95,Miljö!$B$1:$S$500,MATCH("Såld mängd produktionsspecifik fjärrvärme (GWh)",Miljö!$B$1:$R$1,0),FALSE)),0,VLOOKUP($B95,Miljö!$B$1:$S$500,MATCH("Såld mängd produktionsspecifik fjärrvärme (GWh)",Miljö!$B$1:$R$1,0),FALSE))</f>
        <v>114.73</v>
      </c>
      <c r="AN95" s="32">
        <f t="shared" si="25"/>
        <v>0.86344484813858324</v>
      </c>
      <c r="AP95" s="31" t="str">
        <f>IFERROR(VLOOKUP($B95,Miljövärden!$B$2:$H$550,7,FALSE),"Nej, saknas")</f>
        <v>Ja</v>
      </c>
      <c r="AQ95" s="31" t="str">
        <f>IFERROR(VLOOKUP($B95,Miljövärden!$B$2:$H$551,6,FALSE),"Nej, saknas")</f>
        <v>Ja</v>
      </c>
      <c r="AU95" s="31">
        <f t="shared" si="26"/>
        <v>149.28100000000001</v>
      </c>
      <c r="AV95" s="31">
        <f t="shared" si="27"/>
        <v>0</v>
      </c>
      <c r="AW95" s="31">
        <f t="shared" si="28"/>
        <v>185.119</v>
      </c>
      <c r="AX95" s="31">
        <f t="shared" si="29"/>
        <v>79.703000000000003</v>
      </c>
      <c r="AZ95" s="31">
        <f t="shared" si="30"/>
        <v>267.94100000000003</v>
      </c>
      <c r="BC95" s="31">
        <f t="shared" si="31"/>
        <v>414.42</v>
      </c>
      <c r="BD95" s="31">
        <f>Y95</f>
        <v>0</v>
      </c>
      <c r="BE95" s="31">
        <f t="shared" si="33"/>
        <v>267.94100000000003</v>
      </c>
      <c r="BF95" s="31">
        <f t="shared" si="34"/>
        <v>2713.3050000000003</v>
      </c>
      <c r="BG95" s="31">
        <f t="shared" si="35"/>
        <v>149.28100000000001</v>
      </c>
      <c r="BH95" s="31">
        <f>VLOOKUP(B95,Miljö!$B$1:$BX$482,MATCH("Fossilandel för ursprungspecificerad el ()",Miljö!$B$1:$I$1,0),FALSE)</f>
        <v>0</v>
      </c>
      <c r="BI95" s="31">
        <f>VLOOKUP(B95,Miljö!$B$1:$BX$482,MATCH("Kärnkraftsandel för ursprungsspecificerad el ()",Miljö!$B$1:$O$1,0),FALSE)</f>
        <v>0</v>
      </c>
      <c r="BJ95" s="31">
        <f t="shared" si="36"/>
        <v>109.63500000000001</v>
      </c>
      <c r="BK95" s="31">
        <f>VLOOKUP(B95,Miljö!$B$1:$P$482,MATCH("Fossil andel i procent (%)",Miljö!$B$1:$P$1,0),FALSE)</f>
        <v>0</v>
      </c>
      <c r="BL95" s="31">
        <f t="shared" si="37"/>
        <v>3654.5820000000003</v>
      </c>
      <c r="BO95" s="309">
        <f t="shared" si="38"/>
        <v>0.11339737348895167</v>
      </c>
      <c r="BP95" s="32">
        <f>IF(AP95="ja",(BD95+IFERROR(BG95*BI95,0)+IFERROR(BJ95*(1-BK95/100),0))/$BL95,"")</f>
        <v>2.9999326872402917E-2</v>
      </c>
      <c r="BQ95" s="32">
        <f t="shared" si="40"/>
        <v>0.11416408223977462</v>
      </c>
      <c r="BR95" s="32">
        <f t="shared" si="41"/>
        <v>0.74243921739887075</v>
      </c>
      <c r="BT95" s="62">
        <f t="shared" si="42"/>
        <v>1</v>
      </c>
      <c r="BW95" s="32">
        <f>IF(AP95="Ja",VLOOKUP(B95,Miljövärden!$B$2:$H$551,MATCH("Total andel fossilt",Miljövärden!$B$2:$H$2,0),FALSE),"")</f>
        <v>0.114955</v>
      </c>
      <c r="BX95" s="62">
        <f t="shared" si="43"/>
        <v>1.557626511048335E-3</v>
      </c>
      <c r="BZ95" s="308">
        <f t="shared" si="44"/>
        <v>1.557626511048335E-3</v>
      </c>
      <c r="CA95" s="32">
        <f t="shared" si="45"/>
        <v>2.0000000000000018E-3</v>
      </c>
    </row>
    <row r="96" spans="1:79" x14ac:dyDescent="0.45">
      <c r="A96" s="31" t="s">
        <v>560</v>
      </c>
      <c r="B96" s="31" t="s">
        <v>562</v>
      </c>
      <c r="C96" s="31">
        <f>VLOOKUP($B96,'Tillförd energi'!$B$1:$AI$720,MATCH(C$1,'Tillförd energi'!$B$1:$AQ$1,0),FALSE)</f>
        <v>0</v>
      </c>
      <c r="D96" s="31">
        <f>VLOOKUP($B96,'Tillförd energi'!$B$1:$AI$720,MATCH(D$1,'Tillförd energi'!$B$1:$AQ$1,0),FALSE)</f>
        <v>0</v>
      </c>
      <c r="E96" s="31">
        <f>VLOOKUP($B96,'Tillförd energi'!$B$1:$AI$720,MATCH(E$1,'Tillförd energi'!$B$1:$AQ$1,0),FALSE)</f>
        <v>0</v>
      </c>
      <c r="F96" s="31">
        <f>VLOOKUP($B96,'Tillförd energi'!$B$1:$AI$720,MATCH(F$1,'Tillförd energi'!$B$1:$AQ$1,0),FALSE)</f>
        <v>0</v>
      </c>
      <c r="G96" s="31">
        <f>VLOOKUP($B96,'Tillförd energi'!$B$1:$AI$720,MATCH(G$1,'Tillförd energi'!$B$1:$AQ$1,0),FALSE)</f>
        <v>0</v>
      </c>
      <c r="H96" s="31">
        <f>VLOOKUP($B96,'Tillförd energi'!$B$1:$AI$720,MATCH(H$1,'Tillförd energi'!$B$1:$AQ$1,0),FALSE)</f>
        <v>0</v>
      </c>
      <c r="I96" s="31">
        <f>VLOOKUP($B96,'Tillförd energi'!$B$1:$AI$720,MATCH(I$1,'Tillförd energi'!$B$1:$AQ$1,0),FALSE)</f>
        <v>0</v>
      </c>
      <c r="J96" s="31">
        <f>VLOOKUP($B96,'Tillförd energi'!$B$1:$AI$720,MATCH(J$1,'Tillförd energi'!$B$1:$AQ$1,0),FALSE)</f>
        <v>0</v>
      </c>
      <c r="K96" s="31">
        <f>VLOOKUP($B96,'Tillförd energi'!$B$1:$AI$720,MATCH(K$1,'Tillförd energi'!$B$1:$AQ$1,0),FALSE)</f>
        <v>0</v>
      </c>
      <c r="L96" s="31">
        <f>VLOOKUP($B96,'Tillförd energi'!$B$1:$AI$720,MATCH(L$1,'Tillförd energi'!$B$1:$AQ$1,0),FALSE)</f>
        <v>0</v>
      </c>
      <c r="M96" s="31">
        <f>VLOOKUP($B96,'Tillförd energi'!$B$1:$AI$720,MATCH(M$1,'Tillförd energi'!$B$1:$AQ$1,0),FALSE)</f>
        <v>30.423999999999999</v>
      </c>
      <c r="N96" s="31">
        <f>VLOOKUP($B96,'Tillförd energi'!$B$1:$AI$720,MATCH(N$1,'Tillförd energi'!$B$1:$AQ$1,0),FALSE)</f>
        <v>68.213999999999999</v>
      </c>
      <c r="O96" s="31">
        <f>VLOOKUP($B96,'Tillförd energi'!$B$1:$AI$720,MATCH(O$1,'Tillförd energi'!$B$1:$AQ$1,0),FALSE)</f>
        <v>0</v>
      </c>
      <c r="P96" s="31">
        <f>VLOOKUP($B96,'Tillförd energi'!$B$1:$AI$720,MATCH(P$1,'Tillförd energi'!$B$1:$AQ$1,0),FALSE)</f>
        <v>20.675000000000001</v>
      </c>
      <c r="Q96" s="31">
        <f>VLOOKUP($B96,'Tillförd energi'!$B$1:$AI$720,MATCH(Q$1,'Tillförd energi'!$B$1:$AQ$1,0),FALSE)</f>
        <v>14.385</v>
      </c>
      <c r="R96" s="31">
        <f>VLOOKUP($B96,'Tillförd energi'!$B$1:$AI$720,MATCH(R$1,'Tillförd energi'!$B$1:$AQ$1,0),FALSE)</f>
        <v>0</v>
      </c>
      <c r="S96" s="31">
        <f>VLOOKUP($B96,'Tillförd energi'!$B$1:$AI$720,MATCH(S$1,'Tillförd energi'!$B$1:$AQ$1,0),FALSE)</f>
        <v>0</v>
      </c>
      <c r="T96" s="31">
        <f>VLOOKUP($B96,'Tillförd energi'!$B$1:$AI$720,MATCH(T$1,'Tillförd energi'!$B$1:$AQ$1,0),FALSE)</f>
        <v>0</v>
      </c>
      <c r="U96" s="31">
        <f>VLOOKUP($B96,'Tillförd energi'!$B$1:$AI$720,MATCH(U$1,'Tillförd energi'!$B$1:$AQ$1,0),FALSE)</f>
        <v>0</v>
      </c>
      <c r="V96" s="31">
        <f>VLOOKUP($B96,'Tillförd energi'!$B$1:$AI$720,MATCH(V$1,'Tillförd energi'!$B$1:$AQ$1,0),FALSE)</f>
        <v>0</v>
      </c>
      <c r="W96" s="31">
        <f>VLOOKUP($B96,'Tillförd energi'!$B$1:$AI$720,MATCH(W$1,'Tillförd energi'!$B$1:$AQ$1,0),FALSE)</f>
        <v>0.49399999999999999</v>
      </c>
      <c r="X96" s="31">
        <f>VLOOKUP($B96,'Tillförd energi'!$B$1:$AI$720,MATCH(X$1,'Tillförd energi'!$B$1:$AQ$1,0),FALSE)</f>
        <v>0</v>
      </c>
      <c r="Y96" s="31">
        <f>VLOOKUP($B96,'Tillförd energi'!$B$1:$AI$720,MATCH(Y$1,'Tillförd energi'!$B$1:$AQ$1,0),FALSE)</f>
        <v>0</v>
      </c>
      <c r="Z96" s="31">
        <f>VLOOKUP($B96,'Tillförd energi'!$B$1:$AI$720,MATCH(Z$1,'Tillförd energi'!$B$1:$AQ$1,0),FALSE)</f>
        <v>0</v>
      </c>
      <c r="AA96" s="31">
        <f>VLOOKUP($B96,'Tillförd energi'!$B$1:$AI$720,MATCH(AA$1,'Tillförd energi'!$B$1:$AQ$1,0),FALSE)</f>
        <v>0</v>
      </c>
      <c r="AB96" s="31">
        <f>VLOOKUP($B96,'Tillförd energi'!$B$1:$AI$720,MATCH(AB$1,'Tillförd energi'!$B$1:$AQ$1,0),FALSE)</f>
        <v>0</v>
      </c>
      <c r="AC96" s="31">
        <f>VLOOKUP($B96,'Tillförd energi'!$B$1:$AI$720,MATCH(AC$1,'Tillförd energi'!$B$1:$AQ$1,0),FALSE)</f>
        <v>40.58</v>
      </c>
      <c r="AD96" s="31">
        <f>VLOOKUP($B96,'Tillförd energi'!$B$1:$AI$720,MATCH(AD$1,'Tillförd energi'!$B$1:$AQ$1,0),FALSE)</f>
        <v>0</v>
      </c>
      <c r="AE96" s="31">
        <f>VLOOKUP($B96,'Tillförd energi'!$B$1:$AI$720,MATCH(AE$1,'Tillförd energi'!$B$1:$AQ$1,0),FALSE)</f>
        <v>0</v>
      </c>
      <c r="AF96" s="31">
        <f>VLOOKUP($B96,'Tillförd energi'!$B$1:$AI$720,MATCH(AF$1,'Tillförd energi'!$B$1:$AQ$1,0),FALSE)</f>
        <v>2.8290000000000002</v>
      </c>
      <c r="AG96" s="31">
        <f>IFERROR(VLOOKUP(B96,Miljö!$B$1:$AC$550,MATCH("Köpt mängd produktionsspecifik fjärrvärme:",Miljö!$B$1:$AC$1,0),FALSE)/1,0)</f>
        <v>0</v>
      </c>
      <c r="AI96" s="31">
        <f t="shared" si="23"/>
        <v>177.601</v>
      </c>
      <c r="AJ96" s="31">
        <f t="shared" si="24"/>
        <v>177.601</v>
      </c>
      <c r="AK96" s="31">
        <f>IF(ISERROR(1/VLOOKUP($B96,Leveranser!$B$1:$S$499,MATCH("Såld värme (GWh)",Leveranser!$B$1:$S$1,0),FALSE)),"",VLOOKUP($B96,Leveranser!$B$1:$S$499,MATCH("Såld värme (GWh)",Leveranser!$B$1:$S$1,0),FALSE))</f>
        <v>158.6</v>
      </c>
      <c r="AL96" s="31">
        <f>VLOOKUP($B96,Leveranser!$B$1:$Y$499,MATCH("Totalt såld fjärrvärme till andra fjärrvärmeföretag",Leveranser!$B$1:$AA$1,0),FALSE)</f>
        <v>0</v>
      </c>
      <c r="AM96" s="31">
        <f>IF(ISERROR(1/VLOOKUP($B96,Miljö!$B$1:$S$500,MATCH("Såld mängd produktionsspecifik fjärrvärme (GWh)",Miljö!$B$1:$R$1,0),FALSE)),0,VLOOKUP($B96,Miljö!$B$1:$S$500,MATCH("Såld mängd produktionsspecifik fjärrvärme (GWh)",Miljö!$B$1:$R$1,0),FALSE))</f>
        <v>0</v>
      </c>
      <c r="AN96" s="32">
        <f t="shared" si="25"/>
        <v>0.89301298979172417</v>
      </c>
      <c r="AP96" s="31" t="str">
        <f>IFERROR(VLOOKUP($B96,Miljövärden!$B$2:$H$550,7,FALSE),"Nej, saknas")</f>
        <v>Ja</v>
      </c>
      <c r="AQ96" s="31" t="str">
        <f>IFERROR(VLOOKUP($B96,Miljövärden!$B$2:$H$551,6,FALSE),"Nej, saknas")</f>
        <v>Ja</v>
      </c>
      <c r="AU96" s="31">
        <f t="shared" si="26"/>
        <v>2.8290000000000002</v>
      </c>
      <c r="AV96" s="31">
        <f t="shared" si="27"/>
        <v>0</v>
      </c>
      <c r="AW96" s="31">
        <f t="shared" si="28"/>
        <v>133.69800000000001</v>
      </c>
      <c r="AX96" s="31">
        <f t="shared" si="29"/>
        <v>0</v>
      </c>
      <c r="AZ96" s="31">
        <f t="shared" si="30"/>
        <v>134.19200000000001</v>
      </c>
      <c r="BC96" s="31">
        <f t="shared" si="31"/>
        <v>0</v>
      </c>
      <c r="BD96" s="31">
        <f t="shared" si="32"/>
        <v>0</v>
      </c>
      <c r="BE96" s="31">
        <f t="shared" si="33"/>
        <v>134.19200000000001</v>
      </c>
      <c r="BF96" s="31">
        <f t="shared" si="34"/>
        <v>40.58</v>
      </c>
      <c r="BG96" s="31">
        <f t="shared" si="35"/>
        <v>2.8290000000000002</v>
      </c>
      <c r="BH96" s="31">
        <f>VLOOKUP(B96,Miljö!$B$1:$BX$482,MATCH("Fossilandel för ursprungspecificerad el ()",Miljö!$B$1:$I$1,0),FALSE)</f>
        <v>0</v>
      </c>
      <c r="BI96" s="31">
        <f>VLOOKUP(B96,Miljö!$B$1:$BX$482,MATCH("Kärnkraftsandel för ursprungsspecificerad el ()",Miljö!$B$1:$O$1,0),FALSE)</f>
        <v>0</v>
      </c>
      <c r="BJ96" s="31">
        <f t="shared" si="36"/>
        <v>0</v>
      </c>
      <c r="BK96" s="31" t="str">
        <f>VLOOKUP(B96,Miljö!$B$1:$P$482,MATCH("Fossil andel i procent (%)",Miljö!$B$1:$P$1,0),FALSE)</f>
        <v>ET</v>
      </c>
      <c r="BL96" s="31">
        <f t="shared" si="37"/>
        <v>177.601</v>
      </c>
      <c r="BO96" s="32">
        <f t="shared" si="38"/>
        <v>0</v>
      </c>
      <c r="BP96" s="32">
        <f t="shared" si="39"/>
        <v>0</v>
      </c>
      <c r="BQ96" s="32">
        <f t="shared" si="40"/>
        <v>0.77151029555013773</v>
      </c>
      <c r="BR96" s="32">
        <f t="shared" si="41"/>
        <v>0.22848970444986233</v>
      </c>
      <c r="BT96" s="62">
        <f t="shared" si="42"/>
        <v>1</v>
      </c>
      <c r="BW96" s="32">
        <f>IF(AP96="Ja",VLOOKUP(B96,Miljövärden!$B$2:$H$551,MATCH("Total andel fossilt",Miljövärden!$B$2:$H$2,0),FALSE),"")</f>
        <v>0</v>
      </c>
      <c r="BX96" s="62">
        <f t="shared" si="43"/>
        <v>0</v>
      </c>
      <c r="BZ96" s="31">
        <f t="shared" si="44"/>
        <v>0</v>
      </c>
      <c r="CA96" s="32">
        <f t="shared" si="45"/>
        <v>0</v>
      </c>
    </row>
    <row r="97" spans="1:79" hidden="1" x14ac:dyDescent="0.45">
      <c r="A97" s="31" t="s">
        <v>560</v>
      </c>
      <c r="B97" s="31" t="s">
        <v>559</v>
      </c>
      <c r="C97" s="31">
        <f>VLOOKUP($B97,'Tillförd energi'!$B$1:$AI$720,MATCH(C$1,'Tillförd energi'!$B$1:$AQ$1,0),FALSE)</f>
        <v>0</v>
      </c>
      <c r="D97" s="31">
        <f>VLOOKUP($B97,'Tillförd energi'!$B$1:$AI$720,MATCH(D$1,'Tillförd energi'!$B$1:$AQ$1,0),FALSE)</f>
        <v>0</v>
      </c>
      <c r="E97" s="31">
        <f>VLOOKUP($B97,'Tillförd energi'!$B$1:$AI$720,MATCH(E$1,'Tillförd energi'!$B$1:$AQ$1,0),FALSE)</f>
        <v>0</v>
      </c>
      <c r="F97" s="31">
        <f>VLOOKUP($B97,'Tillförd energi'!$B$1:$AI$720,MATCH(F$1,'Tillförd energi'!$B$1:$AQ$1,0),FALSE)</f>
        <v>0</v>
      </c>
      <c r="G97" s="31">
        <f>VLOOKUP($B97,'Tillförd energi'!$B$1:$AI$720,MATCH(G$1,'Tillförd energi'!$B$1:$AQ$1,0),FALSE)</f>
        <v>0</v>
      </c>
      <c r="H97" s="31">
        <f>VLOOKUP($B97,'Tillförd energi'!$B$1:$AI$720,MATCH(H$1,'Tillförd energi'!$B$1:$AQ$1,0),FALSE)</f>
        <v>0</v>
      </c>
      <c r="I97" s="31">
        <f>VLOOKUP($B97,'Tillförd energi'!$B$1:$AI$720,MATCH(I$1,'Tillförd energi'!$B$1:$AQ$1,0),FALSE)</f>
        <v>0</v>
      </c>
      <c r="J97" s="31">
        <f>VLOOKUP($B97,'Tillförd energi'!$B$1:$AI$720,MATCH(J$1,'Tillförd energi'!$B$1:$AQ$1,0),FALSE)</f>
        <v>0</v>
      </c>
      <c r="K97" s="31">
        <f>VLOOKUP($B97,'Tillförd energi'!$B$1:$AI$720,MATCH(K$1,'Tillförd energi'!$B$1:$AQ$1,0),FALSE)</f>
        <v>0</v>
      </c>
      <c r="L97" s="31">
        <f>VLOOKUP($B97,'Tillförd energi'!$B$1:$AI$720,MATCH(L$1,'Tillförd energi'!$B$1:$AQ$1,0),FALSE)</f>
        <v>0</v>
      </c>
      <c r="M97" s="31">
        <f>VLOOKUP($B97,'Tillförd energi'!$B$1:$AI$720,MATCH(M$1,'Tillförd energi'!$B$1:$AQ$1,0),FALSE)</f>
        <v>0</v>
      </c>
      <c r="N97" s="31">
        <f>VLOOKUP($B97,'Tillförd energi'!$B$1:$AI$720,MATCH(N$1,'Tillförd energi'!$B$1:$AQ$1,0),FALSE)</f>
        <v>0</v>
      </c>
      <c r="O97" s="31">
        <f>VLOOKUP($B97,'Tillförd energi'!$B$1:$AI$720,MATCH(O$1,'Tillförd energi'!$B$1:$AQ$1,0),FALSE)</f>
        <v>0</v>
      </c>
      <c r="P97" s="31">
        <f>VLOOKUP($B97,'Tillförd energi'!$B$1:$AI$720,MATCH(P$1,'Tillförd energi'!$B$1:$AQ$1,0),FALSE)</f>
        <v>0</v>
      </c>
      <c r="Q97" s="31">
        <f>VLOOKUP($B97,'Tillförd energi'!$B$1:$AI$720,MATCH(Q$1,'Tillförd energi'!$B$1:$AQ$1,0),FALSE)</f>
        <v>0</v>
      </c>
      <c r="R97" s="31">
        <f>VLOOKUP($B97,'Tillförd energi'!$B$1:$AI$720,MATCH(R$1,'Tillförd energi'!$B$1:$AQ$1,0),FALSE)</f>
        <v>0</v>
      </c>
      <c r="S97" s="31">
        <f>VLOOKUP($B97,'Tillförd energi'!$B$1:$AI$720,MATCH(S$1,'Tillförd energi'!$B$1:$AQ$1,0),FALSE)</f>
        <v>0</v>
      </c>
      <c r="T97" s="31">
        <f>VLOOKUP($B97,'Tillförd energi'!$B$1:$AI$720,MATCH(T$1,'Tillförd energi'!$B$1:$AQ$1,0),FALSE)</f>
        <v>0</v>
      </c>
      <c r="U97" s="31">
        <f>VLOOKUP($B97,'Tillförd energi'!$B$1:$AI$720,MATCH(U$1,'Tillförd energi'!$B$1:$AQ$1,0),FALSE)</f>
        <v>0</v>
      </c>
      <c r="V97" s="31">
        <f>VLOOKUP($B97,'Tillförd energi'!$B$1:$AI$720,MATCH(V$1,'Tillförd energi'!$B$1:$AQ$1,0),FALSE)</f>
        <v>0</v>
      </c>
      <c r="W97" s="31">
        <f>VLOOKUP($B97,'Tillförd energi'!$B$1:$AI$720,MATCH(W$1,'Tillförd energi'!$B$1:$AQ$1,0),FALSE)</f>
        <v>0</v>
      </c>
      <c r="X97" s="31">
        <f>VLOOKUP($B97,'Tillförd energi'!$B$1:$AI$720,MATCH(X$1,'Tillförd energi'!$B$1:$AQ$1,0),FALSE)</f>
        <v>0</v>
      </c>
      <c r="Y97" s="31">
        <f>VLOOKUP($B97,'Tillförd energi'!$B$1:$AI$720,MATCH(Y$1,'Tillförd energi'!$B$1:$AQ$1,0),FALSE)</f>
        <v>0</v>
      </c>
      <c r="Z97" s="31">
        <f>VLOOKUP($B97,'Tillförd energi'!$B$1:$AI$720,MATCH(Z$1,'Tillförd energi'!$B$1:$AQ$1,0),FALSE)</f>
        <v>0</v>
      </c>
      <c r="AA97" s="31">
        <f>VLOOKUP($B97,'Tillförd energi'!$B$1:$AI$720,MATCH(AA$1,'Tillförd energi'!$B$1:$AQ$1,0),FALSE)</f>
        <v>0</v>
      </c>
      <c r="AB97" s="31">
        <f>VLOOKUP($B97,'Tillförd energi'!$B$1:$AI$720,MATCH(AB$1,'Tillförd energi'!$B$1:$AQ$1,0),FALSE)</f>
        <v>0</v>
      </c>
      <c r="AC97" s="31">
        <f>VLOOKUP($B97,'Tillförd energi'!$B$1:$AI$720,MATCH(AC$1,'Tillförd energi'!$B$1:$AQ$1,0),FALSE)</f>
        <v>0</v>
      </c>
      <c r="AD97" s="31">
        <f>VLOOKUP($B97,'Tillförd energi'!$B$1:$AI$720,MATCH(AD$1,'Tillförd energi'!$B$1:$AQ$1,0),FALSE)</f>
        <v>0</v>
      </c>
      <c r="AE97" s="31">
        <f>VLOOKUP($B97,'Tillförd energi'!$B$1:$AI$720,MATCH(AE$1,'Tillförd energi'!$B$1:$AQ$1,0),FALSE)</f>
        <v>0</v>
      </c>
      <c r="AF97" s="31">
        <f>VLOOKUP($B97,'Tillförd energi'!$B$1:$AI$720,MATCH(AF$1,'Tillförd energi'!$B$1:$AQ$1,0),FALSE)</f>
        <v>0</v>
      </c>
      <c r="AG97" s="31">
        <f>IFERROR(VLOOKUP(B97,Miljö!$B$1:$AC$550,MATCH("Köpt mängd produktionsspecifik fjärrvärme:",Miljö!$B$1:$AC$1,0),FALSE)/1,0)</f>
        <v>0</v>
      </c>
      <c r="AI97" s="31">
        <f t="shared" si="23"/>
        <v>0</v>
      </c>
      <c r="AJ97" s="31">
        <f t="shared" si="24"/>
        <v>0</v>
      </c>
      <c r="AK97" s="31" t="str">
        <f>IF(ISERROR(1/VLOOKUP($B97,Leveranser!$B$1:$S$499,MATCH("Såld värme (GWh)",Leveranser!$B$1:$S$1,0),FALSE)),"",VLOOKUP($B97,Leveranser!$B$1:$S$499,MATCH("Såld värme (GWh)",Leveranser!$B$1:$S$1,0),FALSE))</f>
        <v/>
      </c>
      <c r="AL97" s="31">
        <f>VLOOKUP($B97,Leveranser!$B$1:$Y$499,MATCH("Totalt såld fjärrvärme till andra fjärrvärmeföretag",Leveranser!$B$1:$AA$1,0),FALSE)</f>
        <v>0</v>
      </c>
      <c r="AM97" s="31">
        <f>IF(ISERROR(1/VLOOKUP($B97,Miljö!$B$1:$S$500,MATCH("Såld mängd produktionsspecifik fjärrvärme (GWh)",Miljö!$B$1:$R$1,0),FALSE)),0,VLOOKUP($B97,Miljö!$B$1:$S$500,MATCH("Såld mängd produktionsspecifik fjärrvärme (GWh)",Miljö!$B$1:$R$1,0),FALSE))</f>
        <v>0</v>
      </c>
      <c r="AN97" s="32" t="str">
        <f t="shared" si="25"/>
        <v/>
      </c>
      <c r="AP97" s="31" t="str">
        <f>IFERROR(VLOOKUP($B97,Miljövärden!$B$2:$H$550,7,FALSE),"Nej, saknas")</f>
        <v>Nej</v>
      </c>
      <c r="AQ97" s="31" t="str">
        <f>IFERROR(VLOOKUP($B97,Miljövärden!$B$2:$H$551,6,FALSE),"Nej, saknas")</f>
        <v>Nej</v>
      </c>
      <c r="AU97" s="31">
        <f t="shared" si="26"/>
        <v>0</v>
      </c>
      <c r="AV97" s="31">
        <f t="shared" si="27"/>
        <v>0</v>
      </c>
      <c r="AW97" s="31">
        <f t="shared" si="28"/>
        <v>0</v>
      </c>
      <c r="AX97" s="31">
        <f t="shared" si="29"/>
        <v>0</v>
      </c>
      <c r="AZ97" s="31">
        <f t="shared" si="30"/>
        <v>0</v>
      </c>
      <c r="BC97" s="31">
        <f t="shared" si="31"/>
        <v>0</v>
      </c>
      <c r="BD97" s="31">
        <f t="shared" si="32"/>
        <v>0</v>
      </c>
      <c r="BE97" s="31">
        <f t="shared" si="33"/>
        <v>0</v>
      </c>
      <c r="BF97" s="31">
        <f t="shared" si="34"/>
        <v>0</v>
      </c>
      <c r="BG97" s="31">
        <f t="shared" si="35"/>
        <v>0</v>
      </c>
      <c r="BH97" s="31">
        <f>VLOOKUP(B97,Miljö!$B$1:$BX$482,MATCH("Fossilandel för ursprungspecificerad el ()",Miljö!$B$1:$I$1,0),FALSE)</f>
        <v>0</v>
      </c>
      <c r="BI97" s="31">
        <f>VLOOKUP(B97,Miljö!$B$1:$BX$482,MATCH("Kärnkraftsandel för ursprungsspecificerad el ()",Miljö!$B$1:$O$1,0),FALSE)</f>
        <v>0</v>
      </c>
      <c r="BJ97" s="31">
        <f t="shared" si="36"/>
        <v>0</v>
      </c>
      <c r="BK97" s="31" t="str">
        <f>VLOOKUP(B97,Miljö!$B$1:$P$482,MATCH("Fossil andel i procent (%)",Miljö!$B$1:$P$1,0),FALSE)</f>
        <v>ET</v>
      </c>
      <c r="BL97" s="31">
        <f t="shared" si="37"/>
        <v>0</v>
      </c>
      <c r="BO97" s="32" t="str">
        <f t="shared" si="38"/>
        <v/>
      </c>
      <c r="BP97" s="32" t="str">
        <f t="shared" si="39"/>
        <v/>
      </c>
      <c r="BQ97" s="32" t="str">
        <f t="shared" si="40"/>
        <v/>
      </c>
      <c r="BR97" s="32" t="str">
        <f t="shared" si="41"/>
        <v/>
      </c>
      <c r="BT97" s="62">
        <f t="shared" si="42"/>
        <v>0</v>
      </c>
      <c r="BW97" s="32" t="str">
        <f>IF(AP97="Ja",VLOOKUP(B97,Miljövärden!$B$2:$H$551,MATCH("Total andel fossilt",Miljövärden!$B$2:$H$2,0),FALSE),"")</f>
        <v/>
      </c>
      <c r="BX97" s="62" t="e">
        <f t="shared" si="43"/>
        <v>#VALUE!</v>
      </c>
      <c r="BZ97" s="31" t="str">
        <f t="shared" si="44"/>
        <v/>
      </c>
      <c r="CA97" s="32" t="str">
        <f t="shared" si="45"/>
        <v/>
      </c>
    </row>
    <row r="98" spans="1:79" hidden="1" x14ac:dyDescent="0.45">
      <c r="A98" s="31" t="s">
        <v>560</v>
      </c>
      <c r="B98" s="31" t="s">
        <v>560</v>
      </c>
      <c r="C98" s="31">
        <f>VLOOKUP($B98,'Tillförd energi'!$B$1:$AI$720,MATCH(C$1,'Tillförd energi'!$B$1:$AQ$1,0),FALSE)</f>
        <v>0</v>
      </c>
      <c r="D98" s="31">
        <f>VLOOKUP($B98,'Tillförd energi'!$B$1:$AI$720,MATCH(D$1,'Tillförd energi'!$B$1:$AQ$1,0),FALSE)</f>
        <v>0</v>
      </c>
      <c r="E98" s="31">
        <f>VLOOKUP($B98,'Tillförd energi'!$B$1:$AI$720,MATCH(E$1,'Tillförd energi'!$B$1:$AQ$1,0),FALSE)</f>
        <v>0</v>
      </c>
      <c r="F98" s="31">
        <f>VLOOKUP($B98,'Tillförd energi'!$B$1:$AI$720,MATCH(F$1,'Tillförd energi'!$B$1:$AQ$1,0),FALSE)</f>
        <v>0</v>
      </c>
      <c r="G98" s="31">
        <f>VLOOKUP($B98,'Tillförd energi'!$B$1:$AI$720,MATCH(G$1,'Tillförd energi'!$B$1:$AQ$1,0),FALSE)</f>
        <v>0</v>
      </c>
      <c r="H98" s="31">
        <f>VLOOKUP($B98,'Tillförd energi'!$B$1:$AI$720,MATCH(H$1,'Tillförd energi'!$B$1:$AQ$1,0),FALSE)</f>
        <v>0</v>
      </c>
      <c r="I98" s="31">
        <f>VLOOKUP($B98,'Tillförd energi'!$B$1:$AI$720,MATCH(I$1,'Tillförd energi'!$B$1:$AQ$1,0),FALSE)</f>
        <v>0</v>
      </c>
      <c r="J98" s="31">
        <f>VLOOKUP($B98,'Tillförd energi'!$B$1:$AI$720,MATCH(J$1,'Tillförd energi'!$B$1:$AQ$1,0),FALSE)</f>
        <v>0</v>
      </c>
      <c r="K98" s="31">
        <f>VLOOKUP($B98,'Tillförd energi'!$B$1:$AI$720,MATCH(K$1,'Tillförd energi'!$B$1:$AQ$1,0),FALSE)</f>
        <v>0</v>
      </c>
      <c r="L98" s="31">
        <f>VLOOKUP($B98,'Tillförd energi'!$B$1:$AI$720,MATCH(L$1,'Tillförd energi'!$B$1:$AQ$1,0),FALSE)</f>
        <v>0</v>
      </c>
      <c r="M98" s="31">
        <f>VLOOKUP($B98,'Tillförd energi'!$B$1:$AI$720,MATCH(M$1,'Tillförd energi'!$B$1:$AQ$1,0),FALSE)</f>
        <v>0</v>
      </c>
      <c r="N98" s="31">
        <f>VLOOKUP($B98,'Tillförd energi'!$B$1:$AI$720,MATCH(N$1,'Tillförd energi'!$B$1:$AQ$1,0),FALSE)</f>
        <v>0</v>
      </c>
      <c r="O98" s="31">
        <f>VLOOKUP($B98,'Tillförd energi'!$B$1:$AI$720,MATCH(O$1,'Tillförd energi'!$B$1:$AQ$1,0),FALSE)</f>
        <v>0</v>
      </c>
      <c r="P98" s="31">
        <f>VLOOKUP($B98,'Tillförd energi'!$B$1:$AI$720,MATCH(P$1,'Tillförd energi'!$B$1:$AQ$1,0),FALSE)</f>
        <v>0</v>
      </c>
      <c r="Q98" s="31">
        <f>VLOOKUP($B98,'Tillförd energi'!$B$1:$AI$720,MATCH(Q$1,'Tillförd energi'!$B$1:$AQ$1,0),FALSE)</f>
        <v>0</v>
      </c>
      <c r="R98" s="31">
        <f>VLOOKUP($B98,'Tillförd energi'!$B$1:$AI$720,MATCH(R$1,'Tillförd energi'!$B$1:$AQ$1,0),FALSE)</f>
        <v>0</v>
      </c>
      <c r="S98" s="31">
        <f>VLOOKUP($B98,'Tillförd energi'!$B$1:$AI$720,MATCH(S$1,'Tillförd energi'!$B$1:$AQ$1,0),FALSE)</f>
        <v>0</v>
      </c>
      <c r="T98" s="31">
        <f>VLOOKUP($B98,'Tillförd energi'!$B$1:$AI$720,MATCH(T$1,'Tillförd energi'!$B$1:$AQ$1,0),FALSE)</f>
        <v>0</v>
      </c>
      <c r="U98" s="31">
        <f>VLOOKUP($B98,'Tillförd energi'!$B$1:$AI$720,MATCH(U$1,'Tillförd energi'!$B$1:$AQ$1,0),FALSE)</f>
        <v>0</v>
      </c>
      <c r="V98" s="31">
        <f>VLOOKUP($B98,'Tillförd energi'!$B$1:$AI$720,MATCH(V$1,'Tillförd energi'!$B$1:$AQ$1,0),FALSE)</f>
        <v>0</v>
      </c>
      <c r="W98" s="31">
        <f>VLOOKUP($B98,'Tillförd energi'!$B$1:$AI$720,MATCH(W$1,'Tillförd energi'!$B$1:$AQ$1,0),FALSE)</f>
        <v>0</v>
      </c>
      <c r="X98" s="31">
        <f>VLOOKUP($B98,'Tillförd energi'!$B$1:$AI$720,MATCH(X$1,'Tillförd energi'!$B$1:$AQ$1,0),FALSE)</f>
        <v>0</v>
      </c>
      <c r="Y98" s="31">
        <f>VLOOKUP($B98,'Tillförd energi'!$B$1:$AI$720,MATCH(Y$1,'Tillförd energi'!$B$1:$AQ$1,0),FALSE)</f>
        <v>0</v>
      </c>
      <c r="Z98" s="31">
        <f>VLOOKUP($B98,'Tillförd energi'!$B$1:$AI$720,MATCH(Z$1,'Tillförd energi'!$B$1:$AQ$1,0),FALSE)</f>
        <v>0</v>
      </c>
      <c r="AA98" s="31">
        <f>VLOOKUP($B98,'Tillförd energi'!$B$1:$AI$720,MATCH(AA$1,'Tillförd energi'!$B$1:$AQ$1,0),FALSE)</f>
        <v>0</v>
      </c>
      <c r="AB98" s="31">
        <f>VLOOKUP($B98,'Tillförd energi'!$B$1:$AI$720,MATCH(AB$1,'Tillförd energi'!$B$1:$AQ$1,0),FALSE)</f>
        <v>0</v>
      </c>
      <c r="AC98" s="31">
        <f>VLOOKUP($B98,'Tillförd energi'!$B$1:$AI$720,MATCH(AC$1,'Tillförd energi'!$B$1:$AQ$1,0),FALSE)</f>
        <v>0</v>
      </c>
      <c r="AD98" s="31">
        <f>VLOOKUP($B98,'Tillförd energi'!$B$1:$AI$720,MATCH(AD$1,'Tillförd energi'!$B$1:$AQ$1,0),FALSE)</f>
        <v>0</v>
      </c>
      <c r="AE98" s="31">
        <f>VLOOKUP($B98,'Tillförd energi'!$B$1:$AI$720,MATCH(AE$1,'Tillförd energi'!$B$1:$AQ$1,0),FALSE)</f>
        <v>0</v>
      </c>
      <c r="AF98" s="31">
        <f>VLOOKUP($B98,'Tillförd energi'!$B$1:$AI$720,MATCH(AF$1,'Tillförd energi'!$B$1:$AQ$1,0),FALSE)</f>
        <v>0</v>
      </c>
      <c r="AG98" s="31">
        <f>IFERROR(VLOOKUP(B98,Miljö!$B$1:$AC$550,MATCH("Köpt mängd produktionsspecifik fjärrvärme:",Miljö!$B$1:$AC$1,0),FALSE)/1,0)</f>
        <v>0</v>
      </c>
      <c r="AI98" s="31">
        <f t="shared" si="23"/>
        <v>0</v>
      </c>
      <c r="AJ98" s="31">
        <f t="shared" si="24"/>
        <v>0</v>
      </c>
      <c r="AK98" s="31" t="str">
        <f>IF(ISERROR(1/VLOOKUP($B98,Leveranser!$B$1:$S$499,MATCH("Såld värme (GWh)",Leveranser!$B$1:$S$1,0),FALSE)),"",VLOOKUP($B98,Leveranser!$B$1:$S$499,MATCH("Såld värme (GWh)",Leveranser!$B$1:$S$1,0),FALSE))</f>
        <v/>
      </c>
      <c r="AL98" s="31">
        <f>VLOOKUP($B98,Leveranser!$B$1:$Y$499,MATCH("Totalt såld fjärrvärme till andra fjärrvärmeföretag",Leveranser!$B$1:$AA$1,0),FALSE)</f>
        <v>0</v>
      </c>
      <c r="AM98" s="31">
        <f>IF(ISERROR(1/VLOOKUP($B98,Miljö!$B$1:$S$500,MATCH("Såld mängd produktionsspecifik fjärrvärme (GWh)",Miljö!$B$1:$R$1,0),FALSE)),0,VLOOKUP($B98,Miljö!$B$1:$S$500,MATCH("Såld mängd produktionsspecifik fjärrvärme (GWh)",Miljö!$B$1:$R$1,0),FALSE))</f>
        <v>0</v>
      </c>
      <c r="AN98" s="32" t="str">
        <f t="shared" si="25"/>
        <v/>
      </c>
      <c r="AP98" s="31" t="str">
        <f>IFERROR(VLOOKUP($B98,Miljövärden!$B$2:$H$550,7,FALSE),"Nej, saknas")</f>
        <v>Nej</v>
      </c>
      <c r="AQ98" s="31" t="str">
        <f>IFERROR(VLOOKUP($B98,Miljövärden!$B$2:$H$551,6,FALSE),"Nej, saknas")</f>
        <v>Nej</v>
      </c>
      <c r="AU98" s="31">
        <f t="shared" si="26"/>
        <v>0</v>
      </c>
      <c r="AV98" s="31">
        <f t="shared" si="27"/>
        <v>0</v>
      </c>
      <c r="AW98" s="31">
        <f t="shared" si="28"/>
        <v>0</v>
      </c>
      <c r="AX98" s="31">
        <f t="shared" si="29"/>
        <v>0</v>
      </c>
      <c r="AZ98" s="31">
        <f t="shared" si="30"/>
        <v>0</v>
      </c>
      <c r="BC98" s="31">
        <f t="shared" si="31"/>
        <v>0</v>
      </c>
      <c r="BD98" s="31">
        <f t="shared" si="32"/>
        <v>0</v>
      </c>
      <c r="BE98" s="31">
        <f t="shared" si="33"/>
        <v>0</v>
      </c>
      <c r="BF98" s="31">
        <f t="shared" si="34"/>
        <v>0</v>
      </c>
      <c r="BG98" s="31">
        <f t="shared" si="35"/>
        <v>0</v>
      </c>
      <c r="BH98" s="31">
        <f>VLOOKUP(B98,Miljö!$B$1:$BX$482,MATCH("Fossilandel för ursprungspecificerad el ()",Miljö!$B$1:$I$1,0),FALSE)</f>
        <v>0</v>
      </c>
      <c r="BI98" s="31">
        <f>VLOOKUP(B98,Miljö!$B$1:$BX$482,MATCH("Kärnkraftsandel för ursprungsspecificerad el ()",Miljö!$B$1:$O$1,0),FALSE)</f>
        <v>0</v>
      </c>
      <c r="BJ98" s="31">
        <f t="shared" si="36"/>
        <v>0</v>
      </c>
      <c r="BK98" s="31" t="str">
        <f>VLOOKUP(B98,Miljö!$B$1:$P$482,MATCH("Fossil andel i procent (%)",Miljö!$B$1:$P$1,0),FALSE)</f>
        <v>ET</v>
      </c>
      <c r="BL98" s="31">
        <f t="shared" si="37"/>
        <v>0</v>
      </c>
      <c r="BO98" s="32" t="str">
        <f t="shared" si="38"/>
        <v/>
      </c>
      <c r="BP98" s="32" t="str">
        <f t="shared" si="39"/>
        <v/>
      </c>
      <c r="BQ98" s="32" t="str">
        <f t="shared" si="40"/>
        <v/>
      </c>
      <c r="BR98" s="32" t="str">
        <f t="shared" si="41"/>
        <v/>
      </c>
      <c r="BT98" s="62">
        <f t="shared" si="42"/>
        <v>0</v>
      </c>
      <c r="BW98" s="32" t="str">
        <f>IF(AP98="Ja",VLOOKUP(B98,Miljövärden!$B$2:$H$551,MATCH("Total andel fossilt",Miljövärden!$B$2:$H$2,0),FALSE),"")</f>
        <v/>
      </c>
      <c r="BX98" s="62" t="e">
        <f t="shared" si="43"/>
        <v>#VALUE!</v>
      </c>
      <c r="BZ98" s="31" t="str">
        <f t="shared" si="44"/>
        <v/>
      </c>
      <c r="CA98" s="32" t="str">
        <f t="shared" si="45"/>
        <v/>
      </c>
    </row>
    <row r="99" spans="1:79" hidden="1" x14ac:dyDescent="0.45">
      <c r="A99" s="31" t="s">
        <v>560</v>
      </c>
      <c r="B99" s="31" t="s">
        <v>564</v>
      </c>
      <c r="C99" s="31">
        <f>VLOOKUP($B99,'Tillförd energi'!$B$1:$AI$720,MATCH(C$1,'Tillförd energi'!$B$1:$AQ$1,0),FALSE)</f>
        <v>0</v>
      </c>
      <c r="D99" s="31">
        <f>VLOOKUP($B99,'Tillförd energi'!$B$1:$AI$720,MATCH(D$1,'Tillförd energi'!$B$1:$AQ$1,0),FALSE)</f>
        <v>0</v>
      </c>
      <c r="E99" s="31">
        <f>VLOOKUP($B99,'Tillförd energi'!$B$1:$AI$720,MATCH(E$1,'Tillförd energi'!$B$1:$AQ$1,0),FALSE)</f>
        <v>0</v>
      </c>
      <c r="F99" s="31">
        <f>VLOOKUP($B99,'Tillförd energi'!$B$1:$AI$720,MATCH(F$1,'Tillförd energi'!$B$1:$AQ$1,0),FALSE)</f>
        <v>0</v>
      </c>
      <c r="G99" s="31">
        <f>VLOOKUP($B99,'Tillförd energi'!$B$1:$AI$720,MATCH(G$1,'Tillförd energi'!$B$1:$AQ$1,0),FALSE)</f>
        <v>0</v>
      </c>
      <c r="H99" s="31">
        <f>VLOOKUP($B99,'Tillförd energi'!$B$1:$AI$720,MATCH(H$1,'Tillförd energi'!$B$1:$AQ$1,0),FALSE)</f>
        <v>0</v>
      </c>
      <c r="I99" s="31">
        <f>VLOOKUP($B99,'Tillförd energi'!$B$1:$AI$720,MATCH(I$1,'Tillförd energi'!$B$1:$AQ$1,0),FALSE)</f>
        <v>0</v>
      </c>
      <c r="J99" s="31">
        <f>VLOOKUP($B99,'Tillförd energi'!$B$1:$AI$720,MATCH(J$1,'Tillförd energi'!$B$1:$AQ$1,0),FALSE)</f>
        <v>0</v>
      </c>
      <c r="K99" s="31">
        <f>VLOOKUP($B99,'Tillförd energi'!$B$1:$AI$720,MATCH(K$1,'Tillförd energi'!$B$1:$AQ$1,0),FALSE)</f>
        <v>0</v>
      </c>
      <c r="L99" s="31">
        <f>VLOOKUP($B99,'Tillförd energi'!$B$1:$AI$720,MATCH(L$1,'Tillförd energi'!$B$1:$AQ$1,0),FALSE)</f>
        <v>0</v>
      </c>
      <c r="M99" s="31">
        <f>VLOOKUP($B99,'Tillförd energi'!$B$1:$AI$720,MATCH(M$1,'Tillförd energi'!$B$1:$AQ$1,0),FALSE)</f>
        <v>0</v>
      </c>
      <c r="N99" s="31">
        <f>VLOOKUP($B99,'Tillförd energi'!$B$1:$AI$720,MATCH(N$1,'Tillförd energi'!$B$1:$AQ$1,0),FALSE)</f>
        <v>0</v>
      </c>
      <c r="O99" s="31">
        <f>VLOOKUP($B99,'Tillförd energi'!$B$1:$AI$720,MATCH(O$1,'Tillförd energi'!$B$1:$AQ$1,0),FALSE)</f>
        <v>0</v>
      </c>
      <c r="P99" s="31">
        <f>VLOOKUP($B99,'Tillförd energi'!$B$1:$AI$720,MATCH(P$1,'Tillförd energi'!$B$1:$AQ$1,0),FALSE)</f>
        <v>0</v>
      </c>
      <c r="Q99" s="31">
        <f>VLOOKUP($B99,'Tillförd energi'!$B$1:$AI$720,MATCH(Q$1,'Tillförd energi'!$B$1:$AQ$1,0),FALSE)</f>
        <v>0</v>
      </c>
      <c r="R99" s="31">
        <f>VLOOKUP($B99,'Tillförd energi'!$B$1:$AI$720,MATCH(R$1,'Tillförd energi'!$B$1:$AQ$1,0),FALSE)</f>
        <v>0</v>
      </c>
      <c r="S99" s="31">
        <f>VLOOKUP($B99,'Tillförd energi'!$B$1:$AI$720,MATCH(S$1,'Tillförd energi'!$B$1:$AQ$1,0),FALSE)</f>
        <v>0</v>
      </c>
      <c r="T99" s="31">
        <f>VLOOKUP($B99,'Tillförd energi'!$B$1:$AI$720,MATCH(T$1,'Tillförd energi'!$B$1:$AQ$1,0),FALSE)</f>
        <v>0</v>
      </c>
      <c r="U99" s="31">
        <f>VLOOKUP($B99,'Tillförd energi'!$B$1:$AI$720,MATCH(U$1,'Tillförd energi'!$B$1:$AQ$1,0),FALSE)</f>
        <v>0</v>
      </c>
      <c r="V99" s="31">
        <f>VLOOKUP($B99,'Tillförd energi'!$B$1:$AI$720,MATCH(V$1,'Tillförd energi'!$B$1:$AQ$1,0),FALSE)</f>
        <v>0</v>
      </c>
      <c r="W99" s="31">
        <f>VLOOKUP($B99,'Tillförd energi'!$B$1:$AI$720,MATCH(W$1,'Tillförd energi'!$B$1:$AQ$1,0),FALSE)</f>
        <v>0</v>
      </c>
      <c r="X99" s="31">
        <f>VLOOKUP($B99,'Tillförd energi'!$B$1:$AI$720,MATCH(X$1,'Tillförd energi'!$B$1:$AQ$1,0),FALSE)</f>
        <v>0</v>
      </c>
      <c r="Y99" s="31">
        <f>VLOOKUP($B99,'Tillförd energi'!$B$1:$AI$720,MATCH(Y$1,'Tillförd energi'!$B$1:$AQ$1,0),FALSE)</f>
        <v>0</v>
      </c>
      <c r="Z99" s="31">
        <f>VLOOKUP($B99,'Tillförd energi'!$B$1:$AI$720,MATCH(Z$1,'Tillförd energi'!$B$1:$AQ$1,0),FALSE)</f>
        <v>0</v>
      </c>
      <c r="AA99" s="31">
        <f>VLOOKUP($B99,'Tillförd energi'!$B$1:$AI$720,MATCH(AA$1,'Tillförd energi'!$B$1:$AQ$1,0),FALSE)</f>
        <v>0</v>
      </c>
      <c r="AB99" s="31">
        <f>VLOOKUP($B99,'Tillförd energi'!$B$1:$AI$720,MATCH(AB$1,'Tillförd energi'!$B$1:$AQ$1,0),FALSE)</f>
        <v>0</v>
      </c>
      <c r="AC99" s="31">
        <f>VLOOKUP($B99,'Tillförd energi'!$B$1:$AI$720,MATCH(AC$1,'Tillförd energi'!$B$1:$AQ$1,0),FALSE)</f>
        <v>0</v>
      </c>
      <c r="AD99" s="31">
        <f>VLOOKUP($B99,'Tillförd energi'!$B$1:$AI$720,MATCH(AD$1,'Tillförd energi'!$B$1:$AQ$1,0),FALSE)</f>
        <v>0</v>
      </c>
      <c r="AE99" s="31">
        <f>VLOOKUP($B99,'Tillförd energi'!$B$1:$AI$720,MATCH(AE$1,'Tillförd energi'!$B$1:$AQ$1,0),FALSE)</f>
        <v>0</v>
      </c>
      <c r="AF99" s="31">
        <f>VLOOKUP($B99,'Tillförd energi'!$B$1:$AI$720,MATCH(AF$1,'Tillförd energi'!$B$1:$AQ$1,0),FALSE)</f>
        <v>0</v>
      </c>
      <c r="AG99" s="31">
        <f>IFERROR(VLOOKUP(B99,Miljö!$B$1:$AC$550,MATCH("Köpt mängd produktionsspecifik fjärrvärme:",Miljö!$B$1:$AC$1,0),FALSE)/1,0)</f>
        <v>0</v>
      </c>
      <c r="AI99" s="31">
        <f t="shared" si="23"/>
        <v>0</v>
      </c>
      <c r="AJ99" s="31">
        <f t="shared" si="24"/>
        <v>0</v>
      </c>
      <c r="AK99" s="31" t="str">
        <f>IF(ISERROR(1/VLOOKUP($B99,Leveranser!$B$1:$S$499,MATCH("Såld värme (GWh)",Leveranser!$B$1:$S$1,0),FALSE)),"",VLOOKUP($B99,Leveranser!$B$1:$S$499,MATCH("Såld värme (GWh)",Leveranser!$B$1:$S$1,0),FALSE))</f>
        <v/>
      </c>
      <c r="AL99" s="31">
        <f>VLOOKUP($B99,Leveranser!$B$1:$Y$499,MATCH("Totalt såld fjärrvärme till andra fjärrvärmeföretag",Leveranser!$B$1:$AA$1,0),FALSE)</f>
        <v>0</v>
      </c>
      <c r="AM99" s="31">
        <f>IF(ISERROR(1/VLOOKUP($B99,Miljö!$B$1:$S$500,MATCH("Såld mängd produktionsspecifik fjärrvärme (GWh)",Miljö!$B$1:$R$1,0),FALSE)),0,VLOOKUP($B99,Miljö!$B$1:$S$500,MATCH("Såld mängd produktionsspecifik fjärrvärme (GWh)",Miljö!$B$1:$R$1,0),FALSE))</f>
        <v>0</v>
      </c>
      <c r="AN99" s="32" t="str">
        <f t="shared" si="25"/>
        <v/>
      </c>
      <c r="AP99" s="31" t="str">
        <f>IFERROR(VLOOKUP($B99,Miljövärden!$B$2:$H$550,7,FALSE),"Nej, saknas")</f>
        <v>Nej</v>
      </c>
      <c r="AQ99" s="31" t="str">
        <f>IFERROR(VLOOKUP($B99,Miljövärden!$B$2:$H$551,6,FALSE),"Nej, saknas")</f>
        <v>Nej</v>
      </c>
      <c r="AU99" s="31">
        <f t="shared" si="26"/>
        <v>0</v>
      </c>
      <c r="AV99" s="31">
        <f t="shared" si="27"/>
        <v>0</v>
      </c>
      <c r="AW99" s="31">
        <f t="shared" si="28"/>
        <v>0</v>
      </c>
      <c r="AX99" s="31">
        <f t="shared" si="29"/>
        <v>0</v>
      </c>
      <c r="AZ99" s="31">
        <f t="shared" si="30"/>
        <v>0</v>
      </c>
      <c r="BC99" s="31">
        <f t="shared" si="31"/>
        <v>0</v>
      </c>
      <c r="BD99" s="31">
        <f t="shared" si="32"/>
        <v>0</v>
      </c>
      <c r="BE99" s="31">
        <f t="shared" si="33"/>
        <v>0</v>
      </c>
      <c r="BF99" s="31">
        <f t="shared" si="34"/>
        <v>0</v>
      </c>
      <c r="BG99" s="31">
        <f t="shared" si="35"/>
        <v>0</v>
      </c>
      <c r="BH99" s="31">
        <f>VLOOKUP(B99,Miljö!$B$1:$BX$482,MATCH("Fossilandel för ursprungspecificerad el ()",Miljö!$B$1:$I$1,0),FALSE)</f>
        <v>0</v>
      </c>
      <c r="BI99" s="31">
        <f>VLOOKUP(B99,Miljö!$B$1:$BX$482,MATCH("Kärnkraftsandel för ursprungsspecificerad el ()",Miljö!$B$1:$O$1,0),FALSE)</f>
        <v>0</v>
      </c>
      <c r="BJ99" s="31">
        <f t="shared" si="36"/>
        <v>0</v>
      </c>
      <c r="BK99" s="31" t="str">
        <f>VLOOKUP(B99,Miljö!$B$1:$P$482,MATCH("Fossil andel i procent (%)",Miljö!$B$1:$P$1,0),FALSE)</f>
        <v>ET</v>
      </c>
      <c r="BL99" s="31">
        <f t="shared" si="37"/>
        <v>0</v>
      </c>
      <c r="BO99" s="32" t="str">
        <f t="shared" si="38"/>
        <v/>
      </c>
      <c r="BP99" s="32" t="str">
        <f t="shared" si="39"/>
        <v/>
      </c>
      <c r="BQ99" s="32" t="str">
        <f t="shared" si="40"/>
        <v/>
      </c>
      <c r="BR99" s="32" t="str">
        <f t="shared" si="41"/>
        <v/>
      </c>
      <c r="BT99" s="62">
        <f t="shared" si="42"/>
        <v>0</v>
      </c>
      <c r="BW99" s="32" t="str">
        <f>IF(AP99="Ja",VLOOKUP(B99,Miljövärden!$B$2:$H$551,MATCH("Total andel fossilt",Miljövärden!$B$2:$H$2,0),FALSE),"")</f>
        <v/>
      </c>
      <c r="BX99" s="62" t="e">
        <f t="shared" si="43"/>
        <v>#VALUE!</v>
      </c>
      <c r="BZ99" s="31" t="str">
        <f t="shared" si="44"/>
        <v/>
      </c>
      <c r="CA99" s="32" t="str">
        <f t="shared" si="45"/>
        <v/>
      </c>
    </row>
    <row r="100" spans="1:79" hidden="1" x14ac:dyDescent="0.45">
      <c r="A100" s="31" t="s">
        <v>560</v>
      </c>
      <c r="B100" s="31" t="s">
        <v>561</v>
      </c>
      <c r="C100" s="31">
        <f>VLOOKUP($B100,'Tillförd energi'!$B$1:$AI$720,MATCH(C$1,'Tillförd energi'!$B$1:$AQ$1,0),FALSE)</f>
        <v>0</v>
      </c>
      <c r="D100" s="31">
        <f>VLOOKUP($B100,'Tillförd energi'!$B$1:$AI$720,MATCH(D$1,'Tillförd energi'!$B$1:$AQ$1,0),FALSE)</f>
        <v>0</v>
      </c>
      <c r="E100" s="31">
        <f>VLOOKUP($B100,'Tillförd energi'!$B$1:$AI$720,MATCH(E$1,'Tillförd energi'!$B$1:$AQ$1,0),FALSE)</f>
        <v>0</v>
      </c>
      <c r="F100" s="31">
        <f>VLOOKUP($B100,'Tillförd energi'!$B$1:$AI$720,MATCH(F$1,'Tillförd energi'!$B$1:$AQ$1,0),FALSE)</f>
        <v>0</v>
      </c>
      <c r="G100" s="31">
        <f>VLOOKUP($B100,'Tillförd energi'!$B$1:$AI$720,MATCH(G$1,'Tillförd energi'!$B$1:$AQ$1,0),FALSE)</f>
        <v>0</v>
      </c>
      <c r="H100" s="31">
        <f>VLOOKUP($B100,'Tillförd energi'!$B$1:$AI$720,MATCH(H$1,'Tillförd energi'!$B$1:$AQ$1,0),FALSE)</f>
        <v>0</v>
      </c>
      <c r="I100" s="31">
        <f>VLOOKUP($B100,'Tillförd energi'!$B$1:$AI$720,MATCH(I$1,'Tillförd energi'!$B$1:$AQ$1,0),FALSE)</f>
        <v>0</v>
      </c>
      <c r="J100" s="31">
        <f>VLOOKUP($B100,'Tillförd energi'!$B$1:$AI$720,MATCH(J$1,'Tillförd energi'!$B$1:$AQ$1,0),FALSE)</f>
        <v>0</v>
      </c>
      <c r="K100" s="31">
        <f>VLOOKUP($B100,'Tillförd energi'!$B$1:$AI$720,MATCH(K$1,'Tillförd energi'!$B$1:$AQ$1,0),FALSE)</f>
        <v>0</v>
      </c>
      <c r="L100" s="31">
        <f>VLOOKUP($B100,'Tillförd energi'!$B$1:$AI$720,MATCH(L$1,'Tillförd energi'!$B$1:$AQ$1,0),FALSE)</f>
        <v>0</v>
      </c>
      <c r="M100" s="31">
        <f>VLOOKUP($B100,'Tillförd energi'!$B$1:$AI$720,MATCH(M$1,'Tillförd energi'!$B$1:$AQ$1,0),FALSE)</f>
        <v>0</v>
      </c>
      <c r="N100" s="31">
        <f>VLOOKUP($B100,'Tillförd energi'!$B$1:$AI$720,MATCH(N$1,'Tillförd energi'!$B$1:$AQ$1,0),FALSE)</f>
        <v>0</v>
      </c>
      <c r="O100" s="31">
        <f>VLOOKUP($B100,'Tillförd energi'!$B$1:$AI$720,MATCH(O$1,'Tillförd energi'!$B$1:$AQ$1,0),FALSE)</f>
        <v>0</v>
      </c>
      <c r="P100" s="31">
        <f>VLOOKUP($B100,'Tillförd energi'!$B$1:$AI$720,MATCH(P$1,'Tillförd energi'!$B$1:$AQ$1,0),FALSE)</f>
        <v>0</v>
      </c>
      <c r="Q100" s="31">
        <f>VLOOKUP($B100,'Tillförd energi'!$B$1:$AI$720,MATCH(Q$1,'Tillförd energi'!$B$1:$AQ$1,0),FALSE)</f>
        <v>0</v>
      </c>
      <c r="R100" s="31">
        <f>VLOOKUP($B100,'Tillförd energi'!$B$1:$AI$720,MATCH(R$1,'Tillförd energi'!$B$1:$AQ$1,0),FALSE)</f>
        <v>0</v>
      </c>
      <c r="S100" s="31">
        <f>VLOOKUP($B100,'Tillförd energi'!$B$1:$AI$720,MATCH(S$1,'Tillförd energi'!$B$1:$AQ$1,0),FALSE)</f>
        <v>0</v>
      </c>
      <c r="T100" s="31">
        <f>VLOOKUP($B100,'Tillförd energi'!$B$1:$AI$720,MATCH(T$1,'Tillförd energi'!$B$1:$AQ$1,0),FALSE)</f>
        <v>0</v>
      </c>
      <c r="U100" s="31">
        <f>VLOOKUP($B100,'Tillförd energi'!$B$1:$AI$720,MATCH(U$1,'Tillförd energi'!$B$1:$AQ$1,0),FALSE)</f>
        <v>0</v>
      </c>
      <c r="V100" s="31">
        <f>VLOOKUP($B100,'Tillförd energi'!$B$1:$AI$720,MATCH(V$1,'Tillförd energi'!$B$1:$AQ$1,0),FALSE)</f>
        <v>0</v>
      </c>
      <c r="W100" s="31">
        <f>VLOOKUP($B100,'Tillförd energi'!$B$1:$AI$720,MATCH(W$1,'Tillförd energi'!$B$1:$AQ$1,0),FALSE)</f>
        <v>0</v>
      </c>
      <c r="X100" s="31">
        <f>VLOOKUP($B100,'Tillförd energi'!$B$1:$AI$720,MATCH(X$1,'Tillförd energi'!$B$1:$AQ$1,0),FALSE)</f>
        <v>0</v>
      </c>
      <c r="Y100" s="31">
        <f>VLOOKUP($B100,'Tillförd energi'!$B$1:$AI$720,MATCH(Y$1,'Tillförd energi'!$B$1:$AQ$1,0),FALSE)</f>
        <v>0</v>
      </c>
      <c r="Z100" s="31">
        <f>VLOOKUP($B100,'Tillförd energi'!$B$1:$AI$720,MATCH(Z$1,'Tillförd energi'!$B$1:$AQ$1,0),FALSE)</f>
        <v>0</v>
      </c>
      <c r="AA100" s="31">
        <f>VLOOKUP($B100,'Tillförd energi'!$B$1:$AI$720,MATCH(AA$1,'Tillförd energi'!$B$1:$AQ$1,0),FALSE)</f>
        <v>0</v>
      </c>
      <c r="AB100" s="31">
        <f>VLOOKUP($B100,'Tillförd energi'!$B$1:$AI$720,MATCH(AB$1,'Tillförd energi'!$B$1:$AQ$1,0),FALSE)</f>
        <v>0</v>
      </c>
      <c r="AC100" s="31">
        <f>VLOOKUP($B100,'Tillförd energi'!$B$1:$AI$720,MATCH(AC$1,'Tillförd energi'!$B$1:$AQ$1,0),FALSE)</f>
        <v>0</v>
      </c>
      <c r="AD100" s="31">
        <f>VLOOKUP($B100,'Tillförd energi'!$B$1:$AI$720,MATCH(AD$1,'Tillförd energi'!$B$1:$AQ$1,0),FALSE)</f>
        <v>0</v>
      </c>
      <c r="AE100" s="31">
        <f>VLOOKUP($B100,'Tillförd energi'!$B$1:$AI$720,MATCH(AE$1,'Tillförd energi'!$B$1:$AQ$1,0),FALSE)</f>
        <v>0</v>
      </c>
      <c r="AF100" s="31">
        <f>VLOOKUP($B100,'Tillförd energi'!$B$1:$AI$720,MATCH(AF$1,'Tillförd energi'!$B$1:$AQ$1,0),FALSE)</f>
        <v>0</v>
      </c>
      <c r="AG100" s="31">
        <f>IFERROR(VLOOKUP(B100,Miljö!$B$1:$AC$550,MATCH("Köpt mängd produktionsspecifik fjärrvärme:",Miljö!$B$1:$AC$1,0),FALSE)/1,0)</f>
        <v>0</v>
      </c>
      <c r="AI100" s="31">
        <f t="shared" si="23"/>
        <v>0</v>
      </c>
      <c r="AJ100" s="31">
        <f t="shared" si="24"/>
        <v>0</v>
      </c>
      <c r="AK100" s="31" t="str">
        <f>IF(ISERROR(1/VLOOKUP($B100,Leveranser!$B$1:$S$499,MATCH("Såld värme (GWh)",Leveranser!$B$1:$S$1,0),FALSE)),"",VLOOKUP($B100,Leveranser!$B$1:$S$499,MATCH("Såld värme (GWh)",Leveranser!$B$1:$S$1,0),FALSE))</f>
        <v/>
      </c>
      <c r="AL100" s="31">
        <f>VLOOKUP($B100,Leveranser!$B$1:$Y$499,MATCH("Totalt såld fjärrvärme till andra fjärrvärmeföretag",Leveranser!$B$1:$AA$1,0),FALSE)</f>
        <v>0</v>
      </c>
      <c r="AM100" s="31">
        <f>IF(ISERROR(1/VLOOKUP($B100,Miljö!$B$1:$S$500,MATCH("Såld mängd produktionsspecifik fjärrvärme (GWh)",Miljö!$B$1:$R$1,0),FALSE)),0,VLOOKUP($B100,Miljö!$B$1:$S$500,MATCH("Såld mängd produktionsspecifik fjärrvärme (GWh)",Miljö!$B$1:$R$1,0),FALSE))</f>
        <v>0</v>
      </c>
      <c r="AN100" s="32" t="str">
        <f t="shared" si="25"/>
        <v/>
      </c>
      <c r="AP100" s="31" t="str">
        <f>IFERROR(VLOOKUP($B100,Miljövärden!$B$2:$H$550,7,FALSE),"Nej, saknas")</f>
        <v>Nej</v>
      </c>
      <c r="AQ100" s="31" t="str">
        <f>IFERROR(VLOOKUP($B100,Miljövärden!$B$2:$H$551,6,FALSE),"Nej, saknas")</f>
        <v>Nej</v>
      </c>
      <c r="AU100" s="31">
        <f t="shared" si="26"/>
        <v>0</v>
      </c>
      <c r="AV100" s="31">
        <f t="shared" si="27"/>
        <v>0</v>
      </c>
      <c r="AW100" s="31">
        <f t="shared" si="28"/>
        <v>0</v>
      </c>
      <c r="AX100" s="31">
        <f t="shared" si="29"/>
        <v>0</v>
      </c>
      <c r="AZ100" s="31">
        <f t="shared" si="30"/>
        <v>0</v>
      </c>
      <c r="BC100" s="31">
        <f t="shared" si="31"/>
        <v>0</v>
      </c>
      <c r="BD100" s="31">
        <f t="shared" si="32"/>
        <v>0</v>
      </c>
      <c r="BE100" s="31">
        <f t="shared" si="33"/>
        <v>0</v>
      </c>
      <c r="BF100" s="31">
        <f t="shared" si="34"/>
        <v>0</v>
      </c>
      <c r="BG100" s="31">
        <f t="shared" si="35"/>
        <v>0</v>
      </c>
      <c r="BH100" s="31">
        <f>VLOOKUP(B100,Miljö!$B$1:$BX$482,MATCH("Fossilandel för ursprungspecificerad el ()",Miljö!$B$1:$I$1,0),FALSE)</f>
        <v>0</v>
      </c>
      <c r="BI100" s="31">
        <f>VLOOKUP(B100,Miljö!$B$1:$BX$482,MATCH("Kärnkraftsandel för ursprungsspecificerad el ()",Miljö!$B$1:$O$1,0),FALSE)</f>
        <v>0</v>
      </c>
      <c r="BJ100" s="31">
        <f t="shared" si="36"/>
        <v>0</v>
      </c>
      <c r="BK100" s="31" t="str">
        <f>VLOOKUP(B100,Miljö!$B$1:$P$482,MATCH("Fossil andel i procent (%)",Miljö!$B$1:$P$1,0),FALSE)</f>
        <v>ET</v>
      </c>
      <c r="BL100" s="31">
        <f t="shared" si="37"/>
        <v>0</v>
      </c>
      <c r="BO100" s="32" t="str">
        <f t="shared" si="38"/>
        <v/>
      </c>
      <c r="BP100" s="32" t="str">
        <f t="shared" si="39"/>
        <v/>
      </c>
      <c r="BQ100" s="32" t="str">
        <f t="shared" si="40"/>
        <v/>
      </c>
      <c r="BR100" s="32" t="str">
        <f t="shared" si="41"/>
        <v/>
      </c>
      <c r="BT100" s="62">
        <f t="shared" si="42"/>
        <v>0</v>
      </c>
      <c r="BW100" s="32" t="str">
        <f>IF(AP100="Ja",VLOOKUP(B100,Miljövärden!$B$2:$H$551,MATCH("Total andel fossilt",Miljövärden!$B$2:$H$2,0),FALSE),"")</f>
        <v/>
      </c>
      <c r="BX100" s="62" t="e">
        <f t="shared" si="43"/>
        <v>#VALUE!</v>
      </c>
      <c r="BZ100" s="31" t="str">
        <f t="shared" si="44"/>
        <v/>
      </c>
      <c r="CA100" s="32" t="str">
        <f t="shared" si="45"/>
        <v/>
      </c>
    </row>
    <row r="101" spans="1:79" x14ac:dyDescent="0.45">
      <c r="A101" s="31" t="s">
        <v>556</v>
      </c>
      <c r="B101" s="31" t="s">
        <v>558</v>
      </c>
      <c r="C101" s="31">
        <f>VLOOKUP($B101,'Tillförd energi'!$B$1:$AI$720,MATCH(C$1,'Tillförd energi'!$B$1:$AQ$1,0),FALSE)</f>
        <v>0</v>
      </c>
      <c r="D101" s="31">
        <f>VLOOKUP($B101,'Tillförd energi'!$B$1:$AI$720,MATCH(D$1,'Tillförd energi'!$B$1:$AQ$1,0),FALSE)</f>
        <v>4.2759999999999998</v>
      </c>
      <c r="E101" s="31">
        <f>VLOOKUP($B101,'Tillförd energi'!$B$1:$AI$720,MATCH(E$1,'Tillförd energi'!$B$1:$AQ$1,0),FALSE)</f>
        <v>0</v>
      </c>
      <c r="F101" s="31">
        <f>VLOOKUP($B101,'Tillförd energi'!$B$1:$AI$720,MATCH(F$1,'Tillförd energi'!$B$1:$AQ$1,0),FALSE)</f>
        <v>0</v>
      </c>
      <c r="G101" s="31">
        <f>VLOOKUP($B101,'Tillförd energi'!$B$1:$AI$720,MATCH(G$1,'Tillförd energi'!$B$1:$AQ$1,0),FALSE)</f>
        <v>0</v>
      </c>
      <c r="H101" s="31">
        <f>VLOOKUP($B101,'Tillförd energi'!$B$1:$AI$720,MATCH(H$1,'Tillförd energi'!$B$1:$AQ$1,0),FALSE)</f>
        <v>0</v>
      </c>
      <c r="I101" s="31">
        <f>VLOOKUP($B101,'Tillförd energi'!$B$1:$AI$720,MATCH(I$1,'Tillförd energi'!$B$1:$AQ$1,0),FALSE)</f>
        <v>0</v>
      </c>
      <c r="J101" s="31">
        <f>VLOOKUP($B101,'Tillförd energi'!$B$1:$AI$720,MATCH(J$1,'Tillförd energi'!$B$1:$AQ$1,0),FALSE)</f>
        <v>0</v>
      </c>
      <c r="K101" s="31">
        <f>VLOOKUP($B101,'Tillförd energi'!$B$1:$AI$720,MATCH(K$1,'Tillförd energi'!$B$1:$AQ$1,0),FALSE)</f>
        <v>0</v>
      </c>
      <c r="L101" s="31">
        <f>VLOOKUP($B101,'Tillförd energi'!$B$1:$AI$720,MATCH(L$1,'Tillförd energi'!$B$1:$AQ$1,0),FALSE)</f>
        <v>0</v>
      </c>
      <c r="M101" s="31">
        <f>VLOOKUP($B101,'Tillförd energi'!$B$1:$AI$720,MATCH(M$1,'Tillförd energi'!$B$1:$AQ$1,0),FALSE)</f>
        <v>12.096</v>
      </c>
      <c r="N101" s="31">
        <f>VLOOKUP($B101,'Tillförd energi'!$B$1:$AI$720,MATCH(N$1,'Tillförd energi'!$B$1:$AQ$1,0),FALSE)</f>
        <v>110.331</v>
      </c>
      <c r="O101" s="31">
        <f>VLOOKUP($B101,'Tillförd energi'!$B$1:$AI$720,MATCH(O$1,'Tillförd energi'!$B$1:$AQ$1,0),FALSE)</f>
        <v>0</v>
      </c>
      <c r="P101" s="31">
        <f>VLOOKUP($B101,'Tillförd energi'!$B$1:$AI$720,MATCH(P$1,'Tillförd energi'!$B$1:$AQ$1,0),FALSE)</f>
        <v>0</v>
      </c>
      <c r="Q101" s="31">
        <f>VLOOKUP($B101,'Tillförd energi'!$B$1:$AI$720,MATCH(Q$1,'Tillförd energi'!$B$1:$AQ$1,0),FALSE)</f>
        <v>0</v>
      </c>
      <c r="R101" s="31">
        <f>VLOOKUP($B101,'Tillförd energi'!$B$1:$AI$720,MATCH(R$1,'Tillförd energi'!$B$1:$AQ$1,0),FALSE)</f>
        <v>0</v>
      </c>
      <c r="S101" s="31">
        <f>VLOOKUP($B101,'Tillförd energi'!$B$1:$AI$720,MATCH(S$1,'Tillförd energi'!$B$1:$AQ$1,0),FALSE)</f>
        <v>0</v>
      </c>
      <c r="T101" s="31">
        <f>VLOOKUP($B101,'Tillförd energi'!$B$1:$AI$720,MATCH(T$1,'Tillförd energi'!$B$1:$AQ$1,0),FALSE)</f>
        <v>0</v>
      </c>
      <c r="U101" s="31">
        <f>VLOOKUP($B101,'Tillförd energi'!$B$1:$AI$720,MATCH(U$1,'Tillförd energi'!$B$1:$AQ$1,0),FALSE)</f>
        <v>0</v>
      </c>
      <c r="V101" s="31">
        <f>VLOOKUP($B101,'Tillförd energi'!$B$1:$AI$720,MATCH(V$1,'Tillförd energi'!$B$1:$AQ$1,0),FALSE)</f>
        <v>0</v>
      </c>
      <c r="W101" s="31">
        <f>VLOOKUP($B101,'Tillförd energi'!$B$1:$AI$720,MATCH(W$1,'Tillförd energi'!$B$1:$AQ$1,0),FALSE)</f>
        <v>0</v>
      </c>
      <c r="X101" s="31">
        <f>VLOOKUP($B101,'Tillförd energi'!$B$1:$AI$720,MATCH(X$1,'Tillförd energi'!$B$1:$AQ$1,0),FALSE)</f>
        <v>0</v>
      </c>
      <c r="Y101" s="31">
        <f>VLOOKUP($B101,'Tillförd energi'!$B$1:$AI$720,MATCH(Y$1,'Tillförd energi'!$B$1:$AQ$1,0),FALSE)</f>
        <v>0</v>
      </c>
      <c r="Z101" s="31">
        <f>VLOOKUP($B101,'Tillförd energi'!$B$1:$AI$720,MATCH(Z$1,'Tillförd energi'!$B$1:$AQ$1,0),FALSE)</f>
        <v>0</v>
      </c>
      <c r="AA101" s="31">
        <f>VLOOKUP($B101,'Tillförd energi'!$B$1:$AI$720,MATCH(AA$1,'Tillförd energi'!$B$1:$AQ$1,0),FALSE)</f>
        <v>0</v>
      </c>
      <c r="AB101" s="31">
        <f>VLOOKUP($B101,'Tillförd energi'!$B$1:$AI$720,MATCH(AB$1,'Tillförd energi'!$B$1:$AQ$1,0),FALSE)</f>
        <v>0</v>
      </c>
      <c r="AC101" s="31">
        <f>VLOOKUP($B101,'Tillförd energi'!$B$1:$AI$720,MATCH(AC$1,'Tillförd energi'!$B$1:$AQ$1,0),FALSE)</f>
        <v>9</v>
      </c>
      <c r="AD101" s="31">
        <f>VLOOKUP($B101,'Tillförd energi'!$B$1:$AI$720,MATCH(AD$1,'Tillförd energi'!$B$1:$AQ$1,0),FALSE)</f>
        <v>0</v>
      </c>
      <c r="AE101" s="31">
        <f>VLOOKUP($B101,'Tillförd energi'!$B$1:$AI$720,MATCH(AE$1,'Tillförd energi'!$B$1:$AQ$1,0),FALSE)</f>
        <v>0</v>
      </c>
      <c r="AF101" s="31">
        <f>VLOOKUP($B101,'Tillförd energi'!$B$1:$AI$720,MATCH(AF$1,'Tillförd energi'!$B$1:$AQ$1,0),FALSE)</f>
        <v>3.39</v>
      </c>
      <c r="AG101" s="31">
        <f>IFERROR(VLOOKUP(B101,Miljö!$B$1:$AC$550,MATCH("Köpt mängd produktionsspecifik fjärrvärme:",Miljö!$B$1:$AC$1,0),FALSE)/1,0)</f>
        <v>0</v>
      </c>
      <c r="AI101" s="31">
        <f t="shared" si="23"/>
        <v>139.09299999999999</v>
      </c>
      <c r="AJ101" s="31">
        <f t="shared" si="24"/>
        <v>139.09299999999999</v>
      </c>
      <c r="AK101" s="31">
        <f>IF(ISERROR(1/VLOOKUP($B101,Leveranser!$B$1:$S$499,MATCH("Såld värme (GWh)",Leveranser!$B$1:$S$1,0),FALSE)),"",VLOOKUP($B101,Leveranser!$B$1:$S$499,MATCH("Såld värme (GWh)",Leveranser!$B$1:$S$1,0),FALSE))</f>
        <v>98.884</v>
      </c>
      <c r="AL101" s="31">
        <f>VLOOKUP($B101,Leveranser!$B$1:$Y$499,MATCH("Totalt såld fjärrvärme till andra fjärrvärmeföretag",Leveranser!$B$1:$AA$1,0),FALSE)</f>
        <v>0</v>
      </c>
      <c r="AM101" s="31">
        <f>IF(ISERROR(1/VLOOKUP($B101,Miljö!$B$1:$S$500,MATCH("Såld mängd produktionsspecifik fjärrvärme (GWh)",Miljö!$B$1:$R$1,0),FALSE)),0,VLOOKUP($B101,Miljö!$B$1:$S$500,MATCH("Såld mängd produktionsspecifik fjärrvärme (GWh)",Miljö!$B$1:$R$1,0),FALSE))</f>
        <v>0</v>
      </c>
      <c r="AN101" s="32">
        <f t="shared" si="25"/>
        <v>0.71092003192108888</v>
      </c>
      <c r="AP101" s="31" t="str">
        <f>IFERROR(VLOOKUP($B101,Miljövärden!$B$2:$H$550,7,FALSE),"Nej, saknas")</f>
        <v>Ja</v>
      </c>
      <c r="AQ101" s="31" t="str">
        <f>IFERROR(VLOOKUP($B101,Miljövärden!$B$2:$H$551,6,FALSE),"Nej, saknas")</f>
        <v>Nej</v>
      </c>
      <c r="AU101" s="31">
        <f t="shared" si="26"/>
        <v>3.39</v>
      </c>
      <c r="AV101" s="31">
        <f t="shared" si="27"/>
        <v>0</v>
      </c>
      <c r="AW101" s="31">
        <f t="shared" si="28"/>
        <v>122.42700000000001</v>
      </c>
      <c r="AX101" s="31">
        <f t="shared" si="29"/>
        <v>0</v>
      </c>
      <c r="AZ101" s="31">
        <f t="shared" si="30"/>
        <v>122.42700000000001</v>
      </c>
      <c r="BC101" s="31">
        <f t="shared" si="31"/>
        <v>4.2759999999999998</v>
      </c>
      <c r="BD101" s="31">
        <f t="shared" si="32"/>
        <v>0</v>
      </c>
      <c r="BE101" s="31">
        <f t="shared" si="33"/>
        <v>122.42700000000001</v>
      </c>
      <c r="BF101" s="31">
        <f t="shared" si="34"/>
        <v>9</v>
      </c>
      <c r="BG101" s="31">
        <f t="shared" si="35"/>
        <v>3.39</v>
      </c>
      <c r="BH101" s="31">
        <f>VLOOKUP(B101,Miljö!$B$1:$BX$482,MATCH("Fossilandel för ursprungspecificerad el ()",Miljö!$B$1:$I$1,0),FALSE)</f>
        <v>0</v>
      </c>
      <c r="BI101" s="31">
        <f>VLOOKUP(B101,Miljö!$B$1:$BX$482,MATCH("Kärnkraftsandel för ursprungsspecificerad el ()",Miljö!$B$1:$O$1,0),FALSE)</f>
        <v>0</v>
      </c>
      <c r="BJ101" s="31">
        <f t="shared" si="36"/>
        <v>0</v>
      </c>
      <c r="BK101" s="31" t="str">
        <f>VLOOKUP(B101,Miljö!$B$1:$P$482,MATCH("Fossil andel i procent (%)",Miljö!$B$1:$P$1,0),FALSE)</f>
        <v>ET</v>
      </c>
      <c r="BL101" s="31">
        <f t="shared" si="37"/>
        <v>139.09299999999999</v>
      </c>
      <c r="BO101" s="32">
        <f t="shared" si="38"/>
        <v>3.0742021525166616E-2</v>
      </c>
      <c r="BP101" s="32">
        <f t="shared" si="39"/>
        <v>0</v>
      </c>
      <c r="BQ101" s="32">
        <f t="shared" si="40"/>
        <v>0.9045530688100768</v>
      </c>
      <c r="BR101" s="32">
        <f t="shared" si="41"/>
        <v>6.4704909664756685E-2</v>
      </c>
      <c r="BT101" s="62">
        <f t="shared" si="42"/>
        <v>1</v>
      </c>
      <c r="BW101" s="32">
        <f>IF(AP101="Ja",VLOOKUP(B101,Miljövärden!$B$2:$H$551,MATCH("Total andel fossilt",Miljövärden!$B$2:$H$2,0),FALSE),"")</f>
        <v>3.0741999999999998E-2</v>
      </c>
      <c r="BX101" s="62">
        <f t="shared" si="43"/>
        <v>-2.152516661788062E-8</v>
      </c>
      <c r="BZ101" s="31">
        <f t="shared" si="44"/>
        <v>-2.152516661788062E-8</v>
      </c>
      <c r="CA101" s="32">
        <f t="shared" si="45"/>
        <v>0</v>
      </c>
    </row>
    <row r="102" spans="1:79" x14ac:dyDescent="0.45">
      <c r="A102" s="31" t="s">
        <v>556</v>
      </c>
      <c r="B102" s="31" t="s">
        <v>555</v>
      </c>
      <c r="C102" s="31">
        <f>VLOOKUP($B102,'Tillförd energi'!$B$1:$AI$720,MATCH(C$1,'Tillförd energi'!$B$1:$AQ$1,0),FALSE)</f>
        <v>0</v>
      </c>
      <c r="D102" s="31">
        <f>VLOOKUP($B102,'Tillförd energi'!$B$1:$AI$720,MATCH(D$1,'Tillförd energi'!$B$1:$AQ$1,0),FALSE)</f>
        <v>2.5000000000000001E-2</v>
      </c>
      <c r="E102" s="31">
        <f>VLOOKUP($B102,'Tillförd energi'!$B$1:$AI$720,MATCH(E$1,'Tillförd energi'!$B$1:$AQ$1,0),FALSE)</f>
        <v>0</v>
      </c>
      <c r="F102" s="31">
        <f>VLOOKUP($B102,'Tillförd energi'!$B$1:$AI$720,MATCH(F$1,'Tillförd energi'!$B$1:$AQ$1,0),FALSE)</f>
        <v>0</v>
      </c>
      <c r="G102" s="31">
        <f>VLOOKUP($B102,'Tillförd energi'!$B$1:$AI$720,MATCH(G$1,'Tillförd energi'!$B$1:$AQ$1,0),FALSE)</f>
        <v>0</v>
      </c>
      <c r="H102" s="31">
        <f>VLOOKUP($B102,'Tillförd energi'!$B$1:$AI$720,MATCH(H$1,'Tillförd energi'!$B$1:$AQ$1,0),FALSE)</f>
        <v>0</v>
      </c>
      <c r="I102" s="31">
        <f>VLOOKUP($B102,'Tillförd energi'!$B$1:$AI$720,MATCH(I$1,'Tillförd energi'!$B$1:$AQ$1,0),FALSE)</f>
        <v>0</v>
      </c>
      <c r="J102" s="31">
        <f>VLOOKUP($B102,'Tillförd energi'!$B$1:$AI$720,MATCH(J$1,'Tillförd energi'!$B$1:$AQ$1,0),FALSE)</f>
        <v>0</v>
      </c>
      <c r="K102" s="31">
        <f>VLOOKUP($B102,'Tillförd energi'!$B$1:$AI$720,MATCH(K$1,'Tillförd energi'!$B$1:$AQ$1,0),FALSE)</f>
        <v>0</v>
      </c>
      <c r="L102" s="31">
        <f>VLOOKUP($B102,'Tillförd energi'!$B$1:$AI$720,MATCH(L$1,'Tillförd energi'!$B$1:$AQ$1,0),FALSE)</f>
        <v>0</v>
      </c>
      <c r="M102" s="31">
        <f>VLOOKUP($B102,'Tillförd energi'!$B$1:$AI$720,MATCH(M$1,'Tillförd energi'!$B$1:$AQ$1,0),FALSE)</f>
        <v>0</v>
      </c>
      <c r="N102" s="31">
        <f>VLOOKUP($B102,'Tillförd energi'!$B$1:$AI$720,MATCH(N$1,'Tillförd energi'!$B$1:$AQ$1,0),FALSE)</f>
        <v>0</v>
      </c>
      <c r="O102" s="31">
        <f>VLOOKUP($B102,'Tillförd energi'!$B$1:$AI$720,MATCH(O$1,'Tillförd energi'!$B$1:$AQ$1,0),FALSE)</f>
        <v>0</v>
      </c>
      <c r="P102" s="31">
        <f>VLOOKUP($B102,'Tillförd energi'!$B$1:$AI$720,MATCH(P$1,'Tillförd energi'!$B$1:$AQ$1,0),FALSE)</f>
        <v>0</v>
      </c>
      <c r="Q102" s="31">
        <f>VLOOKUP($B102,'Tillförd energi'!$B$1:$AI$720,MATCH(Q$1,'Tillförd energi'!$B$1:$AQ$1,0),FALSE)</f>
        <v>0</v>
      </c>
      <c r="R102" s="31">
        <f>VLOOKUP($B102,'Tillförd energi'!$B$1:$AI$720,MATCH(R$1,'Tillförd energi'!$B$1:$AQ$1,0),FALSE)</f>
        <v>6.4000000000000001E-2</v>
      </c>
      <c r="S102" s="31">
        <f>VLOOKUP($B102,'Tillförd energi'!$B$1:$AI$720,MATCH(S$1,'Tillförd energi'!$B$1:$AQ$1,0),FALSE)</f>
        <v>0</v>
      </c>
      <c r="T102" s="31">
        <f>VLOOKUP($B102,'Tillförd energi'!$B$1:$AI$720,MATCH(T$1,'Tillförd energi'!$B$1:$AQ$1,0),FALSE)</f>
        <v>0</v>
      </c>
      <c r="U102" s="31">
        <f>VLOOKUP($B102,'Tillförd energi'!$B$1:$AI$720,MATCH(U$1,'Tillförd energi'!$B$1:$AQ$1,0),FALSE)</f>
        <v>0</v>
      </c>
      <c r="V102" s="31">
        <f>VLOOKUP($B102,'Tillförd energi'!$B$1:$AI$720,MATCH(V$1,'Tillförd energi'!$B$1:$AQ$1,0),FALSE)</f>
        <v>0</v>
      </c>
      <c r="W102" s="31">
        <f>VLOOKUP($B102,'Tillförd energi'!$B$1:$AI$720,MATCH(W$1,'Tillförd energi'!$B$1:$AQ$1,0),FALSE)</f>
        <v>0</v>
      </c>
      <c r="X102" s="31">
        <f>VLOOKUP($B102,'Tillförd energi'!$B$1:$AI$720,MATCH(X$1,'Tillförd energi'!$B$1:$AQ$1,0),FALSE)</f>
        <v>0</v>
      </c>
      <c r="Y102" s="31">
        <f>VLOOKUP($B102,'Tillförd energi'!$B$1:$AI$720,MATCH(Y$1,'Tillförd energi'!$B$1:$AQ$1,0),FALSE)</f>
        <v>0</v>
      </c>
      <c r="Z102" s="31">
        <f>VLOOKUP($B102,'Tillförd energi'!$B$1:$AI$720,MATCH(Z$1,'Tillförd energi'!$B$1:$AQ$1,0),FALSE)</f>
        <v>0</v>
      </c>
      <c r="AA102" s="31">
        <f>VLOOKUP($B102,'Tillförd energi'!$B$1:$AI$720,MATCH(AA$1,'Tillförd energi'!$B$1:$AQ$1,0),FALSE)</f>
        <v>0</v>
      </c>
      <c r="AB102" s="31">
        <f>VLOOKUP($B102,'Tillförd energi'!$B$1:$AI$720,MATCH(AB$1,'Tillförd energi'!$B$1:$AQ$1,0),FALSE)</f>
        <v>0</v>
      </c>
      <c r="AC102" s="31">
        <f>VLOOKUP($B102,'Tillförd energi'!$B$1:$AI$720,MATCH(AC$1,'Tillförd energi'!$B$1:$AQ$1,0),FALSE)</f>
        <v>0</v>
      </c>
      <c r="AD102" s="31">
        <f>VLOOKUP($B102,'Tillförd energi'!$B$1:$AI$720,MATCH(AD$1,'Tillförd energi'!$B$1:$AQ$1,0),FALSE)</f>
        <v>3.0590000000000002</v>
      </c>
      <c r="AE102" s="31">
        <f>VLOOKUP($B102,'Tillförd energi'!$B$1:$AI$720,MATCH(AE$1,'Tillförd energi'!$B$1:$AQ$1,0),FALSE)</f>
        <v>0</v>
      </c>
      <c r="AF102" s="31">
        <f>VLOOKUP($B102,'Tillförd energi'!$B$1:$AI$720,MATCH(AF$1,'Tillförd energi'!$B$1:$AQ$1,0),FALSE)</f>
        <v>7.2029999999999997E-2</v>
      </c>
      <c r="AG102" s="31">
        <f>IFERROR(VLOOKUP(B102,Miljö!$B$1:$AC$550,MATCH("Köpt mängd produktionsspecifik fjärrvärme:",Miljö!$B$1:$AC$1,0),FALSE)/1,0)</f>
        <v>0</v>
      </c>
      <c r="AI102" s="31">
        <f t="shared" si="23"/>
        <v>3.2200299999999999</v>
      </c>
      <c r="AJ102" s="31">
        <f t="shared" si="24"/>
        <v>3.2200299999999999</v>
      </c>
      <c r="AK102" s="31">
        <f>IF(ISERROR(1/VLOOKUP($B102,Leveranser!$B$1:$S$499,MATCH("Såld värme (GWh)",Leveranser!$B$1:$S$1,0),FALSE)),"",VLOOKUP($B102,Leveranser!$B$1:$S$499,MATCH("Såld värme (GWh)",Leveranser!$B$1:$S$1,0),FALSE))</f>
        <v>2.4009999999999998</v>
      </c>
      <c r="AL102" s="31">
        <f>VLOOKUP($B102,Leveranser!$B$1:$Y$499,MATCH("Totalt såld fjärrvärme till andra fjärrvärmeföretag",Leveranser!$B$1:$AA$1,0),FALSE)</f>
        <v>0</v>
      </c>
      <c r="AM102" s="31">
        <f>IF(ISERROR(1/VLOOKUP($B102,Miljö!$B$1:$S$500,MATCH("Såld mängd produktionsspecifik fjärrvärme (GWh)",Miljö!$B$1:$R$1,0),FALSE)),0,VLOOKUP($B102,Miljö!$B$1:$S$500,MATCH("Såld mängd produktionsspecifik fjärrvärme (GWh)",Miljö!$B$1:$R$1,0),FALSE))</f>
        <v>0</v>
      </c>
      <c r="AN102" s="32">
        <f t="shared" si="25"/>
        <v>0.74564522690782375</v>
      </c>
      <c r="AP102" s="31" t="str">
        <f>IFERROR(VLOOKUP($B102,Miljövärden!$B$2:$H$550,7,FALSE),"Nej, saknas")</f>
        <v>Ja</v>
      </c>
      <c r="AQ102" s="31" t="str">
        <f>IFERROR(VLOOKUP($B102,Miljövärden!$B$2:$H$551,6,FALSE),"Nej, saknas")</f>
        <v>Nej</v>
      </c>
      <c r="AU102" s="31">
        <f t="shared" si="26"/>
        <v>7.2029999999999997E-2</v>
      </c>
      <c r="AV102" s="31">
        <f t="shared" si="27"/>
        <v>0</v>
      </c>
      <c r="AW102" s="31">
        <f t="shared" si="28"/>
        <v>0</v>
      </c>
      <c r="AX102" s="31">
        <f t="shared" si="29"/>
        <v>6.4000000000000001E-2</v>
      </c>
      <c r="AZ102" s="31">
        <f t="shared" si="30"/>
        <v>6.4000000000000001E-2</v>
      </c>
      <c r="BC102" s="31">
        <f t="shared" si="31"/>
        <v>2.5000000000000001E-2</v>
      </c>
      <c r="BD102" s="31">
        <f t="shared" si="32"/>
        <v>0</v>
      </c>
      <c r="BE102" s="31">
        <f t="shared" si="33"/>
        <v>6.4000000000000001E-2</v>
      </c>
      <c r="BF102" s="31">
        <f t="shared" si="34"/>
        <v>3.0590000000000002</v>
      </c>
      <c r="BG102" s="31">
        <f t="shared" si="35"/>
        <v>7.2029999999999997E-2</v>
      </c>
      <c r="BH102" s="31">
        <f>VLOOKUP(B102,Miljö!$B$1:$BX$482,MATCH("Fossilandel för ursprungspecificerad el ()",Miljö!$B$1:$I$1,0),FALSE)</f>
        <v>0</v>
      </c>
      <c r="BI102" s="31">
        <f>VLOOKUP(B102,Miljö!$B$1:$BX$482,MATCH("Kärnkraftsandel för ursprungsspecificerad el ()",Miljö!$B$1:$O$1,0),FALSE)</f>
        <v>0</v>
      </c>
      <c r="BJ102" s="31">
        <f t="shared" si="36"/>
        <v>0</v>
      </c>
      <c r="BK102" s="31" t="str">
        <f>VLOOKUP(B102,Miljö!$B$1:$P$482,MATCH("Fossil andel i procent (%)",Miljö!$B$1:$P$1,0),FALSE)</f>
        <v>ET</v>
      </c>
      <c r="BL102" s="31">
        <f t="shared" si="37"/>
        <v>3.2200299999999999</v>
      </c>
      <c r="BO102" s="32">
        <f t="shared" si="38"/>
        <v>7.7639028207811735E-3</v>
      </c>
      <c r="BP102" s="32">
        <f t="shared" si="39"/>
        <v>0</v>
      </c>
      <c r="BQ102" s="32">
        <f t="shared" si="40"/>
        <v>4.2244948028434516E-2</v>
      </c>
      <c r="BR102" s="32">
        <f t="shared" si="41"/>
        <v>0.94999114915078442</v>
      </c>
      <c r="BT102" s="62">
        <f t="shared" si="42"/>
        <v>1</v>
      </c>
      <c r="BW102" s="32">
        <f>IF(AP102="Ja",VLOOKUP(B102,Miljövärden!$B$2:$H$551,MATCH("Total andel fossilt",Miljövärden!$B$2:$H$2,0),FALSE),"")</f>
        <v>7.7638999999999998E-3</v>
      </c>
      <c r="BX102" s="62">
        <f t="shared" si="43"/>
        <v>-2.8207811737443467E-9</v>
      </c>
      <c r="BZ102" s="31">
        <f t="shared" si="44"/>
        <v>-2.8207811737443467E-9</v>
      </c>
      <c r="CA102" s="32">
        <f t="shared" si="45"/>
        <v>0</v>
      </c>
    </row>
    <row r="103" spans="1:79" x14ac:dyDescent="0.45">
      <c r="A103" s="31" t="s">
        <v>554</v>
      </c>
      <c r="B103" s="31" t="s">
        <v>553</v>
      </c>
      <c r="C103" s="31">
        <f>VLOOKUP($B103,'Tillförd energi'!$B$1:$AI$720,MATCH(C$1,'Tillförd energi'!$B$1:$AQ$1,0),FALSE)</f>
        <v>0</v>
      </c>
      <c r="D103" s="31">
        <f>VLOOKUP($B103,'Tillförd energi'!$B$1:$AI$720,MATCH(D$1,'Tillförd energi'!$B$1:$AQ$1,0),FALSE)</f>
        <v>0</v>
      </c>
      <c r="E103" s="31">
        <f>VLOOKUP($B103,'Tillförd energi'!$B$1:$AI$720,MATCH(E$1,'Tillförd energi'!$B$1:$AQ$1,0),FALSE)</f>
        <v>0</v>
      </c>
      <c r="F103" s="31">
        <f>VLOOKUP($B103,'Tillförd energi'!$B$1:$AI$720,MATCH(F$1,'Tillförd energi'!$B$1:$AQ$1,0),FALSE)</f>
        <v>0</v>
      </c>
      <c r="G103" s="31">
        <f>VLOOKUP($B103,'Tillförd energi'!$B$1:$AI$720,MATCH(G$1,'Tillförd energi'!$B$1:$AQ$1,0),FALSE)</f>
        <v>0</v>
      </c>
      <c r="H103" s="31">
        <f>VLOOKUP($B103,'Tillförd energi'!$B$1:$AI$720,MATCH(H$1,'Tillförd energi'!$B$1:$AQ$1,0),FALSE)</f>
        <v>0</v>
      </c>
      <c r="I103" s="31">
        <f>VLOOKUP($B103,'Tillförd energi'!$B$1:$AI$720,MATCH(I$1,'Tillförd energi'!$B$1:$AQ$1,0),FALSE)</f>
        <v>0</v>
      </c>
      <c r="J103" s="31">
        <f>VLOOKUP($B103,'Tillförd energi'!$B$1:$AI$720,MATCH(J$1,'Tillförd energi'!$B$1:$AQ$1,0),FALSE)</f>
        <v>0</v>
      </c>
      <c r="K103" s="31">
        <f>VLOOKUP($B103,'Tillförd energi'!$B$1:$AI$720,MATCH(K$1,'Tillförd energi'!$B$1:$AQ$1,0),FALSE)</f>
        <v>0</v>
      </c>
      <c r="L103" s="31">
        <f>VLOOKUP($B103,'Tillförd energi'!$B$1:$AI$720,MATCH(L$1,'Tillförd energi'!$B$1:$AQ$1,0),FALSE)</f>
        <v>0</v>
      </c>
      <c r="M103" s="31">
        <f>VLOOKUP($B103,'Tillförd energi'!$B$1:$AI$720,MATCH(M$1,'Tillförd energi'!$B$1:$AQ$1,0),FALSE)</f>
        <v>0</v>
      </c>
      <c r="N103" s="31">
        <f>VLOOKUP($B103,'Tillförd energi'!$B$1:$AI$720,MATCH(N$1,'Tillförd energi'!$B$1:$AQ$1,0),FALSE)</f>
        <v>1.5</v>
      </c>
      <c r="O103" s="31">
        <f>VLOOKUP($B103,'Tillförd energi'!$B$1:$AI$720,MATCH(O$1,'Tillförd energi'!$B$1:$AQ$1,0),FALSE)</f>
        <v>0</v>
      </c>
      <c r="P103" s="31">
        <f>VLOOKUP($B103,'Tillförd energi'!$B$1:$AI$720,MATCH(P$1,'Tillförd energi'!$B$1:$AQ$1,0),FALSE)</f>
        <v>27.3</v>
      </c>
      <c r="Q103" s="31">
        <f>VLOOKUP($B103,'Tillförd energi'!$B$1:$AI$720,MATCH(Q$1,'Tillförd energi'!$B$1:$AQ$1,0),FALSE)</f>
        <v>0</v>
      </c>
      <c r="R103" s="31">
        <f>VLOOKUP($B103,'Tillförd energi'!$B$1:$AI$720,MATCH(R$1,'Tillförd energi'!$B$1:$AQ$1,0),FALSE)</f>
        <v>0</v>
      </c>
      <c r="S103" s="31">
        <f>VLOOKUP($B103,'Tillförd energi'!$B$1:$AI$720,MATCH(S$1,'Tillförd energi'!$B$1:$AQ$1,0),FALSE)</f>
        <v>0</v>
      </c>
      <c r="T103" s="31">
        <f>VLOOKUP($B103,'Tillförd energi'!$B$1:$AI$720,MATCH(T$1,'Tillförd energi'!$B$1:$AQ$1,0),FALSE)</f>
        <v>0</v>
      </c>
      <c r="U103" s="31">
        <f>VLOOKUP($B103,'Tillförd energi'!$B$1:$AI$720,MATCH(U$1,'Tillförd energi'!$B$1:$AQ$1,0),FALSE)</f>
        <v>0</v>
      </c>
      <c r="V103" s="31">
        <f>VLOOKUP($B103,'Tillförd energi'!$B$1:$AI$720,MATCH(V$1,'Tillförd energi'!$B$1:$AQ$1,0),FALSE)</f>
        <v>0</v>
      </c>
      <c r="W103" s="31">
        <f>VLOOKUP($B103,'Tillförd energi'!$B$1:$AI$720,MATCH(W$1,'Tillförd energi'!$B$1:$AQ$1,0),FALSE)</f>
        <v>1.3</v>
      </c>
      <c r="X103" s="31">
        <f>VLOOKUP($B103,'Tillförd energi'!$B$1:$AI$720,MATCH(X$1,'Tillförd energi'!$B$1:$AQ$1,0),FALSE)</f>
        <v>0</v>
      </c>
      <c r="Y103" s="31">
        <f>VLOOKUP($B103,'Tillförd energi'!$B$1:$AI$720,MATCH(Y$1,'Tillförd energi'!$B$1:$AQ$1,0),FALSE)</f>
        <v>0</v>
      </c>
      <c r="Z103" s="31">
        <f>VLOOKUP($B103,'Tillförd energi'!$B$1:$AI$720,MATCH(Z$1,'Tillförd energi'!$B$1:$AQ$1,0),FALSE)</f>
        <v>0</v>
      </c>
      <c r="AA103" s="31">
        <f>VLOOKUP($B103,'Tillförd energi'!$B$1:$AI$720,MATCH(AA$1,'Tillförd energi'!$B$1:$AQ$1,0),FALSE)</f>
        <v>0</v>
      </c>
      <c r="AB103" s="31">
        <f>VLOOKUP($B103,'Tillförd energi'!$B$1:$AI$720,MATCH(AB$1,'Tillförd energi'!$B$1:$AQ$1,0),FALSE)</f>
        <v>0</v>
      </c>
      <c r="AC103" s="31">
        <f>VLOOKUP($B103,'Tillförd energi'!$B$1:$AI$720,MATCH(AC$1,'Tillförd energi'!$B$1:$AQ$1,0),FALSE)</f>
        <v>0</v>
      </c>
      <c r="AD103" s="31">
        <f>VLOOKUP($B103,'Tillförd energi'!$B$1:$AI$720,MATCH(AD$1,'Tillförd energi'!$B$1:$AQ$1,0),FALSE)</f>
        <v>0</v>
      </c>
      <c r="AE103" s="31">
        <f>VLOOKUP($B103,'Tillförd energi'!$B$1:$AI$720,MATCH(AE$1,'Tillförd energi'!$B$1:$AQ$1,0),FALSE)</f>
        <v>0</v>
      </c>
      <c r="AF103" s="31">
        <f>VLOOKUP($B103,'Tillförd energi'!$B$1:$AI$720,MATCH(AF$1,'Tillförd energi'!$B$1:$AQ$1,0),FALSE)</f>
        <v>0.25</v>
      </c>
      <c r="AG103" s="31">
        <f>IFERROR(VLOOKUP(B103,Miljö!$B$1:$AC$550,MATCH("Köpt mängd produktionsspecifik fjärrvärme:",Miljö!$B$1:$AC$1,0),FALSE)/1,0)</f>
        <v>0</v>
      </c>
      <c r="AI103" s="31">
        <f t="shared" si="23"/>
        <v>30.35</v>
      </c>
      <c r="AJ103" s="31">
        <f t="shared" si="24"/>
        <v>30.35</v>
      </c>
      <c r="AK103" s="31">
        <f>IF(ISERROR(1/VLOOKUP($B103,Leveranser!$B$1:$S$499,MATCH("Såld värme (GWh)",Leveranser!$B$1:$S$1,0),FALSE)),"",VLOOKUP($B103,Leveranser!$B$1:$S$499,MATCH("Såld värme (GWh)",Leveranser!$B$1:$S$1,0),FALSE))</f>
        <v>21.2</v>
      </c>
      <c r="AL103" s="31">
        <f>VLOOKUP($B103,Leveranser!$B$1:$Y$499,MATCH("Totalt såld fjärrvärme till andra fjärrvärmeföretag",Leveranser!$B$1:$AA$1,0),FALSE)</f>
        <v>0</v>
      </c>
      <c r="AM103" s="31">
        <f>IF(ISERROR(1/VLOOKUP($B103,Miljö!$B$1:$S$500,MATCH("Såld mängd produktionsspecifik fjärrvärme (GWh)",Miljö!$B$1:$R$1,0),FALSE)),0,VLOOKUP($B103,Miljö!$B$1:$S$500,MATCH("Såld mängd produktionsspecifik fjärrvärme (GWh)",Miljö!$B$1:$R$1,0),FALSE))</f>
        <v>0</v>
      </c>
      <c r="AN103" s="32">
        <f t="shared" si="25"/>
        <v>0.69851729818780883</v>
      </c>
      <c r="AP103" s="31" t="str">
        <f>IFERROR(VLOOKUP($B103,Miljövärden!$B$2:$H$550,7,FALSE),"Nej, saknas")</f>
        <v>Ja</v>
      </c>
      <c r="AQ103" s="31" t="str">
        <f>IFERROR(VLOOKUP($B103,Miljövärden!$B$2:$H$551,6,FALSE),"Nej, saknas")</f>
        <v>Nej</v>
      </c>
      <c r="AU103" s="31">
        <f t="shared" si="26"/>
        <v>0.25</v>
      </c>
      <c r="AV103" s="31">
        <f t="shared" si="27"/>
        <v>0</v>
      </c>
      <c r="AW103" s="31">
        <f t="shared" si="28"/>
        <v>28.8</v>
      </c>
      <c r="AX103" s="31">
        <f t="shared" si="29"/>
        <v>0</v>
      </c>
      <c r="AZ103" s="31">
        <f t="shared" si="30"/>
        <v>30.1</v>
      </c>
      <c r="BC103" s="31">
        <f t="shared" si="31"/>
        <v>0</v>
      </c>
      <c r="BD103" s="31">
        <f t="shared" si="32"/>
        <v>0</v>
      </c>
      <c r="BE103" s="31">
        <f t="shared" si="33"/>
        <v>30.1</v>
      </c>
      <c r="BF103" s="31">
        <f t="shared" si="34"/>
        <v>0</v>
      </c>
      <c r="BG103" s="31">
        <f t="shared" si="35"/>
        <v>0.25</v>
      </c>
      <c r="BH103" s="31">
        <f>VLOOKUP(B103,Miljö!$B$1:$BX$482,MATCH("Fossilandel för ursprungspecificerad el ()",Miljö!$B$1:$I$1,0),FALSE)</f>
        <v>0</v>
      </c>
      <c r="BI103" s="31">
        <f>VLOOKUP(B103,Miljö!$B$1:$BX$482,MATCH("Kärnkraftsandel för ursprungsspecificerad el ()",Miljö!$B$1:$O$1,0),FALSE)</f>
        <v>0</v>
      </c>
      <c r="BJ103" s="31">
        <f t="shared" si="36"/>
        <v>0</v>
      </c>
      <c r="BK103" s="31" t="str">
        <f>VLOOKUP(B103,Miljö!$B$1:$P$482,MATCH("Fossil andel i procent (%)",Miljö!$B$1:$P$1,0),FALSE)</f>
        <v>ET</v>
      </c>
      <c r="BL103" s="31">
        <f t="shared" si="37"/>
        <v>30.35</v>
      </c>
      <c r="BO103" s="32">
        <f t="shared" si="38"/>
        <v>0</v>
      </c>
      <c r="BP103" s="32">
        <f t="shared" si="39"/>
        <v>0</v>
      </c>
      <c r="BQ103" s="32">
        <f t="shared" si="40"/>
        <v>1</v>
      </c>
      <c r="BR103" s="32">
        <f t="shared" si="41"/>
        <v>0</v>
      </c>
      <c r="BT103" s="62">
        <f t="shared" si="42"/>
        <v>1</v>
      </c>
      <c r="BW103" s="32">
        <f>IF(AP103="Ja",VLOOKUP(B103,Miljövärden!$B$2:$H$551,MATCH("Total andel fossilt",Miljövärden!$B$2:$H$2,0),FALSE),"")</f>
        <v>0</v>
      </c>
      <c r="BX103" s="62">
        <f t="shared" si="43"/>
        <v>0</v>
      </c>
      <c r="BZ103" s="31">
        <f t="shared" si="44"/>
        <v>0</v>
      </c>
      <c r="CA103" s="32">
        <f t="shared" si="45"/>
        <v>0</v>
      </c>
    </row>
    <row r="104" spans="1:79" x14ac:dyDescent="0.45">
      <c r="A104" s="31" t="s">
        <v>550</v>
      </c>
      <c r="B104" s="31" t="s">
        <v>551</v>
      </c>
      <c r="C104" s="31">
        <f>VLOOKUP($B104,'Tillförd energi'!$B$1:$AI$720,MATCH(C$1,'Tillförd energi'!$B$1:$AQ$1,0),FALSE)</f>
        <v>0</v>
      </c>
      <c r="D104" s="31">
        <f>VLOOKUP($B104,'Tillförd energi'!$B$1:$AI$720,MATCH(D$1,'Tillförd energi'!$B$1:$AQ$1,0),FALSE)</f>
        <v>0.30499999999999999</v>
      </c>
      <c r="E104" s="31">
        <f>VLOOKUP($B104,'Tillförd energi'!$B$1:$AI$720,MATCH(E$1,'Tillförd energi'!$B$1:$AQ$1,0),FALSE)</f>
        <v>0</v>
      </c>
      <c r="F104" s="31">
        <f>VLOOKUP($B104,'Tillförd energi'!$B$1:$AI$720,MATCH(F$1,'Tillförd energi'!$B$1:$AQ$1,0),FALSE)</f>
        <v>0</v>
      </c>
      <c r="G104" s="31">
        <f>VLOOKUP($B104,'Tillförd energi'!$B$1:$AI$720,MATCH(G$1,'Tillförd energi'!$B$1:$AQ$1,0),FALSE)</f>
        <v>4.78</v>
      </c>
      <c r="H104" s="31">
        <f>VLOOKUP($B104,'Tillförd energi'!$B$1:$AI$720,MATCH(H$1,'Tillförd energi'!$B$1:$AQ$1,0),FALSE)</f>
        <v>0</v>
      </c>
      <c r="I104" s="31">
        <f>VLOOKUP($B104,'Tillförd energi'!$B$1:$AI$720,MATCH(I$1,'Tillförd energi'!$B$1:$AQ$1,0),FALSE)</f>
        <v>0</v>
      </c>
      <c r="J104" s="31">
        <f>VLOOKUP($B104,'Tillförd energi'!$B$1:$AI$720,MATCH(J$1,'Tillförd energi'!$B$1:$AQ$1,0),FALSE)</f>
        <v>0</v>
      </c>
      <c r="K104" s="31">
        <f>VLOOKUP($B104,'Tillförd energi'!$B$1:$AI$720,MATCH(K$1,'Tillförd energi'!$B$1:$AQ$1,0),FALSE)</f>
        <v>0</v>
      </c>
      <c r="L104" s="31">
        <f>VLOOKUP($B104,'Tillförd energi'!$B$1:$AI$720,MATCH(L$1,'Tillförd energi'!$B$1:$AQ$1,0),FALSE)</f>
        <v>0</v>
      </c>
      <c r="M104" s="31">
        <f>VLOOKUP($B104,'Tillförd energi'!$B$1:$AI$720,MATCH(M$1,'Tillförd energi'!$B$1:$AQ$1,0),FALSE)</f>
        <v>7.79</v>
      </c>
      <c r="N104" s="31">
        <f>VLOOKUP($B104,'Tillförd energi'!$B$1:$AI$720,MATCH(N$1,'Tillförd energi'!$B$1:$AQ$1,0),FALSE)</f>
        <v>16.64</v>
      </c>
      <c r="O104" s="31">
        <f>VLOOKUP($B104,'Tillförd energi'!$B$1:$AI$720,MATCH(O$1,'Tillförd energi'!$B$1:$AQ$1,0),FALSE)</f>
        <v>0</v>
      </c>
      <c r="P104" s="31">
        <f>VLOOKUP($B104,'Tillförd energi'!$B$1:$AI$720,MATCH(P$1,'Tillförd energi'!$B$1:$AQ$1,0),FALSE)</f>
        <v>22.4</v>
      </c>
      <c r="Q104" s="31">
        <f>VLOOKUP($B104,'Tillförd energi'!$B$1:$AI$720,MATCH(Q$1,'Tillförd energi'!$B$1:$AQ$1,0),FALSE)</f>
        <v>6.22</v>
      </c>
      <c r="R104" s="31">
        <f>VLOOKUP($B104,'Tillförd energi'!$B$1:$AI$720,MATCH(R$1,'Tillförd energi'!$B$1:$AQ$1,0),FALSE)</f>
        <v>0</v>
      </c>
      <c r="S104" s="31">
        <f>VLOOKUP($B104,'Tillförd energi'!$B$1:$AI$720,MATCH(S$1,'Tillförd energi'!$B$1:$AQ$1,0),FALSE)</f>
        <v>0</v>
      </c>
      <c r="T104" s="31">
        <f>VLOOKUP($B104,'Tillförd energi'!$B$1:$AI$720,MATCH(T$1,'Tillförd energi'!$B$1:$AQ$1,0),FALSE)</f>
        <v>0</v>
      </c>
      <c r="U104" s="31">
        <f>VLOOKUP($B104,'Tillförd energi'!$B$1:$AI$720,MATCH(U$1,'Tillförd energi'!$B$1:$AQ$1,0),FALSE)</f>
        <v>0</v>
      </c>
      <c r="V104" s="31">
        <f>VLOOKUP($B104,'Tillförd energi'!$B$1:$AI$720,MATCH(V$1,'Tillförd energi'!$B$1:$AQ$1,0),FALSE)</f>
        <v>0</v>
      </c>
      <c r="W104" s="31">
        <f>VLOOKUP($B104,'Tillförd energi'!$B$1:$AI$720,MATCH(W$1,'Tillförd energi'!$B$1:$AQ$1,0),FALSE)</f>
        <v>0</v>
      </c>
      <c r="X104" s="31">
        <f>VLOOKUP($B104,'Tillförd energi'!$B$1:$AI$720,MATCH(X$1,'Tillförd energi'!$B$1:$AQ$1,0),FALSE)</f>
        <v>0</v>
      </c>
      <c r="Y104" s="31">
        <f>VLOOKUP($B104,'Tillförd energi'!$B$1:$AI$720,MATCH(Y$1,'Tillförd energi'!$B$1:$AQ$1,0),FALSE)</f>
        <v>0</v>
      </c>
      <c r="Z104" s="31">
        <f>VLOOKUP($B104,'Tillförd energi'!$B$1:$AI$720,MATCH(Z$1,'Tillförd energi'!$B$1:$AQ$1,0),FALSE)</f>
        <v>0</v>
      </c>
      <c r="AA104" s="31">
        <f>VLOOKUP($B104,'Tillförd energi'!$B$1:$AI$720,MATCH(AA$1,'Tillförd energi'!$B$1:$AQ$1,0),FALSE)</f>
        <v>0</v>
      </c>
      <c r="AB104" s="31">
        <f>VLOOKUP($B104,'Tillförd energi'!$B$1:$AI$720,MATCH(AB$1,'Tillförd energi'!$B$1:$AQ$1,0),FALSE)</f>
        <v>0</v>
      </c>
      <c r="AC104" s="31">
        <f>VLOOKUP($B104,'Tillförd energi'!$B$1:$AI$720,MATCH(AC$1,'Tillförd energi'!$B$1:$AQ$1,0),FALSE)</f>
        <v>7.39</v>
      </c>
      <c r="AD104" s="31">
        <f>VLOOKUP($B104,'Tillförd energi'!$B$1:$AI$720,MATCH(AD$1,'Tillförd energi'!$B$1:$AQ$1,0),FALSE)</f>
        <v>0.248</v>
      </c>
      <c r="AE104" s="31">
        <f>VLOOKUP($B104,'Tillförd energi'!$B$1:$AI$720,MATCH(AE$1,'Tillförd energi'!$B$1:$AQ$1,0),FALSE)</f>
        <v>0</v>
      </c>
      <c r="AF104" s="31">
        <f>VLOOKUP($B104,'Tillförd energi'!$B$1:$AI$720,MATCH(AF$1,'Tillförd energi'!$B$1:$AQ$1,0),FALSE)</f>
        <v>0.98699999999999999</v>
      </c>
      <c r="AG104" s="31">
        <f>IFERROR(VLOOKUP(B104,Miljö!$B$1:$AC$550,MATCH("Köpt mängd produktionsspecifik fjärrvärme:",Miljö!$B$1:$AC$1,0),FALSE)/1,0)</f>
        <v>0</v>
      </c>
      <c r="AI104" s="31">
        <f t="shared" si="23"/>
        <v>66.759999999999991</v>
      </c>
      <c r="AJ104" s="31">
        <f t="shared" si="24"/>
        <v>66.759999999999991</v>
      </c>
      <c r="AK104" s="31">
        <f>IF(ISERROR(1/VLOOKUP($B104,Leveranser!$B$1:$S$499,MATCH("Såld värme (GWh)",Leveranser!$B$1:$S$1,0),FALSE)),"",VLOOKUP($B104,Leveranser!$B$1:$S$499,MATCH("Såld värme (GWh)",Leveranser!$B$1:$S$1,0),FALSE))</f>
        <v>50.99</v>
      </c>
      <c r="AL104" s="31">
        <f>VLOOKUP($B104,Leveranser!$B$1:$Y$499,MATCH("Totalt såld fjärrvärme till andra fjärrvärmeföretag",Leveranser!$B$1:$AA$1,0),FALSE)</f>
        <v>0</v>
      </c>
      <c r="AM104" s="31">
        <f>IF(ISERROR(1/VLOOKUP($B104,Miljö!$B$1:$S$500,MATCH("Såld mängd produktionsspecifik fjärrvärme (GWh)",Miljö!$B$1:$R$1,0),FALSE)),0,VLOOKUP($B104,Miljö!$B$1:$S$500,MATCH("Såld mängd produktionsspecifik fjärrvärme (GWh)",Miljö!$B$1:$R$1,0),FALSE))</f>
        <v>0</v>
      </c>
      <c r="AN104" s="32">
        <f t="shared" si="25"/>
        <v>0.76378070701018586</v>
      </c>
      <c r="AP104" s="31" t="str">
        <f>IFERROR(VLOOKUP($B104,Miljövärden!$B$2:$H$550,7,FALSE),"Nej, saknas")</f>
        <v>Ja</v>
      </c>
      <c r="AQ104" s="31" t="str">
        <f>IFERROR(VLOOKUP($B104,Miljövärden!$B$2:$H$551,6,FALSE),"Nej, saknas")</f>
        <v>Ja</v>
      </c>
      <c r="AU104" s="31">
        <f t="shared" si="26"/>
        <v>0.98699999999999999</v>
      </c>
      <c r="AV104" s="31">
        <f t="shared" si="27"/>
        <v>0</v>
      </c>
      <c r="AW104" s="31">
        <f t="shared" si="28"/>
        <v>53.05</v>
      </c>
      <c r="AX104" s="31">
        <f t="shared" si="29"/>
        <v>0</v>
      </c>
      <c r="AZ104" s="31">
        <f t="shared" si="30"/>
        <v>53.05</v>
      </c>
      <c r="BC104" s="31">
        <f t="shared" si="31"/>
        <v>5.085</v>
      </c>
      <c r="BD104" s="31">
        <f t="shared" si="32"/>
        <v>0</v>
      </c>
      <c r="BE104" s="31">
        <f t="shared" si="33"/>
        <v>53.05</v>
      </c>
      <c r="BF104" s="31">
        <f t="shared" si="34"/>
        <v>7.6379999999999999</v>
      </c>
      <c r="BG104" s="31">
        <f t="shared" si="35"/>
        <v>0.98699999999999999</v>
      </c>
      <c r="BH104" s="31">
        <f>VLOOKUP(B104,Miljö!$B$1:$BX$482,MATCH("Fossilandel för ursprungspecificerad el ()",Miljö!$B$1:$I$1,0),FALSE)</f>
        <v>0.35</v>
      </c>
      <c r="BI104" s="31">
        <f>VLOOKUP(B104,Miljö!$B$1:$BX$482,MATCH("Kärnkraftsandel för ursprungsspecificerad el ()",Miljö!$B$1:$O$1,0),FALSE)</f>
        <v>0.3977</v>
      </c>
      <c r="BJ104" s="31">
        <f t="shared" si="36"/>
        <v>0</v>
      </c>
      <c r="BK104" s="31" t="str">
        <f>VLOOKUP(B104,Miljö!$B$1:$P$482,MATCH("Fossil andel i procent (%)",Miljö!$B$1:$P$1,0),FALSE)</f>
        <v>ET</v>
      </c>
      <c r="BL104" s="31">
        <f t="shared" si="37"/>
        <v>66.759999999999991</v>
      </c>
      <c r="BO104" s="32">
        <f t="shared" si="38"/>
        <v>8.1342869982025168E-2</v>
      </c>
      <c r="BP104" s="32">
        <f t="shared" si="39"/>
        <v>5.8797168963451172E-3</v>
      </c>
      <c r="BQ104" s="32">
        <f t="shared" si="40"/>
        <v>0.79836758687837039</v>
      </c>
      <c r="BR104" s="32">
        <f t="shared" si="41"/>
        <v>0.11440982624325945</v>
      </c>
      <c r="BT104" s="62">
        <f t="shared" si="42"/>
        <v>1</v>
      </c>
      <c r="BW104" s="32">
        <f>IF(AP104="Ja",VLOOKUP(B104,Miljövärden!$B$2:$H$551,MATCH("Total andel fossilt",Miljövärden!$B$2:$H$2,0),FALSE),"")</f>
        <v>8.1342899999999996E-2</v>
      </c>
      <c r="BX104" s="62">
        <f t="shared" si="43"/>
        <v>3.0017974828044913E-8</v>
      </c>
      <c r="BZ104" s="31">
        <f t="shared" si="44"/>
        <v>3.0017974828044913E-8</v>
      </c>
      <c r="CA104" s="32">
        <f t="shared" si="45"/>
        <v>0</v>
      </c>
    </row>
    <row r="105" spans="1:79" x14ac:dyDescent="0.45">
      <c r="A105" s="31" t="s">
        <v>550</v>
      </c>
      <c r="B105" s="31" t="s">
        <v>552</v>
      </c>
      <c r="C105" s="31">
        <f>VLOOKUP($B105,'Tillförd energi'!$B$1:$AI$720,MATCH(C$1,'Tillförd energi'!$B$1:$AQ$1,0),FALSE)</f>
        <v>0</v>
      </c>
      <c r="D105" s="31">
        <f>VLOOKUP($B105,'Tillförd energi'!$B$1:$AI$720,MATCH(D$1,'Tillförd energi'!$B$1:$AQ$1,0),FALSE)</f>
        <v>0.56100000000000005</v>
      </c>
      <c r="E105" s="31">
        <f>VLOOKUP($B105,'Tillförd energi'!$B$1:$AI$720,MATCH(E$1,'Tillförd energi'!$B$1:$AQ$1,0),FALSE)</f>
        <v>0</v>
      </c>
      <c r="F105" s="31">
        <f>VLOOKUP($B105,'Tillförd energi'!$B$1:$AI$720,MATCH(F$1,'Tillförd energi'!$B$1:$AQ$1,0),FALSE)</f>
        <v>0</v>
      </c>
      <c r="G105" s="31">
        <f>VLOOKUP($B105,'Tillförd energi'!$B$1:$AI$720,MATCH(G$1,'Tillförd energi'!$B$1:$AQ$1,0),FALSE)</f>
        <v>0</v>
      </c>
      <c r="H105" s="31">
        <f>VLOOKUP($B105,'Tillförd energi'!$B$1:$AI$720,MATCH(H$1,'Tillförd energi'!$B$1:$AQ$1,0),FALSE)</f>
        <v>0</v>
      </c>
      <c r="I105" s="31">
        <f>VLOOKUP($B105,'Tillförd energi'!$B$1:$AI$720,MATCH(I$1,'Tillförd energi'!$B$1:$AQ$1,0),FALSE)</f>
        <v>0</v>
      </c>
      <c r="J105" s="31">
        <f>VLOOKUP($B105,'Tillförd energi'!$B$1:$AI$720,MATCH(J$1,'Tillförd energi'!$B$1:$AQ$1,0),FALSE)</f>
        <v>0</v>
      </c>
      <c r="K105" s="31">
        <f>VLOOKUP($B105,'Tillförd energi'!$B$1:$AI$720,MATCH(K$1,'Tillförd energi'!$B$1:$AQ$1,0),FALSE)</f>
        <v>0</v>
      </c>
      <c r="L105" s="31">
        <f>VLOOKUP($B105,'Tillförd energi'!$B$1:$AI$720,MATCH(L$1,'Tillförd energi'!$B$1:$AQ$1,0),FALSE)</f>
        <v>0</v>
      </c>
      <c r="M105" s="31">
        <f>VLOOKUP($B105,'Tillförd energi'!$B$1:$AI$720,MATCH(M$1,'Tillförd energi'!$B$1:$AQ$1,0),FALSE)</f>
        <v>1.58</v>
      </c>
      <c r="N105" s="31">
        <f>VLOOKUP($B105,'Tillförd energi'!$B$1:$AI$720,MATCH(N$1,'Tillförd energi'!$B$1:$AQ$1,0),FALSE)</f>
        <v>3.46</v>
      </c>
      <c r="O105" s="31">
        <f>VLOOKUP($B105,'Tillförd energi'!$B$1:$AI$720,MATCH(O$1,'Tillförd energi'!$B$1:$AQ$1,0),FALSE)</f>
        <v>0</v>
      </c>
      <c r="P105" s="31">
        <f>VLOOKUP($B105,'Tillförd energi'!$B$1:$AI$720,MATCH(P$1,'Tillförd energi'!$B$1:$AQ$1,0),FALSE)</f>
        <v>4.29</v>
      </c>
      <c r="Q105" s="31">
        <f>VLOOKUP($B105,'Tillförd energi'!$B$1:$AI$720,MATCH(Q$1,'Tillförd energi'!$B$1:$AQ$1,0),FALSE)</f>
        <v>4.9000000000000004</v>
      </c>
      <c r="R105" s="31">
        <f>VLOOKUP($B105,'Tillförd energi'!$B$1:$AI$720,MATCH(R$1,'Tillförd energi'!$B$1:$AQ$1,0),FALSE)</f>
        <v>0</v>
      </c>
      <c r="S105" s="31">
        <f>VLOOKUP($B105,'Tillförd energi'!$B$1:$AI$720,MATCH(S$1,'Tillförd energi'!$B$1:$AQ$1,0),FALSE)</f>
        <v>0</v>
      </c>
      <c r="T105" s="31">
        <f>VLOOKUP($B105,'Tillförd energi'!$B$1:$AI$720,MATCH(T$1,'Tillförd energi'!$B$1:$AQ$1,0),FALSE)</f>
        <v>0</v>
      </c>
      <c r="U105" s="31">
        <f>VLOOKUP($B105,'Tillförd energi'!$B$1:$AI$720,MATCH(U$1,'Tillförd energi'!$B$1:$AQ$1,0),FALSE)</f>
        <v>0</v>
      </c>
      <c r="V105" s="31">
        <f>VLOOKUP($B105,'Tillförd energi'!$B$1:$AI$720,MATCH(V$1,'Tillförd energi'!$B$1:$AQ$1,0),FALSE)</f>
        <v>0</v>
      </c>
      <c r="W105" s="31">
        <f>VLOOKUP($B105,'Tillförd energi'!$B$1:$AI$720,MATCH(W$1,'Tillförd energi'!$B$1:$AQ$1,0),FALSE)</f>
        <v>0</v>
      </c>
      <c r="X105" s="31">
        <f>VLOOKUP($B105,'Tillförd energi'!$B$1:$AI$720,MATCH(X$1,'Tillförd energi'!$B$1:$AQ$1,0),FALSE)</f>
        <v>0</v>
      </c>
      <c r="Y105" s="31">
        <f>VLOOKUP($B105,'Tillförd energi'!$B$1:$AI$720,MATCH(Y$1,'Tillförd energi'!$B$1:$AQ$1,0),FALSE)</f>
        <v>0</v>
      </c>
      <c r="Z105" s="31">
        <f>VLOOKUP($B105,'Tillförd energi'!$B$1:$AI$720,MATCH(Z$1,'Tillförd energi'!$B$1:$AQ$1,0),FALSE)</f>
        <v>0</v>
      </c>
      <c r="AA105" s="31">
        <f>VLOOKUP($B105,'Tillförd energi'!$B$1:$AI$720,MATCH(AA$1,'Tillförd energi'!$B$1:$AQ$1,0),FALSE)</f>
        <v>0</v>
      </c>
      <c r="AB105" s="31">
        <f>VLOOKUP($B105,'Tillförd energi'!$B$1:$AI$720,MATCH(AB$1,'Tillförd energi'!$B$1:$AQ$1,0),FALSE)</f>
        <v>0</v>
      </c>
      <c r="AC105" s="31">
        <f>VLOOKUP($B105,'Tillförd energi'!$B$1:$AI$720,MATCH(AC$1,'Tillförd energi'!$B$1:$AQ$1,0),FALSE)</f>
        <v>2.4900000000000002</v>
      </c>
      <c r="AD105" s="31">
        <f>VLOOKUP($B105,'Tillförd energi'!$B$1:$AI$720,MATCH(AD$1,'Tillförd energi'!$B$1:$AQ$1,0),FALSE)</f>
        <v>0</v>
      </c>
      <c r="AE105" s="31">
        <f>VLOOKUP($B105,'Tillförd energi'!$B$1:$AI$720,MATCH(AE$1,'Tillförd energi'!$B$1:$AQ$1,0),FALSE)</f>
        <v>0</v>
      </c>
      <c r="AF105" s="31">
        <f>VLOOKUP($B105,'Tillförd energi'!$B$1:$AI$720,MATCH(AF$1,'Tillförd energi'!$B$1:$AQ$1,0),FALSE)</f>
        <v>0.22</v>
      </c>
      <c r="AG105" s="31">
        <f>IFERROR(VLOOKUP(B105,Miljö!$B$1:$AC$550,MATCH("Köpt mängd produktionsspecifik fjärrvärme:",Miljö!$B$1:$AC$1,0),FALSE)/1,0)</f>
        <v>0</v>
      </c>
      <c r="AI105" s="31">
        <f t="shared" si="23"/>
        <v>17.500999999999998</v>
      </c>
      <c r="AJ105" s="31">
        <f t="shared" si="24"/>
        <v>17.500999999999998</v>
      </c>
      <c r="AK105" s="31">
        <f>IF(ISERROR(1/VLOOKUP($B105,Leveranser!$B$1:$S$499,MATCH("Såld värme (GWh)",Leveranser!$B$1:$S$1,0),FALSE)),"",VLOOKUP($B105,Leveranser!$B$1:$S$499,MATCH("Såld värme (GWh)",Leveranser!$B$1:$S$1,0),FALSE))</f>
        <v>10.96</v>
      </c>
      <c r="AL105" s="31">
        <f>VLOOKUP($B105,Leveranser!$B$1:$Y$499,MATCH("Totalt såld fjärrvärme till andra fjärrvärmeföretag",Leveranser!$B$1:$AA$1,0),FALSE)</f>
        <v>0</v>
      </c>
      <c r="AM105" s="31">
        <f>IF(ISERROR(1/VLOOKUP($B105,Miljö!$B$1:$S$500,MATCH("Såld mängd produktionsspecifik fjärrvärme (GWh)",Miljö!$B$1:$R$1,0),FALSE)),0,VLOOKUP($B105,Miljö!$B$1:$S$500,MATCH("Såld mängd produktionsspecifik fjärrvärme (GWh)",Miljö!$B$1:$R$1,0),FALSE))</f>
        <v>0</v>
      </c>
      <c r="AN105" s="32">
        <f t="shared" si="25"/>
        <v>0.6262499285755101</v>
      </c>
      <c r="AP105" s="31" t="str">
        <f>IFERROR(VLOOKUP($B105,Miljövärden!$B$2:$H$550,7,FALSE),"Nej, saknas")</f>
        <v>Ja</v>
      </c>
      <c r="AQ105" s="31" t="str">
        <f>IFERROR(VLOOKUP($B105,Miljövärden!$B$2:$H$551,6,FALSE),"Nej, saknas")</f>
        <v>Ja</v>
      </c>
      <c r="AU105" s="31">
        <f t="shared" si="26"/>
        <v>0.22</v>
      </c>
      <c r="AV105" s="31">
        <f t="shared" si="27"/>
        <v>0</v>
      </c>
      <c r="AW105" s="31">
        <f t="shared" si="28"/>
        <v>14.23</v>
      </c>
      <c r="AX105" s="31">
        <f t="shared" si="29"/>
        <v>0</v>
      </c>
      <c r="AZ105" s="31">
        <f t="shared" si="30"/>
        <v>14.23</v>
      </c>
      <c r="BC105" s="31">
        <f t="shared" si="31"/>
        <v>0.56100000000000005</v>
      </c>
      <c r="BD105" s="31">
        <f t="shared" si="32"/>
        <v>0</v>
      </c>
      <c r="BE105" s="31">
        <f t="shared" si="33"/>
        <v>14.23</v>
      </c>
      <c r="BF105" s="31">
        <f t="shared" si="34"/>
        <v>2.4900000000000002</v>
      </c>
      <c r="BG105" s="31">
        <f t="shared" si="35"/>
        <v>0.22</v>
      </c>
      <c r="BH105" s="31">
        <f>VLOOKUP(B105,Miljö!$B$1:$BX$482,MATCH("Fossilandel för ursprungspecificerad el ()",Miljö!$B$1:$I$1,0),FALSE)</f>
        <v>0.35</v>
      </c>
      <c r="BI105" s="31">
        <f>VLOOKUP(B105,Miljö!$B$1:$BX$482,MATCH("Kärnkraftsandel för ursprungsspecificerad el ()",Miljö!$B$1:$O$1,0),FALSE)</f>
        <v>0.3977</v>
      </c>
      <c r="BJ105" s="31">
        <f t="shared" si="36"/>
        <v>0</v>
      </c>
      <c r="BK105" s="31" t="str">
        <f>VLOOKUP(B105,Miljö!$B$1:$P$482,MATCH("Fossil andel i procent (%)",Miljö!$B$1:$P$1,0),FALSE)</f>
        <v>ET</v>
      </c>
      <c r="BL105" s="31">
        <f t="shared" si="37"/>
        <v>17.500999999999998</v>
      </c>
      <c r="BO105" s="32">
        <f t="shared" si="38"/>
        <v>3.645505971087367E-2</v>
      </c>
      <c r="BP105" s="32">
        <f t="shared" si="39"/>
        <v>4.9993714644877441E-3</v>
      </c>
      <c r="BQ105" s="32">
        <f t="shared" si="40"/>
        <v>0.81626798468658945</v>
      </c>
      <c r="BR105" s="32">
        <f t="shared" si="41"/>
        <v>0.14227758413804928</v>
      </c>
      <c r="BT105" s="62">
        <f t="shared" si="42"/>
        <v>1.0000000000000002</v>
      </c>
      <c r="BW105" s="32">
        <f>IF(AP105="Ja",VLOOKUP(B105,Miljövärden!$B$2:$H$551,MATCH("Total andel fossilt",Miljövärden!$B$2:$H$2,0),FALSE),"")</f>
        <v>3.6455099999999997E-2</v>
      </c>
      <c r="BX105" s="62">
        <f t="shared" si="43"/>
        <v>4.0289126326809033E-8</v>
      </c>
      <c r="BZ105" s="31">
        <f t="shared" si="44"/>
        <v>4.0289126326809033E-8</v>
      </c>
      <c r="CA105" s="32">
        <f t="shared" si="45"/>
        <v>0</v>
      </c>
    </row>
    <row r="106" spans="1:79" x14ac:dyDescent="0.45">
      <c r="A106" s="31" t="s">
        <v>550</v>
      </c>
      <c r="B106" s="31" t="s">
        <v>549</v>
      </c>
      <c r="C106" s="31">
        <f>VLOOKUP($B106,'Tillförd energi'!$B$1:$AI$720,MATCH(C$1,'Tillförd energi'!$B$1:$AQ$1,0),FALSE)</f>
        <v>0</v>
      </c>
      <c r="D106" s="31">
        <f>VLOOKUP($B106,'Tillförd energi'!$B$1:$AI$720,MATCH(D$1,'Tillförd energi'!$B$1:$AQ$1,0),FALSE)</f>
        <v>3.2000000000000001E-2</v>
      </c>
      <c r="E106" s="31">
        <f>VLOOKUP($B106,'Tillförd energi'!$B$1:$AI$720,MATCH(E$1,'Tillförd energi'!$B$1:$AQ$1,0),FALSE)</f>
        <v>0</v>
      </c>
      <c r="F106" s="31">
        <f>VLOOKUP($B106,'Tillförd energi'!$B$1:$AI$720,MATCH(F$1,'Tillförd energi'!$B$1:$AQ$1,0),FALSE)</f>
        <v>0</v>
      </c>
      <c r="G106" s="31">
        <f>VLOOKUP($B106,'Tillförd energi'!$B$1:$AI$720,MATCH(G$1,'Tillförd energi'!$B$1:$AQ$1,0),FALSE)</f>
        <v>0</v>
      </c>
      <c r="H106" s="31">
        <f>VLOOKUP($B106,'Tillförd energi'!$B$1:$AI$720,MATCH(H$1,'Tillförd energi'!$B$1:$AQ$1,0),FALSE)</f>
        <v>0</v>
      </c>
      <c r="I106" s="31">
        <f>VLOOKUP($B106,'Tillförd energi'!$B$1:$AI$720,MATCH(I$1,'Tillförd energi'!$B$1:$AQ$1,0),FALSE)</f>
        <v>0</v>
      </c>
      <c r="J106" s="31">
        <f>VLOOKUP($B106,'Tillförd energi'!$B$1:$AI$720,MATCH(J$1,'Tillförd energi'!$B$1:$AQ$1,0),FALSE)</f>
        <v>0</v>
      </c>
      <c r="K106" s="31">
        <f>VLOOKUP($B106,'Tillförd energi'!$B$1:$AI$720,MATCH(K$1,'Tillförd energi'!$B$1:$AQ$1,0),FALSE)</f>
        <v>0</v>
      </c>
      <c r="L106" s="31">
        <f>VLOOKUP($B106,'Tillförd energi'!$B$1:$AI$720,MATCH(L$1,'Tillförd energi'!$B$1:$AQ$1,0),FALSE)</f>
        <v>0</v>
      </c>
      <c r="M106" s="31">
        <f>VLOOKUP($B106,'Tillförd energi'!$B$1:$AI$720,MATCH(M$1,'Tillförd energi'!$B$1:$AQ$1,0),FALSE)</f>
        <v>0</v>
      </c>
      <c r="N106" s="31">
        <f>VLOOKUP($B106,'Tillförd energi'!$B$1:$AI$720,MATCH(N$1,'Tillförd energi'!$B$1:$AQ$1,0),FALSE)</f>
        <v>0</v>
      </c>
      <c r="O106" s="31">
        <f>VLOOKUP($B106,'Tillförd energi'!$B$1:$AI$720,MATCH(O$1,'Tillförd energi'!$B$1:$AQ$1,0),FALSE)</f>
        <v>0</v>
      </c>
      <c r="P106" s="31">
        <f>VLOOKUP($B106,'Tillförd energi'!$B$1:$AI$720,MATCH(P$1,'Tillförd energi'!$B$1:$AQ$1,0),FALSE)</f>
        <v>0</v>
      </c>
      <c r="Q106" s="31">
        <f>VLOOKUP($B106,'Tillförd energi'!$B$1:$AI$720,MATCH(Q$1,'Tillförd energi'!$B$1:$AQ$1,0),FALSE)</f>
        <v>0</v>
      </c>
      <c r="R106" s="31">
        <f>VLOOKUP($B106,'Tillförd energi'!$B$1:$AI$720,MATCH(R$1,'Tillförd energi'!$B$1:$AQ$1,0),FALSE)</f>
        <v>0.25700000000000001</v>
      </c>
      <c r="S106" s="31">
        <f>VLOOKUP($B106,'Tillförd energi'!$B$1:$AI$720,MATCH(S$1,'Tillförd energi'!$B$1:$AQ$1,0),FALSE)</f>
        <v>0</v>
      </c>
      <c r="T106" s="31">
        <f>VLOOKUP($B106,'Tillförd energi'!$B$1:$AI$720,MATCH(T$1,'Tillförd energi'!$B$1:$AQ$1,0),FALSE)</f>
        <v>0</v>
      </c>
      <c r="U106" s="31">
        <f>VLOOKUP($B106,'Tillförd energi'!$B$1:$AI$720,MATCH(U$1,'Tillförd energi'!$B$1:$AQ$1,0),FALSE)</f>
        <v>0</v>
      </c>
      <c r="V106" s="31">
        <f>VLOOKUP($B106,'Tillförd energi'!$B$1:$AI$720,MATCH(V$1,'Tillförd energi'!$B$1:$AQ$1,0),FALSE)</f>
        <v>0</v>
      </c>
      <c r="W106" s="31">
        <f>VLOOKUP($B106,'Tillförd energi'!$B$1:$AI$720,MATCH(W$1,'Tillförd energi'!$B$1:$AQ$1,0),FALSE)</f>
        <v>0</v>
      </c>
      <c r="X106" s="31">
        <f>VLOOKUP($B106,'Tillförd energi'!$B$1:$AI$720,MATCH(X$1,'Tillförd energi'!$B$1:$AQ$1,0),FALSE)</f>
        <v>0</v>
      </c>
      <c r="Y106" s="31">
        <f>VLOOKUP($B106,'Tillförd energi'!$B$1:$AI$720,MATCH(Y$1,'Tillförd energi'!$B$1:$AQ$1,0),FALSE)</f>
        <v>0</v>
      </c>
      <c r="Z106" s="31">
        <f>VLOOKUP($B106,'Tillförd energi'!$B$1:$AI$720,MATCH(Z$1,'Tillförd energi'!$B$1:$AQ$1,0),FALSE)</f>
        <v>0</v>
      </c>
      <c r="AA106" s="31">
        <f>VLOOKUP($B106,'Tillförd energi'!$B$1:$AI$720,MATCH(AA$1,'Tillförd energi'!$B$1:$AQ$1,0),FALSE)</f>
        <v>0</v>
      </c>
      <c r="AB106" s="31">
        <f>VLOOKUP($B106,'Tillförd energi'!$B$1:$AI$720,MATCH(AB$1,'Tillförd energi'!$B$1:$AQ$1,0),FALSE)</f>
        <v>0</v>
      </c>
      <c r="AC106" s="31">
        <f>VLOOKUP($B106,'Tillförd energi'!$B$1:$AI$720,MATCH(AC$1,'Tillförd energi'!$B$1:$AQ$1,0),FALSE)</f>
        <v>0</v>
      </c>
      <c r="AD106" s="31">
        <f>VLOOKUP($B106,'Tillförd energi'!$B$1:$AI$720,MATCH(AD$1,'Tillförd energi'!$B$1:$AQ$1,0),FALSE)</f>
        <v>0</v>
      </c>
      <c r="AE106" s="31">
        <f>VLOOKUP($B106,'Tillförd energi'!$B$1:$AI$720,MATCH(AE$1,'Tillförd energi'!$B$1:$AQ$1,0),FALSE)</f>
        <v>0</v>
      </c>
      <c r="AF106" s="31">
        <f>VLOOKUP($B106,'Tillförd energi'!$B$1:$AI$720,MATCH(AF$1,'Tillförd energi'!$B$1:$AQ$1,0),FALSE)</f>
        <v>8.1600000000000006E-3</v>
      </c>
      <c r="AG106" s="31">
        <f>IFERROR(VLOOKUP(B106,Miljö!$B$1:$AC$550,MATCH("Köpt mängd produktionsspecifik fjärrvärme:",Miljö!$B$1:$AC$1,0),FALSE)/1,0)</f>
        <v>0</v>
      </c>
      <c r="AI106" s="31">
        <f t="shared" si="23"/>
        <v>0.29716000000000004</v>
      </c>
      <c r="AJ106" s="31">
        <f t="shared" si="24"/>
        <v>0.29716000000000004</v>
      </c>
      <c r="AK106" s="31">
        <f>IF(ISERROR(1/VLOOKUP($B106,Leveranser!$B$1:$S$499,MATCH("Såld värme (GWh)",Leveranser!$B$1:$S$1,0),FALSE)),"",VLOOKUP($B106,Leveranser!$B$1:$S$499,MATCH("Såld värme (GWh)",Leveranser!$B$1:$S$1,0),FALSE))</f>
        <v>0.27200000000000002</v>
      </c>
      <c r="AL106" s="31">
        <f>VLOOKUP($B106,Leveranser!$B$1:$Y$499,MATCH("Totalt såld fjärrvärme till andra fjärrvärmeföretag",Leveranser!$B$1:$AA$1,0),FALSE)</f>
        <v>0</v>
      </c>
      <c r="AM106" s="31">
        <f>IF(ISERROR(1/VLOOKUP($B106,Miljö!$B$1:$S$500,MATCH("Såld mängd produktionsspecifik fjärrvärme (GWh)",Miljö!$B$1:$R$1,0),FALSE)),0,VLOOKUP($B106,Miljö!$B$1:$S$500,MATCH("Såld mängd produktionsspecifik fjärrvärme (GWh)",Miljö!$B$1:$R$1,0),FALSE))</f>
        <v>0</v>
      </c>
      <c r="AN106" s="32">
        <f t="shared" si="25"/>
        <v>0.91533180778032031</v>
      </c>
      <c r="AP106" s="31" t="str">
        <f>IFERROR(VLOOKUP($B106,Miljövärden!$B$2:$H$550,7,FALSE),"Nej, saknas")</f>
        <v>Ja</v>
      </c>
      <c r="AQ106" s="31" t="str">
        <f>IFERROR(VLOOKUP($B106,Miljövärden!$B$2:$H$551,6,FALSE),"Nej, saknas")</f>
        <v>Ja</v>
      </c>
      <c r="AU106" s="31">
        <f t="shared" si="26"/>
        <v>8.1600000000000006E-3</v>
      </c>
      <c r="AV106" s="31">
        <f t="shared" si="27"/>
        <v>0</v>
      </c>
      <c r="AW106" s="31">
        <f t="shared" si="28"/>
        <v>0</v>
      </c>
      <c r="AX106" s="31">
        <f t="shared" si="29"/>
        <v>0.25700000000000001</v>
      </c>
      <c r="AZ106" s="31">
        <f t="shared" si="30"/>
        <v>0.25700000000000001</v>
      </c>
      <c r="BC106" s="31">
        <f t="shared" si="31"/>
        <v>3.2000000000000001E-2</v>
      </c>
      <c r="BD106" s="31">
        <f t="shared" si="32"/>
        <v>0</v>
      </c>
      <c r="BE106" s="31">
        <f t="shared" si="33"/>
        <v>0.25700000000000001</v>
      </c>
      <c r="BF106" s="31">
        <f t="shared" si="34"/>
        <v>0</v>
      </c>
      <c r="BG106" s="31">
        <f t="shared" si="35"/>
        <v>8.1600000000000006E-3</v>
      </c>
      <c r="BH106" s="31">
        <f>VLOOKUP(B106,Miljö!$B$1:$BX$482,MATCH("Fossilandel för ursprungspecificerad el ()",Miljö!$B$1:$I$1,0),FALSE)</f>
        <v>0.35</v>
      </c>
      <c r="BI106" s="31">
        <f>VLOOKUP(B106,Miljö!$B$1:$BX$482,MATCH("Kärnkraftsandel för ursprungsspecificerad el ()",Miljö!$B$1:$O$1,0),FALSE)</f>
        <v>0.3977</v>
      </c>
      <c r="BJ106" s="31">
        <f t="shared" si="36"/>
        <v>0</v>
      </c>
      <c r="BK106" s="31" t="str">
        <f>VLOOKUP(B106,Miljö!$B$1:$P$482,MATCH("Fossil andel i procent (%)",Miljö!$B$1:$P$1,0),FALSE)</f>
        <v>ET</v>
      </c>
      <c r="BL106" s="31">
        <f t="shared" si="37"/>
        <v>0.29716000000000004</v>
      </c>
      <c r="BO106" s="32">
        <f t="shared" si="38"/>
        <v>0.11729707901467221</v>
      </c>
      <c r="BP106" s="32">
        <f t="shared" si="39"/>
        <v>1.0920823798627001E-2</v>
      </c>
      <c r="BQ106" s="32">
        <f t="shared" si="40"/>
        <v>0.87178209718670063</v>
      </c>
      <c r="BR106" s="32">
        <f t="shared" si="41"/>
        <v>0</v>
      </c>
      <c r="BT106" s="62">
        <f t="shared" si="42"/>
        <v>0.99999999999999978</v>
      </c>
      <c r="BW106" s="32">
        <f>IF(AP106="Ja",VLOOKUP(B106,Miljövärden!$B$2:$H$551,MATCH("Total andel fossilt",Miljövärden!$B$2:$H$2,0),FALSE),"")</f>
        <v>0.117297</v>
      </c>
      <c r="BX106" s="62">
        <f t="shared" si="43"/>
        <v>-7.9014672207944336E-8</v>
      </c>
      <c r="BZ106" s="31">
        <f t="shared" si="44"/>
        <v>-7.9014672207944336E-8</v>
      </c>
      <c r="CA106" s="32">
        <f t="shared" si="45"/>
        <v>0</v>
      </c>
    </row>
    <row r="107" spans="1:79" x14ac:dyDescent="0.45">
      <c r="A107" s="31" t="s">
        <v>548</v>
      </c>
      <c r="B107" s="31" t="s">
        <v>547</v>
      </c>
      <c r="C107" s="31">
        <f>VLOOKUP($B107,'Tillförd energi'!$B$1:$AI$720,MATCH(C$1,'Tillförd energi'!$B$1:$AQ$1,0),FALSE)</f>
        <v>0</v>
      </c>
      <c r="D107" s="31">
        <f>VLOOKUP($B107,'Tillförd energi'!$B$1:$AI$720,MATCH(D$1,'Tillförd energi'!$B$1:$AQ$1,0),FALSE)</f>
        <v>0</v>
      </c>
      <c r="E107" s="31">
        <f>VLOOKUP($B107,'Tillförd energi'!$B$1:$AI$720,MATCH(E$1,'Tillförd energi'!$B$1:$AQ$1,0),FALSE)</f>
        <v>0</v>
      </c>
      <c r="F107" s="31">
        <f>VLOOKUP($B107,'Tillförd energi'!$B$1:$AI$720,MATCH(F$1,'Tillförd energi'!$B$1:$AQ$1,0),FALSE)</f>
        <v>0</v>
      </c>
      <c r="G107" s="31">
        <f>VLOOKUP($B107,'Tillförd energi'!$B$1:$AI$720,MATCH(G$1,'Tillförd energi'!$B$1:$AQ$1,0),FALSE)</f>
        <v>0</v>
      </c>
      <c r="H107" s="31">
        <f>VLOOKUP($B107,'Tillförd energi'!$B$1:$AI$720,MATCH(H$1,'Tillförd energi'!$B$1:$AQ$1,0),FALSE)</f>
        <v>0</v>
      </c>
      <c r="I107" s="31">
        <f>VLOOKUP($B107,'Tillförd energi'!$B$1:$AI$720,MATCH(I$1,'Tillförd energi'!$B$1:$AQ$1,0),FALSE)</f>
        <v>428.35599999999999</v>
      </c>
      <c r="J107" s="31">
        <f>VLOOKUP($B107,'Tillförd energi'!$B$1:$AI$720,MATCH(J$1,'Tillförd energi'!$B$1:$AQ$1,0),FALSE)</f>
        <v>21.6</v>
      </c>
      <c r="K107" s="31">
        <f>VLOOKUP($B107,'Tillförd energi'!$B$1:$AI$720,MATCH(K$1,'Tillförd energi'!$B$1:$AQ$1,0),FALSE)</f>
        <v>0</v>
      </c>
      <c r="L107" s="31">
        <f>VLOOKUP($B107,'Tillförd energi'!$B$1:$AI$720,MATCH(L$1,'Tillförd energi'!$B$1:$AQ$1,0),FALSE)</f>
        <v>0</v>
      </c>
      <c r="M107" s="31">
        <f>VLOOKUP($B107,'Tillförd energi'!$B$1:$AI$720,MATCH(M$1,'Tillförd energi'!$B$1:$AQ$1,0),FALSE)</f>
        <v>0</v>
      </c>
      <c r="N107" s="31">
        <f>VLOOKUP($B107,'Tillförd energi'!$B$1:$AI$720,MATCH(N$1,'Tillförd energi'!$B$1:$AQ$1,0),FALSE)</f>
        <v>126.176</v>
      </c>
      <c r="O107" s="31">
        <f>VLOOKUP($B107,'Tillförd energi'!$B$1:$AI$720,MATCH(O$1,'Tillförd energi'!$B$1:$AQ$1,0),FALSE)</f>
        <v>0</v>
      </c>
      <c r="P107" s="31">
        <f>VLOOKUP($B107,'Tillförd energi'!$B$1:$AI$720,MATCH(P$1,'Tillförd energi'!$B$1:$AQ$1,0),FALSE)</f>
        <v>0</v>
      </c>
      <c r="Q107" s="31">
        <f>VLOOKUP($B107,'Tillförd energi'!$B$1:$AI$720,MATCH(Q$1,'Tillförd energi'!$B$1:$AQ$1,0),FALSE)</f>
        <v>0</v>
      </c>
      <c r="R107" s="31">
        <f>VLOOKUP($B107,'Tillförd energi'!$B$1:$AI$720,MATCH(R$1,'Tillförd energi'!$B$1:$AQ$1,0),FALSE)</f>
        <v>0</v>
      </c>
      <c r="S107" s="31">
        <f>VLOOKUP($B107,'Tillförd energi'!$B$1:$AI$720,MATCH(S$1,'Tillförd energi'!$B$1:$AQ$1,0),FALSE)</f>
        <v>0</v>
      </c>
      <c r="T107" s="31">
        <f>VLOOKUP($B107,'Tillförd energi'!$B$1:$AI$720,MATCH(T$1,'Tillförd energi'!$B$1:$AQ$1,0),FALSE)</f>
        <v>0</v>
      </c>
      <c r="U107" s="31">
        <f>VLOOKUP($B107,'Tillförd energi'!$B$1:$AI$720,MATCH(U$1,'Tillförd energi'!$B$1:$AQ$1,0),FALSE)</f>
        <v>0</v>
      </c>
      <c r="V107" s="31">
        <f>VLOOKUP($B107,'Tillförd energi'!$B$1:$AI$720,MATCH(V$1,'Tillförd energi'!$B$1:$AQ$1,0),FALSE)</f>
        <v>0</v>
      </c>
      <c r="W107" s="31">
        <f>VLOOKUP($B107,'Tillförd energi'!$B$1:$AI$720,MATCH(W$1,'Tillförd energi'!$B$1:$AQ$1,0),FALSE)</f>
        <v>2.3E-2</v>
      </c>
      <c r="X107" s="31">
        <f>VLOOKUP($B107,'Tillförd energi'!$B$1:$AI$720,MATCH(X$1,'Tillförd energi'!$B$1:$AQ$1,0),FALSE)</f>
        <v>0</v>
      </c>
      <c r="Y107" s="31">
        <f>VLOOKUP($B107,'Tillförd energi'!$B$1:$AI$720,MATCH(Y$1,'Tillförd energi'!$B$1:$AQ$1,0),FALSE)</f>
        <v>0</v>
      </c>
      <c r="Z107" s="31">
        <f>VLOOKUP($B107,'Tillförd energi'!$B$1:$AI$720,MATCH(Z$1,'Tillförd energi'!$B$1:$AQ$1,0),FALSE)</f>
        <v>0</v>
      </c>
      <c r="AA107" s="31">
        <f>VLOOKUP($B107,'Tillförd energi'!$B$1:$AI$720,MATCH(AA$1,'Tillförd energi'!$B$1:$AQ$1,0),FALSE)</f>
        <v>0</v>
      </c>
      <c r="AB107" s="31">
        <f>VLOOKUP($B107,'Tillförd energi'!$B$1:$AI$720,MATCH(AB$1,'Tillförd energi'!$B$1:$AQ$1,0),FALSE)</f>
        <v>0</v>
      </c>
      <c r="AC107" s="31">
        <f>VLOOKUP($B107,'Tillförd energi'!$B$1:$AI$720,MATCH(AC$1,'Tillförd energi'!$B$1:$AQ$1,0),FALSE)</f>
        <v>84.9</v>
      </c>
      <c r="AD107" s="31">
        <f>VLOOKUP($B107,'Tillförd energi'!$B$1:$AI$720,MATCH(AD$1,'Tillförd energi'!$B$1:$AQ$1,0),FALSE)</f>
        <v>12.69</v>
      </c>
      <c r="AE107" s="31">
        <f>VLOOKUP($B107,'Tillförd energi'!$B$1:$AI$720,MATCH(AE$1,'Tillförd energi'!$B$1:$AQ$1,0),FALSE)</f>
        <v>0</v>
      </c>
      <c r="AF107" s="31">
        <f>VLOOKUP($B107,'Tillförd energi'!$B$1:$AI$720,MATCH(AF$1,'Tillförd energi'!$B$1:$AQ$1,0),FALSE)</f>
        <v>21.870200000000001</v>
      </c>
      <c r="AG107" s="31">
        <f>IFERROR(VLOOKUP(B107,Miljö!$B$1:$AC$550,MATCH("Köpt mängd produktionsspecifik fjärrvärme:",Miljö!$B$1:$AC$1,0),FALSE)/1,0)</f>
        <v>0</v>
      </c>
      <c r="AI107" s="31">
        <f t="shared" si="23"/>
        <v>695.61520000000007</v>
      </c>
      <c r="AJ107" s="31">
        <f t="shared" si="24"/>
        <v>695.61520000000007</v>
      </c>
      <c r="AK107" s="31">
        <f>IF(ISERROR(1/VLOOKUP($B107,Leveranser!$B$1:$S$499,MATCH("Såld värme (GWh)",Leveranser!$B$1:$S$1,0),FALSE)),"",VLOOKUP($B107,Leveranser!$B$1:$S$499,MATCH("Såld värme (GWh)",Leveranser!$B$1:$S$1,0),FALSE))</f>
        <v>537.70000000000005</v>
      </c>
      <c r="AL107" s="31">
        <f>VLOOKUP($B107,Leveranser!$B$1:$Y$499,MATCH("Totalt såld fjärrvärme till andra fjärrvärmeföretag",Leveranser!$B$1:$AA$1,0),FALSE)</f>
        <v>0</v>
      </c>
      <c r="AM107" s="31">
        <f>IF(ISERROR(1/VLOOKUP($B107,Miljö!$B$1:$S$500,MATCH("Såld mängd produktionsspecifik fjärrvärme (GWh)",Miljö!$B$1:$R$1,0),FALSE)),0,VLOOKUP($B107,Miljö!$B$1:$S$500,MATCH("Såld mängd produktionsspecifik fjärrvärme (GWh)",Miljö!$B$1:$R$1,0),FALSE))</f>
        <v>3.7</v>
      </c>
      <c r="AN107" s="32">
        <f t="shared" si="25"/>
        <v>0.77298483414393471</v>
      </c>
      <c r="AP107" s="31" t="str">
        <f>IFERROR(VLOOKUP($B107,Miljövärden!$B$2:$H$550,7,FALSE),"Nej, saknas")</f>
        <v>Ja</v>
      </c>
      <c r="AQ107" s="31" t="str">
        <f>IFERROR(VLOOKUP($B107,Miljövärden!$B$2:$H$551,6,FALSE),"Nej, saknas")</f>
        <v>Ja</v>
      </c>
      <c r="AU107" s="31">
        <f t="shared" si="26"/>
        <v>21.870200000000001</v>
      </c>
      <c r="AV107" s="31">
        <f t="shared" si="27"/>
        <v>0</v>
      </c>
      <c r="AW107" s="31">
        <f t="shared" si="28"/>
        <v>126.176</v>
      </c>
      <c r="AX107" s="31">
        <f t="shared" si="29"/>
        <v>0</v>
      </c>
      <c r="AZ107" s="31">
        <f t="shared" si="30"/>
        <v>126.199</v>
      </c>
      <c r="BC107" s="31">
        <f t="shared" si="31"/>
        <v>0</v>
      </c>
      <c r="BD107" s="31">
        <f t="shared" si="32"/>
        <v>0</v>
      </c>
      <c r="BE107" s="31">
        <f t="shared" si="33"/>
        <v>126.199</v>
      </c>
      <c r="BF107" s="31">
        <f t="shared" si="34"/>
        <v>547.54600000000005</v>
      </c>
      <c r="BG107" s="31">
        <f t="shared" si="35"/>
        <v>21.870200000000001</v>
      </c>
      <c r="BH107" s="31">
        <f>VLOOKUP(B107,Miljö!$B$1:$BX$482,MATCH("Fossilandel för ursprungspecificerad el ()",Miljö!$B$1:$I$1,0),FALSE)</f>
        <v>0</v>
      </c>
      <c r="BI107" s="31">
        <f>VLOOKUP(B107,Miljö!$B$1:$BX$482,MATCH("Kärnkraftsandel för ursprungsspecificerad el ()",Miljö!$B$1:$O$1,0),FALSE)</f>
        <v>0</v>
      </c>
      <c r="BJ107" s="31">
        <f t="shared" si="36"/>
        <v>0</v>
      </c>
      <c r="BK107" s="31" t="str">
        <f>VLOOKUP(B107,Miljö!$B$1:$P$482,MATCH("Fossil andel i procent (%)",Miljö!$B$1:$P$1,0),FALSE)</f>
        <v>ET</v>
      </c>
      <c r="BL107" s="31">
        <f t="shared" si="37"/>
        <v>695.61519999999996</v>
      </c>
      <c r="BO107" s="32">
        <f t="shared" si="38"/>
        <v>0</v>
      </c>
      <c r="BP107" s="32">
        <f t="shared" si="39"/>
        <v>0</v>
      </c>
      <c r="BQ107" s="32">
        <f t="shared" si="40"/>
        <v>0.21286078855091148</v>
      </c>
      <c r="BR107" s="32">
        <f t="shared" si="41"/>
        <v>0.7871392114490886</v>
      </c>
      <c r="BT107" s="62">
        <f t="shared" si="42"/>
        <v>1</v>
      </c>
      <c r="BW107" s="32">
        <f>IF(AP107="Ja",VLOOKUP(B107,Miljövärden!$B$2:$H$551,MATCH("Total andel fossilt",Miljövärden!$B$2:$H$2,0),FALSE),"")</f>
        <v>0</v>
      </c>
      <c r="BX107" s="62">
        <f t="shared" si="43"/>
        <v>0</v>
      </c>
      <c r="BZ107" s="31">
        <f t="shared" si="44"/>
        <v>0</v>
      </c>
      <c r="CA107" s="32">
        <f t="shared" si="45"/>
        <v>0</v>
      </c>
    </row>
    <row r="108" spans="1:79" x14ac:dyDescent="0.45">
      <c r="A108" s="31" t="s">
        <v>546</v>
      </c>
      <c r="B108" s="31" t="s">
        <v>545</v>
      </c>
      <c r="C108" s="31">
        <f>VLOOKUP($B108,'Tillförd energi'!$B$1:$AI$720,MATCH(C$1,'Tillförd energi'!$B$1:$AQ$1,0),FALSE)</f>
        <v>0</v>
      </c>
      <c r="D108" s="31">
        <f>VLOOKUP($B108,'Tillförd energi'!$B$1:$AI$720,MATCH(D$1,'Tillförd energi'!$B$1:$AQ$1,0),FALSE)</f>
        <v>0.09</v>
      </c>
      <c r="E108" s="31">
        <f>VLOOKUP($B108,'Tillförd energi'!$B$1:$AI$720,MATCH(E$1,'Tillförd energi'!$B$1:$AQ$1,0),FALSE)</f>
        <v>0</v>
      </c>
      <c r="F108" s="31">
        <f>VLOOKUP($B108,'Tillförd energi'!$B$1:$AI$720,MATCH(F$1,'Tillförd energi'!$B$1:$AQ$1,0),FALSE)</f>
        <v>0</v>
      </c>
      <c r="G108" s="31">
        <f>VLOOKUP($B108,'Tillförd energi'!$B$1:$AI$720,MATCH(G$1,'Tillförd energi'!$B$1:$AQ$1,0),FALSE)</f>
        <v>0</v>
      </c>
      <c r="H108" s="31">
        <f>VLOOKUP($B108,'Tillförd energi'!$B$1:$AI$720,MATCH(H$1,'Tillförd energi'!$B$1:$AQ$1,0),FALSE)</f>
        <v>0</v>
      </c>
      <c r="I108" s="31">
        <f>VLOOKUP($B108,'Tillförd energi'!$B$1:$AI$720,MATCH(I$1,'Tillförd energi'!$B$1:$AQ$1,0),FALSE)</f>
        <v>0</v>
      </c>
      <c r="J108" s="31">
        <f>VLOOKUP($B108,'Tillförd energi'!$B$1:$AI$720,MATCH(J$1,'Tillförd energi'!$B$1:$AQ$1,0),FALSE)</f>
        <v>0</v>
      </c>
      <c r="K108" s="31">
        <f>VLOOKUP($B108,'Tillförd energi'!$B$1:$AI$720,MATCH(K$1,'Tillförd energi'!$B$1:$AQ$1,0),FALSE)</f>
        <v>0</v>
      </c>
      <c r="L108" s="31">
        <f>VLOOKUP($B108,'Tillförd energi'!$B$1:$AI$720,MATCH(L$1,'Tillförd energi'!$B$1:$AQ$1,0),FALSE)</f>
        <v>0</v>
      </c>
      <c r="M108" s="31">
        <f>VLOOKUP($B108,'Tillförd energi'!$B$1:$AI$720,MATCH(M$1,'Tillförd energi'!$B$1:$AQ$1,0),FALSE)</f>
        <v>0</v>
      </c>
      <c r="N108" s="31">
        <f>VLOOKUP($B108,'Tillförd energi'!$B$1:$AI$720,MATCH(N$1,'Tillförd energi'!$B$1:$AQ$1,0),FALSE)</f>
        <v>0</v>
      </c>
      <c r="O108" s="31">
        <f>VLOOKUP($B108,'Tillförd energi'!$B$1:$AI$720,MATCH(O$1,'Tillförd energi'!$B$1:$AQ$1,0),FALSE)</f>
        <v>0</v>
      </c>
      <c r="P108" s="31">
        <f>VLOOKUP($B108,'Tillförd energi'!$B$1:$AI$720,MATCH(P$1,'Tillförd energi'!$B$1:$AQ$1,0),FALSE)</f>
        <v>0</v>
      </c>
      <c r="Q108" s="31">
        <f>VLOOKUP($B108,'Tillförd energi'!$B$1:$AI$720,MATCH(Q$1,'Tillförd energi'!$B$1:$AQ$1,0),FALSE)</f>
        <v>0</v>
      </c>
      <c r="R108" s="31">
        <f>VLOOKUP($B108,'Tillförd energi'!$B$1:$AI$720,MATCH(R$1,'Tillförd energi'!$B$1:$AQ$1,0),FALSE)</f>
        <v>3.1</v>
      </c>
      <c r="S108" s="31">
        <f>VLOOKUP($B108,'Tillförd energi'!$B$1:$AI$720,MATCH(S$1,'Tillförd energi'!$B$1:$AQ$1,0),FALSE)</f>
        <v>0</v>
      </c>
      <c r="T108" s="31">
        <f>VLOOKUP($B108,'Tillförd energi'!$B$1:$AI$720,MATCH(T$1,'Tillförd energi'!$B$1:$AQ$1,0),FALSE)</f>
        <v>0</v>
      </c>
      <c r="U108" s="31">
        <f>VLOOKUP($B108,'Tillförd energi'!$B$1:$AI$720,MATCH(U$1,'Tillförd energi'!$B$1:$AQ$1,0),FALSE)</f>
        <v>0</v>
      </c>
      <c r="V108" s="31">
        <f>VLOOKUP($B108,'Tillförd energi'!$B$1:$AI$720,MATCH(V$1,'Tillförd energi'!$B$1:$AQ$1,0),FALSE)</f>
        <v>0</v>
      </c>
      <c r="W108" s="31">
        <f>VLOOKUP($B108,'Tillförd energi'!$B$1:$AI$720,MATCH(W$1,'Tillförd energi'!$B$1:$AQ$1,0),FALSE)</f>
        <v>0</v>
      </c>
      <c r="X108" s="31">
        <f>VLOOKUP($B108,'Tillförd energi'!$B$1:$AI$720,MATCH(X$1,'Tillförd energi'!$B$1:$AQ$1,0),FALSE)</f>
        <v>0</v>
      </c>
      <c r="Y108" s="31">
        <f>VLOOKUP($B108,'Tillförd energi'!$B$1:$AI$720,MATCH(Y$1,'Tillförd energi'!$B$1:$AQ$1,0),FALSE)</f>
        <v>0</v>
      </c>
      <c r="Z108" s="31">
        <f>VLOOKUP($B108,'Tillförd energi'!$B$1:$AI$720,MATCH(Z$1,'Tillförd energi'!$B$1:$AQ$1,0),FALSE)</f>
        <v>0</v>
      </c>
      <c r="AA108" s="31">
        <f>VLOOKUP($B108,'Tillförd energi'!$B$1:$AI$720,MATCH(AA$1,'Tillförd energi'!$B$1:$AQ$1,0),FALSE)</f>
        <v>0</v>
      </c>
      <c r="AB108" s="31">
        <f>VLOOKUP($B108,'Tillförd energi'!$B$1:$AI$720,MATCH(AB$1,'Tillförd energi'!$B$1:$AQ$1,0),FALSE)</f>
        <v>0</v>
      </c>
      <c r="AC108" s="31">
        <f>VLOOKUP($B108,'Tillförd energi'!$B$1:$AI$720,MATCH(AC$1,'Tillförd energi'!$B$1:$AQ$1,0),FALSE)</f>
        <v>0</v>
      </c>
      <c r="AD108" s="31">
        <f>VLOOKUP($B108,'Tillförd energi'!$B$1:$AI$720,MATCH(AD$1,'Tillförd energi'!$B$1:$AQ$1,0),FALSE)</f>
        <v>0</v>
      </c>
      <c r="AE108" s="31">
        <f>VLOOKUP($B108,'Tillförd energi'!$B$1:$AI$720,MATCH(AE$1,'Tillförd energi'!$B$1:$AQ$1,0),FALSE)</f>
        <v>0</v>
      </c>
      <c r="AF108" s="31">
        <f>VLOOKUP($B108,'Tillförd energi'!$B$1:$AI$720,MATCH(AF$1,'Tillförd energi'!$B$1:$AQ$1,0),FALSE)</f>
        <v>0.38</v>
      </c>
      <c r="AG108" s="31">
        <f>IFERROR(VLOOKUP(B108,Miljö!$B$1:$AC$550,MATCH("Köpt mängd produktionsspecifik fjärrvärme:",Miljö!$B$1:$AC$1,0),FALSE)/1,0)</f>
        <v>57.9</v>
      </c>
      <c r="AI108" s="31">
        <f t="shared" si="23"/>
        <v>3.57</v>
      </c>
      <c r="AJ108" s="31">
        <f t="shared" si="24"/>
        <v>61.47</v>
      </c>
      <c r="AK108" s="31">
        <f>IF(ISERROR(1/VLOOKUP($B108,Leveranser!$B$1:$S$499,MATCH("Såld värme (GWh)",Leveranser!$B$1:$S$1,0),FALSE)),"",VLOOKUP($B108,Leveranser!$B$1:$S$499,MATCH("Såld värme (GWh)",Leveranser!$B$1:$S$1,0),FALSE))</f>
        <v>46.1</v>
      </c>
      <c r="AL108" s="31">
        <f>VLOOKUP($B108,Leveranser!$B$1:$Y$499,MATCH("Totalt såld fjärrvärme till andra fjärrvärmeföretag",Leveranser!$B$1:$AA$1,0),FALSE)</f>
        <v>0</v>
      </c>
      <c r="AM108" s="31">
        <f>IF(ISERROR(1/VLOOKUP($B108,Miljö!$B$1:$S$500,MATCH("Såld mängd produktionsspecifik fjärrvärme (GWh)",Miljö!$B$1:$R$1,0),FALSE)),0,VLOOKUP($B108,Miljö!$B$1:$S$500,MATCH("Såld mängd produktionsspecifik fjärrvärme (GWh)",Miljö!$B$1:$R$1,0),FALSE))</f>
        <v>0</v>
      </c>
      <c r="AN108" s="32">
        <f t="shared" si="25"/>
        <v>0.74995932975435176</v>
      </c>
      <c r="AP108" s="31" t="str">
        <f>IFERROR(VLOOKUP($B108,Miljövärden!$B$2:$H$550,7,FALSE),"Nej, saknas")</f>
        <v>Ja</v>
      </c>
      <c r="AQ108" s="31" t="str">
        <f>IFERROR(VLOOKUP($B108,Miljövärden!$B$2:$H$551,6,FALSE),"Nej, saknas")</f>
        <v>Ja</v>
      </c>
      <c r="AU108" s="31">
        <f t="shared" si="26"/>
        <v>0.38</v>
      </c>
      <c r="AV108" s="31">
        <f t="shared" si="27"/>
        <v>0</v>
      </c>
      <c r="AW108" s="31">
        <f t="shared" si="28"/>
        <v>0</v>
      </c>
      <c r="AX108" s="31">
        <f t="shared" si="29"/>
        <v>3.1</v>
      </c>
      <c r="AZ108" s="31">
        <f t="shared" si="30"/>
        <v>3.1</v>
      </c>
      <c r="BC108" s="31">
        <f t="shared" si="31"/>
        <v>0.09</v>
      </c>
      <c r="BD108" s="31">
        <f t="shared" si="32"/>
        <v>0</v>
      </c>
      <c r="BE108" s="31">
        <f t="shared" si="33"/>
        <v>3.1</v>
      </c>
      <c r="BF108" s="31">
        <f t="shared" si="34"/>
        <v>0</v>
      </c>
      <c r="BG108" s="31">
        <f t="shared" si="35"/>
        <v>0.38</v>
      </c>
      <c r="BH108" s="31">
        <f>VLOOKUP(B108,Miljö!$B$1:$BX$482,MATCH("Fossilandel för ursprungspecificerad el ()",Miljö!$B$1:$I$1,0),FALSE)</f>
        <v>0</v>
      </c>
      <c r="BI108" s="31">
        <f>VLOOKUP(B108,Miljö!$B$1:$BX$482,MATCH("Kärnkraftsandel för ursprungsspecificerad el ()",Miljö!$B$1:$O$1,0),FALSE)</f>
        <v>0</v>
      </c>
      <c r="BJ108" s="31">
        <f t="shared" si="36"/>
        <v>57.9</v>
      </c>
      <c r="BK108" s="31">
        <f>VLOOKUP(B108,Miljö!$B$1:$P$482,MATCH("Fossil andel i procent (%)",Miljö!$B$1:$P$1,0),FALSE)</f>
        <v>0.5</v>
      </c>
      <c r="BL108" s="31">
        <f t="shared" si="37"/>
        <v>61.47</v>
      </c>
      <c r="BO108" s="32">
        <f t="shared" si="38"/>
        <v>6.1737432894094675E-3</v>
      </c>
      <c r="BP108" s="32">
        <f t="shared" si="39"/>
        <v>0.93721327476817962</v>
      </c>
      <c r="BQ108" s="32">
        <f t="shared" si="40"/>
        <v>5.6612981942410934E-2</v>
      </c>
      <c r="BR108" s="32">
        <f t="shared" si="41"/>
        <v>0</v>
      </c>
      <c r="BT108" s="62">
        <f t="shared" si="42"/>
        <v>1</v>
      </c>
      <c r="BW108" s="32">
        <f>IF(AP108="Ja",VLOOKUP(B108,Miljövärden!$B$2:$H$551,MATCH("Total andel fossilt",Miljövärden!$B$2:$H$2,0),FALSE),"")</f>
        <v>6.1737399999999996E-3</v>
      </c>
      <c r="BX108" s="62">
        <f t="shared" si="43"/>
        <v>-3.289409467900628E-9</v>
      </c>
      <c r="BZ108" s="31">
        <f t="shared" si="44"/>
        <v>-3.289409467900628E-9</v>
      </c>
      <c r="CA108" s="32">
        <f t="shared" si="45"/>
        <v>0</v>
      </c>
    </row>
    <row r="109" spans="1:79" x14ac:dyDescent="0.45">
      <c r="A109" s="31" t="s">
        <v>543</v>
      </c>
      <c r="B109" s="31" t="s">
        <v>542</v>
      </c>
      <c r="C109" s="31">
        <f>VLOOKUP($B109,'Tillförd energi'!$B$1:$AI$720,MATCH(C$1,'Tillförd energi'!$B$1:$AQ$1,0),FALSE)</f>
        <v>0</v>
      </c>
      <c r="D109" s="31">
        <f>VLOOKUP($B109,'Tillförd energi'!$B$1:$AI$720,MATCH(D$1,'Tillförd energi'!$B$1:$AQ$1,0),FALSE)</f>
        <v>2.7930600000000001</v>
      </c>
      <c r="E109" s="31">
        <f>VLOOKUP($B109,'Tillförd energi'!$B$1:$AI$720,MATCH(E$1,'Tillförd energi'!$B$1:$AQ$1,0),FALSE)</f>
        <v>0</v>
      </c>
      <c r="F109" s="31">
        <f>VLOOKUP($B109,'Tillförd energi'!$B$1:$AI$720,MATCH(F$1,'Tillförd energi'!$B$1:$AQ$1,0),FALSE)</f>
        <v>0</v>
      </c>
      <c r="G109" s="31">
        <f>VLOOKUP($B109,'Tillförd energi'!$B$1:$AI$720,MATCH(G$1,'Tillförd energi'!$B$1:$AQ$1,0),FALSE)</f>
        <v>0</v>
      </c>
      <c r="H109" s="31">
        <f>VLOOKUP($B109,'Tillförd energi'!$B$1:$AI$720,MATCH(H$1,'Tillförd energi'!$B$1:$AQ$1,0),FALSE)</f>
        <v>0</v>
      </c>
      <c r="I109" s="31">
        <f>VLOOKUP($B109,'Tillförd energi'!$B$1:$AI$720,MATCH(I$1,'Tillförd energi'!$B$1:$AQ$1,0),FALSE)</f>
        <v>0</v>
      </c>
      <c r="J109" s="31">
        <f>VLOOKUP($B109,'Tillförd energi'!$B$1:$AI$720,MATCH(J$1,'Tillförd energi'!$B$1:$AQ$1,0),FALSE)</f>
        <v>0</v>
      </c>
      <c r="K109" s="31">
        <f>VLOOKUP($B109,'Tillförd energi'!$B$1:$AI$720,MATCH(K$1,'Tillförd energi'!$B$1:$AQ$1,0),FALSE)</f>
        <v>0</v>
      </c>
      <c r="L109" s="31">
        <f>VLOOKUP($B109,'Tillförd energi'!$B$1:$AI$720,MATCH(L$1,'Tillförd energi'!$B$1:$AQ$1,0),FALSE)</f>
        <v>0</v>
      </c>
      <c r="M109" s="31">
        <f>VLOOKUP($B109,'Tillförd energi'!$B$1:$AI$720,MATCH(M$1,'Tillförd energi'!$B$1:$AQ$1,0),FALSE)</f>
        <v>0</v>
      </c>
      <c r="N109" s="31">
        <f>VLOOKUP($B109,'Tillförd energi'!$B$1:$AI$720,MATCH(N$1,'Tillförd energi'!$B$1:$AQ$1,0),FALSE)</f>
        <v>0</v>
      </c>
      <c r="O109" s="31">
        <f>VLOOKUP($B109,'Tillförd energi'!$B$1:$AI$720,MATCH(O$1,'Tillförd energi'!$B$1:$AQ$1,0),FALSE)</f>
        <v>0</v>
      </c>
      <c r="P109" s="31">
        <f>VLOOKUP($B109,'Tillförd energi'!$B$1:$AI$720,MATCH(P$1,'Tillförd energi'!$B$1:$AQ$1,0),FALSE)</f>
        <v>0</v>
      </c>
      <c r="Q109" s="31">
        <f>VLOOKUP($B109,'Tillförd energi'!$B$1:$AI$720,MATCH(Q$1,'Tillförd energi'!$B$1:$AQ$1,0),FALSE)</f>
        <v>0</v>
      </c>
      <c r="R109" s="31">
        <f>VLOOKUP($B109,'Tillförd energi'!$B$1:$AI$720,MATCH(R$1,'Tillförd energi'!$B$1:$AQ$1,0),FALSE)</f>
        <v>0</v>
      </c>
      <c r="S109" s="31">
        <f>VLOOKUP($B109,'Tillförd energi'!$B$1:$AI$720,MATCH(S$1,'Tillförd energi'!$B$1:$AQ$1,0),FALSE)</f>
        <v>0</v>
      </c>
      <c r="T109" s="31">
        <f>VLOOKUP($B109,'Tillförd energi'!$B$1:$AI$720,MATCH(T$1,'Tillförd energi'!$B$1:$AQ$1,0),FALSE)</f>
        <v>0</v>
      </c>
      <c r="U109" s="31">
        <f>VLOOKUP($B109,'Tillförd energi'!$B$1:$AI$720,MATCH(U$1,'Tillförd energi'!$B$1:$AQ$1,0),FALSE)</f>
        <v>0</v>
      </c>
      <c r="V109" s="31">
        <f>VLOOKUP($B109,'Tillförd energi'!$B$1:$AI$720,MATCH(V$1,'Tillförd energi'!$B$1:$AQ$1,0),FALSE)</f>
        <v>0</v>
      </c>
      <c r="W109" s="31">
        <f>VLOOKUP($B109,'Tillförd energi'!$B$1:$AI$720,MATCH(W$1,'Tillförd energi'!$B$1:$AQ$1,0),FALSE)</f>
        <v>0</v>
      </c>
      <c r="X109" s="31">
        <f>VLOOKUP($B109,'Tillförd energi'!$B$1:$AI$720,MATCH(X$1,'Tillförd energi'!$B$1:$AQ$1,0),FALSE)</f>
        <v>0</v>
      </c>
      <c r="Y109" s="31">
        <f>VLOOKUP($B109,'Tillförd energi'!$B$1:$AI$720,MATCH(Y$1,'Tillförd energi'!$B$1:$AQ$1,0),FALSE)</f>
        <v>58.997100000000003</v>
      </c>
      <c r="Z109" s="31">
        <f>VLOOKUP($B109,'Tillförd energi'!$B$1:$AI$720,MATCH(Z$1,'Tillförd energi'!$B$1:$AQ$1,0),FALSE)</f>
        <v>0</v>
      </c>
      <c r="AA109" s="31">
        <f>VLOOKUP($B109,'Tillförd energi'!$B$1:$AI$720,MATCH(AA$1,'Tillförd energi'!$B$1:$AQ$1,0),FALSE)</f>
        <v>0</v>
      </c>
      <c r="AB109" s="31">
        <f>VLOOKUP($B109,'Tillförd energi'!$B$1:$AI$720,MATCH(AB$1,'Tillförd energi'!$B$1:$AQ$1,0),FALSE)</f>
        <v>0</v>
      </c>
      <c r="AC109" s="31">
        <f>VLOOKUP($B109,'Tillförd energi'!$B$1:$AI$720,MATCH(AC$1,'Tillförd energi'!$B$1:$AQ$1,0),FALSE)</f>
        <v>0</v>
      </c>
      <c r="AD109" s="31">
        <f>VLOOKUP($B109,'Tillförd energi'!$B$1:$AI$720,MATCH(AD$1,'Tillförd energi'!$B$1:$AQ$1,0),FALSE)</f>
        <v>0</v>
      </c>
      <c r="AE109" s="31">
        <f>VLOOKUP($B109,'Tillförd energi'!$B$1:$AI$720,MATCH(AE$1,'Tillförd energi'!$B$1:$AQ$1,0),FALSE)</f>
        <v>0</v>
      </c>
      <c r="AF109" s="31">
        <f>VLOOKUP($B109,'Tillförd energi'!$B$1:$AI$720,MATCH(AF$1,'Tillförd energi'!$B$1:$AQ$1,0),FALSE)</f>
        <v>0.44800000000000001</v>
      </c>
      <c r="AG109" s="31">
        <f>IFERROR(VLOOKUP(B109,Miljö!$B$1:$AC$550,MATCH("Köpt mängd produktionsspecifik fjärrvärme:",Miljö!$B$1:$AC$1,0),FALSE)/1,0)</f>
        <v>0</v>
      </c>
      <c r="AI109" s="31">
        <f t="shared" si="23"/>
        <v>62.238160000000001</v>
      </c>
      <c r="AJ109" s="31">
        <f t="shared" si="24"/>
        <v>62.238160000000001</v>
      </c>
      <c r="AK109" s="31">
        <f>IF(ISERROR(1/VLOOKUP($B109,Leveranser!$B$1:$S$499,MATCH("Såld värme (GWh)",Leveranser!$B$1:$S$1,0),FALSE)),"",VLOOKUP($B109,Leveranser!$B$1:$S$499,MATCH("Såld värme (GWh)",Leveranser!$B$1:$S$1,0),FALSE))</f>
        <v>43.280999999999999</v>
      </c>
      <c r="AL109" s="31">
        <f>VLOOKUP($B109,Leveranser!$B$1:$Y$499,MATCH("Totalt såld fjärrvärme till andra fjärrvärmeföretag",Leveranser!$B$1:$AA$1,0),FALSE)</f>
        <v>0</v>
      </c>
      <c r="AM109" s="31">
        <f>IF(ISERROR(1/VLOOKUP($B109,Miljö!$B$1:$S$500,MATCH("Såld mängd produktionsspecifik fjärrvärme (GWh)",Miljö!$B$1:$R$1,0),FALSE)),0,VLOOKUP($B109,Miljö!$B$1:$S$500,MATCH("Såld mängd produktionsspecifik fjärrvärme (GWh)",Miljö!$B$1:$R$1,0),FALSE))</f>
        <v>0</v>
      </c>
      <c r="AN109" s="32">
        <f t="shared" si="25"/>
        <v>0.69540937585558438</v>
      </c>
      <c r="AP109" s="31" t="str">
        <f>IFERROR(VLOOKUP($B109,Miljövärden!$B$2:$H$550,7,FALSE),"Nej, saknas")</f>
        <v>Ja</v>
      </c>
      <c r="AQ109" s="31" t="str">
        <f>IFERROR(VLOOKUP($B109,Miljövärden!$B$2:$H$551,6,FALSE),"Nej, saknas")</f>
        <v>Ja</v>
      </c>
      <c r="AU109" s="31">
        <f t="shared" si="26"/>
        <v>0.44800000000000001</v>
      </c>
      <c r="AV109" s="31">
        <f t="shared" si="27"/>
        <v>0</v>
      </c>
      <c r="AW109" s="31">
        <f t="shared" si="28"/>
        <v>0</v>
      </c>
      <c r="AX109" s="31">
        <f t="shared" si="29"/>
        <v>0</v>
      </c>
      <c r="AZ109" s="31">
        <f t="shared" si="30"/>
        <v>0</v>
      </c>
      <c r="BC109" s="31">
        <f t="shared" si="31"/>
        <v>2.7930600000000001</v>
      </c>
      <c r="BD109" s="31">
        <f t="shared" si="32"/>
        <v>58.997100000000003</v>
      </c>
      <c r="BE109" s="31">
        <f t="shared" si="33"/>
        <v>0</v>
      </c>
      <c r="BF109" s="31">
        <f t="shared" si="34"/>
        <v>0</v>
      </c>
      <c r="BG109" s="31">
        <f t="shared" si="35"/>
        <v>0.44800000000000001</v>
      </c>
      <c r="BH109" s="31">
        <f>VLOOKUP(B109,Miljö!$B$1:$BX$482,MATCH("Fossilandel för ursprungspecificerad el ()",Miljö!$B$1:$I$1,0),FALSE)</f>
        <v>0</v>
      </c>
      <c r="BI109" s="31">
        <f>VLOOKUP(B109,Miljö!$B$1:$BX$482,MATCH("Kärnkraftsandel för ursprungsspecificerad el ()",Miljö!$B$1:$O$1,0),FALSE)</f>
        <v>0</v>
      </c>
      <c r="BJ109" s="31">
        <f t="shared" si="36"/>
        <v>0</v>
      </c>
      <c r="BK109" s="31" t="str">
        <f>VLOOKUP(B109,Miljö!$B$1:$P$482,MATCH("Fossil andel i procent (%)",Miljö!$B$1:$P$1,0),FALSE)</f>
        <v>ET</v>
      </c>
      <c r="BL109" s="31">
        <f t="shared" si="37"/>
        <v>62.238160000000001</v>
      </c>
      <c r="BO109" s="32">
        <f t="shared" si="38"/>
        <v>4.4876969370559801E-2</v>
      </c>
      <c r="BP109" s="32">
        <f t="shared" si="39"/>
        <v>0.94792487438574669</v>
      </c>
      <c r="BQ109" s="32">
        <f t="shared" si="40"/>
        <v>7.1981562436935799E-3</v>
      </c>
      <c r="BR109" s="32">
        <f t="shared" si="41"/>
        <v>0</v>
      </c>
      <c r="BT109" s="62">
        <f t="shared" si="42"/>
        <v>1.0000000000000002</v>
      </c>
      <c r="BW109" s="32">
        <f>IF(AP109="Ja",VLOOKUP(B109,Miljövärden!$B$2:$H$551,MATCH("Total andel fossilt",Miljövärden!$B$2:$H$2,0),FALSE),"")</f>
        <v>4.4876899999999997E-2</v>
      </c>
      <c r="BX109" s="62">
        <f t="shared" si="43"/>
        <v>-6.9370559803438869E-8</v>
      </c>
      <c r="BZ109" s="31">
        <f t="shared" si="44"/>
        <v>-6.9370559803438869E-8</v>
      </c>
      <c r="CA109" s="32">
        <f t="shared" si="45"/>
        <v>0</v>
      </c>
    </row>
    <row r="110" spans="1:79" x14ac:dyDescent="0.45">
      <c r="A110" s="31" t="s">
        <v>543</v>
      </c>
      <c r="B110" s="31" t="s">
        <v>544</v>
      </c>
      <c r="C110" s="31">
        <f>VLOOKUP($B110,'Tillförd energi'!$B$1:$AI$720,MATCH(C$1,'Tillförd energi'!$B$1:$AQ$1,0),FALSE)</f>
        <v>0</v>
      </c>
      <c r="D110" s="31">
        <f>VLOOKUP($B110,'Tillförd energi'!$B$1:$AI$720,MATCH(D$1,'Tillförd energi'!$B$1:$AQ$1,0),FALSE)</f>
        <v>0</v>
      </c>
      <c r="E110" s="31">
        <f>VLOOKUP($B110,'Tillförd energi'!$B$1:$AI$720,MATCH(E$1,'Tillförd energi'!$B$1:$AQ$1,0),FALSE)</f>
        <v>0</v>
      </c>
      <c r="F110" s="31">
        <f>VLOOKUP($B110,'Tillförd energi'!$B$1:$AI$720,MATCH(F$1,'Tillförd energi'!$B$1:$AQ$1,0),FALSE)</f>
        <v>0</v>
      </c>
      <c r="G110" s="31">
        <f>VLOOKUP($B110,'Tillförd energi'!$B$1:$AI$720,MATCH(G$1,'Tillförd energi'!$B$1:$AQ$1,0),FALSE)</f>
        <v>0</v>
      </c>
      <c r="H110" s="31">
        <f>VLOOKUP($B110,'Tillförd energi'!$B$1:$AI$720,MATCH(H$1,'Tillförd energi'!$B$1:$AQ$1,0),FALSE)</f>
        <v>0</v>
      </c>
      <c r="I110" s="31">
        <f>VLOOKUP($B110,'Tillförd energi'!$B$1:$AI$720,MATCH(I$1,'Tillförd energi'!$B$1:$AQ$1,0),FALSE)</f>
        <v>0</v>
      </c>
      <c r="J110" s="31">
        <f>VLOOKUP($B110,'Tillförd energi'!$B$1:$AI$720,MATCH(J$1,'Tillförd energi'!$B$1:$AQ$1,0),FALSE)</f>
        <v>0</v>
      </c>
      <c r="K110" s="31">
        <f>VLOOKUP($B110,'Tillförd energi'!$B$1:$AI$720,MATCH(K$1,'Tillförd energi'!$B$1:$AQ$1,0),FALSE)</f>
        <v>0</v>
      </c>
      <c r="L110" s="31">
        <f>VLOOKUP($B110,'Tillförd energi'!$B$1:$AI$720,MATCH(L$1,'Tillförd energi'!$B$1:$AQ$1,0),FALSE)</f>
        <v>0</v>
      </c>
      <c r="M110" s="31">
        <f>VLOOKUP($B110,'Tillförd energi'!$B$1:$AI$720,MATCH(M$1,'Tillförd energi'!$B$1:$AQ$1,0),FALSE)</f>
        <v>0</v>
      </c>
      <c r="N110" s="31">
        <f>VLOOKUP($B110,'Tillförd energi'!$B$1:$AI$720,MATCH(N$1,'Tillförd energi'!$B$1:$AQ$1,0),FALSE)</f>
        <v>0</v>
      </c>
      <c r="O110" s="31">
        <f>VLOOKUP($B110,'Tillförd energi'!$B$1:$AI$720,MATCH(O$1,'Tillförd energi'!$B$1:$AQ$1,0),FALSE)</f>
        <v>0</v>
      </c>
      <c r="P110" s="31">
        <f>VLOOKUP($B110,'Tillförd energi'!$B$1:$AI$720,MATCH(P$1,'Tillförd energi'!$B$1:$AQ$1,0),FALSE)</f>
        <v>12.157999999999999</v>
      </c>
      <c r="Q110" s="31">
        <f>VLOOKUP($B110,'Tillförd energi'!$B$1:$AI$720,MATCH(Q$1,'Tillförd energi'!$B$1:$AQ$1,0),FALSE)</f>
        <v>0</v>
      </c>
      <c r="R110" s="31">
        <f>VLOOKUP($B110,'Tillförd energi'!$B$1:$AI$720,MATCH(R$1,'Tillförd energi'!$B$1:$AQ$1,0),FALSE)</f>
        <v>3.0110000000000001</v>
      </c>
      <c r="S110" s="31">
        <f>VLOOKUP($B110,'Tillförd energi'!$B$1:$AI$720,MATCH(S$1,'Tillförd energi'!$B$1:$AQ$1,0),FALSE)</f>
        <v>0</v>
      </c>
      <c r="T110" s="31">
        <f>VLOOKUP($B110,'Tillförd energi'!$B$1:$AI$720,MATCH(T$1,'Tillförd energi'!$B$1:$AQ$1,0),FALSE)</f>
        <v>0</v>
      </c>
      <c r="U110" s="31">
        <f>VLOOKUP($B110,'Tillförd energi'!$B$1:$AI$720,MATCH(U$1,'Tillförd energi'!$B$1:$AQ$1,0),FALSE)</f>
        <v>0</v>
      </c>
      <c r="V110" s="31">
        <f>VLOOKUP($B110,'Tillförd energi'!$B$1:$AI$720,MATCH(V$1,'Tillförd energi'!$B$1:$AQ$1,0),FALSE)</f>
        <v>0</v>
      </c>
      <c r="W110" s="31">
        <f>VLOOKUP($B110,'Tillförd energi'!$B$1:$AI$720,MATCH(W$1,'Tillförd energi'!$B$1:$AQ$1,0),FALSE)</f>
        <v>2.7170000000000001</v>
      </c>
      <c r="X110" s="31">
        <f>VLOOKUP($B110,'Tillförd energi'!$B$1:$AI$720,MATCH(X$1,'Tillförd energi'!$B$1:$AQ$1,0),FALSE)</f>
        <v>0</v>
      </c>
      <c r="Y110" s="31">
        <f>VLOOKUP($B110,'Tillförd energi'!$B$1:$AI$720,MATCH(Y$1,'Tillförd energi'!$B$1:$AQ$1,0),FALSE)</f>
        <v>0</v>
      </c>
      <c r="Z110" s="31">
        <f>VLOOKUP($B110,'Tillförd energi'!$B$1:$AI$720,MATCH(Z$1,'Tillförd energi'!$B$1:$AQ$1,0),FALSE)</f>
        <v>0</v>
      </c>
      <c r="AA110" s="31">
        <f>VLOOKUP($B110,'Tillförd energi'!$B$1:$AI$720,MATCH(AA$1,'Tillförd energi'!$B$1:$AQ$1,0),FALSE)</f>
        <v>0</v>
      </c>
      <c r="AB110" s="31">
        <f>VLOOKUP($B110,'Tillförd energi'!$B$1:$AI$720,MATCH(AB$1,'Tillförd energi'!$B$1:$AQ$1,0),FALSE)</f>
        <v>0</v>
      </c>
      <c r="AC110" s="31">
        <f>VLOOKUP($B110,'Tillförd energi'!$B$1:$AI$720,MATCH(AC$1,'Tillförd energi'!$B$1:$AQ$1,0),FALSE)</f>
        <v>0</v>
      </c>
      <c r="AD110" s="31">
        <f>VLOOKUP($B110,'Tillförd energi'!$B$1:$AI$720,MATCH(AD$1,'Tillförd energi'!$B$1:$AQ$1,0),FALSE)</f>
        <v>0</v>
      </c>
      <c r="AE110" s="31">
        <f>VLOOKUP($B110,'Tillförd energi'!$B$1:$AI$720,MATCH(AE$1,'Tillförd energi'!$B$1:$AQ$1,0),FALSE)</f>
        <v>0</v>
      </c>
      <c r="AF110" s="31">
        <f>VLOOKUP($B110,'Tillförd energi'!$B$1:$AI$720,MATCH(AF$1,'Tillförd energi'!$B$1:$AQ$1,0),FALSE)</f>
        <v>0.14899999999999999</v>
      </c>
      <c r="AG110" s="31">
        <f>IFERROR(VLOOKUP(B110,Miljö!$B$1:$AC$550,MATCH("Köpt mängd produktionsspecifik fjärrvärme:",Miljö!$B$1:$AC$1,0),FALSE)/1,0)</f>
        <v>0</v>
      </c>
      <c r="AI110" s="31">
        <f t="shared" si="23"/>
        <v>18.035</v>
      </c>
      <c r="AJ110" s="31">
        <f t="shared" si="24"/>
        <v>18.035</v>
      </c>
      <c r="AK110" s="31">
        <f>IF(ISERROR(1/VLOOKUP($B110,Leveranser!$B$1:$S$499,MATCH("Såld värme (GWh)",Leveranser!$B$1:$S$1,0),FALSE)),"",VLOOKUP($B110,Leveranser!$B$1:$S$499,MATCH("Såld värme (GWh)",Leveranser!$B$1:$S$1,0),FALSE))</f>
        <v>14</v>
      </c>
      <c r="AL110" s="31">
        <f>VLOOKUP($B110,Leveranser!$B$1:$Y$499,MATCH("Totalt såld fjärrvärme till andra fjärrvärmeföretag",Leveranser!$B$1:$AA$1,0),FALSE)</f>
        <v>0</v>
      </c>
      <c r="AM110" s="31">
        <f>IF(ISERROR(1/VLOOKUP($B110,Miljö!$B$1:$S$500,MATCH("Såld mängd produktionsspecifik fjärrvärme (GWh)",Miljö!$B$1:$R$1,0),FALSE)),0,VLOOKUP($B110,Miljö!$B$1:$S$500,MATCH("Såld mängd produktionsspecifik fjärrvärme (GWh)",Miljö!$B$1:$R$1,0),FALSE))</f>
        <v>0</v>
      </c>
      <c r="AN110" s="32">
        <f t="shared" si="25"/>
        <v>0.77626836706404212</v>
      </c>
      <c r="AP110" s="31" t="str">
        <f>IFERROR(VLOOKUP($B110,Miljövärden!$B$2:$H$550,7,FALSE),"Nej, saknas")</f>
        <v>Ja</v>
      </c>
      <c r="AQ110" s="31" t="str">
        <f>IFERROR(VLOOKUP($B110,Miljövärden!$B$2:$H$551,6,FALSE),"Nej, saknas")</f>
        <v>Ja</v>
      </c>
      <c r="AU110" s="31">
        <f t="shared" si="26"/>
        <v>0.14899999999999999</v>
      </c>
      <c r="AV110" s="31">
        <f t="shared" si="27"/>
        <v>0</v>
      </c>
      <c r="AW110" s="31">
        <f t="shared" si="28"/>
        <v>12.157999999999999</v>
      </c>
      <c r="AX110" s="31">
        <f t="shared" si="29"/>
        <v>3.0110000000000001</v>
      </c>
      <c r="AZ110" s="31">
        <f t="shared" si="30"/>
        <v>17.885999999999999</v>
      </c>
      <c r="BC110" s="31">
        <f t="shared" si="31"/>
        <v>0</v>
      </c>
      <c r="BD110" s="31">
        <f t="shared" si="32"/>
        <v>0</v>
      </c>
      <c r="BE110" s="31">
        <f t="shared" si="33"/>
        <v>17.885999999999999</v>
      </c>
      <c r="BF110" s="31">
        <f t="shared" si="34"/>
        <v>0</v>
      </c>
      <c r="BG110" s="31">
        <f t="shared" si="35"/>
        <v>0.14899999999999999</v>
      </c>
      <c r="BH110" s="31">
        <f>VLOOKUP(B110,Miljö!$B$1:$BX$482,MATCH("Fossilandel för ursprungspecificerad el ()",Miljö!$B$1:$I$1,0),FALSE)</f>
        <v>0</v>
      </c>
      <c r="BI110" s="31">
        <f>VLOOKUP(B110,Miljö!$B$1:$BX$482,MATCH("Kärnkraftsandel för ursprungsspecificerad el ()",Miljö!$B$1:$O$1,0),FALSE)</f>
        <v>0</v>
      </c>
      <c r="BJ110" s="31">
        <f t="shared" si="36"/>
        <v>0</v>
      </c>
      <c r="BK110" s="31" t="str">
        <f>VLOOKUP(B110,Miljö!$B$1:$P$482,MATCH("Fossil andel i procent (%)",Miljö!$B$1:$P$1,0),FALSE)</f>
        <v>ET</v>
      </c>
      <c r="BL110" s="31">
        <f t="shared" si="37"/>
        <v>18.035</v>
      </c>
      <c r="BO110" s="32">
        <f t="shared" si="38"/>
        <v>0</v>
      </c>
      <c r="BP110" s="32">
        <f t="shared" si="39"/>
        <v>0</v>
      </c>
      <c r="BQ110" s="32">
        <f t="shared" si="40"/>
        <v>1</v>
      </c>
      <c r="BR110" s="32">
        <f t="shared" si="41"/>
        <v>0</v>
      </c>
      <c r="BT110" s="62">
        <f t="shared" si="42"/>
        <v>1</v>
      </c>
      <c r="BW110" s="32">
        <f>IF(AP110="Ja",VLOOKUP(B110,Miljövärden!$B$2:$H$551,MATCH("Total andel fossilt",Miljövärden!$B$2:$H$2,0),FALSE),"")</f>
        <v>0</v>
      </c>
      <c r="BX110" s="62">
        <f t="shared" si="43"/>
        <v>0</v>
      </c>
      <c r="BZ110" s="31">
        <f t="shared" si="44"/>
        <v>0</v>
      </c>
      <c r="CA110" s="32">
        <f t="shared" si="45"/>
        <v>0</v>
      </c>
    </row>
    <row r="111" spans="1:79" x14ac:dyDescent="0.45">
      <c r="A111" s="31" t="s">
        <v>538</v>
      </c>
      <c r="B111" s="31" t="s">
        <v>541</v>
      </c>
      <c r="C111" s="31">
        <f>VLOOKUP($B111,'Tillförd energi'!$B$1:$AI$720,MATCH(C$1,'Tillförd energi'!$B$1:$AQ$1,0),FALSE)</f>
        <v>0</v>
      </c>
      <c r="D111" s="31">
        <f>VLOOKUP($B111,'Tillförd energi'!$B$1:$AI$720,MATCH(D$1,'Tillförd energi'!$B$1:$AQ$1,0),FALSE)</f>
        <v>0.56699999999999995</v>
      </c>
      <c r="E111" s="31">
        <f>VLOOKUP($B111,'Tillförd energi'!$B$1:$AI$720,MATCH(E$1,'Tillförd energi'!$B$1:$AQ$1,0),FALSE)</f>
        <v>0</v>
      </c>
      <c r="F111" s="31">
        <f>VLOOKUP($B111,'Tillförd energi'!$B$1:$AI$720,MATCH(F$1,'Tillförd energi'!$B$1:$AQ$1,0),FALSE)</f>
        <v>0</v>
      </c>
      <c r="G111" s="31">
        <f>VLOOKUP($B111,'Tillförd energi'!$B$1:$AI$720,MATCH(G$1,'Tillförd energi'!$B$1:$AQ$1,0),FALSE)</f>
        <v>0</v>
      </c>
      <c r="H111" s="31">
        <f>VLOOKUP($B111,'Tillförd energi'!$B$1:$AI$720,MATCH(H$1,'Tillförd energi'!$B$1:$AQ$1,0),FALSE)</f>
        <v>0</v>
      </c>
      <c r="I111" s="31">
        <f>VLOOKUP($B111,'Tillförd energi'!$B$1:$AI$720,MATCH(I$1,'Tillförd energi'!$B$1:$AQ$1,0),FALSE)</f>
        <v>0</v>
      </c>
      <c r="J111" s="31">
        <f>VLOOKUP($B111,'Tillförd energi'!$B$1:$AI$720,MATCH(J$1,'Tillförd energi'!$B$1:$AQ$1,0),FALSE)</f>
        <v>0</v>
      </c>
      <c r="K111" s="31">
        <f>VLOOKUP($B111,'Tillförd energi'!$B$1:$AI$720,MATCH(K$1,'Tillförd energi'!$B$1:$AQ$1,0),FALSE)</f>
        <v>0</v>
      </c>
      <c r="L111" s="31">
        <f>VLOOKUP($B111,'Tillförd energi'!$B$1:$AI$720,MATCH(L$1,'Tillförd energi'!$B$1:$AQ$1,0),FALSE)</f>
        <v>0</v>
      </c>
      <c r="M111" s="31">
        <f>VLOOKUP($B111,'Tillförd energi'!$B$1:$AI$720,MATCH(M$1,'Tillförd energi'!$B$1:$AQ$1,0),FALSE)</f>
        <v>11.2326</v>
      </c>
      <c r="N111" s="31">
        <f>VLOOKUP($B111,'Tillförd energi'!$B$1:$AI$720,MATCH(N$1,'Tillförd energi'!$B$1:$AQ$1,0),FALSE)</f>
        <v>11.2326</v>
      </c>
      <c r="O111" s="31">
        <f>VLOOKUP($B111,'Tillförd energi'!$B$1:$AI$720,MATCH(O$1,'Tillförd energi'!$B$1:$AQ$1,0),FALSE)</f>
        <v>11.2326</v>
      </c>
      <c r="P111" s="31">
        <f>VLOOKUP($B111,'Tillförd energi'!$B$1:$AI$720,MATCH(P$1,'Tillförd energi'!$B$1:$AQ$1,0),FALSE)</f>
        <v>11.2326</v>
      </c>
      <c r="Q111" s="31">
        <f>VLOOKUP($B111,'Tillförd energi'!$B$1:$AI$720,MATCH(Q$1,'Tillförd energi'!$B$1:$AQ$1,0),FALSE)</f>
        <v>11.332599999999999</v>
      </c>
      <c r="R111" s="31">
        <f>VLOOKUP($B111,'Tillförd energi'!$B$1:$AI$720,MATCH(R$1,'Tillförd energi'!$B$1:$AQ$1,0),FALSE)</f>
        <v>0</v>
      </c>
      <c r="S111" s="31">
        <f>VLOOKUP($B111,'Tillförd energi'!$B$1:$AI$720,MATCH(S$1,'Tillförd energi'!$B$1:$AQ$1,0),FALSE)</f>
        <v>0</v>
      </c>
      <c r="T111" s="31">
        <f>VLOOKUP($B111,'Tillförd energi'!$B$1:$AI$720,MATCH(T$1,'Tillförd energi'!$B$1:$AQ$1,0),FALSE)</f>
        <v>0</v>
      </c>
      <c r="U111" s="31">
        <f>VLOOKUP($B111,'Tillförd energi'!$B$1:$AI$720,MATCH(U$1,'Tillförd energi'!$B$1:$AQ$1,0),FALSE)</f>
        <v>0</v>
      </c>
      <c r="V111" s="31">
        <f>VLOOKUP($B111,'Tillförd energi'!$B$1:$AI$720,MATCH(V$1,'Tillförd energi'!$B$1:$AQ$1,0),FALSE)</f>
        <v>0</v>
      </c>
      <c r="W111" s="31">
        <f>VLOOKUP($B111,'Tillförd energi'!$B$1:$AI$720,MATCH(W$1,'Tillförd energi'!$B$1:$AQ$1,0),FALSE)</f>
        <v>0</v>
      </c>
      <c r="X111" s="31">
        <f>VLOOKUP($B111,'Tillförd energi'!$B$1:$AI$720,MATCH(X$1,'Tillförd energi'!$B$1:$AQ$1,0),FALSE)</f>
        <v>0</v>
      </c>
      <c r="Y111" s="31">
        <f>VLOOKUP($B111,'Tillförd energi'!$B$1:$AI$720,MATCH(Y$1,'Tillförd energi'!$B$1:$AQ$1,0),FALSE)</f>
        <v>0</v>
      </c>
      <c r="Z111" s="31">
        <f>VLOOKUP($B111,'Tillförd energi'!$B$1:$AI$720,MATCH(Z$1,'Tillförd energi'!$B$1:$AQ$1,0),FALSE)</f>
        <v>0</v>
      </c>
      <c r="AA111" s="31">
        <f>VLOOKUP($B111,'Tillförd energi'!$B$1:$AI$720,MATCH(AA$1,'Tillförd energi'!$B$1:$AQ$1,0),FALSE)</f>
        <v>0</v>
      </c>
      <c r="AB111" s="31">
        <f>VLOOKUP($B111,'Tillförd energi'!$B$1:$AI$720,MATCH(AB$1,'Tillförd energi'!$B$1:$AQ$1,0),FALSE)</f>
        <v>0</v>
      </c>
      <c r="AC111" s="31">
        <f>VLOOKUP($B111,'Tillförd energi'!$B$1:$AI$720,MATCH(AC$1,'Tillförd energi'!$B$1:$AQ$1,0),FALSE)</f>
        <v>6.7</v>
      </c>
      <c r="AD111" s="31">
        <f>VLOOKUP($B111,'Tillförd energi'!$B$1:$AI$720,MATCH(AD$1,'Tillförd energi'!$B$1:$AQ$1,0),FALSE)</f>
        <v>0</v>
      </c>
      <c r="AE111" s="31">
        <f>VLOOKUP($B111,'Tillförd energi'!$B$1:$AI$720,MATCH(AE$1,'Tillförd energi'!$B$1:$AQ$1,0),FALSE)</f>
        <v>0</v>
      </c>
      <c r="AF111" s="31">
        <f>VLOOKUP($B111,'Tillförd energi'!$B$1:$AI$720,MATCH(AF$1,'Tillförd energi'!$B$1:$AQ$1,0),FALSE)</f>
        <v>2.0347599999999999</v>
      </c>
      <c r="AG111" s="31">
        <f>IFERROR(VLOOKUP(B111,Miljö!$B$1:$AC$550,MATCH("Köpt mängd produktionsspecifik fjärrvärme:",Miljö!$B$1:$AC$1,0),FALSE)/1,0)</f>
        <v>0</v>
      </c>
      <c r="AI111" s="31">
        <f t="shared" si="23"/>
        <v>65.564760000000007</v>
      </c>
      <c r="AJ111" s="31">
        <f t="shared" si="24"/>
        <v>65.564760000000007</v>
      </c>
      <c r="AK111" s="31">
        <f>IF(ISERROR(1/VLOOKUP($B111,Leveranser!$B$1:$S$499,MATCH("Såld värme (GWh)",Leveranser!$B$1:$S$1,0),FALSE)),"",VLOOKUP($B111,Leveranser!$B$1:$S$499,MATCH("Såld värme (GWh)",Leveranser!$B$1:$S$1,0),FALSE))</f>
        <v>55.9</v>
      </c>
      <c r="AL111" s="31">
        <f>VLOOKUP($B111,Leveranser!$B$1:$Y$499,MATCH("Totalt såld fjärrvärme till andra fjärrvärmeföretag",Leveranser!$B$1:$AA$1,0),FALSE)</f>
        <v>0</v>
      </c>
      <c r="AM111" s="31">
        <f>IF(ISERROR(1/VLOOKUP($B111,Miljö!$B$1:$S$500,MATCH("Såld mängd produktionsspecifik fjärrvärme (GWh)",Miljö!$B$1:$R$1,0),FALSE)),0,VLOOKUP($B111,Miljö!$B$1:$S$500,MATCH("Såld mängd produktionsspecifik fjärrvärme (GWh)",Miljö!$B$1:$R$1,0),FALSE))</f>
        <v>0</v>
      </c>
      <c r="AN111" s="32">
        <f t="shared" si="25"/>
        <v>0.85259215468797556</v>
      </c>
      <c r="AP111" s="31" t="str">
        <f>IFERROR(VLOOKUP($B111,Miljövärden!$B$2:$H$550,7,FALSE),"Nej, saknas")</f>
        <v>Ja</v>
      </c>
      <c r="AQ111" s="31" t="str">
        <f>IFERROR(VLOOKUP($B111,Miljövärden!$B$2:$H$551,6,FALSE),"Nej, saknas")</f>
        <v>Ja</v>
      </c>
      <c r="AU111" s="31">
        <f t="shared" si="26"/>
        <v>2.0347599999999999</v>
      </c>
      <c r="AV111" s="31">
        <f t="shared" si="27"/>
        <v>0</v>
      </c>
      <c r="AW111" s="31">
        <f t="shared" si="28"/>
        <v>56.262999999999998</v>
      </c>
      <c r="AX111" s="31">
        <f t="shared" si="29"/>
        <v>0</v>
      </c>
      <c r="AZ111" s="31">
        <f t="shared" si="30"/>
        <v>56.262999999999998</v>
      </c>
      <c r="BC111" s="31">
        <f t="shared" si="31"/>
        <v>0.56699999999999995</v>
      </c>
      <c r="BD111" s="31">
        <f t="shared" si="32"/>
        <v>0</v>
      </c>
      <c r="BE111" s="31">
        <f t="shared" si="33"/>
        <v>56.262999999999998</v>
      </c>
      <c r="BF111" s="31">
        <f t="shared" si="34"/>
        <v>6.7</v>
      </c>
      <c r="BG111" s="31">
        <f t="shared" si="35"/>
        <v>2.0347599999999999</v>
      </c>
      <c r="BH111" s="31">
        <f>VLOOKUP(B111,Miljö!$B$1:$BX$482,MATCH("Fossilandel för ursprungspecificerad el ()",Miljö!$B$1:$I$1,0),FALSE)</f>
        <v>0.35</v>
      </c>
      <c r="BI111" s="31">
        <f>VLOOKUP(B111,Miljö!$B$1:$BX$482,MATCH("Kärnkraftsandel för ursprungsspecificerad el ()",Miljö!$B$1:$O$1,0),FALSE)</f>
        <v>0.3977</v>
      </c>
      <c r="BJ111" s="31">
        <f t="shared" si="36"/>
        <v>0</v>
      </c>
      <c r="BK111" s="31" t="str">
        <f>VLOOKUP(B111,Miljö!$B$1:$P$482,MATCH("Fossil andel i procent (%)",Miljö!$B$1:$P$1,0),FALSE)</f>
        <v>ET</v>
      </c>
      <c r="BL111" s="31">
        <f t="shared" si="37"/>
        <v>65.564760000000007</v>
      </c>
      <c r="BO111" s="32">
        <f t="shared" si="38"/>
        <v>1.9509962363928424E-2</v>
      </c>
      <c r="BP111" s="32">
        <f t="shared" si="39"/>
        <v>1.2342362757066445E-2</v>
      </c>
      <c r="BQ111" s="32">
        <f t="shared" si="40"/>
        <v>0.86595863308277177</v>
      </c>
      <c r="BR111" s="32">
        <f t="shared" si="41"/>
        <v>0.10218904179623321</v>
      </c>
      <c r="BT111" s="62">
        <f t="shared" si="42"/>
        <v>0.99999999999999989</v>
      </c>
      <c r="BW111" s="32">
        <f>IF(AP111="Ja",VLOOKUP(B111,Miljövärden!$B$2:$H$551,MATCH("Total andel fossilt",Miljövärden!$B$2:$H$2,0),FALSE),"")</f>
        <v>1.951E-2</v>
      </c>
      <c r="BX111" s="62">
        <f t="shared" si="43"/>
        <v>3.7636071575225527E-8</v>
      </c>
      <c r="BZ111" s="31">
        <f t="shared" si="44"/>
        <v>3.7636071575225527E-8</v>
      </c>
      <c r="CA111" s="32">
        <f t="shared" si="45"/>
        <v>0</v>
      </c>
    </row>
    <row r="112" spans="1:79" x14ac:dyDescent="0.45">
      <c r="A112" s="31" t="s">
        <v>538</v>
      </c>
      <c r="B112" s="31" t="s">
        <v>540</v>
      </c>
      <c r="C112" s="31">
        <f>VLOOKUP($B112,'Tillförd energi'!$B$1:$AI$720,MATCH(C$1,'Tillförd energi'!$B$1:$AQ$1,0),FALSE)</f>
        <v>0</v>
      </c>
      <c r="D112" s="31">
        <f>VLOOKUP($B112,'Tillförd energi'!$B$1:$AI$720,MATCH(D$1,'Tillförd energi'!$B$1:$AQ$1,0),FALSE)</f>
        <v>0.121</v>
      </c>
      <c r="E112" s="31">
        <f>VLOOKUP($B112,'Tillförd energi'!$B$1:$AI$720,MATCH(E$1,'Tillförd energi'!$B$1:$AQ$1,0),FALSE)</f>
        <v>0</v>
      </c>
      <c r="F112" s="31">
        <f>VLOOKUP($B112,'Tillförd energi'!$B$1:$AI$720,MATCH(F$1,'Tillförd energi'!$B$1:$AQ$1,0),FALSE)</f>
        <v>0</v>
      </c>
      <c r="G112" s="31">
        <f>VLOOKUP($B112,'Tillförd energi'!$B$1:$AI$720,MATCH(G$1,'Tillförd energi'!$B$1:$AQ$1,0),FALSE)</f>
        <v>0</v>
      </c>
      <c r="H112" s="31">
        <f>VLOOKUP($B112,'Tillförd energi'!$B$1:$AI$720,MATCH(H$1,'Tillförd energi'!$B$1:$AQ$1,0),FALSE)</f>
        <v>0</v>
      </c>
      <c r="I112" s="31">
        <f>VLOOKUP($B112,'Tillförd energi'!$B$1:$AI$720,MATCH(I$1,'Tillförd energi'!$B$1:$AQ$1,0),FALSE)</f>
        <v>0</v>
      </c>
      <c r="J112" s="31">
        <f>VLOOKUP($B112,'Tillförd energi'!$B$1:$AI$720,MATCH(J$1,'Tillförd energi'!$B$1:$AQ$1,0),FALSE)</f>
        <v>0</v>
      </c>
      <c r="K112" s="31">
        <f>VLOOKUP($B112,'Tillförd energi'!$B$1:$AI$720,MATCH(K$1,'Tillförd energi'!$B$1:$AQ$1,0),FALSE)</f>
        <v>0</v>
      </c>
      <c r="L112" s="31">
        <f>VLOOKUP($B112,'Tillförd energi'!$B$1:$AI$720,MATCH(L$1,'Tillförd energi'!$B$1:$AQ$1,0),FALSE)</f>
        <v>0</v>
      </c>
      <c r="M112" s="31">
        <f>VLOOKUP($B112,'Tillförd energi'!$B$1:$AI$720,MATCH(M$1,'Tillförd energi'!$B$1:$AQ$1,0),FALSE)</f>
        <v>0</v>
      </c>
      <c r="N112" s="31">
        <f>VLOOKUP($B112,'Tillförd energi'!$B$1:$AI$720,MATCH(N$1,'Tillförd energi'!$B$1:$AQ$1,0),FALSE)</f>
        <v>0</v>
      </c>
      <c r="O112" s="31">
        <f>VLOOKUP($B112,'Tillförd energi'!$B$1:$AI$720,MATCH(O$1,'Tillförd energi'!$B$1:$AQ$1,0),FALSE)</f>
        <v>0</v>
      </c>
      <c r="P112" s="31">
        <f>VLOOKUP($B112,'Tillförd energi'!$B$1:$AI$720,MATCH(P$1,'Tillförd energi'!$B$1:$AQ$1,0),FALSE)</f>
        <v>8.3699999999999992</v>
      </c>
      <c r="Q112" s="31">
        <f>VLOOKUP($B112,'Tillförd energi'!$B$1:$AI$720,MATCH(Q$1,'Tillförd energi'!$B$1:$AQ$1,0),FALSE)</f>
        <v>0</v>
      </c>
      <c r="R112" s="31">
        <f>VLOOKUP($B112,'Tillförd energi'!$B$1:$AI$720,MATCH(R$1,'Tillförd energi'!$B$1:$AQ$1,0),FALSE)</f>
        <v>0</v>
      </c>
      <c r="S112" s="31">
        <f>VLOOKUP($B112,'Tillförd energi'!$B$1:$AI$720,MATCH(S$1,'Tillförd energi'!$B$1:$AQ$1,0),FALSE)</f>
        <v>0</v>
      </c>
      <c r="T112" s="31">
        <f>VLOOKUP($B112,'Tillförd energi'!$B$1:$AI$720,MATCH(T$1,'Tillförd energi'!$B$1:$AQ$1,0),FALSE)</f>
        <v>0</v>
      </c>
      <c r="U112" s="31">
        <f>VLOOKUP($B112,'Tillförd energi'!$B$1:$AI$720,MATCH(U$1,'Tillförd energi'!$B$1:$AQ$1,0),FALSE)</f>
        <v>0</v>
      </c>
      <c r="V112" s="31">
        <f>VLOOKUP($B112,'Tillförd energi'!$B$1:$AI$720,MATCH(V$1,'Tillförd energi'!$B$1:$AQ$1,0),FALSE)</f>
        <v>0</v>
      </c>
      <c r="W112" s="31">
        <f>VLOOKUP($B112,'Tillförd energi'!$B$1:$AI$720,MATCH(W$1,'Tillförd energi'!$B$1:$AQ$1,0),FALSE)</f>
        <v>0</v>
      </c>
      <c r="X112" s="31">
        <f>VLOOKUP($B112,'Tillförd energi'!$B$1:$AI$720,MATCH(X$1,'Tillförd energi'!$B$1:$AQ$1,0),FALSE)</f>
        <v>0</v>
      </c>
      <c r="Y112" s="31">
        <f>VLOOKUP($B112,'Tillförd energi'!$B$1:$AI$720,MATCH(Y$1,'Tillförd energi'!$B$1:$AQ$1,0),FALSE)</f>
        <v>0</v>
      </c>
      <c r="Z112" s="31">
        <f>VLOOKUP($B112,'Tillförd energi'!$B$1:$AI$720,MATCH(Z$1,'Tillförd energi'!$B$1:$AQ$1,0),FALSE)</f>
        <v>0</v>
      </c>
      <c r="AA112" s="31">
        <f>VLOOKUP($B112,'Tillförd energi'!$B$1:$AI$720,MATCH(AA$1,'Tillförd energi'!$B$1:$AQ$1,0),FALSE)</f>
        <v>0</v>
      </c>
      <c r="AB112" s="31">
        <f>VLOOKUP($B112,'Tillförd energi'!$B$1:$AI$720,MATCH(AB$1,'Tillförd energi'!$B$1:$AQ$1,0),FALSE)</f>
        <v>0</v>
      </c>
      <c r="AC112" s="31">
        <f>VLOOKUP($B112,'Tillförd energi'!$B$1:$AI$720,MATCH(AC$1,'Tillförd energi'!$B$1:$AQ$1,0),FALSE)</f>
        <v>0</v>
      </c>
      <c r="AD112" s="31">
        <f>VLOOKUP($B112,'Tillförd energi'!$B$1:$AI$720,MATCH(AD$1,'Tillförd energi'!$B$1:$AQ$1,0),FALSE)</f>
        <v>0</v>
      </c>
      <c r="AE112" s="31">
        <f>VLOOKUP($B112,'Tillförd energi'!$B$1:$AI$720,MATCH(AE$1,'Tillförd energi'!$B$1:$AQ$1,0),FALSE)</f>
        <v>0</v>
      </c>
      <c r="AF112" s="31">
        <f>VLOOKUP($B112,'Tillförd energi'!$B$1:$AI$720,MATCH(AF$1,'Tillförd energi'!$B$1:$AQ$1,0),FALSE)</f>
        <v>0.18</v>
      </c>
      <c r="AG112" s="31">
        <f>IFERROR(VLOOKUP(B112,Miljö!$B$1:$AC$550,MATCH("Köpt mängd produktionsspecifik fjärrvärme:",Miljö!$B$1:$AC$1,0),FALSE)/1,0)</f>
        <v>0</v>
      </c>
      <c r="AI112" s="31">
        <f t="shared" si="23"/>
        <v>8.6709999999999994</v>
      </c>
      <c r="AJ112" s="31">
        <f t="shared" si="24"/>
        <v>8.6709999999999994</v>
      </c>
      <c r="AK112" s="31">
        <f>IF(ISERROR(1/VLOOKUP($B112,Leveranser!$B$1:$S$499,MATCH("Såld värme (GWh)",Leveranser!$B$1:$S$1,0),FALSE)),"",VLOOKUP($B112,Leveranser!$B$1:$S$499,MATCH("Såld värme (GWh)",Leveranser!$B$1:$S$1,0),FALSE))</f>
        <v>6.38</v>
      </c>
      <c r="AL112" s="31">
        <f>VLOOKUP($B112,Leveranser!$B$1:$Y$499,MATCH("Totalt såld fjärrvärme till andra fjärrvärmeföretag",Leveranser!$B$1:$AA$1,0),FALSE)</f>
        <v>0</v>
      </c>
      <c r="AM112" s="31">
        <f>IF(ISERROR(1/VLOOKUP($B112,Miljö!$B$1:$S$500,MATCH("Såld mängd produktionsspecifik fjärrvärme (GWh)",Miljö!$B$1:$R$1,0),FALSE)),0,VLOOKUP($B112,Miljö!$B$1:$S$500,MATCH("Såld mängd produktionsspecifik fjärrvärme (GWh)",Miljö!$B$1:$R$1,0),FALSE))</f>
        <v>0</v>
      </c>
      <c r="AN112" s="32">
        <f t="shared" si="25"/>
        <v>0.73578595317725759</v>
      </c>
      <c r="AP112" s="31" t="str">
        <f>IFERROR(VLOOKUP($B112,Miljövärden!$B$2:$H$550,7,FALSE),"Nej, saknas")</f>
        <v>Ja</v>
      </c>
      <c r="AQ112" s="31" t="str">
        <f>IFERROR(VLOOKUP($B112,Miljövärden!$B$2:$H$551,6,FALSE),"Nej, saknas")</f>
        <v>Nej</v>
      </c>
      <c r="AU112" s="31">
        <f t="shared" si="26"/>
        <v>0.18</v>
      </c>
      <c r="AV112" s="31">
        <f t="shared" si="27"/>
        <v>0</v>
      </c>
      <c r="AW112" s="31">
        <f t="shared" si="28"/>
        <v>8.3699999999999992</v>
      </c>
      <c r="AX112" s="31">
        <f t="shared" si="29"/>
        <v>0</v>
      </c>
      <c r="AZ112" s="31">
        <f t="shared" si="30"/>
        <v>8.3699999999999992</v>
      </c>
      <c r="BC112" s="31">
        <f t="shared" si="31"/>
        <v>0.121</v>
      </c>
      <c r="BD112" s="31">
        <f t="shared" si="32"/>
        <v>0</v>
      </c>
      <c r="BE112" s="31">
        <f t="shared" si="33"/>
        <v>8.3699999999999992</v>
      </c>
      <c r="BF112" s="31">
        <f t="shared" si="34"/>
        <v>0</v>
      </c>
      <c r="BG112" s="31">
        <f t="shared" si="35"/>
        <v>0.18</v>
      </c>
      <c r="BH112" s="31">
        <f>VLOOKUP(B112,Miljö!$B$1:$BX$482,MATCH("Fossilandel för ursprungspecificerad el ()",Miljö!$B$1:$I$1,0),FALSE)</f>
        <v>0</v>
      </c>
      <c r="BI112" s="31">
        <f>VLOOKUP(B112,Miljö!$B$1:$BX$482,MATCH("Kärnkraftsandel för ursprungsspecificerad el ()",Miljö!$B$1:$O$1,0),FALSE)</f>
        <v>0</v>
      </c>
      <c r="BJ112" s="31">
        <f t="shared" si="36"/>
        <v>0</v>
      </c>
      <c r="BK112" s="31" t="str">
        <f>VLOOKUP(B112,Miljö!$B$1:$P$482,MATCH("Fossil andel i procent (%)",Miljö!$B$1:$P$1,0),FALSE)</f>
        <v>ET</v>
      </c>
      <c r="BL112" s="31">
        <f t="shared" si="37"/>
        <v>8.6709999999999994</v>
      </c>
      <c r="BO112" s="32">
        <f t="shared" si="38"/>
        <v>1.3954561180947988E-2</v>
      </c>
      <c r="BP112" s="32">
        <f t="shared" si="39"/>
        <v>0</v>
      </c>
      <c r="BQ112" s="32">
        <f t="shared" si="40"/>
        <v>0.98604543881905193</v>
      </c>
      <c r="BR112" s="32">
        <f t="shared" si="41"/>
        <v>0</v>
      </c>
      <c r="BT112" s="62">
        <f t="shared" si="42"/>
        <v>0.99999999999999989</v>
      </c>
      <c r="BW112" s="32">
        <f>IF(AP112="Ja",VLOOKUP(B112,Miljövärden!$B$2:$H$551,MATCH("Total andel fossilt",Miljövärden!$B$2:$H$2,0),FALSE),"")</f>
        <v>1.3954599999999999E-2</v>
      </c>
      <c r="BX112" s="62">
        <f t="shared" si="43"/>
        <v>3.881905201105762E-8</v>
      </c>
      <c r="BZ112" s="31">
        <f t="shared" si="44"/>
        <v>3.881905201105762E-8</v>
      </c>
      <c r="CA112" s="32">
        <f t="shared" si="45"/>
        <v>0</v>
      </c>
    </row>
    <row r="113" spans="1:79" x14ac:dyDescent="0.45">
      <c r="A113" s="31" t="s">
        <v>538</v>
      </c>
      <c r="B113" s="31" t="s">
        <v>539</v>
      </c>
      <c r="C113" s="31">
        <f>VLOOKUP($B113,'Tillförd energi'!$B$1:$AI$720,MATCH(C$1,'Tillförd energi'!$B$1:$AQ$1,0),FALSE)</f>
        <v>0</v>
      </c>
      <c r="D113" s="31">
        <f>VLOOKUP($B113,'Tillförd energi'!$B$1:$AI$720,MATCH(D$1,'Tillförd energi'!$B$1:$AQ$1,0),FALSE)</f>
        <v>5.0999999999999997E-2</v>
      </c>
      <c r="E113" s="31">
        <f>VLOOKUP($B113,'Tillförd energi'!$B$1:$AI$720,MATCH(E$1,'Tillförd energi'!$B$1:$AQ$1,0),FALSE)</f>
        <v>0</v>
      </c>
      <c r="F113" s="31">
        <f>VLOOKUP($B113,'Tillförd energi'!$B$1:$AI$720,MATCH(F$1,'Tillförd energi'!$B$1:$AQ$1,0),FALSE)</f>
        <v>0</v>
      </c>
      <c r="G113" s="31">
        <f>VLOOKUP($B113,'Tillförd energi'!$B$1:$AI$720,MATCH(G$1,'Tillförd energi'!$B$1:$AQ$1,0),FALSE)</f>
        <v>0</v>
      </c>
      <c r="H113" s="31">
        <f>VLOOKUP($B113,'Tillförd energi'!$B$1:$AI$720,MATCH(H$1,'Tillförd energi'!$B$1:$AQ$1,0),FALSE)</f>
        <v>0</v>
      </c>
      <c r="I113" s="31">
        <f>VLOOKUP($B113,'Tillförd energi'!$B$1:$AI$720,MATCH(I$1,'Tillförd energi'!$B$1:$AQ$1,0),FALSE)</f>
        <v>0</v>
      </c>
      <c r="J113" s="31">
        <f>VLOOKUP($B113,'Tillförd energi'!$B$1:$AI$720,MATCH(J$1,'Tillförd energi'!$B$1:$AQ$1,0),FALSE)</f>
        <v>0</v>
      </c>
      <c r="K113" s="31">
        <f>VLOOKUP($B113,'Tillförd energi'!$B$1:$AI$720,MATCH(K$1,'Tillförd energi'!$B$1:$AQ$1,0),FALSE)</f>
        <v>0</v>
      </c>
      <c r="L113" s="31">
        <f>VLOOKUP($B113,'Tillförd energi'!$B$1:$AI$720,MATCH(L$1,'Tillförd energi'!$B$1:$AQ$1,0),FALSE)</f>
        <v>0</v>
      </c>
      <c r="M113" s="31">
        <f>VLOOKUP($B113,'Tillförd energi'!$B$1:$AI$720,MATCH(M$1,'Tillförd energi'!$B$1:$AQ$1,0),FALSE)</f>
        <v>0</v>
      </c>
      <c r="N113" s="31">
        <f>VLOOKUP($B113,'Tillförd energi'!$B$1:$AI$720,MATCH(N$1,'Tillförd energi'!$B$1:$AQ$1,0),FALSE)</f>
        <v>0</v>
      </c>
      <c r="O113" s="31">
        <f>VLOOKUP($B113,'Tillförd energi'!$B$1:$AI$720,MATCH(O$1,'Tillförd energi'!$B$1:$AQ$1,0),FALSE)</f>
        <v>0</v>
      </c>
      <c r="P113" s="31">
        <f>VLOOKUP($B113,'Tillförd energi'!$B$1:$AI$720,MATCH(P$1,'Tillförd energi'!$B$1:$AQ$1,0),FALSE)</f>
        <v>2.7</v>
      </c>
      <c r="Q113" s="31">
        <f>VLOOKUP($B113,'Tillförd energi'!$B$1:$AI$720,MATCH(Q$1,'Tillförd energi'!$B$1:$AQ$1,0),FALSE)</f>
        <v>0</v>
      </c>
      <c r="R113" s="31">
        <f>VLOOKUP($B113,'Tillförd energi'!$B$1:$AI$720,MATCH(R$1,'Tillförd energi'!$B$1:$AQ$1,0),FALSE)</f>
        <v>0</v>
      </c>
      <c r="S113" s="31">
        <f>VLOOKUP($B113,'Tillförd energi'!$B$1:$AI$720,MATCH(S$1,'Tillförd energi'!$B$1:$AQ$1,0),FALSE)</f>
        <v>0</v>
      </c>
      <c r="T113" s="31">
        <f>VLOOKUP($B113,'Tillförd energi'!$B$1:$AI$720,MATCH(T$1,'Tillförd energi'!$B$1:$AQ$1,0),FALSE)</f>
        <v>0</v>
      </c>
      <c r="U113" s="31">
        <f>VLOOKUP($B113,'Tillförd energi'!$B$1:$AI$720,MATCH(U$1,'Tillförd energi'!$B$1:$AQ$1,0),FALSE)</f>
        <v>0</v>
      </c>
      <c r="V113" s="31">
        <f>VLOOKUP($B113,'Tillförd energi'!$B$1:$AI$720,MATCH(V$1,'Tillförd energi'!$B$1:$AQ$1,0),FALSE)</f>
        <v>0</v>
      </c>
      <c r="W113" s="31">
        <f>VLOOKUP($B113,'Tillförd energi'!$B$1:$AI$720,MATCH(W$1,'Tillförd energi'!$B$1:$AQ$1,0),FALSE)</f>
        <v>0</v>
      </c>
      <c r="X113" s="31">
        <f>VLOOKUP($B113,'Tillförd energi'!$B$1:$AI$720,MATCH(X$1,'Tillförd energi'!$B$1:$AQ$1,0),FALSE)</f>
        <v>0</v>
      </c>
      <c r="Y113" s="31">
        <f>VLOOKUP($B113,'Tillförd energi'!$B$1:$AI$720,MATCH(Y$1,'Tillförd energi'!$B$1:$AQ$1,0),FALSE)</f>
        <v>0</v>
      </c>
      <c r="Z113" s="31">
        <f>VLOOKUP($B113,'Tillförd energi'!$B$1:$AI$720,MATCH(Z$1,'Tillförd energi'!$B$1:$AQ$1,0),FALSE)</f>
        <v>0</v>
      </c>
      <c r="AA113" s="31">
        <f>VLOOKUP($B113,'Tillförd energi'!$B$1:$AI$720,MATCH(AA$1,'Tillförd energi'!$B$1:$AQ$1,0),FALSE)</f>
        <v>0</v>
      </c>
      <c r="AB113" s="31">
        <f>VLOOKUP($B113,'Tillförd energi'!$B$1:$AI$720,MATCH(AB$1,'Tillförd energi'!$B$1:$AQ$1,0),FALSE)</f>
        <v>0</v>
      </c>
      <c r="AC113" s="31">
        <f>VLOOKUP($B113,'Tillförd energi'!$B$1:$AI$720,MATCH(AC$1,'Tillförd energi'!$B$1:$AQ$1,0),FALSE)</f>
        <v>0</v>
      </c>
      <c r="AD113" s="31">
        <f>VLOOKUP($B113,'Tillförd energi'!$B$1:$AI$720,MATCH(AD$1,'Tillförd energi'!$B$1:$AQ$1,0),FALSE)</f>
        <v>0</v>
      </c>
      <c r="AE113" s="31">
        <f>VLOOKUP($B113,'Tillförd energi'!$B$1:$AI$720,MATCH(AE$1,'Tillförd energi'!$B$1:$AQ$1,0),FALSE)</f>
        <v>0</v>
      </c>
      <c r="AF113" s="31">
        <f>VLOOKUP($B113,'Tillförd energi'!$B$1:$AI$720,MATCH(AF$1,'Tillförd energi'!$B$1:$AQ$1,0),FALSE)</f>
        <v>5.0999999999999997E-2</v>
      </c>
      <c r="AG113" s="31">
        <f>IFERROR(VLOOKUP(B113,Miljö!$B$1:$AC$550,MATCH("Köpt mängd produktionsspecifik fjärrvärme:",Miljö!$B$1:$AC$1,0),FALSE)/1,0)</f>
        <v>0</v>
      </c>
      <c r="AI113" s="31">
        <f t="shared" si="23"/>
        <v>2.8020000000000005</v>
      </c>
      <c r="AJ113" s="31">
        <f t="shared" si="24"/>
        <v>2.8020000000000005</v>
      </c>
      <c r="AK113" s="31">
        <f>IF(ISERROR(1/VLOOKUP($B113,Leveranser!$B$1:$S$499,MATCH("Såld värme (GWh)",Leveranser!$B$1:$S$1,0),FALSE)),"",VLOOKUP($B113,Leveranser!$B$1:$S$499,MATCH("Såld värme (GWh)",Leveranser!$B$1:$S$1,0),FALSE))</f>
        <v>2.2400000000000002</v>
      </c>
      <c r="AL113" s="31">
        <f>VLOOKUP($B113,Leveranser!$B$1:$Y$499,MATCH("Totalt såld fjärrvärme till andra fjärrvärmeföretag",Leveranser!$B$1:$AA$1,0),FALSE)</f>
        <v>0</v>
      </c>
      <c r="AM113" s="31">
        <f>IF(ISERROR(1/VLOOKUP($B113,Miljö!$B$1:$S$500,MATCH("Såld mängd produktionsspecifik fjärrvärme (GWh)",Miljö!$B$1:$R$1,0),FALSE)),0,VLOOKUP($B113,Miljö!$B$1:$S$500,MATCH("Såld mängd produktionsspecifik fjärrvärme (GWh)",Miljö!$B$1:$R$1,0),FALSE))</f>
        <v>0</v>
      </c>
      <c r="AN113" s="32">
        <f t="shared" si="25"/>
        <v>0.79942897930049961</v>
      </c>
      <c r="AP113" s="31" t="str">
        <f>IFERROR(VLOOKUP($B113,Miljövärden!$B$2:$H$550,7,FALSE),"Nej, saknas")</f>
        <v>Ja</v>
      </c>
      <c r="AQ113" s="31" t="str">
        <f>IFERROR(VLOOKUP($B113,Miljövärden!$B$2:$H$551,6,FALSE),"Nej, saknas")</f>
        <v>Nej</v>
      </c>
      <c r="AU113" s="31">
        <f t="shared" si="26"/>
        <v>5.0999999999999997E-2</v>
      </c>
      <c r="AV113" s="31">
        <f t="shared" si="27"/>
        <v>0</v>
      </c>
      <c r="AW113" s="31">
        <f t="shared" si="28"/>
        <v>2.7</v>
      </c>
      <c r="AX113" s="31">
        <f t="shared" si="29"/>
        <v>0</v>
      </c>
      <c r="AZ113" s="31">
        <f t="shared" si="30"/>
        <v>2.7</v>
      </c>
      <c r="BC113" s="31">
        <f t="shared" si="31"/>
        <v>5.0999999999999997E-2</v>
      </c>
      <c r="BD113" s="31">
        <f t="shared" si="32"/>
        <v>0</v>
      </c>
      <c r="BE113" s="31">
        <f t="shared" si="33"/>
        <v>2.7</v>
      </c>
      <c r="BF113" s="31">
        <f t="shared" si="34"/>
        <v>0</v>
      </c>
      <c r="BG113" s="31">
        <f t="shared" si="35"/>
        <v>5.0999999999999997E-2</v>
      </c>
      <c r="BH113" s="31">
        <f>VLOOKUP(B113,Miljö!$B$1:$BX$482,MATCH("Fossilandel för ursprungspecificerad el ()",Miljö!$B$1:$I$1,0),FALSE)</f>
        <v>0</v>
      </c>
      <c r="BI113" s="31">
        <f>VLOOKUP(B113,Miljö!$B$1:$BX$482,MATCH("Kärnkraftsandel för ursprungsspecificerad el ()",Miljö!$B$1:$O$1,0),FALSE)</f>
        <v>0</v>
      </c>
      <c r="BJ113" s="31">
        <f t="shared" si="36"/>
        <v>0</v>
      </c>
      <c r="BK113" s="31" t="str">
        <f>VLOOKUP(B113,Miljö!$B$1:$P$482,MATCH("Fossil andel i procent (%)",Miljö!$B$1:$P$1,0),FALSE)</f>
        <v>ET</v>
      </c>
      <c r="BL113" s="31">
        <f t="shared" si="37"/>
        <v>2.8020000000000005</v>
      </c>
      <c r="BO113" s="32">
        <f t="shared" si="38"/>
        <v>1.8201284796573871E-2</v>
      </c>
      <c r="BP113" s="32">
        <f t="shared" si="39"/>
        <v>0</v>
      </c>
      <c r="BQ113" s="32">
        <f t="shared" si="40"/>
        <v>0.9817987152034261</v>
      </c>
      <c r="BR113" s="32">
        <f t="shared" si="41"/>
        <v>0</v>
      </c>
      <c r="BT113" s="62">
        <f t="shared" si="42"/>
        <v>1</v>
      </c>
      <c r="BW113" s="32">
        <f>IF(AP113="Ja",VLOOKUP(B113,Miljövärden!$B$2:$H$551,MATCH("Total andel fossilt",Miljövärden!$B$2:$H$2,0),FALSE),"")</f>
        <v>1.82013E-2</v>
      </c>
      <c r="BX113" s="62">
        <f t="shared" si="43"/>
        <v>1.5203426129151154E-8</v>
      </c>
      <c r="BZ113" s="31">
        <f t="shared" si="44"/>
        <v>1.5203426129151154E-8</v>
      </c>
      <c r="CA113" s="32">
        <f t="shared" si="45"/>
        <v>0</v>
      </c>
    </row>
    <row r="114" spans="1:79" x14ac:dyDescent="0.45">
      <c r="A114" s="31" t="s">
        <v>538</v>
      </c>
      <c r="B114" s="31" t="s">
        <v>537</v>
      </c>
      <c r="C114" s="31">
        <f>VLOOKUP($B114,'Tillförd energi'!$B$1:$AI$720,MATCH(C$1,'Tillförd energi'!$B$1:$AQ$1,0),FALSE)</f>
        <v>0</v>
      </c>
      <c r="D114" s="31">
        <f>VLOOKUP($B114,'Tillförd energi'!$B$1:$AI$720,MATCH(D$1,'Tillförd energi'!$B$1:$AQ$1,0),FALSE)</f>
        <v>1.5</v>
      </c>
      <c r="E114" s="31">
        <f>VLOOKUP($B114,'Tillförd energi'!$B$1:$AI$720,MATCH(E$1,'Tillförd energi'!$B$1:$AQ$1,0),FALSE)</f>
        <v>0</v>
      </c>
      <c r="F114" s="31">
        <f>VLOOKUP($B114,'Tillförd energi'!$B$1:$AI$720,MATCH(F$1,'Tillförd energi'!$B$1:$AQ$1,0),FALSE)</f>
        <v>0</v>
      </c>
      <c r="G114" s="31">
        <f>VLOOKUP($B114,'Tillförd energi'!$B$1:$AI$720,MATCH(G$1,'Tillförd energi'!$B$1:$AQ$1,0),FALSE)</f>
        <v>0</v>
      </c>
      <c r="H114" s="31">
        <f>VLOOKUP($B114,'Tillförd energi'!$B$1:$AI$720,MATCH(H$1,'Tillförd energi'!$B$1:$AQ$1,0),FALSE)</f>
        <v>0</v>
      </c>
      <c r="I114" s="31">
        <f>VLOOKUP($B114,'Tillförd energi'!$B$1:$AI$720,MATCH(I$1,'Tillförd energi'!$B$1:$AQ$1,0),FALSE)</f>
        <v>0</v>
      </c>
      <c r="J114" s="31">
        <f>VLOOKUP($B114,'Tillförd energi'!$B$1:$AI$720,MATCH(J$1,'Tillförd energi'!$B$1:$AQ$1,0),FALSE)</f>
        <v>0</v>
      </c>
      <c r="K114" s="31">
        <f>VLOOKUP($B114,'Tillförd energi'!$B$1:$AI$720,MATCH(K$1,'Tillförd energi'!$B$1:$AQ$1,0),FALSE)</f>
        <v>0</v>
      </c>
      <c r="L114" s="31">
        <f>VLOOKUP($B114,'Tillförd energi'!$B$1:$AI$720,MATCH(L$1,'Tillförd energi'!$B$1:$AQ$1,0),FALSE)</f>
        <v>0</v>
      </c>
      <c r="M114" s="31">
        <f>VLOOKUP($B114,'Tillförd energi'!$B$1:$AI$720,MATCH(M$1,'Tillförd energi'!$B$1:$AQ$1,0),FALSE)</f>
        <v>10.162000000000001</v>
      </c>
      <c r="N114" s="31">
        <f>VLOOKUP($B114,'Tillförd energi'!$B$1:$AI$720,MATCH(N$1,'Tillförd energi'!$B$1:$AQ$1,0),FALSE)</f>
        <v>10.162000000000001</v>
      </c>
      <c r="O114" s="31">
        <f>VLOOKUP($B114,'Tillförd energi'!$B$1:$AI$720,MATCH(O$1,'Tillförd energi'!$B$1:$AQ$1,0),FALSE)</f>
        <v>10.162000000000001</v>
      </c>
      <c r="P114" s="31">
        <f>VLOOKUP($B114,'Tillförd energi'!$B$1:$AI$720,MATCH(P$1,'Tillförd energi'!$B$1:$AQ$1,0),FALSE)</f>
        <v>10.162000000000001</v>
      </c>
      <c r="Q114" s="31">
        <f>VLOOKUP($B114,'Tillförd energi'!$B$1:$AI$720,MATCH(Q$1,'Tillförd energi'!$B$1:$AQ$1,0),FALSE)</f>
        <v>10.162000000000001</v>
      </c>
      <c r="R114" s="31">
        <f>VLOOKUP($B114,'Tillförd energi'!$B$1:$AI$720,MATCH(R$1,'Tillförd energi'!$B$1:$AQ$1,0),FALSE)</f>
        <v>0</v>
      </c>
      <c r="S114" s="31">
        <f>VLOOKUP($B114,'Tillförd energi'!$B$1:$AI$720,MATCH(S$1,'Tillförd energi'!$B$1:$AQ$1,0),FALSE)</f>
        <v>0</v>
      </c>
      <c r="T114" s="31">
        <f>VLOOKUP($B114,'Tillförd energi'!$B$1:$AI$720,MATCH(T$1,'Tillförd energi'!$B$1:$AQ$1,0),FALSE)</f>
        <v>0</v>
      </c>
      <c r="U114" s="31">
        <f>VLOOKUP($B114,'Tillförd energi'!$B$1:$AI$720,MATCH(U$1,'Tillförd energi'!$B$1:$AQ$1,0),FALSE)</f>
        <v>0</v>
      </c>
      <c r="V114" s="31">
        <f>VLOOKUP($B114,'Tillförd energi'!$B$1:$AI$720,MATCH(V$1,'Tillförd energi'!$B$1:$AQ$1,0),FALSE)</f>
        <v>0</v>
      </c>
      <c r="W114" s="31">
        <f>VLOOKUP($B114,'Tillförd energi'!$B$1:$AI$720,MATCH(W$1,'Tillförd energi'!$B$1:$AQ$1,0),FALSE)</f>
        <v>0</v>
      </c>
      <c r="X114" s="31">
        <f>VLOOKUP($B114,'Tillförd energi'!$B$1:$AI$720,MATCH(X$1,'Tillförd energi'!$B$1:$AQ$1,0),FALSE)</f>
        <v>0</v>
      </c>
      <c r="Y114" s="31">
        <f>VLOOKUP($B114,'Tillförd energi'!$B$1:$AI$720,MATCH(Y$1,'Tillförd energi'!$B$1:$AQ$1,0),FALSE)</f>
        <v>0</v>
      </c>
      <c r="Z114" s="31">
        <f>VLOOKUP($B114,'Tillförd energi'!$B$1:$AI$720,MATCH(Z$1,'Tillförd energi'!$B$1:$AQ$1,0),FALSE)</f>
        <v>0</v>
      </c>
      <c r="AA114" s="31">
        <f>VLOOKUP($B114,'Tillförd energi'!$B$1:$AI$720,MATCH(AA$1,'Tillförd energi'!$B$1:$AQ$1,0),FALSE)</f>
        <v>0</v>
      </c>
      <c r="AB114" s="31">
        <f>VLOOKUP($B114,'Tillförd energi'!$B$1:$AI$720,MATCH(AB$1,'Tillförd energi'!$B$1:$AQ$1,0),FALSE)</f>
        <v>0</v>
      </c>
      <c r="AC114" s="31">
        <f>VLOOKUP($B114,'Tillförd energi'!$B$1:$AI$720,MATCH(AC$1,'Tillförd energi'!$B$1:$AQ$1,0),FALSE)</f>
        <v>4.66</v>
      </c>
      <c r="AD114" s="31">
        <f>VLOOKUP($B114,'Tillförd energi'!$B$1:$AI$720,MATCH(AD$1,'Tillförd energi'!$B$1:$AQ$1,0),FALSE)</f>
        <v>0</v>
      </c>
      <c r="AE114" s="31">
        <f>VLOOKUP($B114,'Tillförd energi'!$B$1:$AI$720,MATCH(AE$1,'Tillförd energi'!$B$1:$AQ$1,0),FALSE)</f>
        <v>0</v>
      </c>
      <c r="AF114" s="31">
        <f>VLOOKUP($B114,'Tillförd energi'!$B$1:$AI$720,MATCH(AF$1,'Tillförd energi'!$B$1:$AQ$1,0),FALSE)</f>
        <v>2.3142200000000002</v>
      </c>
      <c r="AG114" s="31">
        <f>IFERROR(VLOOKUP(B114,Miljö!$B$1:$AC$550,MATCH("Köpt mängd produktionsspecifik fjärrvärme:",Miljö!$B$1:$AC$1,0),FALSE)/1,0)</f>
        <v>0</v>
      </c>
      <c r="AI114" s="31">
        <f t="shared" si="23"/>
        <v>59.284219999999998</v>
      </c>
      <c r="AJ114" s="31">
        <f t="shared" si="24"/>
        <v>59.284219999999998</v>
      </c>
      <c r="AK114" s="31">
        <f>IF(ISERROR(1/VLOOKUP($B114,Leveranser!$B$1:$S$499,MATCH("Såld värme (GWh)",Leveranser!$B$1:$S$1,0),FALSE)),"",VLOOKUP($B114,Leveranser!$B$1:$S$499,MATCH("Såld värme (GWh)",Leveranser!$B$1:$S$1,0),FALSE))</f>
        <v>49.8</v>
      </c>
      <c r="AL114" s="31">
        <f>VLOOKUP($B114,Leveranser!$B$1:$Y$499,MATCH("Totalt såld fjärrvärme till andra fjärrvärmeföretag",Leveranser!$B$1:$AA$1,0),FALSE)</f>
        <v>0</v>
      </c>
      <c r="AM114" s="31">
        <f>IF(ISERROR(1/VLOOKUP($B114,Miljö!$B$1:$S$500,MATCH("Såld mängd produktionsspecifik fjärrvärme (GWh)",Miljö!$B$1:$R$1,0),FALSE)),0,VLOOKUP($B114,Miljö!$B$1:$S$500,MATCH("Såld mängd produktionsspecifik fjärrvärme (GWh)",Miljö!$B$1:$R$1,0),FALSE))</f>
        <v>0</v>
      </c>
      <c r="AN114" s="32">
        <f t="shared" si="25"/>
        <v>0.84002117258184383</v>
      </c>
      <c r="AP114" s="31" t="str">
        <f>IFERROR(VLOOKUP($B114,Miljövärden!$B$2:$H$550,7,FALSE),"Nej, saknas")</f>
        <v>Ja</v>
      </c>
      <c r="AQ114" s="31" t="str">
        <f>IFERROR(VLOOKUP($B114,Miljövärden!$B$2:$H$551,6,FALSE),"Nej, saknas")</f>
        <v>Nej</v>
      </c>
      <c r="AU114" s="31">
        <f t="shared" si="26"/>
        <v>2.3142200000000002</v>
      </c>
      <c r="AV114" s="31">
        <f t="shared" si="27"/>
        <v>0</v>
      </c>
      <c r="AW114" s="31">
        <f t="shared" si="28"/>
        <v>50.81</v>
      </c>
      <c r="AX114" s="31">
        <f t="shared" si="29"/>
        <v>0</v>
      </c>
      <c r="AZ114" s="31">
        <f t="shared" si="30"/>
        <v>50.81</v>
      </c>
      <c r="BC114" s="31">
        <f t="shared" si="31"/>
        <v>1.5</v>
      </c>
      <c r="BD114" s="31">
        <f t="shared" si="32"/>
        <v>0</v>
      </c>
      <c r="BE114" s="31">
        <f t="shared" si="33"/>
        <v>50.81</v>
      </c>
      <c r="BF114" s="31">
        <f t="shared" si="34"/>
        <v>4.66</v>
      </c>
      <c r="BG114" s="31">
        <f t="shared" si="35"/>
        <v>2.3142200000000002</v>
      </c>
      <c r="BH114" s="31">
        <f>VLOOKUP(B114,Miljö!$B$1:$BX$482,MATCH("Fossilandel för ursprungspecificerad el ()",Miljö!$B$1:$I$1,0),FALSE)</f>
        <v>0</v>
      </c>
      <c r="BI114" s="31">
        <f>VLOOKUP(B114,Miljö!$B$1:$BX$482,MATCH("Kärnkraftsandel för ursprungsspecificerad el ()",Miljö!$B$1:$O$1,0),FALSE)</f>
        <v>0</v>
      </c>
      <c r="BJ114" s="31">
        <f t="shared" si="36"/>
        <v>0</v>
      </c>
      <c r="BK114" s="31" t="str">
        <f>VLOOKUP(B114,Miljö!$B$1:$P$482,MATCH("Fossil andel i procent (%)",Miljö!$B$1:$P$1,0),FALSE)</f>
        <v>ET</v>
      </c>
      <c r="BL114" s="31">
        <f t="shared" si="37"/>
        <v>59.284219999999998</v>
      </c>
      <c r="BO114" s="32">
        <f t="shared" si="38"/>
        <v>2.5301842547645902E-2</v>
      </c>
      <c r="BP114" s="32">
        <f t="shared" si="39"/>
        <v>0</v>
      </c>
      <c r="BQ114" s="32">
        <f t="shared" si="40"/>
        <v>0.89609376660433426</v>
      </c>
      <c r="BR114" s="32">
        <f t="shared" si="41"/>
        <v>7.8604390848019928E-2</v>
      </c>
      <c r="BT114" s="62">
        <f t="shared" si="42"/>
        <v>1</v>
      </c>
      <c r="BW114" s="32">
        <f>IF(AP114="Ja",VLOOKUP(B114,Miljövärden!$B$2:$H$551,MATCH("Total andel fossilt",Miljövärden!$B$2:$H$2,0),FALSE),"")</f>
        <v>2.5301899999999999E-2</v>
      </c>
      <c r="BX114" s="62">
        <f t="shared" si="43"/>
        <v>5.7452354096376723E-8</v>
      </c>
      <c r="BZ114" s="31">
        <f t="shared" si="44"/>
        <v>5.7452354096376723E-8</v>
      </c>
      <c r="CA114" s="32">
        <f t="shared" si="45"/>
        <v>0</v>
      </c>
    </row>
    <row r="115" spans="1:79" hidden="1" x14ac:dyDescent="0.45">
      <c r="A115" s="31" t="s">
        <v>536</v>
      </c>
      <c r="B115" s="31" t="s">
        <v>74</v>
      </c>
      <c r="C115" s="31">
        <f>VLOOKUP($B115,'Tillförd energi'!$B$1:$AI$720,MATCH(C$1,'Tillförd energi'!$B$1:$AQ$1,0),FALSE)</f>
        <v>0</v>
      </c>
      <c r="D115" s="31">
        <f>VLOOKUP($B115,'Tillförd energi'!$B$1:$AI$720,MATCH(D$1,'Tillförd energi'!$B$1:$AQ$1,0),FALSE)</f>
        <v>0</v>
      </c>
      <c r="E115" s="31">
        <f>VLOOKUP($B115,'Tillförd energi'!$B$1:$AI$720,MATCH(E$1,'Tillförd energi'!$B$1:$AQ$1,0),FALSE)</f>
        <v>0</v>
      </c>
      <c r="F115" s="31">
        <f>VLOOKUP($B115,'Tillförd energi'!$B$1:$AI$720,MATCH(F$1,'Tillförd energi'!$B$1:$AQ$1,0),FALSE)</f>
        <v>0</v>
      </c>
      <c r="G115" s="31">
        <f>VLOOKUP($B115,'Tillförd energi'!$B$1:$AI$720,MATCH(G$1,'Tillförd energi'!$B$1:$AQ$1,0),FALSE)</f>
        <v>0</v>
      </c>
      <c r="H115" s="31">
        <f>VLOOKUP($B115,'Tillförd energi'!$B$1:$AI$720,MATCH(H$1,'Tillförd energi'!$B$1:$AQ$1,0),FALSE)</f>
        <v>0</v>
      </c>
      <c r="I115" s="31">
        <f>VLOOKUP($B115,'Tillförd energi'!$B$1:$AI$720,MATCH(I$1,'Tillförd energi'!$B$1:$AQ$1,0),FALSE)</f>
        <v>0</v>
      </c>
      <c r="J115" s="31">
        <f>VLOOKUP($B115,'Tillförd energi'!$B$1:$AI$720,MATCH(J$1,'Tillförd energi'!$B$1:$AQ$1,0),FALSE)</f>
        <v>0</v>
      </c>
      <c r="K115" s="31">
        <f>VLOOKUP($B115,'Tillförd energi'!$B$1:$AI$720,MATCH(K$1,'Tillförd energi'!$B$1:$AQ$1,0),FALSE)</f>
        <v>0</v>
      </c>
      <c r="L115" s="31">
        <f>VLOOKUP($B115,'Tillförd energi'!$B$1:$AI$720,MATCH(L$1,'Tillförd energi'!$B$1:$AQ$1,0),FALSE)</f>
        <v>0</v>
      </c>
      <c r="M115" s="31">
        <f>VLOOKUP($B115,'Tillförd energi'!$B$1:$AI$720,MATCH(M$1,'Tillförd energi'!$B$1:$AQ$1,0),FALSE)</f>
        <v>0</v>
      </c>
      <c r="N115" s="31">
        <f>VLOOKUP($B115,'Tillförd energi'!$B$1:$AI$720,MATCH(N$1,'Tillförd energi'!$B$1:$AQ$1,0),FALSE)</f>
        <v>0</v>
      </c>
      <c r="O115" s="31">
        <f>VLOOKUP($B115,'Tillförd energi'!$B$1:$AI$720,MATCH(O$1,'Tillförd energi'!$B$1:$AQ$1,0),FALSE)</f>
        <v>0</v>
      </c>
      <c r="P115" s="31">
        <f>VLOOKUP($B115,'Tillförd energi'!$B$1:$AI$720,MATCH(P$1,'Tillförd energi'!$B$1:$AQ$1,0),FALSE)</f>
        <v>0</v>
      </c>
      <c r="Q115" s="31">
        <f>VLOOKUP($B115,'Tillförd energi'!$B$1:$AI$720,MATCH(Q$1,'Tillförd energi'!$B$1:$AQ$1,0),FALSE)</f>
        <v>0</v>
      </c>
      <c r="R115" s="31">
        <f>VLOOKUP($B115,'Tillförd energi'!$B$1:$AI$720,MATCH(R$1,'Tillförd energi'!$B$1:$AQ$1,0),FALSE)</f>
        <v>0</v>
      </c>
      <c r="S115" s="31">
        <f>VLOOKUP($B115,'Tillförd energi'!$B$1:$AI$720,MATCH(S$1,'Tillförd energi'!$B$1:$AQ$1,0),FALSE)</f>
        <v>0</v>
      </c>
      <c r="T115" s="31">
        <f>VLOOKUP($B115,'Tillförd energi'!$B$1:$AI$720,MATCH(T$1,'Tillförd energi'!$B$1:$AQ$1,0),FALSE)</f>
        <v>0</v>
      </c>
      <c r="U115" s="31">
        <f>VLOOKUP($B115,'Tillförd energi'!$B$1:$AI$720,MATCH(U$1,'Tillförd energi'!$B$1:$AQ$1,0),FALSE)</f>
        <v>0</v>
      </c>
      <c r="V115" s="31">
        <f>VLOOKUP($B115,'Tillförd energi'!$B$1:$AI$720,MATCH(V$1,'Tillförd energi'!$B$1:$AQ$1,0),FALSE)</f>
        <v>0</v>
      </c>
      <c r="W115" s="31">
        <f>VLOOKUP($B115,'Tillförd energi'!$B$1:$AI$720,MATCH(W$1,'Tillförd energi'!$B$1:$AQ$1,0),FALSE)</f>
        <v>0</v>
      </c>
      <c r="X115" s="31">
        <f>VLOOKUP($B115,'Tillförd energi'!$B$1:$AI$720,MATCH(X$1,'Tillförd energi'!$B$1:$AQ$1,0),FALSE)</f>
        <v>0</v>
      </c>
      <c r="Y115" s="31">
        <f>VLOOKUP($B115,'Tillförd energi'!$B$1:$AI$720,MATCH(Y$1,'Tillförd energi'!$B$1:$AQ$1,0),FALSE)</f>
        <v>0</v>
      </c>
      <c r="Z115" s="31">
        <f>VLOOKUP($B115,'Tillförd energi'!$B$1:$AI$720,MATCH(Z$1,'Tillförd energi'!$B$1:$AQ$1,0),FALSE)</f>
        <v>0</v>
      </c>
      <c r="AA115" s="31">
        <f>VLOOKUP($B115,'Tillförd energi'!$B$1:$AI$720,MATCH(AA$1,'Tillförd energi'!$B$1:$AQ$1,0),FALSE)</f>
        <v>0</v>
      </c>
      <c r="AB115" s="31">
        <f>VLOOKUP($B115,'Tillförd energi'!$B$1:$AI$720,MATCH(AB$1,'Tillförd energi'!$B$1:$AQ$1,0),FALSE)</f>
        <v>0</v>
      </c>
      <c r="AC115" s="31">
        <f>VLOOKUP($B115,'Tillförd energi'!$B$1:$AI$720,MATCH(AC$1,'Tillförd energi'!$B$1:$AQ$1,0),FALSE)</f>
        <v>0</v>
      </c>
      <c r="AD115" s="31">
        <f>VLOOKUP($B115,'Tillförd energi'!$B$1:$AI$720,MATCH(AD$1,'Tillförd energi'!$B$1:$AQ$1,0),FALSE)</f>
        <v>0</v>
      </c>
      <c r="AE115" s="31">
        <f>VLOOKUP($B115,'Tillförd energi'!$B$1:$AI$720,MATCH(AE$1,'Tillförd energi'!$B$1:$AQ$1,0),FALSE)</f>
        <v>0</v>
      </c>
      <c r="AF115" s="31">
        <f>VLOOKUP($B115,'Tillförd energi'!$B$1:$AI$720,MATCH(AF$1,'Tillförd energi'!$B$1:$AQ$1,0),FALSE)</f>
        <v>0</v>
      </c>
      <c r="AG115" s="31">
        <f>IFERROR(VLOOKUP(B115,Miljö!$B$1:$AC$550,MATCH("Köpt mängd produktionsspecifik fjärrvärme:",Miljö!$B$1:$AC$1,0),FALSE)/1,0)</f>
        <v>0</v>
      </c>
      <c r="AI115" s="31">
        <f t="shared" si="23"/>
        <v>0</v>
      </c>
      <c r="AJ115" s="31">
        <f t="shared" si="24"/>
        <v>0</v>
      </c>
      <c r="AK115" s="31" t="str">
        <f>IF(ISERROR(1/VLOOKUP($B115,Leveranser!$B$1:$S$499,MATCH("Såld värme (GWh)",Leveranser!$B$1:$S$1,0),FALSE)),"",VLOOKUP($B115,Leveranser!$B$1:$S$499,MATCH("Såld värme (GWh)",Leveranser!$B$1:$S$1,0),FALSE))</f>
        <v/>
      </c>
      <c r="AL115" s="31">
        <f>VLOOKUP($B115,Leveranser!$B$1:$Y$499,MATCH("Totalt såld fjärrvärme till andra fjärrvärmeföretag",Leveranser!$B$1:$AA$1,0),FALSE)</f>
        <v>0</v>
      </c>
      <c r="AM115" s="31">
        <f>IF(ISERROR(1/VLOOKUP($B115,Miljö!$B$1:$S$500,MATCH("Såld mängd produktionsspecifik fjärrvärme (GWh)",Miljö!$B$1:$R$1,0),FALSE)),0,VLOOKUP($B115,Miljö!$B$1:$S$500,MATCH("Såld mängd produktionsspecifik fjärrvärme (GWh)",Miljö!$B$1:$R$1,0),FALSE))</f>
        <v>0</v>
      </c>
      <c r="AN115" s="32" t="str">
        <f t="shared" si="25"/>
        <v/>
      </c>
      <c r="AP115" s="31" t="str">
        <f>IFERROR(VLOOKUP($B115,Miljövärden!$B$2:$H$550,7,FALSE),"Nej, saknas")</f>
        <v>Nej</v>
      </c>
      <c r="AQ115" s="31" t="str">
        <f>IFERROR(VLOOKUP($B115,Miljövärden!$B$2:$H$551,6,FALSE),"Nej, saknas")</f>
        <v>Nej</v>
      </c>
      <c r="AU115" s="31">
        <f t="shared" si="26"/>
        <v>0</v>
      </c>
      <c r="AV115" s="31">
        <f t="shared" si="27"/>
        <v>0</v>
      </c>
      <c r="AW115" s="31">
        <f t="shared" si="28"/>
        <v>0</v>
      </c>
      <c r="AX115" s="31">
        <f t="shared" si="29"/>
        <v>0</v>
      </c>
      <c r="AZ115" s="31">
        <f t="shared" si="30"/>
        <v>0</v>
      </c>
      <c r="BC115" s="31">
        <f t="shared" si="31"/>
        <v>0</v>
      </c>
      <c r="BD115" s="31">
        <f t="shared" si="32"/>
        <v>0</v>
      </c>
      <c r="BE115" s="31">
        <f t="shared" si="33"/>
        <v>0</v>
      </c>
      <c r="BF115" s="31">
        <f t="shared" si="34"/>
        <v>0</v>
      </c>
      <c r="BG115" s="31">
        <f t="shared" si="35"/>
        <v>0</v>
      </c>
      <c r="BH115" s="31" t="str">
        <f>VLOOKUP(B115,Miljö!$B$1:$BX$482,MATCH("Fossilandel för ursprungspecificerad el ()",Miljö!$B$1:$I$1,0),FALSE)</f>
        <v>-</v>
      </c>
      <c r="BI115" s="31" t="str">
        <f>VLOOKUP(B115,Miljö!$B$1:$BX$482,MATCH("Kärnkraftsandel för ursprungsspecificerad el ()",Miljö!$B$1:$O$1,0),FALSE)</f>
        <v>-</v>
      </c>
      <c r="BJ115" s="31">
        <f t="shared" si="36"/>
        <v>0</v>
      </c>
      <c r="BK115" s="31" t="str">
        <f>VLOOKUP(B115,Miljö!$B$1:$P$482,MATCH("Fossil andel i procent (%)",Miljö!$B$1:$P$1,0),FALSE)</f>
        <v>-</v>
      </c>
      <c r="BL115" s="31">
        <f t="shared" si="37"/>
        <v>0</v>
      </c>
      <c r="BO115" s="32" t="str">
        <f t="shared" si="38"/>
        <v/>
      </c>
      <c r="BP115" s="32" t="str">
        <f t="shared" si="39"/>
        <v/>
      </c>
      <c r="BQ115" s="32" t="str">
        <f t="shared" si="40"/>
        <v/>
      </c>
      <c r="BR115" s="32" t="str">
        <f t="shared" si="41"/>
        <v/>
      </c>
      <c r="BT115" s="62">
        <f t="shared" si="42"/>
        <v>0</v>
      </c>
      <c r="BW115" s="32" t="str">
        <f>IF(AP115="Ja",VLOOKUP(B115,Miljövärden!$B$2:$H$551,MATCH("Total andel fossilt",Miljövärden!$B$2:$H$2,0),FALSE),"")</f>
        <v/>
      </c>
      <c r="BX115" s="62" t="e">
        <f t="shared" si="43"/>
        <v>#VALUE!</v>
      </c>
      <c r="BZ115" s="31" t="str">
        <f t="shared" si="44"/>
        <v/>
      </c>
      <c r="CA115" s="32" t="str">
        <f t="shared" si="45"/>
        <v/>
      </c>
    </row>
    <row r="116" spans="1:79" x14ac:dyDescent="0.45">
      <c r="A116" s="31" t="s">
        <v>535</v>
      </c>
      <c r="B116" s="31" t="s">
        <v>534</v>
      </c>
      <c r="C116" s="31">
        <f>VLOOKUP($B116,'Tillförd energi'!$B$1:$AI$720,MATCH(C$1,'Tillförd energi'!$B$1:$AQ$1,0),FALSE)</f>
        <v>0</v>
      </c>
      <c r="D116" s="31">
        <f>VLOOKUP($B116,'Tillförd energi'!$B$1:$AI$720,MATCH(D$1,'Tillförd energi'!$B$1:$AQ$1,0),FALSE)</f>
        <v>0.4</v>
      </c>
      <c r="E116" s="31">
        <f>VLOOKUP($B116,'Tillförd energi'!$B$1:$AI$720,MATCH(E$1,'Tillförd energi'!$B$1:$AQ$1,0),FALSE)</f>
        <v>0</v>
      </c>
      <c r="F116" s="31">
        <f>VLOOKUP($B116,'Tillförd energi'!$B$1:$AI$720,MATCH(F$1,'Tillförd energi'!$B$1:$AQ$1,0),FALSE)</f>
        <v>0</v>
      </c>
      <c r="G116" s="31">
        <f>VLOOKUP($B116,'Tillförd energi'!$B$1:$AI$720,MATCH(G$1,'Tillförd energi'!$B$1:$AQ$1,0),FALSE)</f>
        <v>0</v>
      </c>
      <c r="H116" s="31">
        <f>VLOOKUP($B116,'Tillförd energi'!$B$1:$AI$720,MATCH(H$1,'Tillförd energi'!$B$1:$AQ$1,0),FALSE)</f>
        <v>0</v>
      </c>
      <c r="I116" s="31">
        <f>VLOOKUP($B116,'Tillförd energi'!$B$1:$AI$720,MATCH(I$1,'Tillförd energi'!$B$1:$AQ$1,0),FALSE)</f>
        <v>0</v>
      </c>
      <c r="J116" s="31">
        <f>VLOOKUP($B116,'Tillförd energi'!$B$1:$AI$720,MATCH(J$1,'Tillförd energi'!$B$1:$AQ$1,0),FALSE)</f>
        <v>0</v>
      </c>
      <c r="K116" s="31">
        <f>VLOOKUP($B116,'Tillförd energi'!$B$1:$AI$720,MATCH(K$1,'Tillförd energi'!$B$1:$AQ$1,0),FALSE)</f>
        <v>0</v>
      </c>
      <c r="L116" s="31">
        <f>VLOOKUP($B116,'Tillförd energi'!$B$1:$AI$720,MATCH(L$1,'Tillförd energi'!$B$1:$AQ$1,0),FALSE)</f>
        <v>0</v>
      </c>
      <c r="M116" s="31">
        <f>VLOOKUP($B116,'Tillförd energi'!$B$1:$AI$720,MATCH(M$1,'Tillförd energi'!$B$1:$AQ$1,0),FALSE)</f>
        <v>0</v>
      </c>
      <c r="N116" s="31">
        <f>VLOOKUP($B116,'Tillförd energi'!$B$1:$AI$720,MATCH(N$1,'Tillförd energi'!$B$1:$AQ$1,0),FALSE)</f>
        <v>39</v>
      </c>
      <c r="O116" s="31">
        <f>VLOOKUP($B116,'Tillförd energi'!$B$1:$AI$720,MATCH(O$1,'Tillförd energi'!$B$1:$AQ$1,0),FALSE)</f>
        <v>0</v>
      </c>
      <c r="P116" s="31">
        <f>VLOOKUP($B116,'Tillförd energi'!$B$1:$AI$720,MATCH(P$1,'Tillförd energi'!$B$1:$AQ$1,0),FALSE)</f>
        <v>2.6</v>
      </c>
      <c r="Q116" s="31">
        <f>VLOOKUP($B116,'Tillförd energi'!$B$1:$AI$720,MATCH(Q$1,'Tillförd energi'!$B$1:$AQ$1,0),FALSE)</f>
        <v>0</v>
      </c>
      <c r="R116" s="31">
        <f>VLOOKUP($B116,'Tillförd energi'!$B$1:$AI$720,MATCH(R$1,'Tillförd energi'!$B$1:$AQ$1,0),FALSE)</f>
        <v>0</v>
      </c>
      <c r="S116" s="31">
        <f>VLOOKUP($B116,'Tillförd energi'!$B$1:$AI$720,MATCH(S$1,'Tillförd energi'!$B$1:$AQ$1,0),FALSE)</f>
        <v>0</v>
      </c>
      <c r="T116" s="31">
        <f>VLOOKUP($B116,'Tillförd energi'!$B$1:$AI$720,MATCH(T$1,'Tillförd energi'!$B$1:$AQ$1,0),FALSE)</f>
        <v>0</v>
      </c>
      <c r="U116" s="31">
        <f>VLOOKUP($B116,'Tillförd energi'!$B$1:$AI$720,MATCH(U$1,'Tillförd energi'!$B$1:$AQ$1,0),FALSE)</f>
        <v>0</v>
      </c>
      <c r="V116" s="31">
        <f>VLOOKUP($B116,'Tillförd energi'!$B$1:$AI$720,MATCH(V$1,'Tillförd energi'!$B$1:$AQ$1,0),FALSE)</f>
        <v>0</v>
      </c>
      <c r="W116" s="31">
        <f>VLOOKUP($B116,'Tillförd energi'!$B$1:$AI$720,MATCH(W$1,'Tillförd energi'!$B$1:$AQ$1,0),FALSE)</f>
        <v>0</v>
      </c>
      <c r="X116" s="31">
        <f>VLOOKUP($B116,'Tillförd energi'!$B$1:$AI$720,MATCH(X$1,'Tillförd energi'!$B$1:$AQ$1,0),FALSE)</f>
        <v>0</v>
      </c>
      <c r="Y116" s="31">
        <f>VLOOKUP($B116,'Tillförd energi'!$B$1:$AI$720,MATCH(Y$1,'Tillförd energi'!$B$1:$AQ$1,0),FALSE)</f>
        <v>0</v>
      </c>
      <c r="Z116" s="31">
        <f>VLOOKUP($B116,'Tillförd energi'!$B$1:$AI$720,MATCH(Z$1,'Tillförd energi'!$B$1:$AQ$1,0),FALSE)</f>
        <v>0</v>
      </c>
      <c r="AA116" s="31">
        <f>VLOOKUP($B116,'Tillförd energi'!$B$1:$AI$720,MATCH(AA$1,'Tillförd energi'!$B$1:$AQ$1,0),FALSE)</f>
        <v>0</v>
      </c>
      <c r="AB116" s="31">
        <f>VLOOKUP($B116,'Tillförd energi'!$B$1:$AI$720,MATCH(AB$1,'Tillförd energi'!$B$1:$AQ$1,0),FALSE)</f>
        <v>0</v>
      </c>
      <c r="AC116" s="31">
        <f>VLOOKUP($B116,'Tillförd energi'!$B$1:$AI$720,MATCH(AC$1,'Tillförd energi'!$B$1:$AQ$1,0),FALSE)</f>
        <v>5.9</v>
      </c>
      <c r="AD116" s="31">
        <f>VLOOKUP($B116,'Tillförd energi'!$B$1:$AI$720,MATCH(AD$1,'Tillförd energi'!$B$1:$AQ$1,0),FALSE)</f>
        <v>0</v>
      </c>
      <c r="AE116" s="31">
        <f>VLOOKUP($B116,'Tillförd energi'!$B$1:$AI$720,MATCH(AE$1,'Tillförd energi'!$B$1:$AQ$1,0),FALSE)</f>
        <v>0</v>
      </c>
      <c r="AF116" s="31">
        <f>VLOOKUP($B116,'Tillförd energi'!$B$1:$AI$720,MATCH(AF$1,'Tillförd energi'!$B$1:$AQ$1,0),FALSE)</f>
        <v>0.86299999999999999</v>
      </c>
      <c r="AG116" s="31">
        <f>IFERROR(VLOOKUP(B116,Miljö!$B$1:$AC$550,MATCH("Köpt mängd produktionsspecifik fjärrvärme:",Miljö!$B$1:$AC$1,0),FALSE)/1,0)</f>
        <v>0</v>
      </c>
      <c r="AI116" s="31">
        <f t="shared" si="23"/>
        <v>48.762999999999998</v>
      </c>
      <c r="AJ116" s="31">
        <f t="shared" si="24"/>
        <v>48.762999999999998</v>
      </c>
      <c r="AK116" s="31">
        <f>IF(ISERROR(1/VLOOKUP($B116,Leveranser!$B$1:$S$499,MATCH("Såld värme (GWh)",Leveranser!$B$1:$S$1,0),FALSE)),"",VLOOKUP($B116,Leveranser!$B$1:$S$499,MATCH("Såld värme (GWh)",Leveranser!$B$1:$S$1,0),FALSE))</f>
        <v>32.500999999999998</v>
      </c>
      <c r="AL116" s="31">
        <f>VLOOKUP($B116,Leveranser!$B$1:$Y$499,MATCH("Totalt såld fjärrvärme till andra fjärrvärmeföretag",Leveranser!$B$1:$AA$1,0),FALSE)</f>
        <v>0</v>
      </c>
      <c r="AM116" s="31">
        <f>IF(ISERROR(1/VLOOKUP($B116,Miljö!$B$1:$S$500,MATCH("Såld mängd produktionsspecifik fjärrvärme (GWh)",Miljö!$B$1:$R$1,0),FALSE)),0,VLOOKUP($B116,Miljö!$B$1:$S$500,MATCH("Såld mängd produktionsspecifik fjärrvärme (GWh)",Miljö!$B$1:$R$1,0),FALSE))</f>
        <v>0</v>
      </c>
      <c r="AN116" s="32">
        <f t="shared" si="25"/>
        <v>0.66650944363554332</v>
      </c>
      <c r="AP116" s="31" t="str">
        <f>IFERROR(VLOOKUP($B116,Miljövärden!$B$2:$H$550,7,FALSE),"Nej, saknas")</f>
        <v>Ja</v>
      </c>
      <c r="AQ116" s="31" t="str">
        <f>IFERROR(VLOOKUP($B116,Miljövärden!$B$2:$H$551,6,FALSE),"Nej, saknas")</f>
        <v>Ja</v>
      </c>
      <c r="AU116" s="31">
        <f t="shared" si="26"/>
        <v>0.86299999999999999</v>
      </c>
      <c r="AV116" s="31">
        <f t="shared" si="27"/>
        <v>0</v>
      </c>
      <c r="AW116" s="31">
        <f t="shared" si="28"/>
        <v>41.6</v>
      </c>
      <c r="AX116" s="31">
        <f t="shared" si="29"/>
        <v>0</v>
      </c>
      <c r="AZ116" s="31">
        <f t="shared" si="30"/>
        <v>41.6</v>
      </c>
      <c r="BC116" s="31">
        <f t="shared" si="31"/>
        <v>0.4</v>
      </c>
      <c r="BD116" s="31">
        <f t="shared" si="32"/>
        <v>0</v>
      </c>
      <c r="BE116" s="31">
        <f t="shared" si="33"/>
        <v>41.6</v>
      </c>
      <c r="BF116" s="31">
        <f t="shared" si="34"/>
        <v>5.9</v>
      </c>
      <c r="BG116" s="31">
        <f t="shared" si="35"/>
        <v>0.86299999999999999</v>
      </c>
      <c r="BH116" s="31">
        <f>VLOOKUP(B116,Miljö!$B$1:$BX$482,MATCH("Fossilandel för ursprungspecificerad el ()",Miljö!$B$1:$I$1,0),FALSE)</f>
        <v>0</v>
      </c>
      <c r="BI116" s="31">
        <f>VLOOKUP(B116,Miljö!$B$1:$BX$482,MATCH("Kärnkraftsandel för ursprungsspecificerad el ()",Miljö!$B$1:$O$1,0),FALSE)</f>
        <v>0</v>
      </c>
      <c r="BJ116" s="31">
        <f t="shared" si="36"/>
        <v>0</v>
      </c>
      <c r="BK116" s="31" t="str">
        <f>VLOOKUP(B116,Miljö!$B$1:$P$482,MATCH("Fossil andel i procent (%)",Miljö!$B$1:$P$1,0),FALSE)</f>
        <v>ET</v>
      </c>
      <c r="BL116" s="31">
        <f t="shared" si="37"/>
        <v>48.762999999999998</v>
      </c>
      <c r="BO116" s="32">
        <f t="shared" si="38"/>
        <v>8.202940754260403E-3</v>
      </c>
      <c r="BP116" s="32">
        <f t="shared" si="39"/>
        <v>0</v>
      </c>
      <c r="BQ116" s="32">
        <f t="shared" si="40"/>
        <v>0.87080368312039869</v>
      </c>
      <c r="BR116" s="32">
        <f t="shared" si="41"/>
        <v>0.12099337612534095</v>
      </c>
      <c r="BT116" s="62">
        <f t="shared" si="42"/>
        <v>1</v>
      </c>
      <c r="BW116" s="32">
        <f>IF(AP116="Ja",VLOOKUP(B116,Miljövärden!$B$2:$H$551,MATCH("Total andel fossilt",Miljövärden!$B$2:$H$2,0),FALSE),"")</f>
        <v>8.2029400000000006E-3</v>
      </c>
      <c r="BX116" s="62">
        <f t="shared" si="43"/>
        <v>-7.5426040239967573E-10</v>
      </c>
      <c r="BZ116" s="31">
        <f t="shared" si="44"/>
        <v>-7.5426040239967573E-10</v>
      </c>
      <c r="CA116" s="32">
        <f t="shared" si="45"/>
        <v>0</v>
      </c>
    </row>
    <row r="117" spans="1:79" x14ac:dyDescent="0.45">
      <c r="A117" s="31" t="s">
        <v>533</v>
      </c>
      <c r="B117" s="31" t="s">
        <v>532</v>
      </c>
      <c r="C117" s="31">
        <f>VLOOKUP($B117,'Tillförd energi'!$B$1:$AI$720,MATCH(C$1,'Tillförd energi'!$B$1:$AQ$1,0),FALSE)</f>
        <v>0</v>
      </c>
      <c r="D117" s="31">
        <f>VLOOKUP($B117,'Tillförd energi'!$B$1:$AI$720,MATCH(D$1,'Tillförd energi'!$B$1:$AQ$1,0),FALSE)</f>
        <v>0</v>
      </c>
      <c r="E117" s="31">
        <f>VLOOKUP($B117,'Tillförd energi'!$B$1:$AI$720,MATCH(E$1,'Tillförd energi'!$B$1:$AQ$1,0),FALSE)</f>
        <v>1.9</v>
      </c>
      <c r="F117" s="31">
        <f>VLOOKUP($B117,'Tillförd energi'!$B$1:$AI$720,MATCH(F$1,'Tillförd energi'!$B$1:$AQ$1,0),FALSE)</f>
        <v>0</v>
      </c>
      <c r="G117" s="31">
        <f>VLOOKUP($B117,'Tillförd energi'!$B$1:$AI$720,MATCH(G$1,'Tillförd energi'!$B$1:$AQ$1,0),FALSE)</f>
        <v>0</v>
      </c>
      <c r="H117" s="31">
        <f>VLOOKUP($B117,'Tillförd energi'!$B$1:$AI$720,MATCH(H$1,'Tillförd energi'!$B$1:$AQ$1,0),FALSE)</f>
        <v>0</v>
      </c>
      <c r="I117" s="31">
        <f>VLOOKUP($B117,'Tillförd energi'!$B$1:$AI$720,MATCH(I$1,'Tillförd energi'!$B$1:$AQ$1,0),FALSE)</f>
        <v>0</v>
      </c>
      <c r="J117" s="31">
        <f>VLOOKUP($B117,'Tillförd energi'!$B$1:$AI$720,MATCH(J$1,'Tillförd energi'!$B$1:$AQ$1,0),FALSE)</f>
        <v>3.8</v>
      </c>
      <c r="K117" s="31">
        <f>VLOOKUP($B117,'Tillförd energi'!$B$1:$AI$720,MATCH(K$1,'Tillförd energi'!$B$1:$AQ$1,0),FALSE)</f>
        <v>0</v>
      </c>
      <c r="L117" s="31">
        <f>VLOOKUP($B117,'Tillförd energi'!$B$1:$AI$720,MATCH(L$1,'Tillförd energi'!$B$1:$AQ$1,0),FALSE)</f>
        <v>0</v>
      </c>
      <c r="M117" s="31">
        <f>VLOOKUP($B117,'Tillförd energi'!$B$1:$AI$720,MATCH(M$1,'Tillförd energi'!$B$1:$AQ$1,0),FALSE)</f>
        <v>37.645000000000003</v>
      </c>
      <c r="N117" s="31">
        <f>VLOOKUP($B117,'Tillförd energi'!$B$1:$AI$720,MATCH(N$1,'Tillförd energi'!$B$1:$AQ$1,0),FALSE)</f>
        <v>15.9488</v>
      </c>
      <c r="O117" s="31">
        <f>VLOOKUP($B117,'Tillförd energi'!$B$1:$AI$720,MATCH(O$1,'Tillförd energi'!$B$1:$AQ$1,0),FALSE)</f>
        <v>4.0673899999999996</v>
      </c>
      <c r="P117" s="31">
        <f>VLOOKUP($B117,'Tillförd energi'!$B$1:$AI$720,MATCH(P$1,'Tillförd energi'!$B$1:$AQ$1,0),FALSE)</f>
        <v>41.933199999999999</v>
      </c>
      <c r="Q117" s="31">
        <f>VLOOKUP($B117,'Tillförd energi'!$B$1:$AI$720,MATCH(Q$1,'Tillförd energi'!$B$1:$AQ$1,0),FALSE)</f>
        <v>0</v>
      </c>
      <c r="R117" s="31">
        <f>VLOOKUP($B117,'Tillförd energi'!$B$1:$AI$720,MATCH(R$1,'Tillförd energi'!$B$1:$AQ$1,0),FALSE)</f>
        <v>4.3</v>
      </c>
      <c r="S117" s="31">
        <f>VLOOKUP($B117,'Tillförd energi'!$B$1:$AI$720,MATCH(S$1,'Tillförd energi'!$B$1:$AQ$1,0),FALSE)</f>
        <v>0</v>
      </c>
      <c r="T117" s="31">
        <f>VLOOKUP($B117,'Tillförd energi'!$B$1:$AI$720,MATCH(T$1,'Tillförd energi'!$B$1:$AQ$1,0),FALSE)</f>
        <v>0</v>
      </c>
      <c r="U117" s="31">
        <f>VLOOKUP($B117,'Tillförd energi'!$B$1:$AI$720,MATCH(U$1,'Tillförd energi'!$B$1:$AQ$1,0),FALSE)</f>
        <v>0</v>
      </c>
      <c r="V117" s="31">
        <f>VLOOKUP($B117,'Tillförd energi'!$B$1:$AI$720,MATCH(V$1,'Tillförd energi'!$B$1:$AQ$1,0),FALSE)</f>
        <v>0</v>
      </c>
      <c r="W117" s="31">
        <f>VLOOKUP($B117,'Tillförd energi'!$B$1:$AI$720,MATCH(W$1,'Tillförd energi'!$B$1:$AQ$1,0),FALSE)</f>
        <v>0</v>
      </c>
      <c r="X117" s="31">
        <f>VLOOKUP($B117,'Tillförd energi'!$B$1:$AI$720,MATCH(X$1,'Tillförd energi'!$B$1:$AQ$1,0),FALSE)</f>
        <v>0</v>
      </c>
      <c r="Y117" s="31">
        <f>VLOOKUP($B117,'Tillförd energi'!$B$1:$AI$720,MATCH(Y$1,'Tillförd energi'!$B$1:$AQ$1,0),FALSE)</f>
        <v>21.701799999999999</v>
      </c>
      <c r="Z117" s="31">
        <f>VLOOKUP($B117,'Tillförd energi'!$B$1:$AI$720,MATCH(Z$1,'Tillförd energi'!$B$1:$AQ$1,0),FALSE)</f>
        <v>9.8000000000000007</v>
      </c>
      <c r="AA117" s="31">
        <f>VLOOKUP($B117,'Tillförd energi'!$B$1:$AI$720,MATCH(AA$1,'Tillförd energi'!$B$1:$AQ$1,0),FALSE)</f>
        <v>0</v>
      </c>
      <c r="AB117" s="31">
        <f>VLOOKUP($B117,'Tillförd energi'!$B$1:$AI$720,MATCH(AB$1,'Tillförd energi'!$B$1:$AQ$1,0),FALSE)</f>
        <v>0</v>
      </c>
      <c r="AC117" s="31">
        <f>VLOOKUP($B117,'Tillförd energi'!$B$1:$AI$720,MATCH(AC$1,'Tillförd energi'!$B$1:$AQ$1,0),FALSE)</f>
        <v>36</v>
      </c>
      <c r="AD117" s="31">
        <f>VLOOKUP($B117,'Tillförd energi'!$B$1:$AI$720,MATCH(AD$1,'Tillförd energi'!$B$1:$AQ$1,0),FALSE)</f>
        <v>37.89</v>
      </c>
      <c r="AE117" s="31">
        <f>VLOOKUP($B117,'Tillförd energi'!$B$1:$AI$720,MATCH(AE$1,'Tillförd energi'!$B$1:$AQ$1,0),FALSE)</f>
        <v>0</v>
      </c>
      <c r="AF117" s="31">
        <f>VLOOKUP($B117,'Tillförd energi'!$B$1:$AI$720,MATCH(AF$1,'Tillförd energi'!$B$1:$AQ$1,0),FALSE)</f>
        <v>6.2066999999999997</v>
      </c>
      <c r="AG117" s="31">
        <f>IFERROR(VLOOKUP(B117,Miljö!$B$1:$AC$550,MATCH("Köpt mängd produktionsspecifik fjärrvärme:",Miljö!$B$1:$AC$1,0),FALSE)/1,0)</f>
        <v>0</v>
      </c>
      <c r="AI117" s="31">
        <f t="shared" si="23"/>
        <v>221.19289000000003</v>
      </c>
      <c r="AJ117" s="31">
        <f t="shared" si="24"/>
        <v>221.19289000000003</v>
      </c>
      <c r="AK117" s="31">
        <f>IF(ISERROR(1/VLOOKUP($B117,Leveranser!$B$1:$S$499,MATCH("Såld värme (GWh)",Leveranser!$B$1:$S$1,0),FALSE)),"",VLOOKUP($B117,Leveranser!$B$1:$S$499,MATCH("Såld värme (GWh)",Leveranser!$B$1:$S$1,0),FALSE))</f>
        <v>180</v>
      </c>
      <c r="AL117" s="31">
        <f>VLOOKUP($B117,Leveranser!$B$1:$Y$499,MATCH("Totalt såld fjärrvärme till andra fjärrvärmeföretag",Leveranser!$B$1:$AA$1,0),FALSE)</f>
        <v>0</v>
      </c>
      <c r="AM117" s="31">
        <f>IF(ISERROR(1/VLOOKUP($B117,Miljö!$B$1:$S$500,MATCH("Såld mängd produktionsspecifik fjärrvärme (GWh)",Miljö!$B$1:$R$1,0),FALSE)),0,VLOOKUP($B117,Miljö!$B$1:$S$500,MATCH("Såld mängd produktionsspecifik fjärrvärme (GWh)",Miljö!$B$1:$R$1,0),FALSE))</f>
        <v>0</v>
      </c>
      <c r="AN117" s="32">
        <f t="shared" si="25"/>
        <v>0.81376937567929952</v>
      </c>
      <c r="AP117" s="31" t="str">
        <f>IFERROR(VLOOKUP($B117,Miljövärden!$B$2:$H$550,7,FALSE),"Nej, saknas")</f>
        <v>Ja</v>
      </c>
      <c r="AQ117" s="31" t="str">
        <f>IFERROR(VLOOKUP($B117,Miljövärden!$B$2:$H$551,6,FALSE),"Nej, saknas")</f>
        <v>Ja</v>
      </c>
      <c r="AU117" s="31">
        <f t="shared" si="26"/>
        <v>16.006700000000002</v>
      </c>
      <c r="AV117" s="31">
        <f t="shared" si="27"/>
        <v>0</v>
      </c>
      <c r="AW117" s="31">
        <f t="shared" si="28"/>
        <v>99.594390000000004</v>
      </c>
      <c r="AX117" s="31">
        <f t="shared" si="29"/>
        <v>4.3</v>
      </c>
      <c r="AZ117" s="31">
        <f t="shared" si="30"/>
        <v>103.89439</v>
      </c>
      <c r="BC117" s="31">
        <f t="shared" si="31"/>
        <v>1.9</v>
      </c>
      <c r="BD117" s="31">
        <f t="shared" si="32"/>
        <v>21.701799999999999</v>
      </c>
      <c r="BE117" s="31">
        <f t="shared" si="33"/>
        <v>103.89439</v>
      </c>
      <c r="BF117" s="31">
        <f t="shared" si="34"/>
        <v>77.69</v>
      </c>
      <c r="BG117" s="31">
        <f t="shared" si="35"/>
        <v>16.006700000000002</v>
      </c>
      <c r="BH117" s="31">
        <f>VLOOKUP(B117,Miljö!$B$1:$BX$482,MATCH("Fossilandel för ursprungspecificerad el ()",Miljö!$B$1:$I$1,0),FALSE)</f>
        <v>0</v>
      </c>
      <c r="BI117" s="31">
        <f>VLOOKUP(B117,Miljö!$B$1:$BX$482,MATCH("Kärnkraftsandel för ursprungsspecificerad el ()",Miljö!$B$1:$O$1,0),FALSE)</f>
        <v>0</v>
      </c>
      <c r="BJ117" s="31">
        <f t="shared" si="36"/>
        <v>0</v>
      </c>
      <c r="BK117" s="31" t="str">
        <f>VLOOKUP(B117,Miljö!$B$1:$P$482,MATCH("Fossil andel i procent (%)",Miljö!$B$1:$P$1,0),FALSE)</f>
        <v>ET</v>
      </c>
      <c r="BL117" s="31">
        <f t="shared" si="37"/>
        <v>221.19289000000001</v>
      </c>
      <c r="BO117" s="32">
        <f t="shared" si="38"/>
        <v>8.5897878543926068E-3</v>
      </c>
      <c r="BP117" s="32">
        <f t="shared" si="39"/>
        <v>9.8112556872872347E-2</v>
      </c>
      <c r="BQ117" s="32">
        <f t="shared" si="40"/>
        <v>0.54206575084759734</v>
      </c>
      <c r="BR117" s="32">
        <f t="shared" si="41"/>
        <v>0.35123190442513769</v>
      </c>
      <c r="BT117" s="62">
        <f t="shared" si="42"/>
        <v>1</v>
      </c>
      <c r="BW117" s="32">
        <f>IF(AP117="Ja",VLOOKUP(B117,Miljövärden!$B$2:$H$551,MATCH("Total andel fossilt",Miljövärden!$B$2:$H$2,0),FALSE),"")</f>
        <v>8.58978E-3</v>
      </c>
      <c r="BX117" s="62">
        <f t="shared" si="43"/>
        <v>-7.8543926067958791E-9</v>
      </c>
      <c r="BZ117" s="31">
        <f t="shared" si="44"/>
        <v>-7.8543926067958791E-9</v>
      </c>
      <c r="CA117" s="32">
        <f t="shared" si="45"/>
        <v>0</v>
      </c>
    </row>
    <row r="118" spans="1:79" x14ac:dyDescent="0.45">
      <c r="A118" s="31" t="s">
        <v>530</v>
      </c>
      <c r="B118" s="31" t="s">
        <v>531</v>
      </c>
      <c r="C118" s="31">
        <f>VLOOKUP($B118,'Tillförd energi'!$B$1:$AI$720,MATCH(C$1,'Tillförd energi'!$B$1:$AQ$1,0),FALSE)</f>
        <v>0</v>
      </c>
      <c r="D118" s="31">
        <f>VLOOKUP($B118,'Tillförd energi'!$B$1:$AI$720,MATCH(D$1,'Tillförd energi'!$B$1:$AQ$1,0),FALSE)</f>
        <v>0</v>
      </c>
      <c r="E118" s="31">
        <f>VLOOKUP($B118,'Tillförd energi'!$B$1:$AI$720,MATCH(E$1,'Tillförd energi'!$B$1:$AQ$1,0),FALSE)</f>
        <v>0</v>
      </c>
      <c r="F118" s="31">
        <f>VLOOKUP($B118,'Tillförd energi'!$B$1:$AI$720,MATCH(F$1,'Tillförd energi'!$B$1:$AQ$1,0),FALSE)</f>
        <v>0</v>
      </c>
      <c r="G118" s="31">
        <f>VLOOKUP($B118,'Tillförd energi'!$B$1:$AI$720,MATCH(G$1,'Tillförd energi'!$B$1:$AQ$1,0),FALSE)</f>
        <v>0</v>
      </c>
      <c r="H118" s="31">
        <f>VLOOKUP($B118,'Tillförd energi'!$B$1:$AI$720,MATCH(H$1,'Tillförd energi'!$B$1:$AQ$1,0),FALSE)</f>
        <v>0</v>
      </c>
      <c r="I118" s="31">
        <f>VLOOKUP($B118,'Tillförd energi'!$B$1:$AI$720,MATCH(I$1,'Tillförd energi'!$B$1:$AQ$1,0),FALSE)</f>
        <v>113.053</v>
      </c>
      <c r="J118" s="31">
        <f>VLOOKUP($B118,'Tillförd energi'!$B$1:$AI$720,MATCH(J$1,'Tillförd energi'!$B$1:$AQ$1,0),FALSE)</f>
        <v>0</v>
      </c>
      <c r="K118" s="31">
        <f>VLOOKUP($B118,'Tillförd energi'!$B$1:$AI$720,MATCH(K$1,'Tillförd energi'!$B$1:$AQ$1,0),FALSE)</f>
        <v>0</v>
      </c>
      <c r="L118" s="31">
        <f>VLOOKUP($B118,'Tillförd energi'!$B$1:$AI$720,MATCH(L$1,'Tillförd energi'!$B$1:$AQ$1,0),FALSE)</f>
        <v>0</v>
      </c>
      <c r="M118" s="31">
        <f>VLOOKUP($B118,'Tillförd energi'!$B$1:$AI$720,MATCH(M$1,'Tillförd energi'!$B$1:$AQ$1,0),FALSE)</f>
        <v>0</v>
      </c>
      <c r="N118" s="31">
        <f>VLOOKUP($B118,'Tillförd energi'!$B$1:$AI$720,MATCH(N$1,'Tillförd energi'!$B$1:$AQ$1,0),FALSE)</f>
        <v>0</v>
      </c>
      <c r="O118" s="31">
        <f>VLOOKUP($B118,'Tillförd energi'!$B$1:$AI$720,MATCH(O$1,'Tillförd energi'!$B$1:$AQ$1,0),FALSE)</f>
        <v>0</v>
      </c>
      <c r="P118" s="31">
        <f>VLOOKUP($B118,'Tillförd energi'!$B$1:$AI$720,MATCH(P$1,'Tillförd energi'!$B$1:$AQ$1,0),FALSE)</f>
        <v>86</v>
      </c>
      <c r="Q118" s="31">
        <f>VLOOKUP($B118,'Tillförd energi'!$B$1:$AI$720,MATCH(Q$1,'Tillförd energi'!$B$1:$AQ$1,0),FALSE)</f>
        <v>0</v>
      </c>
      <c r="R118" s="31">
        <f>VLOOKUP($B118,'Tillförd energi'!$B$1:$AI$720,MATCH(R$1,'Tillförd energi'!$B$1:$AQ$1,0),FALSE)</f>
        <v>0</v>
      </c>
      <c r="S118" s="31">
        <f>VLOOKUP($B118,'Tillförd energi'!$B$1:$AI$720,MATCH(S$1,'Tillförd energi'!$B$1:$AQ$1,0),FALSE)</f>
        <v>0</v>
      </c>
      <c r="T118" s="31">
        <f>VLOOKUP($B118,'Tillförd energi'!$B$1:$AI$720,MATCH(T$1,'Tillförd energi'!$B$1:$AQ$1,0),FALSE)</f>
        <v>0</v>
      </c>
      <c r="U118" s="31">
        <f>VLOOKUP($B118,'Tillförd energi'!$B$1:$AI$720,MATCH(U$1,'Tillförd energi'!$B$1:$AQ$1,0),FALSE)</f>
        <v>0</v>
      </c>
      <c r="V118" s="31">
        <f>VLOOKUP($B118,'Tillförd energi'!$B$1:$AI$720,MATCH(V$1,'Tillförd energi'!$B$1:$AQ$1,0),FALSE)</f>
        <v>0</v>
      </c>
      <c r="W118" s="31">
        <f>VLOOKUP($B118,'Tillförd energi'!$B$1:$AI$720,MATCH(W$1,'Tillförd energi'!$B$1:$AQ$1,0),FALSE)</f>
        <v>0.108954</v>
      </c>
      <c r="X118" s="31">
        <f>VLOOKUP($B118,'Tillförd energi'!$B$1:$AI$720,MATCH(X$1,'Tillförd energi'!$B$1:$AQ$1,0),FALSE)</f>
        <v>0</v>
      </c>
      <c r="Y118" s="31">
        <f>VLOOKUP($B118,'Tillförd energi'!$B$1:$AI$720,MATCH(Y$1,'Tillförd energi'!$B$1:$AQ$1,0),FALSE)</f>
        <v>0</v>
      </c>
      <c r="Z118" s="31">
        <f>VLOOKUP($B118,'Tillförd energi'!$B$1:$AI$720,MATCH(Z$1,'Tillförd energi'!$B$1:$AQ$1,0),FALSE)</f>
        <v>0</v>
      </c>
      <c r="AA118" s="31">
        <f>VLOOKUP($B118,'Tillförd energi'!$B$1:$AI$720,MATCH(AA$1,'Tillförd energi'!$B$1:$AQ$1,0),FALSE)</f>
        <v>0</v>
      </c>
      <c r="AB118" s="31">
        <f>VLOOKUP($B118,'Tillförd energi'!$B$1:$AI$720,MATCH(AB$1,'Tillförd energi'!$B$1:$AQ$1,0),FALSE)</f>
        <v>0</v>
      </c>
      <c r="AC118" s="31">
        <f>VLOOKUP($B118,'Tillförd energi'!$B$1:$AI$720,MATCH(AC$1,'Tillförd energi'!$B$1:$AQ$1,0),FALSE)</f>
        <v>14.5</v>
      </c>
      <c r="AD118" s="31">
        <f>VLOOKUP($B118,'Tillförd energi'!$B$1:$AI$720,MATCH(AD$1,'Tillförd energi'!$B$1:$AQ$1,0),FALSE)</f>
        <v>1.6</v>
      </c>
      <c r="AE118" s="31">
        <f>VLOOKUP($B118,'Tillförd energi'!$B$1:$AI$720,MATCH(AE$1,'Tillförd energi'!$B$1:$AQ$1,0),FALSE)</f>
        <v>0</v>
      </c>
      <c r="AF118" s="31">
        <f>VLOOKUP($B118,'Tillförd energi'!$B$1:$AI$720,MATCH(AF$1,'Tillförd energi'!$B$1:$AQ$1,0),FALSE)</f>
        <v>7.38</v>
      </c>
      <c r="AG118" s="31">
        <f>IFERROR(VLOOKUP(B118,Miljö!$B$1:$AC$550,MATCH("Köpt mängd produktionsspecifik fjärrvärme:",Miljö!$B$1:$AC$1,0),FALSE)/1,0)</f>
        <v>0</v>
      </c>
      <c r="AI118" s="31">
        <f t="shared" si="23"/>
        <v>222.641954</v>
      </c>
      <c r="AJ118" s="31">
        <f t="shared" si="24"/>
        <v>222.641954</v>
      </c>
      <c r="AK118" s="31">
        <f>IF(ISERROR(1/VLOOKUP($B118,Leveranser!$B$1:$S$499,MATCH("Såld värme (GWh)",Leveranser!$B$1:$S$1,0),FALSE)),"",VLOOKUP($B118,Leveranser!$B$1:$S$499,MATCH("Såld värme (GWh)",Leveranser!$B$1:$S$1,0),FALSE))</f>
        <v>173.8</v>
      </c>
      <c r="AL118" s="31">
        <f>VLOOKUP($B118,Leveranser!$B$1:$Y$499,MATCH("Totalt såld fjärrvärme till andra fjärrvärmeföretag",Leveranser!$B$1:$AA$1,0),FALSE)</f>
        <v>0</v>
      </c>
      <c r="AM118" s="31">
        <f>IF(ISERROR(1/VLOOKUP($B118,Miljö!$B$1:$S$500,MATCH("Såld mängd produktionsspecifik fjärrvärme (GWh)",Miljö!$B$1:$R$1,0),FALSE)),0,VLOOKUP($B118,Miljö!$B$1:$S$500,MATCH("Såld mängd produktionsspecifik fjärrvärme (GWh)",Miljö!$B$1:$R$1,0),FALSE))</f>
        <v>0</v>
      </c>
      <c r="AN118" s="32">
        <f t="shared" si="25"/>
        <v>0.78062555990682692</v>
      </c>
      <c r="AP118" s="31" t="str">
        <f>IFERROR(VLOOKUP($B118,Miljövärden!$B$2:$H$550,7,FALSE),"Nej, saknas")</f>
        <v>Ja</v>
      </c>
      <c r="AQ118" s="31" t="str">
        <f>IFERROR(VLOOKUP($B118,Miljövärden!$B$2:$H$551,6,FALSE),"Nej, saknas")</f>
        <v>Ja</v>
      </c>
      <c r="AU118" s="31">
        <f t="shared" si="26"/>
        <v>7.38</v>
      </c>
      <c r="AV118" s="31">
        <f t="shared" si="27"/>
        <v>0</v>
      </c>
      <c r="AW118" s="31">
        <f t="shared" si="28"/>
        <v>86</v>
      </c>
      <c r="AX118" s="31">
        <f t="shared" si="29"/>
        <v>0</v>
      </c>
      <c r="AZ118" s="31">
        <f t="shared" si="30"/>
        <v>86.108953999999997</v>
      </c>
      <c r="BC118" s="31">
        <f t="shared" si="31"/>
        <v>0</v>
      </c>
      <c r="BD118" s="31">
        <f t="shared" si="32"/>
        <v>0</v>
      </c>
      <c r="BE118" s="31">
        <f t="shared" si="33"/>
        <v>86.108953999999997</v>
      </c>
      <c r="BF118" s="31">
        <f t="shared" si="34"/>
        <v>129.15299999999999</v>
      </c>
      <c r="BG118" s="31">
        <f t="shared" si="35"/>
        <v>7.38</v>
      </c>
      <c r="BH118" s="31">
        <f>VLOOKUP(B118,Miljö!$B$1:$BX$482,MATCH("Fossilandel för ursprungspecificerad el ()",Miljö!$B$1:$I$1,0),FALSE)</f>
        <v>0</v>
      </c>
      <c r="BI118" s="31">
        <f>VLOOKUP(B118,Miljö!$B$1:$BX$482,MATCH("Kärnkraftsandel för ursprungsspecificerad el ()",Miljö!$B$1:$O$1,0),FALSE)</f>
        <v>0</v>
      </c>
      <c r="BJ118" s="31">
        <f t="shared" si="36"/>
        <v>0</v>
      </c>
      <c r="BK118" s="31" t="str">
        <f>VLOOKUP(B118,Miljö!$B$1:$P$482,MATCH("Fossil andel i procent (%)",Miljö!$B$1:$P$1,0),FALSE)</f>
        <v>ET</v>
      </c>
      <c r="BL118" s="31">
        <f t="shared" si="37"/>
        <v>222.641954</v>
      </c>
      <c r="BO118" s="32">
        <f t="shared" si="38"/>
        <v>0</v>
      </c>
      <c r="BP118" s="32">
        <f t="shared" si="39"/>
        <v>0</v>
      </c>
      <c r="BQ118" s="32">
        <f t="shared" si="40"/>
        <v>0.41990717526670646</v>
      </c>
      <c r="BR118" s="32">
        <f t="shared" si="41"/>
        <v>0.58009282473329349</v>
      </c>
      <c r="BT118" s="62">
        <f t="shared" si="42"/>
        <v>1</v>
      </c>
      <c r="BW118" s="32">
        <f>IF(AP118="Ja",VLOOKUP(B118,Miljövärden!$B$2:$H$551,MATCH("Total andel fossilt",Miljövärden!$B$2:$H$2,0),FALSE),"")</f>
        <v>0</v>
      </c>
      <c r="BX118" s="62">
        <f t="shared" si="43"/>
        <v>0</v>
      </c>
      <c r="BZ118" s="31">
        <f t="shared" si="44"/>
        <v>0</v>
      </c>
      <c r="CA118" s="32">
        <f t="shared" si="45"/>
        <v>0</v>
      </c>
    </row>
    <row r="119" spans="1:79" x14ac:dyDescent="0.45">
      <c r="A119" s="31" t="s">
        <v>530</v>
      </c>
      <c r="B119" s="31" t="s">
        <v>529</v>
      </c>
      <c r="C119" s="31">
        <f>VLOOKUP($B119,'Tillförd energi'!$B$1:$AI$720,MATCH(C$1,'Tillförd energi'!$B$1:$AQ$1,0),FALSE)</f>
        <v>0</v>
      </c>
      <c r="D119" s="31">
        <f>VLOOKUP($B119,'Tillförd energi'!$B$1:$AI$720,MATCH(D$1,'Tillförd energi'!$B$1:$AQ$1,0),FALSE)</f>
        <v>0</v>
      </c>
      <c r="E119" s="31">
        <f>VLOOKUP($B119,'Tillförd energi'!$B$1:$AI$720,MATCH(E$1,'Tillförd energi'!$B$1:$AQ$1,0),FALSE)</f>
        <v>0</v>
      </c>
      <c r="F119" s="31">
        <f>VLOOKUP($B119,'Tillförd energi'!$B$1:$AI$720,MATCH(F$1,'Tillförd energi'!$B$1:$AQ$1,0),FALSE)</f>
        <v>0</v>
      </c>
      <c r="G119" s="31">
        <f>VLOOKUP($B119,'Tillförd energi'!$B$1:$AI$720,MATCH(G$1,'Tillförd energi'!$B$1:$AQ$1,0),FALSE)</f>
        <v>0</v>
      </c>
      <c r="H119" s="31">
        <f>VLOOKUP($B119,'Tillförd energi'!$B$1:$AI$720,MATCH(H$1,'Tillförd energi'!$B$1:$AQ$1,0),FALSE)</f>
        <v>0</v>
      </c>
      <c r="I119" s="31">
        <f>VLOOKUP($B119,'Tillförd energi'!$B$1:$AI$720,MATCH(I$1,'Tillförd energi'!$B$1:$AQ$1,0),FALSE)</f>
        <v>0</v>
      </c>
      <c r="J119" s="31">
        <f>VLOOKUP($B119,'Tillförd energi'!$B$1:$AI$720,MATCH(J$1,'Tillförd energi'!$B$1:$AQ$1,0),FALSE)</f>
        <v>0</v>
      </c>
      <c r="K119" s="31">
        <f>VLOOKUP($B119,'Tillförd energi'!$B$1:$AI$720,MATCH(K$1,'Tillförd energi'!$B$1:$AQ$1,0),FALSE)</f>
        <v>0</v>
      </c>
      <c r="L119" s="31">
        <f>VLOOKUP($B119,'Tillförd energi'!$B$1:$AI$720,MATCH(L$1,'Tillförd energi'!$B$1:$AQ$1,0),FALSE)</f>
        <v>0</v>
      </c>
      <c r="M119" s="31">
        <f>VLOOKUP($B119,'Tillförd energi'!$B$1:$AI$720,MATCH(M$1,'Tillförd energi'!$B$1:$AQ$1,0),FALSE)</f>
        <v>0</v>
      </c>
      <c r="N119" s="31">
        <f>VLOOKUP($B119,'Tillförd energi'!$B$1:$AI$720,MATCH(N$1,'Tillförd energi'!$B$1:$AQ$1,0),FALSE)</f>
        <v>0</v>
      </c>
      <c r="O119" s="31">
        <f>VLOOKUP($B119,'Tillförd energi'!$B$1:$AI$720,MATCH(O$1,'Tillförd energi'!$B$1:$AQ$1,0),FALSE)</f>
        <v>0</v>
      </c>
      <c r="P119" s="31">
        <f>VLOOKUP($B119,'Tillförd energi'!$B$1:$AI$720,MATCH(P$1,'Tillförd energi'!$B$1:$AQ$1,0),FALSE)</f>
        <v>23.7</v>
      </c>
      <c r="Q119" s="31">
        <f>VLOOKUP($B119,'Tillförd energi'!$B$1:$AI$720,MATCH(Q$1,'Tillförd energi'!$B$1:$AQ$1,0),FALSE)</f>
        <v>0</v>
      </c>
      <c r="R119" s="31">
        <f>VLOOKUP($B119,'Tillförd energi'!$B$1:$AI$720,MATCH(R$1,'Tillförd energi'!$B$1:$AQ$1,0),FALSE)</f>
        <v>0</v>
      </c>
      <c r="S119" s="31">
        <f>VLOOKUP($B119,'Tillförd energi'!$B$1:$AI$720,MATCH(S$1,'Tillförd energi'!$B$1:$AQ$1,0),FALSE)</f>
        <v>0</v>
      </c>
      <c r="T119" s="31">
        <f>VLOOKUP($B119,'Tillförd energi'!$B$1:$AI$720,MATCH(T$1,'Tillförd energi'!$B$1:$AQ$1,0),FALSE)</f>
        <v>0</v>
      </c>
      <c r="U119" s="31">
        <f>VLOOKUP($B119,'Tillförd energi'!$B$1:$AI$720,MATCH(U$1,'Tillförd energi'!$B$1:$AQ$1,0),FALSE)</f>
        <v>0</v>
      </c>
      <c r="V119" s="31">
        <f>VLOOKUP($B119,'Tillförd energi'!$B$1:$AI$720,MATCH(V$1,'Tillförd energi'!$B$1:$AQ$1,0),FALSE)</f>
        <v>0</v>
      </c>
      <c r="W119" s="31">
        <f>VLOOKUP($B119,'Tillförd energi'!$B$1:$AI$720,MATCH(W$1,'Tillförd energi'!$B$1:$AQ$1,0),FALSE)</f>
        <v>0.32</v>
      </c>
      <c r="X119" s="31">
        <f>VLOOKUP($B119,'Tillförd energi'!$B$1:$AI$720,MATCH(X$1,'Tillförd energi'!$B$1:$AQ$1,0),FALSE)</f>
        <v>0</v>
      </c>
      <c r="Y119" s="31">
        <f>VLOOKUP($B119,'Tillförd energi'!$B$1:$AI$720,MATCH(Y$1,'Tillförd energi'!$B$1:$AQ$1,0),FALSE)</f>
        <v>0</v>
      </c>
      <c r="Z119" s="31">
        <f>VLOOKUP($B119,'Tillförd energi'!$B$1:$AI$720,MATCH(Z$1,'Tillförd energi'!$B$1:$AQ$1,0),FALSE)</f>
        <v>0</v>
      </c>
      <c r="AA119" s="31">
        <f>VLOOKUP($B119,'Tillförd energi'!$B$1:$AI$720,MATCH(AA$1,'Tillförd energi'!$B$1:$AQ$1,0),FALSE)</f>
        <v>0</v>
      </c>
      <c r="AB119" s="31">
        <f>VLOOKUP($B119,'Tillförd energi'!$B$1:$AI$720,MATCH(AB$1,'Tillförd energi'!$B$1:$AQ$1,0),FALSE)</f>
        <v>0</v>
      </c>
      <c r="AC119" s="31">
        <f>VLOOKUP($B119,'Tillförd energi'!$B$1:$AI$720,MATCH(AC$1,'Tillförd energi'!$B$1:$AQ$1,0),FALSE)</f>
        <v>0</v>
      </c>
      <c r="AD119" s="31">
        <f>VLOOKUP($B119,'Tillförd energi'!$B$1:$AI$720,MATCH(AD$1,'Tillförd energi'!$B$1:$AQ$1,0),FALSE)</f>
        <v>0</v>
      </c>
      <c r="AE119" s="31">
        <f>VLOOKUP($B119,'Tillförd energi'!$B$1:$AI$720,MATCH(AE$1,'Tillförd energi'!$B$1:$AQ$1,0),FALSE)</f>
        <v>0</v>
      </c>
      <c r="AF119" s="31">
        <f>VLOOKUP($B119,'Tillförd energi'!$B$1:$AI$720,MATCH(AF$1,'Tillförd energi'!$B$1:$AQ$1,0),FALSE)</f>
        <v>0.63</v>
      </c>
      <c r="AG119" s="31">
        <f>IFERROR(VLOOKUP(B119,Miljö!$B$1:$AC$550,MATCH("Köpt mängd produktionsspecifik fjärrvärme:",Miljö!$B$1:$AC$1,0),FALSE)/1,0)</f>
        <v>0</v>
      </c>
      <c r="AI119" s="31">
        <f t="shared" si="23"/>
        <v>24.65</v>
      </c>
      <c r="AJ119" s="31">
        <f t="shared" si="24"/>
        <v>24.65</v>
      </c>
      <c r="AK119" s="31">
        <f>IF(ISERROR(1/VLOOKUP($B119,Leveranser!$B$1:$S$499,MATCH("Såld värme (GWh)",Leveranser!$B$1:$S$1,0),FALSE)),"",VLOOKUP($B119,Leveranser!$B$1:$S$499,MATCH("Såld värme (GWh)",Leveranser!$B$1:$S$1,0),FALSE))</f>
        <v>16.899999999999999</v>
      </c>
      <c r="AL119" s="31">
        <f>VLOOKUP($B119,Leveranser!$B$1:$Y$499,MATCH("Totalt såld fjärrvärme till andra fjärrvärmeföretag",Leveranser!$B$1:$AA$1,0),FALSE)</f>
        <v>0</v>
      </c>
      <c r="AM119" s="31">
        <f>IF(ISERROR(1/VLOOKUP($B119,Miljö!$B$1:$S$500,MATCH("Såld mängd produktionsspecifik fjärrvärme (GWh)",Miljö!$B$1:$R$1,0),FALSE)),0,VLOOKUP($B119,Miljö!$B$1:$S$500,MATCH("Såld mängd produktionsspecifik fjärrvärme (GWh)",Miljö!$B$1:$R$1,0),FALSE))</f>
        <v>0</v>
      </c>
      <c r="AN119" s="32">
        <f t="shared" si="25"/>
        <v>0.68559837728194728</v>
      </c>
      <c r="AP119" s="31" t="str">
        <f>IFERROR(VLOOKUP($B119,Miljövärden!$B$2:$H$550,7,FALSE),"Nej, saknas")</f>
        <v>Ja</v>
      </c>
      <c r="AQ119" s="31" t="str">
        <f>IFERROR(VLOOKUP($B119,Miljövärden!$B$2:$H$551,6,FALSE),"Nej, saknas")</f>
        <v>Ja</v>
      </c>
      <c r="AU119" s="31">
        <f t="shared" si="26"/>
        <v>0.63</v>
      </c>
      <c r="AV119" s="31">
        <f t="shared" si="27"/>
        <v>0</v>
      </c>
      <c r="AW119" s="31">
        <f t="shared" si="28"/>
        <v>23.7</v>
      </c>
      <c r="AX119" s="31">
        <f t="shared" si="29"/>
        <v>0</v>
      </c>
      <c r="AZ119" s="31">
        <f t="shared" si="30"/>
        <v>24.02</v>
      </c>
      <c r="BC119" s="31">
        <f t="shared" si="31"/>
        <v>0</v>
      </c>
      <c r="BD119" s="31">
        <f t="shared" si="32"/>
        <v>0</v>
      </c>
      <c r="BE119" s="31">
        <f t="shared" si="33"/>
        <v>24.02</v>
      </c>
      <c r="BF119" s="31">
        <f t="shared" si="34"/>
        <v>0</v>
      </c>
      <c r="BG119" s="31">
        <f t="shared" si="35"/>
        <v>0.63</v>
      </c>
      <c r="BH119" s="31">
        <f>VLOOKUP(B119,Miljö!$B$1:$BX$482,MATCH("Fossilandel för ursprungspecificerad el ()",Miljö!$B$1:$I$1,0),FALSE)</f>
        <v>0</v>
      </c>
      <c r="BI119" s="31">
        <f>VLOOKUP(B119,Miljö!$B$1:$BX$482,MATCH("Kärnkraftsandel för ursprungsspecificerad el ()",Miljö!$B$1:$O$1,0),FALSE)</f>
        <v>0</v>
      </c>
      <c r="BJ119" s="31">
        <f t="shared" si="36"/>
        <v>0</v>
      </c>
      <c r="BK119" s="31" t="str">
        <f>VLOOKUP(B119,Miljö!$B$1:$P$482,MATCH("Fossil andel i procent (%)",Miljö!$B$1:$P$1,0),FALSE)</f>
        <v>ET</v>
      </c>
      <c r="BL119" s="31">
        <f t="shared" si="37"/>
        <v>24.65</v>
      </c>
      <c r="BO119" s="32">
        <f t="shared" si="38"/>
        <v>0</v>
      </c>
      <c r="BP119" s="32">
        <f t="shared" si="39"/>
        <v>0</v>
      </c>
      <c r="BQ119" s="32">
        <f t="shared" si="40"/>
        <v>1</v>
      </c>
      <c r="BR119" s="32">
        <f t="shared" si="41"/>
        <v>0</v>
      </c>
      <c r="BT119" s="62">
        <f t="shared" si="42"/>
        <v>1</v>
      </c>
      <c r="BW119" s="32">
        <f>IF(AP119="Ja",VLOOKUP(B119,Miljövärden!$B$2:$H$551,MATCH("Total andel fossilt",Miljövärden!$B$2:$H$2,0),FALSE),"")</f>
        <v>0</v>
      </c>
      <c r="BX119" s="62">
        <f t="shared" si="43"/>
        <v>0</v>
      </c>
      <c r="BZ119" s="31">
        <f t="shared" si="44"/>
        <v>0</v>
      </c>
      <c r="CA119" s="32">
        <f t="shared" si="45"/>
        <v>0</v>
      </c>
    </row>
    <row r="120" spans="1:79" x14ac:dyDescent="0.45">
      <c r="A120" s="31" t="s">
        <v>528</v>
      </c>
      <c r="B120" s="31" t="s">
        <v>527</v>
      </c>
      <c r="C120" s="31">
        <f>VLOOKUP($B120,'Tillförd energi'!$B$1:$AI$720,MATCH(C$1,'Tillförd energi'!$B$1:$AQ$1,0),FALSE)</f>
        <v>0</v>
      </c>
      <c r="D120" s="31">
        <f>VLOOKUP($B120,'Tillförd energi'!$B$1:$AI$720,MATCH(D$1,'Tillförd energi'!$B$1:$AQ$1,0),FALSE)</f>
        <v>0</v>
      </c>
      <c r="E120" s="31">
        <f>VLOOKUP($B120,'Tillförd energi'!$B$1:$AI$720,MATCH(E$1,'Tillförd energi'!$B$1:$AQ$1,0),FALSE)</f>
        <v>0</v>
      </c>
      <c r="F120" s="31">
        <f>VLOOKUP($B120,'Tillförd energi'!$B$1:$AI$720,MATCH(F$1,'Tillförd energi'!$B$1:$AQ$1,0),FALSE)</f>
        <v>0</v>
      </c>
      <c r="G120" s="31">
        <f>VLOOKUP($B120,'Tillförd energi'!$B$1:$AI$720,MATCH(G$1,'Tillförd energi'!$B$1:$AQ$1,0),FALSE)</f>
        <v>1.4300000000000001E-4</v>
      </c>
      <c r="H120" s="31">
        <f>VLOOKUP($B120,'Tillförd energi'!$B$1:$AI$720,MATCH(H$1,'Tillförd energi'!$B$1:$AQ$1,0),FALSE)</f>
        <v>0</v>
      </c>
      <c r="I120" s="31">
        <f>VLOOKUP($B120,'Tillförd energi'!$B$1:$AI$720,MATCH(I$1,'Tillförd energi'!$B$1:$AQ$1,0),FALSE)</f>
        <v>0</v>
      </c>
      <c r="J120" s="31">
        <f>VLOOKUP($B120,'Tillförd energi'!$B$1:$AI$720,MATCH(J$1,'Tillförd energi'!$B$1:$AQ$1,0),FALSE)</f>
        <v>0</v>
      </c>
      <c r="K120" s="31">
        <f>VLOOKUP($B120,'Tillförd energi'!$B$1:$AI$720,MATCH(K$1,'Tillförd energi'!$B$1:$AQ$1,0),FALSE)</f>
        <v>0</v>
      </c>
      <c r="L120" s="31">
        <f>VLOOKUP($B120,'Tillförd energi'!$B$1:$AI$720,MATCH(L$1,'Tillförd energi'!$B$1:$AQ$1,0),FALSE)</f>
        <v>0</v>
      </c>
      <c r="M120" s="31">
        <f>VLOOKUP($B120,'Tillförd energi'!$B$1:$AI$720,MATCH(M$1,'Tillförd energi'!$B$1:$AQ$1,0),FALSE)</f>
        <v>0</v>
      </c>
      <c r="N120" s="31">
        <f>VLOOKUP($B120,'Tillförd energi'!$B$1:$AI$720,MATCH(N$1,'Tillförd energi'!$B$1:$AQ$1,0),FALSE)</f>
        <v>0</v>
      </c>
      <c r="O120" s="31">
        <f>VLOOKUP($B120,'Tillförd energi'!$B$1:$AI$720,MATCH(O$1,'Tillförd energi'!$B$1:$AQ$1,0),FALSE)</f>
        <v>0</v>
      </c>
      <c r="P120" s="31">
        <f>VLOOKUP($B120,'Tillförd energi'!$B$1:$AI$720,MATCH(P$1,'Tillförd energi'!$B$1:$AQ$1,0),FALSE)</f>
        <v>0</v>
      </c>
      <c r="Q120" s="31">
        <f>VLOOKUP($B120,'Tillförd energi'!$B$1:$AI$720,MATCH(Q$1,'Tillförd energi'!$B$1:$AQ$1,0),FALSE)</f>
        <v>0</v>
      </c>
      <c r="R120" s="31">
        <f>VLOOKUP($B120,'Tillförd energi'!$B$1:$AI$720,MATCH(R$1,'Tillförd energi'!$B$1:$AQ$1,0),FALSE)</f>
        <v>0</v>
      </c>
      <c r="S120" s="31">
        <f>VLOOKUP($B120,'Tillförd energi'!$B$1:$AI$720,MATCH(S$1,'Tillförd energi'!$B$1:$AQ$1,0),FALSE)</f>
        <v>0</v>
      </c>
      <c r="T120" s="31">
        <f>VLOOKUP($B120,'Tillförd energi'!$B$1:$AI$720,MATCH(T$1,'Tillförd energi'!$B$1:$AQ$1,0),FALSE)</f>
        <v>0</v>
      </c>
      <c r="U120" s="31">
        <f>VLOOKUP($B120,'Tillförd energi'!$B$1:$AI$720,MATCH(U$1,'Tillförd energi'!$B$1:$AQ$1,0),FALSE)</f>
        <v>0</v>
      </c>
      <c r="V120" s="31">
        <f>VLOOKUP($B120,'Tillförd energi'!$B$1:$AI$720,MATCH(V$1,'Tillförd energi'!$B$1:$AQ$1,0),FALSE)</f>
        <v>0</v>
      </c>
      <c r="W120" s="31">
        <f>VLOOKUP($B120,'Tillförd energi'!$B$1:$AI$720,MATCH(W$1,'Tillförd energi'!$B$1:$AQ$1,0),FALSE)</f>
        <v>10.548999999999999</v>
      </c>
      <c r="X120" s="31">
        <f>VLOOKUP($B120,'Tillförd energi'!$B$1:$AI$720,MATCH(X$1,'Tillförd energi'!$B$1:$AQ$1,0),FALSE)</f>
        <v>0</v>
      </c>
      <c r="Y120" s="31">
        <f>VLOOKUP($B120,'Tillförd energi'!$B$1:$AI$720,MATCH(Y$1,'Tillförd energi'!$B$1:$AQ$1,0),FALSE)</f>
        <v>0</v>
      </c>
      <c r="Z120" s="31">
        <f>VLOOKUP($B120,'Tillförd energi'!$B$1:$AI$720,MATCH(Z$1,'Tillförd energi'!$B$1:$AQ$1,0),FALSE)</f>
        <v>0</v>
      </c>
      <c r="AA120" s="31">
        <f>VLOOKUP($B120,'Tillförd energi'!$B$1:$AI$720,MATCH(AA$1,'Tillförd energi'!$B$1:$AQ$1,0),FALSE)</f>
        <v>0</v>
      </c>
      <c r="AB120" s="31">
        <f>VLOOKUP($B120,'Tillförd energi'!$B$1:$AI$720,MATCH(AB$1,'Tillförd energi'!$B$1:$AQ$1,0),FALSE)</f>
        <v>0</v>
      </c>
      <c r="AC120" s="31">
        <f>VLOOKUP($B120,'Tillförd energi'!$B$1:$AI$720,MATCH(AC$1,'Tillförd energi'!$B$1:$AQ$1,0),FALSE)</f>
        <v>0</v>
      </c>
      <c r="AD120" s="31">
        <f>VLOOKUP($B120,'Tillförd energi'!$B$1:$AI$720,MATCH(AD$1,'Tillförd energi'!$B$1:$AQ$1,0),FALSE)</f>
        <v>38.523000000000003</v>
      </c>
      <c r="AE120" s="31">
        <f>VLOOKUP($B120,'Tillförd energi'!$B$1:$AI$720,MATCH(AE$1,'Tillförd energi'!$B$1:$AQ$1,0),FALSE)</f>
        <v>0</v>
      </c>
      <c r="AF120" s="31">
        <f>VLOOKUP($B120,'Tillförd energi'!$B$1:$AI$720,MATCH(AF$1,'Tillförd energi'!$B$1:$AQ$1,0),FALSE)</f>
        <v>0.36528100000000002</v>
      </c>
      <c r="AG120" s="31">
        <f>IFERROR(VLOOKUP(B120,Miljö!$B$1:$AC$550,MATCH("Köpt mängd produktionsspecifik fjärrvärme:",Miljö!$B$1:$AC$1,0),FALSE)/1,0)</f>
        <v>0</v>
      </c>
      <c r="AI120" s="31">
        <f t="shared" si="23"/>
        <v>49.437424000000007</v>
      </c>
      <c r="AJ120" s="31">
        <f t="shared" si="24"/>
        <v>49.437424000000007</v>
      </c>
      <c r="AK120" s="31">
        <f>IF(ISERROR(1/VLOOKUP($B120,Leveranser!$B$1:$S$499,MATCH("Såld värme (GWh)",Leveranser!$B$1:$S$1,0),FALSE)),"",VLOOKUP($B120,Leveranser!$B$1:$S$499,MATCH("Såld värme (GWh)",Leveranser!$B$1:$S$1,0),FALSE))</f>
        <v>41.533999999999999</v>
      </c>
      <c r="AL120" s="31">
        <f>VLOOKUP($B120,Leveranser!$B$1:$Y$499,MATCH("Totalt såld fjärrvärme till andra fjärrvärmeföretag",Leveranser!$B$1:$AA$1,0),FALSE)</f>
        <v>0</v>
      </c>
      <c r="AM120" s="31">
        <f>IF(ISERROR(1/VLOOKUP($B120,Miljö!$B$1:$S$500,MATCH("Såld mängd produktionsspecifik fjärrvärme (GWh)",Miljö!$B$1:$R$1,0),FALSE)),0,VLOOKUP($B120,Miljö!$B$1:$S$500,MATCH("Såld mängd produktionsspecifik fjärrvärme (GWh)",Miljö!$B$1:$R$1,0),FALSE))</f>
        <v>0</v>
      </c>
      <c r="AN120" s="32">
        <f t="shared" si="25"/>
        <v>0.84013277067186987</v>
      </c>
      <c r="AP120" s="31" t="str">
        <f>IFERROR(VLOOKUP($B120,Miljövärden!$B$2:$H$550,7,FALSE),"Nej, saknas")</f>
        <v>Ja</v>
      </c>
      <c r="AQ120" s="31" t="str">
        <f>IFERROR(VLOOKUP($B120,Miljövärden!$B$2:$H$551,6,FALSE),"Nej, saknas")</f>
        <v>Ja</v>
      </c>
      <c r="AU120" s="31">
        <f t="shared" si="26"/>
        <v>0.36528100000000002</v>
      </c>
      <c r="AV120" s="31">
        <f t="shared" si="27"/>
        <v>0</v>
      </c>
      <c r="AW120" s="31">
        <f t="shared" si="28"/>
        <v>0</v>
      </c>
      <c r="AX120" s="31">
        <f t="shared" si="29"/>
        <v>0</v>
      </c>
      <c r="AZ120" s="31">
        <f t="shared" si="30"/>
        <v>10.548999999999999</v>
      </c>
      <c r="BC120" s="31">
        <f t="shared" si="31"/>
        <v>1.4300000000000001E-4</v>
      </c>
      <c r="BD120" s="31">
        <f t="shared" si="32"/>
        <v>0</v>
      </c>
      <c r="BE120" s="31">
        <f t="shared" si="33"/>
        <v>10.548999999999999</v>
      </c>
      <c r="BF120" s="31">
        <f t="shared" si="34"/>
        <v>38.523000000000003</v>
      </c>
      <c r="BG120" s="31">
        <f t="shared" si="35"/>
        <v>0.36528100000000002</v>
      </c>
      <c r="BH120" s="31">
        <f>VLOOKUP(B120,Miljö!$B$1:$BX$482,MATCH("Fossilandel för ursprungspecificerad el ()",Miljö!$B$1:$I$1,0),FALSE)</f>
        <v>0</v>
      </c>
      <c r="BI120" s="31">
        <f>VLOOKUP(B120,Miljö!$B$1:$BX$482,MATCH("Kärnkraftsandel för ursprungsspecificerad el ()",Miljö!$B$1:$O$1,0),FALSE)</f>
        <v>0</v>
      </c>
      <c r="BJ120" s="31">
        <f t="shared" si="36"/>
        <v>0</v>
      </c>
      <c r="BK120" s="31" t="str">
        <f>VLOOKUP(B120,Miljö!$B$1:$P$482,MATCH("Fossil andel i procent (%)",Miljö!$B$1:$P$1,0),FALSE)</f>
        <v>ET</v>
      </c>
      <c r="BL120" s="31">
        <f t="shared" si="37"/>
        <v>49.437424000000007</v>
      </c>
      <c r="BO120" s="32">
        <f t="shared" si="38"/>
        <v>2.8925455339258775E-6</v>
      </c>
      <c r="BP120" s="32">
        <f t="shared" si="39"/>
        <v>0</v>
      </c>
      <c r="BQ120" s="32">
        <f t="shared" si="40"/>
        <v>0.22076961372421017</v>
      </c>
      <c r="BR120" s="32">
        <f t="shared" si="41"/>
        <v>0.77922749373025579</v>
      </c>
      <c r="BT120" s="62">
        <f t="shared" si="42"/>
        <v>0.99999999999999989</v>
      </c>
      <c r="BW120" s="32">
        <f>IF(AP120="Ja",VLOOKUP(B120,Miljövärden!$B$2:$H$551,MATCH("Total andel fossilt",Miljövärden!$B$2:$H$2,0),FALSE),"")</f>
        <v>2.8925499999999999E-6</v>
      </c>
      <c r="BX120" s="62">
        <f t="shared" si="43"/>
        <v>4.4660741224776675E-12</v>
      </c>
      <c r="BZ120" s="31">
        <f t="shared" si="44"/>
        <v>4.4660741224776675E-12</v>
      </c>
      <c r="CA120" s="32">
        <f t="shared" si="45"/>
        <v>0</v>
      </c>
    </row>
    <row r="121" spans="1:79" x14ac:dyDescent="0.45">
      <c r="A121" s="31" t="s">
        <v>526</v>
      </c>
      <c r="B121" s="31" t="s">
        <v>525</v>
      </c>
      <c r="C121" s="31">
        <f>VLOOKUP($B121,'Tillförd energi'!$B$1:$AI$720,MATCH(C$1,'Tillförd energi'!$B$1:$AQ$1,0),FALSE)</f>
        <v>0</v>
      </c>
      <c r="D121" s="31">
        <f>VLOOKUP($B121,'Tillförd energi'!$B$1:$AI$720,MATCH(D$1,'Tillförd energi'!$B$1:$AQ$1,0),FALSE)</f>
        <v>0.57999999999999996</v>
      </c>
      <c r="E121" s="31">
        <f>VLOOKUP($B121,'Tillförd energi'!$B$1:$AI$720,MATCH(E$1,'Tillförd energi'!$B$1:$AQ$1,0),FALSE)</f>
        <v>0</v>
      </c>
      <c r="F121" s="31">
        <f>VLOOKUP($B121,'Tillförd energi'!$B$1:$AI$720,MATCH(F$1,'Tillförd energi'!$B$1:$AQ$1,0),FALSE)</f>
        <v>0</v>
      </c>
      <c r="G121" s="31">
        <f>VLOOKUP($B121,'Tillförd energi'!$B$1:$AI$720,MATCH(G$1,'Tillförd energi'!$B$1:$AQ$1,0),FALSE)</f>
        <v>0</v>
      </c>
      <c r="H121" s="31">
        <f>VLOOKUP($B121,'Tillförd energi'!$B$1:$AI$720,MATCH(H$1,'Tillförd energi'!$B$1:$AQ$1,0),FALSE)</f>
        <v>0</v>
      </c>
      <c r="I121" s="31">
        <f>VLOOKUP($B121,'Tillförd energi'!$B$1:$AI$720,MATCH(I$1,'Tillförd energi'!$B$1:$AQ$1,0),FALSE)</f>
        <v>0</v>
      </c>
      <c r="J121" s="31">
        <f>VLOOKUP($B121,'Tillförd energi'!$B$1:$AI$720,MATCH(J$1,'Tillförd energi'!$B$1:$AQ$1,0),FALSE)</f>
        <v>0</v>
      </c>
      <c r="K121" s="31">
        <f>VLOOKUP($B121,'Tillförd energi'!$B$1:$AI$720,MATCH(K$1,'Tillförd energi'!$B$1:$AQ$1,0),FALSE)</f>
        <v>0</v>
      </c>
      <c r="L121" s="31">
        <f>VLOOKUP($B121,'Tillförd energi'!$B$1:$AI$720,MATCH(L$1,'Tillförd energi'!$B$1:$AQ$1,0),FALSE)</f>
        <v>0</v>
      </c>
      <c r="M121" s="31">
        <f>VLOOKUP($B121,'Tillförd energi'!$B$1:$AI$720,MATCH(M$1,'Tillförd energi'!$B$1:$AQ$1,0),FALSE)</f>
        <v>0.8</v>
      </c>
      <c r="N121" s="31">
        <f>VLOOKUP($B121,'Tillförd energi'!$B$1:$AI$720,MATCH(N$1,'Tillförd energi'!$B$1:$AQ$1,0),FALSE)</f>
        <v>0</v>
      </c>
      <c r="O121" s="31">
        <f>VLOOKUP($B121,'Tillförd energi'!$B$1:$AI$720,MATCH(O$1,'Tillförd energi'!$B$1:$AQ$1,0),FALSE)</f>
        <v>0</v>
      </c>
      <c r="P121" s="31">
        <f>VLOOKUP($B121,'Tillförd energi'!$B$1:$AI$720,MATCH(P$1,'Tillförd energi'!$B$1:$AQ$1,0),FALSE)</f>
        <v>38.58</v>
      </c>
      <c r="Q121" s="31">
        <f>VLOOKUP($B121,'Tillförd energi'!$B$1:$AI$720,MATCH(Q$1,'Tillförd energi'!$B$1:$AQ$1,0),FALSE)</f>
        <v>0</v>
      </c>
      <c r="R121" s="31">
        <f>VLOOKUP($B121,'Tillförd energi'!$B$1:$AI$720,MATCH(R$1,'Tillförd energi'!$B$1:$AQ$1,0),FALSE)</f>
        <v>5.6660000000000004</v>
      </c>
      <c r="S121" s="31">
        <f>VLOOKUP($B121,'Tillförd energi'!$B$1:$AI$720,MATCH(S$1,'Tillförd energi'!$B$1:$AQ$1,0),FALSE)</f>
        <v>0</v>
      </c>
      <c r="T121" s="31">
        <f>VLOOKUP($B121,'Tillförd energi'!$B$1:$AI$720,MATCH(T$1,'Tillförd energi'!$B$1:$AQ$1,0),FALSE)</f>
        <v>0</v>
      </c>
      <c r="U121" s="31">
        <f>VLOOKUP($B121,'Tillförd energi'!$B$1:$AI$720,MATCH(U$1,'Tillförd energi'!$B$1:$AQ$1,0),FALSE)</f>
        <v>1.6654800000000001</v>
      </c>
      <c r="V121" s="31">
        <f>VLOOKUP($B121,'Tillförd energi'!$B$1:$AI$720,MATCH(V$1,'Tillförd energi'!$B$1:$AQ$1,0),FALSE)</f>
        <v>0</v>
      </c>
      <c r="W121" s="31">
        <f>VLOOKUP($B121,'Tillförd energi'!$B$1:$AI$720,MATCH(W$1,'Tillförd energi'!$B$1:$AQ$1,0),FALSE)</f>
        <v>0</v>
      </c>
      <c r="X121" s="31">
        <f>VLOOKUP($B121,'Tillförd energi'!$B$1:$AI$720,MATCH(X$1,'Tillförd energi'!$B$1:$AQ$1,0),FALSE)</f>
        <v>0</v>
      </c>
      <c r="Y121" s="31">
        <f>VLOOKUP($B121,'Tillförd energi'!$B$1:$AI$720,MATCH(Y$1,'Tillförd energi'!$B$1:$AQ$1,0),FALSE)</f>
        <v>0</v>
      </c>
      <c r="Z121" s="31">
        <f>VLOOKUP($B121,'Tillförd energi'!$B$1:$AI$720,MATCH(Z$1,'Tillförd energi'!$B$1:$AQ$1,0),FALSE)</f>
        <v>0</v>
      </c>
      <c r="AA121" s="31">
        <f>VLOOKUP($B121,'Tillförd energi'!$B$1:$AI$720,MATCH(AA$1,'Tillförd energi'!$B$1:$AQ$1,0),FALSE)</f>
        <v>0</v>
      </c>
      <c r="AB121" s="31">
        <f>VLOOKUP($B121,'Tillförd energi'!$B$1:$AI$720,MATCH(AB$1,'Tillförd energi'!$B$1:$AQ$1,0),FALSE)</f>
        <v>0</v>
      </c>
      <c r="AC121" s="31">
        <f>VLOOKUP($B121,'Tillförd energi'!$B$1:$AI$720,MATCH(AC$1,'Tillförd energi'!$B$1:$AQ$1,0),FALSE)</f>
        <v>0</v>
      </c>
      <c r="AD121" s="31">
        <f>VLOOKUP($B121,'Tillförd energi'!$B$1:$AI$720,MATCH(AD$1,'Tillförd energi'!$B$1:$AQ$1,0),FALSE)</f>
        <v>0</v>
      </c>
      <c r="AE121" s="31">
        <f>VLOOKUP($B121,'Tillförd energi'!$B$1:$AI$720,MATCH(AE$1,'Tillförd energi'!$B$1:$AQ$1,0),FALSE)</f>
        <v>0</v>
      </c>
      <c r="AF121" s="31">
        <f>VLOOKUP($B121,'Tillförd energi'!$B$1:$AI$720,MATCH(AF$1,'Tillförd energi'!$B$1:$AQ$1,0),FALSE)</f>
        <v>1.3</v>
      </c>
      <c r="AG121" s="31">
        <f>IFERROR(VLOOKUP(B121,Miljö!$B$1:$AC$550,MATCH("Köpt mängd produktionsspecifik fjärrvärme:",Miljö!$B$1:$AC$1,0),FALSE)/1,0)</f>
        <v>0</v>
      </c>
      <c r="AI121" s="31">
        <f t="shared" si="23"/>
        <v>48.591480000000004</v>
      </c>
      <c r="AJ121" s="31">
        <f t="shared" si="24"/>
        <v>48.591480000000004</v>
      </c>
      <c r="AK121" s="31">
        <f>IF(ISERROR(1/VLOOKUP($B121,Leveranser!$B$1:$S$499,MATCH("Såld värme (GWh)",Leveranser!$B$1:$S$1,0),FALSE)),"",VLOOKUP($B121,Leveranser!$B$1:$S$499,MATCH("Såld värme (GWh)",Leveranser!$B$1:$S$1,0),FALSE))</f>
        <v>36.75</v>
      </c>
      <c r="AL121" s="31">
        <f>VLOOKUP($B121,Leveranser!$B$1:$Y$499,MATCH("Totalt såld fjärrvärme till andra fjärrvärmeföretag",Leveranser!$B$1:$AA$1,0),FALSE)</f>
        <v>0</v>
      </c>
      <c r="AM121" s="31">
        <f>IF(ISERROR(1/VLOOKUP($B121,Miljö!$B$1:$S$500,MATCH("Såld mängd produktionsspecifik fjärrvärme (GWh)",Miljö!$B$1:$R$1,0),FALSE)),0,VLOOKUP($B121,Miljö!$B$1:$S$500,MATCH("Såld mängd produktionsspecifik fjärrvärme (GWh)",Miljö!$B$1:$R$1,0),FALSE))</f>
        <v>0</v>
      </c>
      <c r="AN121" s="32">
        <f t="shared" si="25"/>
        <v>0.7563054263833906</v>
      </c>
      <c r="AP121" s="31" t="str">
        <f>IFERROR(VLOOKUP($B121,Miljövärden!$B$2:$H$550,7,FALSE),"Nej, saknas")</f>
        <v>Ja</v>
      </c>
      <c r="AQ121" s="31" t="str">
        <f>IFERROR(VLOOKUP($B121,Miljövärden!$B$2:$H$551,6,FALSE),"Nej, saknas")</f>
        <v>Nej</v>
      </c>
      <c r="AU121" s="31">
        <f t="shared" si="26"/>
        <v>1.3</v>
      </c>
      <c r="AV121" s="31">
        <f t="shared" si="27"/>
        <v>0</v>
      </c>
      <c r="AW121" s="31">
        <f t="shared" si="28"/>
        <v>39.379999999999995</v>
      </c>
      <c r="AX121" s="31">
        <f t="shared" si="29"/>
        <v>7.3314800000000009</v>
      </c>
      <c r="AZ121" s="31">
        <f t="shared" si="30"/>
        <v>46.711479999999995</v>
      </c>
      <c r="BC121" s="31">
        <f t="shared" si="31"/>
        <v>0.57999999999999996</v>
      </c>
      <c r="BD121" s="31">
        <f t="shared" si="32"/>
        <v>0</v>
      </c>
      <c r="BE121" s="31">
        <f t="shared" si="33"/>
        <v>46.711479999999995</v>
      </c>
      <c r="BF121" s="31">
        <f t="shared" si="34"/>
        <v>0</v>
      </c>
      <c r="BG121" s="31">
        <f t="shared" si="35"/>
        <v>1.3</v>
      </c>
      <c r="BH121" s="31">
        <f>VLOOKUP(B121,Miljö!$B$1:$BX$482,MATCH("Fossilandel för ursprungspecificerad el ()",Miljö!$B$1:$I$1,0),FALSE)</f>
        <v>0</v>
      </c>
      <c r="BI121" s="31">
        <f>VLOOKUP(B121,Miljö!$B$1:$BX$482,MATCH("Kärnkraftsandel för ursprungsspecificerad el ()",Miljö!$B$1:$O$1,0),FALSE)</f>
        <v>0</v>
      </c>
      <c r="BJ121" s="31">
        <f t="shared" si="36"/>
        <v>0</v>
      </c>
      <c r="BK121" s="31" t="str">
        <f>VLOOKUP(B121,Miljö!$B$1:$P$482,MATCH("Fossil andel i procent (%)",Miljö!$B$1:$P$1,0),FALSE)</f>
        <v>ET</v>
      </c>
      <c r="BL121" s="31">
        <f t="shared" si="37"/>
        <v>48.59147999999999</v>
      </c>
      <c r="BO121" s="32">
        <f t="shared" si="38"/>
        <v>1.1936248906186848E-2</v>
      </c>
      <c r="BP121" s="32">
        <f t="shared" si="39"/>
        <v>0</v>
      </c>
      <c r="BQ121" s="32">
        <f t="shared" si="40"/>
        <v>0.98806375109381317</v>
      </c>
      <c r="BR121" s="32">
        <f t="shared" si="41"/>
        <v>0</v>
      </c>
      <c r="BT121" s="62">
        <f t="shared" si="42"/>
        <v>1</v>
      </c>
      <c r="BW121" s="32">
        <f>IF(AP121="Ja",VLOOKUP(B121,Miljövärden!$B$2:$H$551,MATCH("Total andel fossilt",Miljövärden!$B$2:$H$2,0),FALSE),"")</f>
        <v>1.1936199999999999E-2</v>
      </c>
      <c r="BX121" s="62">
        <f t="shared" si="43"/>
        <v>-4.890618684853798E-8</v>
      </c>
      <c r="BZ121" s="31">
        <f t="shared" si="44"/>
        <v>-4.890618684853798E-8</v>
      </c>
      <c r="CA121" s="32">
        <f t="shared" si="45"/>
        <v>0</v>
      </c>
    </row>
    <row r="122" spans="1:79" hidden="1" x14ac:dyDescent="0.45">
      <c r="A122" s="31" t="s">
        <v>520</v>
      </c>
      <c r="B122" s="31" t="s">
        <v>524</v>
      </c>
      <c r="C122" s="31">
        <f>VLOOKUP($B122,'Tillförd energi'!$B$1:$AI$720,MATCH(C$1,'Tillförd energi'!$B$1:$AQ$1,0),FALSE)</f>
        <v>0</v>
      </c>
      <c r="D122" s="31">
        <f>VLOOKUP($B122,'Tillförd energi'!$B$1:$AI$720,MATCH(D$1,'Tillförd energi'!$B$1:$AQ$1,0),FALSE)</f>
        <v>0</v>
      </c>
      <c r="E122" s="31">
        <f>VLOOKUP($B122,'Tillförd energi'!$B$1:$AI$720,MATCH(E$1,'Tillförd energi'!$B$1:$AQ$1,0),FALSE)</f>
        <v>0</v>
      </c>
      <c r="F122" s="31">
        <f>VLOOKUP($B122,'Tillförd energi'!$B$1:$AI$720,MATCH(F$1,'Tillförd energi'!$B$1:$AQ$1,0),FALSE)</f>
        <v>0</v>
      </c>
      <c r="G122" s="31">
        <f>VLOOKUP($B122,'Tillförd energi'!$B$1:$AI$720,MATCH(G$1,'Tillförd energi'!$B$1:$AQ$1,0),FALSE)</f>
        <v>0</v>
      </c>
      <c r="H122" s="31">
        <f>VLOOKUP($B122,'Tillförd energi'!$B$1:$AI$720,MATCH(H$1,'Tillförd energi'!$B$1:$AQ$1,0),FALSE)</f>
        <v>0</v>
      </c>
      <c r="I122" s="31">
        <f>VLOOKUP($B122,'Tillförd energi'!$B$1:$AI$720,MATCH(I$1,'Tillförd energi'!$B$1:$AQ$1,0),FALSE)</f>
        <v>0</v>
      </c>
      <c r="J122" s="31">
        <f>VLOOKUP($B122,'Tillförd energi'!$B$1:$AI$720,MATCH(J$1,'Tillförd energi'!$B$1:$AQ$1,0),FALSE)</f>
        <v>0</v>
      </c>
      <c r="K122" s="31">
        <f>VLOOKUP($B122,'Tillförd energi'!$B$1:$AI$720,MATCH(K$1,'Tillförd energi'!$B$1:$AQ$1,0),FALSE)</f>
        <v>0</v>
      </c>
      <c r="L122" s="31">
        <f>VLOOKUP($B122,'Tillförd energi'!$B$1:$AI$720,MATCH(L$1,'Tillförd energi'!$B$1:$AQ$1,0),FALSE)</f>
        <v>0</v>
      </c>
      <c r="M122" s="31">
        <f>VLOOKUP($B122,'Tillförd energi'!$B$1:$AI$720,MATCH(M$1,'Tillförd energi'!$B$1:$AQ$1,0),FALSE)</f>
        <v>0</v>
      </c>
      <c r="N122" s="31">
        <f>VLOOKUP($B122,'Tillförd energi'!$B$1:$AI$720,MATCH(N$1,'Tillförd energi'!$B$1:$AQ$1,0),FALSE)</f>
        <v>0</v>
      </c>
      <c r="O122" s="31">
        <f>VLOOKUP($B122,'Tillförd energi'!$B$1:$AI$720,MATCH(O$1,'Tillförd energi'!$B$1:$AQ$1,0),FALSE)</f>
        <v>0</v>
      </c>
      <c r="P122" s="31">
        <f>VLOOKUP($B122,'Tillförd energi'!$B$1:$AI$720,MATCH(P$1,'Tillförd energi'!$B$1:$AQ$1,0),FALSE)</f>
        <v>0</v>
      </c>
      <c r="Q122" s="31">
        <f>VLOOKUP($B122,'Tillförd energi'!$B$1:$AI$720,MATCH(Q$1,'Tillförd energi'!$B$1:$AQ$1,0),FALSE)</f>
        <v>0</v>
      </c>
      <c r="R122" s="31">
        <f>VLOOKUP($B122,'Tillförd energi'!$B$1:$AI$720,MATCH(R$1,'Tillförd energi'!$B$1:$AQ$1,0),FALSE)</f>
        <v>0</v>
      </c>
      <c r="S122" s="31">
        <f>VLOOKUP($B122,'Tillförd energi'!$B$1:$AI$720,MATCH(S$1,'Tillförd energi'!$B$1:$AQ$1,0),FALSE)</f>
        <v>0</v>
      </c>
      <c r="T122" s="31">
        <f>VLOOKUP($B122,'Tillförd energi'!$B$1:$AI$720,MATCH(T$1,'Tillförd energi'!$B$1:$AQ$1,0),FALSE)</f>
        <v>0</v>
      </c>
      <c r="U122" s="31">
        <f>VLOOKUP($B122,'Tillförd energi'!$B$1:$AI$720,MATCH(U$1,'Tillförd energi'!$B$1:$AQ$1,0),FALSE)</f>
        <v>0</v>
      </c>
      <c r="V122" s="31">
        <f>VLOOKUP($B122,'Tillförd energi'!$B$1:$AI$720,MATCH(V$1,'Tillförd energi'!$B$1:$AQ$1,0),FALSE)</f>
        <v>0</v>
      </c>
      <c r="W122" s="31">
        <f>VLOOKUP($B122,'Tillförd energi'!$B$1:$AI$720,MATCH(W$1,'Tillförd energi'!$B$1:$AQ$1,0),FALSE)</f>
        <v>0</v>
      </c>
      <c r="X122" s="31">
        <f>VLOOKUP($B122,'Tillförd energi'!$B$1:$AI$720,MATCH(X$1,'Tillförd energi'!$B$1:$AQ$1,0),FALSE)</f>
        <v>0</v>
      </c>
      <c r="Y122" s="31">
        <f>VLOOKUP($B122,'Tillförd energi'!$B$1:$AI$720,MATCH(Y$1,'Tillförd energi'!$B$1:$AQ$1,0),FALSE)</f>
        <v>0</v>
      </c>
      <c r="Z122" s="31">
        <f>VLOOKUP($B122,'Tillförd energi'!$B$1:$AI$720,MATCH(Z$1,'Tillförd energi'!$B$1:$AQ$1,0),FALSE)</f>
        <v>0</v>
      </c>
      <c r="AA122" s="31">
        <f>VLOOKUP($B122,'Tillförd energi'!$B$1:$AI$720,MATCH(AA$1,'Tillförd energi'!$B$1:$AQ$1,0),FALSE)</f>
        <v>0</v>
      </c>
      <c r="AB122" s="31">
        <f>VLOOKUP($B122,'Tillförd energi'!$B$1:$AI$720,MATCH(AB$1,'Tillförd energi'!$B$1:$AQ$1,0),FALSE)</f>
        <v>0</v>
      </c>
      <c r="AC122" s="31">
        <f>VLOOKUP($B122,'Tillförd energi'!$B$1:$AI$720,MATCH(AC$1,'Tillförd energi'!$B$1:$AQ$1,0),FALSE)</f>
        <v>0</v>
      </c>
      <c r="AD122" s="31">
        <f>VLOOKUP($B122,'Tillförd energi'!$B$1:$AI$720,MATCH(AD$1,'Tillförd energi'!$B$1:$AQ$1,0),FALSE)</f>
        <v>0</v>
      </c>
      <c r="AE122" s="31">
        <f>VLOOKUP($B122,'Tillförd energi'!$B$1:$AI$720,MATCH(AE$1,'Tillförd energi'!$B$1:$AQ$1,0),FALSE)</f>
        <v>0</v>
      </c>
      <c r="AF122" s="31">
        <f>VLOOKUP($B122,'Tillförd energi'!$B$1:$AI$720,MATCH(AF$1,'Tillförd energi'!$B$1:$AQ$1,0),FALSE)</f>
        <v>0</v>
      </c>
      <c r="AG122" s="31">
        <f>IFERROR(VLOOKUP(B122,Miljö!$B$1:$AC$550,MATCH("Köpt mängd produktionsspecifik fjärrvärme:",Miljö!$B$1:$AC$1,0),FALSE)/1,0)</f>
        <v>0</v>
      </c>
      <c r="AI122" s="31">
        <f t="shared" si="23"/>
        <v>0</v>
      </c>
      <c r="AJ122" s="31">
        <f t="shared" si="24"/>
        <v>0</v>
      </c>
      <c r="AK122" s="31" t="str">
        <f>IF(ISERROR(1/VLOOKUP($B122,Leveranser!$B$1:$S$499,MATCH("Såld värme (GWh)",Leveranser!$B$1:$S$1,0),FALSE)),"",VLOOKUP($B122,Leveranser!$B$1:$S$499,MATCH("Såld värme (GWh)",Leveranser!$B$1:$S$1,0),FALSE))</f>
        <v/>
      </c>
      <c r="AL122" s="31">
        <f>VLOOKUP($B122,Leveranser!$B$1:$Y$499,MATCH("Totalt såld fjärrvärme till andra fjärrvärmeföretag",Leveranser!$B$1:$AA$1,0),FALSE)</f>
        <v>0</v>
      </c>
      <c r="AM122" s="31">
        <f>IF(ISERROR(1/VLOOKUP($B122,Miljö!$B$1:$S$500,MATCH("Såld mängd produktionsspecifik fjärrvärme (GWh)",Miljö!$B$1:$R$1,0),FALSE)),0,VLOOKUP($B122,Miljö!$B$1:$S$500,MATCH("Såld mängd produktionsspecifik fjärrvärme (GWh)",Miljö!$B$1:$R$1,0),FALSE))</f>
        <v>0</v>
      </c>
      <c r="AN122" s="32" t="str">
        <f t="shared" si="25"/>
        <v/>
      </c>
      <c r="AP122" s="31" t="str">
        <f>IFERROR(VLOOKUP($B122,Miljövärden!$B$2:$H$550,7,FALSE),"Nej, saknas")</f>
        <v>Nej</v>
      </c>
      <c r="AQ122" s="31" t="str">
        <f>IFERROR(VLOOKUP($B122,Miljövärden!$B$2:$H$551,6,FALSE),"Nej, saknas")</f>
        <v>Nej</v>
      </c>
      <c r="AU122" s="31">
        <f t="shared" si="26"/>
        <v>0</v>
      </c>
      <c r="AV122" s="31">
        <f t="shared" si="27"/>
        <v>0</v>
      </c>
      <c r="AW122" s="31">
        <f t="shared" si="28"/>
        <v>0</v>
      </c>
      <c r="AX122" s="31">
        <f t="shared" si="29"/>
        <v>0</v>
      </c>
      <c r="AZ122" s="31">
        <f t="shared" si="30"/>
        <v>0</v>
      </c>
      <c r="BC122" s="31">
        <f t="shared" si="31"/>
        <v>0</v>
      </c>
      <c r="BD122" s="31">
        <f t="shared" si="32"/>
        <v>0</v>
      </c>
      <c r="BE122" s="31">
        <f t="shared" si="33"/>
        <v>0</v>
      </c>
      <c r="BF122" s="31">
        <f t="shared" si="34"/>
        <v>0</v>
      </c>
      <c r="BG122" s="31">
        <f t="shared" si="35"/>
        <v>0</v>
      </c>
      <c r="BH122" s="31">
        <f>VLOOKUP(B122,Miljö!$B$1:$BX$482,MATCH("Fossilandel för ursprungspecificerad el ()",Miljö!$B$1:$I$1,0),FALSE)</f>
        <v>0</v>
      </c>
      <c r="BI122" s="31">
        <f>VLOOKUP(B122,Miljö!$B$1:$BX$482,MATCH("Kärnkraftsandel för ursprungsspecificerad el ()",Miljö!$B$1:$O$1,0),FALSE)</f>
        <v>0</v>
      </c>
      <c r="BJ122" s="31">
        <f t="shared" si="36"/>
        <v>0</v>
      </c>
      <c r="BK122" s="31" t="str">
        <f>VLOOKUP(B122,Miljö!$B$1:$P$482,MATCH("Fossil andel i procent (%)",Miljö!$B$1:$P$1,0),FALSE)</f>
        <v>ET</v>
      </c>
      <c r="BL122" s="31">
        <f t="shared" si="37"/>
        <v>0</v>
      </c>
      <c r="BO122" s="32" t="str">
        <f t="shared" si="38"/>
        <v/>
      </c>
      <c r="BP122" s="32" t="str">
        <f t="shared" si="39"/>
        <v/>
      </c>
      <c r="BQ122" s="32" t="str">
        <f t="shared" si="40"/>
        <v/>
      </c>
      <c r="BR122" s="32" t="str">
        <f t="shared" si="41"/>
        <v/>
      </c>
      <c r="BT122" s="62">
        <f t="shared" si="42"/>
        <v>0</v>
      </c>
      <c r="BW122" s="32" t="str">
        <f>IF(AP122="Ja",VLOOKUP(B122,Miljövärden!$B$2:$H$551,MATCH("Total andel fossilt",Miljövärden!$B$2:$H$2,0),FALSE),"")</f>
        <v/>
      </c>
      <c r="BX122" s="62" t="e">
        <f t="shared" si="43"/>
        <v>#VALUE!</v>
      </c>
      <c r="BZ122" s="31" t="str">
        <f t="shared" si="44"/>
        <v/>
      </c>
      <c r="CA122" s="32" t="str">
        <f t="shared" si="45"/>
        <v/>
      </c>
    </row>
    <row r="123" spans="1:79" x14ac:dyDescent="0.45">
      <c r="A123" s="31" t="s">
        <v>520</v>
      </c>
      <c r="B123" s="31" t="s">
        <v>523</v>
      </c>
      <c r="C123" s="31">
        <f>VLOOKUP($B123,'Tillförd energi'!$B$1:$AI$720,MATCH(C$1,'Tillförd energi'!$B$1:$AQ$1,0),FALSE)</f>
        <v>0</v>
      </c>
      <c r="D123" s="31">
        <f>VLOOKUP($B123,'Tillförd energi'!$B$1:$AI$720,MATCH(D$1,'Tillförd energi'!$B$1:$AQ$1,0),FALSE)</f>
        <v>0.08</v>
      </c>
      <c r="E123" s="31">
        <f>VLOOKUP($B123,'Tillförd energi'!$B$1:$AI$720,MATCH(E$1,'Tillförd energi'!$B$1:$AQ$1,0),FALSE)</f>
        <v>0</v>
      </c>
      <c r="F123" s="31">
        <f>VLOOKUP($B123,'Tillförd energi'!$B$1:$AI$720,MATCH(F$1,'Tillförd energi'!$B$1:$AQ$1,0),FALSE)</f>
        <v>0</v>
      </c>
      <c r="G123" s="31">
        <f>VLOOKUP($B123,'Tillförd energi'!$B$1:$AI$720,MATCH(G$1,'Tillförd energi'!$B$1:$AQ$1,0),FALSE)</f>
        <v>0</v>
      </c>
      <c r="H123" s="31">
        <f>VLOOKUP($B123,'Tillförd energi'!$B$1:$AI$720,MATCH(H$1,'Tillförd energi'!$B$1:$AQ$1,0),FALSE)</f>
        <v>0</v>
      </c>
      <c r="I123" s="31">
        <f>VLOOKUP($B123,'Tillförd energi'!$B$1:$AI$720,MATCH(I$1,'Tillförd energi'!$B$1:$AQ$1,0),FALSE)</f>
        <v>0</v>
      </c>
      <c r="J123" s="31">
        <f>VLOOKUP($B123,'Tillförd energi'!$B$1:$AI$720,MATCH(J$1,'Tillförd energi'!$B$1:$AQ$1,0),FALSE)</f>
        <v>0</v>
      </c>
      <c r="K123" s="31">
        <f>VLOOKUP($B123,'Tillförd energi'!$B$1:$AI$720,MATCH(K$1,'Tillförd energi'!$B$1:$AQ$1,0),FALSE)</f>
        <v>0</v>
      </c>
      <c r="L123" s="31">
        <f>VLOOKUP($B123,'Tillförd energi'!$B$1:$AI$720,MATCH(L$1,'Tillförd energi'!$B$1:$AQ$1,0),FALSE)</f>
        <v>0</v>
      </c>
      <c r="M123" s="31">
        <f>VLOOKUP($B123,'Tillförd energi'!$B$1:$AI$720,MATCH(M$1,'Tillförd energi'!$B$1:$AQ$1,0),FALSE)</f>
        <v>0</v>
      </c>
      <c r="N123" s="31">
        <f>VLOOKUP($B123,'Tillförd energi'!$B$1:$AI$720,MATCH(N$1,'Tillförd energi'!$B$1:$AQ$1,0),FALSE)</f>
        <v>0</v>
      </c>
      <c r="O123" s="31">
        <f>VLOOKUP($B123,'Tillförd energi'!$B$1:$AI$720,MATCH(O$1,'Tillförd energi'!$B$1:$AQ$1,0),FALSE)</f>
        <v>0</v>
      </c>
      <c r="P123" s="31">
        <f>VLOOKUP($B123,'Tillförd energi'!$B$1:$AI$720,MATCH(P$1,'Tillförd energi'!$B$1:$AQ$1,0),FALSE)</f>
        <v>0</v>
      </c>
      <c r="Q123" s="31">
        <f>VLOOKUP($B123,'Tillförd energi'!$B$1:$AI$720,MATCH(Q$1,'Tillförd energi'!$B$1:$AQ$1,0),FALSE)</f>
        <v>16.7059</v>
      </c>
      <c r="R123" s="31">
        <f>VLOOKUP($B123,'Tillförd energi'!$B$1:$AI$720,MATCH(R$1,'Tillförd energi'!$B$1:$AQ$1,0),FALSE)</f>
        <v>7.3</v>
      </c>
      <c r="S123" s="31">
        <f>VLOOKUP($B123,'Tillförd energi'!$B$1:$AI$720,MATCH(S$1,'Tillförd energi'!$B$1:$AQ$1,0),FALSE)</f>
        <v>0</v>
      </c>
      <c r="T123" s="31">
        <f>VLOOKUP($B123,'Tillförd energi'!$B$1:$AI$720,MATCH(T$1,'Tillförd energi'!$B$1:$AQ$1,0),FALSE)</f>
        <v>0</v>
      </c>
      <c r="U123" s="31">
        <f>VLOOKUP($B123,'Tillförd energi'!$B$1:$AI$720,MATCH(U$1,'Tillförd energi'!$B$1:$AQ$1,0),FALSE)</f>
        <v>0</v>
      </c>
      <c r="V123" s="31">
        <f>VLOOKUP($B123,'Tillförd energi'!$B$1:$AI$720,MATCH(V$1,'Tillförd energi'!$B$1:$AQ$1,0),FALSE)</f>
        <v>0</v>
      </c>
      <c r="W123" s="31">
        <f>VLOOKUP($B123,'Tillförd energi'!$B$1:$AI$720,MATCH(W$1,'Tillförd energi'!$B$1:$AQ$1,0),FALSE)</f>
        <v>0.6</v>
      </c>
      <c r="X123" s="31">
        <f>VLOOKUP($B123,'Tillförd energi'!$B$1:$AI$720,MATCH(X$1,'Tillförd energi'!$B$1:$AQ$1,0),FALSE)</f>
        <v>0</v>
      </c>
      <c r="Y123" s="31">
        <f>VLOOKUP($B123,'Tillförd energi'!$B$1:$AI$720,MATCH(Y$1,'Tillförd energi'!$B$1:$AQ$1,0),FALSE)</f>
        <v>0</v>
      </c>
      <c r="Z123" s="31">
        <f>VLOOKUP($B123,'Tillförd energi'!$B$1:$AI$720,MATCH(Z$1,'Tillförd energi'!$B$1:$AQ$1,0),FALSE)</f>
        <v>0.3</v>
      </c>
      <c r="AA123" s="31">
        <f>VLOOKUP($B123,'Tillförd energi'!$B$1:$AI$720,MATCH(AA$1,'Tillförd energi'!$B$1:$AQ$1,0),FALSE)</f>
        <v>0</v>
      </c>
      <c r="AB123" s="31">
        <f>VLOOKUP($B123,'Tillförd energi'!$B$1:$AI$720,MATCH(AB$1,'Tillförd energi'!$B$1:$AQ$1,0),FALSE)</f>
        <v>0</v>
      </c>
      <c r="AC123" s="31">
        <f>VLOOKUP($B123,'Tillförd energi'!$B$1:$AI$720,MATCH(AC$1,'Tillförd energi'!$B$1:$AQ$1,0),FALSE)</f>
        <v>0</v>
      </c>
      <c r="AD123" s="31">
        <f>VLOOKUP($B123,'Tillförd energi'!$B$1:$AI$720,MATCH(AD$1,'Tillförd energi'!$B$1:$AQ$1,0),FALSE)</f>
        <v>0</v>
      </c>
      <c r="AE123" s="31">
        <f>VLOOKUP($B123,'Tillförd energi'!$B$1:$AI$720,MATCH(AE$1,'Tillförd energi'!$B$1:$AQ$1,0),FALSE)</f>
        <v>0</v>
      </c>
      <c r="AF123" s="31">
        <f>VLOOKUP($B123,'Tillförd energi'!$B$1:$AI$720,MATCH(AF$1,'Tillförd energi'!$B$1:$AQ$1,0),FALSE)</f>
        <v>0.53985000000000005</v>
      </c>
      <c r="AG123" s="31">
        <f>IFERROR(VLOOKUP(B123,Miljö!$B$1:$AC$550,MATCH("Köpt mängd produktionsspecifik fjärrvärme:",Miljö!$B$1:$AC$1,0),FALSE)/1,0)</f>
        <v>0</v>
      </c>
      <c r="AI123" s="31">
        <f t="shared" si="23"/>
        <v>25.525750000000002</v>
      </c>
      <c r="AJ123" s="31">
        <f t="shared" si="24"/>
        <v>25.525750000000002</v>
      </c>
      <c r="AK123" s="31">
        <f>IF(ISERROR(1/VLOOKUP($B123,Leveranser!$B$1:$S$499,MATCH("Såld värme (GWh)",Leveranser!$B$1:$S$1,0),FALSE)),"",VLOOKUP($B123,Leveranser!$B$1:$S$499,MATCH("Såld värme (GWh)",Leveranser!$B$1:$S$1,0),FALSE))</f>
        <v>17.995000000000001</v>
      </c>
      <c r="AL123" s="31">
        <f>VLOOKUP($B123,Leveranser!$B$1:$Y$499,MATCH("Totalt såld fjärrvärme till andra fjärrvärmeföretag",Leveranser!$B$1:$AA$1,0),FALSE)</f>
        <v>0</v>
      </c>
      <c r="AM123" s="31">
        <f>IF(ISERROR(1/VLOOKUP($B123,Miljö!$B$1:$S$500,MATCH("Såld mängd produktionsspecifik fjärrvärme (GWh)",Miljö!$B$1:$R$1,0),FALSE)),0,VLOOKUP($B123,Miljö!$B$1:$S$500,MATCH("Såld mängd produktionsspecifik fjärrvärme (GWh)",Miljö!$B$1:$R$1,0),FALSE))</f>
        <v>0</v>
      </c>
      <c r="AN123" s="32">
        <f t="shared" si="25"/>
        <v>0.70497438860758255</v>
      </c>
      <c r="AP123" s="31" t="str">
        <f>IFERROR(VLOOKUP($B123,Miljövärden!$B$2:$H$550,7,FALSE),"Nej, saknas")</f>
        <v>Ja</v>
      </c>
      <c r="AQ123" s="31" t="str">
        <f>IFERROR(VLOOKUP($B123,Miljövärden!$B$2:$H$551,6,FALSE),"Nej, saknas")</f>
        <v>Ja</v>
      </c>
      <c r="AU123" s="31">
        <f t="shared" si="26"/>
        <v>0.83984999999999999</v>
      </c>
      <c r="AV123" s="31">
        <f t="shared" si="27"/>
        <v>0</v>
      </c>
      <c r="AW123" s="31">
        <f t="shared" si="28"/>
        <v>16.7059</v>
      </c>
      <c r="AX123" s="31">
        <f t="shared" si="29"/>
        <v>7.3</v>
      </c>
      <c r="AZ123" s="31">
        <f t="shared" si="30"/>
        <v>24.605900000000002</v>
      </c>
      <c r="BC123" s="31">
        <f t="shared" si="31"/>
        <v>0.08</v>
      </c>
      <c r="BD123" s="31">
        <f t="shared" si="32"/>
        <v>0</v>
      </c>
      <c r="BE123" s="31">
        <f t="shared" si="33"/>
        <v>24.605900000000002</v>
      </c>
      <c r="BF123" s="31">
        <f t="shared" si="34"/>
        <v>0</v>
      </c>
      <c r="BG123" s="31">
        <f t="shared" si="35"/>
        <v>0.83984999999999999</v>
      </c>
      <c r="BH123" s="31">
        <f>VLOOKUP(B123,Miljö!$B$1:$BX$482,MATCH("Fossilandel för ursprungspecificerad el ()",Miljö!$B$1:$I$1,0),FALSE)</f>
        <v>0</v>
      </c>
      <c r="BI123" s="31">
        <f>VLOOKUP(B123,Miljö!$B$1:$BX$482,MATCH("Kärnkraftsandel för ursprungsspecificerad el ()",Miljö!$B$1:$O$1,0),FALSE)</f>
        <v>0</v>
      </c>
      <c r="BJ123" s="31">
        <f t="shared" si="36"/>
        <v>0</v>
      </c>
      <c r="BK123" s="31" t="str">
        <f>VLOOKUP(B123,Miljö!$B$1:$P$482,MATCH("Fossil andel i procent (%)",Miljö!$B$1:$P$1,0),FALSE)</f>
        <v>ET</v>
      </c>
      <c r="BL123" s="31">
        <f t="shared" si="37"/>
        <v>25.525749999999999</v>
      </c>
      <c r="BO123" s="32">
        <f t="shared" si="38"/>
        <v>3.1340900855018955E-3</v>
      </c>
      <c r="BP123" s="32">
        <f t="shared" si="39"/>
        <v>0</v>
      </c>
      <c r="BQ123" s="32">
        <f t="shared" si="40"/>
        <v>0.99686590991449819</v>
      </c>
      <c r="BR123" s="32">
        <f t="shared" si="41"/>
        <v>0</v>
      </c>
      <c r="BT123" s="62">
        <f t="shared" si="42"/>
        <v>1</v>
      </c>
      <c r="BW123" s="32">
        <f>IF(AP123="Ja",VLOOKUP(B123,Miljövärden!$B$2:$H$551,MATCH("Total andel fossilt",Miljövärden!$B$2:$H$2,0),FALSE),"")</f>
        <v>3.13408E-3</v>
      </c>
      <c r="BX123" s="62">
        <f t="shared" si="43"/>
        <v>-1.008550189543489E-8</v>
      </c>
      <c r="BZ123" s="31">
        <f t="shared" si="44"/>
        <v>-1.008550189543489E-8</v>
      </c>
      <c r="CA123" s="32">
        <f t="shared" si="45"/>
        <v>0</v>
      </c>
    </row>
    <row r="124" spans="1:79" x14ac:dyDescent="0.45">
      <c r="A124" s="31" t="s">
        <v>520</v>
      </c>
      <c r="B124" s="31" t="s">
        <v>522</v>
      </c>
      <c r="C124" s="31">
        <f>VLOOKUP($B124,'Tillförd energi'!$B$1:$AI$720,MATCH(C$1,'Tillförd energi'!$B$1:$AQ$1,0),FALSE)</f>
        <v>0</v>
      </c>
      <c r="D124" s="31">
        <f>VLOOKUP($B124,'Tillförd energi'!$B$1:$AI$720,MATCH(D$1,'Tillförd energi'!$B$1:$AQ$1,0),FALSE)</f>
        <v>0.2</v>
      </c>
      <c r="E124" s="31">
        <f>VLOOKUP($B124,'Tillförd energi'!$B$1:$AI$720,MATCH(E$1,'Tillförd energi'!$B$1:$AQ$1,0),FALSE)</f>
        <v>0</v>
      </c>
      <c r="F124" s="31">
        <f>VLOOKUP($B124,'Tillförd energi'!$B$1:$AI$720,MATCH(F$1,'Tillförd energi'!$B$1:$AQ$1,0),FALSE)</f>
        <v>0</v>
      </c>
      <c r="G124" s="31">
        <f>VLOOKUP($B124,'Tillförd energi'!$B$1:$AI$720,MATCH(G$1,'Tillförd energi'!$B$1:$AQ$1,0),FALSE)</f>
        <v>0</v>
      </c>
      <c r="H124" s="31">
        <f>VLOOKUP($B124,'Tillförd energi'!$B$1:$AI$720,MATCH(H$1,'Tillförd energi'!$B$1:$AQ$1,0),FALSE)</f>
        <v>0</v>
      </c>
      <c r="I124" s="31">
        <f>VLOOKUP($B124,'Tillförd energi'!$B$1:$AI$720,MATCH(I$1,'Tillförd energi'!$B$1:$AQ$1,0),FALSE)</f>
        <v>0</v>
      </c>
      <c r="J124" s="31">
        <f>VLOOKUP($B124,'Tillförd energi'!$B$1:$AI$720,MATCH(J$1,'Tillförd energi'!$B$1:$AQ$1,0),FALSE)</f>
        <v>0</v>
      </c>
      <c r="K124" s="31">
        <f>VLOOKUP($B124,'Tillförd energi'!$B$1:$AI$720,MATCH(K$1,'Tillförd energi'!$B$1:$AQ$1,0),FALSE)</f>
        <v>0</v>
      </c>
      <c r="L124" s="31">
        <f>VLOOKUP($B124,'Tillförd energi'!$B$1:$AI$720,MATCH(L$1,'Tillförd energi'!$B$1:$AQ$1,0),FALSE)</f>
        <v>0</v>
      </c>
      <c r="M124" s="31">
        <f>VLOOKUP($B124,'Tillförd energi'!$B$1:$AI$720,MATCH(M$1,'Tillförd energi'!$B$1:$AQ$1,0),FALSE)</f>
        <v>0</v>
      </c>
      <c r="N124" s="31">
        <f>VLOOKUP($B124,'Tillförd energi'!$B$1:$AI$720,MATCH(N$1,'Tillförd energi'!$B$1:$AQ$1,0),FALSE)</f>
        <v>0</v>
      </c>
      <c r="O124" s="31">
        <f>VLOOKUP($B124,'Tillförd energi'!$B$1:$AI$720,MATCH(O$1,'Tillförd energi'!$B$1:$AQ$1,0),FALSE)</f>
        <v>0</v>
      </c>
      <c r="P124" s="31">
        <f>VLOOKUP($B124,'Tillförd energi'!$B$1:$AI$720,MATCH(P$1,'Tillförd energi'!$B$1:$AQ$1,0),FALSE)</f>
        <v>66.7</v>
      </c>
      <c r="Q124" s="31">
        <f>VLOOKUP($B124,'Tillförd energi'!$B$1:$AI$720,MATCH(Q$1,'Tillförd energi'!$B$1:$AQ$1,0),FALSE)</f>
        <v>0</v>
      </c>
      <c r="R124" s="31">
        <f>VLOOKUP($B124,'Tillförd energi'!$B$1:$AI$720,MATCH(R$1,'Tillförd energi'!$B$1:$AQ$1,0),FALSE)</f>
        <v>10.5</v>
      </c>
      <c r="S124" s="31">
        <f>VLOOKUP($B124,'Tillförd energi'!$B$1:$AI$720,MATCH(S$1,'Tillförd energi'!$B$1:$AQ$1,0),FALSE)</f>
        <v>0</v>
      </c>
      <c r="T124" s="31">
        <f>VLOOKUP($B124,'Tillförd energi'!$B$1:$AI$720,MATCH(T$1,'Tillförd energi'!$B$1:$AQ$1,0),FALSE)</f>
        <v>0</v>
      </c>
      <c r="U124" s="31">
        <f>VLOOKUP($B124,'Tillförd energi'!$B$1:$AI$720,MATCH(U$1,'Tillförd energi'!$B$1:$AQ$1,0),FALSE)</f>
        <v>0</v>
      </c>
      <c r="V124" s="31">
        <f>VLOOKUP($B124,'Tillförd energi'!$B$1:$AI$720,MATCH(V$1,'Tillförd energi'!$B$1:$AQ$1,0),FALSE)</f>
        <v>0</v>
      </c>
      <c r="W124" s="31">
        <f>VLOOKUP($B124,'Tillförd energi'!$B$1:$AI$720,MATCH(W$1,'Tillförd energi'!$B$1:$AQ$1,0),FALSE)</f>
        <v>1.8</v>
      </c>
      <c r="X124" s="31">
        <f>VLOOKUP($B124,'Tillförd energi'!$B$1:$AI$720,MATCH(X$1,'Tillförd energi'!$B$1:$AQ$1,0),FALSE)</f>
        <v>0</v>
      </c>
      <c r="Y124" s="31">
        <f>VLOOKUP($B124,'Tillförd energi'!$B$1:$AI$720,MATCH(Y$1,'Tillförd energi'!$B$1:$AQ$1,0),FALSE)</f>
        <v>0</v>
      </c>
      <c r="Z124" s="31">
        <f>VLOOKUP($B124,'Tillförd energi'!$B$1:$AI$720,MATCH(Z$1,'Tillförd energi'!$B$1:$AQ$1,0),FALSE)</f>
        <v>0.1</v>
      </c>
      <c r="AA124" s="31">
        <f>VLOOKUP($B124,'Tillförd energi'!$B$1:$AI$720,MATCH(AA$1,'Tillförd energi'!$B$1:$AQ$1,0),FALSE)</f>
        <v>0</v>
      </c>
      <c r="AB124" s="31">
        <f>VLOOKUP($B124,'Tillförd energi'!$B$1:$AI$720,MATCH(AB$1,'Tillförd energi'!$B$1:$AQ$1,0),FALSE)</f>
        <v>0</v>
      </c>
      <c r="AC124" s="31">
        <f>VLOOKUP($B124,'Tillförd energi'!$B$1:$AI$720,MATCH(AC$1,'Tillförd energi'!$B$1:$AQ$1,0),FALSE)</f>
        <v>7.3</v>
      </c>
      <c r="AD124" s="31">
        <f>VLOOKUP($B124,'Tillförd energi'!$B$1:$AI$720,MATCH(AD$1,'Tillförd energi'!$B$1:$AQ$1,0),FALSE)</f>
        <v>0</v>
      </c>
      <c r="AE124" s="31">
        <f>VLOOKUP($B124,'Tillförd energi'!$B$1:$AI$720,MATCH(AE$1,'Tillförd energi'!$B$1:$AQ$1,0),FALSE)</f>
        <v>0</v>
      </c>
      <c r="AF124" s="31">
        <f>VLOOKUP($B124,'Tillförd energi'!$B$1:$AI$720,MATCH(AF$1,'Tillförd energi'!$B$1:$AQ$1,0),FALSE)</f>
        <v>1.6964999999999999</v>
      </c>
      <c r="AG124" s="31">
        <f>IFERROR(VLOOKUP(B124,Miljö!$B$1:$AC$550,MATCH("Köpt mängd produktionsspecifik fjärrvärme:",Miljö!$B$1:$AC$1,0),FALSE)/1,0)</f>
        <v>0</v>
      </c>
      <c r="AI124" s="31">
        <f t="shared" si="23"/>
        <v>88.296499999999995</v>
      </c>
      <c r="AJ124" s="31">
        <f t="shared" si="24"/>
        <v>88.296499999999995</v>
      </c>
      <c r="AK124" s="31">
        <f>IF(ISERROR(1/VLOOKUP($B124,Leveranser!$B$1:$S$499,MATCH("Såld värme (GWh)",Leveranser!$B$1:$S$1,0),FALSE)),"",VLOOKUP($B124,Leveranser!$B$1:$S$499,MATCH("Såld värme (GWh)",Leveranser!$B$1:$S$1,0),FALSE))</f>
        <v>56.55</v>
      </c>
      <c r="AL124" s="31">
        <f>VLOOKUP($B124,Leveranser!$B$1:$Y$499,MATCH("Totalt såld fjärrvärme till andra fjärrvärmeföretag",Leveranser!$B$1:$AA$1,0),FALSE)</f>
        <v>0</v>
      </c>
      <c r="AM124" s="31">
        <f>IF(ISERROR(1/VLOOKUP($B124,Miljö!$B$1:$S$500,MATCH("Såld mängd produktionsspecifik fjärrvärme (GWh)",Miljö!$B$1:$R$1,0),FALSE)),0,VLOOKUP($B124,Miljö!$B$1:$S$500,MATCH("Såld mängd produktionsspecifik fjärrvärme (GWh)",Miljö!$B$1:$R$1,0),FALSE))</f>
        <v>0</v>
      </c>
      <c r="AN124" s="32">
        <f t="shared" si="25"/>
        <v>0.64045573720362647</v>
      </c>
      <c r="AP124" s="31" t="str">
        <f>IFERROR(VLOOKUP($B124,Miljövärden!$B$2:$H$550,7,FALSE),"Nej, saknas")</f>
        <v>Ja</v>
      </c>
      <c r="AQ124" s="31" t="str">
        <f>IFERROR(VLOOKUP($B124,Miljövärden!$B$2:$H$551,6,FALSE),"Nej, saknas")</f>
        <v>Ja</v>
      </c>
      <c r="AU124" s="31">
        <f t="shared" si="26"/>
        <v>1.7965</v>
      </c>
      <c r="AV124" s="31">
        <f t="shared" si="27"/>
        <v>0</v>
      </c>
      <c r="AW124" s="31">
        <f t="shared" si="28"/>
        <v>66.7</v>
      </c>
      <c r="AX124" s="31">
        <f t="shared" si="29"/>
        <v>10.5</v>
      </c>
      <c r="AZ124" s="31">
        <f t="shared" si="30"/>
        <v>79</v>
      </c>
      <c r="BC124" s="31">
        <f t="shared" si="31"/>
        <v>0.2</v>
      </c>
      <c r="BD124" s="31">
        <f t="shared" si="32"/>
        <v>0</v>
      </c>
      <c r="BE124" s="31">
        <f t="shared" si="33"/>
        <v>79</v>
      </c>
      <c r="BF124" s="31">
        <f t="shared" si="34"/>
        <v>7.3</v>
      </c>
      <c r="BG124" s="31">
        <f t="shared" si="35"/>
        <v>1.7965</v>
      </c>
      <c r="BH124" s="31">
        <f>VLOOKUP(B124,Miljö!$B$1:$BX$482,MATCH("Fossilandel för ursprungspecificerad el ()",Miljö!$B$1:$I$1,0),FALSE)</f>
        <v>0</v>
      </c>
      <c r="BI124" s="31">
        <f>VLOOKUP(B124,Miljö!$B$1:$BX$482,MATCH("Kärnkraftsandel för ursprungsspecificerad el ()",Miljö!$B$1:$O$1,0),FALSE)</f>
        <v>0</v>
      </c>
      <c r="BJ124" s="31">
        <f t="shared" si="36"/>
        <v>0</v>
      </c>
      <c r="BK124" s="31" t="str">
        <f>VLOOKUP(B124,Miljö!$B$1:$P$482,MATCH("Fossil andel i procent (%)",Miljö!$B$1:$P$1,0),FALSE)</f>
        <v>ET</v>
      </c>
      <c r="BL124" s="31">
        <f t="shared" si="37"/>
        <v>88.296499999999995</v>
      </c>
      <c r="BO124" s="32">
        <f t="shared" si="38"/>
        <v>2.2650954454593334E-3</v>
      </c>
      <c r="BP124" s="32">
        <f t="shared" si="39"/>
        <v>0</v>
      </c>
      <c r="BQ124" s="32">
        <f t="shared" si="40"/>
        <v>0.91505892079527495</v>
      </c>
      <c r="BR124" s="32">
        <f t="shared" si="41"/>
        <v>8.2675983759265659E-2</v>
      </c>
      <c r="BT124" s="62">
        <f t="shared" si="42"/>
        <v>1</v>
      </c>
      <c r="BW124" s="32">
        <f>IF(AP124="Ja",VLOOKUP(B124,Miljövärden!$B$2:$H$551,MATCH("Total andel fossilt",Miljövärden!$B$2:$H$2,0),FALSE),"")</f>
        <v>2.2650999999999999E-3</v>
      </c>
      <c r="BX124" s="62">
        <f t="shared" si="43"/>
        <v>4.5545406664876387E-9</v>
      </c>
      <c r="BZ124" s="31">
        <f t="shared" si="44"/>
        <v>4.5545406664876387E-9</v>
      </c>
      <c r="CA124" s="32">
        <f t="shared" si="45"/>
        <v>0</v>
      </c>
    </row>
    <row r="125" spans="1:79" x14ac:dyDescent="0.45">
      <c r="A125" s="31" t="s">
        <v>520</v>
      </c>
      <c r="B125" s="31" t="s">
        <v>521</v>
      </c>
      <c r="C125" s="31">
        <f>VLOOKUP($B125,'Tillförd energi'!$B$1:$AI$720,MATCH(C$1,'Tillförd energi'!$B$1:$AQ$1,0),FALSE)</f>
        <v>0</v>
      </c>
      <c r="D125" s="31">
        <f>VLOOKUP($B125,'Tillförd energi'!$B$1:$AI$720,MATCH(D$1,'Tillförd energi'!$B$1:$AQ$1,0),FALSE)</f>
        <v>0.9</v>
      </c>
      <c r="E125" s="31">
        <f>VLOOKUP($B125,'Tillförd energi'!$B$1:$AI$720,MATCH(E$1,'Tillförd energi'!$B$1:$AQ$1,0),FALSE)</f>
        <v>0</v>
      </c>
      <c r="F125" s="31">
        <f>VLOOKUP($B125,'Tillförd energi'!$B$1:$AI$720,MATCH(F$1,'Tillförd energi'!$B$1:$AQ$1,0),FALSE)</f>
        <v>0.2</v>
      </c>
      <c r="G125" s="31">
        <f>VLOOKUP($B125,'Tillförd energi'!$B$1:$AI$720,MATCH(G$1,'Tillförd energi'!$B$1:$AQ$1,0),FALSE)</f>
        <v>0</v>
      </c>
      <c r="H125" s="31">
        <f>VLOOKUP($B125,'Tillförd energi'!$B$1:$AI$720,MATCH(H$1,'Tillförd energi'!$B$1:$AQ$1,0),FALSE)</f>
        <v>0</v>
      </c>
      <c r="I125" s="31">
        <f>VLOOKUP($B125,'Tillförd energi'!$B$1:$AI$720,MATCH(I$1,'Tillförd energi'!$B$1:$AQ$1,0),FALSE)</f>
        <v>0</v>
      </c>
      <c r="J125" s="31">
        <f>VLOOKUP($B125,'Tillförd energi'!$B$1:$AI$720,MATCH(J$1,'Tillförd energi'!$B$1:$AQ$1,0),FALSE)</f>
        <v>1</v>
      </c>
      <c r="K125" s="31">
        <f>VLOOKUP($B125,'Tillförd energi'!$B$1:$AI$720,MATCH(K$1,'Tillförd energi'!$B$1:$AQ$1,0),FALSE)</f>
        <v>0</v>
      </c>
      <c r="L125" s="31">
        <f>VLOOKUP($B125,'Tillförd energi'!$B$1:$AI$720,MATCH(L$1,'Tillförd energi'!$B$1:$AQ$1,0),FALSE)</f>
        <v>41.589799999999997</v>
      </c>
      <c r="M125" s="31">
        <f>VLOOKUP($B125,'Tillförd energi'!$B$1:$AI$720,MATCH(M$1,'Tillförd energi'!$B$1:$AQ$1,0),FALSE)</f>
        <v>92.254800000000003</v>
      </c>
      <c r="N125" s="31">
        <f>VLOOKUP($B125,'Tillförd energi'!$B$1:$AI$720,MATCH(N$1,'Tillförd energi'!$B$1:$AQ$1,0),FALSE)</f>
        <v>21.144300000000001</v>
      </c>
      <c r="O125" s="31">
        <f>VLOOKUP($B125,'Tillförd energi'!$B$1:$AI$720,MATCH(O$1,'Tillförd energi'!$B$1:$AQ$1,0),FALSE)</f>
        <v>62.833199999999998</v>
      </c>
      <c r="P125" s="31">
        <f>VLOOKUP($B125,'Tillförd energi'!$B$1:$AI$720,MATCH(P$1,'Tillförd energi'!$B$1:$AQ$1,0),FALSE)</f>
        <v>155.41200000000001</v>
      </c>
      <c r="Q125" s="31">
        <f>VLOOKUP($B125,'Tillförd energi'!$B$1:$AI$720,MATCH(Q$1,'Tillförd energi'!$B$1:$AQ$1,0),FALSE)</f>
        <v>0</v>
      </c>
      <c r="R125" s="31">
        <f>VLOOKUP($B125,'Tillförd energi'!$B$1:$AI$720,MATCH(R$1,'Tillförd energi'!$B$1:$AQ$1,0),FALSE)</f>
        <v>0.9</v>
      </c>
      <c r="S125" s="31">
        <f>VLOOKUP($B125,'Tillförd energi'!$B$1:$AI$720,MATCH(S$1,'Tillförd energi'!$B$1:$AQ$1,0),FALSE)</f>
        <v>0</v>
      </c>
      <c r="T125" s="31">
        <f>VLOOKUP($B125,'Tillförd energi'!$B$1:$AI$720,MATCH(T$1,'Tillförd energi'!$B$1:$AQ$1,0),FALSE)</f>
        <v>0</v>
      </c>
      <c r="U125" s="31">
        <f>VLOOKUP($B125,'Tillförd energi'!$B$1:$AI$720,MATCH(U$1,'Tillförd energi'!$B$1:$AQ$1,0),FALSE)</f>
        <v>0</v>
      </c>
      <c r="V125" s="31">
        <f>VLOOKUP($B125,'Tillförd energi'!$B$1:$AI$720,MATCH(V$1,'Tillförd energi'!$B$1:$AQ$1,0),FALSE)</f>
        <v>0</v>
      </c>
      <c r="W125" s="31">
        <f>VLOOKUP($B125,'Tillförd energi'!$B$1:$AI$720,MATCH(W$1,'Tillförd energi'!$B$1:$AQ$1,0),FALSE)</f>
        <v>0.2</v>
      </c>
      <c r="X125" s="31">
        <f>VLOOKUP($B125,'Tillförd energi'!$B$1:$AI$720,MATCH(X$1,'Tillförd energi'!$B$1:$AQ$1,0),FALSE)</f>
        <v>0</v>
      </c>
      <c r="Y125" s="31">
        <f>VLOOKUP($B125,'Tillförd energi'!$B$1:$AI$720,MATCH(Y$1,'Tillförd energi'!$B$1:$AQ$1,0),FALSE)</f>
        <v>18.674099999999999</v>
      </c>
      <c r="Z125" s="31">
        <f>VLOOKUP($B125,'Tillförd energi'!$B$1:$AI$720,MATCH(Z$1,'Tillförd energi'!$B$1:$AQ$1,0),FALSE)</f>
        <v>0.2</v>
      </c>
      <c r="AA125" s="31">
        <f>VLOOKUP($B125,'Tillförd energi'!$B$1:$AI$720,MATCH(AA$1,'Tillförd energi'!$B$1:$AQ$1,0),FALSE)</f>
        <v>0</v>
      </c>
      <c r="AB125" s="31">
        <f>VLOOKUP($B125,'Tillförd energi'!$B$1:$AI$720,MATCH(AB$1,'Tillförd energi'!$B$1:$AQ$1,0),FALSE)</f>
        <v>0</v>
      </c>
      <c r="AC125" s="31">
        <f>VLOOKUP($B125,'Tillförd energi'!$B$1:$AI$720,MATCH(AC$1,'Tillförd energi'!$B$1:$AQ$1,0),FALSE)</f>
        <v>143.12</v>
      </c>
      <c r="AD125" s="31">
        <f>VLOOKUP($B125,'Tillförd energi'!$B$1:$AI$720,MATCH(AD$1,'Tillförd energi'!$B$1:$AQ$1,0),FALSE)</f>
        <v>1.4</v>
      </c>
      <c r="AE125" s="31">
        <f>VLOOKUP($B125,'Tillförd energi'!$B$1:$AI$720,MATCH(AE$1,'Tillförd energi'!$B$1:$AQ$1,0),FALSE)</f>
        <v>0</v>
      </c>
      <c r="AF125" s="31">
        <f>VLOOKUP($B125,'Tillförd energi'!$B$1:$AI$720,MATCH(AF$1,'Tillförd energi'!$B$1:$AQ$1,0),FALSE)</f>
        <v>16.410299999999999</v>
      </c>
      <c r="AG125" s="31">
        <f>IFERROR(VLOOKUP(B125,Miljö!$B$1:$AC$550,MATCH("Köpt mängd produktionsspecifik fjärrvärme:",Miljö!$B$1:$AC$1,0),FALSE)/1,0)</f>
        <v>0</v>
      </c>
      <c r="AI125" s="31">
        <f t="shared" si="23"/>
        <v>556.23850000000004</v>
      </c>
      <c r="AJ125" s="31">
        <f t="shared" si="24"/>
        <v>556.23850000000004</v>
      </c>
      <c r="AK125" s="31">
        <f>IF(ISERROR(1/VLOOKUP($B125,Leveranser!$B$1:$S$499,MATCH("Såld värme (GWh)",Leveranser!$B$1:$S$1,0),FALSE)),"",VLOOKUP($B125,Leveranser!$B$1:$S$499,MATCH("Såld värme (GWh)",Leveranser!$B$1:$S$1,0),FALSE))</f>
        <v>547.01</v>
      </c>
      <c r="AL125" s="31">
        <f>VLOOKUP($B125,Leveranser!$B$1:$Y$499,MATCH("Totalt såld fjärrvärme till andra fjärrvärmeföretag",Leveranser!$B$1:$AA$1,0),FALSE)</f>
        <v>0</v>
      </c>
      <c r="AM125" s="31">
        <f>IF(ISERROR(1/VLOOKUP($B125,Miljö!$B$1:$S$500,MATCH("Såld mängd produktionsspecifik fjärrvärme (GWh)",Miljö!$B$1:$R$1,0),FALSE)),0,VLOOKUP($B125,Miljö!$B$1:$S$500,MATCH("Såld mängd produktionsspecifik fjärrvärme (GWh)",Miljö!$B$1:$R$1,0),FALSE))</f>
        <v>0</v>
      </c>
      <c r="AN125" s="32">
        <f t="shared" si="25"/>
        <v>0.98340909519927144</v>
      </c>
      <c r="AP125" s="31" t="str">
        <f>IFERROR(VLOOKUP($B125,Miljövärden!$B$2:$H$550,7,FALSE),"Nej, saknas")</f>
        <v>Ja</v>
      </c>
      <c r="AQ125" s="31" t="str">
        <f>IFERROR(VLOOKUP($B125,Miljövärden!$B$2:$H$551,6,FALSE),"Nej, saknas")</f>
        <v>Ja</v>
      </c>
      <c r="AU125" s="31">
        <f t="shared" si="26"/>
        <v>16.610299999999999</v>
      </c>
      <c r="AV125" s="31">
        <f t="shared" si="27"/>
        <v>0</v>
      </c>
      <c r="AW125" s="31">
        <f t="shared" si="28"/>
        <v>331.64430000000004</v>
      </c>
      <c r="AX125" s="31">
        <f t="shared" si="29"/>
        <v>0.9</v>
      </c>
      <c r="AZ125" s="31">
        <f t="shared" si="30"/>
        <v>374.33409999999998</v>
      </c>
      <c r="BC125" s="31">
        <f t="shared" si="31"/>
        <v>1.1000000000000001</v>
      </c>
      <c r="BD125" s="31">
        <f t="shared" si="32"/>
        <v>18.674099999999999</v>
      </c>
      <c r="BE125" s="31">
        <f t="shared" si="33"/>
        <v>332.74430000000001</v>
      </c>
      <c r="BF125" s="31">
        <f t="shared" si="34"/>
        <v>187.10980000000001</v>
      </c>
      <c r="BG125" s="31">
        <f t="shared" si="35"/>
        <v>16.610299999999999</v>
      </c>
      <c r="BH125" s="31">
        <f>VLOOKUP(B125,Miljö!$B$1:$BX$482,MATCH("Fossilandel för ursprungspecificerad el ()",Miljö!$B$1:$I$1,0),FALSE)</f>
        <v>0</v>
      </c>
      <c r="BI125" s="31">
        <f>VLOOKUP(B125,Miljö!$B$1:$BX$482,MATCH("Kärnkraftsandel för ursprungsspecificerad el ()",Miljö!$B$1:$O$1,0),FALSE)</f>
        <v>0</v>
      </c>
      <c r="BJ125" s="31">
        <f t="shared" si="36"/>
        <v>0</v>
      </c>
      <c r="BK125" s="31" t="str">
        <f>VLOOKUP(B125,Miljö!$B$1:$P$482,MATCH("Fossil andel i procent (%)",Miljö!$B$1:$P$1,0),FALSE)</f>
        <v>ET</v>
      </c>
      <c r="BL125" s="31">
        <f t="shared" si="37"/>
        <v>556.23850000000004</v>
      </c>
      <c r="BO125" s="32">
        <f t="shared" si="38"/>
        <v>1.9775689744596968E-3</v>
      </c>
      <c r="BP125" s="32">
        <f t="shared" si="39"/>
        <v>3.3572109805416195E-2</v>
      </c>
      <c r="BQ125" s="32">
        <f t="shared" si="40"/>
        <v>0.62806619822252496</v>
      </c>
      <c r="BR125" s="32">
        <f t="shared" si="41"/>
        <v>0.33638412299759901</v>
      </c>
      <c r="BT125" s="62">
        <f t="shared" si="42"/>
        <v>0.99999999999999989</v>
      </c>
      <c r="BW125" s="32">
        <f>IF(AP125="Ja",VLOOKUP(B125,Miljövärden!$B$2:$H$551,MATCH("Total andel fossilt",Miljövärden!$B$2:$H$2,0),FALSE),"")</f>
        <v>1.9775700000000001E-3</v>
      </c>
      <c r="BX125" s="62">
        <f t="shared" si="43"/>
        <v>1.0255403032864707E-9</v>
      </c>
      <c r="BZ125" s="31">
        <f t="shared" si="44"/>
        <v>1.0255403032864707E-9</v>
      </c>
      <c r="CA125" s="32">
        <f t="shared" si="45"/>
        <v>0</v>
      </c>
    </row>
    <row r="126" spans="1:79" x14ac:dyDescent="0.45">
      <c r="A126" s="31" t="s">
        <v>520</v>
      </c>
      <c r="B126" s="31" t="s">
        <v>519</v>
      </c>
      <c r="C126" s="31">
        <f>VLOOKUP($B126,'Tillförd energi'!$B$1:$AI$720,MATCH(C$1,'Tillförd energi'!$B$1:$AQ$1,0),FALSE)</f>
        <v>0</v>
      </c>
      <c r="D126" s="31">
        <f>VLOOKUP($B126,'Tillförd energi'!$B$1:$AI$720,MATCH(D$1,'Tillförd energi'!$B$1:$AQ$1,0),FALSE)</f>
        <v>0</v>
      </c>
      <c r="E126" s="31">
        <f>VLOOKUP($B126,'Tillförd energi'!$B$1:$AI$720,MATCH(E$1,'Tillförd energi'!$B$1:$AQ$1,0),FALSE)</f>
        <v>0</v>
      </c>
      <c r="F126" s="31">
        <f>VLOOKUP($B126,'Tillförd energi'!$B$1:$AI$720,MATCH(F$1,'Tillförd energi'!$B$1:$AQ$1,0),FALSE)</f>
        <v>0</v>
      </c>
      <c r="G126" s="31">
        <f>VLOOKUP($B126,'Tillförd energi'!$B$1:$AI$720,MATCH(G$1,'Tillförd energi'!$B$1:$AQ$1,0),FALSE)</f>
        <v>0</v>
      </c>
      <c r="H126" s="31">
        <f>VLOOKUP($B126,'Tillförd energi'!$B$1:$AI$720,MATCH(H$1,'Tillförd energi'!$B$1:$AQ$1,0),FALSE)</f>
        <v>0</v>
      </c>
      <c r="I126" s="31">
        <f>VLOOKUP($B126,'Tillförd energi'!$B$1:$AI$720,MATCH(I$1,'Tillförd energi'!$B$1:$AQ$1,0),FALSE)</f>
        <v>0</v>
      </c>
      <c r="J126" s="31">
        <f>VLOOKUP($B126,'Tillförd energi'!$B$1:$AI$720,MATCH(J$1,'Tillförd energi'!$B$1:$AQ$1,0),FALSE)</f>
        <v>0</v>
      </c>
      <c r="K126" s="31">
        <f>VLOOKUP($B126,'Tillförd energi'!$B$1:$AI$720,MATCH(K$1,'Tillförd energi'!$B$1:$AQ$1,0),FALSE)</f>
        <v>0</v>
      </c>
      <c r="L126" s="31">
        <f>VLOOKUP($B126,'Tillförd energi'!$B$1:$AI$720,MATCH(L$1,'Tillförd energi'!$B$1:$AQ$1,0),FALSE)</f>
        <v>0</v>
      </c>
      <c r="M126" s="31">
        <f>VLOOKUP($B126,'Tillförd energi'!$B$1:$AI$720,MATCH(M$1,'Tillförd energi'!$B$1:$AQ$1,0),FALSE)</f>
        <v>0</v>
      </c>
      <c r="N126" s="31">
        <f>VLOOKUP($B126,'Tillförd energi'!$B$1:$AI$720,MATCH(N$1,'Tillförd energi'!$B$1:$AQ$1,0),FALSE)</f>
        <v>0</v>
      </c>
      <c r="O126" s="31">
        <f>VLOOKUP($B126,'Tillförd energi'!$B$1:$AI$720,MATCH(O$1,'Tillförd energi'!$B$1:$AQ$1,0),FALSE)</f>
        <v>0</v>
      </c>
      <c r="P126" s="31">
        <f>VLOOKUP($B126,'Tillförd energi'!$B$1:$AI$720,MATCH(P$1,'Tillförd energi'!$B$1:$AQ$1,0),FALSE)</f>
        <v>0</v>
      </c>
      <c r="Q126" s="31">
        <f>VLOOKUP($B126,'Tillförd energi'!$B$1:$AI$720,MATCH(Q$1,'Tillförd energi'!$B$1:$AQ$1,0),FALSE)</f>
        <v>0</v>
      </c>
      <c r="R126" s="31">
        <f>VLOOKUP($B126,'Tillförd energi'!$B$1:$AI$720,MATCH(R$1,'Tillförd energi'!$B$1:$AQ$1,0),FALSE)</f>
        <v>0</v>
      </c>
      <c r="S126" s="31">
        <f>VLOOKUP($B126,'Tillförd energi'!$B$1:$AI$720,MATCH(S$1,'Tillförd energi'!$B$1:$AQ$1,0),FALSE)</f>
        <v>0</v>
      </c>
      <c r="T126" s="31">
        <f>VLOOKUP($B126,'Tillförd energi'!$B$1:$AI$720,MATCH(T$1,'Tillförd energi'!$B$1:$AQ$1,0),FALSE)</f>
        <v>0</v>
      </c>
      <c r="U126" s="31">
        <f>VLOOKUP($B126,'Tillförd energi'!$B$1:$AI$720,MATCH(U$1,'Tillförd energi'!$B$1:$AQ$1,0),FALSE)</f>
        <v>0</v>
      </c>
      <c r="V126" s="31">
        <f>VLOOKUP($B126,'Tillförd energi'!$B$1:$AI$720,MATCH(V$1,'Tillförd energi'!$B$1:$AQ$1,0),FALSE)</f>
        <v>0</v>
      </c>
      <c r="W126" s="31">
        <f>VLOOKUP($B126,'Tillförd energi'!$B$1:$AI$720,MATCH(W$1,'Tillförd energi'!$B$1:$AQ$1,0),FALSE)</f>
        <v>0</v>
      </c>
      <c r="X126" s="31">
        <f>VLOOKUP($B126,'Tillförd energi'!$B$1:$AI$720,MATCH(X$1,'Tillförd energi'!$B$1:$AQ$1,0),FALSE)</f>
        <v>0</v>
      </c>
      <c r="Y126" s="31">
        <f>VLOOKUP($B126,'Tillförd energi'!$B$1:$AI$720,MATCH(Y$1,'Tillförd energi'!$B$1:$AQ$1,0),FALSE)</f>
        <v>0</v>
      </c>
      <c r="Z126" s="31">
        <f>VLOOKUP($B126,'Tillförd energi'!$B$1:$AI$720,MATCH(Z$1,'Tillförd energi'!$B$1:$AQ$1,0),FALSE)</f>
        <v>0</v>
      </c>
      <c r="AA126" s="31">
        <f>VLOOKUP($B126,'Tillförd energi'!$B$1:$AI$720,MATCH(AA$1,'Tillförd energi'!$B$1:$AQ$1,0),FALSE)</f>
        <v>0</v>
      </c>
      <c r="AB126" s="31">
        <f>VLOOKUP($B126,'Tillförd energi'!$B$1:$AI$720,MATCH(AB$1,'Tillförd energi'!$B$1:$AQ$1,0),FALSE)</f>
        <v>0</v>
      </c>
      <c r="AC126" s="31">
        <f>VLOOKUP($B126,'Tillförd energi'!$B$1:$AI$720,MATCH(AC$1,'Tillförd energi'!$B$1:$AQ$1,0),FALSE)</f>
        <v>1.5760000000000001</v>
      </c>
      <c r="AD126" s="31">
        <f>VLOOKUP($B126,'Tillförd energi'!$B$1:$AI$720,MATCH(AD$1,'Tillförd energi'!$B$1:$AQ$1,0),FALSE)</f>
        <v>0</v>
      </c>
      <c r="AE126" s="31">
        <f>VLOOKUP($B126,'Tillförd energi'!$B$1:$AI$720,MATCH(AE$1,'Tillförd energi'!$B$1:$AQ$1,0),FALSE)</f>
        <v>0</v>
      </c>
      <c r="AF126" s="31">
        <f>VLOOKUP($B126,'Tillförd energi'!$B$1:$AI$720,MATCH(AF$1,'Tillförd energi'!$B$1:$AQ$1,0),FALSE)</f>
        <v>4.7280000000000003E-2</v>
      </c>
      <c r="AG126" s="31">
        <f>IFERROR(VLOOKUP(B126,Miljö!$B$1:$AC$550,MATCH("Köpt mängd produktionsspecifik fjärrvärme:",Miljö!$B$1:$AC$1,0),FALSE)/1,0)</f>
        <v>0</v>
      </c>
      <c r="AI126" s="31">
        <f t="shared" si="23"/>
        <v>1.6232800000000001</v>
      </c>
      <c r="AJ126" s="31">
        <f t="shared" si="24"/>
        <v>1.6232800000000001</v>
      </c>
      <c r="AK126" s="31">
        <f>IF(ISERROR(1/VLOOKUP($B126,Leveranser!$B$1:$S$499,MATCH("Såld värme (GWh)",Leveranser!$B$1:$S$1,0),FALSE)),"",VLOOKUP($B126,Leveranser!$B$1:$S$499,MATCH("Såld värme (GWh)",Leveranser!$B$1:$S$1,0),FALSE))</f>
        <v>1.5760000000000001</v>
      </c>
      <c r="AL126" s="31">
        <f>VLOOKUP($B126,Leveranser!$B$1:$Y$499,MATCH("Totalt såld fjärrvärme till andra fjärrvärmeföretag",Leveranser!$B$1:$AA$1,0),FALSE)</f>
        <v>0</v>
      </c>
      <c r="AM126" s="31">
        <f>IF(ISERROR(1/VLOOKUP($B126,Miljö!$B$1:$S$500,MATCH("Såld mängd produktionsspecifik fjärrvärme (GWh)",Miljö!$B$1:$R$1,0),FALSE)),0,VLOOKUP($B126,Miljö!$B$1:$S$500,MATCH("Såld mängd produktionsspecifik fjärrvärme (GWh)",Miljö!$B$1:$R$1,0),FALSE))</f>
        <v>0</v>
      </c>
      <c r="AN126" s="32">
        <f t="shared" si="25"/>
        <v>0.970873786407767</v>
      </c>
      <c r="AP126" s="31" t="str">
        <f>IFERROR(VLOOKUP($B126,Miljövärden!$B$2:$H$550,7,FALSE),"Nej, saknas")</f>
        <v>Ja</v>
      </c>
      <c r="AQ126" s="31" t="str">
        <f>IFERROR(VLOOKUP($B126,Miljövärden!$B$2:$H$551,6,FALSE),"Nej, saknas")</f>
        <v>Ja</v>
      </c>
      <c r="AU126" s="31">
        <f t="shared" si="26"/>
        <v>4.7280000000000003E-2</v>
      </c>
      <c r="AV126" s="31">
        <f t="shared" si="27"/>
        <v>0</v>
      </c>
      <c r="AW126" s="31">
        <f t="shared" si="28"/>
        <v>0</v>
      </c>
      <c r="AX126" s="31">
        <f t="shared" si="29"/>
        <v>0</v>
      </c>
      <c r="AZ126" s="31">
        <f t="shared" si="30"/>
        <v>0</v>
      </c>
      <c r="BC126" s="31">
        <f t="shared" si="31"/>
        <v>0</v>
      </c>
      <c r="BD126" s="31">
        <f t="shared" si="32"/>
        <v>0</v>
      </c>
      <c r="BE126" s="31">
        <f t="shared" si="33"/>
        <v>0</v>
      </c>
      <c r="BF126" s="31">
        <f t="shared" si="34"/>
        <v>1.5760000000000001</v>
      </c>
      <c r="BG126" s="31">
        <f t="shared" si="35"/>
        <v>4.7280000000000003E-2</v>
      </c>
      <c r="BH126" s="31">
        <f>VLOOKUP(B126,Miljö!$B$1:$BX$482,MATCH("Fossilandel för ursprungspecificerad el ()",Miljö!$B$1:$I$1,0),FALSE)</f>
        <v>0</v>
      </c>
      <c r="BI126" s="31">
        <f>VLOOKUP(B126,Miljö!$B$1:$BX$482,MATCH("Kärnkraftsandel för ursprungsspecificerad el ()",Miljö!$B$1:$O$1,0),FALSE)</f>
        <v>0</v>
      </c>
      <c r="BJ126" s="31">
        <f t="shared" si="36"/>
        <v>0</v>
      </c>
      <c r="BK126" s="31" t="str">
        <f>VLOOKUP(B126,Miljö!$B$1:$P$482,MATCH("Fossil andel i procent (%)",Miljö!$B$1:$P$1,0),FALSE)</f>
        <v>ET</v>
      </c>
      <c r="BL126" s="31">
        <f t="shared" si="37"/>
        <v>1.6232800000000001</v>
      </c>
      <c r="BO126" s="32">
        <f t="shared" si="38"/>
        <v>0</v>
      </c>
      <c r="BP126" s="32">
        <f t="shared" si="39"/>
        <v>0</v>
      </c>
      <c r="BQ126" s="32">
        <f t="shared" si="40"/>
        <v>2.9126213592233011E-2</v>
      </c>
      <c r="BR126" s="32">
        <f t="shared" si="41"/>
        <v>0.970873786407767</v>
      </c>
      <c r="BT126" s="62">
        <f t="shared" si="42"/>
        <v>1</v>
      </c>
      <c r="BW126" s="32">
        <f>IF(AP126="Ja",VLOOKUP(B126,Miljövärden!$B$2:$H$551,MATCH("Total andel fossilt",Miljövärden!$B$2:$H$2,0),FALSE),"")</f>
        <v>0</v>
      </c>
      <c r="BX126" s="62">
        <f t="shared" si="43"/>
        <v>0</v>
      </c>
      <c r="BZ126" s="31">
        <f t="shared" si="44"/>
        <v>0</v>
      </c>
      <c r="CA126" s="32">
        <f t="shared" si="45"/>
        <v>0</v>
      </c>
    </row>
    <row r="127" spans="1:79" x14ac:dyDescent="0.45">
      <c r="A127" s="31" t="s">
        <v>518</v>
      </c>
      <c r="B127" s="31" t="s">
        <v>77</v>
      </c>
      <c r="C127" s="31">
        <f>VLOOKUP($B127,'Tillförd energi'!$B$1:$AI$720,MATCH(C$1,'Tillförd energi'!$B$1:$AQ$1,0),FALSE)</f>
        <v>0</v>
      </c>
      <c r="D127" s="31">
        <f>VLOOKUP($B127,'Tillförd energi'!$B$1:$AI$720,MATCH(D$1,'Tillförd energi'!$B$1:$AQ$1,0),FALSE)</f>
        <v>0.41</v>
      </c>
      <c r="E127" s="31">
        <f>VLOOKUP($B127,'Tillförd energi'!$B$1:$AI$720,MATCH(E$1,'Tillförd energi'!$B$1:$AQ$1,0),FALSE)</f>
        <v>0</v>
      </c>
      <c r="F127" s="31">
        <f>VLOOKUP($B127,'Tillförd energi'!$B$1:$AI$720,MATCH(F$1,'Tillförd energi'!$B$1:$AQ$1,0),FALSE)</f>
        <v>0</v>
      </c>
      <c r="G127" s="31">
        <f>VLOOKUP($B127,'Tillförd energi'!$B$1:$AI$720,MATCH(G$1,'Tillförd energi'!$B$1:$AQ$1,0),FALSE)</f>
        <v>0</v>
      </c>
      <c r="H127" s="31">
        <f>VLOOKUP($B127,'Tillförd energi'!$B$1:$AI$720,MATCH(H$1,'Tillförd energi'!$B$1:$AQ$1,0),FALSE)</f>
        <v>0</v>
      </c>
      <c r="I127" s="31">
        <f>VLOOKUP($B127,'Tillförd energi'!$B$1:$AI$720,MATCH(I$1,'Tillförd energi'!$B$1:$AQ$1,0),FALSE)</f>
        <v>0</v>
      </c>
      <c r="J127" s="31">
        <f>VLOOKUP($B127,'Tillförd energi'!$B$1:$AI$720,MATCH(J$1,'Tillförd energi'!$B$1:$AQ$1,0),FALSE)</f>
        <v>0</v>
      </c>
      <c r="K127" s="31">
        <f>VLOOKUP($B127,'Tillförd energi'!$B$1:$AI$720,MATCH(K$1,'Tillförd energi'!$B$1:$AQ$1,0),FALSE)</f>
        <v>0</v>
      </c>
      <c r="L127" s="31">
        <f>VLOOKUP($B127,'Tillförd energi'!$B$1:$AI$720,MATCH(L$1,'Tillförd energi'!$B$1:$AQ$1,0),FALSE)</f>
        <v>0</v>
      </c>
      <c r="M127" s="31">
        <f>VLOOKUP($B127,'Tillförd energi'!$B$1:$AI$720,MATCH(M$1,'Tillförd energi'!$B$1:$AQ$1,0),FALSE)</f>
        <v>0</v>
      </c>
      <c r="N127" s="31">
        <f>VLOOKUP($B127,'Tillförd energi'!$B$1:$AI$720,MATCH(N$1,'Tillförd energi'!$B$1:$AQ$1,0),FALSE)</f>
        <v>0</v>
      </c>
      <c r="O127" s="31">
        <f>VLOOKUP($B127,'Tillförd energi'!$B$1:$AI$720,MATCH(O$1,'Tillförd energi'!$B$1:$AQ$1,0),FALSE)</f>
        <v>18.5</v>
      </c>
      <c r="P127" s="31">
        <f>VLOOKUP($B127,'Tillförd energi'!$B$1:$AI$720,MATCH(P$1,'Tillförd energi'!$B$1:$AQ$1,0),FALSE)</f>
        <v>16.440000000000001</v>
      </c>
      <c r="Q127" s="31">
        <f>VLOOKUP($B127,'Tillförd energi'!$B$1:$AI$720,MATCH(Q$1,'Tillförd energi'!$B$1:$AQ$1,0),FALSE)</f>
        <v>27.8</v>
      </c>
      <c r="R127" s="31">
        <f>VLOOKUP($B127,'Tillförd energi'!$B$1:$AI$720,MATCH(R$1,'Tillförd energi'!$B$1:$AQ$1,0),FALSE)</f>
        <v>8.19</v>
      </c>
      <c r="S127" s="31">
        <f>VLOOKUP($B127,'Tillförd energi'!$B$1:$AI$720,MATCH(S$1,'Tillförd energi'!$B$1:$AQ$1,0),FALSE)</f>
        <v>0</v>
      </c>
      <c r="T127" s="31">
        <f>VLOOKUP($B127,'Tillförd energi'!$B$1:$AI$720,MATCH(T$1,'Tillförd energi'!$B$1:$AQ$1,0),FALSE)</f>
        <v>0</v>
      </c>
      <c r="U127" s="31">
        <f>VLOOKUP($B127,'Tillförd energi'!$B$1:$AI$720,MATCH(U$1,'Tillförd energi'!$B$1:$AQ$1,0),FALSE)</f>
        <v>0</v>
      </c>
      <c r="V127" s="31">
        <f>VLOOKUP($B127,'Tillförd energi'!$B$1:$AI$720,MATCH(V$1,'Tillförd energi'!$B$1:$AQ$1,0),FALSE)</f>
        <v>0</v>
      </c>
      <c r="W127" s="31">
        <f>VLOOKUP($B127,'Tillförd energi'!$B$1:$AI$720,MATCH(W$1,'Tillförd energi'!$B$1:$AQ$1,0),FALSE)</f>
        <v>3</v>
      </c>
      <c r="X127" s="31">
        <f>VLOOKUP($B127,'Tillförd energi'!$B$1:$AI$720,MATCH(X$1,'Tillförd energi'!$B$1:$AQ$1,0),FALSE)</f>
        <v>0</v>
      </c>
      <c r="Y127" s="31">
        <f>VLOOKUP($B127,'Tillförd energi'!$B$1:$AI$720,MATCH(Y$1,'Tillförd energi'!$B$1:$AQ$1,0),FALSE)</f>
        <v>0</v>
      </c>
      <c r="Z127" s="31">
        <f>VLOOKUP($B127,'Tillförd energi'!$B$1:$AI$720,MATCH(Z$1,'Tillförd energi'!$B$1:$AQ$1,0),FALSE)</f>
        <v>0</v>
      </c>
      <c r="AA127" s="31">
        <f>VLOOKUP($B127,'Tillförd energi'!$B$1:$AI$720,MATCH(AA$1,'Tillförd energi'!$B$1:$AQ$1,0),FALSE)</f>
        <v>0</v>
      </c>
      <c r="AB127" s="31">
        <f>VLOOKUP($B127,'Tillförd energi'!$B$1:$AI$720,MATCH(AB$1,'Tillförd energi'!$B$1:$AQ$1,0),FALSE)</f>
        <v>0</v>
      </c>
      <c r="AC127" s="31">
        <f>VLOOKUP($B127,'Tillförd energi'!$B$1:$AI$720,MATCH(AC$1,'Tillförd energi'!$B$1:$AQ$1,0),FALSE)</f>
        <v>2.4</v>
      </c>
      <c r="AD127" s="31">
        <f>VLOOKUP($B127,'Tillförd energi'!$B$1:$AI$720,MATCH(AD$1,'Tillförd energi'!$B$1:$AQ$1,0),FALSE)</f>
        <v>0</v>
      </c>
      <c r="AE127" s="31">
        <f>VLOOKUP($B127,'Tillförd energi'!$B$1:$AI$720,MATCH(AE$1,'Tillförd energi'!$B$1:$AQ$1,0),FALSE)</f>
        <v>0</v>
      </c>
      <c r="AF127" s="31">
        <f>VLOOKUP($B127,'Tillförd energi'!$B$1:$AI$720,MATCH(AF$1,'Tillförd energi'!$B$1:$AQ$1,0),FALSE)</f>
        <v>1.6319999999999999</v>
      </c>
      <c r="AG127" s="31">
        <f>IFERROR(VLOOKUP(B127,Miljö!$B$1:$AC$550,MATCH("Köpt mängd produktionsspecifik fjärrvärme:",Miljö!$B$1:$AC$1,0),FALSE)/1,0)</f>
        <v>0</v>
      </c>
      <c r="AI127" s="31">
        <f t="shared" si="23"/>
        <v>78.372000000000014</v>
      </c>
      <c r="AJ127" s="31">
        <f t="shared" si="24"/>
        <v>78.372000000000014</v>
      </c>
      <c r="AK127" s="31">
        <f>IF(ISERROR(1/VLOOKUP($B127,Leveranser!$B$1:$S$499,MATCH("Såld värme (GWh)",Leveranser!$B$1:$S$1,0),FALSE)),"",VLOOKUP($B127,Leveranser!$B$1:$S$499,MATCH("Såld värme (GWh)",Leveranser!$B$1:$S$1,0),FALSE))</f>
        <v>54.4</v>
      </c>
      <c r="AL127" s="31">
        <f>VLOOKUP($B127,Leveranser!$B$1:$Y$499,MATCH("Totalt såld fjärrvärme till andra fjärrvärmeföretag",Leveranser!$B$1:$AA$1,0),FALSE)</f>
        <v>0</v>
      </c>
      <c r="AM127" s="31">
        <f>IF(ISERROR(1/VLOOKUP($B127,Miljö!$B$1:$S$500,MATCH("Såld mängd produktionsspecifik fjärrvärme (GWh)",Miljö!$B$1:$R$1,0),FALSE)),0,VLOOKUP($B127,Miljö!$B$1:$S$500,MATCH("Såld mängd produktionsspecifik fjärrvärme (GWh)",Miljö!$B$1:$R$1,0),FALSE))</f>
        <v>0</v>
      </c>
      <c r="AN127" s="32">
        <f t="shared" si="25"/>
        <v>0.69412545296789652</v>
      </c>
      <c r="AP127" s="31" t="str">
        <f>IFERROR(VLOOKUP($B127,Miljövärden!$B$2:$H$550,7,FALSE),"Nej, saknas")</f>
        <v>Ja</v>
      </c>
      <c r="AQ127" s="31" t="str">
        <f>IFERROR(VLOOKUP($B127,Miljövärden!$B$2:$H$551,6,FALSE),"Nej, saknas")</f>
        <v>Nej</v>
      </c>
      <c r="AU127" s="31">
        <f t="shared" si="26"/>
        <v>1.6319999999999999</v>
      </c>
      <c r="AV127" s="31">
        <f t="shared" si="27"/>
        <v>0</v>
      </c>
      <c r="AW127" s="31">
        <f t="shared" si="28"/>
        <v>62.739999999999995</v>
      </c>
      <c r="AX127" s="31">
        <f t="shared" si="29"/>
        <v>8.19</v>
      </c>
      <c r="AZ127" s="31">
        <f t="shared" si="30"/>
        <v>73.929999999999993</v>
      </c>
      <c r="BC127" s="31">
        <f t="shared" si="31"/>
        <v>0.41</v>
      </c>
      <c r="BD127" s="31">
        <f t="shared" si="32"/>
        <v>0</v>
      </c>
      <c r="BE127" s="31">
        <f t="shared" si="33"/>
        <v>73.929999999999993</v>
      </c>
      <c r="BF127" s="31">
        <f t="shared" si="34"/>
        <v>2.4</v>
      </c>
      <c r="BG127" s="31">
        <f t="shared" si="35"/>
        <v>1.6319999999999999</v>
      </c>
      <c r="BH127" s="31">
        <f>VLOOKUP(B127,Miljö!$B$1:$BX$482,MATCH("Fossilandel för ursprungspecificerad el ()",Miljö!$B$1:$I$1,0),FALSE)</f>
        <v>0.35</v>
      </c>
      <c r="BI127" s="31">
        <f>VLOOKUP(B127,Miljö!$B$1:$BX$482,MATCH("Kärnkraftsandel för ursprungsspecificerad el ()",Miljö!$B$1:$O$1,0),FALSE)</f>
        <v>0.3977</v>
      </c>
      <c r="BJ127" s="31">
        <f t="shared" si="36"/>
        <v>0</v>
      </c>
      <c r="BK127" s="31" t="str">
        <f>VLOOKUP(B127,Miljö!$B$1:$P$482,MATCH("Fossil andel i procent (%)",Miljö!$B$1:$P$1,0),FALSE)</f>
        <v>ET</v>
      </c>
      <c r="BL127" s="31">
        <f t="shared" si="37"/>
        <v>78.372</v>
      </c>
      <c r="BO127" s="32">
        <f t="shared" si="38"/>
        <v>1.2519777471545958E-2</v>
      </c>
      <c r="BP127" s="32">
        <f t="shared" si="39"/>
        <v>8.2816107793599741E-3</v>
      </c>
      <c r="BQ127" s="32">
        <f t="shared" si="40"/>
        <v>0.94857543000051026</v>
      </c>
      <c r="BR127" s="32">
        <f t="shared" si="41"/>
        <v>3.0623181748583677E-2</v>
      </c>
      <c r="BT127" s="62">
        <f t="shared" si="42"/>
        <v>0.99999999999999989</v>
      </c>
      <c r="BW127" s="32">
        <f>IF(AP127="Ja",VLOOKUP(B127,Miljövärden!$B$2:$H$551,MATCH("Total andel fossilt",Miljövärden!$B$2:$H$2,0),FALSE),"")</f>
        <v>1.2519799999999999E-2</v>
      </c>
      <c r="BX127" s="62">
        <f t="shared" si="43"/>
        <v>2.2528454041506607E-8</v>
      </c>
      <c r="BZ127" s="31">
        <f t="shared" si="44"/>
        <v>2.2528454041506607E-8</v>
      </c>
      <c r="CA127" s="32">
        <f t="shared" si="45"/>
        <v>0</v>
      </c>
    </row>
    <row r="128" spans="1:79" x14ac:dyDescent="0.45">
      <c r="A128" s="31" t="s">
        <v>515</v>
      </c>
      <c r="B128" s="31" t="s">
        <v>517</v>
      </c>
      <c r="C128" s="31">
        <f>VLOOKUP($B128,'Tillförd energi'!$B$1:$AI$720,MATCH(C$1,'Tillförd energi'!$B$1:$AQ$1,0),FALSE)</f>
        <v>0</v>
      </c>
      <c r="D128" s="31">
        <f>VLOOKUP($B128,'Tillförd energi'!$B$1:$AI$720,MATCH(D$1,'Tillförd energi'!$B$1:$AQ$1,0),FALSE)</f>
        <v>0.18</v>
      </c>
      <c r="E128" s="31">
        <f>VLOOKUP($B128,'Tillförd energi'!$B$1:$AI$720,MATCH(E$1,'Tillförd energi'!$B$1:$AQ$1,0),FALSE)</f>
        <v>0</v>
      </c>
      <c r="F128" s="31">
        <f>VLOOKUP($B128,'Tillförd energi'!$B$1:$AI$720,MATCH(F$1,'Tillförd energi'!$B$1:$AQ$1,0),FALSE)</f>
        <v>0</v>
      </c>
      <c r="G128" s="31">
        <f>VLOOKUP($B128,'Tillförd energi'!$B$1:$AI$720,MATCH(G$1,'Tillförd energi'!$B$1:$AQ$1,0),FALSE)</f>
        <v>0</v>
      </c>
      <c r="H128" s="31">
        <f>VLOOKUP($B128,'Tillförd energi'!$B$1:$AI$720,MATCH(H$1,'Tillförd energi'!$B$1:$AQ$1,0),FALSE)</f>
        <v>0</v>
      </c>
      <c r="I128" s="31">
        <f>VLOOKUP($B128,'Tillförd energi'!$B$1:$AI$720,MATCH(I$1,'Tillförd energi'!$B$1:$AQ$1,0),FALSE)</f>
        <v>0</v>
      </c>
      <c r="J128" s="31">
        <f>VLOOKUP($B128,'Tillförd energi'!$B$1:$AI$720,MATCH(J$1,'Tillförd energi'!$B$1:$AQ$1,0),FALSE)</f>
        <v>0</v>
      </c>
      <c r="K128" s="31">
        <f>VLOOKUP($B128,'Tillförd energi'!$B$1:$AI$720,MATCH(K$1,'Tillförd energi'!$B$1:$AQ$1,0),FALSE)</f>
        <v>0</v>
      </c>
      <c r="L128" s="31">
        <f>VLOOKUP($B128,'Tillförd energi'!$B$1:$AI$720,MATCH(L$1,'Tillförd energi'!$B$1:$AQ$1,0),FALSE)</f>
        <v>0</v>
      </c>
      <c r="M128" s="31">
        <f>VLOOKUP($B128,'Tillförd energi'!$B$1:$AI$720,MATCH(M$1,'Tillförd energi'!$B$1:$AQ$1,0),FALSE)</f>
        <v>0</v>
      </c>
      <c r="N128" s="31">
        <f>VLOOKUP($B128,'Tillförd energi'!$B$1:$AI$720,MATCH(N$1,'Tillförd energi'!$B$1:$AQ$1,0),FALSE)</f>
        <v>0</v>
      </c>
      <c r="O128" s="31">
        <f>VLOOKUP($B128,'Tillförd energi'!$B$1:$AI$720,MATCH(O$1,'Tillförd energi'!$B$1:$AQ$1,0),FALSE)</f>
        <v>0</v>
      </c>
      <c r="P128" s="31">
        <f>VLOOKUP($B128,'Tillförd energi'!$B$1:$AI$720,MATCH(P$1,'Tillförd energi'!$B$1:$AQ$1,0),FALSE)</f>
        <v>14.58</v>
      </c>
      <c r="Q128" s="31">
        <f>VLOOKUP($B128,'Tillförd energi'!$B$1:$AI$720,MATCH(Q$1,'Tillförd energi'!$B$1:$AQ$1,0),FALSE)</f>
        <v>0</v>
      </c>
      <c r="R128" s="31">
        <f>VLOOKUP($B128,'Tillförd energi'!$B$1:$AI$720,MATCH(R$1,'Tillförd energi'!$B$1:$AQ$1,0),FALSE)</f>
        <v>0</v>
      </c>
      <c r="S128" s="31">
        <f>VLOOKUP($B128,'Tillförd energi'!$B$1:$AI$720,MATCH(S$1,'Tillförd energi'!$B$1:$AQ$1,0),FALSE)</f>
        <v>0</v>
      </c>
      <c r="T128" s="31">
        <f>VLOOKUP($B128,'Tillförd energi'!$B$1:$AI$720,MATCH(T$1,'Tillförd energi'!$B$1:$AQ$1,0),FALSE)</f>
        <v>0</v>
      </c>
      <c r="U128" s="31">
        <f>VLOOKUP($B128,'Tillförd energi'!$B$1:$AI$720,MATCH(U$1,'Tillförd energi'!$B$1:$AQ$1,0),FALSE)</f>
        <v>0</v>
      </c>
      <c r="V128" s="31">
        <f>VLOOKUP($B128,'Tillförd energi'!$B$1:$AI$720,MATCH(V$1,'Tillförd energi'!$B$1:$AQ$1,0),FALSE)</f>
        <v>0</v>
      </c>
      <c r="W128" s="31">
        <f>VLOOKUP($B128,'Tillförd energi'!$B$1:$AI$720,MATCH(W$1,'Tillförd energi'!$B$1:$AQ$1,0),FALSE)</f>
        <v>0</v>
      </c>
      <c r="X128" s="31">
        <f>VLOOKUP($B128,'Tillförd energi'!$B$1:$AI$720,MATCH(X$1,'Tillförd energi'!$B$1:$AQ$1,0),FALSE)</f>
        <v>0</v>
      </c>
      <c r="Y128" s="31">
        <f>VLOOKUP($B128,'Tillförd energi'!$B$1:$AI$720,MATCH(Y$1,'Tillförd energi'!$B$1:$AQ$1,0),FALSE)</f>
        <v>0</v>
      </c>
      <c r="Z128" s="31">
        <f>VLOOKUP($B128,'Tillförd energi'!$B$1:$AI$720,MATCH(Z$1,'Tillförd energi'!$B$1:$AQ$1,0),FALSE)</f>
        <v>0</v>
      </c>
      <c r="AA128" s="31">
        <f>VLOOKUP($B128,'Tillförd energi'!$B$1:$AI$720,MATCH(AA$1,'Tillförd energi'!$B$1:$AQ$1,0),FALSE)</f>
        <v>0</v>
      </c>
      <c r="AB128" s="31">
        <f>VLOOKUP($B128,'Tillförd energi'!$B$1:$AI$720,MATCH(AB$1,'Tillförd energi'!$B$1:$AQ$1,0),FALSE)</f>
        <v>0</v>
      </c>
      <c r="AC128" s="31">
        <f>VLOOKUP($B128,'Tillförd energi'!$B$1:$AI$720,MATCH(AC$1,'Tillförd energi'!$B$1:$AQ$1,0),FALSE)</f>
        <v>2.2200000000000002</v>
      </c>
      <c r="AD128" s="31">
        <f>VLOOKUP($B128,'Tillförd energi'!$B$1:$AI$720,MATCH(AD$1,'Tillförd energi'!$B$1:$AQ$1,0),FALSE)</f>
        <v>0</v>
      </c>
      <c r="AE128" s="31">
        <f>VLOOKUP($B128,'Tillförd energi'!$B$1:$AI$720,MATCH(AE$1,'Tillförd energi'!$B$1:$AQ$1,0),FALSE)</f>
        <v>0</v>
      </c>
      <c r="AF128" s="31">
        <f>VLOOKUP($B128,'Tillförd energi'!$B$1:$AI$720,MATCH(AF$1,'Tillförd energi'!$B$1:$AQ$1,0),FALSE)</f>
        <v>0.42</v>
      </c>
      <c r="AG128" s="31">
        <f>IFERROR(VLOOKUP(B128,Miljö!$B$1:$AC$550,MATCH("Köpt mängd produktionsspecifik fjärrvärme:",Miljö!$B$1:$AC$1,0),FALSE)/1,0)</f>
        <v>0</v>
      </c>
      <c r="AI128" s="31">
        <f t="shared" si="23"/>
        <v>17.400000000000002</v>
      </c>
      <c r="AJ128" s="31">
        <f t="shared" si="24"/>
        <v>17.400000000000002</v>
      </c>
      <c r="AK128" s="31">
        <f>IF(ISERROR(1/VLOOKUP($B128,Leveranser!$B$1:$S$499,MATCH("Såld värme (GWh)",Leveranser!$B$1:$S$1,0),FALSE)),"",VLOOKUP($B128,Leveranser!$B$1:$S$499,MATCH("Såld värme (GWh)",Leveranser!$B$1:$S$1,0),FALSE))</f>
        <v>11.73</v>
      </c>
      <c r="AL128" s="31">
        <f>VLOOKUP($B128,Leveranser!$B$1:$Y$499,MATCH("Totalt såld fjärrvärme till andra fjärrvärmeföretag",Leveranser!$B$1:$AA$1,0),FALSE)</f>
        <v>0</v>
      </c>
      <c r="AM128" s="31">
        <f>IF(ISERROR(1/VLOOKUP($B128,Miljö!$B$1:$S$500,MATCH("Såld mängd produktionsspecifik fjärrvärme (GWh)",Miljö!$B$1:$R$1,0),FALSE)),0,VLOOKUP($B128,Miljö!$B$1:$S$500,MATCH("Såld mängd produktionsspecifik fjärrvärme (GWh)",Miljö!$B$1:$R$1,0),FALSE))</f>
        <v>0</v>
      </c>
      <c r="AN128" s="32">
        <f t="shared" si="25"/>
        <v>0.67413793103448272</v>
      </c>
      <c r="AP128" s="31" t="str">
        <f>IFERROR(VLOOKUP($B128,Miljövärden!$B$2:$H$550,7,FALSE),"Nej, saknas")</f>
        <v>Ja</v>
      </c>
      <c r="AQ128" s="31" t="str">
        <f>IFERROR(VLOOKUP($B128,Miljövärden!$B$2:$H$551,6,FALSE),"Nej, saknas")</f>
        <v>Ja</v>
      </c>
      <c r="AU128" s="31">
        <f t="shared" si="26"/>
        <v>0.42</v>
      </c>
      <c r="AV128" s="31">
        <f t="shared" si="27"/>
        <v>0</v>
      </c>
      <c r="AW128" s="31">
        <f t="shared" si="28"/>
        <v>14.58</v>
      </c>
      <c r="AX128" s="31">
        <f t="shared" si="29"/>
        <v>0</v>
      </c>
      <c r="AZ128" s="31">
        <f t="shared" si="30"/>
        <v>14.58</v>
      </c>
      <c r="BC128" s="31">
        <f t="shared" si="31"/>
        <v>0.18</v>
      </c>
      <c r="BD128" s="31">
        <f t="shared" si="32"/>
        <v>0</v>
      </c>
      <c r="BE128" s="31">
        <f t="shared" si="33"/>
        <v>14.58</v>
      </c>
      <c r="BF128" s="31">
        <f t="shared" si="34"/>
        <v>2.2200000000000002</v>
      </c>
      <c r="BG128" s="31">
        <f t="shared" si="35"/>
        <v>0.42</v>
      </c>
      <c r="BH128" s="31">
        <f>VLOOKUP(B128,Miljö!$B$1:$BX$482,MATCH("Fossilandel för ursprungspecificerad el ()",Miljö!$B$1:$I$1,0),FALSE)</f>
        <v>0</v>
      </c>
      <c r="BI128" s="31">
        <f>VLOOKUP(B128,Miljö!$B$1:$BX$482,MATCH("Kärnkraftsandel för ursprungsspecificerad el ()",Miljö!$B$1:$O$1,0),FALSE)</f>
        <v>0</v>
      </c>
      <c r="BJ128" s="31">
        <f t="shared" si="36"/>
        <v>0</v>
      </c>
      <c r="BK128" s="31" t="str">
        <f>VLOOKUP(B128,Miljö!$B$1:$P$482,MATCH("Fossil andel i procent (%)",Miljö!$B$1:$P$1,0),FALSE)</f>
        <v>ET</v>
      </c>
      <c r="BL128" s="31">
        <f t="shared" si="37"/>
        <v>17.400000000000002</v>
      </c>
      <c r="BO128" s="32">
        <f t="shared" si="38"/>
        <v>1.0344827586206895E-2</v>
      </c>
      <c r="BP128" s="32">
        <f t="shared" si="39"/>
        <v>0</v>
      </c>
      <c r="BQ128" s="32">
        <f t="shared" si="40"/>
        <v>0.86206896551724133</v>
      </c>
      <c r="BR128" s="32">
        <f t="shared" si="41"/>
        <v>0.12758620689655173</v>
      </c>
      <c r="BT128" s="62">
        <f t="shared" si="42"/>
        <v>1</v>
      </c>
      <c r="BW128" s="32">
        <f>IF(AP128="Ja",VLOOKUP(B128,Miljövärden!$B$2:$H$551,MATCH("Total andel fossilt",Miljövärden!$B$2:$H$2,0),FALSE),"")</f>
        <v>1.0344799999999999E-2</v>
      </c>
      <c r="BX128" s="62">
        <f t="shared" si="43"/>
        <v>-2.7586206895191534E-8</v>
      </c>
      <c r="BZ128" s="31">
        <f t="shared" si="44"/>
        <v>-2.7586206895191534E-8</v>
      </c>
      <c r="CA128" s="32">
        <f t="shared" si="45"/>
        <v>0</v>
      </c>
    </row>
    <row r="129" spans="1:79" x14ac:dyDescent="0.45">
      <c r="A129" s="31" t="s">
        <v>515</v>
      </c>
      <c r="B129" s="31" t="s">
        <v>516</v>
      </c>
      <c r="C129" s="31">
        <f>VLOOKUP($B129,'Tillförd energi'!$B$1:$AI$720,MATCH(C$1,'Tillförd energi'!$B$1:$AQ$1,0),FALSE)</f>
        <v>0</v>
      </c>
      <c r="D129" s="31">
        <f>VLOOKUP($B129,'Tillförd energi'!$B$1:$AI$720,MATCH(D$1,'Tillförd energi'!$B$1:$AQ$1,0),FALSE)</f>
        <v>2.7716699999999999</v>
      </c>
      <c r="E129" s="31">
        <f>VLOOKUP($B129,'Tillförd energi'!$B$1:$AI$720,MATCH(E$1,'Tillförd energi'!$B$1:$AQ$1,0),FALSE)</f>
        <v>0</v>
      </c>
      <c r="F129" s="31">
        <f>VLOOKUP($B129,'Tillförd energi'!$B$1:$AI$720,MATCH(F$1,'Tillförd energi'!$B$1:$AQ$1,0),FALSE)</f>
        <v>14.03</v>
      </c>
      <c r="G129" s="31">
        <f>VLOOKUP($B129,'Tillförd energi'!$B$1:$AI$720,MATCH(G$1,'Tillförd energi'!$B$1:$AQ$1,0),FALSE)</f>
        <v>0</v>
      </c>
      <c r="H129" s="31">
        <f>VLOOKUP($B129,'Tillförd energi'!$B$1:$AI$720,MATCH(H$1,'Tillförd energi'!$B$1:$AQ$1,0),FALSE)</f>
        <v>0</v>
      </c>
      <c r="I129" s="31">
        <f>VLOOKUP($B129,'Tillförd energi'!$B$1:$AI$720,MATCH(I$1,'Tillförd energi'!$B$1:$AQ$1,0),FALSE)</f>
        <v>243.90899999999999</v>
      </c>
      <c r="J129" s="31">
        <f>VLOOKUP($B129,'Tillförd energi'!$B$1:$AI$720,MATCH(J$1,'Tillförd energi'!$B$1:$AQ$1,0),FALSE)</f>
        <v>0</v>
      </c>
      <c r="K129" s="31">
        <f>VLOOKUP($B129,'Tillförd energi'!$B$1:$AI$720,MATCH(K$1,'Tillförd energi'!$B$1:$AQ$1,0),FALSE)</f>
        <v>0</v>
      </c>
      <c r="L129" s="31">
        <f>VLOOKUP($B129,'Tillförd energi'!$B$1:$AI$720,MATCH(L$1,'Tillförd energi'!$B$1:$AQ$1,0),FALSE)</f>
        <v>4.3468499999999999</v>
      </c>
      <c r="M129" s="31">
        <f>VLOOKUP($B129,'Tillförd energi'!$B$1:$AI$720,MATCH(M$1,'Tillförd energi'!$B$1:$AQ$1,0),FALSE)</f>
        <v>28.075299999999999</v>
      </c>
      <c r="N129" s="31">
        <f>VLOOKUP($B129,'Tillförd energi'!$B$1:$AI$720,MATCH(N$1,'Tillförd energi'!$B$1:$AQ$1,0),FALSE)</f>
        <v>128.96700000000001</v>
      </c>
      <c r="O129" s="31">
        <f>VLOOKUP($B129,'Tillförd energi'!$B$1:$AI$720,MATCH(O$1,'Tillförd energi'!$B$1:$AQ$1,0),FALSE)</f>
        <v>4.7709299999999999</v>
      </c>
      <c r="P129" s="31">
        <f>VLOOKUP($B129,'Tillförd energi'!$B$1:$AI$720,MATCH(P$1,'Tillförd energi'!$B$1:$AQ$1,0),FALSE)</f>
        <v>15.0448</v>
      </c>
      <c r="Q129" s="31">
        <f>VLOOKUP($B129,'Tillförd energi'!$B$1:$AI$720,MATCH(Q$1,'Tillförd energi'!$B$1:$AQ$1,0),FALSE)</f>
        <v>47.0227</v>
      </c>
      <c r="R129" s="31">
        <f>VLOOKUP($B129,'Tillförd energi'!$B$1:$AI$720,MATCH(R$1,'Tillförd energi'!$B$1:$AQ$1,0),FALSE)</f>
        <v>13.8</v>
      </c>
      <c r="S129" s="31">
        <f>VLOOKUP($B129,'Tillförd energi'!$B$1:$AI$720,MATCH(S$1,'Tillförd energi'!$B$1:$AQ$1,0),FALSE)</f>
        <v>0</v>
      </c>
      <c r="T129" s="31">
        <f>VLOOKUP($B129,'Tillförd energi'!$B$1:$AI$720,MATCH(T$1,'Tillförd energi'!$B$1:$AQ$1,0),FALSE)</f>
        <v>25.43</v>
      </c>
      <c r="U129" s="31">
        <f>VLOOKUP($B129,'Tillförd energi'!$B$1:$AI$720,MATCH(U$1,'Tillförd energi'!$B$1:$AQ$1,0),FALSE)</f>
        <v>0</v>
      </c>
      <c r="V129" s="31">
        <f>VLOOKUP($B129,'Tillförd energi'!$B$1:$AI$720,MATCH(V$1,'Tillförd energi'!$B$1:$AQ$1,0),FALSE)</f>
        <v>0</v>
      </c>
      <c r="W129" s="31">
        <f>VLOOKUP($B129,'Tillförd energi'!$B$1:$AI$720,MATCH(W$1,'Tillförd energi'!$B$1:$AQ$1,0),FALSE)</f>
        <v>0</v>
      </c>
      <c r="X129" s="31">
        <f>VLOOKUP($B129,'Tillförd energi'!$B$1:$AI$720,MATCH(X$1,'Tillförd energi'!$B$1:$AQ$1,0),FALSE)</f>
        <v>0</v>
      </c>
      <c r="Y129" s="31">
        <f>VLOOKUP($B129,'Tillförd energi'!$B$1:$AI$720,MATCH(Y$1,'Tillförd energi'!$B$1:$AQ$1,0),FALSE)</f>
        <v>0</v>
      </c>
      <c r="Z129" s="31">
        <f>VLOOKUP($B129,'Tillförd energi'!$B$1:$AI$720,MATCH(Z$1,'Tillförd energi'!$B$1:$AQ$1,0),FALSE)</f>
        <v>0</v>
      </c>
      <c r="AA129" s="31">
        <f>VLOOKUP($B129,'Tillförd energi'!$B$1:$AI$720,MATCH(AA$1,'Tillförd energi'!$B$1:$AQ$1,0),FALSE)</f>
        <v>5.0199999999999996</v>
      </c>
      <c r="AB129" s="31">
        <f>VLOOKUP($B129,'Tillförd energi'!$B$1:$AI$720,MATCH(AB$1,'Tillförd energi'!$B$1:$AQ$1,0),FALSE)</f>
        <v>10.74</v>
      </c>
      <c r="AC129" s="31">
        <f>VLOOKUP($B129,'Tillförd energi'!$B$1:$AI$720,MATCH(AC$1,'Tillförd energi'!$B$1:$AQ$1,0),FALSE)</f>
        <v>130.09800000000001</v>
      </c>
      <c r="AD129" s="31">
        <f>VLOOKUP($B129,'Tillförd energi'!$B$1:$AI$720,MATCH(AD$1,'Tillförd energi'!$B$1:$AQ$1,0),FALSE)</f>
        <v>0</v>
      </c>
      <c r="AE129" s="31">
        <f>VLOOKUP($B129,'Tillförd energi'!$B$1:$AI$720,MATCH(AE$1,'Tillförd energi'!$B$1:$AQ$1,0),FALSE)</f>
        <v>0</v>
      </c>
      <c r="AF129" s="31">
        <f>VLOOKUP($B129,'Tillförd energi'!$B$1:$AI$720,MATCH(AF$1,'Tillförd energi'!$B$1:$AQ$1,0),FALSE)</f>
        <v>25.542400000000001</v>
      </c>
      <c r="AG129" s="31">
        <f>IFERROR(VLOOKUP(B129,Miljö!$B$1:$AC$550,MATCH("Köpt mängd produktionsspecifik fjärrvärme:",Miljö!$B$1:$AC$1,0),FALSE)/1,0)</f>
        <v>0</v>
      </c>
      <c r="AI129" s="31">
        <f t="shared" si="23"/>
        <v>699.56865000000016</v>
      </c>
      <c r="AJ129" s="31">
        <f t="shared" si="24"/>
        <v>699.56865000000016</v>
      </c>
      <c r="AK129" s="31">
        <f>IF(ISERROR(1/VLOOKUP($B129,Leveranser!$B$1:$S$499,MATCH("Såld värme (GWh)",Leveranser!$B$1:$S$1,0),FALSE)),"",VLOOKUP($B129,Leveranser!$B$1:$S$499,MATCH("Såld värme (GWh)",Leveranser!$B$1:$S$1,0),FALSE))</f>
        <v>676.178</v>
      </c>
      <c r="AL129" s="31">
        <f>VLOOKUP($B129,Leveranser!$B$1:$Y$499,MATCH("Totalt såld fjärrvärme till andra fjärrvärmeföretag",Leveranser!$B$1:$AA$1,0),FALSE)</f>
        <v>0</v>
      </c>
      <c r="AM129" s="31">
        <f>IF(ISERROR(1/VLOOKUP($B129,Miljö!$B$1:$S$500,MATCH("Såld mängd produktionsspecifik fjärrvärme (GWh)",Miljö!$B$1:$R$1,0),FALSE)),0,VLOOKUP($B129,Miljö!$B$1:$S$500,MATCH("Såld mängd produktionsspecifik fjärrvärme (GWh)",Miljö!$B$1:$R$1,0),FALSE))</f>
        <v>9.9179999999999993</v>
      </c>
      <c r="AN129" s="32">
        <f t="shared" si="25"/>
        <v>0.96656418208563211</v>
      </c>
      <c r="AP129" s="31" t="str">
        <f>IFERROR(VLOOKUP($B129,Miljövärden!$B$2:$H$550,7,FALSE),"Nej, saknas")</f>
        <v>Ja</v>
      </c>
      <c r="AQ129" s="31" t="str">
        <f>IFERROR(VLOOKUP($B129,Miljövärden!$B$2:$H$551,6,FALSE),"Nej, saknas")</f>
        <v>Ja</v>
      </c>
      <c r="AU129" s="31">
        <f t="shared" si="26"/>
        <v>30.5624</v>
      </c>
      <c r="AV129" s="31">
        <f t="shared" si="27"/>
        <v>0</v>
      </c>
      <c r="AW129" s="31">
        <f t="shared" si="28"/>
        <v>223.88073000000003</v>
      </c>
      <c r="AX129" s="31">
        <f t="shared" si="29"/>
        <v>39.230000000000004</v>
      </c>
      <c r="AZ129" s="31">
        <f t="shared" si="30"/>
        <v>267.45758000000006</v>
      </c>
      <c r="BC129" s="31">
        <f t="shared" si="31"/>
        <v>16.801669999999998</v>
      </c>
      <c r="BD129" s="31">
        <f t="shared" si="32"/>
        <v>0</v>
      </c>
      <c r="BE129" s="31">
        <f t="shared" si="33"/>
        <v>263.11073000000005</v>
      </c>
      <c r="BF129" s="31">
        <f t="shared" si="34"/>
        <v>389.09384999999997</v>
      </c>
      <c r="BG129" s="31">
        <f t="shared" si="35"/>
        <v>30.5624</v>
      </c>
      <c r="BH129" s="31">
        <f>VLOOKUP(B129,Miljö!$B$1:$BX$482,MATCH("Fossilandel för ursprungspecificerad el ()",Miljö!$B$1:$I$1,0),FALSE)</f>
        <v>0</v>
      </c>
      <c r="BI129" s="31">
        <f>VLOOKUP(B129,Miljö!$B$1:$BX$482,MATCH("Kärnkraftsandel för ursprungsspecificerad el ()",Miljö!$B$1:$O$1,0),FALSE)</f>
        <v>0</v>
      </c>
      <c r="BJ129" s="31">
        <f t="shared" si="36"/>
        <v>0</v>
      </c>
      <c r="BK129" s="31" t="str">
        <f>VLOOKUP(B129,Miljö!$B$1:$P$482,MATCH("Fossil andel i procent (%)",Miljö!$B$1:$P$1,0),FALSE)</f>
        <v>ET</v>
      </c>
      <c r="BL129" s="31">
        <f t="shared" si="37"/>
        <v>699.56865000000005</v>
      </c>
      <c r="BO129" s="32">
        <f t="shared" si="38"/>
        <v>2.4017185447060836E-2</v>
      </c>
      <c r="BP129" s="32">
        <f t="shared" si="39"/>
        <v>0</v>
      </c>
      <c r="BQ129" s="32">
        <f t="shared" si="40"/>
        <v>0.41979172451481361</v>
      </c>
      <c r="BR129" s="32">
        <f t="shared" si="41"/>
        <v>0.55619109003812561</v>
      </c>
      <c r="BT129" s="62">
        <f t="shared" si="42"/>
        <v>1</v>
      </c>
      <c r="BW129" s="32">
        <f>IF(AP129="Ja",VLOOKUP(B129,Miljövärden!$B$2:$H$551,MATCH("Total andel fossilt",Miljövärden!$B$2:$H$2,0),FALSE),"")</f>
        <v>2.4362600000000002E-2</v>
      </c>
      <c r="BX129" s="62">
        <f t="shared" si="43"/>
        <v>3.4541455293916543E-4</v>
      </c>
      <c r="BZ129" s="31">
        <f t="shared" si="44"/>
        <v>3.4541455293916543E-4</v>
      </c>
      <c r="CA129" s="32">
        <f t="shared" si="45"/>
        <v>0</v>
      </c>
    </row>
    <row r="130" spans="1:79" x14ac:dyDescent="0.45">
      <c r="A130" s="31" t="s">
        <v>515</v>
      </c>
      <c r="B130" s="31" t="s">
        <v>514</v>
      </c>
      <c r="C130" s="31">
        <f>VLOOKUP($B130,'Tillförd energi'!$B$1:$AI$720,MATCH(C$1,'Tillförd energi'!$B$1:$AQ$1,0),FALSE)</f>
        <v>0</v>
      </c>
      <c r="D130" s="31">
        <f>VLOOKUP($B130,'Tillförd energi'!$B$1:$AI$720,MATCH(D$1,'Tillförd energi'!$B$1:$AQ$1,0),FALSE)</f>
        <v>8.6999999999999994E-2</v>
      </c>
      <c r="E130" s="31">
        <f>VLOOKUP($B130,'Tillförd energi'!$B$1:$AI$720,MATCH(E$1,'Tillförd energi'!$B$1:$AQ$1,0),FALSE)</f>
        <v>0</v>
      </c>
      <c r="F130" s="31">
        <f>VLOOKUP($B130,'Tillförd energi'!$B$1:$AI$720,MATCH(F$1,'Tillförd energi'!$B$1:$AQ$1,0),FALSE)</f>
        <v>0</v>
      </c>
      <c r="G130" s="31">
        <f>VLOOKUP($B130,'Tillförd energi'!$B$1:$AI$720,MATCH(G$1,'Tillförd energi'!$B$1:$AQ$1,0),FALSE)</f>
        <v>0</v>
      </c>
      <c r="H130" s="31">
        <f>VLOOKUP($B130,'Tillförd energi'!$B$1:$AI$720,MATCH(H$1,'Tillförd energi'!$B$1:$AQ$1,0),FALSE)</f>
        <v>0</v>
      </c>
      <c r="I130" s="31">
        <f>VLOOKUP($B130,'Tillförd energi'!$B$1:$AI$720,MATCH(I$1,'Tillförd energi'!$B$1:$AQ$1,0),FALSE)</f>
        <v>0</v>
      </c>
      <c r="J130" s="31">
        <f>VLOOKUP($B130,'Tillförd energi'!$B$1:$AI$720,MATCH(J$1,'Tillförd energi'!$B$1:$AQ$1,0),FALSE)</f>
        <v>0</v>
      </c>
      <c r="K130" s="31">
        <f>VLOOKUP($B130,'Tillförd energi'!$B$1:$AI$720,MATCH(K$1,'Tillförd energi'!$B$1:$AQ$1,0),FALSE)</f>
        <v>0</v>
      </c>
      <c r="L130" s="31">
        <f>VLOOKUP($B130,'Tillförd energi'!$B$1:$AI$720,MATCH(L$1,'Tillförd energi'!$B$1:$AQ$1,0),FALSE)</f>
        <v>0</v>
      </c>
      <c r="M130" s="31">
        <f>VLOOKUP($B130,'Tillförd energi'!$B$1:$AI$720,MATCH(M$1,'Tillförd energi'!$B$1:$AQ$1,0),FALSE)</f>
        <v>0</v>
      </c>
      <c r="N130" s="31">
        <f>VLOOKUP($B130,'Tillförd energi'!$B$1:$AI$720,MATCH(N$1,'Tillförd energi'!$B$1:$AQ$1,0),FALSE)</f>
        <v>0</v>
      </c>
      <c r="O130" s="31">
        <f>VLOOKUP($B130,'Tillförd energi'!$B$1:$AI$720,MATCH(O$1,'Tillförd energi'!$B$1:$AQ$1,0),FALSE)</f>
        <v>0</v>
      </c>
      <c r="P130" s="31">
        <f>VLOOKUP($B130,'Tillförd energi'!$B$1:$AI$720,MATCH(P$1,'Tillförd energi'!$B$1:$AQ$1,0),FALSE)</f>
        <v>0</v>
      </c>
      <c r="Q130" s="31">
        <f>VLOOKUP($B130,'Tillförd energi'!$B$1:$AI$720,MATCH(Q$1,'Tillförd energi'!$B$1:$AQ$1,0),FALSE)</f>
        <v>0</v>
      </c>
      <c r="R130" s="31">
        <f>VLOOKUP($B130,'Tillförd energi'!$B$1:$AI$720,MATCH(R$1,'Tillförd energi'!$B$1:$AQ$1,0),FALSE)</f>
        <v>6.5</v>
      </c>
      <c r="S130" s="31">
        <f>VLOOKUP($B130,'Tillförd energi'!$B$1:$AI$720,MATCH(S$1,'Tillförd energi'!$B$1:$AQ$1,0),FALSE)</f>
        <v>0</v>
      </c>
      <c r="T130" s="31">
        <f>VLOOKUP($B130,'Tillförd energi'!$B$1:$AI$720,MATCH(T$1,'Tillförd energi'!$B$1:$AQ$1,0),FALSE)</f>
        <v>0</v>
      </c>
      <c r="U130" s="31">
        <f>VLOOKUP($B130,'Tillförd energi'!$B$1:$AI$720,MATCH(U$1,'Tillförd energi'!$B$1:$AQ$1,0),FALSE)</f>
        <v>0</v>
      </c>
      <c r="V130" s="31">
        <f>VLOOKUP($B130,'Tillförd energi'!$B$1:$AI$720,MATCH(V$1,'Tillförd energi'!$B$1:$AQ$1,0),FALSE)</f>
        <v>0</v>
      </c>
      <c r="W130" s="31">
        <f>VLOOKUP($B130,'Tillförd energi'!$B$1:$AI$720,MATCH(W$1,'Tillförd energi'!$B$1:$AQ$1,0),FALSE)</f>
        <v>0</v>
      </c>
      <c r="X130" s="31">
        <f>VLOOKUP($B130,'Tillförd energi'!$B$1:$AI$720,MATCH(X$1,'Tillförd energi'!$B$1:$AQ$1,0),FALSE)</f>
        <v>0</v>
      </c>
      <c r="Y130" s="31">
        <f>VLOOKUP($B130,'Tillförd energi'!$B$1:$AI$720,MATCH(Y$1,'Tillförd energi'!$B$1:$AQ$1,0),FALSE)</f>
        <v>0</v>
      </c>
      <c r="Z130" s="31">
        <f>VLOOKUP($B130,'Tillförd energi'!$B$1:$AI$720,MATCH(Z$1,'Tillförd energi'!$B$1:$AQ$1,0),FALSE)</f>
        <v>0</v>
      </c>
      <c r="AA130" s="31">
        <f>VLOOKUP($B130,'Tillförd energi'!$B$1:$AI$720,MATCH(AA$1,'Tillförd energi'!$B$1:$AQ$1,0),FALSE)</f>
        <v>0</v>
      </c>
      <c r="AB130" s="31">
        <f>VLOOKUP($B130,'Tillförd energi'!$B$1:$AI$720,MATCH(AB$1,'Tillförd energi'!$B$1:$AQ$1,0),FALSE)</f>
        <v>0</v>
      </c>
      <c r="AC130" s="31">
        <f>VLOOKUP($B130,'Tillförd energi'!$B$1:$AI$720,MATCH(AC$1,'Tillförd energi'!$B$1:$AQ$1,0),FALSE)</f>
        <v>0</v>
      </c>
      <c r="AD130" s="31">
        <f>VLOOKUP($B130,'Tillförd energi'!$B$1:$AI$720,MATCH(AD$1,'Tillförd energi'!$B$1:$AQ$1,0),FALSE)</f>
        <v>0</v>
      </c>
      <c r="AE130" s="31">
        <f>VLOOKUP($B130,'Tillförd energi'!$B$1:$AI$720,MATCH(AE$1,'Tillförd energi'!$B$1:$AQ$1,0),FALSE)</f>
        <v>0</v>
      </c>
      <c r="AF130" s="31">
        <f>VLOOKUP($B130,'Tillförd energi'!$B$1:$AI$720,MATCH(AF$1,'Tillförd energi'!$B$1:$AQ$1,0),FALSE)</f>
        <v>0.112</v>
      </c>
      <c r="AG130" s="31">
        <f>IFERROR(VLOOKUP(B130,Miljö!$B$1:$AC$550,MATCH("Köpt mängd produktionsspecifik fjärrvärme:",Miljö!$B$1:$AC$1,0),FALSE)/1,0)</f>
        <v>0</v>
      </c>
      <c r="AI130" s="31">
        <f t="shared" si="23"/>
        <v>6.6989999999999998</v>
      </c>
      <c r="AJ130" s="31">
        <f t="shared" si="24"/>
        <v>6.6989999999999998</v>
      </c>
      <c r="AK130" s="31">
        <f>IF(ISERROR(1/VLOOKUP($B130,Leveranser!$B$1:$S$499,MATCH("Såld värme (GWh)",Leveranser!$B$1:$S$1,0),FALSE)),"",VLOOKUP($B130,Leveranser!$B$1:$S$499,MATCH("Såld värme (GWh)",Leveranser!$B$1:$S$1,0),FALSE))</f>
        <v>5.117</v>
      </c>
      <c r="AL130" s="31">
        <f>VLOOKUP($B130,Leveranser!$B$1:$Y$499,MATCH("Totalt såld fjärrvärme till andra fjärrvärmeföretag",Leveranser!$B$1:$AA$1,0),FALSE)</f>
        <v>0</v>
      </c>
      <c r="AM130" s="31">
        <f>IF(ISERROR(1/VLOOKUP($B130,Miljö!$B$1:$S$500,MATCH("Såld mängd produktionsspecifik fjärrvärme (GWh)",Miljö!$B$1:$R$1,0),FALSE)),0,VLOOKUP($B130,Miljö!$B$1:$S$500,MATCH("Såld mängd produktionsspecifik fjärrvärme (GWh)",Miljö!$B$1:$R$1,0),FALSE))</f>
        <v>0</v>
      </c>
      <c r="AN130" s="32">
        <f t="shared" si="25"/>
        <v>0.76384535005224663</v>
      </c>
      <c r="AP130" s="31" t="str">
        <f>IFERROR(VLOOKUP($B130,Miljövärden!$B$2:$H$550,7,FALSE),"Nej, saknas")</f>
        <v>Ja</v>
      </c>
      <c r="AQ130" s="31" t="str">
        <f>IFERROR(VLOOKUP($B130,Miljövärden!$B$2:$H$551,6,FALSE),"Nej, saknas")</f>
        <v>Ja</v>
      </c>
      <c r="AU130" s="31">
        <f t="shared" si="26"/>
        <v>0.112</v>
      </c>
      <c r="AV130" s="31">
        <f t="shared" si="27"/>
        <v>0</v>
      </c>
      <c r="AW130" s="31">
        <f t="shared" si="28"/>
        <v>0</v>
      </c>
      <c r="AX130" s="31">
        <f t="shared" si="29"/>
        <v>6.5</v>
      </c>
      <c r="AZ130" s="31">
        <f t="shared" si="30"/>
        <v>6.5</v>
      </c>
      <c r="BC130" s="31">
        <f t="shared" si="31"/>
        <v>8.6999999999999994E-2</v>
      </c>
      <c r="BD130" s="31">
        <f t="shared" si="32"/>
        <v>0</v>
      </c>
      <c r="BE130" s="31">
        <f t="shared" si="33"/>
        <v>6.5</v>
      </c>
      <c r="BF130" s="31">
        <f t="shared" si="34"/>
        <v>0</v>
      </c>
      <c r="BG130" s="31">
        <f t="shared" si="35"/>
        <v>0.112</v>
      </c>
      <c r="BH130" s="31">
        <f>VLOOKUP(B130,Miljö!$B$1:$BX$482,MATCH("Fossilandel för ursprungspecificerad el ()",Miljö!$B$1:$I$1,0),FALSE)</f>
        <v>0</v>
      </c>
      <c r="BI130" s="31">
        <f>VLOOKUP(B130,Miljö!$B$1:$BX$482,MATCH("Kärnkraftsandel för ursprungsspecificerad el ()",Miljö!$B$1:$O$1,0),FALSE)</f>
        <v>0</v>
      </c>
      <c r="BJ130" s="31">
        <f t="shared" si="36"/>
        <v>0</v>
      </c>
      <c r="BK130" s="31" t="str">
        <f>VLOOKUP(B130,Miljö!$B$1:$P$482,MATCH("Fossil andel i procent (%)",Miljö!$B$1:$P$1,0),FALSE)</f>
        <v>ET</v>
      </c>
      <c r="BL130" s="31">
        <f t="shared" si="37"/>
        <v>6.6989999999999998</v>
      </c>
      <c r="BO130" s="32">
        <f t="shared" si="38"/>
        <v>1.2987012987012986E-2</v>
      </c>
      <c r="BP130" s="32">
        <f t="shared" si="39"/>
        <v>0</v>
      </c>
      <c r="BQ130" s="32">
        <f t="shared" si="40"/>
        <v>0.98701298701298701</v>
      </c>
      <c r="BR130" s="32">
        <f t="shared" si="41"/>
        <v>0</v>
      </c>
      <c r="BT130" s="62">
        <f t="shared" si="42"/>
        <v>1</v>
      </c>
      <c r="BW130" s="32">
        <f>IF(AP130="Ja",VLOOKUP(B130,Miljövärden!$B$2:$H$551,MATCH("Total andel fossilt",Miljövärden!$B$2:$H$2,0),FALSE),"")</f>
        <v>1.2987E-2</v>
      </c>
      <c r="BX130" s="62">
        <f t="shared" si="43"/>
        <v>-1.2987012985854474E-8</v>
      </c>
      <c r="BZ130" s="31">
        <f t="shared" si="44"/>
        <v>-1.2987012985854474E-8</v>
      </c>
      <c r="CA130" s="32">
        <f t="shared" si="45"/>
        <v>0</v>
      </c>
    </row>
    <row r="131" spans="1:79" x14ac:dyDescent="0.45">
      <c r="A131" s="31" t="s">
        <v>513</v>
      </c>
      <c r="B131" s="31" t="s">
        <v>512</v>
      </c>
      <c r="C131" s="31">
        <f>VLOOKUP($B131,'Tillförd energi'!$B$1:$AI$720,MATCH(C$1,'Tillförd energi'!$B$1:$AQ$1,0),FALSE)</f>
        <v>0</v>
      </c>
      <c r="D131" s="31">
        <f>VLOOKUP($B131,'Tillförd energi'!$B$1:$AI$720,MATCH(D$1,'Tillförd energi'!$B$1:$AQ$1,0),FALSE)</f>
        <v>1.76</v>
      </c>
      <c r="E131" s="31">
        <f>VLOOKUP($B131,'Tillförd energi'!$B$1:$AI$720,MATCH(E$1,'Tillförd energi'!$B$1:$AQ$1,0),FALSE)</f>
        <v>0</v>
      </c>
      <c r="F131" s="31">
        <f>VLOOKUP($B131,'Tillförd energi'!$B$1:$AI$720,MATCH(F$1,'Tillförd energi'!$B$1:$AQ$1,0),FALSE)</f>
        <v>3.27</v>
      </c>
      <c r="G131" s="31">
        <f>VLOOKUP($B131,'Tillförd energi'!$B$1:$AI$720,MATCH(G$1,'Tillförd energi'!$B$1:$AQ$1,0),FALSE)</f>
        <v>0</v>
      </c>
      <c r="H131" s="31">
        <f>VLOOKUP($B131,'Tillförd energi'!$B$1:$AI$720,MATCH(H$1,'Tillförd energi'!$B$1:$AQ$1,0),FALSE)</f>
        <v>0</v>
      </c>
      <c r="I131" s="31">
        <f>VLOOKUP($B131,'Tillförd energi'!$B$1:$AI$720,MATCH(I$1,'Tillförd energi'!$B$1:$AQ$1,0),FALSE)</f>
        <v>0</v>
      </c>
      <c r="J131" s="31">
        <f>VLOOKUP($B131,'Tillförd energi'!$B$1:$AI$720,MATCH(J$1,'Tillförd energi'!$B$1:$AQ$1,0),FALSE)</f>
        <v>0</v>
      </c>
      <c r="K131" s="31">
        <f>VLOOKUP($B131,'Tillförd energi'!$B$1:$AI$720,MATCH(K$1,'Tillförd energi'!$B$1:$AQ$1,0),FALSE)</f>
        <v>0</v>
      </c>
      <c r="L131" s="31">
        <f>VLOOKUP($B131,'Tillförd energi'!$B$1:$AI$720,MATCH(L$1,'Tillförd energi'!$B$1:$AQ$1,0),FALSE)</f>
        <v>0</v>
      </c>
      <c r="M131" s="31">
        <f>VLOOKUP($B131,'Tillförd energi'!$B$1:$AI$720,MATCH(M$1,'Tillförd energi'!$B$1:$AQ$1,0),FALSE)</f>
        <v>52.7042</v>
      </c>
      <c r="N131" s="31">
        <f>VLOOKUP($B131,'Tillförd energi'!$B$1:$AI$720,MATCH(N$1,'Tillförd energi'!$B$1:$AQ$1,0),FALSE)</f>
        <v>142.80099999999999</v>
      </c>
      <c r="O131" s="31">
        <f>VLOOKUP($B131,'Tillförd energi'!$B$1:$AI$720,MATCH(O$1,'Tillförd energi'!$B$1:$AQ$1,0),FALSE)</f>
        <v>28.366800000000001</v>
      </c>
      <c r="P131" s="31">
        <f>VLOOKUP($B131,'Tillförd energi'!$B$1:$AI$720,MATCH(P$1,'Tillförd energi'!$B$1:$AQ$1,0),FALSE)</f>
        <v>0.53724899999999998</v>
      </c>
      <c r="Q131" s="31">
        <f>VLOOKUP($B131,'Tillförd energi'!$B$1:$AI$720,MATCH(Q$1,'Tillförd energi'!$B$1:$AQ$1,0),FALSE)</f>
        <v>0</v>
      </c>
      <c r="R131" s="31">
        <f>VLOOKUP($B131,'Tillförd energi'!$B$1:$AI$720,MATCH(R$1,'Tillförd energi'!$B$1:$AQ$1,0),FALSE)</f>
        <v>0</v>
      </c>
      <c r="S131" s="31">
        <f>VLOOKUP($B131,'Tillförd energi'!$B$1:$AI$720,MATCH(S$1,'Tillförd energi'!$B$1:$AQ$1,0),FALSE)</f>
        <v>0</v>
      </c>
      <c r="T131" s="31">
        <f>VLOOKUP($B131,'Tillförd energi'!$B$1:$AI$720,MATCH(T$1,'Tillförd energi'!$B$1:$AQ$1,0),FALSE)</f>
        <v>56.4</v>
      </c>
      <c r="U131" s="31">
        <f>VLOOKUP($B131,'Tillförd energi'!$B$1:$AI$720,MATCH(U$1,'Tillförd energi'!$B$1:$AQ$1,0),FALSE)</f>
        <v>0</v>
      </c>
      <c r="V131" s="31">
        <f>VLOOKUP($B131,'Tillförd energi'!$B$1:$AI$720,MATCH(V$1,'Tillförd energi'!$B$1:$AQ$1,0),FALSE)</f>
        <v>0</v>
      </c>
      <c r="W131" s="31">
        <f>VLOOKUP($B131,'Tillförd energi'!$B$1:$AI$720,MATCH(W$1,'Tillförd energi'!$B$1:$AQ$1,0),FALSE)</f>
        <v>0</v>
      </c>
      <c r="X131" s="31">
        <f>VLOOKUP($B131,'Tillförd energi'!$B$1:$AI$720,MATCH(X$1,'Tillförd energi'!$B$1:$AQ$1,0),FALSE)</f>
        <v>0</v>
      </c>
      <c r="Y131" s="31">
        <f>VLOOKUP($B131,'Tillförd energi'!$B$1:$AI$720,MATCH(Y$1,'Tillförd energi'!$B$1:$AQ$1,0),FALSE)</f>
        <v>0</v>
      </c>
      <c r="Z131" s="31">
        <f>VLOOKUP($B131,'Tillförd energi'!$B$1:$AI$720,MATCH(Z$1,'Tillförd energi'!$B$1:$AQ$1,0),FALSE)</f>
        <v>0</v>
      </c>
      <c r="AA131" s="31">
        <f>VLOOKUP($B131,'Tillförd energi'!$B$1:$AI$720,MATCH(AA$1,'Tillförd energi'!$B$1:$AQ$1,0),FALSE)</f>
        <v>0</v>
      </c>
      <c r="AB131" s="31">
        <f>VLOOKUP($B131,'Tillförd energi'!$B$1:$AI$720,MATCH(AB$1,'Tillförd energi'!$B$1:$AQ$1,0),FALSE)</f>
        <v>0</v>
      </c>
      <c r="AC131" s="31">
        <f>VLOOKUP($B131,'Tillförd energi'!$B$1:$AI$720,MATCH(AC$1,'Tillförd energi'!$B$1:$AQ$1,0),FALSE)</f>
        <v>85.5</v>
      </c>
      <c r="AD131" s="31">
        <f>VLOOKUP($B131,'Tillförd energi'!$B$1:$AI$720,MATCH(AD$1,'Tillförd energi'!$B$1:$AQ$1,0),FALSE)</f>
        <v>0</v>
      </c>
      <c r="AE131" s="31">
        <f>VLOOKUP($B131,'Tillförd energi'!$B$1:$AI$720,MATCH(AE$1,'Tillförd energi'!$B$1:$AQ$1,0),FALSE)</f>
        <v>0</v>
      </c>
      <c r="AF131" s="31">
        <f>VLOOKUP($B131,'Tillförd energi'!$B$1:$AI$720,MATCH(AF$1,'Tillförd energi'!$B$1:$AQ$1,0),FALSE)</f>
        <v>16.825800000000001</v>
      </c>
      <c r="AG131" s="31">
        <f>IFERROR(VLOOKUP(B131,Miljö!$B$1:$AC$550,MATCH("Köpt mängd produktionsspecifik fjärrvärme:",Miljö!$B$1:$AC$1,0),FALSE)/1,0)</f>
        <v>0</v>
      </c>
      <c r="AI131" s="31">
        <f t="shared" ref="AI131:AI194" si="46">SUM(C131:AF131)</f>
        <v>388.16504900000001</v>
      </c>
      <c r="AJ131" s="31">
        <f t="shared" ref="AJ131:AJ194" si="47">SUM(C131:AG131)</f>
        <v>388.16504900000001</v>
      </c>
      <c r="AK131" s="31">
        <f>IF(ISERROR(1/VLOOKUP($B131,Leveranser!$B$1:$S$499,MATCH("Såld värme (GWh)",Leveranser!$B$1:$S$1,0),FALSE)),"",VLOOKUP($B131,Leveranser!$B$1:$S$499,MATCH("Såld värme (GWh)",Leveranser!$B$1:$S$1,0),FALSE))</f>
        <v>355.1</v>
      </c>
      <c r="AL131" s="31">
        <f>VLOOKUP($B131,Leveranser!$B$1:$Y$499,MATCH("Totalt såld fjärrvärme till andra fjärrvärmeföretag",Leveranser!$B$1:$AA$1,0),FALSE)</f>
        <v>0</v>
      </c>
      <c r="AM131" s="31">
        <f>IF(ISERROR(1/VLOOKUP($B131,Miljö!$B$1:$S$500,MATCH("Såld mängd produktionsspecifik fjärrvärme (GWh)",Miljö!$B$1:$R$1,0),FALSE)),0,VLOOKUP($B131,Miljö!$B$1:$S$500,MATCH("Såld mängd produktionsspecifik fjärrvärme (GWh)",Miljö!$B$1:$R$1,0),FALSE))</f>
        <v>0</v>
      </c>
      <c r="AN131" s="32">
        <f t="shared" ref="AN131:AN194" si="48">IFERROR(AK131/AJ131,"")</f>
        <v>0.91481703701767336</v>
      </c>
      <c r="AP131" s="31" t="str">
        <f>IFERROR(VLOOKUP($B131,Miljövärden!$B$2:$H$550,7,FALSE),"Nej, saknas")</f>
        <v>Ja</v>
      </c>
      <c r="AQ131" s="31" t="str">
        <f>IFERROR(VLOOKUP($B131,Miljövärden!$B$2:$H$551,6,FALSE),"Nej, saknas")</f>
        <v>Ja</v>
      </c>
      <c r="AU131" s="31">
        <f t="shared" ref="AU131:AU194" si="49">Z131+AA131+AF131</f>
        <v>16.825800000000001</v>
      </c>
      <c r="AV131" s="31">
        <f t="shared" ref="AV131:AV194" si="50">X131</f>
        <v>0</v>
      </c>
      <c r="AW131" s="31">
        <f t="shared" ref="AW131:AW194" si="51">M131+N131+O131+P131+Q131</f>
        <v>224.40924900000002</v>
      </c>
      <c r="AX131" s="31">
        <f t="shared" ref="AX131:AX194" si="52">R131+S131+T131+U131</f>
        <v>56.4</v>
      </c>
      <c r="AZ131" s="31">
        <f t="shared" ref="AZ131:AZ194" si="53">L131+M131+N131+O131+P131+Q131+R131+S131+T131+U131+V131+W131+X131</f>
        <v>280.80924900000002</v>
      </c>
      <c r="BC131" s="31">
        <f t="shared" ref="BC131:BC194" si="54">C131+D131+E131+F131+G131+H131+AE131</f>
        <v>5.03</v>
      </c>
      <c r="BD131" s="31">
        <f t="shared" ref="BD131:BD194" si="55">Y131</f>
        <v>0</v>
      </c>
      <c r="BE131" s="31">
        <f t="shared" ref="BE131:BE194" si="56">M131+N131+O131+P131+Q131+R131+S131+T131+U131+V131+W131+X131</f>
        <v>280.80924900000002</v>
      </c>
      <c r="BF131" s="31">
        <f t="shared" ref="BF131:BF194" si="57">I131+J131+K131+L131+AB131+AC131+AD131</f>
        <v>85.5</v>
      </c>
      <c r="BG131" s="31">
        <f t="shared" ref="BG131:BG194" si="58">Z131+AA131+AF131</f>
        <v>16.825800000000001</v>
      </c>
      <c r="BH131" s="31">
        <f>VLOOKUP(B131,Miljö!$B$1:$BX$482,MATCH("Fossilandel för ursprungspecificerad el ()",Miljö!$B$1:$I$1,0),FALSE)</f>
        <v>0</v>
      </c>
      <c r="BI131" s="31">
        <f>VLOOKUP(B131,Miljö!$B$1:$BX$482,MATCH("Kärnkraftsandel för ursprungsspecificerad el ()",Miljö!$B$1:$O$1,0),FALSE)</f>
        <v>0</v>
      </c>
      <c r="BJ131" s="31">
        <f t="shared" ref="BJ131:BJ194" si="59">AG131</f>
        <v>0</v>
      </c>
      <c r="BK131" s="31" t="str">
        <f>VLOOKUP(B131,Miljö!$B$1:$P$482,MATCH("Fossil andel i procent (%)",Miljö!$B$1:$P$1,0),FALSE)</f>
        <v>ET</v>
      </c>
      <c r="BL131" s="31">
        <f t="shared" ref="BL131:BL194" si="60">SUM(BC131:BG131,BJ131)</f>
        <v>388.16504900000001</v>
      </c>
      <c r="BO131" s="32">
        <f t="shared" ref="BO131:BO194" si="61">IF(AP131="ja",(BC131+IFERROR(BG131*BH131,0)+IFERROR(BJ131*BK131/100,0))/$BL131,"")</f>
        <v>1.2958405227256822E-2</v>
      </c>
      <c r="BP131" s="32">
        <f t="shared" ref="BP131:BP194" si="62">IF(AP131="ja",(BD131+IFERROR(BG131*BI131,0)+IFERROR(BJ131*(1-BK131/100),0))/$BL131,"")</f>
        <v>0</v>
      </c>
      <c r="BQ131" s="32">
        <f t="shared" ref="BQ131:BQ194" si="63">IF(AP131="ja",(BE131+IFERROR(BG131*(1-BH131-BI131),0))/$BL131,"")</f>
        <v>0.76677446814640959</v>
      </c>
      <c r="BR131" s="32">
        <f t="shared" ref="BR131:BR194" si="64">IF(AP131="Ja",BF131/$BL131,"")</f>
        <v>0.22026712662633363</v>
      </c>
      <c r="BT131" s="62">
        <f t="shared" ref="BT131:BT194" si="65">SUM(BO131:BR131)</f>
        <v>1</v>
      </c>
      <c r="BW131" s="32">
        <f>IF(AP131="Ja",VLOOKUP(B131,Miljövärden!$B$2:$H$551,MATCH("Total andel fossilt",Miljövärden!$B$2:$H$2,0),FALSE),"")</f>
        <v>1.29584E-2</v>
      </c>
      <c r="BX131" s="62">
        <f t="shared" ref="BX131:BX194" si="66">BW131-BO131</f>
        <v>-5.227256821838111E-9</v>
      </c>
      <c r="BZ131" s="31">
        <f t="shared" ref="BZ131:BZ194" si="67">IFERROR(BW131-BO131,"")</f>
        <v>-5.227256821838111E-9</v>
      </c>
      <c r="CA131" s="32">
        <f t="shared" ref="CA131:CA194" si="68">IFERROR(ROUND(BW131,3)-ROUND(BO131,3),"")</f>
        <v>0</v>
      </c>
    </row>
    <row r="132" spans="1:79" x14ac:dyDescent="0.45">
      <c r="A132" s="31" t="s">
        <v>511</v>
      </c>
      <c r="B132" s="31" t="s">
        <v>80</v>
      </c>
      <c r="C132" s="31">
        <f>VLOOKUP($B132,'Tillförd energi'!$B$1:$AI$720,MATCH(C$1,'Tillförd energi'!$B$1:$AQ$1,0),FALSE)</f>
        <v>0</v>
      </c>
      <c r="D132" s="31">
        <f>VLOOKUP($B132,'Tillförd energi'!$B$1:$AI$720,MATCH(D$1,'Tillförd energi'!$B$1:$AQ$1,0),FALSE)</f>
        <v>0.52</v>
      </c>
      <c r="E132" s="31">
        <f>VLOOKUP($B132,'Tillförd energi'!$B$1:$AI$720,MATCH(E$1,'Tillförd energi'!$B$1:$AQ$1,0),FALSE)</f>
        <v>0</v>
      </c>
      <c r="F132" s="31">
        <f>VLOOKUP($B132,'Tillförd energi'!$B$1:$AI$720,MATCH(F$1,'Tillförd energi'!$B$1:$AQ$1,0),FALSE)</f>
        <v>0</v>
      </c>
      <c r="G132" s="31">
        <f>VLOOKUP($B132,'Tillförd energi'!$B$1:$AI$720,MATCH(G$1,'Tillförd energi'!$B$1:$AQ$1,0),FALSE)</f>
        <v>0</v>
      </c>
      <c r="H132" s="31">
        <f>VLOOKUP($B132,'Tillförd energi'!$B$1:$AI$720,MATCH(H$1,'Tillförd energi'!$B$1:$AQ$1,0),FALSE)</f>
        <v>0</v>
      </c>
      <c r="I132" s="31">
        <f>VLOOKUP($B132,'Tillförd energi'!$B$1:$AI$720,MATCH(I$1,'Tillförd energi'!$B$1:$AQ$1,0),FALSE)</f>
        <v>0</v>
      </c>
      <c r="J132" s="31">
        <f>VLOOKUP($B132,'Tillförd energi'!$B$1:$AI$720,MATCH(J$1,'Tillförd energi'!$B$1:$AQ$1,0),FALSE)</f>
        <v>0</v>
      </c>
      <c r="K132" s="31">
        <f>VLOOKUP($B132,'Tillförd energi'!$B$1:$AI$720,MATCH(K$1,'Tillförd energi'!$B$1:$AQ$1,0),FALSE)</f>
        <v>0</v>
      </c>
      <c r="L132" s="31">
        <f>VLOOKUP($B132,'Tillförd energi'!$B$1:$AI$720,MATCH(L$1,'Tillförd energi'!$B$1:$AQ$1,0),FALSE)</f>
        <v>0</v>
      </c>
      <c r="M132" s="31">
        <f>VLOOKUP($B132,'Tillförd energi'!$B$1:$AI$720,MATCH(M$1,'Tillförd energi'!$B$1:$AQ$1,0),FALSE)</f>
        <v>0</v>
      </c>
      <c r="N132" s="31">
        <f>VLOOKUP($B132,'Tillförd energi'!$B$1:$AI$720,MATCH(N$1,'Tillförd energi'!$B$1:$AQ$1,0),FALSE)</f>
        <v>0</v>
      </c>
      <c r="O132" s="31">
        <f>VLOOKUP($B132,'Tillförd energi'!$B$1:$AI$720,MATCH(O$1,'Tillförd energi'!$B$1:$AQ$1,0),FALSE)</f>
        <v>0</v>
      </c>
      <c r="P132" s="31">
        <f>VLOOKUP($B132,'Tillförd energi'!$B$1:$AI$720,MATCH(P$1,'Tillförd energi'!$B$1:$AQ$1,0),FALSE)</f>
        <v>17.600000000000001</v>
      </c>
      <c r="Q132" s="31">
        <f>VLOOKUP($B132,'Tillförd energi'!$B$1:$AI$720,MATCH(Q$1,'Tillförd energi'!$B$1:$AQ$1,0),FALSE)</f>
        <v>0</v>
      </c>
      <c r="R132" s="31">
        <f>VLOOKUP($B132,'Tillförd energi'!$B$1:$AI$720,MATCH(R$1,'Tillförd energi'!$B$1:$AQ$1,0),FALSE)</f>
        <v>0</v>
      </c>
      <c r="S132" s="31">
        <f>VLOOKUP($B132,'Tillförd energi'!$B$1:$AI$720,MATCH(S$1,'Tillförd energi'!$B$1:$AQ$1,0),FALSE)</f>
        <v>0</v>
      </c>
      <c r="T132" s="31">
        <f>VLOOKUP($B132,'Tillförd energi'!$B$1:$AI$720,MATCH(T$1,'Tillförd energi'!$B$1:$AQ$1,0),FALSE)</f>
        <v>0</v>
      </c>
      <c r="U132" s="31">
        <f>VLOOKUP($B132,'Tillförd energi'!$B$1:$AI$720,MATCH(U$1,'Tillförd energi'!$B$1:$AQ$1,0),FALSE)</f>
        <v>0</v>
      </c>
      <c r="V132" s="31">
        <f>VLOOKUP($B132,'Tillförd energi'!$B$1:$AI$720,MATCH(V$1,'Tillförd energi'!$B$1:$AQ$1,0),FALSE)</f>
        <v>0</v>
      </c>
      <c r="W132" s="31">
        <f>VLOOKUP($B132,'Tillförd energi'!$B$1:$AI$720,MATCH(W$1,'Tillförd energi'!$B$1:$AQ$1,0),FALSE)</f>
        <v>0</v>
      </c>
      <c r="X132" s="31">
        <f>VLOOKUP($B132,'Tillförd energi'!$B$1:$AI$720,MATCH(X$1,'Tillförd energi'!$B$1:$AQ$1,0),FALSE)</f>
        <v>0</v>
      </c>
      <c r="Y132" s="31">
        <f>VLOOKUP($B132,'Tillförd energi'!$B$1:$AI$720,MATCH(Y$1,'Tillförd energi'!$B$1:$AQ$1,0),FALSE)</f>
        <v>0</v>
      </c>
      <c r="Z132" s="31">
        <f>VLOOKUP($B132,'Tillförd energi'!$B$1:$AI$720,MATCH(Z$1,'Tillförd energi'!$B$1:$AQ$1,0),FALSE)</f>
        <v>0</v>
      </c>
      <c r="AA132" s="31">
        <f>VLOOKUP($B132,'Tillförd energi'!$B$1:$AI$720,MATCH(AA$1,'Tillförd energi'!$B$1:$AQ$1,0),FALSE)</f>
        <v>0</v>
      </c>
      <c r="AB132" s="31">
        <f>VLOOKUP($B132,'Tillförd energi'!$B$1:$AI$720,MATCH(AB$1,'Tillförd energi'!$B$1:$AQ$1,0),FALSE)</f>
        <v>0</v>
      </c>
      <c r="AC132" s="31">
        <f>VLOOKUP($B132,'Tillförd energi'!$B$1:$AI$720,MATCH(AC$1,'Tillförd energi'!$B$1:$AQ$1,0),FALSE)</f>
        <v>0</v>
      </c>
      <c r="AD132" s="31">
        <f>VLOOKUP($B132,'Tillförd energi'!$B$1:$AI$720,MATCH(AD$1,'Tillförd energi'!$B$1:$AQ$1,0),FALSE)</f>
        <v>0</v>
      </c>
      <c r="AE132" s="31">
        <f>VLOOKUP($B132,'Tillförd energi'!$B$1:$AI$720,MATCH(AE$1,'Tillförd energi'!$B$1:$AQ$1,0),FALSE)</f>
        <v>0</v>
      </c>
      <c r="AF132" s="31">
        <f>VLOOKUP($B132,'Tillförd energi'!$B$1:$AI$720,MATCH(AF$1,'Tillförd energi'!$B$1:$AQ$1,0),FALSE)</f>
        <v>0.44400000000000001</v>
      </c>
      <c r="AG132" s="31">
        <f>IFERROR(VLOOKUP(B132,Miljö!$B$1:$AC$550,MATCH("Köpt mängd produktionsspecifik fjärrvärme:",Miljö!$B$1:$AC$1,0),FALSE)/1,0)</f>
        <v>0</v>
      </c>
      <c r="AI132" s="31">
        <f t="shared" si="46"/>
        <v>18.564</v>
      </c>
      <c r="AJ132" s="31">
        <f t="shared" si="47"/>
        <v>18.564</v>
      </c>
      <c r="AK132" s="31">
        <f>IF(ISERROR(1/VLOOKUP($B132,Leveranser!$B$1:$S$499,MATCH("Såld värme (GWh)",Leveranser!$B$1:$S$1,0),FALSE)),"",VLOOKUP($B132,Leveranser!$B$1:$S$499,MATCH("Såld värme (GWh)",Leveranser!$B$1:$S$1,0),FALSE))</f>
        <v>14.8</v>
      </c>
      <c r="AL132" s="31">
        <f>VLOOKUP($B132,Leveranser!$B$1:$Y$499,MATCH("Totalt såld fjärrvärme till andra fjärrvärmeföretag",Leveranser!$B$1:$AA$1,0),FALSE)</f>
        <v>0</v>
      </c>
      <c r="AM132" s="31">
        <f>IF(ISERROR(1/VLOOKUP($B132,Miljö!$B$1:$S$500,MATCH("Såld mängd produktionsspecifik fjärrvärme (GWh)",Miljö!$B$1:$R$1,0),FALSE)),0,VLOOKUP($B132,Miljö!$B$1:$S$500,MATCH("Såld mängd produktionsspecifik fjärrvärme (GWh)",Miljö!$B$1:$R$1,0),FALSE))</f>
        <v>0</v>
      </c>
      <c r="AN132" s="32">
        <f t="shared" si="48"/>
        <v>0.797241973712562</v>
      </c>
      <c r="AP132" s="31" t="str">
        <f>IFERROR(VLOOKUP($B132,Miljövärden!$B$2:$H$550,7,FALSE),"Nej, saknas")</f>
        <v>Ja</v>
      </c>
      <c r="AQ132" s="31" t="str">
        <f>IFERROR(VLOOKUP($B132,Miljövärden!$B$2:$H$551,6,FALSE),"Nej, saknas")</f>
        <v>Nej</v>
      </c>
      <c r="AU132" s="31">
        <f t="shared" si="49"/>
        <v>0.44400000000000001</v>
      </c>
      <c r="AV132" s="31">
        <f t="shared" si="50"/>
        <v>0</v>
      </c>
      <c r="AW132" s="31">
        <f t="shared" si="51"/>
        <v>17.600000000000001</v>
      </c>
      <c r="AX132" s="31">
        <f t="shared" si="52"/>
        <v>0</v>
      </c>
      <c r="AZ132" s="31">
        <f t="shared" si="53"/>
        <v>17.600000000000001</v>
      </c>
      <c r="BC132" s="31">
        <f t="shared" si="54"/>
        <v>0.52</v>
      </c>
      <c r="BD132" s="31">
        <f t="shared" si="55"/>
        <v>0</v>
      </c>
      <c r="BE132" s="31">
        <f t="shared" si="56"/>
        <v>17.600000000000001</v>
      </c>
      <c r="BF132" s="31">
        <f t="shared" si="57"/>
        <v>0</v>
      </c>
      <c r="BG132" s="31">
        <f t="shared" si="58"/>
        <v>0.44400000000000001</v>
      </c>
      <c r="BH132" s="31">
        <f>VLOOKUP(B132,Miljö!$B$1:$BX$482,MATCH("Fossilandel för ursprungspecificerad el ()",Miljö!$B$1:$I$1,0),FALSE)</f>
        <v>0.35399999999999998</v>
      </c>
      <c r="BI132" s="31">
        <f>VLOOKUP(B132,Miljö!$B$1:$BX$482,MATCH("Kärnkraftsandel för ursprungsspecificerad el ()",Miljö!$B$1:$O$1,0),FALSE)</f>
        <v>0.39700000000000002</v>
      </c>
      <c r="BJ132" s="31">
        <f t="shared" si="59"/>
        <v>0</v>
      </c>
      <c r="BK132" s="31" t="str">
        <f>VLOOKUP(B132,Miljö!$B$1:$P$482,MATCH("Fossil andel i procent (%)",Miljö!$B$1:$P$1,0),FALSE)</f>
        <v>ET</v>
      </c>
      <c r="BL132" s="31">
        <f t="shared" si="60"/>
        <v>18.564</v>
      </c>
      <c r="BO132" s="32">
        <f t="shared" si="61"/>
        <v>3.6477914242620126E-2</v>
      </c>
      <c r="BP132" s="32">
        <f t="shared" si="62"/>
        <v>9.4951519069166133E-3</v>
      </c>
      <c r="BQ132" s="32">
        <f t="shared" si="63"/>
        <v>0.95402693385046333</v>
      </c>
      <c r="BR132" s="32">
        <f t="shared" si="64"/>
        <v>0</v>
      </c>
      <c r="BT132" s="62">
        <f t="shared" si="65"/>
        <v>1</v>
      </c>
      <c r="BW132" s="32">
        <f>IF(AP132="Ja",VLOOKUP(B132,Miljövärden!$B$2:$H$551,MATCH("Total andel fossilt",Miljövärden!$B$2:$H$2,0),FALSE),"")</f>
        <v>3.6477900000000001E-2</v>
      </c>
      <c r="BX132" s="62">
        <f t="shared" si="66"/>
        <v>-1.4242620124949035E-8</v>
      </c>
      <c r="BZ132" s="31">
        <f t="shared" si="67"/>
        <v>-1.4242620124949035E-8</v>
      </c>
      <c r="CA132" s="32">
        <f t="shared" si="68"/>
        <v>0</v>
      </c>
    </row>
    <row r="133" spans="1:79" x14ac:dyDescent="0.45">
      <c r="A133" s="31" t="s">
        <v>510</v>
      </c>
      <c r="B133" s="31" t="s">
        <v>509</v>
      </c>
      <c r="C133" s="31">
        <f>VLOOKUP($B133,'Tillförd energi'!$B$1:$AI$720,MATCH(C$1,'Tillförd energi'!$B$1:$AQ$1,0),FALSE)</f>
        <v>0</v>
      </c>
      <c r="D133" s="31">
        <f>VLOOKUP($B133,'Tillförd energi'!$B$1:$AI$720,MATCH(D$1,'Tillförd energi'!$B$1:$AQ$1,0),FALSE)</f>
        <v>0.23</v>
      </c>
      <c r="E133" s="31">
        <f>VLOOKUP($B133,'Tillförd energi'!$B$1:$AI$720,MATCH(E$1,'Tillförd energi'!$B$1:$AQ$1,0),FALSE)</f>
        <v>0</v>
      </c>
      <c r="F133" s="31">
        <f>VLOOKUP($B133,'Tillförd energi'!$B$1:$AI$720,MATCH(F$1,'Tillförd energi'!$B$1:$AQ$1,0),FALSE)</f>
        <v>0</v>
      </c>
      <c r="G133" s="31">
        <f>VLOOKUP($B133,'Tillförd energi'!$B$1:$AI$720,MATCH(G$1,'Tillförd energi'!$B$1:$AQ$1,0),FALSE)</f>
        <v>8.5000000000000006E-2</v>
      </c>
      <c r="H133" s="31">
        <f>VLOOKUP($B133,'Tillförd energi'!$B$1:$AI$720,MATCH(H$1,'Tillförd energi'!$B$1:$AQ$1,0),FALSE)</f>
        <v>0</v>
      </c>
      <c r="I133" s="31">
        <f>VLOOKUP($B133,'Tillförd energi'!$B$1:$AI$720,MATCH(I$1,'Tillförd energi'!$B$1:$AQ$1,0),FALSE)</f>
        <v>0</v>
      </c>
      <c r="J133" s="31">
        <f>VLOOKUP($B133,'Tillförd energi'!$B$1:$AI$720,MATCH(J$1,'Tillförd energi'!$B$1:$AQ$1,0),FALSE)</f>
        <v>0</v>
      </c>
      <c r="K133" s="31">
        <f>VLOOKUP($B133,'Tillförd energi'!$B$1:$AI$720,MATCH(K$1,'Tillförd energi'!$B$1:$AQ$1,0),FALSE)</f>
        <v>0</v>
      </c>
      <c r="L133" s="31">
        <f>VLOOKUP($B133,'Tillförd energi'!$B$1:$AI$720,MATCH(L$1,'Tillförd energi'!$B$1:$AQ$1,0),FALSE)</f>
        <v>0</v>
      </c>
      <c r="M133" s="31">
        <f>VLOOKUP($B133,'Tillförd energi'!$B$1:$AI$720,MATCH(M$1,'Tillförd energi'!$B$1:$AQ$1,0),FALSE)</f>
        <v>0</v>
      </c>
      <c r="N133" s="31">
        <f>VLOOKUP($B133,'Tillförd energi'!$B$1:$AI$720,MATCH(N$1,'Tillförd energi'!$B$1:$AQ$1,0),FALSE)</f>
        <v>0</v>
      </c>
      <c r="O133" s="31">
        <f>VLOOKUP($B133,'Tillförd energi'!$B$1:$AI$720,MATCH(O$1,'Tillförd energi'!$B$1:$AQ$1,0),FALSE)</f>
        <v>0</v>
      </c>
      <c r="P133" s="31">
        <f>VLOOKUP($B133,'Tillförd energi'!$B$1:$AI$720,MATCH(P$1,'Tillförd energi'!$B$1:$AQ$1,0),FALSE)</f>
        <v>0</v>
      </c>
      <c r="Q133" s="31">
        <f>VLOOKUP($B133,'Tillförd energi'!$B$1:$AI$720,MATCH(Q$1,'Tillförd energi'!$B$1:$AQ$1,0),FALSE)</f>
        <v>0</v>
      </c>
      <c r="R133" s="31">
        <f>VLOOKUP($B133,'Tillförd energi'!$B$1:$AI$720,MATCH(R$1,'Tillförd energi'!$B$1:$AQ$1,0),FALSE)</f>
        <v>4.7963500000000003</v>
      </c>
      <c r="S133" s="31">
        <f>VLOOKUP($B133,'Tillförd energi'!$B$1:$AI$720,MATCH(S$1,'Tillförd energi'!$B$1:$AQ$1,0),FALSE)</f>
        <v>0</v>
      </c>
      <c r="T133" s="31">
        <f>VLOOKUP($B133,'Tillförd energi'!$B$1:$AI$720,MATCH(T$1,'Tillförd energi'!$B$1:$AQ$1,0),FALSE)</f>
        <v>0</v>
      </c>
      <c r="U133" s="31">
        <f>VLOOKUP($B133,'Tillförd energi'!$B$1:$AI$720,MATCH(U$1,'Tillförd energi'!$B$1:$AQ$1,0),FALSE)</f>
        <v>0</v>
      </c>
      <c r="V133" s="31">
        <f>VLOOKUP($B133,'Tillförd energi'!$B$1:$AI$720,MATCH(V$1,'Tillförd energi'!$B$1:$AQ$1,0),FALSE)</f>
        <v>0</v>
      </c>
      <c r="W133" s="31">
        <f>VLOOKUP($B133,'Tillförd energi'!$B$1:$AI$720,MATCH(W$1,'Tillförd energi'!$B$1:$AQ$1,0),FALSE)</f>
        <v>0</v>
      </c>
      <c r="X133" s="31">
        <f>VLOOKUP($B133,'Tillförd energi'!$B$1:$AI$720,MATCH(X$1,'Tillförd energi'!$B$1:$AQ$1,0),FALSE)</f>
        <v>0</v>
      </c>
      <c r="Y133" s="31">
        <f>VLOOKUP($B133,'Tillförd energi'!$B$1:$AI$720,MATCH(Y$1,'Tillförd energi'!$B$1:$AQ$1,0),FALSE)</f>
        <v>0</v>
      </c>
      <c r="Z133" s="31">
        <f>VLOOKUP($B133,'Tillförd energi'!$B$1:$AI$720,MATCH(Z$1,'Tillförd energi'!$B$1:$AQ$1,0),FALSE)</f>
        <v>0</v>
      </c>
      <c r="AA133" s="31">
        <f>VLOOKUP($B133,'Tillförd energi'!$B$1:$AI$720,MATCH(AA$1,'Tillförd energi'!$B$1:$AQ$1,0),FALSE)</f>
        <v>0</v>
      </c>
      <c r="AB133" s="31">
        <f>VLOOKUP($B133,'Tillförd energi'!$B$1:$AI$720,MATCH(AB$1,'Tillförd energi'!$B$1:$AQ$1,0),FALSE)</f>
        <v>0</v>
      </c>
      <c r="AC133" s="31">
        <f>VLOOKUP($B133,'Tillförd energi'!$B$1:$AI$720,MATCH(AC$1,'Tillförd energi'!$B$1:$AQ$1,0),FALSE)</f>
        <v>0</v>
      </c>
      <c r="AD133" s="31">
        <f>VLOOKUP($B133,'Tillförd energi'!$B$1:$AI$720,MATCH(AD$1,'Tillförd energi'!$B$1:$AQ$1,0),FALSE)</f>
        <v>180.17699999999999</v>
      </c>
      <c r="AE133" s="31">
        <f>VLOOKUP($B133,'Tillförd energi'!$B$1:$AI$720,MATCH(AE$1,'Tillförd energi'!$B$1:$AQ$1,0),FALSE)</f>
        <v>0</v>
      </c>
      <c r="AF133" s="31">
        <f>VLOOKUP($B133,'Tillförd energi'!$B$1:$AI$720,MATCH(AF$1,'Tillförd energi'!$B$1:$AQ$1,0),FALSE)</f>
        <v>4.84497</v>
      </c>
      <c r="AG133" s="31">
        <f>IFERROR(VLOOKUP(B133,Miljö!$B$1:$AC$550,MATCH("Köpt mängd produktionsspecifik fjärrvärme:",Miljö!$B$1:$AC$1,0),FALSE)/1,0)</f>
        <v>0</v>
      </c>
      <c r="AI133" s="31">
        <f t="shared" si="46"/>
        <v>190.13331999999997</v>
      </c>
      <c r="AJ133" s="31">
        <f t="shared" si="47"/>
        <v>190.13331999999997</v>
      </c>
      <c r="AK133" s="31">
        <f>IF(ISERROR(1/VLOOKUP($B133,Leveranser!$B$1:$S$499,MATCH("Såld värme (GWh)",Leveranser!$B$1:$S$1,0),FALSE)),"",VLOOKUP($B133,Leveranser!$B$1:$S$499,MATCH("Såld värme (GWh)",Leveranser!$B$1:$S$1,0),FALSE))</f>
        <v>161.499</v>
      </c>
      <c r="AL133" s="31">
        <f>VLOOKUP($B133,Leveranser!$B$1:$Y$499,MATCH("Totalt såld fjärrvärme till andra fjärrvärmeföretag",Leveranser!$B$1:$AA$1,0),FALSE)</f>
        <v>0</v>
      </c>
      <c r="AM133" s="31">
        <f>IF(ISERROR(1/VLOOKUP($B133,Miljö!$B$1:$S$500,MATCH("Såld mängd produktionsspecifik fjärrvärme (GWh)",Miljö!$B$1:$R$1,0),FALSE)),0,VLOOKUP($B133,Miljö!$B$1:$S$500,MATCH("Såld mängd produktionsspecifik fjärrvärme (GWh)",Miljö!$B$1:$R$1,0),FALSE))</f>
        <v>0</v>
      </c>
      <c r="AN133" s="32">
        <f t="shared" si="48"/>
        <v>0.84939872716681131</v>
      </c>
      <c r="AP133" s="31" t="str">
        <f>IFERROR(VLOOKUP($B133,Miljövärden!$B$2:$H$550,7,FALSE),"Nej, saknas")</f>
        <v>Ja</v>
      </c>
      <c r="AQ133" s="31" t="str">
        <f>IFERROR(VLOOKUP($B133,Miljövärden!$B$2:$H$551,6,FALSE),"Nej, saknas")</f>
        <v>Ja</v>
      </c>
      <c r="AU133" s="31">
        <f t="shared" si="49"/>
        <v>4.84497</v>
      </c>
      <c r="AV133" s="31">
        <f t="shared" si="50"/>
        <v>0</v>
      </c>
      <c r="AW133" s="31">
        <f t="shared" si="51"/>
        <v>0</v>
      </c>
      <c r="AX133" s="31">
        <f t="shared" si="52"/>
        <v>4.7963500000000003</v>
      </c>
      <c r="AZ133" s="31">
        <f t="shared" si="53"/>
        <v>4.7963500000000003</v>
      </c>
      <c r="BC133" s="31">
        <f t="shared" si="54"/>
        <v>0.315</v>
      </c>
      <c r="BD133" s="31">
        <f t="shared" si="55"/>
        <v>0</v>
      </c>
      <c r="BE133" s="31">
        <f t="shared" si="56"/>
        <v>4.7963500000000003</v>
      </c>
      <c r="BF133" s="31">
        <f t="shared" si="57"/>
        <v>180.17699999999999</v>
      </c>
      <c r="BG133" s="31">
        <f t="shared" si="58"/>
        <v>4.84497</v>
      </c>
      <c r="BH133" s="31">
        <f>VLOOKUP(B133,Miljö!$B$1:$BX$482,MATCH("Fossilandel för ursprungspecificerad el ()",Miljö!$B$1:$I$1,0),FALSE)</f>
        <v>0</v>
      </c>
      <c r="BI133" s="31">
        <f>VLOOKUP(B133,Miljö!$B$1:$BX$482,MATCH("Kärnkraftsandel för ursprungsspecificerad el ()",Miljö!$B$1:$O$1,0),FALSE)</f>
        <v>0</v>
      </c>
      <c r="BJ133" s="31">
        <f t="shared" si="59"/>
        <v>0</v>
      </c>
      <c r="BK133" s="31" t="str">
        <f>VLOOKUP(B133,Miljö!$B$1:$P$482,MATCH("Fossil andel i procent (%)",Miljö!$B$1:$P$1,0),FALSE)</f>
        <v>ET</v>
      </c>
      <c r="BL133" s="31">
        <f t="shared" si="60"/>
        <v>190.13331999999997</v>
      </c>
      <c r="BO133" s="32">
        <f t="shared" si="61"/>
        <v>1.656732233992443E-3</v>
      </c>
      <c r="BP133" s="32">
        <f t="shared" si="62"/>
        <v>0</v>
      </c>
      <c r="BQ133" s="32">
        <f t="shared" si="63"/>
        <v>5.0708208324558801E-2</v>
      </c>
      <c r="BR133" s="32">
        <f t="shared" si="64"/>
        <v>0.94763505944144888</v>
      </c>
      <c r="BT133" s="62">
        <f t="shared" si="65"/>
        <v>1.0000000000000002</v>
      </c>
      <c r="BW133" s="32">
        <f>IF(AP133="Ja",VLOOKUP(B133,Miljövärden!$B$2:$H$551,MATCH("Total andel fossilt",Miljövärden!$B$2:$H$2,0),FALSE),"")</f>
        <v>1.6567400000000001E-3</v>
      </c>
      <c r="BX133" s="62">
        <f t="shared" si="66"/>
        <v>7.7660075570827602E-9</v>
      </c>
      <c r="BZ133" s="31">
        <f t="shared" si="67"/>
        <v>7.7660075570827602E-9</v>
      </c>
      <c r="CA133" s="32">
        <f t="shared" si="68"/>
        <v>0</v>
      </c>
    </row>
    <row r="134" spans="1:79" x14ac:dyDescent="0.45">
      <c r="A134" s="31" t="s">
        <v>508</v>
      </c>
      <c r="B134" s="31" t="s">
        <v>83</v>
      </c>
      <c r="C134" s="31">
        <f>VLOOKUP($B134,'Tillförd energi'!$B$1:$AI$720,MATCH(C$1,'Tillförd energi'!$B$1:$AQ$1,0),FALSE)</f>
        <v>0</v>
      </c>
      <c r="D134" s="31">
        <f>VLOOKUP($B134,'Tillförd energi'!$B$1:$AI$720,MATCH(D$1,'Tillförd energi'!$B$1:$AQ$1,0),FALSE)</f>
        <v>13.364100000000001</v>
      </c>
      <c r="E134" s="31">
        <f>VLOOKUP($B134,'Tillförd energi'!$B$1:$AI$720,MATCH(E$1,'Tillförd energi'!$B$1:$AQ$1,0),FALSE)</f>
        <v>0</v>
      </c>
      <c r="F134" s="31">
        <f>VLOOKUP($B134,'Tillförd energi'!$B$1:$AI$720,MATCH(F$1,'Tillförd energi'!$B$1:$AQ$1,0),FALSE)</f>
        <v>0</v>
      </c>
      <c r="G134" s="31">
        <f>VLOOKUP($B134,'Tillförd energi'!$B$1:$AI$720,MATCH(G$1,'Tillförd energi'!$B$1:$AQ$1,0),FALSE)</f>
        <v>0</v>
      </c>
      <c r="H134" s="31">
        <f>VLOOKUP($B134,'Tillförd energi'!$B$1:$AI$720,MATCH(H$1,'Tillförd energi'!$B$1:$AQ$1,0),FALSE)</f>
        <v>0</v>
      </c>
      <c r="I134" s="31">
        <f>VLOOKUP($B134,'Tillförd energi'!$B$1:$AI$720,MATCH(I$1,'Tillförd energi'!$B$1:$AQ$1,0),FALSE)</f>
        <v>77.349500000000006</v>
      </c>
      <c r="J134" s="31">
        <f>VLOOKUP($B134,'Tillförd energi'!$B$1:$AI$720,MATCH(J$1,'Tillförd energi'!$B$1:$AQ$1,0),FALSE)</f>
        <v>0</v>
      </c>
      <c r="K134" s="31">
        <f>VLOOKUP($B134,'Tillförd energi'!$B$1:$AI$720,MATCH(K$1,'Tillförd energi'!$B$1:$AQ$1,0),FALSE)</f>
        <v>0</v>
      </c>
      <c r="L134" s="31">
        <f>VLOOKUP($B134,'Tillförd energi'!$B$1:$AI$720,MATCH(L$1,'Tillförd energi'!$B$1:$AQ$1,0),FALSE)</f>
        <v>164.667</v>
      </c>
      <c r="M134" s="31">
        <f>VLOOKUP($B134,'Tillförd energi'!$B$1:$AI$720,MATCH(M$1,'Tillförd energi'!$B$1:$AQ$1,0),FALSE)</f>
        <v>0</v>
      </c>
      <c r="N134" s="31">
        <f>VLOOKUP($B134,'Tillförd energi'!$B$1:$AI$720,MATCH(N$1,'Tillförd energi'!$B$1:$AQ$1,0),FALSE)</f>
        <v>0</v>
      </c>
      <c r="O134" s="31">
        <f>VLOOKUP($B134,'Tillförd energi'!$B$1:$AI$720,MATCH(O$1,'Tillförd energi'!$B$1:$AQ$1,0),FALSE)</f>
        <v>0</v>
      </c>
      <c r="P134" s="31">
        <f>VLOOKUP($B134,'Tillförd energi'!$B$1:$AI$720,MATCH(P$1,'Tillförd energi'!$B$1:$AQ$1,0),FALSE)</f>
        <v>0</v>
      </c>
      <c r="Q134" s="31">
        <f>VLOOKUP($B134,'Tillförd energi'!$B$1:$AI$720,MATCH(Q$1,'Tillförd energi'!$B$1:$AQ$1,0),FALSE)</f>
        <v>0</v>
      </c>
      <c r="R134" s="31">
        <f>VLOOKUP($B134,'Tillförd energi'!$B$1:$AI$720,MATCH(R$1,'Tillförd energi'!$B$1:$AQ$1,0),FALSE)</f>
        <v>0</v>
      </c>
      <c r="S134" s="31">
        <f>VLOOKUP($B134,'Tillförd energi'!$B$1:$AI$720,MATCH(S$1,'Tillförd energi'!$B$1:$AQ$1,0),FALSE)</f>
        <v>0</v>
      </c>
      <c r="T134" s="31">
        <f>VLOOKUP($B134,'Tillförd energi'!$B$1:$AI$720,MATCH(T$1,'Tillförd energi'!$B$1:$AQ$1,0),FALSE)</f>
        <v>0</v>
      </c>
      <c r="U134" s="31">
        <f>VLOOKUP($B134,'Tillförd energi'!$B$1:$AI$720,MATCH(U$1,'Tillförd energi'!$B$1:$AQ$1,0),FALSE)</f>
        <v>5.1349600000000004</v>
      </c>
      <c r="V134" s="31">
        <f>VLOOKUP($B134,'Tillförd energi'!$B$1:$AI$720,MATCH(V$1,'Tillförd energi'!$B$1:$AQ$1,0),FALSE)</f>
        <v>0</v>
      </c>
      <c r="W134" s="31">
        <f>VLOOKUP($B134,'Tillförd energi'!$B$1:$AI$720,MATCH(W$1,'Tillförd energi'!$B$1:$AQ$1,0),FALSE)</f>
        <v>26.711200000000002</v>
      </c>
      <c r="X134" s="31">
        <f>VLOOKUP($B134,'Tillförd energi'!$B$1:$AI$720,MATCH(X$1,'Tillförd energi'!$B$1:$AQ$1,0),FALSE)</f>
        <v>0</v>
      </c>
      <c r="Y134" s="31">
        <f>VLOOKUP($B134,'Tillförd energi'!$B$1:$AI$720,MATCH(Y$1,'Tillförd energi'!$B$1:$AQ$1,0),FALSE)</f>
        <v>43.780700000000003</v>
      </c>
      <c r="Z134" s="31">
        <f>VLOOKUP($B134,'Tillförd energi'!$B$1:$AI$720,MATCH(Z$1,'Tillförd energi'!$B$1:$AQ$1,0),FALSE)</f>
        <v>0</v>
      </c>
      <c r="AA134" s="31">
        <f>VLOOKUP($B134,'Tillförd energi'!$B$1:$AI$720,MATCH(AA$1,'Tillförd energi'!$B$1:$AQ$1,0),FALSE)</f>
        <v>0</v>
      </c>
      <c r="AB134" s="31">
        <f>VLOOKUP($B134,'Tillförd energi'!$B$1:$AI$720,MATCH(AB$1,'Tillförd energi'!$B$1:$AQ$1,0),FALSE)</f>
        <v>0</v>
      </c>
      <c r="AC134" s="31">
        <f>VLOOKUP($B134,'Tillförd energi'!$B$1:$AI$720,MATCH(AC$1,'Tillförd energi'!$B$1:$AQ$1,0),FALSE)</f>
        <v>21.2</v>
      </c>
      <c r="AD134" s="31">
        <f>VLOOKUP($B134,'Tillförd energi'!$B$1:$AI$720,MATCH(AD$1,'Tillförd energi'!$B$1:$AQ$1,0),FALSE)</f>
        <v>0</v>
      </c>
      <c r="AE134" s="31">
        <f>VLOOKUP($B134,'Tillförd energi'!$B$1:$AI$720,MATCH(AE$1,'Tillförd energi'!$B$1:$AQ$1,0),FALSE)</f>
        <v>0</v>
      </c>
      <c r="AF134" s="31">
        <f>VLOOKUP($B134,'Tillförd energi'!$B$1:$AI$720,MATCH(AF$1,'Tillförd energi'!$B$1:$AQ$1,0),FALSE)</f>
        <v>13.707100000000001</v>
      </c>
      <c r="AG134" s="31">
        <f>IFERROR(VLOOKUP(B134,Miljö!$B$1:$AC$550,MATCH("Köpt mängd produktionsspecifik fjärrvärme:",Miljö!$B$1:$AC$1,0),FALSE)/1,0)</f>
        <v>0</v>
      </c>
      <c r="AI134" s="31">
        <f t="shared" si="46"/>
        <v>365.91456000000005</v>
      </c>
      <c r="AJ134" s="31">
        <f t="shared" si="47"/>
        <v>365.91456000000005</v>
      </c>
      <c r="AK134" s="31">
        <f>IF(ISERROR(1/VLOOKUP($B134,Leveranser!$B$1:$S$499,MATCH("Såld värme (GWh)",Leveranser!$B$1:$S$1,0),FALSE)),"",VLOOKUP($B134,Leveranser!$B$1:$S$499,MATCH("Såld värme (GWh)",Leveranser!$B$1:$S$1,0),FALSE))</f>
        <v>301.60000000000002</v>
      </c>
      <c r="AL134" s="31">
        <f>VLOOKUP($B134,Leveranser!$B$1:$Y$499,MATCH("Totalt såld fjärrvärme till andra fjärrvärmeföretag",Leveranser!$B$1:$AA$1,0),FALSE)</f>
        <v>0</v>
      </c>
      <c r="AM134" s="31">
        <f>IF(ISERROR(1/VLOOKUP($B134,Miljö!$B$1:$S$500,MATCH("Såld mängd produktionsspecifik fjärrvärme (GWh)",Miljö!$B$1:$R$1,0),FALSE)),0,VLOOKUP($B134,Miljö!$B$1:$S$500,MATCH("Såld mängd produktionsspecifik fjärrvärme (GWh)",Miljö!$B$1:$R$1,0),FALSE))</f>
        <v>0</v>
      </c>
      <c r="AN134" s="32">
        <f t="shared" si="48"/>
        <v>0.82423612769057342</v>
      </c>
      <c r="AP134" s="31" t="str">
        <f>IFERROR(VLOOKUP($B134,Miljövärden!$B$2:$H$550,7,FALSE),"Nej, saknas")</f>
        <v>Ja</v>
      </c>
      <c r="AQ134" s="31" t="str">
        <f>IFERROR(VLOOKUP($B134,Miljövärden!$B$2:$H$551,6,FALSE),"Nej, saknas")</f>
        <v>Ja</v>
      </c>
      <c r="AU134" s="31">
        <f t="shared" si="49"/>
        <v>13.707100000000001</v>
      </c>
      <c r="AV134" s="31">
        <f t="shared" si="50"/>
        <v>0</v>
      </c>
      <c r="AW134" s="31">
        <f t="shared" si="51"/>
        <v>0</v>
      </c>
      <c r="AX134" s="31">
        <f t="shared" si="52"/>
        <v>5.1349600000000004</v>
      </c>
      <c r="AZ134" s="31">
        <f t="shared" si="53"/>
        <v>196.51316</v>
      </c>
      <c r="BC134" s="31">
        <f t="shared" si="54"/>
        <v>13.364100000000001</v>
      </c>
      <c r="BD134" s="31">
        <f t="shared" si="55"/>
        <v>43.780700000000003</v>
      </c>
      <c r="BE134" s="31">
        <f t="shared" si="56"/>
        <v>31.846160000000001</v>
      </c>
      <c r="BF134" s="31">
        <f t="shared" si="57"/>
        <v>263.2165</v>
      </c>
      <c r="BG134" s="31">
        <f t="shared" si="58"/>
        <v>13.707100000000001</v>
      </c>
      <c r="BH134" s="31">
        <f>VLOOKUP(B134,Miljö!$B$1:$BX$482,MATCH("Fossilandel för ursprungspecificerad el ()",Miljö!$B$1:$I$1,0),FALSE)</f>
        <v>0</v>
      </c>
      <c r="BI134" s="31">
        <f>VLOOKUP(B134,Miljö!$B$1:$BX$482,MATCH("Kärnkraftsandel för ursprungsspecificerad el ()",Miljö!$B$1:$O$1,0),FALSE)</f>
        <v>0</v>
      </c>
      <c r="BJ134" s="31">
        <f t="shared" si="59"/>
        <v>0</v>
      </c>
      <c r="BK134" s="31" t="str">
        <f>VLOOKUP(B134,Miljö!$B$1:$P$482,MATCH("Fossil andel i procent (%)",Miljö!$B$1:$P$1,0),FALSE)</f>
        <v>ET</v>
      </c>
      <c r="BL134" s="31">
        <f t="shared" si="60"/>
        <v>365.91455999999999</v>
      </c>
      <c r="BO134" s="32">
        <f t="shared" si="61"/>
        <v>3.6522460325164437E-2</v>
      </c>
      <c r="BP134" s="32">
        <f t="shared" si="62"/>
        <v>0.11964732969357657</v>
      </c>
      <c r="BQ134" s="32">
        <f t="shared" si="63"/>
        <v>0.1244915206435076</v>
      </c>
      <c r="BR134" s="32">
        <f t="shared" si="64"/>
        <v>0.71933868933775147</v>
      </c>
      <c r="BT134" s="62">
        <f t="shared" si="65"/>
        <v>1</v>
      </c>
      <c r="BW134" s="32">
        <f>IF(AP134="Ja",VLOOKUP(B134,Miljövärden!$B$2:$H$551,MATCH("Total andel fossilt",Miljövärden!$B$2:$H$2,0),FALSE),"")</f>
        <v>3.6522399999999997E-2</v>
      </c>
      <c r="BX134" s="62">
        <f t="shared" si="66"/>
        <v>-6.0325164440155898E-8</v>
      </c>
      <c r="BZ134" s="31">
        <f t="shared" si="67"/>
        <v>-6.0325164440155898E-8</v>
      </c>
      <c r="CA134" s="32">
        <f t="shared" si="68"/>
        <v>0</v>
      </c>
    </row>
    <row r="135" spans="1:79" x14ac:dyDescent="0.45">
      <c r="A135" s="31" t="s">
        <v>507</v>
      </c>
      <c r="B135" s="31" t="s">
        <v>506</v>
      </c>
      <c r="C135" s="31">
        <f>VLOOKUP($B135,'Tillförd energi'!$B$1:$AI$720,MATCH(C$1,'Tillförd energi'!$B$1:$AQ$1,0),FALSE)</f>
        <v>0</v>
      </c>
      <c r="D135" s="31">
        <f>VLOOKUP($B135,'Tillförd energi'!$B$1:$AI$720,MATCH(D$1,'Tillförd energi'!$B$1:$AQ$1,0),FALSE)</f>
        <v>4.2024900000000001</v>
      </c>
      <c r="E135" s="31">
        <f>VLOOKUP($B135,'Tillförd energi'!$B$1:$AI$720,MATCH(E$1,'Tillförd energi'!$B$1:$AQ$1,0),FALSE)</f>
        <v>0</v>
      </c>
      <c r="F135" s="31">
        <f>VLOOKUP($B135,'Tillförd energi'!$B$1:$AI$720,MATCH(F$1,'Tillförd energi'!$B$1:$AQ$1,0),FALSE)</f>
        <v>0.82925800000000005</v>
      </c>
      <c r="G135" s="31">
        <f>VLOOKUP($B135,'Tillförd energi'!$B$1:$AI$720,MATCH(G$1,'Tillförd energi'!$B$1:$AQ$1,0),FALSE)</f>
        <v>0</v>
      </c>
      <c r="H135" s="31">
        <f>VLOOKUP($B135,'Tillförd energi'!$B$1:$AI$720,MATCH(H$1,'Tillförd energi'!$B$1:$AQ$1,0),FALSE)</f>
        <v>0</v>
      </c>
      <c r="I135" s="31">
        <f>VLOOKUP($B135,'Tillförd energi'!$B$1:$AI$720,MATCH(I$1,'Tillförd energi'!$B$1:$AQ$1,0),FALSE)</f>
        <v>147.36500000000001</v>
      </c>
      <c r="J135" s="31">
        <f>VLOOKUP($B135,'Tillförd energi'!$B$1:$AI$720,MATCH(J$1,'Tillförd energi'!$B$1:$AQ$1,0),FALSE)</f>
        <v>0</v>
      </c>
      <c r="K135" s="31">
        <f>VLOOKUP($B135,'Tillförd energi'!$B$1:$AI$720,MATCH(K$1,'Tillförd energi'!$B$1:$AQ$1,0),FALSE)</f>
        <v>0</v>
      </c>
      <c r="L135" s="31">
        <f>VLOOKUP($B135,'Tillförd energi'!$B$1:$AI$720,MATCH(L$1,'Tillförd energi'!$B$1:$AQ$1,0),FALSE)</f>
        <v>0</v>
      </c>
      <c r="M135" s="31">
        <f>VLOOKUP($B135,'Tillförd energi'!$B$1:$AI$720,MATCH(M$1,'Tillförd energi'!$B$1:$AQ$1,0),FALSE)</f>
        <v>0</v>
      </c>
      <c r="N135" s="31">
        <f>VLOOKUP($B135,'Tillförd energi'!$B$1:$AI$720,MATCH(N$1,'Tillförd energi'!$B$1:$AQ$1,0),FALSE)</f>
        <v>0</v>
      </c>
      <c r="O135" s="31">
        <f>VLOOKUP($B135,'Tillförd energi'!$B$1:$AI$720,MATCH(O$1,'Tillförd energi'!$B$1:$AQ$1,0),FALSE)</f>
        <v>0</v>
      </c>
      <c r="P135" s="31">
        <f>VLOOKUP($B135,'Tillförd energi'!$B$1:$AI$720,MATCH(P$1,'Tillförd energi'!$B$1:$AQ$1,0),FALSE)</f>
        <v>0</v>
      </c>
      <c r="Q135" s="31">
        <f>VLOOKUP($B135,'Tillförd energi'!$B$1:$AI$720,MATCH(Q$1,'Tillförd energi'!$B$1:$AQ$1,0),FALSE)</f>
        <v>333.745</v>
      </c>
      <c r="R135" s="31">
        <f>VLOOKUP($B135,'Tillförd energi'!$B$1:$AI$720,MATCH(R$1,'Tillförd energi'!$B$1:$AQ$1,0),FALSE)</f>
        <v>0</v>
      </c>
      <c r="S135" s="31">
        <f>VLOOKUP($B135,'Tillförd energi'!$B$1:$AI$720,MATCH(S$1,'Tillförd energi'!$B$1:$AQ$1,0),FALSE)</f>
        <v>0</v>
      </c>
      <c r="T135" s="31">
        <f>VLOOKUP($B135,'Tillförd energi'!$B$1:$AI$720,MATCH(T$1,'Tillförd energi'!$B$1:$AQ$1,0),FALSE)</f>
        <v>0</v>
      </c>
      <c r="U135" s="31">
        <f>VLOOKUP($B135,'Tillförd energi'!$B$1:$AI$720,MATCH(U$1,'Tillförd energi'!$B$1:$AQ$1,0),FALSE)</f>
        <v>0</v>
      </c>
      <c r="V135" s="31">
        <f>VLOOKUP($B135,'Tillförd energi'!$B$1:$AI$720,MATCH(V$1,'Tillförd energi'!$B$1:$AQ$1,0),FALSE)</f>
        <v>0</v>
      </c>
      <c r="W135" s="31">
        <f>VLOOKUP($B135,'Tillförd energi'!$B$1:$AI$720,MATCH(W$1,'Tillförd energi'!$B$1:$AQ$1,0),FALSE)</f>
        <v>1.8680000000000001</v>
      </c>
      <c r="X135" s="31">
        <f>VLOOKUP($B135,'Tillförd energi'!$B$1:$AI$720,MATCH(X$1,'Tillförd energi'!$B$1:$AQ$1,0),FALSE)</f>
        <v>0</v>
      </c>
      <c r="Y135" s="31">
        <f>VLOOKUP($B135,'Tillförd energi'!$B$1:$AI$720,MATCH(Y$1,'Tillförd energi'!$B$1:$AQ$1,0),FALSE)</f>
        <v>0</v>
      </c>
      <c r="Z135" s="31">
        <f>VLOOKUP($B135,'Tillförd energi'!$B$1:$AI$720,MATCH(Z$1,'Tillförd energi'!$B$1:$AQ$1,0),FALSE)</f>
        <v>0</v>
      </c>
      <c r="AA135" s="31">
        <f>VLOOKUP($B135,'Tillförd energi'!$B$1:$AI$720,MATCH(AA$1,'Tillförd energi'!$B$1:$AQ$1,0),FALSE)</f>
        <v>0</v>
      </c>
      <c r="AB135" s="31">
        <f>VLOOKUP($B135,'Tillförd energi'!$B$1:$AI$720,MATCH(AB$1,'Tillförd energi'!$B$1:$AQ$1,0),FALSE)</f>
        <v>0</v>
      </c>
      <c r="AC135" s="31">
        <f>VLOOKUP($B135,'Tillförd energi'!$B$1:$AI$720,MATCH(AC$1,'Tillförd energi'!$B$1:$AQ$1,0),FALSE)</f>
        <v>159.352</v>
      </c>
      <c r="AD135" s="31">
        <f>VLOOKUP($B135,'Tillförd energi'!$B$1:$AI$720,MATCH(AD$1,'Tillförd energi'!$B$1:$AQ$1,0),FALSE)</f>
        <v>6.6859999999999999</v>
      </c>
      <c r="AE135" s="31">
        <f>VLOOKUP($B135,'Tillförd energi'!$B$1:$AI$720,MATCH(AE$1,'Tillförd energi'!$B$1:$AQ$1,0),FALSE)</f>
        <v>0</v>
      </c>
      <c r="AF135" s="31">
        <f>VLOOKUP($B135,'Tillförd energi'!$B$1:$AI$720,MATCH(AF$1,'Tillförd energi'!$B$1:$AQ$1,0),FALSE)</f>
        <v>26.802099999999999</v>
      </c>
      <c r="AG135" s="31">
        <f>IFERROR(VLOOKUP(B135,Miljö!$B$1:$AC$550,MATCH("Köpt mängd produktionsspecifik fjärrvärme:",Miljö!$B$1:$AC$1,0),FALSE)/1,0)</f>
        <v>0</v>
      </c>
      <c r="AI135" s="31">
        <f t="shared" si="46"/>
        <v>680.84984800000007</v>
      </c>
      <c r="AJ135" s="31">
        <f t="shared" si="47"/>
        <v>680.84984800000007</v>
      </c>
      <c r="AK135" s="31">
        <f>IF(ISERROR(1/VLOOKUP($B135,Leveranser!$B$1:$S$499,MATCH("Såld värme (GWh)",Leveranser!$B$1:$S$1,0),FALSE)),"",VLOOKUP($B135,Leveranser!$B$1:$S$499,MATCH("Såld värme (GWh)",Leveranser!$B$1:$S$1,0),FALSE))</f>
        <v>558.6</v>
      </c>
      <c r="AL135" s="31">
        <f>VLOOKUP($B135,Leveranser!$B$1:$Y$499,MATCH("Totalt såld fjärrvärme till andra fjärrvärmeföretag",Leveranser!$B$1:$AA$1,0),FALSE)</f>
        <v>57.951999999999998</v>
      </c>
      <c r="AM135" s="31">
        <f>IF(ISERROR(1/VLOOKUP($B135,Miljö!$B$1:$S$500,MATCH("Såld mängd produktionsspecifik fjärrvärme (GWh)",Miljö!$B$1:$R$1,0),FALSE)),0,VLOOKUP($B135,Miljö!$B$1:$S$500,MATCH("Såld mängd produktionsspecifik fjärrvärme (GWh)",Miljö!$B$1:$R$1,0),FALSE))</f>
        <v>0</v>
      </c>
      <c r="AN135" s="32">
        <f t="shared" si="48"/>
        <v>0.82044521511004287</v>
      </c>
      <c r="AP135" s="31" t="str">
        <f>IFERROR(VLOOKUP($B135,Miljövärden!$B$2:$H$550,7,FALSE),"Nej, saknas")</f>
        <v>Ja</v>
      </c>
      <c r="AQ135" s="31" t="str">
        <f>IFERROR(VLOOKUP($B135,Miljövärden!$B$2:$H$551,6,FALSE),"Nej, saknas")</f>
        <v>Ja</v>
      </c>
      <c r="AU135" s="31">
        <f t="shared" si="49"/>
        <v>26.802099999999999</v>
      </c>
      <c r="AV135" s="31">
        <f t="shared" si="50"/>
        <v>0</v>
      </c>
      <c r="AW135" s="31">
        <f t="shared" si="51"/>
        <v>333.745</v>
      </c>
      <c r="AX135" s="31">
        <f t="shared" si="52"/>
        <v>0</v>
      </c>
      <c r="AZ135" s="31">
        <f t="shared" si="53"/>
        <v>335.613</v>
      </c>
      <c r="BC135" s="31">
        <f t="shared" si="54"/>
        <v>5.0317480000000003</v>
      </c>
      <c r="BD135" s="31">
        <f t="shared" si="55"/>
        <v>0</v>
      </c>
      <c r="BE135" s="31">
        <f t="shared" si="56"/>
        <v>335.613</v>
      </c>
      <c r="BF135" s="31">
        <f t="shared" si="57"/>
        <v>313.40299999999996</v>
      </c>
      <c r="BG135" s="31">
        <f t="shared" si="58"/>
        <v>26.802099999999999</v>
      </c>
      <c r="BH135" s="31">
        <f>VLOOKUP(B135,Miljö!$B$1:$BX$482,MATCH("Fossilandel för ursprungspecificerad el ()",Miljö!$B$1:$I$1,0),FALSE)</f>
        <v>0</v>
      </c>
      <c r="BI135" s="31">
        <f>VLOOKUP(B135,Miljö!$B$1:$BX$482,MATCH("Kärnkraftsandel för ursprungsspecificerad el ()",Miljö!$B$1:$O$1,0),FALSE)</f>
        <v>0</v>
      </c>
      <c r="BJ135" s="31">
        <f t="shared" si="59"/>
        <v>0</v>
      </c>
      <c r="BK135" s="31" t="str">
        <f>VLOOKUP(B135,Miljö!$B$1:$P$482,MATCH("Fossil andel i procent (%)",Miljö!$B$1:$P$1,0),FALSE)</f>
        <v>ET</v>
      </c>
      <c r="BL135" s="31">
        <f t="shared" si="60"/>
        <v>680.84984799999995</v>
      </c>
      <c r="BO135" s="32">
        <f t="shared" si="61"/>
        <v>7.3903930723944302E-3</v>
      </c>
      <c r="BP135" s="32">
        <f t="shared" si="62"/>
        <v>0</v>
      </c>
      <c r="BQ135" s="32">
        <f t="shared" si="63"/>
        <v>0.53229812867638326</v>
      </c>
      <c r="BR135" s="32">
        <f t="shared" si="64"/>
        <v>0.46031147825122226</v>
      </c>
      <c r="BT135" s="62">
        <f t="shared" si="65"/>
        <v>1</v>
      </c>
      <c r="BW135" s="32">
        <f>IF(AP135="Ja",VLOOKUP(B135,Miljövärden!$B$2:$H$551,MATCH("Total andel fossilt",Miljövärden!$B$2:$H$2,0),FALSE),"")</f>
        <v>7.3903900000000002E-3</v>
      </c>
      <c r="BX135" s="62">
        <f t="shared" si="66"/>
        <v>-3.0723944300162231E-9</v>
      </c>
      <c r="BZ135" s="31">
        <f t="shared" si="67"/>
        <v>-3.0723944300162231E-9</v>
      </c>
      <c r="CA135" s="32">
        <f t="shared" si="68"/>
        <v>0</v>
      </c>
    </row>
    <row r="136" spans="1:79" x14ac:dyDescent="0.45">
      <c r="A136" s="31" t="s">
        <v>505</v>
      </c>
      <c r="B136" s="31" t="s">
        <v>504</v>
      </c>
      <c r="C136" s="31">
        <f>VLOOKUP($B136,'Tillförd energi'!$B$1:$AI$720,MATCH(C$1,'Tillförd energi'!$B$1:$AQ$1,0),FALSE)</f>
        <v>0</v>
      </c>
      <c r="D136" s="31">
        <f>VLOOKUP($B136,'Tillförd energi'!$B$1:$AI$720,MATCH(D$1,'Tillförd energi'!$B$1:$AQ$1,0),FALSE)</f>
        <v>0.18</v>
      </c>
      <c r="E136" s="31">
        <f>VLOOKUP($B136,'Tillförd energi'!$B$1:$AI$720,MATCH(E$1,'Tillförd energi'!$B$1:$AQ$1,0),FALSE)</f>
        <v>0</v>
      </c>
      <c r="F136" s="31">
        <f>VLOOKUP($B136,'Tillförd energi'!$B$1:$AI$720,MATCH(F$1,'Tillförd energi'!$B$1:$AQ$1,0),FALSE)</f>
        <v>0</v>
      </c>
      <c r="G136" s="31">
        <f>VLOOKUP($B136,'Tillförd energi'!$B$1:$AI$720,MATCH(G$1,'Tillförd energi'!$B$1:$AQ$1,0),FALSE)</f>
        <v>0</v>
      </c>
      <c r="H136" s="31">
        <f>VLOOKUP($B136,'Tillförd energi'!$B$1:$AI$720,MATCH(H$1,'Tillförd energi'!$B$1:$AQ$1,0),FALSE)</f>
        <v>0</v>
      </c>
      <c r="I136" s="31">
        <f>VLOOKUP($B136,'Tillförd energi'!$B$1:$AI$720,MATCH(I$1,'Tillförd energi'!$B$1:$AQ$1,0),FALSE)</f>
        <v>0</v>
      </c>
      <c r="J136" s="31">
        <f>VLOOKUP($B136,'Tillförd energi'!$B$1:$AI$720,MATCH(J$1,'Tillförd energi'!$B$1:$AQ$1,0),FALSE)</f>
        <v>0.63294099999999998</v>
      </c>
      <c r="K136" s="31">
        <f>VLOOKUP($B136,'Tillförd energi'!$B$1:$AI$720,MATCH(K$1,'Tillförd energi'!$B$1:$AQ$1,0),FALSE)</f>
        <v>0</v>
      </c>
      <c r="L136" s="31">
        <f>VLOOKUP($B136,'Tillförd energi'!$B$1:$AI$720,MATCH(L$1,'Tillförd energi'!$B$1:$AQ$1,0),FALSE)</f>
        <v>43.9</v>
      </c>
      <c r="M136" s="31">
        <f>VLOOKUP($B136,'Tillförd energi'!$B$1:$AI$720,MATCH(M$1,'Tillförd energi'!$B$1:$AQ$1,0),FALSE)</f>
        <v>0</v>
      </c>
      <c r="N136" s="31">
        <f>VLOOKUP($B136,'Tillförd energi'!$B$1:$AI$720,MATCH(N$1,'Tillförd energi'!$B$1:$AQ$1,0),FALSE)</f>
        <v>0</v>
      </c>
      <c r="O136" s="31">
        <f>VLOOKUP($B136,'Tillförd energi'!$B$1:$AI$720,MATCH(O$1,'Tillförd energi'!$B$1:$AQ$1,0),FALSE)</f>
        <v>0</v>
      </c>
      <c r="P136" s="31">
        <f>VLOOKUP($B136,'Tillförd energi'!$B$1:$AI$720,MATCH(P$1,'Tillförd energi'!$B$1:$AQ$1,0),FALSE)</f>
        <v>0</v>
      </c>
      <c r="Q136" s="31">
        <f>VLOOKUP($B136,'Tillförd energi'!$B$1:$AI$720,MATCH(Q$1,'Tillförd energi'!$B$1:$AQ$1,0),FALSE)</f>
        <v>0</v>
      </c>
      <c r="R136" s="31">
        <f>VLOOKUP($B136,'Tillförd energi'!$B$1:$AI$720,MATCH(R$1,'Tillförd energi'!$B$1:$AQ$1,0),FALSE)</f>
        <v>2.2000000000000002</v>
      </c>
      <c r="S136" s="31">
        <f>VLOOKUP($B136,'Tillförd energi'!$B$1:$AI$720,MATCH(S$1,'Tillförd energi'!$B$1:$AQ$1,0),FALSE)</f>
        <v>0</v>
      </c>
      <c r="T136" s="31">
        <f>VLOOKUP($B136,'Tillförd energi'!$B$1:$AI$720,MATCH(T$1,'Tillförd energi'!$B$1:$AQ$1,0),FALSE)</f>
        <v>0</v>
      </c>
      <c r="U136" s="31">
        <f>VLOOKUP($B136,'Tillförd energi'!$B$1:$AI$720,MATCH(U$1,'Tillförd energi'!$B$1:$AQ$1,0),FALSE)</f>
        <v>0</v>
      </c>
      <c r="V136" s="31">
        <f>VLOOKUP($B136,'Tillförd energi'!$B$1:$AI$720,MATCH(V$1,'Tillförd energi'!$B$1:$AQ$1,0),FALSE)</f>
        <v>0</v>
      </c>
      <c r="W136" s="31">
        <f>VLOOKUP($B136,'Tillförd energi'!$B$1:$AI$720,MATCH(W$1,'Tillförd energi'!$B$1:$AQ$1,0),FALSE)</f>
        <v>0</v>
      </c>
      <c r="X136" s="31">
        <f>VLOOKUP($B136,'Tillförd energi'!$B$1:$AI$720,MATCH(X$1,'Tillförd energi'!$B$1:$AQ$1,0),FALSE)</f>
        <v>0</v>
      </c>
      <c r="Y136" s="31">
        <f>VLOOKUP($B136,'Tillförd energi'!$B$1:$AI$720,MATCH(Y$1,'Tillförd energi'!$B$1:$AQ$1,0),FALSE)</f>
        <v>0</v>
      </c>
      <c r="Z136" s="31">
        <f>VLOOKUP($B136,'Tillförd energi'!$B$1:$AI$720,MATCH(Z$1,'Tillförd energi'!$B$1:$AQ$1,0),FALSE)</f>
        <v>0</v>
      </c>
      <c r="AA136" s="31">
        <f>VLOOKUP($B136,'Tillförd energi'!$B$1:$AI$720,MATCH(AA$1,'Tillförd energi'!$B$1:$AQ$1,0),FALSE)</f>
        <v>0</v>
      </c>
      <c r="AB136" s="31">
        <f>VLOOKUP($B136,'Tillförd energi'!$B$1:$AI$720,MATCH(AB$1,'Tillförd energi'!$B$1:$AQ$1,0),FALSE)</f>
        <v>0</v>
      </c>
      <c r="AC136" s="31">
        <f>VLOOKUP($B136,'Tillförd energi'!$B$1:$AI$720,MATCH(AC$1,'Tillförd energi'!$B$1:$AQ$1,0),FALSE)</f>
        <v>0</v>
      </c>
      <c r="AD136" s="31">
        <f>VLOOKUP($B136,'Tillförd energi'!$B$1:$AI$720,MATCH(AD$1,'Tillförd energi'!$B$1:$AQ$1,0),FALSE)</f>
        <v>0</v>
      </c>
      <c r="AE136" s="31">
        <f>VLOOKUP($B136,'Tillförd energi'!$B$1:$AI$720,MATCH(AE$1,'Tillförd energi'!$B$1:$AQ$1,0),FALSE)</f>
        <v>0</v>
      </c>
      <c r="AF136" s="31">
        <f>VLOOKUP($B136,'Tillförd energi'!$B$1:$AI$720,MATCH(AF$1,'Tillförd energi'!$B$1:$AQ$1,0),FALSE)</f>
        <v>2.09</v>
      </c>
      <c r="AG136" s="31">
        <f>IFERROR(VLOOKUP(B136,Miljö!$B$1:$AC$550,MATCH("Köpt mängd produktionsspecifik fjärrvärme:",Miljö!$B$1:$AC$1,0),FALSE)/1,0)</f>
        <v>0</v>
      </c>
      <c r="AI136" s="31">
        <f t="shared" si="46"/>
        <v>49.002941000000007</v>
      </c>
      <c r="AJ136" s="31">
        <f t="shared" si="47"/>
        <v>49.002941000000007</v>
      </c>
      <c r="AK136" s="31">
        <f>IF(ISERROR(1/VLOOKUP($B136,Leveranser!$B$1:$S$499,MATCH("Såld värme (GWh)",Leveranser!$B$1:$S$1,0),FALSE)),"",VLOOKUP($B136,Leveranser!$B$1:$S$499,MATCH("Såld värme (GWh)",Leveranser!$B$1:$S$1,0),FALSE))</f>
        <v>36.450000000000003</v>
      </c>
      <c r="AL136" s="31">
        <f>VLOOKUP($B136,Leveranser!$B$1:$Y$499,MATCH("Totalt såld fjärrvärme till andra fjärrvärmeföretag",Leveranser!$B$1:$AA$1,0),FALSE)</f>
        <v>0</v>
      </c>
      <c r="AM136" s="31">
        <f>IF(ISERROR(1/VLOOKUP($B136,Miljö!$B$1:$S$500,MATCH("Såld mängd produktionsspecifik fjärrvärme (GWh)",Miljö!$B$1:$R$1,0),FALSE)),0,VLOOKUP($B136,Miljö!$B$1:$S$500,MATCH("Såld mängd produktionsspecifik fjärrvärme (GWh)",Miljö!$B$1:$R$1,0),FALSE))</f>
        <v>0</v>
      </c>
      <c r="AN136" s="32">
        <f t="shared" si="48"/>
        <v>0.74383290586579276</v>
      </c>
      <c r="AP136" s="31" t="str">
        <f>IFERROR(VLOOKUP($B136,Miljövärden!$B$2:$H$550,7,FALSE),"Nej, saknas")</f>
        <v>Ja</v>
      </c>
      <c r="AQ136" s="31" t="str">
        <f>IFERROR(VLOOKUP($B136,Miljövärden!$B$2:$H$551,6,FALSE),"Nej, saknas")</f>
        <v>Ja</v>
      </c>
      <c r="AU136" s="31">
        <f t="shared" si="49"/>
        <v>2.09</v>
      </c>
      <c r="AV136" s="31">
        <f t="shared" si="50"/>
        <v>0</v>
      </c>
      <c r="AW136" s="31">
        <f t="shared" si="51"/>
        <v>0</v>
      </c>
      <c r="AX136" s="31">
        <f t="shared" si="52"/>
        <v>2.2000000000000002</v>
      </c>
      <c r="AZ136" s="31">
        <f t="shared" si="53"/>
        <v>46.1</v>
      </c>
      <c r="BC136" s="31">
        <f t="shared" si="54"/>
        <v>0.18</v>
      </c>
      <c r="BD136" s="31">
        <f t="shared" si="55"/>
        <v>0</v>
      </c>
      <c r="BE136" s="31">
        <f t="shared" si="56"/>
        <v>2.2000000000000002</v>
      </c>
      <c r="BF136" s="31">
        <f t="shared" si="57"/>
        <v>44.532941000000001</v>
      </c>
      <c r="BG136" s="31">
        <f t="shared" si="58"/>
        <v>2.09</v>
      </c>
      <c r="BH136" s="31">
        <f>VLOOKUP(B136,Miljö!$B$1:$BX$482,MATCH("Fossilandel för ursprungspecificerad el ()",Miljö!$B$1:$I$1,0),FALSE)</f>
        <v>0</v>
      </c>
      <c r="BI136" s="31">
        <f>VLOOKUP(B136,Miljö!$B$1:$BX$482,MATCH("Kärnkraftsandel för ursprungsspecificerad el ()",Miljö!$B$1:$O$1,0),FALSE)</f>
        <v>0</v>
      </c>
      <c r="BJ136" s="31">
        <f t="shared" si="59"/>
        <v>0</v>
      </c>
      <c r="BK136" s="31" t="str">
        <f>VLOOKUP(B136,Miljö!$B$1:$P$482,MATCH("Fossil andel i procent (%)",Miljö!$B$1:$P$1,0),FALSE)</f>
        <v>ET</v>
      </c>
      <c r="BL136" s="31">
        <f t="shared" si="60"/>
        <v>49.002941000000007</v>
      </c>
      <c r="BO136" s="32">
        <f t="shared" si="61"/>
        <v>3.6732489178557663E-3</v>
      </c>
      <c r="BP136" s="32">
        <f t="shared" si="62"/>
        <v>0</v>
      </c>
      <c r="BQ136" s="32">
        <f t="shared" si="63"/>
        <v>8.754576587556244E-2</v>
      </c>
      <c r="BR136" s="32">
        <f t="shared" si="64"/>
        <v>0.90878098520658168</v>
      </c>
      <c r="BT136" s="62">
        <f t="shared" si="65"/>
        <v>0.99999999999999989</v>
      </c>
      <c r="BW136" s="32">
        <f>IF(AP136="Ja",VLOOKUP(B136,Miljövärden!$B$2:$H$551,MATCH("Total andel fossilt",Miljövärden!$B$2:$H$2,0),FALSE),"")</f>
        <v>3.6732499999999999E-3</v>
      </c>
      <c r="BX136" s="62">
        <f t="shared" si="66"/>
        <v>1.0821442335967602E-9</v>
      </c>
      <c r="BZ136" s="31">
        <f t="shared" si="67"/>
        <v>1.0821442335967602E-9</v>
      </c>
      <c r="CA136" s="32">
        <f t="shared" si="68"/>
        <v>0</v>
      </c>
    </row>
    <row r="137" spans="1:79" x14ac:dyDescent="0.45">
      <c r="A137" s="31" t="s">
        <v>502</v>
      </c>
      <c r="B137" s="31" t="s">
        <v>503</v>
      </c>
      <c r="C137" s="31">
        <f>VLOOKUP($B137,'Tillförd energi'!$B$1:$AI$720,MATCH(C$1,'Tillförd energi'!$B$1:$AQ$1,0),FALSE)</f>
        <v>0</v>
      </c>
      <c r="D137" s="31">
        <f>VLOOKUP($B137,'Tillförd energi'!$B$1:$AI$720,MATCH(D$1,'Tillförd energi'!$B$1:$AQ$1,0),FALSE)</f>
        <v>16.274999999999999</v>
      </c>
      <c r="E137" s="31">
        <f>VLOOKUP($B137,'Tillförd energi'!$B$1:$AI$720,MATCH(E$1,'Tillförd energi'!$B$1:$AQ$1,0),FALSE)</f>
        <v>0</v>
      </c>
      <c r="F137" s="31">
        <f>VLOOKUP($B137,'Tillförd energi'!$B$1:$AI$720,MATCH(F$1,'Tillförd energi'!$B$1:$AQ$1,0),FALSE)</f>
        <v>0</v>
      </c>
      <c r="G137" s="31">
        <f>VLOOKUP($B137,'Tillförd energi'!$B$1:$AI$720,MATCH(G$1,'Tillförd energi'!$B$1:$AQ$1,0),FALSE)</f>
        <v>0</v>
      </c>
      <c r="H137" s="31">
        <f>VLOOKUP($B137,'Tillförd energi'!$B$1:$AI$720,MATCH(H$1,'Tillförd energi'!$B$1:$AQ$1,0),FALSE)</f>
        <v>0</v>
      </c>
      <c r="I137" s="31">
        <f>VLOOKUP($B137,'Tillförd energi'!$B$1:$AI$720,MATCH(I$1,'Tillförd energi'!$B$1:$AQ$1,0),FALSE)</f>
        <v>137.36099999999999</v>
      </c>
      <c r="J137" s="31">
        <f>VLOOKUP($B137,'Tillförd energi'!$B$1:$AI$720,MATCH(J$1,'Tillförd energi'!$B$1:$AQ$1,0),FALSE)</f>
        <v>0</v>
      </c>
      <c r="K137" s="31">
        <f>VLOOKUP($B137,'Tillförd energi'!$B$1:$AI$720,MATCH(K$1,'Tillförd energi'!$B$1:$AQ$1,0),FALSE)</f>
        <v>0</v>
      </c>
      <c r="L137" s="31">
        <f>VLOOKUP($B137,'Tillförd energi'!$B$1:$AI$720,MATCH(L$1,'Tillförd energi'!$B$1:$AQ$1,0),FALSE)</f>
        <v>58.450200000000002</v>
      </c>
      <c r="M137" s="31">
        <f>VLOOKUP($B137,'Tillförd energi'!$B$1:$AI$720,MATCH(M$1,'Tillförd energi'!$B$1:$AQ$1,0),FALSE)</f>
        <v>0</v>
      </c>
      <c r="N137" s="31">
        <f>VLOOKUP($B137,'Tillförd energi'!$B$1:$AI$720,MATCH(N$1,'Tillförd energi'!$B$1:$AQ$1,0),FALSE)</f>
        <v>0</v>
      </c>
      <c r="O137" s="31">
        <f>VLOOKUP($B137,'Tillförd energi'!$B$1:$AI$720,MATCH(O$1,'Tillförd energi'!$B$1:$AQ$1,0),FALSE)</f>
        <v>0</v>
      </c>
      <c r="P137" s="31">
        <f>VLOOKUP($B137,'Tillförd energi'!$B$1:$AI$720,MATCH(P$1,'Tillförd energi'!$B$1:$AQ$1,0),FALSE)</f>
        <v>4.3662099999999997</v>
      </c>
      <c r="Q137" s="31">
        <f>VLOOKUP($B137,'Tillförd energi'!$B$1:$AI$720,MATCH(Q$1,'Tillförd energi'!$B$1:$AQ$1,0),FALSE)</f>
        <v>0</v>
      </c>
      <c r="R137" s="31">
        <f>VLOOKUP($B137,'Tillförd energi'!$B$1:$AI$720,MATCH(R$1,'Tillförd energi'!$B$1:$AQ$1,0),FALSE)</f>
        <v>3.2829999999999999</v>
      </c>
      <c r="S137" s="31">
        <f>VLOOKUP($B137,'Tillförd energi'!$B$1:$AI$720,MATCH(S$1,'Tillförd energi'!$B$1:$AQ$1,0),FALSE)</f>
        <v>0</v>
      </c>
      <c r="T137" s="31">
        <f>VLOOKUP($B137,'Tillförd energi'!$B$1:$AI$720,MATCH(T$1,'Tillförd energi'!$B$1:$AQ$1,0),FALSE)</f>
        <v>0</v>
      </c>
      <c r="U137" s="31">
        <f>VLOOKUP($B137,'Tillförd energi'!$B$1:$AI$720,MATCH(U$1,'Tillförd energi'!$B$1:$AQ$1,0),FALSE)</f>
        <v>0</v>
      </c>
      <c r="V137" s="31">
        <f>VLOOKUP($B137,'Tillförd energi'!$B$1:$AI$720,MATCH(V$1,'Tillförd energi'!$B$1:$AQ$1,0),FALSE)</f>
        <v>0</v>
      </c>
      <c r="W137" s="31">
        <f>VLOOKUP($B137,'Tillförd energi'!$B$1:$AI$720,MATCH(W$1,'Tillförd energi'!$B$1:$AQ$1,0),FALSE)</f>
        <v>12.393000000000001</v>
      </c>
      <c r="X137" s="31">
        <f>VLOOKUP($B137,'Tillförd energi'!$B$1:$AI$720,MATCH(X$1,'Tillförd energi'!$B$1:$AQ$1,0),FALSE)</f>
        <v>0</v>
      </c>
      <c r="Y137" s="31">
        <f>VLOOKUP($B137,'Tillförd energi'!$B$1:$AI$720,MATCH(Y$1,'Tillförd energi'!$B$1:$AQ$1,0),FALSE)</f>
        <v>0</v>
      </c>
      <c r="Z137" s="31">
        <f>VLOOKUP($B137,'Tillförd energi'!$B$1:$AI$720,MATCH(Z$1,'Tillförd energi'!$B$1:$AQ$1,0),FALSE)</f>
        <v>0</v>
      </c>
      <c r="AA137" s="31">
        <f>VLOOKUP($B137,'Tillförd energi'!$B$1:$AI$720,MATCH(AA$1,'Tillförd energi'!$B$1:$AQ$1,0),FALSE)</f>
        <v>0</v>
      </c>
      <c r="AB137" s="31">
        <f>VLOOKUP($B137,'Tillförd energi'!$B$1:$AI$720,MATCH(AB$1,'Tillförd energi'!$B$1:$AQ$1,0),FALSE)</f>
        <v>0</v>
      </c>
      <c r="AC137" s="31">
        <f>VLOOKUP($B137,'Tillförd energi'!$B$1:$AI$720,MATCH(AC$1,'Tillförd energi'!$B$1:$AQ$1,0),FALSE)</f>
        <v>17.873000000000001</v>
      </c>
      <c r="AD137" s="31">
        <f>VLOOKUP($B137,'Tillförd energi'!$B$1:$AI$720,MATCH(AD$1,'Tillförd energi'!$B$1:$AQ$1,0),FALSE)</f>
        <v>28.471</v>
      </c>
      <c r="AE137" s="31">
        <f>VLOOKUP($B137,'Tillförd energi'!$B$1:$AI$720,MATCH(AE$1,'Tillförd energi'!$B$1:$AQ$1,0),FALSE)</f>
        <v>0</v>
      </c>
      <c r="AF137" s="31">
        <f>VLOOKUP($B137,'Tillförd energi'!$B$1:$AI$720,MATCH(AF$1,'Tillförd energi'!$B$1:$AQ$1,0),FALSE)</f>
        <v>9.0904299999999996</v>
      </c>
      <c r="AG137" s="31">
        <f>IFERROR(VLOOKUP(B137,Miljö!$B$1:$AC$550,MATCH("Köpt mängd produktionsspecifik fjärrvärme:",Miljö!$B$1:$AC$1,0),FALSE)/1,0)</f>
        <v>0</v>
      </c>
      <c r="AI137" s="31">
        <f t="shared" si="46"/>
        <v>287.56283999999999</v>
      </c>
      <c r="AJ137" s="31">
        <f t="shared" si="47"/>
        <v>287.56283999999999</v>
      </c>
      <c r="AK137" s="31">
        <f>IF(ISERROR(1/VLOOKUP($B137,Leveranser!$B$1:$S$499,MATCH("Såld värme (GWh)",Leveranser!$B$1:$S$1,0),FALSE)),"",VLOOKUP($B137,Leveranser!$B$1:$S$499,MATCH("Såld värme (GWh)",Leveranser!$B$1:$S$1,0),FALSE))</f>
        <v>209.52199999999999</v>
      </c>
      <c r="AL137" s="31">
        <f>VLOOKUP($B137,Leveranser!$B$1:$Y$499,MATCH("Totalt såld fjärrvärme till andra fjärrvärmeföretag",Leveranser!$B$1:$AA$1,0),FALSE)</f>
        <v>0</v>
      </c>
      <c r="AM137" s="31">
        <f>IF(ISERROR(1/VLOOKUP($B137,Miljö!$B$1:$S$500,MATCH("Såld mängd produktionsspecifik fjärrvärme (GWh)",Miljö!$B$1:$R$1,0),FALSE)),0,VLOOKUP($B137,Miljö!$B$1:$S$500,MATCH("Såld mängd produktionsspecifik fjärrvärme (GWh)",Miljö!$B$1:$R$1,0),FALSE))</f>
        <v>0</v>
      </c>
      <c r="AN137" s="32">
        <f t="shared" si="48"/>
        <v>0.72861291813643236</v>
      </c>
      <c r="AP137" s="31" t="str">
        <f>IFERROR(VLOOKUP($B137,Miljövärden!$B$2:$H$550,7,FALSE),"Nej, saknas")</f>
        <v>Ja</v>
      </c>
      <c r="AQ137" s="31" t="str">
        <f>IFERROR(VLOOKUP($B137,Miljövärden!$B$2:$H$551,6,FALSE),"Nej, saknas")</f>
        <v>Ja</v>
      </c>
      <c r="AU137" s="31">
        <f t="shared" si="49"/>
        <v>9.0904299999999996</v>
      </c>
      <c r="AV137" s="31">
        <f t="shared" si="50"/>
        <v>0</v>
      </c>
      <c r="AW137" s="31">
        <f t="shared" si="51"/>
        <v>4.3662099999999997</v>
      </c>
      <c r="AX137" s="31">
        <f t="shared" si="52"/>
        <v>3.2829999999999999</v>
      </c>
      <c r="AZ137" s="31">
        <f t="shared" si="53"/>
        <v>78.492410000000007</v>
      </c>
      <c r="BC137" s="31">
        <f t="shared" si="54"/>
        <v>16.274999999999999</v>
      </c>
      <c r="BD137" s="31">
        <f t="shared" si="55"/>
        <v>0</v>
      </c>
      <c r="BE137" s="31">
        <f t="shared" si="56"/>
        <v>20.042210000000001</v>
      </c>
      <c r="BF137" s="31">
        <f t="shared" si="57"/>
        <v>242.15519999999998</v>
      </c>
      <c r="BG137" s="31">
        <f t="shared" si="58"/>
        <v>9.0904299999999996</v>
      </c>
      <c r="BH137" s="31">
        <f>VLOOKUP(B137,Miljö!$B$1:$BX$482,MATCH("Fossilandel för ursprungspecificerad el ()",Miljö!$B$1:$I$1,0),FALSE)</f>
        <v>0</v>
      </c>
      <c r="BI137" s="31">
        <f>VLOOKUP(B137,Miljö!$B$1:$BX$482,MATCH("Kärnkraftsandel för ursprungsspecificerad el ()",Miljö!$B$1:$O$1,0),FALSE)</f>
        <v>0</v>
      </c>
      <c r="BJ137" s="31">
        <f t="shared" si="59"/>
        <v>0</v>
      </c>
      <c r="BK137" s="31" t="str">
        <f>VLOOKUP(B137,Miljö!$B$1:$P$482,MATCH("Fossil andel i procent (%)",Miljö!$B$1:$P$1,0),FALSE)</f>
        <v>ET</v>
      </c>
      <c r="BL137" s="31">
        <f t="shared" si="60"/>
        <v>287.56283999999999</v>
      </c>
      <c r="BO137" s="32">
        <f t="shared" si="61"/>
        <v>5.6596325171917206E-2</v>
      </c>
      <c r="BP137" s="32">
        <f t="shared" si="62"/>
        <v>0</v>
      </c>
      <c r="BQ137" s="32">
        <f t="shared" si="63"/>
        <v>0.10130877828303547</v>
      </c>
      <c r="BR137" s="32">
        <f t="shared" si="64"/>
        <v>0.84209489654504732</v>
      </c>
      <c r="BT137" s="62">
        <f t="shared" si="65"/>
        <v>1</v>
      </c>
      <c r="BW137" s="32">
        <f>IF(AP137="Ja",VLOOKUP(B137,Miljövärden!$B$2:$H$551,MATCH("Total andel fossilt",Miljövärden!$B$2:$H$2,0),FALSE),"")</f>
        <v>5.6596300000000002E-2</v>
      </c>
      <c r="BX137" s="62">
        <f t="shared" si="66"/>
        <v>-2.5171917203414829E-8</v>
      </c>
      <c r="BZ137" s="31">
        <f t="shared" si="67"/>
        <v>-2.5171917203414829E-8</v>
      </c>
      <c r="CA137" s="32">
        <f t="shared" si="68"/>
        <v>0</v>
      </c>
    </row>
    <row r="138" spans="1:79" x14ac:dyDescent="0.45">
      <c r="A138" s="31" t="s">
        <v>502</v>
      </c>
      <c r="B138" s="31" t="s">
        <v>501</v>
      </c>
      <c r="C138" s="31">
        <f>VLOOKUP($B138,'Tillförd energi'!$B$1:$AI$720,MATCH(C$1,'Tillförd energi'!$B$1:$AQ$1,0),FALSE)</f>
        <v>0</v>
      </c>
      <c r="D138" s="31">
        <f>VLOOKUP($B138,'Tillförd energi'!$B$1:$AI$720,MATCH(D$1,'Tillförd energi'!$B$1:$AQ$1,0),FALSE)</f>
        <v>1.0309999999999999</v>
      </c>
      <c r="E138" s="31">
        <f>VLOOKUP($B138,'Tillförd energi'!$B$1:$AI$720,MATCH(E$1,'Tillförd energi'!$B$1:$AQ$1,0),FALSE)</f>
        <v>0</v>
      </c>
      <c r="F138" s="31">
        <f>VLOOKUP($B138,'Tillförd energi'!$B$1:$AI$720,MATCH(F$1,'Tillförd energi'!$B$1:$AQ$1,0),FALSE)</f>
        <v>0</v>
      </c>
      <c r="G138" s="31">
        <f>VLOOKUP($B138,'Tillförd energi'!$B$1:$AI$720,MATCH(G$1,'Tillförd energi'!$B$1:$AQ$1,0),FALSE)</f>
        <v>0</v>
      </c>
      <c r="H138" s="31">
        <f>VLOOKUP($B138,'Tillförd energi'!$B$1:$AI$720,MATCH(H$1,'Tillförd energi'!$B$1:$AQ$1,0),FALSE)</f>
        <v>0</v>
      </c>
      <c r="I138" s="31">
        <f>VLOOKUP($B138,'Tillförd energi'!$B$1:$AI$720,MATCH(I$1,'Tillförd energi'!$B$1:$AQ$1,0),FALSE)</f>
        <v>0</v>
      </c>
      <c r="J138" s="31">
        <f>VLOOKUP($B138,'Tillförd energi'!$B$1:$AI$720,MATCH(J$1,'Tillförd energi'!$B$1:$AQ$1,0),FALSE)</f>
        <v>0</v>
      </c>
      <c r="K138" s="31">
        <f>VLOOKUP($B138,'Tillförd energi'!$B$1:$AI$720,MATCH(K$1,'Tillförd energi'!$B$1:$AQ$1,0),FALSE)</f>
        <v>0</v>
      </c>
      <c r="L138" s="31">
        <f>VLOOKUP($B138,'Tillförd energi'!$B$1:$AI$720,MATCH(L$1,'Tillförd energi'!$B$1:$AQ$1,0),FALSE)</f>
        <v>0</v>
      </c>
      <c r="M138" s="31">
        <f>VLOOKUP($B138,'Tillförd energi'!$B$1:$AI$720,MATCH(M$1,'Tillförd energi'!$B$1:$AQ$1,0),FALSE)</f>
        <v>0</v>
      </c>
      <c r="N138" s="31">
        <f>VLOOKUP($B138,'Tillförd energi'!$B$1:$AI$720,MATCH(N$1,'Tillförd energi'!$B$1:$AQ$1,0),FALSE)</f>
        <v>0</v>
      </c>
      <c r="O138" s="31">
        <f>VLOOKUP($B138,'Tillförd energi'!$B$1:$AI$720,MATCH(O$1,'Tillförd energi'!$B$1:$AQ$1,0),FALSE)</f>
        <v>0</v>
      </c>
      <c r="P138" s="31">
        <f>VLOOKUP($B138,'Tillförd energi'!$B$1:$AI$720,MATCH(P$1,'Tillförd energi'!$B$1:$AQ$1,0),FALSE)</f>
        <v>8.4719999999999995</v>
      </c>
      <c r="Q138" s="31">
        <f>VLOOKUP($B138,'Tillförd energi'!$B$1:$AI$720,MATCH(Q$1,'Tillförd energi'!$B$1:$AQ$1,0),FALSE)</f>
        <v>0</v>
      </c>
      <c r="R138" s="31">
        <f>VLOOKUP($B138,'Tillförd energi'!$B$1:$AI$720,MATCH(R$1,'Tillförd energi'!$B$1:$AQ$1,0),FALSE)</f>
        <v>0</v>
      </c>
      <c r="S138" s="31">
        <f>VLOOKUP($B138,'Tillförd energi'!$B$1:$AI$720,MATCH(S$1,'Tillförd energi'!$B$1:$AQ$1,0),FALSE)</f>
        <v>0</v>
      </c>
      <c r="T138" s="31">
        <f>VLOOKUP($B138,'Tillförd energi'!$B$1:$AI$720,MATCH(T$1,'Tillförd energi'!$B$1:$AQ$1,0),FALSE)</f>
        <v>0</v>
      </c>
      <c r="U138" s="31">
        <f>VLOOKUP($B138,'Tillförd energi'!$B$1:$AI$720,MATCH(U$1,'Tillförd energi'!$B$1:$AQ$1,0),FALSE)</f>
        <v>0</v>
      </c>
      <c r="V138" s="31">
        <f>VLOOKUP($B138,'Tillförd energi'!$B$1:$AI$720,MATCH(V$1,'Tillförd energi'!$B$1:$AQ$1,0),FALSE)</f>
        <v>0</v>
      </c>
      <c r="W138" s="31">
        <f>VLOOKUP($B138,'Tillförd energi'!$B$1:$AI$720,MATCH(W$1,'Tillförd energi'!$B$1:$AQ$1,0),FALSE)</f>
        <v>0</v>
      </c>
      <c r="X138" s="31">
        <f>VLOOKUP($B138,'Tillförd energi'!$B$1:$AI$720,MATCH(X$1,'Tillförd energi'!$B$1:$AQ$1,0),FALSE)</f>
        <v>0</v>
      </c>
      <c r="Y138" s="31">
        <f>VLOOKUP($B138,'Tillförd energi'!$B$1:$AI$720,MATCH(Y$1,'Tillförd energi'!$B$1:$AQ$1,0),FALSE)</f>
        <v>0</v>
      </c>
      <c r="Z138" s="31">
        <f>VLOOKUP($B138,'Tillförd energi'!$B$1:$AI$720,MATCH(Z$1,'Tillförd energi'!$B$1:$AQ$1,0),FALSE)</f>
        <v>0.45</v>
      </c>
      <c r="AA138" s="31">
        <f>VLOOKUP($B138,'Tillförd energi'!$B$1:$AI$720,MATCH(AA$1,'Tillförd energi'!$B$1:$AQ$1,0),FALSE)</f>
        <v>0</v>
      </c>
      <c r="AB138" s="31">
        <f>VLOOKUP($B138,'Tillförd energi'!$B$1:$AI$720,MATCH(AB$1,'Tillförd energi'!$B$1:$AQ$1,0),FALSE)</f>
        <v>0</v>
      </c>
      <c r="AC138" s="31">
        <f>VLOOKUP($B138,'Tillförd energi'!$B$1:$AI$720,MATCH(AC$1,'Tillförd energi'!$B$1:$AQ$1,0),FALSE)</f>
        <v>0</v>
      </c>
      <c r="AD138" s="31">
        <f>VLOOKUP($B138,'Tillförd energi'!$B$1:$AI$720,MATCH(AD$1,'Tillförd energi'!$B$1:$AQ$1,0),FALSE)</f>
        <v>0</v>
      </c>
      <c r="AE138" s="31">
        <f>VLOOKUP($B138,'Tillförd energi'!$B$1:$AI$720,MATCH(AE$1,'Tillförd energi'!$B$1:$AQ$1,0),FALSE)</f>
        <v>0</v>
      </c>
      <c r="AF138" s="31">
        <f>VLOOKUP($B138,'Tillförd energi'!$B$1:$AI$720,MATCH(AF$1,'Tillförd energi'!$B$1:$AQ$1,0),FALSE)</f>
        <v>0.14399999999999999</v>
      </c>
      <c r="AG138" s="31">
        <f>IFERROR(VLOOKUP(B138,Miljö!$B$1:$AC$550,MATCH("Köpt mängd produktionsspecifik fjärrvärme:",Miljö!$B$1:$AC$1,0),FALSE)/1,0)</f>
        <v>0</v>
      </c>
      <c r="AI138" s="31">
        <f t="shared" si="46"/>
        <v>10.097</v>
      </c>
      <c r="AJ138" s="31">
        <f t="shared" si="47"/>
        <v>10.097</v>
      </c>
      <c r="AK138" s="31">
        <f>IF(ISERROR(1/VLOOKUP($B138,Leveranser!$B$1:$S$499,MATCH("Såld värme (GWh)",Leveranser!$B$1:$S$1,0),FALSE)),"",VLOOKUP($B138,Leveranser!$B$1:$S$499,MATCH("Såld värme (GWh)",Leveranser!$B$1:$S$1,0),FALSE))</f>
        <v>5.9429999999999996</v>
      </c>
      <c r="AL138" s="31">
        <f>VLOOKUP($B138,Leveranser!$B$1:$Y$499,MATCH("Totalt såld fjärrvärme till andra fjärrvärmeföretag",Leveranser!$B$1:$AA$1,0),FALSE)</f>
        <v>0</v>
      </c>
      <c r="AM138" s="31">
        <f>IF(ISERROR(1/VLOOKUP($B138,Miljö!$B$1:$S$500,MATCH("Såld mängd produktionsspecifik fjärrvärme (GWh)",Miljö!$B$1:$R$1,0),FALSE)),0,VLOOKUP($B138,Miljö!$B$1:$S$500,MATCH("Såld mängd produktionsspecifik fjärrvärme (GWh)",Miljö!$B$1:$R$1,0),FALSE))</f>
        <v>0</v>
      </c>
      <c r="AN138" s="32">
        <f t="shared" si="48"/>
        <v>0.58859067049618696</v>
      </c>
      <c r="AP138" s="31" t="str">
        <f>IFERROR(VLOOKUP($B138,Miljövärden!$B$2:$H$550,7,FALSE),"Nej, saknas")</f>
        <v>Ja</v>
      </c>
      <c r="AQ138" s="31" t="str">
        <f>IFERROR(VLOOKUP($B138,Miljövärden!$B$2:$H$551,6,FALSE),"Nej, saknas")</f>
        <v>Ja</v>
      </c>
      <c r="AU138" s="31">
        <f t="shared" si="49"/>
        <v>0.59399999999999997</v>
      </c>
      <c r="AV138" s="31">
        <f t="shared" si="50"/>
        <v>0</v>
      </c>
      <c r="AW138" s="31">
        <f t="shared" si="51"/>
        <v>8.4719999999999995</v>
      </c>
      <c r="AX138" s="31">
        <f t="shared" si="52"/>
        <v>0</v>
      </c>
      <c r="AZ138" s="31">
        <f t="shared" si="53"/>
        <v>8.4719999999999995</v>
      </c>
      <c r="BC138" s="31">
        <f t="shared" si="54"/>
        <v>1.0309999999999999</v>
      </c>
      <c r="BD138" s="31">
        <f t="shared" si="55"/>
        <v>0</v>
      </c>
      <c r="BE138" s="31">
        <f t="shared" si="56"/>
        <v>8.4719999999999995</v>
      </c>
      <c r="BF138" s="31">
        <f t="shared" si="57"/>
        <v>0</v>
      </c>
      <c r="BG138" s="31">
        <f t="shared" si="58"/>
        <v>0.59399999999999997</v>
      </c>
      <c r="BH138" s="31">
        <f>VLOOKUP(B138,Miljö!$B$1:$BX$482,MATCH("Fossilandel för ursprungspecificerad el ()",Miljö!$B$1:$I$1,0),FALSE)</f>
        <v>0</v>
      </c>
      <c r="BI138" s="31">
        <f>VLOOKUP(B138,Miljö!$B$1:$BX$482,MATCH("Kärnkraftsandel för ursprungsspecificerad el ()",Miljö!$B$1:$O$1,0),FALSE)</f>
        <v>0</v>
      </c>
      <c r="BJ138" s="31">
        <f t="shared" si="59"/>
        <v>0</v>
      </c>
      <c r="BK138" s="31" t="str">
        <f>VLOOKUP(B138,Miljö!$B$1:$P$482,MATCH("Fossil andel i procent (%)",Miljö!$B$1:$P$1,0),FALSE)</f>
        <v>ET</v>
      </c>
      <c r="BL138" s="31">
        <f t="shared" si="60"/>
        <v>10.097</v>
      </c>
      <c r="BO138" s="32">
        <f t="shared" si="61"/>
        <v>0.10210953748638209</v>
      </c>
      <c r="BP138" s="32">
        <f t="shared" si="62"/>
        <v>0</v>
      </c>
      <c r="BQ138" s="32">
        <f t="shared" si="63"/>
        <v>0.89789046251361782</v>
      </c>
      <c r="BR138" s="32">
        <f t="shared" si="64"/>
        <v>0</v>
      </c>
      <c r="BT138" s="62">
        <f t="shared" si="65"/>
        <v>0.99999999999999989</v>
      </c>
      <c r="BW138" s="32">
        <f>IF(AP138="Ja",VLOOKUP(B138,Miljövärden!$B$2:$H$551,MATCH("Total andel fossilt",Miljövärden!$B$2:$H$2,0),FALSE),"")</f>
        <v>0.10211000000000001</v>
      </c>
      <c r="BX138" s="62">
        <f t="shared" si="66"/>
        <v>4.6251361791871393E-7</v>
      </c>
      <c r="BZ138" s="31">
        <f t="shared" si="67"/>
        <v>4.6251361791871393E-7</v>
      </c>
      <c r="CA138" s="32">
        <f t="shared" si="68"/>
        <v>0</v>
      </c>
    </row>
    <row r="139" spans="1:79" x14ac:dyDescent="0.45">
      <c r="A139" s="31" t="s">
        <v>498</v>
      </c>
      <c r="B139" s="31" t="s">
        <v>500</v>
      </c>
      <c r="C139" s="31">
        <f>VLOOKUP($B139,'Tillförd energi'!$B$1:$AI$720,MATCH(C$1,'Tillförd energi'!$B$1:$AQ$1,0),FALSE)</f>
        <v>0</v>
      </c>
      <c r="D139" s="31">
        <f>VLOOKUP($B139,'Tillförd energi'!$B$1:$AI$720,MATCH(D$1,'Tillförd energi'!$B$1:$AQ$1,0),FALSE)</f>
        <v>0</v>
      </c>
      <c r="E139" s="31">
        <f>VLOOKUP($B139,'Tillförd energi'!$B$1:$AI$720,MATCH(E$1,'Tillförd energi'!$B$1:$AQ$1,0),FALSE)</f>
        <v>0</v>
      </c>
      <c r="F139" s="31">
        <f>VLOOKUP($B139,'Tillförd energi'!$B$1:$AI$720,MATCH(F$1,'Tillförd energi'!$B$1:$AQ$1,0),FALSE)</f>
        <v>0</v>
      </c>
      <c r="G139" s="31">
        <f>VLOOKUP($B139,'Tillförd energi'!$B$1:$AI$720,MATCH(G$1,'Tillförd energi'!$B$1:$AQ$1,0),FALSE)</f>
        <v>0</v>
      </c>
      <c r="H139" s="31">
        <f>VLOOKUP($B139,'Tillförd energi'!$B$1:$AI$720,MATCH(H$1,'Tillförd energi'!$B$1:$AQ$1,0),FALSE)</f>
        <v>0</v>
      </c>
      <c r="I139" s="31">
        <f>VLOOKUP($B139,'Tillförd energi'!$B$1:$AI$720,MATCH(I$1,'Tillförd energi'!$B$1:$AQ$1,0),FALSE)</f>
        <v>0</v>
      </c>
      <c r="J139" s="31">
        <f>VLOOKUP($B139,'Tillförd energi'!$B$1:$AI$720,MATCH(J$1,'Tillförd energi'!$B$1:$AQ$1,0),FALSE)</f>
        <v>16.625</v>
      </c>
      <c r="K139" s="31">
        <f>VLOOKUP($B139,'Tillförd energi'!$B$1:$AI$720,MATCH(K$1,'Tillförd energi'!$B$1:$AQ$1,0),FALSE)</f>
        <v>0</v>
      </c>
      <c r="L139" s="31">
        <f>VLOOKUP($B139,'Tillförd energi'!$B$1:$AI$720,MATCH(L$1,'Tillförd energi'!$B$1:$AQ$1,0),FALSE)</f>
        <v>169.262</v>
      </c>
      <c r="M139" s="31">
        <f>VLOOKUP($B139,'Tillförd energi'!$B$1:$AI$720,MATCH(M$1,'Tillförd energi'!$B$1:$AQ$1,0),FALSE)</f>
        <v>0</v>
      </c>
      <c r="N139" s="31">
        <f>VLOOKUP($B139,'Tillförd energi'!$B$1:$AI$720,MATCH(N$1,'Tillförd energi'!$B$1:$AQ$1,0),FALSE)</f>
        <v>0</v>
      </c>
      <c r="O139" s="31">
        <f>VLOOKUP($B139,'Tillförd energi'!$B$1:$AI$720,MATCH(O$1,'Tillförd energi'!$B$1:$AQ$1,0),FALSE)</f>
        <v>0</v>
      </c>
      <c r="P139" s="31">
        <f>VLOOKUP($B139,'Tillförd energi'!$B$1:$AI$720,MATCH(P$1,'Tillförd energi'!$B$1:$AQ$1,0),FALSE)</f>
        <v>215.42699999999999</v>
      </c>
      <c r="Q139" s="31">
        <f>VLOOKUP($B139,'Tillförd energi'!$B$1:$AI$720,MATCH(Q$1,'Tillförd energi'!$B$1:$AQ$1,0),FALSE)</f>
        <v>32.788200000000003</v>
      </c>
      <c r="R139" s="31">
        <f>VLOOKUP($B139,'Tillförd energi'!$B$1:$AI$720,MATCH(R$1,'Tillförd energi'!$B$1:$AQ$1,0),FALSE)</f>
        <v>5.0949999999999998</v>
      </c>
      <c r="S139" s="31">
        <f>VLOOKUP($B139,'Tillförd energi'!$B$1:$AI$720,MATCH(S$1,'Tillförd energi'!$B$1:$AQ$1,0),FALSE)</f>
        <v>0</v>
      </c>
      <c r="T139" s="31">
        <f>VLOOKUP($B139,'Tillförd energi'!$B$1:$AI$720,MATCH(T$1,'Tillförd energi'!$B$1:$AQ$1,0),FALSE)</f>
        <v>0</v>
      </c>
      <c r="U139" s="31">
        <f>VLOOKUP($B139,'Tillförd energi'!$B$1:$AI$720,MATCH(U$1,'Tillförd energi'!$B$1:$AQ$1,0),FALSE)</f>
        <v>0</v>
      </c>
      <c r="V139" s="31">
        <f>VLOOKUP($B139,'Tillförd energi'!$B$1:$AI$720,MATCH(V$1,'Tillförd energi'!$B$1:$AQ$1,0),FALSE)</f>
        <v>0</v>
      </c>
      <c r="W139" s="31">
        <f>VLOOKUP($B139,'Tillförd energi'!$B$1:$AI$720,MATCH(W$1,'Tillförd energi'!$B$1:$AQ$1,0),FALSE)</f>
        <v>36.783000000000001</v>
      </c>
      <c r="X139" s="31">
        <f>VLOOKUP($B139,'Tillförd energi'!$B$1:$AI$720,MATCH(X$1,'Tillförd energi'!$B$1:$AQ$1,0),FALSE)</f>
        <v>0</v>
      </c>
      <c r="Y139" s="31">
        <f>VLOOKUP($B139,'Tillförd energi'!$B$1:$AI$720,MATCH(Y$1,'Tillförd energi'!$B$1:$AQ$1,0),FALSE)</f>
        <v>0</v>
      </c>
      <c r="Z139" s="31">
        <f>VLOOKUP($B139,'Tillförd energi'!$B$1:$AI$720,MATCH(Z$1,'Tillförd energi'!$B$1:$AQ$1,0),FALSE)</f>
        <v>0</v>
      </c>
      <c r="AA139" s="31">
        <f>VLOOKUP($B139,'Tillförd energi'!$B$1:$AI$720,MATCH(AA$1,'Tillförd energi'!$B$1:$AQ$1,0),FALSE)</f>
        <v>67.741</v>
      </c>
      <c r="AB139" s="31">
        <f>VLOOKUP($B139,'Tillförd energi'!$B$1:$AI$720,MATCH(AB$1,'Tillförd energi'!$B$1:$AQ$1,0),FALSE)</f>
        <v>142.4</v>
      </c>
      <c r="AC139" s="31">
        <f>VLOOKUP($B139,'Tillförd energi'!$B$1:$AI$720,MATCH(AC$1,'Tillförd energi'!$B$1:$AQ$1,0),FALSE)</f>
        <v>99.561000000000007</v>
      </c>
      <c r="AD139" s="31">
        <f>VLOOKUP($B139,'Tillförd energi'!$B$1:$AI$720,MATCH(AD$1,'Tillförd energi'!$B$1:$AQ$1,0),FALSE)</f>
        <v>10.305</v>
      </c>
      <c r="AE139" s="31">
        <f>VLOOKUP($B139,'Tillförd energi'!$B$1:$AI$720,MATCH(AE$1,'Tillförd energi'!$B$1:$AQ$1,0),FALSE)</f>
        <v>0</v>
      </c>
      <c r="AF139" s="31">
        <f>VLOOKUP($B139,'Tillförd energi'!$B$1:$AI$720,MATCH(AF$1,'Tillförd energi'!$B$1:$AQ$1,0),FALSE)</f>
        <v>24.15</v>
      </c>
      <c r="AG139" s="31">
        <f>IFERROR(VLOOKUP(B139,Miljö!$B$1:$AC$550,MATCH("Köpt mängd produktionsspecifik fjärrvärme:",Miljö!$B$1:$AC$1,0),FALSE)/1,0)</f>
        <v>130.053</v>
      </c>
      <c r="AI139" s="31">
        <f t="shared" si="46"/>
        <v>820.13720000000001</v>
      </c>
      <c r="AJ139" s="31">
        <f t="shared" si="47"/>
        <v>950.1902</v>
      </c>
      <c r="AK139" s="31">
        <f>IF(ISERROR(1/VLOOKUP($B139,Leveranser!$B$1:$S$499,MATCH("Såld värme (GWh)",Leveranser!$B$1:$S$1,0),FALSE)),"",VLOOKUP($B139,Leveranser!$B$1:$S$499,MATCH("Såld värme (GWh)",Leveranser!$B$1:$S$1,0),FALSE))</f>
        <v>805</v>
      </c>
      <c r="AL139" s="31">
        <f>VLOOKUP($B139,Leveranser!$B$1:$Y$499,MATCH("Totalt såld fjärrvärme till andra fjärrvärmeföretag",Leveranser!$B$1:$AA$1,0),FALSE)</f>
        <v>24</v>
      </c>
      <c r="AM139" s="31">
        <f>IF(ISERROR(1/VLOOKUP($B139,Miljö!$B$1:$S$500,MATCH("Såld mängd produktionsspecifik fjärrvärme (GWh)",Miljö!$B$1:$R$1,0),FALSE)),0,VLOOKUP($B139,Miljö!$B$1:$S$500,MATCH("Såld mängd produktionsspecifik fjärrvärme (GWh)",Miljö!$B$1:$R$1,0),FALSE))</f>
        <v>24.021000000000001</v>
      </c>
      <c r="AN139" s="32">
        <f t="shared" si="48"/>
        <v>0.84719880293440197</v>
      </c>
      <c r="AP139" s="31" t="str">
        <f>IFERROR(VLOOKUP($B139,Miljövärden!$B$2:$H$550,7,FALSE),"Nej, saknas")</f>
        <v>Ja</v>
      </c>
      <c r="AQ139" s="31" t="str">
        <f>IFERROR(VLOOKUP($B139,Miljövärden!$B$2:$H$551,6,FALSE),"Nej, saknas")</f>
        <v>Ja</v>
      </c>
      <c r="AU139" s="31">
        <f t="shared" si="49"/>
        <v>91.890999999999991</v>
      </c>
      <c r="AV139" s="31">
        <f t="shared" si="50"/>
        <v>0</v>
      </c>
      <c r="AW139" s="31">
        <f t="shared" si="51"/>
        <v>248.21519999999998</v>
      </c>
      <c r="AX139" s="31">
        <f t="shared" si="52"/>
        <v>5.0949999999999998</v>
      </c>
      <c r="AZ139" s="31">
        <f t="shared" si="53"/>
        <v>459.35520000000002</v>
      </c>
      <c r="BC139" s="31">
        <f t="shared" si="54"/>
        <v>0</v>
      </c>
      <c r="BD139" s="31">
        <f t="shared" si="55"/>
        <v>0</v>
      </c>
      <c r="BE139" s="31">
        <f t="shared" si="56"/>
        <v>290.09319999999997</v>
      </c>
      <c r="BF139" s="31">
        <f t="shared" si="57"/>
        <v>438.15300000000008</v>
      </c>
      <c r="BG139" s="31">
        <f t="shared" si="58"/>
        <v>91.890999999999991</v>
      </c>
      <c r="BH139" s="31">
        <f>VLOOKUP(B139,Miljö!$B$1:$BX$482,MATCH("Fossilandel för ursprungspecificerad el ()",Miljö!$B$1:$I$1,0),FALSE)</f>
        <v>0</v>
      </c>
      <c r="BI139" s="31">
        <f>VLOOKUP(B139,Miljö!$B$1:$BX$482,MATCH("Kärnkraftsandel för ursprungsspecificerad el ()",Miljö!$B$1:$O$1,0),FALSE)</f>
        <v>0</v>
      </c>
      <c r="BJ139" s="31">
        <f t="shared" si="59"/>
        <v>130.053</v>
      </c>
      <c r="BK139" s="31">
        <f>VLOOKUP(B139,Miljö!$B$1:$P$482,MATCH("Fossil andel i procent (%)",Miljö!$B$1:$P$1,0),FALSE)</f>
        <v>0</v>
      </c>
      <c r="BL139" s="31">
        <f t="shared" si="60"/>
        <v>950.1902</v>
      </c>
      <c r="BO139" s="32">
        <f t="shared" si="61"/>
        <v>0</v>
      </c>
      <c r="BP139" s="32">
        <f t="shared" si="62"/>
        <v>0.136870491823637</v>
      </c>
      <c r="BQ139" s="32">
        <f t="shared" si="63"/>
        <v>0.40200814531659029</v>
      </c>
      <c r="BR139" s="32">
        <f t="shared" si="64"/>
        <v>0.46112136285977279</v>
      </c>
      <c r="BT139" s="62">
        <f t="shared" si="65"/>
        <v>1</v>
      </c>
      <c r="BW139" s="32">
        <f>IF(AP139="Ja",VLOOKUP(B139,Miljövärden!$B$2:$H$551,MATCH("Total andel fossilt",Miljövärden!$B$2:$H$2,0),FALSE),"")</f>
        <v>0</v>
      </c>
      <c r="BX139" s="62">
        <f t="shared" si="66"/>
        <v>0</v>
      </c>
      <c r="BZ139" s="31">
        <f t="shared" si="67"/>
        <v>0</v>
      </c>
      <c r="CA139" s="32">
        <f t="shared" si="68"/>
        <v>0</v>
      </c>
    </row>
    <row r="140" spans="1:79" x14ac:dyDescent="0.45">
      <c r="A140" s="31" t="s">
        <v>498</v>
      </c>
      <c r="B140" s="31" t="s">
        <v>497</v>
      </c>
      <c r="C140" s="31">
        <f>VLOOKUP($B140,'Tillförd energi'!$B$1:$AI$720,MATCH(C$1,'Tillförd energi'!$B$1:$AQ$1,0),FALSE)</f>
        <v>0</v>
      </c>
      <c r="D140" s="31">
        <f>VLOOKUP($B140,'Tillförd energi'!$B$1:$AI$720,MATCH(D$1,'Tillförd energi'!$B$1:$AQ$1,0),FALSE)</f>
        <v>0</v>
      </c>
      <c r="E140" s="31">
        <f>VLOOKUP($B140,'Tillförd energi'!$B$1:$AI$720,MATCH(E$1,'Tillförd energi'!$B$1:$AQ$1,0),FALSE)</f>
        <v>0</v>
      </c>
      <c r="F140" s="31">
        <f>VLOOKUP($B140,'Tillförd energi'!$B$1:$AI$720,MATCH(F$1,'Tillförd energi'!$B$1:$AQ$1,0),FALSE)</f>
        <v>0</v>
      </c>
      <c r="G140" s="31">
        <f>VLOOKUP($B140,'Tillförd energi'!$B$1:$AI$720,MATCH(G$1,'Tillförd energi'!$B$1:$AQ$1,0),FALSE)</f>
        <v>0</v>
      </c>
      <c r="H140" s="31">
        <f>VLOOKUP($B140,'Tillförd energi'!$B$1:$AI$720,MATCH(H$1,'Tillförd energi'!$B$1:$AQ$1,0),FALSE)</f>
        <v>0</v>
      </c>
      <c r="I140" s="31">
        <f>VLOOKUP($B140,'Tillförd energi'!$B$1:$AI$720,MATCH(I$1,'Tillförd energi'!$B$1:$AQ$1,0),FALSE)</f>
        <v>0</v>
      </c>
      <c r="J140" s="31">
        <f>VLOOKUP($B140,'Tillförd energi'!$B$1:$AI$720,MATCH(J$1,'Tillförd energi'!$B$1:$AQ$1,0),FALSE)</f>
        <v>3.91</v>
      </c>
      <c r="K140" s="31">
        <f>VLOOKUP($B140,'Tillförd energi'!$B$1:$AI$720,MATCH(K$1,'Tillförd energi'!$B$1:$AQ$1,0),FALSE)</f>
        <v>0</v>
      </c>
      <c r="L140" s="31">
        <f>VLOOKUP($B140,'Tillförd energi'!$B$1:$AI$720,MATCH(L$1,'Tillförd energi'!$B$1:$AQ$1,0),FALSE)</f>
        <v>0</v>
      </c>
      <c r="M140" s="31">
        <f>VLOOKUP($B140,'Tillförd energi'!$B$1:$AI$720,MATCH(M$1,'Tillförd energi'!$B$1:$AQ$1,0),FALSE)</f>
        <v>0</v>
      </c>
      <c r="N140" s="31">
        <f>VLOOKUP($B140,'Tillförd energi'!$B$1:$AI$720,MATCH(N$1,'Tillförd energi'!$B$1:$AQ$1,0),FALSE)</f>
        <v>0</v>
      </c>
      <c r="O140" s="31">
        <f>VLOOKUP($B140,'Tillförd energi'!$B$1:$AI$720,MATCH(O$1,'Tillförd energi'!$B$1:$AQ$1,0),FALSE)</f>
        <v>0</v>
      </c>
      <c r="P140" s="31">
        <f>VLOOKUP($B140,'Tillförd energi'!$B$1:$AI$720,MATCH(P$1,'Tillförd energi'!$B$1:$AQ$1,0),FALSE)</f>
        <v>41.27</v>
      </c>
      <c r="Q140" s="31">
        <f>VLOOKUP($B140,'Tillförd energi'!$B$1:$AI$720,MATCH(Q$1,'Tillförd energi'!$B$1:$AQ$1,0),FALSE)</f>
        <v>0</v>
      </c>
      <c r="R140" s="31">
        <f>VLOOKUP($B140,'Tillförd energi'!$B$1:$AI$720,MATCH(R$1,'Tillförd energi'!$B$1:$AQ$1,0),FALSE)</f>
        <v>3.24</v>
      </c>
      <c r="S140" s="31">
        <f>VLOOKUP($B140,'Tillförd energi'!$B$1:$AI$720,MATCH(S$1,'Tillförd energi'!$B$1:$AQ$1,0),FALSE)</f>
        <v>12.72</v>
      </c>
      <c r="T140" s="31">
        <f>VLOOKUP($B140,'Tillförd energi'!$B$1:$AI$720,MATCH(T$1,'Tillförd energi'!$B$1:$AQ$1,0),FALSE)</f>
        <v>0</v>
      </c>
      <c r="U140" s="31">
        <f>VLOOKUP($B140,'Tillförd energi'!$B$1:$AI$720,MATCH(U$1,'Tillförd energi'!$B$1:$AQ$1,0),FALSE)</f>
        <v>0</v>
      </c>
      <c r="V140" s="31">
        <f>VLOOKUP($B140,'Tillförd energi'!$B$1:$AI$720,MATCH(V$1,'Tillförd energi'!$B$1:$AQ$1,0),FALSE)</f>
        <v>0</v>
      </c>
      <c r="W140" s="31">
        <f>VLOOKUP($B140,'Tillförd energi'!$B$1:$AI$720,MATCH(W$1,'Tillförd energi'!$B$1:$AQ$1,0),FALSE)</f>
        <v>3.55</v>
      </c>
      <c r="X140" s="31">
        <f>VLOOKUP($B140,'Tillförd energi'!$B$1:$AI$720,MATCH(X$1,'Tillförd energi'!$B$1:$AQ$1,0),FALSE)</f>
        <v>0</v>
      </c>
      <c r="Y140" s="31">
        <f>VLOOKUP($B140,'Tillförd energi'!$B$1:$AI$720,MATCH(Y$1,'Tillförd energi'!$B$1:$AQ$1,0),FALSE)</f>
        <v>0</v>
      </c>
      <c r="Z140" s="31">
        <f>VLOOKUP($B140,'Tillförd energi'!$B$1:$AI$720,MATCH(Z$1,'Tillförd energi'!$B$1:$AQ$1,0),FALSE)</f>
        <v>0.33800000000000002</v>
      </c>
      <c r="AA140" s="31">
        <f>VLOOKUP($B140,'Tillförd energi'!$B$1:$AI$720,MATCH(AA$1,'Tillförd energi'!$B$1:$AQ$1,0),FALSE)</f>
        <v>0</v>
      </c>
      <c r="AB140" s="31">
        <f>VLOOKUP($B140,'Tillförd energi'!$B$1:$AI$720,MATCH(AB$1,'Tillförd energi'!$B$1:$AQ$1,0),FALSE)</f>
        <v>0</v>
      </c>
      <c r="AC140" s="31">
        <f>VLOOKUP($B140,'Tillförd energi'!$B$1:$AI$720,MATCH(AC$1,'Tillförd energi'!$B$1:$AQ$1,0),FALSE)</f>
        <v>2.95</v>
      </c>
      <c r="AD140" s="31">
        <f>VLOOKUP($B140,'Tillförd energi'!$B$1:$AI$720,MATCH(AD$1,'Tillförd energi'!$B$1:$AQ$1,0),FALSE)</f>
        <v>0</v>
      </c>
      <c r="AE140" s="31">
        <f>VLOOKUP($B140,'Tillförd energi'!$B$1:$AI$720,MATCH(AE$1,'Tillförd energi'!$B$1:$AQ$1,0),FALSE)</f>
        <v>0</v>
      </c>
      <c r="AF140" s="31">
        <f>VLOOKUP($B140,'Tillförd energi'!$B$1:$AI$720,MATCH(AF$1,'Tillförd energi'!$B$1:$AQ$1,0),FALSE)</f>
        <v>1.53</v>
      </c>
      <c r="AG140" s="31">
        <f>IFERROR(VLOOKUP(B140,Miljö!$B$1:$AC$550,MATCH("Köpt mängd produktionsspecifik fjärrvärme:",Miljö!$B$1:$AC$1,0),FALSE)/1,0)</f>
        <v>0</v>
      </c>
      <c r="AI140" s="31">
        <f t="shared" si="46"/>
        <v>69.50800000000001</v>
      </c>
      <c r="AJ140" s="31">
        <f t="shared" si="47"/>
        <v>69.50800000000001</v>
      </c>
      <c r="AK140" s="31">
        <f>IF(ISERROR(1/VLOOKUP($B140,Leveranser!$B$1:$S$499,MATCH("Såld värme (GWh)",Leveranser!$B$1:$S$1,0),FALSE)),"",VLOOKUP($B140,Leveranser!$B$1:$S$499,MATCH("Såld värme (GWh)",Leveranser!$B$1:$S$1,0),FALSE))</f>
        <v>51</v>
      </c>
      <c r="AL140" s="31">
        <f>VLOOKUP($B140,Leveranser!$B$1:$Y$499,MATCH("Totalt såld fjärrvärme till andra fjärrvärmeföretag",Leveranser!$B$1:$AA$1,0),FALSE)</f>
        <v>0</v>
      </c>
      <c r="AM140" s="31">
        <f>IF(ISERROR(1/VLOOKUP($B140,Miljö!$B$1:$S$500,MATCH("Såld mängd produktionsspecifik fjärrvärme (GWh)",Miljö!$B$1:$R$1,0),FALSE)),0,VLOOKUP($B140,Miljö!$B$1:$S$500,MATCH("Såld mängd produktionsspecifik fjärrvärme (GWh)",Miljö!$B$1:$R$1,0),FALSE))</f>
        <v>0</v>
      </c>
      <c r="AN140" s="32">
        <f t="shared" si="48"/>
        <v>0.73372849168441034</v>
      </c>
      <c r="AP140" s="31" t="str">
        <f>IFERROR(VLOOKUP($B140,Miljövärden!$B$2:$H$550,7,FALSE),"Nej, saknas")</f>
        <v>Ja</v>
      </c>
      <c r="AQ140" s="31" t="str">
        <f>IFERROR(VLOOKUP($B140,Miljövärden!$B$2:$H$551,6,FALSE),"Nej, saknas")</f>
        <v>Ja</v>
      </c>
      <c r="AU140" s="31">
        <f t="shared" si="49"/>
        <v>1.8680000000000001</v>
      </c>
      <c r="AV140" s="31">
        <f t="shared" si="50"/>
        <v>0</v>
      </c>
      <c r="AW140" s="31">
        <f t="shared" si="51"/>
        <v>41.27</v>
      </c>
      <c r="AX140" s="31">
        <f t="shared" si="52"/>
        <v>15.96</v>
      </c>
      <c r="AZ140" s="31">
        <f t="shared" si="53"/>
        <v>60.78</v>
      </c>
      <c r="BC140" s="31">
        <f t="shared" si="54"/>
        <v>0</v>
      </c>
      <c r="BD140" s="31">
        <f t="shared" si="55"/>
        <v>0</v>
      </c>
      <c r="BE140" s="31">
        <f t="shared" si="56"/>
        <v>60.78</v>
      </c>
      <c r="BF140" s="31">
        <f t="shared" si="57"/>
        <v>6.86</v>
      </c>
      <c r="BG140" s="31">
        <f t="shared" si="58"/>
        <v>1.8680000000000001</v>
      </c>
      <c r="BH140" s="31">
        <f>VLOOKUP(B140,Miljö!$B$1:$BX$482,MATCH("Fossilandel för ursprungspecificerad el ()",Miljö!$B$1:$I$1,0),FALSE)</f>
        <v>0</v>
      </c>
      <c r="BI140" s="31">
        <f>VLOOKUP(B140,Miljö!$B$1:$BX$482,MATCH("Kärnkraftsandel för ursprungsspecificerad el ()",Miljö!$B$1:$O$1,0),FALSE)</f>
        <v>0</v>
      </c>
      <c r="BJ140" s="31">
        <f t="shared" si="59"/>
        <v>0</v>
      </c>
      <c r="BK140" s="31" t="str">
        <f>VLOOKUP(B140,Miljö!$B$1:$P$482,MATCH("Fossil andel i procent (%)",Miljö!$B$1:$P$1,0),FALSE)</f>
        <v>ET</v>
      </c>
      <c r="BL140" s="31">
        <f t="shared" si="60"/>
        <v>69.507999999999996</v>
      </c>
      <c r="BO140" s="32">
        <f t="shared" si="61"/>
        <v>0</v>
      </c>
      <c r="BP140" s="32">
        <f t="shared" si="62"/>
        <v>0</v>
      </c>
      <c r="BQ140" s="32">
        <f t="shared" si="63"/>
        <v>0.90130632445186176</v>
      </c>
      <c r="BR140" s="32">
        <f t="shared" si="64"/>
        <v>9.8693675548138349E-2</v>
      </c>
      <c r="BT140" s="62">
        <f t="shared" si="65"/>
        <v>1</v>
      </c>
      <c r="BW140" s="32">
        <f>IF(AP140="Ja",VLOOKUP(B140,Miljövärden!$B$2:$H$551,MATCH("Total andel fossilt",Miljövärden!$B$2:$H$2,0),FALSE),"")</f>
        <v>0</v>
      </c>
      <c r="BX140" s="62">
        <f t="shared" si="66"/>
        <v>0</v>
      </c>
      <c r="BZ140" s="31">
        <f t="shared" si="67"/>
        <v>0</v>
      </c>
      <c r="CA140" s="32">
        <f t="shared" si="68"/>
        <v>0</v>
      </c>
    </row>
    <row r="141" spans="1:79" x14ac:dyDescent="0.45">
      <c r="A141" s="31" t="s">
        <v>493</v>
      </c>
      <c r="B141" s="31" t="s">
        <v>496</v>
      </c>
      <c r="C141" s="31">
        <f>VLOOKUP($B141,'Tillförd energi'!$B$1:$AI$720,MATCH(C$1,'Tillförd energi'!$B$1:$AQ$1,0),FALSE)</f>
        <v>0</v>
      </c>
      <c r="D141" s="31">
        <f>VLOOKUP($B141,'Tillförd energi'!$B$1:$AI$720,MATCH(D$1,'Tillförd energi'!$B$1:$AQ$1,0),FALSE)</f>
        <v>0.16</v>
      </c>
      <c r="E141" s="31">
        <f>VLOOKUP($B141,'Tillförd energi'!$B$1:$AI$720,MATCH(E$1,'Tillförd energi'!$B$1:$AQ$1,0),FALSE)</f>
        <v>0</v>
      </c>
      <c r="F141" s="31">
        <f>VLOOKUP($B141,'Tillförd energi'!$B$1:$AI$720,MATCH(F$1,'Tillförd energi'!$B$1:$AQ$1,0),FALSE)</f>
        <v>0</v>
      </c>
      <c r="G141" s="31">
        <f>VLOOKUP($B141,'Tillförd energi'!$B$1:$AI$720,MATCH(G$1,'Tillförd energi'!$B$1:$AQ$1,0),FALSE)</f>
        <v>0</v>
      </c>
      <c r="H141" s="31">
        <f>VLOOKUP($B141,'Tillförd energi'!$B$1:$AI$720,MATCH(H$1,'Tillförd energi'!$B$1:$AQ$1,0),FALSE)</f>
        <v>0</v>
      </c>
      <c r="I141" s="31">
        <f>VLOOKUP($B141,'Tillförd energi'!$B$1:$AI$720,MATCH(I$1,'Tillförd energi'!$B$1:$AQ$1,0),FALSE)</f>
        <v>0</v>
      </c>
      <c r="J141" s="31">
        <f>VLOOKUP($B141,'Tillförd energi'!$B$1:$AI$720,MATCH(J$1,'Tillförd energi'!$B$1:$AQ$1,0),FALSE)</f>
        <v>0</v>
      </c>
      <c r="K141" s="31">
        <f>VLOOKUP($B141,'Tillförd energi'!$B$1:$AI$720,MATCH(K$1,'Tillförd energi'!$B$1:$AQ$1,0),FALSE)</f>
        <v>0</v>
      </c>
      <c r="L141" s="31">
        <f>VLOOKUP($B141,'Tillförd energi'!$B$1:$AI$720,MATCH(L$1,'Tillförd energi'!$B$1:$AQ$1,0),FALSE)</f>
        <v>0</v>
      </c>
      <c r="M141" s="31">
        <f>VLOOKUP($B141,'Tillförd energi'!$B$1:$AI$720,MATCH(M$1,'Tillförd energi'!$B$1:$AQ$1,0),FALSE)</f>
        <v>0</v>
      </c>
      <c r="N141" s="31">
        <f>VLOOKUP($B141,'Tillförd energi'!$B$1:$AI$720,MATCH(N$1,'Tillförd energi'!$B$1:$AQ$1,0),FALSE)</f>
        <v>0</v>
      </c>
      <c r="O141" s="31">
        <f>VLOOKUP($B141,'Tillförd energi'!$B$1:$AI$720,MATCH(O$1,'Tillförd energi'!$B$1:$AQ$1,0),FALSE)</f>
        <v>0</v>
      </c>
      <c r="P141" s="31">
        <f>VLOOKUP($B141,'Tillförd energi'!$B$1:$AI$720,MATCH(P$1,'Tillförd energi'!$B$1:$AQ$1,0),FALSE)</f>
        <v>0</v>
      </c>
      <c r="Q141" s="31">
        <f>VLOOKUP($B141,'Tillförd energi'!$B$1:$AI$720,MATCH(Q$1,'Tillförd energi'!$B$1:$AQ$1,0),FALSE)</f>
        <v>0</v>
      </c>
      <c r="R141" s="31">
        <f>VLOOKUP($B141,'Tillförd energi'!$B$1:$AI$720,MATCH(R$1,'Tillförd energi'!$B$1:$AQ$1,0),FALSE)</f>
        <v>1.117</v>
      </c>
      <c r="S141" s="31">
        <f>VLOOKUP($B141,'Tillförd energi'!$B$1:$AI$720,MATCH(S$1,'Tillförd energi'!$B$1:$AQ$1,0),FALSE)</f>
        <v>0</v>
      </c>
      <c r="T141" s="31">
        <f>VLOOKUP($B141,'Tillförd energi'!$B$1:$AI$720,MATCH(T$1,'Tillförd energi'!$B$1:$AQ$1,0),FALSE)</f>
        <v>0</v>
      </c>
      <c r="U141" s="31">
        <f>VLOOKUP($B141,'Tillförd energi'!$B$1:$AI$720,MATCH(U$1,'Tillförd energi'!$B$1:$AQ$1,0),FALSE)</f>
        <v>0</v>
      </c>
      <c r="V141" s="31">
        <f>VLOOKUP($B141,'Tillförd energi'!$B$1:$AI$720,MATCH(V$1,'Tillförd energi'!$B$1:$AQ$1,0),FALSE)</f>
        <v>0</v>
      </c>
      <c r="W141" s="31">
        <f>VLOOKUP($B141,'Tillförd energi'!$B$1:$AI$720,MATCH(W$1,'Tillförd energi'!$B$1:$AQ$1,0),FALSE)</f>
        <v>0</v>
      </c>
      <c r="X141" s="31">
        <f>VLOOKUP($B141,'Tillförd energi'!$B$1:$AI$720,MATCH(X$1,'Tillförd energi'!$B$1:$AQ$1,0),FALSE)</f>
        <v>0</v>
      </c>
      <c r="Y141" s="31">
        <f>VLOOKUP($B141,'Tillförd energi'!$B$1:$AI$720,MATCH(Y$1,'Tillförd energi'!$B$1:$AQ$1,0),FALSE)</f>
        <v>0</v>
      </c>
      <c r="Z141" s="31">
        <f>VLOOKUP($B141,'Tillförd energi'!$B$1:$AI$720,MATCH(Z$1,'Tillförd energi'!$B$1:$AQ$1,0),FALSE)</f>
        <v>0</v>
      </c>
      <c r="AA141" s="31">
        <f>VLOOKUP($B141,'Tillförd energi'!$B$1:$AI$720,MATCH(AA$1,'Tillförd energi'!$B$1:$AQ$1,0),FALSE)</f>
        <v>0</v>
      </c>
      <c r="AB141" s="31">
        <f>VLOOKUP($B141,'Tillförd energi'!$B$1:$AI$720,MATCH(AB$1,'Tillförd energi'!$B$1:$AQ$1,0),FALSE)</f>
        <v>0</v>
      </c>
      <c r="AC141" s="31">
        <f>VLOOKUP($B141,'Tillförd energi'!$B$1:$AI$720,MATCH(AC$1,'Tillförd energi'!$B$1:$AQ$1,0),FALSE)</f>
        <v>0</v>
      </c>
      <c r="AD141" s="31">
        <f>VLOOKUP($B141,'Tillförd energi'!$B$1:$AI$720,MATCH(AD$1,'Tillförd energi'!$B$1:$AQ$1,0),FALSE)</f>
        <v>0</v>
      </c>
      <c r="AE141" s="31">
        <f>VLOOKUP($B141,'Tillförd energi'!$B$1:$AI$720,MATCH(AE$1,'Tillförd energi'!$B$1:$AQ$1,0),FALSE)</f>
        <v>0</v>
      </c>
      <c r="AF141" s="31">
        <f>VLOOKUP($B141,'Tillförd energi'!$B$1:$AI$720,MATCH(AF$1,'Tillförd energi'!$B$1:$AQ$1,0),FALSE)</f>
        <v>2.1999999999999999E-2</v>
      </c>
      <c r="AG141" s="31">
        <f>IFERROR(VLOOKUP(B141,Miljö!$B$1:$AC$550,MATCH("Köpt mängd produktionsspecifik fjärrvärme:",Miljö!$B$1:$AC$1,0),FALSE)/1,0)</f>
        <v>0</v>
      </c>
      <c r="AI141" s="31">
        <f t="shared" si="46"/>
        <v>1.2989999999999999</v>
      </c>
      <c r="AJ141" s="31">
        <f t="shared" si="47"/>
        <v>1.2989999999999999</v>
      </c>
      <c r="AK141" s="31">
        <f>IF(ISERROR(1/VLOOKUP($B141,Leveranser!$B$1:$S$499,MATCH("Såld värme (GWh)",Leveranser!$B$1:$S$1,0),FALSE)),"",VLOOKUP($B141,Leveranser!$B$1:$S$499,MATCH("Såld värme (GWh)",Leveranser!$B$1:$S$1,0),FALSE))</f>
        <v>1.095</v>
      </c>
      <c r="AL141" s="31">
        <f>VLOOKUP($B141,Leveranser!$B$1:$Y$499,MATCH("Totalt såld fjärrvärme till andra fjärrvärmeföretag",Leveranser!$B$1:$AA$1,0),FALSE)</f>
        <v>0</v>
      </c>
      <c r="AM141" s="31">
        <f>IF(ISERROR(1/VLOOKUP($B141,Miljö!$B$1:$S$500,MATCH("Såld mängd produktionsspecifik fjärrvärme (GWh)",Miljö!$B$1:$R$1,0),FALSE)),0,VLOOKUP($B141,Miljö!$B$1:$S$500,MATCH("Såld mängd produktionsspecifik fjärrvärme (GWh)",Miljö!$B$1:$R$1,0),FALSE))</f>
        <v>0</v>
      </c>
      <c r="AN141" s="32">
        <f t="shared" si="48"/>
        <v>0.84295612009237875</v>
      </c>
      <c r="AP141" s="31" t="str">
        <f>IFERROR(VLOOKUP($B141,Miljövärden!$B$2:$H$550,7,FALSE),"Nej, saknas")</f>
        <v>Ja</v>
      </c>
      <c r="AQ141" s="31" t="str">
        <f>IFERROR(VLOOKUP($B141,Miljövärden!$B$2:$H$551,6,FALSE),"Nej, saknas")</f>
        <v>Nej</v>
      </c>
      <c r="AU141" s="31">
        <f t="shared" si="49"/>
        <v>2.1999999999999999E-2</v>
      </c>
      <c r="AV141" s="31">
        <f t="shared" si="50"/>
        <v>0</v>
      </c>
      <c r="AW141" s="31">
        <f t="shared" si="51"/>
        <v>0</v>
      </c>
      <c r="AX141" s="31">
        <f t="shared" si="52"/>
        <v>1.117</v>
      </c>
      <c r="AZ141" s="31">
        <f t="shared" si="53"/>
        <v>1.117</v>
      </c>
      <c r="BC141" s="31">
        <f t="shared" si="54"/>
        <v>0.16</v>
      </c>
      <c r="BD141" s="31">
        <f t="shared" si="55"/>
        <v>0</v>
      </c>
      <c r="BE141" s="31">
        <f t="shared" si="56"/>
        <v>1.117</v>
      </c>
      <c r="BF141" s="31">
        <f t="shared" si="57"/>
        <v>0</v>
      </c>
      <c r="BG141" s="31">
        <f t="shared" si="58"/>
        <v>2.1999999999999999E-2</v>
      </c>
      <c r="BH141" s="31">
        <f>VLOOKUP(B141,Miljö!$B$1:$BX$482,MATCH("Fossilandel för ursprungspecificerad el ()",Miljö!$B$1:$I$1,0),FALSE)</f>
        <v>0</v>
      </c>
      <c r="BI141" s="31">
        <f>VLOOKUP(B141,Miljö!$B$1:$BX$482,MATCH("Kärnkraftsandel för ursprungsspecificerad el ()",Miljö!$B$1:$O$1,0),FALSE)</f>
        <v>0</v>
      </c>
      <c r="BJ141" s="31">
        <f t="shared" si="59"/>
        <v>0</v>
      </c>
      <c r="BK141" s="31" t="str">
        <f>VLOOKUP(B141,Miljö!$B$1:$P$482,MATCH("Fossil andel i procent (%)",Miljö!$B$1:$P$1,0),FALSE)</f>
        <v>ET</v>
      </c>
      <c r="BL141" s="31">
        <f t="shared" si="60"/>
        <v>1.2989999999999999</v>
      </c>
      <c r="BO141" s="32">
        <f t="shared" si="61"/>
        <v>0.12317167051578137</v>
      </c>
      <c r="BP141" s="32">
        <f t="shared" si="62"/>
        <v>0</v>
      </c>
      <c r="BQ141" s="32">
        <f t="shared" si="63"/>
        <v>0.87682832948421874</v>
      </c>
      <c r="BR141" s="32">
        <f t="shared" si="64"/>
        <v>0</v>
      </c>
      <c r="BT141" s="62">
        <f t="shared" si="65"/>
        <v>1</v>
      </c>
      <c r="BW141" s="32">
        <f>IF(AP141="Ja",VLOOKUP(B141,Miljövärden!$B$2:$H$551,MATCH("Total andel fossilt",Miljövärden!$B$2:$H$2,0),FALSE),"")</f>
        <v>0.123172</v>
      </c>
      <c r="BX141" s="62">
        <f t="shared" si="66"/>
        <v>3.2948421863077115E-7</v>
      </c>
      <c r="BZ141" s="31">
        <f t="shared" si="67"/>
        <v>3.2948421863077115E-7</v>
      </c>
      <c r="CA141" s="32">
        <f t="shared" si="68"/>
        <v>0</v>
      </c>
    </row>
    <row r="142" spans="1:79" x14ac:dyDescent="0.45">
      <c r="A142" s="31" t="s">
        <v>493</v>
      </c>
      <c r="B142" s="31" t="s">
        <v>495</v>
      </c>
      <c r="C142" s="31">
        <f>VLOOKUP($B142,'Tillförd energi'!$B$1:$AI$720,MATCH(C$1,'Tillförd energi'!$B$1:$AQ$1,0),FALSE)</f>
        <v>0</v>
      </c>
      <c r="D142" s="31">
        <f>VLOOKUP($B142,'Tillförd energi'!$B$1:$AI$720,MATCH(D$1,'Tillförd energi'!$B$1:$AQ$1,0),FALSE)</f>
        <v>7.1999999999999995E-2</v>
      </c>
      <c r="E142" s="31">
        <f>VLOOKUP($B142,'Tillförd energi'!$B$1:$AI$720,MATCH(E$1,'Tillförd energi'!$B$1:$AQ$1,0),FALSE)</f>
        <v>0</v>
      </c>
      <c r="F142" s="31">
        <f>VLOOKUP($B142,'Tillförd energi'!$B$1:$AI$720,MATCH(F$1,'Tillförd energi'!$B$1:$AQ$1,0),FALSE)</f>
        <v>0</v>
      </c>
      <c r="G142" s="31">
        <f>VLOOKUP($B142,'Tillförd energi'!$B$1:$AI$720,MATCH(G$1,'Tillförd energi'!$B$1:$AQ$1,0),FALSE)</f>
        <v>0</v>
      </c>
      <c r="H142" s="31">
        <f>VLOOKUP($B142,'Tillförd energi'!$B$1:$AI$720,MATCH(H$1,'Tillförd energi'!$B$1:$AQ$1,0),FALSE)</f>
        <v>0</v>
      </c>
      <c r="I142" s="31">
        <f>VLOOKUP($B142,'Tillförd energi'!$B$1:$AI$720,MATCH(I$1,'Tillförd energi'!$B$1:$AQ$1,0),FALSE)</f>
        <v>0</v>
      </c>
      <c r="J142" s="31">
        <f>VLOOKUP($B142,'Tillförd energi'!$B$1:$AI$720,MATCH(J$1,'Tillförd energi'!$B$1:$AQ$1,0),FALSE)</f>
        <v>0</v>
      </c>
      <c r="K142" s="31">
        <f>VLOOKUP($B142,'Tillförd energi'!$B$1:$AI$720,MATCH(K$1,'Tillförd energi'!$B$1:$AQ$1,0),FALSE)</f>
        <v>0</v>
      </c>
      <c r="L142" s="31">
        <f>VLOOKUP($B142,'Tillförd energi'!$B$1:$AI$720,MATCH(L$1,'Tillförd energi'!$B$1:$AQ$1,0),FALSE)</f>
        <v>0</v>
      </c>
      <c r="M142" s="31">
        <f>VLOOKUP($B142,'Tillförd energi'!$B$1:$AI$720,MATCH(M$1,'Tillförd energi'!$B$1:$AQ$1,0),FALSE)</f>
        <v>0</v>
      </c>
      <c r="N142" s="31">
        <f>VLOOKUP($B142,'Tillförd energi'!$B$1:$AI$720,MATCH(N$1,'Tillförd energi'!$B$1:$AQ$1,0),FALSE)</f>
        <v>0</v>
      </c>
      <c r="O142" s="31">
        <f>VLOOKUP($B142,'Tillförd energi'!$B$1:$AI$720,MATCH(O$1,'Tillförd energi'!$B$1:$AQ$1,0),FALSE)</f>
        <v>0</v>
      </c>
      <c r="P142" s="31">
        <f>VLOOKUP($B142,'Tillförd energi'!$B$1:$AI$720,MATCH(P$1,'Tillförd energi'!$B$1:$AQ$1,0),FALSE)</f>
        <v>0</v>
      </c>
      <c r="Q142" s="31">
        <f>VLOOKUP($B142,'Tillförd energi'!$B$1:$AI$720,MATCH(Q$1,'Tillförd energi'!$B$1:$AQ$1,0),FALSE)</f>
        <v>0</v>
      </c>
      <c r="R142" s="31">
        <f>VLOOKUP($B142,'Tillförd energi'!$B$1:$AI$720,MATCH(R$1,'Tillförd energi'!$B$1:$AQ$1,0),FALSE)</f>
        <v>1.159</v>
      </c>
      <c r="S142" s="31">
        <f>VLOOKUP($B142,'Tillförd energi'!$B$1:$AI$720,MATCH(S$1,'Tillförd energi'!$B$1:$AQ$1,0),FALSE)</f>
        <v>0</v>
      </c>
      <c r="T142" s="31">
        <f>VLOOKUP($B142,'Tillförd energi'!$B$1:$AI$720,MATCH(T$1,'Tillförd energi'!$B$1:$AQ$1,0),FALSE)</f>
        <v>0</v>
      </c>
      <c r="U142" s="31">
        <f>VLOOKUP($B142,'Tillförd energi'!$B$1:$AI$720,MATCH(U$1,'Tillförd energi'!$B$1:$AQ$1,0),FALSE)</f>
        <v>0</v>
      </c>
      <c r="V142" s="31">
        <f>VLOOKUP($B142,'Tillförd energi'!$B$1:$AI$720,MATCH(V$1,'Tillförd energi'!$B$1:$AQ$1,0),FALSE)</f>
        <v>0</v>
      </c>
      <c r="W142" s="31">
        <f>VLOOKUP($B142,'Tillförd energi'!$B$1:$AI$720,MATCH(W$1,'Tillförd energi'!$B$1:$AQ$1,0),FALSE)</f>
        <v>0</v>
      </c>
      <c r="X142" s="31">
        <f>VLOOKUP($B142,'Tillförd energi'!$B$1:$AI$720,MATCH(X$1,'Tillförd energi'!$B$1:$AQ$1,0),FALSE)</f>
        <v>0</v>
      </c>
      <c r="Y142" s="31">
        <f>VLOOKUP($B142,'Tillförd energi'!$B$1:$AI$720,MATCH(Y$1,'Tillförd energi'!$B$1:$AQ$1,0),FALSE)</f>
        <v>0</v>
      </c>
      <c r="Z142" s="31">
        <f>VLOOKUP($B142,'Tillförd energi'!$B$1:$AI$720,MATCH(Z$1,'Tillförd energi'!$B$1:$AQ$1,0),FALSE)</f>
        <v>0</v>
      </c>
      <c r="AA142" s="31">
        <f>VLOOKUP($B142,'Tillförd energi'!$B$1:$AI$720,MATCH(AA$1,'Tillförd energi'!$B$1:$AQ$1,0),FALSE)</f>
        <v>0</v>
      </c>
      <c r="AB142" s="31">
        <f>VLOOKUP($B142,'Tillförd energi'!$B$1:$AI$720,MATCH(AB$1,'Tillförd energi'!$B$1:$AQ$1,0),FALSE)</f>
        <v>0</v>
      </c>
      <c r="AC142" s="31">
        <f>VLOOKUP($B142,'Tillförd energi'!$B$1:$AI$720,MATCH(AC$1,'Tillförd energi'!$B$1:$AQ$1,0),FALSE)</f>
        <v>0</v>
      </c>
      <c r="AD142" s="31">
        <f>VLOOKUP($B142,'Tillförd energi'!$B$1:$AI$720,MATCH(AD$1,'Tillförd energi'!$B$1:$AQ$1,0),FALSE)</f>
        <v>0</v>
      </c>
      <c r="AE142" s="31">
        <f>VLOOKUP($B142,'Tillförd energi'!$B$1:$AI$720,MATCH(AE$1,'Tillförd energi'!$B$1:$AQ$1,0),FALSE)</f>
        <v>0</v>
      </c>
      <c r="AF142" s="31">
        <f>VLOOKUP($B142,'Tillförd energi'!$B$1:$AI$720,MATCH(AF$1,'Tillförd energi'!$B$1:$AQ$1,0),FALSE)</f>
        <v>2.3E-2</v>
      </c>
      <c r="AG142" s="31">
        <f>IFERROR(VLOOKUP(B142,Miljö!$B$1:$AC$550,MATCH("Köpt mängd produktionsspecifik fjärrvärme:",Miljö!$B$1:$AC$1,0),FALSE)/1,0)</f>
        <v>0</v>
      </c>
      <c r="AI142" s="31">
        <f t="shared" si="46"/>
        <v>1.254</v>
      </c>
      <c r="AJ142" s="31">
        <f t="shared" si="47"/>
        <v>1.254</v>
      </c>
      <c r="AK142" s="31">
        <f>IF(ISERROR(1/VLOOKUP($B142,Leveranser!$B$1:$S$499,MATCH("Såld värme (GWh)",Leveranser!$B$1:$S$1,0),FALSE)),"",VLOOKUP($B142,Leveranser!$B$1:$S$499,MATCH("Såld värme (GWh)",Leveranser!$B$1:$S$1,0),FALSE))</f>
        <v>1.032</v>
      </c>
      <c r="AL142" s="31">
        <f>VLOOKUP($B142,Leveranser!$B$1:$Y$499,MATCH("Totalt såld fjärrvärme till andra fjärrvärmeföretag",Leveranser!$B$1:$AA$1,0),FALSE)</f>
        <v>0</v>
      </c>
      <c r="AM142" s="31">
        <f>IF(ISERROR(1/VLOOKUP($B142,Miljö!$B$1:$S$500,MATCH("Såld mängd produktionsspecifik fjärrvärme (GWh)",Miljö!$B$1:$R$1,0),FALSE)),0,VLOOKUP($B142,Miljö!$B$1:$S$500,MATCH("Såld mängd produktionsspecifik fjärrvärme (GWh)",Miljö!$B$1:$R$1,0),FALSE))</f>
        <v>0</v>
      </c>
      <c r="AN142" s="32">
        <f t="shared" si="48"/>
        <v>0.82296650717703357</v>
      </c>
      <c r="AP142" s="31" t="str">
        <f>IFERROR(VLOOKUP($B142,Miljövärden!$B$2:$H$550,7,FALSE),"Nej, saknas")</f>
        <v>Ja</v>
      </c>
      <c r="AQ142" s="31" t="str">
        <f>IFERROR(VLOOKUP($B142,Miljövärden!$B$2:$H$551,6,FALSE),"Nej, saknas")</f>
        <v>Nej</v>
      </c>
      <c r="AU142" s="31">
        <f t="shared" si="49"/>
        <v>2.3E-2</v>
      </c>
      <c r="AV142" s="31">
        <f t="shared" si="50"/>
        <v>0</v>
      </c>
      <c r="AW142" s="31">
        <f t="shared" si="51"/>
        <v>0</v>
      </c>
      <c r="AX142" s="31">
        <f t="shared" si="52"/>
        <v>1.159</v>
      </c>
      <c r="AZ142" s="31">
        <f t="shared" si="53"/>
        <v>1.159</v>
      </c>
      <c r="BC142" s="31">
        <f t="shared" si="54"/>
        <v>7.1999999999999995E-2</v>
      </c>
      <c r="BD142" s="31">
        <f t="shared" si="55"/>
        <v>0</v>
      </c>
      <c r="BE142" s="31">
        <f t="shared" si="56"/>
        <v>1.159</v>
      </c>
      <c r="BF142" s="31">
        <f t="shared" si="57"/>
        <v>0</v>
      </c>
      <c r="BG142" s="31">
        <f t="shared" si="58"/>
        <v>2.3E-2</v>
      </c>
      <c r="BH142" s="31">
        <f>VLOOKUP(B142,Miljö!$B$1:$BX$482,MATCH("Fossilandel för ursprungspecificerad el ()",Miljö!$B$1:$I$1,0),FALSE)</f>
        <v>0</v>
      </c>
      <c r="BI142" s="31">
        <f>VLOOKUP(B142,Miljö!$B$1:$BX$482,MATCH("Kärnkraftsandel för ursprungsspecificerad el ()",Miljö!$B$1:$O$1,0),FALSE)</f>
        <v>0</v>
      </c>
      <c r="BJ142" s="31">
        <f t="shared" si="59"/>
        <v>0</v>
      </c>
      <c r="BK142" s="31" t="str">
        <f>VLOOKUP(B142,Miljö!$B$1:$P$482,MATCH("Fossil andel i procent (%)",Miljö!$B$1:$P$1,0),FALSE)</f>
        <v>ET</v>
      </c>
      <c r="BL142" s="31">
        <f t="shared" si="60"/>
        <v>1.254</v>
      </c>
      <c r="BO142" s="32">
        <f t="shared" si="61"/>
        <v>5.7416267942583726E-2</v>
      </c>
      <c r="BP142" s="32">
        <f t="shared" si="62"/>
        <v>0</v>
      </c>
      <c r="BQ142" s="32">
        <f t="shared" si="63"/>
        <v>0.94258373205741619</v>
      </c>
      <c r="BR142" s="32">
        <f t="shared" si="64"/>
        <v>0</v>
      </c>
      <c r="BT142" s="62">
        <f t="shared" si="65"/>
        <v>0.99999999999999989</v>
      </c>
      <c r="BW142" s="32">
        <f>IF(AP142="Ja",VLOOKUP(B142,Miljövärden!$B$2:$H$551,MATCH("Total andel fossilt",Miljövärden!$B$2:$H$2,0),FALSE),"")</f>
        <v>5.7416300000000003E-2</v>
      </c>
      <c r="BX142" s="62">
        <f t="shared" si="66"/>
        <v>3.2057416277098127E-8</v>
      </c>
      <c r="BZ142" s="31">
        <f t="shared" si="67"/>
        <v>3.2057416277098127E-8</v>
      </c>
      <c r="CA142" s="32">
        <f t="shared" si="68"/>
        <v>0</v>
      </c>
    </row>
    <row r="143" spans="1:79" x14ac:dyDescent="0.45">
      <c r="A143" s="31" t="s">
        <v>493</v>
      </c>
      <c r="B143" s="31" t="s">
        <v>494</v>
      </c>
      <c r="C143" s="31">
        <f>VLOOKUP($B143,'Tillförd energi'!$B$1:$AI$720,MATCH(C$1,'Tillförd energi'!$B$1:$AQ$1,0),FALSE)</f>
        <v>0</v>
      </c>
      <c r="D143" s="31">
        <f>VLOOKUP($B143,'Tillförd energi'!$B$1:$AI$720,MATCH(D$1,'Tillförd energi'!$B$1:$AQ$1,0),FALSE)</f>
        <v>4.7E-2</v>
      </c>
      <c r="E143" s="31">
        <f>VLOOKUP($B143,'Tillförd energi'!$B$1:$AI$720,MATCH(E$1,'Tillförd energi'!$B$1:$AQ$1,0),FALSE)</f>
        <v>0</v>
      </c>
      <c r="F143" s="31">
        <f>VLOOKUP($B143,'Tillförd energi'!$B$1:$AI$720,MATCH(F$1,'Tillförd energi'!$B$1:$AQ$1,0),FALSE)</f>
        <v>0</v>
      </c>
      <c r="G143" s="31">
        <f>VLOOKUP($B143,'Tillförd energi'!$B$1:$AI$720,MATCH(G$1,'Tillförd energi'!$B$1:$AQ$1,0),FALSE)</f>
        <v>0</v>
      </c>
      <c r="H143" s="31">
        <f>VLOOKUP($B143,'Tillförd energi'!$B$1:$AI$720,MATCH(H$1,'Tillförd energi'!$B$1:$AQ$1,0),FALSE)</f>
        <v>0</v>
      </c>
      <c r="I143" s="31">
        <f>VLOOKUP($B143,'Tillförd energi'!$B$1:$AI$720,MATCH(I$1,'Tillförd energi'!$B$1:$AQ$1,0),FALSE)</f>
        <v>0</v>
      </c>
      <c r="J143" s="31">
        <f>VLOOKUP($B143,'Tillförd energi'!$B$1:$AI$720,MATCH(J$1,'Tillförd energi'!$B$1:$AQ$1,0),FALSE)</f>
        <v>0</v>
      </c>
      <c r="K143" s="31">
        <f>VLOOKUP($B143,'Tillförd energi'!$B$1:$AI$720,MATCH(K$1,'Tillförd energi'!$B$1:$AQ$1,0),FALSE)</f>
        <v>0</v>
      </c>
      <c r="L143" s="31">
        <f>VLOOKUP($B143,'Tillförd energi'!$B$1:$AI$720,MATCH(L$1,'Tillförd energi'!$B$1:$AQ$1,0),FALSE)</f>
        <v>0</v>
      </c>
      <c r="M143" s="31">
        <f>VLOOKUP($B143,'Tillförd energi'!$B$1:$AI$720,MATCH(M$1,'Tillförd energi'!$B$1:$AQ$1,0),FALSE)</f>
        <v>0</v>
      </c>
      <c r="N143" s="31">
        <f>VLOOKUP($B143,'Tillförd energi'!$B$1:$AI$720,MATCH(N$1,'Tillförd energi'!$B$1:$AQ$1,0),FALSE)</f>
        <v>0</v>
      </c>
      <c r="O143" s="31">
        <f>VLOOKUP($B143,'Tillförd energi'!$B$1:$AI$720,MATCH(O$1,'Tillförd energi'!$B$1:$AQ$1,0),FALSE)</f>
        <v>0</v>
      </c>
      <c r="P143" s="31">
        <f>VLOOKUP($B143,'Tillförd energi'!$B$1:$AI$720,MATCH(P$1,'Tillförd energi'!$B$1:$AQ$1,0),FALSE)</f>
        <v>0</v>
      </c>
      <c r="Q143" s="31">
        <f>VLOOKUP($B143,'Tillförd energi'!$B$1:$AI$720,MATCH(Q$1,'Tillförd energi'!$B$1:$AQ$1,0),FALSE)</f>
        <v>0</v>
      </c>
      <c r="R143" s="31">
        <f>VLOOKUP($B143,'Tillförd energi'!$B$1:$AI$720,MATCH(R$1,'Tillförd energi'!$B$1:$AQ$1,0),FALSE)</f>
        <v>3.125</v>
      </c>
      <c r="S143" s="31">
        <f>VLOOKUP($B143,'Tillförd energi'!$B$1:$AI$720,MATCH(S$1,'Tillförd energi'!$B$1:$AQ$1,0),FALSE)</f>
        <v>0</v>
      </c>
      <c r="T143" s="31">
        <f>VLOOKUP($B143,'Tillförd energi'!$B$1:$AI$720,MATCH(T$1,'Tillförd energi'!$B$1:$AQ$1,0),FALSE)</f>
        <v>0</v>
      </c>
      <c r="U143" s="31">
        <f>VLOOKUP($B143,'Tillförd energi'!$B$1:$AI$720,MATCH(U$1,'Tillförd energi'!$B$1:$AQ$1,0),FALSE)</f>
        <v>0</v>
      </c>
      <c r="V143" s="31">
        <f>VLOOKUP($B143,'Tillförd energi'!$B$1:$AI$720,MATCH(V$1,'Tillförd energi'!$B$1:$AQ$1,0),FALSE)</f>
        <v>0</v>
      </c>
      <c r="W143" s="31">
        <f>VLOOKUP($B143,'Tillförd energi'!$B$1:$AI$720,MATCH(W$1,'Tillförd energi'!$B$1:$AQ$1,0),FALSE)</f>
        <v>0</v>
      </c>
      <c r="X143" s="31">
        <f>VLOOKUP($B143,'Tillförd energi'!$B$1:$AI$720,MATCH(X$1,'Tillförd energi'!$B$1:$AQ$1,0),FALSE)</f>
        <v>0</v>
      </c>
      <c r="Y143" s="31">
        <f>VLOOKUP($B143,'Tillförd energi'!$B$1:$AI$720,MATCH(Y$1,'Tillförd energi'!$B$1:$AQ$1,0),FALSE)</f>
        <v>0</v>
      </c>
      <c r="Z143" s="31">
        <f>VLOOKUP($B143,'Tillförd energi'!$B$1:$AI$720,MATCH(Z$1,'Tillförd energi'!$B$1:$AQ$1,0),FALSE)</f>
        <v>0</v>
      </c>
      <c r="AA143" s="31">
        <f>VLOOKUP($B143,'Tillförd energi'!$B$1:$AI$720,MATCH(AA$1,'Tillförd energi'!$B$1:$AQ$1,0),FALSE)</f>
        <v>0</v>
      </c>
      <c r="AB143" s="31">
        <f>VLOOKUP($B143,'Tillförd energi'!$B$1:$AI$720,MATCH(AB$1,'Tillförd energi'!$B$1:$AQ$1,0),FALSE)</f>
        <v>0</v>
      </c>
      <c r="AC143" s="31">
        <f>VLOOKUP($B143,'Tillförd energi'!$B$1:$AI$720,MATCH(AC$1,'Tillförd energi'!$B$1:$AQ$1,0),FALSE)</f>
        <v>0</v>
      </c>
      <c r="AD143" s="31">
        <f>VLOOKUP($B143,'Tillförd energi'!$B$1:$AI$720,MATCH(AD$1,'Tillförd energi'!$B$1:$AQ$1,0),FALSE)</f>
        <v>0</v>
      </c>
      <c r="AE143" s="31">
        <f>VLOOKUP($B143,'Tillförd energi'!$B$1:$AI$720,MATCH(AE$1,'Tillförd energi'!$B$1:$AQ$1,0),FALSE)</f>
        <v>0</v>
      </c>
      <c r="AF143" s="31">
        <f>VLOOKUP($B143,'Tillförd energi'!$B$1:$AI$720,MATCH(AF$1,'Tillförd energi'!$B$1:$AQ$1,0),FALSE)</f>
        <v>5.0999999999999997E-2</v>
      </c>
      <c r="AG143" s="31">
        <f>IFERROR(VLOOKUP(B143,Miljö!$B$1:$AC$550,MATCH("Köpt mängd produktionsspecifik fjärrvärme:",Miljö!$B$1:$AC$1,0),FALSE)/1,0)</f>
        <v>0</v>
      </c>
      <c r="AI143" s="31">
        <f t="shared" si="46"/>
        <v>3.2230000000000003</v>
      </c>
      <c r="AJ143" s="31">
        <f t="shared" si="47"/>
        <v>3.2230000000000003</v>
      </c>
      <c r="AK143" s="31">
        <f>IF(ISERROR(1/VLOOKUP($B143,Leveranser!$B$1:$S$499,MATCH("Såld värme (GWh)",Leveranser!$B$1:$S$1,0),FALSE)),"",VLOOKUP($B143,Leveranser!$B$1:$S$499,MATCH("Såld värme (GWh)",Leveranser!$B$1:$S$1,0),FALSE))</f>
        <v>2.5499999999999998</v>
      </c>
      <c r="AL143" s="31">
        <f>VLOOKUP($B143,Leveranser!$B$1:$Y$499,MATCH("Totalt såld fjärrvärme till andra fjärrvärmeföretag",Leveranser!$B$1:$AA$1,0),FALSE)</f>
        <v>0</v>
      </c>
      <c r="AM143" s="31">
        <f>IF(ISERROR(1/VLOOKUP($B143,Miljö!$B$1:$S$500,MATCH("Såld mängd produktionsspecifik fjärrvärme (GWh)",Miljö!$B$1:$R$1,0),FALSE)),0,VLOOKUP($B143,Miljö!$B$1:$S$500,MATCH("Såld mängd produktionsspecifik fjärrvärme (GWh)",Miljö!$B$1:$R$1,0),FALSE))</f>
        <v>0</v>
      </c>
      <c r="AN143" s="32">
        <f t="shared" si="48"/>
        <v>0.79118833385044973</v>
      </c>
      <c r="AP143" s="31" t="str">
        <f>IFERROR(VLOOKUP($B143,Miljövärden!$B$2:$H$550,7,FALSE),"Nej, saknas")</f>
        <v>Ja</v>
      </c>
      <c r="AQ143" s="31" t="str">
        <f>IFERROR(VLOOKUP($B143,Miljövärden!$B$2:$H$551,6,FALSE),"Nej, saknas")</f>
        <v>Nej</v>
      </c>
      <c r="AU143" s="31">
        <f t="shared" si="49"/>
        <v>5.0999999999999997E-2</v>
      </c>
      <c r="AV143" s="31">
        <f t="shared" si="50"/>
        <v>0</v>
      </c>
      <c r="AW143" s="31">
        <f t="shared" si="51"/>
        <v>0</v>
      </c>
      <c r="AX143" s="31">
        <f t="shared" si="52"/>
        <v>3.125</v>
      </c>
      <c r="AZ143" s="31">
        <f t="shared" si="53"/>
        <v>3.125</v>
      </c>
      <c r="BC143" s="31">
        <f t="shared" si="54"/>
        <v>4.7E-2</v>
      </c>
      <c r="BD143" s="31">
        <f t="shared" si="55"/>
        <v>0</v>
      </c>
      <c r="BE143" s="31">
        <f t="shared" si="56"/>
        <v>3.125</v>
      </c>
      <c r="BF143" s="31">
        <f t="shared" si="57"/>
        <v>0</v>
      </c>
      <c r="BG143" s="31">
        <f t="shared" si="58"/>
        <v>5.0999999999999997E-2</v>
      </c>
      <c r="BH143" s="31">
        <f>VLOOKUP(B143,Miljö!$B$1:$BX$482,MATCH("Fossilandel för ursprungspecificerad el ()",Miljö!$B$1:$I$1,0),FALSE)</f>
        <v>0</v>
      </c>
      <c r="BI143" s="31">
        <f>VLOOKUP(B143,Miljö!$B$1:$BX$482,MATCH("Kärnkraftsandel för ursprungsspecificerad el ()",Miljö!$B$1:$O$1,0),FALSE)</f>
        <v>0</v>
      </c>
      <c r="BJ143" s="31">
        <f t="shared" si="59"/>
        <v>0</v>
      </c>
      <c r="BK143" s="31" t="str">
        <f>VLOOKUP(B143,Miljö!$B$1:$P$482,MATCH("Fossil andel i procent (%)",Miljö!$B$1:$P$1,0),FALSE)</f>
        <v>ET</v>
      </c>
      <c r="BL143" s="31">
        <f t="shared" si="60"/>
        <v>3.2230000000000003</v>
      </c>
      <c r="BO143" s="32">
        <f t="shared" si="61"/>
        <v>1.4582686937635743E-2</v>
      </c>
      <c r="BP143" s="32">
        <f t="shared" si="62"/>
        <v>0</v>
      </c>
      <c r="BQ143" s="32">
        <f t="shared" si="63"/>
        <v>0.98541731306236424</v>
      </c>
      <c r="BR143" s="32">
        <f t="shared" si="64"/>
        <v>0</v>
      </c>
      <c r="BT143" s="62">
        <f t="shared" si="65"/>
        <v>1</v>
      </c>
      <c r="BW143" s="32">
        <f>IF(AP143="Ja",VLOOKUP(B143,Miljövärden!$B$2:$H$551,MATCH("Total andel fossilt",Miljövärden!$B$2:$H$2,0),FALSE),"")</f>
        <v>1.4582700000000001E-2</v>
      </c>
      <c r="BX143" s="62">
        <f t="shared" si="66"/>
        <v>1.3062364257951375E-8</v>
      </c>
      <c r="BZ143" s="31">
        <f t="shared" si="67"/>
        <v>1.3062364257951375E-8</v>
      </c>
      <c r="CA143" s="32">
        <f t="shared" si="68"/>
        <v>0</v>
      </c>
    </row>
    <row r="144" spans="1:79" x14ac:dyDescent="0.45">
      <c r="A144" s="31" t="s">
        <v>493</v>
      </c>
      <c r="B144" s="31" t="s">
        <v>492</v>
      </c>
      <c r="C144" s="31">
        <f>VLOOKUP($B144,'Tillförd energi'!$B$1:$AI$720,MATCH(C$1,'Tillförd energi'!$B$1:$AQ$1,0),FALSE)</f>
        <v>0</v>
      </c>
      <c r="D144" s="31">
        <f>VLOOKUP($B144,'Tillförd energi'!$B$1:$AI$720,MATCH(D$1,'Tillförd energi'!$B$1:$AQ$1,0),FALSE)</f>
        <v>0</v>
      </c>
      <c r="E144" s="31">
        <f>VLOOKUP($B144,'Tillförd energi'!$B$1:$AI$720,MATCH(E$1,'Tillförd energi'!$B$1:$AQ$1,0),FALSE)</f>
        <v>0</v>
      </c>
      <c r="F144" s="31">
        <f>VLOOKUP($B144,'Tillförd energi'!$B$1:$AI$720,MATCH(F$1,'Tillförd energi'!$B$1:$AQ$1,0),FALSE)</f>
        <v>0</v>
      </c>
      <c r="G144" s="31">
        <f>VLOOKUP($B144,'Tillförd energi'!$B$1:$AI$720,MATCH(G$1,'Tillförd energi'!$B$1:$AQ$1,0),FALSE)</f>
        <v>0</v>
      </c>
      <c r="H144" s="31">
        <f>VLOOKUP($B144,'Tillförd energi'!$B$1:$AI$720,MATCH(H$1,'Tillförd energi'!$B$1:$AQ$1,0),FALSE)</f>
        <v>0</v>
      </c>
      <c r="I144" s="31">
        <f>VLOOKUP($B144,'Tillförd energi'!$B$1:$AI$720,MATCH(I$1,'Tillförd energi'!$B$1:$AQ$1,0),FALSE)</f>
        <v>0</v>
      </c>
      <c r="J144" s="31">
        <f>VLOOKUP($B144,'Tillförd energi'!$B$1:$AI$720,MATCH(J$1,'Tillförd energi'!$B$1:$AQ$1,0),FALSE)</f>
        <v>0</v>
      </c>
      <c r="K144" s="31">
        <f>VLOOKUP($B144,'Tillförd energi'!$B$1:$AI$720,MATCH(K$1,'Tillförd energi'!$B$1:$AQ$1,0),FALSE)</f>
        <v>0</v>
      </c>
      <c r="L144" s="31">
        <f>VLOOKUP($B144,'Tillförd energi'!$B$1:$AI$720,MATCH(L$1,'Tillförd energi'!$B$1:$AQ$1,0),FALSE)</f>
        <v>0</v>
      </c>
      <c r="M144" s="31">
        <f>VLOOKUP($B144,'Tillförd energi'!$B$1:$AI$720,MATCH(M$1,'Tillförd energi'!$B$1:$AQ$1,0),FALSE)</f>
        <v>22</v>
      </c>
      <c r="N144" s="31">
        <f>VLOOKUP($B144,'Tillförd energi'!$B$1:$AI$720,MATCH(N$1,'Tillförd energi'!$B$1:$AQ$1,0),FALSE)</f>
        <v>65</v>
      </c>
      <c r="O144" s="31">
        <f>VLOOKUP($B144,'Tillförd energi'!$B$1:$AI$720,MATCH(O$1,'Tillförd energi'!$B$1:$AQ$1,0),FALSE)</f>
        <v>22</v>
      </c>
      <c r="P144" s="31">
        <f>VLOOKUP($B144,'Tillförd energi'!$B$1:$AI$720,MATCH(P$1,'Tillförd energi'!$B$1:$AQ$1,0),FALSE)</f>
        <v>17.867100000000001</v>
      </c>
      <c r="Q144" s="31">
        <f>VLOOKUP($B144,'Tillförd energi'!$B$1:$AI$720,MATCH(Q$1,'Tillförd energi'!$B$1:$AQ$1,0),FALSE)</f>
        <v>0</v>
      </c>
      <c r="R144" s="31">
        <f>VLOOKUP($B144,'Tillförd energi'!$B$1:$AI$720,MATCH(R$1,'Tillförd energi'!$B$1:$AQ$1,0),FALSE)</f>
        <v>0</v>
      </c>
      <c r="S144" s="31">
        <f>VLOOKUP($B144,'Tillförd energi'!$B$1:$AI$720,MATCH(S$1,'Tillförd energi'!$B$1:$AQ$1,0),FALSE)</f>
        <v>0</v>
      </c>
      <c r="T144" s="31">
        <f>VLOOKUP($B144,'Tillförd energi'!$B$1:$AI$720,MATCH(T$1,'Tillförd energi'!$B$1:$AQ$1,0),FALSE)</f>
        <v>0</v>
      </c>
      <c r="U144" s="31">
        <f>VLOOKUP($B144,'Tillförd energi'!$B$1:$AI$720,MATCH(U$1,'Tillförd energi'!$B$1:$AQ$1,0),FALSE)</f>
        <v>0</v>
      </c>
      <c r="V144" s="31">
        <f>VLOOKUP($B144,'Tillförd energi'!$B$1:$AI$720,MATCH(V$1,'Tillförd energi'!$B$1:$AQ$1,0),FALSE)</f>
        <v>0</v>
      </c>
      <c r="W144" s="31">
        <f>VLOOKUP($B144,'Tillförd energi'!$B$1:$AI$720,MATCH(W$1,'Tillförd energi'!$B$1:$AQ$1,0),FALSE)</f>
        <v>0.26100000000000001</v>
      </c>
      <c r="X144" s="31">
        <f>VLOOKUP($B144,'Tillförd energi'!$B$1:$AI$720,MATCH(X$1,'Tillförd energi'!$B$1:$AQ$1,0),FALSE)</f>
        <v>0</v>
      </c>
      <c r="Y144" s="31">
        <f>VLOOKUP($B144,'Tillförd energi'!$B$1:$AI$720,MATCH(Y$1,'Tillförd energi'!$B$1:$AQ$1,0),FALSE)</f>
        <v>0</v>
      </c>
      <c r="Z144" s="31">
        <f>VLOOKUP($B144,'Tillförd energi'!$B$1:$AI$720,MATCH(Z$1,'Tillförd energi'!$B$1:$AQ$1,0),FALSE)</f>
        <v>0</v>
      </c>
      <c r="AA144" s="31">
        <f>VLOOKUP($B144,'Tillförd energi'!$B$1:$AI$720,MATCH(AA$1,'Tillförd energi'!$B$1:$AQ$1,0),FALSE)</f>
        <v>0</v>
      </c>
      <c r="AB144" s="31">
        <f>VLOOKUP($B144,'Tillförd energi'!$B$1:$AI$720,MATCH(AB$1,'Tillförd energi'!$B$1:$AQ$1,0),FALSE)</f>
        <v>0</v>
      </c>
      <c r="AC144" s="31">
        <f>VLOOKUP($B144,'Tillförd energi'!$B$1:$AI$720,MATCH(AC$1,'Tillförd energi'!$B$1:$AQ$1,0),FALSE)</f>
        <v>27.6</v>
      </c>
      <c r="AD144" s="31">
        <f>VLOOKUP($B144,'Tillförd energi'!$B$1:$AI$720,MATCH(AD$1,'Tillförd energi'!$B$1:$AQ$1,0),FALSE)</f>
        <v>0</v>
      </c>
      <c r="AE144" s="31">
        <f>VLOOKUP($B144,'Tillförd energi'!$B$1:$AI$720,MATCH(AE$1,'Tillförd energi'!$B$1:$AQ$1,0),FALSE)</f>
        <v>0</v>
      </c>
      <c r="AF144" s="31">
        <f>VLOOKUP($B144,'Tillförd energi'!$B$1:$AI$720,MATCH(AF$1,'Tillförd energi'!$B$1:$AQ$1,0),FALSE)</f>
        <v>0.87436499999999995</v>
      </c>
      <c r="AG144" s="31">
        <f>IFERROR(VLOOKUP(B144,Miljö!$B$1:$AC$550,MATCH("Köpt mängd produktionsspecifik fjärrvärme:",Miljö!$B$1:$AC$1,0),FALSE)/1,0)</f>
        <v>29.1</v>
      </c>
      <c r="AI144" s="31">
        <f t="shared" si="46"/>
        <v>155.602465</v>
      </c>
      <c r="AJ144" s="31">
        <f t="shared" si="47"/>
        <v>184.70246499999999</v>
      </c>
      <c r="AK144" s="31">
        <f>IF(ISERROR(1/VLOOKUP($B144,Leveranser!$B$1:$S$499,MATCH("Såld värme (GWh)",Leveranser!$B$1:$S$1,0),FALSE)),"",VLOOKUP($B144,Leveranser!$B$1:$S$499,MATCH("Såld värme (GWh)",Leveranser!$B$1:$S$1,0),FALSE))</f>
        <v>113.8</v>
      </c>
      <c r="AL144" s="31">
        <f>VLOOKUP($B144,Leveranser!$B$1:$Y$499,MATCH("Totalt såld fjärrvärme till andra fjärrvärmeföretag",Leveranser!$B$1:$AA$1,0),FALSE)</f>
        <v>0</v>
      </c>
      <c r="AM144" s="31">
        <f>IF(ISERROR(1/VLOOKUP($B144,Miljö!$B$1:$S$500,MATCH("Såld mängd produktionsspecifik fjärrvärme (GWh)",Miljö!$B$1:$R$1,0),FALSE)),0,VLOOKUP($B144,Miljö!$B$1:$S$500,MATCH("Såld mängd produktionsspecifik fjärrvärme (GWh)",Miljö!$B$1:$R$1,0),FALSE))</f>
        <v>0</v>
      </c>
      <c r="AN144" s="32">
        <f t="shared" si="48"/>
        <v>0.6161260489945275</v>
      </c>
      <c r="AP144" s="31" t="str">
        <f>IFERROR(VLOOKUP($B144,Miljövärden!$B$2:$H$550,7,FALSE),"Nej, saknas")</f>
        <v>Ja</v>
      </c>
      <c r="AQ144" s="31" t="str">
        <f>IFERROR(VLOOKUP($B144,Miljövärden!$B$2:$H$551,6,FALSE),"Nej, saknas")</f>
        <v>Nej</v>
      </c>
      <c r="AU144" s="31">
        <f t="shared" si="49"/>
        <v>0.87436499999999995</v>
      </c>
      <c r="AV144" s="31">
        <f t="shared" si="50"/>
        <v>0</v>
      </c>
      <c r="AW144" s="31">
        <f t="shared" si="51"/>
        <v>126.86709999999999</v>
      </c>
      <c r="AX144" s="31">
        <f t="shared" si="52"/>
        <v>0</v>
      </c>
      <c r="AZ144" s="31">
        <f t="shared" si="53"/>
        <v>127.12809999999999</v>
      </c>
      <c r="BC144" s="31">
        <f t="shared" si="54"/>
        <v>0</v>
      </c>
      <c r="BD144" s="31">
        <f t="shared" si="55"/>
        <v>0</v>
      </c>
      <c r="BE144" s="31">
        <f t="shared" si="56"/>
        <v>127.12809999999999</v>
      </c>
      <c r="BF144" s="31">
        <f t="shared" si="57"/>
        <v>27.6</v>
      </c>
      <c r="BG144" s="31">
        <f t="shared" si="58"/>
        <v>0.87436499999999995</v>
      </c>
      <c r="BH144" s="31">
        <f>VLOOKUP(B144,Miljö!$B$1:$BX$482,MATCH("Fossilandel för ursprungspecificerad el ()",Miljö!$B$1:$I$1,0),FALSE)</f>
        <v>0</v>
      </c>
      <c r="BI144" s="31">
        <f>VLOOKUP(B144,Miljö!$B$1:$BX$482,MATCH("Kärnkraftsandel för ursprungsspecificerad el ()",Miljö!$B$1:$O$1,0),FALSE)</f>
        <v>0</v>
      </c>
      <c r="BJ144" s="31">
        <f t="shared" si="59"/>
        <v>29.1</v>
      </c>
      <c r="BK144" s="31">
        <f>VLOOKUP(B144,Miljö!$B$1:$P$482,MATCH("Fossil andel i procent (%)",Miljö!$B$1:$P$1,0),FALSE)</f>
        <v>12</v>
      </c>
      <c r="BL144" s="31">
        <f t="shared" si="60"/>
        <v>184.70246499999999</v>
      </c>
      <c r="BO144" s="32">
        <f t="shared" si="61"/>
        <v>1.8906082276703783E-2</v>
      </c>
      <c r="BP144" s="32">
        <f t="shared" si="62"/>
        <v>0.1386446033624944</v>
      </c>
      <c r="BQ144" s="32">
        <f t="shared" si="63"/>
        <v>0.69301979808444902</v>
      </c>
      <c r="BR144" s="32">
        <f t="shared" si="64"/>
        <v>0.1494295162763529</v>
      </c>
      <c r="BT144" s="62">
        <f t="shared" si="65"/>
        <v>1</v>
      </c>
      <c r="BW144" s="32">
        <f>IF(AP144="Ja",VLOOKUP(B144,Miljövärden!$B$2:$H$551,MATCH("Total andel fossilt",Miljövärden!$B$2:$H$2,0),FALSE),"")</f>
        <v>1.8906099999999999E-2</v>
      </c>
      <c r="BX144" s="62">
        <f t="shared" si="66"/>
        <v>1.7723296216048956E-8</v>
      </c>
      <c r="BZ144" s="31">
        <f t="shared" si="67"/>
        <v>1.7723296216048956E-8</v>
      </c>
      <c r="CA144" s="32">
        <f t="shared" si="68"/>
        <v>0</v>
      </c>
    </row>
    <row r="145" spans="1:79" x14ac:dyDescent="0.45">
      <c r="A145" s="31" t="s">
        <v>490</v>
      </c>
      <c r="B145" s="31" t="s">
        <v>489</v>
      </c>
      <c r="C145" s="31">
        <f>VLOOKUP($B145,'Tillförd energi'!$B$1:$AI$720,MATCH(C$1,'Tillförd energi'!$B$1:$AQ$1,0),FALSE)</f>
        <v>0</v>
      </c>
      <c r="D145" s="31">
        <f>VLOOKUP($B145,'Tillförd energi'!$B$1:$AI$720,MATCH(D$1,'Tillförd energi'!$B$1:$AQ$1,0),FALSE)</f>
        <v>2.1463299999999998</v>
      </c>
      <c r="E145" s="31">
        <f>VLOOKUP($B145,'Tillförd energi'!$B$1:$AI$720,MATCH(E$1,'Tillförd energi'!$B$1:$AQ$1,0),FALSE)</f>
        <v>0</v>
      </c>
      <c r="F145" s="31">
        <f>VLOOKUP($B145,'Tillförd energi'!$B$1:$AI$720,MATCH(F$1,'Tillförd energi'!$B$1:$AQ$1,0),FALSE)</f>
        <v>0</v>
      </c>
      <c r="G145" s="31">
        <f>VLOOKUP($B145,'Tillförd energi'!$B$1:$AI$720,MATCH(G$1,'Tillförd energi'!$B$1:$AQ$1,0),FALSE)</f>
        <v>3.5000000000000001E-3</v>
      </c>
      <c r="H145" s="31">
        <f>VLOOKUP($B145,'Tillförd energi'!$B$1:$AI$720,MATCH(H$1,'Tillförd energi'!$B$1:$AQ$1,0),FALSE)</f>
        <v>0</v>
      </c>
      <c r="I145" s="31">
        <f>VLOOKUP($B145,'Tillförd energi'!$B$1:$AI$720,MATCH(I$1,'Tillförd energi'!$B$1:$AQ$1,0),FALSE)</f>
        <v>159.48699999999999</v>
      </c>
      <c r="J145" s="31">
        <f>VLOOKUP($B145,'Tillförd energi'!$B$1:$AI$720,MATCH(J$1,'Tillförd energi'!$B$1:$AQ$1,0),FALSE)</f>
        <v>0</v>
      </c>
      <c r="K145" s="31">
        <f>VLOOKUP($B145,'Tillförd energi'!$B$1:$AI$720,MATCH(K$1,'Tillförd energi'!$B$1:$AQ$1,0),FALSE)</f>
        <v>0</v>
      </c>
      <c r="L145" s="31">
        <f>VLOOKUP($B145,'Tillförd energi'!$B$1:$AI$720,MATCH(L$1,'Tillförd energi'!$B$1:$AQ$1,0),FALSE)</f>
        <v>56.827599999999997</v>
      </c>
      <c r="M145" s="31">
        <f>VLOOKUP($B145,'Tillförd energi'!$B$1:$AI$720,MATCH(M$1,'Tillförd energi'!$B$1:$AQ$1,0),FALSE)</f>
        <v>0</v>
      </c>
      <c r="N145" s="31">
        <f>VLOOKUP($B145,'Tillförd energi'!$B$1:$AI$720,MATCH(N$1,'Tillförd energi'!$B$1:$AQ$1,0),FALSE)</f>
        <v>0</v>
      </c>
      <c r="O145" s="31">
        <f>VLOOKUP($B145,'Tillförd energi'!$B$1:$AI$720,MATCH(O$1,'Tillförd energi'!$B$1:$AQ$1,0),FALSE)</f>
        <v>0</v>
      </c>
      <c r="P145" s="31">
        <f>VLOOKUP($B145,'Tillförd energi'!$B$1:$AI$720,MATCH(P$1,'Tillförd energi'!$B$1:$AQ$1,0),FALSE)</f>
        <v>29.18</v>
      </c>
      <c r="Q145" s="31">
        <f>VLOOKUP($B145,'Tillförd energi'!$B$1:$AI$720,MATCH(Q$1,'Tillförd energi'!$B$1:$AQ$1,0),FALSE)</f>
        <v>0</v>
      </c>
      <c r="R145" s="31">
        <f>VLOOKUP($B145,'Tillförd energi'!$B$1:$AI$720,MATCH(R$1,'Tillförd energi'!$B$1:$AQ$1,0),FALSE)</f>
        <v>0</v>
      </c>
      <c r="S145" s="31">
        <f>VLOOKUP($B145,'Tillförd energi'!$B$1:$AI$720,MATCH(S$1,'Tillförd energi'!$B$1:$AQ$1,0),FALSE)</f>
        <v>0</v>
      </c>
      <c r="T145" s="31">
        <f>VLOOKUP($B145,'Tillförd energi'!$B$1:$AI$720,MATCH(T$1,'Tillförd energi'!$B$1:$AQ$1,0),FALSE)</f>
        <v>0</v>
      </c>
      <c r="U145" s="31">
        <f>VLOOKUP($B145,'Tillförd energi'!$B$1:$AI$720,MATCH(U$1,'Tillförd energi'!$B$1:$AQ$1,0),FALSE)</f>
        <v>0</v>
      </c>
      <c r="V145" s="31">
        <f>VLOOKUP($B145,'Tillförd energi'!$B$1:$AI$720,MATCH(V$1,'Tillförd energi'!$B$1:$AQ$1,0),FALSE)</f>
        <v>0</v>
      </c>
      <c r="W145" s="31">
        <f>VLOOKUP($B145,'Tillförd energi'!$B$1:$AI$720,MATCH(W$1,'Tillförd energi'!$B$1:$AQ$1,0),FALSE)</f>
        <v>0</v>
      </c>
      <c r="X145" s="31">
        <f>VLOOKUP($B145,'Tillförd energi'!$B$1:$AI$720,MATCH(X$1,'Tillförd energi'!$B$1:$AQ$1,0),FALSE)</f>
        <v>0</v>
      </c>
      <c r="Y145" s="31">
        <f>VLOOKUP($B145,'Tillförd energi'!$B$1:$AI$720,MATCH(Y$1,'Tillförd energi'!$B$1:$AQ$1,0),FALSE)</f>
        <v>0</v>
      </c>
      <c r="Z145" s="31">
        <f>VLOOKUP($B145,'Tillförd energi'!$B$1:$AI$720,MATCH(Z$1,'Tillförd energi'!$B$1:$AQ$1,0),FALSE)</f>
        <v>0</v>
      </c>
      <c r="AA145" s="31">
        <f>VLOOKUP($B145,'Tillförd energi'!$B$1:$AI$720,MATCH(AA$1,'Tillförd energi'!$B$1:$AQ$1,0),FALSE)</f>
        <v>0</v>
      </c>
      <c r="AB145" s="31">
        <f>VLOOKUP($B145,'Tillförd energi'!$B$1:$AI$720,MATCH(AB$1,'Tillförd energi'!$B$1:$AQ$1,0),FALSE)</f>
        <v>0</v>
      </c>
      <c r="AC145" s="31">
        <f>VLOOKUP($B145,'Tillförd energi'!$B$1:$AI$720,MATCH(AC$1,'Tillförd energi'!$B$1:$AQ$1,0),FALSE)</f>
        <v>16.75</v>
      </c>
      <c r="AD145" s="31">
        <f>VLOOKUP($B145,'Tillförd energi'!$B$1:$AI$720,MATCH(AD$1,'Tillförd energi'!$B$1:$AQ$1,0),FALSE)</f>
        <v>69.47</v>
      </c>
      <c r="AE145" s="31">
        <f>VLOOKUP($B145,'Tillförd energi'!$B$1:$AI$720,MATCH(AE$1,'Tillförd energi'!$B$1:$AQ$1,0),FALSE)</f>
        <v>0</v>
      </c>
      <c r="AF145" s="31">
        <f>VLOOKUP($B145,'Tillförd energi'!$B$1:$AI$720,MATCH(AF$1,'Tillförd energi'!$B$1:$AQ$1,0),FALSE)</f>
        <v>9.2893000000000008</v>
      </c>
      <c r="AG145" s="31">
        <f>IFERROR(VLOOKUP(B145,Miljö!$B$1:$AC$550,MATCH("Köpt mängd produktionsspecifik fjärrvärme:",Miljö!$B$1:$AC$1,0),FALSE)/1,0)</f>
        <v>23.1</v>
      </c>
      <c r="AI145" s="31">
        <f t="shared" si="46"/>
        <v>343.15373</v>
      </c>
      <c r="AJ145" s="31">
        <f t="shared" si="47"/>
        <v>366.25373000000002</v>
      </c>
      <c r="AK145" s="31">
        <f>IF(ISERROR(1/VLOOKUP($B145,Leveranser!$B$1:$S$499,MATCH("Såld värme (GWh)",Leveranser!$B$1:$S$1,0),FALSE)),"",VLOOKUP($B145,Leveranser!$B$1:$S$499,MATCH("Såld värme (GWh)",Leveranser!$B$1:$S$1,0),FALSE))</f>
        <v>247.2</v>
      </c>
      <c r="AL145" s="31">
        <f>VLOOKUP($B145,Leveranser!$B$1:$Y$499,MATCH("Totalt såld fjärrvärme till andra fjärrvärmeföretag",Leveranser!$B$1:$AA$1,0),FALSE)</f>
        <v>50.599999999999994</v>
      </c>
      <c r="AM145" s="31">
        <f>IF(ISERROR(1/VLOOKUP($B145,Miljö!$B$1:$S$500,MATCH("Såld mängd produktionsspecifik fjärrvärme (GWh)",Miljö!$B$1:$R$1,0),FALSE)),0,VLOOKUP($B145,Miljö!$B$1:$S$500,MATCH("Såld mängd produktionsspecifik fjärrvärme (GWh)",Miljö!$B$1:$R$1,0),FALSE))</f>
        <v>50.6</v>
      </c>
      <c r="AN145" s="32">
        <f t="shared" si="48"/>
        <v>0.67494193164940597</v>
      </c>
      <c r="AP145" s="31" t="str">
        <f>IFERROR(VLOOKUP($B145,Miljövärden!$B$2:$H$550,7,FALSE),"Nej, saknas")</f>
        <v>Ja</v>
      </c>
      <c r="AQ145" s="31" t="str">
        <f>IFERROR(VLOOKUP($B145,Miljövärden!$B$2:$H$551,6,FALSE),"Nej, saknas")</f>
        <v>Ja</v>
      </c>
      <c r="AU145" s="31">
        <f t="shared" si="49"/>
        <v>9.2893000000000008</v>
      </c>
      <c r="AV145" s="31">
        <f t="shared" si="50"/>
        <v>0</v>
      </c>
      <c r="AW145" s="31">
        <f t="shared" si="51"/>
        <v>29.18</v>
      </c>
      <c r="AX145" s="31">
        <f t="shared" si="52"/>
        <v>0</v>
      </c>
      <c r="AZ145" s="31">
        <f t="shared" si="53"/>
        <v>86.007599999999996</v>
      </c>
      <c r="BC145" s="31">
        <f t="shared" si="54"/>
        <v>2.1498299999999997</v>
      </c>
      <c r="BD145" s="31">
        <f t="shared" si="55"/>
        <v>0</v>
      </c>
      <c r="BE145" s="31">
        <f t="shared" si="56"/>
        <v>29.18</v>
      </c>
      <c r="BF145" s="31">
        <f t="shared" si="57"/>
        <v>302.53459999999995</v>
      </c>
      <c r="BG145" s="31">
        <f t="shared" si="58"/>
        <v>9.2893000000000008</v>
      </c>
      <c r="BH145" s="31">
        <f>VLOOKUP(B145,Miljö!$B$1:$BX$482,MATCH("Fossilandel för ursprungspecificerad el ()",Miljö!$B$1:$I$1,0),FALSE)</f>
        <v>0</v>
      </c>
      <c r="BI145" s="31">
        <f>VLOOKUP(B145,Miljö!$B$1:$BX$482,MATCH("Kärnkraftsandel för ursprungsspecificerad el ()",Miljö!$B$1:$O$1,0),FALSE)</f>
        <v>0</v>
      </c>
      <c r="BJ145" s="31">
        <f t="shared" si="59"/>
        <v>23.1</v>
      </c>
      <c r="BK145" s="31">
        <f>VLOOKUP(B145,Miljö!$B$1:$P$482,MATCH("Fossil andel i procent (%)",Miljö!$B$1:$P$1,0),FALSE)</f>
        <v>0</v>
      </c>
      <c r="BL145" s="31">
        <f t="shared" si="60"/>
        <v>366.25373000000002</v>
      </c>
      <c r="BO145" s="32">
        <f t="shared" si="61"/>
        <v>5.8697832237776786E-3</v>
      </c>
      <c r="BP145" s="32">
        <f t="shared" si="62"/>
        <v>6.3071030020636243E-2</v>
      </c>
      <c r="BQ145" s="32">
        <f t="shared" si="63"/>
        <v>0.10503456169579488</v>
      </c>
      <c r="BR145" s="32">
        <f t="shared" si="64"/>
        <v>0.82602462505979102</v>
      </c>
      <c r="BT145" s="62">
        <f t="shared" si="65"/>
        <v>0.99999999999999978</v>
      </c>
      <c r="BW145" s="32">
        <f>IF(AP145="Ja",VLOOKUP(B145,Miljövärden!$B$2:$H$551,MATCH("Total andel fossilt",Miljövärden!$B$2:$H$2,0),FALSE),"")</f>
        <v>6.8107100000000002E-3</v>
      </c>
      <c r="BX145" s="62">
        <f t="shared" si="66"/>
        <v>9.4092677622232158E-4</v>
      </c>
      <c r="BZ145" s="31">
        <f t="shared" si="67"/>
        <v>9.4092677622232158E-4</v>
      </c>
      <c r="CA145" s="32">
        <f t="shared" si="68"/>
        <v>1E-3</v>
      </c>
    </row>
    <row r="146" spans="1:79" x14ac:dyDescent="0.45">
      <c r="A146" s="31" t="s">
        <v>480</v>
      </c>
      <c r="B146" s="31" t="s">
        <v>488</v>
      </c>
      <c r="C146" s="31">
        <f>VLOOKUP($B146,'Tillförd energi'!$B$1:$AI$720,MATCH(C$1,'Tillförd energi'!$B$1:$AQ$1,0),FALSE)</f>
        <v>0</v>
      </c>
      <c r="D146" s="31">
        <f>VLOOKUP($B146,'Tillförd energi'!$B$1:$AI$720,MATCH(D$1,'Tillförd energi'!$B$1:$AQ$1,0),FALSE)</f>
        <v>0.43</v>
      </c>
      <c r="E146" s="31">
        <f>VLOOKUP($B146,'Tillförd energi'!$B$1:$AI$720,MATCH(E$1,'Tillförd energi'!$B$1:$AQ$1,0),FALSE)</f>
        <v>0</v>
      </c>
      <c r="F146" s="31">
        <f>VLOOKUP($B146,'Tillförd energi'!$B$1:$AI$720,MATCH(F$1,'Tillförd energi'!$B$1:$AQ$1,0),FALSE)</f>
        <v>0</v>
      </c>
      <c r="G146" s="31">
        <f>VLOOKUP($B146,'Tillförd energi'!$B$1:$AI$720,MATCH(G$1,'Tillförd energi'!$B$1:$AQ$1,0),FALSE)</f>
        <v>0</v>
      </c>
      <c r="H146" s="31">
        <f>VLOOKUP($B146,'Tillförd energi'!$B$1:$AI$720,MATCH(H$1,'Tillförd energi'!$B$1:$AQ$1,0),FALSE)</f>
        <v>0</v>
      </c>
      <c r="I146" s="31">
        <f>VLOOKUP($B146,'Tillförd energi'!$B$1:$AI$720,MATCH(I$1,'Tillförd energi'!$B$1:$AQ$1,0),FALSE)</f>
        <v>0</v>
      </c>
      <c r="J146" s="31">
        <f>VLOOKUP($B146,'Tillförd energi'!$B$1:$AI$720,MATCH(J$1,'Tillförd energi'!$B$1:$AQ$1,0),FALSE)</f>
        <v>0</v>
      </c>
      <c r="K146" s="31">
        <f>VLOOKUP($B146,'Tillförd energi'!$B$1:$AI$720,MATCH(K$1,'Tillförd energi'!$B$1:$AQ$1,0),FALSE)</f>
        <v>0</v>
      </c>
      <c r="L146" s="31">
        <f>VLOOKUP($B146,'Tillförd energi'!$B$1:$AI$720,MATCH(L$1,'Tillförd energi'!$B$1:$AQ$1,0),FALSE)</f>
        <v>0</v>
      </c>
      <c r="M146" s="31">
        <f>VLOOKUP($B146,'Tillförd energi'!$B$1:$AI$720,MATCH(M$1,'Tillförd energi'!$B$1:$AQ$1,0),FALSE)</f>
        <v>0</v>
      </c>
      <c r="N146" s="31">
        <f>VLOOKUP($B146,'Tillförd energi'!$B$1:$AI$720,MATCH(N$1,'Tillförd energi'!$B$1:$AQ$1,0),FALSE)</f>
        <v>0</v>
      </c>
      <c r="O146" s="31">
        <f>VLOOKUP($B146,'Tillförd energi'!$B$1:$AI$720,MATCH(O$1,'Tillförd energi'!$B$1:$AQ$1,0),FALSE)</f>
        <v>0</v>
      </c>
      <c r="P146" s="31">
        <f>VLOOKUP($B146,'Tillförd energi'!$B$1:$AI$720,MATCH(P$1,'Tillförd energi'!$B$1:$AQ$1,0),FALSE)</f>
        <v>11.65</v>
      </c>
      <c r="Q146" s="31">
        <f>VLOOKUP($B146,'Tillförd energi'!$B$1:$AI$720,MATCH(Q$1,'Tillförd energi'!$B$1:$AQ$1,0),FALSE)</f>
        <v>0</v>
      </c>
      <c r="R146" s="31">
        <f>VLOOKUP($B146,'Tillförd energi'!$B$1:$AI$720,MATCH(R$1,'Tillförd energi'!$B$1:$AQ$1,0),FALSE)</f>
        <v>0</v>
      </c>
      <c r="S146" s="31">
        <f>VLOOKUP($B146,'Tillförd energi'!$B$1:$AI$720,MATCH(S$1,'Tillförd energi'!$B$1:$AQ$1,0),FALSE)</f>
        <v>0</v>
      </c>
      <c r="T146" s="31">
        <f>VLOOKUP($B146,'Tillförd energi'!$B$1:$AI$720,MATCH(T$1,'Tillförd energi'!$B$1:$AQ$1,0),FALSE)</f>
        <v>0</v>
      </c>
      <c r="U146" s="31">
        <f>VLOOKUP($B146,'Tillförd energi'!$B$1:$AI$720,MATCH(U$1,'Tillförd energi'!$B$1:$AQ$1,0),FALSE)</f>
        <v>0</v>
      </c>
      <c r="V146" s="31">
        <f>VLOOKUP($B146,'Tillförd energi'!$B$1:$AI$720,MATCH(V$1,'Tillförd energi'!$B$1:$AQ$1,0),FALSE)</f>
        <v>0</v>
      </c>
      <c r="W146" s="31">
        <f>VLOOKUP($B146,'Tillförd energi'!$B$1:$AI$720,MATCH(W$1,'Tillförd energi'!$B$1:$AQ$1,0),FALSE)</f>
        <v>0</v>
      </c>
      <c r="X146" s="31">
        <f>VLOOKUP($B146,'Tillförd energi'!$B$1:$AI$720,MATCH(X$1,'Tillförd energi'!$B$1:$AQ$1,0),FALSE)</f>
        <v>0</v>
      </c>
      <c r="Y146" s="31">
        <f>VLOOKUP($B146,'Tillförd energi'!$B$1:$AI$720,MATCH(Y$1,'Tillförd energi'!$B$1:$AQ$1,0),FALSE)</f>
        <v>0</v>
      </c>
      <c r="Z146" s="31">
        <f>VLOOKUP($B146,'Tillförd energi'!$B$1:$AI$720,MATCH(Z$1,'Tillförd energi'!$B$1:$AQ$1,0),FALSE)</f>
        <v>0</v>
      </c>
      <c r="AA146" s="31">
        <f>VLOOKUP($B146,'Tillförd energi'!$B$1:$AI$720,MATCH(AA$1,'Tillförd energi'!$B$1:$AQ$1,0),FALSE)</f>
        <v>0</v>
      </c>
      <c r="AB146" s="31">
        <f>VLOOKUP($B146,'Tillförd energi'!$B$1:$AI$720,MATCH(AB$1,'Tillförd energi'!$B$1:$AQ$1,0),FALSE)</f>
        <v>0</v>
      </c>
      <c r="AC146" s="31">
        <f>VLOOKUP($B146,'Tillförd energi'!$B$1:$AI$720,MATCH(AC$1,'Tillförd energi'!$B$1:$AQ$1,0),FALSE)</f>
        <v>0</v>
      </c>
      <c r="AD146" s="31">
        <f>VLOOKUP($B146,'Tillförd energi'!$B$1:$AI$720,MATCH(AD$1,'Tillförd energi'!$B$1:$AQ$1,0),FALSE)</f>
        <v>0</v>
      </c>
      <c r="AE146" s="31">
        <f>VLOOKUP($B146,'Tillförd energi'!$B$1:$AI$720,MATCH(AE$1,'Tillförd energi'!$B$1:$AQ$1,0),FALSE)</f>
        <v>0</v>
      </c>
      <c r="AF146" s="31">
        <f>VLOOKUP($B146,'Tillförd energi'!$B$1:$AI$720,MATCH(AF$1,'Tillförd energi'!$B$1:$AQ$1,0),FALSE)</f>
        <v>0.154</v>
      </c>
      <c r="AG146" s="31">
        <f>IFERROR(VLOOKUP(B146,Miljö!$B$1:$AC$550,MATCH("Köpt mängd produktionsspecifik fjärrvärme:",Miljö!$B$1:$AC$1,0),FALSE)/1,0)</f>
        <v>0</v>
      </c>
      <c r="AI146" s="31">
        <f t="shared" si="46"/>
        <v>12.234</v>
      </c>
      <c r="AJ146" s="31">
        <f t="shared" si="47"/>
        <v>12.234</v>
      </c>
      <c r="AK146" s="31">
        <f>IF(ISERROR(1/VLOOKUP($B146,Leveranser!$B$1:$S$499,MATCH("Såld värme (GWh)",Leveranser!$B$1:$S$1,0),FALSE)),"",VLOOKUP($B146,Leveranser!$B$1:$S$499,MATCH("Såld värme (GWh)",Leveranser!$B$1:$S$1,0),FALSE))</f>
        <v>8.15</v>
      </c>
      <c r="AL146" s="31">
        <f>VLOOKUP($B146,Leveranser!$B$1:$Y$499,MATCH("Totalt såld fjärrvärme till andra fjärrvärmeföretag",Leveranser!$B$1:$AA$1,0),FALSE)</f>
        <v>0</v>
      </c>
      <c r="AM146" s="31">
        <f>IF(ISERROR(1/VLOOKUP($B146,Miljö!$B$1:$S$500,MATCH("Såld mängd produktionsspecifik fjärrvärme (GWh)",Miljö!$B$1:$R$1,0),FALSE)),0,VLOOKUP($B146,Miljö!$B$1:$S$500,MATCH("Såld mängd produktionsspecifik fjärrvärme (GWh)",Miljö!$B$1:$R$1,0),FALSE))</f>
        <v>0</v>
      </c>
      <c r="AN146" s="32">
        <f t="shared" si="48"/>
        <v>0.66617623017819194</v>
      </c>
      <c r="AP146" s="31" t="str">
        <f>IFERROR(VLOOKUP($B146,Miljövärden!$B$2:$H$550,7,FALSE),"Nej, saknas")</f>
        <v>Ja</v>
      </c>
      <c r="AQ146" s="31" t="str">
        <f>IFERROR(VLOOKUP($B146,Miljövärden!$B$2:$H$551,6,FALSE),"Nej, saknas")</f>
        <v>Nej</v>
      </c>
      <c r="AU146" s="31">
        <f t="shared" si="49"/>
        <v>0.154</v>
      </c>
      <c r="AV146" s="31">
        <f t="shared" si="50"/>
        <v>0</v>
      </c>
      <c r="AW146" s="31">
        <f t="shared" si="51"/>
        <v>11.65</v>
      </c>
      <c r="AX146" s="31">
        <f t="shared" si="52"/>
        <v>0</v>
      </c>
      <c r="AZ146" s="31">
        <f t="shared" si="53"/>
        <v>11.65</v>
      </c>
      <c r="BC146" s="31">
        <f t="shared" si="54"/>
        <v>0.43</v>
      </c>
      <c r="BD146" s="31">
        <f t="shared" si="55"/>
        <v>0</v>
      </c>
      <c r="BE146" s="31">
        <f t="shared" si="56"/>
        <v>11.65</v>
      </c>
      <c r="BF146" s="31">
        <f t="shared" si="57"/>
        <v>0</v>
      </c>
      <c r="BG146" s="31">
        <f t="shared" si="58"/>
        <v>0.154</v>
      </c>
      <c r="BH146" s="31">
        <f>VLOOKUP(B146,Miljö!$B$1:$BX$482,MATCH("Fossilandel för ursprungspecificerad el ()",Miljö!$B$1:$I$1,0),FALSE)</f>
        <v>0</v>
      </c>
      <c r="BI146" s="31">
        <f>VLOOKUP(B146,Miljö!$B$1:$BX$482,MATCH("Kärnkraftsandel för ursprungsspecificerad el ()",Miljö!$B$1:$O$1,0),FALSE)</f>
        <v>0</v>
      </c>
      <c r="BJ146" s="31">
        <f t="shared" si="59"/>
        <v>0</v>
      </c>
      <c r="BK146" s="31" t="str">
        <f>VLOOKUP(B146,Miljö!$B$1:$P$482,MATCH("Fossil andel i procent (%)",Miljö!$B$1:$P$1,0),FALSE)</f>
        <v>ET</v>
      </c>
      <c r="BL146" s="31">
        <f t="shared" si="60"/>
        <v>12.234</v>
      </c>
      <c r="BO146" s="32">
        <f t="shared" si="61"/>
        <v>3.5147948340689877E-2</v>
      </c>
      <c r="BP146" s="32">
        <f t="shared" si="62"/>
        <v>0</v>
      </c>
      <c r="BQ146" s="32">
        <f t="shared" si="63"/>
        <v>0.96485205165931009</v>
      </c>
      <c r="BR146" s="32">
        <f t="shared" si="64"/>
        <v>0</v>
      </c>
      <c r="BT146" s="62">
        <f t="shared" si="65"/>
        <v>1</v>
      </c>
      <c r="BW146" s="32">
        <f>IF(AP146="Ja",VLOOKUP(B146,Miljövärden!$B$2:$H$551,MATCH("Total andel fossilt",Miljövärden!$B$2:$H$2,0),FALSE),"")</f>
        <v>3.5147900000000003E-2</v>
      </c>
      <c r="BX146" s="62">
        <f t="shared" si="66"/>
        <v>-4.8340689874637466E-8</v>
      </c>
      <c r="BZ146" s="31">
        <f t="shared" si="67"/>
        <v>-4.8340689874637466E-8</v>
      </c>
      <c r="CA146" s="32">
        <f t="shared" si="68"/>
        <v>0</v>
      </c>
    </row>
    <row r="147" spans="1:79" x14ac:dyDescent="0.45">
      <c r="A147" s="31" t="s">
        <v>480</v>
      </c>
      <c r="B147" s="31" t="s">
        <v>487</v>
      </c>
      <c r="C147" s="31">
        <f>VLOOKUP($B147,'Tillförd energi'!$B$1:$AI$720,MATCH(C$1,'Tillförd energi'!$B$1:$AQ$1,0),FALSE)</f>
        <v>0</v>
      </c>
      <c r="D147" s="31">
        <f>VLOOKUP($B147,'Tillförd energi'!$B$1:$AI$720,MATCH(D$1,'Tillförd energi'!$B$1:$AQ$1,0),FALSE)</f>
        <v>0.41899999999999998</v>
      </c>
      <c r="E147" s="31">
        <f>VLOOKUP($B147,'Tillförd energi'!$B$1:$AI$720,MATCH(E$1,'Tillförd energi'!$B$1:$AQ$1,0),FALSE)</f>
        <v>0</v>
      </c>
      <c r="F147" s="31">
        <f>VLOOKUP($B147,'Tillförd energi'!$B$1:$AI$720,MATCH(F$1,'Tillförd energi'!$B$1:$AQ$1,0),FALSE)</f>
        <v>0</v>
      </c>
      <c r="G147" s="31">
        <f>VLOOKUP($B147,'Tillförd energi'!$B$1:$AI$720,MATCH(G$1,'Tillförd energi'!$B$1:$AQ$1,0),FALSE)</f>
        <v>0</v>
      </c>
      <c r="H147" s="31">
        <f>VLOOKUP($B147,'Tillförd energi'!$B$1:$AI$720,MATCH(H$1,'Tillförd energi'!$B$1:$AQ$1,0),FALSE)</f>
        <v>0</v>
      </c>
      <c r="I147" s="31">
        <f>VLOOKUP($B147,'Tillförd energi'!$B$1:$AI$720,MATCH(I$1,'Tillförd energi'!$B$1:$AQ$1,0),FALSE)</f>
        <v>0</v>
      </c>
      <c r="J147" s="31">
        <f>VLOOKUP($B147,'Tillförd energi'!$B$1:$AI$720,MATCH(J$1,'Tillförd energi'!$B$1:$AQ$1,0),FALSE)</f>
        <v>0</v>
      </c>
      <c r="K147" s="31">
        <f>VLOOKUP($B147,'Tillförd energi'!$B$1:$AI$720,MATCH(K$1,'Tillförd energi'!$B$1:$AQ$1,0),FALSE)</f>
        <v>0</v>
      </c>
      <c r="L147" s="31">
        <f>VLOOKUP($B147,'Tillförd energi'!$B$1:$AI$720,MATCH(L$1,'Tillförd energi'!$B$1:$AQ$1,0),FALSE)</f>
        <v>0</v>
      </c>
      <c r="M147" s="31">
        <f>VLOOKUP($B147,'Tillförd energi'!$B$1:$AI$720,MATCH(M$1,'Tillförd energi'!$B$1:$AQ$1,0),FALSE)</f>
        <v>0</v>
      </c>
      <c r="N147" s="31">
        <f>VLOOKUP($B147,'Tillförd energi'!$B$1:$AI$720,MATCH(N$1,'Tillförd energi'!$B$1:$AQ$1,0),FALSE)</f>
        <v>0</v>
      </c>
      <c r="O147" s="31">
        <f>VLOOKUP($B147,'Tillförd energi'!$B$1:$AI$720,MATCH(O$1,'Tillförd energi'!$B$1:$AQ$1,0),FALSE)</f>
        <v>0</v>
      </c>
      <c r="P147" s="31">
        <f>VLOOKUP($B147,'Tillförd energi'!$B$1:$AI$720,MATCH(P$1,'Tillförd energi'!$B$1:$AQ$1,0),FALSE)</f>
        <v>9.2629999999999999</v>
      </c>
      <c r="Q147" s="31">
        <f>VLOOKUP($B147,'Tillförd energi'!$B$1:$AI$720,MATCH(Q$1,'Tillförd energi'!$B$1:$AQ$1,0),FALSE)</f>
        <v>0</v>
      </c>
      <c r="R147" s="31">
        <f>VLOOKUP($B147,'Tillförd energi'!$B$1:$AI$720,MATCH(R$1,'Tillförd energi'!$B$1:$AQ$1,0),FALSE)</f>
        <v>0</v>
      </c>
      <c r="S147" s="31">
        <f>VLOOKUP($B147,'Tillförd energi'!$B$1:$AI$720,MATCH(S$1,'Tillförd energi'!$B$1:$AQ$1,0),FALSE)</f>
        <v>0</v>
      </c>
      <c r="T147" s="31">
        <f>VLOOKUP($B147,'Tillförd energi'!$B$1:$AI$720,MATCH(T$1,'Tillförd energi'!$B$1:$AQ$1,0),FALSE)</f>
        <v>0</v>
      </c>
      <c r="U147" s="31">
        <f>VLOOKUP($B147,'Tillförd energi'!$B$1:$AI$720,MATCH(U$1,'Tillförd energi'!$B$1:$AQ$1,0),FALSE)</f>
        <v>0</v>
      </c>
      <c r="V147" s="31">
        <f>VLOOKUP($B147,'Tillförd energi'!$B$1:$AI$720,MATCH(V$1,'Tillförd energi'!$B$1:$AQ$1,0),FALSE)</f>
        <v>0</v>
      </c>
      <c r="W147" s="31">
        <f>VLOOKUP($B147,'Tillförd energi'!$B$1:$AI$720,MATCH(W$1,'Tillförd energi'!$B$1:$AQ$1,0),FALSE)</f>
        <v>0</v>
      </c>
      <c r="X147" s="31">
        <f>VLOOKUP($B147,'Tillförd energi'!$B$1:$AI$720,MATCH(X$1,'Tillförd energi'!$B$1:$AQ$1,0),FALSE)</f>
        <v>0</v>
      </c>
      <c r="Y147" s="31">
        <f>VLOOKUP($B147,'Tillförd energi'!$B$1:$AI$720,MATCH(Y$1,'Tillförd energi'!$B$1:$AQ$1,0),FALSE)</f>
        <v>0</v>
      </c>
      <c r="Z147" s="31">
        <f>VLOOKUP($B147,'Tillförd energi'!$B$1:$AI$720,MATCH(Z$1,'Tillförd energi'!$B$1:$AQ$1,0),FALSE)</f>
        <v>0</v>
      </c>
      <c r="AA147" s="31">
        <f>VLOOKUP($B147,'Tillförd energi'!$B$1:$AI$720,MATCH(AA$1,'Tillförd energi'!$B$1:$AQ$1,0),FALSE)</f>
        <v>0</v>
      </c>
      <c r="AB147" s="31">
        <f>VLOOKUP($B147,'Tillförd energi'!$B$1:$AI$720,MATCH(AB$1,'Tillförd energi'!$B$1:$AQ$1,0),FALSE)</f>
        <v>0</v>
      </c>
      <c r="AC147" s="31">
        <f>VLOOKUP($B147,'Tillförd energi'!$B$1:$AI$720,MATCH(AC$1,'Tillförd energi'!$B$1:$AQ$1,0),FALSE)</f>
        <v>0</v>
      </c>
      <c r="AD147" s="31">
        <f>VLOOKUP($B147,'Tillförd energi'!$B$1:$AI$720,MATCH(AD$1,'Tillförd energi'!$B$1:$AQ$1,0),FALSE)</f>
        <v>0</v>
      </c>
      <c r="AE147" s="31">
        <f>VLOOKUP($B147,'Tillförd energi'!$B$1:$AI$720,MATCH(AE$1,'Tillförd energi'!$B$1:$AQ$1,0),FALSE)</f>
        <v>0</v>
      </c>
      <c r="AF147" s="31">
        <f>VLOOKUP($B147,'Tillförd energi'!$B$1:$AI$720,MATCH(AF$1,'Tillförd energi'!$B$1:$AQ$1,0),FALSE)</f>
        <v>9.2999999999999999E-2</v>
      </c>
      <c r="AG147" s="31">
        <f>IFERROR(VLOOKUP(B147,Miljö!$B$1:$AC$550,MATCH("Köpt mängd produktionsspecifik fjärrvärme:",Miljö!$B$1:$AC$1,0),FALSE)/1,0)</f>
        <v>0</v>
      </c>
      <c r="AI147" s="31">
        <f t="shared" si="46"/>
        <v>9.7750000000000004</v>
      </c>
      <c r="AJ147" s="31">
        <f t="shared" si="47"/>
        <v>9.7750000000000004</v>
      </c>
      <c r="AK147" s="31">
        <f>IF(ISERROR(1/VLOOKUP($B147,Leveranser!$B$1:$S$499,MATCH("Såld värme (GWh)",Leveranser!$B$1:$S$1,0),FALSE)),"",VLOOKUP($B147,Leveranser!$B$1:$S$499,MATCH("Såld värme (GWh)",Leveranser!$B$1:$S$1,0),FALSE))</f>
        <v>6.86</v>
      </c>
      <c r="AL147" s="31">
        <f>VLOOKUP($B147,Leveranser!$B$1:$Y$499,MATCH("Totalt såld fjärrvärme till andra fjärrvärmeföretag",Leveranser!$B$1:$AA$1,0),FALSE)</f>
        <v>0</v>
      </c>
      <c r="AM147" s="31">
        <f>IF(ISERROR(1/VLOOKUP($B147,Miljö!$B$1:$S$500,MATCH("Såld mängd produktionsspecifik fjärrvärme (GWh)",Miljö!$B$1:$R$1,0),FALSE)),0,VLOOKUP($B147,Miljö!$B$1:$S$500,MATCH("Såld mängd produktionsspecifik fjärrvärme (GWh)",Miljö!$B$1:$R$1,0),FALSE))</f>
        <v>0</v>
      </c>
      <c r="AN147" s="32">
        <f t="shared" si="48"/>
        <v>0.70179028132992327</v>
      </c>
      <c r="AP147" s="31" t="str">
        <f>IFERROR(VLOOKUP($B147,Miljövärden!$B$2:$H$550,7,FALSE),"Nej, saknas")</f>
        <v>Ja</v>
      </c>
      <c r="AQ147" s="31" t="str">
        <f>IFERROR(VLOOKUP($B147,Miljövärden!$B$2:$H$551,6,FALSE),"Nej, saknas")</f>
        <v>Nej</v>
      </c>
      <c r="AU147" s="31">
        <f t="shared" si="49"/>
        <v>9.2999999999999999E-2</v>
      </c>
      <c r="AV147" s="31">
        <f t="shared" si="50"/>
        <v>0</v>
      </c>
      <c r="AW147" s="31">
        <f t="shared" si="51"/>
        <v>9.2629999999999999</v>
      </c>
      <c r="AX147" s="31">
        <f t="shared" si="52"/>
        <v>0</v>
      </c>
      <c r="AZ147" s="31">
        <f t="shared" si="53"/>
        <v>9.2629999999999999</v>
      </c>
      <c r="BC147" s="31">
        <f t="shared" si="54"/>
        <v>0.41899999999999998</v>
      </c>
      <c r="BD147" s="31">
        <f t="shared" si="55"/>
        <v>0</v>
      </c>
      <c r="BE147" s="31">
        <f t="shared" si="56"/>
        <v>9.2629999999999999</v>
      </c>
      <c r="BF147" s="31">
        <f t="shared" si="57"/>
        <v>0</v>
      </c>
      <c r="BG147" s="31">
        <f t="shared" si="58"/>
        <v>9.2999999999999999E-2</v>
      </c>
      <c r="BH147" s="31">
        <f>VLOOKUP(B147,Miljö!$B$1:$BX$482,MATCH("Fossilandel för ursprungspecificerad el ()",Miljö!$B$1:$I$1,0),FALSE)</f>
        <v>0</v>
      </c>
      <c r="BI147" s="31">
        <f>VLOOKUP(B147,Miljö!$B$1:$BX$482,MATCH("Kärnkraftsandel för ursprungsspecificerad el ()",Miljö!$B$1:$O$1,0),FALSE)</f>
        <v>0</v>
      </c>
      <c r="BJ147" s="31">
        <f t="shared" si="59"/>
        <v>0</v>
      </c>
      <c r="BK147" s="31" t="str">
        <f>VLOOKUP(B147,Miljö!$B$1:$P$482,MATCH("Fossil andel i procent (%)",Miljö!$B$1:$P$1,0),FALSE)</f>
        <v>ET</v>
      </c>
      <c r="BL147" s="31">
        <f t="shared" si="60"/>
        <v>9.7750000000000004</v>
      </c>
      <c r="BO147" s="32">
        <f t="shared" si="61"/>
        <v>4.2864450127877235E-2</v>
      </c>
      <c r="BP147" s="32">
        <f t="shared" si="62"/>
        <v>0</v>
      </c>
      <c r="BQ147" s="32">
        <f t="shared" si="63"/>
        <v>0.95713554987212268</v>
      </c>
      <c r="BR147" s="32">
        <f t="shared" si="64"/>
        <v>0</v>
      </c>
      <c r="BT147" s="62">
        <f t="shared" si="65"/>
        <v>0.99999999999999989</v>
      </c>
      <c r="BW147" s="32">
        <f>IF(AP147="Ja",VLOOKUP(B147,Miljövärden!$B$2:$H$551,MATCH("Total andel fossilt",Miljövärden!$B$2:$H$2,0),FALSE),"")</f>
        <v>4.28645E-2</v>
      </c>
      <c r="BX147" s="62">
        <f t="shared" si="66"/>
        <v>4.9872122764860194E-8</v>
      </c>
      <c r="BZ147" s="31">
        <f t="shared" si="67"/>
        <v>4.9872122764860194E-8</v>
      </c>
      <c r="CA147" s="32">
        <f t="shared" si="68"/>
        <v>0</v>
      </c>
    </row>
    <row r="148" spans="1:79" x14ac:dyDescent="0.45">
      <c r="A148" s="31" t="s">
        <v>480</v>
      </c>
      <c r="B148" s="31" t="s">
        <v>486</v>
      </c>
      <c r="C148" s="31">
        <f>VLOOKUP($B148,'Tillförd energi'!$B$1:$AI$720,MATCH(C$1,'Tillförd energi'!$B$1:$AQ$1,0),FALSE)</f>
        <v>0</v>
      </c>
      <c r="D148" s="31">
        <f>VLOOKUP($B148,'Tillförd energi'!$B$1:$AI$720,MATCH(D$1,'Tillförd energi'!$B$1:$AQ$1,0),FALSE)</f>
        <v>0.158</v>
      </c>
      <c r="E148" s="31">
        <f>VLOOKUP($B148,'Tillförd energi'!$B$1:$AI$720,MATCH(E$1,'Tillförd energi'!$B$1:$AQ$1,0),FALSE)</f>
        <v>0</v>
      </c>
      <c r="F148" s="31">
        <f>VLOOKUP($B148,'Tillförd energi'!$B$1:$AI$720,MATCH(F$1,'Tillförd energi'!$B$1:$AQ$1,0),FALSE)</f>
        <v>0</v>
      </c>
      <c r="G148" s="31">
        <f>VLOOKUP($B148,'Tillförd energi'!$B$1:$AI$720,MATCH(G$1,'Tillförd energi'!$B$1:$AQ$1,0),FALSE)</f>
        <v>0</v>
      </c>
      <c r="H148" s="31">
        <f>VLOOKUP($B148,'Tillförd energi'!$B$1:$AI$720,MATCH(H$1,'Tillförd energi'!$B$1:$AQ$1,0),FALSE)</f>
        <v>0</v>
      </c>
      <c r="I148" s="31">
        <f>VLOOKUP($B148,'Tillförd energi'!$B$1:$AI$720,MATCH(I$1,'Tillförd energi'!$B$1:$AQ$1,0),FALSE)</f>
        <v>0</v>
      </c>
      <c r="J148" s="31">
        <f>VLOOKUP($B148,'Tillförd energi'!$B$1:$AI$720,MATCH(J$1,'Tillförd energi'!$B$1:$AQ$1,0),FALSE)</f>
        <v>0</v>
      </c>
      <c r="K148" s="31">
        <f>VLOOKUP($B148,'Tillförd energi'!$B$1:$AI$720,MATCH(K$1,'Tillförd energi'!$B$1:$AQ$1,0),FALSE)</f>
        <v>0</v>
      </c>
      <c r="L148" s="31">
        <f>VLOOKUP($B148,'Tillförd energi'!$B$1:$AI$720,MATCH(L$1,'Tillförd energi'!$B$1:$AQ$1,0),FALSE)</f>
        <v>0</v>
      </c>
      <c r="M148" s="31">
        <f>VLOOKUP($B148,'Tillförd energi'!$B$1:$AI$720,MATCH(M$1,'Tillförd energi'!$B$1:$AQ$1,0),FALSE)</f>
        <v>0</v>
      </c>
      <c r="N148" s="31">
        <f>VLOOKUP($B148,'Tillförd energi'!$B$1:$AI$720,MATCH(N$1,'Tillförd energi'!$B$1:$AQ$1,0),FALSE)</f>
        <v>0</v>
      </c>
      <c r="O148" s="31">
        <f>VLOOKUP($B148,'Tillförd energi'!$B$1:$AI$720,MATCH(O$1,'Tillförd energi'!$B$1:$AQ$1,0),FALSE)</f>
        <v>0</v>
      </c>
      <c r="P148" s="31">
        <f>VLOOKUP($B148,'Tillförd energi'!$B$1:$AI$720,MATCH(P$1,'Tillförd energi'!$B$1:$AQ$1,0),FALSE)</f>
        <v>15.981</v>
      </c>
      <c r="Q148" s="31">
        <f>VLOOKUP($B148,'Tillförd energi'!$B$1:$AI$720,MATCH(Q$1,'Tillförd energi'!$B$1:$AQ$1,0),FALSE)</f>
        <v>0</v>
      </c>
      <c r="R148" s="31">
        <f>VLOOKUP($B148,'Tillförd energi'!$B$1:$AI$720,MATCH(R$1,'Tillförd energi'!$B$1:$AQ$1,0),FALSE)</f>
        <v>0</v>
      </c>
      <c r="S148" s="31">
        <f>VLOOKUP($B148,'Tillförd energi'!$B$1:$AI$720,MATCH(S$1,'Tillförd energi'!$B$1:$AQ$1,0),FALSE)</f>
        <v>0</v>
      </c>
      <c r="T148" s="31">
        <f>VLOOKUP($B148,'Tillförd energi'!$B$1:$AI$720,MATCH(T$1,'Tillförd energi'!$B$1:$AQ$1,0),FALSE)</f>
        <v>0</v>
      </c>
      <c r="U148" s="31">
        <f>VLOOKUP($B148,'Tillförd energi'!$B$1:$AI$720,MATCH(U$1,'Tillförd energi'!$B$1:$AQ$1,0),FALSE)</f>
        <v>0</v>
      </c>
      <c r="V148" s="31">
        <f>VLOOKUP($B148,'Tillförd energi'!$B$1:$AI$720,MATCH(V$1,'Tillförd energi'!$B$1:$AQ$1,0),FALSE)</f>
        <v>0</v>
      </c>
      <c r="W148" s="31">
        <f>VLOOKUP($B148,'Tillförd energi'!$B$1:$AI$720,MATCH(W$1,'Tillförd energi'!$B$1:$AQ$1,0),FALSE)</f>
        <v>0</v>
      </c>
      <c r="X148" s="31">
        <f>VLOOKUP($B148,'Tillförd energi'!$B$1:$AI$720,MATCH(X$1,'Tillförd energi'!$B$1:$AQ$1,0),FALSE)</f>
        <v>0</v>
      </c>
      <c r="Y148" s="31">
        <f>VLOOKUP($B148,'Tillförd energi'!$B$1:$AI$720,MATCH(Y$1,'Tillförd energi'!$B$1:$AQ$1,0),FALSE)</f>
        <v>0</v>
      </c>
      <c r="Z148" s="31">
        <f>VLOOKUP($B148,'Tillförd energi'!$B$1:$AI$720,MATCH(Z$1,'Tillförd energi'!$B$1:$AQ$1,0),FALSE)</f>
        <v>0</v>
      </c>
      <c r="AA148" s="31">
        <f>VLOOKUP($B148,'Tillförd energi'!$B$1:$AI$720,MATCH(AA$1,'Tillförd energi'!$B$1:$AQ$1,0),FALSE)</f>
        <v>0</v>
      </c>
      <c r="AB148" s="31">
        <f>VLOOKUP($B148,'Tillförd energi'!$B$1:$AI$720,MATCH(AB$1,'Tillförd energi'!$B$1:$AQ$1,0),FALSE)</f>
        <v>0</v>
      </c>
      <c r="AC148" s="31">
        <f>VLOOKUP($B148,'Tillförd energi'!$B$1:$AI$720,MATCH(AC$1,'Tillförd energi'!$B$1:$AQ$1,0),FALSE)</f>
        <v>0</v>
      </c>
      <c r="AD148" s="31">
        <f>VLOOKUP($B148,'Tillförd energi'!$B$1:$AI$720,MATCH(AD$1,'Tillförd energi'!$B$1:$AQ$1,0),FALSE)</f>
        <v>0</v>
      </c>
      <c r="AE148" s="31">
        <f>VLOOKUP($B148,'Tillförd energi'!$B$1:$AI$720,MATCH(AE$1,'Tillförd energi'!$B$1:$AQ$1,0),FALSE)</f>
        <v>0</v>
      </c>
      <c r="AF148" s="31">
        <f>VLOOKUP($B148,'Tillförd energi'!$B$1:$AI$720,MATCH(AF$1,'Tillförd energi'!$B$1:$AQ$1,0),FALSE)</f>
        <v>0.24199999999999999</v>
      </c>
      <c r="AG148" s="31">
        <f>IFERROR(VLOOKUP(B148,Miljö!$B$1:$AC$550,MATCH("Köpt mängd produktionsspecifik fjärrvärme:",Miljö!$B$1:$AC$1,0),FALSE)/1,0)</f>
        <v>0</v>
      </c>
      <c r="AI148" s="31">
        <f t="shared" si="46"/>
        <v>16.381</v>
      </c>
      <c r="AJ148" s="31">
        <f t="shared" si="47"/>
        <v>16.381</v>
      </c>
      <c r="AK148" s="31">
        <f>IF(ISERROR(1/VLOOKUP($B148,Leveranser!$B$1:$S$499,MATCH("Såld värme (GWh)",Leveranser!$B$1:$S$1,0),FALSE)),"",VLOOKUP($B148,Leveranser!$B$1:$S$499,MATCH("Såld värme (GWh)",Leveranser!$B$1:$S$1,0),FALSE))</f>
        <v>10.81</v>
      </c>
      <c r="AL148" s="31">
        <f>VLOOKUP($B148,Leveranser!$B$1:$Y$499,MATCH("Totalt såld fjärrvärme till andra fjärrvärmeföretag",Leveranser!$B$1:$AA$1,0),FALSE)</f>
        <v>0</v>
      </c>
      <c r="AM148" s="31">
        <f>IF(ISERROR(1/VLOOKUP($B148,Miljö!$B$1:$S$500,MATCH("Såld mängd produktionsspecifik fjärrvärme (GWh)",Miljö!$B$1:$R$1,0),FALSE)),0,VLOOKUP($B148,Miljö!$B$1:$S$500,MATCH("Såld mängd produktionsspecifik fjärrvärme (GWh)",Miljö!$B$1:$R$1,0),FALSE))</f>
        <v>0</v>
      </c>
      <c r="AN148" s="32">
        <f t="shared" si="48"/>
        <v>0.65991087235211532</v>
      </c>
      <c r="AP148" s="31" t="str">
        <f>IFERROR(VLOOKUP($B148,Miljövärden!$B$2:$H$550,7,FALSE),"Nej, saknas")</f>
        <v>Ja</v>
      </c>
      <c r="AQ148" s="31" t="str">
        <f>IFERROR(VLOOKUP($B148,Miljövärden!$B$2:$H$551,6,FALSE),"Nej, saknas")</f>
        <v>Nej</v>
      </c>
      <c r="AU148" s="31">
        <f t="shared" si="49"/>
        <v>0.24199999999999999</v>
      </c>
      <c r="AV148" s="31">
        <f t="shared" si="50"/>
        <v>0</v>
      </c>
      <c r="AW148" s="31">
        <f t="shared" si="51"/>
        <v>15.981</v>
      </c>
      <c r="AX148" s="31">
        <f t="shared" si="52"/>
        <v>0</v>
      </c>
      <c r="AZ148" s="31">
        <f t="shared" si="53"/>
        <v>15.981</v>
      </c>
      <c r="BC148" s="31">
        <f t="shared" si="54"/>
        <v>0.158</v>
      </c>
      <c r="BD148" s="31">
        <f t="shared" si="55"/>
        <v>0</v>
      </c>
      <c r="BE148" s="31">
        <f t="shared" si="56"/>
        <v>15.981</v>
      </c>
      <c r="BF148" s="31">
        <f t="shared" si="57"/>
        <v>0</v>
      </c>
      <c r="BG148" s="31">
        <f t="shared" si="58"/>
        <v>0.24199999999999999</v>
      </c>
      <c r="BH148" s="31">
        <f>VLOOKUP(B148,Miljö!$B$1:$BX$482,MATCH("Fossilandel för ursprungspecificerad el ()",Miljö!$B$1:$I$1,0),FALSE)</f>
        <v>0</v>
      </c>
      <c r="BI148" s="31">
        <f>VLOOKUP(B148,Miljö!$B$1:$BX$482,MATCH("Kärnkraftsandel för ursprungsspecificerad el ()",Miljö!$B$1:$O$1,0),FALSE)</f>
        <v>0</v>
      </c>
      <c r="BJ148" s="31">
        <f t="shared" si="59"/>
        <v>0</v>
      </c>
      <c r="BK148" s="31" t="str">
        <f>VLOOKUP(B148,Miljö!$B$1:$P$482,MATCH("Fossil andel i procent (%)",Miljö!$B$1:$P$1,0),FALSE)</f>
        <v>ET</v>
      </c>
      <c r="BL148" s="31">
        <f t="shared" si="60"/>
        <v>16.381</v>
      </c>
      <c r="BO148" s="32">
        <f t="shared" si="61"/>
        <v>9.6453207984860505E-3</v>
      </c>
      <c r="BP148" s="32">
        <f t="shared" si="62"/>
        <v>0</v>
      </c>
      <c r="BQ148" s="32">
        <f t="shared" si="63"/>
        <v>0.99035467920151388</v>
      </c>
      <c r="BR148" s="32">
        <f t="shared" si="64"/>
        <v>0</v>
      </c>
      <c r="BT148" s="62">
        <f t="shared" si="65"/>
        <v>0.99999999999999989</v>
      </c>
      <c r="BW148" s="32">
        <f>IF(AP148="Ja",VLOOKUP(B148,Miljövärden!$B$2:$H$551,MATCH("Total andel fossilt",Miljövärden!$B$2:$H$2,0),FALSE),"")</f>
        <v>9.6453200000000006E-3</v>
      </c>
      <c r="BX148" s="62">
        <f t="shared" si="66"/>
        <v>-7.9848604984944505E-10</v>
      </c>
      <c r="BZ148" s="31">
        <f t="shared" si="67"/>
        <v>-7.9848604984944505E-10</v>
      </c>
      <c r="CA148" s="32">
        <f t="shared" si="68"/>
        <v>0</v>
      </c>
    </row>
    <row r="149" spans="1:79" x14ac:dyDescent="0.45">
      <c r="A149" s="31" t="s">
        <v>480</v>
      </c>
      <c r="B149" s="31" t="s">
        <v>485</v>
      </c>
      <c r="C149" s="31">
        <f>VLOOKUP($B149,'Tillförd energi'!$B$1:$AI$720,MATCH(C$1,'Tillförd energi'!$B$1:$AQ$1,0),FALSE)</f>
        <v>0</v>
      </c>
      <c r="D149" s="31">
        <f>VLOOKUP($B149,'Tillförd energi'!$B$1:$AI$720,MATCH(D$1,'Tillförd energi'!$B$1:$AQ$1,0),FALSE)</f>
        <v>9.6000000000000002E-2</v>
      </c>
      <c r="E149" s="31">
        <f>VLOOKUP($B149,'Tillförd energi'!$B$1:$AI$720,MATCH(E$1,'Tillförd energi'!$B$1:$AQ$1,0),FALSE)</f>
        <v>0</v>
      </c>
      <c r="F149" s="31">
        <f>VLOOKUP($B149,'Tillförd energi'!$B$1:$AI$720,MATCH(F$1,'Tillförd energi'!$B$1:$AQ$1,0),FALSE)</f>
        <v>0</v>
      </c>
      <c r="G149" s="31">
        <f>VLOOKUP($B149,'Tillförd energi'!$B$1:$AI$720,MATCH(G$1,'Tillförd energi'!$B$1:$AQ$1,0),FALSE)</f>
        <v>0</v>
      </c>
      <c r="H149" s="31">
        <f>VLOOKUP($B149,'Tillförd energi'!$B$1:$AI$720,MATCH(H$1,'Tillförd energi'!$B$1:$AQ$1,0),FALSE)</f>
        <v>0</v>
      </c>
      <c r="I149" s="31">
        <f>VLOOKUP($B149,'Tillförd energi'!$B$1:$AI$720,MATCH(I$1,'Tillförd energi'!$B$1:$AQ$1,0),FALSE)</f>
        <v>0</v>
      </c>
      <c r="J149" s="31">
        <f>VLOOKUP($B149,'Tillförd energi'!$B$1:$AI$720,MATCH(J$1,'Tillförd energi'!$B$1:$AQ$1,0),FALSE)</f>
        <v>0</v>
      </c>
      <c r="K149" s="31">
        <f>VLOOKUP($B149,'Tillförd energi'!$B$1:$AI$720,MATCH(K$1,'Tillförd energi'!$B$1:$AQ$1,0),FALSE)</f>
        <v>0</v>
      </c>
      <c r="L149" s="31">
        <f>VLOOKUP($B149,'Tillförd energi'!$B$1:$AI$720,MATCH(L$1,'Tillförd energi'!$B$1:$AQ$1,0),FALSE)</f>
        <v>0</v>
      </c>
      <c r="M149" s="31">
        <f>VLOOKUP($B149,'Tillförd energi'!$B$1:$AI$720,MATCH(M$1,'Tillförd energi'!$B$1:$AQ$1,0),FALSE)</f>
        <v>0</v>
      </c>
      <c r="N149" s="31">
        <f>VLOOKUP($B149,'Tillförd energi'!$B$1:$AI$720,MATCH(N$1,'Tillförd energi'!$B$1:$AQ$1,0),FALSE)</f>
        <v>0</v>
      </c>
      <c r="O149" s="31">
        <f>VLOOKUP($B149,'Tillförd energi'!$B$1:$AI$720,MATCH(O$1,'Tillförd energi'!$B$1:$AQ$1,0),FALSE)</f>
        <v>0</v>
      </c>
      <c r="P149" s="31">
        <f>VLOOKUP($B149,'Tillförd energi'!$B$1:$AI$720,MATCH(P$1,'Tillförd energi'!$B$1:$AQ$1,0),FALSE)</f>
        <v>0</v>
      </c>
      <c r="Q149" s="31">
        <f>VLOOKUP($B149,'Tillförd energi'!$B$1:$AI$720,MATCH(Q$1,'Tillförd energi'!$B$1:$AQ$1,0),FALSE)</f>
        <v>0</v>
      </c>
      <c r="R149" s="31">
        <f>VLOOKUP($B149,'Tillförd energi'!$B$1:$AI$720,MATCH(R$1,'Tillförd energi'!$B$1:$AQ$1,0),FALSE)</f>
        <v>0.54800000000000004</v>
      </c>
      <c r="S149" s="31">
        <f>VLOOKUP($B149,'Tillförd energi'!$B$1:$AI$720,MATCH(S$1,'Tillförd energi'!$B$1:$AQ$1,0),FALSE)</f>
        <v>7.2430000000000003</v>
      </c>
      <c r="T149" s="31">
        <f>VLOOKUP($B149,'Tillförd energi'!$B$1:$AI$720,MATCH(T$1,'Tillförd energi'!$B$1:$AQ$1,0),FALSE)</f>
        <v>0</v>
      </c>
      <c r="U149" s="31">
        <f>VLOOKUP($B149,'Tillförd energi'!$B$1:$AI$720,MATCH(U$1,'Tillförd energi'!$B$1:$AQ$1,0),FALSE)</f>
        <v>0</v>
      </c>
      <c r="V149" s="31">
        <f>VLOOKUP($B149,'Tillförd energi'!$B$1:$AI$720,MATCH(V$1,'Tillförd energi'!$B$1:$AQ$1,0),FALSE)</f>
        <v>0</v>
      </c>
      <c r="W149" s="31">
        <f>VLOOKUP($B149,'Tillförd energi'!$B$1:$AI$720,MATCH(W$1,'Tillförd energi'!$B$1:$AQ$1,0),FALSE)</f>
        <v>0</v>
      </c>
      <c r="X149" s="31">
        <f>VLOOKUP($B149,'Tillförd energi'!$B$1:$AI$720,MATCH(X$1,'Tillförd energi'!$B$1:$AQ$1,0),FALSE)</f>
        <v>0</v>
      </c>
      <c r="Y149" s="31">
        <f>VLOOKUP($B149,'Tillförd energi'!$B$1:$AI$720,MATCH(Y$1,'Tillförd energi'!$B$1:$AQ$1,0),FALSE)</f>
        <v>0</v>
      </c>
      <c r="Z149" s="31">
        <f>VLOOKUP($B149,'Tillförd energi'!$B$1:$AI$720,MATCH(Z$1,'Tillförd energi'!$B$1:$AQ$1,0),FALSE)</f>
        <v>0</v>
      </c>
      <c r="AA149" s="31">
        <f>VLOOKUP($B149,'Tillförd energi'!$B$1:$AI$720,MATCH(AA$1,'Tillförd energi'!$B$1:$AQ$1,0),FALSE)</f>
        <v>0</v>
      </c>
      <c r="AB149" s="31">
        <f>VLOOKUP($B149,'Tillförd energi'!$B$1:$AI$720,MATCH(AB$1,'Tillförd energi'!$B$1:$AQ$1,0),FALSE)</f>
        <v>0</v>
      </c>
      <c r="AC149" s="31">
        <f>VLOOKUP($B149,'Tillförd energi'!$B$1:$AI$720,MATCH(AC$1,'Tillförd energi'!$B$1:$AQ$1,0),FALSE)</f>
        <v>0</v>
      </c>
      <c r="AD149" s="31">
        <f>VLOOKUP($B149,'Tillförd energi'!$B$1:$AI$720,MATCH(AD$1,'Tillförd energi'!$B$1:$AQ$1,0),FALSE)</f>
        <v>0</v>
      </c>
      <c r="AE149" s="31">
        <f>VLOOKUP($B149,'Tillförd energi'!$B$1:$AI$720,MATCH(AE$1,'Tillförd energi'!$B$1:$AQ$1,0),FALSE)</f>
        <v>0</v>
      </c>
      <c r="AF149" s="31">
        <f>VLOOKUP($B149,'Tillförd energi'!$B$1:$AI$720,MATCH(AF$1,'Tillförd energi'!$B$1:$AQ$1,0),FALSE)</f>
        <v>0.113</v>
      </c>
      <c r="AG149" s="31">
        <f>IFERROR(VLOOKUP(B149,Miljö!$B$1:$AC$550,MATCH("Köpt mängd produktionsspecifik fjärrvärme:",Miljö!$B$1:$AC$1,0),FALSE)/1,0)</f>
        <v>0</v>
      </c>
      <c r="AI149" s="31">
        <f t="shared" si="46"/>
        <v>8</v>
      </c>
      <c r="AJ149" s="31">
        <f t="shared" si="47"/>
        <v>8</v>
      </c>
      <c r="AK149" s="31">
        <f>IF(ISERROR(1/VLOOKUP($B149,Leveranser!$B$1:$S$499,MATCH("Såld värme (GWh)",Leveranser!$B$1:$S$1,0),FALSE)),"",VLOOKUP($B149,Leveranser!$B$1:$S$499,MATCH("Såld värme (GWh)",Leveranser!$B$1:$S$1,0),FALSE))</f>
        <v>5.17</v>
      </c>
      <c r="AL149" s="31">
        <f>VLOOKUP($B149,Leveranser!$B$1:$Y$499,MATCH("Totalt såld fjärrvärme till andra fjärrvärmeföretag",Leveranser!$B$1:$AA$1,0),FALSE)</f>
        <v>0</v>
      </c>
      <c r="AM149" s="31">
        <f>IF(ISERROR(1/VLOOKUP($B149,Miljö!$B$1:$S$500,MATCH("Såld mängd produktionsspecifik fjärrvärme (GWh)",Miljö!$B$1:$R$1,0),FALSE)),0,VLOOKUP($B149,Miljö!$B$1:$S$500,MATCH("Såld mängd produktionsspecifik fjärrvärme (GWh)",Miljö!$B$1:$R$1,0),FALSE))</f>
        <v>0</v>
      </c>
      <c r="AN149" s="32">
        <f t="shared" si="48"/>
        <v>0.64624999999999999</v>
      </c>
      <c r="AP149" s="31" t="str">
        <f>IFERROR(VLOOKUP($B149,Miljövärden!$B$2:$H$550,7,FALSE),"Nej, saknas")</f>
        <v>Ja</v>
      </c>
      <c r="AQ149" s="31" t="str">
        <f>IFERROR(VLOOKUP($B149,Miljövärden!$B$2:$H$551,6,FALSE),"Nej, saknas")</f>
        <v>Nej</v>
      </c>
      <c r="AU149" s="31">
        <f t="shared" si="49"/>
        <v>0.113</v>
      </c>
      <c r="AV149" s="31">
        <f t="shared" si="50"/>
        <v>0</v>
      </c>
      <c r="AW149" s="31">
        <f t="shared" si="51"/>
        <v>0</v>
      </c>
      <c r="AX149" s="31">
        <f t="shared" si="52"/>
        <v>7.7910000000000004</v>
      </c>
      <c r="AZ149" s="31">
        <f t="shared" si="53"/>
        <v>7.7910000000000004</v>
      </c>
      <c r="BC149" s="31">
        <f t="shared" si="54"/>
        <v>9.6000000000000002E-2</v>
      </c>
      <c r="BD149" s="31">
        <f t="shared" si="55"/>
        <v>0</v>
      </c>
      <c r="BE149" s="31">
        <f t="shared" si="56"/>
        <v>7.7910000000000004</v>
      </c>
      <c r="BF149" s="31">
        <f t="shared" si="57"/>
        <v>0</v>
      </c>
      <c r="BG149" s="31">
        <f t="shared" si="58"/>
        <v>0.113</v>
      </c>
      <c r="BH149" s="31">
        <f>VLOOKUP(B149,Miljö!$B$1:$BX$482,MATCH("Fossilandel för ursprungspecificerad el ()",Miljö!$B$1:$I$1,0),FALSE)</f>
        <v>0</v>
      </c>
      <c r="BI149" s="31">
        <f>VLOOKUP(B149,Miljö!$B$1:$BX$482,MATCH("Kärnkraftsandel för ursprungsspecificerad el ()",Miljö!$B$1:$O$1,0),FALSE)</f>
        <v>0</v>
      </c>
      <c r="BJ149" s="31">
        <f t="shared" si="59"/>
        <v>0</v>
      </c>
      <c r="BK149" s="31" t="str">
        <f>VLOOKUP(B149,Miljö!$B$1:$P$482,MATCH("Fossil andel i procent (%)",Miljö!$B$1:$P$1,0),FALSE)</f>
        <v>ET</v>
      </c>
      <c r="BL149" s="31">
        <f t="shared" si="60"/>
        <v>8</v>
      </c>
      <c r="BO149" s="32">
        <f t="shared" si="61"/>
        <v>1.2E-2</v>
      </c>
      <c r="BP149" s="32">
        <f t="shared" si="62"/>
        <v>0</v>
      </c>
      <c r="BQ149" s="32">
        <f t="shared" si="63"/>
        <v>0.9880000000000001</v>
      </c>
      <c r="BR149" s="32">
        <f t="shared" si="64"/>
        <v>0</v>
      </c>
      <c r="BT149" s="62">
        <f t="shared" si="65"/>
        <v>1</v>
      </c>
      <c r="BW149" s="32">
        <f>IF(AP149="Ja",VLOOKUP(B149,Miljövärden!$B$2:$H$551,MATCH("Total andel fossilt",Miljövärden!$B$2:$H$2,0),FALSE),"")</f>
        <v>1.2E-2</v>
      </c>
      <c r="BX149" s="62">
        <f t="shared" si="66"/>
        <v>0</v>
      </c>
      <c r="BZ149" s="31">
        <f t="shared" si="67"/>
        <v>0</v>
      </c>
      <c r="CA149" s="32">
        <f t="shared" si="68"/>
        <v>0</v>
      </c>
    </row>
    <row r="150" spans="1:79" x14ac:dyDescent="0.45">
      <c r="A150" s="31" t="s">
        <v>480</v>
      </c>
      <c r="B150" s="31" t="s">
        <v>484</v>
      </c>
      <c r="C150" s="31">
        <f>VLOOKUP($B150,'Tillförd energi'!$B$1:$AI$720,MATCH(C$1,'Tillförd energi'!$B$1:$AQ$1,0),FALSE)</f>
        <v>0</v>
      </c>
      <c r="D150" s="31">
        <f>VLOOKUP($B150,'Tillförd energi'!$B$1:$AI$720,MATCH(D$1,'Tillförd energi'!$B$1:$AQ$1,0),FALSE)</f>
        <v>0</v>
      </c>
      <c r="E150" s="31">
        <f>VLOOKUP($B150,'Tillförd energi'!$B$1:$AI$720,MATCH(E$1,'Tillförd energi'!$B$1:$AQ$1,0),FALSE)</f>
        <v>0</v>
      </c>
      <c r="F150" s="31">
        <f>VLOOKUP($B150,'Tillförd energi'!$B$1:$AI$720,MATCH(F$1,'Tillförd energi'!$B$1:$AQ$1,0),FALSE)</f>
        <v>0</v>
      </c>
      <c r="G150" s="31">
        <f>VLOOKUP($B150,'Tillförd energi'!$B$1:$AI$720,MATCH(G$1,'Tillförd energi'!$B$1:$AQ$1,0),FALSE)</f>
        <v>0</v>
      </c>
      <c r="H150" s="31">
        <f>VLOOKUP($B150,'Tillförd energi'!$B$1:$AI$720,MATCH(H$1,'Tillförd energi'!$B$1:$AQ$1,0),FALSE)</f>
        <v>0</v>
      </c>
      <c r="I150" s="31">
        <f>VLOOKUP($B150,'Tillförd energi'!$B$1:$AI$720,MATCH(I$1,'Tillförd energi'!$B$1:$AQ$1,0),FALSE)</f>
        <v>0</v>
      </c>
      <c r="J150" s="31">
        <f>VLOOKUP($B150,'Tillförd energi'!$B$1:$AI$720,MATCH(J$1,'Tillförd energi'!$B$1:$AQ$1,0),FALSE)</f>
        <v>0</v>
      </c>
      <c r="K150" s="31">
        <f>VLOOKUP($B150,'Tillförd energi'!$B$1:$AI$720,MATCH(K$1,'Tillförd energi'!$B$1:$AQ$1,0),FALSE)</f>
        <v>0</v>
      </c>
      <c r="L150" s="31">
        <f>VLOOKUP($B150,'Tillförd energi'!$B$1:$AI$720,MATCH(L$1,'Tillförd energi'!$B$1:$AQ$1,0),FALSE)</f>
        <v>0</v>
      </c>
      <c r="M150" s="31">
        <f>VLOOKUP($B150,'Tillförd energi'!$B$1:$AI$720,MATCH(M$1,'Tillförd energi'!$B$1:$AQ$1,0),FALSE)</f>
        <v>0</v>
      </c>
      <c r="N150" s="31">
        <f>VLOOKUP($B150,'Tillförd energi'!$B$1:$AI$720,MATCH(N$1,'Tillförd energi'!$B$1:$AQ$1,0),FALSE)</f>
        <v>0</v>
      </c>
      <c r="O150" s="31">
        <f>VLOOKUP($B150,'Tillförd energi'!$B$1:$AI$720,MATCH(O$1,'Tillförd energi'!$B$1:$AQ$1,0),FALSE)</f>
        <v>0</v>
      </c>
      <c r="P150" s="31">
        <f>VLOOKUP($B150,'Tillförd energi'!$B$1:$AI$720,MATCH(P$1,'Tillförd energi'!$B$1:$AQ$1,0),FALSE)</f>
        <v>0</v>
      </c>
      <c r="Q150" s="31">
        <f>VLOOKUP($B150,'Tillförd energi'!$B$1:$AI$720,MATCH(Q$1,'Tillförd energi'!$B$1:$AQ$1,0),FALSE)</f>
        <v>0</v>
      </c>
      <c r="R150" s="31">
        <f>VLOOKUP($B150,'Tillförd energi'!$B$1:$AI$720,MATCH(R$1,'Tillförd energi'!$B$1:$AQ$1,0),FALSE)</f>
        <v>0.35</v>
      </c>
      <c r="S150" s="31">
        <f>VLOOKUP($B150,'Tillförd energi'!$B$1:$AI$720,MATCH(S$1,'Tillförd energi'!$B$1:$AQ$1,0),FALSE)</f>
        <v>5.375</v>
      </c>
      <c r="T150" s="31">
        <f>VLOOKUP($B150,'Tillförd energi'!$B$1:$AI$720,MATCH(T$1,'Tillförd energi'!$B$1:$AQ$1,0),FALSE)</f>
        <v>0</v>
      </c>
      <c r="U150" s="31">
        <f>VLOOKUP($B150,'Tillförd energi'!$B$1:$AI$720,MATCH(U$1,'Tillförd energi'!$B$1:$AQ$1,0),FALSE)</f>
        <v>0</v>
      </c>
      <c r="V150" s="31">
        <f>VLOOKUP($B150,'Tillförd energi'!$B$1:$AI$720,MATCH(V$1,'Tillförd energi'!$B$1:$AQ$1,0),FALSE)</f>
        <v>0</v>
      </c>
      <c r="W150" s="31">
        <f>VLOOKUP($B150,'Tillförd energi'!$B$1:$AI$720,MATCH(W$1,'Tillförd energi'!$B$1:$AQ$1,0),FALSE)</f>
        <v>0</v>
      </c>
      <c r="X150" s="31">
        <f>VLOOKUP($B150,'Tillförd energi'!$B$1:$AI$720,MATCH(X$1,'Tillförd energi'!$B$1:$AQ$1,0),FALSE)</f>
        <v>7.4779999999999998</v>
      </c>
      <c r="Y150" s="31">
        <f>VLOOKUP($B150,'Tillförd energi'!$B$1:$AI$720,MATCH(Y$1,'Tillförd energi'!$B$1:$AQ$1,0),FALSE)</f>
        <v>0</v>
      </c>
      <c r="Z150" s="31">
        <f>VLOOKUP($B150,'Tillförd energi'!$B$1:$AI$720,MATCH(Z$1,'Tillförd energi'!$B$1:$AQ$1,0),FALSE)</f>
        <v>0</v>
      </c>
      <c r="AA150" s="31">
        <f>VLOOKUP($B150,'Tillförd energi'!$B$1:$AI$720,MATCH(AA$1,'Tillförd energi'!$B$1:$AQ$1,0),FALSE)</f>
        <v>0</v>
      </c>
      <c r="AB150" s="31">
        <f>VLOOKUP($B150,'Tillförd energi'!$B$1:$AI$720,MATCH(AB$1,'Tillförd energi'!$B$1:$AQ$1,0),FALSE)</f>
        <v>0</v>
      </c>
      <c r="AC150" s="31">
        <f>VLOOKUP($B150,'Tillförd energi'!$B$1:$AI$720,MATCH(AC$1,'Tillförd energi'!$B$1:$AQ$1,0),FALSE)</f>
        <v>0</v>
      </c>
      <c r="AD150" s="31">
        <f>VLOOKUP($B150,'Tillförd energi'!$B$1:$AI$720,MATCH(AD$1,'Tillförd energi'!$B$1:$AQ$1,0),FALSE)</f>
        <v>0</v>
      </c>
      <c r="AE150" s="31">
        <f>VLOOKUP($B150,'Tillförd energi'!$B$1:$AI$720,MATCH(AE$1,'Tillförd energi'!$B$1:$AQ$1,0),FALSE)</f>
        <v>0</v>
      </c>
      <c r="AF150" s="31">
        <f>VLOOKUP($B150,'Tillförd energi'!$B$1:$AI$720,MATCH(AF$1,'Tillförd energi'!$B$1:$AQ$1,0),FALSE)</f>
        <v>0.27900000000000003</v>
      </c>
      <c r="AG150" s="31">
        <f>IFERROR(VLOOKUP(B150,Miljö!$B$1:$AC$550,MATCH("Köpt mängd produktionsspecifik fjärrvärme:",Miljö!$B$1:$AC$1,0),FALSE)/1,0)</f>
        <v>0</v>
      </c>
      <c r="AI150" s="31">
        <f t="shared" si="46"/>
        <v>13.481999999999999</v>
      </c>
      <c r="AJ150" s="31">
        <f t="shared" si="47"/>
        <v>13.481999999999999</v>
      </c>
      <c r="AK150" s="31">
        <f>IF(ISERROR(1/VLOOKUP($B150,Leveranser!$B$1:$S$499,MATCH("Såld värme (GWh)",Leveranser!$B$1:$S$1,0),FALSE)),"",VLOOKUP($B150,Leveranser!$B$1:$S$499,MATCH("Såld värme (GWh)",Leveranser!$B$1:$S$1,0),FALSE))</f>
        <v>11.59</v>
      </c>
      <c r="AL150" s="31">
        <f>VLOOKUP($B150,Leveranser!$B$1:$Y$499,MATCH("Totalt såld fjärrvärme till andra fjärrvärmeföretag",Leveranser!$B$1:$AA$1,0),FALSE)</f>
        <v>0</v>
      </c>
      <c r="AM150" s="31">
        <f>IF(ISERROR(1/VLOOKUP($B150,Miljö!$B$1:$S$500,MATCH("Såld mängd produktionsspecifik fjärrvärme (GWh)",Miljö!$B$1:$R$1,0),FALSE)),0,VLOOKUP($B150,Miljö!$B$1:$S$500,MATCH("Såld mängd produktionsspecifik fjärrvärme (GWh)",Miljö!$B$1:$R$1,0),FALSE))</f>
        <v>0</v>
      </c>
      <c r="AN150" s="32">
        <f t="shared" si="48"/>
        <v>0.85966473816941114</v>
      </c>
      <c r="AP150" s="31" t="str">
        <f>IFERROR(VLOOKUP($B150,Miljövärden!$B$2:$H$550,7,FALSE),"Nej, saknas")</f>
        <v>Ja</v>
      </c>
      <c r="AQ150" s="31" t="str">
        <f>IFERROR(VLOOKUP($B150,Miljövärden!$B$2:$H$551,6,FALSE),"Nej, saknas")</f>
        <v>Nej</v>
      </c>
      <c r="AU150" s="31">
        <f t="shared" si="49"/>
        <v>0.27900000000000003</v>
      </c>
      <c r="AV150" s="31">
        <f t="shared" si="50"/>
        <v>7.4779999999999998</v>
      </c>
      <c r="AW150" s="31">
        <f t="shared" si="51"/>
        <v>0</v>
      </c>
      <c r="AX150" s="31">
        <f t="shared" si="52"/>
        <v>5.7249999999999996</v>
      </c>
      <c r="AZ150" s="31">
        <f t="shared" si="53"/>
        <v>13.202999999999999</v>
      </c>
      <c r="BC150" s="31">
        <f t="shared" si="54"/>
        <v>0</v>
      </c>
      <c r="BD150" s="31">
        <f t="shared" si="55"/>
        <v>0</v>
      </c>
      <c r="BE150" s="31">
        <f t="shared" si="56"/>
        <v>13.202999999999999</v>
      </c>
      <c r="BF150" s="31">
        <f t="shared" si="57"/>
        <v>0</v>
      </c>
      <c r="BG150" s="31">
        <f t="shared" si="58"/>
        <v>0.27900000000000003</v>
      </c>
      <c r="BH150" s="31">
        <f>VLOOKUP(B150,Miljö!$B$1:$BX$482,MATCH("Fossilandel för ursprungspecificerad el ()",Miljö!$B$1:$I$1,0),FALSE)</f>
        <v>0</v>
      </c>
      <c r="BI150" s="31">
        <f>VLOOKUP(B150,Miljö!$B$1:$BX$482,MATCH("Kärnkraftsandel för ursprungsspecificerad el ()",Miljö!$B$1:$O$1,0),FALSE)</f>
        <v>0</v>
      </c>
      <c r="BJ150" s="31">
        <f t="shared" si="59"/>
        <v>0</v>
      </c>
      <c r="BK150" s="31" t="str">
        <f>VLOOKUP(B150,Miljö!$B$1:$P$482,MATCH("Fossil andel i procent (%)",Miljö!$B$1:$P$1,0),FALSE)</f>
        <v>ET</v>
      </c>
      <c r="BL150" s="31">
        <f t="shared" si="60"/>
        <v>13.481999999999999</v>
      </c>
      <c r="BO150" s="32">
        <f t="shared" si="61"/>
        <v>0</v>
      </c>
      <c r="BP150" s="32">
        <f t="shared" si="62"/>
        <v>0</v>
      </c>
      <c r="BQ150" s="32">
        <f t="shared" si="63"/>
        <v>1</v>
      </c>
      <c r="BR150" s="32">
        <f t="shared" si="64"/>
        <v>0</v>
      </c>
      <c r="BT150" s="62">
        <f t="shared" si="65"/>
        <v>1</v>
      </c>
      <c r="BW150" s="32">
        <f>IF(AP150="Ja",VLOOKUP(B150,Miljövärden!$B$2:$H$551,MATCH("Total andel fossilt",Miljövärden!$B$2:$H$2,0),FALSE),"")</f>
        <v>0</v>
      </c>
      <c r="BX150" s="62">
        <f t="shared" si="66"/>
        <v>0</v>
      </c>
      <c r="BZ150" s="31">
        <f t="shared" si="67"/>
        <v>0</v>
      </c>
      <c r="CA150" s="32">
        <f t="shared" si="68"/>
        <v>0</v>
      </c>
    </row>
    <row r="151" spans="1:79" x14ac:dyDescent="0.45">
      <c r="A151" s="31" t="s">
        <v>480</v>
      </c>
      <c r="B151" s="31" t="s">
        <v>483</v>
      </c>
      <c r="C151" s="31">
        <f>VLOOKUP($B151,'Tillförd energi'!$B$1:$AI$720,MATCH(C$1,'Tillförd energi'!$B$1:$AQ$1,0),FALSE)</f>
        <v>0</v>
      </c>
      <c r="D151" s="31">
        <f>VLOOKUP($B151,'Tillförd energi'!$B$1:$AI$720,MATCH(D$1,'Tillförd energi'!$B$1:$AQ$1,0),FALSE)</f>
        <v>6.4</v>
      </c>
      <c r="E151" s="31">
        <f>VLOOKUP($B151,'Tillförd energi'!$B$1:$AI$720,MATCH(E$1,'Tillförd energi'!$B$1:$AQ$1,0),FALSE)</f>
        <v>0</v>
      </c>
      <c r="F151" s="31">
        <f>VLOOKUP($B151,'Tillförd energi'!$B$1:$AI$720,MATCH(F$1,'Tillförd energi'!$B$1:$AQ$1,0),FALSE)</f>
        <v>0</v>
      </c>
      <c r="G151" s="31">
        <f>VLOOKUP($B151,'Tillförd energi'!$B$1:$AI$720,MATCH(G$1,'Tillförd energi'!$B$1:$AQ$1,0),FALSE)</f>
        <v>0</v>
      </c>
      <c r="H151" s="31">
        <f>VLOOKUP($B151,'Tillförd energi'!$B$1:$AI$720,MATCH(H$1,'Tillförd energi'!$B$1:$AQ$1,0),FALSE)</f>
        <v>0</v>
      </c>
      <c r="I151" s="31">
        <f>VLOOKUP($B151,'Tillförd energi'!$B$1:$AI$720,MATCH(I$1,'Tillförd energi'!$B$1:$AQ$1,0),FALSE)</f>
        <v>0</v>
      </c>
      <c r="J151" s="31">
        <f>VLOOKUP($B151,'Tillförd energi'!$B$1:$AI$720,MATCH(J$1,'Tillförd energi'!$B$1:$AQ$1,0),FALSE)</f>
        <v>0</v>
      </c>
      <c r="K151" s="31">
        <f>VLOOKUP($B151,'Tillförd energi'!$B$1:$AI$720,MATCH(K$1,'Tillförd energi'!$B$1:$AQ$1,0),FALSE)</f>
        <v>0</v>
      </c>
      <c r="L151" s="31">
        <f>VLOOKUP($B151,'Tillförd energi'!$B$1:$AI$720,MATCH(L$1,'Tillförd energi'!$B$1:$AQ$1,0),FALSE)</f>
        <v>0</v>
      </c>
      <c r="M151" s="31">
        <f>VLOOKUP($B151,'Tillförd energi'!$B$1:$AI$720,MATCH(M$1,'Tillförd energi'!$B$1:$AQ$1,0),FALSE)</f>
        <v>0</v>
      </c>
      <c r="N151" s="31">
        <f>VLOOKUP($B151,'Tillförd energi'!$B$1:$AI$720,MATCH(N$1,'Tillförd energi'!$B$1:$AQ$1,0),FALSE)</f>
        <v>0</v>
      </c>
      <c r="O151" s="31">
        <f>VLOOKUP($B151,'Tillförd energi'!$B$1:$AI$720,MATCH(O$1,'Tillförd energi'!$B$1:$AQ$1,0),FALSE)</f>
        <v>0</v>
      </c>
      <c r="P151" s="31">
        <f>VLOOKUP($B151,'Tillförd energi'!$B$1:$AI$720,MATCH(P$1,'Tillförd energi'!$B$1:$AQ$1,0),FALSE)</f>
        <v>16.452000000000002</v>
      </c>
      <c r="Q151" s="31">
        <f>VLOOKUP($B151,'Tillförd energi'!$B$1:$AI$720,MATCH(Q$1,'Tillförd energi'!$B$1:$AQ$1,0),FALSE)</f>
        <v>0</v>
      </c>
      <c r="R151" s="31">
        <f>VLOOKUP($B151,'Tillförd energi'!$B$1:$AI$720,MATCH(R$1,'Tillförd energi'!$B$1:$AQ$1,0),FALSE)</f>
        <v>0</v>
      </c>
      <c r="S151" s="31">
        <f>VLOOKUP($B151,'Tillförd energi'!$B$1:$AI$720,MATCH(S$1,'Tillförd energi'!$B$1:$AQ$1,0),FALSE)</f>
        <v>0</v>
      </c>
      <c r="T151" s="31">
        <f>VLOOKUP($B151,'Tillförd energi'!$B$1:$AI$720,MATCH(T$1,'Tillförd energi'!$B$1:$AQ$1,0),FALSE)</f>
        <v>0</v>
      </c>
      <c r="U151" s="31">
        <f>VLOOKUP($B151,'Tillförd energi'!$B$1:$AI$720,MATCH(U$1,'Tillförd energi'!$B$1:$AQ$1,0),FALSE)</f>
        <v>0</v>
      </c>
      <c r="V151" s="31">
        <f>VLOOKUP($B151,'Tillförd energi'!$B$1:$AI$720,MATCH(V$1,'Tillförd energi'!$B$1:$AQ$1,0),FALSE)</f>
        <v>0</v>
      </c>
      <c r="W151" s="31">
        <f>VLOOKUP($B151,'Tillförd energi'!$B$1:$AI$720,MATCH(W$1,'Tillförd energi'!$B$1:$AQ$1,0),FALSE)</f>
        <v>0</v>
      </c>
      <c r="X151" s="31">
        <f>VLOOKUP($B151,'Tillförd energi'!$B$1:$AI$720,MATCH(X$1,'Tillförd energi'!$B$1:$AQ$1,0),FALSE)</f>
        <v>9.4280000000000008</v>
      </c>
      <c r="Y151" s="31">
        <f>VLOOKUP($B151,'Tillförd energi'!$B$1:$AI$720,MATCH(Y$1,'Tillförd energi'!$B$1:$AQ$1,0),FALSE)</f>
        <v>0</v>
      </c>
      <c r="Z151" s="31">
        <f>VLOOKUP($B151,'Tillförd energi'!$B$1:$AI$720,MATCH(Z$1,'Tillförd energi'!$B$1:$AQ$1,0),FALSE)</f>
        <v>0</v>
      </c>
      <c r="AA151" s="31">
        <f>VLOOKUP($B151,'Tillförd energi'!$B$1:$AI$720,MATCH(AA$1,'Tillförd energi'!$B$1:$AQ$1,0),FALSE)</f>
        <v>0</v>
      </c>
      <c r="AB151" s="31">
        <f>VLOOKUP($B151,'Tillförd energi'!$B$1:$AI$720,MATCH(AB$1,'Tillförd energi'!$B$1:$AQ$1,0),FALSE)</f>
        <v>0</v>
      </c>
      <c r="AC151" s="31">
        <f>VLOOKUP($B151,'Tillförd energi'!$B$1:$AI$720,MATCH(AC$1,'Tillförd energi'!$B$1:$AQ$1,0),FALSE)</f>
        <v>0</v>
      </c>
      <c r="AD151" s="31">
        <f>VLOOKUP($B151,'Tillförd energi'!$B$1:$AI$720,MATCH(AD$1,'Tillförd energi'!$B$1:$AQ$1,0),FALSE)</f>
        <v>0</v>
      </c>
      <c r="AE151" s="31">
        <f>VLOOKUP($B151,'Tillförd energi'!$B$1:$AI$720,MATCH(AE$1,'Tillförd energi'!$B$1:$AQ$1,0),FALSE)</f>
        <v>0</v>
      </c>
      <c r="AF151" s="31">
        <f>VLOOKUP($B151,'Tillförd energi'!$B$1:$AI$720,MATCH(AF$1,'Tillförd energi'!$B$1:$AQ$1,0),FALSE)</f>
        <v>0.504</v>
      </c>
      <c r="AG151" s="31">
        <f>IFERROR(VLOOKUP(B151,Miljö!$B$1:$AC$550,MATCH("Köpt mängd produktionsspecifik fjärrvärme:",Miljö!$B$1:$AC$1,0),FALSE)/1,0)</f>
        <v>0</v>
      </c>
      <c r="AI151" s="31">
        <f t="shared" si="46"/>
        <v>32.783999999999999</v>
      </c>
      <c r="AJ151" s="31">
        <f t="shared" si="47"/>
        <v>32.783999999999999</v>
      </c>
      <c r="AK151" s="31">
        <f>IF(ISERROR(1/VLOOKUP($B151,Leveranser!$B$1:$S$499,MATCH("Såld värme (GWh)",Leveranser!$B$1:$S$1,0),FALSE)),"",VLOOKUP($B151,Leveranser!$B$1:$S$499,MATCH("Såld värme (GWh)",Leveranser!$B$1:$S$1,0),FALSE))</f>
        <v>27.08</v>
      </c>
      <c r="AL151" s="31">
        <f>VLOOKUP($B151,Leveranser!$B$1:$Y$499,MATCH("Totalt såld fjärrvärme till andra fjärrvärmeföretag",Leveranser!$B$1:$AA$1,0),FALSE)</f>
        <v>0</v>
      </c>
      <c r="AM151" s="31">
        <f>IF(ISERROR(1/VLOOKUP($B151,Miljö!$B$1:$S$500,MATCH("Såld mängd produktionsspecifik fjärrvärme (GWh)",Miljö!$B$1:$R$1,0),FALSE)),0,VLOOKUP($B151,Miljö!$B$1:$S$500,MATCH("Såld mängd produktionsspecifik fjärrvärme (GWh)",Miljö!$B$1:$R$1,0),FALSE))</f>
        <v>0</v>
      </c>
      <c r="AN151" s="32">
        <f t="shared" si="48"/>
        <v>0.82601268911664227</v>
      </c>
      <c r="AP151" s="31" t="str">
        <f>IFERROR(VLOOKUP($B151,Miljövärden!$B$2:$H$550,7,FALSE),"Nej, saknas")</f>
        <v>Ja</v>
      </c>
      <c r="AQ151" s="31" t="str">
        <f>IFERROR(VLOOKUP($B151,Miljövärden!$B$2:$H$551,6,FALSE),"Nej, saknas")</f>
        <v>Nej</v>
      </c>
      <c r="AU151" s="31">
        <f t="shared" si="49"/>
        <v>0.504</v>
      </c>
      <c r="AV151" s="31">
        <f t="shared" si="50"/>
        <v>9.4280000000000008</v>
      </c>
      <c r="AW151" s="31">
        <f t="shared" si="51"/>
        <v>16.452000000000002</v>
      </c>
      <c r="AX151" s="31">
        <f t="shared" si="52"/>
        <v>0</v>
      </c>
      <c r="AZ151" s="31">
        <f t="shared" si="53"/>
        <v>25.880000000000003</v>
      </c>
      <c r="BC151" s="31">
        <f t="shared" si="54"/>
        <v>6.4</v>
      </c>
      <c r="BD151" s="31">
        <f t="shared" si="55"/>
        <v>0</v>
      </c>
      <c r="BE151" s="31">
        <f t="shared" si="56"/>
        <v>25.880000000000003</v>
      </c>
      <c r="BF151" s="31">
        <f t="shared" si="57"/>
        <v>0</v>
      </c>
      <c r="BG151" s="31">
        <f t="shared" si="58"/>
        <v>0.504</v>
      </c>
      <c r="BH151" s="31">
        <f>VLOOKUP(B151,Miljö!$B$1:$BX$482,MATCH("Fossilandel för ursprungspecificerad el ()",Miljö!$B$1:$I$1,0),FALSE)</f>
        <v>0</v>
      </c>
      <c r="BI151" s="31">
        <f>VLOOKUP(B151,Miljö!$B$1:$BX$482,MATCH("Kärnkraftsandel för ursprungsspecificerad el ()",Miljö!$B$1:$O$1,0),FALSE)</f>
        <v>0</v>
      </c>
      <c r="BJ151" s="31">
        <f t="shared" si="59"/>
        <v>0</v>
      </c>
      <c r="BK151" s="31" t="str">
        <f>VLOOKUP(B151,Miljö!$B$1:$P$482,MATCH("Fossil andel i procent (%)",Miljö!$B$1:$P$1,0),FALSE)</f>
        <v>ET</v>
      </c>
      <c r="BL151" s="31">
        <f t="shared" si="60"/>
        <v>32.783999999999999</v>
      </c>
      <c r="BO151" s="32">
        <f t="shared" si="61"/>
        <v>0.19521717911176184</v>
      </c>
      <c r="BP151" s="32">
        <f t="shared" si="62"/>
        <v>0</v>
      </c>
      <c r="BQ151" s="32">
        <f t="shared" si="63"/>
        <v>0.80478282088823827</v>
      </c>
      <c r="BR151" s="32">
        <f t="shared" si="64"/>
        <v>0</v>
      </c>
      <c r="BT151" s="62">
        <f t="shared" si="65"/>
        <v>1</v>
      </c>
      <c r="BW151" s="32">
        <f>IF(AP151="Ja",VLOOKUP(B151,Miljövärden!$B$2:$H$551,MATCH("Total andel fossilt",Miljövärden!$B$2:$H$2,0),FALSE),"")</f>
        <v>0.195217</v>
      </c>
      <c r="BX151" s="62">
        <f t="shared" si="66"/>
        <v>-1.7911176183882382E-7</v>
      </c>
      <c r="BZ151" s="31">
        <f t="shared" si="67"/>
        <v>-1.7911176183882382E-7</v>
      </c>
      <c r="CA151" s="32">
        <f t="shared" si="68"/>
        <v>0</v>
      </c>
    </row>
    <row r="152" spans="1:79" x14ac:dyDescent="0.45">
      <c r="A152" s="31" t="s">
        <v>480</v>
      </c>
      <c r="B152" s="31" t="s">
        <v>481</v>
      </c>
      <c r="C152" s="31">
        <f>VLOOKUP($B152,'Tillförd energi'!$B$1:$AI$720,MATCH(C$1,'Tillförd energi'!$B$1:$AQ$1,0),FALSE)</f>
        <v>0</v>
      </c>
      <c r="D152" s="31">
        <f>VLOOKUP($B152,'Tillförd energi'!$B$1:$AI$720,MATCH(D$1,'Tillförd energi'!$B$1:$AQ$1,0),FALSE)</f>
        <v>4.2000000000000003E-2</v>
      </c>
      <c r="E152" s="31">
        <f>VLOOKUP($B152,'Tillförd energi'!$B$1:$AI$720,MATCH(E$1,'Tillförd energi'!$B$1:$AQ$1,0),FALSE)</f>
        <v>0</v>
      </c>
      <c r="F152" s="31">
        <f>VLOOKUP($B152,'Tillförd energi'!$B$1:$AI$720,MATCH(F$1,'Tillförd energi'!$B$1:$AQ$1,0),FALSE)</f>
        <v>0</v>
      </c>
      <c r="G152" s="31">
        <f>VLOOKUP($B152,'Tillförd energi'!$B$1:$AI$720,MATCH(G$1,'Tillförd energi'!$B$1:$AQ$1,0),FALSE)</f>
        <v>0</v>
      </c>
      <c r="H152" s="31">
        <f>VLOOKUP($B152,'Tillförd energi'!$B$1:$AI$720,MATCH(H$1,'Tillförd energi'!$B$1:$AQ$1,0),FALSE)</f>
        <v>0</v>
      </c>
      <c r="I152" s="31">
        <f>VLOOKUP($B152,'Tillförd energi'!$B$1:$AI$720,MATCH(I$1,'Tillförd energi'!$B$1:$AQ$1,0),FALSE)</f>
        <v>0</v>
      </c>
      <c r="J152" s="31">
        <f>VLOOKUP($B152,'Tillförd energi'!$B$1:$AI$720,MATCH(J$1,'Tillförd energi'!$B$1:$AQ$1,0),FALSE)</f>
        <v>0</v>
      </c>
      <c r="K152" s="31">
        <f>VLOOKUP($B152,'Tillförd energi'!$B$1:$AI$720,MATCH(K$1,'Tillförd energi'!$B$1:$AQ$1,0),FALSE)</f>
        <v>0</v>
      </c>
      <c r="L152" s="31">
        <f>VLOOKUP($B152,'Tillförd energi'!$B$1:$AI$720,MATCH(L$1,'Tillförd energi'!$B$1:$AQ$1,0),FALSE)</f>
        <v>0</v>
      </c>
      <c r="M152" s="31">
        <f>VLOOKUP($B152,'Tillförd energi'!$B$1:$AI$720,MATCH(M$1,'Tillförd energi'!$B$1:$AQ$1,0),FALSE)</f>
        <v>0</v>
      </c>
      <c r="N152" s="31">
        <f>VLOOKUP($B152,'Tillförd energi'!$B$1:$AI$720,MATCH(N$1,'Tillförd energi'!$B$1:$AQ$1,0),FALSE)</f>
        <v>0</v>
      </c>
      <c r="O152" s="31">
        <f>VLOOKUP($B152,'Tillförd energi'!$B$1:$AI$720,MATCH(O$1,'Tillförd energi'!$B$1:$AQ$1,0),FALSE)</f>
        <v>0</v>
      </c>
      <c r="P152" s="31">
        <f>VLOOKUP($B152,'Tillförd energi'!$B$1:$AI$720,MATCH(P$1,'Tillförd energi'!$B$1:$AQ$1,0),FALSE)</f>
        <v>15.342000000000001</v>
      </c>
      <c r="Q152" s="31">
        <f>VLOOKUP($B152,'Tillförd energi'!$B$1:$AI$720,MATCH(Q$1,'Tillförd energi'!$B$1:$AQ$1,0),FALSE)</f>
        <v>0</v>
      </c>
      <c r="R152" s="31">
        <f>VLOOKUP($B152,'Tillförd energi'!$B$1:$AI$720,MATCH(R$1,'Tillförd energi'!$B$1:$AQ$1,0),FALSE)</f>
        <v>0</v>
      </c>
      <c r="S152" s="31">
        <f>VLOOKUP($B152,'Tillförd energi'!$B$1:$AI$720,MATCH(S$1,'Tillförd energi'!$B$1:$AQ$1,0),FALSE)</f>
        <v>0</v>
      </c>
      <c r="T152" s="31">
        <f>VLOOKUP($B152,'Tillförd energi'!$B$1:$AI$720,MATCH(T$1,'Tillförd energi'!$B$1:$AQ$1,0),FALSE)</f>
        <v>0</v>
      </c>
      <c r="U152" s="31">
        <f>VLOOKUP($B152,'Tillförd energi'!$B$1:$AI$720,MATCH(U$1,'Tillförd energi'!$B$1:$AQ$1,0),FALSE)</f>
        <v>0</v>
      </c>
      <c r="V152" s="31">
        <f>VLOOKUP($B152,'Tillförd energi'!$B$1:$AI$720,MATCH(V$1,'Tillförd energi'!$B$1:$AQ$1,0),FALSE)</f>
        <v>0</v>
      </c>
      <c r="W152" s="31">
        <f>VLOOKUP($B152,'Tillförd energi'!$B$1:$AI$720,MATCH(W$1,'Tillförd energi'!$B$1:$AQ$1,0),FALSE)</f>
        <v>0.60899999999999999</v>
      </c>
      <c r="X152" s="31">
        <f>VLOOKUP($B152,'Tillförd energi'!$B$1:$AI$720,MATCH(X$1,'Tillförd energi'!$B$1:$AQ$1,0),FALSE)</f>
        <v>0</v>
      </c>
      <c r="Y152" s="31">
        <f>VLOOKUP($B152,'Tillförd energi'!$B$1:$AI$720,MATCH(Y$1,'Tillförd energi'!$B$1:$AQ$1,0),FALSE)</f>
        <v>0</v>
      </c>
      <c r="Z152" s="31">
        <f>VLOOKUP($B152,'Tillförd energi'!$B$1:$AI$720,MATCH(Z$1,'Tillförd energi'!$B$1:$AQ$1,0),FALSE)</f>
        <v>0</v>
      </c>
      <c r="AA152" s="31">
        <f>VLOOKUP($B152,'Tillförd energi'!$B$1:$AI$720,MATCH(AA$1,'Tillförd energi'!$B$1:$AQ$1,0),FALSE)</f>
        <v>0</v>
      </c>
      <c r="AB152" s="31">
        <f>VLOOKUP($B152,'Tillförd energi'!$B$1:$AI$720,MATCH(AB$1,'Tillförd energi'!$B$1:$AQ$1,0),FALSE)</f>
        <v>0</v>
      </c>
      <c r="AC152" s="31">
        <f>VLOOKUP($B152,'Tillförd energi'!$B$1:$AI$720,MATCH(AC$1,'Tillförd energi'!$B$1:$AQ$1,0),FALSE)</f>
        <v>0</v>
      </c>
      <c r="AD152" s="31">
        <f>VLOOKUP($B152,'Tillförd energi'!$B$1:$AI$720,MATCH(AD$1,'Tillförd energi'!$B$1:$AQ$1,0),FALSE)</f>
        <v>0</v>
      </c>
      <c r="AE152" s="31">
        <f>VLOOKUP($B152,'Tillförd energi'!$B$1:$AI$720,MATCH(AE$1,'Tillförd energi'!$B$1:$AQ$1,0),FALSE)</f>
        <v>0</v>
      </c>
      <c r="AF152" s="31">
        <f>VLOOKUP($B152,'Tillförd energi'!$B$1:$AI$720,MATCH(AF$1,'Tillförd energi'!$B$1:$AQ$1,0),FALSE)</f>
        <v>0.224</v>
      </c>
      <c r="AG152" s="31">
        <f>IFERROR(VLOOKUP(B152,Miljö!$B$1:$AC$550,MATCH("Köpt mängd produktionsspecifik fjärrvärme:",Miljö!$B$1:$AC$1,0),FALSE)/1,0)</f>
        <v>0</v>
      </c>
      <c r="AI152" s="31">
        <f t="shared" si="46"/>
        <v>16.216999999999999</v>
      </c>
      <c r="AJ152" s="31">
        <f t="shared" si="47"/>
        <v>16.216999999999999</v>
      </c>
      <c r="AK152" s="31">
        <f>IF(ISERROR(1/VLOOKUP($B152,Leveranser!$B$1:$S$499,MATCH("Såld värme (GWh)",Leveranser!$B$1:$S$1,0),FALSE)),"",VLOOKUP($B152,Leveranser!$B$1:$S$499,MATCH("Såld värme (GWh)",Leveranser!$B$1:$S$1,0),FALSE))</f>
        <v>11.24</v>
      </c>
      <c r="AL152" s="31">
        <f>VLOOKUP($B152,Leveranser!$B$1:$Y$499,MATCH("Totalt såld fjärrvärme till andra fjärrvärmeföretag",Leveranser!$B$1:$AA$1,0),FALSE)</f>
        <v>0</v>
      </c>
      <c r="AM152" s="31">
        <f>IF(ISERROR(1/VLOOKUP($B152,Miljö!$B$1:$S$500,MATCH("Såld mängd produktionsspecifik fjärrvärme (GWh)",Miljö!$B$1:$R$1,0),FALSE)),0,VLOOKUP($B152,Miljö!$B$1:$S$500,MATCH("Såld mängd produktionsspecifik fjärrvärme (GWh)",Miljö!$B$1:$R$1,0),FALSE))</f>
        <v>0</v>
      </c>
      <c r="AN152" s="32">
        <f t="shared" si="48"/>
        <v>0.69309983350804716</v>
      </c>
      <c r="AP152" s="31" t="str">
        <f>IFERROR(VLOOKUP($B152,Miljövärden!$B$2:$H$550,7,FALSE),"Nej, saknas")</f>
        <v>Ja</v>
      </c>
      <c r="AQ152" s="31" t="str">
        <f>IFERROR(VLOOKUP($B152,Miljövärden!$B$2:$H$551,6,FALSE),"Nej, saknas")</f>
        <v>Nej</v>
      </c>
      <c r="AU152" s="31">
        <f t="shared" si="49"/>
        <v>0.224</v>
      </c>
      <c r="AV152" s="31">
        <f t="shared" si="50"/>
        <v>0</v>
      </c>
      <c r="AW152" s="31">
        <f t="shared" si="51"/>
        <v>15.342000000000001</v>
      </c>
      <c r="AX152" s="31">
        <f t="shared" si="52"/>
        <v>0</v>
      </c>
      <c r="AZ152" s="31">
        <f t="shared" si="53"/>
        <v>15.951000000000001</v>
      </c>
      <c r="BC152" s="31">
        <f t="shared" si="54"/>
        <v>4.2000000000000003E-2</v>
      </c>
      <c r="BD152" s="31">
        <f t="shared" si="55"/>
        <v>0</v>
      </c>
      <c r="BE152" s="31">
        <f t="shared" si="56"/>
        <v>15.951000000000001</v>
      </c>
      <c r="BF152" s="31">
        <f t="shared" si="57"/>
        <v>0</v>
      </c>
      <c r="BG152" s="31">
        <f t="shared" si="58"/>
        <v>0.224</v>
      </c>
      <c r="BH152" s="31">
        <f>VLOOKUP(B152,Miljö!$B$1:$BX$482,MATCH("Fossilandel för ursprungspecificerad el ()",Miljö!$B$1:$I$1,0),FALSE)</f>
        <v>0</v>
      </c>
      <c r="BI152" s="31">
        <f>VLOOKUP(B152,Miljö!$B$1:$BX$482,MATCH("Kärnkraftsandel för ursprungsspecificerad el ()",Miljö!$B$1:$O$1,0),FALSE)</f>
        <v>0</v>
      </c>
      <c r="BJ152" s="31">
        <f t="shared" si="59"/>
        <v>0</v>
      </c>
      <c r="BK152" s="31" t="str">
        <f>VLOOKUP(B152,Miljö!$B$1:$P$482,MATCH("Fossil andel i procent (%)",Miljö!$B$1:$P$1,0),FALSE)</f>
        <v>ET</v>
      </c>
      <c r="BL152" s="31">
        <f t="shared" si="60"/>
        <v>16.216999999999999</v>
      </c>
      <c r="BO152" s="32">
        <f t="shared" si="61"/>
        <v>2.5898748227169022E-3</v>
      </c>
      <c r="BP152" s="32">
        <f t="shared" si="62"/>
        <v>0</v>
      </c>
      <c r="BQ152" s="32">
        <f t="shared" si="63"/>
        <v>0.99741012517728322</v>
      </c>
      <c r="BR152" s="32">
        <f t="shared" si="64"/>
        <v>0</v>
      </c>
      <c r="BT152" s="62">
        <f t="shared" si="65"/>
        <v>1.0000000000000002</v>
      </c>
      <c r="BW152" s="32">
        <f>IF(AP152="Ja",VLOOKUP(B152,Miljövärden!$B$2:$H$551,MATCH("Total andel fossilt",Miljövärden!$B$2:$H$2,0),FALSE),"")</f>
        <v>2.5898700000000002E-3</v>
      </c>
      <c r="BX152" s="62">
        <f t="shared" si="66"/>
        <v>-4.8227169020462202E-9</v>
      </c>
      <c r="BZ152" s="31">
        <f t="shared" si="67"/>
        <v>-4.8227169020462202E-9</v>
      </c>
      <c r="CA152" s="32">
        <f t="shared" si="68"/>
        <v>0</v>
      </c>
    </row>
    <row r="153" spans="1:79" x14ac:dyDescent="0.45">
      <c r="A153" s="31" t="s">
        <v>480</v>
      </c>
      <c r="B153" s="31" t="s">
        <v>479</v>
      </c>
      <c r="C153" s="31">
        <f>VLOOKUP($B153,'Tillförd energi'!$B$1:$AI$720,MATCH(C$1,'Tillförd energi'!$B$1:$AQ$1,0),FALSE)</f>
        <v>0</v>
      </c>
      <c r="D153" s="31">
        <f>VLOOKUP($B153,'Tillförd energi'!$B$1:$AI$720,MATCH(D$1,'Tillförd energi'!$B$1:$AQ$1,0),FALSE)</f>
        <v>2.5000000000000001E-2</v>
      </c>
      <c r="E153" s="31">
        <f>VLOOKUP($B153,'Tillförd energi'!$B$1:$AI$720,MATCH(E$1,'Tillförd energi'!$B$1:$AQ$1,0),FALSE)</f>
        <v>0</v>
      </c>
      <c r="F153" s="31">
        <f>VLOOKUP($B153,'Tillförd energi'!$B$1:$AI$720,MATCH(F$1,'Tillförd energi'!$B$1:$AQ$1,0),FALSE)</f>
        <v>0</v>
      </c>
      <c r="G153" s="31">
        <f>VLOOKUP($B153,'Tillförd energi'!$B$1:$AI$720,MATCH(G$1,'Tillförd energi'!$B$1:$AQ$1,0),FALSE)</f>
        <v>0</v>
      </c>
      <c r="H153" s="31">
        <f>VLOOKUP($B153,'Tillförd energi'!$B$1:$AI$720,MATCH(H$1,'Tillförd energi'!$B$1:$AQ$1,0),FALSE)</f>
        <v>0</v>
      </c>
      <c r="I153" s="31">
        <f>VLOOKUP($B153,'Tillförd energi'!$B$1:$AI$720,MATCH(I$1,'Tillförd energi'!$B$1:$AQ$1,0),FALSE)</f>
        <v>0</v>
      </c>
      <c r="J153" s="31">
        <f>VLOOKUP($B153,'Tillförd energi'!$B$1:$AI$720,MATCH(J$1,'Tillförd energi'!$B$1:$AQ$1,0),FALSE)</f>
        <v>0</v>
      </c>
      <c r="K153" s="31">
        <f>VLOOKUP($B153,'Tillförd energi'!$B$1:$AI$720,MATCH(K$1,'Tillförd energi'!$B$1:$AQ$1,0),FALSE)</f>
        <v>0</v>
      </c>
      <c r="L153" s="31">
        <f>VLOOKUP($B153,'Tillförd energi'!$B$1:$AI$720,MATCH(L$1,'Tillförd energi'!$B$1:$AQ$1,0),FALSE)</f>
        <v>0</v>
      </c>
      <c r="M153" s="31">
        <f>VLOOKUP($B153,'Tillförd energi'!$B$1:$AI$720,MATCH(M$1,'Tillförd energi'!$B$1:$AQ$1,0),FALSE)</f>
        <v>0</v>
      </c>
      <c r="N153" s="31">
        <f>VLOOKUP($B153,'Tillförd energi'!$B$1:$AI$720,MATCH(N$1,'Tillförd energi'!$B$1:$AQ$1,0),FALSE)</f>
        <v>0</v>
      </c>
      <c r="O153" s="31">
        <f>VLOOKUP($B153,'Tillförd energi'!$B$1:$AI$720,MATCH(O$1,'Tillförd energi'!$B$1:$AQ$1,0),FALSE)</f>
        <v>0</v>
      </c>
      <c r="P153" s="31">
        <f>VLOOKUP($B153,'Tillförd energi'!$B$1:$AI$720,MATCH(P$1,'Tillförd energi'!$B$1:$AQ$1,0),FALSE)</f>
        <v>7.4329999999999998</v>
      </c>
      <c r="Q153" s="31">
        <f>VLOOKUP($B153,'Tillförd energi'!$B$1:$AI$720,MATCH(Q$1,'Tillförd energi'!$B$1:$AQ$1,0),FALSE)</f>
        <v>0</v>
      </c>
      <c r="R153" s="31">
        <f>VLOOKUP($B153,'Tillförd energi'!$B$1:$AI$720,MATCH(R$1,'Tillförd energi'!$B$1:$AQ$1,0),FALSE)</f>
        <v>0</v>
      </c>
      <c r="S153" s="31">
        <f>VLOOKUP($B153,'Tillförd energi'!$B$1:$AI$720,MATCH(S$1,'Tillförd energi'!$B$1:$AQ$1,0),FALSE)</f>
        <v>0</v>
      </c>
      <c r="T153" s="31">
        <f>VLOOKUP($B153,'Tillförd energi'!$B$1:$AI$720,MATCH(T$1,'Tillförd energi'!$B$1:$AQ$1,0),FALSE)</f>
        <v>0</v>
      </c>
      <c r="U153" s="31">
        <f>VLOOKUP($B153,'Tillförd energi'!$B$1:$AI$720,MATCH(U$1,'Tillförd energi'!$B$1:$AQ$1,0),FALSE)</f>
        <v>0</v>
      </c>
      <c r="V153" s="31">
        <f>VLOOKUP($B153,'Tillförd energi'!$B$1:$AI$720,MATCH(V$1,'Tillförd energi'!$B$1:$AQ$1,0),FALSE)</f>
        <v>0</v>
      </c>
      <c r="W153" s="31">
        <f>VLOOKUP($B153,'Tillförd energi'!$B$1:$AI$720,MATCH(W$1,'Tillförd energi'!$B$1:$AQ$1,0),FALSE)</f>
        <v>0</v>
      </c>
      <c r="X153" s="31">
        <f>VLOOKUP($B153,'Tillförd energi'!$B$1:$AI$720,MATCH(X$1,'Tillförd energi'!$B$1:$AQ$1,0),FALSE)</f>
        <v>0</v>
      </c>
      <c r="Y153" s="31">
        <f>VLOOKUP($B153,'Tillförd energi'!$B$1:$AI$720,MATCH(Y$1,'Tillförd energi'!$B$1:$AQ$1,0),FALSE)</f>
        <v>0</v>
      </c>
      <c r="Z153" s="31">
        <f>VLOOKUP($B153,'Tillförd energi'!$B$1:$AI$720,MATCH(Z$1,'Tillförd energi'!$B$1:$AQ$1,0),FALSE)</f>
        <v>0</v>
      </c>
      <c r="AA153" s="31">
        <f>VLOOKUP($B153,'Tillförd energi'!$B$1:$AI$720,MATCH(AA$1,'Tillförd energi'!$B$1:$AQ$1,0),FALSE)</f>
        <v>0</v>
      </c>
      <c r="AB153" s="31">
        <f>VLOOKUP($B153,'Tillförd energi'!$B$1:$AI$720,MATCH(AB$1,'Tillförd energi'!$B$1:$AQ$1,0),FALSE)</f>
        <v>0</v>
      </c>
      <c r="AC153" s="31">
        <f>VLOOKUP($B153,'Tillförd energi'!$B$1:$AI$720,MATCH(AC$1,'Tillförd energi'!$B$1:$AQ$1,0),FALSE)</f>
        <v>0</v>
      </c>
      <c r="AD153" s="31">
        <f>VLOOKUP($B153,'Tillförd energi'!$B$1:$AI$720,MATCH(AD$1,'Tillförd energi'!$B$1:$AQ$1,0),FALSE)</f>
        <v>0</v>
      </c>
      <c r="AE153" s="31">
        <f>VLOOKUP($B153,'Tillförd energi'!$B$1:$AI$720,MATCH(AE$1,'Tillförd energi'!$B$1:$AQ$1,0),FALSE)</f>
        <v>0</v>
      </c>
      <c r="AF153" s="31">
        <f>VLOOKUP($B153,'Tillförd energi'!$B$1:$AI$720,MATCH(AF$1,'Tillförd energi'!$B$1:$AQ$1,0),FALSE)</f>
        <v>0.13500000000000001</v>
      </c>
      <c r="AG153" s="31">
        <f>IFERROR(VLOOKUP(B153,Miljö!$B$1:$AC$550,MATCH("Köpt mängd produktionsspecifik fjärrvärme:",Miljö!$B$1:$AC$1,0),FALSE)/1,0)</f>
        <v>0</v>
      </c>
      <c r="AI153" s="31">
        <f t="shared" si="46"/>
        <v>7.593</v>
      </c>
      <c r="AJ153" s="31">
        <f t="shared" si="47"/>
        <v>7.593</v>
      </c>
      <c r="AK153" s="31">
        <f>IF(ISERROR(1/VLOOKUP($B153,Leveranser!$B$1:$S$499,MATCH("Såld värme (GWh)",Leveranser!$B$1:$S$1,0),FALSE)),"",VLOOKUP($B153,Leveranser!$B$1:$S$499,MATCH("Såld värme (GWh)",Leveranser!$B$1:$S$1,0),FALSE))</f>
        <v>5.27</v>
      </c>
      <c r="AL153" s="31">
        <f>VLOOKUP($B153,Leveranser!$B$1:$Y$499,MATCH("Totalt såld fjärrvärme till andra fjärrvärmeföretag",Leveranser!$B$1:$AA$1,0),FALSE)</f>
        <v>0</v>
      </c>
      <c r="AM153" s="31">
        <f>IF(ISERROR(1/VLOOKUP($B153,Miljö!$B$1:$S$500,MATCH("Såld mängd produktionsspecifik fjärrvärme (GWh)",Miljö!$B$1:$R$1,0),FALSE)),0,VLOOKUP($B153,Miljö!$B$1:$S$500,MATCH("Såld mängd produktionsspecifik fjärrvärme (GWh)",Miljö!$B$1:$R$1,0),FALSE))</f>
        <v>0</v>
      </c>
      <c r="AN153" s="32">
        <f t="shared" si="48"/>
        <v>0.6940603187146055</v>
      </c>
      <c r="AP153" s="31" t="str">
        <f>IFERROR(VLOOKUP($B153,Miljövärden!$B$2:$H$550,7,FALSE),"Nej, saknas")</f>
        <v>Ja</v>
      </c>
      <c r="AQ153" s="31" t="str">
        <f>IFERROR(VLOOKUP($B153,Miljövärden!$B$2:$H$551,6,FALSE),"Nej, saknas")</f>
        <v>Nej</v>
      </c>
      <c r="AU153" s="31">
        <f t="shared" si="49"/>
        <v>0.13500000000000001</v>
      </c>
      <c r="AV153" s="31">
        <f t="shared" si="50"/>
        <v>0</v>
      </c>
      <c r="AW153" s="31">
        <f t="shared" si="51"/>
        <v>7.4329999999999998</v>
      </c>
      <c r="AX153" s="31">
        <f t="shared" si="52"/>
        <v>0</v>
      </c>
      <c r="AZ153" s="31">
        <f t="shared" si="53"/>
        <v>7.4329999999999998</v>
      </c>
      <c r="BC153" s="31">
        <f t="shared" si="54"/>
        <v>2.5000000000000001E-2</v>
      </c>
      <c r="BD153" s="31">
        <f t="shared" si="55"/>
        <v>0</v>
      </c>
      <c r="BE153" s="31">
        <f t="shared" si="56"/>
        <v>7.4329999999999998</v>
      </c>
      <c r="BF153" s="31">
        <f t="shared" si="57"/>
        <v>0</v>
      </c>
      <c r="BG153" s="31">
        <f t="shared" si="58"/>
        <v>0.13500000000000001</v>
      </c>
      <c r="BH153" s="31">
        <f>VLOOKUP(B153,Miljö!$B$1:$BX$482,MATCH("Fossilandel för ursprungspecificerad el ()",Miljö!$B$1:$I$1,0),FALSE)</f>
        <v>0</v>
      </c>
      <c r="BI153" s="31">
        <f>VLOOKUP(B153,Miljö!$B$1:$BX$482,MATCH("Kärnkraftsandel för ursprungsspecificerad el ()",Miljö!$B$1:$O$1,0),FALSE)</f>
        <v>0</v>
      </c>
      <c r="BJ153" s="31">
        <f t="shared" si="59"/>
        <v>0</v>
      </c>
      <c r="BK153" s="31" t="str">
        <f>VLOOKUP(B153,Miljö!$B$1:$P$482,MATCH("Fossil andel i procent (%)",Miljö!$B$1:$P$1,0),FALSE)</f>
        <v>ET</v>
      </c>
      <c r="BL153" s="31">
        <f t="shared" si="60"/>
        <v>7.593</v>
      </c>
      <c r="BO153" s="32">
        <f t="shared" si="61"/>
        <v>3.2925062557618862E-3</v>
      </c>
      <c r="BP153" s="32">
        <f t="shared" si="62"/>
        <v>0</v>
      </c>
      <c r="BQ153" s="32">
        <f t="shared" si="63"/>
        <v>0.99670749374423806</v>
      </c>
      <c r="BR153" s="32">
        <f t="shared" si="64"/>
        <v>0</v>
      </c>
      <c r="BT153" s="62">
        <f t="shared" si="65"/>
        <v>1</v>
      </c>
      <c r="BW153" s="32">
        <f>IF(AP153="Ja",VLOOKUP(B153,Miljövärden!$B$2:$H$551,MATCH("Total andel fossilt",Miljövärden!$B$2:$H$2,0),FALSE),"")</f>
        <v>3.2925099999999998E-3</v>
      </c>
      <c r="BX153" s="62">
        <f t="shared" si="66"/>
        <v>3.7442381135670277E-9</v>
      </c>
      <c r="BZ153" s="31">
        <f t="shared" si="67"/>
        <v>3.7442381135670277E-9</v>
      </c>
      <c r="CA153" s="32">
        <f t="shared" si="68"/>
        <v>0</v>
      </c>
    </row>
    <row r="154" spans="1:79" x14ac:dyDescent="0.45">
      <c r="A154" s="31" t="s">
        <v>480</v>
      </c>
      <c r="B154" s="31" t="s">
        <v>482</v>
      </c>
      <c r="C154" s="31">
        <f>VLOOKUP($B154,'Tillförd energi'!$B$1:$AI$720,MATCH(C$1,'Tillförd energi'!$B$1:$AQ$1,0),FALSE)</f>
        <v>0</v>
      </c>
      <c r="D154" s="31">
        <f>VLOOKUP($B154,'Tillförd energi'!$B$1:$AI$720,MATCH(D$1,'Tillförd energi'!$B$1:$AQ$1,0),FALSE)</f>
        <v>0.10199999999999999</v>
      </c>
      <c r="E154" s="31">
        <f>VLOOKUP($B154,'Tillförd energi'!$B$1:$AI$720,MATCH(E$1,'Tillförd energi'!$B$1:$AQ$1,0),FALSE)</f>
        <v>0</v>
      </c>
      <c r="F154" s="31">
        <f>VLOOKUP($B154,'Tillförd energi'!$B$1:$AI$720,MATCH(F$1,'Tillförd energi'!$B$1:$AQ$1,0),FALSE)</f>
        <v>0</v>
      </c>
      <c r="G154" s="31">
        <f>VLOOKUP($B154,'Tillförd energi'!$B$1:$AI$720,MATCH(G$1,'Tillförd energi'!$B$1:$AQ$1,0),FALSE)</f>
        <v>0</v>
      </c>
      <c r="H154" s="31">
        <f>VLOOKUP($B154,'Tillförd energi'!$B$1:$AI$720,MATCH(H$1,'Tillförd energi'!$B$1:$AQ$1,0),FALSE)</f>
        <v>0</v>
      </c>
      <c r="I154" s="31">
        <f>VLOOKUP($B154,'Tillförd energi'!$B$1:$AI$720,MATCH(I$1,'Tillförd energi'!$B$1:$AQ$1,0),FALSE)</f>
        <v>0</v>
      </c>
      <c r="J154" s="31">
        <f>VLOOKUP($B154,'Tillförd energi'!$B$1:$AI$720,MATCH(J$1,'Tillförd energi'!$B$1:$AQ$1,0),FALSE)</f>
        <v>0</v>
      </c>
      <c r="K154" s="31">
        <f>VLOOKUP($B154,'Tillförd energi'!$B$1:$AI$720,MATCH(K$1,'Tillförd energi'!$B$1:$AQ$1,0),FALSE)</f>
        <v>0</v>
      </c>
      <c r="L154" s="31">
        <f>VLOOKUP($B154,'Tillförd energi'!$B$1:$AI$720,MATCH(L$1,'Tillförd energi'!$B$1:$AQ$1,0),FALSE)</f>
        <v>0</v>
      </c>
      <c r="M154" s="31">
        <f>VLOOKUP($B154,'Tillförd energi'!$B$1:$AI$720,MATCH(M$1,'Tillförd energi'!$B$1:$AQ$1,0),FALSE)</f>
        <v>0</v>
      </c>
      <c r="N154" s="31">
        <f>VLOOKUP($B154,'Tillförd energi'!$B$1:$AI$720,MATCH(N$1,'Tillförd energi'!$B$1:$AQ$1,0),FALSE)</f>
        <v>0</v>
      </c>
      <c r="O154" s="31">
        <f>VLOOKUP($B154,'Tillförd energi'!$B$1:$AI$720,MATCH(O$1,'Tillförd energi'!$B$1:$AQ$1,0),FALSE)</f>
        <v>0</v>
      </c>
      <c r="P154" s="31">
        <f>VLOOKUP($B154,'Tillförd energi'!$B$1:$AI$720,MATCH(P$1,'Tillförd energi'!$B$1:$AQ$1,0),FALSE)</f>
        <v>9.2789999999999999</v>
      </c>
      <c r="Q154" s="31">
        <f>VLOOKUP($B154,'Tillförd energi'!$B$1:$AI$720,MATCH(Q$1,'Tillförd energi'!$B$1:$AQ$1,0),FALSE)</f>
        <v>0</v>
      </c>
      <c r="R154" s="31">
        <f>VLOOKUP($B154,'Tillförd energi'!$B$1:$AI$720,MATCH(R$1,'Tillförd energi'!$B$1:$AQ$1,0),FALSE)</f>
        <v>0</v>
      </c>
      <c r="S154" s="31">
        <f>VLOOKUP($B154,'Tillförd energi'!$B$1:$AI$720,MATCH(S$1,'Tillförd energi'!$B$1:$AQ$1,0),FALSE)</f>
        <v>0</v>
      </c>
      <c r="T154" s="31">
        <f>VLOOKUP($B154,'Tillförd energi'!$B$1:$AI$720,MATCH(T$1,'Tillförd energi'!$B$1:$AQ$1,0),FALSE)</f>
        <v>0</v>
      </c>
      <c r="U154" s="31">
        <f>VLOOKUP($B154,'Tillförd energi'!$B$1:$AI$720,MATCH(U$1,'Tillförd energi'!$B$1:$AQ$1,0),FALSE)</f>
        <v>0</v>
      </c>
      <c r="V154" s="31">
        <f>VLOOKUP($B154,'Tillförd energi'!$B$1:$AI$720,MATCH(V$1,'Tillförd energi'!$B$1:$AQ$1,0),FALSE)</f>
        <v>0</v>
      </c>
      <c r="W154" s="31">
        <f>VLOOKUP($B154,'Tillförd energi'!$B$1:$AI$720,MATCH(W$1,'Tillförd energi'!$B$1:$AQ$1,0),FALSE)</f>
        <v>0</v>
      </c>
      <c r="X154" s="31">
        <f>VLOOKUP($B154,'Tillförd energi'!$B$1:$AI$720,MATCH(X$1,'Tillförd energi'!$B$1:$AQ$1,0),FALSE)</f>
        <v>0</v>
      </c>
      <c r="Y154" s="31">
        <f>VLOOKUP($B154,'Tillförd energi'!$B$1:$AI$720,MATCH(Y$1,'Tillförd energi'!$B$1:$AQ$1,0),FALSE)</f>
        <v>0</v>
      </c>
      <c r="Z154" s="31">
        <f>VLOOKUP($B154,'Tillförd energi'!$B$1:$AI$720,MATCH(Z$1,'Tillförd energi'!$B$1:$AQ$1,0),FALSE)</f>
        <v>0</v>
      </c>
      <c r="AA154" s="31">
        <f>VLOOKUP($B154,'Tillförd energi'!$B$1:$AI$720,MATCH(AA$1,'Tillförd energi'!$B$1:$AQ$1,0),FALSE)</f>
        <v>0</v>
      </c>
      <c r="AB154" s="31">
        <f>VLOOKUP($B154,'Tillförd energi'!$B$1:$AI$720,MATCH(AB$1,'Tillförd energi'!$B$1:$AQ$1,0),FALSE)</f>
        <v>0</v>
      </c>
      <c r="AC154" s="31">
        <f>VLOOKUP($B154,'Tillförd energi'!$B$1:$AI$720,MATCH(AC$1,'Tillförd energi'!$B$1:$AQ$1,0),FALSE)</f>
        <v>0</v>
      </c>
      <c r="AD154" s="31">
        <f>VLOOKUP($B154,'Tillförd energi'!$B$1:$AI$720,MATCH(AD$1,'Tillförd energi'!$B$1:$AQ$1,0),FALSE)</f>
        <v>0</v>
      </c>
      <c r="AE154" s="31">
        <f>VLOOKUP($B154,'Tillförd energi'!$B$1:$AI$720,MATCH(AE$1,'Tillförd energi'!$B$1:$AQ$1,0),FALSE)</f>
        <v>0</v>
      </c>
      <c r="AF154" s="31">
        <f>VLOOKUP($B154,'Tillförd energi'!$B$1:$AI$720,MATCH(AF$1,'Tillförd energi'!$B$1:$AQ$1,0),FALSE)</f>
        <v>0.17799999999999999</v>
      </c>
      <c r="AG154" s="31">
        <f>IFERROR(VLOOKUP(B154,Miljö!$B$1:$AC$550,MATCH("Köpt mängd produktionsspecifik fjärrvärme:",Miljö!$B$1:$AC$1,0),FALSE)/1,0)</f>
        <v>0</v>
      </c>
      <c r="AI154" s="31">
        <f t="shared" si="46"/>
        <v>9.5590000000000011</v>
      </c>
      <c r="AJ154" s="31">
        <f t="shared" si="47"/>
        <v>9.5590000000000011</v>
      </c>
      <c r="AK154" s="31">
        <f>IF(ISERROR(1/VLOOKUP($B154,Leveranser!$B$1:$S$499,MATCH("Såld värme (GWh)",Leveranser!$B$1:$S$1,0),FALSE)),"",VLOOKUP($B154,Leveranser!$B$1:$S$499,MATCH("Såld värme (GWh)",Leveranser!$B$1:$S$1,0),FALSE))</f>
        <v>7.13</v>
      </c>
      <c r="AL154" s="31">
        <f>VLOOKUP($B154,Leveranser!$B$1:$Y$499,MATCH("Totalt såld fjärrvärme till andra fjärrvärmeföretag",Leveranser!$B$1:$AA$1,0),FALSE)</f>
        <v>0</v>
      </c>
      <c r="AM154" s="31">
        <f>IF(ISERROR(1/VLOOKUP($B154,Miljö!$B$1:$S$500,MATCH("Såld mängd produktionsspecifik fjärrvärme (GWh)",Miljö!$B$1:$R$1,0),FALSE)),0,VLOOKUP($B154,Miljö!$B$1:$S$500,MATCH("Såld mängd produktionsspecifik fjärrvärme (GWh)",Miljö!$B$1:$R$1,0),FALSE))</f>
        <v>0</v>
      </c>
      <c r="AN154" s="32">
        <f t="shared" si="48"/>
        <v>0.74589392195836379</v>
      </c>
      <c r="AP154" s="31" t="str">
        <f>IFERROR(VLOOKUP($B154,Miljövärden!$B$2:$H$550,7,FALSE),"Nej, saknas")</f>
        <v>Ja</v>
      </c>
      <c r="AQ154" s="31" t="str">
        <f>IFERROR(VLOOKUP($B154,Miljövärden!$B$2:$H$551,6,FALSE),"Nej, saknas")</f>
        <v>Nej</v>
      </c>
      <c r="AU154" s="31">
        <f t="shared" si="49"/>
        <v>0.17799999999999999</v>
      </c>
      <c r="AV154" s="31">
        <f t="shared" si="50"/>
        <v>0</v>
      </c>
      <c r="AW154" s="31">
        <f t="shared" si="51"/>
        <v>9.2789999999999999</v>
      </c>
      <c r="AX154" s="31">
        <f t="shared" si="52"/>
        <v>0</v>
      </c>
      <c r="AZ154" s="31">
        <f t="shared" si="53"/>
        <v>9.2789999999999999</v>
      </c>
      <c r="BC154" s="31">
        <f t="shared" si="54"/>
        <v>0.10199999999999999</v>
      </c>
      <c r="BD154" s="31">
        <f t="shared" si="55"/>
        <v>0</v>
      </c>
      <c r="BE154" s="31">
        <f t="shared" si="56"/>
        <v>9.2789999999999999</v>
      </c>
      <c r="BF154" s="31">
        <f t="shared" si="57"/>
        <v>0</v>
      </c>
      <c r="BG154" s="31">
        <f t="shared" si="58"/>
        <v>0.17799999999999999</v>
      </c>
      <c r="BH154" s="31">
        <f>VLOOKUP(B154,Miljö!$B$1:$BX$482,MATCH("Fossilandel för ursprungspecificerad el ()",Miljö!$B$1:$I$1,0),FALSE)</f>
        <v>0</v>
      </c>
      <c r="BI154" s="31">
        <f>VLOOKUP(B154,Miljö!$B$1:$BX$482,MATCH("Kärnkraftsandel för ursprungsspecificerad el ()",Miljö!$B$1:$O$1,0),FALSE)</f>
        <v>0</v>
      </c>
      <c r="BJ154" s="31">
        <f t="shared" si="59"/>
        <v>0</v>
      </c>
      <c r="BK154" s="31" t="str">
        <f>VLOOKUP(B154,Miljö!$B$1:$P$482,MATCH("Fossil andel i procent (%)",Miljö!$B$1:$P$1,0),FALSE)</f>
        <v>ET</v>
      </c>
      <c r="BL154" s="31">
        <f t="shared" si="60"/>
        <v>9.5590000000000011</v>
      </c>
      <c r="BO154" s="32">
        <f t="shared" si="61"/>
        <v>1.0670572235589496E-2</v>
      </c>
      <c r="BP154" s="32">
        <f t="shared" si="62"/>
        <v>0</v>
      </c>
      <c r="BQ154" s="32">
        <f t="shared" si="63"/>
        <v>0.98932942776441046</v>
      </c>
      <c r="BR154" s="32">
        <f t="shared" si="64"/>
        <v>0</v>
      </c>
      <c r="BT154" s="62">
        <f t="shared" si="65"/>
        <v>1</v>
      </c>
      <c r="BW154" s="32">
        <f>IF(AP154="Ja",VLOOKUP(B154,Miljövärden!$B$2:$H$551,MATCH("Total andel fossilt",Miljövärden!$B$2:$H$2,0),FALSE),"")</f>
        <v>1.0670600000000001E-2</v>
      </c>
      <c r="BX154" s="62">
        <f t="shared" si="66"/>
        <v>2.7764410505046189E-8</v>
      </c>
      <c r="BZ154" s="31">
        <f t="shared" si="67"/>
        <v>2.7764410505046189E-8</v>
      </c>
      <c r="CA154" s="32">
        <f t="shared" si="68"/>
        <v>0</v>
      </c>
    </row>
    <row r="155" spans="1:79" x14ac:dyDescent="0.45">
      <c r="A155" s="31" t="s">
        <v>478</v>
      </c>
      <c r="B155" s="31" t="s">
        <v>477</v>
      </c>
      <c r="C155" s="31">
        <f>VLOOKUP($B155,'Tillförd energi'!$B$1:$AI$720,MATCH(C$1,'Tillförd energi'!$B$1:$AQ$1,0),FALSE)</f>
        <v>0</v>
      </c>
      <c r="D155" s="31">
        <f>VLOOKUP($B155,'Tillförd energi'!$B$1:$AI$720,MATCH(D$1,'Tillförd energi'!$B$1:$AQ$1,0),FALSE)</f>
        <v>0.41976000000000002</v>
      </c>
      <c r="E155" s="31">
        <f>VLOOKUP($B155,'Tillförd energi'!$B$1:$AI$720,MATCH(E$1,'Tillförd energi'!$B$1:$AQ$1,0),FALSE)</f>
        <v>0</v>
      </c>
      <c r="F155" s="31">
        <f>VLOOKUP($B155,'Tillförd energi'!$B$1:$AI$720,MATCH(F$1,'Tillförd energi'!$B$1:$AQ$1,0),FALSE)</f>
        <v>0</v>
      </c>
      <c r="G155" s="31">
        <f>VLOOKUP($B155,'Tillförd energi'!$B$1:$AI$720,MATCH(G$1,'Tillförd energi'!$B$1:$AQ$1,0),FALSE)</f>
        <v>0</v>
      </c>
      <c r="H155" s="31">
        <f>VLOOKUP($B155,'Tillförd energi'!$B$1:$AI$720,MATCH(H$1,'Tillförd energi'!$B$1:$AQ$1,0),FALSE)</f>
        <v>0</v>
      </c>
      <c r="I155" s="31">
        <f>VLOOKUP($B155,'Tillförd energi'!$B$1:$AI$720,MATCH(I$1,'Tillförd energi'!$B$1:$AQ$1,0),FALSE)</f>
        <v>0</v>
      </c>
      <c r="J155" s="31">
        <f>VLOOKUP($B155,'Tillförd energi'!$B$1:$AI$720,MATCH(J$1,'Tillförd energi'!$B$1:$AQ$1,0),FALSE)</f>
        <v>0</v>
      </c>
      <c r="K155" s="31">
        <f>VLOOKUP($B155,'Tillförd energi'!$B$1:$AI$720,MATCH(K$1,'Tillförd energi'!$B$1:$AQ$1,0),FALSE)</f>
        <v>0</v>
      </c>
      <c r="L155" s="31">
        <f>VLOOKUP($B155,'Tillförd energi'!$B$1:$AI$720,MATCH(L$1,'Tillförd energi'!$B$1:$AQ$1,0),FALSE)</f>
        <v>0</v>
      </c>
      <c r="M155" s="31">
        <f>VLOOKUP($B155,'Tillförd energi'!$B$1:$AI$720,MATCH(M$1,'Tillförd energi'!$B$1:$AQ$1,0),FALSE)</f>
        <v>0</v>
      </c>
      <c r="N155" s="31">
        <f>VLOOKUP($B155,'Tillförd energi'!$B$1:$AI$720,MATCH(N$1,'Tillförd energi'!$B$1:$AQ$1,0),FALSE)</f>
        <v>0</v>
      </c>
      <c r="O155" s="31">
        <f>VLOOKUP($B155,'Tillförd energi'!$B$1:$AI$720,MATCH(O$1,'Tillförd energi'!$B$1:$AQ$1,0),FALSE)</f>
        <v>0</v>
      </c>
      <c r="P155" s="31">
        <f>VLOOKUP($B155,'Tillförd energi'!$B$1:$AI$720,MATCH(P$1,'Tillförd energi'!$B$1:$AQ$1,0),FALSE)</f>
        <v>0</v>
      </c>
      <c r="Q155" s="31">
        <f>VLOOKUP($B155,'Tillförd energi'!$B$1:$AI$720,MATCH(Q$1,'Tillförd energi'!$B$1:$AQ$1,0),FALSE)</f>
        <v>0</v>
      </c>
      <c r="R155" s="31">
        <f>VLOOKUP($B155,'Tillförd energi'!$B$1:$AI$720,MATCH(R$1,'Tillförd energi'!$B$1:$AQ$1,0),FALSE)</f>
        <v>3.6198199999999998</v>
      </c>
      <c r="S155" s="31">
        <f>VLOOKUP($B155,'Tillförd energi'!$B$1:$AI$720,MATCH(S$1,'Tillförd energi'!$B$1:$AQ$1,0),FALSE)</f>
        <v>33.264200000000002</v>
      </c>
      <c r="T155" s="31">
        <f>VLOOKUP($B155,'Tillförd energi'!$B$1:$AI$720,MATCH(T$1,'Tillförd energi'!$B$1:$AQ$1,0),FALSE)</f>
        <v>0</v>
      </c>
      <c r="U155" s="31">
        <f>VLOOKUP($B155,'Tillförd energi'!$B$1:$AI$720,MATCH(U$1,'Tillförd energi'!$B$1:$AQ$1,0),FALSE)</f>
        <v>0</v>
      </c>
      <c r="V155" s="31">
        <f>VLOOKUP($B155,'Tillförd energi'!$B$1:$AI$720,MATCH(V$1,'Tillförd energi'!$B$1:$AQ$1,0),FALSE)</f>
        <v>0</v>
      </c>
      <c r="W155" s="31">
        <f>VLOOKUP($B155,'Tillförd energi'!$B$1:$AI$720,MATCH(W$1,'Tillförd energi'!$B$1:$AQ$1,0),FALSE)</f>
        <v>0</v>
      </c>
      <c r="X155" s="31">
        <f>VLOOKUP($B155,'Tillförd energi'!$B$1:$AI$720,MATCH(X$1,'Tillförd energi'!$B$1:$AQ$1,0),FALSE)</f>
        <v>0</v>
      </c>
      <c r="Y155" s="31">
        <f>VLOOKUP($B155,'Tillförd energi'!$B$1:$AI$720,MATCH(Y$1,'Tillförd energi'!$B$1:$AQ$1,0),FALSE)</f>
        <v>0</v>
      </c>
      <c r="Z155" s="31">
        <f>VLOOKUP($B155,'Tillförd energi'!$B$1:$AI$720,MATCH(Z$1,'Tillförd energi'!$B$1:$AQ$1,0),FALSE)</f>
        <v>0</v>
      </c>
      <c r="AA155" s="31">
        <f>VLOOKUP($B155,'Tillförd energi'!$B$1:$AI$720,MATCH(AA$1,'Tillförd energi'!$B$1:$AQ$1,0),FALSE)</f>
        <v>0</v>
      </c>
      <c r="AB155" s="31">
        <f>VLOOKUP($B155,'Tillförd energi'!$B$1:$AI$720,MATCH(AB$1,'Tillförd energi'!$B$1:$AQ$1,0),FALSE)</f>
        <v>0</v>
      </c>
      <c r="AC155" s="31">
        <f>VLOOKUP($B155,'Tillförd energi'!$B$1:$AI$720,MATCH(AC$1,'Tillförd energi'!$B$1:$AQ$1,0),FALSE)</f>
        <v>0</v>
      </c>
      <c r="AD155" s="31">
        <f>VLOOKUP($B155,'Tillförd energi'!$B$1:$AI$720,MATCH(AD$1,'Tillförd energi'!$B$1:$AQ$1,0),FALSE)</f>
        <v>0</v>
      </c>
      <c r="AE155" s="31">
        <f>VLOOKUP($B155,'Tillförd energi'!$B$1:$AI$720,MATCH(AE$1,'Tillförd energi'!$B$1:$AQ$1,0),FALSE)</f>
        <v>0</v>
      </c>
      <c r="AF155" s="31">
        <f>VLOOKUP($B155,'Tillförd energi'!$B$1:$AI$720,MATCH(AF$1,'Tillförd energi'!$B$1:$AQ$1,0),FALSE)</f>
        <v>0.46800000000000003</v>
      </c>
      <c r="AG155" s="31">
        <f>IFERROR(VLOOKUP(B155,Miljö!$B$1:$AC$550,MATCH("Köpt mängd produktionsspecifik fjärrvärme:",Miljö!$B$1:$AC$1,0),FALSE)/1,0)</f>
        <v>0</v>
      </c>
      <c r="AI155" s="31">
        <f t="shared" si="46"/>
        <v>37.771780000000007</v>
      </c>
      <c r="AJ155" s="31">
        <f t="shared" si="47"/>
        <v>37.771780000000007</v>
      </c>
      <c r="AK155" s="31">
        <f>IF(ISERROR(1/VLOOKUP($B155,Leveranser!$B$1:$S$499,MATCH("Såld värme (GWh)",Leveranser!$B$1:$S$1,0),FALSE)),"",VLOOKUP($B155,Leveranser!$B$1:$S$499,MATCH("Såld värme (GWh)",Leveranser!$B$1:$S$1,0),FALSE))</f>
        <v>26.231999999999999</v>
      </c>
      <c r="AL155" s="31">
        <f>VLOOKUP($B155,Leveranser!$B$1:$Y$499,MATCH("Totalt såld fjärrvärme till andra fjärrvärmeföretag",Leveranser!$B$1:$AA$1,0),FALSE)</f>
        <v>0</v>
      </c>
      <c r="AM155" s="31">
        <f>IF(ISERROR(1/VLOOKUP($B155,Miljö!$B$1:$S$500,MATCH("Såld mängd produktionsspecifik fjärrvärme (GWh)",Miljö!$B$1:$R$1,0),FALSE)),0,VLOOKUP($B155,Miljö!$B$1:$S$500,MATCH("Såld mängd produktionsspecifik fjärrvärme (GWh)",Miljö!$B$1:$R$1,0),FALSE))</f>
        <v>0</v>
      </c>
      <c r="AN155" s="32">
        <f t="shared" si="48"/>
        <v>0.6944867305697533</v>
      </c>
      <c r="AP155" s="31" t="str">
        <f>IFERROR(VLOOKUP($B155,Miljövärden!$B$2:$H$550,7,FALSE),"Nej, saknas")</f>
        <v>Ja</v>
      </c>
      <c r="AQ155" s="31" t="str">
        <f>IFERROR(VLOOKUP($B155,Miljövärden!$B$2:$H$551,6,FALSE),"Nej, saknas")</f>
        <v>Ja</v>
      </c>
      <c r="AU155" s="31">
        <f t="shared" si="49"/>
        <v>0.46800000000000003</v>
      </c>
      <c r="AV155" s="31">
        <f t="shared" si="50"/>
        <v>0</v>
      </c>
      <c r="AW155" s="31">
        <f t="shared" si="51"/>
        <v>0</v>
      </c>
      <c r="AX155" s="31">
        <f t="shared" si="52"/>
        <v>36.88402</v>
      </c>
      <c r="AZ155" s="31">
        <f t="shared" si="53"/>
        <v>36.88402</v>
      </c>
      <c r="BC155" s="31">
        <f t="shared" si="54"/>
        <v>0.41976000000000002</v>
      </c>
      <c r="BD155" s="31">
        <f t="shared" si="55"/>
        <v>0</v>
      </c>
      <c r="BE155" s="31">
        <f t="shared" si="56"/>
        <v>36.88402</v>
      </c>
      <c r="BF155" s="31">
        <f t="shared" si="57"/>
        <v>0</v>
      </c>
      <c r="BG155" s="31">
        <f t="shared" si="58"/>
        <v>0.46800000000000003</v>
      </c>
      <c r="BH155" s="31">
        <f>VLOOKUP(B155,Miljö!$B$1:$BX$482,MATCH("Fossilandel för ursprungspecificerad el ()",Miljö!$B$1:$I$1,0),FALSE)</f>
        <v>0</v>
      </c>
      <c r="BI155" s="31">
        <f>VLOOKUP(B155,Miljö!$B$1:$BX$482,MATCH("Kärnkraftsandel för ursprungsspecificerad el ()",Miljö!$B$1:$O$1,0),FALSE)</f>
        <v>0</v>
      </c>
      <c r="BJ155" s="31">
        <f t="shared" si="59"/>
        <v>0</v>
      </c>
      <c r="BK155" s="31" t="str">
        <f>VLOOKUP(B155,Miljö!$B$1:$P$482,MATCH("Fossil andel i procent (%)",Miljö!$B$1:$P$1,0),FALSE)</f>
        <v>ET</v>
      </c>
      <c r="BL155" s="31">
        <f t="shared" si="60"/>
        <v>37.77178</v>
      </c>
      <c r="BO155" s="32">
        <f t="shared" si="61"/>
        <v>1.1113058479107948E-2</v>
      </c>
      <c r="BP155" s="32">
        <f t="shared" si="62"/>
        <v>0</v>
      </c>
      <c r="BQ155" s="32">
        <f t="shared" si="63"/>
        <v>0.98888694152089218</v>
      </c>
      <c r="BR155" s="32">
        <f t="shared" si="64"/>
        <v>0</v>
      </c>
      <c r="BT155" s="62">
        <f t="shared" si="65"/>
        <v>1.0000000000000002</v>
      </c>
      <c r="BW155" s="32">
        <f>IF(AP155="Ja",VLOOKUP(B155,Miljövärden!$B$2:$H$551,MATCH("Total andel fossilt",Miljövärden!$B$2:$H$2,0),FALSE),"")</f>
        <v>1.1113100000000001E-2</v>
      </c>
      <c r="BX155" s="62">
        <f t="shared" si="66"/>
        <v>4.1520892052684943E-8</v>
      </c>
      <c r="BZ155" s="31">
        <f t="shared" si="67"/>
        <v>4.1520892052684943E-8</v>
      </c>
      <c r="CA155" s="32">
        <f t="shared" si="68"/>
        <v>0</v>
      </c>
    </row>
    <row r="156" spans="1:79" hidden="1" x14ac:dyDescent="0.45">
      <c r="A156" s="31" t="s">
        <v>476</v>
      </c>
      <c r="B156" s="31" t="s">
        <v>89</v>
      </c>
      <c r="C156" s="31">
        <f>VLOOKUP($B156,'Tillförd energi'!$B$1:$AI$720,MATCH(C$1,'Tillförd energi'!$B$1:$AQ$1,0),FALSE)</f>
        <v>0</v>
      </c>
      <c r="D156" s="31">
        <f>VLOOKUP($B156,'Tillförd energi'!$B$1:$AI$720,MATCH(D$1,'Tillförd energi'!$B$1:$AQ$1,0),FALSE)</f>
        <v>0</v>
      </c>
      <c r="E156" s="31">
        <f>VLOOKUP($B156,'Tillförd energi'!$B$1:$AI$720,MATCH(E$1,'Tillförd energi'!$B$1:$AQ$1,0),FALSE)</f>
        <v>0</v>
      </c>
      <c r="F156" s="31">
        <f>VLOOKUP($B156,'Tillförd energi'!$B$1:$AI$720,MATCH(F$1,'Tillförd energi'!$B$1:$AQ$1,0),FALSE)</f>
        <v>0</v>
      </c>
      <c r="G156" s="31">
        <f>VLOOKUP($B156,'Tillförd energi'!$B$1:$AI$720,MATCH(G$1,'Tillförd energi'!$B$1:$AQ$1,0),FALSE)</f>
        <v>0</v>
      </c>
      <c r="H156" s="31">
        <f>VLOOKUP($B156,'Tillförd energi'!$B$1:$AI$720,MATCH(H$1,'Tillförd energi'!$B$1:$AQ$1,0),FALSE)</f>
        <v>0</v>
      </c>
      <c r="I156" s="31">
        <f>VLOOKUP($B156,'Tillförd energi'!$B$1:$AI$720,MATCH(I$1,'Tillförd energi'!$B$1:$AQ$1,0),FALSE)</f>
        <v>0</v>
      </c>
      <c r="J156" s="31">
        <f>VLOOKUP($B156,'Tillförd energi'!$B$1:$AI$720,MATCH(J$1,'Tillförd energi'!$B$1:$AQ$1,0),FALSE)</f>
        <v>0</v>
      </c>
      <c r="K156" s="31">
        <f>VLOOKUP($B156,'Tillförd energi'!$B$1:$AI$720,MATCH(K$1,'Tillförd energi'!$B$1:$AQ$1,0),FALSE)</f>
        <v>0</v>
      </c>
      <c r="L156" s="31">
        <f>VLOOKUP($B156,'Tillförd energi'!$B$1:$AI$720,MATCH(L$1,'Tillförd energi'!$B$1:$AQ$1,0),FALSE)</f>
        <v>0</v>
      </c>
      <c r="M156" s="31">
        <f>VLOOKUP($B156,'Tillförd energi'!$B$1:$AI$720,MATCH(M$1,'Tillförd energi'!$B$1:$AQ$1,0),FALSE)</f>
        <v>0</v>
      </c>
      <c r="N156" s="31">
        <f>VLOOKUP($B156,'Tillförd energi'!$B$1:$AI$720,MATCH(N$1,'Tillförd energi'!$B$1:$AQ$1,0),FALSE)</f>
        <v>0</v>
      </c>
      <c r="O156" s="31">
        <f>VLOOKUP($B156,'Tillförd energi'!$B$1:$AI$720,MATCH(O$1,'Tillförd energi'!$B$1:$AQ$1,0),FALSE)</f>
        <v>0</v>
      </c>
      <c r="P156" s="31">
        <f>VLOOKUP($B156,'Tillförd energi'!$B$1:$AI$720,MATCH(P$1,'Tillförd energi'!$B$1:$AQ$1,0),FALSE)</f>
        <v>0</v>
      </c>
      <c r="Q156" s="31">
        <f>VLOOKUP($B156,'Tillförd energi'!$B$1:$AI$720,MATCH(Q$1,'Tillförd energi'!$B$1:$AQ$1,0),FALSE)</f>
        <v>0</v>
      </c>
      <c r="R156" s="31">
        <f>VLOOKUP($B156,'Tillförd energi'!$B$1:$AI$720,MATCH(R$1,'Tillförd energi'!$B$1:$AQ$1,0),FALSE)</f>
        <v>0</v>
      </c>
      <c r="S156" s="31">
        <f>VLOOKUP($B156,'Tillförd energi'!$B$1:$AI$720,MATCH(S$1,'Tillförd energi'!$B$1:$AQ$1,0),FALSE)</f>
        <v>0</v>
      </c>
      <c r="T156" s="31">
        <f>VLOOKUP($B156,'Tillförd energi'!$B$1:$AI$720,MATCH(T$1,'Tillförd energi'!$B$1:$AQ$1,0),FALSE)</f>
        <v>0</v>
      </c>
      <c r="U156" s="31">
        <f>VLOOKUP($B156,'Tillförd energi'!$B$1:$AI$720,MATCH(U$1,'Tillförd energi'!$B$1:$AQ$1,0),FALSE)</f>
        <v>0</v>
      </c>
      <c r="V156" s="31">
        <f>VLOOKUP($B156,'Tillförd energi'!$B$1:$AI$720,MATCH(V$1,'Tillförd energi'!$B$1:$AQ$1,0),FALSE)</f>
        <v>0</v>
      </c>
      <c r="W156" s="31">
        <f>VLOOKUP($B156,'Tillförd energi'!$B$1:$AI$720,MATCH(W$1,'Tillförd energi'!$B$1:$AQ$1,0),FALSE)</f>
        <v>0</v>
      </c>
      <c r="X156" s="31">
        <f>VLOOKUP($B156,'Tillförd energi'!$B$1:$AI$720,MATCH(X$1,'Tillförd energi'!$B$1:$AQ$1,0),FALSE)</f>
        <v>0</v>
      </c>
      <c r="Y156" s="31">
        <f>VLOOKUP($B156,'Tillförd energi'!$B$1:$AI$720,MATCH(Y$1,'Tillförd energi'!$B$1:$AQ$1,0),FALSE)</f>
        <v>0</v>
      </c>
      <c r="Z156" s="31">
        <f>VLOOKUP($B156,'Tillförd energi'!$B$1:$AI$720,MATCH(Z$1,'Tillförd energi'!$B$1:$AQ$1,0),FALSE)</f>
        <v>0</v>
      </c>
      <c r="AA156" s="31">
        <f>VLOOKUP($B156,'Tillförd energi'!$B$1:$AI$720,MATCH(AA$1,'Tillförd energi'!$B$1:$AQ$1,0),FALSE)</f>
        <v>0</v>
      </c>
      <c r="AB156" s="31">
        <f>VLOOKUP($B156,'Tillförd energi'!$B$1:$AI$720,MATCH(AB$1,'Tillförd energi'!$B$1:$AQ$1,0),FALSE)</f>
        <v>0</v>
      </c>
      <c r="AC156" s="31">
        <f>VLOOKUP($B156,'Tillförd energi'!$B$1:$AI$720,MATCH(AC$1,'Tillförd energi'!$B$1:$AQ$1,0),FALSE)</f>
        <v>0</v>
      </c>
      <c r="AD156" s="31">
        <f>VLOOKUP($B156,'Tillförd energi'!$B$1:$AI$720,MATCH(AD$1,'Tillförd energi'!$B$1:$AQ$1,0),FALSE)</f>
        <v>0</v>
      </c>
      <c r="AE156" s="31">
        <f>VLOOKUP($B156,'Tillförd energi'!$B$1:$AI$720,MATCH(AE$1,'Tillförd energi'!$B$1:$AQ$1,0),FALSE)</f>
        <v>0</v>
      </c>
      <c r="AF156" s="31">
        <f>VLOOKUP($B156,'Tillförd energi'!$B$1:$AI$720,MATCH(AF$1,'Tillförd energi'!$B$1:$AQ$1,0),FALSE)</f>
        <v>0</v>
      </c>
      <c r="AG156" s="31">
        <f>IFERROR(VLOOKUP(B156,Miljö!$B$1:$AC$550,MATCH("Köpt mängd produktionsspecifik fjärrvärme:",Miljö!$B$1:$AC$1,0),FALSE)/1,0)</f>
        <v>0</v>
      </c>
      <c r="AI156" s="31">
        <f t="shared" si="46"/>
        <v>0</v>
      </c>
      <c r="AJ156" s="31">
        <f t="shared" si="47"/>
        <v>0</v>
      </c>
      <c r="AK156" s="31" t="str">
        <f>IF(ISERROR(1/VLOOKUP($B156,Leveranser!$B$1:$S$499,MATCH("Såld värme (GWh)",Leveranser!$B$1:$S$1,0),FALSE)),"",VLOOKUP($B156,Leveranser!$B$1:$S$499,MATCH("Såld värme (GWh)",Leveranser!$B$1:$S$1,0),FALSE))</f>
        <v/>
      </c>
      <c r="AL156" s="31">
        <f>VLOOKUP($B156,Leveranser!$B$1:$Y$499,MATCH("Totalt såld fjärrvärme till andra fjärrvärmeföretag",Leveranser!$B$1:$AA$1,0),FALSE)</f>
        <v>0</v>
      </c>
      <c r="AM156" s="31">
        <f>IF(ISERROR(1/VLOOKUP($B156,Miljö!$B$1:$S$500,MATCH("Såld mängd produktionsspecifik fjärrvärme (GWh)",Miljö!$B$1:$R$1,0),FALSE)),0,VLOOKUP($B156,Miljö!$B$1:$S$500,MATCH("Såld mängd produktionsspecifik fjärrvärme (GWh)",Miljö!$B$1:$R$1,0),FALSE))</f>
        <v>0</v>
      </c>
      <c r="AN156" s="32" t="str">
        <f t="shared" si="48"/>
        <v/>
      </c>
      <c r="AP156" s="31" t="str">
        <f>IFERROR(VLOOKUP($B156,Miljövärden!$B$2:$H$550,7,FALSE),"Nej, saknas")</f>
        <v>Nej</v>
      </c>
      <c r="AQ156" s="31" t="str">
        <f>IFERROR(VLOOKUP($B156,Miljövärden!$B$2:$H$551,6,FALSE),"Nej, saknas")</f>
        <v>Nej</v>
      </c>
      <c r="AU156" s="31">
        <f t="shared" si="49"/>
        <v>0</v>
      </c>
      <c r="AV156" s="31">
        <f t="shared" si="50"/>
        <v>0</v>
      </c>
      <c r="AW156" s="31">
        <f t="shared" si="51"/>
        <v>0</v>
      </c>
      <c r="AX156" s="31">
        <f t="shared" si="52"/>
        <v>0</v>
      </c>
      <c r="AZ156" s="31">
        <f t="shared" si="53"/>
        <v>0</v>
      </c>
      <c r="BC156" s="31">
        <f t="shared" si="54"/>
        <v>0</v>
      </c>
      <c r="BD156" s="31">
        <f t="shared" si="55"/>
        <v>0</v>
      </c>
      <c r="BE156" s="31">
        <f t="shared" si="56"/>
        <v>0</v>
      </c>
      <c r="BF156" s="31">
        <f t="shared" si="57"/>
        <v>0</v>
      </c>
      <c r="BG156" s="31">
        <f t="shared" si="58"/>
        <v>0</v>
      </c>
      <c r="BH156" s="31" t="str">
        <f>VLOOKUP(B156,Miljö!$B$1:$BX$482,MATCH("Fossilandel för ursprungspecificerad el ()",Miljö!$B$1:$I$1,0),FALSE)</f>
        <v>-</v>
      </c>
      <c r="BI156" s="31" t="str">
        <f>VLOOKUP(B156,Miljö!$B$1:$BX$482,MATCH("Kärnkraftsandel för ursprungsspecificerad el ()",Miljö!$B$1:$O$1,0),FALSE)</f>
        <v>-</v>
      </c>
      <c r="BJ156" s="31">
        <f t="shared" si="59"/>
        <v>0</v>
      </c>
      <c r="BK156" s="31" t="str">
        <f>VLOOKUP(B156,Miljö!$B$1:$P$482,MATCH("Fossil andel i procent (%)",Miljö!$B$1:$P$1,0),FALSE)</f>
        <v>-</v>
      </c>
      <c r="BL156" s="31">
        <f t="shared" si="60"/>
        <v>0</v>
      </c>
      <c r="BO156" s="32" t="str">
        <f t="shared" si="61"/>
        <v/>
      </c>
      <c r="BP156" s="32" t="str">
        <f t="shared" si="62"/>
        <v/>
      </c>
      <c r="BQ156" s="32" t="str">
        <f t="shared" si="63"/>
        <v/>
      </c>
      <c r="BR156" s="32" t="str">
        <f t="shared" si="64"/>
        <v/>
      </c>
      <c r="BT156" s="62">
        <f t="shared" si="65"/>
        <v>0</v>
      </c>
      <c r="BW156" s="32" t="str">
        <f>IF(AP156="Ja",VLOOKUP(B156,Miljövärden!$B$2:$H$551,MATCH("Total andel fossilt",Miljövärden!$B$2:$H$2,0),FALSE),"")</f>
        <v/>
      </c>
      <c r="BX156" s="62" t="e">
        <f t="shared" si="66"/>
        <v>#VALUE!</v>
      </c>
      <c r="BZ156" s="31" t="str">
        <f t="shared" si="67"/>
        <v/>
      </c>
      <c r="CA156" s="32" t="str">
        <f t="shared" si="68"/>
        <v/>
      </c>
    </row>
    <row r="157" spans="1:79" x14ac:dyDescent="0.45">
      <c r="A157" s="31" t="s">
        <v>472</v>
      </c>
      <c r="B157" s="31" t="s">
        <v>475</v>
      </c>
      <c r="C157" s="31">
        <f>VLOOKUP($B157,'Tillförd energi'!$B$1:$AI$720,MATCH(C$1,'Tillförd energi'!$B$1:$AQ$1,0),FALSE)</f>
        <v>0</v>
      </c>
      <c r="D157" s="31">
        <f>VLOOKUP($B157,'Tillförd energi'!$B$1:$AI$720,MATCH(D$1,'Tillförd energi'!$B$1:$AQ$1,0),FALSE)</f>
        <v>0.51600000000000001</v>
      </c>
      <c r="E157" s="31">
        <f>VLOOKUP($B157,'Tillförd energi'!$B$1:$AI$720,MATCH(E$1,'Tillförd energi'!$B$1:$AQ$1,0),FALSE)</f>
        <v>0</v>
      </c>
      <c r="F157" s="31">
        <f>VLOOKUP($B157,'Tillförd energi'!$B$1:$AI$720,MATCH(F$1,'Tillförd energi'!$B$1:$AQ$1,0),FALSE)</f>
        <v>0</v>
      </c>
      <c r="G157" s="31">
        <f>VLOOKUP($B157,'Tillförd energi'!$B$1:$AI$720,MATCH(G$1,'Tillförd energi'!$B$1:$AQ$1,0),FALSE)</f>
        <v>0</v>
      </c>
      <c r="H157" s="31">
        <f>VLOOKUP($B157,'Tillförd energi'!$B$1:$AI$720,MATCH(H$1,'Tillförd energi'!$B$1:$AQ$1,0),FALSE)</f>
        <v>0</v>
      </c>
      <c r="I157" s="31">
        <f>VLOOKUP($B157,'Tillförd energi'!$B$1:$AI$720,MATCH(I$1,'Tillförd energi'!$B$1:$AQ$1,0),FALSE)</f>
        <v>0</v>
      </c>
      <c r="J157" s="31">
        <f>VLOOKUP($B157,'Tillförd energi'!$B$1:$AI$720,MATCH(J$1,'Tillförd energi'!$B$1:$AQ$1,0),FALSE)</f>
        <v>0</v>
      </c>
      <c r="K157" s="31">
        <f>VLOOKUP($B157,'Tillförd energi'!$B$1:$AI$720,MATCH(K$1,'Tillförd energi'!$B$1:$AQ$1,0),FALSE)</f>
        <v>0</v>
      </c>
      <c r="L157" s="31">
        <f>VLOOKUP($B157,'Tillförd energi'!$B$1:$AI$720,MATCH(L$1,'Tillförd energi'!$B$1:$AQ$1,0),FALSE)</f>
        <v>0</v>
      </c>
      <c r="M157" s="31">
        <f>VLOOKUP($B157,'Tillförd energi'!$B$1:$AI$720,MATCH(M$1,'Tillförd energi'!$B$1:$AQ$1,0),FALSE)</f>
        <v>0</v>
      </c>
      <c r="N157" s="31">
        <f>VLOOKUP($B157,'Tillförd energi'!$B$1:$AI$720,MATCH(N$1,'Tillförd energi'!$B$1:$AQ$1,0),FALSE)</f>
        <v>0</v>
      </c>
      <c r="O157" s="31">
        <f>VLOOKUP($B157,'Tillförd energi'!$B$1:$AI$720,MATCH(O$1,'Tillförd energi'!$B$1:$AQ$1,0),FALSE)</f>
        <v>0</v>
      </c>
      <c r="P157" s="31">
        <f>VLOOKUP($B157,'Tillförd energi'!$B$1:$AI$720,MATCH(P$1,'Tillförd energi'!$B$1:$AQ$1,0),FALSE)</f>
        <v>7.82</v>
      </c>
      <c r="Q157" s="31">
        <f>VLOOKUP($B157,'Tillförd energi'!$B$1:$AI$720,MATCH(Q$1,'Tillförd energi'!$B$1:$AQ$1,0),FALSE)</f>
        <v>0</v>
      </c>
      <c r="R157" s="31">
        <f>VLOOKUP($B157,'Tillförd energi'!$B$1:$AI$720,MATCH(R$1,'Tillförd energi'!$B$1:$AQ$1,0),FALSE)</f>
        <v>0</v>
      </c>
      <c r="S157" s="31">
        <f>VLOOKUP($B157,'Tillförd energi'!$B$1:$AI$720,MATCH(S$1,'Tillförd energi'!$B$1:$AQ$1,0),FALSE)</f>
        <v>0</v>
      </c>
      <c r="T157" s="31">
        <f>VLOOKUP($B157,'Tillförd energi'!$B$1:$AI$720,MATCH(T$1,'Tillförd energi'!$B$1:$AQ$1,0),FALSE)</f>
        <v>0</v>
      </c>
      <c r="U157" s="31">
        <f>VLOOKUP($B157,'Tillförd energi'!$B$1:$AI$720,MATCH(U$1,'Tillförd energi'!$B$1:$AQ$1,0),FALSE)</f>
        <v>0</v>
      </c>
      <c r="V157" s="31">
        <f>VLOOKUP($B157,'Tillförd energi'!$B$1:$AI$720,MATCH(V$1,'Tillförd energi'!$B$1:$AQ$1,0),FALSE)</f>
        <v>0</v>
      </c>
      <c r="W157" s="31">
        <f>VLOOKUP($B157,'Tillförd energi'!$B$1:$AI$720,MATCH(W$1,'Tillförd energi'!$B$1:$AQ$1,0),FALSE)</f>
        <v>0</v>
      </c>
      <c r="X157" s="31">
        <f>VLOOKUP($B157,'Tillförd energi'!$B$1:$AI$720,MATCH(X$1,'Tillförd energi'!$B$1:$AQ$1,0),FALSE)</f>
        <v>0</v>
      </c>
      <c r="Y157" s="31">
        <f>VLOOKUP($B157,'Tillförd energi'!$B$1:$AI$720,MATCH(Y$1,'Tillförd energi'!$B$1:$AQ$1,0),FALSE)</f>
        <v>0</v>
      </c>
      <c r="Z157" s="31">
        <f>VLOOKUP($B157,'Tillförd energi'!$B$1:$AI$720,MATCH(Z$1,'Tillförd energi'!$B$1:$AQ$1,0),FALSE)</f>
        <v>0</v>
      </c>
      <c r="AA157" s="31">
        <f>VLOOKUP($B157,'Tillförd energi'!$B$1:$AI$720,MATCH(AA$1,'Tillförd energi'!$B$1:$AQ$1,0),FALSE)</f>
        <v>0</v>
      </c>
      <c r="AB157" s="31">
        <f>VLOOKUP($B157,'Tillförd energi'!$B$1:$AI$720,MATCH(AB$1,'Tillförd energi'!$B$1:$AQ$1,0),FALSE)</f>
        <v>0</v>
      </c>
      <c r="AC157" s="31">
        <f>VLOOKUP($B157,'Tillförd energi'!$B$1:$AI$720,MATCH(AC$1,'Tillförd energi'!$B$1:$AQ$1,0),FALSE)</f>
        <v>0</v>
      </c>
      <c r="AD157" s="31">
        <f>VLOOKUP($B157,'Tillförd energi'!$B$1:$AI$720,MATCH(AD$1,'Tillförd energi'!$B$1:$AQ$1,0),FALSE)</f>
        <v>0</v>
      </c>
      <c r="AE157" s="31">
        <f>VLOOKUP($B157,'Tillförd energi'!$B$1:$AI$720,MATCH(AE$1,'Tillförd energi'!$B$1:$AQ$1,0),FALSE)</f>
        <v>0</v>
      </c>
      <c r="AF157" s="31">
        <f>VLOOKUP($B157,'Tillförd energi'!$B$1:$AI$720,MATCH(AF$1,'Tillförd energi'!$B$1:$AQ$1,0),FALSE)</f>
        <v>0.17199999999999999</v>
      </c>
      <c r="AG157" s="31">
        <f>IFERROR(VLOOKUP(B157,Miljö!$B$1:$AC$550,MATCH("Köpt mängd produktionsspecifik fjärrvärme:",Miljö!$B$1:$AC$1,0),FALSE)/1,0)</f>
        <v>0</v>
      </c>
      <c r="AI157" s="31">
        <f t="shared" si="46"/>
        <v>8.5080000000000009</v>
      </c>
      <c r="AJ157" s="31">
        <f t="shared" si="47"/>
        <v>8.5080000000000009</v>
      </c>
      <c r="AK157" s="31">
        <f>IF(ISERROR(1/VLOOKUP($B157,Leveranser!$B$1:$S$499,MATCH("Såld värme (GWh)",Leveranser!$B$1:$S$1,0),FALSE)),"",VLOOKUP($B157,Leveranser!$B$1:$S$499,MATCH("Såld värme (GWh)",Leveranser!$B$1:$S$1,0),FALSE))</f>
        <v>7.47</v>
      </c>
      <c r="AL157" s="31">
        <f>VLOOKUP($B157,Leveranser!$B$1:$Y$499,MATCH("Totalt såld fjärrvärme till andra fjärrvärmeföretag",Leveranser!$B$1:$AA$1,0),FALSE)</f>
        <v>0</v>
      </c>
      <c r="AM157" s="31">
        <f>IF(ISERROR(1/VLOOKUP($B157,Miljö!$B$1:$S$500,MATCH("Såld mängd produktionsspecifik fjärrvärme (GWh)",Miljö!$B$1:$R$1,0),FALSE)),0,VLOOKUP($B157,Miljö!$B$1:$S$500,MATCH("Såld mängd produktionsspecifik fjärrvärme (GWh)",Miljö!$B$1:$R$1,0),FALSE))</f>
        <v>0</v>
      </c>
      <c r="AN157" s="32">
        <f t="shared" si="48"/>
        <v>0.87799717912552877</v>
      </c>
      <c r="AP157" s="31" t="str">
        <f>IFERROR(VLOOKUP($B157,Miljövärden!$B$2:$H$550,7,FALSE),"Nej, saknas")</f>
        <v>Ja</v>
      </c>
      <c r="AQ157" s="31" t="str">
        <f>IFERROR(VLOOKUP($B157,Miljövärden!$B$2:$H$551,6,FALSE),"Nej, saknas")</f>
        <v>Ja</v>
      </c>
      <c r="AU157" s="31">
        <f t="shared" si="49"/>
        <v>0.17199999999999999</v>
      </c>
      <c r="AV157" s="31">
        <f t="shared" si="50"/>
        <v>0</v>
      </c>
      <c r="AW157" s="31">
        <f t="shared" si="51"/>
        <v>7.82</v>
      </c>
      <c r="AX157" s="31">
        <f t="shared" si="52"/>
        <v>0</v>
      </c>
      <c r="AZ157" s="31">
        <f t="shared" si="53"/>
        <v>7.82</v>
      </c>
      <c r="BC157" s="31">
        <f t="shared" si="54"/>
        <v>0.51600000000000001</v>
      </c>
      <c r="BD157" s="31">
        <f t="shared" si="55"/>
        <v>0</v>
      </c>
      <c r="BE157" s="31">
        <f t="shared" si="56"/>
        <v>7.82</v>
      </c>
      <c r="BF157" s="31">
        <f t="shared" si="57"/>
        <v>0</v>
      </c>
      <c r="BG157" s="31">
        <f t="shared" si="58"/>
        <v>0.17199999999999999</v>
      </c>
      <c r="BH157" s="31">
        <f>VLOOKUP(B157,Miljö!$B$1:$BX$482,MATCH("Fossilandel för ursprungspecificerad el ()",Miljö!$B$1:$I$1,0),FALSE)</f>
        <v>0</v>
      </c>
      <c r="BI157" s="31">
        <f>VLOOKUP(B157,Miljö!$B$1:$BX$482,MATCH("Kärnkraftsandel för ursprungsspecificerad el ()",Miljö!$B$1:$O$1,0),FALSE)</f>
        <v>0</v>
      </c>
      <c r="BJ157" s="31">
        <f t="shared" si="59"/>
        <v>0</v>
      </c>
      <c r="BK157" s="31" t="str">
        <f>VLOOKUP(B157,Miljö!$B$1:$P$482,MATCH("Fossil andel i procent (%)",Miljö!$B$1:$P$1,0),FALSE)</f>
        <v>ET</v>
      </c>
      <c r="BL157" s="31">
        <f t="shared" si="60"/>
        <v>8.5080000000000009</v>
      </c>
      <c r="BO157" s="32">
        <f t="shared" si="61"/>
        <v>6.0648801128349784E-2</v>
      </c>
      <c r="BP157" s="32">
        <f t="shared" si="62"/>
        <v>0</v>
      </c>
      <c r="BQ157" s="32">
        <f t="shared" si="63"/>
        <v>0.93935119887165008</v>
      </c>
      <c r="BR157" s="32">
        <f t="shared" si="64"/>
        <v>0</v>
      </c>
      <c r="BT157" s="62">
        <f t="shared" si="65"/>
        <v>0.99999999999999989</v>
      </c>
      <c r="BW157" s="32">
        <f>IF(AP157="Ja",VLOOKUP(B157,Miljövärden!$B$2:$H$551,MATCH("Total andel fossilt",Miljövärden!$B$2:$H$2,0),FALSE),"")</f>
        <v>6.0648800000000003E-2</v>
      </c>
      <c r="BX157" s="62">
        <f t="shared" si="66"/>
        <v>-1.1283497816649835E-9</v>
      </c>
      <c r="BZ157" s="31">
        <f t="shared" si="67"/>
        <v>-1.1283497816649835E-9</v>
      </c>
      <c r="CA157" s="32">
        <f t="shared" si="68"/>
        <v>0</v>
      </c>
    </row>
    <row r="158" spans="1:79" x14ac:dyDescent="0.45">
      <c r="A158" s="31" t="s">
        <v>472</v>
      </c>
      <c r="B158" s="31" t="s">
        <v>474</v>
      </c>
      <c r="C158" s="31">
        <f>VLOOKUP($B158,'Tillförd energi'!$B$1:$AI$720,MATCH(C$1,'Tillförd energi'!$B$1:$AQ$1,0),FALSE)</f>
        <v>0</v>
      </c>
      <c r="D158" s="31">
        <f>VLOOKUP($B158,'Tillförd energi'!$B$1:$AI$720,MATCH(D$1,'Tillförd energi'!$B$1:$AQ$1,0),FALSE)</f>
        <v>0.23499999999999999</v>
      </c>
      <c r="E158" s="31">
        <f>VLOOKUP($B158,'Tillförd energi'!$B$1:$AI$720,MATCH(E$1,'Tillförd energi'!$B$1:$AQ$1,0),FALSE)</f>
        <v>0</v>
      </c>
      <c r="F158" s="31">
        <f>VLOOKUP($B158,'Tillförd energi'!$B$1:$AI$720,MATCH(F$1,'Tillförd energi'!$B$1:$AQ$1,0),FALSE)</f>
        <v>0</v>
      </c>
      <c r="G158" s="31">
        <f>VLOOKUP($B158,'Tillförd energi'!$B$1:$AI$720,MATCH(G$1,'Tillförd energi'!$B$1:$AQ$1,0),FALSE)</f>
        <v>0</v>
      </c>
      <c r="H158" s="31">
        <f>VLOOKUP($B158,'Tillförd energi'!$B$1:$AI$720,MATCH(H$1,'Tillförd energi'!$B$1:$AQ$1,0),FALSE)</f>
        <v>0</v>
      </c>
      <c r="I158" s="31">
        <f>VLOOKUP($B158,'Tillförd energi'!$B$1:$AI$720,MATCH(I$1,'Tillförd energi'!$B$1:$AQ$1,0),FALSE)</f>
        <v>0</v>
      </c>
      <c r="J158" s="31">
        <f>VLOOKUP($B158,'Tillförd energi'!$B$1:$AI$720,MATCH(J$1,'Tillförd energi'!$B$1:$AQ$1,0),FALSE)</f>
        <v>0</v>
      </c>
      <c r="K158" s="31">
        <f>VLOOKUP($B158,'Tillförd energi'!$B$1:$AI$720,MATCH(K$1,'Tillförd energi'!$B$1:$AQ$1,0),FALSE)</f>
        <v>0</v>
      </c>
      <c r="L158" s="31">
        <f>VLOOKUP($B158,'Tillförd energi'!$B$1:$AI$720,MATCH(L$1,'Tillförd energi'!$B$1:$AQ$1,0),FALSE)</f>
        <v>0</v>
      </c>
      <c r="M158" s="31">
        <f>VLOOKUP($B158,'Tillförd energi'!$B$1:$AI$720,MATCH(M$1,'Tillförd energi'!$B$1:$AQ$1,0),FALSE)</f>
        <v>0</v>
      </c>
      <c r="N158" s="31">
        <f>VLOOKUP($B158,'Tillförd energi'!$B$1:$AI$720,MATCH(N$1,'Tillförd energi'!$B$1:$AQ$1,0),FALSE)</f>
        <v>0</v>
      </c>
      <c r="O158" s="31">
        <f>VLOOKUP($B158,'Tillförd energi'!$B$1:$AI$720,MATCH(O$1,'Tillförd energi'!$B$1:$AQ$1,0),FALSE)</f>
        <v>0</v>
      </c>
      <c r="P158" s="31">
        <f>VLOOKUP($B158,'Tillförd energi'!$B$1:$AI$720,MATCH(P$1,'Tillförd energi'!$B$1:$AQ$1,0),FALSE)</f>
        <v>0</v>
      </c>
      <c r="Q158" s="31">
        <f>VLOOKUP($B158,'Tillförd energi'!$B$1:$AI$720,MATCH(Q$1,'Tillförd energi'!$B$1:$AQ$1,0),FALSE)</f>
        <v>0</v>
      </c>
      <c r="R158" s="31">
        <f>VLOOKUP($B158,'Tillförd energi'!$B$1:$AI$720,MATCH(R$1,'Tillförd energi'!$B$1:$AQ$1,0),FALSE)</f>
        <v>3.57</v>
      </c>
      <c r="S158" s="31">
        <f>VLOOKUP($B158,'Tillförd energi'!$B$1:$AI$720,MATCH(S$1,'Tillförd energi'!$B$1:$AQ$1,0),FALSE)</f>
        <v>8.31</v>
      </c>
      <c r="T158" s="31">
        <f>VLOOKUP($B158,'Tillförd energi'!$B$1:$AI$720,MATCH(T$1,'Tillförd energi'!$B$1:$AQ$1,0),FALSE)</f>
        <v>0</v>
      </c>
      <c r="U158" s="31">
        <f>VLOOKUP($B158,'Tillförd energi'!$B$1:$AI$720,MATCH(U$1,'Tillförd energi'!$B$1:$AQ$1,0),FALSE)</f>
        <v>0</v>
      </c>
      <c r="V158" s="31">
        <f>VLOOKUP($B158,'Tillförd energi'!$B$1:$AI$720,MATCH(V$1,'Tillförd energi'!$B$1:$AQ$1,0),FALSE)</f>
        <v>0</v>
      </c>
      <c r="W158" s="31">
        <f>VLOOKUP($B158,'Tillförd energi'!$B$1:$AI$720,MATCH(W$1,'Tillförd energi'!$B$1:$AQ$1,0),FALSE)</f>
        <v>0</v>
      </c>
      <c r="X158" s="31">
        <f>VLOOKUP($B158,'Tillförd energi'!$B$1:$AI$720,MATCH(X$1,'Tillförd energi'!$B$1:$AQ$1,0),FALSE)</f>
        <v>0</v>
      </c>
      <c r="Y158" s="31">
        <f>VLOOKUP($B158,'Tillförd energi'!$B$1:$AI$720,MATCH(Y$1,'Tillförd energi'!$B$1:$AQ$1,0),FALSE)</f>
        <v>0</v>
      </c>
      <c r="Z158" s="31">
        <f>VLOOKUP($B158,'Tillförd energi'!$B$1:$AI$720,MATCH(Z$1,'Tillförd energi'!$B$1:$AQ$1,0),FALSE)</f>
        <v>0</v>
      </c>
      <c r="AA158" s="31">
        <f>VLOOKUP($B158,'Tillförd energi'!$B$1:$AI$720,MATCH(AA$1,'Tillförd energi'!$B$1:$AQ$1,0),FALSE)</f>
        <v>0</v>
      </c>
      <c r="AB158" s="31">
        <f>VLOOKUP($B158,'Tillförd energi'!$B$1:$AI$720,MATCH(AB$1,'Tillförd energi'!$B$1:$AQ$1,0),FALSE)</f>
        <v>0</v>
      </c>
      <c r="AC158" s="31">
        <f>VLOOKUP($B158,'Tillförd energi'!$B$1:$AI$720,MATCH(AC$1,'Tillförd energi'!$B$1:$AQ$1,0),FALSE)</f>
        <v>0</v>
      </c>
      <c r="AD158" s="31">
        <f>VLOOKUP($B158,'Tillförd energi'!$B$1:$AI$720,MATCH(AD$1,'Tillförd energi'!$B$1:$AQ$1,0),FALSE)</f>
        <v>0</v>
      </c>
      <c r="AE158" s="31">
        <f>VLOOKUP($B158,'Tillförd energi'!$B$1:$AI$720,MATCH(AE$1,'Tillförd energi'!$B$1:$AQ$1,0),FALSE)</f>
        <v>0</v>
      </c>
      <c r="AF158" s="31">
        <f>VLOOKUP($B158,'Tillförd energi'!$B$1:$AI$720,MATCH(AF$1,'Tillförd energi'!$B$1:$AQ$1,0),FALSE)</f>
        <v>0.22600000000000001</v>
      </c>
      <c r="AG158" s="31">
        <f>IFERROR(VLOOKUP(B158,Miljö!$B$1:$AC$550,MATCH("Köpt mängd produktionsspecifik fjärrvärme:",Miljö!$B$1:$AC$1,0),FALSE)/1,0)</f>
        <v>0</v>
      </c>
      <c r="AI158" s="31">
        <f t="shared" si="46"/>
        <v>12.341000000000001</v>
      </c>
      <c r="AJ158" s="31">
        <f t="shared" si="47"/>
        <v>12.341000000000001</v>
      </c>
      <c r="AK158" s="31">
        <f>IF(ISERROR(1/VLOOKUP($B158,Leveranser!$B$1:$S$499,MATCH("Såld värme (GWh)",Leveranser!$B$1:$S$1,0),FALSE)),"",VLOOKUP($B158,Leveranser!$B$1:$S$499,MATCH("Såld värme (GWh)",Leveranser!$B$1:$S$1,0),FALSE))</f>
        <v>10.64</v>
      </c>
      <c r="AL158" s="31">
        <f>VLOOKUP($B158,Leveranser!$B$1:$Y$499,MATCH("Totalt såld fjärrvärme till andra fjärrvärmeföretag",Leveranser!$B$1:$AA$1,0),FALSE)</f>
        <v>0</v>
      </c>
      <c r="AM158" s="31">
        <f>IF(ISERROR(1/VLOOKUP($B158,Miljö!$B$1:$S$500,MATCH("Såld mängd produktionsspecifik fjärrvärme (GWh)",Miljö!$B$1:$R$1,0),FALSE)),0,VLOOKUP($B158,Miljö!$B$1:$S$500,MATCH("Såld mängd produktionsspecifik fjärrvärme (GWh)",Miljö!$B$1:$R$1,0),FALSE))</f>
        <v>0</v>
      </c>
      <c r="AN158" s="32">
        <f t="shared" si="48"/>
        <v>0.86216676120249569</v>
      </c>
      <c r="AP158" s="31" t="str">
        <f>IFERROR(VLOOKUP($B158,Miljövärden!$B$2:$H$550,7,FALSE),"Nej, saknas")</f>
        <v>Ja</v>
      </c>
      <c r="AQ158" s="31" t="str">
        <f>IFERROR(VLOOKUP($B158,Miljövärden!$B$2:$H$551,6,FALSE),"Nej, saknas")</f>
        <v>Ja</v>
      </c>
      <c r="AU158" s="31">
        <f t="shared" si="49"/>
        <v>0.22600000000000001</v>
      </c>
      <c r="AV158" s="31">
        <f t="shared" si="50"/>
        <v>0</v>
      </c>
      <c r="AW158" s="31">
        <f t="shared" si="51"/>
        <v>0</v>
      </c>
      <c r="AX158" s="31">
        <f t="shared" si="52"/>
        <v>11.88</v>
      </c>
      <c r="AZ158" s="31">
        <f t="shared" si="53"/>
        <v>11.88</v>
      </c>
      <c r="BC158" s="31">
        <f t="shared" si="54"/>
        <v>0.23499999999999999</v>
      </c>
      <c r="BD158" s="31">
        <f t="shared" si="55"/>
        <v>0</v>
      </c>
      <c r="BE158" s="31">
        <f t="shared" si="56"/>
        <v>11.88</v>
      </c>
      <c r="BF158" s="31">
        <f t="shared" si="57"/>
        <v>0</v>
      </c>
      <c r="BG158" s="31">
        <f t="shared" si="58"/>
        <v>0.22600000000000001</v>
      </c>
      <c r="BH158" s="31">
        <f>VLOOKUP(B158,Miljö!$B$1:$BX$482,MATCH("Fossilandel för ursprungspecificerad el ()",Miljö!$B$1:$I$1,0),FALSE)</f>
        <v>0</v>
      </c>
      <c r="BI158" s="31">
        <f>VLOOKUP(B158,Miljö!$B$1:$BX$482,MATCH("Kärnkraftsandel för ursprungsspecificerad el ()",Miljö!$B$1:$O$1,0),FALSE)</f>
        <v>0</v>
      </c>
      <c r="BJ158" s="31">
        <f t="shared" si="59"/>
        <v>0</v>
      </c>
      <c r="BK158" s="31" t="str">
        <f>VLOOKUP(B158,Miljö!$B$1:$P$482,MATCH("Fossil andel i procent (%)",Miljö!$B$1:$P$1,0),FALSE)</f>
        <v>ET</v>
      </c>
      <c r="BL158" s="31">
        <f t="shared" si="60"/>
        <v>12.341000000000001</v>
      </c>
      <c r="BO158" s="32">
        <f t="shared" si="61"/>
        <v>1.904221700024309E-2</v>
      </c>
      <c r="BP158" s="32">
        <f t="shared" si="62"/>
        <v>0</v>
      </c>
      <c r="BQ158" s="32">
        <f t="shared" si="63"/>
        <v>0.980957782999757</v>
      </c>
      <c r="BR158" s="32">
        <f t="shared" si="64"/>
        <v>0</v>
      </c>
      <c r="BT158" s="62">
        <f t="shared" si="65"/>
        <v>1</v>
      </c>
      <c r="BW158" s="32">
        <f>IF(AP158="Ja",VLOOKUP(B158,Miljövärden!$B$2:$H$551,MATCH("Total andel fossilt",Miljövärden!$B$2:$H$2,0),FALSE),"")</f>
        <v>1.9042199999999999E-2</v>
      </c>
      <c r="BX158" s="62">
        <f t="shared" si="66"/>
        <v>-1.7000243091730427E-8</v>
      </c>
      <c r="BZ158" s="31">
        <f t="shared" si="67"/>
        <v>-1.7000243091730427E-8</v>
      </c>
      <c r="CA158" s="32">
        <f t="shared" si="68"/>
        <v>0</v>
      </c>
    </row>
    <row r="159" spans="1:79" x14ac:dyDescent="0.45">
      <c r="A159" s="31" t="s">
        <v>472</v>
      </c>
      <c r="B159" s="31" t="s">
        <v>473</v>
      </c>
      <c r="C159" s="31">
        <f>VLOOKUP($B159,'Tillförd energi'!$B$1:$AI$720,MATCH(C$1,'Tillförd energi'!$B$1:$AQ$1,0),FALSE)</f>
        <v>0</v>
      </c>
      <c r="D159" s="31">
        <f>VLOOKUP($B159,'Tillförd energi'!$B$1:$AI$720,MATCH(D$1,'Tillförd energi'!$B$1:$AQ$1,0),FALSE)</f>
        <v>3.5000000000000001E-3</v>
      </c>
      <c r="E159" s="31">
        <f>VLOOKUP($B159,'Tillförd energi'!$B$1:$AI$720,MATCH(E$1,'Tillförd energi'!$B$1:$AQ$1,0),FALSE)</f>
        <v>0</v>
      </c>
      <c r="F159" s="31">
        <f>VLOOKUP($B159,'Tillförd energi'!$B$1:$AI$720,MATCH(F$1,'Tillförd energi'!$B$1:$AQ$1,0),FALSE)</f>
        <v>0</v>
      </c>
      <c r="G159" s="31">
        <f>VLOOKUP($B159,'Tillförd energi'!$B$1:$AI$720,MATCH(G$1,'Tillförd energi'!$B$1:$AQ$1,0),FALSE)</f>
        <v>0</v>
      </c>
      <c r="H159" s="31">
        <f>VLOOKUP($B159,'Tillförd energi'!$B$1:$AI$720,MATCH(H$1,'Tillförd energi'!$B$1:$AQ$1,0),FALSE)</f>
        <v>0</v>
      </c>
      <c r="I159" s="31">
        <f>VLOOKUP($B159,'Tillförd energi'!$B$1:$AI$720,MATCH(I$1,'Tillförd energi'!$B$1:$AQ$1,0),FALSE)</f>
        <v>0</v>
      </c>
      <c r="J159" s="31">
        <f>VLOOKUP($B159,'Tillförd energi'!$B$1:$AI$720,MATCH(J$1,'Tillförd energi'!$B$1:$AQ$1,0),FALSE)</f>
        <v>0</v>
      </c>
      <c r="K159" s="31">
        <f>VLOOKUP($B159,'Tillförd energi'!$B$1:$AI$720,MATCH(K$1,'Tillförd energi'!$B$1:$AQ$1,0),FALSE)</f>
        <v>0</v>
      </c>
      <c r="L159" s="31">
        <f>VLOOKUP($B159,'Tillförd energi'!$B$1:$AI$720,MATCH(L$1,'Tillförd energi'!$B$1:$AQ$1,0),FALSE)</f>
        <v>0</v>
      </c>
      <c r="M159" s="31">
        <f>VLOOKUP($B159,'Tillförd energi'!$B$1:$AI$720,MATCH(M$1,'Tillförd energi'!$B$1:$AQ$1,0),FALSE)</f>
        <v>0</v>
      </c>
      <c r="N159" s="31">
        <f>VLOOKUP($B159,'Tillförd energi'!$B$1:$AI$720,MATCH(N$1,'Tillförd energi'!$B$1:$AQ$1,0),FALSE)</f>
        <v>0</v>
      </c>
      <c r="O159" s="31">
        <f>VLOOKUP($B159,'Tillförd energi'!$B$1:$AI$720,MATCH(O$1,'Tillförd energi'!$B$1:$AQ$1,0),FALSE)</f>
        <v>0</v>
      </c>
      <c r="P159" s="31">
        <f>VLOOKUP($B159,'Tillförd energi'!$B$1:$AI$720,MATCH(P$1,'Tillförd energi'!$B$1:$AQ$1,0),FALSE)</f>
        <v>16.600000000000001</v>
      </c>
      <c r="Q159" s="31">
        <f>VLOOKUP($B159,'Tillförd energi'!$B$1:$AI$720,MATCH(Q$1,'Tillförd energi'!$B$1:$AQ$1,0),FALSE)</f>
        <v>0</v>
      </c>
      <c r="R159" s="31">
        <f>VLOOKUP($B159,'Tillförd energi'!$B$1:$AI$720,MATCH(R$1,'Tillförd energi'!$B$1:$AQ$1,0),FALSE)</f>
        <v>11.5</v>
      </c>
      <c r="S159" s="31">
        <f>VLOOKUP($B159,'Tillförd energi'!$B$1:$AI$720,MATCH(S$1,'Tillförd energi'!$B$1:$AQ$1,0),FALSE)</f>
        <v>0</v>
      </c>
      <c r="T159" s="31">
        <f>VLOOKUP($B159,'Tillförd energi'!$B$1:$AI$720,MATCH(T$1,'Tillförd energi'!$B$1:$AQ$1,0),FALSE)</f>
        <v>0</v>
      </c>
      <c r="U159" s="31">
        <f>VLOOKUP($B159,'Tillförd energi'!$B$1:$AI$720,MATCH(U$1,'Tillförd energi'!$B$1:$AQ$1,0),FALSE)</f>
        <v>1.36</v>
      </c>
      <c r="V159" s="31">
        <f>VLOOKUP($B159,'Tillförd energi'!$B$1:$AI$720,MATCH(V$1,'Tillförd energi'!$B$1:$AQ$1,0),FALSE)</f>
        <v>0</v>
      </c>
      <c r="W159" s="31">
        <f>VLOOKUP($B159,'Tillförd energi'!$B$1:$AI$720,MATCH(W$1,'Tillförd energi'!$B$1:$AQ$1,0),FALSE)</f>
        <v>0</v>
      </c>
      <c r="X159" s="31">
        <f>VLOOKUP($B159,'Tillförd energi'!$B$1:$AI$720,MATCH(X$1,'Tillförd energi'!$B$1:$AQ$1,0),FALSE)</f>
        <v>0</v>
      </c>
      <c r="Y159" s="31">
        <f>VLOOKUP($B159,'Tillförd energi'!$B$1:$AI$720,MATCH(Y$1,'Tillförd energi'!$B$1:$AQ$1,0),FALSE)</f>
        <v>0</v>
      </c>
      <c r="Z159" s="31">
        <f>VLOOKUP($B159,'Tillförd energi'!$B$1:$AI$720,MATCH(Z$1,'Tillförd energi'!$B$1:$AQ$1,0),FALSE)</f>
        <v>0</v>
      </c>
      <c r="AA159" s="31">
        <f>VLOOKUP($B159,'Tillförd energi'!$B$1:$AI$720,MATCH(AA$1,'Tillförd energi'!$B$1:$AQ$1,0),FALSE)</f>
        <v>0</v>
      </c>
      <c r="AB159" s="31">
        <f>VLOOKUP($B159,'Tillförd energi'!$B$1:$AI$720,MATCH(AB$1,'Tillförd energi'!$B$1:$AQ$1,0),FALSE)</f>
        <v>0</v>
      </c>
      <c r="AC159" s="31">
        <f>VLOOKUP($B159,'Tillförd energi'!$B$1:$AI$720,MATCH(AC$1,'Tillförd energi'!$B$1:$AQ$1,0),FALSE)</f>
        <v>3.04</v>
      </c>
      <c r="AD159" s="31">
        <f>VLOOKUP($B159,'Tillförd energi'!$B$1:$AI$720,MATCH(AD$1,'Tillförd energi'!$B$1:$AQ$1,0),FALSE)</f>
        <v>0</v>
      </c>
      <c r="AE159" s="31">
        <f>VLOOKUP($B159,'Tillförd energi'!$B$1:$AI$720,MATCH(AE$1,'Tillförd energi'!$B$1:$AQ$1,0),FALSE)</f>
        <v>0</v>
      </c>
      <c r="AF159" s="31">
        <f>VLOOKUP($B159,'Tillförd energi'!$B$1:$AI$720,MATCH(AF$1,'Tillförd energi'!$B$1:$AQ$1,0),FALSE)</f>
        <v>0.63</v>
      </c>
      <c r="AG159" s="31">
        <f>IFERROR(VLOOKUP(B159,Miljö!$B$1:$AC$550,MATCH("Köpt mängd produktionsspecifik fjärrvärme:",Miljö!$B$1:$AC$1,0),FALSE)/1,0)</f>
        <v>0</v>
      </c>
      <c r="AI159" s="31">
        <f t="shared" si="46"/>
        <v>33.133500000000005</v>
      </c>
      <c r="AJ159" s="31">
        <f t="shared" si="47"/>
        <v>33.133500000000005</v>
      </c>
      <c r="AK159" s="31">
        <f>IF(ISERROR(1/VLOOKUP($B159,Leveranser!$B$1:$S$499,MATCH("Såld värme (GWh)",Leveranser!$B$1:$S$1,0),FALSE)),"",VLOOKUP($B159,Leveranser!$B$1:$S$499,MATCH("Såld värme (GWh)",Leveranser!$B$1:$S$1,0),FALSE))</f>
        <v>29.16</v>
      </c>
      <c r="AL159" s="31">
        <f>VLOOKUP($B159,Leveranser!$B$1:$Y$499,MATCH("Totalt såld fjärrvärme till andra fjärrvärmeföretag",Leveranser!$B$1:$AA$1,0),FALSE)</f>
        <v>0</v>
      </c>
      <c r="AM159" s="31">
        <f>IF(ISERROR(1/VLOOKUP($B159,Miljö!$B$1:$S$500,MATCH("Såld mängd produktionsspecifik fjärrvärme (GWh)",Miljö!$B$1:$R$1,0),FALSE)),0,VLOOKUP($B159,Miljö!$B$1:$S$500,MATCH("Såld mängd produktionsspecifik fjärrvärme (GWh)",Miljö!$B$1:$R$1,0),FALSE))</f>
        <v>0</v>
      </c>
      <c r="AN159" s="32">
        <f t="shared" si="48"/>
        <v>0.8800760559554528</v>
      </c>
      <c r="AP159" s="31" t="str">
        <f>IFERROR(VLOOKUP($B159,Miljövärden!$B$2:$H$550,7,FALSE),"Nej, saknas")</f>
        <v>Ja</v>
      </c>
      <c r="AQ159" s="31" t="str">
        <f>IFERROR(VLOOKUP($B159,Miljövärden!$B$2:$H$551,6,FALSE),"Nej, saknas")</f>
        <v>Ja</v>
      </c>
      <c r="AU159" s="31">
        <f t="shared" si="49"/>
        <v>0.63</v>
      </c>
      <c r="AV159" s="31">
        <f t="shared" si="50"/>
        <v>0</v>
      </c>
      <c r="AW159" s="31">
        <f t="shared" si="51"/>
        <v>16.600000000000001</v>
      </c>
      <c r="AX159" s="31">
        <f t="shared" si="52"/>
        <v>12.86</v>
      </c>
      <c r="AZ159" s="31">
        <f t="shared" si="53"/>
        <v>29.46</v>
      </c>
      <c r="BC159" s="31">
        <f t="shared" si="54"/>
        <v>3.5000000000000001E-3</v>
      </c>
      <c r="BD159" s="31">
        <f t="shared" si="55"/>
        <v>0</v>
      </c>
      <c r="BE159" s="31">
        <f t="shared" si="56"/>
        <v>29.46</v>
      </c>
      <c r="BF159" s="31">
        <f t="shared" si="57"/>
        <v>3.04</v>
      </c>
      <c r="BG159" s="31">
        <f t="shared" si="58"/>
        <v>0.63</v>
      </c>
      <c r="BH159" s="31">
        <f>VLOOKUP(B159,Miljö!$B$1:$BX$482,MATCH("Fossilandel för ursprungspecificerad el ()",Miljö!$B$1:$I$1,0),FALSE)</f>
        <v>0</v>
      </c>
      <c r="BI159" s="31">
        <f>VLOOKUP(B159,Miljö!$B$1:$BX$482,MATCH("Kärnkraftsandel för ursprungsspecificerad el ()",Miljö!$B$1:$O$1,0),FALSE)</f>
        <v>0</v>
      </c>
      <c r="BJ159" s="31">
        <f t="shared" si="59"/>
        <v>0</v>
      </c>
      <c r="BK159" s="31" t="str">
        <f>VLOOKUP(B159,Miljö!$B$1:$P$482,MATCH("Fossil andel i procent (%)",Miljö!$B$1:$P$1,0),FALSE)</f>
        <v>ET</v>
      </c>
      <c r="BL159" s="31">
        <f t="shared" si="60"/>
        <v>33.133500000000005</v>
      </c>
      <c r="BO159" s="32">
        <f t="shared" si="61"/>
        <v>1.0563327146241717E-4</v>
      </c>
      <c r="BP159" s="32">
        <f t="shared" si="62"/>
        <v>0</v>
      </c>
      <c r="BQ159" s="32">
        <f t="shared" si="63"/>
        <v>0.90814432522975219</v>
      </c>
      <c r="BR159" s="32">
        <f t="shared" si="64"/>
        <v>9.1750041498785198E-2</v>
      </c>
      <c r="BT159" s="62">
        <f t="shared" si="65"/>
        <v>0.99999999999999978</v>
      </c>
      <c r="BW159" s="32">
        <f>IF(AP159="Ja",VLOOKUP(B159,Miljövärden!$B$2:$H$551,MATCH("Total andel fossilt",Miljövärden!$B$2:$H$2,0),FALSE),"")</f>
        <v>1.05633E-4</v>
      </c>
      <c r="BX159" s="62">
        <f t="shared" si="66"/>
        <v>-2.7146241717457709E-10</v>
      </c>
      <c r="BZ159" s="31">
        <f t="shared" si="67"/>
        <v>-2.7146241717457709E-10</v>
      </c>
      <c r="CA159" s="32">
        <f t="shared" si="68"/>
        <v>0</v>
      </c>
    </row>
    <row r="160" spans="1:79" x14ac:dyDescent="0.45">
      <c r="A160" s="31" t="s">
        <v>472</v>
      </c>
      <c r="B160" s="31" t="s">
        <v>471</v>
      </c>
      <c r="C160" s="31">
        <f>VLOOKUP($B160,'Tillförd energi'!$B$1:$AI$720,MATCH(C$1,'Tillförd energi'!$B$1:$AQ$1,0),FALSE)</f>
        <v>0</v>
      </c>
      <c r="D160" s="31">
        <f>VLOOKUP($B160,'Tillförd energi'!$B$1:$AI$720,MATCH(D$1,'Tillförd energi'!$B$1:$AQ$1,0),FALSE)</f>
        <v>0.14299999999999999</v>
      </c>
      <c r="E160" s="31">
        <f>VLOOKUP($B160,'Tillförd energi'!$B$1:$AI$720,MATCH(E$1,'Tillförd energi'!$B$1:$AQ$1,0),FALSE)</f>
        <v>0</v>
      </c>
      <c r="F160" s="31">
        <f>VLOOKUP($B160,'Tillförd energi'!$B$1:$AI$720,MATCH(F$1,'Tillförd energi'!$B$1:$AQ$1,0),FALSE)</f>
        <v>0</v>
      </c>
      <c r="G160" s="31">
        <f>VLOOKUP($B160,'Tillförd energi'!$B$1:$AI$720,MATCH(G$1,'Tillförd energi'!$B$1:$AQ$1,0),FALSE)</f>
        <v>0</v>
      </c>
      <c r="H160" s="31">
        <f>VLOOKUP($B160,'Tillförd energi'!$B$1:$AI$720,MATCH(H$1,'Tillförd energi'!$B$1:$AQ$1,0),FALSE)</f>
        <v>0</v>
      </c>
      <c r="I160" s="31">
        <f>VLOOKUP($B160,'Tillförd energi'!$B$1:$AI$720,MATCH(I$1,'Tillförd energi'!$B$1:$AQ$1,0),FALSE)</f>
        <v>0</v>
      </c>
      <c r="J160" s="31">
        <f>VLOOKUP($B160,'Tillförd energi'!$B$1:$AI$720,MATCH(J$1,'Tillförd energi'!$B$1:$AQ$1,0),FALSE)</f>
        <v>0</v>
      </c>
      <c r="K160" s="31">
        <f>VLOOKUP($B160,'Tillförd energi'!$B$1:$AI$720,MATCH(K$1,'Tillförd energi'!$B$1:$AQ$1,0),FALSE)</f>
        <v>0</v>
      </c>
      <c r="L160" s="31">
        <f>VLOOKUP($B160,'Tillförd energi'!$B$1:$AI$720,MATCH(L$1,'Tillförd energi'!$B$1:$AQ$1,0),FALSE)</f>
        <v>0</v>
      </c>
      <c r="M160" s="31">
        <f>VLOOKUP($B160,'Tillförd energi'!$B$1:$AI$720,MATCH(M$1,'Tillförd energi'!$B$1:$AQ$1,0),FALSE)</f>
        <v>0</v>
      </c>
      <c r="N160" s="31">
        <f>VLOOKUP($B160,'Tillförd energi'!$B$1:$AI$720,MATCH(N$1,'Tillförd energi'!$B$1:$AQ$1,0),FALSE)</f>
        <v>0</v>
      </c>
      <c r="O160" s="31">
        <f>VLOOKUP($B160,'Tillförd energi'!$B$1:$AI$720,MATCH(O$1,'Tillförd energi'!$B$1:$AQ$1,0),FALSE)</f>
        <v>0</v>
      </c>
      <c r="P160" s="31">
        <f>VLOOKUP($B160,'Tillförd energi'!$B$1:$AI$720,MATCH(P$1,'Tillförd energi'!$B$1:$AQ$1,0),FALSE)</f>
        <v>0</v>
      </c>
      <c r="Q160" s="31">
        <f>VLOOKUP($B160,'Tillförd energi'!$B$1:$AI$720,MATCH(Q$1,'Tillförd energi'!$B$1:$AQ$1,0),FALSE)</f>
        <v>0</v>
      </c>
      <c r="R160" s="31">
        <f>VLOOKUP($B160,'Tillförd energi'!$B$1:$AI$720,MATCH(R$1,'Tillförd energi'!$B$1:$AQ$1,0),FALSE)</f>
        <v>3.37</v>
      </c>
      <c r="S160" s="31">
        <f>VLOOKUP($B160,'Tillförd energi'!$B$1:$AI$720,MATCH(S$1,'Tillförd energi'!$B$1:$AQ$1,0),FALSE)</f>
        <v>0</v>
      </c>
      <c r="T160" s="31">
        <f>VLOOKUP($B160,'Tillförd energi'!$B$1:$AI$720,MATCH(T$1,'Tillförd energi'!$B$1:$AQ$1,0),FALSE)</f>
        <v>0</v>
      </c>
      <c r="U160" s="31">
        <f>VLOOKUP($B160,'Tillförd energi'!$B$1:$AI$720,MATCH(U$1,'Tillförd energi'!$B$1:$AQ$1,0),FALSE)</f>
        <v>0</v>
      </c>
      <c r="V160" s="31">
        <f>VLOOKUP($B160,'Tillförd energi'!$B$1:$AI$720,MATCH(V$1,'Tillförd energi'!$B$1:$AQ$1,0),FALSE)</f>
        <v>0</v>
      </c>
      <c r="W160" s="31">
        <f>VLOOKUP($B160,'Tillförd energi'!$B$1:$AI$720,MATCH(W$1,'Tillförd energi'!$B$1:$AQ$1,0),FALSE)</f>
        <v>0</v>
      </c>
      <c r="X160" s="31">
        <f>VLOOKUP($B160,'Tillförd energi'!$B$1:$AI$720,MATCH(X$1,'Tillförd energi'!$B$1:$AQ$1,0),FALSE)</f>
        <v>0</v>
      </c>
      <c r="Y160" s="31">
        <f>VLOOKUP($B160,'Tillförd energi'!$B$1:$AI$720,MATCH(Y$1,'Tillförd energi'!$B$1:$AQ$1,0),FALSE)</f>
        <v>0</v>
      </c>
      <c r="Z160" s="31">
        <f>VLOOKUP($B160,'Tillförd energi'!$B$1:$AI$720,MATCH(Z$1,'Tillförd energi'!$B$1:$AQ$1,0),FALSE)</f>
        <v>0</v>
      </c>
      <c r="AA160" s="31">
        <f>VLOOKUP($B160,'Tillförd energi'!$B$1:$AI$720,MATCH(AA$1,'Tillförd energi'!$B$1:$AQ$1,0),FALSE)</f>
        <v>0</v>
      </c>
      <c r="AB160" s="31">
        <f>VLOOKUP($B160,'Tillförd energi'!$B$1:$AI$720,MATCH(AB$1,'Tillförd energi'!$B$1:$AQ$1,0),FALSE)</f>
        <v>0</v>
      </c>
      <c r="AC160" s="31">
        <f>VLOOKUP($B160,'Tillförd energi'!$B$1:$AI$720,MATCH(AC$1,'Tillförd energi'!$B$1:$AQ$1,0),FALSE)</f>
        <v>0</v>
      </c>
      <c r="AD160" s="31">
        <f>VLOOKUP($B160,'Tillförd energi'!$B$1:$AI$720,MATCH(AD$1,'Tillförd energi'!$B$1:$AQ$1,0),FALSE)</f>
        <v>0</v>
      </c>
      <c r="AE160" s="31">
        <f>VLOOKUP($B160,'Tillförd energi'!$B$1:$AI$720,MATCH(AE$1,'Tillförd energi'!$B$1:$AQ$1,0),FALSE)</f>
        <v>0</v>
      </c>
      <c r="AF160" s="31">
        <f>VLOOKUP($B160,'Tillförd energi'!$B$1:$AI$720,MATCH(AF$1,'Tillförd energi'!$B$1:$AQ$1,0),FALSE)</f>
        <v>3.2500000000000001E-2</v>
      </c>
      <c r="AG160" s="31">
        <f>IFERROR(VLOOKUP(B160,Miljö!$B$1:$AC$550,MATCH("Köpt mängd produktionsspecifik fjärrvärme:",Miljö!$B$1:$AC$1,0),FALSE)/1,0)</f>
        <v>0</v>
      </c>
      <c r="AI160" s="31">
        <f t="shared" si="46"/>
        <v>3.5455000000000001</v>
      </c>
      <c r="AJ160" s="31">
        <f t="shared" si="47"/>
        <v>3.5455000000000001</v>
      </c>
      <c r="AK160" s="31">
        <f>IF(ISERROR(1/VLOOKUP($B160,Leveranser!$B$1:$S$499,MATCH("Såld värme (GWh)",Leveranser!$B$1:$S$1,0),FALSE)),"",VLOOKUP($B160,Leveranser!$B$1:$S$499,MATCH("Såld värme (GWh)",Leveranser!$B$1:$S$1,0),FALSE))</f>
        <v>3.15</v>
      </c>
      <c r="AL160" s="31">
        <f>VLOOKUP($B160,Leveranser!$B$1:$Y$499,MATCH("Totalt såld fjärrvärme till andra fjärrvärmeföretag",Leveranser!$B$1:$AA$1,0),FALSE)</f>
        <v>0</v>
      </c>
      <c r="AM160" s="31">
        <f>IF(ISERROR(1/VLOOKUP($B160,Miljö!$B$1:$S$500,MATCH("Såld mängd produktionsspecifik fjärrvärme (GWh)",Miljö!$B$1:$R$1,0),FALSE)),0,VLOOKUP($B160,Miljö!$B$1:$S$500,MATCH("Såld mängd produktionsspecifik fjärrvärme (GWh)",Miljö!$B$1:$R$1,0),FALSE))</f>
        <v>0</v>
      </c>
      <c r="AN160" s="32">
        <f t="shared" si="48"/>
        <v>0.88845014807502465</v>
      </c>
      <c r="AP160" s="31" t="str">
        <f>IFERROR(VLOOKUP($B160,Miljövärden!$B$2:$H$550,7,FALSE),"Nej, saknas")</f>
        <v>Ja</v>
      </c>
      <c r="AQ160" s="31" t="str">
        <f>IFERROR(VLOOKUP($B160,Miljövärden!$B$2:$H$551,6,FALSE),"Nej, saknas")</f>
        <v>Ja</v>
      </c>
      <c r="AU160" s="31">
        <f t="shared" si="49"/>
        <v>3.2500000000000001E-2</v>
      </c>
      <c r="AV160" s="31">
        <f t="shared" si="50"/>
        <v>0</v>
      </c>
      <c r="AW160" s="31">
        <f t="shared" si="51"/>
        <v>0</v>
      </c>
      <c r="AX160" s="31">
        <f t="shared" si="52"/>
        <v>3.37</v>
      </c>
      <c r="AZ160" s="31">
        <f t="shared" si="53"/>
        <v>3.37</v>
      </c>
      <c r="BC160" s="31">
        <f t="shared" si="54"/>
        <v>0.14299999999999999</v>
      </c>
      <c r="BD160" s="31">
        <f t="shared" si="55"/>
        <v>0</v>
      </c>
      <c r="BE160" s="31">
        <f t="shared" si="56"/>
        <v>3.37</v>
      </c>
      <c r="BF160" s="31">
        <f t="shared" si="57"/>
        <v>0</v>
      </c>
      <c r="BG160" s="31">
        <f t="shared" si="58"/>
        <v>3.2500000000000001E-2</v>
      </c>
      <c r="BH160" s="31">
        <f>VLOOKUP(B160,Miljö!$B$1:$BX$482,MATCH("Fossilandel för ursprungspecificerad el ()",Miljö!$B$1:$I$1,0),FALSE)</f>
        <v>0</v>
      </c>
      <c r="BI160" s="31">
        <f>VLOOKUP(B160,Miljö!$B$1:$BX$482,MATCH("Kärnkraftsandel för ursprungsspecificerad el ()",Miljö!$B$1:$O$1,0),FALSE)</f>
        <v>0</v>
      </c>
      <c r="BJ160" s="31">
        <f t="shared" si="59"/>
        <v>0</v>
      </c>
      <c r="BK160" s="31" t="str">
        <f>VLOOKUP(B160,Miljö!$B$1:$P$482,MATCH("Fossil andel i procent (%)",Miljö!$B$1:$P$1,0),FALSE)</f>
        <v>ET</v>
      </c>
      <c r="BL160" s="31">
        <f t="shared" si="60"/>
        <v>3.5455000000000001</v>
      </c>
      <c r="BO160" s="32">
        <f t="shared" si="61"/>
        <v>4.0332816245945563E-2</v>
      </c>
      <c r="BP160" s="32">
        <f t="shared" si="62"/>
        <v>0</v>
      </c>
      <c r="BQ160" s="32">
        <f t="shared" si="63"/>
        <v>0.95966718375405446</v>
      </c>
      <c r="BR160" s="32">
        <f t="shared" si="64"/>
        <v>0</v>
      </c>
      <c r="BT160" s="62">
        <f t="shared" si="65"/>
        <v>1</v>
      </c>
      <c r="BW160" s="32">
        <f>IF(AP160="Ja",VLOOKUP(B160,Miljövärden!$B$2:$H$551,MATCH("Total andel fossilt",Miljövärden!$B$2:$H$2,0),FALSE),"")</f>
        <v>4.0332800000000002E-2</v>
      </c>
      <c r="BX160" s="62">
        <f t="shared" si="66"/>
        <v>-1.6245945561044195E-8</v>
      </c>
      <c r="BZ160" s="31">
        <f t="shared" si="67"/>
        <v>-1.6245945561044195E-8</v>
      </c>
      <c r="CA160" s="32">
        <f t="shared" si="68"/>
        <v>0</v>
      </c>
    </row>
    <row r="161" spans="1:79" x14ac:dyDescent="0.45">
      <c r="A161" s="31" t="s">
        <v>470</v>
      </c>
      <c r="B161" s="31" t="s">
        <v>469</v>
      </c>
      <c r="C161" s="31">
        <f>VLOOKUP($B161,'Tillförd energi'!$B$1:$AI$720,MATCH(C$1,'Tillförd energi'!$B$1:$AQ$1,0),FALSE)</f>
        <v>0</v>
      </c>
      <c r="D161" s="31">
        <f>VLOOKUP($B161,'Tillförd energi'!$B$1:$AI$720,MATCH(D$1,'Tillförd energi'!$B$1:$AQ$1,0),FALSE)</f>
        <v>12.195</v>
      </c>
      <c r="E161" s="31">
        <f>VLOOKUP($B161,'Tillförd energi'!$B$1:$AI$720,MATCH(E$1,'Tillförd energi'!$B$1:$AQ$1,0),FALSE)</f>
        <v>0</v>
      </c>
      <c r="F161" s="31">
        <f>VLOOKUP($B161,'Tillförd energi'!$B$1:$AI$720,MATCH(F$1,'Tillförd energi'!$B$1:$AQ$1,0),FALSE)</f>
        <v>0</v>
      </c>
      <c r="G161" s="31">
        <f>VLOOKUP($B161,'Tillförd energi'!$B$1:$AI$720,MATCH(G$1,'Tillförd energi'!$B$1:$AQ$1,0),FALSE)</f>
        <v>0</v>
      </c>
      <c r="H161" s="31">
        <f>VLOOKUP($B161,'Tillförd energi'!$B$1:$AI$720,MATCH(H$1,'Tillförd energi'!$B$1:$AQ$1,0),FALSE)</f>
        <v>0</v>
      </c>
      <c r="I161" s="31">
        <f>VLOOKUP($B161,'Tillförd energi'!$B$1:$AI$720,MATCH(I$1,'Tillförd energi'!$B$1:$AQ$1,0),FALSE)</f>
        <v>0</v>
      </c>
      <c r="J161" s="31">
        <f>VLOOKUP($B161,'Tillförd energi'!$B$1:$AI$720,MATCH(J$1,'Tillförd energi'!$B$1:$AQ$1,0),FALSE)</f>
        <v>0</v>
      </c>
      <c r="K161" s="31">
        <f>VLOOKUP($B161,'Tillförd energi'!$B$1:$AI$720,MATCH(K$1,'Tillförd energi'!$B$1:$AQ$1,0),FALSE)</f>
        <v>0</v>
      </c>
      <c r="L161" s="31">
        <f>VLOOKUP($B161,'Tillförd energi'!$B$1:$AI$720,MATCH(L$1,'Tillförd energi'!$B$1:$AQ$1,0),FALSE)</f>
        <v>0</v>
      </c>
      <c r="M161" s="31">
        <f>VLOOKUP($B161,'Tillförd energi'!$B$1:$AI$720,MATCH(M$1,'Tillförd energi'!$B$1:$AQ$1,0),FALSE)</f>
        <v>0</v>
      </c>
      <c r="N161" s="31">
        <f>VLOOKUP($B161,'Tillförd energi'!$B$1:$AI$720,MATCH(N$1,'Tillförd energi'!$B$1:$AQ$1,0),FALSE)</f>
        <v>0</v>
      </c>
      <c r="O161" s="31">
        <f>VLOOKUP($B161,'Tillförd energi'!$B$1:$AI$720,MATCH(O$1,'Tillförd energi'!$B$1:$AQ$1,0),FALSE)</f>
        <v>0</v>
      </c>
      <c r="P161" s="31">
        <f>VLOOKUP($B161,'Tillförd energi'!$B$1:$AI$720,MATCH(P$1,'Tillförd energi'!$B$1:$AQ$1,0),FALSE)</f>
        <v>0</v>
      </c>
      <c r="Q161" s="31">
        <f>VLOOKUP($B161,'Tillförd energi'!$B$1:$AI$720,MATCH(Q$1,'Tillförd energi'!$B$1:$AQ$1,0),FALSE)</f>
        <v>0</v>
      </c>
      <c r="R161" s="31">
        <f>VLOOKUP($B161,'Tillförd energi'!$B$1:$AI$720,MATCH(R$1,'Tillförd energi'!$B$1:$AQ$1,0),FALSE)</f>
        <v>0</v>
      </c>
      <c r="S161" s="31">
        <f>VLOOKUP($B161,'Tillförd energi'!$B$1:$AI$720,MATCH(S$1,'Tillförd energi'!$B$1:$AQ$1,0),FALSE)</f>
        <v>0</v>
      </c>
      <c r="T161" s="31">
        <f>VLOOKUP($B161,'Tillförd energi'!$B$1:$AI$720,MATCH(T$1,'Tillförd energi'!$B$1:$AQ$1,0),FALSE)</f>
        <v>0</v>
      </c>
      <c r="U161" s="31">
        <f>VLOOKUP($B161,'Tillförd energi'!$B$1:$AI$720,MATCH(U$1,'Tillförd energi'!$B$1:$AQ$1,0),FALSE)</f>
        <v>0</v>
      </c>
      <c r="V161" s="31">
        <f>VLOOKUP($B161,'Tillförd energi'!$B$1:$AI$720,MATCH(V$1,'Tillförd energi'!$B$1:$AQ$1,0),FALSE)</f>
        <v>0</v>
      </c>
      <c r="W161" s="31">
        <f>VLOOKUP($B161,'Tillförd energi'!$B$1:$AI$720,MATCH(W$1,'Tillförd energi'!$B$1:$AQ$1,0),FALSE)</f>
        <v>0</v>
      </c>
      <c r="X161" s="31">
        <f>VLOOKUP($B161,'Tillförd energi'!$B$1:$AI$720,MATCH(X$1,'Tillförd energi'!$B$1:$AQ$1,0),FALSE)</f>
        <v>0</v>
      </c>
      <c r="Y161" s="31">
        <f>VLOOKUP($B161,'Tillförd energi'!$B$1:$AI$720,MATCH(Y$1,'Tillförd energi'!$B$1:$AQ$1,0),FALSE)</f>
        <v>0</v>
      </c>
      <c r="Z161" s="31">
        <f>VLOOKUP($B161,'Tillförd energi'!$B$1:$AI$720,MATCH(Z$1,'Tillförd energi'!$B$1:$AQ$1,0),FALSE)</f>
        <v>0</v>
      </c>
      <c r="AA161" s="31">
        <f>VLOOKUP($B161,'Tillförd energi'!$B$1:$AI$720,MATCH(AA$1,'Tillförd energi'!$B$1:$AQ$1,0),FALSE)</f>
        <v>0</v>
      </c>
      <c r="AB161" s="31">
        <f>VLOOKUP($B161,'Tillförd energi'!$B$1:$AI$720,MATCH(AB$1,'Tillförd energi'!$B$1:$AQ$1,0),FALSE)</f>
        <v>0</v>
      </c>
      <c r="AC161" s="31">
        <f>VLOOKUP($B161,'Tillförd energi'!$B$1:$AI$720,MATCH(AC$1,'Tillförd energi'!$B$1:$AQ$1,0),FALSE)</f>
        <v>0</v>
      </c>
      <c r="AD161" s="31">
        <f>VLOOKUP($B161,'Tillförd energi'!$B$1:$AI$720,MATCH(AD$1,'Tillförd energi'!$B$1:$AQ$1,0),FALSE)</f>
        <v>42.735999999999997</v>
      </c>
      <c r="AE161" s="31">
        <f>VLOOKUP($B161,'Tillförd energi'!$B$1:$AI$720,MATCH(AE$1,'Tillförd energi'!$B$1:$AQ$1,0),FALSE)</f>
        <v>0</v>
      </c>
      <c r="AF161" s="31">
        <f>VLOOKUP($B161,'Tillförd energi'!$B$1:$AI$720,MATCH(AF$1,'Tillförd energi'!$B$1:$AQ$1,0),FALSE)</f>
        <v>1.26996</v>
      </c>
      <c r="AG161" s="31">
        <f>IFERROR(VLOOKUP(B161,Miljö!$B$1:$AC$550,MATCH("Köpt mängd produktionsspecifik fjärrvärme:",Miljö!$B$1:$AC$1,0),FALSE)/1,0)</f>
        <v>0</v>
      </c>
      <c r="AI161" s="31">
        <f t="shared" si="46"/>
        <v>56.200959999999995</v>
      </c>
      <c r="AJ161" s="31">
        <f t="shared" si="47"/>
        <v>56.200959999999995</v>
      </c>
      <c r="AK161" s="31">
        <f>IF(ISERROR(1/VLOOKUP($B161,Leveranser!$B$1:$S$499,MATCH("Såld värme (GWh)",Leveranser!$B$1:$S$1,0),FALSE)),"",VLOOKUP($B161,Leveranser!$B$1:$S$499,MATCH("Såld värme (GWh)",Leveranser!$B$1:$S$1,0),FALSE))</f>
        <v>42.332000000000001</v>
      </c>
      <c r="AL161" s="31">
        <f>VLOOKUP($B161,Leveranser!$B$1:$Y$499,MATCH("Totalt såld fjärrvärme till andra fjärrvärmeföretag",Leveranser!$B$1:$AA$1,0),FALSE)</f>
        <v>0</v>
      </c>
      <c r="AM161" s="31">
        <f>IF(ISERROR(1/VLOOKUP($B161,Miljö!$B$1:$S$500,MATCH("Såld mängd produktionsspecifik fjärrvärme (GWh)",Miljö!$B$1:$R$1,0),FALSE)),0,VLOOKUP($B161,Miljö!$B$1:$S$500,MATCH("Såld mängd produktionsspecifik fjärrvärme (GWh)",Miljö!$B$1:$R$1,0),FALSE))</f>
        <v>0</v>
      </c>
      <c r="AN161" s="32">
        <f t="shared" si="48"/>
        <v>0.75322556767713589</v>
      </c>
      <c r="AP161" s="31" t="str">
        <f>IFERROR(VLOOKUP($B161,Miljövärden!$B$2:$H$550,7,FALSE),"Nej, saknas")</f>
        <v>Ja</v>
      </c>
      <c r="AQ161" s="31" t="str">
        <f>IFERROR(VLOOKUP($B161,Miljövärden!$B$2:$H$551,6,FALSE),"Nej, saknas")</f>
        <v>Ja</v>
      </c>
      <c r="AU161" s="31">
        <f t="shared" si="49"/>
        <v>1.26996</v>
      </c>
      <c r="AV161" s="31">
        <f t="shared" si="50"/>
        <v>0</v>
      </c>
      <c r="AW161" s="31">
        <f t="shared" si="51"/>
        <v>0</v>
      </c>
      <c r="AX161" s="31">
        <f t="shared" si="52"/>
        <v>0</v>
      </c>
      <c r="AZ161" s="31">
        <f t="shared" si="53"/>
        <v>0</v>
      </c>
      <c r="BC161" s="31">
        <f t="shared" si="54"/>
        <v>12.195</v>
      </c>
      <c r="BD161" s="31">
        <f t="shared" si="55"/>
        <v>0</v>
      </c>
      <c r="BE161" s="31">
        <f t="shared" si="56"/>
        <v>0</v>
      </c>
      <c r="BF161" s="31">
        <f t="shared" si="57"/>
        <v>42.735999999999997</v>
      </c>
      <c r="BG161" s="31">
        <f t="shared" si="58"/>
        <v>1.26996</v>
      </c>
      <c r="BH161" s="31">
        <f>VLOOKUP(B161,Miljö!$B$1:$BX$482,MATCH("Fossilandel för ursprungspecificerad el ()",Miljö!$B$1:$I$1,0),FALSE)</f>
        <v>0.35</v>
      </c>
      <c r="BI161" s="31">
        <f>VLOOKUP(B161,Miljö!$B$1:$BX$482,MATCH("Kärnkraftsandel för ursprungsspecificerad el ()",Miljö!$B$1:$O$1,0),FALSE)</f>
        <v>0.3977</v>
      </c>
      <c r="BJ161" s="31">
        <f t="shared" si="59"/>
        <v>0</v>
      </c>
      <c r="BK161" s="31" t="str">
        <f>VLOOKUP(B161,Miljö!$B$1:$P$482,MATCH("Fossil andel i procent (%)",Miljö!$B$1:$P$1,0),FALSE)</f>
        <v>ET</v>
      </c>
      <c r="BL161" s="31">
        <f t="shared" si="60"/>
        <v>56.200959999999995</v>
      </c>
      <c r="BO161" s="32">
        <f t="shared" si="61"/>
        <v>0.22489804444621589</v>
      </c>
      <c r="BP161" s="32">
        <f t="shared" si="62"/>
        <v>8.9867342479559072E-3</v>
      </c>
      <c r="BQ161" s="32">
        <f t="shared" si="63"/>
        <v>5.7011643217482416E-3</v>
      </c>
      <c r="BR161" s="32">
        <f t="shared" si="64"/>
        <v>0.76041405698408004</v>
      </c>
      <c r="BT161" s="62">
        <f t="shared" si="65"/>
        <v>1</v>
      </c>
      <c r="BW161" s="32">
        <f>IF(AP161="Ja",VLOOKUP(B161,Miljövärden!$B$2:$H$551,MATCH("Total andel fossilt",Miljövärden!$B$2:$H$2,0),FALSE),"")</f>
        <v>0.22489799999999999</v>
      </c>
      <c r="BX161" s="62">
        <f t="shared" si="66"/>
        <v>-4.4446215902160802E-8</v>
      </c>
      <c r="BZ161" s="31">
        <f t="shared" si="67"/>
        <v>-4.4446215902160802E-8</v>
      </c>
      <c r="CA161" s="32">
        <f t="shared" si="68"/>
        <v>0</v>
      </c>
    </row>
    <row r="162" spans="1:79" x14ac:dyDescent="0.45">
      <c r="A162" s="31" t="s">
        <v>467</v>
      </c>
      <c r="B162" s="31" t="s">
        <v>466</v>
      </c>
      <c r="C162" s="31">
        <f>VLOOKUP($B162,'Tillförd energi'!$B$1:$AI$720,MATCH(C$1,'Tillförd energi'!$B$1:$AQ$1,0),FALSE)</f>
        <v>0</v>
      </c>
      <c r="D162" s="31">
        <f>VLOOKUP($B162,'Tillförd energi'!$B$1:$AI$720,MATCH(D$1,'Tillförd energi'!$B$1:$AQ$1,0),FALSE)</f>
        <v>2.8820000000000001</v>
      </c>
      <c r="E162" s="31">
        <f>VLOOKUP($B162,'Tillförd energi'!$B$1:$AI$720,MATCH(E$1,'Tillförd energi'!$B$1:$AQ$1,0),FALSE)</f>
        <v>0</v>
      </c>
      <c r="F162" s="31">
        <f>VLOOKUP($B162,'Tillförd energi'!$B$1:$AI$720,MATCH(F$1,'Tillförd energi'!$B$1:$AQ$1,0),FALSE)</f>
        <v>0</v>
      </c>
      <c r="G162" s="31">
        <f>VLOOKUP($B162,'Tillförd energi'!$B$1:$AI$720,MATCH(G$1,'Tillförd energi'!$B$1:$AQ$1,0),FALSE)</f>
        <v>0</v>
      </c>
      <c r="H162" s="31">
        <f>VLOOKUP($B162,'Tillförd energi'!$B$1:$AI$720,MATCH(H$1,'Tillförd energi'!$B$1:$AQ$1,0),FALSE)</f>
        <v>0</v>
      </c>
      <c r="I162" s="31">
        <f>VLOOKUP($B162,'Tillförd energi'!$B$1:$AI$720,MATCH(I$1,'Tillförd energi'!$B$1:$AQ$1,0),FALSE)</f>
        <v>291.471</v>
      </c>
      <c r="J162" s="31">
        <f>VLOOKUP($B162,'Tillförd energi'!$B$1:$AI$720,MATCH(J$1,'Tillförd energi'!$B$1:$AQ$1,0),FALSE)</f>
        <v>0</v>
      </c>
      <c r="K162" s="31">
        <f>VLOOKUP($B162,'Tillförd energi'!$B$1:$AI$720,MATCH(K$1,'Tillförd energi'!$B$1:$AQ$1,0),FALSE)</f>
        <v>0</v>
      </c>
      <c r="L162" s="31">
        <f>VLOOKUP($B162,'Tillförd energi'!$B$1:$AI$720,MATCH(L$1,'Tillförd energi'!$B$1:$AQ$1,0),FALSE)</f>
        <v>0</v>
      </c>
      <c r="M162" s="31">
        <f>VLOOKUP($B162,'Tillförd energi'!$B$1:$AI$720,MATCH(M$1,'Tillförd energi'!$B$1:$AQ$1,0),FALSE)</f>
        <v>0</v>
      </c>
      <c r="N162" s="31">
        <f>VLOOKUP($B162,'Tillförd energi'!$B$1:$AI$720,MATCH(N$1,'Tillförd energi'!$B$1:$AQ$1,0),FALSE)</f>
        <v>0</v>
      </c>
      <c r="O162" s="31">
        <f>VLOOKUP($B162,'Tillförd energi'!$B$1:$AI$720,MATCH(O$1,'Tillförd energi'!$B$1:$AQ$1,0),FALSE)</f>
        <v>0</v>
      </c>
      <c r="P162" s="31">
        <f>VLOOKUP($B162,'Tillförd energi'!$B$1:$AI$720,MATCH(P$1,'Tillförd energi'!$B$1:$AQ$1,0),FALSE)</f>
        <v>0</v>
      </c>
      <c r="Q162" s="31">
        <f>VLOOKUP($B162,'Tillförd energi'!$B$1:$AI$720,MATCH(Q$1,'Tillförd energi'!$B$1:$AQ$1,0),FALSE)</f>
        <v>0</v>
      </c>
      <c r="R162" s="31">
        <f>VLOOKUP($B162,'Tillförd energi'!$B$1:$AI$720,MATCH(R$1,'Tillförd energi'!$B$1:$AQ$1,0),FALSE)</f>
        <v>0</v>
      </c>
      <c r="S162" s="31">
        <f>VLOOKUP($B162,'Tillförd energi'!$B$1:$AI$720,MATCH(S$1,'Tillförd energi'!$B$1:$AQ$1,0),FALSE)</f>
        <v>0</v>
      </c>
      <c r="T162" s="31">
        <f>VLOOKUP($B162,'Tillförd energi'!$B$1:$AI$720,MATCH(T$1,'Tillförd energi'!$B$1:$AQ$1,0),FALSE)</f>
        <v>0</v>
      </c>
      <c r="U162" s="31">
        <f>VLOOKUP($B162,'Tillförd energi'!$B$1:$AI$720,MATCH(U$1,'Tillförd energi'!$B$1:$AQ$1,0),FALSE)</f>
        <v>0</v>
      </c>
      <c r="V162" s="31">
        <f>VLOOKUP($B162,'Tillförd energi'!$B$1:$AI$720,MATCH(V$1,'Tillförd energi'!$B$1:$AQ$1,0),FALSE)</f>
        <v>0</v>
      </c>
      <c r="W162" s="31">
        <f>VLOOKUP($B162,'Tillförd energi'!$B$1:$AI$720,MATCH(W$1,'Tillförd energi'!$B$1:$AQ$1,0),FALSE)</f>
        <v>2.9729999999999999</v>
      </c>
      <c r="X162" s="31">
        <f>VLOOKUP($B162,'Tillförd energi'!$B$1:$AI$720,MATCH(X$1,'Tillförd energi'!$B$1:$AQ$1,0),FALSE)</f>
        <v>0</v>
      </c>
      <c r="Y162" s="31">
        <f>VLOOKUP($B162,'Tillförd energi'!$B$1:$AI$720,MATCH(Y$1,'Tillförd energi'!$B$1:$AQ$1,0),FALSE)</f>
        <v>0</v>
      </c>
      <c r="Z162" s="31">
        <f>VLOOKUP($B162,'Tillförd energi'!$B$1:$AI$720,MATCH(Z$1,'Tillförd energi'!$B$1:$AQ$1,0),FALSE)</f>
        <v>0</v>
      </c>
      <c r="AA162" s="31">
        <f>VLOOKUP($B162,'Tillförd energi'!$B$1:$AI$720,MATCH(AA$1,'Tillförd energi'!$B$1:$AQ$1,0),FALSE)</f>
        <v>0</v>
      </c>
      <c r="AB162" s="31">
        <f>VLOOKUP($B162,'Tillförd energi'!$B$1:$AI$720,MATCH(AB$1,'Tillförd energi'!$B$1:$AQ$1,0),FALSE)</f>
        <v>0</v>
      </c>
      <c r="AC162" s="31">
        <f>VLOOKUP($B162,'Tillförd energi'!$B$1:$AI$720,MATCH(AC$1,'Tillförd energi'!$B$1:$AQ$1,0),FALSE)</f>
        <v>9.6460000000000008</v>
      </c>
      <c r="AD162" s="31">
        <f>VLOOKUP($B162,'Tillförd energi'!$B$1:$AI$720,MATCH(AD$1,'Tillförd energi'!$B$1:$AQ$1,0),FALSE)</f>
        <v>0</v>
      </c>
      <c r="AE162" s="31">
        <f>VLOOKUP($B162,'Tillförd energi'!$B$1:$AI$720,MATCH(AE$1,'Tillförd energi'!$B$1:$AQ$1,0),FALSE)</f>
        <v>0</v>
      </c>
      <c r="AF162" s="31">
        <f>VLOOKUP($B162,'Tillförd energi'!$B$1:$AI$720,MATCH(AF$1,'Tillförd energi'!$B$1:$AQ$1,0),FALSE)</f>
        <v>6.5277000000000003</v>
      </c>
      <c r="AG162" s="31">
        <f>IFERROR(VLOOKUP(B162,Miljö!$B$1:$AC$550,MATCH("Köpt mängd produktionsspecifik fjärrvärme:",Miljö!$B$1:$AC$1,0),FALSE)/1,0)</f>
        <v>0</v>
      </c>
      <c r="AI162" s="31">
        <f t="shared" si="46"/>
        <v>313.49970000000002</v>
      </c>
      <c r="AJ162" s="31">
        <f t="shared" si="47"/>
        <v>313.49970000000002</v>
      </c>
      <c r="AK162" s="31">
        <f>IF(ISERROR(1/VLOOKUP($B162,Leveranser!$B$1:$S$499,MATCH("Såld värme (GWh)",Leveranser!$B$1:$S$1,0),FALSE)),"",VLOOKUP($B162,Leveranser!$B$1:$S$499,MATCH("Såld värme (GWh)",Leveranser!$B$1:$S$1,0),FALSE))</f>
        <v>217.59</v>
      </c>
      <c r="AL162" s="31">
        <f>VLOOKUP($B162,Leveranser!$B$1:$Y$499,MATCH("Totalt såld fjärrvärme till andra fjärrvärmeföretag",Leveranser!$B$1:$AA$1,0),FALSE)</f>
        <v>0</v>
      </c>
      <c r="AM162" s="31">
        <f>IF(ISERROR(1/VLOOKUP($B162,Miljö!$B$1:$S$500,MATCH("Såld mängd produktionsspecifik fjärrvärme (GWh)",Miljö!$B$1:$R$1,0),FALSE)),0,VLOOKUP($B162,Miljö!$B$1:$S$500,MATCH("Såld mängd produktionsspecifik fjärrvärme (GWh)",Miljö!$B$1:$R$1,0),FALSE))</f>
        <v>0</v>
      </c>
      <c r="AN162" s="32">
        <f t="shared" si="48"/>
        <v>0.69406764982550218</v>
      </c>
      <c r="AP162" s="31" t="str">
        <f>IFERROR(VLOOKUP($B162,Miljövärden!$B$2:$H$550,7,FALSE),"Nej, saknas")</f>
        <v>Ja</v>
      </c>
      <c r="AQ162" s="31" t="str">
        <f>IFERROR(VLOOKUP($B162,Miljövärden!$B$2:$H$551,6,FALSE),"Nej, saknas")</f>
        <v>Ja</v>
      </c>
      <c r="AU162" s="31">
        <f t="shared" si="49"/>
        <v>6.5277000000000003</v>
      </c>
      <c r="AV162" s="31">
        <f t="shared" si="50"/>
        <v>0</v>
      </c>
      <c r="AW162" s="31">
        <f t="shared" si="51"/>
        <v>0</v>
      </c>
      <c r="AX162" s="31">
        <f t="shared" si="52"/>
        <v>0</v>
      </c>
      <c r="AZ162" s="31">
        <f t="shared" si="53"/>
        <v>2.9729999999999999</v>
      </c>
      <c r="BC162" s="31">
        <f t="shared" si="54"/>
        <v>2.8820000000000001</v>
      </c>
      <c r="BD162" s="31">
        <f t="shared" si="55"/>
        <v>0</v>
      </c>
      <c r="BE162" s="31">
        <f t="shared" si="56"/>
        <v>2.9729999999999999</v>
      </c>
      <c r="BF162" s="31">
        <f t="shared" si="57"/>
        <v>301.11700000000002</v>
      </c>
      <c r="BG162" s="31">
        <f t="shared" si="58"/>
        <v>6.5277000000000003</v>
      </c>
      <c r="BH162" s="31">
        <f>VLOOKUP(B162,Miljö!$B$1:$BX$482,MATCH("Fossilandel för ursprungspecificerad el ()",Miljö!$B$1:$I$1,0),FALSE)</f>
        <v>0</v>
      </c>
      <c r="BI162" s="31">
        <f>VLOOKUP(B162,Miljö!$B$1:$BX$482,MATCH("Kärnkraftsandel för ursprungsspecificerad el ()",Miljö!$B$1:$O$1,0),FALSE)</f>
        <v>0</v>
      </c>
      <c r="BJ162" s="31">
        <f t="shared" si="59"/>
        <v>0</v>
      </c>
      <c r="BK162" s="31" t="str">
        <f>VLOOKUP(B162,Miljö!$B$1:$P$482,MATCH("Fossil andel i procent (%)",Miljö!$B$1:$P$1,0),FALSE)</f>
        <v>ET</v>
      </c>
      <c r="BL162" s="31">
        <f t="shared" si="60"/>
        <v>313.49970000000002</v>
      </c>
      <c r="BO162" s="32">
        <f t="shared" si="61"/>
        <v>9.1929912532611666E-3</v>
      </c>
      <c r="BP162" s="32">
        <f t="shared" si="62"/>
        <v>0</v>
      </c>
      <c r="BQ162" s="32">
        <f t="shared" si="63"/>
        <v>3.0305292158174311E-2</v>
      </c>
      <c r="BR162" s="32">
        <f t="shared" si="64"/>
        <v>0.96050171658856454</v>
      </c>
      <c r="BT162" s="62">
        <f t="shared" si="65"/>
        <v>1</v>
      </c>
      <c r="BW162" s="32">
        <f>IF(AP162="Ja",VLOOKUP(B162,Miljövärden!$B$2:$H$551,MATCH("Total andel fossilt",Miljövärden!$B$2:$H$2,0),FALSE),"")</f>
        <v>9.1929799999999999E-3</v>
      </c>
      <c r="BX162" s="62">
        <f t="shared" si="66"/>
        <v>-1.1253261166660478E-8</v>
      </c>
      <c r="BZ162" s="31">
        <f t="shared" si="67"/>
        <v>-1.1253261166660478E-8</v>
      </c>
      <c r="CA162" s="32">
        <f t="shared" si="68"/>
        <v>0</v>
      </c>
    </row>
    <row r="163" spans="1:79" x14ac:dyDescent="0.45">
      <c r="A163" s="31" t="s">
        <v>467</v>
      </c>
      <c r="B163" s="31" t="s">
        <v>468</v>
      </c>
      <c r="C163" s="31">
        <f>VLOOKUP($B163,'Tillförd energi'!$B$1:$AI$720,MATCH(C$1,'Tillförd energi'!$B$1:$AQ$1,0),FALSE)</f>
        <v>0</v>
      </c>
      <c r="D163" s="31">
        <f>VLOOKUP($B163,'Tillförd energi'!$B$1:$AI$720,MATCH(D$1,'Tillförd energi'!$B$1:$AQ$1,0),FALSE)</f>
        <v>0</v>
      </c>
      <c r="E163" s="31">
        <f>VLOOKUP($B163,'Tillförd energi'!$B$1:$AI$720,MATCH(E$1,'Tillförd energi'!$B$1:$AQ$1,0),FALSE)</f>
        <v>0</v>
      </c>
      <c r="F163" s="31">
        <f>VLOOKUP($B163,'Tillförd energi'!$B$1:$AI$720,MATCH(F$1,'Tillförd energi'!$B$1:$AQ$1,0),FALSE)</f>
        <v>0</v>
      </c>
      <c r="G163" s="31">
        <f>VLOOKUP($B163,'Tillförd energi'!$B$1:$AI$720,MATCH(G$1,'Tillförd energi'!$B$1:$AQ$1,0),FALSE)</f>
        <v>0</v>
      </c>
      <c r="H163" s="31">
        <f>VLOOKUP($B163,'Tillförd energi'!$B$1:$AI$720,MATCH(H$1,'Tillförd energi'!$B$1:$AQ$1,0),FALSE)</f>
        <v>0</v>
      </c>
      <c r="I163" s="31">
        <f>VLOOKUP($B163,'Tillförd energi'!$B$1:$AI$720,MATCH(I$1,'Tillförd energi'!$B$1:$AQ$1,0),FALSE)</f>
        <v>52.213000000000001</v>
      </c>
      <c r="J163" s="31">
        <f>VLOOKUP($B163,'Tillförd energi'!$B$1:$AI$720,MATCH(J$1,'Tillförd energi'!$B$1:$AQ$1,0),FALSE)</f>
        <v>0</v>
      </c>
      <c r="K163" s="31">
        <f>VLOOKUP($B163,'Tillförd energi'!$B$1:$AI$720,MATCH(K$1,'Tillförd energi'!$B$1:$AQ$1,0),FALSE)</f>
        <v>0</v>
      </c>
      <c r="L163" s="31">
        <f>VLOOKUP($B163,'Tillförd energi'!$B$1:$AI$720,MATCH(L$1,'Tillförd energi'!$B$1:$AQ$1,0),FALSE)</f>
        <v>0</v>
      </c>
      <c r="M163" s="31">
        <f>VLOOKUP($B163,'Tillförd energi'!$B$1:$AI$720,MATCH(M$1,'Tillförd energi'!$B$1:$AQ$1,0),FALSE)</f>
        <v>0</v>
      </c>
      <c r="N163" s="31">
        <f>VLOOKUP($B163,'Tillförd energi'!$B$1:$AI$720,MATCH(N$1,'Tillförd energi'!$B$1:$AQ$1,0),FALSE)</f>
        <v>0</v>
      </c>
      <c r="O163" s="31">
        <f>VLOOKUP($B163,'Tillförd energi'!$B$1:$AI$720,MATCH(O$1,'Tillförd energi'!$B$1:$AQ$1,0),FALSE)</f>
        <v>0</v>
      </c>
      <c r="P163" s="31">
        <f>VLOOKUP($B163,'Tillförd energi'!$B$1:$AI$720,MATCH(P$1,'Tillförd energi'!$B$1:$AQ$1,0),FALSE)</f>
        <v>0</v>
      </c>
      <c r="Q163" s="31">
        <f>VLOOKUP($B163,'Tillförd energi'!$B$1:$AI$720,MATCH(Q$1,'Tillförd energi'!$B$1:$AQ$1,0),FALSE)</f>
        <v>0</v>
      </c>
      <c r="R163" s="31">
        <f>VLOOKUP($B163,'Tillförd energi'!$B$1:$AI$720,MATCH(R$1,'Tillförd energi'!$B$1:$AQ$1,0),FALSE)</f>
        <v>0</v>
      </c>
      <c r="S163" s="31">
        <f>VLOOKUP($B163,'Tillförd energi'!$B$1:$AI$720,MATCH(S$1,'Tillförd energi'!$B$1:$AQ$1,0),FALSE)</f>
        <v>0</v>
      </c>
      <c r="T163" s="31">
        <f>VLOOKUP($B163,'Tillförd energi'!$B$1:$AI$720,MATCH(T$1,'Tillförd energi'!$B$1:$AQ$1,0),FALSE)</f>
        <v>0</v>
      </c>
      <c r="U163" s="31">
        <f>VLOOKUP($B163,'Tillförd energi'!$B$1:$AI$720,MATCH(U$1,'Tillförd energi'!$B$1:$AQ$1,0),FALSE)</f>
        <v>0</v>
      </c>
      <c r="V163" s="31">
        <f>VLOOKUP($B163,'Tillförd energi'!$B$1:$AI$720,MATCH(V$1,'Tillförd energi'!$B$1:$AQ$1,0),FALSE)</f>
        <v>0</v>
      </c>
      <c r="W163" s="31">
        <f>VLOOKUP($B163,'Tillförd energi'!$B$1:$AI$720,MATCH(W$1,'Tillförd energi'!$B$1:$AQ$1,0),FALSE)</f>
        <v>0</v>
      </c>
      <c r="X163" s="31">
        <f>VLOOKUP($B163,'Tillförd energi'!$B$1:$AI$720,MATCH(X$1,'Tillförd energi'!$B$1:$AQ$1,0),FALSE)</f>
        <v>0</v>
      </c>
      <c r="Y163" s="31">
        <f>VLOOKUP($B163,'Tillförd energi'!$B$1:$AI$720,MATCH(Y$1,'Tillförd energi'!$B$1:$AQ$1,0),FALSE)</f>
        <v>0</v>
      </c>
      <c r="Z163" s="31">
        <f>VLOOKUP($B163,'Tillförd energi'!$B$1:$AI$720,MATCH(Z$1,'Tillförd energi'!$B$1:$AQ$1,0),FALSE)</f>
        <v>0</v>
      </c>
      <c r="AA163" s="31">
        <f>VLOOKUP($B163,'Tillförd energi'!$B$1:$AI$720,MATCH(AA$1,'Tillförd energi'!$B$1:$AQ$1,0),FALSE)</f>
        <v>0</v>
      </c>
      <c r="AB163" s="31">
        <f>VLOOKUP($B163,'Tillförd energi'!$B$1:$AI$720,MATCH(AB$1,'Tillförd energi'!$B$1:$AQ$1,0),FALSE)</f>
        <v>0</v>
      </c>
      <c r="AC163" s="31">
        <f>VLOOKUP($B163,'Tillförd energi'!$B$1:$AI$720,MATCH(AC$1,'Tillförd energi'!$B$1:$AQ$1,0),FALSE)</f>
        <v>0</v>
      </c>
      <c r="AD163" s="31">
        <f>VLOOKUP($B163,'Tillförd energi'!$B$1:$AI$720,MATCH(AD$1,'Tillförd energi'!$B$1:$AQ$1,0),FALSE)</f>
        <v>11.393000000000001</v>
      </c>
      <c r="AE163" s="31">
        <f>VLOOKUP($B163,'Tillförd energi'!$B$1:$AI$720,MATCH(AE$1,'Tillförd energi'!$B$1:$AQ$1,0),FALSE)</f>
        <v>0</v>
      </c>
      <c r="AF163" s="31">
        <f>VLOOKUP($B163,'Tillförd energi'!$B$1:$AI$720,MATCH(AF$1,'Tillförd energi'!$B$1:$AQ$1,0),FALSE)</f>
        <v>27.361000000000001</v>
      </c>
      <c r="AG163" s="31">
        <f>IFERROR(VLOOKUP(B163,Miljö!$B$1:$AC$550,MATCH("Köpt mängd produktionsspecifik fjärrvärme:",Miljö!$B$1:$AC$1,0),FALSE)/1,0)</f>
        <v>0</v>
      </c>
      <c r="AI163" s="31">
        <f t="shared" si="46"/>
        <v>90.966999999999999</v>
      </c>
      <c r="AJ163" s="31">
        <f t="shared" si="47"/>
        <v>90.966999999999999</v>
      </c>
      <c r="AK163" s="31">
        <f>IF(ISERROR(1/VLOOKUP($B163,Leveranser!$B$1:$S$499,MATCH("Såld värme (GWh)",Leveranser!$B$1:$S$1,0),FALSE)),"",VLOOKUP($B163,Leveranser!$B$1:$S$499,MATCH("Såld värme (GWh)",Leveranser!$B$1:$S$1,0),FALSE))</f>
        <v>75.165000000000006</v>
      </c>
      <c r="AL163" s="31">
        <f>VLOOKUP($B163,Leveranser!$B$1:$Y$499,MATCH("Totalt såld fjärrvärme till andra fjärrvärmeföretag",Leveranser!$B$1:$AA$1,0),FALSE)</f>
        <v>0</v>
      </c>
      <c r="AM163" s="31">
        <f>IF(ISERROR(1/VLOOKUP($B163,Miljö!$B$1:$S$500,MATCH("Såld mängd produktionsspecifik fjärrvärme (GWh)",Miljö!$B$1:$R$1,0),FALSE)),0,VLOOKUP($B163,Miljö!$B$1:$S$500,MATCH("Såld mängd produktionsspecifik fjärrvärme (GWh)",Miljö!$B$1:$R$1,0),FALSE))</f>
        <v>0</v>
      </c>
      <c r="AN163" s="32">
        <f t="shared" si="48"/>
        <v>0.826288654127321</v>
      </c>
      <c r="AP163" s="31" t="str">
        <f>IFERROR(VLOOKUP($B163,Miljövärden!$B$2:$H$550,7,FALSE),"Nej, saknas")</f>
        <v>Ja</v>
      </c>
      <c r="AQ163" s="31" t="str">
        <f>IFERROR(VLOOKUP($B163,Miljövärden!$B$2:$H$551,6,FALSE),"Nej, saknas")</f>
        <v>Ja</v>
      </c>
      <c r="AU163" s="31">
        <f t="shared" si="49"/>
        <v>27.361000000000001</v>
      </c>
      <c r="AV163" s="31">
        <f t="shared" si="50"/>
        <v>0</v>
      </c>
      <c r="AW163" s="31">
        <f t="shared" si="51"/>
        <v>0</v>
      </c>
      <c r="AX163" s="31">
        <f t="shared" si="52"/>
        <v>0</v>
      </c>
      <c r="AZ163" s="31">
        <f t="shared" si="53"/>
        <v>0</v>
      </c>
      <c r="BC163" s="31">
        <f t="shared" si="54"/>
        <v>0</v>
      </c>
      <c r="BD163" s="31">
        <f t="shared" si="55"/>
        <v>0</v>
      </c>
      <c r="BE163" s="31">
        <f t="shared" si="56"/>
        <v>0</v>
      </c>
      <c r="BF163" s="31">
        <f t="shared" si="57"/>
        <v>63.606000000000002</v>
      </c>
      <c r="BG163" s="31">
        <f t="shared" si="58"/>
        <v>27.361000000000001</v>
      </c>
      <c r="BH163" s="31">
        <f>VLOOKUP(B163,Miljö!$B$1:$BX$482,MATCH("Fossilandel för ursprungspecificerad el ()",Miljö!$B$1:$I$1,0),FALSE)</f>
        <v>0</v>
      </c>
      <c r="BI163" s="31">
        <f>VLOOKUP(B163,Miljö!$B$1:$BX$482,MATCH("Kärnkraftsandel för ursprungsspecificerad el ()",Miljö!$B$1:$O$1,0),FALSE)</f>
        <v>0</v>
      </c>
      <c r="BJ163" s="31">
        <f t="shared" si="59"/>
        <v>0</v>
      </c>
      <c r="BK163" s="31" t="str">
        <f>VLOOKUP(B163,Miljö!$B$1:$P$482,MATCH("Fossil andel i procent (%)",Miljö!$B$1:$P$1,0),FALSE)</f>
        <v>ET</v>
      </c>
      <c r="BL163" s="31">
        <f t="shared" si="60"/>
        <v>90.966999999999999</v>
      </c>
      <c r="BO163" s="32">
        <f t="shared" si="61"/>
        <v>0</v>
      </c>
      <c r="BP163" s="32">
        <f t="shared" si="62"/>
        <v>0</v>
      </c>
      <c r="BQ163" s="32">
        <f t="shared" si="63"/>
        <v>0.3007794035199578</v>
      </c>
      <c r="BR163" s="32">
        <f t="shared" si="64"/>
        <v>0.6992205964800422</v>
      </c>
      <c r="BT163" s="62">
        <f t="shared" si="65"/>
        <v>1</v>
      </c>
      <c r="BW163" s="32">
        <f>IF(AP163="Ja",VLOOKUP(B163,Miljövärden!$B$2:$H$551,MATCH("Total andel fossilt",Miljövärden!$B$2:$H$2,0),FALSE),"")</f>
        <v>0</v>
      </c>
      <c r="BX163" s="62">
        <f t="shared" si="66"/>
        <v>0</v>
      </c>
      <c r="BZ163" s="31">
        <f t="shared" si="67"/>
        <v>0</v>
      </c>
      <c r="CA163" s="32">
        <f t="shared" si="68"/>
        <v>0</v>
      </c>
    </row>
    <row r="164" spans="1:79" x14ac:dyDescent="0.45">
      <c r="A164" s="31" t="s">
        <v>465</v>
      </c>
      <c r="B164" s="31" t="s">
        <v>464</v>
      </c>
      <c r="C164" s="31">
        <f>VLOOKUP($B164,'Tillförd energi'!$B$1:$AI$720,MATCH(C$1,'Tillförd energi'!$B$1:$AQ$1,0),FALSE)</f>
        <v>0</v>
      </c>
      <c r="D164" s="31">
        <f>VLOOKUP($B164,'Tillförd energi'!$B$1:$AI$720,MATCH(D$1,'Tillförd energi'!$B$1:$AQ$1,0),FALSE)</f>
        <v>0.68</v>
      </c>
      <c r="E164" s="31">
        <f>VLOOKUP($B164,'Tillförd energi'!$B$1:$AI$720,MATCH(E$1,'Tillförd energi'!$B$1:$AQ$1,0),FALSE)</f>
        <v>0</v>
      </c>
      <c r="F164" s="31">
        <f>VLOOKUP($B164,'Tillförd energi'!$B$1:$AI$720,MATCH(F$1,'Tillförd energi'!$B$1:$AQ$1,0),FALSE)</f>
        <v>0</v>
      </c>
      <c r="G164" s="31">
        <f>VLOOKUP($B164,'Tillförd energi'!$B$1:$AI$720,MATCH(G$1,'Tillförd energi'!$B$1:$AQ$1,0),FALSE)</f>
        <v>0</v>
      </c>
      <c r="H164" s="31">
        <f>VLOOKUP($B164,'Tillförd energi'!$B$1:$AI$720,MATCH(H$1,'Tillförd energi'!$B$1:$AQ$1,0),FALSE)</f>
        <v>0</v>
      </c>
      <c r="I164" s="31">
        <f>VLOOKUP($B164,'Tillförd energi'!$B$1:$AI$720,MATCH(I$1,'Tillförd energi'!$B$1:$AQ$1,0),FALSE)</f>
        <v>0</v>
      </c>
      <c r="J164" s="31">
        <f>VLOOKUP($B164,'Tillförd energi'!$B$1:$AI$720,MATCH(J$1,'Tillförd energi'!$B$1:$AQ$1,0),FALSE)</f>
        <v>0</v>
      </c>
      <c r="K164" s="31">
        <f>VLOOKUP($B164,'Tillförd energi'!$B$1:$AI$720,MATCH(K$1,'Tillförd energi'!$B$1:$AQ$1,0),FALSE)</f>
        <v>0</v>
      </c>
      <c r="L164" s="31">
        <f>VLOOKUP($B164,'Tillförd energi'!$B$1:$AI$720,MATCH(L$1,'Tillförd energi'!$B$1:$AQ$1,0),FALSE)</f>
        <v>0</v>
      </c>
      <c r="M164" s="31">
        <f>VLOOKUP($B164,'Tillförd energi'!$B$1:$AI$720,MATCH(M$1,'Tillförd energi'!$B$1:$AQ$1,0),FALSE)</f>
        <v>0</v>
      </c>
      <c r="N164" s="31">
        <f>VLOOKUP($B164,'Tillförd energi'!$B$1:$AI$720,MATCH(N$1,'Tillförd energi'!$B$1:$AQ$1,0),FALSE)</f>
        <v>0</v>
      </c>
      <c r="O164" s="31">
        <f>VLOOKUP($B164,'Tillförd energi'!$B$1:$AI$720,MATCH(O$1,'Tillförd energi'!$B$1:$AQ$1,0),FALSE)</f>
        <v>0</v>
      </c>
      <c r="P164" s="31">
        <f>VLOOKUP($B164,'Tillförd energi'!$B$1:$AI$720,MATCH(P$1,'Tillförd energi'!$B$1:$AQ$1,0),FALSE)</f>
        <v>0</v>
      </c>
      <c r="Q164" s="31">
        <f>VLOOKUP($B164,'Tillförd energi'!$B$1:$AI$720,MATCH(Q$1,'Tillförd energi'!$B$1:$AQ$1,0),FALSE)</f>
        <v>15.003500000000001</v>
      </c>
      <c r="R164" s="31">
        <f>VLOOKUP($B164,'Tillförd energi'!$B$1:$AI$720,MATCH(R$1,'Tillförd energi'!$B$1:$AQ$1,0),FALSE)</f>
        <v>0</v>
      </c>
      <c r="S164" s="31">
        <f>VLOOKUP($B164,'Tillförd energi'!$B$1:$AI$720,MATCH(S$1,'Tillförd energi'!$B$1:$AQ$1,0),FALSE)</f>
        <v>0</v>
      </c>
      <c r="T164" s="31">
        <f>VLOOKUP($B164,'Tillförd energi'!$B$1:$AI$720,MATCH(T$1,'Tillförd energi'!$B$1:$AQ$1,0),FALSE)</f>
        <v>0</v>
      </c>
      <c r="U164" s="31">
        <f>VLOOKUP($B164,'Tillförd energi'!$B$1:$AI$720,MATCH(U$1,'Tillförd energi'!$B$1:$AQ$1,0),FALSE)</f>
        <v>0</v>
      </c>
      <c r="V164" s="31">
        <f>VLOOKUP($B164,'Tillförd energi'!$B$1:$AI$720,MATCH(V$1,'Tillförd energi'!$B$1:$AQ$1,0),FALSE)</f>
        <v>0</v>
      </c>
      <c r="W164" s="31">
        <f>VLOOKUP($B164,'Tillförd energi'!$B$1:$AI$720,MATCH(W$1,'Tillförd energi'!$B$1:$AQ$1,0),FALSE)</f>
        <v>0</v>
      </c>
      <c r="X164" s="31">
        <f>VLOOKUP($B164,'Tillförd energi'!$B$1:$AI$720,MATCH(X$1,'Tillförd energi'!$B$1:$AQ$1,0),FALSE)</f>
        <v>0</v>
      </c>
      <c r="Y164" s="31">
        <f>VLOOKUP($B164,'Tillförd energi'!$B$1:$AI$720,MATCH(Y$1,'Tillförd energi'!$B$1:$AQ$1,0),FALSE)</f>
        <v>0</v>
      </c>
      <c r="Z164" s="31">
        <f>VLOOKUP($B164,'Tillförd energi'!$B$1:$AI$720,MATCH(Z$1,'Tillförd energi'!$B$1:$AQ$1,0),FALSE)</f>
        <v>0</v>
      </c>
      <c r="AA164" s="31">
        <f>VLOOKUP($B164,'Tillförd energi'!$B$1:$AI$720,MATCH(AA$1,'Tillförd energi'!$B$1:$AQ$1,0),FALSE)</f>
        <v>0</v>
      </c>
      <c r="AB164" s="31">
        <f>VLOOKUP($B164,'Tillförd energi'!$B$1:$AI$720,MATCH(AB$1,'Tillförd energi'!$B$1:$AQ$1,0),FALSE)</f>
        <v>0</v>
      </c>
      <c r="AC164" s="31">
        <f>VLOOKUP($B164,'Tillförd energi'!$B$1:$AI$720,MATCH(AC$1,'Tillförd energi'!$B$1:$AQ$1,0),FALSE)</f>
        <v>0</v>
      </c>
      <c r="AD164" s="31">
        <f>VLOOKUP($B164,'Tillförd energi'!$B$1:$AI$720,MATCH(AD$1,'Tillförd energi'!$B$1:$AQ$1,0),FALSE)</f>
        <v>0</v>
      </c>
      <c r="AE164" s="31">
        <f>VLOOKUP($B164,'Tillförd energi'!$B$1:$AI$720,MATCH(AE$1,'Tillförd energi'!$B$1:$AQ$1,0),FALSE)</f>
        <v>0</v>
      </c>
      <c r="AF164" s="31">
        <f>VLOOKUP($B164,'Tillförd energi'!$B$1:$AI$720,MATCH(AF$1,'Tillförd energi'!$B$1:$AQ$1,0),FALSE)</f>
        <v>0.35555999999999999</v>
      </c>
      <c r="AG164" s="31">
        <f>IFERROR(VLOOKUP(B164,Miljö!$B$1:$AC$550,MATCH("Köpt mängd produktionsspecifik fjärrvärme:",Miljö!$B$1:$AC$1,0),FALSE)/1,0)</f>
        <v>0</v>
      </c>
      <c r="AI164" s="31">
        <f t="shared" si="46"/>
        <v>16.039059999999999</v>
      </c>
      <c r="AJ164" s="31">
        <f t="shared" si="47"/>
        <v>16.039059999999999</v>
      </c>
      <c r="AK164" s="31">
        <f>IF(ISERROR(1/VLOOKUP($B164,Leveranser!$B$1:$S$499,MATCH("Såld värme (GWh)",Leveranser!$B$1:$S$1,0),FALSE)),"",VLOOKUP($B164,Leveranser!$B$1:$S$499,MATCH("Såld värme (GWh)",Leveranser!$B$1:$S$1,0),FALSE))</f>
        <v>11.852</v>
      </c>
      <c r="AL164" s="31">
        <f>VLOOKUP($B164,Leveranser!$B$1:$Y$499,MATCH("Totalt såld fjärrvärme till andra fjärrvärmeföretag",Leveranser!$B$1:$AA$1,0),FALSE)</f>
        <v>0</v>
      </c>
      <c r="AM164" s="31">
        <f>IF(ISERROR(1/VLOOKUP($B164,Miljö!$B$1:$S$500,MATCH("Såld mängd produktionsspecifik fjärrvärme (GWh)",Miljö!$B$1:$R$1,0),FALSE)),0,VLOOKUP($B164,Miljö!$B$1:$S$500,MATCH("Såld mängd produktionsspecifik fjärrvärme (GWh)",Miljö!$B$1:$R$1,0),FALSE))</f>
        <v>0</v>
      </c>
      <c r="AN164" s="32">
        <f t="shared" si="48"/>
        <v>0.73894604796041674</v>
      </c>
      <c r="AP164" s="31" t="str">
        <f>IFERROR(VLOOKUP($B164,Miljövärden!$B$2:$H$550,7,FALSE),"Nej, saknas")</f>
        <v>Ja</v>
      </c>
      <c r="AQ164" s="31" t="str">
        <f>IFERROR(VLOOKUP($B164,Miljövärden!$B$2:$H$551,6,FALSE),"Nej, saknas")</f>
        <v>Nej</v>
      </c>
      <c r="AU164" s="31">
        <f t="shared" si="49"/>
        <v>0.35555999999999999</v>
      </c>
      <c r="AV164" s="31">
        <f t="shared" si="50"/>
        <v>0</v>
      </c>
      <c r="AW164" s="31">
        <f t="shared" si="51"/>
        <v>15.003500000000001</v>
      </c>
      <c r="AX164" s="31">
        <f t="shared" si="52"/>
        <v>0</v>
      </c>
      <c r="AZ164" s="31">
        <f t="shared" si="53"/>
        <v>15.003500000000001</v>
      </c>
      <c r="BC164" s="31">
        <f t="shared" si="54"/>
        <v>0.68</v>
      </c>
      <c r="BD164" s="31">
        <f t="shared" si="55"/>
        <v>0</v>
      </c>
      <c r="BE164" s="31">
        <f t="shared" si="56"/>
        <v>15.003500000000001</v>
      </c>
      <c r="BF164" s="31">
        <f t="shared" si="57"/>
        <v>0</v>
      </c>
      <c r="BG164" s="31">
        <f t="shared" si="58"/>
        <v>0.35555999999999999</v>
      </c>
      <c r="BH164" s="31">
        <f>VLOOKUP(B164,Miljö!$B$1:$BX$482,MATCH("Fossilandel för ursprungspecificerad el ()",Miljö!$B$1:$I$1,0),FALSE)</f>
        <v>0.35</v>
      </c>
      <c r="BI164" s="31">
        <f>VLOOKUP(B164,Miljö!$B$1:$BX$482,MATCH("Kärnkraftsandel för ursprungsspecificerad el ()",Miljö!$B$1:$O$1,0),FALSE)</f>
        <v>0.3977</v>
      </c>
      <c r="BJ164" s="31">
        <f t="shared" si="59"/>
        <v>0</v>
      </c>
      <c r="BK164" s="31" t="str">
        <f>VLOOKUP(B164,Miljö!$B$1:$P$482,MATCH("Fossil andel i procent (%)",Miljö!$B$1:$P$1,0),FALSE)</f>
        <v>ET</v>
      </c>
      <c r="BL164" s="31">
        <f t="shared" si="60"/>
        <v>16.039059999999999</v>
      </c>
      <c r="BO164" s="32">
        <f t="shared" si="61"/>
        <v>5.0155433049068963E-2</v>
      </c>
      <c r="BP164" s="32">
        <f t="shared" si="62"/>
        <v>8.8163652982157312E-3</v>
      </c>
      <c r="BQ164" s="32">
        <f t="shared" si="63"/>
        <v>0.94102820165271539</v>
      </c>
      <c r="BR164" s="32">
        <f t="shared" si="64"/>
        <v>0</v>
      </c>
      <c r="BT164" s="62">
        <f t="shared" si="65"/>
        <v>1</v>
      </c>
      <c r="BW164" s="32">
        <f>IF(AP164="Ja",VLOOKUP(B164,Miljövärden!$B$2:$H$551,MATCH("Total andel fossilt",Miljövärden!$B$2:$H$2,0),FALSE),"")</f>
        <v>5.01553E-2</v>
      </c>
      <c r="BX164" s="62">
        <f t="shared" si="66"/>
        <v>-1.3304906896355329E-7</v>
      </c>
      <c r="BZ164" s="31">
        <f t="shared" si="67"/>
        <v>-1.3304906896355329E-7</v>
      </c>
      <c r="CA164" s="32">
        <f t="shared" si="68"/>
        <v>0</v>
      </c>
    </row>
    <row r="165" spans="1:79" x14ac:dyDescent="0.45">
      <c r="A165" s="31" t="s">
        <v>459</v>
      </c>
      <c r="B165" s="31" t="s">
        <v>463</v>
      </c>
      <c r="C165" s="31">
        <f>VLOOKUP($B165,'Tillförd energi'!$B$1:$AI$720,MATCH(C$1,'Tillförd energi'!$B$1:$AQ$1,0),FALSE)</f>
        <v>0</v>
      </c>
      <c r="D165" s="31">
        <f>VLOOKUP($B165,'Tillförd energi'!$B$1:$AI$720,MATCH(D$1,'Tillförd energi'!$B$1:$AQ$1,0),FALSE)</f>
        <v>0.89100000000000001</v>
      </c>
      <c r="E165" s="31">
        <f>VLOOKUP($B165,'Tillförd energi'!$B$1:$AI$720,MATCH(E$1,'Tillförd energi'!$B$1:$AQ$1,0),FALSE)</f>
        <v>0</v>
      </c>
      <c r="F165" s="31">
        <f>VLOOKUP($B165,'Tillförd energi'!$B$1:$AI$720,MATCH(F$1,'Tillförd energi'!$B$1:$AQ$1,0),FALSE)</f>
        <v>0</v>
      </c>
      <c r="G165" s="31">
        <f>VLOOKUP($B165,'Tillförd energi'!$B$1:$AI$720,MATCH(G$1,'Tillförd energi'!$B$1:$AQ$1,0),FALSE)</f>
        <v>0</v>
      </c>
      <c r="H165" s="31">
        <f>VLOOKUP($B165,'Tillförd energi'!$B$1:$AI$720,MATCH(H$1,'Tillförd energi'!$B$1:$AQ$1,0),FALSE)</f>
        <v>0</v>
      </c>
      <c r="I165" s="31">
        <f>VLOOKUP($B165,'Tillförd energi'!$B$1:$AI$720,MATCH(I$1,'Tillförd energi'!$B$1:$AQ$1,0),FALSE)</f>
        <v>0</v>
      </c>
      <c r="J165" s="31">
        <f>VLOOKUP($B165,'Tillförd energi'!$B$1:$AI$720,MATCH(J$1,'Tillförd energi'!$B$1:$AQ$1,0),FALSE)</f>
        <v>0</v>
      </c>
      <c r="K165" s="31">
        <f>VLOOKUP($B165,'Tillförd energi'!$B$1:$AI$720,MATCH(K$1,'Tillförd energi'!$B$1:$AQ$1,0),FALSE)</f>
        <v>0</v>
      </c>
      <c r="L165" s="31">
        <f>VLOOKUP($B165,'Tillförd energi'!$B$1:$AI$720,MATCH(L$1,'Tillförd energi'!$B$1:$AQ$1,0),FALSE)</f>
        <v>0</v>
      </c>
      <c r="M165" s="31">
        <f>VLOOKUP($B165,'Tillförd energi'!$B$1:$AI$720,MATCH(M$1,'Tillförd energi'!$B$1:$AQ$1,0),FALSE)</f>
        <v>0</v>
      </c>
      <c r="N165" s="31">
        <f>VLOOKUP($B165,'Tillförd energi'!$B$1:$AI$720,MATCH(N$1,'Tillförd energi'!$B$1:$AQ$1,0),FALSE)</f>
        <v>0</v>
      </c>
      <c r="O165" s="31">
        <f>VLOOKUP($B165,'Tillförd energi'!$B$1:$AI$720,MATCH(O$1,'Tillförd energi'!$B$1:$AQ$1,0),FALSE)</f>
        <v>0</v>
      </c>
      <c r="P165" s="31">
        <f>VLOOKUP($B165,'Tillförd energi'!$B$1:$AI$720,MATCH(P$1,'Tillförd energi'!$B$1:$AQ$1,0),FALSE)</f>
        <v>0</v>
      </c>
      <c r="Q165" s="31">
        <f>VLOOKUP($B165,'Tillförd energi'!$B$1:$AI$720,MATCH(Q$1,'Tillförd energi'!$B$1:$AQ$1,0),FALSE)</f>
        <v>0.21176500000000001</v>
      </c>
      <c r="R165" s="31">
        <f>VLOOKUP($B165,'Tillförd energi'!$B$1:$AI$720,MATCH(R$1,'Tillförd energi'!$B$1:$AQ$1,0),FALSE)</f>
        <v>0</v>
      </c>
      <c r="S165" s="31">
        <f>VLOOKUP($B165,'Tillförd energi'!$B$1:$AI$720,MATCH(S$1,'Tillförd energi'!$B$1:$AQ$1,0),FALSE)</f>
        <v>0</v>
      </c>
      <c r="T165" s="31">
        <f>VLOOKUP($B165,'Tillförd energi'!$B$1:$AI$720,MATCH(T$1,'Tillförd energi'!$B$1:$AQ$1,0),FALSE)</f>
        <v>0</v>
      </c>
      <c r="U165" s="31">
        <f>VLOOKUP($B165,'Tillförd energi'!$B$1:$AI$720,MATCH(U$1,'Tillförd energi'!$B$1:$AQ$1,0),FALSE)</f>
        <v>0</v>
      </c>
      <c r="V165" s="31">
        <f>VLOOKUP($B165,'Tillförd energi'!$B$1:$AI$720,MATCH(V$1,'Tillförd energi'!$B$1:$AQ$1,0),FALSE)</f>
        <v>0</v>
      </c>
      <c r="W165" s="31">
        <f>VLOOKUP($B165,'Tillförd energi'!$B$1:$AI$720,MATCH(W$1,'Tillförd energi'!$B$1:$AQ$1,0),FALSE)</f>
        <v>0</v>
      </c>
      <c r="X165" s="31">
        <f>VLOOKUP($B165,'Tillförd energi'!$B$1:$AI$720,MATCH(X$1,'Tillförd energi'!$B$1:$AQ$1,0),FALSE)</f>
        <v>0</v>
      </c>
      <c r="Y165" s="31">
        <f>VLOOKUP($B165,'Tillförd energi'!$B$1:$AI$720,MATCH(Y$1,'Tillförd energi'!$B$1:$AQ$1,0),FALSE)</f>
        <v>0</v>
      </c>
      <c r="Z165" s="31">
        <f>VLOOKUP($B165,'Tillförd energi'!$B$1:$AI$720,MATCH(Z$1,'Tillförd energi'!$B$1:$AQ$1,0),FALSE)</f>
        <v>0</v>
      </c>
      <c r="AA165" s="31">
        <f>VLOOKUP($B165,'Tillförd energi'!$B$1:$AI$720,MATCH(AA$1,'Tillförd energi'!$B$1:$AQ$1,0),FALSE)</f>
        <v>0</v>
      </c>
      <c r="AB165" s="31">
        <f>VLOOKUP($B165,'Tillförd energi'!$B$1:$AI$720,MATCH(AB$1,'Tillförd energi'!$B$1:$AQ$1,0),FALSE)</f>
        <v>0</v>
      </c>
      <c r="AC165" s="31">
        <f>VLOOKUP($B165,'Tillförd energi'!$B$1:$AI$720,MATCH(AC$1,'Tillförd energi'!$B$1:$AQ$1,0),FALSE)</f>
        <v>0</v>
      </c>
      <c r="AD165" s="31">
        <f>VLOOKUP($B165,'Tillförd energi'!$B$1:$AI$720,MATCH(AD$1,'Tillförd energi'!$B$1:$AQ$1,0),FALSE)</f>
        <v>17.54</v>
      </c>
      <c r="AE165" s="31">
        <f>VLOOKUP($B165,'Tillförd energi'!$B$1:$AI$720,MATCH(AE$1,'Tillförd energi'!$B$1:$AQ$1,0),FALSE)</f>
        <v>0</v>
      </c>
      <c r="AF165" s="31">
        <f>VLOOKUP($B165,'Tillförd energi'!$B$1:$AI$720,MATCH(AF$1,'Tillförd energi'!$B$1:$AQ$1,0),FALSE)</f>
        <v>8.4000000000000005E-2</v>
      </c>
      <c r="AG165" s="31">
        <f>IFERROR(VLOOKUP(B165,Miljö!$B$1:$AC$550,MATCH("Köpt mängd produktionsspecifik fjärrvärme:",Miljö!$B$1:$AC$1,0),FALSE)/1,0)</f>
        <v>0</v>
      </c>
      <c r="AI165" s="31">
        <f t="shared" si="46"/>
        <v>18.726765</v>
      </c>
      <c r="AJ165" s="31">
        <f t="shared" si="47"/>
        <v>18.726765</v>
      </c>
      <c r="AK165" s="31">
        <f>IF(ISERROR(1/VLOOKUP($B165,Leveranser!$B$1:$S$499,MATCH("Såld värme (GWh)",Leveranser!$B$1:$S$1,0),FALSE)),"",VLOOKUP($B165,Leveranser!$B$1:$S$499,MATCH("Såld värme (GWh)",Leveranser!$B$1:$S$1,0),FALSE))</f>
        <v>14.1</v>
      </c>
      <c r="AL165" s="31">
        <f>VLOOKUP($B165,Leveranser!$B$1:$Y$499,MATCH("Totalt såld fjärrvärme till andra fjärrvärmeföretag",Leveranser!$B$1:$AA$1,0),FALSE)</f>
        <v>0</v>
      </c>
      <c r="AM165" s="31">
        <f>IF(ISERROR(1/VLOOKUP($B165,Miljö!$B$1:$S$500,MATCH("Såld mängd produktionsspecifik fjärrvärme (GWh)",Miljö!$B$1:$R$1,0),FALSE)),0,VLOOKUP($B165,Miljö!$B$1:$S$500,MATCH("Såld mängd produktionsspecifik fjärrvärme (GWh)",Miljö!$B$1:$R$1,0),FALSE))</f>
        <v>0</v>
      </c>
      <c r="AN165" s="32">
        <f t="shared" si="48"/>
        <v>0.75293303461649674</v>
      </c>
      <c r="AP165" s="31" t="str">
        <f>IFERROR(VLOOKUP($B165,Miljövärden!$B$2:$H$550,7,FALSE),"Nej, saknas")</f>
        <v>Ja</v>
      </c>
      <c r="AQ165" s="31" t="str">
        <f>IFERROR(VLOOKUP($B165,Miljövärden!$B$2:$H$551,6,FALSE),"Nej, saknas")</f>
        <v>Ja</v>
      </c>
      <c r="AU165" s="31">
        <f t="shared" si="49"/>
        <v>8.4000000000000005E-2</v>
      </c>
      <c r="AV165" s="31">
        <f t="shared" si="50"/>
        <v>0</v>
      </c>
      <c r="AW165" s="31">
        <f t="shared" si="51"/>
        <v>0.21176500000000001</v>
      </c>
      <c r="AX165" s="31">
        <f t="shared" si="52"/>
        <v>0</v>
      </c>
      <c r="AZ165" s="31">
        <f t="shared" si="53"/>
        <v>0.21176500000000001</v>
      </c>
      <c r="BC165" s="31">
        <f t="shared" si="54"/>
        <v>0.89100000000000001</v>
      </c>
      <c r="BD165" s="31">
        <f t="shared" si="55"/>
        <v>0</v>
      </c>
      <c r="BE165" s="31">
        <f t="shared" si="56"/>
        <v>0.21176500000000001</v>
      </c>
      <c r="BF165" s="31">
        <f t="shared" si="57"/>
        <v>17.54</v>
      </c>
      <c r="BG165" s="31">
        <f t="shared" si="58"/>
        <v>8.4000000000000005E-2</v>
      </c>
      <c r="BH165" s="31">
        <f>VLOOKUP(B165,Miljö!$B$1:$BX$482,MATCH("Fossilandel för ursprungspecificerad el ()",Miljö!$B$1:$I$1,0),FALSE)</f>
        <v>0</v>
      </c>
      <c r="BI165" s="31">
        <f>VLOOKUP(B165,Miljö!$B$1:$BX$482,MATCH("Kärnkraftsandel för ursprungsspecificerad el ()",Miljö!$B$1:$O$1,0),FALSE)</f>
        <v>0</v>
      </c>
      <c r="BJ165" s="31">
        <f t="shared" si="59"/>
        <v>0</v>
      </c>
      <c r="BK165" s="31" t="str">
        <f>VLOOKUP(B165,Miljö!$B$1:$P$482,MATCH("Fossil andel i procent (%)",Miljö!$B$1:$P$1,0),FALSE)</f>
        <v>ET</v>
      </c>
      <c r="BL165" s="31">
        <f t="shared" si="60"/>
        <v>18.726765</v>
      </c>
      <c r="BO165" s="32">
        <f t="shared" si="61"/>
        <v>4.7578959847042454E-2</v>
      </c>
      <c r="BP165" s="32">
        <f t="shared" si="62"/>
        <v>0</v>
      </c>
      <c r="BQ165" s="32">
        <f t="shared" si="63"/>
        <v>1.579370489243604E-2</v>
      </c>
      <c r="BR165" s="32">
        <f t="shared" si="64"/>
        <v>0.93662733526052144</v>
      </c>
      <c r="BT165" s="62">
        <f t="shared" si="65"/>
        <v>1</v>
      </c>
      <c r="BW165" s="32">
        <f>IF(AP165="Ja",VLOOKUP(B165,Miljövärden!$B$2:$H$551,MATCH("Total andel fossilt",Miljövärden!$B$2:$H$2,0),FALSE),"")</f>
        <v>4.75789E-2</v>
      </c>
      <c r="BX165" s="62">
        <f t="shared" si="66"/>
        <v>-5.9847042453708976E-8</v>
      </c>
      <c r="BZ165" s="31">
        <f t="shared" si="67"/>
        <v>-5.9847042453708976E-8</v>
      </c>
      <c r="CA165" s="32">
        <f t="shared" si="68"/>
        <v>0</v>
      </c>
    </row>
    <row r="166" spans="1:79" x14ac:dyDescent="0.45">
      <c r="A166" s="31" t="s">
        <v>459</v>
      </c>
      <c r="B166" s="31" t="s">
        <v>461</v>
      </c>
      <c r="C166" s="31">
        <f>VLOOKUP($B166,'Tillförd energi'!$B$1:$AI$720,MATCH(C$1,'Tillförd energi'!$B$1:$AQ$1,0),FALSE)</f>
        <v>0</v>
      </c>
      <c r="D166" s="31">
        <f>VLOOKUP($B166,'Tillförd energi'!$B$1:$AI$720,MATCH(D$1,'Tillförd energi'!$B$1:$AQ$1,0),FALSE)</f>
        <v>1.6419999999999999</v>
      </c>
      <c r="E166" s="31">
        <f>VLOOKUP($B166,'Tillförd energi'!$B$1:$AI$720,MATCH(E$1,'Tillförd energi'!$B$1:$AQ$1,0),FALSE)</f>
        <v>0</v>
      </c>
      <c r="F166" s="31">
        <f>VLOOKUP($B166,'Tillförd energi'!$B$1:$AI$720,MATCH(F$1,'Tillförd energi'!$B$1:$AQ$1,0),FALSE)</f>
        <v>0</v>
      </c>
      <c r="G166" s="31">
        <f>VLOOKUP($B166,'Tillförd energi'!$B$1:$AI$720,MATCH(G$1,'Tillförd energi'!$B$1:$AQ$1,0),FALSE)</f>
        <v>0</v>
      </c>
      <c r="H166" s="31">
        <f>VLOOKUP($B166,'Tillförd energi'!$B$1:$AI$720,MATCH(H$1,'Tillförd energi'!$B$1:$AQ$1,0),FALSE)</f>
        <v>0</v>
      </c>
      <c r="I166" s="31">
        <f>VLOOKUP($B166,'Tillförd energi'!$B$1:$AI$720,MATCH(I$1,'Tillförd energi'!$B$1:$AQ$1,0),FALSE)</f>
        <v>0</v>
      </c>
      <c r="J166" s="31">
        <f>VLOOKUP($B166,'Tillförd energi'!$B$1:$AI$720,MATCH(J$1,'Tillförd energi'!$B$1:$AQ$1,0),FALSE)</f>
        <v>0</v>
      </c>
      <c r="K166" s="31">
        <f>VLOOKUP($B166,'Tillförd energi'!$B$1:$AI$720,MATCH(K$1,'Tillförd energi'!$B$1:$AQ$1,0),FALSE)</f>
        <v>0</v>
      </c>
      <c r="L166" s="31">
        <f>VLOOKUP($B166,'Tillförd energi'!$B$1:$AI$720,MATCH(L$1,'Tillförd energi'!$B$1:$AQ$1,0),FALSE)</f>
        <v>0</v>
      </c>
      <c r="M166" s="31">
        <f>VLOOKUP($B166,'Tillförd energi'!$B$1:$AI$720,MATCH(M$1,'Tillförd energi'!$B$1:$AQ$1,0),FALSE)</f>
        <v>0</v>
      </c>
      <c r="N166" s="31">
        <f>VLOOKUP($B166,'Tillförd energi'!$B$1:$AI$720,MATCH(N$1,'Tillförd energi'!$B$1:$AQ$1,0),FALSE)</f>
        <v>0</v>
      </c>
      <c r="O166" s="31">
        <f>VLOOKUP($B166,'Tillförd energi'!$B$1:$AI$720,MATCH(O$1,'Tillförd energi'!$B$1:$AQ$1,0),FALSE)</f>
        <v>0</v>
      </c>
      <c r="P166" s="31">
        <f>VLOOKUP($B166,'Tillförd energi'!$B$1:$AI$720,MATCH(P$1,'Tillförd energi'!$B$1:$AQ$1,0),FALSE)</f>
        <v>0</v>
      </c>
      <c r="Q166" s="31">
        <f>VLOOKUP($B166,'Tillförd energi'!$B$1:$AI$720,MATCH(Q$1,'Tillförd energi'!$B$1:$AQ$1,0),FALSE)</f>
        <v>6.1176500000000003</v>
      </c>
      <c r="R166" s="31">
        <f>VLOOKUP($B166,'Tillförd energi'!$B$1:$AI$720,MATCH(R$1,'Tillförd energi'!$B$1:$AQ$1,0),FALSE)</f>
        <v>4.8070000000000004</v>
      </c>
      <c r="S166" s="31">
        <f>VLOOKUP($B166,'Tillförd energi'!$B$1:$AI$720,MATCH(S$1,'Tillförd energi'!$B$1:$AQ$1,0),FALSE)</f>
        <v>0</v>
      </c>
      <c r="T166" s="31">
        <f>VLOOKUP($B166,'Tillförd energi'!$B$1:$AI$720,MATCH(T$1,'Tillförd energi'!$B$1:$AQ$1,0),FALSE)</f>
        <v>0</v>
      </c>
      <c r="U166" s="31">
        <f>VLOOKUP($B166,'Tillförd energi'!$B$1:$AI$720,MATCH(U$1,'Tillförd energi'!$B$1:$AQ$1,0),FALSE)</f>
        <v>0</v>
      </c>
      <c r="V166" s="31">
        <f>VLOOKUP($B166,'Tillförd energi'!$B$1:$AI$720,MATCH(V$1,'Tillförd energi'!$B$1:$AQ$1,0),FALSE)</f>
        <v>0</v>
      </c>
      <c r="W166" s="31">
        <f>VLOOKUP($B166,'Tillförd energi'!$B$1:$AI$720,MATCH(W$1,'Tillförd energi'!$B$1:$AQ$1,0),FALSE)</f>
        <v>3.5009999999999999</v>
      </c>
      <c r="X166" s="31">
        <f>VLOOKUP($B166,'Tillförd energi'!$B$1:$AI$720,MATCH(X$1,'Tillförd energi'!$B$1:$AQ$1,0),FALSE)</f>
        <v>0</v>
      </c>
      <c r="Y166" s="31">
        <f>VLOOKUP($B166,'Tillförd energi'!$B$1:$AI$720,MATCH(Y$1,'Tillförd energi'!$B$1:$AQ$1,0),FALSE)</f>
        <v>0</v>
      </c>
      <c r="Z166" s="31">
        <f>VLOOKUP($B166,'Tillförd energi'!$B$1:$AI$720,MATCH(Z$1,'Tillförd energi'!$B$1:$AQ$1,0),FALSE)</f>
        <v>1.3979999999999999</v>
      </c>
      <c r="AA166" s="31">
        <f>VLOOKUP($B166,'Tillförd energi'!$B$1:$AI$720,MATCH(AA$1,'Tillförd energi'!$B$1:$AQ$1,0),FALSE)</f>
        <v>0</v>
      </c>
      <c r="AB166" s="31">
        <f>VLOOKUP($B166,'Tillförd energi'!$B$1:$AI$720,MATCH(AB$1,'Tillförd energi'!$B$1:$AQ$1,0),FALSE)</f>
        <v>0</v>
      </c>
      <c r="AC166" s="31">
        <f>VLOOKUP($B166,'Tillförd energi'!$B$1:$AI$720,MATCH(AC$1,'Tillförd energi'!$B$1:$AQ$1,0),FALSE)</f>
        <v>0</v>
      </c>
      <c r="AD166" s="31">
        <f>VLOOKUP($B166,'Tillförd energi'!$B$1:$AI$720,MATCH(AD$1,'Tillförd energi'!$B$1:$AQ$1,0),FALSE)</f>
        <v>77.8</v>
      </c>
      <c r="AE166" s="31">
        <f>VLOOKUP($B166,'Tillförd energi'!$B$1:$AI$720,MATCH(AE$1,'Tillförd energi'!$B$1:$AQ$1,0),FALSE)</f>
        <v>0</v>
      </c>
      <c r="AF166" s="31">
        <f>VLOOKUP($B166,'Tillförd energi'!$B$1:$AI$720,MATCH(AF$1,'Tillförd energi'!$B$1:$AQ$1,0),FALSE)</f>
        <v>1.63</v>
      </c>
      <c r="AG166" s="31">
        <f>IFERROR(VLOOKUP(B166,Miljö!$B$1:$AC$550,MATCH("Köpt mängd produktionsspecifik fjärrvärme:",Miljö!$B$1:$AC$1,0),FALSE)/1,0)</f>
        <v>0</v>
      </c>
      <c r="AI166" s="31">
        <f t="shared" si="46"/>
        <v>96.895649999999989</v>
      </c>
      <c r="AJ166" s="31">
        <f t="shared" si="47"/>
        <v>96.895649999999989</v>
      </c>
      <c r="AK166" s="31">
        <f>IF(ISERROR(1/VLOOKUP($B166,Leveranser!$B$1:$S$499,MATCH("Såld värme (GWh)",Leveranser!$B$1:$S$1,0),FALSE)),"",VLOOKUP($B166,Leveranser!$B$1:$S$499,MATCH("Såld värme (GWh)",Leveranser!$B$1:$S$1,0),FALSE))</f>
        <v>83</v>
      </c>
      <c r="AL166" s="31">
        <f>VLOOKUP($B166,Leveranser!$B$1:$Y$499,MATCH("Totalt såld fjärrvärme till andra fjärrvärmeföretag",Leveranser!$B$1:$AA$1,0),FALSE)</f>
        <v>0</v>
      </c>
      <c r="AM166" s="31">
        <f>IF(ISERROR(1/VLOOKUP($B166,Miljö!$B$1:$S$500,MATCH("Såld mängd produktionsspecifik fjärrvärme (GWh)",Miljö!$B$1:$R$1,0),FALSE)),0,VLOOKUP($B166,Miljö!$B$1:$S$500,MATCH("Såld mängd produktionsspecifik fjärrvärme (GWh)",Miljö!$B$1:$R$1,0),FALSE))</f>
        <v>0</v>
      </c>
      <c r="AN166" s="32">
        <f t="shared" si="48"/>
        <v>0.85659160137735813</v>
      </c>
      <c r="AP166" s="31" t="str">
        <f>IFERROR(VLOOKUP($B166,Miljövärden!$B$2:$H$550,7,FALSE),"Nej, saknas")</f>
        <v>Ja</v>
      </c>
      <c r="AQ166" s="31" t="str">
        <f>IFERROR(VLOOKUP($B166,Miljövärden!$B$2:$H$551,6,FALSE),"Nej, saknas")</f>
        <v>Ja</v>
      </c>
      <c r="AU166" s="31">
        <f t="shared" si="49"/>
        <v>3.0279999999999996</v>
      </c>
      <c r="AV166" s="31">
        <f t="shared" si="50"/>
        <v>0</v>
      </c>
      <c r="AW166" s="31">
        <f t="shared" si="51"/>
        <v>6.1176500000000003</v>
      </c>
      <c r="AX166" s="31">
        <f t="shared" si="52"/>
        <v>4.8070000000000004</v>
      </c>
      <c r="AZ166" s="31">
        <f t="shared" si="53"/>
        <v>14.425649999999999</v>
      </c>
      <c r="BC166" s="31">
        <f t="shared" si="54"/>
        <v>1.6419999999999999</v>
      </c>
      <c r="BD166" s="31">
        <f t="shared" si="55"/>
        <v>0</v>
      </c>
      <c r="BE166" s="31">
        <f t="shared" si="56"/>
        <v>14.425649999999999</v>
      </c>
      <c r="BF166" s="31">
        <f t="shared" si="57"/>
        <v>77.8</v>
      </c>
      <c r="BG166" s="31">
        <f t="shared" si="58"/>
        <v>3.0279999999999996</v>
      </c>
      <c r="BH166" s="31">
        <f>VLOOKUP(B166,Miljö!$B$1:$BX$482,MATCH("Fossilandel för ursprungspecificerad el ()",Miljö!$B$1:$I$1,0),FALSE)</f>
        <v>0</v>
      </c>
      <c r="BI166" s="31">
        <f>VLOOKUP(B166,Miljö!$B$1:$BX$482,MATCH("Kärnkraftsandel för ursprungsspecificerad el ()",Miljö!$B$1:$O$1,0),FALSE)</f>
        <v>0</v>
      </c>
      <c r="BJ166" s="31">
        <f t="shared" si="59"/>
        <v>0</v>
      </c>
      <c r="BK166" s="31" t="str">
        <f>VLOOKUP(B166,Miljö!$B$1:$P$482,MATCH("Fossil andel i procent (%)",Miljö!$B$1:$P$1,0),FALSE)</f>
        <v>ET</v>
      </c>
      <c r="BL166" s="31">
        <f t="shared" si="60"/>
        <v>96.895650000000003</v>
      </c>
      <c r="BO166" s="32">
        <f t="shared" si="61"/>
        <v>1.6946065174236406E-2</v>
      </c>
      <c r="BP166" s="32">
        <f t="shared" si="62"/>
        <v>0</v>
      </c>
      <c r="BQ166" s="32">
        <f t="shared" si="63"/>
        <v>0.18012831329373402</v>
      </c>
      <c r="BR166" s="32">
        <f t="shared" si="64"/>
        <v>0.80292562153202951</v>
      </c>
      <c r="BT166" s="62">
        <f t="shared" si="65"/>
        <v>1</v>
      </c>
      <c r="BW166" s="32">
        <f>IF(AP166="Ja",VLOOKUP(B166,Miljövärden!$B$2:$H$551,MATCH("Total andel fossilt",Miljövärden!$B$2:$H$2,0),FALSE),"")</f>
        <v>1.6946099999999999E-2</v>
      </c>
      <c r="BX166" s="62">
        <f t="shared" si="66"/>
        <v>3.4825763592372105E-8</v>
      </c>
      <c r="BZ166" s="31">
        <f t="shared" si="67"/>
        <v>3.4825763592372105E-8</v>
      </c>
      <c r="CA166" s="32">
        <f t="shared" si="68"/>
        <v>0</v>
      </c>
    </row>
    <row r="167" spans="1:79" hidden="1" x14ac:dyDescent="0.45">
      <c r="A167" s="31" t="s">
        <v>459</v>
      </c>
      <c r="B167" s="31" t="s">
        <v>460</v>
      </c>
      <c r="C167" s="31">
        <f>VLOOKUP($B167,'Tillförd energi'!$B$1:$AI$720,MATCH(C$1,'Tillförd energi'!$B$1:$AQ$1,0),FALSE)</f>
        <v>0</v>
      </c>
      <c r="D167" s="31">
        <f>VLOOKUP($B167,'Tillförd energi'!$B$1:$AI$720,MATCH(D$1,'Tillförd energi'!$B$1:$AQ$1,0),FALSE)</f>
        <v>0</v>
      </c>
      <c r="E167" s="31">
        <f>VLOOKUP($B167,'Tillförd energi'!$B$1:$AI$720,MATCH(E$1,'Tillförd energi'!$B$1:$AQ$1,0),FALSE)</f>
        <v>0</v>
      </c>
      <c r="F167" s="31">
        <f>VLOOKUP($B167,'Tillförd energi'!$B$1:$AI$720,MATCH(F$1,'Tillförd energi'!$B$1:$AQ$1,0),FALSE)</f>
        <v>0</v>
      </c>
      <c r="G167" s="31">
        <f>VLOOKUP($B167,'Tillförd energi'!$B$1:$AI$720,MATCH(G$1,'Tillförd energi'!$B$1:$AQ$1,0),FALSE)</f>
        <v>0</v>
      </c>
      <c r="H167" s="31">
        <f>VLOOKUP($B167,'Tillförd energi'!$B$1:$AI$720,MATCH(H$1,'Tillförd energi'!$B$1:$AQ$1,0),FALSE)</f>
        <v>0</v>
      </c>
      <c r="I167" s="31">
        <f>VLOOKUP($B167,'Tillförd energi'!$B$1:$AI$720,MATCH(I$1,'Tillförd energi'!$B$1:$AQ$1,0),FALSE)</f>
        <v>0</v>
      </c>
      <c r="J167" s="31">
        <f>VLOOKUP($B167,'Tillförd energi'!$B$1:$AI$720,MATCH(J$1,'Tillförd energi'!$B$1:$AQ$1,0),FALSE)</f>
        <v>0</v>
      </c>
      <c r="K167" s="31">
        <f>VLOOKUP($B167,'Tillförd energi'!$B$1:$AI$720,MATCH(K$1,'Tillförd energi'!$B$1:$AQ$1,0),FALSE)</f>
        <v>0</v>
      </c>
      <c r="L167" s="31">
        <f>VLOOKUP($B167,'Tillförd energi'!$B$1:$AI$720,MATCH(L$1,'Tillförd energi'!$B$1:$AQ$1,0),FALSE)</f>
        <v>0</v>
      </c>
      <c r="M167" s="31">
        <f>VLOOKUP($B167,'Tillförd energi'!$B$1:$AI$720,MATCH(M$1,'Tillförd energi'!$B$1:$AQ$1,0),FALSE)</f>
        <v>0</v>
      </c>
      <c r="N167" s="31">
        <f>VLOOKUP($B167,'Tillförd energi'!$B$1:$AI$720,MATCH(N$1,'Tillförd energi'!$B$1:$AQ$1,0),FALSE)</f>
        <v>0</v>
      </c>
      <c r="O167" s="31">
        <f>VLOOKUP($B167,'Tillförd energi'!$B$1:$AI$720,MATCH(O$1,'Tillförd energi'!$B$1:$AQ$1,0),FALSE)</f>
        <v>0</v>
      </c>
      <c r="P167" s="31">
        <f>VLOOKUP($B167,'Tillförd energi'!$B$1:$AI$720,MATCH(P$1,'Tillförd energi'!$B$1:$AQ$1,0),FALSE)</f>
        <v>0</v>
      </c>
      <c r="Q167" s="31">
        <f>VLOOKUP($B167,'Tillförd energi'!$B$1:$AI$720,MATCH(Q$1,'Tillförd energi'!$B$1:$AQ$1,0),FALSE)</f>
        <v>0</v>
      </c>
      <c r="R167" s="31">
        <f>VLOOKUP($B167,'Tillförd energi'!$B$1:$AI$720,MATCH(R$1,'Tillförd energi'!$B$1:$AQ$1,0),FALSE)</f>
        <v>0</v>
      </c>
      <c r="S167" s="31">
        <f>VLOOKUP($B167,'Tillförd energi'!$B$1:$AI$720,MATCH(S$1,'Tillförd energi'!$B$1:$AQ$1,0),FALSE)</f>
        <v>0</v>
      </c>
      <c r="T167" s="31">
        <f>VLOOKUP($B167,'Tillförd energi'!$B$1:$AI$720,MATCH(T$1,'Tillförd energi'!$B$1:$AQ$1,0),FALSE)</f>
        <v>0</v>
      </c>
      <c r="U167" s="31">
        <f>VLOOKUP($B167,'Tillförd energi'!$B$1:$AI$720,MATCH(U$1,'Tillförd energi'!$B$1:$AQ$1,0),FALSE)</f>
        <v>0</v>
      </c>
      <c r="V167" s="31">
        <f>VLOOKUP($B167,'Tillförd energi'!$B$1:$AI$720,MATCH(V$1,'Tillförd energi'!$B$1:$AQ$1,0),FALSE)</f>
        <v>0</v>
      </c>
      <c r="W167" s="31">
        <f>VLOOKUP($B167,'Tillförd energi'!$B$1:$AI$720,MATCH(W$1,'Tillförd energi'!$B$1:$AQ$1,0),FALSE)</f>
        <v>0</v>
      </c>
      <c r="X167" s="31">
        <f>VLOOKUP($B167,'Tillförd energi'!$B$1:$AI$720,MATCH(X$1,'Tillförd energi'!$B$1:$AQ$1,0),FALSE)</f>
        <v>0</v>
      </c>
      <c r="Y167" s="31">
        <f>VLOOKUP($B167,'Tillförd energi'!$B$1:$AI$720,MATCH(Y$1,'Tillförd energi'!$B$1:$AQ$1,0),FALSE)</f>
        <v>0</v>
      </c>
      <c r="Z167" s="31">
        <f>VLOOKUP($B167,'Tillförd energi'!$B$1:$AI$720,MATCH(Z$1,'Tillförd energi'!$B$1:$AQ$1,0),FALSE)</f>
        <v>0</v>
      </c>
      <c r="AA167" s="31">
        <f>VLOOKUP($B167,'Tillförd energi'!$B$1:$AI$720,MATCH(AA$1,'Tillförd energi'!$B$1:$AQ$1,0),FALSE)</f>
        <v>0</v>
      </c>
      <c r="AB167" s="31">
        <f>VLOOKUP($B167,'Tillförd energi'!$B$1:$AI$720,MATCH(AB$1,'Tillförd energi'!$B$1:$AQ$1,0),FALSE)</f>
        <v>0</v>
      </c>
      <c r="AC167" s="31">
        <f>VLOOKUP($B167,'Tillförd energi'!$B$1:$AI$720,MATCH(AC$1,'Tillförd energi'!$B$1:$AQ$1,0),FALSE)</f>
        <v>0</v>
      </c>
      <c r="AD167" s="31">
        <f>VLOOKUP($B167,'Tillförd energi'!$B$1:$AI$720,MATCH(AD$1,'Tillförd energi'!$B$1:$AQ$1,0),FALSE)</f>
        <v>0</v>
      </c>
      <c r="AE167" s="31">
        <f>VLOOKUP($B167,'Tillförd energi'!$B$1:$AI$720,MATCH(AE$1,'Tillförd energi'!$B$1:$AQ$1,0),FALSE)</f>
        <v>0</v>
      </c>
      <c r="AF167" s="31">
        <f>VLOOKUP($B167,'Tillförd energi'!$B$1:$AI$720,MATCH(AF$1,'Tillförd energi'!$B$1:$AQ$1,0),FALSE)</f>
        <v>0</v>
      </c>
      <c r="AG167" s="31">
        <f>IFERROR(VLOOKUP(B167,Miljö!$B$1:$AC$550,MATCH("Köpt mängd produktionsspecifik fjärrvärme:",Miljö!$B$1:$AC$1,0),FALSE)/1,0)</f>
        <v>0</v>
      </c>
      <c r="AI167" s="31">
        <f t="shared" si="46"/>
        <v>0</v>
      </c>
      <c r="AJ167" s="31">
        <f t="shared" si="47"/>
        <v>0</v>
      </c>
      <c r="AK167" s="31" t="str">
        <f>IF(ISERROR(1/VLOOKUP($B167,Leveranser!$B$1:$S$499,MATCH("Såld värme (GWh)",Leveranser!$B$1:$S$1,0),FALSE)),"",VLOOKUP($B167,Leveranser!$B$1:$S$499,MATCH("Såld värme (GWh)",Leveranser!$B$1:$S$1,0),FALSE))</f>
        <v/>
      </c>
      <c r="AL167" s="31">
        <f>VLOOKUP($B167,Leveranser!$B$1:$Y$499,MATCH("Totalt såld fjärrvärme till andra fjärrvärmeföretag",Leveranser!$B$1:$AA$1,0),FALSE)</f>
        <v>0</v>
      </c>
      <c r="AM167" s="31">
        <f>IF(ISERROR(1/VLOOKUP($B167,Miljö!$B$1:$S$500,MATCH("Såld mängd produktionsspecifik fjärrvärme (GWh)",Miljö!$B$1:$R$1,0),FALSE)),0,VLOOKUP($B167,Miljö!$B$1:$S$500,MATCH("Såld mängd produktionsspecifik fjärrvärme (GWh)",Miljö!$B$1:$R$1,0),FALSE))</f>
        <v>0</v>
      </c>
      <c r="AN167" s="32" t="str">
        <f t="shared" si="48"/>
        <v/>
      </c>
      <c r="AP167" s="31" t="str">
        <f>IFERROR(VLOOKUP($B167,Miljövärden!$B$2:$H$550,7,FALSE),"Nej, saknas")</f>
        <v>Nej</v>
      </c>
      <c r="AQ167" s="31" t="str">
        <f>IFERROR(VLOOKUP($B167,Miljövärden!$B$2:$H$551,6,FALSE),"Nej, saknas")</f>
        <v>Ja</v>
      </c>
      <c r="AU167" s="31">
        <f t="shared" si="49"/>
        <v>0</v>
      </c>
      <c r="AV167" s="31">
        <f t="shared" si="50"/>
        <v>0</v>
      </c>
      <c r="AW167" s="31">
        <f t="shared" si="51"/>
        <v>0</v>
      </c>
      <c r="AX167" s="31">
        <f t="shared" si="52"/>
        <v>0</v>
      </c>
      <c r="AZ167" s="31">
        <f t="shared" si="53"/>
        <v>0</v>
      </c>
      <c r="BC167" s="31">
        <f t="shared" si="54"/>
        <v>0</v>
      </c>
      <c r="BD167" s="31">
        <f t="shared" si="55"/>
        <v>0</v>
      </c>
      <c r="BE167" s="31">
        <f t="shared" si="56"/>
        <v>0</v>
      </c>
      <c r="BF167" s="31">
        <f t="shared" si="57"/>
        <v>0</v>
      </c>
      <c r="BG167" s="31">
        <f t="shared" si="58"/>
        <v>0</v>
      </c>
      <c r="BH167" s="31">
        <f>VLOOKUP(B167,Miljö!$B$1:$BX$482,MATCH("Fossilandel för ursprungspecificerad el ()",Miljö!$B$1:$I$1,0),FALSE)</f>
        <v>0</v>
      </c>
      <c r="BI167" s="31">
        <f>VLOOKUP(B167,Miljö!$B$1:$BX$482,MATCH("Kärnkraftsandel för ursprungsspecificerad el ()",Miljö!$B$1:$O$1,0),FALSE)</f>
        <v>0</v>
      </c>
      <c r="BJ167" s="31">
        <f t="shared" si="59"/>
        <v>0</v>
      </c>
      <c r="BK167" s="31" t="str">
        <f>VLOOKUP(B167,Miljö!$B$1:$P$482,MATCH("Fossil andel i procent (%)",Miljö!$B$1:$P$1,0),FALSE)</f>
        <v>ET</v>
      </c>
      <c r="BL167" s="31">
        <f t="shared" si="60"/>
        <v>0</v>
      </c>
      <c r="BO167" s="32" t="str">
        <f t="shared" si="61"/>
        <v/>
      </c>
      <c r="BP167" s="32" t="str">
        <f t="shared" si="62"/>
        <v/>
      </c>
      <c r="BQ167" s="32" t="str">
        <f t="shared" si="63"/>
        <v/>
      </c>
      <c r="BR167" s="32" t="str">
        <f t="shared" si="64"/>
        <v/>
      </c>
      <c r="BT167" s="62">
        <f t="shared" si="65"/>
        <v>0</v>
      </c>
      <c r="BW167" s="32" t="str">
        <f>IF(AP167="Ja",VLOOKUP(B167,Miljövärden!$B$2:$H$551,MATCH("Total andel fossilt",Miljövärden!$B$2:$H$2,0),FALSE),"")</f>
        <v/>
      </c>
      <c r="BX167" s="62" t="e">
        <f t="shared" si="66"/>
        <v>#VALUE!</v>
      </c>
      <c r="BZ167" s="31" t="str">
        <f t="shared" si="67"/>
        <v/>
      </c>
      <c r="CA167" s="32" t="str">
        <f t="shared" si="68"/>
        <v/>
      </c>
    </row>
    <row r="168" spans="1:79" x14ac:dyDescent="0.45">
      <c r="A168" s="31" t="s">
        <v>459</v>
      </c>
      <c r="B168" s="31" t="s">
        <v>458</v>
      </c>
      <c r="C168" s="31">
        <f>VLOOKUP($B168,'Tillförd energi'!$B$1:$AI$720,MATCH(C$1,'Tillförd energi'!$B$1:$AQ$1,0),FALSE)</f>
        <v>0</v>
      </c>
      <c r="D168" s="31">
        <f>VLOOKUP($B168,'Tillförd energi'!$B$1:$AI$720,MATCH(D$1,'Tillförd energi'!$B$1:$AQ$1,0),FALSE)</f>
        <v>0.23</v>
      </c>
      <c r="E168" s="31">
        <f>VLOOKUP($B168,'Tillförd energi'!$B$1:$AI$720,MATCH(E$1,'Tillförd energi'!$B$1:$AQ$1,0),FALSE)</f>
        <v>0</v>
      </c>
      <c r="F168" s="31">
        <f>VLOOKUP($B168,'Tillförd energi'!$B$1:$AI$720,MATCH(F$1,'Tillförd energi'!$B$1:$AQ$1,0),FALSE)</f>
        <v>0</v>
      </c>
      <c r="G168" s="31">
        <f>VLOOKUP($B168,'Tillförd energi'!$B$1:$AI$720,MATCH(G$1,'Tillförd energi'!$B$1:$AQ$1,0),FALSE)</f>
        <v>0</v>
      </c>
      <c r="H168" s="31">
        <f>VLOOKUP($B168,'Tillförd energi'!$B$1:$AI$720,MATCH(H$1,'Tillförd energi'!$B$1:$AQ$1,0),FALSE)</f>
        <v>0</v>
      </c>
      <c r="I168" s="31">
        <f>VLOOKUP($B168,'Tillförd energi'!$B$1:$AI$720,MATCH(I$1,'Tillförd energi'!$B$1:$AQ$1,0),FALSE)</f>
        <v>0</v>
      </c>
      <c r="J168" s="31">
        <f>VLOOKUP($B168,'Tillförd energi'!$B$1:$AI$720,MATCH(J$1,'Tillförd energi'!$B$1:$AQ$1,0),FALSE)</f>
        <v>0</v>
      </c>
      <c r="K168" s="31">
        <f>VLOOKUP($B168,'Tillförd energi'!$B$1:$AI$720,MATCH(K$1,'Tillförd energi'!$B$1:$AQ$1,0),FALSE)</f>
        <v>0</v>
      </c>
      <c r="L168" s="31">
        <f>VLOOKUP($B168,'Tillförd energi'!$B$1:$AI$720,MATCH(L$1,'Tillförd energi'!$B$1:$AQ$1,0),FALSE)</f>
        <v>0</v>
      </c>
      <c r="M168" s="31">
        <f>VLOOKUP($B168,'Tillförd energi'!$B$1:$AI$720,MATCH(M$1,'Tillförd energi'!$B$1:$AQ$1,0),FALSE)</f>
        <v>0</v>
      </c>
      <c r="N168" s="31">
        <f>VLOOKUP($B168,'Tillförd energi'!$B$1:$AI$720,MATCH(N$1,'Tillförd energi'!$B$1:$AQ$1,0),FALSE)</f>
        <v>0</v>
      </c>
      <c r="O168" s="31">
        <f>VLOOKUP($B168,'Tillförd energi'!$B$1:$AI$720,MATCH(O$1,'Tillförd energi'!$B$1:$AQ$1,0),FALSE)</f>
        <v>0</v>
      </c>
      <c r="P168" s="31">
        <f>VLOOKUP($B168,'Tillförd energi'!$B$1:$AI$720,MATCH(P$1,'Tillförd energi'!$B$1:$AQ$1,0),FALSE)</f>
        <v>0</v>
      </c>
      <c r="Q168" s="31">
        <f>VLOOKUP($B168,'Tillförd energi'!$B$1:$AI$720,MATCH(Q$1,'Tillförd energi'!$B$1:$AQ$1,0),FALSE)</f>
        <v>0.29411799999999999</v>
      </c>
      <c r="R168" s="31">
        <f>VLOOKUP($B168,'Tillförd energi'!$B$1:$AI$720,MATCH(R$1,'Tillförd energi'!$B$1:$AQ$1,0),FALSE)</f>
        <v>0</v>
      </c>
      <c r="S168" s="31">
        <f>VLOOKUP($B168,'Tillförd energi'!$B$1:$AI$720,MATCH(S$1,'Tillförd energi'!$B$1:$AQ$1,0),FALSE)</f>
        <v>0</v>
      </c>
      <c r="T168" s="31">
        <f>VLOOKUP($B168,'Tillförd energi'!$B$1:$AI$720,MATCH(T$1,'Tillförd energi'!$B$1:$AQ$1,0),FALSE)</f>
        <v>0</v>
      </c>
      <c r="U168" s="31">
        <f>VLOOKUP($B168,'Tillförd energi'!$B$1:$AI$720,MATCH(U$1,'Tillförd energi'!$B$1:$AQ$1,0),FALSE)</f>
        <v>0</v>
      </c>
      <c r="V168" s="31">
        <f>VLOOKUP($B168,'Tillförd energi'!$B$1:$AI$720,MATCH(V$1,'Tillförd energi'!$B$1:$AQ$1,0),FALSE)</f>
        <v>0</v>
      </c>
      <c r="W168" s="31">
        <f>VLOOKUP($B168,'Tillförd energi'!$B$1:$AI$720,MATCH(W$1,'Tillförd energi'!$B$1:$AQ$1,0),FALSE)</f>
        <v>0.18</v>
      </c>
      <c r="X168" s="31">
        <f>VLOOKUP($B168,'Tillförd energi'!$B$1:$AI$720,MATCH(X$1,'Tillförd energi'!$B$1:$AQ$1,0),FALSE)</f>
        <v>0</v>
      </c>
      <c r="Y168" s="31">
        <f>VLOOKUP($B168,'Tillförd energi'!$B$1:$AI$720,MATCH(Y$1,'Tillförd energi'!$B$1:$AQ$1,0),FALSE)</f>
        <v>0</v>
      </c>
      <c r="Z168" s="31">
        <f>VLOOKUP($B168,'Tillförd energi'!$B$1:$AI$720,MATCH(Z$1,'Tillförd energi'!$B$1:$AQ$1,0),FALSE)</f>
        <v>0</v>
      </c>
      <c r="AA168" s="31">
        <f>VLOOKUP($B168,'Tillförd energi'!$B$1:$AI$720,MATCH(AA$1,'Tillförd energi'!$B$1:$AQ$1,0),FALSE)</f>
        <v>0</v>
      </c>
      <c r="AB168" s="31">
        <f>VLOOKUP($B168,'Tillförd energi'!$B$1:$AI$720,MATCH(AB$1,'Tillförd energi'!$B$1:$AQ$1,0),FALSE)</f>
        <v>0</v>
      </c>
      <c r="AC168" s="31">
        <f>VLOOKUP($B168,'Tillförd energi'!$B$1:$AI$720,MATCH(AC$1,'Tillförd energi'!$B$1:$AQ$1,0),FALSE)</f>
        <v>0</v>
      </c>
      <c r="AD168" s="31">
        <f>VLOOKUP($B168,'Tillförd energi'!$B$1:$AI$720,MATCH(AD$1,'Tillförd energi'!$B$1:$AQ$1,0),FALSE)</f>
        <v>3.71</v>
      </c>
      <c r="AE168" s="31">
        <f>VLOOKUP($B168,'Tillförd energi'!$B$1:$AI$720,MATCH(AE$1,'Tillförd energi'!$B$1:$AQ$1,0),FALSE)</f>
        <v>0</v>
      </c>
      <c r="AF168" s="31">
        <f>VLOOKUP($B168,'Tillförd energi'!$B$1:$AI$720,MATCH(AF$1,'Tillförd energi'!$B$1:$AQ$1,0),FALSE)</f>
        <v>3.1E-2</v>
      </c>
      <c r="AG168" s="31">
        <f>IFERROR(VLOOKUP(B168,Miljö!$B$1:$AC$550,MATCH("Köpt mängd produktionsspecifik fjärrvärme:",Miljö!$B$1:$AC$1,0),FALSE)/1,0)</f>
        <v>0</v>
      </c>
      <c r="AI168" s="31">
        <f t="shared" si="46"/>
        <v>4.4451179999999999</v>
      </c>
      <c r="AJ168" s="31">
        <f t="shared" si="47"/>
        <v>4.4451179999999999</v>
      </c>
      <c r="AK168" s="31">
        <f>IF(ISERROR(1/VLOOKUP($B168,Leveranser!$B$1:$S$499,MATCH("Såld värme (GWh)",Leveranser!$B$1:$S$1,0),FALSE)),"",VLOOKUP($B168,Leveranser!$B$1:$S$499,MATCH("Såld värme (GWh)",Leveranser!$B$1:$S$1,0),FALSE))</f>
        <v>3.8</v>
      </c>
      <c r="AL168" s="31">
        <f>VLOOKUP($B168,Leveranser!$B$1:$Y$499,MATCH("Totalt såld fjärrvärme till andra fjärrvärmeföretag",Leveranser!$B$1:$AA$1,0),FALSE)</f>
        <v>0</v>
      </c>
      <c r="AM168" s="31">
        <f>IF(ISERROR(1/VLOOKUP($B168,Miljö!$B$1:$S$500,MATCH("Såld mängd produktionsspecifik fjärrvärme (GWh)",Miljö!$B$1:$R$1,0),FALSE)),0,VLOOKUP($B168,Miljö!$B$1:$S$500,MATCH("Såld mängd produktionsspecifik fjärrvärme (GWh)",Miljö!$B$1:$R$1,0),FALSE))</f>
        <v>0</v>
      </c>
      <c r="AN168" s="32">
        <f t="shared" si="48"/>
        <v>0.8548704443841536</v>
      </c>
      <c r="AP168" s="31" t="str">
        <f>IFERROR(VLOOKUP($B168,Miljövärden!$B$2:$H$550,7,FALSE),"Nej, saknas")</f>
        <v>Ja</v>
      </c>
      <c r="AQ168" s="31" t="str">
        <f>IFERROR(VLOOKUP($B168,Miljövärden!$B$2:$H$551,6,FALSE),"Nej, saknas")</f>
        <v>Ja</v>
      </c>
      <c r="AU168" s="31">
        <f t="shared" si="49"/>
        <v>3.1E-2</v>
      </c>
      <c r="AV168" s="31">
        <f t="shared" si="50"/>
        <v>0</v>
      </c>
      <c r="AW168" s="31">
        <f t="shared" si="51"/>
        <v>0.29411799999999999</v>
      </c>
      <c r="AX168" s="31">
        <f t="shared" si="52"/>
        <v>0</v>
      </c>
      <c r="AZ168" s="31">
        <f t="shared" si="53"/>
        <v>0.47411799999999998</v>
      </c>
      <c r="BC168" s="31">
        <f t="shared" si="54"/>
        <v>0.23</v>
      </c>
      <c r="BD168" s="31">
        <f t="shared" si="55"/>
        <v>0</v>
      </c>
      <c r="BE168" s="31">
        <f t="shared" si="56"/>
        <v>0.47411799999999998</v>
      </c>
      <c r="BF168" s="31">
        <f t="shared" si="57"/>
        <v>3.71</v>
      </c>
      <c r="BG168" s="31">
        <f t="shared" si="58"/>
        <v>3.1E-2</v>
      </c>
      <c r="BH168" s="31">
        <f>VLOOKUP(B168,Miljö!$B$1:$BX$482,MATCH("Fossilandel för ursprungspecificerad el ()",Miljö!$B$1:$I$1,0),FALSE)</f>
        <v>0</v>
      </c>
      <c r="BI168" s="31">
        <f>VLOOKUP(B168,Miljö!$B$1:$BX$482,MATCH("Kärnkraftsandel för ursprungsspecificerad el ()",Miljö!$B$1:$O$1,0),FALSE)</f>
        <v>0</v>
      </c>
      <c r="BJ168" s="31">
        <f t="shared" si="59"/>
        <v>0</v>
      </c>
      <c r="BK168" s="31" t="str">
        <f>VLOOKUP(B168,Miljö!$B$1:$P$482,MATCH("Fossil andel i procent (%)",Miljö!$B$1:$P$1,0),FALSE)</f>
        <v>ET</v>
      </c>
      <c r="BL168" s="31">
        <f t="shared" si="60"/>
        <v>4.4451179999999999</v>
      </c>
      <c r="BO168" s="32">
        <f t="shared" si="61"/>
        <v>5.1742158475882982E-2</v>
      </c>
      <c r="BP168" s="32">
        <f t="shared" si="62"/>
        <v>0</v>
      </c>
      <c r="BQ168" s="32">
        <f t="shared" si="63"/>
        <v>0.11363432871748286</v>
      </c>
      <c r="BR168" s="32">
        <f t="shared" si="64"/>
        <v>0.83462351280663416</v>
      </c>
      <c r="BT168" s="62">
        <f t="shared" si="65"/>
        <v>1</v>
      </c>
      <c r="BW168" s="32">
        <f>IF(AP168="Ja",VLOOKUP(B168,Miljövärden!$B$2:$H$551,MATCH("Total andel fossilt",Miljövärden!$B$2:$H$2,0),FALSE),"")</f>
        <v>5.1742099999999999E-2</v>
      </c>
      <c r="BX168" s="62">
        <f t="shared" si="66"/>
        <v>-5.8475882983022309E-8</v>
      </c>
      <c r="BZ168" s="31">
        <f t="shared" si="67"/>
        <v>-5.8475882983022309E-8</v>
      </c>
      <c r="CA168" s="32">
        <f t="shared" si="68"/>
        <v>0</v>
      </c>
    </row>
    <row r="169" spans="1:79" x14ac:dyDescent="0.45">
      <c r="A169" s="31" t="s">
        <v>459</v>
      </c>
      <c r="B169" s="31" t="s">
        <v>462</v>
      </c>
      <c r="C169" s="31">
        <f>VLOOKUP($B169,'Tillförd energi'!$B$1:$AI$720,MATCH(C$1,'Tillförd energi'!$B$1:$AQ$1,0),FALSE)</f>
        <v>0</v>
      </c>
      <c r="D169" s="31">
        <f>VLOOKUP($B169,'Tillförd energi'!$B$1:$AI$720,MATCH(D$1,'Tillförd energi'!$B$1:$AQ$1,0),FALSE)</f>
        <v>0</v>
      </c>
      <c r="E169" s="31">
        <f>VLOOKUP($B169,'Tillförd energi'!$B$1:$AI$720,MATCH(E$1,'Tillförd energi'!$B$1:$AQ$1,0),FALSE)</f>
        <v>0</v>
      </c>
      <c r="F169" s="31">
        <f>VLOOKUP($B169,'Tillförd energi'!$B$1:$AI$720,MATCH(F$1,'Tillförd energi'!$B$1:$AQ$1,0),FALSE)</f>
        <v>0</v>
      </c>
      <c r="G169" s="31">
        <f>VLOOKUP($B169,'Tillförd energi'!$B$1:$AI$720,MATCH(G$1,'Tillförd energi'!$B$1:$AQ$1,0),FALSE)</f>
        <v>0</v>
      </c>
      <c r="H169" s="31">
        <f>VLOOKUP($B169,'Tillförd energi'!$B$1:$AI$720,MATCH(H$1,'Tillförd energi'!$B$1:$AQ$1,0),FALSE)</f>
        <v>0</v>
      </c>
      <c r="I169" s="31">
        <f>VLOOKUP($B169,'Tillförd energi'!$B$1:$AI$720,MATCH(I$1,'Tillförd energi'!$B$1:$AQ$1,0),FALSE)</f>
        <v>0</v>
      </c>
      <c r="J169" s="31">
        <f>VLOOKUP($B169,'Tillförd energi'!$B$1:$AI$720,MATCH(J$1,'Tillförd energi'!$B$1:$AQ$1,0),FALSE)</f>
        <v>0</v>
      </c>
      <c r="K169" s="31">
        <f>VLOOKUP($B169,'Tillförd energi'!$B$1:$AI$720,MATCH(K$1,'Tillförd energi'!$B$1:$AQ$1,0),FALSE)</f>
        <v>0</v>
      </c>
      <c r="L169" s="31">
        <f>VLOOKUP($B169,'Tillförd energi'!$B$1:$AI$720,MATCH(L$1,'Tillförd energi'!$B$1:$AQ$1,0),FALSE)</f>
        <v>0</v>
      </c>
      <c r="M169" s="31">
        <f>VLOOKUP($B169,'Tillförd energi'!$B$1:$AI$720,MATCH(M$1,'Tillförd energi'!$B$1:$AQ$1,0),FALSE)</f>
        <v>0</v>
      </c>
      <c r="N169" s="31">
        <f>VLOOKUP($B169,'Tillförd energi'!$B$1:$AI$720,MATCH(N$1,'Tillförd energi'!$B$1:$AQ$1,0),FALSE)</f>
        <v>0</v>
      </c>
      <c r="O169" s="31">
        <f>VLOOKUP($B169,'Tillförd energi'!$B$1:$AI$720,MATCH(O$1,'Tillförd energi'!$B$1:$AQ$1,0),FALSE)</f>
        <v>0</v>
      </c>
      <c r="P169" s="31">
        <f>VLOOKUP($B169,'Tillförd energi'!$B$1:$AI$720,MATCH(P$1,'Tillförd energi'!$B$1:$AQ$1,0),FALSE)</f>
        <v>0</v>
      </c>
      <c r="Q169" s="31">
        <f>VLOOKUP($B169,'Tillförd energi'!$B$1:$AI$720,MATCH(Q$1,'Tillförd energi'!$B$1:$AQ$1,0),FALSE)</f>
        <v>0</v>
      </c>
      <c r="R169" s="31">
        <f>VLOOKUP($B169,'Tillförd energi'!$B$1:$AI$720,MATCH(R$1,'Tillförd energi'!$B$1:$AQ$1,0),FALSE)</f>
        <v>3.8250000000000002</v>
      </c>
      <c r="S169" s="31">
        <f>VLOOKUP($B169,'Tillförd energi'!$B$1:$AI$720,MATCH(S$1,'Tillförd energi'!$B$1:$AQ$1,0),FALSE)</f>
        <v>0</v>
      </c>
      <c r="T169" s="31">
        <f>VLOOKUP($B169,'Tillförd energi'!$B$1:$AI$720,MATCH(T$1,'Tillförd energi'!$B$1:$AQ$1,0),FALSE)</f>
        <v>0</v>
      </c>
      <c r="U169" s="31">
        <f>VLOOKUP($B169,'Tillförd energi'!$B$1:$AI$720,MATCH(U$1,'Tillförd energi'!$B$1:$AQ$1,0),FALSE)</f>
        <v>0</v>
      </c>
      <c r="V169" s="31">
        <f>VLOOKUP($B169,'Tillförd energi'!$B$1:$AI$720,MATCH(V$1,'Tillförd energi'!$B$1:$AQ$1,0),FALSE)</f>
        <v>0</v>
      </c>
      <c r="W169" s="31">
        <f>VLOOKUP($B169,'Tillförd energi'!$B$1:$AI$720,MATCH(W$1,'Tillförd energi'!$B$1:$AQ$1,0),FALSE)</f>
        <v>0</v>
      </c>
      <c r="X169" s="31">
        <f>VLOOKUP($B169,'Tillförd energi'!$B$1:$AI$720,MATCH(X$1,'Tillförd energi'!$B$1:$AQ$1,0),FALSE)</f>
        <v>0</v>
      </c>
      <c r="Y169" s="31">
        <f>VLOOKUP($B169,'Tillförd energi'!$B$1:$AI$720,MATCH(Y$1,'Tillförd energi'!$B$1:$AQ$1,0),FALSE)</f>
        <v>0</v>
      </c>
      <c r="Z169" s="31">
        <f>VLOOKUP($B169,'Tillförd energi'!$B$1:$AI$720,MATCH(Z$1,'Tillförd energi'!$B$1:$AQ$1,0),FALSE)</f>
        <v>0</v>
      </c>
      <c r="AA169" s="31">
        <f>VLOOKUP($B169,'Tillförd energi'!$B$1:$AI$720,MATCH(AA$1,'Tillförd energi'!$B$1:$AQ$1,0),FALSE)</f>
        <v>0</v>
      </c>
      <c r="AB169" s="31">
        <f>VLOOKUP($B169,'Tillförd energi'!$B$1:$AI$720,MATCH(AB$1,'Tillförd energi'!$B$1:$AQ$1,0),FALSE)</f>
        <v>0</v>
      </c>
      <c r="AC169" s="31">
        <f>VLOOKUP($B169,'Tillförd energi'!$B$1:$AI$720,MATCH(AC$1,'Tillförd energi'!$B$1:$AQ$1,0),FALSE)</f>
        <v>0</v>
      </c>
      <c r="AD169" s="31">
        <f>VLOOKUP($B169,'Tillförd energi'!$B$1:$AI$720,MATCH(AD$1,'Tillförd energi'!$B$1:$AQ$1,0),FALSE)</f>
        <v>1.3620000000000001</v>
      </c>
      <c r="AE169" s="31">
        <f>VLOOKUP($B169,'Tillförd energi'!$B$1:$AI$720,MATCH(AE$1,'Tillförd energi'!$B$1:$AQ$1,0),FALSE)</f>
        <v>0</v>
      </c>
      <c r="AF169" s="31">
        <f>VLOOKUP($B169,'Tillförd energi'!$B$1:$AI$720,MATCH(AF$1,'Tillförd energi'!$B$1:$AQ$1,0),FALSE)</f>
        <v>0.21</v>
      </c>
      <c r="AG169" s="31">
        <f>IFERROR(VLOOKUP(B169,Miljö!$B$1:$AC$550,MATCH("Köpt mängd produktionsspecifik fjärrvärme:",Miljö!$B$1:$AC$1,0),FALSE)/1,0)</f>
        <v>0</v>
      </c>
      <c r="AI169" s="31">
        <f t="shared" si="46"/>
        <v>5.3970000000000002</v>
      </c>
      <c r="AJ169" s="31">
        <f t="shared" si="47"/>
        <v>5.3970000000000002</v>
      </c>
      <c r="AK169" s="31">
        <f>IF(ISERROR(1/VLOOKUP($B169,Leveranser!$B$1:$S$499,MATCH("Såld värme (GWh)",Leveranser!$B$1:$S$1,0),FALSE)),"",VLOOKUP($B169,Leveranser!$B$1:$S$499,MATCH("Såld värme (GWh)",Leveranser!$B$1:$S$1,0),FALSE))</f>
        <v>4.7</v>
      </c>
      <c r="AL169" s="31">
        <f>VLOOKUP($B169,Leveranser!$B$1:$Y$499,MATCH("Totalt såld fjärrvärme till andra fjärrvärmeföretag",Leveranser!$B$1:$AA$1,0),FALSE)</f>
        <v>0</v>
      </c>
      <c r="AM169" s="31">
        <f>IF(ISERROR(1/VLOOKUP($B169,Miljö!$B$1:$S$500,MATCH("Såld mängd produktionsspecifik fjärrvärme (GWh)",Miljö!$B$1:$R$1,0),FALSE)),0,VLOOKUP($B169,Miljö!$B$1:$S$500,MATCH("Såld mängd produktionsspecifik fjärrvärme (GWh)",Miljö!$B$1:$R$1,0),FALSE))</f>
        <v>0</v>
      </c>
      <c r="AN169" s="32">
        <f t="shared" si="48"/>
        <v>0.87085417824717437</v>
      </c>
      <c r="AP169" s="31" t="str">
        <f>IFERROR(VLOOKUP($B169,Miljövärden!$B$2:$H$550,7,FALSE),"Nej, saknas")</f>
        <v>Ja</v>
      </c>
      <c r="AQ169" s="31" t="str">
        <f>IFERROR(VLOOKUP($B169,Miljövärden!$B$2:$H$551,6,FALSE),"Nej, saknas")</f>
        <v>Ja</v>
      </c>
      <c r="AU169" s="31">
        <f t="shared" si="49"/>
        <v>0.21</v>
      </c>
      <c r="AV169" s="31">
        <f t="shared" si="50"/>
        <v>0</v>
      </c>
      <c r="AW169" s="31">
        <f t="shared" si="51"/>
        <v>0</v>
      </c>
      <c r="AX169" s="31">
        <f t="shared" si="52"/>
        <v>3.8250000000000002</v>
      </c>
      <c r="AZ169" s="31">
        <f t="shared" si="53"/>
        <v>3.8250000000000002</v>
      </c>
      <c r="BC169" s="31">
        <f t="shared" si="54"/>
        <v>0</v>
      </c>
      <c r="BD169" s="31">
        <f t="shared" si="55"/>
        <v>0</v>
      </c>
      <c r="BE169" s="31">
        <f t="shared" si="56"/>
        <v>3.8250000000000002</v>
      </c>
      <c r="BF169" s="31">
        <f t="shared" si="57"/>
        <v>1.3620000000000001</v>
      </c>
      <c r="BG169" s="31">
        <f t="shared" si="58"/>
        <v>0.21</v>
      </c>
      <c r="BH169" s="31">
        <f>VLOOKUP(B169,Miljö!$B$1:$BX$482,MATCH("Fossilandel för ursprungspecificerad el ()",Miljö!$B$1:$I$1,0),FALSE)</f>
        <v>0</v>
      </c>
      <c r="BI169" s="31">
        <f>VLOOKUP(B169,Miljö!$B$1:$BX$482,MATCH("Kärnkraftsandel för ursprungsspecificerad el ()",Miljö!$B$1:$O$1,0),FALSE)</f>
        <v>0</v>
      </c>
      <c r="BJ169" s="31">
        <f t="shared" si="59"/>
        <v>0</v>
      </c>
      <c r="BK169" s="31" t="str">
        <f>VLOOKUP(B169,Miljö!$B$1:$P$482,MATCH("Fossil andel i procent (%)",Miljö!$B$1:$P$1,0),FALSE)</f>
        <v>ET</v>
      </c>
      <c r="BL169" s="31">
        <f t="shared" si="60"/>
        <v>5.3970000000000002</v>
      </c>
      <c r="BO169" s="32">
        <f t="shared" si="61"/>
        <v>0</v>
      </c>
      <c r="BP169" s="32">
        <f t="shared" si="62"/>
        <v>0</v>
      </c>
      <c r="BQ169" s="32">
        <f t="shared" si="63"/>
        <v>0.74763757643135076</v>
      </c>
      <c r="BR169" s="32">
        <f t="shared" si="64"/>
        <v>0.25236242356864924</v>
      </c>
      <c r="BT169" s="62">
        <f t="shared" si="65"/>
        <v>1</v>
      </c>
      <c r="BW169" s="32">
        <f>IF(AP169="Ja",VLOOKUP(B169,Miljövärden!$B$2:$H$551,MATCH("Total andel fossilt",Miljövärden!$B$2:$H$2,0),FALSE),"")</f>
        <v>0</v>
      </c>
      <c r="BX169" s="62">
        <f t="shared" si="66"/>
        <v>0</v>
      </c>
      <c r="BZ169" s="31">
        <f t="shared" si="67"/>
        <v>0</v>
      </c>
      <c r="CA169" s="32">
        <f t="shared" si="68"/>
        <v>0</v>
      </c>
    </row>
    <row r="170" spans="1:79" x14ac:dyDescent="0.45">
      <c r="A170" s="31" t="s">
        <v>457</v>
      </c>
      <c r="B170" s="31" t="s">
        <v>456</v>
      </c>
      <c r="C170" s="31">
        <f>VLOOKUP($B170,'Tillförd energi'!$B$1:$AI$720,MATCH(C$1,'Tillförd energi'!$B$1:$AQ$1,0),FALSE)</f>
        <v>0</v>
      </c>
      <c r="D170" s="31">
        <f>VLOOKUP($B170,'Tillförd energi'!$B$1:$AI$720,MATCH(D$1,'Tillförd energi'!$B$1:$AQ$1,0),FALSE)</f>
        <v>1.92</v>
      </c>
      <c r="E170" s="31">
        <f>VLOOKUP($B170,'Tillförd energi'!$B$1:$AI$720,MATCH(E$1,'Tillförd energi'!$B$1:$AQ$1,0),FALSE)</f>
        <v>0</v>
      </c>
      <c r="F170" s="31">
        <f>VLOOKUP($B170,'Tillförd energi'!$B$1:$AI$720,MATCH(F$1,'Tillförd energi'!$B$1:$AQ$1,0),FALSE)</f>
        <v>0</v>
      </c>
      <c r="G170" s="31">
        <f>VLOOKUP($B170,'Tillförd energi'!$B$1:$AI$720,MATCH(G$1,'Tillförd energi'!$B$1:$AQ$1,0),FALSE)</f>
        <v>0</v>
      </c>
      <c r="H170" s="31">
        <f>VLOOKUP($B170,'Tillförd energi'!$B$1:$AI$720,MATCH(H$1,'Tillförd energi'!$B$1:$AQ$1,0),FALSE)</f>
        <v>0</v>
      </c>
      <c r="I170" s="31">
        <f>VLOOKUP($B170,'Tillförd energi'!$B$1:$AI$720,MATCH(I$1,'Tillförd energi'!$B$1:$AQ$1,0),FALSE)</f>
        <v>113.57599999999999</v>
      </c>
      <c r="J170" s="31">
        <f>VLOOKUP($B170,'Tillförd energi'!$B$1:$AI$720,MATCH(J$1,'Tillförd energi'!$B$1:$AQ$1,0),FALSE)</f>
        <v>0</v>
      </c>
      <c r="K170" s="31">
        <f>VLOOKUP($B170,'Tillförd energi'!$B$1:$AI$720,MATCH(K$1,'Tillförd energi'!$B$1:$AQ$1,0),FALSE)</f>
        <v>0</v>
      </c>
      <c r="L170" s="31">
        <f>VLOOKUP($B170,'Tillförd energi'!$B$1:$AI$720,MATCH(L$1,'Tillförd energi'!$B$1:$AQ$1,0),FALSE)</f>
        <v>21.722899999999999</v>
      </c>
      <c r="M170" s="31">
        <f>VLOOKUP($B170,'Tillförd energi'!$B$1:$AI$720,MATCH(M$1,'Tillförd energi'!$B$1:$AQ$1,0),FALSE)</f>
        <v>0</v>
      </c>
      <c r="N170" s="31">
        <f>VLOOKUP($B170,'Tillförd energi'!$B$1:$AI$720,MATCH(N$1,'Tillförd energi'!$B$1:$AQ$1,0),FALSE)</f>
        <v>50.277200000000001</v>
      </c>
      <c r="O170" s="31">
        <f>VLOOKUP($B170,'Tillförd energi'!$B$1:$AI$720,MATCH(O$1,'Tillförd energi'!$B$1:$AQ$1,0),FALSE)</f>
        <v>0</v>
      </c>
      <c r="P170" s="31">
        <f>VLOOKUP($B170,'Tillförd energi'!$B$1:$AI$720,MATCH(P$1,'Tillförd energi'!$B$1:$AQ$1,0),FALSE)</f>
        <v>0</v>
      </c>
      <c r="Q170" s="31">
        <f>VLOOKUP($B170,'Tillförd energi'!$B$1:$AI$720,MATCH(Q$1,'Tillförd energi'!$B$1:$AQ$1,0),FALSE)</f>
        <v>0</v>
      </c>
      <c r="R170" s="31">
        <f>VLOOKUP($B170,'Tillförd energi'!$B$1:$AI$720,MATCH(R$1,'Tillförd energi'!$B$1:$AQ$1,0),FALSE)</f>
        <v>7.23</v>
      </c>
      <c r="S170" s="31">
        <f>VLOOKUP($B170,'Tillförd energi'!$B$1:$AI$720,MATCH(S$1,'Tillförd energi'!$B$1:$AQ$1,0),FALSE)</f>
        <v>0</v>
      </c>
      <c r="T170" s="31">
        <f>VLOOKUP($B170,'Tillförd energi'!$B$1:$AI$720,MATCH(T$1,'Tillförd energi'!$B$1:$AQ$1,0),FALSE)</f>
        <v>0</v>
      </c>
      <c r="U170" s="31">
        <f>VLOOKUP($B170,'Tillförd energi'!$B$1:$AI$720,MATCH(U$1,'Tillförd energi'!$B$1:$AQ$1,0),FALSE)</f>
        <v>0</v>
      </c>
      <c r="V170" s="31">
        <f>VLOOKUP($B170,'Tillförd energi'!$B$1:$AI$720,MATCH(V$1,'Tillförd energi'!$B$1:$AQ$1,0),FALSE)</f>
        <v>0</v>
      </c>
      <c r="W170" s="31">
        <f>VLOOKUP($B170,'Tillförd energi'!$B$1:$AI$720,MATCH(W$1,'Tillförd energi'!$B$1:$AQ$1,0),FALSE)</f>
        <v>0</v>
      </c>
      <c r="X170" s="31">
        <f>VLOOKUP($B170,'Tillförd energi'!$B$1:$AI$720,MATCH(X$1,'Tillförd energi'!$B$1:$AQ$1,0),FALSE)</f>
        <v>0</v>
      </c>
      <c r="Y170" s="31">
        <f>VLOOKUP($B170,'Tillförd energi'!$B$1:$AI$720,MATCH(Y$1,'Tillförd energi'!$B$1:$AQ$1,0),FALSE)</f>
        <v>0</v>
      </c>
      <c r="Z170" s="31">
        <f>VLOOKUP($B170,'Tillförd energi'!$B$1:$AI$720,MATCH(Z$1,'Tillförd energi'!$B$1:$AQ$1,0),FALSE)</f>
        <v>0</v>
      </c>
      <c r="AA170" s="31">
        <f>VLOOKUP($B170,'Tillförd energi'!$B$1:$AI$720,MATCH(AA$1,'Tillförd energi'!$B$1:$AQ$1,0),FALSE)</f>
        <v>0</v>
      </c>
      <c r="AB170" s="31">
        <f>VLOOKUP($B170,'Tillförd energi'!$B$1:$AI$720,MATCH(AB$1,'Tillförd energi'!$B$1:$AQ$1,0),FALSE)</f>
        <v>0</v>
      </c>
      <c r="AC170" s="31">
        <f>VLOOKUP($B170,'Tillförd energi'!$B$1:$AI$720,MATCH(AC$1,'Tillförd energi'!$B$1:$AQ$1,0),FALSE)</f>
        <v>0</v>
      </c>
      <c r="AD170" s="31">
        <f>VLOOKUP($B170,'Tillförd energi'!$B$1:$AI$720,MATCH(AD$1,'Tillförd energi'!$B$1:$AQ$1,0),FALSE)</f>
        <v>0</v>
      </c>
      <c r="AE170" s="31">
        <f>VLOOKUP($B170,'Tillförd energi'!$B$1:$AI$720,MATCH(AE$1,'Tillförd energi'!$B$1:$AQ$1,0),FALSE)</f>
        <v>0</v>
      </c>
      <c r="AF170" s="31">
        <f>VLOOKUP($B170,'Tillförd energi'!$B$1:$AI$720,MATCH(AF$1,'Tillförd energi'!$B$1:$AQ$1,0),FALSE)</f>
        <v>4.4370000000000003</v>
      </c>
      <c r="AG170" s="31">
        <f>IFERROR(VLOOKUP(B170,Miljö!$B$1:$AC$550,MATCH("Köpt mängd produktionsspecifik fjärrvärme:",Miljö!$B$1:$AC$1,0),FALSE)/1,0)</f>
        <v>0</v>
      </c>
      <c r="AI170" s="31">
        <f t="shared" si="46"/>
        <v>199.16309999999999</v>
      </c>
      <c r="AJ170" s="31">
        <f t="shared" si="47"/>
        <v>199.16309999999999</v>
      </c>
      <c r="AK170" s="31">
        <f>IF(ISERROR(1/VLOOKUP($B170,Leveranser!$B$1:$S$499,MATCH("Såld värme (GWh)",Leveranser!$B$1:$S$1,0),FALSE)),"",VLOOKUP($B170,Leveranser!$B$1:$S$499,MATCH("Såld värme (GWh)",Leveranser!$B$1:$S$1,0),FALSE))</f>
        <v>147.9</v>
      </c>
      <c r="AL170" s="31">
        <f>VLOOKUP($B170,Leveranser!$B$1:$Y$499,MATCH("Totalt såld fjärrvärme till andra fjärrvärmeföretag",Leveranser!$B$1:$AA$1,0),FALSE)</f>
        <v>0</v>
      </c>
      <c r="AM170" s="31">
        <f>IF(ISERROR(1/VLOOKUP($B170,Miljö!$B$1:$S$500,MATCH("Såld mängd produktionsspecifik fjärrvärme (GWh)",Miljö!$B$1:$R$1,0),FALSE)),0,VLOOKUP($B170,Miljö!$B$1:$S$500,MATCH("Såld mängd produktionsspecifik fjärrvärme (GWh)",Miljö!$B$1:$R$1,0),FALSE))</f>
        <v>0</v>
      </c>
      <c r="AN170" s="32">
        <f t="shared" si="48"/>
        <v>0.74260744083617902</v>
      </c>
      <c r="AP170" s="31" t="str">
        <f>IFERROR(VLOOKUP($B170,Miljövärden!$B$2:$H$550,7,FALSE),"Nej, saknas")</f>
        <v>Ja</v>
      </c>
      <c r="AQ170" s="31" t="str">
        <f>IFERROR(VLOOKUP($B170,Miljövärden!$B$2:$H$551,6,FALSE),"Nej, saknas")</f>
        <v>Ja</v>
      </c>
      <c r="AU170" s="31">
        <f t="shared" si="49"/>
        <v>4.4370000000000003</v>
      </c>
      <c r="AV170" s="31">
        <f t="shared" si="50"/>
        <v>0</v>
      </c>
      <c r="AW170" s="31">
        <f t="shared" si="51"/>
        <v>50.277200000000001</v>
      </c>
      <c r="AX170" s="31">
        <f t="shared" si="52"/>
        <v>7.23</v>
      </c>
      <c r="AZ170" s="31">
        <f t="shared" si="53"/>
        <v>79.230100000000007</v>
      </c>
      <c r="BC170" s="31">
        <f t="shared" si="54"/>
        <v>1.92</v>
      </c>
      <c r="BD170" s="31">
        <f t="shared" si="55"/>
        <v>0</v>
      </c>
      <c r="BE170" s="31">
        <f t="shared" si="56"/>
        <v>57.507199999999997</v>
      </c>
      <c r="BF170" s="31">
        <f t="shared" si="57"/>
        <v>135.2989</v>
      </c>
      <c r="BG170" s="31">
        <f t="shared" si="58"/>
        <v>4.4370000000000003</v>
      </c>
      <c r="BH170" s="31">
        <f>VLOOKUP(B170,Miljö!$B$1:$BX$482,MATCH("Fossilandel för ursprungspecificerad el ()",Miljö!$B$1:$I$1,0),FALSE)</f>
        <v>0</v>
      </c>
      <c r="BI170" s="31">
        <f>VLOOKUP(B170,Miljö!$B$1:$BX$482,MATCH("Kärnkraftsandel för ursprungsspecificerad el ()",Miljö!$B$1:$O$1,0),FALSE)</f>
        <v>0</v>
      </c>
      <c r="BJ170" s="31">
        <f t="shared" si="59"/>
        <v>0</v>
      </c>
      <c r="BK170" s="31" t="str">
        <f>VLOOKUP(B170,Miljö!$B$1:$P$482,MATCH("Fossil andel i procent (%)",Miljö!$B$1:$P$1,0),FALSE)</f>
        <v>ET</v>
      </c>
      <c r="BL170" s="31">
        <f t="shared" si="60"/>
        <v>199.16310000000001</v>
      </c>
      <c r="BO170" s="32">
        <f t="shared" si="61"/>
        <v>9.640340002741471E-3</v>
      </c>
      <c r="BP170" s="32">
        <f t="shared" si="62"/>
        <v>0</v>
      </c>
      <c r="BQ170" s="32">
        <f t="shared" si="63"/>
        <v>0.31102247354053031</v>
      </c>
      <c r="BR170" s="32">
        <f t="shared" si="64"/>
        <v>0.67933718645672814</v>
      </c>
      <c r="BT170" s="62">
        <f t="shared" si="65"/>
        <v>0.99999999999999989</v>
      </c>
      <c r="BW170" s="32">
        <f>IF(AP170="Ja",VLOOKUP(B170,Miljövärden!$B$2:$H$551,MATCH("Total andel fossilt",Miljövärden!$B$2:$H$2,0),FALSE),"")</f>
        <v>9.6403400000000007E-3</v>
      </c>
      <c r="BX170" s="62">
        <f t="shared" si="66"/>
        <v>-2.7414702452599471E-12</v>
      </c>
      <c r="BZ170" s="31">
        <f t="shared" si="67"/>
        <v>-2.7414702452599471E-12</v>
      </c>
      <c r="CA170" s="32">
        <f t="shared" si="68"/>
        <v>0</v>
      </c>
    </row>
    <row r="171" spans="1:79" x14ac:dyDescent="0.45">
      <c r="A171" s="31" t="s">
        <v>453</v>
      </c>
      <c r="B171" s="31" t="s">
        <v>455</v>
      </c>
      <c r="C171" s="31">
        <f>VLOOKUP($B171,'Tillförd energi'!$B$1:$AI$720,MATCH(C$1,'Tillförd energi'!$B$1:$AQ$1,0),FALSE)</f>
        <v>0</v>
      </c>
      <c r="D171" s="31">
        <f>VLOOKUP($B171,'Tillförd energi'!$B$1:$AI$720,MATCH(D$1,'Tillförd energi'!$B$1:$AQ$1,0),FALSE)</f>
        <v>7.0000000000000007E-2</v>
      </c>
      <c r="E171" s="31">
        <f>VLOOKUP($B171,'Tillförd energi'!$B$1:$AI$720,MATCH(E$1,'Tillförd energi'!$B$1:$AQ$1,0),FALSE)</f>
        <v>0</v>
      </c>
      <c r="F171" s="31">
        <f>VLOOKUP($B171,'Tillförd energi'!$B$1:$AI$720,MATCH(F$1,'Tillförd energi'!$B$1:$AQ$1,0),FALSE)</f>
        <v>0</v>
      </c>
      <c r="G171" s="31">
        <f>VLOOKUP($B171,'Tillförd energi'!$B$1:$AI$720,MATCH(G$1,'Tillförd energi'!$B$1:$AQ$1,0),FALSE)</f>
        <v>0</v>
      </c>
      <c r="H171" s="31">
        <f>VLOOKUP($B171,'Tillförd energi'!$B$1:$AI$720,MATCH(H$1,'Tillförd energi'!$B$1:$AQ$1,0),FALSE)</f>
        <v>0</v>
      </c>
      <c r="I171" s="31">
        <f>VLOOKUP($B171,'Tillförd energi'!$B$1:$AI$720,MATCH(I$1,'Tillförd energi'!$B$1:$AQ$1,0),FALSE)</f>
        <v>0</v>
      </c>
      <c r="J171" s="31">
        <f>VLOOKUP($B171,'Tillförd energi'!$B$1:$AI$720,MATCH(J$1,'Tillförd energi'!$B$1:$AQ$1,0),FALSE)</f>
        <v>0</v>
      </c>
      <c r="K171" s="31">
        <f>VLOOKUP($B171,'Tillförd energi'!$B$1:$AI$720,MATCH(K$1,'Tillförd energi'!$B$1:$AQ$1,0),FALSE)</f>
        <v>0</v>
      </c>
      <c r="L171" s="31">
        <f>VLOOKUP($B171,'Tillförd energi'!$B$1:$AI$720,MATCH(L$1,'Tillförd energi'!$B$1:$AQ$1,0),FALSE)</f>
        <v>0</v>
      </c>
      <c r="M171" s="31">
        <f>VLOOKUP($B171,'Tillförd energi'!$B$1:$AI$720,MATCH(M$1,'Tillförd energi'!$B$1:$AQ$1,0),FALSE)</f>
        <v>0</v>
      </c>
      <c r="N171" s="31">
        <f>VLOOKUP($B171,'Tillförd energi'!$B$1:$AI$720,MATCH(N$1,'Tillförd energi'!$B$1:$AQ$1,0),FALSE)</f>
        <v>0</v>
      </c>
      <c r="O171" s="31">
        <f>VLOOKUP($B171,'Tillförd energi'!$B$1:$AI$720,MATCH(O$1,'Tillförd energi'!$B$1:$AQ$1,0),FALSE)</f>
        <v>0</v>
      </c>
      <c r="P171" s="31">
        <f>VLOOKUP($B171,'Tillförd energi'!$B$1:$AI$720,MATCH(P$1,'Tillförd energi'!$B$1:$AQ$1,0),FALSE)</f>
        <v>0</v>
      </c>
      <c r="Q171" s="31">
        <f>VLOOKUP($B171,'Tillförd energi'!$B$1:$AI$720,MATCH(Q$1,'Tillförd energi'!$B$1:$AQ$1,0),FALSE)</f>
        <v>9</v>
      </c>
      <c r="R171" s="31">
        <f>VLOOKUP($B171,'Tillförd energi'!$B$1:$AI$720,MATCH(R$1,'Tillförd energi'!$B$1:$AQ$1,0),FALSE)</f>
        <v>1.4</v>
      </c>
      <c r="S171" s="31">
        <f>VLOOKUP($B171,'Tillförd energi'!$B$1:$AI$720,MATCH(S$1,'Tillförd energi'!$B$1:$AQ$1,0),FALSE)</f>
        <v>0</v>
      </c>
      <c r="T171" s="31">
        <f>VLOOKUP($B171,'Tillförd energi'!$B$1:$AI$720,MATCH(T$1,'Tillförd energi'!$B$1:$AQ$1,0),FALSE)</f>
        <v>0</v>
      </c>
      <c r="U171" s="31">
        <f>VLOOKUP($B171,'Tillförd energi'!$B$1:$AI$720,MATCH(U$1,'Tillförd energi'!$B$1:$AQ$1,0),FALSE)</f>
        <v>0</v>
      </c>
      <c r="V171" s="31">
        <f>VLOOKUP($B171,'Tillförd energi'!$B$1:$AI$720,MATCH(V$1,'Tillförd energi'!$B$1:$AQ$1,0),FALSE)</f>
        <v>0</v>
      </c>
      <c r="W171" s="31">
        <f>VLOOKUP($B171,'Tillförd energi'!$B$1:$AI$720,MATCH(W$1,'Tillförd energi'!$B$1:$AQ$1,0),FALSE)</f>
        <v>0</v>
      </c>
      <c r="X171" s="31">
        <f>VLOOKUP($B171,'Tillförd energi'!$B$1:$AI$720,MATCH(X$1,'Tillförd energi'!$B$1:$AQ$1,0),FALSE)</f>
        <v>0</v>
      </c>
      <c r="Y171" s="31">
        <f>VLOOKUP($B171,'Tillförd energi'!$B$1:$AI$720,MATCH(Y$1,'Tillförd energi'!$B$1:$AQ$1,0),FALSE)</f>
        <v>0</v>
      </c>
      <c r="Z171" s="31">
        <f>VLOOKUP($B171,'Tillförd energi'!$B$1:$AI$720,MATCH(Z$1,'Tillförd energi'!$B$1:$AQ$1,0),FALSE)</f>
        <v>0</v>
      </c>
      <c r="AA171" s="31">
        <f>VLOOKUP($B171,'Tillförd energi'!$B$1:$AI$720,MATCH(AA$1,'Tillförd energi'!$B$1:$AQ$1,0),FALSE)</f>
        <v>0</v>
      </c>
      <c r="AB171" s="31">
        <f>VLOOKUP($B171,'Tillförd energi'!$B$1:$AI$720,MATCH(AB$1,'Tillförd energi'!$B$1:$AQ$1,0),FALSE)</f>
        <v>0</v>
      </c>
      <c r="AC171" s="31">
        <f>VLOOKUP($B171,'Tillförd energi'!$B$1:$AI$720,MATCH(AC$1,'Tillförd energi'!$B$1:$AQ$1,0),FALSE)</f>
        <v>0</v>
      </c>
      <c r="AD171" s="31">
        <f>VLOOKUP($B171,'Tillförd energi'!$B$1:$AI$720,MATCH(AD$1,'Tillförd energi'!$B$1:$AQ$1,0),FALSE)</f>
        <v>0</v>
      </c>
      <c r="AE171" s="31">
        <f>VLOOKUP($B171,'Tillförd energi'!$B$1:$AI$720,MATCH(AE$1,'Tillförd energi'!$B$1:$AQ$1,0),FALSE)</f>
        <v>0</v>
      </c>
      <c r="AF171" s="31">
        <f>VLOOKUP($B171,'Tillförd energi'!$B$1:$AI$720,MATCH(AF$1,'Tillförd energi'!$B$1:$AQ$1,0),FALSE)</f>
        <v>0.16300000000000001</v>
      </c>
      <c r="AG171" s="31">
        <f>IFERROR(VLOOKUP(B171,Miljö!$B$1:$AC$550,MATCH("Köpt mängd produktionsspecifik fjärrvärme:",Miljö!$B$1:$AC$1,0),FALSE)/1,0)</f>
        <v>0</v>
      </c>
      <c r="AI171" s="31">
        <f t="shared" si="46"/>
        <v>10.633000000000001</v>
      </c>
      <c r="AJ171" s="31">
        <f t="shared" si="47"/>
        <v>10.633000000000001</v>
      </c>
      <c r="AK171" s="31">
        <f>IF(ISERROR(1/VLOOKUP($B171,Leveranser!$B$1:$S$499,MATCH("Såld värme (GWh)",Leveranser!$B$1:$S$1,0),FALSE)),"",VLOOKUP($B171,Leveranser!$B$1:$S$499,MATCH("Såld värme (GWh)",Leveranser!$B$1:$S$1,0),FALSE))</f>
        <v>8.1</v>
      </c>
      <c r="AL171" s="31">
        <f>VLOOKUP($B171,Leveranser!$B$1:$Y$499,MATCH("Totalt såld fjärrvärme till andra fjärrvärmeföretag",Leveranser!$B$1:$AA$1,0),FALSE)</f>
        <v>0</v>
      </c>
      <c r="AM171" s="31">
        <f>IF(ISERROR(1/VLOOKUP($B171,Miljö!$B$1:$S$500,MATCH("Såld mängd produktionsspecifik fjärrvärme (GWh)",Miljö!$B$1:$R$1,0),FALSE)),0,VLOOKUP($B171,Miljö!$B$1:$S$500,MATCH("Såld mängd produktionsspecifik fjärrvärme (GWh)",Miljö!$B$1:$R$1,0),FALSE))</f>
        <v>0</v>
      </c>
      <c r="AN171" s="32">
        <f t="shared" si="48"/>
        <v>0.76177936612432984</v>
      </c>
      <c r="AP171" s="31" t="str">
        <f>IFERROR(VLOOKUP($B171,Miljövärden!$B$2:$H$550,7,FALSE),"Nej, saknas")</f>
        <v>Ja</v>
      </c>
      <c r="AQ171" s="31" t="str">
        <f>IFERROR(VLOOKUP($B171,Miljövärden!$B$2:$H$551,6,FALSE),"Nej, saknas")</f>
        <v>Ja</v>
      </c>
      <c r="AU171" s="31">
        <f t="shared" si="49"/>
        <v>0.16300000000000001</v>
      </c>
      <c r="AV171" s="31">
        <f t="shared" si="50"/>
        <v>0</v>
      </c>
      <c r="AW171" s="31">
        <f t="shared" si="51"/>
        <v>9</v>
      </c>
      <c r="AX171" s="31">
        <f t="shared" si="52"/>
        <v>1.4</v>
      </c>
      <c r="AZ171" s="31">
        <f t="shared" si="53"/>
        <v>10.4</v>
      </c>
      <c r="BC171" s="31">
        <f t="shared" si="54"/>
        <v>7.0000000000000007E-2</v>
      </c>
      <c r="BD171" s="31">
        <f t="shared" si="55"/>
        <v>0</v>
      </c>
      <c r="BE171" s="31">
        <f t="shared" si="56"/>
        <v>10.4</v>
      </c>
      <c r="BF171" s="31">
        <f t="shared" si="57"/>
        <v>0</v>
      </c>
      <c r="BG171" s="31">
        <f t="shared" si="58"/>
        <v>0.16300000000000001</v>
      </c>
      <c r="BH171" s="31">
        <f>VLOOKUP(B171,Miljö!$B$1:$BX$482,MATCH("Fossilandel för ursprungspecificerad el ()",Miljö!$B$1:$I$1,0),FALSE)</f>
        <v>0.35</v>
      </c>
      <c r="BI171" s="31">
        <f>VLOOKUP(B171,Miljö!$B$1:$BX$482,MATCH("Kärnkraftsandel för ursprungsspecificerad el ()",Miljö!$B$1:$O$1,0),FALSE)</f>
        <v>0.3977</v>
      </c>
      <c r="BJ171" s="31">
        <f t="shared" si="59"/>
        <v>0</v>
      </c>
      <c r="BK171" s="31" t="str">
        <f>VLOOKUP(B171,Miljö!$B$1:$P$482,MATCH("Fossil andel i procent (%)",Miljö!$B$1:$P$1,0),FALSE)</f>
        <v>ET</v>
      </c>
      <c r="BL171" s="31">
        <f t="shared" si="60"/>
        <v>10.633000000000001</v>
      </c>
      <c r="BO171" s="32">
        <f t="shared" si="61"/>
        <v>1.1948650427913099E-2</v>
      </c>
      <c r="BP171" s="32">
        <f t="shared" si="62"/>
        <v>6.096595504561271E-3</v>
      </c>
      <c r="BQ171" s="32">
        <f t="shared" si="63"/>
        <v>0.98195475406752553</v>
      </c>
      <c r="BR171" s="32">
        <f t="shared" si="64"/>
        <v>0</v>
      </c>
      <c r="BT171" s="62">
        <f t="shared" si="65"/>
        <v>0.99999999999999989</v>
      </c>
      <c r="BW171" s="32">
        <f>IF(AP171="Ja",VLOOKUP(B171,Miljövärden!$B$2:$H$551,MATCH("Total andel fossilt",Miljövärden!$B$2:$H$2,0),FALSE),"")</f>
        <v>1.19487E-2</v>
      </c>
      <c r="BX171" s="62">
        <f t="shared" si="66"/>
        <v>4.9572086900651069E-8</v>
      </c>
      <c r="BZ171" s="31">
        <f t="shared" si="67"/>
        <v>4.9572086900651069E-8</v>
      </c>
      <c r="CA171" s="32">
        <f t="shared" si="68"/>
        <v>0</v>
      </c>
    </row>
    <row r="172" spans="1:79" x14ac:dyDescent="0.45">
      <c r="A172" s="31" t="s">
        <v>453</v>
      </c>
      <c r="B172" s="31" t="s">
        <v>454</v>
      </c>
      <c r="C172" s="31">
        <f>VLOOKUP($B172,'Tillförd energi'!$B$1:$AI$720,MATCH(C$1,'Tillförd energi'!$B$1:$AQ$1,0),FALSE)</f>
        <v>0</v>
      </c>
      <c r="D172" s="31">
        <f>VLOOKUP($B172,'Tillförd energi'!$B$1:$AI$720,MATCH(D$1,'Tillförd energi'!$B$1:$AQ$1,0),FALSE)</f>
        <v>0.09</v>
      </c>
      <c r="E172" s="31">
        <f>VLOOKUP($B172,'Tillförd energi'!$B$1:$AI$720,MATCH(E$1,'Tillförd energi'!$B$1:$AQ$1,0),FALSE)</f>
        <v>0</v>
      </c>
      <c r="F172" s="31">
        <f>VLOOKUP($B172,'Tillförd energi'!$B$1:$AI$720,MATCH(F$1,'Tillförd energi'!$B$1:$AQ$1,0),FALSE)</f>
        <v>0</v>
      </c>
      <c r="G172" s="31">
        <f>VLOOKUP($B172,'Tillförd energi'!$B$1:$AI$720,MATCH(G$1,'Tillförd energi'!$B$1:$AQ$1,0),FALSE)</f>
        <v>0</v>
      </c>
      <c r="H172" s="31">
        <f>VLOOKUP($B172,'Tillförd energi'!$B$1:$AI$720,MATCH(H$1,'Tillförd energi'!$B$1:$AQ$1,0),FALSE)</f>
        <v>0</v>
      </c>
      <c r="I172" s="31">
        <f>VLOOKUP($B172,'Tillförd energi'!$B$1:$AI$720,MATCH(I$1,'Tillförd energi'!$B$1:$AQ$1,0),FALSE)</f>
        <v>0</v>
      </c>
      <c r="J172" s="31">
        <f>VLOOKUP($B172,'Tillförd energi'!$B$1:$AI$720,MATCH(J$1,'Tillförd energi'!$B$1:$AQ$1,0),FALSE)</f>
        <v>0</v>
      </c>
      <c r="K172" s="31">
        <f>VLOOKUP($B172,'Tillförd energi'!$B$1:$AI$720,MATCH(K$1,'Tillförd energi'!$B$1:$AQ$1,0),FALSE)</f>
        <v>0</v>
      </c>
      <c r="L172" s="31">
        <f>VLOOKUP($B172,'Tillförd energi'!$B$1:$AI$720,MATCH(L$1,'Tillförd energi'!$B$1:$AQ$1,0),FALSE)</f>
        <v>0</v>
      </c>
      <c r="M172" s="31">
        <f>VLOOKUP($B172,'Tillförd energi'!$B$1:$AI$720,MATCH(M$1,'Tillförd energi'!$B$1:$AQ$1,0),FALSE)</f>
        <v>0</v>
      </c>
      <c r="N172" s="31">
        <f>VLOOKUP($B172,'Tillförd energi'!$B$1:$AI$720,MATCH(N$1,'Tillförd energi'!$B$1:$AQ$1,0),FALSE)</f>
        <v>0</v>
      </c>
      <c r="O172" s="31">
        <f>VLOOKUP($B172,'Tillförd energi'!$B$1:$AI$720,MATCH(O$1,'Tillförd energi'!$B$1:$AQ$1,0),FALSE)</f>
        <v>0</v>
      </c>
      <c r="P172" s="31">
        <f>VLOOKUP($B172,'Tillförd energi'!$B$1:$AI$720,MATCH(P$1,'Tillförd energi'!$B$1:$AQ$1,0),FALSE)</f>
        <v>11</v>
      </c>
      <c r="Q172" s="31">
        <f>VLOOKUP($B172,'Tillförd energi'!$B$1:$AI$720,MATCH(Q$1,'Tillförd energi'!$B$1:$AQ$1,0),FALSE)</f>
        <v>0</v>
      </c>
      <c r="R172" s="31">
        <f>VLOOKUP($B172,'Tillförd energi'!$B$1:$AI$720,MATCH(R$1,'Tillförd energi'!$B$1:$AQ$1,0),FALSE)</f>
        <v>0.3</v>
      </c>
      <c r="S172" s="31">
        <f>VLOOKUP($B172,'Tillförd energi'!$B$1:$AI$720,MATCH(S$1,'Tillförd energi'!$B$1:$AQ$1,0),FALSE)</f>
        <v>0</v>
      </c>
      <c r="T172" s="31">
        <f>VLOOKUP($B172,'Tillförd energi'!$B$1:$AI$720,MATCH(T$1,'Tillförd energi'!$B$1:$AQ$1,0),FALSE)</f>
        <v>0</v>
      </c>
      <c r="U172" s="31">
        <f>VLOOKUP($B172,'Tillförd energi'!$B$1:$AI$720,MATCH(U$1,'Tillförd energi'!$B$1:$AQ$1,0),FALSE)</f>
        <v>0</v>
      </c>
      <c r="V172" s="31">
        <f>VLOOKUP($B172,'Tillförd energi'!$B$1:$AI$720,MATCH(V$1,'Tillförd energi'!$B$1:$AQ$1,0),FALSE)</f>
        <v>0</v>
      </c>
      <c r="W172" s="31">
        <f>VLOOKUP($B172,'Tillförd energi'!$B$1:$AI$720,MATCH(W$1,'Tillförd energi'!$B$1:$AQ$1,0),FALSE)</f>
        <v>0</v>
      </c>
      <c r="X172" s="31">
        <f>VLOOKUP($B172,'Tillförd energi'!$B$1:$AI$720,MATCH(X$1,'Tillförd energi'!$B$1:$AQ$1,0),FALSE)</f>
        <v>0</v>
      </c>
      <c r="Y172" s="31">
        <f>VLOOKUP($B172,'Tillförd energi'!$B$1:$AI$720,MATCH(Y$1,'Tillförd energi'!$B$1:$AQ$1,0),FALSE)</f>
        <v>0</v>
      </c>
      <c r="Z172" s="31">
        <f>VLOOKUP($B172,'Tillförd energi'!$B$1:$AI$720,MATCH(Z$1,'Tillförd energi'!$B$1:$AQ$1,0),FALSE)</f>
        <v>0</v>
      </c>
      <c r="AA172" s="31">
        <f>VLOOKUP($B172,'Tillförd energi'!$B$1:$AI$720,MATCH(AA$1,'Tillförd energi'!$B$1:$AQ$1,0),FALSE)</f>
        <v>0</v>
      </c>
      <c r="AB172" s="31">
        <f>VLOOKUP($B172,'Tillförd energi'!$B$1:$AI$720,MATCH(AB$1,'Tillförd energi'!$B$1:$AQ$1,0),FALSE)</f>
        <v>0</v>
      </c>
      <c r="AC172" s="31">
        <f>VLOOKUP($B172,'Tillförd energi'!$B$1:$AI$720,MATCH(AC$1,'Tillförd energi'!$B$1:$AQ$1,0),FALSE)</f>
        <v>1.6</v>
      </c>
      <c r="AD172" s="31">
        <f>VLOOKUP($B172,'Tillförd energi'!$B$1:$AI$720,MATCH(AD$1,'Tillförd energi'!$B$1:$AQ$1,0),FALSE)</f>
        <v>0</v>
      </c>
      <c r="AE172" s="31">
        <f>VLOOKUP($B172,'Tillförd energi'!$B$1:$AI$720,MATCH(AE$1,'Tillförd energi'!$B$1:$AQ$1,0),FALSE)</f>
        <v>0</v>
      </c>
      <c r="AF172" s="31">
        <f>VLOOKUP($B172,'Tillförd energi'!$B$1:$AI$720,MATCH(AF$1,'Tillförd energi'!$B$1:$AQ$1,0),FALSE)</f>
        <v>0.4</v>
      </c>
      <c r="AG172" s="31">
        <f>IFERROR(VLOOKUP(B172,Miljö!$B$1:$AC$550,MATCH("Köpt mängd produktionsspecifik fjärrvärme:",Miljö!$B$1:$AC$1,0),FALSE)/1,0)</f>
        <v>0</v>
      </c>
      <c r="AI172" s="31">
        <f t="shared" si="46"/>
        <v>13.39</v>
      </c>
      <c r="AJ172" s="31">
        <f t="shared" si="47"/>
        <v>13.39</v>
      </c>
      <c r="AK172" s="31">
        <f>IF(ISERROR(1/VLOOKUP($B172,Leveranser!$B$1:$S$499,MATCH("Såld värme (GWh)",Leveranser!$B$1:$S$1,0),FALSE)),"",VLOOKUP($B172,Leveranser!$B$1:$S$499,MATCH("Såld värme (GWh)",Leveranser!$B$1:$S$1,0),FALSE))</f>
        <v>11.1</v>
      </c>
      <c r="AL172" s="31">
        <f>VLOOKUP($B172,Leveranser!$B$1:$Y$499,MATCH("Totalt såld fjärrvärme till andra fjärrvärmeföretag",Leveranser!$B$1:$AA$1,0),FALSE)</f>
        <v>0</v>
      </c>
      <c r="AM172" s="31">
        <f>IF(ISERROR(1/VLOOKUP($B172,Miljö!$B$1:$S$500,MATCH("Såld mängd produktionsspecifik fjärrvärme (GWh)",Miljö!$B$1:$R$1,0),FALSE)),0,VLOOKUP($B172,Miljö!$B$1:$S$500,MATCH("Såld mängd produktionsspecifik fjärrvärme (GWh)",Miljö!$B$1:$R$1,0),FALSE))</f>
        <v>0</v>
      </c>
      <c r="AN172" s="32">
        <f t="shared" si="48"/>
        <v>0.82897684839432406</v>
      </c>
      <c r="AP172" s="31" t="str">
        <f>IFERROR(VLOOKUP($B172,Miljövärden!$B$2:$H$550,7,FALSE),"Nej, saknas")</f>
        <v>Ja</v>
      </c>
      <c r="AQ172" s="31" t="str">
        <f>IFERROR(VLOOKUP($B172,Miljövärden!$B$2:$H$551,6,FALSE),"Nej, saknas")</f>
        <v>Ja</v>
      </c>
      <c r="AU172" s="31">
        <f t="shared" si="49"/>
        <v>0.4</v>
      </c>
      <c r="AV172" s="31">
        <f t="shared" si="50"/>
        <v>0</v>
      </c>
      <c r="AW172" s="31">
        <f t="shared" si="51"/>
        <v>11</v>
      </c>
      <c r="AX172" s="31">
        <f t="shared" si="52"/>
        <v>0.3</v>
      </c>
      <c r="AZ172" s="31">
        <f t="shared" si="53"/>
        <v>11.3</v>
      </c>
      <c r="BC172" s="31">
        <f t="shared" si="54"/>
        <v>0.09</v>
      </c>
      <c r="BD172" s="31">
        <f t="shared" si="55"/>
        <v>0</v>
      </c>
      <c r="BE172" s="31">
        <f t="shared" si="56"/>
        <v>11.3</v>
      </c>
      <c r="BF172" s="31">
        <f t="shared" si="57"/>
        <v>1.6</v>
      </c>
      <c r="BG172" s="31">
        <f t="shared" si="58"/>
        <v>0.4</v>
      </c>
      <c r="BH172" s="31">
        <f>VLOOKUP(B172,Miljö!$B$1:$BX$482,MATCH("Fossilandel för ursprungspecificerad el ()",Miljö!$B$1:$I$1,0),FALSE)</f>
        <v>0</v>
      </c>
      <c r="BI172" s="31">
        <f>VLOOKUP(B172,Miljö!$B$1:$BX$482,MATCH("Kärnkraftsandel för ursprungsspecificerad el ()",Miljö!$B$1:$O$1,0),FALSE)</f>
        <v>0</v>
      </c>
      <c r="BJ172" s="31">
        <f t="shared" si="59"/>
        <v>0</v>
      </c>
      <c r="BK172" s="31" t="str">
        <f>VLOOKUP(B172,Miljö!$B$1:$P$482,MATCH("Fossil andel i procent (%)",Miljö!$B$1:$P$1,0),FALSE)</f>
        <v>ET</v>
      </c>
      <c r="BL172" s="31">
        <f t="shared" si="60"/>
        <v>13.39</v>
      </c>
      <c r="BO172" s="32">
        <f t="shared" si="61"/>
        <v>6.7214339058999251E-3</v>
      </c>
      <c r="BP172" s="32">
        <f t="shared" si="62"/>
        <v>0</v>
      </c>
      <c r="BQ172" s="32">
        <f t="shared" si="63"/>
        <v>0.87378640776699035</v>
      </c>
      <c r="BR172" s="32">
        <f t="shared" si="64"/>
        <v>0.11949215832710978</v>
      </c>
      <c r="BT172" s="62">
        <f t="shared" si="65"/>
        <v>1</v>
      </c>
      <c r="BW172" s="32">
        <f>IF(AP172="Ja",VLOOKUP(B172,Miljövärden!$B$2:$H$551,MATCH("Total andel fossilt",Miljövärden!$B$2:$H$2,0),FALSE),"")</f>
        <v>6.7214299999999996E-3</v>
      </c>
      <c r="BX172" s="62">
        <f t="shared" si="66"/>
        <v>-3.9058999255422999E-9</v>
      </c>
      <c r="BZ172" s="31">
        <f t="shared" si="67"/>
        <v>-3.9058999255422999E-9</v>
      </c>
      <c r="CA172" s="32">
        <f t="shared" si="68"/>
        <v>0</v>
      </c>
    </row>
    <row r="173" spans="1:79" x14ac:dyDescent="0.45">
      <c r="A173" s="31" t="s">
        <v>453</v>
      </c>
      <c r="B173" s="31" t="s">
        <v>452</v>
      </c>
      <c r="C173" s="31">
        <f>VLOOKUP($B173,'Tillförd energi'!$B$1:$AI$720,MATCH(C$1,'Tillförd energi'!$B$1:$AQ$1,0),FALSE)</f>
        <v>0</v>
      </c>
      <c r="D173" s="31">
        <f>VLOOKUP($B173,'Tillförd energi'!$B$1:$AI$720,MATCH(D$1,'Tillförd energi'!$B$1:$AQ$1,0),FALSE)</f>
        <v>1.2999999999999999E-2</v>
      </c>
      <c r="E173" s="31">
        <f>VLOOKUP($B173,'Tillförd energi'!$B$1:$AI$720,MATCH(E$1,'Tillförd energi'!$B$1:$AQ$1,0),FALSE)</f>
        <v>0</v>
      </c>
      <c r="F173" s="31">
        <f>VLOOKUP($B173,'Tillförd energi'!$B$1:$AI$720,MATCH(F$1,'Tillförd energi'!$B$1:$AQ$1,0),FALSE)</f>
        <v>0</v>
      </c>
      <c r="G173" s="31">
        <f>VLOOKUP($B173,'Tillförd energi'!$B$1:$AI$720,MATCH(G$1,'Tillförd energi'!$B$1:$AQ$1,0),FALSE)</f>
        <v>0</v>
      </c>
      <c r="H173" s="31">
        <f>VLOOKUP($B173,'Tillförd energi'!$B$1:$AI$720,MATCH(H$1,'Tillförd energi'!$B$1:$AQ$1,0),FALSE)</f>
        <v>0</v>
      </c>
      <c r="I173" s="31">
        <f>VLOOKUP($B173,'Tillförd energi'!$B$1:$AI$720,MATCH(I$1,'Tillförd energi'!$B$1:$AQ$1,0),FALSE)</f>
        <v>0</v>
      </c>
      <c r="J173" s="31">
        <f>VLOOKUP($B173,'Tillförd energi'!$B$1:$AI$720,MATCH(J$1,'Tillförd energi'!$B$1:$AQ$1,0),FALSE)</f>
        <v>0</v>
      </c>
      <c r="K173" s="31">
        <f>VLOOKUP($B173,'Tillförd energi'!$B$1:$AI$720,MATCH(K$1,'Tillförd energi'!$B$1:$AQ$1,0),FALSE)</f>
        <v>0</v>
      </c>
      <c r="L173" s="31">
        <f>VLOOKUP($B173,'Tillförd energi'!$B$1:$AI$720,MATCH(L$1,'Tillförd energi'!$B$1:$AQ$1,0),FALSE)</f>
        <v>0</v>
      </c>
      <c r="M173" s="31">
        <f>VLOOKUP($B173,'Tillförd energi'!$B$1:$AI$720,MATCH(M$1,'Tillförd energi'!$B$1:$AQ$1,0),FALSE)</f>
        <v>5.2</v>
      </c>
      <c r="N173" s="31">
        <f>VLOOKUP($B173,'Tillförd energi'!$B$1:$AI$720,MATCH(N$1,'Tillförd energi'!$B$1:$AQ$1,0),FALSE)</f>
        <v>56.4</v>
      </c>
      <c r="O173" s="31">
        <f>VLOOKUP($B173,'Tillförd energi'!$B$1:$AI$720,MATCH(O$1,'Tillförd energi'!$B$1:$AQ$1,0),FALSE)</f>
        <v>0</v>
      </c>
      <c r="P173" s="31">
        <f>VLOOKUP($B173,'Tillförd energi'!$B$1:$AI$720,MATCH(P$1,'Tillförd energi'!$B$1:$AQ$1,0),FALSE)</f>
        <v>0</v>
      </c>
      <c r="Q173" s="31">
        <f>VLOOKUP($B173,'Tillförd energi'!$B$1:$AI$720,MATCH(Q$1,'Tillförd energi'!$B$1:$AQ$1,0),FALSE)</f>
        <v>0</v>
      </c>
      <c r="R173" s="31">
        <f>VLOOKUP($B173,'Tillförd energi'!$B$1:$AI$720,MATCH(R$1,'Tillförd energi'!$B$1:$AQ$1,0),FALSE)</f>
        <v>0</v>
      </c>
      <c r="S173" s="31">
        <f>VLOOKUP($B173,'Tillförd energi'!$B$1:$AI$720,MATCH(S$1,'Tillförd energi'!$B$1:$AQ$1,0),FALSE)</f>
        <v>0</v>
      </c>
      <c r="T173" s="31">
        <f>VLOOKUP($B173,'Tillförd energi'!$B$1:$AI$720,MATCH(T$1,'Tillförd energi'!$B$1:$AQ$1,0),FALSE)</f>
        <v>0</v>
      </c>
      <c r="U173" s="31">
        <f>VLOOKUP($B173,'Tillförd energi'!$B$1:$AI$720,MATCH(U$1,'Tillförd energi'!$B$1:$AQ$1,0),FALSE)</f>
        <v>0</v>
      </c>
      <c r="V173" s="31">
        <f>VLOOKUP($B173,'Tillförd energi'!$B$1:$AI$720,MATCH(V$1,'Tillförd energi'!$B$1:$AQ$1,0),FALSE)</f>
        <v>0</v>
      </c>
      <c r="W173" s="31">
        <f>VLOOKUP($B173,'Tillförd energi'!$B$1:$AI$720,MATCH(W$1,'Tillförd energi'!$B$1:$AQ$1,0),FALSE)</f>
        <v>0</v>
      </c>
      <c r="X173" s="31">
        <f>VLOOKUP($B173,'Tillförd energi'!$B$1:$AI$720,MATCH(X$1,'Tillförd energi'!$B$1:$AQ$1,0),FALSE)</f>
        <v>0</v>
      </c>
      <c r="Y173" s="31">
        <f>VLOOKUP($B173,'Tillförd energi'!$B$1:$AI$720,MATCH(Y$1,'Tillförd energi'!$B$1:$AQ$1,0),FALSE)</f>
        <v>0</v>
      </c>
      <c r="Z173" s="31">
        <f>VLOOKUP($B173,'Tillförd energi'!$B$1:$AI$720,MATCH(Z$1,'Tillförd energi'!$B$1:$AQ$1,0),FALSE)</f>
        <v>0</v>
      </c>
      <c r="AA173" s="31">
        <f>VLOOKUP($B173,'Tillförd energi'!$B$1:$AI$720,MATCH(AA$1,'Tillförd energi'!$B$1:$AQ$1,0),FALSE)</f>
        <v>0</v>
      </c>
      <c r="AB173" s="31">
        <f>VLOOKUP($B173,'Tillförd energi'!$B$1:$AI$720,MATCH(AB$1,'Tillförd energi'!$B$1:$AQ$1,0),FALSE)</f>
        <v>0</v>
      </c>
      <c r="AC173" s="31">
        <f>VLOOKUP($B173,'Tillförd energi'!$B$1:$AI$720,MATCH(AC$1,'Tillförd energi'!$B$1:$AQ$1,0),FALSE)</f>
        <v>12.1</v>
      </c>
      <c r="AD173" s="31">
        <f>VLOOKUP($B173,'Tillförd energi'!$B$1:$AI$720,MATCH(AD$1,'Tillförd energi'!$B$1:$AQ$1,0),FALSE)</f>
        <v>0</v>
      </c>
      <c r="AE173" s="31">
        <f>VLOOKUP($B173,'Tillförd energi'!$B$1:$AI$720,MATCH(AE$1,'Tillförd energi'!$B$1:$AQ$1,0),FALSE)</f>
        <v>0</v>
      </c>
      <c r="AF173" s="31">
        <f>VLOOKUP($B173,'Tillförd energi'!$B$1:$AI$720,MATCH(AF$1,'Tillförd energi'!$B$1:$AQ$1,0),FALSE)</f>
        <v>2.1</v>
      </c>
      <c r="AG173" s="31">
        <f>IFERROR(VLOOKUP(B173,Miljö!$B$1:$AC$550,MATCH("Köpt mängd produktionsspecifik fjärrvärme:",Miljö!$B$1:$AC$1,0),FALSE)/1,0)</f>
        <v>0</v>
      </c>
      <c r="AI173" s="31">
        <f t="shared" si="46"/>
        <v>75.812999999999988</v>
      </c>
      <c r="AJ173" s="31">
        <f t="shared" si="47"/>
        <v>75.812999999999988</v>
      </c>
      <c r="AK173" s="31">
        <f>IF(ISERROR(1/VLOOKUP($B173,Leveranser!$B$1:$S$499,MATCH("Såld värme (GWh)",Leveranser!$B$1:$S$1,0),FALSE)),"",VLOOKUP($B173,Leveranser!$B$1:$S$499,MATCH("Såld värme (GWh)",Leveranser!$B$1:$S$1,0),FALSE))</f>
        <v>61.7</v>
      </c>
      <c r="AL173" s="31">
        <f>VLOOKUP($B173,Leveranser!$B$1:$Y$499,MATCH("Totalt såld fjärrvärme till andra fjärrvärmeföretag",Leveranser!$B$1:$AA$1,0),FALSE)</f>
        <v>0</v>
      </c>
      <c r="AM173" s="31">
        <f>IF(ISERROR(1/VLOOKUP($B173,Miljö!$B$1:$S$500,MATCH("Såld mängd produktionsspecifik fjärrvärme (GWh)",Miljö!$B$1:$R$1,0),FALSE)),0,VLOOKUP($B173,Miljö!$B$1:$S$500,MATCH("Såld mängd produktionsspecifik fjärrvärme (GWh)",Miljö!$B$1:$R$1,0),FALSE))</f>
        <v>0</v>
      </c>
      <c r="AN173" s="32">
        <f t="shared" si="48"/>
        <v>0.81384459129700726</v>
      </c>
      <c r="AP173" s="31" t="str">
        <f>IFERROR(VLOOKUP($B173,Miljövärden!$B$2:$H$550,7,FALSE),"Nej, saknas")</f>
        <v>Ja</v>
      </c>
      <c r="AQ173" s="31" t="str">
        <f>IFERROR(VLOOKUP($B173,Miljövärden!$B$2:$H$551,6,FALSE),"Nej, saknas")</f>
        <v>Ja</v>
      </c>
      <c r="AU173" s="31">
        <f t="shared" si="49"/>
        <v>2.1</v>
      </c>
      <c r="AV173" s="31">
        <f t="shared" si="50"/>
        <v>0</v>
      </c>
      <c r="AW173" s="31">
        <f t="shared" si="51"/>
        <v>61.6</v>
      </c>
      <c r="AX173" s="31">
        <f t="shared" si="52"/>
        <v>0</v>
      </c>
      <c r="AZ173" s="31">
        <f t="shared" si="53"/>
        <v>61.6</v>
      </c>
      <c r="BC173" s="31">
        <f t="shared" si="54"/>
        <v>1.2999999999999999E-2</v>
      </c>
      <c r="BD173" s="31">
        <f t="shared" si="55"/>
        <v>0</v>
      </c>
      <c r="BE173" s="31">
        <f t="shared" si="56"/>
        <v>61.6</v>
      </c>
      <c r="BF173" s="31">
        <f t="shared" si="57"/>
        <v>12.1</v>
      </c>
      <c r="BG173" s="31">
        <f t="shared" si="58"/>
        <v>2.1</v>
      </c>
      <c r="BH173" s="31">
        <f>VLOOKUP(B173,Miljö!$B$1:$BX$482,MATCH("Fossilandel för ursprungspecificerad el ()",Miljö!$B$1:$I$1,0),FALSE)</f>
        <v>0</v>
      </c>
      <c r="BI173" s="31">
        <f>VLOOKUP(B173,Miljö!$B$1:$BX$482,MATCH("Kärnkraftsandel för ursprungsspecificerad el ()",Miljö!$B$1:$O$1,0),FALSE)</f>
        <v>0</v>
      </c>
      <c r="BJ173" s="31">
        <f t="shared" si="59"/>
        <v>0</v>
      </c>
      <c r="BK173" s="31" t="str">
        <f>VLOOKUP(B173,Miljö!$B$1:$P$482,MATCH("Fossil andel i procent (%)",Miljö!$B$1:$P$1,0),FALSE)</f>
        <v>ET</v>
      </c>
      <c r="BL173" s="31">
        <f t="shared" si="60"/>
        <v>75.812999999999988</v>
      </c>
      <c r="BO173" s="32">
        <f t="shared" si="61"/>
        <v>1.7147454921979081E-4</v>
      </c>
      <c r="BP173" s="32">
        <f t="shared" si="62"/>
        <v>0</v>
      </c>
      <c r="BQ173" s="32">
        <f t="shared" si="63"/>
        <v>0.84022529117697509</v>
      </c>
      <c r="BR173" s="32">
        <f t="shared" si="64"/>
        <v>0.15960323427380529</v>
      </c>
      <c r="BT173" s="62">
        <f t="shared" si="65"/>
        <v>1.0000000000000002</v>
      </c>
      <c r="BW173" s="32">
        <f>IF(AP173="Ja",VLOOKUP(B173,Miljövärden!$B$2:$H$551,MATCH("Total andel fossilt",Miljövärden!$B$2:$H$2,0),FALSE),"")</f>
        <v>1.7147500000000001E-4</v>
      </c>
      <c r="BX173" s="62">
        <f t="shared" si="66"/>
        <v>4.507802091942726E-10</v>
      </c>
      <c r="BZ173" s="31">
        <f t="shared" si="67"/>
        <v>4.507802091942726E-10</v>
      </c>
      <c r="CA173" s="32">
        <f t="shared" si="68"/>
        <v>0</v>
      </c>
    </row>
    <row r="174" spans="1:79" x14ac:dyDescent="0.45">
      <c r="A174" s="31" t="s">
        <v>449</v>
      </c>
      <c r="B174" s="31" t="s">
        <v>451</v>
      </c>
      <c r="C174" s="31">
        <f>VLOOKUP($B174,'Tillförd energi'!$B$1:$AI$720,MATCH(C$1,'Tillförd energi'!$B$1:$AQ$1,0),FALSE)</f>
        <v>0</v>
      </c>
      <c r="D174" s="31">
        <f>VLOOKUP($B174,'Tillförd energi'!$B$1:$AI$720,MATCH(D$1,'Tillförd energi'!$B$1:$AQ$1,0),FALSE)</f>
        <v>52.6</v>
      </c>
      <c r="E174" s="31">
        <f>VLOOKUP($B174,'Tillförd energi'!$B$1:$AI$720,MATCH(E$1,'Tillförd energi'!$B$1:$AQ$1,0),FALSE)</f>
        <v>0</v>
      </c>
      <c r="F174" s="31">
        <f>VLOOKUP($B174,'Tillförd energi'!$B$1:$AI$720,MATCH(F$1,'Tillförd energi'!$B$1:$AQ$1,0),FALSE)</f>
        <v>6.1</v>
      </c>
      <c r="G174" s="31">
        <f>VLOOKUP($B174,'Tillförd energi'!$B$1:$AI$720,MATCH(G$1,'Tillförd energi'!$B$1:$AQ$1,0),FALSE)</f>
        <v>0</v>
      </c>
      <c r="H174" s="31">
        <f>VLOOKUP($B174,'Tillförd energi'!$B$1:$AI$720,MATCH(H$1,'Tillförd energi'!$B$1:$AQ$1,0),FALSE)</f>
        <v>0</v>
      </c>
      <c r="I174" s="31">
        <f>VLOOKUP($B174,'Tillförd energi'!$B$1:$AI$720,MATCH(I$1,'Tillförd energi'!$B$1:$AQ$1,0),FALSE)</f>
        <v>0</v>
      </c>
      <c r="J174" s="31">
        <f>VLOOKUP($B174,'Tillförd energi'!$B$1:$AI$720,MATCH(J$1,'Tillförd energi'!$B$1:$AQ$1,0),FALSE)</f>
        <v>0</v>
      </c>
      <c r="K174" s="330">
        <f>VLOOKUP($B174,'Tillförd energi'!$B$1:$AI$720,MATCH(K$1,'Tillförd energi'!$B$1:$AQ$1,0),FALSE)+VLOOKUP($B174,'Tillförd energi'!$B$1:$AI$700,MATCH(AD$1,'Tillförd energi'!$B$1:$AQ$1,0),FALSE)</f>
        <v>761.7</v>
      </c>
      <c r="L174" s="31">
        <f>VLOOKUP($B174,'Tillförd energi'!$B$1:$AI$720,MATCH(L$1,'Tillförd energi'!$B$1:$AQ$1,0),FALSE)</f>
        <v>0</v>
      </c>
      <c r="M174" s="31">
        <f>VLOOKUP($B174,'Tillförd energi'!$B$1:$AI$720,MATCH(M$1,'Tillförd energi'!$B$1:$AQ$1,0),FALSE)</f>
        <v>0</v>
      </c>
      <c r="N174" s="31">
        <f>VLOOKUP($B174,'Tillförd energi'!$B$1:$AI$720,MATCH(N$1,'Tillförd energi'!$B$1:$AQ$1,0),FALSE)</f>
        <v>0</v>
      </c>
      <c r="O174" s="31">
        <f>VLOOKUP($B174,'Tillförd energi'!$B$1:$AI$720,MATCH(O$1,'Tillförd energi'!$B$1:$AQ$1,0),FALSE)</f>
        <v>0</v>
      </c>
      <c r="P174" s="31">
        <f>VLOOKUP($B174,'Tillförd energi'!$B$1:$AI$720,MATCH(P$1,'Tillförd energi'!$B$1:$AQ$1,0),FALSE)</f>
        <v>0</v>
      </c>
      <c r="Q174" s="31">
        <f>VLOOKUP($B174,'Tillförd energi'!$B$1:$AI$720,MATCH(Q$1,'Tillförd energi'!$B$1:$AQ$1,0),FALSE)</f>
        <v>0</v>
      </c>
      <c r="R174" s="31">
        <f>VLOOKUP($B174,'Tillförd energi'!$B$1:$AI$720,MATCH(R$1,'Tillförd energi'!$B$1:$AQ$1,0),FALSE)</f>
        <v>38.700000000000003</v>
      </c>
      <c r="S174" s="31">
        <f>VLOOKUP($B174,'Tillförd energi'!$B$1:$AI$720,MATCH(S$1,'Tillförd energi'!$B$1:$AQ$1,0),FALSE)</f>
        <v>0</v>
      </c>
      <c r="T174" s="31">
        <f>VLOOKUP($B174,'Tillförd energi'!$B$1:$AI$720,MATCH(T$1,'Tillförd energi'!$B$1:$AQ$1,0),FALSE)</f>
        <v>0</v>
      </c>
      <c r="U174" s="31">
        <f>VLOOKUP($B174,'Tillförd energi'!$B$1:$AI$720,MATCH(U$1,'Tillförd energi'!$B$1:$AQ$1,0),FALSE)</f>
        <v>0</v>
      </c>
      <c r="V174" s="31">
        <f>VLOOKUP($B174,'Tillförd energi'!$B$1:$AI$720,MATCH(V$1,'Tillförd energi'!$B$1:$AQ$1,0),FALSE)</f>
        <v>0</v>
      </c>
      <c r="W174" s="31">
        <f>VLOOKUP($B174,'Tillförd energi'!$B$1:$AI$720,MATCH(W$1,'Tillförd energi'!$B$1:$AQ$1,0),FALSE)</f>
        <v>8.3000000000000007</v>
      </c>
      <c r="X174" s="31">
        <f>VLOOKUP($B174,'Tillförd energi'!$B$1:$AI$720,MATCH(X$1,'Tillförd energi'!$B$1:$AQ$1,0),FALSE)</f>
        <v>0</v>
      </c>
      <c r="Y174" s="31">
        <f>VLOOKUP($B174,'Tillförd energi'!$B$1:$AI$720,MATCH(Y$1,'Tillförd energi'!$B$1:$AQ$1,0),FALSE)</f>
        <v>0</v>
      </c>
      <c r="Z174" s="31">
        <f>VLOOKUP($B174,'Tillförd energi'!$B$1:$AI$720,MATCH(Z$1,'Tillförd energi'!$B$1:$AQ$1,0),FALSE)</f>
        <v>16.100000000000001</v>
      </c>
      <c r="AA174" s="31">
        <f>VLOOKUP($B174,'Tillförd energi'!$B$1:$AI$720,MATCH(AA$1,'Tillförd energi'!$B$1:$AQ$1,0),FALSE)</f>
        <v>0</v>
      </c>
      <c r="AB174" s="31">
        <f>VLOOKUP($B174,'Tillförd energi'!$B$1:$AI$720,MATCH(AB$1,'Tillförd energi'!$B$1:$AQ$1,0),FALSE)</f>
        <v>0</v>
      </c>
      <c r="AC174" s="31">
        <f>VLOOKUP($B174,'Tillförd energi'!$B$1:$AI$720,MATCH(AC$1,'Tillförd energi'!$B$1:$AQ$1,0),FALSE)</f>
        <v>0</v>
      </c>
      <c r="AD174" s="330">
        <v>0</v>
      </c>
      <c r="AE174" s="31">
        <f>VLOOKUP($B174,'Tillförd energi'!$B$1:$AI$720,MATCH(AE$1,'Tillförd energi'!$B$1:$AQ$1,0),FALSE)</f>
        <v>0</v>
      </c>
      <c r="AF174" s="31">
        <f>VLOOKUP($B174,'Tillförd energi'!$B$1:$AI$720,MATCH(AF$1,'Tillförd energi'!$B$1:$AQ$1,0),FALSE)</f>
        <v>30.4</v>
      </c>
      <c r="AG174" s="31">
        <f>IFERROR(VLOOKUP(B174,Miljö!$B$1:$AC$550,MATCH("Köpt mängd produktionsspecifik fjärrvärme:",Miljö!$B$1:$AC$1,0),FALSE)/1,0)</f>
        <v>0</v>
      </c>
      <c r="AI174" s="31">
        <f t="shared" si="46"/>
        <v>913.90000000000009</v>
      </c>
      <c r="AJ174" s="31">
        <f t="shared" si="47"/>
        <v>913.90000000000009</v>
      </c>
      <c r="AK174" s="31">
        <f>IF(ISERROR(1/VLOOKUP($B174,Leveranser!$B$1:$S$499,MATCH("Såld värme (GWh)",Leveranser!$B$1:$S$1,0),FALSE)),"",VLOOKUP($B174,Leveranser!$B$1:$S$499,MATCH("Såld värme (GWh)",Leveranser!$B$1:$S$1,0),FALSE))</f>
        <v>820.2</v>
      </c>
      <c r="AL174" s="31">
        <f>VLOOKUP($B174,Leveranser!$B$1:$Y$499,MATCH("Totalt såld fjärrvärme till andra fjärrvärmeföretag",Leveranser!$B$1:$AA$1,0),FALSE)</f>
        <v>0</v>
      </c>
      <c r="AM174" s="31">
        <f>IF(ISERROR(1/VLOOKUP($B174,Miljö!$B$1:$S$500,MATCH("Såld mängd produktionsspecifik fjärrvärme (GWh)",Miljö!$B$1:$R$1,0),FALSE)),0,VLOOKUP($B174,Miljö!$B$1:$S$500,MATCH("Såld mängd produktionsspecifik fjärrvärme (GWh)",Miljö!$B$1:$R$1,0),FALSE))</f>
        <v>0</v>
      </c>
      <c r="AN174" s="32">
        <f t="shared" si="48"/>
        <v>0.89747237115658163</v>
      </c>
      <c r="AP174" s="31" t="str">
        <f>IFERROR(VLOOKUP($B174,Miljövärden!$B$2:$H$550,7,FALSE),"Nej, saknas")</f>
        <v>Ja</v>
      </c>
      <c r="AQ174" s="31" t="str">
        <f>IFERROR(VLOOKUP($B174,Miljövärden!$B$2:$H$551,6,FALSE),"Nej, saknas")</f>
        <v>Ja</v>
      </c>
      <c r="AU174" s="31">
        <f t="shared" si="49"/>
        <v>46.5</v>
      </c>
      <c r="AV174" s="31">
        <f t="shared" si="50"/>
        <v>0</v>
      </c>
      <c r="AW174" s="31">
        <f t="shared" si="51"/>
        <v>0</v>
      </c>
      <c r="AX174" s="31">
        <f t="shared" si="52"/>
        <v>38.700000000000003</v>
      </c>
      <c r="AZ174" s="31">
        <f t="shared" si="53"/>
        <v>47</v>
      </c>
      <c r="BC174" s="31">
        <f t="shared" si="54"/>
        <v>58.7</v>
      </c>
      <c r="BD174" s="31">
        <f t="shared" si="55"/>
        <v>0</v>
      </c>
      <c r="BE174" s="31">
        <f t="shared" si="56"/>
        <v>47</v>
      </c>
      <c r="BF174" s="31">
        <f t="shared" si="57"/>
        <v>761.7</v>
      </c>
      <c r="BG174" s="31">
        <f t="shared" si="58"/>
        <v>46.5</v>
      </c>
      <c r="BH174" s="31">
        <f>VLOOKUP(B174,Miljö!$B$1:$BX$482,MATCH("Fossilandel för ursprungspecificerad el ()",Miljö!$B$1:$I$1,0),FALSE)</f>
        <v>2.4E-2</v>
      </c>
      <c r="BI174" s="31">
        <f>VLOOKUP(B174,Miljö!$B$1:$BX$482,MATCH("Kärnkraftsandel för ursprungsspecificerad el ()",Miljö!$B$1:$O$1,0),FALSE)</f>
        <v>0</v>
      </c>
      <c r="BJ174" s="31">
        <f t="shared" si="59"/>
        <v>0</v>
      </c>
      <c r="BK174" s="31" t="str">
        <f>VLOOKUP(B174,Miljö!$B$1:$P$482,MATCH("Fossil andel i procent (%)",Miljö!$B$1:$P$1,0),FALSE)</f>
        <v>ET</v>
      </c>
      <c r="BL174" s="31">
        <f t="shared" si="60"/>
        <v>913.90000000000009</v>
      </c>
      <c r="BO174" s="32">
        <f t="shared" si="61"/>
        <v>6.5451362293467555E-2</v>
      </c>
      <c r="BP174" s="32">
        <f t="shared" si="62"/>
        <v>0</v>
      </c>
      <c r="BQ174" s="32">
        <f t="shared" si="63"/>
        <v>0.10108764635080424</v>
      </c>
      <c r="BR174" s="32">
        <f t="shared" si="64"/>
        <v>0.83346099135572815</v>
      </c>
      <c r="BT174" s="62">
        <f t="shared" si="65"/>
        <v>1</v>
      </c>
      <c r="BW174" s="32">
        <f>IF(AP174="Ja",VLOOKUP(B174,Miljövärden!$B$2:$H$551,MATCH("Total andel fossilt",Miljövärden!$B$2:$H$2,0),FALSE),"")</f>
        <v>6.5451400000000007E-2</v>
      </c>
      <c r="BX174" s="62">
        <f t="shared" si="66"/>
        <v>3.770653245194211E-8</v>
      </c>
      <c r="BZ174" s="31">
        <f t="shared" si="67"/>
        <v>3.770653245194211E-8</v>
      </c>
      <c r="CA174" s="32">
        <f t="shared" si="68"/>
        <v>0</v>
      </c>
    </row>
    <row r="175" spans="1:79" x14ac:dyDescent="0.45">
      <c r="A175" s="31" t="s">
        <v>449</v>
      </c>
      <c r="B175" s="31" t="s">
        <v>448</v>
      </c>
      <c r="C175" s="31">
        <f>VLOOKUP($B175,'Tillförd energi'!$B$1:$AI$720,MATCH(C$1,'Tillförd energi'!$B$1:$AQ$1,0),FALSE)</f>
        <v>0</v>
      </c>
      <c r="D175" s="31">
        <f>VLOOKUP($B175,'Tillförd energi'!$B$1:$AI$720,MATCH(D$1,'Tillförd energi'!$B$1:$AQ$1,0),FALSE)</f>
        <v>2.8</v>
      </c>
      <c r="E175" s="31">
        <f>VLOOKUP($B175,'Tillförd energi'!$B$1:$AI$720,MATCH(E$1,'Tillförd energi'!$B$1:$AQ$1,0),FALSE)</f>
        <v>0</v>
      </c>
      <c r="F175" s="31">
        <f>VLOOKUP($B175,'Tillförd energi'!$B$1:$AI$720,MATCH(F$1,'Tillförd energi'!$B$1:$AQ$1,0),FALSE)</f>
        <v>0</v>
      </c>
      <c r="G175" s="31">
        <f>VLOOKUP($B175,'Tillförd energi'!$B$1:$AI$720,MATCH(G$1,'Tillförd energi'!$B$1:$AQ$1,0),FALSE)</f>
        <v>0</v>
      </c>
      <c r="H175" s="31">
        <f>VLOOKUP($B175,'Tillförd energi'!$B$1:$AI$720,MATCH(H$1,'Tillförd energi'!$B$1:$AQ$1,0),FALSE)</f>
        <v>0</v>
      </c>
      <c r="I175" s="31">
        <f>VLOOKUP($B175,'Tillförd energi'!$B$1:$AI$720,MATCH(I$1,'Tillförd energi'!$B$1:$AQ$1,0),FALSE)</f>
        <v>0</v>
      </c>
      <c r="J175" s="31">
        <f>VLOOKUP($B175,'Tillförd energi'!$B$1:$AI$720,MATCH(J$1,'Tillförd energi'!$B$1:$AQ$1,0),FALSE)</f>
        <v>0</v>
      </c>
      <c r="K175" s="31">
        <f>VLOOKUP($B175,'Tillförd energi'!$B$1:$AI$720,MATCH(K$1,'Tillförd energi'!$B$1:$AQ$1,0),FALSE)</f>
        <v>0</v>
      </c>
      <c r="L175" s="31">
        <f>VLOOKUP($B175,'Tillförd energi'!$B$1:$AI$720,MATCH(L$1,'Tillförd energi'!$B$1:$AQ$1,0),FALSE)</f>
        <v>0</v>
      </c>
      <c r="M175" s="31">
        <f>VLOOKUP($B175,'Tillförd energi'!$B$1:$AI$720,MATCH(M$1,'Tillförd energi'!$B$1:$AQ$1,0),FALSE)</f>
        <v>0</v>
      </c>
      <c r="N175" s="31">
        <f>VLOOKUP($B175,'Tillförd energi'!$B$1:$AI$720,MATCH(N$1,'Tillförd energi'!$B$1:$AQ$1,0),FALSE)</f>
        <v>1</v>
      </c>
      <c r="O175" s="31">
        <f>VLOOKUP($B175,'Tillförd energi'!$B$1:$AI$720,MATCH(O$1,'Tillförd energi'!$B$1:$AQ$1,0),FALSE)</f>
        <v>0</v>
      </c>
      <c r="P175" s="31">
        <f>VLOOKUP($B175,'Tillförd energi'!$B$1:$AI$720,MATCH(P$1,'Tillförd energi'!$B$1:$AQ$1,0),FALSE)</f>
        <v>13.6</v>
      </c>
      <c r="Q175" s="31">
        <f>VLOOKUP($B175,'Tillförd energi'!$B$1:$AI$720,MATCH(Q$1,'Tillförd energi'!$B$1:$AQ$1,0),FALSE)</f>
        <v>0</v>
      </c>
      <c r="R175" s="31">
        <f>VLOOKUP($B175,'Tillförd energi'!$B$1:$AI$720,MATCH(R$1,'Tillförd energi'!$B$1:$AQ$1,0),FALSE)</f>
        <v>13.5</v>
      </c>
      <c r="S175" s="31">
        <f>VLOOKUP($B175,'Tillförd energi'!$B$1:$AI$720,MATCH(S$1,'Tillförd energi'!$B$1:$AQ$1,0),FALSE)</f>
        <v>0</v>
      </c>
      <c r="T175" s="31">
        <f>VLOOKUP($B175,'Tillförd energi'!$B$1:$AI$720,MATCH(T$1,'Tillförd energi'!$B$1:$AQ$1,0),FALSE)</f>
        <v>0</v>
      </c>
      <c r="U175" s="31">
        <f>VLOOKUP($B175,'Tillförd energi'!$B$1:$AI$720,MATCH(U$1,'Tillförd energi'!$B$1:$AQ$1,0),FALSE)</f>
        <v>0</v>
      </c>
      <c r="V175" s="31">
        <f>VLOOKUP($B175,'Tillförd energi'!$B$1:$AI$720,MATCH(V$1,'Tillförd energi'!$B$1:$AQ$1,0),FALSE)</f>
        <v>0</v>
      </c>
      <c r="W175" s="31">
        <f>VLOOKUP($B175,'Tillförd energi'!$B$1:$AI$720,MATCH(W$1,'Tillförd energi'!$B$1:$AQ$1,0),FALSE)</f>
        <v>0</v>
      </c>
      <c r="X175" s="31">
        <f>VLOOKUP($B175,'Tillförd energi'!$B$1:$AI$720,MATCH(X$1,'Tillförd energi'!$B$1:$AQ$1,0),FALSE)</f>
        <v>0</v>
      </c>
      <c r="Y175" s="31">
        <f>VLOOKUP($B175,'Tillförd energi'!$B$1:$AI$720,MATCH(Y$1,'Tillförd energi'!$B$1:$AQ$1,0),FALSE)</f>
        <v>0</v>
      </c>
      <c r="Z175" s="31">
        <f>VLOOKUP($B175,'Tillförd energi'!$B$1:$AI$720,MATCH(Z$1,'Tillförd energi'!$B$1:$AQ$1,0),FALSE)</f>
        <v>0</v>
      </c>
      <c r="AA175" s="31">
        <f>VLOOKUP($B175,'Tillförd energi'!$B$1:$AI$720,MATCH(AA$1,'Tillförd energi'!$B$1:$AQ$1,0),FALSE)</f>
        <v>0</v>
      </c>
      <c r="AB175" s="31">
        <f>VLOOKUP($B175,'Tillförd energi'!$B$1:$AI$720,MATCH(AB$1,'Tillförd energi'!$B$1:$AQ$1,0),FALSE)</f>
        <v>0</v>
      </c>
      <c r="AC175" s="31">
        <f>VLOOKUP($B175,'Tillförd energi'!$B$1:$AI$720,MATCH(AC$1,'Tillförd energi'!$B$1:$AQ$1,0),FALSE)</f>
        <v>0</v>
      </c>
      <c r="AD175" s="31">
        <f>VLOOKUP($B175,'Tillförd energi'!$B$1:$AI$720,MATCH(AD$1,'Tillförd energi'!$B$1:$AQ$1,0),FALSE)</f>
        <v>0</v>
      </c>
      <c r="AE175" s="31">
        <f>VLOOKUP($B175,'Tillförd energi'!$B$1:$AI$720,MATCH(AE$1,'Tillförd energi'!$B$1:$AQ$1,0),FALSE)</f>
        <v>0</v>
      </c>
      <c r="AF175" s="31">
        <f>VLOOKUP($B175,'Tillförd energi'!$B$1:$AI$720,MATCH(AF$1,'Tillförd energi'!$B$1:$AQ$1,0),FALSE)</f>
        <v>0.52</v>
      </c>
      <c r="AG175" s="31">
        <f>IFERROR(VLOOKUP(B175,Miljö!$B$1:$AC$550,MATCH("Köpt mängd produktionsspecifik fjärrvärme:",Miljö!$B$1:$AC$1,0),FALSE)/1,0)</f>
        <v>0</v>
      </c>
      <c r="AI175" s="31">
        <f t="shared" si="46"/>
        <v>31.419999999999998</v>
      </c>
      <c r="AJ175" s="31">
        <f t="shared" si="47"/>
        <v>31.419999999999998</v>
      </c>
      <c r="AK175" s="31">
        <f>IF(ISERROR(1/VLOOKUP($B175,Leveranser!$B$1:$S$499,MATCH("Såld värme (GWh)",Leveranser!$B$1:$S$1,0),FALSE)),"",VLOOKUP($B175,Leveranser!$B$1:$S$499,MATCH("Såld värme (GWh)",Leveranser!$B$1:$S$1,0),FALSE))</f>
        <v>22.2</v>
      </c>
      <c r="AL175" s="31">
        <f>VLOOKUP($B175,Leveranser!$B$1:$Y$499,MATCH("Totalt såld fjärrvärme till andra fjärrvärmeföretag",Leveranser!$B$1:$AA$1,0),FALSE)</f>
        <v>0</v>
      </c>
      <c r="AM175" s="31">
        <f>IF(ISERROR(1/VLOOKUP($B175,Miljö!$B$1:$S$500,MATCH("Såld mängd produktionsspecifik fjärrvärme (GWh)",Miljö!$B$1:$R$1,0),FALSE)),0,VLOOKUP($B175,Miljö!$B$1:$S$500,MATCH("Såld mängd produktionsspecifik fjärrvärme (GWh)",Miljö!$B$1:$R$1,0),FALSE))</f>
        <v>0</v>
      </c>
      <c r="AN175" s="32">
        <f t="shared" si="48"/>
        <v>0.70655633354551239</v>
      </c>
      <c r="AP175" s="31" t="str">
        <f>IFERROR(VLOOKUP($B175,Miljövärden!$B$2:$H$550,7,FALSE),"Nej, saknas")</f>
        <v>Ja</v>
      </c>
      <c r="AQ175" s="31" t="str">
        <f>IFERROR(VLOOKUP($B175,Miljövärden!$B$2:$H$551,6,FALSE),"Nej, saknas")</f>
        <v>Ja</v>
      </c>
      <c r="AU175" s="31">
        <f t="shared" si="49"/>
        <v>0.52</v>
      </c>
      <c r="AV175" s="31">
        <f t="shared" si="50"/>
        <v>0</v>
      </c>
      <c r="AW175" s="31">
        <f t="shared" si="51"/>
        <v>14.6</v>
      </c>
      <c r="AX175" s="31">
        <f t="shared" si="52"/>
        <v>13.5</v>
      </c>
      <c r="AZ175" s="31">
        <f t="shared" si="53"/>
        <v>28.1</v>
      </c>
      <c r="BC175" s="31">
        <f t="shared" si="54"/>
        <v>2.8</v>
      </c>
      <c r="BD175" s="31">
        <f t="shared" si="55"/>
        <v>0</v>
      </c>
      <c r="BE175" s="31">
        <f t="shared" si="56"/>
        <v>28.1</v>
      </c>
      <c r="BF175" s="31">
        <f t="shared" si="57"/>
        <v>0</v>
      </c>
      <c r="BG175" s="31">
        <f t="shared" si="58"/>
        <v>0.52</v>
      </c>
      <c r="BH175" s="31">
        <f>VLOOKUP(B175,Miljö!$B$1:$BX$482,MATCH("Fossilandel för ursprungspecificerad el ()",Miljö!$B$1:$I$1,0),FALSE)</f>
        <v>0</v>
      </c>
      <c r="BI175" s="31">
        <f>VLOOKUP(B175,Miljö!$B$1:$BX$482,MATCH("Kärnkraftsandel för ursprungsspecificerad el ()",Miljö!$B$1:$O$1,0),FALSE)</f>
        <v>0</v>
      </c>
      <c r="BJ175" s="31">
        <f t="shared" si="59"/>
        <v>0</v>
      </c>
      <c r="BK175" s="31" t="str">
        <f>VLOOKUP(B175,Miljö!$B$1:$P$482,MATCH("Fossil andel i procent (%)",Miljö!$B$1:$P$1,0),FALSE)</f>
        <v>ET</v>
      </c>
      <c r="BL175" s="31">
        <f t="shared" si="60"/>
        <v>31.42</v>
      </c>
      <c r="BO175" s="32">
        <f t="shared" si="61"/>
        <v>8.9115213239974525E-2</v>
      </c>
      <c r="BP175" s="32">
        <f t="shared" si="62"/>
        <v>0</v>
      </c>
      <c r="BQ175" s="32">
        <f t="shared" si="63"/>
        <v>0.91088478676002549</v>
      </c>
      <c r="BR175" s="32">
        <f t="shared" si="64"/>
        <v>0</v>
      </c>
      <c r="BT175" s="62">
        <f t="shared" si="65"/>
        <v>1</v>
      </c>
      <c r="BW175" s="32">
        <f>IF(AP175="Ja",VLOOKUP(B175,Miljövärden!$B$2:$H$551,MATCH("Total andel fossilt",Miljövärden!$B$2:$H$2,0),FALSE),"")</f>
        <v>8.9115200000000006E-2</v>
      </c>
      <c r="BX175" s="62">
        <f t="shared" si="66"/>
        <v>-1.323997451951886E-8</v>
      </c>
      <c r="BZ175" s="31">
        <f t="shared" si="67"/>
        <v>-1.323997451951886E-8</v>
      </c>
      <c r="CA175" s="32">
        <f t="shared" si="68"/>
        <v>0</v>
      </c>
    </row>
    <row r="176" spans="1:79" x14ac:dyDescent="0.45">
      <c r="A176" s="31" t="s">
        <v>449</v>
      </c>
      <c r="B176" s="31" t="s">
        <v>450</v>
      </c>
      <c r="C176" s="31">
        <f>VLOOKUP($B176,'Tillförd energi'!$B$1:$AI$720,MATCH(C$1,'Tillförd energi'!$B$1:$AQ$1,0),FALSE)</f>
        <v>0</v>
      </c>
      <c r="D176" s="31">
        <f>VLOOKUP($B176,'Tillförd energi'!$B$1:$AI$720,MATCH(D$1,'Tillförd energi'!$B$1:$AQ$1,0),FALSE)</f>
        <v>0</v>
      </c>
      <c r="E176" s="31">
        <f>VLOOKUP($B176,'Tillförd energi'!$B$1:$AI$720,MATCH(E$1,'Tillförd energi'!$B$1:$AQ$1,0),FALSE)</f>
        <v>0</v>
      </c>
      <c r="F176" s="31">
        <f>VLOOKUP($B176,'Tillförd energi'!$B$1:$AI$720,MATCH(F$1,'Tillförd energi'!$B$1:$AQ$1,0),FALSE)</f>
        <v>0</v>
      </c>
      <c r="G176" s="31">
        <f>VLOOKUP($B176,'Tillförd energi'!$B$1:$AI$720,MATCH(G$1,'Tillförd energi'!$B$1:$AQ$1,0),FALSE)</f>
        <v>0</v>
      </c>
      <c r="H176" s="31">
        <f>VLOOKUP($B176,'Tillförd energi'!$B$1:$AI$720,MATCH(H$1,'Tillförd energi'!$B$1:$AQ$1,0),FALSE)</f>
        <v>0</v>
      </c>
      <c r="I176" s="31">
        <f>VLOOKUP($B176,'Tillförd energi'!$B$1:$AI$720,MATCH(I$1,'Tillförd energi'!$B$1:$AQ$1,0),FALSE)</f>
        <v>0</v>
      </c>
      <c r="J176" s="31">
        <f>VLOOKUP($B176,'Tillförd energi'!$B$1:$AI$720,MATCH(J$1,'Tillförd energi'!$B$1:$AQ$1,0),FALSE)</f>
        <v>0</v>
      </c>
      <c r="K176" s="330">
        <f>VLOOKUP($B176,'Tillförd energi'!$B$1:$AI$720,MATCH(K$1,'Tillförd energi'!$B$1:$AQ$1,0),FALSE)+VLOOKUP($B176,'Tillförd energi'!$B$1:$AI$700,MATCH(AD$1,'Tillförd energi'!$B$1:$AQ$1,0),FALSE)</f>
        <v>6.86</v>
      </c>
      <c r="L176" s="31">
        <f>VLOOKUP($B176,'Tillförd energi'!$B$1:$AI$720,MATCH(L$1,'Tillförd energi'!$B$1:$AQ$1,0),FALSE)</f>
        <v>0</v>
      </c>
      <c r="M176" s="31">
        <f>VLOOKUP($B176,'Tillförd energi'!$B$1:$AI$720,MATCH(M$1,'Tillförd energi'!$B$1:$AQ$1,0),FALSE)</f>
        <v>0</v>
      </c>
      <c r="N176" s="31">
        <f>VLOOKUP($B176,'Tillförd energi'!$B$1:$AI$720,MATCH(N$1,'Tillförd energi'!$B$1:$AQ$1,0),FALSE)</f>
        <v>0</v>
      </c>
      <c r="O176" s="31">
        <f>VLOOKUP($B176,'Tillförd energi'!$B$1:$AI$720,MATCH(O$1,'Tillförd energi'!$B$1:$AQ$1,0),FALSE)</f>
        <v>0</v>
      </c>
      <c r="P176" s="31">
        <f>VLOOKUP($B176,'Tillförd energi'!$B$1:$AI$720,MATCH(P$1,'Tillförd energi'!$B$1:$AQ$1,0),FALSE)</f>
        <v>0</v>
      </c>
      <c r="Q176" s="31">
        <f>VLOOKUP($B176,'Tillförd energi'!$B$1:$AI$720,MATCH(Q$1,'Tillförd energi'!$B$1:$AQ$1,0),FALSE)</f>
        <v>0</v>
      </c>
      <c r="R176" s="31">
        <f>VLOOKUP($B176,'Tillförd energi'!$B$1:$AI$720,MATCH(R$1,'Tillförd energi'!$B$1:$AQ$1,0),FALSE)</f>
        <v>0.37</v>
      </c>
      <c r="S176" s="31">
        <f>VLOOKUP($B176,'Tillförd energi'!$B$1:$AI$720,MATCH(S$1,'Tillförd energi'!$B$1:$AQ$1,0),FALSE)</f>
        <v>0</v>
      </c>
      <c r="T176" s="31">
        <f>VLOOKUP($B176,'Tillförd energi'!$B$1:$AI$720,MATCH(T$1,'Tillförd energi'!$B$1:$AQ$1,0),FALSE)</f>
        <v>0</v>
      </c>
      <c r="U176" s="31">
        <f>VLOOKUP($B176,'Tillförd energi'!$B$1:$AI$720,MATCH(U$1,'Tillförd energi'!$B$1:$AQ$1,0),FALSE)</f>
        <v>0</v>
      </c>
      <c r="V176" s="31">
        <f>VLOOKUP($B176,'Tillförd energi'!$B$1:$AI$720,MATCH(V$1,'Tillförd energi'!$B$1:$AQ$1,0),FALSE)</f>
        <v>0</v>
      </c>
      <c r="W176" s="31">
        <f>VLOOKUP($B176,'Tillförd energi'!$B$1:$AI$720,MATCH(W$1,'Tillförd energi'!$B$1:$AQ$1,0),FALSE)</f>
        <v>0.09</v>
      </c>
      <c r="X176" s="31">
        <f>VLOOKUP($B176,'Tillförd energi'!$B$1:$AI$720,MATCH(X$1,'Tillförd energi'!$B$1:$AQ$1,0),FALSE)</f>
        <v>0</v>
      </c>
      <c r="Y176" s="31">
        <f>VLOOKUP($B176,'Tillförd energi'!$B$1:$AI$720,MATCH(Y$1,'Tillförd energi'!$B$1:$AQ$1,0),FALSE)</f>
        <v>0</v>
      </c>
      <c r="Z176" s="31">
        <f>VLOOKUP($B176,'Tillförd energi'!$B$1:$AI$720,MATCH(Z$1,'Tillförd energi'!$B$1:$AQ$1,0),FALSE)</f>
        <v>0.15</v>
      </c>
      <c r="AA176" s="31">
        <f>VLOOKUP($B176,'Tillförd energi'!$B$1:$AI$720,MATCH(AA$1,'Tillförd energi'!$B$1:$AQ$1,0),FALSE)</f>
        <v>0</v>
      </c>
      <c r="AB176" s="31">
        <f>VLOOKUP($B176,'Tillförd energi'!$B$1:$AI$720,MATCH(AB$1,'Tillförd energi'!$B$1:$AQ$1,0),FALSE)</f>
        <v>0</v>
      </c>
      <c r="AC176" s="31">
        <f>VLOOKUP($B176,'Tillförd energi'!$B$1:$AI$720,MATCH(AC$1,'Tillförd energi'!$B$1:$AQ$1,0),FALSE)</f>
        <v>0</v>
      </c>
      <c r="AD176" s="330">
        <v>0</v>
      </c>
      <c r="AE176" s="31">
        <f>VLOOKUP($B176,'Tillförd energi'!$B$1:$AI$720,MATCH(AE$1,'Tillförd energi'!$B$1:$AQ$1,0),FALSE)</f>
        <v>0</v>
      </c>
      <c r="AF176" s="31">
        <f>VLOOKUP($B176,'Tillförd energi'!$B$1:$AI$720,MATCH(AF$1,'Tillförd energi'!$B$1:$AQ$1,0),FALSE)</f>
        <v>0.25</v>
      </c>
      <c r="AG176" s="31">
        <f>IFERROR(VLOOKUP(B176,Miljö!$B$1:$AC$550,MATCH("Köpt mängd produktionsspecifik fjärrvärme:",Miljö!$B$1:$AC$1,0),FALSE)/1,0)</f>
        <v>0</v>
      </c>
      <c r="AI176" s="31">
        <f t="shared" si="46"/>
        <v>7.7200000000000006</v>
      </c>
      <c r="AJ176" s="31">
        <f t="shared" si="47"/>
        <v>7.7200000000000006</v>
      </c>
      <c r="AK176" s="31">
        <f>IF(ISERROR(1/VLOOKUP($B176,Leveranser!$B$1:$S$499,MATCH("Såld värme (GWh)",Leveranser!$B$1:$S$1,0),FALSE)),"",VLOOKUP($B176,Leveranser!$B$1:$S$499,MATCH("Såld värme (GWh)",Leveranser!$B$1:$S$1,0),FALSE))</f>
        <v>6.7</v>
      </c>
      <c r="AL176" s="31">
        <f>VLOOKUP($B176,Leveranser!$B$1:$Y$499,MATCH("Totalt såld fjärrvärme till andra fjärrvärmeföretag",Leveranser!$B$1:$AA$1,0),FALSE)</f>
        <v>0</v>
      </c>
      <c r="AM176" s="31">
        <f>IF(ISERROR(1/VLOOKUP($B176,Miljö!$B$1:$S$500,MATCH("Såld mängd produktionsspecifik fjärrvärme (GWh)",Miljö!$B$1:$R$1,0),FALSE)),0,VLOOKUP($B176,Miljö!$B$1:$S$500,MATCH("Såld mängd produktionsspecifik fjärrvärme (GWh)",Miljö!$B$1:$R$1,0),FALSE))</f>
        <v>0</v>
      </c>
      <c r="AN176" s="32">
        <f t="shared" si="48"/>
        <v>0.86787564766839376</v>
      </c>
      <c r="AP176" s="31" t="str">
        <f>IFERROR(VLOOKUP($B176,Miljövärden!$B$2:$H$550,7,FALSE),"Nej, saknas")</f>
        <v>Ja</v>
      </c>
      <c r="AQ176" s="31" t="str">
        <f>IFERROR(VLOOKUP($B176,Miljövärden!$B$2:$H$551,6,FALSE),"Nej, saknas")</f>
        <v>Ja</v>
      </c>
      <c r="AU176" s="31">
        <f t="shared" si="49"/>
        <v>0.4</v>
      </c>
      <c r="AV176" s="31">
        <f t="shared" si="50"/>
        <v>0</v>
      </c>
      <c r="AW176" s="31">
        <f t="shared" si="51"/>
        <v>0</v>
      </c>
      <c r="AX176" s="31">
        <f t="shared" si="52"/>
        <v>0.37</v>
      </c>
      <c r="AZ176" s="31">
        <f t="shared" si="53"/>
        <v>0.45999999999999996</v>
      </c>
      <c r="BC176" s="31">
        <f t="shared" si="54"/>
        <v>0</v>
      </c>
      <c r="BD176" s="31">
        <f t="shared" si="55"/>
        <v>0</v>
      </c>
      <c r="BE176" s="31">
        <f t="shared" si="56"/>
        <v>0.45999999999999996</v>
      </c>
      <c r="BF176" s="31">
        <f t="shared" si="57"/>
        <v>6.86</v>
      </c>
      <c r="BG176" s="31">
        <f t="shared" si="58"/>
        <v>0.4</v>
      </c>
      <c r="BH176" s="31">
        <f>VLOOKUP(B176,Miljö!$B$1:$BX$482,MATCH("Fossilandel för ursprungspecificerad el ()",Miljö!$B$1:$I$1,0),FALSE)</f>
        <v>0</v>
      </c>
      <c r="BI176" s="31">
        <f>VLOOKUP(B176,Miljö!$B$1:$BX$482,MATCH("Kärnkraftsandel för ursprungsspecificerad el ()",Miljö!$B$1:$O$1,0),FALSE)</f>
        <v>0</v>
      </c>
      <c r="BJ176" s="31">
        <f t="shared" si="59"/>
        <v>0</v>
      </c>
      <c r="BK176" s="31" t="str">
        <f>VLOOKUP(B176,Miljö!$B$1:$P$482,MATCH("Fossil andel i procent (%)",Miljö!$B$1:$P$1,0),FALSE)</f>
        <v>ET</v>
      </c>
      <c r="BL176" s="31">
        <f t="shared" si="60"/>
        <v>7.7200000000000006</v>
      </c>
      <c r="BO176" s="32">
        <f t="shared" si="61"/>
        <v>0</v>
      </c>
      <c r="BP176" s="32">
        <f t="shared" si="62"/>
        <v>0</v>
      </c>
      <c r="BQ176" s="32">
        <f t="shared" si="63"/>
        <v>0.11139896373056994</v>
      </c>
      <c r="BR176" s="32">
        <f t="shared" si="64"/>
        <v>0.88860103626942999</v>
      </c>
      <c r="BT176" s="62">
        <f t="shared" si="65"/>
        <v>0.99999999999999989</v>
      </c>
      <c r="BW176" s="32">
        <f>IF(AP176="Ja",VLOOKUP(B176,Miljövärden!$B$2:$H$551,MATCH("Total andel fossilt",Miljövärden!$B$2:$H$2,0),FALSE),"")</f>
        <v>0</v>
      </c>
      <c r="BX176" s="62">
        <f t="shared" si="66"/>
        <v>0</v>
      </c>
      <c r="BZ176" s="31">
        <f t="shared" si="67"/>
        <v>0</v>
      </c>
      <c r="CA176" s="32">
        <f t="shared" si="68"/>
        <v>0</v>
      </c>
    </row>
    <row r="177" spans="1:79" x14ac:dyDescent="0.45">
      <c r="A177" s="31" t="s">
        <v>447</v>
      </c>
      <c r="B177" s="31" t="s">
        <v>446</v>
      </c>
      <c r="C177" s="31">
        <f>VLOOKUP($B177,'Tillförd energi'!$B$1:$AI$720,MATCH(C$1,'Tillförd energi'!$B$1:$AQ$1,0),FALSE)</f>
        <v>0</v>
      </c>
      <c r="D177" s="31">
        <f>VLOOKUP($B177,'Tillförd energi'!$B$1:$AI$720,MATCH(D$1,'Tillförd energi'!$B$1:$AQ$1,0),FALSE)</f>
        <v>0.19</v>
      </c>
      <c r="E177" s="31">
        <f>VLOOKUP($B177,'Tillförd energi'!$B$1:$AI$720,MATCH(E$1,'Tillförd energi'!$B$1:$AQ$1,0),FALSE)</f>
        <v>0</v>
      </c>
      <c r="F177" s="31">
        <f>VLOOKUP($B177,'Tillförd energi'!$B$1:$AI$720,MATCH(F$1,'Tillförd energi'!$B$1:$AQ$1,0),FALSE)</f>
        <v>0</v>
      </c>
      <c r="G177" s="31">
        <f>VLOOKUP($B177,'Tillförd energi'!$B$1:$AI$720,MATCH(G$1,'Tillförd energi'!$B$1:$AQ$1,0),FALSE)</f>
        <v>0</v>
      </c>
      <c r="H177" s="31">
        <f>VLOOKUP($B177,'Tillförd energi'!$B$1:$AI$720,MATCH(H$1,'Tillförd energi'!$B$1:$AQ$1,0),FALSE)</f>
        <v>0</v>
      </c>
      <c r="I177" s="31">
        <f>VLOOKUP($B177,'Tillförd energi'!$B$1:$AI$720,MATCH(I$1,'Tillförd energi'!$B$1:$AQ$1,0),FALSE)</f>
        <v>0</v>
      </c>
      <c r="J177" s="31">
        <f>VLOOKUP($B177,'Tillförd energi'!$B$1:$AI$720,MATCH(J$1,'Tillförd energi'!$B$1:$AQ$1,0),FALSE)</f>
        <v>0</v>
      </c>
      <c r="K177" s="31">
        <f>VLOOKUP($B177,'Tillförd energi'!$B$1:$AI$720,MATCH(K$1,'Tillförd energi'!$B$1:$AQ$1,0),FALSE)</f>
        <v>0</v>
      </c>
      <c r="L177" s="31">
        <f>VLOOKUP($B177,'Tillförd energi'!$B$1:$AI$720,MATCH(L$1,'Tillförd energi'!$B$1:$AQ$1,0),FALSE)</f>
        <v>0</v>
      </c>
      <c r="M177" s="31">
        <f>VLOOKUP($B177,'Tillförd energi'!$B$1:$AI$720,MATCH(M$1,'Tillförd energi'!$B$1:$AQ$1,0),FALSE)</f>
        <v>0</v>
      </c>
      <c r="N177" s="31">
        <f>VLOOKUP($B177,'Tillförd energi'!$B$1:$AI$720,MATCH(N$1,'Tillförd energi'!$B$1:$AQ$1,0),FALSE)</f>
        <v>0</v>
      </c>
      <c r="O177" s="31">
        <f>VLOOKUP($B177,'Tillförd energi'!$B$1:$AI$720,MATCH(O$1,'Tillförd energi'!$B$1:$AQ$1,0),FALSE)</f>
        <v>0</v>
      </c>
      <c r="P177" s="31">
        <f>VLOOKUP($B177,'Tillförd energi'!$B$1:$AI$720,MATCH(P$1,'Tillförd energi'!$B$1:$AQ$1,0),FALSE)</f>
        <v>27</v>
      </c>
      <c r="Q177" s="31">
        <f>VLOOKUP($B177,'Tillförd energi'!$B$1:$AI$720,MATCH(Q$1,'Tillförd energi'!$B$1:$AQ$1,0),FALSE)</f>
        <v>0</v>
      </c>
      <c r="R177" s="31">
        <f>VLOOKUP($B177,'Tillförd energi'!$B$1:$AI$720,MATCH(R$1,'Tillförd energi'!$B$1:$AQ$1,0),FALSE)</f>
        <v>0</v>
      </c>
      <c r="S177" s="31">
        <f>VLOOKUP($B177,'Tillförd energi'!$B$1:$AI$720,MATCH(S$1,'Tillförd energi'!$B$1:$AQ$1,0),FALSE)</f>
        <v>0</v>
      </c>
      <c r="T177" s="31">
        <f>VLOOKUP($B177,'Tillförd energi'!$B$1:$AI$720,MATCH(T$1,'Tillförd energi'!$B$1:$AQ$1,0),FALSE)</f>
        <v>0</v>
      </c>
      <c r="U177" s="31">
        <f>VLOOKUP($B177,'Tillförd energi'!$B$1:$AI$720,MATCH(U$1,'Tillförd energi'!$B$1:$AQ$1,0),FALSE)</f>
        <v>0</v>
      </c>
      <c r="V177" s="31">
        <f>VLOOKUP($B177,'Tillförd energi'!$B$1:$AI$720,MATCH(V$1,'Tillförd energi'!$B$1:$AQ$1,0),FALSE)</f>
        <v>0</v>
      </c>
      <c r="W177" s="31">
        <f>VLOOKUP($B177,'Tillförd energi'!$B$1:$AI$720,MATCH(W$1,'Tillförd energi'!$B$1:$AQ$1,0),FALSE)</f>
        <v>0</v>
      </c>
      <c r="X177" s="31">
        <f>VLOOKUP($B177,'Tillförd energi'!$B$1:$AI$720,MATCH(X$1,'Tillförd energi'!$B$1:$AQ$1,0),FALSE)</f>
        <v>0</v>
      </c>
      <c r="Y177" s="31">
        <f>VLOOKUP($B177,'Tillförd energi'!$B$1:$AI$720,MATCH(Y$1,'Tillförd energi'!$B$1:$AQ$1,0),FALSE)</f>
        <v>0</v>
      </c>
      <c r="Z177" s="31">
        <f>VLOOKUP($B177,'Tillförd energi'!$B$1:$AI$720,MATCH(Z$1,'Tillförd energi'!$B$1:$AQ$1,0),FALSE)</f>
        <v>0</v>
      </c>
      <c r="AA177" s="31">
        <f>VLOOKUP($B177,'Tillförd energi'!$B$1:$AI$720,MATCH(AA$1,'Tillförd energi'!$B$1:$AQ$1,0),FALSE)</f>
        <v>0</v>
      </c>
      <c r="AB177" s="31">
        <f>VLOOKUP($B177,'Tillförd energi'!$B$1:$AI$720,MATCH(AB$1,'Tillförd energi'!$B$1:$AQ$1,0),FALSE)</f>
        <v>0</v>
      </c>
      <c r="AC177" s="31">
        <f>VLOOKUP($B177,'Tillförd energi'!$B$1:$AI$720,MATCH(AC$1,'Tillförd energi'!$B$1:$AQ$1,0),FALSE)</f>
        <v>4.3</v>
      </c>
      <c r="AD177" s="31">
        <f>VLOOKUP($B177,'Tillförd energi'!$B$1:$AI$720,MATCH(AD$1,'Tillförd energi'!$B$1:$AQ$1,0),FALSE)</f>
        <v>0</v>
      </c>
      <c r="AE177" s="31">
        <f>VLOOKUP($B177,'Tillförd energi'!$B$1:$AI$720,MATCH(AE$1,'Tillförd energi'!$B$1:$AQ$1,0),FALSE)</f>
        <v>0</v>
      </c>
      <c r="AF177" s="31">
        <f>VLOOKUP($B177,'Tillförd energi'!$B$1:$AI$720,MATCH(AF$1,'Tillförd energi'!$B$1:$AQ$1,0),FALSE)</f>
        <v>0.5</v>
      </c>
      <c r="AG177" s="31">
        <f>IFERROR(VLOOKUP(B177,Miljö!$B$1:$AC$550,MATCH("Köpt mängd produktionsspecifik fjärrvärme:",Miljö!$B$1:$AC$1,0),FALSE)/1,0)</f>
        <v>0</v>
      </c>
      <c r="AI177" s="31">
        <f t="shared" si="46"/>
        <v>31.990000000000002</v>
      </c>
      <c r="AJ177" s="31">
        <f t="shared" si="47"/>
        <v>31.990000000000002</v>
      </c>
      <c r="AK177" s="31">
        <f>IF(ISERROR(1/VLOOKUP($B177,Leveranser!$B$1:$S$499,MATCH("Såld värme (GWh)",Leveranser!$B$1:$S$1,0),FALSE)),"",VLOOKUP($B177,Leveranser!$B$1:$S$499,MATCH("Såld värme (GWh)",Leveranser!$B$1:$S$1,0),FALSE))</f>
        <v>27</v>
      </c>
      <c r="AL177" s="31">
        <f>VLOOKUP($B177,Leveranser!$B$1:$Y$499,MATCH("Totalt såld fjärrvärme till andra fjärrvärmeföretag",Leveranser!$B$1:$AA$1,0),FALSE)</f>
        <v>0</v>
      </c>
      <c r="AM177" s="31">
        <f>IF(ISERROR(1/VLOOKUP($B177,Miljö!$B$1:$S$500,MATCH("Såld mängd produktionsspecifik fjärrvärme (GWh)",Miljö!$B$1:$R$1,0),FALSE)),0,VLOOKUP($B177,Miljö!$B$1:$S$500,MATCH("Såld mängd produktionsspecifik fjärrvärme (GWh)",Miljö!$B$1:$R$1,0),FALSE))</f>
        <v>0</v>
      </c>
      <c r="AN177" s="32">
        <f t="shared" si="48"/>
        <v>0.84401375429821812</v>
      </c>
      <c r="AP177" s="31" t="str">
        <f>IFERROR(VLOOKUP($B177,Miljövärden!$B$2:$H$550,7,FALSE),"Nej, saknas")</f>
        <v>Ja</v>
      </c>
      <c r="AQ177" s="31" t="str">
        <f>IFERROR(VLOOKUP($B177,Miljövärden!$B$2:$H$551,6,FALSE),"Nej, saknas")</f>
        <v>Nej</v>
      </c>
      <c r="AU177" s="31">
        <f t="shared" si="49"/>
        <v>0.5</v>
      </c>
      <c r="AV177" s="31">
        <f t="shared" si="50"/>
        <v>0</v>
      </c>
      <c r="AW177" s="31">
        <f t="shared" si="51"/>
        <v>27</v>
      </c>
      <c r="AX177" s="31">
        <f t="shared" si="52"/>
        <v>0</v>
      </c>
      <c r="AZ177" s="31">
        <f t="shared" si="53"/>
        <v>27</v>
      </c>
      <c r="BC177" s="31">
        <f t="shared" si="54"/>
        <v>0.19</v>
      </c>
      <c r="BD177" s="31">
        <f t="shared" si="55"/>
        <v>0</v>
      </c>
      <c r="BE177" s="31">
        <f t="shared" si="56"/>
        <v>27</v>
      </c>
      <c r="BF177" s="31">
        <f t="shared" si="57"/>
        <v>4.3</v>
      </c>
      <c r="BG177" s="31">
        <f t="shared" si="58"/>
        <v>0.5</v>
      </c>
      <c r="BH177" s="31">
        <f>VLOOKUP(B177,Miljö!$B$1:$BX$482,MATCH("Fossilandel för ursprungspecificerad el ()",Miljö!$B$1:$I$1,0),FALSE)</f>
        <v>0</v>
      </c>
      <c r="BI177" s="31">
        <f>VLOOKUP(B177,Miljö!$B$1:$BX$482,MATCH("Kärnkraftsandel för ursprungsspecificerad el ()",Miljö!$B$1:$O$1,0),FALSE)</f>
        <v>0</v>
      </c>
      <c r="BJ177" s="31">
        <f t="shared" si="59"/>
        <v>0</v>
      </c>
      <c r="BK177" s="31" t="str">
        <f>VLOOKUP(B177,Miljö!$B$1:$P$482,MATCH("Fossil andel i procent (%)",Miljö!$B$1:$P$1,0),FALSE)</f>
        <v>ET</v>
      </c>
      <c r="BL177" s="31">
        <f t="shared" si="60"/>
        <v>31.990000000000002</v>
      </c>
      <c r="BO177" s="32">
        <f t="shared" si="61"/>
        <v>5.939356048765239E-3</v>
      </c>
      <c r="BP177" s="32">
        <f t="shared" si="62"/>
        <v>0</v>
      </c>
      <c r="BQ177" s="32">
        <f t="shared" si="63"/>
        <v>0.85964363863707405</v>
      </c>
      <c r="BR177" s="32">
        <f t="shared" si="64"/>
        <v>0.13441700531416065</v>
      </c>
      <c r="BT177" s="62">
        <f t="shared" si="65"/>
        <v>1</v>
      </c>
      <c r="BW177" s="32">
        <f>IF(AP177="Ja",VLOOKUP(B177,Miljövärden!$B$2:$H$551,MATCH("Total andel fossilt",Miljövärden!$B$2:$H$2,0),FALSE),"")</f>
        <v>5.9393600000000003E-3</v>
      </c>
      <c r="BX177" s="62">
        <f t="shared" si="66"/>
        <v>3.951234761254141E-9</v>
      </c>
      <c r="BZ177" s="31">
        <f t="shared" si="67"/>
        <v>3.951234761254141E-9</v>
      </c>
      <c r="CA177" s="32">
        <f t="shared" si="68"/>
        <v>0</v>
      </c>
    </row>
    <row r="178" spans="1:79" x14ac:dyDescent="0.45">
      <c r="A178" s="31" t="s">
        <v>444</v>
      </c>
      <c r="B178" s="31" t="s">
        <v>443</v>
      </c>
      <c r="C178" s="31">
        <f>VLOOKUP($B178,'Tillförd energi'!$B$1:$AI$720,MATCH(C$1,'Tillförd energi'!$B$1:$AQ$1,0),FALSE)</f>
        <v>0</v>
      </c>
      <c r="D178" s="31">
        <f>VLOOKUP($B178,'Tillförd energi'!$B$1:$AI$720,MATCH(D$1,'Tillförd energi'!$B$1:$AQ$1,0),FALSE)</f>
        <v>0.04</v>
      </c>
      <c r="E178" s="31">
        <f>VLOOKUP($B178,'Tillförd energi'!$B$1:$AI$720,MATCH(E$1,'Tillförd energi'!$B$1:$AQ$1,0),FALSE)</f>
        <v>0</v>
      </c>
      <c r="F178" s="31">
        <f>VLOOKUP($B178,'Tillförd energi'!$B$1:$AI$720,MATCH(F$1,'Tillförd energi'!$B$1:$AQ$1,0),FALSE)</f>
        <v>0</v>
      </c>
      <c r="G178" s="31">
        <f>VLOOKUP($B178,'Tillförd energi'!$B$1:$AI$720,MATCH(G$1,'Tillförd energi'!$B$1:$AQ$1,0),FALSE)</f>
        <v>0</v>
      </c>
      <c r="H178" s="31">
        <f>VLOOKUP($B178,'Tillförd energi'!$B$1:$AI$720,MATCH(H$1,'Tillförd energi'!$B$1:$AQ$1,0),FALSE)</f>
        <v>0</v>
      </c>
      <c r="I178" s="31">
        <f>VLOOKUP($B178,'Tillförd energi'!$B$1:$AI$720,MATCH(I$1,'Tillförd energi'!$B$1:$AQ$1,0),FALSE)</f>
        <v>0</v>
      </c>
      <c r="J178" s="31">
        <f>VLOOKUP($B178,'Tillförd energi'!$B$1:$AI$720,MATCH(J$1,'Tillförd energi'!$B$1:$AQ$1,0),FALSE)</f>
        <v>0</v>
      </c>
      <c r="K178" s="31">
        <f>VLOOKUP($B178,'Tillförd energi'!$B$1:$AI$720,MATCH(K$1,'Tillförd energi'!$B$1:$AQ$1,0),FALSE)</f>
        <v>0</v>
      </c>
      <c r="L178" s="31">
        <f>VLOOKUP($B178,'Tillförd energi'!$B$1:$AI$720,MATCH(L$1,'Tillförd energi'!$B$1:$AQ$1,0),FALSE)</f>
        <v>0</v>
      </c>
      <c r="M178" s="31">
        <f>VLOOKUP($B178,'Tillförd energi'!$B$1:$AI$720,MATCH(M$1,'Tillförd energi'!$B$1:$AQ$1,0),FALSE)</f>
        <v>0</v>
      </c>
      <c r="N178" s="31">
        <f>VLOOKUP($B178,'Tillförd energi'!$B$1:$AI$720,MATCH(N$1,'Tillförd energi'!$B$1:$AQ$1,0),FALSE)</f>
        <v>0</v>
      </c>
      <c r="O178" s="31">
        <f>VLOOKUP($B178,'Tillförd energi'!$B$1:$AI$720,MATCH(O$1,'Tillförd energi'!$B$1:$AQ$1,0),FALSE)</f>
        <v>0</v>
      </c>
      <c r="P178" s="31">
        <f>VLOOKUP($B178,'Tillförd energi'!$B$1:$AI$720,MATCH(P$1,'Tillförd energi'!$B$1:$AQ$1,0),FALSE)</f>
        <v>0</v>
      </c>
      <c r="Q178" s="31">
        <f>VLOOKUP($B178,'Tillförd energi'!$B$1:$AI$720,MATCH(Q$1,'Tillförd energi'!$B$1:$AQ$1,0),FALSE)</f>
        <v>0</v>
      </c>
      <c r="R178" s="31">
        <f>VLOOKUP($B178,'Tillförd energi'!$B$1:$AI$720,MATCH(R$1,'Tillförd energi'!$B$1:$AQ$1,0),FALSE)</f>
        <v>0</v>
      </c>
      <c r="S178" s="31">
        <f>VLOOKUP($B178,'Tillförd energi'!$B$1:$AI$720,MATCH(S$1,'Tillförd energi'!$B$1:$AQ$1,0),FALSE)</f>
        <v>1.7</v>
      </c>
      <c r="T178" s="31">
        <f>VLOOKUP($B178,'Tillförd energi'!$B$1:$AI$720,MATCH(T$1,'Tillförd energi'!$B$1:$AQ$1,0),FALSE)</f>
        <v>0</v>
      </c>
      <c r="U178" s="31">
        <f>VLOOKUP($B178,'Tillförd energi'!$B$1:$AI$720,MATCH(U$1,'Tillförd energi'!$B$1:$AQ$1,0),FALSE)</f>
        <v>0</v>
      </c>
      <c r="V178" s="31">
        <f>VLOOKUP($B178,'Tillförd energi'!$B$1:$AI$720,MATCH(V$1,'Tillförd energi'!$B$1:$AQ$1,0),FALSE)</f>
        <v>0</v>
      </c>
      <c r="W178" s="31">
        <f>VLOOKUP($B178,'Tillförd energi'!$B$1:$AI$720,MATCH(W$1,'Tillförd energi'!$B$1:$AQ$1,0),FALSE)</f>
        <v>0</v>
      </c>
      <c r="X178" s="31">
        <f>VLOOKUP($B178,'Tillförd energi'!$B$1:$AI$720,MATCH(X$1,'Tillförd energi'!$B$1:$AQ$1,0),FALSE)</f>
        <v>0</v>
      </c>
      <c r="Y178" s="31">
        <f>VLOOKUP($B178,'Tillförd energi'!$B$1:$AI$720,MATCH(Y$1,'Tillförd energi'!$B$1:$AQ$1,0),FALSE)</f>
        <v>0</v>
      </c>
      <c r="Z178" s="31">
        <f>VLOOKUP($B178,'Tillförd energi'!$B$1:$AI$720,MATCH(Z$1,'Tillförd energi'!$B$1:$AQ$1,0),FALSE)</f>
        <v>0</v>
      </c>
      <c r="AA178" s="31">
        <f>VLOOKUP($B178,'Tillförd energi'!$B$1:$AI$720,MATCH(AA$1,'Tillförd energi'!$B$1:$AQ$1,0),FALSE)</f>
        <v>0</v>
      </c>
      <c r="AB178" s="31">
        <f>VLOOKUP($B178,'Tillförd energi'!$B$1:$AI$720,MATCH(AB$1,'Tillförd energi'!$B$1:$AQ$1,0),FALSE)</f>
        <v>0</v>
      </c>
      <c r="AC178" s="31">
        <f>VLOOKUP($B178,'Tillförd energi'!$B$1:$AI$720,MATCH(AC$1,'Tillförd energi'!$B$1:$AQ$1,0),FALSE)</f>
        <v>0</v>
      </c>
      <c r="AD178" s="31">
        <f>VLOOKUP($B178,'Tillförd energi'!$B$1:$AI$720,MATCH(AD$1,'Tillförd energi'!$B$1:$AQ$1,0),FALSE)</f>
        <v>0</v>
      </c>
      <c r="AE178" s="31">
        <f>VLOOKUP($B178,'Tillförd energi'!$B$1:$AI$720,MATCH(AE$1,'Tillförd energi'!$B$1:$AQ$1,0),FALSE)</f>
        <v>0</v>
      </c>
      <c r="AF178" s="31">
        <f>VLOOKUP($B178,'Tillförd energi'!$B$1:$AI$720,MATCH(AF$1,'Tillförd energi'!$B$1:$AQ$1,0),FALSE)</f>
        <v>0.04</v>
      </c>
      <c r="AG178" s="31">
        <f>IFERROR(VLOOKUP(B178,Miljö!$B$1:$AC$550,MATCH("Köpt mängd produktionsspecifik fjärrvärme:",Miljö!$B$1:$AC$1,0),FALSE)/1,0)</f>
        <v>0</v>
      </c>
      <c r="AI178" s="31">
        <f t="shared" si="46"/>
        <v>1.78</v>
      </c>
      <c r="AJ178" s="31">
        <f t="shared" si="47"/>
        <v>1.78</v>
      </c>
      <c r="AK178" s="31">
        <f>IF(ISERROR(1/VLOOKUP($B178,Leveranser!$B$1:$S$499,MATCH("Såld värme (GWh)",Leveranser!$B$1:$S$1,0),FALSE)),"",VLOOKUP($B178,Leveranser!$B$1:$S$499,MATCH("Såld värme (GWh)",Leveranser!$B$1:$S$1,0),FALSE))</f>
        <v>1.2310000000000001</v>
      </c>
      <c r="AL178" s="31">
        <f>VLOOKUP($B178,Leveranser!$B$1:$Y$499,MATCH("Totalt såld fjärrvärme till andra fjärrvärmeföretag",Leveranser!$B$1:$AA$1,0),FALSE)</f>
        <v>0</v>
      </c>
      <c r="AM178" s="31">
        <f>IF(ISERROR(1/VLOOKUP($B178,Miljö!$B$1:$S$500,MATCH("Såld mängd produktionsspecifik fjärrvärme (GWh)",Miljö!$B$1:$R$1,0),FALSE)),0,VLOOKUP($B178,Miljö!$B$1:$S$500,MATCH("Såld mängd produktionsspecifik fjärrvärme (GWh)",Miljö!$B$1:$R$1,0),FALSE))</f>
        <v>0</v>
      </c>
      <c r="AN178" s="32">
        <f t="shared" si="48"/>
        <v>0.69157303370786516</v>
      </c>
      <c r="AP178" s="31" t="str">
        <f>IFERROR(VLOOKUP($B178,Miljövärden!$B$2:$H$550,7,FALSE),"Nej, saknas")</f>
        <v>Ja</v>
      </c>
      <c r="AQ178" s="31" t="str">
        <f>IFERROR(VLOOKUP($B178,Miljövärden!$B$2:$H$551,6,FALSE),"Nej, saknas")</f>
        <v>Nej</v>
      </c>
      <c r="AU178" s="31">
        <f t="shared" si="49"/>
        <v>0.04</v>
      </c>
      <c r="AV178" s="31">
        <f t="shared" si="50"/>
        <v>0</v>
      </c>
      <c r="AW178" s="31">
        <f t="shared" si="51"/>
        <v>0</v>
      </c>
      <c r="AX178" s="31">
        <f t="shared" si="52"/>
        <v>1.7</v>
      </c>
      <c r="AZ178" s="31">
        <f t="shared" si="53"/>
        <v>1.7</v>
      </c>
      <c r="BC178" s="31">
        <f t="shared" si="54"/>
        <v>0.04</v>
      </c>
      <c r="BD178" s="31">
        <f t="shared" si="55"/>
        <v>0</v>
      </c>
      <c r="BE178" s="31">
        <f t="shared" si="56"/>
        <v>1.7</v>
      </c>
      <c r="BF178" s="31">
        <f t="shared" si="57"/>
        <v>0</v>
      </c>
      <c r="BG178" s="31">
        <f t="shared" si="58"/>
        <v>0.04</v>
      </c>
      <c r="BH178" s="31">
        <f>VLOOKUP(B178,Miljö!$B$1:$BX$482,MATCH("Fossilandel för ursprungspecificerad el ()",Miljö!$B$1:$I$1,0),FALSE)</f>
        <v>0</v>
      </c>
      <c r="BI178" s="31">
        <f>VLOOKUP(B178,Miljö!$B$1:$BX$482,MATCH("Kärnkraftsandel för ursprungsspecificerad el ()",Miljö!$B$1:$O$1,0),FALSE)</f>
        <v>0</v>
      </c>
      <c r="BJ178" s="31">
        <f t="shared" si="59"/>
        <v>0</v>
      </c>
      <c r="BK178" s="31" t="str">
        <f>VLOOKUP(B178,Miljö!$B$1:$P$482,MATCH("Fossil andel i procent (%)",Miljö!$B$1:$P$1,0),FALSE)</f>
        <v>ET</v>
      </c>
      <c r="BL178" s="31">
        <f t="shared" si="60"/>
        <v>1.78</v>
      </c>
      <c r="BO178" s="32">
        <f t="shared" si="61"/>
        <v>2.247191011235955E-2</v>
      </c>
      <c r="BP178" s="32">
        <f t="shared" si="62"/>
        <v>0</v>
      </c>
      <c r="BQ178" s="32">
        <f t="shared" si="63"/>
        <v>0.97752808988764039</v>
      </c>
      <c r="BR178" s="32">
        <f t="shared" si="64"/>
        <v>0</v>
      </c>
      <c r="BT178" s="62">
        <f t="shared" si="65"/>
        <v>1</v>
      </c>
      <c r="BW178" s="32">
        <f>IF(AP178="Ja",VLOOKUP(B178,Miljövärden!$B$2:$H$551,MATCH("Total andel fossilt",Miljövärden!$B$2:$H$2,0),FALSE),"")</f>
        <v>2.24719E-2</v>
      </c>
      <c r="BX178" s="62">
        <f t="shared" si="66"/>
        <v>-1.0112359550423777E-8</v>
      </c>
      <c r="BZ178" s="31">
        <f t="shared" si="67"/>
        <v>-1.0112359550423777E-8</v>
      </c>
      <c r="CA178" s="32">
        <f t="shared" si="68"/>
        <v>0</v>
      </c>
    </row>
    <row r="179" spans="1:79" x14ac:dyDescent="0.45">
      <c r="A179" s="31" t="s">
        <v>444</v>
      </c>
      <c r="B179" s="31" t="s">
        <v>445</v>
      </c>
      <c r="C179" s="31">
        <f>VLOOKUP($B179,'Tillförd energi'!$B$1:$AI$720,MATCH(C$1,'Tillförd energi'!$B$1:$AQ$1,0),FALSE)</f>
        <v>0</v>
      </c>
      <c r="D179" s="31">
        <f>VLOOKUP($B179,'Tillförd energi'!$B$1:$AI$720,MATCH(D$1,'Tillförd energi'!$B$1:$AQ$1,0),FALSE)</f>
        <v>1.89</v>
      </c>
      <c r="E179" s="31">
        <f>VLOOKUP($B179,'Tillförd energi'!$B$1:$AI$720,MATCH(E$1,'Tillförd energi'!$B$1:$AQ$1,0),FALSE)</f>
        <v>0</v>
      </c>
      <c r="F179" s="31">
        <f>VLOOKUP($B179,'Tillförd energi'!$B$1:$AI$720,MATCH(F$1,'Tillförd energi'!$B$1:$AQ$1,0),FALSE)</f>
        <v>0</v>
      </c>
      <c r="G179" s="31">
        <f>VLOOKUP($B179,'Tillförd energi'!$B$1:$AI$720,MATCH(G$1,'Tillförd energi'!$B$1:$AQ$1,0),FALSE)</f>
        <v>0</v>
      </c>
      <c r="H179" s="31">
        <f>VLOOKUP($B179,'Tillförd energi'!$B$1:$AI$720,MATCH(H$1,'Tillförd energi'!$B$1:$AQ$1,0),FALSE)</f>
        <v>0</v>
      </c>
      <c r="I179" s="31">
        <f>VLOOKUP($B179,'Tillförd energi'!$B$1:$AI$720,MATCH(I$1,'Tillförd energi'!$B$1:$AQ$1,0),FALSE)</f>
        <v>0</v>
      </c>
      <c r="J179" s="31">
        <f>VLOOKUP($B179,'Tillförd energi'!$B$1:$AI$720,MATCH(J$1,'Tillförd energi'!$B$1:$AQ$1,0),FALSE)</f>
        <v>0</v>
      </c>
      <c r="K179" s="31">
        <f>VLOOKUP($B179,'Tillförd energi'!$B$1:$AI$720,MATCH(K$1,'Tillförd energi'!$B$1:$AQ$1,0),FALSE)</f>
        <v>0</v>
      </c>
      <c r="L179" s="31">
        <f>VLOOKUP($B179,'Tillförd energi'!$B$1:$AI$720,MATCH(L$1,'Tillförd energi'!$B$1:$AQ$1,0),FALSE)</f>
        <v>0</v>
      </c>
      <c r="M179" s="31">
        <f>VLOOKUP($B179,'Tillförd energi'!$B$1:$AI$720,MATCH(M$1,'Tillförd energi'!$B$1:$AQ$1,0),FALSE)</f>
        <v>4.4967300000000003</v>
      </c>
      <c r="N179" s="31">
        <f>VLOOKUP($B179,'Tillförd energi'!$B$1:$AI$720,MATCH(N$1,'Tillförd energi'!$B$1:$AQ$1,0),FALSE)</f>
        <v>63.928699999999999</v>
      </c>
      <c r="O179" s="31">
        <f>VLOOKUP($B179,'Tillförd energi'!$B$1:$AI$720,MATCH(O$1,'Tillförd energi'!$B$1:$AQ$1,0),FALSE)</f>
        <v>0</v>
      </c>
      <c r="P179" s="31">
        <f>VLOOKUP($B179,'Tillförd energi'!$B$1:$AI$720,MATCH(P$1,'Tillförd energi'!$B$1:$AQ$1,0),FALSE)</f>
        <v>34.837600000000002</v>
      </c>
      <c r="Q179" s="31">
        <f>VLOOKUP($B179,'Tillförd energi'!$B$1:$AI$720,MATCH(Q$1,'Tillförd energi'!$B$1:$AQ$1,0),FALSE)</f>
        <v>0</v>
      </c>
      <c r="R179" s="31">
        <f>VLOOKUP($B179,'Tillförd energi'!$B$1:$AI$720,MATCH(R$1,'Tillförd energi'!$B$1:$AQ$1,0),FALSE)</f>
        <v>0</v>
      </c>
      <c r="S179" s="31">
        <f>VLOOKUP($B179,'Tillförd energi'!$B$1:$AI$720,MATCH(S$1,'Tillförd energi'!$B$1:$AQ$1,0),FALSE)</f>
        <v>5.65</v>
      </c>
      <c r="T179" s="31">
        <f>VLOOKUP($B179,'Tillförd energi'!$B$1:$AI$720,MATCH(T$1,'Tillförd energi'!$B$1:$AQ$1,0),FALSE)</f>
        <v>0</v>
      </c>
      <c r="U179" s="31">
        <f>VLOOKUP($B179,'Tillförd energi'!$B$1:$AI$720,MATCH(U$1,'Tillförd energi'!$B$1:$AQ$1,0),FALSE)</f>
        <v>0</v>
      </c>
      <c r="V179" s="31">
        <f>VLOOKUP($B179,'Tillförd energi'!$B$1:$AI$720,MATCH(V$1,'Tillförd energi'!$B$1:$AQ$1,0),FALSE)</f>
        <v>0</v>
      </c>
      <c r="W179" s="31">
        <f>VLOOKUP($B179,'Tillförd energi'!$B$1:$AI$720,MATCH(W$1,'Tillförd energi'!$B$1:$AQ$1,0),FALSE)</f>
        <v>0</v>
      </c>
      <c r="X179" s="31">
        <f>VLOOKUP($B179,'Tillförd energi'!$B$1:$AI$720,MATCH(X$1,'Tillförd energi'!$B$1:$AQ$1,0),FALSE)</f>
        <v>0</v>
      </c>
      <c r="Y179" s="31">
        <f>VLOOKUP($B179,'Tillförd energi'!$B$1:$AI$720,MATCH(Y$1,'Tillförd energi'!$B$1:$AQ$1,0),FALSE)</f>
        <v>0</v>
      </c>
      <c r="Z179" s="31">
        <f>VLOOKUP($B179,'Tillförd energi'!$B$1:$AI$720,MATCH(Z$1,'Tillförd energi'!$B$1:$AQ$1,0),FALSE)</f>
        <v>0</v>
      </c>
      <c r="AA179" s="31">
        <f>VLOOKUP($B179,'Tillförd energi'!$B$1:$AI$720,MATCH(AA$1,'Tillförd energi'!$B$1:$AQ$1,0),FALSE)</f>
        <v>0</v>
      </c>
      <c r="AB179" s="31">
        <f>VLOOKUP($B179,'Tillförd energi'!$B$1:$AI$720,MATCH(AB$1,'Tillförd energi'!$B$1:$AQ$1,0),FALSE)</f>
        <v>0</v>
      </c>
      <c r="AC179" s="31">
        <f>VLOOKUP($B179,'Tillförd energi'!$B$1:$AI$720,MATCH(AC$1,'Tillförd energi'!$B$1:$AQ$1,0),FALSE)</f>
        <v>18.21</v>
      </c>
      <c r="AD179" s="31">
        <f>VLOOKUP($B179,'Tillförd energi'!$B$1:$AI$720,MATCH(AD$1,'Tillförd energi'!$B$1:$AQ$1,0),FALSE)</f>
        <v>0</v>
      </c>
      <c r="AE179" s="31">
        <f>VLOOKUP($B179,'Tillförd energi'!$B$1:$AI$720,MATCH(AE$1,'Tillförd energi'!$B$1:$AQ$1,0),FALSE)</f>
        <v>0</v>
      </c>
      <c r="AF179" s="31">
        <f>VLOOKUP($B179,'Tillförd energi'!$B$1:$AI$720,MATCH(AF$1,'Tillförd energi'!$B$1:$AQ$1,0),FALSE)</f>
        <v>3.5525500000000001</v>
      </c>
      <c r="AG179" s="31">
        <f>IFERROR(VLOOKUP(B179,Miljö!$B$1:$AC$550,MATCH("Köpt mängd produktionsspecifik fjärrvärme:",Miljö!$B$1:$AC$1,0),FALSE)/1,0)</f>
        <v>0</v>
      </c>
      <c r="AI179" s="31">
        <f t="shared" si="46"/>
        <v>132.56558000000001</v>
      </c>
      <c r="AJ179" s="31">
        <f t="shared" si="47"/>
        <v>132.56558000000001</v>
      </c>
      <c r="AK179" s="31">
        <f>IF(ISERROR(1/VLOOKUP($B179,Leveranser!$B$1:$S$499,MATCH("Såld värme (GWh)",Leveranser!$B$1:$S$1,0),FALSE)),"",VLOOKUP($B179,Leveranser!$B$1:$S$499,MATCH("Såld värme (GWh)",Leveranser!$B$1:$S$1,0),FALSE))</f>
        <v>90.04</v>
      </c>
      <c r="AL179" s="31">
        <f>VLOOKUP($B179,Leveranser!$B$1:$Y$499,MATCH("Totalt såld fjärrvärme till andra fjärrvärmeföretag",Leveranser!$B$1:$AA$1,0),FALSE)</f>
        <v>0</v>
      </c>
      <c r="AM179" s="31">
        <f>IF(ISERROR(1/VLOOKUP($B179,Miljö!$B$1:$S$500,MATCH("Såld mängd produktionsspecifik fjärrvärme (GWh)",Miljö!$B$1:$R$1,0),FALSE)),0,VLOOKUP($B179,Miljö!$B$1:$S$500,MATCH("Såld mängd produktionsspecifik fjärrvärme (GWh)",Miljö!$B$1:$R$1,0),FALSE))</f>
        <v>0</v>
      </c>
      <c r="AN179" s="32">
        <f t="shared" si="48"/>
        <v>0.67921099881281399</v>
      </c>
      <c r="AP179" s="31" t="str">
        <f>IFERROR(VLOOKUP($B179,Miljövärden!$B$2:$H$550,7,FALSE),"Nej, saknas")</f>
        <v>Ja</v>
      </c>
      <c r="AQ179" s="31" t="str">
        <f>IFERROR(VLOOKUP($B179,Miljövärden!$B$2:$H$551,6,FALSE),"Nej, saknas")</f>
        <v>Nej</v>
      </c>
      <c r="AU179" s="31">
        <f t="shared" si="49"/>
        <v>3.5525500000000001</v>
      </c>
      <c r="AV179" s="31">
        <f t="shared" si="50"/>
        <v>0</v>
      </c>
      <c r="AW179" s="31">
        <f t="shared" si="51"/>
        <v>103.26303000000001</v>
      </c>
      <c r="AX179" s="31">
        <f t="shared" si="52"/>
        <v>5.65</v>
      </c>
      <c r="AZ179" s="31">
        <f t="shared" si="53"/>
        <v>108.91303000000002</v>
      </c>
      <c r="BC179" s="31">
        <f t="shared" si="54"/>
        <v>1.89</v>
      </c>
      <c r="BD179" s="31">
        <f t="shared" si="55"/>
        <v>0</v>
      </c>
      <c r="BE179" s="31">
        <f t="shared" si="56"/>
        <v>108.91303000000002</v>
      </c>
      <c r="BF179" s="31">
        <f t="shared" si="57"/>
        <v>18.21</v>
      </c>
      <c r="BG179" s="31">
        <f t="shared" si="58"/>
        <v>3.5525500000000001</v>
      </c>
      <c r="BH179" s="31">
        <f>VLOOKUP(B179,Miljö!$B$1:$BX$482,MATCH("Fossilandel för ursprungspecificerad el ()",Miljö!$B$1:$I$1,0),FALSE)</f>
        <v>0</v>
      </c>
      <c r="BI179" s="31">
        <f>VLOOKUP(B179,Miljö!$B$1:$BX$482,MATCH("Kärnkraftsandel för ursprungsspecificerad el ()",Miljö!$B$1:$O$1,0),FALSE)</f>
        <v>0</v>
      </c>
      <c r="BJ179" s="31">
        <f t="shared" si="59"/>
        <v>0</v>
      </c>
      <c r="BK179" s="31" t="str">
        <f>VLOOKUP(B179,Miljö!$B$1:$P$482,MATCH("Fossil andel i procent (%)",Miljö!$B$1:$P$1,0),FALSE)</f>
        <v>ET</v>
      </c>
      <c r="BL179" s="31">
        <f t="shared" si="60"/>
        <v>132.56558000000001</v>
      </c>
      <c r="BO179" s="32">
        <f t="shared" si="61"/>
        <v>1.4257094488629701E-2</v>
      </c>
      <c r="BP179" s="32">
        <f t="shared" si="62"/>
        <v>0</v>
      </c>
      <c r="BQ179" s="32">
        <f t="shared" si="63"/>
        <v>0.84837693162885874</v>
      </c>
      <c r="BR179" s="32">
        <f t="shared" si="64"/>
        <v>0.13736597388251157</v>
      </c>
      <c r="BT179" s="62">
        <f t="shared" si="65"/>
        <v>1</v>
      </c>
      <c r="BW179" s="32">
        <f>IF(AP179="Ja",VLOOKUP(B179,Miljövärden!$B$2:$H$551,MATCH("Total andel fossilt",Miljövärden!$B$2:$H$2,0),FALSE),"")</f>
        <v>1.4257000000000001E-2</v>
      </c>
      <c r="BX179" s="62">
        <f t="shared" si="66"/>
        <v>-9.4488629700031912E-8</v>
      </c>
      <c r="BZ179" s="31">
        <f t="shared" si="67"/>
        <v>-9.4488629700031912E-8</v>
      </c>
      <c r="CA179" s="32">
        <f t="shared" si="68"/>
        <v>0</v>
      </c>
    </row>
    <row r="180" spans="1:79" x14ac:dyDescent="0.45">
      <c r="A180" s="31" t="s">
        <v>442</v>
      </c>
      <c r="B180" s="31" t="s">
        <v>441</v>
      </c>
      <c r="C180" s="31">
        <f>VLOOKUP($B180,'Tillförd energi'!$B$1:$AI$720,MATCH(C$1,'Tillförd energi'!$B$1:$AQ$1,0),FALSE)</f>
        <v>0</v>
      </c>
      <c r="D180" s="31">
        <f>VLOOKUP($B180,'Tillförd energi'!$B$1:$AI$720,MATCH(D$1,'Tillförd energi'!$B$1:$AQ$1,0),FALSE)</f>
        <v>0.70295200000000002</v>
      </c>
      <c r="E180" s="31">
        <f>VLOOKUP($B180,'Tillförd energi'!$B$1:$AI$720,MATCH(E$1,'Tillförd energi'!$B$1:$AQ$1,0),FALSE)</f>
        <v>0</v>
      </c>
      <c r="F180" s="31">
        <f>VLOOKUP($B180,'Tillförd energi'!$B$1:$AI$720,MATCH(F$1,'Tillförd energi'!$B$1:$AQ$1,0),FALSE)</f>
        <v>0</v>
      </c>
      <c r="G180" s="31">
        <f>VLOOKUP($B180,'Tillförd energi'!$B$1:$AI$720,MATCH(G$1,'Tillförd energi'!$B$1:$AQ$1,0),FALSE)</f>
        <v>0</v>
      </c>
      <c r="H180" s="31">
        <f>VLOOKUP($B180,'Tillförd energi'!$B$1:$AI$720,MATCH(H$1,'Tillförd energi'!$B$1:$AQ$1,0),FALSE)</f>
        <v>0</v>
      </c>
      <c r="I180" s="31">
        <f>VLOOKUP($B180,'Tillförd energi'!$B$1:$AI$720,MATCH(I$1,'Tillförd energi'!$B$1:$AQ$1,0),FALSE)</f>
        <v>0</v>
      </c>
      <c r="J180" s="31">
        <f>VLOOKUP($B180,'Tillförd energi'!$B$1:$AI$720,MATCH(J$1,'Tillförd energi'!$B$1:$AQ$1,0),FALSE)</f>
        <v>0</v>
      </c>
      <c r="K180" s="31">
        <f>VLOOKUP($B180,'Tillförd energi'!$B$1:$AI$720,MATCH(K$1,'Tillförd energi'!$B$1:$AQ$1,0),FALSE)</f>
        <v>0</v>
      </c>
      <c r="L180" s="31">
        <f>VLOOKUP($B180,'Tillförd energi'!$B$1:$AI$720,MATCH(L$1,'Tillförd energi'!$B$1:$AQ$1,0),FALSE)</f>
        <v>0</v>
      </c>
      <c r="M180" s="31">
        <f>VLOOKUP($B180,'Tillförd energi'!$B$1:$AI$720,MATCH(M$1,'Tillförd energi'!$B$1:$AQ$1,0),FALSE)</f>
        <v>5.4</v>
      </c>
      <c r="N180" s="31">
        <f>VLOOKUP($B180,'Tillförd energi'!$B$1:$AI$720,MATCH(N$1,'Tillförd energi'!$B$1:$AQ$1,0),FALSE)</f>
        <v>87.22</v>
      </c>
      <c r="O180" s="31">
        <f>VLOOKUP($B180,'Tillförd energi'!$B$1:$AI$720,MATCH(O$1,'Tillförd energi'!$B$1:$AQ$1,0),FALSE)</f>
        <v>5.4</v>
      </c>
      <c r="P180" s="31">
        <f>VLOOKUP($B180,'Tillförd energi'!$B$1:$AI$720,MATCH(P$1,'Tillförd energi'!$B$1:$AQ$1,0),FALSE)</f>
        <v>14.7074</v>
      </c>
      <c r="Q180" s="31">
        <f>VLOOKUP($B180,'Tillförd energi'!$B$1:$AI$720,MATCH(Q$1,'Tillförd energi'!$B$1:$AQ$1,0),FALSE)</f>
        <v>9.1764700000000001</v>
      </c>
      <c r="R180" s="31">
        <f>VLOOKUP($B180,'Tillförd energi'!$B$1:$AI$720,MATCH(R$1,'Tillförd energi'!$B$1:$AQ$1,0),FALSE)</f>
        <v>0</v>
      </c>
      <c r="S180" s="31">
        <f>VLOOKUP($B180,'Tillförd energi'!$B$1:$AI$720,MATCH(S$1,'Tillförd energi'!$B$1:$AQ$1,0),FALSE)</f>
        <v>0</v>
      </c>
      <c r="T180" s="31">
        <f>VLOOKUP($B180,'Tillförd energi'!$B$1:$AI$720,MATCH(T$1,'Tillförd energi'!$B$1:$AQ$1,0),FALSE)</f>
        <v>0</v>
      </c>
      <c r="U180" s="31">
        <f>VLOOKUP($B180,'Tillförd energi'!$B$1:$AI$720,MATCH(U$1,'Tillförd energi'!$B$1:$AQ$1,0),FALSE)</f>
        <v>0</v>
      </c>
      <c r="V180" s="31">
        <f>VLOOKUP($B180,'Tillförd energi'!$B$1:$AI$720,MATCH(V$1,'Tillförd energi'!$B$1:$AQ$1,0),FALSE)</f>
        <v>0</v>
      </c>
      <c r="W180" s="31">
        <f>VLOOKUP($B180,'Tillförd energi'!$B$1:$AI$720,MATCH(W$1,'Tillförd energi'!$B$1:$AQ$1,0),FALSE)</f>
        <v>0</v>
      </c>
      <c r="X180" s="31">
        <f>VLOOKUP($B180,'Tillförd energi'!$B$1:$AI$720,MATCH(X$1,'Tillförd energi'!$B$1:$AQ$1,0),FALSE)</f>
        <v>0</v>
      </c>
      <c r="Y180" s="31">
        <f>VLOOKUP($B180,'Tillförd energi'!$B$1:$AI$720,MATCH(Y$1,'Tillförd energi'!$B$1:$AQ$1,0),FALSE)</f>
        <v>0</v>
      </c>
      <c r="Z180" s="31">
        <f>VLOOKUP($B180,'Tillförd energi'!$B$1:$AI$720,MATCH(Z$1,'Tillförd energi'!$B$1:$AQ$1,0),FALSE)</f>
        <v>0</v>
      </c>
      <c r="AA180" s="31">
        <f>VLOOKUP($B180,'Tillförd energi'!$B$1:$AI$720,MATCH(AA$1,'Tillförd energi'!$B$1:$AQ$1,0),FALSE)</f>
        <v>0</v>
      </c>
      <c r="AB180" s="31">
        <f>VLOOKUP($B180,'Tillförd energi'!$B$1:$AI$720,MATCH(AB$1,'Tillförd energi'!$B$1:$AQ$1,0),FALSE)</f>
        <v>0</v>
      </c>
      <c r="AC180" s="31">
        <f>VLOOKUP($B180,'Tillförd energi'!$B$1:$AI$720,MATCH(AC$1,'Tillförd energi'!$B$1:$AQ$1,0),FALSE)</f>
        <v>1.87</v>
      </c>
      <c r="AD180" s="31">
        <f>VLOOKUP($B180,'Tillförd energi'!$B$1:$AI$720,MATCH(AD$1,'Tillförd energi'!$B$1:$AQ$1,0),FALSE)</f>
        <v>0</v>
      </c>
      <c r="AE180" s="31">
        <f>VLOOKUP($B180,'Tillförd energi'!$B$1:$AI$720,MATCH(AE$1,'Tillförd energi'!$B$1:$AQ$1,0),FALSE)</f>
        <v>0</v>
      </c>
      <c r="AF180" s="31">
        <f>VLOOKUP($B180,'Tillförd energi'!$B$1:$AI$720,MATCH(AF$1,'Tillförd energi'!$B$1:$AQ$1,0),FALSE)</f>
        <v>4.7487899999999996</v>
      </c>
      <c r="AG180" s="31">
        <f>IFERROR(VLOOKUP(B180,Miljö!$B$1:$AC$550,MATCH("Köpt mängd produktionsspecifik fjärrvärme:",Miljö!$B$1:$AC$1,0),FALSE)/1,0)</f>
        <v>79</v>
      </c>
      <c r="AI180" s="31">
        <f t="shared" si="46"/>
        <v>129.22561200000001</v>
      </c>
      <c r="AJ180" s="31">
        <f t="shared" si="47"/>
        <v>208.22561200000001</v>
      </c>
      <c r="AK180" s="31">
        <f>IF(ISERROR(1/VLOOKUP($B180,Leveranser!$B$1:$S$499,MATCH("Såld värme (GWh)",Leveranser!$B$1:$S$1,0),FALSE)),"",VLOOKUP($B180,Leveranser!$B$1:$S$499,MATCH("Såld värme (GWh)",Leveranser!$B$1:$S$1,0),FALSE))</f>
        <v>174.3</v>
      </c>
      <c r="AL180" s="31">
        <f>VLOOKUP($B180,Leveranser!$B$1:$Y$499,MATCH("Totalt såld fjärrvärme till andra fjärrvärmeföretag",Leveranser!$B$1:$AA$1,0),FALSE)</f>
        <v>0.24</v>
      </c>
      <c r="AM180" s="31">
        <f>IF(ISERROR(1/VLOOKUP($B180,Miljö!$B$1:$S$500,MATCH("Såld mängd produktionsspecifik fjärrvärme (GWh)",Miljö!$B$1:$R$1,0),FALSE)),0,VLOOKUP($B180,Miljö!$B$1:$S$500,MATCH("Såld mängd produktionsspecifik fjärrvärme (GWh)",Miljö!$B$1:$R$1,0),FALSE))</f>
        <v>0</v>
      </c>
      <c r="AN180" s="32">
        <f t="shared" si="48"/>
        <v>0.83707281888070528</v>
      </c>
      <c r="AP180" s="31" t="str">
        <f>IFERROR(VLOOKUP($B180,Miljövärden!$B$2:$H$550,7,FALSE),"Nej, saknas")</f>
        <v>Ja</v>
      </c>
      <c r="AQ180" s="31" t="str">
        <f>IFERROR(VLOOKUP($B180,Miljövärden!$B$2:$H$551,6,FALSE),"Nej, saknas")</f>
        <v>Ja</v>
      </c>
      <c r="AU180" s="31">
        <f t="shared" si="49"/>
        <v>4.7487899999999996</v>
      </c>
      <c r="AV180" s="31">
        <f t="shared" si="50"/>
        <v>0</v>
      </c>
      <c r="AW180" s="31">
        <f t="shared" si="51"/>
        <v>121.90387000000001</v>
      </c>
      <c r="AX180" s="31">
        <f t="shared" si="52"/>
        <v>0</v>
      </c>
      <c r="AZ180" s="31">
        <f t="shared" si="53"/>
        <v>121.90387000000001</v>
      </c>
      <c r="BC180" s="31">
        <f t="shared" si="54"/>
        <v>0.70295200000000002</v>
      </c>
      <c r="BD180" s="31">
        <f t="shared" si="55"/>
        <v>0</v>
      </c>
      <c r="BE180" s="31">
        <f t="shared" si="56"/>
        <v>121.90387000000001</v>
      </c>
      <c r="BF180" s="31">
        <f t="shared" si="57"/>
        <v>1.87</v>
      </c>
      <c r="BG180" s="31">
        <f t="shared" si="58"/>
        <v>4.7487899999999996</v>
      </c>
      <c r="BH180" s="31">
        <f>VLOOKUP(B180,Miljö!$B$1:$BX$482,MATCH("Fossilandel för ursprungspecificerad el ()",Miljö!$B$1:$I$1,0),FALSE)</f>
        <v>0</v>
      </c>
      <c r="BI180" s="31">
        <f>VLOOKUP(B180,Miljö!$B$1:$BX$482,MATCH("Kärnkraftsandel för ursprungsspecificerad el ()",Miljö!$B$1:$O$1,0),FALSE)</f>
        <v>0</v>
      </c>
      <c r="BJ180" s="31">
        <f t="shared" si="59"/>
        <v>79</v>
      </c>
      <c r="BK180" s="31">
        <f>VLOOKUP(B180,Miljö!$B$1:$P$482,MATCH("Fossil andel i procent (%)",Miljö!$B$1:$P$1,0),FALSE)</f>
        <v>1.9</v>
      </c>
      <c r="BL180" s="31">
        <f t="shared" si="60"/>
        <v>208.22561200000001</v>
      </c>
      <c r="BO180" s="32">
        <f t="shared" si="61"/>
        <v>1.0584442417198898E-2</v>
      </c>
      <c r="BP180" s="32">
        <f t="shared" si="62"/>
        <v>0.37218764423657924</v>
      </c>
      <c r="BQ180" s="32">
        <f t="shared" si="63"/>
        <v>0.60824726979311272</v>
      </c>
      <c r="BR180" s="32">
        <f t="shared" si="64"/>
        <v>8.9806435531091158E-3</v>
      </c>
      <c r="BT180" s="62">
        <f t="shared" si="65"/>
        <v>1</v>
      </c>
      <c r="BW180" s="32">
        <f>IF(AP180="Ja",VLOOKUP(B180,Miljövärden!$B$2:$H$551,MATCH("Total andel fossilt",Miljövärden!$B$2:$H$2,0),FALSE),"")</f>
        <v>1.0584400000000001E-2</v>
      </c>
      <c r="BX180" s="62">
        <f t="shared" si="66"/>
        <v>-4.2417198897401476E-8</v>
      </c>
      <c r="BZ180" s="31">
        <f t="shared" si="67"/>
        <v>-4.2417198897401476E-8</v>
      </c>
      <c r="CA180" s="32">
        <f t="shared" si="68"/>
        <v>0</v>
      </c>
    </row>
    <row r="181" spans="1:79" hidden="1" x14ac:dyDescent="0.45">
      <c r="A181" s="31" t="s">
        <v>440</v>
      </c>
      <c r="B181" s="31" t="s">
        <v>439</v>
      </c>
      <c r="C181" s="31">
        <f>VLOOKUP($B181,'Tillförd energi'!$B$1:$AI$720,MATCH(C$1,'Tillförd energi'!$B$1:$AQ$1,0),FALSE)</f>
        <v>0</v>
      </c>
      <c r="D181" s="31">
        <f>VLOOKUP($B181,'Tillförd energi'!$B$1:$AI$720,MATCH(D$1,'Tillförd energi'!$B$1:$AQ$1,0),FALSE)</f>
        <v>0</v>
      </c>
      <c r="E181" s="31">
        <f>VLOOKUP($B181,'Tillförd energi'!$B$1:$AI$720,MATCH(E$1,'Tillförd energi'!$B$1:$AQ$1,0),FALSE)</f>
        <v>0</v>
      </c>
      <c r="F181" s="31">
        <f>VLOOKUP($B181,'Tillförd energi'!$B$1:$AI$720,MATCH(F$1,'Tillförd energi'!$B$1:$AQ$1,0),FALSE)</f>
        <v>0</v>
      </c>
      <c r="G181" s="31">
        <f>VLOOKUP($B181,'Tillförd energi'!$B$1:$AI$720,MATCH(G$1,'Tillförd energi'!$B$1:$AQ$1,0),FALSE)</f>
        <v>0</v>
      </c>
      <c r="H181" s="31">
        <f>VLOOKUP($B181,'Tillförd energi'!$B$1:$AI$720,MATCH(H$1,'Tillförd energi'!$B$1:$AQ$1,0),FALSE)</f>
        <v>0</v>
      </c>
      <c r="I181" s="31">
        <f>VLOOKUP($B181,'Tillförd energi'!$B$1:$AI$720,MATCH(I$1,'Tillförd energi'!$B$1:$AQ$1,0),FALSE)</f>
        <v>0</v>
      </c>
      <c r="J181" s="31">
        <f>VLOOKUP($B181,'Tillförd energi'!$B$1:$AI$720,MATCH(J$1,'Tillförd energi'!$B$1:$AQ$1,0),FALSE)</f>
        <v>0</v>
      </c>
      <c r="K181" s="31">
        <f>VLOOKUP($B181,'Tillförd energi'!$B$1:$AI$720,MATCH(K$1,'Tillförd energi'!$B$1:$AQ$1,0),FALSE)</f>
        <v>0</v>
      </c>
      <c r="L181" s="31">
        <f>VLOOKUP($B181,'Tillförd energi'!$B$1:$AI$720,MATCH(L$1,'Tillförd energi'!$B$1:$AQ$1,0),FALSE)</f>
        <v>0</v>
      </c>
      <c r="M181" s="31">
        <f>VLOOKUP($B181,'Tillförd energi'!$B$1:$AI$720,MATCH(M$1,'Tillförd energi'!$B$1:$AQ$1,0),FALSE)</f>
        <v>0</v>
      </c>
      <c r="N181" s="31">
        <f>VLOOKUP($B181,'Tillförd energi'!$B$1:$AI$720,MATCH(N$1,'Tillförd energi'!$B$1:$AQ$1,0),FALSE)</f>
        <v>0</v>
      </c>
      <c r="O181" s="31">
        <f>VLOOKUP($B181,'Tillförd energi'!$B$1:$AI$720,MATCH(O$1,'Tillförd energi'!$B$1:$AQ$1,0),FALSE)</f>
        <v>0</v>
      </c>
      <c r="P181" s="31">
        <f>VLOOKUP($B181,'Tillförd energi'!$B$1:$AI$720,MATCH(P$1,'Tillförd energi'!$B$1:$AQ$1,0),FALSE)</f>
        <v>0</v>
      </c>
      <c r="Q181" s="31">
        <f>VLOOKUP($B181,'Tillförd energi'!$B$1:$AI$720,MATCH(Q$1,'Tillförd energi'!$B$1:$AQ$1,0),FALSE)</f>
        <v>0</v>
      </c>
      <c r="R181" s="31">
        <f>VLOOKUP($B181,'Tillförd energi'!$B$1:$AI$720,MATCH(R$1,'Tillförd energi'!$B$1:$AQ$1,0),FALSE)</f>
        <v>0</v>
      </c>
      <c r="S181" s="31">
        <f>VLOOKUP($B181,'Tillförd energi'!$B$1:$AI$720,MATCH(S$1,'Tillförd energi'!$B$1:$AQ$1,0),FALSE)</f>
        <v>0</v>
      </c>
      <c r="T181" s="31">
        <f>VLOOKUP($B181,'Tillförd energi'!$B$1:$AI$720,MATCH(T$1,'Tillförd energi'!$B$1:$AQ$1,0),FALSE)</f>
        <v>0</v>
      </c>
      <c r="U181" s="31">
        <f>VLOOKUP($B181,'Tillförd energi'!$B$1:$AI$720,MATCH(U$1,'Tillförd energi'!$B$1:$AQ$1,0),FALSE)</f>
        <v>0</v>
      </c>
      <c r="V181" s="31">
        <f>VLOOKUP($B181,'Tillförd energi'!$B$1:$AI$720,MATCH(V$1,'Tillförd energi'!$B$1:$AQ$1,0),FALSE)</f>
        <v>0</v>
      </c>
      <c r="W181" s="31">
        <f>VLOOKUP($B181,'Tillförd energi'!$B$1:$AI$720,MATCH(W$1,'Tillförd energi'!$B$1:$AQ$1,0),FALSE)</f>
        <v>0</v>
      </c>
      <c r="X181" s="31">
        <f>VLOOKUP($B181,'Tillförd energi'!$B$1:$AI$720,MATCH(X$1,'Tillförd energi'!$B$1:$AQ$1,0),FALSE)</f>
        <v>0</v>
      </c>
      <c r="Y181" s="31">
        <f>VLOOKUP($B181,'Tillförd energi'!$B$1:$AI$720,MATCH(Y$1,'Tillförd energi'!$B$1:$AQ$1,0),FALSE)</f>
        <v>0</v>
      </c>
      <c r="Z181" s="31">
        <f>VLOOKUP($B181,'Tillförd energi'!$B$1:$AI$720,MATCH(Z$1,'Tillförd energi'!$B$1:$AQ$1,0),FALSE)</f>
        <v>0</v>
      </c>
      <c r="AA181" s="31">
        <f>VLOOKUP($B181,'Tillförd energi'!$B$1:$AI$720,MATCH(AA$1,'Tillförd energi'!$B$1:$AQ$1,0),FALSE)</f>
        <v>0</v>
      </c>
      <c r="AB181" s="31">
        <f>VLOOKUP($B181,'Tillförd energi'!$B$1:$AI$720,MATCH(AB$1,'Tillförd energi'!$B$1:$AQ$1,0),FALSE)</f>
        <v>0</v>
      </c>
      <c r="AC181" s="31">
        <f>VLOOKUP($B181,'Tillförd energi'!$B$1:$AI$720,MATCH(AC$1,'Tillförd energi'!$B$1:$AQ$1,0),FALSE)</f>
        <v>0</v>
      </c>
      <c r="AD181" s="31">
        <f>VLOOKUP($B181,'Tillförd energi'!$B$1:$AI$720,MATCH(AD$1,'Tillförd energi'!$B$1:$AQ$1,0),FALSE)</f>
        <v>0</v>
      </c>
      <c r="AE181" s="31">
        <f>VLOOKUP($B181,'Tillförd energi'!$B$1:$AI$720,MATCH(AE$1,'Tillförd energi'!$B$1:$AQ$1,0),FALSE)</f>
        <v>0</v>
      </c>
      <c r="AF181" s="31">
        <f>VLOOKUP($B181,'Tillförd energi'!$B$1:$AI$720,MATCH(AF$1,'Tillförd energi'!$B$1:$AQ$1,0),FALSE)</f>
        <v>0</v>
      </c>
      <c r="AG181" s="31">
        <f>IFERROR(VLOOKUP(B181,Miljö!$B$1:$AC$550,MATCH("Köpt mängd produktionsspecifik fjärrvärme:",Miljö!$B$1:$AC$1,0),FALSE)/1,0)</f>
        <v>0</v>
      </c>
      <c r="AI181" s="31">
        <f t="shared" si="46"/>
        <v>0</v>
      </c>
      <c r="AJ181" s="31">
        <f t="shared" si="47"/>
        <v>0</v>
      </c>
      <c r="AK181" s="31" t="str">
        <f>IF(ISERROR(1/VLOOKUP($B181,Leveranser!$B$1:$S$499,MATCH("Såld värme (GWh)",Leveranser!$B$1:$S$1,0),FALSE)),"",VLOOKUP($B181,Leveranser!$B$1:$S$499,MATCH("Såld värme (GWh)",Leveranser!$B$1:$S$1,0),FALSE))</f>
        <v/>
      </c>
      <c r="AL181" s="31">
        <f>VLOOKUP($B181,Leveranser!$B$1:$Y$499,MATCH("Totalt såld fjärrvärme till andra fjärrvärmeföretag",Leveranser!$B$1:$AA$1,0),FALSE)</f>
        <v>0</v>
      </c>
      <c r="AM181" s="31">
        <f>IF(ISERROR(1/VLOOKUP($B181,Miljö!$B$1:$S$500,MATCH("Såld mängd produktionsspecifik fjärrvärme (GWh)",Miljö!$B$1:$R$1,0),FALSE)),0,VLOOKUP($B181,Miljö!$B$1:$S$500,MATCH("Såld mängd produktionsspecifik fjärrvärme (GWh)",Miljö!$B$1:$R$1,0),FALSE))</f>
        <v>0</v>
      </c>
      <c r="AN181" s="32" t="str">
        <f t="shared" si="48"/>
        <v/>
      </c>
      <c r="AP181" s="31" t="str">
        <f>IFERROR(VLOOKUP($B181,Miljövärden!$B$2:$H$550,7,FALSE),"Nej, saknas")</f>
        <v>Nej</v>
      </c>
      <c r="AQ181" s="31" t="str">
        <f>IFERROR(VLOOKUP($B181,Miljövärden!$B$2:$H$551,6,FALSE),"Nej, saknas")</f>
        <v>Nej</v>
      </c>
      <c r="AU181" s="31">
        <f t="shared" si="49"/>
        <v>0</v>
      </c>
      <c r="AV181" s="31">
        <f t="shared" si="50"/>
        <v>0</v>
      </c>
      <c r="AW181" s="31">
        <f t="shared" si="51"/>
        <v>0</v>
      </c>
      <c r="AX181" s="31">
        <f t="shared" si="52"/>
        <v>0</v>
      </c>
      <c r="AZ181" s="31">
        <f t="shared" si="53"/>
        <v>0</v>
      </c>
      <c r="BC181" s="31">
        <f t="shared" si="54"/>
        <v>0</v>
      </c>
      <c r="BD181" s="31">
        <f t="shared" si="55"/>
        <v>0</v>
      </c>
      <c r="BE181" s="31">
        <f t="shared" si="56"/>
        <v>0</v>
      </c>
      <c r="BF181" s="31">
        <f t="shared" si="57"/>
        <v>0</v>
      </c>
      <c r="BG181" s="31">
        <f t="shared" si="58"/>
        <v>0</v>
      </c>
      <c r="BH181" s="31" t="str">
        <f>VLOOKUP(B181,Miljö!$B$1:$BX$482,MATCH("Fossilandel för ursprungspecificerad el ()",Miljö!$B$1:$I$1,0),FALSE)</f>
        <v>-</v>
      </c>
      <c r="BI181" s="31" t="str">
        <f>VLOOKUP(B181,Miljö!$B$1:$BX$482,MATCH("Kärnkraftsandel för ursprungsspecificerad el ()",Miljö!$B$1:$O$1,0),FALSE)</f>
        <v>-</v>
      </c>
      <c r="BJ181" s="31">
        <f t="shared" si="59"/>
        <v>0</v>
      </c>
      <c r="BK181" s="31" t="str">
        <f>VLOOKUP(B181,Miljö!$B$1:$P$482,MATCH("Fossil andel i procent (%)",Miljö!$B$1:$P$1,0),FALSE)</f>
        <v>-</v>
      </c>
      <c r="BL181" s="31">
        <f t="shared" si="60"/>
        <v>0</v>
      </c>
      <c r="BO181" s="32" t="str">
        <f t="shared" si="61"/>
        <v/>
      </c>
      <c r="BP181" s="32" t="str">
        <f t="shared" si="62"/>
        <v/>
      </c>
      <c r="BQ181" s="32" t="str">
        <f t="shared" si="63"/>
        <v/>
      </c>
      <c r="BR181" s="32" t="str">
        <f t="shared" si="64"/>
        <v/>
      </c>
      <c r="BT181" s="62">
        <f t="shared" si="65"/>
        <v>0</v>
      </c>
      <c r="BW181" s="32" t="str">
        <f>IF(AP181="Ja",VLOOKUP(B181,Miljövärden!$B$2:$H$551,MATCH("Total andel fossilt",Miljövärden!$B$2:$H$2,0),FALSE),"")</f>
        <v/>
      </c>
      <c r="BX181" s="62" t="e">
        <f t="shared" si="66"/>
        <v>#VALUE!</v>
      </c>
      <c r="BZ181" s="31" t="str">
        <f t="shared" si="67"/>
        <v/>
      </c>
      <c r="CA181" s="32" t="str">
        <f t="shared" si="68"/>
        <v/>
      </c>
    </row>
    <row r="182" spans="1:79" hidden="1" x14ac:dyDescent="0.45">
      <c r="A182" s="31" t="s">
        <v>438</v>
      </c>
      <c r="B182" s="31" t="s">
        <v>437</v>
      </c>
      <c r="C182" s="31">
        <f>VLOOKUP($B182,'Tillförd energi'!$B$1:$AI$720,MATCH(C$1,'Tillförd energi'!$B$1:$AQ$1,0),FALSE)</f>
        <v>0</v>
      </c>
      <c r="D182" s="31">
        <f>VLOOKUP($B182,'Tillförd energi'!$B$1:$AI$720,MATCH(D$1,'Tillförd energi'!$B$1:$AQ$1,0),FALSE)</f>
        <v>0</v>
      </c>
      <c r="E182" s="31">
        <f>VLOOKUP($B182,'Tillförd energi'!$B$1:$AI$720,MATCH(E$1,'Tillförd energi'!$B$1:$AQ$1,0),FALSE)</f>
        <v>0</v>
      </c>
      <c r="F182" s="31">
        <f>VLOOKUP($B182,'Tillförd energi'!$B$1:$AI$720,MATCH(F$1,'Tillförd energi'!$B$1:$AQ$1,0),FALSE)</f>
        <v>0</v>
      </c>
      <c r="G182" s="31">
        <f>VLOOKUP($B182,'Tillförd energi'!$B$1:$AI$720,MATCH(G$1,'Tillförd energi'!$B$1:$AQ$1,0),FALSE)</f>
        <v>0</v>
      </c>
      <c r="H182" s="31">
        <f>VLOOKUP($B182,'Tillförd energi'!$B$1:$AI$720,MATCH(H$1,'Tillförd energi'!$B$1:$AQ$1,0),FALSE)</f>
        <v>0</v>
      </c>
      <c r="I182" s="31">
        <f>VLOOKUP($B182,'Tillförd energi'!$B$1:$AI$720,MATCH(I$1,'Tillförd energi'!$B$1:$AQ$1,0),FALSE)</f>
        <v>0</v>
      </c>
      <c r="J182" s="31">
        <f>VLOOKUP($B182,'Tillförd energi'!$B$1:$AI$720,MATCH(J$1,'Tillförd energi'!$B$1:$AQ$1,0),FALSE)</f>
        <v>0</v>
      </c>
      <c r="K182" s="31">
        <f>VLOOKUP($B182,'Tillförd energi'!$B$1:$AI$720,MATCH(K$1,'Tillförd energi'!$B$1:$AQ$1,0),FALSE)</f>
        <v>0</v>
      </c>
      <c r="L182" s="31">
        <f>VLOOKUP($B182,'Tillförd energi'!$B$1:$AI$720,MATCH(L$1,'Tillförd energi'!$B$1:$AQ$1,0),FALSE)</f>
        <v>0</v>
      </c>
      <c r="M182" s="31">
        <f>VLOOKUP($B182,'Tillförd energi'!$B$1:$AI$720,MATCH(M$1,'Tillförd energi'!$B$1:$AQ$1,0),FALSE)</f>
        <v>0</v>
      </c>
      <c r="N182" s="31">
        <f>VLOOKUP($B182,'Tillförd energi'!$B$1:$AI$720,MATCH(N$1,'Tillförd energi'!$B$1:$AQ$1,0),FALSE)</f>
        <v>0</v>
      </c>
      <c r="O182" s="31">
        <f>VLOOKUP($B182,'Tillförd energi'!$B$1:$AI$720,MATCH(O$1,'Tillförd energi'!$B$1:$AQ$1,0),FALSE)</f>
        <v>0</v>
      </c>
      <c r="P182" s="31">
        <f>VLOOKUP($B182,'Tillförd energi'!$B$1:$AI$720,MATCH(P$1,'Tillförd energi'!$B$1:$AQ$1,0),FALSE)</f>
        <v>0</v>
      </c>
      <c r="Q182" s="31">
        <f>VLOOKUP($B182,'Tillförd energi'!$B$1:$AI$720,MATCH(Q$1,'Tillförd energi'!$B$1:$AQ$1,0),FALSE)</f>
        <v>0</v>
      </c>
      <c r="R182" s="31">
        <f>VLOOKUP($B182,'Tillförd energi'!$B$1:$AI$720,MATCH(R$1,'Tillförd energi'!$B$1:$AQ$1,0),FALSE)</f>
        <v>0</v>
      </c>
      <c r="S182" s="31">
        <f>VLOOKUP($B182,'Tillförd energi'!$B$1:$AI$720,MATCH(S$1,'Tillförd energi'!$B$1:$AQ$1,0),FALSE)</f>
        <v>0</v>
      </c>
      <c r="T182" s="31">
        <f>VLOOKUP($B182,'Tillförd energi'!$B$1:$AI$720,MATCH(T$1,'Tillförd energi'!$B$1:$AQ$1,0),FALSE)</f>
        <v>0</v>
      </c>
      <c r="U182" s="31">
        <f>VLOOKUP($B182,'Tillförd energi'!$B$1:$AI$720,MATCH(U$1,'Tillförd energi'!$B$1:$AQ$1,0),FALSE)</f>
        <v>0</v>
      </c>
      <c r="V182" s="31">
        <f>VLOOKUP($B182,'Tillförd energi'!$B$1:$AI$720,MATCH(V$1,'Tillförd energi'!$B$1:$AQ$1,0),FALSE)</f>
        <v>0</v>
      </c>
      <c r="W182" s="31">
        <f>VLOOKUP($B182,'Tillförd energi'!$B$1:$AI$720,MATCH(W$1,'Tillförd energi'!$B$1:$AQ$1,0),FALSE)</f>
        <v>0</v>
      </c>
      <c r="X182" s="31">
        <f>VLOOKUP($B182,'Tillförd energi'!$B$1:$AI$720,MATCH(X$1,'Tillförd energi'!$B$1:$AQ$1,0),FALSE)</f>
        <v>0</v>
      </c>
      <c r="Y182" s="31">
        <f>VLOOKUP($B182,'Tillförd energi'!$B$1:$AI$720,MATCH(Y$1,'Tillförd energi'!$B$1:$AQ$1,0),FALSE)</f>
        <v>0</v>
      </c>
      <c r="Z182" s="31">
        <f>VLOOKUP($B182,'Tillförd energi'!$B$1:$AI$720,MATCH(Z$1,'Tillförd energi'!$B$1:$AQ$1,0),FALSE)</f>
        <v>0</v>
      </c>
      <c r="AA182" s="31">
        <f>VLOOKUP($B182,'Tillförd energi'!$B$1:$AI$720,MATCH(AA$1,'Tillförd energi'!$B$1:$AQ$1,0),FALSE)</f>
        <v>0</v>
      </c>
      <c r="AB182" s="31">
        <f>VLOOKUP($B182,'Tillförd energi'!$B$1:$AI$720,MATCH(AB$1,'Tillförd energi'!$B$1:$AQ$1,0),FALSE)</f>
        <v>0</v>
      </c>
      <c r="AC182" s="31">
        <f>VLOOKUP($B182,'Tillförd energi'!$B$1:$AI$720,MATCH(AC$1,'Tillförd energi'!$B$1:$AQ$1,0),FALSE)</f>
        <v>0</v>
      </c>
      <c r="AD182" s="31">
        <f>VLOOKUP($B182,'Tillförd energi'!$B$1:$AI$720,MATCH(AD$1,'Tillförd energi'!$B$1:$AQ$1,0),FALSE)</f>
        <v>0</v>
      </c>
      <c r="AE182" s="31">
        <f>VLOOKUP($B182,'Tillförd energi'!$B$1:$AI$720,MATCH(AE$1,'Tillförd energi'!$B$1:$AQ$1,0),FALSE)</f>
        <v>0</v>
      </c>
      <c r="AF182" s="31">
        <f>VLOOKUP($B182,'Tillförd energi'!$B$1:$AI$720,MATCH(AF$1,'Tillförd energi'!$B$1:$AQ$1,0),FALSE)</f>
        <v>0</v>
      </c>
      <c r="AG182" s="31">
        <f>IFERROR(VLOOKUP(B182,Miljö!$B$1:$AC$550,MATCH("Köpt mängd produktionsspecifik fjärrvärme:",Miljö!$B$1:$AC$1,0),FALSE)/1,0)</f>
        <v>0</v>
      </c>
      <c r="AI182" s="31">
        <f t="shared" si="46"/>
        <v>0</v>
      </c>
      <c r="AJ182" s="31">
        <f t="shared" si="47"/>
        <v>0</v>
      </c>
      <c r="AK182" s="31" t="str">
        <f>IF(ISERROR(1/VLOOKUP($B182,Leveranser!$B$1:$S$499,MATCH("Såld värme (GWh)",Leveranser!$B$1:$S$1,0),FALSE)),"",VLOOKUP($B182,Leveranser!$B$1:$S$499,MATCH("Såld värme (GWh)",Leveranser!$B$1:$S$1,0),FALSE))</f>
        <v/>
      </c>
      <c r="AL182" s="31">
        <f>VLOOKUP($B182,Leveranser!$B$1:$Y$499,MATCH("Totalt såld fjärrvärme till andra fjärrvärmeföretag",Leveranser!$B$1:$AA$1,0),FALSE)</f>
        <v>0</v>
      </c>
      <c r="AM182" s="31">
        <f>IF(ISERROR(1/VLOOKUP($B182,Miljö!$B$1:$S$500,MATCH("Såld mängd produktionsspecifik fjärrvärme (GWh)",Miljö!$B$1:$R$1,0),FALSE)),0,VLOOKUP($B182,Miljö!$B$1:$S$500,MATCH("Såld mängd produktionsspecifik fjärrvärme (GWh)",Miljö!$B$1:$R$1,0),FALSE))</f>
        <v>0</v>
      </c>
      <c r="AN182" s="32" t="str">
        <f t="shared" si="48"/>
        <v/>
      </c>
      <c r="AP182" s="31" t="str">
        <f>IFERROR(VLOOKUP($B182,Miljövärden!$B$2:$H$550,7,FALSE),"Nej, saknas")</f>
        <v>Nej</v>
      </c>
      <c r="AQ182" s="31" t="str">
        <f>IFERROR(VLOOKUP($B182,Miljövärden!$B$2:$H$551,6,FALSE),"Nej, saknas")</f>
        <v>Nej</v>
      </c>
      <c r="AU182" s="31">
        <f t="shared" si="49"/>
        <v>0</v>
      </c>
      <c r="AV182" s="31">
        <f t="shared" si="50"/>
        <v>0</v>
      </c>
      <c r="AW182" s="31">
        <f t="shared" si="51"/>
        <v>0</v>
      </c>
      <c r="AX182" s="31">
        <f t="shared" si="52"/>
        <v>0</v>
      </c>
      <c r="AZ182" s="31">
        <f t="shared" si="53"/>
        <v>0</v>
      </c>
      <c r="BC182" s="31">
        <f t="shared" si="54"/>
        <v>0</v>
      </c>
      <c r="BD182" s="31">
        <f t="shared" si="55"/>
        <v>0</v>
      </c>
      <c r="BE182" s="31">
        <f t="shared" si="56"/>
        <v>0</v>
      </c>
      <c r="BF182" s="31">
        <f t="shared" si="57"/>
        <v>0</v>
      </c>
      <c r="BG182" s="31">
        <f t="shared" si="58"/>
        <v>0</v>
      </c>
      <c r="BH182" s="31" t="str">
        <f>VLOOKUP(B182,Miljö!$B$1:$BX$482,MATCH("Fossilandel för ursprungspecificerad el ()",Miljö!$B$1:$I$1,0),FALSE)</f>
        <v>-</v>
      </c>
      <c r="BI182" s="31" t="str">
        <f>VLOOKUP(B182,Miljö!$B$1:$BX$482,MATCH("Kärnkraftsandel för ursprungsspecificerad el ()",Miljö!$B$1:$O$1,0),FALSE)</f>
        <v>-</v>
      </c>
      <c r="BJ182" s="31">
        <f t="shared" si="59"/>
        <v>0</v>
      </c>
      <c r="BK182" s="31" t="str">
        <f>VLOOKUP(B182,Miljö!$B$1:$P$482,MATCH("Fossil andel i procent (%)",Miljö!$B$1:$P$1,0),FALSE)</f>
        <v>-</v>
      </c>
      <c r="BL182" s="31">
        <f t="shared" si="60"/>
        <v>0</v>
      </c>
      <c r="BO182" s="32" t="str">
        <f t="shared" si="61"/>
        <v/>
      </c>
      <c r="BP182" s="32" t="str">
        <f t="shared" si="62"/>
        <v/>
      </c>
      <c r="BQ182" s="32" t="str">
        <f t="shared" si="63"/>
        <v/>
      </c>
      <c r="BR182" s="32" t="str">
        <f t="shared" si="64"/>
        <v/>
      </c>
      <c r="BT182" s="62">
        <f t="shared" si="65"/>
        <v>0</v>
      </c>
      <c r="BW182" s="32" t="str">
        <f>IF(AP182="Ja",VLOOKUP(B182,Miljövärden!$B$2:$H$551,MATCH("Total andel fossilt",Miljövärden!$B$2:$H$2,0),FALSE),"")</f>
        <v/>
      </c>
      <c r="BX182" s="62" t="e">
        <f t="shared" si="66"/>
        <v>#VALUE!</v>
      </c>
      <c r="BZ182" s="31" t="str">
        <f t="shared" si="67"/>
        <v/>
      </c>
      <c r="CA182" s="32" t="str">
        <f t="shared" si="68"/>
        <v/>
      </c>
    </row>
    <row r="183" spans="1:79" x14ac:dyDescent="0.45">
      <c r="A183" s="31" t="s">
        <v>432</v>
      </c>
      <c r="B183" s="31" t="s">
        <v>436</v>
      </c>
      <c r="C183" s="31">
        <f>VLOOKUP($B183,'Tillförd energi'!$B$1:$AI$720,MATCH(C$1,'Tillförd energi'!$B$1:$AQ$1,0),FALSE)</f>
        <v>0</v>
      </c>
      <c r="D183" s="31">
        <f>VLOOKUP($B183,'Tillförd energi'!$B$1:$AI$720,MATCH(D$1,'Tillförd energi'!$B$1:$AQ$1,0),FALSE)</f>
        <v>0.71</v>
      </c>
      <c r="E183" s="31">
        <f>VLOOKUP($B183,'Tillförd energi'!$B$1:$AI$720,MATCH(E$1,'Tillförd energi'!$B$1:$AQ$1,0),FALSE)</f>
        <v>0</v>
      </c>
      <c r="F183" s="31">
        <f>VLOOKUP($B183,'Tillförd energi'!$B$1:$AI$720,MATCH(F$1,'Tillförd energi'!$B$1:$AQ$1,0),FALSE)</f>
        <v>0</v>
      </c>
      <c r="G183" s="31">
        <f>VLOOKUP($B183,'Tillförd energi'!$B$1:$AI$720,MATCH(G$1,'Tillförd energi'!$B$1:$AQ$1,0),FALSE)</f>
        <v>0</v>
      </c>
      <c r="H183" s="31">
        <f>VLOOKUP($B183,'Tillförd energi'!$B$1:$AI$720,MATCH(H$1,'Tillförd energi'!$B$1:$AQ$1,0),FALSE)</f>
        <v>0</v>
      </c>
      <c r="I183" s="31">
        <f>VLOOKUP($B183,'Tillförd energi'!$B$1:$AI$720,MATCH(I$1,'Tillförd energi'!$B$1:$AQ$1,0),FALSE)</f>
        <v>0</v>
      </c>
      <c r="J183" s="31">
        <f>VLOOKUP($B183,'Tillförd energi'!$B$1:$AI$720,MATCH(J$1,'Tillförd energi'!$B$1:$AQ$1,0),FALSE)</f>
        <v>0</v>
      </c>
      <c r="K183" s="31">
        <f>VLOOKUP($B183,'Tillförd energi'!$B$1:$AI$720,MATCH(K$1,'Tillförd energi'!$B$1:$AQ$1,0),FALSE)</f>
        <v>0</v>
      </c>
      <c r="L183" s="31">
        <f>VLOOKUP($B183,'Tillförd energi'!$B$1:$AI$720,MATCH(L$1,'Tillförd energi'!$B$1:$AQ$1,0),FALSE)</f>
        <v>30.7</v>
      </c>
      <c r="M183" s="31">
        <f>VLOOKUP($B183,'Tillförd energi'!$B$1:$AI$720,MATCH(M$1,'Tillförd energi'!$B$1:$AQ$1,0),FALSE)</f>
        <v>0</v>
      </c>
      <c r="N183" s="31">
        <f>VLOOKUP($B183,'Tillförd energi'!$B$1:$AI$720,MATCH(N$1,'Tillförd energi'!$B$1:$AQ$1,0),FALSE)</f>
        <v>2.4</v>
      </c>
      <c r="O183" s="31">
        <f>VLOOKUP($B183,'Tillförd energi'!$B$1:$AI$720,MATCH(O$1,'Tillförd energi'!$B$1:$AQ$1,0),FALSE)</f>
        <v>0</v>
      </c>
      <c r="P183" s="31">
        <f>VLOOKUP($B183,'Tillförd energi'!$B$1:$AI$720,MATCH(P$1,'Tillförd energi'!$B$1:$AQ$1,0),FALSE)</f>
        <v>0</v>
      </c>
      <c r="Q183" s="31">
        <f>VLOOKUP($B183,'Tillförd energi'!$B$1:$AI$720,MATCH(Q$1,'Tillförd energi'!$B$1:$AQ$1,0),FALSE)</f>
        <v>0</v>
      </c>
      <c r="R183" s="31">
        <f>VLOOKUP($B183,'Tillförd energi'!$B$1:$AI$720,MATCH(R$1,'Tillförd energi'!$B$1:$AQ$1,0),FALSE)</f>
        <v>9.91</v>
      </c>
      <c r="S183" s="31">
        <f>VLOOKUP($B183,'Tillförd energi'!$B$1:$AI$720,MATCH(S$1,'Tillförd energi'!$B$1:$AQ$1,0),FALSE)</f>
        <v>0</v>
      </c>
      <c r="T183" s="31">
        <f>VLOOKUP($B183,'Tillförd energi'!$B$1:$AI$720,MATCH(T$1,'Tillförd energi'!$B$1:$AQ$1,0),FALSE)</f>
        <v>0</v>
      </c>
      <c r="U183" s="31">
        <f>VLOOKUP($B183,'Tillförd energi'!$B$1:$AI$720,MATCH(U$1,'Tillförd energi'!$B$1:$AQ$1,0),FALSE)</f>
        <v>0</v>
      </c>
      <c r="V183" s="31">
        <f>VLOOKUP($B183,'Tillförd energi'!$B$1:$AI$720,MATCH(V$1,'Tillförd energi'!$B$1:$AQ$1,0),FALSE)</f>
        <v>0</v>
      </c>
      <c r="W183" s="31">
        <f>VLOOKUP($B183,'Tillförd energi'!$B$1:$AI$720,MATCH(W$1,'Tillförd energi'!$B$1:$AQ$1,0),FALSE)</f>
        <v>0</v>
      </c>
      <c r="X183" s="31">
        <f>VLOOKUP($B183,'Tillförd energi'!$B$1:$AI$720,MATCH(X$1,'Tillförd energi'!$B$1:$AQ$1,0),FALSE)</f>
        <v>0</v>
      </c>
      <c r="Y183" s="31">
        <f>VLOOKUP($B183,'Tillförd energi'!$B$1:$AI$720,MATCH(Y$1,'Tillförd energi'!$B$1:$AQ$1,0),FALSE)</f>
        <v>0</v>
      </c>
      <c r="Z183" s="31">
        <f>VLOOKUP($B183,'Tillförd energi'!$B$1:$AI$720,MATCH(Z$1,'Tillförd energi'!$B$1:$AQ$1,0),FALSE)</f>
        <v>0</v>
      </c>
      <c r="AA183" s="31">
        <f>VLOOKUP($B183,'Tillförd energi'!$B$1:$AI$720,MATCH(AA$1,'Tillförd energi'!$B$1:$AQ$1,0),FALSE)</f>
        <v>0</v>
      </c>
      <c r="AB183" s="31">
        <f>VLOOKUP($B183,'Tillförd energi'!$B$1:$AI$720,MATCH(AB$1,'Tillförd energi'!$B$1:$AQ$1,0),FALSE)</f>
        <v>0</v>
      </c>
      <c r="AC183" s="31">
        <f>VLOOKUP($B183,'Tillförd energi'!$B$1:$AI$720,MATCH(AC$1,'Tillförd energi'!$B$1:$AQ$1,0),FALSE)</f>
        <v>3.61</v>
      </c>
      <c r="AD183" s="31">
        <f>VLOOKUP($B183,'Tillförd energi'!$B$1:$AI$720,MATCH(AD$1,'Tillförd energi'!$B$1:$AQ$1,0),FALSE)</f>
        <v>0</v>
      </c>
      <c r="AE183" s="31">
        <f>VLOOKUP($B183,'Tillförd energi'!$B$1:$AI$720,MATCH(AE$1,'Tillförd energi'!$B$1:$AQ$1,0),FALSE)</f>
        <v>0</v>
      </c>
      <c r="AF183" s="31">
        <f>VLOOKUP($B183,'Tillförd energi'!$B$1:$AI$720,MATCH(AF$1,'Tillförd energi'!$B$1:$AQ$1,0),FALSE)</f>
        <v>0.95199999999999996</v>
      </c>
      <c r="AG183" s="31">
        <f>IFERROR(VLOOKUP(B183,Miljö!$B$1:$AC$550,MATCH("Köpt mängd produktionsspecifik fjärrvärme:",Miljö!$B$1:$AC$1,0),FALSE)/1,0)</f>
        <v>0</v>
      </c>
      <c r="AI183" s="31">
        <f t="shared" si="46"/>
        <v>48.281999999999996</v>
      </c>
      <c r="AJ183" s="31">
        <f t="shared" si="47"/>
        <v>48.281999999999996</v>
      </c>
      <c r="AK183" s="31">
        <f>IF(ISERROR(1/VLOOKUP($B183,Leveranser!$B$1:$S$499,MATCH("Såld värme (GWh)",Leveranser!$B$1:$S$1,0),FALSE)),"",VLOOKUP($B183,Leveranser!$B$1:$S$499,MATCH("Såld värme (GWh)",Leveranser!$B$1:$S$1,0),FALSE))</f>
        <v>38.299999999999997</v>
      </c>
      <c r="AL183" s="31">
        <f>VLOOKUP($B183,Leveranser!$B$1:$Y$499,MATCH("Totalt såld fjärrvärme till andra fjärrvärmeföretag",Leveranser!$B$1:$AA$1,0),FALSE)</f>
        <v>0</v>
      </c>
      <c r="AM183" s="31">
        <f>IF(ISERROR(1/VLOOKUP($B183,Miljö!$B$1:$S$500,MATCH("Såld mängd produktionsspecifik fjärrvärme (GWh)",Miljö!$B$1:$R$1,0),FALSE)),0,VLOOKUP($B183,Miljö!$B$1:$S$500,MATCH("Såld mängd produktionsspecifik fjärrvärme (GWh)",Miljö!$B$1:$R$1,0),FALSE))</f>
        <v>0</v>
      </c>
      <c r="AN183" s="32">
        <f t="shared" si="48"/>
        <v>0.793256285986496</v>
      </c>
      <c r="AP183" s="31" t="str">
        <f>IFERROR(VLOOKUP($B183,Miljövärden!$B$2:$H$550,7,FALSE),"Nej, saknas")</f>
        <v>Ja</v>
      </c>
      <c r="AQ183" s="31" t="str">
        <f>IFERROR(VLOOKUP($B183,Miljövärden!$B$2:$H$551,6,FALSE),"Nej, saknas")</f>
        <v>Ja</v>
      </c>
      <c r="AU183" s="31">
        <f t="shared" si="49"/>
        <v>0.95199999999999996</v>
      </c>
      <c r="AV183" s="31">
        <f t="shared" si="50"/>
        <v>0</v>
      </c>
      <c r="AW183" s="31">
        <f t="shared" si="51"/>
        <v>2.4</v>
      </c>
      <c r="AX183" s="31">
        <f t="shared" si="52"/>
        <v>9.91</v>
      </c>
      <c r="AZ183" s="31">
        <f t="shared" si="53"/>
        <v>43.010000000000005</v>
      </c>
      <c r="BC183" s="31">
        <f t="shared" si="54"/>
        <v>0.71</v>
      </c>
      <c r="BD183" s="31">
        <f t="shared" si="55"/>
        <v>0</v>
      </c>
      <c r="BE183" s="31">
        <f t="shared" si="56"/>
        <v>12.31</v>
      </c>
      <c r="BF183" s="31">
        <f t="shared" si="57"/>
        <v>34.31</v>
      </c>
      <c r="BG183" s="31">
        <f t="shared" si="58"/>
        <v>0.95199999999999996</v>
      </c>
      <c r="BH183" s="31">
        <f>VLOOKUP(B183,Miljö!$B$1:$BX$482,MATCH("Fossilandel för ursprungspecificerad el ()",Miljö!$B$1:$I$1,0),FALSE)</f>
        <v>0</v>
      </c>
      <c r="BI183" s="31">
        <f>VLOOKUP(B183,Miljö!$B$1:$BX$482,MATCH("Kärnkraftsandel för ursprungsspecificerad el ()",Miljö!$B$1:$O$1,0),FALSE)</f>
        <v>0</v>
      </c>
      <c r="BJ183" s="31">
        <f t="shared" si="59"/>
        <v>0</v>
      </c>
      <c r="BK183" s="31" t="str">
        <f>VLOOKUP(B183,Miljö!$B$1:$P$482,MATCH("Fossil andel i procent (%)",Miljö!$B$1:$P$1,0),FALSE)</f>
        <v>ET</v>
      </c>
      <c r="BL183" s="31">
        <f t="shared" si="60"/>
        <v>48.281999999999996</v>
      </c>
      <c r="BO183" s="32">
        <f t="shared" si="61"/>
        <v>1.4705273186694835E-2</v>
      </c>
      <c r="BP183" s="32">
        <f t="shared" si="62"/>
        <v>0</v>
      </c>
      <c r="BQ183" s="32">
        <f t="shared" si="63"/>
        <v>0.27467793380555905</v>
      </c>
      <c r="BR183" s="32">
        <f t="shared" si="64"/>
        <v>0.71061679300774627</v>
      </c>
      <c r="BT183" s="62">
        <f t="shared" si="65"/>
        <v>1.0000000000000002</v>
      </c>
      <c r="BW183" s="32">
        <f>IF(AP183="Ja",VLOOKUP(B183,Miljövärden!$B$2:$H$551,MATCH("Total andel fossilt",Miljövärden!$B$2:$H$2,0),FALSE),"")</f>
        <v>1.4705299999999999E-2</v>
      </c>
      <c r="BX183" s="62">
        <f t="shared" si="66"/>
        <v>2.6813305164727352E-8</v>
      </c>
      <c r="BZ183" s="31">
        <f t="shared" si="67"/>
        <v>2.6813305164727352E-8</v>
      </c>
      <c r="CA183" s="32">
        <f t="shared" si="68"/>
        <v>0</v>
      </c>
    </row>
    <row r="184" spans="1:79" x14ac:dyDescent="0.45">
      <c r="A184" s="31" t="s">
        <v>432</v>
      </c>
      <c r="B184" s="31" t="s">
        <v>434</v>
      </c>
      <c r="C184" s="31">
        <f>VLOOKUP($B184,'Tillförd energi'!$B$1:$AI$720,MATCH(C$1,'Tillförd energi'!$B$1:$AQ$1,0),FALSE)</f>
        <v>68.81</v>
      </c>
      <c r="D184" s="31">
        <f>VLOOKUP($B184,'Tillförd energi'!$B$1:$AI$720,MATCH(D$1,'Tillförd energi'!$B$1:$AQ$1,0),FALSE)</f>
        <v>17.47</v>
      </c>
      <c r="E184" s="31">
        <f>VLOOKUP($B184,'Tillförd energi'!$B$1:$AI$720,MATCH(E$1,'Tillförd energi'!$B$1:$AQ$1,0),FALSE)</f>
        <v>0</v>
      </c>
      <c r="F184" s="31">
        <f>VLOOKUP($B184,'Tillförd energi'!$B$1:$AI$720,MATCH(F$1,'Tillförd energi'!$B$1:$AQ$1,0),FALSE)</f>
        <v>5.35</v>
      </c>
      <c r="G184" s="31">
        <f>VLOOKUP($B184,'Tillförd energi'!$B$1:$AI$720,MATCH(G$1,'Tillförd energi'!$B$1:$AQ$1,0),FALSE)</f>
        <v>0</v>
      </c>
      <c r="H184" s="31">
        <f>VLOOKUP($B184,'Tillförd energi'!$B$1:$AI$720,MATCH(H$1,'Tillförd energi'!$B$1:$AQ$1,0),FALSE)</f>
        <v>0</v>
      </c>
      <c r="I184" s="31">
        <f>VLOOKUP($B184,'Tillförd energi'!$B$1:$AI$720,MATCH(I$1,'Tillförd energi'!$B$1:$AQ$1,0),FALSE)</f>
        <v>523.25</v>
      </c>
      <c r="J184" s="31">
        <f>VLOOKUP($B184,'Tillförd energi'!$B$1:$AI$720,MATCH(J$1,'Tillförd energi'!$B$1:$AQ$1,0),FALSE)</f>
        <v>1.8235300000000001</v>
      </c>
      <c r="K184" s="31">
        <f>VLOOKUP($B184,'Tillförd energi'!$B$1:$AI$720,MATCH(K$1,'Tillförd energi'!$B$1:$AQ$1,0),FALSE)</f>
        <v>0</v>
      </c>
      <c r="L184" s="31">
        <f>VLOOKUP($B184,'Tillförd energi'!$B$1:$AI$720,MATCH(L$1,'Tillförd energi'!$B$1:$AQ$1,0),FALSE)</f>
        <v>116.98</v>
      </c>
      <c r="M184" s="31">
        <f>VLOOKUP($B184,'Tillförd energi'!$B$1:$AI$720,MATCH(M$1,'Tillförd energi'!$B$1:$AQ$1,0),FALSE)</f>
        <v>44.72</v>
      </c>
      <c r="N184" s="31">
        <f>VLOOKUP($B184,'Tillförd energi'!$B$1:$AI$720,MATCH(N$1,'Tillförd energi'!$B$1:$AQ$1,0),FALSE)</f>
        <v>80.52</v>
      </c>
      <c r="O184" s="31">
        <f>VLOOKUP($B184,'Tillförd energi'!$B$1:$AI$720,MATCH(O$1,'Tillförd energi'!$B$1:$AQ$1,0),FALSE)</f>
        <v>80.599999999999994</v>
      </c>
      <c r="P184" s="31">
        <f>VLOOKUP($B184,'Tillförd energi'!$B$1:$AI$720,MATCH(P$1,'Tillförd energi'!$B$1:$AQ$1,0),FALSE)</f>
        <v>116.12</v>
      </c>
      <c r="Q184" s="31">
        <f>VLOOKUP($B184,'Tillförd energi'!$B$1:$AI$720,MATCH(Q$1,'Tillförd energi'!$B$1:$AQ$1,0),FALSE)</f>
        <v>0</v>
      </c>
      <c r="R184" s="31">
        <f>VLOOKUP($B184,'Tillförd energi'!$B$1:$AI$720,MATCH(R$1,'Tillförd energi'!$B$1:$AQ$1,0),FALSE)</f>
        <v>0</v>
      </c>
      <c r="S184" s="31">
        <f>VLOOKUP($B184,'Tillförd energi'!$B$1:$AI$720,MATCH(S$1,'Tillförd energi'!$B$1:$AQ$1,0),FALSE)</f>
        <v>0</v>
      </c>
      <c r="T184" s="31">
        <f>VLOOKUP($B184,'Tillförd energi'!$B$1:$AI$720,MATCH(T$1,'Tillförd energi'!$B$1:$AQ$1,0),FALSE)</f>
        <v>0</v>
      </c>
      <c r="U184" s="31">
        <f>VLOOKUP($B184,'Tillförd energi'!$B$1:$AI$720,MATCH(U$1,'Tillförd energi'!$B$1:$AQ$1,0),FALSE)</f>
        <v>0</v>
      </c>
      <c r="V184" s="31">
        <f>VLOOKUP($B184,'Tillförd energi'!$B$1:$AI$720,MATCH(V$1,'Tillförd energi'!$B$1:$AQ$1,0),FALSE)</f>
        <v>11.82</v>
      </c>
      <c r="W184" s="31">
        <f>VLOOKUP($B184,'Tillförd energi'!$B$1:$AI$720,MATCH(W$1,'Tillförd energi'!$B$1:$AQ$1,0),FALSE)</f>
        <v>0</v>
      </c>
      <c r="X184" s="31">
        <f>VLOOKUP($B184,'Tillförd energi'!$B$1:$AI$720,MATCH(X$1,'Tillförd energi'!$B$1:$AQ$1,0),FALSE)</f>
        <v>3.74</v>
      </c>
      <c r="Y184" s="31">
        <f>VLOOKUP($B184,'Tillförd energi'!$B$1:$AI$720,MATCH(Y$1,'Tillförd energi'!$B$1:$AQ$1,0),FALSE)</f>
        <v>44.82</v>
      </c>
      <c r="Z184" s="31">
        <f>VLOOKUP($B184,'Tillförd energi'!$B$1:$AI$720,MATCH(Z$1,'Tillförd energi'!$B$1:$AQ$1,0),FALSE)</f>
        <v>0.99</v>
      </c>
      <c r="AA184" s="31">
        <f>VLOOKUP($B184,'Tillförd energi'!$B$1:$AI$720,MATCH(AA$1,'Tillförd energi'!$B$1:$AQ$1,0),FALSE)</f>
        <v>6.01</v>
      </c>
      <c r="AB184" s="31">
        <f>VLOOKUP($B184,'Tillförd energi'!$B$1:$AI$720,MATCH(AB$1,'Tillförd energi'!$B$1:$AQ$1,0),FALSE)</f>
        <v>17.13</v>
      </c>
      <c r="AC184" s="31">
        <f>VLOOKUP($B184,'Tillförd energi'!$B$1:$AI$720,MATCH(AC$1,'Tillförd energi'!$B$1:$AQ$1,0),FALSE)</f>
        <v>215.64</v>
      </c>
      <c r="AD184" s="31">
        <f>VLOOKUP($B184,'Tillförd energi'!$B$1:$AI$720,MATCH(AD$1,'Tillförd energi'!$B$1:$AQ$1,0),FALSE)</f>
        <v>0</v>
      </c>
      <c r="AE184" s="31">
        <f>VLOOKUP($B184,'Tillförd energi'!$B$1:$AI$720,MATCH(AE$1,'Tillförd energi'!$B$1:$AQ$1,0),FALSE)</f>
        <v>0</v>
      </c>
      <c r="AF184" s="31">
        <f>VLOOKUP($B184,'Tillförd energi'!$B$1:$AI$720,MATCH(AF$1,'Tillförd energi'!$B$1:$AQ$1,0),FALSE)</f>
        <v>61.78</v>
      </c>
      <c r="AG184" s="31">
        <f>IFERROR(VLOOKUP(B184,Miljö!$B$1:$AC$550,MATCH("Köpt mängd produktionsspecifik fjärrvärme:",Miljö!$B$1:$AC$1,0),FALSE)/1,0)</f>
        <v>0</v>
      </c>
      <c r="AI184" s="31">
        <f t="shared" si="46"/>
        <v>1417.5735299999999</v>
      </c>
      <c r="AJ184" s="31">
        <f t="shared" si="47"/>
        <v>1417.5735299999999</v>
      </c>
      <c r="AK184" s="31">
        <f>IF(ISERROR(1/VLOOKUP($B184,Leveranser!$B$1:$S$499,MATCH("Såld värme (GWh)",Leveranser!$B$1:$S$1,0),FALSE)),"",VLOOKUP($B184,Leveranser!$B$1:$S$499,MATCH("Såld värme (GWh)",Leveranser!$B$1:$S$1,0),FALSE))</f>
        <v>1437.5</v>
      </c>
      <c r="AL184" s="31">
        <f>VLOOKUP($B184,Leveranser!$B$1:$Y$499,MATCH("Totalt såld fjärrvärme till andra fjärrvärmeföretag",Leveranser!$B$1:$AA$1,0),FALSE)</f>
        <v>0</v>
      </c>
      <c r="AM184" s="31">
        <f>IF(ISERROR(1/VLOOKUP($B184,Miljö!$B$1:$S$500,MATCH("Såld mängd produktionsspecifik fjärrvärme (GWh)",Miljö!$B$1:$R$1,0),FALSE)),0,VLOOKUP($B184,Miljö!$B$1:$S$500,MATCH("Såld mängd produktionsspecifik fjärrvärme (GWh)",Miljö!$B$1:$R$1,0),FALSE))</f>
        <v>0</v>
      </c>
      <c r="AN184" s="32">
        <f t="shared" si="48"/>
        <v>1.0140567452610378</v>
      </c>
      <c r="AP184" s="31" t="str">
        <f>IFERROR(VLOOKUP($B184,Miljövärden!$B$2:$H$550,7,FALSE),"Nej, saknas")</f>
        <v>Ja</v>
      </c>
      <c r="AQ184" s="31" t="str">
        <f>IFERROR(VLOOKUP($B184,Miljövärden!$B$2:$H$551,6,FALSE),"Nej, saknas")</f>
        <v>Ja</v>
      </c>
      <c r="AU184" s="31">
        <f t="shared" si="49"/>
        <v>68.78</v>
      </c>
      <c r="AV184" s="31">
        <f t="shared" si="50"/>
        <v>3.74</v>
      </c>
      <c r="AW184" s="31">
        <f t="shared" si="51"/>
        <v>321.95999999999998</v>
      </c>
      <c r="AX184" s="31">
        <f t="shared" si="52"/>
        <v>0</v>
      </c>
      <c r="AZ184" s="31">
        <f t="shared" si="53"/>
        <v>454.49999999999994</v>
      </c>
      <c r="BC184" s="31">
        <f t="shared" si="54"/>
        <v>91.63</v>
      </c>
      <c r="BD184" s="31">
        <f t="shared" si="55"/>
        <v>44.82</v>
      </c>
      <c r="BE184" s="31">
        <f t="shared" si="56"/>
        <v>337.52</v>
      </c>
      <c r="BF184" s="31">
        <f t="shared" si="57"/>
        <v>874.82353000000001</v>
      </c>
      <c r="BG184" s="31">
        <f t="shared" si="58"/>
        <v>68.78</v>
      </c>
      <c r="BH184" s="31">
        <f>VLOOKUP(B184,Miljö!$B$1:$BX$482,MATCH("Fossilandel för ursprungspecificerad el ()",Miljö!$B$1:$I$1,0),FALSE)</f>
        <v>0</v>
      </c>
      <c r="BI184" s="31">
        <f>VLOOKUP(B184,Miljö!$B$1:$BX$482,MATCH("Kärnkraftsandel för ursprungsspecificerad el ()",Miljö!$B$1:$O$1,0),FALSE)</f>
        <v>0</v>
      </c>
      <c r="BJ184" s="31">
        <f t="shared" si="59"/>
        <v>0</v>
      </c>
      <c r="BK184" s="31" t="str">
        <f>VLOOKUP(B184,Miljö!$B$1:$P$482,MATCH("Fossil andel i procent (%)",Miljö!$B$1:$P$1,0),FALSE)</f>
        <v>ET</v>
      </c>
      <c r="BL184" s="31">
        <f t="shared" si="60"/>
        <v>1417.5735299999999</v>
      </c>
      <c r="BO184" s="32">
        <f t="shared" si="61"/>
        <v>6.4638622308360968E-2</v>
      </c>
      <c r="BP184" s="32">
        <f t="shared" si="62"/>
        <v>3.1617407528765018E-2</v>
      </c>
      <c r="BQ184" s="32">
        <f t="shared" si="63"/>
        <v>0.28661652563447626</v>
      </c>
      <c r="BR184" s="32">
        <f t="shared" si="64"/>
        <v>0.61712744452839785</v>
      </c>
      <c r="BT184" s="62">
        <f t="shared" si="65"/>
        <v>1</v>
      </c>
      <c r="BW184" s="32">
        <f>IF(AP184="Ja",VLOOKUP(B184,Miljövärden!$B$2:$H$551,MATCH("Total andel fossilt",Miljövärden!$B$2:$H$2,0),FALSE),"")</f>
        <v>6.4638799999999996E-2</v>
      </c>
      <c r="BX184" s="62">
        <f t="shared" si="66"/>
        <v>1.7769163902781049E-7</v>
      </c>
      <c r="BZ184" s="31">
        <f t="shared" si="67"/>
        <v>1.7769163902781049E-7</v>
      </c>
      <c r="CA184" s="32">
        <f t="shared" si="68"/>
        <v>0</v>
      </c>
    </row>
    <row r="185" spans="1:79" hidden="1" x14ac:dyDescent="0.45">
      <c r="A185" s="31" t="s">
        <v>432</v>
      </c>
      <c r="B185" s="31" t="s">
        <v>435</v>
      </c>
      <c r="C185" s="31">
        <f>VLOOKUP($B185,'Tillförd energi'!$B$1:$AI$720,MATCH(C$1,'Tillförd energi'!$B$1:$AQ$1,0),FALSE)</f>
        <v>0</v>
      </c>
      <c r="D185" s="31">
        <f>VLOOKUP($B185,'Tillförd energi'!$B$1:$AI$720,MATCH(D$1,'Tillförd energi'!$B$1:$AQ$1,0),FALSE)</f>
        <v>0</v>
      </c>
      <c r="E185" s="31">
        <f>VLOOKUP($B185,'Tillförd energi'!$B$1:$AI$720,MATCH(E$1,'Tillförd energi'!$B$1:$AQ$1,0),FALSE)</f>
        <v>0</v>
      </c>
      <c r="F185" s="31">
        <f>VLOOKUP($B185,'Tillförd energi'!$B$1:$AI$720,MATCH(F$1,'Tillförd energi'!$B$1:$AQ$1,0),FALSE)</f>
        <v>0</v>
      </c>
      <c r="G185" s="31">
        <f>VLOOKUP($B185,'Tillförd energi'!$B$1:$AI$720,MATCH(G$1,'Tillförd energi'!$B$1:$AQ$1,0),FALSE)</f>
        <v>0</v>
      </c>
      <c r="H185" s="31">
        <f>VLOOKUP($B185,'Tillförd energi'!$B$1:$AI$720,MATCH(H$1,'Tillförd energi'!$B$1:$AQ$1,0),FALSE)</f>
        <v>0</v>
      </c>
      <c r="I185" s="31">
        <f>VLOOKUP($B185,'Tillförd energi'!$B$1:$AI$720,MATCH(I$1,'Tillförd energi'!$B$1:$AQ$1,0),FALSE)</f>
        <v>0</v>
      </c>
      <c r="J185" s="31">
        <f>VLOOKUP($B185,'Tillförd energi'!$B$1:$AI$720,MATCH(J$1,'Tillförd energi'!$B$1:$AQ$1,0),FALSE)</f>
        <v>0</v>
      </c>
      <c r="K185" s="31">
        <f>VLOOKUP($B185,'Tillförd energi'!$B$1:$AI$720,MATCH(K$1,'Tillförd energi'!$B$1:$AQ$1,0),FALSE)</f>
        <v>0</v>
      </c>
      <c r="L185" s="31">
        <f>VLOOKUP($B185,'Tillförd energi'!$B$1:$AI$720,MATCH(L$1,'Tillförd energi'!$B$1:$AQ$1,0),FALSE)</f>
        <v>0</v>
      </c>
      <c r="M185" s="31">
        <f>VLOOKUP($B185,'Tillförd energi'!$B$1:$AI$720,MATCH(M$1,'Tillförd energi'!$B$1:$AQ$1,0),FALSE)</f>
        <v>0</v>
      </c>
      <c r="N185" s="31">
        <f>VLOOKUP($B185,'Tillförd energi'!$B$1:$AI$720,MATCH(N$1,'Tillförd energi'!$B$1:$AQ$1,0),FALSE)</f>
        <v>0</v>
      </c>
      <c r="O185" s="31">
        <f>VLOOKUP($B185,'Tillförd energi'!$B$1:$AI$720,MATCH(O$1,'Tillförd energi'!$B$1:$AQ$1,0),FALSE)</f>
        <v>0</v>
      </c>
      <c r="P185" s="31">
        <f>VLOOKUP($B185,'Tillförd energi'!$B$1:$AI$720,MATCH(P$1,'Tillförd energi'!$B$1:$AQ$1,0),FALSE)</f>
        <v>0</v>
      </c>
      <c r="Q185" s="31">
        <f>VLOOKUP($B185,'Tillförd energi'!$B$1:$AI$720,MATCH(Q$1,'Tillförd energi'!$B$1:$AQ$1,0),FALSE)</f>
        <v>0</v>
      </c>
      <c r="R185" s="31">
        <f>VLOOKUP($B185,'Tillförd energi'!$B$1:$AI$720,MATCH(R$1,'Tillförd energi'!$B$1:$AQ$1,0),FALSE)</f>
        <v>0</v>
      </c>
      <c r="S185" s="31">
        <f>VLOOKUP($B185,'Tillförd energi'!$B$1:$AI$720,MATCH(S$1,'Tillförd energi'!$B$1:$AQ$1,0),FALSE)</f>
        <v>0</v>
      </c>
      <c r="T185" s="31">
        <f>VLOOKUP($B185,'Tillförd energi'!$B$1:$AI$720,MATCH(T$1,'Tillförd energi'!$B$1:$AQ$1,0),FALSE)</f>
        <v>0</v>
      </c>
      <c r="U185" s="31">
        <f>VLOOKUP($B185,'Tillförd energi'!$B$1:$AI$720,MATCH(U$1,'Tillförd energi'!$B$1:$AQ$1,0),FALSE)</f>
        <v>0</v>
      </c>
      <c r="V185" s="31">
        <f>VLOOKUP($B185,'Tillförd energi'!$B$1:$AI$720,MATCH(V$1,'Tillförd energi'!$B$1:$AQ$1,0),FALSE)</f>
        <v>0</v>
      </c>
      <c r="W185" s="31">
        <f>VLOOKUP($B185,'Tillförd energi'!$B$1:$AI$720,MATCH(W$1,'Tillförd energi'!$B$1:$AQ$1,0),FALSE)</f>
        <v>0</v>
      </c>
      <c r="X185" s="31">
        <f>VLOOKUP($B185,'Tillförd energi'!$B$1:$AI$720,MATCH(X$1,'Tillförd energi'!$B$1:$AQ$1,0),FALSE)</f>
        <v>0</v>
      </c>
      <c r="Y185" s="31">
        <f>VLOOKUP($B185,'Tillförd energi'!$B$1:$AI$720,MATCH(Y$1,'Tillförd energi'!$B$1:$AQ$1,0),FALSE)</f>
        <v>0</v>
      </c>
      <c r="Z185" s="31">
        <f>VLOOKUP($B185,'Tillförd energi'!$B$1:$AI$720,MATCH(Z$1,'Tillförd energi'!$B$1:$AQ$1,0),FALSE)</f>
        <v>0</v>
      </c>
      <c r="AA185" s="31">
        <f>VLOOKUP($B185,'Tillförd energi'!$B$1:$AI$720,MATCH(AA$1,'Tillförd energi'!$B$1:$AQ$1,0),FALSE)</f>
        <v>0</v>
      </c>
      <c r="AB185" s="31">
        <f>VLOOKUP($B185,'Tillförd energi'!$B$1:$AI$720,MATCH(AB$1,'Tillförd energi'!$B$1:$AQ$1,0),FALSE)</f>
        <v>0</v>
      </c>
      <c r="AC185" s="31">
        <f>VLOOKUP($B185,'Tillförd energi'!$B$1:$AI$720,MATCH(AC$1,'Tillförd energi'!$B$1:$AQ$1,0),FALSE)</f>
        <v>0</v>
      </c>
      <c r="AD185" s="31">
        <f>VLOOKUP($B185,'Tillförd energi'!$B$1:$AI$720,MATCH(AD$1,'Tillförd energi'!$B$1:$AQ$1,0),FALSE)</f>
        <v>0</v>
      </c>
      <c r="AE185" s="31">
        <f>VLOOKUP($B185,'Tillförd energi'!$B$1:$AI$720,MATCH(AE$1,'Tillförd energi'!$B$1:$AQ$1,0),FALSE)</f>
        <v>0</v>
      </c>
      <c r="AF185" s="31">
        <f>VLOOKUP($B185,'Tillförd energi'!$B$1:$AI$720,MATCH(AF$1,'Tillförd energi'!$B$1:$AQ$1,0),FALSE)</f>
        <v>0</v>
      </c>
      <c r="AG185" s="31">
        <f>IFERROR(VLOOKUP(B185,Miljö!$B$1:$AC$550,MATCH("Köpt mängd produktionsspecifik fjärrvärme:",Miljö!$B$1:$AC$1,0),FALSE)/1,0)</f>
        <v>0</v>
      </c>
      <c r="AI185" s="31">
        <f t="shared" si="46"/>
        <v>0</v>
      </c>
      <c r="AJ185" s="31">
        <f t="shared" si="47"/>
        <v>0</v>
      </c>
      <c r="AK185" s="31" t="str">
        <f>IF(ISERROR(1/VLOOKUP($B185,Leveranser!$B$1:$S$499,MATCH("Såld värme (GWh)",Leveranser!$B$1:$S$1,0),FALSE)),"",VLOOKUP($B185,Leveranser!$B$1:$S$499,MATCH("Såld värme (GWh)",Leveranser!$B$1:$S$1,0),FALSE))</f>
        <v/>
      </c>
      <c r="AL185" s="31">
        <f>VLOOKUP($B185,Leveranser!$B$1:$Y$499,MATCH("Totalt såld fjärrvärme till andra fjärrvärmeföretag",Leveranser!$B$1:$AA$1,0),FALSE)</f>
        <v>0</v>
      </c>
      <c r="AM185" s="31">
        <f>IF(ISERROR(1/VLOOKUP($B185,Miljö!$B$1:$S$500,MATCH("Såld mängd produktionsspecifik fjärrvärme (GWh)",Miljö!$B$1:$R$1,0),FALSE)),0,VLOOKUP($B185,Miljö!$B$1:$S$500,MATCH("Såld mängd produktionsspecifik fjärrvärme (GWh)",Miljö!$B$1:$R$1,0),FALSE))</f>
        <v>0</v>
      </c>
      <c r="AN185" s="32" t="str">
        <f t="shared" si="48"/>
        <v/>
      </c>
      <c r="AP185" s="31" t="str">
        <f>IFERROR(VLOOKUP($B185,Miljövärden!$B$2:$H$550,7,FALSE),"Nej, saknas")</f>
        <v>Nej</v>
      </c>
      <c r="AQ185" s="31" t="str">
        <f>IFERROR(VLOOKUP($B185,Miljövärden!$B$2:$H$551,6,FALSE),"Nej, saknas")</f>
        <v>Ja</v>
      </c>
      <c r="AU185" s="31">
        <f t="shared" si="49"/>
        <v>0</v>
      </c>
      <c r="AV185" s="31">
        <f t="shared" si="50"/>
        <v>0</v>
      </c>
      <c r="AW185" s="31">
        <f t="shared" si="51"/>
        <v>0</v>
      </c>
      <c r="AX185" s="31">
        <f t="shared" si="52"/>
        <v>0</v>
      </c>
      <c r="AZ185" s="31">
        <f t="shared" si="53"/>
        <v>0</v>
      </c>
      <c r="BC185" s="31">
        <f t="shared" si="54"/>
        <v>0</v>
      </c>
      <c r="BD185" s="31">
        <f t="shared" si="55"/>
        <v>0</v>
      </c>
      <c r="BE185" s="31">
        <f t="shared" si="56"/>
        <v>0</v>
      </c>
      <c r="BF185" s="31">
        <f t="shared" si="57"/>
        <v>0</v>
      </c>
      <c r="BG185" s="31">
        <f t="shared" si="58"/>
        <v>0</v>
      </c>
      <c r="BH185" s="31">
        <f>VLOOKUP(B185,Miljö!$B$1:$BX$482,MATCH("Fossilandel för ursprungspecificerad el ()",Miljö!$B$1:$I$1,0),FALSE)</f>
        <v>0.35</v>
      </c>
      <c r="BI185" s="31">
        <f>VLOOKUP(B185,Miljö!$B$1:$BX$482,MATCH("Kärnkraftsandel för ursprungsspecificerad el ()",Miljö!$B$1:$O$1,0),FALSE)</f>
        <v>0.3977</v>
      </c>
      <c r="BJ185" s="31">
        <f t="shared" si="59"/>
        <v>0</v>
      </c>
      <c r="BK185" s="31" t="str">
        <f>VLOOKUP(B185,Miljö!$B$1:$P$482,MATCH("Fossil andel i procent (%)",Miljö!$B$1:$P$1,0),FALSE)</f>
        <v>ET</v>
      </c>
      <c r="BL185" s="31">
        <f t="shared" si="60"/>
        <v>0</v>
      </c>
      <c r="BO185" s="32" t="str">
        <f t="shared" si="61"/>
        <v/>
      </c>
      <c r="BP185" s="32" t="str">
        <f t="shared" si="62"/>
        <v/>
      </c>
      <c r="BQ185" s="32" t="str">
        <f t="shared" si="63"/>
        <v/>
      </c>
      <c r="BR185" s="32" t="str">
        <f t="shared" si="64"/>
        <v/>
      </c>
      <c r="BT185" s="62">
        <f t="shared" si="65"/>
        <v>0</v>
      </c>
      <c r="BW185" s="32" t="str">
        <f>IF(AP185="Ja",VLOOKUP(B185,Miljövärden!$B$2:$H$551,MATCH("Total andel fossilt",Miljövärden!$B$2:$H$2,0),FALSE),"")</f>
        <v/>
      </c>
      <c r="BX185" s="62" t="e">
        <f t="shared" si="66"/>
        <v>#VALUE!</v>
      </c>
      <c r="BZ185" s="31" t="str">
        <f t="shared" si="67"/>
        <v/>
      </c>
      <c r="CA185" s="32" t="str">
        <f t="shared" si="68"/>
        <v/>
      </c>
    </row>
    <row r="186" spans="1:79" x14ac:dyDescent="0.45">
      <c r="A186" s="31" t="s">
        <v>432</v>
      </c>
      <c r="B186" s="31" t="s">
        <v>431</v>
      </c>
      <c r="C186" s="31">
        <f>VLOOKUP($B186,'Tillförd energi'!$B$1:$AI$720,MATCH(C$1,'Tillförd energi'!$B$1:$AQ$1,0),FALSE)</f>
        <v>1.66</v>
      </c>
      <c r="D186" s="31">
        <f>VLOOKUP($B186,'Tillförd energi'!$B$1:$AI$720,MATCH(D$1,'Tillförd energi'!$B$1:$AQ$1,0),FALSE)</f>
        <v>0.28599999999999998</v>
      </c>
      <c r="E186" s="31">
        <f>VLOOKUP($B186,'Tillförd energi'!$B$1:$AI$720,MATCH(E$1,'Tillförd energi'!$B$1:$AQ$1,0),FALSE)</f>
        <v>0</v>
      </c>
      <c r="F186" s="31">
        <f>VLOOKUP($B186,'Tillförd energi'!$B$1:$AI$720,MATCH(F$1,'Tillförd energi'!$B$1:$AQ$1,0),FALSE)</f>
        <v>7.8E-2</v>
      </c>
      <c r="G186" s="31">
        <f>VLOOKUP($B186,'Tillförd energi'!$B$1:$AI$720,MATCH(G$1,'Tillförd energi'!$B$1:$AQ$1,0),FALSE)</f>
        <v>0</v>
      </c>
      <c r="H186" s="31">
        <f>VLOOKUP($B186,'Tillförd energi'!$B$1:$AI$720,MATCH(H$1,'Tillförd energi'!$B$1:$AQ$1,0),FALSE)</f>
        <v>0</v>
      </c>
      <c r="I186" s="31">
        <f>VLOOKUP($B186,'Tillförd energi'!$B$1:$AI$720,MATCH(I$1,'Tillförd energi'!$B$1:$AQ$1,0),FALSE)</f>
        <v>16.39</v>
      </c>
      <c r="J186" s="31">
        <f>VLOOKUP($B186,'Tillförd energi'!$B$1:$AI$720,MATCH(J$1,'Tillförd energi'!$B$1:$AQ$1,0),FALSE)</f>
        <v>2.3529399999999999E-2</v>
      </c>
      <c r="K186" s="31">
        <f>VLOOKUP($B186,'Tillförd energi'!$B$1:$AI$720,MATCH(K$1,'Tillförd energi'!$B$1:$AQ$1,0),FALSE)</f>
        <v>0</v>
      </c>
      <c r="L186" s="31">
        <f>VLOOKUP($B186,'Tillförd energi'!$B$1:$AI$720,MATCH(L$1,'Tillförd energi'!$B$1:$AQ$1,0),FALSE)</f>
        <v>3.9769999999999999</v>
      </c>
      <c r="M186" s="31">
        <f>VLOOKUP($B186,'Tillförd energi'!$B$1:$AI$720,MATCH(M$1,'Tillförd energi'!$B$1:$AQ$1,0),FALSE)</f>
        <v>1.196</v>
      </c>
      <c r="N186" s="31">
        <f>VLOOKUP($B186,'Tillförd energi'!$B$1:$AI$720,MATCH(N$1,'Tillförd energi'!$B$1:$AQ$1,0),FALSE)</f>
        <v>2.1520000000000001</v>
      </c>
      <c r="O186" s="31">
        <f>VLOOKUP($B186,'Tillförd energi'!$B$1:$AI$720,MATCH(O$1,'Tillförd energi'!$B$1:$AQ$1,0),FALSE)</f>
        <v>2.1520000000000001</v>
      </c>
      <c r="P186" s="31">
        <f>VLOOKUP($B186,'Tillförd energi'!$B$1:$AI$720,MATCH(P$1,'Tillförd energi'!$B$1:$AQ$1,0),FALSE)</f>
        <v>3.1040000000000001</v>
      </c>
      <c r="Q186" s="31">
        <f>VLOOKUP($B186,'Tillförd energi'!$B$1:$AI$720,MATCH(Q$1,'Tillförd energi'!$B$1:$AQ$1,0),FALSE)</f>
        <v>0</v>
      </c>
      <c r="R186" s="31">
        <f>VLOOKUP($B186,'Tillförd energi'!$B$1:$AI$720,MATCH(R$1,'Tillförd energi'!$B$1:$AQ$1,0),FALSE)</f>
        <v>0</v>
      </c>
      <c r="S186" s="31">
        <f>VLOOKUP($B186,'Tillförd energi'!$B$1:$AI$720,MATCH(S$1,'Tillförd energi'!$B$1:$AQ$1,0),FALSE)</f>
        <v>0</v>
      </c>
      <c r="T186" s="31">
        <f>VLOOKUP($B186,'Tillförd energi'!$B$1:$AI$720,MATCH(T$1,'Tillförd energi'!$B$1:$AQ$1,0),FALSE)</f>
        <v>0</v>
      </c>
      <c r="U186" s="31">
        <f>VLOOKUP($B186,'Tillförd energi'!$B$1:$AI$720,MATCH(U$1,'Tillförd energi'!$B$1:$AQ$1,0),FALSE)</f>
        <v>0</v>
      </c>
      <c r="V186" s="31">
        <f>VLOOKUP($B186,'Tillförd energi'!$B$1:$AI$720,MATCH(V$1,'Tillförd energi'!$B$1:$AQ$1,0),FALSE)</f>
        <v>0.17699999999999999</v>
      </c>
      <c r="W186" s="31">
        <f>VLOOKUP($B186,'Tillförd energi'!$B$1:$AI$720,MATCH(W$1,'Tillförd energi'!$B$1:$AQ$1,0),FALSE)</f>
        <v>0</v>
      </c>
      <c r="X186" s="31">
        <f>VLOOKUP($B186,'Tillförd energi'!$B$1:$AI$720,MATCH(X$1,'Tillförd energi'!$B$1:$AQ$1,0),FALSE)</f>
        <v>0.1</v>
      </c>
      <c r="Y186" s="31">
        <f>VLOOKUP($B186,'Tillförd energi'!$B$1:$AI$720,MATCH(Y$1,'Tillförd energi'!$B$1:$AQ$1,0),FALSE)</f>
        <v>1.2949999999999999</v>
      </c>
      <c r="Z186" s="31">
        <f>VLOOKUP($B186,'Tillförd energi'!$B$1:$AI$720,MATCH(Z$1,'Tillförd energi'!$B$1:$AQ$1,0),FALSE)</f>
        <v>2.9000000000000001E-2</v>
      </c>
      <c r="AA186" s="31">
        <f>VLOOKUP($B186,'Tillförd energi'!$B$1:$AI$720,MATCH(AA$1,'Tillförd energi'!$B$1:$AQ$1,0),FALSE)</f>
        <v>0.17699999999999999</v>
      </c>
      <c r="AB186" s="31">
        <f>VLOOKUP($B186,'Tillförd energi'!$B$1:$AI$720,MATCH(AB$1,'Tillförd energi'!$B$1:$AQ$1,0),FALSE)</f>
        <v>0.32800000000000001</v>
      </c>
      <c r="AC186" s="31">
        <f>VLOOKUP($B186,'Tillförd energi'!$B$1:$AI$720,MATCH(AC$1,'Tillförd energi'!$B$1:$AQ$1,0),FALSE)</f>
        <v>6.11</v>
      </c>
      <c r="AD186" s="31">
        <f>VLOOKUP($B186,'Tillförd energi'!$B$1:$AI$720,MATCH(AD$1,'Tillförd energi'!$B$1:$AQ$1,0),FALSE)</f>
        <v>0</v>
      </c>
      <c r="AE186" s="31">
        <f>VLOOKUP($B186,'Tillförd energi'!$B$1:$AI$720,MATCH(AE$1,'Tillförd energi'!$B$1:$AQ$1,0),FALSE)</f>
        <v>0</v>
      </c>
      <c r="AF186" s="31">
        <f>VLOOKUP($B186,'Tillförd energi'!$B$1:$AI$720,MATCH(AF$1,'Tillförd energi'!$B$1:$AQ$1,0),FALSE)</f>
        <v>2.0049999999999999</v>
      </c>
      <c r="AG186" s="31">
        <f>IFERROR(VLOOKUP(B186,Miljö!$B$1:$AC$550,MATCH("Köpt mängd produktionsspecifik fjärrvärme:",Miljö!$B$1:$AC$1,0),FALSE)/1,0)</f>
        <v>0</v>
      </c>
      <c r="AI186" s="31">
        <f t="shared" si="46"/>
        <v>41.239529400000016</v>
      </c>
      <c r="AJ186" s="31">
        <f t="shared" si="47"/>
        <v>41.239529400000016</v>
      </c>
      <c r="AK186" s="31">
        <f>IF(ISERROR(1/VLOOKUP($B186,Leveranser!$B$1:$S$499,MATCH("Såld värme (GWh)",Leveranser!$B$1:$S$1,0),FALSE)),"",VLOOKUP($B186,Leveranser!$B$1:$S$499,MATCH("Såld värme (GWh)",Leveranser!$B$1:$S$1,0),FALSE))</f>
        <v>45.137</v>
      </c>
      <c r="AL186" s="31">
        <f>VLOOKUP($B186,Leveranser!$B$1:$Y$499,MATCH("Totalt såld fjärrvärme till andra fjärrvärmeföretag",Leveranser!$B$1:$AA$1,0),FALSE)</f>
        <v>0</v>
      </c>
      <c r="AM186" s="31">
        <f>IF(ISERROR(1/VLOOKUP($B186,Miljö!$B$1:$S$500,MATCH("Såld mängd produktionsspecifik fjärrvärme (GWh)",Miljö!$B$1:$R$1,0),FALSE)),0,VLOOKUP($B186,Miljö!$B$1:$S$500,MATCH("Såld mängd produktionsspecifik fjärrvärme (GWh)",Miljö!$B$1:$R$1,0),FALSE))</f>
        <v>0</v>
      </c>
      <c r="AN186" s="32">
        <f t="shared" si="48"/>
        <v>1.0945081250126967</v>
      </c>
      <c r="AP186" s="31" t="str">
        <f>IFERROR(VLOOKUP($B186,Miljövärden!$B$2:$H$550,7,FALSE),"Nej, saknas")</f>
        <v>Ja</v>
      </c>
      <c r="AQ186" s="31" t="str">
        <f>IFERROR(VLOOKUP($B186,Miljövärden!$B$2:$H$551,6,FALSE),"Nej, saknas")</f>
        <v>Ja</v>
      </c>
      <c r="AU186" s="31">
        <f t="shared" si="49"/>
        <v>2.2109999999999999</v>
      </c>
      <c r="AV186" s="31">
        <f t="shared" si="50"/>
        <v>0.1</v>
      </c>
      <c r="AW186" s="31">
        <f t="shared" si="51"/>
        <v>8.6039999999999992</v>
      </c>
      <c r="AX186" s="31">
        <f t="shared" si="52"/>
        <v>0</v>
      </c>
      <c r="AZ186" s="31">
        <f t="shared" si="53"/>
        <v>12.857999999999999</v>
      </c>
      <c r="BC186" s="31">
        <f t="shared" si="54"/>
        <v>2.024</v>
      </c>
      <c r="BD186" s="31">
        <f t="shared" si="55"/>
        <v>1.2949999999999999</v>
      </c>
      <c r="BE186" s="31">
        <f t="shared" si="56"/>
        <v>8.8809999999999985</v>
      </c>
      <c r="BF186" s="31">
        <f t="shared" si="57"/>
        <v>26.828529400000001</v>
      </c>
      <c r="BG186" s="31">
        <f t="shared" si="58"/>
        <v>2.2109999999999999</v>
      </c>
      <c r="BH186" s="31">
        <f>VLOOKUP(B186,Miljö!$B$1:$BX$482,MATCH("Fossilandel för ursprungspecificerad el ()",Miljö!$B$1:$I$1,0),FALSE)</f>
        <v>0</v>
      </c>
      <c r="BI186" s="31">
        <f>VLOOKUP(B186,Miljö!$B$1:$BX$482,MATCH("Kärnkraftsandel för ursprungsspecificerad el ()",Miljö!$B$1:$O$1,0),FALSE)</f>
        <v>0</v>
      </c>
      <c r="BJ186" s="31">
        <f t="shared" si="59"/>
        <v>0</v>
      </c>
      <c r="BK186" s="31" t="str">
        <f>VLOOKUP(B186,Miljö!$B$1:$P$482,MATCH("Fossil andel i procent (%)",Miljö!$B$1:$P$1,0),FALSE)</f>
        <v>ET</v>
      </c>
      <c r="BL186" s="31">
        <f t="shared" si="60"/>
        <v>41.239529399999995</v>
      </c>
      <c r="BO186" s="32">
        <f t="shared" si="61"/>
        <v>4.9079124554704555E-2</v>
      </c>
      <c r="BP186" s="32">
        <f t="shared" si="62"/>
        <v>3.140191022645375E-2</v>
      </c>
      <c r="BQ186" s="32">
        <f t="shared" si="63"/>
        <v>0.26896524187785714</v>
      </c>
      <c r="BR186" s="32">
        <f t="shared" si="64"/>
        <v>0.65055372334098471</v>
      </c>
      <c r="BT186" s="62">
        <f t="shared" si="65"/>
        <v>1.0000000000000002</v>
      </c>
      <c r="BW186" s="32">
        <f>IF(AP186="Ja",VLOOKUP(B186,Miljövärden!$B$2:$H$551,MATCH("Total andel fossilt",Miljövärden!$B$2:$H$2,0),FALSE),"")</f>
        <v>4.9079200000000003E-2</v>
      </c>
      <c r="BX186" s="62">
        <f t="shared" si="66"/>
        <v>7.5445295448506311E-8</v>
      </c>
      <c r="BZ186" s="31">
        <f t="shared" si="67"/>
        <v>7.5445295448506311E-8</v>
      </c>
      <c r="CA186" s="32">
        <f t="shared" si="68"/>
        <v>0</v>
      </c>
    </row>
    <row r="187" spans="1:79" x14ac:dyDescent="0.45">
      <c r="A187" s="31" t="s">
        <v>428</v>
      </c>
      <c r="B187" s="31" t="s">
        <v>430</v>
      </c>
      <c r="C187" s="31">
        <f>VLOOKUP($B187,'Tillförd energi'!$B$1:$AI$720,MATCH(C$1,'Tillförd energi'!$B$1:$AQ$1,0),FALSE)</f>
        <v>0</v>
      </c>
      <c r="D187" s="31">
        <f>VLOOKUP($B187,'Tillförd energi'!$B$1:$AI$720,MATCH(D$1,'Tillförd energi'!$B$1:$AQ$1,0),FALSE)</f>
        <v>0</v>
      </c>
      <c r="E187" s="31">
        <f>VLOOKUP($B187,'Tillförd energi'!$B$1:$AI$720,MATCH(E$1,'Tillförd energi'!$B$1:$AQ$1,0),FALSE)</f>
        <v>0</v>
      </c>
      <c r="F187" s="31">
        <f>VLOOKUP($B187,'Tillförd energi'!$B$1:$AI$720,MATCH(F$1,'Tillförd energi'!$B$1:$AQ$1,0),FALSE)</f>
        <v>0</v>
      </c>
      <c r="G187" s="31">
        <f>VLOOKUP($B187,'Tillförd energi'!$B$1:$AI$720,MATCH(G$1,'Tillförd energi'!$B$1:$AQ$1,0),FALSE)</f>
        <v>0</v>
      </c>
      <c r="H187" s="31">
        <f>VLOOKUP($B187,'Tillförd energi'!$B$1:$AI$720,MATCH(H$1,'Tillförd energi'!$B$1:$AQ$1,0),FALSE)</f>
        <v>0</v>
      </c>
      <c r="I187" s="31">
        <f>VLOOKUP($B187,'Tillförd energi'!$B$1:$AI$720,MATCH(I$1,'Tillförd energi'!$B$1:$AQ$1,0),FALSE)</f>
        <v>0</v>
      </c>
      <c r="J187" s="31">
        <f>VLOOKUP($B187,'Tillförd energi'!$B$1:$AI$720,MATCH(J$1,'Tillförd energi'!$B$1:$AQ$1,0),FALSE)</f>
        <v>0</v>
      </c>
      <c r="K187" s="31">
        <f>VLOOKUP($B187,'Tillförd energi'!$B$1:$AI$720,MATCH(K$1,'Tillförd energi'!$B$1:$AQ$1,0),FALSE)</f>
        <v>0</v>
      </c>
      <c r="L187" s="31">
        <f>VLOOKUP($B187,'Tillförd energi'!$B$1:$AI$720,MATCH(L$1,'Tillförd energi'!$B$1:$AQ$1,0),FALSE)</f>
        <v>88.352900000000005</v>
      </c>
      <c r="M187" s="31">
        <f>VLOOKUP($B187,'Tillförd energi'!$B$1:$AI$720,MATCH(M$1,'Tillförd energi'!$B$1:$AQ$1,0),FALSE)</f>
        <v>69.357699999999994</v>
      </c>
      <c r="N187" s="31">
        <f>VLOOKUP($B187,'Tillförd energi'!$B$1:$AI$720,MATCH(N$1,'Tillförd energi'!$B$1:$AQ$1,0),FALSE)</f>
        <v>23.678899999999999</v>
      </c>
      <c r="O187" s="31">
        <f>VLOOKUP($B187,'Tillförd energi'!$B$1:$AI$720,MATCH(O$1,'Tillförd energi'!$B$1:$AQ$1,0),FALSE)</f>
        <v>0</v>
      </c>
      <c r="P187" s="31">
        <f>VLOOKUP($B187,'Tillförd energi'!$B$1:$AI$720,MATCH(P$1,'Tillförd energi'!$B$1:$AQ$1,0),FALSE)</f>
        <v>7.0230800000000002</v>
      </c>
      <c r="Q187" s="31">
        <f>VLOOKUP($B187,'Tillförd energi'!$B$1:$AI$720,MATCH(Q$1,'Tillförd energi'!$B$1:$AQ$1,0),FALSE)</f>
        <v>0</v>
      </c>
      <c r="R187" s="31">
        <f>VLOOKUP($B187,'Tillförd energi'!$B$1:$AI$720,MATCH(R$1,'Tillförd energi'!$B$1:$AQ$1,0),FALSE)</f>
        <v>0</v>
      </c>
      <c r="S187" s="31">
        <f>VLOOKUP($B187,'Tillförd energi'!$B$1:$AI$720,MATCH(S$1,'Tillförd energi'!$B$1:$AQ$1,0),FALSE)</f>
        <v>0</v>
      </c>
      <c r="T187" s="31">
        <f>VLOOKUP($B187,'Tillförd energi'!$B$1:$AI$720,MATCH(T$1,'Tillförd energi'!$B$1:$AQ$1,0),FALSE)</f>
        <v>0</v>
      </c>
      <c r="U187" s="31">
        <f>VLOOKUP($B187,'Tillförd energi'!$B$1:$AI$720,MATCH(U$1,'Tillförd energi'!$B$1:$AQ$1,0),FALSE)</f>
        <v>0</v>
      </c>
      <c r="V187" s="31">
        <f>VLOOKUP($B187,'Tillförd energi'!$B$1:$AI$720,MATCH(V$1,'Tillförd energi'!$B$1:$AQ$1,0),FALSE)</f>
        <v>0</v>
      </c>
      <c r="W187" s="31">
        <f>VLOOKUP($B187,'Tillförd energi'!$B$1:$AI$720,MATCH(W$1,'Tillförd energi'!$B$1:$AQ$1,0),FALSE)</f>
        <v>0.74926999999999999</v>
      </c>
      <c r="X187" s="31">
        <f>VLOOKUP($B187,'Tillförd energi'!$B$1:$AI$720,MATCH(X$1,'Tillförd energi'!$B$1:$AQ$1,0),FALSE)</f>
        <v>0</v>
      </c>
      <c r="Y187" s="31">
        <f>VLOOKUP($B187,'Tillförd energi'!$B$1:$AI$720,MATCH(Y$1,'Tillförd energi'!$B$1:$AQ$1,0),FALSE)</f>
        <v>0</v>
      </c>
      <c r="Z187" s="31">
        <f>VLOOKUP($B187,'Tillförd energi'!$B$1:$AI$720,MATCH(Z$1,'Tillförd energi'!$B$1:$AQ$1,0),FALSE)</f>
        <v>0</v>
      </c>
      <c r="AA187" s="31">
        <f>VLOOKUP($B187,'Tillförd energi'!$B$1:$AI$720,MATCH(AA$1,'Tillförd energi'!$B$1:$AQ$1,0),FALSE)</f>
        <v>0</v>
      </c>
      <c r="AB187" s="31">
        <f>VLOOKUP($B187,'Tillförd energi'!$B$1:$AI$720,MATCH(AB$1,'Tillförd energi'!$B$1:$AQ$1,0),FALSE)</f>
        <v>0</v>
      </c>
      <c r="AC187" s="31">
        <f>VLOOKUP($B187,'Tillförd energi'!$B$1:$AI$720,MATCH(AC$1,'Tillförd energi'!$B$1:$AQ$1,0),FALSE)</f>
        <v>101.675</v>
      </c>
      <c r="AD187" s="31">
        <f>VLOOKUP($B187,'Tillförd energi'!$B$1:$AI$720,MATCH(AD$1,'Tillförd energi'!$B$1:$AQ$1,0),FALSE)</f>
        <v>0</v>
      </c>
      <c r="AE187" s="31">
        <f>VLOOKUP($B187,'Tillförd energi'!$B$1:$AI$720,MATCH(AE$1,'Tillförd energi'!$B$1:$AQ$1,0),FALSE)</f>
        <v>0</v>
      </c>
      <c r="AF187" s="31">
        <f>VLOOKUP($B187,'Tillförd energi'!$B$1:$AI$720,MATCH(AF$1,'Tillförd energi'!$B$1:$AQ$1,0),FALSE)</f>
        <v>8.9639100000000003</v>
      </c>
      <c r="AG187" s="31">
        <f>IFERROR(VLOOKUP(B187,Miljö!$B$1:$AC$550,MATCH("Köpt mängd produktionsspecifik fjärrvärme:",Miljö!$B$1:$AC$1,0),FALSE)/1,0)</f>
        <v>22.47</v>
      </c>
      <c r="AI187" s="31">
        <f t="shared" si="46"/>
        <v>299.80075999999997</v>
      </c>
      <c r="AJ187" s="31">
        <f t="shared" si="47"/>
        <v>322.27076</v>
      </c>
      <c r="AK187" s="31">
        <f>IF(ISERROR(1/VLOOKUP($B187,Leveranser!$B$1:$S$499,MATCH("Såld värme (GWh)",Leveranser!$B$1:$S$1,0),FALSE)),"",VLOOKUP($B187,Leveranser!$B$1:$S$499,MATCH("Såld värme (GWh)",Leveranser!$B$1:$S$1,0),FALSE))</f>
        <v>322.67500000000001</v>
      </c>
      <c r="AL187" s="31">
        <f>VLOOKUP($B187,Leveranser!$B$1:$Y$499,MATCH("Totalt såld fjärrvärme till andra fjärrvärmeföretag",Leveranser!$B$1:$AA$1,0),FALSE)</f>
        <v>109.63500000000001</v>
      </c>
      <c r="AM187" s="31">
        <f>IF(ISERROR(1/VLOOKUP($B187,Miljö!$B$1:$S$500,MATCH("Såld mängd produktionsspecifik fjärrvärme (GWh)",Miljö!$B$1:$R$1,0),FALSE)),0,VLOOKUP($B187,Miljö!$B$1:$S$500,MATCH("Såld mängd produktionsspecifik fjärrvärme (GWh)",Miljö!$B$1:$R$1,0),FALSE))</f>
        <v>109.63500000000001</v>
      </c>
      <c r="AN187" s="32">
        <f t="shared" si="48"/>
        <v>1.0012543489828243</v>
      </c>
      <c r="AP187" s="31" t="str">
        <f>IFERROR(VLOOKUP($B187,Miljövärden!$B$2:$H$550,7,FALSE),"Nej, saknas")</f>
        <v>Ja</v>
      </c>
      <c r="AQ187" s="31" t="str">
        <f>IFERROR(VLOOKUP($B187,Miljövärden!$B$2:$H$551,6,FALSE),"Nej, saknas")</f>
        <v>Ja</v>
      </c>
      <c r="AU187" s="31">
        <f t="shared" si="49"/>
        <v>8.9639100000000003</v>
      </c>
      <c r="AV187" s="31">
        <f t="shared" si="50"/>
        <v>0</v>
      </c>
      <c r="AW187" s="31">
        <f t="shared" si="51"/>
        <v>100.05967999999999</v>
      </c>
      <c r="AX187" s="31">
        <f t="shared" si="52"/>
        <v>0</v>
      </c>
      <c r="AZ187" s="31">
        <f t="shared" si="53"/>
        <v>189.16184999999999</v>
      </c>
      <c r="BC187" s="31">
        <f t="shared" si="54"/>
        <v>0</v>
      </c>
      <c r="BD187" s="31">
        <f t="shared" si="55"/>
        <v>0</v>
      </c>
      <c r="BE187" s="31">
        <f t="shared" si="56"/>
        <v>100.80894999999998</v>
      </c>
      <c r="BF187" s="31">
        <f t="shared" si="57"/>
        <v>190.02789999999999</v>
      </c>
      <c r="BG187" s="31">
        <f t="shared" si="58"/>
        <v>8.9639100000000003</v>
      </c>
      <c r="BH187" s="31">
        <f>VLOOKUP(B187,Miljö!$B$1:$BX$482,MATCH("Fossilandel för ursprungspecificerad el ()",Miljö!$B$1:$I$1,0),FALSE)</f>
        <v>0</v>
      </c>
      <c r="BI187" s="31">
        <f>VLOOKUP(B187,Miljö!$B$1:$BX$482,MATCH("Kärnkraftsandel för ursprungsspecificerad el ()",Miljö!$B$1:$O$1,0),FALSE)</f>
        <v>0</v>
      </c>
      <c r="BJ187" s="31">
        <f t="shared" si="59"/>
        <v>22.47</v>
      </c>
      <c r="BK187" s="31">
        <f>VLOOKUP(B187,Miljö!$B$1:$P$482,MATCH("Fossil andel i procent (%)",Miljö!$B$1:$P$1,0),FALSE)</f>
        <v>0.1</v>
      </c>
      <c r="BL187" s="31">
        <f t="shared" si="60"/>
        <v>322.27076</v>
      </c>
      <c r="BO187" s="32">
        <f t="shared" si="61"/>
        <v>6.9723979922969127E-5</v>
      </c>
      <c r="BP187" s="32">
        <f t="shared" si="62"/>
        <v>6.9654255943046153E-2</v>
      </c>
      <c r="BQ187" s="32">
        <f t="shared" si="63"/>
        <v>0.34062308352144632</v>
      </c>
      <c r="BR187" s="32">
        <f t="shared" si="64"/>
        <v>0.58965293655558448</v>
      </c>
      <c r="BT187" s="62">
        <f t="shared" si="65"/>
        <v>1</v>
      </c>
      <c r="BW187" s="32">
        <f>IF(AP187="Ja",VLOOKUP(B187,Miljövärden!$B$2:$H$551,MATCH("Total andel fossilt",Miljövärden!$B$2:$H$2,0),FALSE),"")</f>
        <v>1.0567400000000001E-4</v>
      </c>
      <c r="BX187" s="62">
        <f t="shared" si="66"/>
        <v>3.5950020077030878E-5</v>
      </c>
      <c r="BZ187" s="31">
        <f t="shared" si="67"/>
        <v>3.5950020077030878E-5</v>
      </c>
      <c r="CA187" s="32">
        <f t="shared" si="68"/>
        <v>0</v>
      </c>
    </row>
    <row r="188" spans="1:79" hidden="1" x14ac:dyDescent="0.45">
      <c r="A188" s="31" t="s">
        <v>428</v>
      </c>
      <c r="B188" s="31" t="s">
        <v>427</v>
      </c>
      <c r="C188" s="31">
        <f>VLOOKUP($B188,'Tillförd energi'!$B$1:$AI$720,MATCH(C$1,'Tillförd energi'!$B$1:$AQ$1,0),FALSE)</f>
        <v>0</v>
      </c>
      <c r="D188" s="31">
        <f>VLOOKUP($B188,'Tillförd energi'!$B$1:$AI$720,MATCH(D$1,'Tillförd energi'!$B$1:$AQ$1,0),FALSE)</f>
        <v>0</v>
      </c>
      <c r="E188" s="31">
        <f>VLOOKUP($B188,'Tillförd energi'!$B$1:$AI$720,MATCH(E$1,'Tillförd energi'!$B$1:$AQ$1,0),FALSE)</f>
        <v>0</v>
      </c>
      <c r="F188" s="31">
        <f>VLOOKUP($B188,'Tillförd energi'!$B$1:$AI$720,MATCH(F$1,'Tillförd energi'!$B$1:$AQ$1,0),FALSE)</f>
        <v>0</v>
      </c>
      <c r="G188" s="31">
        <f>VLOOKUP($B188,'Tillförd energi'!$B$1:$AI$720,MATCH(G$1,'Tillförd energi'!$B$1:$AQ$1,0),FALSE)</f>
        <v>0</v>
      </c>
      <c r="H188" s="31">
        <f>VLOOKUP($B188,'Tillförd energi'!$B$1:$AI$720,MATCH(H$1,'Tillförd energi'!$B$1:$AQ$1,0),FALSE)</f>
        <v>0</v>
      </c>
      <c r="I188" s="31">
        <f>VLOOKUP($B188,'Tillförd energi'!$B$1:$AI$720,MATCH(I$1,'Tillförd energi'!$B$1:$AQ$1,0),FALSE)</f>
        <v>0</v>
      </c>
      <c r="J188" s="31">
        <f>VLOOKUP($B188,'Tillförd energi'!$B$1:$AI$720,MATCH(J$1,'Tillförd energi'!$B$1:$AQ$1,0),FALSE)</f>
        <v>0</v>
      </c>
      <c r="K188" s="31">
        <f>VLOOKUP($B188,'Tillförd energi'!$B$1:$AI$720,MATCH(K$1,'Tillförd energi'!$B$1:$AQ$1,0),FALSE)</f>
        <v>0</v>
      </c>
      <c r="L188" s="31">
        <f>VLOOKUP($B188,'Tillförd energi'!$B$1:$AI$720,MATCH(L$1,'Tillförd energi'!$B$1:$AQ$1,0),FALSE)</f>
        <v>0</v>
      </c>
      <c r="M188" s="31">
        <f>VLOOKUP($B188,'Tillförd energi'!$B$1:$AI$720,MATCH(M$1,'Tillförd energi'!$B$1:$AQ$1,0),FALSE)</f>
        <v>0</v>
      </c>
      <c r="N188" s="31">
        <f>VLOOKUP($B188,'Tillförd energi'!$B$1:$AI$720,MATCH(N$1,'Tillförd energi'!$B$1:$AQ$1,0),FALSE)</f>
        <v>0</v>
      </c>
      <c r="O188" s="31">
        <f>VLOOKUP($B188,'Tillförd energi'!$B$1:$AI$720,MATCH(O$1,'Tillförd energi'!$B$1:$AQ$1,0),FALSE)</f>
        <v>0</v>
      </c>
      <c r="P188" s="31">
        <f>VLOOKUP($B188,'Tillförd energi'!$B$1:$AI$720,MATCH(P$1,'Tillförd energi'!$B$1:$AQ$1,0),FALSE)</f>
        <v>0</v>
      </c>
      <c r="Q188" s="31">
        <f>VLOOKUP($B188,'Tillförd energi'!$B$1:$AI$720,MATCH(Q$1,'Tillförd energi'!$B$1:$AQ$1,0),FALSE)</f>
        <v>0</v>
      </c>
      <c r="R188" s="31">
        <f>VLOOKUP($B188,'Tillförd energi'!$B$1:$AI$720,MATCH(R$1,'Tillförd energi'!$B$1:$AQ$1,0),FALSE)</f>
        <v>0</v>
      </c>
      <c r="S188" s="31">
        <f>VLOOKUP($B188,'Tillförd energi'!$B$1:$AI$720,MATCH(S$1,'Tillförd energi'!$B$1:$AQ$1,0),FALSE)</f>
        <v>0</v>
      </c>
      <c r="T188" s="31">
        <f>VLOOKUP($B188,'Tillförd energi'!$B$1:$AI$720,MATCH(T$1,'Tillförd energi'!$B$1:$AQ$1,0),FALSE)</f>
        <v>0</v>
      </c>
      <c r="U188" s="31">
        <f>VLOOKUP($B188,'Tillförd energi'!$B$1:$AI$720,MATCH(U$1,'Tillförd energi'!$B$1:$AQ$1,0),FALSE)</f>
        <v>0</v>
      </c>
      <c r="V188" s="31">
        <f>VLOOKUP($B188,'Tillförd energi'!$B$1:$AI$720,MATCH(V$1,'Tillförd energi'!$B$1:$AQ$1,0),FALSE)</f>
        <v>0</v>
      </c>
      <c r="W188" s="31">
        <f>VLOOKUP($B188,'Tillförd energi'!$B$1:$AI$720,MATCH(W$1,'Tillförd energi'!$B$1:$AQ$1,0),FALSE)</f>
        <v>0</v>
      </c>
      <c r="X188" s="31">
        <f>VLOOKUP($B188,'Tillförd energi'!$B$1:$AI$720,MATCH(X$1,'Tillförd energi'!$B$1:$AQ$1,0),FALSE)</f>
        <v>0</v>
      </c>
      <c r="Y188" s="31">
        <f>VLOOKUP($B188,'Tillförd energi'!$B$1:$AI$720,MATCH(Y$1,'Tillförd energi'!$B$1:$AQ$1,0),FALSE)</f>
        <v>0</v>
      </c>
      <c r="Z188" s="31">
        <f>VLOOKUP($B188,'Tillförd energi'!$B$1:$AI$720,MATCH(Z$1,'Tillförd energi'!$B$1:$AQ$1,0),FALSE)</f>
        <v>0</v>
      </c>
      <c r="AA188" s="31">
        <f>VLOOKUP($B188,'Tillförd energi'!$B$1:$AI$720,MATCH(AA$1,'Tillförd energi'!$B$1:$AQ$1,0),FALSE)</f>
        <v>0</v>
      </c>
      <c r="AB188" s="31">
        <f>VLOOKUP($B188,'Tillförd energi'!$B$1:$AI$720,MATCH(AB$1,'Tillförd energi'!$B$1:$AQ$1,0),FALSE)</f>
        <v>0</v>
      </c>
      <c r="AC188" s="31">
        <f>VLOOKUP($B188,'Tillförd energi'!$B$1:$AI$720,MATCH(AC$1,'Tillförd energi'!$B$1:$AQ$1,0),FALSE)</f>
        <v>0</v>
      </c>
      <c r="AD188" s="31">
        <f>VLOOKUP($B188,'Tillförd energi'!$B$1:$AI$720,MATCH(AD$1,'Tillförd energi'!$B$1:$AQ$1,0),FALSE)</f>
        <v>0</v>
      </c>
      <c r="AE188" s="31">
        <f>VLOOKUP($B188,'Tillförd energi'!$B$1:$AI$720,MATCH(AE$1,'Tillförd energi'!$B$1:$AQ$1,0),FALSE)</f>
        <v>0</v>
      </c>
      <c r="AF188" s="31">
        <f>VLOOKUP($B188,'Tillförd energi'!$B$1:$AI$720,MATCH(AF$1,'Tillförd energi'!$B$1:$AQ$1,0),FALSE)</f>
        <v>0</v>
      </c>
      <c r="AG188" s="31">
        <f>IFERROR(VLOOKUP(B188,Miljö!$B$1:$AC$550,MATCH("Köpt mängd produktionsspecifik fjärrvärme:",Miljö!$B$1:$AC$1,0),FALSE)/1,0)</f>
        <v>0</v>
      </c>
      <c r="AI188" s="31">
        <f t="shared" si="46"/>
        <v>0</v>
      </c>
      <c r="AJ188" s="31">
        <f t="shared" si="47"/>
        <v>0</v>
      </c>
      <c r="AK188" s="31" t="str">
        <f>IF(ISERROR(1/VLOOKUP($B188,Leveranser!$B$1:$S$499,MATCH("Såld värme (GWh)",Leveranser!$B$1:$S$1,0),FALSE)),"",VLOOKUP($B188,Leveranser!$B$1:$S$499,MATCH("Såld värme (GWh)",Leveranser!$B$1:$S$1,0),FALSE))</f>
        <v/>
      </c>
      <c r="AL188" s="31">
        <f>VLOOKUP($B188,Leveranser!$B$1:$Y$499,MATCH("Totalt såld fjärrvärme till andra fjärrvärmeföretag",Leveranser!$B$1:$AA$1,0),FALSE)</f>
        <v>0</v>
      </c>
      <c r="AM188" s="31">
        <f>IF(ISERROR(1/VLOOKUP($B188,Miljö!$B$1:$S$500,MATCH("Såld mängd produktionsspecifik fjärrvärme (GWh)",Miljö!$B$1:$R$1,0),FALSE)),0,VLOOKUP($B188,Miljö!$B$1:$S$500,MATCH("Såld mängd produktionsspecifik fjärrvärme (GWh)",Miljö!$B$1:$R$1,0),FALSE))</f>
        <v>0</v>
      </c>
      <c r="AN188" s="32" t="str">
        <f t="shared" si="48"/>
        <v/>
      </c>
      <c r="AP188" s="31" t="str">
        <f>IFERROR(VLOOKUP($B188,Miljövärden!$B$2:$H$550,7,FALSE),"Nej, saknas")</f>
        <v>Nej</v>
      </c>
      <c r="AQ188" s="31" t="str">
        <f>IFERROR(VLOOKUP($B188,Miljövärden!$B$2:$H$551,6,FALSE),"Nej, saknas")</f>
        <v>Nej</v>
      </c>
      <c r="AU188" s="31">
        <f t="shared" si="49"/>
        <v>0</v>
      </c>
      <c r="AV188" s="31">
        <f t="shared" si="50"/>
        <v>0</v>
      </c>
      <c r="AW188" s="31">
        <f t="shared" si="51"/>
        <v>0</v>
      </c>
      <c r="AX188" s="31">
        <f t="shared" si="52"/>
        <v>0</v>
      </c>
      <c r="AZ188" s="31">
        <f t="shared" si="53"/>
        <v>0</v>
      </c>
      <c r="BC188" s="31">
        <f t="shared" si="54"/>
        <v>0</v>
      </c>
      <c r="BD188" s="31">
        <f t="shared" si="55"/>
        <v>0</v>
      </c>
      <c r="BE188" s="31">
        <f t="shared" si="56"/>
        <v>0</v>
      </c>
      <c r="BF188" s="31">
        <f t="shared" si="57"/>
        <v>0</v>
      </c>
      <c r="BG188" s="31">
        <f t="shared" si="58"/>
        <v>0</v>
      </c>
      <c r="BH188" s="31" t="str">
        <f>VLOOKUP(B188,Miljö!$B$1:$BX$482,MATCH("Fossilandel för ursprungspecificerad el ()",Miljö!$B$1:$I$1,0),FALSE)</f>
        <v>-</v>
      </c>
      <c r="BI188" s="31" t="str">
        <f>VLOOKUP(B188,Miljö!$B$1:$BX$482,MATCH("Kärnkraftsandel för ursprungsspecificerad el ()",Miljö!$B$1:$O$1,0),FALSE)</f>
        <v>-</v>
      </c>
      <c r="BJ188" s="31">
        <f t="shared" si="59"/>
        <v>0</v>
      </c>
      <c r="BK188" s="31" t="str">
        <f>VLOOKUP(B188,Miljö!$B$1:$P$482,MATCH("Fossil andel i procent (%)",Miljö!$B$1:$P$1,0),FALSE)</f>
        <v>-</v>
      </c>
      <c r="BL188" s="31">
        <f t="shared" si="60"/>
        <v>0</v>
      </c>
      <c r="BO188" s="32" t="str">
        <f t="shared" si="61"/>
        <v/>
      </c>
      <c r="BP188" s="32" t="str">
        <f t="shared" si="62"/>
        <v/>
      </c>
      <c r="BQ188" s="32" t="str">
        <f t="shared" si="63"/>
        <v/>
      </c>
      <c r="BR188" s="32" t="str">
        <f t="shared" si="64"/>
        <v/>
      </c>
      <c r="BT188" s="62">
        <f t="shared" si="65"/>
        <v>0</v>
      </c>
      <c r="BW188" s="32" t="str">
        <f>IF(AP188="Ja",VLOOKUP(B188,Miljövärden!$B$2:$H$551,MATCH("Total andel fossilt",Miljövärden!$B$2:$H$2,0),FALSE),"")</f>
        <v/>
      </c>
      <c r="BX188" s="62" t="e">
        <f t="shared" si="66"/>
        <v>#VALUE!</v>
      </c>
      <c r="BZ188" s="31" t="str">
        <f t="shared" si="67"/>
        <v/>
      </c>
      <c r="CA188" s="32" t="str">
        <f t="shared" si="68"/>
        <v/>
      </c>
    </row>
    <row r="189" spans="1:79" x14ac:dyDescent="0.45">
      <c r="A189" s="31" t="s">
        <v>428</v>
      </c>
      <c r="B189" s="31" t="s">
        <v>429</v>
      </c>
      <c r="C189" s="31">
        <f>VLOOKUP($B189,'Tillförd energi'!$B$1:$AI$720,MATCH(C$1,'Tillförd energi'!$B$1:$AQ$1,0),FALSE)</f>
        <v>0</v>
      </c>
      <c r="D189" s="31">
        <f>VLOOKUP($B189,'Tillförd energi'!$B$1:$AI$720,MATCH(D$1,'Tillförd energi'!$B$1:$AQ$1,0),FALSE)</f>
        <v>0</v>
      </c>
      <c r="E189" s="31">
        <f>VLOOKUP($B189,'Tillförd energi'!$B$1:$AI$720,MATCH(E$1,'Tillförd energi'!$B$1:$AQ$1,0),FALSE)</f>
        <v>0</v>
      </c>
      <c r="F189" s="31">
        <f>VLOOKUP($B189,'Tillförd energi'!$B$1:$AI$720,MATCH(F$1,'Tillförd energi'!$B$1:$AQ$1,0),FALSE)</f>
        <v>0</v>
      </c>
      <c r="G189" s="31">
        <f>VLOOKUP($B189,'Tillförd energi'!$B$1:$AI$720,MATCH(G$1,'Tillförd energi'!$B$1:$AQ$1,0),FALSE)</f>
        <v>0</v>
      </c>
      <c r="H189" s="31">
        <f>VLOOKUP($B189,'Tillförd energi'!$B$1:$AI$720,MATCH(H$1,'Tillförd energi'!$B$1:$AQ$1,0),FALSE)</f>
        <v>0</v>
      </c>
      <c r="I189" s="31">
        <f>VLOOKUP($B189,'Tillförd energi'!$B$1:$AI$720,MATCH(I$1,'Tillförd energi'!$B$1:$AQ$1,0),FALSE)</f>
        <v>0</v>
      </c>
      <c r="J189" s="31">
        <f>VLOOKUP($B189,'Tillförd energi'!$B$1:$AI$720,MATCH(J$1,'Tillförd energi'!$B$1:$AQ$1,0),FALSE)</f>
        <v>0</v>
      </c>
      <c r="K189" s="31">
        <f>VLOOKUP($B189,'Tillförd energi'!$B$1:$AI$720,MATCH(K$1,'Tillförd energi'!$B$1:$AQ$1,0),FALSE)</f>
        <v>0</v>
      </c>
      <c r="L189" s="31">
        <f>VLOOKUP($B189,'Tillförd energi'!$B$1:$AI$720,MATCH(L$1,'Tillförd energi'!$B$1:$AQ$1,0),FALSE)</f>
        <v>0</v>
      </c>
      <c r="M189" s="31">
        <f>VLOOKUP($B189,'Tillförd energi'!$B$1:$AI$720,MATCH(M$1,'Tillförd energi'!$B$1:$AQ$1,0),FALSE)</f>
        <v>0</v>
      </c>
      <c r="N189" s="31">
        <f>VLOOKUP($B189,'Tillförd energi'!$B$1:$AI$720,MATCH(N$1,'Tillförd energi'!$B$1:$AQ$1,0),FALSE)</f>
        <v>36.668700000000001</v>
      </c>
      <c r="O189" s="31">
        <f>VLOOKUP($B189,'Tillförd energi'!$B$1:$AI$720,MATCH(O$1,'Tillförd energi'!$B$1:$AQ$1,0),FALSE)</f>
        <v>0</v>
      </c>
      <c r="P189" s="31">
        <f>VLOOKUP($B189,'Tillförd energi'!$B$1:$AI$720,MATCH(P$1,'Tillförd energi'!$B$1:$AQ$1,0),FALSE)</f>
        <v>0</v>
      </c>
      <c r="Q189" s="31">
        <f>VLOOKUP($B189,'Tillförd energi'!$B$1:$AI$720,MATCH(Q$1,'Tillförd energi'!$B$1:$AQ$1,0),FALSE)</f>
        <v>0</v>
      </c>
      <c r="R189" s="31">
        <f>VLOOKUP($B189,'Tillförd energi'!$B$1:$AI$720,MATCH(R$1,'Tillförd energi'!$B$1:$AQ$1,0),FALSE)</f>
        <v>0</v>
      </c>
      <c r="S189" s="31">
        <f>VLOOKUP($B189,'Tillförd energi'!$B$1:$AI$720,MATCH(S$1,'Tillförd energi'!$B$1:$AQ$1,0),FALSE)</f>
        <v>0</v>
      </c>
      <c r="T189" s="31">
        <f>VLOOKUP($B189,'Tillförd energi'!$B$1:$AI$720,MATCH(T$1,'Tillförd energi'!$B$1:$AQ$1,0),FALSE)</f>
        <v>0</v>
      </c>
      <c r="U189" s="31">
        <f>VLOOKUP($B189,'Tillförd energi'!$B$1:$AI$720,MATCH(U$1,'Tillförd energi'!$B$1:$AQ$1,0),FALSE)</f>
        <v>0</v>
      </c>
      <c r="V189" s="31">
        <f>VLOOKUP($B189,'Tillförd energi'!$B$1:$AI$720,MATCH(V$1,'Tillförd energi'!$B$1:$AQ$1,0),FALSE)</f>
        <v>0</v>
      </c>
      <c r="W189" s="31">
        <f>VLOOKUP($B189,'Tillförd energi'!$B$1:$AI$720,MATCH(W$1,'Tillförd energi'!$B$1:$AQ$1,0),FALSE)</f>
        <v>0</v>
      </c>
      <c r="X189" s="31">
        <f>VLOOKUP($B189,'Tillförd energi'!$B$1:$AI$720,MATCH(X$1,'Tillförd energi'!$B$1:$AQ$1,0),FALSE)</f>
        <v>0</v>
      </c>
      <c r="Y189" s="31">
        <f>VLOOKUP($B189,'Tillförd energi'!$B$1:$AI$720,MATCH(Y$1,'Tillförd energi'!$B$1:$AQ$1,0),FALSE)</f>
        <v>0</v>
      </c>
      <c r="Z189" s="31">
        <f>VLOOKUP($B189,'Tillförd energi'!$B$1:$AI$720,MATCH(Z$1,'Tillförd energi'!$B$1:$AQ$1,0),FALSE)</f>
        <v>0</v>
      </c>
      <c r="AA189" s="31">
        <f>VLOOKUP($B189,'Tillförd energi'!$B$1:$AI$720,MATCH(AA$1,'Tillförd energi'!$B$1:$AQ$1,0),FALSE)</f>
        <v>0</v>
      </c>
      <c r="AB189" s="31">
        <f>VLOOKUP($B189,'Tillförd energi'!$B$1:$AI$720,MATCH(AB$1,'Tillförd energi'!$B$1:$AQ$1,0),FALSE)</f>
        <v>0</v>
      </c>
      <c r="AC189" s="31">
        <f>VLOOKUP($B189,'Tillförd energi'!$B$1:$AI$720,MATCH(AC$1,'Tillförd energi'!$B$1:$AQ$1,0),FALSE)</f>
        <v>20.283999999999999</v>
      </c>
      <c r="AD189" s="31">
        <f>VLOOKUP($B189,'Tillförd energi'!$B$1:$AI$720,MATCH(AD$1,'Tillförd energi'!$B$1:$AQ$1,0),FALSE)</f>
        <v>0</v>
      </c>
      <c r="AE189" s="31">
        <f>VLOOKUP($B189,'Tillförd energi'!$B$1:$AI$720,MATCH(AE$1,'Tillförd energi'!$B$1:$AQ$1,0),FALSE)</f>
        <v>0</v>
      </c>
      <c r="AF189" s="31">
        <f>VLOOKUP($B189,'Tillförd energi'!$B$1:$AI$720,MATCH(AF$1,'Tillförd energi'!$B$1:$AQ$1,0),FALSE)</f>
        <v>1.4557500000000001</v>
      </c>
      <c r="AG189" s="31">
        <f>IFERROR(VLOOKUP(B189,Miljö!$B$1:$AC$550,MATCH("Köpt mängd produktionsspecifik fjärrvärme:",Miljö!$B$1:$AC$1,0),FALSE)/1,0)</f>
        <v>0</v>
      </c>
      <c r="AI189" s="31">
        <f t="shared" si="46"/>
        <v>58.408450000000002</v>
      </c>
      <c r="AJ189" s="31">
        <f t="shared" si="47"/>
        <v>58.408450000000002</v>
      </c>
      <c r="AK189" s="31">
        <f>IF(ISERROR(1/VLOOKUP($B189,Leveranser!$B$1:$S$499,MATCH("Såld värme (GWh)",Leveranser!$B$1:$S$1,0),FALSE)),"",VLOOKUP($B189,Leveranser!$B$1:$S$499,MATCH("Såld värme (GWh)",Leveranser!$B$1:$S$1,0),FALSE))</f>
        <v>60.075000000000003</v>
      </c>
      <c r="AL189" s="31">
        <f>VLOOKUP($B189,Leveranser!$B$1:$Y$499,MATCH("Totalt såld fjärrvärme till andra fjärrvärmeföretag",Leveranser!$B$1:$AA$1,0),FALSE)</f>
        <v>0</v>
      </c>
      <c r="AM189" s="31">
        <f>IF(ISERROR(1/VLOOKUP($B189,Miljö!$B$1:$S$500,MATCH("Såld mängd produktionsspecifik fjärrvärme (GWh)",Miljö!$B$1:$R$1,0),FALSE)),0,VLOOKUP($B189,Miljö!$B$1:$S$500,MATCH("Såld mängd produktionsspecifik fjärrvärme (GWh)",Miljö!$B$1:$R$1,0),FALSE))</f>
        <v>0</v>
      </c>
      <c r="AN189" s="32">
        <f t="shared" si="48"/>
        <v>1.028532686623254</v>
      </c>
      <c r="AP189" s="31" t="str">
        <f>IFERROR(VLOOKUP($B189,Miljövärden!$B$2:$H$550,7,FALSE),"Nej, saknas")</f>
        <v>Ja</v>
      </c>
      <c r="AQ189" s="31" t="str">
        <f>IFERROR(VLOOKUP($B189,Miljövärden!$B$2:$H$551,6,FALSE),"Nej, saknas")</f>
        <v>Ja</v>
      </c>
      <c r="AU189" s="31">
        <f t="shared" si="49"/>
        <v>1.4557500000000001</v>
      </c>
      <c r="AV189" s="31">
        <f t="shared" si="50"/>
        <v>0</v>
      </c>
      <c r="AW189" s="31">
        <f t="shared" si="51"/>
        <v>36.668700000000001</v>
      </c>
      <c r="AX189" s="31">
        <f t="shared" si="52"/>
        <v>0</v>
      </c>
      <c r="AZ189" s="31">
        <f t="shared" si="53"/>
        <v>36.668700000000001</v>
      </c>
      <c r="BC189" s="31">
        <f t="shared" si="54"/>
        <v>0</v>
      </c>
      <c r="BD189" s="31">
        <f t="shared" si="55"/>
        <v>0</v>
      </c>
      <c r="BE189" s="31">
        <f t="shared" si="56"/>
        <v>36.668700000000001</v>
      </c>
      <c r="BF189" s="31">
        <f t="shared" si="57"/>
        <v>20.283999999999999</v>
      </c>
      <c r="BG189" s="31">
        <f t="shared" si="58"/>
        <v>1.4557500000000001</v>
      </c>
      <c r="BH189" s="31">
        <f>VLOOKUP(B189,Miljö!$B$1:$BX$482,MATCH("Fossilandel för ursprungspecificerad el ()",Miljö!$B$1:$I$1,0),FALSE)</f>
        <v>0</v>
      </c>
      <c r="BI189" s="31">
        <f>VLOOKUP(B189,Miljö!$B$1:$BX$482,MATCH("Kärnkraftsandel för ursprungsspecificerad el ()",Miljö!$B$1:$O$1,0),FALSE)</f>
        <v>0</v>
      </c>
      <c r="BJ189" s="31">
        <f t="shared" si="59"/>
        <v>0</v>
      </c>
      <c r="BK189" s="31" t="str">
        <f>VLOOKUP(B189,Miljö!$B$1:$P$482,MATCH("Fossil andel i procent (%)",Miljö!$B$1:$P$1,0),FALSE)</f>
        <v>ET</v>
      </c>
      <c r="BL189" s="31">
        <f t="shared" si="60"/>
        <v>58.408450000000002</v>
      </c>
      <c r="BO189" s="32">
        <f t="shared" si="61"/>
        <v>0</v>
      </c>
      <c r="BP189" s="32">
        <f t="shared" si="62"/>
        <v>0</v>
      </c>
      <c r="BQ189" s="32">
        <f t="shared" si="63"/>
        <v>0.65272148122403528</v>
      </c>
      <c r="BR189" s="32">
        <f t="shared" si="64"/>
        <v>0.34727851877596477</v>
      </c>
      <c r="BT189" s="62">
        <f t="shared" si="65"/>
        <v>1</v>
      </c>
      <c r="BW189" s="32">
        <f>IF(AP189="Ja",VLOOKUP(B189,Miljövärden!$B$2:$H$551,MATCH("Total andel fossilt",Miljövärden!$B$2:$H$2,0),FALSE),"")</f>
        <v>0</v>
      </c>
      <c r="BX189" s="62">
        <f t="shared" si="66"/>
        <v>0</v>
      </c>
      <c r="BZ189" s="31">
        <f t="shared" si="67"/>
        <v>0</v>
      </c>
      <c r="CA189" s="32">
        <f t="shared" si="68"/>
        <v>0</v>
      </c>
    </row>
    <row r="190" spans="1:79" x14ac:dyDescent="0.45">
      <c r="A190" s="31" t="s">
        <v>418</v>
      </c>
      <c r="B190" s="31" t="s">
        <v>424</v>
      </c>
      <c r="C190" s="31">
        <f>VLOOKUP($B190,'Tillförd energi'!$B$1:$AI$720,MATCH(C$1,'Tillförd energi'!$B$1:$AQ$1,0),FALSE)</f>
        <v>0</v>
      </c>
      <c r="D190" s="31">
        <f>VLOOKUP($B190,'Tillförd energi'!$B$1:$AI$720,MATCH(D$1,'Tillförd energi'!$B$1:$AQ$1,0),FALSE)</f>
        <v>0.312</v>
      </c>
      <c r="E190" s="31">
        <f>VLOOKUP($B190,'Tillförd energi'!$B$1:$AI$720,MATCH(E$1,'Tillförd energi'!$B$1:$AQ$1,0),FALSE)</f>
        <v>0</v>
      </c>
      <c r="F190" s="31">
        <f>VLOOKUP($B190,'Tillförd energi'!$B$1:$AI$720,MATCH(F$1,'Tillförd energi'!$B$1:$AQ$1,0),FALSE)</f>
        <v>0</v>
      </c>
      <c r="G190" s="31">
        <f>VLOOKUP($B190,'Tillförd energi'!$B$1:$AI$720,MATCH(G$1,'Tillförd energi'!$B$1:$AQ$1,0),FALSE)</f>
        <v>0.63100000000000001</v>
      </c>
      <c r="H190" s="31">
        <f>VLOOKUP($B190,'Tillförd energi'!$B$1:$AI$720,MATCH(H$1,'Tillförd energi'!$B$1:$AQ$1,0),FALSE)</f>
        <v>0</v>
      </c>
      <c r="I190" s="31">
        <f>VLOOKUP($B190,'Tillförd energi'!$B$1:$AI$720,MATCH(I$1,'Tillförd energi'!$B$1:$AQ$1,0),FALSE)</f>
        <v>0</v>
      </c>
      <c r="J190" s="31">
        <f>VLOOKUP($B190,'Tillförd energi'!$B$1:$AI$720,MATCH(J$1,'Tillförd energi'!$B$1:$AQ$1,0),FALSE)</f>
        <v>0</v>
      </c>
      <c r="K190" s="31">
        <f>VLOOKUP($B190,'Tillförd energi'!$B$1:$AI$720,MATCH(K$1,'Tillförd energi'!$B$1:$AQ$1,0),FALSE)</f>
        <v>0</v>
      </c>
      <c r="L190" s="31">
        <f>VLOOKUP($B190,'Tillförd energi'!$B$1:$AI$720,MATCH(L$1,'Tillförd energi'!$B$1:$AQ$1,0),FALSE)</f>
        <v>0</v>
      </c>
      <c r="M190" s="31">
        <f>VLOOKUP($B190,'Tillförd energi'!$B$1:$AI$720,MATCH(M$1,'Tillförd energi'!$B$1:$AQ$1,0),FALSE)</f>
        <v>0</v>
      </c>
      <c r="N190" s="31">
        <f>VLOOKUP($B190,'Tillförd energi'!$B$1:$AI$720,MATCH(N$1,'Tillförd energi'!$B$1:$AQ$1,0),FALSE)</f>
        <v>0</v>
      </c>
      <c r="O190" s="31">
        <f>VLOOKUP($B190,'Tillförd energi'!$B$1:$AI$720,MATCH(O$1,'Tillförd energi'!$B$1:$AQ$1,0),FALSE)</f>
        <v>0</v>
      </c>
      <c r="P190" s="31">
        <f>VLOOKUP($B190,'Tillförd energi'!$B$1:$AI$720,MATCH(P$1,'Tillförd energi'!$B$1:$AQ$1,0),FALSE)</f>
        <v>24.561</v>
      </c>
      <c r="Q190" s="31">
        <f>VLOOKUP($B190,'Tillförd energi'!$B$1:$AI$720,MATCH(Q$1,'Tillförd energi'!$B$1:$AQ$1,0),FALSE)</f>
        <v>0</v>
      </c>
      <c r="R190" s="31">
        <f>VLOOKUP($B190,'Tillförd energi'!$B$1:$AI$720,MATCH(R$1,'Tillförd energi'!$B$1:$AQ$1,0),FALSE)</f>
        <v>0.69399999999999995</v>
      </c>
      <c r="S190" s="31">
        <f>VLOOKUP($B190,'Tillförd energi'!$B$1:$AI$720,MATCH(S$1,'Tillförd energi'!$B$1:$AQ$1,0),FALSE)</f>
        <v>0</v>
      </c>
      <c r="T190" s="31">
        <f>VLOOKUP($B190,'Tillförd energi'!$B$1:$AI$720,MATCH(T$1,'Tillförd energi'!$B$1:$AQ$1,0),FALSE)</f>
        <v>0</v>
      </c>
      <c r="U190" s="31">
        <f>VLOOKUP($B190,'Tillförd energi'!$B$1:$AI$720,MATCH(U$1,'Tillförd energi'!$B$1:$AQ$1,0),FALSE)</f>
        <v>0</v>
      </c>
      <c r="V190" s="31">
        <f>VLOOKUP($B190,'Tillförd energi'!$B$1:$AI$720,MATCH(V$1,'Tillförd energi'!$B$1:$AQ$1,0),FALSE)</f>
        <v>0</v>
      </c>
      <c r="W190" s="31">
        <f>VLOOKUP($B190,'Tillförd energi'!$B$1:$AI$720,MATCH(W$1,'Tillförd energi'!$B$1:$AQ$1,0),FALSE)</f>
        <v>0</v>
      </c>
      <c r="X190" s="31">
        <f>VLOOKUP($B190,'Tillförd energi'!$B$1:$AI$720,MATCH(X$1,'Tillförd energi'!$B$1:$AQ$1,0),FALSE)</f>
        <v>0</v>
      </c>
      <c r="Y190" s="31">
        <f>VLOOKUP($B190,'Tillförd energi'!$B$1:$AI$720,MATCH(Y$1,'Tillförd energi'!$B$1:$AQ$1,0),FALSE)</f>
        <v>0</v>
      </c>
      <c r="Z190" s="31">
        <f>VLOOKUP($B190,'Tillförd energi'!$B$1:$AI$720,MATCH(Z$1,'Tillförd energi'!$B$1:$AQ$1,0),FALSE)</f>
        <v>0</v>
      </c>
      <c r="AA190" s="31">
        <f>VLOOKUP($B190,'Tillförd energi'!$B$1:$AI$720,MATCH(AA$1,'Tillförd energi'!$B$1:$AQ$1,0),FALSE)</f>
        <v>0</v>
      </c>
      <c r="AB190" s="31">
        <f>VLOOKUP($B190,'Tillförd energi'!$B$1:$AI$720,MATCH(AB$1,'Tillförd energi'!$B$1:$AQ$1,0),FALSE)</f>
        <v>0</v>
      </c>
      <c r="AC190" s="31">
        <f>VLOOKUP($B190,'Tillförd energi'!$B$1:$AI$720,MATCH(AC$1,'Tillförd energi'!$B$1:$AQ$1,0),FALSE)</f>
        <v>0</v>
      </c>
      <c r="AD190" s="31">
        <f>VLOOKUP($B190,'Tillförd energi'!$B$1:$AI$720,MATCH(AD$1,'Tillförd energi'!$B$1:$AQ$1,0),FALSE)</f>
        <v>1.361</v>
      </c>
      <c r="AE190" s="31">
        <f>VLOOKUP($B190,'Tillförd energi'!$B$1:$AI$720,MATCH(AE$1,'Tillförd energi'!$B$1:$AQ$1,0),FALSE)</f>
        <v>0</v>
      </c>
      <c r="AF190" s="31">
        <f>VLOOKUP($B190,'Tillförd energi'!$B$1:$AI$720,MATCH(AF$1,'Tillförd energi'!$B$1:$AQ$1,0),FALSE)</f>
        <v>0.71299999999999997</v>
      </c>
      <c r="AG190" s="31">
        <f>IFERROR(VLOOKUP(B190,Miljö!$B$1:$AC$550,MATCH("Köpt mängd produktionsspecifik fjärrvärme:",Miljö!$B$1:$AC$1,0),FALSE)/1,0)</f>
        <v>0</v>
      </c>
      <c r="AI190" s="31">
        <f t="shared" si="46"/>
        <v>28.272000000000002</v>
      </c>
      <c r="AJ190" s="31">
        <f t="shared" si="47"/>
        <v>28.272000000000002</v>
      </c>
      <c r="AK190" s="31">
        <f>IF(ISERROR(1/VLOOKUP($B190,Leveranser!$B$1:$S$499,MATCH("Såld värme (GWh)",Leveranser!$B$1:$S$1,0),FALSE)),"",VLOOKUP($B190,Leveranser!$B$1:$S$499,MATCH("Såld värme (GWh)",Leveranser!$B$1:$S$1,0),FALSE))</f>
        <v>21.033999999999999</v>
      </c>
      <c r="AL190" s="31">
        <f>VLOOKUP($B190,Leveranser!$B$1:$Y$499,MATCH("Totalt såld fjärrvärme till andra fjärrvärmeföretag",Leveranser!$B$1:$AA$1,0),FALSE)</f>
        <v>0</v>
      </c>
      <c r="AM190" s="31">
        <f>IF(ISERROR(1/VLOOKUP($B190,Miljö!$B$1:$S$500,MATCH("Såld mängd produktionsspecifik fjärrvärme (GWh)",Miljö!$B$1:$R$1,0),FALSE)),0,VLOOKUP($B190,Miljö!$B$1:$S$500,MATCH("Såld mängd produktionsspecifik fjärrvärme (GWh)",Miljö!$B$1:$R$1,0),FALSE))</f>
        <v>0</v>
      </c>
      <c r="AN190" s="32">
        <f t="shared" si="48"/>
        <v>0.74398698358800219</v>
      </c>
      <c r="AP190" s="31" t="str">
        <f>IFERROR(VLOOKUP($B190,Miljövärden!$B$2:$H$550,7,FALSE),"Nej, saknas")</f>
        <v>Ja</v>
      </c>
      <c r="AQ190" s="31" t="str">
        <f>IFERROR(VLOOKUP($B190,Miljövärden!$B$2:$H$551,6,FALSE),"Nej, saknas")</f>
        <v>Ja</v>
      </c>
      <c r="AU190" s="31">
        <f t="shared" si="49"/>
        <v>0.71299999999999997</v>
      </c>
      <c r="AV190" s="31">
        <f t="shared" si="50"/>
        <v>0</v>
      </c>
      <c r="AW190" s="31">
        <f t="shared" si="51"/>
        <v>24.561</v>
      </c>
      <c r="AX190" s="31">
        <f t="shared" si="52"/>
        <v>0.69399999999999995</v>
      </c>
      <c r="AZ190" s="31">
        <f t="shared" si="53"/>
        <v>25.254999999999999</v>
      </c>
      <c r="BC190" s="31">
        <f t="shared" si="54"/>
        <v>0.94300000000000006</v>
      </c>
      <c r="BD190" s="31">
        <f t="shared" si="55"/>
        <v>0</v>
      </c>
      <c r="BE190" s="31">
        <f t="shared" si="56"/>
        <v>25.254999999999999</v>
      </c>
      <c r="BF190" s="31">
        <f t="shared" si="57"/>
        <v>1.361</v>
      </c>
      <c r="BG190" s="31">
        <f t="shared" si="58"/>
        <v>0.71299999999999997</v>
      </c>
      <c r="BH190" s="31">
        <f>VLOOKUP(B190,Miljö!$B$1:$BX$482,MATCH("Fossilandel för ursprungspecificerad el ()",Miljö!$B$1:$I$1,0),FALSE)</f>
        <v>0</v>
      </c>
      <c r="BI190" s="31">
        <f>VLOOKUP(B190,Miljö!$B$1:$BX$482,MATCH("Kärnkraftsandel för ursprungsspecificerad el ()",Miljö!$B$1:$O$1,0),FALSE)</f>
        <v>0</v>
      </c>
      <c r="BJ190" s="31">
        <f t="shared" si="59"/>
        <v>0</v>
      </c>
      <c r="BK190" s="31" t="str">
        <f>VLOOKUP(B190,Miljö!$B$1:$P$482,MATCH("Fossil andel i procent (%)",Miljö!$B$1:$P$1,0),FALSE)</f>
        <v>ET</v>
      </c>
      <c r="BL190" s="31">
        <f t="shared" si="60"/>
        <v>28.272000000000002</v>
      </c>
      <c r="BO190" s="32">
        <f t="shared" si="61"/>
        <v>3.335455574419921E-2</v>
      </c>
      <c r="BP190" s="32">
        <f t="shared" si="62"/>
        <v>0</v>
      </c>
      <c r="BQ190" s="32">
        <f t="shared" si="63"/>
        <v>0.91850594227504234</v>
      </c>
      <c r="BR190" s="32">
        <f t="shared" si="64"/>
        <v>4.8139501980758344E-2</v>
      </c>
      <c r="BT190" s="62">
        <f t="shared" si="65"/>
        <v>0.99999999999999989</v>
      </c>
      <c r="BW190" s="32">
        <f>IF(AP190="Ja",VLOOKUP(B190,Miljövärden!$B$2:$H$551,MATCH("Total andel fossilt",Miljövärden!$B$2:$H$2,0),FALSE),"")</f>
        <v>3.3354599999999998E-2</v>
      </c>
      <c r="BX190" s="62">
        <f t="shared" si="66"/>
        <v>4.4255800787929012E-8</v>
      </c>
      <c r="BZ190" s="31">
        <f t="shared" si="67"/>
        <v>4.4255800787929012E-8</v>
      </c>
      <c r="CA190" s="32">
        <f t="shared" si="68"/>
        <v>0</v>
      </c>
    </row>
    <row r="191" spans="1:79" x14ac:dyDescent="0.45">
      <c r="A191" s="31" t="s">
        <v>418</v>
      </c>
      <c r="B191" s="31" t="s">
        <v>97</v>
      </c>
      <c r="C191" s="31">
        <f>VLOOKUP($B191,'Tillförd energi'!$B$1:$AI$720,MATCH(C$1,'Tillförd energi'!$B$1:$AQ$1,0),FALSE)</f>
        <v>0</v>
      </c>
      <c r="D191" s="31">
        <f>VLOOKUP($B191,'Tillförd energi'!$B$1:$AI$720,MATCH(D$1,'Tillförd energi'!$B$1:$AQ$1,0),FALSE)</f>
        <v>5.8999999999999997E-2</v>
      </c>
      <c r="E191" s="31">
        <f>VLOOKUP($B191,'Tillförd energi'!$B$1:$AI$720,MATCH(E$1,'Tillförd energi'!$B$1:$AQ$1,0),FALSE)</f>
        <v>0</v>
      </c>
      <c r="F191" s="31">
        <f>VLOOKUP($B191,'Tillförd energi'!$B$1:$AI$720,MATCH(F$1,'Tillförd energi'!$B$1:$AQ$1,0),FALSE)</f>
        <v>0</v>
      </c>
      <c r="G191" s="31">
        <f>VLOOKUP($B191,'Tillförd energi'!$B$1:$AI$720,MATCH(G$1,'Tillförd energi'!$B$1:$AQ$1,0),FALSE)</f>
        <v>0</v>
      </c>
      <c r="H191" s="31">
        <f>VLOOKUP($B191,'Tillförd energi'!$B$1:$AI$720,MATCH(H$1,'Tillförd energi'!$B$1:$AQ$1,0),FALSE)</f>
        <v>0</v>
      </c>
      <c r="I191" s="31">
        <f>VLOOKUP($B191,'Tillförd energi'!$B$1:$AI$720,MATCH(I$1,'Tillförd energi'!$B$1:$AQ$1,0),FALSE)</f>
        <v>0</v>
      </c>
      <c r="J191" s="31">
        <f>VLOOKUP($B191,'Tillförd energi'!$B$1:$AI$720,MATCH(J$1,'Tillförd energi'!$B$1:$AQ$1,0),FALSE)</f>
        <v>0</v>
      </c>
      <c r="K191" s="31">
        <f>VLOOKUP($B191,'Tillförd energi'!$B$1:$AI$720,MATCH(K$1,'Tillförd energi'!$B$1:$AQ$1,0),FALSE)</f>
        <v>0</v>
      </c>
      <c r="L191" s="31">
        <f>VLOOKUP($B191,'Tillförd energi'!$B$1:$AI$720,MATCH(L$1,'Tillförd energi'!$B$1:$AQ$1,0),FALSE)</f>
        <v>0</v>
      </c>
      <c r="M191" s="31">
        <f>VLOOKUP($B191,'Tillförd energi'!$B$1:$AI$720,MATCH(M$1,'Tillförd energi'!$B$1:$AQ$1,0),FALSE)</f>
        <v>0</v>
      </c>
      <c r="N191" s="31">
        <f>VLOOKUP($B191,'Tillförd energi'!$B$1:$AI$720,MATCH(N$1,'Tillförd energi'!$B$1:$AQ$1,0),FALSE)</f>
        <v>0</v>
      </c>
      <c r="O191" s="31">
        <f>VLOOKUP($B191,'Tillförd energi'!$B$1:$AI$720,MATCH(O$1,'Tillförd energi'!$B$1:$AQ$1,0),FALSE)</f>
        <v>0</v>
      </c>
      <c r="P191" s="31">
        <f>VLOOKUP($B191,'Tillförd energi'!$B$1:$AI$720,MATCH(P$1,'Tillförd energi'!$B$1:$AQ$1,0),FALSE)</f>
        <v>37.481999999999999</v>
      </c>
      <c r="Q191" s="31">
        <f>VLOOKUP($B191,'Tillförd energi'!$B$1:$AI$720,MATCH(Q$1,'Tillförd energi'!$B$1:$AQ$1,0),FALSE)</f>
        <v>0</v>
      </c>
      <c r="R191" s="31">
        <f>VLOOKUP($B191,'Tillförd energi'!$B$1:$AI$720,MATCH(R$1,'Tillförd energi'!$B$1:$AQ$1,0),FALSE)</f>
        <v>0</v>
      </c>
      <c r="S191" s="31">
        <f>VLOOKUP($B191,'Tillförd energi'!$B$1:$AI$720,MATCH(S$1,'Tillförd energi'!$B$1:$AQ$1,0),FALSE)</f>
        <v>0</v>
      </c>
      <c r="T191" s="31">
        <f>VLOOKUP($B191,'Tillförd energi'!$B$1:$AI$720,MATCH(T$1,'Tillförd energi'!$B$1:$AQ$1,0),FALSE)</f>
        <v>0</v>
      </c>
      <c r="U191" s="31">
        <f>VLOOKUP($B191,'Tillförd energi'!$B$1:$AI$720,MATCH(U$1,'Tillförd energi'!$B$1:$AQ$1,0),FALSE)</f>
        <v>0</v>
      </c>
      <c r="V191" s="31">
        <f>VLOOKUP($B191,'Tillförd energi'!$B$1:$AI$720,MATCH(V$1,'Tillförd energi'!$B$1:$AQ$1,0),FALSE)</f>
        <v>0</v>
      </c>
      <c r="W191" s="31">
        <f>VLOOKUP($B191,'Tillförd energi'!$B$1:$AI$720,MATCH(W$1,'Tillförd energi'!$B$1:$AQ$1,0),FALSE)</f>
        <v>0</v>
      </c>
      <c r="X191" s="31">
        <f>VLOOKUP($B191,'Tillförd energi'!$B$1:$AI$720,MATCH(X$1,'Tillförd energi'!$B$1:$AQ$1,0),FALSE)</f>
        <v>0</v>
      </c>
      <c r="Y191" s="31">
        <f>VLOOKUP($B191,'Tillförd energi'!$B$1:$AI$720,MATCH(Y$1,'Tillförd energi'!$B$1:$AQ$1,0),FALSE)</f>
        <v>0</v>
      </c>
      <c r="Z191" s="31">
        <f>VLOOKUP($B191,'Tillförd energi'!$B$1:$AI$720,MATCH(Z$1,'Tillförd energi'!$B$1:$AQ$1,0),FALSE)</f>
        <v>0</v>
      </c>
      <c r="AA191" s="31">
        <f>VLOOKUP($B191,'Tillförd energi'!$B$1:$AI$720,MATCH(AA$1,'Tillförd energi'!$B$1:$AQ$1,0),FALSE)</f>
        <v>0</v>
      </c>
      <c r="AB191" s="31">
        <f>VLOOKUP($B191,'Tillförd energi'!$B$1:$AI$720,MATCH(AB$1,'Tillförd energi'!$B$1:$AQ$1,0),FALSE)</f>
        <v>0</v>
      </c>
      <c r="AC191" s="31">
        <f>VLOOKUP($B191,'Tillförd energi'!$B$1:$AI$720,MATCH(AC$1,'Tillförd energi'!$B$1:$AQ$1,0),FALSE)</f>
        <v>0</v>
      </c>
      <c r="AD191" s="31">
        <f>VLOOKUP($B191,'Tillförd energi'!$B$1:$AI$720,MATCH(AD$1,'Tillförd energi'!$B$1:$AQ$1,0),FALSE)</f>
        <v>0</v>
      </c>
      <c r="AE191" s="31">
        <f>VLOOKUP($B191,'Tillförd energi'!$B$1:$AI$720,MATCH(AE$1,'Tillförd energi'!$B$1:$AQ$1,0),FALSE)</f>
        <v>0</v>
      </c>
      <c r="AF191" s="31">
        <f>VLOOKUP($B191,'Tillförd energi'!$B$1:$AI$720,MATCH(AF$1,'Tillförd energi'!$B$1:$AQ$1,0),FALSE)</f>
        <v>0.64300000000000002</v>
      </c>
      <c r="AG191" s="31">
        <f>IFERROR(VLOOKUP(B191,Miljö!$B$1:$AC$550,MATCH("Köpt mängd produktionsspecifik fjärrvärme:",Miljö!$B$1:$AC$1,0),FALSE)/1,0)</f>
        <v>0</v>
      </c>
      <c r="AI191" s="31">
        <f t="shared" si="46"/>
        <v>38.183999999999997</v>
      </c>
      <c r="AJ191" s="31">
        <f t="shared" si="47"/>
        <v>38.183999999999997</v>
      </c>
      <c r="AK191" s="31">
        <f>IF(ISERROR(1/VLOOKUP($B191,Leveranser!$B$1:$S$499,MATCH("Såld värme (GWh)",Leveranser!$B$1:$S$1,0),FALSE)),"",VLOOKUP($B191,Leveranser!$B$1:$S$499,MATCH("Såld värme (GWh)",Leveranser!$B$1:$S$1,0),FALSE))</f>
        <v>31.111999999999998</v>
      </c>
      <c r="AL191" s="31">
        <f>VLOOKUP($B191,Leveranser!$B$1:$Y$499,MATCH("Totalt såld fjärrvärme till andra fjärrvärmeföretag",Leveranser!$B$1:$AA$1,0),FALSE)</f>
        <v>0</v>
      </c>
      <c r="AM191" s="31">
        <f>IF(ISERROR(1/VLOOKUP($B191,Miljö!$B$1:$S$500,MATCH("Såld mängd produktionsspecifik fjärrvärme (GWh)",Miljö!$B$1:$R$1,0),FALSE)),0,VLOOKUP($B191,Miljö!$B$1:$S$500,MATCH("Såld mängd produktionsspecifik fjärrvärme (GWh)",Miljö!$B$1:$R$1,0),FALSE))</f>
        <v>0</v>
      </c>
      <c r="AN191" s="32">
        <f t="shared" si="48"/>
        <v>0.81479153572176832</v>
      </c>
      <c r="AP191" s="31" t="str">
        <f>IFERROR(VLOOKUP($B191,Miljövärden!$B$2:$H$550,7,FALSE),"Nej, saknas")</f>
        <v>Ja</v>
      </c>
      <c r="AQ191" s="31" t="str">
        <f>IFERROR(VLOOKUP($B191,Miljövärden!$B$2:$H$551,6,FALSE),"Nej, saknas")</f>
        <v>Ja</v>
      </c>
      <c r="AU191" s="31">
        <f t="shared" si="49"/>
        <v>0.64300000000000002</v>
      </c>
      <c r="AV191" s="31">
        <f t="shared" si="50"/>
        <v>0</v>
      </c>
      <c r="AW191" s="31">
        <f t="shared" si="51"/>
        <v>37.481999999999999</v>
      </c>
      <c r="AX191" s="31">
        <f t="shared" si="52"/>
        <v>0</v>
      </c>
      <c r="AZ191" s="31">
        <f t="shared" si="53"/>
        <v>37.481999999999999</v>
      </c>
      <c r="BC191" s="31">
        <f t="shared" si="54"/>
        <v>5.8999999999999997E-2</v>
      </c>
      <c r="BD191" s="31">
        <f t="shared" si="55"/>
        <v>0</v>
      </c>
      <c r="BE191" s="31">
        <f t="shared" si="56"/>
        <v>37.481999999999999</v>
      </c>
      <c r="BF191" s="31">
        <f t="shared" si="57"/>
        <v>0</v>
      </c>
      <c r="BG191" s="31">
        <f t="shared" si="58"/>
        <v>0.64300000000000002</v>
      </c>
      <c r="BH191" s="31">
        <f>VLOOKUP(B191,Miljö!$B$1:$BX$482,MATCH("Fossilandel för ursprungspecificerad el ()",Miljö!$B$1:$I$1,0),FALSE)</f>
        <v>0</v>
      </c>
      <c r="BI191" s="31">
        <f>VLOOKUP(B191,Miljö!$B$1:$BX$482,MATCH("Kärnkraftsandel för ursprungsspecificerad el ()",Miljö!$B$1:$O$1,0),FALSE)</f>
        <v>0</v>
      </c>
      <c r="BJ191" s="31">
        <f t="shared" si="59"/>
        <v>0</v>
      </c>
      <c r="BK191" s="31" t="str">
        <f>VLOOKUP(B191,Miljö!$B$1:$P$482,MATCH("Fossil andel i procent (%)",Miljö!$B$1:$P$1,0),FALSE)</f>
        <v>ET</v>
      </c>
      <c r="BL191" s="31">
        <f t="shared" si="60"/>
        <v>38.183999999999997</v>
      </c>
      <c r="BO191" s="32">
        <f t="shared" si="61"/>
        <v>1.5451498009637545E-3</v>
      </c>
      <c r="BP191" s="32">
        <f t="shared" si="62"/>
        <v>0</v>
      </c>
      <c r="BQ191" s="32">
        <f t="shared" si="63"/>
        <v>0.99845485019903635</v>
      </c>
      <c r="BR191" s="32">
        <f t="shared" si="64"/>
        <v>0</v>
      </c>
      <c r="BT191" s="62">
        <f t="shared" si="65"/>
        <v>1</v>
      </c>
      <c r="BW191" s="32">
        <f>IF(AP191="Ja",VLOOKUP(B191,Miljövärden!$B$2:$H$551,MATCH("Total andel fossilt",Miljövärden!$B$2:$H$2,0),FALSE),"")</f>
        <v>1.5451499999999999E-3</v>
      </c>
      <c r="BX191" s="62">
        <f t="shared" si="66"/>
        <v>1.9903624538450404E-10</v>
      </c>
      <c r="BZ191" s="31">
        <f t="shared" si="67"/>
        <v>1.9903624538450404E-10</v>
      </c>
      <c r="CA191" s="32">
        <f t="shared" si="68"/>
        <v>0</v>
      </c>
    </row>
    <row r="192" spans="1:79" x14ac:dyDescent="0.45">
      <c r="A192" s="31" t="s">
        <v>418</v>
      </c>
      <c r="B192" s="31" t="s">
        <v>99</v>
      </c>
      <c r="C192" s="31">
        <f>VLOOKUP($B192,'Tillförd energi'!$B$1:$AI$720,MATCH(C$1,'Tillförd energi'!$B$1:$AQ$1,0),FALSE)</f>
        <v>0</v>
      </c>
      <c r="D192" s="31">
        <f>VLOOKUP($B192,'Tillförd energi'!$B$1:$AI$720,MATCH(D$1,'Tillförd energi'!$B$1:$AQ$1,0),FALSE)</f>
        <v>0.79700000000000004</v>
      </c>
      <c r="E192" s="31">
        <f>VLOOKUP($B192,'Tillförd energi'!$B$1:$AI$720,MATCH(E$1,'Tillförd energi'!$B$1:$AQ$1,0),FALSE)</f>
        <v>0</v>
      </c>
      <c r="F192" s="31">
        <f>VLOOKUP($B192,'Tillförd energi'!$B$1:$AI$720,MATCH(F$1,'Tillförd energi'!$B$1:$AQ$1,0),FALSE)</f>
        <v>0</v>
      </c>
      <c r="G192" s="31">
        <f>VLOOKUP($B192,'Tillförd energi'!$B$1:$AI$720,MATCH(G$1,'Tillförd energi'!$B$1:$AQ$1,0),FALSE)</f>
        <v>0</v>
      </c>
      <c r="H192" s="31">
        <f>VLOOKUP($B192,'Tillförd energi'!$B$1:$AI$720,MATCH(H$1,'Tillförd energi'!$B$1:$AQ$1,0),FALSE)</f>
        <v>0</v>
      </c>
      <c r="I192" s="31">
        <f>VLOOKUP($B192,'Tillförd energi'!$B$1:$AI$720,MATCH(I$1,'Tillförd energi'!$B$1:$AQ$1,0),FALSE)</f>
        <v>0</v>
      </c>
      <c r="J192" s="31">
        <f>VLOOKUP($B192,'Tillförd energi'!$B$1:$AI$720,MATCH(J$1,'Tillförd energi'!$B$1:$AQ$1,0),FALSE)</f>
        <v>0</v>
      </c>
      <c r="K192" s="31">
        <f>VLOOKUP($B192,'Tillförd energi'!$B$1:$AI$720,MATCH(K$1,'Tillförd energi'!$B$1:$AQ$1,0),FALSE)</f>
        <v>0</v>
      </c>
      <c r="L192" s="31">
        <f>VLOOKUP($B192,'Tillförd energi'!$B$1:$AI$720,MATCH(L$1,'Tillförd energi'!$B$1:$AQ$1,0),FALSE)</f>
        <v>0</v>
      </c>
      <c r="M192" s="31">
        <f>VLOOKUP($B192,'Tillförd energi'!$B$1:$AI$720,MATCH(M$1,'Tillförd energi'!$B$1:$AQ$1,0),FALSE)</f>
        <v>0</v>
      </c>
      <c r="N192" s="31">
        <f>VLOOKUP($B192,'Tillförd energi'!$B$1:$AI$720,MATCH(N$1,'Tillförd energi'!$B$1:$AQ$1,0),FALSE)</f>
        <v>0</v>
      </c>
      <c r="O192" s="31">
        <f>VLOOKUP($B192,'Tillförd energi'!$B$1:$AI$720,MATCH(O$1,'Tillförd energi'!$B$1:$AQ$1,0),FALSE)</f>
        <v>0</v>
      </c>
      <c r="P192" s="31">
        <f>VLOOKUP($B192,'Tillförd energi'!$B$1:$AI$720,MATCH(P$1,'Tillförd energi'!$B$1:$AQ$1,0),FALSE)</f>
        <v>35.567999999999998</v>
      </c>
      <c r="Q192" s="31">
        <f>VLOOKUP($B192,'Tillförd energi'!$B$1:$AI$720,MATCH(Q$1,'Tillförd energi'!$B$1:$AQ$1,0),FALSE)</f>
        <v>0</v>
      </c>
      <c r="R192" s="31">
        <f>VLOOKUP($B192,'Tillförd energi'!$B$1:$AI$720,MATCH(R$1,'Tillförd energi'!$B$1:$AQ$1,0),FALSE)</f>
        <v>6.5679999999999996</v>
      </c>
      <c r="S192" s="31">
        <f>VLOOKUP($B192,'Tillförd energi'!$B$1:$AI$720,MATCH(S$1,'Tillförd energi'!$B$1:$AQ$1,0),FALSE)</f>
        <v>0</v>
      </c>
      <c r="T192" s="31">
        <f>VLOOKUP($B192,'Tillförd energi'!$B$1:$AI$720,MATCH(T$1,'Tillförd energi'!$B$1:$AQ$1,0),FALSE)</f>
        <v>0</v>
      </c>
      <c r="U192" s="31">
        <f>VLOOKUP($B192,'Tillförd energi'!$B$1:$AI$720,MATCH(U$1,'Tillförd energi'!$B$1:$AQ$1,0),FALSE)</f>
        <v>0</v>
      </c>
      <c r="V192" s="31">
        <f>VLOOKUP($B192,'Tillförd energi'!$B$1:$AI$720,MATCH(V$1,'Tillförd energi'!$B$1:$AQ$1,0),FALSE)</f>
        <v>0</v>
      </c>
      <c r="W192" s="31">
        <f>VLOOKUP($B192,'Tillförd energi'!$B$1:$AI$720,MATCH(W$1,'Tillförd energi'!$B$1:$AQ$1,0),FALSE)</f>
        <v>0</v>
      </c>
      <c r="X192" s="31">
        <f>VLOOKUP($B192,'Tillförd energi'!$B$1:$AI$720,MATCH(X$1,'Tillförd energi'!$B$1:$AQ$1,0),FALSE)</f>
        <v>0</v>
      </c>
      <c r="Y192" s="31">
        <f>VLOOKUP($B192,'Tillförd energi'!$B$1:$AI$720,MATCH(Y$1,'Tillförd energi'!$B$1:$AQ$1,0),FALSE)</f>
        <v>9.2349999999999994</v>
      </c>
      <c r="Z192" s="31">
        <f>VLOOKUP($B192,'Tillförd energi'!$B$1:$AI$720,MATCH(Z$1,'Tillförd energi'!$B$1:$AQ$1,0),FALSE)</f>
        <v>0</v>
      </c>
      <c r="AA192" s="31">
        <f>VLOOKUP($B192,'Tillförd energi'!$B$1:$AI$720,MATCH(AA$1,'Tillförd energi'!$B$1:$AQ$1,0),FALSE)</f>
        <v>0</v>
      </c>
      <c r="AB192" s="31">
        <f>VLOOKUP($B192,'Tillförd energi'!$B$1:$AI$720,MATCH(AB$1,'Tillförd energi'!$B$1:$AQ$1,0),FALSE)</f>
        <v>0</v>
      </c>
      <c r="AC192" s="31">
        <f>VLOOKUP($B192,'Tillförd energi'!$B$1:$AI$720,MATCH(AC$1,'Tillförd energi'!$B$1:$AQ$1,0),FALSE)</f>
        <v>0</v>
      </c>
      <c r="AD192" s="31">
        <f>VLOOKUP($B192,'Tillförd energi'!$B$1:$AI$720,MATCH(AD$1,'Tillförd energi'!$B$1:$AQ$1,0),FALSE)</f>
        <v>0.25600000000000001</v>
      </c>
      <c r="AE192" s="31">
        <f>VLOOKUP($B192,'Tillförd energi'!$B$1:$AI$720,MATCH(AE$1,'Tillförd energi'!$B$1:$AQ$1,0),FALSE)</f>
        <v>0</v>
      </c>
      <c r="AF192" s="31">
        <f>VLOOKUP($B192,'Tillförd energi'!$B$1:$AI$720,MATCH(AF$1,'Tillförd energi'!$B$1:$AQ$1,0),FALSE)</f>
        <v>1.4239999999999999</v>
      </c>
      <c r="AG192" s="31">
        <f>IFERROR(VLOOKUP(B192,Miljö!$B$1:$AC$550,MATCH("Köpt mängd produktionsspecifik fjärrvärme:",Miljö!$B$1:$AC$1,0),FALSE)/1,0)</f>
        <v>0</v>
      </c>
      <c r="AI192" s="31">
        <f t="shared" si="46"/>
        <v>53.847999999999992</v>
      </c>
      <c r="AJ192" s="31">
        <f t="shared" si="47"/>
        <v>53.847999999999992</v>
      </c>
      <c r="AK192" s="31">
        <f>IF(ISERROR(1/VLOOKUP($B192,Leveranser!$B$1:$S$499,MATCH("Såld värme (GWh)",Leveranser!$B$1:$S$1,0),FALSE)),"",VLOOKUP($B192,Leveranser!$B$1:$S$499,MATCH("Såld värme (GWh)",Leveranser!$B$1:$S$1,0),FALSE))</f>
        <v>44.042000000000002</v>
      </c>
      <c r="AL192" s="31">
        <f>VLOOKUP($B192,Leveranser!$B$1:$Y$499,MATCH("Totalt såld fjärrvärme till andra fjärrvärmeföretag",Leveranser!$B$1:$AA$1,0),FALSE)</f>
        <v>0</v>
      </c>
      <c r="AM192" s="31">
        <f>IF(ISERROR(1/VLOOKUP($B192,Miljö!$B$1:$S$500,MATCH("Såld mängd produktionsspecifik fjärrvärme (GWh)",Miljö!$B$1:$R$1,0),FALSE)),0,VLOOKUP($B192,Miljö!$B$1:$S$500,MATCH("Såld mängd produktionsspecifik fjärrvärme (GWh)",Miljö!$B$1:$R$1,0),FALSE))</f>
        <v>0</v>
      </c>
      <c r="AN192" s="32">
        <f t="shared" si="48"/>
        <v>0.81789481503491324</v>
      </c>
      <c r="AP192" s="31" t="str">
        <f>IFERROR(VLOOKUP($B192,Miljövärden!$B$2:$H$550,7,FALSE),"Nej, saknas")</f>
        <v>Ja</v>
      </c>
      <c r="AQ192" s="31" t="str">
        <f>IFERROR(VLOOKUP($B192,Miljövärden!$B$2:$H$551,6,FALSE),"Nej, saknas")</f>
        <v>Ja</v>
      </c>
      <c r="AU192" s="31">
        <f t="shared" si="49"/>
        <v>1.4239999999999999</v>
      </c>
      <c r="AV192" s="31">
        <f t="shared" si="50"/>
        <v>0</v>
      </c>
      <c r="AW192" s="31">
        <f t="shared" si="51"/>
        <v>35.567999999999998</v>
      </c>
      <c r="AX192" s="31">
        <f t="shared" si="52"/>
        <v>6.5679999999999996</v>
      </c>
      <c r="AZ192" s="31">
        <f t="shared" si="53"/>
        <v>42.135999999999996</v>
      </c>
      <c r="BC192" s="31">
        <f t="shared" si="54"/>
        <v>0.79700000000000004</v>
      </c>
      <c r="BD192" s="31">
        <f t="shared" si="55"/>
        <v>9.2349999999999994</v>
      </c>
      <c r="BE192" s="31">
        <f t="shared" si="56"/>
        <v>42.135999999999996</v>
      </c>
      <c r="BF192" s="31">
        <f t="shared" si="57"/>
        <v>0.25600000000000001</v>
      </c>
      <c r="BG192" s="31">
        <f t="shared" si="58"/>
        <v>1.4239999999999999</v>
      </c>
      <c r="BH192" s="31">
        <f>VLOOKUP(B192,Miljö!$B$1:$BX$482,MATCH("Fossilandel för ursprungspecificerad el ()",Miljö!$B$1:$I$1,0),FALSE)</f>
        <v>0</v>
      </c>
      <c r="BI192" s="31">
        <f>VLOOKUP(B192,Miljö!$B$1:$BX$482,MATCH("Kärnkraftsandel för ursprungsspecificerad el ()",Miljö!$B$1:$O$1,0),FALSE)</f>
        <v>0</v>
      </c>
      <c r="BJ192" s="31">
        <f t="shared" si="59"/>
        <v>0</v>
      </c>
      <c r="BK192" s="31" t="str">
        <f>VLOOKUP(B192,Miljö!$B$1:$P$482,MATCH("Fossil andel i procent (%)",Miljö!$B$1:$P$1,0),FALSE)</f>
        <v>ET</v>
      </c>
      <c r="BL192" s="31">
        <f t="shared" si="60"/>
        <v>53.847999999999992</v>
      </c>
      <c r="BO192" s="32">
        <f t="shared" si="61"/>
        <v>1.4800921111276188E-2</v>
      </c>
      <c r="BP192" s="32">
        <f t="shared" si="62"/>
        <v>0.17150126281384639</v>
      </c>
      <c r="BQ192" s="32">
        <f t="shared" si="63"/>
        <v>0.80894369335908489</v>
      </c>
      <c r="BR192" s="32">
        <f t="shared" si="64"/>
        <v>4.7541227157926018E-3</v>
      </c>
      <c r="BT192" s="62">
        <f t="shared" si="65"/>
        <v>1</v>
      </c>
      <c r="BW192" s="32">
        <f>IF(AP192="Ja",VLOOKUP(B192,Miljövärden!$B$2:$H$551,MATCH("Total andel fossilt",Miljövärden!$B$2:$H$2,0),FALSE),"")</f>
        <v>1.4800900000000001E-2</v>
      </c>
      <c r="BX192" s="62">
        <f t="shared" si="66"/>
        <v>-2.111127618727171E-8</v>
      </c>
      <c r="BZ192" s="31">
        <f t="shared" si="67"/>
        <v>-2.111127618727171E-8</v>
      </c>
      <c r="CA192" s="32">
        <f t="shared" si="68"/>
        <v>0</v>
      </c>
    </row>
    <row r="193" spans="1:79" x14ac:dyDescent="0.45">
      <c r="A193" s="31" t="s">
        <v>418</v>
      </c>
      <c r="B193" s="31" t="s">
        <v>101</v>
      </c>
      <c r="C193" s="31">
        <f>VLOOKUP($B193,'Tillförd energi'!$B$1:$AI$720,MATCH(C$1,'Tillförd energi'!$B$1:$AQ$1,0),FALSE)</f>
        <v>0</v>
      </c>
      <c r="D193" s="31">
        <f>VLOOKUP($B193,'Tillförd energi'!$B$1:$AI$720,MATCH(D$1,'Tillförd energi'!$B$1:$AQ$1,0),FALSE)</f>
        <v>2.5999999999999999E-2</v>
      </c>
      <c r="E193" s="31">
        <f>VLOOKUP($B193,'Tillförd energi'!$B$1:$AI$720,MATCH(E$1,'Tillförd energi'!$B$1:$AQ$1,0),FALSE)</f>
        <v>0</v>
      </c>
      <c r="F193" s="31">
        <f>VLOOKUP($B193,'Tillförd energi'!$B$1:$AI$720,MATCH(F$1,'Tillförd energi'!$B$1:$AQ$1,0),FALSE)</f>
        <v>0</v>
      </c>
      <c r="G193" s="31">
        <f>VLOOKUP($B193,'Tillförd energi'!$B$1:$AI$720,MATCH(G$1,'Tillförd energi'!$B$1:$AQ$1,0),FALSE)</f>
        <v>0</v>
      </c>
      <c r="H193" s="31">
        <f>VLOOKUP($B193,'Tillförd energi'!$B$1:$AI$720,MATCH(H$1,'Tillförd energi'!$B$1:$AQ$1,0),FALSE)</f>
        <v>0</v>
      </c>
      <c r="I193" s="31">
        <f>VLOOKUP($B193,'Tillförd energi'!$B$1:$AI$720,MATCH(I$1,'Tillförd energi'!$B$1:$AQ$1,0),FALSE)</f>
        <v>0</v>
      </c>
      <c r="J193" s="31">
        <f>VLOOKUP($B193,'Tillförd energi'!$B$1:$AI$720,MATCH(J$1,'Tillförd energi'!$B$1:$AQ$1,0),FALSE)</f>
        <v>0</v>
      </c>
      <c r="K193" s="31">
        <f>VLOOKUP($B193,'Tillförd energi'!$B$1:$AI$720,MATCH(K$1,'Tillförd energi'!$B$1:$AQ$1,0),FALSE)</f>
        <v>0</v>
      </c>
      <c r="L193" s="31">
        <f>VLOOKUP($B193,'Tillförd energi'!$B$1:$AI$720,MATCH(L$1,'Tillförd energi'!$B$1:$AQ$1,0),FALSE)</f>
        <v>0</v>
      </c>
      <c r="M193" s="31">
        <f>VLOOKUP($B193,'Tillförd energi'!$B$1:$AI$720,MATCH(M$1,'Tillförd energi'!$B$1:$AQ$1,0),FALSE)</f>
        <v>0</v>
      </c>
      <c r="N193" s="31">
        <f>VLOOKUP($B193,'Tillförd energi'!$B$1:$AI$720,MATCH(N$1,'Tillförd energi'!$B$1:$AQ$1,0),FALSE)</f>
        <v>0</v>
      </c>
      <c r="O193" s="31">
        <f>VLOOKUP($B193,'Tillförd energi'!$B$1:$AI$720,MATCH(O$1,'Tillförd energi'!$B$1:$AQ$1,0),FALSE)</f>
        <v>0</v>
      </c>
      <c r="P193" s="31">
        <f>VLOOKUP($B193,'Tillförd energi'!$B$1:$AI$720,MATCH(P$1,'Tillförd energi'!$B$1:$AQ$1,0),FALSE)</f>
        <v>0</v>
      </c>
      <c r="Q193" s="31">
        <f>VLOOKUP($B193,'Tillförd energi'!$B$1:$AI$720,MATCH(Q$1,'Tillförd energi'!$B$1:$AQ$1,0),FALSE)</f>
        <v>0</v>
      </c>
      <c r="R193" s="31">
        <f>VLOOKUP($B193,'Tillförd energi'!$B$1:$AI$720,MATCH(R$1,'Tillförd energi'!$B$1:$AQ$1,0),FALSE)</f>
        <v>10.589</v>
      </c>
      <c r="S193" s="31">
        <f>VLOOKUP($B193,'Tillförd energi'!$B$1:$AI$720,MATCH(S$1,'Tillförd energi'!$B$1:$AQ$1,0),FALSE)</f>
        <v>0</v>
      </c>
      <c r="T193" s="31">
        <f>VLOOKUP($B193,'Tillförd energi'!$B$1:$AI$720,MATCH(T$1,'Tillförd energi'!$B$1:$AQ$1,0),FALSE)</f>
        <v>0</v>
      </c>
      <c r="U193" s="31">
        <f>VLOOKUP($B193,'Tillförd energi'!$B$1:$AI$720,MATCH(U$1,'Tillförd energi'!$B$1:$AQ$1,0),FALSE)</f>
        <v>0</v>
      </c>
      <c r="V193" s="31">
        <f>VLOOKUP($B193,'Tillförd energi'!$B$1:$AI$720,MATCH(V$1,'Tillförd energi'!$B$1:$AQ$1,0),FALSE)</f>
        <v>0</v>
      </c>
      <c r="W193" s="31">
        <f>VLOOKUP($B193,'Tillförd energi'!$B$1:$AI$720,MATCH(W$1,'Tillförd energi'!$B$1:$AQ$1,0),FALSE)</f>
        <v>0</v>
      </c>
      <c r="X193" s="31">
        <f>VLOOKUP($B193,'Tillförd energi'!$B$1:$AI$720,MATCH(X$1,'Tillförd energi'!$B$1:$AQ$1,0),FALSE)</f>
        <v>0</v>
      </c>
      <c r="Y193" s="31">
        <f>VLOOKUP($B193,'Tillförd energi'!$B$1:$AI$720,MATCH(Y$1,'Tillförd energi'!$B$1:$AQ$1,0),FALSE)</f>
        <v>0</v>
      </c>
      <c r="Z193" s="31">
        <f>VLOOKUP($B193,'Tillförd energi'!$B$1:$AI$720,MATCH(Z$1,'Tillförd energi'!$B$1:$AQ$1,0),FALSE)</f>
        <v>0</v>
      </c>
      <c r="AA193" s="31">
        <f>VLOOKUP($B193,'Tillförd energi'!$B$1:$AI$720,MATCH(AA$1,'Tillförd energi'!$B$1:$AQ$1,0),FALSE)</f>
        <v>0</v>
      </c>
      <c r="AB193" s="31">
        <f>VLOOKUP($B193,'Tillförd energi'!$B$1:$AI$720,MATCH(AB$1,'Tillförd energi'!$B$1:$AQ$1,0),FALSE)</f>
        <v>0</v>
      </c>
      <c r="AC193" s="31">
        <f>VLOOKUP($B193,'Tillförd energi'!$B$1:$AI$720,MATCH(AC$1,'Tillförd energi'!$B$1:$AQ$1,0),FALSE)</f>
        <v>0</v>
      </c>
      <c r="AD193" s="31">
        <f>VLOOKUP($B193,'Tillförd energi'!$B$1:$AI$720,MATCH(AD$1,'Tillförd energi'!$B$1:$AQ$1,0),FALSE)</f>
        <v>0</v>
      </c>
      <c r="AE193" s="31">
        <f>VLOOKUP($B193,'Tillförd energi'!$B$1:$AI$720,MATCH(AE$1,'Tillförd energi'!$B$1:$AQ$1,0),FALSE)</f>
        <v>0</v>
      </c>
      <c r="AF193" s="31">
        <f>VLOOKUP($B193,'Tillförd energi'!$B$1:$AI$720,MATCH(AF$1,'Tillförd energi'!$B$1:$AQ$1,0),FALSE)</f>
        <v>0.11799999999999999</v>
      </c>
      <c r="AG193" s="31">
        <f>IFERROR(VLOOKUP(B193,Miljö!$B$1:$AC$550,MATCH("Köpt mängd produktionsspecifik fjärrvärme:",Miljö!$B$1:$AC$1,0),FALSE)/1,0)</f>
        <v>0</v>
      </c>
      <c r="AI193" s="31">
        <f t="shared" si="46"/>
        <v>10.733000000000001</v>
      </c>
      <c r="AJ193" s="31">
        <f t="shared" si="47"/>
        <v>10.733000000000001</v>
      </c>
      <c r="AK193" s="31">
        <f>IF(ISERROR(1/VLOOKUP($B193,Leveranser!$B$1:$S$499,MATCH("Såld värme (GWh)",Leveranser!$B$1:$S$1,0),FALSE)),"",VLOOKUP($B193,Leveranser!$B$1:$S$499,MATCH("Såld värme (GWh)",Leveranser!$B$1:$S$1,0),FALSE))</f>
        <v>8.3810000000000002</v>
      </c>
      <c r="AL193" s="31">
        <f>VLOOKUP($B193,Leveranser!$B$1:$Y$499,MATCH("Totalt såld fjärrvärme till andra fjärrvärmeföretag",Leveranser!$B$1:$AA$1,0),FALSE)</f>
        <v>0</v>
      </c>
      <c r="AM193" s="31">
        <f>IF(ISERROR(1/VLOOKUP($B193,Miljö!$B$1:$S$500,MATCH("Såld mängd produktionsspecifik fjärrvärme (GWh)",Miljö!$B$1:$R$1,0),FALSE)),0,VLOOKUP($B193,Miljö!$B$1:$S$500,MATCH("Såld mängd produktionsspecifik fjärrvärme (GWh)",Miljö!$B$1:$R$1,0),FALSE))</f>
        <v>0</v>
      </c>
      <c r="AN193" s="32">
        <f t="shared" si="48"/>
        <v>0.78086275971303454</v>
      </c>
      <c r="AP193" s="31" t="str">
        <f>IFERROR(VLOOKUP($B193,Miljövärden!$B$2:$H$550,7,FALSE),"Nej, saknas")</f>
        <v>Ja</v>
      </c>
      <c r="AQ193" s="31" t="str">
        <f>IFERROR(VLOOKUP($B193,Miljövärden!$B$2:$H$551,6,FALSE),"Nej, saknas")</f>
        <v>Ja</v>
      </c>
      <c r="AU193" s="31">
        <f t="shared" si="49"/>
        <v>0.11799999999999999</v>
      </c>
      <c r="AV193" s="31">
        <f t="shared" si="50"/>
        <v>0</v>
      </c>
      <c r="AW193" s="31">
        <f t="shared" si="51"/>
        <v>0</v>
      </c>
      <c r="AX193" s="31">
        <f t="shared" si="52"/>
        <v>10.589</v>
      </c>
      <c r="AZ193" s="31">
        <f t="shared" si="53"/>
        <v>10.589</v>
      </c>
      <c r="BC193" s="31">
        <f t="shared" si="54"/>
        <v>2.5999999999999999E-2</v>
      </c>
      <c r="BD193" s="31">
        <f t="shared" si="55"/>
        <v>0</v>
      </c>
      <c r="BE193" s="31">
        <f t="shared" si="56"/>
        <v>10.589</v>
      </c>
      <c r="BF193" s="31">
        <f t="shared" si="57"/>
        <v>0</v>
      </c>
      <c r="BG193" s="31">
        <f t="shared" si="58"/>
        <v>0.11799999999999999</v>
      </c>
      <c r="BH193" s="31">
        <f>VLOOKUP(B193,Miljö!$B$1:$BX$482,MATCH("Fossilandel för ursprungspecificerad el ()",Miljö!$B$1:$I$1,0),FALSE)</f>
        <v>0</v>
      </c>
      <c r="BI193" s="31">
        <f>VLOOKUP(B193,Miljö!$B$1:$BX$482,MATCH("Kärnkraftsandel för ursprungsspecificerad el ()",Miljö!$B$1:$O$1,0),FALSE)</f>
        <v>0</v>
      </c>
      <c r="BJ193" s="31">
        <f t="shared" si="59"/>
        <v>0</v>
      </c>
      <c r="BK193" s="31" t="str">
        <f>VLOOKUP(B193,Miljö!$B$1:$P$482,MATCH("Fossil andel i procent (%)",Miljö!$B$1:$P$1,0),FALSE)</f>
        <v>ET</v>
      </c>
      <c r="BL193" s="31">
        <f t="shared" si="60"/>
        <v>10.733000000000001</v>
      </c>
      <c r="BO193" s="32">
        <f t="shared" si="61"/>
        <v>2.4224354793627128E-3</v>
      </c>
      <c r="BP193" s="32">
        <f t="shared" si="62"/>
        <v>0</v>
      </c>
      <c r="BQ193" s="32">
        <f t="shared" si="63"/>
        <v>0.99757756452063728</v>
      </c>
      <c r="BR193" s="32">
        <f t="shared" si="64"/>
        <v>0</v>
      </c>
      <c r="BT193" s="62">
        <f t="shared" si="65"/>
        <v>1</v>
      </c>
      <c r="BW193" s="32">
        <f>IF(AP193="Ja",VLOOKUP(B193,Miljövärden!$B$2:$H$551,MATCH("Total andel fossilt",Miljövärden!$B$2:$H$2,0),FALSE),"")</f>
        <v>2.4224400000000001E-3</v>
      </c>
      <c r="BX193" s="62">
        <f t="shared" si="66"/>
        <v>4.5206372872516609E-9</v>
      </c>
      <c r="BZ193" s="31">
        <f t="shared" si="67"/>
        <v>4.5206372872516609E-9</v>
      </c>
      <c r="CA193" s="32">
        <f t="shared" si="68"/>
        <v>0</v>
      </c>
    </row>
    <row r="194" spans="1:79" x14ac:dyDescent="0.45">
      <c r="A194" s="31" t="s">
        <v>418</v>
      </c>
      <c r="B194" s="31" t="s">
        <v>103</v>
      </c>
      <c r="C194" s="31">
        <f>VLOOKUP($B194,'Tillförd energi'!$B$1:$AI$720,MATCH(C$1,'Tillförd energi'!$B$1:$AQ$1,0),FALSE)</f>
        <v>0</v>
      </c>
      <c r="D194" s="31">
        <f>VLOOKUP($B194,'Tillförd energi'!$B$1:$AI$720,MATCH(D$1,'Tillförd energi'!$B$1:$AQ$1,0),FALSE)</f>
        <v>0.222</v>
      </c>
      <c r="E194" s="31">
        <f>VLOOKUP($B194,'Tillförd energi'!$B$1:$AI$720,MATCH(E$1,'Tillförd energi'!$B$1:$AQ$1,0),FALSE)</f>
        <v>0</v>
      </c>
      <c r="F194" s="31">
        <f>VLOOKUP($B194,'Tillförd energi'!$B$1:$AI$720,MATCH(F$1,'Tillförd energi'!$B$1:$AQ$1,0),FALSE)</f>
        <v>0</v>
      </c>
      <c r="G194" s="31">
        <f>VLOOKUP($B194,'Tillförd energi'!$B$1:$AI$720,MATCH(G$1,'Tillförd energi'!$B$1:$AQ$1,0),FALSE)</f>
        <v>0</v>
      </c>
      <c r="H194" s="31">
        <f>VLOOKUP($B194,'Tillförd energi'!$B$1:$AI$720,MATCH(H$1,'Tillförd energi'!$B$1:$AQ$1,0),FALSE)</f>
        <v>0</v>
      </c>
      <c r="I194" s="31">
        <f>VLOOKUP($B194,'Tillförd energi'!$B$1:$AI$720,MATCH(I$1,'Tillförd energi'!$B$1:$AQ$1,0),FALSE)</f>
        <v>0</v>
      </c>
      <c r="J194" s="31">
        <f>VLOOKUP($B194,'Tillförd energi'!$B$1:$AI$720,MATCH(J$1,'Tillförd energi'!$B$1:$AQ$1,0),FALSE)</f>
        <v>0</v>
      </c>
      <c r="K194" s="31">
        <f>VLOOKUP($B194,'Tillförd energi'!$B$1:$AI$720,MATCH(K$1,'Tillförd energi'!$B$1:$AQ$1,0),FALSE)</f>
        <v>0</v>
      </c>
      <c r="L194" s="31">
        <f>VLOOKUP($B194,'Tillförd energi'!$B$1:$AI$720,MATCH(L$1,'Tillförd energi'!$B$1:$AQ$1,0),FALSE)</f>
        <v>0</v>
      </c>
      <c r="M194" s="31">
        <f>VLOOKUP($B194,'Tillförd energi'!$B$1:$AI$720,MATCH(M$1,'Tillförd energi'!$B$1:$AQ$1,0),FALSE)</f>
        <v>0</v>
      </c>
      <c r="N194" s="31">
        <f>VLOOKUP($B194,'Tillförd energi'!$B$1:$AI$720,MATCH(N$1,'Tillförd energi'!$B$1:$AQ$1,0),FALSE)</f>
        <v>0</v>
      </c>
      <c r="O194" s="31">
        <f>VLOOKUP($B194,'Tillförd energi'!$B$1:$AI$720,MATCH(O$1,'Tillförd energi'!$B$1:$AQ$1,0),FALSE)</f>
        <v>56.718000000000004</v>
      </c>
      <c r="P194" s="31">
        <f>VLOOKUP($B194,'Tillförd energi'!$B$1:$AI$720,MATCH(P$1,'Tillförd energi'!$B$1:$AQ$1,0),FALSE)</f>
        <v>0</v>
      </c>
      <c r="Q194" s="31">
        <f>VLOOKUP($B194,'Tillförd energi'!$B$1:$AI$720,MATCH(Q$1,'Tillförd energi'!$B$1:$AQ$1,0),FALSE)</f>
        <v>0</v>
      </c>
      <c r="R194" s="31">
        <f>VLOOKUP($B194,'Tillförd energi'!$B$1:$AI$720,MATCH(R$1,'Tillförd energi'!$B$1:$AQ$1,0),FALSE)</f>
        <v>0</v>
      </c>
      <c r="S194" s="31">
        <f>VLOOKUP($B194,'Tillförd energi'!$B$1:$AI$720,MATCH(S$1,'Tillförd energi'!$B$1:$AQ$1,0),FALSE)</f>
        <v>11.776</v>
      </c>
      <c r="T194" s="31">
        <f>VLOOKUP($B194,'Tillförd energi'!$B$1:$AI$720,MATCH(T$1,'Tillförd energi'!$B$1:$AQ$1,0),FALSE)</f>
        <v>0</v>
      </c>
      <c r="U194" s="31">
        <f>VLOOKUP($B194,'Tillförd energi'!$B$1:$AI$720,MATCH(U$1,'Tillförd energi'!$B$1:$AQ$1,0),FALSE)</f>
        <v>0</v>
      </c>
      <c r="V194" s="31">
        <f>VLOOKUP($B194,'Tillförd energi'!$B$1:$AI$720,MATCH(V$1,'Tillförd energi'!$B$1:$AQ$1,0),FALSE)</f>
        <v>0</v>
      </c>
      <c r="W194" s="31">
        <f>VLOOKUP($B194,'Tillförd energi'!$B$1:$AI$720,MATCH(W$1,'Tillförd energi'!$B$1:$AQ$1,0),FALSE)</f>
        <v>0</v>
      </c>
      <c r="X194" s="31">
        <f>VLOOKUP($B194,'Tillförd energi'!$B$1:$AI$720,MATCH(X$1,'Tillförd energi'!$B$1:$AQ$1,0),FALSE)</f>
        <v>0</v>
      </c>
      <c r="Y194" s="31">
        <f>VLOOKUP($B194,'Tillförd energi'!$B$1:$AI$720,MATCH(Y$1,'Tillförd energi'!$B$1:$AQ$1,0),FALSE)</f>
        <v>0</v>
      </c>
      <c r="Z194" s="31">
        <f>VLOOKUP($B194,'Tillförd energi'!$B$1:$AI$720,MATCH(Z$1,'Tillförd energi'!$B$1:$AQ$1,0),FALSE)</f>
        <v>0</v>
      </c>
      <c r="AA194" s="31">
        <f>VLOOKUP($B194,'Tillförd energi'!$B$1:$AI$720,MATCH(AA$1,'Tillförd energi'!$B$1:$AQ$1,0),FALSE)</f>
        <v>0</v>
      </c>
      <c r="AB194" s="31">
        <f>VLOOKUP($B194,'Tillförd energi'!$B$1:$AI$720,MATCH(AB$1,'Tillförd energi'!$B$1:$AQ$1,0),FALSE)</f>
        <v>0</v>
      </c>
      <c r="AC194" s="31">
        <f>VLOOKUP($B194,'Tillförd energi'!$B$1:$AI$720,MATCH(AC$1,'Tillförd energi'!$B$1:$AQ$1,0),FALSE)</f>
        <v>0</v>
      </c>
      <c r="AD194" s="31">
        <f>VLOOKUP($B194,'Tillförd energi'!$B$1:$AI$720,MATCH(AD$1,'Tillförd energi'!$B$1:$AQ$1,0),FALSE)</f>
        <v>0</v>
      </c>
      <c r="AE194" s="31">
        <f>VLOOKUP($B194,'Tillförd energi'!$B$1:$AI$720,MATCH(AE$1,'Tillförd energi'!$B$1:$AQ$1,0),FALSE)</f>
        <v>0</v>
      </c>
      <c r="AF194" s="31">
        <f>VLOOKUP($B194,'Tillförd energi'!$B$1:$AI$720,MATCH(AF$1,'Tillförd energi'!$B$1:$AQ$1,0),FALSE)</f>
        <v>1.141</v>
      </c>
      <c r="AG194" s="31">
        <f>IFERROR(VLOOKUP(B194,Miljö!$B$1:$AC$550,MATCH("Köpt mängd produktionsspecifik fjärrvärme:",Miljö!$B$1:$AC$1,0),FALSE)/1,0)</f>
        <v>0</v>
      </c>
      <c r="AI194" s="31">
        <f t="shared" si="46"/>
        <v>69.857000000000014</v>
      </c>
      <c r="AJ194" s="31">
        <f t="shared" si="47"/>
        <v>69.857000000000014</v>
      </c>
      <c r="AK194" s="31">
        <f>IF(ISERROR(1/VLOOKUP($B194,Leveranser!$B$1:$S$499,MATCH("Såld värme (GWh)",Leveranser!$B$1:$S$1,0),FALSE)),"",VLOOKUP($B194,Leveranser!$B$1:$S$499,MATCH("Såld värme (GWh)",Leveranser!$B$1:$S$1,0),FALSE))</f>
        <v>57.284999999999997</v>
      </c>
      <c r="AL194" s="31">
        <f>VLOOKUP($B194,Leveranser!$B$1:$Y$499,MATCH("Totalt såld fjärrvärme till andra fjärrvärmeföretag",Leveranser!$B$1:$AA$1,0),FALSE)</f>
        <v>0</v>
      </c>
      <c r="AM194" s="31">
        <f>IF(ISERROR(1/VLOOKUP($B194,Miljö!$B$1:$S$500,MATCH("Såld mängd produktionsspecifik fjärrvärme (GWh)",Miljö!$B$1:$R$1,0),FALSE)),0,VLOOKUP($B194,Miljö!$B$1:$S$500,MATCH("Såld mängd produktionsspecifik fjärrvärme (GWh)",Miljö!$B$1:$R$1,0),FALSE))</f>
        <v>0</v>
      </c>
      <c r="AN194" s="32">
        <f t="shared" si="48"/>
        <v>0.82003235180440026</v>
      </c>
      <c r="AP194" s="31" t="str">
        <f>IFERROR(VLOOKUP($B194,Miljövärden!$B$2:$H$550,7,FALSE),"Nej, saknas")</f>
        <v>Ja</v>
      </c>
      <c r="AQ194" s="31" t="str">
        <f>IFERROR(VLOOKUP($B194,Miljövärden!$B$2:$H$551,6,FALSE),"Nej, saknas")</f>
        <v>Ja</v>
      </c>
      <c r="AU194" s="31">
        <f t="shared" si="49"/>
        <v>1.141</v>
      </c>
      <c r="AV194" s="31">
        <f t="shared" si="50"/>
        <v>0</v>
      </c>
      <c r="AW194" s="31">
        <f t="shared" si="51"/>
        <v>56.718000000000004</v>
      </c>
      <c r="AX194" s="31">
        <f t="shared" si="52"/>
        <v>11.776</v>
      </c>
      <c r="AZ194" s="31">
        <f t="shared" si="53"/>
        <v>68.494</v>
      </c>
      <c r="BC194" s="31">
        <f t="shared" si="54"/>
        <v>0.222</v>
      </c>
      <c r="BD194" s="31">
        <f t="shared" si="55"/>
        <v>0</v>
      </c>
      <c r="BE194" s="31">
        <f t="shared" si="56"/>
        <v>68.494</v>
      </c>
      <c r="BF194" s="31">
        <f t="shared" si="57"/>
        <v>0</v>
      </c>
      <c r="BG194" s="31">
        <f t="shared" si="58"/>
        <v>1.141</v>
      </c>
      <c r="BH194" s="31">
        <f>VLOOKUP(B194,Miljö!$B$1:$BX$482,MATCH("Fossilandel för ursprungspecificerad el ()",Miljö!$B$1:$I$1,0),FALSE)</f>
        <v>0</v>
      </c>
      <c r="BI194" s="31">
        <f>VLOOKUP(B194,Miljö!$B$1:$BX$482,MATCH("Kärnkraftsandel för ursprungsspecificerad el ()",Miljö!$B$1:$O$1,0),FALSE)</f>
        <v>0</v>
      </c>
      <c r="BJ194" s="31">
        <f t="shared" si="59"/>
        <v>0</v>
      </c>
      <c r="BK194" s="31" t="str">
        <f>VLOOKUP(B194,Miljö!$B$1:$P$482,MATCH("Fossil andel i procent (%)",Miljö!$B$1:$P$1,0),FALSE)</f>
        <v>ET</v>
      </c>
      <c r="BL194" s="31">
        <f t="shared" si="60"/>
        <v>69.856999999999999</v>
      </c>
      <c r="BO194" s="32">
        <f t="shared" si="61"/>
        <v>3.1779206092446E-3</v>
      </c>
      <c r="BP194" s="32">
        <f t="shared" si="62"/>
        <v>0</v>
      </c>
      <c r="BQ194" s="32">
        <f t="shared" si="63"/>
        <v>0.99682207939075551</v>
      </c>
      <c r="BR194" s="32">
        <f t="shared" si="64"/>
        <v>0</v>
      </c>
      <c r="BT194" s="62">
        <f t="shared" si="65"/>
        <v>1</v>
      </c>
      <c r="BW194" s="32">
        <f>IF(AP194="Ja",VLOOKUP(B194,Miljövärden!$B$2:$H$551,MATCH("Total andel fossilt",Miljövärden!$B$2:$H$2,0),FALSE),"")</f>
        <v>3.1779199999999999E-3</v>
      </c>
      <c r="BX194" s="62">
        <f t="shared" si="66"/>
        <v>-6.0924460008188186E-10</v>
      </c>
      <c r="BZ194" s="31">
        <f t="shared" si="67"/>
        <v>-6.0924460008188186E-10</v>
      </c>
      <c r="CA194" s="32">
        <f t="shared" si="68"/>
        <v>0</v>
      </c>
    </row>
    <row r="195" spans="1:79" x14ac:dyDescent="0.45">
      <c r="A195" s="31" t="s">
        <v>418</v>
      </c>
      <c r="B195" s="31" t="s">
        <v>105</v>
      </c>
      <c r="C195" s="31">
        <f>VLOOKUP($B195,'Tillförd energi'!$B$1:$AI$720,MATCH(C$1,'Tillförd energi'!$B$1:$AQ$1,0),FALSE)</f>
        <v>0</v>
      </c>
      <c r="D195" s="31">
        <f>VLOOKUP($B195,'Tillförd energi'!$B$1:$AI$720,MATCH(D$1,'Tillförd energi'!$B$1:$AQ$1,0),FALSE)</f>
        <v>2.5999999999999999E-2</v>
      </c>
      <c r="E195" s="31">
        <f>VLOOKUP($B195,'Tillförd energi'!$B$1:$AI$720,MATCH(E$1,'Tillförd energi'!$B$1:$AQ$1,0),FALSE)</f>
        <v>0</v>
      </c>
      <c r="F195" s="31">
        <f>VLOOKUP($B195,'Tillförd energi'!$B$1:$AI$720,MATCH(F$1,'Tillförd energi'!$B$1:$AQ$1,0),FALSE)</f>
        <v>0</v>
      </c>
      <c r="G195" s="31">
        <f>VLOOKUP($B195,'Tillförd energi'!$B$1:$AI$720,MATCH(G$1,'Tillförd energi'!$B$1:$AQ$1,0),FALSE)</f>
        <v>0</v>
      </c>
      <c r="H195" s="31">
        <f>VLOOKUP($B195,'Tillförd energi'!$B$1:$AI$720,MATCH(H$1,'Tillförd energi'!$B$1:$AQ$1,0),FALSE)</f>
        <v>0</v>
      </c>
      <c r="I195" s="31">
        <f>VLOOKUP($B195,'Tillförd energi'!$B$1:$AI$720,MATCH(I$1,'Tillförd energi'!$B$1:$AQ$1,0),FALSE)</f>
        <v>0</v>
      </c>
      <c r="J195" s="31">
        <f>VLOOKUP($B195,'Tillförd energi'!$B$1:$AI$720,MATCH(J$1,'Tillförd energi'!$B$1:$AQ$1,0),FALSE)</f>
        <v>0</v>
      </c>
      <c r="K195" s="31">
        <f>VLOOKUP($B195,'Tillförd energi'!$B$1:$AI$720,MATCH(K$1,'Tillförd energi'!$B$1:$AQ$1,0),FALSE)</f>
        <v>0</v>
      </c>
      <c r="L195" s="31">
        <f>VLOOKUP($B195,'Tillförd energi'!$B$1:$AI$720,MATCH(L$1,'Tillförd energi'!$B$1:$AQ$1,0),FALSE)</f>
        <v>0</v>
      </c>
      <c r="M195" s="31">
        <f>VLOOKUP($B195,'Tillförd energi'!$B$1:$AI$720,MATCH(M$1,'Tillförd energi'!$B$1:$AQ$1,0),FALSE)</f>
        <v>0</v>
      </c>
      <c r="N195" s="31">
        <f>VLOOKUP($B195,'Tillförd energi'!$B$1:$AI$720,MATCH(N$1,'Tillförd energi'!$B$1:$AQ$1,0),FALSE)</f>
        <v>0</v>
      </c>
      <c r="O195" s="31">
        <f>VLOOKUP($B195,'Tillförd energi'!$B$1:$AI$720,MATCH(O$1,'Tillförd energi'!$B$1:$AQ$1,0),FALSE)</f>
        <v>0</v>
      </c>
      <c r="P195" s="31">
        <f>VLOOKUP($B195,'Tillförd energi'!$B$1:$AI$720,MATCH(P$1,'Tillförd energi'!$B$1:$AQ$1,0),FALSE)</f>
        <v>2.2109999999999999</v>
      </c>
      <c r="Q195" s="31">
        <f>VLOOKUP($B195,'Tillförd energi'!$B$1:$AI$720,MATCH(Q$1,'Tillförd energi'!$B$1:$AQ$1,0),FALSE)</f>
        <v>0</v>
      </c>
      <c r="R195" s="31">
        <f>VLOOKUP($B195,'Tillförd energi'!$B$1:$AI$720,MATCH(R$1,'Tillförd energi'!$B$1:$AQ$1,0),FALSE)</f>
        <v>0</v>
      </c>
      <c r="S195" s="31">
        <f>VLOOKUP($B195,'Tillförd energi'!$B$1:$AI$720,MATCH(S$1,'Tillförd energi'!$B$1:$AQ$1,0),FALSE)</f>
        <v>12.089</v>
      </c>
      <c r="T195" s="31">
        <f>VLOOKUP($B195,'Tillförd energi'!$B$1:$AI$720,MATCH(T$1,'Tillförd energi'!$B$1:$AQ$1,0),FALSE)</f>
        <v>0</v>
      </c>
      <c r="U195" s="31">
        <f>VLOOKUP($B195,'Tillförd energi'!$B$1:$AI$720,MATCH(U$1,'Tillförd energi'!$B$1:$AQ$1,0),FALSE)</f>
        <v>0</v>
      </c>
      <c r="V195" s="31">
        <f>VLOOKUP($B195,'Tillförd energi'!$B$1:$AI$720,MATCH(V$1,'Tillförd energi'!$B$1:$AQ$1,0),FALSE)</f>
        <v>0</v>
      </c>
      <c r="W195" s="31">
        <f>VLOOKUP($B195,'Tillförd energi'!$B$1:$AI$720,MATCH(W$1,'Tillförd energi'!$B$1:$AQ$1,0),FALSE)</f>
        <v>0</v>
      </c>
      <c r="X195" s="31">
        <f>VLOOKUP($B195,'Tillförd energi'!$B$1:$AI$720,MATCH(X$1,'Tillförd energi'!$B$1:$AQ$1,0),FALSE)</f>
        <v>0</v>
      </c>
      <c r="Y195" s="31">
        <f>VLOOKUP($B195,'Tillförd energi'!$B$1:$AI$720,MATCH(Y$1,'Tillförd energi'!$B$1:$AQ$1,0),FALSE)</f>
        <v>0</v>
      </c>
      <c r="Z195" s="31">
        <f>VLOOKUP($B195,'Tillförd energi'!$B$1:$AI$720,MATCH(Z$1,'Tillförd energi'!$B$1:$AQ$1,0),FALSE)</f>
        <v>0</v>
      </c>
      <c r="AA195" s="31">
        <f>VLOOKUP($B195,'Tillförd energi'!$B$1:$AI$720,MATCH(AA$1,'Tillförd energi'!$B$1:$AQ$1,0),FALSE)</f>
        <v>0</v>
      </c>
      <c r="AB195" s="31">
        <f>VLOOKUP($B195,'Tillförd energi'!$B$1:$AI$720,MATCH(AB$1,'Tillförd energi'!$B$1:$AQ$1,0),FALSE)</f>
        <v>0</v>
      </c>
      <c r="AC195" s="31">
        <f>VLOOKUP($B195,'Tillförd energi'!$B$1:$AI$720,MATCH(AC$1,'Tillförd energi'!$B$1:$AQ$1,0),FALSE)</f>
        <v>0</v>
      </c>
      <c r="AD195" s="31">
        <f>VLOOKUP($B195,'Tillförd energi'!$B$1:$AI$720,MATCH(AD$1,'Tillförd energi'!$B$1:$AQ$1,0),FALSE)</f>
        <v>0</v>
      </c>
      <c r="AE195" s="31">
        <f>VLOOKUP($B195,'Tillförd energi'!$B$1:$AI$720,MATCH(AE$1,'Tillförd energi'!$B$1:$AQ$1,0),FALSE)</f>
        <v>0</v>
      </c>
      <c r="AF195" s="31">
        <f>VLOOKUP($B195,'Tillförd energi'!$B$1:$AI$720,MATCH(AF$1,'Tillförd energi'!$B$1:$AQ$1,0),FALSE)</f>
        <v>0.316</v>
      </c>
      <c r="AG195" s="31">
        <f>IFERROR(VLOOKUP(B195,Miljö!$B$1:$AC$550,MATCH("Köpt mängd produktionsspecifik fjärrvärme:",Miljö!$B$1:$AC$1,0),FALSE)/1,0)</f>
        <v>0</v>
      </c>
      <c r="AI195" s="31">
        <f t="shared" ref="AI195:AI258" si="69">SUM(C195:AF195)</f>
        <v>14.642000000000001</v>
      </c>
      <c r="AJ195" s="31">
        <f t="shared" ref="AJ195:AJ258" si="70">SUM(C195:AG195)</f>
        <v>14.642000000000001</v>
      </c>
      <c r="AK195" s="31">
        <f>IF(ISERROR(1/VLOOKUP($B195,Leveranser!$B$1:$S$499,MATCH("Såld värme (GWh)",Leveranser!$B$1:$S$1,0),FALSE)),"",VLOOKUP($B195,Leveranser!$B$1:$S$499,MATCH("Såld värme (GWh)",Leveranser!$B$1:$S$1,0),FALSE))</f>
        <v>12.760999999999999</v>
      </c>
      <c r="AL195" s="31">
        <f>VLOOKUP($B195,Leveranser!$B$1:$Y$499,MATCH("Totalt såld fjärrvärme till andra fjärrvärmeföretag",Leveranser!$B$1:$AA$1,0),FALSE)</f>
        <v>0</v>
      </c>
      <c r="AM195" s="31">
        <f>IF(ISERROR(1/VLOOKUP($B195,Miljö!$B$1:$S$500,MATCH("Såld mängd produktionsspecifik fjärrvärme (GWh)",Miljö!$B$1:$R$1,0),FALSE)),0,VLOOKUP($B195,Miljö!$B$1:$S$500,MATCH("Såld mängd produktionsspecifik fjärrvärme (GWh)",Miljö!$B$1:$R$1,0),FALSE))</f>
        <v>0</v>
      </c>
      <c r="AN195" s="32">
        <f t="shared" ref="AN195:AN258" si="71">IFERROR(AK195/AJ195,"")</f>
        <v>0.87153394345034818</v>
      </c>
      <c r="AP195" s="31" t="str">
        <f>IFERROR(VLOOKUP($B195,Miljövärden!$B$2:$H$550,7,FALSE),"Nej, saknas")</f>
        <v>Ja</v>
      </c>
      <c r="AQ195" s="31" t="str">
        <f>IFERROR(VLOOKUP($B195,Miljövärden!$B$2:$H$551,6,FALSE),"Nej, saknas")</f>
        <v>Ja</v>
      </c>
      <c r="AU195" s="31">
        <f t="shared" ref="AU195:AU258" si="72">Z195+AA195+AF195</f>
        <v>0.316</v>
      </c>
      <c r="AV195" s="31">
        <f t="shared" ref="AV195:AV258" si="73">X195</f>
        <v>0</v>
      </c>
      <c r="AW195" s="31">
        <f t="shared" ref="AW195:AW258" si="74">M195+N195+O195+P195+Q195</f>
        <v>2.2109999999999999</v>
      </c>
      <c r="AX195" s="31">
        <f t="shared" ref="AX195:AX258" si="75">R195+S195+T195+U195</f>
        <v>12.089</v>
      </c>
      <c r="AZ195" s="31">
        <f t="shared" ref="AZ195:AZ258" si="76">L195+M195+N195+O195+P195+Q195+R195+S195+T195+U195+V195+W195+X195</f>
        <v>14.3</v>
      </c>
      <c r="BC195" s="31">
        <f t="shared" ref="BC195:BC258" si="77">C195+D195+E195+F195+G195+H195+AE195</f>
        <v>2.5999999999999999E-2</v>
      </c>
      <c r="BD195" s="31">
        <f t="shared" ref="BD195:BD258" si="78">Y195</f>
        <v>0</v>
      </c>
      <c r="BE195" s="31">
        <f t="shared" ref="BE195:BE258" si="79">M195+N195+O195+P195+Q195+R195+S195+T195+U195+V195+W195+X195</f>
        <v>14.3</v>
      </c>
      <c r="BF195" s="31">
        <f t="shared" ref="BF195:BF258" si="80">I195+J195+K195+L195+AB195+AC195+AD195</f>
        <v>0</v>
      </c>
      <c r="BG195" s="31">
        <f t="shared" ref="BG195:BG258" si="81">Z195+AA195+AF195</f>
        <v>0.316</v>
      </c>
      <c r="BH195" s="31">
        <f>VLOOKUP(B195,Miljö!$B$1:$BX$482,MATCH("Fossilandel för ursprungspecificerad el ()",Miljö!$B$1:$I$1,0),FALSE)</f>
        <v>0</v>
      </c>
      <c r="BI195" s="31">
        <f>VLOOKUP(B195,Miljö!$B$1:$BX$482,MATCH("Kärnkraftsandel för ursprungsspecificerad el ()",Miljö!$B$1:$O$1,0),FALSE)</f>
        <v>0</v>
      </c>
      <c r="BJ195" s="31">
        <f t="shared" ref="BJ195:BJ258" si="82">AG195</f>
        <v>0</v>
      </c>
      <c r="BK195" s="31" t="str">
        <f>VLOOKUP(B195,Miljö!$B$1:$P$482,MATCH("Fossil andel i procent (%)",Miljö!$B$1:$P$1,0),FALSE)</f>
        <v>ET</v>
      </c>
      <c r="BL195" s="31">
        <f t="shared" ref="BL195:BL258" si="83">SUM(BC195:BG195,BJ195)</f>
        <v>14.642000000000001</v>
      </c>
      <c r="BO195" s="32">
        <f t="shared" ref="BO195:BO258" si="84">IF(AP195="ja",(BC195+IFERROR(BG195*BH195,0)+IFERROR(BJ195*BK195/100,0))/$BL195,"")</f>
        <v>1.7757137003141645E-3</v>
      </c>
      <c r="BP195" s="32">
        <f t="shared" ref="BP195:BP258" si="85">IF(AP195="ja",(BD195+IFERROR(BG195*BI195,0)+IFERROR(BJ195*(1-BK195/100),0))/$BL195,"")</f>
        <v>0</v>
      </c>
      <c r="BQ195" s="32">
        <f t="shared" ref="BQ195:BQ258" si="86">IF(AP195="ja",(BE195+IFERROR(BG195*(1-BH195-BI195),0))/$BL195,"")</f>
        <v>0.99822428629968585</v>
      </c>
      <c r="BR195" s="32">
        <f t="shared" ref="BR195:BR258" si="87">IF(AP195="Ja",BF195/$BL195,"")</f>
        <v>0</v>
      </c>
      <c r="BT195" s="62">
        <f t="shared" ref="BT195:BT258" si="88">SUM(BO195:BR195)</f>
        <v>1</v>
      </c>
      <c r="BW195" s="32">
        <f>IF(AP195="Ja",VLOOKUP(B195,Miljövärden!$B$2:$H$551,MATCH("Total andel fossilt",Miljövärden!$B$2:$H$2,0),FALSE),"")</f>
        <v>1.77571E-3</v>
      </c>
      <c r="BX195" s="62">
        <f t="shared" ref="BX195:BX258" si="89">BW195-BO195</f>
        <v>-3.7003141644537108E-9</v>
      </c>
      <c r="BZ195" s="31">
        <f t="shared" ref="BZ195:BZ258" si="90">IFERROR(BW195-BO195,"")</f>
        <v>-3.7003141644537108E-9</v>
      </c>
      <c r="CA195" s="32">
        <f t="shared" ref="CA195:CA258" si="91">IFERROR(ROUND(BW195,3)-ROUND(BO195,3),"")</f>
        <v>0</v>
      </c>
    </row>
    <row r="196" spans="1:79" x14ac:dyDescent="0.45">
      <c r="A196" s="31" t="s">
        <v>418</v>
      </c>
      <c r="B196" s="31" t="s">
        <v>107</v>
      </c>
      <c r="C196" s="31">
        <f>VLOOKUP($B196,'Tillförd energi'!$B$1:$AI$720,MATCH(C$1,'Tillförd energi'!$B$1:$AQ$1,0),FALSE)</f>
        <v>0</v>
      </c>
      <c r="D196" s="31">
        <f>VLOOKUP($B196,'Tillförd energi'!$B$1:$AI$720,MATCH(D$1,'Tillförd energi'!$B$1:$AQ$1,0),FALSE)</f>
        <v>1.1744399999999999</v>
      </c>
      <c r="E196" s="31">
        <f>VLOOKUP($B196,'Tillförd energi'!$B$1:$AI$720,MATCH(E$1,'Tillförd energi'!$B$1:$AQ$1,0),FALSE)</f>
        <v>0</v>
      </c>
      <c r="F196" s="31">
        <f>VLOOKUP($B196,'Tillförd energi'!$B$1:$AI$720,MATCH(F$1,'Tillförd energi'!$B$1:$AQ$1,0),FALSE)</f>
        <v>0</v>
      </c>
      <c r="G196" s="31">
        <f>VLOOKUP($B196,'Tillförd energi'!$B$1:$AI$720,MATCH(G$1,'Tillförd energi'!$B$1:$AQ$1,0),FALSE)</f>
        <v>0</v>
      </c>
      <c r="H196" s="31">
        <f>VLOOKUP($B196,'Tillförd energi'!$B$1:$AI$720,MATCH(H$1,'Tillförd energi'!$B$1:$AQ$1,0),FALSE)</f>
        <v>0</v>
      </c>
      <c r="I196" s="31">
        <f>VLOOKUP($B196,'Tillförd energi'!$B$1:$AI$720,MATCH(I$1,'Tillförd energi'!$B$1:$AQ$1,0),FALSE)</f>
        <v>0</v>
      </c>
      <c r="J196" s="31">
        <f>VLOOKUP($B196,'Tillförd energi'!$B$1:$AI$720,MATCH(J$1,'Tillförd energi'!$B$1:$AQ$1,0),FALSE)</f>
        <v>0</v>
      </c>
      <c r="K196" s="31">
        <f>VLOOKUP($B196,'Tillförd energi'!$B$1:$AI$720,MATCH(K$1,'Tillförd energi'!$B$1:$AQ$1,0),FALSE)</f>
        <v>0</v>
      </c>
      <c r="L196" s="31">
        <f>VLOOKUP($B196,'Tillförd energi'!$B$1:$AI$720,MATCH(L$1,'Tillförd energi'!$B$1:$AQ$1,0),FALSE)</f>
        <v>0</v>
      </c>
      <c r="M196" s="31">
        <f>VLOOKUP($B196,'Tillförd energi'!$B$1:$AI$720,MATCH(M$1,'Tillförd energi'!$B$1:$AQ$1,0),FALSE)</f>
        <v>0</v>
      </c>
      <c r="N196" s="31">
        <f>VLOOKUP($B196,'Tillförd energi'!$B$1:$AI$720,MATCH(N$1,'Tillförd energi'!$B$1:$AQ$1,0),FALSE)</f>
        <v>0</v>
      </c>
      <c r="O196" s="31">
        <f>VLOOKUP($B196,'Tillförd energi'!$B$1:$AI$720,MATCH(O$1,'Tillförd energi'!$B$1:$AQ$1,0),FALSE)</f>
        <v>0</v>
      </c>
      <c r="P196" s="31">
        <f>VLOOKUP($B196,'Tillförd energi'!$B$1:$AI$720,MATCH(P$1,'Tillförd energi'!$B$1:$AQ$1,0),FALSE)</f>
        <v>0</v>
      </c>
      <c r="Q196" s="31">
        <f>VLOOKUP($B196,'Tillförd energi'!$B$1:$AI$720,MATCH(Q$1,'Tillförd energi'!$B$1:$AQ$1,0),FALSE)</f>
        <v>14.5</v>
      </c>
      <c r="R196" s="31">
        <f>VLOOKUP($B196,'Tillförd energi'!$B$1:$AI$720,MATCH(R$1,'Tillförd energi'!$B$1:$AQ$1,0),FALSE)</f>
        <v>4.8600000000000003</v>
      </c>
      <c r="S196" s="31">
        <f>VLOOKUP($B196,'Tillförd energi'!$B$1:$AI$720,MATCH(S$1,'Tillförd energi'!$B$1:$AQ$1,0),FALSE)</f>
        <v>0</v>
      </c>
      <c r="T196" s="31">
        <f>VLOOKUP($B196,'Tillförd energi'!$B$1:$AI$720,MATCH(T$1,'Tillförd energi'!$B$1:$AQ$1,0),FALSE)</f>
        <v>0</v>
      </c>
      <c r="U196" s="31">
        <f>VLOOKUP($B196,'Tillförd energi'!$B$1:$AI$720,MATCH(U$1,'Tillförd energi'!$B$1:$AQ$1,0),FALSE)</f>
        <v>0</v>
      </c>
      <c r="V196" s="31">
        <f>VLOOKUP($B196,'Tillförd energi'!$B$1:$AI$720,MATCH(V$1,'Tillförd energi'!$B$1:$AQ$1,0),FALSE)</f>
        <v>0</v>
      </c>
      <c r="W196" s="31">
        <f>VLOOKUP($B196,'Tillförd energi'!$B$1:$AI$720,MATCH(W$1,'Tillförd energi'!$B$1:$AQ$1,0),FALSE)</f>
        <v>0</v>
      </c>
      <c r="X196" s="31">
        <f>VLOOKUP($B196,'Tillförd energi'!$B$1:$AI$720,MATCH(X$1,'Tillförd energi'!$B$1:$AQ$1,0),FALSE)</f>
        <v>0</v>
      </c>
      <c r="Y196" s="31">
        <f>VLOOKUP($B196,'Tillförd energi'!$B$1:$AI$720,MATCH(Y$1,'Tillförd energi'!$B$1:$AQ$1,0),FALSE)</f>
        <v>0</v>
      </c>
      <c r="Z196" s="31">
        <f>VLOOKUP($B196,'Tillförd energi'!$B$1:$AI$720,MATCH(Z$1,'Tillförd energi'!$B$1:$AQ$1,0),FALSE)</f>
        <v>0</v>
      </c>
      <c r="AA196" s="31">
        <f>VLOOKUP($B196,'Tillförd energi'!$B$1:$AI$720,MATCH(AA$1,'Tillförd energi'!$B$1:$AQ$1,0),FALSE)</f>
        <v>0</v>
      </c>
      <c r="AB196" s="31">
        <f>VLOOKUP($B196,'Tillförd energi'!$B$1:$AI$720,MATCH(AB$1,'Tillförd energi'!$B$1:$AQ$1,0),FALSE)</f>
        <v>0</v>
      </c>
      <c r="AC196" s="31">
        <f>VLOOKUP($B196,'Tillförd energi'!$B$1:$AI$720,MATCH(AC$1,'Tillförd energi'!$B$1:$AQ$1,0),FALSE)</f>
        <v>0</v>
      </c>
      <c r="AD196" s="31">
        <f>VLOOKUP($B196,'Tillförd energi'!$B$1:$AI$720,MATCH(AD$1,'Tillförd energi'!$B$1:$AQ$1,0),FALSE)</f>
        <v>0</v>
      </c>
      <c r="AE196" s="31">
        <f>VLOOKUP($B196,'Tillförd energi'!$B$1:$AI$720,MATCH(AE$1,'Tillförd energi'!$B$1:$AQ$1,0),FALSE)</f>
        <v>0</v>
      </c>
      <c r="AF196" s="31">
        <f>VLOOKUP($B196,'Tillförd energi'!$B$1:$AI$720,MATCH(AF$1,'Tillförd energi'!$B$1:$AQ$1,0),FALSE)</f>
        <v>0.108</v>
      </c>
      <c r="AG196" s="31">
        <f>IFERROR(VLOOKUP(B196,Miljö!$B$1:$AC$550,MATCH("Köpt mängd produktionsspecifik fjärrvärme:",Miljö!$B$1:$AC$1,0),FALSE)/1,0)</f>
        <v>0</v>
      </c>
      <c r="AI196" s="31">
        <f t="shared" si="69"/>
        <v>20.642440000000001</v>
      </c>
      <c r="AJ196" s="31">
        <f t="shared" si="70"/>
        <v>20.642440000000001</v>
      </c>
      <c r="AK196" s="31">
        <f>IF(ISERROR(1/VLOOKUP($B196,Leveranser!$B$1:$S$499,MATCH("Såld värme (GWh)",Leveranser!$B$1:$S$1,0),FALSE)),"",VLOOKUP($B196,Leveranser!$B$1:$S$499,MATCH("Såld värme (GWh)",Leveranser!$B$1:$S$1,0),FALSE))</f>
        <v>16.138999999999999</v>
      </c>
      <c r="AL196" s="31">
        <f>VLOOKUP($B196,Leveranser!$B$1:$Y$499,MATCH("Totalt såld fjärrvärme till andra fjärrvärmeföretag",Leveranser!$B$1:$AA$1,0),FALSE)</f>
        <v>0</v>
      </c>
      <c r="AM196" s="31">
        <f>IF(ISERROR(1/VLOOKUP($B196,Miljö!$B$1:$S$500,MATCH("Såld mängd produktionsspecifik fjärrvärme (GWh)",Miljö!$B$1:$R$1,0),FALSE)),0,VLOOKUP($B196,Miljö!$B$1:$S$500,MATCH("Såld mängd produktionsspecifik fjärrvärme (GWh)",Miljö!$B$1:$R$1,0),FALSE))</f>
        <v>0</v>
      </c>
      <c r="AN196" s="32">
        <f t="shared" si="71"/>
        <v>0.78183586824038243</v>
      </c>
      <c r="AP196" s="31" t="str">
        <f>IFERROR(VLOOKUP($B196,Miljövärden!$B$2:$H$550,7,FALSE),"Nej, saknas")</f>
        <v>Ja</v>
      </c>
      <c r="AQ196" s="31" t="str">
        <f>IFERROR(VLOOKUP($B196,Miljövärden!$B$2:$H$551,6,FALSE),"Nej, saknas")</f>
        <v>Nej</v>
      </c>
      <c r="AU196" s="31">
        <f t="shared" si="72"/>
        <v>0.108</v>
      </c>
      <c r="AV196" s="31">
        <f t="shared" si="73"/>
        <v>0</v>
      </c>
      <c r="AW196" s="31">
        <f t="shared" si="74"/>
        <v>14.5</v>
      </c>
      <c r="AX196" s="31">
        <f t="shared" si="75"/>
        <v>4.8600000000000003</v>
      </c>
      <c r="AZ196" s="31">
        <f t="shared" si="76"/>
        <v>19.36</v>
      </c>
      <c r="BC196" s="31">
        <f t="shared" si="77"/>
        <v>1.1744399999999999</v>
      </c>
      <c r="BD196" s="31">
        <f t="shared" si="78"/>
        <v>0</v>
      </c>
      <c r="BE196" s="31">
        <f t="shared" si="79"/>
        <v>19.36</v>
      </c>
      <c r="BF196" s="31">
        <f t="shared" si="80"/>
        <v>0</v>
      </c>
      <c r="BG196" s="31">
        <f t="shared" si="81"/>
        <v>0.108</v>
      </c>
      <c r="BH196" s="31">
        <f>VLOOKUP(B196,Miljö!$B$1:$BX$482,MATCH("Fossilandel för ursprungspecificerad el ()",Miljö!$B$1:$I$1,0),FALSE)</f>
        <v>0</v>
      </c>
      <c r="BI196" s="31">
        <f>VLOOKUP(B196,Miljö!$B$1:$BX$482,MATCH("Kärnkraftsandel för ursprungsspecificerad el ()",Miljö!$B$1:$O$1,0),FALSE)</f>
        <v>0</v>
      </c>
      <c r="BJ196" s="31">
        <f t="shared" si="82"/>
        <v>0</v>
      </c>
      <c r="BK196" s="31" t="str">
        <f>VLOOKUP(B196,Miljö!$B$1:$P$482,MATCH("Fossil andel i procent (%)",Miljö!$B$1:$P$1,0),FALSE)</f>
        <v>ET</v>
      </c>
      <c r="BL196" s="31">
        <f t="shared" si="83"/>
        <v>20.642440000000001</v>
      </c>
      <c r="BO196" s="32">
        <f t="shared" si="84"/>
        <v>5.6894436897963606E-2</v>
      </c>
      <c r="BP196" s="32">
        <f t="shared" si="85"/>
        <v>0</v>
      </c>
      <c r="BQ196" s="32">
        <f t="shared" si="86"/>
        <v>0.94310556310203641</v>
      </c>
      <c r="BR196" s="32">
        <f t="shared" si="87"/>
        <v>0</v>
      </c>
      <c r="BT196" s="62">
        <f t="shared" si="88"/>
        <v>1</v>
      </c>
      <c r="BW196" s="32">
        <f>IF(AP196="Ja",VLOOKUP(B196,Miljövärden!$B$2:$H$551,MATCH("Total andel fossilt",Miljövärden!$B$2:$H$2,0),FALSE),"")</f>
        <v>5.6894500000000001E-2</v>
      </c>
      <c r="BX196" s="62">
        <f t="shared" si="89"/>
        <v>6.3102036394757643E-8</v>
      </c>
      <c r="BZ196" s="31">
        <f t="shared" si="90"/>
        <v>6.3102036394757643E-8</v>
      </c>
      <c r="CA196" s="32">
        <f t="shared" si="91"/>
        <v>0</v>
      </c>
    </row>
    <row r="197" spans="1:79" x14ac:dyDescent="0.45">
      <c r="A197" s="31" t="s">
        <v>418</v>
      </c>
      <c r="B197" s="31" t="s">
        <v>109</v>
      </c>
      <c r="C197" s="31">
        <f>VLOOKUP($B197,'Tillförd energi'!$B$1:$AI$720,MATCH(C$1,'Tillförd energi'!$B$1:$AQ$1,0),FALSE)</f>
        <v>0</v>
      </c>
      <c r="D197" s="31">
        <f>VLOOKUP($B197,'Tillförd energi'!$B$1:$AI$720,MATCH(D$1,'Tillförd energi'!$B$1:$AQ$1,0),FALSE)</f>
        <v>0.221</v>
      </c>
      <c r="E197" s="31">
        <f>VLOOKUP($B197,'Tillförd energi'!$B$1:$AI$720,MATCH(E$1,'Tillförd energi'!$B$1:$AQ$1,0),FALSE)</f>
        <v>0</v>
      </c>
      <c r="F197" s="31">
        <f>VLOOKUP($B197,'Tillförd energi'!$B$1:$AI$720,MATCH(F$1,'Tillförd energi'!$B$1:$AQ$1,0),FALSE)</f>
        <v>0</v>
      </c>
      <c r="G197" s="31">
        <f>VLOOKUP($B197,'Tillförd energi'!$B$1:$AI$720,MATCH(G$1,'Tillförd energi'!$B$1:$AQ$1,0),FALSE)</f>
        <v>0</v>
      </c>
      <c r="H197" s="31">
        <f>VLOOKUP($B197,'Tillförd energi'!$B$1:$AI$720,MATCH(H$1,'Tillförd energi'!$B$1:$AQ$1,0),FALSE)</f>
        <v>0</v>
      </c>
      <c r="I197" s="31">
        <f>VLOOKUP($B197,'Tillförd energi'!$B$1:$AI$720,MATCH(I$1,'Tillförd energi'!$B$1:$AQ$1,0),FALSE)</f>
        <v>0</v>
      </c>
      <c r="J197" s="31">
        <f>VLOOKUP($B197,'Tillförd energi'!$B$1:$AI$720,MATCH(J$1,'Tillförd energi'!$B$1:$AQ$1,0),FALSE)</f>
        <v>0</v>
      </c>
      <c r="K197" s="31">
        <f>VLOOKUP($B197,'Tillförd energi'!$B$1:$AI$720,MATCH(K$1,'Tillförd energi'!$B$1:$AQ$1,0),FALSE)</f>
        <v>0</v>
      </c>
      <c r="L197" s="31">
        <f>VLOOKUP($B197,'Tillförd energi'!$B$1:$AI$720,MATCH(L$1,'Tillförd energi'!$B$1:$AQ$1,0),FALSE)</f>
        <v>0</v>
      </c>
      <c r="M197" s="31">
        <f>VLOOKUP($B197,'Tillförd energi'!$B$1:$AI$720,MATCH(M$1,'Tillförd energi'!$B$1:$AQ$1,0),FALSE)</f>
        <v>0</v>
      </c>
      <c r="N197" s="31">
        <f>VLOOKUP($B197,'Tillförd energi'!$B$1:$AI$720,MATCH(N$1,'Tillförd energi'!$B$1:$AQ$1,0),FALSE)</f>
        <v>0</v>
      </c>
      <c r="O197" s="31">
        <f>VLOOKUP($B197,'Tillförd energi'!$B$1:$AI$720,MATCH(O$1,'Tillförd energi'!$B$1:$AQ$1,0),FALSE)</f>
        <v>0</v>
      </c>
      <c r="P197" s="31">
        <f>VLOOKUP($B197,'Tillförd energi'!$B$1:$AI$720,MATCH(P$1,'Tillförd energi'!$B$1:$AQ$1,0),FALSE)</f>
        <v>0</v>
      </c>
      <c r="Q197" s="31">
        <f>VLOOKUP($B197,'Tillförd energi'!$B$1:$AI$720,MATCH(Q$1,'Tillförd energi'!$B$1:$AQ$1,0),FALSE)</f>
        <v>0</v>
      </c>
      <c r="R197" s="31">
        <f>VLOOKUP($B197,'Tillförd energi'!$B$1:$AI$720,MATCH(R$1,'Tillförd energi'!$B$1:$AQ$1,0),FALSE)</f>
        <v>8.843</v>
      </c>
      <c r="S197" s="31">
        <f>VLOOKUP($B197,'Tillförd energi'!$B$1:$AI$720,MATCH(S$1,'Tillförd energi'!$B$1:$AQ$1,0),FALSE)</f>
        <v>0</v>
      </c>
      <c r="T197" s="31">
        <f>VLOOKUP($B197,'Tillförd energi'!$B$1:$AI$720,MATCH(T$1,'Tillförd energi'!$B$1:$AQ$1,0),FALSE)</f>
        <v>0</v>
      </c>
      <c r="U197" s="31">
        <f>VLOOKUP($B197,'Tillförd energi'!$B$1:$AI$720,MATCH(U$1,'Tillförd energi'!$B$1:$AQ$1,0),FALSE)</f>
        <v>0</v>
      </c>
      <c r="V197" s="31">
        <f>VLOOKUP($B197,'Tillförd energi'!$B$1:$AI$720,MATCH(V$1,'Tillförd energi'!$B$1:$AQ$1,0),FALSE)</f>
        <v>0</v>
      </c>
      <c r="W197" s="31">
        <f>VLOOKUP($B197,'Tillförd energi'!$B$1:$AI$720,MATCH(W$1,'Tillförd energi'!$B$1:$AQ$1,0),FALSE)</f>
        <v>0</v>
      </c>
      <c r="X197" s="31">
        <f>VLOOKUP($B197,'Tillförd energi'!$B$1:$AI$720,MATCH(X$1,'Tillförd energi'!$B$1:$AQ$1,0),FALSE)</f>
        <v>0</v>
      </c>
      <c r="Y197" s="31">
        <f>VLOOKUP($B197,'Tillförd energi'!$B$1:$AI$720,MATCH(Y$1,'Tillförd energi'!$B$1:$AQ$1,0),FALSE)</f>
        <v>0</v>
      </c>
      <c r="Z197" s="31">
        <f>VLOOKUP($B197,'Tillförd energi'!$B$1:$AI$720,MATCH(Z$1,'Tillförd energi'!$B$1:$AQ$1,0),FALSE)</f>
        <v>0.107</v>
      </c>
      <c r="AA197" s="31">
        <f>VLOOKUP($B197,'Tillförd energi'!$B$1:$AI$720,MATCH(AA$1,'Tillförd energi'!$B$1:$AQ$1,0),FALSE)</f>
        <v>0</v>
      </c>
      <c r="AB197" s="31">
        <f>VLOOKUP($B197,'Tillförd energi'!$B$1:$AI$720,MATCH(AB$1,'Tillförd energi'!$B$1:$AQ$1,0),FALSE)</f>
        <v>0</v>
      </c>
      <c r="AC197" s="31">
        <f>VLOOKUP($B197,'Tillförd energi'!$B$1:$AI$720,MATCH(AC$1,'Tillförd energi'!$B$1:$AQ$1,0),FALSE)</f>
        <v>0</v>
      </c>
      <c r="AD197" s="31">
        <f>VLOOKUP($B197,'Tillförd energi'!$B$1:$AI$720,MATCH(AD$1,'Tillförd energi'!$B$1:$AQ$1,0),FALSE)</f>
        <v>0</v>
      </c>
      <c r="AE197" s="31">
        <f>VLOOKUP($B197,'Tillförd energi'!$B$1:$AI$720,MATCH(AE$1,'Tillförd energi'!$B$1:$AQ$1,0),FALSE)</f>
        <v>0</v>
      </c>
      <c r="AF197" s="31">
        <f>VLOOKUP($B197,'Tillförd energi'!$B$1:$AI$720,MATCH(AF$1,'Tillförd energi'!$B$1:$AQ$1,0),FALSE)</f>
        <v>2.3E-2</v>
      </c>
      <c r="AG197" s="31">
        <f>IFERROR(VLOOKUP(B197,Miljö!$B$1:$AC$550,MATCH("Köpt mängd produktionsspecifik fjärrvärme:",Miljö!$B$1:$AC$1,0),FALSE)/1,0)</f>
        <v>0</v>
      </c>
      <c r="AI197" s="31">
        <f t="shared" si="69"/>
        <v>9.1939999999999991</v>
      </c>
      <c r="AJ197" s="31">
        <f t="shared" si="70"/>
        <v>9.1939999999999991</v>
      </c>
      <c r="AK197" s="31">
        <f>IF(ISERROR(1/VLOOKUP($B197,Leveranser!$B$1:$S$499,MATCH("Såld värme (GWh)",Leveranser!$B$1:$S$1,0),FALSE)),"",VLOOKUP($B197,Leveranser!$B$1:$S$499,MATCH("Såld värme (GWh)",Leveranser!$B$1:$S$1,0),FALSE))</f>
        <v>7.5659999999999998</v>
      </c>
      <c r="AL197" s="31">
        <f>VLOOKUP($B197,Leveranser!$B$1:$Y$499,MATCH("Totalt såld fjärrvärme till andra fjärrvärmeföretag",Leveranser!$B$1:$AA$1,0),FALSE)</f>
        <v>0</v>
      </c>
      <c r="AM197" s="31">
        <f>IF(ISERROR(1/VLOOKUP($B197,Miljö!$B$1:$S$500,MATCH("Såld mängd produktionsspecifik fjärrvärme (GWh)",Miljö!$B$1:$R$1,0),FALSE)),0,VLOOKUP($B197,Miljö!$B$1:$S$500,MATCH("Såld mängd produktionsspecifik fjärrvärme (GWh)",Miljö!$B$1:$R$1,0),FALSE))</f>
        <v>0</v>
      </c>
      <c r="AN197" s="32">
        <f t="shared" si="71"/>
        <v>0.82292799651946924</v>
      </c>
      <c r="AP197" s="31" t="str">
        <f>IFERROR(VLOOKUP($B197,Miljövärden!$B$2:$H$550,7,FALSE),"Nej, saknas")</f>
        <v>Ja</v>
      </c>
      <c r="AQ197" s="31" t="str">
        <f>IFERROR(VLOOKUP($B197,Miljövärden!$B$2:$H$551,6,FALSE),"Nej, saknas")</f>
        <v>Nej</v>
      </c>
      <c r="AU197" s="31">
        <f t="shared" si="72"/>
        <v>0.13</v>
      </c>
      <c r="AV197" s="31">
        <f t="shared" si="73"/>
        <v>0</v>
      </c>
      <c r="AW197" s="31">
        <f t="shared" si="74"/>
        <v>0</v>
      </c>
      <c r="AX197" s="31">
        <f t="shared" si="75"/>
        <v>8.843</v>
      </c>
      <c r="AZ197" s="31">
        <f t="shared" si="76"/>
        <v>8.843</v>
      </c>
      <c r="BC197" s="31">
        <f t="shared" si="77"/>
        <v>0.221</v>
      </c>
      <c r="BD197" s="31">
        <f t="shared" si="78"/>
        <v>0</v>
      </c>
      <c r="BE197" s="31">
        <f t="shared" si="79"/>
        <v>8.843</v>
      </c>
      <c r="BF197" s="31">
        <f t="shared" si="80"/>
        <v>0</v>
      </c>
      <c r="BG197" s="31">
        <f t="shared" si="81"/>
        <v>0.13</v>
      </c>
      <c r="BH197" s="31">
        <f>VLOOKUP(B197,Miljö!$B$1:$BX$482,MATCH("Fossilandel för ursprungspecificerad el ()",Miljö!$B$1:$I$1,0),FALSE)</f>
        <v>0</v>
      </c>
      <c r="BI197" s="31">
        <f>VLOOKUP(B197,Miljö!$B$1:$BX$482,MATCH("Kärnkraftsandel för ursprungsspecificerad el ()",Miljö!$B$1:$O$1,0),FALSE)</f>
        <v>0</v>
      </c>
      <c r="BJ197" s="31">
        <f t="shared" si="82"/>
        <v>0</v>
      </c>
      <c r="BK197" s="31" t="str">
        <f>VLOOKUP(B197,Miljö!$B$1:$P$482,MATCH("Fossil andel i procent (%)",Miljö!$B$1:$P$1,0),FALSE)</f>
        <v>ET</v>
      </c>
      <c r="BL197" s="31">
        <f t="shared" si="83"/>
        <v>9.1940000000000008</v>
      </c>
      <c r="BO197" s="32">
        <f t="shared" si="84"/>
        <v>2.4037415705895147E-2</v>
      </c>
      <c r="BP197" s="32">
        <f t="shared" si="85"/>
        <v>0</v>
      </c>
      <c r="BQ197" s="32">
        <f t="shared" si="86"/>
        <v>0.97596258429410487</v>
      </c>
      <c r="BR197" s="32">
        <f t="shared" si="87"/>
        <v>0</v>
      </c>
      <c r="BT197" s="62">
        <f t="shared" si="88"/>
        <v>1</v>
      </c>
      <c r="BW197" s="32">
        <f>IF(AP197="Ja",VLOOKUP(B197,Miljövärden!$B$2:$H$551,MATCH("Total andel fossilt",Miljövärden!$B$2:$H$2,0),FALSE),"")</f>
        <v>2.40374E-2</v>
      </c>
      <c r="BX197" s="62">
        <f t="shared" si="89"/>
        <v>-1.5705895146933546E-8</v>
      </c>
      <c r="BZ197" s="31">
        <f t="shared" si="90"/>
        <v>-1.5705895146933546E-8</v>
      </c>
      <c r="CA197" s="32">
        <f t="shared" si="91"/>
        <v>0</v>
      </c>
    </row>
    <row r="198" spans="1:79" x14ac:dyDescent="0.45">
      <c r="A198" s="31" t="s">
        <v>418</v>
      </c>
      <c r="B198" s="31" t="s">
        <v>420</v>
      </c>
      <c r="C198" s="31">
        <f>VLOOKUP($B198,'Tillförd energi'!$B$1:$AI$720,MATCH(C$1,'Tillförd energi'!$B$1:$AQ$1,0),FALSE)</f>
        <v>0</v>
      </c>
      <c r="D198" s="31">
        <f>VLOOKUP($B198,'Tillförd energi'!$B$1:$AI$720,MATCH(D$1,'Tillförd energi'!$B$1:$AQ$1,0),FALSE)</f>
        <v>0.60299999999999998</v>
      </c>
      <c r="E198" s="31">
        <f>VLOOKUP($B198,'Tillförd energi'!$B$1:$AI$720,MATCH(E$1,'Tillförd energi'!$B$1:$AQ$1,0),FALSE)</f>
        <v>0</v>
      </c>
      <c r="F198" s="31">
        <f>VLOOKUP($B198,'Tillförd energi'!$B$1:$AI$720,MATCH(F$1,'Tillförd energi'!$B$1:$AQ$1,0),FALSE)</f>
        <v>0</v>
      </c>
      <c r="G198" s="31">
        <f>VLOOKUP($B198,'Tillförd energi'!$B$1:$AI$720,MATCH(G$1,'Tillförd energi'!$B$1:$AQ$1,0),FALSE)</f>
        <v>0</v>
      </c>
      <c r="H198" s="31">
        <f>VLOOKUP($B198,'Tillförd energi'!$B$1:$AI$720,MATCH(H$1,'Tillförd energi'!$B$1:$AQ$1,0),FALSE)</f>
        <v>0</v>
      </c>
      <c r="I198" s="31">
        <f>VLOOKUP($B198,'Tillförd energi'!$B$1:$AI$720,MATCH(I$1,'Tillförd energi'!$B$1:$AQ$1,0),FALSE)</f>
        <v>0</v>
      </c>
      <c r="J198" s="31">
        <f>VLOOKUP($B198,'Tillförd energi'!$B$1:$AI$720,MATCH(J$1,'Tillförd energi'!$B$1:$AQ$1,0),FALSE)</f>
        <v>0</v>
      </c>
      <c r="K198" s="31">
        <f>VLOOKUP($B198,'Tillförd energi'!$B$1:$AI$720,MATCH(K$1,'Tillförd energi'!$B$1:$AQ$1,0),FALSE)</f>
        <v>0</v>
      </c>
      <c r="L198" s="31">
        <f>VLOOKUP($B198,'Tillförd energi'!$B$1:$AI$720,MATCH(L$1,'Tillförd energi'!$B$1:$AQ$1,0),FALSE)</f>
        <v>0</v>
      </c>
      <c r="M198" s="31">
        <f>VLOOKUP($B198,'Tillförd energi'!$B$1:$AI$720,MATCH(M$1,'Tillförd energi'!$B$1:$AQ$1,0),FALSE)</f>
        <v>0</v>
      </c>
      <c r="N198" s="31">
        <f>VLOOKUP($B198,'Tillförd energi'!$B$1:$AI$720,MATCH(N$1,'Tillförd energi'!$B$1:$AQ$1,0),FALSE)</f>
        <v>0</v>
      </c>
      <c r="O198" s="31">
        <f>VLOOKUP($B198,'Tillförd energi'!$B$1:$AI$720,MATCH(O$1,'Tillförd energi'!$B$1:$AQ$1,0),FALSE)</f>
        <v>0</v>
      </c>
      <c r="P198" s="31">
        <f>VLOOKUP($B198,'Tillförd energi'!$B$1:$AI$720,MATCH(P$1,'Tillförd energi'!$B$1:$AQ$1,0),FALSE)</f>
        <v>34.351999999999997</v>
      </c>
      <c r="Q198" s="31">
        <f>VLOOKUP($B198,'Tillförd energi'!$B$1:$AI$720,MATCH(Q$1,'Tillförd energi'!$B$1:$AQ$1,0),FALSE)</f>
        <v>0</v>
      </c>
      <c r="R198" s="31">
        <f>VLOOKUP($B198,'Tillförd energi'!$B$1:$AI$720,MATCH(R$1,'Tillförd energi'!$B$1:$AQ$1,0),FALSE)</f>
        <v>0</v>
      </c>
      <c r="S198" s="31">
        <f>VLOOKUP($B198,'Tillförd energi'!$B$1:$AI$720,MATCH(S$1,'Tillförd energi'!$B$1:$AQ$1,0),FALSE)</f>
        <v>0</v>
      </c>
      <c r="T198" s="31">
        <f>VLOOKUP($B198,'Tillförd energi'!$B$1:$AI$720,MATCH(T$1,'Tillförd energi'!$B$1:$AQ$1,0),FALSE)</f>
        <v>0</v>
      </c>
      <c r="U198" s="31">
        <f>VLOOKUP($B198,'Tillförd energi'!$B$1:$AI$720,MATCH(U$1,'Tillförd energi'!$B$1:$AQ$1,0),FALSE)</f>
        <v>0</v>
      </c>
      <c r="V198" s="31">
        <f>VLOOKUP($B198,'Tillförd energi'!$B$1:$AI$720,MATCH(V$1,'Tillförd energi'!$B$1:$AQ$1,0),FALSE)</f>
        <v>0</v>
      </c>
      <c r="W198" s="31">
        <f>VLOOKUP($B198,'Tillförd energi'!$B$1:$AI$720,MATCH(W$1,'Tillförd energi'!$B$1:$AQ$1,0),FALSE)</f>
        <v>0</v>
      </c>
      <c r="X198" s="31">
        <f>VLOOKUP($B198,'Tillförd energi'!$B$1:$AI$720,MATCH(X$1,'Tillförd energi'!$B$1:$AQ$1,0),FALSE)</f>
        <v>0</v>
      </c>
      <c r="Y198" s="31">
        <f>VLOOKUP($B198,'Tillförd energi'!$B$1:$AI$720,MATCH(Y$1,'Tillförd energi'!$B$1:$AQ$1,0),FALSE)</f>
        <v>0</v>
      </c>
      <c r="Z198" s="31">
        <f>VLOOKUP($B198,'Tillförd energi'!$B$1:$AI$720,MATCH(Z$1,'Tillförd energi'!$B$1:$AQ$1,0),FALSE)</f>
        <v>0</v>
      </c>
      <c r="AA198" s="31">
        <f>VLOOKUP($B198,'Tillförd energi'!$B$1:$AI$720,MATCH(AA$1,'Tillförd energi'!$B$1:$AQ$1,0),FALSE)</f>
        <v>0</v>
      </c>
      <c r="AB198" s="31">
        <f>VLOOKUP($B198,'Tillförd energi'!$B$1:$AI$720,MATCH(AB$1,'Tillförd energi'!$B$1:$AQ$1,0),FALSE)</f>
        <v>0</v>
      </c>
      <c r="AC198" s="31">
        <f>VLOOKUP($B198,'Tillförd energi'!$B$1:$AI$720,MATCH(AC$1,'Tillförd energi'!$B$1:$AQ$1,0),FALSE)</f>
        <v>0</v>
      </c>
      <c r="AD198" s="31">
        <f>VLOOKUP($B198,'Tillförd energi'!$B$1:$AI$720,MATCH(AD$1,'Tillförd energi'!$B$1:$AQ$1,0),FALSE)</f>
        <v>0</v>
      </c>
      <c r="AE198" s="31">
        <f>VLOOKUP($B198,'Tillförd energi'!$B$1:$AI$720,MATCH(AE$1,'Tillförd energi'!$B$1:$AQ$1,0),FALSE)</f>
        <v>0</v>
      </c>
      <c r="AF198" s="31">
        <f>VLOOKUP($B198,'Tillförd energi'!$B$1:$AI$720,MATCH(AF$1,'Tillförd energi'!$B$1:$AQ$1,0),FALSE)</f>
        <v>1.698</v>
      </c>
      <c r="AG198" s="31">
        <f>IFERROR(VLOOKUP(B198,Miljö!$B$1:$AC$550,MATCH("Köpt mängd produktionsspecifik fjärrvärme:",Miljö!$B$1:$AC$1,0),FALSE)/1,0)</f>
        <v>0</v>
      </c>
      <c r="AI198" s="31">
        <f t="shared" si="69"/>
        <v>36.652999999999999</v>
      </c>
      <c r="AJ198" s="31">
        <f t="shared" si="70"/>
        <v>36.652999999999999</v>
      </c>
      <c r="AK198" s="31">
        <f>IF(ISERROR(1/VLOOKUP($B198,Leveranser!$B$1:$S$499,MATCH("Såld värme (GWh)",Leveranser!$B$1:$S$1,0),FALSE)),"",VLOOKUP($B198,Leveranser!$B$1:$S$499,MATCH("Såld värme (GWh)",Leveranser!$B$1:$S$1,0),FALSE))</f>
        <v>37.774999999999999</v>
      </c>
      <c r="AL198" s="31">
        <f>VLOOKUP($B198,Leveranser!$B$1:$Y$499,MATCH("Totalt såld fjärrvärme till andra fjärrvärmeföretag",Leveranser!$B$1:$AA$1,0),FALSE)</f>
        <v>0</v>
      </c>
      <c r="AM198" s="31">
        <f>IF(ISERROR(1/VLOOKUP($B198,Miljö!$B$1:$S$500,MATCH("Såld mängd produktionsspecifik fjärrvärme (GWh)",Miljö!$B$1:$R$1,0),FALSE)),0,VLOOKUP($B198,Miljö!$B$1:$S$500,MATCH("Såld mängd produktionsspecifik fjärrvärme (GWh)",Miljö!$B$1:$R$1,0),FALSE))</f>
        <v>0</v>
      </c>
      <c r="AN198" s="32">
        <f t="shared" si="71"/>
        <v>1.0306114097072545</v>
      </c>
      <c r="AP198" s="31" t="str">
        <f>IFERROR(VLOOKUP($B198,Miljövärden!$B$2:$H$550,7,FALSE),"Nej, saknas")</f>
        <v>Ja</v>
      </c>
      <c r="AQ198" s="31" t="str">
        <f>IFERROR(VLOOKUP($B198,Miljövärden!$B$2:$H$551,6,FALSE),"Nej, saknas")</f>
        <v>Ja</v>
      </c>
      <c r="AU198" s="31">
        <f t="shared" si="72"/>
        <v>1.698</v>
      </c>
      <c r="AV198" s="31">
        <f t="shared" si="73"/>
        <v>0</v>
      </c>
      <c r="AW198" s="31">
        <f t="shared" si="74"/>
        <v>34.351999999999997</v>
      </c>
      <c r="AX198" s="31">
        <f t="shared" si="75"/>
        <v>0</v>
      </c>
      <c r="AZ198" s="31">
        <f t="shared" si="76"/>
        <v>34.351999999999997</v>
      </c>
      <c r="BC198" s="31">
        <f t="shared" si="77"/>
        <v>0.60299999999999998</v>
      </c>
      <c r="BD198" s="31">
        <f t="shared" si="78"/>
        <v>0</v>
      </c>
      <c r="BE198" s="31">
        <f t="shared" si="79"/>
        <v>34.351999999999997</v>
      </c>
      <c r="BF198" s="31">
        <f t="shared" si="80"/>
        <v>0</v>
      </c>
      <c r="BG198" s="31">
        <f t="shared" si="81"/>
        <v>1.698</v>
      </c>
      <c r="BH198" s="31">
        <f>VLOOKUP(B198,Miljö!$B$1:$BX$482,MATCH("Fossilandel för ursprungspecificerad el ()",Miljö!$B$1:$I$1,0),FALSE)</f>
        <v>0</v>
      </c>
      <c r="BI198" s="31">
        <f>VLOOKUP(B198,Miljö!$B$1:$BX$482,MATCH("Kärnkraftsandel för ursprungsspecificerad el ()",Miljö!$B$1:$O$1,0),FALSE)</f>
        <v>0</v>
      </c>
      <c r="BJ198" s="31">
        <f t="shared" si="82"/>
        <v>0</v>
      </c>
      <c r="BK198" s="31" t="str">
        <f>VLOOKUP(B198,Miljö!$B$1:$P$482,MATCH("Fossil andel i procent (%)",Miljö!$B$1:$P$1,0),FALSE)</f>
        <v>ET</v>
      </c>
      <c r="BL198" s="31">
        <f t="shared" si="83"/>
        <v>36.652999999999999</v>
      </c>
      <c r="BO198" s="32">
        <f t="shared" si="84"/>
        <v>1.6451586500422884E-2</v>
      </c>
      <c r="BP198" s="32">
        <f t="shared" si="85"/>
        <v>0</v>
      </c>
      <c r="BQ198" s="32">
        <f t="shared" si="86"/>
        <v>0.98354841349957711</v>
      </c>
      <c r="BR198" s="32">
        <f t="shared" si="87"/>
        <v>0</v>
      </c>
      <c r="BT198" s="62">
        <f t="shared" si="88"/>
        <v>1</v>
      </c>
      <c r="BW198" s="32">
        <f>IF(AP198="Ja",VLOOKUP(B198,Miljövärden!$B$2:$H$551,MATCH("Total andel fossilt",Miljövärden!$B$2:$H$2,0),FALSE),"")</f>
        <v>1.64516E-2</v>
      </c>
      <c r="BX198" s="62">
        <f t="shared" si="89"/>
        <v>1.349957711588301E-8</v>
      </c>
      <c r="BZ198" s="31">
        <f t="shared" si="90"/>
        <v>1.349957711588301E-8</v>
      </c>
      <c r="CA198" s="32">
        <f t="shared" si="91"/>
        <v>0</v>
      </c>
    </row>
    <row r="199" spans="1:79" x14ac:dyDescent="0.45">
      <c r="A199" s="31" t="s">
        <v>418</v>
      </c>
      <c r="B199" s="31" t="s">
        <v>421</v>
      </c>
      <c r="C199" s="31">
        <f>VLOOKUP($B199,'Tillförd energi'!$B$1:$AI$720,MATCH(C$1,'Tillförd energi'!$B$1:$AQ$1,0),FALSE)</f>
        <v>0</v>
      </c>
      <c r="D199" s="31">
        <f>VLOOKUP($B199,'Tillförd energi'!$B$1:$AI$720,MATCH(D$1,'Tillförd energi'!$B$1:$AQ$1,0),FALSE)</f>
        <v>6.2E-2</v>
      </c>
      <c r="E199" s="31">
        <f>VLOOKUP($B199,'Tillförd energi'!$B$1:$AI$720,MATCH(E$1,'Tillförd energi'!$B$1:$AQ$1,0),FALSE)</f>
        <v>0</v>
      </c>
      <c r="F199" s="31">
        <f>VLOOKUP($B199,'Tillförd energi'!$B$1:$AI$720,MATCH(F$1,'Tillförd energi'!$B$1:$AQ$1,0),FALSE)</f>
        <v>0</v>
      </c>
      <c r="G199" s="31">
        <f>VLOOKUP($B199,'Tillförd energi'!$B$1:$AI$720,MATCH(G$1,'Tillförd energi'!$B$1:$AQ$1,0),FALSE)</f>
        <v>0</v>
      </c>
      <c r="H199" s="31">
        <f>VLOOKUP($B199,'Tillförd energi'!$B$1:$AI$720,MATCH(H$1,'Tillförd energi'!$B$1:$AQ$1,0),FALSE)</f>
        <v>0</v>
      </c>
      <c r="I199" s="31">
        <f>VLOOKUP($B199,'Tillförd energi'!$B$1:$AI$720,MATCH(I$1,'Tillförd energi'!$B$1:$AQ$1,0),FALSE)</f>
        <v>0</v>
      </c>
      <c r="J199" s="31">
        <f>VLOOKUP($B199,'Tillförd energi'!$B$1:$AI$720,MATCH(J$1,'Tillförd energi'!$B$1:$AQ$1,0),FALSE)</f>
        <v>0</v>
      </c>
      <c r="K199" s="31">
        <f>VLOOKUP($B199,'Tillförd energi'!$B$1:$AI$720,MATCH(K$1,'Tillförd energi'!$B$1:$AQ$1,0),FALSE)</f>
        <v>0</v>
      </c>
      <c r="L199" s="31">
        <f>VLOOKUP($B199,'Tillförd energi'!$B$1:$AI$720,MATCH(L$1,'Tillförd energi'!$B$1:$AQ$1,0),FALSE)</f>
        <v>0</v>
      </c>
      <c r="M199" s="31">
        <f>VLOOKUP($B199,'Tillförd energi'!$B$1:$AI$720,MATCH(M$1,'Tillförd energi'!$B$1:$AQ$1,0),FALSE)</f>
        <v>0</v>
      </c>
      <c r="N199" s="31">
        <f>VLOOKUP($B199,'Tillförd energi'!$B$1:$AI$720,MATCH(N$1,'Tillförd energi'!$B$1:$AQ$1,0),FALSE)</f>
        <v>0</v>
      </c>
      <c r="O199" s="31">
        <f>VLOOKUP($B199,'Tillförd energi'!$B$1:$AI$720,MATCH(O$1,'Tillförd energi'!$B$1:$AQ$1,0),FALSE)</f>
        <v>0</v>
      </c>
      <c r="P199" s="31">
        <f>VLOOKUP($B199,'Tillförd energi'!$B$1:$AI$720,MATCH(P$1,'Tillförd energi'!$B$1:$AQ$1,0),FALSE)</f>
        <v>0</v>
      </c>
      <c r="Q199" s="31">
        <f>VLOOKUP($B199,'Tillförd energi'!$B$1:$AI$720,MATCH(Q$1,'Tillförd energi'!$B$1:$AQ$1,0),FALSE)</f>
        <v>0</v>
      </c>
      <c r="R199" s="31">
        <f>VLOOKUP($B199,'Tillförd energi'!$B$1:$AI$720,MATCH(R$1,'Tillförd energi'!$B$1:$AQ$1,0),FALSE)</f>
        <v>7.96</v>
      </c>
      <c r="S199" s="31">
        <f>VLOOKUP($B199,'Tillförd energi'!$B$1:$AI$720,MATCH(S$1,'Tillförd energi'!$B$1:$AQ$1,0),FALSE)</f>
        <v>0</v>
      </c>
      <c r="T199" s="31">
        <f>VLOOKUP($B199,'Tillförd energi'!$B$1:$AI$720,MATCH(T$1,'Tillförd energi'!$B$1:$AQ$1,0),FALSE)</f>
        <v>0</v>
      </c>
      <c r="U199" s="31">
        <f>VLOOKUP($B199,'Tillförd energi'!$B$1:$AI$720,MATCH(U$1,'Tillförd energi'!$B$1:$AQ$1,0),FALSE)</f>
        <v>0</v>
      </c>
      <c r="V199" s="31">
        <f>VLOOKUP($B199,'Tillförd energi'!$B$1:$AI$720,MATCH(V$1,'Tillförd energi'!$B$1:$AQ$1,0),FALSE)</f>
        <v>0</v>
      </c>
      <c r="W199" s="31">
        <f>VLOOKUP($B199,'Tillförd energi'!$B$1:$AI$720,MATCH(W$1,'Tillförd energi'!$B$1:$AQ$1,0),FALSE)</f>
        <v>0</v>
      </c>
      <c r="X199" s="31">
        <f>VLOOKUP($B199,'Tillförd energi'!$B$1:$AI$720,MATCH(X$1,'Tillförd energi'!$B$1:$AQ$1,0),FALSE)</f>
        <v>0</v>
      </c>
      <c r="Y199" s="31">
        <f>VLOOKUP($B199,'Tillförd energi'!$B$1:$AI$720,MATCH(Y$1,'Tillförd energi'!$B$1:$AQ$1,0),FALSE)</f>
        <v>0</v>
      </c>
      <c r="Z199" s="31">
        <f>VLOOKUP($B199,'Tillförd energi'!$B$1:$AI$720,MATCH(Z$1,'Tillförd energi'!$B$1:$AQ$1,0),FALSE)</f>
        <v>0</v>
      </c>
      <c r="AA199" s="31">
        <f>VLOOKUP($B199,'Tillförd energi'!$B$1:$AI$720,MATCH(AA$1,'Tillförd energi'!$B$1:$AQ$1,0),FALSE)</f>
        <v>0</v>
      </c>
      <c r="AB199" s="31">
        <f>VLOOKUP($B199,'Tillförd energi'!$B$1:$AI$720,MATCH(AB$1,'Tillförd energi'!$B$1:$AQ$1,0),FALSE)</f>
        <v>0</v>
      </c>
      <c r="AC199" s="31">
        <f>VLOOKUP($B199,'Tillförd energi'!$B$1:$AI$720,MATCH(AC$1,'Tillförd energi'!$B$1:$AQ$1,0),FALSE)</f>
        <v>0</v>
      </c>
      <c r="AD199" s="31">
        <f>VLOOKUP($B199,'Tillförd energi'!$B$1:$AI$720,MATCH(AD$1,'Tillförd energi'!$B$1:$AQ$1,0),FALSE)</f>
        <v>0</v>
      </c>
      <c r="AE199" s="31">
        <f>VLOOKUP($B199,'Tillförd energi'!$B$1:$AI$720,MATCH(AE$1,'Tillförd energi'!$B$1:$AQ$1,0),FALSE)</f>
        <v>0</v>
      </c>
      <c r="AF199" s="31">
        <f>VLOOKUP($B199,'Tillförd energi'!$B$1:$AI$720,MATCH(AF$1,'Tillförd energi'!$B$1:$AQ$1,0),FALSE)</f>
        <v>0.114</v>
      </c>
      <c r="AG199" s="31">
        <f>IFERROR(VLOOKUP(B199,Miljö!$B$1:$AC$550,MATCH("Köpt mängd produktionsspecifik fjärrvärme:",Miljö!$B$1:$AC$1,0),FALSE)/1,0)</f>
        <v>0</v>
      </c>
      <c r="AI199" s="31">
        <f t="shared" si="69"/>
        <v>8.136000000000001</v>
      </c>
      <c r="AJ199" s="31">
        <f t="shared" si="70"/>
        <v>8.136000000000001</v>
      </c>
      <c r="AK199" s="31">
        <f>IF(ISERROR(1/VLOOKUP($B199,Leveranser!$B$1:$S$499,MATCH("Såld värme (GWh)",Leveranser!$B$1:$S$1,0),FALSE)),"",VLOOKUP($B199,Leveranser!$B$1:$S$499,MATCH("Såld värme (GWh)",Leveranser!$B$1:$S$1,0),FALSE))</f>
        <v>6.3410000000000002</v>
      </c>
      <c r="AL199" s="31">
        <f>VLOOKUP($B199,Leveranser!$B$1:$Y$499,MATCH("Totalt såld fjärrvärme till andra fjärrvärmeföretag",Leveranser!$B$1:$AA$1,0),FALSE)</f>
        <v>0</v>
      </c>
      <c r="AM199" s="31">
        <f>IF(ISERROR(1/VLOOKUP($B199,Miljö!$B$1:$S$500,MATCH("Såld mängd produktionsspecifik fjärrvärme (GWh)",Miljö!$B$1:$R$1,0),FALSE)),0,VLOOKUP($B199,Miljö!$B$1:$S$500,MATCH("Såld mängd produktionsspecifik fjärrvärme (GWh)",Miljö!$B$1:$R$1,0),FALSE))</f>
        <v>0</v>
      </c>
      <c r="AN199" s="32">
        <f t="shared" si="71"/>
        <v>0.77937561455260562</v>
      </c>
      <c r="AP199" s="31" t="str">
        <f>IFERROR(VLOOKUP($B199,Miljövärden!$B$2:$H$550,7,FALSE),"Nej, saknas")</f>
        <v>Ja</v>
      </c>
      <c r="AQ199" s="31" t="str">
        <f>IFERROR(VLOOKUP($B199,Miljövärden!$B$2:$H$551,6,FALSE),"Nej, saknas")</f>
        <v>Ja</v>
      </c>
      <c r="AU199" s="31">
        <f t="shared" si="72"/>
        <v>0.114</v>
      </c>
      <c r="AV199" s="31">
        <f t="shared" si="73"/>
        <v>0</v>
      </c>
      <c r="AW199" s="31">
        <f t="shared" si="74"/>
        <v>0</v>
      </c>
      <c r="AX199" s="31">
        <f t="shared" si="75"/>
        <v>7.96</v>
      </c>
      <c r="AZ199" s="31">
        <f t="shared" si="76"/>
        <v>7.96</v>
      </c>
      <c r="BC199" s="31">
        <f t="shared" si="77"/>
        <v>6.2E-2</v>
      </c>
      <c r="BD199" s="31">
        <f t="shared" si="78"/>
        <v>0</v>
      </c>
      <c r="BE199" s="31">
        <f t="shared" si="79"/>
        <v>7.96</v>
      </c>
      <c r="BF199" s="31">
        <f t="shared" si="80"/>
        <v>0</v>
      </c>
      <c r="BG199" s="31">
        <f t="shared" si="81"/>
        <v>0.114</v>
      </c>
      <c r="BH199" s="31">
        <f>VLOOKUP(B199,Miljö!$B$1:$BX$482,MATCH("Fossilandel för ursprungspecificerad el ()",Miljö!$B$1:$I$1,0),FALSE)</f>
        <v>0</v>
      </c>
      <c r="BI199" s="31">
        <f>VLOOKUP(B199,Miljö!$B$1:$BX$482,MATCH("Kärnkraftsandel för ursprungsspecificerad el ()",Miljö!$B$1:$O$1,0),FALSE)</f>
        <v>0</v>
      </c>
      <c r="BJ199" s="31">
        <f t="shared" si="82"/>
        <v>0</v>
      </c>
      <c r="BK199" s="31" t="str">
        <f>VLOOKUP(B199,Miljö!$B$1:$P$482,MATCH("Fossil andel i procent (%)",Miljö!$B$1:$P$1,0),FALSE)</f>
        <v>ET</v>
      </c>
      <c r="BL199" s="31">
        <f t="shared" si="83"/>
        <v>8.136000000000001</v>
      </c>
      <c r="BO199" s="32">
        <f t="shared" si="84"/>
        <v>7.6204523107177968E-3</v>
      </c>
      <c r="BP199" s="32">
        <f t="shared" si="85"/>
        <v>0</v>
      </c>
      <c r="BQ199" s="32">
        <f t="shared" si="86"/>
        <v>0.99237954768928205</v>
      </c>
      <c r="BR199" s="32">
        <f t="shared" si="87"/>
        <v>0</v>
      </c>
      <c r="BT199" s="62">
        <f t="shared" si="88"/>
        <v>0.99999999999999989</v>
      </c>
      <c r="BW199" s="32">
        <f>IF(AP199="Ja",VLOOKUP(B199,Miljövärden!$B$2:$H$551,MATCH("Total andel fossilt",Miljövärden!$B$2:$H$2,0),FALSE),"")</f>
        <v>7.62045E-3</v>
      </c>
      <c r="BX199" s="62">
        <f t="shared" si="89"/>
        <v>-2.3107177967926495E-9</v>
      </c>
      <c r="BZ199" s="31">
        <f t="shared" si="90"/>
        <v>-2.3107177967926495E-9</v>
      </c>
      <c r="CA199" s="32">
        <f t="shared" si="91"/>
        <v>0</v>
      </c>
    </row>
    <row r="200" spans="1:79" x14ac:dyDescent="0.45">
      <c r="A200" s="31" t="s">
        <v>418</v>
      </c>
      <c r="B200" s="31" t="s">
        <v>426</v>
      </c>
      <c r="C200" s="31">
        <f>VLOOKUP($B200,'Tillförd energi'!$B$1:$AI$720,MATCH(C$1,'Tillförd energi'!$B$1:$AQ$1,0),FALSE)</f>
        <v>0</v>
      </c>
      <c r="D200" s="31">
        <f>VLOOKUP($B200,'Tillförd energi'!$B$1:$AI$720,MATCH(D$1,'Tillförd energi'!$B$1:$AQ$1,0),FALSE)</f>
        <v>3.5999999999999997E-2</v>
      </c>
      <c r="E200" s="31">
        <f>VLOOKUP($B200,'Tillförd energi'!$B$1:$AI$720,MATCH(E$1,'Tillförd energi'!$B$1:$AQ$1,0),FALSE)</f>
        <v>0</v>
      </c>
      <c r="F200" s="31">
        <f>VLOOKUP($B200,'Tillförd energi'!$B$1:$AI$720,MATCH(F$1,'Tillförd energi'!$B$1:$AQ$1,0),FALSE)</f>
        <v>0</v>
      </c>
      <c r="G200" s="31">
        <f>VLOOKUP($B200,'Tillförd energi'!$B$1:$AI$720,MATCH(G$1,'Tillförd energi'!$B$1:$AQ$1,0),FALSE)</f>
        <v>0</v>
      </c>
      <c r="H200" s="31">
        <f>VLOOKUP($B200,'Tillförd energi'!$B$1:$AI$720,MATCH(H$1,'Tillförd energi'!$B$1:$AQ$1,0),FALSE)</f>
        <v>0</v>
      </c>
      <c r="I200" s="31">
        <f>VLOOKUP($B200,'Tillförd energi'!$B$1:$AI$720,MATCH(I$1,'Tillförd energi'!$B$1:$AQ$1,0),FALSE)</f>
        <v>0</v>
      </c>
      <c r="J200" s="31">
        <f>VLOOKUP($B200,'Tillförd energi'!$B$1:$AI$720,MATCH(J$1,'Tillförd energi'!$B$1:$AQ$1,0),FALSE)</f>
        <v>0</v>
      </c>
      <c r="K200" s="31">
        <f>VLOOKUP($B200,'Tillförd energi'!$B$1:$AI$720,MATCH(K$1,'Tillförd energi'!$B$1:$AQ$1,0),FALSE)</f>
        <v>0</v>
      </c>
      <c r="L200" s="31">
        <f>VLOOKUP($B200,'Tillförd energi'!$B$1:$AI$720,MATCH(L$1,'Tillförd energi'!$B$1:$AQ$1,0),FALSE)</f>
        <v>0</v>
      </c>
      <c r="M200" s="31">
        <f>VLOOKUP($B200,'Tillförd energi'!$B$1:$AI$720,MATCH(M$1,'Tillförd energi'!$B$1:$AQ$1,0),FALSE)</f>
        <v>0</v>
      </c>
      <c r="N200" s="31">
        <f>VLOOKUP($B200,'Tillförd energi'!$B$1:$AI$720,MATCH(N$1,'Tillförd energi'!$B$1:$AQ$1,0),FALSE)</f>
        <v>0</v>
      </c>
      <c r="O200" s="31">
        <f>VLOOKUP($B200,'Tillförd energi'!$B$1:$AI$720,MATCH(O$1,'Tillförd energi'!$B$1:$AQ$1,0),FALSE)</f>
        <v>0</v>
      </c>
      <c r="P200" s="31">
        <f>VLOOKUP($B200,'Tillförd energi'!$B$1:$AI$720,MATCH(P$1,'Tillförd energi'!$B$1:$AQ$1,0),FALSE)</f>
        <v>0</v>
      </c>
      <c r="Q200" s="31">
        <f>VLOOKUP($B200,'Tillförd energi'!$B$1:$AI$720,MATCH(Q$1,'Tillförd energi'!$B$1:$AQ$1,0),FALSE)</f>
        <v>0</v>
      </c>
      <c r="R200" s="31">
        <f>VLOOKUP($B200,'Tillförd energi'!$B$1:$AI$720,MATCH(R$1,'Tillförd energi'!$B$1:$AQ$1,0),FALSE)</f>
        <v>3.347</v>
      </c>
      <c r="S200" s="31">
        <f>VLOOKUP($B200,'Tillförd energi'!$B$1:$AI$720,MATCH(S$1,'Tillförd energi'!$B$1:$AQ$1,0),FALSE)</f>
        <v>0</v>
      </c>
      <c r="T200" s="31">
        <f>VLOOKUP($B200,'Tillförd energi'!$B$1:$AI$720,MATCH(T$1,'Tillförd energi'!$B$1:$AQ$1,0),FALSE)</f>
        <v>0</v>
      </c>
      <c r="U200" s="31">
        <f>VLOOKUP($B200,'Tillförd energi'!$B$1:$AI$720,MATCH(U$1,'Tillförd energi'!$B$1:$AQ$1,0),FALSE)</f>
        <v>0</v>
      </c>
      <c r="V200" s="31">
        <f>VLOOKUP($B200,'Tillförd energi'!$B$1:$AI$720,MATCH(V$1,'Tillförd energi'!$B$1:$AQ$1,0),FALSE)</f>
        <v>0</v>
      </c>
      <c r="W200" s="31">
        <f>VLOOKUP($B200,'Tillförd energi'!$B$1:$AI$720,MATCH(W$1,'Tillförd energi'!$B$1:$AQ$1,0),FALSE)</f>
        <v>0</v>
      </c>
      <c r="X200" s="31">
        <f>VLOOKUP($B200,'Tillförd energi'!$B$1:$AI$720,MATCH(X$1,'Tillförd energi'!$B$1:$AQ$1,0),FALSE)</f>
        <v>0</v>
      </c>
      <c r="Y200" s="31">
        <f>VLOOKUP($B200,'Tillförd energi'!$B$1:$AI$720,MATCH(Y$1,'Tillförd energi'!$B$1:$AQ$1,0),FALSE)</f>
        <v>0</v>
      </c>
      <c r="Z200" s="31">
        <f>VLOOKUP($B200,'Tillförd energi'!$B$1:$AI$720,MATCH(Z$1,'Tillförd energi'!$B$1:$AQ$1,0),FALSE)</f>
        <v>0</v>
      </c>
      <c r="AA200" s="31">
        <f>VLOOKUP($B200,'Tillförd energi'!$B$1:$AI$720,MATCH(AA$1,'Tillförd energi'!$B$1:$AQ$1,0),FALSE)</f>
        <v>0</v>
      </c>
      <c r="AB200" s="31">
        <f>VLOOKUP($B200,'Tillförd energi'!$B$1:$AI$720,MATCH(AB$1,'Tillförd energi'!$B$1:$AQ$1,0),FALSE)</f>
        <v>0</v>
      </c>
      <c r="AC200" s="31">
        <f>VLOOKUP($B200,'Tillförd energi'!$B$1:$AI$720,MATCH(AC$1,'Tillförd energi'!$B$1:$AQ$1,0),FALSE)</f>
        <v>0</v>
      </c>
      <c r="AD200" s="31">
        <f>VLOOKUP($B200,'Tillförd energi'!$B$1:$AI$720,MATCH(AD$1,'Tillförd energi'!$B$1:$AQ$1,0),FALSE)</f>
        <v>0</v>
      </c>
      <c r="AE200" s="31">
        <f>VLOOKUP($B200,'Tillförd energi'!$B$1:$AI$720,MATCH(AE$1,'Tillförd energi'!$B$1:$AQ$1,0),FALSE)</f>
        <v>0</v>
      </c>
      <c r="AF200" s="31">
        <f>VLOOKUP($B200,'Tillförd energi'!$B$1:$AI$720,MATCH(AF$1,'Tillförd energi'!$B$1:$AQ$1,0),FALSE)</f>
        <v>6.7000000000000004E-2</v>
      </c>
      <c r="AG200" s="31">
        <f>IFERROR(VLOOKUP(B200,Miljö!$B$1:$AC$550,MATCH("Köpt mängd produktionsspecifik fjärrvärme:",Miljö!$B$1:$AC$1,0),FALSE)/1,0)</f>
        <v>0</v>
      </c>
      <c r="AI200" s="31">
        <f t="shared" si="69"/>
        <v>3.45</v>
      </c>
      <c r="AJ200" s="31">
        <f t="shared" si="70"/>
        <v>3.45</v>
      </c>
      <c r="AK200" s="31">
        <f>IF(ISERROR(1/VLOOKUP($B200,Leveranser!$B$1:$S$499,MATCH("Såld värme (GWh)",Leveranser!$B$1:$S$1,0),FALSE)),"",VLOOKUP($B200,Leveranser!$B$1:$S$499,MATCH("Såld värme (GWh)",Leveranser!$B$1:$S$1,0),FALSE))</f>
        <v>2.7909999999999999</v>
      </c>
      <c r="AL200" s="31">
        <f>VLOOKUP($B200,Leveranser!$B$1:$Y$499,MATCH("Totalt såld fjärrvärme till andra fjärrvärmeföretag",Leveranser!$B$1:$AA$1,0),FALSE)</f>
        <v>0</v>
      </c>
      <c r="AM200" s="31">
        <f>IF(ISERROR(1/VLOOKUP($B200,Miljö!$B$1:$S$500,MATCH("Såld mängd produktionsspecifik fjärrvärme (GWh)",Miljö!$B$1:$R$1,0),FALSE)),0,VLOOKUP($B200,Miljö!$B$1:$S$500,MATCH("Såld mängd produktionsspecifik fjärrvärme (GWh)",Miljö!$B$1:$R$1,0),FALSE))</f>
        <v>0</v>
      </c>
      <c r="AN200" s="32">
        <f t="shared" si="71"/>
        <v>0.80898550724637674</v>
      </c>
      <c r="AP200" s="31" t="str">
        <f>IFERROR(VLOOKUP($B200,Miljövärden!$B$2:$H$550,7,FALSE),"Nej, saknas")</f>
        <v>Ja</v>
      </c>
      <c r="AQ200" s="31" t="str">
        <f>IFERROR(VLOOKUP($B200,Miljövärden!$B$2:$H$551,6,FALSE),"Nej, saknas")</f>
        <v>Ja</v>
      </c>
      <c r="AU200" s="31">
        <f t="shared" si="72"/>
        <v>6.7000000000000004E-2</v>
      </c>
      <c r="AV200" s="31">
        <f t="shared" si="73"/>
        <v>0</v>
      </c>
      <c r="AW200" s="31">
        <f t="shared" si="74"/>
        <v>0</v>
      </c>
      <c r="AX200" s="31">
        <f t="shared" si="75"/>
        <v>3.347</v>
      </c>
      <c r="AZ200" s="31">
        <f t="shared" si="76"/>
        <v>3.347</v>
      </c>
      <c r="BC200" s="31">
        <f t="shared" si="77"/>
        <v>3.5999999999999997E-2</v>
      </c>
      <c r="BD200" s="31">
        <f t="shared" si="78"/>
        <v>0</v>
      </c>
      <c r="BE200" s="31">
        <f t="shared" si="79"/>
        <v>3.347</v>
      </c>
      <c r="BF200" s="31">
        <f t="shared" si="80"/>
        <v>0</v>
      </c>
      <c r="BG200" s="31">
        <f t="shared" si="81"/>
        <v>6.7000000000000004E-2</v>
      </c>
      <c r="BH200" s="31">
        <f>VLOOKUP(B200,Miljö!$B$1:$BX$482,MATCH("Fossilandel för ursprungspecificerad el ()",Miljö!$B$1:$I$1,0),FALSE)</f>
        <v>0</v>
      </c>
      <c r="BI200" s="31">
        <f>VLOOKUP(B200,Miljö!$B$1:$BX$482,MATCH("Kärnkraftsandel för ursprungsspecificerad el ()",Miljö!$B$1:$O$1,0),FALSE)</f>
        <v>0</v>
      </c>
      <c r="BJ200" s="31">
        <f t="shared" si="82"/>
        <v>0</v>
      </c>
      <c r="BK200" s="31" t="str">
        <f>VLOOKUP(B200,Miljö!$B$1:$P$482,MATCH("Fossil andel i procent (%)",Miljö!$B$1:$P$1,0),FALSE)</f>
        <v>ET</v>
      </c>
      <c r="BL200" s="31">
        <f t="shared" si="83"/>
        <v>3.45</v>
      </c>
      <c r="BO200" s="32">
        <f t="shared" si="84"/>
        <v>1.0434782608695651E-2</v>
      </c>
      <c r="BP200" s="32">
        <f t="shared" si="85"/>
        <v>0</v>
      </c>
      <c r="BQ200" s="32">
        <f t="shared" si="86"/>
        <v>0.98956521739130432</v>
      </c>
      <c r="BR200" s="32">
        <f t="shared" si="87"/>
        <v>0</v>
      </c>
      <c r="BT200" s="62">
        <f t="shared" si="88"/>
        <v>1</v>
      </c>
      <c r="BW200" s="32">
        <f>IF(AP200="Ja",VLOOKUP(B200,Miljövärden!$B$2:$H$551,MATCH("Total andel fossilt",Miljövärden!$B$2:$H$2,0),FALSE),"")</f>
        <v>1.0434799999999999E-2</v>
      </c>
      <c r="BX200" s="62">
        <f t="shared" si="89"/>
        <v>1.7391304348024494E-8</v>
      </c>
      <c r="BZ200" s="31">
        <f t="shared" si="90"/>
        <v>1.7391304348024494E-8</v>
      </c>
      <c r="CA200" s="32">
        <f t="shared" si="91"/>
        <v>0</v>
      </c>
    </row>
    <row r="201" spans="1:79" x14ac:dyDescent="0.45">
      <c r="A201" s="31" t="s">
        <v>418</v>
      </c>
      <c r="B201" s="31" t="s">
        <v>419</v>
      </c>
      <c r="C201" s="31">
        <f>VLOOKUP($B201,'Tillförd energi'!$B$1:$AI$720,MATCH(C$1,'Tillförd energi'!$B$1:$AQ$1,0),FALSE)</f>
        <v>0</v>
      </c>
      <c r="D201" s="31">
        <f>VLOOKUP($B201,'Tillförd energi'!$B$1:$AI$720,MATCH(D$1,'Tillförd energi'!$B$1:$AQ$1,0),FALSE)</f>
        <v>0.43</v>
      </c>
      <c r="E201" s="31">
        <f>VLOOKUP($B201,'Tillförd energi'!$B$1:$AI$720,MATCH(E$1,'Tillförd energi'!$B$1:$AQ$1,0),FALSE)</f>
        <v>0</v>
      </c>
      <c r="F201" s="31">
        <f>VLOOKUP($B201,'Tillförd energi'!$B$1:$AI$720,MATCH(F$1,'Tillförd energi'!$B$1:$AQ$1,0),FALSE)</f>
        <v>0</v>
      </c>
      <c r="G201" s="31">
        <f>VLOOKUP($B201,'Tillförd energi'!$B$1:$AI$720,MATCH(G$1,'Tillförd energi'!$B$1:$AQ$1,0),FALSE)</f>
        <v>0</v>
      </c>
      <c r="H201" s="31">
        <f>VLOOKUP($B201,'Tillförd energi'!$B$1:$AI$720,MATCH(H$1,'Tillförd energi'!$B$1:$AQ$1,0),FALSE)</f>
        <v>0</v>
      </c>
      <c r="I201" s="31">
        <f>VLOOKUP($B201,'Tillförd energi'!$B$1:$AI$720,MATCH(I$1,'Tillförd energi'!$B$1:$AQ$1,0),FALSE)</f>
        <v>0</v>
      </c>
      <c r="J201" s="31">
        <f>VLOOKUP($B201,'Tillförd energi'!$B$1:$AI$720,MATCH(J$1,'Tillförd energi'!$B$1:$AQ$1,0),FALSE)</f>
        <v>0</v>
      </c>
      <c r="K201" s="31">
        <f>VLOOKUP($B201,'Tillförd energi'!$B$1:$AI$720,MATCH(K$1,'Tillförd energi'!$B$1:$AQ$1,0),FALSE)</f>
        <v>0</v>
      </c>
      <c r="L201" s="31">
        <f>VLOOKUP($B201,'Tillförd energi'!$B$1:$AI$720,MATCH(L$1,'Tillförd energi'!$B$1:$AQ$1,0),FALSE)</f>
        <v>0</v>
      </c>
      <c r="M201" s="31">
        <f>VLOOKUP($B201,'Tillförd energi'!$B$1:$AI$720,MATCH(M$1,'Tillförd energi'!$B$1:$AQ$1,0),FALSE)</f>
        <v>0</v>
      </c>
      <c r="N201" s="31">
        <f>VLOOKUP($B201,'Tillförd energi'!$B$1:$AI$720,MATCH(N$1,'Tillförd energi'!$B$1:$AQ$1,0),FALSE)</f>
        <v>0</v>
      </c>
      <c r="O201" s="31">
        <f>VLOOKUP($B201,'Tillförd energi'!$B$1:$AI$720,MATCH(O$1,'Tillförd energi'!$B$1:$AQ$1,0),FALSE)</f>
        <v>0</v>
      </c>
      <c r="P201" s="31">
        <f>VLOOKUP($B201,'Tillförd energi'!$B$1:$AI$720,MATCH(P$1,'Tillförd energi'!$B$1:$AQ$1,0),FALSE)</f>
        <v>11.118</v>
      </c>
      <c r="Q201" s="31">
        <f>VLOOKUP($B201,'Tillförd energi'!$B$1:$AI$720,MATCH(Q$1,'Tillförd energi'!$B$1:$AQ$1,0),FALSE)</f>
        <v>0</v>
      </c>
      <c r="R201" s="31">
        <f>VLOOKUP($B201,'Tillförd energi'!$B$1:$AI$720,MATCH(R$1,'Tillförd energi'!$B$1:$AQ$1,0),FALSE)</f>
        <v>0</v>
      </c>
      <c r="S201" s="31">
        <f>VLOOKUP($B201,'Tillförd energi'!$B$1:$AI$720,MATCH(S$1,'Tillförd energi'!$B$1:$AQ$1,0),FALSE)</f>
        <v>0</v>
      </c>
      <c r="T201" s="31">
        <f>VLOOKUP($B201,'Tillförd energi'!$B$1:$AI$720,MATCH(T$1,'Tillförd energi'!$B$1:$AQ$1,0),FALSE)</f>
        <v>0</v>
      </c>
      <c r="U201" s="31">
        <f>VLOOKUP($B201,'Tillförd energi'!$B$1:$AI$720,MATCH(U$1,'Tillförd energi'!$B$1:$AQ$1,0),FALSE)</f>
        <v>0</v>
      </c>
      <c r="V201" s="31">
        <f>VLOOKUP($B201,'Tillförd energi'!$B$1:$AI$720,MATCH(V$1,'Tillförd energi'!$B$1:$AQ$1,0),FALSE)</f>
        <v>0</v>
      </c>
      <c r="W201" s="31">
        <f>VLOOKUP($B201,'Tillförd energi'!$B$1:$AI$720,MATCH(W$1,'Tillförd energi'!$B$1:$AQ$1,0),FALSE)</f>
        <v>0</v>
      </c>
      <c r="X201" s="31">
        <f>VLOOKUP($B201,'Tillförd energi'!$B$1:$AI$720,MATCH(X$1,'Tillförd energi'!$B$1:$AQ$1,0),FALSE)</f>
        <v>0</v>
      </c>
      <c r="Y201" s="31">
        <f>VLOOKUP($B201,'Tillförd energi'!$B$1:$AI$720,MATCH(Y$1,'Tillförd energi'!$B$1:$AQ$1,0),FALSE)</f>
        <v>0</v>
      </c>
      <c r="Z201" s="31">
        <f>VLOOKUP($B201,'Tillförd energi'!$B$1:$AI$720,MATCH(Z$1,'Tillförd energi'!$B$1:$AQ$1,0),FALSE)</f>
        <v>0</v>
      </c>
      <c r="AA201" s="31">
        <f>VLOOKUP($B201,'Tillförd energi'!$B$1:$AI$720,MATCH(AA$1,'Tillförd energi'!$B$1:$AQ$1,0),FALSE)</f>
        <v>0</v>
      </c>
      <c r="AB201" s="31">
        <f>VLOOKUP($B201,'Tillförd energi'!$B$1:$AI$720,MATCH(AB$1,'Tillförd energi'!$B$1:$AQ$1,0),FALSE)</f>
        <v>0</v>
      </c>
      <c r="AC201" s="31">
        <f>VLOOKUP($B201,'Tillförd energi'!$B$1:$AI$720,MATCH(AC$1,'Tillförd energi'!$B$1:$AQ$1,0),FALSE)</f>
        <v>0</v>
      </c>
      <c r="AD201" s="31">
        <f>VLOOKUP($B201,'Tillförd energi'!$B$1:$AI$720,MATCH(AD$1,'Tillförd energi'!$B$1:$AQ$1,0),FALSE)</f>
        <v>0</v>
      </c>
      <c r="AE201" s="31">
        <f>VLOOKUP($B201,'Tillförd energi'!$B$1:$AI$720,MATCH(AE$1,'Tillförd energi'!$B$1:$AQ$1,0),FALSE)</f>
        <v>0</v>
      </c>
      <c r="AF201" s="31">
        <f>VLOOKUP($B201,'Tillförd energi'!$B$1:$AI$720,MATCH(AF$1,'Tillförd energi'!$B$1:$AQ$1,0),FALSE)</f>
        <v>0.21199999999999999</v>
      </c>
      <c r="AG201" s="31">
        <f>IFERROR(VLOOKUP(B201,Miljö!$B$1:$AC$550,MATCH("Köpt mängd produktionsspecifik fjärrvärme:",Miljö!$B$1:$AC$1,0),FALSE)/1,0)</f>
        <v>0</v>
      </c>
      <c r="AI201" s="31">
        <f t="shared" si="69"/>
        <v>11.76</v>
      </c>
      <c r="AJ201" s="31">
        <f t="shared" si="70"/>
        <v>11.76</v>
      </c>
      <c r="AK201" s="31">
        <f>IF(ISERROR(1/VLOOKUP($B201,Leveranser!$B$1:$S$499,MATCH("Såld värme (GWh)",Leveranser!$B$1:$S$1,0),FALSE)),"",VLOOKUP($B201,Leveranser!$B$1:$S$499,MATCH("Såld värme (GWh)",Leveranser!$B$1:$S$1,0),FALSE))</f>
        <v>7.28</v>
      </c>
      <c r="AL201" s="31">
        <f>VLOOKUP($B201,Leveranser!$B$1:$Y$499,MATCH("Totalt såld fjärrvärme till andra fjärrvärmeföretag",Leveranser!$B$1:$AA$1,0),FALSE)</f>
        <v>0</v>
      </c>
      <c r="AM201" s="31">
        <f>IF(ISERROR(1/VLOOKUP($B201,Miljö!$B$1:$S$500,MATCH("Såld mängd produktionsspecifik fjärrvärme (GWh)",Miljö!$B$1:$R$1,0),FALSE)),0,VLOOKUP($B201,Miljö!$B$1:$S$500,MATCH("Såld mängd produktionsspecifik fjärrvärme (GWh)",Miljö!$B$1:$R$1,0),FALSE))</f>
        <v>0</v>
      </c>
      <c r="AN201" s="32">
        <f t="shared" si="71"/>
        <v>0.61904761904761907</v>
      </c>
      <c r="AP201" s="31" t="str">
        <f>IFERROR(VLOOKUP($B201,Miljövärden!$B$2:$H$550,7,FALSE),"Nej, saknas")</f>
        <v>Ja</v>
      </c>
      <c r="AQ201" s="31" t="str">
        <f>IFERROR(VLOOKUP($B201,Miljövärden!$B$2:$H$551,6,FALSE),"Nej, saknas")</f>
        <v>Ja</v>
      </c>
      <c r="AU201" s="31">
        <f t="shared" si="72"/>
        <v>0.21199999999999999</v>
      </c>
      <c r="AV201" s="31">
        <f t="shared" si="73"/>
        <v>0</v>
      </c>
      <c r="AW201" s="31">
        <f t="shared" si="74"/>
        <v>11.118</v>
      </c>
      <c r="AX201" s="31">
        <f t="shared" si="75"/>
        <v>0</v>
      </c>
      <c r="AZ201" s="31">
        <f t="shared" si="76"/>
        <v>11.118</v>
      </c>
      <c r="BC201" s="31">
        <f t="shared" si="77"/>
        <v>0.43</v>
      </c>
      <c r="BD201" s="31">
        <f t="shared" si="78"/>
        <v>0</v>
      </c>
      <c r="BE201" s="31">
        <f t="shared" si="79"/>
        <v>11.118</v>
      </c>
      <c r="BF201" s="31">
        <f t="shared" si="80"/>
        <v>0</v>
      </c>
      <c r="BG201" s="31">
        <f t="shared" si="81"/>
        <v>0.21199999999999999</v>
      </c>
      <c r="BH201" s="31">
        <f>VLOOKUP(B201,Miljö!$B$1:$BX$482,MATCH("Fossilandel för ursprungspecificerad el ()",Miljö!$B$1:$I$1,0),FALSE)</f>
        <v>0</v>
      </c>
      <c r="BI201" s="31">
        <f>VLOOKUP(B201,Miljö!$B$1:$BX$482,MATCH("Kärnkraftsandel för ursprungsspecificerad el ()",Miljö!$B$1:$O$1,0),FALSE)</f>
        <v>0</v>
      </c>
      <c r="BJ201" s="31">
        <f t="shared" si="82"/>
        <v>0</v>
      </c>
      <c r="BK201" s="31" t="str">
        <f>VLOOKUP(B201,Miljö!$B$1:$P$482,MATCH("Fossil andel i procent (%)",Miljö!$B$1:$P$1,0),FALSE)</f>
        <v>ET</v>
      </c>
      <c r="BL201" s="31">
        <f t="shared" si="83"/>
        <v>11.76</v>
      </c>
      <c r="BO201" s="32">
        <f t="shared" si="84"/>
        <v>3.6564625850340135E-2</v>
      </c>
      <c r="BP201" s="32">
        <f t="shared" si="85"/>
        <v>0</v>
      </c>
      <c r="BQ201" s="32">
        <f t="shared" si="86"/>
        <v>0.96343537414965985</v>
      </c>
      <c r="BR201" s="32">
        <f t="shared" si="87"/>
        <v>0</v>
      </c>
      <c r="BT201" s="62">
        <f t="shared" si="88"/>
        <v>1</v>
      </c>
      <c r="BW201" s="32">
        <f>IF(AP201="Ja",VLOOKUP(B201,Miljövärden!$B$2:$H$551,MATCH("Total andel fossilt",Miljövärden!$B$2:$H$2,0),FALSE),"")</f>
        <v>3.6564600000000003E-2</v>
      </c>
      <c r="BX201" s="62">
        <f t="shared" si="89"/>
        <v>-2.585034013236065E-8</v>
      </c>
      <c r="BZ201" s="31">
        <f t="shared" si="90"/>
        <v>-2.585034013236065E-8</v>
      </c>
      <c r="CA201" s="32">
        <f t="shared" si="91"/>
        <v>0</v>
      </c>
    </row>
    <row r="202" spans="1:79" x14ac:dyDescent="0.45">
      <c r="A202" s="31" t="s">
        <v>418</v>
      </c>
      <c r="B202" s="31" t="s">
        <v>423</v>
      </c>
      <c r="C202" s="31">
        <f>VLOOKUP($B202,'Tillförd energi'!$B$1:$AI$720,MATCH(C$1,'Tillförd energi'!$B$1:$AQ$1,0),FALSE)</f>
        <v>0</v>
      </c>
      <c r="D202" s="31">
        <f>VLOOKUP($B202,'Tillförd energi'!$B$1:$AI$720,MATCH(D$1,'Tillförd energi'!$B$1:$AQ$1,0),FALSE)</f>
        <v>0.54100000000000004</v>
      </c>
      <c r="E202" s="31">
        <f>VLOOKUP($B202,'Tillförd energi'!$B$1:$AI$720,MATCH(E$1,'Tillförd energi'!$B$1:$AQ$1,0),FALSE)</f>
        <v>0</v>
      </c>
      <c r="F202" s="31">
        <f>VLOOKUP($B202,'Tillförd energi'!$B$1:$AI$720,MATCH(F$1,'Tillförd energi'!$B$1:$AQ$1,0),FALSE)</f>
        <v>0</v>
      </c>
      <c r="G202" s="31">
        <f>VLOOKUP($B202,'Tillförd energi'!$B$1:$AI$720,MATCH(G$1,'Tillförd energi'!$B$1:$AQ$1,0),FALSE)</f>
        <v>0</v>
      </c>
      <c r="H202" s="31">
        <f>VLOOKUP($B202,'Tillförd energi'!$B$1:$AI$720,MATCH(H$1,'Tillförd energi'!$B$1:$AQ$1,0),FALSE)</f>
        <v>0</v>
      </c>
      <c r="I202" s="31">
        <f>VLOOKUP($B202,'Tillförd energi'!$B$1:$AI$720,MATCH(I$1,'Tillförd energi'!$B$1:$AQ$1,0),FALSE)</f>
        <v>0</v>
      </c>
      <c r="J202" s="31">
        <f>VLOOKUP($B202,'Tillförd energi'!$B$1:$AI$720,MATCH(J$1,'Tillförd energi'!$B$1:$AQ$1,0),FALSE)</f>
        <v>0</v>
      </c>
      <c r="K202" s="31">
        <f>VLOOKUP($B202,'Tillförd energi'!$B$1:$AI$720,MATCH(K$1,'Tillförd energi'!$B$1:$AQ$1,0),FALSE)</f>
        <v>0</v>
      </c>
      <c r="L202" s="31">
        <f>VLOOKUP($B202,'Tillförd energi'!$B$1:$AI$720,MATCH(L$1,'Tillförd energi'!$B$1:$AQ$1,0),FALSE)</f>
        <v>0</v>
      </c>
      <c r="M202" s="31">
        <f>VLOOKUP($B202,'Tillförd energi'!$B$1:$AI$720,MATCH(M$1,'Tillförd energi'!$B$1:$AQ$1,0),FALSE)</f>
        <v>0</v>
      </c>
      <c r="N202" s="31">
        <f>VLOOKUP($B202,'Tillförd energi'!$B$1:$AI$720,MATCH(N$1,'Tillförd energi'!$B$1:$AQ$1,0),FALSE)</f>
        <v>0</v>
      </c>
      <c r="O202" s="31">
        <f>VLOOKUP($B202,'Tillförd energi'!$B$1:$AI$720,MATCH(O$1,'Tillförd energi'!$B$1:$AQ$1,0),FALSE)</f>
        <v>0</v>
      </c>
      <c r="P202" s="31">
        <f>VLOOKUP($B202,'Tillförd energi'!$B$1:$AI$720,MATCH(P$1,'Tillförd energi'!$B$1:$AQ$1,0),FALSE)</f>
        <v>20.814</v>
      </c>
      <c r="Q202" s="31">
        <f>VLOOKUP($B202,'Tillförd energi'!$B$1:$AI$720,MATCH(Q$1,'Tillförd energi'!$B$1:$AQ$1,0),FALSE)</f>
        <v>0</v>
      </c>
      <c r="R202" s="31">
        <f>VLOOKUP($B202,'Tillförd energi'!$B$1:$AI$720,MATCH(R$1,'Tillförd energi'!$B$1:$AQ$1,0),FALSE)</f>
        <v>0</v>
      </c>
      <c r="S202" s="31">
        <f>VLOOKUP($B202,'Tillförd energi'!$B$1:$AI$720,MATCH(S$1,'Tillförd energi'!$B$1:$AQ$1,0),FALSE)</f>
        <v>0</v>
      </c>
      <c r="T202" s="31">
        <f>VLOOKUP($B202,'Tillförd energi'!$B$1:$AI$720,MATCH(T$1,'Tillförd energi'!$B$1:$AQ$1,0),FALSE)</f>
        <v>0</v>
      </c>
      <c r="U202" s="31">
        <f>VLOOKUP($B202,'Tillförd energi'!$B$1:$AI$720,MATCH(U$1,'Tillförd energi'!$B$1:$AQ$1,0),FALSE)</f>
        <v>0</v>
      </c>
      <c r="V202" s="31">
        <f>VLOOKUP($B202,'Tillförd energi'!$B$1:$AI$720,MATCH(V$1,'Tillförd energi'!$B$1:$AQ$1,0),FALSE)</f>
        <v>0</v>
      </c>
      <c r="W202" s="31">
        <f>VLOOKUP($B202,'Tillförd energi'!$B$1:$AI$720,MATCH(W$1,'Tillförd energi'!$B$1:$AQ$1,0),FALSE)</f>
        <v>0</v>
      </c>
      <c r="X202" s="31">
        <f>VLOOKUP($B202,'Tillförd energi'!$B$1:$AI$720,MATCH(X$1,'Tillförd energi'!$B$1:$AQ$1,0),FALSE)</f>
        <v>0</v>
      </c>
      <c r="Y202" s="31">
        <f>VLOOKUP($B202,'Tillförd energi'!$B$1:$AI$720,MATCH(Y$1,'Tillförd energi'!$B$1:$AQ$1,0),FALSE)</f>
        <v>0</v>
      </c>
      <c r="Z202" s="31">
        <f>VLOOKUP($B202,'Tillförd energi'!$B$1:$AI$720,MATCH(Z$1,'Tillförd energi'!$B$1:$AQ$1,0),FALSE)</f>
        <v>0</v>
      </c>
      <c r="AA202" s="31">
        <f>VLOOKUP($B202,'Tillförd energi'!$B$1:$AI$720,MATCH(AA$1,'Tillförd energi'!$B$1:$AQ$1,0),FALSE)</f>
        <v>0</v>
      </c>
      <c r="AB202" s="31">
        <f>VLOOKUP($B202,'Tillförd energi'!$B$1:$AI$720,MATCH(AB$1,'Tillförd energi'!$B$1:$AQ$1,0),FALSE)</f>
        <v>0</v>
      </c>
      <c r="AC202" s="31">
        <f>VLOOKUP($B202,'Tillförd energi'!$B$1:$AI$720,MATCH(AC$1,'Tillförd energi'!$B$1:$AQ$1,0),FALSE)</f>
        <v>0</v>
      </c>
      <c r="AD202" s="31">
        <f>VLOOKUP($B202,'Tillförd energi'!$B$1:$AI$720,MATCH(AD$1,'Tillförd energi'!$B$1:$AQ$1,0),FALSE)</f>
        <v>0</v>
      </c>
      <c r="AE202" s="31">
        <f>VLOOKUP($B202,'Tillförd energi'!$B$1:$AI$720,MATCH(AE$1,'Tillförd energi'!$B$1:$AQ$1,0),FALSE)</f>
        <v>0</v>
      </c>
      <c r="AF202" s="31">
        <f>VLOOKUP($B202,'Tillförd energi'!$B$1:$AI$720,MATCH(AF$1,'Tillförd energi'!$B$1:$AQ$1,0),FALSE)</f>
        <v>0.23899999999999999</v>
      </c>
      <c r="AG202" s="31">
        <f>IFERROR(VLOOKUP(B202,Miljö!$B$1:$AC$550,MATCH("Köpt mängd produktionsspecifik fjärrvärme:",Miljö!$B$1:$AC$1,0),FALSE)/1,0)</f>
        <v>0</v>
      </c>
      <c r="AI202" s="31">
        <f t="shared" si="69"/>
        <v>21.594000000000001</v>
      </c>
      <c r="AJ202" s="31">
        <f t="shared" si="70"/>
        <v>21.594000000000001</v>
      </c>
      <c r="AK202" s="31">
        <f>IF(ISERROR(1/VLOOKUP($B202,Leveranser!$B$1:$S$499,MATCH("Såld värme (GWh)",Leveranser!$B$1:$S$1,0),FALSE)),"",VLOOKUP($B202,Leveranser!$B$1:$S$499,MATCH("Såld värme (GWh)",Leveranser!$B$1:$S$1,0),FALSE))</f>
        <v>15.481999999999999</v>
      </c>
      <c r="AL202" s="31">
        <f>VLOOKUP($B202,Leveranser!$B$1:$Y$499,MATCH("Totalt såld fjärrvärme till andra fjärrvärmeföretag",Leveranser!$B$1:$AA$1,0),FALSE)</f>
        <v>0</v>
      </c>
      <c r="AM202" s="31">
        <f>IF(ISERROR(1/VLOOKUP($B202,Miljö!$B$1:$S$500,MATCH("Såld mängd produktionsspecifik fjärrvärme (GWh)",Miljö!$B$1:$R$1,0),FALSE)),0,VLOOKUP($B202,Miljö!$B$1:$S$500,MATCH("Såld mängd produktionsspecifik fjärrvärme (GWh)",Miljö!$B$1:$R$1,0),FALSE))</f>
        <v>0</v>
      </c>
      <c r="AN202" s="32">
        <f t="shared" si="71"/>
        <v>0.71695841437436314</v>
      </c>
      <c r="AP202" s="31" t="str">
        <f>IFERROR(VLOOKUP($B202,Miljövärden!$B$2:$H$550,7,FALSE),"Nej, saknas")</f>
        <v>Ja</v>
      </c>
      <c r="AQ202" s="31" t="str">
        <f>IFERROR(VLOOKUP($B202,Miljövärden!$B$2:$H$551,6,FALSE),"Nej, saknas")</f>
        <v>Ja</v>
      </c>
      <c r="AU202" s="31">
        <f t="shared" si="72"/>
        <v>0.23899999999999999</v>
      </c>
      <c r="AV202" s="31">
        <f t="shared" si="73"/>
        <v>0</v>
      </c>
      <c r="AW202" s="31">
        <f t="shared" si="74"/>
        <v>20.814</v>
      </c>
      <c r="AX202" s="31">
        <f t="shared" si="75"/>
        <v>0</v>
      </c>
      <c r="AZ202" s="31">
        <f t="shared" si="76"/>
        <v>20.814</v>
      </c>
      <c r="BC202" s="31">
        <f t="shared" si="77"/>
        <v>0.54100000000000004</v>
      </c>
      <c r="BD202" s="31">
        <f t="shared" si="78"/>
        <v>0</v>
      </c>
      <c r="BE202" s="31">
        <f t="shared" si="79"/>
        <v>20.814</v>
      </c>
      <c r="BF202" s="31">
        <f t="shared" si="80"/>
        <v>0</v>
      </c>
      <c r="BG202" s="31">
        <f t="shared" si="81"/>
        <v>0.23899999999999999</v>
      </c>
      <c r="BH202" s="31">
        <f>VLOOKUP(B202,Miljö!$B$1:$BX$482,MATCH("Fossilandel för ursprungspecificerad el ()",Miljö!$B$1:$I$1,0),FALSE)</f>
        <v>0</v>
      </c>
      <c r="BI202" s="31">
        <f>VLOOKUP(B202,Miljö!$B$1:$BX$482,MATCH("Kärnkraftsandel för ursprungsspecificerad el ()",Miljö!$B$1:$O$1,0),FALSE)</f>
        <v>0</v>
      </c>
      <c r="BJ202" s="31">
        <f t="shared" si="82"/>
        <v>0</v>
      </c>
      <c r="BK202" s="31" t="str">
        <f>VLOOKUP(B202,Miljö!$B$1:$P$482,MATCH("Fossil andel i procent (%)",Miljö!$B$1:$P$1,0),FALSE)</f>
        <v>ET</v>
      </c>
      <c r="BL202" s="31">
        <f t="shared" si="83"/>
        <v>21.594000000000001</v>
      </c>
      <c r="BO202" s="32">
        <f t="shared" si="84"/>
        <v>2.5053255533944614E-2</v>
      </c>
      <c r="BP202" s="32">
        <f t="shared" si="85"/>
        <v>0</v>
      </c>
      <c r="BQ202" s="32">
        <f t="shared" si="86"/>
        <v>0.97494674446605534</v>
      </c>
      <c r="BR202" s="32">
        <f t="shared" si="87"/>
        <v>0</v>
      </c>
      <c r="BT202" s="62">
        <f t="shared" si="88"/>
        <v>1</v>
      </c>
      <c r="BW202" s="32">
        <f>IF(AP202="Ja",VLOOKUP(B202,Miljövärden!$B$2:$H$551,MATCH("Total andel fossilt",Miljövärden!$B$2:$H$2,0),FALSE),"")</f>
        <v>2.5053300000000001E-2</v>
      </c>
      <c r="BX202" s="62">
        <f t="shared" si="89"/>
        <v>4.446605538638293E-8</v>
      </c>
      <c r="BZ202" s="31">
        <f t="shared" si="90"/>
        <v>4.446605538638293E-8</v>
      </c>
      <c r="CA202" s="32">
        <f t="shared" si="91"/>
        <v>0</v>
      </c>
    </row>
    <row r="203" spans="1:79" x14ac:dyDescent="0.45">
      <c r="A203" s="31" t="s">
        <v>418</v>
      </c>
      <c r="B203" s="31" t="s">
        <v>422</v>
      </c>
      <c r="C203" s="31">
        <f>VLOOKUP($B203,'Tillförd energi'!$B$1:$AI$720,MATCH(C$1,'Tillförd energi'!$B$1:$AQ$1,0),FALSE)</f>
        <v>0</v>
      </c>
      <c r="D203" s="31">
        <f>VLOOKUP($B203,'Tillförd energi'!$B$1:$AI$720,MATCH(D$1,'Tillförd energi'!$B$1:$AQ$1,0),FALSE)</f>
        <v>0</v>
      </c>
      <c r="E203" s="31">
        <f>VLOOKUP($B203,'Tillförd energi'!$B$1:$AI$720,MATCH(E$1,'Tillförd energi'!$B$1:$AQ$1,0),FALSE)</f>
        <v>0</v>
      </c>
      <c r="F203" s="31">
        <f>VLOOKUP($B203,'Tillförd energi'!$B$1:$AI$720,MATCH(F$1,'Tillförd energi'!$B$1:$AQ$1,0),FALSE)</f>
        <v>0</v>
      </c>
      <c r="G203" s="31">
        <f>VLOOKUP($B203,'Tillförd energi'!$B$1:$AI$720,MATCH(G$1,'Tillförd energi'!$B$1:$AQ$1,0),FALSE)</f>
        <v>0</v>
      </c>
      <c r="H203" s="31">
        <f>VLOOKUP($B203,'Tillförd energi'!$B$1:$AI$720,MATCH(H$1,'Tillförd energi'!$B$1:$AQ$1,0),FALSE)</f>
        <v>0</v>
      </c>
      <c r="I203" s="31">
        <f>VLOOKUP($B203,'Tillförd energi'!$B$1:$AI$720,MATCH(I$1,'Tillförd energi'!$B$1:$AQ$1,0),FALSE)</f>
        <v>0</v>
      </c>
      <c r="J203" s="31">
        <f>VLOOKUP($B203,'Tillförd energi'!$B$1:$AI$720,MATCH(J$1,'Tillförd energi'!$B$1:$AQ$1,0),FALSE)</f>
        <v>0</v>
      </c>
      <c r="K203" s="31">
        <f>VLOOKUP($B203,'Tillförd energi'!$B$1:$AI$720,MATCH(K$1,'Tillförd energi'!$B$1:$AQ$1,0),FALSE)</f>
        <v>0</v>
      </c>
      <c r="L203" s="31">
        <f>VLOOKUP($B203,'Tillförd energi'!$B$1:$AI$720,MATCH(L$1,'Tillförd energi'!$B$1:$AQ$1,0),FALSE)</f>
        <v>0</v>
      </c>
      <c r="M203" s="31">
        <f>VLOOKUP($B203,'Tillförd energi'!$B$1:$AI$720,MATCH(M$1,'Tillförd energi'!$B$1:$AQ$1,0),FALSE)</f>
        <v>0</v>
      </c>
      <c r="N203" s="31">
        <f>VLOOKUP($B203,'Tillförd energi'!$B$1:$AI$720,MATCH(N$1,'Tillförd energi'!$B$1:$AQ$1,0),FALSE)</f>
        <v>0</v>
      </c>
      <c r="O203" s="31">
        <f>VLOOKUP($B203,'Tillförd energi'!$B$1:$AI$720,MATCH(O$1,'Tillförd energi'!$B$1:$AQ$1,0),FALSE)</f>
        <v>0</v>
      </c>
      <c r="P203" s="31">
        <f>VLOOKUP($B203,'Tillförd energi'!$B$1:$AI$720,MATCH(P$1,'Tillförd energi'!$B$1:$AQ$1,0),FALSE)</f>
        <v>0</v>
      </c>
      <c r="Q203" s="31">
        <f>VLOOKUP($B203,'Tillförd energi'!$B$1:$AI$720,MATCH(Q$1,'Tillförd energi'!$B$1:$AQ$1,0),FALSE)</f>
        <v>0</v>
      </c>
      <c r="R203" s="31">
        <f>VLOOKUP($B203,'Tillförd energi'!$B$1:$AI$720,MATCH(R$1,'Tillförd energi'!$B$1:$AQ$1,0),FALSE)</f>
        <v>3.9340000000000002</v>
      </c>
      <c r="S203" s="31">
        <f>VLOOKUP($B203,'Tillförd energi'!$B$1:$AI$720,MATCH(S$1,'Tillförd energi'!$B$1:$AQ$1,0),FALSE)</f>
        <v>0</v>
      </c>
      <c r="T203" s="31">
        <f>VLOOKUP($B203,'Tillförd energi'!$B$1:$AI$720,MATCH(T$1,'Tillförd energi'!$B$1:$AQ$1,0),FALSE)</f>
        <v>0</v>
      </c>
      <c r="U203" s="31">
        <f>VLOOKUP($B203,'Tillförd energi'!$B$1:$AI$720,MATCH(U$1,'Tillförd energi'!$B$1:$AQ$1,0),FALSE)</f>
        <v>0</v>
      </c>
      <c r="V203" s="31">
        <f>VLOOKUP($B203,'Tillförd energi'!$B$1:$AI$720,MATCH(V$1,'Tillförd energi'!$B$1:$AQ$1,0),FALSE)</f>
        <v>0</v>
      </c>
      <c r="W203" s="31">
        <f>VLOOKUP($B203,'Tillförd energi'!$B$1:$AI$720,MATCH(W$1,'Tillförd energi'!$B$1:$AQ$1,0),FALSE)</f>
        <v>0</v>
      </c>
      <c r="X203" s="31">
        <f>VLOOKUP($B203,'Tillförd energi'!$B$1:$AI$720,MATCH(X$1,'Tillförd energi'!$B$1:$AQ$1,0),FALSE)</f>
        <v>0</v>
      </c>
      <c r="Y203" s="31">
        <f>VLOOKUP($B203,'Tillförd energi'!$B$1:$AI$720,MATCH(Y$1,'Tillförd energi'!$B$1:$AQ$1,0),FALSE)</f>
        <v>0</v>
      </c>
      <c r="Z203" s="31">
        <f>VLOOKUP($B203,'Tillförd energi'!$B$1:$AI$720,MATCH(Z$1,'Tillförd energi'!$B$1:$AQ$1,0),FALSE)</f>
        <v>0</v>
      </c>
      <c r="AA203" s="31">
        <f>VLOOKUP($B203,'Tillförd energi'!$B$1:$AI$720,MATCH(AA$1,'Tillförd energi'!$B$1:$AQ$1,0),FALSE)</f>
        <v>0</v>
      </c>
      <c r="AB203" s="31">
        <f>VLOOKUP($B203,'Tillförd energi'!$B$1:$AI$720,MATCH(AB$1,'Tillförd energi'!$B$1:$AQ$1,0),FALSE)</f>
        <v>0</v>
      </c>
      <c r="AC203" s="31">
        <f>VLOOKUP($B203,'Tillförd energi'!$B$1:$AI$720,MATCH(AC$1,'Tillförd energi'!$B$1:$AQ$1,0),FALSE)</f>
        <v>0</v>
      </c>
      <c r="AD203" s="31">
        <f>VLOOKUP($B203,'Tillförd energi'!$B$1:$AI$720,MATCH(AD$1,'Tillförd energi'!$B$1:$AQ$1,0),FALSE)</f>
        <v>0</v>
      </c>
      <c r="AE203" s="31">
        <f>VLOOKUP($B203,'Tillförd energi'!$B$1:$AI$720,MATCH(AE$1,'Tillförd energi'!$B$1:$AQ$1,0),FALSE)</f>
        <v>0</v>
      </c>
      <c r="AF203" s="31">
        <f>VLOOKUP($B203,'Tillförd energi'!$B$1:$AI$720,MATCH(AF$1,'Tillförd energi'!$B$1:$AQ$1,0),FALSE)</f>
        <v>1.0999999999999999E-2</v>
      </c>
      <c r="AG203" s="31">
        <f>IFERROR(VLOOKUP(B203,Miljö!$B$1:$AC$550,MATCH("Köpt mängd produktionsspecifik fjärrvärme:",Miljö!$B$1:$AC$1,0),FALSE)/1,0)</f>
        <v>0</v>
      </c>
      <c r="AI203" s="31">
        <f t="shared" si="69"/>
        <v>3.9450000000000003</v>
      </c>
      <c r="AJ203" s="31">
        <f t="shared" si="70"/>
        <v>3.9450000000000003</v>
      </c>
      <c r="AK203" s="31">
        <f>IF(ISERROR(1/VLOOKUP($B203,Leveranser!$B$1:$S$499,MATCH("Såld värme (GWh)",Leveranser!$B$1:$S$1,0),FALSE)),"",VLOOKUP($B203,Leveranser!$B$1:$S$499,MATCH("Såld värme (GWh)",Leveranser!$B$1:$S$1,0),FALSE))</f>
        <v>2.839</v>
      </c>
      <c r="AL203" s="31">
        <f>VLOOKUP($B203,Leveranser!$B$1:$Y$499,MATCH("Totalt såld fjärrvärme till andra fjärrvärmeföretag",Leveranser!$B$1:$AA$1,0),FALSE)</f>
        <v>0</v>
      </c>
      <c r="AM203" s="31">
        <f>IF(ISERROR(1/VLOOKUP($B203,Miljö!$B$1:$S$500,MATCH("Såld mängd produktionsspecifik fjärrvärme (GWh)",Miljö!$B$1:$R$1,0),FALSE)),0,VLOOKUP($B203,Miljö!$B$1:$S$500,MATCH("Såld mängd produktionsspecifik fjärrvärme (GWh)",Miljö!$B$1:$R$1,0),FALSE))</f>
        <v>0</v>
      </c>
      <c r="AN203" s="32">
        <f t="shared" si="71"/>
        <v>0.7196451204055766</v>
      </c>
      <c r="AP203" s="31" t="str">
        <f>IFERROR(VLOOKUP($B203,Miljövärden!$B$2:$H$550,7,FALSE),"Nej, saknas")</f>
        <v>Ja</v>
      </c>
      <c r="AQ203" s="31" t="str">
        <f>IFERROR(VLOOKUP($B203,Miljövärden!$B$2:$H$551,6,FALSE),"Nej, saknas")</f>
        <v>Ja</v>
      </c>
      <c r="AU203" s="31">
        <f t="shared" si="72"/>
        <v>1.0999999999999999E-2</v>
      </c>
      <c r="AV203" s="31">
        <f t="shared" si="73"/>
        <v>0</v>
      </c>
      <c r="AW203" s="31">
        <f t="shared" si="74"/>
        <v>0</v>
      </c>
      <c r="AX203" s="31">
        <f t="shared" si="75"/>
        <v>3.9340000000000002</v>
      </c>
      <c r="AZ203" s="31">
        <f t="shared" si="76"/>
        <v>3.9340000000000002</v>
      </c>
      <c r="BC203" s="31">
        <f t="shared" si="77"/>
        <v>0</v>
      </c>
      <c r="BD203" s="31">
        <f t="shared" si="78"/>
        <v>0</v>
      </c>
      <c r="BE203" s="31">
        <f t="shared" si="79"/>
        <v>3.9340000000000002</v>
      </c>
      <c r="BF203" s="31">
        <f t="shared" si="80"/>
        <v>0</v>
      </c>
      <c r="BG203" s="31">
        <f t="shared" si="81"/>
        <v>1.0999999999999999E-2</v>
      </c>
      <c r="BH203" s="31">
        <f>VLOOKUP(B203,Miljö!$B$1:$BX$482,MATCH("Fossilandel för ursprungspecificerad el ()",Miljö!$B$1:$I$1,0),FALSE)</f>
        <v>0</v>
      </c>
      <c r="BI203" s="31">
        <f>VLOOKUP(B203,Miljö!$B$1:$BX$482,MATCH("Kärnkraftsandel för ursprungsspecificerad el ()",Miljö!$B$1:$O$1,0),FALSE)</f>
        <v>0</v>
      </c>
      <c r="BJ203" s="31">
        <f t="shared" si="82"/>
        <v>0</v>
      </c>
      <c r="BK203" s="31" t="str">
        <f>VLOOKUP(B203,Miljö!$B$1:$P$482,MATCH("Fossil andel i procent (%)",Miljö!$B$1:$P$1,0),FALSE)</f>
        <v>ET</v>
      </c>
      <c r="BL203" s="31">
        <f t="shared" si="83"/>
        <v>3.9450000000000003</v>
      </c>
      <c r="BO203" s="32">
        <f t="shared" si="84"/>
        <v>0</v>
      </c>
      <c r="BP203" s="32">
        <f t="shared" si="85"/>
        <v>0</v>
      </c>
      <c r="BQ203" s="32">
        <f t="shared" si="86"/>
        <v>1</v>
      </c>
      <c r="BR203" s="32">
        <f t="shared" si="87"/>
        <v>0</v>
      </c>
      <c r="BT203" s="62">
        <f t="shared" si="88"/>
        <v>1</v>
      </c>
      <c r="BW203" s="32">
        <f>IF(AP203="Ja",VLOOKUP(B203,Miljövärden!$B$2:$H$551,MATCH("Total andel fossilt",Miljövärden!$B$2:$H$2,0),FALSE),"")</f>
        <v>0</v>
      </c>
      <c r="BX203" s="62">
        <f t="shared" si="89"/>
        <v>0</v>
      </c>
      <c r="BZ203" s="31">
        <f t="shared" si="90"/>
        <v>0</v>
      </c>
      <c r="CA203" s="32">
        <f t="shared" si="91"/>
        <v>0</v>
      </c>
    </row>
    <row r="204" spans="1:79" x14ac:dyDescent="0.45">
      <c r="A204" s="31" t="s">
        <v>418</v>
      </c>
      <c r="B204" s="31" t="s">
        <v>1183</v>
      </c>
      <c r="C204" s="31">
        <f>VLOOKUP($B204,'Tillförd energi'!$B$1:$AI$720,MATCH(C$1,'Tillförd energi'!$B$1:$AQ$1,0),FALSE)</f>
        <v>0</v>
      </c>
      <c r="D204" s="31">
        <f>VLOOKUP($B204,'Tillförd energi'!$B$1:$AI$720,MATCH(D$1,'Tillförd energi'!$B$1:$AQ$1,0),FALSE)</f>
        <v>0.19800000000000001</v>
      </c>
      <c r="E204" s="31">
        <f>VLOOKUP($B204,'Tillförd energi'!$B$1:$AI$720,MATCH(E$1,'Tillförd energi'!$B$1:$AQ$1,0),FALSE)</f>
        <v>0</v>
      </c>
      <c r="F204" s="31">
        <f>VLOOKUP($B204,'Tillförd energi'!$B$1:$AI$720,MATCH(F$1,'Tillförd energi'!$B$1:$AQ$1,0),FALSE)</f>
        <v>0</v>
      </c>
      <c r="G204" s="31">
        <f>VLOOKUP($B204,'Tillförd energi'!$B$1:$AI$720,MATCH(G$1,'Tillförd energi'!$B$1:$AQ$1,0),FALSE)</f>
        <v>0</v>
      </c>
      <c r="H204" s="31">
        <f>VLOOKUP($B204,'Tillförd energi'!$B$1:$AI$720,MATCH(H$1,'Tillförd energi'!$B$1:$AQ$1,0),FALSE)</f>
        <v>0</v>
      </c>
      <c r="I204" s="31">
        <f>VLOOKUP($B204,'Tillförd energi'!$B$1:$AI$720,MATCH(I$1,'Tillförd energi'!$B$1:$AQ$1,0),FALSE)</f>
        <v>0</v>
      </c>
      <c r="J204" s="31">
        <f>VLOOKUP($B204,'Tillförd energi'!$B$1:$AI$720,MATCH(J$1,'Tillförd energi'!$B$1:$AQ$1,0),FALSE)</f>
        <v>0</v>
      </c>
      <c r="K204" s="31">
        <f>VLOOKUP($B204,'Tillförd energi'!$B$1:$AI$720,MATCH(K$1,'Tillförd energi'!$B$1:$AQ$1,0),FALSE)</f>
        <v>0</v>
      </c>
      <c r="L204" s="31">
        <f>VLOOKUP($B204,'Tillförd energi'!$B$1:$AI$720,MATCH(L$1,'Tillförd energi'!$B$1:$AQ$1,0),FALSE)</f>
        <v>0</v>
      </c>
      <c r="M204" s="31">
        <f>VLOOKUP($B204,'Tillförd energi'!$B$1:$AI$720,MATCH(M$1,'Tillförd energi'!$B$1:$AQ$1,0),FALSE)</f>
        <v>0</v>
      </c>
      <c r="N204" s="31">
        <f>VLOOKUP($B204,'Tillförd energi'!$B$1:$AI$720,MATCH(N$1,'Tillförd energi'!$B$1:$AQ$1,0),FALSE)</f>
        <v>0</v>
      </c>
      <c r="O204" s="31">
        <f>VLOOKUP($B204,'Tillförd energi'!$B$1:$AI$720,MATCH(O$1,'Tillförd energi'!$B$1:$AQ$1,0),FALSE)</f>
        <v>0</v>
      </c>
      <c r="P204" s="31">
        <f>VLOOKUP($B204,'Tillförd energi'!$B$1:$AI$720,MATCH(P$1,'Tillförd energi'!$B$1:$AQ$1,0),FALSE)</f>
        <v>0</v>
      </c>
      <c r="Q204" s="31">
        <f>VLOOKUP($B204,'Tillförd energi'!$B$1:$AI$720,MATCH(Q$1,'Tillförd energi'!$B$1:$AQ$1,0),FALSE)</f>
        <v>0</v>
      </c>
      <c r="R204" s="31">
        <f>VLOOKUP($B204,'Tillförd energi'!$B$1:$AI$720,MATCH(R$1,'Tillförd energi'!$B$1:$AQ$1,0),FALSE)</f>
        <v>4.5259999999999998</v>
      </c>
      <c r="S204" s="31">
        <f>VLOOKUP($B204,'Tillförd energi'!$B$1:$AI$720,MATCH(S$1,'Tillförd energi'!$B$1:$AQ$1,0),FALSE)</f>
        <v>0</v>
      </c>
      <c r="T204" s="31">
        <f>VLOOKUP($B204,'Tillförd energi'!$B$1:$AI$720,MATCH(T$1,'Tillförd energi'!$B$1:$AQ$1,0),FALSE)</f>
        <v>0</v>
      </c>
      <c r="U204" s="31">
        <f>VLOOKUP($B204,'Tillförd energi'!$B$1:$AI$720,MATCH(U$1,'Tillförd energi'!$B$1:$AQ$1,0),FALSE)</f>
        <v>0</v>
      </c>
      <c r="V204" s="31">
        <f>VLOOKUP($B204,'Tillförd energi'!$B$1:$AI$720,MATCH(V$1,'Tillförd energi'!$B$1:$AQ$1,0),FALSE)</f>
        <v>0</v>
      </c>
      <c r="W204" s="31">
        <f>VLOOKUP($B204,'Tillförd energi'!$B$1:$AI$720,MATCH(W$1,'Tillförd energi'!$B$1:$AQ$1,0),FALSE)</f>
        <v>0</v>
      </c>
      <c r="X204" s="31">
        <f>VLOOKUP($B204,'Tillförd energi'!$B$1:$AI$720,MATCH(X$1,'Tillförd energi'!$B$1:$AQ$1,0),FALSE)</f>
        <v>0</v>
      </c>
      <c r="Y204" s="31">
        <f>VLOOKUP($B204,'Tillförd energi'!$B$1:$AI$720,MATCH(Y$1,'Tillförd energi'!$B$1:$AQ$1,0),FALSE)</f>
        <v>0</v>
      </c>
      <c r="Z204" s="31">
        <f>VLOOKUP($B204,'Tillförd energi'!$B$1:$AI$720,MATCH(Z$1,'Tillförd energi'!$B$1:$AQ$1,0),FALSE)</f>
        <v>0</v>
      </c>
      <c r="AA204" s="31">
        <f>VLOOKUP($B204,'Tillförd energi'!$B$1:$AI$720,MATCH(AA$1,'Tillförd energi'!$B$1:$AQ$1,0),FALSE)</f>
        <v>0</v>
      </c>
      <c r="AB204" s="31">
        <f>VLOOKUP($B204,'Tillförd energi'!$B$1:$AI$720,MATCH(AB$1,'Tillförd energi'!$B$1:$AQ$1,0),FALSE)</f>
        <v>0</v>
      </c>
      <c r="AC204" s="31">
        <f>VLOOKUP($B204,'Tillförd energi'!$B$1:$AI$720,MATCH(AC$1,'Tillförd energi'!$B$1:$AQ$1,0),FALSE)</f>
        <v>0</v>
      </c>
      <c r="AD204" s="31">
        <f>VLOOKUP($B204,'Tillförd energi'!$B$1:$AI$720,MATCH(AD$1,'Tillförd energi'!$B$1:$AQ$1,0),FALSE)</f>
        <v>0</v>
      </c>
      <c r="AE204" s="31">
        <f>VLOOKUP($B204,'Tillförd energi'!$B$1:$AI$720,MATCH(AE$1,'Tillförd energi'!$B$1:$AQ$1,0),FALSE)</f>
        <v>0</v>
      </c>
      <c r="AF204" s="31">
        <f>VLOOKUP($B204,'Tillförd energi'!$B$1:$AI$720,MATCH(AF$1,'Tillförd energi'!$B$1:$AQ$1,0),FALSE)</f>
        <v>9.9479999999999999E-2</v>
      </c>
      <c r="AG204" s="31">
        <f>IFERROR(VLOOKUP(B204,Miljö!$B$1:$AC$550,MATCH("Köpt mängd produktionsspecifik fjärrvärme:",Miljö!$B$1:$AC$1,0),FALSE)/1,0)</f>
        <v>0</v>
      </c>
      <c r="AI204" s="31">
        <f t="shared" si="69"/>
        <v>4.82348</v>
      </c>
      <c r="AJ204" s="31">
        <f t="shared" si="70"/>
        <v>4.82348</v>
      </c>
      <c r="AK204" s="31">
        <f>IF(ISERROR(1/VLOOKUP($B204,Leveranser!$B$1:$S$499,MATCH("Såld värme (GWh)",Leveranser!$B$1:$S$1,0),FALSE)),"",VLOOKUP($B204,Leveranser!$B$1:$S$499,MATCH("Såld värme (GWh)",Leveranser!$B$1:$S$1,0),FALSE))</f>
        <v>3.3159999999999998</v>
      </c>
      <c r="AL204" s="31">
        <f>VLOOKUP($B204,Leveranser!$B$1:$Y$499,MATCH("Totalt såld fjärrvärme till andra fjärrvärmeföretag",Leveranser!$B$1:$AA$1,0),FALSE)</f>
        <v>0</v>
      </c>
      <c r="AM204" s="31">
        <f>IF(ISERROR(1/VLOOKUP($B204,Miljö!$B$1:$S$500,MATCH("Såld mängd produktionsspecifik fjärrvärme (GWh)",Miljö!$B$1:$R$1,0),FALSE)),0,VLOOKUP($B204,Miljö!$B$1:$S$500,MATCH("Såld mängd produktionsspecifik fjärrvärme (GWh)",Miljö!$B$1:$R$1,0),FALSE))</f>
        <v>0</v>
      </c>
      <c r="AN204" s="32">
        <f t="shared" si="71"/>
        <v>0.68747045701443765</v>
      </c>
      <c r="AP204" s="31" t="str">
        <f>IFERROR(VLOOKUP($B204,Miljövärden!$B$2:$H$550,7,FALSE),"Nej, saknas")</f>
        <v>Ja</v>
      </c>
      <c r="AQ204" s="31" t="str">
        <f>IFERROR(VLOOKUP($B204,Miljövärden!$B$2:$H$551,6,FALSE),"Nej, saknas")</f>
        <v>Ja</v>
      </c>
      <c r="AU204" s="31">
        <f t="shared" si="72"/>
        <v>9.9479999999999999E-2</v>
      </c>
      <c r="AV204" s="31">
        <f t="shared" si="73"/>
        <v>0</v>
      </c>
      <c r="AW204" s="31">
        <f t="shared" si="74"/>
        <v>0</v>
      </c>
      <c r="AX204" s="31">
        <f t="shared" si="75"/>
        <v>4.5259999999999998</v>
      </c>
      <c r="AZ204" s="31">
        <f t="shared" si="76"/>
        <v>4.5259999999999998</v>
      </c>
      <c r="BC204" s="31">
        <f t="shared" si="77"/>
        <v>0.19800000000000001</v>
      </c>
      <c r="BD204" s="31">
        <f t="shared" si="78"/>
        <v>0</v>
      </c>
      <c r="BE204" s="31">
        <f t="shared" si="79"/>
        <v>4.5259999999999998</v>
      </c>
      <c r="BF204" s="31">
        <f t="shared" si="80"/>
        <v>0</v>
      </c>
      <c r="BG204" s="31">
        <f t="shared" si="81"/>
        <v>9.9479999999999999E-2</v>
      </c>
      <c r="BH204" s="31">
        <f>VLOOKUP(B204,Miljö!$B$1:$BX$482,MATCH("Fossilandel för ursprungspecificerad el ()",Miljö!$B$1:$I$1,0),FALSE)</f>
        <v>0</v>
      </c>
      <c r="BI204" s="31">
        <f>VLOOKUP(B204,Miljö!$B$1:$BX$482,MATCH("Kärnkraftsandel för ursprungsspecificerad el ()",Miljö!$B$1:$O$1,0),FALSE)</f>
        <v>0</v>
      </c>
      <c r="BJ204" s="31">
        <f t="shared" si="82"/>
        <v>0</v>
      </c>
      <c r="BK204" s="31" t="str">
        <f>VLOOKUP(B204,Miljö!$B$1:$P$482,MATCH("Fossil andel i procent (%)",Miljö!$B$1:$P$1,0),FALSE)</f>
        <v>ET</v>
      </c>
      <c r="BL204" s="31">
        <f t="shared" si="83"/>
        <v>4.82348</v>
      </c>
      <c r="BO204" s="32">
        <f t="shared" si="84"/>
        <v>4.1049200991815041E-2</v>
      </c>
      <c r="BP204" s="32">
        <f t="shared" si="85"/>
        <v>0</v>
      </c>
      <c r="BQ204" s="32">
        <f t="shared" si="86"/>
        <v>0.95895079900818492</v>
      </c>
      <c r="BR204" s="32">
        <f t="shared" si="87"/>
        <v>0</v>
      </c>
      <c r="BT204" s="62">
        <f t="shared" si="88"/>
        <v>1</v>
      </c>
      <c r="BW204" s="32">
        <f>IF(AP204="Ja",VLOOKUP(B204,Miljövärden!$B$2:$H$551,MATCH("Total andel fossilt",Miljövärden!$B$2:$H$2,0),FALSE),"")</f>
        <v>4.1049200000000001E-2</v>
      </c>
      <c r="BX204" s="62">
        <f t="shared" si="89"/>
        <v>-9.9181503981915498E-10</v>
      </c>
      <c r="BZ204" s="31">
        <f t="shared" si="90"/>
        <v>-9.9181503981915498E-10</v>
      </c>
      <c r="CA204" s="32">
        <f t="shared" si="91"/>
        <v>0</v>
      </c>
    </row>
    <row r="205" spans="1:79" x14ac:dyDescent="0.45">
      <c r="A205" s="31" t="s">
        <v>418</v>
      </c>
      <c r="B205" s="31" t="s">
        <v>1181</v>
      </c>
      <c r="C205" s="31">
        <f>VLOOKUP($B205,'Tillförd energi'!$B$1:$AI$720,MATCH(C$1,'Tillförd energi'!$B$1:$AQ$1,0),FALSE)</f>
        <v>0</v>
      </c>
      <c r="D205" s="31">
        <f>VLOOKUP($B205,'Tillförd energi'!$B$1:$AI$720,MATCH(D$1,'Tillförd energi'!$B$1:$AQ$1,0),FALSE)</f>
        <v>1.0999999999999999E-2</v>
      </c>
      <c r="E205" s="31">
        <f>VLOOKUP($B205,'Tillförd energi'!$B$1:$AI$720,MATCH(E$1,'Tillförd energi'!$B$1:$AQ$1,0),FALSE)</f>
        <v>0</v>
      </c>
      <c r="F205" s="31">
        <f>VLOOKUP($B205,'Tillförd energi'!$B$1:$AI$720,MATCH(F$1,'Tillförd energi'!$B$1:$AQ$1,0),FALSE)</f>
        <v>0</v>
      </c>
      <c r="G205" s="31">
        <f>VLOOKUP($B205,'Tillförd energi'!$B$1:$AI$720,MATCH(G$1,'Tillförd energi'!$B$1:$AQ$1,0),FALSE)</f>
        <v>0</v>
      </c>
      <c r="H205" s="31">
        <f>VLOOKUP($B205,'Tillförd energi'!$B$1:$AI$720,MATCH(H$1,'Tillförd energi'!$B$1:$AQ$1,0),FALSE)</f>
        <v>0</v>
      </c>
      <c r="I205" s="31">
        <f>VLOOKUP($B205,'Tillförd energi'!$B$1:$AI$720,MATCH(I$1,'Tillförd energi'!$B$1:$AQ$1,0),FALSE)</f>
        <v>0</v>
      </c>
      <c r="J205" s="31">
        <f>VLOOKUP($B205,'Tillförd energi'!$B$1:$AI$720,MATCH(J$1,'Tillförd energi'!$B$1:$AQ$1,0),FALSE)</f>
        <v>0</v>
      </c>
      <c r="K205" s="31">
        <f>VLOOKUP($B205,'Tillförd energi'!$B$1:$AI$720,MATCH(K$1,'Tillförd energi'!$B$1:$AQ$1,0),FALSE)</f>
        <v>0</v>
      </c>
      <c r="L205" s="31">
        <f>VLOOKUP($B205,'Tillförd energi'!$B$1:$AI$720,MATCH(L$1,'Tillförd energi'!$B$1:$AQ$1,0),FALSE)</f>
        <v>0</v>
      </c>
      <c r="M205" s="31">
        <f>VLOOKUP($B205,'Tillförd energi'!$B$1:$AI$720,MATCH(M$1,'Tillförd energi'!$B$1:$AQ$1,0),FALSE)</f>
        <v>0</v>
      </c>
      <c r="N205" s="31">
        <f>VLOOKUP($B205,'Tillförd energi'!$B$1:$AI$720,MATCH(N$1,'Tillförd energi'!$B$1:$AQ$1,0),FALSE)</f>
        <v>0</v>
      </c>
      <c r="O205" s="31">
        <f>VLOOKUP($B205,'Tillförd energi'!$B$1:$AI$720,MATCH(O$1,'Tillförd energi'!$B$1:$AQ$1,0),FALSE)</f>
        <v>0</v>
      </c>
      <c r="P205" s="31">
        <f>VLOOKUP($B205,'Tillförd energi'!$B$1:$AI$720,MATCH(P$1,'Tillförd energi'!$B$1:$AQ$1,0),FALSE)</f>
        <v>0</v>
      </c>
      <c r="Q205" s="31">
        <f>VLOOKUP($B205,'Tillförd energi'!$B$1:$AI$720,MATCH(Q$1,'Tillförd energi'!$B$1:$AQ$1,0),FALSE)</f>
        <v>0</v>
      </c>
      <c r="R205" s="31">
        <f>VLOOKUP($B205,'Tillförd energi'!$B$1:$AI$720,MATCH(R$1,'Tillförd energi'!$B$1:$AQ$1,0),FALSE)</f>
        <v>0.91900000000000004</v>
      </c>
      <c r="S205" s="31">
        <f>VLOOKUP($B205,'Tillförd energi'!$B$1:$AI$720,MATCH(S$1,'Tillförd energi'!$B$1:$AQ$1,0),FALSE)</f>
        <v>0</v>
      </c>
      <c r="T205" s="31">
        <f>VLOOKUP($B205,'Tillförd energi'!$B$1:$AI$720,MATCH(T$1,'Tillförd energi'!$B$1:$AQ$1,0),FALSE)</f>
        <v>0</v>
      </c>
      <c r="U205" s="31">
        <f>VLOOKUP($B205,'Tillförd energi'!$B$1:$AI$720,MATCH(U$1,'Tillförd energi'!$B$1:$AQ$1,0),FALSE)</f>
        <v>0</v>
      </c>
      <c r="V205" s="31">
        <f>VLOOKUP($B205,'Tillförd energi'!$B$1:$AI$720,MATCH(V$1,'Tillförd energi'!$B$1:$AQ$1,0),FALSE)</f>
        <v>0</v>
      </c>
      <c r="W205" s="31">
        <f>VLOOKUP($B205,'Tillförd energi'!$B$1:$AI$720,MATCH(W$1,'Tillförd energi'!$B$1:$AQ$1,0),FALSE)</f>
        <v>0</v>
      </c>
      <c r="X205" s="31">
        <f>VLOOKUP($B205,'Tillförd energi'!$B$1:$AI$720,MATCH(X$1,'Tillförd energi'!$B$1:$AQ$1,0),FALSE)</f>
        <v>0</v>
      </c>
      <c r="Y205" s="31">
        <f>VLOOKUP($B205,'Tillförd energi'!$B$1:$AI$720,MATCH(Y$1,'Tillförd energi'!$B$1:$AQ$1,0),FALSE)</f>
        <v>0</v>
      </c>
      <c r="Z205" s="31">
        <f>VLOOKUP($B205,'Tillförd energi'!$B$1:$AI$720,MATCH(Z$1,'Tillförd energi'!$B$1:$AQ$1,0),FALSE)</f>
        <v>0</v>
      </c>
      <c r="AA205" s="31">
        <f>VLOOKUP($B205,'Tillförd energi'!$B$1:$AI$720,MATCH(AA$1,'Tillförd energi'!$B$1:$AQ$1,0),FALSE)</f>
        <v>0</v>
      </c>
      <c r="AB205" s="31">
        <f>VLOOKUP($B205,'Tillförd energi'!$B$1:$AI$720,MATCH(AB$1,'Tillförd energi'!$B$1:$AQ$1,0),FALSE)</f>
        <v>0</v>
      </c>
      <c r="AC205" s="31">
        <f>VLOOKUP($B205,'Tillförd energi'!$B$1:$AI$720,MATCH(AC$1,'Tillförd energi'!$B$1:$AQ$1,0),FALSE)</f>
        <v>0</v>
      </c>
      <c r="AD205" s="31">
        <f>VLOOKUP($B205,'Tillförd energi'!$B$1:$AI$720,MATCH(AD$1,'Tillförd energi'!$B$1:$AQ$1,0),FALSE)</f>
        <v>0</v>
      </c>
      <c r="AE205" s="31">
        <f>VLOOKUP($B205,'Tillförd energi'!$B$1:$AI$720,MATCH(AE$1,'Tillförd energi'!$B$1:$AQ$1,0),FALSE)</f>
        <v>0</v>
      </c>
      <c r="AF205" s="31">
        <f>VLOOKUP($B205,'Tillförd energi'!$B$1:$AI$720,MATCH(AF$1,'Tillförd energi'!$B$1:$AQ$1,0),FALSE)</f>
        <v>7.0000000000000007E-2</v>
      </c>
      <c r="AG205" s="31">
        <f>IFERROR(VLOOKUP(B205,Miljö!$B$1:$AC$550,MATCH("Köpt mängd produktionsspecifik fjärrvärme:",Miljö!$B$1:$AC$1,0),FALSE)/1,0)</f>
        <v>0</v>
      </c>
      <c r="AI205" s="31">
        <f t="shared" si="69"/>
        <v>1</v>
      </c>
      <c r="AJ205" s="31">
        <f t="shared" si="70"/>
        <v>1</v>
      </c>
      <c r="AK205" s="31">
        <f>IF(ISERROR(1/VLOOKUP($B205,Leveranser!$B$1:$S$499,MATCH("Såld värme (GWh)",Leveranser!$B$1:$S$1,0),FALSE)),"",VLOOKUP($B205,Leveranser!$B$1:$S$499,MATCH("Såld värme (GWh)",Leveranser!$B$1:$S$1,0),FALSE))</f>
        <v>0.70899999999999996</v>
      </c>
      <c r="AL205" s="31">
        <f>VLOOKUP($B205,Leveranser!$B$1:$Y$499,MATCH("Totalt såld fjärrvärme till andra fjärrvärmeföretag",Leveranser!$B$1:$AA$1,0),FALSE)</f>
        <v>0</v>
      </c>
      <c r="AM205" s="31">
        <f>IF(ISERROR(1/VLOOKUP($B205,Miljö!$B$1:$S$500,MATCH("Såld mängd produktionsspecifik fjärrvärme (GWh)",Miljö!$B$1:$R$1,0),FALSE)),0,VLOOKUP($B205,Miljö!$B$1:$S$500,MATCH("Såld mängd produktionsspecifik fjärrvärme (GWh)",Miljö!$B$1:$R$1,0),FALSE))</f>
        <v>0</v>
      </c>
      <c r="AN205" s="32">
        <f t="shared" si="71"/>
        <v>0.70899999999999996</v>
      </c>
      <c r="AP205" s="31" t="str">
        <f>IFERROR(VLOOKUP($B205,Miljövärden!$B$2:$H$550,7,FALSE),"Nej, saknas")</f>
        <v>Ja</v>
      </c>
      <c r="AQ205" s="31" t="str">
        <f>IFERROR(VLOOKUP($B205,Miljövärden!$B$2:$H$551,6,FALSE),"Nej, saknas")</f>
        <v>Ja</v>
      </c>
      <c r="AU205" s="31">
        <f t="shared" si="72"/>
        <v>7.0000000000000007E-2</v>
      </c>
      <c r="AV205" s="31">
        <f t="shared" si="73"/>
        <v>0</v>
      </c>
      <c r="AW205" s="31">
        <f t="shared" si="74"/>
        <v>0</v>
      </c>
      <c r="AX205" s="31">
        <f t="shared" si="75"/>
        <v>0.91900000000000004</v>
      </c>
      <c r="AZ205" s="31">
        <f t="shared" si="76"/>
        <v>0.91900000000000004</v>
      </c>
      <c r="BC205" s="31">
        <f t="shared" si="77"/>
        <v>1.0999999999999999E-2</v>
      </c>
      <c r="BD205" s="31">
        <f t="shared" si="78"/>
        <v>0</v>
      </c>
      <c r="BE205" s="31">
        <f t="shared" si="79"/>
        <v>0.91900000000000004</v>
      </c>
      <c r="BF205" s="31">
        <f t="shared" si="80"/>
        <v>0</v>
      </c>
      <c r="BG205" s="31">
        <f t="shared" si="81"/>
        <v>7.0000000000000007E-2</v>
      </c>
      <c r="BH205" s="31">
        <f>VLOOKUP(B205,Miljö!$B$1:$BX$482,MATCH("Fossilandel för ursprungspecificerad el ()",Miljö!$B$1:$I$1,0),FALSE)</f>
        <v>0</v>
      </c>
      <c r="BI205" s="31">
        <f>VLOOKUP(B205,Miljö!$B$1:$BX$482,MATCH("Kärnkraftsandel för ursprungsspecificerad el ()",Miljö!$B$1:$O$1,0),FALSE)</f>
        <v>0</v>
      </c>
      <c r="BJ205" s="31">
        <f t="shared" si="82"/>
        <v>0</v>
      </c>
      <c r="BK205" s="31" t="str">
        <f>VLOOKUP(B205,Miljö!$B$1:$P$482,MATCH("Fossil andel i procent (%)",Miljö!$B$1:$P$1,0),FALSE)</f>
        <v>ET</v>
      </c>
      <c r="BL205" s="31">
        <f t="shared" si="83"/>
        <v>1</v>
      </c>
      <c r="BO205" s="32">
        <f t="shared" si="84"/>
        <v>1.0999999999999999E-2</v>
      </c>
      <c r="BP205" s="32">
        <f t="shared" si="85"/>
        <v>0</v>
      </c>
      <c r="BQ205" s="32">
        <f t="shared" si="86"/>
        <v>0.9890000000000001</v>
      </c>
      <c r="BR205" s="32">
        <f t="shared" si="87"/>
        <v>0</v>
      </c>
      <c r="BT205" s="62">
        <f t="shared" si="88"/>
        <v>1</v>
      </c>
      <c r="BW205" s="32">
        <f>IF(AP205="Ja",VLOOKUP(B205,Miljövärden!$B$2:$H$551,MATCH("Total andel fossilt",Miljövärden!$B$2:$H$2,0),FALSE),"")</f>
        <v>1.0999999999999999E-2</v>
      </c>
      <c r="BX205" s="62">
        <f t="shared" si="89"/>
        <v>0</v>
      </c>
      <c r="BZ205" s="31">
        <f t="shared" si="90"/>
        <v>0</v>
      </c>
      <c r="CA205" s="32">
        <f t="shared" si="91"/>
        <v>0</v>
      </c>
    </row>
    <row r="206" spans="1:79" x14ac:dyDescent="0.45">
      <c r="A206" s="31" t="s">
        <v>416</v>
      </c>
      <c r="B206" s="31" t="s">
        <v>417</v>
      </c>
      <c r="C206" s="31">
        <f>VLOOKUP($B206,'Tillförd energi'!$B$1:$AI$720,MATCH(C$1,'Tillförd energi'!$B$1:$AQ$1,0),FALSE)</f>
        <v>0</v>
      </c>
      <c r="D206" s="31">
        <f>VLOOKUP($B206,'Tillförd energi'!$B$1:$AI$720,MATCH(D$1,'Tillförd energi'!$B$1:$AQ$1,0),FALSE)</f>
        <v>0</v>
      </c>
      <c r="E206" s="31">
        <f>VLOOKUP($B206,'Tillförd energi'!$B$1:$AI$720,MATCH(E$1,'Tillförd energi'!$B$1:$AQ$1,0),FALSE)</f>
        <v>0</v>
      </c>
      <c r="F206" s="31">
        <f>VLOOKUP($B206,'Tillförd energi'!$B$1:$AI$720,MATCH(F$1,'Tillförd energi'!$B$1:$AQ$1,0),FALSE)</f>
        <v>0</v>
      </c>
      <c r="G206" s="31">
        <f>VLOOKUP($B206,'Tillförd energi'!$B$1:$AI$720,MATCH(G$1,'Tillförd energi'!$B$1:$AQ$1,0),FALSE)</f>
        <v>0</v>
      </c>
      <c r="H206" s="31">
        <f>VLOOKUP($B206,'Tillförd energi'!$B$1:$AI$720,MATCH(H$1,'Tillförd energi'!$B$1:$AQ$1,0),FALSE)</f>
        <v>0</v>
      </c>
      <c r="I206" s="31">
        <f>VLOOKUP($B206,'Tillförd energi'!$B$1:$AI$720,MATCH(I$1,'Tillförd energi'!$B$1:$AQ$1,0),FALSE)</f>
        <v>0</v>
      </c>
      <c r="J206" s="31">
        <f>VLOOKUP($B206,'Tillförd energi'!$B$1:$AI$720,MATCH(J$1,'Tillförd energi'!$B$1:$AQ$1,0),FALSE)</f>
        <v>0</v>
      </c>
      <c r="K206" s="31">
        <f>VLOOKUP($B206,'Tillförd energi'!$B$1:$AI$720,MATCH(K$1,'Tillförd energi'!$B$1:$AQ$1,0),FALSE)</f>
        <v>0</v>
      </c>
      <c r="L206" s="31">
        <f>VLOOKUP($B206,'Tillförd energi'!$B$1:$AI$720,MATCH(L$1,'Tillförd energi'!$B$1:$AQ$1,0),FALSE)</f>
        <v>0</v>
      </c>
      <c r="M206" s="31">
        <f>VLOOKUP($B206,'Tillförd energi'!$B$1:$AI$720,MATCH(M$1,'Tillförd energi'!$B$1:$AQ$1,0),FALSE)</f>
        <v>0</v>
      </c>
      <c r="N206" s="31">
        <f>VLOOKUP($B206,'Tillförd energi'!$B$1:$AI$720,MATCH(N$1,'Tillförd energi'!$B$1:$AQ$1,0),FALSE)</f>
        <v>0</v>
      </c>
      <c r="O206" s="31">
        <f>VLOOKUP($B206,'Tillförd energi'!$B$1:$AI$720,MATCH(O$1,'Tillförd energi'!$B$1:$AQ$1,0),FALSE)</f>
        <v>0</v>
      </c>
      <c r="P206" s="31">
        <f>VLOOKUP($B206,'Tillförd energi'!$B$1:$AI$720,MATCH(P$1,'Tillförd energi'!$B$1:$AQ$1,0),FALSE)</f>
        <v>0</v>
      </c>
      <c r="Q206" s="31">
        <f>VLOOKUP($B206,'Tillförd energi'!$B$1:$AI$720,MATCH(Q$1,'Tillförd energi'!$B$1:$AQ$1,0),FALSE)</f>
        <v>5.5305900000000001</v>
      </c>
      <c r="R206" s="31">
        <f>VLOOKUP($B206,'Tillförd energi'!$B$1:$AI$720,MATCH(R$1,'Tillförd energi'!$B$1:$AQ$1,0),FALSE)</f>
        <v>0</v>
      </c>
      <c r="S206" s="31">
        <f>VLOOKUP($B206,'Tillförd energi'!$B$1:$AI$720,MATCH(S$1,'Tillförd energi'!$B$1:$AQ$1,0),FALSE)</f>
        <v>0</v>
      </c>
      <c r="T206" s="31">
        <f>VLOOKUP($B206,'Tillförd energi'!$B$1:$AI$720,MATCH(T$1,'Tillförd energi'!$B$1:$AQ$1,0),FALSE)</f>
        <v>0</v>
      </c>
      <c r="U206" s="31">
        <f>VLOOKUP($B206,'Tillförd energi'!$B$1:$AI$720,MATCH(U$1,'Tillförd energi'!$B$1:$AQ$1,0),FALSE)</f>
        <v>0</v>
      </c>
      <c r="V206" s="31">
        <f>VLOOKUP($B206,'Tillförd energi'!$B$1:$AI$720,MATCH(V$1,'Tillförd energi'!$B$1:$AQ$1,0),FALSE)</f>
        <v>0</v>
      </c>
      <c r="W206" s="31">
        <f>VLOOKUP($B206,'Tillförd energi'!$B$1:$AI$720,MATCH(W$1,'Tillförd energi'!$B$1:$AQ$1,0),FALSE)</f>
        <v>0</v>
      </c>
      <c r="X206" s="31">
        <f>VLOOKUP($B206,'Tillförd energi'!$B$1:$AI$720,MATCH(X$1,'Tillförd energi'!$B$1:$AQ$1,0),FALSE)</f>
        <v>0</v>
      </c>
      <c r="Y206" s="31">
        <f>VLOOKUP($B206,'Tillförd energi'!$B$1:$AI$720,MATCH(Y$1,'Tillförd energi'!$B$1:$AQ$1,0),FALSE)</f>
        <v>0</v>
      </c>
      <c r="Z206" s="31">
        <f>VLOOKUP($B206,'Tillförd energi'!$B$1:$AI$720,MATCH(Z$1,'Tillförd energi'!$B$1:$AQ$1,0),FALSE)</f>
        <v>0</v>
      </c>
      <c r="AA206" s="31">
        <f>VLOOKUP($B206,'Tillförd energi'!$B$1:$AI$720,MATCH(AA$1,'Tillförd energi'!$B$1:$AQ$1,0),FALSE)</f>
        <v>0</v>
      </c>
      <c r="AB206" s="31">
        <f>VLOOKUP($B206,'Tillförd energi'!$B$1:$AI$720,MATCH(AB$1,'Tillförd energi'!$B$1:$AQ$1,0),FALSE)</f>
        <v>0</v>
      </c>
      <c r="AC206" s="31">
        <f>VLOOKUP($B206,'Tillförd energi'!$B$1:$AI$720,MATCH(AC$1,'Tillförd energi'!$B$1:$AQ$1,0),FALSE)</f>
        <v>0</v>
      </c>
      <c r="AD206" s="31">
        <f>VLOOKUP($B206,'Tillförd energi'!$B$1:$AI$720,MATCH(AD$1,'Tillförd energi'!$B$1:$AQ$1,0),FALSE)</f>
        <v>0</v>
      </c>
      <c r="AE206" s="31">
        <f>VLOOKUP($B206,'Tillförd energi'!$B$1:$AI$720,MATCH(AE$1,'Tillförd energi'!$B$1:$AQ$1,0),FALSE)</f>
        <v>0</v>
      </c>
      <c r="AF206" s="31">
        <f>VLOOKUP($B206,'Tillförd energi'!$B$1:$AI$720,MATCH(AF$1,'Tillförd energi'!$B$1:$AQ$1,0),FALSE)</f>
        <v>0.11550000000000001</v>
      </c>
      <c r="AG206" s="31">
        <f>IFERROR(VLOOKUP(B206,Miljö!$B$1:$AC$550,MATCH("Köpt mängd produktionsspecifik fjärrvärme:",Miljö!$B$1:$AC$1,0),FALSE)/1,0)</f>
        <v>0</v>
      </c>
      <c r="AI206" s="31">
        <f t="shared" si="69"/>
        <v>5.6460900000000001</v>
      </c>
      <c r="AJ206" s="31">
        <f t="shared" si="70"/>
        <v>5.6460900000000001</v>
      </c>
      <c r="AK206" s="31">
        <f>IF(ISERROR(1/VLOOKUP($B206,Leveranser!$B$1:$S$499,MATCH("Såld värme (GWh)",Leveranser!$B$1:$S$1,0),FALSE)),"",VLOOKUP($B206,Leveranser!$B$1:$S$499,MATCH("Såld värme (GWh)",Leveranser!$B$1:$S$1,0),FALSE))</f>
        <v>3.85</v>
      </c>
      <c r="AL206" s="31">
        <f>VLOOKUP($B206,Leveranser!$B$1:$Y$499,MATCH("Totalt såld fjärrvärme till andra fjärrvärmeföretag",Leveranser!$B$1:$AA$1,0),FALSE)</f>
        <v>0</v>
      </c>
      <c r="AM206" s="31">
        <f>IF(ISERROR(1/VLOOKUP($B206,Miljö!$B$1:$S$500,MATCH("Såld mängd produktionsspecifik fjärrvärme (GWh)",Miljö!$B$1:$R$1,0),FALSE)),0,VLOOKUP($B206,Miljö!$B$1:$S$500,MATCH("Såld mängd produktionsspecifik fjärrvärme (GWh)",Miljö!$B$1:$R$1,0),FALSE))</f>
        <v>0</v>
      </c>
      <c r="AN206" s="32">
        <f t="shared" si="71"/>
        <v>0.68188781971240275</v>
      </c>
      <c r="AP206" s="31" t="str">
        <f>IFERROR(VLOOKUP($B206,Miljövärden!$B$2:$H$550,7,FALSE),"Nej, saknas")</f>
        <v>Ja</v>
      </c>
      <c r="AQ206" s="31" t="str">
        <f>IFERROR(VLOOKUP($B206,Miljövärden!$B$2:$H$551,6,FALSE),"Nej, saknas")</f>
        <v>Ja</v>
      </c>
      <c r="AU206" s="31">
        <f t="shared" si="72"/>
        <v>0.11550000000000001</v>
      </c>
      <c r="AV206" s="31">
        <f t="shared" si="73"/>
        <v>0</v>
      </c>
      <c r="AW206" s="31">
        <f t="shared" si="74"/>
        <v>5.5305900000000001</v>
      </c>
      <c r="AX206" s="31">
        <f t="shared" si="75"/>
        <v>0</v>
      </c>
      <c r="AZ206" s="31">
        <f t="shared" si="76"/>
        <v>5.5305900000000001</v>
      </c>
      <c r="BC206" s="31">
        <f t="shared" si="77"/>
        <v>0</v>
      </c>
      <c r="BD206" s="31">
        <f t="shared" si="78"/>
        <v>0</v>
      </c>
      <c r="BE206" s="31">
        <f t="shared" si="79"/>
        <v>5.5305900000000001</v>
      </c>
      <c r="BF206" s="31">
        <f t="shared" si="80"/>
        <v>0</v>
      </c>
      <c r="BG206" s="31">
        <f t="shared" si="81"/>
        <v>0.11550000000000001</v>
      </c>
      <c r="BH206" s="31">
        <f>VLOOKUP(B206,Miljö!$B$1:$BX$482,MATCH("Fossilandel för ursprungspecificerad el ()",Miljö!$B$1:$I$1,0),FALSE)</f>
        <v>0.35</v>
      </c>
      <c r="BI206" s="31">
        <f>VLOOKUP(B206,Miljö!$B$1:$BX$482,MATCH("Kärnkraftsandel för ursprungsspecificerad el ()",Miljö!$B$1:$O$1,0),FALSE)</f>
        <v>0.3977</v>
      </c>
      <c r="BJ206" s="31">
        <f t="shared" si="82"/>
        <v>0</v>
      </c>
      <c r="BK206" s="31" t="str">
        <f>VLOOKUP(B206,Miljö!$B$1:$P$482,MATCH("Fossil andel i procent (%)",Miljö!$B$1:$P$1,0),FALSE)</f>
        <v>ET</v>
      </c>
      <c r="BL206" s="31">
        <f t="shared" si="83"/>
        <v>5.6460900000000001</v>
      </c>
      <c r="BO206" s="32">
        <f t="shared" si="84"/>
        <v>7.1598221069802291E-3</v>
      </c>
      <c r="BP206" s="32">
        <f t="shared" si="85"/>
        <v>8.1356035769886773E-3</v>
      </c>
      <c r="BQ206" s="32">
        <f t="shared" si="86"/>
        <v>0.9847045743160312</v>
      </c>
      <c r="BR206" s="32">
        <f t="shared" si="87"/>
        <v>0</v>
      </c>
      <c r="BT206" s="62">
        <f t="shared" si="88"/>
        <v>1</v>
      </c>
      <c r="BW206" s="32">
        <f>IF(AP206="Ja",VLOOKUP(B206,Miljövärden!$B$2:$H$551,MATCH("Total andel fossilt",Miljövärden!$B$2:$H$2,0),FALSE),"")</f>
        <v>7.1598199999999999E-3</v>
      </c>
      <c r="BX206" s="62">
        <f t="shared" si="89"/>
        <v>-2.1069802291773243E-9</v>
      </c>
      <c r="BZ206" s="31">
        <f t="shared" si="90"/>
        <v>-2.1069802291773243E-9</v>
      </c>
      <c r="CA206" s="32">
        <f t="shared" si="91"/>
        <v>0</v>
      </c>
    </row>
    <row r="207" spans="1:79" x14ac:dyDescent="0.45">
      <c r="A207" s="31" t="s">
        <v>416</v>
      </c>
      <c r="B207" s="31" t="s">
        <v>415</v>
      </c>
      <c r="C207" s="31">
        <f>VLOOKUP($B207,'Tillförd energi'!$B$1:$AI$720,MATCH(C$1,'Tillförd energi'!$B$1:$AQ$1,0),FALSE)</f>
        <v>0</v>
      </c>
      <c r="D207" s="31">
        <f>VLOOKUP($B207,'Tillförd energi'!$B$1:$AI$720,MATCH(D$1,'Tillförd energi'!$B$1:$AQ$1,0),FALSE)</f>
        <v>0.375</v>
      </c>
      <c r="E207" s="31">
        <f>VLOOKUP($B207,'Tillförd energi'!$B$1:$AI$720,MATCH(E$1,'Tillförd energi'!$B$1:$AQ$1,0),FALSE)</f>
        <v>0</v>
      </c>
      <c r="F207" s="31">
        <f>VLOOKUP($B207,'Tillförd energi'!$B$1:$AI$720,MATCH(F$1,'Tillförd energi'!$B$1:$AQ$1,0),FALSE)</f>
        <v>0</v>
      </c>
      <c r="G207" s="31">
        <f>VLOOKUP($B207,'Tillförd energi'!$B$1:$AI$720,MATCH(G$1,'Tillförd energi'!$B$1:$AQ$1,0),FALSE)</f>
        <v>0</v>
      </c>
      <c r="H207" s="31">
        <f>VLOOKUP($B207,'Tillförd energi'!$B$1:$AI$720,MATCH(H$1,'Tillförd energi'!$B$1:$AQ$1,0),FALSE)</f>
        <v>0</v>
      </c>
      <c r="I207" s="31">
        <f>VLOOKUP($B207,'Tillförd energi'!$B$1:$AI$720,MATCH(I$1,'Tillförd energi'!$B$1:$AQ$1,0),FALSE)</f>
        <v>0</v>
      </c>
      <c r="J207" s="31">
        <f>VLOOKUP($B207,'Tillförd energi'!$B$1:$AI$720,MATCH(J$1,'Tillförd energi'!$B$1:$AQ$1,0),FALSE)</f>
        <v>0</v>
      </c>
      <c r="K207" s="31">
        <f>VLOOKUP($B207,'Tillförd energi'!$B$1:$AI$720,MATCH(K$1,'Tillförd energi'!$B$1:$AQ$1,0),FALSE)</f>
        <v>0</v>
      </c>
      <c r="L207" s="31">
        <f>VLOOKUP($B207,'Tillförd energi'!$B$1:$AI$720,MATCH(L$1,'Tillförd energi'!$B$1:$AQ$1,0),FALSE)</f>
        <v>0</v>
      </c>
      <c r="M207" s="31">
        <f>VLOOKUP($B207,'Tillförd energi'!$B$1:$AI$720,MATCH(M$1,'Tillförd energi'!$B$1:$AQ$1,0),FALSE)</f>
        <v>0</v>
      </c>
      <c r="N207" s="31">
        <f>VLOOKUP($B207,'Tillförd energi'!$B$1:$AI$720,MATCH(N$1,'Tillförd energi'!$B$1:$AQ$1,0),FALSE)</f>
        <v>60.152000000000001</v>
      </c>
      <c r="O207" s="31">
        <f>VLOOKUP($B207,'Tillförd energi'!$B$1:$AI$720,MATCH(O$1,'Tillförd energi'!$B$1:$AQ$1,0),FALSE)</f>
        <v>0</v>
      </c>
      <c r="P207" s="31">
        <f>VLOOKUP($B207,'Tillförd energi'!$B$1:$AI$720,MATCH(P$1,'Tillförd energi'!$B$1:$AQ$1,0),FALSE)</f>
        <v>0</v>
      </c>
      <c r="Q207" s="31">
        <f>VLOOKUP($B207,'Tillförd energi'!$B$1:$AI$720,MATCH(Q$1,'Tillförd energi'!$B$1:$AQ$1,0),FALSE)</f>
        <v>0</v>
      </c>
      <c r="R207" s="31">
        <f>VLOOKUP($B207,'Tillförd energi'!$B$1:$AI$720,MATCH(R$1,'Tillförd energi'!$B$1:$AQ$1,0),FALSE)</f>
        <v>7.0000000000000007E-2</v>
      </c>
      <c r="S207" s="31">
        <f>VLOOKUP($B207,'Tillförd energi'!$B$1:$AI$720,MATCH(S$1,'Tillförd energi'!$B$1:$AQ$1,0),FALSE)</f>
        <v>0</v>
      </c>
      <c r="T207" s="31">
        <f>VLOOKUP($B207,'Tillförd energi'!$B$1:$AI$720,MATCH(T$1,'Tillförd energi'!$B$1:$AQ$1,0),FALSE)</f>
        <v>0</v>
      </c>
      <c r="U207" s="31">
        <f>VLOOKUP($B207,'Tillförd energi'!$B$1:$AI$720,MATCH(U$1,'Tillförd energi'!$B$1:$AQ$1,0),FALSE)</f>
        <v>0</v>
      </c>
      <c r="V207" s="31">
        <f>VLOOKUP($B207,'Tillförd energi'!$B$1:$AI$720,MATCH(V$1,'Tillförd energi'!$B$1:$AQ$1,0),FALSE)</f>
        <v>0</v>
      </c>
      <c r="W207" s="31">
        <f>VLOOKUP($B207,'Tillförd energi'!$B$1:$AI$720,MATCH(W$1,'Tillförd energi'!$B$1:$AQ$1,0),FALSE)</f>
        <v>0</v>
      </c>
      <c r="X207" s="31">
        <f>VLOOKUP($B207,'Tillförd energi'!$B$1:$AI$720,MATCH(X$1,'Tillförd energi'!$B$1:$AQ$1,0),FALSE)</f>
        <v>0</v>
      </c>
      <c r="Y207" s="31">
        <f>VLOOKUP($B207,'Tillförd energi'!$B$1:$AI$720,MATCH(Y$1,'Tillförd energi'!$B$1:$AQ$1,0),FALSE)</f>
        <v>0</v>
      </c>
      <c r="Z207" s="31">
        <f>VLOOKUP($B207,'Tillförd energi'!$B$1:$AI$720,MATCH(Z$1,'Tillförd energi'!$B$1:$AQ$1,0),FALSE)</f>
        <v>0</v>
      </c>
      <c r="AA207" s="31">
        <f>VLOOKUP($B207,'Tillförd energi'!$B$1:$AI$720,MATCH(AA$1,'Tillförd energi'!$B$1:$AQ$1,0),FALSE)</f>
        <v>0</v>
      </c>
      <c r="AB207" s="31">
        <f>VLOOKUP($B207,'Tillförd energi'!$B$1:$AI$720,MATCH(AB$1,'Tillförd energi'!$B$1:$AQ$1,0),FALSE)</f>
        <v>0</v>
      </c>
      <c r="AC207" s="31">
        <f>VLOOKUP($B207,'Tillförd energi'!$B$1:$AI$720,MATCH(AC$1,'Tillförd energi'!$B$1:$AQ$1,0),FALSE)</f>
        <v>0</v>
      </c>
      <c r="AD207" s="31">
        <f>VLOOKUP($B207,'Tillförd energi'!$B$1:$AI$720,MATCH(AD$1,'Tillförd energi'!$B$1:$AQ$1,0),FALSE)</f>
        <v>0</v>
      </c>
      <c r="AE207" s="31">
        <f>VLOOKUP($B207,'Tillförd energi'!$B$1:$AI$720,MATCH(AE$1,'Tillförd energi'!$B$1:$AQ$1,0),FALSE)</f>
        <v>0</v>
      </c>
      <c r="AF207" s="31">
        <f>VLOOKUP($B207,'Tillförd energi'!$B$1:$AI$720,MATCH(AF$1,'Tillförd energi'!$B$1:$AQ$1,0),FALSE)</f>
        <v>1.32162</v>
      </c>
      <c r="AG207" s="31">
        <f>IFERROR(VLOOKUP(B207,Miljö!$B$1:$AC$550,MATCH("Köpt mängd produktionsspecifik fjärrvärme:",Miljö!$B$1:$AC$1,0),FALSE)/1,0)</f>
        <v>0</v>
      </c>
      <c r="AI207" s="31">
        <f t="shared" si="69"/>
        <v>61.918620000000004</v>
      </c>
      <c r="AJ207" s="31">
        <f t="shared" si="70"/>
        <v>61.918620000000004</v>
      </c>
      <c r="AK207" s="31">
        <f>IF(ISERROR(1/VLOOKUP($B207,Leveranser!$B$1:$S$499,MATCH("Såld värme (GWh)",Leveranser!$B$1:$S$1,0),FALSE)),"",VLOOKUP($B207,Leveranser!$B$1:$S$499,MATCH("Såld värme (GWh)",Leveranser!$B$1:$S$1,0),FALSE))</f>
        <v>44.054000000000002</v>
      </c>
      <c r="AL207" s="31">
        <f>VLOOKUP($B207,Leveranser!$B$1:$Y$499,MATCH("Totalt såld fjärrvärme till andra fjärrvärmeföretag",Leveranser!$B$1:$AA$1,0),FALSE)</f>
        <v>0</v>
      </c>
      <c r="AM207" s="31">
        <f>IF(ISERROR(1/VLOOKUP($B207,Miljö!$B$1:$S$500,MATCH("Såld mängd produktionsspecifik fjärrvärme (GWh)",Miljö!$B$1:$R$1,0),FALSE)),0,VLOOKUP($B207,Miljö!$B$1:$S$500,MATCH("Såld mängd produktionsspecifik fjärrvärme (GWh)",Miljö!$B$1:$R$1,0),FALSE))</f>
        <v>0</v>
      </c>
      <c r="AN207" s="32">
        <f t="shared" si="71"/>
        <v>0.7114822649471193</v>
      </c>
      <c r="AP207" s="31" t="str">
        <f>IFERROR(VLOOKUP($B207,Miljövärden!$B$2:$H$550,7,FALSE),"Nej, saknas")</f>
        <v>Ja</v>
      </c>
      <c r="AQ207" s="31" t="str">
        <f>IFERROR(VLOOKUP($B207,Miljövärden!$B$2:$H$551,6,FALSE),"Nej, saknas")</f>
        <v>Ja</v>
      </c>
      <c r="AU207" s="31">
        <f t="shared" si="72"/>
        <v>1.32162</v>
      </c>
      <c r="AV207" s="31">
        <f t="shared" si="73"/>
        <v>0</v>
      </c>
      <c r="AW207" s="31">
        <f t="shared" si="74"/>
        <v>60.152000000000001</v>
      </c>
      <c r="AX207" s="31">
        <f t="shared" si="75"/>
        <v>7.0000000000000007E-2</v>
      </c>
      <c r="AZ207" s="31">
        <f t="shared" si="76"/>
        <v>60.222000000000001</v>
      </c>
      <c r="BC207" s="31">
        <f t="shared" si="77"/>
        <v>0.375</v>
      </c>
      <c r="BD207" s="31">
        <f t="shared" si="78"/>
        <v>0</v>
      </c>
      <c r="BE207" s="31">
        <f t="shared" si="79"/>
        <v>60.222000000000001</v>
      </c>
      <c r="BF207" s="31">
        <f t="shared" si="80"/>
        <v>0</v>
      </c>
      <c r="BG207" s="31">
        <f t="shared" si="81"/>
        <v>1.32162</v>
      </c>
      <c r="BH207" s="31">
        <f>VLOOKUP(B207,Miljö!$B$1:$BX$482,MATCH("Fossilandel för ursprungspecificerad el ()",Miljö!$B$1:$I$1,0),FALSE)</f>
        <v>0.35</v>
      </c>
      <c r="BI207" s="31">
        <f>VLOOKUP(B207,Miljö!$B$1:$BX$482,MATCH("Kärnkraftsandel för ursprungsspecificerad el ()",Miljö!$B$1:$O$1,0),FALSE)</f>
        <v>0.3977</v>
      </c>
      <c r="BJ207" s="31">
        <f t="shared" si="82"/>
        <v>0</v>
      </c>
      <c r="BK207" s="31" t="str">
        <f>VLOOKUP(B207,Miljö!$B$1:$P$482,MATCH("Fossil andel i procent (%)",Miljö!$B$1:$P$1,0),FALSE)</f>
        <v>ET</v>
      </c>
      <c r="BL207" s="31">
        <f t="shared" si="83"/>
        <v>61.918620000000004</v>
      </c>
      <c r="BO207" s="32">
        <f t="shared" si="84"/>
        <v>1.352690030882471E-2</v>
      </c>
      <c r="BP207" s="32">
        <f t="shared" si="85"/>
        <v>8.4886949030840795E-3</v>
      </c>
      <c r="BQ207" s="32">
        <f t="shared" si="86"/>
        <v>0.97798440478809123</v>
      </c>
      <c r="BR207" s="32">
        <f t="shared" si="87"/>
        <v>0</v>
      </c>
      <c r="BT207" s="62">
        <f t="shared" si="88"/>
        <v>1</v>
      </c>
      <c r="BW207" s="32">
        <f>IF(AP207="Ja",VLOOKUP(B207,Miljövärden!$B$2:$H$551,MATCH("Total andel fossilt",Miljövärden!$B$2:$H$2,0),FALSE),"")</f>
        <v>1.35269E-2</v>
      </c>
      <c r="BX207" s="62">
        <f t="shared" si="89"/>
        <v>-3.0882471059590078E-10</v>
      </c>
      <c r="BZ207" s="31">
        <f t="shared" si="90"/>
        <v>-3.0882471059590078E-10</v>
      </c>
      <c r="CA207" s="32">
        <f t="shared" si="91"/>
        <v>0</v>
      </c>
    </row>
    <row r="208" spans="1:79" x14ac:dyDescent="0.45">
      <c r="A208" s="31" t="s">
        <v>413</v>
      </c>
      <c r="B208" s="31" t="s">
        <v>414</v>
      </c>
      <c r="C208" s="31">
        <f>VLOOKUP($B208,'Tillförd energi'!$B$1:$AI$720,MATCH(C$1,'Tillförd energi'!$B$1:$AQ$1,0),FALSE)</f>
        <v>0</v>
      </c>
      <c r="D208" s="31">
        <f>VLOOKUP($B208,'Tillförd energi'!$B$1:$AI$720,MATCH(D$1,'Tillförd energi'!$B$1:$AQ$1,0),FALSE)</f>
        <v>0.16</v>
      </c>
      <c r="E208" s="31">
        <f>VLOOKUP($B208,'Tillförd energi'!$B$1:$AI$720,MATCH(E$1,'Tillförd energi'!$B$1:$AQ$1,0),FALSE)</f>
        <v>0</v>
      </c>
      <c r="F208" s="31">
        <f>VLOOKUP($B208,'Tillförd energi'!$B$1:$AI$720,MATCH(F$1,'Tillförd energi'!$B$1:$AQ$1,0),FALSE)</f>
        <v>0</v>
      </c>
      <c r="G208" s="31">
        <f>VLOOKUP($B208,'Tillförd energi'!$B$1:$AI$720,MATCH(G$1,'Tillförd energi'!$B$1:$AQ$1,0),FALSE)</f>
        <v>0</v>
      </c>
      <c r="H208" s="31">
        <f>VLOOKUP($B208,'Tillförd energi'!$B$1:$AI$720,MATCH(H$1,'Tillförd energi'!$B$1:$AQ$1,0),FALSE)</f>
        <v>0</v>
      </c>
      <c r="I208" s="31">
        <f>VLOOKUP($B208,'Tillförd energi'!$B$1:$AI$720,MATCH(I$1,'Tillförd energi'!$B$1:$AQ$1,0),FALSE)</f>
        <v>0</v>
      </c>
      <c r="J208" s="31">
        <f>VLOOKUP($B208,'Tillförd energi'!$B$1:$AI$720,MATCH(J$1,'Tillförd energi'!$B$1:$AQ$1,0),FALSE)</f>
        <v>0</v>
      </c>
      <c r="K208" s="31">
        <f>VLOOKUP($B208,'Tillförd energi'!$B$1:$AI$720,MATCH(K$1,'Tillförd energi'!$B$1:$AQ$1,0),FALSE)</f>
        <v>0</v>
      </c>
      <c r="L208" s="31">
        <f>VLOOKUP($B208,'Tillförd energi'!$B$1:$AI$720,MATCH(L$1,'Tillförd energi'!$B$1:$AQ$1,0),FALSE)</f>
        <v>0</v>
      </c>
      <c r="M208" s="31">
        <f>VLOOKUP($B208,'Tillförd energi'!$B$1:$AI$720,MATCH(M$1,'Tillförd energi'!$B$1:$AQ$1,0),FALSE)</f>
        <v>0</v>
      </c>
      <c r="N208" s="31">
        <f>VLOOKUP($B208,'Tillförd energi'!$B$1:$AI$720,MATCH(N$1,'Tillförd energi'!$B$1:$AQ$1,0),FALSE)</f>
        <v>3</v>
      </c>
      <c r="O208" s="31">
        <f>VLOOKUP($B208,'Tillförd energi'!$B$1:$AI$720,MATCH(O$1,'Tillförd energi'!$B$1:$AQ$1,0),FALSE)</f>
        <v>0</v>
      </c>
      <c r="P208" s="31">
        <f>VLOOKUP($B208,'Tillförd energi'!$B$1:$AI$720,MATCH(P$1,'Tillförd energi'!$B$1:$AQ$1,0),FALSE)</f>
        <v>2.4</v>
      </c>
      <c r="Q208" s="31">
        <f>VLOOKUP($B208,'Tillförd energi'!$B$1:$AI$720,MATCH(Q$1,'Tillförd energi'!$B$1:$AQ$1,0),FALSE)</f>
        <v>0</v>
      </c>
      <c r="R208" s="31">
        <f>VLOOKUP($B208,'Tillförd energi'!$B$1:$AI$720,MATCH(R$1,'Tillförd energi'!$B$1:$AQ$1,0),FALSE)</f>
        <v>0</v>
      </c>
      <c r="S208" s="31">
        <f>VLOOKUP($B208,'Tillförd energi'!$B$1:$AI$720,MATCH(S$1,'Tillförd energi'!$B$1:$AQ$1,0),FALSE)</f>
        <v>0</v>
      </c>
      <c r="T208" s="31">
        <f>VLOOKUP($B208,'Tillförd energi'!$B$1:$AI$720,MATCH(T$1,'Tillförd energi'!$B$1:$AQ$1,0),FALSE)</f>
        <v>0</v>
      </c>
      <c r="U208" s="31">
        <f>VLOOKUP($B208,'Tillförd energi'!$B$1:$AI$720,MATCH(U$1,'Tillförd energi'!$B$1:$AQ$1,0),FALSE)</f>
        <v>0</v>
      </c>
      <c r="V208" s="31">
        <f>VLOOKUP($B208,'Tillförd energi'!$B$1:$AI$720,MATCH(V$1,'Tillförd energi'!$B$1:$AQ$1,0),FALSE)</f>
        <v>0</v>
      </c>
      <c r="W208" s="31">
        <f>VLOOKUP($B208,'Tillförd energi'!$B$1:$AI$720,MATCH(W$1,'Tillförd energi'!$B$1:$AQ$1,0),FALSE)</f>
        <v>0</v>
      </c>
      <c r="X208" s="31">
        <f>VLOOKUP($B208,'Tillförd energi'!$B$1:$AI$720,MATCH(X$1,'Tillförd energi'!$B$1:$AQ$1,0),FALSE)</f>
        <v>0</v>
      </c>
      <c r="Y208" s="31">
        <f>VLOOKUP($B208,'Tillförd energi'!$B$1:$AI$720,MATCH(Y$1,'Tillförd energi'!$B$1:$AQ$1,0),FALSE)</f>
        <v>0</v>
      </c>
      <c r="Z208" s="31">
        <f>VLOOKUP($B208,'Tillförd energi'!$B$1:$AI$720,MATCH(Z$1,'Tillförd energi'!$B$1:$AQ$1,0),FALSE)</f>
        <v>0</v>
      </c>
      <c r="AA208" s="31">
        <f>VLOOKUP($B208,'Tillförd energi'!$B$1:$AI$720,MATCH(AA$1,'Tillförd energi'!$B$1:$AQ$1,0),FALSE)</f>
        <v>0</v>
      </c>
      <c r="AB208" s="31">
        <f>VLOOKUP($B208,'Tillförd energi'!$B$1:$AI$720,MATCH(AB$1,'Tillförd energi'!$B$1:$AQ$1,0),FALSE)</f>
        <v>0</v>
      </c>
      <c r="AC208" s="31">
        <f>VLOOKUP($B208,'Tillförd energi'!$B$1:$AI$720,MATCH(AC$1,'Tillförd energi'!$B$1:$AQ$1,0),FALSE)</f>
        <v>0</v>
      </c>
      <c r="AD208" s="31">
        <f>VLOOKUP($B208,'Tillförd energi'!$B$1:$AI$720,MATCH(AD$1,'Tillförd energi'!$B$1:$AQ$1,0),FALSE)</f>
        <v>0</v>
      </c>
      <c r="AE208" s="31">
        <f>VLOOKUP($B208,'Tillförd energi'!$B$1:$AI$720,MATCH(AE$1,'Tillförd energi'!$B$1:$AQ$1,0),FALSE)</f>
        <v>0</v>
      </c>
      <c r="AF208" s="31">
        <f>VLOOKUP($B208,'Tillförd energi'!$B$1:$AI$720,MATCH(AF$1,'Tillförd energi'!$B$1:$AQ$1,0),FALSE)</f>
        <v>0.12441000000000001</v>
      </c>
      <c r="AG208" s="31">
        <f>IFERROR(VLOOKUP(B208,Miljö!$B$1:$AC$550,MATCH("Köpt mängd produktionsspecifik fjärrvärme:",Miljö!$B$1:$AC$1,0),FALSE)/1,0)</f>
        <v>0</v>
      </c>
      <c r="AI208" s="31">
        <f t="shared" si="69"/>
        <v>5.6844100000000006</v>
      </c>
      <c r="AJ208" s="31">
        <f t="shared" si="70"/>
        <v>5.6844100000000006</v>
      </c>
      <c r="AK208" s="31">
        <f>IF(ISERROR(1/VLOOKUP($B208,Leveranser!$B$1:$S$499,MATCH("Såld värme (GWh)",Leveranser!$B$1:$S$1,0),FALSE)),"",VLOOKUP($B208,Leveranser!$B$1:$S$499,MATCH("Såld värme (GWh)",Leveranser!$B$1:$S$1,0),FALSE))</f>
        <v>4.1470000000000002</v>
      </c>
      <c r="AL208" s="31">
        <f>VLOOKUP($B208,Leveranser!$B$1:$Y$499,MATCH("Totalt såld fjärrvärme till andra fjärrvärmeföretag",Leveranser!$B$1:$AA$1,0),FALSE)</f>
        <v>0</v>
      </c>
      <c r="AM208" s="31">
        <f>IF(ISERROR(1/VLOOKUP($B208,Miljö!$B$1:$S$500,MATCH("Såld mängd produktionsspecifik fjärrvärme (GWh)",Miljö!$B$1:$R$1,0),FALSE)),0,VLOOKUP($B208,Miljö!$B$1:$S$500,MATCH("Såld mängd produktionsspecifik fjärrvärme (GWh)",Miljö!$B$1:$R$1,0),FALSE))</f>
        <v>0</v>
      </c>
      <c r="AN208" s="32">
        <f t="shared" si="71"/>
        <v>0.72953921339241889</v>
      </c>
      <c r="AP208" s="31" t="str">
        <f>IFERROR(VLOOKUP($B208,Miljövärden!$B$2:$H$550,7,FALSE),"Nej, saknas")</f>
        <v>Ja</v>
      </c>
      <c r="AQ208" s="31" t="str">
        <f>IFERROR(VLOOKUP($B208,Miljövärden!$B$2:$H$551,6,FALSE),"Nej, saknas")</f>
        <v>Ja</v>
      </c>
      <c r="AU208" s="31">
        <f t="shared" si="72"/>
        <v>0.12441000000000001</v>
      </c>
      <c r="AV208" s="31">
        <f t="shared" si="73"/>
        <v>0</v>
      </c>
      <c r="AW208" s="31">
        <f t="shared" si="74"/>
        <v>5.4</v>
      </c>
      <c r="AX208" s="31">
        <f t="shared" si="75"/>
        <v>0</v>
      </c>
      <c r="AZ208" s="31">
        <f t="shared" si="76"/>
        <v>5.4</v>
      </c>
      <c r="BC208" s="31">
        <f t="shared" si="77"/>
        <v>0.16</v>
      </c>
      <c r="BD208" s="31">
        <f t="shared" si="78"/>
        <v>0</v>
      </c>
      <c r="BE208" s="31">
        <f t="shared" si="79"/>
        <v>5.4</v>
      </c>
      <c r="BF208" s="31">
        <f t="shared" si="80"/>
        <v>0</v>
      </c>
      <c r="BG208" s="31">
        <f t="shared" si="81"/>
        <v>0.12441000000000001</v>
      </c>
      <c r="BH208" s="31">
        <f>VLOOKUP(B208,Miljö!$B$1:$BX$482,MATCH("Fossilandel för ursprungspecificerad el ()",Miljö!$B$1:$I$1,0),FALSE)</f>
        <v>0.35</v>
      </c>
      <c r="BI208" s="31">
        <f>VLOOKUP(B208,Miljö!$B$1:$BX$482,MATCH("Kärnkraftsandel för ursprungsspecificerad el ()",Miljö!$B$1:$O$1,0),FALSE)</f>
        <v>0.3977</v>
      </c>
      <c r="BJ208" s="31">
        <f t="shared" si="82"/>
        <v>0</v>
      </c>
      <c r="BK208" s="31" t="str">
        <f>VLOOKUP(B208,Miljö!$B$1:$P$482,MATCH("Fossil andel i procent (%)",Miljö!$B$1:$P$1,0),FALSE)</f>
        <v>ET</v>
      </c>
      <c r="BL208" s="31">
        <f t="shared" si="83"/>
        <v>5.6844100000000006</v>
      </c>
      <c r="BO208" s="32">
        <f t="shared" si="84"/>
        <v>3.5807322131936291E-2</v>
      </c>
      <c r="BP208" s="32">
        <f t="shared" si="85"/>
        <v>8.7041323549849493E-3</v>
      </c>
      <c r="BQ208" s="32">
        <f t="shared" si="86"/>
        <v>0.9554885455130786</v>
      </c>
      <c r="BR208" s="32">
        <f t="shared" si="87"/>
        <v>0</v>
      </c>
      <c r="BT208" s="62">
        <f t="shared" si="88"/>
        <v>0.99999999999999989</v>
      </c>
      <c r="BW208" s="32">
        <f>IF(AP208="Ja",VLOOKUP(B208,Miljövärden!$B$2:$H$551,MATCH("Total andel fossilt",Miljövärden!$B$2:$H$2,0),FALSE),"")</f>
        <v>3.5807199999999997E-2</v>
      </c>
      <c r="BX208" s="62">
        <f t="shared" si="89"/>
        <v>-1.2213193629345698E-7</v>
      </c>
      <c r="BZ208" s="31">
        <f t="shared" si="90"/>
        <v>-1.2213193629345698E-7</v>
      </c>
      <c r="CA208" s="32">
        <f t="shared" si="91"/>
        <v>0</v>
      </c>
    </row>
    <row r="209" spans="1:79" x14ac:dyDescent="0.45">
      <c r="A209" s="31" t="s">
        <v>413</v>
      </c>
      <c r="B209" s="31" t="s">
        <v>412</v>
      </c>
      <c r="C209" s="31">
        <f>VLOOKUP($B209,'Tillförd energi'!$B$1:$AI$720,MATCH(C$1,'Tillförd energi'!$B$1:$AQ$1,0),FALSE)</f>
        <v>0</v>
      </c>
      <c r="D209" s="31">
        <f>VLOOKUP($B209,'Tillförd energi'!$B$1:$AI$720,MATCH(D$1,'Tillförd energi'!$B$1:$AQ$1,0),FALSE)</f>
        <v>2.1448399999999999</v>
      </c>
      <c r="E209" s="31">
        <f>VLOOKUP($B209,'Tillförd energi'!$B$1:$AI$720,MATCH(E$1,'Tillförd energi'!$B$1:$AQ$1,0),FALSE)</f>
        <v>0</v>
      </c>
      <c r="F209" s="31">
        <f>VLOOKUP($B209,'Tillförd energi'!$B$1:$AI$720,MATCH(F$1,'Tillförd energi'!$B$1:$AQ$1,0),FALSE)</f>
        <v>0</v>
      </c>
      <c r="G209" s="31">
        <f>VLOOKUP($B209,'Tillförd energi'!$B$1:$AI$720,MATCH(G$1,'Tillförd energi'!$B$1:$AQ$1,0),FALSE)</f>
        <v>0</v>
      </c>
      <c r="H209" s="31">
        <f>VLOOKUP($B209,'Tillförd energi'!$B$1:$AI$720,MATCH(H$1,'Tillförd energi'!$B$1:$AQ$1,0),FALSE)</f>
        <v>0</v>
      </c>
      <c r="I209" s="31">
        <f>VLOOKUP($B209,'Tillförd energi'!$B$1:$AI$720,MATCH(I$1,'Tillförd energi'!$B$1:$AQ$1,0),FALSE)</f>
        <v>0</v>
      </c>
      <c r="J209" s="31">
        <f>VLOOKUP($B209,'Tillförd energi'!$B$1:$AI$720,MATCH(J$1,'Tillförd energi'!$B$1:$AQ$1,0),FALSE)</f>
        <v>0.5</v>
      </c>
      <c r="K209" s="31">
        <f>VLOOKUP($B209,'Tillförd energi'!$B$1:$AI$720,MATCH(K$1,'Tillförd energi'!$B$1:$AQ$1,0),FALSE)</f>
        <v>0</v>
      </c>
      <c r="L209" s="31">
        <f>VLOOKUP($B209,'Tillförd energi'!$B$1:$AI$720,MATCH(L$1,'Tillförd energi'!$B$1:$AQ$1,0),FALSE)</f>
        <v>84.189700000000002</v>
      </c>
      <c r="M209" s="31">
        <f>VLOOKUP($B209,'Tillförd energi'!$B$1:$AI$720,MATCH(M$1,'Tillförd energi'!$B$1:$AQ$1,0),FALSE)</f>
        <v>9.4037500000000005</v>
      </c>
      <c r="N209" s="31">
        <f>VLOOKUP($B209,'Tillförd energi'!$B$1:$AI$720,MATCH(N$1,'Tillförd energi'!$B$1:$AQ$1,0),FALSE)</f>
        <v>10.068300000000001</v>
      </c>
      <c r="O209" s="31">
        <f>VLOOKUP($B209,'Tillförd energi'!$B$1:$AI$720,MATCH(O$1,'Tillförd energi'!$B$1:$AQ$1,0),FALSE)</f>
        <v>0</v>
      </c>
      <c r="P209" s="31">
        <f>VLOOKUP($B209,'Tillförd energi'!$B$1:$AI$720,MATCH(P$1,'Tillförd energi'!$B$1:$AQ$1,0),FALSE)</f>
        <v>34.807499999999997</v>
      </c>
      <c r="Q209" s="31">
        <f>VLOOKUP($B209,'Tillförd energi'!$B$1:$AI$720,MATCH(Q$1,'Tillförd energi'!$B$1:$AQ$1,0),FALSE)</f>
        <v>2.9411800000000001</v>
      </c>
      <c r="R209" s="31">
        <f>VLOOKUP($B209,'Tillförd energi'!$B$1:$AI$720,MATCH(R$1,'Tillförd energi'!$B$1:$AQ$1,0),FALSE)</f>
        <v>0</v>
      </c>
      <c r="S209" s="31">
        <f>VLOOKUP($B209,'Tillförd energi'!$B$1:$AI$720,MATCH(S$1,'Tillförd energi'!$B$1:$AQ$1,0),FALSE)</f>
        <v>0</v>
      </c>
      <c r="T209" s="31">
        <f>VLOOKUP($B209,'Tillförd energi'!$B$1:$AI$720,MATCH(T$1,'Tillförd energi'!$B$1:$AQ$1,0),FALSE)</f>
        <v>0</v>
      </c>
      <c r="U209" s="31">
        <f>VLOOKUP($B209,'Tillförd energi'!$B$1:$AI$720,MATCH(U$1,'Tillförd energi'!$B$1:$AQ$1,0),FALSE)</f>
        <v>0</v>
      </c>
      <c r="V209" s="31">
        <f>VLOOKUP($B209,'Tillförd energi'!$B$1:$AI$720,MATCH(V$1,'Tillförd energi'!$B$1:$AQ$1,0),FALSE)</f>
        <v>0</v>
      </c>
      <c r="W209" s="31">
        <f>VLOOKUP($B209,'Tillförd energi'!$B$1:$AI$720,MATCH(W$1,'Tillförd energi'!$B$1:$AQ$1,0),FALSE)</f>
        <v>0</v>
      </c>
      <c r="X209" s="31">
        <f>VLOOKUP($B209,'Tillförd energi'!$B$1:$AI$720,MATCH(X$1,'Tillförd energi'!$B$1:$AQ$1,0),FALSE)</f>
        <v>0</v>
      </c>
      <c r="Y209" s="31">
        <f>VLOOKUP($B209,'Tillförd energi'!$B$1:$AI$720,MATCH(Y$1,'Tillförd energi'!$B$1:$AQ$1,0),FALSE)</f>
        <v>0</v>
      </c>
      <c r="Z209" s="31">
        <f>VLOOKUP($B209,'Tillförd energi'!$B$1:$AI$720,MATCH(Z$1,'Tillförd energi'!$B$1:$AQ$1,0),FALSE)</f>
        <v>0</v>
      </c>
      <c r="AA209" s="31">
        <f>VLOOKUP($B209,'Tillförd energi'!$B$1:$AI$720,MATCH(AA$1,'Tillförd energi'!$B$1:$AQ$1,0),FALSE)</f>
        <v>0</v>
      </c>
      <c r="AB209" s="31">
        <f>VLOOKUP($B209,'Tillförd energi'!$B$1:$AI$720,MATCH(AB$1,'Tillförd energi'!$B$1:$AQ$1,0),FALSE)</f>
        <v>0</v>
      </c>
      <c r="AC209" s="31">
        <f>VLOOKUP($B209,'Tillförd energi'!$B$1:$AI$720,MATCH(AC$1,'Tillförd energi'!$B$1:$AQ$1,0),FALSE)</f>
        <v>19.8</v>
      </c>
      <c r="AD209" s="31">
        <f>VLOOKUP($B209,'Tillförd energi'!$B$1:$AI$720,MATCH(AD$1,'Tillförd energi'!$B$1:$AQ$1,0),FALSE)</f>
        <v>0</v>
      </c>
      <c r="AE209" s="31">
        <f>VLOOKUP($B209,'Tillförd energi'!$B$1:$AI$720,MATCH(AE$1,'Tillförd energi'!$B$1:$AQ$1,0),FALSE)</f>
        <v>0</v>
      </c>
      <c r="AF209" s="31">
        <f>VLOOKUP($B209,'Tillförd energi'!$B$1:$AI$720,MATCH(AF$1,'Tillförd energi'!$B$1:$AQ$1,0),FALSE)</f>
        <v>3.7205400000000002</v>
      </c>
      <c r="AG209" s="31">
        <f>IFERROR(VLOOKUP(B209,Miljö!$B$1:$AC$550,MATCH("Köpt mängd produktionsspecifik fjärrvärme:",Miljö!$B$1:$AC$1,0),FALSE)/1,0)</f>
        <v>0</v>
      </c>
      <c r="AI209" s="31">
        <f t="shared" si="69"/>
        <v>167.57581000000002</v>
      </c>
      <c r="AJ209" s="31">
        <f t="shared" si="70"/>
        <v>167.57581000000002</v>
      </c>
      <c r="AK209" s="31">
        <f>IF(ISERROR(1/VLOOKUP($B209,Leveranser!$B$1:$S$499,MATCH("Såld värme (GWh)",Leveranser!$B$1:$S$1,0),FALSE)),"",VLOOKUP($B209,Leveranser!$B$1:$S$499,MATCH("Såld värme (GWh)",Leveranser!$B$1:$S$1,0),FALSE))</f>
        <v>124.018</v>
      </c>
      <c r="AL209" s="31">
        <f>VLOOKUP($B209,Leveranser!$B$1:$Y$499,MATCH("Totalt såld fjärrvärme till andra fjärrvärmeföretag",Leveranser!$B$1:$AA$1,0),FALSE)</f>
        <v>0</v>
      </c>
      <c r="AM209" s="31">
        <f>IF(ISERROR(1/VLOOKUP($B209,Miljö!$B$1:$S$500,MATCH("Såld mängd produktionsspecifik fjärrvärme (GWh)",Miljö!$B$1:$R$1,0),FALSE)),0,VLOOKUP($B209,Miljö!$B$1:$S$500,MATCH("Såld mängd produktionsspecifik fjärrvärme (GWh)",Miljö!$B$1:$R$1,0),FALSE))</f>
        <v>0</v>
      </c>
      <c r="AN209" s="32">
        <f t="shared" si="71"/>
        <v>0.7400710162164813</v>
      </c>
      <c r="AP209" s="31" t="str">
        <f>IFERROR(VLOOKUP($B209,Miljövärden!$B$2:$H$550,7,FALSE),"Nej, saknas")</f>
        <v>Ja</v>
      </c>
      <c r="AQ209" s="31" t="str">
        <f>IFERROR(VLOOKUP($B209,Miljövärden!$B$2:$H$551,6,FALSE),"Nej, saknas")</f>
        <v>Ja</v>
      </c>
      <c r="AU209" s="31">
        <f t="shared" si="72"/>
        <v>3.7205400000000002</v>
      </c>
      <c r="AV209" s="31">
        <f t="shared" si="73"/>
        <v>0</v>
      </c>
      <c r="AW209" s="31">
        <f t="shared" si="74"/>
        <v>57.220730000000003</v>
      </c>
      <c r="AX209" s="31">
        <f t="shared" si="75"/>
        <v>0</v>
      </c>
      <c r="AZ209" s="31">
        <f t="shared" si="76"/>
        <v>141.41043000000002</v>
      </c>
      <c r="BC209" s="31">
        <f t="shared" si="77"/>
        <v>2.1448399999999999</v>
      </c>
      <c r="BD209" s="31">
        <f t="shared" si="78"/>
        <v>0</v>
      </c>
      <c r="BE209" s="31">
        <f t="shared" si="79"/>
        <v>57.220730000000003</v>
      </c>
      <c r="BF209" s="31">
        <f t="shared" si="80"/>
        <v>104.4897</v>
      </c>
      <c r="BG209" s="31">
        <f t="shared" si="81"/>
        <v>3.7205400000000002</v>
      </c>
      <c r="BH209" s="31">
        <f>VLOOKUP(B209,Miljö!$B$1:$BX$482,MATCH("Fossilandel för ursprungspecificerad el ()",Miljö!$B$1:$I$1,0),FALSE)</f>
        <v>0.35</v>
      </c>
      <c r="BI209" s="31">
        <f>VLOOKUP(B209,Miljö!$B$1:$BX$482,MATCH("Kärnkraftsandel för ursprungsspecificerad el ()",Miljö!$B$1:$O$1,0),FALSE)</f>
        <v>0.3977</v>
      </c>
      <c r="BJ209" s="31">
        <f t="shared" si="82"/>
        <v>0</v>
      </c>
      <c r="BK209" s="31" t="str">
        <f>VLOOKUP(B209,Miljö!$B$1:$P$482,MATCH("Fossil andel i procent (%)",Miljö!$B$1:$P$1,0),FALSE)</f>
        <v>ET</v>
      </c>
      <c r="BL209" s="31">
        <f t="shared" si="83"/>
        <v>167.57581000000002</v>
      </c>
      <c r="BO209" s="32">
        <f t="shared" si="84"/>
        <v>2.0569967705959466E-2</v>
      </c>
      <c r="BP209" s="32">
        <f t="shared" si="85"/>
        <v>8.8297872944788375E-3</v>
      </c>
      <c r="BQ209" s="32">
        <f t="shared" si="86"/>
        <v>0.34706335145866218</v>
      </c>
      <c r="BR209" s="32">
        <f t="shared" si="87"/>
        <v>0.62353689354089936</v>
      </c>
      <c r="BT209" s="62">
        <f t="shared" si="88"/>
        <v>0.99999999999999978</v>
      </c>
      <c r="BW209" s="32">
        <f>IF(AP209="Ja",VLOOKUP(B209,Miljövärden!$B$2:$H$551,MATCH("Total andel fossilt",Miljövärden!$B$2:$H$2,0),FALSE),"")</f>
        <v>2.0570000000000001E-2</v>
      </c>
      <c r="BX209" s="62">
        <f t="shared" si="89"/>
        <v>3.2294040535479906E-8</v>
      </c>
      <c r="BZ209" s="31">
        <f t="shared" si="90"/>
        <v>3.2294040535479906E-8</v>
      </c>
      <c r="CA209" s="32">
        <f t="shared" si="91"/>
        <v>0</v>
      </c>
    </row>
    <row r="210" spans="1:79" x14ac:dyDescent="0.45">
      <c r="A210" s="31" t="s">
        <v>411</v>
      </c>
      <c r="B210" s="31" t="s">
        <v>410</v>
      </c>
      <c r="C210" s="31">
        <f>VLOOKUP($B210,'Tillförd energi'!$B$1:$AI$720,MATCH(C$1,'Tillförd energi'!$B$1:$AQ$1,0),FALSE)</f>
        <v>0</v>
      </c>
      <c r="D210" s="31">
        <f>VLOOKUP($B210,'Tillförd energi'!$B$1:$AI$720,MATCH(D$1,'Tillförd energi'!$B$1:$AQ$1,0),FALSE)</f>
        <v>1.3</v>
      </c>
      <c r="E210" s="31">
        <f>VLOOKUP($B210,'Tillförd energi'!$B$1:$AI$720,MATCH(E$1,'Tillförd energi'!$B$1:$AQ$1,0),FALSE)</f>
        <v>0</v>
      </c>
      <c r="F210" s="31">
        <f>VLOOKUP($B210,'Tillförd energi'!$B$1:$AI$720,MATCH(F$1,'Tillförd energi'!$B$1:$AQ$1,0),FALSE)</f>
        <v>0</v>
      </c>
      <c r="G210" s="31">
        <f>VLOOKUP($B210,'Tillförd energi'!$B$1:$AI$720,MATCH(G$1,'Tillförd energi'!$B$1:$AQ$1,0),FALSE)</f>
        <v>0</v>
      </c>
      <c r="H210" s="31">
        <f>VLOOKUP($B210,'Tillförd energi'!$B$1:$AI$720,MATCH(H$1,'Tillförd energi'!$B$1:$AQ$1,0),FALSE)</f>
        <v>0</v>
      </c>
      <c r="I210" s="31">
        <f>VLOOKUP($B210,'Tillförd energi'!$B$1:$AI$720,MATCH(I$1,'Tillförd energi'!$B$1:$AQ$1,0),FALSE)</f>
        <v>0</v>
      </c>
      <c r="J210" s="31">
        <f>VLOOKUP($B210,'Tillförd energi'!$B$1:$AI$720,MATCH(J$1,'Tillförd energi'!$B$1:$AQ$1,0),FALSE)</f>
        <v>0</v>
      </c>
      <c r="K210" s="31">
        <f>VLOOKUP($B210,'Tillförd energi'!$B$1:$AI$720,MATCH(K$1,'Tillförd energi'!$B$1:$AQ$1,0),FALSE)</f>
        <v>0</v>
      </c>
      <c r="L210" s="31">
        <f>VLOOKUP($B210,'Tillförd energi'!$B$1:$AI$720,MATCH(L$1,'Tillförd energi'!$B$1:$AQ$1,0),FALSE)</f>
        <v>0</v>
      </c>
      <c r="M210" s="31">
        <f>VLOOKUP($B210,'Tillförd energi'!$B$1:$AI$720,MATCH(M$1,'Tillförd energi'!$B$1:$AQ$1,0),FALSE)</f>
        <v>0</v>
      </c>
      <c r="N210" s="31">
        <f>VLOOKUP($B210,'Tillförd energi'!$B$1:$AI$720,MATCH(N$1,'Tillförd energi'!$B$1:$AQ$1,0),FALSE)</f>
        <v>0</v>
      </c>
      <c r="O210" s="31">
        <f>VLOOKUP($B210,'Tillförd energi'!$B$1:$AI$720,MATCH(O$1,'Tillförd energi'!$B$1:$AQ$1,0),FALSE)</f>
        <v>0</v>
      </c>
      <c r="P210" s="31">
        <f>VLOOKUP($B210,'Tillförd energi'!$B$1:$AI$720,MATCH(P$1,'Tillförd energi'!$B$1:$AQ$1,0),FALSE)</f>
        <v>15.8</v>
      </c>
      <c r="Q210" s="31">
        <f>VLOOKUP($B210,'Tillförd energi'!$B$1:$AI$720,MATCH(Q$1,'Tillförd energi'!$B$1:$AQ$1,0),FALSE)</f>
        <v>0</v>
      </c>
      <c r="R210" s="31">
        <f>VLOOKUP($B210,'Tillförd energi'!$B$1:$AI$720,MATCH(R$1,'Tillförd energi'!$B$1:$AQ$1,0),FALSE)</f>
        <v>0.5</v>
      </c>
      <c r="S210" s="31">
        <f>VLOOKUP($B210,'Tillförd energi'!$B$1:$AI$720,MATCH(S$1,'Tillförd energi'!$B$1:$AQ$1,0),FALSE)</f>
        <v>0</v>
      </c>
      <c r="T210" s="31">
        <f>VLOOKUP($B210,'Tillförd energi'!$B$1:$AI$720,MATCH(T$1,'Tillförd energi'!$B$1:$AQ$1,0),FALSE)</f>
        <v>0</v>
      </c>
      <c r="U210" s="31">
        <f>VLOOKUP($B210,'Tillförd energi'!$B$1:$AI$720,MATCH(U$1,'Tillförd energi'!$B$1:$AQ$1,0),FALSE)</f>
        <v>0</v>
      </c>
      <c r="V210" s="31">
        <f>VLOOKUP($B210,'Tillförd energi'!$B$1:$AI$720,MATCH(V$1,'Tillförd energi'!$B$1:$AQ$1,0),FALSE)</f>
        <v>0</v>
      </c>
      <c r="W210" s="31">
        <f>VLOOKUP($B210,'Tillförd energi'!$B$1:$AI$720,MATCH(W$1,'Tillförd energi'!$B$1:$AQ$1,0),FALSE)</f>
        <v>0</v>
      </c>
      <c r="X210" s="31">
        <f>VLOOKUP($B210,'Tillförd energi'!$B$1:$AI$720,MATCH(X$1,'Tillförd energi'!$B$1:$AQ$1,0),FALSE)</f>
        <v>0</v>
      </c>
      <c r="Y210" s="31">
        <f>VLOOKUP($B210,'Tillförd energi'!$B$1:$AI$720,MATCH(Y$1,'Tillförd energi'!$B$1:$AQ$1,0),FALSE)</f>
        <v>0</v>
      </c>
      <c r="Z210" s="31">
        <f>VLOOKUP($B210,'Tillförd energi'!$B$1:$AI$720,MATCH(Z$1,'Tillförd energi'!$B$1:$AQ$1,0),FALSE)</f>
        <v>0</v>
      </c>
      <c r="AA210" s="31">
        <f>VLOOKUP($B210,'Tillförd energi'!$B$1:$AI$720,MATCH(AA$1,'Tillförd energi'!$B$1:$AQ$1,0),FALSE)</f>
        <v>0</v>
      </c>
      <c r="AB210" s="31">
        <f>VLOOKUP($B210,'Tillförd energi'!$B$1:$AI$720,MATCH(AB$1,'Tillförd energi'!$B$1:$AQ$1,0),FALSE)</f>
        <v>0</v>
      </c>
      <c r="AC210" s="31">
        <f>VLOOKUP($B210,'Tillförd energi'!$B$1:$AI$720,MATCH(AC$1,'Tillförd energi'!$B$1:$AQ$1,0),FALSE)</f>
        <v>0</v>
      </c>
      <c r="AD210" s="31">
        <f>VLOOKUP($B210,'Tillförd energi'!$B$1:$AI$720,MATCH(AD$1,'Tillförd energi'!$B$1:$AQ$1,0),FALSE)</f>
        <v>0</v>
      </c>
      <c r="AE210" s="31">
        <f>VLOOKUP($B210,'Tillförd energi'!$B$1:$AI$720,MATCH(AE$1,'Tillförd energi'!$B$1:$AQ$1,0),FALSE)</f>
        <v>0</v>
      </c>
      <c r="AF210" s="31">
        <f>VLOOKUP($B210,'Tillförd energi'!$B$1:$AI$720,MATCH(AF$1,'Tillförd energi'!$B$1:$AQ$1,0),FALSE)</f>
        <v>0.42899999999999999</v>
      </c>
      <c r="AG210" s="31">
        <f>IFERROR(VLOOKUP(B210,Miljö!$B$1:$AC$550,MATCH("Köpt mängd produktionsspecifik fjärrvärme:",Miljö!$B$1:$AC$1,0),FALSE)/1,0)</f>
        <v>0</v>
      </c>
      <c r="AI210" s="31">
        <f t="shared" si="69"/>
        <v>18.029</v>
      </c>
      <c r="AJ210" s="31">
        <f t="shared" si="70"/>
        <v>18.029</v>
      </c>
      <c r="AK210" s="31">
        <f>IF(ISERROR(1/VLOOKUP($B210,Leveranser!$B$1:$S$499,MATCH("Såld värme (GWh)",Leveranser!$B$1:$S$1,0),FALSE)),"",VLOOKUP($B210,Leveranser!$B$1:$S$499,MATCH("Såld värme (GWh)",Leveranser!$B$1:$S$1,0),FALSE))</f>
        <v>14.3</v>
      </c>
      <c r="AL210" s="31">
        <f>VLOOKUP($B210,Leveranser!$B$1:$Y$499,MATCH("Totalt såld fjärrvärme till andra fjärrvärmeföretag",Leveranser!$B$1:$AA$1,0),FALSE)</f>
        <v>0</v>
      </c>
      <c r="AM210" s="31">
        <f>IF(ISERROR(1/VLOOKUP($B210,Miljö!$B$1:$S$500,MATCH("Såld mängd produktionsspecifik fjärrvärme (GWh)",Miljö!$B$1:$R$1,0),FALSE)),0,VLOOKUP($B210,Miljö!$B$1:$S$500,MATCH("Såld mängd produktionsspecifik fjärrvärme (GWh)",Miljö!$B$1:$R$1,0),FALSE))</f>
        <v>0</v>
      </c>
      <c r="AN210" s="32">
        <f t="shared" si="71"/>
        <v>0.79316656497864557</v>
      </c>
      <c r="AP210" s="31" t="str">
        <f>IFERROR(VLOOKUP($B210,Miljövärden!$B$2:$H$550,7,FALSE),"Nej, saknas")</f>
        <v>Ja</v>
      </c>
      <c r="AQ210" s="31" t="str">
        <f>IFERROR(VLOOKUP($B210,Miljövärden!$B$2:$H$551,6,FALSE),"Nej, saknas")</f>
        <v>Nej</v>
      </c>
      <c r="AU210" s="31">
        <f t="shared" si="72"/>
        <v>0.42899999999999999</v>
      </c>
      <c r="AV210" s="31">
        <f t="shared" si="73"/>
        <v>0</v>
      </c>
      <c r="AW210" s="31">
        <f t="shared" si="74"/>
        <v>15.8</v>
      </c>
      <c r="AX210" s="31">
        <f t="shared" si="75"/>
        <v>0.5</v>
      </c>
      <c r="AZ210" s="31">
        <f t="shared" si="76"/>
        <v>16.3</v>
      </c>
      <c r="BC210" s="31">
        <f t="shared" si="77"/>
        <v>1.3</v>
      </c>
      <c r="BD210" s="31">
        <f t="shared" si="78"/>
        <v>0</v>
      </c>
      <c r="BE210" s="31">
        <f t="shared" si="79"/>
        <v>16.3</v>
      </c>
      <c r="BF210" s="31">
        <f t="shared" si="80"/>
        <v>0</v>
      </c>
      <c r="BG210" s="31">
        <f t="shared" si="81"/>
        <v>0.42899999999999999</v>
      </c>
      <c r="BH210" s="31">
        <f>VLOOKUP(B210,Miljö!$B$1:$BX$482,MATCH("Fossilandel för ursprungspecificerad el ()",Miljö!$B$1:$I$1,0),FALSE)</f>
        <v>0.35</v>
      </c>
      <c r="BI210" s="31">
        <f>VLOOKUP(B210,Miljö!$B$1:$BX$482,MATCH("Kärnkraftsandel för ursprungsspecificerad el ()",Miljö!$B$1:$O$1,0),FALSE)</f>
        <v>0.3977</v>
      </c>
      <c r="BJ210" s="31">
        <f t="shared" si="82"/>
        <v>0</v>
      </c>
      <c r="BK210" s="31" t="str">
        <f>VLOOKUP(B210,Miljö!$B$1:$P$482,MATCH("Fossil andel i procent (%)",Miljö!$B$1:$P$1,0),FALSE)</f>
        <v>ET</v>
      </c>
      <c r="BL210" s="31">
        <f t="shared" si="83"/>
        <v>18.029</v>
      </c>
      <c r="BO210" s="32">
        <f t="shared" si="84"/>
        <v>8.0434300293970834E-2</v>
      </c>
      <c r="BP210" s="32">
        <f t="shared" si="85"/>
        <v>9.4632702867602191E-3</v>
      </c>
      <c r="BQ210" s="32">
        <f t="shared" si="86"/>
        <v>0.910102429419269</v>
      </c>
      <c r="BR210" s="32">
        <f t="shared" si="87"/>
        <v>0</v>
      </c>
      <c r="BT210" s="62">
        <f t="shared" si="88"/>
        <v>1</v>
      </c>
      <c r="BW210" s="32">
        <f>IF(AP210="Ja",VLOOKUP(B210,Miljövärden!$B$2:$H$551,MATCH("Total andel fossilt",Miljövärden!$B$2:$H$2,0),FALSE),"")</f>
        <v>8.04343E-2</v>
      </c>
      <c r="BX210" s="62">
        <f t="shared" si="89"/>
        <v>-2.9397083378679412E-10</v>
      </c>
      <c r="BZ210" s="31">
        <f t="shared" si="90"/>
        <v>-2.9397083378679412E-10</v>
      </c>
      <c r="CA210" s="32">
        <f t="shared" si="91"/>
        <v>0</v>
      </c>
    </row>
    <row r="211" spans="1:79" x14ac:dyDescent="0.45">
      <c r="A211" s="31" t="s">
        <v>111</v>
      </c>
      <c r="B211" s="31" t="s">
        <v>409</v>
      </c>
      <c r="C211" s="31">
        <f>VLOOKUP($B211,'Tillförd energi'!$B$1:$AI$720,MATCH(C$1,'Tillförd energi'!$B$1:$AQ$1,0),FALSE)</f>
        <v>0</v>
      </c>
      <c r="D211" s="31">
        <f>VLOOKUP($B211,'Tillförd energi'!$B$1:$AI$720,MATCH(D$1,'Tillförd energi'!$B$1:$AQ$1,0),FALSE)</f>
        <v>0.45300000000000001</v>
      </c>
      <c r="E211" s="31">
        <f>VLOOKUP($B211,'Tillförd energi'!$B$1:$AI$720,MATCH(E$1,'Tillförd energi'!$B$1:$AQ$1,0),FALSE)</f>
        <v>0</v>
      </c>
      <c r="F211" s="31">
        <f>VLOOKUP($B211,'Tillförd energi'!$B$1:$AI$720,MATCH(F$1,'Tillförd energi'!$B$1:$AQ$1,0),FALSE)</f>
        <v>1.5049999999999999</v>
      </c>
      <c r="G211" s="31">
        <f>VLOOKUP($B211,'Tillförd energi'!$B$1:$AI$720,MATCH(G$1,'Tillförd energi'!$B$1:$AQ$1,0),FALSE)</f>
        <v>0</v>
      </c>
      <c r="H211" s="31">
        <f>VLOOKUP($B211,'Tillförd energi'!$B$1:$AI$720,MATCH(H$1,'Tillförd energi'!$B$1:$AQ$1,0),FALSE)</f>
        <v>0</v>
      </c>
      <c r="I211" s="31">
        <f>VLOOKUP($B211,'Tillförd energi'!$B$1:$AI$720,MATCH(I$1,'Tillförd energi'!$B$1:$AQ$1,0),FALSE)</f>
        <v>0</v>
      </c>
      <c r="J211" s="31">
        <f>VLOOKUP($B211,'Tillförd energi'!$B$1:$AI$720,MATCH(J$1,'Tillförd energi'!$B$1:$AQ$1,0),FALSE)</f>
        <v>0</v>
      </c>
      <c r="K211" s="31">
        <f>VLOOKUP($B211,'Tillförd energi'!$B$1:$AI$720,MATCH(K$1,'Tillförd energi'!$B$1:$AQ$1,0),FALSE)</f>
        <v>0</v>
      </c>
      <c r="L211" s="31">
        <f>VLOOKUP($B211,'Tillförd energi'!$B$1:$AI$720,MATCH(L$1,'Tillförd energi'!$B$1:$AQ$1,0),FALSE)</f>
        <v>0</v>
      </c>
      <c r="M211" s="31">
        <f>VLOOKUP($B211,'Tillförd energi'!$B$1:$AI$720,MATCH(M$1,'Tillförd energi'!$B$1:$AQ$1,0),FALSE)</f>
        <v>0</v>
      </c>
      <c r="N211" s="31">
        <f>VLOOKUP($B211,'Tillförd energi'!$B$1:$AI$720,MATCH(N$1,'Tillförd energi'!$B$1:$AQ$1,0),FALSE)</f>
        <v>0</v>
      </c>
      <c r="O211" s="31">
        <f>VLOOKUP($B211,'Tillförd energi'!$B$1:$AI$720,MATCH(O$1,'Tillförd energi'!$B$1:$AQ$1,0),FALSE)</f>
        <v>0</v>
      </c>
      <c r="P211" s="31">
        <f>VLOOKUP($B211,'Tillförd energi'!$B$1:$AI$720,MATCH(P$1,'Tillförd energi'!$B$1:$AQ$1,0),FALSE)</f>
        <v>0</v>
      </c>
      <c r="Q211" s="31">
        <f>VLOOKUP($B211,'Tillförd energi'!$B$1:$AI$720,MATCH(Q$1,'Tillförd energi'!$B$1:$AQ$1,0),FALSE)</f>
        <v>0</v>
      </c>
      <c r="R211" s="31">
        <f>VLOOKUP($B211,'Tillförd energi'!$B$1:$AI$720,MATCH(R$1,'Tillförd energi'!$B$1:$AQ$1,0),FALSE)</f>
        <v>0</v>
      </c>
      <c r="S211" s="31">
        <f>VLOOKUP($B211,'Tillförd energi'!$B$1:$AI$720,MATCH(S$1,'Tillförd energi'!$B$1:$AQ$1,0),FALSE)</f>
        <v>0</v>
      </c>
      <c r="T211" s="31">
        <f>VLOOKUP($B211,'Tillförd energi'!$B$1:$AI$720,MATCH(T$1,'Tillförd energi'!$B$1:$AQ$1,0),FALSE)</f>
        <v>159.28299999999999</v>
      </c>
      <c r="U211" s="31">
        <f>VLOOKUP($B211,'Tillförd energi'!$B$1:$AI$720,MATCH(U$1,'Tillförd energi'!$B$1:$AQ$1,0),FALSE)</f>
        <v>0</v>
      </c>
      <c r="V211" s="31">
        <f>VLOOKUP($B211,'Tillförd energi'!$B$1:$AI$720,MATCH(V$1,'Tillförd energi'!$B$1:$AQ$1,0),FALSE)</f>
        <v>1.964</v>
      </c>
      <c r="W211" s="31">
        <f>VLOOKUP($B211,'Tillförd energi'!$B$1:$AI$720,MATCH(W$1,'Tillförd energi'!$B$1:$AQ$1,0),FALSE)</f>
        <v>1.589</v>
      </c>
      <c r="X211" s="31">
        <f>VLOOKUP($B211,'Tillförd energi'!$B$1:$AI$720,MATCH(X$1,'Tillförd energi'!$B$1:$AQ$1,0),FALSE)</f>
        <v>0</v>
      </c>
      <c r="Y211" s="31">
        <f>VLOOKUP($B211,'Tillförd energi'!$B$1:$AI$720,MATCH(Y$1,'Tillförd energi'!$B$1:$AQ$1,0),FALSE)</f>
        <v>0</v>
      </c>
      <c r="Z211" s="31">
        <f>VLOOKUP($B211,'Tillförd energi'!$B$1:$AI$720,MATCH(Z$1,'Tillförd energi'!$B$1:$AQ$1,0),FALSE)</f>
        <v>0</v>
      </c>
      <c r="AA211" s="31">
        <f>VLOOKUP($B211,'Tillförd energi'!$B$1:$AI$720,MATCH(AA$1,'Tillförd energi'!$B$1:$AQ$1,0),FALSE)</f>
        <v>125.33</v>
      </c>
      <c r="AB211" s="31">
        <f>VLOOKUP($B211,'Tillförd energi'!$B$1:$AI$720,MATCH(AB$1,'Tillförd energi'!$B$1:$AQ$1,0),FALSE)</f>
        <v>250.32900000000001</v>
      </c>
      <c r="AC211" s="31">
        <f>VLOOKUP($B211,'Tillförd energi'!$B$1:$AI$720,MATCH(AC$1,'Tillförd energi'!$B$1:$AQ$1,0),FALSE)</f>
        <v>0</v>
      </c>
      <c r="AD211" s="31">
        <f>VLOOKUP($B211,'Tillförd energi'!$B$1:$AI$720,MATCH(AD$1,'Tillförd energi'!$B$1:$AQ$1,0),FALSE)</f>
        <v>7.0000000000000007E-2</v>
      </c>
      <c r="AE211" s="31">
        <f>VLOOKUP($B211,'Tillförd energi'!$B$1:$AI$720,MATCH(AE$1,'Tillförd energi'!$B$1:$AQ$1,0),FALSE)</f>
        <v>0</v>
      </c>
      <c r="AF211" s="31">
        <f>VLOOKUP($B211,'Tillförd energi'!$B$1:$AI$720,MATCH(AF$1,'Tillförd energi'!$B$1:$AQ$1,0),FALSE)</f>
        <v>13.669</v>
      </c>
      <c r="AG211" s="31">
        <f>IFERROR(VLOOKUP(B211,Miljö!$B$1:$AC$550,MATCH("Köpt mängd produktionsspecifik fjärrvärme:",Miljö!$B$1:$AC$1,0),FALSE)/1,0)</f>
        <v>508.536</v>
      </c>
      <c r="AI211" s="31">
        <f t="shared" si="69"/>
        <v>554.19200000000001</v>
      </c>
      <c r="AJ211" s="31">
        <f t="shared" si="70"/>
        <v>1062.7280000000001</v>
      </c>
      <c r="AK211" s="31">
        <f>IF(ISERROR(1/VLOOKUP($B211,Leveranser!$B$1:$S$499,MATCH("Såld värme (GWh)",Leveranser!$B$1:$S$1,0),FALSE)),"",VLOOKUP($B211,Leveranser!$B$1:$S$499,MATCH("Såld värme (GWh)",Leveranser!$B$1:$S$1,0),FALSE))</f>
        <v>981</v>
      </c>
      <c r="AL211" s="31">
        <f>VLOOKUP($B211,Leveranser!$B$1:$Y$499,MATCH("Totalt såld fjärrvärme till andra fjärrvärmeföretag",Leveranser!$B$1:$AA$1,0),FALSE)</f>
        <v>0.44600000000000001</v>
      </c>
      <c r="AM211" s="31">
        <f>IF(ISERROR(1/VLOOKUP($B211,Miljö!$B$1:$S$500,MATCH("Såld mängd produktionsspecifik fjärrvärme (GWh)",Miljö!$B$1:$R$1,0),FALSE)),0,VLOOKUP($B211,Miljö!$B$1:$S$500,MATCH("Såld mängd produktionsspecifik fjärrvärme (GWh)",Miljö!$B$1:$R$1,0),FALSE))</f>
        <v>4.2750000000000004</v>
      </c>
      <c r="AN211" s="32">
        <f t="shared" si="71"/>
        <v>0.92309603209852376</v>
      </c>
      <c r="AP211" s="31" t="str">
        <f>IFERROR(VLOOKUP($B211,Miljövärden!$B$2:$H$550,7,FALSE),"Nej, saknas")</f>
        <v>Ja</v>
      </c>
      <c r="AQ211" s="31" t="str">
        <f>IFERROR(VLOOKUP($B211,Miljövärden!$B$2:$H$551,6,FALSE),"Nej, saknas")</f>
        <v>Nej</v>
      </c>
      <c r="AU211" s="31">
        <f t="shared" si="72"/>
        <v>138.999</v>
      </c>
      <c r="AV211" s="31">
        <f t="shared" si="73"/>
        <v>0</v>
      </c>
      <c r="AW211" s="31">
        <f t="shared" si="74"/>
        <v>0</v>
      </c>
      <c r="AX211" s="31">
        <f t="shared" si="75"/>
        <v>159.28299999999999</v>
      </c>
      <c r="AZ211" s="31">
        <f t="shared" si="76"/>
        <v>162.83599999999998</v>
      </c>
      <c r="BC211" s="31">
        <f t="shared" si="77"/>
        <v>1.958</v>
      </c>
      <c r="BD211" s="31">
        <f t="shared" si="78"/>
        <v>0</v>
      </c>
      <c r="BE211" s="31">
        <f t="shared" si="79"/>
        <v>162.83599999999998</v>
      </c>
      <c r="BF211" s="31">
        <f t="shared" si="80"/>
        <v>250.399</v>
      </c>
      <c r="BG211" s="31">
        <f t="shared" si="81"/>
        <v>138.999</v>
      </c>
      <c r="BH211" s="31">
        <f>VLOOKUP(B211,Miljö!$B$1:$BX$482,MATCH("Fossilandel för ursprungspecificerad el ()",Miljö!$B$1:$I$1,0),FALSE)</f>
        <v>0</v>
      </c>
      <c r="BI211" s="31">
        <f>VLOOKUP(B211,Miljö!$B$1:$BX$482,MATCH("Kärnkraftsandel för ursprungsspecificerad el ()",Miljö!$B$1:$O$1,0),FALSE)</f>
        <v>0</v>
      </c>
      <c r="BJ211" s="31">
        <f t="shared" si="82"/>
        <v>508.536</v>
      </c>
      <c r="BK211" s="31">
        <f>VLOOKUP(B211,Miljö!$B$1:$P$482,MATCH("Fossil andel i procent (%)",Miljö!$B$1:$P$1,0),FALSE)</f>
        <v>0</v>
      </c>
      <c r="BL211" s="31">
        <f t="shared" si="83"/>
        <v>1062.7280000000001</v>
      </c>
      <c r="BO211" s="32">
        <f t="shared" si="84"/>
        <v>1.8424281660029658E-3</v>
      </c>
      <c r="BP211" s="32">
        <f t="shared" si="85"/>
        <v>0.478519433006376</v>
      </c>
      <c r="BQ211" s="32">
        <f t="shared" si="86"/>
        <v>0.28401905285265838</v>
      </c>
      <c r="BR211" s="32">
        <f t="shared" si="87"/>
        <v>0.23561908597496253</v>
      </c>
      <c r="BT211" s="62">
        <f t="shared" si="88"/>
        <v>0.99999999999999978</v>
      </c>
      <c r="BW211" s="32">
        <f>IF(AP211="Ja",VLOOKUP(B211,Miljövärden!$B$2:$H$551,MATCH("Total andel fossilt",Miljövärden!$B$2:$H$2,0),FALSE),"")</f>
        <v>1.84987E-3</v>
      </c>
      <c r="BX211" s="62">
        <f t="shared" si="89"/>
        <v>7.4418339970341515E-6</v>
      </c>
      <c r="BZ211" s="31">
        <f t="shared" si="90"/>
        <v>7.4418339970341515E-6</v>
      </c>
      <c r="CA211" s="32">
        <f t="shared" si="91"/>
        <v>0</v>
      </c>
    </row>
    <row r="212" spans="1:79" x14ac:dyDescent="0.45">
      <c r="A212" s="31" t="s">
        <v>406</v>
      </c>
      <c r="B212" s="31" t="s">
        <v>408</v>
      </c>
      <c r="C212" s="31">
        <f>VLOOKUP($B212,'Tillförd energi'!$B$1:$AI$720,MATCH(C$1,'Tillförd energi'!$B$1:$AQ$1,0),FALSE)</f>
        <v>0</v>
      </c>
      <c r="D212" s="31">
        <f>VLOOKUP($B212,'Tillförd energi'!$B$1:$AI$720,MATCH(D$1,'Tillförd energi'!$B$1:$AQ$1,0),FALSE)</f>
        <v>6.0000000000000001E-3</v>
      </c>
      <c r="E212" s="31">
        <f>VLOOKUP($B212,'Tillförd energi'!$B$1:$AI$720,MATCH(E$1,'Tillförd energi'!$B$1:$AQ$1,0),FALSE)</f>
        <v>0</v>
      </c>
      <c r="F212" s="31">
        <f>VLOOKUP($B212,'Tillförd energi'!$B$1:$AI$720,MATCH(F$1,'Tillförd energi'!$B$1:$AQ$1,0),FALSE)</f>
        <v>0</v>
      </c>
      <c r="G212" s="31">
        <f>VLOOKUP($B212,'Tillförd energi'!$B$1:$AI$720,MATCH(G$1,'Tillförd energi'!$B$1:$AQ$1,0),FALSE)</f>
        <v>0</v>
      </c>
      <c r="H212" s="31">
        <f>VLOOKUP($B212,'Tillförd energi'!$B$1:$AI$720,MATCH(H$1,'Tillförd energi'!$B$1:$AQ$1,0),FALSE)</f>
        <v>0</v>
      </c>
      <c r="I212" s="31">
        <f>VLOOKUP($B212,'Tillförd energi'!$B$1:$AI$720,MATCH(I$1,'Tillförd energi'!$B$1:$AQ$1,0),FALSE)</f>
        <v>0</v>
      </c>
      <c r="J212" s="31">
        <f>VLOOKUP($B212,'Tillförd energi'!$B$1:$AI$720,MATCH(J$1,'Tillförd energi'!$B$1:$AQ$1,0),FALSE)</f>
        <v>0</v>
      </c>
      <c r="K212" s="31">
        <f>VLOOKUP($B212,'Tillförd energi'!$B$1:$AI$720,MATCH(K$1,'Tillförd energi'!$B$1:$AQ$1,0),FALSE)</f>
        <v>0</v>
      </c>
      <c r="L212" s="31">
        <f>VLOOKUP($B212,'Tillförd energi'!$B$1:$AI$720,MATCH(L$1,'Tillförd energi'!$B$1:$AQ$1,0),FALSE)</f>
        <v>0</v>
      </c>
      <c r="M212" s="31">
        <f>VLOOKUP($B212,'Tillförd energi'!$B$1:$AI$720,MATCH(M$1,'Tillförd energi'!$B$1:$AQ$1,0),FALSE)</f>
        <v>0</v>
      </c>
      <c r="N212" s="31">
        <f>VLOOKUP($B212,'Tillförd energi'!$B$1:$AI$720,MATCH(N$1,'Tillförd energi'!$B$1:$AQ$1,0),FALSE)</f>
        <v>0</v>
      </c>
      <c r="O212" s="31">
        <f>VLOOKUP($B212,'Tillförd energi'!$B$1:$AI$720,MATCH(O$1,'Tillförd energi'!$B$1:$AQ$1,0),FALSE)</f>
        <v>0</v>
      </c>
      <c r="P212" s="31">
        <f>VLOOKUP($B212,'Tillförd energi'!$B$1:$AI$720,MATCH(P$1,'Tillförd energi'!$B$1:$AQ$1,0),FALSE)</f>
        <v>0</v>
      </c>
      <c r="Q212" s="31">
        <f>VLOOKUP($B212,'Tillförd energi'!$B$1:$AI$720,MATCH(Q$1,'Tillförd energi'!$B$1:$AQ$1,0),FALSE)</f>
        <v>0</v>
      </c>
      <c r="R212" s="31">
        <f>VLOOKUP($B212,'Tillförd energi'!$B$1:$AI$720,MATCH(R$1,'Tillförd energi'!$B$1:$AQ$1,0),FALSE)</f>
        <v>13.103</v>
      </c>
      <c r="S212" s="31">
        <f>VLOOKUP($B212,'Tillförd energi'!$B$1:$AI$720,MATCH(S$1,'Tillförd energi'!$B$1:$AQ$1,0),FALSE)</f>
        <v>0</v>
      </c>
      <c r="T212" s="31">
        <f>VLOOKUP($B212,'Tillförd energi'!$B$1:$AI$720,MATCH(T$1,'Tillförd energi'!$B$1:$AQ$1,0),FALSE)</f>
        <v>0</v>
      </c>
      <c r="U212" s="31">
        <f>VLOOKUP($B212,'Tillförd energi'!$B$1:$AI$720,MATCH(U$1,'Tillförd energi'!$B$1:$AQ$1,0),FALSE)</f>
        <v>0</v>
      </c>
      <c r="V212" s="31">
        <f>VLOOKUP($B212,'Tillförd energi'!$B$1:$AI$720,MATCH(V$1,'Tillförd energi'!$B$1:$AQ$1,0),FALSE)</f>
        <v>0</v>
      </c>
      <c r="W212" s="31">
        <f>VLOOKUP($B212,'Tillförd energi'!$B$1:$AI$720,MATCH(W$1,'Tillförd energi'!$B$1:$AQ$1,0),FALSE)</f>
        <v>0</v>
      </c>
      <c r="X212" s="31">
        <f>VLOOKUP($B212,'Tillförd energi'!$B$1:$AI$720,MATCH(X$1,'Tillförd energi'!$B$1:$AQ$1,0),FALSE)</f>
        <v>0</v>
      </c>
      <c r="Y212" s="31">
        <f>VLOOKUP($B212,'Tillförd energi'!$B$1:$AI$720,MATCH(Y$1,'Tillförd energi'!$B$1:$AQ$1,0),FALSE)</f>
        <v>0</v>
      </c>
      <c r="Z212" s="31">
        <f>VLOOKUP($B212,'Tillförd energi'!$B$1:$AI$720,MATCH(Z$1,'Tillförd energi'!$B$1:$AQ$1,0),FALSE)</f>
        <v>0</v>
      </c>
      <c r="AA212" s="31">
        <f>VLOOKUP($B212,'Tillförd energi'!$B$1:$AI$720,MATCH(AA$1,'Tillförd energi'!$B$1:$AQ$1,0),FALSE)</f>
        <v>0</v>
      </c>
      <c r="AB212" s="31">
        <f>VLOOKUP($B212,'Tillförd energi'!$B$1:$AI$720,MATCH(AB$1,'Tillförd energi'!$B$1:$AQ$1,0),FALSE)</f>
        <v>0</v>
      </c>
      <c r="AC212" s="31">
        <f>VLOOKUP($B212,'Tillförd energi'!$B$1:$AI$720,MATCH(AC$1,'Tillförd energi'!$B$1:$AQ$1,0),FALSE)</f>
        <v>0</v>
      </c>
      <c r="AD212" s="31">
        <f>VLOOKUP($B212,'Tillförd energi'!$B$1:$AI$720,MATCH(AD$1,'Tillförd energi'!$B$1:$AQ$1,0),FALSE)</f>
        <v>7.0490000000000004</v>
      </c>
      <c r="AE212" s="31">
        <f>VLOOKUP($B212,'Tillförd energi'!$B$1:$AI$720,MATCH(AE$1,'Tillförd energi'!$B$1:$AQ$1,0),FALSE)</f>
        <v>0</v>
      </c>
      <c r="AF212" s="31">
        <f>VLOOKUP($B212,'Tillförd energi'!$B$1:$AI$720,MATCH(AF$1,'Tillförd energi'!$B$1:$AQ$1,0),FALSE)</f>
        <v>0.5</v>
      </c>
      <c r="AG212" s="31">
        <f>IFERROR(VLOOKUP(B212,Miljö!$B$1:$AC$550,MATCH("Köpt mängd produktionsspecifik fjärrvärme:",Miljö!$B$1:$AC$1,0),FALSE)/1,0)</f>
        <v>0</v>
      </c>
      <c r="AI212" s="31">
        <f t="shared" si="69"/>
        <v>20.658000000000001</v>
      </c>
      <c r="AJ212" s="31">
        <f t="shared" si="70"/>
        <v>20.658000000000001</v>
      </c>
      <c r="AK212" s="31">
        <f>IF(ISERROR(1/VLOOKUP($B212,Leveranser!$B$1:$S$499,MATCH("Såld värme (GWh)",Leveranser!$B$1:$S$1,0),FALSE)),"",VLOOKUP($B212,Leveranser!$B$1:$S$499,MATCH("Såld värme (GWh)",Leveranser!$B$1:$S$1,0),FALSE))</f>
        <v>16.670000000000002</v>
      </c>
      <c r="AL212" s="31">
        <f>VLOOKUP($B212,Leveranser!$B$1:$Y$499,MATCH("Totalt såld fjärrvärme till andra fjärrvärmeföretag",Leveranser!$B$1:$AA$1,0),FALSE)</f>
        <v>0</v>
      </c>
      <c r="AM212" s="31">
        <f>IF(ISERROR(1/VLOOKUP($B212,Miljö!$B$1:$S$500,MATCH("Såld mängd produktionsspecifik fjärrvärme (GWh)",Miljö!$B$1:$R$1,0),FALSE)),0,VLOOKUP($B212,Miljö!$B$1:$S$500,MATCH("Såld mängd produktionsspecifik fjärrvärme (GWh)",Miljö!$B$1:$R$1,0),FALSE))</f>
        <v>0</v>
      </c>
      <c r="AN212" s="32">
        <f t="shared" si="71"/>
        <v>0.80695130215896993</v>
      </c>
      <c r="AP212" s="31" t="str">
        <f>IFERROR(VLOOKUP($B212,Miljövärden!$B$2:$H$550,7,FALSE),"Nej, saknas")</f>
        <v>Ja</v>
      </c>
      <c r="AQ212" s="31" t="str">
        <f>IFERROR(VLOOKUP($B212,Miljövärden!$B$2:$H$551,6,FALSE),"Nej, saknas")</f>
        <v>Ja</v>
      </c>
      <c r="AU212" s="31">
        <f t="shared" si="72"/>
        <v>0.5</v>
      </c>
      <c r="AV212" s="31">
        <f t="shared" si="73"/>
        <v>0</v>
      </c>
      <c r="AW212" s="31">
        <f t="shared" si="74"/>
        <v>0</v>
      </c>
      <c r="AX212" s="31">
        <f t="shared" si="75"/>
        <v>13.103</v>
      </c>
      <c r="AZ212" s="31">
        <f t="shared" si="76"/>
        <v>13.103</v>
      </c>
      <c r="BC212" s="31">
        <f t="shared" si="77"/>
        <v>6.0000000000000001E-3</v>
      </c>
      <c r="BD212" s="31">
        <f t="shared" si="78"/>
        <v>0</v>
      </c>
      <c r="BE212" s="31">
        <f t="shared" si="79"/>
        <v>13.103</v>
      </c>
      <c r="BF212" s="31">
        <f t="shared" si="80"/>
        <v>7.0490000000000004</v>
      </c>
      <c r="BG212" s="31">
        <f t="shared" si="81"/>
        <v>0.5</v>
      </c>
      <c r="BH212" s="31">
        <f>VLOOKUP(B212,Miljö!$B$1:$BX$482,MATCH("Fossilandel för ursprungspecificerad el ()",Miljö!$B$1:$I$1,0),FALSE)</f>
        <v>0</v>
      </c>
      <c r="BI212" s="31">
        <f>VLOOKUP(B212,Miljö!$B$1:$BX$482,MATCH("Kärnkraftsandel för ursprungsspecificerad el ()",Miljö!$B$1:$O$1,0),FALSE)</f>
        <v>0</v>
      </c>
      <c r="BJ212" s="31">
        <f t="shared" si="82"/>
        <v>0</v>
      </c>
      <c r="BK212" s="31" t="str">
        <f>VLOOKUP(B212,Miljö!$B$1:$P$482,MATCH("Fossil andel i procent (%)",Miljö!$B$1:$P$1,0),FALSE)</f>
        <v>ET</v>
      </c>
      <c r="BL212" s="31">
        <f t="shared" si="83"/>
        <v>20.658000000000001</v>
      </c>
      <c r="BO212" s="32">
        <f t="shared" si="84"/>
        <v>2.9044437990124891E-4</v>
      </c>
      <c r="BP212" s="32">
        <f t="shared" si="85"/>
        <v>0</v>
      </c>
      <c r="BQ212" s="32">
        <f t="shared" si="86"/>
        <v>0.65848581663278138</v>
      </c>
      <c r="BR212" s="32">
        <f t="shared" si="87"/>
        <v>0.34122373898731728</v>
      </c>
      <c r="BT212" s="62">
        <f t="shared" si="88"/>
        <v>0.99999999999999989</v>
      </c>
      <c r="BW212" s="32">
        <f>IF(AP212="Ja",VLOOKUP(B212,Miljövärden!$B$2:$H$551,MATCH("Total andel fossilt",Miljövärden!$B$2:$H$2,0),FALSE),"")</f>
        <v>2.90444E-4</v>
      </c>
      <c r="BX212" s="62">
        <f t="shared" si="89"/>
        <v>-3.7990124891404409E-10</v>
      </c>
      <c r="BZ212" s="31">
        <f t="shared" si="90"/>
        <v>-3.7990124891404409E-10</v>
      </c>
      <c r="CA212" s="32">
        <f t="shared" si="91"/>
        <v>0</v>
      </c>
    </row>
    <row r="213" spans="1:79" x14ac:dyDescent="0.45">
      <c r="A213" s="31" t="s">
        <v>406</v>
      </c>
      <c r="B213" s="31" t="s">
        <v>407</v>
      </c>
      <c r="C213" s="31">
        <f>VLOOKUP($B213,'Tillförd energi'!$B$1:$AI$720,MATCH(C$1,'Tillförd energi'!$B$1:$AQ$1,0),FALSE)</f>
        <v>0</v>
      </c>
      <c r="D213" s="31">
        <f>VLOOKUP($B213,'Tillförd energi'!$B$1:$AI$720,MATCH(D$1,'Tillförd energi'!$B$1:$AQ$1,0),FALSE)</f>
        <v>4.2000000000000003E-2</v>
      </c>
      <c r="E213" s="31">
        <f>VLOOKUP($B213,'Tillförd energi'!$B$1:$AI$720,MATCH(E$1,'Tillförd energi'!$B$1:$AQ$1,0),FALSE)</f>
        <v>0</v>
      </c>
      <c r="F213" s="31">
        <f>VLOOKUP($B213,'Tillförd energi'!$B$1:$AI$720,MATCH(F$1,'Tillförd energi'!$B$1:$AQ$1,0),FALSE)</f>
        <v>0</v>
      </c>
      <c r="G213" s="31">
        <f>VLOOKUP($B213,'Tillförd energi'!$B$1:$AI$720,MATCH(G$1,'Tillförd energi'!$B$1:$AQ$1,0),FALSE)</f>
        <v>0</v>
      </c>
      <c r="H213" s="31">
        <f>VLOOKUP($B213,'Tillförd energi'!$B$1:$AI$720,MATCH(H$1,'Tillförd energi'!$B$1:$AQ$1,0),FALSE)</f>
        <v>0</v>
      </c>
      <c r="I213" s="31">
        <f>VLOOKUP($B213,'Tillförd energi'!$B$1:$AI$720,MATCH(I$1,'Tillförd energi'!$B$1:$AQ$1,0),FALSE)</f>
        <v>0</v>
      </c>
      <c r="J213" s="31">
        <f>VLOOKUP($B213,'Tillförd energi'!$B$1:$AI$720,MATCH(J$1,'Tillförd energi'!$B$1:$AQ$1,0),FALSE)</f>
        <v>0</v>
      </c>
      <c r="K213" s="31">
        <f>VLOOKUP($B213,'Tillförd energi'!$B$1:$AI$720,MATCH(K$1,'Tillförd energi'!$B$1:$AQ$1,0),FALSE)</f>
        <v>0</v>
      </c>
      <c r="L213" s="31">
        <f>VLOOKUP($B213,'Tillförd energi'!$B$1:$AI$720,MATCH(L$1,'Tillförd energi'!$B$1:$AQ$1,0),FALSE)</f>
        <v>0</v>
      </c>
      <c r="M213" s="31">
        <f>VLOOKUP($B213,'Tillförd energi'!$B$1:$AI$720,MATCH(M$1,'Tillförd energi'!$B$1:$AQ$1,0),FALSE)</f>
        <v>0</v>
      </c>
      <c r="N213" s="31">
        <f>VLOOKUP($B213,'Tillförd energi'!$B$1:$AI$720,MATCH(N$1,'Tillförd energi'!$B$1:$AQ$1,0),FALSE)</f>
        <v>116.191</v>
      </c>
      <c r="O213" s="31">
        <f>VLOOKUP($B213,'Tillförd energi'!$B$1:$AI$720,MATCH(O$1,'Tillförd energi'!$B$1:$AQ$1,0),FALSE)</f>
        <v>0</v>
      </c>
      <c r="P213" s="31">
        <f>VLOOKUP($B213,'Tillförd energi'!$B$1:$AI$720,MATCH(P$1,'Tillförd energi'!$B$1:$AQ$1,0),FALSE)</f>
        <v>3.8638300000000001</v>
      </c>
      <c r="Q213" s="31">
        <f>VLOOKUP($B213,'Tillförd energi'!$B$1:$AI$720,MATCH(Q$1,'Tillförd energi'!$B$1:$AQ$1,0),FALSE)</f>
        <v>0</v>
      </c>
      <c r="R213" s="31">
        <f>VLOOKUP($B213,'Tillförd energi'!$B$1:$AI$720,MATCH(R$1,'Tillförd energi'!$B$1:$AQ$1,0),FALSE)</f>
        <v>0</v>
      </c>
      <c r="S213" s="31">
        <f>VLOOKUP($B213,'Tillförd energi'!$B$1:$AI$720,MATCH(S$1,'Tillförd energi'!$B$1:$AQ$1,0),FALSE)</f>
        <v>0</v>
      </c>
      <c r="T213" s="31">
        <f>VLOOKUP($B213,'Tillförd energi'!$B$1:$AI$720,MATCH(T$1,'Tillförd energi'!$B$1:$AQ$1,0),FALSE)</f>
        <v>0</v>
      </c>
      <c r="U213" s="31">
        <f>VLOOKUP($B213,'Tillförd energi'!$B$1:$AI$720,MATCH(U$1,'Tillförd energi'!$B$1:$AQ$1,0),FALSE)</f>
        <v>0</v>
      </c>
      <c r="V213" s="31">
        <f>VLOOKUP($B213,'Tillförd energi'!$B$1:$AI$720,MATCH(V$1,'Tillförd energi'!$B$1:$AQ$1,0),FALSE)</f>
        <v>0</v>
      </c>
      <c r="W213" s="31">
        <f>VLOOKUP($B213,'Tillförd energi'!$B$1:$AI$720,MATCH(W$1,'Tillförd energi'!$B$1:$AQ$1,0),FALSE)</f>
        <v>0</v>
      </c>
      <c r="X213" s="31">
        <f>VLOOKUP($B213,'Tillförd energi'!$B$1:$AI$720,MATCH(X$1,'Tillförd energi'!$B$1:$AQ$1,0),FALSE)</f>
        <v>0</v>
      </c>
      <c r="Y213" s="31">
        <f>VLOOKUP($B213,'Tillförd energi'!$B$1:$AI$720,MATCH(Y$1,'Tillförd energi'!$B$1:$AQ$1,0),FALSE)</f>
        <v>0</v>
      </c>
      <c r="Z213" s="31">
        <f>VLOOKUP($B213,'Tillförd energi'!$B$1:$AI$720,MATCH(Z$1,'Tillförd energi'!$B$1:$AQ$1,0),FALSE)</f>
        <v>0.65200000000000002</v>
      </c>
      <c r="AA213" s="31">
        <f>VLOOKUP($B213,'Tillförd energi'!$B$1:$AI$720,MATCH(AA$1,'Tillförd energi'!$B$1:$AQ$1,0),FALSE)</f>
        <v>0</v>
      </c>
      <c r="AB213" s="31">
        <f>VLOOKUP($B213,'Tillförd energi'!$B$1:$AI$720,MATCH(AB$1,'Tillförd energi'!$B$1:$AQ$1,0),FALSE)</f>
        <v>0</v>
      </c>
      <c r="AC213" s="31">
        <f>VLOOKUP($B213,'Tillförd energi'!$B$1:$AI$720,MATCH(AC$1,'Tillförd energi'!$B$1:$AQ$1,0),FALSE)</f>
        <v>28.945</v>
      </c>
      <c r="AD213" s="31">
        <f>VLOOKUP($B213,'Tillförd energi'!$B$1:$AI$720,MATCH(AD$1,'Tillförd energi'!$B$1:$AQ$1,0),FALSE)</f>
        <v>0</v>
      </c>
      <c r="AE213" s="31">
        <f>VLOOKUP($B213,'Tillförd energi'!$B$1:$AI$720,MATCH(AE$1,'Tillförd energi'!$B$1:$AQ$1,0),FALSE)</f>
        <v>0</v>
      </c>
      <c r="AF213" s="31">
        <f>VLOOKUP($B213,'Tillförd energi'!$B$1:$AI$720,MATCH(AF$1,'Tillförd energi'!$B$1:$AQ$1,0),FALSE)</f>
        <v>5.3180500000000004</v>
      </c>
      <c r="AG213" s="31">
        <f>IFERROR(VLOOKUP(B213,Miljö!$B$1:$AC$550,MATCH("Köpt mängd produktionsspecifik fjärrvärme:",Miljö!$B$1:$AC$1,0),FALSE)/1,0)</f>
        <v>0</v>
      </c>
      <c r="AI213" s="31">
        <f t="shared" si="69"/>
        <v>155.01188000000002</v>
      </c>
      <c r="AJ213" s="31">
        <f t="shared" si="70"/>
        <v>155.01188000000002</v>
      </c>
      <c r="AK213" s="31">
        <f>IF(ISERROR(1/VLOOKUP($B213,Leveranser!$B$1:$S$499,MATCH("Såld värme (GWh)",Leveranser!$B$1:$S$1,0),FALSE)),"",VLOOKUP($B213,Leveranser!$B$1:$S$499,MATCH("Såld värme (GWh)",Leveranser!$B$1:$S$1,0),FALSE))</f>
        <v>119.46599999999999</v>
      </c>
      <c r="AL213" s="31">
        <f>VLOOKUP($B213,Leveranser!$B$1:$Y$499,MATCH("Totalt såld fjärrvärme till andra fjärrvärmeföretag",Leveranser!$B$1:$AA$1,0),FALSE)</f>
        <v>0</v>
      </c>
      <c r="AM213" s="31">
        <f>IF(ISERROR(1/VLOOKUP($B213,Miljö!$B$1:$S$500,MATCH("Såld mängd produktionsspecifik fjärrvärme (GWh)",Miljö!$B$1:$R$1,0),FALSE)),0,VLOOKUP($B213,Miljö!$B$1:$S$500,MATCH("Såld mängd produktionsspecifik fjärrvärme (GWh)",Miljö!$B$1:$R$1,0),FALSE))</f>
        <v>0</v>
      </c>
      <c r="AN213" s="32">
        <f t="shared" si="71"/>
        <v>0.77068931748973035</v>
      </c>
      <c r="AP213" s="31" t="str">
        <f>IFERROR(VLOOKUP($B213,Miljövärden!$B$2:$H$550,7,FALSE),"Nej, saknas")</f>
        <v>Ja</v>
      </c>
      <c r="AQ213" s="31" t="str">
        <f>IFERROR(VLOOKUP($B213,Miljövärden!$B$2:$H$551,6,FALSE),"Nej, saknas")</f>
        <v>Ja</v>
      </c>
      <c r="AU213" s="31">
        <f t="shared" si="72"/>
        <v>5.9700500000000005</v>
      </c>
      <c r="AV213" s="31">
        <f t="shared" si="73"/>
        <v>0</v>
      </c>
      <c r="AW213" s="31">
        <f t="shared" si="74"/>
        <v>120.05483000000001</v>
      </c>
      <c r="AX213" s="31">
        <f t="shared" si="75"/>
        <v>0</v>
      </c>
      <c r="AZ213" s="31">
        <f t="shared" si="76"/>
        <v>120.05483000000001</v>
      </c>
      <c r="BC213" s="31">
        <f t="shared" si="77"/>
        <v>4.2000000000000003E-2</v>
      </c>
      <c r="BD213" s="31">
        <f t="shared" si="78"/>
        <v>0</v>
      </c>
      <c r="BE213" s="31">
        <f t="shared" si="79"/>
        <v>120.05483000000001</v>
      </c>
      <c r="BF213" s="31">
        <f t="shared" si="80"/>
        <v>28.945</v>
      </c>
      <c r="BG213" s="31">
        <f t="shared" si="81"/>
        <v>5.9700500000000005</v>
      </c>
      <c r="BH213" s="31">
        <f>VLOOKUP(B213,Miljö!$B$1:$BX$482,MATCH("Fossilandel för ursprungspecificerad el ()",Miljö!$B$1:$I$1,0),FALSE)</f>
        <v>0</v>
      </c>
      <c r="BI213" s="31">
        <f>VLOOKUP(B213,Miljö!$B$1:$BX$482,MATCH("Kärnkraftsandel för ursprungsspecificerad el ()",Miljö!$B$1:$O$1,0),FALSE)</f>
        <v>0</v>
      </c>
      <c r="BJ213" s="31">
        <f t="shared" si="82"/>
        <v>0</v>
      </c>
      <c r="BK213" s="31" t="str">
        <f>VLOOKUP(B213,Miljö!$B$1:$P$482,MATCH("Fossil andel i procent (%)",Miljö!$B$1:$P$1,0),FALSE)</f>
        <v>ET</v>
      </c>
      <c r="BL213" s="31">
        <f t="shared" si="83"/>
        <v>155.01188000000002</v>
      </c>
      <c r="BO213" s="32">
        <f t="shared" si="84"/>
        <v>2.7094697516087153E-4</v>
      </c>
      <c r="BP213" s="32">
        <f t="shared" si="85"/>
        <v>0</v>
      </c>
      <c r="BQ213" s="32">
        <f t="shared" si="86"/>
        <v>0.81300142930980512</v>
      </c>
      <c r="BR213" s="32">
        <f t="shared" si="87"/>
        <v>0.18672762371503396</v>
      </c>
      <c r="BT213" s="62">
        <f t="shared" si="88"/>
        <v>0.99999999999999989</v>
      </c>
      <c r="BW213" s="32">
        <f>IF(AP213="Ja",VLOOKUP(B213,Miljövärden!$B$2:$H$551,MATCH("Total andel fossilt",Miljövärden!$B$2:$H$2,0),FALSE),"")</f>
        <v>2.7094700000000001E-4</v>
      </c>
      <c r="BX213" s="62">
        <f t="shared" si="89"/>
        <v>2.4839128475416528E-11</v>
      </c>
      <c r="BZ213" s="31">
        <f t="shared" si="90"/>
        <v>2.4839128475416528E-11</v>
      </c>
      <c r="CA213" s="32">
        <f t="shared" si="91"/>
        <v>0</v>
      </c>
    </row>
    <row r="214" spans="1:79" x14ac:dyDescent="0.45">
      <c r="A214" s="31" t="s">
        <v>406</v>
      </c>
      <c r="B214" s="31" t="s">
        <v>405</v>
      </c>
      <c r="C214" s="31">
        <f>VLOOKUP($B214,'Tillförd energi'!$B$1:$AI$720,MATCH(C$1,'Tillförd energi'!$B$1:$AQ$1,0),FALSE)</f>
        <v>0</v>
      </c>
      <c r="D214" s="31">
        <f>VLOOKUP($B214,'Tillförd energi'!$B$1:$AI$720,MATCH(D$1,'Tillförd energi'!$B$1:$AQ$1,0),FALSE)</f>
        <v>0.628</v>
      </c>
      <c r="E214" s="31">
        <f>VLOOKUP($B214,'Tillförd energi'!$B$1:$AI$720,MATCH(E$1,'Tillförd energi'!$B$1:$AQ$1,0),FALSE)</f>
        <v>0</v>
      </c>
      <c r="F214" s="31">
        <f>VLOOKUP($B214,'Tillförd energi'!$B$1:$AI$720,MATCH(F$1,'Tillförd energi'!$B$1:$AQ$1,0),FALSE)</f>
        <v>0</v>
      </c>
      <c r="G214" s="31">
        <f>VLOOKUP($B214,'Tillförd energi'!$B$1:$AI$720,MATCH(G$1,'Tillförd energi'!$B$1:$AQ$1,0),FALSE)</f>
        <v>0</v>
      </c>
      <c r="H214" s="31">
        <f>VLOOKUP($B214,'Tillförd energi'!$B$1:$AI$720,MATCH(H$1,'Tillförd energi'!$B$1:$AQ$1,0),FALSE)</f>
        <v>0</v>
      </c>
      <c r="I214" s="31">
        <f>VLOOKUP($B214,'Tillförd energi'!$B$1:$AI$720,MATCH(I$1,'Tillförd energi'!$B$1:$AQ$1,0),FALSE)</f>
        <v>0</v>
      </c>
      <c r="J214" s="31">
        <f>VLOOKUP($B214,'Tillförd energi'!$B$1:$AI$720,MATCH(J$1,'Tillförd energi'!$B$1:$AQ$1,0),FALSE)</f>
        <v>0</v>
      </c>
      <c r="K214" s="31">
        <f>VLOOKUP($B214,'Tillförd energi'!$B$1:$AI$720,MATCH(K$1,'Tillförd energi'!$B$1:$AQ$1,0),FALSE)</f>
        <v>0</v>
      </c>
      <c r="L214" s="31">
        <f>VLOOKUP($B214,'Tillförd energi'!$B$1:$AI$720,MATCH(L$1,'Tillförd energi'!$B$1:$AQ$1,0),FALSE)</f>
        <v>0</v>
      </c>
      <c r="M214" s="31">
        <f>VLOOKUP($B214,'Tillförd energi'!$B$1:$AI$720,MATCH(M$1,'Tillförd energi'!$B$1:$AQ$1,0),FALSE)</f>
        <v>0</v>
      </c>
      <c r="N214" s="31">
        <f>VLOOKUP($B214,'Tillförd energi'!$B$1:$AI$720,MATCH(N$1,'Tillförd energi'!$B$1:$AQ$1,0),FALSE)</f>
        <v>0</v>
      </c>
      <c r="O214" s="31">
        <f>VLOOKUP($B214,'Tillförd energi'!$B$1:$AI$720,MATCH(O$1,'Tillförd energi'!$B$1:$AQ$1,0),FALSE)</f>
        <v>0</v>
      </c>
      <c r="P214" s="31">
        <f>VLOOKUP($B214,'Tillförd energi'!$B$1:$AI$720,MATCH(P$1,'Tillförd energi'!$B$1:$AQ$1,0),FALSE)</f>
        <v>19.079000000000001</v>
      </c>
      <c r="Q214" s="31">
        <f>VLOOKUP($B214,'Tillförd energi'!$B$1:$AI$720,MATCH(Q$1,'Tillförd energi'!$B$1:$AQ$1,0),FALSE)</f>
        <v>0</v>
      </c>
      <c r="R214" s="31">
        <f>VLOOKUP($B214,'Tillförd energi'!$B$1:$AI$720,MATCH(R$1,'Tillförd energi'!$B$1:$AQ$1,0),FALSE)</f>
        <v>0</v>
      </c>
      <c r="S214" s="31">
        <f>VLOOKUP($B214,'Tillförd energi'!$B$1:$AI$720,MATCH(S$1,'Tillförd energi'!$B$1:$AQ$1,0),FALSE)</f>
        <v>0</v>
      </c>
      <c r="T214" s="31">
        <f>VLOOKUP($B214,'Tillförd energi'!$B$1:$AI$720,MATCH(T$1,'Tillförd energi'!$B$1:$AQ$1,0),FALSE)</f>
        <v>0</v>
      </c>
      <c r="U214" s="31">
        <f>VLOOKUP($B214,'Tillförd energi'!$B$1:$AI$720,MATCH(U$1,'Tillförd energi'!$B$1:$AQ$1,0),FALSE)</f>
        <v>0</v>
      </c>
      <c r="V214" s="31">
        <f>VLOOKUP($B214,'Tillförd energi'!$B$1:$AI$720,MATCH(V$1,'Tillförd energi'!$B$1:$AQ$1,0),FALSE)</f>
        <v>0</v>
      </c>
      <c r="W214" s="31">
        <f>VLOOKUP($B214,'Tillförd energi'!$B$1:$AI$720,MATCH(W$1,'Tillförd energi'!$B$1:$AQ$1,0),FALSE)</f>
        <v>1.425</v>
      </c>
      <c r="X214" s="31">
        <f>VLOOKUP($B214,'Tillförd energi'!$B$1:$AI$720,MATCH(X$1,'Tillförd energi'!$B$1:$AQ$1,0),FALSE)</f>
        <v>0</v>
      </c>
      <c r="Y214" s="31">
        <f>VLOOKUP($B214,'Tillförd energi'!$B$1:$AI$720,MATCH(Y$1,'Tillförd energi'!$B$1:$AQ$1,0),FALSE)</f>
        <v>0</v>
      </c>
      <c r="Z214" s="31">
        <f>VLOOKUP($B214,'Tillförd energi'!$B$1:$AI$720,MATCH(Z$1,'Tillförd energi'!$B$1:$AQ$1,0),FALSE)</f>
        <v>0</v>
      </c>
      <c r="AA214" s="31">
        <f>VLOOKUP($B214,'Tillförd energi'!$B$1:$AI$720,MATCH(AA$1,'Tillförd energi'!$B$1:$AQ$1,0),FALSE)</f>
        <v>0</v>
      </c>
      <c r="AB214" s="31">
        <f>VLOOKUP($B214,'Tillförd energi'!$B$1:$AI$720,MATCH(AB$1,'Tillförd energi'!$B$1:$AQ$1,0),FALSE)</f>
        <v>0</v>
      </c>
      <c r="AC214" s="31">
        <f>VLOOKUP($B214,'Tillförd energi'!$B$1:$AI$720,MATCH(AC$1,'Tillförd energi'!$B$1:$AQ$1,0),FALSE)</f>
        <v>2.8490000000000002</v>
      </c>
      <c r="AD214" s="31">
        <f>VLOOKUP($B214,'Tillförd energi'!$B$1:$AI$720,MATCH(AD$1,'Tillförd energi'!$B$1:$AQ$1,0),FALSE)</f>
        <v>0</v>
      </c>
      <c r="AE214" s="31">
        <f>VLOOKUP($B214,'Tillförd energi'!$B$1:$AI$720,MATCH(AE$1,'Tillförd energi'!$B$1:$AQ$1,0),FALSE)</f>
        <v>0</v>
      </c>
      <c r="AF214" s="31">
        <f>VLOOKUP($B214,'Tillförd energi'!$B$1:$AI$720,MATCH(AF$1,'Tillförd energi'!$B$1:$AQ$1,0),FALSE)</f>
        <v>0.497</v>
      </c>
      <c r="AG214" s="31">
        <f>IFERROR(VLOOKUP(B214,Miljö!$B$1:$AC$550,MATCH("Köpt mängd produktionsspecifik fjärrvärme:",Miljö!$B$1:$AC$1,0),FALSE)/1,0)</f>
        <v>0</v>
      </c>
      <c r="AI214" s="31">
        <f t="shared" si="69"/>
        <v>24.478000000000002</v>
      </c>
      <c r="AJ214" s="31">
        <f t="shared" si="70"/>
        <v>24.478000000000002</v>
      </c>
      <c r="AK214" s="31">
        <f>IF(ISERROR(1/VLOOKUP($B214,Leveranser!$B$1:$S$499,MATCH("Såld värme (GWh)",Leveranser!$B$1:$S$1,0),FALSE)),"",VLOOKUP($B214,Leveranser!$B$1:$S$499,MATCH("Såld värme (GWh)",Leveranser!$B$1:$S$1,0),FALSE))</f>
        <v>16.859000000000002</v>
      </c>
      <c r="AL214" s="31">
        <f>VLOOKUP($B214,Leveranser!$B$1:$Y$499,MATCH("Totalt såld fjärrvärme till andra fjärrvärmeföretag",Leveranser!$B$1:$AA$1,0),FALSE)</f>
        <v>0</v>
      </c>
      <c r="AM214" s="31">
        <f>IF(ISERROR(1/VLOOKUP($B214,Miljö!$B$1:$S$500,MATCH("Såld mängd produktionsspecifik fjärrvärme (GWh)",Miljö!$B$1:$R$1,0),FALSE)),0,VLOOKUP($B214,Miljö!$B$1:$S$500,MATCH("Såld mängd produktionsspecifik fjärrvärme (GWh)",Miljö!$B$1:$R$1,0),FALSE))</f>
        <v>0</v>
      </c>
      <c r="AN214" s="32">
        <f t="shared" si="71"/>
        <v>0.6887409102050821</v>
      </c>
      <c r="AP214" s="31" t="str">
        <f>IFERROR(VLOOKUP($B214,Miljövärden!$B$2:$H$550,7,FALSE),"Nej, saknas")</f>
        <v>Ja</v>
      </c>
      <c r="AQ214" s="31" t="str">
        <f>IFERROR(VLOOKUP($B214,Miljövärden!$B$2:$H$551,6,FALSE),"Nej, saknas")</f>
        <v>Ja</v>
      </c>
      <c r="AU214" s="31">
        <f t="shared" si="72"/>
        <v>0.497</v>
      </c>
      <c r="AV214" s="31">
        <f t="shared" si="73"/>
        <v>0</v>
      </c>
      <c r="AW214" s="31">
        <f t="shared" si="74"/>
        <v>19.079000000000001</v>
      </c>
      <c r="AX214" s="31">
        <f t="shared" si="75"/>
        <v>0</v>
      </c>
      <c r="AZ214" s="31">
        <f t="shared" si="76"/>
        <v>20.504000000000001</v>
      </c>
      <c r="BC214" s="31">
        <f t="shared" si="77"/>
        <v>0.628</v>
      </c>
      <c r="BD214" s="31">
        <f t="shared" si="78"/>
        <v>0</v>
      </c>
      <c r="BE214" s="31">
        <f t="shared" si="79"/>
        <v>20.504000000000001</v>
      </c>
      <c r="BF214" s="31">
        <f t="shared" si="80"/>
        <v>2.8490000000000002</v>
      </c>
      <c r="BG214" s="31">
        <f t="shared" si="81"/>
        <v>0.497</v>
      </c>
      <c r="BH214" s="31">
        <f>VLOOKUP(B214,Miljö!$B$1:$BX$482,MATCH("Fossilandel för ursprungspecificerad el ()",Miljö!$B$1:$I$1,0),FALSE)</f>
        <v>0</v>
      </c>
      <c r="BI214" s="31">
        <f>VLOOKUP(B214,Miljö!$B$1:$BX$482,MATCH("Kärnkraftsandel för ursprungsspecificerad el ()",Miljö!$B$1:$O$1,0),FALSE)</f>
        <v>0</v>
      </c>
      <c r="BJ214" s="31">
        <f t="shared" si="82"/>
        <v>0</v>
      </c>
      <c r="BK214" s="31" t="str">
        <f>VLOOKUP(B214,Miljö!$B$1:$P$482,MATCH("Fossil andel i procent (%)",Miljö!$B$1:$P$1,0),FALSE)</f>
        <v>ET</v>
      </c>
      <c r="BL214" s="31">
        <f t="shared" si="83"/>
        <v>24.478000000000002</v>
      </c>
      <c r="BO214" s="32">
        <f t="shared" si="84"/>
        <v>2.5655690824413758E-2</v>
      </c>
      <c r="BP214" s="32">
        <f t="shared" si="85"/>
        <v>0</v>
      </c>
      <c r="BQ214" s="32">
        <f t="shared" si="86"/>
        <v>0.85795408121578565</v>
      </c>
      <c r="BR214" s="32">
        <f t="shared" si="87"/>
        <v>0.11639022795980064</v>
      </c>
      <c r="BT214" s="62">
        <f t="shared" si="88"/>
        <v>1</v>
      </c>
      <c r="BW214" s="32">
        <f>IF(AP214="Ja",VLOOKUP(B214,Miljövärden!$B$2:$H$551,MATCH("Total andel fossilt",Miljövärden!$B$2:$H$2,0),FALSE),"")</f>
        <v>2.56557E-2</v>
      </c>
      <c r="BX214" s="62">
        <f t="shared" si="89"/>
        <v>9.1755862421938339E-9</v>
      </c>
      <c r="BZ214" s="31">
        <f t="shared" si="90"/>
        <v>9.1755862421938339E-9</v>
      </c>
      <c r="CA214" s="32">
        <f t="shared" si="91"/>
        <v>0</v>
      </c>
    </row>
    <row r="215" spans="1:79" x14ac:dyDescent="0.45">
      <c r="A215" s="31" t="s">
        <v>404</v>
      </c>
      <c r="B215" s="31" t="s">
        <v>403</v>
      </c>
      <c r="C215" s="31">
        <f>VLOOKUP($B215,'Tillförd energi'!$B$1:$AI$720,MATCH(C$1,'Tillförd energi'!$B$1:$AQ$1,0),FALSE)</f>
        <v>0</v>
      </c>
      <c r="D215" s="31">
        <f>VLOOKUP($B215,'Tillförd energi'!$B$1:$AI$720,MATCH(D$1,'Tillförd energi'!$B$1:$AQ$1,0),FALSE)</f>
        <v>0</v>
      </c>
      <c r="E215" s="31">
        <f>VLOOKUP($B215,'Tillförd energi'!$B$1:$AI$720,MATCH(E$1,'Tillförd energi'!$B$1:$AQ$1,0),FALSE)</f>
        <v>0</v>
      </c>
      <c r="F215" s="31">
        <f>VLOOKUP($B215,'Tillförd energi'!$B$1:$AI$720,MATCH(F$1,'Tillförd energi'!$B$1:$AQ$1,0),FALSE)</f>
        <v>0</v>
      </c>
      <c r="G215" s="31">
        <f>VLOOKUP($B215,'Tillförd energi'!$B$1:$AI$720,MATCH(G$1,'Tillförd energi'!$B$1:$AQ$1,0),FALSE)</f>
        <v>0</v>
      </c>
      <c r="H215" s="31">
        <f>VLOOKUP($B215,'Tillförd energi'!$B$1:$AI$720,MATCH(H$1,'Tillförd energi'!$B$1:$AQ$1,0),FALSE)</f>
        <v>0</v>
      </c>
      <c r="I215" s="31">
        <f>VLOOKUP($B215,'Tillförd energi'!$B$1:$AI$720,MATCH(I$1,'Tillförd energi'!$B$1:$AQ$1,0),FALSE)</f>
        <v>0</v>
      </c>
      <c r="J215" s="31">
        <f>VLOOKUP($B215,'Tillförd energi'!$B$1:$AI$720,MATCH(J$1,'Tillförd energi'!$B$1:$AQ$1,0),FALSE)</f>
        <v>0</v>
      </c>
      <c r="K215" s="31">
        <f>VLOOKUP($B215,'Tillförd energi'!$B$1:$AI$720,MATCH(K$1,'Tillförd energi'!$B$1:$AQ$1,0),FALSE)</f>
        <v>0</v>
      </c>
      <c r="L215" s="31">
        <f>VLOOKUP($B215,'Tillförd energi'!$B$1:$AI$720,MATCH(L$1,'Tillförd energi'!$B$1:$AQ$1,0),FALSE)</f>
        <v>0</v>
      </c>
      <c r="M215" s="31">
        <f>VLOOKUP($B215,'Tillförd energi'!$B$1:$AI$720,MATCH(M$1,'Tillförd energi'!$B$1:$AQ$1,0),FALSE)</f>
        <v>1.5</v>
      </c>
      <c r="N215" s="31">
        <f>VLOOKUP($B215,'Tillförd energi'!$B$1:$AI$720,MATCH(N$1,'Tillförd energi'!$B$1:$AQ$1,0),FALSE)</f>
        <v>0</v>
      </c>
      <c r="O215" s="31">
        <f>VLOOKUP($B215,'Tillförd energi'!$B$1:$AI$720,MATCH(O$1,'Tillförd energi'!$B$1:$AQ$1,0),FALSE)</f>
        <v>0</v>
      </c>
      <c r="P215" s="31">
        <f>VLOOKUP($B215,'Tillförd energi'!$B$1:$AI$720,MATCH(P$1,'Tillförd energi'!$B$1:$AQ$1,0),FALSE)</f>
        <v>8.6999999999999993</v>
      </c>
      <c r="Q215" s="31">
        <f>VLOOKUP($B215,'Tillförd energi'!$B$1:$AI$720,MATCH(Q$1,'Tillförd energi'!$B$1:$AQ$1,0),FALSE)</f>
        <v>0</v>
      </c>
      <c r="R215" s="31">
        <f>VLOOKUP($B215,'Tillförd energi'!$B$1:$AI$720,MATCH(R$1,'Tillförd energi'!$B$1:$AQ$1,0),FALSE)</f>
        <v>1.3</v>
      </c>
      <c r="S215" s="31">
        <f>VLOOKUP($B215,'Tillförd energi'!$B$1:$AI$720,MATCH(S$1,'Tillförd energi'!$B$1:$AQ$1,0),FALSE)</f>
        <v>0</v>
      </c>
      <c r="T215" s="31">
        <f>VLOOKUP($B215,'Tillförd energi'!$B$1:$AI$720,MATCH(T$1,'Tillförd energi'!$B$1:$AQ$1,0),FALSE)</f>
        <v>0</v>
      </c>
      <c r="U215" s="31">
        <f>VLOOKUP($B215,'Tillförd energi'!$B$1:$AI$720,MATCH(U$1,'Tillförd energi'!$B$1:$AQ$1,0),FALSE)</f>
        <v>0</v>
      </c>
      <c r="V215" s="31">
        <f>VLOOKUP($B215,'Tillförd energi'!$B$1:$AI$720,MATCH(V$1,'Tillförd energi'!$B$1:$AQ$1,0),FALSE)</f>
        <v>0</v>
      </c>
      <c r="W215" s="31">
        <f>VLOOKUP($B215,'Tillförd energi'!$B$1:$AI$720,MATCH(W$1,'Tillförd energi'!$B$1:$AQ$1,0),FALSE)</f>
        <v>0</v>
      </c>
      <c r="X215" s="31">
        <f>VLOOKUP($B215,'Tillförd energi'!$B$1:$AI$720,MATCH(X$1,'Tillförd energi'!$B$1:$AQ$1,0),FALSE)</f>
        <v>0</v>
      </c>
      <c r="Y215" s="31">
        <f>VLOOKUP($B215,'Tillförd energi'!$B$1:$AI$720,MATCH(Y$1,'Tillförd energi'!$B$1:$AQ$1,0),FALSE)</f>
        <v>0</v>
      </c>
      <c r="Z215" s="31">
        <f>VLOOKUP($B215,'Tillförd energi'!$B$1:$AI$720,MATCH(Z$1,'Tillförd energi'!$B$1:$AQ$1,0),FALSE)</f>
        <v>0</v>
      </c>
      <c r="AA215" s="31">
        <f>VLOOKUP($B215,'Tillförd energi'!$B$1:$AI$720,MATCH(AA$1,'Tillförd energi'!$B$1:$AQ$1,0),FALSE)</f>
        <v>0</v>
      </c>
      <c r="AB215" s="31">
        <f>VLOOKUP($B215,'Tillförd energi'!$B$1:$AI$720,MATCH(AB$1,'Tillförd energi'!$B$1:$AQ$1,0),FALSE)</f>
        <v>0</v>
      </c>
      <c r="AC215" s="31">
        <f>VLOOKUP($B215,'Tillförd energi'!$B$1:$AI$720,MATCH(AC$1,'Tillförd energi'!$B$1:$AQ$1,0),FALSE)</f>
        <v>0</v>
      </c>
      <c r="AD215" s="31">
        <f>VLOOKUP($B215,'Tillförd energi'!$B$1:$AI$720,MATCH(AD$1,'Tillförd energi'!$B$1:$AQ$1,0),FALSE)</f>
        <v>0</v>
      </c>
      <c r="AE215" s="31">
        <f>VLOOKUP($B215,'Tillförd energi'!$B$1:$AI$720,MATCH(AE$1,'Tillförd energi'!$B$1:$AQ$1,0),FALSE)</f>
        <v>0</v>
      </c>
      <c r="AF215" s="31">
        <f>VLOOKUP($B215,'Tillförd energi'!$B$1:$AI$720,MATCH(AF$1,'Tillförd energi'!$B$1:$AQ$1,0),FALSE)</f>
        <v>0.23880000000000001</v>
      </c>
      <c r="AG215" s="31">
        <f>IFERROR(VLOOKUP(B215,Miljö!$B$1:$AC$550,MATCH("Köpt mängd produktionsspecifik fjärrvärme:",Miljö!$B$1:$AC$1,0),FALSE)/1,0)</f>
        <v>0</v>
      </c>
      <c r="AI215" s="31">
        <f t="shared" si="69"/>
        <v>11.738799999999999</v>
      </c>
      <c r="AJ215" s="31">
        <f t="shared" si="70"/>
        <v>11.738799999999999</v>
      </c>
      <c r="AK215" s="31">
        <f>IF(ISERROR(1/VLOOKUP($B215,Leveranser!$B$1:$S$499,MATCH("Såld värme (GWh)",Leveranser!$B$1:$S$1,0),FALSE)),"",VLOOKUP($B215,Leveranser!$B$1:$S$499,MATCH("Såld värme (GWh)",Leveranser!$B$1:$S$1,0),FALSE))</f>
        <v>7.96</v>
      </c>
      <c r="AL215" s="31">
        <f>VLOOKUP($B215,Leveranser!$B$1:$Y$499,MATCH("Totalt såld fjärrvärme till andra fjärrvärmeföretag",Leveranser!$B$1:$AA$1,0),FALSE)</f>
        <v>0</v>
      </c>
      <c r="AM215" s="31">
        <f>IF(ISERROR(1/VLOOKUP($B215,Miljö!$B$1:$S$500,MATCH("Såld mängd produktionsspecifik fjärrvärme (GWh)",Miljö!$B$1:$R$1,0),FALSE)),0,VLOOKUP($B215,Miljö!$B$1:$S$500,MATCH("Såld mängd produktionsspecifik fjärrvärme (GWh)",Miljö!$B$1:$R$1,0),FALSE))</f>
        <v>0</v>
      </c>
      <c r="AN215" s="32">
        <f t="shared" si="71"/>
        <v>0.67809316114083218</v>
      </c>
      <c r="AP215" s="31" t="str">
        <f>IFERROR(VLOOKUP($B215,Miljövärden!$B$2:$H$550,7,FALSE),"Nej, saknas")</f>
        <v>Ja</v>
      </c>
      <c r="AQ215" s="31" t="str">
        <f>IFERROR(VLOOKUP($B215,Miljövärden!$B$2:$H$551,6,FALSE),"Nej, saknas")</f>
        <v>Nej</v>
      </c>
      <c r="AU215" s="31">
        <f t="shared" si="72"/>
        <v>0.23880000000000001</v>
      </c>
      <c r="AV215" s="31">
        <f t="shared" si="73"/>
        <v>0</v>
      </c>
      <c r="AW215" s="31">
        <f t="shared" si="74"/>
        <v>10.199999999999999</v>
      </c>
      <c r="AX215" s="31">
        <f t="shared" si="75"/>
        <v>1.3</v>
      </c>
      <c r="AZ215" s="31">
        <f t="shared" si="76"/>
        <v>11.5</v>
      </c>
      <c r="BC215" s="31">
        <f t="shared" si="77"/>
        <v>0</v>
      </c>
      <c r="BD215" s="31">
        <f t="shared" si="78"/>
        <v>0</v>
      </c>
      <c r="BE215" s="31">
        <f t="shared" si="79"/>
        <v>11.5</v>
      </c>
      <c r="BF215" s="31">
        <f t="shared" si="80"/>
        <v>0</v>
      </c>
      <c r="BG215" s="31">
        <f t="shared" si="81"/>
        <v>0.23880000000000001</v>
      </c>
      <c r="BH215" s="31">
        <f>VLOOKUP(B215,Miljö!$B$1:$BX$482,MATCH("Fossilandel för ursprungspecificerad el ()",Miljö!$B$1:$I$1,0),FALSE)</f>
        <v>0</v>
      </c>
      <c r="BI215" s="31">
        <f>VLOOKUP(B215,Miljö!$B$1:$BX$482,MATCH("Kärnkraftsandel för ursprungsspecificerad el ()",Miljö!$B$1:$O$1,0),FALSE)</f>
        <v>0</v>
      </c>
      <c r="BJ215" s="31">
        <f t="shared" si="82"/>
        <v>0</v>
      </c>
      <c r="BK215" s="31" t="str">
        <f>VLOOKUP(B215,Miljö!$B$1:$P$482,MATCH("Fossil andel i procent (%)",Miljö!$B$1:$P$1,0),FALSE)</f>
        <v>ET</v>
      </c>
      <c r="BL215" s="31">
        <f t="shared" si="83"/>
        <v>11.738799999999999</v>
      </c>
      <c r="BO215" s="32">
        <f t="shared" si="84"/>
        <v>0</v>
      </c>
      <c r="BP215" s="32">
        <f t="shared" si="85"/>
        <v>0</v>
      </c>
      <c r="BQ215" s="32">
        <f t="shared" si="86"/>
        <v>1</v>
      </c>
      <c r="BR215" s="32">
        <f t="shared" si="87"/>
        <v>0</v>
      </c>
      <c r="BT215" s="62">
        <f t="shared" si="88"/>
        <v>1</v>
      </c>
      <c r="BW215" s="32">
        <f>IF(AP215="Ja",VLOOKUP(B215,Miljövärden!$B$2:$H$551,MATCH("Total andel fossilt",Miljövärden!$B$2:$H$2,0),FALSE),"")</f>
        <v>0</v>
      </c>
      <c r="BX215" s="62">
        <f t="shared" si="89"/>
        <v>0</v>
      </c>
      <c r="BZ215" s="31">
        <f t="shared" si="90"/>
        <v>0</v>
      </c>
      <c r="CA215" s="32">
        <f t="shared" si="91"/>
        <v>0</v>
      </c>
    </row>
    <row r="216" spans="1:79" x14ac:dyDescent="0.45">
      <c r="A216" s="31" t="s">
        <v>402</v>
      </c>
      <c r="B216" s="31" t="s">
        <v>401</v>
      </c>
      <c r="C216" s="31">
        <f>VLOOKUP($B216,'Tillförd energi'!$B$1:$AI$720,MATCH(C$1,'Tillförd energi'!$B$1:$AQ$1,0),FALSE)</f>
        <v>0</v>
      </c>
      <c r="D216" s="31">
        <f>VLOOKUP($B216,'Tillförd energi'!$B$1:$AI$720,MATCH(D$1,'Tillförd energi'!$B$1:$AQ$1,0),FALSE)</f>
        <v>3.9588999999999999</v>
      </c>
      <c r="E216" s="31">
        <f>VLOOKUP($B216,'Tillförd energi'!$B$1:$AI$720,MATCH(E$1,'Tillförd energi'!$B$1:$AQ$1,0),FALSE)</f>
        <v>0</v>
      </c>
      <c r="F216" s="31">
        <f>VLOOKUP($B216,'Tillförd energi'!$B$1:$AI$720,MATCH(F$1,'Tillförd energi'!$B$1:$AQ$1,0),FALSE)</f>
        <v>0</v>
      </c>
      <c r="G216" s="31">
        <f>VLOOKUP($B216,'Tillförd energi'!$B$1:$AI$720,MATCH(G$1,'Tillförd energi'!$B$1:$AQ$1,0),FALSE)</f>
        <v>0</v>
      </c>
      <c r="H216" s="31">
        <f>VLOOKUP($B216,'Tillförd energi'!$B$1:$AI$720,MATCH(H$1,'Tillförd energi'!$B$1:$AQ$1,0),FALSE)</f>
        <v>0</v>
      </c>
      <c r="I216" s="31">
        <f>VLOOKUP($B216,'Tillförd energi'!$B$1:$AI$720,MATCH(I$1,'Tillförd energi'!$B$1:$AQ$1,0),FALSE)</f>
        <v>123.10299999999999</v>
      </c>
      <c r="J216" s="31">
        <f>VLOOKUP($B216,'Tillförd energi'!$B$1:$AI$720,MATCH(J$1,'Tillförd energi'!$B$1:$AQ$1,0),FALSE)</f>
        <v>0</v>
      </c>
      <c r="K216" s="31">
        <f>VLOOKUP($B216,'Tillförd energi'!$B$1:$AI$720,MATCH(K$1,'Tillförd energi'!$B$1:$AQ$1,0),FALSE)</f>
        <v>0</v>
      </c>
      <c r="L216" s="31">
        <f>VLOOKUP($B216,'Tillförd energi'!$B$1:$AI$720,MATCH(L$1,'Tillförd energi'!$B$1:$AQ$1,0),FALSE)</f>
        <v>0</v>
      </c>
      <c r="M216" s="31">
        <f>VLOOKUP($B216,'Tillförd energi'!$B$1:$AI$720,MATCH(M$1,'Tillförd energi'!$B$1:$AQ$1,0),FALSE)</f>
        <v>0</v>
      </c>
      <c r="N216" s="31">
        <f>VLOOKUP($B216,'Tillförd energi'!$B$1:$AI$720,MATCH(N$1,'Tillförd energi'!$B$1:$AQ$1,0),FALSE)</f>
        <v>0</v>
      </c>
      <c r="O216" s="31">
        <f>VLOOKUP($B216,'Tillförd energi'!$B$1:$AI$720,MATCH(O$1,'Tillförd energi'!$B$1:$AQ$1,0),FALSE)</f>
        <v>43.548400000000001</v>
      </c>
      <c r="P216" s="31">
        <f>VLOOKUP($B216,'Tillförd energi'!$B$1:$AI$720,MATCH(P$1,'Tillförd energi'!$B$1:$AQ$1,0),FALSE)</f>
        <v>0</v>
      </c>
      <c r="Q216" s="31">
        <f>VLOOKUP($B216,'Tillförd energi'!$B$1:$AI$720,MATCH(Q$1,'Tillförd energi'!$B$1:$AQ$1,0),FALSE)</f>
        <v>0</v>
      </c>
      <c r="R216" s="31">
        <f>VLOOKUP($B216,'Tillförd energi'!$B$1:$AI$720,MATCH(R$1,'Tillförd energi'!$B$1:$AQ$1,0),FALSE)</f>
        <v>0</v>
      </c>
      <c r="S216" s="31">
        <f>VLOOKUP($B216,'Tillförd energi'!$B$1:$AI$720,MATCH(S$1,'Tillförd energi'!$B$1:$AQ$1,0),FALSE)</f>
        <v>0</v>
      </c>
      <c r="T216" s="31">
        <f>VLOOKUP($B216,'Tillförd energi'!$B$1:$AI$720,MATCH(T$1,'Tillförd energi'!$B$1:$AQ$1,0),FALSE)</f>
        <v>0</v>
      </c>
      <c r="U216" s="31">
        <f>VLOOKUP($B216,'Tillförd energi'!$B$1:$AI$720,MATCH(U$1,'Tillförd energi'!$B$1:$AQ$1,0),FALSE)</f>
        <v>0</v>
      </c>
      <c r="V216" s="31">
        <f>VLOOKUP($B216,'Tillförd energi'!$B$1:$AI$720,MATCH(V$1,'Tillförd energi'!$B$1:$AQ$1,0),FALSE)</f>
        <v>0</v>
      </c>
      <c r="W216" s="31">
        <f>VLOOKUP($B216,'Tillförd energi'!$B$1:$AI$720,MATCH(W$1,'Tillförd energi'!$B$1:$AQ$1,0),FALSE)</f>
        <v>0</v>
      </c>
      <c r="X216" s="31">
        <f>VLOOKUP($B216,'Tillförd energi'!$B$1:$AI$720,MATCH(X$1,'Tillförd energi'!$B$1:$AQ$1,0),FALSE)</f>
        <v>0</v>
      </c>
      <c r="Y216" s="31">
        <f>VLOOKUP($B216,'Tillförd energi'!$B$1:$AI$720,MATCH(Y$1,'Tillförd energi'!$B$1:$AQ$1,0),FALSE)</f>
        <v>0</v>
      </c>
      <c r="Z216" s="31">
        <f>VLOOKUP($B216,'Tillförd energi'!$B$1:$AI$720,MATCH(Z$1,'Tillförd energi'!$B$1:$AQ$1,0),FALSE)</f>
        <v>0</v>
      </c>
      <c r="AA216" s="31">
        <f>VLOOKUP($B216,'Tillförd energi'!$B$1:$AI$720,MATCH(AA$1,'Tillförd energi'!$B$1:$AQ$1,0),FALSE)</f>
        <v>0</v>
      </c>
      <c r="AB216" s="31">
        <f>VLOOKUP($B216,'Tillförd energi'!$B$1:$AI$720,MATCH(AB$1,'Tillförd energi'!$B$1:$AQ$1,0),FALSE)</f>
        <v>0</v>
      </c>
      <c r="AC216" s="31">
        <f>VLOOKUP($B216,'Tillförd energi'!$B$1:$AI$720,MATCH(AC$1,'Tillförd energi'!$B$1:$AQ$1,0),FALSE)</f>
        <v>0</v>
      </c>
      <c r="AD216" s="31">
        <f>VLOOKUP($B216,'Tillförd energi'!$B$1:$AI$720,MATCH(AD$1,'Tillförd energi'!$B$1:$AQ$1,0),FALSE)</f>
        <v>0</v>
      </c>
      <c r="AE216" s="31">
        <f>VLOOKUP($B216,'Tillförd energi'!$B$1:$AI$720,MATCH(AE$1,'Tillförd energi'!$B$1:$AQ$1,0),FALSE)</f>
        <v>0</v>
      </c>
      <c r="AF216" s="31">
        <f>VLOOKUP($B216,'Tillförd energi'!$B$1:$AI$720,MATCH(AF$1,'Tillförd energi'!$B$1:$AQ$1,0),FALSE)</f>
        <v>7.10379</v>
      </c>
      <c r="AG216" s="31">
        <f>IFERROR(VLOOKUP(B216,Miljö!$B$1:$AC$550,MATCH("Köpt mängd produktionsspecifik fjärrvärme:",Miljö!$B$1:$AC$1,0),FALSE)/1,0)</f>
        <v>0</v>
      </c>
      <c r="AI216" s="31">
        <f t="shared" si="69"/>
        <v>177.71409</v>
      </c>
      <c r="AJ216" s="31">
        <f t="shared" si="70"/>
        <v>177.71409</v>
      </c>
      <c r="AK216" s="31">
        <f>IF(ISERROR(1/VLOOKUP($B216,Leveranser!$B$1:$S$499,MATCH("Såld värme (GWh)",Leveranser!$B$1:$S$1,0),FALSE)),"",VLOOKUP($B216,Leveranser!$B$1:$S$499,MATCH("Såld värme (GWh)",Leveranser!$B$1:$S$1,0),FALSE))</f>
        <v>123.5</v>
      </c>
      <c r="AL216" s="31">
        <f>VLOOKUP($B216,Leveranser!$B$1:$Y$499,MATCH("Totalt såld fjärrvärme till andra fjärrvärmeföretag",Leveranser!$B$1:$AA$1,0),FALSE)</f>
        <v>0</v>
      </c>
      <c r="AM216" s="31">
        <f>IF(ISERROR(1/VLOOKUP($B216,Miljö!$B$1:$S$500,MATCH("Såld mängd produktionsspecifik fjärrvärme (GWh)",Miljö!$B$1:$R$1,0),FALSE)),0,VLOOKUP($B216,Miljö!$B$1:$S$500,MATCH("Såld mängd produktionsspecifik fjärrvärme (GWh)",Miljö!$B$1:$R$1,0),FALSE))</f>
        <v>0</v>
      </c>
      <c r="AN216" s="32">
        <f t="shared" si="71"/>
        <v>0.69493645664223924</v>
      </c>
      <c r="AP216" s="31" t="str">
        <f>IFERROR(VLOOKUP($B216,Miljövärden!$B$2:$H$550,7,FALSE),"Nej, saknas")</f>
        <v>Ja</v>
      </c>
      <c r="AQ216" s="31" t="str">
        <f>IFERROR(VLOOKUP($B216,Miljövärden!$B$2:$H$551,6,FALSE),"Nej, saknas")</f>
        <v>Ja</v>
      </c>
      <c r="AU216" s="31">
        <f t="shared" si="72"/>
        <v>7.10379</v>
      </c>
      <c r="AV216" s="31">
        <f t="shared" si="73"/>
        <v>0</v>
      </c>
      <c r="AW216" s="31">
        <f t="shared" si="74"/>
        <v>43.548400000000001</v>
      </c>
      <c r="AX216" s="31">
        <f t="shared" si="75"/>
        <v>0</v>
      </c>
      <c r="AZ216" s="31">
        <f t="shared" si="76"/>
        <v>43.548400000000001</v>
      </c>
      <c r="BC216" s="31">
        <f t="shared" si="77"/>
        <v>3.9588999999999999</v>
      </c>
      <c r="BD216" s="31">
        <f t="shared" si="78"/>
        <v>0</v>
      </c>
      <c r="BE216" s="31">
        <f t="shared" si="79"/>
        <v>43.548400000000001</v>
      </c>
      <c r="BF216" s="31">
        <f t="shared" si="80"/>
        <v>123.10299999999999</v>
      </c>
      <c r="BG216" s="31">
        <f t="shared" si="81"/>
        <v>7.10379</v>
      </c>
      <c r="BH216" s="31">
        <f>VLOOKUP(B216,Miljö!$B$1:$BX$482,MATCH("Fossilandel för ursprungspecificerad el ()",Miljö!$B$1:$I$1,0),FALSE)</f>
        <v>0</v>
      </c>
      <c r="BI216" s="31">
        <f>VLOOKUP(B216,Miljö!$B$1:$BX$482,MATCH("Kärnkraftsandel för ursprungsspecificerad el ()",Miljö!$B$1:$O$1,0),FALSE)</f>
        <v>0</v>
      </c>
      <c r="BJ216" s="31">
        <f t="shared" si="82"/>
        <v>0</v>
      </c>
      <c r="BK216" s="31" t="str">
        <f>VLOOKUP(B216,Miljö!$B$1:$P$482,MATCH("Fossil andel i procent (%)",Miljö!$B$1:$P$1,0),FALSE)</f>
        <v>ET</v>
      </c>
      <c r="BL216" s="31">
        <f t="shared" si="83"/>
        <v>177.71409</v>
      </c>
      <c r="BO216" s="32">
        <f t="shared" si="84"/>
        <v>2.2276793021870127E-2</v>
      </c>
      <c r="BP216" s="32">
        <f t="shared" si="85"/>
        <v>0</v>
      </c>
      <c r="BQ216" s="32">
        <f t="shared" si="86"/>
        <v>0.28502067562566369</v>
      </c>
      <c r="BR216" s="32">
        <f t="shared" si="87"/>
        <v>0.69270253135246618</v>
      </c>
      <c r="BT216" s="62">
        <f t="shared" si="88"/>
        <v>1</v>
      </c>
      <c r="BW216" s="32">
        <f>IF(AP216="Ja",VLOOKUP(B216,Miljövärden!$B$2:$H$551,MATCH("Total andel fossilt",Miljövärden!$B$2:$H$2,0),FALSE),"")</f>
        <v>2.2276799999999999E-2</v>
      </c>
      <c r="BX216" s="62">
        <f t="shared" si="89"/>
        <v>6.9781298725479779E-9</v>
      </c>
      <c r="BZ216" s="31">
        <f t="shared" si="90"/>
        <v>6.9781298725479779E-9</v>
      </c>
      <c r="CA216" s="32">
        <f t="shared" si="91"/>
        <v>0</v>
      </c>
    </row>
    <row r="217" spans="1:79" x14ac:dyDescent="0.45">
      <c r="A217" s="31" t="s">
        <v>398</v>
      </c>
      <c r="B217" s="31" t="s">
        <v>400</v>
      </c>
      <c r="C217" s="31">
        <f>VLOOKUP($B217,'Tillförd energi'!$B$1:$AI$720,MATCH(C$1,'Tillförd energi'!$B$1:$AQ$1,0),FALSE)</f>
        <v>0</v>
      </c>
      <c r="D217" s="31">
        <f>VLOOKUP($B217,'Tillförd energi'!$B$1:$AI$720,MATCH(D$1,'Tillförd energi'!$B$1:$AQ$1,0),FALSE)</f>
        <v>7.9000000000000001E-2</v>
      </c>
      <c r="E217" s="31">
        <f>VLOOKUP($B217,'Tillförd energi'!$B$1:$AI$720,MATCH(E$1,'Tillförd energi'!$B$1:$AQ$1,0),FALSE)</f>
        <v>0</v>
      </c>
      <c r="F217" s="31">
        <f>VLOOKUP($B217,'Tillförd energi'!$B$1:$AI$720,MATCH(F$1,'Tillförd energi'!$B$1:$AQ$1,0),FALSE)</f>
        <v>0</v>
      </c>
      <c r="G217" s="31">
        <f>VLOOKUP($B217,'Tillförd energi'!$B$1:$AI$720,MATCH(G$1,'Tillförd energi'!$B$1:$AQ$1,0),FALSE)</f>
        <v>0</v>
      </c>
      <c r="H217" s="31">
        <f>VLOOKUP($B217,'Tillförd energi'!$B$1:$AI$720,MATCH(H$1,'Tillförd energi'!$B$1:$AQ$1,0),FALSE)</f>
        <v>0</v>
      </c>
      <c r="I217" s="31">
        <f>VLOOKUP($B217,'Tillförd energi'!$B$1:$AI$720,MATCH(I$1,'Tillförd energi'!$B$1:$AQ$1,0),FALSE)</f>
        <v>0</v>
      </c>
      <c r="J217" s="31">
        <f>VLOOKUP($B217,'Tillförd energi'!$B$1:$AI$720,MATCH(J$1,'Tillförd energi'!$B$1:$AQ$1,0),FALSE)</f>
        <v>0</v>
      </c>
      <c r="K217" s="31">
        <f>VLOOKUP($B217,'Tillförd energi'!$B$1:$AI$720,MATCH(K$1,'Tillförd energi'!$B$1:$AQ$1,0),FALSE)</f>
        <v>0</v>
      </c>
      <c r="L217" s="31">
        <f>VLOOKUP($B217,'Tillförd energi'!$B$1:$AI$720,MATCH(L$1,'Tillförd energi'!$B$1:$AQ$1,0),FALSE)</f>
        <v>0</v>
      </c>
      <c r="M217" s="31">
        <f>VLOOKUP($B217,'Tillförd energi'!$B$1:$AI$720,MATCH(M$1,'Tillförd energi'!$B$1:$AQ$1,0),FALSE)</f>
        <v>0</v>
      </c>
      <c r="N217" s="31">
        <f>VLOOKUP($B217,'Tillförd energi'!$B$1:$AI$720,MATCH(N$1,'Tillförd energi'!$B$1:$AQ$1,0),FALSE)</f>
        <v>0</v>
      </c>
      <c r="O217" s="31">
        <f>VLOOKUP($B217,'Tillförd energi'!$B$1:$AI$720,MATCH(O$1,'Tillförd energi'!$B$1:$AQ$1,0),FALSE)</f>
        <v>0</v>
      </c>
      <c r="P217" s="31">
        <f>VLOOKUP($B217,'Tillförd energi'!$B$1:$AI$720,MATCH(P$1,'Tillförd energi'!$B$1:$AQ$1,0),FALSE)</f>
        <v>0</v>
      </c>
      <c r="Q217" s="31">
        <f>VLOOKUP($B217,'Tillförd energi'!$B$1:$AI$720,MATCH(Q$1,'Tillförd energi'!$B$1:$AQ$1,0),FALSE)</f>
        <v>0</v>
      </c>
      <c r="R217" s="31">
        <f>VLOOKUP($B217,'Tillförd energi'!$B$1:$AI$720,MATCH(R$1,'Tillförd energi'!$B$1:$AQ$1,0),FALSE)</f>
        <v>2.2229999999999999</v>
      </c>
      <c r="S217" s="31">
        <f>VLOOKUP($B217,'Tillförd energi'!$B$1:$AI$720,MATCH(S$1,'Tillförd energi'!$B$1:$AQ$1,0),FALSE)</f>
        <v>0</v>
      </c>
      <c r="T217" s="31">
        <f>VLOOKUP($B217,'Tillförd energi'!$B$1:$AI$720,MATCH(T$1,'Tillförd energi'!$B$1:$AQ$1,0),FALSE)</f>
        <v>0</v>
      </c>
      <c r="U217" s="31">
        <f>VLOOKUP($B217,'Tillförd energi'!$B$1:$AI$720,MATCH(U$1,'Tillförd energi'!$B$1:$AQ$1,0),FALSE)</f>
        <v>0</v>
      </c>
      <c r="V217" s="31">
        <f>VLOOKUP($B217,'Tillförd energi'!$B$1:$AI$720,MATCH(V$1,'Tillförd energi'!$B$1:$AQ$1,0),FALSE)</f>
        <v>0</v>
      </c>
      <c r="W217" s="31">
        <f>VLOOKUP($B217,'Tillförd energi'!$B$1:$AI$720,MATCH(W$1,'Tillförd energi'!$B$1:$AQ$1,0),FALSE)</f>
        <v>0</v>
      </c>
      <c r="X217" s="31">
        <f>VLOOKUP($B217,'Tillförd energi'!$B$1:$AI$720,MATCH(X$1,'Tillförd energi'!$B$1:$AQ$1,0),FALSE)</f>
        <v>0</v>
      </c>
      <c r="Y217" s="31">
        <f>VLOOKUP($B217,'Tillförd energi'!$B$1:$AI$720,MATCH(Y$1,'Tillförd energi'!$B$1:$AQ$1,0),FALSE)</f>
        <v>0</v>
      </c>
      <c r="Z217" s="31">
        <f>VLOOKUP($B217,'Tillförd energi'!$B$1:$AI$720,MATCH(Z$1,'Tillförd energi'!$B$1:$AQ$1,0),FALSE)</f>
        <v>0</v>
      </c>
      <c r="AA217" s="31">
        <f>VLOOKUP($B217,'Tillförd energi'!$B$1:$AI$720,MATCH(AA$1,'Tillförd energi'!$B$1:$AQ$1,0),FALSE)</f>
        <v>0</v>
      </c>
      <c r="AB217" s="31">
        <f>VLOOKUP($B217,'Tillförd energi'!$B$1:$AI$720,MATCH(AB$1,'Tillförd energi'!$B$1:$AQ$1,0),FALSE)</f>
        <v>0</v>
      </c>
      <c r="AC217" s="31">
        <f>VLOOKUP($B217,'Tillförd energi'!$B$1:$AI$720,MATCH(AC$1,'Tillförd energi'!$B$1:$AQ$1,0),FALSE)</f>
        <v>0</v>
      </c>
      <c r="AD217" s="31">
        <f>VLOOKUP($B217,'Tillförd energi'!$B$1:$AI$720,MATCH(AD$1,'Tillförd energi'!$B$1:$AQ$1,0),FALSE)</f>
        <v>0</v>
      </c>
      <c r="AE217" s="31">
        <f>VLOOKUP($B217,'Tillförd energi'!$B$1:$AI$720,MATCH(AE$1,'Tillförd energi'!$B$1:$AQ$1,0),FALSE)</f>
        <v>0</v>
      </c>
      <c r="AF217" s="31">
        <f>VLOOKUP($B217,'Tillförd energi'!$B$1:$AI$720,MATCH(AF$1,'Tillförd energi'!$B$1:$AQ$1,0),FALSE)</f>
        <v>2.9000000000000001E-2</v>
      </c>
      <c r="AG217" s="31">
        <f>IFERROR(VLOOKUP(B217,Miljö!$B$1:$AC$550,MATCH("Köpt mängd produktionsspecifik fjärrvärme:",Miljö!$B$1:$AC$1,0),FALSE)/1,0)</f>
        <v>0</v>
      </c>
      <c r="AI217" s="31">
        <f t="shared" si="69"/>
        <v>2.331</v>
      </c>
      <c r="AJ217" s="31">
        <f t="shared" si="70"/>
        <v>2.331</v>
      </c>
      <c r="AK217" s="31">
        <f>IF(ISERROR(1/VLOOKUP($B217,Leveranser!$B$1:$S$499,MATCH("Såld värme (GWh)",Leveranser!$B$1:$S$1,0),FALSE)),"",VLOOKUP($B217,Leveranser!$B$1:$S$499,MATCH("Såld värme (GWh)",Leveranser!$B$1:$S$1,0),FALSE))</f>
        <v>1.6</v>
      </c>
      <c r="AL217" s="31">
        <f>VLOOKUP($B217,Leveranser!$B$1:$Y$499,MATCH("Totalt såld fjärrvärme till andra fjärrvärmeföretag",Leveranser!$B$1:$AA$1,0),FALSE)</f>
        <v>0</v>
      </c>
      <c r="AM217" s="31">
        <f>IF(ISERROR(1/VLOOKUP($B217,Miljö!$B$1:$S$500,MATCH("Såld mängd produktionsspecifik fjärrvärme (GWh)",Miljö!$B$1:$R$1,0),FALSE)),0,VLOOKUP($B217,Miljö!$B$1:$S$500,MATCH("Såld mängd produktionsspecifik fjärrvärme (GWh)",Miljö!$B$1:$R$1,0),FALSE))</f>
        <v>0</v>
      </c>
      <c r="AN217" s="32">
        <f t="shared" si="71"/>
        <v>0.68640068640068641</v>
      </c>
      <c r="AP217" s="31" t="str">
        <f>IFERROR(VLOOKUP($B217,Miljövärden!$B$2:$H$550,7,FALSE),"Nej, saknas")</f>
        <v>Ja</v>
      </c>
      <c r="AQ217" s="31" t="str">
        <f>IFERROR(VLOOKUP($B217,Miljövärden!$B$2:$H$551,6,FALSE),"Nej, saknas")</f>
        <v>Ja</v>
      </c>
      <c r="AU217" s="31">
        <f t="shared" si="72"/>
        <v>2.9000000000000001E-2</v>
      </c>
      <c r="AV217" s="31">
        <f t="shared" si="73"/>
        <v>0</v>
      </c>
      <c r="AW217" s="31">
        <f t="shared" si="74"/>
        <v>0</v>
      </c>
      <c r="AX217" s="31">
        <f t="shared" si="75"/>
        <v>2.2229999999999999</v>
      </c>
      <c r="AZ217" s="31">
        <f t="shared" si="76"/>
        <v>2.2229999999999999</v>
      </c>
      <c r="BC217" s="31">
        <f t="shared" si="77"/>
        <v>7.9000000000000001E-2</v>
      </c>
      <c r="BD217" s="31">
        <f t="shared" si="78"/>
        <v>0</v>
      </c>
      <c r="BE217" s="31">
        <f t="shared" si="79"/>
        <v>2.2229999999999999</v>
      </c>
      <c r="BF217" s="31">
        <f t="shared" si="80"/>
        <v>0</v>
      </c>
      <c r="BG217" s="31">
        <f t="shared" si="81"/>
        <v>2.9000000000000001E-2</v>
      </c>
      <c r="BH217" s="31">
        <f>VLOOKUP(B217,Miljö!$B$1:$BX$482,MATCH("Fossilandel för ursprungspecificerad el ()",Miljö!$B$1:$I$1,0),FALSE)</f>
        <v>0</v>
      </c>
      <c r="BI217" s="31">
        <f>VLOOKUP(B217,Miljö!$B$1:$BX$482,MATCH("Kärnkraftsandel för ursprungsspecificerad el ()",Miljö!$B$1:$O$1,0),FALSE)</f>
        <v>0</v>
      </c>
      <c r="BJ217" s="31">
        <f t="shared" si="82"/>
        <v>0</v>
      </c>
      <c r="BK217" s="31" t="str">
        <f>VLOOKUP(B217,Miljö!$B$1:$P$482,MATCH("Fossil andel i procent (%)",Miljö!$B$1:$P$1,0),FALSE)</f>
        <v>ET</v>
      </c>
      <c r="BL217" s="31">
        <f t="shared" si="83"/>
        <v>2.331</v>
      </c>
      <c r="BO217" s="32">
        <f t="shared" si="84"/>
        <v>3.3891033891033893E-2</v>
      </c>
      <c r="BP217" s="32">
        <f t="shared" si="85"/>
        <v>0</v>
      </c>
      <c r="BQ217" s="32">
        <f t="shared" si="86"/>
        <v>0.96610896610896602</v>
      </c>
      <c r="BR217" s="32">
        <f t="shared" si="87"/>
        <v>0</v>
      </c>
      <c r="BT217" s="62">
        <f t="shared" si="88"/>
        <v>0.99999999999999989</v>
      </c>
      <c r="BW217" s="32">
        <f>IF(AP217="Ja",VLOOKUP(B217,Miljövärden!$B$2:$H$551,MATCH("Total andel fossilt",Miljövärden!$B$2:$H$2,0),FALSE),"")</f>
        <v>3.3890999999999998E-2</v>
      </c>
      <c r="BX217" s="62">
        <f t="shared" si="89"/>
        <v>-3.3891033895949718E-8</v>
      </c>
      <c r="BZ217" s="31">
        <f t="shared" si="90"/>
        <v>-3.3891033895949718E-8</v>
      </c>
      <c r="CA217" s="32">
        <f t="shared" si="91"/>
        <v>0</v>
      </c>
    </row>
    <row r="218" spans="1:79" x14ac:dyDescent="0.45">
      <c r="A218" s="31" t="s">
        <v>398</v>
      </c>
      <c r="B218" s="31" t="s">
        <v>399</v>
      </c>
      <c r="C218" s="31">
        <f>VLOOKUP($B218,'Tillförd energi'!$B$1:$AI$720,MATCH(C$1,'Tillförd energi'!$B$1:$AQ$1,0),FALSE)</f>
        <v>0</v>
      </c>
      <c r="D218" s="31">
        <f>VLOOKUP($B218,'Tillförd energi'!$B$1:$AI$720,MATCH(D$1,'Tillförd energi'!$B$1:$AQ$1,0),FALSE)</f>
        <v>0.41099999999999998</v>
      </c>
      <c r="E218" s="31">
        <f>VLOOKUP($B218,'Tillförd energi'!$B$1:$AI$720,MATCH(E$1,'Tillförd energi'!$B$1:$AQ$1,0),FALSE)</f>
        <v>0</v>
      </c>
      <c r="F218" s="31">
        <f>VLOOKUP($B218,'Tillförd energi'!$B$1:$AI$720,MATCH(F$1,'Tillförd energi'!$B$1:$AQ$1,0),FALSE)</f>
        <v>0</v>
      </c>
      <c r="G218" s="31">
        <f>VLOOKUP($B218,'Tillförd energi'!$B$1:$AI$720,MATCH(G$1,'Tillförd energi'!$B$1:$AQ$1,0),FALSE)</f>
        <v>0</v>
      </c>
      <c r="H218" s="31">
        <f>VLOOKUP($B218,'Tillförd energi'!$B$1:$AI$720,MATCH(H$1,'Tillförd energi'!$B$1:$AQ$1,0),FALSE)</f>
        <v>0</v>
      </c>
      <c r="I218" s="31">
        <f>VLOOKUP($B218,'Tillförd energi'!$B$1:$AI$720,MATCH(I$1,'Tillförd energi'!$B$1:$AQ$1,0),FALSE)</f>
        <v>0</v>
      </c>
      <c r="J218" s="31">
        <f>VLOOKUP($B218,'Tillförd energi'!$B$1:$AI$720,MATCH(J$1,'Tillförd energi'!$B$1:$AQ$1,0),FALSE)</f>
        <v>0</v>
      </c>
      <c r="K218" s="31">
        <f>VLOOKUP($B218,'Tillförd energi'!$B$1:$AI$720,MATCH(K$1,'Tillförd energi'!$B$1:$AQ$1,0),FALSE)</f>
        <v>0</v>
      </c>
      <c r="L218" s="31">
        <f>VLOOKUP($B218,'Tillförd energi'!$B$1:$AI$720,MATCH(L$1,'Tillförd energi'!$B$1:$AQ$1,0),FALSE)</f>
        <v>0</v>
      </c>
      <c r="M218" s="31">
        <f>VLOOKUP($B218,'Tillförd energi'!$B$1:$AI$720,MATCH(M$1,'Tillförd energi'!$B$1:$AQ$1,0),FALSE)</f>
        <v>0</v>
      </c>
      <c r="N218" s="31">
        <f>VLOOKUP($B218,'Tillförd energi'!$B$1:$AI$720,MATCH(N$1,'Tillförd energi'!$B$1:$AQ$1,0),FALSE)</f>
        <v>0</v>
      </c>
      <c r="O218" s="31">
        <f>VLOOKUP($B218,'Tillförd energi'!$B$1:$AI$720,MATCH(O$1,'Tillförd energi'!$B$1:$AQ$1,0),FALSE)</f>
        <v>0</v>
      </c>
      <c r="P218" s="31">
        <f>VLOOKUP($B218,'Tillförd energi'!$B$1:$AI$720,MATCH(P$1,'Tillförd energi'!$B$1:$AQ$1,0),FALSE)</f>
        <v>12.47</v>
      </c>
      <c r="Q218" s="31">
        <f>VLOOKUP($B218,'Tillförd energi'!$B$1:$AI$720,MATCH(Q$1,'Tillförd energi'!$B$1:$AQ$1,0),FALSE)</f>
        <v>0</v>
      </c>
      <c r="R218" s="31">
        <f>VLOOKUP($B218,'Tillförd energi'!$B$1:$AI$720,MATCH(R$1,'Tillförd energi'!$B$1:$AQ$1,0),FALSE)</f>
        <v>0</v>
      </c>
      <c r="S218" s="31">
        <f>VLOOKUP($B218,'Tillförd energi'!$B$1:$AI$720,MATCH(S$1,'Tillförd energi'!$B$1:$AQ$1,0),FALSE)</f>
        <v>0</v>
      </c>
      <c r="T218" s="31">
        <f>VLOOKUP($B218,'Tillförd energi'!$B$1:$AI$720,MATCH(T$1,'Tillförd energi'!$B$1:$AQ$1,0),FALSE)</f>
        <v>0</v>
      </c>
      <c r="U218" s="31">
        <f>VLOOKUP($B218,'Tillförd energi'!$B$1:$AI$720,MATCH(U$1,'Tillförd energi'!$B$1:$AQ$1,0),FALSE)</f>
        <v>0</v>
      </c>
      <c r="V218" s="31">
        <f>VLOOKUP($B218,'Tillförd energi'!$B$1:$AI$720,MATCH(V$1,'Tillförd energi'!$B$1:$AQ$1,0),FALSE)</f>
        <v>0</v>
      </c>
      <c r="W218" s="31">
        <f>VLOOKUP($B218,'Tillförd energi'!$B$1:$AI$720,MATCH(W$1,'Tillförd energi'!$B$1:$AQ$1,0),FALSE)</f>
        <v>1.6</v>
      </c>
      <c r="X218" s="31">
        <f>VLOOKUP($B218,'Tillförd energi'!$B$1:$AI$720,MATCH(X$1,'Tillförd energi'!$B$1:$AQ$1,0),FALSE)</f>
        <v>0</v>
      </c>
      <c r="Y218" s="31">
        <f>VLOOKUP($B218,'Tillförd energi'!$B$1:$AI$720,MATCH(Y$1,'Tillförd energi'!$B$1:$AQ$1,0),FALSE)</f>
        <v>0</v>
      </c>
      <c r="Z218" s="31">
        <f>VLOOKUP($B218,'Tillförd energi'!$B$1:$AI$720,MATCH(Z$1,'Tillförd energi'!$B$1:$AQ$1,0),FALSE)</f>
        <v>0</v>
      </c>
      <c r="AA218" s="31">
        <f>VLOOKUP($B218,'Tillförd energi'!$B$1:$AI$720,MATCH(AA$1,'Tillförd energi'!$B$1:$AQ$1,0),FALSE)</f>
        <v>0</v>
      </c>
      <c r="AB218" s="31">
        <f>VLOOKUP($B218,'Tillförd energi'!$B$1:$AI$720,MATCH(AB$1,'Tillförd energi'!$B$1:$AQ$1,0),FALSE)</f>
        <v>0</v>
      </c>
      <c r="AC218" s="31">
        <f>VLOOKUP($B218,'Tillförd energi'!$B$1:$AI$720,MATCH(AC$1,'Tillförd energi'!$B$1:$AQ$1,0),FALSE)</f>
        <v>1.21</v>
      </c>
      <c r="AD218" s="31">
        <f>VLOOKUP($B218,'Tillförd energi'!$B$1:$AI$720,MATCH(AD$1,'Tillförd energi'!$B$1:$AQ$1,0),FALSE)</f>
        <v>0</v>
      </c>
      <c r="AE218" s="31">
        <f>VLOOKUP($B218,'Tillförd energi'!$B$1:$AI$720,MATCH(AE$1,'Tillförd energi'!$B$1:$AQ$1,0),FALSE)</f>
        <v>0</v>
      </c>
      <c r="AF218" s="31">
        <f>VLOOKUP($B218,'Tillförd energi'!$B$1:$AI$720,MATCH(AF$1,'Tillförd energi'!$B$1:$AQ$1,0),FALSE)</f>
        <v>0.24399999999999999</v>
      </c>
      <c r="AG218" s="31">
        <f>IFERROR(VLOOKUP(B218,Miljö!$B$1:$AC$550,MATCH("Köpt mängd produktionsspecifik fjärrvärme:",Miljö!$B$1:$AC$1,0),FALSE)/1,0)</f>
        <v>0</v>
      </c>
      <c r="AI218" s="31">
        <f t="shared" si="69"/>
        <v>15.934999999999999</v>
      </c>
      <c r="AJ218" s="31">
        <f t="shared" si="70"/>
        <v>15.934999999999999</v>
      </c>
      <c r="AK218" s="31">
        <f>IF(ISERROR(1/VLOOKUP($B218,Leveranser!$B$1:$S$499,MATCH("Såld värme (GWh)",Leveranser!$B$1:$S$1,0),FALSE)),"",VLOOKUP($B218,Leveranser!$B$1:$S$499,MATCH("Såld värme (GWh)",Leveranser!$B$1:$S$1,0),FALSE))</f>
        <v>10.36</v>
      </c>
      <c r="AL218" s="31">
        <f>VLOOKUP($B218,Leveranser!$B$1:$Y$499,MATCH("Totalt såld fjärrvärme till andra fjärrvärmeföretag",Leveranser!$B$1:$AA$1,0),FALSE)</f>
        <v>0</v>
      </c>
      <c r="AM218" s="31">
        <f>IF(ISERROR(1/VLOOKUP($B218,Miljö!$B$1:$S$500,MATCH("Såld mängd produktionsspecifik fjärrvärme (GWh)",Miljö!$B$1:$R$1,0),FALSE)),0,VLOOKUP($B218,Miljö!$B$1:$S$500,MATCH("Såld mängd produktionsspecifik fjärrvärme (GWh)",Miljö!$B$1:$R$1,0),FALSE))</f>
        <v>0</v>
      </c>
      <c r="AN218" s="32">
        <f t="shared" si="71"/>
        <v>0.65014119861939135</v>
      </c>
      <c r="AP218" s="31" t="str">
        <f>IFERROR(VLOOKUP($B218,Miljövärden!$B$2:$H$550,7,FALSE),"Nej, saknas")</f>
        <v>Ja</v>
      </c>
      <c r="AQ218" s="31" t="str">
        <f>IFERROR(VLOOKUP($B218,Miljövärden!$B$2:$H$551,6,FALSE),"Nej, saknas")</f>
        <v>Ja</v>
      </c>
      <c r="AU218" s="31">
        <f t="shared" si="72"/>
        <v>0.24399999999999999</v>
      </c>
      <c r="AV218" s="31">
        <f t="shared" si="73"/>
        <v>0</v>
      </c>
      <c r="AW218" s="31">
        <f t="shared" si="74"/>
        <v>12.47</v>
      </c>
      <c r="AX218" s="31">
        <f t="shared" si="75"/>
        <v>0</v>
      </c>
      <c r="AZ218" s="31">
        <f t="shared" si="76"/>
        <v>14.07</v>
      </c>
      <c r="BC218" s="31">
        <f t="shared" si="77"/>
        <v>0.41099999999999998</v>
      </c>
      <c r="BD218" s="31">
        <f t="shared" si="78"/>
        <v>0</v>
      </c>
      <c r="BE218" s="31">
        <f t="shared" si="79"/>
        <v>14.07</v>
      </c>
      <c r="BF218" s="31">
        <f t="shared" si="80"/>
        <v>1.21</v>
      </c>
      <c r="BG218" s="31">
        <f t="shared" si="81"/>
        <v>0.24399999999999999</v>
      </c>
      <c r="BH218" s="31">
        <f>VLOOKUP(B218,Miljö!$B$1:$BX$482,MATCH("Fossilandel för ursprungspecificerad el ()",Miljö!$B$1:$I$1,0),FALSE)</f>
        <v>0</v>
      </c>
      <c r="BI218" s="31">
        <f>VLOOKUP(B218,Miljö!$B$1:$BX$482,MATCH("Kärnkraftsandel för ursprungsspecificerad el ()",Miljö!$B$1:$O$1,0),FALSE)</f>
        <v>0</v>
      </c>
      <c r="BJ218" s="31">
        <f t="shared" si="82"/>
        <v>0</v>
      </c>
      <c r="BK218" s="31" t="str">
        <f>VLOOKUP(B218,Miljö!$B$1:$P$482,MATCH("Fossil andel i procent (%)",Miljö!$B$1:$P$1,0),FALSE)</f>
        <v>ET</v>
      </c>
      <c r="BL218" s="31">
        <f t="shared" si="83"/>
        <v>15.934999999999999</v>
      </c>
      <c r="BO218" s="32">
        <f t="shared" si="84"/>
        <v>2.5792281142139942E-2</v>
      </c>
      <c r="BP218" s="32">
        <f t="shared" si="85"/>
        <v>0</v>
      </c>
      <c r="BQ218" s="32">
        <f t="shared" si="86"/>
        <v>0.89827423909632886</v>
      </c>
      <c r="BR218" s="32">
        <f t="shared" si="87"/>
        <v>7.5933479761531225E-2</v>
      </c>
      <c r="BT218" s="62">
        <f t="shared" si="88"/>
        <v>1</v>
      </c>
      <c r="BW218" s="32">
        <f>IF(AP218="Ja",VLOOKUP(B218,Miljövärden!$B$2:$H$551,MATCH("Total andel fossilt",Miljövärden!$B$2:$H$2,0),FALSE),"")</f>
        <v>2.5792300000000001E-2</v>
      </c>
      <c r="BX218" s="62">
        <f t="shared" si="89"/>
        <v>1.8857860058230091E-8</v>
      </c>
      <c r="BZ218" s="31">
        <f t="shared" si="90"/>
        <v>1.8857860058230091E-8</v>
      </c>
      <c r="CA218" s="32">
        <f t="shared" si="91"/>
        <v>0</v>
      </c>
    </row>
    <row r="219" spans="1:79" x14ac:dyDescent="0.45">
      <c r="A219" s="31" t="s">
        <v>398</v>
      </c>
      <c r="B219" s="31" t="s">
        <v>397</v>
      </c>
      <c r="C219" s="31">
        <f>VLOOKUP($B219,'Tillförd energi'!$B$1:$AI$720,MATCH(C$1,'Tillförd energi'!$B$1:$AQ$1,0),FALSE)</f>
        <v>0</v>
      </c>
      <c r="D219" s="31">
        <f>VLOOKUP($B219,'Tillförd energi'!$B$1:$AI$720,MATCH(D$1,'Tillförd energi'!$B$1:$AQ$1,0),FALSE)</f>
        <v>5.85</v>
      </c>
      <c r="E219" s="31">
        <f>VLOOKUP($B219,'Tillförd energi'!$B$1:$AI$720,MATCH(E$1,'Tillförd energi'!$B$1:$AQ$1,0),FALSE)</f>
        <v>0</v>
      </c>
      <c r="F219" s="31">
        <f>VLOOKUP($B219,'Tillförd energi'!$B$1:$AI$720,MATCH(F$1,'Tillförd energi'!$B$1:$AQ$1,0),FALSE)</f>
        <v>0</v>
      </c>
      <c r="G219" s="31">
        <f>VLOOKUP($B219,'Tillförd energi'!$B$1:$AI$720,MATCH(G$1,'Tillförd energi'!$B$1:$AQ$1,0),FALSE)</f>
        <v>0</v>
      </c>
      <c r="H219" s="31">
        <f>VLOOKUP($B219,'Tillförd energi'!$B$1:$AI$720,MATCH(H$1,'Tillförd energi'!$B$1:$AQ$1,0),FALSE)</f>
        <v>0</v>
      </c>
      <c r="I219" s="31">
        <f>VLOOKUP($B219,'Tillförd energi'!$B$1:$AI$720,MATCH(I$1,'Tillförd energi'!$B$1:$AQ$1,0),FALSE)</f>
        <v>0</v>
      </c>
      <c r="J219" s="31">
        <f>VLOOKUP($B219,'Tillförd energi'!$B$1:$AI$720,MATCH(J$1,'Tillförd energi'!$B$1:$AQ$1,0),FALSE)</f>
        <v>0</v>
      </c>
      <c r="K219" s="31">
        <f>VLOOKUP($B219,'Tillförd energi'!$B$1:$AI$720,MATCH(K$1,'Tillförd energi'!$B$1:$AQ$1,0),FALSE)</f>
        <v>0</v>
      </c>
      <c r="L219" s="31">
        <f>VLOOKUP($B219,'Tillförd energi'!$B$1:$AI$720,MATCH(L$1,'Tillförd energi'!$B$1:$AQ$1,0),FALSE)</f>
        <v>0</v>
      </c>
      <c r="M219" s="31">
        <f>VLOOKUP($B219,'Tillförd energi'!$B$1:$AI$720,MATCH(M$1,'Tillförd energi'!$B$1:$AQ$1,0),FALSE)</f>
        <v>0</v>
      </c>
      <c r="N219" s="31">
        <f>VLOOKUP($B219,'Tillförd energi'!$B$1:$AI$720,MATCH(N$1,'Tillförd energi'!$B$1:$AQ$1,0),FALSE)</f>
        <v>121.02500000000001</v>
      </c>
      <c r="O219" s="31">
        <f>VLOOKUP($B219,'Tillförd energi'!$B$1:$AI$720,MATCH(O$1,'Tillförd energi'!$B$1:$AQ$1,0),FALSE)</f>
        <v>0</v>
      </c>
      <c r="P219" s="31">
        <f>VLOOKUP($B219,'Tillförd energi'!$B$1:$AI$720,MATCH(P$1,'Tillförd energi'!$B$1:$AQ$1,0),FALSE)</f>
        <v>0</v>
      </c>
      <c r="Q219" s="31">
        <f>VLOOKUP($B219,'Tillförd energi'!$B$1:$AI$720,MATCH(Q$1,'Tillförd energi'!$B$1:$AQ$1,0),FALSE)</f>
        <v>0</v>
      </c>
      <c r="R219" s="31">
        <f>VLOOKUP($B219,'Tillförd energi'!$B$1:$AI$720,MATCH(R$1,'Tillförd energi'!$B$1:$AQ$1,0),FALSE)</f>
        <v>0</v>
      </c>
      <c r="S219" s="31">
        <f>VLOOKUP($B219,'Tillförd energi'!$B$1:$AI$720,MATCH(S$1,'Tillförd energi'!$B$1:$AQ$1,0),FALSE)</f>
        <v>0</v>
      </c>
      <c r="T219" s="31">
        <f>VLOOKUP($B219,'Tillförd energi'!$B$1:$AI$720,MATCH(T$1,'Tillförd energi'!$B$1:$AQ$1,0),FALSE)</f>
        <v>0</v>
      </c>
      <c r="U219" s="31">
        <f>VLOOKUP($B219,'Tillförd energi'!$B$1:$AI$720,MATCH(U$1,'Tillförd energi'!$B$1:$AQ$1,0),FALSE)</f>
        <v>0</v>
      </c>
      <c r="V219" s="31">
        <f>VLOOKUP($B219,'Tillförd energi'!$B$1:$AI$720,MATCH(V$1,'Tillförd energi'!$B$1:$AQ$1,0),FALSE)</f>
        <v>0</v>
      </c>
      <c r="W219" s="31">
        <f>VLOOKUP($B219,'Tillförd energi'!$B$1:$AI$720,MATCH(W$1,'Tillförd energi'!$B$1:$AQ$1,0),FALSE)</f>
        <v>0</v>
      </c>
      <c r="X219" s="31">
        <f>VLOOKUP($B219,'Tillförd energi'!$B$1:$AI$720,MATCH(X$1,'Tillförd energi'!$B$1:$AQ$1,0),FALSE)</f>
        <v>0</v>
      </c>
      <c r="Y219" s="31">
        <f>VLOOKUP($B219,'Tillförd energi'!$B$1:$AI$720,MATCH(Y$1,'Tillförd energi'!$B$1:$AQ$1,0),FALSE)</f>
        <v>0</v>
      </c>
      <c r="Z219" s="31">
        <f>VLOOKUP($B219,'Tillförd energi'!$B$1:$AI$720,MATCH(Z$1,'Tillförd energi'!$B$1:$AQ$1,0),FALSE)</f>
        <v>0</v>
      </c>
      <c r="AA219" s="31">
        <f>VLOOKUP($B219,'Tillförd energi'!$B$1:$AI$720,MATCH(AA$1,'Tillförd energi'!$B$1:$AQ$1,0),FALSE)</f>
        <v>0</v>
      </c>
      <c r="AB219" s="31">
        <f>VLOOKUP($B219,'Tillförd energi'!$B$1:$AI$720,MATCH(AB$1,'Tillförd energi'!$B$1:$AQ$1,0),FALSE)</f>
        <v>0</v>
      </c>
      <c r="AC219" s="31">
        <f>VLOOKUP($B219,'Tillförd energi'!$B$1:$AI$720,MATCH(AC$1,'Tillförd energi'!$B$1:$AQ$1,0),FALSE)</f>
        <v>30.93</v>
      </c>
      <c r="AD219" s="31">
        <f>VLOOKUP($B219,'Tillförd energi'!$B$1:$AI$720,MATCH(AD$1,'Tillförd energi'!$B$1:$AQ$1,0),FALSE)</f>
        <v>0</v>
      </c>
      <c r="AE219" s="31">
        <f>VLOOKUP($B219,'Tillförd energi'!$B$1:$AI$720,MATCH(AE$1,'Tillförd energi'!$B$1:$AQ$1,0),FALSE)</f>
        <v>0</v>
      </c>
      <c r="AF219" s="31">
        <f>VLOOKUP($B219,'Tillförd energi'!$B$1:$AI$720,MATCH(AF$1,'Tillförd energi'!$B$1:$AQ$1,0),FALSE)</f>
        <v>4.08392</v>
      </c>
      <c r="AG219" s="31">
        <f>IFERROR(VLOOKUP(B219,Miljö!$B$1:$AC$550,MATCH("Köpt mängd produktionsspecifik fjärrvärme:",Miljö!$B$1:$AC$1,0),FALSE)/1,0)</f>
        <v>0</v>
      </c>
      <c r="AI219" s="31">
        <f t="shared" si="69"/>
        <v>161.88892000000001</v>
      </c>
      <c r="AJ219" s="31">
        <f t="shared" si="70"/>
        <v>161.88892000000001</v>
      </c>
      <c r="AK219" s="31">
        <f>IF(ISERROR(1/VLOOKUP($B219,Leveranser!$B$1:$S$499,MATCH("Såld värme (GWh)",Leveranser!$B$1:$S$1,0),FALSE)),"",VLOOKUP($B219,Leveranser!$B$1:$S$499,MATCH("Såld värme (GWh)",Leveranser!$B$1:$S$1,0),FALSE))</f>
        <v>145.30000000000001</v>
      </c>
      <c r="AL219" s="31">
        <f>VLOOKUP($B219,Leveranser!$B$1:$Y$499,MATCH("Totalt såld fjärrvärme till andra fjärrvärmeföretag",Leveranser!$B$1:$AA$1,0),FALSE)</f>
        <v>0</v>
      </c>
      <c r="AM219" s="31">
        <f>IF(ISERROR(1/VLOOKUP($B219,Miljö!$B$1:$S$500,MATCH("Såld mängd produktionsspecifik fjärrvärme (GWh)",Miljö!$B$1:$R$1,0),FALSE)),0,VLOOKUP($B219,Miljö!$B$1:$S$500,MATCH("Såld mängd produktionsspecifik fjärrvärme (GWh)",Miljö!$B$1:$R$1,0),FALSE))</f>
        <v>0</v>
      </c>
      <c r="AN219" s="32">
        <f t="shared" si="71"/>
        <v>0.89752899704315769</v>
      </c>
      <c r="AP219" s="31" t="str">
        <f>IFERROR(VLOOKUP($B219,Miljövärden!$B$2:$H$550,7,FALSE),"Nej, saknas")</f>
        <v>Ja</v>
      </c>
      <c r="AQ219" s="31" t="str">
        <f>IFERROR(VLOOKUP($B219,Miljövärden!$B$2:$H$551,6,FALSE),"Nej, saknas")</f>
        <v>Ja</v>
      </c>
      <c r="AU219" s="31">
        <f t="shared" si="72"/>
        <v>4.08392</v>
      </c>
      <c r="AV219" s="31">
        <f t="shared" si="73"/>
        <v>0</v>
      </c>
      <c r="AW219" s="31">
        <f t="shared" si="74"/>
        <v>121.02500000000001</v>
      </c>
      <c r="AX219" s="31">
        <f t="shared" si="75"/>
        <v>0</v>
      </c>
      <c r="AZ219" s="31">
        <f t="shared" si="76"/>
        <v>121.02500000000001</v>
      </c>
      <c r="BC219" s="31">
        <f t="shared" si="77"/>
        <v>5.85</v>
      </c>
      <c r="BD219" s="31">
        <f t="shared" si="78"/>
        <v>0</v>
      </c>
      <c r="BE219" s="31">
        <f t="shared" si="79"/>
        <v>121.02500000000001</v>
      </c>
      <c r="BF219" s="31">
        <f t="shared" si="80"/>
        <v>30.93</v>
      </c>
      <c r="BG219" s="31">
        <f t="shared" si="81"/>
        <v>4.08392</v>
      </c>
      <c r="BH219" s="31">
        <f>VLOOKUP(B219,Miljö!$B$1:$BX$482,MATCH("Fossilandel för ursprungspecificerad el ()",Miljö!$B$1:$I$1,0),FALSE)</f>
        <v>0</v>
      </c>
      <c r="BI219" s="31">
        <f>VLOOKUP(B219,Miljö!$B$1:$BX$482,MATCH("Kärnkraftsandel för ursprungsspecificerad el ()",Miljö!$B$1:$O$1,0),FALSE)</f>
        <v>0</v>
      </c>
      <c r="BJ219" s="31">
        <f t="shared" si="82"/>
        <v>0</v>
      </c>
      <c r="BK219" s="31" t="str">
        <f>VLOOKUP(B219,Miljö!$B$1:$P$482,MATCH("Fossil andel i procent (%)",Miljö!$B$1:$P$1,0),FALSE)</f>
        <v>ET</v>
      </c>
      <c r="BL219" s="31">
        <f t="shared" si="83"/>
        <v>161.88892000000001</v>
      </c>
      <c r="BO219" s="32">
        <f t="shared" si="84"/>
        <v>3.6135888731606829E-2</v>
      </c>
      <c r="BP219" s="32">
        <f t="shared" si="85"/>
        <v>0</v>
      </c>
      <c r="BQ219" s="32">
        <f t="shared" si="86"/>
        <v>0.7728071816156411</v>
      </c>
      <c r="BR219" s="32">
        <f t="shared" si="87"/>
        <v>0.19105692965275201</v>
      </c>
      <c r="BT219" s="62">
        <f t="shared" si="88"/>
        <v>0.99999999999999989</v>
      </c>
      <c r="BW219" s="32">
        <f>IF(AP219="Ja",VLOOKUP(B219,Miljövärden!$B$2:$H$551,MATCH("Total andel fossilt",Miljövärden!$B$2:$H$2,0),FALSE),"")</f>
        <v>3.6135899999999999E-2</v>
      </c>
      <c r="BX219" s="62">
        <f t="shared" si="89"/>
        <v>1.1268393169949764E-8</v>
      </c>
      <c r="BZ219" s="31">
        <f t="shared" si="90"/>
        <v>1.1268393169949764E-8</v>
      </c>
      <c r="CA219" s="32">
        <f t="shared" si="91"/>
        <v>0</v>
      </c>
    </row>
    <row r="220" spans="1:79" x14ac:dyDescent="0.45">
      <c r="A220" s="31" t="s">
        <v>396</v>
      </c>
      <c r="B220" s="31" t="s">
        <v>395</v>
      </c>
      <c r="C220" s="31">
        <f>VLOOKUP($B220,'Tillförd energi'!$B$1:$AI$720,MATCH(C$1,'Tillförd energi'!$B$1:$AQ$1,0),FALSE)</f>
        <v>0</v>
      </c>
      <c r="D220" s="31">
        <f>VLOOKUP($B220,'Tillförd energi'!$B$1:$AI$720,MATCH(D$1,'Tillförd energi'!$B$1:$AQ$1,0),FALSE)</f>
        <v>0</v>
      </c>
      <c r="E220" s="31">
        <f>VLOOKUP($B220,'Tillförd energi'!$B$1:$AI$720,MATCH(E$1,'Tillförd energi'!$B$1:$AQ$1,0),FALSE)</f>
        <v>0</v>
      </c>
      <c r="F220" s="31">
        <f>VLOOKUP($B220,'Tillförd energi'!$B$1:$AI$720,MATCH(F$1,'Tillförd energi'!$B$1:$AQ$1,0),FALSE)</f>
        <v>0</v>
      </c>
      <c r="G220" s="31">
        <f>VLOOKUP($B220,'Tillförd energi'!$B$1:$AI$720,MATCH(G$1,'Tillförd energi'!$B$1:$AQ$1,0),FALSE)</f>
        <v>0</v>
      </c>
      <c r="H220" s="31">
        <f>VLOOKUP($B220,'Tillförd energi'!$B$1:$AI$720,MATCH(H$1,'Tillförd energi'!$B$1:$AQ$1,0),FALSE)</f>
        <v>1.27</v>
      </c>
      <c r="I220" s="31">
        <f>VLOOKUP($B220,'Tillförd energi'!$B$1:$AI$720,MATCH(I$1,'Tillförd energi'!$B$1:$AQ$1,0),FALSE)</f>
        <v>0</v>
      </c>
      <c r="J220" s="31">
        <f>VLOOKUP($B220,'Tillförd energi'!$B$1:$AI$720,MATCH(J$1,'Tillförd energi'!$B$1:$AQ$1,0),FALSE)</f>
        <v>0</v>
      </c>
      <c r="K220" s="31">
        <f>VLOOKUP($B220,'Tillförd energi'!$B$1:$AI$720,MATCH(K$1,'Tillförd energi'!$B$1:$AQ$1,0),FALSE)</f>
        <v>0</v>
      </c>
      <c r="L220" s="31">
        <f>VLOOKUP($B220,'Tillförd energi'!$B$1:$AI$720,MATCH(L$1,'Tillförd energi'!$B$1:$AQ$1,0),FALSE)</f>
        <v>0</v>
      </c>
      <c r="M220" s="31">
        <f>VLOOKUP($B220,'Tillförd energi'!$B$1:$AI$720,MATCH(M$1,'Tillförd energi'!$B$1:$AQ$1,0),FALSE)</f>
        <v>3.05</v>
      </c>
      <c r="N220" s="31">
        <f>VLOOKUP($B220,'Tillförd energi'!$B$1:$AI$720,MATCH(N$1,'Tillförd energi'!$B$1:$AQ$1,0),FALSE)</f>
        <v>46.14</v>
      </c>
      <c r="O220" s="31">
        <f>VLOOKUP($B220,'Tillförd energi'!$B$1:$AI$720,MATCH(O$1,'Tillförd energi'!$B$1:$AQ$1,0),FALSE)</f>
        <v>0</v>
      </c>
      <c r="P220" s="31">
        <f>VLOOKUP($B220,'Tillförd energi'!$B$1:$AI$720,MATCH(P$1,'Tillförd energi'!$B$1:$AQ$1,0),FALSE)</f>
        <v>1.71</v>
      </c>
      <c r="Q220" s="31">
        <f>VLOOKUP($B220,'Tillförd energi'!$B$1:$AI$720,MATCH(Q$1,'Tillförd energi'!$B$1:$AQ$1,0),FALSE)</f>
        <v>0</v>
      </c>
      <c r="R220" s="31">
        <f>VLOOKUP($B220,'Tillförd energi'!$B$1:$AI$720,MATCH(R$1,'Tillförd energi'!$B$1:$AQ$1,0),FALSE)</f>
        <v>5.46</v>
      </c>
      <c r="S220" s="31">
        <f>VLOOKUP($B220,'Tillförd energi'!$B$1:$AI$720,MATCH(S$1,'Tillförd energi'!$B$1:$AQ$1,0),FALSE)</f>
        <v>0</v>
      </c>
      <c r="T220" s="31">
        <f>VLOOKUP($B220,'Tillförd energi'!$B$1:$AI$720,MATCH(T$1,'Tillförd energi'!$B$1:$AQ$1,0),FALSE)</f>
        <v>0</v>
      </c>
      <c r="U220" s="31">
        <f>VLOOKUP($B220,'Tillförd energi'!$B$1:$AI$720,MATCH(U$1,'Tillförd energi'!$B$1:$AQ$1,0),FALSE)</f>
        <v>0</v>
      </c>
      <c r="V220" s="31">
        <f>VLOOKUP($B220,'Tillförd energi'!$B$1:$AI$720,MATCH(V$1,'Tillförd energi'!$B$1:$AQ$1,0),FALSE)</f>
        <v>0</v>
      </c>
      <c r="W220" s="31">
        <f>VLOOKUP($B220,'Tillförd energi'!$B$1:$AI$720,MATCH(W$1,'Tillförd energi'!$B$1:$AQ$1,0),FALSE)</f>
        <v>2.16</v>
      </c>
      <c r="X220" s="31">
        <f>VLOOKUP($B220,'Tillförd energi'!$B$1:$AI$720,MATCH(X$1,'Tillförd energi'!$B$1:$AQ$1,0),FALSE)</f>
        <v>0</v>
      </c>
      <c r="Y220" s="31">
        <f>VLOOKUP($B220,'Tillförd energi'!$B$1:$AI$720,MATCH(Y$1,'Tillförd energi'!$B$1:$AQ$1,0),FALSE)</f>
        <v>0</v>
      </c>
      <c r="Z220" s="31">
        <f>VLOOKUP($B220,'Tillförd energi'!$B$1:$AI$720,MATCH(Z$1,'Tillförd energi'!$B$1:$AQ$1,0),FALSE)</f>
        <v>0</v>
      </c>
      <c r="AA220" s="31">
        <f>VLOOKUP($B220,'Tillförd energi'!$B$1:$AI$720,MATCH(AA$1,'Tillförd energi'!$B$1:$AQ$1,0),FALSE)</f>
        <v>0</v>
      </c>
      <c r="AB220" s="31">
        <f>VLOOKUP($B220,'Tillförd energi'!$B$1:$AI$720,MATCH(AB$1,'Tillförd energi'!$B$1:$AQ$1,0),FALSE)</f>
        <v>0</v>
      </c>
      <c r="AC220" s="31">
        <f>VLOOKUP($B220,'Tillförd energi'!$B$1:$AI$720,MATCH(AC$1,'Tillförd energi'!$B$1:$AQ$1,0),FALSE)</f>
        <v>3.95</v>
      </c>
      <c r="AD220" s="31">
        <f>VLOOKUP($B220,'Tillförd energi'!$B$1:$AI$720,MATCH(AD$1,'Tillförd energi'!$B$1:$AQ$1,0),FALSE)</f>
        <v>0</v>
      </c>
      <c r="AE220" s="31">
        <f>VLOOKUP($B220,'Tillförd energi'!$B$1:$AI$720,MATCH(AE$1,'Tillförd energi'!$B$1:$AQ$1,0),FALSE)</f>
        <v>0</v>
      </c>
      <c r="AF220" s="31">
        <f>VLOOKUP($B220,'Tillförd energi'!$B$1:$AI$720,MATCH(AF$1,'Tillförd energi'!$B$1:$AQ$1,0),FALSE)</f>
        <v>1.2170000000000001</v>
      </c>
      <c r="AG220" s="31">
        <f>IFERROR(VLOOKUP(B220,Miljö!$B$1:$AC$550,MATCH("Köpt mängd produktionsspecifik fjärrvärme:",Miljö!$B$1:$AC$1,0),FALSE)/1,0)</f>
        <v>0</v>
      </c>
      <c r="AI220" s="31">
        <f t="shared" si="69"/>
        <v>64.957000000000008</v>
      </c>
      <c r="AJ220" s="31">
        <f t="shared" si="70"/>
        <v>64.957000000000008</v>
      </c>
      <c r="AK220" s="31">
        <f>IF(ISERROR(1/VLOOKUP($B220,Leveranser!$B$1:$S$499,MATCH("Såld värme (GWh)",Leveranser!$B$1:$S$1,0),FALSE)),"",VLOOKUP($B220,Leveranser!$B$1:$S$499,MATCH("Såld värme (GWh)",Leveranser!$B$1:$S$1,0),FALSE))</f>
        <v>45.4</v>
      </c>
      <c r="AL220" s="31">
        <f>VLOOKUP($B220,Leveranser!$B$1:$Y$499,MATCH("Totalt såld fjärrvärme till andra fjärrvärmeföretag",Leveranser!$B$1:$AA$1,0),FALSE)</f>
        <v>0</v>
      </c>
      <c r="AM220" s="31">
        <f>IF(ISERROR(1/VLOOKUP($B220,Miljö!$B$1:$S$500,MATCH("Såld mängd produktionsspecifik fjärrvärme (GWh)",Miljö!$B$1:$R$1,0),FALSE)),0,VLOOKUP($B220,Miljö!$B$1:$S$500,MATCH("Såld mängd produktionsspecifik fjärrvärme (GWh)",Miljö!$B$1:$R$1,0),FALSE))</f>
        <v>0</v>
      </c>
      <c r="AN220" s="32">
        <f t="shared" si="71"/>
        <v>0.69892390350539579</v>
      </c>
      <c r="AP220" s="31" t="str">
        <f>IFERROR(VLOOKUP($B220,Miljövärden!$B$2:$H$550,7,FALSE),"Nej, saknas")</f>
        <v>Ja</v>
      </c>
      <c r="AQ220" s="31" t="str">
        <f>IFERROR(VLOOKUP($B220,Miljövärden!$B$2:$H$551,6,FALSE),"Nej, saknas")</f>
        <v>Ja</v>
      </c>
      <c r="AU220" s="31">
        <f t="shared" si="72"/>
        <v>1.2170000000000001</v>
      </c>
      <c r="AV220" s="31">
        <f t="shared" si="73"/>
        <v>0</v>
      </c>
      <c r="AW220" s="31">
        <f t="shared" si="74"/>
        <v>50.9</v>
      </c>
      <c r="AX220" s="31">
        <f t="shared" si="75"/>
        <v>5.46</v>
      </c>
      <c r="AZ220" s="31">
        <f t="shared" si="76"/>
        <v>58.519999999999996</v>
      </c>
      <c r="BC220" s="31">
        <f t="shared" si="77"/>
        <v>1.27</v>
      </c>
      <c r="BD220" s="31">
        <f t="shared" si="78"/>
        <v>0</v>
      </c>
      <c r="BE220" s="31">
        <f t="shared" si="79"/>
        <v>58.519999999999996</v>
      </c>
      <c r="BF220" s="31">
        <f t="shared" si="80"/>
        <v>3.95</v>
      </c>
      <c r="BG220" s="31">
        <f t="shared" si="81"/>
        <v>1.2170000000000001</v>
      </c>
      <c r="BH220" s="31">
        <f>VLOOKUP(B220,Miljö!$B$1:$BX$482,MATCH("Fossilandel för ursprungspecificerad el ()",Miljö!$B$1:$I$1,0),FALSE)</f>
        <v>0</v>
      </c>
      <c r="BI220" s="31">
        <f>VLOOKUP(B220,Miljö!$B$1:$BX$482,MATCH("Kärnkraftsandel för ursprungsspecificerad el ()",Miljö!$B$1:$O$1,0),FALSE)</f>
        <v>0</v>
      </c>
      <c r="BJ220" s="31">
        <f t="shared" si="82"/>
        <v>0</v>
      </c>
      <c r="BK220" s="31" t="str">
        <f>VLOOKUP(B220,Miljö!$B$1:$P$482,MATCH("Fossil andel i procent (%)",Miljö!$B$1:$P$1,0),FALSE)</f>
        <v>ET</v>
      </c>
      <c r="BL220" s="31">
        <f t="shared" si="83"/>
        <v>64.957000000000008</v>
      </c>
      <c r="BO220" s="32">
        <f t="shared" si="84"/>
        <v>1.9551395538587063E-2</v>
      </c>
      <c r="BP220" s="32">
        <f t="shared" si="85"/>
        <v>0</v>
      </c>
      <c r="BQ220" s="32">
        <f t="shared" si="86"/>
        <v>0.91963914589651596</v>
      </c>
      <c r="BR220" s="32">
        <f t="shared" si="87"/>
        <v>6.0809458564896772E-2</v>
      </c>
      <c r="BT220" s="62">
        <f t="shared" si="88"/>
        <v>0.99999999999999978</v>
      </c>
      <c r="BW220" s="32">
        <f>IF(AP220="Ja",VLOOKUP(B220,Miljövärden!$B$2:$H$551,MATCH("Total andel fossilt",Miljövärden!$B$2:$H$2,0),FALSE),"")</f>
        <v>1.95514E-2</v>
      </c>
      <c r="BX220" s="62">
        <f t="shared" si="89"/>
        <v>4.4614129370013078E-9</v>
      </c>
      <c r="BZ220" s="31">
        <f t="shared" si="90"/>
        <v>4.4614129370013078E-9</v>
      </c>
      <c r="CA220" s="32">
        <f t="shared" si="91"/>
        <v>0</v>
      </c>
    </row>
    <row r="221" spans="1:79" hidden="1" x14ac:dyDescent="0.45">
      <c r="A221" s="31" t="s">
        <v>393</v>
      </c>
      <c r="B221" s="31" t="s">
        <v>392</v>
      </c>
      <c r="C221" s="31">
        <f>VLOOKUP($B221,'Tillförd energi'!$B$1:$AI$720,MATCH(C$1,'Tillförd energi'!$B$1:$AQ$1,0),FALSE)</f>
        <v>0</v>
      </c>
      <c r="D221" s="31">
        <f>VLOOKUP($B221,'Tillförd energi'!$B$1:$AI$720,MATCH(D$1,'Tillförd energi'!$B$1:$AQ$1,0),FALSE)</f>
        <v>0</v>
      </c>
      <c r="E221" s="31">
        <f>VLOOKUP($B221,'Tillförd energi'!$B$1:$AI$720,MATCH(E$1,'Tillförd energi'!$B$1:$AQ$1,0),FALSE)</f>
        <v>0</v>
      </c>
      <c r="F221" s="31">
        <f>VLOOKUP($B221,'Tillförd energi'!$B$1:$AI$720,MATCH(F$1,'Tillförd energi'!$B$1:$AQ$1,0),FALSE)</f>
        <v>0</v>
      </c>
      <c r="G221" s="31">
        <f>VLOOKUP($B221,'Tillförd energi'!$B$1:$AI$720,MATCH(G$1,'Tillförd energi'!$B$1:$AQ$1,0),FALSE)</f>
        <v>0</v>
      </c>
      <c r="H221" s="31">
        <f>VLOOKUP($B221,'Tillförd energi'!$B$1:$AI$720,MATCH(H$1,'Tillförd energi'!$B$1:$AQ$1,0),FALSE)</f>
        <v>0</v>
      </c>
      <c r="I221" s="31">
        <f>VLOOKUP($B221,'Tillförd energi'!$B$1:$AI$720,MATCH(I$1,'Tillförd energi'!$B$1:$AQ$1,0),FALSE)</f>
        <v>0</v>
      </c>
      <c r="J221" s="31">
        <f>VLOOKUP($B221,'Tillförd energi'!$B$1:$AI$720,MATCH(J$1,'Tillförd energi'!$B$1:$AQ$1,0),FALSE)</f>
        <v>0</v>
      </c>
      <c r="K221" s="31">
        <f>VLOOKUP($B221,'Tillförd energi'!$B$1:$AI$720,MATCH(K$1,'Tillförd energi'!$B$1:$AQ$1,0),FALSE)</f>
        <v>0</v>
      </c>
      <c r="L221" s="31">
        <f>VLOOKUP($B221,'Tillförd energi'!$B$1:$AI$720,MATCH(L$1,'Tillförd energi'!$B$1:$AQ$1,0),FALSE)</f>
        <v>0</v>
      </c>
      <c r="M221" s="31">
        <f>VLOOKUP($B221,'Tillförd energi'!$B$1:$AI$720,MATCH(M$1,'Tillförd energi'!$B$1:$AQ$1,0),FALSE)</f>
        <v>0</v>
      </c>
      <c r="N221" s="31">
        <f>VLOOKUP($B221,'Tillförd energi'!$B$1:$AI$720,MATCH(N$1,'Tillförd energi'!$B$1:$AQ$1,0),FALSE)</f>
        <v>0</v>
      </c>
      <c r="O221" s="31">
        <f>VLOOKUP($B221,'Tillförd energi'!$B$1:$AI$720,MATCH(O$1,'Tillförd energi'!$B$1:$AQ$1,0),FALSE)</f>
        <v>0</v>
      </c>
      <c r="P221" s="31">
        <f>VLOOKUP($B221,'Tillförd energi'!$B$1:$AI$720,MATCH(P$1,'Tillförd energi'!$B$1:$AQ$1,0),FALSE)</f>
        <v>0</v>
      </c>
      <c r="Q221" s="31">
        <f>VLOOKUP($B221,'Tillförd energi'!$B$1:$AI$720,MATCH(Q$1,'Tillförd energi'!$B$1:$AQ$1,0),FALSE)</f>
        <v>0</v>
      </c>
      <c r="R221" s="31">
        <f>VLOOKUP($B221,'Tillförd energi'!$B$1:$AI$720,MATCH(R$1,'Tillförd energi'!$B$1:$AQ$1,0),FALSE)</f>
        <v>0</v>
      </c>
      <c r="S221" s="31">
        <f>VLOOKUP($B221,'Tillförd energi'!$B$1:$AI$720,MATCH(S$1,'Tillförd energi'!$B$1:$AQ$1,0),FALSE)</f>
        <v>0</v>
      </c>
      <c r="T221" s="31">
        <f>VLOOKUP($B221,'Tillförd energi'!$B$1:$AI$720,MATCH(T$1,'Tillförd energi'!$B$1:$AQ$1,0),FALSE)</f>
        <v>0</v>
      </c>
      <c r="U221" s="31">
        <f>VLOOKUP($B221,'Tillförd energi'!$B$1:$AI$720,MATCH(U$1,'Tillförd energi'!$B$1:$AQ$1,0),FALSE)</f>
        <v>0</v>
      </c>
      <c r="V221" s="31">
        <f>VLOOKUP($B221,'Tillförd energi'!$B$1:$AI$720,MATCH(V$1,'Tillförd energi'!$B$1:$AQ$1,0),FALSE)</f>
        <v>0</v>
      </c>
      <c r="W221" s="31">
        <f>VLOOKUP($B221,'Tillförd energi'!$B$1:$AI$720,MATCH(W$1,'Tillförd energi'!$B$1:$AQ$1,0),FALSE)</f>
        <v>0</v>
      </c>
      <c r="X221" s="31">
        <f>VLOOKUP($B221,'Tillförd energi'!$B$1:$AI$720,MATCH(X$1,'Tillförd energi'!$B$1:$AQ$1,0),FALSE)</f>
        <v>0</v>
      </c>
      <c r="Y221" s="31">
        <f>VLOOKUP($B221,'Tillförd energi'!$B$1:$AI$720,MATCH(Y$1,'Tillförd energi'!$B$1:$AQ$1,0),FALSE)</f>
        <v>0</v>
      </c>
      <c r="Z221" s="31">
        <f>VLOOKUP($B221,'Tillförd energi'!$B$1:$AI$720,MATCH(Z$1,'Tillförd energi'!$B$1:$AQ$1,0),FALSE)</f>
        <v>0</v>
      </c>
      <c r="AA221" s="31">
        <f>VLOOKUP($B221,'Tillförd energi'!$B$1:$AI$720,MATCH(AA$1,'Tillförd energi'!$B$1:$AQ$1,0),FALSE)</f>
        <v>0</v>
      </c>
      <c r="AB221" s="31">
        <f>VLOOKUP($B221,'Tillförd energi'!$B$1:$AI$720,MATCH(AB$1,'Tillförd energi'!$B$1:$AQ$1,0),FALSE)</f>
        <v>0</v>
      </c>
      <c r="AC221" s="31">
        <f>VLOOKUP($B221,'Tillförd energi'!$B$1:$AI$720,MATCH(AC$1,'Tillförd energi'!$B$1:$AQ$1,0),FALSE)</f>
        <v>0</v>
      </c>
      <c r="AD221" s="31">
        <f>VLOOKUP($B221,'Tillförd energi'!$B$1:$AI$720,MATCH(AD$1,'Tillförd energi'!$B$1:$AQ$1,0),FALSE)</f>
        <v>0</v>
      </c>
      <c r="AE221" s="31">
        <f>VLOOKUP($B221,'Tillförd energi'!$B$1:$AI$720,MATCH(AE$1,'Tillförd energi'!$B$1:$AQ$1,0),FALSE)</f>
        <v>0</v>
      </c>
      <c r="AF221" s="31">
        <f>VLOOKUP($B221,'Tillförd energi'!$B$1:$AI$720,MATCH(AF$1,'Tillförd energi'!$B$1:$AQ$1,0),FALSE)</f>
        <v>0</v>
      </c>
      <c r="AG221" s="31">
        <f>IFERROR(VLOOKUP(B221,Miljö!$B$1:$AC$550,MATCH("Köpt mängd produktionsspecifik fjärrvärme:",Miljö!$B$1:$AC$1,0),FALSE)/1,0)</f>
        <v>0</v>
      </c>
      <c r="AI221" s="31">
        <f t="shared" si="69"/>
        <v>0</v>
      </c>
      <c r="AJ221" s="31">
        <f t="shared" si="70"/>
        <v>0</v>
      </c>
      <c r="AK221" s="31" t="str">
        <f>IF(ISERROR(1/VLOOKUP($B221,Leveranser!$B$1:$S$499,MATCH("Såld värme (GWh)",Leveranser!$B$1:$S$1,0),FALSE)),"",VLOOKUP($B221,Leveranser!$B$1:$S$499,MATCH("Såld värme (GWh)",Leveranser!$B$1:$S$1,0),FALSE))</f>
        <v/>
      </c>
      <c r="AL221" s="31">
        <f>VLOOKUP($B221,Leveranser!$B$1:$Y$499,MATCH("Totalt såld fjärrvärme till andra fjärrvärmeföretag",Leveranser!$B$1:$AA$1,0),FALSE)</f>
        <v>0</v>
      </c>
      <c r="AM221" s="31">
        <f>IF(ISERROR(1/VLOOKUP($B221,Miljö!$B$1:$S$500,MATCH("Såld mängd produktionsspecifik fjärrvärme (GWh)",Miljö!$B$1:$R$1,0),FALSE)),0,VLOOKUP($B221,Miljö!$B$1:$S$500,MATCH("Såld mängd produktionsspecifik fjärrvärme (GWh)",Miljö!$B$1:$R$1,0),FALSE))</f>
        <v>0</v>
      </c>
      <c r="AN221" s="32" t="str">
        <f t="shared" si="71"/>
        <v/>
      </c>
      <c r="AP221" s="31" t="str">
        <f>IFERROR(VLOOKUP($B221,Miljövärden!$B$2:$H$550,7,FALSE),"Nej, saknas")</f>
        <v>Nej</v>
      </c>
      <c r="AQ221" s="31" t="str">
        <f>IFERROR(VLOOKUP($B221,Miljövärden!$B$2:$H$551,6,FALSE),"Nej, saknas")</f>
        <v>Nej</v>
      </c>
      <c r="AU221" s="31">
        <f t="shared" si="72"/>
        <v>0</v>
      </c>
      <c r="AV221" s="31">
        <f t="shared" si="73"/>
        <v>0</v>
      </c>
      <c r="AW221" s="31">
        <f t="shared" si="74"/>
        <v>0</v>
      </c>
      <c r="AX221" s="31">
        <f t="shared" si="75"/>
        <v>0</v>
      </c>
      <c r="AZ221" s="31">
        <f t="shared" si="76"/>
        <v>0</v>
      </c>
      <c r="BC221" s="31">
        <f t="shared" si="77"/>
        <v>0</v>
      </c>
      <c r="BD221" s="31">
        <f t="shared" si="78"/>
        <v>0</v>
      </c>
      <c r="BE221" s="31">
        <f t="shared" si="79"/>
        <v>0</v>
      </c>
      <c r="BF221" s="31">
        <f t="shared" si="80"/>
        <v>0</v>
      </c>
      <c r="BG221" s="31">
        <f t="shared" si="81"/>
        <v>0</v>
      </c>
      <c r="BH221" s="31" t="str">
        <f>VLOOKUP(B221,Miljö!$B$1:$BX$482,MATCH("Fossilandel för ursprungspecificerad el ()",Miljö!$B$1:$I$1,0),FALSE)</f>
        <v>-</v>
      </c>
      <c r="BI221" s="31" t="str">
        <f>VLOOKUP(B221,Miljö!$B$1:$BX$482,MATCH("Kärnkraftsandel för ursprungsspecificerad el ()",Miljö!$B$1:$O$1,0),FALSE)</f>
        <v>-</v>
      </c>
      <c r="BJ221" s="31">
        <f t="shared" si="82"/>
        <v>0</v>
      </c>
      <c r="BK221" s="31" t="str">
        <f>VLOOKUP(B221,Miljö!$B$1:$P$482,MATCH("Fossil andel i procent (%)",Miljö!$B$1:$P$1,0),FALSE)</f>
        <v>-</v>
      </c>
      <c r="BL221" s="31">
        <f t="shared" si="83"/>
        <v>0</v>
      </c>
      <c r="BO221" s="32" t="str">
        <f t="shared" si="84"/>
        <v/>
      </c>
      <c r="BP221" s="32" t="str">
        <f t="shared" si="85"/>
        <v/>
      </c>
      <c r="BQ221" s="32" t="str">
        <f t="shared" si="86"/>
        <v/>
      </c>
      <c r="BR221" s="32" t="str">
        <f t="shared" si="87"/>
        <v/>
      </c>
      <c r="BT221" s="62">
        <f t="shared" si="88"/>
        <v>0</v>
      </c>
      <c r="BW221" s="32" t="str">
        <f>IF(AP221="Ja",VLOOKUP(B221,Miljövärden!$B$2:$H$551,MATCH("Total andel fossilt",Miljövärden!$B$2:$H$2,0),FALSE),"")</f>
        <v/>
      </c>
      <c r="BX221" s="62" t="e">
        <f t="shared" si="89"/>
        <v>#VALUE!</v>
      </c>
      <c r="BZ221" s="31" t="str">
        <f t="shared" si="90"/>
        <v/>
      </c>
      <c r="CA221" s="32" t="str">
        <f t="shared" si="91"/>
        <v/>
      </c>
    </row>
    <row r="222" spans="1:79" hidden="1" x14ac:dyDescent="0.45">
      <c r="A222" s="31" t="s">
        <v>393</v>
      </c>
      <c r="B222" s="31" t="s">
        <v>394</v>
      </c>
      <c r="C222" s="31">
        <f>VLOOKUP($B222,'Tillförd energi'!$B$1:$AI$720,MATCH(C$1,'Tillförd energi'!$B$1:$AQ$1,0),FALSE)</f>
        <v>0</v>
      </c>
      <c r="D222" s="31">
        <f>VLOOKUP($B222,'Tillförd energi'!$B$1:$AI$720,MATCH(D$1,'Tillförd energi'!$B$1:$AQ$1,0),FALSE)</f>
        <v>0</v>
      </c>
      <c r="E222" s="31">
        <f>VLOOKUP($B222,'Tillförd energi'!$B$1:$AI$720,MATCH(E$1,'Tillförd energi'!$B$1:$AQ$1,0),FALSE)</f>
        <v>0</v>
      </c>
      <c r="F222" s="31">
        <f>VLOOKUP($B222,'Tillförd energi'!$B$1:$AI$720,MATCH(F$1,'Tillförd energi'!$B$1:$AQ$1,0),FALSE)</f>
        <v>0</v>
      </c>
      <c r="G222" s="31">
        <f>VLOOKUP($B222,'Tillförd energi'!$B$1:$AI$720,MATCH(G$1,'Tillförd energi'!$B$1:$AQ$1,0),FALSE)</f>
        <v>0</v>
      </c>
      <c r="H222" s="31">
        <f>VLOOKUP($B222,'Tillförd energi'!$B$1:$AI$720,MATCH(H$1,'Tillförd energi'!$B$1:$AQ$1,0),FALSE)</f>
        <v>0</v>
      </c>
      <c r="I222" s="31">
        <f>VLOOKUP($B222,'Tillförd energi'!$B$1:$AI$720,MATCH(I$1,'Tillförd energi'!$B$1:$AQ$1,0),FALSE)</f>
        <v>0</v>
      </c>
      <c r="J222" s="31">
        <f>VLOOKUP($B222,'Tillförd energi'!$B$1:$AI$720,MATCH(J$1,'Tillförd energi'!$B$1:$AQ$1,0),FALSE)</f>
        <v>0</v>
      </c>
      <c r="K222" s="31">
        <f>VLOOKUP($B222,'Tillförd energi'!$B$1:$AI$720,MATCH(K$1,'Tillförd energi'!$B$1:$AQ$1,0),FALSE)</f>
        <v>0</v>
      </c>
      <c r="L222" s="31">
        <f>VLOOKUP($B222,'Tillförd energi'!$B$1:$AI$720,MATCH(L$1,'Tillförd energi'!$B$1:$AQ$1,0),FALSE)</f>
        <v>0</v>
      </c>
      <c r="M222" s="31">
        <f>VLOOKUP($B222,'Tillförd energi'!$B$1:$AI$720,MATCH(M$1,'Tillförd energi'!$B$1:$AQ$1,0),FALSE)</f>
        <v>0</v>
      </c>
      <c r="N222" s="31">
        <f>VLOOKUP($B222,'Tillförd energi'!$B$1:$AI$720,MATCH(N$1,'Tillförd energi'!$B$1:$AQ$1,0),FALSE)</f>
        <v>0</v>
      </c>
      <c r="O222" s="31">
        <f>VLOOKUP($B222,'Tillförd energi'!$B$1:$AI$720,MATCH(O$1,'Tillförd energi'!$B$1:$AQ$1,0),FALSE)</f>
        <v>0</v>
      </c>
      <c r="P222" s="31">
        <f>VLOOKUP($B222,'Tillförd energi'!$B$1:$AI$720,MATCH(P$1,'Tillförd energi'!$B$1:$AQ$1,0),FALSE)</f>
        <v>0</v>
      </c>
      <c r="Q222" s="31">
        <f>VLOOKUP($B222,'Tillförd energi'!$B$1:$AI$720,MATCH(Q$1,'Tillförd energi'!$B$1:$AQ$1,0),FALSE)</f>
        <v>0</v>
      </c>
      <c r="R222" s="31">
        <f>VLOOKUP($B222,'Tillförd energi'!$B$1:$AI$720,MATCH(R$1,'Tillförd energi'!$B$1:$AQ$1,0),FALSE)</f>
        <v>0</v>
      </c>
      <c r="S222" s="31">
        <f>VLOOKUP($B222,'Tillförd energi'!$B$1:$AI$720,MATCH(S$1,'Tillförd energi'!$B$1:$AQ$1,0),FALSE)</f>
        <v>0</v>
      </c>
      <c r="T222" s="31">
        <f>VLOOKUP($B222,'Tillförd energi'!$B$1:$AI$720,MATCH(T$1,'Tillförd energi'!$B$1:$AQ$1,0),FALSE)</f>
        <v>0</v>
      </c>
      <c r="U222" s="31">
        <f>VLOOKUP($B222,'Tillförd energi'!$B$1:$AI$720,MATCH(U$1,'Tillförd energi'!$B$1:$AQ$1,0),FALSE)</f>
        <v>0</v>
      </c>
      <c r="V222" s="31">
        <f>VLOOKUP($B222,'Tillförd energi'!$B$1:$AI$720,MATCH(V$1,'Tillförd energi'!$B$1:$AQ$1,0),FALSE)</f>
        <v>0</v>
      </c>
      <c r="W222" s="31">
        <f>VLOOKUP($B222,'Tillförd energi'!$B$1:$AI$720,MATCH(W$1,'Tillförd energi'!$B$1:$AQ$1,0),FALSE)</f>
        <v>0</v>
      </c>
      <c r="X222" s="31">
        <f>VLOOKUP($B222,'Tillförd energi'!$B$1:$AI$720,MATCH(X$1,'Tillförd energi'!$B$1:$AQ$1,0),FALSE)</f>
        <v>0</v>
      </c>
      <c r="Y222" s="31">
        <f>VLOOKUP($B222,'Tillförd energi'!$B$1:$AI$720,MATCH(Y$1,'Tillförd energi'!$B$1:$AQ$1,0),FALSE)</f>
        <v>0</v>
      </c>
      <c r="Z222" s="31">
        <f>VLOOKUP($B222,'Tillförd energi'!$B$1:$AI$720,MATCH(Z$1,'Tillförd energi'!$B$1:$AQ$1,0),FALSE)</f>
        <v>0</v>
      </c>
      <c r="AA222" s="31">
        <f>VLOOKUP($B222,'Tillförd energi'!$B$1:$AI$720,MATCH(AA$1,'Tillförd energi'!$B$1:$AQ$1,0),FALSE)</f>
        <v>0</v>
      </c>
      <c r="AB222" s="31">
        <f>VLOOKUP($B222,'Tillförd energi'!$B$1:$AI$720,MATCH(AB$1,'Tillförd energi'!$B$1:$AQ$1,0),FALSE)</f>
        <v>0</v>
      </c>
      <c r="AC222" s="31">
        <f>VLOOKUP($B222,'Tillförd energi'!$B$1:$AI$720,MATCH(AC$1,'Tillförd energi'!$B$1:$AQ$1,0),FALSE)</f>
        <v>0</v>
      </c>
      <c r="AD222" s="31">
        <f>VLOOKUP($B222,'Tillförd energi'!$B$1:$AI$720,MATCH(AD$1,'Tillförd energi'!$B$1:$AQ$1,0),FALSE)</f>
        <v>0</v>
      </c>
      <c r="AE222" s="31">
        <f>VLOOKUP($B222,'Tillförd energi'!$B$1:$AI$720,MATCH(AE$1,'Tillförd energi'!$B$1:$AQ$1,0),FALSE)</f>
        <v>0</v>
      </c>
      <c r="AF222" s="31">
        <f>VLOOKUP($B222,'Tillförd energi'!$B$1:$AI$720,MATCH(AF$1,'Tillförd energi'!$B$1:$AQ$1,0),FALSE)</f>
        <v>0</v>
      </c>
      <c r="AG222" s="31">
        <f>IFERROR(VLOOKUP(B222,Miljö!$B$1:$AC$550,MATCH("Köpt mängd produktionsspecifik fjärrvärme:",Miljö!$B$1:$AC$1,0),FALSE)/1,0)</f>
        <v>0</v>
      </c>
      <c r="AI222" s="31">
        <f t="shared" si="69"/>
        <v>0</v>
      </c>
      <c r="AJ222" s="31">
        <f t="shared" si="70"/>
        <v>0</v>
      </c>
      <c r="AK222" s="31" t="str">
        <f>IF(ISERROR(1/VLOOKUP($B222,Leveranser!$B$1:$S$499,MATCH("Såld värme (GWh)",Leveranser!$B$1:$S$1,0),FALSE)),"",VLOOKUP($B222,Leveranser!$B$1:$S$499,MATCH("Såld värme (GWh)",Leveranser!$B$1:$S$1,0),FALSE))</f>
        <v/>
      </c>
      <c r="AL222" s="31">
        <f>VLOOKUP($B222,Leveranser!$B$1:$Y$499,MATCH("Totalt såld fjärrvärme till andra fjärrvärmeföretag",Leveranser!$B$1:$AA$1,0),FALSE)</f>
        <v>0</v>
      </c>
      <c r="AM222" s="31">
        <f>IF(ISERROR(1/VLOOKUP($B222,Miljö!$B$1:$S$500,MATCH("Såld mängd produktionsspecifik fjärrvärme (GWh)",Miljö!$B$1:$R$1,0),FALSE)),0,VLOOKUP($B222,Miljö!$B$1:$S$500,MATCH("Såld mängd produktionsspecifik fjärrvärme (GWh)",Miljö!$B$1:$R$1,0),FALSE))</f>
        <v>0</v>
      </c>
      <c r="AN222" s="32" t="str">
        <f t="shared" si="71"/>
        <v/>
      </c>
      <c r="AP222" s="31" t="str">
        <f>IFERROR(VLOOKUP($B222,Miljövärden!$B$2:$H$550,7,FALSE),"Nej, saknas")</f>
        <v>Nej</v>
      </c>
      <c r="AQ222" s="31" t="str">
        <f>IFERROR(VLOOKUP($B222,Miljövärden!$B$2:$H$551,6,FALSE),"Nej, saknas")</f>
        <v>Nej</v>
      </c>
      <c r="AU222" s="31">
        <f t="shared" si="72"/>
        <v>0</v>
      </c>
      <c r="AV222" s="31">
        <f t="shared" si="73"/>
        <v>0</v>
      </c>
      <c r="AW222" s="31">
        <f t="shared" si="74"/>
        <v>0</v>
      </c>
      <c r="AX222" s="31">
        <f t="shared" si="75"/>
        <v>0</v>
      </c>
      <c r="AZ222" s="31">
        <f t="shared" si="76"/>
        <v>0</v>
      </c>
      <c r="BC222" s="31">
        <f t="shared" si="77"/>
        <v>0</v>
      </c>
      <c r="BD222" s="31">
        <f t="shared" si="78"/>
        <v>0</v>
      </c>
      <c r="BE222" s="31">
        <f t="shared" si="79"/>
        <v>0</v>
      </c>
      <c r="BF222" s="31">
        <f t="shared" si="80"/>
        <v>0</v>
      </c>
      <c r="BG222" s="31">
        <f t="shared" si="81"/>
        <v>0</v>
      </c>
      <c r="BH222" s="31" t="str">
        <f>VLOOKUP(B222,Miljö!$B$1:$BX$482,MATCH("Fossilandel för ursprungspecificerad el ()",Miljö!$B$1:$I$1,0),FALSE)</f>
        <v>-</v>
      </c>
      <c r="BI222" s="31" t="str">
        <f>VLOOKUP(B222,Miljö!$B$1:$BX$482,MATCH("Kärnkraftsandel för ursprungsspecificerad el ()",Miljö!$B$1:$O$1,0),FALSE)</f>
        <v>-</v>
      </c>
      <c r="BJ222" s="31">
        <f t="shared" si="82"/>
        <v>0</v>
      </c>
      <c r="BK222" s="31" t="str">
        <f>VLOOKUP(B222,Miljö!$B$1:$P$482,MATCH("Fossil andel i procent (%)",Miljö!$B$1:$P$1,0),FALSE)</f>
        <v>-</v>
      </c>
      <c r="BL222" s="31">
        <f t="shared" si="83"/>
        <v>0</v>
      </c>
      <c r="BO222" s="32" t="str">
        <f t="shared" si="84"/>
        <v/>
      </c>
      <c r="BP222" s="32" t="str">
        <f t="shared" si="85"/>
        <v/>
      </c>
      <c r="BQ222" s="32" t="str">
        <f t="shared" si="86"/>
        <v/>
      </c>
      <c r="BR222" s="32" t="str">
        <f t="shared" si="87"/>
        <v/>
      </c>
      <c r="BT222" s="62">
        <f t="shared" si="88"/>
        <v>0</v>
      </c>
      <c r="BW222" s="32" t="str">
        <f>IF(AP222="Ja",VLOOKUP(B222,Miljövärden!$B$2:$H$551,MATCH("Total andel fossilt",Miljövärden!$B$2:$H$2,0),FALSE),"")</f>
        <v/>
      </c>
      <c r="BX222" s="62" t="e">
        <f t="shared" si="89"/>
        <v>#VALUE!</v>
      </c>
      <c r="BZ222" s="31" t="str">
        <f t="shared" si="90"/>
        <v/>
      </c>
      <c r="CA222" s="32" t="str">
        <f t="shared" si="91"/>
        <v/>
      </c>
    </row>
    <row r="223" spans="1:79" x14ac:dyDescent="0.45">
      <c r="A223" s="31" t="s">
        <v>391</v>
      </c>
      <c r="B223" s="31" t="s">
        <v>390</v>
      </c>
      <c r="C223" s="31">
        <f>VLOOKUP($B223,'Tillförd energi'!$B$1:$AI$720,MATCH(C$1,'Tillförd energi'!$B$1:$AQ$1,0),FALSE)</f>
        <v>0</v>
      </c>
      <c r="D223" s="31">
        <f>VLOOKUP($B223,'Tillförd energi'!$B$1:$AI$720,MATCH(D$1,'Tillförd energi'!$B$1:$AQ$1,0),FALSE)</f>
        <v>0.5</v>
      </c>
      <c r="E223" s="31">
        <f>VLOOKUP($B223,'Tillförd energi'!$B$1:$AI$720,MATCH(E$1,'Tillförd energi'!$B$1:$AQ$1,0),FALSE)</f>
        <v>0</v>
      </c>
      <c r="F223" s="31">
        <f>VLOOKUP($B223,'Tillförd energi'!$B$1:$AI$720,MATCH(F$1,'Tillförd energi'!$B$1:$AQ$1,0),FALSE)</f>
        <v>0</v>
      </c>
      <c r="G223" s="31">
        <f>VLOOKUP($B223,'Tillförd energi'!$B$1:$AI$720,MATCH(G$1,'Tillförd energi'!$B$1:$AQ$1,0),FALSE)</f>
        <v>0</v>
      </c>
      <c r="H223" s="31">
        <f>VLOOKUP($B223,'Tillförd energi'!$B$1:$AI$720,MATCH(H$1,'Tillförd energi'!$B$1:$AQ$1,0),FALSE)</f>
        <v>0</v>
      </c>
      <c r="I223" s="31">
        <f>VLOOKUP($B223,'Tillförd energi'!$B$1:$AI$720,MATCH(I$1,'Tillförd energi'!$B$1:$AQ$1,0),FALSE)</f>
        <v>0</v>
      </c>
      <c r="J223" s="31">
        <f>VLOOKUP($B223,'Tillförd energi'!$B$1:$AI$720,MATCH(J$1,'Tillförd energi'!$B$1:$AQ$1,0),FALSE)</f>
        <v>0</v>
      </c>
      <c r="K223" s="31">
        <f>VLOOKUP($B223,'Tillförd energi'!$B$1:$AI$720,MATCH(K$1,'Tillförd energi'!$B$1:$AQ$1,0),FALSE)</f>
        <v>0</v>
      </c>
      <c r="L223" s="31">
        <f>VLOOKUP($B223,'Tillförd energi'!$B$1:$AI$720,MATCH(L$1,'Tillförd energi'!$B$1:$AQ$1,0),FALSE)</f>
        <v>0</v>
      </c>
      <c r="M223" s="31">
        <f>VLOOKUP($B223,'Tillförd energi'!$B$1:$AI$720,MATCH(M$1,'Tillförd energi'!$B$1:$AQ$1,0),FALSE)</f>
        <v>49.055</v>
      </c>
      <c r="N223" s="31">
        <f>VLOOKUP($B223,'Tillförd energi'!$B$1:$AI$720,MATCH(N$1,'Tillförd energi'!$B$1:$AQ$1,0),FALSE)</f>
        <v>35.239199999999997</v>
      </c>
      <c r="O223" s="31">
        <f>VLOOKUP($B223,'Tillförd energi'!$B$1:$AI$720,MATCH(O$1,'Tillförd energi'!$B$1:$AQ$1,0),FALSE)</f>
        <v>11.5288</v>
      </c>
      <c r="P223" s="31">
        <f>VLOOKUP($B223,'Tillförd energi'!$B$1:$AI$720,MATCH(P$1,'Tillförd energi'!$B$1:$AQ$1,0),FALSE)</f>
        <v>29.0275</v>
      </c>
      <c r="Q223" s="31">
        <f>VLOOKUP($B223,'Tillförd energi'!$B$1:$AI$720,MATCH(Q$1,'Tillförd energi'!$B$1:$AQ$1,0),FALSE)</f>
        <v>0</v>
      </c>
      <c r="R223" s="31">
        <f>VLOOKUP($B223,'Tillförd energi'!$B$1:$AI$720,MATCH(R$1,'Tillförd energi'!$B$1:$AQ$1,0),FALSE)</f>
        <v>6.7</v>
      </c>
      <c r="S223" s="31">
        <f>VLOOKUP($B223,'Tillförd energi'!$B$1:$AI$720,MATCH(S$1,'Tillförd energi'!$B$1:$AQ$1,0),FALSE)</f>
        <v>0</v>
      </c>
      <c r="T223" s="31">
        <f>VLOOKUP($B223,'Tillförd energi'!$B$1:$AI$720,MATCH(T$1,'Tillförd energi'!$B$1:$AQ$1,0),FALSE)</f>
        <v>0</v>
      </c>
      <c r="U223" s="31">
        <f>VLOOKUP($B223,'Tillförd energi'!$B$1:$AI$720,MATCH(U$1,'Tillförd energi'!$B$1:$AQ$1,0),FALSE)</f>
        <v>0</v>
      </c>
      <c r="V223" s="31">
        <f>VLOOKUP($B223,'Tillförd energi'!$B$1:$AI$720,MATCH(V$1,'Tillförd energi'!$B$1:$AQ$1,0),FALSE)</f>
        <v>0</v>
      </c>
      <c r="W223" s="31">
        <f>VLOOKUP($B223,'Tillförd energi'!$B$1:$AI$720,MATCH(W$1,'Tillförd energi'!$B$1:$AQ$1,0),FALSE)</f>
        <v>2.2999999999999998</v>
      </c>
      <c r="X223" s="31">
        <f>VLOOKUP($B223,'Tillförd energi'!$B$1:$AI$720,MATCH(X$1,'Tillförd energi'!$B$1:$AQ$1,0),FALSE)</f>
        <v>0</v>
      </c>
      <c r="Y223" s="31">
        <f>VLOOKUP($B223,'Tillförd energi'!$B$1:$AI$720,MATCH(Y$1,'Tillförd energi'!$B$1:$AQ$1,0),FALSE)</f>
        <v>0</v>
      </c>
      <c r="Z223" s="31">
        <f>VLOOKUP($B223,'Tillförd energi'!$B$1:$AI$720,MATCH(Z$1,'Tillförd energi'!$B$1:$AQ$1,0),FALSE)</f>
        <v>0</v>
      </c>
      <c r="AA223" s="31">
        <f>VLOOKUP($B223,'Tillförd energi'!$B$1:$AI$720,MATCH(AA$1,'Tillförd energi'!$B$1:$AQ$1,0),FALSE)</f>
        <v>0</v>
      </c>
      <c r="AB223" s="31">
        <f>VLOOKUP($B223,'Tillförd energi'!$B$1:$AI$720,MATCH(AB$1,'Tillförd energi'!$B$1:$AQ$1,0),FALSE)</f>
        <v>0</v>
      </c>
      <c r="AC223" s="31">
        <f>VLOOKUP($B223,'Tillförd energi'!$B$1:$AI$720,MATCH(AC$1,'Tillförd energi'!$B$1:$AQ$1,0),FALSE)</f>
        <v>32</v>
      </c>
      <c r="AD223" s="31">
        <f>VLOOKUP($B223,'Tillförd energi'!$B$1:$AI$720,MATCH(AD$1,'Tillförd energi'!$B$1:$AQ$1,0),FALSE)</f>
        <v>0.4</v>
      </c>
      <c r="AE223" s="31">
        <f>VLOOKUP($B223,'Tillförd energi'!$B$1:$AI$720,MATCH(AE$1,'Tillförd energi'!$B$1:$AQ$1,0),FALSE)</f>
        <v>0</v>
      </c>
      <c r="AF223" s="31">
        <f>VLOOKUP($B223,'Tillförd energi'!$B$1:$AI$720,MATCH(AF$1,'Tillförd energi'!$B$1:$AQ$1,0),FALSE)</f>
        <v>3.3291300000000001</v>
      </c>
      <c r="AG223" s="31">
        <f>IFERROR(VLOOKUP(B223,Miljö!$B$1:$AC$550,MATCH("Köpt mängd produktionsspecifik fjärrvärme:",Miljö!$B$1:$AC$1,0),FALSE)/1,0)</f>
        <v>0</v>
      </c>
      <c r="AI223" s="31">
        <f t="shared" si="69"/>
        <v>170.07963000000001</v>
      </c>
      <c r="AJ223" s="31">
        <f t="shared" si="70"/>
        <v>170.07963000000001</v>
      </c>
      <c r="AK223" s="31">
        <f>IF(ISERROR(1/VLOOKUP($B223,Leveranser!$B$1:$S$499,MATCH("Såld värme (GWh)",Leveranser!$B$1:$S$1,0),FALSE)),"",VLOOKUP($B223,Leveranser!$B$1:$S$499,MATCH("Såld värme (GWh)",Leveranser!$B$1:$S$1,0),FALSE))</f>
        <v>146.30000000000001</v>
      </c>
      <c r="AL223" s="31">
        <f>VLOOKUP($B223,Leveranser!$B$1:$Y$499,MATCH("Totalt såld fjärrvärme till andra fjärrvärmeföretag",Leveranser!$B$1:$AA$1,0),FALSE)</f>
        <v>0</v>
      </c>
      <c r="AM223" s="31">
        <f>IF(ISERROR(1/VLOOKUP($B223,Miljö!$B$1:$S$500,MATCH("Såld mängd produktionsspecifik fjärrvärme (GWh)",Miljö!$B$1:$R$1,0),FALSE)),0,VLOOKUP($B223,Miljö!$B$1:$S$500,MATCH("Såld mängd produktionsspecifik fjärrvärme (GWh)",Miljö!$B$1:$R$1,0),FALSE))</f>
        <v>0</v>
      </c>
      <c r="AN223" s="32">
        <f t="shared" si="71"/>
        <v>0.86018531437303813</v>
      </c>
      <c r="AP223" s="31" t="str">
        <f>IFERROR(VLOOKUP($B223,Miljövärden!$B$2:$H$550,7,FALSE),"Nej, saknas")</f>
        <v>Ja</v>
      </c>
      <c r="AQ223" s="31" t="str">
        <f>IFERROR(VLOOKUP($B223,Miljövärden!$B$2:$H$551,6,FALSE),"Nej, saknas")</f>
        <v>Ja</v>
      </c>
      <c r="AU223" s="31">
        <f t="shared" si="72"/>
        <v>3.3291300000000001</v>
      </c>
      <c r="AV223" s="31">
        <f t="shared" si="73"/>
        <v>0</v>
      </c>
      <c r="AW223" s="31">
        <f t="shared" si="74"/>
        <v>124.8505</v>
      </c>
      <c r="AX223" s="31">
        <f t="shared" si="75"/>
        <v>6.7</v>
      </c>
      <c r="AZ223" s="31">
        <f t="shared" si="76"/>
        <v>133.85050000000001</v>
      </c>
      <c r="BC223" s="31">
        <f t="shared" si="77"/>
        <v>0.5</v>
      </c>
      <c r="BD223" s="31">
        <f t="shared" si="78"/>
        <v>0</v>
      </c>
      <c r="BE223" s="31">
        <f t="shared" si="79"/>
        <v>133.85050000000001</v>
      </c>
      <c r="BF223" s="31">
        <f t="shared" si="80"/>
        <v>32.4</v>
      </c>
      <c r="BG223" s="31">
        <f t="shared" si="81"/>
        <v>3.3291300000000001</v>
      </c>
      <c r="BH223" s="31">
        <f>VLOOKUP(B223,Miljö!$B$1:$BX$482,MATCH("Fossilandel för ursprungspecificerad el ()",Miljö!$B$1:$I$1,0),FALSE)</f>
        <v>0</v>
      </c>
      <c r="BI223" s="31">
        <f>VLOOKUP(B223,Miljö!$B$1:$BX$482,MATCH("Kärnkraftsandel för ursprungsspecificerad el ()",Miljö!$B$1:$O$1,0),FALSE)</f>
        <v>0.5</v>
      </c>
      <c r="BJ223" s="31">
        <f t="shared" si="82"/>
        <v>0</v>
      </c>
      <c r="BK223" s="31" t="str">
        <f>VLOOKUP(B223,Miljö!$B$1:$P$482,MATCH("Fossil andel i procent (%)",Miljö!$B$1:$P$1,0),FALSE)</f>
        <v>ET</v>
      </c>
      <c r="BL223" s="31">
        <f t="shared" si="83"/>
        <v>170.07963000000001</v>
      </c>
      <c r="BO223" s="32">
        <f t="shared" si="84"/>
        <v>2.9397994339474985E-3</v>
      </c>
      <c r="BP223" s="32">
        <f t="shared" si="85"/>
        <v>9.7869744895376365E-3</v>
      </c>
      <c r="BQ223" s="32">
        <f t="shared" si="86"/>
        <v>0.79677422275671705</v>
      </c>
      <c r="BR223" s="32">
        <f t="shared" si="87"/>
        <v>0.19049900331979788</v>
      </c>
      <c r="BT223" s="62">
        <f t="shared" si="88"/>
        <v>1</v>
      </c>
      <c r="BW223" s="32">
        <f>IF(AP223="Ja",VLOOKUP(B223,Miljövärden!$B$2:$H$551,MATCH("Total andel fossilt",Miljövärden!$B$2:$H$2,0),FALSE),"")</f>
        <v>2.9397899999999999E-3</v>
      </c>
      <c r="BX223" s="62">
        <f t="shared" si="89"/>
        <v>-9.4339474986278316E-9</v>
      </c>
      <c r="BZ223" s="31">
        <f t="shared" si="90"/>
        <v>-9.4339474986278316E-9</v>
      </c>
      <c r="CA223" s="32">
        <f t="shared" si="91"/>
        <v>0</v>
      </c>
    </row>
    <row r="224" spans="1:79" x14ac:dyDescent="0.45">
      <c r="A224" s="31" t="s">
        <v>389</v>
      </c>
      <c r="B224" s="31" t="s">
        <v>388</v>
      </c>
      <c r="C224" s="31">
        <f>VLOOKUP($B224,'Tillförd energi'!$B$1:$AI$720,MATCH(C$1,'Tillförd energi'!$B$1:$AQ$1,0),FALSE)</f>
        <v>0</v>
      </c>
      <c r="D224" s="31">
        <f>VLOOKUP($B224,'Tillförd energi'!$B$1:$AI$720,MATCH(D$1,'Tillförd energi'!$B$1:$AQ$1,0),FALSE)</f>
        <v>1.55E-2</v>
      </c>
      <c r="E224" s="31">
        <f>VLOOKUP($B224,'Tillförd energi'!$B$1:$AI$720,MATCH(E$1,'Tillförd energi'!$B$1:$AQ$1,0),FALSE)</f>
        <v>0</v>
      </c>
      <c r="F224" s="31">
        <f>VLOOKUP($B224,'Tillförd energi'!$B$1:$AI$720,MATCH(F$1,'Tillförd energi'!$B$1:$AQ$1,0),FALSE)</f>
        <v>0</v>
      </c>
      <c r="G224" s="31">
        <f>VLOOKUP($B224,'Tillförd energi'!$B$1:$AI$720,MATCH(G$1,'Tillförd energi'!$B$1:$AQ$1,0),FALSE)</f>
        <v>0</v>
      </c>
      <c r="H224" s="31">
        <f>VLOOKUP($B224,'Tillförd energi'!$B$1:$AI$720,MATCH(H$1,'Tillförd energi'!$B$1:$AQ$1,0),FALSE)</f>
        <v>0</v>
      </c>
      <c r="I224" s="31">
        <f>VLOOKUP($B224,'Tillförd energi'!$B$1:$AI$720,MATCH(I$1,'Tillförd energi'!$B$1:$AQ$1,0),FALSE)</f>
        <v>0</v>
      </c>
      <c r="J224" s="31">
        <f>VLOOKUP($B224,'Tillförd energi'!$B$1:$AI$720,MATCH(J$1,'Tillförd energi'!$B$1:$AQ$1,0),FALSE)</f>
        <v>0</v>
      </c>
      <c r="K224" s="31">
        <f>VLOOKUP($B224,'Tillförd energi'!$B$1:$AI$720,MATCH(K$1,'Tillförd energi'!$B$1:$AQ$1,0),FALSE)</f>
        <v>0</v>
      </c>
      <c r="L224" s="31">
        <f>VLOOKUP($B224,'Tillförd energi'!$B$1:$AI$720,MATCH(L$1,'Tillförd energi'!$B$1:$AQ$1,0),FALSE)</f>
        <v>0</v>
      </c>
      <c r="M224" s="31">
        <f>VLOOKUP($B224,'Tillförd energi'!$B$1:$AI$720,MATCH(M$1,'Tillförd energi'!$B$1:$AQ$1,0),FALSE)</f>
        <v>0</v>
      </c>
      <c r="N224" s="31">
        <f>VLOOKUP($B224,'Tillförd energi'!$B$1:$AI$720,MATCH(N$1,'Tillförd energi'!$B$1:$AQ$1,0),FALSE)</f>
        <v>0</v>
      </c>
      <c r="O224" s="31">
        <f>VLOOKUP($B224,'Tillförd energi'!$B$1:$AI$720,MATCH(O$1,'Tillförd energi'!$B$1:$AQ$1,0),FALSE)</f>
        <v>0</v>
      </c>
      <c r="P224" s="31">
        <f>VLOOKUP($B224,'Tillförd energi'!$B$1:$AI$720,MATCH(P$1,'Tillförd energi'!$B$1:$AQ$1,0),FALSE)</f>
        <v>0</v>
      </c>
      <c r="Q224" s="31">
        <f>VLOOKUP($B224,'Tillförd energi'!$B$1:$AI$720,MATCH(Q$1,'Tillförd energi'!$B$1:$AQ$1,0),FALSE)</f>
        <v>0</v>
      </c>
      <c r="R224" s="31">
        <f>VLOOKUP($B224,'Tillförd energi'!$B$1:$AI$720,MATCH(R$1,'Tillförd energi'!$B$1:$AQ$1,0),FALSE)</f>
        <v>0</v>
      </c>
      <c r="S224" s="31">
        <f>VLOOKUP($B224,'Tillförd energi'!$B$1:$AI$720,MATCH(S$1,'Tillförd energi'!$B$1:$AQ$1,0),FALSE)</f>
        <v>0</v>
      </c>
      <c r="T224" s="31">
        <f>VLOOKUP($B224,'Tillförd energi'!$B$1:$AI$720,MATCH(T$1,'Tillförd energi'!$B$1:$AQ$1,0),FALSE)</f>
        <v>0</v>
      </c>
      <c r="U224" s="31">
        <f>VLOOKUP($B224,'Tillförd energi'!$B$1:$AI$720,MATCH(U$1,'Tillförd energi'!$B$1:$AQ$1,0),FALSE)</f>
        <v>0</v>
      </c>
      <c r="V224" s="31">
        <f>VLOOKUP($B224,'Tillförd energi'!$B$1:$AI$720,MATCH(V$1,'Tillförd energi'!$B$1:$AQ$1,0),FALSE)</f>
        <v>0</v>
      </c>
      <c r="W224" s="31">
        <f>VLOOKUP($B224,'Tillförd energi'!$B$1:$AI$720,MATCH(W$1,'Tillförd energi'!$B$1:$AQ$1,0),FALSE)</f>
        <v>0</v>
      </c>
      <c r="X224" s="31">
        <f>VLOOKUP($B224,'Tillförd energi'!$B$1:$AI$720,MATCH(X$1,'Tillförd energi'!$B$1:$AQ$1,0),FALSE)</f>
        <v>0</v>
      </c>
      <c r="Y224" s="31">
        <f>VLOOKUP($B224,'Tillförd energi'!$B$1:$AI$720,MATCH(Y$1,'Tillförd energi'!$B$1:$AQ$1,0),FALSE)</f>
        <v>0</v>
      </c>
      <c r="Z224" s="31">
        <f>VLOOKUP($B224,'Tillförd energi'!$B$1:$AI$720,MATCH(Z$1,'Tillförd energi'!$B$1:$AQ$1,0),FALSE)</f>
        <v>0</v>
      </c>
      <c r="AA224" s="31">
        <f>VLOOKUP($B224,'Tillförd energi'!$B$1:$AI$720,MATCH(AA$1,'Tillförd energi'!$B$1:$AQ$1,0),FALSE)</f>
        <v>0</v>
      </c>
      <c r="AB224" s="31">
        <f>VLOOKUP($B224,'Tillförd energi'!$B$1:$AI$720,MATCH(AB$1,'Tillförd energi'!$B$1:$AQ$1,0),FALSE)</f>
        <v>0</v>
      </c>
      <c r="AC224" s="31">
        <f>VLOOKUP($B224,'Tillförd energi'!$B$1:$AI$720,MATCH(AC$1,'Tillförd energi'!$B$1:$AQ$1,0),FALSE)</f>
        <v>0</v>
      </c>
      <c r="AD224" s="31">
        <f>VLOOKUP($B224,'Tillförd energi'!$B$1:$AI$720,MATCH(AD$1,'Tillförd energi'!$B$1:$AQ$1,0),FALSE)</f>
        <v>96.8</v>
      </c>
      <c r="AE224" s="31">
        <f>VLOOKUP($B224,'Tillförd energi'!$B$1:$AI$720,MATCH(AE$1,'Tillförd energi'!$B$1:$AQ$1,0),FALSE)</f>
        <v>0</v>
      </c>
      <c r="AF224" s="31">
        <f>VLOOKUP($B224,'Tillförd energi'!$B$1:$AI$720,MATCH(AF$1,'Tillförd energi'!$B$1:$AQ$1,0),FALSE)</f>
        <v>2.4209999999999998</v>
      </c>
      <c r="AG224" s="31">
        <f>IFERROR(VLOOKUP(B224,Miljö!$B$1:$AC$550,MATCH("Köpt mängd produktionsspecifik fjärrvärme:",Miljö!$B$1:$AC$1,0),FALSE)/1,0)</f>
        <v>0</v>
      </c>
      <c r="AI224" s="31">
        <f t="shared" si="69"/>
        <v>99.236500000000007</v>
      </c>
      <c r="AJ224" s="31">
        <f t="shared" si="70"/>
        <v>99.236500000000007</v>
      </c>
      <c r="AK224" s="31">
        <f>IF(ISERROR(1/VLOOKUP($B224,Leveranser!$B$1:$S$499,MATCH("Såld värme (GWh)",Leveranser!$B$1:$S$1,0),FALSE)),"",VLOOKUP($B224,Leveranser!$B$1:$S$499,MATCH("Såld värme (GWh)",Leveranser!$B$1:$S$1,0),FALSE))</f>
        <v>80.7</v>
      </c>
      <c r="AL224" s="31">
        <f>VLOOKUP($B224,Leveranser!$B$1:$Y$499,MATCH("Totalt såld fjärrvärme till andra fjärrvärmeföretag",Leveranser!$B$1:$AA$1,0),FALSE)</f>
        <v>0</v>
      </c>
      <c r="AM224" s="31">
        <f>IF(ISERROR(1/VLOOKUP($B224,Miljö!$B$1:$S$500,MATCH("Såld mängd produktionsspecifik fjärrvärme (GWh)",Miljö!$B$1:$R$1,0),FALSE)),0,VLOOKUP($B224,Miljö!$B$1:$S$500,MATCH("Såld mängd produktionsspecifik fjärrvärme (GWh)",Miljö!$B$1:$R$1,0),FALSE))</f>
        <v>0</v>
      </c>
      <c r="AN224" s="32">
        <f t="shared" si="71"/>
        <v>0.8132088495664398</v>
      </c>
      <c r="AP224" s="31" t="str">
        <f>IFERROR(VLOOKUP($B224,Miljövärden!$B$2:$H$550,7,FALSE),"Nej, saknas")</f>
        <v>Ja</v>
      </c>
      <c r="AQ224" s="31" t="str">
        <f>IFERROR(VLOOKUP($B224,Miljövärden!$B$2:$H$551,6,FALSE),"Nej, saknas")</f>
        <v>Nej</v>
      </c>
      <c r="AU224" s="31">
        <f t="shared" si="72"/>
        <v>2.4209999999999998</v>
      </c>
      <c r="AV224" s="31">
        <f t="shared" si="73"/>
        <v>0</v>
      </c>
      <c r="AW224" s="31">
        <f t="shared" si="74"/>
        <v>0</v>
      </c>
      <c r="AX224" s="31">
        <f t="shared" si="75"/>
        <v>0</v>
      </c>
      <c r="AZ224" s="31">
        <f t="shared" si="76"/>
        <v>0</v>
      </c>
      <c r="BC224" s="31">
        <f t="shared" si="77"/>
        <v>1.55E-2</v>
      </c>
      <c r="BD224" s="31">
        <f t="shared" si="78"/>
        <v>0</v>
      </c>
      <c r="BE224" s="31">
        <f t="shared" si="79"/>
        <v>0</v>
      </c>
      <c r="BF224" s="31">
        <f t="shared" si="80"/>
        <v>96.8</v>
      </c>
      <c r="BG224" s="31">
        <f t="shared" si="81"/>
        <v>2.4209999999999998</v>
      </c>
      <c r="BH224" s="31">
        <f>VLOOKUP(B224,Miljö!$B$1:$BX$482,MATCH("Fossilandel för ursprungspecificerad el ()",Miljö!$B$1:$I$1,0),FALSE)</f>
        <v>0.35</v>
      </c>
      <c r="BI224" s="31">
        <f>VLOOKUP(B224,Miljö!$B$1:$BX$482,MATCH("Kärnkraftsandel för ursprungsspecificerad el ()",Miljö!$B$1:$O$1,0),FALSE)</f>
        <v>0.3977</v>
      </c>
      <c r="BJ224" s="31">
        <f t="shared" si="82"/>
        <v>0</v>
      </c>
      <c r="BK224" s="31" t="str">
        <f>VLOOKUP(B224,Miljö!$B$1:$P$482,MATCH("Fossil andel i procent (%)",Miljö!$B$1:$P$1,0),FALSE)</f>
        <v>ET</v>
      </c>
      <c r="BL224" s="31">
        <f t="shared" si="83"/>
        <v>99.236500000000007</v>
      </c>
      <c r="BO224" s="32">
        <f t="shared" si="84"/>
        <v>8.6948854504139087E-3</v>
      </c>
      <c r="BP224" s="32">
        <f t="shared" si="85"/>
        <v>9.7023947841771915E-3</v>
      </c>
      <c r="BQ224" s="32">
        <f t="shared" si="86"/>
        <v>6.1551777823683823E-3</v>
      </c>
      <c r="BR224" s="32">
        <f t="shared" si="87"/>
        <v>0.9754475419830404</v>
      </c>
      <c r="BT224" s="62">
        <f t="shared" si="88"/>
        <v>0.99999999999999989</v>
      </c>
      <c r="BW224" s="32">
        <f>IF(AP224="Ja",VLOOKUP(B224,Miljövärden!$B$2:$H$551,MATCH("Total andel fossilt",Miljövärden!$B$2:$H$2,0),FALSE),"")</f>
        <v>8.6948900000000003E-3</v>
      </c>
      <c r="BX224" s="62">
        <f t="shared" si="89"/>
        <v>4.5495860915428787E-9</v>
      </c>
      <c r="BZ224" s="31">
        <f t="shared" si="90"/>
        <v>4.5495860915428787E-9</v>
      </c>
      <c r="CA224" s="32">
        <f t="shared" si="91"/>
        <v>0</v>
      </c>
    </row>
    <row r="225" spans="1:79" x14ac:dyDescent="0.45">
      <c r="A225" s="31" t="s">
        <v>387</v>
      </c>
      <c r="B225" s="31" t="s">
        <v>114</v>
      </c>
      <c r="C225" s="31">
        <f>VLOOKUP($B225,'Tillförd energi'!$B$1:$AI$720,MATCH(C$1,'Tillförd energi'!$B$1:$AQ$1,0),FALSE)</f>
        <v>0</v>
      </c>
      <c r="D225" s="31">
        <f>VLOOKUP($B225,'Tillförd energi'!$B$1:$AI$720,MATCH(D$1,'Tillförd energi'!$B$1:$AQ$1,0),FALSE)</f>
        <v>1.1499999999999999</v>
      </c>
      <c r="E225" s="31">
        <f>VLOOKUP($B225,'Tillförd energi'!$B$1:$AI$720,MATCH(E$1,'Tillförd energi'!$B$1:$AQ$1,0),FALSE)</f>
        <v>0</v>
      </c>
      <c r="F225" s="31">
        <f>VLOOKUP($B225,'Tillförd energi'!$B$1:$AI$720,MATCH(F$1,'Tillförd energi'!$B$1:$AQ$1,0),FALSE)</f>
        <v>0</v>
      </c>
      <c r="G225" s="31">
        <f>VLOOKUP($B225,'Tillförd energi'!$B$1:$AI$720,MATCH(G$1,'Tillförd energi'!$B$1:$AQ$1,0),FALSE)</f>
        <v>0</v>
      </c>
      <c r="H225" s="31">
        <f>VLOOKUP($B225,'Tillförd energi'!$B$1:$AI$720,MATCH(H$1,'Tillförd energi'!$B$1:$AQ$1,0),FALSE)</f>
        <v>0</v>
      </c>
      <c r="I225" s="31">
        <f>VLOOKUP($B225,'Tillförd energi'!$B$1:$AI$720,MATCH(I$1,'Tillförd energi'!$B$1:$AQ$1,0),FALSE)</f>
        <v>0</v>
      </c>
      <c r="J225" s="31">
        <f>VLOOKUP($B225,'Tillförd energi'!$B$1:$AI$720,MATCH(J$1,'Tillförd energi'!$B$1:$AQ$1,0),FALSE)</f>
        <v>0</v>
      </c>
      <c r="K225" s="31">
        <f>VLOOKUP($B225,'Tillförd energi'!$B$1:$AI$720,MATCH(K$1,'Tillförd energi'!$B$1:$AQ$1,0),FALSE)</f>
        <v>0</v>
      </c>
      <c r="L225" s="31">
        <f>VLOOKUP($B225,'Tillförd energi'!$B$1:$AI$720,MATCH(L$1,'Tillförd energi'!$B$1:$AQ$1,0),FALSE)</f>
        <v>0</v>
      </c>
      <c r="M225" s="31">
        <f>VLOOKUP($B225,'Tillförd energi'!$B$1:$AI$720,MATCH(M$1,'Tillförd energi'!$B$1:$AQ$1,0),FALSE)</f>
        <v>13.6</v>
      </c>
      <c r="N225" s="31">
        <f>VLOOKUP($B225,'Tillförd energi'!$B$1:$AI$720,MATCH(N$1,'Tillförd energi'!$B$1:$AQ$1,0),FALSE)</f>
        <v>0</v>
      </c>
      <c r="O225" s="31">
        <f>VLOOKUP($B225,'Tillförd energi'!$B$1:$AI$720,MATCH(O$1,'Tillförd energi'!$B$1:$AQ$1,0),FALSE)</f>
        <v>0</v>
      </c>
      <c r="P225" s="31">
        <f>VLOOKUP($B225,'Tillförd energi'!$B$1:$AI$720,MATCH(P$1,'Tillförd energi'!$B$1:$AQ$1,0),FALSE)</f>
        <v>13.6</v>
      </c>
      <c r="Q225" s="31">
        <f>VLOOKUP($B225,'Tillförd energi'!$B$1:$AI$720,MATCH(Q$1,'Tillförd energi'!$B$1:$AQ$1,0),FALSE)</f>
        <v>0</v>
      </c>
      <c r="R225" s="31">
        <f>VLOOKUP($B225,'Tillförd energi'!$B$1:$AI$720,MATCH(R$1,'Tillförd energi'!$B$1:$AQ$1,0),FALSE)</f>
        <v>5.2</v>
      </c>
      <c r="S225" s="31">
        <f>VLOOKUP($B225,'Tillförd energi'!$B$1:$AI$720,MATCH(S$1,'Tillförd energi'!$B$1:$AQ$1,0),FALSE)</f>
        <v>0</v>
      </c>
      <c r="T225" s="31">
        <f>VLOOKUP($B225,'Tillförd energi'!$B$1:$AI$720,MATCH(T$1,'Tillförd energi'!$B$1:$AQ$1,0),FALSE)</f>
        <v>0</v>
      </c>
      <c r="U225" s="31">
        <f>VLOOKUP($B225,'Tillförd energi'!$B$1:$AI$720,MATCH(U$1,'Tillförd energi'!$B$1:$AQ$1,0),FALSE)</f>
        <v>0</v>
      </c>
      <c r="V225" s="31">
        <f>VLOOKUP($B225,'Tillförd energi'!$B$1:$AI$720,MATCH(V$1,'Tillförd energi'!$B$1:$AQ$1,0),FALSE)</f>
        <v>0</v>
      </c>
      <c r="W225" s="31">
        <f>VLOOKUP($B225,'Tillförd energi'!$B$1:$AI$720,MATCH(W$1,'Tillförd energi'!$B$1:$AQ$1,0),FALSE)</f>
        <v>0</v>
      </c>
      <c r="X225" s="31">
        <f>VLOOKUP($B225,'Tillförd energi'!$B$1:$AI$720,MATCH(X$1,'Tillförd energi'!$B$1:$AQ$1,0),FALSE)</f>
        <v>0</v>
      </c>
      <c r="Y225" s="31">
        <f>VLOOKUP($B225,'Tillförd energi'!$B$1:$AI$720,MATCH(Y$1,'Tillförd energi'!$B$1:$AQ$1,0),FALSE)</f>
        <v>0</v>
      </c>
      <c r="Z225" s="31">
        <f>VLOOKUP($B225,'Tillförd energi'!$B$1:$AI$720,MATCH(Z$1,'Tillförd energi'!$B$1:$AQ$1,0),FALSE)</f>
        <v>0</v>
      </c>
      <c r="AA225" s="31">
        <f>VLOOKUP($B225,'Tillförd energi'!$B$1:$AI$720,MATCH(AA$1,'Tillförd energi'!$B$1:$AQ$1,0),FALSE)</f>
        <v>0</v>
      </c>
      <c r="AB225" s="31">
        <f>VLOOKUP($B225,'Tillförd energi'!$B$1:$AI$720,MATCH(AB$1,'Tillförd energi'!$B$1:$AQ$1,0),FALSE)</f>
        <v>0</v>
      </c>
      <c r="AC225" s="31">
        <f>VLOOKUP($B225,'Tillförd energi'!$B$1:$AI$720,MATCH(AC$1,'Tillförd energi'!$B$1:$AQ$1,0),FALSE)</f>
        <v>0</v>
      </c>
      <c r="AD225" s="31">
        <f>VLOOKUP($B225,'Tillförd energi'!$B$1:$AI$720,MATCH(AD$1,'Tillförd energi'!$B$1:$AQ$1,0),FALSE)</f>
        <v>0</v>
      </c>
      <c r="AE225" s="31">
        <f>VLOOKUP($B225,'Tillförd energi'!$B$1:$AI$720,MATCH(AE$1,'Tillförd energi'!$B$1:$AQ$1,0),FALSE)</f>
        <v>0</v>
      </c>
      <c r="AF225" s="31">
        <f>VLOOKUP($B225,'Tillförd energi'!$B$1:$AI$720,MATCH(AF$1,'Tillförd energi'!$B$1:$AQ$1,0),FALSE)</f>
        <v>0.25800000000000001</v>
      </c>
      <c r="AG225" s="31">
        <f>IFERROR(VLOOKUP(B225,Miljö!$B$1:$AC$550,MATCH("Köpt mängd produktionsspecifik fjärrvärme:",Miljö!$B$1:$AC$1,0),FALSE)/1,0)</f>
        <v>0</v>
      </c>
      <c r="AI225" s="31">
        <f t="shared" si="69"/>
        <v>33.808000000000007</v>
      </c>
      <c r="AJ225" s="31">
        <f t="shared" si="70"/>
        <v>33.808000000000007</v>
      </c>
      <c r="AK225" s="31">
        <f>IF(ISERROR(1/VLOOKUP($B225,Leveranser!$B$1:$S$499,MATCH("Såld värme (GWh)",Leveranser!$B$1:$S$1,0),FALSE)),"",VLOOKUP($B225,Leveranser!$B$1:$S$499,MATCH("Såld värme (GWh)",Leveranser!$B$1:$S$1,0),FALSE))</f>
        <v>24.82</v>
      </c>
      <c r="AL225" s="31">
        <f>VLOOKUP($B225,Leveranser!$B$1:$Y$499,MATCH("Totalt såld fjärrvärme till andra fjärrvärmeföretag",Leveranser!$B$1:$AA$1,0),FALSE)</f>
        <v>0</v>
      </c>
      <c r="AM225" s="31">
        <f>IF(ISERROR(1/VLOOKUP($B225,Miljö!$B$1:$S$500,MATCH("Såld mängd produktionsspecifik fjärrvärme (GWh)",Miljö!$B$1:$R$1,0),FALSE)),0,VLOOKUP($B225,Miljö!$B$1:$S$500,MATCH("Såld mängd produktionsspecifik fjärrvärme (GWh)",Miljö!$B$1:$R$1,0),FALSE))</f>
        <v>0</v>
      </c>
      <c r="AN225" s="32">
        <f t="shared" si="71"/>
        <v>0.73414576431613809</v>
      </c>
      <c r="AP225" s="31" t="str">
        <f>IFERROR(VLOOKUP($B225,Miljövärden!$B$2:$H$550,7,FALSE),"Nej, saknas")</f>
        <v>Ja</v>
      </c>
      <c r="AQ225" s="31" t="str">
        <f>IFERROR(VLOOKUP($B225,Miljövärden!$B$2:$H$551,6,FALSE),"Nej, saknas")</f>
        <v>Nej</v>
      </c>
      <c r="AU225" s="31">
        <f t="shared" si="72"/>
        <v>0.25800000000000001</v>
      </c>
      <c r="AV225" s="31">
        <f t="shared" si="73"/>
        <v>0</v>
      </c>
      <c r="AW225" s="31">
        <f t="shared" si="74"/>
        <v>27.2</v>
      </c>
      <c r="AX225" s="31">
        <f t="shared" si="75"/>
        <v>5.2</v>
      </c>
      <c r="AZ225" s="31">
        <f t="shared" si="76"/>
        <v>32.4</v>
      </c>
      <c r="BC225" s="31">
        <f t="shared" si="77"/>
        <v>1.1499999999999999</v>
      </c>
      <c r="BD225" s="31">
        <f t="shared" si="78"/>
        <v>0</v>
      </c>
      <c r="BE225" s="31">
        <f t="shared" si="79"/>
        <v>32.4</v>
      </c>
      <c r="BF225" s="31">
        <f t="shared" si="80"/>
        <v>0</v>
      </c>
      <c r="BG225" s="31">
        <f t="shared" si="81"/>
        <v>0.25800000000000001</v>
      </c>
      <c r="BH225" s="31">
        <f>VLOOKUP(B225,Miljö!$B$1:$BX$482,MATCH("Fossilandel för ursprungspecificerad el ()",Miljö!$B$1:$I$1,0),FALSE)</f>
        <v>0.35</v>
      </c>
      <c r="BI225" s="31">
        <f>VLOOKUP(B225,Miljö!$B$1:$BX$482,MATCH("Kärnkraftsandel för ursprungsspecificerad el ()",Miljö!$B$1:$O$1,0),FALSE)</f>
        <v>0.3977</v>
      </c>
      <c r="BJ225" s="31">
        <f t="shared" si="82"/>
        <v>0</v>
      </c>
      <c r="BK225" s="31" t="str">
        <f>VLOOKUP(B225,Miljö!$B$1:$P$482,MATCH("Fossil andel i procent (%)",Miljö!$B$1:$P$1,0),FALSE)</f>
        <v>ET</v>
      </c>
      <c r="BL225" s="31">
        <f t="shared" si="83"/>
        <v>33.808</v>
      </c>
      <c r="BO225" s="32">
        <f t="shared" si="84"/>
        <v>3.6686583057264549E-2</v>
      </c>
      <c r="BP225" s="32">
        <f t="shared" si="85"/>
        <v>3.0349798864174162E-3</v>
      </c>
      <c r="BQ225" s="32">
        <f t="shared" si="86"/>
        <v>0.9602784370563181</v>
      </c>
      <c r="BR225" s="32">
        <f t="shared" si="87"/>
        <v>0</v>
      </c>
      <c r="BT225" s="62">
        <f t="shared" si="88"/>
        <v>1</v>
      </c>
      <c r="BW225" s="32">
        <f>IF(AP225="Ja",VLOOKUP(B225,Miljövärden!$B$2:$H$551,MATCH("Total andel fossilt",Miljövärden!$B$2:$H$2,0),FALSE),"")</f>
        <v>3.66866E-2</v>
      </c>
      <c r="BX225" s="62">
        <f t="shared" si="89"/>
        <v>1.6942735450720114E-8</v>
      </c>
      <c r="BZ225" s="31">
        <f t="shared" si="90"/>
        <v>1.6942735450720114E-8</v>
      </c>
      <c r="CA225" s="32">
        <f t="shared" si="91"/>
        <v>0</v>
      </c>
    </row>
    <row r="226" spans="1:79" x14ac:dyDescent="0.45">
      <c r="A226" s="31" t="s">
        <v>386</v>
      </c>
      <c r="B226" s="31" t="s">
        <v>385</v>
      </c>
      <c r="C226" s="31">
        <f>VLOOKUP($B226,'Tillförd energi'!$B$1:$AI$720,MATCH(C$1,'Tillförd energi'!$B$1:$AQ$1,0),FALSE)</f>
        <v>0</v>
      </c>
      <c r="D226" s="31">
        <f>VLOOKUP($B226,'Tillförd energi'!$B$1:$AI$720,MATCH(D$1,'Tillförd energi'!$B$1:$AQ$1,0),FALSE)</f>
        <v>0</v>
      </c>
      <c r="E226" s="31">
        <f>VLOOKUP($B226,'Tillförd energi'!$B$1:$AI$720,MATCH(E$1,'Tillförd energi'!$B$1:$AQ$1,0),FALSE)</f>
        <v>0</v>
      </c>
      <c r="F226" s="31">
        <f>VLOOKUP($B226,'Tillförd energi'!$B$1:$AI$720,MATCH(F$1,'Tillförd energi'!$B$1:$AQ$1,0),FALSE)</f>
        <v>0</v>
      </c>
      <c r="G226" s="31">
        <f>VLOOKUP($B226,'Tillförd energi'!$B$1:$AI$720,MATCH(G$1,'Tillförd energi'!$B$1:$AQ$1,0),FALSE)</f>
        <v>0</v>
      </c>
      <c r="H226" s="31">
        <f>VLOOKUP($B226,'Tillförd energi'!$B$1:$AI$720,MATCH(H$1,'Tillförd energi'!$B$1:$AQ$1,0),FALSE)</f>
        <v>0</v>
      </c>
      <c r="I226" s="31">
        <f>VLOOKUP($B226,'Tillförd energi'!$B$1:$AI$720,MATCH(I$1,'Tillförd energi'!$B$1:$AQ$1,0),FALSE)</f>
        <v>0</v>
      </c>
      <c r="J226" s="31">
        <f>VLOOKUP($B226,'Tillförd energi'!$B$1:$AI$720,MATCH(J$1,'Tillförd energi'!$B$1:$AQ$1,0),FALSE)</f>
        <v>0</v>
      </c>
      <c r="K226" s="31">
        <f>VLOOKUP($B226,'Tillförd energi'!$B$1:$AI$720,MATCH(K$1,'Tillförd energi'!$B$1:$AQ$1,0),FALSE)</f>
        <v>0</v>
      </c>
      <c r="L226" s="31">
        <f>VLOOKUP($B226,'Tillförd energi'!$B$1:$AI$720,MATCH(L$1,'Tillförd energi'!$B$1:$AQ$1,0),FALSE)</f>
        <v>0</v>
      </c>
      <c r="M226" s="31">
        <f>VLOOKUP($B226,'Tillförd energi'!$B$1:$AI$720,MATCH(M$1,'Tillförd energi'!$B$1:$AQ$1,0),FALSE)</f>
        <v>0</v>
      </c>
      <c r="N226" s="31">
        <f>VLOOKUP($B226,'Tillförd energi'!$B$1:$AI$720,MATCH(N$1,'Tillförd energi'!$B$1:$AQ$1,0),FALSE)</f>
        <v>0</v>
      </c>
      <c r="O226" s="31">
        <f>VLOOKUP($B226,'Tillförd energi'!$B$1:$AI$720,MATCH(O$1,'Tillförd energi'!$B$1:$AQ$1,0),FALSE)</f>
        <v>0</v>
      </c>
      <c r="P226" s="31">
        <f>VLOOKUP($B226,'Tillförd energi'!$B$1:$AI$720,MATCH(P$1,'Tillförd energi'!$B$1:$AQ$1,0),FALSE)</f>
        <v>0</v>
      </c>
      <c r="Q226" s="31">
        <f>VLOOKUP($B226,'Tillförd energi'!$B$1:$AI$720,MATCH(Q$1,'Tillförd energi'!$B$1:$AQ$1,0),FALSE)</f>
        <v>0</v>
      </c>
      <c r="R226" s="31">
        <f>VLOOKUP($B226,'Tillförd energi'!$B$1:$AI$720,MATCH(R$1,'Tillförd energi'!$B$1:$AQ$1,0),FALSE)</f>
        <v>0</v>
      </c>
      <c r="S226" s="31">
        <f>VLOOKUP($B226,'Tillförd energi'!$B$1:$AI$720,MATCH(S$1,'Tillförd energi'!$B$1:$AQ$1,0),FALSE)</f>
        <v>0</v>
      </c>
      <c r="T226" s="31">
        <f>VLOOKUP($B226,'Tillförd energi'!$B$1:$AI$720,MATCH(T$1,'Tillförd energi'!$B$1:$AQ$1,0),FALSE)</f>
        <v>0</v>
      </c>
      <c r="U226" s="31">
        <f>VLOOKUP($B226,'Tillförd energi'!$B$1:$AI$720,MATCH(U$1,'Tillförd energi'!$B$1:$AQ$1,0),FALSE)</f>
        <v>0</v>
      </c>
      <c r="V226" s="31">
        <f>VLOOKUP($B226,'Tillförd energi'!$B$1:$AI$720,MATCH(V$1,'Tillförd energi'!$B$1:$AQ$1,0),FALSE)</f>
        <v>0</v>
      </c>
      <c r="W226" s="31">
        <f>VLOOKUP($B226,'Tillförd energi'!$B$1:$AI$720,MATCH(W$1,'Tillförd energi'!$B$1:$AQ$1,0),FALSE)</f>
        <v>0</v>
      </c>
      <c r="X226" s="31">
        <f>VLOOKUP($B226,'Tillförd energi'!$B$1:$AI$720,MATCH(X$1,'Tillförd energi'!$B$1:$AQ$1,0),FALSE)</f>
        <v>0</v>
      </c>
      <c r="Y226" s="31">
        <f>VLOOKUP($B226,'Tillförd energi'!$B$1:$AI$720,MATCH(Y$1,'Tillförd energi'!$B$1:$AQ$1,0),FALSE)</f>
        <v>0</v>
      </c>
      <c r="Z226" s="31">
        <f>VLOOKUP($B226,'Tillförd energi'!$B$1:$AI$720,MATCH(Z$1,'Tillförd energi'!$B$1:$AQ$1,0),FALSE)</f>
        <v>0</v>
      </c>
      <c r="AA226" s="31">
        <f>VLOOKUP($B226,'Tillförd energi'!$B$1:$AI$720,MATCH(AA$1,'Tillförd energi'!$B$1:$AQ$1,0),FALSE)</f>
        <v>0</v>
      </c>
      <c r="AB226" s="31">
        <f>VLOOKUP($B226,'Tillförd energi'!$B$1:$AI$720,MATCH(AB$1,'Tillförd energi'!$B$1:$AQ$1,0),FALSE)</f>
        <v>0</v>
      </c>
      <c r="AC226" s="31">
        <f>VLOOKUP($B226,'Tillförd energi'!$B$1:$AI$720,MATCH(AC$1,'Tillförd energi'!$B$1:$AQ$1,0),FALSE)</f>
        <v>0</v>
      </c>
      <c r="AD226" s="31">
        <f>VLOOKUP($B226,'Tillförd energi'!$B$1:$AI$720,MATCH(AD$1,'Tillförd energi'!$B$1:$AQ$1,0),FALSE)</f>
        <v>0</v>
      </c>
      <c r="AE226" s="31">
        <f>VLOOKUP($B226,'Tillförd energi'!$B$1:$AI$720,MATCH(AE$1,'Tillförd energi'!$B$1:$AQ$1,0),FALSE)</f>
        <v>0</v>
      </c>
      <c r="AF226" s="31">
        <f>VLOOKUP($B226,'Tillförd energi'!$B$1:$AI$720,MATCH(AF$1,'Tillförd energi'!$B$1:$AQ$1,0),FALSE)</f>
        <v>1E-8</v>
      </c>
      <c r="AG226" s="31">
        <f>IFERROR(VLOOKUP(B226,Miljö!$B$1:$AC$550,MATCH("Köpt mängd produktionsspecifik fjärrvärme:",Miljö!$B$1:$AC$1,0),FALSE)/1,0)</f>
        <v>164.59</v>
      </c>
      <c r="AI226" s="31">
        <f t="shared" si="69"/>
        <v>1E-8</v>
      </c>
      <c r="AJ226" s="31">
        <f t="shared" si="70"/>
        <v>164.59000001000001</v>
      </c>
      <c r="AK226" s="31">
        <f>IF(ISERROR(1/VLOOKUP($B226,Leveranser!$B$1:$S$499,MATCH("Såld värme (GWh)",Leveranser!$B$1:$S$1,0),FALSE)),"",VLOOKUP($B226,Leveranser!$B$1:$S$499,MATCH("Såld värme (GWh)",Leveranser!$B$1:$S$1,0),FALSE))</f>
        <v>151</v>
      </c>
      <c r="AL226" s="31">
        <f>VLOOKUP($B226,Leveranser!$B$1:$Y$499,MATCH("Totalt såld fjärrvärme till andra fjärrvärmeföretag",Leveranser!$B$1:$AA$1,0),FALSE)</f>
        <v>0</v>
      </c>
      <c r="AM226" s="31">
        <f>IF(ISERROR(1/VLOOKUP($B226,Miljö!$B$1:$S$500,MATCH("Såld mängd produktionsspecifik fjärrvärme (GWh)",Miljö!$B$1:$R$1,0),FALSE)),0,VLOOKUP($B226,Miljö!$B$1:$S$500,MATCH("Såld mängd produktionsspecifik fjärrvärme (GWh)",Miljö!$B$1:$R$1,0),FALSE))</f>
        <v>0</v>
      </c>
      <c r="AN226" s="32">
        <f t="shared" si="71"/>
        <v>0.91743119260480999</v>
      </c>
      <c r="AP226" s="31" t="str">
        <f>IFERROR(VLOOKUP($B226,Miljövärden!$B$2:$H$550,7,FALSE),"Nej, saknas")</f>
        <v>Ja</v>
      </c>
      <c r="AQ226" s="31" t="str">
        <f>IFERROR(VLOOKUP($B226,Miljövärden!$B$2:$H$551,6,FALSE),"Nej, saknas")</f>
        <v>Ja</v>
      </c>
      <c r="AU226" s="31">
        <f t="shared" si="72"/>
        <v>1E-8</v>
      </c>
      <c r="AV226" s="31">
        <f t="shared" si="73"/>
        <v>0</v>
      </c>
      <c r="AW226" s="31">
        <f t="shared" si="74"/>
        <v>0</v>
      </c>
      <c r="AX226" s="31">
        <f t="shared" si="75"/>
        <v>0</v>
      </c>
      <c r="AZ226" s="31">
        <f t="shared" si="76"/>
        <v>0</v>
      </c>
      <c r="BC226" s="31">
        <f t="shared" si="77"/>
        <v>0</v>
      </c>
      <c r="BD226" s="31">
        <f t="shared" si="78"/>
        <v>0</v>
      </c>
      <c r="BE226" s="31">
        <f t="shared" si="79"/>
        <v>0</v>
      </c>
      <c r="BF226" s="31">
        <f t="shared" si="80"/>
        <v>0</v>
      </c>
      <c r="BG226" s="31">
        <f t="shared" si="81"/>
        <v>1E-8</v>
      </c>
      <c r="BH226" s="31">
        <f>VLOOKUP(B226,Miljö!$B$1:$BX$482,MATCH("Fossilandel för ursprungspecificerad el ()",Miljö!$B$1:$I$1,0),FALSE)</f>
        <v>0</v>
      </c>
      <c r="BI226" s="31">
        <f>VLOOKUP(B226,Miljö!$B$1:$BX$482,MATCH("Kärnkraftsandel för ursprungsspecificerad el ()",Miljö!$B$1:$O$1,0),FALSE)</f>
        <v>0</v>
      </c>
      <c r="BJ226" s="31">
        <f t="shared" si="82"/>
        <v>164.59</v>
      </c>
      <c r="BK226" s="31">
        <f>VLOOKUP(B226,Miljö!$B$1:$P$482,MATCH("Fossil andel i procent (%)",Miljö!$B$1:$P$1,0),FALSE)</f>
        <v>11.5</v>
      </c>
      <c r="BL226" s="31">
        <f t="shared" si="83"/>
        <v>164.59000001000001</v>
      </c>
      <c r="BO226" s="32">
        <f t="shared" si="84"/>
        <v>0.11499999999301293</v>
      </c>
      <c r="BP226" s="32">
        <f t="shared" si="85"/>
        <v>0.88499999994622991</v>
      </c>
      <c r="BQ226" s="32">
        <f t="shared" si="86"/>
        <v>6.0757032622835101E-11</v>
      </c>
      <c r="BR226" s="32">
        <f t="shared" si="87"/>
        <v>0</v>
      </c>
      <c r="BT226" s="62">
        <f t="shared" si="88"/>
        <v>0.99999999999999989</v>
      </c>
      <c r="BW226" s="32">
        <f>IF(AP226="Ja",VLOOKUP(B226,Miljövärden!$B$2:$H$551,MATCH("Total andel fossilt",Miljövärden!$B$2:$H$2,0),FALSE),"")</f>
        <v>0.115</v>
      </c>
      <c r="BX226" s="62">
        <f t="shared" si="89"/>
        <v>6.9870775831759602E-12</v>
      </c>
      <c r="BZ226" s="31">
        <f t="shared" si="90"/>
        <v>6.9870775831759602E-12</v>
      </c>
      <c r="CA226" s="32">
        <f t="shared" si="91"/>
        <v>0</v>
      </c>
    </row>
    <row r="227" spans="1:79" hidden="1" x14ac:dyDescent="0.45">
      <c r="A227" s="31" t="s">
        <v>4</v>
      </c>
      <c r="B227" s="31" t="s">
        <v>5</v>
      </c>
      <c r="C227" s="31">
        <f>VLOOKUP($B227,'Tillförd energi'!$B$1:$AI$720,MATCH(C$1,'Tillförd energi'!$B$1:$AQ$1,0),FALSE)</f>
        <v>0</v>
      </c>
      <c r="D227" s="31">
        <f>VLOOKUP($B227,'Tillförd energi'!$B$1:$AI$720,MATCH(D$1,'Tillförd energi'!$B$1:$AQ$1,0),FALSE)</f>
        <v>0</v>
      </c>
      <c r="E227" s="31">
        <f>VLOOKUP($B227,'Tillförd energi'!$B$1:$AI$720,MATCH(E$1,'Tillförd energi'!$B$1:$AQ$1,0),FALSE)</f>
        <v>0</v>
      </c>
      <c r="F227" s="31">
        <f>VLOOKUP($B227,'Tillförd energi'!$B$1:$AI$720,MATCH(F$1,'Tillförd energi'!$B$1:$AQ$1,0),FALSE)</f>
        <v>0</v>
      </c>
      <c r="G227" s="31">
        <f>VLOOKUP($B227,'Tillförd energi'!$B$1:$AI$720,MATCH(G$1,'Tillförd energi'!$B$1:$AQ$1,0),FALSE)</f>
        <v>0</v>
      </c>
      <c r="H227" s="31">
        <f>VLOOKUP($B227,'Tillförd energi'!$B$1:$AI$720,MATCH(H$1,'Tillförd energi'!$B$1:$AQ$1,0),FALSE)</f>
        <v>0</v>
      </c>
      <c r="I227" s="31">
        <f>VLOOKUP($B227,'Tillförd energi'!$B$1:$AI$720,MATCH(I$1,'Tillförd energi'!$B$1:$AQ$1,0),FALSE)</f>
        <v>0</v>
      </c>
      <c r="J227" s="31">
        <f>VLOOKUP($B227,'Tillförd energi'!$B$1:$AI$720,MATCH(J$1,'Tillförd energi'!$B$1:$AQ$1,0),FALSE)</f>
        <v>0</v>
      </c>
      <c r="K227" s="31">
        <f>VLOOKUP($B227,'Tillförd energi'!$B$1:$AI$720,MATCH(K$1,'Tillförd energi'!$B$1:$AQ$1,0),FALSE)</f>
        <v>0</v>
      </c>
      <c r="L227" s="31">
        <f>VLOOKUP($B227,'Tillförd energi'!$B$1:$AI$720,MATCH(L$1,'Tillförd energi'!$B$1:$AQ$1,0),FALSE)</f>
        <v>0</v>
      </c>
      <c r="M227" s="31">
        <f>VLOOKUP($B227,'Tillförd energi'!$B$1:$AI$720,MATCH(M$1,'Tillförd energi'!$B$1:$AQ$1,0),FALSE)</f>
        <v>0</v>
      </c>
      <c r="N227" s="31">
        <f>VLOOKUP($B227,'Tillförd energi'!$B$1:$AI$720,MATCH(N$1,'Tillförd energi'!$B$1:$AQ$1,0),FALSE)</f>
        <v>0</v>
      </c>
      <c r="O227" s="31">
        <f>VLOOKUP($B227,'Tillförd energi'!$B$1:$AI$720,MATCH(O$1,'Tillförd energi'!$B$1:$AQ$1,0),FALSE)</f>
        <v>0</v>
      </c>
      <c r="P227" s="31">
        <f>VLOOKUP($B227,'Tillförd energi'!$B$1:$AI$720,MATCH(P$1,'Tillförd energi'!$B$1:$AQ$1,0),FALSE)</f>
        <v>0</v>
      </c>
      <c r="Q227" s="31">
        <f>VLOOKUP($B227,'Tillförd energi'!$B$1:$AI$720,MATCH(Q$1,'Tillförd energi'!$B$1:$AQ$1,0),FALSE)</f>
        <v>0</v>
      </c>
      <c r="R227" s="31">
        <f>VLOOKUP($B227,'Tillförd energi'!$B$1:$AI$720,MATCH(R$1,'Tillförd energi'!$B$1:$AQ$1,0),FALSE)</f>
        <v>0</v>
      </c>
      <c r="S227" s="31">
        <f>VLOOKUP($B227,'Tillförd energi'!$B$1:$AI$720,MATCH(S$1,'Tillförd energi'!$B$1:$AQ$1,0),FALSE)</f>
        <v>0</v>
      </c>
      <c r="T227" s="31">
        <f>VLOOKUP($B227,'Tillförd energi'!$B$1:$AI$720,MATCH(T$1,'Tillförd energi'!$B$1:$AQ$1,0),FALSE)</f>
        <v>0</v>
      </c>
      <c r="U227" s="31">
        <f>VLOOKUP($B227,'Tillförd energi'!$B$1:$AI$720,MATCH(U$1,'Tillförd energi'!$B$1:$AQ$1,0),FALSE)</f>
        <v>0</v>
      </c>
      <c r="V227" s="31">
        <f>VLOOKUP($B227,'Tillförd energi'!$B$1:$AI$720,MATCH(V$1,'Tillförd energi'!$B$1:$AQ$1,0),FALSE)</f>
        <v>0</v>
      </c>
      <c r="W227" s="31">
        <f>VLOOKUP($B227,'Tillförd energi'!$B$1:$AI$720,MATCH(W$1,'Tillförd energi'!$B$1:$AQ$1,0),FALSE)</f>
        <v>0</v>
      </c>
      <c r="X227" s="31">
        <f>VLOOKUP($B227,'Tillförd energi'!$B$1:$AI$720,MATCH(X$1,'Tillförd energi'!$B$1:$AQ$1,0),FALSE)</f>
        <v>0</v>
      </c>
      <c r="Y227" s="31">
        <f>VLOOKUP($B227,'Tillförd energi'!$B$1:$AI$720,MATCH(Y$1,'Tillförd energi'!$B$1:$AQ$1,0),FALSE)</f>
        <v>0</v>
      </c>
      <c r="Z227" s="31">
        <f>VLOOKUP($B227,'Tillförd energi'!$B$1:$AI$720,MATCH(Z$1,'Tillförd energi'!$B$1:$AQ$1,0),FALSE)</f>
        <v>0</v>
      </c>
      <c r="AA227" s="31">
        <f>VLOOKUP($B227,'Tillförd energi'!$B$1:$AI$720,MATCH(AA$1,'Tillförd energi'!$B$1:$AQ$1,0),FALSE)</f>
        <v>0</v>
      </c>
      <c r="AB227" s="31">
        <f>VLOOKUP($B227,'Tillförd energi'!$B$1:$AI$720,MATCH(AB$1,'Tillförd energi'!$B$1:$AQ$1,0),FALSE)</f>
        <v>0</v>
      </c>
      <c r="AC227" s="31">
        <f>VLOOKUP($B227,'Tillförd energi'!$B$1:$AI$720,MATCH(AC$1,'Tillförd energi'!$B$1:$AQ$1,0),FALSE)</f>
        <v>0</v>
      </c>
      <c r="AD227" s="31">
        <f>VLOOKUP($B227,'Tillförd energi'!$B$1:$AI$720,MATCH(AD$1,'Tillförd energi'!$B$1:$AQ$1,0),FALSE)</f>
        <v>0</v>
      </c>
      <c r="AE227" s="31">
        <f>VLOOKUP($B227,'Tillförd energi'!$B$1:$AI$720,MATCH(AE$1,'Tillförd energi'!$B$1:$AQ$1,0),FALSE)</f>
        <v>0</v>
      </c>
      <c r="AF227" s="31">
        <f>VLOOKUP($B227,'Tillförd energi'!$B$1:$AI$720,MATCH(AF$1,'Tillförd energi'!$B$1:$AQ$1,0),FALSE)</f>
        <v>0</v>
      </c>
      <c r="AG227" s="31">
        <f>IFERROR(VLOOKUP(B227,Miljö!$B$1:$AC$550,MATCH("Köpt mängd produktionsspecifik fjärrvärme:",Miljö!$B$1:$AC$1,0),FALSE)/1,0)</f>
        <v>0</v>
      </c>
      <c r="AI227" s="31">
        <f t="shared" si="69"/>
        <v>0</v>
      </c>
      <c r="AJ227" s="31">
        <f t="shared" si="70"/>
        <v>0</v>
      </c>
      <c r="AK227" s="31" t="str">
        <f>IF(ISERROR(1/VLOOKUP($B227,Leveranser!$B$1:$S$499,MATCH("Såld värme (GWh)",Leveranser!$B$1:$S$1,0),FALSE)),"",VLOOKUP($B227,Leveranser!$B$1:$S$499,MATCH("Såld värme (GWh)",Leveranser!$B$1:$S$1,0),FALSE))</f>
        <v/>
      </c>
      <c r="AL227" s="31">
        <f>VLOOKUP($B227,Leveranser!$B$1:$Y$499,MATCH("Totalt såld fjärrvärme till andra fjärrvärmeföretag",Leveranser!$B$1:$AA$1,0),FALSE)</f>
        <v>0</v>
      </c>
      <c r="AM227" s="31">
        <f>IF(ISERROR(1/VLOOKUP($B227,Miljö!$B$1:$S$500,MATCH("Såld mängd produktionsspecifik fjärrvärme (GWh)",Miljö!$B$1:$R$1,0),FALSE)),0,VLOOKUP($B227,Miljö!$B$1:$S$500,MATCH("Såld mängd produktionsspecifik fjärrvärme (GWh)",Miljö!$B$1:$R$1,0),FALSE))</f>
        <v>0</v>
      </c>
      <c r="AN227" s="32" t="str">
        <f t="shared" si="71"/>
        <v/>
      </c>
      <c r="AP227" s="31" t="str">
        <f>IFERROR(VLOOKUP($B227,Miljövärden!$B$2:$H$550,7,FALSE),"Nej, saknas")</f>
        <v>Nej</v>
      </c>
      <c r="AQ227" s="31" t="str">
        <f>IFERROR(VLOOKUP($B227,Miljövärden!$B$2:$H$551,6,FALSE),"Nej, saknas")</f>
        <v>Nej</v>
      </c>
      <c r="AU227" s="31">
        <f t="shared" si="72"/>
        <v>0</v>
      </c>
      <c r="AV227" s="31">
        <f t="shared" si="73"/>
        <v>0</v>
      </c>
      <c r="AW227" s="31">
        <f t="shared" si="74"/>
        <v>0</v>
      </c>
      <c r="AX227" s="31">
        <f t="shared" si="75"/>
        <v>0</v>
      </c>
      <c r="AZ227" s="31">
        <f t="shared" si="76"/>
        <v>0</v>
      </c>
      <c r="BC227" s="31">
        <f t="shared" si="77"/>
        <v>0</v>
      </c>
      <c r="BD227" s="31">
        <f t="shared" si="78"/>
        <v>0</v>
      </c>
      <c r="BE227" s="31">
        <f t="shared" si="79"/>
        <v>0</v>
      </c>
      <c r="BF227" s="31">
        <f t="shared" si="80"/>
        <v>0</v>
      </c>
      <c r="BG227" s="31">
        <f t="shared" si="81"/>
        <v>0</v>
      </c>
      <c r="BH227" s="31" t="str">
        <f>VLOOKUP(B227,Miljö!$B$1:$BX$482,MATCH("Fossilandel för ursprungspecificerad el ()",Miljö!$B$1:$I$1,0),FALSE)</f>
        <v>-</v>
      </c>
      <c r="BI227" s="31" t="str">
        <f>VLOOKUP(B227,Miljö!$B$1:$BX$482,MATCH("Kärnkraftsandel för ursprungsspecificerad el ()",Miljö!$B$1:$O$1,0),FALSE)</f>
        <v>-</v>
      </c>
      <c r="BJ227" s="31">
        <f t="shared" si="82"/>
        <v>0</v>
      </c>
      <c r="BK227" s="31" t="str">
        <f>VLOOKUP(B227,Miljö!$B$1:$P$482,MATCH("Fossil andel i procent (%)",Miljö!$B$1:$P$1,0),FALSE)</f>
        <v>-</v>
      </c>
      <c r="BL227" s="31">
        <f t="shared" si="83"/>
        <v>0</v>
      </c>
      <c r="BO227" s="32" t="str">
        <f t="shared" si="84"/>
        <v/>
      </c>
      <c r="BP227" s="32" t="str">
        <f t="shared" si="85"/>
        <v/>
      </c>
      <c r="BQ227" s="32" t="str">
        <f t="shared" si="86"/>
        <v/>
      </c>
      <c r="BR227" s="32" t="str">
        <f t="shared" si="87"/>
        <v/>
      </c>
      <c r="BT227" s="62">
        <f t="shared" si="88"/>
        <v>0</v>
      </c>
      <c r="BW227" s="32" t="str">
        <f>IF(AP227="Ja",VLOOKUP(B227,Miljövärden!$B$2:$H$551,MATCH("Total andel fossilt",Miljövärden!$B$2:$H$2,0),FALSE),"")</f>
        <v/>
      </c>
      <c r="BX227" s="62" t="e">
        <f t="shared" si="89"/>
        <v>#VALUE!</v>
      </c>
      <c r="BZ227" s="31" t="str">
        <f t="shared" si="90"/>
        <v/>
      </c>
      <c r="CA227" s="32" t="str">
        <f t="shared" si="91"/>
        <v/>
      </c>
    </row>
    <row r="228" spans="1:79" hidden="1" x14ac:dyDescent="0.45">
      <c r="A228" s="31" t="s">
        <v>4</v>
      </c>
      <c r="B228" s="31" t="s">
        <v>382</v>
      </c>
      <c r="C228" s="31">
        <f>VLOOKUP($B228,'Tillförd energi'!$B$1:$AI$720,MATCH(C$1,'Tillförd energi'!$B$1:$AQ$1,0),FALSE)</f>
        <v>0</v>
      </c>
      <c r="D228" s="31">
        <f>VLOOKUP($B228,'Tillförd energi'!$B$1:$AI$720,MATCH(D$1,'Tillförd energi'!$B$1:$AQ$1,0),FALSE)</f>
        <v>0</v>
      </c>
      <c r="E228" s="31">
        <f>VLOOKUP($B228,'Tillförd energi'!$B$1:$AI$720,MATCH(E$1,'Tillförd energi'!$B$1:$AQ$1,0),FALSE)</f>
        <v>0</v>
      </c>
      <c r="F228" s="31">
        <f>VLOOKUP($B228,'Tillförd energi'!$B$1:$AI$720,MATCH(F$1,'Tillförd energi'!$B$1:$AQ$1,0),FALSE)</f>
        <v>0</v>
      </c>
      <c r="G228" s="31">
        <f>VLOOKUP($B228,'Tillförd energi'!$B$1:$AI$720,MATCH(G$1,'Tillförd energi'!$B$1:$AQ$1,0),FALSE)</f>
        <v>0</v>
      </c>
      <c r="H228" s="31">
        <f>VLOOKUP($B228,'Tillförd energi'!$B$1:$AI$720,MATCH(H$1,'Tillförd energi'!$B$1:$AQ$1,0),FALSE)</f>
        <v>0</v>
      </c>
      <c r="I228" s="31">
        <f>VLOOKUP($B228,'Tillförd energi'!$B$1:$AI$720,MATCH(I$1,'Tillförd energi'!$B$1:$AQ$1,0),FALSE)</f>
        <v>0</v>
      </c>
      <c r="J228" s="31">
        <f>VLOOKUP($B228,'Tillförd energi'!$B$1:$AI$720,MATCH(J$1,'Tillförd energi'!$B$1:$AQ$1,0),FALSE)</f>
        <v>0</v>
      </c>
      <c r="K228" s="31">
        <f>VLOOKUP($B228,'Tillförd energi'!$B$1:$AI$720,MATCH(K$1,'Tillförd energi'!$B$1:$AQ$1,0),FALSE)</f>
        <v>0</v>
      </c>
      <c r="L228" s="31">
        <f>VLOOKUP($B228,'Tillförd energi'!$B$1:$AI$720,MATCH(L$1,'Tillförd energi'!$B$1:$AQ$1,0),FALSE)</f>
        <v>0</v>
      </c>
      <c r="M228" s="31">
        <f>VLOOKUP($B228,'Tillförd energi'!$B$1:$AI$720,MATCH(M$1,'Tillförd energi'!$B$1:$AQ$1,0),FALSE)</f>
        <v>0</v>
      </c>
      <c r="N228" s="31">
        <f>VLOOKUP($B228,'Tillförd energi'!$B$1:$AI$720,MATCH(N$1,'Tillförd energi'!$B$1:$AQ$1,0),FALSE)</f>
        <v>0</v>
      </c>
      <c r="O228" s="31">
        <f>VLOOKUP($B228,'Tillförd energi'!$B$1:$AI$720,MATCH(O$1,'Tillförd energi'!$B$1:$AQ$1,0),FALSE)</f>
        <v>0</v>
      </c>
      <c r="P228" s="31">
        <f>VLOOKUP($B228,'Tillförd energi'!$B$1:$AI$720,MATCH(P$1,'Tillförd energi'!$B$1:$AQ$1,0),FALSE)</f>
        <v>0</v>
      </c>
      <c r="Q228" s="31">
        <f>VLOOKUP($B228,'Tillförd energi'!$B$1:$AI$720,MATCH(Q$1,'Tillförd energi'!$B$1:$AQ$1,0),FALSE)</f>
        <v>0</v>
      </c>
      <c r="R228" s="31">
        <f>VLOOKUP($B228,'Tillförd energi'!$B$1:$AI$720,MATCH(R$1,'Tillförd energi'!$B$1:$AQ$1,0),FALSE)</f>
        <v>0</v>
      </c>
      <c r="S228" s="31">
        <f>VLOOKUP($B228,'Tillförd energi'!$B$1:$AI$720,MATCH(S$1,'Tillförd energi'!$B$1:$AQ$1,0),FALSE)</f>
        <v>0</v>
      </c>
      <c r="T228" s="31">
        <f>VLOOKUP($B228,'Tillförd energi'!$B$1:$AI$720,MATCH(T$1,'Tillförd energi'!$B$1:$AQ$1,0),FALSE)</f>
        <v>0</v>
      </c>
      <c r="U228" s="31">
        <f>VLOOKUP($B228,'Tillförd energi'!$B$1:$AI$720,MATCH(U$1,'Tillförd energi'!$B$1:$AQ$1,0),FALSE)</f>
        <v>0</v>
      </c>
      <c r="V228" s="31">
        <f>VLOOKUP($B228,'Tillförd energi'!$B$1:$AI$720,MATCH(V$1,'Tillförd energi'!$B$1:$AQ$1,0),FALSE)</f>
        <v>0</v>
      </c>
      <c r="W228" s="31">
        <f>VLOOKUP($B228,'Tillförd energi'!$B$1:$AI$720,MATCH(W$1,'Tillförd energi'!$B$1:$AQ$1,0),FALSE)</f>
        <v>0</v>
      </c>
      <c r="X228" s="31">
        <f>VLOOKUP($B228,'Tillförd energi'!$B$1:$AI$720,MATCH(X$1,'Tillförd energi'!$B$1:$AQ$1,0),FALSE)</f>
        <v>0</v>
      </c>
      <c r="Y228" s="31">
        <f>VLOOKUP($B228,'Tillförd energi'!$B$1:$AI$720,MATCH(Y$1,'Tillförd energi'!$B$1:$AQ$1,0),FALSE)</f>
        <v>0</v>
      </c>
      <c r="Z228" s="31">
        <f>VLOOKUP($B228,'Tillförd energi'!$B$1:$AI$720,MATCH(Z$1,'Tillförd energi'!$B$1:$AQ$1,0),FALSE)</f>
        <v>0</v>
      </c>
      <c r="AA228" s="31">
        <f>VLOOKUP($B228,'Tillförd energi'!$B$1:$AI$720,MATCH(AA$1,'Tillförd energi'!$B$1:$AQ$1,0),FALSE)</f>
        <v>0</v>
      </c>
      <c r="AB228" s="31">
        <f>VLOOKUP($B228,'Tillförd energi'!$B$1:$AI$720,MATCH(AB$1,'Tillförd energi'!$B$1:$AQ$1,0),FALSE)</f>
        <v>0</v>
      </c>
      <c r="AC228" s="31">
        <f>VLOOKUP($B228,'Tillförd energi'!$B$1:$AI$720,MATCH(AC$1,'Tillförd energi'!$B$1:$AQ$1,0),FALSE)</f>
        <v>0</v>
      </c>
      <c r="AD228" s="31">
        <f>VLOOKUP($B228,'Tillförd energi'!$B$1:$AI$720,MATCH(AD$1,'Tillförd energi'!$B$1:$AQ$1,0),FALSE)</f>
        <v>0</v>
      </c>
      <c r="AE228" s="31">
        <f>VLOOKUP($B228,'Tillförd energi'!$B$1:$AI$720,MATCH(AE$1,'Tillförd energi'!$B$1:$AQ$1,0),FALSE)</f>
        <v>0</v>
      </c>
      <c r="AF228" s="31">
        <f>VLOOKUP($B228,'Tillförd energi'!$B$1:$AI$720,MATCH(AF$1,'Tillförd energi'!$B$1:$AQ$1,0),FALSE)</f>
        <v>0</v>
      </c>
      <c r="AG228" s="31">
        <f>IFERROR(VLOOKUP(B228,Miljö!$B$1:$AC$550,MATCH("Köpt mängd produktionsspecifik fjärrvärme:",Miljö!$B$1:$AC$1,0),FALSE)/1,0)</f>
        <v>0</v>
      </c>
      <c r="AI228" s="31">
        <f t="shared" si="69"/>
        <v>0</v>
      </c>
      <c r="AJ228" s="31">
        <f t="shared" si="70"/>
        <v>0</v>
      </c>
      <c r="AK228" s="31" t="str">
        <f>IF(ISERROR(1/VLOOKUP($B228,Leveranser!$B$1:$S$499,MATCH("Såld värme (GWh)",Leveranser!$B$1:$S$1,0),FALSE)),"",VLOOKUP($B228,Leveranser!$B$1:$S$499,MATCH("Såld värme (GWh)",Leveranser!$B$1:$S$1,0),FALSE))</f>
        <v/>
      </c>
      <c r="AL228" s="31">
        <f>VLOOKUP($B228,Leveranser!$B$1:$Y$499,MATCH("Totalt såld fjärrvärme till andra fjärrvärmeföretag",Leveranser!$B$1:$AA$1,0),FALSE)</f>
        <v>0</v>
      </c>
      <c r="AM228" s="31">
        <f>IF(ISERROR(1/VLOOKUP($B228,Miljö!$B$1:$S$500,MATCH("Såld mängd produktionsspecifik fjärrvärme (GWh)",Miljö!$B$1:$R$1,0),FALSE)),0,VLOOKUP($B228,Miljö!$B$1:$S$500,MATCH("Såld mängd produktionsspecifik fjärrvärme (GWh)",Miljö!$B$1:$R$1,0),FALSE))</f>
        <v>0</v>
      </c>
      <c r="AN228" s="32" t="str">
        <f t="shared" si="71"/>
        <v/>
      </c>
      <c r="AP228" s="31" t="str">
        <f>IFERROR(VLOOKUP($B228,Miljövärden!$B$2:$H$550,7,FALSE),"Nej, saknas")</f>
        <v>Nej</v>
      </c>
      <c r="AQ228" s="31" t="str">
        <f>IFERROR(VLOOKUP($B228,Miljövärden!$B$2:$H$551,6,FALSE),"Nej, saknas")</f>
        <v>Nej</v>
      </c>
      <c r="AU228" s="31">
        <f t="shared" si="72"/>
        <v>0</v>
      </c>
      <c r="AV228" s="31">
        <f t="shared" si="73"/>
        <v>0</v>
      </c>
      <c r="AW228" s="31">
        <f t="shared" si="74"/>
        <v>0</v>
      </c>
      <c r="AX228" s="31">
        <f t="shared" si="75"/>
        <v>0</v>
      </c>
      <c r="AZ228" s="31">
        <f t="shared" si="76"/>
        <v>0</v>
      </c>
      <c r="BC228" s="31">
        <f t="shared" si="77"/>
        <v>0</v>
      </c>
      <c r="BD228" s="31">
        <f t="shared" si="78"/>
        <v>0</v>
      </c>
      <c r="BE228" s="31">
        <f t="shared" si="79"/>
        <v>0</v>
      </c>
      <c r="BF228" s="31">
        <f t="shared" si="80"/>
        <v>0</v>
      </c>
      <c r="BG228" s="31">
        <f t="shared" si="81"/>
        <v>0</v>
      </c>
      <c r="BH228" s="31" t="str">
        <f>VLOOKUP(B228,Miljö!$B$1:$BX$482,MATCH("Fossilandel för ursprungspecificerad el ()",Miljö!$B$1:$I$1,0),FALSE)</f>
        <v>-</v>
      </c>
      <c r="BI228" s="31" t="str">
        <f>VLOOKUP(B228,Miljö!$B$1:$BX$482,MATCH("Kärnkraftsandel för ursprungsspecificerad el ()",Miljö!$B$1:$O$1,0),FALSE)</f>
        <v>-</v>
      </c>
      <c r="BJ228" s="31">
        <f t="shared" si="82"/>
        <v>0</v>
      </c>
      <c r="BK228" s="31" t="str">
        <f>VLOOKUP(B228,Miljö!$B$1:$P$482,MATCH("Fossil andel i procent (%)",Miljö!$B$1:$P$1,0),FALSE)</f>
        <v>-</v>
      </c>
      <c r="BL228" s="31">
        <f t="shared" si="83"/>
        <v>0</v>
      </c>
      <c r="BO228" s="32" t="str">
        <f t="shared" si="84"/>
        <v/>
      </c>
      <c r="BP228" s="32" t="str">
        <f t="shared" si="85"/>
        <v/>
      </c>
      <c r="BQ228" s="32" t="str">
        <f t="shared" si="86"/>
        <v/>
      </c>
      <c r="BR228" s="32" t="str">
        <f t="shared" si="87"/>
        <v/>
      </c>
      <c r="BT228" s="62">
        <f t="shared" si="88"/>
        <v>0</v>
      </c>
      <c r="BW228" s="32" t="str">
        <f>IF(AP228="Ja",VLOOKUP(B228,Miljövärden!$B$2:$H$551,MATCH("Total andel fossilt",Miljövärden!$B$2:$H$2,0),FALSE),"")</f>
        <v/>
      </c>
      <c r="BX228" s="62" t="e">
        <f t="shared" si="89"/>
        <v>#VALUE!</v>
      </c>
      <c r="BZ228" s="31" t="str">
        <f t="shared" si="90"/>
        <v/>
      </c>
      <c r="CA228" s="32" t="str">
        <f t="shared" si="91"/>
        <v/>
      </c>
    </row>
    <row r="229" spans="1:79" hidden="1" x14ac:dyDescent="0.45">
      <c r="A229" s="31" t="s">
        <v>4</v>
      </c>
      <c r="B229" s="31" t="s">
        <v>383</v>
      </c>
      <c r="C229" s="31">
        <f>VLOOKUP($B229,'Tillförd energi'!$B$1:$AI$720,MATCH(C$1,'Tillförd energi'!$B$1:$AQ$1,0),FALSE)</f>
        <v>0</v>
      </c>
      <c r="D229" s="31">
        <f>VLOOKUP($B229,'Tillförd energi'!$B$1:$AI$720,MATCH(D$1,'Tillförd energi'!$B$1:$AQ$1,0),FALSE)</f>
        <v>0</v>
      </c>
      <c r="E229" s="31">
        <f>VLOOKUP($B229,'Tillförd energi'!$B$1:$AI$720,MATCH(E$1,'Tillförd energi'!$B$1:$AQ$1,0),FALSE)</f>
        <v>0</v>
      </c>
      <c r="F229" s="31">
        <f>VLOOKUP($B229,'Tillförd energi'!$B$1:$AI$720,MATCH(F$1,'Tillförd energi'!$B$1:$AQ$1,0),FALSE)</f>
        <v>0</v>
      </c>
      <c r="G229" s="31">
        <f>VLOOKUP($B229,'Tillförd energi'!$B$1:$AI$720,MATCH(G$1,'Tillförd energi'!$B$1:$AQ$1,0),FALSE)</f>
        <v>0</v>
      </c>
      <c r="H229" s="31">
        <f>VLOOKUP($B229,'Tillförd energi'!$B$1:$AI$720,MATCH(H$1,'Tillförd energi'!$B$1:$AQ$1,0),FALSE)</f>
        <v>0</v>
      </c>
      <c r="I229" s="31">
        <f>VLOOKUP($B229,'Tillförd energi'!$B$1:$AI$720,MATCH(I$1,'Tillförd energi'!$B$1:$AQ$1,0),FALSE)</f>
        <v>0</v>
      </c>
      <c r="J229" s="31">
        <f>VLOOKUP($B229,'Tillförd energi'!$B$1:$AI$720,MATCH(J$1,'Tillförd energi'!$B$1:$AQ$1,0),FALSE)</f>
        <v>0</v>
      </c>
      <c r="K229" s="31">
        <f>VLOOKUP($B229,'Tillförd energi'!$B$1:$AI$720,MATCH(K$1,'Tillförd energi'!$B$1:$AQ$1,0),FALSE)</f>
        <v>0</v>
      </c>
      <c r="L229" s="31">
        <f>VLOOKUP($B229,'Tillförd energi'!$B$1:$AI$720,MATCH(L$1,'Tillförd energi'!$B$1:$AQ$1,0),FALSE)</f>
        <v>0</v>
      </c>
      <c r="M229" s="31">
        <f>VLOOKUP($B229,'Tillförd energi'!$B$1:$AI$720,MATCH(M$1,'Tillförd energi'!$B$1:$AQ$1,0),FALSE)</f>
        <v>0</v>
      </c>
      <c r="N229" s="31">
        <f>VLOOKUP($B229,'Tillförd energi'!$B$1:$AI$720,MATCH(N$1,'Tillförd energi'!$B$1:$AQ$1,0),FALSE)</f>
        <v>0</v>
      </c>
      <c r="O229" s="31">
        <f>VLOOKUP($B229,'Tillförd energi'!$B$1:$AI$720,MATCH(O$1,'Tillförd energi'!$B$1:$AQ$1,0),FALSE)</f>
        <v>0</v>
      </c>
      <c r="P229" s="31">
        <f>VLOOKUP($B229,'Tillförd energi'!$B$1:$AI$720,MATCH(P$1,'Tillförd energi'!$B$1:$AQ$1,0),FALSE)</f>
        <v>0</v>
      </c>
      <c r="Q229" s="31">
        <f>VLOOKUP($B229,'Tillförd energi'!$B$1:$AI$720,MATCH(Q$1,'Tillförd energi'!$B$1:$AQ$1,0),FALSE)</f>
        <v>0</v>
      </c>
      <c r="R229" s="31">
        <f>VLOOKUP($B229,'Tillförd energi'!$B$1:$AI$720,MATCH(R$1,'Tillförd energi'!$B$1:$AQ$1,0),FALSE)</f>
        <v>0</v>
      </c>
      <c r="S229" s="31">
        <f>VLOOKUP($B229,'Tillförd energi'!$B$1:$AI$720,MATCH(S$1,'Tillförd energi'!$B$1:$AQ$1,0),FALSE)</f>
        <v>0</v>
      </c>
      <c r="T229" s="31">
        <f>VLOOKUP($B229,'Tillförd energi'!$B$1:$AI$720,MATCH(T$1,'Tillförd energi'!$B$1:$AQ$1,0),FALSE)</f>
        <v>0</v>
      </c>
      <c r="U229" s="31">
        <f>VLOOKUP($B229,'Tillförd energi'!$B$1:$AI$720,MATCH(U$1,'Tillförd energi'!$B$1:$AQ$1,0),FALSE)</f>
        <v>0</v>
      </c>
      <c r="V229" s="31">
        <f>VLOOKUP($B229,'Tillförd energi'!$B$1:$AI$720,MATCH(V$1,'Tillförd energi'!$B$1:$AQ$1,0),FALSE)</f>
        <v>0</v>
      </c>
      <c r="W229" s="31">
        <f>VLOOKUP($B229,'Tillförd energi'!$B$1:$AI$720,MATCH(W$1,'Tillförd energi'!$B$1:$AQ$1,0),FALSE)</f>
        <v>0</v>
      </c>
      <c r="X229" s="31">
        <f>VLOOKUP($B229,'Tillförd energi'!$B$1:$AI$720,MATCH(X$1,'Tillförd energi'!$B$1:$AQ$1,0),FALSE)</f>
        <v>0</v>
      </c>
      <c r="Y229" s="31">
        <f>VLOOKUP($B229,'Tillförd energi'!$B$1:$AI$720,MATCH(Y$1,'Tillförd energi'!$B$1:$AQ$1,0),FALSE)</f>
        <v>0</v>
      </c>
      <c r="Z229" s="31">
        <f>VLOOKUP($B229,'Tillförd energi'!$B$1:$AI$720,MATCH(Z$1,'Tillförd energi'!$B$1:$AQ$1,0),FALSE)</f>
        <v>0</v>
      </c>
      <c r="AA229" s="31">
        <f>VLOOKUP($B229,'Tillförd energi'!$B$1:$AI$720,MATCH(AA$1,'Tillförd energi'!$B$1:$AQ$1,0),FALSE)</f>
        <v>0</v>
      </c>
      <c r="AB229" s="31">
        <f>VLOOKUP($B229,'Tillförd energi'!$B$1:$AI$720,MATCH(AB$1,'Tillförd energi'!$B$1:$AQ$1,0),FALSE)</f>
        <v>0</v>
      </c>
      <c r="AC229" s="31">
        <f>VLOOKUP($B229,'Tillförd energi'!$B$1:$AI$720,MATCH(AC$1,'Tillförd energi'!$B$1:$AQ$1,0),FALSE)</f>
        <v>0</v>
      </c>
      <c r="AD229" s="31">
        <f>VLOOKUP($B229,'Tillförd energi'!$B$1:$AI$720,MATCH(AD$1,'Tillförd energi'!$B$1:$AQ$1,0),FALSE)</f>
        <v>0</v>
      </c>
      <c r="AE229" s="31">
        <f>VLOOKUP($B229,'Tillförd energi'!$B$1:$AI$720,MATCH(AE$1,'Tillförd energi'!$B$1:$AQ$1,0),FALSE)</f>
        <v>0</v>
      </c>
      <c r="AF229" s="31">
        <f>VLOOKUP($B229,'Tillförd energi'!$B$1:$AI$720,MATCH(AF$1,'Tillförd energi'!$B$1:$AQ$1,0),FALSE)</f>
        <v>0</v>
      </c>
      <c r="AG229" s="31">
        <f>IFERROR(VLOOKUP(B229,Miljö!$B$1:$AC$550,MATCH("Köpt mängd produktionsspecifik fjärrvärme:",Miljö!$B$1:$AC$1,0),FALSE)/1,0)</f>
        <v>0</v>
      </c>
      <c r="AI229" s="31">
        <f t="shared" si="69"/>
        <v>0</v>
      </c>
      <c r="AJ229" s="31">
        <f t="shared" si="70"/>
        <v>0</v>
      </c>
      <c r="AK229" s="31" t="str">
        <f>IF(ISERROR(1/VLOOKUP($B229,Leveranser!$B$1:$S$499,MATCH("Såld värme (GWh)",Leveranser!$B$1:$S$1,0),FALSE)),"",VLOOKUP($B229,Leveranser!$B$1:$S$499,MATCH("Såld värme (GWh)",Leveranser!$B$1:$S$1,0),FALSE))</f>
        <v/>
      </c>
      <c r="AL229" s="31">
        <f>VLOOKUP($B229,Leveranser!$B$1:$Y$499,MATCH("Totalt såld fjärrvärme till andra fjärrvärmeföretag",Leveranser!$B$1:$AA$1,0),FALSE)</f>
        <v>0</v>
      </c>
      <c r="AM229" s="31">
        <f>IF(ISERROR(1/VLOOKUP($B229,Miljö!$B$1:$S$500,MATCH("Såld mängd produktionsspecifik fjärrvärme (GWh)",Miljö!$B$1:$R$1,0),FALSE)),0,VLOOKUP($B229,Miljö!$B$1:$S$500,MATCH("Såld mängd produktionsspecifik fjärrvärme (GWh)",Miljö!$B$1:$R$1,0),FALSE))</f>
        <v>0</v>
      </c>
      <c r="AN229" s="32" t="str">
        <f t="shared" si="71"/>
        <v/>
      </c>
      <c r="AP229" s="31" t="str">
        <f>IFERROR(VLOOKUP($B229,Miljövärden!$B$2:$H$550,7,FALSE),"Nej, saknas")</f>
        <v>Nej</v>
      </c>
      <c r="AQ229" s="31" t="str">
        <f>IFERROR(VLOOKUP($B229,Miljövärden!$B$2:$H$551,6,FALSE),"Nej, saknas")</f>
        <v>Nej</v>
      </c>
      <c r="AU229" s="31">
        <f t="shared" si="72"/>
        <v>0</v>
      </c>
      <c r="AV229" s="31">
        <f t="shared" si="73"/>
        <v>0</v>
      </c>
      <c r="AW229" s="31">
        <f t="shared" si="74"/>
        <v>0</v>
      </c>
      <c r="AX229" s="31">
        <f t="shared" si="75"/>
        <v>0</v>
      </c>
      <c r="AZ229" s="31">
        <f t="shared" si="76"/>
        <v>0</v>
      </c>
      <c r="BC229" s="31">
        <f t="shared" si="77"/>
        <v>0</v>
      </c>
      <c r="BD229" s="31">
        <f t="shared" si="78"/>
        <v>0</v>
      </c>
      <c r="BE229" s="31">
        <f t="shared" si="79"/>
        <v>0</v>
      </c>
      <c r="BF229" s="31">
        <f t="shared" si="80"/>
        <v>0</v>
      </c>
      <c r="BG229" s="31">
        <f t="shared" si="81"/>
        <v>0</v>
      </c>
      <c r="BH229" s="31" t="str">
        <f>VLOOKUP(B229,Miljö!$B$1:$BX$482,MATCH("Fossilandel för ursprungspecificerad el ()",Miljö!$B$1:$I$1,0),FALSE)</f>
        <v>-</v>
      </c>
      <c r="BI229" s="31" t="str">
        <f>VLOOKUP(B229,Miljö!$B$1:$BX$482,MATCH("Kärnkraftsandel för ursprungsspecificerad el ()",Miljö!$B$1:$O$1,0),FALSE)</f>
        <v>-</v>
      </c>
      <c r="BJ229" s="31">
        <f t="shared" si="82"/>
        <v>0</v>
      </c>
      <c r="BK229" s="31" t="str">
        <f>VLOOKUP(B229,Miljö!$B$1:$P$482,MATCH("Fossil andel i procent (%)",Miljö!$B$1:$P$1,0),FALSE)</f>
        <v>-</v>
      </c>
      <c r="BL229" s="31">
        <f t="shared" si="83"/>
        <v>0</v>
      </c>
      <c r="BO229" s="32" t="str">
        <f t="shared" si="84"/>
        <v/>
      </c>
      <c r="BP229" s="32" t="str">
        <f t="shared" si="85"/>
        <v/>
      </c>
      <c r="BQ229" s="32" t="str">
        <f t="shared" si="86"/>
        <v/>
      </c>
      <c r="BR229" s="32" t="str">
        <f t="shared" si="87"/>
        <v/>
      </c>
      <c r="BT229" s="62">
        <f t="shared" si="88"/>
        <v>0</v>
      </c>
      <c r="BW229" s="32" t="str">
        <f>IF(AP229="Ja",VLOOKUP(B229,Miljövärden!$B$2:$H$551,MATCH("Total andel fossilt",Miljövärden!$B$2:$H$2,0),FALSE),"")</f>
        <v/>
      </c>
      <c r="BX229" s="62" t="e">
        <f t="shared" si="89"/>
        <v>#VALUE!</v>
      </c>
      <c r="BZ229" s="31" t="str">
        <f t="shared" si="90"/>
        <v/>
      </c>
      <c r="CA229" s="32" t="str">
        <f t="shared" si="91"/>
        <v/>
      </c>
    </row>
    <row r="230" spans="1:79" x14ac:dyDescent="0.45">
      <c r="A230" s="31" t="s">
        <v>381</v>
      </c>
      <c r="B230" s="31" t="s">
        <v>380</v>
      </c>
      <c r="C230" s="31">
        <f>VLOOKUP($B230,'Tillförd energi'!$B$1:$AI$720,MATCH(C$1,'Tillförd energi'!$B$1:$AQ$1,0),FALSE)</f>
        <v>0</v>
      </c>
      <c r="D230" s="31">
        <f>VLOOKUP($B230,'Tillförd energi'!$B$1:$AI$720,MATCH(D$1,'Tillförd energi'!$B$1:$AQ$1,0),FALSE)</f>
        <v>0.02</v>
      </c>
      <c r="E230" s="31">
        <f>VLOOKUP($B230,'Tillförd energi'!$B$1:$AI$720,MATCH(E$1,'Tillförd energi'!$B$1:$AQ$1,0),FALSE)</f>
        <v>0</v>
      </c>
      <c r="F230" s="31">
        <f>VLOOKUP($B230,'Tillförd energi'!$B$1:$AI$720,MATCH(F$1,'Tillförd energi'!$B$1:$AQ$1,0),FALSE)</f>
        <v>0</v>
      </c>
      <c r="G230" s="31">
        <f>VLOOKUP($B230,'Tillförd energi'!$B$1:$AI$720,MATCH(G$1,'Tillförd energi'!$B$1:$AQ$1,0),FALSE)</f>
        <v>0</v>
      </c>
      <c r="H230" s="31">
        <f>VLOOKUP($B230,'Tillförd energi'!$B$1:$AI$720,MATCH(H$1,'Tillförd energi'!$B$1:$AQ$1,0),FALSE)</f>
        <v>0</v>
      </c>
      <c r="I230" s="31">
        <f>VLOOKUP($B230,'Tillförd energi'!$B$1:$AI$720,MATCH(I$1,'Tillförd energi'!$B$1:$AQ$1,0),FALSE)</f>
        <v>0</v>
      </c>
      <c r="J230" s="31">
        <f>VLOOKUP($B230,'Tillförd energi'!$B$1:$AI$720,MATCH(J$1,'Tillförd energi'!$B$1:$AQ$1,0),FALSE)</f>
        <v>0</v>
      </c>
      <c r="K230" s="31">
        <f>VLOOKUP($B230,'Tillförd energi'!$B$1:$AI$720,MATCH(K$1,'Tillförd energi'!$B$1:$AQ$1,0),FALSE)</f>
        <v>0</v>
      </c>
      <c r="L230" s="31">
        <f>VLOOKUP($B230,'Tillförd energi'!$B$1:$AI$720,MATCH(L$1,'Tillförd energi'!$B$1:$AQ$1,0),FALSE)</f>
        <v>0</v>
      </c>
      <c r="M230" s="31">
        <f>VLOOKUP($B230,'Tillförd energi'!$B$1:$AI$720,MATCH(M$1,'Tillförd energi'!$B$1:$AQ$1,0),FALSE)</f>
        <v>8.59</v>
      </c>
      <c r="N230" s="31">
        <f>VLOOKUP($B230,'Tillförd energi'!$B$1:$AI$720,MATCH(N$1,'Tillförd energi'!$B$1:$AQ$1,0),FALSE)</f>
        <v>0.85299999999999998</v>
      </c>
      <c r="O230" s="31">
        <f>VLOOKUP($B230,'Tillförd energi'!$B$1:$AI$720,MATCH(O$1,'Tillförd energi'!$B$1:$AQ$1,0),FALSE)</f>
        <v>18.704000000000001</v>
      </c>
      <c r="P230" s="31">
        <f>VLOOKUP($B230,'Tillförd energi'!$B$1:$AI$720,MATCH(P$1,'Tillförd energi'!$B$1:$AQ$1,0),FALSE)</f>
        <v>4.4980000000000002</v>
      </c>
      <c r="Q230" s="31">
        <f>VLOOKUP($B230,'Tillförd energi'!$B$1:$AI$720,MATCH(Q$1,'Tillförd energi'!$B$1:$AQ$1,0),FALSE)</f>
        <v>16.760999999999999</v>
      </c>
      <c r="R230" s="31">
        <f>VLOOKUP($B230,'Tillförd energi'!$B$1:$AI$720,MATCH(R$1,'Tillförd energi'!$B$1:$AQ$1,0),FALSE)</f>
        <v>0</v>
      </c>
      <c r="S230" s="31">
        <f>VLOOKUP($B230,'Tillförd energi'!$B$1:$AI$720,MATCH(S$1,'Tillförd energi'!$B$1:$AQ$1,0),FALSE)</f>
        <v>0</v>
      </c>
      <c r="T230" s="31">
        <f>VLOOKUP($B230,'Tillförd energi'!$B$1:$AI$720,MATCH(T$1,'Tillförd energi'!$B$1:$AQ$1,0),FALSE)</f>
        <v>0</v>
      </c>
      <c r="U230" s="31">
        <f>VLOOKUP($B230,'Tillförd energi'!$B$1:$AI$720,MATCH(U$1,'Tillförd energi'!$B$1:$AQ$1,0),FALSE)</f>
        <v>0</v>
      </c>
      <c r="V230" s="31">
        <f>VLOOKUP($B230,'Tillförd energi'!$B$1:$AI$720,MATCH(V$1,'Tillförd energi'!$B$1:$AQ$1,0),FALSE)</f>
        <v>0</v>
      </c>
      <c r="W230" s="31">
        <f>VLOOKUP($B230,'Tillförd energi'!$B$1:$AI$720,MATCH(W$1,'Tillförd energi'!$B$1:$AQ$1,0),FALSE)</f>
        <v>0</v>
      </c>
      <c r="X230" s="31">
        <f>VLOOKUP($B230,'Tillförd energi'!$B$1:$AI$720,MATCH(X$1,'Tillförd energi'!$B$1:$AQ$1,0),FALSE)</f>
        <v>0</v>
      </c>
      <c r="Y230" s="31">
        <f>VLOOKUP($B230,'Tillförd energi'!$B$1:$AI$720,MATCH(Y$1,'Tillförd energi'!$B$1:$AQ$1,0),FALSE)</f>
        <v>0</v>
      </c>
      <c r="Z230" s="31">
        <f>VLOOKUP($B230,'Tillförd energi'!$B$1:$AI$720,MATCH(Z$1,'Tillförd energi'!$B$1:$AQ$1,0),FALSE)</f>
        <v>0</v>
      </c>
      <c r="AA230" s="31">
        <f>VLOOKUP($B230,'Tillförd energi'!$B$1:$AI$720,MATCH(AA$1,'Tillförd energi'!$B$1:$AQ$1,0),FALSE)</f>
        <v>0</v>
      </c>
      <c r="AB230" s="31">
        <f>VLOOKUP($B230,'Tillförd energi'!$B$1:$AI$720,MATCH(AB$1,'Tillförd energi'!$B$1:$AQ$1,0),FALSE)</f>
        <v>0</v>
      </c>
      <c r="AC230" s="31">
        <f>VLOOKUP($B230,'Tillförd energi'!$B$1:$AI$720,MATCH(AC$1,'Tillförd energi'!$B$1:$AQ$1,0),FALSE)</f>
        <v>9.0609999999999999</v>
      </c>
      <c r="AD230" s="31">
        <f>VLOOKUP($B230,'Tillförd energi'!$B$1:$AI$720,MATCH(AD$1,'Tillförd energi'!$B$1:$AQ$1,0),FALSE)</f>
        <v>0</v>
      </c>
      <c r="AE230" s="31">
        <f>VLOOKUP($B230,'Tillförd energi'!$B$1:$AI$720,MATCH(AE$1,'Tillförd energi'!$B$1:$AQ$1,0),FALSE)</f>
        <v>0</v>
      </c>
      <c r="AF230" s="31">
        <f>VLOOKUP($B230,'Tillförd energi'!$B$1:$AI$720,MATCH(AF$1,'Tillförd energi'!$B$1:$AQ$1,0),FALSE)</f>
        <v>1.0289999999999999</v>
      </c>
      <c r="AG230" s="31">
        <f>IFERROR(VLOOKUP(B230,Miljö!$B$1:$AC$550,MATCH("Köpt mängd produktionsspecifik fjärrvärme:",Miljö!$B$1:$AC$1,0),FALSE)/1,0)</f>
        <v>0</v>
      </c>
      <c r="AI230" s="31">
        <f t="shared" si="69"/>
        <v>59.516000000000005</v>
      </c>
      <c r="AJ230" s="31">
        <f t="shared" si="70"/>
        <v>59.516000000000005</v>
      </c>
      <c r="AK230" s="31">
        <f>IF(ISERROR(1/VLOOKUP($B230,Leveranser!$B$1:$S$499,MATCH("Såld värme (GWh)",Leveranser!$B$1:$S$1,0),FALSE)),"",VLOOKUP($B230,Leveranser!$B$1:$S$499,MATCH("Såld värme (GWh)",Leveranser!$B$1:$S$1,0),FALSE))</f>
        <v>44.9</v>
      </c>
      <c r="AL230" s="31">
        <f>VLOOKUP($B230,Leveranser!$B$1:$Y$499,MATCH("Totalt såld fjärrvärme till andra fjärrvärmeföretag",Leveranser!$B$1:$AA$1,0),FALSE)</f>
        <v>0</v>
      </c>
      <c r="AM230" s="31">
        <f>IF(ISERROR(1/VLOOKUP($B230,Miljö!$B$1:$S$500,MATCH("Såld mängd produktionsspecifik fjärrvärme (GWh)",Miljö!$B$1:$R$1,0),FALSE)),0,VLOOKUP($B230,Miljö!$B$1:$S$500,MATCH("Såld mängd produktionsspecifik fjärrvärme (GWh)",Miljö!$B$1:$R$1,0),FALSE))</f>
        <v>0</v>
      </c>
      <c r="AN230" s="32">
        <f t="shared" si="71"/>
        <v>0.75441897977014571</v>
      </c>
      <c r="AP230" s="31" t="str">
        <f>IFERROR(VLOOKUP($B230,Miljövärden!$B$2:$H$550,7,FALSE),"Nej, saknas")</f>
        <v>Ja</v>
      </c>
      <c r="AQ230" s="31" t="str">
        <f>IFERROR(VLOOKUP($B230,Miljövärden!$B$2:$H$551,6,FALSE),"Nej, saknas")</f>
        <v>Ja</v>
      </c>
      <c r="AU230" s="31">
        <f t="shared" si="72"/>
        <v>1.0289999999999999</v>
      </c>
      <c r="AV230" s="31">
        <f t="shared" si="73"/>
        <v>0</v>
      </c>
      <c r="AW230" s="31">
        <f t="shared" si="74"/>
        <v>49.405999999999992</v>
      </c>
      <c r="AX230" s="31">
        <f t="shared" si="75"/>
        <v>0</v>
      </c>
      <c r="AZ230" s="31">
        <f t="shared" si="76"/>
        <v>49.405999999999992</v>
      </c>
      <c r="BC230" s="31">
        <f t="shared" si="77"/>
        <v>0.02</v>
      </c>
      <c r="BD230" s="31">
        <f t="shared" si="78"/>
        <v>0</v>
      </c>
      <c r="BE230" s="31">
        <f t="shared" si="79"/>
        <v>49.405999999999992</v>
      </c>
      <c r="BF230" s="31">
        <f t="shared" si="80"/>
        <v>9.0609999999999999</v>
      </c>
      <c r="BG230" s="31">
        <f t="shared" si="81"/>
        <v>1.0289999999999999</v>
      </c>
      <c r="BH230" s="31">
        <f>VLOOKUP(B230,Miljö!$B$1:$BX$482,MATCH("Fossilandel för ursprungspecificerad el ()",Miljö!$B$1:$I$1,0),FALSE)</f>
        <v>0</v>
      </c>
      <c r="BI230" s="31">
        <f>VLOOKUP(B230,Miljö!$B$1:$BX$482,MATCH("Kärnkraftsandel för ursprungsspecificerad el ()",Miljö!$B$1:$O$1,0),FALSE)</f>
        <v>0</v>
      </c>
      <c r="BJ230" s="31">
        <f t="shared" si="82"/>
        <v>0</v>
      </c>
      <c r="BK230" s="31" t="str">
        <f>VLOOKUP(B230,Miljö!$B$1:$P$482,MATCH("Fossil andel i procent (%)",Miljö!$B$1:$P$1,0),FALSE)</f>
        <v>ET</v>
      </c>
      <c r="BL230" s="31">
        <f t="shared" si="83"/>
        <v>59.515999999999991</v>
      </c>
      <c r="BO230" s="32">
        <f t="shared" si="84"/>
        <v>3.3604408898447481E-4</v>
      </c>
      <c r="BP230" s="32">
        <f t="shared" si="85"/>
        <v>0</v>
      </c>
      <c r="BQ230" s="32">
        <f t="shared" si="86"/>
        <v>0.84741918139659911</v>
      </c>
      <c r="BR230" s="32">
        <f t="shared" si="87"/>
        <v>0.15224477451441631</v>
      </c>
      <c r="BT230" s="62">
        <f t="shared" si="88"/>
        <v>0.99999999999999989</v>
      </c>
      <c r="BW230" s="32">
        <f>IF(AP230="Ja",VLOOKUP(B230,Miljövärden!$B$2:$H$551,MATCH("Total andel fossilt",Miljövärden!$B$2:$H$2,0),FALSE),"")</f>
        <v>3.3604400000000002E-4</v>
      </c>
      <c r="BX230" s="62">
        <f t="shared" si="89"/>
        <v>-8.8984474790835405E-11</v>
      </c>
      <c r="BZ230" s="31">
        <f t="shared" si="90"/>
        <v>-8.8984474790835405E-11</v>
      </c>
      <c r="CA230" s="32">
        <f t="shared" si="91"/>
        <v>0</v>
      </c>
    </row>
    <row r="231" spans="1:79" x14ac:dyDescent="0.45">
      <c r="A231" s="31" t="s">
        <v>376</v>
      </c>
      <c r="B231" s="31" t="s">
        <v>379</v>
      </c>
      <c r="C231" s="31">
        <f>VLOOKUP($B231,'Tillförd energi'!$B$1:$AI$720,MATCH(C$1,'Tillförd energi'!$B$1:$AQ$1,0),FALSE)</f>
        <v>0</v>
      </c>
      <c r="D231" s="31">
        <f>VLOOKUP($B231,'Tillförd energi'!$B$1:$AI$720,MATCH(D$1,'Tillförd energi'!$B$1:$AQ$1,0),FALSE)</f>
        <v>1.4999999999999999E-2</v>
      </c>
      <c r="E231" s="31">
        <f>VLOOKUP($B231,'Tillförd energi'!$B$1:$AI$720,MATCH(E$1,'Tillförd energi'!$B$1:$AQ$1,0),FALSE)</f>
        <v>0</v>
      </c>
      <c r="F231" s="31">
        <f>VLOOKUP($B231,'Tillförd energi'!$B$1:$AI$720,MATCH(F$1,'Tillförd energi'!$B$1:$AQ$1,0),FALSE)</f>
        <v>0</v>
      </c>
      <c r="G231" s="31">
        <f>VLOOKUP($B231,'Tillförd energi'!$B$1:$AI$720,MATCH(G$1,'Tillförd energi'!$B$1:$AQ$1,0),FALSE)</f>
        <v>0</v>
      </c>
      <c r="H231" s="31">
        <f>VLOOKUP($B231,'Tillförd energi'!$B$1:$AI$720,MATCH(H$1,'Tillförd energi'!$B$1:$AQ$1,0),FALSE)</f>
        <v>0</v>
      </c>
      <c r="I231" s="31">
        <f>VLOOKUP($B231,'Tillförd energi'!$B$1:$AI$720,MATCH(I$1,'Tillförd energi'!$B$1:$AQ$1,0),FALSE)</f>
        <v>0</v>
      </c>
      <c r="J231" s="31">
        <f>VLOOKUP($B231,'Tillförd energi'!$B$1:$AI$720,MATCH(J$1,'Tillförd energi'!$B$1:$AQ$1,0),FALSE)</f>
        <v>0</v>
      </c>
      <c r="K231" s="31">
        <f>VLOOKUP($B231,'Tillförd energi'!$B$1:$AI$720,MATCH(K$1,'Tillförd energi'!$B$1:$AQ$1,0),FALSE)</f>
        <v>0</v>
      </c>
      <c r="L231" s="31">
        <f>VLOOKUP($B231,'Tillförd energi'!$B$1:$AI$720,MATCH(L$1,'Tillförd energi'!$B$1:$AQ$1,0),FALSE)</f>
        <v>0</v>
      </c>
      <c r="M231" s="31">
        <f>VLOOKUP($B231,'Tillförd energi'!$B$1:$AI$720,MATCH(M$1,'Tillförd energi'!$B$1:$AQ$1,0),FALSE)</f>
        <v>0</v>
      </c>
      <c r="N231" s="31">
        <f>VLOOKUP($B231,'Tillförd energi'!$B$1:$AI$720,MATCH(N$1,'Tillförd energi'!$B$1:$AQ$1,0),FALSE)</f>
        <v>0</v>
      </c>
      <c r="O231" s="31">
        <f>VLOOKUP($B231,'Tillförd energi'!$B$1:$AI$720,MATCH(O$1,'Tillförd energi'!$B$1:$AQ$1,0),FALSE)</f>
        <v>0</v>
      </c>
      <c r="P231" s="31">
        <f>VLOOKUP($B231,'Tillförd energi'!$B$1:$AI$720,MATCH(P$1,'Tillförd energi'!$B$1:$AQ$1,0),FALSE)</f>
        <v>0</v>
      </c>
      <c r="Q231" s="31">
        <f>VLOOKUP($B231,'Tillförd energi'!$B$1:$AI$720,MATCH(Q$1,'Tillförd energi'!$B$1:$AQ$1,0),FALSE)</f>
        <v>0</v>
      </c>
      <c r="R231" s="31">
        <f>VLOOKUP($B231,'Tillförd energi'!$B$1:$AI$720,MATCH(R$1,'Tillförd energi'!$B$1:$AQ$1,0),FALSE)</f>
        <v>7.69</v>
      </c>
      <c r="S231" s="31">
        <f>VLOOKUP($B231,'Tillförd energi'!$B$1:$AI$720,MATCH(S$1,'Tillförd energi'!$B$1:$AQ$1,0),FALSE)</f>
        <v>0</v>
      </c>
      <c r="T231" s="31">
        <f>VLOOKUP($B231,'Tillförd energi'!$B$1:$AI$720,MATCH(T$1,'Tillförd energi'!$B$1:$AQ$1,0),FALSE)</f>
        <v>0</v>
      </c>
      <c r="U231" s="31">
        <f>VLOOKUP($B231,'Tillförd energi'!$B$1:$AI$720,MATCH(U$1,'Tillförd energi'!$B$1:$AQ$1,0),FALSE)</f>
        <v>0</v>
      </c>
      <c r="V231" s="31">
        <f>VLOOKUP($B231,'Tillförd energi'!$B$1:$AI$720,MATCH(V$1,'Tillförd energi'!$B$1:$AQ$1,0),FALSE)</f>
        <v>0</v>
      </c>
      <c r="W231" s="31">
        <f>VLOOKUP($B231,'Tillförd energi'!$B$1:$AI$720,MATCH(W$1,'Tillförd energi'!$B$1:$AQ$1,0),FALSE)</f>
        <v>0</v>
      </c>
      <c r="X231" s="31">
        <f>VLOOKUP($B231,'Tillförd energi'!$B$1:$AI$720,MATCH(X$1,'Tillförd energi'!$B$1:$AQ$1,0),FALSE)</f>
        <v>0</v>
      </c>
      <c r="Y231" s="31">
        <f>VLOOKUP($B231,'Tillförd energi'!$B$1:$AI$720,MATCH(Y$1,'Tillförd energi'!$B$1:$AQ$1,0),FALSE)</f>
        <v>0</v>
      </c>
      <c r="Z231" s="31">
        <f>VLOOKUP($B231,'Tillförd energi'!$B$1:$AI$720,MATCH(Z$1,'Tillförd energi'!$B$1:$AQ$1,0),FALSE)</f>
        <v>0</v>
      </c>
      <c r="AA231" s="31">
        <f>VLOOKUP($B231,'Tillförd energi'!$B$1:$AI$720,MATCH(AA$1,'Tillförd energi'!$B$1:$AQ$1,0),FALSE)</f>
        <v>0</v>
      </c>
      <c r="AB231" s="31">
        <f>VLOOKUP($B231,'Tillförd energi'!$B$1:$AI$720,MATCH(AB$1,'Tillförd energi'!$B$1:$AQ$1,0),FALSE)</f>
        <v>0</v>
      </c>
      <c r="AC231" s="31">
        <f>VLOOKUP($B231,'Tillförd energi'!$B$1:$AI$720,MATCH(AC$1,'Tillförd energi'!$B$1:$AQ$1,0),FALSE)</f>
        <v>0</v>
      </c>
      <c r="AD231" s="31">
        <f>VLOOKUP($B231,'Tillförd energi'!$B$1:$AI$720,MATCH(AD$1,'Tillförd energi'!$B$1:$AQ$1,0),FALSE)</f>
        <v>0</v>
      </c>
      <c r="AE231" s="31">
        <f>VLOOKUP($B231,'Tillförd energi'!$B$1:$AI$720,MATCH(AE$1,'Tillförd energi'!$B$1:$AQ$1,0),FALSE)</f>
        <v>0</v>
      </c>
      <c r="AF231" s="31">
        <f>VLOOKUP($B231,'Tillförd energi'!$B$1:$AI$720,MATCH(AF$1,'Tillförd energi'!$B$1:$AQ$1,0),FALSE)</f>
        <v>0.6</v>
      </c>
      <c r="AG231" s="31">
        <f>IFERROR(VLOOKUP(B231,Miljö!$B$1:$AC$550,MATCH("Köpt mängd produktionsspecifik fjärrvärme:",Miljö!$B$1:$AC$1,0),FALSE)/1,0)</f>
        <v>0</v>
      </c>
      <c r="AI231" s="31">
        <f t="shared" si="69"/>
        <v>8.3049999999999997</v>
      </c>
      <c r="AJ231" s="31">
        <f t="shared" si="70"/>
        <v>8.3049999999999997</v>
      </c>
      <c r="AK231" s="31">
        <f>IF(ISERROR(1/VLOOKUP($B231,Leveranser!$B$1:$S$499,MATCH("Såld värme (GWh)",Leveranser!$B$1:$S$1,0),FALSE)),"",VLOOKUP($B231,Leveranser!$B$1:$S$499,MATCH("Såld värme (GWh)",Leveranser!$B$1:$S$1,0),FALSE))</f>
        <v>6.26</v>
      </c>
      <c r="AL231" s="31">
        <f>VLOOKUP($B231,Leveranser!$B$1:$Y$499,MATCH("Totalt såld fjärrvärme till andra fjärrvärmeföretag",Leveranser!$B$1:$AA$1,0),FALSE)</f>
        <v>0</v>
      </c>
      <c r="AM231" s="31">
        <f>IF(ISERROR(1/VLOOKUP($B231,Miljö!$B$1:$S$500,MATCH("Såld mängd produktionsspecifik fjärrvärme (GWh)",Miljö!$B$1:$R$1,0),FALSE)),0,VLOOKUP($B231,Miljö!$B$1:$S$500,MATCH("Såld mängd produktionsspecifik fjärrvärme (GWh)",Miljö!$B$1:$R$1,0),FALSE))</f>
        <v>0</v>
      </c>
      <c r="AN231" s="32">
        <f t="shared" si="71"/>
        <v>0.75376279349789288</v>
      </c>
      <c r="AP231" s="31" t="str">
        <f>IFERROR(VLOOKUP($B231,Miljövärden!$B$2:$H$550,7,FALSE),"Nej, saknas")</f>
        <v>Ja</v>
      </c>
      <c r="AQ231" s="31" t="str">
        <f>IFERROR(VLOOKUP($B231,Miljövärden!$B$2:$H$551,6,FALSE),"Nej, saknas")</f>
        <v>Ja</v>
      </c>
      <c r="AU231" s="31">
        <f t="shared" si="72"/>
        <v>0.6</v>
      </c>
      <c r="AV231" s="31">
        <f t="shared" si="73"/>
        <v>0</v>
      </c>
      <c r="AW231" s="31">
        <f t="shared" si="74"/>
        <v>0</v>
      </c>
      <c r="AX231" s="31">
        <f t="shared" si="75"/>
        <v>7.69</v>
      </c>
      <c r="AZ231" s="31">
        <f t="shared" si="76"/>
        <v>7.69</v>
      </c>
      <c r="BC231" s="31">
        <f t="shared" si="77"/>
        <v>1.4999999999999999E-2</v>
      </c>
      <c r="BD231" s="31">
        <f t="shared" si="78"/>
        <v>0</v>
      </c>
      <c r="BE231" s="31">
        <f t="shared" si="79"/>
        <v>7.69</v>
      </c>
      <c r="BF231" s="31">
        <f t="shared" si="80"/>
        <v>0</v>
      </c>
      <c r="BG231" s="31">
        <f t="shared" si="81"/>
        <v>0.6</v>
      </c>
      <c r="BH231" s="31">
        <f>VLOOKUP(B231,Miljö!$B$1:$BX$482,MATCH("Fossilandel för ursprungspecificerad el ()",Miljö!$B$1:$I$1,0),FALSE)</f>
        <v>0</v>
      </c>
      <c r="BI231" s="31">
        <f>VLOOKUP(B231,Miljö!$B$1:$BX$482,MATCH("Kärnkraftsandel för ursprungsspecificerad el ()",Miljö!$B$1:$O$1,0),FALSE)</f>
        <v>0</v>
      </c>
      <c r="BJ231" s="31">
        <f t="shared" si="82"/>
        <v>0</v>
      </c>
      <c r="BK231" s="31" t="str">
        <f>VLOOKUP(B231,Miljö!$B$1:$P$482,MATCH("Fossil andel i procent (%)",Miljö!$B$1:$P$1,0),FALSE)</f>
        <v>ET</v>
      </c>
      <c r="BL231" s="31">
        <f t="shared" si="83"/>
        <v>8.3049999999999997</v>
      </c>
      <c r="BO231" s="32">
        <f t="shared" si="84"/>
        <v>1.8061408789885611E-3</v>
      </c>
      <c r="BP231" s="32">
        <f t="shared" si="85"/>
        <v>0</v>
      </c>
      <c r="BQ231" s="32">
        <f t="shared" si="86"/>
        <v>0.99819385912101155</v>
      </c>
      <c r="BR231" s="32">
        <f t="shared" si="87"/>
        <v>0</v>
      </c>
      <c r="BT231" s="62">
        <f t="shared" si="88"/>
        <v>1.0000000000000002</v>
      </c>
      <c r="BW231" s="32">
        <f>IF(AP231="Ja",VLOOKUP(B231,Miljövärden!$B$2:$H$551,MATCH("Total andel fossilt",Miljövärden!$B$2:$H$2,0),FALSE),"")</f>
        <v>1.8061399999999999E-3</v>
      </c>
      <c r="BX231" s="62">
        <f t="shared" si="89"/>
        <v>-8.789885611905357E-10</v>
      </c>
      <c r="BZ231" s="31">
        <f t="shared" si="90"/>
        <v>-8.789885611905357E-10</v>
      </c>
      <c r="CA231" s="32">
        <f t="shared" si="91"/>
        <v>0</v>
      </c>
    </row>
    <row r="232" spans="1:79" x14ac:dyDescent="0.45">
      <c r="A232" s="31" t="s">
        <v>376</v>
      </c>
      <c r="B232" s="31" t="s">
        <v>378</v>
      </c>
      <c r="C232" s="31">
        <f>VLOOKUP($B232,'Tillförd energi'!$B$1:$AI$720,MATCH(C$1,'Tillförd energi'!$B$1:$AQ$1,0),FALSE)</f>
        <v>0</v>
      </c>
      <c r="D232" s="31">
        <f>VLOOKUP($B232,'Tillförd energi'!$B$1:$AI$720,MATCH(D$1,'Tillförd energi'!$B$1:$AQ$1,0),FALSE)</f>
        <v>2.2799999999999998</v>
      </c>
      <c r="E232" s="31">
        <f>VLOOKUP($B232,'Tillförd energi'!$B$1:$AI$720,MATCH(E$1,'Tillförd energi'!$B$1:$AQ$1,0),FALSE)</f>
        <v>0</v>
      </c>
      <c r="F232" s="31">
        <f>VLOOKUP($B232,'Tillförd energi'!$B$1:$AI$720,MATCH(F$1,'Tillförd energi'!$B$1:$AQ$1,0),FALSE)</f>
        <v>0</v>
      </c>
      <c r="G232" s="31">
        <f>VLOOKUP($B232,'Tillförd energi'!$B$1:$AI$720,MATCH(G$1,'Tillförd energi'!$B$1:$AQ$1,0),FALSE)</f>
        <v>0</v>
      </c>
      <c r="H232" s="31">
        <f>VLOOKUP($B232,'Tillförd energi'!$B$1:$AI$720,MATCH(H$1,'Tillförd energi'!$B$1:$AQ$1,0),FALSE)</f>
        <v>1.63</v>
      </c>
      <c r="I232" s="31">
        <f>VLOOKUP($B232,'Tillförd energi'!$B$1:$AI$720,MATCH(I$1,'Tillförd energi'!$B$1:$AQ$1,0),FALSE)</f>
        <v>0</v>
      </c>
      <c r="J232" s="31">
        <f>VLOOKUP($B232,'Tillförd energi'!$B$1:$AI$720,MATCH(J$1,'Tillförd energi'!$B$1:$AQ$1,0),FALSE)</f>
        <v>0</v>
      </c>
      <c r="K232" s="31">
        <f>VLOOKUP($B232,'Tillförd energi'!$B$1:$AI$720,MATCH(K$1,'Tillförd energi'!$B$1:$AQ$1,0),FALSE)</f>
        <v>0</v>
      </c>
      <c r="L232" s="31">
        <f>VLOOKUP($B232,'Tillförd energi'!$B$1:$AI$720,MATCH(L$1,'Tillförd energi'!$B$1:$AQ$1,0),FALSE)</f>
        <v>0</v>
      </c>
      <c r="M232" s="31">
        <f>VLOOKUP($B232,'Tillförd energi'!$B$1:$AI$720,MATCH(M$1,'Tillförd energi'!$B$1:$AQ$1,0),FALSE)</f>
        <v>0</v>
      </c>
      <c r="N232" s="31">
        <f>VLOOKUP($B232,'Tillförd energi'!$B$1:$AI$720,MATCH(N$1,'Tillförd energi'!$B$1:$AQ$1,0),FALSE)</f>
        <v>0</v>
      </c>
      <c r="O232" s="31">
        <f>VLOOKUP($B232,'Tillförd energi'!$B$1:$AI$720,MATCH(O$1,'Tillförd energi'!$B$1:$AQ$1,0),FALSE)</f>
        <v>0</v>
      </c>
      <c r="P232" s="31">
        <f>VLOOKUP($B232,'Tillförd energi'!$B$1:$AI$720,MATCH(P$1,'Tillförd energi'!$B$1:$AQ$1,0),FALSE)</f>
        <v>0</v>
      </c>
      <c r="Q232" s="31">
        <f>VLOOKUP($B232,'Tillförd energi'!$B$1:$AI$720,MATCH(Q$1,'Tillförd energi'!$B$1:$AQ$1,0),FALSE)</f>
        <v>0</v>
      </c>
      <c r="R232" s="31">
        <f>VLOOKUP($B232,'Tillförd energi'!$B$1:$AI$720,MATCH(R$1,'Tillförd energi'!$B$1:$AQ$1,0),FALSE)</f>
        <v>0</v>
      </c>
      <c r="S232" s="31">
        <f>VLOOKUP($B232,'Tillförd energi'!$B$1:$AI$720,MATCH(S$1,'Tillförd energi'!$B$1:$AQ$1,0),FALSE)</f>
        <v>0</v>
      </c>
      <c r="T232" s="31">
        <f>VLOOKUP($B232,'Tillförd energi'!$B$1:$AI$720,MATCH(T$1,'Tillförd energi'!$B$1:$AQ$1,0),FALSE)</f>
        <v>0</v>
      </c>
      <c r="U232" s="31">
        <f>VLOOKUP($B232,'Tillförd energi'!$B$1:$AI$720,MATCH(U$1,'Tillförd energi'!$B$1:$AQ$1,0),FALSE)</f>
        <v>0</v>
      </c>
      <c r="V232" s="31">
        <f>VLOOKUP($B232,'Tillförd energi'!$B$1:$AI$720,MATCH(V$1,'Tillförd energi'!$B$1:$AQ$1,0),FALSE)</f>
        <v>0</v>
      </c>
      <c r="W232" s="31">
        <f>VLOOKUP($B232,'Tillförd energi'!$B$1:$AI$720,MATCH(W$1,'Tillförd energi'!$B$1:$AQ$1,0),FALSE)</f>
        <v>0</v>
      </c>
      <c r="X232" s="31">
        <f>VLOOKUP($B232,'Tillförd energi'!$B$1:$AI$720,MATCH(X$1,'Tillförd energi'!$B$1:$AQ$1,0),FALSE)</f>
        <v>0</v>
      </c>
      <c r="Y232" s="31">
        <f>VLOOKUP($B232,'Tillförd energi'!$B$1:$AI$720,MATCH(Y$1,'Tillförd energi'!$B$1:$AQ$1,0),FALSE)</f>
        <v>0</v>
      </c>
      <c r="Z232" s="31">
        <f>VLOOKUP($B232,'Tillförd energi'!$B$1:$AI$720,MATCH(Z$1,'Tillförd energi'!$B$1:$AQ$1,0),FALSE)</f>
        <v>0</v>
      </c>
      <c r="AA232" s="31">
        <f>VLOOKUP($B232,'Tillförd energi'!$B$1:$AI$720,MATCH(AA$1,'Tillförd energi'!$B$1:$AQ$1,0),FALSE)</f>
        <v>0</v>
      </c>
      <c r="AB232" s="31">
        <f>VLOOKUP($B232,'Tillförd energi'!$B$1:$AI$720,MATCH(AB$1,'Tillförd energi'!$B$1:$AQ$1,0),FALSE)</f>
        <v>0</v>
      </c>
      <c r="AC232" s="31">
        <f>VLOOKUP($B232,'Tillförd energi'!$B$1:$AI$720,MATCH(AC$1,'Tillförd energi'!$B$1:$AQ$1,0),FALSE)</f>
        <v>0</v>
      </c>
      <c r="AD232" s="31">
        <f>VLOOKUP($B232,'Tillförd energi'!$B$1:$AI$720,MATCH(AD$1,'Tillförd energi'!$B$1:$AQ$1,0),FALSE)</f>
        <v>300</v>
      </c>
      <c r="AE232" s="31">
        <f>VLOOKUP($B232,'Tillförd energi'!$B$1:$AI$720,MATCH(AE$1,'Tillförd energi'!$B$1:$AQ$1,0),FALSE)</f>
        <v>0</v>
      </c>
      <c r="AF232" s="31">
        <f>VLOOKUP($B232,'Tillförd energi'!$B$1:$AI$720,MATCH(AF$1,'Tillförd energi'!$B$1:$AQ$1,0),FALSE)</f>
        <v>2</v>
      </c>
      <c r="AG232" s="31">
        <f>IFERROR(VLOOKUP(B232,Miljö!$B$1:$AC$550,MATCH("Köpt mängd produktionsspecifik fjärrvärme:",Miljö!$B$1:$AC$1,0),FALSE)/1,0)</f>
        <v>0</v>
      </c>
      <c r="AI232" s="31">
        <f t="shared" si="69"/>
        <v>305.91000000000003</v>
      </c>
      <c r="AJ232" s="31">
        <f t="shared" si="70"/>
        <v>305.91000000000003</v>
      </c>
      <c r="AK232" s="31">
        <f>IF(ISERROR(1/VLOOKUP($B232,Leveranser!$B$1:$S$499,MATCH("Såld värme (GWh)",Leveranser!$B$1:$S$1,0),FALSE)),"",VLOOKUP($B232,Leveranser!$B$1:$S$499,MATCH("Såld värme (GWh)",Leveranser!$B$1:$S$1,0),FALSE))</f>
        <v>255.83</v>
      </c>
      <c r="AL232" s="31">
        <f>VLOOKUP($B232,Leveranser!$B$1:$Y$499,MATCH("Totalt såld fjärrvärme till andra fjärrvärmeföretag",Leveranser!$B$1:$AA$1,0),FALSE)</f>
        <v>0</v>
      </c>
      <c r="AM232" s="31">
        <f>IF(ISERROR(1/VLOOKUP($B232,Miljö!$B$1:$S$500,MATCH("Såld mängd produktionsspecifik fjärrvärme (GWh)",Miljö!$B$1:$R$1,0),FALSE)),0,VLOOKUP($B232,Miljö!$B$1:$S$500,MATCH("Såld mängd produktionsspecifik fjärrvärme (GWh)",Miljö!$B$1:$R$1,0),FALSE))</f>
        <v>0</v>
      </c>
      <c r="AN232" s="32">
        <f t="shared" si="71"/>
        <v>0.83629171978686534</v>
      </c>
      <c r="AP232" s="31" t="str">
        <f>IFERROR(VLOOKUP($B232,Miljövärden!$B$2:$H$550,7,FALSE),"Nej, saknas")</f>
        <v>Ja</v>
      </c>
      <c r="AQ232" s="31" t="str">
        <f>IFERROR(VLOOKUP($B232,Miljövärden!$B$2:$H$551,6,FALSE),"Nej, saknas")</f>
        <v>Ja</v>
      </c>
      <c r="AU232" s="31">
        <f t="shared" si="72"/>
        <v>2</v>
      </c>
      <c r="AV232" s="31">
        <f t="shared" si="73"/>
        <v>0</v>
      </c>
      <c r="AW232" s="31">
        <f t="shared" si="74"/>
        <v>0</v>
      </c>
      <c r="AX232" s="31">
        <f t="shared" si="75"/>
        <v>0</v>
      </c>
      <c r="AZ232" s="31">
        <f t="shared" si="76"/>
        <v>0</v>
      </c>
      <c r="BC232" s="31">
        <f t="shared" si="77"/>
        <v>3.9099999999999997</v>
      </c>
      <c r="BD232" s="31">
        <f t="shared" si="78"/>
        <v>0</v>
      </c>
      <c r="BE232" s="31">
        <f t="shared" si="79"/>
        <v>0</v>
      </c>
      <c r="BF232" s="31">
        <f t="shared" si="80"/>
        <v>300</v>
      </c>
      <c r="BG232" s="31">
        <f t="shared" si="81"/>
        <v>2</v>
      </c>
      <c r="BH232" s="31">
        <f>VLOOKUP(B232,Miljö!$B$1:$BX$482,MATCH("Fossilandel för ursprungspecificerad el ()",Miljö!$B$1:$I$1,0),FALSE)</f>
        <v>0</v>
      </c>
      <c r="BI232" s="31">
        <f>VLOOKUP(B232,Miljö!$B$1:$BX$482,MATCH("Kärnkraftsandel för ursprungsspecificerad el ()",Miljö!$B$1:$O$1,0),FALSE)</f>
        <v>0</v>
      </c>
      <c r="BJ232" s="31">
        <f t="shared" si="82"/>
        <v>0</v>
      </c>
      <c r="BK232" s="31" t="str">
        <f>VLOOKUP(B232,Miljö!$B$1:$P$482,MATCH("Fossil andel i procent (%)",Miljö!$B$1:$P$1,0),FALSE)</f>
        <v>ET</v>
      </c>
      <c r="BL232" s="31">
        <f t="shared" si="83"/>
        <v>305.91000000000003</v>
      </c>
      <c r="BO232" s="32">
        <f t="shared" si="84"/>
        <v>1.2781537053381711E-2</v>
      </c>
      <c r="BP232" s="32">
        <f t="shared" si="85"/>
        <v>0</v>
      </c>
      <c r="BQ232" s="32">
        <f t="shared" si="86"/>
        <v>6.5378706155405182E-3</v>
      </c>
      <c r="BR232" s="32">
        <f t="shared" si="87"/>
        <v>0.98068059233107774</v>
      </c>
      <c r="BT232" s="62">
        <f t="shared" si="88"/>
        <v>1</v>
      </c>
      <c r="BW232" s="32">
        <f>IF(AP232="Ja",VLOOKUP(B232,Miljövärden!$B$2:$H$551,MATCH("Total andel fossilt",Miljövärden!$B$2:$H$2,0),FALSE),"")</f>
        <v>1.2781499999999999E-2</v>
      </c>
      <c r="BX232" s="62">
        <f t="shared" si="89"/>
        <v>-3.7053381711851796E-8</v>
      </c>
      <c r="BZ232" s="31">
        <f t="shared" si="90"/>
        <v>-3.7053381711851796E-8</v>
      </c>
      <c r="CA232" s="32">
        <f t="shared" si="91"/>
        <v>0</v>
      </c>
    </row>
    <row r="233" spans="1:79" x14ac:dyDescent="0.45">
      <c r="A233" s="31" t="s">
        <v>376</v>
      </c>
      <c r="B233" s="31" t="s">
        <v>377</v>
      </c>
      <c r="C233" s="31">
        <f>VLOOKUP($B233,'Tillförd energi'!$B$1:$AI$720,MATCH(C$1,'Tillförd energi'!$B$1:$AQ$1,0),FALSE)</f>
        <v>0</v>
      </c>
      <c r="D233" s="31">
        <f>VLOOKUP($B233,'Tillförd energi'!$B$1:$AI$720,MATCH(D$1,'Tillförd energi'!$B$1:$AQ$1,0),FALSE)</f>
        <v>0</v>
      </c>
      <c r="E233" s="31">
        <f>VLOOKUP($B233,'Tillförd energi'!$B$1:$AI$720,MATCH(E$1,'Tillförd energi'!$B$1:$AQ$1,0),FALSE)</f>
        <v>0</v>
      </c>
      <c r="F233" s="31">
        <f>VLOOKUP($B233,'Tillförd energi'!$B$1:$AI$720,MATCH(F$1,'Tillförd energi'!$B$1:$AQ$1,0),FALSE)</f>
        <v>0</v>
      </c>
      <c r="G233" s="31">
        <f>VLOOKUP($B233,'Tillförd energi'!$B$1:$AI$720,MATCH(G$1,'Tillförd energi'!$B$1:$AQ$1,0),FALSE)</f>
        <v>0</v>
      </c>
      <c r="H233" s="31">
        <f>VLOOKUP($B233,'Tillförd energi'!$B$1:$AI$720,MATCH(H$1,'Tillförd energi'!$B$1:$AQ$1,0),FALSE)</f>
        <v>0</v>
      </c>
      <c r="I233" s="31">
        <f>VLOOKUP($B233,'Tillförd energi'!$B$1:$AI$720,MATCH(I$1,'Tillförd energi'!$B$1:$AQ$1,0),FALSE)</f>
        <v>0</v>
      </c>
      <c r="J233" s="31">
        <f>VLOOKUP($B233,'Tillförd energi'!$B$1:$AI$720,MATCH(J$1,'Tillförd energi'!$B$1:$AQ$1,0),FALSE)</f>
        <v>0</v>
      </c>
      <c r="K233" s="31">
        <f>VLOOKUP($B233,'Tillförd energi'!$B$1:$AI$720,MATCH(K$1,'Tillförd energi'!$B$1:$AQ$1,0),FALSE)</f>
        <v>0</v>
      </c>
      <c r="L233" s="31">
        <f>VLOOKUP($B233,'Tillförd energi'!$B$1:$AI$720,MATCH(L$1,'Tillförd energi'!$B$1:$AQ$1,0),FALSE)</f>
        <v>0</v>
      </c>
      <c r="M233" s="31">
        <f>VLOOKUP($B233,'Tillförd energi'!$B$1:$AI$720,MATCH(M$1,'Tillförd energi'!$B$1:$AQ$1,0),FALSE)</f>
        <v>0</v>
      </c>
      <c r="N233" s="31">
        <f>VLOOKUP($B233,'Tillförd energi'!$B$1:$AI$720,MATCH(N$1,'Tillförd energi'!$B$1:$AQ$1,0),FALSE)</f>
        <v>0</v>
      </c>
      <c r="O233" s="31">
        <f>VLOOKUP($B233,'Tillförd energi'!$B$1:$AI$720,MATCH(O$1,'Tillförd energi'!$B$1:$AQ$1,0),FALSE)</f>
        <v>0</v>
      </c>
      <c r="P233" s="31">
        <f>VLOOKUP($B233,'Tillförd energi'!$B$1:$AI$720,MATCH(P$1,'Tillförd energi'!$B$1:$AQ$1,0),FALSE)</f>
        <v>0</v>
      </c>
      <c r="Q233" s="31">
        <f>VLOOKUP($B233,'Tillförd energi'!$B$1:$AI$720,MATCH(Q$1,'Tillförd energi'!$B$1:$AQ$1,0),FALSE)</f>
        <v>2.0470600000000001</v>
      </c>
      <c r="R233" s="31">
        <f>VLOOKUP($B233,'Tillförd energi'!$B$1:$AI$720,MATCH(R$1,'Tillförd energi'!$B$1:$AQ$1,0),FALSE)</f>
        <v>0</v>
      </c>
      <c r="S233" s="31">
        <f>VLOOKUP($B233,'Tillförd energi'!$B$1:$AI$720,MATCH(S$1,'Tillförd energi'!$B$1:$AQ$1,0),FALSE)</f>
        <v>0</v>
      </c>
      <c r="T233" s="31">
        <f>VLOOKUP($B233,'Tillförd energi'!$B$1:$AI$720,MATCH(T$1,'Tillförd energi'!$B$1:$AQ$1,0),FALSE)</f>
        <v>0</v>
      </c>
      <c r="U233" s="31">
        <f>VLOOKUP($B233,'Tillförd energi'!$B$1:$AI$720,MATCH(U$1,'Tillförd energi'!$B$1:$AQ$1,0),FALSE)</f>
        <v>0</v>
      </c>
      <c r="V233" s="31">
        <f>VLOOKUP($B233,'Tillförd energi'!$B$1:$AI$720,MATCH(V$1,'Tillförd energi'!$B$1:$AQ$1,0),FALSE)</f>
        <v>0</v>
      </c>
      <c r="W233" s="31">
        <f>VLOOKUP($B233,'Tillförd energi'!$B$1:$AI$720,MATCH(W$1,'Tillförd energi'!$B$1:$AQ$1,0),FALSE)</f>
        <v>0</v>
      </c>
      <c r="X233" s="31">
        <f>VLOOKUP($B233,'Tillförd energi'!$B$1:$AI$720,MATCH(X$1,'Tillförd energi'!$B$1:$AQ$1,0),FALSE)</f>
        <v>0</v>
      </c>
      <c r="Y233" s="31">
        <f>VLOOKUP($B233,'Tillförd energi'!$B$1:$AI$720,MATCH(Y$1,'Tillförd energi'!$B$1:$AQ$1,0),FALSE)</f>
        <v>0</v>
      </c>
      <c r="Z233" s="31">
        <f>VLOOKUP($B233,'Tillförd energi'!$B$1:$AI$720,MATCH(Z$1,'Tillförd energi'!$B$1:$AQ$1,0),FALSE)</f>
        <v>0</v>
      </c>
      <c r="AA233" s="31">
        <f>VLOOKUP($B233,'Tillförd energi'!$B$1:$AI$720,MATCH(AA$1,'Tillförd energi'!$B$1:$AQ$1,0),FALSE)</f>
        <v>0</v>
      </c>
      <c r="AB233" s="31">
        <f>VLOOKUP($B233,'Tillförd energi'!$B$1:$AI$720,MATCH(AB$1,'Tillförd energi'!$B$1:$AQ$1,0),FALSE)</f>
        <v>0</v>
      </c>
      <c r="AC233" s="31">
        <f>VLOOKUP($B233,'Tillförd energi'!$B$1:$AI$720,MATCH(AC$1,'Tillförd energi'!$B$1:$AQ$1,0),FALSE)</f>
        <v>0</v>
      </c>
      <c r="AD233" s="31">
        <f>VLOOKUP($B233,'Tillförd energi'!$B$1:$AI$720,MATCH(AD$1,'Tillförd energi'!$B$1:$AQ$1,0),FALSE)</f>
        <v>0</v>
      </c>
      <c r="AE233" s="31">
        <f>VLOOKUP($B233,'Tillförd energi'!$B$1:$AI$720,MATCH(AE$1,'Tillförd energi'!$B$1:$AQ$1,0),FALSE)</f>
        <v>0</v>
      </c>
      <c r="AF233" s="31">
        <f>VLOOKUP($B233,'Tillförd energi'!$B$1:$AI$720,MATCH(AF$1,'Tillförd energi'!$B$1:$AQ$1,0),FALSE)</f>
        <v>4.53E-2</v>
      </c>
      <c r="AG233" s="31">
        <f>IFERROR(VLOOKUP(B233,Miljö!$B$1:$AC$550,MATCH("Köpt mängd produktionsspecifik fjärrvärme:",Miljö!$B$1:$AC$1,0),FALSE)/1,0)</f>
        <v>0</v>
      </c>
      <c r="AI233" s="31">
        <f t="shared" si="69"/>
        <v>2.0923600000000002</v>
      </c>
      <c r="AJ233" s="31">
        <f t="shared" si="70"/>
        <v>2.0923600000000002</v>
      </c>
      <c r="AK233" s="31">
        <f>IF(ISERROR(1/VLOOKUP($B233,Leveranser!$B$1:$S$499,MATCH("Såld värme (GWh)",Leveranser!$B$1:$S$1,0),FALSE)),"",VLOOKUP($B233,Leveranser!$B$1:$S$499,MATCH("Såld värme (GWh)",Leveranser!$B$1:$S$1,0),FALSE))</f>
        <v>1.51</v>
      </c>
      <c r="AL233" s="31">
        <f>VLOOKUP($B233,Leveranser!$B$1:$Y$499,MATCH("Totalt såld fjärrvärme till andra fjärrvärmeföretag",Leveranser!$B$1:$AA$1,0),FALSE)</f>
        <v>0</v>
      </c>
      <c r="AM233" s="31">
        <f>IF(ISERROR(1/VLOOKUP($B233,Miljö!$B$1:$S$500,MATCH("Såld mängd produktionsspecifik fjärrvärme (GWh)",Miljö!$B$1:$R$1,0),FALSE)),0,VLOOKUP($B233,Miljö!$B$1:$S$500,MATCH("Såld mängd produktionsspecifik fjärrvärme (GWh)",Miljö!$B$1:$R$1,0),FALSE))</f>
        <v>0</v>
      </c>
      <c r="AN233" s="32">
        <f t="shared" si="71"/>
        <v>0.72167313464222216</v>
      </c>
      <c r="AP233" s="31" t="str">
        <f>IFERROR(VLOOKUP($B233,Miljövärden!$B$2:$H$550,7,FALSE),"Nej, saknas")</f>
        <v>Ja</v>
      </c>
      <c r="AQ233" s="31" t="str">
        <f>IFERROR(VLOOKUP($B233,Miljövärden!$B$2:$H$551,6,FALSE),"Nej, saknas")</f>
        <v>Ja</v>
      </c>
      <c r="AU233" s="31">
        <f t="shared" si="72"/>
        <v>4.53E-2</v>
      </c>
      <c r="AV233" s="31">
        <f t="shared" si="73"/>
        <v>0</v>
      </c>
      <c r="AW233" s="31">
        <f t="shared" si="74"/>
        <v>2.0470600000000001</v>
      </c>
      <c r="AX233" s="31">
        <f t="shared" si="75"/>
        <v>0</v>
      </c>
      <c r="AZ233" s="31">
        <f t="shared" si="76"/>
        <v>2.0470600000000001</v>
      </c>
      <c r="BC233" s="31">
        <f t="shared" si="77"/>
        <v>0</v>
      </c>
      <c r="BD233" s="31">
        <f t="shared" si="78"/>
        <v>0</v>
      </c>
      <c r="BE233" s="31">
        <f t="shared" si="79"/>
        <v>2.0470600000000001</v>
      </c>
      <c r="BF233" s="31">
        <f t="shared" si="80"/>
        <v>0</v>
      </c>
      <c r="BG233" s="31">
        <f t="shared" si="81"/>
        <v>4.53E-2</v>
      </c>
      <c r="BH233" s="31">
        <f>VLOOKUP(B233,Miljö!$B$1:$BX$482,MATCH("Fossilandel för ursprungspecificerad el ()",Miljö!$B$1:$I$1,0),FALSE)</f>
        <v>0</v>
      </c>
      <c r="BI233" s="31">
        <f>VLOOKUP(B233,Miljö!$B$1:$BX$482,MATCH("Kärnkraftsandel för ursprungsspecificerad el ()",Miljö!$B$1:$O$1,0),FALSE)</f>
        <v>0</v>
      </c>
      <c r="BJ233" s="31">
        <f t="shared" si="82"/>
        <v>0</v>
      </c>
      <c r="BK233" s="31" t="str">
        <f>VLOOKUP(B233,Miljö!$B$1:$P$482,MATCH("Fossil andel i procent (%)",Miljö!$B$1:$P$1,0),FALSE)</f>
        <v>ET</v>
      </c>
      <c r="BL233" s="31">
        <f t="shared" si="83"/>
        <v>2.0923600000000002</v>
      </c>
      <c r="BO233" s="32">
        <f t="shared" si="84"/>
        <v>0</v>
      </c>
      <c r="BP233" s="32">
        <f t="shared" si="85"/>
        <v>0</v>
      </c>
      <c r="BQ233" s="32">
        <f t="shared" si="86"/>
        <v>1</v>
      </c>
      <c r="BR233" s="32">
        <f t="shared" si="87"/>
        <v>0</v>
      </c>
      <c r="BT233" s="62">
        <f t="shared" si="88"/>
        <v>1</v>
      </c>
      <c r="BW233" s="32">
        <f>IF(AP233="Ja",VLOOKUP(B233,Miljövärden!$B$2:$H$551,MATCH("Total andel fossilt",Miljövärden!$B$2:$H$2,0),FALSE),"")</f>
        <v>0</v>
      </c>
      <c r="BX233" s="62">
        <f t="shared" si="89"/>
        <v>0</v>
      </c>
      <c r="BZ233" s="31">
        <f t="shared" si="90"/>
        <v>0</v>
      </c>
      <c r="CA233" s="32">
        <f t="shared" si="91"/>
        <v>0</v>
      </c>
    </row>
    <row r="234" spans="1:79" x14ac:dyDescent="0.45">
      <c r="A234" s="31" t="s">
        <v>376</v>
      </c>
      <c r="B234" s="31" t="s">
        <v>375</v>
      </c>
      <c r="C234" s="31">
        <f>VLOOKUP($B234,'Tillförd energi'!$B$1:$AI$720,MATCH(C$1,'Tillförd energi'!$B$1:$AQ$1,0),FALSE)</f>
        <v>0</v>
      </c>
      <c r="D234" s="31">
        <f>VLOOKUP($B234,'Tillförd energi'!$B$1:$AI$720,MATCH(D$1,'Tillförd energi'!$B$1:$AQ$1,0),FALSE)</f>
        <v>8.4000000000000005E-2</v>
      </c>
      <c r="E234" s="31">
        <f>VLOOKUP($B234,'Tillförd energi'!$B$1:$AI$720,MATCH(E$1,'Tillförd energi'!$B$1:$AQ$1,0),FALSE)</f>
        <v>0</v>
      </c>
      <c r="F234" s="31">
        <f>VLOOKUP($B234,'Tillförd energi'!$B$1:$AI$720,MATCH(F$1,'Tillförd energi'!$B$1:$AQ$1,0),FALSE)</f>
        <v>0</v>
      </c>
      <c r="G234" s="31">
        <f>VLOOKUP($B234,'Tillförd energi'!$B$1:$AI$720,MATCH(G$1,'Tillförd energi'!$B$1:$AQ$1,0),FALSE)</f>
        <v>0</v>
      </c>
      <c r="H234" s="31">
        <f>VLOOKUP($B234,'Tillförd energi'!$B$1:$AI$720,MATCH(H$1,'Tillförd energi'!$B$1:$AQ$1,0),FALSE)</f>
        <v>0</v>
      </c>
      <c r="I234" s="31">
        <f>VLOOKUP($B234,'Tillförd energi'!$B$1:$AI$720,MATCH(I$1,'Tillförd energi'!$B$1:$AQ$1,0),FALSE)</f>
        <v>0</v>
      </c>
      <c r="J234" s="31">
        <f>VLOOKUP($B234,'Tillförd energi'!$B$1:$AI$720,MATCH(J$1,'Tillförd energi'!$B$1:$AQ$1,0),FALSE)</f>
        <v>0</v>
      </c>
      <c r="K234" s="31">
        <f>VLOOKUP($B234,'Tillförd energi'!$B$1:$AI$720,MATCH(K$1,'Tillförd energi'!$B$1:$AQ$1,0),FALSE)</f>
        <v>0</v>
      </c>
      <c r="L234" s="31">
        <f>VLOOKUP($B234,'Tillförd energi'!$B$1:$AI$720,MATCH(L$1,'Tillförd energi'!$B$1:$AQ$1,0),FALSE)</f>
        <v>0</v>
      </c>
      <c r="M234" s="31">
        <f>VLOOKUP($B234,'Tillförd energi'!$B$1:$AI$720,MATCH(M$1,'Tillförd energi'!$B$1:$AQ$1,0),FALSE)</f>
        <v>0</v>
      </c>
      <c r="N234" s="31">
        <f>VLOOKUP($B234,'Tillförd energi'!$B$1:$AI$720,MATCH(N$1,'Tillförd energi'!$B$1:$AQ$1,0),FALSE)</f>
        <v>0</v>
      </c>
      <c r="O234" s="31">
        <f>VLOOKUP($B234,'Tillförd energi'!$B$1:$AI$720,MATCH(O$1,'Tillförd energi'!$B$1:$AQ$1,0),FALSE)</f>
        <v>0</v>
      </c>
      <c r="P234" s="31">
        <f>VLOOKUP($B234,'Tillförd energi'!$B$1:$AI$720,MATCH(P$1,'Tillförd energi'!$B$1:$AQ$1,0),FALSE)</f>
        <v>0</v>
      </c>
      <c r="Q234" s="31">
        <f>VLOOKUP($B234,'Tillförd energi'!$B$1:$AI$720,MATCH(Q$1,'Tillförd energi'!$B$1:$AQ$1,0),FALSE)</f>
        <v>0</v>
      </c>
      <c r="R234" s="31">
        <f>VLOOKUP($B234,'Tillförd energi'!$B$1:$AI$720,MATCH(R$1,'Tillförd energi'!$B$1:$AQ$1,0),FALSE)</f>
        <v>2.351</v>
      </c>
      <c r="S234" s="31">
        <f>VLOOKUP($B234,'Tillförd energi'!$B$1:$AI$720,MATCH(S$1,'Tillförd energi'!$B$1:$AQ$1,0),FALSE)</f>
        <v>0</v>
      </c>
      <c r="T234" s="31">
        <f>VLOOKUP($B234,'Tillförd energi'!$B$1:$AI$720,MATCH(T$1,'Tillförd energi'!$B$1:$AQ$1,0),FALSE)</f>
        <v>0</v>
      </c>
      <c r="U234" s="31">
        <f>VLOOKUP($B234,'Tillförd energi'!$B$1:$AI$720,MATCH(U$1,'Tillförd energi'!$B$1:$AQ$1,0),FALSE)</f>
        <v>0</v>
      </c>
      <c r="V234" s="31">
        <f>VLOOKUP($B234,'Tillförd energi'!$B$1:$AI$720,MATCH(V$1,'Tillförd energi'!$B$1:$AQ$1,0),FALSE)</f>
        <v>0</v>
      </c>
      <c r="W234" s="31">
        <f>VLOOKUP($B234,'Tillförd energi'!$B$1:$AI$720,MATCH(W$1,'Tillförd energi'!$B$1:$AQ$1,0),FALSE)</f>
        <v>0</v>
      </c>
      <c r="X234" s="31">
        <f>VLOOKUP($B234,'Tillförd energi'!$B$1:$AI$720,MATCH(X$1,'Tillförd energi'!$B$1:$AQ$1,0),FALSE)</f>
        <v>0</v>
      </c>
      <c r="Y234" s="31">
        <f>VLOOKUP($B234,'Tillförd energi'!$B$1:$AI$720,MATCH(Y$1,'Tillförd energi'!$B$1:$AQ$1,0),FALSE)</f>
        <v>0</v>
      </c>
      <c r="Z234" s="31">
        <f>VLOOKUP($B234,'Tillförd energi'!$B$1:$AI$720,MATCH(Z$1,'Tillförd energi'!$B$1:$AQ$1,0),FALSE)</f>
        <v>6.8000000000000005E-2</v>
      </c>
      <c r="AA234" s="31">
        <f>VLOOKUP($B234,'Tillförd energi'!$B$1:$AI$720,MATCH(AA$1,'Tillförd energi'!$B$1:$AQ$1,0),FALSE)</f>
        <v>0</v>
      </c>
      <c r="AB234" s="31">
        <f>VLOOKUP($B234,'Tillförd energi'!$B$1:$AI$720,MATCH(AB$1,'Tillförd energi'!$B$1:$AQ$1,0),FALSE)</f>
        <v>0</v>
      </c>
      <c r="AC234" s="31">
        <f>VLOOKUP($B234,'Tillförd energi'!$B$1:$AI$720,MATCH(AC$1,'Tillförd energi'!$B$1:$AQ$1,0),FALSE)</f>
        <v>0</v>
      </c>
      <c r="AD234" s="31">
        <f>VLOOKUP($B234,'Tillförd energi'!$B$1:$AI$720,MATCH(AD$1,'Tillförd energi'!$B$1:$AQ$1,0),FALSE)</f>
        <v>0</v>
      </c>
      <c r="AE234" s="31">
        <f>VLOOKUP($B234,'Tillförd energi'!$B$1:$AI$720,MATCH(AE$1,'Tillförd energi'!$B$1:$AQ$1,0),FALSE)</f>
        <v>0</v>
      </c>
      <c r="AF234" s="31">
        <f>VLOOKUP($B234,'Tillförd energi'!$B$1:$AI$720,MATCH(AF$1,'Tillförd energi'!$B$1:$AQ$1,0),FALSE)</f>
        <v>0.3</v>
      </c>
      <c r="AG234" s="31">
        <f>IFERROR(VLOOKUP(B234,Miljö!$B$1:$AC$550,MATCH("Köpt mängd produktionsspecifik fjärrvärme:",Miljö!$B$1:$AC$1,0),FALSE)/1,0)</f>
        <v>0</v>
      </c>
      <c r="AI234" s="31">
        <f t="shared" si="69"/>
        <v>2.8029999999999999</v>
      </c>
      <c r="AJ234" s="31">
        <f t="shared" si="70"/>
        <v>2.8029999999999999</v>
      </c>
      <c r="AK234" s="31">
        <f>IF(ISERROR(1/VLOOKUP($B234,Leveranser!$B$1:$S$499,MATCH("Såld värme (GWh)",Leveranser!$B$1:$S$1,0),FALSE)),"",VLOOKUP($B234,Leveranser!$B$1:$S$499,MATCH("Såld värme (GWh)",Leveranser!$B$1:$S$1,0),FALSE))</f>
        <v>2.0699999999999998</v>
      </c>
      <c r="AL234" s="31">
        <f>VLOOKUP($B234,Leveranser!$B$1:$Y$499,MATCH("Totalt såld fjärrvärme till andra fjärrvärmeföretag",Leveranser!$B$1:$AA$1,0),FALSE)</f>
        <v>0</v>
      </c>
      <c r="AM234" s="31">
        <f>IF(ISERROR(1/VLOOKUP($B234,Miljö!$B$1:$S$500,MATCH("Såld mängd produktionsspecifik fjärrvärme (GWh)",Miljö!$B$1:$R$1,0),FALSE)),0,VLOOKUP($B234,Miljö!$B$1:$S$500,MATCH("Såld mängd produktionsspecifik fjärrvärme (GWh)",Miljö!$B$1:$R$1,0),FALSE))</f>
        <v>0</v>
      </c>
      <c r="AN234" s="32">
        <f t="shared" si="71"/>
        <v>0.73849447021048875</v>
      </c>
      <c r="AP234" s="31" t="str">
        <f>IFERROR(VLOOKUP($B234,Miljövärden!$B$2:$H$550,7,FALSE),"Nej, saknas")</f>
        <v>Ja</v>
      </c>
      <c r="AQ234" s="31" t="str">
        <f>IFERROR(VLOOKUP($B234,Miljövärden!$B$2:$H$551,6,FALSE),"Nej, saknas")</f>
        <v>Ja</v>
      </c>
      <c r="AU234" s="31">
        <f t="shared" si="72"/>
        <v>0.36799999999999999</v>
      </c>
      <c r="AV234" s="31">
        <f t="shared" si="73"/>
        <v>0</v>
      </c>
      <c r="AW234" s="31">
        <f t="shared" si="74"/>
        <v>0</v>
      </c>
      <c r="AX234" s="31">
        <f t="shared" si="75"/>
        <v>2.351</v>
      </c>
      <c r="AZ234" s="31">
        <f t="shared" si="76"/>
        <v>2.351</v>
      </c>
      <c r="BC234" s="31">
        <f t="shared" si="77"/>
        <v>8.4000000000000005E-2</v>
      </c>
      <c r="BD234" s="31">
        <f t="shared" si="78"/>
        <v>0</v>
      </c>
      <c r="BE234" s="31">
        <f t="shared" si="79"/>
        <v>2.351</v>
      </c>
      <c r="BF234" s="31">
        <f t="shared" si="80"/>
        <v>0</v>
      </c>
      <c r="BG234" s="31">
        <f t="shared" si="81"/>
        <v>0.36799999999999999</v>
      </c>
      <c r="BH234" s="31">
        <f>VLOOKUP(B234,Miljö!$B$1:$BX$482,MATCH("Fossilandel för ursprungspecificerad el ()",Miljö!$B$1:$I$1,0),FALSE)</f>
        <v>0</v>
      </c>
      <c r="BI234" s="31">
        <f>VLOOKUP(B234,Miljö!$B$1:$BX$482,MATCH("Kärnkraftsandel för ursprungsspecificerad el ()",Miljö!$B$1:$O$1,0),FALSE)</f>
        <v>0</v>
      </c>
      <c r="BJ234" s="31">
        <f t="shared" si="82"/>
        <v>0</v>
      </c>
      <c r="BK234" s="31" t="str">
        <f>VLOOKUP(B234,Miljö!$B$1:$P$482,MATCH("Fossil andel i procent (%)",Miljö!$B$1:$P$1,0),FALSE)</f>
        <v>ET</v>
      </c>
      <c r="BL234" s="31">
        <f t="shared" si="83"/>
        <v>2.8029999999999999</v>
      </c>
      <c r="BO234" s="32">
        <f t="shared" si="84"/>
        <v>2.9967891544773459E-2</v>
      </c>
      <c r="BP234" s="32">
        <f t="shared" si="85"/>
        <v>0</v>
      </c>
      <c r="BQ234" s="32">
        <f t="shared" si="86"/>
        <v>0.97003210845522647</v>
      </c>
      <c r="BR234" s="32">
        <f t="shared" si="87"/>
        <v>0</v>
      </c>
      <c r="BT234" s="62">
        <f t="shared" si="88"/>
        <v>0.99999999999999989</v>
      </c>
      <c r="BW234" s="32">
        <f>IF(AP234="Ja",VLOOKUP(B234,Miljövärden!$B$2:$H$551,MATCH("Total andel fossilt",Miljövärden!$B$2:$H$2,0),FALSE),"")</f>
        <v>2.9967899999999999E-2</v>
      </c>
      <c r="BX234" s="62">
        <f t="shared" si="89"/>
        <v>8.4552265397497273E-9</v>
      </c>
      <c r="BZ234" s="31">
        <f t="shared" si="90"/>
        <v>8.4552265397497273E-9</v>
      </c>
      <c r="CA234" s="32">
        <f t="shared" si="91"/>
        <v>0</v>
      </c>
    </row>
    <row r="235" spans="1:79" hidden="1" x14ac:dyDescent="0.45">
      <c r="A235" s="31" t="s">
        <v>374</v>
      </c>
      <c r="B235" s="31" t="s">
        <v>373</v>
      </c>
      <c r="C235" s="31">
        <f>VLOOKUP($B235,'Tillförd energi'!$B$1:$AI$720,MATCH(C$1,'Tillförd energi'!$B$1:$AQ$1,0),FALSE)</f>
        <v>0</v>
      </c>
      <c r="D235" s="31">
        <f>VLOOKUP($B235,'Tillförd energi'!$B$1:$AI$720,MATCH(D$1,'Tillförd energi'!$B$1:$AQ$1,0),FALSE)</f>
        <v>0</v>
      </c>
      <c r="E235" s="31">
        <f>VLOOKUP($B235,'Tillförd energi'!$B$1:$AI$720,MATCH(E$1,'Tillförd energi'!$B$1:$AQ$1,0),FALSE)</f>
        <v>0</v>
      </c>
      <c r="F235" s="31">
        <f>VLOOKUP($B235,'Tillförd energi'!$B$1:$AI$720,MATCH(F$1,'Tillförd energi'!$B$1:$AQ$1,0),FALSE)</f>
        <v>0</v>
      </c>
      <c r="G235" s="31">
        <f>VLOOKUP($B235,'Tillförd energi'!$B$1:$AI$720,MATCH(G$1,'Tillförd energi'!$B$1:$AQ$1,0),FALSE)</f>
        <v>0</v>
      </c>
      <c r="H235" s="31">
        <f>VLOOKUP($B235,'Tillförd energi'!$B$1:$AI$720,MATCH(H$1,'Tillförd energi'!$B$1:$AQ$1,0),FALSE)</f>
        <v>0</v>
      </c>
      <c r="I235" s="31">
        <f>VLOOKUP($B235,'Tillförd energi'!$B$1:$AI$720,MATCH(I$1,'Tillförd energi'!$B$1:$AQ$1,0),FALSE)</f>
        <v>0</v>
      </c>
      <c r="J235" s="31">
        <f>VLOOKUP($B235,'Tillförd energi'!$B$1:$AI$720,MATCH(J$1,'Tillförd energi'!$B$1:$AQ$1,0),FALSE)</f>
        <v>0</v>
      </c>
      <c r="K235" s="31">
        <f>VLOOKUP($B235,'Tillförd energi'!$B$1:$AI$720,MATCH(K$1,'Tillförd energi'!$B$1:$AQ$1,0),FALSE)</f>
        <v>0</v>
      </c>
      <c r="L235" s="31">
        <f>VLOOKUP($B235,'Tillförd energi'!$B$1:$AI$720,MATCH(L$1,'Tillförd energi'!$B$1:$AQ$1,0),FALSE)</f>
        <v>0</v>
      </c>
      <c r="M235" s="31">
        <f>VLOOKUP($B235,'Tillförd energi'!$B$1:$AI$720,MATCH(M$1,'Tillförd energi'!$B$1:$AQ$1,0),FALSE)</f>
        <v>0</v>
      </c>
      <c r="N235" s="31">
        <f>VLOOKUP($B235,'Tillförd energi'!$B$1:$AI$720,MATCH(N$1,'Tillförd energi'!$B$1:$AQ$1,0),FALSE)</f>
        <v>0</v>
      </c>
      <c r="O235" s="31">
        <f>VLOOKUP($B235,'Tillförd energi'!$B$1:$AI$720,MATCH(O$1,'Tillförd energi'!$B$1:$AQ$1,0),FALSE)</f>
        <v>0</v>
      </c>
      <c r="P235" s="31">
        <f>VLOOKUP($B235,'Tillförd energi'!$B$1:$AI$720,MATCH(P$1,'Tillförd energi'!$B$1:$AQ$1,0),FALSE)</f>
        <v>0</v>
      </c>
      <c r="Q235" s="31">
        <f>VLOOKUP($B235,'Tillförd energi'!$B$1:$AI$720,MATCH(Q$1,'Tillförd energi'!$B$1:$AQ$1,0),FALSE)</f>
        <v>0</v>
      </c>
      <c r="R235" s="31">
        <f>VLOOKUP($B235,'Tillförd energi'!$B$1:$AI$720,MATCH(R$1,'Tillförd energi'!$B$1:$AQ$1,0),FALSE)</f>
        <v>0</v>
      </c>
      <c r="S235" s="31">
        <f>VLOOKUP($B235,'Tillförd energi'!$B$1:$AI$720,MATCH(S$1,'Tillförd energi'!$B$1:$AQ$1,0),FALSE)</f>
        <v>0</v>
      </c>
      <c r="T235" s="31">
        <f>VLOOKUP($B235,'Tillförd energi'!$B$1:$AI$720,MATCH(T$1,'Tillförd energi'!$B$1:$AQ$1,0),FALSE)</f>
        <v>0</v>
      </c>
      <c r="U235" s="31">
        <f>VLOOKUP($B235,'Tillförd energi'!$B$1:$AI$720,MATCH(U$1,'Tillförd energi'!$B$1:$AQ$1,0),FALSE)</f>
        <v>0</v>
      </c>
      <c r="V235" s="31">
        <f>VLOOKUP($B235,'Tillförd energi'!$B$1:$AI$720,MATCH(V$1,'Tillförd energi'!$B$1:$AQ$1,0),FALSE)</f>
        <v>0</v>
      </c>
      <c r="W235" s="31">
        <f>VLOOKUP($B235,'Tillförd energi'!$B$1:$AI$720,MATCH(W$1,'Tillförd energi'!$B$1:$AQ$1,0),FALSE)</f>
        <v>0</v>
      </c>
      <c r="X235" s="31">
        <f>VLOOKUP($B235,'Tillförd energi'!$B$1:$AI$720,MATCH(X$1,'Tillförd energi'!$B$1:$AQ$1,0),FALSE)</f>
        <v>0</v>
      </c>
      <c r="Y235" s="31">
        <f>VLOOKUP($B235,'Tillförd energi'!$B$1:$AI$720,MATCH(Y$1,'Tillförd energi'!$B$1:$AQ$1,0),FALSE)</f>
        <v>0</v>
      </c>
      <c r="Z235" s="31">
        <f>VLOOKUP($B235,'Tillförd energi'!$B$1:$AI$720,MATCH(Z$1,'Tillförd energi'!$B$1:$AQ$1,0),FALSE)</f>
        <v>0</v>
      </c>
      <c r="AA235" s="31">
        <f>VLOOKUP($B235,'Tillförd energi'!$B$1:$AI$720,MATCH(AA$1,'Tillförd energi'!$B$1:$AQ$1,0),FALSE)</f>
        <v>0</v>
      </c>
      <c r="AB235" s="31">
        <f>VLOOKUP($B235,'Tillförd energi'!$B$1:$AI$720,MATCH(AB$1,'Tillförd energi'!$B$1:$AQ$1,0),FALSE)</f>
        <v>0</v>
      </c>
      <c r="AC235" s="31">
        <f>VLOOKUP($B235,'Tillförd energi'!$B$1:$AI$720,MATCH(AC$1,'Tillförd energi'!$B$1:$AQ$1,0),FALSE)</f>
        <v>0</v>
      </c>
      <c r="AD235" s="31">
        <f>VLOOKUP($B235,'Tillförd energi'!$B$1:$AI$720,MATCH(AD$1,'Tillförd energi'!$B$1:$AQ$1,0),FALSE)</f>
        <v>0</v>
      </c>
      <c r="AE235" s="31">
        <f>VLOOKUP($B235,'Tillförd energi'!$B$1:$AI$720,MATCH(AE$1,'Tillförd energi'!$B$1:$AQ$1,0),FALSE)</f>
        <v>0</v>
      </c>
      <c r="AF235" s="31">
        <f>VLOOKUP($B235,'Tillförd energi'!$B$1:$AI$720,MATCH(AF$1,'Tillförd energi'!$B$1:$AQ$1,0),FALSE)</f>
        <v>0</v>
      </c>
      <c r="AG235" s="31">
        <f>IFERROR(VLOOKUP(B235,Miljö!$B$1:$AC$550,MATCH("Köpt mängd produktionsspecifik fjärrvärme:",Miljö!$B$1:$AC$1,0),FALSE)/1,0)</f>
        <v>0</v>
      </c>
      <c r="AI235" s="31">
        <f t="shared" si="69"/>
        <v>0</v>
      </c>
      <c r="AJ235" s="31">
        <f t="shared" si="70"/>
        <v>0</v>
      </c>
      <c r="AK235" s="31" t="str">
        <f>IF(ISERROR(1/VLOOKUP($B235,Leveranser!$B$1:$S$499,MATCH("Såld värme (GWh)",Leveranser!$B$1:$S$1,0),FALSE)),"",VLOOKUP($B235,Leveranser!$B$1:$S$499,MATCH("Såld värme (GWh)",Leveranser!$B$1:$S$1,0),FALSE))</f>
        <v/>
      </c>
      <c r="AL235" s="31">
        <f>VLOOKUP($B235,Leveranser!$B$1:$Y$499,MATCH("Totalt såld fjärrvärme till andra fjärrvärmeföretag",Leveranser!$B$1:$AA$1,0),FALSE)</f>
        <v>0</v>
      </c>
      <c r="AM235" s="31">
        <f>IF(ISERROR(1/VLOOKUP($B235,Miljö!$B$1:$S$500,MATCH("Såld mängd produktionsspecifik fjärrvärme (GWh)",Miljö!$B$1:$R$1,0),FALSE)),0,VLOOKUP($B235,Miljö!$B$1:$S$500,MATCH("Såld mängd produktionsspecifik fjärrvärme (GWh)",Miljö!$B$1:$R$1,0),FALSE))</f>
        <v>0</v>
      </c>
      <c r="AN235" s="32" t="str">
        <f t="shared" si="71"/>
        <v/>
      </c>
      <c r="AP235" s="31" t="str">
        <f>IFERROR(VLOOKUP($B235,Miljövärden!$B$2:$H$550,7,FALSE),"Nej, saknas")</f>
        <v>Nej</v>
      </c>
      <c r="AQ235" s="31" t="str">
        <f>IFERROR(VLOOKUP($B235,Miljövärden!$B$2:$H$551,6,FALSE),"Nej, saknas")</f>
        <v>Nej</v>
      </c>
      <c r="AU235" s="31">
        <f t="shared" si="72"/>
        <v>0</v>
      </c>
      <c r="AV235" s="31">
        <f t="shared" si="73"/>
        <v>0</v>
      </c>
      <c r="AW235" s="31">
        <f t="shared" si="74"/>
        <v>0</v>
      </c>
      <c r="AX235" s="31">
        <f t="shared" si="75"/>
        <v>0</v>
      </c>
      <c r="AZ235" s="31">
        <f t="shared" si="76"/>
        <v>0</v>
      </c>
      <c r="BC235" s="31">
        <f t="shared" si="77"/>
        <v>0</v>
      </c>
      <c r="BD235" s="31">
        <f t="shared" si="78"/>
        <v>0</v>
      </c>
      <c r="BE235" s="31">
        <f t="shared" si="79"/>
        <v>0</v>
      </c>
      <c r="BF235" s="31">
        <f t="shared" si="80"/>
        <v>0</v>
      </c>
      <c r="BG235" s="31">
        <f t="shared" si="81"/>
        <v>0</v>
      </c>
      <c r="BH235" s="31" t="str">
        <f>VLOOKUP(B235,Miljö!$B$1:$BX$482,MATCH("Fossilandel för ursprungspecificerad el ()",Miljö!$B$1:$I$1,0),FALSE)</f>
        <v>-</v>
      </c>
      <c r="BI235" s="31" t="str">
        <f>VLOOKUP(B235,Miljö!$B$1:$BX$482,MATCH("Kärnkraftsandel för ursprungsspecificerad el ()",Miljö!$B$1:$O$1,0),FALSE)</f>
        <v>-</v>
      </c>
      <c r="BJ235" s="31">
        <f t="shared" si="82"/>
        <v>0</v>
      </c>
      <c r="BK235" s="31" t="str">
        <f>VLOOKUP(B235,Miljö!$B$1:$P$482,MATCH("Fossil andel i procent (%)",Miljö!$B$1:$P$1,0),FALSE)</f>
        <v>-</v>
      </c>
      <c r="BL235" s="31">
        <f t="shared" si="83"/>
        <v>0</v>
      </c>
      <c r="BO235" s="32" t="str">
        <f t="shared" si="84"/>
        <v/>
      </c>
      <c r="BP235" s="32" t="str">
        <f t="shared" si="85"/>
        <v/>
      </c>
      <c r="BQ235" s="32" t="str">
        <f t="shared" si="86"/>
        <v/>
      </c>
      <c r="BR235" s="32" t="str">
        <f t="shared" si="87"/>
        <v/>
      </c>
      <c r="BT235" s="62">
        <f t="shared" si="88"/>
        <v>0</v>
      </c>
      <c r="BW235" s="32" t="str">
        <f>IF(AP235="Ja",VLOOKUP(B235,Miljövärden!$B$2:$H$551,MATCH("Total andel fossilt",Miljövärden!$B$2:$H$2,0),FALSE),"")</f>
        <v/>
      </c>
      <c r="BX235" s="62" t="e">
        <f t="shared" si="89"/>
        <v>#VALUE!</v>
      </c>
      <c r="BZ235" s="31" t="str">
        <f t="shared" si="90"/>
        <v/>
      </c>
      <c r="CA235" s="32" t="str">
        <f t="shared" si="91"/>
        <v/>
      </c>
    </row>
    <row r="236" spans="1:79" x14ac:dyDescent="0.45">
      <c r="A236" s="31" t="s">
        <v>371</v>
      </c>
      <c r="B236" s="31" t="s">
        <v>372</v>
      </c>
      <c r="C236" s="31">
        <f>VLOOKUP($B236,'Tillförd energi'!$B$1:$AI$720,MATCH(C$1,'Tillförd energi'!$B$1:$AQ$1,0),FALSE)</f>
        <v>0</v>
      </c>
      <c r="D236" s="31">
        <f>VLOOKUP($B236,'Tillförd energi'!$B$1:$AI$720,MATCH(D$1,'Tillförd energi'!$B$1:$AQ$1,0),FALSE)</f>
        <v>0.1</v>
      </c>
      <c r="E236" s="31">
        <f>VLOOKUP($B236,'Tillförd energi'!$B$1:$AI$720,MATCH(E$1,'Tillförd energi'!$B$1:$AQ$1,0),FALSE)</f>
        <v>0</v>
      </c>
      <c r="F236" s="31">
        <f>VLOOKUP($B236,'Tillförd energi'!$B$1:$AI$720,MATCH(F$1,'Tillförd energi'!$B$1:$AQ$1,0),FALSE)</f>
        <v>0</v>
      </c>
      <c r="G236" s="31">
        <f>VLOOKUP($B236,'Tillförd energi'!$B$1:$AI$720,MATCH(G$1,'Tillförd energi'!$B$1:$AQ$1,0),FALSE)</f>
        <v>0</v>
      </c>
      <c r="H236" s="31">
        <f>VLOOKUP($B236,'Tillförd energi'!$B$1:$AI$720,MATCH(H$1,'Tillförd energi'!$B$1:$AQ$1,0),FALSE)</f>
        <v>0</v>
      </c>
      <c r="I236" s="31">
        <f>VLOOKUP($B236,'Tillförd energi'!$B$1:$AI$720,MATCH(I$1,'Tillförd energi'!$B$1:$AQ$1,0),FALSE)</f>
        <v>0</v>
      </c>
      <c r="J236" s="31">
        <f>VLOOKUP($B236,'Tillförd energi'!$B$1:$AI$720,MATCH(J$1,'Tillförd energi'!$B$1:$AQ$1,0),FALSE)</f>
        <v>0</v>
      </c>
      <c r="K236" s="31">
        <f>VLOOKUP($B236,'Tillförd energi'!$B$1:$AI$720,MATCH(K$1,'Tillförd energi'!$B$1:$AQ$1,0),FALSE)</f>
        <v>0</v>
      </c>
      <c r="L236" s="31">
        <f>VLOOKUP($B236,'Tillförd energi'!$B$1:$AI$720,MATCH(L$1,'Tillförd energi'!$B$1:$AQ$1,0),FALSE)</f>
        <v>0</v>
      </c>
      <c r="M236" s="31">
        <f>VLOOKUP($B236,'Tillförd energi'!$B$1:$AI$720,MATCH(M$1,'Tillförd energi'!$B$1:$AQ$1,0),FALSE)</f>
        <v>7</v>
      </c>
      <c r="N236" s="31">
        <f>VLOOKUP($B236,'Tillförd energi'!$B$1:$AI$720,MATCH(N$1,'Tillförd energi'!$B$1:$AQ$1,0),FALSE)</f>
        <v>5.3</v>
      </c>
      <c r="O236" s="31">
        <f>VLOOKUP($B236,'Tillförd energi'!$B$1:$AI$720,MATCH(O$1,'Tillförd energi'!$B$1:$AQ$1,0),FALSE)</f>
        <v>0</v>
      </c>
      <c r="P236" s="31">
        <f>VLOOKUP($B236,'Tillförd energi'!$B$1:$AI$720,MATCH(P$1,'Tillförd energi'!$B$1:$AQ$1,0),FALSE)</f>
        <v>5.3</v>
      </c>
      <c r="Q236" s="31">
        <f>VLOOKUP($B236,'Tillförd energi'!$B$1:$AI$720,MATCH(Q$1,'Tillförd energi'!$B$1:$AQ$1,0),FALSE)</f>
        <v>0</v>
      </c>
      <c r="R236" s="31">
        <f>VLOOKUP($B236,'Tillförd energi'!$B$1:$AI$720,MATCH(R$1,'Tillförd energi'!$B$1:$AQ$1,0),FALSE)</f>
        <v>1.7</v>
      </c>
      <c r="S236" s="31">
        <f>VLOOKUP($B236,'Tillförd energi'!$B$1:$AI$720,MATCH(S$1,'Tillförd energi'!$B$1:$AQ$1,0),FALSE)</f>
        <v>0</v>
      </c>
      <c r="T236" s="31">
        <f>VLOOKUP($B236,'Tillförd energi'!$B$1:$AI$720,MATCH(T$1,'Tillförd energi'!$B$1:$AQ$1,0),FALSE)</f>
        <v>0</v>
      </c>
      <c r="U236" s="31">
        <f>VLOOKUP($B236,'Tillförd energi'!$B$1:$AI$720,MATCH(U$1,'Tillförd energi'!$B$1:$AQ$1,0),FALSE)</f>
        <v>0</v>
      </c>
      <c r="V236" s="31">
        <f>VLOOKUP($B236,'Tillförd energi'!$B$1:$AI$720,MATCH(V$1,'Tillförd energi'!$B$1:$AQ$1,0),FALSE)</f>
        <v>0</v>
      </c>
      <c r="W236" s="31">
        <f>VLOOKUP($B236,'Tillförd energi'!$B$1:$AI$720,MATCH(W$1,'Tillförd energi'!$B$1:$AQ$1,0),FALSE)</f>
        <v>0</v>
      </c>
      <c r="X236" s="31">
        <f>VLOOKUP($B236,'Tillförd energi'!$B$1:$AI$720,MATCH(X$1,'Tillförd energi'!$B$1:$AQ$1,0),FALSE)</f>
        <v>0</v>
      </c>
      <c r="Y236" s="31">
        <f>VLOOKUP($B236,'Tillförd energi'!$B$1:$AI$720,MATCH(Y$1,'Tillförd energi'!$B$1:$AQ$1,0),FALSE)</f>
        <v>0</v>
      </c>
      <c r="Z236" s="31">
        <f>VLOOKUP($B236,'Tillförd energi'!$B$1:$AI$720,MATCH(Z$1,'Tillförd energi'!$B$1:$AQ$1,0),FALSE)</f>
        <v>0</v>
      </c>
      <c r="AA236" s="31">
        <f>VLOOKUP($B236,'Tillförd energi'!$B$1:$AI$720,MATCH(AA$1,'Tillförd energi'!$B$1:$AQ$1,0),FALSE)</f>
        <v>0</v>
      </c>
      <c r="AB236" s="31">
        <f>VLOOKUP($B236,'Tillförd energi'!$B$1:$AI$720,MATCH(AB$1,'Tillförd energi'!$B$1:$AQ$1,0),FALSE)</f>
        <v>0</v>
      </c>
      <c r="AC236" s="31">
        <f>VLOOKUP($B236,'Tillförd energi'!$B$1:$AI$720,MATCH(AC$1,'Tillförd energi'!$B$1:$AQ$1,0),FALSE)</f>
        <v>0</v>
      </c>
      <c r="AD236" s="31">
        <f>VLOOKUP($B236,'Tillförd energi'!$B$1:$AI$720,MATCH(AD$1,'Tillförd energi'!$B$1:$AQ$1,0),FALSE)</f>
        <v>0</v>
      </c>
      <c r="AE236" s="31">
        <f>VLOOKUP($B236,'Tillförd energi'!$B$1:$AI$720,MATCH(AE$1,'Tillförd energi'!$B$1:$AQ$1,0),FALSE)</f>
        <v>0</v>
      </c>
      <c r="AF236" s="31">
        <f>VLOOKUP($B236,'Tillförd energi'!$B$1:$AI$720,MATCH(AF$1,'Tillförd energi'!$B$1:$AQ$1,0),FALSE)</f>
        <v>0.42</v>
      </c>
      <c r="AG236" s="31">
        <f>IFERROR(VLOOKUP(B236,Miljö!$B$1:$AC$550,MATCH("Köpt mängd produktionsspecifik fjärrvärme:",Miljö!$B$1:$AC$1,0),FALSE)/1,0)</f>
        <v>0</v>
      </c>
      <c r="AI236" s="31">
        <f t="shared" si="69"/>
        <v>19.82</v>
      </c>
      <c r="AJ236" s="31">
        <f t="shared" si="70"/>
        <v>19.82</v>
      </c>
      <c r="AK236" s="31">
        <f>IF(ISERROR(1/VLOOKUP($B236,Leveranser!$B$1:$S$499,MATCH("Såld värme (GWh)",Leveranser!$B$1:$S$1,0),FALSE)),"",VLOOKUP($B236,Leveranser!$B$1:$S$499,MATCH("Såld värme (GWh)",Leveranser!$B$1:$S$1,0),FALSE))</f>
        <v>13.4</v>
      </c>
      <c r="AL236" s="31">
        <f>VLOOKUP($B236,Leveranser!$B$1:$Y$499,MATCH("Totalt såld fjärrvärme till andra fjärrvärmeföretag",Leveranser!$B$1:$AA$1,0),FALSE)</f>
        <v>0</v>
      </c>
      <c r="AM236" s="31">
        <f>IF(ISERROR(1/VLOOKUP($B236,Miljö!$B$1:$S$500,MATCH("Såld mängd produktionsspecifik fjärrvärme (GWh)",Miljö!$B$1:$R$1,0),FALSE)),0,VLOOKUP($B236,Miljö!$B$1:$S$500,MATCH("Såld mängd produktionsspecifik fjärrvärme (GWh)",Miljö!$B$1:$R$1,0),FALSE))</f>
        <v>0</v>
      </c>
      <c r="AN236" s="32">
        <f t="shared" si="71"/>
        <v>0.67608476286579211</v>
      </c>
      <c r="AP236" s="31" t="str">
        <f>IFERROR(VLOOKUP($B236,Miljövärden!$B$2:$H$550,7,FALSE),"Nej, saknas")</f>
        <v>Ja</v>
      </c>
      <c r="AQ236" s="31" t="str">
        <f>IFERROR(VLOOKUP($B236,Miljövärden!$B$2:$H$551,6,FALSE),"Nej, saknas")</f>
        <v>Ja</v>
      </c>
      <c r="AU236" s="31">
        <f t="shared" si="72"/>
        <v>0.42</v>
      </c>
      <c r="AV236" s="31">
        <f t="shared" si="73"/>
        <v>0</v>
      </c>
      <c r="AW236" s="31">
        <f t="shared" si="74"/>
        <v>17.600000000000001</v>
      </c>
      <c r="AX236" s="31">
        <f t="shared" si="75"/>
        <v>1.7</v>
      </c>
      <c r="AZ236" s="31">
        <f t="shared" si="76"/>
        <v>19.3</v>
      </c>
      <c r="BC236" s="31">
        <f t="shared" si="77"/>
        <v>0.1</v>
      </c>
      <c r="BD236" s="31">
        <f t="shared" si="78"/>
        <v>0</v>
      </c>
      <c r="BE236" s="31">
        <f t="shared" si="79"/>
        <v>19.3</v>
      </c>
      <c r="BF236" s="31">
        <f t="shared" si="80"/>
        <v>0</v>
      </c>
      <c r="BG236" s="31">
        <f t="shared" si="81"/>
        <v>0.42</v>
      </c>
      <c r="BH236" s="31">
        <f>VLOOKUP(B236,Miljö!$B$1:$BX$482,MATCH("Fossilandel för ursprungspecificerad el ()",Miljö!$B$1:$I$1,0),FALSE)</f>
        <v>0</v>
      </c>
      <c r="BI236" s="31">
        <f>VLOOKUP(B236,Miljö!$B$1:$BX$482,MATCH("Kärnkraftsandel för ursprungsspecificerad el ()",Miljö!$B$1:$O$1,0),FALSE)</f>
        <v>0</v>
      </c>
      <c r="BJ236" s="31">
        <f t="shared" si="82"/>
        <v>0</v>
      </c>
      <c r="BK236" s="31" t="str">
        <f>VLOOKUP(B236,Miljö!$B$1:$P$482,MATCH("Fossil andel i procent (%)",Miljö!$B$1:$P$1,0),FALSE)</f>
        <v>ET</v>
      </c>
      <c r="BL236" s="31">
        <f t="shared" si="83"/>
        <v>19.820000000000004</v>
      </c>
      <c r="BO236" s="32">
        <f t="shared" si="84"/>
        <v>5.0454086781029257E-3</v>
      </c>
      <c r="BP236" s="32">
        <f t="shared" si="85"/>
        <v>0</v>
      </c>
      <c r="BQ236" s="32">
        <f t="shared" si="86"/>
        <v>0.99495459132189701</v>
      </c>
      <c r="BR236" s="32">
        <f t="shared" si="87"/>
        <v>0</v>
      </c>
      <c r="BT236" s="62">
        <f t="shared" si="88"/>
        <v>0.99999999999999989</v>
      </c>
      <c r="BW236" s="32">
        <f>IF(AP236="Ja",VLOOKUP(B236,Miljövärden!$B$2:$H$551,MATCH("Total andel fossilt",Miljövärden!$B$2:$H$2,0),FALSE),"")</f>
        <v>5.0454100000000002E-3</v>
      </c>
      <c r="BX236" s="62">
        <f t="shared" si="89"/>
        <v>1.3218970744410807E-9</v>
      </c>
      <c r="BZ236" s="31">
        <f t="shared" si="90"/>
        <v>1.3218970744410807E-9</v>
      </c>
      <c r="CA236" s="32">
        <f t="shared" si="91"/>
        <v>0</v>
      </c>
    </row>
    <row r="237" spans="1:79" x14ac:dyDescent="0.45">
      <c r="A237" s="31" t="s">
        <v>371</v>
      </c>
      <c r="B237" s="31" t="s">
        <v>370</v>
      </c>
      <c r="C237" s="31">
        <f>VLOOKUP($B237,'Tillförd energi'!$B$1:$AI$720,MATCH(C$1,'Tillförd energi'!$B$1:$AQ$1,0),FALSE)</f>
        <v>0</v>
      </c>
      <c r="D237" s="31">
        <f>VLOOKUP($B237,'Tillförd energi'!$B$1:$AI$720,MATCH(D$1,'Tillförd energi'!$B$1:$AQ$1,0),FALSE)</f>
        <v>1.4</v>
      </c>
      <c r="E237" s="31">
        <f>VLOOKUP($B237,'Tillförd energi'!$B$1:$AI$720,MATCH(E$1,'Tillförd energi'!$B$1:$AQ$1,0),FALSE)</f>
        <v>0</v>
      </c>
      <c r="F237" s="31">
        <f>VLOOKUP($B237,'Tillförd energi'!$B$1:$AI$720,MATCH(F$1,'Tillförd energi'!$B$1:$AQ$1,0),FALSE)</f>
        <v>0</v>
      </c>
      <c r="G237" s="31">
        <f>VLOOKUP($B237,'Tillförd energi'!$B$1:$AI$720,MATCH(G$1,'Tillförd energi'!$B$1:$AQ$1,0),FALSE)</f>
        <v>0</v>
      </c>
      <c r="H237" s="31">
        <f>VLOOKUP($B237,'Tillförd energi'!$B$1:$AI$720,MATCH(H$1,'Tillförd energi'!$B$1:$AQ$1,0),FALSE)</f>
        <v>0</v>
      </c>
      <c r="I237" s="31">
        <f>VLOOKUP($B237,'Tillförd energi'!$B$1:$AI$720,MATCH(I$1,'Tillförd energi'!$B$1:$AQ$1,0),FALSE)</f>
        <v>0</v>
      </c>
      <c r="J237" s="31">
        <f>VLOOKUP($B237,'Tillförd energi'!$B$1:$AI$720,MATCH(J$1,'Tillförd energi'!$B$1:$AQ$1,0),FALSE)</f>
        <v>0</v>
      </c>
      <c r="K237" s="31">
        <f>VLOOKUP($B237,'Tillförd energi'!$B$1:$AI$720,MATCH(K$1,'Tillförd energi'!$B$1:$AQ$1,0),FALSE)</f>
        <v>0</v>
      </c>
      <c r="L237" s="31">
        <f>VLOOKUP($B237,'Tillförd energi'!$B$1:$AI$720,MATCH(L$1,'Tillförd energi'!$B$1:$AQ$1,0),FALSE)</f>
        <v>0</v>
      </c>
      <c r="M237" s="31">
        <f>VLOOKUP($B237,'Tillförd energi'!$B$1:$AI$720,MATCH(M$1,'Tillförd energi'!$B$1:$AQ$1,0),FALSE)</f>
        <v>31.7363</v>
      </c>
      <c r="N237" s="31">
        <f>VLOOKUP($B237,'Tillförd energi'!$B$1:$AI$720,MATCH(N$1,'Tillförd energi'!$B$1:$AQ$1,0),FALSE)</f>
        <v>23.773199999999999</v>
      </c>
      <c r="O237" s="31">
        <f>VLOOKUP($B237,'Tillförd energi'!$B$1:$AI$720,MATCH(O$1,'Tillförd energi'!$B$1:$AQ$1,0),FALSE)</f>
        <v>0</v>
      </c>
      <c r="P237" s="31">
        <f>VLOOKUP($B237,'Tillförd energi'!$B$1:$AI$720,MATCH(P$1,'Tillförd energi'!$B$1:$AQ$1,0),FALSE)</f>
        <v>23.773199999999999</v>
      </c>
      <c r="Q237" s="31">
        <f>VLOOKUP($B237,'Tillförd energi'!$B$1:$AI$720,MATCH(Q$1,'Tillförd energi'!$B$1:$AQ$1,0),FALSE)</f>
        <v>0</v>
      </c>
      <c r="R237" s="31">
        <f>VLOOKUP($B237,'Tillförd energi'!$B$1:$AI$720,MATCH(R$1,'Tillförd energi'!$B$1:$AQ$1,0),FALSE)</f>
        <v>1.1000000000000001</v>
      </c>
      <c r="S237" s="31">
        <f>VLOOKUP($B237,'Tillförd energi'!$B$1:$AI$720,MATCH(S$1,'Tillförd energi'!$B$1:$AQ$1,0),FALSE)</f>
        <v>34.6</v>
      </c>
      <c r="T237" s="31">
        <f>VLOOKUP($B237,'Tillförd energi'!$B$1:$AI$720,MATCH(T$1,'Tillförd energi'!$B$1:$AQ$1,0),FALSE)</f>
        <v>0</v>
      </c>
      <c r="U237" s="31">
        <f>VLOOKUP($B237,'Tillförd energi'!$B$1:$AI$720,MATCH(U$1,'Tillförd energi'!$B$1:$AQ$1,0),FALSE)</f>
        <v>0</v>
      </c>
      <c r="V237" s="31">
        <f>VLOOKUP($B237,'Tillförd energi'!$B$1:$AI$720,MATCH(V$1,'Tillförd energi'!$B$1:$AQ$1,0),FALSE)</f>
        <v>0</v>
      </c>
      <c r="W237" s="31">
        <f>VLOOKUP($B237,'Tillförd energi'!$B$1:$AI$720,MATCH(W$1,'Tillförd energi'!$B$1:$AQ$1,0),FALSE)</f>
        <v>0</v>
      </c>
      <c r="X237" s="31">
        <f>VLOOKUP($B237,'Tillförd energi'!$B$1:$AI$720,MATCH(X$1,'Tillförd energi'!$B$1:$AQ$1,0),FALSE)</f>
        <v>0</v>
      </c>
      <c r="Y237" s="31">
        <f>VLOOKUP($B237,'Tillförd energi'!$B$1:$AI$720,MATCH(Y$1,'Tillförd energi'!$B$1:$AQ$1,0),FALSE)</f>
        <v>0</v>
      </c>
      <c r="Z237" s="31">
        <f>VLOOKUP($B237,'Tillförd energi'!$B$1:$AI$720,MATCH(Z$1,'Tillförd energi'!$B$1:$AQ$1,0),FALSE)</f>
        <v>0</v>
      </c>
      <c r="AA237" s="31">
        <f>VLOOKUP($B237,'Tillförd energi'!$B$1:$AI$720,MATCH(AA$1,'Tillförd energi'!$B$1:$AQ$1,0),FALSE)</f>
        <v>0</v>
      </c>
      <c r="AB237" s="31">
        <f>VLOOKUP($B237,'Tillförd energi'!$B$1:$AI$720,MATCH(AB$1,'Tillförd energi'!$B$1:$AQ$1,0),FALSE)</f>
        <v>0</v>
      </c>
      <c r="AC237" s="31">
        <f>VLOOKUP($B237,'Tillförd energi'!$B$1:$AI$720,MATCH(AC$1,'Tillförd energi'!$B$1:$AQ$1,0),FALSE)</f>
        <v>5.0999999999999996</v>
      </c>
      <c r="AD237" s="31">
        <f>VLOOKUP($B237,'Tillförd energi'!$B$1:$AI$720,MATCH(AD$1,'Tillförd energi'!$B$1:$AQ$1,0),FALSE)</f>
        <v>0</v>
      </c>
      <c r="AE237" s="31">
        <f>VLOOKUP($B237,'Tillförd energi'!$B$1:$AI$720,MATCH(AE$1,'Tillförd energi'!$B$1:$AQ$1,0),FALSE)</f>
        <v>0</v>
      </c>
      <c r="AF237" s="31">
        <f>VLOOKUP($B237,'Tillförd energi'!$B$1:$AI$720,MATCH(AF$1,'Tillförd energi'!$B$1:$AQ$1,0),FALSE)</f>
        <v>2.7705500000000001</v>
      </c>
      <c r="AG237" s="31">
        <f>IFERROR(VLOOKUP(B237,Miljö!$B$1:$AC$550,MATCH("Köpt mängd produktionsspecifik fjärrvärme:",Miljö!$B$1:$AC$1,0),FALSE)/1,0)</f>
        <v>0</v>
      </c>
      <c r="AI237" s="31">
        <f t="shared" si="69"/>
        <v>124.25324999999999</v>
      </c>
      <c r="AJ237" s="31">
        <f t="shared" si="70"/>
        <v>124.25324999999999</v>
      </c>
      <c r="AK237" s="31">
        <f>IF(ISERROR(1/VLOOKUP($B237,Leveranser!$B$1:$S$499,MATCH("Såld värme (GWh)",Leveranser!$B$1:$S$1,0),FALSE)),"",VLOOKUP($B237,Leveranser!$B$1:$S$499,MATCH("Såld värme (GWh)",Leveranser!$B$1:$S$1,0),FALSE))</f>
        <v>99.5</v>
      </c>
      <c r="AL237" s="31">
        <f>VLOOKUP($B237,Leveranser!$B$1:$Y$499,MATCH("Totalt såld fjärrvärme till andra fjärrvärmeföretag",Leveranser!$B$1:$AA$1,0),FALSE)</f>
        <v>0</v>
      </c>
      <c r="AM237" s="31">
        <f>IF(ISERROR(1/VLOOKUP($B237,Miljö!$B$1:$S$500,MATCH("Såld mängd produktionsspecifik fjärrvärme (GWh)",Miljö!$B$1:$R$1,0),FALSE)),0,VLOOKUP($B237,Miljö!$B$1:$S$500,MATCH("Såld mängd produktionsspecifik fjärrvärme (GWh)",Miljö!$B$1:$R$1,0),FALSE))</f>
        <v>0</v>
      </c>
      <c r="AN237" s="32">
        <f t="shared" si="71"/>
        <v>0.80078388291654345</v>
      </c>
      <c r="AP237" s="31" t="str">
        <f>IFERROR(VLOOKUP($B237,Miljövärden!$B$2:$H$550,7,FALSE),"Nej, saknas")</f>
        <v>Ja</v>
      </c>
      <c r="AQ237" s="31" t="str">
        <f>IFERROR(VLOOKUP($B237,Miljövärden!$B$2:$H$551,6,FALSE),"Nej, saknas")</f>
        <v>Ja</v>
      </c>
      <c r="AU237" s="31">
        <f t="shared" si="72"/>
        <v>2.7705500000000001</v>
      </c>
      <c r="AV237" s="31">
        <f t="shared" si="73"/>
        <v>0</v>
      </c>
      <c r="AW237" s="31">
        <f t="shared" si="74"/>
        <v>79.282700000000006</v>
      </c>
      <c r="AX237" s="31">
        <f t="shared" si="75"/>
        <v>35.700000000000003</v>
      </c>
      <c r="AZ237" s="31">
        <f t="shared" si="76"/>
        <v>114.98269999999999</v>
      </c>
      <c r="BC237" s="31">
        <f t="shared" si="77"/>
        <v>1.4</v>
      </c>
      <c r="BD237" s="31">
        <f t="shared" si="78"/>
        <v>0</v>
      </c>
      <c r="BE237" s="31">
        <f t="shared" si="79"/>
        <v>114.98269999999999</v>
      </c>
      <c r="BF237" s="31">
        <f t="shared" si="80"/>
        <v>5.0999999999999996</v>
      </c>
      <c r="BG237" s="31">
        <f t="shared" si="81"/>
        <v>2.7705500000000001</v>
      </c>
      <c r="BH237" s="31">
        <f>VLOOKUP(B237,Miljö!$B$1:$BX$482,MATCH("Fossilandel för ursprungspecificerad el ()",Miljö!$B$1:$I$1,0),FALSE)</f>
        <v>0</v>
      </c>
      <c r="BI237" s="31">
        <f>VLOOKUP(B237,Miljö!$B$1:$BX$482,MATCH("Kärnkraftsandel för ursprungsspecificerad el ()",Miljö!$B$1:$O$1,0),FALSE)</f>
        <v>0</v>
      </c>
      <c r="BJ237" s="31">
        <f t="shared" si="82"/>
        <v>0</v>
      </c>
      <c r="BK237" s="31" t="str">
        <f>VLOOKUP(B237,Miljö!$B$1:$P$482,MATCH("Fossil andel i procent (%)",Miljö!$B$1:$P$1,0),FALSE)</f>
        <v>ET</v>
      </c>
      <c r="BL237" s="31">
        <f t="shared" si="83"/>
        <v>124.25324999999999</v>
      </c>
      <c r="BO237" s="32">
        <f t="shared" si="84"/>
        <v>1.1267310915408651E-2</v>
      </c>
      <c r="BP237" s="32">
        <f t="shared" si="85"/>
        <v>0</v>
      </c>
      <c r="BQ237" s="32">
        <f t="shared" si="86"/>
        <v>0.94768748503560274</v>
      </c>
      <c r="BR237" s="32">
        <f t="shared" si="87"/>
        <v>4.1045204048988655E-2</v>
      </c>
      <c r="BT237" s="62">
        <f t="shared" si="88"/>
        <v>1</v>
      </c>
      <c r="BW237" s="32">
        <f>IF(AP237="Ja",VLOOKUP(B237,Miljövärden!$B$2:$H$551,MATCH("Total andel fossilt",Miljövärden!$B$2:$H$2,0),FALSE),"")</f>
        <v>1.1267299999999999E-2</v>
      </c>
      <c r="BX237" s="62">
        <f t="shared" si="89"/>
        <v>-1.0915408651598901E-8</v>
      </c>
      <c r="BZ237" s="31">
        <f t="shared" si="90"/>
        <v>-1.0915408651598901E-8</v>
      </c>
      <c r="CA237" s="32">
        <f t="shared" si="91"/>
        <v>0</v>
      </c>
    </row>
    <row r="238" spans="1:79" x14ac:dyDescent="0.45">
      <c r="A238" s="31" t="s">
        <v>369</v>
      </c>
      <c r="B238" s="31" t="s">
        <v>368</v>
      </c>
      <c r="C238" s="31">
        <f>VLOOKUP($B238,'Tillförd energi'!$B$1:$AI$720,MATCH(C$1,'Tillförd energi'!$B$1:$AQ$1,0),FALSE)</f>
        <v>0</v>
      </c>
      <c r="D238" s="31">
        <f>VLOOKUP($B238,'Tillförd energi'!$B$1:$AI$720,MATCH(D$1,'Tillförd energi'!$B$1:$AQ$1,0),FALSE)</f>
        <v>0</v>
      </c>
      <c r="E238" s="31">
        <f>VLOOKUP($B238,'Tillförd energi'!$B$1:$AI$720,MATCH(E$1,'Tillförd energi'!$B$1:$AQ$1,0),FALSE)</f>
        <v>0</v>
      </c>
      <c r="F238" s="31">
        <f>VLOOKUP($B238,'Tillförd energi'!$B$1:$AI$720,MATCH(F$1,'Tillförd energi'!$B$1:$AQ$1,0),FALSE)</f>
        <v>0.4</v>
      </c>
      <c r="G238" s="31">
        <f>VLOOKUP($B238,'Tillförd energi'!$B$1:$AI$720,MATCH(G$1,'Tillförd energi'!$B$1:$AQ$1,0),FALSE)</f>
        <v>0</v>
      </c>
      <c r="H238" s="31">
        <f>VLOOKUP($B238,'Tillförd energi'!$B$1:$AI$720,MATCH(H$1,'Tillförd energi'!$B$1:$AQ$1,0),FALSE)</f>
        <v>0</v>
      </c>
      <c r="I238" s="31">
        <f>VLOOKUP($B238,'Tillförd energi'!$B$1:$AI$720,MATCH(I$1,'Tillförd energi'!$B$1:$AQ$1,0),FALSE)</f>
        <v>0</v>
      </c>
      <c r="J238" s="31">
        <f>VLOOKUP($B238,'Tillförd energi'!$B$1:$AI$720,MATCH(J$1,'Tillförd energi'!$B$1:$AQ$1,0),FALSE)</f>
        <v>0</v>
      </c>
      <c r="K238" s="31">
        <f>VLOOKUP($B238,'Tillförd energi'!$B$1:$AI$720,MATCH(K$1,'Tillförd energi'!$B$1:$AQ$1,0),FALSE)</f>
        <v>0</v>
      </c>
      <c r="L238" s="31">
        <f>VLOOKUP($B238,'Tillförd energi'!$B$1:$AI$720,MATCH(L$1,'Tillförd energi'!$B$1:$AQ$1,0),FALSE)</f>
        <v>0</v>
      </c>
      <c r="M238" s="31">
        <f>VLOOKUP($B238,'Tillförd energi'!$B$1:$AI$720,MATCH(M$1,'Tillförd energi'!$B$1:$AQ$1,0),FALSE)</f>
        <v>23.3</v>
      </c>
      <c r="N238" s="31">
        <f>VLOOKUP($B238,'Tillförd energi'!$B$1:$AI$720,MATCH(N$1,'Tillförd energi'!$B$1:$AQ$1,0),FALSE)</f>
        <v>8.5</v>
      </c>
      <c r="O238" s="31">
        <f>VLOOKUP($B238,'Tillförd energi'!$B$1:$AI$720,MATCH(O$1,'Tillförd energi'!$B$1:$AQ$1,0),FALSE)</f>
        <v>3.3</v>
      </c>
      <c r="P238" s="31">
        <f>VLOOKUP($B238,'Tillförd energi'!$B$1:$AI$720,MATCH(P$1,'Tillförd energi'!$B$1:$AQ$1,0),FALSE)</f>
        <v>18.8</v>
      </c>
      <c r="Q238" s="31">
        <f>VLOOKUP($B238,'Tillförd energi'!$B$1:$AI$720,MATCH(Q$1,'Tillförd energi'!$B$1:$AQ$1,0),FALSE)</f>
        <v>0</v>
      </c>
      <c r="R238" s="31">
        <f>VLOOKUP($B238,'Tillförd energi'!$B$1:$AI$720,MATCH(R$1,'Tillförd energi'!$B$1:$AQ$1,0),FALSE)</f>
        <v>0</v>
      </c>
      <c r="S238" s="31">
        <f>VLOOKUP($B238,'Tillförd energi'!$B$1:$AI$720,MATCH(S$1,'Tillförd energi'!$B$1:$AQ$1,0),FALSE)</f>
        <v>0</v>
      </c>
      <c r="T238" s="31">
        <f>VLOOKUP($B238,'Tillförd energi'!$B$1:$AI$720,MATCH(T$1,'Tillförd energi'!$B$1:$AQ$1,0),FALSE)</f>
        <v>0</v>
      </c>
      <c r="U238" s="31">
        <f>VLOOKUP($B238,'Tillförd energi'!$B$1:$AI$720,MATCH(U$1,'Tillförd energi'!$B$1:$AQ$1,0),FALSE)</f>
        <v>0</v>
      </c>
      <c r="V238" s="31">
        <f>VLOOKUP($B238,'Tillförd energi'!$B$1:$AI$720,MATCH(V$1,'Tillförd energi'!$B$1:$AQ$1,0),FALSE)</f>
        <v>0</v>
      </c>
      <c r="W238" s="31">
        <f>VLOOKUP($B238,'Tillförd energi'!$B$1:$AI$720,MATCH(W$1,'Tillförd energi'!$B$1:$AQ$1,0),FALSE)</f>
        <v>0</v>
      </c>
      <c r="X238" s="31">
        <f>VLOOKUP($B238,'Tillförd energi'!$B$1:$AI$720,MATCH(X$1,'Tillförd energi'!$B$1:$AQ$1,0),FALSE)</f>
        <v>0</v>
      </c>
      <c r="Y238" s="31">
        <f>VLOOKUP($B238,'Tillförd energi'!$B$1:$AI$720,MATCH(Y$1,'Tillförd energi'!$B$1:$AQ$1,0),FALSE)</f>
        <v>0</v>
      </c>
      <c r="Z238" s="31">
        <f>VLOOKUP($B238,'Tillförd energi'!$B$1:$AI$720,MATCH(Z$1,'Tillförd energi'!$B$1:$AQ$1,0),FALSE)</f>
        <v>0</v>
      </c>
      <c r="AA238" s="31">
        <f>VLOOKUP($B238,'Tillförd energi'!$B$1:$AI$720,MATCH(AA$1,'Tillförd energi'!$B$1:$AQ$1,0),FALSE)</f>
        <v>0</v>
      </c>
      <c r="AB238" s="31">
        <f>VLOOKUP($B238,'Tillförd energi'!$B$1:$AI$720,MATCH(AB$1,'Tillförd energi'!$B$1:$AQ$1,0),FALSE)</f>
        <v>0</v>
      </c>
      <c r="AC238" s="31">
        <f>VLOOKUP($B238,'Tillförd energi'!$B$1:$AI$720,MATCH(AC$1,'Tillförd energi'!$B$1:$AQ$1,0),FALSE)</f>
        <v>8.6999999999999993</v>
      </c>
      <c r="AD238" s="31">
        <f>VLOOKUP($B238,'Tillförd energi'!$B$1:$AI$720,MATCH(AD$1,'Tillförd energi'!$B$1:$AQ$1,0),FALSE)</f>
        <v>0</v>
      </c>
      <c r="AE238" s="31">
        <f>VLOOKUP($B238,'Tillförd energi'!$B$1:$AI$720,MATCH(AE$1,'Tillförd energi'!$B$1:$AQ$1,0),FALSE)</f>
        <v>0</v>
      </c>
      <c r="AF238" s="31">
        <f>VLOOKUP($B238,'Tillförd energi'!$B$1:$AI$720,MATCH(AF$1,'Tillförd energi'!$B$1:$AQ$1,0),FALSE)</f>
        <v>1.6</v>
      </c>
      <c r="AG238" s="31">
        <f>IFERROR(VLOOKUP(B238,Miljö!$B$1:$AC$550,MATCH("Köpt mängd produktionsspecifik fjärrvärme:",Miljö!$B$1:$AC$1,0),FALSE)/1,0)</f>
        <v>0</v>
      </c>
      <c r="AI238" s="31">
        <f t="shared" si="69"/>
        <v>64.599999999999994</v>
      </c>
      <c r="AJ238" s="31">
        <f t="shared" si="70"/>
        <v>64.599999999999994</v>
      </c>
      <c r="AK238" s="31">
        <f>IF(ISERROR(1/VLOOKUP($B238,Leveranser!$B$1:$S$499,MATCH("Såld värme (GWh)",Leveranser!$B$1:$S$1,0),FALSE)),"",VLOOKUP($B238,Leveranser!$B$1:$S$499,MATCH("Såld värme (GWh)",Leveranser!$B$1:$S$1,0),FALSE))</f>
        <v>44.7</v>
      </c>
      <c r="AL238" s="31">
        <f>VLOOKUP($B238,Leveranser!$B$1:$Y$499,MATCH("Totalt såld fjärrvärme till andra fjärrvärmeföretag",Leveranser!$B$1:$AA$1,0),FALSE)</f>
        <v>0</v>
      </c>
      <c r="AM238" s="31">
        <f>IF(ISERROR(1/VLOOKUP($B238,Miljö!$B$1:$S$500,MATCH("Såld mängd produktionsspecifik fjärrvärme (GWh)",Miljö!$B$1:$R$1,0),FALSE)),0,VLOOKUP($B238,Miljö!$B$1:$S$500,MATCH("Såld mängd produktionsspecifik fjärrvärme (GWh)",Miljö!$B$1:$R$1,0),FALSE))</f>
        <v>0</v>
      </c>
      <c r="AN238" s="32">
        <f t="shared" si="71"/>
        <v>0.69195046439628494</v>
      </c>
      <c r="AP238" s="31" t="str">
        <f>IFERROR(VLOOKUP($B238,Miljövärden!$B$2:$H$550,7,FALSE),"Nej, saknas")</f>
        <v>Ja</v>
      </c>
      <c r="AQ238" s="31" t="str">
        <f>IFERROR(VLOOKUP($B238,Miljövärden!$B$2:$H$551,6,FALSE),"Nej, saknas")</f>
        <v>Ja</v>
      </c>
      <c r="AU238" s="31">
        <f t="shared" si="72"/>
        <v>1.6</v>
      </c>
      <c r="AV238" s="31">
        <f t="shared" si="73"/>
        <v>0</v>
      </c>
      <c r="AW238" s="31">
        <f t="shared" si="74"/>
        <v>53.900000000000006</v>
      </c>
      <c r="AX238" s="31">
        <f t="shared" si="75"/>
        <v>0</v>
      </c>
      <c r="AZ238" s="31">
        <f t="shared" si="76"/>
        <v>53.900000000000006</v>
      </c>
      <c r="BC238" s="31">
        <f t="shared" si="77"/>
        <v>0.4</v>
      </c>
      <c r="BD238" s="31">
        <f t="shared" si="78"/>
        <v>0</v>
      </c>
      <c r="BE238" s="31">
        <f t="shared" si="79"/>
        <v>53.900000000000006</v>
      </c>
      <c r="BF238" s="31">
        <f t="shared" si="80"/>
        <v>8.6999999999999993</v>
      </c>
      <c r="BG238" s="31">
        <f t="shared" si="81"/>
        <v>1.6</v>
      </c>
      <c r="BH238" s="31">
        <f>VLOOKUP(B238,Miljö!$B$1:$BX$482,MATCH("Fossilandel för ursprungspecificerad el ()",Miljö!$B$1:$I$1,0),FALSE)</f>
        <v>0.35</v>
      </c>
      <c r="BI238" s="31">
        <f>VLOOKUP(B238,Miljö!$B$1:$BX$482,MATCH("Kärnkraftsandel för ursprungsspecificerad el ()",Miljö!$B$1:$O$1,0),FALSE)</f>
        <v>0.3977</v>
      </c>
      <c r="BJ238" s="31">
        <f t="shared" si="82"/>
        <v>0</v>
      </c>
      <c r="BK238" s="31" t="str">
        <f>VLOOKUP(B238,Miljö!$B$1:$P$482,MATCH("Fossil andel i procent (%)",Miljö!$B$1:$P$1,0),FALSE)</f>
        <v>ET</v>
      </c>
      <c r="BL238" s="31">
        <f t="shared" si="83"/>
        <v>64.599999999999994</v>
      </c>
      <c r="BO238" s="32">
        <f t="shared" si="84"/>
        <v>1.4860681114551084E-2</v>
      </c>
      <c r="BP238" s="32">
        <f t="shared" si="85"/>
        <v>9.8501547987616105E-3</v>
      </c>
      <c r="BQ238" s="32">
        <f t="shared" si="86"/>
        <v>0.84061424148606834</v>
      </c>
      <c r="BR238" s="32">
        <f t="shared" si="87"/>
        <v>0.1346749226006192</v>
      </c>
      <c r="BT238" s="62">
        <f t="shared" si="88"/>
        <v>1.0000000000000002</v>
      </c>
      <c r="BW238" s="32">
        <f>IF(AP238="Ja",VLOOKUP(B238,Miljövärden!$B$2:$H$551,MATCH("Total andel fossilt",Miljövärden!$B$2:$H$2,0),FALSE),"")</f>
        <v>1.4860699999999999E-2</v>
      </c>
      <c r="BX238" s="62">
        <f t="shared" si="89"/>
        <v>1.8885448914776615E-8</v>
      </c>
      <c r="BZ238" s="31">
        <f t="shared" si="90"/>
        <v>1.8885448914776615E-8</v>
      </c>
      <c r="CA238" s="32">
        <f t="shared" si="91"/>
        <v>0</v>
      </c>
    </row>
    <row r="239" spans="1:79" x14ac:dyDescent="0.45">
      <c r="A239" s="31" t="s">
        <v>367</v>
      </c>
      <c r="B239" s="31" t="s">
        <v>366</v>
      </c>
      <c r="C239" s="31">
        <f>VLOOKUP($B239,'Tillförd energi'!$B$1:$AI$720,MATCH(C$1,'Tillförd energi'!$B$1:$AQ$1,0),FALSE)</f>
        <v>0</v>
      </c>
      <c r="D239" s="31">
        <f>VLOOKUP($B239,'Tillförd energi'!$B$1:$AI$720,MATCH(D$1,'Tillförd energi'!$B$1:$AQ$1,0),FALSE)</f>
        <v>0</v>
      </c>
      <c r="E239" s="31">
        <f>VLOOKUP($B239,'Tillförd energi'!$B$1:$AI$720,MATCH(E$1,'Tillförd energi'!$B$1:$AQ$1,0),FALSE)</f>
        <v>0</v>
      </c>
      <c r="F239" s="31">
        <f>VLOOKUP($B239,'Tillförd energi'!$B$1:$AI$720,MATCH(F$1,'Tillförd energi'!$B$1:$AQ$1,0),FALSE)</f>
        <v>0</v>
      </c>
      <c r="G239" s="31">
        <f>VLOOKUP($B239,'Tillförd energi'!$B$1:$AI$720,MATCH(G$1,'Tillförd energi'!$B$1:$AQ$1,0),FALSE)</f>
        <v>0</v>
      </c>
      <c r="H239" s="31">
        <f>VLOOKUP($B239,'Tillförd energi'!$B$1:$AI$720,MATCH(H$1,'Tillförd energi'!$B$1:$AQ$1,0),FALSE)</f>
        <v>0</v>
      </c>
      <c r="I239" s="31">
        <f>VLOOKUP($B239,'Tillförd energi'!$B$1:$AI$720,MATCH(I$1,'Tillförd energi'!$B$1:$AQ$1,0),FALSE)</f>
        <v>0</v>
      </c>
      <c r="J239" s="31">
        <f>VLOOKUP($B239,'Tillförd energi'!$B$1:$AI$720,MATCH(J$1,'Tillförd energi'!$B$1:$AQ$1,0),FALSE)</f>
        <v>2.0811999999999999</v>
      </c>
      <c r="K239" s="31">
        <f>VLOOKUP($B239,'Tillförd energi'!$B$1:$AI$720,MATCH(K$1,'Tillförd energi'!$B$1:$AQ$1,0),FALSE)</f>
        <v>0</v>
      </c>
      <c r="L239" s="31">
        <f>VLOOKUP($B239,'Tillförd energi'!$B$1:$AI$720,MATCH(L$1,'Tillförd energi'!$B$1:$AQ$1,0),FALSE)</f>
        <v>3.1898300000000002</v>
      </c>
      <c r="M239" s="31">
        <f>VLOOKUP($B239,'Tillförd energi'!$B$1:$AI$720,MATCH(M$1,'Tillförd energi'!$B$1:$AQ$1,0),FALSE)</f>
        <v>0</v>
      </c>
      <c r="N239" s="31">
        <f>VLOOKUP($B239,'Tillförd energi'!$B$1:$AI$720,MATCH(N$1,'Tillförd energi'!$B$1:$AQ$1,0),FALSE)</f>
        <v>34.091799999999999</v>
      </c>
      <c r="O239" s="31">
        <f>VLOOKUP($B239,'Tillförd energi'!$B$1:$AI$720,MATCH(O$1,'Tillförd energi'!$B$1:$AQ$1,0),FALSE)</f>
        <v>9.8944899999999993</v>
      </c>
      <c r="P239" s="31">
        <f>VLOOKUP($B239,'Tillförd energi'!$B$1:$AI$720,MATCH(P$1,'Tillförd energi'!$B$1:$AQ$1,0),FALSE)</f>
        <v>35.645400000000002</v>
      </c>
      <c r="Q239" s="31">
        <f>VLOOKUP($B239,'Tillförd energi'!$B$1:$AI$720,MATCH(Q$1,'Tillförd energi'!$B$1:$AQ$1,0),FALSE)</f>
        <v>12.294499999999999</v>
      </c>
      <c r="R239" s="31">
        <f>VLOOKUP($B239,'Tillförd energi'!$B$1:$AI$720,MATCH(R$1,'Tillförd energi'!$B$1:$AQ$1,0),FALSE)</f>
        <v>56.333500000000001</v>
      </c>
      <c r="S239" s="31">
        <f>VLOOKUP($B239,'Tillförd energi'!$B$1:$AI$720,MATCH(S$1,'Tillförd energi'!$B$1:$AQ$1,0),FALSE)</f>
        <v>0</v>
      </c>
      <c r="T239" s="31">
        <f>VLOOKUP($B239,'Tillförd energi'!$B$1:$AI$720,MATCH(T$1,'Tillförd energi'!$B$1:$AQ$1,0),FALSE)</f>
        <v>0</v>
      </c>
      <c r="U239" s="31">
        <f>VLOOKUP($B239,'Tillförd energi'!$B$1:$AI$720,MATCH(U$1,'Tillförd energi'!$B$1:$AQ$1,0),FALSE)</f>
        <v>0</v>
      </c>
      <c r="V239" s="31">
        <f>VLOOKUP($B239,'Tillförd energi'!$B$1:$AI$720,MATCH(V$1,'Tillförd energi'!$B$1:$AQ$1,0),FALSE)</f>
        <v>0</v>
      </c>
      <c r="W239" s="31">
        <f>VLOOKUP($B239,'Tillförd energi'!$B$1:$AI$720,MATCH(W$1,'Tillförd energi'!$B$1:$AQ$1,0),FALSE)</f>
        <v>6.0784700000000003</v>
      </c>
      <c r="X239" s="31">
        <f>VLOOKUP($B239,'Tillförd energi'!$B$1:$AI$720,MATCH(X$1,'Tillförd energi'!$B$1:$AQ$1,0),FALSE)</f>
        <v>0</v>
      </c>
      <c r="Y239" s="31">
        <f>VLOOKUP($B239,'Tillförd energi'!$B$1:$AI$720,MATCH(Y$1,'Tillförd energi'!$B$1:$AQ$1,0),FALSE)</f>
        <v>0</v>
      </c>
      <c r="Z239" s="31">
        <f>VLOOKUP($B239,'Tillförd energi'!$B$1:$AI$720,MATCH(Z$1,'Tillförd energi'!$B$1:$AQ$1,0),FALSE)</f>
        <v>0.17779</v>
      </c>
      <c r="AA239" s="31">
        <f>VLOOKUP($B239,'Tillförd energi'!$B$1:$AI$720,MATCH(AA$1,'Tillförd energi'!$B$1:$AQ$1,0),FALSE)</f>
        <v>0</v>
      </c>
      <c r="AB239" s="31">
        <f>VLOOKUP($B239,'Tillförd energi'!$B$1:$AI$720,MATCH(AB$1,'Tillförd energi'!$B$1:$AQ$1,0),FALSE)</f>
        <v>0</v>
      </c>
      <c r="AC239" s="31">
        <f>VLOOKUP($B239,'Tillförd energi'!$B$1:$AI$720,MATCH(AC$1,'Tillförd energi'!$B$1:$AQ$1,0),FALSE)</f>
        <v>11.9251</v>
      </c>
      <c r="AD239" s="31">
        <f>VLOOKUP($B239,'Tillförd energi'!$B$1:$AI$720,MATCH(AD$1,'Tillförd energi'!$B$1:$AQ$1,0),FALSE)</f>
        <v>0</v>
      </c>
      <c r="AE239" s="31">
        <f>VLOOKUP($B239,'Tillförd energi'!$B$1:$AI$720,MATCH(AE$1,'Tillförd energi'!$B$1:$AQ$1,0),FALSE)</f>
        <v>0</v>
      </c>
      <c r="AF239" s="31">
        <f>VLOOKUP($B239,'Tillförd energi'!$B$1:$AI$720,MATCH(AF$1,'Tillförd energi'!$B$1:$AQ$1,0),FALSE)</f>
        <v>3.12012</v>
      </c>
      <c r="AG239" s="31">
        <f>IFERROR(VLOOKUP(B239,Miljö!$B$1:$AC$550,MATCH("Köpt mängd produktionsspecifik fjärrvärme:",Miljö!$B$1:$AC$1,0),FALSE)/1,0)</f>
        <v>0</v>
      </c>
      <c r="AI239" s="31">
        <f t="shared" si="69"/>
        <v>174.8322</v>
      </c>
      <c r="AJ239" s="31">
        <f t="shared" si="70"/>
        <v>174.8322</v>
      </c>
      <c r="AK239" s="31">
        <f>IF(ISERROR(1/VLOOKUP($B239,Leveranser!$B$1:$S$499,MATCH("Såld värme (GWh)",Leveranser!$B$1:$S$1,0),FALSE)),"",VLOOKUP($B239,Leveranser!$B$1:$S$499,MATCH("Såld värme (GWh)",Leveranser!$B$1:$S$1,0),FALSE))</f>
        <v>143.65</v>
      </c>
      <c r="AL239" s="31">
        <f>VLOOKUP($B239,Leveranser!$B$1:$Y$499,MATCH("Totalt såld fjärrvärme till andra fjärrvärmeföretag",Leveranser!$B$1:$AA$1,0),FALSE)</f>
        <v>0</v>
      </c>
      <c r="AM239" s="31">
        <f>IF(ISERROR(1/VLOOKUP($B239,Miljö!$B$1:$S$500,MATCH("Såld mängd produktionsspecifik fjärrvärme (GWh)",Miljö!$B$1:$R$1,0),FALSE)),0,VLOOKUP($B239,Miljö!$B$1:$S$500,MATCH("Såld mängd produktionsspecifik fjärrvärme (GWh)",Miljö!$B$1:$R$1,0),FALSE))</f>
        <v>0</v>
      </c>
      <c r="AN239" s="32">
        <f t="shared" si="71"/>
        <v>0.82164498301800248</v>
      </c>
      <c r="AP239" s="31" t="str">
        <f>IFERROR(VLOOKUP($B239,Miljövärden!$B$2:$H$550,7,FALSE),"Nej, saknas")</f>
        <v>Ja</v>
      </c>
      <c r="AQ239" s="31" t="str">
        <f>IFERROR(VLOOKUP($B239,Miljövärden!$B$2:$H$551,6,FALSE),"Nej, saknas")</f>
        <v>Nej</v>
      </c>
      <c r="AU239" s="31">
        <f t="shared" si="72"/>
        <v>3.2979099999999999</v>
      </c>
      <c r="AV239" s="31">
        <f t="shared" si="73"/>
        <v>0</v>
      </c>
      <c r="AW239" s="31">
        <f t="shared" si="74"/>
        <v>91.926189999999991</v>
      </c>
      <c r="AX239" s="31">
        <f t="shared" si="75"/>
        <v>56.333500000000001</v>
      </c>
      <c r="AZ239" s="31">
        <f t="shared" si="76"/>
        <v>157.52799000000002</v>
      </c>
      <c r="BC239" s="31">
        <f t="shared" si="77"/>
        <v>0</v>
      </c>
      <c r="BD239" s="31">
        <f t="shared" si="78"/>
        <v>0</v>
      </c>
      <c r="BE239" s="31">
        <f t="shared" si="79"/>
        <v>154.33815999999999</v>
      </c>
      <c r="BF239" s="31">
        <f t="shared" si="80"/>
        <v>17.19613</v>
      </c>
      <c r="BG239" s="31">
        <f t="shared" si="81"/>
        <v>3.2979099999999999</v>
      </c>
      <c r="BH239" s="31">
        <f>VLOOKUP(B239,Miljö!$B$1:$BX$482,MATCH("Fossilandel för ursprungspecificerad el ()",Miljö!$B$1:$I$1,0),FALSE)</f>
        <v>0</v>
      </c>
      <c r="BI239" s="31">
        <f>VLOOKUP(B239,Miljö!$B$1:$BX$482,MATCH("Kärnkraftsandel för ursprungsspecificerad el ()",Miljö!$B$1:$O$1,0),FALSE)</f>
        <v>0</v>
      </c>
      <c r="BJ239" s="31">
        <f t="shared" si="82"/>
        <v>0</v>
      </c>
      <c r="BK239" s="31" t="str">
        <f>VLOOKUP(B239,Miljö!$B$1:$P$482,MATCH("Fossil andel i procent (%)",Miljö!$B$1:$P$1,0),FALSE)</f>
        <v>ET</v>
      </c>
      <c r="BL239" s="31">
        <f t="shared" si="83"/>
        <v>174.8322</v>
      </c>
      <c r="BO239" s="32">
        <f t="shared" si="84"/>
        <v>0</v>
      </c>
      <c r="BP239" s="32">
        <f t="shared" si="85"/>
        <v>0</v>
      </c>
      <c r="BQ239" s="32">
        <f t="shared" si="86"/>
        <v>0.90164208881430308</v>
      </c>
      <c r="BR239" s="32">
        <f t="shared" si="87"/>
        <v>9.8357911185696908E-2</v>
      </c>
      <c r="BT239" s="62">
        <f t="shared" si="88"/>
        <v>1</v>
      </c>
      <c r="BW239" s="32">
        <f>IF(AP239="Ja",VLOOKUP(B239,Miljövärden!$B$2:$H$551,MATCH("Total andel fossilt",Miljövärden!$B$2:$H$2,0),FALSE),"")</f>
        <v>0</v>
      </c>
      <c r="BX239" s="62">
        <f t="shared" si="89"/>
        <v>0</v>
      </c>
      <c r="BZ239" s="31">
        <f t="shared" si="90"/>
        <v>0</v>
      </c>
      <c r="CA239" s="32">
        <f t="shared" si="91"/>
        <v>0</v>
      </c>
    </row>
    <row r="240" spans="1:79" x14ac:dyDescent="0.45">
      <c r="A240" s="31" t="s">
        <v>364</v>
      </c>
      <c r="B240" s="31" t="s">
        <v>363</v>
      </c>
      <c r="C240" s="31">
        <f>VLOOKUP($B240,'Tillförd energi'!$B$1:$AI$720,MATCH(C$1,'Tillförd energi'!$B$1:$AQ$1,0),FALSE)</f>
        <v>0</v>
      </c>
      <c r="D240" s="31">
        <f>VLOOKUP($B240,'Tillförd energi'!$B$1:$AI$720,MATCH(D$1,'Tillförd energi'!$B$1:$AQ$1,0),FALSE)</f>
        <v>2.61</v>
      </c>
      <c r="E240" s="31">
        <f>VLOOKUP($B240,'Tillförd energi'!$B$1:$AI$720,MATCH(E$1,'Tillförd energi'!$B$1:$AQ$1,0),FALSE)</f>
        <v>0</v>
      </c>
      <c r="F240" s="31">
        <f>VLOOKUP($B240,'Tillförd energi'!$B$1:$AI$720,MATCH(F$1,'Tillförd energi'!$B$1:$AQ$1,0),FALSE)</f>
        <v>0</v>
      </c>
      <c r="G240" s="31">
        <f>VLOOKUP($B240,'Tillförd energi'!$B$1:$AI$720,MATCH(G$1,'Tillförd energi'!$B$1:$AQ$1,0),FALSE)</f>
        <v>0</v>
      </c>
      <c r="H240" s="31">
        <f>VLOOKUP($B240,'Tillförd energi'!$B$1:$AI$720,MATCH(H$1,'Tillförd energi'!$B$1:$AQ$1,0),FALSE)</f>
        <v>2.9420000000000002</v>
      </c>
      <c r="I240" s="31">
        <f>VLOOKUP($B240,'Tillförd energi'!$B$1:$AI$720,MATCH(I$1,'Tillförd energi'!$B$1:$AQ$1,0),FALSE)</f>
        <v>0</v>
      </c>
      <c r="J240" s="31">
        <f>VLOOKUP($B240,'Tillförd energi'!$B$1:$AI$720,MATCH(J$1,'Tillförd energi'!$B$1:$AQ$1,0),FALSE)</f>
        <v>0</v>
      </c>
      <c r="K240" s="31">
        <f>VLOOKUP($B240,'Tillförd energi'!$B$1:$AI$720,MATCH(K$1,'Tillförd energi'!$B$1:$AQ$1,0),FALSE)</f>
        <v>0</v>
      </c>
      <c r="L240" s="31">
        <f>VLOOKUP($B240,'Tillförd energi'!$B$1:$AI$720,MATCH(L$1,'Tillförd energi'!$B$1:$AQ$1,0),FALSE)</f>
        <v>36.795999999999999</v>
      </c>
      <c r="M240" s="31">
        <f>VLOOKUP($B240,'Tillförd energi'!$B$1:$AI$720,MATCH(M$1,'Tillförd energi'!$B$1:$AQ$1,0),FALSE)</f>
        <v>0</v>
      </c>
      <c r="N240" s="31">
        <f>VLOOKUP($B240,'Tillförd energi'!$B$1:$AI$720,MATCH(N$1,'Tillförd energi'!$B$1:$AQ$1,0),FALSE)</f>
        <v>0</v>
      </c>
      <c r="O240" s="31">
        <f>VLOOKUP($B240,'Tillförd energi'!$B$1:$AI$720,MATCH(O$1,'Tillförd energi'!$B$1:$AQ$1,0),FALSE)</f>
        <v>55.164999999999999</v>
      </c>
      <c r="P240" s="31">
        <f>VLOOKUP($B240,'Tillförd energi'!$B$1:$AI$720,MATCH(P$1,'Tillförd energi'!$B$1:$AQ$1,0),FALSE)</f>
        <v>0</v>
      </c>
      <c r="Q240" s="31">
        <f>VLOOKUP($B240,'Tillförd energi'!$B$1:$AI$720,MATCH(Q$1,'Tillförd energi'!$B$1:$AQ$1,0),FALSE)</f>
        <v>1.127</v>
      </c>
      <c r="R240" s="31">
        <f>VLOOKUP($B240,'Tillförd energi'!$B$1:$AI$720,MATCH(R$1,'Tillförd energi'!$B$1:$AQ$1,0),FALSE)</f>
        <v>54.445999999999998</v>
      </c>
      <c r="S240" s="31">
        <f>VLOOKUP($B240,'Tillförd energi'!$B$1:$AI$720,MATCH(S$1,'Tillförd energi'!$B$1:$AQ$1,0),FALSE)</f>
        <v>0</v>
      </c>
      <c r="T240" s="31">
        <f>VLOOKUP($B240,'Tillförd energi'!$B$1:$AI$720,MATCH(T$1,'Tillförd energi'!$B$1:$AQ$1,0),FALSE)</f>
        <v>0</v>
      </c>
      <c r="U240" s="31">
        <f>VLOOKUP($B240,'Tillförd energi'!$B$1:$AI$720,MATCH(U$1,'Tillförd energi'!$B$1:$AQ$1,0),FALSE)</f>
        <v>0</v>
      </c>
      <c r="V240" s="31">
        <f>VLOOKUP($B240,'Tillförd energi'!$B$1:$AI$720,MATCH(V$1,'Tillförd energi'!$B$1:$AQ$1,0),FALSE)</f>
        <v>0</v>
      </c>
      <c r="W240" s="31">
        <f>VLOOKUP($B240,'Tillförd energi'!$B$1:$AI$720,MATCH(W$1,'Tillförd energi'!$B$1:$AQ$1,0),FALSE)</f>
        <v>0</v>
      </c>
      <c r="X240" s="31">
        <f>VLOOKUP($B240,'Tillförd energi'!$B$1:$AI$720,MATCH(X$1,'Tillförd energi'!$B$1:$AQ$1,0),FALSE)</f>
        <v>0</v>
      </c>
      <c r="Y240" s="31">
        <f>VLOOKUP($B240,'Tillförd energi'!$B$1:$AI$720,MATCH(Y$1,'Tillförd energi'!$B$1:$AQ$1,0),FALSE)</f>
        <v>94.739000000000004</v>
      </c>
      <c r="Z240" s="31">
        <f>VLOOKUP($B240,'Tillförd energi'!$B$1:$AI$720,MATCH(Z$1,'Tillförd energi'!$B$1:$AQ$1,0),FALSE)</f>
        <v>0</v>
      </c>
      <c r="AA240" s="31">
        <f>VLOOKUP($B240,'Tillförd energi'!$B$1:$AI$720,MATCH(AA$1,'Tillförd energi'!$B$1:$AQ$1,0),FALSE)</f>
        <v>0</v>
      </c>
      <c r="AB240" s="31">
        <f>VLOOKUP($B240,'Tillförd energi'!$B$1:$AI$720,MATCH(AB$1,'Tillförd energi'!$B$1:$AQ$1,0),FALSE)</f>
        <v>0</v>
      </c>
      <c r="AC240" s="31">
        <f>VLOOKUP($B240,'Tillförd energi'!$B$1:$AI$720,MATCH(AC$1,'Tillförd energi'!$B$1:$AQ$1,0),FALSE)</f>
        <v>24.63</v>
      </c>
      <c r="AD240" s="31">
        <f>VLOOKUP($B240,'Tillförd energi'!$B$1:$AI$720,MATCH(AD$1,'Tillförd energi'!$B$1:$AQ$1,0),FALSE)</f>
        <v>0</v>
      </c>
      <c r="AE240" s="31">
        <f>VLOOKUP($B240,'Tillförd energi'!$B$1:$AI$720,MATCH(AE$1,'Tillförd energi'!$B$1:$AQ$1,0),FALSE)</f>
        <v>0</v>
      </c>
      <c r="AF240" s="31">
        <f>VLOOKUP($B240,'Tillförd energi'!$B$1:$AI$720,MATCH(AF$1,'Tillförd energi'!$B$1:$AQ$1,0),FALSE)</f>
        <v>8.2230000000000008</v>
      </c>
      <c r="AG240" s="31">
        <f>IFERROR(VLOOKUP(B240,Miljö!$B$1:$AC$550,MATCH("Köpt mängd produktionsspecifik fjärrvärme:",Miljö!$B$1:$AC$1,0),FALSE)/1,0)</f>
        <v>0</v>
      </c>
      <c r="AI240" s="31">
        <f t="shared" si="69"/>
        <v>280.67800000000005</v>
      </c>
      <c r="AJ240" s="31">
        <f t="shared" si="70"/>
        <v>280.67800000000005</v>
      </c>
      <c r="AK240" s="31">
        <f>IF(ISERROR(1/VLOOKUP($B240,Leveranser!$B$1:$S$499,MATCH("Såld värme (GWh)",Leveranser!$B$1:$S$1,0),FALSE)),"",VLOOKUP($B240,Leveranser!$B$1:$S$499,MATCH("Såld värme (GWh)",Leveranser!$B$1:$S$1,0),FALSE))</f>
        <v>224.6</v>
      </c>
      <c r="AL240" s="31">
        <f>VLOOKUP($B240,Leveranser!$B$1:$Y$499,MATCH("Totalt såld fjärrvärme till andra fjärrvärmeföretag",Leveranser!$B$1:$AA$1,0),FALSE)</f>
        <v>0</v>
      </c>
      <c r="AM240" s="31">
        <f>IF(ISERROR(1/VLOOKUP($B240,Miljö!$B$1:$S$500,MATCH("Såld mängd produktionsspecifik fjärrvärme (GWh)",Miljö!$B$1:$R$1,0),FALSE)),0,VLOOKUP($B240,Miljö!$B$1:$S$500,MATCH("Såld mängd produktionsspecifik fjärrvärme (GWh)",Miljö!$B$1:$R$1,0),FALSE))</f>
        <v>0</v>
      </c>
      <c r="AN240" s="32">
        <f t="shared" si="71"/>
        <v>0.80020521736651951</v>
      </c>
      <c r="AP240" s="31" t="str">
        <f>IFERROR(VLOOKUP($B240,Miljövärden!$B$2:$H$550,7,FALSE),"Nej, saknas")</f>
        <v>Ja</v>
      </c>
      <c r="AQ240" s="31" t="str">
        <f>IFERROR(VLOOKUP($B240,Miljövärden!$B$2:$H$551,6,FALSE),"Nej, saknas")</f>
        <v>Ja</v>
      </c>
      <c r="AU240" s="31">
        <f t="shared" si="72"/>
        <v>8.2230000000000008</v>
      </c>
      <c r="AV240" s="31">
        <f t="shared" si="73"/>
        <v>0</v>
      </c>
      <c r="AW240" s="31">
        <f t="shared" si="74"/>
        <v>56.292000000000002</v>
      </c>
      <c r="AX240" s="31">
        <f t="shared" si="75"/>
        <v>54.445999999999998</v>
      </c>
      <c r="AZ240" s="31">
        <f t="shared" si="76"/>
        <v>147.53399999999999</v>
      </c>
      <c r="BC240" s="31">
        <f t="shared" si="77"/>
        <v>5.5519999999999996</v>
      </c>
      <c r="BD240" s="31">
        <f t="shared" si="78"/>
        <v>94.739000000000004</v>
      </c>
      <c r="BE240" s="31">
        <f t="shared" si="79"/>
        <v>110.738</v>
      </c>
      <c r="BF240" s="31">
        <f t="shared" si="80"/>
        <v>61.426000000000002</v>
      </c>
      <c r="BG240" s="31">
        <f t="shared" si="81"/>
        <v>8.2230000000000008</v>
      </c>
      <c r="BH240" s="31">
        <f>VLOOKUP(B240,Miljö!$B$1:$BX$482,MATCH("Fossilandel för ursprungspecificerad el ()",Miljö!$B$1:$I$1,0),FALSE)</f>
        <v>0.35</v>
      </c>
      <c r="BI240" s="31">
        <f>VLOOKUP(B240,Miljö!$B$1:$BX$482,MATCH("Kärnkraftsandel för ursprungsspecificerad el ()",Miljö!$B$1:$O$1,0),FALSE)</f>
        <v>0.3977</v>
      </c>
      <c r="BJ240" s="31">
        <f t="shared" si="82"/>
        <v>0</v>
      </c>
      <c r="BK240" s="31" t="str">
        <f>VLOOKUP(B240,Miljö!$B$1:$P$482,MATCH("Fossil andel i procent (%)",Miljö!$B$1:$P$1,0),FALSE)</f>
        <v>ET</v>
      </c>
      <c r="BL240" s="31">
        <f t="shared" si="83"/>
        <v>280.678</v>
      </c>
      <c r="BO240" s="32">
        <f t="shared" si="84"/>
        <v>3.0034594802585166E-2</v>
      </c>
      <c r="BP240" s="32">
        <f t="shared" si="85"/>
        <v>0.34918763529738706</v>
      </c>
      <c r="BQ240" s="32">
        <f t="shared" si="86"/>
        <v>0.40192912483343907</v>
      </c>
      <c r="BR240" s="32">
        <f t="shared" si="87"/>
        <v>0.21884864506658877</v>
      </c>
      <c r="BT240" s="62">
        <f t="shared" si="88"/>
        <v>1</v>
      </c>
      <c r="BW240" s="32">
        <f>IF(AP240="Ja",VLOOKUP(B240,Miljövärden!$B$2:$H$551,MATCH("Total andel fossilt",Miljövärden!$B$2:$H$2,0),FALSE),"")</f>
        <v>3.0034600000000002E-2</v>
      </c>
      <c r="BX240" s="62">
        <f t="shared" si="89"/>
        <v>5.1974148353173266E-9</v>
      </c>
      <c r="BZ240" s="31">
        <f t="shared" si="90"/>
        <v>5.1974148353173266E-9</v>
      </c>
      <c r="CA240" s="32">
        <f t="shared" si="91"/>
        <v>0</v>
      </c>
    </row>
    <row r="241" spans="1:79" x14ac:dyDescent="0.45">
      <c r="A241" s="31" t="s">
        <v>362</v>
      </c>
      <c r="B241" s="31" t="s">
        <v>361</v>
      </c>
      <c r="C241" s="31">
        <f>VLOOKUP($B241,'Tillförd energi'!$B$1:$AI$720,MATCH(C$1,'Tillförd energi'!$B$1:$AQ$1,0),FALSE)</f>
        <v>0</v>
      </c>
      <c r="D241" s="31">
        <f>VLOOKUP($B241,'Tillförd energi'!$B$1:$AI$720,MATCH(D$1,'Tillförd energi'!$B$1:$AQ$1,0),FALSE)</f>
        <v>4.53</v>
      </c>
      <c r="E241" s="31">
        <f>VLOOKUP($B241,'Tillförd energi'!$B$1:$AI$720,MATCH(E$1,'Tillförd energi'!$B$1:$AQ$1,0),FALSE)</f>
        <v>0</v>
      </c>
      <c r="F241" s="31">
        <f>VLOOKUP($B241,'Tillförd energi'!$B$1:$AI$720,MATCH(F$1,'Tillförd energi'!$B$1:$AQ$1,0),FALSE)</f>
        <v>0</v>
      </c>
      <c r="G241" s="31">
        <f>VLOOKUP($B241,'Tillförd energi'!$B$1:$AI$720,MATCH(G$1,'Tillförd energi'!$B$1:$AQ$1,0),FALSE)</f>
        <v>0</v>
      </c>
      <c r="H241" s="31">
        <f>VLOOKUP($B241,'Tillförd energi'!$B$1:$AI$720,MATCH(H$1,'Tillförd energi'!$B$1:$AQ$1,0),FALSE)</f>
        <v>0</v>
      </c>
      <c r="I241" s="31">
        <f>VLOOKUP($B241,'Tillförd energi'!$B$1:$AI$720,MATCH(I$1,'Tillförd energi'!$B$1:$AQ$1,0),FALSE)</f>
        <v>0</v>
      </c>
      <c r="J241" s="31">
        <f>VLOOKUP($B241,'Tillförd energi'!$B$1:$AI$720,MATCH(J$1,'Tillförd energi'!$B$1:$AQ$1,0),FALSE)</f>
        <v>0</v>
      </c>
      <c r="K241" s="31">
        <f>VLOOKUP($B241,'Tillförd energi'!$B$1:$AI$720,MATCH(K$1,'Tillförd energi'!$B$1:$AQ$1,0),FALSE)</f>
        <v>0</v>
      </c>
      <c r="L241" s="31">
        <f>VLOOKUP($B241,'Tillförd energi'!$B$1:$AI$720,MATCH(L$1,'Tillförd energi'!$B$1:$AQ$1,0),FALSE)</f>
        <v>107.268</v>
      </c>
      <c r="M241" s="31">
        <f>VLOOKUP($B241,'Tillförd energi'!$B$1:$AI$720,MATCH(M$1,'Tillförd energi'!$B$1:$AQ$1,0),FALSE)</f>
        <v>3.0924700000000001</v>
      </c>
      <c r="N241" s="31">
        <f>VLOOKUP($B241,'Tillförd energi'!$B$1:$AI$720,MATCH(N$1,'Tillförd energi'!$B$1:$AQ$1,0),FALSE)</f>
        <v>16.459499999999998</v>
      </c>
      <c r="O241" s="31">
        <f>VLOOKUP($B241,'Tillförd energi'!$B$1:$AI$720,MATCH(O$1,'Tillförd energi'!$B$1:$AQ$1,0),FALSE)</f>
        <v>0</v>
      </c>
      <c r="P241" s="31">
        <f>VLOOKUP($B241,'Tillförd energi'!$B$1:$AI$720,MATCH(P$1,'Tillförd energi'!$B$1:$AQ$1,0),FALSE)</f>
        <v>0</v>
      </c>
      <c r="Q241" s="31">
        <f>VLOOKUP($B241,'Tillförd energi'!$B$1:$AI$720,MATCH(Q$1,'Tillförd energi'!$B$1:$AQ$1,0),FALSE)</f>
        <v>12.8988</v>
      </c>
      <c r="R241" s="31">
        <f>VLOOKUP($B241,'Tillförd energi'!$B$1:$AI$720,MATCH(R$1,'Tillförd energi'!$B$1:$AQ$1,0),FALSE)</f>
        <v>16.452999999999999</v>
      </c>
      <c r="S241" s="31">
        <f>VLOOKUP($B241,'Tillförd energi'!$B$1:$AI$720,MATCH(S$1,'Tillförd energi'!$B$1:$AQ$1,0),FALSE)</f>
        <v>0</v>
      </c>
      <c r="T241" s="31">
        <f>VLOOKUP($B241,'Tillförd energi'!$B$1:$AI$720,MATCH(T$1,'Tillförd energi'!$B$1:$AQ$1,0),FALSE)</f>
        <v>0</v>
      </c>
      <c r="U241" s="31">
        <f>VLOOKUP($B241,'Tillförd energi'!$B$1:$AI$720,MATCH(U$1,'Tillförd energi'!$B$1:$AQ$1,0),FALSE)</f>
        <v>0</v>
      </c>
      <c r="V241" s="31">
        <f>VLOOKUP($B241,'Tillförd energi'!$B$1:$AI$720,MATCH(V$1,'Tillförd energi'!$B$1:$AQ$1,0),FALSE)</f>
        <v>0</v>
      </c>
      <c r="W241" s="31">
        <f>VLOOKUP($B241,'Tillförd energi'!$B$1:$AI$720,MATCH(W$1,'Tillförd energi'!$B$1:$AQ$1,0),FALSE)</f>
        <v>0</v>
      </c>
      <c r="X241" s="31">
        <f>VLOOKUP($B241,'Tillförd energi'!$B$1:$AI$720,MATCH(X$1,'Tillförd energi'!$B$1:$AQ$1,0),FALSE)</f>
        <v>0</v>
      </c>
      <c r="Y241" s="31">
        <f>VLOOKUP($B241,'Tillförd energi'!$B$1:$AI$720,MATCH(Y$1,'Tillförd energi'!$B$1:$AQ$1,0),FALSE)</f>
        <v>0</v>
      </c>
      <c r="Z241" s="31">
        <f>VLOOKUP($B241,'Tillförd energi'!$B$1:$AI$720,MATCH(Z$1,'Tillförd energi'!$B$1:$AQ$1,0),FALSE)</f>
        <v>0</v>
      </c>
      <c r="AA241" s="31">
        <f>VLOOKUP($B241,'Tillförd energi'!$B$1:$AI$720,MATCH(AA$1,'Tillförd energi'!$B$1:$AQ$1,0),FALSE)</f>
        <v>0</v>
      </c>
      <c r="AB241" s="31">
        <f>VLOOKUP($B241,'Tillförd energi'!$B$1:$AI$720,MATCH(AB$1,'Tillförd energi'!$B$1:$AQ$1,0),FALSE)</f>
        <v>0</v>
      </c>
      <c r="AC241" s="31">
        <f>VLOOKUP($B241,'Tillförd energi'!$B$1:$AI$720,MATCH(AC$1,'Tillförd energi'!$B$1:$AQ$1,0),FALSE)</f>
        <v>19.131</v>
      </c>
      <c r="AD241" s="31">
        <f>VLOOKUP($B241,'Tillförd energi'!$B$1:$AI$720,MATCH(AD$1,'Tillförd energi'!$B$1:$AQ$1,0),FALSE)</f>
        <v>0</v>
      </c>
      <c r="AE241" s="31">
        <f>VLOOKUP($B241,'Tillförd energi'!$B$1:$AI$720,MATCH(AE$1,'Tillförd energi'!$B$1:$AQ$1,0),FALSE)</f>
        <v>0</v>
      </c>
      <c r="AF241" s="31">
        <f>VLOOKUP($B241,'Tillförd energi'!$B$1:$AI$720,MATCH(AF$1,'Tillförd energi'!$B$1:$AQ$1,0),FALSE)</f>
        <v>4.3133499999999998</v>
      </c>
      <c r="AG241" s="31">
        <f>IFERROR(VLOOKUP(B241,Miljö!$B$1:$AC$550,MATCH("Köpt mängd produktionsspecifik fjärrvärme:",Miljö!$B$1:$AC$1,0),FALSE)/1,0)</f>
        <v>0</v>
      </c>
      <c r="AI241" s="31">
        <f t="shared" si="69"/>
        <v>184.14612</v>
      </c>
      <c r="AJ241" s="31">
        <f t="shared" si="70"/>
        <v>184.14612</v>
      </c>
      <c r="AK241" s="31">
        <f>IF(ISERROR(1/VLOOKUP($B241,Leveranser!$B$1:$S$499,MATCH("Såld värme (GWh)",Leveranser!$B$1:$S$1,0),FALSE)),"",VLOOKUP($B241,Leveranser!$B$1:$S$499,MATCH("Såld värme (GWh)",Leveranser!$B$1:$S$1,0),FALSE))</f>
        <v>149.303</v>
      </c>
      <c r="AL241" s="31">
        <f>VLOOKUP($B241,Leveranser!$B$1:$Y$499,MATCH("Totalt såld fjärrvärme till andra fjärrvärmeföretag",Leveranser!$B$1:$AA$1,0),FALSE)</f>
        <v>0</v>
      </c>
      <c r="AM241" s="31">
        <f>IF(ISERROR(1/VLOOKUP($B241,Miljö!$B$1:$S$500,MATCH("Såld mängd produktionsspecifik fjärrvärme (GWh)",Miljö!$B$1:$R$1,0),FALSE)),0,VLOOKUP($B241,Miljö!$B$1:$S$500,MATCH("Såld mängd produktionsspecifik fjärrvärme (GWh)",Miljö!$B$1:$R$1,0),FALSE))</f>
        <v>0</v>
      </c>
      <c r="AN241" s="32">
        <f t="shared" si="71"/>
        <v>0.81078547840160842</v>
      </c>
      <c r="AP241" s="31" t="str">
        <f>IFERROR(VLOOKUP($B241,Miljövärden!$B$2:$H$550,7,FALSE),"Nej, saknas")</f>
        <v>Ja</v>
      </c>
      <c r="AQ241" s="31" t="str">
        <f>IFERROR(VLOOKUP($B241,Miljövärden!$B$2:$H$551,6,FALSE),"Nej, saknas")</f>
        <v>Nej</v>
      </c>
      <c r="AU241" s="31">
        <f t="shared" si="72"/>
        <v>4.3133499999999998</v>
      </c>
      <c r="AV241" s="31">
        <f t="shared" si="73"/>
        <v>0</v>
      </c>
      <c r="AW241" s="31">
        <f t="shared" si="74"/>
        <v>32.450769999999999</v>
      </c>
      <c r="AX241" s="31">
        <f t="shared" si="75"/>
        <v>16.452999999999999</v>
      </c>
      <c r="AZ241" s="31">
        <f t="shared" si="76"/>
        <v>156.17177000000001</v>
      </c>
      <c r="BC241" s="31">
        <f t="shared" si="77"/>
        <v>4.53</v>
      </c>
      <c r="BD241" s="31">
        <f t="shared" si="78"/>
        <v>0</v>
      </c>
      <c r="BE241" s="31">
        <f t="shared" si="79"/>
        <v>48.903769999999994</v>
      </c>
      <c r="BF241" s="31">
        <f t="shared" si="80"/>
        <v>126.399</v>
      </c>
      <c r="BG241" s="31">
        <f t="shared" si="81"/>
        <v>4.3133499999999998</v>
      </c>
      <c r="BH241" s="31">
        <f>VLOOKUP(B241,Miljö!$B$1:$BX$482,MATCH("Fossilandel för ursprungspecificerad el ()",Miljö!$B$1:$I$1,0),FALSE)</f>
        <v>0</v>
      </c>
      <c r="BI241" s="31">
        <f>VLOOKUP(B241,Miljö!$B$1:$BX$482,MATCH("Kärnkraftsandel för ursprungsspecificerad el ()",Miljö!$B$1:$O$1,0),FALSE)</f>
        <v>0</v>
      </c>
      <c r="BJ241" s="31">
        <f t="shared" si="82"/>
        <v>0</v>
      </c>
      <c r="BK241" s="31" t="str">
        <f>VLOOKUP(B241,Miljö!$B$1:$P$482,MATCH("Fossil andel i procent (%)",Miljö!$B$1:$P$1,0),FALSE)</f>
        <v>ET</v>
      </c>
      <c r="BL241" s="31">
        <f t="shared" si="83"/>
        <v>184.14612</v>
      </c>
      <c r="BO241" s="32">
        <f t="shared" si="84"/>
        <v>2.4600029585201147E-2</v>
      </c>
      <c r="BP241" s="32">
        <f t="shared" si="85"/>
        <v>0</v>
      </c>
      <c r="BQ241" s="32">
        <f t="shared" si="86"/>
        <v>0.28899397934640164</v>
      </c>
      <c r="BR241" s="32">
        <f t="shared" si="87"/>
        <v>0.68640599106839717</v>
      </c>
      <c r="BT241" s="62">
        <f t="shared" si="88"/>
        <v>1</v>
      </c>
      <c r="BW241" s="32">
        <f>IF(AP241="Ja",VLOOKUP(B241,Miljövärden!$B$2:$H$551,MATCH("Total andel fossilt",Miljövärden!$B$2:$H$2,0),FALSE),"")</f>
        <v>2.46E-2</v>
      </c>
      <c r="BX241" s="62">
        <f t="shared" si="89"/>
        <v>-2.9585201146570261E-8</v>
      </c>
      <c r="BZ241" s="31">
        <f t="shared" si="90"/>
        <v>-2.9585201146570261E-8</v>
      </c>
      <c r="CA241" s="32">
        <f t="shared" si="91"/>
        <v>0</v>
      </c>
    </row>
    <row r="242" spans="1:79" x14ac:dyDescent="0.45">
      <c r="A242" s="31" t="s">
        <v>360</v>
      </c>
      <c r="B242" s="31" t="s">
        <v>359</v>
      </c>
      <c r="C242" s="31">
        <f>VLOOKUP($B242,'Tillförd energi'!$B$1:$AI$720,MATCH(C$1,'Tillförd energi'!$B$1:$AQ$1,0),FALSE)</f>
        <v>0</v>
      </c>
      <c r="D242" s="31">
        <f>VLOOKUP($B242,'Tillförd energi'!$B$1:$AI$720,MATCH(D$1,'Tillförd energi'!$B$1:$AQ$1,0),FALSE)</f>
        <v>0.5</v>
      </c>
      <c r="E242" s="31">
        <f>VLOOKUP($B242,'Tillförd energi'!$B$1:$AI$720,MATCH(E$1,'Tillförd energi'!$B$1:$AQ$1,0),FALSE)</f>
        <v>0</v>
      </c>
      <c r="F242" s="31">
        <f>VLOOKUP($B242,'Tillförd energi'!$B$1:$AI$720,MATCH(F$1,'Tillförd energi'!$B$1:$AQ$1,0),FALSE)</f>
        <v>0</v>
      </c>
      <c r="G242" s="31">
        <f>VLOOKUP($B242,'Tillförd energi'!$B$1:$AI$720,MATCH(G$1,'Tillförd energi'!$B$1:$AQ$1,0),FALSE)</f>
        <v>0</v>
      </c>
      <c r="H242" s="31">
        <f>VLOOKUP($B242,'Tillförd energi'!$B$1:$AI$720,MATCH(H$1,'Tillförd energi'!$B$1:$AQ$1,0),FALSE)</f>
        <v>0</v>
      </c>
      <c r="I242" s="31">
        <f>VLOOKUP($B242,'Tillförd energi'!$B$1:$AI$720,MATCH(I$1,'Tillförd energi'!$B$1:$AQ$1,0),FALSE)</f>
        <v>0</v>
      </c>
      <c r="J242" s="31">
        <f>VLOOKUP($B242,'Tillförd energi'!$B$1:$AI$720,MATCH(J$1,'Tillförd energi'!$B$1:$AQ$1,0),FALSE)</f>
        <v>0.15</v>
      </c>
      <c r="K242" s="31">
        <f>VLOOKUP($B242,'Tillförd energi'!$B$1:$AI$720,MATCH(K$1,'Tillförd energi'!$B$1:$AQ$1,0),FALSE)</f>
        <v>0</v>
      </c>
      <c r="L242" s="31">
        <f>VLOOKUP($B242,'Tillförd energi'!$B$1:$AI$720,MATCH(L$1,'Tillförd energi'!$B$1:$AQ$1,0),FALSE)</f>
        <v>10.4</v>
      </c>
      <c r="M242" s="31">
        <f>VLOOKUP($B242,'Tillförd energi'!$B$1:$AI$720,MATCH(M$1,'Tillförd energi'!$B$1:$AQ$1,0),FALSE)</f>
        <v>23</v>
      </c>
      <c r="N242" s="31">
        <f>VLOOKUP($B242,'Tillförd energi'!$B$1:$AI$720,MATCH(N$1,'Tillförd energi'!$B$1:$AQ$1,0),FALSE)</f>
        <v>78.7</v>
      </c>
      <c r="O242" s="31">
        <f>VLOOKUP($B242,'Tillförd energi'!$B$1:$AI$720,MATCH(O$1,'Tillförd energi'!$B$1:$AQ$1,0),FALSE)</f>
        <v>0</v>
      </c>
      <c r="P242" s="31">
        <f>VLOOKUP($B242,'Tillförd energi'!$B$1:$AI$720,MATCH(P$1,'Tillförd energi'!$B$1:$AQ$1,0),FALSE)</f>
        <v>0</v>
      </c>
      <c r="Q242" s="31">
        <f>VLOOKUP($B242,'Tillförd energi'!$B$1:$AI$720,MATCH(Q$1,'Tillförd energi'!$B$1:$AQ$1,0),FALSE)</f>
        <v>0</v>
      </c>
      <c r="R242" s="31">
        <f>VLOOKUP($B242,'Tillförd energi'!$B$1:$AI$720,MATCH(R$1,'Tillförd energi'!$B$1:$AQ$1,0),FALSE)</f>
        <v>0</v>
      </c>
      <c r="S242" s="31">
        <f>VLOOKUP($B242,'Tillförd energi'!$B$1:$AI$720,MATCH(S$1,'Tillförd energi'!$B$1:$AQ$1,0),FALSE)</f>
        <v>0</v>
      </c>
      <c r="T242" s="31">
        <f>VLOOKUP($B242,'Tillförd energi'!$B$1:$AI$720,MATCH(T$1,'Tillförd energi'!$B$1:$AQ$1,0),FALSE)</f>
        <v>0</v>
      </c>
      <c r="U242" s="31">
        <f>VLOOKUP($B242,'Tillförd energi'!$B$1:$AI$720,MATCH(U$1,'Tillförd energi'!$B$1:$AQ$1,0),FALSE)</f>
        <v>0</v>
      </c>
      <c r="V242" s="31">
        <f>VLOOKUP($B242,'Tillförd energi'!$B$1:$AI$720,MATCH(V$1,'Tillförd energi'!$B$1:$AQ$1,0),FALSE)</f>
        <v>0</v>
      </c>
      <c r="W242" s="31">
        <f>VLOOKUP($B242,'Tillförd energi'!$B$1:$AI$720,MATCH(W$1,'Tillförd energi'!$B$1:$AQ$1,0),FALSE)</f>
        <v>0</v>
      </c>
      <c r="X242" s="31">
        <f>VLOOKUP($B242,'Tillförd energi'!$B$1:$AI$720,MATCH(X$1,'Tillförd energi'!$B$1:$AQ$1,0),FALSE)</f>
        <v>0</v>
      </c>
      <c r="Y242" s="31">
        <f>VLOOKUP($B242,'Tillförd energi'!$B$1:$AI$720,MATCH(Y$1,'Tillförd energi'!$B$1:$AQ$1,0),FALSE)</f>
        <v>0</v>
      </c>
      <c r="Z242" s="31">
        <f>VLOOKUP($B242,'Tillförd energi'!$B$1:$AI$720,MATCH(Z$1,'Tillförd energi'!$B$1:$AQ$1,0),FALSE)</f>
        <v>0</v>
      </c>
      <c r="AA242" s="31">
        <f>VLOOKUP($B242,'Tillförd energi'!$B$1:$AI$720,MATCH(AA$1,'Tillförd energi'!$B$1:$AQ$1,0),FALSE)</f>
        <v>0</v>
      </c>
      <c r="AB242" s="31">
        <f>VLOOKUP($B242,'Tillförd energi'!$B$1:$AI$720,MATCH(AB$1,'Tillförd energi'!$B$1:$AQ$1,0),FALSE)</f>
        <v>0</v>
      </c>
      <c r="AC242" s="31">
        <f>VLOOKUP($B242,'Tillförd energi'!$B$1:$AI$720,MATCH(AC$1,'Tillförd energi'!$B$1:$AQ$1,0),FALSE)</f>
        <v>12.9</v>
      </c>
      <c r="AD242" s="31">
        <f>VLOOKUP($B242,'Tillförd energi'!$B$1:$AI$720,MATCH(AD$1,'Tillförd energi'!$B$1:$AQ$1,0),FALSE)</f>
        <v>0.15</v>
      </c>
      <c r="AE242" s="31">
        <f>VLOOKUP($B242,'Tillförd energi'!$B$1:$AI$720,MATCH(AE$1,'Tillförd energi'!$B$1:$AQ$1,0),FALSE)</f>
        <v>0</v>
      </c>
      <c r="AF242" s="31">
        <f>VLOOKUP($B242,'Tillförd energi'!$B$1:$AI$720,MATCH(AF$1,'Tillförd energi'!$B$1:$AQ$1,0),FALSE)</f>
        <v>1.91</v>
      </c>
      <c r="AG242" s="31">
        <f>IFERROR(VLOOKUP(B242,Miljö!$B$1:$AC$550,MATCH("Köpt mängd produktionsspecifik fjärrvärme:",Miljö!$B$1:$AC$1,0),FALSE)/1,0)</f>
        <v>0</v>
      </c>
      <c r="AI242" s="31">
        <f t="shared" si="69"/>
        <v>127.71000000000001</v>
      </c>
      <c r="AJ242" s="31">
        <f t="shared" si="70"/>
        <v>127.71000000000001</v>
      </c>
      <c r="AK242" s="31">
        <f>IF(ISERROR(1/VLOOKUP($B242,Leveranser!$B$1:$S$499,MATCH("Såld värme (GWh)",Leveranser!$B$1:$S$1,0),FALSE)),"",VLOOKUP($B242,Leveranser!$B$1:$S$499,MATCH("Såld värme (GWh)",Leveranser!$B$1:$S$1,0),FALSE))</f>
        <v>87.8</v>
      </c>
      <c r="AL242" s="31">
        <f>VLOOKUP($B242,Leveranser!$B$1:$Y$499,MATCH("Totalt såld fjärrvärme till andra fjärrvärmeföretag",Leveranser!$B$1:$AA$1,0),FALSE)</f>
        <v>0</v>
      </c>
      <c r="AM242" s="31">
        <f>IF(ISERROR(1/VLOOKUP($B242,Miljö!$B$1:$S$500,MATCH("Såld mängd produktionsspecifik fjärrvärme (GWh)",Miljö!$B$1:$R$1,0),FALSE)),0,VLOOKUP($B242,Miljö!$B$1:$S$500,MATCH("Såld mängd produktionsspecifik fjärrvärme (GWh)",Miljö!$B$1:$R$1,0),FALSE))</f>
        <v>0</v>
      </c>
      <c r="AN242" s="32">
        <f t="shared" si="71"/>
        <v>0.68749510609975717</v>
      </c>
      <c r="AP242" s="31" t="str">
        <f>IFERROR(VLOOKUP($B242,Miljövärden!$B$2:$H$550,7,FALSE),"Nej, saknas")</f>
        <v>Ja</v>
      </c>
      <c r="AQ242" s="31" t="str">
        <f>IFERROR(VLOOKUP($B242,Miljövärden!$B$2:$H$551,6,FALSE),"Nej, saknas")</f>
        <v>Nej</v>
      </c>
      <c r="AU242" s="31">
        <f t="shared" si="72"/>
        <v>1.91</v>
      </c>
      <c r="AV242" s="31">
        <f t="shared" si="73"/>
        <v>0</v>
      </c>
      <c r="AW242" s="31">
        <f t="shared" si="74"/>
        <v>101.7</v>
      </c>
      <c r="AX242" s="31">
        <f t="shared" si="75"/>
        <v>0</v>
      </c>
      <c r="AZ242" s="31">
        <f t="shared" si="76"/>
        <v>112.1</v>
      </c>
      <c r="BC242" s="31">
        <f t="shared" si="77"/>
        <v>0.5</v>
      </c>
      <c r="BD242" s="31">
        <f t="shared" si="78"/>
        <v>0</v>
      </c>
      <c r="BE242" s="31">
        <f t="shared" si="79"/>
        <v>101.7</v>
      </c>
      <c r="BF242" s="31">
        <f t="shared" si="80"/>
        <v>23.6</v>
      </c>
      <c r="BG242" s="31">
        <f t="shared" si="81"/>
        <v>1.91</v>
      </c>
      <c r="BH242" s="31">
        <f>VLOOKUP(B242,Miljö!$B$1:$BX$482,MATCH("Fossilandel för ursprungspecificerad el ()",Miljö!$B$1:$I$1,0),FALSE)</f>
        <v>0.35</v>
      </c>
      <c r="BI242" s="31">
        <f>VLOOKUP(B242,Miljö!$B$1:$BX$482,MATCH("Kärnkraftsandel för ursprungsspecificerad el ()",Miljö!$B$1:$O$1,0),FALSE)</f>
        <v>0.3977</v>
      </c>
      <c r="BJ242" s="31">
        <f t="shared" si="82"/>
        <v>0</v>
      </c>
      <c r="BK242" s="31" t="str">
        <f>VLOOKUP(B242,Miljö!$B$1:$P$482,MATCH("Fossil andel i procent (%)",Miljö!$B$1:$P$1,0),FALSE)</f>
        <v>ET</v>
      </c>
      <c r="BL242" s="31">
        <f t="shared" si="83"/>
        <v>127.71000000000001</v>
      </c>
      <c r="BO242" s="32">
        <f t="shared" si="84"/>
        <v>9.1496358938219381E-3</v>
      </c>
      <c r="BP242" s="32">
        <f t="shared" si="85"/>
        <v>5.9479054106961072E-3</v>
      </c>
      <c r="BQ242" s="32">
        <f t="shared" si="86"/>
        <v>0.80010878552971576</v>
      </c>
      <c r="BR242" s="32">
        <f t="shared" si="87"/>
        <v>0.1847936731657662</v>
      </c>
      <c r="BT242" s="62">
        <f t="shared" si="88"/>
        <v>1</v>
      </c>
      <c r="BW242" s="32">
        <f>IF(AP242="Ja",VLOOKUP(B242,Miljövärden!$B$2:$H$551,MATCH("Total andel fossilt",Miljövärden!$B$2:$H$2,0),FALSE),"")</f>
        <v>9.1496400000000006E-3</v>
      </c>
      <c r="BX242" s="62">
        <f t="shared" si="89"/>
        <v>4.1061780624990218E-9</v>
      </c>
      <c r="BZ242" s="31">
        <f t="shared" si="90"/>
        <v>4.1061780624990218E-9</v>
      </c>
      <c r="CA242" s="32">
        <f t="shared" si="91"/>
        <v>0</v>
      </c>
    </row>
    <row r="243" spans="1:79" x14ac:dyDescent="0.45">
      <c r="A243" s="31" t="s">
        <v>342</v>
      </c>
      <c r="B243" s="31" t="s">
        <v>358</v>
      </c>
      <c r="C243" s="31">
        <f>VLOOKUP($B243,'Tillförd energi'!$B$1:$AI$720,MATCH(C$1,'Tillförd energi'!$B$1:$AQ$1,0),FALSE)</f>
        <v>0</v>
      </c>
      <c r="D243" s="31">
        <f>VLOOKUP($B243,'Tillförd energi'!$B$1:$AI$720,MATCH(D$1,'Tillförd energi'!$B$1:$AQ$1,0),FALSE)</f>
        <v>0.26700000000000002</v>
      </c>
      <c r="E243" s="31">
        <f>VLOOKUP($B243,'Tillförd energi'!$B$1:$AI$720,MATCH(E$1,'Tillförd energi'!$B$1:$AQ$1,0),FALSE)</f>
        <v>0</v>
      </c>
      <c r="F243" s="31">
        <f>VLOOKUP($B243,'Tillförd energi'!$B$1:$AI$720,MATCH(F$1,'Tillförd energi'!$B$1:$AQ$1,0),FALSE)</f>
        <v>0</v>
      </c>
      <c r="G243" s="31">
        <f>VLOOKUP($B243,'Tillförd energi'!$B$1:$AI$720,MATCH(G$1,'Tillförd energi'!$B$1:$AQ$1,0),FALSE)</f>
        <v>0</v>
      </c>
      <c r="H243" s="31">
        <f>VLOOKUP($B243,'Tillförd energi'!$B$1:$AI$720,MATCH(H$1,'Tillförd energi'!$B$1:$AQ$1,0),FALSE)</f>
        <v>0</v>
      </c>
      <c r="I243" s="31">
        <f>VLOOKUP($B243,'Tillförd energi'!$B$1:$AI$720,MATCH(I$1,'Tillförd energi'!$B$1:$AQ$1,0),FALSE)</f>
        <v>0</v>
      </c>
      <c r="J243" s="31">
        <f>VLOOKUP($B243,'Tillförd energi'!$B$1:$AI$720,MATCH(J$1,'Tillförd energi'!$B$1:$AQ$1,0),FALSE)</f>
        <v>0</v>
      </c>
      <c r="K243" s="31">
        <f>VLOOKUP($B243,'Tillförd energi'!$B$1:$AI$720,MATCH(K$1,'Tillförd energi'!$B$1:$AQ$1,0),FALSE)</f>
        <v>0</v>
      </c>
      <c r="L243" s="31">
        <f>VLOOKUP($B243,'Tillförd energi'!$B$1:$AI$720,MATCH(L$1,'Tillförd energi'!$B$1:$AQ$1,0),FALSE)</f>
        <v>0</v>
      </c>
      <c r="M243" s="31">
        <f>VLOOKUP($B243,'Tillförd energi'!$B$1:$AI$720,MATCH(M$1,'Tillförd energi'!$B$1:$AQ$1,0),FALSE)</f>
        <v>0</v>
      </c>
      <c r="N243" s="31">
        <f>VLOOKUP($B243,'Tillförd energi'!$B$1:$AI$720,MATCH(N$1,'Tillförd energi'!$B$1:$AQ$1,0),FALSE)</f>
        <v>0</v>
      </c>
      <c r="O243" s="31">
        <f>VLOOKUP($B243,'Tillförd energi'!$B$1:$AI$720,MATCH(O$1,'Tillförd energi'!$B$1:$AQ$1,0),FALSE)</f>
        <v>0</v>
      </c>
      <c r="P243" s="31">
        <f>VLOOKUP($B243,'Tillförd energi'!$B$1:$AI$720,MATCH(P$1,'Tillförd energi'!$B$1:$AQ$1,0),FALSE)</f>
        <v>0</v>
      </c>
      <c r="Q243" s="31">
        <f>VLOOKUP($B243,'Tillförd energi'!$B$1:$AI$720,MATCH(Q$1,'Tillförd energi'!$B$1:$AQ$1,0),FALSE)</f>
        <v>0</v>
      </c>
      <c r="R243" s="31">
        <f>VLOOKUP($B243,'Tillförd energi'!$B$1:$AI$720,MATCH(R$1,'Tillförd energi'!$B$1:$AQ$1,0),FALSE)</f>
        <v>9.5220000000000002</v>
      </c>
      <c r="S243" s="31">
        <f>VLOOKUP($B243,'Tillförd energi'!$B$1:$AI$720,MATCH(S$1,'Tillförd energi'!$B$1:$AQ$1,0),FALSE)</f>
        <v>0</v>
      </c>
      <c r="T243" s="31">
        <f>VLOOKUP($B243,'Tillförd energi'!$B$1:$AI$720,MATCH(T$1,'Tillförd energi'!$B$1:$AQ$1,0),FALSE)</f>
        <v>0</v>
      </c>
      <c r="U243" s="31">
        <f>VLOOKUP($B243,'Tillförd energi'!$B$1:$AI$720,MATCH(U$1,'Tillförd energi'!$B$1:$AQ$1,0),FALSE)</f>
        <v>0</v>
      </c>
      <c r="V243" s="31">
        <f>VLOOKUP($B243,'Tillförd energi'!$B$1:$AI$720,MATCH(V$1,'Tillförd energi'!$B$1:$AQ$1,0),FALSE)</f>
        <v>0</v>
      </c>
      <c r="W243" s="31">
        <f>VLOOKUP($B243,'Tillförd energi'!$B$1:$AI$720,MATCH(W$1,'Tillförd energi'!$B$1:$AQ$1,0),FALSE)</f>
        <v>0</v>
      </c>
      <c r="X243" s="31">
        <f>VLOOKUP($B243,'Tillförd energi'!$B$1:$AI$720,MATCH(X$1,'Tillförd energi'!$B$1:$AQ$1,0),FALSE)</f>
        <v>0</v>
      </c>
      <c r="Y243" s="31">
        <f>VLOOKUP($B243,'Tillförd energi'!$B$1:$AI$720,MATCH(Y$1,'Tillförd energi'!$B$1:$AQ$1,0),FALSE)</f>
        <v>0</v>
      </c>
      <c r="Z243" s="31">
        <f>VLOOKUP($B243,'Tillförd energi'!$B$1:$AI$720,MATCH(Z$1,'Tillförd energi'!$B$1:$AQ$1,0),FALSE)</f>
        <v>0</v>
      </c>
      <c r="AA243" s="31">
        <f>VLOOKUP($B243,'Tillförd energi'!$B$1:$AI$720,MATCH(AA$1,'Tillförd energi'!$B$1:$AQ$1,0),FALSE)</f>
        <v>0</v>
      </c>
      <c r="AB243" s="31">
        <f>VLOOKUP($B243,'Tillförd energi'!$B$1:$AI$720,MATCH(AB$1,'Tillförd energi'!$B$1:$AQ$1,0),FALSE)</f>
        <v>0</v>
      </c>
      <c r="AC243" s="31">
        <f>VLOOKUP($B243,'Tillförd energi'!$B$1:$AI$720,MATCH(AC$1,'Tillförd energi'!$B$1:$AQ$1,0),FALSE)</f>
        <v>0</v>
      </c>
      <c r="AD243" s="31">
        <f>VLOOKUP($B243,'Tillförd energi'!$B$1:$AI$720,MATCH(AD$1,'Tillförd energi'!$B$1:$AQ$1,0),FALSE)</f>
        <v>0</v>
      </c>
      <c r="AE243" s="31">
        <f>VLOOKUP($B243,'Tillförd energi'!$B$1:$AI$720,MATCH(AE$1,'Tillförd energi'!$B$1:$AQ$1,0),FALSE)</f>
        <v>0</v>
      </c>
      <c r="AF243" s="31">
        <f>VLOOKUP($B243,'Tillförd energi'!$B$1:$AI$720,MATCH(AF$1,'Tillförd energi'!$B$1:$AQ$1,0),FALSE)</f>
        <v>0.12</v>
      </c>
      <c r="AG243" s="31">
        <f>IFERROR(VLOOKUP(B243,Miljö!$B$1:$AC$550,MATCH("Köpt mängd produktionsspecifik fjärrvärme:",Miljö!$B$1:$AC$1,0),FALSE)/1,0)</f>
        <v>0</v>
      </c>
      <c r="AI243" s="31">
        <f t="shared" si="69"/>
        <v>9.9089999999999989</v>
      </c>
      <c r="AJ243" s="31">
        <f t="shared" si="70"/>
        <v>9.9089999999999989</v>
      </c>
      <c r="AK243" s="31">
        <f>IF(ISERROR(1/VLOOKUP($B243,Leveranser!$B$1:$S$499,MATCH("Såld värme (GWh)",Leveranser!$B$1:$S$1,0),FALSE)),"",VLOOKUP($B243,Leveranser!$B$1:$S$499,MATCH("Såld värme (GWh)",Leveranser!$B$1:$S$1,0),FALSE))</f>
        <v>7.8650000000000002</v>
      </c>
      <c r="AL243" s="31">
        <f>VLOOKUP($B243,Leveranser!$B$1:$Y$499,MATCH("Totalt såld fjärrvärme till andra fjärrvärmeföretag",Leveranser!$B$1:$AA$1,0),FALSE)</f>
        <v>0</v>
      </c>
      <c r="AM243" s="31">
        <f>IF(ISERROR(1/VLOOKUP($B243,Miljö!$B$1:$S$500,MATCH("Såld mängd produktionsspecifik fjärrvärme (GWh)",Miljö!$B$1:$R$1,0),FALSE)),0,VLOOKUP($B243,Miljö!$B$1:$S$500,MATCH("Såld mängd produktionsspecifik fjärrvärme (GWh)",Miljö!$B$1:$R$1,0),FALSE))</f>
        <v>0</v>
      </c>
      <c r="AN243" s="32">
        <f t="shared" si="71"/>
        <v>0.79372287819154319</v>
      </c>
      <c r="AP243" s="31" t="str">
        <f>IFERROR(VLOOKUP($B243,Miljövärden!$B$2:$H$550,7,FALSE),"Nej, saknas")</f>
        <v>Ja</v>
      </c>
      <c r="AQ243" s="31" t="str">
        <f>IFERROR(VLOOKUP($B243,Miljövärden!$B$2:$H$551,6,FALSE),"Nej, saknas")</f>
        <v>Nej</v>
      </c>
      <c r="AU243" s="31">
        <f t="shared" si="72"/>
        <v>0.12</v>
      </c>
      <c r="AV243" s="31">
        <f t="shared" si="73"/>
        <v>0</v>
      </c>
      <c r="AW243" s="31">
        <f t="shared" si="74"/>
        <v>0</v>
      </c>
      <c r="AX243" s="31">
        <f t="shared" si="75"/>
        <v>9.5220000000000002</v>
      </c>
      <c r="AZ243" s="31">
        <f t="shared" si="76"/>
        <v>9.5220000000000002</v>
      </c>
      <c r="BC243" s="31">
        <f t="shared" si="77"/>
        <v>0.26700000000000002</v>
      </c>
      <c r="BD243" s="31">
        <f t="shared" si="78"/>
        <v>0</v>
      </c>
      <c r="BE243" s="31">
        <f t="shared" si="79"/>
        <v>9.5220000000000002</v>
      </c>
      <c r="BF243" s="31">
        <f t="shared" si="80"/>
        <v>0</v>
      </c>
      <c r="BG243" s="31">
        <f t="shared" si="81"/>
        <v>0.12</v>
      </c>
      <c r="BH243" s="31">
        <f>VLOOKUP(B243,Miljö!$B$1:$BX$482,MATCH("Fossilandel för ursprungspecificerad el ()",Miljö!$B$1:$I$1,0),FALSE)</f>
        <v>0</v>
      </c>
      <c r="BI243" s="31">
        <f>VLOOKUP(B243,Miljö!$B$1:$BX$482,MATCH("Kärnkraftsandel för ursprungsspecificerad el ()",Miljö!$B$1:$O$1,0),FALSE)</f>
        <v>0</v>
      </c>
      <c r="BJ243" s="31">
        <f t="shared" si="82"/>
        <v>0</v>
      </c>
      <c r="BK243" s="31" t="str">
        <f>VLOOKUP(B243,Miljö!$B$1:$P$482,MATCH("Fossil andel i procent (%)",Miljö!$B$1:$P$1,0),FALSE)</f>
        <v>ET</v>
      </c>
      <c r="BL243" s="31">
        <f t="shared" si="83"/>
        <v>9.9089999999999989</v>
      </c>
      <c r="BO243" s="32">
        <f t="shared" si="84"/>
        <v>2.6945201332122318E-2</v>
      </c>
      <c r="BP243" s="32">
        <f t="shared" si="85"/>
        <v>0</v>
      </c>
      <c r="BQ243" s="32">
        <f t="shared" si="86"/>
        <v>0.9730547986678777</v>
      </c>
      <c r="BR243" s="32">
        <f t="shared" si="87"/>
        <v>0</v>
      </c>
      <c r="BT243" s="62">
        <f t="shared" si="88"/>
        <v>1</v>
      </c>
      <c r="BW243" s="32">
        <f>IF(AP243="Ja",VLOOKUP(B243,Miljövärden!$B$2:$H$551,MATCH("Total andel fossilt",Miljövärden!$B$2:$H$2,0),FALSE),"")</f>
        <v>2.6945199999999999E-2</v>
      </c>
      <c r="BX243" s="62">
        <f t="shared" si="89"/>
        <v>-1.3321223187034992E-9</v>
      </c>
      <c r="BZ243" s="31">
        <f t="shared" si="90"/>
        <v>-1.3321223187034992E-9</v>
      </c>
      <c r="CA243" s="32">
        <f t="shared" si="91"/>
        <v>0</v>
      </c>
    </row>
    <row r="244" spans="1:79" x14ac:dyDescent="0.45">
      <c r="A244" s="31" t="s">
        <v>342</v>
      </c>
      <c r="B244" s="31" t="s">
        <v>357</v>
      </c>
      <c r="C244" s="31">
        <f>VLOOKUP($B244,'Tillförd energi'!$B$1:$AI$720,MATCH(C$1,'Tillförd energi'!$B$1:$AQ$1,0),FALSE)</f>
        <v>0</v>
      </c>
      <c r="D244" s="31">
        <f>VLOOKUP($B244,'Tillförd energi'!$B$1:$AI$720,MATCH(D$1,'Tillförd energi'!$B$1:$AQ$1,0),FALSE)</f>
        <v>0.1</v>
      </c>
      <c r="E244" s="31">
        <f>VLOOKUP($B244,'Tillförd energi'!$B$1:$AI$720,MATCH(E$1,'Tillförd energi'!$B$1:$AQ$1,0),FALSE)</f>
        <v>0</v>
      </c>
      <c r="F244" s="31">
        <f>VLOOKUP($B244,'Tillförd energi'!$B$1:$AI$720,MATCH(F$1,'Tillförd energi'!$B$1:$AQ$1,0),FALSE)</f>
        <v>0</v>
      </c>
      <c r="G244" s="31">
        <f>VLOOKUP($B244,'Tillförd energi'!$B$1:$AI$720,MATCH(G$1,'Tillförd energi'!$B$1:$AQ$1,0),FALSE)</f>
        <v>0</v>
      </c>
      <c r="H244" s="31">
        <f>VLOOKUP($B244,'Tillförd energi'!$B$1:$AI$720,MATCH(H$1,'Tillförd energi'!$B$1:$AQ$1,0),FALSE)</f>
        <v>0</v>
      </c>
      <c r="I244" s="31">
        <f>VLOOKUP($B244,'Tillförd energi'!$B$1:$AI$720,MATCH(I$1,'Tillförd energi'!$B$1:$AQ$1,0),FALSE)</f>
        <v>0</v>
      </c>
      <c r="J244" s="31">
        <f>VLOOKUP($B244,'Tillförd energi'!$B$1:$AI$720,MATCH(J$1,'Tillförd energi'!$B$1:$AQ$1,0),FALSE)</f>
        <v>0</v>
      </c>
      <c r="K244" s="31">
        <f>VLOOKUP($B244,'Tillförd energi'!$B$1:$AI$720,MATCH(K$1,'Tillförd energi'!$B$1:$AQ$1,0),FALSE)</f>
        <v>0</v>
      </c>
      <c r="L244" s="31">
        <f>VLOOKUP($B244,'Tillförd energi'!$B$1:$AI$720,MATCH(L$1,'Tillförd energi'!$B$1:$AQ$1,0),FALSE)</f>
        <v>0</v>
      </c>
      <c r="M244" s="31">
        <f>VLOOKUP($B244,'Tillförd energi'!$B$1:$AI$720,MATCH(M$1,'Tillförd energi'!$B$1:$AQ$1,0),FALSE)</f>
        <v>0</v>
      </c>
      <c r="N244" s="31">
        <f>VLOOKUP($B244,'Tillförd energi'!$B$1:$AI$720,MATCH(N$1,'Tillförd energi'!$B$1:$AQ$1,0),FALSE)</f>
        <v>0</v>
      </c>
      <c r="O244" s="31">
        <f>VLOOKUP($B244,'Tillförd energi'!$B$1:$AI$720,MATCH(O$1,'Tillförd energi'!$B$1:$AQ$1,0),FALSE)</f>
        <v>0</v>
      </c>
      <c r="P244" s="31">
        <f>VLOOKUP($B244,'Tillförd energi'!$B$1:$AI$720,MATCH(P$1,'Tillförd energi'!$B$1:$AQ$1,0),FALSE)</f>
        <v>0</v>
      </c>
      <c r="Q244" s="31">
        <f>VLOOKUP($B244,'Tillförd energi'!$B$1:$AI$720,MATCH(Q$1,'Tillförd energi'!$B$1:$AQ$1,0),FALSE)</f>
        <v>0</v>
      </c>
      <c r="R244" s="31">
        <f>VLOOKUP($B244,'Tillförd energi'!$B$1:$AI$720,MATCH(R$1,'Tillförd energi'!$B$1:$AQ$1,0),FALSE)</f>
        <v>9.8260000000000005</v>
      </c>
      <c r="S244" s="31">
        <f>VLOOKUP($B244,'Tillförd energi'!$B$1:$AI$720,MATCH(S$1,'Tillförd energi'!$B$1:$AQ$1,0),FALSE)</f>
        <v>0</v>
      </c>
      <c r="T244" s="31">
        <f>VLOOKUP($B244,'Tillförd energi'!$B$1:$AI$720,MATCH(T$1,'Tillförd energi'!$B$1:$AQ$1,0),FALSE)</f>
        <v>0</v>
      </c>
      <c r="U244" s="31">
        <f>VLOOKUP($B244,'Tillförd energi'!$B$1:$AI$720,MATCH(U$1,'Tillförd energi'!$B$1:$AQ$1,0),FALSE)</f>
        <v>0</v>
      </c>
      <c r="V244" s="31">
        <f>VLOOKUP($B244,'Tillförd energi'!$B$1:$AI$720,MATCH(V$1,'Tillförd energi'!$B$1:$AQ$1,0),FALSE)</f>
        <v>0</v>
      </c>
      <c r="W244" s="31">
        <f>VLOOKUP($B244,'Tillförd energi'!$B$1:$AI$720,MATCH(W$1,'Tillförd energi'!$B$1:$AQ$1,0),FALSE)</f>
        <v>0</v>
      </c>
      <c r="X244" s="31">
        <f>VLOOKUP($B244,'Tillförd energi'!$B$1:$AI$720,MATCH(X$1,'Tillförd energi'!$B$1:$AQ$1,0),FALSE)</f>
        <v>0</v>
      </c>
      <c r="Y244" s="31">
        <f>VLOOKUP($B244,'Tillförd energi'!$B$1:$AI$720,MATCH(Y$1,'Tillförd energi'!$B$1:$AQ$1,0),FALSE)</f>
        <v>0</v>
      </c>
      <c r="Z244" s="31">
        <f>VLOOKUP($B244,'Tillförd energi'!$B$1:$AI$720,MATCH(Z$1,'Tillförd energi'!$B$1:$AQ$1,0),FALSE)</f>
        <v>0</v>
      </c>
      <c r="AA244" s="31">
        <f>VLOOKUP($B244,'Tillförd energi'!$B$1:$AI$720,MATCH(AA$1,'Tillförd energi'!$B$1:$AQ$1,0),FALSE)</f>
        <v>0</v>
      </c>
      <c r="AB244" s="31">
        <f>VLOOKUP($B244,'Tillförd energi'!$B$1:$AI$720,MATCH(AB$1,'Tillförd energi'!$B$1:$AQ$1,0),FALSE)</f>
        <v>0</v>
      </c>
      <c r="AC244" s="31">
        <f>VLOOKUP($B244,'Tillförd energi'!$B$1:$AI$720,MATCH(AC$1,'Tillförd energi'!$B$1:$AQ$1,0),FALSE)</f>
        <v>0</v>
      </c>
      <c r="AD244" s="31">
        <f>VLOOKUP($B244,'Tillförd energi'!$B$1:$AI$720,MATCH(AD$1,'Tillförd energi'!$B$1:$AQ$1,0),FALSE)</f>
        <v>0</v>
      </c>
      <c r="AE244" s="31">
        <f>VLOOKUP($B244,'Tillförd energi'!$B$1:$AI$720,MATCH(AE$1,'Tillförd energi'!$B$1:$AQ$1,0),FALSE)</f>
        <v>0</v>
      </c>
      <c r="AF244" s="31">
        <f>VLOOKUP($B244,'Tillförd energi'!$B$1:$AI$720,MATCH(AF$1,'Tillförd energi'!$B$1:$AQ$1,0),FALSE)</f>
        <v>0.107</v>
      </c>
      <c r="AG244" s="31">
        <f>IFERROR(VLOOKUP(B244,Miljö!$B$1:$AC$550,MATCH("Köpt mängd produktionsspecifik fjärrvärme:",Miljö!$B$1:$AC$1,0),FALSE)/1,0)</f>
        <v>0</v>
      </c>
      <c r="AI244" s="31">
        <f t="shared" si="69"/>
        <v>10.032999999999999</v>
      </c>
      <c r="AJ244" s="31">
        <f t="shared" si="70"/>
        <v>10.032999999999999</v>
      </c>
      <c r="AK244" s="31">
        <f>IF(ISERROR(1/VLOOKUP($B244,Leveranser!$B$1:$S$499,MATCH("Såld värme (GWh)",Leveranser!$B$1:$S$1,0),FALSE)),"",VLOOKUP($B244,Leveranser!$B$1:$S$499,MATCH("Såld värme (GWh)",Leveranser!$B$1:$S$1,0),FALSE))</f>
        <v>8.0250000000000004</v>
      </c>
      <c r="AL244" s="31">
        <f>VLOOKUP($B244,Leveranser!$B$1:$Y$499,MATCH("Totalt såld fjärrvärme till andra fjärrvärmeföretag",Leveranser!$B$1:$AA$1,0),FALSE)</f>
        <v>0</v>
      </c>
      <c r="AM244" s="31">
        <f>IF(ISERROR(1/VLOOKUP($B244,Miljö!$B$1:$S$500,MATCH("Såld mängd produktionsspecifik fjärrvärme (GWh)",Miljö!$B$1:$R$1,0),FALSE)),0,VLOOKUP($B244,Miljö!$B$1:$S$500,MATCH("Såld mängd produktionsspecifik fjärrvärme (GWh)",Miljö!$B$1:$R$1,0),FALSE))</f>
        <v>0</v>
      </c>
      <c r="AN244" s="32">
        <f t="shared" si="71"/>
        <v>0.7998604604804147</v>
      </c>
      <c r="AP244" s="31" t="str">
        <f>IFERROR(VLOOKUP($B244,Miljövärden!$B$2:$H$550,7,FALSE),"Nej, saknas")</f>
        <v>Ja</v>
      </c>
      <c r="AQ244" s="31" t="str">
        <f>IFERROR(VLOOKUP($B244,Miljövärden!$B$2:$H$551,6,FALSE),"Nej, saknas")</f>
        <v>Nej</v>
      </c>
      <c r="AU244" s="31">
        <f t="shared" si="72"/>
        <v>0.107</v>
      </c>
      <c r="AV244" s="31">
        <f t="shared" si="73"/>
        <v>0</v>
      </c>
      <c r="AW244" s="31">
        <f t="shared" si="74"/>
        <v>0</v>
      </c>
      <c r="AX244" s="31">
        <f t="shared" si="75"/>
        <v>9.8260000000000005</v>
      </c>
      <c r="AZ244" s="31">
        <f t="shared" si="76"/>
        <v>9.8260000000000005</v>
      </c>
      <c r="BC244" s="31">
        <f t="shared" si="77"/>
        <v>0.1</v>
      </c>
      <c r="BD244" s="31">
        <f t="shared" si="78"/>
        <v>0</v>
      </c>
      <c r="BE244" s="31">
        <f t="shared" si="79"/>
        <v>9.8260000000000005</v>
      </c>
      <c r="BF244" s="31">
        <f t="shared" si="80"/>
        <v>0</v>
      </c>
      <c r="BG244" s="31">
        <f t="shared" si="81"/>
        <v>0.107</v>
      </c>
      <c r="BH244" s="31">
        <f>VLOOKUP(B244,Miljö!$B$1:$BX$482,MATCH("Fossilandel för ursprungspecificerad el ()",Miljö!$B$1:$I$1,0),FALSE)</f>
        <v>0</v>
      </c>
      <c r="BI244" s="31">
        <f>VLOOKUP(B244,Miljö!$B$1:$BX$482,MATCH("Kärnkraftsandel för ursprungsspecificerad el ()",Miljö!$B$1:$O$1,0),FALSE)</f>
        <v>0</v>
      </c>
      <c r="BJ244" s="31">
        <f t="shared" si="82"/>
        <v>0</v>
      </c>
      <c r="BK244" s="31" t="str">
        <f>VLOOKUP(B244,Miljö!$B$1:$P$482,MATCH("Fossil andel i procent (%)",Miljö!$B$1:$P$1,0),FALSE)</f>
        <v>ET</v>
      </c>
      <c r="BL244" s="31">
        <f t="shared" si="83"/>
        <v>10.032999999999999</v>
      </c>
      <c r="BO244" s="32">
        <f t="shared" si="84"/>
        <v>9.9671085418120212E-3</v>
      </c>
      <c r="BP244" s="32">
        <f t="shared" si="85"/>
        <v>0</v>
      </c>
      <c r="BQ244" s="32">
        <f t="shared" si="86"/>
        <v>0.99003289145818807</v>
      </c>
      <c r="BR244" s="32">
        <f t="shared" si="87"/>
        <v>0</v>
      </c>
      <c r="BT244" s="62">
        <f t="shared" si="88"/>
        <v>1</v>
      </c>
      <c r="BW244" s="32">
        <f>IF(AP244="Ja",VLOOKUP(B244,Miljövärden!$B$2:$H$551,MATCH("Total andel fossilt",Miljövärden!$B$2:$H$2,0),FALSE),"")</f>
        <v>9.9671099999999995E-3</v>
      </c>
      <c r="BX244" s="62">
        <f t="shared" si="89"/>
        <v>1.4581879783509555E-9</v>
      </c>
      <c r="BZ244" s="31">
        <f t="shared" si="90"/>
        <v>1.4581879783509555E-9</v>
      </c>
      <c r="CA244" s="32">
        <f t="shared" si="91"/>
        <v>0</v>
      </c>
    </row>
    <row r="245" spans="1:79" x14ac:dyDescent="0.45">
      <c r="A245" s="31" t="s">
        <v>342</v>
      </c>
      <c r="B245" s="31" t="s">
        <v>356</v>
      </c>
      <c r="C245" s="31">
        <f>VLOOKUP($B245,'Tillförd energi'!$B$1:$AI$720,MATCH(C$1,'Tillförd energi'!$B$1:$AQ$1,0),FALSE)</f>
        <v>0</v>
      </c>
      <c r="D245" s="31">
        <f>VLOOKUP($B245,'Tillförd energi'!$B$1:$AI$720,MATCH(D$1,'Tillförd energi'!$B$1:$AQ$1,0),FALSE)</f>
        <v>0.20100000000000001</v>
      </c>
      <c r="E245" s="31">
        <f>VLOOKUP($B245,'Tillförd energi'!$B$1:$AI$720,MATCH(E$1,'Tillförd energi'!$B$1:$AQ$1,0),FALSE)</f>
        <v>0</v>
      </c>
      <c r="F245" s="31">
        <f>VLOOKUP($B245,'Tillförd energi'!$B$1:$AI$720,MATCH(F$1,'Tillförd energi'!$B$1:$AQ$1,0),FALSE)</f>
        <v>0</v>
      </c>
      <c r="G245" s="31">
        <f>VLOOKUP($B245,'Tillförd energi'!$B$1:$AI$720,MATCH(G$1,'Tillförd energi'!$B$1:$AQ$1,0),FALSE)</f>
        <v>0</v>
      </c>
      <c r="H245" s="31">
        <f>VLOOKUP($B245,'Tillförd energi'!$B$1:$AI$720,MATCH(H$1,'Tillförd energi'!$B$1:$AQ$1,0),FALSE)</f>
        <v>0</v>
      </c>
      <c r="I245" s="31">
        <f>VLOOKUP($B245,'Tillförd energi'!$B$1:$AI$720,MATCH(I$1,'Tillförd energi'!$B$1:$AQ$1,0),FALSE)</f>
        <v>0</v>
      </c>
      <c r="J245" s="31">
        <f>VLOOKUP($B245,'Tillförd energi'!$B$1:$AI$720,MATCH(J$1,'Tillförd energi'!$B$1:$AQ$1,0),FALSE)</f>
        <v>0</v>
      </c>
      <c r="K245" s="31">
        <f>VLOOKUP($B245,'Tillförd energi'!$B$1:$AI$720,MATCH(K$1,'Tillförd energi'!$B$1:$AQ$1,0),FALSE)</f>
        <v>0</v>
      </c>
      <c r="L245" s="31">
        <f>VLOOKUP($B245,'Tillförd energi'!$B$1:$AI$720,MATCH(L$1,'Tillförd energi'!$B$1:$AQ$1,0),FALSE)</f>
        <v>0</v>
      </c>
      <c r="M245" s="31">
        <f>VLOOKUP($B245,'Tillförd energi'!$B$1:$AI$720,MATCH(M$1,'Tillförd energi'!$B$1:$AQ$1,0),FALSE)</f>
        <v>7.9619999999999997</v>
      </c>
      <c r="N245" s="31">
        <f>VLOOKUP($B245,'Tillförd energi'!$B$1:$AI$720,MATCH(N$1,'Tillförd energi'!$B$1:$AQ$1,0),FALSE)</f>
        <v>0</v>
      </c>
      <c r="O245" s="31">
        <f>VLOOKUP($B245,'Tillförd energi'!$B$1:$AI$720,MATCH(O$1,'Tillförd energi'!$B$1:$AQ$1,0),FALSE)</f>
        <v>7.9619999999999997</v>
      </c>
      <c r="P245" s="31">
        <f>VLOOKUP($B245,'Tillförd energi'!$B$1:$AI$720,MATCH(P$1,'Tillförd energi'!$B$1:$AQ$1,0),FALSE)</f>
        <v>0</v>
      </c>
      <c r="Q245" s="31">
        <f>VLOOKUP($B245,'Tillförd energi'!$B$1:$AI$720,MATCH(Q$1,'Tillförd energi'!$B$1:$AQ$1,0),FALSE)</f>
        <v>0</v>
      </c>
      <c r="R245" s="31">
        <f>VLOOKUP($B245,'Tillförd energi'!$B$1:$AI$720,MATCH(R$1,'Tillförd energi'!$B$1:$AQ$1,0),FALSE)</f>
        <v>6.4020000000000001</v>
      </c>
      <c r="S245" s="31">
        <f>VLOOKUP($B245,'Tillförd energi'!$B$1:$AI$720,MATCH(S$1,'Tillförd energi'!$B$1:$AQ$1,0),FALSE)</f>
        <v>0</v>
      </c>
      <c r="T245" s="31">
        <f>VLOOKUP($B245,'Tillförd energi'!$B$1:$AI$720,MATCH(T$1,'Tillförd energi'!$B$1:$AQ$1,0),FALSE)</f>
        <v>0</v>
      </c>
      <c r="U245" s="31">
        <f>VLOOKUP($B245,'Tillförd energi'!$B$1:$AI$720,MATCH(U$1,'Tillförd energi'!$B$1:$AQ$1,0),FALSE)</f>
        <v>0</v>
      </c>
      <c r="V245" s="31">
        <f>VLOOKUP($B245,'Tillförd energi'!$B$1:$AI$720,MATCH(V$1,'Tillförd energi'!$B$1:$AQ$1,0),FALSE)</f>
        <v>0</v>
      </c>
      <c r="W245" s="31">
        <f>VLOOKUP($B245,'Tillförd energi'!$B$1:$AI$720,MATCH(W$1,'Tillförd energi'!$B$1:$AQ$1,0),FALSE)</f>
        <v>0</v>
      </c>
      <c r="X245" s="31">
        <f>VLOOKUP($B245,'Tillförd energi'!$B$1:$AI$720,MATCH(X$1,'Tillförd energi'!$B$1:$AQ$1,0),FALSE)</f>
        <v>0</v>
      </c>
      <c r="Y245" s="31">
        <f>VLOOKUP($B245,'Tillförd energi'!$B$1:$AI$720,MATCH(Y$1,'Tillförd energi'!$B$1:$AQ$1,0),FALSE)</f>
        <v>0</v>
      </c>
      <c r="Z245" s="31">
        <f>VLOOKUP($B245,'Tillförd energi'!$B$1:$AI$720,MATCH(Z$1,'Tillförd energi'!$B$1:$AQ$1,0),FALSE)</f>
        <v>0</v>
      </c>
      <c r="AA245" s="31">
        <f>VLOOKUP($B245,'Tillförd energi'!$B$1:$AI$720,MATCH(AA$1,'Tillförd energi'!$B$1:$AQ$1,0),FALSE)</f>
        <v>0</v>
      </c>
      <c r="AB245" s="31">
        <f>VLOOKUP($B245,'Tillförd energi'!$B$1:$AI$720,MATCH(AB$1,'Tillförd energi'!$B$1:$AQ$1,0),FALSE)</f>
        <v>0</v>
      </c>
      <c r="AC245" s="31">
        <f>VLOOKUP($B245,'Tillförd energi'!$B$1:$AI$720,MATCH(AC$1,'Tillförd energi'!$B$1:$AQ$1,0),FALSE)</f>
        <v>0</v>
      </c>
      <c r="AD245" s="31">
        <f>VLOOKUP($B245,'Tillförd energi'!$B$1:$AI$720,MATCH(AD$1,'Tillförd energi'!$B$1:$AQ$1,0),FALSE)</f>
        <v>0</v>
      </c>
      <c r="AE245" s="31">
        <f>VLOOKUP($B245,'Tillförd energi'!$B$1:$AI$720,MATCH(AE$1,'Tillförd energi'!$B$1:$AQ$1,0),FALSE)</f>
        <v>0</v>
      </c>
      <c r="AF245" s="31">
        <f>VLOOKUP($B245,'Tillförd energi'!$B$1:$AI$720,MATCH(AF$1,'Tillförd energi'!$B$1:$AQ$1,0),FALSE)</f>
        <v>0.36199999999999999</v>
      </c>
      <c r="AG245" s="31">
        <f>IFERROR(VLOOKUP(B245,Miljö!$B$1:$AC$550,MATCH("Köpt mängd produktionsspecifik fjärrvärme:",Miljö!$B$1:$AC$1,0),FALSE)/1,0)</f>
        <v>0</v>
      </c>
      <c r="AI245" s="31">
        <f t="shared" si="69"/>
        <v>22.888999999999999</v>
      </c>
      <c r="AJ245" s="31">
        <f t="shared" si="70"/>
        <v>22.888999999999999</v>
      </c>
      <c r="AK245" s="31">
        <f>IF(ISERROR(1/VLOOKUP($B245,Leveranser!$B$1:$S$499,MATCH("Såld värme (GWh)",Leveranser!$B$1:$S$1,0),FALSE)),"",VLOOKUP($B245,Leveranser!$B$1:$S$499,MATCH("Såld värme (GWh)",Leveranser!$B$1:$S$1,0),FALSE))</f>
        <v>15.529</v>
      </c>
      <c r="AL245" s="31">
        <f>VLOOKUP($B245,Leveranser!$B$1:$Y$499,MATCH("Totalt såld fjärrvärme till andra fjärrvärmeföretag",Leveranser!$B$1:$AA$1,0),FALSE)</f>
        <v>0</v>
      </c>
      <c r="AM245" s="31">
        <f>IF(ISERROR(1/VLOOKUP($B245,Miljö!$B$1:$S$500,MATCH("Såld mängd produktionsspecifik fjärrvärme (GWh)",Miljö!$B$1:$R$1,0),FALSE)),0,VLOOKUP($B245,Miljö!$B$1:$S$500,MATCH("Såld mängd produktionsspecifik fjärrvärme (GWh)",Miljö!$B$1:$R$1,0),FALSE))</f>
        <v>0</v>
      </c>
      <c r="AN245" s="32">
        <f t="shared" si="71"/>
        <v>0.67844816287299581</v>
      </c>
      <c r="AP245" s="31" t="str">
        <f>IFERROR(VLOOKUP($B245,Miljövärden!$B$2:$H$550,7,FALSE),"Nej, saknas")</f>
        <v>Ja</v>
      </c>
      <c r="AQ245" s="31" t="str">
        <f>IFERROR(VLOOKUP($B245,Miljövärden!$B$2:$H$551,6,FALSE),"Nej, saknas")</f>
        <v>Nej</v>
      </c>
      <c r="AU245" s="31">
        <f t="shared" si="72"/>
        <v>0.36199999999999999</v>
      </c>
      <c r="AV245" s="31">
        <f t="shared" si="73"/>
        <v>0</v>
      </c>
      <c r="AW245" s="31">
        <f t="shared" si="74"/>
        <v>15.923999999999999</v>
      </c>
      <c r="AX245" s="31">
        <f t="shared" si="75"/>
        <v>6.4020000000000001</v>
      </c>
      <c r="AZ245" s="31">
        <f t="shared" si="76"/>
        <v>22.326000000000001</v>
      </c>
      <c r="BC245" s="31">
        <f t="shared" si="77"/>
        <v>0.20100000000000001</v>
      </c>
      <c r="BD245" s="31">
        <f t="shared" si="78"/>
        <v>0</v>
      </c>
      <c r="BE245" s="31">
        <f t="shared" si="79"/>
        <v>22.326000000000001</v>
      </c>
      <c r="BF245" s="31">
        <f t="shared" si="80"/>
        <v>0</v>
      </c>
      <c r="BG245" s="31">
        <f t="shared" si="81"/>
        <v>0.36199999999999999</v>
      </c>
      <c r="BH245" s="31">
        <f>VLOOKUP(B245,Miljö!$B$1:$BX$482,MATCH("Fossilandel för ursprungspecificerad el ()",Miljö!$B$1:$I$1,0),FALSE)</f>
        <v>0</v>
      </c>
      <c r="BI245" s="31">
        <f>VLOOKUP(B245,Miljö!$B$1:$BX$482,MATCH("Kärnkraftsandel för ursprungsspecificerad el ()",Miljö!$B$1:$O$1,0),FALSE)</f>
        <v>0</v>
      </c>
      <c r="BJ245" s="31">
        <f t="shared" si="82"/>
        <v>0</v>
      </c>
      <c r="BK245" s="31" t="str">
        <f>VLOOKUP(B245,Miljö!$B$1:$P$482,MATCH("Fossil andel i procent (%)",Miljö!$B$1:$P$1,0),FALSE)</f>
        <v>ET</v>
      </c>
      <c r="BL245" s="31">
        <f t="shared" si="83"/>
        <v>22.888999999999999</v>
      </c>
      <c r="BO245" s="32">
        <f t="shared" si="84"/>
        <v>8.7815107693651976E-3</v>
      </c>
      <c r="BP245" s="32">
        <f t="shared" si="85"/>
        <v>0</v>
      </c>
      <c r="BQ245" s="32">
        <f t="shared" si="86"/>
        <v>0.99121848923063482</v>
      </c>
      <c r="BR245" s="32">
        <f t="shared" si="87"/>
        <v>0</v>
      </c>
      <c r="BT245" s="62">
        <f t="shared" si="88"/>
        <v>1</v>
      </c>
      <c r="BW245" s="32">
        <f>IF(AP245="Ja",VLOOKUP(B245,Miljövärden!$B$2:$H$551,MATCH("Total andel fossilt",Miljövärden!$B$2:$H$2,0),FALSE),"")</f>
        <v>8.7815099999999993E-3</v>
      </c>
      <c r="BX245" s="62">
        <f t="shared" si="89"/>
        <v>-7.6936519828596506E-10</v>
      </c>
      <c r="BZ245" s="31">
        <f t="shared" si="90"/>
        <v>-7.6936519828596506E-10</v>
      </c>
      <c r="CA245" s="32">
        <f t="shared" si="91"/>
        <v>0</v>
      </c>
    </row>
    <row r="246" spans="1:79" x14ac:dyDescent="0.45">
      <c r="A246" s="31" t="s">
        <v>342</v>
      </c>
      <c r="B246" s="31" t="s">
        <v>355</v>
      </c>
      <c r="C246" s="31">
        <f>VLOOKUP($B246,'Tillförd energi'!$B$1:$AI$720,MATCH(C$1,'Tillförd energi'!$B$1:$AQ$1,0),FALSE)</f>
        <v>0</v>
      </c>
      <c r="D246" s="31">
        <f>VLOOKUP($B246,'Tillförd energi'!$B$1:$AI$720,MATCH(D$1,'Tillförd energi'!$B$1:$AQ$1,0),FALSE)</f>
        <v>0.183</v>
      </c>
      <c r="E246" s="31">
        <f>VLOOKUP($B246,'Tillförd energi'!$B$1:$AI$720,MATCH(E$1,'Tillförd energi'!$B$1:$AQ$1,0),FALSE)</f>
        <v>0</v>
      </c>
      <c r="F246" s="31">
        <f>VLOOKUP($B246,'Tillförd energi'!$B$1:$AI$720,MATCH(F$1,'Tillförd energi'!$B$1:$AQ$1,0),FALSE)</f>
        <v>0</v>
      </c>
      <c r="G246" s="31">
        <f>VLOOKUP($B246,'Tillförd energi'!$B$1:$AI$720,MATCH(G$1,'Tillförd energi'!$B$1:$AQ$1,0),FALSE)</f>
        <v>0</v>
      </c>
      <c r="H246" s="31">
        <f>VLOOKUP($B246,'Tillförd energi'!$B$1:$AI$720,MATCH(H$1,'Tillförd energi'!$B$1:$AQ$1,0),FALSE)</f>
        <v>0</v>
      </c>
      <c r="I246" s="31">
        <f>VLOOKUP($B246,'Tillförd energi'!$B$1:$AI$720,MATCH(I$1,'Tillförd energi'!$B$1:$AQ$1,0),FALSE)</f>
        <v>0</v>
      </c>
      <c r="J246" s="31">
        <f>VLOOKUP($B246,'Tillförd energi'!$B$1:$AI$720,MATCH(J$1,'Tillförd energi'!$B$1:$AQ$1,0),FALSE)</f>
        <v>0</v>
      </c>
      <c r="K246" s="31">
        <f>VLOOKUP($B246,'Tillförd energi'!$B$1:$AI$720,MATCH(K$1,'Tillförd energi'!$B$1:$AQ$1,0),FALSE)</f>
        <v>0</v>
      </c>
      <c r="L246" s="31">
        <f>VLOOKUP($B246,'Tillförd energi'!$B$1:$AI$720,MATCH(L$1,'Tillförd energi'!$B$1:$AQ$1,0),FALSE)</f>
        <v>0</v>
      </c>
      <c r="M246" s="31">
        <f>VLOOKUP($B246,'Tillförd energi'!$B$1:$AI$720,MATCH(M$1,'Tillförd energi'!$B$1:$AQ$1,0),FALSE)</f>
        <v>0</v>
      </c>
      <c r="N246" s="31">
        <f>VLOOKUP($B246,'Tillförd energi'!$B$1:$AI$720,MATCH(N$1,'Tillförd energi'!$B$1:$AQ$1,0),FALSE)</f>
        <v>0</v>
      </c>
      <c r="O246" s="31">
        <f>VLOOKUP($B246,'Tillförd energi'!$B$1:$AI$720,MATCH(O$1,'Tillförd energi'!$B$1:$AQ$1,0),FALSE)</f>
        <v>0</v>
      </c>
      <c r="P246" s="31">
        <f>VLOOKUP($B246,'Tillförd energi'!$B$1:$AI$720,MATCH(P$1,'Tillförd energi'!$B$1:$AQ$1,0),FALSE)</f>
        <v>0</v>
      </c>
      <c r="Q246" s="31">
        <f>VLOOKUP($B246,'Tillförd energi'!$B$1:$AI$720,MATCH(Q$1,'Tillförd energi'!$B$1:$AQ$1,0),FALSE)</f>
        <v>0</v>
      </c>
      <c r="R246" s="31">
        <f>VLOOKUP($B246,'Tillförd energi'!$B$1:$AI$720,MATCH(R$1,'Tillförd energi'!$B$1:$AQ$1,0),FALSE)</f>
        <v>12.526999999999999</v>
      </c>
      <c r="S246" s="31">
        <f>VLOOKUP($B246,'Tillförd energi'!$B$1:$AI$720,MATCH(S$1,'Tillförd energi'!$B$1:$AQ$1,0),FALSE)</f>
        <v>0</v>
      </c>
      <c r="T246" s="31">
        <f>VLOOKUP($B246,'Tillförd energi'!$B$1:$AI$720,MATCH(T$1,'Tillförd energi'!$B$1:$AQ$1,0),FALSE)</f>
        <v>0</v>
      </c>
      <c r="U246" s="31">
        <f>VLOOKUP($B246,'Tillförd energi'!$B$1:$AI$720,MATCH(U$1,'Tillförd energi'!$B$1:$AQ$1,0),FALSE)</f>
        <v>0</v>
      </c>
      <c r="V246" s="31">
        <f>VLOOKUP($B246,'Tillförd energi'!$B$1:$AI$720,MATCH(V$1,'Tillförd energi'!$B$1:$AQ$1,0),FALSE)</f>
        <v>0</v>
      </c>
      <c r="W246" s="31">
        <f>VLOOKUP($B246,'Tillförd energi'!$B$1:$AI$720,MATCH(W$1,'Tillförd energi'!$B$1:$AQ$1,0),FALSE)</f>
        <v>0</v>
      </c>
      <c r="X246" s="31">
        <f>VLOOKUP($B246,'Tillförd energi'!$B$1:$AI$720,MATCH(X$1,'Tillförd energi'!$B$1:$AQ$1,0),FALSE)</f>
        <v>0</v>
      </c>
      <c r="Y246" s="31">
        <f>VLOOKUP($B246,'Tillförd energi'!$B$1:$AI$720,MATCH(Y$1,'Tillförd energi'!$B$1:$AQ$1,0),FALSE)</f>
        <v>0</v>
      </c>
      <c r="Z246" s="31">
        <f>VLOOKUP($B246,'Tillförd energi'!$B$1:$AI$720,MATCH(Z$1,'Tillförd energi'!$B$1:$AQ$1,0),FALSE)</f>
        <v>0</v>
      </c>
      <c r="AA246" s="31">
        <f>VLOOKUP($B246,'Tillförd energi'!$B$1:$AI$720,MATCH(AA$1,'Tillförd energi'!$B$1:$AQ$1,0),FALSE)</f>
        <v>0</v>
      </c>
      <c r="AB246" s="31">
        <f>VLOOKUP($B246,'Tillförd energi'!$B$1:$AI$720,MATCH(AB$1,'Tillförd energi'!$B$1:$AQ$1,0),FALSE)</f>
        <v>0</v>
      </c>
      <c r="AC246" s="31">
        <f>VLOOKUP($B246,'Tillförd energi'!$B$1:$AI$720,MATCH(AC$1,'Tillförd energi'!$B$1:$AQ$1,0),FALSE)</f>
        <v>0</v>
      </c>
      <c r="AD246" s="31">
        <f>VLOOKUP($B246,'Tillförd energi'!$B$1:$AI$720,MATCH(AD$1,'Tillförd energi'!$B$1:$AQ$1,0),FALSE)</f>
        <v>0</v>
      </c>
      <c r="AE246" s="31">
        <f>VLOOKUP($B246,'Tillförd energi'!$B$1:$AI$720,MATCH(AE$1,'Tillförd energi'!$B$1:$AQ$1,0),FALSE)</f>
        <v>0</v>
      </c>
      <c r="AF246" s="31">
        <f>VLOOKUP($B246,'Tillförd energi'!$B$1:$AI$720,MATCH(AF$1,'Tillförd energi'!$B$1:$AQ$1,0),FALSE)</f>
        <v>0.11799999999999999</v>
      </c>
      <c r="AG246" s="31">
        <f>IFERROR(VLOOKUP(B246,Miljö!$B$1:$AC$550,MATCH("Köpt mängd produktionsspecifik fjärrvärme:",Miljö!$B$1:$AC$1,0),FALSE)/1,0)</f>
        <v>0</v>
      </c>
      <c r="AI246" s="31">
        <f t="shared" si="69"/>
        <v>12.827999999999999</v>
      </c>
      <c r="AJ246" s="31">
        <f t="shared" si="70"/>
        <v>12.827999999999999</v>
      </c>
      <c r="AK246" s="31">
        <f>IF(ISERROR(1/VLOOKUP($B246,Leveranser!$B$1:$S$499,MATCH("Såld värme (GWh)",Leveranser!$B$1:$S$1,0),FALSE)),"",VLOOKUP($B246,Leveranser!$B$1:$S$499,MATCH("Såld värme (GWh)",Leveranser!$B$1:$S$1,0),FALSE))</f>
        <v>10.827</v>
      </c>
      <c r="AL246" s="31">
        <f>VLOOKUP($B246,Leveranser!$B$1:$Y$499,MATCH("Totalt såld fjärrvärme till andra fjärrvärmeföretag",Leveranser!$B$1:$AA$1,0),FALSE)</f>
        <v>0</v>
      </c>
      <c r="AM246" s="31">
        <f>IF(ISERROR(1/VLOOKUP($B246,Miljö!$B$1:$S$500,MATCH("Såld mängd produktionsspecifik fjärrvärme (GWh)",Miljö!$B$1:$R$1,0),FALSE)),0,VLOOKUP($B246,Miljö!$B$1:$S$500,MATCH("Såld mängd produktionsspecifik fjärrvärme (GWh)",Miljö!$B$1:$R$1,0),FALSE))</f>
        <v>0</v>
      </c>
      <c r="AN246" s="32">
        <f t="shared" si="71"/>
        <v>0.84401309635173061</v>
      </c>
      <c r="AP246" s="31" t="str">
        <f>IFERROR(VLOOKUP($B246,Miljövärden!$B$2:$H$550,7,FALSE),"Nej, saknas")</f>
        <v>Ja</v>
      </c>
      <c r="AQ246" s="31" t="str">
        <f>IFERROR(VLOOKUP($B246,Miljövärden!$B$2:$H$551,6,FALSE),"Nej, saknas")</f>
        <v>Nej</v>
      </c>
      <c r="AU246" s="31">
        <f t="shared" si="72"/>
        <v>0.11799999999999999</v>
      </c>
      <c r="AV246" s="31">
        <f t="shared" si="73"/>
        <v>0</v>
      </c>
      <c r="AW246" s="31">
        <f t="shared" si="74"/>
        <v>0</v>
      </c>
      <c r="AX246" s="31">
        <f t="shared" si="75"/>
        <v>12.526999999999999</v>
      </c>
      <c r="AZ246" s="31">
        <f t="shared" si="76"/>
        <v>12.526999999999999</v>
      </c>
      <c r="BC246" s="31">
        <f t="shared" si="77"/>
        <v>0.183</v>
      </c>
      <c r="BD246" s="31">
        <f t="shared" si="78"/>
        <v>0</v>
      </c>
      <c r="BE246" s="31">
        <f t="shared" si="79"/>
        <v>12.526999999999999</v>
      </c>
      <c r="BF246" s="31">
        <f t="shared" si="80"/>
        <v>0</v>
      </c>
      <c r="BG246" s="31">
        <f t="shared" si="81"/>
        <v>0.11799999999999999</v>
      </c>
      <c r="BH246" s="31">
        <f>VLOOKUP(B246,Miljö!$B$1:$BX$482,MATCH("Fossilandel för ursprungspecificerad el ()",Miljö!$B$1:$I$1,0),FALSE)</f>
        <v>0</v>
      </c>
      <c r="BI246" s="31">
        <f>VLOOKUP(B246,Miljö!$B$1:$BX$482,MATCH("Kärnkraftsandel för ursprungsspecificerad el ()",Miljö!$B$1:$O$1,0),FALSE)</f>
        <v>0</v>
      </c>
      <c r="BJ246" s="31">
        <f t="shared" si="82"/>
        <v>0</v>
      </c>
      <c r="BK246" s="31" t="str">
        <f>VLOOKUP(B246,Miljö!$B$1:$P$482,MATCH("Fossil andel i procent (%)",Miljö!$B$1:$P$1,0),FALSE)</f>
        <v>ET</v>
      </c>
      <c r="BL246" s="31">
        <f t="shared" si="83"/>
        <v>12.827999999999999</v>
      </c>
      <c r="BO246" s="32">
        <f t="shared" si="84"/>
        <v>1.4265668849391955E-2</v>
      </c>
      <c r="BP246" s="32">
        <f t="shared" si="85"/>
        <v>0</v>
      </c>
      <c r="BQ246" s="32">
        <f t="shared" si="86"/>
        <v>0.98573433115060805</v>
      </c>
      <c r="BR246" s="32">
        <f t="shared" si="87"/>
        <v>0</v>
      </c>
      <c r="BT246" s="62">
        <f t="shared" si="88"/>
        <v>1</v>
      </c>
      <c r="BW246" s="32">
        <f>IF(AP246="Ja",VLOOKUP(B246,Miljövärden!$B$2:$H$551,MATCH("Total andel fossilt",Miljövärden!$B$2:$H$2,0),FALSE),"")</f>
        <v>1.4265699999999999E-2</v>
      </c>
      <c r="BX246" s="62">
        <f t="shared" si="89"/>
        <v>3.115060804442793E-8</v>
      </c>
      <c r="BZ246" s="31">
        <f t="shared" si="90"/>
        <v>3.115060804442793E-8</v>
      </c>
      <c r="CA246" s="32">
        <f t="shared" si="91"/>
        <v>0</v>
      </c>
    </row>
    <row r="247" spans="1:79" x14ac:dyDescent="0.45">
      <c r="A247" s="31" t="s">
        <v>342</v>
      </c>
      <c r="B247" s="31" t="s">
        <v>354</v>
      </c>
      <c r="C247" s="31">
        <f>VLOOKUP($B247,'Tillförd energi'!$B$1:$AI$720,MATCH(C$1,'Tillförd energi'!$B$1:$AQ$1,0),FALSE)</f>
        <v>0</v>
      </c>
      <c r="D247" s="31">
        <f>VLOOKUP($B247,'Tillförd energi'!$B$1:$AI$720,MATCH(D$1,'Tillförd energi'!$B$1:$AQ$1,0),FALSE)</f>
        <v>3.2000000000000001E-2</v>
      </c>
      <c r="E247" s="31">
        <f>VLOOKUP($B247,'Tillförd energi'!$B$1:$AI$720,MATCH(E$1,'Tillförd energi'!$B$1:$AQ$1,0),FALSE)</f>
        <v>0</v>
      </c>
      <c r="F247" s="31">
        <f>VLOOKUP($B247,'Tillförd energi'!$B$1:$AI$720,MATCH(F$1,'Tillförd energi'!$B$1:$AQ$1,0),FALSE)</f>
        <v>0</v>
      </c>
      <c r="G247" s="31">
        <f>VLOOKUP($B247,'Tillförd energi'!$B$1:$AI$720,MATCH(G$1,'Tillförd energi'!$B$1:$AQ$1,0),FALSE)</f>
        <v>0</v>
      </c>
      <c r="H247" s="31">
        <f>VLOOKUP($B247,'Tillförd energi'!$B$1:$AI$720,MATCH(H$1,'Tillförd energi'!$B$1:$AQ$1,0),FALSE)</f>
        <v>0</v>
      </c>
      <c r="I247" s="31">
        <f>VLOOKUP($B247,'Tillförd energi'!$B$1:$AI$720,MATCH(I$1,'Tillförd energi'!$B$1:$AQ$1,0),FALSE)</f>
        <v>0</v>
      </c>
      <c r="J247" s="31">
        <f>VLOOKUP($B247,'Tillförd energi'!$B$1:$AI$720,MATCH(J$1,'Tillförd energi'!$B$1:$AQ$1,0),FALSE)</f>
        <v>0</v>
      </c>
      <c r="K247" s="31">
        <f>VLOOKUP($B247,'Tillförd energi'!$B$1:$AI$720,MATCH(K$1,'Tillförd energi'!$B$1:$AQ$1,0),FALSE)</f>
        <v>0</v>
      </c>
      <c r="L247" s="31">
        <f>VLOOKUP($B247,'Tillförd energi'!$B$1:$AI$720,MATCH(L$1,'Tillförd energi'!$B$1:$AQ$1,0),FALSE)</f>
        <v>0</v>
      </c>
      <c r="M247" s="31">
        <f>VLOOKUP($B247,'Tillförd energi'!$B$1:$AI$720,MATCH(M$1,'Tillförd energi'!$B$1:$AQ$1,0),FALSE)</f>
        <v>0</v>
      </c>
      <c r="N247" s="31">
        <f>VLOOKUP($B247,'Tillförd energi'!$B$1:$AI$720,MATCH(N$1,'Tillförd energi'!$B$1:$AQ$1,0),FALSE)</f>
        <v>0</v>
      </c>
      <c r="O247" s="31">
        <f>VLOOKUP($B247,'Tillförd energi'!$B$1:$AI$720,MATCH(O$1,'Tillförd energi'!$B$1:$AQ$1,0),FALSE)</f>
        <v>0</v>
      </c>
      <c r="P247" s="31">
        <f>VLOOKUP($B247,'Tillförd energi'!$B$1:$AI$720,MATCH(P$1,'Tillförd energi'!$B$1:$AQ$1,0),FALSE)</f>
        <v>0</v>
      </c>
      <c r="Q247" s="31">
        <f>VLOOKUP($B247,'Tillförd energi'!$B$1:$AI$720,MATCH(Q$1,'Tillförd energi'!$B$1:$AQ$1,0),FALSE)</f>
        <v>0</v>
      </c>
      <c r="R247" s="31">
        <f>VLOOKUP($B247,'Tillförd energi'!$B$1:$AI$720,MATCH(R$1,'Tillförd energi'!$B$1:$AQ$1,0),FALSE)</f>
        <v>7.9080000000000004</v>
      </c>
      <c r="S247" s="31">
        <f>VLOOKUP($B247,'Tillförd energi'!$B$1:$AI$720,MATCH(S$1,'Tillförd energi'!$B$1:$AQ$1,0),FALSE)</f>
        <v>0</v>
      </c>
      <c r="T247" s="31">
        <f>VLOOKUP($B247,'Tillförd energi'!$B$1:$AI$720,MATCH(T$1,'Tillförd energi'!$B$1:$AQ$1,0),FALSE)</f>
        <v>0</v>
      </c>
      <c r="U247" s="31">
        <f>VLOOKUP($B247,'Tillförd energi'!$B$1:$AI$720,MATCH(U$1,'Tillförd energi'!$B$1:$AQ$1,0),FALSE)</f>
        <v>0</v>
      </c>
      <c r="V247" s="31">
        <f>VLOOKUP($B247,'Tillförd energi'!$B$1:$AI$720,MATCH(V$1,'Tillförd energi'!$B$1:$AQ$1,0),FALSE)</f>
        <v>0</v>
      </c>
      <c r="W247" s="31">
        <f>VLOOKUP($B247,'Tillförd energi'!$B$1:$AI$720,MATCH(W$1,'Tillförd energi'!$B$1:$AQ$1,0),FALSE)</f>
        <v>0</v>
      </c>
      <c r="X247" s="31">
        <f>VLOOKUP($B247,'Tillförd energi'!$B$1:$AI$720,MATCH(X$1,'Tillförd energi'!$B$1:$AQ$1,0),FALSE)</f>
        <v>0</v>
      </c>
      <c r="Y247" s="31">
        <f>VLOOKUP($B247,'Tillförd energi'!$B$1:$AI$720,MATCH(Y$1,'Tillförd energi'!$B$1:$AQ$1,0),FALSE)</f>
        <v>0</v>
      </c>
      <c r="Z247" s="31">
        <f>VLOOKUP($B247,'Tillförd energi'!$B$1:$AI$720,MATCH(Z$1,'Tillförd energi'!$B$1:$AQ$1,0),FALSE)</f>
        <v>0</v>
      </c>
      <c r="AA247" s="31">
        <f>VLOOKUP($B247,'Tillförd energi'!$B$1:$AI$720,MATCH(AA$1,'Tillförd energi'!$B$1:$AQ$1,0),FALSE)</f>
        <v>0</v>
      </c>
      <c r="AB247" s="31">
        <f>VLOOKUP($B247,'Tillförd energi'!$B$1:$AI$720,MATCH(AB$1,'Tillförd energi'!$B$1:$AQ$1,0),FALSE)</f>
        <v>0</v>
      </c>
      <c r="AC247" s="31">
        <f>VLOOKUP($B247,'Tillförd energi'!$B$1:$AI$720,MATCH(AC$1,'Tillförd energi'!$B$1:$AQ$1,0),FALSE)</f>
        <v>0</v>
      </c>
      <c r="AD247" s="31">
        <f>VLOOKUP($B247,'Tillförd energi'!$B$1:$AI$720,MATCH(AD$1,'Tillförd energi'!$B$1:$AQ$1,0),FALSE)</f>
        <v>0</v>
      </c>
      <c r="AE247" s="31">
        <f>VLOOKUP($B247,'Tillförd energi'!$B$1:$AI$720,MATCH(AE$1,'Tillförd energi'!$B$1:$AQ$1,0),FALSE)</f>
        <v>0</v>
      </c>
      <c r="AF247" s="31">
        <f>VLOOKUP($B247,'Tillförd energi'!$B$1:$AI$720,MATCH(AF$1,'Tillförd energi'!$B$1:$AQ$1,0),FALSE)</f>
        <v>9.6000000000000002E-2</v>
      </c>
      <c r="AG247" s="31">
        <f>IFERROR(VLOOKUP(B247,Miljö!$B$1:$AC$550,MATCH("Köpt mängd produktionsspecifik fjärrvärme:",Miljö!$B$1:$AC$1,0),FALSE)/1,0)</f>
        <v>0</v>
      </c>
      <c r="AI247" s="31">
        <f t="shared" si="69"/>
        <v>8.0359999999999996</v>
      </c>
      <c r="AJ247" s="31">
        <f t="shared" si="70"/>
        <v>8.0359999999999996</v>
      </c>
      <c r="AK247" s="31">
        <f>IF(ISERROR(1/VLOOKUP($B247,Leveranser!$B$1:$S$499,MATCH("Såld värme (GWh)",Leveranser!$B$1:$S$1,0),FALSE)),"",VLOOKUP($B247,Leveranser!$B$1:$S$499,MATCH("Såld värme (GWh)",Leveranser!$B$1:$S$1,0),FALSE))</f>
        <v>6.3159999999999998</v>
      </c>
      <c r="AL247" s="31">
        <f>VLOOKUP($B247,Leveranser!$B$1:$Y$499,MATCH("Totalt såld fjärrvärme till andra fjärrvärmeföretag",Leveranser!$B$1:$AA$1,0),FALSE)</f>
        <v>0</v>
      </c>
      <c r="AM247" s="31">
        <f>IF(ISERROR(1/VLOOKUP($B247,Miljö!$B$1:$S$500,MATCH("Såld mängd produktionsspecifik fjärrvärme (GWh)",Miljö!$B$1:$R$1,0),FALSE)),0,VLOOKUP($B247,Miljö!$B$1:$S$500,MATCH("Såld mängd produktionsspecifik fjärrvärme (GWh)",Miljö!$B$1:$R$1,0),FALSE))</f>
        <v>0</v>
      </c>
      <c r="AN247" s="32">
        <f t="shared" si="71"/>
        <v>0.78596316575410652</v>
      </c>
      <c r="AP247" s="31" t="str">
        <f>IFERROR(VLOOKUP($B247,Miljövärden!$B$2:$H$550,7,FALSE),"Nej, saknas")</f>
        <v>Ja</v>
      </c>
      <c r="AQ247" s="31" t="str">
        <f>IFERROR(VLOOKUP($B247,Miljövärden!$B$2:$H$551,6,FALSE),"Nej, saknas")</f>
        <v>Nej</v>
      </c>
      <c r="AU247" s="31">
        <f t="shared" si="72"/>
        <v>9.6000000000000002E-2</v>
      </c>
      <c r="AV247" s="31">
        <f t="shared" si="73"/>
        <v>0</v>
      </c>
      <c r="AW247" s="31">
        <f t="shared" si="74"/>
        <v>0</v>
      </c>
      <c r="AX247" s="31">
        <f t="shared" si="75"/>
        <v>7.9080000000000004</v>
      </c>
      <c r="AZ247" s="31">
        <f t="shared" si="76"/>
        <v>7.9080000000000004</v>
      </c>
      <c r="BC247" s="31">
        <f t="shared" si="77"/>
        <v>3.2000000000000001E-2</v>
      </c>
      <c r="BD247" s="31">
        <f t="shared" si="78"/>
        <v>0</v>
      </c>
      <c r="BE247" s="31">
        <f t="shared" si="79"/>
        <v>7.9080000000000004</v>
      </c>
      <c r="BF247" s="31">
        <f t="shared" si="80"/>
        <v>0</v>
      </c>
      <c r="BG247" s="31">
        <f t="shared" si="81"/>
        <v>9.6000000000000002E-2</v>
      </c>
      <c r="BH247" s="31">
        <f>VLOOKUP(B247,Miljö!$B$1:$BX$482,MATCH("Fossilandel för ursprungspecificerad el ()",Miljö!$B$1:$I$1,0),FALSE)</f>
        <v>0</v>
      </c>
      <c r="BI247" s="31">
        <f>VLOOKUP(B247,Miljö!$B$1:$BX$482,MATCH("Kärnkraftsandel för ursprungsspecificerad el ()",Miljö!$B$1:$O$1,0),FALSE)</f>
        <v>0</v>
      </c>
      <c r="BJ247" s="31">
        <f t="shared" si="82"/>
        <v>0</v>
      </c>
      <c r="BK247" s="31" t="str">
        <f>VLOOKUP(B247,Miljö!$B$1:$P$482,MATCH("Fossil andel i procent (%)",Miljö!$B$1:$P$1,0),FALSE)</f>
        <v>ET</v>
      </c>
      <c r="BL247" s="31">
        <f t="shared" si="83"/>
        <v>8.0359999999999996</v>
      </c>
      <c r="BO247" s="32">
        <f t="shared" si="84"/>
        <v>3.9820806371329018E-3</v>
      </c>
      <c r="BP247" s="32">
        <f t="shared" si="85"/>
        <v>0</v>
      </c>
      <c r="BQ247" s="32">
        <f t="shared" si="86"/>
        <v>0.9960179193628671</v>
      </c>
      <c r="BR247" s="32">
        <f t="shared" si="87"/>
        <v>0</v>
      </c>
      <c r="BT247" s="62">
        <f t="shared" si="88"/>
        <v>1</v>
      </c>
      <c r="BW247" s="32">
        <f>IF(AP247="Ja",VLOOKUP(B247,Miljövärden!$B$2:$H$551,MATCH("Total andel fossilt",Miljövärden!$B$2:$H$2,0),FALSE),"")</f>
        <v>3.9820799999999998E-3</v>
      </c>
      <c r="BX247" s="62">
        <f t="shared" si="89"/>
        <v>-6.3713290199274297E-10</v>
      </c>
      <c r="BZ247" s="31">
        <f t="shared" si="90"/>
        <v>-6.3713290199274297E-10</v>
      </c>
      <c r="CA247" s="32">
        <f t="shared" si="91"/>
        <v>0</v>
      </c>
    </row>
    <row r="248" spans="1:79" x14ac:dyDescent="0.45">
      <c r="A248" s="31" t="s">
        <v>342</v>
      </c>
      <c r="B248" s="31" t="s">
        <v>353</v>
      </c>
      <c r="C248" s="31">
        <f>VLOOKUP($B248,'Tillförd energi'!$B$1:$AI$720,MATCH(C$1,'Tillförd energi'!$B$1:$AQ$1,0),FALSE)</f>
        <v>0</v>
      </c>
      <c r="D248" s="31">
        <f>VLOOKUP($B248,'Tillförd energi'!$B$1:$AI$720,MATCH(D$1,'Tillförd energi'!$B$1:$AQ$1,0),FALSE)</f>
        <v>1.4E-2</v>
      </c>
      <c r="E248" s="31">
        <f>VLOOKUP($B248,'Tillförd energi'!$B$1:$AI$720,MATCH(E$1,'Tillförd energi'!$B$1:$AQ$1,0),FALSE)</f>
        <v>0</v>
      </c>
      <c r="F248" s="31">
        <f>VLOOKUP($B248,'Tillförd energi'!$B$1:$AI$720,MATCH(F$1,'Tillförd energi'!$B$1:$AQ$1,0),FALSE)</f>
        <v>0</v>
      </c>
      <c r="G248" s="31">
        <f>VLOOKUP($B248,'Tillförd energi'!$B$1:$AI$720,MATCH(G$1,'Tillförd energi'!$B$1:$AQ$1,0),FALSE)</f>
        <v>0</v>
      </c>
      <c r="H248" s="31">
        <f>VLOOKUP($B248,'Tillförd energi'!$B$1:$AI$720,MATCH(H$1,'Tillförd energi'!$B$1:$AQ$1,0),FALSE)</f>
        <v>0</v>
      </c>
      <c r="I248" s="31">
        <f>VLOOKUP($B248,'Tillförd energi'!$B$1:$AI$720,MATCH(I$1,'Tillförd energi'!$B$1:$AQ$1,0),FALSE)</f>
        <v>0</v>
      </c>
      <c r="J248" s="31">
        <f>VLOOKUP($B248,'Tillförd energi'!$B$1:$AI$720,MATCH(J$1,'Tillförd energi'!$B$1:$AQ$1,0),FALSE)</f>
        <v>0</v>
      </c>
      <c r="K248" s="31">
        <f>VLOOKUP($B248,'Tillförd energi'!$B$1:$AI$720,MATCH(K$1,'Tillförd energi'!$B$1:$AQ$1,0),FALSE)</f>
        <v>0</v>
      </c>
      <c r="L248" s="31">
        <f>VLOOKUP($B248,'Tillförd energi'!$B$1:$AI$720,MATCH(L$1,'Tillförd energi'!$B$1:$AQ$1,0),FALSE)</f>
        <v>0</v>
      </c>
      <c r="M248" s="31">
        <f>VLOOKUP($B248,'Tillförd energi'!$B$1:$AI$720,MATCH(M$1,'Tillförd energi'!$B$1:$AQ$1,0),FALSE)</f>
        <v>0</v>
      </c>
      <c r="N248" s="31">
        <f>VLOOKUP($B248,'Tillförd energi'!$B$1:$AI$720,MATCH(N$1,'Tillförd energi'!$B$1:$AQ$1,0),FALSE)</f>
        <v>0</v>
      </c>
      <c r="O248" s="31">
        <f>VLOOKUP($B248,'Tillförd energi'!$B$1:$AI$720,MATCH(O$1,'Tillförd energi'!$B$1:$AQ$1,0),FALSE)</f>
        <v>0</v>
      </c>
      <c r="P248" s="31">
        <f>VLOOKUP($B248,'Tillförd energi'!$B$1:$AI$720,MATCH(P$1,'Tillförd energi'!$B$1:$AQ$1,0),FALSE)</f>
        <v>0</v>
      </c>
      <c r="Q248" s="31">
        <f>VLOOKUP($B248,'Tillförd energi'!$B$1:$AI$720,MATCH(Q$1,'Tillförd energi'!$B$1:$AQ$1,0),FALSE)</f>
        <v>0</v>
      </c>
      <c r="R248" s="31">
        <f>VLOOKUP($B248,'Tillförd energi'!$B$1:$AI$720,MATCH(R$1,'Tillförd energi'!$B$1:$AQ$1,0),FALSE)</f>
        <v>7.3109999999999999</v>
      </c>
      <c r="S248" s="31">
        <f>VLOOKUP($B248,'Tillförd energi'!$B$1:$AI$720,MATCH(S$1,'Tillförd energi'!$B$1:$AQ$1,0),FALSE)</f>
        <v>0</v>
      </c>
      <c r="T248" s="31">
        <f>VLOOKUP($B248,'Tillförd energi'!$B$1:$AI$720,MATCH(T$1,'Tillförd energi'!$B$1:$AQ$1,0),FALSE)</f>
        <v>0</v>
      </c>
      <c r="U248" s="31">
        <f>VLOOKUP($B248,'Tillförd energi'!$B$1:$AI$720,MATCH(U$1,'Tillförd energi'!$B$1:$AQ$1,0),FALSE)</f>
        <v>0</v>
      </c>
      <c r="V248" s="31">
        <f>VLOOKUP($B248,'Tillförd energi'!$B$1:$AI$720,MATCH(V$1,'Tillförd energi'!$B$1:$AQ$1,0),FALSE)</f>
        <v>0</v>
      </c>
      <c r="W248" s="31">
        <f>VLOOKUP($B248,'Tillförd energi'!$B$1:$AI$720,MATCH(W$1,'Tillförd energi'!$B$1:$AQ$1,0),FALSE)</f>
        <v>0</v>
      </c>
      <c r="X248" s="31">
        <f>VLOOKUP($B248,'Tillförd energi'!$B$1:$AI$720,MATCH(X$1,'Tillförd energi'!$B$1:$AQ$1,0),FALSE)</f>
        <v>0</v>
      </c>
      <c r="Y248" s="31">
        <f>VLOOKUP($B248,'Tillförd energi'!$B$1:$AI$720,MATCH(Y$1,'Tillförd energi'!$B$1:$AQ$1,0),FALSE)</f>
        <v>0</v>
      </c>
      <c r="Z248" s="31">
        <f>VLOOKUP($B248,'Tillförd energi'!$B$1:$AI$720,MATCH(Z$1,'Tillförd energi'!$B$1:$AQ$1,0),FALSE)</f>
        <v>0</v>
      </c>
      <c r="AA248" s="31">
        <f>VLOOKUP($B248,'Tillförd energi'!$B$1:$AI$720,MATCH(AA$1,'Tillförd energi'!$B$1:$AQ$1,0),FALSE)</f>
        <v>0</v>
      </c>
      <c r="AB248" s="31">
        <f>VLOOKUP($B248,'Tillförd energi'!$B$1:$AI$720,MATCH(AB$1,'Tillförd energi'!$B$1:$AQ$1,0),FALSE)</f>
        <v>0</v>
      </c>
      <c r="AC248" s="31">
        <f>VLOOKUP($B248,'Tillförd energi'!$B$1:$AI$720,MATCH(AC$1,'Tillförd energi'!$B$1:$AQ$1,0),FALSE)</f>
        <v>0</v>
      </c>
      <c r="AD248" s="31">
        <f>VLOOKUP($B248,'Tillförd energi'!$B$1:$AI$720,MATCH(AD$1,'Tillförd energi'!$B$1:$AQ$1,0),FALSE)</f>
        <v>0</v>
      </c>
      <c r="AE248" s="31">
        <f>VLOOKUP($B248,'Tillförd energi'!$B$1:$AI$720,MATCH(AE$1,'Tillförd energi'!$B$1:$AQ$1,0),FALSE)</f>
        <v>0</v>
      </c>
      <c r="AF248" s="31">
        <f>VLOOKUP($B248,'Tillförd energi'!$B$1:$AI$720,MATCH(AF$1,'Tillförd energi'!$B$1:$AQ$1,0),FALSE)</f>
        <v>7.1999999999999995E-2</v>
      </c>
      <c r="AG248" s="31">
        <f>IFERROR(VLOOKUP(B248,Miljö!$B$1:$AC$550,MATCH("Köpt mängd produktionsspecifik fjärrvärme:",Miljö!$B$1:$AC$1,0),FALSE)/1,0)</f>
        <v>0</v>
      </c>
      <c r="AI248" s="31">
        <f t="shared" si="69"/>
        <v>7.3970000000000002</v>
      </c>
      <c r="AJ248" s="31">
        <f t="shared" si="70"/>
        <v>7.3970000000000002</v>
      </c>
      <c r="AK248" s="31">
        <f>IF(ISERROR(1/VLOOKUP($B248,Leveranser!$B$1:$S$499,MATCH("Såld värme (GWh)",Leveranser!$B$1:$S$1,0),FALSE)),"",VLOOKUP($B248,Leveranser!$B$1:$S$499,MATCH("Såld värme (GWh)",Leveranser!$B$1:$S$1,0),FALSE))</f>
        <v>5.4980000000000002</v>
      </c>
      <c r="AL248" s="31">
        <f>VLOOKUP($B248,Leveranser!$B$1:$Y$499,MATCH("Totalt såld fjärrvärme till andra fjärrvärmeföretag",Leveranser!$B$1:$AA$1,0),FALSE)</f>
        <v>0</v>
      </c>
      <c r="AM248" s="31">
        <f>IF(ISERROR(1/VLOOKUP($B248,Miljö!$B$1:$S$500,MATCH("Såld mängd produktionsspecifik fjärrvärme (GWh)",Miljö!$B$1:$R$1,0),FALSE)),0,VLOOKUP($B248,Miljö!$B$1:$S$500,MATCH("Såld mängd produktionsspecifik fjärrvärme (GWh)",Miljö!$B$1:$R$1,0),FALSE))</f>
        <v>0</v>
      </c>
      <c r="AN248" s="32">
        <f t="shared" si="71"/>
        <v>0.74327430039205089</v>
      </c>
      <c r="AP248" s="31" t="str">
        <f>IFERROR(VLOOKUP($B248,Miljövärden!$B$2:$H$550,7,FALSE),"Nej, saknas")</f>
        <v>Ja</v>
      </c>
      <c r="AQ248" s="31" t="str">
        <f>IFERROR(VLOOKUP($B248,Miljövärden!$B$2:$H$551,6,FALSE),"Nej, saknas")</f>
        <v>Nej</v>
      </c>
      <c r="AU248" s="31">
        <f t="shared" si="72"/>
        <v>7.1999999999999995E-2</v>
      </c>
      <c r="AV248" s="31">
        <f t="shared" si="73"/>
        <v>0</v>
      </c>
      <c r="AW248" s="31">
        <f t="shared" si="74"/>
        <v>0</v>
      </c>
      <c r="AX248" s="31">
        <f t="shared" si="75"/>
        <v>7.3109999999999999</v>
      </c>
      <c r="AZ248" s="31">
        <f t="shared" si="76"/>
        <v>7.3109999999999999</v>
      </c>
      <c r="BC248" s="31">
        <f t="shared" si="77"/>
        <v>1.4E-2</v>
      </c>
      <c r="BD248" s="31">
        <f t="shared" si="78"/>
        <v>0</v>
      </c>
      <c r="BE248" s="31">
        <f t="shared" si="79"/>
        <v>7.3109999999999999</v>
      </c>
      <c r="BF248" s="31">
        <f t="shared" si="80"/>
        <v>0</v>
      </c>
      <c r="BG248" s="31">
        <f t="shared" si="81"/>
        <v>7.1999999999999995E-2</v>
      </c>
      <c r="BH248" s="31">
        <f>VLOOKUP(B248,Miljö!$B$1:$BX$482,MATCH("Fossilandel för ursprungspecificerad el ()",Miljö!$B$1:$I$1,0),FALSE)</f>
        <v>0</v>
      </c>
      <c r="BI248" s="31">
        <f>VLOOKUP(B248,Miljö!$B$1:$BX$482,MATCH("Kärnkraftsandel för ursprungsspecificerad el ()",Miljö!$B$1:$O$1,0),FALSE)</f>
        <v>0</v>
      </c>
      <c r="BJ248" s="31">
        <f t="shared" si="82"/>
        <v>0</v>
      </c>
      <c r="BK248" s="31" t="str">
        <f>VLOOKUP(B248,Miljö!$B$1:$P$482,MATCH("Fossil andel i procent (%)",Miljö!$B$1:$P$1,0),FALSE)</f>
        <v>ET</v>
      </c>
      <c r="BL248" s="31">
        <f t="shared" si="83"/>
        <v>7.3970000000000002</v>
      </c>
      <c r="BO248" s="32">
        <f t="shared" si="84"/>
        <v>1.8926591861565499E-3</v>
      </c>
      <c r="BP248" s="32">
        <f t="shared" si="85"/>
        <v>0</v>
      </c>
      <c r="BQ248" s="32">
        <f t="shared" si="86"/>
        <v>0.99810734081384345</v>
      </c>
      <c r="BR248" s="32">
        <f t="shared" si="87"/>
        <v>0</v>
      </c>
      <c r="BT248" s="62">
        <f t="shared" si="88"/>
        <v>1</v>
      </c>
      <c r="BW248" s="32">
        <f>IF(AP248="Ja",VLOOKUP(B248,Miljövärden!$B$2:$H$551,MATCH("Total andel fossilt",Miljövärden!$B$2:$H$2,0),FALSE),"")</f>
        <v>1.89266E-3</v>
      </c>
      <c r="BX248" s="62">
        <f t="shared" si="89"/>
        <v>8.1384345009677395E-10</v>
      </c>
      <c r="BZ248" s="31">
        <f t="shared" si="90"/>
        <v>8.1384345009677395E-10</v>
      </c>
      <c r="CA248" s="32">
        <f t="shared" si="91"/>
        <v>0</v>
      </c>
    </row>
    <row r="249" spans="1:79" x14ac:dyDescent="0.45">
      <c r="A249" s="31" t="s">
        <v>342</v>
      </c>
      <c r="B249" s="31" t="s">
        <v>352</v>
      </c>
      <c r="C249" s="31">
        <f>VLOOKUP($B249,'Tillförd energi'!$B$1:$AI$720,MATCH(C$1,'Tillförd energi'!$B$1:$AQ$1,0),FALSE)</f>
        <v>0</v>
      </c>
      <c r="D249" s="31">
        <f>VLOOKUP($B249,'Tillförd energi'!$B$1:$AI$720,MATCH(D$1,'Tillförd energi'!$B$1:$AQ$1,0),FALSE)</f>
        <v>6.6000000000000003E-2</v>
      </c>
      <c r="E249" s="31">
        <f>VLOOKUP($B249,'Tillförd energi'!$B$1:$AI$720,MATCH(E$1,'Tillförd energi'!$B$1:$AQ$1,0),FALSE)</f>
        <v>0</v>
      </c>
      <c r="F249" s="31">
        <f>VLOOKUP($B249,'Tillförd energi'!$B$1:$AI$720,MATCH(F$1,'Tillförd energi'!$B$1:$AQ$1,0),FALSE)</f>
        <v>0</v>
      </c>
      <c r="G249" s="31">
        <f>VLOOKUP($B249,'Tillförd energi'!$B$1:$AI$720,MATCH(G$1,'Tillförd energi'!$B$1:$AQ$1,0),FALSE)</f>
        <v>0</v>
      </c>
      <c r="H249" s="31">
        <f>VLOOKUP($B249,'Tillförd energi'!$B$1:$AI$720,MATCH(H$1,'Tillförd energi'!$B$1:$AQ$1,0),FALSE)</f>
        <v>0</v>
      </c>
      <c r="I249" s="31">
        <f>VLOOKUP($B249,'Tillförd energi'!$B$1:$AI$720,MATCH(I$1,'Tillförd energi'!$B$1:$AQ$1,0),FALSE)</f>
        <v>0</v>
      </c>
      <c r="J249" s="31">
        <f>VLOOKUP($B249,'Tillförd energi'!$B$1:$AI$720,MATCH(J$1,'Tillförd energi'!$B$1:$AQ$1,0),FALSE)</f>
        <v>0</v>
      </c>
      <c r="K249" s="31">
        <f>VLOOKUP($B249,'Tillförd energi'!$B$1:$AI$720,MATCH(K$1,'Tillförd energi'!$B$1:$AQ$1,0),FALSE)</f>
        <v>0</v>
      </c>
      <c r="L249" s="31">
        <f>VLOOKUP($B249,'Tillförd energi'!$B$1:$AI$720,MATCH(L$1,'Tillförd energi'!$B$1:$AQ$1,0),FALSE)</f>
        <v>0</v>
      </c>
      <c r="M249" s="31">
        <f>VLOOKUP($B249,'Tillförd energi'!$B$1:$AI$720,MATCH(M$1,'Tillförd energi'!$B$1:$AQ$1,0),FALSE)</f>
        <v>0</v>
      </c>
      <c r="N249" s="31">
        <f>VLOOKUP($B249,'Tillförd energi'!$B$1:$AI$720,MATCH(N$1,'Tillförd energi'!$B$1:$AQ$1,0),FALSE)</f>
        <v>0</v>
      </c>
      <c r="O249" s="31">
        <f>VLOOKUP($B249,'Tillförd energi'!$B$1:$AI$720,MATCH(O$1,'Tillförd energi'!$B$1:$AQ$1,0),FALSE)</f>
        <v>0</v>
      </c>
      <c r="P249" s="31">
        <f>VLOOKUP($B249,'Tillförd energi'!$B$1:$AI$720,MATCH(P$1,'Tillförd energi'!$B$1:$AQ$1,0),FALSE)</f>
        <v>0</v>
      </c>
      <c r="Q249" s="31">
        <f>VLOOKUP($B249,'Tillförd energi'!$B$1:$AI$720,MATCH(Q$1,'Tillförd energi'!$B$1:$AQ$1,0),FALSE)</f>
        <v>0</v>
      </c>
      <c r="R249" s="31">
        <f>VLOOKUP($B249,'Tillförd energi'!$B$1:$AI$720,MATCH(R$1,'Tillförd energi'!$B$1:$AQ$1,0),FALSE)</f>
        <v>3.58</v>
      </c>
      <c r="S249" s="31">
        <f>VLOOKUP($B249,'Tillförd energi'!$B$1:$AI$720,MATCH(S$1,'Tillförd energi'!$B$1:$AQ$1,0),FALSE)</f>
        <v>0</v>
      </c>
      <c r="T249" s="31">
        <f>VLOOKUP($B249,'Tillförd energi'!$B$1:$AI$720,MATCH(T$1,'Tillförd energi'!$B$1:$AQ$1,0),FALSE)</f>
        <v>0</v>
      </c>
      <c r="U249" s="31">
        <f>VLOOKUP($B249,'Tillförd energi'!$B$1:$AI$720,MATCH(U$1,'Tillförd energi'!$B$1:$AQ$1,0),FALSE)</f>
        <v>0</v>
      </c>
      <c r="V249" s="31">
        <f>VLOOKUP($B249,'Tillförd energi'!$B$1:$AI$720,MATCH(V$1,'Tillförd energi'!$B$1:$AQ$1,0),FALSE)</f>
        <v>0</v>
      </c>
      <c r="W249" s="31">
        <f>VLOOKUP($B249,'Tillförd energi'!$B$1:$AI$720,MATCH(W$1,'Tillförd energi'!$B$1:$AQ$1,0),FALSE)</f>
        <v>0</v>
      </c>
      <c r="X249" s="31">
        <f>VLOOKUP($B249,'Tillförd energi'!$B$1:$AI$720,MATCH(X$1,'Tillförd energi'!$B$1:$AQ$1,0),FALSE)</f>
        <v>0</v>
      </c>
      <c r="Y249" s="31">
        <f>VLOOKUP($B249,'Tillförd energi'!$B$1:$AI$720,MATCH(Y$1,'Tillförd energi'!$B$1:$AQ$1,0),FALSE)</f>
        <v>0</v>
      </c>
      <c r="Z249" s="31">
        <f>VLOOKUP($B249,'Tillförd energi'!$B$1:$AI$720,MATCH(Z$1,'Tillförd energi'!$B$1:$AQ$1,0),FALSE)</f>
        <v>0</v>
      </c>
      <c r="AA249" s="31">
        <f>VLOOKUP($B249,'Tillförd energi'!$B$1:$AI$720,MATCH(AA$1,'Tillförd energi'!$B$1:$AQ$1,0),FALSE)</f>
        <v>0</v>
      </c>
      <c r="AB249" s="31">
        <f>VLOOKUP($B249,'Tillförd energi'!$B$1:$AI$720,MATCH(AB$1,'Tillförd energi'!$B$1:$AQ$1,0),FALSE)</f>
        <v>0</v>
      </c>
      <c r="AC249" s="31">
        <f>VLOOKUP($B249,'Tillförd energi'!$B$1:$AI$720,MATCH(AC$1,'Tillförd energi'!$B$1:$AQ$1,0),FALSE)</f>
        <v>0</v>
      </c>
      <c r="AD249" s="31">
        <f>VLOOKUP($B249,'Tillförd energi'!$B$1:$AI$720,MATCH(AD$1,'Tillförd energi'!$B$1:$AQ$1,0),FALSE)</f>
        <v>0</v>
      </c>
      <c r="AE249" s="31">
        <f>VLOOKUP($B249,'Tillförd energi'!$B$1:$AI$720,MATCH(AE$1,'Tillförd energi'!$B$1:$AQ$1,0),FALSE)</f>
        <v>0</v>
      </c>
      <c r="AF249" s="31">
        <f>VLOOKUP($B249,'Tillförd energi'!$B$1:$AI$720,MATCH(AF$1,'Tillförd energi'!$B$1:$AQ$1,0),FALSE)</f>
        <v>4.1000000000000002E-2</v>
      </c>
      <c r="AG249" s="31">
        <f>IFERROR(VLOOKUP(B249,Miljö!$B$1:$AC$550,MATCH("Köpt mängd produktionsspecifik fjärrvärme:",Miljö!$B$1:$AC$1,0),FALSE)/1,0)</f>
        <v>0</v>
      </c>
      <c r="AI249" s="31">
        <f t="shared" si="69"/>
        <v>3.6869999999999998</v>
      </c>
      <c r="AJ249" s="31">
        <f t="shared" si="70"/>
        <v>3.6869999999999998</v>
      </c>
      <c r="AK249" s="31">
        <f>IF(ISERROR(1/VLOOKUP($B249,Leveranser!$B$1:$S$499,MATCH("Såld värme (GWh)",Leveranser!$B$1:$S$1,0),FALSE)),"",VLOOKUP($B249,Leveranser!$B$1:$S$499,MATCH("Såld värme (GWh)",Leveranser!$B$1:$S$1,0),FALSE))</f>
        <v>2.863</v>
      </c>
      <c r="AL249" s="31">
        <f>VLOOKUP($B249,Leveranser!$B$1:$Y$499,MATCH("Totalt såld fjärrvärme till andra fjärrvärmeföretag",Leveranser!$B$1:$AA$1,0),FALSE)</f>
        <v>0</v>
      </c>
      <c r="AM249" s="31">
        <f>IF(ISERROR(1/VLOOKUP($B249,Miljö!$B$1:$S$500,MATCH("Såld mängd produktionsspecifik fjärrvärme (GWh)",Miljö!$B$1:$R$1,0),FALSE)),0,VLOOKUP($B249,Miljö!$B$1:$S$500,MATCH("Såld mängd produktionsspecifik fjärrvärme (GWh)",Miljö!$B$1:$R$1,0),FALSE))</f>
        <v>0</v>
      </c>
      <c r="AN249" s="32">
        <f t="shared" si="71"/>
        <v>0.77651206943314355</v>
      </c>
      <c r="AP249" s="31" t="str">
        <f>IFERROR(VLOOKUP($B249,Miljövärden!$B$2:$H$550,7,FALSE),"Nej, saknas")</f>
        <v>Ja</v>
      </c>
      <c r="AQ249" s="31" t="str">
        <f>IFERROR(VLOOKUP($B249,Miljövärden!$B$2:$H$551,6,FALSE),"Nej, saknas")</f>
        <v>Nej</v>
      </c>
      <c r="AU249" s="31">
        <f t="shared" si="72"/>
        <v>4.1000000000000002E-2</v>
      </c>
      <c r="AV249" s="31">
        <f t="shared" si="73"/>
        <v>0</v>
      </c>
      <c r="AW249" s="31">
        <f t="shared" si="74"/>
        <v>0</v>
      </c>
      <c r="AX249" s="31">
        <f t="shared" si="75"/>
        <v>3.58</v>
      </c>
      <c r="AZ249" s="31">
        <f t="shared" si="76"/>
        <v>3.58</v>
      </c>
      <c r="BC249" s="31">
        <f t="shared" si="77"/>
        <v>6.6000000000000003E-2</v>
      </c>
      <c r="BD249" s="31">
        <f t="shared" si="78"/>
        <v>0</v>
      </c>
      <c r="BE249" s="31">
        <f t="shared" si="79"/>
        <v>3.58</v>
      </c>
      <c r="BF249" s="31">
        <f t="shared" si="80"/>
        <v>0</v>
      </c>
      <c r="BG249" s="31">
        <f t="shared" si="81"/>
        <v>4.1000000000000002E-2</v>
      </c>
      <c r="BH249" s="31">
        <f>VLOOKUP(B249,Miljö!$B$1:$BX$482,MATCH("Fossilandel för ursprungspecificerad el ()",Miljö!$B$1:$I$1,0),FALSE)</f>
        <v>0</v>
      </c>
      <c r="BI249" s="31">
        <f>VLOOKUP(B249,Miljö!$B$1:$BX$482,MATCH("Kärnkraftsandel för ursprungsspecificerad el ()",Miljö!$B$1:$O$1,0),FALSE)</f>
        <v>0</v>
      </c>
      <c r="BJ249" s="31">
        <f t="shared" si="82"/>
        <v>0</v>
      </c>
      <c r="BK249" s="31" t="str">
        <f>VLOOKUP(B249,Miljö!$B$1:$P$482,MATCH("Fossil andel i procent (%)",Miljö!$B$1:$P$1,0),FALSE)</f>
        <v>ET</v>
      </c>
      <c r="BL249" s="31">
        <f t="shared" si="83"/>
        <v>3.6869999999999998</v>
      </c>
      <c r="BO249" s="32">
        <f t="shared" si="84"/>
        <v>1.7900732302685112E-2</v>
      </c>
      <c r="BP249" s="32">
        <f t="shared" si="85"/>
        <v>0</v>
      </c>
      <c r="BQ249" s="32">
        <f t="shared" si="86"/>
        <v>0.98209926769731493</v>
      </c>
      <c r="BR249" s="32">
        <f t="shared" si="87"/>
        <v>0</v>
      </c>
      <c r="BT249" s="62">
        <f t="shared" si="88"/>
        <v>1</v>
      </c>
      <c r="BW249" s="32">
        <f>IF(AP249="Ja",VLOOKUP(B249,Miljövärden!$B$2:$H$551,MATCH("Total andel fossilt",Miljövärden!$B$2:$H$2,0),FALSE),"")</f>
        <v>1.7900699999999999E-2</v>
      </c>
      <c r="BX249" s="62">
        <f t="shared" si="89"/>
        <v>-3.2302685113588803E-8</v>
      </c>
      <c r="BZ249" s="31">
        <f t="shared" si="90"/>
        <v>-3.2302685113588803E-8</v>
      </c>
      <c r="CA249" s="32">
        <f t="shared" si="91"/>
        <v>0</v>
      </c>
    </row>
    <row r="250" spans="1:79" x14ac:dyDescent="0.45">
      <c r="A250" s="31" t="s">
        <v>342</v>
      </c>
      <c r="B250" s="31" t="s">
        <v>351</v>
      </c>
      <c r="C250" s="31">
        <f>VLOOKUP($B250,'Tillförd energi'!$B$1:$AI$720,MATCH(C$1,'Tillförd energi'!$B$1:$AQ$1,0),FALSE)</f>
        <v>0</v>
      </c>
      <c r="D250" s="31">
        <f>VLOOKUP($B250,'Tillförd energi'!$B$1:$AI$720,MATCH(D$1,'Tillförd energi'!$B$1:$AQ$1,0),FALSE)</f>
        <v>0</v>
      </c>
      <c r="E250" s="31">
        <f>VLOOKUP($B250,'Tillförd energi'!$B$1:$AI$720,MATCH(E$1,'Tillförd energi'!$B$1:$AQ$1,0),FALSE)</f>
        <v>0</v>
      </c>
      <c r="F250" s="31">
        <f>VLOOKUP($B250,'Tillförd energi'!$B$1:$AI$720,MATCH(F$1,'Tillförd energi'!$B$1:$AQ$1,0),FALSE)</f>
        <v>0</v>
      </c>
      <c r="G250" s="31">
        <f>VLOOKUP($B250,'Tillförd energi'!$B$1:$AI$720,MATCH(G$1,'Tillförd energi'!$B$1:$AQ$1,0),FALSE)</f>
        <v>0</v>
      </c>
      <c r="H250" s="31">
        <f>VLOOKUP($B250,'Tillförd energi'!$B$1:$AI$720,MATCH(H$1,'Tillförd energi'!$B$1:$AQ$1,0),FALSE)</f>
        <v>0</v>
      </c>
      <c r="I250" s="31">
        <f>VLOOKUP($B250,'Tillförd energi'!$B$1:$AI$720,MATCH(I$1,'Tillförd energi'!$B$1:$AQ$1,0),FALSE)</f>
        <v>0</v>
      </c>
      <c r="J250" s="31">
        <f>VLOOKUP($B250,'Tillförd energi'!$B$1:$AI$720,MATCH(J$1,'Tillförd energi'!$B$1:$AQ$1,0),FALSE)</f>
        <v>0</v>
      </c>
      <c r="K250" s="31">
        <f>VLOOKUP($B250,'Tillförd energi'!$B$1:$AI$720,MATCH(K$1,'Tillförd energi'!$B$1:$AQ$1,0),FALSE)</f>
        <v>0</v>
      </c>
      <c r="L250" s="31">
        <f>VLOOKUP($B250,'Tillförd energi'!$B$1:$AI$720,MATCH(L$1,'Tillförd energi'!$B$1:$AQ$1,0),FALSE)</f>
        <v>0</v>
      </c>
      <c r="M250" s="31">
        <f>VLOOKUP($B250,'Tillförd energi'!$B$1:$AI$720,MATCH(M$1,'Tillförd energi'!$B$1:$AQ$1,0),FALSE)</f>
        <v>28.494199999999999</v>
      </c>
      <c r="N250" s="31">
        <f>VLOOKUP($B250,'Tillförd energi'!$B$1:$AI$720,MATCH(N$1,'Tillförd energi'!$B$1:$AQ$1,0),FALSE)</f>
        <v>8.4982100000000003</v>
      </c>
      <c r="O250" s="31">
        <f>VLOOKUP($B250,'Tillförd energi'!$B$1:$AI$720,MATCH(O$1,'Tillförd energi'!$B$1:$AQ$1,0),FALSE)</f>
        <v>24.796600000000002</v>
      </c>
      <c r="P250" s="31">
        <f>VLOOKUP($B250,'Tillförd energi'!$B$1:$AI$720,MATCH(P$1,'Tillförd energi'!$B$1:$AQ$1,0),FALSE)</f>
        <v>5.9289800000000001</v>
      </c>
      <c r="Q250" s="31">
        <f>VLOOKUP($B250,'Tillförd energi'!$B$1:$AI$720,MATCH(Q$1,'Tillförd energi'!$B$1:$AQ$1,0),FALSE)</f>
        <v>21.3142</v>
      </c>
      <c r="R250" s="31">
        <f>VLOOKUP($B250,'Tillförd energi'!$B$1:$AI$720,MATCH(R$1,'Tillförd energi'!$B$1:$AQ$1,0),FALSE)</f>
        <v>0</v>
      </c>
      <c r="S250" s="31">
        <f>VLOOKUP($B250,'Tillförd energi'!$B$1:$AI$720,MATCH(S$1,'Tillförd energi'!$B$1:$AQ$1,0),FALSE)</f>
        <v>0</v>
      </c>
      <c r="T250" s="31">
        <f>VLOOKUP($B250,'Tillförd energi'!$B$1:$AI$720,MATCH(T$1,'Tillförd energi'!$B$1:$AQ$1,0),FALSE)</f>
        <v>0</v>
      </c>
      <c r="U250" s="31">
        <f>VLOOKUP($B250,'Tillförd energi'!$B$1:$AI$720,MATCH(U$1,'Tillförd energi'!$B$1:$AQ$1,0),FALSE)</f>
        <v>0</v>
      </c>
      <c r="V250" s="31">
        <f>VLOOKUP($B250,'Tillförd energi'!$B$1:$AI$720,MATCH(V$1,'Tillförd energi'!$B$1:$AQ$1,0),FALSE)</f>
        <v>0</v>
      </c>
      <c r="W250" s="31">
        <f>VLOOKUP($B250,'Tillförd energi'!$B$1:$AI$720,MATCH(W$1,'Tillförd energi'!$B$1:$AQ$1,0),FALSE)</f>
        <v>0</v>
      </c>
      <c r="X250" s="31">
        <f>VLOOKUP($B250,'Tillförd energi'!$B$1:$AI$720,MATCH(X$1,'Tillförd energi'!$B$1:$AQ$1,0),FALSE)</f>
        <v>0</v>
      </c>
      <c r="Y250" s="31">
        <f>VLOOKUP($B250,'Tillförd energi'!$B$1:$AI$720,MATCH(Y$1,'Tillförd energi'!$B$1:$AQ$1,0),FALSE)</f>
        <v>26.1204</v>
      </c>
      <c r="Z250" s="31">
        <f>VLOOKUP($B250,'Tillförd energi'!$B$1:$AI$720,MATCH(Z$1,'Tillförd energi'!$B$1:$AQ$1,0),FALSE)</f>
        <v>0</v>
      </c>
      <c r="AA250" s="31">
        <f>VLOOKUP($B250,'Tillförd energi'!$B$1:$AI$720,MATCH(AA$1,'Tillförd energi'!$B$1:$AQ$1,0),FALSE)</f>
        <v>0</v>
      </c>
      <c r="AB250" s="31">
        <f>VLOOKUP($B250,'Tillförd energi'!$B$1:$AI$720,MATCH(AB$1,'Tillförd energi'!$B$1:$AQ$1,0),FALSE)</f>
        <v>0</v>
      </c>
      <c r="AC250" s="31">
        <f>VLOOKUP($B250,'Tillförd energi'!$B$1:$AI$720,MATCH(AC$1,'Tillförd energi'!$B$1:$AQ$1,0),FALSE)</f>
        <v>0</v>
      </c>
      <c r="AD250" s="31">
        <f>VLOOKUP($B250,'Tillförd energi'!$B$1:$AI$720,MATCH(AD$1,'Tillförd energi'!$B$1:$AQ$1,0),FALSE)</f>
        <v>0</v>
      </c>
      <c r="AE250" s="31">
        <f>VLOOKUP($B250,'Tillförd energi'!$B$1:$AI$720,MATCH(AE$1,'Tillförd energi'!$B$1:$AQ$1,0),FALSE)</f>
        <v>0</v>
      </c>
      <c r="AF250" s="31">
        <f>VLOOKUP($B250,'Tillförd energi'!$B$1:$AI$720,MATCH(AF$1,'Tillförd energi'!$B$1:$AQ$1,0),FALSE)</f>
        <v>3.9985300000000001</v>
      </c>
      <c r="AG250" s="31">
        <f>IFERROR(VLOOKUP(B250,Miljö!$B$1:$AC$550,MATCH("Köpt mängd produktionsspecifik fjärrvärme:",Miljö!$B$1:$AC$1,0),FALSE)/1,0)</f>
        <v>0</v>
      </c>
      <c r="AI250" s="31">
        <f t="shared" si="69"/>
        <v>119.15112000000001</v>
      </c>
      <c r="AJ250" s="31">
        <f t="shared" si="70"/>
        <v>119.15112000000001</v>
      </c>
      <c r="AK250" s="31">
        <f>IF(ISERROR(1/VLOOKUP($B250,Leveranser!$B$1:$S$499,MATCH("Såld värme (GWh)",Leveranser!$B$1:$S$1,0),FALSE)),"",VLOOKUP($B250,Leveranser!$B$1:$S$499,MATCH("Såld värme (GWh)",Leveranser!$B$1:$S$1,0),FALSE))</f>
        <v>106.455</v>
      </c>
      <c r="AL250" s="31">
        <f>VLOOKUP($B250,Leveranser!$B$1:$Y$499,MATCH("Totalt såld fjärrvärme till andra fjärrvärmeföretag",Leveranser!$B$1:$AA$1,0),FALSE)</f>
        <v>0</v>
      </c>
      <c r="AM250" s="31">
        <f>IF(ISERROR(1/VLOOKUP($B250,Miljö!$B$1:$S$500,MATCH("Såld mängd produktionsspecifik fjärrvärme (GWh)",Miljö!$B$1:$R$1,0),FALSE)),0,VLOOKUP($B250,Miljö!$B$1:$S$500,MATCH("Såld mängd produktionsspecifik fjärrvärme (GWh)",Miljö!$B$1:$R$1,0),FALSE))</f>
        <v>0</v>
      </c>
      <c r="AN250" s="32">
        <f t="shared" si="71"/>
        <v>0.89344523156811273</v>
      </c>
      <c r="AP250" s="31" t="str">
        <f>IFERROR(VLOOKUP($B250,Miljövärden!$B$2:$H$550,7,FALSE),"Nej, saknas")</f>
        <v>Ja</v>
      </c>
      <c r="AQ250" s="31" t="str">
        <f>IFERROR(VLOOKUP($B250,Miljövärden!$B$2:$H$551,6,FALSE),"Nej, saknas")</f>
        <v>Nej</v>
      </c>
      <c r="AU250" s="31">
        <f t="shared" si="72"/>
        <v>3.9985300000000001</v>
      </c>
      <c r="AV250" s="31">
        <f t="shared" si="73"/>
        <v>0</v>
      </c>
      <c r="AW250" s="31">
        <f t="shared" si="74"/>
        <v>89.03219</v>
      </c>
      <c r="AX250" s="31">
        <f t="shared" si="75"/>
        <v>0</v>
      </c>
      <c r="AZ250" s="31">
        <f t="shared" si="76"/>
        <v>89.03219</v>
      </c>
      <c r="BC250" s="31">
        <f t="shared" si="77"/>
        <v>0</v>
      </c>
      <c r="BD250" s="31">
        <f t="shared" si="78"/>
        <v>26.1204</v>
      </c>
      <c r="BE250" s="31">
        <f t="shared" si="79"/>
        <v>89.03219</v>
      </c>
      <c r="BF250" s="31">
        <f t="shared" si="80"/>
        <v>0</v>
      </c>
      <c r="BG250" s="31">
        <f t="shared" si="81"/>
        <v>3.9985300000000001</v>
      </c>
      <c r="BH250" s="31">
        <f>VLOOKUP(B250,Miljö!$B$1:$BX$482,MATCH("Fossilandel för ursprungspecificerad el ()",Miljö!$B$1:$I$1,0),FALSE)</f>
        <v>0</v>
      </c>
      <c r="BI250" s="31">
        <f>VLOOKUP(B250,Miljö!$B$1:$BX$482,MATCH("Kärnkraftsandel för ursprungsspecificerad el ()",Miljö!$B$1:$O$1,0),FALSE)</f>
        <v>0</v>
      </c>
      <c r="BJ250" s="31">
        <f t="shared" si="82"/>
        <v>0</v>
      </c>
      <c r="BK250" s="31" t="str">
        <f>VLOOKUP(B250,Miljö!$B$1:$P$482,MATCH("Fossil andel i procent (%)",Miljö!$B$1:$P$1,0),FALSE)</f>
        <v>ET</v>
      </c>
      <c r="BL250" s="31">
        <f t="shared" si="83"/>
        <v>119.15112000000001</v>
      </c>
      <c r="BO250" s="32">
        <f t="shared" si="84"/>
        <v>0</v>
      </c>
      <c r="BP250" s="32">
        <f t="shared" si="85"/>
        <v>0.21922076771078608</v>
      </c>
      <c r="BQ250" s="32">
        <f t="shared" si="86"/>
        <v>0.78077923228921386</v>
      </c>
      <c r="BR250" s="32">
        <f t="shared" si="87"/>
        <v>0</v>
      </c>
      <c r="BT250" s="62">
        <f t="shared" si="88"/>
        <v>1</v>
      </c>
      <c r="BW250" s="32">
        <f>IF(AP250="Ja",VLOOKUP(B250,Miljövärden!$B$2:$H$551,MATCH("Total andel fossilt",Miljövärden!$B$2:$H$2,0),FALSE),"")</f>
        <v>0</v>
      </c>
      <c r="BX250" s="62">
        <f t="shared" si="89"/>
        <v>0</v>
      </c>
      <c r="BZ250" s="31">
        <f t="shared" si="90"/>
        <v>0</v>
      </c>
      <c r="CA250" s="32">
        <f t="shared" si="91"/>
        <v>0</v>
      </c>
    </row>
    <row r="251" spans="1:79" x14ac:dyDescent="0.45">
      <c r="A251" s="31" t="s">
        <v>342</v>
      </c>
      <c r="B251" s="31" t="s">
        <v>350</v>
      </c>
      <c r="C251" s="31">
        <f>VLOOKUP($B251,'Tillförd energi'!$B$1:$AI$720,MATCH(C$1,'Tillförd energi'!$B$1:$AQ$1,0),FALSE)</f>
        <v>0</v>
      </c>
      <c r="D251" s="31">
        <f>VLOOKUP($B251,'Tillförd energi'!$B$1:$AI$720,MATCH(D$1,'Tillförd energi'!$B$1:$AQ$1,0),FALSE)</f>
        <v>8.7999999999999995E-2</v>
      </c>
      <c r="E251" s="31">
        <f>VLOOKUP($B251,'Tillförd energi'!$B$1:$AI$720,MATCH(E$1,'Tillförd energi'!$B$1:$AQ$1,0),FALSE)</f>
        <v>0</v>
      </c>
      <c r="F251" s="31">
        <f>VLOOKUP($B251,'Tillförd energi'!$B$1:$AI$720,MATCH(F$1,'Tillförd energi'!$B$1:$AQ$1,0),FALSE)</f>
        <v>0</v>
      </c>
      <c r="G251" s="31">
        <f>VLOOKUP($B251,'Tillförd energi'!$B$1:$AI$720,MATCH(G$1,'Tillförd energi'!$B$1:$AQ$1,0),FALSE)</f>
        <v>0</v>
      </c>
      <c r="H251" s="31">
        <f>VLOOKUP($B251,'Tillförd energi'!$B$1:$AI$720,MATCH(H$1,'Tillförd energi'!$B$1:$AQ$1,0),FALSE)</f>
        <v>0</v>
      </c>
      <c r="I251" s="31">
        <f>VLOOKUP($B251,'Tillförd energi'!$B$1:$AI$720,MATCH(I$1,'Tillförd energi'!$B$1:$AQ$1,0),FALSE)</f>
        <v>0</v>
      </c>
      <c r="J251" s="31">
        <f>VLOOKUP($B251,'Tillförd energi'!$B$1:$AI$720,MATCH(J$1,'Tillförd energi'!$B$1:$AQ$1,0),FALSE)</f>
        <v>0</v>
      </c>
      <c r="K251" s="31">
        <f>VLOOKUP($B251,'Tillförd energi'!$B$1:$AI$720,MATCH(K$1,'Tillförd energi'!$B$1:$AQ$1,0),FALSE)</f>
        <v>0</v>
      </c>
      <c r="L251" s="31">
        <f>VLOOKUP($B251,'Tillförd energi'!$B$1:$AI$720,MATCH(L$1,'Tillförd energi'!$B$1:$AQ$1,0),FALSE)</f>
        <v>0</v>
      </c>
      <c r="M251" s="31">
        <f>VLOOKUP($B251,'Tillförd energi'!$B$1:$AI$720,MATCH(M$1,'Tillförd energi'!$B$1:$AQ$1,0),FALSE)</f>
        <v>0</v>
      </c>
      <c r="N251" s="31">
        <f>VLOOKUP($B251,'Tillförd energi'!$B$1:$AI$720,MATCH(N$1,'Tillförd energi'!$B$1:$AQ$1,0),FALSE)</f>
        <v>0</v>
      </c>
      <c r="O251" s="31">
        <f>VLOOKUP($B251,'Tillförd energi'!$B$1:$AI$720,MATCH(O$1,'Tillförd energi'!$B$1:$AQ$1,0),FALSE)</f>
        <v>0</v>
      </c>
      <c r="P251" s="31">
        <f>VLOOKUP($B251,'Tillförd energi'!$B$1:$AI$720,MATCH(P$1,'Tillförd energi'!$B$1:$AQ$1,0),FALSE)</f>
        <v>0</v>
      </c>
      <c r="Q251" s="31">
        <f>VLOOKUP($B251,'Tillförd energi'!$B$1:$AI$720,MATCH(Q$1,'Tillförd energi'!$B$1:$AQ$1,0),FALSE)</f>
        <v>0</v>
      </c>
      <c r="R251" s="31">
        <f>VLOOKUP($B251,'Tillförd energi'!$B$1:$AI$720,MATCH(R$1,'Tillförd energi'!$B$1:$AQ$1,0),FALSE)</f>
        <v>4.2300000000000004</v>
      </c>
      <c r="S251" s="31">
        <f>VLOOKUP($B251,'Tillförd energi'!$B$1:$AI$720,MATCH(S$1,'Tillförd energi'!$B$1:$AQ$1,0),FALSE)</f>
        <v>0</v>
      </c>
      <c r="T251" s="31">
        <f>VLOOKUP($B251,'Tillförd energi'!$B$1:$AI$720,MATCH(T$1,'Tillförd energi'!$B$1:$AQ$1,0),FALSE)</f>
        <v>0</v>
      </c>
      <c r="U251" s="31">
        <f>VLOOKUP($B251,'Tillförd energi'!$B$1:$AI$720,MATCH(U$1,'Tillförd energi'!$B$1:$AQ$1,0),FALSE)</f>
        <v>0</v>
      </c>
      <c r="V251" s="31">
        <f>VLOOKUP($B251,'Tillförd energi'!$B$1:$AI$720,MATCH(V$1,'Tillförd energi'!$B$1:$AQ$1,0),FALSE)</f>
        <v>0</v>
      </c>
      <c r="W251" s="31">
        <f>VLOOKUP($B251,'Tillförd energi'!$B$1:$AI$720,MATCH(W$1,'Tillförd energi'!$B$1:$AQ$1,0),FALSE)</f>
        <v>0</v>
      </c>
      <c r="X251" s="31">
        <f>VLOOKUP($B251,'Tillförd energi'!$B$1:$AI$720,MATCH(X$1,'Tillförd energi'!$B$1:$AQ$1,0),FALSE)</f>
        <v>0</v>
      </c>
      <c r="Y251" s="31">
        <f>VLOOKUP($B251,'Tillförd energi'!$B$1:$AI$720,MATCH(Y$1,'Tillförd energi'!$B$1:$AQ$1,0),FALSE)</f>
        <v>0</v>
      </c>
      <c r="Z251" s="31">
        <f>VLOOKUP($B251,'Tillförd energi'!$B$1:$AI$720,MATCH(Z$1,'Tillförd energi'!$B$1:$AQ$1,0),FALSE)</f>
        <v>0</v>
      </c>
      <c r="AA251" s="31">
        <f>VLOOKUP($B251,'Tillförd energi'!$B$1:$AI$720,MATCH(AA$1,'Tillförd energi'!$B$1:$AQ$1,0),FALSE)</f>
        <v>0</v>
      </c>
      <c r="AB251" s="31">
        <f>VLOOKUP($B251,'Tillförd energi'!$B$1:$AI$720,MATCH(AB$1,'Tillförd energi'!$B$1:$AQ$1,0),FALSE)</f>
        <v>0</v>
      </c>
      <c r="AC251" s="31">
        <f>VLOOKUP($B251,'Tillförd energi'!$B$1:$AI$720,MATCH(AC$1,'Tillförd energi'!$B$1:$AQ$1,0),FALSE)</f>
        <v>0</v>
      </c>
      <c r="AD251" s="31">
        <f>VLOOKUP($B251,'Tillförd energi'!$B$1:$AI$720,MATCH(AD$1,'Tillförd energi'!$B$1:$AQ$1,0),FALSE)</f>
        <v>0</v>
      </c>
      <c r="AE251" s="31">
        <f>VLOOKUP($B251,'Tillförd energi'!$B$1:$AI$720,MATCH(AE$1,'Tillförd energi'!$B$1:$AQ$1,0),FALSE)</f>
        <v>0</v>
      </c>
      <c r="AF251" s="31">
        <f>VLOOKUP($B251,'Tillförd energi'!$B$1:$AI$720,MATCH(AF$1,'Tillförd energi'!$B$1:$AQ$1,0),FALSE)</f>
        <v>5.2999999999999999E-2</v>
      </c>
      <c r="AG251" s="31">
        <f>IFERROR(VLOOKUP(B251,Miljö!$B$1:$AC$550,MATCH("Köpt mängd produktionsspecifik fjärrvärme:",Miljö!$B$1:$AC$1,0),FALSE)/1,0)</f>
        <v>0</v>
      </c>
      <c r="AI251" s="31">
        <f t="shared" si="69"/>
        <v>4.3710000000000004</v>
      </c>
      <c r="AJ251" s="31">
        <f t="shared" si="70"/>
        <v>4.3710000000000004</v>
      </c>
      <c r="AK251" s="31">
        <f>IF(ISERROR(1/VLOOKUP($B251,Leveranser!$B$1:$S$499,MATCH("Såld värme (GWh)",Leveranser!$B$1:$S$1,0),FALSE)),"",VLOOKUP($B251,Leveranser!$B$1:$S$499,MATCH("Såld värme (GWh)",Leveranser!$B$1:$S$1,0),FALSE))</f>
        <v>3.3250000000000002</v>
      </c>
      <c r="AL251" s="31">
        <f>VLOOKUP($B251,Leveranser!$B$1:$Y$499,MATCH("Totalt såld fjärrvärme till andra fjärrvärmeföretag",Leveranser!$B$1:$AA$1,0),FALSE)</f>
        <v>0</v>
      </c>
      <c r="AM251" s="31">
        <f>IF(ISERROR(1/VLOOKUP($B251,Miljö!$B$1:$S$500,MATCH("Såld mängd produktionsspecifik fjärrvärme (GWh)",Miljö!$B$1:$R$1,0),FALSE)),0,VLOOKUP($B251,Miljö!$B$1:$S$500,MATCH("Såld mängd produktionsspecifik fjärrvärme (GWh)",Miljö!$B$1:$R$1,0),FALSE))</f>
        <v>0</v>
      </c>
      <c r="AN251" s="32">
        <f t="shared" si="71"/>
        <v>0.76069549302219164</v>
      </c>
      <c r="AP251" s="31" t="str">
        <f>IFERROR(VLOOKUP($B251,Miljövärden!$B$2:$H$550,7,FALSE),"Nej, saknas")</f>
        <v>Ja</v>
      </c>
      <c r="AQ251" s="31" t="str">
        <f>IFERROR(VLOOKUP($B251,Miljövärden!$B$2:$H$551,6,FALSE),"Nej, saknas")</f>
        <v>Nej</v>
      </c>
      <c r="AU251" s="31">
        <f t="shared" si="72"/>
        <v>5.2999999999999999E-2</v>
      </c>
      <c r="AV251" s="31">
        <f t="shared" si="73"/>
        <v>0</v>
      </c>
      <c r="AW251" s="31">
        <f t="shared" si="74"/>
        <v>0</v>
      </c>
      <c r="AX251" s="31">
        <f t="shared" si="75"/>
        <v>4.2300000000000004</v>
      </c>
      <c r="AZ251" s="31">
        <f t="shared" si="76"/>
        <v>4.2300000000000004</v>
      </c>
      <c r="BC251" s="31">
        <f t="shared" si="77"/>
        <v>8.7999999999999995E-2</v>
      </c>
      <c r="BD251" s="31">
        <f t="shared" si="78"/>
        <v>0</v>
      </c>
      <c r="BE251" s="31">
        <f t="shared" si="79"/>
        <v>4.2300000000000004</v>
      </c>
      <c r="BF251" s="31">
        <f t="shared" si="80"/>
        <v>0</v>
      </c>
      <c r="BG251" s="31">
        <f t="shared" si="81"/>
        <v>5.2999999999999999E-2</v>
      </c>
      <c r="BH251" s="31">
        <f>VLOOKUP(B251,Miljö!$B$1:$BX$482,MATCH("Fossilandel för ursprungspecificerad el ()",Miljö!$B$1:$I$1,0),FALSE)</f>
        <v>0</v>
      </c>
      <c r="BI251" s="31">
        <f>VLOOKUP(B251,Miljö!$B$1:$BX$482,MATCH("Kärnkraftsandel för ursprungsspecificerad el ()",Miljö!$B$1:$O$1,0),FALSE)</f>
        <v>0</v>
      </c>
      <c r="BJ251" s="31">
        <f t="shared" si="82"/>
        <v>0</v>
      </c>
      <c r="BK251" s="31" t="str">
        <f>VLOOKUP(B251,Miljö!$B$1:$P$482,MATCH("Fossil andel i procent (%)",Miljö!$B$1:$P$1,0),FALSE)</f>
        <v>ET</v>
      </c>
      <c r="BL251" s="31">
        <f t="shared" si="83"/>
        <v>4.3710000000000004</v>
      </c>
      <c r="BO251" s="32">
        <f t="shared" si="84"/>
        <v>2.0132692747654994E-2</v>
      </c>
      <c r="BP251" s="32">
        <f t="shared" si="85"/>
        <v>0</v>
      </c>
      <c r="BQ251" s="32">
        <f t="shared" si="86"/>
        <v>0.97986730725234494</v>
      </c>
      <c r="BR251" s="32">
        <f t="shared" si="87"/>
        <v>0</v>
      </c>
      <c r="BT251" s="62">
        <f t="shared" si="88"/>
        <v>0.99999999999999989</v>
      </c>
      <c r="BW251" s="32">
        <f>IF(AP251="Ja",VLOOKUP(B251,Miljövärden!$B$2:$H$551,MATCH("Total andel fossilt",Miljövärden!$B$2:$H$2,0),FALSE),"")</f>
        <v>2.01327E-2</v>
      </c>
      <c r="BX251" s="62">
        <f t="shared" si="89"/>
        <v>7.2523450057870864E-9</v>
      </c>
      <c r="BZ251" s="31">
        <f t="shared" si="90"/>
        <v>7.2523450057870864E-9</v>
      </c>
      <c r="CA251" s="32">
        <f t="shared" si="91"/>
        <v>0</v>
      </c>
    </row>
    <row r="252" spans="1:79" x14ac:dyDescent="0.45">
      <c r="A252" s="31" t="s">
        <v>342</v>
      </c>
      <c r="B252" s="31" t="s">
        <v>349</v>
      </c>
      <c r="C252" s="31">
        <f>VLOOKUP($B252,'Tillförd energi'!$B$1:$AI$720,MATCH(C$1,'Tillförd energi'!$B$1:$AQ$1,0),FALSE)</f>
        <v>0</v>
      </c>
      <c r="D252" s="31">
        <f>VLOOKUP($B252,'Tillförd energi'!$B$1:$AI$720,MATCH(D$1,'Tillförd energi'!$B$1:$AQ$1,0),FALSE)</f>
        <v>0.79460399999999998</v>
      </c>
      <c r="E252" s="31">
        <f>VLOOKUP($B252,'Tillförd energi'!$B$1:$AI$720,MATCH(E$1,'Tillförd energi'!$B$1:$AQ$1,0),FALSE)</f>
        <v>0</v>
      </c>
      <c r="F252" s="31">
        <f>VLOOKUP($B252,'Tillförd energi'!$B$1:$AI$720,MATCH(F$1,'Tillförd energi'!$B$1:$AQ$1,0),FALSE)</f>
        <v>0</v>
      </c>
      <c r="G252" s="31">
        <f>VLOOKUP($B252,'Tillförd energi'!$B$1:$AI$720,MATCH(G$1,'Tillförd energi'!$B$1:$AQ$1,0),FALSE)</f>
        <v>0</v>
      </c>
      <c r="H252" s="31">
        <f>VLOOKUP($B252,'Tillförd energi'!$B$1:$AI$720,MATCH(H$1,'Tillförd energi'!$B$1:$AQ$1,0),FALSE)</f>
        <v>0</v>
      </c>
      <c r="I252" s="31">
        <f>VLOOKUP($B252,'Tillförd energi'!$B$1:$AI$720,MATCH(I$1,'Tillförd energi'!$B$1:$AQ$1,0),FALSE)</f>
        <v>0</v>
      </c>
      <c r="J252" s="31">
        <f>VLOOKUP($B252,'Tillförd energi'!$B$1:$AI$720,MATCH(J$1,'Tillförd energi'!$B$1:$AQ$1,0),FALSE)</f>
        <v>0</v>
      </c>
      <c r="K252" s="31">
        <f>VLOOKUP($B252,'Tillförd energi'!$B$1:$AI$720,MATCH(K$1,'Tillförd energi'!$B$1:$AQ$1,0),FALSE)</f>
        <v>0</v>
      </c>
      <c r="L252" s="31">
        <f>VLOOKUP($B252,'Tillförd energi'!$B$1:$AI$720,MATCH(L$1,'Tillförd energi'!$B$1:$AQ$1,0),FALSE)</f>
        <v>0</v>
      </c>
      <c r="M252" s="31">
        <f>VLOOKUP($B252,'Tillförd energi'!$B$1:$AI$720,MATCH(M$1,'Tillförd energi'!$B$1:$AQ$1,0),FALSE)</f>
        <v>0</v>
      </c>
      <c r="N252" s="31">
        <f>VLOOKUP($B252,'Tillförd energi'!$B$1:$AI$720,MATCH(N$1,'Tillförd energi'!$B$1:$AQ$1,0),FALSE)</f>
        <v>0</v>
      </c>
      <c r="O252" s="31">
        <f>VLOOKUP($B252,'Tillförd energi'!$B$1:$AI$720,MATCH(O$1,'Tillförd energi'!$B$1:$AQ$1,0),FALSE)</f>
        <v>68.524500000000003</v>
      </c>
      <c r="P252" s="31">
        <f>VLOOKUP($B252,'Tillförd energi'!$B$1:$AI$720,MATCH(P$1,'Tillförd energi'!$B$1:$AQ$1,0),FALSE)</f>
        <v>0</v>
      </c>
      <c r="Q252" s="31">
        <f>VLOOKUP($B252,'Tillförd energi'!$B$1:$AI$720,MATCH(Q$1,'Tillförd energi'!$B$1:$AQ$1,0),FALSE)</f>
        <v>0</v>
      </c>
      <c r="R252" s="31">
        <f>VLOOKUP($B252,'Tillförd energi'!$B$1:$AI$720,MATCH(R$1,'Tillförd energi'!$B$1:$AQ$1,0),FALSE)</f>
        <v>7.7969999999999997</v>
      </c>
      <c r="S252" s="31">
        <f>VLOOKUP($B252,'Tillförd energi'!$B$1:$AI$720,MATCH(S$1,'Tillförd energi'!$B$1:$AQ$1,0),FALSE)</f>
        <v>0</v>
      </c>
      <c r="T252" s="31">
        <f>VLOOKUP($B252,'Tillförd energi'!$B$1:$AI$720,MATCH(T$1,'Tillförd energi'!$B$1:$AQ$1,0),FALSE)</f>
        <v>0</v>
      </c>
      <c r="U252" s="31">
        <f>VLOOKUP($B252,'Tillförd energi'!$B$1:$AI$720,MATCH(U$1,'Tillförd energi'!$B$1:$AQ$1,0),FALSE)</f>
        <v>0</v>
      </c>
      <c r="V252" s="31">
        <f>VLOOKUP($B252,'Tillförd energi'!$B$1:$AI$720,MATCH(V$1,'Tillförd energi'!$B$1:$AQ$1,0),FALSE)</f>
        <v>0</v>
      </c>
      <c r="W252" s="31">
        <f>VLOOKUP($B252,'Tillförd energi'!$B$1:$AI$720,MATCH(W$1,'Tillförd energi'!$B$1:$AQ$1,0),FALSE)</f>
        <v>0</v>
      </c>
      <c r="X252" s="31">
        <f>VLOOKUP($B252,'Tillförd energi'!$B$1:$AI$720,MATCH(X$1,'Tillförd energi'!$B$1:$AQ$1,0),FALSE)</f>
        <v>0</v>
      </c>
      <c r="Y252" s="31">
        <f>VLOOKUP($B252,'Tillförd energi'!$B$1:$AI$720,MATCH(Y$1,'Tillförd energi'!$B$1:$AQ$1,0),FALSE)</f>
        <v>0</v>
      </c>
      <c r="Z252" s="31">
        <f>VLOOKUP($B252,'Tillförd energi'!$B$1:$AI$720,MATCH(Z$1,'Tillförd energi'!$B$1:$AQ$1,0),FALSE)</f>
        <v>0</v>
      </c>
      <c r="AA252" s="31">
        <f>VLOOKUP($B252,'Tillförd energi'!$B$1:$AI$720,MATCH(AA$1,'Tillförd energi'!$B$1:$AQ$1,0),FALSE)</f>
        <v>0</v>
      </c>
      <c r="AB252" s="31">
        <f>VLOOKUP($B252,'Tillförd energi'!$B$1:$AI$720,MATCH(AB$1,'Tillförd energi'!$B$1:$AQ$1,0),FALSE)</f>
        <v>0</v>
      </c>
      <c r="AC252" s="31">
        <f>VLOOKUP($B252,'Tillförd energi'!$B$1:$AI$720,MATCH(AC$1,'Tillförd energi'!$B$1:$AQ$1,0),FALSE)</f>
        <v>0</v>
      </c>
      <c r="AD252" s="31">
        <f>VLOOKUP($B252,'Tillförd energi'!$B$1:$AI$720,MATCH(AD$1,'Tillförd energi'!$B$1:$AQ$1,0),FALSE)</f>
        <v>0</v>
      </c>
      <c r="AE252" s="31">
        <f>VLOOKUP($B252,'Tillförd energi'!$B$1:$AI$720,MATCH(AE$1,'Tillförd energi'!$B$1:$AQ$1,0),FALSE)</f>
        <v>0</v>
      </c>
      <c r="AF252" s="31">
        <f>VLOOKUP($B252,'Tillförd energi'!$B$1:$AI$720,MATCH(AF$1,'Tillförd energi'!$B$1:$AQ$1,0),FALSE)</f>
        <v>2.8837999999999999</v>
      </c>
      <c r="AG252" s="31">
        <f>IFERROR(VLOOKUP(B252,Miljö!$B$1:$AC$550,MATCH("Köpt mängd produktionsspecifik fjärrvärme:",Miljö!$B$1:$AC$1,0),FALSE)/1,0)</f>
        <v>0</v>
      </c>
      <c r="AI252" s="31">
        <f t="shared" si="69"/>
        <v>79.999904000000001</v>
      </c>
      <c r="AJ252" s="31">
        <f t="shared" si="70"/>
        <v>79.999904000000001</v>
      </c>
      <c r="AK252" s="31">
        <f>IF(ISERROR(1/VLOOKUP($B252,Leveranser!$B$1:$S$499,MATCH("Såld värme (GWh)",Leveranser!$B$1:$S$1,0),FALSE)),"",VLOOKUP($B252,Leveranser!$B$1:$S$499,MATCH("Såld värme (GWh)",Leveranser!$B$1:$S$1,0),FALSE))</f>
        <v>84.712000000000003</v>
      </c>
      <c r="AL252" s="31">
        <f>VLOOKUP($B252,Leveranser!$B$1:$Y$499,MATCH("Totalt såld fjärrvärme till andra fjärrvärmeföretag",Leveranser!$B$1:$AA$1,0),FALSE)</f>
        <v>0</v>
      </c>
      <c r="AM252" s="31">
        <f>IF(ISERROR(1/VLOOKUP($B252,Miljö!$B$1:$S$500,MATCH("Såld mängd produktionsspecifik fjärrvärme (GWh)",Miljö!$B$1:$R$1,0),FALSE)),0,VLOOKUP($B252,Miljö!$B$1:$S$500,MATCH("Såld mängd produktionsspecifik fjärrvärme (GWh)",Miljö!$B$1:$R$1,0),FALSE))</f>
        <v>0</v>
      </c>
      <c r="AN252" s="32">
        <f t="shared" si="71"/>
        <v>1.0589012706815248</v>
      </c>
      <c r="AP252" s="31" t="str">
        <f>IFERROR(VLOOKUP($B252,Miljövärden!$B$2:$H$550,7,FALSE),"Nej, saknas")</f>
        <v>Ja</v>
      </c>
      <c r="AQ252" s="31" t="str">
        <f>IFERROR(VLOOKUP($B252,Miljövärden!$B$2:$H$551,6,FALSE),"Nej, saknas")</f>
        <v>Nej</v>
      </c>
      <c r="AU252" s="31">
        <f t="shared" si="72"/>
        <v>2.8837999999999999</v>
      </c>
      <c r="AV252" s="31">
        <f t="shared" si="73"/>
        <v>0</v>
      </c>
      <c r="AW252" s="31">
        <f t="shared" si="74"/>
        <v>68.524500000000003</v>
      </c>
      <c r="AX252" s="31">
        <f t="shared" si="75"/>
        <v>7.7969999999999997</v>
      </c>
      <c r="AZ252" s="31">
        <f t="shared" si="76"/>
        <v>76.3215</v>
      </c>
      <c r="BC252" s="31">
        <f t="shared" si="77"/>
        <v>0.79460399999999998</v>
      </c>
      <c r="BD252" s="31">
        <f t="shared" si="78"/>
        <v>0</v>
      </c>
      <c r="BE252" s="31">
        <f t="shared" si="79"/>
        <v>76.3215</v>
      </c>
      <c r="BF252" s="31">
        <f t="shared" si="80"/>
        <v>0</v>
      </c>
      <c r="BG252" s="31">
        <f t="shared" si="81"/>
        <v>2.8837999999999999</v>
      </c>
      <c r="BH252" s="31">
        <f>VLOOKUP(B252,Miljö!$B$1:$BX$482,MATCH("Fossilandel för ursprungspecificerad el ()",Miljö!$B$1:$I$1,0),FALSE)</f>
        <v>0</v>
      </c>
      <c r="BI252" s="31">
        <f>VLOOKUP(B252,Miljö!$B$1:$BX$482,MATCH("Kärnkraftsandel för ursprungsspecificerad el ()",Miljö!$B$1:$O$1,0),FALSE)</f>
        <v>0</v>
      </c>
      <c r="BJ252" s="31">
        <f t="shared" si="82"/>
        <v>0</v>
      </c>
      <c r="BK252" s="31" t="str">
        <f>VLOOKUP(B252,Miljö!$B$1:$P$482,MATCH("Fossil andel i procent (%)",Miljö!$B$1:$P$1,0),FALSE)</f>
        <v>ET</v>
      </c>
      <c r="BL252" s="31">
        <f t="shared" si="83"/>
        <v>79.999904000000001</v>
      </c>
      <c r="BO252" s="32">
        <f t="shared" si="84"/>
        <v>9.9325619190743022E-3</v>
      </c>
      <c r="BP252" s="32">
        <f t="shared" si="85"/>
        <v>0</v>
      </c>
      <c r="BQ252" s="32">
        <f t="shared" si="86"/>
        <v>0.99006743808092557</v>
      </c>
      <c r="BR252" s="32">
        <f t="shared" si="87"/>
        <v>0</v>
      </c>
      <c r="BT252" s="62">
        <f t="shared" si="88"/>
        <v>0.99999999999999989</v>
      </c>
      <c r="BW252" s="32">
        <f>IF(AP252="Ja",VLOOKUP(B252,Miljövärden!$B$2:$H$551,MATCH("Total andel fossilt",Miljövärden!$B$2:$H$2,0),FALSE),"")</f>
        <v>9.93256E-3</v>
      </c>
      <c r="BX252" s="62">
        <f t="shared" si="89"/>
        <v>-1.919074302247914E-9</v>
      </c>
      <c r="BZ252" s="31">
        <f t="shared" si="90"/>
        <v>-1.919074302247914E-9</v>
      </c>
      <c r="CA252" s="32">
        <f t="shared" si="91"/>
        <v>0</v>
      </c>
    </row>
    <row r="253" spans="1:79" x14ac:dyDescent="0.45">
      <c r="A253" s="31" t="s">
        <v>342</v>
      </c>
      <c r="B253" s="31" t="s">
        <v>348</v>
      </c>
      <c r="C253" s="31">
        <f>VLOOKUP($B253,'Tillförd energi'!$B$1:$AI$720,MATCH(C$1,'Tillförd energi'!$B$1:$AQ$1,0),FALSE)</f>
        <v>0</v>
      </c>
      <c r="D253" s="31">
        <f>VLOOKUP($B253,'Tillförd energi'!$B$1:$AI$720,MATCH(D$1,'Tillförd energi'!$B$1:$AQ$1,0),FALSE)</f>
        <v>0.35799999999999998</v>
      </c>
      <c r="E253" s="31">
        <f>VLOOKUP($B253,'Tillförd energi'!$B$1:$AI$720,MATCH(E$1,'Tillförd energi'!$B$1:$AQ$1,0),FALSE)</f>
        <v>0</v>
      </c>
      <c r="F253" s="31">
        <f>VLOOKUP($B253,'Tillförd energi'!$B$1:$AI$720,MATCH(F$1,'Tillförd energi'!$B$1:$AQ$1,0),FALSE)</f>
        <v>0</v>
      </c>
      <c r="G253" s="31">
        <f>VLOOKUP($B253,'Tillförd energi'!$B$1:$AI$720,MATCH(G$1,'Tillförd energi'!$B$1:$AQ$1,0),FALSE)</f>
        <v>0</v>
      </c>
      <c r="H253" s="31">
        <f>VLOOKUP($B253,'Tillförd energi'!$B$1:$AI$720,MATCH(H$1,'Tillförd energi'!$B$1:$AQ$1,0),FALSE)</f>
        <v>0</v>
      </c>
      <c r="I253" s="31">
        <f>VLOOKUP($B253,'Tillförd energi'!$B$1:$AI$720,MATCH(I$1,'Tillförd energi'!$B$1:$AQ$1,0),FALSE)</f>
        <v>0</v>
      </c>
      <c r="J253" s="31">
        <f>VLOOKUP($B253,'Tillförd energi'!$B$1:$AI$720,MATCH(J$1,'Tillförd energi'!$B$1:$AQ$1,0),FALSE)</f>
        <v>0</v>
      </c>
      <c r="K253" s="31">
        <f>VLOOKUP($B253,'Tillförd energi'!$B$1:$AI$720,MATCH(K$1,'Tillförd energi'!$B$1:$AQ$1,0),FALSE)</f>
        <v>0</v>
      </c>
      <c r="L253" s="31">
        <f>VLOOKUP($B253,'Tillförd energi'!$B$1:$AI$720,MATCH(L$1,'Tillförd energi'!$B$1:$AQ$1,0),FALSE)</f>
        <v>0</v>
      </c>
      <c r="M253" s="31">
        <f>VLOOKUP($B253,'Tillförd energi'!$B$1:$AI$720,MATCH(M$1,'Tillförd energi'!$B$1:$AQ$1,0),FALSE)</f>
        <v>0</v>
      </c>
      <c r="N253" s="31">
        <f>VLOOKUP($B253,'Tillförd energi'!$B$1:$AI$720,MATCH(N$1,'Tillförd energi'!$B$1:$AQ$1,0),FALSE)</f>
        <v>0</v>
      </c>
      <c r="O253" s="31">
        <f>VLOOKUP($B253,'Tillförd energi'!$B$1:$AI$720,MATCH(O$1,'Tillförd energi'!$B$1:$AQ$1,0),FALSE)</f>
        <v>0</v>
      </c>
      <c r="P253" s="31">
        <f>VLOOKUP($B253,'Tillförd energi'!$B$1:$AI$720,MATCH(P$1,'Tillförd energi'!$B$1:$AQ$1,0),FALSE)</f>
        <v>0</v>
      </c>
      <c r="Q253" s="31">
        <f>VLOOKUP($B253,'Tillförd energi'!$B$1:$AI$720,MATCH(Q$1,'Tillförd energi'!$B$1:$AQ$1,0),FALSE)</f>
        <v>0</v>
      </c>
      <c r="R253" s="31">
        <f>VLOOKUP($B253,'Tillförd energi'!$B$1:$AI$720,MATCH(R$1,'Tillförd energi'!$B$1:$AQ$1,0),FALSE)</f>
        <v>8.6869999999999994</v>
      </c>
      <c r="S253" s="31">
        <f>VLOOKUP($B253,'Tillförd energi'!$B$1:$AI$720,MATCH(S$1,'Tillförd energi'!$B$1:$AQ$1,0),FALSE)</f>
        <v>0</v>
      </c>
      <c r="T253" s="31">
        <f>VLOOKUP($B253,'Tillförd energi'!$B$1:$AI$720,MATCH(T$1,'Tillförd energi'!$B$1:$AQ$1,0),FALSE)</f>
        <v>0</v>
      </c>
      <c r="U253" s="31">
        <f>VLOOKUP($B253,'Tillförd energi'!$B$1:$AI$720,MATCH(U$1,'Tillförd energi'!$B$1:$AQ$1,0),FALSE)</f>
        <v>0</v>
      </c>
      <c r="V253" s="31">
        <f>VLOOKUP($B253,'Tillförd energi'!$B$1:$AI$720,MATCH(V$1,'Tillförd energi'!$B$1:$AQ$1,0),FALSE)</f>
        <v>0</v>
      </c>
      <c r="W253" s="31">
        <f>VLOOKUP($B253,'Tillförd energi'!$B$1:$AI$720,MATCH(W$1,'Tillförd energi'!$B$1:$AQ$1,0),FALSE)</f>
        <v>0</v>
      </c>
      <c r="X253" s="31">
        <f>VLOOKUP($B253,'Tillförd energi'!$B$1:$AI$720,MATCH(X$1,'Tillförd energi'!$B$1:$AQ$1,0),FALSE)</f>
        <v>0</v>
      </c>
      <c r="Y253" s="31">
        <f>VLOOKUP($B253,'Tillförd energi'!$B$1:$AI$720,MATCH(Y$1,'Tillförd energi'!$B$1:$AQ$1,0),FALSE)</f>
        <v>0</v>
      </c>
      <c r="Z253" s="31">
        <f>VLOOKUP($B253,'Tillförd energi'!$B$1:$AI$720,MATCH(Z$1,'Tillförd energi'!$B$1:$AQ$1,0),FALSE)</f>
        <v>0</v>
      </c>
      <c r="AA253" s="31">
        <f>VLOOKUP($B253,'Tillförd energi'!$B$1:$AI$720,MATCH(AA$1,'Tillförd energi'!$B$1:$AQ$1,0),FALSE)</f>
        <v>0</v>
      </c>
      <c r="AB253" s="31">
        <f>VLOOKUP($B253,'Tillförd energi'!$B$1:$AI$720,MATCH(AB$1,'Tillförd energi'!$B$1:$AQ$1,0),FALSE)</f>
        <v>0</v>
      </c>
      <c r="AC253" s="31">
        <f>VLOOKUP($B253,'Tillförd energi'!$B$1:$AI$720,MATCH(AC$1,'Tillförd energi'!$B$1:$AQ$1,0),FALSE)</f>
        <v>0</v>
      </c>
      <c r="AD253" s="31">
        <f>VLOOKUP($B253,'Tillförd energi'!$B$1:$AI$720,MATCH(AD$1,'Tillförd energi'!$B$1:$AQ$1,0),FALSE)</f>
        <v>7.431</v>
      </c>
      <c r="AE253" s="31">
        <f>VLOOKUP($B253,'Tillförd energi'!$B$1:$AI$720,MATCH(AE$1,'Tillförd energi'!$B$1:$AQ$1,0),FALSE)</f>
        <v>0</v>
      </c>
      <c r="AF253" s="31">
        <f>VLOOKUP($B253,'Tillförd energi'!$B$1:$AI$720,MATCH(AF$1,'Tillförd energi'!$B$1:$AQ$1,0),FALSE)</f>
        <v>0.13900000000000001</v>
      </c>
      <c r="AG253" s="31">
        <f>IFERROR(VLOOKUP(B253,Miljö!$B$1:$AC$550,MATCH("Köpt mängd produktionsspecifik fjärrvärme:",Miljö!$B$1:$AC$1,0),FALSE)/1,0)</f>
        <v>0</v>
      </c>
      <c r="AI253" s="31">
        <f t="shared" si="69"/>
        <v>16.614999999999998</v>
      </c>
      <c r="AJ253" s="31">
        <f t="shared" si="70"/>
        <v>16.614999999999998</v>
      </c>
      <c r="AK253" s="31">
        <f>IF(ISERROR(1/VLOOKUP($B253,Leveranser!$B$1:$S$499,MATCH("Såld värme (GWh)",Leveranser!$B$1:$S$1,0),FALSE)),"",VLOOKUP($B253,Leveranser!$B$1:$S$499,MATCH("Såld värme (GWh)",Leveranser!$B$1:$S$1,0),FALSE))</f>
        <v>13.79</v>
      </c>
      <c r="AL253" s="31">
        <f>VLOOKUP($B253,Leveranser!$B$1:$Y$499,MATCH("Totalt såld fjärrvärme till andra fjärrvärmeföretag",Leveranser!$B$1:$AA$1,0),FALSE)</f>
        <v>0</v>
      </c>
      <c r="AM253" s="31">
        <f>IF(ISERROR(1/VLOOKUP($B253,Miljö!$B$1:$S$500,MATCH("Såld mängd produktionsspecifik fjärrvärme (GWh)",Miljö!$B$1:$R$1,0),FALSE)),0,VLOOKUP($B253,Miljö!$B$1:$S$500,MATCH("Såld mängd produktionsspecifik fjärrvärme (GWh)",Miljö!$B$1:$R$1,0),FALSE))</f>
        <v>0</v>
      </c>
      <c r="AN253" s="32">
        <f t="shared" si="71"/>
        <v>0.82997291603972312</v>
      </c>
      <c r="AP253" s="31" t="str">
        <f>IFERROR(VLOOKUP($B253,Miljövärden!$B$2:$H$550,7,FALSE),"Nej, saknas")</f>
        <v>Ja</v>
      </c>
      <c r="AQ253" s="31" t="str">
        <f>IFERROR(VLOOKUP($B253,Miljövärden!$B$2:$H$551,6,FALSE),"Nej, saknas")</f>
        <v>Nej</v>
      </c>
      <c r="AU253" s="31">
        <f t="shared" si="72"/>
        <v>0.13900000000000001</v>
      </c>
      <c r="AV253" s="31">
        <f t="shared" si="73"/>
        <v>0</v>
      </c>
      <c r="AW253" s="31">
        <f t="shared" si="74"/>
        <v>0</v>
      </c>
      <c r="AX253" s="31">
        <f t="shared" si="75"/>
        <v>8.6869999999999994</v>
      </c>
      <c r="AZ253" s="31">
        <f t="shared" si="76"/>
        <v>8.6869999999999994</v>
      </c>
      <c r="BC253" s="31">
        <f t="shared" si="77"/>
        <v>0.35799999999999998</v>
      </c>
      <c r="BD253" s="31">
        <f t="shared" si="78"/>
        <v>0</v>
      </c>
      <c r="BE253" s="31">
        <f t="shared" si="79"/>
        <v>8.6869999999999994</v>
      </c>
      <c r="BF253" s="31">
        <f t="shared" si="80"/>
        <v>7.431</v>
      </c>
      <c r="BG253" s="31">
        <f t="shared" si="81"/>
        <v>0.13900000000000001</v>
      </c>
      <c r="BH253" s="31">
        <f>VLOOKUP(B253,Miljö!$B$1:$BX$482,MATCH("Fossilandel för ursprungspecificerad el ()",Miljö!$B$1:$I$1,0),FALSE)</f>
        <v>0</v>
      </c>
      <c r="BI253" s="31">
        <f>VLOOKUP(B253,Miljö!$B$1:$BX$482,MATCH("Kärnkraftsandel för ursprungsspecificerad el ()",Miljö!$B$1:$O$1,0),FALSE)</f>
        <v>0</v>
      </c>
      <c r="BJ253" s="31">
        <f t="shared" si="82"/>
        <v>0</v>
      </c>
      <c r="BK253" s="31" t="str">
        <f>VLOOKUP(B253,Miljö!$B$1:$P$482,MATCH("Fossil andel i procent (%)",Miljö!$B$1:$P$1,0),FALSE)</f>
        <v>ET</v>
      </c>
      <c r="BL253" s="31">
        <f t="shared" si="83"/>
        <v>16.614999999999998</v>
      </c>
      <c r="BO253" s="32">
        <f t="shared" si="84"/>
        <v>2.1546795064700572E-2</v>
      </c>
      <c r="BP253" s="32">
        <f t="shared" si="85"/>
        <v>0</v>
      </c>
      <c r="BQ253" s="32">
        <f t="shared" si="86"/>
        <v>0.53120674089677999</v>
      </c>
      <c r="BR253" s="32">
        <f t="shared" si="87"/>
        <v>0.44724646403851948</v>
      </c>
      <c r="BT253" s="62">
        <f t="shared" si="88"/>
        <v>1</v>
      </c>
      <c r="BW253" s="32">
        <f>IF(AP253="Ja",VLOOKUP(B253,Miljövärden!$B$2:$H$551,MATCH("Total andel fossilt",Miljövärden!$B$2:$H$2,0),FALSE),"")</f>
        <v>2.1546800000000001E-2</v>
      </c>
      <c r="BX253" s="62">
        <f t="shared" si="89"/>
        <v>4.9352994295481789E-9</v>
      </c>
      <c r="BZ253" s="31">
        <f t="shared" si="90"/>
        <v>4.9352994295481789E-9</v>
      </c>
      <c r="CA253" s="32">
        <f t="shared" si="91"/>
        <v>0</v>
      </c>
    </row>
    <row r="254" spans="1:79" x14ac:dyDescent="0.45">
      <c r="A254" s="31" t="s">
        <v>342</v>
      </c>
      <c r="B254" s="31" t="s">
        <v>347</v>
      </c>
      <c r="C254" s="31">
        <f>VLOOKUP($B254,'Tillförd energi'!$B$1:$AI$720,MATCH(C$1,'Tillförd energi'!$B$1:$AQ$1,0),FALSE)</f>
        <v>0</v>
      </c>
      <c r="D254" s="31">
        <f>VLOOKUP($B254,'Tillförd energi'!$B$1:$AI$720,MATCH(D$1,'Tillförd energi'!$B$1:$AQ$1,0),FALSE)</f>
        <v>0.30599999999999999</v>
      </c>
      <c r="E254" s="31">
        <f>VLOOKUP($B254,'Tillförd energi'!$B$1:$AI$720,MATCH(E$1,'Tillförd energi'!$B$1:$AQ$1,0),FALSE)</f>
        <v>0</v>
      </c>
      <c r="F254" s="31">
        <f>VLOOKUP($B254,'Tillförd energi'!$B$1:$AI$720,MATCH(F$1,'Tillförd energi'!$B$1:$AQ$1,0),FALSE)</f>
        <v>0</v>
      </c>
      <c r="G254" s="31">
        <f>VLOOKUP($B254,'Tillförd energi'!$B$1:$AI$720,MATCH(G$1,'Tillförd energi'!$B$1:$AQ$1,0),FALSE)</f>
        <v>0</v>
      </c>
      <c r="H254" s="31">
        <f>VLOOKUP($B254,'Tillförd energi'!$B$1:$AI$720,MATCH(H$1,'Tillförd energi'!$B$1:$AQ$1,0),FALSE)</f>
        <v>0</v>
      </c>
      <c r="I254" s="31">
        <f>VLOOKUP($B254,'Tillförd energi'!$B$1:$AI$720,MATCH(I$1,'Tillförd energi'!$B$1:$AQ$1,0),FALSE)</f>
        <v>0</v>
      </c>
      <c r="J254" s="31">
        <f>VLOOKUP($B254,'Tillförd energi'!$B$1:$AI$720,MATCH(J$1,'Tillförd energi'!$B$1:$AQ$1,0),FALSE)</f>
        <v>0</v>
      </c>
      <c r="K254" s="31">
        <f>VLOOKUP($B254,'Tillförd energi'!$B$1:$AI$720,MATCH(K$1,'Tillförd energi'!$B$1:$AQ$1,0),FALSE)</f>
        <v>0</v>
      </c>
      <c r="L254" s="31">
        <f>VLOOKUP($B254,'Tillförd energi'!$B$1:$AI$720,MATCH(L$1,'Tillförd energi'!$B$1:$AQ$1,0),FALSE)</f>
        <v>0</v>
      </c>
      <c r="M254" s="31">
        <f>VLOOKUP($B254,'Tillförd energi'!$B$1:$AI$720,MATCH(M$1,'Tillförd energi'!$B$1:$AQ$1,0),FALSE)</f>
        <v>0</v>
      </c>
      <c r="N254" s="31">
        <f>VLOOKUP($B254,'Tillförd energi'!$B$1:$AI$720,MATCH(N$1,'Tillförd energi'!$B$1:$AQ$1,0),FALSE)</f>
        <v>0</v>
      </c>
      <c r="O254" s="31">
        <f>VLOOKUP($B254,'Tillförd energi'!$B$1:$AI$720,MATCH(O$1,'Tillförd energi'!$B$1:$AQ$1,0),FALSE)</f>
        <v>0</v>
      </c>
      <c r="P254" s="31">
        <f>VLOOKUP($B254,'Tillförd energi'!$B$1:$AI$720,MATCH(P$1,'Tillförd energi'!$B$1:$AQ$1,0),FALSE)</f>
        <v>0</v>
      </c>
      <c r="Q254" s="31">
        <f>VLOOKUP($B254,'Tillförd energi'!$B$1:$AI$720,MATCH(Q$1,'Tillförd energi'!$B$1:$AQ$1,0),FALSE)</f>
        <v>0</v>
      </c>
      <c r="R254" s="31">
        <f>VLOOKUP($B254,'Tillförd energi'!$B$1:$AI$720,MATCH(R$1,'Tillförd energi'!$B$1:$AQ$1,0),FALSE)</f>
        <v>11.318</v>
      </c>
      <c r="S254" s="31">
        <f>VLOOKUP($B254,'Tillförd energi'!$B$1:$AI$720,MATCH(S$1,'Tillförd energi'!$B$1:$AQ$1,0),FALSE)</f>
        <v>0</v>
      </c>
      <c r="T254" s="31">
        <f>VLOOKUP($B254,'Tillförd energi'!$B$1:$AI$720,MATCH(T$1,'Tillförd energi'!$B$1:$AQ$1,0),FALSE)</f>
        <v>0</v>
      </c>
      <c r="U254" s="31">
        <f>VLOOKUP($B254,'Tillförd energi'!$B$1:$AI$720,MATCH(U$1,'Tillförd energi'!$B$1:$AQ$1,0),FALSE)</f>
        <v>0</v>
      </c>
      <c r="V254" s="31">
        <f>VLOOKUP($B254,'Tillförd energi'!$B$1:$AI$720,MATCH(V$1,'Tillförd energi'!$B$1:$AQ$1,0),FALSE)</f>
        <v>0</v>
      </c>
      <c r="W254" s="31">
        <f>VLOOKUP($B254,'Tillförd energi'!$B$1:$AI$720,MATCH(W$1,'Tillförd energi'!$B$1:$AQ$1,0),FALSE)</f>
        <v>0</v>
      </c>
      <c r="X254" s="31">
        <f>VLOOKUP($B254,'Tillförd energi'!$B$1:$AI$720,MATCH(X$1,'Tillförd energi'!$B$1:$AQ$1,0),FALSE)</f>
        <v>0</v>
      </c>
      <c r="Y254" s="31">
        <f>VLOOKUP($B254,'Tillförd energi'!$B$1:$AI$720,MATCH(Y$1,'Tillförd energi'!$B$1:$AQ$1,0),FALSE)</f>
        <v>0</v>
      </c>
      <c r="Z254" s="31">
        <f>VLOOKUP($B254,'Tillförd energi'!$B$1:$AI$720,MATCH(Z$1,'Tillförd energi'!$B$1:$AQ$1,0),FALSE)</f>
        <v>0</v>
      </c>
      <c r="AA254" s="31">
        <f>VLOOKUP($B254,'Tillförd energi'!$B$1:$AI$720,MATCH(AA$1,'Tillförd energi'!$B$1:$AQ$1,0),FALSE)</f>
        <v>0</v>
      </c>
      <c r="AB254" s="31">
        <f>VLOOKUP($B254,'Tillförd energi'!$B$1:$AI$720,MATCH(AB$1,'Tillförd energi'!$B$1:$AQ$1,0),FALSE)</f>
        <v>0</v>
      </c>
      <c r="AC254" s="31">
        <f>VLOOKUP($B254,'Tillförd energi'!$B$1:$AI$720,MATCH(AC$1,'Tillförd energi'!$B$1:$AQ$1,0),FALSE)</f>
        <v>0</v>
      </c>
      <c r="AD254" s="31">
        <f>VLOOKUP($B254,'Tillförd energi'!$B$1:$AI$720,MATCH(AD$1,'Tillförd energi'!$B$1:$AQ$1,0),FALSE)</f>
        <v>0</v>
      </c>
      <c r="AE254" s="31">
        <f>VLOOKUP($B254,'Tillförd energi'!$B$1:$AI$720,MATCH(AE$1,'Tillförd energi'!$B$1:$AQ$1,0),FALSE)</f>
        <v>0</v>
      </c>
      <c r="AF254" s="31">
        <f>VLOOKUP($B254,'Tillförd energi'!$B$1:$AI$720,MATCH(AF$1,'Tillförd energi'!$B$1:$AQ$1,0),FALSE)</f>
        <v>0.115</v>
      </c>
      <c r="AG254" s="31">
        <f>IFERROR(VLOOKUP(B254,Miljö!$B$1:$AC$550,MATCH("Köpt mängd produktionsspecifik fjärrvärme:",Miljö!$B$1:$AC$1,0),FALSE)/1,0)</f>
        <v>0</v>
      </c>
      <c r="AI254" s="31">
        <f t="shared" si="69"/>
        <v>11.738999999999999</v>
      </c>
      <c r="AJ254" s="31">
        <f t="shared" si="70"/>
        <v>11.738999999999999</v>
      </c>
      <c r="AK254" s="31">
        <f>IF(ISERROR(1/VLOOKUP($B254,Leveranser!$B$1:$S$499,MATCH("Såld värme (GWh)",Leveranser!$B$1:$S$1,0),FALSE)),"",VLOOKUP($B254,Leveranser!$B$1:$S$499,MATCH("Såld värme (GWh)",Leveranser!$B$1:$S$1,0),FALSE))</f>
        <v>9.3279999999999994</v>
      </c>
      <c r="AL254" s="31">
        <f>VLOOKUP($B254,Leveranser!$B$1:$Y$499,MATCH("Totalt såld fjärrvärme till andra fjärrvärmeföretag",Leveranser!$B$1:$AA$1,0),FALSE)</f>
        <v>0</v>
      </c>
      <c r="AM254" s="31">
        <f>IF(ISERROR(1/VLOOKUP($B254,Miljö!$B$1:$S$500,MATCH("Såld mängd produktionsspecifik fjärrvärme (GWh)",Miljö!$B$1:$R$1,0),FALSE)),0,VLOOKUP($B254,Miljö!$B$1:$S$500,MATCH("Såld mängd produktionsspecifik fjärrvärme (GWh)",Miljö!$B$1:$R$1,0),FALSE))</f>
        <v>0</v>
      </c>
      <c r="AN254" s="32">
        <f t="shared" si="71"/>
        <v>0.79461623647670165</v>
      </c>
      <c r="AP254" s="31" t="str">
        <f>IFERROR(VLOOKUP($B254,Miljövärden!$B$2:$H$550,7,FALSE),"Nej, saknas")</f>
        <v>Ja</v>
      </c>
      <c r="AQ254" s="31" t="str">
        <f>IFERROR(VLOOKUP($B254,Miljövärden!$B$2:$H$551,6,FALSE),"Nej, saknas")</f>
        <v>Nej</v>
      </c>
      <c r="AU254" s="31">
        <f t="shared" si="72"/>
        <v>0.115</v>
      </c>
      <c r="AV254" s="31">
        <f t="shared" si="73"/>
        <v>0</v>
      </c>
      <c r="AW254" s="31">
        <f t="shared" si="74"/>
        <v>0</v>
      </c>
      <c r="AX254" s="31">
        <f t="shared" si="75"/>
        <v>11.318</v>
      </c>
      <c r="AZ254" s="31">
        <f t="shared" si="76"/>
        <v>11.318</v>
      </c>
      <c r="BC254" s="31">
        <f t="shared" si="77"/>
        <v>0.30599999999999999</v>
      </c>
      <c r="BD254" s="31">
        <f t="shared" si="78"/>
        <v>0</v>
      </c>
      <c r="BE254" s="31">
        <f t="shared" si="79"/>
        <v>11.318</v>
      </c>
      <c r="BF254" s="31">
        <f t="shared" si="80"/>
        <v>0</v>
      </c>
      <c r="BG254" s="31">
        <f t="shared" si="81"/>
        <v>0.115</v>
      </c>
      <c r="BH254" s="31">
        <f>VLOOKUP(B254,Miljö!$B$1:$BX$482,MATCH("Fossilandel för ursprungspecificerad el ()",Miljö!$B$1:$I$1,0),FALSE)</f>
        <v>0</v>
      </c>
      <c r="BI254" s="31">
        <f>VLOOKUP(B254,Miljö!$B$1:$BX$482,MATCH("Kärnkraftsandel för ursprungsspecificerad el ()",Miljö!$B$1:$O$1,0),FALSE)</f>
        <v>0</v>
      </c>
      <c r="BJ254" s="31">
        <f t="shared" si="82"/>
        <v>0</v>
      </c>
      <c r="BK254" s="31" t="str">
        <f>VLOOKUP(B254,Miljö!$B$1:$P$482,MATCH("Fossil andel i procent (%)",Miljö!$B$1:$P$1,0),FALSE)</f>
        <v>ET</v>
      </c>
      <c r="BL254" s="31">
        <f t="shared" si="83"/>
        <v>11.738999999999999</v>
      </c>
      <c r="BO254" s="32">
        <f t="shared" si="84"/>
        <v>2.606695629951444E-2</v>
      </c>
      <c r="BP254" s="32">
        <f t="shared" si="85"/>
        <v>0</v>
      </c>
      <c r="BQ254" s="32">
        <f t="shared" si="86"/>
        <v>0.97393304370048561</v>
      </c>
      <c r="BR254" s="32">
        <f t="shared" si="87"/>
        <v>0</v>
      </c>
      <c r="BT254" s="62">
        <f t="shared" si="88"/>
        <v>1</v>
      </c>
      <c r="BW254" s="32">
        <f>IF(AP254="Ja",VLOOKUP(B254,Miljövärden!$B$2:$H$551,MATCH("Total andel fossilt",Miljövärden!$B$2:$H$2,0),FALSE),"")</f>
        <v>2.6067E-2</v>
      </c>
      <c r="BX254" s="62">
        <f t="shared" si="89"/>
        <v>4.3700485560099755E-8</v>
      </c>
      <c r="BZ254" s="31">
        <f t="shared" si="90"/>
        <v>4.3700485560099755E-8</v>
      </c>
      <c r="CA254" s="32">
        <f t="shared" si="91"/>
        <v>0</v>
      </c>
    </row>
    <row r="255" spans="1:79" x14ac:dyDescent="0.45">
      <c r="A255" s="31" t="s">
        <v>342</v>
      </c>
      <c r="B255" s="31" t="s">
        <v>346</v>
      </c>
      <c r="C255" s="31">
        <f>VLOOKUP($B255,'Tillförd energi'!$B$1:$AI$720,MATCH(C$1,'Tillförd energi'!$B$1:$AQ$1,0),FALSE)</f>
        <v>0</v>
      </c>
      <c r="D255" s="31">
        <f>VLOOKUP($B255,'Tillförd energi'!$B$1:$AI$720,MATCH(D$1,'Tillförd energi'!$B$1:$AQ$1,0),FALSE)</f>
        <v>6.0591200000000001</v>
      </c>
      <c r="E255" s="31">
        <f>VLOOKUP($B255,'Tillförd energi'!$B$1:$AI$720,MATCH(E$1,'Tillförd energi'!$B$1:$AQ$1,0),FALSE)</f>
        <v>0</v>
      </c>
      <c r="F255" s="31">
        <f>VLOOKUP($B255,'Tillförd energi'!$B$1:$AI$720,MATCH(F$1,'Tillförd energi'!$B$1:$AQ$1,0),FALSE)</f>
        <v>0</v>
      </c>
      <c r="G255" s="31">
        <f>VLOOKUP($B255,'Tillförd energi'!$B$1:$AI$720,MATCH(G$1,'Tillförd energi'!$B$1:$AQ$1,0),FALSE)</f>
        <v>0</v>
      </c>
      <c r="H255" s="31">
        <f>VLOOKUP($B255,'Tillförd energi'!$B$1:$AI$720,MATCH(H$1,'Tillförd energi'!$B$1:$AQ$1,0),FALSE)</f>
        <v>0</v>
      </c>
      <c r="I255" s="31">
        <f>VLOOKUP($B255,'Tillförd energi'!$B$1:$AI$720,MATCH(I$1,'Tillförd energi'!$B$1:$AQ$1,0),FALSE)</f>
        <v>0</v>
      </c>
      <c r="J255" s="31">
        <f>VLOOKUP($B255,'Tillförd energi'!$B$1:$AI$720,MATCH(J$1,'Tillförd energi'!$B$1:$AQ$1,0),FALSE)</f>
        <v>0</v>
      </c>
      <c r="K255" s="31">
        <f>VLOOKUP($B255,'Tillförd energi'!$B$1:$AI$720,MATCH(K$1,'Tillförd energi'!$B$1:$AQ$1,0),FALSE)</f>
        <v>0</v>
      </c>
      <c r="L255" s="31">
        <f>VLOOKUP($B255,'Tillförd energi'!$B$1:$AI$720,MATCH(L$1,'Tillförd energi'!$B$1:$AQ$1,0),FALSE)</f>
        <v>0</v>
      </c>
      <c r="M255" s="31">
        <f>VLOOKUP($B255,'Tillförd energi'!$B$1:$AI$720,MATCH(M$1,'Tillförd energi'!$B$1:$AQ$1,0),FALSE)</f>
        <v>61.474699999999999</v>
      </c>
      <c r="N255" s="31">
        <f>VLOOKUP($B255,'Tillförd energi'!$B$1:$AI$720,MATCH(N$1,'Tillförd energi'!$B$1:$AQ$1,0),FALSE)</f>
        <v>36.374600000000001</v>
      </c>
      <c r="O255" s="31">
        <f>VLOOKUP($B255,'Tillförd energi'!$B$1:$AI$720,MATCH(O$1,'Tillförd energi'!$B$1:$AQ$1,0),FALSE)</f>
        <v>67.943299999999994</v>
      </c>
      <c r="P255" s="31">
        <f>VLOOKUP($B255,'Tillförd energi'!$B$1:$AI$720,MATCH(P$1,'Tillförd energi'!$B$1:$AQ$1,0),FALSE)</f>
        <v>11.4466</v>
      </c>
      <c r="Q255" s="31">
        <f>VLOOKUP($B255,'Tillförd energi'!$B$1:$AI$720,MATCH(Q$1,'Tillförd energi'!$B$1:$AQ$1,0),FALSE)</f>
        <v>48.057000000000002</v>
      </c>
      <c r="R255" s="31">
        <f>VLOOKUP($B255,'Tillförd energi'!$B$1:$AI$720,MATCH(R$1,'Tillförd energi'!$B$1:$AQ$1,0),FALSE)</f>
        <v>0</v>
      </c>
      <c r="S255" s="31">
        <f>VLOOKUP($B255,'Tillförd energi'!$B$1:$AI$720,MATCH(S$1,'Tillförd energi'!$B$1:$AQ$1,0),FALSE)</f>
        <v>0</v>
      </c>
      <c r="T255" s="31">
        <f>VLOOKUP($B255,'Tillförd energi'!$B$1:$AI$720,MATCH(T$1,'Tillförd energi'!$B$1:$AQ$1,0),FALSE)</f>
        <v>0</v>
      </c>
      <c r="U255" s="31">
        <f>VLOOKUP($B255,'Tillförd energi'!$B$1:$AI$720,MATCH(U$1,'Tillförd energi'!$B$1:$AQ$1,0),FALSE)</f>
        <v>0</v>
      </c>
      <c r="V255" s="31">
        <f>VLOOKUP($B255,'Tillförd energi'!$B$1:$AI$720,MATCH(V$1,'Tillförd energi'!$B$1:$AQ$1,0),FALSE)</f>
        <v>0</v>
      </c>
      <c r="W255" s="31">
        <f>VLOOKUP($B255,'Tillförd energi'!$B$1:$AI$720,MATCH(W$1,'Tillförd energi'!$B$1:$AQ$1,0),FALSE)</f>
        <v>0</v>
      </c>
      <c r="X255" s="31">
        <f>VLOOKUP($B255,'Tillförd energi'!$B$1:$AI$720,MATCH(X$1,'Tillförd energi'!$B$1:$AQ$1,0),FALSE)</f>
        <v>0</v>
      </c>
      <c r="Y255" s="31">
        <f>VLOOKUP($B255,'Tillförd energi'!$B$1:$AI$720,MATCH(Y$1,'Tillförd energi'!$B$1:$AQ$1,0),FALSE)</f>
        <v>35.515799999999999</v>
      </c>
      <c r="Z255" s="31">
        <f>VLOOKUP($B255,'Tillförd energi'!$B$1:$AI$720,MATCH(Z$1,'Tillförd energi'!$B$1:$AQ$1,0),FALSE)</f>
        <v>0</v>
      </c>
      <c r="AA255" s="31">
        <f>VLOOKUP($B255,'Tillförd energi'!$B$1:$AI$720,MATCH(AA$1,'Tillförd energi'!$B$1:$AQ$1,0),FALSE)</f>
        <v>0</v>
      </c>
      <c r="AB255" s="31">
        <f>VLOOKUP($B255,'Tillförd energi'!$B$1:$AI$720,MATCH(AB$1,'Tillförd energi'!$B$1:$AQ$1,0),FALSE)</f>
        <v>0</v>
      </c>
      <c r="AC255" s="31">
        <f>VLOOKUP($B255,'Tillförd energi'!$B$1:$AI$720,MATCH(AC$1,'Tillförd energi'!$B$1:$AQ$1,0),FALSE)</f>
        <v>72.900000000000006</v>
      </c>
      <c r="AD255" s="31">
        <f>VLOOKUP($B255,'Tillförd energi'!$B$1:$AI$720,MATCH(AD$1,'Tillförd energi'!$B$1:$AQ$1,0),FALSE)</f>
        <v>0</v>
      </c>
      <c r="AE255" s="31">
        <f>VLOOKUP($B255,'Tillförd energi'!$B$1:$AI$720,MATCH(AE$1,'Tillförd energi'!$B$1:$AQ$1,0),FALSE)</f>
        <v>0</v>
      </c>
      <c r="AF255" s="31">
        <f>VLOOKUP($B255,'Tillförd energi'!$B$1:$AI$720,MATCH(AF$1,'Tillförd energi'!$B$1:$AQ$1,0),FALSE)</f>
        <v>13.180199999999999</v>
      </c>
      <c r="AG255" s="31">
        <f>IFERROR(VLOOKUP(B255,Miljö!$B$1:$AC$550,MATCH("Köpt mängd produktionsspecifik fjärrvärme:",Miljö!$B$1:$AC$1,0),FALSE)/1,0)</f>
        <v>0</v>
      </c>
      <c r="AI255" s="31">
        <f t="shared" si="69"/>
        <v>352.95132000000001</v>
      </c>
      <c r="AJ255" s="31">
        <f t="shared" si="70"/>
        <v>352.95132000000001</v>
      </c>
      <c r="AK255" s="31">
        <f>IF(ISERROR(1/VLOOKUP($B255,Leveranser!$B$1:$S$499,MATCH("Såld värme (GWh)",Leveranser!$B$1:$S$1,0),FALSE)),"",VLOOKUP($B255,Leveranser!$B$1:$S$499,MATCH("Såld värme (GWh)",Leveranser!$B$1:$S$1,0),FALSE))</f>
        <v>352.221</v>
      </c>
      <c r="AL255" s="31">
        <f>VLOOKUP($B255,Leveranser!$B$1:$Y$499,MATCH("Totalt såld fjärrvärme till andra fjärrvärmeföretag",Leveranser!$B$1:$AA$1,0),FALSE)</f>
        <v>0</v>
      </c>
      <c r="AM255" s="31">
        <f>IF(ISERROR(1/VLOOKUP($B255,Miljö!$B$1:$S$500,MATCH("Såld mängd produktionsspecifik fjärrvärme (GWh)",Miljö!$B$1:$R$1,0),FALSE)),0,VLOOKUP($B255,Miljö!$B$1:$S$500,MATCH("Såld mängd produktionsspecifik fjärrvärme (GWh)",Miljö!$B$1:$R$1,0),FALSE))</f>
        <v>0</v>
      </c>
      <c r="AN255" s="32">
        <f t="shared" si="71"/>
        <v>0.99793081946824846</v>
      </c>
      <c r="AP255" s="31" t="str">
        <f>IFERROR(VLOOKUP($B255,Miljövärden!$B$2:$H$550,7,FALSE),"Nej, saknas")</f>
        <v>Ja</v>
      </c>
      <c r="AQ255" s="31" t="str">
        <f>IFERROR(VLOOKUP($B255,Miljövärden!$B$2:$H$551,6,FALSE),"Nej, saknas")</f>
        <v>Nej</v>
      </c>
      <c r="AU255" s="31">
        <f t="shared" si="72"/>
        <v>13.180199999999999</v>
      </c>
      <c r="AV255" s="31">
        <f t="shared" si="73"/>
        <v>0</v>
      </c>
      <c r="AW255" s="31">
        <f t="shared" si="74"/>
        <v>225.2962</v>
      </c>
      <c r="AX255" s="31">
        <f t="shared" si="75"/>
        <v>0</v>
      </c>
      <c r="AZ255" s="31">
        <f t="shared" si="76"/>
        <v>225.2962</v>
      </c>
      <c r="BC255" s="31">
        <f t="shared" si="77"/>
        <v>6.0591200000000001</v>
      </c>
      <c r="BD255" s="31">
        <f t="shared" si="78"/>
        <v>35.515799999999999</v>
      </c>
      <c r="BE255" s="31">
        <f t="shared" si="79"/>
        <v>225.2962</v>
      </c>
      <c r="BF255" s="31">
        <f t="shared" si="80"/>
        <v>72.900000000000006</v>
      </c>
      <c r="BG255" s="31">
        <f t="shared" si="81"/>
        <v>13.180199999999999</v>
      </c>
      <c r="BH255" s="31">
        <f>VLOOKUP(B255,Miljö!$B$1:$BX$482,MATCH("Fossilandel för ursprungspecificerad el ()",Miljö!$B$1:$I$1,0),FALSE)</f>
        <v>0</v>
      </c>
      <c r="BI255" s="31">
        <f>VLOOKUP(B255,Miljö!$B$1:$BX$482,MATCH("Kärnkraftsandel för ursprungsspecificerad el ()",Miljö!$B$1:$O$1,0),FALSE)</f>
        <v>0</v>
      </c>
      <c r="BJ255" s="31">
        <f t="shared" si="82"/>
        <v>0</v>
      </c>
      <c r="BK255" s="31" t="str">
        <f>VLOOKUP(B255,Miljö!$B$1:$P$482,MATCH("Fossil andel i procent (%)",Miljö!$B$1:$P$1,0),FALSE)</f>
        <v>ET</v>
      </c>
      <c r="BL255" s="31">
        <f t="shared" si="83"/>
        <v>352.95132000000001</v>
      </c>
      <c r="BO255" s="32">
        <f t="shared" si="84"/>
        <v>1.7167013286704808E-2</v>
      </c>
      <c r="BP255" s="32">
        <f t="shared" si="85"/>
        <v>0.10062520803152117</v>
      </c>
      <c r="BQ255" s="32">
        <f t="shared" si="86"/>
        <v>0.67566371475817122</v>
      </c>
      <c r="BR255" s="32">
        <f t="shared" si="87"/>
        <v>0.20654406392360283</v>
      </c>
      <c r="BT255" s="62">
        <f t="shared" si="88"/>
        <v>1</v>
      </c>
      <c r="BW255" s="32">
        <f>IF(AP255="Ja",VLOOKUP(B255,Miljövärden!$B$2:$H$551,MATCH("Total andel fossilt",Miljövärden!$B$2:$H$2,0),FALSE),"")</f>
        <v>1.7167000000000002E-2</v>
      </c>
      <c r="BX255" s="62">
        <f t="shared" si="89"/>
        <v>-1.3286704805826055E-8</v>
      </c>
      <c r="BZ255" s="31">
        <f t="shared" si="90"/>
        <v>-1.3286704805826055E-8</v>
      </c>
      <c r="CA255" s="32">
        <f t="shared" si="91"/>
        <v>0</v>
      </c>
    </row>
    <row r="256" spans="1:79" x14ac:dyDescent="0.45">
      <c r="A256" s="31" t="s">
        <v>342</v>
      </c>
      <c r="B256" s="31" t="s">
        <v>345</v>
      </c>
      <c r="C256" s="31">
        <f>VLOOKUP($B256,'Tillförd energi'!$B$1:$AI$720,MATCH(C$1,'Tillförd energi'!$B$1:$AQ$1,0),FALSE)</f>
        <v>0</v>
      </c>
      <c r="D256" s="31">
        <f>VLOOKUP($B256,'Tillförd energi'!$B$1:$AI$720,MATCH(D$1,'Tillförd energi'!$B$1:$AQ$1,0),FALSE)</f>
        <v>1.63</v>
      </c>
      <c r="E256" s="31">
        <f>VLOOKUP($B256,'Tillförd energi'!$B$1:$AI$720,MATCH(E$1,'Tillförd energi'!$B$1:$AQ$1,0),FALSE)</f>
        <v>0</v>
      </c>
      <c r="F256" s="31">
        <f>VLOOKUP($B256,'Tillförd energi'!$B$1:$AI$720,MATCH(F$1,'Tillförd energi'!$B$1:$AQ$1,0),FALSE)</f>
        <v>0</v>
      </c>
      <c r="G256" s="31">
        <f>VLOOKUP($B256,'Tillförd energi'!$B$1:$AI$720,MATCH(G$1,'Tillförd energi'!$B$1:$AQ$1,0),FALSE)</f>
        <v>0</v>
      </c>
      <c r="H256" s="31">
        <f>VLOOKUP($B256,'Tillförd energi'!$B$1:$AI$720,MATCH(H$1,'Tillförd energi'!$B$1:$AQ$1,0),FALSE)</f>
        <v>0</v>
      </c>
      <c r="I256" s="31">
        <f>VLOOKUP($B256,'Tillförd energi'!$B$1:$AI$720,MATCH(I$1,'Tillförd energi'!$B$1:$AQ$1,0),FALSE)</f>
        <v>0</v>
      </c>
      <c r="J256" s="31">
        <f>VLOOKUP($B256,'Tillförd energi'!$B$1:$AI$720,MATCH(J$1,'Tillförd energi'!$B$1:$AQ$1,0),FALSE)</f>
        <v>0</v>
      </c>
      <c r="K256" s="31">
        <f>VLOOKUP($B256,'Tillförd energi'!$B$1:$AI$720,MATCH(K$1,'Tillförd energi'!$B$1:$AQ$1,0),FALSE)</f>
        <v>0</v>
      </c>
      <c r="L256" s="31">
        <f>VLOOKUP($B256,'Tillförd energi'!$B$1:$AI$720,MATCH(L$1,'Tillförd energi'!$B$1:$AQ$1,0),FALSE)</f>
        <v>0</v>
      </c>
      <c r="M256" s="31">
        <f>VLOOKUP($B256,'Tillförd energi'!$B$1:$AI$720,MATCH(M$1,'Tillförd energi'!$B$1:$AQ$1,0),FALSE)</f>
        <v>0</v>
      </c>
      <c r="N256" s="31">
        <f>VLOOKUP($B256,'Tillförd energi'!$B$1:$AI$720,MATCH(N$1,'Tillförd energi'!$B$1:$AQ$1,0),FALSE)</f>
        <v>0</v>
      </c>
      <c r="O256" s="31">
        <f>VLOOKUP($B256,'Tillförd energi'!$B$1:$AI$720,MATCH(O$1,'Tillförd energi'!$B$1:$AQ$1,0),FALSE)</f>
        <v>0</v>
      </c>
      <c r="P256" s="31">
        <f>VLOOKUP($B256,'Tillförd energi'!$B$1:$AI$720,MATCH(P$1,'Tillförd energi'!$B$1:$AQ$1,0),FALSE)</f>
        <v>0</v>
      </c>
      <c r="Q256" s="31">
        <f>VLOOKUP($B256,'Tillförd energi'!$B$1:$AI$720,MATCH(Q$1,'Tillförd energi'!$B$1:$AQ$1,0),FALSE)</f>
        <v>0</v>
      </c>
      <c r="R256" s="31">
        <f>VLOOKUP($B256,'Tillförd energi'!$B$1:$AI$720,MATCH(R$1,'Tillförd energi'!$B$1:$AQ$1,0),FALSE)</f>
        <v>42.929000000000002</v>
      </c>
      <c r="S256" s="31">
        <f>VLOOKUP($B256,'Tillförd energi'!$B$1:$AI$720,MATCH(S$1,'Tillförd energi'!$B$1:$AQ$1,0),FALSE)</f>
        <v>0</v>
      </c>
      <c r="T256" s="31">
        <f>VLOOKUP($B256,'Tillförd energi'!$B$1:$AI$720,MATCH(T$1,'Tillförd energi'!$B$1:$AQ$1,0),FALSE)</f>
        <v>0</v>
      </c>
      <c r="U256" s="31">
        <f>VLOOKUP($B256,'Tillförd energi'!$B$1:$AI$720,MATCH(U$1,'Tillförd energi'!$B$1:$AQ$1,0),FALSE)</f>
        <v>0</v>
      </c>
      <c r="V256" s="31">
        <f>VLOOKUP($B256,'Tillförd energi'!$B$1:$AI$720,MATCH(V$1,'Tillförd energi'!$B$1:$AQ$1,0),FALSE)</f>
        <v>0</v>
      </c>
      <c r="W256" s="31">
        <f>VLOOKUP($B256,'Tillförd energi'!$B$1:$AI$720,MATCH(W$1,'Tillförd energi'!$B$1:$AQ$1,0),FALSE)</f>
        <v>0</v>
      </c>
      <c r="X256" s="31">
        <f>VLOOKUP($B256,'Tillförd energi'!$B$1:$AI$720,MATCH(X$1,'Tillförd energi'!$B$1:$AQ$1,0),FALSE)</f>
        <v>0</v>
      </c>
      <c r="Y256" s="31">
        <f>VLOOKUP($B256,'Tillförd energi'!$B$1:$AI$720,MATCH(Y$1,'Tillförd energi'!$B$1:$AQ$1,0),FALSE)</f>
        <v>0</v>
      </c>
      <c r="Z256" s="31">
        <f>VLOOKUP($B256,'Tillförd energi'!$B$1:$AI$720,MATCH(Z$1,'Tillförd energi'!$B$1:$AQ$1,0),FALSE)</f>
        <v>0</v>
      </c>
      <c r="AA256" s="31">
        <f>VLOOKUP($B256,'Tillförd energi'!$B$1:$AI$720,MATCH(AA$1,'Tillförd energi'!$B$1:$AQ$1,0),FALSE)</f>
        <v>0</v>
      </c>
      <c r="AB256" s="31">
        <f>VLOOKUP($B256,'Tillförd energi'!$B$1:$AI$720,MATCH(AB$1,'Tillförd energi'!$B$1:$AQ$1,0),FALSE)</f>
        <v>0</v>
      </c>
      <c r="AC256" s="31">
        <f>VLOOKUP($B256,'Tillförd energi'!$B$1:$AI$720,MATCH(AC$1,'Tillförd energi'!$B$1:$AQ$1,0),FALSE)</f>
        <v>0</v>
      </c>
      <c r="AD256" s="31">
        <f>VLOOKUP($B256,'Tillförd energi'!$B$1:$AI$720,MATCH(AD$1,'Tillförd energi'!$B$1:$AQ$1,0),FALSE)</f>
        <v>0</v>
      </c>
      <c r="AE256" s="31">
        <f>VLOOKUP($B256,'Tillförd energi'!$B$1:$AI$720,MATCH(AE$1,'Tillförd energi'!$B$1:$AQ$1,0),FALSE)</f>
        <v>0</v>
      </c>
      <c r="AF256" s="31">
        <f>VLOOKUP($B256,'Tillförd energi'!$B$1:$AI$720,MATCH(AF$1,'Tillförd energi'!$B$1:$AQ$1,0),FALSE)</f>
        <v>0.71099999999999997</v>
      </c>
      <c r="AG256" s="31">
        <f>IFERROR(VLOOKUP(B256,Miljö!$B$1:$AC$550,MATCH("Köpt mängd produktionsspecifik fjärrvärme:",Miljö!$B$1:$AC$1,0),FALSE)/1,0)</f>
        <v>0</v>
      </c>
      <c r="AI256" s="31">
        <f t="shared" si="69"/>
        <v>45.27</v>
      </c>
      <c r="AJ256" s="31">
        <f t="shared" si="70"/>
        <v>45.27</v>
      </c>
      <c r="AK256" s="31">
        <f>IF(ISERROR(1/VLOOKUP($B256,Leveranser!$B$1:$S$499,MATCH("Såld värme (GWh)",Leveranser!$B$1:$S$1,0),FALSE)),"",VLOOKUP($B256,Leveranser!$B$1:$S$499,MATCH("Såld värme (GWh)",Leveranser!$B$1:$S$1,0),FALSE))</f>
        <v>31.312999999999999</v>
      </c>
      <c r="AL256" s="31">
        <f>VLOOKUP($B256,Leveranser!$B$1:$Y$499,MATCH("Totalt såld fjärrvärme till andra fjärrvärmeföretag",Leveranser!$B$1:$AA$1,0),FALSE)</f>
        <v>0</v>
      </c>
      <c r="AM256" s="31">
        <f>IF(ISERROR(1/VLOOKUP($B256,Miljö!$B$1:$S$500,MATCH("Såld mängd produktionsspecifik fjärrvärme (GWh)",Miljö!$B$1:$R$1,0),FALSE)),0,VLOOKUP($B256,Miljö!$B$1:$S$500,MATCH("Såld mängd produktionsspecifik fjärrvärme (GWh)",Miljö!$B$1:$R$1,0),FALSE))</f>
        <v>0</v>
      </c>
      <c r="AN256" s="32">
        <f t="shared" si="71"/>
        <v>0.69169427877181344</v>
      </c>
      <c r="AP256" s="31" t="str">
        <f>IFERROR(VLOOKUP($B256,Miljövärden!$B$2:$H$550,7,FALSE),"Nej, saknas")</f>
        <v>Ja</v>
      </c>
      <c r="AQ256" s="31" t="str">
        <f>IFERROR(VLOOKUP($B256,Miljövärden!$B$2:$H$551,6,FALSE),"Nej, saknas")</f>
        <v>Nej</v>
      </c>
      <c r="AU256" s="31">
        <f t="shared" si="72"/>
        <v>0.71099999999999997</v>
      </c>
      <c r="AV256" s="31">
        <f t="shared" si="73"/>
        <v>0</v>
      </c>
      <c r="AW256" s="31">
        <f t="shared" si="74"/>
        <v>0</v>
      </c>
      <c r="AX256" s="31">
        <f t="shared" si="75"/>
        <v>42.929000000000002</v>
      </c>
      <c r="AZ256" s="31">
        <f t="shared" si="76"/>
        <v>42.929000000000002</v>
      </c>
      <c r="BC256" s="31">
        <f t="shared" si="77"/>
        <v>1.63</v>
      </c>
      <c r="BD256" s="31">
        <f t="shared" si="78"/>
        <v>0</v>
      </c>
      <c r="BE256" s="31">
        <f t="shared" si="79"/>
        <v>42.929000000000002</v>
      </c>
      <c r="BF256" s="31">
        <f t="shared" si="80"/>
        <v>0</v>
      </c>
      <c r="BG256" s="31">
        <f t="shared" si="81"/>
        <v>0.71099999999999997</v>
      </c>
      <c r="BH256" s="31">
        <f>VLOOKUP(B256,Miljö!$B$1:$BX$482,MATCH("Fossilandel för ursprungspecificerad el ()",Miljö!$B$1:$I$1,0),FALSE)</f>
        <v>0</v>
      </c>
      <c r="BI256" s="31">
        <f>VLOOKUP(B256,Miljö!$B$1:$BX$482,MATCH("Kärnkraftsandel för ursprungsspecificerad el ()",Miljö!$B$1:$O$1,0),FALSE)</f>
        <v>0</v>
      </c>
      <c r="BJ256" s="31">
        <f t="shared" si="82"/>
        <v>0</v>
      </c>
      <c r="BK256" s="31" t="str">
        <f>VLOOKUP(B256,Miljö!$B$1:$P$482,MATCH("Fossil andel i procent (%)",Miljö!$B$1:$P$1,0),FALSE)</f>
        <v>ET</v>
      </c>
      <c r="BL256" s="31">
        <f t="shared" si="83"/>
        <v>45.27</v>
      </c>
      <c r="BO256" s="32">
        <f t="shared" si="84"/>
        <v>3.6006185111552902E-2</v>
      </c>
      <c r="BP256" s="32">
        <f t="shared" si="85"/>
        <v>0</v>
      </c>
      <c r="BQ256" s="32">
        <f t="shared" si="86"/>
        <v>0.96399381488844704</v>
      </c>
      <c r="BR256" s="32">
        <f t="shared" si="87"/>
        <v>0</v>
      </c>
      <c r="BT256" s="62">
        <f t="shared" si="88"/>
        <v>1</v>
      </c>
      <c r="BW256" s="32">
        <f>IF(AP256="Ja",VLOOKUP(B256,Miljövärden!$B$2:$H$551,MATCH("Total andel fossilt",Miljövärden!$B$2:$H$2,0),FALSE),"")</f>
        <v>3.6006200000000002E-2</v>
      </c>
      <c r="BX256" s="62">
        <f t="shared" si="89"/>
        <v>1.488844710018089E-8</v>
      </c>
      <c r="BZ256" s="31">
        <f t="shared" si="90"/>
        <v>1.488844710018089E-8</v>
      </c>
      <c r="CA256" s="32">
        <f t="shared" si="91"/>
        <v>0</v>
      </c>
    </row>
    <row r="257" spans="1:79" x14ac:dyDescent="0.45">
      <c r="A257" s="31" t="s">
        <v>342</v>
      </c>
      <c r="B257" s="31" t="s">
        <v>344</v>
      </c>
      <c r="C257" s="31">
        <f>VLOOKUP($B257,'Tillförd energi'!$B$1:$AI$720,MATCH(C$1,'Tillförd energi'!$B$1:$AQ$1,0),FALSE)</f>
        <v>0</v>
      </c>
      <c r="D257" s="31">
        <f>VLOOKUP($B257,'Tillförd energi'!$B$1:$AI$720,MATCH(D$1,'Tillförd energi'!$B$1:$AQ$1,0),FALSE)</f>
        <v>0</v>
      </c>
      <c r="E257" s="31">
        <f>VLOOKUP($B257,'Tillförd energi'!$B$1:$AI$720,MATCH(E$1,'Tillförd energi'!$B$1:$AQ$1,0),FALSE)</f>
        <v>0</v>
      </c>
      <c r="F257" s="31">
        <f>VLOOKUP($B257,'Tillförd energi'!$B$1:$AI$720,MATCH(F$1,'Tillförd energi'!$B$1:$AQ$1,0),FALSE)</f>
        <v>0</v>
      </c>
      <c r="G257" s="31">
        <f>VLOOKUP($B257,'Tillförd energi'!$B$1:$AI$720,MATCH(G$1,'Tillförd energi'!$B$1:$AQ$1,0),FALSE)</f>
        <v>0</v>
      </c>
      <c r="H257" s="31">
        <f>VLOOKUP($B257,'Tillförd energi'!$B$1:$AI$720,MATCH(H$1,'Tillförd energi'!$B$1:$AQ$1,0),FALSE)</f>
        <v>0</v>
      </c>
      <c r="I257" s="31">
        <f>VLOOKUP($B257,'Tillförd energi'!$B$1:$AI$720,MATCH(I$1,'Tillförd energi'!$B$1:$AQ$1,0),FALSE)</f>
        <v>0</v>
      </c>
      <c r="J257" s="31">
        <f>VLOOKUP($B257,'Tillförd energi'!$B$1:$AI$720,MATCH(J$1,'Tillförd energi'!$B$1:$AQ$1,0),FALSE)</f>
        <v>0</v>
      </c>
      <c r="K257" s="31">
        <f>VLOOKUP($B257,'Tillförd energi'!$B$1:$AI$720,MATCH(K$1,'Tillförd energi'!$B$1:$AQ$1,0),FALSE)</f>
        <v>0</v>
      </c>
      <c r="L257" s="31">
        <f>VLOOKUP($B257,'Tillförd energi'!$B$1:$AI$720,MATCH(L$1,'Tillförd energi'!$B$1:$AQ$1,0),FALSE)</f>
        <v>0</v>
      </c>
      <c r="M257" s="31">
        <f>VLOOKUP($B257,'Tillförd energi'!$B$1:$AI$720,MATCH(M$1,'Tillförd energi'!$B$1:$AQ$1,0),FALSE)</f>
        <v>0</v>
      </c>
      <c r="N257" s="31">
        <f>VLOOKUP($B257,'Tillförd energi'!$B$1:$AI$720,MATCH(N$1,'Tillförd energi'!$B$1:$AQ$1,0),FALSE)</f>
        <v>0</v>
      </c>
      <c r="O257" s="31">
        <f>VLOOKUP($B257,'Tillförd energi'!$B$1:$AI$720,MATCH(O$1,'Tillförd energi'!$B$1:$AQ$1,0),FALSE)</f>
        <v>0</v>
      </c>
      <c r="P257" s="31">
        <f>VLOOKUP($B257,'Tillförd energi'!$B$1:$AI$720,MATCH(P$1,'Tillförd energi'!$B$1:$AQ$1,0),FALSE)</f>
        <v>0</v>
      </c>
      <c r="Q257" s="31">
        <f>VLOOKUP($B257,'Tillförd energi'!$B$1:$AI$720,MATCH(Q$1,'Tillförd energi'!$B$1:$AQ$1,0),FALSE)</f>
        <v>0</v>
      </c>
      <c r="R257" s="31">
        <f>VLOOKUP($B257,'Tillförd energi'!$B$1:$AI$720,MATCH(R$1,'Tillförd energi'!$B$1:$AQ$1,0),FALSE)</f>
        <v>0</v>
      </c>
      <c r="S257" s="31">
        <f>VLOOKUP($B257,'Tillförd energi'!$B$1:$AI$720,MATCH(S$1,'Tillförd energi'!$B$1:$AQ$1,0),FALSE)</f>
        <v>0</v>
      </c>
      <c r="T257" s="31">
        <f>VLOOKUP($B257,'Tillförd energi'!$B$1:$AI$720,MATCH(T$1,'Tillförd energi'!$B$1:$AQ$1,0),FALSE)</f>
        <v>0</v>
      </c>
      <c r="U257" s="31">
        <f>VLOOKUP($B257,'Tillförd energi'!$B$1:$AI$720,MATCH(U$1,'Tillförd energi'!$B$1:$AQ$1,0),FALSE)</f>
        <v>0</v>
      </c>
      <c r="V257" s="31">
        <f>VLOOKUP($B257,'Tillförd energi'!$B$1:$AI$720,MATCH(V$1,'Tillförd energi'!$B$1:$AQ$1,0),FALSE)</f>
        <v>0</v>
      </c>
      <c r="W257" s="31">
        <f>VLOOKUP($B257,'Tillförd energi'!$B$1:$AI$720,MATCH(W$1,'Tillförd energi'!$B$1:$AQ$1,0),FALSE)</f>
        <v>0</v>
      </c>
      <c r="X257" s="31">
        <f>VLOOKUP($B257,'Tillförd energi'!$B$1:$AI$720,MATCH(X$1,'Tillförd energi'!$B$1:$AQ$1,0),FALSE)</f>
        <v>0</v>
      </c>
      <c r="Y257" s="31">
        <f>VLOOKUP($B257,'Tillförd energi'!$B$1:$AI$720,MATCH(Y$1,'Tillförd energi'!$B$1:$AQ$1,0),FALSE)</f>
        <v>0</v>
      </c>
      <c r="Z257" s="31">
        <f>VLOOKUP($B257,'Tillförd energi'!$B$1:$AI$720,MATCH(Z$1,'Tillförd energi'!$B$1:$AQ$1,0),FALSE)</f>
        <v>0</v>
      </c>
      <c r="AA257" s="31">
        <f>VLOOKUP($B257,'Tillförd energi'!$B$1:$AI$720,MATCH(AA$1,'Tillförd energi'!$B$1:$AQ$1,0),FALSE)</f>
        <v>0</v>
      </c>
      <c r="AB257" s="31">
        <f>VLOOKUP($B257,'Tillförd energi'!$B$1:$AI$720,MATCH(AB$1,'Tillförd energi'!$B$1:$AQ$1,0),FALSE)</f>
        <v>0</v>
      </c>
      <c r="AC257" s="31">
        <f>VLOOKUP($B257,'Tillförd energi'!$B$1:$AI$720,MATCH(AC$1,'Tillförd energi'!$B$1:$AQ$1,0),FALSE)</f>
        <v>0</v>
      </c>
      <c r="AD257" s="31">
        <f>VLOOKUP($B257,'Tillförd energi'!$B$1:$AI$720,MATCH(AD$1,'Tillförd energi'!$B$1:$AQ$1,0),FALSE)</f>
        <v>38.652999999999999</v>
      </c>
      <c r="AE257" s="31">
        <f>VLOOKUP($B257,'Tillförd energi'!$B$1:$AI$720,MATCH(AE$1,'Tillförd energi'!$B$1:$AQ$1,0),FALSE)</f>
        <v>0</v>
      </c>
      <c r="AF257" s="31">
        <f>VLOOKUP($B257,'Tillförd energi'!$B$1:$AI$720,MATCH(AF$1,'Tillförd energi'!$B$1:$AQ$1,0),FALSE)</f>
        <v>0.97319999999999995</v>
      </c>
      <c r="AG257" s="31">
        <f>IFERROR(VLOOKUP(B257,Miljö!$B$1:$AC$550,MATCH("Köpt mängd produktionsspecifik fjärrvärme:",Miljö!$B$1:$AC$1,0),FALSE)/1,0)</f>
        <v>0</v>
      </c>
      <c r="AI257" s="31">
        <f t="shared" si="69"/>
        <v>39.626199999999997</v>
      </c>
      <c r="AJ257" s="31">
        <f t="shared" si="70"/>
        <v>39.626199999999997</v>
      </c>
      <c r="AK257" s="31">
        <f>IF(ISERROR(1/VLOOKUP($B257,Leveranser!$B$1:$S$499,MATCH("Såld värme (GWh)",Leveranser!$B$1:$S$1,0),FALSE)),"",VLOOKUP($B257,Leveranser!$B$1:$S$499,MATCH("Såld värme (GWh)",Leveranser!$B$1:$S$1,0),FALSE))</f>
        <v>32.44</v>
      </c>
      <c r="AL257" s="31">
        <f>VLOOKUP($B257,Leveranser!$B$1:$Y$499,MATCH("Totalt såld fjärrvärme till andra fjärrvärmeföretag",Leveranser!$B$1:$AA$1,0),FALSE)</f>
        <v>0</v>
      </c>
      <c r="AM257" s="31">
        <f>IF(ISERROR(1/VLOOKUP($B257,Miljö!$B$1:$S$500,MATCH("Såld mängd produktionsspecifik fjärrvärme (GWh)",Miljö!$B$1:$R$1,0),FALSE)),0,VLOOKUP($B257,Miljö!$B$1:$S$500,MATCH("Såld mängd produktionsspecifik fjärrvärme (GWh)",Miljö!$B$1:$R$1,0),FALSE))</f>
        <v>0</v>
      </c>
      <c r="AN257" s="32">
        <f t="shared" si="71"/>
        <v>0.81865028693137365</v>
      </c>
      <c r="AP257" s="31" t="str">
        <f>IFERROR(VLOOKUP($B257,Miljövärden!$B$2:$H$550,7,FALSE),"Nej, saknas")</f>
        <v>Ja</v>
      </c>
      <c r="AQ257" s="31" t="str">
        <f>IFERROR(VLOOKUP($B257,Miljövärden!$B$2:$H$551,6,FALSE),"Nej, saknas")</f>
        <v>Ja</v>
      </c>
      <c r="AU257" s="31">
        <f t="shared" si="72"/>
        <v>0.97319999999999995</v>
      </c>
      <c r="AV257" s="31">
        <f t="shared" si="73"/>
        <v>0</v>
      </c>
      <c r="AW257" s="31">
        <f t="shared" si="74"/>
        <v>0</v>
      </c>
      <c r="AX257" s="31">
        <f t="shared" si="75"/>
        <v>0</v>
      </c>
      <c r="AZ257" s="31">
        <f t="shared" si="76"/>
        <v>0</v>
      </c>
      <c r="BC257" s="31">
        <f t="shared" si="77"/>
        <v>0</v>
      </c>
      <c r="BD257" s="31">
        <f t="shared" si="78"/>
        <v>0</v>
      </c>
      <c r="BE257" s="31">
        <f t="shared" si="79"/>
        <v>0</v>
      </c>
      <c r="BF257" s="31">
        <f t="shared" si="80"/>
        <v>38.652999999999999</v>
      </c>
      <c r="BG257" s="31">
        <f t="shared" si="81"/>
        <v>0.97319999999999995</v>
      </c>
      <c r="BH257" s="31">
        <f>VLOOKUP(B257,Miljö!$B$1:$BX$482,MATCH("Fossilandel för ursprungspecificerad el ()",Miljö!$B$1:$I$1,0),FALSE)</f>
        <v>0</v>
      </c>
      <c r="BI257" s="31">
        <f>VLOOKUP(B257,Miljö!$B$1:$BX$482,MATCH("Kärnkraftsandel för ursprungsspecificerad el ()",Miljö!$B$1:$O$1,0),FALSE)</f>
        <v>0</v>
      </c>
      <c r="BJ257" s="31">
        <f t="shared" si="82"/>
        <v>0</v>
      </c>
      <c r="BK257" s="31" t="str">
        <f>VLOOKUP(B257,Miljö!$B$1:$P$482,MATCH("Fossil andel i procent (%)",Miljö!$B$1:$P$1,0),FALSE)</f>
        <v>ET</v>
      </c>
      <c r="BL257" s="31">
        <f t="shared" si="83"/>
        <v>39.626199999999997</v>
      </c>
      <c r="BO257" s="32">
        <f t="shared" si="84"/>
        <v>0</v>
      </c>
      <c r="BP257" s="32">
        <f t="shared" si="85"/>
        <v>0</v>
      </c>
      <c r="BQ257" s="32">
        <f t="shared" si="86"/>
        <v>2.4559508607941212E-2</v>
      </c>
      <c r="BR257" s="32">
        <f t="shared" si="87"/>
        <v>0.97544049139205879</v>
      </c>
      <c r="BT257" s="62">
        <f t="shared" si="88"/>
        <v>1</v>
      </c>
      <c r="BW257" s="32">
        <f>IF(AP257="Ja",VLOOKUP(B257,Miljövärden!$B$2:$H$551,MATCH("Total andel fossilt",Miljövärden!$B$2:$H$2,0),FALSE),"")</f>
        <v>0</v>
      </c>
      <c r="BX257" s="62">
        <f t="shared" si="89"/>
        <v>0</v>
      </c>
      <c r="BZ257" s="31">
        <f t="shared" si="90"/>
        <v>0</v>
      </c>
      <c r="CA257" s="32">
        <f t="shared" si="91"/>
        <v>0</v>
      </c>
    </row>
    <row r="258" spans="1:79" x14ac:dyDescent="0.45">
      <c r="A258" s="31" t="s">
        <v>342</v>
      </c>
      <c r="B258" s="31" t="s">
        <v>343</v>
      </c>
      <c r="C258" s="31">
        <f>VLOOKUP($B258,'Tillförd energi'!$B$1:$AI$720,MATCH(C$1,'Tillförd energi'!$B$1:$AQ$1,0),FALSE)</f>
        <v>0</v>
      </c>
      <c r="D258" s="31">
        <f>VLOOKUP($B258,'Tillförd energi'!$B$1:$AI$720,MATCH(D$1,'Tillförd energi'!$B$1:$AQ$1,0),FALSE)</f>
        <v>0.56100000000000005</v>
      </c>
      <c r="E258" s="31">
        <f>VLOOKUP($B258,'Tillförd energi'!$B$1:$AI$720,MATCH(E$1,'Tillförd energi'!$B$1:$AQ$1,0),FALSE)</f>
        <v>0</v>
      </c>
      <c r="F258" s="31">
        <f>VLOOKUP($B258,'Tillförd energi'!$B$1:$AI$720,MATCH(F$1,'Tillförd energi'!$B$1:$AQ$1,0),FALSE)</f>
        <v>0</v>
      </c>
      <c r="G258" s="31">
        <f>VLOOKUP($B258,'Tillförd energi'!$B$1:$AI$720,MATCH(G$1,'Tillförd energi'!$B$1:$AQ$1,0),FALSE)</f>
        <v>0</v>
      </c>
      <c r="H258" s="31">
        <f>VLOOKUP($B258,'Tillförd energi'!$B$1:$AI$720,MATCH(H$1,'Tillförd energi'!$B$1:$AQ$1,0),FALSE)</f>
        <v>0</v>
      </c>
      <c r="I258" s="31">
        <f>VLOOKUP($B258,'Tillförd energi'!$B$1:$AI$720,MATCH(I$1,'Tillförd energi'!$B$1:$AQ$1,0),FALSE)</f>
        <v>0</v>
      </c>
      <c r="J258" s="31">
        <f>VLOOKUP($B258,'Tillförd energi'!$B$1:$AI$720,MATCH(J$1,'Tillförd energi'!$B$1:$AQ$1,0),FALSE)</f>
        <v>0</v>
      </c>
      <c r="K258" s="31">
        <f>VLOOKUP($B258,'Tillförd energi'!$B$1:$AI$720,MATCH(K$1,'Tillförd energi'!$B$1:$AQ$1,0),FALSE)</f>
        <v>0</v>
      </c>
      <c r="L258" s="31">
        <f>VLOOKUP($B258,'Tillförd energi'!$B$1:$AI$720,MATCH(L$1,'Tillförd energi'!$B$1:$AQ$1,0),FALSE)</f>
        <v>0</v>
      </c>
      <c r="M258" s="31">
        <f>VLOOKUP($B258,'Tillförd energi'!$B$1:$AI$720,MATCH(M$1,'Tillförd energi'!$B$1:$AQ$1,0),FALSE)</f>
        <v>0</v>
      </c>
      <c r="N258" s="31">
        <f>VLOOKUP($B258,'Tillförd energi'!$B$1:$AI$720,MATCH(N$1,'Tillförd energi'!$B$1:$AQ$1,0),FALSE)</f>
        <v>0</v>
      </c>
      <c r="O258" s="31">
        <f>VLOOKUP($B258,'Tillförd energi'!$B$1:$AI$720,MATCH(O$1,'Tillförd energi'!$B$1:$AQ$1,0),FALSE)</f>
        <v>0</v>
      </c>
      <c r="P258" s="31">
        <f>VLOOKUP($B258,'Tillförd energi'!$B$1:$AI$720,MATCH(P$1,'Tillförd energi'!$B$1:$AQ$1,0),FALSE)</f>
        <v>0</v>
      </c>
      <c r="Q258" s="31">
        <f>VLOOKUP($B258,'Tillförd energi'!$B$1:$AI$720,MATCH(Q$1,'Tillförd energi'!$B$1:$AQ$1,0),FALSE)</f>
        <v>0</v>
      </c>
      <c r="R258" s="31">
        <f>VLOOKUP($B258,'Tillförd energi'!$B$1:$AI$720,MATCH(R$1,'Tillförd energi'!$B$1:$AQ$1,0),FALSE)</f>
        <v>20.992000000000001</v>
      </c>
      <c r="S258" s="31">
        <f>VLOOKUP($B258,'Tillförd energi'!$B$1:$AI$720,MATCH(S$1,'Tillförd energi'!$B$1:$AQ$1,0),FALSE)</f>
        <v>0</v>
      </c>
      <c r="T258" s="31">
        <f>VLOOKUP($B258,'Tillförd energi'!$B$1:$AI$720,MATCH(T$1,'Tillförd energi'!$B$1:$AQ$1,0),FALSE)</f>
        <v>0</v>
      </c>
      <c r="U258" s="31">
        <f>VLOOKUP($B258,'Tillförd energi'!$B$1:$AI$720,MATCH(U$1,'Tillförd energi'!$B$1:$AQ$1,0),FALSE)</f>
        <v>0</v>
      </c>
      <c r="V258" s="31">
        <f>VLOOKUP($B258,'Tillförd energi'!$B$1:$AI$720,MATCH(V$1,'Tillförd energi'!$B$1:$AQ$1,0),FALSE)</f>
        <v>0</v>
      </c>
      <c r="W258" s="31">
        <f>VLOOKUP($B258,'Tillförd energi'!$B$1:$AI$720,MATCH(W$1,'Tillförd energi'!$B$1:$AQ$1,0),FALSE)</f>
        <v>0</v>
      </c>
      <c r="X258" s="31">
        <f>VLOOKUP($B258,'Tillförd energi'!$B$1:$AI$720,MATCH(X$1,'Tillförd energi'!$B$1:$AQ$1,0),FALSE)</f>
        <v>0</v>
      </c>
      <c r="Y258" s="31">
        <f>VLOOKUP($B258,'Tillförd energi'!$B$1:$AI$720,MATCH(Y$1,'Tillförd energi'!$B$1:$AQ$1,0),FALSE)</f>
        <v>0</v>
      </c>
      <c r="Z258" s="31">
        <f>VLOOKUP($B258,'Tillförd energi'!$B$1:$AI$720,MATCH(Z$1,'Tillförd energi'!$B$1:$AQ$1,0),FALSE)</f>
        <v>0</v>
      </c>
      <c r="AA258" s="31">
        <f>VLOOKUP($B258,'Tillförd energi'!$B$1:$AI$720,MATCH(AA$1,'Tillförd energi'!$B$1:$AQ$1,0),FALSE)</f>
        <v>0</v>
      </c>
      <c r="AB258" s="31">
        <f>VLOOKUP($B258,'Tillförd energi'!$B$1:$AI$720,MATCH(AB$1,'Tillförd energi'!$B$1:$AQ$1,0),FALSE)</f>
        <v>0</v>
      </c>
      <c r="AC258" s="31">
        <f>VLOOKUP($B258,'Tillförd energi'!$B$1:$AI$720,MATCH(AC$1,'Tillförd energi'!$B$1:$AQ$1,0),FALSE)</f>
        <v>0</v>
      </c>
      <c r="AD258" s="31">
        <f>VLOOKUP($B258,'Tillförd energi'!$B$1:$AI$720,MATCH(AD$1,'Tillförd energi'!$B$1:$AQ$1,0),FALSE)</f>
        <v>0</v>
      </c>
      <c r="AE258" s="31">
        <f>VLOOKUP($B258,'Tillförd energi'!$B$1:$AI$720,MATCH(AE$1,'Tillförd energi'!$B$1:$AQ$1,0),FALSE)</f>
        <v>0</v>
      </c>
      <c r="AF258" s="31">
        <f>VLOOKUP($B258,'Tillförd energi'!$B$1:$AI$720,MATCH(AF$1,'Tillförd energi'!$B$1:$AQ$1,0),FALSE)</f>
        <v>0.152</v>
      </c>
      <c r="AG258" s="31">
        <f>IFERROR(VLOOKUP(B258,Miljö!$B$1:$AC$550,MATCH("Köpt mängd produktionsspecifik fjärrvärme:",Miljö!$B$1:$AC$1,0),FALSE)/1,0)</f>
        <v>0</v>
      </c>
      <c r="AI258" s="31">
        <f t="shared" si="69"/>
        <v>21.705000000000002</v>
      </c>
      <c r="AJ258" s="31">
        <f t="shared" si="70"/>
        <v>21.705000000000002</v>
      </c>
      <c r="AK258" s="31">
        <f>IF(ISERROR(1/VLOOKUP($B258,Leveranser!$B$1:$S$499,MATCH("Såld värme (GWh)",Leveranser!$B$1:$S$1,0),FALSE)),"",VLOOKUP($B258,Leveranser!$B$1:$S$499,MATCH("Såld värme (GWh)",Leveranser!$B$1:$S$1,0),FALSE))</f>
        <v>14.087</v>
      </c>
      <c r="AL258" s="31">
        <f>VLOOKUP($B258,Leveranser!$B$1:$Y$499,MATCH("Totalt såld fjärrvärme till andra fjärrvärmeföretag",Leveranser!$B$1:$AA$1,0),FALSE)</f>
        <v>0</v>
      </c>
      <c r="AM258" s="31">
        <f>IF(ISERROR(1/VLOOKUP($B258,Miljö!$B$1:$S$500,MATCH("Såld mängd produktionsspecifik fjärrvärme (GWh)",Miljö!$B$1:$R$1,0),FALSE)),0,VLOOKUP($B258,Miljö!$B$1:$S$500,MATCH("Såld mängd produktionsspecifik fjärrvärme (GWh)",Miljö!$B$1:$R$1,0),FALSE))</f>
        <v>0</v>
      </c>
      <c r="AN258" s="32">
        <f t="shared" si="71"/>
        <v>0.64902096291177136</v>
      </c>
      <c r="AP258" s="31" t="str">
        <f>IFERROR(VLOOKUP($B258,Miljövärden!$B$2:$H$550,7,FALSE),"Nej, saknas")</f>
        <v>Ja</v>
      </c>
      <c r="AQ258" s="31" t="str">
        <f>IFERROR(VLOOKUP($B258,Miljövärden!$B$2:$H$551,6,FALSE),"Nej, saknas")</f>
        <v>Nej</v>
      </c>
      <c r="AU258" s="31">
        <f t="shared" si="72"/>
        <v>0.152</v>
      </c>
      <c r="AV258" s="31">
        <f t="shared" si="73"/>
        <v>0</v>
      </c>
      <c r="AW258" s="31">
        <f t="shared" si="74"/>
        <v>0</v>
      </c>
      <c r="AX258" s="31">
        <f t="shared" si="75"/>
        <v>20.992000000000001</v>
      </c>
      <c r="AZ258" s="31">
        <f t="shared" si="76"/>
        <v>20.992000000000001</v>
      </c>
      <c r="BC258" s="31">
        <f t="shared" si="77"/>
        <v>0.56100000000000005</v>
      </c>
      <c r="BD258" s="31">
        <f t="shared" si="78"/>
        <v>0</v>
      </c>
      <c r="BE258" s="31">
        <f t="shared" si="79"/>
        <v>20.992000000000001</v>
      </c>
      <c r="BF258" s="31">
        <f t="shared" si="80"/>
        <v>0</v>
      </c>
      <c r="BG258" s="31">
        <f t="shared" si="81"/>
        <v>0.152</v>
      </c>
      <c r="BH258" s="31">
        <f>VLOOKUP(B258,Miljö!$B$1:$BX$482,MATCH("Fossilandel för ursprungspecificerad el ()",Miljö!$B$1:$I$1,0),FALSE)</f>
        <v>0</v>
      </c>
      <c r="BI258" s="31">
        <f>VLOOKUP(B258,Miljö!$B$1:$BX$482,MATCH("Kärnkraftsandel för ursprungsspecificerad el ()",Miljö!$B$1:$O$1,0),FALSE)</f>
        <v>0</v>
      </c>
      <c r="BJ258" s="31">
        <f t="shared" si="82"/>
        <v>0</v>
      </c>
      <c r="BK258" s="31" t="str">
        <f>VLOOKUP(B258,Miljö!$B$1:$P$482,MATCH("Fossil andel i procent (%)",Miljö!$B$1:$P$1,0),FALSE)</f>
        <v>ET</v>
      </c>
      <c r="BL258" s="31">
        <f t="shared" si="83"/>
        <v>21.705000000000002</v>
      </c>
      <c r="BO258" s="32">
        <f t="shared" si="84"/>
        <v>2.5846579129232897E-2</v>
      </c>
      <c r="BP258" s="32">
        <f t="shared" si="85"/>
        <v>0</v>
      </c>
      <c r="BQ258" s="32">
        <f t="shared" si="86"/>
        <v>0.97415342087076706</v>
      </c>
      <c r="BR258" s="32">
        <f t="shared" si="87"/>
        <v>0</v>
      </c>
      <c r="BT258" s="62">
        <f t="shared" si="88"/>
        <v>1</v>
      </c>
      <c r="BW258" s="32">
        <f>IF(AP258="Ja",VLOOKUP(B258,Miljövärden!$B$2:$H$551,MATCH("Total andel fossilt",Miljövärden!$B$2:$H$2,0),FALSE),"")</f>
        <v>2.5846600000000001E-2</v>
      </c>
      <c r="BX258" s="62">
        <f t="shared" si="89"/>
        <v>2.0870767104136378E-8</v>
      </c>
      <c r="BZ258" s="31">
        <f t="shared" si="90"/>
        <v>2.0870767104136378E-8</v>
      </c>
      <c r="CA258" s="32">
        <f t="shared" si="91"/>
        <v>0</v>
      </c>
    </row>
    <row r="259" spans="1:79" x14ac:dyDescent="0.45">
      <c r="A259" s="31" t="s">
        <v>342</v>
      </c>
      <c r="B259" s="31" t="s">
        <v>341</v>
      </c>
      <c r="C259" s="31">
        <f>VLOOKUP($B259,'Tillförd energi'!$B$1:$AI$720,MATCH(C$1,'Tillförd energi'!$B$1:$AQ$1,0),FALSE)</f>
        <v>0</v>
      </c>
      <c r="D259" s="31">
        <f>VLOOKUP($B259,'Tillförd energi'!$B$1:$AI$720,MATCH(D$1,'Tillförd energi'!$B$1:$AQ$1,0),FALSE)</f>
        <v>2.8000000000000001E-2</v>
      </c>
      <c r="E259" s="31">
        <f>VLOOKUP($B259,'Tillförd energi'!$B$1:$AI$720,MATCH(E$1,'Tillförd energi'!$B$1:$AQ$1,0),FALSE)</f>
        <v>0</v>
      </c>
      <c r="F259" s="31">
        <f>VLOOKUP($B259,'Tillförd energi'!$B$1:$AI$720,MATCH(F$1,'Tillförd energi'!$B$1:$AQ$1,0),FALSE)</f>
        <v>0</v>
      </c>
      <c r="G259" s="31">
        <f>VLOOKUP($B259,'Tillförd energi'!$B$1:$AI$720,MATCH(G$1,'Tillförd energi'!$B$1:$AQ$1,0),FALSE)</f>
        <v>0</v>
      </c>
      <c r="H259" s="31">
        <f>VLOOKUP($B259,'Tillförd energi'!$B$1:$AI$720,MATCH(H$1,'Tillförd energi'!$B$1:$AQ$1,0),FALSE)</f>
        <v>0</v>
      </c>
      <c r="I259" s="31">
        <f>VLOOKUP($B259,'Tillförd energi'!$B$1:$AI$720,MATCH(I$1,'Tillförd energi'!$B$1:$AQ$1,0),FALSE)</f>
        <v>0</v>
      </c>
      <c r="J259" s="31">
        <f>VLOOKUP($B259,'Tillförd energi'!$B$1:$AI$720,MATCH(J$1,'Tillförd energi'!$B$1:$AQ$1,0),FALSE)</f>
        <v>0</v>
      </c>
      <c r="K259" s="31">
        <f>VLOOKUP($B259,'Tillförd energi'!$B$1:$AI$720,MATCH(K$1,'Tillförd energi'!$B$1:$AQ$1,0),FALSE)</f>
        <v>0</v>
      </c>
      <c r="L259" s="31">
        <f>VLOOKUP($B259,'Tillförd energi'!$B$1:$AI$720,MATCH(L$1,'Tillförd energi'!$B$1:$AQ$1,0),FALSE)</f>
        <v>0</v>
      </c>
      <c r="M259" s="31">
        <f>VLOOKUP($B259,'Tillförd energi'!$B$1:$AI$720,MATCH(M$1,'Tillförd energi'!$B$1:$AQ$1,0),FALSE)</f>
        <v>0</v>
      </c>
      <c r="N259" s="31">
        <f>VLOOKUP($B259,'Tillförd energi'!$B$1:$AI$720,MATCH(N$1,'Tillförd energi'!$B$1:$AQ$1,0),FALSE)</f>
        <v>0</v>
      </c>
      <c r="O259" s="31">
        <f>VLOOKUP($B259,'Tillförd energi'!$B$1:$AI$720,MATCH(O$1,'Tillförd energi'!$B$1:$AQ$1,0),FALSE)</f>
        <v>0</v>
      </c>
      <c r="P259" s="31">
        <f>VLOOKUP($B259,'Tillförd energi'!$B$1:$AI$720,MATCH(P$1,'Tillförd energi'!$B$1:$AQ$1,0),FALSE)</f>
        <v>0</v>
      </c>
      <c r="Q259" s="31">
        <f>VLOOKUP($B259,'Tillförd energi'!$B$1:$AI$720,MATCH(Q$1,'Tillförd energi'!$B$1:$AQ$1,0),FALSE)</f>
        <v>0</v>
      </c>
      <c r="R259" s="31">
        <f>VLOOKUP($B259,'Tillförd energi'!$B$1:$AI$720,MATCH(R$1,'Tillförd energi'!$B$1:$AQ$1,0),FALSE)</f>
        <v>4.1760000000000002</v>
      </c>
      <c r="S259" s="31">
        <f>VLOOKUP($B259,'Tillförd energi'!$B$1:$AI$720,MATCH(S$1,'Tillförd energi'!$B$1:$AQ$1,0),FALSE)</f>
        <v>0</v>
      </c>
      <c r="T259" s="31">
        <f>VLOOKUP($B259,'Tillförd energi'!$B$1:$AI$720,MATCH(T$1,'Tillförd energi'!$B$1:$AQ$1,0),FALSE)</f>
        <v>0</v>
      </c>
      <c r="U259" s="31">
        <f>VLOOKUP($B259,'Tillförd energi'!$B$1:$AI$720,MATCH(U$1,'Tillförd energi'!$B$1:$AQ$1,0),FALSE)</f>
        <v>0</v>
      </c>
      <c r="V259" s="31">
        <f>VLOOKUP($B259,'Tillförd energi'!$B$1:$AI$720,MATCH(V$1,'Tillförd energi'!$B$1:$AQ$1,0),FALSE)</f>
        <v>0</v>
      </c>
      <c r="W259" s="31">
        <f>VLOOKUP($B259,'Tillförd energi'!$B$1:$AI$720,MATCH(W$1,'Tillförd energi'!$B$1:$AQ$1,0),FALSE)</f>
        <v>0</v>
      </c>
      <c r="X259" s="31">
        <f>VLOOKUP($B259,'Tillförd energi'!$B$1:$AI$720,MATCH(X$1,'Tillförd energi'!$B$1:$AQ$1,0),FALSE)</f>
        <v>0</v>
      </c>
      <c r="Y259" s="31">
        <f>VLOOKUP($B259,'Tillförd energi'!$B$1:$AI$720,MATCH(Y$1,'Tillförd energi'!$B$1:$AQ$1,0),FALSE)</f>
        <v>0</v>
      </c>
      <c r="Z259" s="31">
        <f>VLOOKUP($B259,'Tillförd energi'!$B$1:$AI$720,MATCH(Z$1,'Tillförd energi'!$B$1:$AQ$1,0),FALSE)</f>
        <v>0</v>
      </c>
      <c r="AA259" s="31">
        <f>VLOOKUP($B259,'Tillförd energi'!$B$1:$AI$720,MATCH(AA$1,'Tillförd energi'!$B$1:$AQ$1,0),FALSE)</f>
        <v>0</v>
      </c>
      <c r="AB259" s="31">
        <f>VLOOKUP($B259,'Tillförd energi'!$B$1:$AI$720,MATCH(AB$1,'Tillförd energi'!$B$1:$AQ$1,0),FALSE)</f>
        <v>0</v>
      </c>
      <c r="AC259" s="31">
        <f>VLOOKUP($B259,'Tillförd energi'!$B$1:$AI$720,MATCH(AC$1,'Tillförd energi'!$B$1:$AQ$1,0),FALSE)</f>
        <v>0</v>
      </c>
      <c r="AD259" s="31">
        <f>VLOOKUP($B259,'Tillförd energi'!$B$1:$AI$720,MATCH(AD$1,'Tillförd energi'!$B$1:$AQ$1,0),FALSE)</f>
        <v>0</v>
      </c>
      <c r="AE259" s="31">
        <f>VLOOKUP($B259,'Tillförd energi'!$B$1:$AI$720,MATCH(AE$1,'Tillförd energi'!$B$1:$AQ$1,0),FALSE)</f>
        <v>0</v>
      </c>
      <c r="AF259" s="31">
        <f>VLOOKUP($B259,'Tillförd energi'!$B$1:$AI$720,MATCH(AF$1,'Tillförd energi'!$B$1:$AQ$1,0),FALSE)</f>
        <v>4.9000000000000002E-2</v>
      </c>
      <c r="AG259" s="31">
        <f>IFERROR(VLOOKUP(B259,Miljö!$B$1:$AC$550,MATCH("Köpt mängd produktionsspecifik fjärrvärme:",Miljö!$B$1:$AC$1,0),FALSE)/1,0)</f>
        <v>0</v>
      </c>
      <c r="AI259" s="31">
        <f t="shared" ref="AI259:AI322" si="92">SUM(C259:AF259)</f>
        <v>4.2530000000000001</v>
      </c>
      <c r="AJ259" s="31">
        <f t="shared" ref="AJ259:AJ322" si="93">SUM(C259:AG259)</f>
        <v>4.2530000000000001</v>
      </c>
      <c r="AK259" s="31">
        <f>IF(ISERROR(1/VLOOKUP($B259,Leveranser!$B$1:$S$499,MATCH("Såld värme (GWh)",Leveranser!$B$1:$S$1,0),FALSE)),"",VLOOKUP($B259,Leveranser!$B$1:$S$499,MATCH("Såld värme (GWh)",Leveranser!$B$1:$S$1,0),FALSE))</f>
        <v>2.7869999999999999</v>
      </c>
      <c r="AL259" s="31">
        <f>VLOOKUP($B259,Leveranser!$B$1:$Y$499,MATCH("Totalt såld fjärrvärme till andra fjärrvärmeföretag",Leveranser!$B$1:$AA$1,0),FALSE)</f>
        <v>0</v>
      </c>
      <c r="AM259" s="31">
        <f>IF(ISERROR(1/VLOOKUP($B259,Miljö!$B$1:$S$500,MATCH("Såld mängd produktionsspecifik fjärrvärme (GWh)",Miljö!$B$1:$R$1,0),FALSE)),0,VLOOKUP($B259,Miljö!$B$1:$S$500,MATCH("Såld mängd produktionsspecifik fjärrvärme (GWh)",Miljö!$B$1:$R$1,0),FALSE))</f>
        <v>0</v>
      </c>
      <c r="AN259" s="32">
        <f t="shared" ref="AN259:AN322" si="94">IFERROR(AK259/AJ259,"")</f>
        <v>0.65530213966611794</v>
      </c>
      <c r="AP259" s="31" t="str">
        <f>IFERROR(VLOOKUP($B259,Miljövärden!$B$2:$H$550,7,FALSE),"Nej, saknas")</f>
        <v>Ja</v>
      </c>
      <c r="AQ259" s="31" t="str">
        <f>IFERROR(VLOOKUP($B259,Miljövärden!$B$2:$H$551,6,FALSE),"Nej, saknas")</f>
        <v>Nej</v>
      </c>
      <c r="AU259" s="31">
        <f t="shared" ref="AU259:AU322" si="95">Z259+AA259+AF259</f>
        <v>4.9000000000000002E-2</v>
      </c>
      <c r="AV259" s="31">
        <f t="shared" ref="AV259:AV322" si="96">X259</f>
        <v>0</v>
      </c>
      <c r="AW259" s="31">
        <f t="shared" ref="AW259:AW322" si="97">M259+N259+O259+P259+Q259</f>
        <v>0</v>
      </c>
      <c r="AX259" s="31">
        <f t="shared" ref="AX259:AX322" si="98">R259+S259+T259+U259</f>
        <v>4.1760000000000002</v>
      </c>
      <c r="AZ259" s="31">
        <f t="shared" ref="AZ259:AZ322" si="99">L259+M259+N259+O259+P259+Q259+R259+S259+T259+U259+V259+W259+X259</f>
        <v>4.1760000000000002</v>
      </c>
      <c r="BC259" s="31">
        <f t="shared" ref="BC259:BC322" si="100">C259+D259+E259+F259+G259+H259+AE259</f>
        <v>2.8000000000000001E-2</v>
      </c>
      <c r="BD259" s="31">
        <f t="shared" ref="BD259:BD322" si="101">Y259</f>
        <v>0</v>
      </c>
      <c r="BE259" s="31">
        <f t="shared" ref="BE259:BE322" si="102">M259+N259+O259+P259+Q259+R259+S259+T259+U259+V259+W259+X259</f>
        <v>4.1760000000000002</v>
      </c>
      <c r="BF259" s="31">
        <f t="shared" ref="BF259:BF322" si="103">I259+J259+K259+L259+AB259+AC259+AD259</f>
        <v>0</v>
      </c>
      <c r="BG259" s="31">
        <f t="shared" ref="BG259:BG322" si="104">Z259+AA259+AF259</f>
        <v>4.9000000000000002E-2</v>
      </c>
      <c r="BH259" s="31">
        <f>VLOOKUP(B259,Miljö!$B$1:$BX$482,MATCH("Fossilandel för ursprungspecificerad el ()",Miljö!$B$1:$I$1,0),FALSE)</f>
        <v>0</v>
      </c>
      <c r="BI259" s="31">
        <f>VLOOKUP(B259,Miljö!$B$1:$BX$482,MATCH("Kärnkraftsandel för ursprungsspecificerad el ()",Miljö!$B$1:$O$1,0),FALSE)</f>
        <v>0</v>
      </c>
      <c r="BJ259" s="31">
        <f t="shared" ref="BJ259:BJ322" si="105">AG259</f>
        <v>0</v>
      </c>
      <c r="BK259" s="31" t="str">
        <f>VLOOKUP(B259,Miljö!$B$1:$P$482,MATCH("Fossil andel i procent (%)",Miljö!$B$1:$P$1,0),FALSE)</f>
        <v>ET</v>
      </c>
      <c r="BL259" s="31">
        <f t="shared" ref="BL259:BL322" si="106">SUM(BC259:BG259,BJ259)</f>
        <v>4.2530000000000001</v>
      </c>
      <c r="BO259" s="32">
        <f t="shared" ref="BO259:BO322" si="107">IF(AP259="ja",(BC259+IFERROR(BG259*BH259,0)+IFERROR(BJ259*BK259/100,0))/$BL259,"")</f>
        <v>6.5835880554902422E-3</v>
      </c>
      <c r="BP259" s="32">
        <f t="shared" ref="BP259:BP322" si="108">IF(AP259="ja",(BD259+IFERROR(BG259*BI259,0)+IFERROR(BJ259*(1-BK259/100),0))/$BL259,"")</f>
        <v>0</v>
      </c>
      <c r="BQ259" s="32">
        <f t="shared" ref="BQ259:BQ322" si="109">IF(AP259="ja",(BE259+IFERROR(BG259*(1-BH259-BI259),0))/$BL259,"")</f>
        <v>0.9934164119445098</v>
      </c>
      <c r="BR259" s="32">
        <f t="shared" ref="BR259:BR322" si="110">IF(AP259="Ja",BF259/$BL259,"")</f>
        <v>0</v>
      </c>
      <c r="BT259" s="62">
        <f t="shared" ref="BT259:BT322" si="111">SUM(BO259:BR259)</f>
        <v>1</v>
      </c>
      <c r="BW259" s="32">
        <f>IF(AP259="Ja",VLOOKUP(B259,Miljövärden!$B$2:$H$551,MATCH("Total andel fossilt",Miljövärden!$B$2:$H$2,0),FALSE),"")</f>
        <v>6.5835900000000003E-3</v>
      </c>
      <c r="BX259" s="62">
        <f t="shared" ref="BX259:BX322" si="112">BW259-BO259</f>
        <v>1.9445097580728099E-9</v>
      </c>
      <c r="BZ259" s="31">
        <f t="shared" ref="BZ259:BZ322" si="113">IFERROR(BW259-BO259,"")</f>
        <v>1.9445097580728099E-9</v>
      </c>
      <c r="CA259" s="32">
        <f t="shared" ref="CA259:CA322" si="114">IFERROR(ROUND(BW259,3)-ROUND(BO259,3),"")</f>
        <v>0</v>
      </c>
    </row>
    <row r="260" spans="1:79" x14ac:dyDescent="0.45">
      <c r="A260" s="31" t="s">
        <v>336</v>
      </c>
      <c r="B260" s="31" t="s">
        <v>340</v>
      </c>
      <c r="C260" s="31">
        <f>VLOOKUP($B260,'Tillförd energi'!$B$1:$AI$720,MATCH(C$1,'Tillförd energi'!$B$1:$AQ$1,0),FALSE)</f>
        <v>0</v>
      </c>
      <c r="D260" s="31">
        <f>VLOOKUP($B260,'Tillförd energi'!$B$1:$AI$720,MATCH(D$1,'Tillförd energi'!$B$1:$AQ$1,0),FALSE)</f>
        <v>6.7000000000000004E-2</v>
      </c>
      <c r="E260" s="31">
        <f>VLOOKUP($B260,'Tillförd energi'!$B$1:$AI$720,MATCH(E$1,'Tillförd energi'!$B$1:$AQ$1,0),FALSE)</f>
        <v>0</v>
      </c>
      <c r="F260" s="31">
        <f>VLOOKUP($B260,'Tillförd energi'!$B$1:$AI$720,MATCH(F$1,'Tillförd energi'!$B$1:$AQ$1,0),FALSE)</f>
        <v>0</v>
      </c>
      <c r="G260" s="31">
        <f>VLOOKUP($B260,'Tillförd energi'!$B$1:$AI$720,MATCH(G$1,'Tillförd energi'!$B$1:$AQ$1,0),FALSE)</f>
        <v>0</v>
      </c>
      <c r="H260" s="31">
        <f>VLOOKUP($B260,'Tillförd energi'!$B$1:$AI$720,MATCH(H$1,'Tillförd energi'!$B$1:$AQ$1,0),FALSE)</f>
        <v>0</v>
      </c>
      <c r="I260" s="31">
        <f>VLOOKUP($B260,'Tillförd energi'!$B$1:$AI$720,MATCH(I$1,'Tillförd energi'!$B$1:$AQ$1,0),FALSE)</f>
        <v>0</v>
      </c>
      <c r="J260" s="31">
        <f>VLOOKUP($B260,'Tillförd energi'!$B$1:$AI$720,MATCH(J$1,'Tillförd energi'!$B$1:$AQ$1,0),FALSE)</f>
        <v>0</v>
      </c>
      <c r="K260" s="31">
        <f>VLOOKUP($B260,'Tillförd energi'!$B$1:$AI$720,MATCH(K$1,'Tillförd energi'!$B$1:$AQ$1,0),FALSE)</f>
        <v>0</v>
      </c>
      <c r="L260" s="31">
        <f>VLOOKUP($B260,'Tillförd energi'!$B$1:$AI$720,MATCH(L$1,'Tillförd energi'!$B$1:$AQ$1,0),FALSE)</f>
        <v>0</v>
      </c>
      <c r="M260" s="31">
        <f>VLOOKUP($B260,'Tillförd energi'!$B$1:$AI$720,MATCH(M$1,'Tillförd energi'!$B$1:$AQ$1,0),FALSE)</f>
        <v>0</v>
      </c>
      <c r="N260" s="31">
        <f>VLOOKUP($B260,'Tillförd energi'!$B$1:$AI$720,MATCH(N$1,'Tillförd energi'!$B$1:$AQ$1,0),FALSE)</f>
        <v>0</v>
      </c>
      <c r="O260" s="31">
        <f>VLOOKUP($B260,'Tillförd energi'!$B$1:$AI$720,MATCH(O$1,'Tillförd energi'!$B$1:$AQ$1,0),FALSE)</f>
        <v>0</v>
      </c>
      <c r="P260" s="31">
        <f>VLOOKUP($B260,'Tillförd energi'!$B$1:$AI$720,MATCH(P$1,'Tillförd energi'!$B$1:$AQ$1,0),FALSE)</f>
        <v>0</v>
      </c>
      <c r="Q260" s="31">
        <f>VLOOKUP($B260,'Tillförd energi'!$B$1:$AI$720,MATCH(Q$1,'Tillförd energi'!$B$1:$AQ$1,0),FALSE)</f>
        <v>0</v>
      </c>
      <c r="R260" s="31">
        <f>VLOOKUP($B260,'Tillförd energi'!$B$1:$AI$720,MATCH(R$1,'Tillförd energi'!$B$1:$AQ$1,0),FALSE)</f>
        <v>0</v>
      </c>
      <c r="S260" s="31">
        <f>VLOOKUP($B260,'Tillförd energi'!$B$1:$AI$720,MATCH(S$1,'Tillförd energi'!$B$1:$AQ$1,0),FALSE)</f>
        <v>12.295</v>
      </c>
      <c r="T260" s="31">
        <f>VLOOKUP($B260,'Tillförd energi'!$B$1:$AI$720,MATCH(T$1,'Tillförd energi'!$B$1:$AQ$1,0),FALSE)</f>
        <v>0</v>
      </c>
      <c r="U260" s="31">
        <f>VLOOKUP($B260,'Tillförd energi'!$B$1:$AI$720,MATCH(U$1,'Tillförd energi'!$B$1:$AQ$1,0),FALSE)</f>
        <v>0</v>
      </c>
      <c r="V260" s="31">
        <f>VLOOKUP($B260,'Tillförd energi'!$B$1:$AI$720,MATCH(V$1,'Tillförd energi'!$B$1:$AQ$1,0),FALSE)</f>
        <v>0</v>
      </c>
      <c r="W260" s="31">
        <f>VLOOKUP($B260,'Tillförd energi'!$B$1:$AI$720,MATCH(W$1,'Tillförd energi'!$B$1:$AQ$1,0),FALSE)</f>
        <v>0</v>
      </c>
      <c r="X260" s="31">
        <f>VLOOKUP($B260,'Tillförd energi'!$B$1:$AI$720,MATCH(X$1,'Tillförd energi'!$B$1:$AQ$1,0),FALSE)</f>
        <v>0</v>
      </c>
      <c r="Y260" s="31">
        <f>VLOOKUP($B260,'Tillförd energi'!$B$1:$AI$720,MATCH(Y$1,'Tillförd energi'!$B$1:$AQ$1,0),FALSE)</f>
        <v>0</v>
      </c>
      <c r="Z260" s="31">
        <f>VLOOKUP($B260,'Tillförd energi'!$B$1:$AI$720,MATCH(Z$1,'Tillförd energi'!$B$1:$AQ$1,0),FALSE)</f>
        <v>0</v>
      </c>
      <c r="AA260" s="31">
        <f>VLOOKUP($B260,'Tillförd energi'!$B$1:$AI$720,MATCH(AA$1,'Tillförd energi'!$B$1:$AQ$1,0),FALSE)</f>
        <v>0</v>
      </c>
      <c r="AB260" s="31">
        <f>VLOOKUP($B260,'Tillförd energi'!$B$1:$AI$720,MATCH(AB$1,'Tillförd energi'!$B$1:$AQ$1,0),FALSE)</f>
        <v>0</v>
      </c>
      <c r="AC260" s="31">
        <f>VLOOKUP($B260,'Tillförd energi'!$B$1:$AI$720,MATCH(AC$1,'Tillförd energi'!$B$1:$AQ$1,0),FALSE)</f>
        <v>0</v>
      </c>
      <c r="AD260" s="31">
        <f>VLOOKUP($B260,'Tillförd energi'!$B$1:$AI$720,MATCH(AD$1,'Tillförd energi'!$B$1:$AQ$1,0),FALSE)</f>
        <v>0</v>
      </c>
      <c r="AE260" s="31">
        <f>VLOOKUP($B260,'Tillförd energi'!$B$1:$AI$720,MATCH(AE$1,'Tillförd energi'!$B$1:$AQ$1,0),FALSE)</f>
        <v>0</v>
      </c>
      <c r="AF260" s="31">
        <f>VLOOKUP($B260,'Tillförd energi'!$B$1:$AI$720,MATCH(AF$1,'Tillförd energi'!$B$1:$AQ$1,0),FALSE)</f>
        <v>0.1</v>
      </c>
      <c r="AG260" s="31">
        <f>IFERROR(VLOOKUP(B260,Miljö!$B$1:$AC$550,MATCH("Köpt mängd produktionsspecifik fjärrvärme:",Miljö!$B$1:$AC$1,0),FALSE)/1,0)</f>
        <v>0</v>
      </c>
      <c r="AI260" s="31">
        <f t="shared" si="92"/>
        <v>12.462</v>
      </c>
      <c r="AJ260" s="31">
        <f t="shared" si="93"/>
        <v>12.462</v>
      </c>
      <c r="AK260" s="31">
        <f>IF(ISERROR(1/VLOOKUP($B260,Leveranser!$B$1:$S$499,MATCH("Såld värme (GWh)",Leveranser!$B$1:$S$1,0),FALSE)),"",VLOOKUP($B260,Leveranser!$B$1:$S$499,MATCH("Såld värme (GWh)",Leveranser!$B$1:$S$1,0),FALSE))</f>
        <v>9.5350000000000001</v>
      </c>
      <c r="AL260" s="31">
        <f>VLOOKUP($B260,Leveranser!$B$1:$Y$499,MATCH("Totalt såld fjärrvärme till andra fjärrvärmeföretag",Leveranser!$B$1:$AA$1,0),FALSE)</f>
        <v>0</v>
      </c>
      <c r="AM260" s="31">
        <f>IF(ISERROR(1/VLOOKUP($B260,Miljö!$B$1:$S$500,MATCH("Såld mängd produktionsspecifik fjärrvärme (GWh)",Miljö!$B$1:$R$1,0),FALSE)),0,VLOOKUP($B260,Miljö!$B$1:$S$500,MATCH("Såld mängd produktionsspecifik fjärrvärme (GWh)",Miljö!$B$1:$R$1,0),FALSE))</f>
        <v>0</v>
      </c>
      <c r="AN260" s="32">
        <f t="shared" si="94"/>
        <v>0.76512598298828438</v>
      </c>
      <c r="AP260" s="31" t="str">
        <f>IFERROR(VLOOKUP($B260,Miljövärden!$B$2:$H$550,7,FALSE),"Nej, saknas")</f>
        <v>Ja</v>
      </c>
      <c r="AQ260" s="31" t="str">
        <f>IFERROR(VLOOKUP($B260,Miljövärden!$B$2:$H$551,6,FALSE),"Nej, saknas")</f>
        <v>Nej</v>
      </c>
      <c r="AU260" s="31">
        <f t="shared" si="95"/>
        <v>0.1</v>
      </c>
      <c r="AV260" s="31">
        <f t="shared" si="96"/>
        <v>0</v>
      </c>
      <c r="AW260" s="31">
        <f t="shared" si="97"/>
        <v>0</v>
      </c>
      <c r="AX260" s="31">
        <f t="shared" si="98"/>
        <v>12.295</v>
      </c>
      <c r="AZ260" s="31">
        <f t="shared" si="99"/>
        <v>12.295</v>
      </c>
      <c r="BC260" s="31">
        <f t="shared" si="100"/>
        <v>6.7000000000000004E-2</v>
      </c>
      <c r="BD260" s="31">
        <f t="shared" si="101"/>
        <v>0</v>
      </c>
      <c r="BE260" s="31">
        <f t="shared" si="102"/>
        <v>12.295</v>
      </c>
      <c r="BF260" s="31">
        <f t="shared" si="103"/>
        <v>0</v>
      </c>
      <c r="BG260" s="31">
        <f t="shared" si="104"/>
        <v>0.1</v>
      </c>
      <c r="BH260" s="31">
        <f>VLOOKUP(B260,Miljö!$B$1:$BX$482,MATCH("Fossilandel för ursprungspecificerad el ()",Miljö!$B$1:$I$1,0),FALSE)</f>
        <v>0</v>
      </c>
      <c r="BI260" s="31">
        <f>VLOOKUP(B260,Miljö!$B$1:$BX$482,MATCH("Kärnkraftsandel för ursprungsspecificerad el ()",Miljö!$B$1:$O$1,0),FALSE)</f>
        <v>0</v>
      </c>
      <c r="BJ260" s="31">
        <f t="shared" si="105"/>
        <v>0</v>
      </c>
      <c r="BK260" s="31" t="str">
        <f>VLOOKUP(B260,Miljö!$B$1:$P$482,MATCH("Fossil andel i procent (%)",Miljö!$B$1:$P$1,0),FALSE)</f>
        <v>ET</v>
      </c>
      <c r="BL260" s="31">
        <f t="shared" si="106"/>
        <v>12.462</v>
      </c>
      <c r="BO260" s="32">
        <f t="shared" si="107"/>
        <v>5.3763440860215058E-3</v>
      </c>
      <c r="BP260" s="32">
        <f t="shared" si="108"/>
        <v>0</v>
      </c>
      <c r="BQ260" s="32">
        <f t="shared" si="109"/>
        <v>0.9946236559139785</v>
      </c>
      <c r="BR260" s="32">
        <f t="shared" si="110"/>
        <v>0</v>
      </c>
      <c r="BT260" s="62">
        <f t="shared" si="111"/>
        <v>1</v>
      </c>
      <c r="BW260" s="32">
        <f>IF(AP260="Ja",VLOOKUP(B260,Miljövärden!$B$2:$H$551,MATCH("Total andel fossilt",Miljövärden!$B$2:$H$2,0),FALSE),"")</f>
        <v>5.3763400000000003E-3</v>
      </c>
      <c r="BX260" s="62">
        <f t="shared" si="112"/>
        <v>-4.0860215055199545E-9</v>
      </c>
      <c r="BZ260" s="31">
        <f t="shared" si="113"/>
        <v>-4.0860215055199545E-9</v>
      </c>
      <c r="CA260" s="32">
        <f t="shared" si="114"/>
        <v>0</v>
      </c>
    </row>
    <row r="261" spans="1:79" x14ac:dyDescent="0.45">
      <c r="A261" s="31" t="s">
        <v>336</v>
      </c>
      <c r="B261" s="31" t="s">
        <v>339</v>
      </c>
      <c r="C261" s="31">
        <f>VLOOKUP($B261,'Tillförd energi'!$B$1:$AI$720,MATCH(C$1,'Tillförd energi'!$B$1:$AQ$1,0),FALSE)</f>
        <v>0</v>
      </c>
      <c r="D261" s="31">
        <f>VLOOKUP($B261,'Tillförd energi'!$B$1:$AI$720,MATCH(D$1,'Tillförd energi'!$B$1:$AQ$1,0),FALSE)</f>
        <v>1.33392</v>
      </c>
      <c r="E261" s="31">
        <f>VLOOKUP($B261,'Tillförd energi'!$B$1:$AI$720,MATCH(E$1,'Tillförd energi'!$B$1:$AQ$1,0),FALSE)</f>
        <v>0.51500000000000001</v>
      </c>
      <c r="F261" s="31">
        <f>VLOOKUP($B261,'Tillförd energi'!$B$1:$AI$720,MATCH(F$1,'Tillförd energi'!$B$1:$AQ$1,0),FALSE)</f>
        <v>0</v>
      </c>
      <c r="G261" s="31">
        <f>VLOOKUP($B261,'Tillförd energi'!$B$1:$AI$720,MATCH(G$1,'Tillförd energi'!$B$1:$AQ$1,0),FALSE)</f>
        <v>0</v>
      </c>
      <c r="H261" s="31">
        <f>VLOOKUP($B261,'Tillförd energi'!$B$1:$AI$720,MATCH(H$1,'Tillförd energi'!$B$1:$AQ$1,0),FALSE)</f>
        <v>0</v>
      </c>
      <c r="I261" s="31">
        <f>VLOOKUP($B261,'Tillförd energi'!$B$1:$AI$720,MATCH(I$1,'Tillförd energi'!$B$1:$AQ$1,0),FALSE)</f>
        <v>136.541</v>
      </c>
      <c r="J261" s="31">
        <f>VLOOKUP($B261,'Tillförd energi'!$B$1:$AI$720,MATCH(J$1,'Tillförd energi'!$B$1:$AQ$1,0),FALSE)</f>
        <v>0</v>
      </c>
      <c r="K261" s="31">
        <f>VLOOKUP($B261,'Tillförd energi'!$B$1:$AI$720,MATCH(K$1,'Tillförd energi'!$B$1:$AQ$1,0),FALSE)</f>
        <v>0</v>
      </c>
      <c r="L261" s="31">
        <f>VLOOKUP($B261,'Tillförd energi'!$B$1:$AI$720,MATCH(L$1,'Tillförd energi'!$B$1:$AQ$1,0),FALSE)</f>
        <v>0</v>
      </c>
      <c r="M261" s="31">
        <f>VLOOKUP($B261,'Tillförd energi'!$B$1:$AI$720,MATCH(M$1,'Tillförd energi'!$B$1:$AQ$1,0),FALSE)</f>
        <v>0</v>
      </c>
      <c r="N261" s="31">
        <f>VLOOKUP($B261,'Tillförd energi'!$B$1:$AI$720,MATCH(N$1,'Tillförd energi'!$B$1:$AQ$1,0),FALSE)</f>
        <v>143.18100000000001</v>
      </c>
      <c r="O261" s="31">
        <f>VLOOKUP($B261,'Tillförd energi'!$B$1:$AI$720,MATCH(O$1,'Tillförd energi'!$B$1:$AQ$1,0),FALSE)</f>
        <v>0</v>
      </c>
      <c r="P261" s="31">
        <f>VLOOKUP($B261,'Tillförd energi'!$B$1:$AI$720,MATCH(P$1,'Tillförd energi'!$B$1:$AQ$1,0),FALSE)</f>
        <v>76.430000000000007</v>
      </c>
      <c r="Q261" s="31">
        <f>VLOOKUP($B261,'Tillförd energi'!$B$1:$AI$720,MATCH(Q$1,'Tillförd energi'!$B$1:$AQ$1,0),FALSE)</f>
        <v>0</v>
      </c>
      <c r="R261" s="31">
        <f>VLOOKUP($B261,'Tillförd energi'!$B$1:$AI$720,MATCH(R$1,'Tillförd energi'!$B$1:$AQ$1,0),FALSE)</f>
        <v>0</v>
      </c>
      <c r="S261" s="31">
        <f>VLOOKUP($B261,'Tillförd energi'!$B$1:$AI$720,MATCH(S$1,'Tillförd energi'!$B$1:$AQ$1,0),FALSE)</f>
        <v>0</v>
      </c>
      <c r="T261" s="31">
        <f>VLOOKUP($B261,'Tillförd energi'!$B$1:$AI$720,MATCH(T$1,'Tillförd energi'!$B$1:$AQ$1,0),FALSE)</f>
        <v>0</v>
      </c>
      <c r="U261" s="31">
        <f>VLOOKUP($B261,'Tillförd energi'!$B$1:$AI$720,MATCH(U$1,'Tillförd energi'!$B$1:$AQ$1,0),FALSE)</f>
        <v>0</v>
      </c>
      <c r="V261" s="31">
        <f>VLOOKUP($B261,'Tillförd energi'!$B$1:$AI$720,MATCH(V$1,'Tillförd energi'!$B$1:$AQ$1,0),FALSE)</f>
        <v>0</v>
      </c>
      <c r="W261" s="31">
        <f>VLOOKUP($B261,'Tillförd energi'!$B$1:$AI$720,MATCH(W$1,'Tillförd energi'!$B$1:$AQ$1,0),FALSE)</f>
        <v>6.2910000000000004</v>
      </c>
      <c r="X261" s="31">
        <f>VLOOKUP($B261,'Tillförd energi'!$B$1:$AI$720,MATCH(X$1,'Tillförd energi'!$B$1:$AQ$1,0),FALSE)</f>
        <v>0</v>
      </c>
      <c r="Y261" s="31">
        <f>VLOOKUP($B261,'Tillförd energi'!$B$1:$AI$720,MATCH(Y$1,'Tillförd energi'!$B$1:$AQ$1,0),FALSE)</f>
        <v>0</v>
      </c>
      <c r="Z261" s="31">
        <f>VLOOKUP($B261,'Tillförd energi'!$B$1:$AI$720,MATCH(Z$1,'Tillförd energi'!$B$1:$AQ$1,0),FALSE)</f>
        <v>0</v>
      </c>
      <c r="AA261" s="31">
        <f>VLOOKUP($B261,'Tillförd energi'!$B$1:$AI$720,MATCH(AA$1,'Tillförd energi'!$B$1:$AQ$1,0),FALSE)</f>
        <v>0</v>
      </c>
      <c r="AB261" s="31">
        <f>VLOOKUP($B261,'Tillförd energi'!$B$1:$AI$720,MATCH(AB$1,'Tillförd energi'!$B$1:$AQ$1,0),FALSE)</f>
        <v>0</v>
      </c>
      <c r="AC261" s="31">
        <f>VLOOKUP($B261,'Tillförd energi'!$B$1:$AI$720,MATCH(AC$1,'Tillförd energi'!$B$1:$AQ$1,0),FALSE)</f>
        <v>56.097000000000001</v>
      </c>
      <c r="AD261" s="31">
        <f>VLOOKUP($B261,'Tillförd energi'!$B$1:$AI$720,MATCH(AD$1,'Tillförd energi'!$B$1:$AQ$1,0),FALSE)</f>
        <v>5.6959999999999997</v>
      </c>
      <c r="AE261" s="31">
        <f>VLOOKUP($B261,'Tillförd energi'!$B$1:$AI$720,MATCH(AE$1,'Tillförd energi'!$B$1:$AQ$1,0),FALSE)</f>
        <v>0</v>
      </c>
      <c r="AF261" s="31">
        <f>VLOOKUP($B261,'Tillförd energi'!$B$1:$AI$720,MATCH(AF$1,'Tillförd energi'!$B$1:$AQ$1,0),FALSE)</f>
        <v>13.4148</v>
      </c>
      <c r="AG261" s="31">
        <f>IFERROR(VLOOKUP(B261,Miljö!$B$1:$AC$550,MATCH("Köpt mängd produktionsspecifik fjärrvärme:",Miljö!$B$1:$AC$1,0),FALSE)/1,0)</f>
        <v>0</v>
      </c>
      <c r="AI261" s="31">
        <f t="shared" si="92"/>
        <v>439.49972000000002</v>
      </c>
      <c r="AJ261" s="31">
        <f t="shared" si="93"/>
        <v>439.49972000000002</v>
      </c>
      <c r="AK261" s="31">
        <f>IF(ISERROR(1/VLOOKUP($B261,Leveranser!$B$1:$S$499,MATCH("Såld värme (GWh)",Leveranser!$B$1:$S$1,0),FALSE)),"",VLOOKUP($B261,Leveranser!$B$1:$S$499,MATCH("Såld värme (GWh)",Leveranser!$B$1:$S$1,0),FALSE))</f>
        <v>336.66699999999997</v>
      </c>
      <c r="AL261" s="31">
        <f>VLOOKUP($B261,Leveranser!$B$1:$Y$499,MATCH("Totalt såld fjärrvärme till andra fjärrvärmeföretag",Leveranser!$B$1:$AA$1,0),FALSE)</f>
        <v>0</v>
      </c>
      <c r="AM261" s="31">
        <f>IF(ISERROR(1/VLOOKUP($B261,Miljö!$B$1:$S$500,MATCH("Såld mängd produktionsspecifik fjärrvärme (GWh)",Miljö!$B$1:$R$1,0),FALSE)),0,VLOOKUP($B261,Miljö!$B$1:$S$500,MATCH("Såld mängd produktionsspecifik fjärrvärme (GWh)",Miljö!$B$1:$R$1,0),FALSE))</f>
        <v>1.1719999999999999</v>
      </c>
      <c r="AN261" s="32">
        <f t="shared" si="94"/>
        <v>0.76602324115246301</v>
      </c>
      <c r="AP261" s="31" t="str">
        <f>IFERROR(VLOOKUP($B261,Miljövärden!$B$2:$H$550,7,FALSE),"Nej, saknas")</f>
        <v>Ja</v>
      </c>
      <c r="AQ261" s="31" t="str">
        <f>IFERROR(VLOOKUP($B261,Miljövärden!$B$2:$H$551,6,FALSE),"Nej, saknas")</f>
        <v>Nej</v>
      </c>
      <c r="AU261" s="31">
        <f t="shared" si="95"/>
        <v>13.4148</v>
      </c>
      <c r="AV261" s="31">
        <f t="shared" si="96"/>
        <v>0</v>
      </c>
      <c r="AW261" s="31">
        <f t="shared" si="97"/>
        <v>219.61100000000002</v>
      </c>
      <c r="AX261" s="31">
        <f t="shared" si="98"/>
        <v>0</v>
      </c>
      <c r="AZ261" s="31">
        <f t="shared" si="99"/>
        <v>225.90200000000002</v>
      </c>
      <c r="BC261" s="31">
        <f t="shared" si="100"/>
        <v>1.8489200000000001</v>
      </c>
      <c r="BD261" s="31">
        <f t="shared" si="101"/>
        <v>0</v>
      </c>
      <c r="BE261" s="31">
        <f t="shared" si="102"/>
        <v>225.90200000000002</v>
      </c>
      <c r="BF261" s="31">
        <f t="shared" si="103"/>
        <v>198.334</v>
      </c>
      <c r="BG261" s="31">
        <f t="shared" si="104"/>
        <v>13.4148</v>
      </c>
      <c r="BH261" s="31">
        <f>VLOOKUP(B261,Miljö!$B$1:$BX$482,MATCH("Fossilandel för ursprungspecificerad el ()",Miljö!$B$1:$I$1,0),FALSE)</f>
        <v>0</v>
      </c>
      <c r="BI261" s="31">
        <f>VLOOKUP(B261,Miljö!$B$1:$BX$482,MATCH("Kärnkraftsandel för ursprungsspecificerad el ()",Miljö!$B$1:$O$1,0),FALSE)</f>
        <v>0</v>
      </c>
      <c r="BJ261" s="31">
        <f t="shared" si="105"/>
        <v>0</v>
      </c>
      <c r="BK261" s="31" t="str">
        <f>VLOOKUP(B261,Miljö!$B$1:$P$482,MATCH("Fossil andel i procent (%)",Miljö!$B$1:$P$1,0),FALSE)</f>
        <v>ET</v>
      </c>
      <c r="BL261" s="31">
        <f t="shared" si="106"/>
        <v>439.49972000000002</v>
      </c>
      <c r="BO261" s="32">
        <f t="shared" si="107"/>
        <v>4.2068741249710008E-3</v>
      </c>
      <c r="BP261" s="32">
        <f t="shared" si="108"/>
        <v>0</v>
      </c>
      <c r="BQ261" s="32">
        <f t="shared" si="109"/>
        <v>0.54452093848888006</v>
      </c>
      <c r="BR261" s="32">
        <f t="shared" si="110"/>
        <v>0.45127218738614894</v>
      </c>
      <c r="BT261" s="62">
        <f t="shared" si="111"/>
        <v>1</v>
      </c>
      <c r="BW261" s="32">
        <f>IF(AP261="Ja",VLOOKUP(B261,Miljövärden!$B$2:$H$551,MATCH("Total andel fossilt",Miljövärden!$B$2:$H$2,0),FALSE),"")</f>
        <v>4.2181199999999997E-3</v>
      </c>
      <c r="BX261" s="62">
        <f t="shared" si="112"/>
        <v>1.1245875028998917E-5</v>
      </c>
      <c r="BZ261" s="31">
        <f t="shared" si="113"/>
        <v>1.1245875028998917E-5</v>
      </c>
      <c r="CA261" s="32">
        <f t="shared" si="114"/>
        <v>0</v>
      </c>
    </row>
    <row r="262" spans="1:79" x14ac:dyDescent="0.45">
      <c r="A262" s="31" t="s">
        <v>336</v>
      </c>
      <c r="B262" s="31" t="s">
        <v>338</v>
      </c>
      <c r="C262" s="31">
        <f>VLOOKUP($B262,'Tillförd energi'!$B$1:$AI$720,MATCH(C$1,'Tillförd energi'!$B$1:$AQ$1,0),FALSE)</f>
        <v>0</v>
      </c>
      <c r="D262" s="31">
        <f>VLOOKUP($B262,'Tillförd energi'!$B$1:$AI$720,MATCH(D$1,'Tillförd energi'!$B$1:$AQ$1,0),FALSE)</f>
        <v>0.1</v>
      </c>
      <c r="E262" s="31">
        <f>VLOOKUP($B262,'Tillförd energi'!$B$1:$AI$720,MATCH(E$1,'Tillförd energi'!$B$1:$AQ$1,0),FALSE)</f>
        <v>0</v>
      </c>
      <c r="F262" s="31">
        <f>VLOOKUP($B262,'Tillförd energi'!$B$1:$AI$720,MATCH(F$1,'Tillförd energi'!$B$1:$AQ$1,0),FALSE)</f>
        <v>0</v>
      </c>
      <c r="G262" s="31">
        <f>VLOOKUP($B262,'Tillförd energi'!$B$1:$AI$720,MATCH(G$1,'Tillförd energi'!$B$1:$AQ$1,0),FALSE)</f>
        <v>0</v>
      </c>
      <c r="H262" s="31">
        <f>VLOOKUP($B262,'Tillförd energi'!$B$1:$AI$720,MATCH(H$1,'Tillförd energi'!$B$1:$AQ$1,0),FALSE)</f>
        <v>0</v>
      </c>
      <c r="I262" s="31">
        <f>VLOOKUP($B262,'Tillförd energi'!$B$1:$AI$720,MATCH(I$1,'Tillförd energi'!$B$1:$AQ$1,0),FALSE)</f>
        <v>0</v>
      </c>
      <c r="J262" s="31">
        <f>VLOOKUP($B262,'Tillförd energi'!$B$1:$AI$720,MATCH(J$1,'Tillförd energi'!$B$1:$AQ$1,0),FALSE)</f>
        <v>0</v>
      </c>
      <c r="K262" s="31">
        <f>VLOOKUP($B262,'Tillförd energi'!$B$1:$AI$720,MATCH(K$1,'Tillförd energi'!$B$1:$AQ$1,0),FALSE)</f>
        <v>0</v>
      </c>
      <c r="L262" s="31">
        <f>VLOOKUP($B262,'Tillförd energi'!$B$1:$AI$720,MATCH(L$1,'Tillförd energi'!$B$1:$AQ$1,0),FALSE)</f>
        <v>0</v>
      </c>
      <c r="M262" s="31">
        <f>VLOOKUP($B262,'Tillförd energi'!$B$1:$AI$720,MATCH(M$1,'Tillförd energi'!$B$1:$AQ$1,0),FALSE)</f>
        <v>0</v>
      </c>
      <c r="N262" s="31">
        <f>VLOOKUP($B262,'Tillförd energi'!$B$1:$AI$720,MATCH(N$1,'Tillförd energi'!$B$1:$AQ$1,0),FALSE)</f>
        <v>0</v>
      </c>
      <c r="O262" s="31">
        <f>VLOOKUP($B262,'Tillförd energi'!$B$1:$AI$720,MATCH(O$1,'Tillförd energi'!$B$1:$AQ$1,0),FALSE)</f>
        <v>0</v>
      </c>
      <c r="P262" s="31">
        <f>VLOOKUP($B262,'Tillförd energi'!$B$1:$AI$720,MATCH(P$1,'Tillförd energi'!$B$1:$AQ$1,0),FALSE)</f>
        <v>0</v>
      </c>
      <c r="Q262" s="31">
        <f>VLOOKUP($B262,'Tillförd energi'!$B$1:$AI$720,MATCH(Q$1,'Tillförd energi'!$B$1:$AQ$1,0),FALSE)</f>
        <v>0</v>
      </c>
      <c r="R262" s="31">
        <f>VLOOKUP($B262,'Tillförd energi'!$B$1:$AI$720,MATCH(R$1,'Tillförd energi'!$B$1:$AQ$1,0),FALSE)</f>
        <v>5.34</v>
      </c>
      <c r="S262" s="31">
        <f>VLOOKUP($B262,'Tillförd energi'!$B$1:$AI$720,MATCH(S$1,'Tillförd energi'!$B$1:$AQ$1,0),FALSE)</f>
        <v>0</v>
      </c>
      <c r="T262" s="31">
        <f>VLOOKUP($B262,'Tillförd energi'!$B$1:$AI$720,MATCH(T$1,'Tillförd energi'!$B$1:$AQ$1,0),FALSE)</f>
        <v>0</v>
      </c>
      <c r="U262" s="31">
        <f>VLOOKUP($B262,'Tillförd energi'!$B$1:$AI$720,MATCH(U$1,'Tillförd energi'!$B$1:$AQ$1,0),FALSE)</f>
        <v>0</v>
      </c>
      <c r="V262" s="31">
        <f>VLOOKUP($B262,'Tillförd energi'!$B$1:$AI$720,MATCH(V$1,'Tillförd energi'!$B$1:$AQ$1,0),FALSE)</f>
        <v>0</v>
      </c>
      <c r="W262" s="31">
        <f>VLOOKUP($B262,'Tillförd energi'!$B$1:$AI$720,MATCH(W$1,'Tillförd energi'!$B$1:$AQ$1,0),FALSE)</f>
        <v>0</v>
      </c>
      <c r="X262" s="31">
        <f>VLOOKUP($B262,'Tillförd energi'!$B$1:$AI$720,MATCH(X$1,'Tillförd energi'!$B$1:$AQ$1,0),FALSE)</f>
        <v>0</v>
      </c>
      <c r="Y262" s="31">
        <f>VLOOKUP($B262,'Tillförd energi'!$B$1:$AI$720,MATCH(Y$1,'Tillförd energi'!$B$1:$AQ$1,0),FALSE)</f>
        <v>0</v>
      </c>
      <c r="Z262" s="31">
        <f>VLOOKUP($B262,'Tillförd energi'!$B$1:$AI$720,MATCH(Z$1,'Tillförd energi'!$B$1:$AQ$1,0),FALSE)</f>
        <v>0</v>
      </c>
      <c r="AA262" s="31">
        <f>VLOOKUP($B262,'Tillförd energi'!$B$1:$AI$720,MATCH(AA$1,'Tillförd energi'!$B$1:$AQ$1,0),FALSE)</f>
        <v>0</v>
      </c>
      <c r="AB262" s="31">
        <f>VLOOKUP($B262,'Tillförd energi'!$B$1:$AI$720,MATCH(AB$1,'Tillförd energi'!$B$1:$AQ$1,0),FALSE)</f>
        <v>0</v>
      </c>
      <c r="AC262" s="31">
        <f>VLOOKUP($B262,'Tillförd energi'!$B$1:$AI$720,MATCH(AC$1,'Tillförd energi'!$B$1:$AQ$1,0),FALSE)</f>
        <v>0</v>
      </c>
      <c r="AD262" s="31">
        <f>VLOOKUP($B262,'Tillförd energi'!$B$1:$AI$720,MATCH(AD$1,'Tillförd energi'!$B$1:$AQ$1,0),FALSE)</f>
        <v>0</v>
      </c>
      <c r="AE262" s="31">
        <f>VLOOKUP($B262,'Tillförd energi'!$B$1:$AI$720,MATCH(AE$1,'Tillförd energi'!$B$1:$AQ$1,0),FALSE)</f>
        <v>0</v>
      </c>
      <c r="AF262" s="31">
        <f>VLOOKUP($B262,'Tillförd energi'!$B$1:$AI$720,MATCH(AF$1,'Tillförd energi'!$B$1:$AQ$1,0),FALSE)</f>
        <v>5.1200000000000002E-2</v>
      </c>
      <c r="AG262" s="31">
        <f>IFERROR(VLOOKUP(B262,Miljö!$B$1:$AC$550,MATCH("Köpt mängd produktionsspecifik fjärrvärme:",Miljö!$B$1:$AC$1,0),FALSE)/1,0)</f>
        <v>0</v>
      </c>
      <c r="AI262" s="31">
        <f t="shared" si="92"/>
        <v>5.4911999999999992</v>
      </c>
      <c r="AJ262" s="31">
        <f t="shared" si="93"/>
        <v>5.4911999999999992</v>
      </c>
      <c r="AK262" s="31">
        <f>IF(ISERROR(1/VLOOKUP($B262,Leveranser!$B$1:$S$499,MATCH("Såld värme (GWh)",Leveranser!$B$1:$S$1,0),FALSE)),"",VLOOKUP($B262,Leveranser!$B$1:$S$499,MATCH("Såld värme (GWh)",Leveranser!$B$1:$S$1,0),FALSE))</f>
        <v>4.3879999999999999</v>
      </c>
      <c r="AL262" s="31">
        <f>VLOOKUP($B262,Leveranser!$B$1:$Y$499,MATCH("Totalt såld fjärrvärme till andra fjärrvärmeföretag",Leveranser!$B$1:$AA$1,0),FALSE)</f>
        <v>0</v>
      </c>
      <c r="AM262" s="31">
        <f>IF(ISERROR(1/VLOOKUP($B262,Miljö!$B$1:$S$500,MATCH("Såld mängd produktionsspecifik fjärrvärme (GWh)",Miljö!$B$1:$R$1,0),FALSE)),0,VLOOKUP($B262,Miljö!$B$1:$S$500,MATCH("Såld mängd produktionsspecifik fjärrvärme (GWh)",Miljö!$B$1:$R$1,0),FALSE))</f>
        <v>0</v>
      </c>
      <c r="AN262" s="32">
        <f t="shared" si="94"/>
        <v>0.79909673659673675</v>
      </c>
      <c r="AP262" s="31" t="str">
        <f>IFERROR(VLOOKUP($B262,Miljövärden!$B$2:$H$550,7,FALSE),"Nej, saknas")</f>
        <v>Ja</v>
      </c>
      <c r="AQ262" s="31" t="str">
        <f>IFERROR(VLOOKUP($B262,Miljövärden!$B$2:$H$551,6,FALSE),"Nej, saknas")</f>
        <v>Nej</v>
      </c>
      <c r="AU262" s="31">
        <f t="shared" si="95"/>
        <v>5.1200000000000002E-2</v>
      </c>
      <c r="AV262" s="31">
        <f t="shared" si="96"/>
        <v>0</v>
      </c>
      <c r="AW262" s="31">
        <f t="shared" si="97"/>
        <v>0</v>
      </c>
      <c r="AX262" s="31">
        <f t="shared" si="98"/>
        <v>5.34</v>
      </c>
      <c r="AZ262" s="31">
        <f t="shared" si="99"/>
        <v>5.34</v>
      </c>
      <c r="BC262" s="31">
        <f t="shared" si="100"/>
        <v>0.1</v>
      </c>
      <c r="BD262" s="31">
        <f t="shared" si="101"/>
        <v>0</v>
      </c>
      <c r="BE262" s="31">
        <f t="shared" si="102"/>
        <v>5.34</v>
      </c>
      <c r="BF262" s="31">
        <f t="shared" si="103"/>
        <v>0</v>
      </c>
      <c r="BG262" s="31">
        <f t="shared" si="104"/>
        <v>5.1200000000000002E-2</v>
      </c>
      <c r="BH262" s="31">
        <f>VLOOKUP(B262,Miljö!$B$1:$BX$482,MATCH("Fossilandel för ursprungspecificerad el ()",Miljö!$B$1:$I$1,0),FALSE)</f>
        <v>0</v>
      </c>
      <c r="BI262" s="31">
        <f>VLOOKUP(B262,Miljö!$B$1:$BX$482,MATCH("Kärnkraftsandel för ursprungsspecificerad el ()",Miljö!$B$1:$O$1,0),FALSE)</f>
        <v>0</v>
      </c>
      <c r="BJ262" s="31">
        <f t="shared" si="105"/>
        <v>0</v>
      </c>
      <c r="BK262" s="31" t="str">
        <f>VLOOKUP(B262,Miljö!$B$1:$P$482,MATCH("Fossil andel i procent (%)",Miljö!$B$1:$P$1,0),FALSE)</f>
        <v>ET</v>
      </c>
      <c r="BL262" s="31">
        <f t="shared" si="106"/>
        <v>5.4911999999999992</v>
      </c>
      <c r="BO262" s="32">
        <f t="shared" si="107"/>
        <v>1.8210955710955715E-2</v>
      </c>
      <c r="BP262" s="32">
        <f t="shared" si="108"/>
        <v>0</v>
      </c>
      <c r="BQ262" s="32">
        <f t="shared" si="109"/>
        <v>0.98178904428904434</v>
      </c>
      <c r="BR262" s="32">
        <f t="shared" si="110"/>
        <v>0</v>
      </c>
      <c r="BT262" s="62">
        <f t="shared" si="111"/>
        <v>1</v>
      </c>
      <c r="BW262" s="32">
        <f>IF(AP262="Ja",VLOOKUP(B262,Miljövärden!$B$2:$H$551,MATCH("Total andel fossilt",Miljövärden!$B$2:$H$2,0),FALSE),"")</f>
        <v>1.8211000000000001E-2</v>
      </c>
      <c r="BX262" s="62">
        <f t="shared" si="112"/>
        <v>4.4289044286160983E-8</v>
      </c>
      <c r="BZ262" s="31">
        <f t="shared" si="113"/>
        <v>4.4289044286160983E-8</v>
      </c>
      <c r="CA262" s="32">
        <f t="shared" si="114"/>
        <v>0</v>
      </c>
    </row>
    <row r="263" spans="1:79" x14ac:dyDescent="0.45">
      <c r="A263" s="31" t="s">
        <v>336</v>
      </c>
      <c r="B263" s="31" t="s">
        <v>335</v>
      </c>
      <c r="C263" s="31">
        <f>VLOOKUP($B263,'Tillförd energi'!$B$1:$AI$720,MATCH(C$1,'Tillförd energi'!$B$1:$AQ$1,0),FALSE)</f>
        <v>0</v>
      </c>
      <c r="D263" s="31">
        <f>VLOOKUP($B263,'Tillförd energi'!$B$1:$AI$720,MATCH(D$1,'Tillförd energi'!$B$1:$AQ$1,0),FALSE)</f>
        <v>6.7500000000000004E-2</v>
      </c>
      <c r="E263" s="31">
        <f>VLOOKUP($B263,'Tillförd energi'!$B$1:$AI$720,MATCH(E$1,'Tillförd energi'!$B$1:$AQ$1,0),FALSE)</f>
        <v>0</v>
      </c>
      <c r="F263" s="31">
        <f>VLOOKUP($B263,'Tillförd energi'!$B$1:$AI$720,MATCH(F$1,'Tillförd energi'!$B$1:$AQ$1,0),FALSE)</f>
        <v>0</v>
      </c>
      <c r="G263" s="31">
        <f>VLOOKUP($B263,'Tillförd energi'!$B$1:$AI$720,MATCH(G$1,'Tillförd energi'!$B$1:$AQ$1,0),FALSE)</f>
        <v>0</v>
      </c>
      <c r="H263" s="31">
        <f>VLOOKUP($B263,'Tillförd energi'!$B$1:$AI$720,MATCH(H$1,'Tillförd energi'!$B$1:$AQ$1,0),FALSE)</f>
        <v>0</v>
      </c>
      <c r="I263" s="31">
        <f>VLOOKUP($B263,'Tillförd energi'!$B$1:$AI$720,MATCH(I$1,'Tillförd energi'!$B$1:$AQ$1,0),FALSE)</f>
        <v>0</v>
      </c>
      <c r="J263" s="31">
        <f>VLOOKUP($B263,'Tillförd energi'!$B$1:$AI$720,MATCH(J$1,'Tillförd energi'!$B$1:$AQ$1,0),FALSE)</f>
        <v>0</v>
      </c>
      <c r="K263" s="31">
        <f>VLOOKUP($B263,'Tillförd energi'!$B$1:$AI$720,MATCH(K$1,'Tillförd energi'!$B$1:$AQ$1,0),FALSE)</f>
        <v>0</v>
      </c>
      <c r="L263" s="31">
        <f>VLOOKUP($B263,'Tillförd energi'!$B$1:$AI$720,MATCH(L$1,'Tillförd energi'!$B$1:$AQ$1,0),FALSE)</f>
        <v>0</v>
      </c>
      <c r="M263" s="31">
        <f>VLOOKUP($B263,'Tillförd energi'!$B$1:$AI$720,MATCH(M$1,'Tillförd energi'!$B$1:$AQ$1,0),FALSE)</f>
        <v>0</v>
      </c>
      <c r="N263" s="31">
        <f>VLOOKUP($B263,'Tillförd energi'!$B$1:$AI$720,MATCH(N$1,'Tillförd energi'!$B$1:$AQ$1,0),FALSE)</f>
        <v>0</v>
      </c>
      <c r="O263" s="31">
        <f>VLOOKUP($B263,'Tillförd energi'!$B$1:$AI$720,MATCH(O$1,'Tillförd energi'!$B$1:$AQ$1,0),FALSE)</f>
        <v>0</v>
      </c>
      <c r="P263" s="31">
        <f>VLOOKUP($B263,'Tillförd energi'!$B$1:$AI$720,MATCH(P$1,'Tillförd energi'!$B$1:$AQ$1,0),FALSE)</f>
        <v>0</v>
      </c>
      <c r="Q263" s="31">
        <f>VLOOKUP($B263,'Tillförd energi'!$B$1:$AI$720,MATCH(Q$1,'Tillförd energi'!$B$1:$AQ$1,0),FALSE)</f>
        <v>0</v>
      </c>
      <c r="R263" s="31">
        <f>VLOOKUP($B263,'Tillförd energi'!$B$1:$AI$720,MATCH(R$1,'Tillförd energi'!$B$1:$AQ$1,0),FALSE)</f>
        <v>3.83</v>
      </c>
      <c r="S263" s="31">
        <f>VLOOKUP($B263,'Tillförd energi'!$B$1:$AI$720,MATCH(S$1,'Tillförd energi'!$B$1:$AQ$1,0),FALSE)</f>
        <v>0</v>
      </c>
      <c r="T263" s="31">
        <f>VLOOKUP($B263,'Tillförd energi'!$B$1:$AI$720,MATCH(T$1,'Tillförd energi'!$B$1:$AQ$1,0),FALSE)</f>
        <v>0</v>
      </c>
      <c r="U263" s="31">
        <f>VLOOKUP($B263,'Tillförd energi'!$B$1:$AI$720,MATCH(U$1,'Tillförd energi'!$B$1:$AQ$1,0),FALSE)</f>
        <v>0</v>
      </c>
      <c r="V263" s="31">
        <f>VLOOKUP($B263,'Tillförd energi'!$B$1:$AI$720,MATCH(V$1,'Tillförd energi'!$B$1:$AQ$1,0),FALSE)</f>
        <v>0</v>
      </c>
      <c r="W263" s="31">
        <f>VLOOKUP($B263,'Tillförd energi'!$B$1:$AI$720,MATCH(W$1,'Tillförd energi'!$B$1:$AQ$1,0),FALSE)</f>
        <v>0</v>
      </c>
      <c r="X263" s="31">
        <f>VLOOKUP($B263,'Tillförd energi'!$B$1:$AI$720,MATCH(X$1,'Tillförd energi'!$B$1:$AQ$1,0),FALSE)</f>
        <v>0</v>
      </c>
      <c r="Y263" s="31">
        <f>VLOOKUP($B263,'Tillförd energi'!$B$1:$AI$720,MATCH(Y$1,'Tillförd energi'!$B$1:$AQ$1,0),FALSE)</f>
        <v>0</v>
      </c>
      <c r="Z263" s="31">
        <f>VLOOKUP($B263,'Tillförd energi'!$B$1:$AI$720,MATCH(Z$1,'Tillförd energi'!$B$1:$AQ$1,0),FALSE)</f>
        <v>0</v>
      </c>
      <c r="AA263" s="31">
        <f>VLOOKUP($B263,'Tillförd energi'!$B$1:$AI$720,MATCH(AA$1,'Tillförd energi'!$B$1:$AQ$1,0),FALSE)</f>
        <v>0</v>
      </c>
      <c r="AB263" s="31">
        <f>VLOOKUP($B263,'Tillförd energi'!$B$1:$AI$720,MATCH(AB$1,'Tillförd energi'!$B$1:$AQ$1,0),FALSE)</f>
        <v>0</v>
      </c>
      <c r="AC263" s="31">
        <f>VLOOKUP($B263,'Tillförd energi'!$B$1:$AI$720,MATCH(AC$1,'Tillförd energi'!$B$1:$AQ$1,0),FALSE)</f>
        <v>0</v>
      </c>
      <c r="AD263" s="31">
        <f>VLOOKUP($B263,'Tillförd energi'!$B$1:$AI$720,MATCH(AD$1,'Tillförd energi'!$B$1:$AQ$1,0),FALSE)</f>
        <v>0</v>
      </c>
      <c r="AE263" s="31">
        <f>VLOOKUP($B263,'Tillförd energi'!$B$1:$AI$720,MATCH(AE$1,'Tillförd energi'!$B$1:$AQ$1,0),FALSE)</f>
        <v>0</v>
      </c>
      <c r="AF263" s="31">
        <f>VLOOKUP($B263,'Tillförd energi'!$B$1:$AI$720,MATCH(AF$1,'Tillförd energi'!$B$1:$AQ$1,0),FALSE)</f>
        <v>5.2499999999999998E-2</v>
      </c>
      <c r="AG263" s="31">
        <f>IFERROR(VLOOKUP(B263,Miljö!$B$1:$AC$550,MATCH("Köpt mängd produktionsspecifik fjärrvärme:",Miljö!$B$1:$AC$1,0),FALSE)/1,0)</f>
        <v>0</v>
      </c>
      <c r="AI263" s="31">
        <f t="shared" si="92"/>
        <v>3.95</v>
      </c>
      <c r="AJ263" s="31">
        <f t="shared" si="93"/>
        <v>3.95</v>
      </c>
      <c r="AK263" s="31">
        <f>IF(ISERROR(1/VLOOKUP($B263,Leveranser!$B$1:$S$499,MATCH("Såld värme (GWh)",Leveranser!$B$1:$S$1,0),FALSE)),"",VLOOKUP($B263,Leveranser!$B$1:$S$499,MATCH("Såld värme (GWh)",Leveranser!$B$1:$S$1,0),FALSE))</f>
        <v>3.0329999999999999</v>
      </c>
      <c r="AL263" s="31">
        <f>VLOOKUP($B263,Leveranser!$B$1:$Y$499,MATCH("Totalt såld fjärrvärme till andra fjärrvärmeföretag",Leveranser!$B$1:$AA$1,0),FALSE)</f>
        <v>0</v>
      </c>
      <c r="AM263" s="31">
        <f>IF(ISERROR(1/VLOOKUP($B263,Miljö!$B$1:$S$500,MATCH("Såld mängd produktionsspecifik fjärrvärme (GWh)",Miljö!$B$1:$R$1,0),FALSE)),0,VLOOKUP($B263,Miljö!$B$1:$S$500,MATCH("Såld mängd produktionsspecifik fjärrvärme (GWh)",Miljö!$B$1:$R$1,0),FALSE))</f>
        <v>0</v>
      </c>
      <c r="AN263" s="32">
        <f t="shared" si="94"/>
        <v>0.7678481012658227</v>
      </c>
      <c r="AP263" s="31" t="str">
        <f>IFERROR(VLOOKUP($B263,Miljövärden!$B$2:$H$550,7,FALSE),"Nej, saknas")</f>
        <v>Ja</v>
      </c>
      <c r="AQ263" s="31" t="str">
        <f>IFERROR(VLOOKUP($B263,Miljövärden!$B$2:$H$551,6,FALSE),"Nej, saknas")</f>
        <v>Nej</v>
      </c>
      <c r="AU263" s="31">
        <f t="shared" si="95"/>
        <v>5.2499999999999998E-2</v>
      </c>
      <c r="AV263" s="31">
        <f t="shared" si="96"/>
        <v>0</v>
      </c>
      <c r="AW263" s="31">
        <f t="shared" si="97"/>
        <v>0</v>
      </c>
      <c r="AX263" s="31">
        <f t="shared" si="98"/>
        <v>3.83</v>
      </c>
      <c r="AZ263" s="31">
        <f t="shared" si="99"/>
        <v>3.83</v>
      </c>
      <c r="BC263" s="31">
        <f t="shared" si="100"/>
        <v>6.7500000000000004E-2</v>
      </c>
      <c r="BD263" s="31">
        <f t="shared" si="101"/>
        <v>0</v>
      </c>
      <c r="BE263" s="31">
        <f t="shared" si="102"/>
        <v>3.83</v>
      </c>
      <c r="BF263" s="31">
        <f t="shared" si="103"/>
        <v>0</v>
      </c>
      <c r="BG263" s="31">
        <f t="shared" si="104"/>
        <v>5.2499999999999998E-2</v>
      </c>
      <c r="BH263" s="31">
        <f>VLOOKUP(B263,Miljö!$B$1:$BX$482,MATCH("Fossilandel för ursprungspecificerad el ()",Miljö!$B$1:$I$1,0),FALSE)</f>
        <v>0</v>
      </c>
      <c r="BI263" s="31">
        <f>VLOOKUP(B263,Miljö!$B$1:$BX$482,MATCH("Kärnkraftsandel för ursprungsspecificerad el ()",Miljö!$B$1:$O$1,0),FALSE)</f>
        <v>0</v>
      </c>
      <c r="BJ263" s="31">
        <f t="shared" si="105"/>
        <v>0</v>
      </c>
      <c r="BK263" s="31" t="str">
        <f>VLOOKUP(B263,Miljö!$B$1:$P$482,MATCH("Fossil andel i procent (%)",Miljö!$B$1:$P$1,0),FALSE)</f>
        <v>ET</v>
      </c>
      <c r="BL263" s="31">
        <f t="shared" si="106"/>
        <v>3.95</v>
      </c>
      <c r="BO263" s="32">
        <f t="shared" si="107"/>
        <v>1.708860759493671E-2</v>
      </c>
      <c r="BP263" s="32">
        <f t="shared" si="108"/>
        <v>0</v>
      </c>
      <c r="BQ263" s="32">
        <f t="shared" si="109"/>
        <v>0.98291139240506331</v>
      </c>
      <c r="BR263" s="32">
        <f t="shared" si="110"/>
        <v>0</v>
      </c>
      <c r="BT263" s="62">
        <f t="shared" si="111"/>
        <v>1</v>
      </c>
      <c r="BW263" s="32">
        <f>IF(AP263="Ja",VLOOKUP(B263,Miljövärden!$B$2:$H$551,MATCH("Total andel fossilt",Miljövärden!$B$2:$H$2,0),FALSE),"")</f>
        <v>1.7088599999999999E-2</v>
      </c>
      <c r="BX263" s="62">
        <f t="shared" si="112"/>
        <v>-7.5949367107919219E-9</v>
      </c>
      <c r="BZ263" s="31">
        <f t="shared" si="113"/>
        <v>-7.5949367107919219E-9</v>
      </c>
      <c r="CA263" s="32">
        <f t="shared" si="114"/>
        <v>0</v>
      </c>
    </row>
    <row r="264" spans="1:79" x14ac:dyDescent="0.45">
      <c r="A264" s="31" t="s">
        <v>336</v>
      </c>
      <c r="B264" s="31" t="s">
        <v>337</v>
      </c>
      <c r="C264" s="31">
        <f>VLOOKUP($B264,'Tillförd energi'!$B$1:$AI$720,MATCH(C$1,'Tillförd energi'!$B$1:$AQ$1,0),FALSE)</f>
        <v>0</v>
      </c>
      <c r="D264" s="31">
        <f>VLOOKUP($B264,'Tillförd energi'!$B$1:$AI$720,MATCH(D$1,'Tillförd energi'!$B$1:$AQ$1,0),FALSE)</f>
        <v>3.2800000000000003E-2</v>
      </c>
      <c r="E264" s="31">
        <f>VLOOKUP($B264,'Tillförd energi'!$B$1:$AI$720,MATCH(E$1,'Tillförd energi'!$B$1:$AQ$1,0),FALSE)</f>
        <v>0</v>
      </c>
      <c r="F264" s="31">
        <f>VLOOKUP($B264,'Tillförd energi'!$B$1:$AI$720,MATCH(F$1,'Tillförd energi'!$B$1:$AQ$1,0),FALSE)</f>
        <v>0</v>
      </c>
      <c r="G264" s="31">
        <f>VLOOKUP($B264,'Tillförd energi'!$B$1:$AI$720,MATCH(G$1,'Tillförd energi'!$B$1:$AQ$1,0),FALSE)</f>
        <v>0</v>
      </c>
      <c r="H264" s="31">
        <f>VLOOKUP($B264,'Tillförd energi'!$B$1:$AI$720,MATCH(H$1,'Tillförd energi'!$B$1:$AQ$1,0),FALSE)</f>
        <v>0</v>
      </c>
      <c r="I264" s="31">
        <f>VLOOKUP($B264,'Tillförd energi'!$B$1:$AI$720,MATCH(I$1,'Tillförd energi'!$B$1:$AQ$1,0),FALSE)</f>
        <v>0</v>
      </c>
      <c r="J264" s="31">
        <f>VLOOKUP($B264,'Tillförd energi'!$B$1:$AI$720,MATCH(J$1,'Tillförd energi'!$B$1:$AQ$1,0),FALSE)</f>
        <v>0</v>
      </c>
      <c r="K264" s="31">
        <f>VLOOKUP($B264,'Tillförd energi'!$B$1:$AI$720,MATCH(K$1,'Tillförd energi'!$B$1:$AQ$1,0),FALSE)</f>
        <v>0</v>
      </c>
      <c r="L264" s="31">
        <f>VLOOKUP($B264,'Tillförd energi'!$B$1:$AI$720,MATCH(L$1,'Tillförd energi'!$B$1:$AQ$1,0),FALSE)</f>
        <v>0</v>
      </c>
      <c r="M264" s="31">
        <f>VLOOKUP($B264,'Tillförd energi'!$B$1:$AI$720,MATCH(M$1,'Tillförd energi'!$B$1:$AQ$1,0),FALSE)</f>
        <v>0</v>
      </c>
      <c r="N264" s="31">
        <f>VLOOKUP($B264,'Tillförd energi'!$B$1:$AI$720,MATCH(N$1,'Tillförd energi'!$B$1:$AQ$1,0),FALSE)</f>
        <v>0</v>
      </c>
      <c r="O264" s="31">
        <f>VLOOKUP($B264,'Tillförd energi'!$B$1:$AI$720,MATCH(O$1,'Tillförd energi'!$B$1:$AQ$1,0),FALSE)</f>
        <v>0</v>
      </c>
      <c r="P264" s="31">
        <f>VLOOKUP($B264,'Tillförd energi'!$B$1:$AI$720,MATCH(P$1,'Tillförd energi'!$B$1:$AQ$1,0),FALSE)</f>
        <v>0</v>
      </c>
      <c r="Q264" s="31">
        <f>VLOOKUP($B264,'Tillförd energi'!$B$1:$AI$720,MATCH(Q$1,'Tillförd energi'!$B$1:$AQ$1,0),FALSE)</f>
        <v>0</v>
      </c>
      <c r="R264" s="31">
        <f>VLOOKUP($B264,'Tillförd energi'!$B$1:$AI$720,MATCH(R$1,'Tillförd energi'!$B$1:$AQ$1,0),FALSE)</f>
        <v>2.4359999999999999</v>
      </c>
      <c r="S264" s="31">
        <f>VLOOKUP($B264,'Tillförd energi'!$B$1:$AI$720,MATCH(S$1,'Tillförd energi'!$B$1:$AQ$1,0),FALSE)</f>
        <v>0</v>
      </c>
      <c r="T264" s="31">
        <f>VLOOKUP($B264,'Tillförd energi'!$B$1:$AI$720,MATCH(T$1,'Tillförd energi'!$B$1:$AQ$1,0),FALSE)</f>
        <v>0</v>
      </c>
      <c r="U264" s="31">
        <f>VLOOKUP($B264,'Tillförd energi'!$B$1:$AI$720,MATCH(U$1,'Tillförd energi'!$B$1:$AQ$1,0),FALSE)</f>
        <v>0</v>
      </c>
      <c r="V264" s="31">
        <f>VLOOKUP($B264,'Tillförd energi'!$B$1:$AI$720,MATCH(V$1,'Tillförd energi'!$B$1:$AQ$1,0),FALSE)</f>
        <v>0</v>
      </c>
      <c r="W264" s="31">
        <f>VLOOKUP($B264,'Tillförd energi'!$B$1:$AI$720,MATCH(W$1,'Tillförd energi'!$B$1:$AQ$1,0),FALSE)</f>
        <v>0</v>
      </c>
      <c r="X264" s="31">
        <f>VLOOKUP($B264,'Tillförd energi'!$B$1:$AI$720,MATCH(X$1,'Tillförd energi'!$B$1:$AQ$1,0),FALSE)</f>
        <v>0</v>
      </c>
      <c r="Y264" s="31">
        <f>VLOOKUP($B264,'Tillförd energi'!$B$1:$AI$720,MATCH(Y$1,'Tillförd energi'!$B$1:$AQ$1,0),FALSE)</f>
        <v>0</v>
      </c>
      <c r="Z264" s="31">
        <f>VLOOKUP($B264,'Tillförd energi'!$B$1:$AI$720,MATCH(Z$1,'Tillförd energi'!$B$1:$AQ$1,0),FALSE)</f>
        <v>0</v>
      </c>
      <c r="AA264" s="31">
        <f>VLOOKUP($B264,'Tillförd energi'!$B$1:$AI$720,MATCH(AA$1,'Tillförd energi'!$B$1:$AQ$1,0),FALSE)</f>
        <v>0</v>
      </c>
      <c r="AB264" s="31">
        <f>VLOOKUP($B264,'Tillförd energi'!$B$1:$AI$720,MATCH(AB$1,'Tillförd energi'!$B$1:$AQ$1,0),FALSE)</f>
        <v>0</v>
      </c>
      <c r="AC264" s="31">
        <f>VLOOKUP($B264,'Tillförd energi'!$B$1:$AI$720,MATCH(AC$1,'Tillförd energi'!$B$1:$AQ$1,0),FALSE)</f>
        <v>0</v>
      </c>
      <c r="AD264" s="31">
        <f>VLOOKUP($B264,'Tillförd energi'!$B$1:$AI$720,MATCH(AD$1,'Tillförd energi'!$B$1:$AQ$1,0),FALSE)</f>
        <v>0</v>
      </c>
      <c r="AE264" s="31">
        <f>VLOOKUP($B264,'Tillförd energi'!$B$1:$AI$720,MATCH(AE$1,'Tillförd energi'!$B$1:$AQ$1,0),FALSE)</f>
        <v>0</v>
      </c>
      <c r="AF264" s="31">
        <f>VLOOKUP($B264,'Tillförd energi'!$B$1:$AI$720,MATCH(AF$1,'Tillförd energi'!$B$1:$AQ$1,0),FALSE)</f>
        <v>2.2700000000000001E-2</v>
      </c>
      <c r="AG264" s="31">
        <f>IFERROR(VLOOKUP(B264,Miljö!$B$1:$AC$550,MATCH("Köpt mängd produktionsspecifik fjärrvärme:",Miljö!$B$1:$AC$1,0),FALSE)/1,0)</f>
        <v>0</v>
      </c>
      <c r="AI264" s="31">
        <f t="shared" si="92"/>
        <v>2.4914999999999998</v>
      </c>
      <c r="AJ264" s="31">
        <f t="shared" si="93"/>
        <v>2.4914999999999998</v>
      </c>
      <c r="AK264" s="31">
        <f>IF(ISERROR(1/VLOOKUP($B264,Leveranser!$B$1:$S$499,MATCH("Såld värme (GWh)",Leveranser!$B$1:$S$1,0),FALSE)),"",VLOOKUP($B264,Leveranser!$B$1:$S$499,MATCH("Såld värme (GWh)",Leveranser!$B$1:$S$1,0),FALSE))</f>
        <v>1.988</v>
      </c>
      <c r="AL264" s="31">
        <f>VLOOKUP($B264,Leveranser!$B$1:$Y$499,MATCH("Totalt såld fjärrvärme till andra fjärrvärmeföretag",Leveranser!$B$1:$AA$1,0),FALSE)</f>
        <v>0</v>
      </c>
      <c r="AM264" s="31">
        <f>IF(ISERROR(1/VLOOKUP($B264,Miljö!$B$1:$S$500,MATCH("Såld mängd produktionsspecifik fjärrvärme (GWh)",Miljö!$B$1:$R$1,0),FALSE)),0,VLOOKUP($B264,Miljö!$B$1:$S$500,MATCH("Såld mängd produktionsspecifik fjärrvärme (GWh)",Miljö!$B$1:$R$1,0),FALSE))</f>
        <v>0</v>
      </c>
      <c r="AN264" s="32">
        <f t="shared" si="94"/>
        <v>0.79791290387316882</v>
      </c>
      <c r="AP264" s="31" t="str">
        <f>IFERROR(VLOOKUP($B264,Miljövärden!$B$2:$H$550,7,FALSE),"Nej, saknas")</f>
        <v>Ja</v>
      </c>
      <c r="AQ264" s="31" t="str">
        <f>IFERROR(VLOOKUP($B264,Miljövärden!$B$2:$H$551,6,FALSE),"Nej, saknas")</f>
        <v>Nej</v>
      </c>
      <c r="AU264" s="31">
        <f t="shared" si="95"/>
        <v>2.2700000000000001E-2</v>
      </c>
      <c r="AV264" s="31">
        <f t="shared" si="96"/>
        <v>0</v>
      </c>
      <c r="AW264" s="31">
        <f t="shared" si="97"/>
        <v>0</v>
      </c>
      <c r="AX264" s="31">
        <f t="shared" si="98"/>
        <v>2.4359999999999999</v>
      </c>
      <c r="AZ264" s="31">
        <f t="shared" si="99"/>
        <v>2.4359999999999999</v>
      </c>
      <c r="BC264" s="31">
        <f t="shared" si="100"/>
        <v>3.2800000000000003E-2</v>
      </c>
      <c r="BD264" s="31">
        <f t="shared" si="101"/>
        <v>0</v>
      </c>
      <c r="BE264" s="31">
        <f t="shared" si="102"/>
        <v>2.4359999999999999</v>
      </c>
      <c r="BF264" s="31">
        <f t="shared" si="103"/>
        <v>0</v>
      </c>
      <c r="BG264" s="31">
        <f t="shared" si="104"/>
        <v>2.2700000000000001E-2</v>
      </c>
      <c r="BH264" s="31">
        <f>VLOOKUP(B264,Miljö!$B$1:$BX$482,MATCH("Fossilandel för ursprungspecificerad el ()",Miljö!$B$1:$I$1,0),FALSE)</f>
        <v>0</v>
      </c>
      <c r="BI264" s="31">
        <f>VLOOKUP(B264,Miljö!$B$1:$BX$482,MATCH("Kärnkraftsandel för ursprungsspecificerad el ()",Miljö!$B$1:$O$1,0),FALSE)</f>
        <v>0</v>
      </c>
      <c r="BJ264" s="31">
        <f t="shared" si="105"/>
        <v>0</v>
      </c>
      <c r="BK264" s="31" t="str">
        <f>VLOOKUP(B264,Miljö!$B$1:$P$482,MATCH("Fossil andel i procent (%)",Miljö!$B$1:$P$1,0),FALSE)</f>
        <v>ET</v>
      </c>
      <c r="BL264" s="31">
        <f t="shared" si="106"/>
        <v>2.4914999999999998</v>
      </c>
      <c r="BO264" s="32">
        <f t="shared" si="107"/>
        <v>1.3164760184627736E-2</v>
      </c>
      <c r="BP264" s="32">
        <f t="shared" si="108"/>
        <v>0</v>
      </c>
      <c r="BQ264" s="32">
        <f t="shared" si="109"/>
        <v>0.98683523981537224</v>
      </c>
      <c r="BR264" s="32">
        <f t="shared" si="110"/>
        <v>0</v>
      </c>
      <c r="BT264" s="62">
        <f t="shared" si="111"/>
        <v>1</v>
      </c>
      <c r="BW264" s="32">
        <f>IF(AP264="Ja",VLOOKUP(B264,Miljövärden!$B$2:$H$551,MATCH("Total andel fossilt",Miljövärden!$B$2:$H$2,0),FALSE),"")</f>
        <v>1.3164800000000001E-2</v>
      </c>
      <c r="BX264" s="62">
        <f t="shared" si="112"/>
        <v>3.9815372264787041E-8</v>
      </c>
      <c r="BZ264" s="31">
        <f t="shared" si="113"/>
        <v>3.9815372264787041E-8</v>
      </c>
      <c r="CA264" s="32">
        <f t="shared" si="114"/>
        <v>0</v>
      </c>
    </row>
    <row r="265" spans="1:79" x14ac:dyDescent="0.45">
      <c r="A265" s="31" t="s">
        <v>333</v>
      </c>
      <c r="B265" s="31" t="s">
        <v>334</v>
      </c>
      <c r="C265" s="31">
        <f>VLOOKUP($B265,'Tillförd energi'!$B$1:$AI$720,MATCH(C$1,'Tillförd energi'!$B$1:$AQ$1,0),FALSE)</f>
        <v>0</v>
      </c>
      <c r="D265" s="31">
        <f>VLOOKUP($B265,'Tillförd energi'!$B$1:$AI$720,MATCH(D$1,'Tillförd energi'!$B$1:$AQ$1,0),FALSE)</f>
        <v>0.17100000000000001</v>
      </c>
      <c r="E265" s="31">
        <f>VLOOKUP($B265,'Tillförd energi'!$B$1:$AI$720,MATCH(E$1,'Tillförd energi'!$B$1:$AQ$1,0),FALSE)</f>
        <v>0</v>
      </c>
      <c r="F265" s="31">
        <f>VLOOKUP($B265,'Tillförd energi'!$B$1:$AI$720,MATCH(F$1,'Tillförd energi'!$B$1:$AQ$1,0),FALSE)</f>
        <v>0</v>
      </c>
      <c r="G265" s="31">
        <f>VLOOKUP($B265,'Tillförd energi'!$B$1:$AI$720,MATCH(G$1,'Tillförd energi'!$B$1:$AQ$1,0),FALSE)</f>
        <v>0</v>
      </c>
      <c r="H265" s="31">
        <f>VLOOKUP($B265,'Tillförd energi'!$B$1:$AI$720,MATCH(H$1,'Tillförd energi'!$B$1:$AQ$1,0),FALSE)</f>
        <v>0</v>
      </c>
      <c r="I265" s="31">
        <f>VLOOKUP($B265,'Tillförd energi'!$B$1:$AI$720,MATCH(I$1,'Tillförd energi'!$B$1:$AQ$1,0),FALSE)</f>
        <v>0</v>
      </c>
      <c r="J265" s="31">
        <f>VLOOKUP($B265,'Tillförd energi'!$B$1:$AI$720,MATCH(J$1,'Tillförd energi'!$B$1:$AQ$1,0),FALSE)</f>
        <v>0</v>
      </c>
      <c r="K265" s="31">
        <f>VLOOKUP($B265,'Tillförd energi'!$B$1:$AI$720,MATCH(K$1,'Tillförd energi'!$B$1:$AQ$1,0),FALSE)</f>
        <v>0</v>
      </c>
      <c r="L265" s="31">
        <f>VLOOKUP($B265,'Tillförd energi'!$B$1:$AI$720,MATCH(L$1,'Tillförd energi'!$B$1:$AQ$1,0),FALSE)</f>
        <v>0</v>
      </c>
      <c r="M265" s="31">
        <f>VLOOKUP($B265,'Tillförd energi'!$B$1:$AI$720,MATCH(M$1,'Tillförd energi'!$B$1:$AQ$1,0),FALSE)</f>
        <v>0</v>
      </c>
      <c r="N265" s="31">
        <f>VLOOKUP($B265,'Tillförd energi'!$B$1:$AI$720,MATCH(N$1,'Tillförd energi'!$B$1:$AQ$1,0),FALSE)</f>
        <v>0</v>
      </c>
      <c r="O265" s="31">
        <f>VLOOKUP($B265,'Tillförd energi'!$B$1:$AI$720,MATCH(O$1,'Tillförd energi'!$B$1:$AQ$1,0),FALSE)</f>
        <v>0</v>
      </c>
      <c r="P265" s="31">
        <f>VLOOKUP($B265,'Tillförd energi'!$B$1:$AI$720,MATCH(P$1,'Tillförd energi'!$B$1:$AQ$1,0),FALSE)</f>
        <v>0</v>
      </c>
      <c r="Q265" s="31">
        <f>VLOOKUP($B265,'Tillförd energi'!$B$1:$AI$720,MATCH(Q$1,'Tillförd energi'!$B$1:$AQ$1,0),FALSE)</f>
        <v>0</v>
      </c>
      <c r="R265" s="31">
        <f>VLOOKUP($B265,'Tillförd energi'!$B$1:$AI$720,MATCH(R$1,'Tillförd energi'!$B$1:$AQ$1,0),FALSE)</f>
        <v>18.629000000000001</v>
      </c>
      <c r="S265" s="31">
        <f>VLOOKUP($B265,'Tillförd energi'!$B$1:$AI$720,MATCH(S$1,'Tillförd energi'!$B$1:$AQ$1,0),FALSE)</f>
        <v>0</v>
      </c>
      <c r="T265" s="31">
        <f>VLOOKUP($B265,'Tillförd energi'!$B$1:$AI$720,MATCH(T$1,'Tillförd energi'!$B$1:$AQ$1,0),FALSE)</f>
        <v>0</v>
      </c>
      <c r="U265" s="31">
        <f>VLOOKUP($B265,'Tillförd energi'!$B$1:$AI$720,MATCH(U$1,'Tillförd energi'!$B$1:$AQ$1,0),FALSE)</f>
        <v>0</v>
      </c>
      <c r="V265" s="31">
        <f>VLOOKUP($B265,'Tillförd energi'!$B$1:$AI$720,MATCH(V$1,'Tillförd energi'!$B$1:$AQ$1,0),FALSE)</f>
        <v>0</v>
      </c>
      <c r="W265" s="31">
        <f>VLOOKUP($B265,'Tillförd energi'!$B$1:$AI$720,MATCH(W$1,'Tillförd energi'!$B$1:$AQ$1,0),FALSE)</f>
        <v>0</v>
      </c>
      <c r="X265" s="31">
        <f>VLOOKUP($B265,'Tillförd energi'!$B$1:$AI$720,MATCH(X$1,'Tillförd energi'!$B$1:$AQ$1,0),FALSE)</f>
        <v>0</v>
      </c>
      <c r="Y265" s="31">
        <f>VLOOKUP($B265,'Tillförd energi'!$B$1:$AI$720,MATCH(Y$1,'Tillförd energi'!$B$1:$AQ$1,0),FALSE)</f>
        <v>0</v>
      </c>
      <c r="Z265" s="31">
        <f>VLOOKUP($B265,'Tillförd energi'!$B$1:$AI$720,MATCH(Z$1,'Tillförd energi'!$B$1:$AQ$1,0),FALSE)</f>
        <v>0</v>
      </c>
      <c r="AA265" s="31">
        <f>VLOOKUP($B265,'Tillförd energi'!$B$1:$AI$720,MATCH(AA$1,'Tillförd energi'!$B$1:$AQ$1,0),FALSE)</f>
        <v>0</v>
      </c>
      <c r="AB265" s="31">
        <f>VLOOKUP($B265,'Tillförd energi'!$B$1:$AI$720,MATCH(AB$1,'Tillförd energi'!$B$1:$AQ$1,0),FALSE)</f>
        <v>0</v>
      </c>
      <c r="AC265" s="31">
        <f>VLOOKUP($B265,'Tillförd energi'!$B$1:$AI$720,MATCH(AC$1,'Tillförd energi'!$B$1:$AQ$1,0),FALSE)</f>
        <v>0</v>
      </c>
      <c r="AD265" s="31">
        <f>VLOOKUP($B265,'Tillförd energi'!$B$1:$AI$720,MATCH(AD$1,'Tillförd energi'!$B$1:$AQ$1,0),FALSE)</f>
        <v>24.907</v>
      </c>
      <c r="AE265" s="31">
        <f>VLOOKUP($B265,'Tillförd energi'!$B$1:$AI$720,MATCH(AE$1,'Tillförd energi'!$B$1:$AQ$1,0),FALSE)</f>
        <v>0</v>
      </c>
      <c r="AF265" s="31">
        <f>VLOOKUP($B265,'Tillförd energi'!$B$1:$AI$720,MATCH(AF$1,'Tillförd energi'!$B$1:$AQ$1,0),FALSE)</f>
        <v>0.9</v>
      </c>
      <c r="AG265" s="31">
        <f>IFERROR(VLOOKUP(B265,Miljö!$B$1:$AC$550,MATCH("Köpt mängd produktionsspecifik fjärrvärme:",Miljö!$B$1:$AC$1,0),FALSE)/1,0)</f>
        <v>0</v>
      </c>
      <c r="AI265" s="31">
        <f t="shared" si="92"/>
        <v>44.606999999999999</v>
      </c>
      <c r="AJ265" s="31">
        <f t="shared" si="93"/>
        <v>44.606999999999999</v>
      </c>
      <c r="AK265" s="31">
        <f>IF(ISERROR(1/VLOOKUP($B265,Leveranser!$B$1:$S$499,MATCH("Såld värme (GWh)",Leveranser!$B$1:$S$1,0),FALSE)),"",VLOOKUP($B265,Leveranser!$B$1:$S$499,MATCH("Såld värme (GWh)",Leveranser!$B$1:$S$1,0),FALSE))</f>
        <v>42.633000000000003</v>
      </c>
      <c r="AL265" s="31">
        <f>VLOOKUP($B265,Leveranser!$B$1:$Y$499,MATCH("Totalt såld fjärrvärme till andra fjärrvärmeföretag",Leveranser!$B$1:$AA$1,0),FALSE)</f>
        <v>0</v>
      </c>
      <c r="AM265" s="31">
        <f>IF(ISERROR(1/VLOOKUP($B265,Miljö!$B$1:$S$500,MATCH("Såld mängd produktionsspecifik fjärrvärme (GWh)",Miljö!$B$1:$R$1,0),FALSE)),0,VLOOKUP($B265,Miljö!$B$1:$S$500,MATCH("Såld mängd produktionsspecifik fjärrvärme (GWh)",Miljö!$B$1:$R$1,0),FALSE))</f>
        <v>0</v>
      </c>
      <c r="AN265" s="32">
        <f t="shared" si="94"/>
        <v>0.95574685587463859</v>
      </c>
      <c r="AP265" s="31" t="str">
        <f>IFERROR(VLOOKUP($B265,Miljövärden!$B$2:$H$550,7,FALSE),"Nej, saknas")</f>
        <v>Ja</v>
      </c>
      <c r="AQ265" s="31" t="str">
        <f>IFERROR(VLOOKUP($B265,Miljövärden!$B$2:$H$551,6,FALSE),"Nej, saknas")</f>
        <v>Nej</v>
      </c>
      <c r="AU265" s="31">
        <f t="shared" si="95"/>
        <v>0.9</v>
      </c>
      <c r="AV265" s="31">
        <f t="shared" si="96"/>
        <v>0</v>
      </c>
      <c r="AW265" s="31">
        <f t="shared" si="97"/>
        <v>0</v>
      </c>
      <c r="AX265" s="31">
        <f t="shared" si="98"/>
        <v>18.629000000000001</v>
      </c>
      <c r="AZ265" s="31">
        <f t="shared" si="99"/>
        <v>18.629000000000001</v>
      </c>
      <c r="BC265" s="31">
        <f t="shared" si="100"/>
        <v>0.17100000000000001</v>
      </c>
      <c r="BD265" s="31">
        <f t="shared" si="101"/>
        <v>0</v>
      </c>
      <c r="BE265" s="31">
        <f t="shared" si="102"/>
        <v>18.629000000000001</v>
      </c>
      <c r="BF265" s="31">
        <f t="shared" si="103"/>
        <v>24.907</v>
      </c>
      <c r="BG265" s="31">
        <f t="shared" si="104"/>
        <v>0.9</v>
      </c>
      <c r="BH265" s="31">
        <f>VLOOKUP(B265,Miljö!$B$1:$BX$482,MATCH("Fossilandel för ursprungspecificerad el ()",Miljö!$B$1:$I$1,0),FALSE)</f>
        <v>0.35</v>
      </c>
      <c r="BI265" s="31">
        <f>VLOOKUP(B265,Miljö!$B$1:$BX$482,MATCH("Kärnkraftsandel för ursprungsspecificerad el ()",Miljö!$B$1:$O$1,0),FALSE)</f>
        <v>0.3977</v>
      </c>
      <c r="BJ265" s="31">
        <f t="shared" si="105"/>
        <v>0</v>
      </c>
      <c r="BK265" s="31" t="str">
        <f>VLOOKUP(B265,Miljö!$B$1:$P$482,MATCH("Fossil andel i procent (%)",Miljö!$B$1:$P$1,0),FALSE)</f>
        <v>ET</v>
      </c>
      <c r="BL265" s="31">
        <f t="shared" si="106"/>
        <v>44.606999999999999</v>
      </c>
      <c r="BO265" s="32">
        <f t="shared" si="107"/>
        <v>1.0895150985271371E-2</v>
      </c>
      <c r="BP265" s="32">
        <f t="shared" si="108"/>
        <v>8.0240769385970818E-3</v>
      </c>
      <c r="BQ265" s="32">
        <f t="shared" si="109"/>
        <v>0.42271549308404516</v>
      </c>
      <c r="BR265" s="32">
        <f t="shared" si="110"/>
        <v>0.55836527899208643</v>
      </c>
      <c r="BT265" s="62">
        <f t="shared" si="111"/>
        <v>1</v>
      </c>
      <c r="BW265" s="32">
        <f>IF(AP265="Ja",VLOOKUP(B265,Miljövärden!$B$2:$H$551,MATCH("Total andel fossilt",Miljövärden!$B$2:$H$2,0),FALSE),"")</f>
        <v>1.0895200000000001E-2</v>
      </c>
      <c r="BX265" s="62">
        <f t="shared" si="112"/>
        <v>4.9014728630003557E-8</v>
      </c>
      <c r="BZ265" s="31">
        <f t="shared" si="113"/>
        <v>4.9014728630003557E-8</v>
      </c>
      <c r="CA265" s="32">
        <f t="shared" si="114"/>
        <v>0</v>
      </c>
    </row>
    <row r="266" spans="1:79" x14ac:dyDescent="0.45">
      <c r="A266" s="31" t="s">
        <v>333</v>
      </c>
      <c r="B266" s="31" t="s">
        <v>332</v>
      </c>
      <c r="C266" s="31">
        <f>VLOOKUP($B266,'Tillförd energi'!$B$1:$AI$720,MATCH(C$1,'Tillförd energi'!$B$1:$AQ$1,0),FALSE)</f>
        <v>0</v>
      </c>
      <c r="D266" s="31">
        <f>VLOOKUP($B266,'Tillförd energi'!$B$1:$AI$720,MATCH(D$1,'Tillförd energi'!$B$1:$AQ$1,0),FALSE)</f>
        <v>5.7000000000000002E-2</v>
      </c>
      <c r="E266" s="31">
        <f>VLOOKUP($B266,'Tillförd energi'!$B$1:$AI$720,MATCH(E$1,'Tillförd energi'!$B$1:$AQ$1,0),FALSE)</f>
        <v>0</v>
      </c>
      <c r="F266" s="31">
        <f>VLOOKUP($B266,'Tillförd energi'!$B$1:$AI$720,MATCH(F$1,'Tillförd energi'!$B$1:$AQ$1,0),FALSE)</f>
        <v>0</v>
      </c>
      <c r="G266" s="31">
        <f>VLOOKUP($B266,'Tillförd energi'!$B$1:$AI$720,MATCH(G$1,'Tillförd energi'!$B$1:$AQ$1,0),FALSE)</f>
        <v>0</v>
      </c>
      <c r="H266" s="31">
        <f>VLOOKUP($B266,'Tillförd energi'!$B$1:$AI$720,MATCH(H$1,'Tillförd energi'!$B$1:$AQ$1,0),FALSE)</f>
        <v>0</v>
      </c>
      <c r="I266" s="31">
        <f>VLOOKUP($B266,'Tillförd energi'!$B$1:$AI$720,MATCH(I$1,'Tillförd energi'!$B$1:$AQ$1,0),FALSE)</f>
        <v>0</v>
      </c>
      <c r="J266" s="31">
        <f>VLOOKUP($B266,'Tillförd energi'!$B$1:$AI$720,MATCH(J$1,'Tillförd energi'!$B$1:$AQ$1,0),FALSE)</f>
        <v>0</v>
      </c>
      <c r="K266" s="31">
        <f>VLOOKUP($B266,'Tillförd energi'!$B$1:$AI$720,MATCH(K$1,'Tillförd energi'!$B$1:$AQ$1,0),FALSE)</f>
        <v>0</v>
      </c>
      <c r="L266" s="31">
        <f>VLOOKUP($B266,'Tillförd energi'!$B$1:$AI$720,MATCH(L$1,'Tillförd energi'!$B$1:$AQ$1,0),FALSE)</f>
        <v>0</v>
      </c>
      <c r="M266" s="31">
        <f>VLOOKUP($B266,'Tillförd energi'!$B$1:$AI$720,MATCH(M$1,'Tillförd energi'!$B$1:$AQ$1,0),FALSE)</f>
        <v>0</v>
      </c>
      <c r="N266" s="31">
        <f>VLOOKUP($B266,'Tillförd energi'!$B$1:$AI$720,MATCH(N$1,'Tillförd energi'!$B$1:$AQ$1,0),FALSE)</f>
        <v>0</v>
      </c>
      <c r="O266" s="31">
        <f>VLOOKUP($B266,'Tillförd energi'!$B$1:$AI$720,MATCH(O$1,'Tillförd energi'!$B$1:$AQ$1,0),FALSE)</f>
        <v>0</v>
      </c>
      <c r="P266" s="31">
        <f>VLOOKUP($B266,'Tillförd energi'!$B$1:$AI$720,MATCH(P$1,'Tillförd energi'!$B$1:$AQ$1,0),FALSE)</f>
        <v>0</v>
      </c>
      <c r="Q266" s="31">
        <f>VLOOKUP($B266,'Tillförd energi'!$B$1:$AI$720,MATCH(Q$1,'Tillförd energi'!$B$1:$AQ$1,0),FALSE)</f>
        <v>5.3882399999999997</v>
      </c>
      <c r="R266" s="31">
        <f>VLOOKUP($B266,'Tillförd energi'!$B$1:$AI$720,MATCH(R$1,'Tillförd energi'!$B$1:$AQ$1,0),FALSE)</f>
        <v>0</v>
      </c>
      <c r="S266" s="31">
        <f>VLOOKUP($B266,'Tillförd energi'!$B$1:$AI$720,MATCH(S$1,'Tillförd energi'!$B$1:$AQ$1,0),FALSE)</f>
        <v>0</v>
      </c>
      <c r="T266" s="31">
        <f>VLOOKUP($B266,'Tillförd energi'!$B$1:$AI$720,MATCH(T$1,'Tillförd energi'!$B$1:$AQ$1,0),FALSE)</f>
        <v>0</v>
      </c>
      <c r="U266" s="31">
        <f>VLOOKUP($B266,'Tillförd energi'!$B$1:$AI$720,MATCH(U$1,'Tillförd energi'!$B$1:$AQ$1,0),FALSE)</f>
        <v>0</v>
      </c>
      <c r="V266" s="31">
        <f>VLOOKUP($B266,'Tillförd energi'!$B$1:$AI$720,MATCH(V$1,'Tillförd energi'!$B$1:$AQ$1,0),FALSE)</f>
        <v>0</v>
      </c>
      <c r="W266" s="31">
        <f>VLOOKUP($B266,'Tillförd energi'!$B$1:$AI$720,MATCH(W$1,'Tillförd energi'!$B$1:$AQ$1,0),FALSE)</f>
        <v>0</v>
      </c>
      <c r="X266" s="31">
        <f>VLOOKUP($B266,'Tillförd energi'!$B$1:$AI$720,MATCH(X$1,'Tillförd energi'!$B$1:$AQ$1,0),FALSE)</f>
        <v>0</v>
      </c>
      <c r="Y266" s="31">
        <f>VLOOKUP($B266,'Tillförd energi'!$B$1:$AI$720,MATCH(Y$1,'Tillförd energi'!$B$1:$AQ$1,0),FALSE)</f>
        <v>0</v>
      </c>
      <c r="Z266" s="31">
        <f>VLOOKUP($B266,'Tillförd energi'!$B$1:$AI$720,MATCH(Z$1,'Tillförd energi'!$B$1:$AQ$1,0),FALSE)</f>
        <v>0</v>
      </c>
      <c r="AA266" s="31">
        <f>VLOOKUP($B266,'Tillförd energi'!$B$1:$AI$720,MATCH(AA$1,'Tillförd energi'!$B$1:$AQ$1,0),FALSE)</f>
        <v>0</v>
      </c>
      <c r="AB266" s="31">
        <f>VLOOKUP($B266,'Tillförd energi'!$B$1:$AI$720,MATCH(AB$1,'Tillförd energi'!$B$1:$AQ$1,0),FALSE)</f>
        <v>0</v>
      </c>
      <c r="AC266" s="31">
        <f>VLOOKUP($B266,'Tillförd energi'!$B$1:$AI$720,MATCH(AC$1,'Tillförd energi'!$B$1:$AQ$1,0),FALSE)</f>
        <v>0</v>
      </c>
      <c r="AD266" s="31">
        <f>VLOOKUP($B266,'Tillförd energi'!$B$1:$AI$720,MATCH(AD$1,'Tillförd energi'!$B$1:$AQ$1,0),FALSE)</f>
        <v>0</v>
      </c>
      <c r="AE266" s="31">
        <f>VLOOKUP($B266,'Tillförd energi'!$B$1:$AI$720,MATCH(AE$1,'Tillförd energi'!$B$1:$AQ$1,0),FALSE)</f>
        <v>0</v>
      </c>
      <c r="AF266" s="31">
        <f>VLOOKUP($B266,'Tillförd energi'!$B$1:$AI$720,MATCH(AF$1,'Tillförd energi'!$B$1:$AQ$1,0),FALSE)</f>
        <v>0.1</v>
      </c>
      <c r="AG266" s="31">
        <f>IFERROR(VLOOKUP(B266,Miljö!$B$1:$AC$550,MATCH("Köpt mängd produktionsspecifik fjärrvärme:",Miljö!$B$1:$AC$1,0),FALSE)/1,0)</f>
        <v>0</v>
      </c>
      <c r="AI266" s="31">
        <f t="shared" si="92"/>
        <v>5.5452399999999997</v>
      </c>
      <c r="AJ266" s="31">
        <f t="shared" si="93"/>
        <v>5.5452399999999997</v>
      </c>
      <c r="AK266" s="31">
        <f>IF(ISERROR(1/VLOOKUP($B266,Leveranser!$B$1:$S$499,MATCH("Såld värme (GWh)",Leveranser!$B$1:$S$1,0),FALSE)),"",VLOOKUP($B266,Leveranser!$B$1:$S$499,MATCH("Såld värme (GWh)",Leveranser!$B$1:$S$1,0),FALSE))</f>
        <v>4.0339999999999998</v>
      </c>
      <c r="AL266" s="31">
        <f>VLOOKUP($B266,Leveranser!$B$1:$Y$499,MATCH("Totalt såld fjärrvärme till andra fjärrvärmeföretag",Leveranser!$B$1:$AA$1,0),FALSE)</f>
        <v>0</v>
      </c>
      <c r="AM266" s="31">
        <f>IF(ISERROR(1/VLOOKUP($B266,Miljö!$B$1:$S$500,MATCH("Såld mängd produktionsspecifik fjärrvärme (GWh)",Miljö!$B$1:$R$1,0),FALSE)),0,VLOOKUP($B266,Miljö!$B$1:$S$500,MATCH("Såld mängd produktionsspecifik fjärrvärme (GWh)",Miljö!$B$1:$R$1,0),FALSE))</f>
        <v>0</v>
      </c>
      <c r="AN266" s="32">
        <f t="shared" si="94"/>
        <v>0.72747076772150532</v>
      </c>
      <c r="AP266" s="31" t="str">
        <f>IFERROR(VLOOKUP($B266,Miljövärden!$B$2:$H$550,7,FALSE),"Nej, saknas")</f>
        <v>Ja</v>
      </c>
      <c r="AQ266" s="31" t="str">
        <f>IFERROR(VLOOKUP($B266,Miljövärden!$B$2:$H$551,6,FALSE),"Nej, saknas")</f>
        <v>Nej</v>
      </c>
      <c r="AU266" s="31">
        <f t="shared" si="95"/>
        <v>0.1</v>
      </c>
      <c r="AV266" s="31">
        <f t="shared" si="96"/>
        <v>0</v>
      </c>
      <c r="AW266" s="31">
        <f t="shared" si="97"/>
        <v>5.3882399999999997</v>
      </c>
      <c r="AX266" s="31">
        <f t="shared" si="98"/>
        <v>0</v>
      </c>
      <c r="AZ266" s="31">
        <f t="shared" si="99"/>
        <v>5.3882399999999997</v>
      </c>
      <c r="BC266" s="31">
        <f t="shared" si="100"/>
        <v>5.7000000000000002E-2</v>
      </c>
      <c r="BD266" s="31">
        <f t="shared" si="101"/>
        <v>0</v>
      </c>
      <c r="BE266" s="31">
        <f t="shared" si="102"/>
        <v>5.3882399999999997</v>
      </c>
      <c r="BF266" s="31">
        <f t="shared" si="103"/>
        <v>0</v>
      </c>
      <c r="BG266" s="31">
        <f t="shared" si="104"/>
        <v>0.1</v>
      </c>
      <c r="BH266" s="31">
        <f>VLOOKUP(B266,Miljö!$B$1:$BX$482,MATCH("Fossilandel för ursprungspecificerad el ()",Miljö!$B$1:$I$1,0),FALSE)</f>
        <v>0.35</v>
      </c>
      <c r="BI266" s="31">
        <f>VLOOKUP(B266,Miljö!$B$1:$BX$482,MATCH("Kärnkraftsandel för ursprungsspecificerad el ()",Miljö!$B$1:$O$1,0),FALSE)</f>
        <v>0.3977</v>
      </c>
      <c r="BJ266" s="31">
        <f t="shared" si="105"/>
        <v>0</v>
      </c>
      <c r="BK266" s="31" t="str">
        <f>VLOOKUP(B266,Miljö!$B$1:$P$482,MATCH("Fossil andel i procent (%)",Miljö!$B$1:$P$1,0),FALSE)</f>
        <v>ET</v>
      </c>
      <c r="BL266" s="31">
        <f t="shared" si="106"/>
        <v>5.5452399999999997</v>
      </c>
      <c r="BO266" s="32">
        <f t="shared" si="107"/>
        <v>1.6590805808224713E-2</v>
      </c>
      <c r="BP266" s="32">
        <f t="shared" si="108"/>
        <v>7.1719168151423568E-3</v>
      </c>
      <c r="BQ266" s="32">
        <f t="shared" si="109"/>
        <v>0.97623727737663291</v>
      </c>
      <c r="BR266" s="32">
        <f t="shared" si="110"/>
        <v>0</v>
      </c>
      <c r="BT266" s="62">
        <f t="shared" si="111"/>
        <v>1</v>
      </c>
      <c r="BW266" s="32">
        <f>IF(AP266="Ja",VLOOKUP(B266,Miljövärden!$B$2:$H$551,MATCH("Total andel fossilt",Miljövärden!$B$2:$H$2,0),FALSE),"")</f>
        <v>1.6590799999999999E-2</v>
      </c>
      <c r="BX266" s="62">
        <f t="shared" si="112"/>
        <v>-5.8082247136881371E-9</v>
      </c>
      <c r="BZ266" s="31">
        <f t="shared" si="113"/>
        <v>-5.8082247136881371E-9</v>
      </c>
      <c r="CA266" s="32">
        <f t="shared" si="114"/>
        <v>0</v>
      </c>
    </row>
    <row r="267" spans="1:79" x14ac:dyDescent="0.45">
      <c r="A267" s="31" t="s">
        <v>331</v>
      </c>
      <c r="B267" s="31" t="s">
        <v>330</v>
      </c>
      <c r="C267" s="31">
        <f>VLOOKUP($B267,'Tillförd energi'!$B$1:$AI$720,MATCH(C$1,'Tillförd energi'!$B$1:$AQ$1,0),FALSE)</f>
        <v>0</v>
      </c>
      <c r="D267" s="31">
        <f>VLOOKUP($B267,'Tillförd energi'!$B$1:$AI$720,MATCH(D$1,'Tillförd energi'!$B$1:$AQ$1,0),FALSE)</f>
        <v>0</v>
      </c>
      <c r="E267" s="31">
        <f>VLOOKUP($B267,'Tillförd energi'!$B$1:$AI$720,MATCH(E$1,'Tillförd energi'!$B$1:$AQ$1,0),FALSE)</f>
        <v>0</v>
      </c>
      <c r="F267" s="31">
        <f>VLOOKUP($B267,'Tillförd energi'!$B$1:$AI$720,MATCH(F$1,'Tillförd energi'!$B$1:$AQ$1,0),FALSE)</f>
        <v>0</v>
      </c>
      <c r="G267" s="31">
        <f>VLOOKUP($B267,'Tillförd energi'!$B$1:$AI$720,MATCH(G$1,'Tillförd energi'!$B$1:$AQ$1,0),FALSE)</f>
        <v>0</v>
      </c>
      <c r="H267" s="31">
        <f>VLOOKUP($B267,'Tillförd energi'!$B$1:$AI$720,MATCH(H$1,'Tillförd energi'!$B$1:$AQ$1,0),FALSE)</f>
        <v>0</v>
      </c>
      <c r="I267" s="31">
        <f>VLOOKUP($B267,'Tillförd energi'!$B$1:$AI$720,MATCH(I$1,'Tillförd energi'!$B$1:$AQ$1,0),FALSE)</f>
        <v>0</v>
      </c>
      <c r="J267" s="31">
        <f>VLOOKUP($B267,'Tillförd energi'!$B$1:$AI$720,MATCH(J$1,'Tillförd energi'!$B$1:$AQ$1,0),FALSE)</f>
        <v>0</v>
      </c>
      <c r="K267" s="31">
        <f>VLOOKUP($B267,'Tillförd energi'!$B$1:$AI$720,MATCH(K$1,'Tillförd energi'!$B$1:$AQ$1,0),FALSE)</f>
        <v>0</v>
      </c>
      <c r="L267" s="31">
        <f>VLOOKUP($B267,'Tillförd energi'!$B$1:$AI$720,MATCH(L$1,'Tillförd energi'!$B$1:$AQ$1,0),FALSE)</f>
        <v>0</v>
      </c>
      <c r="M267" s="31">
        <f>VLOOKUP($B267,'Tillförd energi'!$B$1:$AI$720,MATCH(M$1,'Tillförd energi'!$B$1:$AQ$1,0),FALSE)</f>
        <v>0</v>
      </c>
      <c r="N267" s="31">
        <f>VLOOKUP($B267,'Tillförd energi'!$B$1:$AI$720,MATCH(N$1,'Tillförd energi'!$B$1:$AQ$1,0),FALSE)</f>
        <v>0</v>
      </c>
      <c r="O267" s="31">
        <f>VLOOKUP($B267,'Tillförd energi'!$B$1:$AI$720,MATCH(O$1,'Tillförd energi'!$B$1:$AQ$1,0),FALSE)</f>
        <v>0</v>
      </c>
      <c r="P267" s="31">
        <f>VLOOKUP($B267,'Tillförd energi'!$B$1:$AI$720,MATCH(P$1,'Tillförd energi'!$B$1:$AQ$1,0),FALSE)</f>
        <v>0</v>
      </c>
      <c r="Q267" s="31">
        <f>VLOOKUP($B267,'Tillförd energi'!$B$1:$AI$720,MATCH(Q$1,'Tillförd energi'!$B$1:$AQ$1,0),FALSE)</f>
        <v>0</v>
      </c>
      <c r="R267" s="31">
        <f>VLOOKUP($B267,'Tillförd energi'!$B$1:$AI$720,MATCH(R$1,'Tillförd energi'!$B$1:$AQ$1,0),FALSE)</f>
        <v>0</v>
      </c>
      <c r="S267" s="31">
        <f>VLOOKUP($B267,'Tillförd energi'!$B$1:$AI$720,MATCH(S$1,'Tillförd energi'!$B$1:$AQ$1,0),FALSE)</f>
        <v>0</v>
      </c>
      <c r="T267" s="31">
        <f>VLOOKUP($B267,'Tillförd energi'!$B$1:$AI$720,MATCH(T$1,'Tillförd energi'!$B$1:$AQ$1,0),FALSE)</f>
        <v>0</v>
      </c>
      <c r="U267" s="31">
        <f>VLOOKUP($B267,'Tillförd energi'!$B$1:$AI$720,MATCH(U$1,'Tillförd energi'!$B$1:$AQ$1,0),FALSE)</f>
        <v>0</v>
      </c>
      <c r="V267" s="31">
        <f>VLOOKUP($B267,'Tillförd energi'!$B$1:$AI$720,MATCH(V$1,'Tillförd energi'!$B$1:$AQ$1,0),FALSE)</f>
        <v>0</v>
      </c>
      <c r="W267" s="31">
        <f>VLOOKUP($B267,'Tillförd energi'!$B$1:$AI$720,MATCH(W$1,'Tillförd energi'!$B$1:$AQ$1,0),FALSE)</f>
        <v>0</v>
      </c>
      <c r="X267" s="31">
        <f>VLOOKUP($B267,'Tillförd energi'!$B$1:$AI$720,MATCH(X$1,'Tillförd energi'!$B$1:$AQ$1,0),FALSE)</f>
        <v>0</v>
      </c>
      <c r="Y267" s="31">
        <f>VLOOKUP($B267,'Tillförd energi'!$B$1:$AI$720,MATCH(Y$1,'Tillförd energi'!$B$1:$AQ$1,0),FALSE)</f>
        <v>0</v>
      </c>
      <c r="Z267" s="31">
        <f>VLOOKUP($B267,'Tillförd energi'!$B$1:$AI$720,MATCH(Z$1,'Tillförd energi'!$B$1:$AQ$1,0),FALSE)</f>
        <v>0</v>
      </c>
      <c r="AA267" s="31">
        <f>VLOOKUP($B267,'Tillförd energi'!$B$1:$AI$720,MATCH(AA$1,'Tillförd energi'!$B$1:$AQ$1,0),FALSE)</f>
        <v>0.72199999999999998</v>
      </c>
      <c r="AB267" s="31">
        <f>VLOOKUP($B267,'Tillförd energi'!$B$1:$AI$720,MATCH(AB$1,'Tillförd energi'!$B$1:$AQ$1,0),FALSE)</f>
        <v>1.5780000000000001</v>
      </c>
      <c r="AC267" s="31">
        <f>VLOOKUP($B267,'Tillförd energi'!$B$1:$AI$720,MATCH(AC$1,'Tillförd energi'!$B$1:$AQ$1,0),FALSE)</f>
        <v>0</v>
      </c>
      <c r="AD267" s="31">
        <f>VLOOKUP($B267,'Tillförd energi'!$B$1:$AI$720,MATCH(AD$1,'Tillförd energi'!$B$1:$AQ$1,0),FALSE)</f>
        <v>0</v>
      </c>
      <c r="AE267" s="31">
        <f>VLOOKUP($B267,'Tillförd energi'!$B$1:$AI$720,MATCH(AE$1,'Tillförd energi'!$B$1:$AQ$1,0),FALSE)</f>
        <v>0</v>
      </c>
      <c r="AF267" s="31">
        <f>VLOOKUP($B267,'Tillförd energi'!$B$1:$AI$720,MATCH(AF$1,'Tillförd energi'!$B$1:$AQ$1,0),FALSE)</f>
        <v>0.19</v>
      </c>
      <c r="AG267" s="31">
        <f>IFERROR(VLOOKUP(B267,Miljö!$B$1:$AC$550,MATCH("Köpt mängd produktionsspecifik fjärrvärme:",Miljö!$B$1:$AC$1,0),FALSE)/1,0)</f>
        <v>325.81200000000001</v>
      </c>
      <c r="AI267" s="31">
        <f t="shared" si="92"/>
        <v>2.4899999999999998</v>
      </c>
      <c r="AJ267" s="31">
        <f t="shared" si="93"/>
        <v>328.30200000000002</v>
      </c>
      <c r="AK267" s="31">
        <f>IF(ISERROR(1/VLOOKUP($B267,Leveranser!$B$1:$S$499,MATCH("Såld värme (GWh)",Leveranser!$B$1:$S$1,0),FALSE)),"",VLOOKUP($B267,Leveranser!$B$1:$S$499,MATCH("Såld värme (GWh)",Leveranser!$B$1:$S$1,0),FALSE))</f>
        <v>295</v>
      </c>
      <c r="AL267" s="31">
        <f>VLOOKUP($B267,Leveranser!$B$1:$Y$499,MATCH("Totalt såld fjärrvärme till andra fjärrvärmeföretag",Leveranser!$B$1:$AA$1,0),FALSE)</f>
        <v>0</v>
      </c>
      <c r="AM267" s="31">
        <f>IF(ISERROR(1/VLOOKUP($B267,Miljö!$B$1:$S$500,MATCH("Såld mängd produktionsspecifik fjärrvärme (GWh)",Miljö!$B$1:$R$1,0),FALSE)),0,VLOOKUP($B267,Miljö!$B$1:$S$500,MATCH("Såld mängd produktionsspecifik fjärrvärme (GWh)",Miljö!$B$1:$R$1,0),FALSE))</f>
        <v>0</v>
      </c>
      <c r="AN267" s="32">
        <f t="shared" si="94"/>
        <v>0.89856290854152576</v>
      </c>
      <c r="AP267" s="31" t="str">
        <f>IFERROR(VLOOKUP($B267,Miljövärden!$B$2:$H$550,7,FALSE),"Nej, saknas")</f>
        <v>Ja</v>
      </c>
      <c r="AQ267" s="31" t="str">
        <f>IFERROR(VLOOKUP($B267,Miljövärden!$B$2:$H$551,6,FALSE),"Nej, saknas")</f>
        <v>Ja</v>
      </c>
      <c r="AU267" s="31">
        <f t="shared" si="95"/>
        <v>0.91199999999999992</v>
      </c>
      <c r="AV267" s="31">
        <f t="shared" si="96"/>
        <v>0</v>
      </c>
      <c r="AW267" s="31">
        <f t="shared" si="97"/>
        <v>0</v>
      </c>
      <c r="AX267" s="31">
        <f t="shared" si="98"/>
        <v>0</v>
      </c>
      <c r="AZ267" s="31">
        <f t="shared" si="99"/>
        <v>0</v>
      </c>
      <c r="BC267" s="31">
        <f t="shared" si="100"/>
        <v>0</v>
      </c>
      <c r="BD267" s="31">
        <f t="shared" si="101"/>
        <v>0</v>
      </c>
      <c r="BE267" s="31">
        <f t="shared" si="102"/>
        <v>0</v>
      </c>
      <c r="BF267" s="31">
        <f t="shared" si="103"/>
        <v>1.5780000000000001</v>
      </c>
      <c r="BG267" s="31">
        <f t="shared" si="104"/>
        <v>0.91199999999999992</v>
      </c>
      <c r="BH267" s="31">
        <f>VLOOKUP(B267,Miljö!$B$1:$BX$482,MATCH("Fossilandel för ursprungspecificerad el ()",Miljö!$B$1:$I$1,0),FALSE)</f>
        <v>0</v>
      </c>
      <c r="BI267" s="31">
        <f>VLOOKUP(B267,Miljö!$B$1:$BX$482,MATCH("Kärnkraftsandel för ursprungsspecificerad el ()",Miljö!$B$1:$O$1,0),FALSE)</f>
        <v>0</v>
      </c>
      <c r="BJ267" s="31">
        <f t="shared" si="105"/>
        <v>325.81200000000001</v>
      </c>
      <c r="BK267" s="31">
        <f>VLOOKUP(B267,Miljö!$B$1:$P$482,MATCH("Fossil andel i procent (%)",Miljö!$B$1:$P$1,0),FALSE)</f>
        <v>0</v>
      </c>
      <c r="BL267" s="31">
        <f t="shared" si="106"/>
        <v>328.30200000000002</v>
      </c>
      <c r="BO267" s="32">
        <f t="shared" si="107"/>
        <v>0</v>
      </c>
      <c r="BP267" s="32">
        <f t="shared" si="108"/>
        <v>0.99241551985671728</v>
      </c>
      <c r="BQ267" s="32">
        <f t="shared" si="109"/>
        <v>2.7779300765758352E-3</v>
      </c>
      <c r="BR267" s="32">
        <f t="shared" si="110"/>
        <v>4.8065500667068732E-3</v>
      </c>
      <c r="BT267" s="62">
        <f t="shared" si="111"/>
        <v>0.99999999999999989</v>
      </c>
      <c r="BW267" s="32">
        <f>IF(AP267="Ja",VLOOKUP(B267,Miljövärden!$B$2:$H$551,MATCH("Total andel fossilt",Miljövärden!$B$2:$H$2,0),FALSE),"")</f>
        <v>0</v>
      </c>
      <c r="BX267" s="62">
        <f t="shared" si="112"/>
        <v>0</v>
      </c>
      <c r="BZ267" s="31">
        <f t="shared" si="113"/>
        <v>0</v>
      </c>
      <c r="CA267" s="32">
        <f t="shared" si="114"/>
        <v>0</v>
      </c>
    </row>
    <row r="268" spans="1:79" hidden="1" x14ac:dyDescent="0.45">
      <c r="A268" s="31" t="s">
        <v>329</v>
      </c>
      <c r="B268" s="31" t="s">
        <v>328</v>
      </c>
      <c r="C268" s="31">
        <f>VLOOKUP($B268,'Tillförd energi'!$B$1:$AI$720,MATCH(C$1,'Tillförd energi'!$B$1:$AQ$1,0),FALSE)</f>
        <v>0</v>
      </c>
      <c r="D268" s="31">
        <f>VLOOKUP($B268,'Tillförd energi'!$B$1:$AI$720,MATCH(D$1,'Tillförd energi'!$B$1:$AQ$1,0),FALSE)</f>
        <v>0</v>
      </c>
      <c r="E268" s="31">
        <f>VLOOKUP($B268,'Tillförd energi'!$B$1:$AI$720,MATCH(E$1,'Tillförd energi'!$B$1:$AQ$1,0),FALSE)</f>
        <v>0</v>
      </c>
      <c r="F268" s="31">
        <f>VLOOKUP($B268,'Tillförd energi'!$B$1:$AI$720,MATCH(F$1,'Tillförd energi'!$B$1:$AQ$1,0),FALSE)</f>
        <v>0</v>
      </c>
      <c r="G268" s="31">
        <f>VLOOKUP($B268,'Tillförd energi'!$B$1:$AI$720,MATCH(G$1,'Tillförd energi'!$B$1:$AQ$1,0),FALSE)</f>
        <v>0</v>
      </c>
      <c r="H268" s="31">
        <f>VLOOKUP($B268,'Tillförd energi'!$B$1:$AI$720,MATCH(H$1,'Tillförd energi'!$B$1:$AQ$1,0),FALSE)</f>
        <v>0</v>
      </c>
      <c r="I268" s="31">
        <f>VLOOKUP($B268,'Tillförd energi'!$B$1:$AI$720,MATCH(I$1,'Tillförd energi'!$B$1:$AQ$1,0),FALSE)</f>
        <v>0</v>
      </c>
      <c r="J268" s="31">
        <f>VLOOKUP($B268,'Tillförd energi'!$B$1:$AI$720,MATCH(J$1,'Tillförd energi'!$B$1:$AQ$1,0),FALSE)</f>
        <v>0</v>
      </c>
      <c r="K268" s="31">
        <f>VLOOKUP($B268,'Tillförd energi'!$B$1:$AI$720,MATCH(K$1,'Tillförd energi'!$B$1:$AQ$1,0),FALSE)</f>
        <v>0</v>
      </c>
      <c r="L268" s="31">
        <f>VLOOKUP($B268,'Tillförd energi'!$B$1:$AI$720,MATCH(L$1,'Tillförd energi'!$B$1:$AQ$1,0),FALSE)</f>
        <v>0</v>
      </c>
      <c r="M268" s="31">
        <f>VLOOKUP($B268,'Tillförd energi'!$B$1:$AI$720,MATCH(M$1,'Tillförd energi'!$B$1:$AQ$1,0),FALSE)</f>
        <v>0</v>
      </c>
      <c r="N268" s="31">
        <f>VLOOKUP($B268,'Tillförd energi'!$B$1:$AI$720,MATCH(N$1,'Tillförd energi'!$B$1:$AQ$1,0),FALSE)</f>
        <v>0</v>
      </c>
      <c r="O268" s="31">
        <f>VLOOKUP($B268,'Tillförd energi'!$B$1:$AI$720,MATCH(O$1,'Tillförd energi'!$B$1:$AQ$1,0),FALSE)</f>
        <v>0</v>
      </c>
      <c r="P268" s="31">
        <f>VLOOKUP($B268,'Tillförd energi'!$B$1:$AI$720,MATCH(P$1,'Tillförd energi'!$B$1:$AQ$1,0),FALSE)</f>
        <v>0</v>
      </c>
      <c r="Q268" s="31">
        <f>VLOOKUP($B268,'Tillförd energi'!$B$1:$AI$720,MATCH(Q$1,'Tillförd energi'!$B$1:$AQ$1,0),FALSE)</f>
        <v>0</v>
      </c>
      <c r="R268" s="31">
        <f>VLOOKUP($B268,'Tillförd energi'!$B$1:$AI$720,MATCH(R$1,'Tillförd energi'!$B$1:$AQ$1,0),FALSE)</f>
        <v>0</v>
      </c>
      <c r="S268" s="31">
        <f>VLOOKUP($B268,'Tillförd energi'!$B$1:$AI$720,MATCH(S$1,'Tillförd energi'!$B$1:$AQ$1,0),FALSE)</f>
        <v>0</v>
      </c>
      <c r="T268" s="31">
        <f>VLOOKUP($B268,'Tillförd energi'!$B$1:$AI$720,MATCH(T$1,'Tillförd energi'!$B$1:$AQ$1,0),FALSE)</f>
        <v>0</v>
      </c>
      <c r="U268" s="31">
        <f>VLOOKUP($B268,'Tillförd energi'!$B$1:$AI$720,MATCH(U$1,'Tillförd energi'!$B$1:$AQ$1,0),FALSE)</f>
        <v>0</v>
      </c>
      <c r="V268" s="31">
        <f>VLOOKUP($B268,'Tillförd energi'!$B$1:$AI$720,MATCH(V$1,'Tillförd energi'!$B$1:$AQ$1,0),FALSE)</f>
        <v>0</v>
      </c>
      <c r="W268" s="31">
        <f>VLOOKUP($B268,'Tillförd energi'!$B$1:$AI$720,MATCH(W$1,'Tillförd energi'!$B$1:$AQ$1,0),FALSE)</f>
        <v>0</v>
      </c>
      <c r="X268" s="31">
        <f>VLOOKUP($B268,'Tillförd energi'!$B$1:$AI$720,MATCH(X$1,'Tillförd energi'!$B$1:$AQ$1,0),FALSE)</f>
        <v>0</v>
      </c>
      <c r="Y268" s="31">
        <f>VLOOKUP($B268,'Tillförd energi'!$B$1:$AI$720,MATCH(Y$1,'Tillförd energi'!$B$1:$AQ$1,0),FALSE)</f>
        <v>0</v>
      </c>
      <c r="Z268" s="31">
        <f>VLOOKUP($B268,'Tillförd energi'!$B$1:$AI$720,MATCH(Z$1,'Tillförd energi'!$B$1:$AQ$1,0),FALSE)</f>
        <v>0</v>
      </c>
      <c r="AA268" s="31">
        <f>VLOOKUP($B268,'Tillförd energi'!$B$1:$AI$720,MATCH(AA$1,'Tillförd energi'!$B$1:$AQ$1,0),FALSE)</f>
        <v>0</v>
      </c>
      <c r="AB268" s="31">
        <f>VLOOKUP($B268,'Tillförd energi'!$B$1:$AI$720,MATCH(AB$1,'Tillförd energi'!$B$1:$AQ$1,0),FALSE)</f>
        <v>0</v>
      </c>
      <c r="AC268" s="31">
        <f>VLOOKUP($B268,'Tillförd energi'!$B$1:$AI$720,MATCH(AC$1,'Tillförd energi'!$B$1:$AQ$1,0),FALSE)</f>
        <v>0</v>
      </c>
      <c r="AD268" s="31">
        <f>VLOOKUP($B268,'Tillförd energi'!$B$1:$AI$720,MATCH(AD$1,'Tillförd energi'!$B$1:$AQ$1,0),FALSE)</f>
        <v>0</v>
      </c>
      <c r="AE268" s="31">
        <f>VLOOKUP($B268,'Tillförd energi'!$B$1:$AI$720,MATCH(AE$1,'Tillförd energi'!$B$1:$AQ$1,0),FALSE)</f>
        <v>0</v>
      </c>
      <c r="AF268" s="31">
        <f>VLOOKUP($B268,'Tillförd energi'!$B$1:$AI$720,MATCH(AF$1,'Tillförd energi'!$B$1:$AQ$1,0),FALSE)</f>
        <v>0</v>
      </c>
      <c r="AG268" s="31">
        <f>IFERROR(VLOOKUP(B268,Miljö!$B$1:$AC$550,MATCH("Köpt mängd produktionsspecifik fjärrvärme:",Miljö!$B$1:$AC$1,0),FALSE)/1,0)</f>
        <v>0</v>
      </c>
      <c r="AI268" s="31">
        <f t="shared" si="92"/>
        <v>0</v>
      </c>
      <c r="AJ268" s="31">
        <f t="shared" si="93"/>
        <v>0</v>
      </c>
      <c r="AK268" s="31" t="str">
        <f>IF(ISERROR(1/VLOOKUP($B268,Leveranser!$B$1:$S$499,MATCH("Såld värme (GWh)",Leveranser!$B$1:$S$1,0),FALSE)),"",VLOOKUP($B268,Leveranser!$B$1:$S$499,MATCH("Såld värme (GWh)",Leveranser!$B$1:$S$1,0),FALSE))</f>
        <v/>
      </c>
      <c r="AL268" s="31">
        <f>VLOOKUP($B268,Leveranser!$B$1:$Y$499,MATCH("Totalt såld fjärrvärme till andra fjärrvärmeföretag",Leveranser!$B$1:$AA$1,0),FALSE)</f>
        <v>0</v>
      </c>
      <c r="AM268" s="31">
        <f>IF(ISERROR(1/VLOOKUP($B268,Miljö!$B$1:$S$500,MATCH("Såld mängd produktionsspecifik fjärrvärme (GWh)",Miljö!$B$1:$R$1,0),FALSE)),0,VLOOKUP($B268,Miljö!$B$1:$S$500,MATCH("Såld mängd produktionsspecifik fjärrvärme (GWh)",Miljö!$B$1:$R$1,0),FALSE))</f>
        <v>0</v>
      </c>
      <c r="AN268" s="32" t="str">
        <f t="shared" si="94"/>
        <v/>
      </c>
      <c r="AP268" s="31" t="str">
        <f>IFERROR(VLOOKUP($B268,Miljövärden!$B$2:$H$550,7,FALSE),"Nej, saknas")</f>
        <v>Nej</v>
      </c>
      <c r="AQ268" s="31" t="str">
        <f>IFERROR(VLOOKUP($B268,Miljövärden!$B$2:$H$551,6,FALSE),"Nej, saknas")</f>
        <v>Nej</v>
      </c>
      <c r="AU268" s="31">
        <f t="shared" si="95"/>
        <v>0</v>
      </c>
      <c r="AV268" s="31">
        <f t="shared" si="96"/>
        <v>0</v>
      </c>
      <c r="AW268" s="31">
        <f t="shared" si="97"/>
        <v>0</v>
      </c>
      <c r="AX268" s="31">
        <f t="shared" si="98"/>
        <v>0</v>
      </c>
      <c r="AZ268" s="31">
        <f t="shared" si="99"/>
        <v>0</v>
      </c>
      <c r="BC268" s="31">
        <f t="shared" si="100"/>
        <v>0</v>
      </c>
      <c r="BD268" s="31">
        <f t="shared" si="101"/>
        <v>0</v>
      </c>
      <c r="BE268" s="31">
        <f t="shared" si="102"/>
        <v>0</v>
      </c>
      <c r="BF268" s="31">
        <f t="shared" si="103"/>
        <v>0</v>
      </c>
      <c r="BG268" s="31">
        <f t="shared" si="104"/>
        <v>0</v>
      </c>
      <c r="BH268" s="31" t="str">
        <f>VLOOKUP(B268,Miljö!$B$1:$BX$482,MATCH("Fossilandel för ursprungspecificerad el ()",Miljö!$B$1:$I$1,0),FALSE)</f>
        <v>-</v>
      </c>
      <c r="BI268" s="31" t="str">
        <f>VLOOKUP(B268,Miljö!$B$1:$BX$482,MATCH("Kärnkraftsandel för ursprungsspecificerad el ()",Miljö!$B$1:$O$1,0),FALSE)</f>
        <v>-</v>
      </c>
      <c r="BJ268" s="31">
        <f t="shared" si="105"/>
        <v>0</v>
      </c>
      <c r="BK268" s="31" t="str">
        <f>VLOOKUP(B268,Miljö!$B$1:$P$482,MATCH("Fossil andel i procent (%)",Miljö!$B$1:$P$1,0),FALSE)</f>
        <v>-</v>
      </c>
      <c r="BL268" s="31">
        <f t="shared" si="106"/>
        <v>0</v>
      </c>
      <c r="BO268" s="32" t="str">
        <f t="shared" si="107"/>
        <v/>
      </c>
      <c r="BP268" s="32" t="str">
        <f t="shared" si="108"/>
        <v/>
      </c>
      <c r="BQ268" s="32" t="str">
        <f t="shared" si="109"/>
        <v/>
      </c>
      <c r="BR268" s="32" t="str">
        <f t="shared" si="110"/>
        <v/>
      </c>
      <c r="BT268" s="62">
        <f t="shared" si="111"/>
        <v>0</v>
      </c>
      <c r="BW268" s="32" t="str">
        <f>IF(AP268="Ja",VLOOKUP(B268,Miljövärden!$B$2:$H$551,MATCH("Total andel fossilt",Miljövärden!$B$2:$H$2,0),FALSE),"")</f>
        <v/>
      </c>
      <c r="BX268" s="62" t="e">
        <f t="shared" si="112"/>
        <v>#VALUE!</v>
      </c>
      <c r="BZ268" s="31" t="str">
        <f t="shared" si="113"/>
        <v/>
      </c>
      <c r="CA268" s="32" t="str">
        <f t="shared" si="114"/>
        <v/>
      </c>
    </row>
    <row r="269" spans="1:79" x14ac:dyDescent="0.45">
      <c r="A269" s="31" t="s">
        <v>324</v>
      </c>
      <c r="B269" s="31" t="s">
        <v>327</v>
      </c>
      <c r="C269" s="31">
        <f>VLOOKUP($B269,'Tillförd energi'!$B$1:$AI$720,MATCH(C$1,'Tillförd energi'!$B$1:$AQ$1,0),FALSE)</f>
        <v>0</v>
      </c>
      <c r="D269" s="31">
        <f>VLOOKUP($B269,'Tillförd energi'!$B$1:$AI$720,MATCH(D$1,'Tillförd energi'!$B$1:$AQ$1,0),FALSE)</f>
        <v>0</v>
      </c>
      <c r="E269" s="31">
        <f>VLOOKUP($B269,'Tillförd energi'!$B$1:$AI$720,MATCH(E$1,'Tillförd energi'!$B$1:$AQ$1,0),FALSE)</f>
        <v>0</v>
      </c>
      <c r="F269" s="31">
        <f>VLOOKUP($B269,'Tillförd energi'!$B$1:$AI$720,MATCH(F$1,'Tillförd energi'!$B$1:$AQ$1,0),FALSE)</f>
        <v>0</v>
      </c>
      <c r="G269" s="31">
        <f>VLOOKUP($B269,'Tillförd energi'!$B$1:$AI$720,MATCH(G$1,'Tillförd energi'!$B$1:$AQ$1,0),FALSE)</f>
        <v>0</v>
      </c>
      <c r="H269" s="31">
        <f>VLOOKUP($B269,'Tillförd energi'!$B$1:$AI$720,MATCH(H$1,'Tillförd energi'!$B$1:$AQ$1,0),FALSE)</f>
        <v>0</v>
      </c>
      <c r="I269" s="31">
        <f>VLOOKUP($B269,'Tillförd energi'!$B$1:$AI$720,MATCH(I$1,'Tillförd energi'!$B$1:$AQ$1,0),FALSE)</f>
        <v>0</v>
      </c>
      <c r="J269" s="31">
        <f>VLOOKUP($B269,'Tillförd energi'!$B$1:$AI$720,MATCH(J$1,'Tillförd energi'!$B$1:$AQ$1,0),FALSE)</f>
        <v>0</v>
      </c>
      <c r="K269" s="31">
        <f>VLOOKUP($B269,'Tillförd energi'!$B$1:$AI$720,MATCH(K$1,'Tillförd energi'!$B$1:$AQ$1,0),FALSE)</f>
        <v>0</v>
      </c>
      <c r="L269" s="31">
        <f>VLOOKUP($B269,'Tillförd energi'!$B$1:$AI$720,MATCH(L$1,'Tillförd energi'!$B$1:$AQ$1,0),FALSE)</f>
        <v>0</v>
      </c>
      <c r="M269" s="31">
        <f>VLOOKUP($B269,'Tillförd energi'!$B$1:$AI$720,MATCH(M$1,'Tillförd energi'!$B$1:$AQ$1,0),FALSE)</f>
        <v>22.47</v>
      </c>
      <c r="N269" s="31">
        <f>VLOOKUP($B269,'Tillförd energi'!$B$1:$AI$720,MATCH(N$1,'Tillförd energi'!$B$1:$AQ$1,0),FALSE)</f>
        <v>32.46</v>
      </c>
      <c r="O269" s="31">
        <f>VLOOKUP($B269,'Tillförd energi'!$B$1:$AI$720,MATCH(O$1,'Tillförd energi'!$B$1:$AQ$1,0),FALSE)</f>
        <v>56.18</v>
      </c>
      <c r="P269" s="31">
        <f>VLOOKUP($B269,'Tillförd energi'!$B$1:$AI$720,MATCH(P$1,'Tillförd energi'!$B$1:$AQ$1,0),FALSE)</f>
        <v>13.73</v>
      </c>
      <c r="Q269" s="31">
        <f>VLOOKUP($B269,'Tillförd energi'!$B$1:$AI$720,MATCH(Q$1,'Tillförd energi'!$B$1:$AQ$1,0),FALSE)</f>
        <v>0</v>
      </c>
      <c r="R269" s="31">
        <f>VLOOKUP($B269,'Tillförd energi'!$B$1:$AI$720,MATCH(R$1,'Tillförd energi'!$B$1:$AQ$1,0),FALSE)</f>
        <v>0</v>
      </c>
      <c r="S269" s="31">
        <f>VLOOKUP($B269,'Tillförd energi'!$B$1:$AI$720,MATCH(S$1,'Tillförd energi'!$B$1:$AQ$1,0),FALSE)</f>
        <v>0</v>
      </c>
      <c r="T269" s="31">
        <f>VLOOKUP($B269,'Tillförd energi'!$B$1:$AI$720,MATCH(T$1,'Tillförd energi'!$B$1:$AQ$1,0),FALSE)</f>
        <v>0</v>
      </c>
      <c r="U269" s="31">
        <f>VLOOKUP($B269,'Tillförd energi'!$B$1:$AI$720,MATCH(U$1,'Tillförd energi'!$B$1:$AQ$1,0),FALSE)</f>
        <v>0</v>
      </c>
      <c r="V269" s="31">
        <f>VLOOKUP($B269,'Tillförd energi'!$B$1:$AI$720,MATCH(V$1,'Tillförd energi'!$B$1:$AQ$1,0),FALSE)</f>
        <v>0</v>
      </c>
      <c r="W269" s="31">
        <f>VLOOKUP($B269,'Tillförd energi'!$B$1:$AI$720,MATCH(W$1,'Tillförd energi'!$B$1:$AQ$1,0),FALSE)</f>
        <v>0.97</v>
      </c>
      <c r="X269" s="31">
        <f>VLOOKUP($B269,'Tillförd energi'!$B$1:$AI$720,MATCH(X$1,'Tillförd energi'!$B$1:$AQ$1,0),FALSE)</f>
        <v>0</v>
      </c>
      <c r="Y269" s="31">
        <f>VLOOKUP($B269,'Tillförd energi'!$B$1:$AI$720,MATCH(Y$1,'Tillförd energi'!$B$1:$AQ$1,0),FALSE)</f>
        <v>0</v>
      </c>
      <c r="Z269" s="31">
        <f>VLOOKUP($B269,'Tillförd energi'!$B$1:$AI$720,MATCH(Z$1,'Tillförd energi'!$B$1:$AQ$1,0),FALSE)</f>
        <v>0</v>
      </c>
      <c r="AA269" s="31">
        <f>VLOOKUP($B269,'Tillförd energi'!$B$1:$AI$720,MATCH(AA$1,'Tillförd energi'!$B$1:$AQ$1,0),FALSE)</f>
        <v>0</v>
      </c>
      <c r="AB269" s="31">
        <f>VLOOKUP($B269,'Tillförd energi'!$B$1:$AI$720,MATCH(AB$1,'Tillförd energi'!$B$1:$AQ$1,0),FALSE)</f>
        <v>0</v>
      </c>
      <c r="AC269" s="31">
        <f>VLOOKUP($B269,'Tillförd energi'!$B$1:$AI$720,MATCH(AC$1,'Tillförd energi'!$B$1:$AQ$1,0),FALSE)</f>
        <v>27.77</v>
      </c>
      <c r="AD269" s="31">
        <f>VLOOKUP($B269,'Tillförd energi'!$B$1:$AI$720,MATCH(AD$1,'Tillförd energi'!$B$1:$AQ$1,0),FALSE)</f>
        <v>0</v>
      </c>
      <c r="AE269" s="31">
        <f>VLOOKUP($B269,'Tillförd energi'!$B$1:$AI$720,MATCH(AE$1,'Tillförd energi'!$B$1:$AQ$1,0),FALSE)</f>
        <v>0</v>
      </c>
      <c r="AF269" s="31">
        <f>VLOOKUP($B269,'Tillförd energi'!$B$1:$AI$720,MATCH(AF$1,'Tillförd energi'!$B$1:$AQ$1,0),FALSE)</f>
        <v>3.87</v>
      </c>
      <c r="AG269" s="31">
        <f>IFERROR(VLOOKUP(B269,Miljö!$B$1:$AC$550,MATCH("Köpt mängd produktionsspecifik fjärrvärme:",Miljö!$B$1:$AC$1,0),FALSE)/1,0)</f>
        <v>0</v>
      </c>
      <c r="AI269" s="31">
        <f t="shared" si="92"/>
        <v>157.45000000000002</v>
      </c>
      <c r="AJ269" s="31">
        <f t="shared" si="93"/>
        <v>157.45000000000002</v>
      </c>
      <c r="AK269" s="31">
        <f>IF(ISERROR(1/VLOOKUP($B269,Leveranser!$B$1:$S$499,MATCH("Såld värme (GWh)",Leveranser!$B$1:$S$1,0),FALSE)),"",VLOOKUP($B269,Leveranser!$B$1:$S$499,MATCH("Såld värme (GWh)",Leveranser!$B$1:$S$1,0),FALSE))</f>
        <v>115.01</v>
      </c>
      <c r="AL269" s="31">
        <f>VLOOKUP($B269,Leveranser!$B$1:$Y$499,MATCH("Totalt såld fjärrvärme till andra fjärrvärmeföretag",Leveranser!$B$1:$AA$1,0),FALSE)</f>
        <v>0</v>
      </c>
      <c r="AM269" s="31">
        <f>IF(ISERROR(1/VLOOKUP($B269,Miljö!$B$1:$S$500,MATCH("Såld mängd produktionsspecifik fjärrvärme (GWh)",Miljö!$B$1:$R$1,0),FALSE)),0,VLOOKUP($B269,Miljö!$B$1:$S$500,MATCH("Såld mängd produktionsspecifik fjärrvärme (GWh)",Miljö!$B$1:$R$1,0),FALSE))</f>
        <v>0</v>
      </c>
      <c r="AN269" s="32">
        <f t="shared" si="94"/>
        <v>0.73045411241664016</v>
      </c>
      <c r="AP269" s="31" t="str">
        <f>IFERROR(VLOOKUP($B269,Miljövärden!$B$2:$H$550,7,FALSE),"Nej, saknas")</f>
        <v>Ja</v>
      </c>
      <c r="AQ269" s="31" t="str">
        <f>IFERROR(VLOOKUP($B269,Miljövärden!$B$2:$H$551,6,FALSE),"Nej, saknas")</f>
        <v>Ja</v>
      </c>
      <c r="AU269" s="31">
        <f t="shared" si="95"/>
        <v>3.87</v>
      </c>
      <c r="AV269" s="31">
        <f t="shared" si="96"/>
        <v>0</v>
      </c>
      <c r="AW269" s="31">
        <f t="shared" si="97"/>
        <v>124.84</v>
      </c>
      <c r="AX269" s="31">
        <f t="shared" si="98"/>
        <v>0</v>
      </c>
      <c r="AZ269" s="31">
        <f t="shared" si="99"/>
        <v>125.81</v>
      </c>
      <c r="BC269" s="31">
        <f t="shared" si="100"/>
        <v>0</v>
      </c>
      <c r="BD269" s="31">
        <f t="shared" si="101"/>
        <v>0</v>
      </c>
      <c r="BE269" s="31">
        <f t="shared" si="102"/>
        <v>125.81</v>
      </c>
      <c r="BF269" s="31">
        <f t="shared" si="103"/>
        <v>27.77</v>
      </c>
      <c r="BG269" s="31">
        <f t="shared" si="104"/>
        <v>3.87</v>
      </c>
      <c r="BH269" s="31">
        <f>VLOOKUP(B269,Miljö!$B$1:$BX$482,MATCH("Fossilandel för ursprungspecificerad el ()",Miljö!$B$1:$I$1,0),FALSE)</f>
        <v>0</v>
      </c>
      <c r="BI269" s="31">
        <f>VLOOKUP(B269,Miljö!$B$1:$BX$482,MATCH("Kärnkraftsandel för ursprungsspecificerad el ()",Miljö!$B$1:$O$1,0),FALSE)</f>
        <v>0</v>
      </c>
      <c r="BJ269" s="31">
        <f t="shared" si="105"/>
        <v>0</v>
      </c>
      <c r="BK269" s="31" t="str">
        <f>VLOOKUP(B269,Miljö!$B$1:$P$482,MATCH("Fossil andel i procent (%)",Miljö!$B$1:$P$1,0),FALSE)</f>
        <v>ET</v>
      </c>
      <c r="BL269" s="31">
        <f t="shared" si="106"/>
        <v>157.45000000000002</v>
      </c>
      <c r="BO269" s="32">
        <f t="shared" si="107"/>
        <v>0</v>
      </c>
      <c r="BP269" s="32">
        <f t="shared" si="108"/>
        <v>0</v>
      </c>
      <c r="BQ269" s="32">
        <f t="shared" si="109"/>
        <v>0.82362654811051128</v>
      </c>
      <c r="BR269" s="32">
        <f t="shared" si="110"/>
        <v>0.17637345188948869</v>
      </c>
      <c r="BT269" s="62">
        <f t="shared" si="111"/>
        <v>1</v>
      </c>
      <c r="BW269" s="32">
        <f>IF(AP269="Ja",VLOOKUP(B269,Miljövärden!$B$2:$H$551,MATCH("Total andel fossilt",Miljövärden!$B$2:$H$2,0),FALSE),"")</f>
        <v>0</v>
      </c>
      <c r="BX269" s="62">
        <f t="shared" si="112"/>
        <v>0</v>
      </c>
      <c r="BZ269" s="31">
        <f t="shared" si="113"/>
        <v>0</v>
      </c>
      <c r="CA269" s="32">
        <f t="shared" si="114"/>
        <v>0</v>
      </c>
    </row>
    <row r="270" spans="1:79" x14ac:dyDescent="0.45">
      <c r="A270" s="31" t="s">
        <v>324</v>
      </c>
      <c r="B270" s="31" t="s">
        <v>326</v>
      </c>
      <c r="C270" s="31">
        <f>VLOOKUP($B270,'Tillförd energi'!$B$1:$AI$720,MATCH(C$1,'Tillförd energi'!$B$1:$AQ$1,0),FALSE)</f>
        <v>0</v>
      </c>
      <c r="D270" s="31">
        <f>VLOOKUP($B270,'Tillförd energi'!$B$1:$AI$720,MATCH(D$1,'Tillförd energi'!$B$1:$AQ$1,0),FALSE)</f>
        <v>0</v>
      </c>
      <c r="E270" s="31">
        <f>VLOOKUP($B270,'Tillförd energi'!$B$1:$AI$720,MATCH(E$1,'Tillförd energi'!$B$1:$AQ$1,0),FALSE)</f>
        <v>0</v>
      </c>
      <c r="F270" s="31">
        <f>VLOOKUP($B270,'Tillförd energi'!$B$1:$AI$720,MATCH(F$1,'Tillförd energi'!$B$1:$AQ$1,0),FALSE)</f>
        <v>0</v>
      </c>
      <c r="G270" s="31">
        <f>VLOOKUP($B270,'Tillförd energi'!$B$1:$AI$720,MATCH(G$1,'Tillförd energi'!$B$1:$AQ$1,0),FALSE)</f>
        <v>0</v>
      </c>
      <c r="H270" s="31">
        <f>VLOOKUP($B270,'Tillförd energi'!$B$1:$AI$720,MATCH(H$1,'Tillförd energi'!$B$1:$AQ$1,0),FALSE)</f>
        <v>0</v>
      </c>
      <c r="I270" s="31">
        <f>VLOOKUP($B270,'Tillförd energi'!$B$1:$AI$720,MATCH(I$1,'Tillförd energi'!$B$1:$AQ$1,0),FALSE)</f>
        <v>0</v>
      </c>
      <c r="J270" s="31">
        <f>VLOOKUP($B270,'Tillförd energi'!$B$1:$AI$720,MATCH(J$1,'Tillförd energi'!$B$1:$AQ$1,0),FALSE)</f>
        <v>0</v>
      </c>
      <c r="K270" s="31">
        <f>VLOOKUP($B270,'Tillförd energi'!$B$1:$AI$720,MATCH(K$1,'Tillförd energi'!$B$1:$AQ$1,0),FALSE)</f>
        <v>0</v>
      </c>
      <c r="L270" s="31">
        <f>VLOOKUP($B270,'Tillförd energi'!$B$1:$AI$720,MATCH(L$1,'Tillförd energi'!$B$1:$AQ$1,0),FALSE)</f>
        <v>0</v>
      </c>
      <c r="M270" s="31">
        <f>VLOOKUP($B270,'Tillförd energi'!$B$1:$AI$720,MATCH(M$1,'Tillförd energi'!$B$1:$AQ$1,0),FALSE)</f>
        <v>2.98</v>
      </c>
      <c r="N270" s="31">
        <f>VLOOKUP($B270,'Tillförd energi'!$B$1:$AI$720,MATCH(N$1,'Tillförd energi'!$B$1:$AQ$1,0),FALSE)</f>
        <v>21.85</v>
      </c>
      <c r="O270" s="31">
        <f>VLOOKUP($B270,'Tillförd energi'!$B$1:$AI$720,MATCH(O$1,'Tillförd energi'!$B$1:$AQ$1,0),FALSE)</f>
        <v>0</v>
      </c>
      <c r="P270" s="31">
        <f>VLOOKUP($B270,'Tillförd energi'!$B$1:$AI$720,MATCH(P$1,'Tillförd energi'!$B$1:$AQ$1,0),FALSE)</f>
        <v>0</v>
      </c>
      <c r="Q270" s="31">
        <f>VLOOKUP($B270,'Tillförd energi'!$B$1:$AI$720,MATCH(Q$1,'Tillförd energi'!$B$1:$AQ$1,0),FALSE)</f>
        <v>0</v>
      </c>
      <c r="R270" s="31">
        <f>VLOOKUP($B270,'Tillförd energi'!$B$1:$AI$720,MATCH(R$1,'Tillförd energi'!$B$1:$AQ$1,0),FALSE)</f>
        <v>0</v>
      </c>
      <c r="S270" s="31">
        <f>VLOOKUP($B270,'Tillförd energi'!$B$1:$AI$720,MATCH(S$1,'Tillförd energi'!$B$1:$AQ$1,0),FALSE)</f>
        <v>0</v>
      </c>
      <c r="T270" s="31">
        <f>VLOOKUP($B270,'Tillförd energi'!$B$1:$AI$720,MATCH(T$1,'Tillförd energi'!$B$1:$AQ$1,0),FALSE)</f>
        <v>0</v>
      </c>
      <c r="U270" s="31">
        <f>VLOOKUP($B270,'Tillförd energi'!$B$1:$AI$720,MATCH(U$1,'Tillförd energi'!$B$1:$AQ$1,0),FALSE)</f>
        <v>0</v>
      </c>
      <c r="V270" s="31">
        <f>VLOOKUP($B270,'Tillförd energi'!$B$1:$AI$720,MATCH(V$1,'Tillförd energi'!$B$1:$AQ$1,0),FALSE)</f>
        <v>0</v>
      </c>
      <c r="W270" s="31">
        <f>VLOOKUP($B270,'Tillförd energi'!$B$1:$AI$720,MATCH(W$1,'Tillförd energi'!$B$1:$AQ$1,0),FALSE)</f>
        <v>0.85</v>
      </c>
      <c r="X270" s="31">
        <f>VLOOKUP($B270,'Tillförd energi'!$B$1:$AI$720,MATCH(X$1,'Tillförd energi'!$B$1:$AQ$1,0),FALSE)</f>
        <v>0</v>
      </c>
      <c r="Y270" s="31">
        <f>VLOOKUP($B270,'Tillförd energi'!$B$1:$AI$720,MATCH(Y$1,'Tillförd energi'!$B$1:$AQ$1,0),FALSE)</f>
        <v>0</v>
      </c>
      <c r="Z270" s="31">
        <f>VLOOKUP($B270,'Tillförd energi'!$B$1:$AI$720,MATCH(Z$1,'Tillförd energi'!$B$1:$AQ$1,0),FALSE)</f>
        <v>0</v>
      </c>
      <c r="AA270" s="31">
        <f>VLOOKUP($B270,'Tillförd energi'!$B$1:$AI$720,MATCH(AA$1,'Tillförd energi'!$B$1:$AQ$1,0),FALSE)</f>
        <v>0</v>
      </c>
      <c r="AB270" s="31">
        <f>VLOOKUP($B270,'Tillförd energi'!$B$1:$AI$720,MATCH(AB$1,'Tillförd energi'!$B$1:$AQ$1,0),FALSE)</f>
        <v>0</v>
      </c>
      <c r="AC270" s="31">
        <f>VLOOKUP($B270,'Tillförd energi'!$B$1:$AI$720,MATCH(AC$1,'Tillförd energi'!$B$1:$AQ$1,0),FALSE)</f>
        <v>3.82</v>
      </c>
      <c r="AD270" s="31">
        <f>VLOOKUP($B270,'Tillförd energi'!$B$1:$AI$720,MATCH(AD$1,'Tillförd energi'!$B$1:$AQ$1,0),FALSE)</f>
        <v>0</v>
      </c>
      <c r="AE270" s="31">
        <f>VLOOKUP($B270,'Tillförd energi'!$B$1:$AI$720,MATCH(AE$1,'Tillförd energi'!$B$1:$AQ$1,0),FALSE)</f>
        <v>0</v>
      </c>
      <c r="AF270" s="31">
        <f>VLOOKUP($B270,'Tillförd energi'!$B$1:$AI$720,MATCH(AF$1,'Tillförd energi'!$B$1:$AQ$1,0),FALSE)</f>
        <v>0.83</v>
      </c>
      <c r="AG270" s="31">
        <f>IFERROR(VLOOKUP(B270,Miljö!$B$1:$AC$550,MATCH("Köpt mängd produktionsspecifik fjärrvärme:",Miljö!$B$1:$AC$1,0),FALSE)/1,0)</f>
        <v>0</v>
      </c>
      <c r="AI270" s="31">
        <f t="shared" si="92"/>
        <v>30.330000000000002</v>
      </c>
      <c r="AJ270" s="31">
        <f t="shared" si="93"/>
        <v>30.330000000000002</v>
      </c>
      <c r="AK270" s="31">
        <f>IF(ISERROR(1/VLOOKUP($B270,Leveranser!$B$1:$S$499,MATCH("Såld värme (GWh)",Leveranser!$B$1:$S$1,0),FALSE)),"",VLOOKUP($B270,Leveranser!$B$1:$S$499,MATCH("Såld värme (GWh)",Leveranser!$B$1:$S$1,0),FALSE))</f>
        <v>21.78</v>
      </c>
      <c r="AL270" s="31">
        <f>VLOOKUP($B270,Leveranser!$B$1:$Y$499,MATCH("Totalt såld fjärrvärme till andra fjärrvärmeföretag",Leveranser!$B$1:$AA$1,0),FALSE)</f>
        <v>0</v>
      </c>
      <c r="AM270" s="31">
        <f>IF(ISERROR(1/VLOOKUP($B270,Miljö!$B$1:$S$500,MATCH("Såld mängd produktionsspecifik fjärrvärme (GWh)",Miljö!$B$1:$R$1,0),FALSE)),0,VLOOKUP($B270,Miljö!$B$1:$S$500,MATCH("Såld mängd produktionsspecifik fjärrvärme (GWh)",Miljö!$B$1:$R$1,0),FALSE))</f>
        <v>0</v>
      </c>
      <c r="AN270" s="32">
        <f t="shared" si="94"/>
        <v>0.71810089020771517</v>
      </c>
      <c r="AP270" s="31" t="str">
        <f>IFERROR(VLOOKUP($B270,Miljövärden!$B$2:$H$550,7,FALSE),"Nej, saknas")</f>
        <v>Ja</v>
      </c>
      <c r="AQ270" s="31" t="str">
        <f>IFERROR(VLOOKUP($B270,Miljövärden!$B$2:$H$551,6,FALSE),"Nej, saknas")</f>
        <v>Ja</v>
      </c>
      <c r="AU270" s="31">
        <f t="shared" si="95"/>
        <v>0.83</v>
      </c>
      <c r="AV270" s="31">
        <f t="shared" si="96"/>
        <v>0</v>
      </c>
      <c r="AW270" s="31">
        <f t="shared" si="97"/>
        <v>24.830000000000002</v>
      </c>
      <c r="AX270" s="31">
        <f t="shared" si="98"/>
        <v>0</v>
      </c>
      <c r="AZ270" s="31">
        <f t="shared" si="99"/>
        <v>25.680000000000003</v>
      </c>
      <c r="BC270" s="31">
        <f t="shared" si="100"/>
        <v>0</v>
      </c>
      <c r="BD270" s="31">
        <f t="shared" si="101"/>
        <v>0</v>
      </c>
      <c r="BE270" s="31">
        <f t="shared" si="102"/>
        <v>25.680000000000003</v>
      </c>
      <c r="BF270" s="31">
        <f t="shared" si="103"/>
        <v>3.82</v>
      </c>
      <c r="BG270" s="31">
        <f t="shared" si="104"/>
        <v>0.83</v>
      </c>
      <c r="BH270" s="31">
        <f>VLOOKUP(B270,Miljö!$B$1:$BX$482,MATCH("Fossilandel för ursprungspecificerad el ()",Miljö!$B$1:$I$1,0),FALSE)</f>
        <v>0</v>
      </c>
      <c r="BI270" s="31">
        <f>VLOOKUP(B270,Miljö!$B$1:$BX$482,MATCH("Kärnkraftsandel för ursprungsspecificerad el ()",Miljö!$B$1:$O$1,0),FALSE)</f>
        <v>0</v>
      </c>
      <c r="BJ270" s="31">
        <f t="shared" si="105"/>
        <v>0</v>
      </c>
      <c r="BK270" s="31" t="str">
        <f>VLOOKUP(B270,Miljö!$B$1:$P$482,MATCH("Fossil andel i procent (%)",Miljö!$B$1:$P$1,0),FALSE)</f>
        <v>ET</v>
      </c>
      <c r="BL270" s="31">
        <f t="shared" si="106"/>
        <v>30.330000000000002</v>
      </c>
      <c r="BO270" s="32">
        <f t="shared" si="107"/>
        <v>0</v>
      </c>
      <c r="BP270" s="32">
        <f t="shared" si="108"/>
        <v>0</v>
      </c>
      <c r="BQ270" s="32">
        <f t="shared" si="109"/>
        <v>0.87405209363666336</v>
      </c>
      <c r="BR270" s="32">
        <f t="shared" si="110"/>
        <v>0.12594790636333661</v>
      </c>
      <c r="BT270" s="62">
        <f t="shared" si="111"/>
        <v>1</v>
      </c>
      <c r="BW270" s="32">
        <f>IF(AP270="Ja",VLOOKUP(B270,Miljövärden!$B$2:$H$551,MATCH("Total andel fossilt",Miljövärden!$B$2:$H$2,0),FALSE),"")</f>
        <v>0</v>
      </c>
      <c r="BX270" s="62">
        <f t="shared" si="112"/>
        <v>0</v>
      </c>
      <c r="BZ270" s="31">
        <f t="shared" si="113"/>
        <v>0</v>
      </c>
      <c r="CA270" s="32">
        <f t="shared" si="114"/>
        <v>0</v>
      </c>
    </row>
    <row r="271" spans="1:79" x14ac:dyDescent="0.45">
      <c r="A271" s="31" t="s">
        <v>324</v>
      </c>
      <c r="B271" s="31" t="s">
        <v>325</v>
      </c>
      <c r="C271" s="31">
        <f>VLOOKUP($B271,'Tillförd energi'!$B$1:$AI$720,MATCH(C$1,'Tillförd energi'!$B$1:$AQ$1,0),FALSE)</f>
        <v>0</v>
      </c>
      <c r="D271" s="31">
        <f>VLOOKUP($B271,'Tillförd energi'!$B$1:$AI$720,MATCH(D$1,'Tillförd energi'!$B$1:$AQ$1,0),FALSE)</f>
        <v>0</v>
      </c>
      <c r="E271" s="31">
        <f>VLOOKUP($B271,'Tillförd energi'!$B$1:$AI$720,MATCH(E$1,'Tillförd energi'!$B$1:$AQ$1,0),FALSE)</f>
        <v>0</v>
      </c>
      <c r="F271" s="31">
        <f>VLOOKUP($B271,'Tillförd energi'!$B$1:$AI$720,MATCH(F$1,'Tillförd energi'!$B$1:$AQ$1,0),FALSE)</f>
        <v>0</v>
      </c>
      <c r="G271" s="31">
        <f>VLOOKUP($B271,'Tillförd energi'!$B$1:$AI$720,MATCH(G$1,'Tillförd energi'!$B$1:$AQ$1,0),FALSE)</f>
        <v>0</v>
      </c>
      <c r="H271" s="31">
        <f>VLOOKUP($B271,'Tillförd energi'!$B$1:$AI$720,MATCH(H$1,'Tillförd energi'!$B$1:$AQ$1,0),FALSE)</f>
        <v>0</v>
      </c>
      <c r="I271" s="31">
        <f>VLOOKUP($B271,'Tillförd energi'!$B$1:$AI$720,MATCH(I$1,'Tillförd energi'!$B$1:$AQ$1,0),FALSE)</f>
        <v>0</v>
      </c>
      <c r="J271" s="31">
        <f>VLOOKUP($B271,'Tillförd energi'!$B$1:$AI$720,MATCH(J$1,'Tillförd energi'!$B$1:$AQ$1,0),FALSE)</f>
        <v>0</v>
      </c>
      <c r="K271" s="31">
        <f>VLOOKUP($B271,'Tillförd energi'!$B$1:$AI$720,MATCH(K$1,'Tillförd energi'!$B$1:$AQ$1,0),FALSE)</f>
        <v>0</v>
      </c>
      <c r="L271" s="31">
        <f>VLOOKUP($B271,'Tillförd energi'!$B$1:$AI$720,MATCH(L$1,'Tillförd energi'!$B$1:$AQ$1,0),FALSE)</f>
        <v>0</v>
      </c>
      <c r="M271" s="31">
        <f>VLOOKUP($B271,'Tillförd energi'!$B$1:$AI$720,MATCH(M$1,'Tillförd energi'!$B$1:$AQ$1,0),FALSE)</f>
        <v>0</v>
      </c>
      <c r="N271" s="31">
        <f>VLOOKUP($B271,'Tillförd energi'!$B$1:$AI$720,MATCH(N$1,'Tillförd energi'!$B$1:$AQ$1,0),FALSE)</f>
        <v>0.23</v>
      </c>
      <c r="O271" s="31">
        <f>VLOOKUP($B271,'Tillförd energi'!$B$1:$AI$720,MATCH(O$1,'Tillförd energi'!$B$1:$AQ$1,0),FALSE)</f>
        <v>0</v>
      </c>
      <c r="P271" s="31">
        <f>VLOOKUP($B271,'Tillförd energi'!$B$1:$AI$720,MATCH(P$1,'Tillförd energi'!$B$1:$AQ$1,0),FALSE)</f>
        <v>11.13</v>
      </c>
      <c r="Q271" s="31">
        <f>VLOOKUP($B271,'Tillförd energi'!$B$1:$AI$720,MATCH(Q$1,'Tillförd energi'!$B$1:$AQ$1,0),FALSE)</f>
        <v>0</v>
      </c>
      <c r="R271" s="31">
        <f>VLOOKUP($B271,'Tillförd energi'!$B$1:$AI$720,MATCH(R$1,'Tillförd energi'!$B$1:$AQ$1,0),FALSE)</f>
        <v>0</v>
      </c>
      <c r="S271" s="31">
        <f>VLOOKUP($B271,'Tillförd energi'!$B$1:$AI$720,MATCH(S$1,'Tillförd energi'!$B$1:$AQ$1,0),FALSE)</f>
        <v>0</v>
      </c>
      <c r="T271" s="31">
        <f>VLOOKUP($B271,'Tillförd energi'!$B$1:$AI$720,MATCH(T$1,'Tillförd energi'!$B$1:$AQ$1,0),FALSE)</f>
        <v>0</v>
      </c>
      <c r="U271" s="31">
        <f>VLOOKUP($B271,'Tillförd energi'!$B$1:$AI$720,MATCH(U$1,'Tillförd energi'!$B$1:$AQ$1,0),FALSE)</f>
        <v>0</v>
      </c>
      <c r="V271" s="31">
        <f>VLOOKUP($B271,'Tillförd energi'!$B$1:$AI$720,MATCH(V$1,'Tillförd energi'!$B$1:$AQ$1,0),FALSE)</f>
        <v>0</v>
      </c>
      <c r="W271" s="31">
        <f>VLOOKUP($B271,'Tillförd energi'!$B$1:$AI$720,MATCH(W$1,'Tillförd energi'!$B$1:$AQ$1,0),FALSE)</f>
        <v>0.49</v>
      </c>
      <c r="X271" s="31">
        <f>VLOOKUP($B271,'Tillförd energi'!$B$1:$AI$720,MATCH(X$1,'Tillförd energi'!$B$1:$AQ$1,0),FALSE)</f>
        <v>0</v>
      </c>
      <c r="Y271" s="31">
        <f>VLOOKUP($B271,'Tillförd energi'!$B$1:$AI$720,MATCH(Y$1,'Tillförd energi'!$B$1:$AQ$1,0),FALSE)</f>
        <v>0</v>
      </c>
      <c r="Z271" s="31">
        <f>VLOOKUP($B271,'Tillförd energi'!$B$1:$AI$720,MATCH(Z$1,'Tillförd energi'!$B$1:$AQ$1,0),FALSE)</f>
        <v>0</v>
      </c>
      <c r="AA271" s="31">
        <f>VLOOKUP($B271,'Tillförd energi'!$B$1:$AI$720,MATCH(AA$1,'Tillförd energi'!$B$1:$AQ$1,0),FALSE)</f>
        <v>0</v>
      </c>
      <c r="AB271" s="31">
        <f>VLOOKUP($B271,'Tillförd energi'!$B$1:$AI$720,MATCH(AB$1,'Tillförd energi'!$B$1:$AQ$1,0),FALSE)</f>
        <v>0</v>
      </c>
      <c r="AC271" s="31">
        <f>VLOOKUP($B271,'Tillförd energi'!$B$1:$AI$720,MATCH(AC$1,'Tillförd energi'!$B$1:$AQ$1,0),FALSE)</f>
        <v>1.24</v>
      </c>
      <c r="AD271" s="31">
        <f>VLOOKUP($B271,'Tillförd energi'!$B$1:$AI$720,MATCH(AD$1,'Tillförd energi'!$B$1:$AQ$1,0),FALSE)</f>
        <v>0</v>
      </c>
      <c r="AE271" s="31">
        <f>VLOOKUP($B271,'Tillförd energi'!$B$1:$AI$720,MATCH(AE$1,'Tillförd energi'!$B$1:$AQ$1,0),FALSE)</f>
        <v>0</v>
      </c>
      <c r="AF271" s="31">
        <f>VLOOKUP($B271,'Tillförd energi'!$B$1:$AI$720,MATCH(AF$1,'Tillförd energi'!$B$1:$AQ$1,0),FALSE)</f>
        <v>0.27</v>
      </c>
      <c r="AG271" s="31">
        <f>IFERROR(VLOOKUP(B271,Miljö!$B$1:$AC$550,MATCH("Köpt mängd produktionsspecifik fjärrvärme:",Miljö!$B$1:$AC$1,0),FALSE)/1,0)</f>
        <v>0</v>
      </c>
      <c r="AI271" s="31">
        <f t="shared" si="92"/>
        <v>13.360000000000001</v>
      </c>
      <c r="AJ271" s="31">
        <f t="shared" si="93"/>
        <v>13.360000000000001</v>
      </c>
      <c r="AK271" s="31">
        <f>IF(ISERROR(1/VLOOKUP($B271,Leveranser!$B$1:$S$499,MATCH("Såld värme (GWh)",Leveranser!$B$1:$S$1,0),FALSE)),"",VLOOKUP($B271,Leveranser!$B$1:$S$499,MATCH("Såld värme (GWh)",Leveranser!$B$1:$S$1,0),FALSE))</f>
        <v>9.43</v>
      </c>
      <c r="AL271" s="31">
        <f>VLOOKUP($B271,Leveranser!$B$1:$Y$499,MATCH("Totalt såld fjärrvärme till andra fjärrvärmeföretag",Leveranser!$B$1:$AA$1,0),FALSE)</f>
        <v>0</v>
      </c>
      <c r="AM271" s="31">
        <f>IF(ISERROR(1/VLOOKUP($B271,Miljö!$B$1:$S$500,MATCH("Såld mängd produktionsspecifik fjärrvärme (GWh)",Miljö!$B$1:$R$1,0),FALSE)),0,VLOOKUP($B271,Miljö!$B$1:$S$500,MATCH("Såld mängd produktionsspecifik fjärrvärme (GWh)",Miljö!$B$1:$R$1,0),FALSE))</f>
        <v>0</v>
      </c>
      <c r="AN271" s="32">
        <f t="shared" si="94"/>
        <v>0.70583832335329333</v>
      </c>
      <c r="AP271" s="31" t="str">
        <f>IFERROR(VLOOKUP($B271,Miljövärden!$B$2:$H$550,7,FALSE),"Nej, saknas")</f>
        <v>Ja</v>
      </c>
      <c r="AQ271" s="31" t="str">
        <f>IFERROR(VLOOKUP($B271,Miljövärden!$B$2:$H$551,6,FALSE),"Nej, saknas")</f>
        <v>Ja</v>
      </c>
      <c r="AU271" s="31">
        <f t="shared" si="95"/>
        <v>0.27</v>
      </c>
      <c r="AV271" s="31">
        <f t="shared" si="96"/>
        <v>0</v>
      </c>
      <c r="AW271" s="31">
        <f t="shared" si="97"/>
        <v>11.360000000000001</v>
      </c>
      <c r="AX271" s="31">
        <f t="shared" si="98"/>
        <v>0</v>
      </c>
      <c r="AZ271" s="31">
        <f t="shared" si="99"/>
        <v>11.850000000000001</v>
      </c>
      <c r="BC271" s="31">
        <f t="shared" si="100"/>
        <v>0</v>
      </c>
      <c r="BD271" s="31">
        <f t="shared" si="101"/>
        <v>0</v>
      </c>
      <c r="BE271" s="31">
        <f t="shared" si="102"/>
        <v>11.850000000000001</v>
      </c>
      <c r="BF271" s="31">
        <f t="shared" si="103"/>
        <v>1.24</v>
      </c>
      <c r="BG271" s="31">
        <f t="shared" si="104"/>
        <v>0.27</v>
      </c>
      <c r="BH271" s="31">
        <f>VLOOKUP(B271,Miljö!$B$1:$BX$482,MATCH("Fossilandel för ursprungspecificerad el ()",Miljö!$B$1:$I$1,0),FALSE)</f>
        <v>0</v>
      </c>
      <c r="BI271" s="31">
        <f>VLOOKUP(B271,Miljö!$B$1:$BX$482,MATCH("Kärnkraftsandel för ursprungsspecificerad el ()",Miljö!$B$1:$O$1,0),FALSE)</f>
        <v>0</v>
      </c>
      <c r="BJ271" s="31">
        <f t="shared" si="105"/>
        <v>0</v>
      </c>
      <c r="BK271" s="31" t="str">
        <f>VLOOKUP(B271,Miljö!$B$1:$P$482,MATCH("Fossil andel i procent (%)",Miljö!$B$1:$P$1,0),FALSE)</f>
        <v>ET</v>
      </c>
      <c r="BL271" s="31">
        <f t="shared" si="106"/>
        <v>13.360000000000001</v>
      </c>
      <c r="BO271" s="32">
        <f t="shared" si="107"/>
        <v>0</v>
      </c>
      <c r="BP271" s="32">
        <f t="shared" si="108"/>
        <v>0</v>
      </c>
      <c r="BQ271" s="32">
        <f t="shared" si="109"/>
        <v>0.90718562874251496</v>
      </c>
      <c r="BR271" s="32">
        <f t="shared" si="110"/>
        <v>9.2814371257485026E-2</v>
      </c>
      <c r="BT271" s="62">
        <f t="shared" si="111"/>
        <v>1</v>
      </c>
      <c r="BW271" s="32">
        <f>IF(AP271="Ja",VLOOKUP(B271,Miljövärden!$B$2:$H$551,MATCH("Total andel fossilt",Miljövärden!$B$2:$H$2,0),FALSE),"")</f>
        <v>0</v>
      </c>
      <c r="BX271" s="62">
        <f t="shared" si="112"/>
        <v>0</v>
      </c>
      <c r="BZ271" s="31">
        <f t="shared" si="113"/>
        <v>0</v>
      </c>
      <c r="CA271" s="32">
        <f t="shared" si="114"/>
        <v>0</v>
      </c>
    </row>
    <row r="272" spans="1:79" x14ac:dyDescent="0.45">
      <c r="A272" s="31" t="s">
        <v>324</v>
      </c>
      <c r="B272" s="31" t="s">
        <v>323</v>
      </c>
      <c r="C272" s="31">
        <f>VLOOKUP($B272,'Tillförd energi'!$B$1:$AI$720,MATCH(C$1,'Tillförd energi'!$B$1:$AQ$1,0),FALSE)</f>
        <v>0</v>
      </c>
      <c r="D272" s="31">
        <f>VLOOKUP($B272,'Tillförd energi'!$B$1:$AI$720,MATCH(D$1,'Tillförd energi'!$B$1:$AQ$1,0),FALSE)</f>
        <v>8.5999999999999993E-2</v>
      </c>
      <c r="E272" s="31">
        <f>VLOOKUP($B272,'Tillförd energi'!$B$1:$AI$720,MATCH(E$1,'Tillförd energi'!$B$1:$AQ$1,0),FALSE)</f>
        <v>0</v>
      </c>
      <c r="F272" s="31">
        <f>VLOOKUP($B272,'Tillförd energi'!$B$1:$AI$720,MATCH(F$1,'Tillförd energi'!$B$1:$AQ$1,0),FALSE)</f>
        <v>0</v>
      </c>
      <c r="G272" s="31">
        <f>VLOOKUP($B272,'Tillförd energi'!$B$1:$AI$720,MATCH(G$1,'Tillförd energi'!$B$1:$AQ$1,0),FALSE)</f>
        <v>0</v>
      </c>
      <c r="H272" s="31">
        <f>VLOOKUP($B272,'Tillförd energi'!$B$1:$AI$720,MATCH(H$1,'Tillförd energi'!$B$1:$AQ$1,0),FALSE)</f>
        <v>0</v>
      </c>
      <c r="I272" s="31">
        <f>VLOOKUP($B272,'Tillförd energi'!$B$1:$AI$720,MATCH(I$1,'Tillförd energi'!$B$1:$AQ$1,0),FALSE)</f>
        <v>0</v>
      </c>
      <c r="J272" s="31">
        <f>VLOOKUP($B272,'Tillförd energi'!$B$1:$AI$720,MATCH(J$1,'Tillförd energi'!$B$1:$AQ$1,0),FALSE)</f>
        <v>0</v>
      </c>
      <c r="K272" s="31">
        <f>VLOOKUP($B272,'Tillförd energi'!$B$1:$AI$720,MATCH(K$1,'Tillförd energi'!$B$1:$AQ$1,0),FALSE)</f>
        <v>0</v>
      </c>
      <c r="L272" s="31">
        <f>VLOOKUP($B272,'Tillförd energi'!$B$1:$AI$720,MATCH(L$1,'Tillförd energi'!$B$1:$AQ$1,0),FALSE)</f>
        <v>0</v>
      </c>
      <c r="M272" s="31">
        <f>VLOOKUP($B272,'Tillförd energi'!$B$1:$AI$720,MATCH(M$1,'Tillförd energi'!$B$1:$AQ$1,0),FALSE)</f>
        <v>10.68</v>
      </c>
      <c r="N272" s="31">
        <f>VLOOKUP($B272,'Tillförd energi'!$B$1:$AI$720,MATCH(N$1,'Tillförd energi'!$B$1:$AQ$1,0),FALSE)</f>
        <v>2.13</v>
      </c>
      <c r="O272" s="31">
        <f>VLOOKUP($B272,'Tillförd energi'!$B$1:$AI$720,MATCH(O$1,'Tillförd energi'!$B$1:$AQ$1,0),FALSE)</f>
        <v>0</v>
      </c>
      <c r="P272" s="31">
        <f>VLOOKUP($B272,'Tillförd energi'!$B$1:$AI$720,MATCH(P$1,'Tillförd energi'!$B$1:$AQ$1,0),FALSE)</f>
        <v>29.9</v>
      </c>
      <c r="Q272" s="31">
        <f>VLOOKUP($B272,'Tillförd energi'!$B$1:$AI$720,MATCH(Q$1,'Tillförd energi'!$B$1:$AQ$1,0),FALSE)</f>
        <v>0</v>
      </c>
      <c r="R272" s="31">
        <f>VLOOKUP($B272,'Tillförd energi'!$B$1:$AI$720,MATCH(R$1,'Tillförd energi'!$B$1:$AQ$1,0),FALSE)</f>
        <v>0</v>
      </c>
      <c r="S272" s="31">
        <f>VLOOKUP($B272,'Tillförd energi'!$B$1:$AI$720,MATCH(S$1,'Tillförd energi'!$B$1:$AQ$1,0),FALSE)</f>
        <v>0</v>
      </c>
      <c r="T272" s="31">
        <f>VLOOKUP($B272,'Tillförd energi'!$B$1:$AI$720,MATCH(T$1,'Tillförd energi'!$B$1:$AQ$1,0),FALSE)</f>
        <v>0</v>
      </c>
      <c r="U272" s="31">
        <f>VLOOKUP($B272,'Tillförd energi'!$B$1:$AI$720,MATCH(U$1,'Tillförd energi'!$B$1:$AQ$1,0),FALSE)</f>
        <v>0</v>
      </c>
      <c r="V272" s="31">
        <f>VLOOKUP($B272,'Tillförd energi'!$B$1:$AI$720,MATCH(V$1,'Tillförd energi'!$B$1:$AQ$1,0),FALSE)</f>
        <v>0</v>
      </c>
      <c r="W272" s="31">
        <f>VLOOKUP($B272,'Tillförd energi'!$B$1:$AI$720,MATCH(W$1,'Tillförd energi'!$B$1:$AQ$1,0),FALSE)</f>
        <v>2.98</v>
      </c>
      <c r="X272" s="31">
        <f>VLOOKUP($B272,'Tillförd energi'!$B$1:$AI$720,MATCH(X$1,'Tillförd energi'!$B$1:$AQ$1,0),FALSE)</f>
        <v>0</v>
      </c>
      <c r="Y272" s="31">
        <f>VLOOKUP($B272,'Tillförd energi'!$B$1:$AI$720,MATCH(Y$1,'Tillförd energi'!$B$1:$AQ$1,0),FALSE)</f>
        <v>0</v>
      </c>
      <c r="Z272" s="31">
        <f>VLOOKUP($B272,'Tillförd energi'!$B$1:$AI$720,MATCH(Z$1,'Tillförd energi'!$B$1:$AQ$1,0),FALSE)</f>
        <v>0</v>
      </c>
      <c r="AA272" s="31">
        <f>VLOOKUP($B272,'Tillförd energi'!$B$1:$AI$720,MATCH(AA$1,'Tillförd energi'!$B$1:$AQ$1,0),FALSE)</f>
        <v>0</v>
      </c>
      <c r="AB272" s="31">
        <f>VLOOKUP($B272,'Tillförd energi'!$B$1:$AI$720,MATCH(AB$1,'Tillförd energi'!$B$1:$AQ$1,0),FALSE)</f>
        <v>0</v>
      </c>
      <c r="AC272" s="31">
        <f>VLOOKUP($B272,'Tillförd energi'!$B$1:$AI$720,MATCH(AC$1,'Tillförd energi'!$B$1:$AQ$1,0),FALSE)</f>
        <v>6.51</v>
      </c>
      <c r="AD272" s="31">
        <f>VLOOKUP($B272,'Tillförd energi'!$B$1:$AI$720,MATCH(AD$1,'Tillförd energi'!$B$1:$AQ$1,0),FALSE)</f>
        <v>0</v>
      </c>
      <c r="AE272" s="31">
        <f>VLOOKUP($B272,'Tillförd energi'!$B$1:$AI$720,MATCH(AE$1,'Tillförd energi'!$B$1:$AQ$1,0),FALSE)</f>
        <v>0</v>
      </c>
      <c r="AF272" s="31">
        <f>VLOOKUP($B272,'Tillförd energi'!$B$1:$AI$720,MATCH(AF$1,'Tillförd energi'!$B$1:$AQ$1,0),FALSE)</f>
        <v>1.03</v>
      </c>
      <c r="AG272" s="31">
        <f>IFERROR(VLOOKUP(B272,Miljö!$B$1:$AC$550,MATCH("Köpt mängd produktionsspecifik fjärrvärme:",Miljö!$B$1:$AC$1,0),FALSE)/1,0)</f>
        <v>0</v>
      </c>
      <c r="AI272" s="31">
        <f t="shared" si="92"/>
        <v>53.315999999999995</v>
      </c>
      <c r="AJ272" s="31">
        <f t="shared" si="93"/>
        <v>53.315999999999995</v>
      </c>
      <c r="AK272" s="31">
        <f>IF(ISERROR(1/VLOOKUP($B272,Leveranser!$B$1:$S$499,MATCH("Såld värme (GWh)",Leveranser!$B$1:$S$1,0),FALSE)),"",VLOOKUP($B272,Leveranser!$B$1:$S$499,MATCH("Såld värme (GWh)",Leveranser!$B$1:$S$1,0),FALSE))</f>
        <v>42.05</v>
      </c>
      <c r="AL272" s="31">
        <f>VLOOKUP($B272,Leveranser!$B$1:$Y$499,MATCH("Totalt såld fjärrvärme till andra fjärrvärmeföretag",Leveranser!$B$1:$AA$1,0),FALSE)</f>
        <v>0</v>
      </c>
      <c r="AM272" s="31">
        <f>IF(ISERROR(1/VLOOKUP($B272,Miljö!$B$1:$S$500,MATCH("Såld mängd produktionsspecifik fjärrvärme (GWh)",Miljö!$B$1:$R$1,0),FALSE)),0,VLOOKUP($B272,Miljö!$B$1:$S$500,MATCH("Såld mängd produktionsspecifik fjärrvärme (GWh)",Miljö!$B$1:$R$1,0),FALSE))</f>
        <v>0</v>
      </c>
      <c r="AN272" s="32">
        <f t="shared" si="94"/>
        <v>0.78869382549328537</v>
      </c>
      <c r="AP272" s="31" t="str">
        <f>IFERROR(VLOOKUP($B272,Miljövärden!$B$2:$H$550,7,FALSE),"Nej, saknas")</f>
        <v>Ja</v>
      </c>
      <c r="AQ272" s="31" t="str">
        <f>IFERROR(VLOOKUP($B272,Miljövärden!$B$2:$H$551,6,FALSE),"Nej, saknas")</f>
        <v>Ja</v>
      </c>
      <c r="AU272" s="31">
        <f t="shared" si="95"/>
        <v>1.03</v>
      </c>
      <c r="AV272" s="31">
        <f t="shared" si="96"/>
        <v>0</v>
      </c>
      <c r="AW272" s="31">
        <f t="shared" si="97"/>
        <v>42.709999999999994</v>
      </c>
      <c r="AX272" s="31">
        <f t="shared" si="98"/>
        <v>0</v>
      </c>
      <c r="AZ272" s="31">
        <f t="shared" si="99"/>
        <v>45.689999999999991</v>
      </c>
      <c r="BC272" s="31">
        <f t="shared" si="100"/>
        <v>8.5999999999999993E-2</v>
      </c>
      <c r="BD272" s="31">
        <f t="shared" si="101"/>
        <v>0</v>
      </c>
      <c r="BE272" s="31">
        <f t="shared" si="102"/>
        <v>45.689999999999991</v>
      </c>
      <c r="BF272" s="31">
        <f t="shared" si="103"/>
        <v>6.51</v>
      </c>
      <c r="BG272" s="31">
        <f t="shared" si="104"/>
        <v>1.03</v>
      </c>
      <c r="BH272" s="31">
        <f>VLOOKUP(B272,Miljö!$B$1:$BX$482,MATCH("Fossilandel för ursprungspecificerad el ()",Miljö!$B$1:$I$1,0),FALSE)</f>
        <v>0</v>
      </c>
      <c r="BI272" s="31">
        <f>VLOOKUP(B272,Miljö!$B$1:$BX$482,MATCH("Kärnkraftsandel för ursprungsspecificerad el ()",Miljö!$B$1:$O$1,0),FALSE)</f>
        <v>0</v>
      </c>
      <c r="BJ272" s="31">
        <f t="shared" si="105"/>
        <v>0</v>
      </c>
      <c r="BK272" s="31" t="str">
        <f>VLOOKUP(B272,Miljö!$B$1:$P$482,MATCH("Fossil andel i procent (%)",Miljö!$B$1:$P$1,0),FALSE)</f>
        <v>ET</v>
      </c>
      <c r="BL272" s="31">
        <f t="shared" si="106"/>
        <v>53.315999999999988</v>
      </c>
      <c r="BO272" s="32">
        <f t="shared" si="107"/>
        <v>1.6130242328756849E-3</v>
      </c>
      <c r="BP272" s="32">
        <f t="shared" si="108"/>
        <v>0</v>
      </c>
      <c r="BQ272" s="32">
        <f t="shared" si="109"/>
        <v>0.87628479255758129</v>
      </c>
      <c r="BR272" s="32">
        <f t="shared" si="110"/>
        <v>0.12210218320954312</v>
      </c>
      <c r="BT272" s="62">
        <f t="shared" si="111"/>
        <v>1</v>
      </c>
      <c r="BW272" s="32">
        <f>IF(AP272="Ja",VLOOKUP(B272,Miljövärden!$B$2:$H$551,MATCH("Total andel fossilt",Miljövärden!$B$2:$H$2,0),FALSE),"")</f>
        <v>1.6130199999999999E-3</v>
      </c>
      <c r="BX272" s="62">
        <f t="shared" si="112"/>
        <v>-4.2328756849445426E-9</v>
      </c>
      <c r="BZ272" s="31">
        <f t="shared" si="113"/>
        <v>-4.2328756849445426E-9</v>
      </c>
      <c r="CA272" s="32">
        <f t="shared" si="114"/>
        <v>0</v>
      </c>
    </row>
    <row r="273" spans="1:79" x14ac:dyDescent="0.45">
      <c r="A273" s="31" t="s">
        <v>321</v>
      </c>
      <c r="B273" s="31" t="s">
        <v>322</v>
      </c>
      <c r="C273" s="31">
        <f>VLOOKUP($B273,'Tillförd energi'!$B$1:$AI$720,MATCH(C$1,'Tillförd energi'!$B$1:$AQ$1,0),FALSE)</f>
        <v>0</v>
      </c>
      <c r="D273" s="31">
        <f>VLOOKUP($B273,'Tillförd energi'!$B$1:$AI$720,MATCH(D$1,'Tillförd energi'!$B$1:$AQ$1,0),FALSE)</f>
        <v>3.8600000000000002E-2</v>
      </c>
      <c r="E273" s="31">
        <f>VLOOKUP($B273,'Tillförd energi'!$B$1:$AI$720,MATCH(E$1,'Tillförd energi'!$B$1:$AQ$1,0),FALSE)</f>
        <v>0</v>
      </c>
      <c r="F273" s="31">
        <f>VLOOKUP($B273,'Tillförd energi'!$B$1:$AI$720,MATCH(F$1,'Tillförd energi'!$B$1:$AQ$1,0),FALSE)</f>
        <v>0</v>
      </c>
      <c r="G273" s="31">
        <f>VLOOKUP($B273,'Tillförd energi'!$B$1:$AI$720,MATCH(G$1,'Tillförd energi'!$B$1:$AQ$1,0),FALSE)</f>
        <v>0</v>
      </c>
      <c r="H273" s="31">
        <f>VLOOKUP($B273,'Tillförd energi'!$B$1:$AI$720,MATCH(H$1,'Tillförd energi'!$B$1:$AQ$1,0),FALSE)</f>
        <v>0</v>
      </c>
      <c r="I273" s="31">
        <f>VLOOKUP($B273,'Tillförd energi'!$B$1:$AI$720,MATCH(I$1,'Tillförd energi'!$B$1:$AQ$1,0),FALSE)</f>
        <v>0</v>
      </c>
      <c r="J273" s="31">
        <f>VLOOKUP($B273,'Tillförd energi'!$B$1:$AI$720,MATCH(J$1,'Tillförd energi'!$B$1:$AQ$1,0),FALSE)</f>
        <v>2.984</v>
      </c>
      <c r="K273" s="31">
        <f>VLOOKUP($B273,'Tillförd energi'!$B$1:$AI$720,MATCH(K$1,'Tillförd energi'!$B$1:$AQ$1,0),FALSE)</f>
        <v>0</v>
      </c>
      <c r="L273" s="31">
        <f>VLOOKUP($B273,'Tillförd energi'!$B$1:$AI$720,MATCH(L$1,'Tillförd energi'!$B$1:$AQ$1,0),FALSE)</f>
        <v>0</v>
      </c>
      <c r="M273" s="31">
        <f>VLOOKUP($B273,'Tillförd energi'!$B$1:$AI$720,MATCH(M$1,'Tillförd energi'!$B$1:$AQ$1,0),FALSE)</f>
        <v>0</v>
      </c>
      <c r="N273" s="31">
        <f>VLOOKUP($B273,'Tillförd energi'!$B$1:$AI$720,MATCH(N$1,'Tillförd energi'!$B$1:$AQ$1,0),FALSE)</f>
        <v>0</v>
      </c>
      <c r="O273" s="31">
        <f>VLOOKUP($B273,'Tillförd energi'!$B$1:$AI$720,MATCH(O$1,'Tillförd energi'!$B$1:$AQ$1,0),FALSE)</f>
        <v>0</v>
      </c>
      <c r="P273" s="31">
        <f>VLOOKUP($B273,'Tillförd energi'!$B$1:$AI$720,MATCH(P$1,'Tillförd energi'!$B$1:$AQ$1,0),FALSE)</f>
        <v>0</v>
      </c>
      <c r="Q273" s="31">
        <f>VLOOKUP($B273,'Tillförd energi'!$B$1:$AI$720,MATCH(Q$1,'Tillförd energi'!$B$1:$AQ$1,0),FALSE)</f>
        <v>0</v>
      </c>
      <c r="R273" s="31">
        <f>VLOOKUP($B273,'Tillförd energi'!$B$1:$AI$720,MATCH(R$1,'Tillförd energi'!$B$1:$AQ$1,0),FALSE)</f>
        <v>0</v>
      </c>
      <c r="S273" s="31">
        <f>VLOOKUP($B273,'Tillförd energi'!$B$1:$AI$720,MATCH(S$1,'Tillförd energi'!$B$1:$AQ$1,0),FALSE)</f>
        <v>0</v>
      </c>
      <c r="T273" s="31">
        <f>VLOOKUP($B273,'Tillförd energi'!$B$1:$AI$720,MATCH(T$1,'Tillförd energi'!$B$1:$AQ$1,0),FALSE)</f>
        <v>0</v>
      </c>
      <c r="U273" s="31">
        <f>VLOOKUP($B273,'Tillförd energi'!$B$1:$AI$720,MATCH(U$1,'Tillförd energi'!$B$1:$AQ$1,0),FALSE)</f>
        <v>0</v>
      </c>
      <c r="V273" s="31">
        <f>VLOOKUP($B273,'Tillförd energi'!$B$1:$AI$720,MATCH(V$1,'Tillförd energi'!$B$1:$AQ$1,0),FALSE)</f>
        <v>0</v>
      </c>
      <c r="W273" s="31">
        <f>VLOOKUP($B273,'Tillförd energi'!$B$1:$AI$720,MATCH(W$1,'Tillförd energi'!$B$1:$AQ$1,0),FALSE)</f>
        <v>0</v>
      </c>
      <c r="X273" s="31">
        <f>VLOOKUP($B273,'Tillförd energi'!$B$1:$AI$720,MATCH(X$1,'Tillförd energi'!$B$1:$AQ$1,0),FALSE)</f>
        <v>0</v>
      </c>
      <c r="Y273" s="31">
        <f>VLOOKUP($B273,'Tillförd energi'!$B$1:$AI$720,MATCH(Y$1,'Tillförd energi'!$B$1:$AQ$1,0),FALSE)</f>
        <v>0</v>
      </c>
      <c r="Z273" s="31">
        <f>VLOOKUP($B273,'Tillförd energi'!$B$1:$AI$720,MATCH(Z$1,'Tillförd energi'!$B$1:$AQ$1,0),FALSE)</f>
        <v>0</v>
      </c>
      <c r="AA273" s="31">
        <f>VLOOKUP($B273,'Tillförd energi'!$B$1:$AI$720,MATCH(AA$1,'Tillförd energi'!$B$1:$AQ$1,0),FALSE)</f>
        <v>0</v>
      </c>
      <c r="AB273" s="31">
        <f>VLOOKUP($B273,'Tillförd energi'!$B$1:$AI$720,MATCH(AB$1,'Tillförd energi'!$B$1:$AQ$1,0),FALSE)</f>
        <v>0</v>
      </c>
      <c r="AC273" s="31">
        <f>VLOOKUP($B273,'Tillförd energi'!$B$1:$AI$720,MATCH(AC$1,'Tillförd energi'!$B$1:$AQ$1,0),FALSE)</f>
        <v>0</v>
      </c>
      <c r="AD273" s="31">
        <f>VLOOKUP($B273,'Tillförd energi'!$B$1:$AI$720,MATCH(AD$1,'Tillförd energi'!$B$1:$AQ$1,0),FALSE)</f>
        <v>89.26</v>
      </c>
      <c r="AE273" s="31">
        <f>VLOOKUP($B273,'Tillförd energi'!$B$1:$AI$720,MATCH(AE$1,'Tillförd energi'!$B$1:$AQ$1,0),FALSE)</f>
        <v>0</v>
      </c>
      <c r="AF273" s="31">
        <f>VLOOKUP($B273,'Tillförd energi'!$B$1:$AI$720,MATCH(AF$1,'Tillförd energi'!$B$1:$AQ$1,0),FALSE)</f>
        <v>1</v>
      </c>
      <c r="AG273" s="31">
        <f>IFERROR(VLOOKUP(B273,Miljö!$B$1:$AC$550,MATCH("Köpt mängd produktionsspecifik fjärrvärme:",Miljö!$B$1:$AC$1,0),FALSE)/1,0)</f>
        <v>0</v>
      </c>
      <c r="AI273" s="31">
        <f t="shared" si="92"/>
        <v>93.282600000000002</v>
      </c>
      <c r="AJ273" s="31">
        <f t="shared" si="93"/>
        <v>93.282600000000002</v>
      </c>
      <c r="AK273" s="31">
        <f>IF(ISERROR(1/VLOOKUP($B273,Leveranser!$B$1:$S$499,MATCH("Såld värme (GWh)",Leveranser!$B$1:$S$1,0),FALSE)),"",VLOOKUP($B273,Leveranser!$B$1:$S$499,MATCH("Såld värme (GWh)",Leveranser!$B$1:$S$1,0),FALSE))</f>
        <v>75.400000000000006</v>
      </c>
      <c r="AL273" s="31">
        <f>VLOOKUP($B273,Leveranser!$B$1:$Y$499,MATCH("Totalt såld fjärrvärme till andra fjärrvärmeföretag",Leveranser!$B$1:$AA$1,0),FALSE)</f>
        <v>0</v>
      </c>
      <c r="AM273" s="31">
        <f>IF(ISERROR(1/VLOOKUP($B273,Miljö!$B$1:$S$500,MATCH("Såld mängd produktionsspecifik fjärrvärme (GWh)",Miljö!$B$1:$R$1,0),FALSE)),0,VLOOKUP($B273,Miljö!$B$1:$S$500,MATCH("Såld mängd produktionsspecifik fjärrvärme (GWh)",Miljö!$B$1:$R$1,0),FALSE))</f>
        <v>0</v>
      </c>
      <c r="AN273" s="32">
        <f t="shared" si="94"/>
        <v>0.80829650974565459</v>
      </c>
      <c r="AP273" s="31" t="str">
        <f>IFERROR(VLOOKUP($B273,Miljövärden!$B$2:$H$550,7,FALSE),"Nej, saknas")</f>
        <v>Ja</v>
      </c>
      <c r="AQ273" s="31" t="str">
        <f>IFERROR(VLOOKUP($B273,Miljövärden!$B$2:$H$551,6,FALSE),"Nej, saknas")</f>
        <v>Ja</v>
      </c>
      <c r="AU273" s="31">
        <f t="shared" si="95"/>
        <v>1</v>
      </c>
      <c r="AV273" s="31">
        <f t="shared" si="96"/>
        <v>0</v>
      </c>
      <c r="AW273" s="31">
        <f t="shared" si="97"/>
        <v>0</v>
      </c>
      <c r="AX273" s="31">
        <f t="shared" si="98"/>
        <v>0</v>
      </c>
      <c r="AZ273" s="31">
        <f t="shared" si="99"/>
        <v>0</v>
      </c>
      <c r="BC273" s="31">
        <f t="shared" si="100"/>
        <v>3.8600000000000002E-2</v>
      </c>
      <c r="BD273" s="31">
        <f t="shared" si="101"/>
        <v>0</v>
      </c>
      <c r="BE273" s="31">
        <f t="shared" si="102"/>
        <v>0</v>
      </c>
      <c r="BF273" s="31">
        <f t="shared" si="103"/>
        <v>92.244</v>
      </c>
      <c r="BG273" s="31">
        <f t="shared" si="104"/>
        <v>1</v>
      </c>
      <c r="BH273" s="31">
        <f>VLOOKUP(B273,Miljö!$B$1:$BX$482,MATCH("Fossilandel för ursprungspecificerad el ()",Miljö!$B$1:$I$1,0),FALSE)</f>
        <v>0</v>
      </c>
      <c r="BI273" s="31">
        <f>VLOOKUP(B273,Miljö!$B$1:$BX$482,MATCH("Kärnkraftsandel för ursprungsspecificerad el ()",Miljö!$B$1:$O$1,0),FALSE)</f>
        <v>0</v>
      </c>
      <c r="BJ273" s="31">
        <f t="shared" si="105"/>
        <v>0</v>
      </c>
      <c r="BK273" s="31" t="str">
        <f>VLOOKUP(B273,Miljö!$B$1:$P$482,MATCH("Fossil andel i procent (%)",Miljö!$B$1:$P$1,0),FALSE)</f>
        <v>ET</v>
      </c>
      <c r="BL273" s="31">
        <f t="shared" si="106"/>
        <v>93.282600000000002</v>
      </c>
      <c r="BO273" s="32">
        <f t="shared" si="107"/>
        <v>4.137963564480407E-4</v>
      </c>
      <c r="BP273" s="32">
        <f t="shared" si="108"/>
        <v>0</v>
      </c>
      <c r="BQ273" s="32">
        <f t="shared" si="109"/>
        <v>1.0720112861348203E-2</v>
      </c>
      <c r="BR273" s="32">
        <f t="shared" si="110"/>
        <v>0.98886609078220378</v>
      </c>
      <c r="BT273" s="62">
        <f t="shared" si="111"/>
        <v>1</v>
      </c>
      <c r="BW273" s="32">
        <f>IF(AP273="Ja",VLOOKUP(B273,Miljövärden!$B$2:$H$551,MATCH("Total andel fossilt",Miljövärden!$B$2:$H$2,0),FALSE),"")</f>
        <v>4.1379600000000002E-4</v>
      </c>
      <c r="BX273" s="62">
        <f t="shared" si="112"/>
        <v>-3.5644804068004493E-10</v>
      </c>
      <c r="BZ273" s="31">
        <f t="shared" si="113"/>
        <v>-3.5644804068004493E-10</v>
      </c>
      <c r="CA273" s="32">
        <f t="shared" si="114"/>
        <v>0</v>
      </c>
    </row>
    <row r="274" spans="1:79" x14ac:dyDescent="0.45">
      <c r="A274" s="31" t="s">
        <v>321</v>
      </c>
      <c r="B274" s="31" t="s">
        <v>320</v>
      </c>
      <c r="C274" s="31">
        <f>VLOOKUP($B274,'Tillförd energi'!$B$1:$AI$720,MATCH(C$1,'Tillförd energi'!$B$1:$AQ$1,0),FALSE)</f>
        <v>0</v>
      </c>
      <c r="D274" s="31">
        <f>VLOOKUP($B274,'Tillförd energi'!$B$1:$AI$720,MATCH(D$1,'Tillförd energi'!$B$1:$AQ$1,0),FALSE)</f>
        <v>9.4000000000000004E-3</v>
      </c>
      <c r="E274" s="31">
        <f>VLOOKUP($B274,'Tillförd energi'!$B$1:$AI$720,MATCH(E$1,'Tillförd energi'!$B$1:$AQ$1,0),FALSE)</f>
        <v>0</v>
      </c>
      <c r="F274" s="31">
        <f>VLOOKUP($B274,'Tillförd energi'!$B$1:$AI$720,MATCH(F$1,'Tillförd energi'!$B$1:$AQ$1,0),FALSE)</f>
        <v>0</v>
      </c>
      <c r="G274" s="31">
        <f>VLOOKUP($B274,'Tillförd energi'!$B$1:$AI$720,MATCH(G$1,'Tillförd energi'!$B$1:$AQ$1,0),FALSE)</f>
        <v>0</v>
      </c>
      <c r="H274" s="31">
        <f>VLOOKUP($B274,'Tillförd energi'!$B$1:$AI$720,MATCH(H$1,'Tillförd energi'!$B$1:$AQ$1,0),FALSE)</f>
        <v>0</v>
      </c>
      <c r="I274" s="31">
        <f>VLOOKUP($B274,'Tillförd energi'!$B$1:$AI$720,MATCH(I$1,'Tillförd energi'!$B$1:$AQ$1,0),FALSE)</f>
        <v>0</v>
      </c>
      <c r="J274" s="31">
        <f>VLOOKUP($B274,'Tillförd energi'!$B$1:$AI$720,MATCH(J$1,'Tillförd energi'!$B$1:$AQ$1,0),FALSE)</f>
        <v>0</v>
      </c>
      <c r="K274" s="31">
        <f>VLOOKUP($B274,'Tillförd energi'!$B$1:$AI$720,MATCH(K$1,'Tillförd energi'!$B$1:$AQ$1,0),FALSE)</f>
        <v>0</v>
      </c>
      <c r="L274" s="31">
        <f>VLOOKUP($B274,'Tillförd energi'!$B$1:$AI$720,MATCH(L$1,'Tillförd energi'!$B$1:$AQ$1,0),FALSE)</f>
        <v>0</v>
      </c>
      <c r="M274" s="31">
        <f>VLOOKUP($B274,'Tillförd energi'!$B$1:$AI$720,MATCH(M$1,'Tillförd energi'!$B$1:$AQ$1,0),FALSE)</f>
        <v>0</v>
      </c>
      <c r="N274" s="31">
        <f>VLOOKUP($B274,'Tillförd energi'!$B$1:$AI$720,MATCH(N$1,'Tillförd energi'!$B$1:$AQ$1,0),FALSE)</f>
        <v>0</v>
      </c>
      <c r="O274" s="31">
        <f>VLOOKUP($B274,'Tillförd energi'!$B$1:$AI$720,MATCH(O$1,'Tillförd energi'!$B$1:$AQ$1,0),FALSE)</f>
        <v>0</v>
      </c>
      <c r="P274" s="31">
        <f>VLOOKUP($B274,'Tillförd energi'!$B$1:$AI$720,MATCH(P$1,'Tillförd energi'!$B$1:$AQ$1,0),FALSE)</f>
        <v>0</v>
      </c>
      <c r="Q274" s="31">
        <f>VLOOKUP($B274,'Tillförd energi'!$B$1:$AI$720,MATCH(Q$1,'Tillförd energi'!$B$1:$AQ$1,0),FALSE)</f>
        <v>0</v>
      </c>
      <c r="R274" s="31">
        <f>VLOOKUP($B274,'Tillförd energi'!$B$1:$AI$720,MATCH(R$1,'Tillförd energi'!$B$1:$AQ$1,0),FALSE)</f>
        <v>0.93049999999999999</v>
      </c>
      <c r="S274" s="31">
        <f>VLOOKUP($B274,'Tillförd energi'!$B$1:$AI$720,MATCH(S$1,'Tillförd energi'!$B$1:$AQ$1,0),FALSE)</f>
        <v>0</v>
      </c>
      <c r="T274" s="31">
        <f>VLOOKUP($B274,'Tillförd energi'!$B$1:$AI$720,MATCH(T$1,'Tillförd energi'!$B$1:$AQ$1,0),FALSE)</f>
        <v>0</v>
      </c>
      <c r="U274" s="31">
        <f>VLOOKUP($B274,'Tillförd energi'!$B$1:$AI$720,MATCH(U$1,'Tillförd energi'!$B$1:$AQ$1,0),FALSE)</f>
        <v>0</v>
      </c>
      <c r="V274" s="31">
        <f>VLOOKUP($B274,'Tillförd energi'!$B$1:$AI$720,MATCH(V$1,'Tillförd energi'!$B$1:$AQ$1,0),FALSE)</f>
        <v>0</v>
      </c>
      <c r="W274" s="31">
        <f>VLOOKUP($B274,'Tillförd energi'!$B$1:$AI$720,MATCH(W$1,'Tillförd energi'!$B$1:$AQ$1,0),FALSE)</f>
        <v>0</v>
      </c>
      <c r="X274" s="31">
        <f>VLOOKUP($B274,'Tillförd energi'!$B$1:$AI$720,MATCH(X$1,'Tillförd energi'!$B$1:$AQ$1,0),FALSE)</f>
        <v>0</v>
      </c>
      <c r="Y274" s="31">
        <f>VLOOKUP($B274,'Tillförd energi'!$B$1:$AI$720,MATCH(Y$1,'Tillförd energi'!$B$1:$AQ$1,0),FALSE)</f>
        <v>0</v>
      </c>
      <c r="Z274" s="31">
        <f>VLOOKUP($B274,'Tillförd energi'!$B$1:$AI$720,MATCH(Z$1,'Tillförd energi'!$B$1:$AQ$1,0),FALSE)</f>
        <v>0</v>
      </c>
      <c r="AA274" s="31">
        <f>VLOOKUP($B274,'Tillförd energi'!$B$1:$AI$720,MATCH(AA$1,'Tillförd energi'!$B$1:$AQ$1,0),FALSE)</f>
        <v>0</v>
      </c>
      <c r="AB274" s="31">
        <f>VLOOKUP($B274,'Tillförd energi'!$B$1:$AI$720,MATCH(AB$1,'Tillförd energi'!$B$1:$AQ$1,0),FALSE)</f>
        <v>0</v>
      </c>
      <c r="AC274" s="31">
        <f>VLOOKUP($B274,'Tillförd energi'!$B$1:$AI$720,MATCH(AC$1,'Tillförd energi'!$B$1:$AQ$1,0),FALSE)</f>
        <v>0</v>
      </c>
      <c r="AD274" s="31">
        <f>VLOOKUP($B274,'Tillförd energi'!$B$1:$AI$720,MATCH(AD$1,'Tillförd energi'!$B$1:$AQ$1,0),FALSE)</f>
        <v>0</v>
      </c>
      <c r="AE274" s="31">
        <f>VLOOKUP($B274,'Tillförd energi'!$B$1:$AI$720,MATCH(AE$1,'Tillförd energi'!$B$1:$AQ$1,0),FALSE)</f>
        <v>0</v>
      </c>
      <c r="AF274" s="31">
        <f>VLOOKUP($B274,'Tillförd energi'!$B$1:$AI$720,MATCH(AF$1,'Tillförd energi'!$B$1:$AQ$1,0),FALSE)</f>
        <v>2.0500000000000001E-2</v>
      </c>
      <c r="AG274" s="31">
        <f>IFERROR(VLOOKUP(B274,Miljö!$B$1:$AC$550,MATCH("Köpt mängd produktionsspecifik fjärrvärme:",Miljö!$B$1:$AC$1,0),FALSE)/1,0)</f>
        <v>0</v>
      </c>
      <c r="AI274" s="31">
        <f t="shared" si="92"/>
        <v>0.96039999999999992</v>
      </c>
      <c r="AJ274" s="31">
        <f t="shared" si="93"/>
        <v>0.96039999999999992</v>
      </c>
      <c r="AK274" s="31">
        <f>IF(ISERROR(1/VLOOKUP($B274,Leveranser!$B$1:$S$499,MATCH("Såld värme (GWh)",Leveranser!$B$1:$S$1,0),FALSE)),"",VLOOKUP($B274,Leveranser!$B$1:$S$499,MATCH("Såld värme (GWh)",Leveranser!$B$1:$S$1,0),FALSE))</f>
        <v>0.94</v>
      </c>
      <c r="AL274" s="31">
        <f>VLOOKUP($B274,Leveranser!$B$1:$Y$499,MATCH("Totalt såld fjärrvärme till andra fjärrvärmeföretag",Leveranser!$B$1:$AA$1,0),FALSE)</f>
        <v>0</v>
      </c>
      <c r="AM274" s="31">
        <f>IF(ISERROR(1/VLOOKUP($B274,Miljö!$B$1:$S$500,MATCH("Såld mängd produktionsspecifik fjärrvärme (GWh)",Miljö!$B$1:$R$1,0),FALSE)),0,VLOOKUP($B274,Miljö!$B$1:$S$500,MATCH("Såld mängd produktionsspecifik fjärrvärme (GWh)",Miljö!$B$1:$R$1,0),FALSE))</f>
        <v>0</v>
      </c>
      <c r="AN274" s="32">
        <f t="shared" si="94"/>
        <v>0.97875885047896716</v>
      </c>
      <c r="AP274" s="31" t="str">
        <f>IFERROR(VLOOKUP($B274,Miljövärden!$B$2:$H$550,7,FALSE),"Nej, saknas")</f>
        <v>Ja</v>
      </c>
      <c r="AQ274" s="31" t="str">
        <f>IFERROR(VLOOKUP($B274,Miljövärden!$B$2:$H$551,6,FALSE),"Nej, saknas")</f>
        <v>Ja</v>
      </c>
      <c r="AU274" s="31">
        <f t="shared" si="95"/>
        <v>2.0500000000000001E-2</v>
      </c>
      <c r="AV274" s="31">
        <f t="shared" si="96"/>
        <v>0</v>
      </c>
      <c r="AW274" s="31">
        <f t="shared" si="97"/>
        <v>0</v>
      </c>
      <c r="AX274" s="31">
        <f t="shared" si="98"/>
        <v>0.93049999999999999</v>
      </c>
      <c r="AZ274" s="31">
        <f t="shared" si="99"/>
        <v>0.93049999999999999</v>
      </c>
      <c r="BC274" s="31">
        <f t="shared" si="100"/>
        <v>9.4000000000000004E-3</v>
      </c>
      <c r="BD274" s="31">
        <f t="shared" si="101"/>
        <v>0</v>
      </c>
      <c r="BE274" s="31">
        <f t="shared" si="102"/>
        <v>0.93049999999999999</v>
      </c>
      <c r="BF274" s="31">
        <f t="shared" si="103"/>
        <v>0</v>
      </c>
      <c r="BG274" s="31">
        <f t="shared" si="104"/>
        <v>2.0500000000000001E-2</v>
      </c>
      <c r="BH274" s="31">
        <f>VLOOKUP(B274,Miljö!$B$1:$BX$482,MATCH("Fossilandel för ursprungspecificerad el ()",Miljö!$B$1:$I$1,0),FALSE)</f>
        <v>0</v>
      </c>
      <c r="BI274" s="31">
        <f>VLOOKUP(B274,Miljö!$B$1:$BX$482,MATCH("Kärnkraftsandel för ursprungsspecificerad el ()",Miljö!$B$1:$O$1,0),FALSE)</f>
        <v>0</v>
      </c>
      <c r="BJ274" s="31">
        <f t="shared" si="105"/>
        <v>0</v>
      </c>
      <c r="BK274" s="31" t="str">
        <f>VLOOKUP(B274,Miljö!$B$1:$P$482,MATCH("Fossil andel i procent (%)",Miljö!$B$1:$P$1,0),FALSE)</f>
        <v>ET</v>
      </c>
      <c r="BL274" s="31">
        <f t="shared" si="106"/>
        <v>0.96039999999999992</v>
      </c>
      <c r="BO274" s="32">
        <f t="shared" si="107"/>
        <v>9.7875885047896717E-3</v>
      </c>
      <c r="BP274" s="32">
        <f t="shared" si="108"/>
        <v>0</v>
      </c>
      <c r="BQ274" s="32">
        <f t="shared" si="109"/>
        <v>0.99021241149521033</v>
      </c>
      <c r="BR274" s="32">
        <f t="shared" si="110"/>
        <v>0</v>
      </c>
      <c r="BT274" s="62">
        <f t="shared" si="111"/>
        <v>1</v>
      </c>
      <c r="BW274" s="32">
        <f>IF(AP274="Ja",VLOOKUP(B274,Miljövärden!$B$2:$H$551,MATCH("Total andel fossilt",Miljövärden!$B$2:$H$2,0),FALSE),"")</f>
        <v>9.7875900000000005E-3</v>
      </c>
      <c r="BX274" s="62">
        <f t="shared" si="112"/>
        <v>1.4952103288140561E-9</v>
      </c>
      <c r="BZ274" s="31">
        <f t="shared" si="113"/>
        <v>1.4952103288140561E-9</v>
      </c>
      <c r="CA274" s="32">
        <f t="shared" si="114"/>
        <v>0</v>
      </c>
    </row>
    <row r="275" spans="1:79" x14ac:dyDescent="0.45">
      <c r="A275" s="31" t="s">
        <v>312</v>
      </c>
      <c r="B275" s="31" t="s">
        <v>313</v>
      </c>
      <c r="C275" s="31">
        <f>VLOOKUP($B275,'Tillförd energi'!$B$1:$AI$720,MATCH(C$1,'Tillförd energi'!$B$1:$AQ$1,0),FALSE)</f>
        <v>0</v>
      </c>
      <c r="D275" s="31">
        <f>VLOOKUP($B275,'Tillförd energi'!$B$1:$AI$720,MATCH(D$1,'Tillförd energi'!$B$1:$AQ$1,0),FALSE)</f>
        <v>0</v>
      </c>
      <c r="E275" s="31">
        <f>VLOOKUP($B275,'Tillförd energi'!$B$1:$AI$720,MATCH(E$1,'Tillförd energi'!$B$1:$AQ$1,0),FALSE)</f>
        <v>0</v>
      </c>
      <c r="F275" s="31">
        <f>VLOOKUP($B275,'Tillförd energi'!$B$1:$AI$720,MATCH(F$1,'Tillförd energi'!$B$1:$AQ$1,0),FALSE)</f>
        <v>0</v>
      </c>
      <c r="G275" s="31">
        <f>VLOOKUP($B275,'Tillförd energi'!$B$1:$AI$720,MATCH(G$1,'Tillförd energi'!$B$1:$AQ$1,0),FALSE)</f>
        <v>0</v>
      </c>
      <c r="H275" s="31">
        <f>VLOOKUP($B275,'Tillförd energi'!$B$1:$AI$720,MATCH(H$1,'Tillförd energi'!$B$1:$AQ$1,0),FALSE)</f>
        <v>0</v>
      </c>
      <c r="I275" s="31">
        <f>VLOOKUP($B275,'Tillförd energi'!$B$1:$AI$720,MATCH(I$1,'Tillförd energi'!$B$1:$AQ$1,0),FALSE)</f>
        <v>0</v>
      </c>
      <c r="J275" s="31">
        <f>VLOOKUP($B275,'Tillförd energi'!$B$1:$AI$720,MATCH(J$1,'Tillförd energi'!$B$1:$AQ$1,0),FALSE)</f>
        <v>0</v>
      </c>
      <c r="K275" s="31">
        <f>VLOOKUP($B275,'Tillförd energi'!$B$1:$AI$720,MATCH(K$1,'Tillförd energi'!$B$1:$AQ$1,0),FALSE)</f>
        <v>0</v>
      </c>
      <c r="L275" s="31">
        <f>VLOOKUP($B275,'Tillförd energi'!$B$1:$AI$720,MATCH(L$1,'Tillförd energi'!$B$1:$AQ$1,0),FALSE)</f>
        <v>0</v>
      </c>
      <c r="M275" s="31">
        <f>VLOOKUP($B275,'Tillförd energi'!$B$1:$AI$720,MATCH(M$1,'Tillförd energi'!$B$1:$AQ$1,0),FALSE)</f>
        <v>0</v>
      </c>
      <c r="N275" s="31">
        <f>VLOOKUP($B275,'Tillförd energi'!$B$1:$AI$720,MATCH(N$1,'Tillförd energi'!$B$1:$AQ$1,0),FALSE)</f>
        <v>0</v>
      </c>
      <c r="O275" s="31">
        <f>VLOOKUP($B275,'Tillförd energi'!$B$1:$AI$720,MATCH(O$1,'Tillförd energi'!$B$1:$AQ$1,0),FALSE)</f>
        <v>0</v>
      </c>
      <c r="P275" s="31">
        <f>VLOOKUP($B275,'Tillförd energi'!$B$1:$AI$720,MATCH(P$1,'Tillförd energi'!$B$1:$AQ$1,0),FALSE)</f>
        <v>0</v>
      </c>
      <c r="Q275" s="31">
        <f>VLOOKUP($B275,'Tillförd energi'!$B$1:$AI$720,MATCH(Q$1,'Tillförd energi'!$B$1:$AQ$1,0),FALSE)</f>
        <v>0</v>
      </c>
      <c r="R275" s="31">
        <f>VLOOKUP($B275,'Tillförd energi'!$B$1:$AI$720,MATCH(R$1,'Tillförd energi'!$B$1:$AQ$1,0),FALSE)</f>
        <v>25.222000000000001</v>
      </c>
      <c r="S275" s="31">
        <f>VLOOKUP($B275,'Tillförd energi'!$B$1:$AI$720,MATCH(S$1,'Tillförd energi'!$B$1:$AQ$1,0),FALSE)</f>
        <v>0</v>
      </c>
      <c r="T275" s="31">
        <f>VLOOKUP($B275,'Tillförd energi'!$B$1:$AI$720,MATCH(T$1,'Tillförd energi'!$B$1:$AQ$1,0),FALSE)</f>
        <v>0</v>
      </c>
      <c r="U275" s="31">
        <f>VLOOKUP($B275,'Tillförd energi'!$B$1:$AI$720,MATCH(U$1,'Tillförd energi'!$B$1:$AQ$1,0),FALSE)</f>
        <v>0</v>
      </c>
      <c r="V275" s="31">
        <f>VLOOKUP($B275,'Tillförd energi'!$B$1:$AI$720,MATCH(V$1,'Tillförd energi'!$B$1:$AQ$1,0),FALSE)</f>
        <v>0</v>
      </c>
      <c r="W275" s="31">
        <f>VLOOKUP($B275,'Tillförd energi'!$B$1:$AI$720,MATCH(W$1,'Tillförd energi'!$B$1:$AQ$1,0),FALSE)</f>
        <v>21.925999999999998</v>
      </c>
      <c r="X275" s="31">
        <f>VLOOKUP($B275,'Tillförd energi'!$B$1:$AI$720,MATCH(X$1,'Tillförd energi'!$B$1:$AQ$1,0),FALSE)</f>
        <v>0</v>
      </c>
      <c r="Y275" s="31">
        <f>VLOOKUP($B275,'Tillförd energi'!$B$1:$AI$720,MATCH(Y$1,'Tillförd energi'!$B$1:$AQ$1,0),FALSE)</f>
        <v>0</v>
      </c>
      <c r="Z275" s="31">
        <f>VLOOKUP($B275,'Tillförd energi'!$B$1:$AI$720,MATCH(Z$1,'Tillförd energi'!$B$1:$AQ$1,0),FALSE)</f>
        <v>4.8470000000000004</v>
      </c>
      <c r="AA275" s="31">
        <f>VLOOKUP($B275,'Tillförd energi'!$B$1:$AI$720,MATCH(AA$1,'Tillförd energi'!$B$1:$AQ$1,0),FALSE)</f>
        <v>7.9450000000000003</v>
      </c>
      <c r="AB275" s="31">
        <f>VLOOKUP($B275,'Tillförd energi'!$B$1:$AI$720,MATCH(AB$1,'Tillförd energi'!$B$1:$AQ$1,0),FALSE)</f>
        <v>9.6660000000000004</v>
      </c>
      <c r="AC275" s="31">
        <f>VLOOKUP($B275,'Tillförd energi'!$B$1:$AI$720,MATCH(AC$1,'Tillförd energi'!$B$1:$AQ$1,0),FALSE)</f>
        <v>0</v>
      </c>
      <c r="AD275" s="31">
        <f>VLOOKUP($B275,'Tillförd energi'!$B$1:$AI$720,MATCH(AD$1,'Tillförd energi'!$B$1:$AQ$1,0),FALSE)</f>
        <v>0</v>
      </c>
      <c r="AE275" s="31">
        <f>VLOOKUP($B275,'Tillförd energi'!$B$1:$AI$720,MATCH(AE$1,'Tillförd energi'!$B$1:$AQ$1,0),FALSE)</f>
        <v>0</v>
      </c>
      <c r="AF275" s="31">
        <f>VLOOKUP($B275,'Tillförd energi'!$B$1:$AI$720,MATCH(AF$1,'Tillförd energi'!$B$1:$AQ$1,0),FALSE)</f>
        <v>0.751</v>
      </c>
      <c r="AG275" s="31">
        <f>IFERROR(VLOOKUP(B275,Miljö!$B$1:$AC$550,MATCH("Köpt mängd produktionsspecifik fjärrvärme:",Miljö!$B$1:$AC$1,0),FALSE)/1,0)</f>
        <v>0</v>
      </c>
      <c r="AI275" s="31">
        <f t="shared" si="92"/>
        <v>70.356999999999999</v>
      </c>
      <c r="AJ275" s="31">
        <f t="shared" si="93"/>
        <v>70.356999999999999</v>
      </c>
      <c r="AK275" s="31">
        <f>IF(ISERROR(1/VLOOKUP($B275,Leveranser!$B$1:$S$499,MATCH("Såld värme (GWh)",Leveranser!$B$1:$S$1,0),FALSE)),"",VLOOKUP($B275,Leveranser!$B$1:$S$499,MATCH("Såld värme (GWh)",Leveranser!$B$1:$S$1,0),FALSE))</f>
        <v>61.47</v>
      </c>
      <c r="AL275" s="31">
        <f>VLOOKUP($B275,Leveranser!$B$1:$Y$499,MATCH("Totalt såld fjärrvärme till andra fjärrvärmeföretag",Leveranser!$B$1:$AA$1,0),FALSE)</f>
        <v>0</v>
      </c>
      <c r="AM275" s="31">
        <f>IF(ISERROR(1/VLOOKUP($B275,Miljö!$B$1:$S$500,MATCH("Såld mängd produktionsspecifik fjärrvärme (GWh)",Miljö!$B$1:$R$1,0),FALSE)),0,VLOOKUP($B275,Miljö!$B$1:$S$500,MATCH("Såld mängd produktionsspecifik fjärrvärme (GWh)",Miljö!$B$1:$R$1,0),FALSE))</f>
        <v>0</v>
      </c>
      <c r="AN275" s="32">
        <f t="shared" si="94"/>
        <v>0.8736870531716816</v>
      </c>
      <c r="AP275" s="31" t="str">
        <f>IFERROR(VLOOKUP($B275,Miljövärden!$B$2:$H$550,7,FALSE),"Nej, saknas")</f>
        <v>ja</v>
      </c>
      <c r="AQ275" s="31" t="str">
        <f>IFERROR(VLOOKUP($B275,Miljövärden!$B$2:$H$551,6,FALSE),"Nej, saknas")</f>
        <v>Ja</v>
      </c>
      <c r="AU275" s="31">
        <f t="shared" si="95"/>
        <v>13.543000000000001</v>
      </c>
      <c r="AV275" s="31">
        <f t="shared" si="96"/>
        <v>0</v>
      </c>
      <c r="AW275" s="31">
        <f t="shared" si="97"/>
        <v>0</v>
      </c>
      <c r="AX275" s="31">
        <f t="shared" si="98"/>
        <v>25.222000000000001</v>
      </c>
      <c r="AZ275" s="31">
        <f t="shared" si="99"/>
        <v>47.147999999999996</v>
      </c>
      <c r="BC275" s="31">
        <f t="shared" si="100"/>
        <v>0</v>
      </c>
      <c r="BD275" s="31">
        <f t="shared" si="101"/>
        <v>0</v>
      </c>
      <c r="BE275" s="31">
        <f t="shared" si="102"/>
        <v>47.147999999999996</v>
      </c>
      <c r="BF275" s="31">
        <f t="shared" si="103"/>
        <v>9.6660000000000004</v>
      </c>
      <c r="BG275" s="31">
        <f t="shared" si="104"/>
        <v>13.543000000000001</v>
      </c>
      <c r="BH275" s="31">
        <f>VLOOKUP(B275,Miljö!$B$1:$BX$482,MATCH("Fossilandel för ursprungspecificerad el ()",Miljö!$B$1:$I$1,0),FALSE)</f>
        <v>0.35</v>
      </c>
      <c r="BI275" s="31" t="str">
        <f>VLOOKUP(B275,Miljö!$B$1:$BX$482,MATCH("Kärnkraftsandel för ursprungsspecificerad el ()",Miljö!$B$1:$O$1,0),FALSE)</f>
        <v>-</v>
      </c>
      <c r="BJ275" s="31">
        <f t="shared" si="105"/>
        <v>0</v>
      </c>
      <c r="BK275" s="31" t="str">
        <f>VLOOKUP(B275,Miljö!$B$1:$P$482,MATCH("Fossil andel i procent (%)",Miljö!$B$1:$P$1,0),FALSE)</f>
        <v>ET</v>
      </c>
      <c r="BL275" s="31">
        <f t="shared" si="106"/>
        <v>70.356999999999999</v>
      </c>
      <c r="BO275" s="32">
        <f t="shared" si="107"/>
        <v>6.7371405830265643E-2</v>
      </c>
      <c r="BP275" s="32">
        <f t="shared" si="108"/>
        <v>0</v>
      </c>
      <c r="BQ275" s="32">
        <f t="shared" si="109"/>
        <v>0.67012521852836249</v>
      </c>
      <c r="BR275" s="32">
        <f t="shared" si="110"/>
        <v>0.13738505052802139</v>
      </c>
      <c r="BT275" s="62">
        <f t="shared" si="111"/>
        <v>0.87488167488664959</v>
      </c>
      <c r="BW275" s="32">
        <f>IF(AP275="Ja",VLOOKUP(B275,Miljövärden!$B$2:$H$551,MATCH("Total andel fossilt",Miljövärden!$B$2:$H$2,0),FALSE),"")</f>
        <v>6.7371399999999998E-2</v>
      </c>
      <c r="BX275" s="62">
        <f t="shared" si="112"/>
        <v>-5.8302656452680068E-9</v>
      </c>
      <c r="BZ275" s="31">
        <f t="shared" si="113"/>
        <v>-5.8302656452680068E-9</v>
      </c>
      <c r="CA275" s="32">
        <f t="shared" si="114"/>
        <v>0</v>
      </c>
    </row>
    <row r="276" spans="1:79" x14ac:dyDescent="0.45">
      <c r="A276" s="31" t="s">
        <v>312</v>
      </c>
      <c r="B276" s="31" t="s">
        <v>112</v>
      </c>
      <c r="C276" s="31">
        <f>VLOOKUP($B276,'Tillförd energi'!$B$1:$AI$720,MATCH(C$1,'Tillförd energi'!$B$1:$AQ$1,0),FALSE)</f>
        <v>371.791</v>
      </c>
      <c r="D276" s="31">
        <f>VLOOKUP($B276,'Tillförd energi'!$B$1:$AI$720,MATCH(D$1,'Tillförd energi'!$B$1:$AQ$1,0),FALSE)</f>
        <v>111.928</v>
      </c>
      <c r="E276" s="31">
        <f>VLOOKUP($B276,'Tillförd energi'!$B$1:$AI$720,MATCH(E$1,'Tillförd energi'!$B$1:$AQ$1,0),FALSE)</f>
        <v>0</v>
      </c>
      <c r="F276" s="31">
        <f>VLOOKUP($B276,'Tillförd energi'!$B$1:$AI$720,MATCH(F$1,'Tillförd energi'!$B$1:$AQ$1,0),FALSE)</f>
        <v>30.698</v>
      </c>
      <c r="G276" s="31">
        <f>VLOOKUP($B276,'Tillförd energi'!$B$1:$AI$720,MATCH(G$1,'Tillförd energi'!$B$1:$AQ$1,0),FALSE)</f>
        <v>0</v>
      </c>
      <c r="H276" s="31">
        <f>VLOOKUP($B276,'Tillförd energi'!$B$1:$AI$720,MATCH(H$1,'Tillförd energi'!$B$1:$AQ$1,0),FALSE)</f>
        <v>0</v>
      </c>
      <c r="I276" s="31">
        <f>VLOOKUP($B276,'Tillförd energi'!$B$1:$AI$720,MATCH(I$1,'Tillförd energi'!$B$1:$AQ$1,0),FALSE)</f>
        <v>2048.04</v>
      </c>
      <c r="J276" s="31">
        <f>VLOOKUP($B276,'Tillförd energi'!$B$1:$AI$720,MATCH(J$1,'Tillförd energi'!$B$1:$AQ$1,0),FALSE)</f>
        <v>0</v>
      </c>
      <c r="K276" s="31">
        <f>VLOOKUP($B276,'Tillförd energi'!$B$1:$AI$720,MATCH(K$1,'Tillförd energi'!$B$1:$AQ$1,0),FALSE)</f>
        <v>0</v>
      </c>
      <c r="L276" s="31">
        <f>VLOOKUP($B276,'Tillförd energi'!$B$1:$AI$720,MATCH(L$1,'Tillförd energi'!$B$1:$AQ$1,0),FALSE)</f>
        <v>207.66300000000001</v>
      </c>
      <c r="M276" s="31">
        <f>VLOOKUP($B276,'Tillförd energi'!$B$1:$AI$720,MATCH(M$1,'Tillförd energi'!$B$1:$AQ$1,0),FALSE)</f>
        <v>0</v>
      </c>
      <c r="N276" s="31">
        <f>VLOOKUP($B276,'Tillförd energi'!$B$1:$AI$720,MATCH(N$1,'Tillförd energi'!$B$1:$AQ$1,0),FALSE)</f>
        <v>1288.6199999999999</v>
      </c>
      <c r="O276" s="31">
        <f>VLOOKUP($B276,'Tillförd energi'!$B$1:$AI$720,MATCH(O$1,'Tillförd energi'!$B$1:$AQ$1,0),FALSE)</f>
        <v>0</v>
      </c>
      <c r="P276" s="31">
        <f>VLOOKUP($B276,'Tillförd energi'!$B$1:$AI$720,MATCH(P$1,'Tillförd energi'!$B$1:$AQ$1,0),FALSE)</f>
        <v>0</v>
      </c>
      <c r="Q276" s="31">
        <f>VLOOKUP($B276,'Tillförd energi'!$B$1:$AI$720,MATCH(Q$1,'Tillförd energi'!$B$1:$AQ$1,0),FALSE)</f>
        <v>14.712999999999999</v>
      </c>
      <c r="R276" s="31">
        <f>VLOOKUP($B276,'Tillförd energi'!$B$1:$AI$720,MATCH(R$1,'Tillförd energi'!$B$1:$AQ$1,0),FALSE)</f>
        <v>408.36399999999998</v>
      </c>
      <c r="S276" s="31">
        <f>VLOOKUP($B276,'Tillförd energi'!$B$1:$AI$720,MATCH(S$1,'Tillförd energi'!$B$1:$AQ$1,0),FALSE)</f>
        <v>0</v>
      </c>
      <c r="T276" s="31">
        <f>VLOOKUP($B276,'Tillförd energi'!$B$1:$AI$720,MATCH(T$1,'Tillförd energi'!$B$1:$AQ$1,0),FALSE)</f>
        <v>0</v>
      </c>
      <c r="U276" s="31">
        <f>VLOOKUP($B276,'Tillförd energi'!$B$1:$AI$720,MATCH(U$1,'Tillförd energi'!$B$1:$AQ$1,0),FALSE)</f>
        <v>0</v>
      </c>
      <c r="V276" s="31">
        <f>VLOOKUP($B276,'Tillförd energi'!$B$1:$AI$720,MATCH(V$1,'Tillförd energi'!$B$1:$AQ$1,0),FALSE)</f>
        <v>57.862000000000002</v>
      </c>
      <c r="W276" s="31">
        <f>VLOOKUP($B276,'Tillförd energi'!$B$1:$AI$720,MATCH(W$1,'Tillförd energi'!$B$1:$AQ$1,0),FALSE)</f>
        <v>360.12599999999998</v>
      </c>
      <c r="X276" s="31">
        <f>VLOOKUP($B276,'Tillförd energi'!$B$1:$AI$720,MATCH(X$1,'Tillförd energi'!$B$1:$AQ$1,0),FALSE)</f>
        <v>0</v>
      </c>
      <c r="Y276" s="31">
        <f>VLOOKUP($B276,'Tillförd energi'!$B$1:$AI$720,MATCH(Y$1,'Tillförd energi'!$B$1:$AQ$1,0),FALSE)</f>
        <v>0</v>
      </c>
      <c r="Z276" s="31">
        <f>VLOOKUP($B276,'Tillförd energi'!$B$1:$AI$720,MATCH(Z$1,'Tillförd energi'!$B$1:$AQ$1,0),FALSE)</f>
        <v>23.577000000000002</v>
      </c>
      <c r="AA276" s="31">
        <f>VLOOKUP($B276,'Tillförd energi'!$B$1:$AI$720,MATCH(AA$1,'Tillförd energi'!$B$1:$AQ$1,0),FALSE)</f>
        <v>566.95000000000005</v>
      </c>
      <c r="AB276" s="31">
        <f>VLOOKUP($B276,'Tillförd energi'!$B$1:$AI$720,MATCH(AB$1,'Tillförd energi'!$B$1:$AQ$1,0),FALSE)</f>
        <v>1174.71</v>
      </c>
      <c r="AC276" s="31">
        <f>VLOOKUP($B276,'Tillförd energi'!$B$1:$AI$720,MATCH(AC$1,'Tillförd energi'!$B$1:$AQ$1,0),FALSE)</f>
        <v>1087.71</v>
      </c>
      <c r="AD276" s="31">
        <f>VLOOKUP($B276,'Tillförd energi'!$B$1:$AI$720,MATCH(AD$1,'Tillförd energi'!$B$1:$AQ$1,0),FALSE)</f>
        <v>0</v>
      </c>
      <c r="AE276" s="31">
        <f>VLOOKUP($B276,'Tillförd energi'!$B$1:$AI$720,MATCH(AE$1,'Tillförd energi'!$B$1:$AQ$1,0),FALSE)</f>
        <v>0</v>
      </c>
      <c r="AF276" s="31">
        <f>VLOOKUP($B276,'Tillförd energi'!$B$1:$AI$720,MATCH(AF$1,'Tillförd energi'!$B$1:$AQ$1,0),FALSE)</f>
        <v>251.97</v>
      </c>
      <c r="AG276" s="31">
        <f>IFERROR(VLOOKUP(B276,Miljö!$B$1:$AC$550,MATCH("Köpt mängd produktionsspecifik fjärrvärme:",Miljö!$B$1:$AC$1,0),FALSE)/1,0)</f>
        <v>0</v>
      </c>
      <c r="AI276" s="31">
        <f t="shared" si="92"/>
        <v>8004.7220000000007</v>
      </c>
      <c r="AJ276" s="31">
        <f t="shared" si="93"/>
        <v>8004.7220000000007</v>
      </c>
      <c r="AK276" s="31">
        <f>IF(ISERROR(1/VLOOKUP($B276,Leveranser!$B$1:$S$499,MATCH("Såld värme (GWh)",Leveranser!$B$1:$S$1,0),FALSE)),"",VLOOKUP($B276,Leveranser!$B$1:$S$499,MATCH("Såld värme (GWh)",Leveranser!$B$1:$S$1,0),FALSE))</f>
        <v>8032.2060000000001</v>
      </c>
      <c r="AL276" s="31">
        <f>VLOOKUP($B276,Leveranser!$B$1:$Y$499,MATCH("Totalt såld fjärrvärme till andra fjärrvärmeföretag",Leveranser!$B$1:$AA$1,0),FALSE)</f>
        <v>1013.73</v>
      </c>
      <c r="AM276" s="31">
        <f>IF(ISERROR(1/VLOOKUP($B276,Miljö!$B$1:$S$500,MATCH("Såld mängd produktionsspecifik fjärrvärme (GWh)",Miljö!$B$1:$R$1,0),FALSE)),0,VLOOKUP($B276,Miljö!$B$1:$S$500,MATCH("Såld mängd produktionsspecifik fjärrvärme (GWh)",Miljö!$B$1:$R$1,0),FALSE))</f>
        <v>1159.893</v>
      </c>
      <c r="AN276" s="32">
        <f t="shared" si="94"/>
        <v>1.00343347339233</v>
      </c>
      <c r="AP276" s="31" t="str">
        <f>IFERROR(VLOOKUP($B276,Miljövärden!$B$2:$H$550,7,FALSE),"Nej, saknas")</f>
        <v>Ja</v>
      </c>
      <c r="AQ276" s="31" t="str">
        <f>IFERROR(VLOOKUP($B276,Miljövärden!$B$2:$H$551,6,FALSE),"Nej, saknas")</f>
        <v>Ja</v>
      </c>
      <c r="AU276" s="31">
        <f t="shared" si="95"/>
        <v>842.49700000000007</v>
      </c>
      <c r="AV276" s="31">
        <f t="shared" si="96"/>
        <v>0</v>
      </c>
      <c r="AW276" s="31">
        <f t="shared" si="97"/>
        <v>1303.3329999999999</v>
      </c>
      <c r="AX276" s="31">
        <f t="shared" si="98"/>
        <v>408.36399999999998</v>
      </c>
      <c r="AZ276" s="31">
        <f t="shared" si="99"/>
        <v>2337.348</v>
      </c>
      <c r="BC276" s="31">
        <f t="shared" si="100"/>
        <v>514.41700000000003</v>
      </c>
      <c r="BD276" s="31">
        <f t="shared" si="101"/>
        <v>0</v>
      </c>
      <c r="BE276" s="31">
        <f t="shared" si="102"/>
        <v>2129.6849999999999</v>
      </c>
      <c r="BF276" s="31">
        <f t="shared" si="103"/>
        <v>4518.1229999999996</v>
      </c>
      <c r="BG276" s="31">
        <f t="shared" si="104"/>
        <v>842.49700000000007</v>
      </c>
      <c r="BH276" s="31">
        <f>VLOOKUP(B276,Miljö!$B$1:$BX$482,MATCH("Fossilandel för ursprungspecificerad el ()",Miljö!$B$1:$I$1,0),FALSE)</f>
        <v>0</v>
      </c>
      <c r="BI276" s="31">
        <f>VLOOKUP(B276,Miljö!$B$1:$BX$482,MATCH("Kärnkraftsandel för ursprungsspecificerad el ()",Miljö!$B$1:$O$1,0),FALSE)</f>
        <v>0</v>
      </c>
      <c r="BJ276" s="31">
        <f t="shared" si="105"/>
        <v>0</v>
      </c>
      <c r="BK276" s="31" t="str">
        <f>VLOOKUP(B276,Miljö!$B$1:$P$482,MATCH("Fossil andel i procent (%)",Miljö!$B$1:$P$1,0),FALSE)</f>
        <v>ET</v>
      </c>
      <c r="BL276" s="31">
        <f t="shared" si="106"/>
        <v>8004.7219999999998</v>
      </c>
      <c r="BO276" s="32">
        <f t="shared" si="107"/>
        <v>6.4264193060046312E-2</v>
      </c>
      <c r="BP276" s="32">
        <f t="shared" si="108"/>
        <v>0</v>
      </c>
      <c r="BQ276" s="32">
        <f t="shared" si="109"/>
        <v>0.37130358805714925</v>
      </c>
      <c r="BR276" s="32">
        <f t="shared" si="110"/>
        <v>0.56443221888280437</v>
      </c>
      <c r="BT276" s="62">
        <f t="shared" si="111"/>
        <v>1</v>
      </c>
      <c r="BW276" s="32">
        <f>IF(AP276="Ja",VLOOKUP(B276,Miljövärden!$B$2:$H$551,MATCH("Total andel fossilt",Miljövärden!$B$2:$H$2,0),FALSE),"")</f>
        <v>7.4309799999999995E-2</v>
      </c>
      <c r="BX276" s="62">
        <f t="shared" si="112"/>
        <v>1.0045606939953683E-2</v>
      </c>
      <c r="BZ276" s="31">
        <f t="shared" si="113"/>
        <v>1.0045606939953683E-2</v>
      </c>
      <c r="CA276" s="32">
        <f t="shared" si="114"/>
        <v>9.999999999999995E-3</v>
      </c>
    </row>
    <row r="277" spans="1:79" hidden="1" x14ac:dyDescent="0.45">
      <c r="A277" s="31" t="s">
        <v>312</v>
      </c>
      <c r="B277" s="31" t="s">
        <v>319</v>
      </c>
      <c r="C277" s="31">
        <f>VLOOKUP($B277,'Tillförd energi'!$B$1:$AI$720,MATCH(C$1,'Tillförd energi'!$B$1:$AQ$1,0),FALSE)</f>
        <v>0</v>
      </c>
      <c r="D277" s="31">
        <f>VLOOKUP($B277,'Tillförd energi'!$B$1:$AI$720,MATCH(D$1,'Tillförd energi'!$B$1:$AQ$1,0),FALSE)</f>
        <v>0</v>
      </c>
      <c r="E277" s="31">
        <f>VLOOKUP($B277,'Tillförd energi'!$B$1:$AI$720,MATCH(E$1,'Tillförd energi'!$B$1:$AQ$1,0),FALSE)</f>
        <v>0</v>
      </c>
      <c r="F277" s="31">
        <f>VLOOKUP($B277,'Tillförd energi'!$B$1:$AI$720,MATCH(F$1,'Tillförd energi'!$B$1:$AQ$1,0),FALSE)</f>
        <v>0</v>
      </c>
      <c r="G277" s="31">
        <f>VLOOKUP($B277,'Tillförd energi'!$B$1:$AI$720,MATCH(G$1,'Tillförd energi'!$B$1:$AQ$1,0),FALSE)</f>
        <v>0</v>
      </c>
      <c r="H277" s="31">
        <f>VLOOKUP($B277,'Tillförd energi'!$B$1:$AI$720,MATCH(H$1,'Tillförd energi'!$B$1:$AQ$1,0),FALSE)</f>
        <v>0</v>
      </c>
      <c r="I277" s="31">
        <f>VLOOKUP($B277,'Tillförd energi'!$B$1:$AI$720,MATCH(I$1,'Tillförd energi'!$B$1:$AQ$1,0),FALSE)</f>
        <v>0</v>
      </c>
      <c r="J277" s="31">
        <f>VLOOKUP($B277,'Tillförd energi'!$B$1:$AI$720,MATCH(J$1,'Tillförd energi'!$B$1:$AQ$1,0),FALSE)</f>
        <v>0</v>
      </c>
      <c r="K277" s="31">
        <f>VLOOKUP($B277,'Tillförd energi'!$B$1:$AI$720,MATCH(K$1,'Tillförd energi'!$B$1:$AQ$1,0),FALSE)</f>
        <v>0</v>
      </c>
      <c r="L277" s="31">
        <f>VLOOKUP($B277,'Tillförd energi'!$B$1:$AI$720,MATCH(L$1,'Tillförd energi'!$B$1:$AQ$1,0),FALSE)</f>
        <v>0</v>
      </c>
      <c r="M277" s="31">
        <f>VLOOKUP($B277,'Tillförd energi'!$B$1:$AI$720,MATCH(M$1,'Tillförd energi'!$B$1:$AQ$1,0),FALSE)</f>
        <v>0</v>
      </c>
      <c r="N277" s="31">
        <f>VLOOKUP($B277,'Tillförd energi'!$B$1:$AI$720,MATCH(N$1,'Tillförd energi'!$B$1:$AQ$1,0),FALSE)</f>
        <v>0</v>
      </c>
      <c r="O277" s="31">
        <f>VLOOKUP($B277,'Tillförd energi'!$B$1:$AI$720,MATCH(O$1,'Tillförd energi'!$B$1:$AQ$1,0),FALSE)</f>
        <v>0</v>
      </c>
      <c r="P277" s="31">
        <f>VLOOKUP($B277,'Tillförd energi'!$B$1:$AI$720,MATCH(P$1,'Tillförd energi'!$B$1:$AQ$1,0),FALSE)</f>
        <v>0</v>
      </c>
      <c r="Q277" s="31">
        <f>VLOOKUP($B277,'Tillförd energi'!$B$1:$AI$720,MATCH(Q$1,'Tillförd energi'!$B$1:$AQ$1,0),FALSE)</f>
        <v>0</v>
      </c>
      <c r="R277" s="31">
        <f>VLOOKUP($B277,'Tillförd energi'!$B$1:$AI$720,MATCH(R$1,'Tillförd energi'!$B$1:$AQ$1,0),FALSE)</f>
        <v>0</v>
      </c>
      <c r="S277" s="31">
        <f>VLOOKUP($B277,'Tillförd energi'!$B$1:$AI$720,MATCH(S$1,'Tillförd energi'!$B$1:$AQ$1,0),FALSE)</f>
        <v>0</v>
      </c>
      <c r="T277" s="31">
        <f>VLOOKUP($B277,'Tillförd energi'!$B$1:$AI$720,MATCH(T$1,'Tillförd energi'!$B$1:$AQ$1,0),FALSE)</f>
        <v>0</v>
      </c>
      <c r="U277" s="31">
        <f>VLOOKUP($B277,'Tillförd energi'!$B$1:$AI$720,MATCH(U$1,'Tillförd energi'!$B$1:$AQ$1,0),FALSE)</f>
        <v>0</v>
      </c>
      <c r="V277" s="31">
        <f>VLOOKUP($B277,'Tillförd energi'!$B$1:$AI$720,MATCH(V$1,'Tillförd energi'!$B$1:$AQ$1,0),FALSE)</f>
        <v>0</v>
      </c>
      <c r="W277" s="31">
        <f>VLOOKUP($B277,'Tillförd energi'!$B$1:$AI$720,MATCH(W$1,'Tillförd energi'!$B$1:$AQ$1,0),FALSE)</f>
        <v>0</v>
      </c>
      <c r="X277" s="31">
        <f>VLOOKUP($B277,'Tillförd energi'!$B$1:$AI$720,MATCH(X$1,'Tillförd energi'!$B$1:$AQ$1,0),FALSE)</f>
        <v>0</v>
      </c>
      <c r="Y277" s="31">
        <f>VLOOKUP($B277,'Tillförd energi'!$B$1:$AI$720,MATCH(Y$1,'Tillförd energi'!$B$1:$AQ$1,0),FALSE)</f>
        <v>0</v>
      </c>
      <c r="Z277" s="31">
        <f>VLOOKUP($B277,'Tillförd energi'!$B$1:$AI$720,MATCH(Z$1,'Tillförd energi'!$B$1:$AQ$1,0),FALSE)</f>
        <v>0</v>
      </c>
      <c r="AA277" s="31">
        <f>VLOOKUP($B277,'Tillförd energi'!$B$1:$AI$720,MATCH(AA$1,'Tillförd energi'!$B$1:$AQ$1,0),FALSE)</f>
        <v>0</v>
      </c>
      <c r="AB277" s="31">
        <f>VLOOKUP($B277,'Tillförd energi'!$B$1:$AI$720,MATCH(AB$1,'Tillförd energi'!$B$1:$AQ$1,0),FALSE)</f>
        <v>0</v>
      </c>
      <c r="AC277" s="31">
        <f>VLOOKUP($B277,'Tillförd energi'!$B$1:$AI$720,MATCH(AC$1,'Tillförd energi'!$B$1:$AQ$1,0),FALSE)</f>
        <v>0</v>
      </c>
      <c r="AD277" s="31">
        <f>VLOOKUP($B277,'Tillförd energi'!$B$1:$AI$720,MATCH(AD$1,'Tillförd energi'!$B$1:$AQ$1,0),FALSE)</f>
        <v>0</v>
      </c>
      <c r="AE277" s="31">
        <f>VLOOKUP($B277,'Tillförd energi'!$B$1:$AI$720,MATCH(AE$1,'Tillförd energi'!$B$1:$AQ$1,0),FALSE)</f>
        <v>0</v>
      </c>
      <c r="AF277" s="31">
        <f>VLOOKUP($B277,'Tillförd energi'!$B$1:$AI$720,MATCH(AF$1,'Tillförd energi'!$B$1:$AQ$1,0),FALSE)</f>
        <v>0</v>
      </c>
      <c r="AG277" s="31">
        <f>IFERROR(VLOOKUP(B277,Miljö!$B$1:$AC$550,MATCH("Köpt mängd produktionsspecifik fjärrvärme:",Miljö!$B$1:$AC$1,0),FALSE)/1,0)</f>
        <v>0</v>
      </c>
      <c r="AI277" s="31">
        <f t="shared" si="92"/>
        <v>0</v>
      </c>
      <c r="AJ277" s="31">
        <f t="shared" si="93"/>
        <v>0</v>
      </c>
      <c r="AK277" s="31" t="str">
        <f>IF(ISERROR(1/VLOOKUP($B277,Leveranser!$B$1:$S$499,MATCH("Såld värme (GWh)",Leveranser!$B$1:$S$1,0),FALSE)),"",VLOOKUP($B277,Leveranser!$B$1:$S$499,MATCH("Såld värme (GWh)",Leveranser!$B$1:$S$1,0),FALSE))</f>
        <v/>
      </c>
      <c r="AL277" s="31">
        <f>VLOOKUP($B277,Leveranser!$B$1:$Y$499,MATCH("Totalt såld fjärrvärme till andra fjärrvärmeföretag",Leveranser!$B$1:$AA$1,0),FALSE)</f>
        <v>0</v>
      </c>
      <c r="AM277" s="31">
        <f>IF(ISERROR(1/VLOOKUP($B277,Miljö!$B$1:$S$500,MATCH("Såld mängd produktionsspecifik fjärrvärme (GWh)",Miljö!$B$1:$R$1,0),FALSE)),0,VLOOKUP($B277,Miljö!$B$1:$S$500,MATCH("Såld mängd produktionsspecifik fjärrvärme (GWh)",Miljö!$B$1:$R$1,0),FALSE))</f>
        <v>0</v>
      </c>
      <c r="AN277" s="32" t="str">
        <f t="shared" si="94"/>
        <v/>
      </c>
      <c r="AP277" s="31" t="str">
        <f>IFERROR(VLOOKUP($B277,Miljövärden!$B$2:$H$550,7,FALSE),"Nej, saknas")</f>
        <v>Nej</v>
      </c>
      <c r="AQ277" s="31" t="str">
        <f>IFERROR(VLOOKUP($B277,Miljövärden!$B$2:$H$551,6,FALSE),"Nej, saknas")</f>
        <v>Nej</v>
      </c>
      <c r="AU277" s="31">
        <f t="shared" si="95"/>
        <v>0</v>
      </c>
      <c r="AV277" s="31">
        <f t="shared" si="96"/>
        <v>0</v>
      </c>
      <c r="AW277" s="31">
        <f t="shared" si="97"/>
        <v>0</v>
      </c>
      <c r="AX277" s="31">
        <f t="shared" si="98"/>
        <v>0</v>
      </c>
      <c r="AZ277" s="31">
        <f t="shared" si="99"/>
        <v>0</v>
      </c>
      <c r="BC277" s="31">
        <f t="shared" si="100"/>
        <v>0</v>
      </c>
      <c r="BD277" s="31">
        <f t="shared" si="101"/>
        <v>0</v>
      </c>
      <c r="BE277" s="31">
        <f t="shared" si="102"/>
        <v>0</v>
      </c>
      <c r="BF277" s="31">
        <f t="shared" si="103"/>
        <v>0</v>
      </c>
      <c r="BG277" s="31">
        <f t="shared" si="104"/>
        <v>0</v>
      </c>
      <c r="BH277" s="31" t="str">
        <f>VLOOKUP(B277,Miljö!$B$1:$BX$482,MATCH("Fossilandel för ursprungspecificerad el ()",Miljö!$B$1:$I$1,0),FALSE)</f>
        <v>-</v>
      </c>
      <c r="BI277" s="31" t="str">
        <f>VLOOKUP(B277,Miljö!$B$1:$BX$482,MATCH("Kärnkraftsandel för ursprungsspecificerad el ()",Miljö!$B$1:$O$1,0),FALSE)</f>
        <v>-</v>
      </c>
      <c r="BJ277" s="31">
        <f t="shared" si="105"/>
        <v>0</v>
      </c>
      <c r="BK277" s="31" t="str">
        <f>VLOOKUP(B277,Miljö!$B$1:$P$482,MATCH("Fossil andel i procent (%)",Miljö!$B$1:$P$1,0),FALSE)</f>
        <v>-</v>
      </c>
      <c r="BL277" s="31">
        <f t="shared" si="106"/>
        <v>0</v>
      </c>
      <c r="BO277" s="32" t="str">
        <f t="shared" si="107"/>
        <v/>
      </c>
      <c r="BP277" s="32" t="str">
        <f t="shared" si="108"/>
        <v/>
      </c>
      <c r="BQ277" s="32" t="str">
        <f t="shared" si="109"/>
        <v/>
      </c>
      <c r="BR277" s="32" t="str">
        <f t="shared" si="110"/>
        <v/>
      </c>
      <c r="BT277" s="62">
        <f t="shared" si="111"/>
        <v>0</v>
      </c>
      <c r="BW277" s="32" t="str">
        <f>IF(AP277="Ja",VLOOKUP(B277,Miljövärden!$B$2:$H$551,MATCH("Total andel fossilt",Miljövärden!$B$2:$H$2,0),FALSE),"")</f>
        <v/>
      </c>
      <c r="BX277" s="62" t="e">
        <f t="shared" si="112"/>
        <v>#VALUE!</v>
      </c>
      <c r="BZ277" s="31" t="str">
        <f t="shared" si="113"/>
        <v/>
      </c>
      <c r="CA277" s="32" t="str">
        <f t="shared" si="114"/>
        <v/>
      </c>
    </row>
    <row r="278" spans="1:79" hidden="1" x14ac:dyDescent="0.45">
      <c r="A278" s="31" t="s">
        <v>312</v>
      </c>
      <c r="B278" s="31" t="s">
        <v>318</v>
      </c>
      <c r="C278" s="31">
        <f>VLOOKUP($B278,'Tillförd energi'!$B$1:$AI$720,MATCH(C$1,'Tillförd energi'!$B$1:$AQ$1,0),FALSE)</f>
        <v>0</v>
      </c>
      <c r="D278" s="31">
        <f>VLOOKUP($B278,'Tillförd energi'!$B$1:$AI$720,MATCH(D$1,'Tillförd energi'!$B$1:$AQ$1,0),FALSE)</f>
        <v>0</v>
      </c>
      <c r="E278" s="31">
        <f>VLOOKUP($B278,'Tillförd energi'!$B$1:$AI$720,MATCH(E$1,'Tillförd energi'!$B$1:$AQ$1,0),FALSE)</f>
        <v>0</v>
      </c>
      <c r="F278" s="31">
        <f>VLOOKUP($B278,'Tillförd energi'!$B$1:$AI$720,MATCH(F$1,'Tillförd energi'!$B$1:$AQ$1,0),FALSE)</f>
        <v>0</v>
      </c>
      <c r="G278" s="31">
        <f>VLOOKUP($B278,'Tillförd energi'!$B$1:$AI$720,MATCH(G$1,'Tillförd energi'!$B$1:$AQ$1,0),FALSE)</f>
        <v>0</v>
      </c>
      <c r="H278" s="31">
        <f>VLOOKUP($B278,'Tillförd energi'!$B$1:$AI$720,MATCH(H$1,'Tillförd energi'!$B$1:$AQ$1,0),FALSE)</f>
        <v>0</v>
      </c>
      <c r="I278" s="31">
        <f>VLOOKUP($B278,'Tillförd energi'!$B$1:$AI$720,MATCH(I$1,'Tillförd energi'!$B$1:$AQ$1,0),FALSE)</f>
        <v>0</v>
      </c>
      <c r="J278" s="31">
        <f>VLOOKUP($B278,'Tillförd energi'!$B$1:$AI$720,MATCH(J$1,'Tillförd energi'!$B$1:$AQ$1,0),FALSE)</f>
        <v>0</v>
      </c>
      <c r="K278" s="31">
        <f>VLOOKUP($B278,'Tillförd energi'!$B$1:$AI$720,MATCH(K$1,'Tillförd energi'!$B$1:$AQ$1,0),FALSE)</f>
        <v>0</v>
      </c>
      <c r="L278" s="31">
        <f>VLOOKUP($B278,'Tillförd energi'!$B$1:$AI$720,MATCH(L$1,'Tillförd energi'!$B$1:$AQ$1,0),FALSE)</f>
        <v>0</v>
      </c>
      <c r="M278" s="31">
        <f>VLOOKUP($B278,'Tillförd energi'!$B$1:$AI$720,MATCH(M$1,'Tillförd energi'!$B$1:$AQ$1,0),FALSE)</f>
        <v>0</v>
      </c>
      <c r="N278" s="31">
        <f>VLOOKUP($B278,'Tillförd energi'!$B$1:$AI$720,MATCH(N$1,'Tillförd energi'!$B$1:$AQ$1,0),FALSE)</f>
        <v>0</v>
      </c>
      <c r="O278" s="31">
        <f>VLOOKUP($B278,'Tillförd energi'!$B$1:$AI$720,MATCH(O$1,'Tillförd energi'!$B$1:$AQ$1,0),FALSE)</f>
        <v>0</v>
      </c>
      <c r="P278" s="31">
        <f>VLOOKUP($B278,'Tillförd energi'!$B$1:$AI$720,MATCH(P$1,'Tillförd energi'!$B$1:$AQ$1,0),FALSE)</f>
        <v>0</v>
      </c>
      <c r="Q278" s="31">
        <f>VLOOKUP($B278,'Tillförd energi'!$B$1:$AI$720,MATCH(Q$1,'Tillförd energi'!$B$1:$AQ$1,0),FALSE)</f>
        <v>0</v>
      </c>
      <c r="R278" s="31">
        <f>VLOOKUP($B278,'Tillförd energi'!$B$1:$AI$720,MATCH(R$1,'Tillförd energi'!$B$1:$AQ$1,0),FALSE)</f>
        <v>0</v>
      </c>
      <c r="S278" s="31">
        <f>VLOOKUP($B278,'Tillförd energi'!$B$1:$AI$720,MATCH(S$1,'Tillförd energi'!$B$1:$AQ$1,0),FALSE)</f>
        <v>0</v>
      </c>
      <c r="T278" s="31">
        <f>VLOOKUP($B278,'Tillförd energi'!$B$1:$AI$720,MATCH(T$1,'Tillförd energi'!$B$1:$AQ$1,0),FALSE)</f>
        <v>0</v>
      </c>
      <c r="U278" s="31">
        <f>VLOOKUP($B278,'Tillförd energi'!$B$1:$AI$720,MATCH(U$1,'Tillförd energi'!$B$1:$AQ$1,0),FALSE)</f>
        <v>0</v>
      </c>
      <c r="V278" s="31">
        <f>VLOOKUP($B278,'Tillförd energi'!$B$1:$AI$720,MATCH(V$1,'Tillförd energi'!$B$1:$AQ$1,0),FALSE)</f>
        <v>0</v>
      </c>
      <c r="W278" s="31">
        <f>VLOOKUP($B278,'Tillförd energi'!$B$1:$AI$720,MATCH(W$1,'Tillförd energi'!$B$1:$AQ$1,0),FALSE)</f>
        <v>0</v>
      </c>
      <c r="X278" s="31">
        <f>VLOOKUP($B278,'Tillförd energi'!$B$1:$AI$720,MATCH(X$1,'Tillförd energi'!$B$1:$AQ$1,0),FALSE)</f>
        <v>0</v>
      </c>
      <c r="Y278" s="31">
        <f>VLOOKUP($B278,'Tillförd energi'!$B$1:$AI$720,MATCH(Y$1,'Tillförd energi'!$B$1:$AQ$1,0),FALSE)</f>
        <v>0</v>
      </c>
      <c r="Z278" s="31">
        <f>VLOOKUP($B278,'Tillförd energi'!$B$1:$AI$720,MATCH(Z$1,'Tillförd energi'!$B$1:$AQ$1,0),FALSE)</f>
        <v>0</v>
      </c>
      <c r="AA278" s="31">
        <f>VLOOKUP($B278,'Tillförd energi'!$B$1:$AI$720,MATCH(AA$1,'Tillförd energi'!$B$1:$AQ$1,0),FALSE)</f>
        <v>0</v>
      </c>
      <c r="AB278" s="31">
        <f>VLOOKUP($B278,'Tillförd energi'!$B$1:$AI$720,MATCH(AB$1,'Tillförd energi'!$B$1:$AQ$1,0),FALSE)</f>
        <v>0</v>
      </c>
      <c r="AC278" s="31">
        <f>VLOOKUP($B278,'Tillförd energi'!$B$1:$AI$720,MATCH(AC$1,'Tillförd energi'!$B$1:$AQ$1,0),FALSE)</f>
        <v>0</v>
      </c>
      <c r="AD278" s="31">
        <f>VLOOKUP($B278,'Tillförd energi'!$B$1:$AI$720,MATCH(AD$1,'Tillförd energi'!$B$1:$AQ$1,0),FALSE)</f>
        <v>0</v>
      </c>
      <c r="AE278" s="31">
        <f>VLOOKUP($B278,'Tillförd energi'!$B$1:$AI$720,MATCH(AE$1,'Tillförd energi'!$B$1:$AQ$1,0),FALSE)</f>
        <v>0</v>
      </c>
      <c r="AF278" s="31">
        <f>VLOOKUP($B278,'Tillförd energi'!$B$1:$AI$720,MATCH(AF$1,'Tillförd energi'!$B$1:$AQ$1,0),FALSE)</f>
        <v>0</v>
      </c>
      <c r="AG278" s="31">
        <f>IFERROR(VLOOKUP(B278,Miljö!$B$1:$AC$550,MATCH("Köpt mängd produktionsspecifik fjärrvärme:",Miljö!$B$1:$AC$1,0),FALSE)/1,0)</f>
        <v>0</v>
      </c>
      <c r="AI278" s="31">
        <f t="shared" si="92"/>
        <v>0</v>
      </c>
      <c r="AJ278" s="31">
        <f t="shared" si="93"/>
        <v>0</v>
      </c>
      <c r="AK278" s="31" t="str">
        <f>IF(ISERROR(1/VLOOKUP($B278,Leveranser!$B$1:$S$499,MATCH("Såld värme (GWh)",Leveranser!$B$1:$S$1,0),FALSE)),"",VLOOKUP($B278,Leveranser!$B$1:$S$499,MATCH("Såld värme (GWh)",Leveranser!$B$1:$S$1,0),FALSE))</f>
        <v/>
      </c>
      <c r="AL278" s="31">
        <f>VLOOKUP($B278,Leveranser!$B$1:$Y$499,MATCH("Totalt såld fjärrvärme till andra fjärrvärmeföretag",Leveranser!$B$1:$AA$1,0),FALSE)</f>
        <v>0</v>
      </c>
      <c r="AM278" s="31">
        <f>IF(ISERROR(1/VLOOKUP($B278,Miljö!$B$1:$S$500,MATCH("Såld mängd produktionsspecifik fjärrvärme (GWh)",Miljö!$B$1:$R$1,0),FALSE)),0,VLOOKUP($B278,Miljö!$B$1:$S$500,MATCH("Såld mängd produktionsspecifik fjärrvärme (GWh)",Miljö!$B$1:$R$1,0),FALSE))</f>
        <v>0</v>
      </c>
      <c r="AN278" s="32" t="str">
        <f t="shared" si="94"/>
        <v/>
      </c>
      <c r="AP278" s="31" t="str">
        <f>IFERROR(VLOOKUP($B278,Miljövärden!$B$2:$H$550,7,FALSE),"Nej, saknas")</f>
        <v>Nej</v>
      </c>
      <c r="AQ278" s="31" t="str">
        <f>IFERROR(VLOOKUP($B278,Miljövärden!$B$2:$H$551,6,FALSE),"Nej, saknas")</f>
        <v>Nej</v>
      </c>
      <c r="AU278" s="31">
        <f t="shared" si="95"/>
        <v>0</v>
      </c>
      <c r="AV278" s="31">
        <f t="shared" si="96"/>
        <v>0</v>
      </c>
      <c r="AW278" s="31">
        <f t="shared" si="97"/>
        <v>0</v>
      </c>
      <c r="AX278" s="31">
        <f t="shared" si="98"/>
        <v>0</v>
      </c>
      <c r="AZ278" s="31">
        <f t="shared" si="99"/>
        <v>0</v>
      </c>
      <c r="BC278" s="31">
        <f t="shared" si="100"/>
        <v>0</v>
      </c>
      <c r="BD278" s="31">
        <f t="shared" si="101"/>
        <v>0</v>
      </c>
      <c r="BE278" s="31">
        <f t="shared" si="102"/>
        <v>0</v>
      </c>
      <c r="BF278" s="31">
        <f t="shared" si="103"/>
        <v>0</v>
      </c>
      <c r="BG278" s="31">
        <f t="shared" si="104"/>
        <v>0</v>
      </c>
      <c r="BH278" s="31" t="str">
        <f>VLOOKUP(B278,Miljö!$B$1:$BX$482,MATCH("Fossilandel för ursprungspecificerad el ()",Miljö!$B$1:$I$1,0),FALSE)</f>
        <v>-</v>
      </c>
      <c r="BI278" s="31" t="str">
        <f>VLOOKUP(B278,Miljö!$B$1:$BX$482,MATCH("Kärnkraftsandel för ursprungsspecificerad el ()",Miljö!$B$1:$O$1,0),FALSE)</f>
        <v>-</v>
      </c>
      <c r="BJ278" s="31">
        <f t="shared" si="105"/>
        <v>0</v>
      </c>
      <c r="BK278" s="31" t="str">
        <f>VLOOKUP(B278,Miljö!$B$1:$P$482,MATCH("Fossil andel i procent (%)",Miljö!$B$1:$P$1,0),FALSE)</f>
        <v>-</v>
      </c>
      <c r="BL278" s="31">
        <f t="shared" si="106"/>
        <v>0</v>
      </c>
      <c r="BO278" s="32" t="str">
        <f t="shared" si="107"/>
        <v/>
      </c>
      <c r="BP278" s="32" t="str">
        <f t="shared" si="108"/>
        <v/>
      </c>
      <c r="BQ278" s="32" t="str">
        <f t="shared" si="109"/>
        <v/>
      </c>
      <c r="BR278" s="32" t="str">
        <f t="shared" si="110"/>
        <v/>
      </c>
      <c r="BT278" s="62">
        <f t="shared" si="111"/>
        <v>0</v>
      </c>
      <c r="BW278" s="32" t="str">
        <f>IF(AP278="Ja",VLOOKUP(B278,Miljövärden!$B$2:$H$551,MATCH("Total andel fossilt",Miljövärden!$B$2:$H$2,0),FALSE),"")</f>
        <v/>
      </c>
      <c r="BX278" s="62" t="e">
        <f t="shared" si="112"/>
        <v>#VALUE!</v>
      </c>
      <c r="BZ278" s="31" t="str">
        <f t="shared" si="113"/>
        <v/>
      </c>
      <c r="CA278" s="32" t="str">
        <f t="shared" si="114"/>
        <v/>
      </c>
    </row>
    <row r="279" spans="1:79" hidden="1" x14ac:dyDescent="0.45">
      <c r="A279" s="31" t="s">
        <v>312</v>
      </c>
      <c r="B279" s="31" t="s">
        <v>311</v>
      </c>
      <c r="C279" s="31">
        <f>VLOOKUP($B279,'Tillförd energi'!$B$1:$AI$720,MATCH(C$1,'Tillförd energi'!$B$1:$AQ$1,0),FALSE)</f>
        <v>0</v>
      </c>
      <c r="D279" s="31">
        <f>VLOOKUP($B279,'Tillförd energi'!$B$1:$AI$720,MATCH(D$1,'Tillförd energi'!$B$1:$AQ$1,0),FALSE)</f>
        <v>0</v>
      </c>
      <c r="E279" s="31">
        <f>VLOOKUP($B279,'Tillförd energi'!$B$1:$AI$720,MATCH(E$1,'Tillförd energi'!$B$1:$AQ$1,0),FALSE)</f>
        <v>0</v>
      </c>
      <c r="F279" s="31">
        <f>VLOOKUP($B279,'Tillförd energi'!$B$1:$AI$720,MATCH(F$1,'Tillförd energi'!$B$1:$AQ$1,0),FALSE)</f>
        <v>0</v>
      </c>
      <c r="G279" s="31">
        <f>VLOOKUP($B279,'Tillförd energi'!$B$1:$AI$720,MATCH(G$1,'Tillförd energi'!$B$1:$AQ$1,0),FALSE)</f>
        <v>0</v>
      </c>
      <c r="H279" s="31">
        <f>VLOOKUP($B279,'Tillförd energi'!$B$1:$AI$720,MATCH(H$1,'Tillförd energi'!$B$1:$AQ$1,0),FALSE)</f>
        <v>0</v>
      </c>
      <c r="I279" s="31">
        <f>VLOOKUP($B279,'Tillförd energi'!$B$1:$AI$720,MATCH(I$1,'Tillförd energi'!$B$1:$AQ$1,0),FALSE)</f>
        <v>0</v>
      </c>
      <c r="J279" s="31">
        <f>VLOOKUP($B279,'Tillförd energi'!$B$1:$AI$720,MATCH(J$1,'Tillförd energi'!$B$1:$AQ$1,0),FALSE)</f>
        <v>0</v>
      </c>
      <c r="K279" s="31">
        <f>VLOOKUP($B279,'Tillförd energi'!$B$1:$AI$720,MATCH(K$1,'Tillförd energi'!$B$1:$AQ$1,0),FALSE)</f>
        <v>0</v>
      </c>
      <c r="L279" s="31">
        <f>VLOOKUP($B279,'Tillförd energi'!$B$1:$AI$720,MATCH(L$1,'Tillförd energi'!$B$1:$AQ$1,0),FALSE)</f>
        <v>0</v>
      </c>
      <c r="M279" s="31">
        <f>VLOOKUP($B279,'Tillförd energi'!$B$1:$AI$720,MATCH(M$1,'Tillförd energi'!$B$1:$AQ$1,0),FALSE)</f>
        <v>0</v>
      </c>
      <c r="N279" s="31">
        <f>VLOOKUP($B279,'Tillförd energi'!$B$1:$AI$720,MATCH(N$1,'Tillförd energi'!$B$1:$AQ$1,0),FALSE)</f>
        <v>0</v>
      </c>
      <c r="O279" s="31">
        <f>VLOOKUP($B279,'Tillförd energi'!$B$1:$AI$720,MATCH(O$1,'Tillförd energi'!$B$1:$AQ$1,0),FALSE)</f>
        <v>0</v>
      </c>
      <c r="P279" s="31">
        <f>VLOOKUP($B279,'Tillförd energi'!$B$1:$AI$720,MATCH(P$1,'Tillförd energi'!$B$1:$AQ$1,0),FALSE)</f>
        <v>0</v>
      </c>
      <c r="Q279" s="31">
        <f>VLOOKUP($B279,'Tillförd energi'!$B$1:$AI$720,MATCH(Q$1,'Tillförd energi'!$B$1:$AQ$1,0),FALSE)</f>
        <v>0</v>
      </c>
      <c r="R279" s="31">
        <f>VLOOKUP($B279,'Tillförd energi'!$B$1:$AI$720,MATCH(R$1,'Tillförd energi'!$B$1:$AQ$1,0),FALSE)</f>
        <v>0</v>
      </c>
      <c r="S279" s="31">
        <f>VLOOKUP($B279,'Tillförd energi'!$B$1:$AI$720,MATCH(S$1,'Tillförd energi'!$B$1:$AQ$1,0),FALSE)</f>
        <v>0</v>
      </c>
      <c r="T279" s="31">
        <f>VLOOKUP($B279,'Tillförd energi'!$B$1:$AI$720,MATCH(T$1,'Tillförd energi'!$B$1:$AQ$1,0),FALSE)</f>
        <v>0</v>
      </c>
      <c r="U279" s="31">
        <f>VLOOKUP($B279,'Tillförd energi'!$B$1:$AI$720,MATCH(U$1,'Tillförd energi'!$B$1:$AQ$1,0),FALSE)</f>
        <v>0</v>
      </c>
      <c r="V279" s="31">
        <f>VLOOKUP($B279,'Tillförd energi'!$B$1:$AI$720,MATCH(V$1,'Tillförd energi'!$B$1:$AQ$1,0),FALSE)</f>
        <v>0</v>
      </c>
      <c r="W279" s="31">
        <f>VLOOKUP($B279,'Tillförd energi'!$B$1:$AI$720,MATCH(W$1,'Tillförd energi'!$B$1:$AQ$1,0),FALSE)</f>
        <v>0</v>
      </c>
      <c r="X279" s="31">
        <f>VLOOKUP($B279,'Tillförd energi'!$B$1:$AI$720,MATCH(X$1,'Tillförd energi'!$B$1:$AQ$1,0),FALSE)</f>
        <v>0</v>
      </c>
      <c r="Y279" s="31">
        <f>VLOOKUP($B279,'Tillförd energi'!$B$1:$AI$720,MATCH(Y$1,'Tillförd energi'!$B$1:$AQ$1,0),FALSE)</f>
        <v>0</v>
      </c>
      <c r="Z279" s="31">
        <f>VLOOKUP($B279,'Tillförd energi'!$B$1:$AI$720,MATCH(Z$1,'Tillförd energi'!$B$1:$AQ$1,0),FALSE)</f>
        <v>0</v>
      </c>
      <c r="AA279" s="31">
        <f>VLOOKUP($B279,'Tillförd energi'!$B$1:$AI$720,MATCH(AA$1,'Tillförd energi'!$B$1:$AQ$1,0),FALSE)</f>
        <v>0</v>
      </c>
      <c r="AB279" s="31">
        <f>VLOOKUP($B279,'Tillförd energi'!$B$1:$AI$720,MATCH(AB$1,'Tillförd energi'!$B$1:$AQ$1,0),FALSE)</f>
        <v>0</v>
      </c>
      <c r="AC279" s="31">
        <f>VLOOKUP($B279,'Tillförd energi'!$B$1:$AI$720,MATCH(AC$1,'Tillförd energi'!$B$1:$AQ$1,0),FALSE)</f>
        <v>0</v>
      </c>
      <c r="AD279" s="31">
        <f>VLOOKUP($B279,'Tillförd energi'!$B$1:$AI$720,MATCH(AD$1,'Tillförd energi'!$B$1:$AQ$1,0),FALSE)</f>
        <v>0</v>
      </c>
      <c r="AE279" s="31">
        <f>VLOOKUP($B279,'Tillförd energi'!$B$1:$AI$720,MATCH(AE$1,'Tillförd energi'!$B$1:$AQ$1,0),FALSE)</f>
        <v>0</v>
      </c>
      <c r="AF279" s="31">
        <f>VLOOKUP($B279,'Tillförd energi'!$B$1:$AI$720,MATCH(AF$1,'Tillförd energi'!$B$1:$AQ$1,0),FALSE)</f>
        <v>0</v>
      </c>
      <c r="AG279" s="31">
        <f>IFERROR(VLOOKUP(B279,Miljö!$B$1:$AC$550,MATCH("Köpt mängd produktionsspecifik fjärrvärme:",Miljö!$B$1:$AC$1,0),FALSE)/1,0)</f>
        <v>0</v>
      </c>
      <c r="AI279" s="31">
        <f t="shared" si="92"/>
        <v>0</v>
      </c>
      <c r="AJ279" s="31">
        <f t="shared" si="93"/>
        <v>0</v>
      </c>
      <c r="AK279" s="31" t="str">
        <f>IF(ISERROR(1/VLOOKUP($B279,Leveranser!$B$1:$S$499,MATCH("Såld värme (GWh)",Leveranser!$B$1:$S$1,0),FALSE)),"",VLOOKUP($B279,Leveranser!$B$1:$S$499,MATCH("Såld värme (GWh)",Leveranser!$B$1:$S$1,0),FALSE))</f>
        <v/>
      </c>
      <c r="AL279" s="31">
        <f>VLOOKUP($B279,Leveranser!$B$1:$Y$499,MATCH("Totalt såld fjärrvärme till andra fjärrvärmeföretag",Leveranser!$B$1:$AA$1,0),FALSE)</f>
        <v>0</v>
      </c>
      <c r="AM279" s="31">
        <f>IF(ISERROR(1/VLOOKUP($B279,Miljö!$B$1:$S$500,MATCH("Såld mängd produktionsspecifik fjärrvärme (GWh)",Miljö!$B$1:$R$1,0),FALSE)),0,VLOOKUP($B279,Miljö!$B$1:$S$500,MATCH("Såld mängd produktionsspecifik fjärrvärme (GWh)",Miljö!$B$1:$R$1,0),FALSE))</f>
        <v>0</v>
      </c>
      <c r="AN279" s="32" t="str">
        <f t="shared" si="94"/>
        <v/>
      </c>
      <c r="AP279" s="31" t="str">
        <f>IFERROR(VLOOKUP($B279,Miljövärden!$B$2:$H$550,7,FALSE),"Nej, saknas")</f>
        <v>Nej</v>
      </c>
      <c r="AQ279" s="31" t="str">
        <f>IFERROR(VLOOKUP($B279,Miljövärden!$B$2:$H$551,6,FALSE),"Nej, saknas")</f>
        <v>Nej</v>
      </c>
      <c r="AU279" s="31">
        <f t="shared" si="95"/>
        <v>0</v>
      </c>
      <c r="AV279" s="31">
        <f t="shared" si="96"/>
        <v>0</v>
      </c>
      <c r="AW279" s="31">
        <f t="shared" si="97"/>
        <v>0</v>
      </c>
      <c r="AX279" s="31">
        <f t="shared" si="98"/>
        <v>0</v>
      </c>
      <c r="AZ279" s="31">
        <f t="shared" si="99"/>
        <v>0</v>
      </c>
      <c r="BC279" s="31">
        <f t="shared" si="100"/>
        <v>0</v>
      </c>
      <c r="BD279" s="31">
        <f t="shared" si="101"/>
        <v>0</v>
      </c>
      <c r="BE279" s="31">
        <f t="shared" si="102"/>
        <v>0</v>
      </c>
      <c r="BF279" s="31">
        <f t="shared" si="103"/>
        <v>0</v>
      </c>
      <c r="BG279" s="31">
        <f t="shared" si="104"/>
        <v>0</v>
      </c>
      <c r="BH279" s="31" t="str">
        <f>VLOOKUP(B279,Miljö!$B$1:$BX$482,MATCH("Fossilandel för ursprungspecificerad el ()",Miljö!$B$1:$I$1,0),FALSE)</f>
        <v>-</v>
      </c>
      <c r="BI279" s="31" t="str">
        <f>VLOOKUP(B279,Miljö!$B$1:$BX$482,MATCH("Kärnkraftsandel för ursprungsspecificerad el ()",Miljö!$B$1:$O$1,0),FALSE)</f>
        <v>-</v>
      </c>
      <c r="BJ279" s="31">
        <f t="shared" si="105"/>
        <v>0</v>
      </c>
      <c r="BK279" s="31" t="str">
        <f>VLOOKUP(B279,Miljö!$B$1:$P$482,MATCH("Fossil andel i procent (%)",Miljö!$B$1:$P$1,0),FALSE)</f>
        <v>-</v>
      </c>
      <c r="BL279" s="31">
        <f t="shared" si="106"/>
        <v>0</v>
      </c>
      <c r="BO279" s="32" t="str">
        <f t="shared" si="107"/>
        <v/>
      </c>
      <c r="BP279" s="32" t="str">
        <f t="shared" si="108"/>
        <v/>
      </c>
      <c r="BQ279" s="32" t="str">
        <f t="shared" si="109"/>
        <v/>
      </c>
      <c r="BR279" s="32" t="str">
        <f t="shared" si="110"/>
        <v/>
      </c>
      <c r="BT279" s="62">
        <f t="shared" si="111"/>
        <v>0</v>
      </c>
      <c r="BW279" s="32" t="str">
        <f>IF(AP279="Ja",VLOOKUP(B279,Miljövärden!$B$2:$H$551,MATCH("Total andel fossilt",Miljövärden!$B$2:$H$2,0),FALSE),"")</f>
        <v/>
      </c>
      <c r="BX279" s="62" t="e">
        <f t="shared" si="112"/>
        <v>#VALUE!</v>
      </c>
      <c r="BZ279" s="31" t="str">
        <f t="shared" si="113"/>
        <v/>
      </c>
      <c r="CA279" s="32" t="str">
        <f t="shared" si="114"/>
        <v/>
      </c>
    </row>
    <row r="280" spans="1:79" hidden="1" x14ac:dyDescent="0.45">
      <c r="A280" s="31" t="s">
        <v>312</v>
      </c>
      <c r="B280" s="31" t="s">
        <v>317</v>
      </c>
      <c r="C280" s="31">
        <f>VLOOKUP($B280,'Tillförd energi'!$B$1:$AI$720,MATCH(C$1,'Tillförd energi'!$B$1:$AQ$1,0),FALSE)</f>
        <v>0</v>
      </c>
      <c r="D280" s="31">
        <f>VLOOKUP($B280,'Tillförd energi'!$B$1:$AI$720,MATCH(D$1,'Tillförd energi'!$B$1:$AQ$1,0),FALSE)</f>
        <v>0</v>
      </c>
      <c r="E280" s="31">
        <f>VLOOKUP($B280,'Tillförd energi'!$B$1:$AI$720,MATCH(E$1,'Tillförd energi'!$B$1:$AQ$1,0),FALSE)</f>
        <v>0</v>
      </c>
      <c r="F280" s="31">
        <f>VLOOKUP($B280,'Tillförd energi'!$B$1:$AI$720,MATCH(F$1,'Tillförd energi'!$B$1:$AQ$1,0),FALSE)</f>
        <v>0</v>
      </c>
      <c r="G280" s="31">
        <f>VLOOKUP($B280,'Tillförd energi'!$B$1:$AI$720,MATCH(G$1,'Tillförd energi'!$B$1:$AQ$1,0),FALSE)</f>
        <v>0</v>
      </c>
      <c r="H280" s="31">
        <f>VLOOKUP($B280,'Tillförd energi'!$B$1:$AI$720,MATCH(H$1,'Tillförd energi'!$B$1:$AQ$1,0),FALSE)</f>
        <v>0</v>
      </c>
      <c r="I280" s="31">
        <f>VLOOKUP($B280,'Tillförd energi'!$B$1:$AI$720,MATCH(I$1,'Tillförd energi'!$B$1:$AQ$1,0),FALSE)</f>
        <v>0</v>
      </c>
      <c r="J280" s="31">
        <f>VLOOKUP($B280,'Tillförd energi'!$B$1:$AI$720,MATCH(J$1,'Tillförd energi'!$B$1:$AQ$1,0),FALSE)</f>
        <v>0</v>
      </c>
      <c r="K280" s="31">
        <f>VLOOKUP($B280,'Tillförd energi'!$B$1:$AI$720,MATCH(K$1,'Tillförd energi'!$B$1:$AQ$1,0),FALSE)</f>
        <v>0</v>
      </c>
      <c r="L280" s="31">
        <f>VLOOKUP($B280,'Tillförd energi'!$B$1:$AI$720,MATCH(L$1,'Tillförd energi'!$B$1:$AQ$1,0),FALSE)</f>
        <v>0</v>
      </c>
      <c r="M280" s="31">
        <f>VLOOKUP($B280,'Tillförd energi'!$B$1:$AI$720,MATCH(M$1,'Tillförd energi'!$B$1:$AQ$1,0),FALSE)</f>
        <v>0</v>
      </c>
      <c r="N280" s="31">
        <f>VLOOKUP($B280,'Tillförd energi'!$B$1:$AI$720,MATCH(N$1,'Tillförd energi'!$B$1:$AQ$1,0),FALSE)</f>
        <v>0</v>
      </c>
      <c r="O280" s="31">
        <f>VLOOKUP($B280,'Tillförd energi'!$B$1:$AI$720,MATCH(O$1,'Tillförd energi'!$B$1:$AQ$1,0),FALSE)</f>
        <v>0</v>
      </c>
      <c r="P280" s="31">
        <f>VLOOKUP($B280,'Tillförd energi'!$B$1:$AI$720,MATCH(P$1,'Tillförd energi'!$B$1:$AQ$1,0),FALSE)</f>
        <v>0</v>
      </c>
      <c r="Q280" s="31">
        <f>VLOOKUP($B280,'Tillförd energi'!$B$1:$AI$720,MATCH(Q$1,'Tillförd energi'!$B$1:$AQ$1,0),FALSE)</f>
        <v>0</v>
      </c>
      <c r="R280" s="31">
        <f>VLOOKUP($B280,'Tillförd energi'!$B$1:$AI$720,MATCH(R$1,'Tillförd energi'!$B$1:$AQ$1,0),FALSE)</f>
        <v>0</v>
      </c>
      <c r="S280" s="31">
        <f>VLOOKUP($B280,'Tillförd energi'!$B$1:$AI$720,MATCH(S$1,'Tillförd energi'!$B$1:$AQ$1,0),FALSE)</f>
        <v>0</v>
      </c>
      <c r="T280" s="31">
        <f>VLOOKUP($B280,'Tillförd energi'!$B$1:$AI$720,MATCH(T$1,'Tillförd energi'!$B$1:$AQ$1,0),FALSE)</f>
        <v>0</v>
      </c>
      <c r="U280" s="31">
        <f>VLOOKUP($B280,'Tillförd energi'!$B$1:$AI$720,MATCH(U$1,'Tillförd energi'!$B$1:$AQ$1,0),FALSE)</f>
        <v>0</v>
      </c>
      <c r="V280" s="31">
        <f>VLOOKUP($B280,'Tillförd energi'!$B$1:$AI$720,MATCH(V$1,'Tillförd energi'!$B$1:$AQ$1,0),FALSE)</f>
        <v>0</v>
      </c>
      <c r="W280" s="31">
        <f>VLOOKUP($B280,'Tillförd energi'!$B$1:$AI$720,MATCH(W$1,'Tillförd energi'!$B$1:$AQ$1,0),FALSE)</f>
        <v>0</v>
      </c>
      <c r="X280" s="31">
        <f>VLOOKUP($B280,'Tillförd energi'!$B$1:$AI$720,MATCH(X$1,'Tillförd energi'!$B$1:$AQ$1,0),FALSE)</f>
        <v>0</v>
      </c>
      <c r="Y280" s="31">
        <f>VLOOKUP($B280,'Tillförd energi'!$B$1:$AI$720,MATCH(Y$1,'Tillförd energi'!$B$1:$AQ$1,0),FALSE)</f>
        <v>0</v>
      </c>
      <c r="Z280" s="31">
        <f>VLOOKUP($B280,'Tillförd energi'!$B$1:$AI$720,MATCH(Z$1,'Tillförd energi'!$B$1:$AQ$1,0),FALSE)</f>
        <v>0</v>
      </c>
      <c r="AA280" s="31">
        <f>VLOOKUP($B280,'Tillförd energi'!$B$1:$AI$720,MATCH(AA$1,'Tillförd energi'!$B$1:$AQ$1,0),FALSE)</f>
        <v>0</v>
      </c>
      <c r="AB280" s="31">
        <f>VLOOKUP($B280,'Tillförd energi'!$B$1:$AI$720,MATCH(AB$1,'Tillförd energi'!$B$1:$AQ$1,0),FALSE)</f>
        <v>0</v>
      </c>
      <c r="AC280" s="31">
        <f>VLOOKUP($B280,'Tillförd energi'!$B$1:$AI$720,MATCH(AC$1,'Tillförd energi'!$B$1:$AQ$1,0),FALSE)</f>
        <v>0</v>
      </c>
      <c r="AD280" s="31">
        <f>VLOOKUP($B280,'Tillförd energi'!$B$1:$AI$720,MATCH(AD$1,'Tillförd energi'!$B$1:$AQ$1,0),FALSE)</f>
        <v>0</v>
      </c>
      <c r="AE280" s="31">
        <f>VLOOKUP($B280,'Tillförd energi'!$B$1:$AI$720,MATCH(AE$1,'Tillförd energi'!$B$1:$AQ$1,0),FALSE)</f>
        <v>0</v>
      </c>
      <c r="AF280" s="31">
        <f>VLOOKUP($B280,'Tillförd energi'!$B$1:$AI$720,MATCH(AF$1,'Tillförd energi'!$B$1:$AQ$1,0),FALSE)</f>
        <v>0</v>
      </c>
      <c r="AG280" s="31">
        <f>IFERROR(VLOOKUP(B280,Miljö!$B$1:$AC$550,MATCH("Köpt mängd produktionsspecifik fjärrvärme:",Miljö!$B$1:$AC$1,0),FALSE)/1,0)</f>
        <v>0</v>
      </c>
      <c r="AI280" s="31">
        <f t="shared" si="92"/>
        <v>0</v>
      </c>
      <c r="AJ280" s="31">
        <f t="shared" si="93"/>
        <v>0</v>
      </c>
      <c r="AK280" s="31" t="str">
        <f>IF(ISERROR(1/VLOOKUP($B280,Leveranser!$B$1:$S$499,MATCH("Såld värme (GWh)",Leveranser!$B$1:$S$1,0),FALSE)),"",VLOOKUP($B280,Leveranser!$B$1:$S$499,MATCH("Såld värme (GWh)",Leveranser!$B$1:$S$1,0),FALSE))</f>
        <v/>
      </c>
      <c r="AL280" s="31">
        <f>VLOOKUP($B280,Leveranser!$B$1:$Y$499,MATCH("Totalt såld fjärrvärme till andra fjärrvärmeföretag",Leveranser!$B$1:$AA$1,0),FALSE)</f>
        <v>0</v>
      </c>
      <c r="AM280" s="31">
        <f>IF(ISERROR(1/VLOOKUP($B280,Miljö!$B$1:$S$500,MATCH("Såld mängd produktionsspecifik fjärrvärme (GWh)",Miljö!$B$1:$R$1,0),FALSE)),0,VLOOKUP($B280,Miljö!$B$1:$S$500,MATCH("Såld mängd produktionsspecifik fjärrvärme (GWh)",Miljö!$B$1:$R$1,0),FALSE))</f>
        <v>0</v>
      </c>
      <c r="AN280" s="32" t="str">
        <f t="shared" si="94"/>
        <v/>
      </c>
      <c r="AP280" s="31" t="str">
        <f>IFERROR(VLOOKUP($B280,Miljövärden!$B$2:$H$550,7,FALSE),"Nej, saknas")</f>
        <v>Nej</v>
      </c>
      <c r="AQ280" s="31" t="str">
        <f>IFERROR(VLOOKUP($B280,Miljövärden!$B$2:$H$551,6,FALSE),"Nej, saknas")</f>
        <v>Nej</v>
      </c>
      <c r="AU280" s="31">
        <f t="shared" si="95"/>
        <v>0</v>
      </c>
      <c r="AV280" s="31">
        <f t="shared" si="96"/>
        <v>0</v>
      </c>
      <c r="AW280" s="31">
        <f t="shared" si="97"/>
        <v>0</v>
      </c>
      <c r="AX280" s="31">
        <f t="shared" si="98"/>
        <v>0</v>
      </c>
      <c r="AZ280" s="31">
        <f t="shared" si="99"/>
        <v>0</v>
      </c>
      <c r="BC280" s="31">
        <f t="shared" si="100"/>
        <v>0</v>
      </c>
      <c r="BD280" s="31">
        <f t="shared" si="101"/>
        <v>0</v>
      </c>
      <c r="BE280" s="31">
        <f t="shared" si="102"/>
        <v>0</v>
      </c>
      <c r="BF280" s="31">
        <f t="shared" si="103"/>
        <v>0</v>
      </c>
      <c r="BG280" s="31">
        <f t="shared" si="104"/>
        <v>0</v>
      </c>
      <c r="BH280" s="31" t="str">
        <f>VLOOKUP(B280,Miljö!$B$1:$BX$482,MATCH("Fossilandel för ursprungspecificerad el ()",Miljö!$B$1:$I$1,0),FALSE)</f>
        <v>-</v>
      </c>
      <c r="BI280" s="31" t="str">
        <f>VLOOKUP(B280,Miljö!$B$1:$BX$482,MATCH("Kärnkraftsandel för ursprungsspecificerad el ()",Miljö!$B$1:$O$1,0),FALSE)</f>
        <v>-</v>
      </c>
      <c r="BJ280" s="31">
        <f t="shared" si="105"/>
        <v>0</v>
      </c>
      <c r="BK280" s="31" t="str">
        <f>VLOOKUP(B280,Miljö!$B$1:$P$482,MATCH("Fossil andel i procent (%)",Miljö!$B$1:$P$1,0),FALSE)</f>
        <v>-</v>
      </c>
      <c r="BL280" s="31">
        <f t="shared" si="106"/>
        <v>0</v>
      </c>
      <c r="BO280" s="32" t="str">
        <f t="shared" si="107"/>
        <v/>
      </c>
      <c r="BP280" s="32" t="str">
        <f t="shared" si="108"/>
        <v/>
      </c>
      <c r="BQ280" s="32" t="str">
        <f t="shared" si="109"/>
        <v/>
      </c>
      <c r="BR280" s="32" t="str">
        <f t="shared" si="110"/>
        <v/>
      </c>
      <c r="BT280" s="62">
        <f t="shared" si="111"/>
        <v>0</v>
      </c>
      <c r="BW280" s="32" t="str">
        <f>IF(AP280="Ja",VLOOKUP(B280,Miljövärden!$B$2:$H$551,MATCH("Total andel fossilt",Miljövärden!$B$2:$H$2,0),FALSE),"")</f>
        <v/>
      </c>
      <c r="BX280" s="62" t="e">
        <f t="shared" si="112"/>
        <v>#VALUE!</v>
      </c>
      <c r="BZ280" s="31" t="str">
        <f t="shared" si="113"/>
        <v/>
      </c>
      <c r="CA280" s="32" t="str">
        <f t="shared" si="114"/>
        <v/>
      </c>
    </row>
    <row r="281" spans="1:79" hidden="1" x14ac:dyDescent="0.45">
      <c r="A281" s="31" t="s">
        <v>312</v>
      </c>
      <c r="B281" s="31" t="s">
        <v>314</v>
      </c>
      <c r="C281" s="31">
        <f>VLOOKUP($B281,'Tillförd energi'!$B$1:$AI$720,MATCH(C$1,'Tillförd energi'!$B$1:$AQ$1,0),FALSE)</f>
        <v>0</v>
      </c>
      <c r="D281" s="31">
        <f>VLOOKUP($B281,'Tillförd energi'!$B$1:$AI$720,MATCH(D$1,'Tillförd energi'!$B$1:$AQ$1,0),FALSE)</f>
        <v>0</v>
      </c>
      <c r="E281" s="31">
        <f>VLOOKUP($B281,'Tillförd energi'!$B$1:$AI$720,MATCH(E$1,'Tillförd energi'!$B$1:$AQ$1,0),FALSE)</f>
        <v>0</v>
      </c>
      <c r="F281" s="31">
        <f>VLOOKUP($B281,'Tillförd energi'!$B$1:$AI$720,MATCH(F$1,'Tillförd energi'!$B$1:$AQ$1,0),FALSE)</f>
        <v>0</v>
      </c>
      <c r="G281" s="31">
        <f>VLOOKUP($B281,'Tillförd energi'!$B$1:$AI$720,MATCH(G$1,'Tillförd energi'!$B$1:$AQ$1,0),FALSE)</f>
        <v>0</v>
      </c>
      <c r="H281" s="31">
        <f>VLOOKUP($B281,'Tillförd energi'!$B$1:$AI$720,MATCH(H$1,'Tillförd energi'!$B$1:$AQ$1,0),FALSE)</f>
        <v>0</v>
      </c>
      <c r="I281" s="31">
        <f>VLOOKUP($B281,'Tillförd energi'!$B$1:$AI$720,MATCH(I$1,'Tillförd energi'!$B$1:$AQ$1,0),FALSE)</f>
        <v>0</v>
      </c>
      <c r="J281" s="31">
        <f>VLOOKUP($B281,'Tillförd energi'!$B$1:$AI$720,MATCH(J$1,'Tillförd energi'!$B$1:$AQ$1,0),FALSE)</f>
        <v>0</v>
      </c>
      <c r="K281" s="31">
        <f>VLOOKUP($B281,'Tillförd energi'!$B$1:$AI$720,MATCH(K$1,'Tillförd energi'!$B$1:$AQ$1,0),FALSE)</f>
        <v>0</v>
      </c>
      <c r="L281" s="31">
        <f>VLOOKUP($B281,'Tillförd energi'!$B$1:$AI$720,MATCH(L$1,'Tillförd energi'!$B$1:$AQ$1,0),FALSE)</f>
        <v>0</v>
      </c>
      <c r="M281" s="31">
        <f>VLOOKUP($B281,'Tillförd energi'!$B$1:$AI$720,MATCH(M$1,'Tillförd energi'!$B$1:$AQ$1,0),FALSE)</f>
        <v>0</v>
      </c>
      <c r="N281" s="31">
        <f>VLOOKUP($B281,'Tillförd energi'!$B$1:$AI$720,MATCH(N$1,'Tillförd energi'!$B$1:$AQ$1,0),FALSE)</f>
        <v>0</v>
      </c>
      <c r="O281" s="31">
        <f>VLOOKUP($B281,'Tillförd energi'!$B$1:$AI$720,MATCH(O$1,'Tillförd energi'!$B$1:$AQ$1,0),FALSE)</f>
        <v>0</v>
      </c>
      <c r="P281" s="31">
        <f>VLOOKUP($B281,'Tillförd energi'!$B$1:$AI$720,MATCH(P$1,'Tillförd energi'!$B$1:$AQ$1,0),FALSE)</f>
        <v>0</v>
      </c>
      <c r="Q281" s="31">
        <f>VLOOKUP($B281,'Tillförd energi'!$B$1:$AI$720,MATCH(Q$1,'Tillförd energi'!$B$1:$AQ$1,0),FALSE)</f>
        <v>0</v>
      </c>
      <c r="R281" s="31">
        <f>VLOOKUP($B281,'Tillförd energi'!$B$1:$AI$720,MATCH(R$1,'Tillförd energi'!$B$1:$AQ$1,0),FALSE)</f>
        <v>0</v>
      </c>
      <c r="S281" s="31">
        <f>VLOOKUP($B281,'Tillförd energi'!$B$1:$AI$720,MATCH(S$1,'Tillförd energi'!$B$1:$AQ$1,0),FALSE)</f>
        <v>0</v>
      </c>
      <c r="T281" s="31">
        <f>VLOOKUP($B281,'Tillförd energi'!$B$1:$AI$720,MATCH(T$1,'Tillförd energi'!$B$1:$AQ$1,0),FALSE)</f>
        <v>0</v>
      </c>
      <c r="U281" s="31">
        <f>VLOOKUP($B281,'Tillförd energi'!$B$1:$AI$720,MATCH(U$1,'Tillförd energi'!$B$1:$AQ$1,0),FALSE)</f>
        <v>0</v>
      </c>
      <c r="V281" s="31">
        <f>VLOOKUP($B281,'Tillförd energi'!$B$1:$AI$720,MATCH(V$1,'Tillförd energi'!$B$1:$AQ$1,0),FALSE)</f>
        <v>0</v>
      </c>
      <c r="W281" s="31">
        <f>VLOOKUP($B281,'Tillförd energi'!$B$1:$AI$720,MATCH(W$1,'Tillförd energi'!$B$1:$AQ$1,0),FALSE)</f>
        <v>0</v>
      </c>
      <c r="X281" s="31">
        <f>VLOOKUP($B281,'Tillförd energi'!$B$1:$AI$720,MATCH(X$1,'Tillförd energi'!$B$1:$AQ$1,0),FALSE)</f>
        <v>0</v>
      </c>
      <c r="Y281" s="31">
        <f>VLOOKUP($B281,'Tillförd energi'!$B$1:$AI$720,MATCH(Y$1,'Tillförd energi'!$B$1:$AQ$1,0),FALSE)</f>
        <v>0</v>
      </c>
      <c r="Z281" s="31">
        <f>VLOOKUP($B281,'Tillförd energi'!$B$1:$AI$720,MATCH(Z$1,'Tillförd energi'!$B$1:$AQ$1,0),FALSE)</f>
        <v>0</v>
      </c>
      <c r="AA281" s="31">
        <f>VLOOKUP($B281,'Tillförd energi'!$B$1:$AI$720,MATCH(AA$1,'Tillförd energi'!$B$1:$AQ$1,0),FALSE)</f>
        <v>0</v>
      </c>
      <c r="AB281" s="31">
        <f>VLOOKUP($B281,'Tillförd energi'!$B$1:$AI$720,MATCH(AB$1,'Tillförd energi'!$B$1:$AQ$1,0),FALSE)</f>
        <v>0</v>
      </c>
      <c r="AC281" s="31">
        <f>VLOOKUP($B281,'Tillförd energi'!$B$1:$AI$720,MATCH(AC$1,'Tillförd energi'!$B$1:$AQ$1,0),FALSE)</f>
        <v>0</v>
      </c>
      <c r="AD281" s="31">
        <f>VLOOKUP($B281,'Tillförd energi'!$B$1:$AI$720,MATCH(AD$1,'Tillförd energi'!$B$1:$AQ$1,0),FALSE)</f>
        <v>0</v>
      </c>
      <c r="AE281" s="31">
        <f>VLOOKUP($B281,'Tillförd energi'!$B$1:$AI$720,MATCH(AE$1,'Tillförd energi'!$B$1:$AQ$1,0),FALSE)</f>
        <v>0</v>
      </c>
      <c r="AF281" s="31">
        <f>VLOOKUP($B281,'Tillförd energi'!$B$1:$AI$720,MATCH(AF$1,'Tillförd energi'!$B$1:$AQ$1,0),FALSE)</f>
        <v>0</v>
      </c>
      <c r="AG281" s="31">
        <f>IFERROR(VLOOKUP(B281,Miljö!$B$1:$AC$550,MATCH("Köpt mängd produktionsspecifik fjärrvärme:",Miljö!$B$1:$AC$1,0),FALSE)/1,0)</f>
        <v>0</v>
      </c>
      <c r="AI281" s="31">
        <f t="shared" si="92"/>
        <v>0</v>
      </c>
      <c r="AJ281" s="31">
        <f t="shared" si="93"/>
        <v>0</v>
      </c>
      <c r="AK281" s="31" t="str">
        <f>IF(ISERROR(1/VLOOKUP($B281,Leveranser!$B$1:$S$499,MATCH("Såld värme (GWh)",Leveranser!$B$1:$S$1,0),FALSE)),"",VLOOKUP($B281,Leveranser!$B$1:$S$499,MATCH("Såld värme (GWh)",Leveranser!$B$1:$S$1,0),FALSE))</f>
        <v/>
      </c>
      <c r="AL281" s="31">
        <f>VLOOKUP($B281,Leveranser!$B$1:$Y$499,MATCH("Totalt såld fjärrvärme till andra fjärrvärmeföretag",Leveranser!$B$1:$AA$1,0),FALSE)</f>
        <v>0</v>
      </c>
      <c r="AM281" s="31">
        <f>IF(ISERROR(1/VLOOKUP($B281,Miljö!$B$1:$S$500,MATCH("Såld mängd produktionsspecifik fjärrvärme (GWh)",Miljö!$B$1:$R$1,0),FALSE)),0,VLOOKUP($B281,Miljö!$B$1:$S$500,MATCH("Såld mängd produktionsspecifik fjärrvärme (GWh)",Miljö!$B$1:$R$1,0),FALSE))</f>
        <v>0</v>
      </c>
      <c r="AN281" s="32" t="str">
        <f t="shared" si="94"/>
        <v/>
      </c>
      <c r="AP281" s="31" t="str">
        <f>IFERROR(VLOOKUP($B281,Miljövärden!$B$2:$H$550,7,FALSE),"Nej, saknas")</f>
        <v>Nej</v>
      </c>
      <c r="AQ281" s="31" t="str">
        <f>IFERROR(VLOOKUP($B281,Miljövärden!$B$2:$H$551,6,FALSE),"Nej, saknas")</f>
        <v>Nej</v>
      </c>
      <c r="AU281" s="31">
        <f t="shared" si="95"/>
        <v>0</v>
      </c>
      <c r="AV281" s="31">
        <f t="shared" si="96"/>
        <v>0</v>
      </c>
      <c r="AW281" s="31">
        <f t="shared" si="97"/>
        <v>0</v>
      </c>
      <c r="AX281" s="31">
        <f t="shared" si="98"/>
        <v>0</v>
      </c>
      <c r="AZ281" s="31">
        <f t="shared" si="99"/>
        <v>0</v>
      </c>
      <c r="BC281" s="31">
        <f t="shared" si="100"/>
        <v>0</v>
      </c>
      <c r="BD281" s="31">
        <f t="shared" si="101"/>
        <v>0</v>
      </c>
      <c r="BE281" s="31">
        <f t="shared" si="102"/>
        <v>0</v>
      </c>
      <c r="BF281" s="31">
        <f t="shared" si="103"/>
        <v>0</v>
      </c>
      <c r="BG281" s="31">
        <f t="shared" si="104"/>
        <v>0</v>
      </c>
      <c r="BH281" s="31" t="str">
        <f>VLOOKUP(B281,Miljö!$B$1:$BX$482,MATCH("Fossilandel för ursprungspecificerad el ()",Miljö!$B$1:$I$1,0),FALSE)</f>
        <v>-</v>
      </c>
      <c r="BI281" s="31" t="str">
        <f>VLOOKUP(B281,Miljö!$B$1:$BX$482,MATCH("Kärnkraftsandel för ursprungsspecificerad el ()",Miljö!$B$1:$O$1,0),FALSE)</f>
        <v>-</v>
      </c>
      <c r="BJ281" s="31">
        <f t="shared" si="105"/>
        <v>0</v>
      </c>
      <c r="BK281" s="31" t="str">
        <f>VLOOKUP(B281,Miljö!$B$1:$P$482,MATCH("Fossil andel i procent (%)",Miljö!$B$1:$P$1,0),FALSE)</f>
        <v>-</v>
      </c>
      <c r="BL281" s="31">
        <f t="shared" si="106"/>
        <v>0</v>
      </c>
      <c r="BO281" s="32" t="str">
        <f t="shared" si="107"/>
        <v/>
      </c>
      <c r="BP281" s="32" t="str">
        <f t="shared" si="108"/>
        <v/>
      </c>
      <c r="BQ281" s="32" t="str">
        <f t="shared" si="109"/>
        <v/>
      </c>
      <c r="BR281" s="32" t="str">
        <f t="shared" si="110"/>
        <v/>
      </c>
      <c r="BT281" s="62">
        <f t="shared" si="111"/>
        <v>0</v>
      </c>
      <c r="BW281" s="32" t="str">
        <f>IF(AP281="Ja",VLOOKUP(B281,Miljövärden!$B$2:$H$551,MATCH("Total andel fossilt",Miljövärden!$B$2:$H$2,0),FALSE),"")</f>
        <v/>
      </c>
      <c r="BX281" s="62" t="e">
        <f t="shared" si="112"/>
        <v>#VALUE!</v>
      </c>
      <c r="BZ281" s="31" t="str">
        <f t="shared" si="113"/>
        <v/>
      </c>
      <c r="CA281" s="32" t="str">
        <f t="shared" si="114"/>
        <v/>
      </c>
    </row>
    <row r="282" spans="1:79" hidden="1" x14ac:dyDescent="0.45">
      <c r="A282" s="31" t="s">
        <v>312</v>
      </c>
      <c r="B282" s="31" t="s">
        <v>316</v>
      </c>
      <c r="C282" s="31">
        <f>VLOOKUP($B282,'Tillförd energi'!$B$1:$AI$720,MATCH(C$1,'Tillförd energi'!$B$1:$AQ$1,0),FALSE)</f>
        <v>0</v>
      </c>
      <c r="D282" s="31">
        <f>VLOOKUP($B282,'Tillförd energi'!$B$1:$AI$720,MATCH(D$1,'Tillförd energi'!$B$1:$AQ$1,0),FALSE)</f>
        <v>0</v>
      </c>
      <c r="E282" s="31">
        <f>VLOOKUP($B282,'Tillförd energi'!$B$1:$AI$720,MATCH(E$1,'Tillförd energi'!$B$1:$AQ$1,0),FALSE)</f>
        <v>0</v>
      </c>
      <c r="F282" s="31">
        <f>VLOOKUP($B282,'Tillförd energi'!$B$1:$AI$720,MATCH(F$1,'Tillförd energi'!$B$1:$AQ$1,0),FALSE)</f>
        <v>0</v>
      </c>
      <c r="G282" s="31">
        <f>VLOOKUP($B282,'Tillförd energi'!$B$1:$AI$720,MATCH(G$1,'Tillförd energi'!$B$1:$AQ$1,0),FALSE)</f>
        <v>0</v>
      </c>
      <c r="H282" s="31">
        <f>VLOOKUP($B282,'Tillförd energi'!$B$1:$AI$720,MATCH(H$1,'Tillförd energi'!$B$1:$AQ$1,0),FALSE)</f>
        <v>0</v>
      </c>
      <c r="I282" s="31">
        <f>VLOOKUP($B282,'Tillförd energi'!$B$1:$AI$720,MATCH(I$1,'Tillförd energi'!$B$1:$AQ$1,0),FALSE)</f>
        <v>0</v>
      </c>
      <c r="J282" s="31">
        <f>VLOOKUP($B282,'Tillförd energi'!$B$1:$AI$720,MATCH(J$1,'Tillförd energi'!$B$1:$AQ$1,0),FALSE)</f>
        <v>0</v>
      </c>
      <c r="K282" s="31">
        <f>VLOOKUP($B282,'Tillförd energi'!$B$1:$AI$720,MATCH(K$1,'Tillförd energi'!$B$1:$AQ$1,0),FALSE)</f>
        <v>0</v>
      </c>
      <c r="L282" s="31">
        <f>VLOOKUP($B282,'Tillförd energi'!$B$1:$AI$720,MATCH(L$1,'Tillförd energi'!$B$1:$AQ$1,0),FALSE)</f>
        <v>0</v>
      </c>
      <c r="M282" s="31">
        <f>VLOOKUP($B282,'Tillförd energi'!$B$1:$AI$720,MATCH(M$1,'Tillförd energi'!$B$1:$AQ$1,0),FALSE)</f>
        <v>0</v>
      </c>
      <c r="N282" s="31">
        <f>VLOOKUP($B282,'Tillförd energi'!$B$1:$AI$720,MATCH(N$1,'Tillförd energi'!$B$1:$AQ$1,0),FALSE)</f>
        <v>0</v>
      </c>
      <c r="O282" s="31">
        <f>VLOOKUP($B282,'Tillförd energi'!$B$1:$AI$720,MATCH(O$1,'Tillförd energi'!$B$1:$AQ$1,0),FALSE)</f>
        <v>0</v>
      </c>
      <c r="P282" s="31">
        <f>VLOOKUP($B282,'Tillförd energi'!$B$1:$AI$720,MATCH(P$1,'Tillförd energi'!$B$1:$AQ$1,0),FALSE)</f>
        <v>0</v>
      </c>
      <c r="Q282" s="31">
        <f>VLOOKUP($B282,'Tillförd energi'!$B$1:$AI$720,MATCH(Q$1,'Tillförd energi'!$B$1:$AQ$1,0),FALSE)</f>
        <v>0</v>
      </c>
      <c r="R282" s="31">
        <f>VLOOKUP($B282,'Tillförd energi'!$B$1:$AI$720,MATCH(R$1,'Tillförd energi'!$B$1:$AQ$1,0),FALSE)</f>
        <v>0</v>
      </c>
      <c r="S282" s="31">
        <f>VLOOKUP($B282,'Tillförd energi'!$B$1:$AI$720,MATCH(S$1,'Tillförd energi'!$B$1:$AQ$1,0),FALSE)</f>
        <v>0</v>
      </c>
      <c r="T282" s="31">
        <f>VLOOKUP($B282,'Tillförd energi'!$B$1:$AI$720,MATCH(T$1,'Tillförd energi'!$B$1:$AQ$1,0),FALSE)</f>
        <v>0</v>
      </c>
      <c r="U282" s="31">
        <f>VLOOKUP($B282,'Tillförd energi'!$B$1:$AI$720,MATCH(U$1,'Tillförd energi'!$B$1:$AQ$1,0),FALSE)</f>
        <v>0</v>
      </c>
      <c r="V282" s="31">
        <f>VLOOKUP($B282,'Tillförd energi'!$B$1:$AI$720,MATCH(V$1,'Tillförd energi'!$B$1:$AQ$1,0),FALSE)</f>
        <v>0</v>
      </c>
      <c r="W282" s="31">
        <f>VLOOKUP($B282,'Tillförd energi'!$B$1:$AI$720,MATCH(W$1,'Tillförd energi'!$B$1:$AQ$1,0),FALSE)</f>
        <v>0</v>
      </c>
      <c r="X282" s="31">
        <f>VLOOKUP($B282,'Tillförd energi'!$B$1:$AI$720,MATCH(X$1,'Tillförd energi'!$B$1:$AQ$1,0),FALSE)</f>
        <v>0</v>
      </c>
      <c r="Y282" s="31">
        <f>VLOOKUP($B282,'Tillförd energi'!$B$1:$AI$720,MATCH(Y$1,'Tillförd energi'!$B$1:$AQ$1,0),FALSE)</f>
        <v>0</v>
      </c>
      <c r="Z282" s="31">
        <f>VLOOKUP($B282,'Tillförd energi'!$B$1:$AI$720,MATCH(Z$1,'Tillförd energi'!$B$1:$AQ$1,0),FALSE)</f>
        <v>0</v>
      </c>
      <c r="AA282" s="31">
        <f>VLOOKUP($B282,'Tillförd energi'!$B$1:$AI$720,MATCH(AA$1,'Tillförd energi'!$B$1:$AQ$1,0),FALSE)</f>
        <v>0</v>
      </c>
      <c r="AB282" s="31">
        <f>VLOOKUP($B282,'Tillförd energi'!$B$1:$AI$720,MATCH(AB$1,'Tillförd energi'!$B$1:$AQ$1,0),FALSE)</f>
        <v>0</v>
      </c>
      <c r="AC282" s="31">
        <f>VLOOKUP($B282,'Tillförd energi'!$B$1:$AI$720,MATCH(AC$1,'Tillförd energi'!$B$1:$AQ$1,0),FALSE)</f>
        <v>0</v>
      </c>
      <c r="AD282" s="31">
        <f>VLOOKUP($B282,'Tillförd energi'!$B$1:$AI$720,MATCH(AD$1,'Tillförd energi'!$B$1:$AQ$1,0),FALSE)</f>
        <v>0</v>
      </c>
      <c r="AE282" s="31">
        <f>VLOOKUP($B282,'Tillförd energi'!$B$1:$AI$720,MATCH(AE$1,'Tillförd energi'!$B$1:$AQ$1,0),FALSE)</f>
        <v>0</v>
      </c>
      <c r="AF282" s="31">
        <f>VLOOKUP($B282,'Tillförd energi'!$B$1:$AI$720,MATCH(AF$1,'Tillförd energi'!$B$1:$AQ$1,0),FALSE)</f>
        <v>0</v>
      </c>
      <c r="AG282" s="31">
        <f>IFERROR(VLOOKUP(B282,Miljö!$B$1:$AC$550,MATCH("Köpt mängd produktionsspecifik fjärrvärme:",Miljö!$B$1:$AC$1,0),FALSE)/1,0)</f>
        <v>0</v>
      </c>
      <c r="AI282" s="31">
        <f t="shared" si="92"/>
        <v>0</v>
      </c>
      <c r="AJ282" s="31">
        <f t="shared" si="93"/>
        <v>0</v>
      </c>
      <c r="AK282" s="31" t="str">
        <f>IF(ISERROR(1/VLOOKUP($B282,Leveranser!$B$1:$S$499,MATCH("Såld värme (GWh)",Leveranser!$B$1:$S$1,0),FALSE)),"",VLOOKUP($B282,Leveranser!$B$1:$S$499,MATCH("Såld värme (GWh)",Leveranser!$B$1:$S$1,0),FALSE))</f>
        <v/>
      </c>
      <c r="AL282" s="31">
        <f>VLOOKUP($B282,Leveranser!$B$1:$Y$499,MATCH("Totalt såld fjärrvärme till andra fjärrvärmeföretag",Leveranser!$B$1:$AA$1,0),FALSE)</f>
        <v>0</v>
      </c>
      <c r="AM282" s="31">
        <f>IF(ISERROR(1/VLOOKUP($B282,Miljö!$B$1:$S$500,MATCH("Såld mängd produktionsspecifik fjärrvärme (GWh)",Miljö!$B$1:$R$1,0),FALSE)),0,VLOOKUP($B282,Miljö!$B$1:$S$500,MATCH("Såld mängd produktionsspecifik fjärrvärme (GWh)",Miljö!$B$1:$R$1,0),FALSE))</f>
        <v>0</v>
      </c>
      <c r="AN282" s="32" t="str">
        <f t="shared" si="94"/>
        <v/>
      </c>
      <c r="AP282" s="31" t="str">
        <f>IFERROR(VLOOKUP($B282,Miljövärden!$B$2:$H$550,7,FALSE),"Nej, saknas")</f>
        <v>Nej</v>
      </c>
      <c r="AQ282" s="31" t="str">
        <f>IFERROR(VLOOKUP($B282,Miljövärden!$B$2:$H$551,6,FALSE),"Nej, saknas")</f>
        <v>Nej</v>
      </c>
      <c r="AU282" s="31">
        <f t="shared" si="95"/>
        <v>0</v>
      </c>
      <c r="AV282" s="31">
        <f t="shared" si="96"/>
        <v>0</v>
      </c>
      <c r="AW282" s="31">
        <f t="shared" si="97"/>
        <v>0</v>
      </c>
      <c r="AX282" s="31">
        <f t="shared" si="98"/>
        <v>0</v>
      </c>
      <c r="AZ282" s="31">
        <f t="shared" si="99"/>
        <v>0</v>
      </c>
      <c r="BC282" s="31">
        <f t="shared" si="100"/>
        <v>0</v>
      </c>
      <c r="BD282" s="31">
        <f t="shared" si="101"/>
        <v>0</v>
      </c>
      <c r="BE282" s="31">
        <f t="shared" si="102"/>
        <v>0</v>
      </c>
      <c r="BF282" s="31">
        <f t="shared" si="103"/>
        <v>0</v>
      </c>
      <c r="BG282" s="31">
        <f t="shared" si="104"/>
        <v>0</v>
      </c>
      <c r="BH282" s="31" t="str">
        <f>VLOOKUP(B282,Miljö!$B$1:$BX$482,MATCH("Fossilandel för ursprungspecificerad el ()",Miljö!$B$1:$I$1,0),FALSE)</f>
        <v>-</v>
      </c>
      <c r="BI282" s="31" t="str">
        <f>VLOOKUP(B282,Miljö!$B$1:$BX$482,MATCH("Kärnkraftsandel för ursprungsspecificerad el ()",Miljö!$B$1:$O$1,0),FALSE)</f>
        <v>-</v>
      </c>
      <c r="BJ282" s="31">
        <f t="shared" si="105"/>
        <v>0</v>
      </c>
      <c r="BK282" s="31" t="str">
        <f>VLOOKUP(B282,Miljö!$B$1:$P$482,MATCH("Fossil andel i procent (%)",Miljö!$B$1:$P$1,0),FALSE)</f>
        <v>-</v>
      </c>
      <c r="BL282" s="31">
        <f t="shared" si="106"/>
        <v>0</v>
      </c>
      <c r="BO282" s="32" t="str">
        <f t="shared" si="107"/>
        <v/>
      </c>
      <c r="BP282" s="32" t="str">
        <f t="shared" si="108"/>
        <v/>
      </c>
      <c r="BQ282" s="32" t="str">
        <f t="shared" si="109"/>
        <v/>
      </c>
      <c r="BR282" s="32" t="str">
        <f t="shared" si="110"/>
        <v/>
      </c>
      <c r="BT282" s="62">
        <f t="shared" si="111"/>
        <v>0</v>
      </c>
      <c r="BW282" s="32" t="str">
        <f>IF(AP282="Ja",VLOOKUP(B282,Miljövärden!$B$2:$H$551,MATCH("Total andel fossilt",Miljövärden!$B$2:$H$2,0),FALSE),"")</f>
        <v/>
      </c>
      <c r="BX282" s="62" t="e">
        <f t="shared" si="112"/>
        <v>#VALUE!</v>
      </c>
      <c r="BZ282" s="31" t="str">
        <f t="shared" si="113"/>
        <v/>
      </c>
      <c r="CA282" s="32" t="str">
        <f t="shared" si="114"/>
        <v/>
      </c>
    </row>
    <row r="283" spans="1:79" hidden="1" x14ac:dyDescent="0.45">
      <c r="A283" s="31" t="s">
        <v>312</v>
      </c>
      <c r="B283" s="31" t="s">
        <v>315</v>
      </c>
      <c r="C283" s="31">
        <f>VLOOKUP($B283,'Tillförd energi'!$B$1:$AI$720,MATCH(C$1,'Tillförd energi'!$B$1:$AQ$1,0),FALSE)</f>
        <v>0</v>
      </c>
      <c r="D283" s="31">
        <f>VLOOKUP($B283,'Tillförd energi'!$B$1:$AI$720,MATCH(D$1,'Tillförd energi'!$B$1:$AQ$1,0),FALSE)</f>
        <v>0</v>
      </c>
      <c r="E283" s="31">
        <f>VLOOKUP($B283,'Tillförd energi'!$B$1:$AI$720,MATCH(E$1,'Tillförd energi'!$B$1:$AQ$1,0),FALSE)</f>
        <v>0</v>
      </c>
      <c r="F283" s="31">
        <f>VLOOKUP($B283,'Tillförd energi'!$B$1:$AI$720,MATCH(F$1,'Tillförd energi'!$B$1:$AQ$1,0),FALSE)</f>
        <v>0</v>
      </c>
      <c r="G283" s="31">
        <f>VLOOKUP($B283,'Tillförd energi'!$B$1:$AI$720,MATCH(G$1,'Tillförd energi'!$B$1:$AQ$1,0),FALSE)</f>
        <v>0</v>
      </c>
      <c r="H283" s="31">
        <f>VLOOKUP($B283,'Tillförd energi'!$B$1:$AI$720,MATCH(H$1,'Tillförd energi'!$B$1:$AQ$1,0),FALSE)</f>
        <v>0</v>
      </c>
      <c r="I283" s="31">
        <f>VLOOKUP($B283,'Tillförd energi'!$B$1:$AI$720,MATCH(I$1,'Tillförd energi'!$B$1:$AQ$1,0),FALSE)</f>
        <v>0</v>
      </c>
      <c r="J283" s="31">
        <f>VLOOKUP($B283,'Tillförd energi'!$B$1:$AI$720,MATCH(J$1,'Tillförd energi'!$B$1:$AQ$1,0),FALSE)</f>
        <v>0</v>
      </c>
      <c r="K283" s="31">
        <f>VLOOKUP($B283,'Tillförd energi'!$B$1:$AI$720,MATCH(K$1,'Tillförd energi'!$B$1:$AQ$1,0),FALSE)</f>
        <v>0</v>
      </c>
      <c r="L283" s="31">
        <f>VLOOKUP($B283,'Tillförd energi'!$B$1:$AI$720,MATCH(L$1,'Tillförd energi'!$B$1:$AQ$1,0),FALSE)</f>
        <v>0</v>
      </c>
      <c r="M283" s="31">
        <f>VLOOKUP($B283,'Tillförd energi'!$B$1:$AI$720,MATCH(M$1,'Tillförd energi'!$B$1:$AQ$1,0),FALSE)</f>
        <v>0</v>
      </c>
      <c r="N283" s="31">
        <f>VLOOKUP($B283,'Tillförd energi'!$B$1:$AI$720,MATCH(N$1,'Tillförd energi'!$B$1:$AQ$1,0),FALSE)</f>
        <v>0</v>
      </c>
      <c r="O283" s="31">
        <f>VLOOKUP($B283,'Tillförd energi'!$B$1:$AI$720,MATCH(O$1,'Tillförd energi'!$B$1:$AQ$1,0),FALSE)</f>
        <v>0</v>
      </c>
      <c r="P283" s="31">
        <f>VLOOKUP($B283,'Tillförd energi'!$B$1:$AI$720,MATCH(P$1,'Tillförd energi'!$B$1:$AQ$1,0),FALSE)</f>
        <v>0</v>
      </c>
      <c r="Q283" s="31">
        <f>VLOOKUP($B283,'Tillförd energi'!$B$1:$AI$720,MATCH(Q$1,'Tillförd energi'!$B$1:$AQ$1,0),FALSE)</f>
        <v>0</v>
      </c>
      <c r="R283" s="31">
        <f>VLOOKUP($B283,'Tillförd energi'!$B$1:$AI$720,MATCH(R$1,'Tillförd energi'!$B$1:$AQ$1,0),FALSE)</f>
        <v>0</v>
      </c>
      <c r="S283" s="31">
        <f>VLOOKUP($B283,'Tillförd energi'!$B$1:$AI$720,MATCH(S$1,'Tillförd energi'!$B$1:$AQ$1,0),FALSE)</f>
        <v>0</v>
      </c>
      <c r="T283" s="31">
        <f>VLOOKUP($B283,'Tillförd energi'!$B$1:$AI$720,MATCH(T$1,'Tillförd energi'!$B$1:$AQ$1,0),FALSE)</f>
        <v>0</v>
      </c>
      <c r="U283" s="31">
        <f>VLOOKUP($B283,'Tillförd energi'!$B$1:$AI$720,MATCH(U$1,'Tillförd energi'!$B$1:$AQ$1,0),FALSE)</f>
        <v>0</v>
      </c>
      <c r="V283" s="31">
        <f>VLOOKUP($B283,'Tillförd energi'!$B$1:$AI$720,MATCH(V$1,'Tillförd energi'!$B$1:$AQ$1,0),FALSE)</f>
        <v>0</v>
      </c>
      <c r="W283" s="31">
        <f>VLOOKUP($B283,'Tillförd energi'!$B$1:$AI$720,MATCH(W$1,'Tillförd energi'!$B$1:$AQ$1,0),FALSE)</f>
        <v>0</v>
      </c>
      <c r="X283" s="31">
        <f>VLOOKUP($B283,'Tillförd energi'!$B$1:$AI$720,MATCH(X$1,'Tillförd energi'!$B$1:$AQ$1,0),FALSE)</f>
        <v>0</v>
      </c>
      <c r="Y283" s="31">
        <f>VLOOKUP($B283,'Tillförd energi'!$B$1:$AI$720,MATCH(Y$1,'Tillförd energi'!$B$1:$AQ$1,0),FALSE)</f>
        <v>0</v>
      </c>
      <c r="Z283" s="31">
        <f>VLOOKUP($B283,'Tillförd energi'!$B$1:$AI$720,MATCH(Z$1,'Tillförd energi'!$B$1:$AQ$1,0),FALSE)</f>
        <v>0</v>
      </c>
      <c r="AA283" s="31">
        <f>VLOOKUP($B283,'Tillförd energi'!$B$1:$AI$720,MATCH(AA$1,'Tillförd energi'!$B$1:$AQ$1,0),FALSE)</f>
        <v>0</v>
      </c>
      <c r="AB283" s="31">
        <f>VLOOKUP($B283,'Tillförd energi'!$B$1:$AI$720,MATCH(AB$1,'Tillförd energi'!$B$1:$AQ$1,0),FALSE)</f>
        <v>0</v>
      </c>
      <c r="AC283" s="31">
        <f>VLOOKUP($B283,'Tillförd energi'!$B$1:$AI$720,MATCH(AC$1,'Tillförd energi'!$B$1:$AQ$1,0),FALSE)</f>
        <v>0</v>
      </c>
      <c r="AD283" s="31">
        <f>VLOOKUP($B283,'Tillförd energi'!$B$1:$AI$720,MATCH(AD$1,'Tillförd energi'!$B$1:$AQ$1,0),FALSE)</f>
        <v>0</v>
      </c>
      <c r="AE283" s="31">
        <f>VLOOKUP($B283,'Tillförd energi'!$B$1:$AI$720,MATCH(AE$1,'Tillförd energi'!$B$1:$AQ$1,0),FALSE)</f>
        <v>0</v>
      </c>
      <c r="AF283" s="31">
        <f>VLOOKUP($B283,'Tillförd energi'!$B$1:$AI$720,MATCH(AF$1,'Tillförd energi'!$B$1:$AQ$1,0),FALSE)</f>
        <v>0</v>
      </c>
      <c r="AG283" s="31">
        <f>IFERROR(VLOOKUP(B283,Miljö!$B$1:$AC$550,MATCH("Köpt mängd produktionsspecifik fjärrvärme:",Miljö!$B$1:$AC$1,0),FALSE)/1,0)</f>
        <v>0</v>
      </c>
      <c r="AI283" s="31">
        <f t="shared" si="92"/>
        <v>0</v>
      </c>
      <c r="AJ283" s="31">
        <f t="shared" si="93"/>
        <v>0</v>
      </c>
      <c r="AK283" s="31" t="str">
        <f>IF(ISERROR(1/VLOOKUP($B283,Leveranser!$B$1:$S$499,MATCH("Såld värme (GWh)",Leveranser!$B$1:$S$1,0),FALSE)),"",VLOOKUP($B283,Leveranser!$B$1:$S$499,MATCH("Såld värme (GWh)",Leveranser!$B$1:$S$1,0),FALSE))</f>
        <v/>
      </c>
      <c r="AL283" s="31">
        <f>VLOOKUP($B283,Leveranser!$B$1:$Y$499,MATCH("Totalt såld fjärrvärme till andra fjärrvärmeföretag",Leveranser!$B$1:$AA$1,0),FALSE)</f>
        <v>0</v>
      </c>
      <c r="AM283" s="31">
        <f>IF(ISERROR(1/VLOOKUP($B283,Miljö!$B$1:$S$500,MATCH("Såld mängd produktionsspecifik fjärrvärme (GWh)",Miljö!$B$1:$R$1,0),FALSE)),0,VLOOKUP($B283,Miljö!$B$1:$S$500,MATCH("Såld mängd produktionsspecifik fjärrvärme (GWh)",Miljö!$B$1:$R$1,0),FALSE))</f>
        <v>0</v>
      </c>
      <c r="AN283" s="32" t="str">
        <f t="shared" si="94"/>
        <v/>
      </c>
      <c r="AP283" s="31" t="str">
        <f>IFERROR(VLOOKUP($B283,Miljövärden!$B$2:$H$550,7,FALSE),"Nej, saknas")</f>
        <v>Nej</v>
      </c>
      <c r="AQ283" s="31" t="str">
        <f>IFERROR(VLOOKUP($B283,Miljövärden!$B$2:$H$551,6,FALSE),"Nej, saknas")</f>
        <v>Nej</v>
      </c>
      <c r="AU283" s="31">
        <f t="shared" si="95"/>
        <v>0</v>
      </c>
      <c r="AV283" s="31">
        <f t="shared" si="96"/>
        <v>0</v>
      </c>
      <c r="AW283" s="31">
        <f t="shared" si="97"/>
        <v>0</v>
      </c>
      <c r="AX283" s="31">
        <f t="shared" si="98"/>
        <v>0</v>
      </c>
      <c r="AZ283" s="31">
        <f t="shared" si="99"/>
        <v>0</v>
      </c>
      <c r="BC283" s="31">
        <f t="shared" si="100"/>
        <v>0</v>
      </c>
      <c r="BD283" s="31">
        <f t="shared" si="101"/>
        <v>0</v>
      </c>
      <c r="BE283" s="31">
        <f t="shared" si="102"/>
        <v>0</v>
      </c>
      <c r="BF283" s="31">
        <f t="shared" si="103"/>
        <v>0</v>
      </c>
      <c r="BG283" s="31">
        <f t="shared" si="104"/>
        <v>0</v>
      </c>
      <c r="BH283" s="31" t="str">
        <f>VLOOKUP(B283,Miljö!$B$1:$BX$482,MATCH("Fossilandel för ursprungspecificerad el ()",Miljö!$B$1:$I$1,0),FALSE)</f>
        <v>-</v>
      </c>
      <c r="BI283" s="31" t="str">
        <f>VLOOKUP(B283,Miljö!$B$1:$BX$482,MATCH("Kärnkraftsandel för ursprungsspecificerad el ()",Miljö!$B$1:$O$1,0),FALSE)</f>
        <v>-</v>
      </c>
      <c r="BJ283" s="31">
        <f t="shared" si="105"/>
        <v>0</v>
      </c>
      <c r="BK283" s="31" t="str">
        <f>VLOOKUP(B283,Miljö!$B$1:$P$482,MATCH("Fossil andel i procent (%)",Miljö!$B$1:$P$1,0),FALSE)</f>
        <v>-</v>
      </c>
      <c r="BL283" s="31">
        <f t="shared" si="106"/>
        <v>0</v>
      </c>
      <c r="BO283" s="32" t="str">
        <f t="shared" si="107"/>
        <v/>
      </c>
      <c r="BP283" s="32" t="str">
        <f t="shared" si="108"/>
        <v/>
      </c>
      <c r="BQ283" s="32" t="str">
        <f t="shared" si="109"/>
        <v/>
      </c>
      <c r="BR283" s="32" t="str">
        <f t="shared" si="110"/>
        <v/>
      </c>
      <c r="BT283" s="62">
        <f t="shared" si="111"/>
        <v>0</v>
      </c>
      <c r="BW283" s="32" t="str">
        <f>IF(AP283="Ja",VLOOKUP(B283,Miljövärden!$B$2:$H$551,MATCH("Total andel fossilt",Miljövärden!$B$2:$H$2,0),FALSE),"")</f>
        <v/>
      </c>
      <c r="BX283" s="62" t="e">
        <f t="shared" si="112"/>
        <v>#VALUE!</v>
      </c>
      <c r="BZ283" s="31" t="str">
        <f t="shared" si="113"/>
        <v/>
      </c>
      <c r="CA283" s="32" t="str">
        <f t="shared" si="114"/>
        <v/>
      </c>
    </row>
    <row r="284" spans="1:79" x14ac:dyDescent="0.45">
      <c r="A284" s="31" t="s">
        <v>305</v>
      </c>
      <c r="B284" s="31" t="s">
        <v>310</v>
      </c>
      <c r="C284" s="31">
        <f>VLOOKUP($B284,'Tillförd energi'!$B$1:$AI$720,MATCH(C$1,'Tillförd energi'!$B$1:$AQ$1,0),FALSE)</f>
        <v>0</v>
      </c>
      <c r="D284" s="31">
        <f>VLOOKUP($B284,'Tillförd energi'!$B$1:$AI$720,MATCH(D$1,'Tillförd energi'!$B$1:$AQ$1,0),FALSE)</f>
        <v>0.39200000000000002</v>
      </c>
      <c r="E284" s="31">
        <f>VLOOKUP($B284,'Tillförd energi'!$B$1:$AI$720,MATCH(E$1,'Tillförd energi'!$B$1:$AQ$1,0),FALSE)</f>
        <v>0</v>
      </c>
      <c r="F284" s="31">
        <f>VLOOKUP($B284,'Tillförd energi'!$B$1:$AI$720,MATCH(F$1,'Tillförd energi'!$B$1:$AQ$1,0),FALSE)</f>
        <v>3.851</v>
      </c>
      <c r="G284" s="31">
        <f>VLOOKUP($B284,'Tillförd energi'!$B$1:$AI$720,MATCH(G$1,'Tillförd energi'!$B$1:$AQ$1,0),FALSE)</f>
        <v>0</v>
      </c>
      <c r="H284" s="31">
        <f>VLOOKUP($B284,'Tillförd energi'!$B$1:$AI$720,MATCH(H$1,'Tillförd energi'!$B$1:$AQ$1,0),FALSE)</f>
        <v>0</v>
      </c>
      <c r="I284" s="31">
        <f>VLOOKUP($B284,'Tillförd energi'!$B$1:$AI$720,MATCH(I$1,'Tillförd energi'!$B$1:$AQ$1,0),FALSE)</f>
        <v>0</v>
      </c>
      <c r="J284" s="31">
        <f>VLOOKUP($B284,'Tillförd energi'!$B$1:$AI$720,MATCH(J$1,'Tillförd energi'!$B$1:$AQ$1,0),FALSE)</f>
        <v>0</v>
      </c>
      <c r="K284" s="31">
        <f>VLOOKUP($B284,'Tillförd energi'!$B$1:$AI$720,MATCH(K$1,'Tillförd energi'!$B$1:$AQ$1,0),FALSE)</f>
        <v>0</v>
      </c>
      <c r="L284" s="31">
        <f>VLOOKUP($B284,'Tillförd energi'!$B$1:$AI$720,MATCH(L$1,'Tillförd energi'!$B$1:$AQ$1,0),FALSE)</f>
        <v>0</v>
      </c>
      <c r="M284" s="31">
        <f>VLOOKUP($B284,'Tillförd energi'!$B$1:$AI$720,MATCH(M$1,'Tillförd energi'!$B$1:$AQ$1,0),FALSE)</f>
        <v>0</v>
      </c>
      <c r="N284" s="31">
        <f>VLOOKUP($B284,'Tillförd energi'!$B$1:$AI$720,MATCH(N$1,'Tillförd energi'!$B$1:$AQ$1,0),FALSE)</f>
        <v>0</v>
      </c>
      <c r="O284" s="31">
        <f>VLOOKUP($B284,'Tillförd energi'!$B$1:$AI$720,MATCH(O$1,'Tillförd energi'!$B$1:$AQ$1,0),FALSE)</f>
        <v>20.599</v>
      </c>
      <c r="P284" s="31">
        <f>VLOOKUP($B284,'Tillförd energi'!$B$1:$AI$720,MATCH(P$1,'Tillförd energi'!$B$1:$AQ$1,0),FALSE)</f>
        <v>0</v>
      </c>
      <c r="Q284" s="31">
        <f>VLOOKUP($B284,'Tillförd energi'!$B$1:$AI$720,MATCH(Q$1,'Tillförd energi'!$B$1:$AQ$1,0),FALSE)</f>
        <v>0</v>
      </c>
      <c r="R284" s="31">
        <f>VLOOKUP($B284,'Tillförd energi'!$B$1:$AI$720,MATCH(R$1,'Tillförd energi'!$B$1:$AQ$1,0),FALSE)</f>
        <v>0</v>
      </c>
      <c r="S284" s="31">
        <f>VLOOKUP($B284,'Tillförd energi'!$B$1:$AI$720,MATCH(S$1,'Tillförd energi'!$B$1:$AQ$1,0),FALSE)</f>
        <v>0</v>
      </c>
      <c r="T284" s="31">
        <f>VLOOKUP($B284,'Tillförd energi'!$B$1:$AI$720,MATCH(T$1,'Tillförd energi'!$B$1:$AQ$1,0),FALSE)</f>
        <v>0</v>
      </c>
      <c r="U284" s="31">
        <f>VLOOKUP($B284,'Tillförd energi'!$B$1:$AI$720,MATCH(U$1,'Tillförd energi'!$B$1:$AQ$1,0),FALSE)</f>
        <v>0</v>
      </c>
      <c r="V284" s="31">
        <f>VLOOKUP($B284,'Tillförd energi'!$B$1:$AI$720,MATCH(V$1,'Tillförd energi'!$B$1:$AQ$1,0),FALSE)</f>
        <v>0</v>
      </c>
      <c r="W284" s="31">
        <f>VLOOKUP($B284,'Tillförd energi'!$B$1:$AI$720,MATCH(W$1,'Tillförd energi'!$B$1:$AQ$1,0),FALSE)</f>
        <v>0</v>
      </c>
      <c r="X284" s="31">
        <f>VLOOKUP($B284,'Tillförd energi'!$B$1:$AI$720,MATCH(X$1,'Tillförd energi'!$B$1:$AQ$1,0),FALSE)</f>
        <v>0</v>
      </c>
      <c r="Y284" s="31">
        <f>VLOOKUP($B284,'Tillförd energi'!$B$1:$AI$720,MATCH(Y$1,'Tillförd energi'!$B$1:$AQ$1,0),FALSE)</f>
        <v>0</v>
      </c>
      <c r="Z284" s="31">
        <f>VLOOKUP($B284,'Tillförd energi'!$B$1:$AI$720,MATCH(Z$1,'Tillförd energi'!$B$1:$AQ$1,0),FALSE)</f>
        <v>0</v>
      </c>
      <c r="AA284" s="31">
        <f>VLOOKUP($B284,'Tillförd energi'!$B$1:$AI$720,MATCH(AA$1,'Tillförd energi'!$B$1:$AQ$1,0),FALSE)</f>
        <v>0</v>
      </c>
      <c r="AB284" s="31">
        <f>VLOOKUP($B284,'Tillförd energi'!$B$1:$AI$720,MATCH(AB$1,'Tillförd energi'!$B$1:$AQ$1,0),FALSE)</f>
        <v>0</v>
      </c>
      <c r="AC284" s="31">
        <f>VLOOKUP($B284,'Tillförd energi'!$B$1:$AI$720,MATCH(AC$1,'Tillförd energi'!$B$1:$AQ$1,0),FALSE)</f>
        <v>3.6930000000000001</v>
      </c>
      <c r="AD284" s="31">
        <f>VLOOKUP($B284,'Tillförd energi'!$B$1:$AI$720,MATCH(AD$1,'Tillförd energi'!$B$1:$AQ$1,0),FALSE)</f>
        <v>0</v>
      </c>
      <c r="AE284" s="31">
        <f>VLOOKUP($B284,'Tillförd energi'!$B$1:$AI$720,MATCH(AE$1,'Tillförd energi'!$B$1:$AQ$1,0),FALSE)</f>
        <v>0</v>
      </c>
      <c r="AF284" s="31">
        <f>VLOOKUP($B284,'Tillförd energi'!$B$1:$AI$720,MATCH(AF$1,'Tillförd energi'!$B$1:$AQ$1,0),FALSE)</f>
        <v>0.76200000000000001</v>
      </c>
      <c r="AG284" s="31">
        <f>IFERROR(VLOOKUP(B284,Miljö!$B$1:$AC$550,MATCH("Köpt mängd produktionsspecifik fjärrvärme:",Miljö!$B$1:$AC$1,0),FALSE)/1,0)</f>
        <v>0</v>
      </c>
      <c r="AI284" s="31">
        <f t="shared" si="92"/>
        <v>29.297000000000001</v>
      </c>
      <c r="AJ284" s="31">
        <f t="shared" si="93"/>
        <v>29.297000000000001</v>
      </c>
      <c r="AK284" s="31">
        <f>IF(ISERROR(1/VLOOKUP($B284,Leveranser!$B$1:$S$499,MATCH("Såld värme (GWh)",Leveranser!$B$1:$S$1,0),FALSE)),"",VLOOKUP($B284,Leveranser!$B$1:$S$499,MATCH("Såld värme (GWh)",Leveranser!$B$1:$S$1,0),FALSE))</f>
        <v>20.495999999999999</v>
      </c>
      <c r="AL284" s="31">
        <f>VLOOKUP($B284,Leveranser!$B$1:$Y$499,MATCH("Totalt såld fjärrvärme till andra fjärrvärmeföretag",Leveranser!$B$1:$AA$1,0),FALSE)</f>
        <v>0</v>
      </c>
      <c r="AM284" s="31">
        <f>IF(ISERROR(1/VLOOKUP($B284,Miljö!$B$1:$S$500,MATCH("Såld mängd produktionsspecifik fjärrvärme (GWh)",Miljö!$B$1:$R$1,0),FALSE)),0,VLOOKUP($B284,Miljö!$B$1:$S$500,MATCH("Såld mängd produktionsspecifik fjärrvärme (GWh)",Miljö!$B$1:$R$1,0),FALSE))</f>
        <v>0</v>
      </c>
      <c r="AN284" s="32">
        <f t="shared" si="94"/>
        <v>0.69959381506638896</v>
      </c>
      <c r="AP284" s="31" t="str">
        <f>IFERROR(VLOOKUP($B284,Miljövärden!$B$2:$H$550,7,FALSE),"Nej, saknas")</f>
        <v>Ja</v>
      </c>
      <c r="AQ284" s="31" t="str">
        <f>IFERROR(VLOOKUP($B284,Miljövärden!$B$2:$H$551,6,FALSE),"Nej, saknas")</f>
        <v>Nej</v>
      </c>
      <c r="AU284" s="31">
        <f t="shared" si="95"/>
        <v>0.76200000000000001</v>
      </c>
      <c r="AV284" s="31">
        <f t="shared" si="96"/>
        <v>0</v>
      </c>
      <c r="AW284" s="31">
        <f t="shared" si="97"/>
        <v>20.599</v>
      </c>
      <c r="AX284" s="31">
        <f t="shared" si="98"/>
        <v>0</v>
      </c>
      <c r="AZ284" s="31">
        <f t="shared" si="99"/>
        <v>20.599</v>
      </c>
      <c r="BC284" s="31">
        <f t="shared" si="100"/>
        <v>4.2430000000000003</v>
      </c>
      <c r="BD284" s="31">
        <f t="shared" si="101"/>
        <v>0</v>
      </c>
      <c r="BE284" s="31">
        <f t="shared" si="102"/>
        <v>20.599</v>
      </c>
      <c r="BF284" s="31">
        <f t="shared" si="103"/>
        <v>3.6930000000000001</v>
      </c>
      <c r="BG284" s="31">
        <f t="shared" si="104"/>
        <v>0.76200000000000001</v>
      </c>
      <c r="BH284" s="31">
        <f>VLOOKUP(B284,Miljö!$B$1:$BX$482,MATCH("Fossilandel för ursprungspecificerad el ()",Miljö!$B$1:$I$1,0),FALSE)</f>
        <v>0.35</v>
      </c>
      <c r="BI284" s="31">
        <f>VLOOKUP(B284,Miljö!$B$1:$BX$482,MATCH("Kärnkraftsandel för ursprungsspecificerad el ()",Miljö!$B$1:$O$1,0),FALSE)</f>
        <v>0.3977</v>
      </c>
      <c r="BJ284" s="31">
        <f t="shared" si="105"/>
        <v>0</v>
      </c>
      <c r="BK284" s="31" t="str">
        <f>VLOOKUP(B284,Miljö!$B$1:$P$482,MATCH("Fossil andel i procent (%)",Miljö!$B$1:$P$1,0),FALSE)</f>
        <v>ET</v>
      </c>
      <c r="BL284" s="31">
        <f t="shared" si="106"/>
        <v>29.297000000000001</v>
      </c>
      <c r="BO284" s="32">
        <f t="shared" si="107"/>
        <v>0.15393043656347066</v>
      </c>
      <c r="BP284" s="32">
        <f t="shared" si="108"/>
        <v>1.0343973785711847E-2</v>
      </c>
      <c r="BQ284" s="32">
        <f t="shared" si="109"/>
        <v>0.70967172748062946</v>
      </c>
      <c r="BR284" s="32">
        <f t="shared" si="110"/>
        <v>0.12605386217018807</v>
      </c>
      <c r="BT284" s="62">
        <f t="shared" si="111"/>
        <v>1</v>
      </c>
      <c r="BW284" s="32">
        <f>IF(AP284="Ja",VLOOKUP(B284,Miljövärden!$B$2:$H$551,MATCH("Total andel fossilt",Miljövärden!$B$2:$H$2,0),FALSE),"")</f>
        <v>0.15393000000000001</v>
      </c>
      <c r="BX284" s="62">
        <f t="shared" si="112"/>
        <v>-4.3656347065157419E-7</v>
      </c>
      <c r="BZ284" s="31">
        <f t="shared" si="113"/>
        <v>-4.3656347065157419E-7</v>
      </c>
      <c r="CA284" s="32">
        <f t="shared" si="114"/>
        <v>0</v>
      </c>
    </row>
    <row r="285" spans="1:79" x14ac:dyDescent="0.45">
      <c r="A285" s="31" t="s">
        <v>305</v>
      </c>
      <c r="B285" s="31" t="s">
        <v>309</v>
      </c>
      <c r="C285" s="31">
        <f>VLOOKUP($B285,'Tillförd energi'!$B$1:$AI$720,MATCH(C$1,'Tillförd energi'!$B$1:$AQ$1,0),FALSE)</f>
        <v>0</v>
      </c>
      <c r="D285" s="31">
        <f>VLOOKUP($B285,'Tillförd energi'!$B$1:$AI$720,MATCH(D$1,'Tillförd energi'!$B$1:$AQ$1,0),FALSE)</f>
        <v>0.39200000000000002</v>
      </c>
      <c r="E285" s="31">
        <f>VLOOKUP($B285,'Tillförd energi'!$B$1:$AI$720,MATCH(E$1,'Tillförd energi'!$B$1:$AQ$1,0),FALSE)</f>
        <v>0</v>
      </c>
      <c r="F285" s="31">
        <f>VLOOKUP($B285,'Tillförd energi'!$B$1:$AI$720,MATCH(F$1,'Tillförd energi'!$B$1:$AQ$1,0),FALSE)</f>
        <v>0</v>
      </c>
      <c r="G285" s="31">
        <f>VLOOKUP($B285,'Tillförd energi'!$B$1:$AI$720,MATCH(G$1,'Tillförd energi'!$B$1:$AQ$1,0),FALSE)</f>
        <v>0</v>
      </c>
      <c r="H285" s="31">
        <f>VLOOKUP($B285,'Tillförd energi'!$B$1:$AI$720,MATCH(H$1,'Tillförd energi'!$B$1:$AQ$1,0),FALSE)</f>
        <v>0</v>
      </c>
      <c r="I285" s="31">
        <f>VLOOKUP($B285,'Tillförd energi'!$B$1:$AI$720,MATCH(I$1,'Tillförd energi'!$B$1:$AQ$1,0),FALSE)</f>
        <v>0</v>
      </c>
      <c r="J285" s="31">
        <f>VLOOKUP($B285,'Tillförd energi'!$B$1:$AI$720,MATCH(J$1,'Tillförd energi'!$B$1:$AQ$1,0),FALSE)</f>
        <v>0</v>
      </c>
      <c r="K285" s="31">
        <f>VLOOKUP($B285,'Tillförd energi'!$B$1:$AI$720,MATCH(K$1,'Tillförd energi'!$B$1:$AQ$1,0),FALSE)</f>
        <v>0</v>
      </c>
      <c r="L285" s="31">
        <f>VLOOKUP($B285,'Tillförd energi'!$B$1:$AI$720,MATCH(L$1,'Tillförd energi'!$B$1:$AQ$1,0),FALSE)</f>
        <v>0</v>
      </c>
      <c r="M285" s="31">
        <f>VLOOKUP($B285,'Tillförd energi'!$B$1:$AI$720,MATCH(M$1,'Tillförd energi'!$B$1:$AQ$1,0),FALSE)</f>
        <v>0</v>
      </c>
      <c r="N285" s="31">
        <f>VLOOKUP($B285,'Tillförd energi'!$B$1:$AI$720,MATCH(N$1,'Tillförd energi'!$B$1:$AQ$1,0),FALSE)</f>
        <v>0</v>
      </c>
      <c r="O285" s="31">
        <f>VLOOKUP($B285,'Tillförd energi'!$B$1:$AI$720,MATCH(O$1,'Tillförd energi'!$B$1:$AQ$1,0),FALSE)</f>
        <v>0</v>
      </c>
      <c r="P285" s="31">
        <f>VLOOKUP($B285,'Tillförd energi'!$B$1:$AI$720,MATCH(P$1,'Tillförd energi'!$B$1:$AQ$1,0),FALSE)</f>
        <v>15.272</v>
      </c>
      <c r="Q285" s="31">
        <f>VLOOKUP($B285,'Tillförd energi'!$B$1:$AI$720,MATCH(Q$1,'Tillförd energi'!$B$1:$AQ$1,0),FALSE)</f>
        <v>0</v>
      </c>
      <c r="R285" s="31">
        <f>VLOOKUP($B285,'Tillförd energi'!$B$1:$AI$720,MATCH(R$1,'Tillförd energi'!$B$1:$AQ$1,0),FALSE)</f>
        <v>0</v>
      </c>
      <c r="S285" s="31">
        <f>VLOOKUP($B285,'Tillförd energi'!$B$1:$AI$720,MATCH(S$1,'Tillförd energi'!$B$1:$AQ$1,0),FALSE)</f>
        <v>0</v>
      </c>
      <c r="T285" s="31">
        <f>VLOOKUP($B285,'Tillförd energi'!$B$1:$AI$720,MATCH(T$1,'Tillförd energi'!$B$1:$AQ$1,0),FALSE)</f>
        <v>0</v>
      </c>
      <c r="U285" s="31">
        <f>VLOOKUP($B285,'Tillförd energi'!$B$1:$AI$720,MATCH(U$1,'Tillförd energi'!$B$1:$AQ$1,0),FALSE)</f>
        <v>0</v>
      </c>
      <c r="V285" s="31">
        <f>VLOOKUP($B285,'Tillförd energi'!$B$1:$AI$720,MATCH(V$1,'Tillförd energi'!$B$1:$AQ$1,0),FALSE)</f>
        <v>0.36</v>
      </c>
      <c r="W285" s="31">
        <f>VLOOKUP($B285,'Tillförd energi'!$B$1:$AI$720,MATCH(W$1,'Tillförd energi'!$B$1:$AQ$1,0),FALSE)</f>
        <v>0</v>
      </c>
      <c r="X285" s="31">
        <f>VLOOKUP($B285,'Tillförd energi'!$B$1:$AI$720,MATCH(X$1,'Tillförd energi'!$B$1:$AQ$1,0),FALSE)</f>
        <v>0</v>
      </c>
      <c r="Y285" s="31">
        <f>VLOOKUP($B285,'Tillförd energi'!$B$1:$AI$720,MATCH(Y$1,'Tillförd energi'!$B$1:$AQ$1,0),FALSE)</f>
        <v>0</v>
      </c>
      <c r="Z285" s="31">
        <f>VLOOKUP($B285,'Tillförd energi'!$B$1:$AI$720,MATCH(Z$1,'Tillförd energi'!$B$1:$AQ$1,0),FALSE)</f>
        <v>0</v>
      </c>
      <c r="AA285" s="31">
        <f>VLOOKUP($B285,'Tillförd energi'!$B$1:$AI$720,MATCH(AA$1,'Tillförd energi'!$B$1:$AQ$1,0),FALSE)</f>
        <v>0</v>
      </c>
      <c r="AB285" s="31">
        <f>VLOOKUP($B285,'Tillförd energi'!$B$1:$AI$720,MATCH(AB$1,'Tillförd energi'!$B$1:$AQ$1,0),FALSE)</f>
        <v>0</v>
      </c>
      <c r="AC285" s="31">
        <f>VLOOKUP($B285,'Tillförd energi'!$B$1:$AI$720,MATCH(AC$1,'Tillförd energi'!$B$1:$AQ$1,0),FALSE)</f>
        <v>1.575</v>
      </c>
      <c r="AD285" s="31">
        <f>VLOOKUP($B285,'Tillförd energi'!$B$1:$AI$720,MATCH(AD$1,'Tillförd energi'!$B$1:$AQ$1,0),FALSE)</f>
        <v>0</v>
      </c>
      <c r="AE285" s="31">
        <f>VLOOKUP($B285,'Tillförd energi'!$B$1:$AI$720,MATCH(AE$1,'Tillförd energi'!$B$1:$AQ$1,0),FALSE)</f>
        <v>0</v>
      </c>
      <c r="AF285" s="31">
        <f>VLOOKUP($B285,'Tillförd energi'!$B$1:$AI$720,MATCH(AF$1,'Tillförd energi'!$B$1:$AQ$1,0),FALSE)</f>
        <v>0.52800000000000002</v>
      </c>
      <c r="AG285" s="31">
        <f>IFERROR(VLOOKUP(B285,Miljö!$B$1:$AC$550,MATCH("Köpt mängd produktionsspecifik fjärrvärme:",Miljö!$B$1:$AC$1,0),FALSE)/1,0)</f>
        <v>0</v>
      </c>
      <c r="AI285" s="31">
        <f t="shared" si="92"/>
        <v>18.126999999999999</v>
      </c>
      <c r="AJ285" s="31">
        <f t="shared" si="93"/>
        <v>18.126999999999999</v>
      </c>
      <c r="AK285" s="31">
        <f>IF(ISERROR(1/VLOOKUP($B285,Leveranser!$B$1:$S$499,MATCH("Såld värme (GWh)",Leveranser!$B$1:$S$1,0),FALSE)),"",VLOOKUP($B285,Leveranser!$B$1:$S$499,MATCH("Såld värme (GWh)",Leveranser!$B$1:$S$1,0),FALSE))</f>
        <v>15.109</v>
      </c>
      <c r="AL285" s="31">
        <f>VLOOKUP($B285,Leveranser!$B$1:$Y$499,MATCH("Totalt såld fjärrvärme till andra fjärrvärmeföretag",Leveranser!$B$1:$AA$1,0),FALSE)</f>
        <v>0</v>
      </c>
      <c r="AM285" s="31">
        <f>IF(ISERROR(1/VLOOKUP($B285,Miljö!$B$1:$S$500,MATCH("Såld mängd produktionsspecifik fjärrvärme (GWh)",Miljö!$B$1:$R$1,0),FALSE)),0,VLOOKUP($B285,Miljö!$B$1:$S$500,MATCH("Såld mängd produktionsspecifik fjärrvärme (GWh)",Miljö!$B$1:$R$1,0),FALSE))</f>
        <v>0</v>
      </c>
      <c r="AN285" s="32">
        <f t="shared" si="94"/>
        <v>0.83350802670050206</v>
      </c>
      <c r="AP285" s="31" t="str">
        <f>IFERROR(VLOOKUP($B285,Miljövärden!$B$2:$H$550,7,FALSE),"Nej, saknas")</f>
        <v>Ja</v>
      </c>
      <c r="AQ285" s="31" t="str">
        <f>IFERROR(VLOOKUP($B285,Miljövärden!$B$2:$H$551,6,FALSE),"Nej, saknas")</f>
        <v>Nej</v>
      </c>
      <c r="AU285" s="31">
        <f t="shared" si="95"/>
        <v>0.52800000000000002</v>
      </c>
      <c r="AV285" s="31">
        <f t="shared" si="96"/>
        <v>0</v>
      </c>
      <c r="AW285" s="31">
        <f t="shared" si="97"/>
        <v>15.272</v>
      </c>
      <c r="AX285" s="31">
        <f t="shared" si="98"/>
        <v>0</v>
      </c>
      <c r="AZ285" s="31">
        <f t="shared" si="99"/>
        <v>15.632</v>
      </c>
      <c r="BC285" s="31">
        <f t="shared" si="100"/>
        <v>0.39200000000000002</v>
      </c>
      <c r="BD285" s="31">
        <f t="shared" si="101"/>
        <v>0</v>
      </c>
      <c r="BE285" s="31">
        <f t="shared" si="102"/>
        <v>15.632</v>
      </c>
      <c r="BF285" s="31">
        <f t="shared" si="103"/>
        <v>1.575</v>
      </c>
      <c r="BG285" s="31">
        <f t="shared" si="104"/>
        <v>0.52800000000000002</v>
      </c>
      <c r="BH285" s="31">
        <f>VLOOKUP(B285,Miljö!$B$1:$BX$482,MATCH("Fossilandel för ursprungspecificerad el ()",Miljö!$B$1:$I$1,0),FALSE)</f>
        <v>0.35</v>
      </c>
      <c r="BI285" s="31">
        <f>VLOOKUP(B285,Miljö!$B$1:$BX$482,MATCH("Kärnkraftsandel för ursprungsspecificerad el ()",Miljö!$B$1:$O$1,0),FALSE)</f>
        <v>0.3977</v>
      </c>
      <c r="BJ285" s="31">
        <f t="shared" si="105"/>
        <v>0</v>
      </c>
      <c r="BK285" s="31" t="str">
        <f>VLOOKUP(B285,Miljö!$B$1:$P$482,MATCH("Fossil andel i procent (%)",Miljö!$B$1:$P$1,0),FALSE)</f>
        <v>ET</v>
      </c>
      <c r="BL285" s="31">
        <f t="shared" si="106"/>
        <v>18.126999999999999</v>
      </c>
      <c r="BO285" s="32">
        <f t="shared" si="107"/>
        <v>3.1819937110387823E-2</v>
      </c>
      <c r="BP285" s="32">
        <f t="shared" si="108"/>
        <v>1.1584134164505988E-2</v>
      </c>
      <c r="BQ285" s="32">
        <f t="shared" si="109"/>
        <v>0.86970896452805213</v>
      </c>
      <c r="BR285" s="32">
        <f t="shared" si="110"/>
        <v>8.688696419705412E-2</v>
      </c>
      <c r="BT285" s="62">
        <f t="shared" si="111"/>
        <v>1</v>
      </c>
      <c r="BW285" s="32">
        <f>IF(AP285="Ja",VLOOKUP(B285,Miljövärden!$B$2:$H$551,MATCH("Total andel fossilt",Miljövärden!$B$2:$H$2,0),FALSE),"")</f>
        <v>3.1819899999999998E-2</v>
      </c>
      <c r="BX285" s="62">
        <f t="shared" si="112"/>
        <v>-3.7110387825223246E-8</v>
      </c>
      <c r="BZ285" s="31">
        <f t="shared" si="113"/>
        <v>-3.7110387825223246E-8</v>
      </c>
      <c r="CA285" s="32">
        <f t="shared" si="114"/>
        <v>0</v>
      </c>
    </row>
    <row r="286" spans="1:79" x14ac:dyDescent="0.45">
      <c r="A286" s="31" t="s">
        <v>305</v>
      </c>
      <c r="B286" s="31" t="s">
        <v>308</v>
      </c>
      <c r="C286" s="31">
        <f>VLOOKUP($B286,'Tillförd energi'!$B$1:$AI$720,MATCH(C$1,'Tillförd energi'!$B$1:$AQ$1,0),FALSE)</f>
        <v>0</v>
      </c>
      <c r="D286" s="31">
        <f>VLOOKUP($B286,'Tillförd energi'!$B$1:$AI$720,MATCH(D$1,'Tillförd energi'!$B$1:$AQ$1,0),FALSE)</f>
        <v>1.2250000000000001</v>
      </c>
      <c r="E286" s="31">
        <f>VLOOKUP($B286,'Tillförd energi'!$B$1:$AI$720,MATCH(E$1,'Tillförd energi'!$B$1:$AQ$1,0),FALSE)</f>
        <v>0</v>
      </c>
      <c r="F286" s="31">
        <f>VLOOKUP($B286,'Tillförd energi'!$B$1:$AI$720,MATCH(F$1,'Tillförd energi'!$B$1:$AQ$1,0),FALSE)</f>
        <v>1.151</v>
      </c>
      <c r="G286" s="31">
        <f>VLOOKUP($B286,'Tillförd energi'!$B$1:$AI$720,MATCH(G$1,'Tillförd energi'!$B$1:$AQ$1,0),FALSE)</f>
        <v>0</v>
      </c>
      <c r="H286" s="31">
        <f>VLOOKUP($B286,'Tillförd energi'!$B$1:$AI$720,MATCH(H$1,'Tillförd energi'!$B$1:$AQ$1,0),FALSE)</f>
        <v>0</v>
      </c>
      <c r="I286" s="31">
        <f>VLOOKUP($B286,'Tillförd energi'!$B$1:$AI$720,MATCH(I$1,'Tillförd energi'!$B$1:$AQ$1,0),FALSE)</f>
        <v>300.36</v>
      </c>
      <c r="J286" s="31">
        <f>VLOOKUP($B286,'Tillförd energi'!$B$1:$AI$720,MATCH(J$1,'Tillförd energi'!$B$1:$AQ$1,0),FALSE)</f>
        <v>0</v>
      </c>
      <c r="K286" s="31">
        <f>VLOOKUP($B286,'Tillförd energi'!$B$1:$AI$720,MATCH(K$1,'Tillförd energi'!$B$1:$AQ$1,0),FALSE)</f>
        <v>0</v>
      </c>
      <c r="L286" s="31">
        <f>VLOOKUP($B286,'Tillförd energi'!$B$1:$AI$720,MATCH(L$1,'Tillförd energi'!$B$1:$AQ$1,0),FALSE)</f>
        <v>0</v>
      </c>
      <c r="M286" s="31">
        <f>VLOOKUP($B286,'Tillförd energi'!$B$1:$AI$720,MATCH(M$1,'Tillförd energi'!$B$1:$AQ$1,0),FALSE)</f>
        <v>0</v>
      </c>
      <c r="N286" s="31">
        <f>VLOOKUP($B286,'Tillförd energi'!$B$1:$AI$720,MATCH(N$1,'Tillförd energi'!$B$1:$AQ$1,0),FALSE)</f>
        <v>0</v>
      </c>
      <c r="O286" s="31">
        <f>VLOOKUP($B286,'Tillförd energi'!$B$1:$AI$720,MATCH(O$1,'Tillförd energi'!$B$1:$AQ$1,0),FALSE)</f>
        <v>0</v>
      </c>
      <c r="P286" s="31">
        <f>VLOOKUP($B286,'Tillförd energi'!$B$1:$AI$720,MATCH(P$1,'Tillförd energi'!$B$1:$AQ$1,0),FALSE)</f>
        <v>0</v>
      </c>
      <c r="Q286" s="31">
        <f>VLOOKUP($B286,'Tillförd energi'!$B$1:$AI$720,MATCH(Q$1,'Tillförd energi'!$B$1:$AQ$1,0),FALSE)</f>
        <v>1.3111299999999999</v>
      </c>
      <c r="R286" s="31">
        <f>VLOOKUP($B286,'Tillförd energi'!$B$1:$AI$720,MATCH(R$1,'Tillförd energi'!$B$1:$AQ$1,0),FALSE)</f>
        <v>119.79900000000001</v>
      </c>
      <c r="S286" s="31">
        <f>VLOOKUP($B286,'Tillförd energi'!$B$1:$AI$720,MATCH(S$1,'Tillförd energi'!$B$1:$AQ$1,0),FALSE)</f>
        <v>0</v>
      </c>
      <c r="T286" s="31">
        <f>VLOOKUP($B286,'Tillförd energi'!$B$1:$AI$720,MATCH(T$1,'Tillförd energi'!$B$1:$AQ$1,0),FALSE)</f>
        <v>0</v>
      </c>
      <c r="U286" s="31">
        <f>VLOOKUP($B286,'Tillförd energi'!$B$1:$AI$720,MATCH(U$1,'Tillförd energi'!$B$1:$AQ$1,0),FALSE)</f>
        <v>0</v>
      </c>
      <c r="V286" s="31">
        <f>VLOOKUP($B286,'Tillförd energi'!$B$1:$AI$720,MATCH(V$1,'Tillförd energi'!$B$1:$AQ$1,0),FALSE)</f>
        <v>1.998</v>
      </c>
      <c r="W286" s="31">
        <f>VLOOKUP($B286,'Tillförd energi'!$B$1:$AI$720,MATCH(W$1,'Tillförd energi'!$B$1:$AQ$1,0),FALSE)</f>
        <v>0</v>
      </c>
      <c r="X286" s="31">
        <f>VLOOKUP($B286,'Tillförd energi'!$B$1:$AI$720,MATCH(X$1,'Tillförd energi'!$B$1:$AQ$1,0),FALSE)</f>
        <v>0</v>
      </c>
      <c r="Y286" s="31">
        <f>VLOOKUP($B286,'Tillförd energi'!$B$1:$AI$720,MATCH(Y$1,'Tillförd energi'!$B$1:$AQ$1,0),FALSE)</f>
        <v>0</v>
      </c>
      <c r="Z286" s="31">
        <f>VLOOKUP($B286,'Tillförd energi'!$B$1:$AI$720,MATCH(Z$1,'Tillförd energi'!$B$1:$AQ$1,0),FALSE)</f>
        <v>3.2970000000000002</v>
      </c>
      <c r="AA286" s="31">
        <f>VLOOKUP($B286,'Tillförd energi'!$B$1:$AI$720,MATCH(AA$1,'Tillförd energi'!$B$1:$AQ$1,0),FALSE)</f>
        <v>0</v>
      </c>
      <c r="AB286" s="31">
        <f>VLOOKUP($B286,'Tillförd energi'!$B$1:$AI$720,MATCH(AB$1,'Tillförd energi'!$B$1:$AQ$1,0),FALSE)</f>
        <v>0</v>
      </c>
      <c r="AC286" s="31">
        <f>VLOOKUP($B286,'Tillförd energi'!$B$1:$AI$720,MATCH(AC$1,'Tillförd energi'!$B$1:$AQ$1,0),FALSE)</f>
        <v>44.762999999999998</v>
      </c>
      <c r="AD286" s="31">
        <f>VLOOKUP($B286,'Tillförd energi'!$B$1:$AI$720,MATCH(AD$1,'Tillförd energi'!$B$1:$AQ$1,0),FALSE)</f>
        <v>195.68100000000001</v>
      </c>
      <c r="AE286" s="31">
        <f>VLOOKUP($B286,'Tillförd energi'!$B$1:$AI$720,MATCH(AE$1,'Tillförd energi'!$B$1:$AQ$1,0),FALSE)</f>
        <v>0</v>
      </c>
      <c r="AF286" s="31">
        <f>VLOOKUP($B286,'Tillförd energi'!$B$1:$AI$720,MATCH(AF$1,'Tillförd energi'!$B$1:$AQ$1,0),FALSE)</f>
        <v>17.493300000000001</v>
      </c>
      <c r="AG286" s="31">
        <f>IFERROR(VLOOKUP(B286,Miljö!$B$1:$AC$550,MATCH("Köpt mängd produktionsspecifik fjärrvärme:",Miljö!$B$1:$AC$1,0),FALSE)/1,0)</f>
        <v>0</v>
      </c>
      <c r="AI286" s="31">
        <f t="shared" si="92"/>
        <v>687.07843000000003</v>
      </c>
      <c r="AJ286" s="31">
        <f t="shared" si="93"/>
        <v>687.07843000000003</v>
      </c>
      <c r="AK286" s="31">
        <f>IF(ISERROR(1/VLOOKUP($B286,Leveranser!$B$1:$S$499,MATCH("Såld värme (GWh)",Leveranser!$B$1:$S$1,0),FALSE)),"",VLOOKUP($B286,Leveranser!$B$1:$S$499,MATCH("Såld värme (GWh)",Leveranser!$B$1:$S$1,0),FALSE))</f>
        <v>540.76199999999994</v>
      </c>
      <c r="AL286" s="31">
        <f>VLOOKUP($B286,Leveranser!$B$1:$Y$499,MATCH("Totalt såld fjärrvärme till andra fjärrvärmeföretag",Leveranser!$B$1:$AA$1,0),FALSE)</f>
        <v>0</v>
      </c>
      <c r="AM286" s="31">
        <f>IF(ISERROR(1/VLOOKUP($B286,Miljö!$B$1:$S$500,MATCH("Såld mängd produktionsspecifik fjärrvärme (GWh)",Miljö!$B$1:$R$1,0),FALSE)),0,VLOOKUP($B286,Miljö!$B$1:$S$500,MATCH("Såld mängd produktionsspecifik fjärrvärme (GWh)",Miljö!$B$1:$R$1,0),FALSE))</f>
        <v>80.099999999999994</v>
      </c>
      <c r="AN286" s="32">
        <f t="shared" si="94"/>
        <v>0.78704551967960912</v>
      </c>
      <c r="AP286" s="31" t="str">
        <f>IFERROR(VLOOKUP($B286,Miljövärden!$B$2:$H$550,7,FALSE),"Nej, saknas")</f>
        <v>Ja</v>
      </c>
      <c r="AQ286" s="31" t="str">
        <f>IFERROR(VLOOKUP($B286,Miljövärden!$B$2:$H$551,6,FALSE),"Nej, saknas")</f>
        <v>Ja</v>
      </c>
      <c r="AU286" s="31">
        <f t="shared" si="95"/>
        <v>20.790300000000002</v>
      </c>
      <c r="AV286" s="31">
        <f t="shared" si="96"/>
        <v>0</v>
      </c>
      <c r="AW286" s="31">
        <f t="shared" si="97"/>
        <v>1.3111299999999999</v>
      </c>
      <c r="AX286" s="31">
        <f t="shared" si="98"/>
        <v>119.79900000000001</v>
      </c>
      <c r="AZ286" s="31">
        <f t="shared" si="99"/>
        <v>123.10813000000002</v>
      </c>
      <c r="BC286" s="31">
        <f t="shared" si="100"/>
        <v>2.3760000000000003</v>
      </c>
      <c r="BD286" s="31">
        <f t="shared" si="101"/>
        <v>0</v>
      </c>
      <c r="BE286" s="31">
        <f t="shared" si="102"/>
        <v>123.10813000000002</v>
      </c>
      <c r="BF286" s="31">
        <f t="shared" si="103"/>
        <v>540.80399999999997</v>
      </c>
      <c r="BG286" s="31">
        <f t="shared" si="104"/>
        <v>20.790300000000002</v>
      </c>
      <c r="BH286" s="31">
        <f>VLOOKUP(B286,Miljö!$B$1:$BX$482,MATCH("Fossilandel för ursprungspecificerad el ()",Miljö!$B$1:$I$1,0),FALSE)</f>
        <v>0.35</v>
      </c>
      <c r="BI286" s="31">
        <f>VLOOKUP(B286,Miljö!$B$1:$BX$482,MATCH("Kärnkraftsandel för ursprungsspecificerad el ()",Miljö!$B$1:$O$1,0),FALSE)</f>
        <v>0.3977</v>
      </c>
      <c r="BJ286" s="31">
        <f t="shared" si="105"/>
        <v>0</v>
      </c>
      <c r="BK286" s="31" t="str">
        <f>VLOOKUP(B286,Miljö!$B$1:$P$482,MATCH("Fossil andel i procent (%)",Miljö!$B$1:$P$1,0),FALSE)</f>
        <v>ET</v>
      </c>
      <c r="BL286" s="31">
        <f t="shared" si="106"/>
        <v>687.07843000000003</v>
      </c>
      <c r="BO286" s="32">
        <f t="shared" si="107"/>
        <v>1.4048767329226157E-2</v>
      </c>
      <c r="BP286" s="32">
        <f t="shared" si="108"/>
        <v>1.2034000703529581E-2</v>
      </c>
      <c r="BQ286" s="32">
        <f t="shared" si="109"/>
        <v>0.18681058389505839</v>
      </c>
      <c r="BR286" s="32">
        <f t="shared" si="110"/>
        <v>0.78710664807218578</v>
      </c>
      <c r="BT286" s="62">
        <f t="shared" si="111"/>
        <v>0.99999999999999989</v>
      </c>
      <c r="BW286" s="32">
        <f>IF(AP286="Ja",VLOOKUP(B286,Miljövärden!$B$2:$H$551,MATCH("Total andel fossilt",Miljövärden!$B$2:$H$2,0),FALSE),"")</f>
        <v>1.5902699999999999E-2</v>
      </c>
      <c r="BX286" s="62">
        <f t="shared" si="112"/>
        <v>1.8539326707738418E-3</v>
      </c>
      <c r="BZ286" s="31">
        <f t="shared" si="113"/>
        <v>1.8539326707738418E-3</v>
      </c>
      <c r="CA286" s="32">
        <f t="shared" si="114"/>
        <v>2E-3</v>
      </c>
    </row>
    <row r="287" spans="1:79" x14ac:dyDescent="0.45">
      <c r="A287" s="31" t="s">
        <v>305</v>
      </c>
      <c r="B287" s="31" t="s">
        <v>304</v>
      </c>
      <c r="C287" s="31">
        <f>VLOOKUP($B287,'Tillförd energi'!$B$1:$AI$720,MATCH(C$1,'Tillförd energi'!$B$1:$AQ$1,0),FALSE)</f>
        <v>0</v>
      </c>
      <c r="D287" s="31">
        <f>VLOOKUP($B287,'Tillförd energi'!$B$1:$AI$720,MATCH(D$1,'Tillförd energi'!$B$1:$AQ$1,0),FALSE)</f>
        <v>0.754</v>
      </c>
      <c r="E287" s="31">
        <f>VLOOKUP($B287,'Tillförd energi'!$B$1:$AI$720,MATCH(E$1,'Tillförd energi'!$B$1:$AQ$1,0),FALSE)</f>
        <v>0</v>
      </c>
      <c r="F287" s="31">
        <f>VLOOKUP($B287,'Tillförd energi'!$B$1:$AI$720,MATCH(F$1,'Tillförd energi'!$B$1:$AQ$1,0),FALSE)</f>
        <v>0</v>
      </c>
      <c r="G287" s="31">
        <f>VLOOKUP($B287,'Tillförd energi'!$B$1:$AI$720,MATCH(G$1,'Tillförd energi'!$B$1:$AQ$1,0),FALSE)</f>
        <v>0</v>
      </c>
      <c r="H287" s="31">
        <f>VLOOKUP($B287,'Tillförd energi'!$B$1:$AI$720,MATCH(H$1,'Tillförd energi'!$B$1:$AQ$1,0),FALSE)</f>
        <v>0</v>
      </c>
      <c r="I287" s="31">
        <f>VLOOKUP($B287,'Tillförd energi'!$B$1:$AI$720,MATCH(I$1,'Tillförd energi'!$B$1:$AQ$1,0),FALSE)</f>
        <v>0</v>
      </c>
      <c r="J287" s="31">
        <f>VLOOKUP($B287,'Tillförd energi'!$B$1:$AI$720,MATCH(J$1,'Tillförd energi'!$B$1:$AQ$1,0),FALSE)</f>
        <v>0</v>
      </c>
      <c r="K287" s="31">
        <f>VLOOKUP($B287,'Tillförd energi'!$B$1:$AI$720,MATCH(K$1,'Tillförd energi'!$B$1:$AQ$1,0),FALSE)</f>
        <v>0</v>
      </c>
      <c r="L287" s="31">
        <f>VLOOKUP($B287,'Tillförd energi'!$B$1:$AI$720,MATCH(L$1,'Tillförd energi'!$B$1:$AQ$1,0),FALSE)</f>
        <v>0</v>
      </c>
      <c r="M287" s="31">
        <f>VLOOKUP($B287,'Tillförd energi'!$B$1:$AI$720,MATCH(M$1,'Tillförd energi'!$B$1:$AQ$1,0),FALSE)</f>
        <v>0</v>
      </c>
      <c r="N287" s="31">
        <f>VLOOKUP($B287,'Tillförd energi'!$B$1:$AI$720,MATCH(N$1,'Tillförd energi'!$B$1:$AQ$1,0),FALSE)</f>
        <v>0</v>
      </c>
      <c r="O287" s="31">
        <f>VLOOKUP($B287,'Tillförd energi'!$B$1:$AI$720,MATCH(O$1,'Tillförd energi'!$B$1:$AQ$1,0),FALSE)</f>
        <v>0</v>
      </c>
      <c r="P287" s="31">
        <f>VLOOKUP($B287,'Tillförd energi'!$B$1:$AI$720,MATCH(P$1,'Tillförd energi'!$B$1:$AQ$1,0),FALSE)</f>
        <v>0</v>
      </c>
      <c r="Q287" s="31">
        <f>VLOOKUP($B287,'Tillförd energi'!$B$1:$AI$720,MATCH(Q$1,'Tillförd energi'!$B$1:$AQ$1,0),FALSE)</f>
        <v>0</v>
      </c>
      <c r="R287" s="31">
        <f>VLOOKUP($B287,'Tillförd energi'!$B$1:$AI$720,MATCH(R$1,'Tillförd energi'!$B$1:$AQ$1,0),FALSE)</f>
        <v>7.99</v>
      </c>
      <c r="S287" s="31">
        <f>VLOOKUP($B287,'Tillförd energi'!$B$1:$AI$720,MATCH(S$1,'Tillförd energi'!$B$1:$AQ$1,0),FALSE)</f>
        <v>0</v>
      </c>
      <c r="T287" s="31">
        <f>VLOOKUP($B287,'Tillförd energi'!$B$1:$AI$720,MATCH(T$1,'Tillförd energi'!$B$1:$AQ$1,0),FALSE)</f>
        <v>0</v>
      </c>
      <c r="U287" s="31">
        <f>VLOOKUP($B287,'Tillförd energi'!$B$1:$AI$720,MATCH(U$1,'Tillförd energi'!$B$1:$AQ$1,0),FALSE)</f>
        <v>0</v>
      </c>
      <c r="V287" s="31">
        <f>VLOOKUP($B287,'Tillförd energi'!$B$1:$AI$720,MATCH(V$1,'Tillförd energi'!$B$1:$AQ$1,0),FALSE)</f>
        <v>0</v>
      </c>
      <c r="W287" s="31">
        <f>VLOOKUP($B287,'Tillförd energi'!$B$1:$AI$720,MATCH(W$1,'Tillförd energi'!$B$1:$AQ$1,0),FALSE)</f>
        <v>0</v>
      </c>
      <c r="X287" s="31">
        <f>VLOOKUP($B287,'Tillförd energi'!$B$1:$AI$720,MATCH(X$1,'Tillförd energi'!$B$1:$AQ$1,0),FALSE)</f>
        <v>0</v>
      </c>
      <c r="Y287" s="31">
        <f>VLOOKUP($B287,'Tillförd energi'!$B$1:$AI$720,MATCH(Y$1,'Tillförd energi'!$B$1:$AQ$1,0),FALSE)</f>
        <v>0</v>
      </c>
      <c r="Z287" s="31">
        <f>VLOOKUP($B287,'Tillförd energi'!$B$1:$AI$720,MATCH(Z$1,'Tillförd energi'!$B$1:$AQ$1,0),FALSE)</f>
        <v>0</v>
      </c>
      <c r="AA287" s="31">
        <f>VLOOKUP($B287,'Tillförd energi'!$B$1:$AI$720,MATCH(AA$1,'Tillförd energi'!$B$1:$AQ$1,0),FALSE)</f>
        <v>0</v>
      </c>
      <c r="AB287" s="31">
        <f>VLOOKUP($B287,'Tillförd energi'!$B$1:$AI$720,MATCH(AB$1,'Tillförd energi'!$B$1:$AQ$1,0),FALSE)</f>
        <v>0</v>
      </c>
      <c r="AC287" s="31">
        <f>VLOOKUP($B287,'Tillförd energi'!$B$1:$AI$720,MATCH(AC$1,'Tillförd energi'!$B$1:$AQ$1,0),FALSE)</f>
        <v>0</v>
      </c>
      <c r="AD287" s="31">
        <f>VLOOKUP($B287,'Tillförd energi'!$B$1:$AI$720,MATCH(AD$1,'Tillförd energi'!$B$1:$AQ$1,0),FALSE)</f>
        <v>0</v>
      </c>
      <c r="AE287" s="31">
        <f>VLOOKUP($B287,'Tillförd energi'!$B$1:$AI$720,MATCH(AE$1,'Tillförd energi'!$B$1:$AQ$1,0),FALSE)</f>
        <v>0</v>
      </c>
      <c r="AF287" s="31">
        <f>VLOOKUP($B287,'Tillförd energi'!$B$1:$AI$720,MATCH(AF$1,'Tillförd energi'!$B$1:$AQ$1,0),FALSE)</f>
        <v>0.1</v>
      </c>
      <c r="AG287" s="31">
        <f>IFERROR(VLOOKUP(B287,Miljö!$B$1:$AC$550,MATCH("Köpt mängd produktionsspecifik fjärrvärme:",Miljö!$B$1:$AC$1,0),FALSE)/1,0)</f>
        <v>0</v>
      </c>
      <c r="AI287" s="31">
        <f t="shared" si="92"/>
        <v>8.8439999999999994</v>
      </c>
      <c r="AJ287" s="31">
        <f t="shared" si="93"/>
        <v>8.8439999999999994</v>
      </c>
      <c r="AK287" s="31">
        <f>IF(ISERROR(1/VLOOKUP($B287,Leveranser!$B$1:$S$499,MATCH("Såld värme (GWh)",Leveranser!$B$1:$S$1,0),FALSE)),"",VLOOKUP($B287,Leveranser!$B$1:$S$499,MATCH("Såld värme (GWh)",Leveranser!$B$1:$S$1,0),FALSE))</f>
        <v>6.4119999999999999</v>
      </c>
      <c r="AL287" s="31">
        <f>VLOOKUP($B287,Leveranser!$B$1:$Y$499,MATCH("Totalt såld fjärrvärme till andra fjärrvärmeföretag",Leveranser!$B$1:$AA$1,0),FALSE)</f>
        <v>0</v>
      </c>
      <c r="AM287" s="31">
        <f>IF(ISERROR(1/VLOOKUP($B287,Miljö!$B$1:$S$500,MATCH("Såld mängd produktionsspecifik fjärrvärme (GWh)",Miljö!$B$1:$R$1,0),FALSE)),0,VLOOKUP($B287,Miljö!$B$1:$S$500,MATCH("Såld mängd produktionsspecifik fjärrvärme (GWh)",Miljö!$B$1:$R$1,0),FALSE))</f>
        <v>0</v>
      </c>
      <c r="AN287" s="32">
        <f t="shared" si="94"/>
        <v>0.72501130710085937</v>
      </c>
      <c r="AP287" s="31" t="str">
        <f>IFERROR(VLOOKUP($B287,Miljövärden!$B$2:$H$550,7,FALSE),"Nej, saknas")</f>
        <v>Ja</v>
      </c>
      <c r="AQ287" s="31" t="str">
        <f>IFERROR(VLOOKUP($B287,Miljövärden!$B$2:$H$551,6,FALSE),"Nej, saknas")</f>
        <v>Nej</v>
      </c>
      <c r="AU287" s="31">
        <f t="shared" si="95"/>
        <v>0.1</v>
      </c>
      <c r="AV287" s="31">
        <f t="shared" si="96"/>
        <v>0</v>
      </c>
      <c r="AW287" s="31">
        <f t="shared" si="97"/>
        <v>0</v>
      </c>
      <c r="AX287" s="31">
        <f t="shared" si="98"/>
        <v>7.99</v>
      </c>
      <c r="AZ287" s="31">
        <f t="shared" si="99"/>
        <v>7.99</v>
      </c>
      <c r="BC287" s="31">
        <f t="shared" si="100"/>
        <v>0.754</v>
      </c>
      <c r="BD287" s="31">
        <f t="shared" si="101"/>
        <v>0</v>
      </c>
      <c r="BE287" s="31">
        <f t="shared" si="102"/>
        <v>7.99</v>
      </c>
      <c r="BF287" s="31">
        <f t="shared" si="103"/>
        <v>0</v>
      </c>
      <c r="BG287" s="31">
        <f t="shared" si="104"/>
        <v>0.1</v>
      </c>
      <c r="BH287" s="31">
        <f>VLOOKUP(B287,Miljö!$B$1:$BX$482,MATCH("Fossilandel för ursprungspecificerad el ()",Miljö!$B$1:$I$1,0),FALSE)</f>
        <v>0</v>
      </c>
      <c r="BI287" s="31">
        <f>VLOOKUP(B287,Miljö!$B$1:$BX$482,MATCH("Kärnkraftsandel för ursprungsspecificerad el ()",Miljö!$B$1:$O$1,0),FALSE)</f>
        <v>0</v>
      </c>
      <c r="BJ287" s="31">
        <f t="shared" si="105"/>
        <v>0</v>
      </c>
      <c r="BK287" s="31" t="str">
        <f>VLOOKUP(B287,Miljö!$B$1:$P$482,MATCH("Fossil andel i procent (%)",Miljö!$B$1:$P$1,0),FALSE)</f>
        <v>ET</v>
      </c>
      <c r="BL287" s="31">
        <f t="shared" si="106"/>
        <v>8.8439999999999994</v>
      </c>
      <c r="BO287" s="32">
        <f t="shared" si="107"/>
        <v>8.5255540479421077E-2</v>
      </c>
      <c r="BP287" s="32">
        <f t="shared" si="108"/>
        <v>0</v>
      </c>
      <c r="BQ287" s="32">
        <f t="shared" si="109"/>
        <v>0.91474445952057892</v>
      </c>
      <c r="BR287" s="32">
        <f t="shared" si="110"/>
        <v>0</v>
      </c>
      <c r="BT287" s="62">
        <f t="shared" si="111"/>
        <v>1</v>
      </c>
      <c r="BW287" s="32">
        <f>IF(AP287="Ja",VLOOKUP(B287,Miljövärden!$B$2:$H$551,MATCH("Total andel fossilt",Miljövärden!$B$2:$H$2,0),FALSE),"")</f>
        <v>8.5255499999999998E-2</v>
      </c>
      <c r="BX287" s="62">
        <f t="shared" si="112"/>
        <v>-4.0479421078987166E-8</v>
      </c>
      <c r="BZ287" s="31">
        <f t="shared" si="113"/>
        <v>-4.0479421078987166E-8</v>
      </c>
      <c r="CA287" s="32">
        <f t="shared" si="114"/>
        <v>0</v>
      </c>
    </row>
    <row r="288" spans="1:79" x14ac:dyDescent="0.45">
      <c r="A288" s="31" t="s">
        <v>305</v>
      </c>
      <c r="B288" s="31" t="s">
        <v>306</v>
      </c>
      <c r="C288" s="31">
        <f>VLOOKUP($B288,'Tillförd energi'!$B$1:$AI$720,MATCH(C$1,'Tillförd energi'!$B$1:$AQ$1,0),FALSE)</f>
        <v>0</v>
      </c>
      <c r="D288" s="31">
        <f>VLOOKUP($B288,'Tillförd energi'!$B$1:$AI$720,MATCH(D$1,'Tillförd energi'!$B$1:$AQ$1,0),FALSE)</f>
        <v>0.184</v>
      </c>
      <c r="E288" s="31">
        <f>VLOOKUP($B288,'Tillförd energi'!$B$1:$AI$720,MATCH(E$1,'Tillförd energi'!$B$1:$AQ$1,0),FALSE)</f>
        <v>0</v>
      </c>
      <c r="F288" s="31">
        <f>VLOOKUP($B288,'Tillförd energi'!$B$1:$AI$720,MATCH(F$1,'Tillförd energi'!$B$1:$AQ$1,0),FALSE)</f>
        <v>1.1180000000000001</v>
      </c>
      <c r="G288" s="31">
        <f>VLOOKUP($B288,'Tillförd energi'!$B$1:$AI$720,MATCH(G$1,'Tillförd energi'!$B$1:$AQ$1,0),FALSE)</f>
        <v>0</v>
      </c>
      <c r="H288" s="31">
        <f>VLOOKUP($B288,'Tillförd energi'!$B$1:$AI$720,MATCH(H$1,'Tillförd energi'!$B$1:$AQ$1,0),FALSE)</f>
        <v>0</v>
      </c>
      <c r="I288" s="31">
        <f>VLOOKUP($B288,'Tillförd energi'!$B$1:$AI$720,MATCH(I$1,'Tillförd energi'!$B$1:$AQ$1,0),FALSE)</f>
        <v>119.622</v>
      </c>
      <c r="J288" s="31">
        <f>VLOOKUP($B288,'Tillförd energi'!$B$1:$AI$720,MATCH(J$1,'Tillförd energi'!$B$1:$AQ$1,0),FALSE)</f>
        <v>0</v>
      </c>
      <c r="K288" s="31">
        <f>VLOOKUP($B288,'Tillförd energi'!$B$1:$AI$720,MATCH(K$1,'Tillförd energi'!$B$1:$AQ$1,0),FALSE)</f>
        <v>0</v>
      </c>
      <c r="L288" s="31">
        <f>VLOOKUP($B288,'Tillförd energi'!$B$1:$AI$720,MATCH(L$1,'Tillförd energi'!$B$1:$AQ$1,0),FALSE)</f>
        <v>0</v>
      </c>
      <c r="M288" s="31">
        <f>VLOOKUP($B288,'Tillförd energi'!$B$1:$AI$720,MATCH(M$1,'Tillförd energi'!$B$1:$AQ$1,0),FALSE)</f>
        <v>0</v>
      </c>
      <c r="N288" s="31">
        <f>VLOOKUP($B288,'Tillförd energi'!$B$1:$AI$720,MATCH(N$1,'Tillförd energi'!$B$1:$AQ$1,0),FALSE)</f>
        <v>0</v>
      </c>
      <c r="O288" s="31">
        <f>VLOOKUP($B288,'Tillförd energi'!$B$1:$AI$720,MATCH(O$1,'Tillförd energi'!$B$1:$AQ$1,0),FALSE)</f>
        <v>0</v>
      </c>
      <c r="P288" s="31">
        <f>VLOOKUP($B288,'Tillförd energi'!$B$1:$AI$720,MATCH(P$1,'Tillförd energi'!$B$1:$AQ$1,0),FALSE)</f>
        <v>0</v>
      </c>
      <c r="Q288" s="31">
        <f>VLOOKUP($B288,'Tillförd energi'!$B$1:$AI$720,MATCH(Q$1,'Tillförd energi'!$B$1:$AQ$1,0),FALSE)</f>
        <v>0</v>
      </c>
      <c r="R288" s="31">
        <f>VLOOKUP($B288,'Tillförd energi'!$B$1:$AI$720,MATCH(R$1,'Tillförd energi'!$B$1:$AQ$1,0),FALSE)</f>
        <v>0</v>
      </c>
      <c r="S288" s="31">
        <f>VLOOKUP($B288,'Tillförd energi'!$B$1:$AI$720,MATCH(S$1,'Tillförd energi'!$B$1:$AQ$1,0),FALSE)</f>
        <v>0</v>
      </c>
      <c r="T288" s="31">
        <f>VLOOKUP($B288,'Tillförd energi'!$B$1:$AI$720,MATCH(T$1,'Tillförd energi'!$B$1:$AQ$1,0),FALSE)</f>
        <v>0</v>
      </c>
      <c r="U288" s="31">
        <f>VLOOKUP($B288,'Tillförd energi'!$B$1:$AI$720,MATCH(U$1,'Tillförd energi'!$B$1:$AQ$1,0),FALSE)</f>
        <v>7.2999999999999995E-2</v>
      </c>
      <c r="V288" s="31">
        <f>VLOOKUP($B288,'Tillförd energi'!$B$1:$AI$720,MATCH(V$1,'Tillförd energi'!$B$1:$AQ$1,0),FALSE)</f>
        <v>0</v>
      </c>
      <c r="W288" s="31">
        <f>VLOOKUP($B288,'Tillförd energi'!$B$1:$AI$720,MATCH(W$1,'Tillförd energi'!$B$1:$AQ$1,0),FALSE)</f>
        <v>0</v>
      </c>
      <c r="X288" s="31">
        <f>VLOOKUP($B288,'Tillförd energi'!$B$1:$AI$720,MATCH(X$1,'Tillförd energi'!$B$1:$AQ$1,0),FALSE)</f>
        <v>0</v>
      </c>
      <c r="Y288" s="31">
        <f>VLOOKUP($B288,'Tillförd energi'!$B$1:$AI$720,MATCH(Y$1,'Tillförd energi'!$B$1:$AQ$1,0),FALSE)</f>
        <v>0</v>
      </c>
      <c r="Z288" s="31">
        <f>VLOOKUP($B288,'Tillförd energi'!$B$1:$AI$720,MATCH(Z$1,'Tillförd energi'!$B$1:$AQ$1,0),FALSE)</f>
        <v>32.424999999999997</v>
      </c>
      <c r="AA288" s="31">
        <f>VLOOKUP($B288,'Tillförd energi'!$B$1:$AI$720,MATCH(AA$1,'Tillförd energi'!$B$1:$AQ$1,0),FALSE)</f>
        <v>0</v>
      </c>
      <c r="AB288" s="31">
        <f>VLOOKUP($B288,'Tillförd energi'!$B$1:$AI$720,MATCH(AB$1,'Tillförd energi'!$B$1:$AQ$1,0),FALSE)</f>
        <v>0</v>
      </c>
      <c r="AC288" s="31">
        <f>VLOOKUP($B288,'Tillförd energi'!$B$1:$AI$720,MATCH(AC$1,'Tillförd energi'!$B$1:$AQ$1,0),FALSE)</f>
        <v>0</v>
      </c>
      <c r="AD288" s="31">
        <f>VLOOKUP($B288,'Tillförd energi'!$B$1:$AI$720,MATCH(AD$1,'Tillförd energi'!$B$1:$AQ$1,0),FALSE)</f>
        <v>0</v>
      </c>
      <c r="AE288" s="31">
        <f>VLOOKUP($B288,'Tillförd energi'!$B$1:$AI$720,MATCH(AE$1,'Tillförd energi'!$B$1:$AQ$1,0),FALSE)</f>
        <v>0</v>
      </c>
      <c r="AF288" s="31">
        <f>VLOOKUP($B288,'Tillförd energi'!$B$1:$AI$720,MATCH(AF$1,'Tillförd energi'!$B$1:$AQ$1,0),FALSE)</f>
        <v>2.6126</v>
      </c>
      <c r="AG288" s="31">
        <f>IFERROR(VLOOKUP(B288,Miljö!$B$1:$AC$550,MATCH("Köpt mängd produktionsspecifik fjärrvärme:",Miljö!$B$1:$AC$1,0),FALSE)/1,0)</f>
        <v>0</v>
      </c>
      <c r="AI288" s="31">
        <f t="shared" si="92"/>
        <v>156.03459999999998</v>
      </c>
      <c r="AJ288" s="31">
        <f t="shared" si="93"/>
        <v>156.03459999999998</v>
      </c>
      <c r="AK288" s="31">
        <f>IF(ISERROR(1/VLOOKUP($B288,Leveranser!$B$1:$S$499,MATCH("Såld värme (GWh)",Leveranser!$B$1:$S$1,0),FALSE)),"",VLOOKUP($B288,Leveranser!$B$1:$S$499,MATCH("Såld värme (GWh)",Leveranser!$B$1:$S$1,0),FALSE))</f>
        <v>131.49600000000001</v>
      </c>
      <c r="AL288" s="31">
        <f>VLOOKUP($B288,Leveranser!$B$1:$Y$499,MATCH("Totalt såld fjärrvärme till andra fjärrvärmeföretag",Leveranser!$B$1:$AA$1,0),FALSE)</f>
        <v>0</v>
      </c>
      <c r="AM288" s="31">
        <f>IF(ISERROR(1/VLOOKUP($B288,Miljö!$B$1:$S$500,MATCH("Såld mängd produktionsspecifik fjärrvärme (GWh)",Miljö!$B$1:$R$1,0),FALSE)),0,VLOOKUP($B288,Miljö!$B$1:$S$500,MATCH("Såld mängd produktionsspecifik fjärrvärme (GWh)",Miljö!$B$1:$R$1,0),FALSE))</f>
        <v>0</v>
      </c>
      <c r="AN288" s="32">
        <f t="shared" si="94"/>
        <v>0.84273616236398863</v>
      </c>
      <c r="AP288" s="31" t="str">
        <f>IFERROR(VLOOKUP($B288,Miljövärden!$B$2:$H$550,7,FALSE),"Nej, saknas")</f>
        <v>Ja</v>
      </c>
      <c r="AQ288" s="31" t="str">
        <f>IFERROR(VLOOKUP($B288,Miljövärden!$B$2:$H$551,6,FALSE),"Nej, saknas")</f>
        <v>Ja</v>
      </c>
      <c r="AU288" s="31">
        <f t="shared" si="95"/>
        <v>35.037599999999998</v>
      </c>
      <c r="AV288" s="31">
        <f t="shared" si="96"/>
        <v>0</v>
      </c>
      <c r="AW288" s="31">
        <f t="shared" si="97"/>
        <v>0</v>
      </c>
      <c r="AX288" s="31">
        <f t="shared" si="98"/>
        <v>7.2999999999999995E-2</v>
      </c>
      <c r="AZ288" s="31">
        <f t="shared" si="99"/>
        <v>7.2999999999999995E-2</v>
      </c>
      <c r="BC288" s="31">
        <f t="shared" si="100"/>
        <v>1.302</v>
      </c>
      <c r="BD288" s="31">
        <f t="shared" si="101"/>
        <v>0</v>
      </c>
      <c r="BE288" s="31">
        <f t="shared" si="102"/>
        <v>7.2999999999999995E-2</v>
      </c>
      <c r="BF288" s="31">
        <f t="shared" si="103"/>
        <v>119.622</v>
      </c>
      <c r="BG288" s="31">
        <f t="shared" si="104"/>
        <v>35.037599999999998</v>
      </c>
      <c r="BH288" s="31">
        <f>VLOOKUP(B288,Miljö!$B$1:$BX$482,MATCH("Fossilandel för ursprungspecificerad el ()",Miljö!$B$1:$I$1,0),FALSE)</f>
        <v>0.35</v>
      </c>
      <c r="BI288" s="31">
        <f>VLOOKUP(B288,Miljö!$B$1:$BX$482,MATCH("Kärnkraftsandel för ursprungsspecificerad el ()",Miljö!$B$1:$O$1,0),FALSE)</f>
        <v>0.3977</v>
      </c>
      <c r="BJ288" s="31">
        <f t="shared" si="105"/>
        <v>0</v>
      </c>
      <c r="BK288" s="31" t="str">
        <f>VLOOKUP(B288,Miljö!$B$1:$P$482,MATCH("Fossil andel i procent (%)",Miljö!$B$1:$P$1,0),FALSE)</f>
        <v>ET</v>
      </c>
      <c r="BL288" s="31">
        <f t="shared" si="106"/>
        <v>156.03460000000001</v>
      </c>
      <c r="BO288" s="32">
        <f t="shared" si="107"/>
        <v>8.6936871693842246E-2</v>
      </c>
      <c r="BP288" s="32">
        <f t="shared" si="108"/>
        <v>8.9303612916622324E-2</v>
      </c>
      <c r="BQ288" s="32">
        <f t="shared" si="109"/>
        <v>5.7121859382470296E-2</v>
      </c>
      <c r="BR288" s="32">
        <f t="shared" si="110"/>
        <v>0.76663765600706502</v>
      </c>
      <c r="BT288" s="62">
        <f t="shared" si="111"/>
        <v>0.99999999999999989</v>
      </c>
      <c r="BW288" s="32">
        <f>IF(AP288="Ja",VLOOKUP(B288,Miljövärden!$B$2:$H$551,MATCH("Total andel fossilt",Miljövärden!$B$2:$H$2,0),FALSE),"")</f>
        <v>8.6936299999999994E-2</v>
      </c>
      <c r="BX288" s="62">
        <f t="shared" si="112"/>
        <v>-5.7169384225230768E-7</v>
      </c>
      <c r="BZ288" s="31">
        <f t="shared" si="113"/>
        <v>-5.7169384225230768E-7</v>
      </c>
      <c r="CA288" s="32">
        <f t="shared" si="114"/>
        <v>0</v>
      </c>
    </row>
    <row r="289" spans="1:79" hidden="1" x14ac:dyDescent="0.45">
      <c r="A289" s="31" t="s">
        <v>305</v>
      </c>
      <c r="B289" s="31" t="s">
        <v>307</v>
      </c>
      <c r="C289" s="31">
        <f>VLOOKUP($B289,'Tillförd energi'!$B$1:$AI$720,MATCH(C$1,'Tillförd energi'!$B$1:$AQ$1,0),FALSE)</f>
        <v>0</v>
      </c>
      <c r="D289" s="31">
        <f>VLOOKUP($B289,'Tillförd energi'!$B$1:$AI$720,MATCH(D$1,'Tillförd energi'!$B$1:$AQ$1,0),FALSE)</f>
        <v>0</v>
      </c>
      <c r="E289" s="31">
        <f>VLOOKUP($B289,'Tillförd energi'!$B$1:$AI$720,MATCH(E$1,'Tillförd energi'!$B$1:$AQ$1,0),FALSE)</f>
        <v>0</v>
      </c>
      <c r="F289" s="31">
        <f>VLOOKUP($B289,'Tillförd energi'!$B$1:$AI$720,MATCH(F$1,'Tillförd energi'!$B$1:$AQ$1,0),FALSE)</f>
        <v>0</v>
      </c>
      <c r="G289" s="31">
        <f>VLOOKUP($B289,'Tillförd energi'!$B$1:$AI$720,MATCH(G$1,'Tillförd energi'!$B$1:$AQ$1,0),FALSE)</f>
        <v>0</v>
      </c>
      <c r="H289" s="31">
        <f>VLOOKUP($B289,'Tillförd energi'!$B$1:$AI$720,MATCH(H$1,'Tillförd energi'!$B$1:$AQ$1,0),FALSE)</f>
        <v>0</v>
      </c>
      <c r="I289" s="31">
        <f>VLOOKUP($B289,'Tillförd energi'!$B$1:$AI$720,MATCH(I$1,'Tillförd energi'!$B$1:$AQ$1,0),FALSE)</f>
        <v>0</v>
      </c>
      <c r="J289" s="31">
        <f>VLOOKUP($B289,'Tillförd energi'!$B$1:$AI$720,MATCH(J$1,'Tillförd energi'!$B$1:$AQ$1,0),FALSE)</f>
        <v>0</v>
      </c>
      <c r="K289" s="31">
        <f>VLOOKUP($B289,'Tillförd energi'!$B$1:$AI$720,MATCH(K$1,'Tillförd energi'!$B$1:$AQ$1,0),FALSE)</f>
        <v>0</v>
      </c>
      <c r="L289" s="31">
        <f>VLOOKUP($B289,'Tillförd energi'!$B$1:$AI$720,MATCH(L$1,'Tillförd energi'!$B$1:$AQ$1,0),FALSE)</f>
        <v>0</v>
      </c>
      <c r="M289" s="31">
        <f>VLOOKUP($B289,'Tillförd energi'!$B$1:$AI$720,MATCH(M$1,'Tillförd energi'!$B$1:$AQ$1,0),FALSE)</f>
        <v>0</v>
      </c>
      <c r="N289" s="31">
        <f>VLOOKUP($B289,'Tillförd energi'!$B$1:$AI$720,MATCH(N$1,'Tillförd energi'!$B$1:$AQ$1,0),FALSE)</f>
        <v>0</v>
      </c>
      <c r="O289" s="31">
        <f>VLOOKUP($B289,'Tillförd energi'!$B$1:$AI$720,MATCH(O$1,'Tillförd energi'!$B$1:$AQ$1,0),FALSE)</f>
        <v>0</v>
      </c>
      <c r="P289" s="31">
        <f>VLOOKUP($B289,'Tillförd energi'!$B$1:$AI$720,MATCH(P$1,'Tillförd energi'!$B$1:$AQ$1,0),FALSE)</f>
        <v>0</v>
      </c>
      <c r="Q289" s="31">
        <f>VLOOKUP($B289,'Tillförd energi'!$B$1:$AI$720,MATCH(Q$1,'Tillförd energi'!$B$1:$AQ$1,0),FALSE)</f>
        <v>0</v>
      </c>
      <c r="R289" s="31">
        <f>VLOOKUP($B289,'Tillförd energi'!$B$1:$AI$720,MATCH(R$1,'Tillförd energi'!$B$1:$AQ$1,0),FALSE)</f>
        <v>0</v>
      </c>
      <c r="S289" s="31">
        <f>VLOOKUP($B289,'Tillförd energi'!$B$1:$AI$720,MATCH(S$1,'Tillförd energi'!$B$1:$AQ$1,0),FALSE)</f>
        <v>0</v>
      </c>
      <c r="T289" s="31">
        <f>VLOOKUP($B289,'Tillförd energi'!$B$1:$AI$720,MATCH(T$1,'Tillförd energi'!$B$1:$AQ$1,0),FALSE)</f>
        <v>0</v>
      </c>
      <c r="U289" s="31">
        <f>VLOOKUP($B289,'Tillförd energi'!$B$1:$AI$720,MATCH(U$1,'Tillförd energi'!$B$1:$AQ$1,0),FALSE)</f>
        <v>0</v>
      </c>
      <c r="V289" s="31">
        <f>VLOOKUP($B289,'Tillförd energi'!$B$1:$AI$720,MATCH(V$1,'Tillförd energi'!$B$1:$AQ$1,0),FALSE)</f>
        <v>0</v>
      </c>
      <c r="W289" s="31">
        <f>VLOOKUP($B289,'Tillförd energi'!$B$1:$AI$720,MATCH(W$1,'Tillförd energi'!$B$1:$AQ$1,0),FALSE)</f>
        <v>0</v>
      </c>
      <c r="X289" s="31">
        <f>VLOOKUP($B289,'Tillförd energi'!$B$1:$AI$720,MATCH(X$1,'Tillförd energi'!$B$1:$AQ$1,0),FALSE)</f>
        <v>0</v>
      </c>
      <c r="Y289" s="31">
        <f>VLOOKUP($B289,'Tillförd energi'!$B$1:$AI$720,MATCH(Y$1,'Tillförd energi'!$B$1:$AQ$1,0),FALSE)</f>
        <v>0</v>
      </c>
      <c r="Z289" s="31">
        <f>VLOOKUP($B289,'Tillförd energi'!$B$1:$AI$720,MATCH(Z$1,'Tillförd energi'!$B$1:$AQ$1,0),FALSE)</f>
        <v>0</v>
      </c>
      <c r="AA289" s="31">
        <f>VLOOKUP($B289,'Tillförd energi'!$B$1:$AI$720,MATCH(AA$1,'Tillförd energi'!$B$1:$AQ$1,0),FALSE)</f>
        <v>0</v>
      </c>
      <c r="AB289" s="31">
        <f>VLOOKUP($B289,'Tillförd energi'!$B$1:$AI$720,MATCH(AB$1,'Tillförd energi'!$B$1:$AQ$1,0),FALSE)</f>
        <v>0</v>
      </c>
      <c r="AC289" s="31">
        <f>VLOOKUP($B289,'Tillförd energi'!$B$1:$AI$720,MATCH(AC$1,'Tillförd energi'!$B$1:$AQ$1,0),FALSE)</f>
        <v>0</v>
      </c>
      <c r="AD289" s="31">
        <f>VLOOKUP($B289,'Tillförd energi'!$B$1:$AI$720,MATCH(AD$1,'Tillförd energi'!$B$1:$AQ$1,0),FALSE)</f>
        <v>0</v>
      </c>
      <c r="AE289" s="31">
        <f>VLOOKUP($B289,'Tillförd energi'!$B$1:$AI$720,MATCH(AE$1,'Tillförd energi'!$B$1:$AQ$1,0),FALSE)</f>
        <v>0</v>
      </c>
      <c r="AF289" s="31">
        <f>VLOOKUP($B289,'Tillförd energi'!$B$1:$AI$720,MATCH(AF$1,'Tillförd energi'!$B$1:$AQ$1,0),FALSE)</f>
        <v>0</v>
      </c>
      <c r="AG289" s="31">
        <f>IFERROR(VLOOKUP(B289,Miljö!$B$1:$AC$550,MATCH("Köpt mängd produktionsspecifik fjärrvärme:",Miljö!$B$1:$AC$1,0),FALSE)/1,0)</f>
        <v>0</v>
      </c>
      <c r="AI289" s="31">
        <f t="shared" si="92"/>
        <v>0</v>
      </c>
      <c r="AJ289" s="31">
        <f t="shared" si="93"/>
        <v>0</v>
      </c>
      <c r="AK289" s="31" t="str">
        <f>IF(ISERROR(1/VLOOKUP($B289,Leveranser!$B$1:$S$499,MATCH("Såld värme (GWh)",Leveranser!$B$1:$S$1,0),FALSE)),"",VLOOKUP($B289,Leveranser!$B$1:$S$499,MATCH("Såld värme (GWh)",Leveranser!$B$1:$S$1,0),FALSE))</f>
        <v/>
      </c>
      <c r="AL289" s="31">
        <f>VLOOKUP($B289,Leveranser!$B$1:$Y$499,MATCH("Totalt såld fjärrvärme till andra fjärrvärmeföretag",Leveranser!$B$1:$AA$1,0),FALSE)</f>
        <v>0</v>
      </c>
      <c r="AM289" s="31">
        <f>IF(ISERROR(1/VLOOKUP($B289,Miljö!$B$1:$S$500,MATCH("Såld mängd produktionsspecifik fjärrvärme (GWh)",Miljö!$B$1:$R$1,0),FALSE)),0,VLOOKUP($B289,Miljö!$B$1:$S$500,MATCH("Såld mängd produktionsspecifik fjärrvärme (GWh)",Miljö!$B$1:$R$1,0),FALSE))</f>
        <v>0</v>
      </c>
      <c r="AN289" s="32" t="str">
        <f t="shared" si="94"/>
        <v/>
      </c>
      <c r="AP289" s="31" t="str">
        <f>IFERROR(VLOOKUP($B289,Miljövärden!$B$2:$H$550,7,FALSE),"Nej, saknas")</f>
        <v>Nej</v>
      </c>
      <c r="AQ289" s="31" t="str">
        <f>IFERROR(VLOOKUP($B289,Miljövärden!$B$2:$H$551,6,FALSE),"Nej, saknas")</f>
        <v>Nej</v>
      </c>
      <c r="AU289" s="31">
        <f t="shared" si="95"/>
        <v>0</v>
      </c>
      <c r="AV289" s="31">
        <f t="shared" si="96"/>
        <v>0</v>
      </c>
      <c r="AW289" s="31">
        <f t="shared" si="97"/>
        <v>0</v>
      </c>
      <c r="AX289" s="31">
        <f t="shared" si="98"/>
        <v>0</v>
      </c>
      <c r="AZ289" s="31">
        <f t="shared" si="99"/>
        <v>0</v>
      </c>
      <c r="BC289" s="31">
        <f t="shared" si="100"/>
        <v>0</v>
      </c>
      <c r="BD289" s="31">
        <f t="shared" si="101"/>
        <v>0</v>
      </c>
      <c r="BE289" s="31">
        <f t="shared" si="102"/>
        <v>0</v>
      </c>
      <c r="BF289" s="31">
        <f t="shared" si="103"/>
        <v>0</v>
      </c>
      <c r="BG289" s="31">
        <f t="shared" si="104"/>
        <v>0</v>
      </c>
      <c r="BH289" s="31" t="str">
        <f>VLOOKUP(B289,Miljö!$B$1:$BX$482,MATCH("Fossilandel för ursprungspecificerad el ()",Miljö!$B$1:$I$1,0),FALSE)</f>
        <v>-</v>
      </c>
      <c r="BI289" s="31" t="str">
        <f>VLOOKUP(B289,Miljö!$B$1:$BX$482,MATCH("Kärnkraftsandel för ursprungsspecificerad el ()",Miljö!$B$1:$O$1,0),FALSE)</f>
        <v>-</v>
      </c>
      <c r="BJ289" s="31">
        <f t="shared" si="105"/>
        <v>0</v>
      </c>
      <c r="BK289" s="31" t="str">
        <f>VLOOKUP(B289,Miljö!$B$1:$P$482,MATCH("Fossil andel i procent (%)",Miljö!$B$1:$P$1,0),FALSE)</f>
        <v>-</v>
      </c>
      <c r="BL289" s="31">
        <f t="shared" si="106"/>
        <v>0</v>
      </c>
      <c r="BO289" s="32" t="str">
        <f t="shared" si="107"/>
        <v/>
      </c>
      <c r="BP289" s="32" t="str">
        <f t="shared" si="108"/>
        <v/>
      </c>
      <c r="BQ289" s="32" t="str">
        <f t="shared" si="109"/>
        <v/>
      </c>
      <c r="BR289" s="32" t="str">
        <f t="shared" si="110"/>
        <v/>
      </c>
      <c r="BT289" s="62">
        <f t="shared" si="111"/>
        <v>0</v>
      </c>
      <c r="BW289" s="32" t="str">
        <f>IF(AP289="Ja",VLOOKUP(B289,Miljövärden!$B$2:$H$551,MATCH("Total andel fossilt",Miljövärden!$B$2:$H$2,0),FALSE),"")</f>
        <v/>
      </c>
      <c r="BX289" s="62" t="e">
        <f t="shared" si="112"/>
        <v>#VALUE!</v>
      </c>
      <c r="BZ289" s="31" t="str">
        <f t="shared" si="113"/>
        <v/>
      </c>
      <c r="CA289" s="32" t="str">
        <f t="shared" si="114"/>
        <v/>
      </c>
    </row>
    <row r="290" spans="1:79" x14ac:dyDescent="0.45">
      <c r="A290" s="31" t="s">
        <v>299</v>
      </c>
      <c r="B290" s="31" t="s">
        <v>302</v>
      </c>
      <c r="C290" s="31">
        <f>VLOOKUP($B290,'Tillförd energi'!$B$1:$AI$720,MATCH(C$1,'Tillförd energi'!$B$1:$AQ$1,0),FALSE)</f>
        <v>0</v>
      </c>
      <c r="D290" s="31">
        <f>VLOOKUP($B290,'Tillförd energi'!$B$1:$AI$720,MATCH(D$1,'Tillförd energi'!$B$1:$AQ$1,0),FALSE)</f>
        <v>0.14199999999999999</v>
      </c>
      <c r="E290" s="31">
        <f>VLOOKUP($B290,'Tillförd energi'!$B$1:$AI$720,MATCH(E$1,'Tillförd energi'!$B$1:$AQ$1,0),FALSE)</f>
        <v>0</v>
      </c>
      <c r="F290" s="31">
        <f>VLOOKUP($B290,'Tillförd energi'!$B$1:$AI$720,MATCH(F$1,'Tillförd energi'!$B$1:$AQ$1,0),FALSE)</f>
        <v>0</v>
      </c>
      <c r="G290" s="31">
        <f>VLOOKUP($B290,'Tillförd energi'!$B$1:$AI$720,MATCH(G$1,'Tillförd energi'!$B$1:$AQ$1,0),FALSE)</f>
        <v>0</v>
      </c>
      <c r="H290" s="31">
        <f>VLOOKUP($B290,'Tillförd energi'!$B$1:$AI$720,MATCH(H$1,'Tillförd energi'!$B$1:$AQ$1,0),FALSE)</f>
        <v>0</v>
      </c>
      <c r="I290" s="31">
        <f>VLOOKUP($B290,'Tillförd energi'!$B$1:$AI$720,MATCH(I$1,'Tillförd energi'!$B$1:$AQ$1,0),FALSE)</f>
        <v>0</v>
      </c>
      <c r="J290" s="31">
        <f>VLOOKUP($B290,'Tillförd energi'!$B$1:$AI$720,MATCH(J$1,'Tillförd energi'!$B$1:$AQ$1,0),FALSE)</f>
        <v>0</v>
      </c>
      <c r="K290" s="31">
        <f>VLOOKUP($B290,'Tillförd energi'!$B$1:$AI$720,MATCH(K$1,'Tillförd energi'!$B$1:$AQ$1,0),FALSE)</f>
        <v>0</v>
      </c>
      <c r="L290" s="31">
        <f>VLOOKUP($B290,'Tillförd energi'!$B$1:$AI$720,MATCH(L$1,'Tillförd energi'!$B$1:$AQ$1,0),FALSE)</f>
        <v>0</v>
      </c>
      <c r="M290" s="31">
        <f>VLOOKUP($B290,'Tillförd energi'!$B$1:$AI$720,MATCH(M$1,'Tillförd energi'!$B$1:$AQ$1,0),FALSE)</f>
        <v>0</v>
      </c>
      <c r="N290" s="31">
        <f>VLOOKUP($B290,'Tillförd energi'!$B$1:$AI$720,MATCH(N$1,'Tillförd energi'!$B$1:$AQ$1,0),FALSE)</f>
        <v>0</v>
      </c>
      <c r="O290" s="31">
        <f>VLOOKUP($B290,'Tillförd energi'!$B$1:$AI$720,MATCH(O$1,'Tillförd energi'!$B$1:$AQ$1,0),FALSE)</f>
        <v>0</v>
      </c>
      <c r="P290" s="31">
        <f>VLOOKUP($B290,'Tillförd energi'!$B$1:$AI$720,MATCH(P$1,'Tillförd energi'!$B$1:$AQ$1,0),FALSE)</f>
        <v>0</v>
      </c>
      <c r="Q290" s="31">
        <f>VLOOKUP($B290,'Tillförd energi'!$B$1:$AI$720,MATCH(Q$1,'Tillförd energi'!$B$1:$AQ$1,0),FALSE)</f>
        <v>11.6671</v>
      </c>
      <c r="R290" s="31">
        <f>VLOOKUP($B290,'Tillförd energi'!$B$1:$AI$720,MATCH(R$1,'Tillförd energi'!$B$1:$AQ$1,0),FALSE)</f>
        <v>0</v>
      </c>
      <c r="S290" s="31">
        <f>VLOOKUP($B290,'Tillförd energi'!$B$1:$AI$720,MATCH(S$1,'Tillförd energi'!$B$1:$AQ$1,0),FALSE)</f>
        <v>0</v>
      </c>
      <c r="T290" s="31">
        <f>VLOOKUP($B290,'Tillförd energi'!$B$1:$AI$720,MATCH(T$1,'Tillförd energi'!$B$1:$AQ$1,0),FALSE)</f>
        <v>0</v>
      </c>
      <c r="U290" s="31">
        <f>VLOOKUP($B290,'Tillförd energi'!$B$1:$AI$720,MATCH(U$1,'Tillförd energi'!$B$1:$AQ$1,0),FALSE)</f>
        <v>0</v>
      </c>
      <c r="V290" s="31">
        <f>VLOOKUP($B290,'Tillförd energi'!$B$1:$AI$720,MATCH(V$1,'Tillförd energi'!$B$1:$AQ$1,0),FALSE)</f>
        <v>0</v>
      </c>
      <c r="W290" s="31">
        <f>VLOOKUP($B290,'Tillförd energi'!$B$1:$AI$720,MATCH(W$1,'Tillförd energi'!$B$1:$AQ$1,0),FALSE)</f>
        <v>1.4</v>
      </c>
      <c r="X290" s="31">
        <f>VLOOKUP($B290,'Tillförd energi'!$B$1:$AI$720,MATCH(X$1,'Tillförd energi'!$B$1:$AQ$1,0),FALSE)</f>
        <v>0</v>
      </c>
      <c r="Y290" s="31">
        <f>VLOOKUP($B290,'Tillförd energi'!$B$1:$AI$720,MATCH(Y$1,'Tillförd energi'!$B$1:$AQ$1,0),FALSE)</f>
        <v>0</v>
      </c>
      <c r="Z290" s="31">
        <f>VLOOKUP($B290,'Tillförd energi'!$B$1:$AI$720,MATCH(Z$1,'Tillförd energi'!$B$1:$AQ$1,0),FALSE)</f>
        <v>0</v>
      </c>
      <c r="AA290" s="31">
        <f>VLOOKUP($B290,'Tillförd energi'!$B$1:$AI$720,MATCH(AA$1,'Tillförd energi'!$B$1:$AQ$1,0),FALSE)</f>
        <v>0</v>
      </c>
      <c r="AB290" s="31">
        <f>VLOOKUP($B290,'Tillförd energi'!$B$1:$AI$720,MATCH(AB$1,'Tillförd energi'!$B$1:$AQ$1,0),FALSE)</f>
        <v>0</v>
      </c>
      <c r="AC290" s="31">
        <f>VLOOKUP($B290,'Tillförd energi'!$B$1:$AI$720,MATCH(AC$1,'Tillförd energi'!$B$1:$AQ$1,0),FALSE)</f>
        <v>0</v>
      </c>
      <c r="AD290" s="31">
        <f>VLOOKUP($B290,'Tillförd energi'!$B$1:$AI$720,MATCH(AD$1,'Tillförd energi'!$B$1:$AQ$1,0),FALSE)</f>
        <v>0</v>
      </c>
      <c r="AE290" s="31">
        <f>VLOOKUP($B290,'Tillförd energi'!$B$1:$AI$720,MATCH(AE$1,'Tillförd energi'!$B$1:$AQ$1,0),FALSE)</f>
        <v>0</v>
      </c>
      <c r="AF290" s="31">
        <f>VLOOKUP($B290,'Tillförd energi'!$B$1:$AI$720,MATCH(AF$1,'Tillförd energi'!$B$1:$AQ$1,0),FALSE)</f>
        <v>3.1085000000000002E-2</v>
      </c>
      <c r="AG290" s="31">
        <f>IFERROR(VLOOKUP(B290,Miljö!$B$1:$AC$550,MATCH("Köpt mängd produktionsspecifik fjärrvärme:",Miljö!$B$1:$AC$1,0),FALSE)/1,0)</f>
        <v>0</v>
      </c>
      <c r="AI290" s="31">
        <f t="shared" si="92"/>
        <v>13.240184999999999</v>
      </c>
      <c r="AJ290" s="31">
        <f t="shared" si="93"/>
        <v>13.240184999999999</v>
      </c>
      <c r="AK290" s="31">
        <f>IF(ISERROR(1/VLOOKUP($B290,Leveranser!$B$1:$S$499,MATCH("Såld värme (GWh)",Leveranser!$B$1:$S$1,0),FALSE)),"",VLOOKUP($B290,Leveranser!$B$1:$S$499,MATCH("Såld värme (GWh)",Leveranser!$B$1:$S$1,0),FALSE))</f>
        <v>9.32</v>
      </c>
      <c r="AL290" s="31">
        <f>VLOOKUP($B290,Leveranser!$B$1:$Y$499,MATCH("Totalt såld fjärrvärme till andra fjärrvärmeföretag",Leveranser!$B$1:$AA$1,0),FALSE)</f>
        <v>0</v>
      </c>
      <c r="AM290" s="31">
        <f>IF(ISERROR(1/VLOOKUP($B290,Miljö!$B$1:$S$500,MATCH("Såld mängd produktionsspecifik fjärrvärme (GWh)",Miljö!$B$1:$R$1,0),FALSE)),0,VLOOKUP($B290,Miljö!$B$1:$S$500,MATCH("Såld mängd produktionsspecifik fjärrvärme (GWh)",Miljö!$B$1:$R$1,0),FALSE))</f>
        <v>0</v>
      </c>
      <c r="AN290" s="32">
        <f t="shared" si="94"/>
        <v>0.70391765673969064</v>
      </c>
      <c r="AP290" s="31" t="str">
        <f>IFERROR(VLOOKUP($B290,Miljövärden!$B$2:$H$550,7,FALSE),"Nej, saknas")</f>
        <v>Ja</v>
      </c>
      <c r="AQ290" s="31" t="str">
        <f>IFERROR(VLOOKUP($B290,Miljövärden!$B$2:$H$551,6,FALSE),"Nej, saknas")</f>
        <v>Nej</v>
      </c>
      <c r="AU290" s="31">
        <f t="shared" si="95"/>
        <v>3.1085000000000002E-2</v>
      </c>
      <c r="AV290" s="31">
        <f t="shared" si="96"/>
        <v>0</v>
      </c>
      <c r="AW290" s="31">
        <f t="shared" si="97"/>
        <v>11.6671</v>
      </c>
      <c r="AX290" s="31">
        <f t="shared" si="98"/>
        <v>0</v>
      </c>
      <c r="AZ290" s="31">
        <f t="shared" si="99"/>
        <v>13.0671</v>
      </c>
      <c r="BC290" s="31">
        <f t="shared" si="100"/>
        <v>0.14199999999999999</v>
      </c>
      <c r="BD290" s="31">
        <f t="shared" si="101"/>
        <v>0</v>
      </c>
      <c r="BE290" s="31">
        <f t="shared" si="102"/>
        <v>13.0671</v>
      </c>
      <c r="BF290" s="31">
        <f t="shared" si="103"/>
        <v>0</v>
      </c>
      <c r="BG290" s="31">
        <f t="shared" si="104"/>
        <v>3.1085000000000002E-2</v>
      </c>
      <c r="BH290" s="31">
        <f>VLOOKUP(B290,Miljö!$B$1:$BX$482,MATCH("Fossilandel för ursprungspecificerad el ()",Miljö!$B$1:$I$1,0),FALSE)</f>
        <v>0</v>
      </c>
      <c r="BI290" s="31">
        <f>VLOOKUP(B290,Miljö!$B$1:$BX$482,MATCH("Kärnkraftsandel för ursprungsspecificerad el ()",Miljö!$B$1:$O$1,0),FALSE)</f>
        <v>0</v>
      </c>
      <c r="BJ290" s="31">
        <f t="shared" si="105"/>
        <v>0</v>
      </c>
      <c r="BK290" s="31" t="str">
        <f>VLOOKUP(B290,Miljö!$B$1:$P$482,MATCH("Fossil andel i procent (%)",Miljö!$B$1:$P$1,0),FALSE)</f>
        <v>ET</v>
      </c>
      <c r="BL290" s="31">
        <f t="shared" si="106"/>
        <v>13.240184999999999</v>
      </c>
      <c r="BO290" s="32">
        <f t="shared" si="107"/>
        <v>1.0724925671355801E-2</v>
      </c>
      <c r="BP290" s="32">
        <f t="shared" si="108"/>
        <v>0</v>
      </c>
      <c r="BQ290" s="32">
        <f t="shared" si="109"/>
        <v>0.98927507432864425</v>
      </c>
      <c r="BR290" s="32">
        <f t="shared" si="110"/>
        <v>0</v>
      </c>
      <c r="BT290" s="62">
        <f t="shared" si="111"/>
        <v>1</v>
      </c>
      <c r="BW290" s="32">
        <f>IF(AP290="Ja",VLOOKUP(B290,Miljövärden!$B$2:$H$551,MATCH("Total andel fossilt",Miljövärden!$B$2:$H$2,0),FALSE),"")</f>
        <v>1.0724900000000001E-2</v>
      </c>
      <c r="BX290" s="62">
        <f t="shared" si="112"/>
        <v>-2.5671355799797291E-8</v>
      </c>
      <c r="BZ290" s="31">
        <f t="shared" si="113"/>
        <v>-2.5671355799797291E-8</v>
      </c>
      <c r="CA290" s="32">
        <f t="shared" si="114"/>
        <v>0</v>
      </c>
    </row>
    <row r="291" spans="1:79" x14ac:dyDescent="0.45">
      <c r="A291" s="31" t="s">
        <v>299</v>
      </c>
      <c r="B291" s="31" t="s">
        <v>298</v>
      </c>
      <c r="C291" s="31">
        <f>VLOOKUP($B291,'Tillförd energi'!$B$1:$AI$720,MATCH(C$1,'Tillförd energi'!$B$1:$AQ$1,0),FALSE)</f>
        <v>0</v>
      </c>
      <c r="D291" s="31">
        <f>VLOOKUP($B291,'Tillförd energi'!$B$1:$AI$720,MATCH(D$1,'Tillförd energi'!$B$1:$AQ$1,0),FALSE)</f>
        <v>0.31068600000000002</v>
      </c>
      <c r="E291" s="31">
        <f>VLOOKUP($B291,'Tillförd energi'!$B$1:$AI$720,MATCH(E$1,'Tillförd energi'!$B$1:$AQ$1,0),FALSE)</f>
        <v>0</v>
      </c>
      <c r="F291" s="31">
        <f>VLOOKUP($B291,'Tillförd energi'!$B$1:$AI$720,MATCH(F$1,'Tillförd energi'!$B$1:$AQ$1,0),FALSE)</f>
        <v>0</v>
      </c>
      <c r="G291" s="31">
        <f>VLOOKUP($B291,'Tillförd energi'!$B$1:$AI$720,MATCH(G$1,'Tillförd energi'!$B$1:$AQ$1,0),FALSE)</f>
        <v>0</v>
      </c>
      <c r="H291" s="31">
        <f>VLOOKUP($B291,'Tillförd energi'!$B$1:$AI$720,MATCH(H$1,'Tillförd energi'!$B$1:$AQ$1,0),FALSE)</f>
        <v>0</v>
      </c>
      <c r="I291" s="31">
        <f>VLOOKUP($B291,'Tillförd energi'!$B$1:$AI$720,MATCH(I$1,'Tillförd energi'!$B$1:$AQ$1,0),FALSE)</f>
        <v>0</v>
      </c>
      <c r="J291" s="31">
        <f>VLOOKUP($B291,'Tillförd energi'!$B$1:$AI$720,MATCH(J$1,'Tillförd energi'!$B$1:$AQ$1,0),FALSE)</f>
        <v>0</v>
      </c>
      <c r="K291" s="31">
        <f>VLOOKUP($B291,'Tillförd energi'!$B$1:$AI$720,MATCH(K$1,'Tillförd energi'!$B$1:$AQ$1,0),FALSE)</f>
        <v>0</v>
      </c>
      <c r="L291" s="31">
        <f>VLOOKUP($B291,'Tillförd energi'!$B$1:$AI$720,MATCH(L$1,'Tillförd energi'!$B$1:$AQ$1,0),FALSE)</f>
        <v>11.8148</v>
      </c>
      <c r="M291" s="31">
        <f>VLOOKUP($B291,'Tillförd energi'!$B$1:$AI$720,MATCH(M$1,'Tillförd energi'!$B$1:$AQ$1,0),FALSE)</f>
        <v>27.424600000000002</v>
      </c>
      <c r="N291" s="31">
        <f>VLOOKUP($B291,'Tillförd energi'!$B$1:$AI$720,MATCH(N$1,'Tillförd energi'!$B$1:$AQ$1,0),FALSE)</f>
        <v>38.172600000000003</v>
      </c>
      <c r="O291" s="31">
        <f>VLOOKUP($B291,'Tillförd energi'!$B$1:$AI$720,MATCH(O$1,'Tillförd energi'!$B$1:$AQ$1,0),FALSE)</f>
        <v>0</v>
      </c>
      <c r="P291" s="31">
        <f>VLOOKUP($B291,'Tillförd energi'!$B$1:$AI$720,MATCH(P$1,'Tillförd energi'!$B$1:$AQ$1,0),FALSE)</f>
        <v>10.0044</v>
      </c>
      <c r="Q291" s="31">
        <f>VLOOKUP($B291,'Tillförd energi'!$B$1:$AI$720,MATCH(Q$1,'Tillförd energi'!$B$1:$AQ$1,0),FALSE)</f>
        <v>4.84429</v>
      </c>
      <c r="R291" s="31">
        <f>VLOOKUP($B291,'Tillförd energi'!$B$1:$AI$720,MATCH(R$1,'Tillförd energi'!$B$1:$AQ$1,0),FALSE)</f>
        <v>20.141999999999999</v>
      </c>
      <c r="S291" s="31">
        <f>VLOOKUP($B291,'Tillförd energi'!$B$1:$AI$720,MATCH(S$1,'Tillförd energi'!$B$1:$AQ$1,0),FALSE)</f>
        <v>0</v>
      </c>
      <c r="T291" s="31">
        <f>VLOOKUP($B291,'Tillförd energi'!$B$1:$AI$720,MATCH(T$1,'Tillförd energi'!$B$1:$AQ$1,0),FALSE)</f>
        <v>0</v>
      </c>
      <c r="U291" s="31">
        <f>VLOOKUP($B291,'Tillförd energi'!$B$1:$AI$720,MATCH(U$1,'Tillförd energi'!$B$1:$AQ$1,0),FALSE)</f>
        <v>0</v>
      </c>
      <c r="V291" s="31">
        <f>VLOOKUP($B291,'Tillförd energi'!$B$1:$AI$720,MATCH(V$1,'Tillförd energi'!$B$1:$AQ$1,0),FALSE)</f>
        <v>0</v>
      </c>
      <c r="W291" s="31">
        <f>VLOOKUP($B291,'Tillförd energi'!$B$1:$AI$720,MATCH(W$1,'Tillförd energi'!$B$1:$AQ$1,0),FALSE)</f>
        <v>0</v>
      </c>
      <c r="X291" s="31">
        <f>VLOOKUP($B291,'Tillförd energi'!$B$1:$AI$720,MATCH(X$1,'Tillförd energi'!$B$1:$AQ$1,0),FALSE)</f>
        <v>0</v>
      </c>
      <c r="Y291" s="31">
        <f>VLOOKUP($B291,'Tillförd energi'!$B$1:$AI$720,MATCH(Y$1,'Tillförd energi'!$B$1:$AQ$1,0),FALSE)</f>
        <v>0</v>
      </c>
      <c r="Z291" s="31">
        <f>VLOOKUP($B291,'Tillförd energi'!$B$1:$AI$720,MATCH(Z$1,'Tillförd energi'!$B$1:$AQ$1,0),FALSE)</f>
        <v>0</v>
      </c>
      <c r="AA291" s="31">
        <f>VLOOKUP($B291,'Tillförd energi'!$B$1:$AI$720,MATCH(AA$1,'Tillförd energi'!$B$1:$AQ$1,0),FALSE)</f>
        <v>0</v>
      </c>
      <c r="AB291" s="31">
        <f>VLOOKUP($B291,'Tillförd energi'!$B$1:$AI$720,MATCH(AB$1,'Tillförd energi'!$B$1:$AQ$1,0),FALSE)</f>
        <v>0</v>
      </c>
      <c r="AC291" s="31">
        <f>VLOOKUP($B291,'Tillförd energi'!$B$1:$AI$720,MATCH(AC$1,'Tillförd energi'!$B$1:$AQ$1,0),FALSE)</f>
        <v>24.303000000000001</v>
      </c>
      <c r="AD291" s="31">
        <f>VLOOKUP($B291,'Tillförd energi'!$B$1:$AI$720,MATCH(AD$1,'Tillförd energi'!$B$1:$AQ$1,0),FALSE)</f>
        <v>0</v>
      </c>
      <c r="AE291" s="31">
        <f>VLOOKUP($B291,'Tillförd energi'!$B$1:$AI$720,MATCH(AE$1,'Tillförd energi'!$B$1:$AQ$1,0),FALSE)</f>
        <v>0</v>
      </c>
      <c r="AF291" s="31">
        <f>VLOOKUP($B291,'Tillförd energi'!$B$1:$AI$720,MATCH(AF$1,'Tillförd energi'!$B$1:$AQ$1,0),FALSE)</f>
        <v>5.3545400000000001</v>
      </c>
      <c r="AG291" s="31">
        <f>IFERROR(VLOOKUP(B291,Miljö!$B$1:$AC$550,MATCH("Köpt mängd produktionsspecifik fjärrvärme:",Miljö!$B$1:$AC$1,0),FALSE)/1,0)</f>
        <v>0</v>
      </c>
      <c r="AI291" s="31">
        <f t="shared" si="92"/>
        <v>142.37091600000002</v>
      </c>
      <c r="AJ291" s="31">
        <f t="shared" si="93"/>
        <v>142.37091600000002</v>
      </c>
      <c r="AK291" s="31">
        <f>IF(ISERROR(1/VLOOKUP($B291,Leveranser!$B$1:$S$499,MATCH("Såld värme (GWh)",Leveranser!$B$1:$S$1,0),FALSE)),"",VLOOKUP($B291,Leveranser!$B$1:$S$499,MATCH("Såld värme (GWh)",Leveranser!$B$1:$S$1,0),FALSE))</f>
        <v>123.666</v>
      </c>
      <c r="AL291" s="31">
        <f>VLOOKUP($B291,Leveranser!$B$1:$Y$499,MATCH("Totalt såld fjärrvärme till andra fjärrvärmeföretag",Leveranser!$B$1:$AA$1,0),FALSE)</f>
        <v>0</v>
      </c>
      <c r="AM291" s="31">
        <f>IF(ISERROR(1/VLOOKUP($B291,Miljö!$B$1:$S$500,MATCH("Såld mängd produktionsspecifik fjärrvärme (GWh)",Miljö!$B$1:$R$1,0),FALSE)),0,VLOOKUP($B291,Miljö!$B$1:$S$500,MATCH("Såld mängd produktionsspecifik fjärrvärme (GWh)",Miljö!$B$1:$R$1,0),FALSE))</f>
        <v>0</v>
      </c>
      <c r="AN291" s="32">
        <f t="shared" si="94"/>
        <v>0.8686184192282641</v>
      </c>
      <c r="AP291" s="31" t="str">
        <f>IFERROR(VLOOKUP($B291,Miljövärden!$B$2:$H$550,7,FALSE),"Nej, saknas")</f>
        <v>Ja</v>
      </c>
      <c r="AQ291" s="31" t="str">
        <f>IFERROR(VLOOKUP($B291,Miljövärden!$B$2:$H$551,6,FALSE),"Nej, saknas")</f>
        <v>Ja</v>
      </c>
      <c r="AU291" s="31">
        <f t="shared" si="95"/>
        <v>5.3545400000000001</v>
      </c>
      <c r="AV291" s="31">
        <f t="shared" si="96"/>
        <v>0</v>
      </c>
      <c r="AW291" s="31">
        <f t="shared" si="97"/>
        <v>80.445890000000006</v>
      </c>
      <c r="AX291" s="31">
        <f t="shared" si="98"/>
        <v>20.141999999999999</v>
      </c>
      <c r="AZ291" s="31">
        <f t="shared" si="99"/>
        <v>112.40269000000001</v>
      </c>
      <c r="BC291" s="31">
        <f t="shared" si="100"/>
        <v>0.31068600000000002</v>
      </c>
      <c r="BD291" s="31">
        <f t="shared" si="101"/>
        <v>0</v>
      </c>
      <c r="BE291" s="31">
        <f t="shared" si="102"/>
        <v>100.58789</v>
      </c>
      <c r="BF291" s="31">
        <f t="shared" si="103"/>
        <v>36.117800000000003</v>
      </c>
      <c r="BG291" s="31">
        <f t="shared" si="104"/>
        <v>5.3545400000000001</v>
      </c>
      <c r="BH291" s="31">
        <f>VLOOKUP(B291,Miljö!$B$1:$BX$482,MATCH("Fossilandel för ursprungspecificerad el ()",Miljö!$B$1:$I$1,0),FALSE)</f>
        <v>0</v>
      </c>
      <c r="BI291" s="31">
        <f>VLOOKUP(B291,Miljö!$B$1:$BX$482,MATCH("Kärnkraftsandel för ursprungsspecificerad el ()",Miljö!$B$1:$O$1,0),FALSE)</f>
        <v>0</v>
      </c>
      <c r="BJ291" s="31">
        <f t="shared" si="105"/>
        <v>0</v>
      </c>
      <c r="BK291" s="31" t="str">
        <f>VLOOKUP(B291,Miljö!$B$1:$P$482,MATCH("Fossil andel i procent (%)",Miljö!$B$1:$P$1,0),FALSE)</f>
        <v>ET</v>
      </c>
      <c r="BL291" s="31">
        <f t="shared" si="106"/>
        <v>142.37091600000002</v>
      </c>
      <c r="BO291" s="32">
        <f t="shared" si="107"/>
        <v>2.1822294098325528E-3</v>
      </c>
      <c r="BP291" s="32">
        <f t="shared" si="108"/>
        <v>0</v>
      </c>
      <c r="BQ291" s="32">
        <f t="shared" si="109"/>
        <v>0.7441297209888007</v>
      </c>
      <c r="BR291" s="32">
        <f t="shared" si="110"/>
        <v>0.25368804960136659</v>
      </c>
      <c r="BT291" s="62">
        <f t="shared" si="111"/>
        <v>0.99999999999999989</v>
      </c>
      <c r="BW291" s="32">
        <f>IF(AP291="Ja",VLOOKUP(B291,Miljövärden!$B$2:$H$551,MATCH("Total andel fossilt",Miljövärden!$B$2:$H$2,0),FALSE),"")</f>
        <v>2.1822299999999998E-3</v>
      </c>
      <c r="BX291" s="62">
        <f t="shared" si="112"/>
        <v>5.9016744703016544E-10</v>
      </c>
      <c r="BZ291" s="31">
        <f t="shared" si="113"/>
        <v>5.9016744703016544E-10</v>
      </c>
      <c r="CA291" s="32">
        <f t="shared" si="114"/>
        <v>0</v>
      </c>
    </row>
    <row r="292" spans="1:79" x14ac:dyDescent="0.45">
      <c r="A292" s="31" t="s">
        <v>299</v>
      </c>
      <c r="B292" s="31" t="s">
        <v>300</v>
      </c>
      <c r="C292" s="31">
        <f>VLOOKUP($B292,'Tillförd energi'!$B$1:$AI$720,MATCH(C$1,'Tillförd energi'!$B$1:$AQ$1,0),FALSE)</f>
        <v>0</v>
      </c>
      <c r="D292" s="31">
        <f>VLOOKUP($B292,'Tillförd energi'!$B$1:$AI$720,MATCH(D$1,'Tillförd energi'!$B$1:$AQ$1,0),FALSE)</f>
        <v>5.5E-2</v>
      </c>
      <c r="E292" s="31">
        <f>VLOOKUP($B292,'Tillförd energi'!$B$1:$AI$720,MATCH(E$1,'Tillförd energi'!$B$1:$AQ$1,0),FALSE)</f>
        <v>0</v>
      </c>
      <c r="F292" s="31">
        <f>VLOOKUP($B292,'Tillförd energi'!$B$1:$AI$720,MATCH(F$1,'Tillförd energi'!$B$1:$AQ$1,0),FALSE)</f>
        <v>0</v>
      </c>
      <c r="G292" s="31">
        <f>VLOOKUP($B292,'Tillförd energi'!$B$1:$AI$720,MATCH(G$1,'Tillförd energi'!$B$1:$AQ$1,0),FALSE)</f>
        <v>0</v>
      </c>
      <c r="H292" s="31">
        <f>VLOOKUP($B292,'Tillförd energi'!$B$1:$AI$720,MATCH(H$1,'Tillförd energi'!$B$1:$AQ$1,0),FALSE)</f>
        <v>0</v>
      </c>
      <c r="I292" s="31">
        <f>VLOOKUP($B292,'Tillförd energi'!$B$1:$AI$720,MATCH(I$1,'Tillförd energi'!$B$1:$AQ$1,0),FALSE)</f>
        <v>0</v>
      </c>
      <c r="J292" s="31">
        <f>VLOOKUP($B292,'Tillförd energi'!$B$1:$AI$720,MATCH(J$1,'Tillförd energi'!$B$1:$AQ$1,0),FALSE)</f>
        <v>0</v>
      </c>
      <c r="K292" s="31">
        <f>VLOOKUP($B292,'Tillförd energi'!$B$1:$AI$720,MATCH(K$1,'Tillförd energi'!$B$1:$AQ$1,0),FALSE)</f>
        <v>0</v>
      </c>
      <c r="L292" s="31">
        <f>VLOOKUP($B292,'Tillförd energi'!$B$1:$AI$720,MATCH(L$1,'Tillförd energi'!$B$1:$AQ$1,0),FALSE)</f>
        <v>0</v>
      </c>
      <c r="M292" s="31">
        <f>VLOOKUP($B292,'Tillförd energi'!$B$1:$AI$720,MATCH(M$1,'Tillförd energi'!$B$1:$AQ$1,0),FALSE)</f>
        <v>0</v>
      </c>
      <c r="N292" s="31">
        <f>VLOOKUP($B292,'Tillförd energi'!$B$1:$AI$720,MATCH(N$1,'Tillförd energi'!$B$1:$AQ$1,0),FALSE)</f>
        <v>0</v>
      </c>
      <c r="O292" s="31">
        <f>VLOOKUP($B292,'Tillförd energi'!$B$1:$AI$720,MATCH(O$1,'Tillförd energi'!$B$1:$AQ$1,0),FALSE)</f>
        <v>0</v>
      </c>
      <c r="P292" s="31">
        <f>VLOOKUP($B292,'Tillförd energi'!$B$1:$AI$720,MATCH(P$1,'Tillförd energi'!$B$1:$AQ$1,0),FALSE)</f>
        <v>0</v>
      </c>
      <c r="Q292" s="31">
        <f>VLOOKUP($B292,'Tillförd energi'!$B$1:$AI$720,MATCH(Q$1,'Tillförd energi'!$B$1:$AQ$1,0),FALSE)</f>
        <v>0</v>
      </c>
      <c r="R292" s="31">
        <f>VLOOKUP($B292,'Tillförd energi'!$B$1:$AI$720,MATCH(R$1,'Tillförd energi'!$B$1:$AQ$1,0),FALSE)</f>
        <v>3.9380000000000002</v>
      </c>
      <c r="S292" s="31">
        <f>VLOOKUP($B292,'Tillförd energi'!$B$1:$AI$720,MATCH(S$1,'Tillförd energi'!$B$1:$AQ$1,0),FALSE)</f>
        <v>0</v>
      </c>
      <c r="T292" s="31">
        <f>VLOOKUP($B292,'Tillförd energi'!$B$1:$AI$720,MATCH(T$1,'Tillförd energi'!$B$1:$AQ$1,0),FALSE)</f>
        <v>0</v>
      </c>
      <c r="U292" s="31">
        <f>VLOOKUP($B292,'Tillförd energi'!$B$1:$AI$720,MATCH(U$1,'Tillförd energi'!$B$1:$AQ$1,0),FALSE)</f>
        <v>0</v>
      </c>
      <c r="V292" s="31">
        <f>VLOOKUP($B292,'Tillförd energi'!$B$1:$AI$720,MATCH(V$1,'Tillförd energi'!$B$1:$AQ$1,0),FALSE)</f>
        <v>0</v>
      </c>
      <c r="W292" s="31">
        <f>VLOOKUP($B292,'Tillförd energi'!$B$1:$AI$720,MATCH(W$1,'Tillförd energi'!$B$1:$AQ$1,0),FALSE)</f>
        <v>0</v>
      </c>
      <c r="X292" s="31">
        <f>VLOOKUP($B292,'Tillförd energi'!$B$1:$AI$720,MATCH(X$1,'Tillförd energi'!$B$1:$AQ$1,0),FALSE)</f>
        <v>0</v>
      </c>
      <c r="Y292" s="31">
        <f>VLOOKUP($B292,'Tillförd energi'!$B$1:$AI$720,MATCH(Y$1,'Tillförd energi'!$B$1:$AQ$1,0),FALSE)</f>
        <v>0</v>
      </c>
      <c r="Z292" s="31">
        <f>VLOOKUP($B292,'Tillförd energi'!$B$1:$AI$720,MATCH(Z$1,'Tillförd energi'!$B$1:$AQ$1,0),FALSE)</f>
        <v>0</v>
      </c>
      <c r="AA292" s="31">
        <f>VLOOKUP($B292,'Tillförd energi'!$B$1:$AI$720,MATCH(AA$1,'Tillförd energi'!$B$1:$AQ$1,0),FALSE)</f>
        <v>0</v>
      </c>
      <c r="AB292" s="31">
        <f>VLOOKUP($B292,'Tillförd energi'!$B$1:$AI$720,MATCH(AB$1,'Tillförd energi'!$B$1:$AQ$1,0),FALSE)</f>
        <v>0</v>
      </c>
      <c r="AC292" s="31">
        <f>VLOOKUP($B292,'Tillförd energi'!$B$1:$AI$720,MATCH(AC$1,'Tillförd energi'!$B$1:$AQ$1,0),FALSE)</f>
        <v>0</v>
      </c>
      <c r="AD292" s="31">
        <f>VLOOKUP($B292,'Tillförd energi'!$B$1:$AI$720,MATCH(AD$1,'Tillförd energi'!$B$1:$AQ$1,0),FALSE)</f>
        <v>0</v>
      </c>
      <c r="AE292" s="31">
        <f>VLOOKUP($B292,'Tillförd energi'!$B$1:$AI$720,MATCH(AE$1,'Tillförd energi'!$B$1:$AQ$1,0),FALSE)</f>
        <v>0</v>
      </c>
      <c r="AF292" s="31">
        <f>VLOOKUP($B292,'Tillförd energi'!$B$1:$AI$720,MATCH(AF$1,'Tillförd energi'!$B$1:$AQ$1,0),FALSE)</f>
        <v>5.7000000000000002E-2</v>
      </c>
      <c r="AG292" s="31">
        <f>IFERROR(VLOOKUP(B292,Miljö!$B$1:$AC$550,MATCH("Köpt mängd produktionsspecifik fjärrvärme:",Miljö!$B$1:$AC$1,0),FALSE)/1,0)</f>
        <v>0</v>
      </c>
      <c r="AI292" s="31">
        <f t="shared" si="92"/>
        <v>4.0500000000000007</v>
      </c>
      <c r="AJ292" s="31">
        <f t="shared" si="93"/>
        <v>4.0500000000000007</v>
      </c>
      <c r="AK292" s="31">
        <f>IF(ISERROR(1/VLOOKUP($B292,Leveranser!$B$1:$S$499,MATCH("Såld värme (GWh)",Leveranser!$B$1:$S$1,0),FALSE)),"",VLOOKUP($B292,Leveranser!$B$1:$S$499,MATCH("Såld värme (GWh)",Leveranser!$B$1:$S$1,0),FALSE))</f>
        <v>3.0680000000000001</v>
      </c>
      <c r="AL292" s="31">
        <f>VLOOKUP($B292,Leveranser!$B$1:$Y$499,MATCH("Totalt såld fjärrvärme till andra fjärrvärmeföretag",Leveranser!$B$1:$AA$1,0),FALSE)</f>
        <v>0</v>
      </c>
      <c r="AM292" s="31">
        <f>IF(ISERROR(1/VLOOKUP($B292,Miljö!$B$1:$S$500,MATCH("Såld mängd produktionsspecifik fjärrvärme (GWh)",Miljö!$B$1:$R$1,0),FALSE)),0,VLOOKUP($B292,Miljö!$B$1:$S$500,MATCH("Såld mängd produktionsspecifik fjärrvärme (GWh)",Miljö!$B$1:$R$1,0),FALSE))</f>
        <v>0</v>
      </c>
      <c r="AN292" s="32">
        <f t="shared" si="94"/>
        <v>0.7575308641975308</v>
      </c>
      <c r="AP292" s="31" t="str">
        <f>IFERROR(VLOOKUP($B292,Miljövärden!$B$2:$H$550,7,FALSE),"Nej, saknas")</f>
        <v>Ja</v>
      </c>
      <c r="AQ292" s="31" t="str">
        <f>IFERROR(VLOOKUP($B292,Miljövärden!$B$2:$H$551,6,FALSE),"Nej, saknas")</f>
        <v>Ja</v>
      </c>
      <c r="AU292" s="31">
        <f t="shared" si="95"/>
        <v>5.7000000000000002E-2</v>
      </c>
      <c r="AV292" s="31">
        <f t="shared" si="96"/>
        <v>0</v>
      </c>
      <c r="AW292" s="31">
        <f t="shared" si="97"/>
        <v>0</v>
      </c>
      <c r="AX292" s="31">
        <f t="shared" si="98"/>
        <v>3.9380000000000002</v>
      </c>
      <c r="AZ292" s="31">
        <f t="shared" si="99"/>
        <v>3.9380000000000002</v>
      </c>
      <c r="BC292" s="31">
        <f t="shared" si="100"/>
        <v>5.5E-2</v>
      </c>
      <c r="BD292" s="31">
        <f t="shared" si="101"/>
        <v>0</v>
      </c>
      <c r="BE292" s="31">
        <f t="shared" si="102"/>
        <v>3.9380000000000002</v>
      </c>
      <c r="BF292" s="31">
        <f t="shared" si="103"/>
        <v>0</v>
      </c>
      <c r="BG292" s="31">
        <f t="shared" si="104"/>
        <v>5.7000000000000002E-2</v>
      </c>
      <c r="BH292" s="31">
        <f>VLOOKUP(B292,Miljö!$B$1:$BX$482,MATCH("Fossilandel för ursprungspecificerad el ()",Miljö!$B$1:$I$1,0),FALSE)</f>
        <v>0</v>
      </c>
      <c r="BI292" s="31">
        <f>VLOOKUP(B292,Miljö!$B$1:$BX$482,MATCH("Kärnkraftsandel för ursprungsspecificerad el ()",Miljö!$B$1:$O$1,0),FALSE)</f>
        <v>0</v>
      </c>
      <c r="BJ292" s="31">
        <f t="shared" si="105"/>
        <v>0</v>
      </c>
      <c r="BK292" s="31" t="str">
        <f>VLOOKUP(B292,Miljö!$B$1:$P$482,MATCH("Fossil andel i procent (%)",Miljö!$B$1:$P$1,0),FALSE)</f>
        <v>ET</v>
      </c>
      <c r="BL292" s="31">
        <f t="shared" si="106"/>
        <v>4.0500000000000007</v>
      </c>
      <c r="BO292" s="32">
        <f t="shared" si="107"/>
        <v>1.3580246913580245E-2</v>
      </c>
      <c r="BP292" s="32">
        <f t="shared" si="108"/>
        <v>0</v>
      </c>
      <c r="BQ292" s="32">
        <f t="shared" si="109"/>
        <v>0.9864197530864196</v>
      </c>
      <c r="BR292" s="32">
        <f t="shared" si="110"/>
        <v>0</v>
      </c>
      <c r="BT292" s="62">
        <f t="shared" si="111"/>
        <v>0.99999999999999989</v>
      </c>
      <c r="BW292" s="32">
        <f>IF(AP292="Ja",VLOOKUP(B292,Miljövärden!$B$2:$H$551,MATCH("Total andel fossilt",Miljövärden!$B$2:$H$2,0),FALSE),"")</f>
        <v>1.3580200000000001E-2</v>
      </c>
      <c r="BX292" s="62">
        <f t="shared" si="112"/>
        <v>-4.6913580244514752E-8</v>
      </c>
      <c r="BZ292" s="31">
        <f t="shared" si="113"/>
        <v>-4.6913580244514752E-8</v>
      </c>
      <c r="CA292" s="32">
        <f t="shared" si="114"/>
        <v>0</v>
      </c>
    </row>
    <row r="293" spans="1:79" hidden="1" x14ac:dyDescent="0.45">
      <c r="A293" s="31" t="s">
        <v>299</v>
      </c>
      <c r="B293" s="31" t="s">
        <v>301</v>
      </c>
      <c r="C293" s="31">
        <f>VLOOKUP($B293,'Tillförd energi'!$B$1:$AI$720,MATCH(C$1,'Tillförd energi'!$B$1:$AQ$1,0),FALSE)</f>
        <v>0</v>
      </c>
      <c r="D293" s="31">
        <f>VLOOKUP($B293,'Tillförd energi'!$B$1:$AI$720,MATCH(D$1,'Tillförd energi'!$B$1:$AQ$1,0),FALSE)</f>
        <v>0</v>
      </c>
      <c r="E293" s="31">
        <f>VLOOKUP($B293,'Tillförd energi'!$B$1:$AI$720,MATCH(E$1,'Tillförd energi'!$B$1:$AQ$1,0),FALSE)</f>
        <v>0</v>
      </c>
      <c r="F293" s="31">
        <f>VLOOKUP($B293,'Tillförd energi'!$B$1:$AI$720,MATCH(F$1,'Tillförd energi'!$B$1:$AQ$1,0),FALSE)</f>
        <v>0</v>
      </c>
      <c r="G293" s="31">
        <f>VLOOKUP($B293,'Tillförd energi'!$B$1:$AI$720,MATCH(G$1,'Tillförd energi'!$B$1:$AQ$1,0),FALSE)</f>
        <v>0</v>
      </c>
      <c r="H293" s="31">
        <f>VLOOKUP($B293,'Tillförd energi'!$B$1:$AI$720,MATCH(H$1,'Tillförd energi'!$B$1:$AQ$1,0),FALSE)</f>
        <v>0</v>
      </c>
      <c r="I293" s="31">
        <f>VLOOKUP($B293,'Tillförd energi'!$B$1:$AI$720,MATCH(I$1,'Tillförd energi'!$B$1:$AQ$1,0),FALSE)</f>
        <v>0</v>
      </c>
      <c r="J293" s="31">
        <f>VLOOKUP($B293,'Tillförd energi'!$B$1:$AI$720,MATCH(J$1,'Tillförd energi'!$B$1:$AQ$1,0),FALSE)</f>
        <v>0</v>
      </c>
      <c r="K293" s="31">
        <f>VLOOKUP($B293,'Tillförd energi'!$B$1:$AI$720,MATCH(K$1,'Tillförd energi'!$B$1:$AQ$1,0),FALSE)</f>
        <v>0</v>
      </c>
      <c r="L293" s="31">
        <f>VLOOKUP($B293,'Tillförd energi'!$B$1:$AI$720,MATCH(L$1,'Tillförd energi'!$B$1:$AQ$1,0),FALSE)</f>
        <v>0</v>
      </c>
      <c r="M293" s="31">
        <f>VLOOKUP($B293,'Tillförd energi'!$B$1:$AI$720,MATCH(M$1,'Tillförd energi'!$B$1:$AQ$1,0),FALSE)</f>
        <v>0</v>
      </c>
      <c r="N293" s="31">
        <f>VLOOKUP($B293,'Tillförd energi'!$B$1:$AI$720,MATCH(N$1,'Tillförd energi'!$B$1:$AQ$1,0),FALSE)</f>
        <v>0</v>
      </c>
      <c r="O293" s="31">
        <f>VLOOKUP($B293,'Tillförd energi'!$B$1:$AI$720,MATCH(O$1,'Tillförd energi'!$B$1:$AQ$1,0),FALSE)</f>
        <v>0</v>
      </c>
      <c r="P293" s="31">
        <f>VLOOKUP($B293,'Tillförd energi'!$B$1:$AI$720,MATCH(P$1,'Tillförd energi'!$B$1:$AQ$1,0),FALSE)</f>
        <v>0</v>
      </c>
      <c r="Q293" s="31">
        <f>VLOOKUP($B293,'Tillförd energi'!$B$1:$AI$720,MATCH(Q$1,'Tillförd energi'!$B$1:$AQ$1,0),FALSE)</f>
        <v>0</v>
      </c>
      <c r="R293" s="31">
        <f>VLOOKUP($B293,'Tillförd energi'!$B$1:$AI$720,MATCH(R$1,'Tillförd energi'!$B$1:$AQ$1,0),FALSE)</f>
        <v>0</v>
      </c>
      <c r="S293" s="31">
        <f>VLOOKUP($B293,'Tillförd energi'!$B$1:$AI$720,MATCH(S$1,'Tillförd energi'!$B$1:$AQ$1,0),FALSE)</f>
        <v>0</v>
      </c>
      <c r="T293" s="31">
        <f>VLOOKUP($B293,'Tillförd energi'!$B$1:$AI$720,MATCH(T$1,'Tillförd energi'!$B$1:$AQ$1,0),FALSE)</f>
        <v>0</v>
      </c>
      <c r="U293" s="31">
        <f>VLOOKUP($B293,'Tillförd energi'!$B$1:$AI$720,MATCH(U$1,'Tillförd energi'!$B$1:$AQ$1,0),FALSE)</f>
        <v>0</v>
      </c>
      <c r="V293" s="31">
        <f>VLOOKUP($B293,'Tillförd energi'!$B$1:$AI$720,MATCH(V$1,'Tillförd energi'!$B$1:$AQ$1,0),FALSE)</f>
        <v>0</v>
      </c>
      <c r="W293" s="31">
        <f>VLOOKUP($B293,'Tillförd energi'!$B$1:$AI$720,MATCH(W$1,'Tillförd energi'!$B$1:$AQ$1,0),FALSE)</f>
        <v>0</v>
      </c>
      <c r="X293" s="31">
        <f>VLOOKUP($B293,'Tillförd energi'!$B$1:$AI$720,MATCH(X$1,'Tillförd energi'!$B$1:$AQ$1,0),FALSE)</f>
        <v>0</v>
      </c>
      <c r="Y293" s="31">
        <f>VLOOKUP($B293,'Tillförd energi'!$B$1:$AI$720,MATCH(Y$1,'Tillförd energi'!$B$1:$AQ$1,0),FALSE)</f>
        <v>0</v>
      </c>
      <c r="Z293" s="31">
        <f>VLOOKUP($B293,'Tillförd energi'!$B$1:$AI$720,MATCH(Z$1,'Tillförd energi'!$B$1:$AQ$1,0),FALSE)</f>
        <v>0</v>
      </c>
      <c r="AA293" s="31">
        <f>VLOOKUP($B293,'Tillförd energi'!$B$1:$AI$720,MATCH(AA$1,'Tillförd energi'!$B$1:$AQ$1,0),FALSE)</f>
        <v>0</v>
      </c>
      <c r="AB293" s="31">
        <f>VLOOKUP($B293,'Tillförd energi'!$B$1:$AI$720,MATCH(AB$1,'Tillförd energi'!$B$1:$AQ$1,0),FALSE)</f>
        <v>0</v>
      </c>
      <c r="AC293" s="31">
        <f>VLOOKUP($B293,'Tillförd energi'!$B$1:$AI$720,MATCH(AC$1,'Tillförd energi'!$B$1:$AQ$1,0),FALSE)</f>
        <v>0</v>
      </c>
      <c r="AD293" s="31">
        <f>VLOOKUP($B293,'Tillförd energi'!$B$1:$AI$720,MATCH(AD$1,'Tillförd energi'!$B$1:$AQ$1,0),FALSE)</f>
        <v>0</v>
      </c>
      <c r="AE293" s="31">
        <f>VLOOKUP($B293,'Tillförd energi'!$B$1:$AI$720,MATCH(AE$1,'Tillförd energi'!$B$1:$AQ$1,0),FALSE)</f>
        <v>0</v>
      </c>
      <c r="AF293" s="31">
        <f>VLOOKUP($B293,'Tillförd energi'!$B$1:$AI$720,MATCH(AF$1,'Tillförd energi'!$B$1:$AQ$1,0),FALSE)</f>
        <v>0</v>
      </c>
      <c r="AG293" s="31">
        <f>IFERROR(VLOOKUP(B293,Miljö!$B$1:$AC$550,MATCH("Köpt mängd produktionsspecifik fjärrvärme:",Miljö!$B$1:$AC$1,0),FALSE)/1,0)</f>
        <v>0</v>
      </c>
      <c r="AI293" s="31">
        <f t="shared" si="92"/>
        <v>0</v>
      </c>
      <c r="AJ293" s="31">
        <f t="shared" si="93"/>
        <v>0</v>
      </c>
      <c r="AK293" s="31" t="str">
        <f>IF(ISERROR(1/VLOOKUP($B293,Leveranser!$B$1:$S$499,MATCH("Såld värme (GWh)",Leveranser!$B$1:$S$1,0),FALSE)),"",VLOOKUP($B293,Leveranser!$B$1:$S$499,MATCH("Såld värme (GWh)",Leveranser!$B$1:$S$1,0),FALSE))</f>
        <v/>
      </c>
      <c r="AL293" s="31">
        <f>VLOOKUP($B293,Leveranser!$B$1:$Y$499,MATCH("Totalt såld fjärrvärme till andra fjärrvärmeföretag",Leveranser!$B$1:$AA$1,0),FALSE)</f>
        <v>0</v>
      </c>
      <c r="AM293" s="31">
        <f>IF(ISERROR(1/VLOOKUP($B293,Miljö!$B$1:$S$500,MATCH("Såld mängd produktionsspecifik fjärrvärme (GWh)",Miljö!$B$1:$R$1,0),FALSE)),0,VLOOKUP($B293,Miljö!$B$1:$S$500,MATCH("Såld mängd produktionsspecifik fjärrvärme (GWh)",Miljö!$B$1:$R$1,0),FALSE))</f>
        <v>0</v>
      </c>
      <c r="AN293" s="32" t="str">
        <f t="shared" si="94"/>
        <v/>
      </c>
      <c r="AP293" s="31" t="str">
        <f>IFERROR(VLOOKUP($B293,Miljövärden!$B$2:$H$550,7,FALSE),"Nej, saknas")</f>
        <v>Nej</v>
      </c>
      <c r="AQ293" s="31" t="str">
        <f>IFERROR(VLOOKUP($B293,Miljövärden!$B$2:$H$551,6,FALSE),"Nej, saknas")</f>
        <v>Nej</v>
      </c>
      <c r="AU293" s="31">
        <f t="shared" si="95"/>
        <v>0</v>
      </c>
      <c r="AV293" s="31">
        <f t="shared" si="96"/>
        <v>0</v>
      </c>
      <c r="AW293" s="31">
        <f t="shared" si="97"/>
        <v>0</v>
      </c>
      <c r="AX293" s="31">
        <f t="shared" si="98"/>
        <v>0</v>
      </c>
      <c r="AZ293" s="31">
        <f t="shared" si="99"/>
        <v>0</v>
      </c>
      <c r="BC293" s="31">
        <f t="shared" si="100"/>
        <v>0</v>
      </c>
      <c r="BD293" s="31">
        <f t="shared" si="101"/>
        <v>0</v>
      </c>
      <c r="BE293" s="31">
        <f t="shared" si="102"/>
        <v>0</v>
      </c>
      <c r="BF293" s="31">
        <f t="shared" si="103"/>
        <v>0</v>
      </c>
      <c r="BG293" s="31">
        <f t="shared" si="104"/>
        <v>0</v>
      </c>
      <c r="BH293" s="31">
        <f>VLOOKUP(B293,Miljö!$B$1:$BX$482,MATCH("Fossilandel för ursprungspecificerad el ()",Miljö!$B$1:$I$1,0),FALSE)</f>
        <v>0.35</v>
      </c>
      <c r="BI293" s="31">
        <f>VLOOKUP(B293,Miljö!$B$1:$BX$482,MATCH("Kärnkraftsandel för ursprungsspecificerad el ()",Miljö!$B$1:$O$1,0),FALSE)</f>
        <v>0.3977</v>
      </c>
      <c r="BJ293" s="31">
        <f t="shared" si="105"/>
        <v>0</v>
      </c>
      <c r="BK293" s="31" t="str">
        <f>VLOOKUP(B293,Miljö!$B$1:$P$482,MATCH("Fossil andel i procent (%)",Miljö!$B$1:$P$1,0),FALSE)</f>
        <v>ET</v>
      </c>
      <c r="BL293" s="31">
        <f t="shared" si="106"/>
        <v>0</v>
      </c>
      <c r="BO293" s="32" t="str">
        <f t="shared" si="107"/>
        <v/>
      </c>
      <c r="BP293" s="32" t="str">
        <f t="shared" si="108"/>
        <v/>
      </c>
      <c r="BQ293" s="32" t="str">
        <f t="shared" si="109"/>
        <v/>
      </c>
      <c r="BR293" s="32" t="str">
        <f t="shared" si="110"/>
        <v/>
      </c>
      <c r="BT293" s="62">
        <f t="shared" si="111"/>
        <v>0</v>
      </c>
      <c r="BW293" s="32" t="str">
        <f>IF(AP293="Ja",VLOOKUP(B293,Miljövärden!$B$2:$H$551,MATCH("Total andel fossilt",Miljövärden!$B$2:$H$2,0),FALSE),"")</f>
        <v/>
      </c>
      <c r="BX293" s="62" t="e">
        <f t="shared" si="112"/>
        <v>#VALUE!</v>
      </c>
      <c r="BZ293" s="31" t="str">
        <f t="shared" si="113"/>
        <v/>
      </c>
      <c r="CA293" s="32" t="str">
        <f t="shared" si="114"/>
        <v/>
      </c>
    </row>
    <row r="294" spans="1:79" x14ac:dyDescent="0.45">
      <c r="A294" s="31" t="s">
        <v>297</v>
      </c>
      <c r="B294" s="31" t="s">
        <v>296</v>
      </c>
      <c r="C294" s="31">
        <f>VLOOKUP($B294,'Tillförd energi'!$B$1:$AI$720,MATCH(C$1,'Tillförd energi'!$B$1:$AQ$1,0),FALSE)</f>
        <v>0</v>
      </c>
      <c r="D294" s="31">
        <f>VLOOKUP($B294,'Tillförd energi'!$B$1:$AI$720,MATCH(D$1,'Tillförd energi'!$B$1:$AQ$1,0),FALSE)</f>
        <v>3.0971899999999999</v>
      </c>
      <c r="E294" s="31">
        <f>VLOOKUP($B294,'Tillförd energi'!$B$1:$AI$720,MATCH(E$1,'Tillförd energi'!$B$1:$AQ$1,0),FALSE)</f>
        <v>0</v>
      </c>
      <c r="F294" s="31">
        <f>VLOOKUP($B294,'Tillförd energi'!$B$1:$AI$720,MATCH(F$1,'Tillförd energi'!$B$1:$AQ$1,0),FALSE)</f>
        <v>1.5529999999999999</v>
      </c>
      <c r="G294" s="31">
        <f>VLOOKUP($B294,'Tillförd energi'!$B$1:$AI$720,MATCH(G$1,'Tillförd energi'!$B$1:$AQ$1,0),FALSE)</f>
        <v>0</v>
      </c>
      <c r="H294" s="31">
        <f>VLOOKUP($B294,'Tillförd energi'!$B$1:$AI$720,MATCH(H$1,'Tillförd energi'!$B$1:$AQ$1,0),FALSE)</f>
        <v>0</v>
      </c>
      <c r="I294" s="31">
        <f>VLOOKUP($B294,'Tillförd energi'!$B$1:$AI$720,MATCH(I$1,'Tillförd energi'!$B$1:$AQ$1,0),FALSE)</f>
        <v>137.31100000000001</v>
      </c>
      <c r="J294" s="31">
        <f>VLOOKUP($B294,'Tillförd energi'!$B$1:$AI$720,MATCH(J$1,'Tillförd energi'!$B$1:$AQ$1,0),FALSE)</f>
        <v>3.347</v>
      </c>
      <c r="K294" s="31">
        <f>VLOOKUP($B294,'Tillförd energi'!$B$1:$AI$720,MATCH(K$1,'Tillförd energi'!$B$1:$AQ$1,0),FALSE)</f>
        <v>0</v>
      </c>
      <c r="L294" s="31">
        <f>VLOOKUP($B294,'Tillförd energi'!$B$1:$AI$720,MATCH(L$1,'Tillförd energi'!$B$1:$AQ$1,0),FALSE)</f>
        <v>367.392</v>
      </c>
      <c r="M294" s="31">
        <f>VLOOKUP($B294,'Tillförd energi'!$B$1:$AI$720,MATCH(M$1,'Tillförd energi'!$B$1:$AQ$1,0),FALSE)</f>
        <v>2.44809E-2</v>
      </c>
      <c r="N294" s="31">
        <f>VLOOKUP($B294,'Tillförd energi'!$B$1:$AI$720,MATCH(N$1,'Tillförd energi'!$B$1:$AQ$1,0),FALSE)</f>
        <v>8.7888999999999999</v>
      </c>
      <c r="O294" s="31">
        <f>VLOOKUP($B294,'Tillförd energi'!$B$1:$AI$720,MATCH(O$1,'Tillförd energi'!$B$1:$AQ$1,0),FALSE)</f>
        <v>70.4255</v>
      </c>
      <c r="P294" s="31">
        <f>VLOOKUP($B294,'Tillförd energi'!$B$1:$AI$720,MATCH(P$1,'Tillförd energi'!$B$1:$AQ$1,0),FALSE)</f>
        <v>37.186500000000002</v>
      </c>
      <c r="Q294" s="31">
        <f>VLOOKUP($B294,'Tillförd energi'!$B$1:$AI$720,MATCH(Q$1,'Tillförd energi'!$B$1:$AQ$1,0),FALSE)</f>
        <v>0.86062399999999994</v>
      </c>
      <c r="R294" s="31">
        <f>VLOOKUP($B294,'Tillförd energi'!$B$1:$AI$720,MATCH(R$1,'Tillförd energi'!$B$1:$AQ$1,0),FALSE)</f>
        <v>16.081</v>
      </c>
      <c r="S294" s="31">
        <f>VLOOKUP($B294,'Tillförd energi'!$B$1:$AI$720,MATCH(S$1,'Tillförd energi'!$B$1:$AQ$1,0),FALSE)</f>
        <v>0</v>
      </c>
      <c r="T294" s="31">
        <f>VLOOKUP($B294,'Tillförd energi'!$B$1:$AI$720,MATCH(T$1,'Tillförd energi'!$B$1:$AQ$1,0),FALSE)</f>
        <v>0</v>
      </c>
      <c r="U294" s="31">
        <f>VLOOKUP($B294,'Tillförd energi'!$B$1:$AI$720,MATCH(U$1,'Tillförd energi'!$B$1:$AQ$1,0),FALSE)</f>
        <v>0</v>
      </c>
      <c r="V294" s="31">
        <f>VLOOKUP($B294,'Tillförd energi'!$B$1:$AI$720,MATCH(V$1,'Tillförd energi'!$B$1:$AQ$1,0),FALSE)</f>
        <v>30.718</v>
      </c>
      <c r="W294" s="31">
        <f>VLOOKUP($B294,'Tillförd energi'!$B$1:$AI$720,MATCH(W$1,'Tillförd energi'!$B$1:$AQ$1,0),FALSE)</f>
        <v>1.3979999999999999</v>
      </c>
      <c r="X294" s="31">
        <f>VLOOKUP($B294,'Tillförd energi'!$B$1:$AI$720,MATCH(X$1,'Tillförd energi'!$B$1:$AQ$1,0),FALSE)</f>
        <v>0</v>
      </c>
      <c r="Y294" s="31">
        <f>VLOOKUP($B294,'Tillförd energi'!$B$1:$AI$720,MATCH(Y$1,'Tillförd energi'!$B$1:$AQ$1,0),FALSE)</f>
        <v>0</v>
      </c>
      <c r="Z294" s="31">
        <f>VLOOKUP($B294,'Tillförd energi'!$B$1:$AI$720,MATCH(Z$1,'Tillförd energi'!$B$1:$AQ$1,0),FALSE)</f>
        <v>0</v>
      </c>
      <c r="AA294" s="31">
        <f>VLOOKUP($B294,'Tillförd energi'!$B$1:$AI$720,MATCH(AA$1,'Tillförd energi'!$B$1:$AQ$1,0),FALSE)</f>
        <v>3.33</v>
      </c>
      <c r="AB294" s="31">
        <f>VLOOKUP($B294,'Tillförd energi'!$B$1:$AI$720,MATCH(AB$1,'Tillförd energi'!$B$1:$AQ$1,0),FALSE)</f>
        <v>4.1150000000000002</v>
      </c>
      <c r="AC294" s="31">
        <f>VLOOKUP($B294,'Tillförd energi'!$B$1:$AI$720,MATCH(AC$1,'Tillförd energi'!$B$1:$AQ$1,0),FALSE)</f>
        <v>181.30799999999999</v>
      </c>
      <c r="AD294" s="31">
        <f>VLOOKUP($B294,'Tillförd energi'!$B$1:$AI$720,MATCH(AD$1,'Tillförd energi'!$B$1:$AQ$1,0),FALSE)</f>
        <v>0</v>
      </c>
      <c r="AE294" s="31">
        <f>VLOOKUP($B294,'Tillförd energi'!$B$1:$AI$720,MATCH(AE$1,'Tillförd energi'!$B$1:$AQ$1,0),FALSE)</f>
        <v>0</v>
      </c>
      <c r="AF294" s="31">
        <f>VLOOKUP($B294,'Tillförd energi'!$B$1:$AI$720,MATCH(AF$1,'Tillförd energi'!$B$1:$AQ$1,0),FALSE)</f>
        <v>35.059899999999999</v>
      </c>
      <c r="AG294" s="31">
        <f>IFERROR(VLOOKUP(B294,Miljö!$B$1:$AC$550,MATCH("Köpt mängd produktionsspecifik fjärrvärme:",Miljö!$B$1:$AC$1,0),FALSE)/1,0)</f>
        <v>102.14100000000001</v>
      </c>
      <c r="AI294" s="31">
        <f t="shared" si="92"/>
        <v>901.9960949</v>
      </c>
      <c r="AJ294" s="31">
        <f t="shared" si="93"/>
        <v>1004.1370949</v>
      </c>
      <c r="AK294" s="31">
        <f>IF(ISERROR(1/VLOOKUP($B294,Leveranser!$B$1:$S$499,MATCH("Såld värme (GWh)",Leveranser!$B$1:$S$1,0),FALSE)),"",VLOOKUP($B294,Leveranser!$B$1:$S$499,MATCH("Såld värme (GWh)",Leveranser!$B$1:$S$1,0),FALSE))</f>
        <v>958.56399999999996</v>
      </c>
      <c r="AL294" s="31">
        <f>VLOOKUP($B294,Leveranser!$B$1:$Y$499,MATCH("Totalt såld fjärrvärme till andra fjärrvärmeföretag",Leveranser!$B$1:$AA$1,0),FALSE)</f>
        <v>2.246</v>
      </c>
      <c r="AM294" s="31">
        <f>IF(ISERROR(1/VLOOKUP($B294,Miljö!$B$1:$S$500,MATCH("Såld mängd produktionsspecifik fjärrvärme (GWh)",Miljö!$B$1:$R$1,0),FALSE)),0,VLOOKUP($B294,Miljö!$B$1:$S$500,MATCH("Såld mängd produktionsspecifik fjärrvärme (GWh)",Miljö!$B$1:$R$1,0),FALSE))</f>
        <v>0</v>
      </c>
      <c r="AN294" s="32">
        <f t="shared" si="94"/>
        <v>0.95461466852338672</v>
      </c>
      <c r="AP294" s="31" t="str">
        <f>IFERROR(VLOOKUP($B294,Miljövärden!$B$2:$H$550,7,FALSE),"Nej, saknas")</f>
        <v>Ja</v>
      </c>
      <c r="AQ294" s="31" t="str">
        <f>IFERROR(VLOOKUP($B294,Miljövärden!$B$2:$H$551,6,FALSE),"Nej, saknas")</f>
        <v>Ja</v>
      </c>
      <c r="AU294" s="31">
        <f t="shared" si="95"/>
        <v>38.389899999999997</v>
      </c>
      <c r="AV294" s="31">
        <f t="shared" si="96"/>
        <v>0</v>
      </c>
      <c r="AW294" s="31">
        <f t="shared" si="97"/>
        <v>117.28600489999999</v>
      </c>
      <c r="AX294" s="31">
        <f t="shared" si="98"/>
        <v>16.081</v>
      </c>
      <c r="AZ294" s="31">
        <f t="shared" si="99"/>
        <v>532.87500490000002</v>
      </c>
      <c r="BC294" s="31">
        <f t="shared" si="100"/>
        <v>4.6501900000000003</v>
      </c>
      <c r="BD294" s="31">
        <f t="shared" si="101"/>
        <v>0</v>
      </c>
      <c r="BE294" s="31">
        <f t="shared" si="102"/>
        <v>165.48300489999997</v>
      </c>
      <c r="BF294" s="31">
        <f t="shared" si="103"/>
        <v>693.47299999999996</v>
      </c>
      <c r="BG294" s="31">
        <f t="shared" si="104"/>
        <v>38.389899999999997</v>
      </c>
      <c r="BH294" s="31">
        <f>VLOOKUP(B294,Miljö!$B$1:$BX$482,MATCH("Fossilandel för ursprungspecificerad el ()",Miljö!$B$1:$I$1,0),FALSE)</f>
        <v>0</v>
      </c>
      <c r="BI294" s="31">
        <f>VLOOKUP(B294,Miljö!$B$1:$BX$482,MATCH("Kärnkraftsandel för ursprungsspecificerad el ()",Miljö!$B$1:$O$1,0),FALSE)</f>
        <v>0</v>
      </c>
      <c r="BJ294" s="31">
        <f t="shared" si="105"/>
        <v>102.14100000000001</v>
      </c>
      <c r="BK294" s="31">
        <f>VLOOKUP(B294,Miljö!$B$1:$P$482,MATCH("Fossil andel i procent (%)",Miljö!$B$1:$P$1,0),FALSE)</f>
        <v>5.53</v>
      </c>
      <c r="BL294" s="31">
        <f t="shared" si="106"/>
        <v>1004.1370949</v>
      </c>
      <c r="BO294" s="32">
        <f t="shared" si="107"/>
        <v>1.0256156606808373E-2</v>
      </c>
      <c r="BP294" s="32">
        <f t="shared" si="108"/>
        <v>9.6095048365491875E-2</v>
      </c>
      <c r="BQ294" s="32">
        <f t="shared" si="109"/>
        <v>0.20303293836615335</v>
      </c>
      <c r="BR294" s="32">
        <f t="shared" si="110"/>
        <v>0.69061585666154635</v>
      </c>
      <c r="BT294" s="62">
        <f t="shared" si="111"/>
        <v>1</v>
      </c>
      <c r="BW294" s="32">
        <f>IF(AP294="Ja",VLOOKUP(B294,Miljövärden!$B$2:$H$551,MATCH("Total andel fossilt",Miljövärden!$B$2:$H$2,0),FALSE),"")</f>
        <v>1.02562E-2</v>
      </c>
      <c r="BX294" s="62">
        <f t="shared" si="112"/>
        <v>4.3393191626744931E-8</v>
      </c>
      <c r="BZ294" s="31">
        <f t="shared" si="113"/>
        <v>4.3393191626744931E-8</v>
      </c>
      <c r="CA294" s="32">
        <f t="shared" si="114"/>
        <v>0</v>
      </c>
    </row>
    <row r="295" spans="1:79" x14ac:dyDescent="0.45">
      <c r="A295" s="31" t="s">
        <v>295</v>
      </c>
      <c r="B295" s="31" t="s">
        <v>127</v>
      </c>
      <c r="C295" s="31">
        <f>VLOOKUP($B295,'Tillförd energi'!$B$1:$AI$720,MATCH(C$1,'Tillförd energi'!$B$1:$AQ$1,0),FALSE)</f>
        <v>0</v>
      </c>
      <c r="D295" s="31">
        <f>VLOOKUP($B295,'Tillförd energi'!$B$1:$AI$720,MATCH(D$1,'Tillförd energi'!$B$1:$AQ$1,0),FALSE)</f>
        <v>3.8</v>
      </c>
      <c r="E295" s="31">
        <f>VLOOKUP($B295,'Tillförd energi'!$B$1:$AI$720,MATCH(E$1,'Tillförd energi'!$B$1:$AQ$1,0),FALSE)</f>
        <v>0</v>
      </c>
      <c r="F295" s="31">
        <f>VLOOKUP($B295,'Tillförd energi'!$B$1:$AI$720,MATCH(F$1,'Tillförd energi'!$B$1:$AQ$1,0),FALSE)</f>
        <v>0</v>
      </c>
      <c r="G295" s="31">
        <f>VLOOKUP($B295,'Tillförd energi'!$B$1:$AI$720,MATCH(G$1,'Tillförd energi'!$B$1:$AQ$1,0),FALSE)</f>
        <v>0</v>
      </c>
      <c r="H295" s="31">
        <f>VLOOKUP($B295,'Tillförd energi'!$B$1:$AI$720,MATCH(H$1,'Tillförd energi'!$B$1:$AQ$1,0),FALSE)</f>
        <v>0</v>
      </c>
      <c r="I295" s="31">
        <f>VLOOKUP($B295,'Tillförd energi'!$B$1:$AI$720,MATCH(I$1,'Tillförd energi'!$B$1:$AQ$1,0),FALSE)</f>
        <v>0</v>
      </c>
      <c r="J295" s="31">
        <f>VLOOKUP($B295,'Tillförd energi'!$B$1:$AI$720,MATCH(J$1,'Tillförd energi'!$B$1:$AQ$1,0),FALSE)</f>
        <v>0</v>
      </c>
      <c r="K295" s="31">
        <f>VLOOKUP($B295,'Tillförd energi'!$B$1:$AI$720,MATCH(K$1,'Tillförd energi'!$B$1:$AQ$1,0),FALSE)</f>
        <v>0</v>
      </c>
      <c r="L295" s="31">
        <f>VLOOKUP($B295,'Tillförd energi'!$B$1:$AI$720,MATCH(L$1,'Tillförd energi'!$B$1:$AQ$1,0),FALSE)</f>
        <v>0</v>
      </c>
      <c r="M295" s="31">
        <f>VLOOKUP($B295,'Tillförd energi'!$B$1:$AI$720,MATCH(M$1,'Tillförd energi'!$B$1:$AQ$1,0),FALSE)</f>
        <v>0</v>
      </c>
      <c r="N295" s="31">
        <f>VLOOKUP($B295,'Tillförd energi'!$B$1:$AI$720,MATCH(N$1,'Tillförd energi'!$B$1:$AQ$1,0),FALSE)</f>
        <v>0</v>
      </c>
      <c r="O295" s="31">
        <f>VLOOKUP($B295,'Tillförd energi'!$B$1:$AI$720,MATCH(O$1,'Tillförd energi'!$B$1:$AQ$1,0),FALSE)</f>
        <v>0</v>
      </c>
      <c r="P295" s="31">
        <f>VLOOKUP($B295,'Tillförd energi'!$B$1:$AI$720,MATCH(P$1,'Tillförd energi'!$B$1:$AQ$1,0),FALSE)</f>
        <v>0</v>
      </c>
      <c r="Q295" s="31">
        <f>VLOOKUP($B295,'Tillförd energi'!$B$1:$AI$720,MATCH(Q$1,'Tillförd energi'!$B$1:$AQ$1,0),FALSE)</f>
        <v>0</v>
      </c>
      <c r="R295" s="31">
        <f>VLOOKUP($B295,'Tillförd energi'!$B$1:$AI$720,MATCH(R$1,'Tillförd energi'!$B$1:$AQ$1,0),FALSE)</f>
        <v>0</v>
      </c>
      <c r="S295" s="31">
        <f>VLOOKUP($B295,'Tillförd energi'!$B$1:$AI$720,MATCH(S$1,'Tillförd energi'!$B$1:$AQ$1,0),FALSE)</f>
        <v>0</v>
      </c>
      <c r="T295" s="31">
        <f>VLOOKUP($B295,'Tillförd energi'!$B$1:$AI$720,MATCH(T$1,'Tillförd energi'!$B$1:$AQ$1,0),FALSE)</f>
        <v>0</v>
      </c>
      <c r="U295" s="31">
        <f>VLOOKUP($B295,'Tillförd energi'!$B$1:$AI$720,MATCH(U$1,'Tillförd energi'!$B$1:$AQ$1,0),FALSE)</f>
        <v>0</v>
      </c>
      <c r="V295" s="31">
        <f>VLOOKUP($B295,'Tillförd energi'!$B$1:$AI$720,MATCH(V$1,'Tillförd energi'!$B$1:$AQ$1,0),FALSE)</f>
        <v>0</v>
      </c>
      <c r="W295" s="31">
        <f>VLOOKUP($B295,'Tillförd energi'!$B$1:$AI$720,MATCH(W$1,'Tillförd energi'!$B$1:$AQ$1,0),FALSE)</f>
        <v>0</v>
      </c>
      <c r="X295" s="31">
        <f>VLOOKUP($B295,'Tillförd energi'!$B$1:$AI$720,MATCH(X$1,'Tillförd energi'!$B$1:$AQ$1,0),FALSE)</f>
        <v>0</v>
      </c>
      <c r="Y295" s="31">
        <f>VLOOKUP($B295,'Tillförd energi'!$B$1:$AI$720,MATCH(Y$1,'Tillförd energi'!$B$1:$AQ$1,0),FALSE)</f>
        <v>0</v>
      </c>
      <c r="Z295" s="31">
        <f>VLOOKUP($B295,'Tillförd energi'!$B$1:$AI$720,MATCH(Z$1,'Tillförd energi'!$B$1:$AQ$1,0),FALSE)</f>
        <v>0</v>
      </c>
      <c r="AA295" s="31">
        <f>VLOOKUP($B295,'Tillförd energi'!$B$1:$AI$720,MATCH(AA$1,'Tillförd energi'!$B$1:$AQ$1,0),FALSE)</f>
        <v>0</v>
      </c>
      <c r="AB295" s="31">
        <f>VLOOKUP($B295,'Tillförd energi'!$B$1:$AI$720,MATCH(AB$1,'Tillförd energi'!$B$1:$AQ$1,0),FALSE)</f>
        <v>0</v>
      </c>
      <c r="AC295" s="31">
        <f>VLOOKUP($B295,'Tillförd energi'!$B$1:$AI$720,MATCH(AC$1,'Tillförd energi'!$B$1:$AQ$1,0),FALSE)</f>
        <v>0</v>
      </c>
      <c r="AD295" s="31">
        <f>VLOOKUP($B295,'Tillförd energi'!$B$1:$AI$720,MATCH(AD$1,'Tillförd energi'!$B$1:$AQ$1,0),FALSE)</f>
        <v>51</v>
      </c>
      <c r="AE295" s="31">
        <f>VLOOKUP($B295,'Tillförd energi'!$B$1:$AI$720,MATCH(AE$1,'Tillförd energi'!$B$1:$AQ$1,0),FALSE)</f>
        <v>0</v>
      </c>
      <c r="AF295" s="31">
        <f>VLOOKUP($B295,'Tillförd energi'!$B$1:$AI$720,MATCH(AF$1,'Tillförd energi'!$B$1:$AQ$1,0),FALSE)</f>
        <v>1.38</v>
      </c>
      <c r="AG295" s="31">
        <f>IFERROR(VLOOKUP(B295,Miljö!$B$1:$AC$550,MATCH("Köpt mängd produktionsspecifik fjärrvärme:",Miljö!$B$1:$AC$1,0),FALSE)/1,0)</f>
        <v>0</v>
      </c>
      <c r="AI295" s="31">
        <f t="shared" si="92"/>
        <v>56.18</v>
      </c>
      <c r="AJ295" s="31">
        <f t="shared" si="93"/>
        <v>56.18</v>
      </c>
      <c r="AK295" s="31">
        <f>IF(ISERROR(1/VLOOKUP($B295,Leveranser!$B$1:$S$499,MATCH("Såld värme (GWh)",Leveranser!$B$1:$S$1,0),FALSE)),"",VLOOKUP($B295,Leveranser!$B$1:$S$499,MATCH("Såld värme (GWh)",Leveranser!$B$1:$S$1,0),FALSE))</f>
        <v>46</v>
      </c>
      <c r="AL295" s="31">
        <f>VLOOKUP($B295,Leveranser!$B$1:$Y$499,MATCH("Totalt såld fjärrvärme till andra fjärrvärmeföretag",Leveranser!$B$1:$AA$1,0),FALSE)</f>
        <v>0</v>
      </c>
      <c r="AM295" s="31">
        <f>IF(ISERROR(1/VLOOKUP($B295,Miljö!$B$1:$S$500,MATCH("Såld mängd produktionsspecifik fjärrvärme (GWh)",Miljö!$B$1:$R$1,0),FALSE)),0,VLOOKUP($B295,Miljö!$B$1:$S$500,MATCH("Såld mängd produktionsspecifik fjärrvärme (GWh)",Miljö!$B$1:$R$1,0),FALSE))</f>
        <v>0</v>
      </c>
      <c r="AN295" s="32">
        <f t="shared" si="94"/>
        <v>0.81879672481310073</v>
      </c>
      <c r="AP295" s="31" t="str">
        <f>IFERROR(VLOOKUP($B295,Miljövärden!$B$2:$H$550,7,FALSE),"Nej, saknas")</f>
        <v>Ja</v>
      </c>
      <c r="AQ295" s="31" t="str">
        <f>IFERROR(VLOOKUP($B295,Miljövärden!$B$2:$H$551,6,FALSE),"Nej, saknas")</f>
        <v>Nej</v>
      </c>
      <c r="AU295" s="31">
        <f t="shared" si="95"/>
        <v>1.38</v>
      </c>
      <c r="AV295" s="31">
        <f t="shared" si="96"/>
        <v>0</v>
      </c>
      <c r="AW295" s="31">
        <f t="shared" si="97"/>
        <v>0</v>
      </c>
      <c r="AX295" s="31">
        <f t="shared" si="98"/>
        <v>0</v>
      </c>
      <c r="AZ295" s="31">
        <f t="shared" si="99"/>
        <v>0</v>
      </c>
      <c r="BC295" s="31">
        <f t="shared" si="100"/>
        <v>3.8</v>
      </c>
      <c r="BD295" s="31">
        <f t="shared" si="101"/>
        <v>0</v>
      </c>
      <c r="BE295" s="31">
        <f t="shared" si="102"/>
        <v>0</v>
      </c>
      <c r="BF295" s="31">
        <f t="shared" si="103"/>
        <v>51</v>
      </c>
      <c r="BG295" s="31">
        <f t="shared" si="104"/>
        <v>1.38</v>
      </c>
      <c r="BH295" s="31">
        <f>VLOOKUP(B295,Miljö!$B$1:$BX$482,MATCH("Fossilandel för ursprungspecificerad el ()",Miljö!$B$1:$I$1,0),FALSE)</f>
        <v>0.35</v>
      </c>
      <c r="BI295" s="31">
        <f>VLOOKUP(B295,Miljö!$B$1:$BX$482,MATCH("Kärnkraftsandel för ursprungsspecificerad el ()",Miljö!$B$1:$O$1,0),FALSE)</f>
        <v>0.3977</v>
      </c>
      <c r="BJ295" s="31">
        <f t="shared" si="105"/>
        <v>0</v>
      </c>
      <c r="BK295" s="31" t="str">
        <f>VLOOKUP(B295,Miljö!$B$1:$P$482,MATCH("Fossil andel i procent (%)",Miljö!$B$1:$P$1,0),FALSE)</f>
        <v>ET</v>
      </c>
      <c r="BL295" s="31">
        <f t="shared" si="106"/>
        <v>56.18</v>
      </c>
      <c r="BO295" s="32">
        <f t="shared" si="107"/>
        <v>7.6237095051619783E-2</v>
      </c>
      <c r="BP295" s="32">
        <f t="shared" si="108"/>
        <v>9.7690637237451035E-3</v>
      </c>
      <c r="BQ295" s="32">
        <f t="shared" si="109"/>
        <v>6.1974724101103596E-3</v>
      </c>
      <c r="BR295" s="32">
        <f t="shared" si="110"/>
        <v>0.90779636881452475</v>
      </c>
      <c r="BT295" s="62">
        <f t="shared" si="111"/>
        <v>1</v>
      </c>
      <c r="BW295" s="32">
        <f>IF(AP295="Ja",VLOOKUP(B295,Miljövärden!$B$2:$H$551,MATCH("Total andel fossilt",Miljövärden!$B$2:$H$2,0),FALSE),"")</f>
        <v>7.6237100000000002E-2</v>
      </c>
      <c r="BX295" s="62">
        <f t="shared" si="112"/>
        <v>4.9483802194716375E-9</v>
      </c>
      <c r="BZ295" s="31">
        <f t="shared" si="113"/>
        <v>4.9483802194716375E-9</v>
      </c>
      <c r="CA295" s="32">
        <f t="shared" si="114"/>
        <v>0</v>
      </c>
    </row>
    <row r="296" spans="1:79" x14ac:dyDescent="0.45">
      <c r="A296" s="31" t="s">
        <v>289</v>
      </c>
      <c r="B296" s="31" t="s">
        <v>294</v>
      </c>
      <c r="C296" s="31">
        <f>VLOOKUP($B296,'Tillförd energi'!$B$1:$AI$720,MATCH(C$1,'Tillförd energi'!$B$1:$AQ$1,0),FALSE)</f>
        <v>0</v>
      </c>
      <c r="D296" s="31">
        <f>VLOOKUP($B296,'Tillförd energi'!$B$1:$AI$720,MATCH(D$1,'Tillförd energi'!$B$1:$AQ$1,0),FALSE)</f>
        <v>0</v>
      </c>
      <c r="E296" s="31">
        <f>VLOOKUP($B296,'Tillförd energi'!$B$1:$AI$720,MATCH(E$1,'Tillförd energi'!$B$1:$AQ$1,0),FALSE)</f>
        <v>0</v>
      </c>
      <c r="F296" s="31">
        <f>VLOOKUP($B296,'Tillförd energi'!$B$1:$AI$720,MATCH(F$1,'Tillförd energi'!$B$1:$AQ$1,0),FALSE)</f>
        <v>0</v>
      </c>
      <c r="G296" s="31">
        <f>VLOOKUP($B296,'Tillförd energi'!$B$1:$AI$720,MATCH(G$1,'Tillförd energi'!$B$1:$AQ$1,0),FALSE)</f>
        <v>0</v>
      </c>
      <c r="H296" s="31">
        <f>VLOOKUP($B296,'Tillförd energi'!$B$1:$AI$720,MATCH(H$1,'Tillförd energi'!$B$1:$AQ$1,0),FALSE)</f>
        <v>0</v>
      </c>
      <c r="I296" s="31">
        <f>VLOOKUP($B296,'Tillförd energi'!$B$1:$AI$720,MATCH(I$1,'Tillförd energi'!$B$1:$AQ$1,0),FALSE)</f>
        <v>0</v>
      </c>
      <c r="J296" s="31">
        <f>VLOOKUP($B296,'Tillförd energi'!$B$1:$AI$720,MATCH(J$1,'Tillförd energi'!$B$1:$AQ$1,0),FALSE)</f>
        <v>0</v>
      </c>
      <c r="K296" s="31">
        <f>VLOOKUP($B296,'Tillförd energi'!$B$1:$AI$720,MATCH(K$1,'Tillförd energi'!$B$1:$AQ$1,0),FALSE)</f>
        <v>0</v>
      </c>
      <c r="L296" s="31">
        <f>VLOOKUP($B296,'Tillförd energi'!$B$1:$AI$720,MATCH(L$1,'Tillförd energi'!$B$1:$AQ$1,0),FALSE)</f>
        <v>0</v>
      </c>
      <c r="M296" s="31">
        <f>VLOOKUP($B296,'Tillförd energi'!$B$1:$AI$720,MATCH(M$1,'Tillförd energi'!$B$1:$AQ$1,0),FALSE)</f>
        <v>0</v>
      </c>
      <c r="N296" s="31">
        <f>VLOOKUP($B296,'Tillförd energi'!$B$1:$AI$720,MATCH(N$1,'Tillförd energi'!$B$1:$AQ$1,0),FALSE)</f>
        <v>13.456</v>
      </c>
      <c r="O296" s="31">
        <f>VLOOKUP($B296,'Tillförd energi'!$B$1:$AI$720,MATCH(O$1,'Tillförd energi'!$B$1:$AQ$1,0),FALSE)</f>
        <v>0</v>
      </c>
      <c r="P296" s="31">
        <f>VLOOKUP($B296,'Tillförd energi'!$B$1:$AI$720,MATCH(P$1,'Tillförd energi'!$B$1:$AQ$1,0),FALSE)</f>
        <v>0</v>
      </c>
      <c r="Q296" s="31">
        <f>VLOOKUP($B296,'Tillförd energi'!$B$1:$AI$720,MATCH(Q$1,'Tillförd energi'!$B$1:$AQ$1,0),FALSE)</f>
        <v>0</v>
      </c>
      <c r="R296" s="31">
        <f>VLOOKUP($B296,'Tillförd energi'!$B$1:$AI$720,MATCH(R$1,'Tillförd energi'!$B$1:$AQ$1,0),FALSE)</f>
        <v>0</v>
      </c>
      <c r="S296" s="31">
        <f>VLOOKUP($B296,'Tillförd energi'!$B$1:$AI$720,MATCH(S$1,'Tillförd energi'!$B$1:$AQ$1,0),FALSE)</f>
        <v>0</v>
      </c>
      <c r="T296" s="31">
        <f>VLOOKUP($B296,'Tillförd energi'!$B$1:$AI$720,MATCH(T$1,'Tillförd energi'!$B$1:$AQ$1,0),FALSE)</f>
        <v>0</v>
      </c>
      <c r="U296" s="31">
        <f>VLOOKUP($B296,'Tillförd energi'!$B$1:$AI$720,MATCH(U$1,'Tillförd energi'!$B$1:$AQ$1,0),FALSE)</f>
        <v>0</v>
      </c>
      <c r="V296" s="31">
        <f>VLOOKUP($B296,'Tillförd energi'!$B$1:$AI$720,MATCH(V$1,'Tillförd energi'!$B$1:$AQ$1,0),FALSE)</f>
        <v>0</v>
      </c>
      <c r="W296" s="31">
        <f>VLOOKUP($B296,'Tillförd energi'!$B$1:$AI$720,MATCH(W$1,'Tillförd energi'!$B$1:$AQ$1,0),FALSE)</f>
        <v>0.95</v>
      </c>
      <c r="X296" s="31">
        <f>VLOOKUP($B296,'Tillförd energi'!$B$1:$AI$720,MATCH(X$1,'Tillförd energi'!$B$1:$AQ$1,0),FALSE)</f>
        <v>0</v>
      </c>
      <c r="Y296" s="31">
        <f>VLOOKUP($B296,'Tillförd energi'!$B$1:$AI$720,MATCH(Y$1,'Tillförd energi'!$B$1:$AQ$1,0),FALSE)</f>
        <v>0</v>
      </c>
      <c r="Z296" s="31">
        <f>VLOOKUP($B296,'Tillförd energi'!$B$1:$AI$720,MATCH(Z$1,'Tillförd energi'!$B$1:$AQ$1,0),FALSE)</f>
        <v>0</v>
      </c>
      <c r="AA296" s="31">
        <f>VLOOKUP($B296,'Tillförd energi'!$B$1:$AI$720,MATCH(AA$1,'Tillförd energi'!$B$1:$AQ$1,0),FALSE)</f>
        <v>0</v>
      </c>
      <c r="AB296" s="31">
        <f>VLOOKUP($B296,'Tillförd energi'!$B$1:$AI$720,MATCH(AB$1,'Tillförd energi'!$B$1:$AQ$1,0),FALSE)</f>
        <v>0</v>
      </c>
      <c r="AC296" s="31">
        <f>VLOOKUP($B296,'Tillförd energi'!$B$1:$AI$720,MATCH(AC$1,'Tillförd energi'!$B$1:$AQ$1,0),FALSE)</f>
        <v>0</v>
      </c>
      <c r="AD296" s="31">
        <f>VLOOKUP($B296,'Tillförd energi'!$B$1:$AI$720,MATCH(AD$1,'Tillförd energi'!$B$1:$AQ$1,0),FALSE)</f>
        <v>0</v>
      </c>
      <c r="AE296" s="31">
        <f>VLOOKUP($B296,'Tillförd energi'!$B$1:$AI$720,MATCH(AE$1,'Tillförd energi'!$B$1:$AQ$1,0),FALSE)</f>
        <v>0</v>
      </c>
      <c r="AF296" s="31">
        <f>VLOOKUP($B296,'Tillförd energi'!$B$1:$AI$720,MATCH(AF$1,'Tillförd energi'!$B$1:$AQ$1,0),FALSE)</f>
        <v>0.40300000000000002</v>
      </c>
      <c r="AG296" s="31">
        <f>IFERROR(VLOOKUP(B296,Miljö!$B$1:$AC$550,MATCH("Köpt mängd produktionsspecifik fjärrvärme:",Miljö!$B$1:$AC$1,0),FALSE)/1,0)</f>
        <v>0</v>
      </c>
      <c r="AI296" s="31">
        <f t="shared" si="92"/>
        <v>14.808999999999999</v>
      </c>
      <c r="AJ296" s="31">
        <f t="shared" si="93"/>
        <v>14.808999999999999</v>
      </c>
      <c r="AK296" s="31">
        <f>IF(ISERROR(1/VLOOKUP($B296,Leveranser!$B$1:$S$499,MATCH("Såld värme (GWh)",Leveranser!$B$1:$S$1,0),FALSE)),"",VLOOKUP($B296,Leveranser!$B$1:$S$499,MATCH("Såld värme (GWh)",Leveranser!$B$1:$S$1,0),FALSE))</f>
        <v>10.795999999999999</v>
      </c>
      <c r="AL296" s="31">
        <f>VLOOKUP($B296,Leveranser!$B$1:$Y$499,MATCH("Totalt såld fjärrvärme till andra fjärrvärmeföretag",Leveranser!$B$1:$AA$1,0),FALSE)</f>
        <v>0</v>
      </c>
      <c r="AM296" s="31">
        <f>IF(ISERROR(1/VLOOKUP($B296,Miljö!$B$1:$S$500,MATCH("Såld mängd produktionsspecifik fjärrvärme (GWh)",Miljö!$B$1:$R$1,0),FALSE)),0,VLOOKUP($B296,Miljö!$B$1:$S$500,MATCH("Såld mängd produktionsspecifik fjärrvärme (GWh)",Miljö!$B$1:$R$1,0),FALSE))</f>
        <v>0</v>
      </c>
      <c r="AN296" s="32">
        <f t="shared" si="94"/>
        <v>0.72901613883449257</v>
      </c>
      <c r="AP296" s="31" t="str">
        <f>IFERROR(VLOOKUP($B296,Miljövärden!$B$2:$H$550,7,FALSE),"Nej, saknas")</f>
        <v>Ja</v>
      </c>
      <c r="AQ296" s="31" t="str">
        <f>IFERROR(VLOOKUP($B296,Miljövärden!$B$2:$H$551,6,FALSE),"Nej, saknas")</f>
        <v>Ja</v>
      </c>
      <c r="AU296" s="31">
        <f t="shared" si="95"/>
        <v>0.40300000000000002</v>
      </c>
      <c r="AV296" s="31">
        <f t="shared" si="96"/>
        <v>0</v>
      </c>
      <c r="AW296" s="31">
        <f t="shared" si="97"/>
        <v>13.456</v>
      </c>
      <c r="AX296" s="31">
        <f t="shared" si="98"/>
        <v>0</v>
      </c>
      <c r="AZ296" s="31">
        <f t="shared" si="99"/>
        <v>14.405999999999999</v>
      </c>
      <c r="BC296" s="31">
        <f t="shared" si="100"/>
        <v>0</v>
      </c>
      <c r="BD296" s="31">
        <f t="shared" si="101"/>
        <v>0</v>
      </c>
      <c r="BE296" s="31">
        <f t="shared" si="102"/>
        <v>14.405999999999999</v>
      </c>
      <c r="BF296" s="31">
        <f t="shared" si="103"/>
        <v>0</v>
      </c>
      <c r="BG296" s="31">
        <f t="shared" si="104"/>
        <v>0.40300000000000002</v>
      </c>
      <c r="BH296" s="31">
        <f>VLOOKUP(B296,Miljö!$B$1:$BX$482,MATCH("Fossilandel för ursprungspecificerad el ()",Miljö!$B$1:$I$1,0),FALSE)</f>
        <v>0</v>
      </c>
      <c r="BI296" s="31">
        <f>VLOOKUP(B296,Miljö!$B$1:$BX$482,MATCH("Kärnkraftsandel för ursprungsspecificerad el ()",Miljö!$B$1:$O$1,0),FALSE)</f>
        <v>0</v>
      </c>
      <c r="BJ296" s="31">
        <f t="shared" si="105"/>
        <v>0</v>
      </c>
      <c r="BK296" s="31" t="str">
        <f>VLOOKUP(B296,Miljö!$B$1:$P$482,MATCH("Fossil andel i procent (%)",Miljö!$B$1:$P$1,0),FALSE)</f>
        <v>ET</v>
      </c>
      <c r="BL296" s="31">
        <f t="shared" si="106"/>
        <v>14.808999999999999</v>
      </c>
      <c r="BO296" s="32">
        <f t="shared" si="107"/>
        <v>0</v>
      </c>
      <c r="BP296" s="32">
        <f t="shared" si="108"/>
        <v>0</v>
      </c>
      <c r="BQ296" s="32">
        <f t="shared" si="109"/>
        <v>1</v>
      </c>
      <c r="BR296" s="32">
        <f t="shared" si="110"/>
        <v>0</v>
      </c>
      <c r="BT296" s="62">
        <f t="shared" si="111"/>
        <v>1</v>
      </c>
      <c r="BW296" s="32">
        <f>IF(AP296="Ja",VLOOKUP(B296,Miljövärden!$B$2:$H$551,MATCH("Total andel fossilt",Miljövärden!$B$2:$H$2,0),FALSE),"")</f>
        <v>0</v>
      </c>
      <c r="BX296" s="62">
        <f t="shared" si="112"/>
        <v>0</v>
      </c>
      <c r="BZ296" s="31">
        <f t="shared" si="113"/>
        <v>0</v>
      </c>
      <c r="CA296" s="32">
        <f t="shared" si="114"/>
        <v>0</v>
      </c>
    </row>
    <row r="297" spans="1:79" x14ac:dyDescent="0.45">
      <c r="A297" s="31" t="s">
        <v>289</v>
      </c>
      <c r="B297" s="31" t="s">
        <v>292</v>
      </c>
      <c r="C297" s="31">
        <f>VLOOKUP($B297,'Tillförd energi'!$B$1:$AI$720,MATCH(C$1,'Tillförd energi'!$B$1:$AQ$1,0),FALSE)</f>
        <v>0</v>
      </c>
      <c r="D297" s="31">
        <f>VLOOKUP($B297,'Tillförd energi'!$B$1:$AI$720,MATCH(D$1,'Tillförd energi'!$B$1:$AQ$1,0),FALSE)</f>
        <v>0.87</v>
      </c>
      <c r="E297" s="31">
        <f>VLOOKUP($B297,'Tillförd energi'!$B$1:$AI$720,MATCH(E$1,'Tillförd energi'!$B$1:$AQ$1,0),FALSE)</f>
        <v>0</v>
      </c>
      <c r="F297" s="31">
        <f>VLOOKUP($B297,'Tillförd energi'!$B$1:$AI$720,MATCH(F$1,'Tillförd energi'!$B$1:$AQ$1,0),FALSE)</f>
        <v>0</v>
      </c>
      <c r="G297" s="31">
        <f>VLOOKUP($B297,'Tillförd energi'!$B$1:$AI$720,MATCH(G$1,'Tillförd energi'!$B$1:$AQ$1,0),FALSE)</f>
        <v>0</v>
      </c>
      <c r="H297" s="31">
        <f>VLOOKUP($B297,'Tillförd energi'!$B$1:$AI$720,MATCH(H$1,'Tillförd energi'!$B$1:$AQ$1,0),FALSE)</f>
        <v>0</v>
      </c>
      <c r="I297" s="31">
        <f>VLOOKUP($B297,'Tillförd energi'!$B$1:$AI$720,MATCH(I$1,'Tillförd energi'!$B$1:$AQ$1,0),FALSE)</f>
        <v>0</v>
      </c>
      <c r="J297" s="31">
        <f>VLOOKUP($B297,'Tillförd energi'!$B$1:$AI$720,MATCH(J$1,'Tillförd energi'!$B$1:$AQ$1,0),FALSE)</f>
        <v>0</v>
      </c>
      <c r="K297" s="31">
        <f>VLOOKUP($B297,'Tillförd energi'!$B$1:$AI$720,MATCH(K$1,'Tillförd energi'!$B$1:$AQ$1,0),FALSE)</f>
        <v>0</v>
      </c>
      <c r="L297" s="31">
        <f>VLOOKUP($B297,'Tillförd energi'!$B$1:$AI$720,MATCH(L$1,'Tillförd energi'!$B$1:$AQ$1,0),FALSE)</f>
        <v>0</v>
      </c>
      <c r="M297" s="31">
        <f>VLOOKUP($B297,'Tillförd energi'!$B$1:$AI$720,MATCH(M$1,'Tillförd energi'!$B$1:$AQ$1,0),FALSE)</f>
        <v>0</v>
      </c>
      <c r="N297" s="31">
        <f>VLOOKUP($B297,'Tillförd energi'!$B$1:$AI$720,MATCH(N$1,'Tillförd energi'!$B$1:$AQ$1,0),FALSE)</f>
        <v>0</v>
      </c>
      <c r="O297" s="31">
        <f>VLOOKUP($B297,'Tillförd energi'!$B$1:$AI$720,MATCH(O$1,'Tillförd energi'!$B$1:$AQ$1,0),FALSE)</f>
        <v>0</v>
      </c>
      <c r="P297" s="31">
        <f>VLOOKUP($B297,'Tillförd energi'!$B$1:$AI$720,MATCH(P$1,'Tillförd energi'!$B$1:$AQ$1,0),FALSE)</f>
        <v>0</v>
      </c>
      <c r="Q297" s="31">
        <f>VLOOKUP($B297,'Tillförd energi'!$B$1:$AI$720,MATCH(Q$1,'Tillförd energi'!$B$1:$AQ$1,0),FALSE)</f>
        <v>23.874099999999999</v>
      </c>
      <c r="R297" s="31">
        <f>VLOOKUP($B297,'Tillförd energi'!$B$1:$AI$720,MATCH(R$1,'Tillförd energi'!$B$1:$AQ$1,0),FALSE)</f>
        <v>0</v>
      </c>
      <c r="S297" s="31">
        <f>VLOOKUP($B297,'Tillförd energi'!$B$1:$AI$720,MATCH(S$1,'Tillförd energi'!$B$1:$AQ$1,0),FALSE)</f>
        <v>0</v>
      </c>
      <c r="T297" s="31">
        <f>VLOOKUP($B297,'Tillförd energi'!$B$1:$AI$720,MATCH(T$1,'Tillförd energi'!$B$1:$AQ$1,0),FALSE)</f>
        <v>0</v>
      </c>
      <c r="U297" s="31">
        <f>VLOOKUP($B297,'Tillförd energi'!$B$1:$AI$720,MATCH(U$1,'Tillförd energi'!$B$1:$AQ$1,0),FALSE)</f>
        <v>0</v>
      </c>
      <c r="V297" s="31">
        <f>VLOOKUP($B297,'Tillförd energi'!$B$1:$AI$720,MATCH(V$1,'Tillförd energi'!$B$1:$AQ$1,0),FALSE)</f>
        <v>0</v>
      </c>
      <c r="W297" s="31">
        <f>VLOOKUP($B297,'Tillförd energi'!$B$1:$AI$720,MATCH(W$1,'Tillförd energi'!$B$1:$AQ$1,0),FALSE)</f>
        <v>0</v>
      </c>
      <c r="X297" s="31">
        <f>VLOOKUP($B297,'Tillförd energi'!$B$1:$AI$720,MATCH(X$1,'Tillförd energi'!$B$1:$AQ$1,0),FALSE)</f>
        <v>0</v>
      </c>
      <c r="Y297" s="31">
        <f>VLOOKUP($B297,'Tillförd energi'!$B$1:$AI$720,MATCH(Y$1,'Tillförd energi'!$B$1:$AQ$1,0),FALSE)</f>
        <v>0</v>
      </c>
      <c r="Z297" s="31">
        <f>VLOOKUP($B297,'Tillförd energi'!$B$1:$AI$720,MATCH(Z$1,'Tillförd energi'!$B$1:$AQ$1,0),FALSE)</f>
        <v>0</v>
      </c>
      <c r="AA297" s="31">
        <f>VLOOKUP($B297,'Tillförd energi'!$B$1:$AI$720,MATCH(AA$1,'Tillförd energi'!$B$1:$AQ$1,0),FALSE)</f>
        <v>0</v>
      </c>
      <c r="AB297" s="31">
        <f>VLOOKUP($B297,'Tillförd energi'!$B$1:$AI$720,MATCH(AB$1,'Tillförd energi'!$B$1:$AQ$1,0),FALSE)</f>
        <v>0</v>
      </c>
      <c r="AC297" s="31">
        <f>VLOOKUP($B297,'Tillförd energi'!$B$1:$AI$720,MATCH(AC$1,'Tillförd energi'!$B$1:$AQ$1,0),FALSE)</f>
        <v>0</v>
      </c>
      <c r="AD297" s="31">
        <f>VLOOKUP($B297,'Tillförd energi'!$B$1:$AI$720,MATCH(AD$1,'Tillförd energi'!$B$1:$AQ$1,0),FALSE)</f>
        <v>0</v>
      </c>
      <c r="AE297" s="31">
        <f>VLOOKUP($B297,'Tillförd energi'!$B$1:$AI$720,MATCH(AE$1,'Tillförd energi'!$B$1:$AQ$1,0),FALSE)</f>
        <v>0</v>
      </c>
      <c r="AF297" s="31">
        <f>VLOOKUP($B297,'Tillförd energi'!$B$1:$AI$720,MATCH(AF$1,'Tillförd energi'!$B$1:$AQ$1,0),FALSE)</f>
        <v>3.0000000000000001E-3</v>
      </c>
      <c r="AG297" s="31">
        <f>IFERROR(VLOOKUP(B297,Miljö!$B$1:$AC$550,MATCH("Köpt mängd produktionsspecifik fjärrvärme:",Miljö!$B$1:$AC$1,0),FALSE)/1,0)</f>
        <v>0</v>
      </c>
      <c r="AI297" s="31">
        <f t="shared" si="92"/>
        <v>24.7471</v>
      </c>
      <c r="AJ297" s="31">
        <f t="shared" si="93"/>
        <v>24.7471</v>
      </c>
      <c r="AK297" s="31">
        <f>IF(ISERROR(1/VLOOKUP($B297,Leveranser!$B$1:$S$499,MATCH("Såld värme (GWh)",Leveranser!$B$1:$S$1,0),FALSE)),"",VLOOKUP($B297,Leveranser!$B$1:$S$499,MATCH("Såld värme (GWh)",Leveranser!$B$1:$S$1,0),FALSE))</f>
        <v>17.611000000000001</v>
      </c>
      <c r="AL297" s="31">
        <f>VLOOKUP($B297,Leveranser!$B$1:$Y$499,MATCH("Totalt såld fjärrvärme till andra fjärrvärmeföretag",Leveranser!$B$1:$AA$1,0),FALSE)</f>
        <v>0</v>
      </c>
      <c r="AM297" s="31">
        <f>IF(ISERROR(1/VLOOKUP($B297,Miljö!$B$1:$S$500,MATCH("Såld mängd produktionsspecifik fjärrvärme (GWh)",Miljö!$B$1:$R$1,0),FALSE)),0,VLOOKUP($B297,Miljö!$B$1:$S$500,MATCH("Såld mängd produktionsspecifik fjärrvärme (GWh)",Miljö!$B$1:$R$1,0),FALSE))</f>
        <v>0</v>
      </c>
      <c r="AN297" s="32">
        <f t="shared" si="94"/>
        <v>0.71163893951210444</v>
      </c>
      <c r="AP297" s="31" t="str">
        <f>IFERROR(VLOOKUP($B297,Miljövärden!$B$2:$H$550,7,FALSE),"Nej, saknas")</f>
        <v>Ja</v>
      </c>
      <c r="AQ297" s="31" t="str">
        <f>IFERROR(VLOOKUP($B297,Miljövärden!$B$2:$H$551,6,FALSE),"Nej, saknas")</f>
        <v>Ja</v>
      </c>
      <c r="AU297" s="31">
        <f t="shared" si="95"/>
        <v>3.0000000000000001E-3</v>
      </c>
      <c r="AV297" s="31">
        <f t="shared" si="96"/>
        <v>0</v>
      </c>
      <c r="AW297" s="31">
        <f t="shared" si="97"/>
        <v>23.874099999999999</v>
      </c>
      <c r="AX297" s="31">
        <f t="shared" si="98"/>
        <v>0</v>
      </c>
      <c r="AZ297" s="31">
        <f t="shared" si="99"/>
        <v>23.874099999999999</v>
      </c>
      <c r="BC297" s="31">
        <f t="shared" si="100"/>
        <v>0.87</v>
      </c>
      <c r="BD297" s="31">
        <f t="shared" si="101"/>
        <v>0</v>
      </c>
      <c r="BE297" s="31">
        <f t="shared" si="102"/>
        <v>23.874099999999999</v>
      </c>
      <c r="BF297" s="31">
        <f t="shared" si="103"/>
        <v>0</v>
      </c>
      <c r="BG297" s="31">
        <f t="shared" si="104"/>
        <v>3.0000000000000001E-3</v>
      </c>
      <c r="BH297" s="31">
        <f>VLOOKUP(B297,Miljö!$B$1:$BX$482,MATCH("Fossilandel för ursprungspecificerad el ()",Miljö!$B$1:$I$1,0),FALSE)</f>
        <v>0</v>
      </c>
      <c r="BI297" s="31">
        <f>VLOOKUP(B297,Miljö!$B$1:$BX$482,MATCH("Kärnkraftsandel för ursprungsspecificerad el ()",Miljö!$B$1:$O$1,0),FALSE)</f>
        <v>0</v>
      </c>
      <c r="BJ297" s="31">
        <f t="shared" si="105"/>
        <v>0</v>
      </c>
      <c r="BK297" s="31" t="str">
        <f>VLOOKUP(B297,Miljö!$B$1:$P$482,MATCH("Fossil andel i procent (%)",Miljö!$B$1:$P$1,0),FALSE)</f>
        <v>ET</v>
      </c>
      <c r="BL297" s="31">
        <f t="shared" si="106"/>
        <v>24.7471</v>
      </c>
      <c r="BO297" s="32">
        <f t="shared" si="107"/>
        <v>3.5155634397565777E-2</v>
      </c>
      <c r="BP297" s="32">
        <f t="shared" si="108"/>
        <v>0</v>
      </c>
      <c r="BQ297" s="32">
        <f t="shared" si="109"/>
        <v>0.96484436560243414</v>
      </c>
      <c r="BR297" s="32">
        <f t="shared" si="110"/>
        <v>0</v>
      </c>
      <c r="BT297" s="62">
        <f t="shared" si="111"/>
        <v>0.99999999999999989</v>
      </c>
      <c r="BW297" s="32">
        <f>IF(AP297="Ja",VLOOKUP(B297,Miljövärden!$B$2:$H$551,MATCH("Total andel fossilt",Miljövärden!$B$2:$H$2,0),FALSE),"")</f>
        <v>3.5155600000000002E-2</v>
      </c>
      <c r="BX297" s="62">
        <f t="shared" si="112"/>
        <v>-3.4397565774890726E-8</v>
      </c>
      <c r="BZ297" s="31">
        <f t="shared" si="113"/>
        <v>-3.4397565774890726E-8</v>
      </c>
      <c r="CA297" s="32">
        <f t="shared" si="114"/>
        <v>0</v>
      </c>
    </row>
    <row r="298" spans="1:79" x14ac:dyDescent="0.45">
      <c r="A298" s="31" t="s">
        <v>289</v>
      </c>
      <c r="B298" s="31" t="s">
        <v>291</v>
      </c>
      <c r="C298" s="31">
        <f>VLOOKUP($B298,'Tillförd energi'!$B$1:$AI$720,MATCH(C$1,'Tillförd energi'!$B$1:$AQ$1,0),FALSE)</f>
        <v>1</v>
      </c>
      <c r="D298" s="31">
        <f>VLOOKUP($B298,'Tillförd energi'!$B$1:$AI$720,MATCH(D$1,'Tillförd energi'!$B$1:$AQ$1,0),FALSE)</f>
        <v>1.1000000000000001</v>
      </c>
      <c r="E298" s="31">
        <f>VLOOKUP($B298,'Tillförd energi'!$B$1:$AI$720,MATCH(E$1,'Tillförd energi'!$B$1:$AQ$1,0),FALSE)</f>
        <v>0</v>
      </c>
      <c r="F298" s="31">
        <f>VLOOKUP($B298,'Tillförd energi'!$B$1:$AI$720,MATCH(F$1,'Tillförd energi'!$B$1:$AQ$1,0),FALSE)</f>
        <v>5.8</v>
      </c>
      <c r="G298" s="31">
        <f>VLOOKUP($B298,'Tillförd energi'!$B$1:$AI$720,MATCH(G$1,'Tillförd energi'!$B$1:$AQ$1,0),FALSE)</f>
        <v>0</v>
      </c>
      <c r="H298" s="31">
        <f>VLOOKUP($B298,'Tillförd energi'!$B$1:$AI$720,MATCH(H$1,'Tillförd energi'!$B$1:$AQ$1,0),FALSE)</f>
        <v>1</v>
      </c>
      <c r="I298" s="31">
        <f>VLOOKUP($B298,'Tillförd energi'!$B$1:$AI$720,MATCH(I$1,'Tillförd energi'!$B$1:$AQ$1,0),FALSE)</f>
        <v>931.9</v>
      </c>
      <c r="J298" s="31">
        <f>VLOOKUP($B298,'Tillförd energi'!$B$1:$AI$720,MATCH(J$1,'Tillförd energi'!$B$1:$AQ$1,0),FALSE)</f>
        <v>0</v>
      </c>
      <c r="K298" s="31">
        <f>VLOOKUP($B298,'Tillförd energi'!$B$1:$AI$720,MATCH(K$1,'Tillförd energi'!$B$1:$AQ$1,0),FALSE)</f>
        <v>0</v>
      </c>
      <c r="L298" s="31">
        <f>VLOOKUP($B298,'Tillförd energi'!$B$1:$AI$720,MATCH(L$1,'Tillförd energi'!$B$1:$AQ$1,0),FALSE)</f>
        <v>208.6</v>
      </c>
      <c r="M298" s="31">
        <f>VLOOKUP($B298,'Tillförd energi'!$B$1:$AI$720,MATCH(M$1,'Tillförd energi'!$B$1:$AQ$1,0),FALSE)</f>
        <v>0.717221</v>
      </c>
      <c r="N298" s="31">
        <f>VLOOKUP($B298,'Tillförd energi'!$B$1:$AI$720,MATCH(N$1,'Tillförd energi'!$B$1:$AQ$1,0),FALSE)</f>
        <v>21</v>
      </c>
      <c r="O298" s="31">
        <f>VLOOKUP($B298,'Tillförd energi'!$B$1:$AI$720,MATCH(O$1,'Tillförd energi'!$B$1:$AQ$1,0),FALSE)</f>
        <v>0</v>
      </c>
      <c r="P298" s="31">
        <f>VLOOKUP($B298,'Tillförd energi'!$B$1:$AI$720,MATCH(P$1,'Tillförd energi'!$B$1:$AQ$1,0),FALSE)</f>
        <v>8.3000000000000007</v>
      </c>
      <c r="Q298" s="31">
        <f>VLOOKUP($B298,'Tillförd energi'!$B$1:$AI$720,MATCH(Q$1,'Tillförd energi'!$B$1:$AQ$1,0),FALSE)</f>
        <v>13</v>
      </c>
      <c r="R298" s="31">
        <f>VLOOKUP($B298,'Tillförd energi'!$B$1:$AI$720,MATCH(R$1,'Tillförd energi'!$B$1:$AQ$1,0),FALSE)</f>
        <v>0</v>
      </c>
      <c r="S298" s="31">
        <f>VLOOKUP($B298,'Tillförd energi'!$B$1:$AI$720,MATCH(S$1,'Tillförd energi'!$B$1:$AQ$1,0),FALSE)</f>
        <v>0</v>
      </c>
      <c r="T298" s="31">
        <f>VLOOKUP($B298,'Tillförd energi'!$B$1:$AI$720,MATCH(T$1,'Tillförd energi'!$B$1:$AQ$1,0),FALSE)</f>
        <v>0</v>
      </c>
      <c r="U298" s="31">
        <f>VLOOKUP($B298,'Tillförd energi'!$B$1:$AI$720,MATCH(U$1,'Tillförd energi'!$B$1:$AQ$1,0),FALSE)</f>
        <v>0</v>
      </c>
      <c r="V298" s="31">
        <f>VLOOKUP($B298,'Tillförd energi'!$B$1:$AI$720,MATCH(V$1,'Tillförd energi'!$B$1:$AQ$1,0),FALSE)</f>
        <v>0</v>
      </c>
      <c r="W298" s="31">
        <f>VLOOKUP($B298,'Tillförd energi'!$B$1:$AI$720,MATCH(W$1,'Tillförd energi'!$B$1:$AQ$1,0),FALSE)</f>
        <v>0.54700000000000004</v>
      </c>
      <c r="X298" s="31">
        <f>VLOOKUP($B298,'Tillförd energi'!$B$1:$AI$720,MATCH(X$1,'Tillförd energi'!$B$1:$AQ$1,0),FALSE)</f>
        <v>0</v>
      </c>
      <c r="Y298" s="31">
        <f>VLOOKUP($B298,'Tillförd energi'!$B$1:$AI$720,MATCH(Y$1,'Tillförd energi'!$B$1:$AQ$1,0),FALSE)</f>
        <v>0</v>
      </c>
      <c r="Z298" s="31">
        <f>VLOOKUP($B298,'Tillförd energi'!$B$1:$AI$720,MATCH(Z$1,'Tillförd energi'!$B$1:$AQ$1,0),FALSE)</f>
        <v>0</v>
      </c>
      <c r="AA298" s="31">
        <f>VLOOKUP($B298,'Tillförd energi'!$B$1:$AI$720,MATCH(AA$1,'Tillförd energi'!$B$1:$AQ$1,0),FALSE)</f>
        <v>0</v>
      </c>
      <c r="AB298" s="31">
        <f>VLOOKUP($B298,'Tillförd energi'!$B$1:$AI$720,MATCH(AB$1,'Tillförd energi'!$B$1:$AQ$1,0),FALSE)</f>
        <v>0</v>
      </c>
      <c r="AC298" s="31">
        <f>VLOOKUP($B298,'Tillförd energi'!$B$1:$AI$720,MATCH(AC$1,'Tillförd energi'!$B$1:$AQ$1,0),FALSE)</f>
        <v>192.3</v>
      </c>
      <c r="AD298" s="31">
        <f>VLOOKUP($B298,'Tillförd energi'!$B$1:$AI$720,MATCH(AD$1,'Tillförd energi'!$B$1:$AQ$1,0),FALSE)</f>
        <v>0</v>
      </c>
      <c r="AE298" s="31">
        <f>VLOOKUP($B298,'Tillförd energi'!$B$1:$AI$720,MATCH(AE$1,'Tillförd energi'!$B$1:$AQ$1,0),FALSE)</f>
        <v>0</v>
      </c>
      <c r="AF298" s="31">
        <f>VLOOKUP($B298,'Tillförd energi'!$B$1:$AI$720,MATCH(AF$1,'Tillförd energi'!$B$1:$AQ$1,0),FALSE)</f>
        <v>43.162999999999997</v>
      </c>
      <c r="AG298" s="31">
        <f>IFERROR(VLOOKUP(B298,Miljö!$B$1:$AC$550,MATCH("Köpt mängd produktionsspecifik fjärrvärme:",Miljö!$B$1:$AC$1,0),FALSE)/1,0)</f>
        <v>0</v>
      </c>
      <c r="AI298" s="31">
        <f t="shared" si="92"/>
        <v>1428.4272209999999</v>
      </c>
      <c r="AJ298" s="31">
        <f t="shared" si="93"/>
        <v>1428.4272209999999</v>
      </c>
      <c r="AK298" s="31">
        <f>IF(ISERROR(1/VLOOKUP($B298,Leveranser!$B$1:$S$499,MATCH("Såld värme (GWh)",Leveranser!$B$1:$S$1,0),FALSE)),"",VLOOKUP($B298,Leveranser!$B$1:$S$499,MATCH("Såld värme (GWh)",Leveranser!$B$1:$S$1,0),FALSE))</f>
        <v>1278.665</v>
      </c>
      <c r="AL298" s="31">
        <f>VLOOKUP($B298,Leveranser!$B$1:$Y$499,MATCH("Totalt såld fjärrvärme till andra fjärrvärmeföretag",Leveranser!$B$1:$AA$1,0),FALSE)</f>
        <v>79.040800000000004</v>
      </c>
      <c r="AM298" s="31">
        <f>IF(ISERROR(1/VLOOKUP($B298,Miljö!$B$1:$S$500,MATCH("Såld mängd produktionsspecifik fjärrvärme (GWh)",Miljö!$B$1:$R$1,0),FALSE)),0,VLOOKUP($B298,Miljö!$B$1:$S$500,MATCH("Såld mängd produktionsspecifik fjärrvärme (GWh)",Miljö!$B$1:$R$1,0),FALSE))</f>
        <v>3.5</v>
      </c>
      <c r="AN298" s="32">
        <f t="shared" si="94"/>
        <v>0.89515586177701389</v>
      </c>
      <c r="AP298" s="31" t="str">
        <f>IFERROR(VLOOKUP($B298,Miljövärden!$B$2:$H$550,7,FALSE),"Nej, saknas")</f>
        <v>Ja</v>
      </c>
      <c r="AQ298" s="31" t="str">
        <f>IFERROR(VLOOKUP($B298,Miljövärden!$B$2:$H$551,6,FALSE),"Nej, saknas")</f>
        <v>Ja</v>
      </c>
      <c r="AU298" s="31">
        <f t="shared" si="95"/>
        <v>43.162999999999997</v>
      </c>
      <c r="AV298" s="31">
        <f t="shared" si="96"/>
        <v>0</v>
      </c>
      <c r="AW298" s="31">
        <f t="shared" si="97"/>
        <v>43.017220999999999</v>
      </c>
      <c r="AX298" s="31">
        <f t="shared" si="98"/>
        <v>0</v>
      </c>
      <c r="AZ298" s="31">
        <f t="shared" si="99"/>
        <v>252.164221</v>
      </c>
      <c r="BC298" s="31">
        <f t="shared" si="100"/>
        <v>8.9</v>
      </c>
      <c r="BD298" s="31">
        <f t="shared" si="101"/>
        <v>0</v>
      </c>
      <c r="BE298" s="31">
        <f t="shared" si="102"/>
        <v>43.564220999999996</v>
      </c>
      <c r="BF298" s="31">
        <f t="shared" si="103"/>
        <v>1332.8</v>
      </c>
      <c r="BG298" s="31">
        <f t="shared" si="104"/>
        <v>43.162999999999997</v>
      </c>
      <c r="BH298" s="31">
        <f>VLOOKUP(B298,Miljö!$B$1:$BX$482,MATCH("Fossilandel för ursprungspecificerad el ()",Miljö!$B$1:$I$1,0),FALSE)</f>
        <v>0</v>
      </c>
      <c r="BI298" s="31">
        <f>VLOOKUP(B298,Miljö!$B$1:$BX$482,MATCH("Kärnkraftsandel för ursprungsspecificerad el ()",Miljö!$B$1:$O$1,0),FALSE)</f>
        <v>0</v>
      </c>
      <c r="BJ298" s="31">
        <f t="shared" si="105"/>
        <v>0</v>
      </c>
      <c r="BK298" s="31" t="str">
        <f>VLOOKUP(B298,Miljö!$B$1:$P$482,MATCH("Fossil andel i procent (%)",Miljö!$B$1:$P$1,0),FALSE)</f>
        <v>ET</v>
      </c>
      <c r="BL298" s="31">
        <f t="shared" si="106"/>
        <v>1428.4272209999999</v>
      </c>
      <c r="BO298" s="32">
        <f t="shared" si="107"/>
        <v>6.2306289527088209E-3</v>
      </c>
      <c r="BP298" s="32">
        <f t="shared" si="108"/>
        <v>0</v>
      </c>
      <c r="BQ298" s="32">
        <f t="shared" si="109"/>
        <v>6.0715183612424305E-2</v>
      </c>
      <c r="BR298" s="32">
        <f t="shared" si="110"/>
        <v>0.9330541874348669</v>
      </c>
      <c r="BT298" s="62">
        <f t="shared" si="111"/>
        <v>1</v>
      </c>
      <c r="BW298" s="32">
        <f>IF(AP298="Ja",VLOOKUP(B298,Miljövärden!$B$2:$H$551,MATCH("Total andel fossilt",Miljövärden!$B$2:$H$2,0),FALSE),"")</f>
        <v>6.2459200000000003E-3</v>
      </c>
      <c r="BX298" s="62">
        <f t="shared" si="112"/>
        <v>1.5291047291179395E-5</v>
      </c>
      <c r="BZ298" s="31">
        <f t="shared" si="113"/>
        <v>1.5291047291179395E-5</v>
      </c>
      <c r="CA298" s="32">
        <f t="shared" si="114"/>
        <v>0</v>
      </c>
    </row>
    <row r="299" spans="1:79" x14ac:dyDescent="0.45">
      <c r="A299" s="31" t="s">
        <v>289</v>
      </c>
      <c r="B299" s="31" t="s">
        <v>290</v>
      </c>
      <c r="C299" s="31">
        <f>VLOOKUP($B299,'Tillförd energi'!$B$1:$AI$720,MATCH(C$1,'Tillförd energi'!$B$1:$AQ$1,0),FALSE)</f>
        <v>0</v>
      </c>
      <c r="D299" s="31">
        <f>VLOOKUP($B299,'Tillförd energi'!$B$1:$AI$720,MATCH(D$1,'Tillförd energi'!$B$1:$AQ$1,0),FALSE)</f>
        <v>0.39</v>
      </c>
      <c r="E299" s="31">
        <f>VLOOKUP($B299,'Tillförd energi'!$B$1:$AI$720,MATCH(E$1,'Tillförd energi'!$B$1:$AQ$1,0),FALSE)</f>
        <v>0</v>
      </c>
      <c r="F299" s="31">
        <f>VLOOKUP($B299,'Tillförd energi'!$B$1:$AI$720,MATCH(F$1,'Tillförd energi'!$B$1:$AQ$1,0),FALSE)</f>
        <v>3.3611800000000001</v>
      </c>
      <c r="G299" s="31">
        <f>VLOOKUP($B299,'Tillförd energi'!$B$1:$AI$720,MATCH(G$1,'Tillförd energi'!$B$1:$AQ$1,0),FALSE)</f>
        <v>0</v>
      </c>
      <c r="H299" s="31">
        <f>VLOOKUP($B299,'Tillförd energi'!$B$1:$AI$720,MATCH(H$1,'Tillförd energi'!$B$1:$AQ$1,0),FALSE)</f>
        <v>0</v>
      </c>
      <c r="I299" s="31">
        <f>VLOOKUP($B299,'Tillförd energi'!$B$1:$AI$720,MATCH(I$1,'Tillförd energi'!$B$1:$AQ$1,0),FALSE)</f>
        <v>0</v>
      </c>
      <c r="J299" s="31">
        <f>VLOOKUP($B299,'Tillförd energi'!$B$1:$AI$720,MATCH(J$1,'Tillförd energi'!$B$1:$AQ$1,0),FALSE)</f>
        <v>0</v>
      </c>
      <c r="K299" s="31">
        <f>VLOOKUP($B299,'Tillförd energi'!$B$1:$AI$720,MATCH(K$1,'Tillförd energi'!$B$1:$AQ$1,0),FALSE)</f>
        <v>0</v>
      </c>
      <c r="L299" s="31">
        <f>VLOOKUP($B299,'Tillförd energi'!$B$1:$AI$720,MATCH(L$1,'Tillförd energi'!$B$1:$AQ$1,0),FALSE)</f>
        <v>0</v>
      </c>
      <c r="M299" s="31">
        <f>VLOOKUP($B299,'Tillförd energi'!$B$1:$AI$720,MATCH(M$1,'Tillförd energi'!$B$1:$AQ$1,0),FALSE)</f>
        <v>0</v>
      </c>
      <c r="N299" s="31">
        <f>VLOOKUP($B299,'Tillförd energi'!$B$1:$AI$720,MATCH(N$1,'Tillförd energi'!$B$1:$AQ$1,0),FALSE)</f>
        <v>0</v>
      </c>
      <c r="O299" s="31">
        <f>VLOOKUP($B299,'Tillförd energi'!$B$1:$AI$720,MATCH(O$1,'Tillförd energi'!$B$1:$AQ$1,0),FALSE)</f>
        <v>0</v>
      </c>
      <c r="P299" s="31">
        <f>VLOOKUP($B299,'Tillförd energi'!$B$1:$AI$720,MATCH(P$1,'Tillförd energi'!$B$1:$AQ$1,0),FALSE)</f>
        <v>0</v>
      </c>
      <c r="Q299" s="31">
        <f>VLOOKUP($B299,'Tillförd energi'!$B$1:$AI$720,MATCH(Q$1,'Tillförd energi'!$B$1:$AQ$1,0),FALSE)</f>
        <v>10.083500000000001</v>
      </c>
      <c r="R299" s="31">
        <f>VLOOKUP($B299,'Tillförd energi'!$B$1:$AI$720,MATCH(R$1,'Tillförd energi'!$B$1:$AQ$1,0),FALSE)</f>
        <v>0</v>
      </c>
      <c r="S299" s="31">
        <f>VLOOKUP($B299,'Tillförd energi'!$B$1:$AI$720,MATCH(S$1,'Tillförd energi'!$B$1:$AQ$1,0),FALSE)</f>
        <v>0</v>
      </c>
      <c r="T299" s="31">
        <f>VLOOKUP($B299,'Tillförd energi'!$B$1:$AI$720,MATCH(T$1,'Tillförd energi'!$B$1:$AQ$1,0),FALSE)</f>
        <v>0</v>
      </c>
      <c r="U299" s="31">
        <f>VLOOKUP($B299,'Tillförd energi'!$B$1:$AI$720,MATCH(U$1,'Tillförd energi'!$B$1:$AQ$1,0),FALSE)</f>
        <v>0</v>
      </c>
      <c r="V299" s="31">
        <f>VLOOKUP($B299,'Tillförd energi'!$B$1:$AI$720,MATCH(V$1,'Tillförd energi'!$B$1:$AQ$1,0),FALSE)</f>
        <v>0</v>
      </c>
      <c r="W299" s="31">
        <f>VLOOKUP($B299,'Tillförd energi'!$B$1:$AI$720,MATCH(W$1,'Tillförd energi'!$B$1:$AQ$1,0),FALSE)</f>
        <v>0</v>
      </c>
      <c r="X299" s="31">
        <f>VLOOKUP($B299,'Tillförd energi'!$B$1:$AI$720,MATCH(X$1,'Tillförd energi'!$B$1:$AQ$1,0),FALSE)</f>
        <v>0</v>
      </c>
      <c r="Y299" s="31">
        <f>VLOOKUP($B299,'Tillförd energi'!$B$1:$AI$720,MATCH(Y$1,'Tillförd energi'!$B$1:$AQ$1,0),FALSE)</f>
        <v>0</v>
      </c>
      <c r="Z299" s="31">
        <f>VLOOKUP($B299,'Tillförd energi'!$B$1:$AI$720,MATCH(Z$1,'Tillförd energi'!$B$1:$AQ$1,0),FALSE)</f>
        <v>0</v>
      </c>
      <c r="AA299" s="31">
        <f>VLOOKUP($B299,'Tillförd energi'!$B$1:$AI$720,MATCH(AA$1,'Tillförd energi'!$B$1:$AQ$1,0),FALSE)</f>
        <v>0</v>
      </c>
      <c r="AB299" s="31">
        <f>VLOOKUP($B299,'Tillförd energi'!$B$1:$AI$720,MATCH(AB$1,'Tillförd energi'!$B$1:$AQ$1,0),FALSE)</f>
        <v>0</v>
      </c>
      <c r="AC299" s="31">
        <f>VLOOKUP($B299,'Tillförd energi'!$B$1:$AI$720,MATCH(AC$1,'Tillförd energi'!$B$1:$AQ$1,0),FALSE)</f>
        <v>0</v>
      </c>
      <c r="AD299" s="31">
        <f>VLOOKUP($B299,'Tillförd energi'!$B$1:$AI$720,MATCH(AD$1,'Tillförd energi'!$B$1:$AQ$1,0),FALSE)</f>
        <v>9.859</v>
      </c>
      <c r="AE299" s="31">
        <f>VLOOKUP($B299,'Tillförd energi'!$B$1:$AI$720,MATCH(AE$1,'Tillförd energi'!$B$1:$AQ$1,0),FALSE)</f>
        <v>0</v>
      </c>
      <c r="AF299" s="31">
        <f>VLOOKUP($B299,'Tillförd energi'!$B$1:$AI$720,MATCH(AF$1,'Tillförd energi'!$B$1:$AQ$1,0),FALSE)</f>
        <v>0.39</v>
      </c>
      <c r="AG299" s="31">
        <f>IFERROR(VLOOKUP(B299,Miljö!$B$1:$AC$550,MATCH("Köpt mängd produktionsspecifik fjärrvärme:",Miljö!$B$1:$AC$1,0),FALSE)/1,0)</f>
        <v>0</v>
      </c>
      <c r="AI299" s="31">
        <f t="shared" si="92"/>
        <v>24.083680000000001</v>
      </c>
      <c r="AJ299" s="31">
        <f t="shared" si="93"/>
        <v>24.083680000000001</v>
      </c>
      <c r="AK299" s="31">
        <f>IF(ISERROR(1/VLOOKUP($B299,Leveranser!$B$1:$S$499,MATCH("Såld värme (GWh)",Leveranser!$B$1:$S$1,0),FALSE)),"",VLOOKUP($B299,Leveranser!$B$1:$S$499,MATCH("Såld värme (GWh)",Leveranser!$B$1:$S$1,0),FALSE))</f>
        <v>17.236000000000001</v>
      </c>
      <c r="AL299" s="31">
        <f>VLOOKUP($B299,Leveranser!$B$1:$Y$499,MATCH("Totalt såld fjärrvärme till andra fjärrvärmeföretag",Leveranser!$B$1:$AA$1,0),FALSE)</f>
        <v>0</v>
      </c>
      <c r="AM299" s="31">
        <f>IF(ISERROR(1/VLOOKUP($B299,Miljö!$B$1:$S$500,MATCH("Såld mängd produktionsspecifik fjärrvärme (GWh)",Miljö!$B$1:$R$1,0),FALSE)),0,VLOOKUP($B299,Miljö!$B$1:$S$500,MATCH("Såld mängd produktionsspecifik fjärrvärme (GWh)",Miljö!$B$1:$R$1,0),FALSE))</f>
        <v>0</v>
      </c>
      <c r="AN299" s="32">
        <f t="shared" si="94"/>
        <v>0.71567135919427594</v>
      </c>
      <c r="AP299" s="31" t="str">
        <f>IFERROR(VLOOKUP($B299,Miljövärden!$B$2:$H$550,7,FALSE),"Nej, saknas")</f>
        <v>Ja</v>
      </c>
      <c r="AQ299" s="31" t="str">
        <f>IFERROR(VLOOKUP($B299,Miljövärden!$B$2:$H$551,6,FALSE),"Nej, saknas")</f>
        <v>Ja</v>
      </c>
      <c r="AU299" s="31">
        <f t="shared" si="95"/>
        <v>0.39</v>
      </c>
      <c r="AV299" s="31">
        <f t="shared" si="96"/>
        <v>0</v>
      </c>
      <c r="AW299" s="31">
        <f t="shared" si="97"/>
        <v>10.083500000000001</v>
      </c>
      <c r="AX299" s="31">
        <f t="shared" si="98"/>
        <v>0</v>
      </c>
      <c r="AZ299" s="31">
        <f t="shared" si="99"/>
        <v>10.083500000000001</v>
      </c>
      <c r="BC299" s="31">
        <f t="shared" si="100"/>
        <v>3.7511800000000002</v>
      </c>
      <c r="BD299" s="31">
        <f t="shared" si="101"/>
        <v>0</v>
      </c>
      <c r="BE299" s="31">
        <f t="shared" si="102"/>
        <v>10.083500000000001</v>
      </c>
      <c r="BF299" s="31">
        <f t="shared" si="103"/>
        <v>9.859</v>
      </c>
      <c r="BG299" s="31">
        <f t="shared" si="104"/>
        <v>0.39</v>
      </c>
      <c r="BH299" s="31">
        <f>VLOOKUP(B299,Miljö!$B$1:$BX$482,MATCH("Fossilandel för ursprungspecificerad el ()",Miljö!$B$1:$I$1,0),FALSE)</f>
        <v>0.35</v>
      </c>
      <c r="BI299" s="31">
        <f>VLOOKUP(B299,Miljö!$B$1:$BX$482,MATCH("Kärnkraftsandel för ursprungsspecificerad el ()",Miljö!$B$1:$O$1,0),FALSE)</f>
        <v>0.3977</v>
      </c>
      <c r="BJ299" s="31">
        <f t="shared" si="105"/>
        <v>0</v>
      </c>
      <c r="BK299" s="31" t="str">
        <f>VLOOKUP(B299,Miljö!$B$1:$P$482,MATCH("Fossil andel i procent (%)",Miljö!$B$1:$P$1,0),FALSE)</f>
        <v>ET</v>
      </c>
      <c r="BL299" s="31">
        <f t="shared" si="106"/>
        <v>24.083680000000001</v>
      </c>
      <c r="BO299" s="32">
        <f t="shared" si="107"/>
        <v>0.16142383556001408</v>
      </c>
      <c r="BP299" s="32">
        <f t="shared" si="108"/>
        <v>6.440170272981537E-3</v>
      </c>
      <c r="BQ299" s="32">
        <f t="shared" si="109"/>
        <v>0.42277164453272925</v>
      </c>
      <c r="BR299" s="32">
        <f t="shared" si="110"/>
        <v>0.40936434963427515</v>
      </c>
      <c r="BT299" s="62">
        <f t="shared" si="111"/>
        <v>1</v>
      </c>
      <c r="BW299" s="32">
        <f>IF(AP299="Ja",VLOOKUP(B299,Miljövärden!$B$2:$H$551,MATCH("Total andel fossilt",Miljövärden!$B$2:$H$2,0),FALSE),"")</f>
        <v>0.16142400000000001</v>
      </c>
      <c r="BX299" s="62">
        <f t="shared" si="112"/>
        <v>1.6443998593351772E-7</v>
      </c>
      <c r="BZ299" s="31">
        <f t="shared" si="113"/>
        <v>1.6443998593351772E-7</v>
      </c>
      <c r="CA299" s="32">
        <f t="shared" si="114"/>
        <v>0</v>
      </c>
    </row>
    <row r="300" spans="1:79" x14ac:dyDescent="0.45">
      <c r="A300" s="31" t="s">
        <v>289</v>
      </c>
      <c r="B300" s="31" t="s">
        <v>288</v>
      </c>
      <c r="C300" s="31">
        <f>VLOOKUP($B300,'Tillförd energi'!$B$1:$AI$720,MATCH(C$1,'Tillförd energi'!$B$1:$AQ$1,0),FALSE)</f>
        <v>0</v>
      </c>
      <c r="D300" s="31">
        <f>VLOOKUP($B300,'Tillförd energi'!$B$1:$AI$720,MATCH(D$1,'Tillförd energi'!$B$1:$AQ$1,0),FALSE)</f>
        <v>0.21</v>
      </c>
      <c r="E300" s="31">
        <f>VLOOKUP($B300,'Tillförd energi'!$B$1:$AI$720,MATCH(E$1,'Tillförd energi'!$B$1:$AQ$1,0),FALSE)</f>
        <v>0</v>
      </c>
      <c r="F300" s="31">
        <f>VLOOKUP($B300,'Tillförd energi'!$B$1:$AI$720,MATCH(F$1,'Tillförd energi'!$B$1:$AQ$1,0),FALSE)</f>
        <v>0</v>
      </c>
      <c r="G300" s="31">
        <f>VLOOKUP($B300,'Tillförd energi'!$B$1:$AI$720,MATCH(G$1,'Tillförd energi'!$B$1:$AQ$1,0),FALSE)</f>
        <v>0</v>
      </c>
      <c r="H300" s="31">
        <f>VLOOKUP($B300,'Tillförd energi'!$B$1:$AI$720,MATCH(H$1,'Tillförd energi'!$B$1:$AQ$1,0),FALSE)</f>
        <v>0</v>
      </c>
      <c r="I300" s="31">
        <f>VLOOKUP($B300,'Tillförd energi'!$B$1:$AI$720,MATCH(I$1,'Tillförd energi'!$B$1:$AQ$1,0),FALSE)</f>
        <v>0</v>
      </c>
      <c r="J300" s="31">
        <f>VLOOKUP($B300,'Tillförd energi'!$B$1:$AI$720,MATCH(J$1,'Tillförd energi'!$B$1:$AQ$1,0),FALSE)</f>
        <v>0</v>
      </c>
      <c r="K300" s="31">
        <f>VLOOKUP($B300,'Tillförd energi'!$B$1:$AI$720,MATCH(K$1,'Tillförd energi'!$B$1:$AQ$1,0),FALSE)</f>
        <v>0</v>
      </c>
      <c r="L300" s="31">
        <f>VLOOKUP($B300,'Tillförd energi'!$B$1:$AI$720,MATCH(L$1,'Tillförd energi'!$B$1:$AQ$1,0),FALSE)</f>
        <v>0</v>
      </c>
      <c r="M300" s="31">
        <f>VLOOKUP($B300,'Tillförd energi'!$B$1:$AI$720,MATCH(M$1,'Tillförd energi'!$B$1:$AQ$1,0),FALSE)</f>
        <v>0</v>
      </c>
      <c r="N300" s="31">
        <f>VLOOKUP($B300,'Tillförd energi'!$B$1:$AI$720,MATCH(N$1,'Tillförd energi'!$B$1:$AQ$1,0),FALSE)</f>
        <v>19.382999999999999</v>
      </c>
      <c r="O300" s="31">
        <f>VLOOKUP($B300,'Tillförd energi'!$B$1:$AI$720,MATCH(O$1,'Tillförd energi'!$B$1:$AQ$1,0),FALSE)</f>
        <v>0</v>
      </c>
      <c r="P300" s="31">
        <f>VLOOKUP($B300,'Tillförd energi'!$B$1:$AI$720,MATCH(P$1,'Tillförd energi'!$B$1:$AQ$1,0),FALSE)</f>
        <v>0</v>
      </c>
      <c r="Q300" s="31">
        <f>VLOOKUP($B300,'Tillförd energi'!$B$1:$AI$720,MATCH(Q$1,'Tillförd energi'!$B$1:$AQ$1,0),FALSE)</f>
        <v>4.5305900000000001</v>
      </c>
      <c r="R300" s="31">
        <f>VLOOKUP($B300,'Tillförd energi'!$B$1:$AI$720,MATCH(R$1,'Tillförd energi'!$B$1:$AQ$1,0),FALSE)</f>
        <v>0</v>
      </c>
      <c r="S300" s="31">
        <f>VLOOKUP($B300,'Tillförd energi'!$B$1:$AI$720,MATCH(S$1,'Tillförd energi'!$B$1:$AQ$1,0),FALSE)</f>
        <v>0</v>
      </c>
      <c r="T300" s="31">
        <f>VLOOKUP($B300,'Tillförd energi'!$B$1:$AI$720,MATCH(T$1,'Tillförd energi'!$B$1:$AQ$1,0),FALSE)</f>
        <v>0</v>
      </c>
      <c r="U300" s="31">
        <f>VLOOKUP($B300,'Tillförd energi'!$B$1:$AI$720,MATCH(U$1,'Tillförd energi'!$B$1:$AQ$1,0),FALSE)</f>
        <v>0</v>
      </c>
      <c r="V300" s="31">
        <f>VLOOKUP($B300,'Tillförd energi'!$B$1:$AI$720,MATCH(V$1,'Tillförd energi'!$B$1:$AQ$1,0),FALSE)</f>
        <v>0</v>
      </c>
      <c r="W300" s="31">
        <f>VLOOKUP($B300,'Tillförd energi'!$B$1:$AI$720,MATCH(W$1,'Tillförd energi'!$B$1:$AQ$1,0),FALSE)</f>
        <v>0</v>
      </c>
      <c r="X300" s="31">
        <f>VLOOKUP($B300,'Tillförd energi'!$B$1:$AI$720,MATCH(X$1,'Tillförd energi'!$B$1:$AQ$1,0),FALSE)</f>
        <v>0</v>
      </c>
      <c r="Y300" s="31">
        <f>VLOOKUP($B300,'Tillförd energi'!$B$1:$AI$720,MATCH(Y$1,'Tillförd energi'!$B$1:$AQ$1,0),FALSE)</f>
        <v>0</v>
      </c>
      <c r="Z300" s="31">
        <f>VLOOKUP($B300,'Tillförd energi'!$B$1:$AI$720,MATCH(Z$1,'Tillförd energi'!$B$1:$AQ$1,0),FALSE)</f>
        <v>0</v>
      </c>
      <c r="AA300" s="31">
        <f>VLOOKUP($B300,'Tillförd energi'!$B$1:$AI$720,MATCH(AA$1,'Tillförd energi'!$B$1:$AQ$1,0),FALSE)</f>
        <v>0</v>
      </c>
      <c r="AB300" s="31">
        <f>VLOOKUP($B300,'Tillförd energi'!$B$1:$AI$720,MATCH(AB$1,'Tillförd energi'!$B$1:$AQ$1,0),FALSE)</f>
        <v>0</v>
      </c>
      <c r="AC300" s="31">
        <f>VLOOKUP($B300,'Tillförd energi'!$B$1:$AI$720,MATCH(AC$1,'Tillförd energi'!$B$1:$AQ$1,0),FALSE)</f>
        <v>4.7039999999999997</v>
      </c>
      <c r="AD300" s="31">
        <f>VLOOKUP($B300,'Tillförd energi'!$B$1:$AI$720,MATCH(AD$1,'Tillförd energi'!$B$1:$AQ$1,0),FALSE)</f>
        <v>0</v>
      </c>
      <c r="AE300" s="31">
        <f>VLOOKUP($B300,'Tillförd energi'!$B$1:$AI$720,MATCH(AE$1,'Tillförd energi'!$B$1:$AQ$1,0),FALSE)</f>
        <v>0</v>
      </c>
      <c r="AF300" s="31">
        <f>VLOOKUP($B300,'Tillförd energi'!$B$1:$AI$720,MATCH(AF$1,'Tillförd energi'!$B$1:$AQ$1,0),FALSE)</f>
        <v>0.59499999999999997</v>
      </c>
      <c r="AG300" s="31">
        <f>IFERROR(VLOOKUP(B300,Miljö!$B$1:$AC$550,MATCH("Köpt mängd produktionsspecifik fjärrvärme:",Miljö!$B$1:$AC$1,0),FALSE)/1,0)</f>
        <v>0</v>
      </c>
      <c r="AI300" s="31">
        <f t="shared" si="92"/>
        <v>29.42259</v>
      </c>
      <c r="AJ300" s="31">
        <f t="shared" si="93"/>
        <v>29.42259</v>
      </c>
      <c r="AK300" s="31">
        <f>IF(ISERROR(1/VLOOKUP($B300,Leveranser!$B$1:$S$499,MATCH("Såld värme (GWh)",Leveranser!$B$1:$S$1,0),FALSE)),"",VLOOKUP($B300,Leveranser!$B$1:$S$499,MATCH("Såld värme (GWh)",Leveranser!$B$1:$S$1,0),FALSE))</f>
        <v>30.116</v>
      </c>
      <c r="AL300" s="31">
        <f>VLOOKUP($B300,Leveranser!$B$1:$Y$499,MATCH("Totalt såld fjärrvärme till andra fjärrvärmeföretag",Leveranser!$B$1:$AA$1,0),FALSE)</f>
        <v>0</v>
      </c>
      <c r="AM300" s="31">
        <f>IF(ISERROR(1/VLOOKUP($B300,Miljö!$B$1:$S$500,MATCH("Såld mängd produktionsspecifik fjärrvärme (GWh)",Miljö!$B$1:$R$1,0),FALSE)),0,VLOOKUP($B300,Miljö!$B$1:$S$500,MATCH("Såld mängd produktionsspecifik fjärrvärme (GWh)",Miljö!$B$1:$R$1,0),FALSE))</f>
        <v>0</v>
      </c>
      <c r="AN300" s="32">
        <f t="shared" si="94"/>
        <v>1.0235672658321378</v>
      </c>
      <c r="AP300" s="31" t="str">
        <f>IFERROR(VLOOKUP($B300,Miljövärden!$B$2:$H$550,7,FALSE),"Nej, saknas")</f>
        <v>Ja</v>
      </c>
      <c r="AQ300" s="31" t="str">
        <f>IFERROR(VLOOKUP($B300,Miljövärden!$B$2:$H$551,6,FALSE),"Nej, saknas")</f>
        <v>Ja</v>
      </c>
      <c r="AU300" s="31">
        <f t="shared" si="95"/>
        <v>0.59499999999999997</v>
      </c>
      <c r="AV300" s="31">
        <f t="shared" si="96"/>
        <v>0</v>
      </c>
      <c r="AW300" s="31">
        <f t="shared" si="97"/>
        <v>23.913589999999999</v>
      </c>
      <c r="AX300" s="31">
        <f t="shared" si="98"/>
        <v>0</v>
      </c>
      <c r="AZ300" s="31">
        <f t="shared" si="99"/>
        <v>23.913589999999999</v>
      </c>
      <c r="BC300" s="31">
        <f t="shared" si="100"/>
        <v>0.21</v>
      </c>
      <c r="BD300" s="31">
        <f t="shared" si="101"/>
        <v>0</v>
      </c>
      <c r="BE300" s="31">
        <f t="shared" si="102"/>
        <v>23.913589999999999</v>
      </c>
      <c r="BF300" s="31">
        <f t="shared" si="103"/>
        <v>4.7039999999999997</v>
      </c>
      <c r="BG300" s="31">
        <f t="shared" si="104"/>
        <v>0.59499999999999997</v>
      </c>
      <c r="BH300" s="31">
        <f>VLOOKUP(B300,Miljö!$B$1:$BX$482,MATCH("Fossilandel för ursprungspecificerad el ()",Miljö!$B$1:$I$1,0),FALSE)</f>
        <v>0.35</v>
      </c>
      <c r="BI300" s="31">
        <f>VLOOKUP(B300,Miljö!$B$1:$BX$482,MATCH("Kärnkraftsandel för ursprungsspecificerad el ()",Miljö!$B$1:$O$1,0),FALSE)</f>
        <v>0.3977</v>
      </c>
      <c r="BJ300" s="31">
        <f t="shared" si="105"/>
        <v>0</v>
      </c>
      <c r="BK300" s="31" t="str">
        <f>VLOOKUP(B300,Miljö!$B$1:$P$482,MATCH("Fossil andel i procent (%)",Miljö!$B$1:$P$1,0),FALSE)</f>
        <v>ET</v>
      </c>
      <c r="BL300" s="31">
        <f t="shared" si="106"/>
        <v>29.42259</v>
      </c>
      <c r="BO300" s="32">
        <f t="shared" si="107"/>
        <v>1.4215267928486241E-2</v>
      </c>
      <c r="BP300" s="32">
        <f t="shared" si="108"/>
        <v>8.0425108734479191E-3</v>
      </c>
      <c r="BQ300" s="32">
        <f t="shared" si="109"/>
        <v>0.81786506558396121</v>
      </c>
      <c r="BR300" s="32">
        <f t="shared" si="110"/>
        <v>0.15987715561410468</v>
      </c>
      <c r="BT300" s="62">
        <f t="shared" si="111"/>
        <v>1</v>
      </c>
      <c r="BW300" s="32">
        <f>IF(AP300="Ja",VLOOKUP(B300,Miljövärden!$B$2:$H$551,MATCH("Total andel fossilt",Miljövärden!$B$2:$H$2,0),FALSE),"")</f>
        <v>1.42153E-2</v>
      </c>
      <c r="BX300" s="62">
        <f t="shared" si="112"/>
        <v>3.2071513758960557E-8</v>
      </c>
      <c r="BZ300" s="31">
        <f t="shared" si="113"/>
        <v>3.2071513758960557E-8</v>
      </c>
      <c r="CA300" s="32">
        <f t="shared" si="114"/>
        <v>0</v>
      </c>
    </row>
    <row r="301" spans="1:79" x14ac:dyDescent="0.45">
      <c r="A301" s="31" t="s">
        <v>289</v>
      </c>
      <c r="B301" s="31" t="s">
        <v>293</v>
      </c>
      <c r="C301" s="31">
        <f>VLOOKUP($B301,'Tillförd energi'!$B$1:$AI$720,MATCH(C$1,'Tillförd energi'!$B$1:$AQ$1,0),FALSE)</f>
        <v>0</v>
      </c>
      <c r="D301" s="31">
        <f>VLOOKUP($B301,'Tillförd energi'!$B$1:$AI$720,MATCH(D$1,'Tillförd energi'!$B$1:$AQ$1,0),FALSE)</f>
        <v>3.6999999999999998E-2</v>
      </c>
      <c r="E301" s="31">
        <f>VLOOKUP($B301,'Tillförd energi'!$B$1:$AI$720,MATCH(E$1,'Tillförd energi'!$B$1:$AQ$1,0),FALSE)</f>
        <v>0</v>
      </c>
      <c r="F301" s="31">
        <f>VLOOKUP($B301,'Tillförd energi'!$B$1:$AI$720,MATCH(F$1,'Tillförd energi'!$B$1:$AQ$1,0),FALSE)</f>
        <v>0.39900000000000002</v>
      </c>
      <c r="G301" s="31">
        <f>VLOOKUP($B301,'Tillförd energi'!$B$1:$AI$720,MATCH(G$1,'Tillförd energi'!$B$1:$AQ$1,0),FALSE)</f>
        <v>0</v>
      </c>
      <c r="H301" s="31">
        <f>VLOOKUP($B301,'Tillförd energi'!$B$1:$AI$720,MATCH(H$1,'Tillförd energi'!$B$1:$AQ$1,0),FALSE)</f>
        <v>0</v>
      </c>
      <c r="I301" s="31">
        <f>VLOOKUP($B301,'Tillförd energi'!$B$1:$AI$720,MATCH(I$1,'Tillförd energi'!$B$1:$AQ$1,0),FALSE)</f>
        <v>0</v>
      </c>
      <c r="J301" s="31">
        <f>VLOOKUP($B301,'Tillförd energi'!$B$1:$AI$720,MATCH(J$1,'Tillförd energi'!$B$1:$AQ$1,0),FALSE)</f>
        <v>0</v>
      </c>
      <c r="K301" s="31">
        <f>VLOOKUP($B301,'Tillförd energi'!$B$1:$AI$720,MATCH(K$1,'Tillförd energi'!$B$1:$AQ$1,0),FALSE)</f>
        <v>0</v>
      </c>
      <c r="L301" s="31">
        <f>VLOOKUP($B301,'Tillförd energi'!$B$1:$AI$720,MATCH(L$1,'Tillförd energi'!$B$1:$AQ$1,0),FALSE)</f>
        <v>131.273</v>
      </c>
      <c r="M301" s="31">
        <f>VLOOKUP($B301,'Tillförd energi'!$B$1:$AI$720,MATCH(M$1,'Tillförd energi'!$B$1:$AQ$1,0),FALSE)</f>
        <v>0</v>
      </c>
      <c r="N301" s="31">
        <f>VLOOKUP($B301,'Tillförd energi'!$B$1:$AI$720,MATCH(N$1,'Tillförd energi'!$B$1:$AQ$1,0),FALSE)</f>
        <v>26.687000000000001</v>
      </c>
      <c r="O301" s="31">
        <f>VLOOKUP($B301,'Tillförd energi'!$B$1:$AI$720,MATCH(O$1,'Tillförd energi'!$B$1:$AQ$1,0),FALSE)</f>
        <v>0</v>
      </c>
      <c r="P301" s="31">
        <f>VLOOKUP($B301,'Tillförd energi'!$B$1:$AI$720,MATCH(P$1,'Tillförd energi'!$B$1:$AQ$1,0),FALSE)</f>
        <v>0</v>
      </c>
      <c r="Q301" s="31">
        <f>VLOOKUP($B301,'Tillförd energi'!$B$1:$AI$720,MATCH(Q$1,'Tillförd energi'!$B$1:$AQ$1,0),FALSE)</f>
        <v>0</v>
      </c>
      <c r="R301" s="31">
        <f>VLOOKUP($B301,'Tillförd energi'!$B$1:$AI$720,MATCH(R$1,'Tillförd energi'!$B$1:$AQ$1,0),FALSE)</f>
        <v>13.7</v>
      </c>
      <c r="S301" s="31">
        <f>VLOOKUP($B301,'Tillförd energi'!$B$1:$AI$720,MATCH(S$1,'Tillförd energi'!$B$1:$AQ$1,0),FALSE)</f>
        <v>0</v>
      </c>
      <c r="T301" s="31">
        <f>VLOOKUP($B301,'Tillförd energi'!$B$1:$AI$720,MATCH(T$1,'Tillförd energi'!$B$1:$AQ$1,0),FALSE)</f>
        <v>0</v>
      </c>
      <c r="U301" s="31">
        <f>VLOOKUP($B301,'Tillförd energi'!$B$1:$AI$720,MATCH(U$1,'Tillförd energi'!$B$1:$AQ$1,0),FALSE)</f>
        <v>0</v>
      </c>
      <c r="V301" s="31">
        <f>VLOOKUP($B301,'Tillförd energi'!$B$1:$AI$720,MATCH(V$1,'Tillförd energi'!$B$1:$AQ$1,0),FALSE)</f>
        <v>0</v>
      </c>
      <c r="W301" s="31">
        <f>VLOOKUP($B301,'Tillförd energi'!$B$1:$AI$720,MATCH(W$1,'Tillförd energi'!$B$1:$AQ$1,0),FALSE)</f>
        <v>3.0678800000000002</v>
      </c>
      <c r="X301" s="31">
        <f>VLOOKUP($B301,'Tillförd energi'!$B$1:$AI$720,MATCH(X$1,'Tillförd energi'!$B$1:$AQ$1,0),FALSE)</f>
        <v>0</v>
      </c>
      <c r="Y301" s="31">
        <f>VLOOKUP($B301,'Tillförd energi'!$B$1:$AI$720,MATCH(Y$1,'Tillförd energi'!$B$1:$AQ$1,0),FALSE)</f>
        <v>0</v>
      </c>
      <c r="Z301" s="31">
        <f>VLOOKUP($B301,'Tillförd energi'!$B$1:$AI$720,MATCH(Z$1,'Tillförd energi'!$B$1:$AQ$1,0),FALSE)</f>
        <v>0</v>
      </c>
      <c r="AA301" s="31">
        <f>VLOOKUP($B301,'Tillförd energi'!$B$1:$AI$720,MATCH(AA$1,'Tillförd energi'!$B$1:$AQ$1,0),FALSE)</f>
        <v>0</v>
      </c>
      <c r="AB301" s="31">
        <f>VLOOKUP($B301,'Tillförd energi'!$B$1:$AI$720,MATCH(AB$1,'Tillförd energi'!$B$1:$AQ$1,0),FALSE)</f>
        <v>0</v>
      </c>
      <c r="AC301" s="31">
        <f>VLOOKUP($B301,'Tillförd energi'!$B$1:$AI$720,MATCH(AC$1,'Tillförd energi'!$B$1:$AQ$1,0),FALSE)</f>
        <v>9.5410000000000004</v>
      </c>
      <c r="AD301" s="31">
        <f>VLOOKUP($B301,'Tillförd energi'!$B$1:$AI$720,MATCH(AD$1,'Tillförd energi'!$B$1:$AQ$1,0),FALSE)</f>
        <v>0</v>
      </c>
      <c r="AE301" s="31">
        <f>VLOOKUP($B301,'Tillförd energi'!$B$1:$AI$720,MATCH(AE$1,'Tillförd energi'!$B$1:$AQ$1,0),FALSE)</f>
        <v>0</v>
      </c>
      <c r="AF301" s="31">
        <f>VLOOKUP($B301,'Tillförd energi'!$B$1:$AI$720,MATCH(AF$1,'Tillförd energi'!$B$1:$AQ$1,0),FALSE)</f>
        <v>5.0794499999999996</v>
      </c>
      <c r="AG301" s="31">
        <f>IFERROR(VLOOKUP(B301,Miljö!$B$1:$AC$550,MATCH("Köpt mängd produktionsspecifik fjärrvärme:",Miljö!$B$1:$AC$1,0),FALSE)/1,0)</f>
        <v>0</v>
      </c>
      <c r="AI301" s="31">
        <f t="shared" si="92"/>
        <v>189.78433000000001</v>
      </c>
      <c r="AJ301" s="31">
        <f t="shared" si="93"/>
        <v>189.78433000000001</v>
      </c>
      <c r="AK301" s="31">
        <f>IF(ISERROR(1/VLOOKUP($B301,Leveranser!$B$1:$S$499,MATCH("Såld värme (GWh)",Leveranser!$B$1:$S$1,0),FALSE)),"",VLOOKUP($B301,Leveranser!$B$1:$S$499,MATCH("Såld värme (GWh)",Leveranser!$B$1:$S$1,0),FALSE))</f>
        <v>165.10300000000001</v>
      </c>
      <c r="AL301" s="31">
        <f>VLOOKUP($B301,Leveranser!$B$1:$Y$499,MATCH("Totalt såld fjärrvärme till andra fjärrvärmeföretag",Leveranser!$B$1:$AA$1,0),FALSE)</f>
        <v>0</v>
      </c>
      <c r="AM301" s="31">
        <f>IF(ISERROR(1/VLOOKUP($B301,Miljö!$B$1:$S$500,MATCH("Såld mängd produktionsspecifik fjärrvärme (GWh)",Miljö!$B$1:$R$1,0),FALSE)),0,VLOOKUP($B301,Miljö!$B$1:$S$500,MATCH("Såld mängd produktionsspecifik fjärrvärme (GWh)",Miljö!$B$1:$R$1,0),FALSE))</f>
        <v>0</v>
      </c>
      <c r="AN301" s="32">
        <f t="shared" si="94"/>
        <v>0.86995064344880313</v>
      </c>
      <c r="AP301" s="31" t="str">
        <f>IFERROR(VLOOKUP($B301,Miljövärden!$B$2:$H$550,7,FALSE),"Nej, saknas")</f>
        <v>Ja</v>
      </c>
      <c r="AQ301" s="31" t="str">
        <f>IFERROR(VLOOKUP($B301,Miljövärden!$B$2:$H$551,6,FALSE),"Nej, saknas")</f>
        <v>Ja</v>
      </c>
      <c r="AU301" s="31">
        <f t="shared" si="95"/>
        <v>5.0794499999999996</v>
      </c>
      <c r="AV301" s="31">
        <f t="shared" si="96"/>
        <v>0</v>
      </c>
      <c r="AW301" s="31">
        <f t="shared" si="97"/>
        <v>26.687000000000001</v>
      </c>
      <c r="AX301" s="31">
        <f t="shared" si="98"/>
        <v>13.7</v>
      </c>
      <c r="AZ301" s="31">
        <f t="shared" si="99"/>
        <v>174.72788</v>
      </c>
      <c r="BC301" s="31">
        <f t="shared" si="100"/>
        <v>0.436</v>
      </c>
      <c r="BD301" s="31">
        <f t="shared" si="101"/>
        <v>0</v>
      </c>
      <c r="BE301" s="31">
        <f t="shared" si="102"/>
        <v>43.454880000000003</v>
      </c>
      <c r="BF301" s="31">
        <f t="shared" si="103"/>
        <v>140.81399999999999</v>
      </c>
      <c r="BG301" s="31">
        <f t="shared" si="104"/>
        <v>5.0794499999999996</v>
      </c>
      <c r="BH301" s="31">
        <f>VLOOKUP(B301,Miljö!$B$1:$BX$482,MATCH("Fossilandel för ursprungspecificerad el ()",Miljö!$B$1:$I$1,0),FALSE)</f>
        <v>0</v>
      </c>
      <c r="BI301" s="31">
        <f>VLOOKUP(B301,Miljö!$B$1:$BX$482,MATCH("Kärnkraftsandel för ursprungsspecificerad el ()",Miljö!$B$1:$O$1,0),FALSE)</f>
        <v>0</v>
      </c>
      <c r="BJ301" s="31">
        <f t="shared" si="105"/>
        <v>0</v>
      </c>
      <c r="BK301" s="31" t="str">
        <f>VLOOKUP(B301,Miljö!$B$1:$P$482,MATCH("Fossil andel i procent (%)",Miljö!$B$1:$P$1,0),FALSE)</f>
        <v>ET</v>
      </c>
      <c r="BL301" s="31">
        <f t="shared" si="106"/>
        <v>189.78433000000001</v>
      </c>
      <c r="BO301" s="32">
        <f t="shared" si="107"/>
        <v>2.2973445700179775E-3</v>
      </c>
      <c r="BP301" s="32">
        <f t="shared" si="108"/>
        <v>0</v>
      </c>
      <c r="BQ301" s="32">
        <f t="shared" si="109"/>
        <v>0.25573412725908407</v>
      </c>
      <c r="BR301" s="32">
        <f t="shared" si="110"/>
        <v>0.74196852817089787</v>
      </c>
      <c r="BT301" s="62">
        <f t="shared" si="111"/>
        <v>0.99999999999999989</v>
      </c>
      <c r="BW301" s="32">
        <f>IF(AP301="Ja",VLOOKUP(B301,Miljövärden!$B$2:$H$551,MATCH("Total andel fossilt",Miljövärden!$B$2:$H$2,0),FALSE),"")</f>
        <v>2.2973500000000001E-3</v>
      </c>
      <c r="BX301" s="62">
        <f t="shared" si="112"/>
        <v>5.4299820226137718E-9</v>
      </c>
      <c r="BZ301" s="31">
        <f t="shared" si="113"/>
        <v>5.4299820226137718E-9</v>
      </c>
      <c r="CA301" s="32">
        <f t="shared" si="114"/>
        <v>0</v>
      </c>
    </row>
    <row r="302" spans="1:79" x14ac:dyDescent="0.45">
      <c r="A302" s="31" t="s">
        <v>286</v>
      </c>
      <c r="B302" s="31" t="s">
        <v>287</v>
      </c>
      <c r="C302" s="31">
        <f>VLOOKUP($B302,'Tillförd energi'!$B$1:$AI$720,MATCH(C$1,'Tillförd energi'!$B$1:$AQ$1,0),FALSE)</f>
        <v>0</v>
      </c>
      <c r="D302" s="31">
        <f>VLOOKUP($B302,'Tillförd energi'!$B$1:$AI$720,MATCH(D$1,'Tillförd energi'!$B$1:$AQ$1,0),FALSE)</f>
        <v>0</v>
      </c>
      <c r="E302" s="31">
        <f>VLOOKUP($B302,'Tillförd energi'!$B$1:$AI$720,MATCH(E$1,'Tillförd energi'!$B$1:$AQ$1,0),FALSE)</f>
        <v>0</v>
      </c>
      <c r="F302" s="31">
        <f>VLOOKUP($B302,'Tillförd energi'!$B$1:$AI$720,MATCH(F$1,'Tillförd energi'!$B$1:$AQ$1,0),FALSE)</f>
        <v>0</v>
      </c>
      <c r="G302" s="31">
        <f>VLOOKUP($B302,'Tillförd energi'!$B$1:$AI$720,MATCH(G$1,'Tillförd energi'!$B$1:$AQ$1,0),FALSE)</f>
        <v>0</v>
      </c>
      <c r="H302" s="31">
        <f>VLOOKUP($B302,'Tillförd energi'!$B$1:$AI$720,MATCH(H$1,'Tillförd energi'!$B$1:$AQ$1,0),FALSE)</f>
        <v>0</v>
      </c>
      <c r="I302" s="31">
        <f>VLOOKUP($B302,'Tillförd energi'!$B$1:$AI$720,MATCH(I$1,'Tillförd energi'!$B$1:$AQ$1,0),FALSE)</f>
        <v>0</v>
      </c>
      <c r="J302" s="31">
        <f>VLOOKUP($B302,'Tillförd energi'!$B$1:$AI$720,MATCH(J$1,'Tillförd energi'!$B$1:$AQ$1,0),FALSE)</f>
        <v>1.2470000000000001</v>
      </c>
      <c r="K302" s="31">
        <f>VLOOKUP($B302,'Tillförd energi'!$B$1:$AI$720,MATCH(K$1,'Tillförd energi'!$B$1:$AQ$1,0),FALSE)</f>
        <v>0</v>
      </c>
      <c r="L302" s="31">
        <f>VLOOKUP($B302,'Tillförd energi'!$B$1:$AI$720,MATCH(L$1,'Tillförd energi'!$B$1:$AQ$1,0),FALSE)</f>
        <v>0</v>
      </c>
      <c r="M302" s="31">
        <f>VLOOKUP($B302,'Tillförd energi'!$B$1:$AI$720,MATCH(M$1,'Tillförd energi'!$B$1:$AQ$1,0),FALSE)</f>
        <v>0</v>
      </c>
      <c r="N302" s="31">
        <f>VLOOKUP($B302,'Tillförd energi'!$B$1:$AI$720,MATCH(N$1,'Tillförd energi'!$B$1:$AQ$1,0),FALSE)</f>
        <v>0</v>
      </c>
      <c r="O302" s="31">
        <f>VLOOKUP($B302,'Tillförd energi'!$B$1:$AI$720,MATCH(O$1,'Tillförd energi'!$B$1:$AQ$1,0),FALSE)</f>
        <v>0</v>
      </c>
      <c r="P302" s="31">
        <f>VLOOKUP($B302,'Tillförd energi'!$B$1:$AI$720,MATCH(P$1,'Tillförd energi'!$B$1:$AQ$1,0),FALSE)</f>
        <v>0</v>
      </c>
      <c r="Q302" s="31">
        <f>VLOOKUP($B302,'Tillförd energi'!$B$1:$AI$720,MATCH(Q$1,'Tillförd energi'!$B$1:$AQ$1,0),FALSE)</f>
        <v>0</v>
      </c>
      <c r="R302" s="31">
        <f>VLOOKUP($B302,'Tillförd energi'!$B$1:$AI$720,MATCH(R$1,'Tillförd energi'!$B$1:$AQ$1,0),FALSE)</f>
        <v>0.82099999999999995</v>
      </c>
      <c r="S302" s="31">
        <f>VLOOKUP($B302,'Tillförd energi'!$B$1:$AI$720,MATCH(S$1,'Tillförd energi'!$B$1:$AQ$1,0),FALSE)</f>
        <v>0</v>
      </c>
      <c r="T302" s="31">
        <f>VLOOKUP($B302,'Tillförd energi'!$B$1:$AI$720,MATCH(T$1,'Tillförd energi'!$B$1:$AQ$1,0),FALSE)</f>
        <v>0</v>
      </c>
      <c r="U302" s="31">
        <f>VLOOKUP($B302,'Tillförd energi'!$B$1:$AI$720,MATCH(U$1,'Tillförd energi'!$B$1:$AQ$1,0),FALSE)</f>
        <v>0</v>
      </c>
      <c r="V302" s="31">
        <f>VLOOKUP($B302,'Tillförd energi'!$B$1:$AI$720,MATCH(V$1,'Tillförd energi'!$B$1:$AQ$1,0),FALSE)</f>
        <v>0</v>
      </c>
      <c r="W302" s="31">
        <f>VLOOKUP($B302,'Tillförd energi'!$B$1:$AI$720,MATCH(W$1,'Tillförd energi'!$B$1:$AQ$1,0),FALSE)</f>
        <v>7.4139999999999997</v>
      </c>
      <c r="X302" s="31">
        <f>VLOOKUP($B302,'Tillförd energi'!$B$1:$AI$720,MATCH(X$1,'Tillförd energi'!$B$1:$AQ$1,0),FALSE)</f>
        <v>0</v>
      </c>
      <c r="Y302" s="31">
        <f>VLOOKUP($B302,'Tillförd energi'!$B$1:$AI$720,MATCH(Y$1,'Tillförd energi'!$B$1:$AQ$1,0),FALSE)</f>
        <v>0</v>
      </c>
      <c r="Z302" s="31">
        <f>VLOOKUP($B302,'Tillförd energi'!$B$1:$AI$720,MATCH(Z$1,'Tillförd energi'!$B$1:$AQ$1,0),FALSE)</f>
        <v>0</v>
      </c>
      <c r="AA302" s="31">
        <f>VLOOKUP($B302,'Tillförd energi'!$B$1:$AI$720,MATCH(AA$1,'Tillförd energi'!$B$1:$AQ$1,0),FALSE)</f>
        <v>0</v>
      </c>
      <c r="AB302" s="31">
        <f>VLOOKUP($B302,'Tillförd energi'!$B$1:$AI$720,MATCH(AB$1,'Tillförd energi'!$B$1:$AQ$1,0),FALSE)</f>
        <v>0</v>
      </c>
      <c r="AC302" s="31">
        <f>VLOOKUP($B302,'Tillförd energi'!$B$1:$AI$720,MATCH(AC$1,'Tillförd energi'!$B$1:$AQ$1,0),FALSE)</f>
        <v>0</v>
      </c>
      <c r="AD302" s="31">
        <f>VLOOKUP($B302,'Tillförd energi'!$B$1:$AI$720,MATCH(AD$1,'Tillförd energi'!$B$1:$AQ$1,0),FALSE)</f>
        <v>36.5</v>
      </c>
      <c r="AE302" s="31">
        <f>VLOOKUP($B302,'Tillförd energi'!$B$1:$AI$720,MATCH(AE$1,'Tillförd energi'!$B$1:$AQ$1,0),FALSE)</f>
        <v>0</v>
      </c>
      <c r="AF302" s="31">
        <f>VLOOKUP($B302,'Tillförd energi'!$B$1:$AI$720,MATCH(AF$1,'Tillförd energi'!$B$1:$AQ$1,0),FALSE)</f>
        <v>2.2000000000000002</v>
      </c>
      <c r="AG302" s="31">
        <f>IFERROR(VLOOKUP(B302,Miljö!$B$1:$AC$550,MATCH("Köpt mängd produktionsspecifik fjärrvärme:",Miljö!$B$1:$AC$1,0),FALSE)/1,0)</f>
        <v>0</v>
      </c>
      <c r="AI302" s="31">
        <f t="shared" si="92"/>
        <v>48.182000000000002</v>
      </c>
      <c r="AJ302" s="31">
        <f t="shared" si="93"/>
        <v>48.182000000000002</v>
      </c>
      <c r="AK302" s="31">
        <f>IF(ISERROR(1/VLOOKUP($B302,Leveranser!$B$1:$S$499,MATCH("Såld värme (GWh)",Leveranser!$B$1:$S$1,0),FALSE)),"",VLOOKUP($B302,Leveranser!$B$1:$S$499,MATCH("Såld värme (GWh)",Leveranser!$B$1:$S$1,0),FALSE))</f>
        <v>42.49</v>
      </c>
      <c r="AL302" s="31">
        <f>VLOOKUP($B302,Leveranser!$B$1:$Y$499,MATCH("Totalt såld fjärrvärme till andra fjärrvärmeföretag",Leveranser!$B$1:$AA$1,0),FALSE)</f>
        <v>0</v>
      </c>
      <c r="AM302" s="31">
        <f>IF(ISERROR(1/VLOOKUP($B302,Miljö!$B$1:$S$500,MATCH("Såld mängd produktionsspecifik fjärrvärme (GWh)",Miljö!$B$1:$R$1,0),FALSE)),0,VLOOKUP($B302,Miljö!$B$1:$S$500,MATCH("Såld mängd produktionsspecifik fjärrvärme (GWh)",Miljö!$B$1:$R$1,0),FALSE))</f>
        <v>0</v>
      </c>
      <c r="AN302" s="32">
        <f t="shared" si="94"/>
        <v>0.88186459673737083</v>
      </c>
      <c r="AP302" s="31" t="str">
        <f>IFERROR(VLOOKUP($B302,Miljövärden!$B$2:$H$550,7,FALSE),"Nej, saknas")</f>
        <v>Ja</v>
      </c>
      <c r="AQ302" s="31" t="str">
        <f>IFERROR(VLOOKUP($B302,Miljövärden!$B$2:$H$551,6,FALSE),"Nej, saknas")</f>
        <v>Nej</v>
      </c>
      <c r="AU302" s="31">
        <f t="shared" si="95"/>
        <v>2.2000000000000002</v>
      </c>
      <c r="AV302" s="31">
        <f t="shared" si="96"/>
        <v>0</v>
      </c>
      <c r="AW302" s="31">
        <f t="shared" si="97"/>
        <v>0</v>
      </c>
      <c r="AX302" s="31">
        <f t="shared" si="98"/>
        <v>0.82099999999999995</v>
      </c>
      <c r="AZ302" s="31">
        <f t="shared" si="99"/>
        <v>8.2349999999999994</v>
      </c>
      <c r="BC302" s="31">
        <f t="shared" si="100"/>
        <v>0</v>
      </c>
      <c r="BD302" s="31">
        <f t="shared" si="101"/>
        <v>0</v>
      </c>
      <c r="BE302" s="31">
        <f t="shared" si="102"/>
        <v>8.2349999999999994</v>
      </c>
      <c r="BF302" s="31">
        <f t="shared" si="103"/>
        <v>37.747</v>
      </c>
      <c r="BG302" s="31">
        <f t="shared" si="104"/>
        <v>2.2000000000000002</v>
      </c>
      <c r="BH302" s="31">
        <f>VLOOKUP(B302,Miljö!$B$1:$BX$482,MATCH("Fossilandel för ursprungspecificerad el ()",Miljö!$B$1:$I$1,0),FALSE)</f>
        <v>0</v>
      </c>
      <c r="BI302" s="31">
        <f>VLOOKUP(B302,Miljö!$B$1:$BX$482,MATCH("Kärnkraftsandel för ursprungsspecificerad el ()",Miljö!$B$1:$O$1,0),FALSE)</f>
        <v>0</v>
      </c>
      <c r="BJ302" s="31">
        <f t="shared" si="105"/>
        <v>0</v>
      </c>
      <c r="BK302" s="31" t="str">
        <f>VLOOKUP(B302,Miljö!$B$1:$P$482,MATCH("Fossil andel i procent (%)",Miljö!$B$1:$P$1,0),FALSE)</f>
        <v>ET</v>
      </c>
      <c r="BL302" s="31">
        <f t="shared" si="106"/>
        <v>48.182000000000002</v>
      </c>
      <c r="BO302" s="32">
        <f t="shared" si="107"/>
        <v>0</v>
      </c>
      <c r="BP302" s="32">
        <f t="shared" si="108"/>
        <v>0</v>
      </c>
      <c r="BQ302" s="32">
        <f t="shared" si="109"/>
        <v>0.21657465443526625</v>
      </c>
      <c r="BR302" s="32">
        <f t="shared" si="110"/>
        <v>0.78342534556473364</v>
      </c>
      <c r="BT302" s="62">
        <f t="shared" si="111"/>
        <v>0.99999999999999989</v>
      </c>
      <c r="BW302" s="32">
        <f>IF(AP302="Ja",VLOOKUP(B302,Miljövärden!$B$2:$H$551,MATCH("Total andel fossilt",Miljövärden!$B$2:$H$2,0),FALSE),"")</f>
        <v>0</v>
      </c>
      <c r="BX302" s="62">
        <f t="shared" si="112"/>
        <v>0</v>
      </c>
      <c r="BZ302" s="31">
        <f t="shared" si="113"/>
        <v>0</v>
      </c>
      <c r="CA302" s="32">
        <f t="shared" si="114"/>
        <v>0</v>
      </c>
    </row>
    <row r="303" spans="1:79" x14ac:dyDescent="0.45">
      <c r="A303" s="31" t="s">
        <v>286</v>
      </c>
      <c r="B303" s="31" t="s">
        <v>285</v>
      </c>
      <c r="C303" s="31">
        <f>VLOOKUP($B303,'Tillförd energi'!$B$1:$AI$720,MATCH(C$1,'Tillförd energi'!$B$1:$AQ$1,0),FALSE)</f>
        <v>0</v>
      </c>
      <c r="D303" s="31">
        <f>VLOOKUP($B303,'Tillförd energi'!$B$1:$AI$720,MATCH(D$1,'Tillförd energi'!$B$1:$AQ$1,0),FALSE)</f>
        <v>2.57538</v>
      </c>
      <c r="E303" s="31">
        <f>VLOOKUP($B303,'Tillförd energi'!$B$1:$AI$720,MATCH(E$1,'Tillförd energi'!$B$1:$AQ$1,0),FALSE)</f>
        <v>0</v>
      </c>
      <c r="F303" s="31">
        <f>VLOOKUP($B303,'Tillförd energi'!$B$1:$AI$720,MATCH(F$1,'Tillförd energi'!$B$1:$AQ$1,0),FALSE)</f>
        <v>1.3169999999999999</v>
      </c>
      <c r="G303" s="31">
        <f>VLOOKUP($B303,'Tillförd energi'!$B$1:$AI$720,MATCH(G$1,'Tillförd energi'!$B$1:$AQ$1,0),FALSE)</f>
        <v>0</v>
      </c>
      <c r="H303" s="31">
        <f>VLOOKUP($B303,'Tillförd energi'!$B$1:$AI$720,MATCH(H$1,'Tillförd energi'!$B$1:$AQ$1,0),FALSE)</f>
        <v>0</v>
      </c>
      <c r="I303" s="31">
        <f>VLOOKUP($B303,'Tillförd energi'!$B$1:$AI$720,MATCH(I$1,'Tillförd energi'!$B$1:$AQ$1,0),FALSE)</f>
        <v>111.87</v>
      </c>
      <c r="J303" s="31">
        <f>VLOOKUP($B303,'Tillförd energi'!$B$1:$AI$720,MATCH(J$1,'Tillförd energi'!$B$1:$AQ$1,0),FALSE)</f>
        <v>0</v>
      </c>
      <c r="K303" s="31">
        <f>VLOOKUP($B303,'Tillförd energi'!$B$1:$AI$720,MATCH(K$1,'Tillförd energi'!$B$1:$AQ$1,0),FALSE)</f>
        <v>0</v>
      </c>
      <c r="L303" s="31">
        <f>VLOOKUP($B303,'Tillförd energi'!$B$1:$AI$720,MATCH(L$1,'Tillförd energi'!$B$1:$AQ$1,0),FALSE)</f>
        <v>307.84800000000001</v>
      </c>
      <c r="M303" s="31">
        <f>VLOOKUP($B303,'Tillförd energi'!$B$1:$AI$720,MATCH(M$1,'Tillförd energi'!$B$1:$AQ$1,0),FALSE)</f>
        <v>1.7429299999999998E-2</v>
      </c>
      <c r="N303" s="31">
        <f>VLOOKUP($B303,'Tillförd energi'!$B$1:$AI$720,MATCH(N$1,'Tillförd energi'!$B$1:$AQ$1,0),FALSE)</f>
        <v>7.0063599999999999</v>
      </c>
      <c r="O303" s="31">
        <f>VLOOKUP($B303,'Tillförd energi'!$B$1:$AI$720,MATCH(O$1,'Tillförd energi'!$B$1:$AQ$1,0),FALSE)</f>
        <v>58.2804</v>
      </c>
      <c r="P303" s="31">
        <f>VLOOKUP($B303,'Tillförd energi'!$B$1:$AI$720,MATCH(P$1,'Tillförd energi'!$B$1:$AQ$1,0),FALSE)</f>
        <v>30.769100000000002</v>
      </c>
      <c r="Q303" s="31">
        <f>VLOOKUP($B303,'Tillförd energi'!$B$1:$AI$720,MATCH(Q$1,'Tillförd energi'!$B$1:$AQ$1,0),FALSE)</f>
        <v>0.71024399999999999</v>
      </c>
      <c r="R303" s="31">
        <f>VLOOKUP($B303,'Tillförd energi'!$B$1:$AI$720,MATCH(R$1,'Tillförd energi'!$B$1:$AQ$1,0),FALSE)</f>
        <v>13.11</v>
      </c>
      <c r="S303" s="31">
        <f>VLOOKUP($B303,'Tillförd energi'!$B$1:$AI$720,MATCH(S$1,'Tillförd energi'!$B$1:$AQ$1,0),FALSE)</f>
        <v>0</v>
      </c>
      <c r="T303" s="31">
        <f>VLOOKUP($B303,'Tillförd energi'!$B$1:$AI$720,MATCH(T$1,'Tillförd energi'!$B$1:$AQ$1,0),FALSE)</f>
        <v>0</v>
      </c>
      <c r="U303" s="31">
        <f>VLOOKUP($B303,'Tillförd energi'!$B$1:$AI$720,MATCH(U$1,'Tillförd energi'!$B$1:$AQ$1,0),FALSE)</f>
        <v>0</v>
      </c>
      <c r="V303" s="31">
        <f>VLOOKUP($B303,'Tillförd energi'!$B$1:$AI$720,MATCH(V$1,'Tillförd energi'!$B$1:$AQ$1,0),FALSE)</f>
        <v>5.6609999999999996</v>
      </c>
      <c r="W303" s="31">
        <f>VLOOKUP($B303,'Tillförd energi'!$B$1:$AI$720,MATCH(W$1,'Tillförd energi'!$B$1:$AQ$1,0),FALSE)</f>
        <v>0</v>
      </c>
      <c r="X303" s="31">
        <f>VLOOKUP($B303,'Tillförd energi'!$B$1:$AI$720,MATCH(X$1,'Tillförd energi'!$B$1:$AQ$1,0),FALSE)</f>
        <v>0</v>
      </c>
      <c r="Y303" s="31">
        <f>VLOOKUP($B303,'Tillförd energi'!$B$1:$AI$720,MATCH(Y$1,'Tillförd energi'!$B$1:$AQ$1,0),FALSE)</f>
        <v>0</v>
      </c>
      <c r="Z303" s="31">
        <f>VLOOKUP($B303,'Tillförd energi'!$B$1:$AI$720,MATCH(Z$1,'Tillförd energi'!$B$1:$AQ$1,0),FALSE)</f>
        <v>2.988</v>
      </c>
      <c r="AA303" s="31">
        <f>VLOOKUP($B303,'Tillförd energi'!$B$1:$AI$720,MATCH(AA$1,'Tillförd energi'!$B$1:$AQ$1,0),FALSE)</f>
        <v>0</v>
      </c>
      <c r="AB303" s="31">
        <f>VLOOKUP($B303,'Tillförd energi'!$B$1:$AI$720,MATCH(AB$1,'Tillförd energi'!$B$1:$AQ$1,0),FALSE)</f>
        <v>0</v>
      </c>
      <c r="AC303" s="31">
        <f>VLOOKUP($B303,'Tillförd energi'!$B$1:$AI$720,MATCH(AC$1,'Tillförd energi'!$B$1:$AQ$1,0),FALSE)</f>
        <v>148.64699999999999</v>
      </c>
      <c r="AD303" s="31">
        <f>VLOOKUP($B303,'Tillförd energi'!$B$1:$AI$720,MATCH(AD$1,'Tillförd energi'!$B$1:$AQ$1,0),FALSE)</f>
        <v>0</v>
      </c>
      <c r="AE303" s="31">
        <f>VLOOKUP($B303,'Tillförd energi'!$B$1:$AI$720,MATCH(AE$1,'Tillförd energi'!$B$1:$AQ$1,0),FALSE)</f>
        <v>0</v>
      </c>
      <c r="AF303" s="31">
        <f>VLOOKUP($B303,'Tillförd energi'!$B$1:$AI$720,MATCH(AF$1,'Tillförd energi'!$B$1:$AQ$1,0),FALSE)</f>
        <v>30.961099999999998</v>
      </c>
      <c r="AG303" s="31">
        <f>IFERROR(VLOOKUP(B303,Miljö!$B$1:$AC$550,MATCH("Köpt mängd produktionsspecifik fjärrvärme:",Miljö!$B$1:$AC$1,0),FALSE)/1,0)</f>
        <v>9.2100000000000009</v>
      </c>
      <c r="AI303" s="31">
        <f t="shared" si="92"/>
        <v>721.76101330000006</v>
      </c>
      <c r="AJ303" s="31">
        <f t="shared" si="93"/>
        <v>730.9710133000001</v>
      </c>
      <c r="AK303" s="31">
        <f>IF(ISERROR(1/VLOOKUP($B303,Leveranser!$B$1:$S$499,MATCH("Såld värme (GWh)",Leveranser!$B$1:$S$1,0),FALSE)),"",VLOOKUP($B303,Leveranser!$B$1:$S$499,MATCH("Såld värme (GWh)",Leveranser!$B$1:$S$1,0),FALSE))</f>
        <v>668</v>
      </c>
      <c r="AL303" s="31">
        <f>VLOOKUP($B303,Leveranser!$B$1:$Y$499,MATCH("Totalt såld fjärrvärme till andra fjärrvärmeföretag",Leveranser!$B$1:$AA$1,0),FALSE)</f>
        <v>0</v>
      </c>
      <c r="AM303" s="31">
        <f>IF(ISERROR(1/VLOOKUP($B303,Miljö!$B$1:$S$500,MATCH("Såld mängd produktionsspecifik fjärrvärme (GWh)",Miljö!$B$1:$R$1,0),FALSE)),0,VLOOKUP($B303,Miljö!$B$1:$S$500,MATCH("Såld mängd produktionsspecifik fjärrvärme (GWh)",Miljö!$B$1:$R$1,0),FALSE))</f>
        <v>0</v>
      </c>
      <c r="AN303" s="32">
        <f t="shared" si="94"/>
        <v>0.91385292692289566</v>
      </c>
      <c r="AP303" s="31" t="str">
        <f>IFERROR(VLOOKUP($B303,Miljövärden!$B$2:$H$550,7,FALSE),"Nej, saknas")</f>
        <v>Ja</v>
      </c>
      <c r="AQ303" s="31" t="str">
        <f>IFERROR(VLOOKUP($B303,Miljövärden!$B$2:$H$551,6,FALSE),"Nej, saknas")</f>
        <v>Nej</v>
      </c>
      <c r="AU303" s="31">
        <f t="shared" si="95"/>
        <v>33.949100000000001</v>
      </c>
      <c r="AV303" s="31">
        <f t="shared" si="96"/>
        <v>0</v>
      </c>
      <c r="AW303" s="31">
        <f t="shared" si="97"/>
        <v>96.783533300000002</v>
      </c>
      <c r="AX303" s="31">
        <f t="shared" si="98"/>
        <v>13.11</v>
      </c>
      <c r="AZ303" s="31">
        <f t="shared" si="99"/>
        <v>423.40253329999996</v>
      </c>
      <c r="BC303" s="31">
        <f t="shared" si="100"/>
        <v>3.8923800000000002</v>
      </c>
      <c r="BD303" s="31">
        <f t="shared" si="101"/>
        <v>0</v>
      </c>
      <c r="BE303" s="31">
        <f t="shared" si="102"/>
        <v>115.5545333</v>
      </c>
      <c r="BF303" s="31">
        <f t="shared" si="103"/>
        <v>568.36500000000001</v>
      </c>
      <c r="BG303" s="31">
        <f t="shared" si="104"/>
        <v>33.949100000000001</v>
      </c>
      <c r="BH303" s="31">
        <f>VLOOKUP(B303,Miljö!$B$1:$BX$482,MATCH("Fossilandel för ursprungspecificerad el ()",Miljö!$B$1:$I$1,0),FALSE)</f>
        <v>0</v>
      </c>
      <c r="BI303" s="31">
        <f>VLOOKUP(B303,Miljö!$B$1:$BX$482,MATCH("Kärnkraftsandel för ursprungsspecificerad el ()",Miljö!$B$1:$O$1,0),FALSE)</f>
        <v>0</v>
      </c>
      <c r="BJ303" s="31">
        <f t="shared" si="105"/>
        <v>9.2100000000000009</v>
      </c>
      <c r="BK303" s="31">
        <f>VLOOKUP(B303,Miljö!$B$1:$P$482,MATCH("Fossil andel i procent (%)",Miljö!$B$1:$P$1,0),FALSE)</f>
        <v>1</v>
      </c>
      <c r="BL303" s="31">
        <f t="shared" si="106"/>
        <v>730.9710133000001</v>
      </c>
      <c r="BO303" s="32">
        <f t="shared" si="107"/>
        <v>5.4509411830325439E-3</v>
      </c>
      <c r="BP303" s="32">
        <f t="shared" si="108"/>
        <v>1.2473682039506395E-2</v>
      </c>
      <c r="BQ303" s="32">
        <f t="shared" si="109"/>
        <v>0.2045274444263657</v>
      </c>
      <c r="BR303" s="32">
        <f t="shared" si="110"/>
        <v>0.77754793235109521</v>
      </c>
      <c r="BT303" s="62">
        <f t="shared" si="111"/>
        <v>0.99999999999999978</v>
      </c>
      <c r="BW303" s="32">
        <f>IF(AP303="Ja",VLOOKUP(B303,Miljövärden!$B$2:$H$551,MATCH("Total andel fossilt",Miljövärden!$B$2:$H$2,0),FALSE),"")</f>
        <v>5.4509399999999996E-3</v>
      </c>
      <c r="BX303" s="62">
        <f t="shared" si="112"/>
        <v>-1.1830325443232259E-9</v>
      </c>
      <c r="BZ303" s="31">
        <f t="shared" si="113"/>
        <v>-1.1830325443232259E-9</v>
      </c>
      <c r="CA303" s="32">
        <f t="shared" si="114"/>
        <v>0</v>
      </c>
    </row>
    <row r="304" spans="1:79" x14ac:dyDescent="0.45">
      <c r="A304" s="31" t="s">
        <v>284</v>
      </c>
      <c r="B304" s="31" t="s">
        <v>283</v>
      </c>
      <c r="C304" s="31">
        <f>VLOOKUP($B304,'Tillförd energi'!$B$1:$AI$720,MATCH(C$1,'Tillförd energi'!$B$1:$AQ$1,0),FALSE)</f>
        <v>0</v>
      </c>
      <c r="D304" s="31">
        <f>VLOOKUP($B304,'Tillförd energi'!$B$1:$AI$720,MATCH(D$1,'Tillförd energi'!$B$1:$AQ$1,0),FALSE)</f>
        <v>0.123679</v>
      </c>
      <c r="E304" s="31">
        <f>VLOOKUP($B304,'Tillförd energi'!$B$1:$AI$720,MATCH(E$1,'Tillförd energi'!$B$1:$AQ$1,0),FALSE)</f>
        <v>0</v>
      </c>
      <c r="F304" s="31">
        <f>VLOOKUP($B304,'Tillförd energi'!$B$1:$AI$720,MATCH(F$1,'Tillförd energi'!$B$1:$AQ$1,0),FALSE)</f>
        <v>0</v>
      </c>
      <c r="G304" s="31">
        <f>VLOOKUP($B304,'Tillförd energi'!$B$1:$AI$720,MATCH(G$1,'Tillförd energi'!$B$1:$AQ$1,0),FALSE)</f>
        <v>0</v>
      </c>
      <c r="H304" s="31">
        <f>VLOOKUP($B304,'Tillförd energi'!$B$1:$AI$720,MATCH(H$1,'Tillförd energi'!$B$1:$AQ$1,0),FALSE)</f>
        <v>0</v>
      </c>
      <c r="I304" s="31">
        <f>VLOOKUP($B304,'Tillförd energi'!$B$1:$AI$720,MATCH(I$1,'Tillförd energi'!$B$1:$AQ$1,0),FALSE)</f>
        <v>0</v>
      </c>
      <c r="J304" s="31">
        <f>VLOOKUP($B304,'Tillförd energi'!$B$1:$AI$720,MATCH(J$1,'Tillförd energi'!$B$1:$AQ$1,0),FALSE)</f>
        <v>0</v>
      </c>
      <c r="K304" s="31">
        <f>VLOOKUP($B304,'Tillförd energi'!$B$1:$AI$720,MATCH(K$1,'Tillförd energi'!$B$1:$AQ$1,0),FALSE)</f>
        <v>0</v>
      </c>
      <c r="L304" s="31">
        <f>VLOOKUP($B304,'Tillförd energi'!$B$1:$AI$720,MATCH(L$1,'Tillförd energi'!$B$1:$AQ$1,0),FALSE)</f>
        <v>41.577399999999997</v>
      </c>
      <c r="M304" s="31">
        <f>VLOOKUP($B304,'Tillförd energi'!$B$1:$AI$720,MATCH(M$1,'Tillförd energi'!$B$1:$AQ$1,0),FALSE)</f>
        <v>0</v>
      </c>
      <c r="N304" s="31">
        <f>VLOOKUP($B304,'Tillförd energi'!$B$1:$AI$720,MATCH(N$1,'Tillförd energi'!$B$1:$AQ$1,0),FALSE)</f>
        <v>1.73681</v>
      </c>
      <c r="O304" s="31">
        <f>VLOOKUP($B304,'Tillförd energi'!$B$1:$AI$720,MATCH(O$1,'Tillförd energi'!$B$1:$AQ$1,0),FALSE)</f>
        <v>0</v>
      </c>
      <c r="P304" s="31">
        <f>VLOOKUP($B304,'Tillförd energi'!$B$1:$AI$720,MATCH(P$1,'Tillförd energi'!$B$1:$AQ$1,0),FALSE)</f>
        <v>0</v>
      </c>
      <c r="Q304" s="31">
        <f>VLOOKUP($B304,'Tillförd energi'!$B$1:$AI$720,MATCH(Q$1,'Tillförd energi'!$B$1:$AQ$1,0),FALSE)</f>
        <v>0</v>
      </c>
      <c r="R304" s="31">
        <f>VLOOKUP($B304,'Tillförd energi'!$B$1:$AI$720,MATCH(R$1,'Tillförd energi'!$B$1:$AQ$1,0),FALSE)</f>
        <v>1.4999999999999999E-2</v>
      </c>
      <c r="S304" s="31">
        <f>VLOOKUP($B304,'Tillförd energi'!$B$1:$AI$720,MATCH(S$1,'Tillförd energi'!$B$1:$AQ$1,0),FALSE)</f>
        <v>0</v>
      </c>
      <c r="T304" s="31">
        <f>VLOOKUP($B304,'Tillförd energi'!$B$1:$AI$720,MATCH(T$1,'Tillförd energi'!$B$1:$AQ$1,0),FALSE)</f>
        <v>0</v>
      </c>
      <c r="U304" s="31">
        <f>VLOOKUP($B304,'Tillförd energi'!$B$1:$AI$720,MATCH(U$1,'Tillförd energi'!$B$1:$AQ$1,0),FALSE)</f>
        <v>8.9761900000000008</v>
      </c>
      <c r="V304" s="31">
        <f>VLOOKUP($B304,'Tillförd energi'!$B$1:$AI$720,MATCH(V$1,'Tillförd energi'!$B$1:$AQ$1,0),FALSE)</f>
        <v>0</v>
      </c>
      <c r="W304" s="31">
        <f>VLOOKUP($B304,'Tillförd energi'!$B$1:$AI$720,MATCH(W$1,'Tillförd energi'!$B$1:$AQ$1,0),FALSE)</f>
        <v>0</v>
      </c>
      <c r="X304" s="31">
        <f>VLOOKUP($B304,'Tillförd energi'!$B$1:$AI$720,MATCH(X$1,'Tillförd energi'!$B$1:$AQ$1,0),FALSE)</f>
        <v>0</v>
      </c>
      <c r="Y304" s="31">
        <f>VLOOKUP($B304,'Tillförd energi'!$B$1:$AI$720,MATCH(Y$1,'Tillförd energi'!$B$1:$AQ$1,0),FALSE)</f>
        <v>0</v>
      </c>
      <c r="Z304" s="31">
        <f>VLOOKUP($B304,'Tillförd energi'!$B$1:$AI$720,MATCH(Z$1,'Tillförd energi'!$B$1:$AQ$1,0),FALSE)</f>
        <v>0</v>
      </c>
      <c r="AA304" s="31">
        <f>VLOOKUP($B304,'Tillförd energi'!$B$1:$AI$720,MATCH(AA$1,'Tillförd energi'!$B$1:$AQ$1,0),FALSE)</f>
        <v>0</v>
      </c>
      <c r="AB304" s="31">
        <f>VLOOKUP($B304,'Tillförd energi'!$B$1:$AI$720,MATCH(AB$1,'Tillförd energi'!$B$1:$AQ$1,0),FALSE)</f>
        <v>0</v>
      </c>
      <c r="AC304" s="31">
        <f>VLOOKUP($B304,'Tillförd energi'!$B$1:$AI$720,MATCH(AC$1,'Tillförd energi'!$B$1:$AQ$1,0),FALSE)</f>
        <v>0</v>
      </c>
      <c r="AD304" s="31">
        <f>VLOOKUP($B304,'Tillförd energi'!$B$1:$AI$720,MATCH(AD$1,'Tillförd energi'!$B$1:$AQ$1,0),FALSE)</f>
        <v>0</v>
      </c>
      <c r="AE304" s="31">
        <f>VLOOKUP($B304,'Tillförd energi'!$B$1:$AI$720,MATCH(AE$1,'Tillförd energi'!$B$1:$AQ$1,0),FALSE)</f>
        <v>0</v>
      </c>
      <c r="AF304" s="31">
        <f>VLOOKUP($B304,'Tillförd energi'!$B$1:$AI$720,MATCH(AF$1,'Tillförd energi'!$B$1:$AQ$1,0),FALSE)</f>
        <v>1.59066</v>
      </c>
      <c r="AG304" s="31">
        <f>IFERROR(VLOOKUP(B304,Miljö!$B$1:$AC$550,MATCH("Köpt mängd produktionsspecifik fjärrvärme:",Miljö!$B$1:$AC$1,0),FALSE)/1,0)</f>
        <v>0</v>
      </c>
      <c r="AI304" s="31">
        <f t="shared" si="92"/>
        <v>54.019739000000001</v>
      </c>
      <c r="AJ304" s="31">
        <f t="shared" si="93"/>
        <v>54.019739000000001</v>
      </c>
      <c r="AK304" s="31">
        <f>IF(ISERROR(1/VLOOKUP($B304,Leveranser!$B$1:$S$499,MATCH("Såld värme (GWh)",Leveranser!$B$1:$S$1,0),FALSE)),"",VLOOKUP($B304,Leveranser!$B$1:$S$499,MATCH("Såld värme (GWh)",Leveranser!$B$1:$S$1,0),FALSE))</f>
        <v>52.332999999999998</v>
      </c>
      <c r="AL304" s="31">
        <f>VLOOKUP($B304,Leveranser!$B$1:$Y$499,MATCH("Totalt såld fjärrvärme till andra fjärrvärmeföretag",Leveranser!$B$1:$AA$1,0),FALSE)</f>
        <v>0</v>
      </c>
      <c r="AM304" s="31">
        <f>IF(ISERROR(1/VLOOKUP($B304,Miljö!$B$1:$S$500,MATCH("Såld mängd produktionsspecifik fjärrvärme (GWh)",Miljö!$B$1:$R$1,0),FALSE)),0,VLOOKUP($B304,Miljö!$B$1:$S$500,MATCH("Såld mängd produktionsspecifik fjärrvärme (GWh)",Miljö!$B$1:$R$1,0),FALSE))</f>
        <v>0</v>
      </c>
      <c r="AN304" s="32">
        <f t="shared" si="94"/>
        <v>0.96877550630150211</v>
      </c>
      <c r="AP304" s="31" t="str">
        <f>IFERROR(VLOOKUP($B304,Miljövärden!$B$2:$H$550,7,FALSE),"Nej, saknas")</f>
        <v>Ja</v>
      </c>
      <c r="AQ304" s="31" t="str">
        <f>IFERROR(VLOOKUP($B304,Miljövärden!$B$2:$H$551,6,FALSE),"Nej, saknas")</f>
        <v>Ja</v>
      </c>
      <c r="AU304" s="31">
        <f t="shared" si="95"/>
        <v>1.59066</v>
      </c>
      <c r="AV304" s="31">
        <f t="shared" si="96"/>
        <v>0</v>
      </c>
      <c r="AW304" s="31">
        <f t="shared" si="97"/>
        <v>1.73681</v>
      </c>
      <c r="AX304" s="31">
        <f t="shared" si="98"/>
        <v>8.9911900000000013</v>
      </c>
      <c r="AZ304" s="31">
        <f t="shared" si="99"/>
        <v>52.305399999999999</v>
      </c>
      <c r="BC304" s="31">
        <f t="shared" si="100"/>
        <v>0.123679</v>
      </c>
      <c r="BD304" s="31">
        <f t="shared" si="101"/>
        <v>0</v>
      </c>
      <c r="BE304" s="31">
        <f t="shared" si="102"/>
        <v>10.728000000000002</v>
      </c>
      <c r="BF304" s="31">
        <f t="shared" si="103"/>
        <v>41.577399999999997</v>
      </c>
      <c r="BG304" s="31">
        <f t="shared" si="104"/>
        <v>1.59066</v>
      </c>
      <c r="BH304" s="31">
        <f>VLOOKUP(B304,Miljö!$B$1:$BX$482,MATCH("Fossilandel för ursprungspecificerad el ()",Miljö!$B$1:$I$1,0),FALSE)</f>
        <v>0</v>
      </c>
      <c r="BI304" s="31">
        <f>VLOOKUP(B304,Miljö!$B$1:$BX$482,MATCH("Kärnkraftsandel för ursprungsspecificerad el ()",Miljö!$B$1:$O$1,0),FALSE)</f>
        <v>0</v>
      </c>
      <c r="BJ304" s="31">
        <f t="shared" si="105"/>
        <v>0</v>
      </c>
      <c r="BK304" s="31" t="str">
        <f>VLOOKUP(B304,Miljö!$B$1:$P$482,MATCH("Fossil andel i procent (%)",Miljö!$B$1:$P$1,0),FALSE)</f>
        <v>ET</v>
      </c>
      <c r="BL304" s="31">
        <f t="shared" si="106"/>
        <v>54.019739000000001</v>
      </c>
      <c r="BO304" s="32">
        <f t="shared" si="107"/>
        <v>2.2895149493410176E-3</v>
      </c>
      <c r="BP304" s="32">
        <f t="shared" si="108"/>
        <v>0</v>
      </c>
      <c r="BQ304" s="32">
        <f t="shared" si="109"/>
        <v>0.22803997627607939</v>
      </c>
      <c r="BR304" s="32">
        <f t="shared" si="110"/>
        <v>0.76967050877457954</v>
      </c>
      <c r="BT304" s="62">
        <f t="shared" si="111"/>
        <v>1</v>
      </c>
      <c r="BW304" s="32">
        <f>IF(AP304="Ja",VLOOKUP(B304,Miljövärden!$B$2:$H$551,MATCH("Total andel fossilt",Miljövärden!$B$2:$H$2,0),FALSE),"")</f>
        <v>2.2895200000000002E-3</v>
      </c>
      <c r="BX304" s="62">
        <f t="shared" si="112"/>
        <v>5.0506589826214421E-9</v>
      </c>
      <c r="BZ304" s="31">
        <f t="shared" si="113"/>
        <v>5.0506589826214421E-9</v>
      </c>
      <c r="CA304" s="32">
        <f t="shared" si="114"/>
        <v>0</v>
      </c>
    </row>
    <row r="305" spans="1:79" x14ac:dyDescent="0.45">
      <c r="A305" s="31" t="s">
        <v>280</v>
      </c>
      <c r="B305" s="31" t="s">
        <v>281</v>
      </c>
      <c r="C305" s="31">
        <f>VLOOKUP($B305,'Tillförd energi'!$B$1:$AI$720,MATCH(C$1,'Tillförd energi'!$B$1:$AQ$1,0),FALSE)</f>
        <v>0</v>
      </c>
      <c r="D305" s="31">
        <f>VLOOKUP($B305,'Tillförd energi'!$B$1:$AI$720,MATCH(D$1,'Tillförd energi'!$B$1:$AQ$1,0),FALSE)</f>
        <v>0.26500000000000001</v>
      </c>
      <c r="E305" s="31">
        <f>VLOOKUP($B305,'Tillförd energi'!$B$1:$AI$720,MATCH(E$1,'Tillförd energi'!$B$1:$AQ$1,0),FALSE)</f>
        <v>0</v>
      </c>
      <c r="F305" s="31">
        <f>VLOOKUP($B305,'Tillförd energi'!$B$1:$AI$720,MATCH(F$1,'Tillförd energi'!$B$1:$AQ$1,0),FALSE)</f>
        <v>0</v>
      </c>
      <c r="G305" s="31">
        <f>VLOOKUP($B305,'Tillförd energi'!$B$1:$AI$720,MATCH(G$1,'Tillförd energi'!$B$1:$AQ$1,0),FALSE)</f>
        <v>0</v>
      </c>
      <c r="H305" s="31">
        <f>VLOOKUP($B305,'Tillförd energi'!$B$1:$AI$720,MATCH(H$1,'Tillförd energi'!$B$1:$AQ$1,0),FALSE)</f>
        <v>0</v>
      </c>
      <c r="I305" s="31">
        <f>VLOOKUP($B305,'Tillförd energi'!$B$1:$AI$720,MATCH(I$1,'Tillförd energi'!$B$1:$AQ$1,0),FALSE)</f>
        <v>0</v>
      </c>
      <c r="J305" s="31">
        <f>VLOOKUP($B305,'Tillförd energi'!$B$1:$AI$720,MATCH(J$1,'Tillförd energi'!$B$1:$AQ$1,0),FALSE)</f>
        <v>0</v>
      </c>
      <c r="K305" s="31">
        <f>VLOOKUP($B305,'Tillförd energi'!$B$1:$AI$720,MATCH(K$1,'Tillförd energi'!$B$1:$AQ$1,0),FALSE)</f>
        <v>0</v>
      </c>
      <c r="L305" s="31">
        <f>VLOOKUP($B305,'Tillförd energi'!$B$1:$AI$720,MATCH(L$1,'Tillförd energi'!$B$1:$AQ$1,0),FALSE)</f>
        <v>0</v>
      </c>
      <c r="M305" s="31">
        <f>VLOOKUP($B305,'Tillförd energi'!$B$1:$AI$720,MATCH(M$1,'Tillförd energi'!$B$1:$AQ$1,0),FALSE)</f>
        <v>0</v>
      </c>
      <c r="N305" s="31">
        <f>VLOOKUP($B305,'Tillförd energi'!$B$1:$AI$720,MATCH(N$1,'Tillförd energi'!$B$1:$AQ$1,0),FALSE)</f>
        <v>47.2</v>
      </c>
      <c r="O305" s="31">
        <f>VLOOKUP($B305,'Tillförd energi'!$B$1:$AI$720,MATCH(O$1,'Tillförd energi'!$B$1:$AQ$1,0),FALSE)</f>
        <v>0</v>
      </c>
      <c r="P305" s="31">
        <f>VLOOKUP($B305,'Tillförd energi'!$B$1:$AI$720,MATCH(P$1,'Tillförd energi'!$B$1:$AQ$1,0),FALSE)</f>
        <v>0</v>
      </c>
      <c r="Q305" s="31">
        <f>VLOOKUP($B305,'Tillförd energi'!$B$1:$AI$720,MATCH(Q$1,'Tillförd energi'!$B$1:$AQ$1,0),FALSE)</f>
        <v>0</v>
      </c>
      <c r="R305" s="31">
        <f>VLOOKUP($B305,'Tillförd energi'!$B$1:$AI$720,MATCH(R$1,'Tillförd energi'!$B$1:$AQ$1,0),FALSE)</f>
        <v>13.991</v>
      </c>
      <c r="S305" s="31">
        <f>VLOOKUP($B305,'Tillförd energi'!$B$1:$AI$720,MATCH(S$1,'Tillförd energi'!$B$1:$AQ$1,0),FALSE)</f>
        <v>0</v>
      </c>
      <c r="T305" s="31">
        <f>VLOOKUP($B305,'Tillförd energi'!$B$1:$AI$720,MATCH(T$1,'Tillförd energi'!$B$1:$AQ$1,0),FALSE)</f>
        <v>0</v>
      </c>
      <c r="U305" s="31">
        <f>VLOOKUP($B305,'Tillförd energi'!$B$1:$AI$720,MATCH(U$1,'Tillförd energi'!$B$1:$AQ$1,0),FALSE)</f>
        <v>0</v>
      </c>
      <c r="V305" s="31">
        <f>VLOOKUP($B305,'Tillförd energi'!$B$1:$AI$720,MATCH(V$1,'Tillförd energi'!$B$1:$AQ$1,0),FALSE)</f>
        <v>0</v>
      </c>
      <c r="W305" s="31">
        <f>VLOOKUP($B305,'Tillförd energi'!$B$1:$AI$720,MATCH(W$1,'Tillförd energi'!$B$1:$AQ$1,0),FALSE)</f>
        <v>0</v>
      </c>
      <c r="X305" s="31">
        <f>VLOOKUP($B305,'Tillförd energi'!$B$1:$AI$720,MATCH(X$1,'Tillförd energi'!$B$1:$AQ$1,0),FALSE)</f>
        <v>0</v>
      </c>
      <c r="Y305" s="31">
        <f>VLOOKUP($B305,'Tillförd energi'!$B$1:$AI$720,MATCH(Y$1,'Tillförd energi'!$B$1:$AQ$1,0),FALSE)</f>
        <v>0</v>
      </c>
      <c r="Z305" s="31">
        <f>VLOOKUP($B305,'Tillförd energi'!$B$1:$AI$720,MATCH(Z$1,'Tillförd energi'!$B$1:$AQ$1,0),FALSE)</f>
        <v>0</v>
      </c>
      <c r="AA305" s="31">
        <f>VLOOKUP($B305,'Tillförd energi'!$B$1:$AI$720,MATCH(AA$1,'Tillförd energi'!$B$1:$AQ$1,0),FALSE)</f>
        <v>0</v>
      </c>
      <c r="AB305" s="31">
        <f>VLOOKUP($B305,'Tillförd energi'!$B$1:$AI$720,MATCH(AB$1,'Tillförd energi'!$B$1:$AQ$1,0),FALSE)</f>
        <v>0</v>
      </c>
      <c r="AC305" s="31">
        <f>VLOOKUP($B305,'Tillförd energi'!$B$1:$AI$720,MATCH(AC$1,'Tillförd energi'!$B$1:$AQ$1,0),FALSE)</f>
        <v>5.0010000000000003</v>
      </c>
      <c r="AD305" s="31">
        <f>VLOOKUP($B305,'Tillförd energi'!$B$1:$AI$720,MATCH(AD$1,'Tillförd energi'!$B$1:$AQ$1,0),FALSE)</f>
        <v>0</v>
      </c>
      <c r="AE305" s="31">
        <f>VLOOKUP($B305,'Tillförd energi'!$B$1:$AI$720,MATCH(AE$1,'Tillförd energi'!$B$1:$AQ$1,0),FALSE)</f>
        <v>0</v>
      </c>
      <c r="AF305" s="31">
        <f>VLOOKUP($B305,'Tillförd energi'!$B$1:$AI$720,MATCH(AF$1,'Tillförd energi'!$B$1:$AQ$1,0),FALSE)</f>
        <v>1.1779999999999999</v>
      </c>
      <c r="AG305" s="31">
        <f>IFERROR(VLOOKUP(B305,Miljö!$B$1:$AC$550,MATCH("Köpt mängd produktionsspecifik fjärrvärme:",Miljö!$B$1:$AC$1,0),FALSE)/1,0)</f>
        <v>0</v>
      </c>
      <c r="AI305" s="31">
        <f t="shared" si="92"/>
        <v>67.635000000000005</v>
      </c>
      <c r="AJ305" s="31">
        <f t="shared" si="93"/>
        <v>67.635000000000005</v>
      </c>
      <c r="AK305" s="31">
        <f>IF(ISERROR(1/VLOOKUP($B305,Leveranser!$B$1:$S$499,MATCH("Såld värme (GWh)",Leveranser!$B$1:$S$1,0),FALSE)),"",VLOOKUP($B305,Leveranser!$B$1:$S$499,MATCH("Såld värme (GWh)",Leveranser!$B$1:$S$1,0),FALSE))</f>
        <v>46.96</v>
      </c>
      <c r="AL305" s="31">
        <f>VLOOKUP($B305,Leveranser!$B$1:$Y$499,MATCH("Totalt såld fjärrvärme till andra fjärrvärmeföretag",Leveranser!$B$1:$AA$1,0),FALSE)</f>
        <v>0</v>
      </c>
      <c r="AM305" s="31">
        <f>IF(ISERROR(1/VLOOKUP($B305,Miljö!$B$1:$S$500,MATCH("Såld mängd produktionsspecifik fjärrvärme (GWh)",Miljö!$B$1:$R$1,0),FALSE)),0,VLOOKUP($B305,Miljö!$B$1:$S$500,MATCH("Såld mängd produktionsspecifik fjärrvärme (GWh)",Miljö!$B$1:$R$1,0),FALSE))</f>
        <v>0</v>
      </c>
      <c r="AN305" s="32">
        <f t="shared" si="94"/>
        <v>0.6943150735565905</v>
      </c>
      <c r="AP305" s="31" t="str">
        <f>IFERROR(VLOOKUP($B305,Miljövärden!$B$2:$H$550,7,FALSE),"Nej, saknas")</f>
        <v>Ja</v>
      </c>
      <c r="AQ305" s="31" t="str">
        <f>IFERROR(VLOOKUP($B305,Miljövärden!$B$2:$H$551,6,FALSE),"Nej, saknas")</f>
        <v>Ja</v>
      </c>
      <c r="AU305" s="31">
        <f t="shared" si="95"/>
        <v>1.1779999999999999</v>
      </c>
      <c r="AV305" s="31">
        <f t="shared" si="96"/>
        <v>0</v>
      </c>
      <c r="AW305" s="31">
        <f t="shared" si="97"/>
        <v>47.2</v>
      </c>
      <c r="AX305" s="31">
        <f t="shared" si="98"/>
        <v>13.991</v>
      </c>
      <c r="AZ305" s="31">
        <f t="shared" si="99"/>
        <v>61.191000000000003</v>
      </c>
      <c r="BC305" s="31">
        <f t="shared" si="100"/>
        <v>0.26500000000000001</v>
      </c>
      <c r="BD305" s="31">
        <f t="shared" si="101"/>
        <v>0</v>
      </c>
      <c r="BE305" s="31">
        <f t="shared" si="102"/>
        <v>61.191000000000003</v>
      </c>
      <c r="BF305" s="31">
        <f t="shared" si="103"/>
        <v>5.0010000000000003</v>
      </c>
      <c r="BG305" s="31">
        <f t="shared" si="104"/>
        <v>1.1779999999999999</v>
      </c>
      <c r="BH305" s="31">
        <f>VLOOKUP(B305,Miljö!$B$1:$BX$482,MATCH("Fossilandel för ursprungspecificerad el ()",Miljö!$B$1:$I$1,0),FALSE)</f>
        <v>0</v>
      </c>
      <c r="BI305" s="31">
        <f>VLOOKUP(B305,Miljö!$B$1:$BX$482,MATCH("Kärnkraftsandel för ursprungsspecificerad el ()",Miljö!$B$1:$O$1,0),FALSE)</f>
        <v>0</v>
      </c>
      <c r="BJ305" s="31">
        <f t="shared" si="105"/>
        <v>0</v>
      </c>
      <c r="BK305" s="31" t="str">
        <f>VLOOKUP(B305,Miljö!$B$1:$P$482,MATCH("Fossil andel i procent (%)",Miljö!$B$1:$P$1,0),FALSE)</f>
        <v>ET</v>
      </c>
      <c r="BL305" s="31">
        <f t="shared" si="106"/>
        <v>67.635000000000005</v>
      </c>
      <c r="BO305" s="32">
        <f t="shared" si="107"/>
        <v>3.9180897464330599E-3</v>
      </c>
      <c r="BP305" s="32">
        <f t="shared" si="108"/>
        <v>0</v>
      </c>
      <c r="BQ305" s="32">
        <f t="shared" si="109"/>
        <v>0.92214090337842824</v>
      </c>
      <c r="BR305" s="32">
        <f t="shared" si="110"/>
        <v>7.3941006875138618E-2</v>
      </c>
      <c r="BT305" s="62">
        <f t="shared" si="111"/>
        <v>0.99999999999999989</v>
      </c>
      <c r="BW305" s="32">
        <f>IF(AP305="Ja",VLOOKUP(B305,Miljövärden!$B$2:$H$551,MATCH("Total andel fossilt",Miljövärden!$B$2:$H$2,0),FALSE),"")</f>
        <v>3.9180899999999999E-3</v>
      </c>
      <c r="BX305" s="62">
        <f t="shared" si="112"/>
        <v>2.5356694001443802E-10</v>
      </c>
      <c r="BZ305" s="31">
        <f t="shared" si="113"/>
        <v>2.5356694001443802E-10</v>
      </c>
      <c r="CA305" s="32">
        <f t="shared" si="114"/>
        <v>0</v>
      </c>
    </row>
    <row r="306" spans="1:79" x14ac:dyDescent="0.45">
      <c r="A306" s="31" t="s">
        <v>280</v>
      </c>
      <c r="B306" s="31" t="s">
        <v>279</v>
      </c>
      <c r="C306" s="31">
        <f>VLOOKUP($B306,'Tillförd energi'!$B$1:$AI$720,MATCH(C$1,'Tillförd energi'!$B$1:$AQ$1,0),FALSE)</f>
        <v>0</v>
      </c>
      <c r="D306" s="31">
        <f>VLOOKUP($B306,'Tillförd energi'!$B$1:$AI$720,MATCH(D$1,'Tillförd energi'!$B$1:$AQ$1,0),FALSE)</f>
        <v>0</v>
      </c>
      <c r="E306" s="31">
        <f>VLOOKUP($B306,'Tillförd energi'!$B$1:$AI$720,MATCH(E$1,'Tillförd energi'!$B$1:$AQ$1,0),FALSE)</f>
        <v>0</v>
      </c>
      <c r="F306" s="31">
        <f>VLOOKUP($B306,'Tillförd energi'!$B$1:$AI$720,MATCH(F$1,'Tillförd energi'!$B$1:$AQ$1,0),FALSE)</f>
        <v>0</v>
      </c>
      <c r="G306" s="31">
        <f>VLOOKUP($B306,'Tillförd energi'!$B$1:$AI$720,MATCH(G$1,'Tillförd energi'!$B$1:$AQ$1,0),FALSE)</f>
        <v>0</v>
      </c>
      <c r="H306" s="31">
        <f>VLOOKUP($B306,'Tillförd energi'!$B$1:$AI$720,MATCH(H$1,'Tillförd energi'!$B$1:$AQ$1,0),FALSE)</f>
        <v>0</v>
      </c>
      <c r="I306" s="31">
        <f>VLOOKUP($B306,'Tillförd energi'!$B$1:$AI$720,MATCH(I$1,'Tillförd energi'!$B$1:$AQ$1,0),FALSE)</f>
        <v>0</v>
      </c>
      <c r="J306" s="31">
        <f>VLOOKUP($B306,'Tillförd energi'!$B$1:$AI$720,MATCH(J$1,'Tillförd energi'!$B$1:$AQ$1,0),FALSE)</f>
        <v>0</v>
      </c>
      <c r="K306" s="31">
        <f>VLOOKUP($B306,'Tillförd energi'!$B$1:$AI$720,MATCH(K$1,'Tillförd energi'!$B$1:$AQ$1,0),FALSE)</f>
        <v>0</v>
      </c>
      <c r="L306" s="31">
        <f>VLOOKUP($B306,'Tillförd energi'!$B$1:$AI$720,MATCH(L$1,'Tillförd energi'!$B$1:$AQ$1,0),FALSE)</f>
        <v>0</v>
      </c>
      <c r="M306" s="31">
        <f>VLOOKUP($B306,'Tillförd energi'!$B$1:$AI$720,MATCH(M$1,'Tillförd energi'!$B$1:$AQ$1,0),FALSE)</f>
        <v>0</v>
      </c>
      <c r="N306" s="31">
        <f>VLOOKUP($B306,'Tillförd energi'!$B$1:$AI$720,MATCH(N$1,'Tillförd energi'!$B$1:$AQ$1,0),FALSE)</f>
        <v>0</v>
      </c>
      <c r="O306" s="31">
        <f>VLOOKUP($B306,'Tillförd energi'!$B$1:$AI$720,MATCH(O$1,'Tillförd energi'!$B$1:$AQ$1,0),FALSE)</f>
        <v>0</v>
      </c>
      <c r="P306" s="31">
        <f>VLOOKUP($B306,'Tillförd energi'!$B$1:$AI$720,MATCH(P$1,'Tillförd energi'!$B$1:$AQ$1,0),FALSE)</f>
        <v>0</v>
      </c>
      <c r="Q306" s="31">
        <f>VLOOKUP($B306,'Tillförd energi'!$B$1:$AI$720,MATCH(Q$1,'Tillförd energi'!$B$1:$AQ$1,0),FALSE)</f>
        <v>0</v>
      </c>
      <c r="R306" s="31">
        <f>VLOOKUP($B306,'Tillförd energi'!$B$1:$AI$720,MATCH(R$1,'Tillförd energi'!$B$1:$AQ$1,0),FALSE)</f>
        <v>0</v>
      </c>
      <c r="S306" s="31">
        <f>VLOOKUP($B306,'Tillförd energi'!$B$1:$AI$720,MATCH(S$1,'Tillförd energi'!$B$1:$AQ$1,0),FALSE)</f>
        <v>7.4569999999999999</v>
      </c>
      <c r="T306" s="31">
        <f>VLOOKUP($B306,'Tillförd energi'!$B$1:$AI$720,MATCH(T$1,'Tillförd energi'!$B$1:$AQ$1,0),FALSE)</f>
        <v>0</v>
      </c>
      <c r="U306" s="31">
        <f>VLOOKUP($B306,'Tillförd energi'!$B$1:$AI$720,MATCH(U$1,'Tillförd energi'!$B$1:$AQ$1,0),FALSE)</f>
        <v>0</v>
      </c>
      <c r="V306" s="31">
        <f>VLOOKUP($B306,'Tillförd energi'!$B$1:$AI$720,MATCH(V$1,'Tillförd energi'!$B$1:$AQ$1,0),FALSE)</f>
        <v>0</v>
      </c>
      <c r="W306" s="31">
        <f>VLOOKUP($B306,'Tillförd energi'!$B$1:$AI$720,MATCH(W$1,'Tillförd energi'!$B$1:$AQ$1,0),FALSE)</f>
        <v>0</v>
      </c>
      <c r="X306" s="31">
        <f>VLOOKUP($B306,'Tillförd energi'!$B$1:$AI$720,MATCH(X$1,'Tillförd energi'!$B$1:$AQ$1,0),FALSE)</f>
        <v>0</v>
      </c>
      <c r="Y306" s="31">
        <f>VLOOKUP($B306,'Tillförd energi'!$B$1:$AI$720,MATCH(Y$1,'Tillförd energi'!$B$1:$AQ$1,0),FALSE)</f>
        <v>0</v>
      </c>
      <c r="Z306" s="31">
        <f>VLOOKUP($B306,'Tillförd energi'!$B$1:$AI$720,MATCH(Z$1,'Tillförd energi'!$B$1:$AQ$1,0),FALSE)</f>
        <v>0.81699999999999995</v>
      </c>
      <c r="AA306" s="31">
        <f>VLOOKUP($B306,'Tillförd energi'!$B$1:$AI$720,MATCH(AA$1,'Tillförd energi'!$B$1:$AQ$1,0),FALSE)</f>
        <v>0</v>
      </c>
      <c r="AB306" s="31">
        <f>VLOOKUP($B306,'Tillförd energi'!$B$1:$AI$720,MATCH(AB$1,'Tillförd energi'!$B$1:$AQ$1,0),FALSE)</f>
        <v>0</v>
      </c>
      <c r="AC306" s="31">
        <f>VLOOKUP($B306,'Tillförd energi'!$B$1:$AI$720,MATCH(AC$1,'Tillförd energi'!$B$1:$AQ$1,0),FALSE)</f>
        <v>0</v>
      </c>
      <c r="AD306" s="31">
        <f>VLOOKUP($B306,'Tillförd energi'!$B$1:$AI$720,MATCH(AD$1,'Tillförd energi'!$B$1:$AQ$1,0),FALSE)</f>
        <v>0</v>
      </c>
      <c r="AE306" s="31">
        <f>VLOOKUP($B306,'Tillförd energi'!$B$1:$AI$720,MATCH(AE$1,'Tillförd energi'!$B$1:$AQ$1,0),FALSE)</f>
        <v>0</v>
      </c>
      <c r="AF306" s="31">
        <f>VLOOKUP($B306,'Tillförd energi'!$B$1:$AI$720,MATCH(AF$1,'Tillförd energi'!$B$1:$AQ$1,0),FALSE)</f>
        <v>0.152</v>
      </c>
      <c r="AG306" s="31">
        <f>IFERROR(VLOOKUP(B306,Miljö!$B$1:$AC$550,MATCH("Köpt mängd produktionsspecifik fjärrvärme:",Miljö!$B$1:$AC$1,0),FALSE)/1,0)</f>
        <v>0</v>
      </c>
      <c r="AI306" s="31">
        <f t="shared" si="92"/>
        <v>8.4259999999999984</v>
      </c>
      <c r="AJ306" s="31">
        <f t="shared" si="93"/>
        <v>8.4259999999999984</v>
      </c>
      <c r="AK306" s="31">
        <f>IF(ISERROR(1/VLOOKUP($B306,Leveranser!$B$1:$S$499,MATCH("Såld värme (GWh)",Leveranser!$B$1:$S$1,0),FALSE)),"",VLOOKUP($B306,Leveranser!$B$1:$S$499,MATCH("Såld värme (GWh)",Leveranser!$B$1:$S$1,0),FALSE))</f>
        <v>7.24</v>
      </c>
      <c r="AL306" s="31">
        <f>VLOOKUP($B306,Leveranser!$B$1:$Y$499,MATCH("Totalt såld fjärrvärme till andra fjärrvärmeföretag",Leveranser!$B$1:$AA$1,0),FALSE)</f>
        <v>0</v>
      </c>
      <c r="AM306" s="31">
        <f>IF(ISERROR(1/VLOOKUP($B306,Miljö!$B$1:$S$500,MATCH("Såld mängd produktionsspecifik fjärrvärme (GWh)",Miljö!$B$1:$R$1,0),FALSE)),0,VLOOKUP($B306,Miljö!$B$1:$S$500,MATCH("Såld mängd produktionsspecifik fjärrvärme (GWh)",Miljö!$B$1:$R$1,0),FALSE))</f>
        <v>0</v>
      </c>
      <c r="AN306" s="32">
        <f t="shared" si="94"/>
        <v>0.85924519344884898</v>
      </c>
      <c r="AP306" s="31" t="str">
        <f>IFERROR(VLOOKUP($B306,Miljövärden!$B$2:$H$550,7,FALSE),"Nej, saknas")</f>
        <v>Ja</v>
      </c>
      <c r="AQ306" s="31" t="str">
        <f>IFERROR(VLOOKUP($B306,Miljövärden!$B$2:$H$551,6,FALSE),"Nej, saknas")</f>
        <v>Ja</v>
      </c>
      <c r="AU306" s="31">
        <f t="shared" si="95"/>
        <v>0.96899999999999997</v>
      </c>
      <c r="AV306" s="31">
        <f t="shared" si="96"/>
        <v>0</v>
      </c>
      <c r="AW306" s="31">
        <f t="shared" si="97"/>
        <v>0</v>
      </c>
      <c r="AX306" s="31">
        <f t="shared" si="98"/>
        <v>7.4569999999999999</v>
      </c>
      <c r="AZ306" s="31">
        <f t="shared" si="99"/>
        <v>7.4569999999999999</v>
      </c>
      <c r="BC306" s="31">
        <f t="shared" si="100"/>
        <v>0</v>
      </c>
      <c r="BD306" s="31">
        <f t="shared" si="101"/>
        <v>0</v>
      </c>
      <c r="BE306" s="31">
        <f t="shared" si="102"/>
        <v>7.4569999999999999</v>
      </c>
      <c r="BF306" s="31">
        <f t="shared" si="103"/>
        <v>0</v>
      </c>
      <c r="BG306" s="31">
        <f t="shared" si="104"/>
        <v>0.96899999999999997</v>
      </c>
      <c r="BH306" s="31">
        <f>VLOOKUP(B306,Miljö!$B$1:$BX$482,MATCH("Fossilandel för ursprungspecificerad el ()",Miljö!$B$1:$I$1,0),FALSE)</f>
        <v>0</v>
      </c>
      <c r="BI306" s="31">
        <f>VLOOKUP(B306,Miljö!$B$1:$BX$482,MATCH("Kärnkraftsandel för ursprungsspecificerad el ()",Miljö!$B$1:$O$1,0),FALSE)</f>
        <v>0</v>
      </c>
      <c r="BJ306" s="31">
        <f t="shared" si="105"/>
        <v>0</v>
      </c>
      <c r="BK306" s="31" t="str">
        <f>VLOOKUP(B306,Miljö!$B$1:$P$482,MATCH("Fossil andel i procent (%)",Miljö!$B$1:$P$1,0),FALSE)</f>
        <v>ET</v>
      </c>
      <c r="BL306" s="31">
        <f t="shared" si="106"/>
        <v>8.4260000000000002</v>
      </c>
      <c r="BO306" s="32">
        <f t="shared" si="107"/>
        <v>0</v>
      </c>
      <c r="BP306" s="32">
        <f t="shared" si="108"/>
        <v>0</v>
      </c>
      <c r="BQ306" s="32">
        <f t="shared" si="109"/>
        <v>1</v>
      </c>
      <c r="BR306" s="32">
        <f t="shared" si="110"/>
        <v>0</v>
      </c>
      <c r="BT306" s="62">
        <f t="shared" si="111"/>
        <v>1</v>
      </c>
      <c r="BW306" s="32">
        <f>IF(AP306="Ja",VLOOKUP(B306,Miljövärden!$B$2:$H$551,MATCH("Total andel fossilt",Miljövärden!$B$2:$H$2,0),FALSE),"")</f>
        <v>0</v>
      </c>
      <c r="BX306" s="62">
        <f t="shared" si="112"/>
        <v>0</v>
      </c>
      <c r="BZ306" s="31">
        <f t="shared" si="113"/>
        <v>0</v>
      </c>
      <c r="CA306" s="32">
        <f t="shared" si="114"/>
        <v>0</v>
      </c>
    </row>
    <row r="307" spans="1:79" x14ac:dyDescent="0.45">
      <c r="A307" s="31" t="s">
        <v>280</v>
      </c>
      <c r="B307" s="31" t="s">
        <v>282</v>
      </c>
      <c r="C307" s="31">
        <f>VLOOKUP($B307,'Tillförd energi'!$B$1:$AI$720,MATCH(C$1,'Tillförd energi'!$B$1:$AQ$1,0),FALSE)</f>
        <v>0</v>
      </c>
      <c r="D307" s="31">
        <f>VLOOKUP($B307,'Tillförd energi'!$B$1:$AI$720,MATCH(D$1,'Tillförd energi'!$B$1:$AQ$1,0),FALSE)</f>
        <v>9.7000000000000003E-2</v>
      </c>
      <c r="E307" s="31">
        <f>VLOOKUP($B307,'Tillförd energi'!$B$1:$AI$720,MATCH(E$1,'Tillförd energi'!$B$1:$AQ$1,0),FALSE)</f>
        <v>0</v>
      </c>
      <c r="F307" s="31">
        <f>VLOOKUP($B307,'Tillförd energi'!$B$1:$AI$720,MATCH(F$1,'Tillförd energi'!$B$1:$AQ$1,0),FALSE)</f>
        <v>0</v>
      </c>
      <c r="G307" s="31">
        <f>VLOOKUP($B307,'Tillförd energi'!$B$1:$AI$720,MATCH(G$1,'Tillförd energi'!$B$1:$AQ$1,0),FALSE)</f>
        <v>0</v>
      </c>
      <c r="H307" s="31">
        <f>VLOOKUP($B307,'Tillförd energi'!$B$1:$AI$720,MATCH(H$1,'Tillförd energi'!$B$1:$AQ$1,0),FALSE)</f>
        <v>0</v>
      </c>
      <c r="I307" s="31">
        <f>VLOOKUP($B307,'Tillförd energi'!$B$1:$AI$720,MATCH(I$1,'Tillförd energi'!$B$1:$AQ$1,0),FALSE)</f>
        <v>0</v>
      </c>
      <c r="J307" s="31">
        <f>VLOOKUP($B307,'Tillförd energi'!$B$1:$AI$720,MATCH(J$1,'Tillförd energi'!$B$1:$AQ$1,0),FALSE)</f>
        <v>0</v>
      </c>
      <c r="K307" s="31">
        <f>VLOOKUP($B307,'Tillförd energi'!$B$1:$AI$720,MATCH(K$1,'Tillförd energi'!$B$1:$AQ$1,0),FALSE)</f>
        <v>0</v>
      </c>
      <c r="L307" s="31">
        <f>VLOOKUP($B307,'Tillförd energi'!$B$1:$AI$720,MATCH(L$1,'Tillförd energi'!$B$1:$AQ$1,0),FALSE)</f>
        <v>0</v>
      </c>
      <c r="M307" s="31">
        <f>VLOOKUP($B307,'Tillförd energi'!$B$1:$AI$720,MATCH(M$1,'Tillförd energi'!$B$1:$AQ$1,0),FALSE)</f>
        <v>0</v>
      </c>
      <c r="N307" s="31">
        <f>VLOOKUP($B307,'Tillförd energi'!$B$1:$AI$720,MATCH(N$1,'Tillförd energi'!$B$1:$AQ$1,0),FALSE)</f>
        <v>0</v>
      </c>
      <c r="O307" s="31">
        <f>VLOOKUP($B307,'Tillförd energi'!$B$1:$AI$720,MATCH(O$1,'Tillförd energi'!$B$1:$AQ$1,0),FALSE)</f>
        <v>0</v>
      </c>
      <c r="P307" s="31">
        <f>VLOOKUP($B307,'Tillförd energi'!$B$1:$AI$720,MATCH(P$1,'Tillförd energi'!$B$1:$AQ$1,0),FALSE)</f>
        <v>0</v>
      </c>
      <c r="Q307" s="31">
        <f>VLOOKUP($B307,'Tillförd energi'!$B$1:$AI$720,MATCH(Q$1,'Tillförd energi'!$B$1:$AQ$1,0),FALSE)</f>
        <v>0</v>
      </c>
      <c r="R307" s="31">
        <f>VLOOKUP($B307,'Tillförd energi'!$B$1:$AI$720,MATCH(R$1,'Tillförd energi'!$B$1:$AQ$1,0),FALSE)</f>
        <v>4.25</v>
      </c>
      <c r="S307" s="31">
        <f>VLOOKUP($B307,'Tillförd energi'!$B$1:$AI$720,MATCH(S$1,'Tillförd energi'!$B$1:$AQ$1,0),FALSE)</f>
        <v>0</v>
      </c>
      <c r="T307" s="31">
        <f>VLOOKUP($B307,'Tillförd energi'!$B$1:$AI$720,MATCH(T$1,'Tillförd energi'!$B$1:$AQ$1,0),FALSE)</f>
        <v>0</v>
      </c>
      <c r="U307" s="31">
        <f>VLOOKUP($B307,'Tillförd energi'!$B$1:$AI$720,MATCH(U$1,'Tillförd energi'!$B$1:$AQ$1,0),FALSE)</f>
        <v>0</v>
      </c>
      <c r="V307" s="31">
        <f>VLOOKUP($B307,'Tillförd energi'!$B$1:$AI$720,MATCH(V$1,'Tillförd energi'!$B$1:$AQ$1,0),FALSE)</f>
        <v>0</v>
      </c>
      <c r="W307" s="31">
        <f>VLOOKUP($B307,'Tillförd energi'!$B$1:$AI$720,MATCH(W$1,'Tillförd energi'!$B$1:$AQ$1,0),FALSE)</f>
        <v>0</v>
      </c>
      <c r="X307" s="31">
        <f>VLOOKUP($B307,'Tillförd energi'!$B$1:$AI$720,MATCH(X$1,'Tillförd energi'!$B$1:$AQ$1,0),FALSE)</f>
        <v>0</v>
      </c>
      <c r="Y307" s="31">
        <f>VLOOKUP($B307,'Tillförd energi'!$B$1:$AI$720,MATCH(Y$1,'Tillförd energi'!$B$1:$AQ$1,0),FALSE)</f>
        <v>0</v>
      </c>
      <c r="Z307" s="31">
        <f>VLOOKUP($B307,'Tillförd energi'!$B$1:$AI$720,MATCH(Z$1,'Tillförd energi'!$B$1:$AQ$1,0),FALSE)</f>
        <v>0</v>
      </c>
      <c r="AA307" s="31">
        <f>VLOOKUP($B307,'Tillförd energi'!$B$1:$AI$720,MATCH(AA$1,'Tillförd energi'!$B$1:$AQ$1,0),FALSE)</f>
        <v>0</v>
      </c>
      <c r="AB307" s="31">
        <f>VLOOKUP($B307,'Tillförd energi'!$B$1:$AI$720,MATCH(AB$1,'Tillförd energi'!$B$1:$AQ$1,0),FALSE)</f>
        <v>0</v>
      </c>
      <c r="AC307" s="31">
        <f>VLOOKUP($B307,'Tillförd energi'!$B$1:$AI$720,MATCH(AC$1,'Tillförd energi'!$B$1:$AQ$1,0),FALSE)</f>
        <v>0</v>
      </c>
      <c r="AD307" s="31">
        <f>VLOOKUP($B307,'Tillförd energi'!$B$1:$AI$720,MATCH(AD$1,'Tillförd energi'!$B$1:$AQ$1,0),FALSE)</f>
        <v>0</v>
      </c>
      <c r="AE307" s="31">
        <f>VLOOKUP($B307,'Tillförd energi'!$B$1:$AI$720,MATCH(AE$1,'Tillförd energi'!$B$1:$AQ$1,0),FALSE)</f>
        <v>0</v>
      </c>
      <c r="AF307" s="31">
        <f>VLOOKUP($B307,'Tillförd energi'!$B$1:$AI$720,MATCH(AF$1,'Tillförd energi'!$B$1:$AQ$1,0),FALSE)</f>
        <v>7.8200000000000006E-2</v>
      </c>
      <c r="AG307" s="31">
        <f>IFERROR(VLOOKUP(B307,Miljö!$B$1:$AC$550,MATCH("Köpt mängd produktionsspecifik fjärrvärme:",Miljö!$B$1:$AC$1,0),FALSE)/1,0)</f>
        <v>0</v>
      </c>
      <c r="AI307" s="31">
        <f t="shared" si="92"/>
        <v>4.4252000000000002</v>
      </c>
      <c r="AJ307" s="31">
        <f t="shared" si="93"/>
        <v>4.4252000000000002</v>
      </c>
      <c r="AK307" s="31">
        <f>IF(ISERROR(1/VLOOKUP($B307,Leveranser!$B$1:$S$499,MATCH("Såld värme (GWh)",Leveranser!$B$1:$S$1,0),FALSE)),"",VLOOKUP($B307,Leveranser!$B$1:$S$499,MATCH("Såld värme (GWh)",Leveranser!$B$1:$S$1,0),FALSE))</f>
        <v>4.03</v>
      </c>
      <c r="AL307" s="31">
        <f>VLOOKUP($B307,Leveranser!$B$1:$Y$499,MATCH("Totalt såld fjärrvärme till andra fjärrvärmeföretag",Leveranser!$B$1:$AA$1,0),FALSE)</f>
        <v>0</v>
      </c>
      <c r="AM307" s="31">
        <f>IF(ISERROR(1/VLOOKUP($B307,Miljö!$B$1:$S$500,MATCH("Såld mängd produktionsspecifik fjärrvärme (GWh)",Miljö!$B$1:$R$1,0),FALSE)),0,VLOOKUP($B307,Miljö!$B$1:$S$500,MATCH("Såld mängd produktionsspecifik fjärrvärme (GWh)",Miljö!$B$1:$R$1,0),FALSE))</f>
        <v>0</v>
      </c>
      <c r="AN307" s="32">
        <f t="shared" si="94"/>
        <v>0.91069330199764986</v>
      </c>
      <c r="AP307" s="31" t="str">
        <f>IFERROR(VLOOKUP($B307,Miljövärden!$B$2:$H$550,7,FALSE),"Nej, saknas")</f>
        <v>Ja</v>
      </c>
      <c r="AQ307" s="31" t="str">
        <f>IFERROR(VLOOKUP($B307,Miljövärden!$B$2:$H$551,6,FALSE),"Nej, saknas")</f>
        <v>Ja</v>
      </c>
      <c r="AU307" s="31">
        <f t="shared" si="95"/>
        <v>7.8200000000000006E-2</v>
      </c>
      <c r="AV307" s="31">
        <f t="shared" si="96"/>
        <v>0</v>
      </c>
      <c r="AW307" s="31">
        <f t="shared" si="97"/>
        <v>0</v>
      </c>
      <c r="AX307" s="31">
        <f t="shared" si="98"/>
        <v>4.25</v>
      </c>
      <c r="AZ307" s="31">
        <f t="shared" si="99"/>
        <v>4.25</v>
      </c>
      <c r="BC307" s="31">
        <f t="shared" si="100"/>
        <v>9.7000000000000003E-2</v>
      </c>
      <c r="BD307" s="31">
        <f t="shared" si="101"/>
        <v>0</v>
      </c>
      <c r="BE307" s="31">
        <f t="shared" si="102"/>
        <v>4.25</v>
      </c>
      <c r="BF307" s="31">
        <f t="shared" si="103"/>
        <v>0</v>
      </c>
      <c r="BG307" s="31">
        <f t="shared" si="104"/>
        <v>7.8200000000000006E-2</v>
      </c>
      <c r="BH307" s="31">
        <f>VLOOKUP(B307,Miljö!$B$1:$BX$482,MATCH("Fossilandel för ursprungspecificerad el ()",Miljö!$B$1:$I$1,0),FALSE)</f>
        <v>0</v>
      </c>
      <c r="BI307" s="31">
        <f>VLOOKUP(B307,Miljö!$B$1:$BX$482,MATCH("Kärnkraftsandel för ursprungsspecificerad el ()",Miljö!$B$1:$O$1,0),FALSE)</f>
        <v>0</v>
      </c>
      <c r="BJ307" s="31">
        <f t="shared" si="105"/>
        <v>0</v>
      </c>
      <c r="BK307" s="31" t="str">
        <f>VLOOKUP(B307,Miljö!$B$1:$P$482,MATCH("Fossil andel i procent (%)",Miljö!$B$1:$P$1,0),FALSE)</f>
        <v>ET</v>
      </c>
      <c r="BL307" s="31">
        <f t="shared" si="106"/>
        <v>4.4252000000000002</v>
      </c>
      <c r="BO307" s="32">
        <f t="shared" si="107"/>
        <v>2.191991322426105E-2</v>
      </c>
      <c r="BP307" s="32">
        <f t="shared" si="108"/>
        <v>0</v>
      </c>
      <c r="BQ307" s="32">
        <f t="shared" si="109"/>
        <v>0.97808008677573888</v>
      </c>
      <c r="BR307" s="32">
        <f t="shared" si="110"/>
        <v>0</v>
      </c>
      <c r="BT307" s="62">
        <f t="shared" si="111"/>
        <v>0.99999999999999989</v>
      </c>
      <c r="BW307" s="32">
        <f>IF(AP307="Ja",VLOOKUP(B307,Miljövärden!$B$2:$H$551,MATCH("Total andel fossilt",Miljövärden!$B$2:$H$2,0),FALSE),"")</f>
        <v>2.1919899999999999E-2</v>
      </c>
      <c r="BX307" s="62">
        <f t="shared" si="112"/>
        <v>-1.3224261050798214E-8</v>
      </c>
      <c r="BZ307" s="31">
        <f t="shared" si="113"/>
        <v>-1.3224261050798214E-8</v>
      </c>
      <c r="CA307" s="32">
        <f t="shared" si="114"/>
        <v>0</v>
      </c>
    </row>
    <row r="308" spans="1:79" hidden="1" x14ac:dyDescent="0.45">
      <c r="A308" s="31" t="s">
        <v>278</v>
      </c>
      <c r="B308" s="31" t="s">
        <v>278</v>
      </c>
      <c r="C308" s="31">
        <f>VLOOKUP($B308,'Tillförd energi'!$B$1:$AI$720,MATCH(C$1,'Tillförd energi'!$B$1:$AQ$1,0),FALSE)</f>
        <v>0</v>
      </c>
      <c r="D308" s="31">
        <f>VLOOKUP($B308,'Tillförd energi'!$B$1:$AI$720,MATCH(D$1,'Tillförd energi'!$B$1:$AQ$1,0),FALSE)</f>
        <v>0</v>
      </c>
      <c r="E308" s="31">
        <f>VLOOKUP($B308,'Tillförd energi'!$B$1:$AI$720,MATCH(E$1,'Tillförd energi'!$B$1:$AQ$1,0),FALSE)</f>
        <v>0</v>
      </c>
      <c r="F308" s="31">
        <f>VLOOKUP($B308,'Tillförd energi'!$B$1:$AI$720,MATCH(F$1,'Tillförd energi'!$B$1:$AQ$1,0),FALSE)</f>
        <v>0</v>
      </c>
      <c r="G308" s="31">
        <f>VLOOKUP($B308,'Tillförd energi'!$B$1:$AI$720,MATCH(G$1,'Tillförd energi'!$B$1:$AQ$1,0),FALSE)</f>
        <v>0</v>
      </c>
      <c r="H308" s="31">
        <f>VLOOKUP($B308,'Tillförd energi'!$B$1:$AI$720,MATCH(H$1,'Tillförd energi'!$B$1:$AQ$1,0),FALSE)</f>
        <v>0</v>
      </c>
      <c r="I308" s="31">
        <f>VLOOKUP($B308,'Tillförd energi'!$B$1:$AI$720,MATCH(I$1,'Tillförd energi'!$B$1:$AQ$1,0),FALSE)</f>
        <v>0</v>
      </c>
      <c r="J308" s="31">
        <f>VLOOKUP($B308,'Tillförd energi'!$B$1:$AI$720,MATCH(J$1,'Tillförd energi'!$B$1:$AQ$1,0),FALSE)</f>
        <v>0</v>
      </c>
      <c r="K308" s="31">
        <f>VLOOKUP($B308,'Tillförd energi'!$B$1:$AI$720,MATCH(K$1,'Tillförd energi'!$B$1:$AQ$1,0),FALSE)</f>
        <v>0</v>
      </c>
      <c r="L308" s="31">
        <f>VLOOKUP($B308,'Tillförd energi'!$B$1:$AI$720,MATCH(L$1,'Tillförd energi'!$B$1:$AQ$1,0),FALSE)</f>
        <v>0</v>
      </c>
      <c r="M308" s="31">
        <f>VLOOKUP($B308,'Tillförd energi'!$B$1:$AI$720,MATCH(M$1,'Tillförd energi'!$B$1:$AQ$1,0),FALSE)</f>
        <v>0</v>
      </c>
      <c r="N308" s="31">
        <f>VLOOKUP($B308,'Tillförd energi'!$B$1:$AI$720,MATCH(N$1,'Tillförd energi'!$B$1:$AQ$1,0),FALSE)</f>
        <v>0</v>
      </c>
      <c r="O308" s="31">
        <f>VLOOKUP($B308,'Tillförd energi'!$B$1:$AI$720,MATCH(O$1,'Tillförd energi'!$B$1:$AQ$1,0),FALSE)</f>
        <v>0</v>
      </c>
      <c r="P308" s="31">
        <f>VLOOKUP($B308,'Tillförd energi'!$B$1:$AI$720,MATCH(P$1,'Tillförd energi'!$B$1:$AQ$1,0),FALSE)</f>
        <v>0</v>
      </c>
      <c r="Q308" s="31">
        <f>VLOOKUP($B308,'Tillförd energi'!$B$1:$AI$720,MATCH(Q$1,'Tillförd energi'!$B$1:$AQ$1,0),FALSE)</f>
        <v>0</v>
      </c>
      <c r="R308" s="31">
        <f>VLOOKUP($B308,'Tillförd energi'!$B$1:$AI$720,MATCH(R$1,'Tillförd energi'!$B$1:$AQ$1,0),FALSE)</f>
        <v>0</v>
      </c>
      <c r="S308" s="31">
        <f>VLOOKUP($B308,'Tillförd energi'!$B$1:$AI$720,MATCH(S$1,'Tillförd energi'!$B$1:$AQ$1,0),FALSE)</f>
        <v>0</v>
      </c>
      <c r="T308" s="31">
        <f>VLOOKUP($B308,'Tillförd energi'!$B$1:$AI$720,MATCH(T$1,'Tillförd energi'!$B$1:$AQ$1,0),FALSE)</f>
        <v>0</v>
      </c>
      <c r="U308" s="31">
        <f>VLOOKUP($B308,'Tillförd energi'!$B$1:$AI$720,MATCH(U$1,'Tillförd energi'!$B$1:$AQ$1,0),FALSE)</f>
        <v>0</v>
      </c>
      <c r="V308" s="31">
        <f>VLOOKUP($B308,'Tillförd energi'!$B$1:$AI$720,MATCH(V$1,'Tillförd energi'!$B$1:$AQ$1,0),FALSE)</f>
        <v>0</v>
      </c>
      <c r="W308" s="31">
        <f>VLOOKUP($B308,'Tillförd energi'!$B$1:$AI$720,MATCH(W$1,'Tillförd energi'!$B$1:$AQ$1,0),FALSE)</f>
        <v>0</v>
      </c>
      <c r="X308" s="31">
        <f>VLOOKUP($B308,'Tillförd energi'!$B$1:$AI$720,MATCH(X$1,'Tillförd energi'!$B$1:$AQ$1,0),FALSE)</f>
        <v>0</v>
      </c>
      <c r="Y308" s="31">
        <f>VLOOKUP($B308,'Tillförd energi'!$B$1:$AI$720,MATCH(Y$1,'Tillförd energi'!$B$1:$AQ$1,0),FALSE)</f>
        <v>0</v>
      </c>
      <c r="Z308" s="31">
        <f>VLOOKUP($B308,'Tillförd energi'!$B$1:$AI$720,MATCH(Z$1,'Tillförd energi'!$B$1:$AQ$1,0),FALSE)</f>
        <v>0</v>
      </c>
      <c r="AA308" s="31">
        <f>VLOOKUP($B308,'Tillförd energi'!$B$1:$AI$720,MATCH(AA$1,'Tillförd energi'!$B$1:$AQ$1,0),FALSE)</f>
        <v>0</v>
      </c>
      <c r="AB308" s="31">
        <f>VLOOKUP($B308,'Tillförd energi'!$B$1:$AI$720,MATCH(AB$1,'Tillförd energi'!$B$1:$AQ$1,0),FALSE)</f>
        <v>0</v>
      </c>
      <c r="AC308" s="31">
        <f>VLOOKUP($B308,'Tillförd energi'!$B$1:$AI$720,MATCH(AC$1,'Tillförd energi'!$B$1:$AQ$1,0),FALSE)</f>
        <v>0</v>
      </c>
      <c r="AD308" s="31">
        <f>VLOOKUP($B308,'Tillförd energi'!$B$1:$AI$720,MATCH(AD$1,'Tillförd energi'!$B$1:$AQ$1,0),FALSE)</f>
        <v>0</v>
      </c>
      <c r="AE308" s="31">
        <f>VLOOKUP($B308,'Tillförd energi'!$B$1:$AI$720,MATCH(AE$1,'Tillförd energi'!$B$1:$AQ$1,0),FALSE)</f>
        <v>0</v>
      </c>
      <c r="AF308" s="31">
        <f>VLOOKUP($B308,'Tillförd energi'!$B$1:$AI$720,MATCH(AF$1,'Tillförd energi'!$B$1:$AQ$1,0),FALSE)</f>
        <v>0</v>
      </c>
      <c r="AG308" s="31">
        <f>IFERROR(VLOOKUP(B308,Miljö!$B$1:$AC$550,MATCH("Köpt mängd produktionsspecifik fjärrvärme:",Miljö!$B$1:$AC$1,0),FALSE)/1,0)</f>
        <v>0</v>
      </c>
      <c r="AI308" s="31">
        <f t="shared" si="92"/>
        <v>0</v>
      </c>
      <c r="AJ308" s="31">
        <f t="shared" si="93"/>
        <v>0</v>
      </c>
      <c r="AK308" s="31" t="str">
        <f>IF(ISERROR(1/VLOOKUP($B308,Leveranser!$B$1:$S$499,MATCH("Såld värme (GWh)",Leveranser!$B$1:$S$1,0),FALSE)),"",VLOOKUP($B308,Leveranser!$B$1:$S$499,MATCH("Såld värme (GWh)",Leveranser!$B$1:$S$1,0),FALSE))</f>
        <v/>
      </c>
      <c r="AL308" s="31">
        <f>VLOOKUP($B308,Leveranser!$B$1:$Y$499,MATCH("Totalt såld fjärrvärme till andra fjärrvärmeföretag",Leveranser!$B$1:$AA$1,0),FALSE)</f>
        <v>0</v>
      </c>
      <c r="AM308" s="31">
        <f>IF(ISERROR(1/VLOOKUP($B308,Miljö!$B$1:$S$500,MATCH("Såld mängd produktionsspecifik fjärrvärme (GWh)",Miljö!$B$1:$R$1,0),FALSE)),0,VLOOKUP($B308,Miljö!$B$1:$S$500,MATCH("Såld mängd produktionsspecifik fjärrvärme (GWh)",Miljö!$B$1:$R$1,0),FALSE))</f>
        <v>0</v>
      </c>
      <c r="AN308" s="32" t="str">
        <f t="shared" si="94"/>
        <v/>
      </c>
      <c r="AP308" s="31" t="str">
        <f>IFERROR(VLOOKUP($B308,Miljövärden!$B$2:$H$550,7,FALSE),"Nej, saknas")</f>
        <v>Nej</v>
      </c>
      <c r="AQ308" s="31" t="str">
        <f>IFERROR(VLOOKUP($B308,Miljövärden!$B$2:$H$551,6,FALSE),"Nej, saknas")</f>
        <v>Nej</v>
      </c>
      <c r="AU308" s="31">
        <f t="shared" si="95"/>
        <v>0</v>
      </c>
      <c r="AV308" s="31">
        <f t="shared" si="96"/>
        <v>0</v>
      </c>
      <c r="AW308" s="31">
        <f t="shared" si="97"/>
        <v>0</v>
      </c>
      <c r="AX308" s="31">
        <f t="shared" si="98"/>
        <v>0</v>
      </c>
      <c r="AZ308" s="31">
        <f t="shared" si="99"/>
        <v>0</v>
      </c>
      <c r="BC308" s="31">
        <f t="shared" si="100"/>
        <v>0</v>
      </c>
      <c r="BD308" s="31">
        <f t="shared" si="101"/>
        <v>0</v>
      </c>
      <c r="BE308" s="31">
        <f t="shared" si="102"/>
        <v>0</v>
      </c>
      <c r="BF308" s="31">
        <f t="shared" si="103"/>
        <v>0</v>
      </c>
      <c r="BG308" s="31">
        <f t="shared" si="104"/>
        <v>0</v>
      </c>
      <c r="BH308" s="31" t="str">
        <f>VLOOKUP(B308,Miljö!$B$1:$BX$482,MATCH("Fossilandel för ursprungspecificerad el ()",Miljö!$B$1:$I$1,0),FALSE)</f>
        <v>-</v>
      </c>
      <c r="BI308" s="31" t="str">
        <f>VLOOKUP(B308,Miljö!$B$1:$BX$482,MATCH("Kärnkraftsandel för ursprungsspecificerad el ()",Miljö!$B$1:$O$1,0),FALSE)</f>
        <v>-</v>
      </c>
      <c r="BJ308" s="31">
        <f t="shared" si="105"/>
        <v>0</v>
      </c>
      <c r="BK308" s="31" t="str">
        <f>VLOOKUP(B308,Miljö!$B$1:$P$482,MATCH("Fossil andel i procent (%)",Miljö!$B$1:$P$1,0),FALSE)</f>
        <v>-</v>
      </c>
      <c r="BL308" s="31">
        <f t="shared" si="106"/>
        <v>0</v>
      </c>
      <c r="BO308" s="32" t="str">
        <f t="shared" si="107"/>
        <v/>
      </c>
      <c r="BP308" s="32" t="str">
        <f t="shared" si="108"/>
        <v/>
      </c>
      <c r="BQ308" s="32" t="str">
        <f t="shared" si="109"/>
        <v/>
      </c>
      <c r="BR308" s="32" t="str">
        <f t="shared" si="110"/>
        <v/>
      </c>
      <c r="BT308" s="62">
        <f t="shared" si="111"/>
        <v>0</v>
      </c>
      <c r="BW308" s="32" t="str">
        <f>IF(AP308="Ja",VLOOKUP(B308,Miljövärden!$B$2:$H$551,MATCH("Total andel fossilt",Miljövärden!$B$2:$H$2,0),FALSE),"")</f>
        <v/>
      </c>
      <c r="BX308" s="62" t="e">
        <f t="shared" si="112"/>
        <v>#VALUE!</v>
      </c>
      <c r="BZ308" s="31" t="str">
        <f t="shared" si="113"/>
        <v/>
      </c>
      <c r="CA308" s="32" t="str">
        <f t="shared" si="114"/>
        <v/>
      </c>
    </row>
    <row r="309" spans="1:79" x14ac:dyDescent="0.45">
      <c r="A309" s="31" t="s">
        <v>277</v>
      </c>
      <c r="B309" s="31" t="s">
        <v>130</v>
      </c>
      <c r="C309" s="31">
        <f>VLOOKUP($B309,'Tillförd energi'!$B$1:$AI$720,MATCH(C$1,'Tillförd energi'!$B$1:$AQ$1,0),FALSE)</f>
        <v>0</v>
      </c>
      <c r="D309" s="31">
        <f>VLOOKUP($B309,'Tillförd energi'!$B$1:$AI$720,MATCH(D$1,'Tillförd energi'!$B$1:$AQ$1,0),FALSE)</f>
        <v>0</v>
      </c>
      <c r="E309" s="31">
        <f>VLOOKUP($B309,'Tillförd energi'!$B$1:$AI$720,MATCH(E$1,'Tillförd energi'!$B$1:$AQ$1,0),FALSE)</f>
        <v>0</v>
      </c>
      <c r="F309" s="31">
        <f>VLOOKUP($B309,'Tillförd energi'!$B$1:$AI$720,MATCH(F$1,'Tillförd energi'!$B$1:$AQ$1,0),FALSE)</f>
        <v>0</v>
      </c>
      <c r="G309" s="31">
        <f>VLOOKUP($B309,'Tillförd energi'!$B$1:$AI$720,MATCH(G$1,'Tillförd energi'!$B$1:$AQ$1,0),FALSE)</f>
        <v>0</v>
      </c>
      <c r="H309" s="31">
        <f>VLOOKUP($B309,'Tillförd energi'!$B$1:$AI$720,MATCH(H$1,'Tillförd energi'!$B$1:$AQ$1,0),FALSE)</f>
        <v>0</v>
      </c>
      <c r="I309" s="31">
        <f>VLOOKUP($B309,'Tillförd energi'!$B$1:$AI$720,MATCH(I$1,'Tillförd energi'!$B$1:$AQ$1,0),FALSE)</f>
        <v>0</v>
      </c>
      <c r="J309" s="31">
        <f>VLOOKUP($B309,'Tillförd energi'!$B$1:$AI$720,MATCH(J$1,'Tillförd energi'!$B$1:$AQ$1,0),FALSE)</f>
        <v>0</v>
      </c>
      <c r="K309" s="31">
        <f>VLOOKUP($B309,'Tillförd energi'!$B$1:$AI$720,MATCH(K$1,'Tillförd energi'!$B$1:$AQ$1,0),FALSE)</f>
        <v>0</v>
      </c>
      <c r="L309" s="31">
        <f>VLOOKUP($B309,'Tillförd energi'!$B$1:$AI$720,MATCH(L$1,'Tillförd energi'!$B$1:$AQ$1,0),FALSE)</f>
        <v>0</v>
      </c>
      <c r="M309" s="31">
        <f>VLOOKUP($B309,'Tillförd energi'!$B$1:$AI$720,MATCH(M$1,'Tillförd energi'!$B$1:$AQ$1,0),FALSE)</f>
        <v>0</v>
      </c>
      <c r="N309" s="31">
        <f>VLOOKUP($B309,'Tillförd energi'!$B$1:$AI$720,MATCH(N$1,'Tillförd energi'!$B$1:$AQ$1,0),FALSE)</f>
        <v>0</v>
      </c>
      <c r="O309" s="31">
        <f>VLOOKUP($B309,'Tillförd energi'!$B$1:$AI$720,MATCH(O$1,'Tillförd energi'!$B$1:$AQ$1,0),FALSE)</f>
        <v>0</v>
      </c>
      <c r="P309" s="31">
        <f>VLOOKUP($B309,'Tillförd energi'!$B$1:$AI$720,MATCH(P$1,'Tillförd energi'!$B$1:$AQ$1,0),FALSE)</f>
        <v>0</v>
      </c>
      <c r="Q309" s="31">
        <f>VLOOKUP($B309,'Tillförd energi'!$B$1:$AI$720,MATCH(Q$1,'Tillförd energi'!$B$1:$AQ$1,0),FALSE)</f>
        <v>19</v>
      </c>
      <c r="R309" s="31">
        <f>VLOOKUP($B309,'Tillförd energi'!$B$1:$AI$720,MATCH(R$1,'Tillförd energi'!$B$1:$AQ$1,0),FALSE)</f>
        <v>0</v>
      </c>
      <c r="S309" s="31">
        <f>VLOOKUP($B309,'Tillförd energi'!$B$1:$AI$720,MATCH(S$1,'Tillförd energi'!$B$1:$AQ$1,0),FALSE)</f>
        <v>0</v>
      </c>
      <c r="T309" s="31">
        <f>VLOOKUP($B309,'Tillförd energi'!$B$1:$AI$720,MATCH(T$1,'Tillförd energi'!$B$1:$AQ$1,0),FALSE)</f>
        <v>0</v>
      </c>
      <c r="U309" s="31">
        <f>VLOOKUP($B309,'Tillförd energi'!$B$1:$AI$720,MATCH(U$1,'Tillförd energi'!$B$1:$AQ$1,0),FALSE)</f>
        <v>0</v>
      </c>
      <c r="V309" s="31">
        <f>VLOOKUP($B309,'Tillförd energi'!$B$1:$AI$720,MATCH(V$1,'Tillförd energi'!$B$1:$AQ$1,0),FALSE)</f>
        <v>0</v>
      </c>
      <c r="W309" s="31">
        <f>VLOOKUP($B309,'Tillförd energi'!$B$1:$AI$720,MATCH(W$1,'Tillförd energi'!$B$1:$AQ$1,0),FALSE)</f>
        <v>0</v>
      </c>
      <c r="X309" s="31">
        <f>VLOOKUP($B309,'Tillförd energi'!$B$1:$AI$720,MATCH(X$1,'Tillförd energi'!$B$1:$AQ$1,0),FALSE)</f>
        <v>0</v>
      </c>
      <c r="Y309" s="31">
        <f>VLOOKUP($B309,'Tillförd energi'!$B$1:$AI$720,MATCH(Y$1,'Tillförd energi'!$B$1:$AQ$1,0),FALSE)</f>
        <v>0</v>
      </c>
      <c r="Z309" s="31">
        <f>VLOOKUP($B309,'Tillförd energi'!$B$1:$AI$720,MATCH(Z$1,'Tillförd energi'!$B$1:$AQ$1,0),FALSE)</f>
        <v>0</v>
      </c>
      <c r="AA309" s="31">
        <f>VLOOKUP($B309,'Tillförd energi'!$B$1:$AI$720,MATCH(AA$1,'Tillförd energi'!$B$1:$AQ$1,0),FALSE)</f>
        <v>0</v>
      </c>
      <c r="AB309" s="31">
        <f>VLOOKUP($B309,'Tillförd energi'!$B$1:$AI$720,MATCH(AB$1,'Tillförd energi'!$B$1:$AQ$1,0),FALSE)</f>
        <v>0</v>
      </c>
      <c r="AC309" s="31">
        <f>VLOOKUP($B309,'Tillförd energi'!$B$1:$AI$720,MATCH(AC$1,'Tillförd energi'!$B$1:$AQ$1,0),FALSE)</f>
        <v>0</v>
      </c>
      <c r="AD309" s="31">
        <f>VLOOKUP($B309,'Tillförd energi'!$B$1:$AI$720,MATCH(AD$1,'Tillförd energi'!$B$1:$AQ$1,0),FALSE)</f>
        <v>0</v>
      </c>
      <c r="AE309" s="31">
        <f>VLOOKUP($B309,'Tillförd energi'!$B$1:$AI$720,MATCH(AE$1,'Tillförd energi'!$B$1:$AQ$1,0),FALSE)</f>
        <v>0</v>
      </c>
      <c r="AF309" s="31">
        <f>VLOOKUP($B309,'Tillförd energi'!$B$1:$AI$720,MATCH(AF$1,'Tillförd energi'!$B$1:$AQ$1,0),FALSE)</f>
        <v>0.39387</v>
      </c>
      <c r="AG309" s="31">
        <f>IFERROR(VLOOKUP(B309,Miljö!$B$1:$AC$550,MATCH("Köpt mängd produktionsspecifik fjärrvärme:",Miljö!$B$1:$AC$1,0),FALSE)/1,0)</f>
        <v>0</v>
      </c>
      <c r="AI309" s="31">
        <f t="shared" si="92"/>
        <v>19.39387</v>
      </c>
      <c r="AJ309" s="31">
        <f t="shared" si="93"/>
        <v>19.39387</v>
      </c>
      <c r="AK309" s="31">
        <f>IF(ISERROR(1/VLOOKUP($B309,Leveranser!$B$1:$S$499,MATCH("Såld värme (GWh)",Leveranser!$B$1:$S$1,0),FALSE)),"",VLOOKUP($B309,Leveranser!$B$1:$S$499,MATCH("Såld värme (GWh)",Leveranser!$B$1:$S$1,0),FALSE))</f>
        <v>13.129</v>
      </c>
      <c r="AL309" s="31">
        <f>VLOOKUP($B309,Leveranser!$B$1:$Y$499,MATCH("Totalt såld fjärrvärme till andra fjärrvärmeföretag",Leveranser!$B$1:$AA$1,0),FALSE)</f>
        <v>0</v>
      </c>
      <c r="AM309" s="31">
        <f>IF(ISERROR(1/VLOOKUP($B309,Miljö!$B$1:$S$500,MATCH("Såld mängd produktionsspecifik fjärrvärme (GWh)",Miljö!$B$1:$R$1,0),FALSE)),0,VLOOKUP($B309,Miljö!$B$1:$S$500,MATCH("Såld mängd produktionsspecifik fjärrvärme (GWh)",Miljö!$B$1:$R$1,0),FALSE))</f>
        <v>0</v>
      </c>
      <c r="AN309" s="32">
        <f t="shared" si="94"/>
        <v>0.67696648477070331</v>
      </c>
      <c r="AP309" s="31" t="str">
        <f>IFERROR(VLOOKUP($B309,Miljövärden!$B$2:$H$550,7,FALSE),"Nej, saknas")</f>
        <v>Ja</v>
      </c>
      <c r="AQ309" s="31" t="str">
        <f>IFERROR(VLOOKUP($B309,Miljövärden!$B$2:$H$551,6,FALSE),"Nej, saknas")</f>
        <v>Nej</v>
      </c>
      <c r="AU309" s="31">
        <f t="shared" si="95"/>
        <v>0.39387</v>
      </c>
      <c r="AV309" s="31">
        <f t="shared" si="96"/>
        <v>0</v>
      </c>
      <c r="AW309" s="31">
        <f t="shared" si="97"/>
        <v>19</v>
      </c>
      <c r="AX309" s="31">
        <f t="shared" si="98"/>
        <v>0</v>
      </c>
      <c r="AZ309" s="31">
        <f t="shared" si="99"/>
        <v>19</v>
      </c>
      <c r="BC309" s="31">
        <f t="shared" si="100"/>
        <v>0</v>
      </c>
      <c r="BD309" s="31">
        <f t="shared" si="101"/>
        <v>0</v>
      </c>
      <c r="BE309" s="31">
        <f t="shared" si="102"/>
        <v>19</v>
      </c>
      <c r="BF309" s="31">
        <f t="shared" si="103"/>
        <v>0</v>
      </c>
      <c r="BG309" s="31">
        <f t="shared" si="104"/>
        <v>0.39387</v>
      </c>
      <c r="BH309" s="31">
        <f>VLOOKUP(B309,Miljö!$B$1:$BX$482,MATCH("Fossilandel för ursprungspecificerad el ()",Miljö!$B$1:$I$1,0),FALSE)</f>
        <v>0.35</v>
      </c>
      <c r="BI309" s="31">
        <f>VLOOKUP(B309,Miljö!$B$1:$BX$482,MATCH("Kärnkraftsandel för ursprungsspecificerad el ()",Miljö!$B$1:$O$1,0),FALSE)</f>
        <v>0.3977</v>
      </c>
      <c r="BJ309" s="31">
        <f t="shared" si="105"/>
        <v>0</v>
      </c>
      <c r="BK309" s="31" t="str">
        <f>VLOOKUP(B309,Miljö!$B$1:$P$482,MATCH("Fossil andel i procent (%)",Miljö!$B$1:$P$1,0),FALSE)</f>
        <v>ET</v>
      </c>
      <c r="BL309" s="31">
        <f t="shared" si="106"/>
        <v>19.39387</v>
      </c>
      <c r="BO309" s="32">
        <f t="shared" si="107"/>
        <v>7.1081480900923848E-3</v>
      </c>
      <c r="BP309" s="32">
        <f t="shared" si="108"/>
        <v>8.0768871297992612E-3</v>
      </c>
      <c r="BQ309" s="32">
        <f t="shared" si="109"/>
        <v>0.98481496478010844</v>
      </c>
      <c r="BR309" s="32">
        <f t="shared" si="110"/>
        <v>0</v>
      </c>
      <c r="BT309" s="62">
        <f t="shared" si="111"/>
        <v>1</v>
      </c>
      <c r="BW309" s="32">
        <f>IF(AP309="Ja",VLOOKUP(B309,Miljövärden!$B$2:$H$551,MATCH("Total andel fossilt",Miljövärden!$B$2:$H$2,0),FALSE),"")</f>
        <v>7.1081099999999999E-3</v>
      </c>
      <c r="BX309" s="62">
        <f t="shared" si="112"/>
        <v>-3.8090092384888974E-8</v>
      </c>
      <c r="BZ309" s="31">
        <f t="shared" si="113"/>
        <v>-3.8090092384888974E-8</v>
      </c>
      <c r="CA309" s="32">
        <f t="shared" si="114"/>
        <v>0</v>
      </c>
    </row>
    <row r="310" spans="1:79" x14ac:dyDescent="0.45">
      <c r="A310" s="31" t="s">
        <v>276</v>
      </c>
      <c r="B310" s="31" t="s">
        <v>275</v>
      </c>
      <c r="C310" s="31">
        <f>VLOOKUP($B310,'Tillförd energi'!$B$1:$AI$720,MATCH(C$1,'Tillförd energi'!$B$1:$AQ$1,0),FALSE)</f>
        <v>0</v>
      </c>
      <c r="D310" s="31">
        <f>VLOOKUP($B310,'Tillförd energi'!$B$1:$AI$720,MATCH(D$1,'Tillförd energi'!$B$1:$AQ$1,0),FALSE)</f>
        <v>0.59699999999999998</v>
      </c>
      <c r="E310" s="31">
        <f>VLOOKUP($B310,'Tillförd energi'!$B$1:$AI$720,MATCH(E$1,'Tillförd energi'!$B$1:$AQ$1,0),FALSE)</f>
        <v>0</v>
      </c>
      <c r="F310" s="31">
        <f>VLOOKUP($B310,'Tillförd energi'!$B$1:$AI$720,MATCH(F$1,'Tillförd energi'!$B$1:$AQ$1,0),FALSE)</f>
        <v>0</v>
      </c>
      <c r="G310" s="31">
        <f>VLOOKUP($B310,'Tillförd energi'!$B$1:$AI$720,MATCH(G$1,'Tillförd energi'!$B$1:$AQ$1,0),FALSE)</f>
        <v>0</v>
      </c>
      <c r="H310" s="31">
        <f>VLOOKUP($B310,'Tillförd energi'!$B$1:$AI$720,MATCH(H$1,'Tillförd energi'!$B$1:$AQ$1,0),FALSE)</f>
        <v>0</v>
      </c>
      <c r="I310" s="31">
        <f>VLOOKUP($B310,'Tillförd energi'!$B$1:$AI$720,MATCH(I$1,'Tillförd energi'!$B$1:$AQ$1,0),FALSE)</f>
        <v>0</v>
      </c>
      <c r="J310" s="31">
        <f>VLOOKUP($B310,'Tillförd energi'!$B$1:$AI$720,MATCH(J$1,'Tillförd energi'!$B$1:$AQ$1,0),FALSE)</f>
        <v>0</v>
      </c>
      <c r="K310" s="31">
        <f>VLOOKUP($B310,'Tillförd energi'!$B$1:$AI$720,MATCH(K$1,'Tillförd energi'!$B$1:$AQ$1,0),FALSE)</f>
        <v>0</v>
      </c>
      <c r="L310" s="31">
        <f>VLOOKUP($B310,'Tillförd energi'!$B$1:$AI$720,MATCH(L$1,'Tillförd energi'!$B$1:$AQ$1,0),FALSE)</f>
        <v>0</v>
      </c>
      <c r="M310" s="31">
        <f>VLOOKUP($B310,'Tillförd energi'!$B$1:$AI$720,MATCH(M$1,'Tillförd energi'!$B$1:$AQ$1,0),FALSE)</f>
        <v>17.639700000000001</v>
      </c>
      <c r="N310" s="31">
        <f>VLOOKUP($B310,'Tillförd energi'!$B$1:$AI$720,MATCH(N$1,'Tillförd energi'!$B$1:$AQ$1,0),FALSE)</f>
        <v>90.789900000000003</v>
      </c>
      <c r="O310" s="31">
        <f>VLOOKUP($B310,'Tillförd energi'!$B$1:$AI$720,MATCH(O$1,'Tillförd energi'!$B$1:$AQ$1,0),FALSE)</f>
        <v>4.3205600000000004</v>
      </c>
      <c r="P310" s="31">
        <f>VLOOKUP($B310,'Tillförd energi'!$B$1:$AI$720,MATCH(P$1,'Tillförd energi'!$B$1:$AQ$1,0),FALSE)</f>
        <v>0</v>
      </c>
      <c r="Q310" s="31">
        <f>VLOOKUP($B310,'Tillförd energi'!$B$1:$AI$720,MATCH(Q$1,'Tillförd energi'!$B$1:$AQ$1,0),FALSE)</f>
        <v>0</v>
      </c>
      <c r="R310" s="31">
        <f>VLOOKUP($B310,'Tillförd energi'!$B$1:$AI$720,MATCH(R$1,'Tillförd energi'!$B$1:$AQ$1,0),FALSE)</f>
        <v>0</v>
      </c>
      <c r="S310" s="31">
        <f>VLOOKUP($B310,'Tillförd energi'!$B$1:$AI$720,MATCH(S$1,'Tillförd energi'!$B$1:$AQ$1,0),FALSE)</f>
        <v>0</v>
      </c>
      <c r="T310" s="31">
        <f>VLOOKUP($B310,'Tillförd energi'!$B$1:$AI$720,MATCH(T$1,'Tillförd energi'!$B$1:$AQ$1,0),FALSE)</f>
        <v>0</v>
      </c>
      <c r="U310" s="31">
        <f>VLOOKUP($B310,'Tillförd energi'!$B$1:$AI$720,MATCH(U$1,'Tillförd energi'!$B$1:$AQ$1,0),FALSE)</f>
        <v>0</v>
      </c>
      <c r="V310" s="31">
        <f>VLOOKUP($B310,'Tillförd energi'!$B$1:$AI$720,MATCH(V$1,'Tillförd energi'!$B$1:$AQ$1,0),FALSE)</f>
        <v>0</v>
      </c>
      <c r="W310" s="31">
        <f>VLOOKUP($B310,'Tillförd energi'!$B$1:$AI$720,MATCH(W$1,'Tillförd energi'!$B$1:$AQ$1,0),FALSE)</f>
        <v>0</v>
      </c>
      <c r="X310" s="31">
        <f>VLOOKUP($B310,'Tillförd energi'!$B$1:$AI$720,MATCH(X$1,'Tillförd energi'!$B$1:$AQ$1,0),FALSE)</f>
        <v>0</v>
      </c>
      <c r="Y310" s="31">
        <f>VLOOKUP($B310,'Tillförd energi'!$B$1:$AI$720,MATCH(Y$1,'Tillförd energi'!$B$1:$AQ$1,0),FALSE)</f>
        <v>0</v>
      </c>
      <c r="Z310" s="31">
        <f>VLOOKUP($B310,'Tillförd energi'!$B$1:$AI$720,MATCH(Z$1,'Tillförd energi'!$B$1:$AQ$1,0),FALSE)</f>
        <v>0</v>
      </c>
      <c r="AA310" s="31">
        <f>VLOOKUP($B310,'Tillförd energi'!$B$1:$AI$720,MATCH(AA$1,'Tillförd energi'!$B$1:$AQ$1,0),FALSE)</f>
        <v>0</v>
      </c>
      <c r="AB310" s="31">
        <f>VLOOKUP($B310,'Tillförd energi'!$B$1:$AI$720,MATCH(AB$1,'Tillförd energi'!$B$1:$AQ$1,0),FALSE)</f>
        <v>0</v>
      </c>
      <c r="AC310" s="31">
        <f>VLOOKUP($B310,'Tillförd energi'!$B$1:$AI$720,MATCH(AC$1,'Tillförd energi'!$B$1:$AQ$1,0),FALSE)</f>
        <v>25.3</v>
      </c>
      <c r="AD310" s="31">
        <f>VLOOKUP($B310,'Tillförd energi'!$B$1:$AI$720,MATCH(AD$1,'Tillförd energi'!$B$1:$AQ$1,0),FALSE)</f>
        <v>0</v>
      </c>
      <c r="AE310" s="31">
        <f>VLOOKUP($B310,'Tillförd energi'!$B$1:$AI$720,MATCH(AE$1,'Tillförd energi'!$B$1:$AQ$1,0),FALSE)</f>
        <v>0</v>
      </c>
      <c r="AF310" s="31">
        <f>VLOOKUP($B310,'Tillförd energi'!$B$1:$AI$720,MATCH(AF$1,'Tillförd energi'!$B$1:$AQ$1,0),FALSE)</f>
        <v>5</v>
      </c>
      <c r="AG310" s="31">
        <f>IFERROR(VLOOKUP(B310,Miljö!$B$1:$AC$550,MATCH("Köpt mängd produktionsspecifik fjärrvärme:",Miljö!$B$1:$AC$1,0),FALSE)/1,0)</f>
        <v>0</v>
      </c>
      <c r="AI310" s="31">
        <f t="shared" si="92"/>
        <v>143.64716000000001</v>
      </c>
      <c r="AJ310" s="31">
        <f t="shared" si="93"/>
        <v>143.64716000000001</v>
      </c>
      <c r="AK310" s="31">
        <f>IF(ISERROR(1/VLOOKUP($B310,Leveranser!$B$1:$S$499,MATCH("Såld värme (GWh)",Leveranser!$B$1:$S$1,0),FALSE)),"",VLOOKUP($B310,Leveranser!$B$1:$S$499,MATCH("Såld värme (GWh)",Leveranser!$B$1:$S$1,0),FALSE))</f>
        <v>122</v>
      </c>
      <c r="AL310" s="31">
        <f>VLOOKUP($B310,Leveranser!$B$1:$Y$499,MATCH("Totalt såld fjärrvärme till andra fjärrvärmeföretag",Leveranser!$B$1:$AA$1,0),FALSE)</f>
        <v>0</v>
      </c>
      <c r="AM310" s="31">
        <f>IF(ISERROR(1/VLOOKUP($B310,Miljö!$B$1:$S$500,MATCH("Såld mängd produktionsspecifik fjärrvärme (GWh)",Miljö!$B$1:$R$1,0),FALSE)),0,VLOOKUP($B310,Miljö!$B$1:$S$500,MATCH("Såld mängd produktionsspecifik fjärrvärme (GWh)",Miljö!$B$1:$R$1,0),FALSE))</f>
        <v>0</v>
      </c>
      <c r="AN310" s="32">
        <f t="shared" si="94"/>
        <v>0.84930325110499916</v>
      </c>
      <c r="AP310" s="31" t="str">
        <f>IFERROR(VLOOKUP($B310,Miljövärden!$B$2:$H$550,7,FALSE),"Nej, saknas")</f>
        <v>Ja</v>
      </c>
      <c r="AQ310" s="31" t="str">
        <f>IFERROR(VLOOKUP($B310,Miljövärden!$B$2:$H$551,6,FALSE),"Nej, saknas")</f>
        <v>Ja</v>
      </c>
      <c r="AU310" s="31">
        <f t="shared" si="95"/>
        <v>5</v>
      </c>
      <c r="AV310" s="31">
        <f t="shared" si="96"/>
        <v>0</v>
      </c>
      <c r="AW310" s="31">
        <f t="shared" si="97"/>
        <v>112.75016000000001</v>
      </c>
      <c r="AX310" s="31">
        <f t="shared" si="98"/>
        <v>0</v>
      </c>
      <c r="AZ310" s="31">
        <f t="shared" si="99"/>
        <v>112.75016000000001</v>
      </c>
      <c r="BC310" s="31">
        <f t="shared" si="100"/>
        <v>0.59699999999999998</v>
      </c>
      <c r="BD310" s="31">
        <f t="shared" si="101"/>
        <v>0</v>
      </c>
      <c r="BE310" s="31">
        <f t="shared" si="102"/>
        <v>112.75016000000001</v>
      </c>
      <c r="BF310" s="31">
        <f t="shared" si="103"/>
        <v>25.3</v>
      </c>
      <c r="BG310" s="31">
        <f t="shared" si="104"/>
        <v>5</v>
      </c>
      <c r="BH310" s="31">
        <f>VLOOKUP(B310,Miljö!$B$1:$BX$482,MATCH("Fossilandel för ursprungspecificerad el ()",Miljö!$B$1:$I$1,0),FALSE)</f>
        <v>0</v>
      </c>
      <c r="BI310" s="31">
        <f>VLOOKUP(B310,Miljö!$B$1:$BX$482,MATCH("Kärnkraftsandel för ursprungsspecificerad el ()",Miljö!$B$1:$O$1,0),FALSE)</f>
        <v>0</v>
      </c>
      <c r="BJ310" s="31">
        <f t="shared" si="105"/>
        <v>0</v>
      </c>
      <c r="BK310" s="31" t="str">
        <f>VLOOKUP(B310,Miljö!$B$1:$P$482,MATCH("Fossil andel i procent (%)",Miljö!$B$1:$P$1,0),FALSE)</f>
        <v>ET</v>
      </c>
      <c r="BL310" s="31">
        <f t="shared" si="106"/>
        <v>143.64716000000001</v>
      </c>
      <c r="BO310" s="32">
        <f t="shared" si="107"/>
        <v>4.1560167287679056E-3</v>
      </c>
      <c r="BP310" s="32">
        <f t="shared" si="108"/>
        <v>0</v>
      </c>
      <c r="BQ310" s="32">
        <f t="shared" si="109"/>
        <v>0.81971798119781825</v>
      </c>
      <c r="BR310" s="32">
        <f t="shared" si="110"/>
        <v>0.17612600207341375</v>
      </c>
      <c r="BT310" s="62">
        <f t="shared" si="111"/>
        <v>0.99999999999999989</v>
      </c>
      <c r="BW310" s="32">
        <f>IF(AP310="Ja",VLOOKUP(B310,Miljövärden!$B$2:$H$551,MATCH("Total andel fossilt",Miljövärden!$B$2:$H$2,0),FALSE),"")</f>
        <v>4.1560199999999999E-3</v>
      </c>
      <c r="BX310" s="62">
        <f t="shared" si="112"/>
        <v>3.2712320942318573E-9</v>
      </c>
      <c r="BZ310" s="31">
        <f t="shared" si="113"/>
        <v>3.2712320942318573E-9</v>
      </c>
      <c r="CA310" s="32">
        <f t="shared" si="114"/>
        <v>0</v>
      </c>
    </row>
    <row r="311" spans="1:79" x14ac:dyDescent="0.45">
      <c r="A311" s="31" t="s">
        <v>273</v>
      </c>
      <c r="B311" s="31" t="s">
        <v>272</v>
      </c>
      <c r="C311" s="31">
        <f>VLOOKUP($B311,'Tillförd energi'!$B$1:$AI$720,MATCH(C$1,'Tillförd energi'!$B$1:$AQ$1,0),FALSE)</f>
        <v>0</v>
      </c>
      <c r="D311" s="31">
        <f>VLOOKUP($B311,'Tillförd energi'!$B$1:$AI$720,MATCH(D$1,'Tillförd energi'!$B$1:$AQ$1,0),FALSE)</f>
        <v>0.11</v>
      </c>
      <c r="E311" s="31">
        <f>VLOOKUP($B311,'Tillförd energi'!$B$1:$AI$720,MATCH(E$1,'Tillförd energi'!$B$1:$AQ$1,0),FALSE)</f>
        <v>0</v>
      </c>
      <c r="F311" s="31">
        <f>VLOOKUP($B311,'Tillförd energi'!$B$1:$AI$720,MATCH(F$1,'Tillförd energi'!$B$1:$AQ$1,0),FALSE)</f>
        <v>0</v>
      </c>
      <c r="G311" s="31">
        <f>VLOOKUP($B311,'Tillförd energi'!$B$1:$AI$720,MATCH(G$1,'Tillförd energi'!$B$1:$AQ$1,0),FALSE)</f>
        <v>1.5</v>
      </c>
      <c r="H311" s="31">
        <f>VLOOKUP($B311,'Tillförd energi'!$B$1:$AI$720,MATCH(H$1,'Tillförd energi'!$B$1:$AQ$1,0),FALSE)</f>
        <v>0</v>
      </c>
      <c r="I311" s="31">
        <f>VLOOKUP($B311,'Tillförd energi'!$B$1:$AI$720,MATCH(I$1,'Tillförd energi'!$B$1:$AQ$1,0),FALSE)</f>
        <v>0</v>
      </c>
      <c r="J311" s="31">
        <f>VLOOKUP($B311,'Tillförd energi'!$B$1:$AI$720,MATCH(J$1,'Tillförd energi'!$B$1:$AQ$1,0),FALSE)</f>
        <v>3.7</v>
      </c>
      <c r="K311" s="31">
        <f>VLOOKUP($B311,'Tillförd energi'!$B$1:$AI$720,MATCH(K$1,'Tillförd energi'!$B$1:$AQ$1,0),FALSE)</f>
        <v>0</v>
      </c>
      <c r="L311" s="31">
        <f>VLOOKUP($B311,'Tillförd energi'!$B$1:$AI$720,MATCH(L$1,'Tillförd energi'!$B$1:$AQ$1,0),FALSE)</f>
        <v>0</v>
      </c>
      <c r="M311" s="31">
        <f>VLOOKUP($B311,'Tillförd energi'!$B$1:$AI$720,MATCH(M$1,'Tillförd energi'!$B$1:$AQ$1,0),FALSE)</f>
        <v>11.3</v>
      </c>
      <c r="N311" s="31">
        <f>VLOOKUP($B311,'Tillförd energi'!$B$1:$AI$720,MATCH(N$1,'Tillförd energi'!$B$1:$AQ$1,0),FALSE)</f>
        <v>20.2</v>
      </c>
      <c r="O311" s="31">
        <f>VLOOKUP($B311,'Tillförd energi'!$B$1:$AI$720,MATCH(O$1,'Tillförd energi'!$B$1:$AQ$1,0),FALSE)</f>
        <v>0</v>
      </c>
      <c r="P311" s="31">
        <f>VLOOKUP($B311,'Tillförd energi'!$B$1:$AI$720,MATCH(P$1,'Tillförd energi'!$B$1:$AQ$1,0),FALSE)</f>
        <v>48.5</v>
      </c>
      <c r="Q311" s="31">
        <f>VLOOKUP($B311,'Tillförd energi'!$B$1:$AI$720,MATCH(Q$1,'Tillförd energi'!$B$1:$AQ$1,0),FALSE)</f>
        <v>0</v>
      </c>
      <c r="R311" s="31">
        <f>VLOOKUP($B311,'Tillförd energi'!$B$1:$AI$720,MATCH(R$1,'Tillförd energi'!$B$1:$AQ$1,0),FALSE)</f>
        <v>21.069400000000002</v>
      </c>
      <c r="S311" s="31">
        <f>VLOOKUP($B311,'Tillförd energi'!$B$1:$AI$720,MATCH(S$1,'Tillförd energi'!$B$1:$AQ$1,0),FALSE)</f>
        <v>0</v>
      </c>
      <c r="T311" s="31">
        <f>VLOOKUP($B311,'Tillförd energi'!$B$1:$AI$720,MATCH(T$1,'Tillförd energi'!$B$1:$AQ$1,0),FALSE)</f>
        <v>0</v>
      </c>
      <c r="U311" s="31">
        <f>VLOOKUP($B311,'Tillförd energi'!$B$1:$AI$720,MATCH(U$1,'Tillförd energi'!$B$1:$AQ$1,0),FALSE)</f>
        <v>0</v>
      </c>
      <c r="V311" s="31">
        <f>VLOOKUP($B311,'Tillförd energi'!$B$1:$AI$720,MATCH(V$1,'Tillförd energi'!$B$1:$AQ$1,0),FALSE)</f>
        <v>0</v>
      </c>
      <c r="W311" s="31">
        <f>VLOOKUP($B311,'Tillförd energi'!$B$1:$AI$720,MATCH(W$1,'Tillförd energi'!$B$1:$AQ$1,0),FALSE)</f>
        <v>0</v>
      </c>
      <c r="X311" s="31">
        <f>VLOOKUP($B311,'Tillförd energi'!$B$1:$AI$720,MATCH(X$1,'Tillförd energi'!$B$1:$AQ$1,0),FALSE)</f>
        <v>0</v>
      </c>
      <c r="Y311" s="31">
        <f>VLOOKUP($B311,'Tillförd energi'!$B$1:$AI$720,MATCH(Y$1,'Tillförd energi'!$B$1:$AQ$1,0),FALSE)</f>
        <v>0</v>
      </c>
      <c r="Z311" s="31">
        <f>VLOOKUP($B311,'Tillförd energi'!$B$1:$AI$720,MATCH(Z$1,'Tillförd energi'!$B$1:$AQ$1,0),FALSE)</f>
        <v>0</v>
      </c>
      <c r="AA311" s="31">
        <f>VLOOKUP($B311,'Tillförd energi'!$B$1:$AI$720,MATCH(AA$1,'Tillförd energi'!$B$1:$AQ$1,0),FALSE)</f>
        <v>0</v>
      </c>
      <c r="AB311" s="31">
        <f>VLOOKUP($B311,'Tillförd energi'!$B$1:$AI$720,MATCH(AB$1,'Tillförd energi'!$B$1:$AQ$1,0),FALSE)</f>
        <v>0</v>
      </c>
      <c r="AC311" s="31">
        <f>VLOOKUP($B311,'Tillförd energi'!$B$1:$AI$720,MATCH(AC$1,'Tillförd energi'!$B$1:$AQ$1,0),FALSE)</f>
        <v>15.06</v>
      </c>
      <c r="AD311" s="31">
        <f>VLOOKUP($B311,'Tillförd energi'!$B$1:$AI$720,MATCH(AD$1,'Tillförd energi'!$B$1:$AQ$1,0),FALSE)</f>
        <v>0</v>
      </c>
      <c r="AE311" s="31">
        <f>VLOOKUP($B311,'Tillförd energi'!$B$1:$AI$720,MATCH(AE$1,'Tillförd energi'!$B$1:$AQ$1,0),FALSE)</f>
        <v>0</v>
      </c>
      <c r="AF311" s="31">
        <f>VLOOKUP($B311,'Tillförd energi'!$B$1:$AI$720,MATCH(AF$1,'Tillförd energi'!$B$1:$AQ$1,0),FALSE)</f>
        <v>2.2109999999999999</v>
      </c>
      <c r="AG311" s="31">
        <f>IFERROR(VLOOKUP(B311,Miljö!$B$1:$AC$550,MATCH("Köpt mängd produktionsspecifik fjärrvärme:",Miljö!$B$1:$AC$1,0),FALSE)/1,0)</f>
        <v>0</v>
      </c>
      <c r="AI311" s="31">
        <f t="shared" si="92"/>
        <v>123.6504</v>
      </c>
      <c r="AJ311" s="31">
        <f t="shared" si="93"/>
        <v>123.6504</v>
      </c>
      <c r="AK311" s="31">
        <f>IF(ISERROR(1/VLOOKUP($B311,Leveranser!$B$1:$S$499,MATCH("Såld värme (GWh)",Leveranser!$B$1:$S$1,0),FALSE)),"",VLOOKUP($B311,Leveranser!$B$1:$S$499,MATCH("Såld värme (GWh)",Leveranser!$B$1:$S$1,0),FALSE))</f>
        <v>90.1</v>
      </c>
      <c r="AL311" s="31">
        <f>VLOOKUP($B311,Leveranser!$B$1:$Y$499,MATCH("Totalt såld fjärrvärme till andra fjärrvärmeföretag",Leveranser!$B$1:$AA$1,0),FALSE)</f>
        <v>0</v>
      </c>
      <c r="AM311" s="31">
        <f>IF(ISERROR(1/VLOOKUP($B311,Miljö!$B$1:$S$500,MATCH("Såld mängd produktionsspecifik fjärrvärme (GWh)",Miljö!$B$1:$R$1,0),FALSE)),0,VLOOKUP($B311,Miljö!$B$1:$S$500,MATCH("Såld mängd produktionsspecifik fjärrvärme (GWh)",Miljö!$B$1:$R$1,0),FALSE))</f>
        <v>0</v>
      </c>
      <c r="AN311" s="32">
        <f t="shared" si="94"/>
        <v>0.72866727483291593</v>
      </c>
      <c r="AP311" s="31" t="str">
        <f>IFERROR(VLOOKUP($B311,Miljövärden!$B$2:$H$550,7,FALSE),"Nej, saknas")</f>
        <v>Ja</v>
      </c>
      <c r="AQ311" s="31" t="str">
        <f>IFERROR(VLOOKUP($B311,Miljövärden!$B$2:$H$551,6,FALSE),"Nej, saknas")</f>
        <v>Ja</v>
      </c>
      <c r="AU311" s="31">
        <f t="shared" si="95"/>
        <v>2.2109999999999999</v>
      </c>
      <c r="AV311" s="31">
        <f t="shared" si="96"/>
        <v>0</v>
      </c>
      <c r="AW311" s="31">
        <f t="shared" si="97"/>
        <v>80</v>
      </c>
      <c r="AX311" s="31">
        <f t="shared" si="98"/>
        <v>21.069400000000002</v>
      </c>
      <c r="AZ311" s="31">
        <f t="shared" si="99"/>
        <v>101.0694</v>
      </c>
      <c r="BC311" s="31">
        <f t="shared" si="100"/>
        <v>1.61</v>
      </c>
      <c r="BD311" s="31">
        <f t="shared" si="101"/>
        <v>0</v>
      </c>
      <c r="BE311" s="31">
        <f t="shared" si="102"/>
        <v>101.0694</v>
      </c>
      <c r="BF311" s="31">
        <f t="shared" si="103"/>
        <v>18.760000000000002</v>
      </c>
      <c r="BG311" s="31">
        <f t="shared" si="104"/>
        <v>2.2109999999999999</v>
      </c>
      <c r="BH311" s="31">
        <f>VLOOKUP(B311,Miljö!$B$1:$BX$482,MATCH("Fossilandel för ursprungspecificerad el ()",Miljö!$B$1:$I$1,0),FALSE)</f>
        <v>0</v>
      </c>
      <c r="BI311" s="31">
        <f>VLOOKUP(B311,Miljö!$B$1:$BX$482,MATCH("Kärnkraftsandel för ursprungsspecificerad el ()",Miljö!$B$1:$O$1,0),FALSE)</f>
        <v>0</v>
      </c>
      <c r="BJ311" s="31">
        <f t="shared" si="105"/>
        <v>0</v>
      </c>
      <c r="BK311" s="31" t="str">
        <f>VLOOKUP(B311,Miljö!$B$1:$P$482,MATCH("Fossil andel i procent (%)",Miljö!$B$1:$P$1,0),FALSE)</f>
        <v>ET</v>
      </c>
      <c r="BL311" s="31">
        <f t="shared" si="106"/>
        <v>123.6504</v>
      </c>
      <c r="BO311" s="32">
        <f t="shared" si="107"/>
        <v>1.3020580604672529E-2</v>
      </c>
      <c r="BP311" s="32">
        <f t="shared" si="108"/>
        <v>0</v>
      </c>
      <c r="BQ311" s="32">
        <f t="shared" si="109"/>
        <v>0.83526134974088229</v>
      </c>
      <c r="BR311" s="32">
        <f t="shared" si="110"/>
        <v>0.15171806965444512</v>
      </c>
      <c r="BT311" s="62">
        <f t="shared" si="111"/>
        <v>0.99999999999999989</v>
      </c>
      <c r="BW311" s="32">
        <f>IF(AP311="Ja",VLOOKUP(B311,Miljövärden!$B$2:$H$551,MATCH("Total andel fossilt",Miljövärden!$B$2:$H$2,0),FALSE),"")</f>
        <v>1.30206E-2</v>
      </c>
      <c r="BX311" s="62">
        <f t="shared" si="112"/>
        <v>1.9395327470819734E-8</v>
      </c>
      <c r="BZ311" s="31">
        <f t="shared" si="113"/>
        <v>1.9395327470819734E-8</v>
      </c>
      <c r="CA311" s="32">
        <f t="shared" si="114"/>
        <v>0</v>
      </c>
    </row>
    <row r="312" spans="1:79" x14ac:dyDescent="0.45">
      <c r="A312" s="31" t="s">
        <v>271</v>
      </c>
      <c r="B312" s="31" t="s">
        <v>270</v>
      </c>
      <c r="C312" s="31">
        <f>VLOOKUP($B312,'Tillförd energi'!$B$1:$AI$720,MATCH(C$1,'Tillförd energi'!$B$1:$AQ$1,0),FALSE)</f>
        <v>0</v>
      </c>
      <c r="D312" s="31">
        <f>VLOOKUP($B312,'Tillförd energi'!$B$1:$AI$720,MATCH(D$1,'Tillförd energi'!$B$1:$AQ$1,0),FALSE)</f>
        <v>0.14000000000000001</v>
      </c>
      <c r="E312" s="31">
        <f>VLOOKUP($B312,'Tillförd energi'!$B$1:$AI$720,MATCH(E$1,'Tillförd energi'!$B$1:$AQ$1,0),FALSE)</f>
        <v>0</v>
      </c>
      <c r="F312" s="31">
        <f>VLOOKUP($B312,'Tillförd energi'!$B$1:$AI$720,MATCH(F$1,'Tillförd energi'!$B$1:$AQ$1,0),FALSE)</f>
        <v>0</v>
      </c>
      <c r="G312" s="31">
        <f>VLOOKUP($B312,'Tillförd energi'!$B$1:$AI$720,MATCH(G$1,'Tillförd energi'!$B$1:$AQ$1,0),FALSE)</f>
        <v>0</v>
      </c>
      <c r="H312" s="31">
        <f>VLOOKUP($B312,'Tillförd energi'!$B$1:$AI$720,MATCH(H$1,'Tillförd energi'!$B$1:$AQ$1,0),FALSE)</f>
        <v>0</v>
      </c>
      <c r="I312" s="31">
        <f>VLOOKUP($B312,'Tillförd energi'!$B$1:$AI$720,MATCH(I$1,'Tillförd energi'!$B$1:$AQ$1,0),FALSE)</f>
        <v>0</v>
      </c>
      <c r="J312" s="31">
        <f>VLOOKUP($B312,'Tillförd energi'!$B$1:$AI$720,MATCH(J$1,'Tillförd energi'!$B$1:$AQ$1,0),FALSE)</f>
        <v>0</v>
      </c>
      <c r="K312" s="31">
        <f>VLOOKUP($B312,'Tillförd energi'!$B$1:$AI$720,MATCH(K$1,'Tillförd energi'!$B$1:$AQ$1,0),FALSE)</f>
        <v>0</v>
      </c>
      <c r="L312" s="31">
        <f>VLOOKUP($B312,'Tillförd energi'!$B$1:$AI$720,MATCH(L$1,'Tillförd energi'!$B$1:$AQ$1,0),FALSE)</f>
        <v>0</v>
      </c>
      <c r="M312" s="31">
        <f>VLOOKUP($B312,'Tillförd energi'!$B$1:$AI$720,MATCH(M$1,'Tillförd energi'!$B$1:$AQ$1,0),FALSE)</f>
        <v>0</v>
      </c>
      <c r="N312" s="31">
        <f>VLOOKUP($B312,'Tillförd energi'!$B$1:$AI$720,MATCH(N$1,'Tillförd energi'!$B$1:$AQ$1,0),FALSE)</f>
        <v>269.46499999999997</v>
      </c>
      <c r="O312" s="31">
        <f>VLOOKUP($B312,'Tillförd energi'!$B$1:$AI$720,MATCH(O$1,'Tillförd energi'!$B$1:$AQ$1,0),FALSE)</f>
        <v>0</v>
      </c>
      <c r="P312" s="31">
        <f>VLOOKUP($B312,'Tillförd energi'!$B$1:$AI$720,MATCH(P$1,'Tillförd energi'!$B$1:$AQ$1,0),FALSE)</f>
        <v>0</v>
      </c>
      <c r="Q312" s="31">
        <f>VLOOKUP($B312,'Tillförd energi'!$B$1:$AI$720,MATCH(Q$1,'Tillförd energi'!$B$1:$AQ$1,0),FALSE)</f>
        <v>0</v>
      </c>
      <c r="R312" s="31">
        <f>VLOOKUP($B312,'Tillförd energi'!$B$1:$AI$720,MATCH(R$1,'Tillförd energi'!$B$1:$AQ$1,0),FALSE)</f>
        <v>0</v>
      </c>
      <c r="S312" s="31">
        <f>VLOOKUP($B312,'Tillförd energi'!$B$1:$AI$720,MATCH(S$1,'Tillförd energi'!$B$1:$AQ$1,0),FALSE)</f>
        <v>0</v>
      </c>
      <c r="T312" s="31">
        <f>VLOOKUP($B312,'Tillförd energi'!$B$1:$AI$720,MATCH(T$1,'Tillförd energi'!$B$1:$AQ$1,0),FALSE)</f>
        <v>0</v>
      </c>
      <c r="U312" s="31">
        <f>VLOOKUP($B312,'Tillförd energi'!$B$1:$AI$720,MATCH(U$1,'Tillförd energi'!$B$1:$AQ$1,0),FALSE)</f>
        <v>0</v>
      </c>
      <c r="V312" s="31">
        <f>VLOOKUP($B312,'Tillförd energi'!$B$1:$AI$720,MATCH(V$1,'Tillförd energi'!$B$1:$AQ$1,0),FALSE)</f>
        <v>0</v>
      </c>
      <c r="W312" s="31">
        <f>VLOOKUP($B312,'Tillförd energi'!$B$1:$AI$720,MATCH(W$1,'Tillförd energi'!$B$1:$AQ$1,0),FALSE)</f>
        <v>24.3</v>
      </c>
      <c r="X312" s="31">
        <f>VLOOKUP($B312,'Tillförd energi'!$B$1:$AI$720,MATCH(X$1,'Tillförd energi'!$B$1:$AQ$1,0),FALSE)</f>
        <v>0</v>
      </c>
      <c r="Y312" s="31">
        <f>VLOOKUP($B312,'Tillförd energi'!$B$1:$AI$720,MATCH(Y$1,'Tillförd energi'!$B$1:$AQ$1,0),FALSE)</f>
        <v>0</v>
      </c>
      <c r="Z312" s="31">
        <f>VLOOKUP($B312,'Tillförd energi'!$B$1:$AI$720,MATCH(Z$1,'Tillförd energi'!$B$1:$AQ$1,0),FALSE)</f>
        <v>0</v>
      </c>
      <c r="AA312" s="31">
        <f>VLOOKUP($B312,'Tillförd energi'!$B$1:$AI$720,MATCH(AA$1,'Tillförd energi'!$B$1:$AQ$1,0),FALSE)</f>
        <v>0</v>
      </c>
      <c r="AB312" s="31">
        <f>VLOOKUP($B312,'Tillförd energi'!$B$1:$AI$720,MATCH(AB$1,'Tillförd energi'!$B$1:$AQ$1,0),FALSE)</f>
        <v>0</v>
      </c>
      <c r="AC312" s="31">
        <f>VLOOKUP($B312,'Tillförd energi'!$B$1:$AI$720,MATCH(AC$1,'Tillförd energi'!$B$1:$AQ$1,0),FALSE)</f>
        <v>51.8</v>
      </c>
      <c r="AD312" s="31">
        <f>VLOOKUP($B312,'Tillförd energi'!$B$1:$AI$720,MATCH(AD$1,'Tillförd energi'!$B$1:$AQ$1,0),FALSE)</f>
        <v>0</v>
      </c>
      <c r="AE312" s="31">
        <f>VLOOKUP($B312,'Tillförd energi'!$B$1:$AI$720,MATCH(AE$1,'Tillförd energi'!$B$1:$AQ$1,0),FALSE)</f>
        <v>0</v>
      </c>
      <c r="AF312" s="31">
        <f>VLOOKUP($B312,'Tillförd energi'!$B$1:$AI$720,MATCH(AF$1,'Tillförd energi'!$B$1:$AQ$1,0),FALSE)</f>
        <v>6.6936799999999996</v>
      </c>
      <c r="AG312" s="31">
        <f>IFERROR(VLOOKUP(B312,Miljö!$B$1:$AC$550,MATCH("Köpt mängd produktionsspecifik fjärrvärme:",Miljö!$B$1:$AC$1,0),FALSE)/1,0)</f>
        <v>66.2</v>
      </c>
      <c r="AI312" s="31">
        <f t="shared" si="92"/>
        <v>352.39867999999996</v>
      </c>
      <c r="AJ312" s="31">
        <f t="shared" si="93"/>
        <v>418.59867999999994</v>
      </c>
      <c r="AK312" s="31">
        <f>IF(ISERROR(1/VLOOKUP($B312,Leveranser!$B$1:$S$499,MATCH("Såld värme (GWh)",Leveranser!$B$1:$S$1,0),FALSE)),"",VLOOKUP($B312,Leveranser!$B$1:$S$499,MATCH("Såld värme (GWh)",Leveranser!$B$1:$S$1,0),FALSE))</f>
        <v>335.2</v>
      </c>
      <c r="AL312" s="31">
        <f>VLOOKUP($B312,Leveranser!$B$1:$Y$499,MATCH("Totalt såld fjärrvärme till andra fjärrvärmeföretag",Leveranser!$B$1:$AA$1,0),FALSE)</f>
        <v>2.2000000000000002</v>
      </c>
      <c r="AM312" s="31">
        <f>IF(ISERROR(1/VLOOKUP($B312,Miljö!$B$1:$S$500,MATCH("Såld mängd produktionsspecifik fjärrvärme (GWh)",Miljö!$B$1:$R$1,0),FALSE)),0,VLOOKUP($B312,Miljö!$B$1:$S$500,MATCH("Såld mängd produktionsspecifik fjärrvärme (GWh)",Miljö!$B$1:$R$1,0),FALSE))</f>
        <v>0</v>
      </c>
      <c r="AN312" s="32">
        <f t="shared" si="94"/>
        <v>0.800766978051627</v>
      </c>
      <c r="AP312" s="31" t="str">
        <f>IFERROR(VLOOKUP($B312,Miljövärden!$B$2:$H$550,7,FALSE),"Nej, saknas")</f>
        <v>Ja</v>
      </c>
      <c r="AQ312" s="31" t="str">
        <f>IFERROR(VLOOKUP($B312,Miljövärden!$B$2:$H$551,6,FALSE),"Nej, saknas")</f>
        <v>Ja</v>
      </c>
      <c r="AU312" s="31">
        <f t="shared" si="95"/>
        <v>6.6936799999999996</v>
      </c>
      <c r="AV312" s="31">
        <f t="shared" si="96"/>
        <v>0</v>
      </c>
      <c r="AW312" s="31">
        <f t="shared" si="97"/>
        <v>269.46499999999997</v>
      </c>
      <c r="AX312" s="31">
        <f t="shared" si="98"/>
        <v>0</v>
      </c>
      <c r="AZ312" s="31">
        <f t="shared" si="99"/>
        <v>293.76499999999999</v>
      </c>
      <c r="BC312" s="31">
        <f t="shared" si="100"/>
        <v>0.14000000000000001</v>
      </c>
      <c r="BD312" s="31">
        <f t="shared" si="101"/>
        <v>0</v>
      </c>
      <c r="BE312" s="31">
        <f t="shared" si="102"/>
        <v>293.76499999999999</v>
      </c>
      <c r="BF312" s="31">
        <f t="shared" si="103"/>
        <v>51.8</v>
      </c>
      <c r="BG312" s="31">
        <f t="shared" si="104"/>
        <v>6.6936799999999996</v>
      </c>
      <c r="BH312" s="31">
        <f>VLOOKUP(B312,Miljö!$B$1:$BX$482,MATCH("Fossilandel för ursprungspecificerad el ()",Miljö!$B$1:$I$1,0),FALSE)</f>
        <v>0</v>
      </c>
      <c r="BI312" s="31">
        <f>VLOOKUP(B312,Miljö!$B$1:$BX$482,MATCH("Kärnkraftsandel för ursprungsspecificerad el ()",Miljö!$B$1:$O$1,0),FALSE)</f>
        <v>0</v>
      </c>
      <c r="BJ312" s="31">
        <f t="shared" si="105"/>
        <v>66.2</v>
      </c>
      <c r="BK312" s="31">
        <f>VLOOKUP(B312,Miljö!$B$1:$P$482,MATCH("Fossil andel i procent (%)",Miljö!$B$1:$P$1,0),FALSE)</f>
        <v>0</v>
      </c>
      <c r="BL312" s="31">
        <f t="shared" si="106"/>
        <v>418.59867999999994</v>
      </c>
      <c r="BO312" s="32">
        <f t="shared" si="107"/>
        <v>3.3444921517669391E-4</v>
      </c>
      <c r="BP312" s="32">
        <f t="shared" si="108"/>
        <v>0.15814670031926525</v>
      </c>
      <c r="BQ312" s="32">
        <f t="shared" si="109"/>
        <v>0.71777264085018133</v>
      </c>
      <c r="BR312" s="32">
        <f t="shared" si="110"/>
        <v>0.12374620961537672</v>
      </c>
      <c r="BT312" s="62">
        <f t="shared" si="111"/>
        <v>1</v>
      </c>
      <c r="BW312" s="32">
        <f>IF(AP312="Ja",VLOOKUP(B312,Miljövärden!$B$2:$H$551,MATCH("Total andel fossilt",Miljövärden!$B$2:$H$2,0),FALSE),"")</f>
        <v>3.3444900000000001E-4</v>
      </c>
      <c r="BX312" s="62">
        <f t="shared" si="112"/>
        <v>-2.1517669389998703E-10</v>
      </c>
      <c r="BZ312" s="31">
        <f t="shared" si="113"/>
        <v>-2.1517669389998703E-10</v>
      </c>
      <c r="CA312" s="32">
        <f t="shared" si="114"/>
        <v>0</v>
      </c>
    </row>
    <row r="313" spans="1:79" x14ac:dyDescent="0.45">
      <c r="A313" s="31" t="s">
        <v>267</v>
      </c>
      <c r="B313" s="31" t="s">
        <v>269</v>
      </c>
      <c r="C313" s="31">
        <f>VLOOKUP($B313,'Tillförd energi'!$B$1:$AI$720,MATCH(C$1,'Tillförd energi'!$B$1:$AQ$1,0),FALSE)</f>
        <v>0</v>
      </c>
      <c r="D313" s="31">
        <f>VLOOKUP($B313,'Tillförd energi'!$B$1:$AI$720,MATCH(D$1,'Tillförd energi'!$B$1:$AQ$1,0),FALSE)</f>
        <v>0</v>
      </c>
      <c r="E313" s="31">
        <f>VLOOKUP($B313,'Tillförd energi'!$B$1:$AI$720,MATCH(E$1,'Tillförd energi'!$B$1:$AQ$1,0),FALSE)</f>
        <v>0</v>
      </c>
      <c r="F313" s="31">
        <f>VLOOKUP($B313,'Tillförd energi'!$B$1:$AI$720,MATCH(F$1,'Tillförd energi'!$B$1:$AQ$1,0),FALSE)</f>
        <v>0</v>
      </c>
      <c r="G313" s="31">
        <f>VLOOKUP($B313,'Tillförd energi'!$B$1:$AI$720,MATCH(G$1,'Tillförd energi'!$B$1:$AQ$1,0),FALSE)</f>
        <v>0</v>
      </c>
      <c r="H313" s="31">
        <f>VLOOKUP($B313,'Tillförd energi'!$B$1:$AI$720,MATCH(H$1,'Tillförd energi'!$B$1:$AQ$1,0),FALSE)</f>
        <v>0</v>
      </c>
      <c r="I313" s="31">
        <f>VLOOKUP($B313,'Tillförd energi'!$B$1:$AI$720,MATCH(I$1,'Tillförd energi'!$B$1:$AQ$1,0),FALSE)</f>
        <v>0</v>
      </c>
      <c r="J313" s="31">
        <f>VLOOKUP($B313,'Tillförd energi'!$B$1:$AI$720,MATCH(J$1,'Tillförd energi'!$B$1:$AQ$1,0),FALSE)</f>
        <v>0</v>
      </c>
      <c r="K313" s="31">
        <f>VLOOKUP($B313,'Tillförd energi'!$B$1:$AI$720,MATCH(K$1,'Tillförd energi'!$B$1:$AQ$1,0),FALSE)</f>
        <v>0</v>
      </c>
      <c r="L313" s="31">
        <f>VLOOKUP($B313,'Tillförd energi'!$B$1:$AI$720,MATCH(L$1,'Tillförd energi'!$B$1:$AQ$1,0),FALSE)</f>
        <v>0</v>
      </c>
      <c r="M313" s="31">
        <f>VLOOKUP($B313,'Tillförd energi'!$B$1:$AI$720,MATCH(M$1,'Tillförd energi'!$B$1:$AQ$1,0),FALSE)</f>
        <v>0</v>
      </c>
      <c r="N313" s="31">
        <f>VLOOKUP($B313,'Tillförd energi'!$B$1:$AI$720,MATCH(N$1,'Tillförd energi'!$B$1:$AQ$1,0),FALSE)</f>
        <v>0</v>
      </c>
      <c r="O313" s="31">
        <f>VLOOKUP($B313,'Tillförd energi'!$B$1:$AI$720,MATCH(O$1,'Tillförd energi'!$B$1:$AQ$1,0),FALSE)</f>
        <v>0</v>
      </c>
      <c r="P313" s="31">
        <f>VLOOKUP($B313,'Tillförd energi'!$B$1:$AI$720,MATCH(P$1,'Tillförd energi'!$B$1:$AQ$1,0),FALSE)</f>
        <v>0</v>
      </c>
      <c r="Q313" s="31">
        <f>VLOOKUP($B313,'Tillförd energi'!$B$1:$AI$720,MATCH(Q$1,'Tillförd energi'!$B$1:$AQ$1,0),FALSE)</f>
        <v>0</v>
      </c>
      <c r="R313" s="31">
        <f>VLOOKUP($B313,'Tillförd energi'!$B$1:$AI$720,MATCH(R$1,'Tillförd energi'!$B$1:$AQ$1,0),FALSE)</f>
        <v>5.4550000000000001</v>
      </c>
      <c r="S313" s="31">
        <f>VLOOKUP($B313,'Tillförd energi'!$B$1:$AI$720,MATCH(S$1,'Tillförd energi'!$B$1:$AQ$1,0),FALSE)</f>
        <v>0</v>
      </c>
      <c r="T313" s="31">
        <f>VLOOKUP($B313,'Tillförd energi'!$B$1:$AI$720,MATCH(T$1,'Tillförd energi'!$B$1:$AQ$1,0),FALSE)</f>
        <v>0</v>
      </c>
      <c r="U313" s="31">
        <f>VLOOKUP($B313,'Tillförd energi'!$B$1:$AI$720,MATCH(U$1,'Tillförd energi'!$B$1:$AQ$1,0),FALSE)</f>
        <v>0</v>
      </c>
      <c r="V313" s="31">
        <f>VLOOKUP($B313,'Tillförd energi'!$B$1:$AI$720,MATCH(V$1,'Tillförd energi'!$B$1:$AQ$1,0),FALSE)</f>
        <v>0</v>
      </c>
      <c r="W313" s="31">
        <f>VLOOKUP($B313,'Tillförd energi'!$B$1:$AI$720,MATCH(W$1,'Tillförd energi'!$B$1:$AQ$1,0),FALSE)</f>
        <v>0.14799999999999999</v>
      </c>
      <c r="X313" s="31">
        <f>VLOOKUP($B313,'Tillförd energi'!$B$1:$AI$720,MATCH(X$1,'Tillförd energi'!$B$1:$AQ$1,0),FALSE)</f>
        <v>0</v>
      </c>
      <c r="Y313" s="31">
        <f>VLOOKUP($B313,'Tillförd energi'!$B$1:$AI$720,MATCH(Y$1,'Tillförd energi'!$B$1:$AQ$1,0),FALSE)</f>
        <v>0</v>
      </c>
      <c r="Z313" s="31">
        <f>VLOOKUP($B313,'Tillförd energi'!$B$1:$AI$720,MATCH(Z$1,'Tillförd energi'!$B$1:$AQ$1,0),FALSE)</f>
        <v>0</v>
      </c>
      <c r="AA313" s="31">
        <f>VLOOKUP($B313,'Tillförd energi'!$B$1:$AI$720,MATCH(AA$1,'Tillförd energi'!$B$1:$AQ$1,0),FALSE)</f>
        <v>0</v>
      </c>
      <c r="AB313" s="31">
        <f>VLOOKUP($B313,'Tillförd energi'!$B$1:$AI$720,MATCH(AB$1,'Tillförd energi'!$B$1:$AQ$1,0),FALSE)</f>
        <v>0</v>
      </c>
      <c r="AC313" s="31">
        <f>VLOOKUP($B313,'Tillförd energi'!$B$1:$AI$720,MATCH(AC$1,'Tillförd energi'!$B$1:$AQ$1,0),FALSE)</f>
        <v>0</v>
      </c>
      <c r="AD313" s="31">
        <f>VLOOKUP($B313,'Tillförd energi'!$B$1:$AI$720,MATCH(AD$1,'Tillförd energi'!$B$1:$AQ$1,0),FALSE)</f>
        <v>0</v>
      </c>
      <c r="AE313" s="31">
        <f>VLOOKUP($B313,'Tillförd energi'!$B$1:$AI$720,MATCH(AE$1,'Tillförd energi'!$B$1:$AQ$1,0),FALSE)</f>
        <v>0</v>
      </c>
      <c r="AF313" s="31">
        <f>VLOOKUP($B313,'Tillförd energi'!$B$1:$AI$720,MATCH(AF$1,'Tillförd energi'!$B$1:$AQ$1,0),FALSE)</f>
        <v>9.6939999999999998E-2</v>
      </c>
      <c r="AG313" s="31">
        <f>IFERROR(VLOOKUP(B313,Miljö!$B$1:$AC$550,MATCH("Köpt mängd produktionsspecifik fjärrvärme:",Miljö!$B$1:$AC$1,0),FALSE)/1,0)</f>
        <v>0</v>
      </c>
      <c r="AI313" s="31">
        <f t="shared" si="92"/>
        <v>5.6999399999999998</v>
      </c>
      <c r="AJ313" s="31">
        <f t="shared" si="93"/>
        <v>5.6999399999999998</v>
      </c>
      <c r="AK313" s="31">
        <f>IF(ISERROR(1/VLOOKUP($B313,Leveranser!$B$1:$S$499,MATCH("Såld värme (GWh)",Leveranser!$B$1:$S$1,0),FALSE)),"",VLOOKUP($B313,Leveranser!$B$1:$S$499,MATCH("Såld värme (GWh)",Leveranser!$B$1:$S$1,0),FALSE))</f>
        <v>4.3470000000000004</v>
      </c>
      <c r="AL313" s="31">
        <f>VLOOKUP($B313,Leveranser!$B$1:$Y$499,MATCH("Totalt såld fjärrvärme till andra fjärrvärmeföretag",Leveranser!$B$1:$AA$1,0),FALSE)</f>
        <v>0</v>
      </c>
      <c r="AM313" s="31">
        <f>IF(ISERROR(1/VLOOKUP($B313,Miljö!$B$1:$S$500,MATCH("Såld mängd produktionsspecifik fjärrvärme (GWh)",Miljö!$B$1:$R$1,0),FALSE)),0,VLOOKUP($B313,Miljö!$B$1:$S$500,MATCH("Såld mängd produktionsspecifik fjärrvärme (GWh)",Miljö!$B$1:$R$1,0),FALSE))</f>
        <v>0</v>
      </c>
      <c r="AN313" s="32">
        <f t="shared" si="94"/>
        <v>0.76263960673270259</v>
      </c>
      <c r="AP313" s="31" t="str">
        <f>IFERROR(VLOOKUP($B313,Miljövärden!$B$2:$H$550,7,FALSE),"Nej, saknas")</f>
        <v>Ja</v>
      </c>
      <c r="AQ313" s="31" t="str">
        <f>IFERROR(VLOOKUP($B313,Miljövärden!$B$2:$H$551,6,FALSE),"Nej, saknas")</f>
        <v>Nej</v>
      </c>
      <c r="AU313" s="31">
        <f t="shared" si="95"/>
        <v>9.6939999999999998E-2</v>
      </c>
      <c r="AV313" s="31">
        <f t="shared" si="96"/>
        <v>0</v>
      </c>
      <c r="AW313" s="31">
        <f t="shared" si="97"/>
        <v>0</v>
      </c>
      <c r="AX313" s="31">
        <f t="shared" si="98"/>
        <v>5.4550000000000001</v>
      </c>
      <c r="AZ313" s="31">
        <f t="shared" si="99"/>
        <v>5.6029999999999998</v>
      </c>
      <c r="BC313" s="31">
        <f t="shared" si="100"/>
        <v>0</v>
      </c>
      <c r="BD313" s="31">
        <f t="shared" si="101"/>
        <v>0</v>
      </c>
      <c r="BE313" s="31">
        <f t="shared" si="102"/>
        <v>5.6029999999999998</v>
      </c>
      <c r="BF313" s="31">
        <f t="shared" si="103"/>
        <v>0</v>
      </c>
      <c r="BG313" s="31">
        <f t="shared" si="104"/>
        <v>9.6939999999999998E-2</v>
      </c>
      <c r="BH313" s="31">
        <f>VLOOKUP(B313,Miljö!$B$1:$BX$482,MATCH("Fossilandel för ursprungspecificerad el ()",Miljö!$B$1:$I$1,0),FALSE)</f>
        <v>0.35</v>
      </c>
      <c r="BI313" s="31">
        <f>VLOOKUP(B313,Miljö!$B$1:$BX$482,MATCH("Kärnkraftsandel för ursprungsspecificerad el ()",Miljö!$B$1:$O$1,0),FALSE)</f>
        <v>0.3977</v>
      </c>
      <c r="BJ313" s="31">
        <f t="shared" si="105"/>
        <v>0</v>
      </c>
      <c r="BK313" s="31" t="str">
        <f>VLOOKUP(B313,Miljö!$B$1:$P$482,MATCH("Fossil andel i procent (%)",Miljö!$B$1:$P$1,0),FALSE)</f>
        <v>ET</v>
      </c>
      <c r="BL313" s="31">
        <f t="shared" si="106"/>
        <v>5.6999399999999998</v>
      </c>
      <c r="BO313" s="32">
        <f t="shared" si="107"/>
        <v>5.9525187984434914E-3</v>
      </c>
      <c r="BP313" s="32">
        <f t="shared" si="108"/>
        <v>6.7637620746885049E-3</v>
      </c>
      <c r="BQ313" s="32">
        <f t="shared" si="109"/>
        <v>0.98728371912686796</v>
      </c>
      <c r="BR313" s="32">
        <f t="shared" si="110"/>
        <v>0</v>
      </c>
      <c r="BT313" s="62">
        <f t="shared" si="111"/>
        <v>1</v>
      </c>
      <c r="BW313" s="32">
        <f>IF(AP313="Ja",VLOOKUP(B313,Miljövärden!$B$2:$H$551,MATCH("Total andel fossilt",Miljövärden!$B$2:$H$2,0),FALSE),"")</f>
        <v>5.9525200000000002E-3</v>
      </c>
      <c r="BX313" s="62">
        <f t="shared" si="112"/>
        <v>1.2015565088036029E-9</v>
      </c>
      <c r="BZ313" s="31">
        <f t="shared" si="113"/>
        <v>1.2015565088036029E-9</v>
      </c>
      <c r="CA313" s="32">
        <f t="shared" si="114"/>
        <v>0</v>
      </c>
    </row>
    <row r="314" spans="1:79" x14ac:dyDescent="0.45">
      <c r="A314" s="31" t="s">
        <v>267</v>
      </c>
      <c r="B314" s="31" t="s">
        <v>268</v>
      </c>
      <c r="C314" s="31">
        <f>VLOOKUP($B314,'Tillförd energi'!$B$1:$AI$720,MATCH(C$1,'Tillförd energi'!$B$1:$AQ$1,0),FALSE)</f>
        <v>0</v>
      </c>
      <c r="D314" s="31">
        <f>VLOOKUP($B314,'Tillförd energi'!$B$1:$AI$720,MATCH(D$1,'Tillförd energi'!$B$1:$AQ$1,0),FALSE)</f>
        <v>0</v>
      </c>
      <c r="E314" s="31">
        <f>VLOOKUP($B314,'Tillförd energi'!$B$1:$AI$720,MATCH(E$1,'Tillförd energi'!$B$1:$AQ$1,0),FALSE)</f>
        <v>0</v>
      </c>
      <c r="F314" s="31">
        <f>VLOOKUP($B314,'Tillförd energi'!$B$1:$AI$720,MATCH(F$1,'Tillförd energi'!$B$1:$AQ$1,0),FALSE)</f>
        <v>0</v>
      </c>
      <c r="G314" s="31">
        <f>VLOOKUP($B314,'Tillförd energi'!$B$1:$AI$720,MATCH(G$1,'Tillförd energi'!$B$1:$AQ$1,0),FALSE)</f>
        <v>0</v>
      </c>
      <c r="H314" s="31">
        <f>VLOOKUP($B314,'Tillförd energi'!$B$1:$AI$720,MATCH(H$1,'Tillförd energi'!$B$1:$AQ$1,0),FALSE)</f>
        <v>0</v>
      </c>
      <c r="I314" s="31">
        <f>VLOOKUP($B314,'Tillförd energi'!$B$1:$AI$720,MATCH(I$1,'Tillförd energi'!$B$1:$AQ$1,0),FALSE)</f>
        <v>0</v>
      </c>
      <c r="J314" s="31">
        <f>VLOOKUP($B314,'Tillförd energi'!$B$1:$AI$720,MATCH(J$1,'Tillförd energi'!$B$1:$AQ$1,0),FALSE)</f>
        <v>0</v>
      </c>
      <c r="K314" s="31">
        <f>VLOOKUP($B314,'Tillförd energi'!$B$1:$AI$720,MATCH(K$1,'Tillförd energi'!$B$1:$AQ$1,0),FALSE)</f>
        <v>0</v>
      </c>
      <c r="L314" s="31">
        <f>VLOOKUP($B314,'Tillförd energi'!$B$1:$AI$720,MATCH(L$1,'Tillförd energi'!$B$1:$AQ$1,0),FALSE)</f>
        <v>0</v>
      </c>
      <c r="M314" s="31">
        <f>VLOOKUP($B314,'Tillförd energi'!$B$1:$AI$720,MATCH(M$1,'Tillförd energi'!$B$1:$AQ$1,0),FALSE)</f>
        <v>0</v>
      </c>
      <c r="N314" s="31">
        <f>VLOOKUP($B314,'Tillförd energi'!$B$1:$AI$720,MATCH(N$1,'Tillförd energi'!$B$1:$AQ$1,0),FALSE)</f>
        <v>0</v>
      </c>
      <c r="O314" s="31">
        <f>VLOOKUP($B314,'Tillförd energi'!$B$1:$AI$720,MATCH(O$1,'Tillförd energi'!$B$1:$AQ$1,0),FALSE)</f>
        <v>0</v>
      </c>
      <c r="P314" s="31">
        <f>VLOOKUP($B314,'Tillförd energi'!$B$1:$AI$720,MATCH(P$1,'Tillförd energi'!$B$1:$AQ$1,0),FALSE)</f>
        <v>2.5179999999999998</v>
      </c>
      <c r="Q314" s="31">
        <f>VLOOKUP($B314,'Tillförd energi'!$B$1:$AI$720,MATCH(Q$1,'Tillförd energi'!$B$1:$AQ$1,0),FALSE)</f>
        <v>0</v>
      </c>
      <c r="R314" s="31">
        <f>VLOOKUP($B314,'Tillförd energi'!$B$1:$AI$720,MATCH(R$1,'Tillförd energi'!$B$1:$AQ$1,0),FALSE)</f>
        <v>6.02</v>
      </c>
      <c r="S314" s="31">
        <f>VLOOKUP($B314,'Tillförd energi'!$B$1:$AI$720,MATCH(S$1,'Tillförd energi'!$B$1:$AQ$1,0),FALSE)</f>
        <v>0</v>
      </c>
      <c r="T314" s="31">
        <f>VLOOKUP($B314,'Tillförd energi'!$B$1:$AI$720,MATCH(T$1,'Tillförd energi'!$B$1:$AQ$1,0),FALSE)</f>
        <v>0</v>
      </c>
      <c r="U314" s="31">
        <f>VLOOKUP($B314,'Tillförd energi'!$B$1:$AI$720,MATCH(U$1,'Tillförd energi'!$B$1:$AQ$1,0),FALSE)</f>
        <v>0</v>
      </c>
      <c r="V314" s="31">
        <f>VLOOKUP($B314,'Tillförd energi'!$B$1:$AI$720,MATCH(V$1,'Tillförd energi'!$B$1:$AQ$1,0),FALSE)</f>
        <v>0</v>
      </c>
      <c r="W314" s="31">
        <f>VLOOKUP($B314,'Tillförd energi'!$B$1:$AI$720,MATCH(W$1,'Tillförd energi'!$B$1:$AQ$1,0),FALSE)</f>
        <v>0.188</v>
      </c>
      <c r="X314" s="31">
        <f>VLOOKUP($B314,'Tillförd energi'!$B$1:$AI$720,MATCH(X$1,'Tillförd energi'!$B$1:$AQ$1,0),FALSE)</f>
        <v>0</v>
      </c>
      <c r="Y314" s="31">
        <f>VLOOKUP($B314,'Tillförd energi'!$B$1:$AI$720,MATCH(Y$1,'Tillförd energi'!$B$1:$AQ$1,0),FALSE)</f>
        <v>0</v>
      </c>
      <c r="Z314" s="31">
        <f>VLOOKUP($B314,'Tillförd energi'!$B$1:$AI$720,MATCH(Z$1,'Tillförd energi'!$B$1:$AQ$1,0),FALSE)</f>
        <v>0</v>
      </c>
      <c r="AA314" s="31">
        <f>VLOOKUP($B314,'Tillförd energi'!$B$1:$AI$720,MATCH(AA$1,'Tillförd energi'!$B$1:$AQ$1,0),FALSE)</f>
        <v>0</v>
      </c>
      <c r="AB314" s="31">
        <f>VLOOKUP($B314,'Tillförd energi'!$B$1:$AI$720,MATCH(AB$1,'Tillförd energi'!$B$1:$AQ$1,0),FALSE)</f>
        <v>0</v>
      </c>
      <c r="AC314" s="31">
        <f>VLOOKUP($B314,'Tillförd energi'!$B$1:$AI$720,MATCH(AC$1,'Tillförd energi'!$B$1:$AQ$1,0),FALSE)</f>
        <v>0</v>
      </c>
      <c r="AD314" s="31">
        <f>VLOOKUP($B314,'Tillförd energi'!$B$1:$AI$720,MATCH(AD$1,'Tillförd energi'!$B$1:$AQ$1,0),FALSE)</f>
        <v>0</v>
      </c>
      <c r="AE314" s="31">
        <f>VLOOKUP($B314,'Tillförd energi'!$B$1:$AI$720,MATCH(AE$1,'Tillförd energi'!$B$1:$AQ$1,0),FALSE)</f>
        <v>0</v>
      </c>
      <c r="AF314" s="31">
        <f>VLOOKUP($B314,'Tillförd energi'!$B$1:$AI$720,MATCH(AF$1,'Tillförd energi'!$B$1:$AQ$1,0),FALSE)</f>
        <v>0.12959000000000001</v>
      </c>
      <c r="AG314" s="31">
        <f>IFERROR(VLOOKUP(B314,Miljö!$B$1:$AC$550,MATCH("Köpt mängd produktionsspecifik fjärrvärme:",Miljö!$B$1:$AC$1,0),FALSE)/1,0)</f>
        <v>0</v>
      </c>
      <c r="AI314" s="31">
        <f t="shared" si="92"/>
        <v>8.8555900000000012</v>
      </c>
      <c r="AJ314" s="31">
        <f t="shared" si="93"/>
        <v>8.8555900000000012</v>
      </c>
      <c r="AK314" s="31">
        <f>IF(ISERROR(1/VLOOKUP($B314,Leveranser!$B$1:$S$499,MATCH("Såld värme (GWh)",Leveranser!$B$1:$S$1,0),FALSE)),"",VLOOKUP($B314,Leveranser!$B$1:$S$499,MATCH("Såld värme (GWh)",Leveranser!$B$1:$S$1,0),FALSE))</f>
        <v>6.7720000000000002</v>
      </c>
      <c r="AL314" s="31">
        <f>VLOOKUP($B314,Leveranser!$B$1:$Y$499,MATCH("Totalt såld fjärrvärme till andra fjärrvärmeföretag",Leveranser!$B$1:$AA$1,0),FALSE)</f>
        <v>0</v>
      </c>
      <c r="AM314" s="31">
        <f>IF(ISERROR(1/VLOOKUP($B314,Miljö!$B$1:$S$500,MATCH("Såld mängd produktionsspecifik fjärrvärme (GWh)",Miljö!$B$1:$R$1,0),FALSE)),0,VLOOKUP($B314,Miljö!$B$1:$S$500,MATCH("Såld mängd produktionsspecifik fjärrvärme (GWh)",Miljö!$B$1:$R$1,0),FALSE))</f>
        <v>0</v>
      </c>
      <c r="AN314" s="32">
        <f t="shared" si="94"/>
        <v>0.76471471691891779</v>
      </c>
      <c r="AP314" s="31" t="str">
        <f>IFERROR(VLOOKUP($B314,Miljövärden!$B$2:$H$550,7,FALSE),"Nej, saknas")</f>
        <v>Ja</v>
      </c>
      <c r="AQ314" s="31" t="str">
        <f>IFERROR(VLOOKUP($B314,Miljövärden!$B$2:$H$551,6,FALSE),"Nej, saknas")</f>
        <v>Nej</v>
      </c>
      <c r="AU314" s="31">
        <f t="shared" si="95"/>
        <v>0.12959000000000001</v>
      </c>
      <c r="AV314" s="31">
        <f t="shared" si="96"/>
        <v>0</v>
      </c>
      <c r="AW314" s="31">
        <f t="shared" si="97"/>
        <v>2.5179999999999998</v>
      </c>
      <c r="AX314" s="31">
        <f t="shared" si="98"/>
        <v>6.02</v>
      </c>
      <c r="AZ314" s="31">
        <f t="shared" si="99"/>
        <v>8.7260000000000009</v>
      </c>
      <c r="BC314" s="31">
        <f t="shared" si="100"/>
        <v>0</v>
      </c>
      <c r="BD314" s="31">
        <f t="shared" si="101"/>
        <v>0</v>
      </c>
      <c r="BE314" s="31">
        <f t="shared" si="102"/>
        <v>8.7260000000000009</v>
      </c>
      <c r="BF314" s="31">
        <f t="shared" si="103"/>
        <v>0</v>
      </c>
      <c r="BG314" s="31">
        <f t="shared" si="104"/>
        <v>0.12959000000000001</v>
      </c>
      <c r="BH314" s="31">
        <f>VLOOKUP(B314,Miljö!$B$1:$BX$482,MATCH("Fossilandel för ursprungspecificerad el ()",Miljö!$B$1:$I$1,0),FALSE)</f>
        <v>0.35</v>
      </c>
      <c r="BI314" s="31">
        <f>VLOOKUP(B314,Miljö!$B$1:$BX$482,MATCH("Kärnkraftsandel för ursprungsspecificerad el ()",Miljö!$B$1:$O$1,0),FALSE)</f>
        <v>0.3977</v>
      </c>
      <c r="BJ314" s="31">
        <f t="shared" si="105"/>
        <v>0</v>
      </c>
      <c r="BK314" s="31" t="str">
        <f>VLOOKUP(B314,Miljö!$B$1:$P$482,MATCH("Fossil andel i procent (%)",Miljö!$B$1:$P$1,0),FALSE)</f>
        <v>ET</v>
      </c>
      <c r="BL314" s="31">
        <f t="shared" si="106"/>
        <v>8.8555900000000012</v>
      </c>
      <c r="BO314" s="32">
        <f t="shared" si="107"/>
        <v>5.1217931272789273E-3</v>
      </c>
      <c r="BP314" s="32">
        <f t="shared" si="108"/>
        <v>5.8198203620537983E-3</v>
      </c>
      <c r="BQ314" s="32">
        <f t="shared" si="109"/>
        <v>0.98905838651066724</v>
      </c>
      <c r="BR314" s="32">
        <f t="shared" si="110"/>
        <v>0</v>
      </c>
      <c r="BT314" s="62">
        <f t="shared" si="111"/>
        <v>1</v>
      </c>
      <c r="BW314" s="32">
        <f>IF(AP314="Ja",VLOOKUP(B314,Miljövärden!$B$2:$H$551,MATCH("Total andel fossilt",Miljövärden!$B$2:$H$2,0),FALSE),"")</f>
        <v>5.1217900000000002E-3</v>
      </c>
      <c r="BX314" s="62">
        <f t="shared" si="112"/>
        <v>-3.1272789271369339E-9</v>
      </c>
      <c r="BZ314" s="31">
        <f t="shared" si="113"/>
        <v>-3.1272789271369339E-9</v>
      </c>
      <c r="CA314" s="32">
        <f t="shared" si="114"/>
        <v>0</v>
      </c>
    </row>
    <row r="315" spans="1:79" x14ac:dyDescent="0.45">
      <c r="A315" s="31" t="s">
        <v>267</v>
      </c>
      <c r="B315" s="31" t="s">
        <v>266</v>
      </c>
      <c r="C315" s="31">
        <f>VLOOKUP($B315,'Tillförd energi'!$B$1:$AI$720,MATCH(C$1,'Tillförd energi'!$B$1:$AQ$1,0),FALSE)</f>
        <v>0</v>
      </c>
      <c r="D315" s="31">
        <f>VLOOKUP($B315,'Tillförd energi'!$B$1:$AI$720,MATCH(D$1,'Tillförd energi'!$B$1:$AQ$1,0),FALSE)</f>
        <v>0.62356299999999998</v>
      </c>
      <c r="E315" s="31">
        <f>VLOOKUP($B315,'Tillförd energi'!$B$1:$AI$720,MATCH(E$1,'Tillförd energi'!$B$1:$AQ$1,0),FALSE)</f>
        <v>0</v>
      </c>
      <c r="F315" s="31">
        <f>VLOOKUP($B315,'Tillförd energi'!$B$1:$AI$720,MATCH(F$1,'Tillförd energi'!$B$1:$AQ$1,0),FALSE)</f>
        <v>0</v>
      </c>
      <c r="G315" s="31">
        <f>VLOOKUP($B315,'Tillförd energi'!$B$1:$AI$720,MATCH(G$1,'Tillförd energi'!$B$1:$AQ$1,0),FALSE)</f>
        <v>0</v>
      </c>
      <c r="H315" s="31">
        <f>VLOOKUP($B315,'Tillförd energi'!$B$1:$AI$720,MATCH(H$1,'Tillförd energi'!$B$1:$AQ$1,0),FALSE)</f>
        <v>0</v>
      </c>
      <c r="I315" s="31">
        <f>VLOOKUP($B315,'Tillförd energi'!$B$1:$AI$720,MATCH(I$1,'Tillförd energi'!$B$1:$AQ$1,0),FALSE)</f>
        <v>174.381</v>
      </c>
      <c r="J315" s="31">
        <f>VLOOKUP($B315,'Tillförd energi'!$B$1:$AI$720,MATCH(J$1,'Tillförd energi'!$B$1:$AQ$1,0),FALSE)</f>
        <v>0</v>
      </c>
      <c r="K315" s="31">
        <f>VLOOKUP($B315,'Tillförd energi'!$B$1:$AI$720,MATCH(K$1,'Tillförd energi'!$B$1:$AQ$1,0),FALSE)</f>
        <v>0</v>
      </c>
      <c r="L315" s="31">
        <f>VLOOKUP($B315,'Tillförd energi'!$B$1:$AI$720,MATCH(L$1,'Tillförd energi'!$B$1:$AQ$1,0),FALSE)</f>
        <v>6.585</v>
      </c>
      <c r="M315" s="31">
        <f>VLOOKUP($B315,'Tillförd energi'!$B$1:$AI$720,MATCH(M$1,'Tillförd energi'!$B$1:$AQ$1,0),FALSE)</f>
        <v>0</v>
      </c>
      <c r="N315" s="31">
        <f>VLOOKUP($B315,'Tillförd energi'!$B$1:$AI$720,MATCH(N$1,'Tillförd energi'!$B$1:$AQ$1,0),FALSE)</f>
        <v>0</v>
      </c>
      <c r="O315" s="31">
        <f>VLOOKUP($B315,'Tillförd energi'!$B$1:$AI$720,MATCH(O$1,'Tillförd energi'!$B$1:$AQ$1,0),FALSE)</f>
        <v>0</v>
      </c>
      <c r="P315" s="31">
        <f>VLOOKUP($B315,'Tillförd energi'!$B$1:$AI$720,MATCH(P$1,'Tillförd energi'!$B$1:$AQ$1,0),FALSE)</f>
        <v>57.58</v>
      </c>
      <c r="Q315" s="31">
        <f>VLOOKUP($B315,'Tillförd energi'!$B$1:$AI$720,MATCH(Q$1,'Tillförd energi'!$B$1:$AQ$1,0),FALSE)</f>
        <v>0</v>
      </c>
      <c r="R315" s="31">
        <f>VLOOKUP($B315,'Tillförd energi'!$B$1:$AI$720,MATCH(R$1,'Tillförd energi'!$B$1:$AQ$1,0),FALSE)</f>
        <v>0</v>
      </c>
      <c r="S315" s="31">
        <f>VLOOKUP($B315,'Tillförd energi'!$B$1:$AI$720,MATCH(S$1,'Tillförd energi'!$B$1:$AQ$1,0),FALSE)</f>
        <v>0</v>
      </c>
      <c r="T315" s="31">
        <f>VLOOKUP($B315,'Tillförd energi'!$B$1:$AI$720,MATCH(T$1,'Tillförd energi'!$B$1:$AQ$1,0),FALSE)</f>
        <v>0</v>
      </c>
      <c r="U315" s="31">
        <f>VLOOKUP($B315,'Tillförd energi'!$B$1:$AI$720,MATCH(U$1,'Tillförd energi'!$B$1:$AQ$1,0),FALSE)</f>
        <v>0</v>
      </c>
      <c r="V315" s="31">
        <f>VLOOKUP($B315,'Tillförd energi'!$B$1:$AI$720,MATCH(V$1,'Tillförd energi'!$B$1:$AQ$1,0),FALSE)</f>
        <v>0</v>
      </c>
      <c r="W315" s="31">
        <f>VLOOKUP($B315,'Tillförd energi'!$B$1:$AI$720,MATCH(W$1,'Tillförd energi'!$B$1:$AQ$1,0),FALSE)</f>
        <v>0.13600000000000001</v>
      </c>
      <c r="X315" s="31">
        <f>VLOOKUP($B315,'Tillförd energi'!$B$1:$AI$720,MATCH(X$1,'Tillförd energi'!$B$1:$AQ$1,0),FALSE)</f>
        <v>0</v>
      </c>
      <c r="Y315" s="31">
        <f>VLOOKUP($B315,'Tillförd energi'!$B$1:$AI$720,MATCH(Y$1,'Tillförd energi'!$B$1:$AQ$1,0),FALSE)</f>
        <v>18.506</v>
      </c>
      <c r="Z315" s="31">
        <f>VLOOKUP($B315,'Tillförd energi'!$B$1:$AI$720,MATCH(Z$1,'Tillförd energi'!$B$1:$AQ$1,0),FALSE)</f>
        <v>0</v>
      </c>
      <c r="AA315" s="31">
        <f>VLOOKUP($B315,'Tillförd energi'!$B$1:$AI$720,MATCH(AA$1,'Tillförd energi'!$B$1:$AQ$1,0),FALSE)</f>
        <v>0</v>
      </c>
      <c r="AB315" s="31">
        <f>VLOOKUP($B315,'Tillförd energi'!$B$1:$AI$720,MATCH(AB$1,'Tillförd energi'!$B$1:$AQ$1,0),FALSE)</f>
        <v>0</v>
      </c>
      <c r="AC315" s="31">
        <f>VLOOKUP($B315,'Tillförd energi'!$B$1:$AI$720,MATCH(AC$1,'Tillförd energi'!$B$1:$AQ$1,0),FALSE)</f>
        <v>62.756999999999998</v>
      </c>
      <c r="AD315" s="31">
        <f>VLOOKUP($B315,'Tillförd energi'!$B$1:$AI$720,MATCH(AD$1,'Tillförd energi'!$B$1:$AQ$1,0),FALSE)</f>
        <v>0</v>
      </c>
      <c r="AE315" s="31">
        <f>VLOOKUP($B315,'Tillförd energi'!$B$1:$AI$720,MATCH(AE$1,'Tillförd energi'!$B$1:$AQ$1,0),FALSE)</f>
        <v>0</v>
      </c>
      <c r="AF315" s="31">
        <f>VLOOKUP($B315,'Tillförd energi'!$B$1:$AI$720,MATCH(AF$1,'Tillförd energi'!$B$1:$AQ$1,0),FALSE)</f>
        <v>10.8666</v>
      </c>
      <c r="AG315" s="31">
        <f>IFERROR(VLOOKUP(B315,Miljö!$B$1:$AC$550,MATCH("Köpt mängd produktionsspecifik fjärrvärme:",Miljö!$B$1:$AC$1,0),FALSE)/1,0)</f>
        <v>0</v>
      </c>
      <c r="AI315" s="31">
        <f t="shared" si="92"/>
        <v>331.43516299999999</v>
      </c>
      <c r="AJ315" s="31">
        <f t="shared" si="93"/>
        <v>331.43516299999999</v>
      </c>
      <c r="AK315" s="31">
        <f>IF(ISERROR(1/VLOOKUP($B315,Leveranser!$B$1:$S$499,MATCH("Såld värme (GWh)",Leveranser!$B$1:$S$1,0),FALSE)),"",VLOOKUP($B315,Leveranser!$B$1:$S$499,MATCH("Såld värme (GWh)",Leveranser!$B$1:$S$1,0),FALSE))</f>
        <v>304</v>
      </c>
      <c r="AL315" s="31">
        <f>VLOOKUP($B315,Leveranser!$B$1:$Y$499,MATCH("Totalt såld fjärrvärme till andra fjärrvärmeföretag",Leveranser!$B$1:$AA$1,0),FALSE)</f>
        <v>0</v>
      </c>
      <c r="AM315" s="31">
        <f>IF(ISERROR(1/VLOOKUP($B315,Miljö!$B$1:$S$500,MATCH("Såld mängd produktionsspecifik fjärrvärme (GWh)",Miljö!$B$1:$R$1,0),FALSE)),0,VLOOKUP($B315,Miljö!$B$1:$S$500,MATCH("Såld mängd produktionsspecifik fjärrvärme (GWh)",Miljö!$B$1:$R$1,0),FALSE))</f>
        <v>0</v>
      </c>
      <c r="AN315" s="32">
        <f t="shared" si="94"/>
        <v>0.91722313724449334</v>
      </c>
      <c r="AP315" s="31" t="str">
        <f>IFERROR(VLOOKUP($B315,Miljövärden!$B$2:$H$550,7,FALSE),"Nej, saknas")</f>
        <v>Ja</v>
      </c>
      <c r="AQ315" s="31" t="str">
        <f>IFERROR(VLOOKUP($B315,Miljövärden!$B$2:$H$551,6,FALSE),"Nej, saknas")</f>
        <v>Ja</v>
      </c>
      <c r="AU315" s="31">
        <f t="shared" si="95"/>
        <v>10.8666</v>
      </c>
      <c r="AV315" s="31">
        <f t="shared" si="96"/>
        <v>0</v>
      </c>
      <c r="AW315" s="31">
        <f t="shared" si="97"/>
        <v>57.58</v>
      </c>
      <c r="AX315" s="31">
        <f t="shared" si="98"/>
        <v>0</v>
      </c>
      <c r="AZ315" s="31">
        <f t="shared" si="99"/>
        <v>64.300999999999988</v>
      </c>
      <c r="BC315" s="31">
        <f t="shared" si="100"/>
        <v>0.62356299999999998</v>
      </c>
      <c r="BD315" s="31">
        <f t="shared" si="101"/>
        <v>18.506</v>
      </c>
      <c r="BE315" s="31">
        <f t="shared" si="102"/>
        <v>57.716000000000001</v>
      </c>
      <c r="BF315" s="31">
        <f t="shared" si="103"/>
        <v>243.72300000000001</v>
      </c>
      <c r="BG315" s="31">
        <f t="shared" si="104"/>
        <v>10.8666</v>
      </c>
      <c r="BH315" s="31">
        <f>VLOOKUP(B315,Miljö!$B$1:$BX$482,MATCH("Fossilandel för ursprungspecificerad el ()",Miljö!$B$1:$I$1,0),FALSE)</f>
        <v>0.35</v>
      </c>
      <c r="BI315" s="31">
        <f>VLOOKUP(B315,Miljö!$B$1:$BX$482,MATCH("Kärnkraftsandel för ursprungsspecificerad el ()",Miljö!$B$1:$O$1,0),FALSE)</f>
        <v>0.3977</v>
      </c>
      <c r="BJ315" s="31">
        <f t="shared" si="105"/>
        <v>0</v>
      </c>
      <c r="BK315" s="31" t="str">
        <f>VLOOKUP(B315,Miljö!$B$1:$P$482,MATCH("Fossil andel i procent (%)",Miljö!$B$1:$P$1,0),FALSE)</f>
        <v>ET</v>
      </c>
      <c r="BL315" s="31">
        <f t="shared" si="106"/>
        <v>331.43516300000005</v>
      </c>
      <c r="BO315" s="32">
        <f t="shared" si="107"/>
        <v>1.3356678754088622E-2</v>
      </c>
      <c r="BP315" s="32">
        <f t="shared" si="108"/>
        <v>6.887515076365025E-2</v>
      </c>
      <c r="BQ315" s="32">
        <f t="shared" si="109"/>
        <v>0.18241167482884124</v>
      </c>
      <c r="BR315" s="32">
        <f t="shared" si="110"/>
        <v>0.73535649565341976</v>
      </c>
      <c r="BT315" s="62">
        <f t="shared" si="111"/>
        <v>0.99999999999999989</v>
      </c>
      <c r="BW315" s="32">
        <f>IF(AP315="Ja",VLOOKUP(B315,Miljövärden!$B$2:$H$551,MATCH("Total andel fossilt",Miljövärden!$B$2:$H$2,0),FALSE),"")</f>
        <v>1.3356700000000001E-2</v>
      </c>
      <c r="BX315" s="62">
        <f t="shared" si="112"/>
        <v>2.1245911379155769E-8</v>
      </c>
      <c r="BZ315" s="31">
        <f t="shared" si="113"/>
        <v>2.1245911379155769E-8</v>
      </c>
      <c r="CA315" s="32">
        <f t="shared" si="114"/>
        <v>0</v>
      </c>
    </row>
    <row r="316" spans="1:79" x14ac:dyDescent="0.45">
      <c r="A316" s="31" t="s">
        <v>263</v>
      </c>
      <c r="B316" s="31" t="s">
        <v>265</v>
      </c>
      <c r="C316" s="31">
        <f>VLOOKUP($B316,'Tillförd energi'!$B$1:$AI$720,MATCH(C$1,'Tillförd energi'!$B$1:$AQ$1,0),FALSE)</f>
        <v>0</v>
      </c>
      <c r="D316" s="31">
        <f>VLOOKUP($B316,'Tillförd energi'!$B$1:$AI$720,MATCH(D$1,'Tillförd energi'!$B$1:$AQ$1,0),FALSE)</f>
        <v>5.0900000000000001E-2</v>
      </c>
      <c r="E316" s="31">
        <f>VLOOKUP($B316,'Tillförd energi'!$B$1:$AI$720,MATCH(E$1,'Tillförd energi'!$B$1:$AQ$1,0),FALSE)</f>
        <v>0</v>
      </c>
      <c r="F316" s="31">
        <f>VLOOKUP($B316,'Tillförd energi'!$B$1:$AI$720,MATCH(F$1,'Tillförd energi'!$B$1:$AQ$1,0),FALSE)</f>
        <v>0</v>
      </c>
      <c r="G316" s="31">
        <f>VLOOKUP($B316,'Tillförd energi'!$B$1:$AI$720,MATCH(G$1,'Tillförd energi'!$B$1:$AQ$1,0),FALSE)</f>
        <v>0</v>
      </c>
      <c r="H316" s="31">
        <f>VLOOKUP($B316,'Tillförd energi'!$B$1:$AI$720,MATCH(H$1,'Tillförd energi'!$B$1:$AQ$1,0),FALSE)</f>
        <v>0</v>
      </c>
      <c r="I316" s="31">
        <f>VLOOKUP($B316,'Tillförd energi'!$B$1:$AI$720,MATCH(I$1,'Tillförd energi'!$B$1:$AQ$1,0),FALSE)</f>
        <v>0</v>
      </c>
      <c r="J316" s="31">
        <f>VLOOKUP($B316,'Tillförd energi'!$B$1:$AI$720,MATCH(J$1,'Tillförd energi'!$B$1:$AQ$1,0),FALSE)</f>
        <v>0</v>
      </c>
      <c r="K316" s="31">
        <f>VLOOKUP($B316,'Tillförd energi'!$B$1:$AI$720,MATCH(K$1,'Tillförd energi'!$B$1:$AQ$1,0),FALSE)</f>
        <v>0</v>
      </c>
      <c r="L316" s="31">
        <f>VLOOKUP($B316,'Tillförd energi'!$B$1:$AI$720,MATCH(L$1,'Tillförd energi'!$B$1:$AQ$1,0),FALSE)</f>
        <v>0</v>
      </c>
      <c r="M316" s="31">
        <f>VLOOKUP($B316,'Tillförd energi'!$B$1:$AI$720,MATCH(M$1,'Tillförd energi'!$B$1:$AQ$1,0),FALSE)</f>
        <v>0</v>
      </c>
      <c r="N316" s="31">
        <f>VLOOKUP($B316,'Tillförd energi'!$B$1:$AI$720,MATCH(N$1,'Tillförd energi'!$B$1:$AQ$1,0),FALSE)</f>
        <v>0</v>
      </c>
      <c r="O316" s="31">
        <f>VLOOKUP($B316,'Tillförd energi'!$B$1:$AI$720,MATCH(O$1,'Tillförd energi'!$B$1:$AQ$1,0),FALSE)</f>
        <v>0</v>
      </c>
      <c r="P316" s="31">
        <f>VLOOKUP($B316,'Tillförd energi'!$B$1:$AI$720,MATCH(P$1,'Tillförd energi'!$B$1:$AQ$1,0),FALSE)</f>
        <v>0</v>
      </c>
      <c r="Q316" s="31">
        <f>VLOOKUP($B316,'Tillförd energi'!$B$1:$AI$720,MATCH(Q$1,'Tillförd energi'!$B$1:$AQ$1,0),FALSE)</f>
        <v>0</v>
      </c>
      <c r="R316" s="31">
        <f>VLOOKUP($B316,'Tillförd energi'!$B$1:$AI$720,MATCH(R$1,'Tillförd energi'!$B$1:$AQ$1,0),FALSE)</f>
        <v>2.52</v>
      </c>
      <c r="S316" s="31">
        <f>VLOOKUP($B316,'Tillförd energi'!$B$1:$AI$720,MATCH(S$1,'Tillförd energi'!$B$1:$AQ$1,0),FALSE)</f>
        <v>0</v>
      </c>
      <c r="T316" s="31">
        <f>VLOOKUP($B316,'Tillförd energi'!$B$1:$AI$720,MATCH(T$1,'Tillförd energi'!$B$1:$AQ$1,0),FALSE)</f>
        <v>0</v>
      </c>
      <c r="U316" s="31">
        <f>VLOOKUP($B316,'Tillförd energi'!$B$1:$AI$720,MATCH(U$1,'Tillförd energi'!$B$1:$AQ$1,0),FALSE)</f>
        <v>0</v>
      </c>
      <c r="V316" s="31">
        <f>VLOOKUP($B316,'Tillförd energi'!$B$1:$AI$720,MATCH(V$1,'Tillförd energi'!$B$1:$AQ$1,0),FALSE)</f>
        <v>0</v>
      </c>
      <c r="W316" s="31">
        <f>VLOOKUP($B316,'Tillförd energi'!$B$1:$AI$720,MATCH(W$1,'Tillförd energi'!$B$1:$AQ$1,0),FALSE)</f>
        <v>0</v>
      </c>
      <c r="X316" s="31">
        <f>VLOOKUP($B316,'Tillförd energi'!$B$1:$AI$720,MATCH(X$1,'Tillförd energi'!$B$1:$AQ$1,0),FALSE)</f>
        <v>0</v>
      </c>
      <c r="Y316" s="31">
        <f>VLOOKUP($B316,'Tillförd energi'!$B$1:$AI$720,MATCH(Y$1,'Tillförd energi'!$B$1:$AQ$1,0),FALSE)</f>
        <v>0</v>
      </c>
      <c r="Z316" s="31">
        <f>VLOOKUP($B316,'Tillförd energi'!$B$1:$AI$720,MATCH(Z$1,'Tillförd energi'!$B$1:$AQ$1,0),FALSE)</f>
        <v>0</v>
      </c>
      <c r="AA316" s="31">
        <f>VLOOKUP($B316,'Tillförd energi'!$B$1:$AI$720,MATCH(AA$1,'Tillförd energi'!$B$1:$AQ$1,0),FALSE)</f>
        <v>0</v>
      </c>
      <c r="AB316" s="31">
        <f>VLOOKUP($B316,'Tillförd energi'!$B$1:$AI$720,MATCH(AB$1,'Tillförd energi'!$B$1:$AQ$1,0),FALSE)</f>
        <v>0</v>
      </c>
      <c r="AC316" s="31">
        <f>VLOOKUP($B316,'Tillförd energi'!$B$1:$AI$720,MATCH(AC$1,'Tillförd energi'!$B$1:$AQ$1,0),FALSE)</f>
        <v>0</v>
      </c>
      <c r="AD316" s="31">
        <f>VLOOKUP($B316,'Tillförd energi'!$B$1:$AI$720,MATCH(AD$1,'Tillförd energi'!$B$1:$AQ$1,0),FALSE)</f>
        <v>0</v>
      </c>
      <c r="AE316" s="31">
        <f>VLOOKUP($B316,'Tillförd energi'!$B$1:$AI$720,MATCH(AE$1,'Tillförd energi'!$B$1:$AQ$1,0),FALSE)</f>
        <v>0</v>
      </c>
      <c r="AF316" s="31">
        <f>VLOOKUP($B316,'Tillförd energi'!$B$1:$AI$720,MATCH(AF$1,'Tillförd energi'!$B$1:$AQ$1,0),FALSE)</f>
        <v>3.0943999999999999E-2</v>
      </c>
      <c r="AG316" s="31">
        <f>IFERROR(VLOOKUP(B316,Miljö!$B$1:$AC$550,MATCH("Köpt mängd produktionsspecifik fjärrvärme:",Miljö!$B$1:$AC$1,0),FALSE)/1,0)</f>
        <v>0</v>
      </c>
      <c r="AI316" s="31">
        <f t="shared" si="92"/>
        <v>2.6018439999999998</v>
      </c>
      <c r="AJ316" s="31">
        <f t="shared" si="93"/>
        <v>2.6018439999999998</v>
      </c>
      <c r="AK316" s="31">
        <f>IF(ISERROR(1/VLOOKUP($B316,Leveranser!$B$1:$S$499,MATCH("Såld värme (GWh)",Leveranser!$B$1:$S$1,0),FALSE)),"",VLOOKUP($B316,Leveranser!$B$1:$S$499,MATCH("Såld värme (GWh)",Leveranser!$B$1:$S$1,0),FALSE))</f>
        <v>2.1240000000000001</v>
      </c>
      <c r="AL316" s="31">
        <f>VLOOKUP($B316,Leveranser!$B$1:$Y$499,MATCH("Totalt såld fjärrvärme till andra fjärrvärmeföretag",Leveranser!$B$1:$AA$1,0),FALSE)</f>
        <v>0</v>
      </c>
      <c r="AM316" s="31">
        <f>IF(ISERROR(1/VLOOKUP($B316,Miljö!$B$1:$S$500,MATCH("Såld mängd produktionsspecifik fjärrvärme (GWh)",Miljö!$B$1:$R$1,0),FALSE)),0,VLOOKUP($B316,Miljö!$B$1:$S$500,MATCH("Såld mängd produktionsspecifik fjärrvärme (GWh)",Miljö!$B$1:$R$1,0),FALSE))</f>
        <v>0</v>
      </c>
      <c r="AN316" s="32">
        <f t="shared" si="94"/>
        <v>0.81634410056867368</v>
      </c>
      <c r="AP316" s="31" t="str">
        <f>IFERROR(VLOOKUP($B316,Miljövärden!$B$2:$H$550,7,FALSE),"Nej, saknas")</f>
        <v>Ja</v>
      </c>
      <c r="AQ316" s="31" t="str">
        <f>IFERROR(VLOOKUP($B316,Miljövärden!$B$2:$H$551,6,FALSE),"Nej, saknas")</f>
        <v>Nej</v>
      </c>
      <c r="AU316" s="31">
        <f t="shared" si="95"/>
        <v>3.0943999999999999E-2</v>
      </c>
      <c r="AV316" s="31">
        <f t="shared" si="96"/>
        <v>0</v>
      </c>
      <c r="AW316" s="31">
        <f t="shared" si="97"/>
        <v>0</v>
      </c>
      <c r="AX316" s="31">
        <f t="shared" si="98"/>
        <v>2.52</v>
      </c>
      <c r="AZ316" s="31">
        <f t="shared" si="99"/>
        <v>2.52</v>
      </c>
      <c r="BC316" s="31">
        <f t="shared" si="100"/>
        <v>5.0900000000000001E-2</v>
      </c>
      <c r="BD316" s="31">
        <f t="shared" si="101"/>
        <v>0</v>
      </c>
      <c r="BE316" s="31">
        <f t="shared" si="102"/>
        <v>2.52</v>
      </c>
      <c r="BF316" s="31">
        <f t="shared" si="103"/>
        <v>0</v>
      </c>
      <c r="BG316" s="31">
        <f t="shared" si="104"/>
        <v>3.0943999999999999E-2</v>
      </c>
      <c r="BH316" s="31">
        <f>VLOOKUP(B316,Miljö!$B$1:$BX$482,MATCH("Fossilandel för ursprungspecificerad el ()",Miljö!$B$1:$I$1,0),FALSE)</f>
        <v>0.35</v>
      </c>
      <c r="BI316" s="31">
        <f>VLOOKUP(B316,Miljö!$B$1:$BX$482,MATCH("Kärnkraftsandel för ursprungsspecificerad el ()",Miljö!$B$1:$O$1,0),FALSE)</f>
        <v>0.3977</v>
      </c>
      <c r="BJ316" s="31">
        <f t="shared" si="105"/>
        <v>0</v>
      </c>
      <c r="BK316" s="31" t="str">
        <f>VLOOKUP(B316,Miljö!$B$1:$P$482,MATCH("Fossil andel i procent (%)",Miljö!$B$1:$P$1,0),FALSE)</f>
        <v>ET</v>
      </c>
      <c r="BL316" s="31">
        <f t="shared" si="106"/>
        <v>2.6018439999999998</v>
      </c>
      <c r="BO316" s="32">
        <f t="shared" si="107"/>
        <v>2.3725634588391924E-2</v>
      </c>
      <c r="BP316" s="32">
        <f t="shared" si="108"/>
        <v>4.7298872645708196E-3</v>
      </c>
      <c r="BQ316" s="32">
        <f t="shared" si="109"/>
        <v>0.97154447814703737</v>
      </c>
      <c r="BR316" s="32">
        <f t="shared" si="110"/>
        <v>0</v>
      </c>
      <c r="BT316" s="62">
        <f t="shared" si="111"/>
        <v>1.0000000000000002</v>
      </c>
      <c r="BW316" s="32">
        <f>IF(AP316="Ja",VLOOKUP(B316,Miljövärden!$B$2:$H$551,MATCH("Total andel fossilt",Miljövärden!$B$2:$H$2,0),FALSE),"")</f>
        <v>2.3725699999999999E-2</v>
      </c>
      <c r="BX316" s="62">
        <f t="shared" si="112"/>
        <v>6.5411608074494865E-8</v>
      </c>
      <c r="BZ316" s="31">
        <f t="shared" si="113"/>
        <v>6.5411608074494865E-8</v>
      </c>
      <c r="CA316" s="32">
        <f t="shared" si="114"/>
        <v>0</v>
      </c>
    </row>
    <row r="317" spans="1:79" x14ac:dyDescent="0.45">
      <c r="A317" s="31" t="s">
        <v>263</v>
      </c>
      <c r="B317" s="31" t="s">
        <v>262</v>
      </c>
      <c r="C317" s="31">
        <f>VLOOKUP($B317,'Tillförd energi'!$B$1:$AI$720,MATCH(C$1,'Tillförd energi'!$B$1:$AQ$1,0),FALSE)</f>
        <v>0</v>
      </c>
      <c r="D317" s="31">
        <f>VLOOKUP($B317,'Tillförd energi'!$B$1:$AI$720,MATCH(D$1,'Tillförd energi'!$B$1:$AQ$1,0),FALSE)</f>
        <v>0.45192599999999999</v>
      </c>
      <c r="E317" s="31">
        <f>VLOOKUP($B317,'Tillförd energi'!$B$1:$AI$720,MATCH(E$1,'Tillförd energi'!$B$1:$AQ$1,0),FALSE)</f>
        <v>0</v>
      </c>
      <c r="F317" s="31">
        <f>VLOOKUP($B317,'Tillförd energi'!$B$1:$AI$720,MATCH(F$1,'Tillförd energi'!$B$1:$AQ$1,0),FALSE)</f>
        <v>0</v>
      </c>
      <c r="G317" s="31">
        <f>VLOOKUP($B317,'Tillförd energi'!$B$1:$AI$720,MATCH(G$1,'Tillförd energi'!$B$1:$AQ$1,0),FALSE)</f>
        <v>0</v>
      </c>
      <c r="H317" s="31">
        <f>VLOOKUP($B317,'Tillförd energi'!$B$1:$AI$720,MATCH(H$1,'Tillförd energi'!$B$1:$AQ$1,0),FALSE)</f>
        <v>0</v>
      </c>
      <c r="I317" s="31">
        <f>VLOOKUP($B317,'Tillförd energi'!$B$1:$AI$720,MATCH(I$1,'Tillförd energi'!$B$1:$AQ$1,0),FALSE)</f>
        <v>0</v>
      </c>
      <c r="J317" s="31">
        <f>VLOOKUP($B317,'Tillförd energi'!$B$1:$AI$720,MATCH(J$1,'Tillförd energi'!$B$1:$AQ$1,0),FALSE)</f>
        <v>0</v>
      </c>
      <c r="K317" s="31">
        <f>VLOOKUP($B317,'Tillförd energi'!$B$1:$AI$720,MATCH(K$1,'Tillförd energi'!$B$1:$AQ$1,0),FALSE)</f>
        <v>0</v>
      </c>
      <c r="L317" s="31">
        <f>VLOOKUP($B317,'Tillförd energi'!$B$1:$AI$720,MATCH(L$1,'Tillförd energi'!$B$1:$AQ$1,0),FALSE)</f>
        <v>0</v>
      </c>
      <c r="M317" s="31">
        <f>VLOOKUP($B317,'Tillförd energi'!$B$1:$AI$720,MATCH(M$1,'Tillförd energi'!$B$1:$AQ$1,0),FALSE)</f>
        <v>0</v>
      </c>
      <c r="N317" s="31">
        <f>VLOOKUP($B317,'Tillförd energi'!$B$1:$AI$720,MATCH(N$1,'Tillförd energi'!$B$1:$AQ$1,0),FALSE)</f>
        <v>0</v>
      </c>
      <c r="O317" s="31">
        <f>VLOOKUP($B317,'Tillförd energi'!$B$1:$AI$720,MATCH(O$1,'Tillförd energi'!$B$1:$AQ$1,0),FALSE)</f>
        <v>0</v>
      </c>
      <c r="P317" s="31">
        <f>VLOOKUP($B317,'Tillförd energi'!$B$1:$AI$720,MATCH(P$1,'Tillförd energi'!$B$1:$AQ$1,0),FALSE)</f>
        <v>0</v>
      </c>
      <c r="Q317" s="31">
        <f>VLOOKUP($B317,'Tillförd energi'!$B$1:$AI$720,MATCH(Q$1,'Tillförd energi'!$B$1:$AQ$1,0),FALSE)</f>
        <v>19.010000000000002</v>
      </c>
      <c r="R317" s="31">
        <f>VLOOKUP($B317,'Tillförd energi'!$B$1:$AI$720,MATCH(R$1,'Tillförd energi'!$B$1:$AQ$1,0),FALSE)</f>
        <v>2.5049999999999999</v>
      </c>
      <c r="S317" s="31">
        <f>VLOOKUP($B317,'Tillförd energi'!$B$1:$AI$720,MATCH(S$1,'Tillförd energi'!$B$1:$AQ$1,0),FALSE)</f>
        <v>0</v>
      </c>
      <c r="T317" s="31">
        <f>VLOOKUP($B317,'Tillförd energi'!$B$1:$AI$720,MATCH(T$1,'Tillförd energi'!$B$1:$AQ$1,0),FALSE)</f>
        <v>0</v>
      </c>
      <c r="U317" s="31">
        <f>VLOOKUP($B317,'Tillförd energi'!$B$1:$AI$720,MATCH(U$1,'Tillförd energi'!$B$1:$AQ$1,0),FALSE)</f>
        <v>0</v>
      </c>
      <c r="V317" s="31">
        <f>VLOOKUP($B317,'Tillförd energi'!$B$1:$AI$720,MATCH(V$1,'Tillförd energi'!$B$1:$AQ$1,0),FALSE)</f>
        <v>0</v>
      </c>
      <c r="W317" s="31">
        <f>VLOOKUP($B317,'Tillförd energi'!$B$1:$AI$720,MATCH(W$1,'Tillförd energi'!$B$1:$AQ$1,0),FALSE)</f>
        <v>0</v>
      </c>
      <c r="X317" s="31">
        <f>VLOOKUP($B317,'Tillförd energi'!$B$1:$AI$720,MATCH(X$1,'Tillförd energi'!$B$1:$AQ$1,0),FALSE)</f>
        <v>0</v>
      </c>
      <c r="Y317" s="31">
        <f>VLOOKUP($B317,'Tillförd energi'!$B$1:$AI$720,MATCH(Y$1,'Tillförd energi'!$B$1:$AQ$1,0),FALSE)</f>
        <v>0</v>
      </c>
      <c r="Z317" s="31">
        <f>VLOOKUP($B317,'Tillförd energi'!$B$1:$AI$720,MATCH(Z$1,'Tillförd energi'!$B$1:$AQ$1,0),FALSE)</f>
        <v>0</v>
      </c>
      <c r="AA317" s="31">
        <f>VLOOKUP($B317,'Tillförd energi'!$B$1:$AI$720,MATCH(AA$1,'Tillförd energi'!$B$1:$AQ$1,0),FALSE)</f>
        <v>0</v>
      </c>
      <c r="AB317" s="31">
        <f>VLOOKUP($B317,'Tillförd energi'!$B$1:$AI$720,MATCH(AB$1,'Tillförd energi'!$B$1:$AQ$1,0),FALSE)</f>
        <v>0</v>
      </c>
      <c r="AC317" s="31">
        <f>VLOOKUP($B317,'Tillförd energi'!$B$1:$AI$720,MATCH(AC$1,'Tillförd energi'!$B$1:$AQ$1,0),FALSE)</f>
        <v>0</v>
      </c>
      <c r="AD317" s="31">
        <f>VLOOKUP($B317,'Tillförd energi'!$B$1:$AI$720,MATCH(AD$1,'Tillförd energi'!$B$1:$AQ$1,0),FALSE)</f>
        <v>34.9</v>
      </c>
      <c r="AE317" s="31">
        <f>VLOOKUP($B317,'Tillförd energi'!$B$1:$AI$720,MATCH(AE$1,'Tillförd energi'!$B$1:$AQ$1,0),FALSE)</f>
        <v>0</v>
      </c>
      <c r="AF317" s="31">
        <f>VLOOKUP($B317,'Tillförd energi'!$B$1:$AI$720,MATCH(AF$1,'Tillförd energi'!$B$1:$AQ$1,0),FALSE)</f>
        <v>0.56674000000000002</v>
      </c>
      <c r="AG317" s="31">
        <f>IFERROR(VLOOKUP(B317,Miljö!$B$1:$AC$550,MATCH("Köpt mängd produktionsspecifik fjärrvärme:",Miljö!$B$1:$AC$1,0),FALSE)/1,0)</f>
        <v>0</v>
      </c>
      <c r="AI317" s="31">
        <f t="shared" si="92"/>
        <v>57.433666000000002</v>
      </c>
      <c r="AJ317" s="31">
        <f t="shared" si="93"/>
        <v>57.433666000000002</v>
      </c>
      <c r="AK317" s="31">
        <f>IF(ISERROR(1/VLOOKUP($B317,Leveranser!$B$1:$S$499,MATCH("Såld värme (GWh)",Leveranser!$B$1:$S$1,0),FALSE)),"",VLOOKUP($B317,Leveranser!$B$1:$S$499,MATCH("Såld värme (GWh)",Leveranser!$B$1:$S$1,0),FALSE))</f>
        <v>47.084000000000003</v>
      </c>
      <c r="AL317" s="31">
        <f>VLOOKUP($B317,Leveranser!$B$1:$Y$499,MATCH("Totalt såld fjärrvärme till andra fjärrvärmeföretag",Leveranser!$B$1:$AA$1,0),FALSE)</f>
        <v>0</v>
      </c>
      <c r="AM317" s="31">
        <f>IF(ISERROR(1/VLOOKUP($B317,Miljö!$B$1:$S$500,MATCH("Såld mängd produktionsspecifik fjärrvärme (GWh)",Miljö!$B$1:$R$1,0),FALSE)),0,VLOOKUP($B317,Miljö!$B$1:$S$500,MATCH("Såld mängd produktionsspecifik fjärrvärme (GWh)",Miljö!$B$1:$R$1,0),FALSE))</f>
        <v>0</v>
      </c>
      <c r="AN317" s="32">
        <f t="shared" si="94"/>
        <v>0.8197979213097768</v>
      </c>
      <c r="AP317" s="31" t="str">
        <f>IFERROR(VLOOKUP($B317,Miljövärden!$B$2:$H$550,7,FALSE),"Nej, saknas")</f>
        <v>Ja</v>
      </c>
      <c r="AQ317" s="31" t="str">
        <f>IFERROR(VLOOKUP($B317,Miljövärden!$B$2:$H$551,6,FALSE),"Nej, saknas")</f>
        <v>Ja</v>
      </c>
      <c r="AU317" s="31">
        <f t="shared" si="95"/>
        <v>0.56674000000000002</v>
      </c>
      <c r="AV317" s="31">
        <f t="shared" si="96"/>
        <v>0</v>
      </c>
      <c r="AW317" s="31">
        <f t="shared" si="97"/>
        <v>19.010000000000002</v>
      </c>
      <c r="AX317" s="31">
        <f t="shared" si="98"/>
        <v>2.5049999999999999</v>
      </c>
      <c r="AZ317" s="31">
        <f t="shared" si="99"/>
        <v>21.515000000000001</v>
      </c>
      <c r="BC317" s="31">
        <f t="shared" si="100"/>
        <v>0.45192599999999999</v>
      </c>
      <c r="BD317" s="31">
        <f t="shared" si="101"/>
        <v>0</v>
      </c>
      <c r="BE317" s="31">
        <f t="shared" si="102"/>
        <v>21.515000000000001</v>
      </c>
      <c r="BF317" s="31">
        <f t="shared" si="103"/>
        <v>34.9</v>
      </c>
      <c r="BG317" s="31">
        <f t="shared" si="104"/>
        <v>0.56674000000000002</v>
      </c>
      <c r="BH317" s="31">
        <f>VLOOKUP(B317,Miljö!$B$1:$BX$482,MATCH("Fossilandel för ursprungspecificerad el ()",Miljö!$B$1:$I$1,0),FALSE)</f>
        <v>0.35</v>
      </c>
      <c r="BI317" s="31">
        <f>VLOOKUP(B317,Miljö!$B$1:$BX$482,MATCH("Kärnkraftsandel för ursprungsspecificerad el ()",Miljö!$B$1:$O$1,0),FALSE)</f>
        <v>0.3977</v>
      </c>
      <c r="BJ317" s="31">
        <f t="shared" si="105"/>
        <v>0</v>
      </c>
      <c r="BK317" s="31" t="str">
        <f>VLOOKUP(B317,Miljö!$B$1:$P$482,MATCH("Fossil andel i procent (%)",Miljö!$B$1:$P$1,0),FALSE)</f>
        <v>ET</v>
      </c>
      <c r="BL317" s="31">
        <f t="shared" si="106"/>
        <v>57.433666000000002</v>
      </c>
      <c r="BO317" s="32">
        <f t="shared" si="107"/>
        <v>1.1322366223322746E-2</v>
      </c>
      <c r="BP317" s="32">
        <f t="shared" si="108"/>
        <v>3.9243968511430208E-3</v>
      </c>
      <c r="BQ317" s="32">
        <f t="shared" si="109"/>
        <v>0.37709570031625705</v>
      </c>
      <c r="BR317" s="32">
        <f t="shared" si="110"/>
        <v>0.60765753660927713</v>
      </c>
      <c r="BT317" s="62">
        <f t="shared" si="111"/>
        <v>1</v>
      </c>
      <c r="BW317" s="32">
        <f>IF(AP317="Ja",VLOOKUP(B317,Miljövärden!$B$2:$H$551,MATCH("Total andel fossilt",Miljövärden!$B$2:$H$2,0),FALSE),"")</f>
        <v>1.13224E-2</v>
      </c>
      <c r="BX317" s="62">
        <f t="shared" si="112"/>
        <v>3.3776677253738452E-8</v>
      </c>
      <c r="BZ317" s="31">
        <f t="shared" si="113"/>
        <v>3.3776677253738452E-8</v>
      </c>
      <c r="CA317" s="32">
        <f t="shared" si="114"/>
        <v>0</v>
      </c>
    </row>
    <row r="318" spans="1:79" x14ac:dyDescent="0.45">
      <c r="A318" s="31" t="s">
        <v>263</v>
      </c>
      <c r="B318" s="31" t="s">
        <v>264</v>
      </c>
      <c r="C318" s="31">
        <f>VLOOKUP($B318,'Tillförd energi'!$B$1:$AI$720,MATCH(C$1,'Tillförd energi'!$B$1:$AQ$1,0),FALSE)</f>
        <v>0</v>
      </c>
      <c r="D318" s="31">
        <f>VLOOKUP($B318,'Tillförd energi'!$B$1:$AI$720,MATCH(D$1,'Tillförd energi'!$B$1:$AQ$1,0),FALSE)</f>
        <v>0</v>
      </c>
      <c r="E318" s="31">
        <f>VLOOKUP($B318,'Tillförd energi'!$B$1:$AI$720,MATCH(E$1,'Tillförd energi'!$B$1:$AQ$1,0),FALSE)</f>
        <v>0</v>
      </c>
      <c r="F318" s="31">
        <f>VLOOKUP($B318,'Tillförd energi'!$B$1:$AI$720,MATCH(F$1,'Tillförd energi'!$B$1:$AQ$1,0),FALSE)</f>
        <v>0</v>
      </c>
      <c r="G318" s="31">
        <f>VLOOKUP($B318,'Tillförd energi'!$B$1:$AI$720,MATCH(G$1,'Tillförd energi'!$B$1:$AQ$1,0),FALSE)</f>
        <v>0</v>
      </c>
      <c r="H318" s="31">
        <f>VLOOKUP($B318,'Tillförd energi'!$B$1:$AI$720,MATCH(H$1,'Tillförd energi'!$B$1:$AQ$1,0),FALSE)</f>
        <v>0</v>
      </c>
      <c r="I318" s="31">
        <f>VLOOKUP($B318,'Tillförd energi'!$B$1:$AI$720,MATCH(I$1,'Tillförd energi'!$B$1:$AQ$1,0),FALSE)</f>
        <v>0</v>
      </c>
      <c r="J318" s="31">
        <f>VLOOKUP($B318,'Tillförd energi'!$B$1:$AI$720,MATCH(J$1,'Tillförd energi'!$B$1:$AQ$1,0),FALSE)</f>
        <v>0</v>
      </c>
      <c r="K318" s="31">
        <f>VLOOKUP($B318,'Tillförd energi'!$B$1:$AI$720,MATCH(K$1,'Tillförd energi'!$B$1:$AQ$1,0),FALSE)</f>
        <v>0</v>
      </c>
      <c r="L318" s="31">
        <f>VLOOKUP($B318,'Tillförd energi'!$B$1:$AI$720,MATCH(L$1,'Tillförd energi'!$B$1:$AQ$1,0),FALSE)</f>
        <v>0</v>
      </c>
      <c r="M318" s="31">
        <f>VLOOKUP($B318,'Tillförd energi'!$B$1:$AI$720,MATCH(M$1,'Tillförd energi'!$B$1:$AQ$1,0),FALSE)</f>
        <v>0</v>
      </c>
      <c r="N318" s="31">
        <f>VLOOKUP($B318,'Tillförd energi'!$B$1:$AI$720,MATCH(N$1,'Tillförd energi'!$B$1:$AQ$1,0),FALSE)</f>
        <v>0</v>
      </c>
      <c r="O318" s="31">
        <f>VLOOKUP($B318,'Tillförd energi'!$B$1:$AI$720,MATCH(O$1,'Tillförd energi'!$B$1:$AQ$1,0),FALSE)</f>
        <v>0</v>
      </c>
      <c r="P318" s="31">
        <f>VLOOKUP($B318,'Tillförd energi'!$B$1:$AI$720,MATCH(P$1,'Tillförd energi'!$B$1:$AQ$1,0),FALSE)</f>
        <v>0</v>
      </c>
      <c r="Q318" s="31">
        <f>VLOOKUP($B318,'Tillförd energi'!$B$1:$AI$720,MATCH(Q$1,'Tillförd energi'!$B$1:$AQ$1,0),FALSE)</f>
        <v>0</v>
      </c>
      <c r="R318" s="31">
        <f>VLOOKUP($B318,'Tillförd energi'!$B$1:$AI$720,MATCH(R$1,'Tillförd energi'!$B$1:$AQ$1,0),FALSE)</f>
        <v>0.88917800000000002</v>
      </c>
      <c r="S318" s="31">
        <f>VLOOKUP($B318,'Tillförd energi'!$B$1:$AI$720,MATCH(S$1,'Tillförd energi'!$B$1:$AQ$1,0),FALSE)</f>
        <v>0</v>
      </c>
      <c r="T318" s="31">
        <f>VLOOKUP($B318,'Tillförd energi'!$B$1:$AI$720,MATCH(T$1,'Tillförd energi'!$B$1:$AQ$1,0),FALSE)</f>
        <v>0</v>
      </c>
      <c r="U318" s="31">
        <f>VLOOKUP($B318,'Tillförd energi'!$B$1:$AI$720,MATCH(U$1,'Tillförd energi'!$B$1:$AQ$1,0),FALSE)</f>
        <v>0</v>
      </c>
      <c r="V318" s="31">
        <f>VLOOKUP($B318,'Tillförd energi'!$B$1:$AI$720,MATCH(V$1,'Tillförd energi'!$B$1:$AQ$1,0),FALSE)</f>
        <v>0</v>
      </c>
      <c r="W318" s="31">
        <f>VLOOKUP($B318,'Tillförd energi'!$B$1:$AI$720,MATCH(W$1,'Tillförd energi'!$B$1:$AQ$1,0),FALSE)</f>
        <v>0</v>
      </c>
      <c r="X318" s="31">
        <f>VLOOKUP($B318,'Tillförd energi'!$B$1:$AI$720,MATCH(X$1,'Tillförd energi'!$B$1:$AQ$1,0),FALSE)</f>
        <v>0</v>
      </c>
      <c r="Y318" s="31">
        <f>VLOOKUP($B318,'Tillförd energi'!$B$1:$AI$720,MATCH(Y$1,'Tillförd energi'!$B$1:$AQ$1,0),FALSE)</f>
        <v>0</v>
      </c>
      <c r="Z318" s="31">
        <f>VLOOKUP($B318,'Tillförd energi'!$B$1:$AI$720,MATCH(Z$1,'Tillförd energi'!$B$1:$AQ$1,0),FALSE)</f>
        <v>6.0999999999999997E-4</v>
      </c>
      <c r="AA318" s="31">
        <f>VLOOKUP($B318,'Tillförd energi'!$B$1:$AI$720,MATCH(AA$1,'Tillförd energi'!$B$1:$AQ$1,0),FALSE)</f>
        <v>0</v>
      </c>
      <c r="AB318" s="31">
        <f>VLOOKUP($B318,'Tillförd energi'!$B$1:$AI$720,MATCH(AB$1,'Tillförd energi'!$B$1:$AQ$1,0),FALSE)</f>
        <v>0</v>
      </c>
      <c r="AC318" s="31">
        <f>VLOOKUP($B318,'Tillförd energi'!$B$1:$AI$720,MATCH(AC$1,'Tillförd energi'!$B$1:$AQ$1,0),FALSE)</f>
        <v>0</v>
      </c>
      <c r="AD318" s="31">
        <f>VLOOKUP($B318,'Tillförd energi'!$B$1:$AI$720,MATCH(AD$1,'Tillförd energi'!$B$1:$AQ$1,0),FALSE)</f>
        <v>0</v>
      </c>
      <c r="AE318" s="31">
        <f>VLOOKUP($B318,'Tillförd energi'!$B$1:$AI$720,MATCH(AE$1,'Tillförd energi'!$B$1:$AQ$1,0),FALSE)</f>
        <v>0</v>
      </c>
      <c r="AF318" s="31">
        <f>VLOOKUP($B318,'Tillförd energi'!$B$1:$AI$720,MATCH(AF$1,'Tillförd energi'!$B$1:$AQ$1,0),FALSE)</f>
        <v>1.0394E-2</v>
      </c>
      <c r="AG318" s="31">
        <f>IFERROR(VLOOKUP(B318,Miljö!$B$1:$AC$550,MATCH("Köpt mängd produktionsspecifik fjärrvärme:",Miljö!$B$1:$AC$1,0),FALSE)/1,0)</f>
        <v>0</v>
      </c>
      <c r="AI318" s="31">
        <f t="shared" si="92"/>
        <v>0.90018200000000004</v>
      </c>
      <c r="AJ318" s="31">
        <f t="shared" si="93"/>
        <v>0.90018200000000004</v>
      </c>
      <c r="AK318" s="31">
        <f>IF(ISERROR(1/VLOOKUP($B318,Leveranser!$B$1:$S$499,MATCH("Såld värme (GWh)",Leveranser!$B$1:$S$1,0),FALSE)),"",VLOOKUP($B318,Leveranser!$B$1:$S$499,MATCH("Såld värme (GWh)",Leveranser!$B$1:$S$1,0),FALSE))</f>
        <v>0.78800000000000003</v>
      </c>
      <c r="AL318" s="31">
        <f>VLOOKUP($B318,Leveranser!$B$1:$Y$499,MATCH("Totalt såld fjärrvärme till andra fjärrvärmeföretag",Leveranser!$B$1:$AA$1,0),FALSE)</f>
        <v>0</v>
      </c>
      <c r="AM318" s="31">
        <f>IF(ISERROR(1/VLOOKUP($B318,Miljö!$B$1:$S$500,MATCH("Såld mängd produktionsspecifik fjärrvärme (GWh)",Miljö!$B$1:$R$1,0),FALSE)),0,VLOOKUP($B318,Miljö!$B$1:$S$500,MATCH("Såld mängd produktionsspecifik fjärrvärme (GWh)",Miljö!$B$1:$R$1,0),FALSE))</f>
        <v>0</v>
      </c>
      <c r="AN318" s="32">
        <f t="shared" si="94"/>
        <v>0.87537853456301062</v>
      </c>
      <c r="AP318" s="31" t="str">
        <f>IFERROR(VLOOKUP($B318,Miljövärden!$B$2:$H$550,7,FALSE),"Nej, saknas")</f>
        <v>Ja</v>
      </c>
      <c r="AQ318" s="31" t="str">
        <f>IFERROR(VLOOKUP($B318,Miljövärden!$B$2:$H$551,6,FALSE),"Nej, saknas")</f>
        <v>Nej</v>
      </c>
      <c r="AU318" s="31">
        <f t="shared" si="95"/>
        <v>1.1004E-2</v>
      </c>
      <c r="AV318" s="31">
        <f t="shared" si="96"/>
        <v>0</v>
      </c>
      <c r="AW318" s="31">
        <f t="shared" si="97"/>
        <v>0</v>
      </c>
      <c r="AX318" s="31">
        <f t="shared" si="98"/>
        <v>0.88917800000000002</v>
      </c>
      <c r="AZ318" s="31">
        <f t="shared" si="99"/>
        <v>0.88917800000000002</v>
      </c>
      <c r="BC318" s="31">
        <f t="shared" si="100"/>
        <v>0</v>
      </c>
      <c r="BD318" s="31">
        <f t="shared" si="101"/>
        <v>0</v>
      </c>
      <c r="BE318" s="31">
        <f t="shared" si="102"/>
        <v>0.88917800000000002</v>
      </c>
      <c r="BF318" s="31">
        <f t="shared" si="103"/>
        <v>0</v>
      </c>
      <c r="BG318" s="31">
        <f t="shared" si="104"/>
        <v>1.1004E-2</v>
      </c>
      <c r="BH318" s="31">
        <f>VLOOKUP(B318,Miljö!$B$1:$BX$482,MATCH("Fossilandel för ursprungspecificerad el ()",Miljö!$B$1:$I$1,0),FALSE)</f>
        <v>0.35</v>
      </c>
      <c r="BI318" s="31">
        <f>VLOOKUP(B318,Miljö!$B$1:$BX$482,MATCH("Kärnkraftsandel för ursprungsspecificerad el ()",Miljö!$B$1:$O$1,0),FALSE)</f>
        <v>0.3977</v>
      </c>
      <c r="BJ318" s="31">
        <f t="shared" si="105"/>
        <v>0</v>
      </c>
      <c r="BK318" s="31" t="str">
        <f>VLOOKUP(B318,Miljö!$B$1:$P$482,MATCH("Fossil andel i procent (%)",Miljö!$B$1:$P$1,0),FALSE)</f>
        <v>ET</v>
      </c>
      <c r="BL318" s="31">
        <f t="shared" si="106"/>
        <v>0.90018200000000004</v>
      </c>
      <c r="BO318" s="32">
        <f t="shared" si="107"/>
        <v>4.2784681319999731E-3</v>
      </c>
      <c r="BP318" s="32">
        <f t="shared" si="108"/>
        <v>4.8615622174182551E-3</v>
      </c>
      <c r="BQ318" s="32">
        <f t="shared" si="109"/>
        <v>0.99085996965058176</v>
      </c>
      <c r="BR318" s="32">
        <f t="shared" si="110"/>
        <v>0</v>
      </c>
      <c r="BT318" s="62">
        <f t="shared" si="111"/>
        <v>1</v>
      </c>
      <c r="BW318" s="32">
        <f>IF(AP318="Ja",VLOOKUP(B318,Miljövärden!$B$2:$H$551,MATCH("Total andel fossilt",Miljövärden!$B$2:$H$2,0),FALSE),"")</f>
        <v>4.2784700000000004E-3</v>
      </c>
      <c r="BX318" s="62">
        <f t="shared" si="112"/>
        <v>1.8680000272303099E-9</v>
      </c>
      <c r="BZ318" s="31">
        <f t="shared" si="113"/>
        <v>1.8680000272303099E-9</v>
      </c>
      <c r="CA318" s="32">
        <f t="shared" si="114"/>
        <v>0</v>
      </c>
    </row>
    <row r="319" spans="1:79" x14ac:dyDescent="0.45">
      <c r="A319" s="31" t="s">
        <v>258</v>
      </c>
      <c r="B319" s="31" t="s">
        <v>261</v>
      </c>
      <c r="C319" s="31">
        <f>VLOOKUP($B319,'Tillförd energi'!$B$1:$AI$720,MATCH(C$1,'Tillförd energi'!$B$1:$AQ$1,0),FALSE)</f>
        <v>0</v>
      </c>
      <c r="D319" s="31">
        <f>VLOOKUP($B319,'Tillförd energi'!$B$1:$AI$720,MATCH(D$1,'Tillförd energi'!$B$1:$AQ$1,0),FALSE)</f>
        <v>1.71</v>
      </c>
      <c r="E319" s="31">
        <f>VLOOKUP($B319,'Tillförd energi'!$B$1:$AI$720,MATCH(E$1,'Tillförd energi'!$B$1:$AQ$1,0),FALSE)</f>
        <v>0</v>
      </c>
      <c r="F319" s="31">
        <f>VLOOKUP($B319,'Tillförd energi'!$B$1:$AI$720,MATCH(F$1,'Tillförd energi'!$B$1:$AQ$1,0),FALSE)</f>
        <v>0</v>
      </c>
      <c r="G319" s="31">
        <f>VLOOKUP($B319,'Tillförd energi'!$B$1:$AI$720,MATCH(G$1,'Tillförd energi'!$B$1:$AQ$1,0),FALSE)</f>
        <v>0</v>
      </c>
      <c r="H319" s="31">
        <f>VLOOKUP($B319,'Tillförd energi'!$B$1:$AI$720,MATCH(H$1,'Tillförd energi'!$B$1:$AQ$1,0),FALSE)</f>
        <v>0</v>
      </c>
      <c r="I319" s="31">
        <f>VLOOKUP($B319,'Tillförd energi'!$B$1:$AI$720,MATCH(I$1,'Tillförd energi'!$B$1:$AQ$1,0),FALSE)</f>
        <v>0</v>
      </c>
      <c r="J319" s="31">
        <f>VLOOKUP($B319,'Tillförd energi'!$B$1:$AI$720,MATCH(J$1,'Tillförd energi'!$B$1:$AQ$1,0),FALSE)</f>
        <v>0</v>
      </c>
      <c r="K319" s="31">
        <f>VLOOKUP($B319,'Tillförd energi'!$B$1:$AI$720,MATCH(K$1,'Tillförd energi'!$B$1:$AQ$1,0),FALSE)</f>
        <v>0</v>
      </c>
      <c r="L319" s="31">
        <f>VLOOKUP($B319,'Tillförd energi'!$B$1:$AI$720,MATCH(L$1,'Tillförd energi'!$B$1:$AQ$1,0),FALSE)</f>
        <v>0</v>
      </c>
      <c r="M319" s="31">
        <f>VLOOKUP($B319,'Tillförd energi'!$B$1:$AI$720,MATCH(M$1,'Tillförd energi'!$B$1:$AQ$1,0),FALSE)</f>
        <v>0</v>
      </c>
      <c r="N319" s="31">
        <f>VLOOKUP($B319,'Tillförd energi'!$B$1:$AI$720,MATCH(N$1,'Tillförd energi'!$B$1:$AQ$1,0),FALSE)</f>
        <v>0</v>
      </c>
      <c r="O319" s="31">
        <f>VLOOKUP($B319,'Tillförd energi'!$B$1:$AI$720,MATCH(O$1,'Tillförd energi'!$B$1:$AQ$1,0),FALSE)</f>
        <v>0</v>
      </c>
      <c r="P319" s="31">
        <f>VLOOKUP($B319,'Tillförd energi'!$B$1:$AI$720,MATCH(P$1,'Tillförd energi'!$B$1:$AQ$1,0),FALSE)</f>
        <v>0</v>
      </c>
      <c r="Q319" s="31">
        <f>VLOOKUP($B319,'Tillförd energi'!$B$1:$AI$720,MATCH(Q$1,'Tillförd energi'!$B$1:$AQ$1,0),FALSE)</f>
        <v>0</v>
      </c>
      <c r="R319" s="31">
        <f>VLOOKUP($B319,'Tillförd energi'!$B$1:$AI$720,MATCH(R$1,'Tillförd energi'!$B$1:$AQ$1,0),FALSE)</f>
        <v>7.7</v>
      </c>
      <c r="S319" s="31">
        <f>VLOOKUP($B319,'Tillförd energi'!$B$1:$AI$720,MATCH(S$1,'Tillförd energi'!$B$1:$AQ$1,0),FALSE)</f>
        <v>0</v>
      </c>
      <c r="T319" s="31">
        <f>VLOOKUP($B319,'Tillförd energi'!$B$1:$AI$720,MATCH(T$1,'Tillförd energi'!$B$1:$AQ$1,0),FALSE)</f>
        <v>0</v>
      </c>
      <c r="U319" s="31">
        <f>VLOOKUP($B319,'Tillförd energi'!$B$1:$AI$720,MATCH(U$1,'Tillförd energi'!$B$1:$AQ$1,0),FALSE)</f>
        <v>0</v>
      </c>
      <c r="V319" s="31">
        <f>VLOOKUP($B319,'Tillförd energi'!$B$1:$AI$720,MATCH(V$1,'Tillförd energi'!$B$1:$AQ$1,0),FALSE)</f>
        <v>0</v>
      </c>
      <c r="W319" s="31">
        <f>VLOOKUP($B319,'Tillförd energi'!$B$1:$AI$720,MATCH(W$1,'Tillförd energi'!$B$1:$AQ$1,0),FALSE)</f>
        <v>0</v>
      </c>
      <c r="X319" s="31">
        <f>VLOOKUP($B319,'Tillförd energi'!$B$1:$AI$720,MATCH(X$1,'Tillförd energi'!$B$1:$AQ$1,0),FALSE)</f>
        <v>0</v>
      </c>
      <c r="Y319" s="31">
        <f>VLOOKUP($B319,'Tillförd energi'!$B$1:$AI$720,MATCH(Y$1,'Tillförd energi'!$B$1:$AQ$1,0),FALSE)</f>
        <v>0</v>
      </c>
      <c r="Z319" s="31">
        <f>VLOOKUP($B319,'Tillförd energi'!$B$1:$AI$720,MATCH(Z$1,'Tillförd energi'!$B$1:$AQ$1,0),FALSE)</f>
        <v>0</v>
      </c>
      <c r="AA319" s="31">
        <f>VLOOKUP($B319,'Tillförd energi'!$B$1:$AI$720,MATCH(AA$1,'Tillförd energi'!$B$1:$AQ$1,0),FALSE)</f>
        <v>0</v>
      </c>
      <c r="AB319" s="31">
        <f>VLOOKUP($B319,'Tillförd energi'!$B$1:$AI$720,MATCH(AB$1,'Tillförd energi'!$B$1:$AQ$1,0),FALSE)</f>
        <v>0</v>
      </c>
      <c r="AC319" s="31">
        <f>VLOOKUP($B319,'Tillförd energi'!$B$1:$AI$720,MATCH(AC$1,'Tillförd energi'!$B$1:$AQ$1,0),FALSE)</f>
        <v>0</v>
      </c>
      <c r="AD319" s="31">
        <f>VLOOKUP($B319,'Tillförd energi'!$B$1:$AI$720,MATCH(AD$1,'Tillförd energi'!$B$1:$AQ$1,0),FALSE)</f>
        <v>0</v>
      </c>
      <c r="AE319" s="31">
        <f>VLOOKUP($B319,'Tillförd energi'!$B$1:$AI$720,MATCH(AE$1,'Tillförd energi'!$B$1:$AQ$1,0),FALSE)</f>
        <v>0</v>
      </c>
      <c r="AF319" s="31">
        <f>VLOOKUP($B319,'Tillförd energi'!$B$1:$AI$720,MATCH(AF$1,'Tillförd energi'!$B$1:$AQ$1,0),FALSE)</f>
        <v>0.16600000000000001</v>
      </c>
      <c r="AG319" s="31">
        <f>IFERROR(VLOOKUP(B319,Miljö!$B$1:$AC$550,MATCH("Köpt mängd produktionsspecifik fjärrvärme:",Miljö!$B$1:$AC$1,0),FALSE)/1,0)</f>
        <v>0</v>
      </c>
      <c r="AI319" s="31">
        <f t="shared" si="92"/>
        <v>9.5760000000000005</v>
      </c>
      <c r="AJ319" s="31">
        <f t="shared" si="93"/>
        <v>9.5760000000000005</v>
      </c>
      <c r="AK319" s="31">
        <f>IF(ISERROR(1/VLOOKUP($B319,Leveranser!$B$1:$S$499,MATCH("Såld värme (GWh)",Leveranser!$B$1:$S$1,0),FALSE)),"",VLOOKUP($B319,Leveranser!$B$1:$S$499,MATCH("Såld värme (GWh)",Leveranser!$B$1:$S$1,0),FALSE))</f>
        <v>7.46</v>
      </c>
      <c r="AL319" s="31">
        <f>VLOOKUP($B319,Leveranser!$B$1:$Y$499,MATCH("Totalt såld fjärrvärme till andra fjärrvärmeföretag",Leveranser!$B$1:$AA$1,0),FALSE)</f>
        <v>0</v>
      </c>
      <c r="AM319" s="31">
        <f>IF(ISERROR(1/VLOOKUP($B319,Miljö!$B$1:$S$500,MATCH("Såld mängd produktionsspecifik fjärrvärme (GWh)",Miljö!$B$1:$R$1,0),FALSE)),0,VLOOKUP($B319,Miljö!$B$1:$S$500,MATCH("Såld mängd produktionsspecifik fjärrvärme (GWh)",Miljö!$B$1:$R$1,0),FALSE))</f>
        <v>0</v>
      </c>
      <c r="AN319" s="32">
        <f t="shared" si="94"/>
        <v>0.77903091060985796</v>
      </c>
      <c r="AP319" s="31" t="str">
        <f>IFERROR(VLOOKUP($B319,Miljövärden!$B$2:$H$550,7,FALSE),"Nej, saknas")</f>
        <v>Ja</v>
      </c>
      <c r="AQ319" s="31" t="str">
        <f>IFERROR(VLOOKUP($B319,Miljövärden!$B$2:$H$551,6,FALSE),"Nej, saknas")</f>
        <v>Ja</v>
      </c>
      <c r="AU319" s="31">
        <f t="shared" si="95"/>
        <v>0.16600000000000001</v>
      </c>
      <c r="AV319" s="31">
        <f t="shared" si="96"/>
        <v>0</v>
      </c>
      <c r="AW319" s="31">
        <f t="shared" si="97"/>
        <v>0</v>
      </c>
      <c r="AX319" s="31">
        <f t="shared" si="98"/>
        <v>7.7</v>
      </c>
      <c r="AZ319" s="31">
        <f t="shared" si="99"/>
        <v>7.7</v>
      </c>
      <c r="BC319" s="31">
        <f t="shared" si="100"/>
        <v>1.71</v>
      </c>
      <c r="BD319" s="31">
        <f t="shared" si="101"/>
        <v>0</v>
      </c>
      <c r="BE319" s="31">
        <f t="shared" si="102"/>
        <v>7.7</v>
      </c>
      <c r="BF319" s="31">
        <f t="shared" si="103"/>
        <v>0</v>
      </c>
      <c r="BG319" s="31">
        <f t="shared" si="104"/>
        <v>0.16600000000000001</v>
      </c>
      <c r="BH319" s="31">
        <f>VLOOKUP(B319,Miljö!$B$1:$BX$482,MATCH("Fossilandel för ursprungspecificerad el ()",Miljö!$B$1:$I$1,0),FALSE)</f>
        <v>0</v>
      </c>
      <c r="BI319" s="31">
        <f>VLOOKUP(B319,Miljö!$B$1:$BX$482,MATCH("Kärnkraftsandel för ursprungsspecificerad el ()",Miljö!$B$1:$O$1,0),FALSE)</f>
        <v>0</v>
      </c>
      <c r="BJ319" s="31">
        <f t="shared" si="105"/>
        <v>0</v>
      </c>
      <c r="BK319" s="31" t="str">
        <f>VLOOKUP(B319,Miljö!$B$1:$P$482,MATCH("Fossil andel i procent (%)",Miljö!$B$1:$P$1,0),FALSE)</f>
        <v>ET</v>
      </c>
      <c r="BL319" s="31">
        <f t="shared" si="106"/>
        <v>9.5760000000000005</v>
      </c>
      <c r="BO319" s="32">
        <f t="shared" si="107"/>
        <v>0.17857142857142855</v>
      </c>
      <c r="BP319" s="32">
        <f t="shared" si="108"/>
        <v>0</v>
      </c>
      <c r="BQ319" s="32">
        <f t="shared" si="109"/>
        <v>0.8214285714285714</v>
      </c>
      <c r="BR319" s="32">
        <f t="shared" si="110"/>
        <v>0</v>
      </c>
      <c r="BT319" s="62">
        <f t="shared" si="111"/>
        <v>1</v>
      </c>
      <c r="BW319" s="32">
        <f>IF(AP319="Ja",VLOOKUP(B319,Miljövärden!$B$2:$H$551,MATCH("Total andel fossilt",Miljövärden!$B$2:$H$2,0),FALSE),"")</f>
        <v>0.17857100000000001</v>
      </c>
      <c r="BX319" s="62">
        <f t="shared" si="112"/>
        <v>-4.2857142854013652E-7</v>
      </c>
      <c r="BZ319" s="31">
        <f t="shared" si="113"/>
        <v>-4.2857142854013652E-7</v>
      </c>
      <c r="CA319" s="32">
        <f t="shared" si="114"/>
        <v>0</v>
      </c>
    </row>
    <row r="320" spans="1:79" x14ac:dyDescent="0.45">
      <c r="A320" s="31" t="s">
        <v>258</v>
      </c>
      <c r="B320" s="31" t="s">
        <v>260</v>
      </c>
      <c r="C320" s="31">
        <f>VLOOKUP($B320,'Tillförd energi'!$B$1:$AI$720,MATCH(C$1,'Tillförd energi'!$B$1:$AQ$1,0),FALSE)</f>
        <v>0</v>
      </c>
      <c r="D320" s="31">
        <f>VLOOKUP($B320,'Tillförd energi'!$B$1:$AI$720,MATCH(D$1,'Tillförd energi'!$B$1:$AQ$1,0),FALSE)</f>
        <v>2.4E-2</v>
      </c>
      <c r="E320" s="31">
        <f>VLOOKUP($B320,'Tillförd energi'!$B$1:$AI$720,MATCH(E$1,'Tillförd energi'!$B$1:$AQ$1,0),FALSE)</f>
        <v>0</v>
      </c>
      <c r="F320" s="31">
        <f>VLOOKUP($B320,'Tillförd energi'!$B$1:$AI$720,MATCH(F$1,'Tillförd energi'!$B$1:$AQ$1,0),FALSE)</f>
        <v>0</v>
      </c>
      <c r="G320" s="31">
        <f>VLOOKUP($B320,'Tillförd energi'!$B$1:$AI$720,MATCH(G$1,'Tillförd energi'!$B$1:$AQ$1,0),FALSE)</f>
        <v>0</v>
      </c>
      <c r="H320" s="31">
        <f>VLOOKUP($B320,'Tillförd energi'!$B$1:$AI$720,MATCH(H$1,'Tillförd energi'!$B$1:$AQ$1,0),FALSE)</f>
        <v>0</v>
      </c>
      <c r="I320" s="31">
        <f>VLOOKUP($B320,'Tillförd energi'!$B$1:$AI$720,MATCH(I$1,'Tillförd energi'!$B$1:$AQ$1,0),FALSE)</f>
        <v>0</v>
      </c>
      <c r="J320" s="31">
        <f>VLOOKUP($B320,'Tillförd energi'!$B$1:$AI$720,MATCH(J$1,'Tillförd energi'!$B$1:$AQ$1,0),FALSE)</f>
        <v>0</v>
      </c>
      <c r="K320" s="31">
        <f>VLOOKUP($B320,'Tillförd energi'!$B$1:$AI$720,MATCH(K$1,'Tillförd energi'!$B$1:$AQ$1,0),FALSE)</f>
        <v>0</v>
      </c>
      <c r="L320" s="31">
        <f>VLOOKUP($B320,'Tillförd energi'!$B$1:$AI$720,MATCH(L$1,'Tillförd energi'!$B$1:$AQ$1,0),FALSE)</f>
        <v>0</v>
      </c>
      <c r="M320" s="31">
        <f>VLOOKUP($B320,'Tillförd energi'!$B$1:$AI$720,MATCH(M$1,'Tillförd energi'!$B$1:$AQ$1,0),FALSE)</f>
        <v>0</v>
      </c>
      <c r="N320" s="31">
        <f>VLOOKUP($B320,'Tillförd energi'!$B$1:$AI$720,MATCH(N$1,'Tillförd energi'!$B$1:$AQ$1,0),FALSE)</f>
        <v>0</v>
      </c>
      <c r="O320" s="31">
        <f>VLOOKUP($B320,'Tillförd energi'!$B$1:$AI$720,MATCH(O$1,'Tillförd energi'!$B$1:$AQ$1,0),FALSE)</f>
        <v>0</v>
      </c>
      <c r="P320" s="31">
        <f>VLOOKUP($B320,'Tillförd energi'!$B$1:$AI$720,MATCH(P$1,'Tillförd energi'!$B$1:$AQ$1,0),FALSE)</f>
        <v>0</v>
      </c>
      <c r="Q320" s="31">
        <f>VLOOKUP($B320,'Tillförd energi'!$B$1:$AI$720,MATCH(Q$1,'Tillförd energi'!$B$1:$AQ$1,0),FALSE)</f>
        <v>0</v>
      </c>
      <c r="R320" s="31">
        <f>VLOOKUP($B320,'Tillförd energi'!$B$1:$AI$720,MATCH(R$1,'Tillförd energi'!$B$1:$AQ$1,0),FALSE)</f>
        <v>10.5</v>
      </c>
      <c r="S320" s="31">
        <f>VLOOKUP($B320,'Tillförd energi'!$B$1:$AI$720,MATCH(S$1,'Tillförd energi'!$B$1:$AQ$1,0),FALSE)</f>
        <v>0</v>
      </c>
      <c r="T320" s="31">
        <f>VLOOKUP($B320,'Tillförd energi'!$B$1:$AI$720,MATCH(T$1,'Tillförd energi'!$B$1:$AQ$1,0),FALSE)</f>
        <v>0</v>
      </c>
      <c r="U320" s="31">
        <f>VLOOKUP($B320,'Tillförd energi'!$B$1:$AI$720,MATCH(U$1,'Tillförd energi'!$B$1:$AQ$1,0),FALSE)</f>
        <v>0</v>
      </c>
      <c r="V320" s="31">
        <f>VLOOKUP($B320,'Tillförd energi'!$B$1:$AI$720,MATCH(V$1,'Tillförd energi'!$B$1:$AQ$1,0),FALSE)</f>
        <v>0</v>
      </c>
      <c r="W320" s="31">
        <f>VLOOKUP($B320,'Tillförd energi'!$B$1:$AI$720,MATCH(W$1,'Tillförd energi'!$B$1:$AQ$1,0),FALSE)</f>
        <v>0</v>
      </c>
      <c r="X320" s="31">
        <f>VLOOKUP($B320,'Tillförd energi'!$B$1:$AI$720,MATCH(X$1,'Tillförd energi'!$B$1:$AQ$1,0),FALSE)</f>
        <v>0</v>
      </c>
      <c r="Y320" s="31">
        <f>VLOOKUP($B320,'Tillförd energi'!$B$1:$AI$720,MATCH(Y$1,'Tillförd energi'!$B$1:$AQ$1,0),FALSE)</f>
        <v>0</v>
      </c>
      <c r="Z320" s="31">
        <f>VLOOKUP($B320,'Tillförd energi'!$B$1:$AI$720,MATCH(Z$1,'Tillförd energi'!$B$1:$AQ$1,0),FALSE)</f>
        <v>0</v>
      </c>
      <c r="AA320" s="31">
        <f>VLOOKUP($B320,'Tillförd energi'!$B$1:$AI$720,MATCH(AA$1,'Tillförd energi'!$B$1:$AQ$1,0),FALSE)</f>
        <v>0</v>
      </c>
      <c r="AB320" s="31">
        <f>VLOOKUP($B320,'Tillförd energi'!$B$1:$AI$720,MATCH(AB$1,'Tillförd energi'!$B$1:$AQ$1,0),FALSE)</f>
        <v>0</v>
      </c>
      <c r="AC320" s="31">
        <f>VLOOKUP($B320,'Tillförd energi'!$B$1:$AI$720,MATCH(AC$1,'Tillförd energi'!$B$1:$AQ$1,0),FALSE)</f>
        <v>0</v>
      </c>
      <c r="AD320" s="31">
        <f>VLOOKUP($B320,'Tillförd energi'!$B$1:$AI$720,MATCH(AD$1,'Tillförd energi'!$B$1:$AQ$1,0),FALSE)</f>
        <v>0</v>
      </c>
      <c r="AE320" s="31">
        <f>VLOOKUP($B320,'Tillförd energi'!$B$1:$AI$720,MATCH(AE$1,'Tillförd energi'!$B$1:$AQ$1,0),FALSE)</f>
        <v>0</v>
      </c>
      <c r="AF320" s="31">
        <f>VLOOKUP($B320,'Tillförd energi'!$B$1:$AI$720,MATCH(AF$1,'Tillförd energi'!$B$1:$AQ$1,0),FALSE)</f>
        <v>0.17</v>
      </c>
      <c r="AG320" s="31">
        <f>IFERROR(VLOOKUP(B320,Miljö!$B$1:$AC$550,MATCH("Köpt mängd produktionsspecifik fjärrvärme:",Miljö!$B$1:$AC$1,0),FALSE)/1,0)</f>
        <v>0</v>
      </c>
      <c r="AI320" s="31">
        <f t="shared" si="92"/>
        <v>10.693999999999999</v>
      </c>
      <c r="AJ320" s="31">
        <f t="shared" si="93"/>
        <v>10.693999999999999</v>
      </c>
      <c r="AK320" s="31">
        <f>IF(ISERROR(1/VLOOKUP($B320,Leveranser!$B$1:$S$499,MATCH("Såld värme (GWh)",Leveranser!$B$1:$S$1,0),FALSE)),"",VLOOKUP($B320,Leveranser!$B$1:$S$499,MATCH("Såld värme (GWh)",Leveranser!$B$1:$S$1,0),FALSE))</f>
        <v>7.38</v>
      </c>
      <c r="AL320" s="31">
        <f>VLOOKUP($B320,Leveranser!$B$1:$Y$499,MATCH("Totalt såld fjärrvärme till andra fjärrvärmeföretag",Leveranser!$B$1:$AA$1,0),FALSE)</f>
        <v>0</v>
      </c>
      <c r="AM320" s="31">
        <f>IF(ISERROR(1/VLOOKUP($B320,Miljö!$B$1:$S$500,MATCH("Såld mängd produktionsspecifik fjärrvärme (GWh)",Miljö!$B$1:$R$1,0),FALSE)),0,VLOOKUP($B320,Miljö!$B$1:$S$500,MATCH("Såld mängd produktionsspecifik fjärrvärme (GWh)",Miljö!$B$1:$R$1,0),FALSE))</f>
        <v>0</v>
      </c>
      <c r="AN320" s="32">
        <f t="shared" si="94"/>
        <v>0.69010660183280348</v>
      </c>
      <c r="AP320" s="31" t="str">
        <f>IFERROR(VLOOKUP($B320,Miljövärden!$B$2:$H$550,7,FALSE),"Nej, saknas")</f>
        <v>Ja</v>
      </c>
      <c r="AQ320" s="31" t="str">
        <f>IFERROR(VLOOKUP($B320,Miljövärden!$B$2:$H$551,6,FALSE),"Nej, saknas")</f>
        <v>Nej</v>
      </c>
      <c r="AU320" s="31">
        <f t="shared" si="95"/>
        <v>0.17</v>
      </c>
      <c r="AV320" s="31">
        <f t="shared" si="96"/>
        <v>0</v>
      </c>
      <c r="AW320" s="31">
        <f t="shared" si="97"/>
        <v>0</v>
      </c>
      <c r="AX320" s="31">
        <f t="shared" si="98"/>
        <v>10.5</v>
      </c>
      <c r="AZ320" s="31">
        <f t="shared" si="99"/>
        <v>10.5</v>
      </c>
      <c r="BC320" s="31">
        <f t="shared" si="100"/>
        <v>2.4E-2</v>
      </c>
      <c r="BD320" s="31">
        <f t="shared" si="101"/>
        <v>0</v>
      </c>
      <c r="BE320" s="31">
        <f t="shared" si="102"/>
        <v>10.5</v>
      </c>
      <c r="BF320" s="31">
        <f t="shared" si="103"/>
        <v>0</v>
      </c>
      <c r="BG320" s="31">
        <f t="shared" si="104"/>
        <v>0.17</v>
      </c>
      <c r="BH320" s="31">
        <f>VLOOKUP(B320,Miljö!$B$1:$BX$482,MATCH("Fossilandel för ursprungspecificerad el ()",Miljö!$B$1:$I$1,0),FALSE)</f>
        <v>0</v>
      </c>
      <c r="BI320" s="31">
        <f>VLOOKUP(B320,Miljö!$B$1:$BX$482,MATCH("Kärnkraftsandel för ursprungsspecificerad el ()",Miljö!$B$1:$O$1,0),FALSE)</f>
        <v>0</v>
      </c>
      <c r="BJ320" s="31">
        <f t="shared" si="105"/>
        <v>0</v>
      </c>
      <c r="BK320" s="31" t="str">
        <f>VLOOKUP(B320,Miljö!$B$1:$P$482,MATCH("Fossil andel i procent (%)",Miljö!$B$1:$P$1,0),FALSE)</f>
        <v>ET</v>
      </c>
      <c r="BL320" s="31">
        <f t="shared" si="106"/>
        <v>10.693999999999999</v>
      </c>
      <c r="BO320" s="32">
        <f t="shared" si="107"/>
        <v>2.2442491116513937E-3</v>
      </c>
      <c r="BP320" s="32">
        <f t="shared" si="108"/>
        <v>0</v>
      </c>
      <c r="BQ320" s="32">
        <f t="shared" si="109"/>
        <v>0.99775575088834867</v>
      </c>
      <c r="BR320" s="32">
        <f t="shared" si="110"/>
        <v>0</v>
      </c>
      <c r="BT320" s="62">
        <f t="shared" si="111"/>
        <v>1</v>
      </c>
      <c r="BW320" s="32">
        <f>IF(AP320="Ja",VLOOKUP(B320,Miljövärden!$B$2:$H$551,MATCH("Total andel fossilt",Miljövärden!$B$2:$H$2,0),FALSE),"")</f>
        <v>2.2442500000000002E-3</v>
      </c>
      <c r="BX320" s="62">
        <f t="shared" si="112"/>
        <v>8.8834860648145941E-10</v>
      </c>
      <c r="BZ320" s="31">
        <f t="shared" si="113"/>
        <v>8.8834860648145941E-10</v>
      </c>
      <c r="CA320" s="32">
        <f t="shared" si="114"/>
        <v>0</v>
      </c>
    </row>
    <row r="321" spans="1:79" x14ac:dyDescent="0.45">
      <c r="A321" s="31" t="s">
        <v>258</v>
      </c>
      <c r="B321" s="31" t="s">
        <v>259</v>
      </c>
      <c r="C321" s="31">
        <f>VLOOKUP($B321,'Tillförd energi'!$B$1:$AI$720,MATCH(C$1,'Tillförd energi'!$B$1:$AQ$1,0),FALSE)</f>
        <v>0</v>
      </c>
      <c r="D321" s="31">
        <f>VLOOKUP($B321,'Tillförd energi'!$B$1:$AI$720,MATCH(D$1,'Tillförd energi'!$B$1:$AQ$1,0),FALSE)</f>
        <v>0.25</v>
      </c>
      <c r="E321" s="31">
        <f>VLOOKUP($B321,'Tillförd energi'!$B$1:$AI$720,MATCH(E$1,'Tillförd energi'!$B$1:$AQ$1,0),FALSE)</f>
        <v>0</v>
      </c>
      <c r="F321" s="31">
        <f>VLOOKUP($B321,'Tillförd energi'!$B$1:$AI$720,MATCH(F$1,'Tillförd energi'!$B$1:$AQ$1,0),FALSE)</f>
        <v>0</v>
      </c>
      <c r="G321" s="31">
        <f>VLOOKUP($B321,'Tillförd energi'!$B$1:$AI$720,MATCH(G$1,'Tillförd energi'!$B$1:$AQ$1,0),FALSE)</f>
        <v>0</v>
      </c>
      <c r="H321" s="31">
        <f>VLOOKUP($B321,'Tillförd energi'!$B$1:$AI$720,MATCH(H$1,'Tillförd energi'!$B$1:$AQ$1,0),FALSE)</f>
        <v>0</v>
      </c>
      <c r="I321" s="31">
        <f>VLOOKUP($B321,'Tillförd energi'!$B$1:$AI$720,MATCH(I$1,'Tillförd energi'!$B$1:$AQ$1,0),FALSE)</f>
        <v>0</v>
      </c>
      <c r="J321" s="31">
        <f>VLOOKUP($B321,'Tillförd energi'!$B$1:$AI$720,MATCH(J$1,'Tillförd energi'!$B$1:$AQ$1,0),FALSE)</f>
        <v>0</v>
      </c>
      <c r="K321" s="31">
        <f>VLOOKUP($B321,'Tillförd energi'!$B$1:$AI$720,MATCH(K$1,'Tillförd energi'!$B$1:$AQ$1,0),FALSE)</f>
        <v>0</v>
      </c>
      <c r="L321" s="31">
        <f>VLOOKUP($B321,'Tillförd energi'!$B$1:$AI$720,MATCH(L$1,'Tillförd energi'!$B$1:$AQ$1,0),FALSE)</f>
        <v>0</v>
      </c>
      <c r="M321" s="31">
        <f>VLOOKUP($B321,'Tillförd energi'!$B$1:$AI$720,MATCH(M$1,'Tillförd energi'!$B$1:$AQ$1,0),FALSE)</f>
        <v>0</v>
      </c>
      <c r="N321" s="31">
        <f>VLOOKUP($B321,'Tillförd energi'!$B$1:$AI$720,MATCH(N$1,'Tillförd energi'!$B$1:$AQ$1,0),FALSE)</f>
        <v>0</v>
      </c>
      <c r="O321" s="31">
        <f>VLOOKUP($B321,'Tillförd energi'!$B$1:$AI$720,MATCH(O$1,'Tillförd energi'!$B$1:$AQ$1,0),FALSE)</f>
        <v>0</v>
      </c>
      <c r="P321" s="31">
        <f>VLOOKUP($B321,'Tillförd energi'!$B$1:$AI$720,MATCH(P$1,'Tillförd energi'!$B$1:$AQ$1,0),FALSE)</f>
        <v>0</v>
      </c>
      <c r="Q321" s="31">
        <f>VLOOKUP($B321,'Tillförd energi'!$B$1:$AI$720,MATCH(Q$1,'Tillförd energi'!$B$1:$AQ$1,0),FALSE)</f>
        <v>11.2941</v>
      </c>
      <c r="R321" s="31">
        <f>VLOOKUP($B321,'Tillförd energi'!$B$1:$AI$720,MATCH(R$1,'Tillförd energi'!$B$1:$AQ$1,0),FALSE)</f>
        <v>0</v>
      </c>
      <c r="S321" s="31">
        <f>VLOOKUP($B321,'Tillförd energi'!$B$1:$AI$720,MATCH(S$1,'Tillförd energi'!$B$1:$AQ$1,0),FALSE)</f>
        <v>0</v>
      </c>
      <c r="T321" s="31">
        <f>VLOOKUP($B321,'Tillförd energi'!$B$1:$AI$720,MATCH(T$1,'Tillförd energi'!$B$1:$AQ$1,0),FALSE)</f>
        <v>0</v>
      </c>
      <c r="U321" s="31">
        <f>VLOOKUP($B321,'Tillförd energi'!$B$1:$AI$720,MATCH(U$1,'Tillförd energi'!$B$1:$AQ$1,0),FALSE)</f>
        <v>0</v>
      </c>
      <c r="V321" s="31">
        <f>VLOOKUP($B321,'Tillförd energi'!$B$1:$AI$720,MATCH(V$1,'Tillförd energi'!$B$1:$AQ$1,0),FALSE)</f>
        <v>0</v>
      </c>
      <c r="W321" s="31">
        <f>VLOOKUP($B321,'Tillförd energi'!$B$1:$AI$720,MATCH(W$1,'Tillförd energi'!$B$1:$AQ$1,0),FALSE)</f>
        <v>0</v>
      </c>
      <c r="X321" s="31">
        <f>VLOOKUP($B321,'Tillförd energi'!$B$1:$AI$720,MATCH(X$1,'Tillförd energi'!$B$1:$AQ$1,0),FALSE)</f>
        <v>0</v>
      </c>
      <c r="Y321" s="31">
        <f>VLOOKUP($B321,'Tillförd energi'!$B$1:$AI$720,MATCH(Y$1,'Tillförd energi'!$B$1:$AQ$1,0),FALSE)</f>
        <v>0</v>
      </c>
      <c r="Z321" s="31">
        <f>VLOOKUP($B321,'Tillförd energi'!$B$1:$AI$720,MATCH(Z$1,'Tillförd energi'!$B$1:$AQ$1,0),FALSE)</f>
        <v>0</v>
      </c>
      <c r="AA321" s="31">
        <f>VLOOKUP($B321,'Tillförd energi'!$B$1:$AI$720,MATCH(AA$1,'Tillförd energi'!$B$1:$AQ$1,0),FALSE)</f>
        <v>0</v>
      </c>
      <c r="AB321" s="31">
        <f>VLOOKUP($B321,'Tillförd energi'!$B$1:$AI$720,MATCH(AB$1,'Tillförd energi'!$B$1:$AQ$1,0),FALSE)</f>
        <v>0</v>
      </c>
      <c r="AC321" s="31">
        <f>VLOOKUP($B321,'Tillförd energi'!$B$1:$AI$720,MATCH(AC$1,'Tillförd energi'!$B$1:$AQ$1,0),FALSE)</f>
        <v>0</v>
      </c>
      <c r="AD321" s="31">
        <f>VLOOKUP($B321,'Tillförd energi'!$B$1:$AI$720,MATCH(AD$1,'Tillförd energi'!$B$1:$AQ$1,0),FALSE)</f>
        <v>0</v>
      </c>
      <c r="AE321" s="31">
        <f>VLOOKUP($B321,'Tillförd energi'!$B$1:$AI$720,MATCH(AE$1,'Tillförd energi'!$B$1:$AQ$1,0),FALSE)</f>
        <v>0</v>
      </c>
      <c r="AF321" s="31">
        <f>VLOOKUP($B321,'Tillförd energi'!$B$1:$AI$720,MATCH(AF$1,'Tillförd energi'!$B$1:$AQ$1,0),FALSE)</f>
        <v>3.1E-2</v>
      </c>
      <c r="AG321" s="31">
        <f>IFERROR(VLOOKUP(B321,Miljö!$B$1:$AC$550,MATCH("Köpt mängd produktionsspecifik fjärrvärme:",Miljö!$B$1:$AC$1,0),FALSE)/1,0)</f>
        <v>0</v>
      </c>
      <c r="AI321" s="31">
        <f t="shared" si="92"/>
        <v>11.575100000000001</v>
      </c>
      <c r="AJ321" s="31">
        <f t="shared" si="93"/>
        <v>11.575100000000001</v>
      </c>
      <c r="AK321" s="31">
        <f>IF(ISERROR(1/VLOOKUP($B321,Leveranser!$B$1:$S$499,MATCH("Såld värme (GWh)",Leveranser!$B$1:$S$1,0),FALSE)),"",VLOOKUP($B321,Leveranser!$B$1:$S$499,MATCH("Såld värme (GWh)",Leveranser!$B$1:$S$1,0),FALSE))</f>
        <v>7.92</v>
      </c>
      <c r="AL321" s="31">
        <f>VLOOKUP($B321,Leveranser!$B$1:$Y$499,MATCH("Totalt såld fjärrvärme till andra fjärrvärmeföretag",Leveranser!$B$1:$AA$1,0),FALSE)</f>
        <v>0</v>
      </c>
      <c r="AM321" s="31">
        <f>IF(ISERROR(1/VLOOKUP($B321,Miljö!$B$1:$S$500,MATCH("Såld mängd produktionsspecifik fjärrvärme (GWh)",Miljö!$B$1:$R$1,0),FALSE)),0,VLOOKUP($B321,Miljö!$B$1:$S$500,MATCH("Såld mängd produktionsspecifik fjärrvärme (GWh)",Miljö!$B$1:$R$1,0),FALSE))</f>
        <v>0</v>
      </c>
      <c r="AN321" s="32">
        <f t="shared" si="94"/>
        <v>0.6842273500876882</v>
      </c>
      <c r="AP321" s="31" t="str">
        <f>IFERROR(VLOOKUP($B321,Miljövärden!$B$2:$H$550,7,FALSE),"Nej, saknas")</f>
        <v>Ja</v>
      </c>
      <c r="AQ321" s="31" t="str">
        <f>IFERROR(VLOOKUP($B321,Miljövärden!$B$2:$H$551,6,FALSE),"Nej, saknas")</f>
        <v>Ja</v>
      </c>
      <c r="AU321" s="31">
        <f t="shared" si="95"/>
        <v>3.1E-2</v>
      </c>
      <c r="AV321" s="31">
        <f t="shared" si="96"/>
        <v>0</v>
      </c>
      <c r="AW321" s="31">
        <f t="shared" si="97"/>
        <v>11.2941</v>
      </c>
      <c r="AX321" s="31">
        <f t="shared" si="98"/>
        <v>0</v>
      </c>
      <c r="AZ321" s="31">
        <f t="shared" si="99"/>
        <v>11.2941</v>
      </c>
      <c r="BC321" s="31">
        <f t="shared" si="100"/>
        <v>0.25</v>
      </c>
      <c r="BD321" s="31">
        <f t="shared" si="101"/>
        <v>0</v>
      </c>
      <c r="BE321" s="31">
        <f t="shared" si="102"/>
        <v>11.2941</v>
      </c>
      <c r="BF321" s="31">
        <f t="shared" si="103"/>
        <v>0</v>
      </c>
      <c r="BG321" s="31">
        <f t="shared" si="104"/>
        <v>3.1E-2</v>
      </c>
      <c r="BH321" s="31">
        <f>VLOOKUP(B321,Miljö!$B$1:$BX$482,MATCH("Fossilandel för ursprungspecificerad el ()",Miljö!$B$1:$I$1,0),FALSE)</f>
        <v>0</v>
      </c>
      <c r="BI321" s="31">
        <f>VLOOKUP(B321,Miljö!$B$1:$BX$482,MATCH("Kärnkraftsandel för ursprungsspecificerad el ()",Miljö!$B$1:$O$1,0),FALSE)</f>
        <v>0</v>
      </c>
      <c r="BJ321" s="31">
        <f t="shared" si="105"/>
        <v>0</v>
      </c>
      <c r="BK321" s="31" t="str">
        <f>VLOOKUP(B321,Miljö!$B$1:$P$482,MATCH("Fossil andel i procent (%)",Miljö!$B$1:$P$1,0),FALSE)</f>
        <v>ET</v>
      </c>
      <c r="BL321" s="31">
        <f t="shared" si="106"/>
        <v>11.575100000000001</v>
      </c>
      <c r="BO321" s="32">
        <f t="shared" si="107"/>
        <v>2.1598085545697226E-2</v>
      </c>
      <c r="BP321" s="32">
        <f t="shared" si="108"/>
        <v>0</v>
      </c>
      <c r="BQ321" s="32">
        <f t="shared" si="109"/>
        <v>0.9784019144543028</v>
      </c>
      <c r="BR321" s="32">
        <f t="shared" si="110"/>
        <v>0</v>
      </c>
      <c r="BT321" s="62">
        <f t="shared" si="111"/>
        <v>1</v>
      </c>
      <c r="BW321" s="32">
        <f>IF(AP321="Ja",VLOOKUP(B321,Miljövärden!$B$2:$H$551,MATCH("Total andel fossilt",Miljövärden!$B$2:$H$2,0),FALSE),"")</f>
        <v>2.1598099999999999E-2</v>
      </c>
      <c r="BX321" s="62">
        <f t="shared" si="112"/>
        <v>1.4454302772054506E-8</v>
      </c>
      <c r="BZ321" s="31">
        <f t="shared" si="113"/>
        <v>1.4454302772054506E-8</v>
      </c>
      <c r="CA321" s="32">
        <f t="shared" si="114"/>
        <v>0</v>
      </c>
    </row>
    <row r="322" spans="1:79" x14ac:dyDescent="0.45">
      <c r="A322" s="31" t="s">
        <v>258</v>
      </c>
      <c r="B322" s="31" t="s">
        <v>257</v>
      </c>
      <c r="C322" s="31">
        <f>VLOOKUP($B322,'Tillförd energi'!$B$1:$AI$720,MATCH(C$1,'Tillförd energi'!$B$1:$AQ$1,0),FALSE)</f>
        <v>0</v>
      </c>
      <c r="D322" s="31">
        <f>VLOOKUP($B322,'Tillförd energi'!$B$1:$AI$720,MATCH(D$1,'Tillförd energi'!$B$1:$AQ$1,0),FALSE)</f>
        <v>16.5</v>
      </c>
      <c r="E322" s="31">
        <f>VLOOKUP($B322,'Tillförd energi'!$B$1:$AI$720,MATCH(E$1,'Tillförd energi'!$B$1:$AQ$1,0),FALSE)</f>
        <v>0</v>
      </c>
      <c r="F322" s="31">
        <f>VLOOKUP($B322,'Tillförd energi'!$B$1:$AI$720,MATCH(F$1,'Tillförd energi'!$B$1:$AQ$1,0),FALSE)</f>
        <v>0</v>
      </c>
      <c r="G322" s="31">
        <f>VLOOKUP($B322,'Tillförd energi'!$B$1:$AI$720,MATCH(G$1,'Tillförd energi'!$B$1:$AQ$1,0),FALSE)</f>
        <v>0</v>
      </c>
      <c r="H322" s="31">
        <f>VLOOKUP($B322,'Tillförd energi'!$B$1:$AI$720,MATCH(H$1,'Tillförd energi'!$B$1:$AQ$1,0),FALSE)</f>
        <v>0</v>
      </c>
      <c r="I322" s="31">
        <f>VLOOKUP($B322,'Tillförd energi'!$B$1:$AI$720,MATCH(I$1,'Tillförd energi'!$B$1:$AQ$1,0),FALSE)</f>
        <v>259.7</v>
      </c>
      <c r="J322" s="31">
        <f>VLOOKUP($B322,'Tillförd energi'!$B$1:$AI$720,MATCH(J$1,'Tillförd energi'!$B$1:$AQ$1,0),FALSE)</f>
        <v>0</v>
      </c>
      <c r="K322" s="31">
        <f>VLOOKUP($B322,'Tillförd energi'!$B$1:$AI$720,MATCH(K$1,'Tillförd energi'!$B$1:$AQ$1,0),FALSE)</f>
        <v>0</v>
      </c>
      <c r="L322" s="31">
        <f>VLOOKUP($B322,'Tillförd energi'!$B$1:$AI$720,MATCH(L$1,'Tillförd energi'!$B$1:$AQ$1,0),FALSE)</f>
        <v>65.5</v>
      </c>
      <c r="M322" s="31">
        <f>VLOOKUP($B322,'Tillförd energi'!$B$1:$AI$720,MATCH(M$1,'Tillförd energi'!$B$1:$AQ$1,0),FALSE)</f>
        <v>130.19999999999999</v>
      </c>
      <c r="N322" s="31">
        <f>VLOOKUP($B322,'Tillförd energi'!$B$1:$AI$720,MATCH(N$1,'Tillförd energi'!$B$1:$AQ$1,0),FALSE)</f>
        <v>9.3000000000000007</v>
      </c>
      <c r="O322" s="31">
        <f>VLOOKUP($B322,'Tillförd energi'!$B$1:$AI$720,MATCH(O$1,'Tillförd energi'!$B$1:$AQ$1,0),FALSE)</f>
        <v>53.9</v>
      </c>
      <c r="P322" s="31">
        <f>VLOOKUP($B322,'Tillförd energi'!$B$1:$AI$720,MATCH(P$1,'Tillförd energi'!$B$1:$AQ$1,0),FALSE)</f>
        <v>80.8</v>
      </c>
      <c r="Q322" s="31">
        <f>VLOOKUP($B322,'Tillförd energi'!$B$1:$AI$720,MATCH(Q$1,'Tillförd energi'!$B$1:$AQ$1,0),FALSE)</f>
        <v>32.799999999999997</v>
      </c>
      <c r="R322" s="31">
        <f>VLOOKUP($B322,'Tillförd energi'!$B$1:$AI$720,MATCH(R$1,'Tillförd energi'!$B$1:$AQ$1,0),FALSE)</f>
        <v>21.9</v>
      </c>
      <c r="S322" s="31">
        <f>VLOOKUP($B322,'Tillförd energi'!$B$1:$AI$720,MATCH(S$1,'Tillförd energi'!$B$1:$AQ$1,0),FALSE)</f>
        <v>0</v>
      </c>
      <c r="T322" s="31">
        <f>VLOOKUP($B322,'Tillförd energi'!$B$1:$AI$720,MATCH(T$1,'Tillförd energi'!$B$1:$AQ$1,0),FALSE)</f>
        <v>0</v>
      </c>
      <c r="U322" s="31">
        <f>VLOOKUP($B322,'Tillförd energi'!$B$1:$AI$720,MATCH(U$1,'Tillförd energi'!$B$1:$AQ$1,0),FALSE)</f>
        <v>0</v>
      </c>
      <c r="V322" s="31">
        <f>VLOOKUP($B322,'Tillförd energi'!$B$1:$AI$720,MATCH(V$1,'Tillförd energi'!$B$1:$AQ$1,0),FALSE)</f>
        <v>0</v>
      </c>
      <c r="W322" s="31">
        <f>VLOOKUP($B322,'Tillförd energi'!$B$1:$AI$720,MATCH(W$1,'Tillförd energi'!$B$1:$AQ$1,0),FALSE)</f>
        <v>14.3</v>
      </c>
      <c r="X322" s="31">
        <f>VLOOKUP($B322,'Tillförd energi'!$B$1:$AI$720,MATCH(X$1,'Tillförd energi'!$B$1:$AQ$1,0),FALSE)</f>
        <v>0</v>
      </c>
      <c r="Y322" s="31">
        <f>VLOOKUP($B322,'Tillförd energi'!$B$1:$AI$720,MATCH(Y$1,'Tillförd energi'!$B$1:$AQ$1,0),FALSE)</f>
        <v>6.5</v>
      </c>
      <c r="Z322" s="31">
        <f>VLOOKUP($B322,'Tillförd energi'!$B$1:$AI$720,MATCH(Z$1,'Tillförd energi'!$B$1:$AQ$1,0),FALSE)</f>
        <v>4.2</v>
      </c>
      <c r="AA322" s="31">
        <f>VLOOKUP($B322,'Tillförd energi'!$B$1:$AI$720,MATCH(AA$1,'Tillförd energi'!$B$1:$AQ$1,0),FALSE)</f>
        <v>14</v>
      </c>
      <c r="AB322" s="31">
        <f>VLOOKUP($B322,'Tillförd energi'!$B$1:$AI$720,MATCH(AB$1,'Tillförd energi'!$B$1:$AQ$1,0),FALSE)</f>
        <v>25.635300000000001</v>
      </c>
      <c r="AC322" s="31">
        <f>VLOOKUP($B322,'Tillförd energi'!$B$1:$AI$720,MATCH(AC$1,'Tillförd energi'!$B$1:$AQ$1,0),FALSE)</f>
        <v>187.1</v>
      </c>
      <c r="AD322" s="31">
        <f>VLOOKUP($B322,'Tillförd energi'!$B$1:$AI$720,MATCH(AD$1,'Tillförd energi'!$B$1:$AQ$1,0),FALSE)</f>
        <v>0</v>
      </c>
      <c r="AE322" s="31">
        <f>VLOOKUP($B322,'Tillförd energi'!$B$1:$AI$720,MATCH(AE$1,'Tillförd energi'!$B$1:$AQ$1,0),FALSE)</f>
        <v>0.47529399999999999</v>
      </c>
      <c r="AF322" s="31">
        <f>VLOOKUP($B322,'Tillförd energi'!$B$1:$AI$720,MATCH(AF$1,'Tillförd energi'!$B$1:$AQ$1,0),FALSE)</f>
        <v>34.648000000000003</v>
      </c>
      <c r="AG322" s="31">
        <f>IFERROR(VLOOKUP(B322,Miljö!$B$1:$AC$550,MATCH("Köpt mängd produktionsspecifik fjärrvärme:",Miljö!$B$1:$AC$1,0),FALSE)/1,0)</f>
        <v>0</v>
      </c>
      <c r="AI322" s="31">
        <f t="shared" si="92"/>
        <v>957.45859399999995</v>
      </c>
      <c r="AJ322" s="31">
        <f t="shared" si="93"/>
        <v>957.45859399999995</v>
      </c>
      <c r="AK322" s="31">
        <f>IF(ISERROR(1/VLOOKUP($B322,Leveranser!$B$1:$S$499,MATCH("Såld värme (GWh)",Leveranser!$B$1:$S$1,0),FALSE)),"",VLOOKUP($B322,Leveranser!$B$1:$S$499,MATCH("Såld värme (GWh)",Leveranser!$B$1:$S$1,0),FALSE))</f>
        <v>873.8</v>
      </c>
      <c r="AL322" s="31">
        <f>VLOOKUP($B322,Leveranser!$B$1:$Y$499,MATCH("Totalt såld fjärrvärme till andra fjärrvärmeföretag",Leveranser!$B$1:$AA$1,0),FALSE)</f>
        <v>0</v>
      </c>
      <c r="AM322" s="31">
        <f>IF(ISERROR(1/VLOOKUP($B322,Miljö!$B$1:$S$500,MATCH("Såld mängd produktionsspecifik fjärrvärme (GWh)",Miljö!$B$1:$R$1,0),FALSE)),0,VLOOKUP($B322,Miljö!$B$1:$S$500,MATCH("Såld mängd produktionsspecifik fjärrvärme (GWh)",Miljö!$B$1:$R$1,0),FALSE))</f>
        <v>0</v>
      </c>
      <c r="AN322" s="32">
        <f t="shared" si="94"/>
        <v>0.91262432179913155</v>
      </c>
      <c r="AP322" s="31" t="str">
        <f>IFERROR(VLOOKUP($B322,Miljövärden!$B$2:$H$550,7,FALSE),"Nej, saknas")</f>
        <v>Ja</v>
      </c>
      <c r="AQ322" s="31" t="str">
        <f>IFERROR(VLOOKUP($B322,Miljövärden!$B$2:$H$551,6,FALSE),"Nej, saknas")</f>
        <v>Ja</v>
      </c>
      <c r="AU322" s="31">
        <f t="shared" si="95"/>
        <v>52.847999999999999</v>
      </c>
      <c r="AV322" s="31">
        <f t="shared" si="96"/>
        <v>0</v>
      </c>
      <c r="AW322" s="31">
        <f t="shared" si="97"/>
        <v>307</v>
      </c>
      <c r="AX322" s="31">
        <f t="shared" si="98"/>
        <v>21.9</v>
      </c>
      <c r="AZ322" s="31">
        <f t="shared" si="99"/>
        <v>408.7</v>
      </c>
      <c r="BC322" s="31">
        <f t="shared" si="100"/>
        <v>16.975294000000002</v>
      </c>
      <c r="BD322" s="31">
        <f t="shared" si="101"/>
        <v>6.5</v>
      </c>
      <c r="BE322" s="31">
        <f t="shared" si="102"/>
        <v>343.2</v>
      </c>
      <c r="BF322" s="31">
        <f t="shared" si="103"/>
        <v>537.93529999999998</v>
      </c>
      <c r="BG322" s="31">
        <f t="shared" si="104"/>
        <v>52.847999999999999</v>
      </c>
      <c r="BH322" s="31">
        <f>VLOOKUP(B322,Miljö!$B$1:$BX$482,MATCH("Fossilandel för ursprungspecificerad el ()",Miljö!$B$1:$I$1,0),FALSE)</f>
        <v>0</v>
      </c>
      <c r="BI322" s="31">
        <f>VLOOKUP(B322,Miljö!$B$1:$BX$482,MATCH("Kärnkraftsandel för ursprungsspecificerad el ()",Miljö!$B$1:$O$1,0),FALSE)</f>
        <v>0</v>
      </c>
      <c r="BJ322" s="31">
        <f t="shared" si="105"/>
        <v>0</v>
      </c>
      <c r="BK322" s="31" t="str">
        <f>VLOOKUP(B322,Miljö!$B$1:$P$482,MATCH("Fossil andel i procent (%)",Miljö!$B$1:$P$1,0),FALSE)</f>
        <v>ET</v>
      </c>
      <c r="BL322" s="31">
        <f t="shared" si="106"/>
        <v>957.45859399999995</v>
      </c>
      <c r="BO322" s="32">
        <f t="shared" si="107"/>
        <v>1.7729533273164188E-2</v>
      </c>
      <c r="BP322" s="32">
        <f t="shared" si="108"/>
        <v>6.7888053235229517E-3</v>
      </c>
      <c r="BQ322" s="32">
        <f t="shared" si="109"/>
        <v>0.41364504165701815</v>
      </c>
      <c r="BR322" s="32">
        <f t="shared" si="110"/>
        <v>0.56183661974629473</v>
      </c>
      <c r="BT322" s="62">
        <f t="shared" si="111"/>
        <v>1</v>
      </c>
      <c r="BW322" s="32">
        <f>IF(AP322="Ja",VLOOKUP(B322,Miljövärden!$B$2:$H$551,MATCH("Total andel fossilt",Miljövärden!$B$2:$H$2,0),FALSE),"")</f>
        <v>1.7233100000000001E-2</v>
      </c>
      <c r="BX322" s="62">
        <f t="shared" si="112"/>
        <v>-4.964332731641867E-4</v>
      </c>
      <c r="BZ322" s="31">
        <f t="shared" si="113"/>
        <v>-4.964332731641867E-4</v>
      </c>
      <c r="CA322" s="32">
        <f t="shared" si="114"/>
        <v>-9.9999999999999742E-4</v>
      </c>
    </row>
    <row r="323" spans="1:79" x14ac:dyDescent="0.45">
      <c r="A323" s="31" t="s">
        <v>255</v>
      </c>
      <c r="B323" s="31" t="s">
        <v>256</v>
      </c>
      <c r="C323" s="31">
        <f>VLOOKUP($B323,'Tillförd energi'!$B$1:$AI$720,MATCH(C$1,'Tillförd energi'!$B$1:$AQ$1,0),FALSE)</f>
        <v>0</v>
      </c>
      <c r="D323" s="31">
        <f>VLOOKUP($B323,'Tillförd energi'!$B$1:$AI$720,MATCH(D$1,'Tillförd energi'!$B$1:$AQ$1,0),FALSE)</f>
        <v>0.45600000000000002</v>
      </c>
      <c r="E323" s="31">
        <f>VLOOKUP($B323,'Tillförd energi'!$B$1:$AI$720,MATCH(E$1,'Tillförd energi'!$B$1:$AQ$1,0),FALSE)</f>
        <v>0</v>
      </c>
      <c r="F323" s="31">
        <f>VLOOKUP($B323,'Tillförd energi'!$B$1:$AI$720,MATCH(F$1,'Tillförd energi'!$B$1:$AQ$1,0),FALSE)</f>
        <v>0</v>
      </c>
      <c r="G323" s="31">
        <f>VLOOKUP($B323,'Tillförd energi'!$B$1:$AI$720,MATCH(G$1,'Tillförd energi'!$B$1:$AQ$1,0),FALSE)</f>
        <v>0</v>
      </c>
      <c r="H323" s="31">
        <f>VLOOKUP($B323,'Tillförd energi'!$B$1:$AI$720,MATCH(H$1,'Tillförd energi'!$B$1:$AQ$1,0),FALSE)</f>
        <v>0</v>
      </c>
      <c r="I323" s="31">
        <f>VLOOKUP($B323,'Tillförd energi'!$B$1:$AI$720,MATCH(I$1,'Tillförd energi'!$B$1:$AQ$1,0),FALSE)</f>
        <v>0</v>
      </c>
      <c r="J323" s="31">
        <f>VLOOKUP($B323,'Tillförd energi'!$B$1:$AI$720,MATCH(J$1,'Tillförd energi'!$B$1:$AQ$1,0),FALSE)</f>
        <v>0</v>
      </c>
      <c r="K323" s="31">
        <f>VLOOKUP($B323,'Tillförd energi'!$B$1:$AI$720,MATCH(K$1,'Tillförd energi'!$B$1:$AQ$1,0),FALSE)</f>
        <v>0</v>
      </c>
      <c r="L323" s="31">
        <f>VLOOKUP($B323,'Tillförd energi'!$B$1:$AI$720,MATCH(L$1,'Tillförd energi'!$B$1:$AQ$1,0),FALSE)</f>
        <v>0</v>
      </c>
      <c r="M323" s="31">
        <f>VLOOKUP($B323,'Tillförd energi'!$B$1:$AI$720,MATCH(M$1,'Tillförd energi'!$B$1:$AQ$1,0),FALSE)</f>
        <v>0</v>
      </c>
      <c r="N323" s="31">
        <f>VLOOKUP($B323,'Tillförd energi'!$B$1:$AI$720,MATCH(N$1,'Tillförd energi'!$B$1:$AQ$1,0),FALSE)</f>
        <v>9.2270000000000003</v>
      </c>
      <c r="O323" s="31">
        <f>VLOOKUP($B323,'Tillförd energi'!$B$1:$AI$720,MATCH(O$1,'Tillförd energi'!$B$1:$AQ$1,0),FALSE)</f>
        <v>0</v>
      </c>
      <c r="P323" s="31">
        <f>VLOOKUP($B323,'Tillförd energi'!$B$1:$AI$720,MATCH(P$1,'Tillförd energi'!$B$1:$AQ$1,0),FALSE)</f>
        <v>3.8170000000000002</v>
      </c>
      <c r="Q323" s="31">
        <f>VLOOKUP($B323,'Tillförd energi'!$B$1:$AI$720,MATCH(Q$1,'Tillförd energi'!$B$1:$AQ$1,0),FALSE)</f>
        <v>8.2810000000000006</v>
      </c>
      <c r="R323" s="31">
        <f>VLOOKUP($B323,'Tillförd energi'!$B$1:$AI$720,MATCH(R$1,'Tillförd energi'!$B$1:$AQ$1,0),FALSE)</f>
        <v>7.657</v>
      </c>
      <c r="S323" s="31">
        <f>VLOOKUP($B323,'Tillförd energi'!$B$1:$AI$720,MATCH(S$1,'Tillförd energi'!$B$1:$AQ$1,0),FALSE)</f>
        <v>0</v>
      </c>
      <c r="T323" s="31">
        <f>VLOOKUP($B323,'Tillförd energi'!$B$1:$AI$720,MATCH(T$1,'Tillförd energi'!$B$1:$AQ$1,0),FALSE)</f>
        <v>0</v>
      </c>
      <c r="U323" s="31">
        <f>VLOOKUP($B323,'Tillförd energi'!$B$1:$AI$720,MATCH(U$1,'Tillförd energi'!$B$1:$AQ$1,0),FALSE)</f>
        <v>0</v>
      </c>
      <c r="V323" s="31">
        <f>VLOOKUP($B323,'Tillförd energi'!$B$1:$AI$720,MATCH(V$1,'Tillförd energi'!$B$1:$AQ$1,0),FALSE)</f>
        <v>0</v>
      </c>
      <c r="W323" s="31">
        <f>VLOOKUP($B323,'Tillförd energi'!$B$1:$AI$720,MATCH(W$1,'Tillförd energi'!$B$1:$AQ$1,0),FALSE)</f>
        <v>0</v>
      </c>
      <c r="X323" s="31">
        <f>VLOOKUP($B323,'Tillförd energi'!$B$1:$AI$720,MATCH(X$1,'Tillförd energi'!$B$1:$AQ$1,0),FALSE)</f>
        <v>0</v>
      </c>
      <c r="Y323" s="31">
        <f>VLOOKUP($B323,'Tillförd energi'!$B$1:$AI$720,MATCH(Y$1,'Tillförd energi'!$B$1:$AQ$1,0),FALSE)</f>
        <v>0</v>
      </c>
      <c r="Z323" s="31">
        <f>VLOOKUP($B323,'Tillförd energi'!$B$1:$AI$720,MATCH(Z$1,'Tillförd energi'!$B$1:$AQ$1,0),FALSE)</f>
        <v>0</v>
      </c>
      <c r="AA323" s="31">
        <f>VLOOKUP($B323,'Tillförd energi'!$B$1:$AI$720,MATCH(AA$1,'Tillförd energi'!$B$1:$AQ$1,0),FALSE)</f>
        <v>0</v>
      </c>
      <c r="AB323" s="31">
        <f>VLOOKUP($B323,'Tillförd energi'!$B$1:$AI$720,MATCH(AB$1,'Tillförd energi'!$B$1:$AQ$1,0),FALSE)</f>
        <v>0</v>
      </c>
      <c r="AC323" s="31">
        <f>VLOOKUP($B323,'Tillförd energi'!$B$1:$AI$720,MATCH(AC$1,'Tillförd energi'!$B$1:$AQ$1,0),FALSE)</f>
        <v>2.2320000000000002</v>
      </c>
      <c r="AD323" s="31">
        <f>VLOOKUP($B323,'Tillförd energi'!$B$1:$AI$720,MATCH(AD$1,'Tillförd energi'!$B$1:$AQ$1,0),FALSE)</f>
        <v>0</v>
      </c>
      <c r="AE323" s="31">
        <f>VLOOKUP($B323,'Tillförd energi'!$B$1:$AI$720,MATCH(AE$1,'Tillförd energi'!$B$1:$AQ$1,0),FALSE)</f>
        <v>0</v>
      </c>
      <c r="AF323" s="31">
        <f>VLOOKUP($B323,'Tillförd energi'!$B$1:$AI$720,MATCH(AF$1,'Tillförd energi'!$B$1:$AQ$1,0),FALSE)</f>
        <v>0.57599999999999996</v>
      </c>
      <c r="AG323" s="31">
        <f>IFERROR(VLOOKUP(B323,Miljö!$B$1:$AC$550,MATCH("Köpt mängd produktionsspecifik fjärrvärme:",Miljö!$B$1:$AC$1,0),FALSE)/1,0)</f>
        <v>0</v>
      </c>
      <c r="AI323" s="31">
        <f t="shared" ref="AI323:AI386" si="115">SUM(C323:AF323)</f>
        <v>32.245999999999995</v>
      </c>
      <c r="AJ323" s="31">
        <f t="shared" ref="AJ323:AJ386" si="116">SUM(C323:AG323)</f>
        <v>32.245999999999995</v>
      </c>
      <c r="AK323" s="31">
        <f>IF(ISERROR(1/VLOOKUP($B323,Leveranser!$B$1:$S$499,MATCH("Såld värme (GWh)",Leveranser!$B$1:$S$1,0),FALSE)),"",VLOOKUP($B323,Leveranser!$B$1:$S$499,MATCH("Såld värme (GWh)",Leveranser!$B$1:$S$1,0),FALSE))</f>
        <v>21.449000000000002</v>
      </c>
      <c r="AL323" s="31">
        <f>VLOOKUP($B323,Leveranser!$B$1:$Y$499,MATCH("Totalt såld fjärrvärme till andra fjärrvärmeföretag",Leveranser!$B$1:$AA$1,0),FALSE)</f>
        <v>0</v>
      </c>
      <c r="AM323" s="31">
        <f>IF(ISERROR(1/VLOOKUP($B323,Miljö!$B$1:$S$500,MATCH("Såld mängd produktionsspecifik fjärrvärme (GWh)",Miljö!$B$1:$R$1,0),FALSE)),0,VLOOKUP($B323,Miljö!$B$1:$S$500,MATCH("Såld mängd produktionsspecifik fjärrvärme (GWh)",Miljö!$B$1:$R$1,0),FALSE))</f>
        <v>0</v>
      </c>
      <c r="AN323" s="32">
        <f t="shared" ref="AN323:AN386" si="117">IFERROR(AK323/AJ323,"")</f>
        <v>0.66516777274700756</v>
      </c>
      <c r="AP323" s="31" t="str">
        <f>IFERROR(VLOOKUP($B323,Miljövärden!$B$2:$H$550,7,FALSE),"Nej, saknas")</f>
        <v>Ja</v>
      </c>
      <c r="AQ323" s="31" t="str">
        <f>IFERROR(VLOOKUP($B323,Miljövärden!$B$2:$H$551,6,FALSE),"Nej, saknas")</f>
        <v>Ja</v>
      </c>
      <c r="AU323" s="31">
        <f t="shared" ref="AU323:AU386" si="118">Z323+AA323+AF323</f>
        <v>0.57599999999999996</v>
      </c>
      <c r="AV323" s="31">
        <f t="shared" ref="AV323:AV386" si="119">X323</f>
        <v>0</v>
      </c>
      <c r="AW323" s="31">
        <f t="shared" ref="AW323:AW386" si="120">M323+N323+O323+P323+Q323</f>
        <v>21.325000000000003</v>
      </c>
      <c r="AX323" s="31">
        <f t="shared" ref="AX323:AX386" si="121">R323+S323+T323+U323</f>
        <v>7.657</v>
      </c>
      <c r="AZ323" s="31">
        <f t="shared" ref="AZ323:AZ386" si="122">L323+M323+N323+O323+P323+Q323+R323+S323+T323+U323+V323+W323+X323</f>
        <v>28.982000000000003</v>
      </c>
      <c r="BC323" s="31">
        <f t="shared" ref="BC323:BC386" si="123">C323+D323+E323+F323+G323+H323+AE323</f>
        <v>0.45600000000000002</v>
      </c>
      <c r="BD323" s="31">
        <f t="shared" ref="BD323:BD386" si="124">Y323</f>
        <v>0</v>
      </c>
      <c r="BE323" s="31">
        <f t="shared" ref="BE323:BE386" si="125">M323+N323+O323+P323+Q323+R323+S323+T323+U323+V323+W323+X323</f>
        <v>28.982000000000003</v>
      </c>
      <c r="BF323" s="31">
        <f t="shared" ref="BF323:BF386" si="126">I323+J323+K323+L323+AB323+AC323+AD323</f>
        <v>2.2320000000000002</v>
      </c>
      <c r="BG323" s="31">
        <f t="shared" ref="BG323:BG386" si="127">Z323+AA323+AF323</f>
        <v>0.57599999999999996</v>
      </c>
      <c r="BH323" s="31">
        <f>VLOOKUP(B323,Miljö!$B$1:$BX$482,MATCH("Fossilandel för ursprungspecificerad el ()",Miljö!$B$1:$I$1,0),FALSE)</f>
        <v>0</v>
      </c>
      <c r="BI323" s="31">
        <f>VLOOKUP(B323,Miljö!$B$1:$BX$482,MATCH("Kärnkraftsandel för ursprungsspecificerad el ()",Miljö!$B$1:$O$1,0),FALSE)</f>
        <v>0</v>
      </c>
      <c r="BJ323" s="31">
        <f t="shared" ref="BJ323:BJ386" si="128">AG323</f>
        <v>0</v>
      </c>
      <c r="BK323" s="31" t="str">
        <f>VLOOKUP(B323,Miljö!$B$1:$P$482,MATCH("Fossil andel i procent (%)",Miljö!$B$1:$P$1,0),FALSE)</f>
        <v>ET</v>
      </c>
      <c r="BL323" s="31">
        <f t="shared" ref="BL323:BL386" si="129">SUM(BC323:BG323,BJ323)</f>
        <v>32.246000000000002</v>
      </c>
      <c r="BO323" s="32">
        <f t="shared" ref="BO323:BO386" si="130">IF(AP323="ja",(BC323+IFERROR(BG323*BH323,0)+IFERROR(BJ323*BK323/100,0))/$BL323,"")</f>
        <v>1.4141288842026917E-2</v>
      </c>
      <c r="BP323" s="32">
        <f t="shared" ref="BP323:BP386" si="131">IF(AP323="ja",(BD323+IFERROR(BG323*BI323,0)+IFERROR(BJ323*(1-BK323/100),0))/$BL323,"")</f>
        <v>0</v>
      </c>
      <c r="BQ323" s="32">
        <f t="shared" ref="BQ323:BQ386" si="132">IF(AP323="ja",(BE323+IFERROR(BG323*(1-BH323-BI323),0))/$BL323,"")</f>
        <v>0.91664082366805189</v>
      </c>
      <c r="BR323" s="32">
        <f t="shared" ref="BR323:BR386" si="133">IF(AP323="Ja",BF323/$BL323,"")</f>
        <v>6.9217887489921234E-2</v>
      </c>
      <c r="BT323" s="62">
        <f t="shared" ref="BT323:BT386" si="134">SUM(BO323:BR323)</f>
        <v>1</v>
      </c>
      <c r="BW323" s="32">
        <f>IF(AP323="Ja",VLOOKUP(B323,Miljövärden!$B$2:$H$551,MATCH("Total andel fossilt",Miljövärden!$B$2:$H$2,0),FALSE),"")</f>
        <v>1.4141300000000001E-2</v>
      </c>
      <c r="BX323" s="62">
        <f t="shared" ref="BX323:BX386" si="135">BW323-BO323</f>
        <v>1.1157973083680828E-8</v>
      </c>
      <c r="BZ323" s="31">
        <f t="shared" ref="BZ323:BZ386" si="136">IFERROR(BW323-BO323,"")</f>
        <v>1.1157973083680828E-8</v>
      </c>
      <c r="CA323" s="32">
        <f t="shared" ref="CA323:CA386" si="137">IFERROR(ROUND(BW323,3)-ROUND(BO323,3),"")</f>
        <v>0</v>
      </c>
    </row>
    <row r="324" spans="1:79" x14ac:dyDescent="0.45">
      <c r="A324" s="31" t="s">
        <v>255</v>
      </c>
      <c r="B324" s="31" t="s">
        <v>254</v>
      </c>
      <c r="C324" s="31">
        <f>VLOOKUP($B324,'Tillförd energi'!$B$1:$AI$720,MATCH(C$1,'Tillförd energi'!$B$1:$AQ$1,0),FALSE)</f>
        <v>0</v>
      </c>
      <c r="D324" s="31">
        <f>VLOOKUP($B324,'Tillförd energi'!$B$1:$AI$720,MATCH(D$1,'Tillförd energi'!$B$1:$AQ$1,0),FALSE)</f>
        <v>0.45700000000000002</v>
      </c>
      <c r="E324" s="31">
        <f>VLOOKUP($B324,'Tillförd energi'!$B$1:$AI$720,MATCH(E$1,'Tillförd energi'!$B$1:$AQ$1,0),FALSE)</f>
        <v>0</v>
      </c>
      <c r="F324" s="31">
        <f>VLOOKUP($B324,'Tillförd energi'!$B$1:$AI$720,MATCH(F$1,'Tillförd energi'!$B$1:$AQ$1,0),FALSE)</f>
        <v>0</v>
      </c>
      <c r="G324" s="31">
        <f>VLOOKUP($B324,'Tillförd energi'!$B$1:$AI$720,MATCH(G$1,'Tillförd energi'!$B$1:$AQ$1,0),FALSE)</f>
        <v>0</v>
      </c>
      <c r="H324" s="31">
        <f>VLOOKUP($B324,'Tillförd energi'!$B$1:$AI$720,MATCH(H$1,'Tillförd energi'!$B$1:$AQ$1,0),FALSE)</f>
        <v>0</v>
      </c>
      <c r="I324" s="31">
        <f>VLOOKUP($B324,'Tillförd energi'!$B$1:$AI$720,MATCH(I$1,'Tillförd energi'!$B$1:$AQ$1,0),FALSE)</f>
        <v>0</v>
      </c>
      <c r="J324" s="31">
        <f>VLOOKUP($B324,'Tillförd energi'!$B$1:$AI$720,MATCH(J$1,'Tillförd energi'!$B$1:$AQ$1,0),FALSE)</f>
        <v>0</v>
      </c>
      <c r="K324" s="31">
        <f>VLOOKUP($B324,'Tillförd energi'!$B$1:$AI$720,MATCH(K$1,'Tillförd energi'!$B$1:$AQ$1,0),FALSE)</f>
        <v>0</v>
      </c>
      <c r="L324" s="31">
        <f>VLOOKUP($B324,'Tillförd energi'!$B$1:$AI$720,MATCH(L$1,'Tillförd energi'!$B$1:$AQ$1,0),FALSE)</f>
        <v>0</v>
      </c>
      <c r="M324" s="31">
        <f>VLOOKUP($B324,'Tillförd energi'!$B$1:$AI$720,MATCH(M$1,'Tillförd energi'!$B$1:$AQ$1,0),FALSE)</f>
        <v>0.17199999999999999</v>
      </c>
      <c r="N324" s="31">
        <f>VLOOKUP($B324,'Tillförd energi'!$B$1:$AI$720,MATCH(N$1,'Tillförd energi'!$B$1:$AQ$1,0),FALSE)</f>
        <v>15.103999999999999</v>
      </c>
      <c r="O324" s="31">
        <f>VLOOKUP($B324,'Tillförd energi'!$B$1:$AI$720,MATCH(O$1,'Tillförd energi'!$B$1:$AQ$1,0),FALSE)</f>
        <v>0</v>
      </c>
      <c r="P324" s="31">
        <f>VLOOKUP($B324,'Tillförd energi'!$B$1:$AI$720,MATCH(P$1,'Tillförd energi'!$B$1:$AQ$1,0),FALSE)</f>
        <v>5.7380000000000004</v>
      </c>
      <c r="Q324" s="31">
        <f>VLOOKUP($B324,'Tillförd energi'!$B$1:$AI$720,MATCH(Q$1,'Tillförd energi'!$B$1:$AQ$1,0),FALSE)</f>
        <v>12.736000000000001</v>
      </c>
      <c r="R324" s="31">
        <f>VLOOKUP($B324,'Tillförd energi'!$B$1:$AI$720,MATCH(R$1,'Tillförd energi'!$B$1:$AQ$1,0),FALSE)</f>
        <v>0</v>
      </c>
      <c r="S324" s="31">
        <f>VLOOKUP($B324,'Tillförd energi'!$B$1:$AI$720,MATCH(S$1,'Tillförd energi'!$B$1:$AQ$1,0),FALSE)</f>
        <v>0</v>
      </c>
      <c r="T324" s="31">
        <f>VLOOKUP($B324,'Tillförd energi'!$B$1:$AI$720,MATCH(T$1,'Tillförd energi'!$B$1:$AQ$1,0),FALSE)</f>
        <v>0</v>
      </c>
      <c r="U324" s="31">
        <f>VLOOKUP($B324,'Tillförd energi'!$B$1:$AI$720,MATCH(U$1,'Tillförd energi'!$B$1:$AQ$1,0),FALSE)</f>
        <v>0</v>
      </c>
      <c r="V324" s="31">
        <f>VLOOKUP($B324,'Tillförd energi'!$B$1:$AI$720,MATCH(V$1,'Tillförd energi'!$B$1:$AQ$1,0),FALSE)</f>
        <v>0</v>
      </c>
      <c r="W324" s="31">
        <f>VLOOKUP($B324,'Tillförd energi'!$B$1:$AI$720,MATCH(W$1,'Tillförd energi'!$B$1:$AQ$1,0),FALSE)</f>
        <v>0</v>
      </c>
      <c r="X324" s="31">
        <f>VLOOKUP($B324,'Tillförd energi'!$B$1:$AI$720,MATCH(X$1,'Tillförd energi'!$B$1:$AQ$1,0),FALSE)</f>
        <v>0</v>
      </c>
      <c r="Y324" s="31">
        <f>VLOOKUP($B324,'Tillförd energi'!$B$1:$AI$720,MATCH(Y$1,'Tillförd energi'!$B$1:$AQ$1,0),FALSE)</f>
        <v>0</v>
      </c>
      <c r="Z324" s="31">
        <f>VLOOKUP($B324,'Tillförd energi'!$B$1:$AI$720,MATCH(Z$1,'Tillförd energi'!$B$1:$AQ$1,0),FALSE)</f>
        <v>0</v>
      </c>
      <c r="AA324" s="31">
        <f>VLOOKUP($B324,'Tillförd energi'!$B$1:$AI$720,MATCH(AA$1,'Tillförd energi'!$B$1:$AQ$1,0),FALSE)</f>
        <v>0</v>
      </c>
      <c r="AB324" s="31">
        <f>VLOOKUP($B324,'Tillförd energi'!$B$1:$AI$720,MATCH(AB$1,'Tillförd energi'!$B$1:$AQ$1,0),FALSE)</f>
        <v>0</v>
      </c>
      <c r="AC324" s="31">
        <f>VLOOKUP($B324,'Tillförd energi'!$B$1:$AI$720,MATCH(AC$1,'Tillförd energi'!$B$1:$AQ$1,0),FALSE)</f>
        <v>3.78</v>
      </c>
      <c r="AD324" s="31">
        <f>VLOOKUP($B324,'Tillförd energi'!$B$1:$AI$720,MATCH(AD$1,'Tillförd energi'!$B$1:$AQ$1,0),FALSE)</f>
        <v>0</v>
      </c>
      <c r="AE324" s="31">
        <f>VLOOKUP($B324,'Tillförd energi'!$B$1:$AI$720,MATCH(AE$1,'Tillförd energi'!$B$1:$AQ$1,0),FALSE)</f>
        <v>0</v>
      </c>
      <c r="AF324" s="31">
        <f>VLOOKUP($B324,'Tillförd energi'!$B$1:$AI$720,MATCH(AF$1,'Tillförd energi'!$B$1:$AQ$1,0),FALSE)</f>
        <v>0.871</v>
      </c>
      <c r="AG324" s="31">
        <f>IFERROR(VLOOKUP(B324,Miljö!$B$1:$AC$550,MATCH("Köpt mängd produktionsspecifik fjärrvärme:",Miljö!$B$1:$AC$1,0),FALSE)/1,0)</f>
        <v>0</v>
      </c>
      <c r="AI324" s="31">
        <f t="shared" si="115"/>
        <v>38.858000000000004</v>
      </c>
      <c r="AJ324" s="31">
        <f t="shared" si="116"/>
        <v>38.858000000000004</v>
      </c>
      <c r="AK324" s="31">
        <f>IF(ISERROR(1/VLOOKUP($B324,Leveranser!$B$1:$S$499,MATCH("Såld värme (GWh)",Leveranser!$B$1:$S$1,0),FALSE)),"",VLOOKUP($B324,Leveranser!$B$1:$S$499,MATCH("Såld värme (GWh)",Leveranser!$B$1:$S$1,0),FALSE))</f>
        <v>28.105</v>
      </c>
      <c r="AL324" s="31">
        <f>VLOOKUP($B324,Leveranser!$B$1:$Y$499,MATCH("Totalt såld fjärrvärme till andra fjärrvärmeföretag",Leveranser!$B$1:$AA$1,0),FALSE)</f>
        <v>0</v>
      </c>
      <c r="AM324" s="31">
        <f>IF(ISERROR(1/VLOOKUP($B324,Miljö!$B$1:$S$500,MATCH("Såld mängd produktionsspecifik fjärrvärme (GWh)",Miljö!$B$1:$R$1,0),FALSE)),0,VLOOKUP($B324,Miljö!$B$1:$S$500,MATCH("Såld mängd produktionsspecifik fjärrvärme (GWh)",Miljö!$B$1:$R$1,0),FALSE))</f>
        <v>0</v>
      </c>
      <c r="AN324" s="32">
        <f t="shared" si="117"/>
        <v>0.7232744865922075</v>
      </c>
      <c r="AP324" s="31" t="str">
        <f>IFERROR(VLOOKUP($B324,Miljövärden!$B$2:$H$550,7,FALSE),"Nej, saknas")</f>
        <v>Ja</v>
      </c>
      <c r="AQ324" s="31" t="str">
        <f>IFERROR(VLOOKUP($B324,Miljövärden!$B$2:$H$551,6,FALSE),"Nej, saknas")</f>
        <v>Ja</v>
      </c>
      <c r="AU324" s="31">
        <f t="shared" si="118"/>
        <v>0.871</v>
      </c>
      <c r="AV324" s="31">
        <f t="shared" si="119"/>
        <v>0</v>
      </c>
      <c r="AW324" s="31">
        <f t="shared" si="120"/>
        <v>33.75</v>
      </c>
      <c r="AX324" s="31">
        <f t="shared" si="121"/>
        <v>0</v>
      </c>
      <c r="AZ324" s="31">
        <f t="shared" si="122"/>
        <v>33.75</v>
      </c>
      <c r="BC324" s="31">
        <f t="shared" si="123"/>
        <v>0.45700000000000002</v>
      </c>
      <c r="BD324" s="31">
        <f t="shared" si="124"/>
        <v>0</v>
      </c>
      <c r="BE324" s="31">
        <f t="shared" si="125"/>
        <v>33.75</v>
      </c>
      <c r="BF324" s="31">
        <f t="shared" si="126"/>
        <v>3.78</v>
      </c>
      <c r="BG324" s="31">
        <f t="shared" si="127"/>
        <v>0.871</v>
      </c>
      <c r="BH324" s="31">
        <f>VLOOKUP(B324,Miljö!$B$1:$BX$482,MATCH("Fossilandel för ursprungspecificerad el ()",Miljö!$B$1:$I$1,0),FALSE)</f>
        <v>0</v>
      </c>
      <c r="BI324" s="31">
        <f>VLOOKUP(B324,Miljö!$B$1:$BX$482,MATCH("Kärnkraftsandel för ursprungsspecificerad el ()",Miljö!$B$1:$O$1,0),FALSE)</f>
        <v>0</v>
      </c>
      <c r="BJ324" s="31">
        <f t="shared" si="128"/>
        <v>0</v>
      </c>
      <c r="BK324" s="31" t="str">
        <f>VLOOKUP(B324,Miljö!$B$1:$P$482,MATCH("Fossil andel i procent (%)",Miljö!$B$1:$P$1,0),FALSE)</f>
        <v>ET</v>
      </c>
      <c r="BL324" s="31">
        <f t="shared" si="129"/>
        <v>38.858000000000004</v>
      </c>
      <c r="BO324" s="32">
        <f t="shared" si="130"/>
        <v>1.176076998301508E-2</v>
      </c>
      <c r="BP324" s="32">
        <f t="shared" si="131"/>
        <v>0</v>
      </c>
      <c r="BQ324" s="32">
        <f t="shared" si="132"/>
        <v>0.89096196407432182</v>
      </c>
      <c r="BR324" s="32">
        <f t="shared" si="133"/>
        <v>9.7277265942663019E-2</v>
      </c>
      <c r="BT324" s="62">
        <f t="shared" si="134"/>
        <v>1</v>
      </c>
      <c r="BW324" s="32">
        <f>IF(AP324="Ja",VLOOKUP(B324,Miljövärden!$B$2:$H$551,MATCH("Total andel fossilt",Miljövärden!$B$2:$H$2,0),FALSE),"")</f>
        <v>1.17608E-2</v>
      </c>
      <c r="BX324" s="62">
        <f t="shared" si="135"/>
        <v>3.0016984920236411E-8</v>
      </c>
      <c r="BZ324" s="31">
        <f t="shared" si="136"/>
        <v>3.0016984920236411E-8</v>
      </c>
      <c r="CA324" s="32">
        <f t="shared" si="137"/>
        <v>0</v>
      </c>
    </row>
    <row r="325" spans="1:79" x14ac:dyDescent="0.45">
      <c r="A325" s="31" t="s">
        <v>253</v>
      </c>
      <c r="B325" s="31" t="s">
        <v>252</v>
      </c>
      <c r="C325" s="31">
        <f>VLOOKUP($B325,'Tillförd energi'!$B$1:$AI$720,MATCH(C$1,'Tillförd energi'!$B$1:$AQ$1,0),FALSE)</f>
        <v>0</v>
      </c>
      <c r="D325" s="31">
        <f>VLOOKUP($B325,'Tillförd energi'!$B$1:$AI$720,MATCH(D$1,'Tillförd energi'!$B$1:$AQ$1,0),FALSE)</f>
        <v>2.9000000000000001E-2</v>
      </c>
      <c r="E325" s="31">
        <f>VLOOKUP($B325,'Tillförd energi'!$B$1:$AI$720,MATCH(E$1,'Tillförd energi'!$B$1:$AQ$1,0),FALSE)</f>
        <v>0</v>
      </c>
      <c r="F325" s="31">
        <f>VLOOKUP($B325,'Tillförd energi'!$B$1:$AI$720,MATCH(F$1,'Tillförd energi'!$B$1:$AQ$1,0),FALSE)</f>
        <v>0</v>
      </c>
      <c r="G325" s="31">
        <f>VLOOKUP($B325,'Tillförd energi'!$B$1:$AI$720,MATCH(G$1,'Tillförd energi'!$B$1:$AQ$1,0),FALSE)</f>
        <v>0</v>
      </c>
      <c r="H325" s="31">
        <f>VLOOKUP($B325,'Tillförd energi'!$B$1:$AI$720,MATCH(H$1,'Tillförd energi'!$B$1:$AQ$1,0),FALSE)</f>
        <v>0</v>
      </c>
      <c r="I325" s="31">
        <f>VLOOKUP($B325,'Tillförd energi'!$B$1:$AI$720,MATCH(I$1,'Tillförd energi'!$B$1:$AQ$1,0),FALSE)</f>
        <v>0</v>
      </c>
      <c r="J325" s="31">
        <f>VLOOKUP($B325,'Tillförd energi'!$B$1:$AI$720,MATCH(J$1,'Tillförd energi'!$B$1:$AQ$1,0),FALSE)</f>
        <v>0</v>
      </c>
      <c r="K325" s="31">
        <f>VLOOKUP($B325,'Tillförd energi'!$B$1:$AI$720,MATCH(K$1,'Tillförd energi'!$B$1:$AQ$1,0),FALSE)</f>
        <v>0</v>
      </c>
      <c r="L325" s="31">
        <f>VLOOKUP($B325,'Tillförd energi'!$B$1:$AI$720,MATCH(L$1,'Tillförd energi'!$B$1:$AQ$1,0),FALSE)</f>
        <v>0</v>
      </c>
      <c r="M325" s="31">
        <f>VLOOKUP($B325,'Tillförd energi'!$B$1:$AI$720,MATCH(M$1,'Tillförd energi'!$B$1:$AQ$1,0),FALSE)</f>
        <v>8.8940000000000001</v>
      </c>
      <c r="N325" s="31">
        <f>VLOOKUP($B325,'Tillförd energi'!$B$1:$AI$720,MATCH(N$1,'Tillförd energi'!$B$1:$AQ$1,0),FALSE)</f>
        <v>7.6449999999999996</v>
      </c>
      <c r="O325" s="31">
        <f>VLOOKUP($B325,'Tillförd energi'!$B$1:$AI$720,MATCH(O$1,'Tillförd energi'!$B$1:$AQ$1,0),FALSE)</f>
        <v>5.798</v>
      </c>
      <c r="P325" s="31">
        <f>VLOOKUP($B325,'Tillförd energi'!$B$1:$AI$720,MATCH(P$1,'Tillförd energi'!$B$1:$AQ$1,0),FALSE)</f>
        <v>16.952000000000002</v>
      </c>
      <c r="Q325" s="31">
        <f>VLOOKUP($B325,'Tillförd energi'!$B$1:$AI$720,MATCH(Q$1,'Tillförd energi'!$B$1:$AQ$1,0),FALSE)</f>
        <v>4.2129399999999997</v>
      </c>
      <c r="R325" s="31">
        <f>VLOOKUP($B325,'Tillförd energi'!$B$1:$AI$720,MATCH(R$1,'Tillförd energi'!$B$1:$AQ$1,0),FALSE)</f>
        <v>0</v>
      </c>
      <c r="S325" s="31">
        <f>VLOOKUP($B325,'Tillförd energi'!$B$1:$AI$720,MATCH(S$1,'Tillförd energi'!$B$1:$AQ$1,0),FALSE)</f>
        <v>0</v>
      </c>
      <c r="T325" s="31">
        <f>VLOOKUP($B325,'Tillförd energi'!$B$1:$AI$720,MATCH(T$1,'Tillförd energi'!$B$1:$AQ$1,0),FALSE)</f>
        <v>0</v>
      </c>
      <c r="U325" s="31">
        <f>VLOOKUP($B325,'Tillförd energi'!$B$1:$AI$720,MATCH(U$1,'Tillförd energi'!$B$1:$AQ$1,0),FALSE)</f>
        <v>0</v>
      </c>
      <c r="V325" s="31">
        <f>VLOOKUP($B325,'Tillförd energi'!$B$1:$AI$720,MATCH(V$1,'Tillförd energi'!$B$1:$AQ$1,0),FALSE)</f>
        <v>0</v>
      </c>
      <c r="W325" s="31">
        <f>VLOOKUP($B325,'Tillförd energi'!$B$1:$AI$720,MATCH(W$1,'Tillförd energi'!$B$1:$AQ$1,0),FALSE)</f>
        <v>0</v>
      </c>
      <c r="X325" s="31">
        <f>VLOOKUP($B325,'Tillförd energi'!$B$1:$AI$720,MATCH(X$1,'Tillförd energi'!$B$1:$AQ$1,0),FALSE)</f>
        <v>0</v>
      </c>
      <c r="Y325" s="31">
        <f>VLOOKUP($B325,'Tillförd energi'!$B$1:$AI$720,MATCH(Y$1,'Tillförd energi'!$B$1:$AQ$1,0),FALSE)</f>
        <v>0</v>
      </c>
      <c r="Z325" s="31">
        <f>VLOOKUP($B325,'Tillförd energi'!$B$1:$AI$720,MATCH(Z$1,'Tillförd energi'!$B$1:$AQ$1,0),FALSE)</f>
        <v>0</v>
      </c>
      <c r="AA325" s="31">
        <f>VLOOKUP($B325,'Tillförd energi'!$B$1:$AI$720,MATCH(AA$1,'Tillförd energi'!$B$1:$AQ$1,0),FALSE)</f>
        <v>0</v>
      </c>
      <c r="AB325" s="31">
        <f>VLOOKUP($B325,'Tillförd energi'!$B$1:$AI$720,MATCH(AB$1,'Tillförd energi'!$B$1:$AQ$1,0),FALSE)</f>
        <v>0</v>
      </c>
      <c r="AC325" s="31">
        <f>VLOOKUP($B325,'Tillförd energi'!$B$1:$AI$720,MATCH(AC$1,'Tillförd energi'!$B$1:$AQ$1,0),FALSE)</f>
        <v>0</v>
      </c>
      <c r="AD325" s="31">
        <f>VLOOKUP($B325,'Tillförd energi'!$B$1:$AI$720,MATCH(AD$1,'Tillförd energi'!$B$1:$AQ$1,0),FALSE)</f>
        <v>0</v>
      </c>
      <c r="AE325" s="31">
        <f>VLOOKUP($B325,'Tillförd energi'!$B$1:$AI$720,MATCH(AE$1,'Tillförd energi'!$B$1:$AQ$1,0),FALSE)</f>
        <v>0</v>
      </c>
      <c r="AF325" s="31">
        <f>VLOOKUP($B325,'Tillförd energi'!$B$1:$AI$720,MATCH(AF$1,'Tillförd energi'!$B$1:$AQ$1,0),FALSE)</f>
        <v>0.53600000000000003</v>
      </c>
      <c r="AG325" s="31">
        <f>IFERROR(VLOOKUP(B325,Miljö!$B$1:$AC$550,MATCH("Köpt mängd produktionsspecifik fjärrvärme:",Miljö!$B$1:$AC$1,0),FALSE)/1,0)</f>
        <v>0</v>
      </c>
      <c r="AI325" s="31">
        <f t="shared" si="115"/>
        <v>44.066940000000002</v>
      </c>
      <c r="AJ325" s="31">
        <f t="shared" si="116"/>
        <v>44.066940000000002</v>
      </c>
      <c r="AK325" s="31">
        <f>IF(ISERROR(1/VLOOKUP($B325,Leveranser!$B$1:$S$499,MATCH("Såld värme (GWh)",Leveranser!$B$1:$S$1,0),FALSE)),"",VLOOKUP($B325,Leveranser!$B$1:$S$499,MATCH("Såld värme (GWh)",Leveranser!$B$1:$S$1,0),FALSE))</f>
        <v>34.17</v>
      </c>
      <c r="AL325" s="31">
        <f>VLOOKUP($B325,Leveranser!$B$1:$Y$499,MATCH("Totalt såld fjärrvärme till andra fjärrvärmeföretag",Leveranser!$B$1:$AA$1,0),FALSE)</f>
        <v>0</v>
      </c>
      <c r="AM325" s="31">
        <f>IF(ISERROR(1/VLOOKUP($B325,Miljö!$B$1:$S$500,MATCH("Såld mängd produktionsspecifik fjärrvärme (GWh)",Miljö!$B$1:$R$1,0),FALSE)),0,VLOOKUP($B325,Miljö!$B$1:$S$500,MATCH("Såld mängd produktionsspecifik fjärrvärme (GWh)",Miljö!$B$1:$R$1,0),FALSE))</f>
        <v>0</v>
      </c>
      <c r="AN325" s="32">
        <f t="shared" si="117"/>
        <v>0.77541122664745954</v>
      </c>
      <c r="AP325" s="31" t="str">
        <f>IFERROR(VLOOKUP($B325,Miljövärden!$B$2:$H$550,7,FALSE),"Nej, saknas")</f>
        <v>Ja</v>
      </c>
      <c r="AQ325" s="31" t="str">
        <f>IFERROR(VLOOKUP($B325,Miljövärden!$B$2:$H$551,6,FALSE),"Nej, saknas")</f>
        <v>Ja</v>
      </c>
      <c r="AU325" s="31">
        <f t="shared" si="118"/>
        <v>0.53600000000000003</v>
      </c>
      <c r="AV325" s="31">
        <f t="shared" si="119"/>
        <v>0</v>
      </c>
      <c r="AW325" s="31">
        <f t="shared" si="120"/>
        <v>43.501940000000005</v>
      </c>
      <c r="AX325" s="31">
        <f t="shared" si="121"/>
        <v>0</v>
      </c>
      <c r="AZ325" s="31">
        <f t="shared" si="122"/>
        <v>43.501940000000005</v>
      </c>
      <c r="BC325" s="31">
        <f t="shared" si="123"/>
        <v>2.9000000000000001E-2</v>
      </c>
      <c r="BD325" s="31">
        <f t="shared" si="124"/>
        <v>0</v>
      </c>
      <c r="BE325" s="31">
        <f t="shared" si="125"/>
        <v>43.501940000000005</v>
      </c>
      <c r="BF325" s="31">
        <f t="shared" si="126"/>
        <v>0</v>
      </c>
      <c r="BG325" s="31">
        <f t="shared" si="127"/>
        <v>0.53600000000000003</v>
      </c>
      <c r="BH325" s="31">
        <f>VLOOKUP(B325,Miljö!$B$1:$BX$482,MATCH("Fossilandel för ursprungspecificerad el ()",Miljö!$B$1:$I$1,0),FALSE)</f>
        <v>0</v>
      </c>
      <c r="BI325" s="31">
        <f>VLOOKUP(B325,Miljö!$B$1:$BX$482,MATCH("Kärnkraftsandel för ursprungsspecificerad el ()",Miljö!$B$1:$O$1,0),FALSE)</f>
        <v>0</v>
      </c>
      <c r="BJ325" s="31">
        <f t="shared" si="128"/>
        <v>0</v>
      </c>
      <c r="BK325" s="31" t="str">
        <f>VLOOKUP(B325,Miljö!$B$1:$P$482,MATCH("Fossil andel i procent (%)",Miljö!$B$1:$P$1,0),FALSE)</f>
        <v>ET</v>
      </c>
      <c r="BL325" s="31">
        <f t="shared" si="129"/>
        <v>44.06694000000001</v>
      </c>
      <c r="BO325" s="32">
        <f t="shared" si="130"/>
        <v>6.5808971532854319E-4</v>
      </c>
      <c r="BP325" s="32">
        <f t="shared" si="131"/>
        <v>0</v>
      </c>
      <c r="BQ325" s="32">
        <f t="shared" si="132"/>
        <v>0.99934191028467134</v>
      </c>
      <c r="BR325" s="32">
        <f t="shared" si="133"/>
        <v>0</v>
      </c>
      <c r="BT325" s="62">
        <f t="shared" si="134"/>
        <v>0.99999999999999989</v>
      </c>
      <c r="BW325" s="32">
        <f>IF(AP325="Ja",VLOOKUP(B325,Miljövärden!$B$2:$H$551,MATCH("Total andel fossilt",Miljövärden!$B$2:$H$2,0),FALSE),"")</f>
        <v>6.5808999999999996E-4</v>
      </c>
      <c r="BX325" s="62">
        <f t="shared" si="135"/>
        <v>2.8467145676315531E-10</v>
      </c>
      <c r="BZ325" s="31">
        <f t="shared" si="136"/>
        <v>2.8467145676315531E-10</v>
      </c>
      <c r="CA325" s="32">
        <f t="shared" si="137"/>
        <v>0</v>
      </c>
    </row>
    <row r="326" spans="1:79" x14ac:dyDescent="0.45">
      <c r="A326" s="31" t="s">
        <v>249</v>
      </c>
      <c r="B326" s="31" t="s">
        <v>251</v>
      </c>
      <c r="C326" s="31">
        <f>VLOOKUP($B326,'Tillförd energi'!$B$1:$AI$720,MATCH(C$1,'Tillförd energi'!$B$1:$AQ$1,0),FALSE)</f>
        <v>0</v>
      </c>
      <c r="D326" s="31">
        <f>VLOOKUP($B326,'Tillförd energi'!$B$1:$AI$720,MATCH(D$1,'Tillförd energi'!$B$1:$AQ$1,0),FALSE)</f>
        <v>6.9000000000000006E-2</v>
      </c>
      <c r="E326" s="31">
        <f>VLOOKUP($B326,'Tillförd energi'!$B$1:$AI$720,MATCH(E$1,'Tillförd energi'!$B$1:$AQ$1,0),FALSE)</f>
        <v>0</v>
      </c>
      <c r="F326" s="31">
        <f>VLOOKUP($B326,'Tillförd energi'!$B$1:$AI$720,MATCH(F$1,'Tillförd energi'!$B$1:$AQ$1,0),FALSE)</f>
        <v>0</v>
      </c>
      <c r="G326" s="31">
        <f>VLOOKUP($B326,'Tillförd energi'!$B$1:$AI$720,MATCH(G$1,'Tillförd energi'!$B$1:$AQ$1,0),FALSE)</f>
        <v>0</v>
      </c>
      <c r="H326" s="31">
        <f>VLOOKUP($B326,'Tillförd energi'!$B$1:$AI$720,MATCH(H$1,'Tillförd energi'!$B$1:$AQ$1,0),FALSE)</f>
        <v>0</v>
      </c>
      <c r="I326" s="31">
        <f>VLOOKUP($B326,'Tillförd energi'!$B$1:$AI$720,MATCH(I$1,'Tillförd energi'!$B$1:$AQ$1,0),FALSE)</f>
        <v>0</v>
      </c>
      <c r="J326" s="31">
        <f>VLOOKUP($B326,'Tillförd energi'!$B$1:$AI$720,MATCH(J$1,'Tillförd energi'!$B$1:$AQ$1,0),FALSE)</f>
        <v>0</v>
      </c>
      <c r="K326" s="31">
        <f>VLOOKUP($B326,'Tillförd energi'!$B$1:$AI$720,MATCH(K$1,'Tillförd energi'!$B$1:$AQ$1,0),FALSE)</f>
        <v>0</v>
      </c>
      <c r="L326" s="31">
        <f>VLOOKUP($B326,'Tillförd energi'!$B$1:$AI$720,MATCH(L$1,'Tillförd energi'!$B$1:$AQ$1,0),FALSE)</f>
        <v>0</v>
      </c>
      <c r="M326" s="31">
        <f>VLOOKUP($B326,'Tillförd energi'!$B$1:$AI$720,MATCH(M$1,'Tillförd energi'!$B$1:$AQ$1,0),FALSE)</f>
        <v>0</v>
      </c>
      <c r="N326" s="31">
        <f>VLOOKUP($B326,'Tillförd energi'!$B$1:$AI$720,MATCH(N$1,'Tillförd energi'!$B$1:$AQ$1,0),FALSE)</f>
        <v>0</v>
      </c>
      <c r="O326" s="31">
        <f>VLOOKUP($B326,'Tillförd energi'!$B$1:$AI$720,MATCH(O$1,'Tillförd energi'!$B$1:$AQ$1,0),FALSE)</f>
        <v>0</v>
      </c>
      <c r="P326" s="31">
        <f>VLOOKUP($B326,'Tillförd energi'!$B$1:$AI$720,MATCH(P$1,'Tillförd energi'!$B$1:$AQ$1,0),FALSE)</f>
        <v>0</v>
      </c>
      <c r="Q326" s="31">
        <f>VLOOKUP($B326,'Tillförd energi'!$B$1:$AI$720,MATCH(Q$1,'Tillförd energi'!$B$1:$AQ$1,0),FALSE)</f>
        <v>0</v>
      </c>
      <c r="R326" s="31">
        <f>VLOOKUP($B326,'Tillförd energi'!$B$1:$AI$720,MATCH(R$1,'Tillförd energi'!$B$1:$AQ$1,0),FALSE)</f>
        <v>7.7889999999999997</v>
      </c>
      <c r="S326" s="31">
        <f>VLOOKUP($B326,'Tillförd energi'!$B$1:$AI$720,MATCH(S$1,'Tillförd energi'!$B$1:$AQ$1,0),FALSE)</f>
        <v>0</v>
      </c>
      <c r="T326" s="31">
        <f>VLOOKUP($B326,'Tillförd energi'!$B$1:$AI$720,MATCH(T$1,'Tillförd energi'!$B$1:$AQ$1,0),FALSE)</f>
        <v>0</v>
      </c>
      <c r="U326" s="31">
        <f>VLOOKUP($B326,'Tillförd energi'!$B$1:$AI$720,MATCH(U$1,'Tillförd energi'!$B$1:$AQ$1,0),FALSE)</f>
        <v>0</v>
      </c>
      <c r="V326" s="31">
        <f>VLOOKUP($B326,'Tillförd energi'!$B$1:$AI$720,MATCH(V$1,'Tillförd energi'!$B$1:$AQ$1,0),FALSE)</f>
        <v>0</v>
      </c>
      <c r="W326" s="31">
        <f>VLOOKUP($B326,'Tillförd energi'!$B$1:$AI$720,MATCH(W$1,'Tillförd energi'!$B$1:$AQ$1,0),FALSE)</f>
        <v>0</v>
      </c>
      <c r="X326" s="31">
        <f>VLOOKUP($B326,'Tillförd energi'!$B$1:$AI$720,MATCH(X$1,'Tillförd energi'!$B$1:$AQ$1,0),FALSE)</f>
        <v>0</v>
      </c>
      <c r="Y326" s="31">
        <f>VLOOKUP($B326,'Tillförd energi'!$B$1:$AI$720,MATCH(Y$1,'Tillförd energi'!$B$1:$AQ$1,0),FALSE)</f>
        <v>0</v>
      </c>
      <c r="Z326" s="31">
        <f>VLOOKUP($B326,'Tillförd energi'!$B$1:$AI$720,MATCH(Z$1,'Tillförd energi'!$B$1:$AQ$1,0),FALSE)</f>
        <v>0.255</v>
      </c>
      <c r="AA326" s="31">
        <f>VLOOKUP($B326,'Tillförd energi'!$B$1:$AI$720,MATCH(AA$1,'Tillförd energi'!$B$1:$AQ$1,0),FALSE)</f>
        <v>0</v>
      </c>
      <c r="AB326" s="31">
        <f>VLOOKUP($B326,'Tillförd energi'!$B$1:$AI$720,MATCH(AB$1,'Tillförd energi'!$B$1:$AQ$1,0),FALSE)</f>
        <v>0</v>
      </c>
      <c r="AC326" s="31">
        <f>VLOOKUP($B326,'Tillförd energi'!$B$1:$AI$720,MATCH(AC$1,'Tillförd energi'!$B$1:$AQ$1,0),FALSE)</f>
        <v>0</v>
      </c>
      <c r="AD326" s="31">
        <f>VLOOKUP($B326,'Tillförd energi'!$B$1:$AI$720,MATCH(AD$1,'Tillförd energi'!$B$1:$AQ$1,0),FALSE)</f>
        <v>0</v>
      </c>
      <c r="AE326" s="31">
        <f>VLOOKUP($B326,'Tillförd energi'!$B$1:$AI$720,MATCH(AE$1,'Tillförd energi'!$B$1:$AQ$1,0),FALSE)</f>
        <v>0</v>
      </c>
      <c r="AF326" s="31">
        <f>VLOOKUP($B326,'Tillförd energi'!$B$1:$AI$720,MATCH(AF$1,'Tillförd energi'!$B$1:$AQ$1,0),FALSE)</f>
        <v>9.5000000000000001E-2</v>
      </c>
      <c r="AG326" s="31">
        <f>IFERROR(VLOOKUP(B326,Miljö!$B$1:$AC$550,MATCH("Köpt mängd produktionsspecifik fjärrvärme:",Miljö!$B$1:$AC$1,0),FALSE)/1,0)</f>
        <v>0</v>
      </c>
      <c r="AI326" s="31">
        <f t="shared" si="115"/>
        <v>8.2080000000000002</v>
      </c>
      <c r="AJ326" s="31">
        <f t="shared" si="116"/>
        <v>8.2080000000000002</v>
      </c>
      <c r="AK326" s="31">
        <f>IF(ISERROR(1/VLOOKUP($B326,Leveranser!$B$1:$S$499,MATCH("Såld värme (GWh)",Leveranser!$B$1:$S$1,0),FALSE)),"",VLOOKUP($B326,Leveranser!$B$1:$S$499,MATCH("Såld värme (GWh)",Leveranser!$B$1:$S$1,0),FALSE))</f>
        <v>5.91</v>
      </c>
      <c r="AL326" s="31">
        <f>VLOOKUP($B326,Leveranser!$B$1:$Y$499,MATCH("Totalt såld fjärrvärme till andra fjärrvärmeföretag",Leveranser!$B$1:$AA$1,0),FALSE)</f>
        <v>0</v>
      </c>
      <c r="AM326" s="31">
        <f>IF(ISERROR(1/VLOOKUP($B326,Miljö!$B$1:$S$500,MATCH("Såld mängd produktionsspecifik fjärrvärme (GWh)",Miljö!$B$1:$R$1,0),FALSE)),0,VLOOKUP($B326,Miljö!$B$1:$S$500,MATCH("Såld mängd produktionsspecifik fjärrvärme (GWh)",Miljö!$B$1:$R$1,0),FALSE))</f>
        <v>0</v>
      </c>
      <c r="AN326" s="32">
        <f t="shared" si="117"/>
        <v>0.72002923976608191</v>
      </c>
      <c r="AP326" s="31" t="str">
        <f>IFERROR(VLOOKUP($B326,Miljövärden!$B$2:$H$550,7,FALSE),"Nej, saknas")</f>
        <v>Ja</v>
      </c>
      <c r="AQ326" s="31" t="str">
        <f>IFERROR(VLOOKUP($B326,Miljövärden!$B$2:$H$551,6,FALSE),"Nej, saknas")</f>
        <v>Ja</v>
      </c>
      <c r="AU326" s="31">
        <f t="shared" si="118"/>
        <v>0.35</v>
      </c>
      <c r="AV326" s="31">
        <f t="shared" si="119"/>
        <v>0</v>
      </c>
      <c r="AW326" s="31">
        <f t="shared" si="120"/>
        <v>0</v>
      </c>
      <c r="AX326" s="31">
        <f t="shared" si="121"/>
        <v>7.7889999999999997</v>
      </c>
      <c r="AZ326" s="31">
        <f t="shared" si="122"/>
        <v>7.7889999999999997</v>
      </c>
      <c r="BC326" s="31">
        <f t="shared" si="123"/>
        <v>6.9000000000000006E-2</v>
      </c>
      <c r="BD326" s="31">
        <f t="shared" si="124"/>
        <v>0</v>
      </c>
      <c r="BE326" s="31">
        <f t="shared" si="125"/>
        <v>7.7889999999999997</v>
      </c>
      <c r="BF326" s="31">
        <f t="shared" si="126"/>
        <v>0</v>
      </c>
      <c r="BG326" s="31">
        <f t="shared" si="127"/>
        <v>0.35</v>
      </c>
      <c r="BH326" s="31">
        <f>VLOOKUP(B326,Miljö!$B$1:$BX$482,MATCH("Fossilandel för ursprungspecificerad el ()",Miljö!$B$1:$I$1,0),FALSE)</f>
        <v>0</v>
      </c>
      <c r="BI326" s="31">
        <f>VLOOKUP(B326,Miljö!$B$1:$BX$482,MATCH("Kärnkraftsandel för ursprungsspecificerad el ()",Miljö!$B$1:$O$1,0),FALSE)</f>
        <v>0</v>
      </c>
      <c r="BJ326" s="31">
        <f t="shared" si="128"/>
        <v>0</v>
      </c>
      <c r="BK326" s="31" t="str">
        <f>VLOOKUP(B326,Miljö!$B$1:$P$482,MATCH("Fossil andel i procent (%)",Miljö!$B$1:$P$1,0),FALSE)</f>
        <v>ET</v>
      </c>
      <c r="BL326" s="31">
        <f t="shared" si="129"/>
        <v>8.2080000000000002</v>
      </c>
      <c r="BO326" s="32">
        <f t="shared" si="130"/>
        <v>8.406432748538013E-3</v>
      </c>
      <c r="BP326" s="32">
        <f t="shared" si="131"/>
        <v>0</v>
      </c>
      <c r="BQ326" s="32">
        <f t="shared" si="132"/>
        <v>0.99159356725146186</v>
      </c>
      <c r="BR326" s="32">
        <f t="shared" si="133"/>
        <v>0</v>
      </c>
      <c r="BT326" s="62">
        <f t="shared" si="134"/>
        <v>0.99999999999999989</v>
      </c>
      <c r="BW326" s="32">
        <f>IF(AP326="Ja",VLOOKUP(B326,Miljövärden!$B$2:$H$551,MATCH("Total andel fossilt",Miljövärden!$B$2:$H$2,0),FALSE),"")</f>
        <v>8.4064299999999995E-3</v>
      </c>
      <c r="BX326" s="62">
        <f t="shared" si="135"/>
        <v>-2.7485380135056081E-9</v>
      </c>
      <c r="BZ326" s="31">
        <f t="shared" si="136"/>
        <v>-2.7485380135056081E-9</v>
      </c>
      <c r="CA326" s="32">
        <f t="shared" si="137"/>
        <v>0</v>
      </c>
    </row>
    <row r="327" spans="1:79" x14ac:dyDescent="0.45">
      <c r="A327" s="31" t="s">
        <v>249</v>
      </c>
      <c r="B327" s="31" t="s">
        <v>250</v>
      </c>
      <c r="C327" s="31">
        <f>VLOOKUP($B327,'Tillförd energi'!$B$1:$AI$720,MATCH(C$1,'Tillförd energi'!$B$1:$AQ$1,0),FALSE)</f>
        <v>0</v>
      </c>
      <c r="D327" s="31">
        <f>VLOOKUP($B327,'Tillförd energi'!$B$1:$AI$720,MATCH(D$1,'Tillförd energi'!$B$1:$AQ$1,0),FALSE)</f>
        <v>0</v>
      </c>
      <c r="E327" s="31">
        <f>VLOOKUP($B327,'Tillförd energi'!$B$1:$AI$720,MATCH(E$1,'Tillförd energi'!$B$1:$AQ$1,0),FALSE)</f>
        <v>0</v>
      </c>
      <c r="F327" s="31">
        <f>VLOOKUP($B327,'Tillförd energi'!$B$1:$AI$720,MATCH(F$1,'Tillförd energi'!$B$1:$AQ$1,0),FALSE)</f>
        <v>0</v>
      </c>
      <c r="G327" s="31">
        <f>VLOOKUP($B327,'Tillförd energi'!$B$1:$AI$720,MATCH(G$1,'Tillförd energi'!$B$1:$AQ$1,0),FALSE)</f>
        <v>0</v>
      </c>
      <c r="H327" s="31">
        <f>VLOOKUP($B327,'Tillförd energi'!$B$1:$AI$720,MATCH(H$1,'Tillförd energi'!$B$1:$AQ$1,0),FALSE)</f>
        <v>0</v>
      </c>
      <c r="I327" s="31">
        <f>VLOOKUP($B327,'Tillförd energi'!$B$1:$AI$720,MATCH(I$1,'Tillförd energi'!$B$1:$AQ$1,0),FALSE)</f>
        <v>0</v>
      </c>
      <c r="J327" s="31">
        <f>VLOOKUP($B327,'Tillförd energi'!$B$1:$AI$720,MATCH(J$1,'Tillförd energi'!$B$1:$AQ$1,0),FALSE)</f>
        <v>7.5869999999999997</v>
      </c>
      <c r="K327" s="31">
        <f>VLOOKUP($B327,'Tillförd energi'!$B$1:$AI$720,MATCH(K$1,'Tillförd energi'!$B$1:$AQ$1,0),FALSE)</f>
        <v>0</v>
      </c>
      <c r="L327" s="31">
        <f>VLOOKUP($B327,'Tillförd energi'!$B$1:$AI$720,MATCH(L$1,'Tillförd energi'!$B$1:$AQ$1,0),FALSE)</f>
        <v>0</v>
      </c>
      <c r="M327" s="31">
        <f>VLOOKUP($B327,'Tillförd energi'!$B$1:$AI$720,MATCH(M$1,'Tillförd energi'!$B$1:$AQ$1,0),FALSE)</f>
        <v>17.948</v>
      </c>
      <c r="N327" s="31">
        <f>VLOOKUP($B327,'Tillförd energi'!$B$1:$AI$720,MATCH(N$1,'Tillförd energi'!$B$1:$AQ$1,0),FALSE)</f>
        <v>0</v>
      </c>
      <c r="O327" s="31">
        <f>VLOOKUP($B327,'Tillförd energi'!$B$1:$AI$720,MATCH(O$1,'Tillförd energi'!$B$1:$AQ$1,0),FALSE)</f>
        <v>0</v>
      </c>
      <c r="P327" s="31">
        <f>VLOOKUP($B327,'Tillförd energi'!$B$1:$AI$720,MATCH(P$1,'Tillförd energi'!$B$1:$AQ$1,0),FALSE)</f>
        <v>16.414000000000001</v>
      </c>
      <c r="Q327" s="31">
        <f>VLOOKUP($B327,'Tillförd energi'!$B$1:$AI$720,MATCH(Q$1,'Tillförd energi'!$B$1:$AQ$1,0),FALSE)</f>
        <v>0</v>
      </c>
      <c r="R327" s="31">
        <f>VLOOKUP($B327,'Tillförd energi'!$B$1:$AI$720,MATCH(R$1,'Tillförd energi'!$B$1:$AQ$1,0),FALSE)</f>
        <v>0</v>
      </c>
      <c r="S327" s="31">
        <f>VLOOKUP($B327,'Tillförd energi'!$B$1:$AI$720,MATCH(S$1,'Tillförd energi'!$B$1:$AQ$1,0),FALSE)</f>
        <v>0</v>
      </c>
      <c r="T327" s="31">
        <f>VLOOKUP($B327,'Tillförd energi'!$B$1:$AI$720,MATCH(T$1,'Tillförd energi'!$B$1:$AQ$1,0),FALSE)</f>
        <v>0</v>
      </c>
      <c r="U327" s="31">
        <f>VLOOKUP($B327,'Tillförd energi'!$B$1:$AI$720,MATCH(U$1,'Tillförd energi'!$B$1:$AQ$1,0),FALSE)</f>
        <v>0</v>
      </c>
      <c r="V327" s="31">
        <f>VLOOKUP($B327,'Tillförd energi'!$B$1:$AI$720,MATCH(V$1,'Tillförd energi'!$B$1:$AQ$1,0),FALSE)</f>
        <v>5.5129400000000004</v>
      </c>
      <c r="W327" s="31">
        <f>VLOOKUP($B327,'Tillförd energi'!$B$1:$AI$720,MATCH(W$1,'Tillförd energi'!$B$1:$AQ$1,0),FALSE)</f>
        <v>0.99299999999999999</v>
      </c>
      <c r="X327" s="31">
        <f>VLOOKUP($B327,'Tillförd energi'!$B$1:$AI$720,MATCH(X$1,'Tillförd energi'!$B$1:$AQ$1,0),FALSE)</f>
        <v>0</v>
      </c>
      <c r="Y327" s="31">
        <f>VLOOKUP($B327,'Tillförd energi'!$B$1:$AI$720,MATCH(Y$1,'Tillförd energi'!$B$1:$AQ$1,0),FALSE)</f>
        <v>0</v>
      </c>
      <c r="Z327" s="31">
        <f>VLOOKUP($B327,'Tillförd energi'!$B$1:$AI$720,MATCH(Z$1,'Tillförd energi'!$B$1:$AQ$1,0),FALSE)</f>
        <v>0</v>
      </c>
      <c r="AA327" s="31">
        <f>VLOOKUP($B327,'Tillförd energi'!$B$1:$AI$720,MATCH(AA$1,'Tillförd energi'!$B$1:$AQ$1,0),FALSE)</f>
        <v>0</v>
      </c>
      <c r="AB327" s="31">
        <f>VLOOKUP($B327,'Tillförd energi'!$B$1:$AI$720,MATCH(AB$1,'Tillförd energi'!$B$1:$AQ$1,0),FALSE)</f>
        <v>0</v>
      </c>
      <c r="AC327" s="31">
        <f>VLOOKUP($B327,'Tillförd energi'!$B$1:$AI$720,MATCH(AC$1,'Tillförd energi'!$B$1:$AQ$1,0),FALSE)</f>
        <v>7.069</v>
      </c>
      <c r="AD327" s="31">
        <f>VLOOKUP($B327,'Tillförd energi'!$B$1:$AI$720,MATCH(AD$1,'Tillförd energi'!$B$1:$AQ$1,0),FALSE)</f>
        <v>132.52500000000001</v>
      </c>
      <c r="AE327" s="31">
        <f>VLOOKUP($B327,'Tillförd energi'!$B$1:$AI$720,MATCH(AE$1,'Tillförd energi'!$B$1:$AQ$1,0),FALSE)</f>
        <v>0</v>
      </c>
      <c r="AF327" s="31">
        <f>VLOOKUP($B327,'Tillförd energi'!$B$1:$AI$720,MATCH(AF$1,'Tillförd energi'!$B$1:$AQ$1,0),FALSE)</f>
        <v>2.1429999999999998</v>
      </c>
      <c r="AG327" s="31">
        <f>IFERROR(VLOOKUP(B327,Miljö!$B$1:$AC$550,MATCH("Köpt mängd produktionsspecifik fjärrvärme:",Miljö!$B$1:$AC$1,0),FALSE)/1,0)</f>
        <v>0</v>
      </c>
      <c r="AI327" s="31">
        <f t="shared" si="115"/>
        <v>190.19194000000002</v>
      </c>
      <c r="AJ327" s="31">
        <f t="shared" si="116"/>
        <v>190.19194000000002</v>
      </c>
      <c r="AK327" s="31">
        <f>IF(ISERROR(1/VLOOKUP($B327,Leveranser!$B$1:$S$499,MATCH("Såld värme (GWh)",Leveranser!$B$1:$S$1,0),FALSE)),"",VLOOKUP($B327,Leveranser!$B$1:$S$499,MATCH("Såld värme (GWh)",Leveranser!$B$1:$S$1,0),FALSE))</f>
        <v>149</v>
      </c>
      <c r="AL327" s="31">
        <f>VLOOKUP($B327,Leveranser!$B$1:$Y$499,MATCH("Totalt såld fjärrvärme till andra fjärrvärmeföretag",Leveranser!$B$1:$AA$1,0),FALSE)</f>
        <v>0</v>
      </c>
      <c r="AM327" s="31">
        <f>IF(ISERROR(1/VLOOKUP($B327,Miljö!$B$1:$S$500,MATCH("Såld mängd produktionsspecifik fjärrvärme (GWh)",Miljö!$B$1:$R$1,0),FALSE)),0,VLOOKUP($B327,Miljö!$B$1:$S$500,MATCH("Såld mängd produktionsspecifik fjärrvärme (GWh)",Miljö!$B$1:$R$1,0),FALSE))</f>
        <v>0</v>
      </c>
      <c r="AN327" s="32">
        <f t="shared" si="117"/>
        <v>0.78341910808628368</v>
      </c>
      <c r="AP327" s="31" t="str">
        <f>IFERROR(VLOOKUP($B327,Miljövärden!$B$2:$H$550,7,FALSE),"Nej, saknas")</f>
        <v>Ja</v>
      </c>
      <c r="AQ327" s="31" t="str">
        <f>IFERROR(VLOOKUP($B327,Miljövärden!$B$2:$H$551,6,FALSE),"Nej, saknas")</f>
        <v>Ja</v>
      </c>
      <c r="AU327" s="31">
        <f t="shared" si="118"/>
        <v>2.1429999999999998</v>
      </c>
      <c r="AV327" s="31">
        <f t="shared" si="119"/>
        <v>0</v>
      </c>
      <c r="AW327" s="31">
        <f t="shared" si="120"/>
        <v>34.362000000000002</v>
      </c>
      <c r="AX327" s="31">
        <f t="shared" si="121"/>
        <v>0</v>
      </c>
      <c r="AZ327" s="31">
        <f t="shared" si="122"/>
        <v>40.867940000000004</v>
      </c>
      <c r="BC327" s="31">
        <f t="shared" si="123"/>
        <v>0</v>
      </c>
      <c r="BD327" s="31">
        <f t="shared" si="124"/>
        <v>0</v>
      </c>
      <c r="BE327" s="31">
        <f t="shared" si="125"/>
        <v>40.867940000000004</v>
      </c>
      <c r="BF327" s="31">
        <f t="shared" si="126"/>
        <v>147.18100000000001</v>
      </c>
      <c r="BG327" s="31">
        <f t="shared" si="127"/>
        <v>2.1429999999999998</v>
      </c>
      <c r="BH327" s="31">
        <f>VLOOKUP(B327,Miljö!$B$1:$BX$482,MATCH("Fossilandel för ursprungspecificerad el ()",Miljö!$B$1:$I$1,0),FALSE)</f>
        <v>0</v>
      </c>
      <c r="BI327" s="31">
        <f>VLOOKUP(B327,Miljö!$B$1:$BX$482,MATCH("Kärnkraftsandel för ursprungsspecificerad el ()",Miljö!$B$1:$O$1,0),FALSE)</f>
        <v>0</v>
      </c>
      <c r="BJ327" s="31">
        <f t="shared" si="128"/>
        <v>0</v>
      </c>
      <c r="BK327" s="31" t="str">
        <f>VLOOKUP(B327,Miljö!$B$1:$P$482,MATCH("Fossil andel i procent (%)",Miljö!$B$1:$P$1,0),FALSE)</f>
        <v>ET</v>
      </c>
      <c r="BL327" s="31">
        <f t="shared" si="129"/>
        <v>190.19194000000002</v>
      </c>
      <c r="BO327" s="32">
        <f t="shared" si="130"/>
        <v>0</v>
      </c>
      <c r="BP327" s="32">
        <f t="shared" si="131"/>
        <v>0</v>
      </c>
      <c r="BQ327" s="32">
        <f t="shared" si="132"/>
        <v>0.22614491444800447</v>
      </c>
      <c r="BR327" s="32">
        <f t="shared" si="133"/>
        <v>0.77385508555199556</v>
      </c>
      <c r="BT327" s="62">
        <f t="shared" si="134"/>
        <v>1</v>
      </c>
      <c r="BW327" s="32">
        <f>IF(AP327="Ja",VLOOKUP(B327,Miljövärden!$B$2:$H$551,MATCH("Total andel fossilt",Miljövärden!$B$2:$H$2,0),FALSE),"")</f>
        <v>0</v>
      </c>
      <c r="BX327" s="62">
        <f t="shared" si="135"/>
        <v>0</v>
      </c>
      <c r="BZ327" s="31">
        <f t="shared" si="136"/>
        <v>0</v>
      </c>
      <c r="CA327" s="32">
        <f t="shared" si="137"/>
        <v>0</v>
      </c>
    </row>
    <row r="328" spans="1:79" x14ac:dyDescent="0.45">
      <c r="A328" s="31" t="s">
        <v>249</v>
      </c>
      <c r="B328" s="31" t="s">
        <v>248</v>
      </c>
      <c r="C328" s="31">
        <f>VLOOKUP($B328,'Tillförd energi'!$B$1:$AI$720,MATCH(C$1,'Tillförd energi'!$B$1:$AQ$1,0),FALSE)</f>
        <v>0</v>
      </c>
      <c r="D328" s="31">
        <f>VLOOKUP($B328,'Tillförd energi'!$B$1:$AI$720,MATCH(D$1,'Tillförd energi'!$B$1:$AQ$1,0),FALSE)</f>
        <v>0.184</v>
      </c>
      <c r="E328" s="31">
        <f>VLOOKUP($B328,'Tillförd energi'!$B$1:$AI$720,MATCH(E$1,'Tillförd energi'!$B$1:$AQ$1,0),FALSE)</f>
        <v>0</v>
      </c>
      <c r="F328" s="31">
        <f>VLOOKUP($B328,'Tillförd energi'!$B$1:$AI$720,MATCH(F$1,'Tillförd energi'!$B$1:$AQ$1,0),FALSE)</f>
        <v>0</v>
      </c>
      <c r="G328" s="31">
        <f>VLOOKUP($B328,'Tillförd energi'!$B$1:$AI$720,MATCH(G$1,'Tillförd energi'!$B$1:$AQ$1,0),FALSE)</f>
        <v>0</v>
      </c>
      <c r="H328" s="31">
        <f>VLOOKUP($B328,'Tillförd energi'!$B$1:$AI$720,MATCH(H$1,'Tillförd energi'!$B$1:$AQ$1,0),FALSE)</f>
        <v>0</v>
      </c>
      <c r="I328" s="31">
        <f>VLOOKUP($B328,'Tillförd energi'!$B$1:$AI$720,MATCH(I$1,'Tillförd energi'!$B$1:$AQ$1,0),FALSE)</f>
        <v>0</v>
      </c>
      <c r="J328" s="31">
        <f>VLOOKUP($B328,'Tillförd energi'!$B$1:$AI$720,MATCH(J$1,'Tillförd energi'!$B$1:$AQ$1,0),FALSE)</f>
        <v>0</v>
      </c>
      <c r="K328" s="31">
        <f>VLOOKUP($B328,'Tillförd energi'!$B$1:$AI$720,MATCH(K$1,'Tillförd energi'!$B$1:$AQ$1,0),FALSE)</f>
        <v>0</v>
      </c>
      <c r="L328" s="31">
        <f>VLOOKUP($B328,'Tillförd energi'!$B$1:$AI$720,MATCH(L$1,'Tillförd energi'!$B$1:$AQ$1,0),FALSE)</f>
        <v>0</v>
      </c>
      <c r="M328" s="31">
        <f>VLOOKUP($B328,'Tillförd energi'!$B$1:$AI$720,MATCH(M$1,'Tillförd energi'!$B$1:$AQ$1,0),FALSE)</f>
        <v>0</v>
      </c>
      <c r="N328" s="31">
        <f>VLOOKUP($B328,'Tillförd energi'!$B$1:$AI$720,MATCH(N$1,'Tillförd energi'!$B$1:$AQ$1,0),FALSE)</f>
        <v>0</v>
      </c>
      <c r="O328" s="31">
        <f>VLOOKUP($B328,'Tillförd energi'!$B$1:$AI$720,MATCH(O$1,'Tillförd energi'!$B$1:$AQ$1,0),FALSE)</f>
        <v>0</v>
      </c>
      <c r="P328" s="31">
        <f>VLOOKUP($B328,'Tillförd energi'!$B$1:$AI$720,MATCH(P$1,'Tillförd energi'!$B$1:$AQ$1,0),FALSE)</f>
        <v>0</v>
      </c>
      <c r="Q328" s="31">
        <f>VLOOKUP($B328,'Tillförd energi'!$B$1:$AI$720,MATCH(Q$1,'Tillförd energi'!$B$1:$AQ$1,0),FALSE)</f>
        <v>0</v>
      </c>
      <c r="R328" s="31">
        <f>VLOOKUP($B328,'Tillförd energi'!$B$1:$AI$720,MATCH(R$1,'Tillförd energi'!$B$1:$AQ$1,0),FALSE)</f>
        <v>0</v>
      </c>
      <c r="S328" s="31">
        <f>VLOOKUP($B328,'Tillförd energi'!$B$1:$AI$720,MATCH(S$1,'Tillförd energi'!$B$1:$AQ$1,0),FALSE)</f>
        <v>4.4980000000000002</v>
      </c>
      <c r="T328" s="31">
        <f>VLOOKUP($B328,'Tillförd energi'!$B$1:$AI$720,MATCH(T$1,'Tillförd energi'!$B$1:$AQ$1,0),FALSE)</f>
        <v>0</v>
      </c>
      <c r="U328" s="31">
        <f>VLOOKUP($B328,'Tillförd energi'!$B$1:$AI$720,MATCH(U$1,'Tillförd energi'!$B$1:$AQ$1,0),FALSE)</f>
        <v>0</v>
      </c>
      <c r="V328" s="31">
        <f>VLOOKUP($B328,'Tillförd energi'!$B$1:$AI$720,MATCH(V$1,'Tillförd energi'!$B$1:$AQ$1,0),FALSE)</f>
        <v>0</v>
      </c>
      <c r="W328" s="31">
        <f>VLOOKUP($B328,'Tillförd energi'!$B$1:$AI$720,MATCH(W$1,'Tillförd energi'!$B$1:$AQ$1,0),FALSE)</f>
        <v>0.29799999999999999</v>
      </c>
      <c r="X328" s="31">
        <f>VLOOKUP($B328,'Tillförd energi'!$B$1:$AI$720,MATCH(X$1,'Tillförd energi'!$B$1:$AQ$1,0),FALSE)</f>
        <v>0</v>
      </c>
      <c r="Y328" s="31">
        <f>VLOOKUP($B328,'Tillförd energi'!$B$1:$AI$720,MATCH(Y$1,'Tillförd energi'!$B$1:$AQ$1,0),FALSE)</f>
        <v>0</v>
      </c>
      <c r="Z328" s="31">
        <f>VLOOKUP($B328,'Tillförd energi'!$B$1:$AI$720,MATCH(Z$1,'Tillförd energi'!$B$1:$AQ$1,0),FALSE)</f>
        <v>0</v>
      </c>
      <c r="AA328" s="31">
        <f>VLOOKUP($B328,'Tillförd energi'!$B$1:$AI$720,MATCH(AA$1,'Tillförd energi'!$B$1:$AQ$1,0),FALSE)</f>
        <v>0</v>
      </c>
      <c r="AB328" s="31">
        <f>VLOOKUP($B328,'Tillförd energi'!$B$1:$AI$720,MATCH(AB$1,'Tillförd energi'!$B$1:$AQ$1,0),FALSE)</f>
        <v>0</v>
      </c>
      <c r="AC328" s="31">
        <f>VLOOKUP($B328,'Tillförd energi'!$B$1:$AI$720,MATCH(AC$1,'Tillförd energi'!$B$1:$AQ$1,0),FALSE)</f>
        <v>0</v>
      </c>
      <c r="AD328" s="31">
        <f>VLOOKUP($B328,'Tillförd energi'!$B$1:$AI$720,MATCH(AD$1,'Tillförd energi'!$B$1:$AQ$1,0),FALSE)</f>
        <v>0</v>
      </c>
      <c r="AE328" s="31">
        <f>VLOOKUP($B328,'Tillförd energi'!$B$1:$AI$720,MATCH(AE$1,'Tillförd energi'!$B$1:$AQ$1,0),FALSE)</f>
        <v>0</v>
      </c>
      <c r="AF328" s="31">
        <f>VLOOKUP($B328,'Tillförd energi'!$B$1:$AI$720,MATCH(AF$1,'Tillförd energi'!$B$1:$AQ$1,0),FALSE)</f>
        <v>0.11541</v>
      </c>
      <c r="AG328" s="31">
        <f>IFERROR(VLOOKUP(B328,Miljö!$B$1:$AC$550,MATCH("Köpt mängd produktionsspecifik fjärrvärme:",Miljö!$B$1:$AC$1,0),FALSE)/1,0)</f>
        <v>0</v>
      </c>
      <c r="AI328" s="31">
        <f t="shared" si="115"/>
        <v>5.0954100000000002</v>
      </c>
      <c r="AJ328" s="31">
        <f t="shared" si="116"/>
        <v>5.0954100000000002</v>
      </c>
      <c r="AK328" s="31">
        <f>IF(ISERROR(1/VLOOKUP($B328,Leveranser!$B$1:$S$499,MATCH("Såld värme (GWh)",Leveranser!$B$1:$S$1,0),FALSE)),"",VLOOKUP($B328,Leveranser!$B$1:$S$499,MATCH("Såld värme (GWh)",Leveranser!$B$1:$S$1,0),FALSE))</f>
        <v>3.847</v>
      </c>
      <c r="AL328" s="31">
        <f>VLOOKUP($B328,Leveranser!$B$1:$Y$499,MATCH("Totalt såld fjärrvärme till andra fjärrvärmeföretag",Leveranser!$B$1:$AA$1,0),FALSE)</f>
        <v>0</v>
      </c>
      <c r="AM328" s="31">
        <f>IF(ISERROR(1/VLOOKUP($B328,Miljö!$B$1:$S$500,MATCH("Såld mängd produktionsspecifik fjärrvärme (GWh)",Miljö!$B$1:$R$1,0),FALSE)),0,VLOOKUP($B328,Miljö!$B$1:$S$500,MATCH("Såld mängd produktionsspecifik fjärrvärme (GWh)",Miljö!$B$1:$R$1,0),FALSE))</f>
        <v>0</v>
      </c>
      <c r="AN328" s="32">
        <f t="shared" si="117"/>
        <v>0.75499321938764496</v>
      </c>
      <c r="AP328" s="31" t="str">
        <f>IFERROR(VLOOKUP($B328,Miljövärden!$B$2:$H$550,7,FALSE),"Nej, saknas")</f>
        <v>Ja</v>
      </c>
      <c r="AQ328" s="31" t="str">
        <f>IFERROR(VLOOKUP($B328,Miljövärden!$B$2:$H$551,6,FALSE),"Nej, saknas")</f>
        <v>Ja</v>
      </c>
      <c r="AU328" s="31">
        <f t="shared" si="118"/>
        <v>0.11541</v>
      </c>
      <c r="AV328" s="31">
        <f t="shared" si="119"/>
        <v>0</v>
      </c>
      <c r="AW328" s="31">
        <f t="shared" si="120"/>
        <v>0</v>
      </c>
      <c r="AX328" s="31">
        <f t="shared" si="121"/>
        <v>4.4980000000000002</v>
      </c>
      <c r="AZ328" s="31">
        <f t="shared" si="122"/>
        <v>4.7960000000000003</v>
      </c>
      <c r="BC328" s="31">
        <f t="shared" si="123"/>
        <v>0.184</v>
      </c>
      <c r="BD328" s="31">
        <f t="shared" si="124"/>
        <v>0</v>
      </c>
      <c r="BE328" s="31">
        <f t="shared" si="125"/>
        <v>4.7960000000000003</v>
      </c>
      <c r="BF328" s="31">
        <f t="shared" si="126"/>
        <v>0</v>
      </c>
      <c r="BG328" s="31">
        <f t="shared" si="127"/>
        <v>0.11541</v>
      </c>
      <c r="BH328" s="31">
        <f>VLOOKUP(B328,Miljö!$B$1:$BX$482,MATCH("Fossilandel för ursprungspecificerad el ()",Miljö!$B$1:$I$1,0),FALSE)</f>
        <v>0</v>
      </c>
      <c r="BI328" s="31">
        <f>VLOOKUP(B328,Miljö!$B$1:$BX$482,MATCH("Kärnkraftsandel för ursprungsspecificerad el ()",Miljö!$B$1:$O$1,0),FALSE)</f>
        <v>0</v>
      </c>
      <c r="BJ328" s="31">
        <f t="shared" si="128"/>
        <v>0</v>
      </c>
      <c r="BK328" s="31" t="str">
        <f>VLOOKUP(B328,Miljö!$B$1:$P$482,MATCH("Fossil andel i procent (%)",Miljö!$B$1:$P$1,0),FALSE)</f>
        <v>ET</v>
      </c>
      <c r="BL328" s="31">
        <f t="shared" si="129"/>
        <v>5.0954100000000002</v>
      </c>
      <c r="BO328" s="32">
        <f t="shared" si="130"/>
        <v>3.6110931210638589E-2</v>
      </c>
      <c r="BP328" s="32">
        <f t="shared" si="131"/>
        <v>0</v>
      </c>
      <c r="BQ328" s="32">
        <f t="shared" si="132"/>
        <v>0.96388906878936143</v>
      </c>
      <c r="BR328" s="32">
        <f t="shared" si="133"/>
        <v>0</v>
      </c>
      <c r="BT328" s="62">
        <f t="shared" si="134"/>
        <v>1</v>
      </c>
      <c r="BW328" s="32">
        <f>IF(AP328="Ja",VLOOKUP(B328,Miljövärden!$B$2:$H$551,MATCH("Total andel fossilt",Miljövärden!$B$2:$H$2,0),FALSE),"")</f>
        <v>3.6110900000000001E-2</v>
      </c>
      <c r="BX328" s="62">
        <f t="shared" si="135"/>
        <v>-3.1210638587464423E-8</v>
      </c>
      <c r="BZ328" s="31">
        <f t="shared" si="136"/>
        <v>-3.1210638587464423E-8</v>
      </c>
      <c r="CA328" s="32">
        <f t="shared" si="137"/>
        <v>0</v>
      </c>
    </row>
    <row r="329" spans="1:79" x14ac:dyDescent="0.45">
      <c r="A329" s="31" t="s">
        <v>243</v>
      </c>
      <c r="B329" s="31" t="s">
        <v>244</v>
      </c>
      <c r="C329" s="31">
        <f>VLOOKUP($B329,'Tillförd energi'!$B$1:$AI$720,MATCH(C$1,'Tillförd energi'!$B$1:$AQ$1,0),FALSE)</f>
        <v>0</v>
      </c>
      <c r="D329" s="31">
        <f>VLOOKUP($B329,'Tillförd energi'!$B$1:$AI$720,MATCH(D$1,'Tillförd energi'!$B$1:$AQ$1,0),FALSE)</f>
        <v>2.4E-2</v>
      </c>
      <c r="E329" s="31">
        <f>VLOOKUP($B329,'Tillförd energi'!$B$1:$AI$720,MATCH(E$1,'Tillförd energi'!$B$1:$AQ$1,0),FALSE)</f>
        <v>0</v>
      </c>
      <c r="F329" s="31">
        <f>VLOOKUP($B329,'Tillförd energi'!$B$1:$AI$720,MATCH(F$1,'Tillförd energi'!$B$1:$AQ$1,0),FALSE)</f>
        <v>0</v>
      </c>
      <c r="G329" s="31">
        <f>VLOOKUP($B329,'Tillförd energi'!$B$1:$AI$720,MATCH(G$1,'Tillförd energi'!$B$1:$AQ$1,0),FALSE)</f>
        <v>0</v>
      </c>
      <c r="H329" s="31">
        <f>VLOOKUP($B329,'Tillförd energi'!$B$1:$AI$720,MATCH(H$1,'Tillförd energi'!$B$1:$AQ$1,0),FALSE)</f>
        <v>0</v>
      </c>
      <c r="I329" s="31">
        <f>VLOOKUP($B329,'Tillförd energi'!$B$1:$AI$720,MATCH(I$1,'Tillförd energi'!$B$1:$AQ$1,0),FALSE)</f>
        <v>0</v>
      </c>
      <c r="J329" s="31">
        <f>VLOOKUP($B329,'Tillförd energi'!$B$1:$AI$720,MATCH(J$1,'Tillförd energi'!$B$1:$AQ$1,0),FALSE)</f>
        <v>0</v>
      </c>
      <c r="K329" s="31">
        <f>VLOOKUP($B329,'Tillförd energi'!$B$1:$AI$720,MATCH(K$1,'Tillförd energi'!$B$1:$AQ$1,0),FALSE)</f>
        <v>0</v>
      </c>
      <c r="L329" s="31">
        <f>VLOOKUP($B329,'Tillförd energi'!$B$1:$AI$720,MATCH(L$1,'Tillförd energi'!$B$1:$AQ$1,0),FALSE)</f>
        <v>0</v>
      </c>
      <c r="M329" s="31">
        <f>VLOOKUP($B329,'Tillförd energi'!$B$1:$AI$720,MATCH(M$1,'Tillförd energi'!$B$1:$AQ$1,0),FALSE)</f>
        <v>0</v>
      </c>
      <c r="N329" s="31">
        <f>VLOOKUP($B329,'Tillförd energi'!$B$1:$AI$720,MATCH(N$1,'Tillförd energi'!$B$1:$AQ$1,0),FALSE)</f>
        <v>0</v>
      </c>
      <c r="O329" s="31">
        <f>VLOOKUP($B329,'Tillförd energi'!$B$1:$AI$720,MATCH(O$1,'Tillförd energi'!$B$1:$AQ$1,0),FALSE)</f>
        <v>0</v>
      </c>
      <c r="P329" s="31">
        <f>VLOOKUP($B329,'Tillförd energi'!$B$1:$AI$720,MATCH(P$1,'Tillförd energi'!$B$1:$AQ$1,0),FALSE)</f>
        <v>0</v>
      </c>
      <c r="Q329" s="31">
        <f>VLOOKUP($B329,'Tillförd energi'!$B$1:$AI$720,MATCH(Q$1,'Tillförd energi'!$B$1:$AQ$1,0),FALSE)</f>
        <v>0</v>
      </c>
      <c r="R329" s="31">
        <f>VLOOKUP($B329,'Tillförd energi'!$B$1:$AI$720,MATCH(R$1,'Tillförd energi'!$B$1:$AQ$1,0),FALSE)</f>
        <v>2.762</v>
      </c>
      <c r="S329" s="31">
        <f>VLOOKUP($B329,'Tillförd energi'!$B$1:$AI$720,MATCH(S$1,'Tillförd energi'!$B$1:$AQ$1,0),FALSE)</f>
        <v>0</v>
      </c>
      <c r="T329" s="31">
        <f>VLOOKUP($B329,'Tillförd energi'!$B$1:$AI$720,MATCH(T$1,'Tillförd energi'!$B$1:$AQ$1,0),FALSE)</f>
        <v>0</v>
      </c>
      <c r="U329" s="31">
        <f>VLOOKUP($B329,'Tillförd energi'!$B$1:$AI$720,MATCH(U$1,'Tillförd energi'!$B$1:$AQ$1,0),FALSE)</f>
        <v>0</v>
      </c>
      <c r="V329" s="31">
        <f>VLOOKUP($B329,'Tillförd energi'!$B$1:$AI$720,MATCH(V$1,'Tillförd energi'!$B$1:$AQ$1,0),FALSE)</f>
        <v>0</v>
      </c>
      <c r="W329" s="31">
        <f>VLOOKUP($B329,'Tillförd energi'!$B$1:$AI$720,MATCH(W$1,'Tillförd energi'!$B$1:$AQ$1,0),FALSE)</f>
        <v>0</v>
      </c>
      <c r="X329" s="31">
        <f>VLOOKUP($B329,'Tillförd energi'!$B$1:$AI$720,MATCH(X$1,'Tillförd energi'!$B$1:$AQ$1,0),FALSE)</f>
        <v>0</v>
      </c>
      <c r="Y329" s="31">
        <f>VLOOKUP($B329,'Tillförd energi'!$B$1:$AI$720,MATCH(Y$1,'Tillförd energi'!$B$1:$AQ$1,0),FALSE)</f>
        <v>0</v>
      </c>
      <c r="Z329" s="31">
        <f>VLOOKUP($B329,'Tillförd energi'!$B$1:$AI$720,MATCH(Z$1,'Tillförd energi'!$B$1:$AQ$1,0),FALSE)</f>
        <v>0</v>
      </c>
      <c r="AA329" s="31">
        <f>VLOOKUP($B329,'Tillförd energi'!$B$1:$AI$720,MATCH(AA$1,'Tillförd energi'!$B$1:$AQ$1,0),FALSE)</f>
        <v>0</v>
      </c>
      <c r="AB329" s="31">
        <f>VLOOKUP($B329,'Tillförd energi'!$B$1:$AI$720,MATCH(AB$1,'Tillförd energi'!$B$1:$AQ$1,0),FALSE)</f>
        <v>0</v>
      </c>
      <c r="AC329" s="31">
        <f>VLOOKUP($B329,'Tillförd energi'!$B$1:$AI$720,MATCH(AC$1,'Tillförd energi'!$B$1:$AQ$1,0),FALSE)</f>
        <v>0</v>
      </c>
      <c r="AD329" s="31">
        <f>VLOOKUP($B329,'Tillförd energi'!$B$1:$AI$720,MATCH(AD$1,'Tillförd energi'!$B$1:$AQ$1,0),FALSE)</f>
        <v>0</v>
      </c>
      <c r="AE329" s="31">
        <f>VLOOKUP($B329,'Tillförd energi'!$B$1:$AI$720,MATCH(AE$1,'Tillförd energi'!$B$1:$AQ$1,0),FALSE)</f>
        <v>0</v>
      </c>
      <c r="AF329" s="31">
        <f>VLOOKUP($B329,'Tillförd energi'!$B$1:$AI$720,MATCH(AF$1,'Tillförd energi'!$B$1:$AQ$1,0),FALSE)</f>
        <v>4.5999999999999999E-2</v>
      </c>
      <c r="AG329" s="31">
        <f>IFERROR(VLOOKUP(B329,Miljö!$B$1:$AC$550,MATCH("Köpt mängd produktionsspecifik fjärrvärme:",Miljö!$B$1:$AC$1,0),FALSE)/1,0)</f>
        <v>0</v>
      </c>
      <c r="AI329" s="31">
        <f t="shared" si="115"/>
        <v>2.8319999999999999</v>
      </c>
      <c r="AJ329" s="31">
        <f t="shared" si="116"/>
        <v>2.8319999999999999</v>
      </c>
      <c r="AK329" s="31">
        <f>IF(ISERROR(1/VLOOKUP($B329,Leveranser!$B$1:$S$499,MATCH("Såld värme (GWh)",Leveranser!$B$1:$S$1,0),FALSE)),"",VLOOKUP($B329,Leveranser!$B$1:$S$499,MATCH("Såld värme (GWh)",Leveranser!$B$1:$S$1,0),FALSE))</f>
        <v>2.4460000000000002</v>
      </c>
      <c r="AL329" s="31">
        <f>VLOOKUP($B329,Leveranser!$B$1:$Y$499,MATCH("Totalt såld fjärrvärme till andra fjärrvärmeföretag",Leveranser!$B$1:$AA$1,0),FALSE)</f>
        <v>0</v>
      </c>
      <c r="AM329" s="31">
        <f>IF(ISERROR(1/VLOOKUP($B329,Miljö!$B$1:$S$500,MATCH("Såld mängd produktionsspecifik fjärrvärme (GWh)",Miljö!$B$1:$R$1,0),FALSE)),0,VLOOKUP($B329,Miljö!$B$1:$S$500,MATCH("Såld mängd produktionsspecifik fjärrvärme (GWh)",Miljö!$B$1:$R$1,0),FALSE))</f>
        <v>0</v>
      </c>
      <c r="AN329" s="32">
        <f t="shared" si="117"/>
        <v>0.86370056497175152</v>
      </c>
      <c r="AP329" s="31" t="str">
        <f>IFERROR(VLOOKUP($B329,Miljövärden!$B$2:$H$550,7,FALSE),"Nej, saknas")</f>
        <v>Ja</v>
      </c>
      <c r="AQ329" s="31" t="str">
        <f>IFERROR(VLOOKUP($B329,Miljövärden!$B$2:$H$551,6,FALSE),"Nej, saknas")</f>
        <v>Nej</v>
      </c>
      <c r="AU329" s="31">
        <f t="shared" si="118"/>
        <v>4.5999999999999999E-2</v>
      </c>
      <c r="AV329" s="31">
        <f t="shared" si="119"/>
        <v>0</v>
      </c>
      <c r="AW329" s="31">
        <f t="shared" si="120"/>
        <v>0</v>
      </c>
      <c r="AX329" s="31">
        <f t="shared" si="121"/>
        <v>2.762</v>
      </c>
      <c r="AZ329" s="31">
        <f t="shared" si="122"/>
        <v>2.762</v>
      </c>
      <c r="BC329" s="31">
        <f t="shared" si="123"/>
        <v>2.4E-2</v>
      </c>
      <c r="BD329" s="31">
        <f t="shared" si="124"/>
        <v>0</v>
      </c>
      <c r="BE329" s="31">
        <f t="shared" si="125"/>
        <v>2.762</v>
      </c>
      <c r="BF329" s="31">
        <f t="shared" si="126"/>
        <v>0</v>
      </c>
      <c r="BG329" s="31">
        <f t="shared" si="127"/>
        <v>4.5999999999999999E-2</v>
      </c>
      <c r="BH329" s="31">
        <f>VLOOKUP(B329,Miljö!$B$1:$BX$482,MATCH("Fossilandel för ursprungspecificerad el ()",Miljö!$B$1:$I$1,0),FALSE)</f>
        <v>0.35</v>
      </c>
      <c r="BI329" s="31">
        <f>VLOOKUP(B329,Miljö!$B$1:$BX$482,MATCH("Kärnkraftsandel för ursprungsspecificerad el ()",Miljö!$B$1:$O$1,0),FALSE)</f>
        <v>0.3977</v>
      </c>
      <c r="BJ329" s="31">
        <f t="shared" si="128"/>
        <v>0</v>
      </c>
      <c r="BK329" s="31" t="str">
        <f>VLOOKUP(B329,Miljö!$B$1:$P$482,MATCH("Fossil andel i procent (%)",Miljö!$B$1:$P$1,0),FALSE)</f>
        <v>ET</v>
      </c>
      <c r="BL329" s="31">
        <f t="shared" si="129"/>
        <v>2.8319999999999999</v>
      </c>
      <c r="BO329" s="32">
        <f t="shared" si="130"/>
        <v>1.4159604519774011E-2</v>
      </c>
      <c r="BP329" s="32">
        <f t="shared" si="131"/>
        <v>6.4598163841807915E-3</v>
      </c>
      <c r="BQ329" s="32">
        <f t="shared" si="132"/>
        <v>0.97938057909604526</v>
      </c>
      <c r="BR329" s="32">
        <f t="shared" si="133"/>
        <v>0</v>
      </c>
      <c r="BT329" s="62">
        <f t="shared" si="134"/>
        <v>1</v>
      </c>
      <c r="BW329" s="32">
        <f>IF(AP329="Ja",VLOOKUP(B329,Miljövärden!$B$2:$H$551,MATCH("Total andel fossilt",Miljövärden!$B$2:$H$2,0),FALSE),"")</f>
        <v>1.41596E-2</v>
      </c>
      <c r="BX329" s="62">
        <f t="shared" si="135"/>
        <v>-4.5197740116548202E-9</v>
      </c>
      <c r="BZ329" s="31">
        <f t="shared" si="136"/>
        <v>-4.5197740116548202E-9</v>
      </c>
      <c r="CA329" s="32">
        <f t="shared" si="137"/>
        <v>0</v>
      </c>
    </row>
    <row r="330" spans="1:79" x14ac:dyDescent="0.45">
      <c r="A330" s="31" t="s">
        <v>243</v>
      </c>
      <c r="B330" s="31" t="s">
        <v>133</v>
      </c>
      <c r="C330" s="31">
        <f>VLOOKUP($B330,'Tillförd energi'!$B$1:$AI$720,MATCH(C$1,'Tillförd energi'!$B$1:$AQ$1,0),FALSE)</f>
        <v>0</v>
      </c>
      <c r="D330" s="31">
        <f>VLOOKUP($B330,'Tillförd energi'!$B$1:$AI$720,MATCH(D$1,'Tillförd energi'!$B$1:$AQ$1,0),FALSE)</f>
        <v>6.5000000000000002E-2</v>
      </c>
      <c r="E330" s="31">
        <f>VLOOKUP($B330,'Tillförd energi'!$B$1:$AI$720,MATCH(E$1,'Tillförd energi'!$B$1:$AQ$1,0),FALSE)</f>
        <v>0</v>
      </c>
      <c r="F330" s="31">
        <f>VLOOKUP($B330,'Tillförd energi'!$B$1:$AI$720,MATCH(F$1,'Tillförd energi'!$B$1:$AQ$1,0),FALSE)</f>
        <v>0</v>
      </c>
      <c r="G330" s="31">
        <f>VLOOKUP($B330,'Tillförd energi'!$B$1:$AI$720,MATCH(G$1,'Tillförd energi'!$B$1:$AQ$1,0),FALSE)</f>
        <v>0</v>
      </c>
      <c r="H330" s="31">
        <f>VLOOKUP($B330,'Tillförd energi'!$B$1:$AI$720,MATCH(H$1,'Tillförd energi'!$B$1:$AQ$1,0),FALSE)</f>
        <v>0</v>
      </c>
      <c r="I330" s="31">
        <f>VLOOKUP($B330,'Tillförd energi'!$B$1:$AI$720,MATCH(I$1,'Tillförd energi'!$B$1:$AQ$1,0),FALSE)</f>
        <v>0</v>
      </c>
      <c r="J330" s="31">
        <f>VLOOKUP($B330,'Tillförd energi'!$B$1:$AI$720,MATCH(J$1,'Tillförd energi'!$B$1:$AQ$1,0),FALSE)</f>
        <v>0</v>
      </c>
      <c r="K330" s="31">
        <f>VLOOKUP($B330,'Tillförd energi'!$B$1:$AI$720,MATCH(K$1,'Tillförd energi'!$B$1:$AQ$1,0),FALSE)</f>
        <v>0</v>
      </c>
      <c r="L330" s="31">
        <f>VLOOKUP($B330,'Tillförd energi'!$B$1:$AI$720,MATCH(L$1,'Tillförd energi'!$B$1:$AQ$1,0),FALSE)</f>
        <v>0</v>
      </c>
      <c r="M330" s="31">
        <f>VLOOKUP($B330,'Tillförd energi'!$B$1:$AI$720,MATCH(M$1,'Tillförd energi'!$B$1:$AQ$1,0),FALSE)</f>
        <v>0</v>
      </c>
      <c r="N330" s="31">
        <f>VLOOKUP($B330,'Tillförd energi'!$B$1:$AI$720,MATCH(N$1,'Tillförd energi'!$B$1:$AQ$1,0),FALSE)</f>
        <v>0</v>
      </c>
      <c r="O330" s="31">
        <f>VLOOKUP($B330,'Tillförd energi'!$B$1:$AI$720,MATCH(O$1,'Tillförd energi'!$B$1:$AQ$1,0),FALSE)</f>
        <v>0</v>
      </c>
      <c r="P330" s="31">
        <f>VLOOKUP($B330,'Tillförd energi'!$B$1:$AI$720,MATCH(P$1,'Tillförd energi'!$B$1:$AQ$1,0),FALSE)</f>
        <v>19.327999999999999</v>
      </c>
      <c r="Q330" s="31">
        <f>VLOOKUP($B330,'Tillförd energi'!$B$1:$AI$720,MATCH(Q$1,'Tillförd energi'!$B$1:$AQ$1,0),FALSE)</f>
        <v>0</v>
      </c>
      <c r="R330" s="31">
        <f>VLOOKUP($B330,'Tillförd energi'!$B$1:$AI$720,MATCH(R$1,'Tillförd energi'!$B$1:$AQ$1,0),FALSE)</f>
        <v>0</v>
      </c>
      <c r="S330" s="31">
        <f>VLOOKUP($B330,'Tillförd energi'!$B$1:$AI$720,MATCH(S$1,'Tillförd energi'!$B$1:$AQ$1,0),FALSE)</f>
        <v>0</v>
      </c>
      <c r="T330" s="31">
        <f>VLOOKUP($B330,'Tillförd energi'!$B$1:$AI$720,MATCH(T$1,'Tillförd energi'!$B$1:$AQ$1,0),FALSE)</f>
        <v>0</v>
      </c>
      <c r="U330" s="31">
        <f>VLOOKUP($B330,'Tillförd energi'!$B$1:$AI$720,MATCH(U$1,'Tillförd energi'!$B$1:$AQ$1,0),FALSE)</f>
        <v>0</v>
      </c>
      <c r="V330" s="31">
        <f>VLOOKUP($B330,'Tillförd energi'!$B$1:$AI$720,MATCH(V$1,'Tillförd energi'!$B$1:$AQ$1,0),FALSE)</f>
        <v>0</v>
      </c>
      <c r="W330" s="31">
        <f>VLOOKUP($B330,'Tillförd energi'!$B$1:$AI$720,MATCH(W$1,'Tillförd energi'!$B$1:$AQ$1,0),FALSE)</f>
        <v>0</v>
      </c>
      <c r="X330" s="31">
        <f>VLOOKUP($B330,'Tillförd energi'!$B$1:$AI$720,MATCH(X$1,'Tillförd energi'!$B$1:$AQ$1,0),FALSE)</f>
        <v>0</v>
      </c>
      <c r="Y330" s="31">
        <f>VLOOKUP($B330,'Tillförd energi'!$B$1:$AI$720,MATCH(Y$1,'Tillförd energi'!$B$1:$AQ$1,0),FALSE)</f>
        <v>0</v>
      </c>
      <c r="Z330" s="31">
        <f>VLOOKUP($B330,'Tillförd energi'!$B$1:$AI$720,MATCH(Z$1,'Tillförd energi'!$B$1:$AQ$1,0),FALSE)</f>
        <v>0</v>
      </c>
      <c r="AA330" s="31">
        <f>VLOOKUP($B330,'Tillförd energi'!$B$1:$AI$720,MATCH(AA$1,'Tillförd energi'!$B$1:$AQ$1,0),FALSE)</f>
        <v>0</v>
      </c>
      <c r="AB330" s="31">
        <f>VLOOKUP($B330,'Tillförd energi'!$B$1:$AI$720,MATCH(AB$1,'Tillförd energi'!$B$1:$AQ$1,0),FALSE)</f>
        <v>0</v>
      </c>
      <c r="AC330" s="31">
        <f>VLOOKUP($B330,'Tillförd energi'!$B$1:$AI$720,MATCH(AC$1,'Tillförd energi'!$B$1:$AQ$1,0),FALSE)</f>
        <v>1.028</v>
      </c>
      <c r="AD330" s="31">
        <f>VLOOKUP($B330,'Tillförd energi'!$B$1:$AI$720,MATCH(AD$1,'Tillförd energi'!$B$1:$AQ$1,0),FALSE)</f>
        <v>0</v>
      </c>
      <c r="AE330" s="31">
        <f>VLOOKUP($B330,'Tillförd energi'!$B$1:$AI$720,MATCH(AE$1,'Tillförd energi'!$B$1:$AQ$1,0),FALSE)</f>
        <v>0</v>
      </c>
      <c r="AF330" s="31">
        <f>VLOOKUP($B330,'Tillförd energi'!$B$1:$AI$720,MATCH(AF$1,'Tillförd energi'!$B$1:$AQ$1,0),FALSE)</f>
        <v>0.32800000000000001</v>
      </c>
      <c r="AG330" s="31">
        <f>IFERROR(VLOOKUP(B330,Miljö!$B$1:$AC$550,MATCH("Köpt mängd produktionsspecifik fjärrvärme:",Miljö!$B$1:$AC$1,0),FALSE)/1,0)</f>
        <v>0</v>
      </c>
      <c r="AI330" s="31">
        <f t="shared" si="115"/>
        <v>20.748999999999999</v>
      </c>
      <c r="AJ330" s="31">
        <f t="shared" si="116"/>
        <v>20.748999999999999</v>
      </c>
      <c r="AK330" s="31">
        <f>IF(ISERROR(1/VLOOKUP($B330,Leveranser!$B$1:$S$499,MATCH("Såld värme (GWh)",Leveranser!$B$1:$S$1,0),FALSE)),"",VLOOKUP($B330,Leveranser!$B$1:$S$499,MATCH("Såld värme (GWh)",Leveranser!$B$1:$S$1,0),FALSE))</f>
        <v>14.295999999999999</v>
      </c>
      <c r="AL330" s="31">
        <f>VLOOKUP($B330,Leveranser!$B$1:$Y$499,MATCH("Totalt såld fjärrvärme till andra fjärrvärmeföretag",Leveranser!$B$1:$AA$1,0),FALSE)</f>
        <v>0</v>
      </c>
      <c r="AM330" s="31">
        <f>IF(ISERROR(1/VLOOKUP($B330,Miljö!$B$1:$S$500,MATCH("Såld mängd produktionsspecifik fjärrvärme (GWh)",Miljö!$B$1:$R$1,0),FALSE)),0,VLOOKUP($B330,Miljö!$B$1:$S$500,MATCH("Såld mängd produktionsspecifik fjärrvärme (GWh)",Miljö!$B$1:$R$1,0),FALSE))</f>
        <v>0</v>
      </c>
      <c r="AN330" s="32">
        <f t="shared" si="117"/>
        <v>0.68899706009928186</v>
      </c>
      <c r="AP330" s="31" t="str">
        <f>IFERROR(VLOOKUP($B330,Miljövärden!$B$2:$H$550,7,FALSE),"Nej, saknas")</f>
        <v>Ja</v>
      </c>
      <c r="AQ330" s="31" t="str">
        <f>IFERROR(VLOOKUP($B330,Miljövärden!$B$2:$H$551,6,FALSE),"Nej, saknas")</f>
        <v>Nej</v>
      </c>
      <c r="AU330" s="31">
        <f t="shared" si="118"/>
        <v>0.32800000000000001</v>
      </c>
      <c r="AV330" s="31">
        <f t="shared" si="119"/>
        <v>0</v>
      </c>
      <c r="AW330" s="31">
        <f t="shared" si="120"/>
        <v>19.327999999999999</v>
      </c>
      <c r="AX330" s="31">
        <f t="shared" si="121"/>
        <v>0</v>
      </c>
      <c r="AZ330" s="31">
        <f t="shared" si="122"/>
        <v>19.327999999999999</v>
      </c>
      <c r="BC330" s="31">
        <f t="shared" si="123"/>
        <v>6.5000000000000002E-2</v>
      </c>
      <c r="BD330" s="31">
        <f t="shared" si="124"/>
        <v>0</v>
      </c>
      <c r="BE330" s="31">
        <f t="shared" si="125"/>
        <v>19.327999999999999</v>
      </c>
      <c r="BF330" s="31">
        <f t="shared" si="126"/>
        <v>1.028</v>
      </c>
      <c r="BG330" s="31">
        <f t="shared" si="127"/>
        <v>0.32800000000000001</v>
      </c>
      <c r="BH330" s="31">
        <f>VLOOKUP(B330,Miljö!$B$1:$BX$482,MATCH("Fossilandel för ursprungspecificerad el ()",Miljö!$B$1:$I$1,0),FALSE)</f>
        <v>0.35</v>
      </c>
      <c r="BI330" s="31">
        <f>VLOOKUP(B330,Miljö!$B$1:$BX$482,MATCH("Kärnkraftsandel för ursprungsspecificerad el ()",Miljö!$B$1:$O$1,0),FALSE)</f>
        <v>0.3977</v>
      </c>
      <c r="BJ330" s="31">
        <f t="shared" si="128"/>
        <v>0</v>
      </c>
      <c r="BK330" s="31" t="str">
        <f>VLOOKUP(B330,Miljö!$B$1:$P$482,MATCH("Fossil andel i procent (%)",Miljö!$B$1:$P$1,0),FALSE)</f>
        <v>ET</v>
      </c>
      <c r="BL330" s="31">
        <f t="shared" si="129"/>
        <v>20.748999999999999</v>
      </c>
      <c r="BO330" s="32">
        <f t="shared" si="130"/>
        <v>8.6654778543544288E-3</v>
      </c>
      <c r="BP330" s="32">
        <f t="shared" si="131"/>
        <v>6.2868379198997544E-3</v>
      </c>
      <c r="BQ330" s="32">
        <f t="shared" si="132"/>
        <v>0.93550312786158363</v>
      </c>
      <c r="BR330" s="32">
        <f t="shared" si="133"/>
        <v>4.9544556364162134E-2</v>
      </c>
      <c r="BT330" s="62">
        <f t="shared" si="134"/>
        <v>0.99999999999999989</v>
      </c>
      <c r="BW330" s="32">
        <f>IF(AP330="Ja",VLOOKUP(B330,Miljövärden!$B$2:$H$551,MATCH("Total andel fossilt",Miljövärden!$B$2:$H$2,0),FALSE),"")</f>
        <v>8.6654799999999997E-3</v>
      </c>
      <c r="BX330" s="62">
        <f t="shared" si="135"/>
        <v>2.1456455709389921E-9</v>
      </c>
      <c r="BZ330" s="31">
        <f t="shared" si="136"/>
        <v>2.1456455709389921E-9</v>
      </c>
      <c r="CA330" s="32">
        <f t="shared" si="137"/>
        <v>0</v>
      </c>
    </row>
    <row r="331" spans="1:79" x14ac:dyDescent="0.45">
      <c r="A331" s="31" t="s">
        <v>243</v>
      </c>
      <c r="B331" s="31" t="s">
        <v>245</v>
      </c>
      <c r="C331" s="31">
        <f>VLOOKUP($B331,'Tillförd energi'!$B$1:$AI$720,MATCH(C$1,'Tillförd energi'!$B$1:$AQ$1,0),FALSE)</f>
        <v>0</v>
      </c>
      <c r="D331" s="31">
        <f>VLOOKUP($B331,'Tillförd energi'!$B$1:$AI$720,MATCH(D$1,'Tillförd energi'!$B$1:$AQ$1,0),FALSE)</f>
        <v>2.024</v>
      </c>
      <c r="E331" s="31">
        <f>VLOOKUP($B331,'Tillförd energi'!$B$1:$AI$720,MATCH(E$1,'Tillförd energi'!$B$1:$AQ$1,0),FALSE)</f>
        <v>0</v>
      </c>
      <c r="F331" s="31">
        <f>VLOOKUP($B331,'Tillförd energi'!$B$1:$AI$720,MATCH(F$1,'Tillförd energi'!$B$1:$AQ$1,0),FALSE)</f>
        <v>0</v>
      </c>
      <c r="G331" s="31">
        <f>VLOOKUP($B331,'Tillförd energi'!$B$1:$AI$720,MATCH(G$1,'Tillförd energi'!$B$1:$AQ$1,0),FALSE)</f>
        <v>0</v>
      </c>
      <c r="H331" s="31">
        <f>VLOOKUP($B331,'Tillförd energi'!$B$1:$AI$720,MATCH(H$1,'Tillförd energi'!$B$1:$AQ$1,0),FALSE)</f>
        <v>0</v>
      </c>
      <c r="I331" s="31">
        <f>VLOOKUP($B331,'Tillförd energi'!$B$1:$AI$720,MATCH(I$1,'Tillförd energi'!$B$1:$AQ$1,0),FALSE)</f>
        <v>0</v>
      </c>
      <c r="J331" s="31">
        <f>VLOOKUP($B331,'Tillförd energi'!$B$1:$AI$720,MATCH(J$1,'Tillförd energi'!$B$1:$AQ$1,0),FALSE)</f>
        <v>0</v>
      </c>
      <c r="K331" s="31">
        <f>VLOOKUP($B331,'Tillförd energi'!$B$1:$AI$720,MATCH(K$1,'Tillförd energi'!$B$1:$AQ$1,0),FALSE)</f>
        <v>0</v>
      </c>
      <c r="L331" s="31">
        <f>VLOOKUP($B331,'Tillförd energi'!$B$1:$AI$720,MATCH(L$1,'Tillförd energi'!$B$1:$AQ$1,0),FALSE)</f>
        <v>0</v>
      </c>
      <c r="M331" s="31">
        <f>VLOOKUP($B331,'Tillförd energi'!$B$1:$AI$720,MATCH(M$1,'Tillförd energi'!$B$1:$AQ$1,0),FALSE)</f>
        <v>14.215999999999999</v>
      </c>
      <c r="N331" s="31">
        <f>VLOOKUP($B331,'Tillförd energi'!$B$1:$AI$720,MATCH(N$1,'Tillförd energi'!$B$1:$AQ$1,0),FALSE)</f>
        <v>3.105</v>
      </c>
      <c r="O331" s="31">
        <f>VLOOKUP($B331,'Tillförd energi'!$B$1:$AI$720,MATCH(O$1,'Tillförd energi'!$B$1:$AQ$1,0),FALSE)</f>
        <v>0</v>
      </c>
      <c r="P331" s="31">
        <f>VLOOKUP($B331,'Tillförd energi'!$B$1:$AI$720,MATCH(P$1,'Tillförd energi'!$B$1:$AQ$1,0),FALSE)</f>
        <v>42.895000000000003</v>
      </c>
      <c r="Q331" s="31">
        <f>VLOOKUP($B331,'Tillförd energi'!$B$1:$AI$720,MATCH(Q$1,'Tillförd energi'!$B$1:$AQ$1,0),FALSE)</f>
        <v>49.466999999999999</v>
      </c>
      <c r="R331" s="31">
        <f>VLOOKUP($B331,'Tillförd energi'!$B$1:$AI$720,MATCH(R$1,'Tillförd energi'!$B$1:$AQ$1,0),FALSE)</f>
        <v>0</v>
      </c>
      <c r="S331" s="31">
        <f>VLOOKUP($B331,'Tillförd energi'!$B$1:$AI$720,MATCH(S$1,'Tillförd energi'!$B$1:$AQ$1,0),FALSE)</f>
        <v>0</v>
      </c>
      <c r="T331" s="31">
        <f>VLOOKUP($B331,'Tillförd energi'!$B$1:$AI$720,MATCH(T$1,'Tillförd energi'!$B$1:$AQ$1,0),FALSE)</f>
        <v>0</v>
      </c>
      <c r="U331" s="31">
        <f>VLOOKUP($B331,'Tillförd energi'!$B$1:$AI$720,MATCH(U$1,'Tillförd energi'!$B$1:$AQ$1,0),FALSE)</f>
        <v>0</v>
      </c>
      <c r="V331" s="31">
        <f>VLOOKUP($B331,'Tillförd energi'!$B$1:$AI$720,MATCH(V$1,'Tillförd energi'!$B$1:$AQ$1,0),FALSE)</f>
        <v>0</v>
      </c>
      <c r="W331" s="31">
        <f>VLOOKUP($B331,'Tillförd energi'!$B$1:$AI$720,MATCH(W$1,'Tillförd energi'!$B$1:$AQ$1,0),FALSE)</f>
        <v>0</v>
      </c>
      <c r="X331" s="31">
        <f>VLOOKUP($B331,'Tillförd energi'!$B$1:$AI$720,MATCH(X$1,'Tillförd energi'!$B$1:$AQ$1,0),FALSE)</f>
        <v>0</v>
      </c>
      <c r="Y331" s="31">
        <f>VLOOKUP($B331,'Tillförd energi'!$B$1:$AI$720,MATCH(Y$1,'Tillförd energi'!$B$1:$AQ$1,0),FALSE)</f>
        <v>0</v>
      </c>
      <c r="Z331" s="31">
        <f>VLOOKUP($B331,'Tillförd energi'!$B$1:$AI$720,MATCH(Z$1,'Tillförd energi'!$B$1:$AQ$1,0),FALSE)</f>
        <v>0</v>
      </c>
      <c r="AA331" s="31">
        <f>VLOOKUP($B331,'Tillförd energi'!$B$1:$AI$720,MATCH(AA$1,'Tillförd energi'!$B$1:$AQ$1,0),FALSE)</f>
        <v>0</v>
      </c>
      <c r="AB331" s="31">
        <f>VLOOKUP($B331,'Tillförd energi'!$B$1:$AI$720,MATCH(AB$1,'Tillförd energi'!$B$1:$AQ$1,0),FALSE)</f>
        <v>0</v>
      </c>
      <c r="AC331" s="31">
        <f>VLOOKUP($B331,'Tillförd energi'!$B$1:$AI$720,MATCH(AC$1,'Tillförd energi'!$B$1:$AQ$1,0),FALSE)</f>
        <v>5.8959999999999999</v>
      </c>
      <c r="AD331" s="31">
        <f>VLOOKUP($B331,'Tillförd energi'!$B$1:$AI$720,MATCH(AD$1,'Tillförd energi'!$B$1:$AQ$1,0),FALSE)</f>
        <v>0</v>
      </c>
      <c r="AE331" s="31">
        <f>VLOOKUP($B331,'Tillförd energi'!$B$1:$AI$720,MATCH(AE$1,'Tillförd energi'!$B$1:$AQ$1,0),FALSE)</f>
        <v>0</v>
      </c>
      <c r="AF331" s="31">
        <f>VLOOKUP($B331,'Tillförd energi'!$B$1:$AI$720,MATCH(AF$1,'Tillförd energi'!$B$1:$AQ$1,0),FALSE)</f>
        <v>3.3969999999999998</v>
      </c>
      <c r="AG331" s="31">
        <f>IFERROR(VLOOKUP(B331,Miljö!$B$1:$AC$550,MATCH("Köpt mängd produktionsspecifik fjärrvärme:",Miljö!$B$1:$AC$1,0),FALSE)/1,0)</f>
        <v>0</v>
      </c>
      <c r="AI331" s="31">
        <f t="shared" si="115"/>
        <v>121</v>
      </c>
      <c r="AJ331" s="31">
        <f t="shared" si="116"/>
        <v>121</v>
      </c>
      <c r="AK331" s="31">
        <f>IF(ISERROR(1/VLOOKUP($B331,Leveranser!$B$1:$S$499,MATCH("Såld värme (GWh)",Leveranser!$B$1:$S$1,0),FALSE)),"",VLOOKUP($B331,Leveranser!$B$1:$S$499,MATCH("Såld värme (GWh)",Leveranser!$B$1:$S$1,0),FALSE))</f>
        <v>90.472999999999999</v>
      </c>
      <c r="AL331" s="31">
        <f>VLOOKUP($B331,Leveranser!$B$1:$Y$499,MATCH("Totalt såld fjärrvärme till andra fjärrvärmeföretag",Leveranser!$B$1:$AA$1,0),FALSE)</f>
        <v>0</v>
      </c>
      <c r="AM331" s="31">
        <f>IF(ISERROR(1/VLOOKUP($B331,Miljö!$B$1:$S$500,MATCH("Såld mängd produktionsspecifik fjärrvärme (GWh)",Miljö!$B$1:$R$1,0),FALSE)),0,VLOOKUP($B331,Miljö!$B$1:$S$500,MATCH("Såld mängd produktionsspecifik fjärrvärme (GWh)",Miljö!$B$1:$R$1,0),FALSE))</f>
        <v>0</v>
      </c>
      <c r="AN331" s="32">
        <f t="shared" si="117"/>
        <v>0.74771074380165292</v>
      </c>
      <c r="AP331" s="31" t="str">
        <f>IFERROR(VLOOKUP($B331,Miljövärden!$B$2:$H$550,7,FALSE),"Nej, saknas")</f>
        <v>Ja</v>
      </c>
      <c r="AQ331" s="31" t="str">
        <f>IFERROR(VLOOKUP($B331,Miljövärden!$B$2:$H$551,6,FALSE),"Nej, saknas")</f>
        <v>Nej</v>
      </c>
      <c r="AU331" s="31">
        <f t="shared" si="118"/>
        <v>3.3969999999999998</v>
      </c>
      <c r="AV331" s="31">
        <f t="shared" si="119"/>
        <v>0</v>
      </c>
      <c r="AW331" s="31">
        <f t="shared" si="120"/>
        <v>109.68299999999999</v>
      </c>
      <c r="AX331" s="31">
        <f t="shared" si="121"/>
        <v>0</v>
      </c>
      <c r="AZ331" s="31">
        <f t="shared" si="122"/>
        <v>109.68299999999999</v>
      </c>
      <c r="BC331" s="31">
        <f t="shared" si="123"/>
        <v>2.024</v>
      </c>
      <c r="BD331" s="31">
        <f t="shared" si="124"/>
        <v>0</v>
      </c>
      <c r="BE331" s="31">
        <f t="shared" si="125"/>
        <v>109.68299999999999</v>
      </c>
      <c r="BF331" s="31">
        <f t="shared" si="126"/>
        <v>5.8959999999999999</v>
      </c>
      <c r="BG331" s="31">
        <f t="shared" si="127"/>
        <v>3.3969999999999998</v>
      </c>
      <c r="BH331" s="31">
        <f>VLOOKUP(B331,Miljö!$B$1:$BX$482,MATCH("Fossilandel för ursprungspecificerad el ()",Miljö!$B$1:$I$1,0),FALSE)</f>
        <v>0.35</v>
      </c>
      <c r="BI331" s="31">
        <f>VLOOKUP(B331,Miljö!$B$1:$BX$482,MATCH("Kärnkraftsandel för ursprungsspecificerad el ()",Miljö!$B$1:$O$1,0),FALSE)</f>
        <v>0.3977</v>
      </c>
      <c r="BJ331" s="31">
        <f t="shared" si="128"/>
        <v>0</v>
      </c>
      <c r="BK331" s="31" t="str">
        <f>VLOOKUP(B331,Miljö!$B$1:$P$482,MATCH("Fossil andel i procent (%)",Miljö!$B$1:$P$1,0),FALSE)</f>
        <v>ET</v>
      </c>
      <c r="BL331" s="31">
        <f t="shared" si="129"/>
        <v>121</v>
      </c>
      <c r="BO331" s="32">
        <f t="shared" si="130"/>
        <v>2.6553305785123969E-2</v>
      </c>
      <c r="BP331" s="32">
        <f t="shared" si="131"/>
        <v>1.1165180991735536E-2</v>
      </c>
      <c r="BQ331" s="32">
        <f t="shared" si="132"/>
        <v>0.91355424049586775</v>
      </c>
      <c r="BR331" s="32">
        <f t="shared" si="133"/>
        <v>4.8727272727272723E-2</v>
      </c>
      <c r="BT331" s="62">
        <f t="shared" si="134"/>
        <v>1</v>
      </c>
      <c r="BW331" s="32">
        <f>IF(AP331="Ja",VLOOKUP(B331,Miljövärden!$B$2:$H$551,MATCH("Total andel fossilt",Miljövärden!$B$2:$H$2,0),FALSE),"")</f>
        <v>2.6553299999999998E-2</v>
      </c>
      <c r="BX331" s="62">
        <f t="shared" si="135"/>
        <v>-5.7851239701478541E-9</v>
      </c>
      <c r="BZ331" s="31">
        <f t="shared" si="136"/>
        <v>-5.7851239701478541E-9</v>
      </c>
      <c r="CA331" s="32">
        <f t="shared" si="137"/>
        <v>0</v>
      </c>
    </row>
    <row r="332" spans="1:79" x14ac:dyDescent="0.45">
      <c r="A332" s="31" t="s">
        <v>243</v>
      </c>
      <c r="B332" s="31" t="s">
        <v>247</v>
      </c>
      <c r="C332" s="31">
        <f>VLOOKUP($B332,'Tillförd energi'!$B$1:$AI$720,MATCH(C$1,'Tillförd energi'!$B$1:$AQ$1,0),FALSE)</f>
        <v>0</v>
      </c>
      <c r="D332" s="31">
        <f>VLOOKUP($B332,'Tillförd energi'!$B$1:$AI$720,MATCH(D$1,'Tillförd energi'!$B$1:$AQ$1,0),FALSE)</f>
        <v>0.434</v>
      </c>
      <c r="E332" s="31">
        <f>VLOOKUP($B332,'Tillförd energi'!$B$1:$AI$720,MATCH(E$1,'Tillförd energi'!$B$1:$AQ$1,0),FALSE)</f>
        <v>0</v>
      </c>
      <c r="F332" s="31">
        <f>VLOOKUP($B332,'Tillförd energi'!$B$1:$AI$720,MATCH(F$1,'Tillförd energi'!$B$1:$AQ$1,0),FALSE)</f>
        <v>0</v>
      </c>
      <c r="G332" s="31">
        <f>VLOOKUP($B332,'Tillförd energi'!$B$1:$AI$720,MATCH(G$1,'Tillförd energi'!$B$1:$AQ$1,0),FALSE)</f>
        <v>0</v>
      </c>
      <c r="H332" s="31">
        <f>VLOOKUP($B332,'Tillförd energi'!$B$1:$AI$720,MATCH(H$1,'Tillförd energi'!$B$1:$AQ$1,0),FALSE)</f>
        <v>0</v>
      </c>
      <c r="I332" s="31">
        <f>VLOOKUP($B332,'Tillförd energi'!$B$1:$AI$720,MATCH(I$1,'Tillförd energi'!$B$1:$AQ$1,0),FALSE)</f>
        <v>0</v>
      </c>
      <c r="J332" s="31">
        <f>VLOOKUP($B332,'Tillförd energi'!$B$1:$AI$720,MATCH(J$1,'Tillförd energi'!$B$1:$AQ$1,0),FALSE)</f>
        <v>0</v>
      </c>
      <c r="K332" s="31">
        <f>VLOOKUP($B332,'Tillförd energi'!$B$1:$AI$720,MATCH(K$1,'Tillförd energi'!$B$1:$AQ$1,0),FALSE)</f>
        <v>0</v>
      </c>
      <c r="L332" s="31">
        <f>VLOOKUP($B332,'Tillförd energi'!$B$1:$AI$720,MATCH(L$1,'Tillförd energi'!$B$1:$AQ$1,0),FALSE)</f>
        <v>0</v>
      </c>
      <c r="M332" s="31">
        <f>VLOOKUP($B332,'Tillförd energi'!$B$1:$AI$720,MATCH(M$1,'Tillförd energi'!$B$1:$AQ$1,0),FALSE)</f>
        <v>4.26</v>
      </c>
      <c r="N332" s="31">
        <f>VLOOKUP($B332,'Tillförd energi'!$B$1:$AI$720,MATCH(N$1,'Tillförd energi'!$B$1:$AQ$1,0),FALSE)</f>
        <v>2.2570000000000001</v>
      </c>
      <c r="O332" s="31">
        <f>VLOOKUP($B332,'Tillförd energi'!$B$1:$AI$720,MATCH(O$1,'Tillförd energi'!$B$1:$AQ$1,0),FALSE)</f>
        <v>1.46</v>
      </c>
      <c r="P332" s="31">
        <f>VLOOKUP($B332,'Tillförd energi'!$B$1:$AI$720,MATCH(P$1,'Tillförd energi'!$B$1:$AQ$1,0),FALSE)</f>
        <v>5.758</v>
      </c>
      <c r="Q332" s="31">
        <f>VLOOKUP($B332,'Tillförd energi'!$B$1:$AI$720,MATCH(Q$1,'Tillförd energi'!$B$1:$AQ$1,0),FALSE)</f>
        <v>5.6059999999999999</v>
      </c>
      <c r="R332" s="31">
        <f>VLOOKUP($B332,'Tillförd energi'!$B$1:$AI$720,MATCH(R$1,'Tillförd energi'!$B$1:$AQ$1,0),FALSE)</f>
        <v>0</v>
      </c>
      <c r="S332" s="31">
        <f>VLOOKUP($B332,'Tillförd energi'!$B$1:$AI$720,MATCH(S$1,'Tillförd energi'!$B$1:$AQ$1,0),FALSE)</f>
        <v>0</v>
      </c>
      <c r="T332" s="31">
        <f>VLOOKUP($B332,'Tillförd energi'!$B$1:$AI$720,MATCH(T$1,'Tillförd energi'!$B$1:$AQ$1,0),FALSE)</f>
        <v>0</v>
      </c>
      <c r="U332" s="31">
        <f>VLOOKUP($B332,'Tillförd energi'!$B$1:$AI$720,MATCH(U$1,'Tillförd energi'!$B$1:$AQ$1,0),FALSE)</f>
        <v>0</v>
      </c>
      <c r="V332" s="31">
        <f>VLOOKUP($B332,'Tillförd energi'!$B$1:$AI$720,MATCH(V$1,'Tillförd energi'!$B$1:$AQ$1,0),FALSE)</f>
        <v>0</v>
      </c>
      <c r="W332" s="31">
        <f>VLOOKUP($B332,'Tillförd energi'!$B$1:$AI$720,MATCH(W$1,'Tillförd energi'!$B$1:$AQ$1,0),FALSE)</f>
        <v>0</v>
      </c>
      <c r="X332" s="31">
        <f>VLOOKUP($B332,'Tillförd energi'!$B$1:$AI$720,MATCH(X$1,'Tillförd energi'!$B$1:$AQ$1,0),FALSE)</f>
        <v>1.73882</v>
      </c>
      <c r="Y332" s="31">
        <f>VLOOKUP($B332,'Tillförd energi'!$B$1:$AI$720,MATCH(Y$1,'Tillförd energi'!$B$1:$AQ$1,0),FALSE)</f>
        <v>0</v>
      </c>
      <c r="Z332" s="31">
        <f>VLOOKUP($B332,'Tillförd energi'!$B$1:$AI$720,MATCH(Z$1,'Tillförd energi'!$B$1:$AQ$1,0),FALSE)</f>
        <v>0</v>
      </c>
      <c r="AA332" s="31">
        <f>VLOOKUP($B332,'Tillförd energi'!$B$1:$AI$720,MATCH(AA$1,'Tillförd energi'!$B$1:$AQ$1,0),FALSE)</f>
        <v>0</v>
      </c>
      <c r="AB332" s="31">
        <f>VLOOKUP($B332,'Tillförd energi'!$B$1:$AI$720,MATCH(AB$1,'Tillförd energi'!$B$1:$AQ$1,0),FALSE)</f>
        <v>0</v>
      </c>
      <c r="AC332" s="31">
        <f>VLOOKUP($B332,'Tillförd energi'!$B$1:$AI$720,MATCH(AC$1,'Tillförd energi'!$B$1:$AQ$1,0),FALSE)</f>
        <v>1.905</v>
      </c>
      <c r="AD332" s="31">
        <f>VLOOKUP($B332,'Tillförd energi'!$B$1:$AI$720,MATCH(AD$1,'Tillförd energi'!$B$1:$AQ$1,0),FALSE)</f>
        <v>0</v>
      </c>
      <c r="AE332" s="31">
        <f>VLOOKUP($B332,'Tillförd energi'!$B$1:$AI$720,MATCH(AE$1,'Tillförd energi'!$B$1:$AQ$1,0),FALSE)</f>
        <v>0</v>
      </c>
      <c r="AF332" s="31">
        <f>VLOOKUP($B332,'Tillförd energi'!$B$1:$AI$720,MATCH(AF$1,'Tillförd energi'!$B$1:$AQ$1,0),FALSE)</f>
        <v>0.47399999999999998</v>
      </c>
      <c r="AG332" s="31">
        <f>IFERROR(VLOOKUP(B332,Miljö!$B$1:$AC$550,MATCH("Köpt mängd produktionsspecifik fjärrvärme:",Miljö!$B$1:$AC$1,0),FALSE)/1,0)</f>
        <v>0</v>
      </c>
      <c r="AI332" s="31">
        <f t="shared" si="115"/>
        <v>23.89282</v>
      </c>
      <c r="AJ332" s="31">
        <f t="shared" si="116"/>
        <v>23.89282</v>
      </c>
      <c r="AK332" s="31">
        <f>IF(ISERROR(1/VLOOKUP($B332,Leveranser!$B$1:$S$499,MATCH("Såld värme (GWh)",Leveranser!$B$1:$S$1,0),FALSE)),"",VLOOKUP($B332,Leveranser!$B$1:$S$499,MATCH("Såld värme (GWh)",Leveranser!$B$1:$S$1,0),FALSE))</f>
        <v>17.913</v>
      </c>
      <c r="AL332" s="31">
        <f>VLOOKUP($B332,Leveranser!$B$1:$Y$499,MATCH("Totalt såld fjärrvärme till andra fjärrvärmeföretag",Leveranser!$B$1:$AA$1,0),FALSE)</f>
        <v>0</v>
      </c>
      <c r="AM332" s="31">
        <f>IF(ISERROR(1/VLOOKUP($B332,Miljö!$B$1:$S$500,MATCH("Såld mängd produktionsspecifik fjärrvärme (GWh)",Miljö!$B$1:$R$1,0),FALSE)),0,VLOOKUP($B332,Miljö!$B$1:$S$500,MATCH("Såld mängd produktionsspecifik fjärrvärme (GWh)",Miljö!$B$1:$R$1,0),FALSE))</f>
        <v>0</v>
      </c>
      <c r="AN332" s="32">
        <f t="shared" si="117"/>
        <v>0.7497231385830555</v>
      </c>
      <c r="AP332" s="31" t="str">
        <f>IFERROR(VLOOKUP($B332,Miljövärden!$B$2:$H$550,7,FALSE),"Nej, saknas")</f>
        <v>Ja</v>
      </c>
      <c r="AQ332" s="31" t="str">
        <f>IFERROR(VLOOKUP($B332,Miljövärden!$B$2:$H$551,6,FALSE),"Nej, saknas")</f>
        <v>Nej</v>
      </c>
      <c r="AU332" s="31">
        <f t="shared" si="118"/>
        <v>0.47399999999999998</v>
      </c>
      <c r="AV332" s="31">
        <f t="shared" si="119"/>
        <v>1.73882</v>
      </c>
      <c r="AW332" s="31">
        <f t="shared" si="120"/>
        <v>19.341000000000001</v>
      </c>
      <c r="AX332" s="31">
        <f t="shared" si="121"/>
        <v>0</v>
      </c>
      <c r="AZ332" s="31">
        <f t="shared" si="122"/>
        <v>21.079820000000002</v>
      </c>
      <c r="BC332" s="31">
        <f t="shared" si="123"/>
        <v>0.434</v>
      </c>
      <c r="BD332" s="31">
        <f t="shared" si="124"/>
        <v>0</v>
      </c>
      <c r="BE332" s="31">
        <f t="shared" si="125"/>
        <v>21.079820000000002</v>
      </c>
      <c r="BF332" s="31">
        <f t="shared" si="126"/>
        <v>1.905</v>
      </c>
      <c r="BG332" s="31">
        <f t="shared" si="127"/>
        <v>0.47399999999999998</v>
      </c>
      <c r="BH332" s="31">
        <f>VLOOKUP(B332,Miljö!$B$1:$BX$482,MATCH("Fossilandel för ursprungspecificerad el ()",Miljö!$B$1:$I$1,0),FALSE)</f>
        <v>0.35</v>
      </c>
      <c r="BI332" s="31">
        <f>VLOOKUP(B332,Miljö!$B$1:$BX$482,MATCH("Kärnkraftsandel för ursprungsspecificerad el ()",Miljö!$B$1:$O$1,0),FALSE)</f>
        <v>0.3977</v>
      </c>
      <c r="BJ332" s="31">
        <f t="shared" si="128"/>
        <v>0</v>
      </c>
      <c r="BK332" s="31" t="str">
        <f>VLOOKUP(B332,Miljö!$B$1:$P$482,MATCH("Fossil andel i procent (%)",Miljö!$B$1:$P$1,0),FALSE)</f>
        <v>ET</v>
      </c>
      <c r="BL332" s="31">
        <f t="shared" si="129"/>
        <v>23.892820000000004</v>
      </c>
      <c r="BO332" s="32">
        <f t="shared" si="130"/>
        <v>2.5107961303856133E-2</v>
      </c>
      <c r="BP332" s="32">
        <f t="shared" si="131"/>
        <v>7.889809574591863E-3</v>
      </c>
      <c r="BQ332" s="32">
        <f t="shared" si="132"/>
        <v>0.88727116347086699</v>
      </c>
      <c r="BR332" s="32">
        <f t="shared" si="133"/>
        <v>7.973106565068501E-2</v>
      </c>
      <c r="BT332" s="62">
        <f t="shared" si="134"/>
        <v>1</v>
      </c>
      <c r="BW332" s="32">
        <f>IF(AP332="Ja",VLOOKUP(B332,Miljövärden!$B$2:$H$551,MATCH("Total andel fossilt",Miljövärden!$B$2:$H$2,0),FALSE),"")</f>
        <v>2.5107999999999998E-2</v>
      </c>
      <c r="BX332" s="62">
        <f t="shared" si="135"/>
        <v>3.8696143865590837E-8</v>
      </c>
      <c r="BZ332" s="31">
        <f t="shared" si="136"/>
        <v>3.8696143865590837E-8</v>
      </c>
      <c r="CA332" s="32">
        <f t="shared" si="137"/>
        <v>0</v>
      </c>
    </row>
    <row r="333" spans="1:79" x14ac:dyDescent="0.45">
      <c r="A333" s="31" t="s">
        <v>243</v>
      </c>
      <c r="B333" s="31" t="s">
        <v>246</v>
      </c>
      <c r="C333" s="31">
        <f>VLOOKUP($B333,'Tillförd energi'!$B$1:$AI$720,MATCH(C$1,'Tillförd energi'!$B$1:$AQ$1,0),FALSE)</f>
        <v>0</v>
      </c>
      <c r="D333" s="31">
        <f>VLOOKUP($B333,'Tillförd energi'!$B$1:$AI$720,MATCH(D$1,'Tillförd energi'!$B$1:$AQ$1,0),FALSE)</f>
        <v>0.12</v>
      </c>
      <c r="E333" s="31">
        <f>VLOOKUP($B333,'Tillförd energi'!$B$1:$AI$720,MATCH(E$1,'Tillförd energi'!$B$1:$AQ$1,0),FALSE)</f>
        <v>0</v>
      </c>
      <c r="F333" s="31">
        <f>VLOOKUP($B333,'Tillförd energi'!$B$1:$AI$720,MATCH(F$1,'Tillförd energi'!$B$1:$AQ$1,0),FALSE)</f>
        <v>0</v>
      </c>
      <c r="G333" s="31">
        <f>VLOOKUP($B333,'Tillförd energi'!$B$1:$AI$720,MATCH(G$1,'Tillförd energi'!$B$1:$AQ$1,0),FALSE)</f>
        <v>0</v>
      </c>
      <c r="H333" s="31">
        <f>VLOOKUP($B333,'Tillförd energi'!$B$1:$AI$720,MATCH(H$1,'Tillförd energi'!$B$1:$AQ$1,0),FALSE)</f>
        <v>0</v>
      </c>
      <c r="I333" s="31">
        <f>VLOOKUP($B333,'Tillförd energi'!$B$1:$AI$720,MATCH(I$1,'Tillförd energi'!$B$1:$AQ$1,0),FALSE)</f>
        <v>0</v>
      </c>
      <c r="J333" s="31">
        <f>VLOOKUP($B333,'Tillförd energi'!$B$1:$AI$720,MATCH(J$1,'Tillförd energi'!$B$1:$AQ$1,0),FALSE)</f>
        <v>0</v>
      </c>
      <c r="K333" s="31">
        <f>VLOOKUP($B333,'Tillförd energi'!$B$1:$AI$720,MATCH(K$1,'Tillförd energi'!$B$1:$AQ$1,0),FALSE)</f>
        <v>0</v>
      </c>
      <c r="L333" s="31">
        <f>VLOOKUP($B333,'Tillförd energi'!$B$1:$AI$720,MATCH(L$1,'Tillförd energi'!$B$1:$AQ$1,0),FALSE)</f>
        <v>0</v>
      </c>
      <c r="M333" s="31">
        <f>VLOOKUP($B333,'Tillförd energi'!$B$1:$AI$720,MATCH(M$1,'Tillförd energi'!$B$1:$AQ$1,0),FALSE)</f>
        <v>0</v>
      </c>
      <c r="N333" s="31">
        <f>VLOOKUP($B333,'Tillförd energi'!$B$1:$AI$720,MATCH(N$1,'Tillförd energi'!$B$1:$AQ$1,0),FALSE)</f>
        <v>0</v>
      </c>
      <c r="O333" s="31">
        <f>VLOOKUP($B333,'Tillförd energi'!$B$1:$AI$720,MATCH(O$1,'Tillförd energi'!$B$1:$AQ$1,0),FALSE)</f>
        <v>0</v>
      </c>
      <c r="P333" s="31">
        <f>VLOOKUP($B333,'Tillförd energi'!$B$1:$AI$720,MATCH(P$1,'Tillförd energi'!$B$1:$AQ$1,0),FALSE)</f>
        <v>21.498000000000001</v>
      </c>
      <c r="Q333" s="31">
        <f>VLOOKUP($B333,'Tillförd energi'!$B$1:$AI$720,MATCH(Q$1,'Tillförd energi'!$B$1:$AQ$1,0),FALSE)</f>
        <v>0</v>
      </c>
      <c r="R333" s="31">
        <f>VLOOKUP($B333,'Tillförd energi'!$B$1:$AI$720,MATCH(R$1,'Tillförd energi'!$B$1:$AQ$1,0),FALSE)</f>
        <v>0</v>
      </c>
      <c r="S333" s="31">
        <f>VLOOKUP($B333,'Tillförd energi'!$B$1:$AI$720,MATCH(S$1,'Tillförd energi'!$B$1:$AQ$1,0),FALSE)</f>
        <v>0</v>
      </c>
      <c r="T333" s="31">
        <f>VLOOKUP($B333,'Tillförd energi'!$B$1:$AI$720,MATCH(T$1,'Tillförd energi'!$B$1:$AQ$1,0),FALSE)</f>
        <v>0</v>
      </c>
      <c r="U333" s="31">
        <f>VLOOKUP($B333,'Tillförd energi'!$B$1:$AI$720,MATCH(U$1,'Tillförd energi'!$B$1:$AQ$1,0),FALSE)</f>
        <v>0</v>
      </c>
      <c r="V333" s="31">
        <f>VLOOKUP($B333,'Tillförd energi'!$B$1:$AI$720,MATCH(V$1,'Tillförd energi'!$B$1:$AQ$1,0),FALSE)</f>
        <v>0</v>
      </c>
      <c r="W333" s="31">
        <f>VLOOKUP($B333,'Tillförd energi'!$B$1:$AI$720,MATCH(W$1,'Tillförd energi'!$B$1:$AQ$1,0),FALSE)</f>
        <v>0</v>
      </c>
      <c r="X333" s="31">
        <f>VLOOKUP($B333,'Tillförd energi'!$B$1:$AI$720,MATCH(X$1,'Tillförd energi'!$B$1:$AQ$1,0),FALSE)</f>
        <v>17.428999999999998</v>
      </c>
      <c r="Y333" s="31">
        <f>VLOOKUP($B333,'Tillförd energi'!$B$1:$AI$720,MATCH(Y$1,'Tillförd energi'!$B$1:$AQ$1,0),FALSE)</f>
        <v>0</v>
      </c>
      <c r="Z333" s="31">
        <f>VLOOKUP($B333,'Tillförd energi'!$B$1:$AI$720,MATCH(Z$1,'Tillförd energi'!$B$1:$AQ$1,0),FALSE)</f>
        <v>0</v>
      </c>
      <c r="AA333" s="31">
        <f>VLOOKUP($B333,'Tillförd energi'!$B$1:$AI$720,MATCH(AA$1,'Tillförd energi'!$B$1:$AQ$1,0),FALSE)</f>
        <v>0</v>
      </c>
      <c r="AB333" s="31">
        <f>VLOOKUP($B333,'Tillförd energi'!$B$1:$AI$720,MATCH(AB$1,'Tillförd energi'!$B$1:$AQ$1,0),FALSE)</f>
        <v>0</v>
      </c>
      <c r="AC333" s="31">
        <f>VLOOKUP($B333,'Tillförd energi'!$B$1:$AI$720,MATCH(AC$1,'Tillförd energi'!$B$1:$AQ$1,0),FALSE)</f>
        <v>0.74199999999999999</v>
      </c>
      <c r="AD333" s="31">
        <f>VLOOKUP($B333,'Tillförd energi'!$B$1:$AI$720,MATCH(AD$1,'Tillförd energi'!$B$1:$AQ$1,0),FALSE)</f>
        <v>0</v>
      </c>
      <c r="AE333" s="31">
        <f>VLOOKUP($B333,'Tillförd energi'!$B$1:$AI$720,MATCH(AE$1,'Tillförd energi'!$B$1:$AQ$1,0),FALSE)</f>
        <v>0</v>
      </c>
      <c r="AF333" s="31">
        <f>VLOOKUP($B333,'Tillförd energi'!$B$1:$AI$720,MATCH(AF$1,'Tillförd energi'!$B$1:$AQ$1,0),FALSE)</f>
        <v>0.42799999999999999</v>
      </c>
      <c r="AG333" s="31">
        <f>IFERROR(VLOOKUP(B333,Miljö!$B$1:$AC$550,MATCH("Köpt mängd produktionsspecifik fjärrvärme:",Miljö!$B$1:$AC$1,0),FALSE)/1,0)</f>
        <v>0</v>
      </c>
      <c r="AI333" s="31">
        <f t="shared" si="115"/>
        <v>40.216999999999992</v>
      </c>
      <c r="AJ333" s="31">
        <f t="shared" si="116"/>
        <v>40.216999999999992</v>
      </c>
      <c r="AK333" s="31">
        <f>IF(ISERROR(1/VLOOKUP($B333,Leveranser!$B$1:$S$499,MATCH("Såld värme (GWh)",Leveranser!$B$1:$S$1,0),FALSE)),"",VLOOKUP($B333,Leveranser!$B$1:$S$499,MATCH("Såld värme (GWh)",Leveranser!$B$1:$S$1,0),FALSE))</f>
        <v>31.899000000000001</v>
      </c>
      <c r="AL333" s="31">
        <f>VLOOKUP($B333,Leveranser!$B$1:$Y$499,MATCH("Totalt såld fjärrvärme till andra fjärrvärmeföretag",Leveranser!$B$1:$AA$1,0),FALSE)</f>
        <v>0</v>
      </c>
      <c r="AM333" s="31">
        <f>IF(ISERROR(1/VLOOKUP($B333,Miljö!$B$1:$S$500,MATCH("Såld mängd produktionsspecifik fjärrvärme (GWh)",Miljö!$B$1:$R$1,0),FALSE)),0,VLOOKUP($B333,Miljö!$B$1:$S$500,MATCH("Såld mängd produktionsspecifik fjärrvärme (GWh)",Miljö!$B$1:$R$1,0),FALSE))</f>
        <v>0</v>
      </c>
      <c r="AN333" s="32">
        <f t="shared" si="117"/>
        <v>0.79317204167391919</v>
      </c>
      <c r="AP333" s="31" t="str">
        <f>IFERROR(VLOOKUP($B333,Miljövärden!$B$2:$H$550,7,FALSE),"Nej, saknas")</f>
        <v>Ja</v>
      </c>
      <c r="AQ333" s="31" t="str">
        <f>IFERROR(VLOOKUP($B333,Miljövärden!$B$2:$H$551,6,FALSE),"Nej, saknas")</f>
        <v>Nej</v>
      </c>
      <c r="AU333" s="31">
        <f t="shared" si="118"/>
        <v>0.42799999999999999</v>
      </c>
      <c r="AV333" s="31">
        <f t="shared" si="119"/>
        <v>17.428999999999998</v>
      </c>
      <c r="AW333" s="31">
        <f t="shared" si="120"/>
        <v>21.498000000000001</v>
      </c>
      <c r="AX333" s="31">
        <f t="shared" si="121"/>
        <v>0</v>
      </c>
      <c r="AZ333" s="31">
        <f t="shared" si="122"/>
        <v>38.927</v>
      </c>
      <c r="BC333" s="31">
        <f t="shared" si="123"/>
        <v>0.12</v>
      </c>
      <c r="BD333" s="31">
        <f t="shared" si="124"/>
        <v>0</v>
      </c>
      <c r="BE333" s="31">
        <f t="shared" si="125"/>
        <v>38.927</v>
      </c>
      <c r="BF333" s="31">
        <f t="shared" si="126"/>
        <v>0.74199999999999999</v>
      </c>
      <c r="BG333" s="31">
        <f t="shared" si="127"/>
        <v>0.42799999999999999</v>
      </c>
      <c r="BH333" s="31">
        <f>VLOOKUP(B333,Miljö!$B$1:$BX$482,MATCH("Fossilandel för ursprungspecificerad el ()",Miljö!$B$1:$I$1,0),FALSE)</f>
        <v>0.35</v>
      </c>
      <c r="BI333" s="31">
        <f>VLOOKUP(B333,Miljö!$B$1:$BX$482,MATCH("Kärnkraftsandel för ursprungsspecificerad el ()",Miljö!$B$1:$O$1,0),FALSE)</f>
        <v>0.3977</v>
      </c>
      <c r="BJ333" s="31">
        <f t="shared" si="128"/>
        <v>0</v>
      </c>
      <c r="BK333" s="31" t="str">
        <f>VLOOKUP(B333,Miljö!$B$1:$P$482,MATCH("Fossil andel i procent (%)",Miljö!$B$1:$P$1,0),FALSE)</f>
        <v>ET</v>
      </c>
      <c r="BL333" s="31">
        <f t="shared" si="129"/>
        <v>40.216999999999992</v>
      </c>
      <c r="BO333" s="32">
        <f t="shared" si="130"/>
        <v>6.70860581346197E-3</v>
      </c>
      <c r="BP333" s="32">
        <f t="shared" si="131"/>
        <v>4.2324290722828666E-3</v>
      </c>
      <c r="BQ333" s="32">
        <f t="shared" si="132"/>
        <v>0.97060905587189517</v>
      </c>
      <c r="BR333" s="32">
        <f t="shared" si="133"/>
        <v>1.8449909242360198E-2</v>
      </c>
      <c r="BT333" s="62">
        <f t="shared" si="134"/>
        <v>1.0000000000000002</v>
      </c>
      <c r="BW333" s="32">
        <f>IF(AP333="Ja",VLOOKUP(B333,Miljövärden!$B$2:$H$551,MATCH("Total andel fossilt",Miljövärden!$B$2:$H$2,0),FALSE),"")</f>
        <v>6.7086100000000003E-3</v>
      </c>
      <c r="BX333" s="62">
        <f t="shared" si="135"/>
        <v>4.1865380303110489E-9</v>
      </c>
      <c r="BZ333" s="31">
        <f t="shared" si="136"/>
        <v>4.1865380303110489E-9</v>
      </c>
      <c r="CA333" s="32">
        <f t="shared" si="137"/>
        <v>0</v>
      </c>
    </row>
    <row r="334" spans="1:79" x14ac:dyDescent="0.45">
      <c r="A334" s="31" t="s">
        <v>232</v>
      </c>
      <c r="B334" s="31" t="s">
        <v>242</v>
      </c>
      <c r="C334" s="31">
        <f>VLOOKUP($B334,'Tillförd energi'!$B$1:$AI$720,MATCH(C$1,'Tillförd energi'!$B$1:$AQ$1,0),FALSE)</f>
        <v>0</v>
      </c>
      <c r="D334" s="31">
        <f>VLOOKUP($B334,'Tillförd energi'!$B$1:$AI$720,MATCH(D$1,'Tillförd energi'!$B$1:$AQ$1,0),FALSE)</f>
        <v>0.96</v>
      </c>
      <c r="E334" s="31">
        <f>VLOOKUP($B334,'Tillförd energi'!$B$1:$AI$720,MATCH(E$1,'Tillförd energi'!$B$1:$AQ$1,0),FALSE)</f>
        <v>0</v>
      </c>
      <c r="F334" s="31">
        <f>VLOOKUP($B334,'Tillförd energi'!$B$1:$AI$720,MATCH(F$1,'Tillförd energi'!$B$1:$AQ$1,0),FALSE)</f>
        <v>0</v>
      </c>
      <c r="G334" s="31">
        <f>VLOOKUP($B334,'Tillförd energi'!$B$1:$AI$720,MATCH(G$1,'Tillförd energi'!$B$1:$AQ$1,0),FALSE)</f>
        <v>0</v>
      </c>
      <c r="H334" s="31">
        <f>VLOOKUP($B334,'Tillförd energi'!$B$1:$AI$720,MATCH(H$1,'Tillförd energi'!$B$1:$AQ$1,0),FALSE)</f>
        <v>0</v>
      </c>
      <c r="I334" s="31">
        <f>VLOOKUP($B334,'Tillförd energi'!$B$1:$AI$720,MATCH(I$1,'Tillförd energi'!$B$1:$AQ$1,0),FALSE)</f>
        <v>0</v>
      </c>
      <c r="J334" s="31">
        <f>VLOOKUP($B334,'Tillförd energi'!$B$1:$AI$720,MATCH(J$1,'Tillförd energi'!$B$1:$AQ$1,0),FALSE)</f>
        <v>0</v>
      </c>
      <c r="K334" s="31">
        <f>VLOOKUP($B334,'Tillförd energi'!$B$1:$AI$720,MATCH(K$1,'Tillförd energi'!$B$1:$AQ$1,0),FALSE)</f>
        <v>0</v>
      </c>
      <c r="L334" s="31">
        <f>VLOOKUP($B334,'Tillförd energi'!$B$1:$AI$720,MATCH(L$1,'Tillförd energi'!$B$1:$AQ$1,0),FALSE)</f>
        <v>0</v>
      </c>
      <c r="M334" s="31">
        <f>VLOOKUP($B334,'Tillförd energi'!$B$1:$AI$720,MATCH(M$1,'Tillförd energi'!$B$1:$AQ$1,0),FALSE)</f>
        <v>13.882999999999999</v>
      </c>
      <c r="N334" s="31">
        <f>VLOOKUP($B334,'Tillförd energi'!$B$1:$AI$720,MATCH(N$1,'Tillförd energi'!$B$1:$AQ$1,0),FALSE)</f>
        <v>0</v>
      </c>
      <c r="O334" s="31">
        <f>VLOOKUP($B334,'Tillförd energi'!$B$1:$AI$720,MATCH(O$1,'Tillförd energi'!$B$1:$AQ$1,0),FALSE)</f>
        <v>0</v>
      </c>
      <c r="P334" s="31">
        <f>VLOOKUP($B334,'Tillförd energi'!$B$1:$AI$720,MATCH(P$1,'Tillförd energi'!$B$1:$AQ$1,0),FALSE)</f>
        <v>5.577</v>
      </c>
      <c r="Q334" s="31">
        <f>VLOOKUP($B334,'Tillförd energi'!$B$1:$AI$720,MATCH(Q$1,'Tillförd energi'!$B$1:$AQ$1,0),FALSE)</f>
        <v>0</v>
      </c>
      <c r="R334" s="31">
        <f>VLOOKUP($B334,'Tillförd energi'!$B$1:$AI$720,MATCH(R$1,'Tillförd energi'!$B$1:$AQ$1,0),FALSE)</f>
        <v>0</v>
      </c>
      <c r="S334" s="31">
        <f>VLOOKUP($B334,'Tillförd energi'!$B$1:$AI$720,MATCH(S$1,'Tillförd energi'!$B$1:$AQ$1,0),FALSE)</f>
        <v>0</v>
      </c>
      <c r="T334" s="31">
        <f>VLOOKUP($B334,'Tillförd energi'!$B$1:$AI$720,MATCH(T$1,'Tillförd energi'!$B$1:$AQ$1,0),FALSE)</f>
        <v>0</v>
      </c>
      <c r="U334" s="31">
        <f>VLOOKUP($B334,'Tillförd energi'!$B$1:$AI$720,MATCH(U$1,'Tillförd energi'!$B$1:$AQ$1,0),FALSE)</f>
        <v>0</v>
      </c>
      <c r="V334" s="31">
        <f>VLOOKUP($B334,'Tillförd energi'!$B$1:$AI$720,MATCH(V$1,'Tillförd energi'!$B$1:$AQ$1,0),FALSE)</f>
        <v>0</v>
      </c>
      <c r="W334" s="31">
        <f>VLOOKUP($B334,'Tillförd energi'!$B$1:$AI$720,MATCH(W$1,'Tillförd energi'!$B$1:$AQ$1,0),FALSE)</f>
        <v>0</v>
      </c>
      <c r="X334" s="31">
        <f>VLOOKUP($B334,'Tillförd energi'!$B$1:$AI$720,MATCH(X$1,'Tillförd energi'!$B$1:$AQ$1,0),FALSE)</f>
        <v>0</v>
      </c>
      <c r="Y334" s="31">
        <f>VLOOKUP($B334,'Tillförd energi'!$B$1:$AI$720,MATCH(Y$1,'Tillförd energi'!$B$1:$AQ$1,0),FALSE)</f>
        <v>0</v>
      </c>
      <c r="Z334" s="31">
        <f>VLOOKUP($B334,'Tillförd energi'!$B$1:$AI$720,MATCH(Z$1,'Tillförd energi'!$B$1:$AQ$1,0),FALSE)</f>
        <v>0</v>
      </c>
      <c r="AA334" s="31">
        <f>VLOOKUP($B334,'Tillförd energi'!$B$1:$AI$720,MATCH(AA$1,'Tillförd energi'!$B$1:$AQ$1,0),FALSE)</f>
        <v>0</v>
      </c>
      <c r="AB334" s="31">
        <f>VLOOKUP($B334,'Tillförd energi'!$B$1:$AI$720,MATCH(AB$1,'Tillförd energi'!$B$1:$AQ$1,0),FALSE)</f>
        <v>0</v>
      </c>
      <c r="AC334" s="31">
        <f>VLOOKUP($B334,'Tillförd energi'!$B$1:$AI$720,MATCH(AC$1,'Tillförd energi'!$B$1:$AQ$1,0),FALSE)</f>
        <v>3.9420000000000002</v>
      </c>
      <c r="AD334" s="31">
        <f>VLOOKUP($B334,'Tillförd energi'!$B$1:$AI$720,MATCH(AD$1,'Tillförd energi'!$B$1:$AQ$1,0),FALSE)</f>
        <v>0</v>
      </c>
      <c r="AE334" s="31">
        <f>VLOOKUP($B334,'Tillförd energi'!$B$1:$AI$720,MATCH(AE$1,'Tillförd energi'!$B$1:$AQ$1,0),FALSE)</f>
        <v>0</v>
      </c>
      <c r="AF334" s="31">
        <f>VLOOKUP($B334,'Tillförd energi'!$B$1:$AI$720,MATCH(AF$1,'Tillförd energi'!$B$1:$AQ$1,0),FALSE)</f>
        <v>0.65400000000000003</v>
      </c>
      <c r="AG334" s="31">
        <f>IFERROR(VLOOKUP(B334,Miljö!$B$1:$AC$550,MATCH("Köpt mängd produktionsspecifik fjärrvärme:",Miljö!$B$1:$AC$1,0),FALSE)/1,0)</f>
        <v>0</v>
      </c>
      <c r="AI334" s="31">
        <f t="shared" si="115"/>
        <v>25.016000000000002</v>
      </c>
      <c r="AJ334" s="31">
        <f t="shared" si="116"/>
        <v>25.016000000000002</v>
      </c>
      <c r="AK334" s="31">
        <f>IF(ISERROR(1/VLOOKUP($B334,Leveranser!$B$1:$S$499,MATCH("Såld värme (GWh)",Leveranser!$B$1:$S$1,0),FALSE)),"",VLOOKUP($B334,Leveranser!$B$1:$S$499,MATCH("Såld värme (GWh)",Leveranser!$B$1:$S$1,0),FALSE))</f>
        <v>19.093</v>
      </c>
      <c r="AL334" s="31">
        <f>VLOOKUP($B334,Leveranser!$B$1:$Y$499,MATCH("Totalt såld fjärrvärme till andra fjärrvärmeföretag",Leveranser!$B$1:$AA$1,0),FALSE)</f>
        <v>0</v>
      </c>
      <c r="AM334" s="31">
        <f>IF(ISERROR(1/VLOOKUP($B334,Miljö!$B$1:$S$500,MATCH("Såld mängd produktionsspecifik fjärrvärme (GWh)",Miljö!$B$1:$R$1,0),FALSE)),0,VLOOKUP($B334,Miljö!$B$1:$S$500,MATCH("Såld mängd produktionsspecifik fjärrvärme (GWh)",Miljö!$B$1:$R$1,0),FALSE))</f>
        <v>0</v>
      </c>
      <c r="AN334" s="32">
        <f t="shared" si="117"/>
        <v>0.76323153181963532</v>
      </c>
      <c r="AP334" s="31" t="str">
        <f>IFERROR(VLOOKUP($B334,Miljövärden!$B$2:$H$550,7,FALSE),"Nej, saknas")</f>
        <v>Ja</v>
      </c>
      <c r="AQ334" s="31" t="str">
        <f>IFERROR(VLOOKUP($B334,Miljövärden!$B$2:$H$551,6,FALSE),"Nej, saknas")</f>
        <v>Ja</v>
      </c>
      <c r="AU334" s="31">
        <f t="shared" si="118"/>
        <v>0.65400000000000003</v>
      </c>
      <c r="AV334" s="31">
        <f t="shared" si="119"/>
        <v>0</v>
      </c>
      <c r="AW334" s="31">
        <f t="shared" si="120"/>
        <v>19.46</v>
      </c>
      <c r="AX334" s="31">
        <f t="shared" si="121"/>
        <v>0</v>
      </c>
      <c r="AZ334" s="31">
        <f t="shared" si="122"/>
        <v>19.46</v>
      </c>
      <c r="BC334" s="31">
        <f t="shared" si="123"/>
        <v>0.96</v>
      </c>
      <c r="BD334" s="31">
        <f t="shared" si="124"/>
        <v>0</v>
      </c>
      <c r="BE334" s="31">
        <f t="shared" si="125"/>
        <v>19.46</v>
      </c>
      <c r="BF334" s="31">
        <f t="shared" si="126"/>
        <v>3.9420000000000002</v>
      </c>
      <c r="BG334" s="31">
        <f t="shared" si="127"/>
        <v>0.65400000000000003</v>
      </c>
      <c r="BH334" s="31">
        <f>VLOOKUP(B334,Miljö!$B$1:$BX$482,MATCH("Fossilandel för ursprungspecificerad el ()",Miljö!$B$1:$I$1,0),FALSE)</f>
        <v>0</v>
      </c>
      <c r="BI334" s="31">
        <f>VLOOKUP(B334,Miljö!$B$1:$BX$482,MATCH("Kärnkraftsandel för ursprungsspecificerad el ()",Miljö!$B$1:$O$1,0),FALSE)</f>
        <v>0.59399999999999997</v>
      </c>
      <c r="BJ334" s="31">
        <f t="shared" si="128"/>
        <v>0</v>
      </c>
      <c r="BK334" s="31" t="str">
        <f>VLOOKUP(B334,Miljö!$B$1:$P$482,MATCH("Fossil andel i procent (%)",Miljö!$B$1:$P$1,0),FALSE)</f>
        <v>ET</v>
      </c>
      <c r="BL334" s="31">
        <f t="shared" si="129"/>
        <v>25.016000000000002</v>
      </c>
      <c r="BO334" s="32">
        <f t="shared" si="130"/>
        <v>3.8375439718580102E-2</v>
      </c>
      <c r="BP334" s="32">
        <f t="shared" si="131"/>
        <v>1.5529101375119921E-2</v>
      </c>
      <c r="BQ334" s="32">
        <f t="shared" si="132"/>
        <v>0.78851630956188035</v>
      </c>
      <c r="BR334" s="32">
        <f t="shared" si="133"/>
        <v>0.15757914934441958</v>
      </c>
      <c r="BT334" s="62">
        <f t="shared" si="134"/>
        <v>1</v>
      </c>
      <c r="BW334" s="32">
        <f>IF(AP334="Ja",VLOOKUP(B334,Miljövärden!$B$2:$H$551,MATCH("Total andel fossilt",Miljövärden!$B$2:$H$2,0),FALSE),"")</f>
        <v>3.8375399999999997E-2</v>
      </c>
      <c r="BX334" s="62">
        <f t="shared" si="135"/>
        <v>-3.9718580105430057E-8</v>
      </c>
      <c r="BZ334" s="31">
        <f t="shared" si="136"/>
        <v>-3.9718580105430057E-8</v>
      </c>
      <c r="CA334" s="32">
        <f t="shared" si="137"/>
        <v>0</v>
      </c>
    </row>
    <row r="335" spans="1:79" x14ac:dyDescent="0.45">
      <c r="A335" s="31" t="s">
        <v>232</v>
      </c>
      <c r="B335" s="31" t="s">
        <v>241</v>
      </c>
      <c r="C335" s="31">
        <f>VLOOKUP($B335,'Tillförd energi'!$B$1:$AI$720,MATCH(C$1,'Tillförd energi'!$B$1:$AQ$1,0),FALSE)</f>
        <v>0</v>
      </c>
      <c r="D335" s="31">
        <f>VLOOKUP($B335,'Tillförd energi'!$B$1:$AI$720,MATCH(D$1,'Tillförd energi'!$B$1:$AQ$1,0),FALSE)</f>
        <v>0</v>
      </c>
      <c r="E335" s="31">
        <f>VLOOKUP($B335,'Tillförd energi'!$B$1:$AI$720,MATCH(E$1,'Tillförd energi'!$B$1:$AQ$1,0),FALSE)</f>
        <v>0</v>
      </c>
      <c r="F335" s="31">
        <f>VLOOKUP($B335,'Tillförd energi'!$B$1:$AI$720,MATCH(F$1,'Tillförd energi'!$B$1:$AQ$1,0),FALSE)</f>
        <v>0</v>
      </c>
      <c r="G335" s="31">
        <f>VLOOKUP($B335,'Tillförd energi'!$B$1:$AI$720,MATCH(G$1,'Tillförd energi'!$B$1:$AQ$1,0),FALSE)</f>
        <v>0</v>
      </c>
      <c r="H335" s="31">
        <f>VLOOKUP($B335,'Tillförd energi'!$B$1:$AI$720,MATCH(H$1,'Tillförd energi'!$B$1:$AQ$1,0),FALSE)</f>
        <v>0</v>
      </c>
      <c r="I335" s="31">
        <f>VLOOKUP($B335,'Tillförd energi'!$B$1:$AI$720,MATCH(I$1,'Tillförd energi'!$B$1:$AQ$1,0),FALSE)</f>
        <v>0</v>
      </c>
      <c r="J335" s="31">
        <f>VLOOKUP($B335,'Tillförd energi'!$B$1:$AI$720,MATCH(J$1,'Tillförd energi'!$B$1:$AQ$1,0),FALSE)</f>
        <v>0</v>
      </c>
      <c r="K335" s="31">
        <f>VLOOKUP($B335,'Tillförd energi'!$B$1:$AI$720,MATCH(K$1,'Tillförd energi'!$B$1:$AQ$1,0),FALSE)</f>
        <v>0</v>
      </c>
      <c r="L335" s="31">
        <f>VLOOKUP($B335,'Tillförd energi'!$B$1:$AI$720,MATCH(L$1,'Tillförd energi'!$B$1:$AQ$1,0),FALSE)</f>
        <v>268.50299999999999</v>
      </c>
      <c r="M335" s="31">
        <f>VLOOKUP($B335,'Tillförd energi'!$B$1:$AI$720,MATCH(M$1,'Tillförd energi'!$B$1:$AQ$1,0),FALSE)</f>
        <v>0</v>
      </c>
      <c r="N335" s="31">
        <f>VLOOKUP($B335,'Tillförd energi'!$B$1:$AI$720,MATCH(N$1,'Tillförd energi'!$B$1:$AQ$1,0),FALSE)</f>
        <v>0</v>
      </c>
      <c r="O335" s="31">
        <f>VLOOKUP($B335,'Tillförd energi'!$B$1:$AI$720,MATCH(O$1,'Tillförd energi'!$B$1:$AQ$1,0),FALSE)</f>
        <v>0</v>
      </c>
      <c r="P335" s="31">
        <f>VLOOKUP($B335,'Tillförd energi'!$B$1:$AI$720,MATCH(P$1,'Tillförd energi'!$B$1:$AQ$1,0),FALSE)</f>
        <v>2.4540600000000001</v>
      </c>
      <c r="Q335" s="31">
        <f>VLOOKUP($B335,'Tillförd energi'!$B$1:$AI$720,MATCH(Q$1,'Tillförd energi'!$B$1:$AQ$1,0),FALSE)</f>
        <v>0</v>
      </c>
      <c r="R335" s="31">
        <f>VLOOKUP($B335,'Tillförd energi'!$B$1:$AI$720,MATCH(R$1,'Tillförd energi'!$B$1:$AQ$1,0),FALSE)</f>
        <v>0</v>
      </c>
      <c r="S335" s="31">
        <f>VLOOKUP($B335,'Tillförd energi'!$B$1:$AI$720,MATCH(S$1,'Tillförd energi'!$B$1:$AQ$1,0),FALSE)</f>
        <v>125.90300000000001</v>
      </c>
      <c r="T335" s="31">
        <f>VLOOKUP($B335,'Tillförd energi'!$B$1:$AI$720,MATCH(T$1,'Tillförd energi'!$B$1:$AQ$1,0),FALSE)</f>
        <v>0</v>
      </c>
      <c r="U335" s="31">
        <f>VLOOKUP($B335,'Tillförd energi'!$B$1:$AI$720,MATCH(U$1,'Tillförd energi'!$B$1:$AQ$1,0),FALSE)</f>
        <v>0</v>
      </c>
      <c r="V335" s="31">
        <f>VLOOKUP($B335,'Tillförd energi'!$B$1:$AI$720,MATCH(V$1,'Tillförd energi'!$B$1:$AQ$1,0),FALSE)</f>
        <v>0</v>
      </c>
      <c r="W335" s="31">
        <f>VLOOKUP($B335,'Tillförd energi'!$B$1:$AI$720,MATCH(W$1,'Tillförd energi'!$B$1:$AQ$1,0),FALSE)</f>
        <v>13.976100000000001</v>
      </c>
      <c r="X335" s="31">
        <f>VLOOKUP($B335,'Tillförd energi'!$B$1:$AI$720,MATCH(X$1,'Tillförd energi'!$B$1:$AQ$1,0),FALSE)</f>
        <v>0</v>
      </c>
      <c r="Y335" s="31">
        <f>VLOOKUP($B335,'Tillförd energi'!$B$1:$AI$720,MATCH(Y$1,'Tillförd energi'!$B$1:$AQ$1,0),FALSE)</f>
        <v>0</v>
      </c>
      <c r="Z335" s="31">
        <f>VLOOKUP($B335,'Tillförd energi'!$B$1:$AI$720,MATCH(Z$1,'Tillförd energi'!$B$1:$AQ$1,0),FALSE)</f>
        <v>0</v>
      </c>
      <c r="AA335" s="31">
        <f>VLOOKUP($B335,'Tillförd energi'!$B$1:$AI$720,MATCH(AA$1,'Tillförd energi'!$B$1:$AQ$1,0),FALSE)</f>
        <v>0</v>
      </c>
      <c r="AB335" s="31">
        <f>VLOOKUP($B335,'Tillförd energi'!$B$1:$AI$720,MATCH(AB$1,'Tillförd energi'!$B$1:$AQ$1,0),FALSE)</f>
        <v>0</v>
      </c>
      <c r="AC335" s="31">
        <f>VLOOKUP($B335,'Tillförd energi'!$B$1:$AI$720,MATCH(AC$1,'Tillförd energi'!$B$1:$AQ$1,0),FALSE)</f>
        <v>49.13</v>
      </c>
      <c r="AD335" s="31">
        <f>VLOOKUP($B335,'Tillförd energi'!$B$1:$AI$720,MATCH(AD$1,'Tillförd energi'!$B$1:$AQ$1,0),FALSE)</f>
        <v>4.548</v>
      </c>
      <c r="AE335" s="31">
        <f>VLOOKUP($B335,'Tillförd energi'!$B$1:$AI$720,MATCH(AE$1,'Tillförd energi'!$B$1:$AQ$1,0),FALSE)</f>
        <v>0</v>
      </c>
      <c r="AF335" s="31">
        <f>VLOOKUP($B335,'Tillförd energi'!$B$1:$AI$720,MATCH(AF$1,'Tillförd energi'!$B$1:$AQ$1,0),FALSE)</f>
        <v>21.561499999999999</v>
      </c>
      <c r="AG335" s="31">
        <f>IFERROR(VLOOKUP(B335,Miljö!$B$1:$AC$550,MATCH("Köpt mängd produktionsspecifik fjärrvärme:",Miljö!$B$1:$AC$1,0),FALSE)/1,0)</f>
        <v>0</v>
      </c>
      <c r="AI335" s="31">
        <f t="shared" si="115"/>
        <v>486.07566000000003</v>
      </c>
      <c r="AJ335" s="31">
        <f t="shared" si="116"/>
        <v>486.07566000000003</v>
      </c>
      <c r="AK335" s="31">
        <f>IF(ISERROR(1/VLOOKUP($B335,Leveranser!$B$1:$S$499,MATCH("Såld värme (GWh)",Leveranser!$B$1:$S$1,0),FALSE)),"",VLOOKUP($B335,Leveranser!$B$1:$S$499,MATCH("Såld värme (GWh)",Leveranser!$B$1:$S$1,0),FALSE))</f>
        <v>452.48099999999999</v>
      </c>
      <c r="AL335" s="31">
        <f>VLOOKUP($B335,Leveranser!$B$1:$Y$499,MATCH("Totalt såld fjärrvärme till andra fjärrvärmeföretag",Leveranser!$B$1:$AA$1,0),FALSE)</f>
        <v>0</v>
      </c>
      <c r="AM335" s="31">
        <f>IF(ISERROR(1/VLOOKUP($B335,Miljö!$B$1:$S$500,MATCH("Såld mängd produktionsspecifik fjärrvärme (GWh)",Miljö!$B$1:$R$1,0),FALSE)),0,VLOOKUP($B335,Miljö!$B$1:$S$500,MATCH("Såld mängd produktionsspecifik fjärrvärme (GWh)",Miljö!$B$1:$R$1,0),FALSE))</f>
        <v>0</v>
      </c>
      <c r="AN335" s="32">
        <f t="shared" si="117"/>
        <v>0.93088594479303899</v>
      </c>
      <c r="AP335" s="31" t="str">
        <f>IFERROR(VLOOKUP($B335,Miljövärden!$B$2:$H$550,7,FALSE),"Nej, saknas")</f>
        <v>Ja</v>
      </c>
      <c r="AQ335" s="31" t="str">
        <f>IFERROR(VLOOKUP($B335,Miljövärden!$B$2:$H$551,6,FALSE),"Nej, saknas")</f>
        <v>Ja</v>
      </c>
      <c r="AU335" s="31">
        <f t="shared" si="118"/>
        <v>21.561499999999999</v>
      </c>
      <c r="AV335" s="31">
        <f t="shared" si="119"/>
        <v>0</v>
      </c>
      <c r="AW335" s="31">
        <f t="shared" si="120"/>
        <v>2.4540600000000001</v>
      </c>
      <c r="AX335" s="31">
        <f t="shared" si="121"/>
        <v>125.90300000000001</v>
      </c>
      <c r="AZ335" s="31">
        <f t="shared" si="122"/>
        <v>410.83616000000001</v>
      </c>
      <c r="BC335" s="31">
        <f t="shared" si="123"/>
        <v>0</v>
      </c>
      <c r="BD335" s="31">
        <f t="shared" si="124"/>
        <v>0</v>
      </c>
      <c r="BE335" s="31">
        <f t="shared" si="125"/>
        <v>142.33316000000002</v>
      </c>
      <c r="BF335" s="31">
        <f t="shared" si="126"/>
        <v>322.18099999999998</v>
      </c>
      <c r="BG335" s="31">
        <f t="shared" si="127"/>
        <v>21.561499999999999</v>
      </c>
      <c r="BH335" s="31">
        <f>VLOOKUP(B335,Miljö!$B$1:$BX$482,MATCH("Fossilandel för ursprungspecificerad el ()",Miljö!$B$1:$I$1,0),FALSE)</f>
        <v>0</v>
      </c>
      <c r="BI335" s="31">
        <f>VLOOKUP(B335,Miljö!$B$1:$BX$482,MATCH("Kärnkraftsandel för ursprungsspecificerad el ()",Miljö!$B$1:$O$1,0),FALSE)</f>
        <v>0</v>
      </c>
      <c r="BJ335" s="31">
        <f t="shared" si="128"/>
        <v>0</v>
      </c>
      <c r="BK335" s="31" t="str">
        <f>VLOOKUP(B335,Miljö!$B$1:$P$482,MATCH("Fossil andel i procent (%)",Miljö!$B$1:$P$1,0),FALSE)</f>
        <v>ET</v>
      </c>
      <c r="BL335" s="31">
        <f t="shared" si="129"/>
        <v>486.07566000000003</v>
      </c>
      <c r="BO335" s="32">
        <f t="shared" si="130"/>
        <v>0</v>
      </c>
      <c r="BP335" s="32">
        <f t="shared" si="131"/>
        <v>0</v>
      </c>
      <c r="BQ335" s="32">
        <f t="shared" si="132"/>
        <v>0.33717931895622999</v>
      </c>
      <c r="BR335" s="32">
        <f t="shared" si="133"/>
        <v>0.6628206810437699</v>
      </c>
      <c r="BT335" s="62">
        <f t="shared" si="134"/>
        <v>0.99999999999999989</v>
      </c>
      <c r="BW335" s="32">
        <f>IF(AP335="Ja",VLOOKUP(B335,Miljövärden!$B$2:$H$551,MATCH("Total andel fossilt",Miljövärden!$B$2:$H$2,0),FALSE),"")</f>
        <v>0</v>
      </c>
      <c r="BX335" s="62">
        <f t="shared" si="135"/>
        <v>0</v>
      </c>
      <c r="BZ335" s="31">
        <f t="shared" si="136"/>
        <v>0</v>
      </c>
      <c r="CA335" s="32">
        <f t="shared" si="137"/>
        <v>0</v>
      </c>
    </row>
    <row r="336" spans="1:79" x14ac:dyDescent="0.45">
      <c r="A336" s="31" t="s">
        <v>232</v>
      </c>
      <c r="B336" s="31" t="s">
        <v>240</v>
      </c>
      <c r="C336" s="31">
        <f>VLOOKUP($B336,'Tillförd energi'!$B$1:$AI$720,MATCH(C$1,'Tillförd energi'!$B$1:$AQ$1,0),FALSE)</f>
        <v>0</v>
      </c>
      <c r="D336" s="31">
        <f>VLOOKUP($B336,'Tillförd energi'!$B$1:$AI$720,MATCH(D$1,'Tillförd energi'!$B$1:$AQ$1,0),FALSE)</f>
        <v>8.1000000000000003E-2</v>
      </c>
      <c r="E336" s="31">
        <f>VLOOKUP($B336,'Tillförd energi'!$B$1:$AI$720,MATCH(E$1,'Tillförd energi'!$B$1:$AQ$1,0),FALSE)</f>
        <v>0</v>
      </c>
      <c r="F336" s="31">
        <f>VLOOKUP($B336,'Tillförd energi'!$B$1:$AI$720,MATCH(F$1,'Tillförd energi'!$B$1:$AQ$1,0),FALSE)</f>
        <v>0</v>
      </c>
      <c r="G336" s="31">
        <f>VLOOKUP($B336,'Tillförd energi'!$B$1:$AI$720,MATCH(G$1,'Tillförd energi'!$B$1:$AQ$1,0),FALSE)</f>
        <v>0</v>
      </c>
      <c r="H336" s="31">
        <f>VLOOKUP($B336,'Tillförd energi'!$B$1:$AI$720,MATCH(H$1,'Tillförd energi'!$B$1:$AQ$1,0),FALSE)</f>
        <v>0</v>
      </c>
      <c r="I336" s="31">
        <f>VLOOKUP($B336,'Tillförd energi'!$B$1:$AI$720,MATCH(I$1,'Tillförd energi'!$B$1:$AQ$1,0),FALSE)</f>
        <v>0</v>
      </c>
      <c r="J336" s="31">
        <f>VLOOKUP($B336,'Tillförd energi'!$B$1:$AI$720,MATCH(J$1,'Tillförd energi'!$B$1:$AQ$1,0),FALSE)</f>
        <v>11.388999999999999</v>
      </c>
      <c r="K336" s="31">
        <f>VLOOKUP($B336,'Tillförd energi'!$B$1:$AI$720,MATCH(K$1,'Tillförd energi'!$B$1:$AQ$1,0),FALSE)</f>
        <v>0</v>
      </c>
      <c r="L336" s="31">
        <f>VLOOKUP($B336,'Tillförd energi'!$B$1:$AI$720,MATCH(L$1,'Tillförd energi'!$B$1:$AQ$1,0),FALSE)</f>
        <v>0</v>
      </c>
      <c r="M336" s="31">
        <f>VLOOKUP($B336,'Tillförd energi'!$B$1:$AI$720,MATCH(M$1,'Tillförd energi'!$B$1:$AQ$1,0),FALSE)</f>
        <v>0</v>
      </c>
      <c r="N336" s="31">
        <f>VLOOKUP($B336,'Tillförd energi'!$B$1:$AI$720,MATCH(N$1,'Tillförd energi'!$B$1:$AQ$1,0),FALSE)</f>
        <v>0</v>
      </c>
      <c r="O336" s="31">
        <f>VLOOKUP($B336,'Tillförd energi'!$B$1:$AI$720,MATCH(O$1,'Tillförd energi'!$B$1:$AQ$1,0),FALSE)</f>
        <v>0</v>
      </c>
      <c r="P336" s="31">
        <f>VLOOKUP($B336,'Tillförd energi'!$B$1:$AI$720,MATCH(P$1,'Tillförd energi'!$B$1:$AQ$1,0),FALSE)</f>
        <v>43.561</v>
      </c>
      <c r="Q336" s="31">
        <f>VLOOKUP($B336,'Tillförd energi'!$B$1:$AI$720,MATCH(Q$1,'Tillförd energi'!$B$1:$AQ$1,0),FALSE)</f>
        <v>0</v>
      </c>
      <c r="R336" s="31">
        <f>VLOOKUP($B336,'Tillförd energi'!$B$1:$AI$720,MATCH(R$1,'Tillförd energi'!$B$1:$AQ$1,0),FALSE)</f>
        <v>2.589</v>
      </c>
      <c r="S336" s="31">
        <f>VLOOKUP($B336,'Tillförd energi'!$B$1:$AI$720,MATCH(S$1,'Tillförd energi'!$B$1:$AQ$1,0),FALSE)</f>
        <v>0</v>
      </c>
      <c r="T336" s="31">
        <f>VLOOKUP($B336,'Tillförd energi'!$B$1:$AI$720,MATCH(T$1,'Tillförd energi'!$B$1:$AQ$1,0),FALSE)</f>
        <v>0</v>
      </c>
      <c r="U336" s="31">
        <f>VLOOKUP($B336,'Tillförd energi'!$B$1:$AI$720,MATCH(U$1,'Tillförd energi'!$B$1:$AQ$1,0),FALSE)</f>
        <v>2.4</v>
      </c>
      <c r="V336" s="31">
        <f>VLOOKUP($B336,'Tillförd energi'!$B$1:$AI$720,MATCH(V$1,'Tillförd energi'!$B$1:$AQ$1,0),FALSE)</f>
        <v>0</v>
      </c>
      <c r="W336" s="31">
        <f>VLOOKUP($B336,'Tillförd energi'!$B$1:$AI$720,MATCH(W$1,'Tillförd energi'!$B$1:$AQ$1,0),FALSE)</f>
        <v>17.132000000000001</v>
      </c>
      <c r="X336" s="31">
        <f>VLOOKUP($B336,'Tillförd energi'!$B$1:$AI$720,MATCH(X$1,'Tillförd energi'!$B$1:$AQ$1,0),FALSE)</f>
        <v>0</v>
      </c>
      <c r="Y336" s="31">
        <f>VLOOKUP($B336,'Tillförd energi'!$B$1:$AI$720,MATCH(Y$1,'Tillförd energi'!$B$1:$AQ$1,0),FALSE)</f>
        <v>0</v>
      </c>
      <c r="Z336" s="31">
        <f>VLOOKUP($B336,'Tillförd energi'!$B$1:$AI$720,MATCH(Z$1,'Tillförd energi'!$B$1:$AQ$1,0),FALSE)</f>
        <v>0</v>
      </c>
      <c r="AA336" s="31">
        <f>VLOOKUP($B336,'Tillförd energi'!$B$1:$AI$720,MATCH(AA$1,'Tillförd energi'!$B$1:$AQ$1,0),FALSE)</f>
        <v>0</v>
      </c>
      <c r="AB336" s="31">
        <f>VLOOKUP($B336,'Tillförd energi'!$B$1:$AI$720,MATCH(AB$1,'Tillförd energi'!$B$1:$AQ$1,0),FALSE)</f>
        <v>0</v>
      </c>
      <c r="AC336" s="31">
        <f>VLOOKUP($B336,'Tillförd energi'!$B$1:$AI$720,MATCH(AC$1,'Tillförd energi'!$B$1:$AQ$1,0),FALSE)</f>
        <v>6.875</v>
      </c>
      <c r="AD336" s="31">
        <f>VLOOKUP($B336,'Tillförd energi'!$B$1:$AI$720,MATCH(AD$1,'Tillförd energi'!$B$1:$AQ$1,0),FALSE)</f>
        <v>0</v>
      </c>
      <c r="AE336" s="31">
        <f>VLOOKUP($B336,'Tillförd energi'!$B$1:$AI$720,MATCH(AE$1,'Tillförd energi'!$B$1:$AQ$1,0),FALSE)</f>
        <v>0</v>
      </c>
      <c r="AF336" s="31">
        <f>VLOOKUP($B336,'Tillförd energi'!$B$1:$AI$720,MATCH(AF$1,'Tillförd energi'!$B$1:$AQ$1,0),FALSE)</f>
        <v>1.5680000000000001</v>
      </c>
      <c r="AG336" s="31">
        <f>IFERROR(VLOOKUP(B336,Miljö!$B$1:$AC$550,MATCH("Köpt mängd produktionsspecifik fjärrvärme:",Miljö!$B$1:$AC$1,0),FALSE)/1,0)</f>
        <v>0</v>
      </c>
      <c r="AI336" s="31">
        <f t="shared" si="115"/>
        <v>85.594999999999999</v>
      </c>
      <c r="AJ336" s="31">
        <f t="shared" si="116"/>
        <v>85.594999999999999</v>
      </c>
      <c r="AK336" s="31">
        <f>IF(ISERROR(1/VLOOKUP($B336,Leveranser!$B$1:$S$499,MATCH("Såld värme (GWh)",Leveranser!$B$1:$S$1,0),FALSE)),"",VLOOKUP($B336,Leveranser!$B$1:$S$499,MATCH("Såld värme (GWh)",Leveranser!$B$1:$S$1,0),FALSE))</f>
        <v>65.201999999999998</v>
      </c>
      <c r="AL336" s="31">
        <f>VLOOKUP($B336,Leveranser!$B$1:$Y$499,MATCH("Totalt såld fjärrvärme till andra fjärrvärmeföretag",Leveranser!$B$1:$AA$1,0),FALSE)</f>
        <v>0</v>
      </c>
      <c r="AM336" s="31">
        <f>IF(ISERROR(1/VLOOKUP($B336,Miljö!$B$1:$S$500,MATCH("Såld mängd produktionsspecifik fjärrvärme (GWh)",Miljö!$B$1:$R$1,0),FALSE)),0,VLOOKUP($B336,Miljö!$B$1:$S$500,MATCH("Såld mängd produktionsspecifik fjärrvärme (GWh)",Miljö!$B$1:$R$1,0),FALSE))</f>
        <v>0</v>
      </c>
      <c r="AN336" s="32">
        <f t="shared" si="117"/>
        <v>0.76175010222559725</v>
      </c>
      <c r="AP336" s="31" t="str">
        <f>IFERROR(VLOOKUP($B336,Miljövärden!$B$2:$H$550,7,FALSE),"Nej, saknas")</f>
        <v>Ja</v>
      </c>
      <c r="AQ336" s="31" t="str">
        <f>IFERROR(VLOOKUP($B336,Miljövärden!$B$2:$H$551,6,FALSE),"Nej, saknas")</f>
        <v>Ja</v>
      </c>
      <c r="AU336" s="31">
        <f t="shared" si="118"/>
        <v>1.5680000000000001</v>
      </c>
      <c r="AV336" s="31">
        <f t="shared" si="119"/>
        <v>0</v>
      </c>
      <c r="AW336" s="31">
        <f t="shared" si="120"/>
        <v>43.561</v>
      </c>
      <c r="AX336" s="31">
        <f t="shared" si="121"/>
        <v>4.9889999999999999</v>
      </c>
      <c r="AZ336" s="31">
        <f t="shared" si="122"/>
        <v>65.682000000000002</v>
      </c>
      <c r="BC336" s="31">
        <f t="shared" si="123"/>
        <v>8.1000000000000003E-2</v>
      </c>
      <c r="BD336" s="31">
        <f t="shared" si="124"/>
        <v>0</v>
      </c>
      <c r="BE336" s="31">
        <f t="shared" si="125"/>
        <v>65.682000000000002</v>
      </c>
      <c r="BF336" s="31">
        <f t="shared" si="126"/>
        <v>18.263999999999999</v>
      </c>
      <c r="BG336" s="31">
        <f t="shared" si="127"/>
        <v>1.5680000000000001</v>
      </c>
      <c r="BH336" s="31">
        <f>VLOOKUP(B336,Miljö!$B$1:$BX$482,MATCH("Fossilandel för ursprungspecificerad el ()",Miljö!$B$1:$I$1,0),FALSE)</f>
        <v>0</v>
      </c>
      <c r="BI336" s="31">
        <f>VLOOKUP(B336,Miljö!$B$1:$BX$482,MATCH("Kärnkraftsandel för ursprungsspecificerad el ()",Miljö!$B$1:$O$1,0),FALSE)</f>
        <v>0.59</v>
      </c>
      <c r="BJ336" s="31">
        <f t="shared" si="128"/>
        <v>0</v>
      </c>
      <c r="BK336" s="31" t="str">
        <f>VLOOKUP(B336,Miljö!$B$1:$P$482,MATCH("Fossil andel i procent (%)",Miljö!$B$1:$P$1,0),FALSE)</f>
        <v>ET</v>
      </c>
      <c r="BL336" s="31">
        <f t="shared" si="129"/>
        <v>85.594999999999999</v>
      </c>
      <c r="BO336" s="32">
        <f t="shared" si="130"/>
        <v>9.4631695776622473E-4</v>
      </c>
      <c r="BP336" s="32">
        <f t="shared" si="131"/>
        <v>1.0808107950230737E-2</v>
      </c>
      <c r="BQ336" s="32">
        <f t="shared" si="132"/>
        <v>0.77486862550382629</v>
      </c>
      <c r="BR336" s="32">
        <f t="shared" si="133"/>
        <v>0.21337694958817688</v>
      </c>
      <c r="BT336" s="62">
        <f t="shared" si="134"/>
        <v>1</v>
      </c>
      <c r="BW336" s="32">
        <f>IF(AP336="Ja",VLOOKUP(B336,Miljövärden!$B$2:$H$551,MATCH("Total andel fossilt",Miljövärden!$B$2:$H$2,0),FALSE),"")</f>
        <v>9.4631700000000001E-4</v>
      </c>
      <c r="BX336" s="62">
        <f t="shared" si="135"/>
        <v>4.2233775287767172E-11</v>
      </c>
      <c r="BZ336" s="31">
        <f t="shared" si="136"/>
        <v>4.2233775287767172E-11</v>
      </c>
      <c r="CA336" s="32">
        <f t="shared" si="137"/>
        <v>0</v>
      </c>
    </row>
    <row r="337" spans="1:79" x14ac:dyDescent="0.45">
      <c r="A337" s="31" t="s">
        <v>232</v>
      </c>
      <c r="B337" s="31" t="s">
        <v>239</v>
      </c>
      <c r="C337" s="31">
        <f>VLOOKUP($B337,'Tillförd energi'!$B$1:$AI$720,MATCH(C$1,'Tillförd energi'!$B$1:$AQ$1,0),FALSE)</f>
        <v>0</v>
      </c>
      <c r="D337" s="31">
        <f>VLOOKUP($B337,'Tillförd energi'!$B$1:$AI$720,MATCH(D$1,'Tillförd energi'!$B$1:$AQ$1,0),FALSE)</f>
        <v>4.07</v>
      </c>
      <c r="E337" s="31">
        <f>VLOOKUP($B337,'Tillförd energi'!$B$1:$AI$720,MATCH(E$1,'Tillförd energi'!$B$1:$AQ$1,0),FALSE)</f>
        <v>0</v>
      </c>
      <c r="F337" s="31">
        <f>VLOOKUP($B337,'Tillförd energi'!$B$1:$AI$720,MATCH(F$1,'Tillförd energi'!$B$1:$AQ$1,0),FALSE)</f>
        <v>0</v>
      </c>
      <c r="G337" s="31">
        <f>VLOOKUP($B337,'Tillförd energi'!$B$1:$AI$720,MATCH(G$1,'Tillförd energi'!$B$1:$AQ$1,0),FALSE)</f>
        <v>0</v>
      </c>
      <c r="H337" s="31">
        <f>VLOOKUP($B337,'Tillförd energi'!$B$1:$AI$720,MATCH(H$1,'Tillförd energi'!$B$1:$AQ$1,0),FALSE)</f>
        <v>0</v>
      </c>
      <c r="I337" s="31">
        <f>VLOOKUP($B337,'Tillförd energi'!$B$1:$AI$720,MATCH(I$1,'Tillförd energi'!$B$1:$AQ$1,0),FALSE)</f>
        <v>0</v>
      </c>
      <c r="J337" s="31">
        <f>VLOOKUP($B337,'Tillförd energi'!$B$1:$AI$720,MATCH(J$1,'Tillförd energi'!$B$1:$AQ$1,0),FALSE)</f>
        <v>0</v>
      </c>
      <c r="K337" s="31">
        <f>VLOOKUP($B337,'Tillförd energi'!$B$1:$AI$720,MATCH(K$1,'Tillförd energi'!$B$1:$AQ$1,0),FALSE)</f>
        <v>0</v>
      </c>
      <c r="L337" s="31">
        <f>VLOOKUP($B337,'Tillförd energi'!$B$1:$AI$720,MATCH(L$1,'Tillförd energi'!$B$1:$AQ$1,0),FALSE)</f>
        <v>0</v>
      </c>
      <c r="M337" s="31">
        <f>VLOOKUP($B337,'Tillförd energi'!$B$1:$AI$720,MATCH(M$1,'Tillförd energi'!$B$1:$AQ$1,0),FALSE)</f>
        <v>9</v>
      </c>
      <c r="N337" s="31">
        <f>VLOOKUP($B337,'Tillförd energi'!$B$1:$AI$720,MATCH(N$1,'Tillförd energi'!$B$1:$AQ$1,0),FALSE)</f>
        <v>56.4</v>
      </c>
      <c r="O337" s="31">
        <f>VLOOKUP($B337,'Tillförd energi'!$B$1:$AI$720,MATCH(O$1,'Tillförd energi'!$B$1:$AQ$1,0),FALSE)</f>
        <v>0</v>
      </c>
      <c r="P337" s="31">
        <f>VLOOKUP($B337,'Tillförd energi'!$B$1:$AI$720,MATCH(P$1,'Tillförd energi'!$B$1:$AQ$1,0),FALSE)</f>
        <v>11.6</v>
      </c>
      <c r="Q337" s="31">
        <f>VLOOKUP($B337,'Tillförd energi'!$B$1:$AI$720,MATCH(Q$1,'Tillförd energi'!$B$1:$AQ$1,0),FALSE)</f>
        <v>0</v>
      </c>
      <c r="R337" s="31">
        <f>VLOOKUP($B337,'Tillförd energi'!$B$1:$AI$720,MATCH(R$1,'Tillförd energi'!$B$1:$AQ$1,0),FALSE)</f>
        <v>0</v>
      </c>
      <c r="S337" s="31">
        <f>VLOOKUP($B337,'Tillförd energi'!$B$1:$AI$720,MATCH(S$1,'Tillförd energi'!$B$1:$AQ$1,0),FALSE)</f>
        <v>0</v>
      </c>
      <c r="T337" s="31">
        <f>VLOOKUP($B337,'Tillförd energi'!$B$1:$AI$720,MATCH(T$1,'Tillförd energi'!$B$1:$AQ$1,0),FALSE)</f>
        <v>0</v>
      </c>
      <c r="U337" s="31">
        <f>VLOOKUP($B337,'Tillförd energi'!$B$1:$AI$720,MATCH(U$1,'Tillförd energi'!$B$1:$AQ$1,0),FALSE)</f>
        <v>0</v>
      </c>
      <c r="V337" s="31">
        <f>VLOOKUP($B337,'Tillförd energi'!$B$1:$AI$720,MATCH(V$1,'Tillförd energi'!$B$1:$AQ$1,0),FALSE)</f>
        <v>0</v>
      </c>
      <c r="W337" s="31">
        <f>VLOOKUP($B337,'Tillförd energi'!$B$1:$AI$720,MATCH(W$1,'Tillförd energi'!$B$1:$AQ$1,0),FALSE)</f>
        <v>0</v>
      </c>
      <c r="X337" s="31">
        <f>VLOOKUP($B337,'Tillförd energi'!$B$1:$AI$720,MATCH(X$1,'Tillförd energi'!$B$1:$AQ$1,0),FALSE)</f>
        <v>0</v>
      </c>
      <c r="Y337" s="31">
        <f>VLOOKUP($B337,'Tillförd energi'!$B$1:$AI$720,MATCH(Y$1,'Tillförd energi'!$B$1:$AQ$1,0),FALSE)</f>
        <v>0</v>
      </c>
      <c r="Z337" s="31">
        <f>VLOOKUP($B337,'Tillförd energi'!$B$1:$AI$720,MATCH(Z$1,'Tillförd energi'!$B$1:$AQ$1,0),FALSE)</f>
        <v>0</v>
      </c>
      <c r="AA337" s="31">
        <f>VLOOKUP($B337,'Tillförd energi'!$B$1:$AI$720,MATCH(AA$1,'Tillförd energi'!$B$1:$AQ$1,0),FALSE)</f>
        <v>0</v>
      </c>
      <c r="AB337" s="31">
        <f>VLOOKUP($B337,'Tillförd energi'!$B$1:$AI$720,MATCH(AB$1,'Tillförd energi'!$B$1:$AQ$1,0),FALSE)</f>
        <v>0</v>
      </c>
      <c r="AC337" s="31">
        <f>VLOOKUP($B337,'Tillförd energi'!$B$1:$AI$720,MATCH(AC$1,'Tillförd energi'!$B$1:$AQ$1,0),FALSE)</f>
        <v>0</v>
      </c>
      <c r="AD337" s="31">
        <f>VLOOKUP($B337,'Tillförd energi'!$B$1:$AI$720,MATCH(AD$1,'Tillförd energi'!$B$1:$AQ$1,0),FALSE)</f>
        <v>0</v>
      </c>
      <c r="AE337" s="31">
        <f>VLOOKUP($B337,'Tillförd energi'!$B$1:$AI$720,MATCH(AE$1,'Tillförd energi'!$B$1:$AQ$1,0),FALSE)</f>
        <v>0</v>
      </c>
      <c r="AF337" s="31">
        <f>VLOOKUP($B337,'Tillförd energi'!$B$1:$AI$720,MATCH(AF$1,'Tillförd energi'!$B$1:$AQ$1,0),FALSE)</f>
        <v>2</v>
      </c>
      <c r="AG337" s="31">
        <f>IFERROR(VLOOKUP(B337,Miljö!$B$1:$AC$550,MATCH("Köpt mängd produktionsspecifik fjärrvärme:",Miljö!$B$1:$AC$1,0),FALSE)/1,0)</f>
        <v>0</v>
      </c>
      <c r="AI337" s="31">
        <f t="shared" si="115"/>
        <v>83.07</v>
      </c>
      <c r="AJ337" s="31">
        <f t="shared" si="116"/>
        <v>83.07</v>
      </c>
      <c r="AK337" s="31">
        <f>IF(ISERROR(1/VLOOKUP($B337,Leveranser!$B$1:$S$499,MATCH("Såld värme (GWh)",Leveranser!$B$1:$S$1,0),FALSE)),"",VLOOKUP($B337,Leveranser!$B$1:$S$499,MATCH("Såld värme (GWh)",Leveranser!$B$1:$S$1,0),FALSE))</f>
        <v>52.908999999999999</v>
      </c>
      <c r="AL337" s="31">
        <f>VLOOKUP($B337,Leveranser!$B$1:$Y$499,MATCH("Totalt såld fjärrvärme till andra fjärrvärmeföretag",Leveranser!$B$1:$AA$1,0),FALSE)</f>
        <v>0</v>
      </c>
      <c r="AM337" s="31">
        <f>IF(ISERROR(1/VLOOKUP($B337,Miljö!$B$1:$S$500,MATCH("Såld mängd produktionsspecifik fjärrvärme (GWh)",Miljö!$B$1:$R$1,0),FALSE)),0,VLOOKUP($B337,Miljö!$B$1:$S$500,MATCH("Såld mängd produktionsspecifik fjärrvärme (GWh)",Miljö!$B$1:$R$1,0),FALSE))</f>
        <v>0</v>
      </c>
      <c r="AN337" s="32">
        <f t="shared" si="117"/>
        <v>0.63692066931503555</v>
      </c>
      <c r="AP337" s="31" t="str">
        <f>IFERROR(VLOOKUP($B337,Miljövärden!$B$2:$H$550,7,FALSE),"Nej, saknas")</f>
        <v>Ja</v>
      </c>
      <c r="AQ337" s="31" t="str">
        <f>IFERROR(VLOOKUP($B337,Miljövärden!$B$2:$H$551,6,FALSE),"Nej, saknas")</f>
        <v>Ja</v>
      </c>
      <c r="AU337" s="31">
        <f t="shared" si="118"/>
        <v>2</v>
      </c>
      <c r="AV337" s="31">
        <f t="shared" si="119"/>
        <v>0</v>
      </c>
      <c r="AW337" s="31">
        <f t="shared" si="120"/>
        <v>77</v>
      </c>
      <c r="AX337" s="31">
        <f t="shared" si="121"/>
        <v>0</v>
      </c>
      <c r="AZ337" s="31">
        <f t="shared" si="122"/>
        <v>77</v>
      </c>
      <c r="BC337" s="31">
        <f t="shared" si="123"/>
        <v>4.07</v>
      </c>
      <c r="BD337" s="31">
        <f t="shared" si="124"/>
        <v>0</v>
      </c>
      <c r="BE337" s="31">
        <f t="shared" si="125"/>
        <v>77</v>
      </c>
      <c r="BF337" s="31">
        <f t="shared" si="126"/>
        <v>0</v>
      </c>
      <c r="BG337" s="31">
        <f t="shared" si="127"/>
        <v>2</v>
      </c>
      <c r="BH337" s="31">
        <f>VLOOKUP(B337,Miljö!$B$1:$BX$482,MATCH("Fossilandel för ursprungspecificerad el ()",Miljö!$B$1:$I$1,0),FALSE)</f>
        <v>0</v>
      </c>
      <c r="BI337" s="31">
        <f>VLOOKUP(B337,Miljö!$B$1:$BX$482,MATCH("Kärnkraftsandel för ursprungsspecificerad el ()",Miljö!$B$1:$O$1,0),FALSE)</f>
        <v>0.59</v>
      </c>
      <c r="BJ337" s="31">
        <f t="shared" si="128"/>
        <v>0</v>
      </c>
      <c r="BK337" s="31" t="str">
        <f>VLOOKUP(B337,Miljö!$B$1:$P$482,MATCH("Fossil andel i procent (%)",Miljö!$B$1:$P$1,0),FALSE)</f>
        <v>ET</v>
      </c>
      <c r="BL337" s="31">
        <f t="shared" si="129"/>
        <v>83.07</v>
      </c>
      <c r="BO337" s="32">
        <f t="shared" si="130"/>
        <v>4.8994823642710975E-2</v>
      </c>
      <c r="BP337" s="32">
        <f t="shared" si="131"/>
        <v>1.4204887444324065E-2</v>
      </c>
      <c r="BQ337" s="32">
        <f t="shared" si="132"/>
        <v>0.93680028891296496</v>
      </c>
      <c r="BR337" s="32">
        <f t="shared" si="133"/>
        <v>0</v>
      </c>
      <c r="BT337" s="62">
        <f t="shared" si="134"/>
        <v>1</v>
      </c>
      <c r="BW337" s="32">
        <f>IF(AP337="Ja",VLOOKUP(B337,Miljövärden!$B$2:$H$551,MATCH("Total andel fossilt",Miljövärden!$B$2:$H$2,0),FALSE),"")</f>
        <v>4.8994799999999998E-2</v>
      </c>
      <c r="BX337" s="62">
        <f t="shared" si="135"/>
        <v>-2.3642710976490289E-8</v>
      </c>
      <c r="BZ337" s="31">
        <f t="shared" si="136"/>
        <v>-2.3642710976490289E-8</v>
      </c>
      <c r="CA337" s="32">
        <f t="shared" si="137"/>
        <v>0</v>
      </c>
    </row>
    <row r="338" spans="1:79" x14ac:dyDescent="0.45">
      <c r="A338" s="31" t="s">
        <v>232</v>
      </c>
      <c r="B338" s="31" t="s">
        <v>238</v>
      </c>
      <c r="C338" s="31">
        <f>VLOOKUP($B338,'Tillförd energi'!$B$1:$AI$720,MATCH(C$1,'Tillförd energi'!$B$1:$AQ$1,0),FALSE)</f>
        <v>0</v>
      </c>
      <c r="D338" s="31">
        <f>VLOOKUP($B338,'Tillförd energi'!$B$1:$AI$720,MATCH(D$1,'Tillförd energi'!$B$1:$AQ$1,0),FALSE)</f>
        <v>0.56399999999999995</v>
      </c>
      <c r="E338" s="31">
        <f>VLOOKUP($B338,'Tillförd energi'!$B$1:$AI$720,MATCH(E$1,'Tillförd energi'!$B$1:$AQ$1,0),FALSE)</f>
        <v>0</v>
      </c>
      <c r="F338" s="31">
        <f>VLOOKUP($B338,'Tillförd energi'!$B$1:$AI$720,MATCH(F$1,'Tillförd energi'!$B$1:$AQ$1,0),FALSE)</f>
        <v>2.2130000000000001</v>
      </c>
      <c r="G338" s="31">
        <f>VLOOKUP($B338,'Tillförd energi'!$B$1:$AI$720,MATCH(G$1,'Tillförd energi'!$B$1:$AQ$1,0),FALSE)</f>
        <v>0</v>
      </c>
      <c r="H338" s="31">
        <f>VLOOKUP($B338,'Tillförd energi'!$B$1:$AI$720,MATCH(H$1,'Tillförd energi'!$B$1:$AQ$1,0),FALSE)</f>
        <v>0</v>
      </c>
      <c r="I338" s="31">
        <f>VLOOKUP($B338,'Tillförd energi'!$B$1:$AI$720,MATCH(I$1,'Tillförd energi'!$B$1:$AQ$1,0),FALSE)</f>
        <v>0</v>
      </c>
      <c r="J338" s="31">
        <f>VLOOKUP($B338,'Tillförd energi'!$B$1:$AI$720,MATCH(J$1,'Tillförd energi'!$B$1:$AQ$1,0),FALSE)</f>
        <v>0</v>
      </c>
      <c r="K338" s="31">
        <f>VLOOKUP($B338,'Tillförd energi'!$B$1:$AI$720,MATCH(K$1,'Tillförd energi'!$B$1:$AQ$1,0),FALSE)</f>
        <v>0</v>
      </c>
      <c r="L338" s="31">
        <f>VLOOKUP($B338,'Tillförd energi'!$B$1:$AI$720,MATCH(L$1,'Tillförd energi'!$B$1:$AQ$1,0),FALSE)</f>
        <v>0</v>
      </c>
      <c r="M338" s="31">
        <f>VLOOKUP($B338,'Tillförd energi'!$B$1:$AI$720,MATCH(M$1,'Tillförd energi'!$B$1:$AQ$1,0),FALSE)</f>
        <v>37.697499999999998</v>
      </c>
      <c r="N338" s="31">
        <f>VLOOKUP($B338,'Tillförd energi'!$B$1:$AI$720,MATCH(N$1,'Tillförd energi'!$B$1:$AQ$1,0),FALSE)</f>
        <v>72.294799999999995</v>
      </c>
      <c r="O338" s="31">
        <f>VLOOKUP($B338,'Tillförd energi'!$B$1:$AI$720,MATCH(O$1,'Tillförd energi'!$B$1:$AQ$1,0),FALSE)</f>
        <v>13.4725</v>
      </c>
      <c r="P338" s="31">
        <f>VLOOKUP($B338,'Tillförd energi'!$B$1:$AI$720,MATCH(P$1,'Tillförd energi'!$B$1:$AQ$1,0),FALSE)</f>
        <v>7.7999599999999996</v>
      </c>
      <c r="Q338" s="31">
        <f>VLOOKUP($B338,'Tillförd energi'!$B$1:$AI$720,MATCH(Q$1,'Tillförd energi'!$B$1:$AQ$1,0),FALSE)</f>
        <v>0</v>
      </c>
      <c r="R338" s="31">
        <f>VLOOKUP($B338,'Tillförd energi'!$B$1:$AI$720,MATCH(R$1,'Tillförd energi'!$B$1:$AQ$1,0),FALSE)</f>
        <v>0</v>
      </c>
      <c r="S338" s="31">
        <f>VLOOKUP($B338,'Tillförd energi'!$B$1:$AI$720,MATCH(S$1,'Tillförd energi'!$B$1:$AQ$1,0),FALSE)</f>
        <v>0</v>
      </c>
      <c r="T338" s="31">
        <f>VLOOKUP($B338,'Tillförd energi'!$B$1:$AI$720,MATCH(T$1,'Tillförd energi'!$B$1:$AQ$1,0),FALSE)</f>
        <v>0</v>
      </c>
      <c r="U338" s="31">
        <f>VLOOKUP($B338,'Tillförd energi'!$B$1:$AI$720,MATCH(U$1,'Tillförd energi'!$B$1:$AQ$1,0),FALSE)</f>
        <v>0</v>
      </c>
      <c r="V338" s="31">
        <f>VLOOKUP($B338,'Tillförd energi'!$B$1:$AI$720,MATCH(V$1,'Tillförd energi'!$B$1:$AQ$1,0),FALSE)</f>
        <v>0</v>
      </c>
      <c r="W338" s="31">
        <f>VLOOKUP($B338,'Tillförd energi'!$B$1:$AI$720,MATCH(W$1,'Tillförd energi'!$B$1:$AQ$1,0),FALSE)</f>
        <v>0</v>
      </c>
      <c r="X338" s="31">
        <f>VLOOKUP($B338,'Tillförd energi'!$B$1:$AI$720,MATCH(X$1,'Tillförd energi'!$B$1:$AQ$1,0),FALSE)</f>
        <v>0</v>
      </c>
      <c r="Y338" s="31">
        <f>VLOOKUP($B338,'Tillförd energi'!$B$1:$AI$720,MATCH(Y$1,'Tillförd energi'!$B$1:$AQ$1,0),FALSE)</f>
        <v>0</v>
      </c>
      <c r="Z338" s="31">
        <f>VLOOKUP($B338,'Tillförd energi'!$B$1:$AI$720,MATCH(Z$1,'Tillförd energi'!$B$1:$AQ$1,0),FALSE)</f>
        <v>0</v>
      </c>
      <c r="AA338" s="31">
        <f>VLOOKUP($B338,'Tillförd energi'!$B$1:$AI$720,MATCH(AA$1,'Tillförd energi'!$B$1:$AQ$1,0),FALSE)</f>
        <v>0</v>
      </c>
      <c r="AB338" s="31">
        <f>VLOOKUP($B338,'Tillförd energi'!$B$1:$AI$720,MATCH(AB$1,'Tillförd energi'!$B$1:$AQ$1,0),FALSE)</f>
        <v>0</v>
      </c>
      <c r="AC338" s="31">
        <f>VLOOKUP($B338,'Tillförd energi'!$B$1:$AI$720,MATCH(AC$1,'Tillförd energi'!$B$1:$AQ$1,0),FALSE)</f>
        <v>33.262999999999998</v>
      </c>
      <c r="AD338" s="31">
        <f>VLOOKUP($B338,'Tillförd energi'!$B$1:$AI$720,MATCH(AD$1,'Tillförd energi'!$B$1:$AQ$1,0),FALSE)</f>
        <v>0</v>
      </c>
      <c r="AE338" s="31">
        <f>VLOOKUP($B338,'Tillförd energi'!$B$1:$AI$720,MATCH(AE$1,'Tillförd energi'!$B$1:$AQ$1,0),FALSE)</f>
        <v>0</v>
      </c>
      <c r="AF338" s="31">
        <f>VLOOKUP($B338,'Tillförd energi'!$B$1:$AI$720,MATCH(AF$1,'Tillförd energi'!$B$1:$AQ$1,0),FALSE)</f>
        <v>6.5324299999999997</v>
      </c>
      <c r="AG338" s="31">
        <f>IFERROR(VLOOKUP(B338,Miljö!$B$1:$AC$550,MATCH("Köpt mängd produktionsspecifik fjärrvärme:",Miljö!$B$1:$AC$1,0),FALSE)/1,0)</f>
        <v>0</v>
      </c>
      <c r="AI338" s="31">
        <f t="shared" si="115"/>
        <v>173.83718999999999</v>
      </c>
      <c r="AJ338" s="31">
        <f t="shared" si="116"/>
        <v>173.83718999999999</v>
      </c>
      <c r="AK338" s="31">
        <f>IF(ISERROR(1/VLOOKUP($B338,Leveranser!$B$1:$S$499,MATCH("Såld värme (GWh)",Leveranser!$B$1:$S$1,0),FALSE)),"",VLOOKUP($B338,Leveranser!$B$1:$S$499,MATCH("Såld värme (GWh)",Leveranser!$B$1:$S$1,0),FALSE))</f>
        <v>143.173</v>
      </c>
      <c r="AL338" s="31">
        <f>VLOOKUP($B338,Leveranser!$B$1:$Y$499,MATCH("Totalt såld fjärrvärme till andra fjärrvärmeföretag",Leveranser!$B$1:$AA$1,0),FALSE)</f>
        <v>0</v>
      </c>
      <c r="AM338" s="31">
        <f>IF(ISERROR(1/VLOOKUP($B338,Miljö!$B$1:$S$500,MATCH("Såld mängd produktionsspecifik fjärrvärme (GWh)",Miljö!$B$1:$R$1,0),FALSE)),0,VLOOKUP($B338,Miljö!$B$1:$S$500,MATCH("Såld mängd produktionsspecifik fjärrvärme (GWh)",Miljö!$B$1:$R$1,0),FALSE))</f>
        <v>0</v>
      </c>
      <c r="AN338" s="32">
        <f t="shared" si="117"/>
        <v>0.82360397104900285</v>
      </c>
      <c r="AP338" s="31" t="str">
        <f>IFERROR(VLOOKUP($B338,Miljövärden!$B$2:$H$550,7,FALSE),"Nej, saknas")</f>
        <v>Ja</v>
      </c>
      <c r="AQ338" s="31" t="str">
        <f>IFERROR(VLOOKUP($B338,Miljövärden!$B$2:$H$551,6,FALSE),"Nej, saknas")</f>
        <v>Ja</v>
      </c>
      <c r="AU338" s="31">
        <f t="shared" si="118"/>
        <v>6.5324299999999997</v>
      </c>
      <c r="AV338" s="31">
        <f t="shared" si="119"/>
        <v>0</v>
      </c>
      <c r="AW338" s="31">
        <f t="shared" si="120"/>
        <v>131.26476</v>
      </c>
      <c r="AX338" s="31">
        <f t="shared" si="121"/>
        <v>0</v>
      </c>
      <c r="AZ338" s="31">
        <f t="shared" si="122"/>
        <v>131.26476</v>
      </c>
      <c r="BC338" s="31">
        <f t="shared" si="123"/>
        <v>2.7770000000000001</v>
      </c>
      <c r="BD338" s="31">
        <f t="shared" si="124"/>
        <v>0</v>
      </c>
      <c r="BE338" s="31">
        <f t="shared" si="125"/>
        <v>131.26476</v>
      </c>
      <c r="BF338" s="31">
        <f t="shared" si="126"/>
        <v>33.262999999999998</v>
      </c>
      <c r="BG338" s="31">
        <f t="shared" si="127"/>
        <v>6.5324299999999997</v>
      </c>
      <c r="BH338" s="31">
        <f>VLOOKUP(B338,Miljö!$B$1:$BX$482,MATCH("Fossilandel för ursprungspecificerad el ()",Miljö!$B$1:$I$1,0),FALSE)</f>
        <v>0</v>
      </c>
      <c r="BI338" s="31">
        <f>VLOOKUP(B338,Miljö!$B$1:$BX$482,MATCH("Kärnkraftsandel för ursprungsspecificerad el ()",Miljö!$B$1:$O$1,0),FALSE)</f>
        <v>0</v>
      </c>
      <c r="BJ338" s="31">
        <f t="shared" si="128"/>
        <v>0</v>
      </c>
      <c r="BK338" s="31" t="str">
        <f>VLOOKUP(B338,Miljö!$B$1:$P$482,MATCH("Fossil andel i procent (%)",Miljö!$B$1:$P$1,0),FALSE)</f>
        <v>ET</v>
      </c>
      <c r="BL338" s="31">
        <f t="shared" si="129"/>
        <v>173.83718999999999</v>
      </c>
      <c r="BO338" s="32">
        <f t="shared" si="130"/>
        <v>1.5974717492844886E-2</v>
      </c>
      <c r="BP338" s="32">
        <f t="shared" si="131"/>
        <v>0</v>
      </c>
      <c r="BQ338" s="32">
        <f t="shared" si="132"/>
        <v>0.79267957564201308</v>
      </c>
      <c r="BR338" s="32">
        <f t="shared" si="133"/>
        <v>0.19134570686514202</v>
      </c>
      <c r="BT338" s="62">
        <f t="shared" si="134"/>
        <v>1</v>
      </c>
      <c r="BW338" s="32">
        <f>IF(AP338="Ja",VLOOKUP(B338,Miljövärden!$B$2:$H$551,MATCH("Total andel fossilt",Miljövärden!$B$2:$H$2,0),FALSE),"")</f>
        <v>1.5974700000000001E-2</v>
      </c>
      <c r="BX338" s="62">
        <f t="shared" si="135"/>
        <v>-1.7492844884420267E-8</v>
      </c>
      <c r="BZ338" s="31">
        <f t="shared" si="136"/>
        <v>-1.7492844884420267E-8</v>
      </c>
      <c r="CA338" s="32">
        <f t="shared" si="137"/>
        <v>0</v>
      </c>
    </row>
    <row r="339" spans="1:79" x14ac:dyDescent="0.45">
      <c r="A339" s="31" t="s">
        <v>232</v>
      </c>
      <c r="B339" s="31" t="s">
        <v>237</v>
      </c>
      <c r="C339" s="31">
        <f>VLOOKUP($B339,'Tillförd energi'!$B$1:$AI$720,MATCH(C$1,'Tillförd energi'!$B$1:$AQ$1,0),FALSE)</f>
        <v>0</v>
      </c>
      <c r="D339" s="31">
        <f>VLOOKUP($B339,'Tillförd energi'!$B$1:$AI$720,MATCH(D$1,'Tillförd energi'!$B$1:$AQ$1,0),FALSE)</f>
        <v>0</v>
      </c>
      <c r="E339" s="31">
        <f>VLOOKUP($B339,'Tillförd energi'!$B$1:$AI$720,MATCH(E$1,'Tillförd energi'!$B$1:$AQ$1,0),FALSE)</f>
        <v>6.8799799999999998</v>
      </c>
      <c r="F339" s="31">
        <f>VLOOKUP($B339,'Tillförd energi'!$B$1:$AI$720,MATCH(F$1,'Tillförd energi'!$B$1:$AQ$1,0),FALSE)</f>
        <v>0</v>
      </c>
      <c r="G339" s="31">
        <f>VLOOKUP($B339,'Tillförd energi'!$B$1:$AI$720,MATCH(G$1,'Tillförd energi'!$B$1:$AQ$1,0),FALSE)</f>
        <v>0</v>
      </c>
      <c r="H339" s="31">
        <f>VLOOKUP($B339,'Tillförd energi'!$B$1:$AI$720,MATCH(H$1,'Tillförd energi'!$B$1:$AQ$1,0),FALSE)</f>
        <v>0</v>
      </c>
      <c r="I339" s="31">
        <f>VLOOKUP($B339,'Tillförd energi'!$B$1:$AI$720,MATCH(I$1,'Tillförd energi'!$B$1:$AQ$1,0),FALSE)</f>
        <v>0.85668299999999997</v>
      </c>
      <c r="J339" s="31">
        <f>VLOOKUP($B339,'Tillförd energi'!$B$1:$AI$720,MATCH(J$1,'Tillförd energi'!$B$1:$AQ$1,0),FALSE)</f>
        <v>1.5153700000000001</v>
      </c>
      <c r="K339" s="31">
        <f>VLOOKUP($B339,'Tillförd energi'!$B$1:$AI$720,MATCH(K$1,'Tillförd energi'!$B$1:$AQ$1,0),FALSE)</f>
        <v>0</v>
      </c>
      <c r="L339" s="31">
        <f>VLOOKUP($B339,'Tillförd energi'!$B$1:$AI$720,MATCH(L$1,'Tillförd energi'!$B$1:$AQ$1,0),FALSE)</f>
        <v>161.07400000000001</v>
      </c>
      <c r="M339" s="31">
        <f>VLOOKUP($B339,'Tillförd energi'!$B$1:$AI$720,MATCH(M$1,'Tillförd energi'!$B$1:$AQ$1,0),FALSE)</f>
        <v>0</v>
      </c>
      <c r="N339" s="31">
        <f>VLOOKUP($B339,'Tillförd energi'!$B$1:$AI$720,MATCH(N$1,'Tillförd energi'!$B$1:$AQ$1,0),FALSE)</f>
        <v>66.951400000000007</v>
      </c>
      <c r="O339" s="31">
        <f>VLOOKUP($B339,'Tillförd energi'!$B$1:$AI$720,MATCH(O$1,'Tillförd energi'!$B$1:$AQ$1,0),FALSE)</f>
        <v>0</v>
      </c>
      <c r="P339" s="31">
        <f>VLOOKUP($B339,'Tillförd energi'!$B$1:$AI$720,MATCH(P$1,'Tillförd energi'!$B$1:$AQ$1,0),FALSE)</f>
        <v>0</v>
      </c>
      <c r="Q339" s="31">
        <f>VLOOKUP($B339,'Tillförd energi'!$B$1:$AI$720,MATCH(Q$1,'Tillförd energi'!$B$1:$AQ$1,0),FALSE)</f>
        <v>0</v>
      </c>
      <c r="R339" s="31">
        <f>VLOOKUP($B339,'Tillförd energi'!$B$1:$AI$720,MATCH(R$1,'Tillförd energi'!$B$1:$AQ$1,0),FALSE)</f>
        <v>0</v>
      </c>
      <c r="S339" s="31">
        <f>VLOOKUP($B339,'Tillförd energi'!$B$1:$AI$720,MATCH(S$1,'Tillförd energi'!$B$1:$AQ$1,0),FALSE)</f>
        <v>0</v>
      </c>
      <c r="T339" s="31">
        <f>VLOOKUP($B339,'Tillförd energi'!$B$1:$AI$720,MATCH(T$1,'Tillförd energi'!$B$1:$AQ$1,0),FALSE)</f>
        <v>0</v>
      </c>
      <c r="U339" s="31">
        <f>VLOOKUP($B339,'Tillförd energi'!$B$1:$AI$720,MATCH(U$1,'Tillförd energi'!$B$1:$AQ$1,0),FALSE)</f>
        <v>0</v>
      </c>
      <c r="V339" s="31">
        <f>VLOOKUP($B339,'Tillförd energi'!$B$1:$AI$720,MATCH(V$1,'Tillförd energi'!$B$1:$AQ$1,0),FALSE)</f>
        <v>0</v>
      </c>
      <c r="W339" s="31">
        <f>VLOOKUP($B339,'Tillförd energi'!$B$1:$AI$720,MATCH(W$1,'Tillförd energi'!$B$1:$AQ$1,0),FALSE)</f>
        <v>0</v>
      </c>
      <c r="X339" s="31">
        <f>VLOOKUP($B339,'Tillförd energi'!$B$1:$AI$720,MATCH(X$1,'Tillförd energi'!$B$1:$AQ$1,0),FALSE)</f>
        <v>0</v>
      </c>
      <c r="Y339" s="31">
        <f>VLOOKUP($B339,'Tillförd energi'!$B$1:$AI$720,MATCH(Y$1,'Tillförd energi'!$B$1:$AQ$1,0),FALSE)</f>
        <v>0</v>
      </c>
      <c r="Z339" s="31">
        <f>VLOOKUP($B339,'Tillförd energi'!$B$1:$AI$720,MATCH(Z$1,'Tillförd energi'!$B$1:$AQ$1,0),FALSE)</f>
        <v>0</v>
      </c>
      <c r="AA339" s="31">
        <f>VLOOKUP($B339,'Tillförd energi'!$B$1:$AI$720,MATCH(AA$1,'Tillförd energi'!$B$1:$AQ$1,0),FALSE)</f>
        <v>0</v>
      </c>
      <c r="AB339" s="31">
        <f>VLOOKUP($B339,'Tillförd energi'!$B$1:$AI$720,MATCH(AB$1,'Tillförd energi'!$B$1:$AQ$1,0),FALSE)</f>
        <v>0</v>
      </c>
      <c r="AC339" s="31">
        <f>VLOOKUP($B339,'Tillförd energi'!$B$1:$AI$720,MATCH(AC$1,'Tillförd energi'!$B$1:$AQ$1,0),FALSE)</f>
        <v>51.087000000000003</v>
      </c>
      <c r="AD339" s="31">
        <f>VLOOKUP($B339,'Tillförd energi'!$B$1:$AI$720,MATCH(AD$1,'Tillförd energi'!$B$1:$AQ$1,0),FALSE)</f>
        <v>0</v>
      </c>
      <c r="AE339" s="31">
        <f>VLOOKUP($B339,'Tillförd energi'!$B$1:$AI$720,MATCH(AE$1,'Tillförd energi'!$B$1:$AQ$1,0),FALSE)</f>
        <v>0</v>
      </c>
      <c r="AF339" s="31">
        <f>VLOOKUP($B339,'Tillförd energi'!$B$1:$AI$720,MATCH(AF$1,'Tillförd energi'!$B$1:$AQ$1,0),FALSE)</f>
        <v>11.1587</v>
      </c>
      <c r="AG339" s="31">
        <f>IFERROR(VLOOKUP(B339,Miljö!$B$1:$AC$550,MATCH("Köpt mängd produktionsspecifik fjärrvärme:",Miljö!$B$1:$AC$1,0),FALSE)/1,0)</f>
        <v>0</v>
      </c>
      <c r="AI339" s="31">
        <f t="shared" si="115"/>
        <v>299.52313300000003</v>
      </c>
      <c r="AJ339" s="31">
        <f t="shared" si="116"/>
        <v>299.52313300000003</v>
      </c>
      <c r="AK339" s="31">
        <f>IF(ISERROR(1/VLOOKUP($B339,Leveranser!$B$1:$S$499,MATCH("Såld värme (GWh)",Leveranser!$B$1:$S$1,0),FALSE)),"",VLOOKUP($B339,Leveranser!$B$1:$S$499,MATCH("Såld värme (GWh)",Leveranser!$B$1:$S$1,0),FALSE))</f>
        <v>261.93</v>
      </c>
      <c r="AL339" s="31">
        <f>VLOOKUP($B339,Leveranser!$B$1:$Y$499,MATCH("Totalt såld fjärrvärme till andra fjärrvärmeföretag",Leveranser!$B$1:$AA$1,0),FALSE)</f>
        <v>0</v>
      </c>
      <c r="AM339" s="31">
        <f>IF(ISERROR(1/VLOOKUP($B339,Miljö!$B$1:$S$500,MATCH("Såld mängd produktionsspecifik fjärrvärme (GWh)",Miljö!$B$1:$R$1,0),FALSE)),0,VLOOKUP($B339,Miljö!$B$1:$S$500,MATCH("Såld mängd produktionsspecifik fjärrvärme (GWh)",Miljö!$B$1:$R$1,0),FALSE))</f>
        <v>0</v>
      </c>
      <c r="AN339" s="32">
        <f t="shared" si="117"/>
        <v>0.87449005149128156</v>
      </c>
      <c r="AP339" s="31" t="str">
        <f>IFERROR(VLOOKUP($B339,Miljövärden!$B$2:$H$550,7,FALSE),"Nej, saknas")</f>
        <v>Ja</v>
      </c>
      <c r="AQ339" s="31" t="str">
        <f>IFERROR(VLOOKUP($B339,Miljövärden!$B$2:$H$551,6,FALSE),"Nej, saknas")</f>
        <v>Ja</v>
      </c>
      <c r="AU339" s="31">
        <f t="shared" si="118"/>
        <v>11.1587</v>
      </c>
      <c r="AV339" s="31">
        <f t="shared" si="119"/>
        <v>0</v>
      </c>
      <c r="AW339" s="31">
        <f t="shared" si="120"/>
        <v>66.951400000000007</v>
      </c>
      <c r="AX339" s="31">
        <f t="shared" si="121"/>
        <v>0</v>
      </c>
      <c r="AZ339" s="31">
        <f t="shared" si="122"/>
        <v>228.02540000000002</v>
      </c>
      <c r="BC339" s="31">
        <f t="shared" si="123"/>
        <v>6.8799799999999998</v>
      </c>
      <c r="BD339" s="31">
        <f t="shared" si="124"/>
        <v>0</v>
      </c>
      <c r="BE339" s="31">
        <f t="shared" si="125"/>
        <v>66.951400000000007</v>
      </c>
      <c r="BF339" s="31">
        <f t="shared" si="126"/>
        <v>214.533053</v>
      </c>
      <c r="BG339" s="31">
        <f t="shared" si="127"/>
        <v>11.1587</v>
      </c>
      <c r="BH339" s="31">
        <f>VLOOKUP(B339,Miljö!$B$1:$BX$482,MATCH("Fossilandel för ursprungspecificerad el ()",Miljö!$B$1:$I$1,0),FALSE)</f>
        <v>0.5</v>
      </c>
      <c r="BI339" s="31">
        <f>VLOOKUP(B339,Miljö!$B$1:$BX$482,MATCH("Kärnkraftsandel för ursprungsspecificerad el ()",Miljö!$B$1:$O$1,0),FALSE)</f>
        <v>0</v>
      </c>
      <c r="BJ339" s="31">
        <f t="shared" si="128"/>
        <v>0</v>
      </c>
      <c r="BK339" s="31" t="str">
        <f>VLOOKUP(B339,Miljö!$B$1:$P$482,MATCH("Fossil andel i procent (%)",Miljö!$B$1:$P$1,0),FALSE)</f>
        <v>ET</v>
      </c>
      <c r="BL339" s="31">
        <f t="shared" si="129"/>
        <v>299.52313300000003</v>
      </c>
      <c r="BO339" s="32">
        <f t="shared" si="130"/>
        <v>4.1597221140178171E-2</v>
      </c>
      <c r="BP339" s="32">
        <f t="shared" si="131"/>
        <v>0</v>
      </c>
      <c r="BQ339" s="32">
        <f t="shared" si="132"/>
        <v>0.24215408430573543</v>
      </c>
      <c r="BR339" s="32">
        <f t="shared" si="133"/>
        <v>0.71624869455408635</v>
      </c>
      <c r="BT339" s="62">
        <f t="shared" si="134"/>
        <v>1</v>
      </c>
      <c r="BW339" s="32">
        <f>IF(AP339="Ja",VLOOKUP(B339,Miljövärden!$B$2:$H$551,MATCH("Total andel fossilt",Miljövärden!$B$2:$H$2,0),FALSE),"")</f>
        <v>4.1597099999999998E-2</v>
      </c>
      <c r="BX339" s="62">
        <f t="shared" si="135"/>
        <v>-1.2114017817338452E-7</v>
      </c>
      <c r="BZ339" s="31">
        <f t="shared" si="136"/>
        <v>-1.2114017817338452E-7</v>
      </c>
      <c r="CA339" s="32">
        <f t="shared" si="137"/>
        <v>0</v>
      </c>
    </row>
    <row r="340" spans="1:79" x14ac:dyDescent="0.45">
      <c r="A340" s="31" t="s">
        <v>232</v>
      </c>
      <c r="B340" s="31" t="s">
        <v>236</v>
      </c>
      <c r="C340" s="31">
        <f>VLOOKUP($B340,'Tillförd energi'!$B$1:$AI$720,MATCH(C$1,'Tillförd energi'!$B$1:$AQ$1,0),FALSE)</f>
        <v>0</v>
      </c>
      <c r="D340" s="31">
        <f>VLOOKUP($B340,'Tillförd energi'!$B$1:$AI$720,MATCH(D$1,'Tillförd energi'!$B$1:$AQ$1,0),FALSE)</f>
        <v>0.11</v>
      </c>
      <c r="E340" s="31">
        <f>VLOOKUP($B340,'Tillförd energi'!$B$1:$AI$720,MATCH(E$1,'Tillförd energi'!$B$1:$AQ$1,0),FALSE)</f>
        <v>0</v>
      </c>
      <c r="F340" s="31">
        <f>VLOOKUP($B340,'Tillförd energi'!$B$1:$AI$720,MATCH(F$1,'Tillförd energi'!$B$1:$AQ$1,0),FALSE)</f>
        <v>0</v>
      </c>
      <c r="G340" s="31">
        <f>VLOOKUP($B340,'Tillförd energi'!$B$1:$AI$720,MATCH(G$1,'Tillförd energi'!$B$1:$AQ$1,0),FALSE)</f>
        <v>0</v>
      </c>
      <c r="H340" s="31">
        <f>VLOOKUP($B340,'Tillförd energi'!$B$1:$AI$720,MATCH(H$1,'Tillförd energi'!$B$1:$AQ$1,0),FALSE)</f>
        <v>0</v>
      </c>
      <c r="I340" s="31">
        <f>VLOOKUP($B340,'Tillförd energi'!$B$1:$AI$720,MATCH(I$1,'Tillförd energi'!$B$1:$AQ$1,0),FALSE)</f>
        <v>0</v>
      </c>
      <c r="J340" s="31">
        <f>VLOOKUP($B340,'Tillförd energi'!$B$1:$AI$720,MATCH(J$1,'Tillförd energi'!$B$1:$AQ$1,0),FALSE)</f>
        <v>0</v>
      </c>
      <c r="K340" s="31">
        <f>VLOOKUP($B340,'Tillförd energi'!$B$1:$AI$720,MATCH(K$1,'Tillförd energi'!$B$1:$AQ$1,0),FALSE)</f>
        <v>0</v>
      </c>
      <c r="L340" s="31">
        <f>VLOOKUP($B340,'Tillförd energi'!$B$1:$AI$720,MATCH(L$1,'Tillförd energi'!$B$1:$AQ$1,0),FALSE)</f>
        <v>0</v>
      </c>
      <c r="M340" s="31">
        <f>VLOOKUP($B340,'Tillförd energi'!$B$1:$AI$720,MATCH(M$1,'Tillförd energi'!$B$1:$AQ$1,0),FALSE)</f>
        <v>0</v>
      </c>
      <c r="N340" s="31">
        <f>VLOOKUP($B340,'Tillförd energi'!$B$1:$AI$720,MATCH(N$1,'Tillförd energi'!$B$1:$AQ$1,0),FALSE)</f>
        <v>0</v>
      </c>
      <c r="O340" s="31">
        <f>VLOOKUP($B340,'Tillförd energi'!$B$1:$AI$720,MATCH(O$1,'Tillförd energi'!$B$1:$AQ$1,0),FALSE)</f>
        <v>0</v>
      </c>
      <c r="P340" s="31">
        <f>VLOOKUP($B340,'Tillförd energi'!$B$1:$AI$720,MATCH(P$1,'Tillförd energi'!$B$1:$AQ$1,0),FALSE)</f>
        <v>0</v>
      </c>
      <c r="Q340" s="31">
        <f>VLOOKUP($B340,'Tillförd energi'!$B$1:$AI$720,MATCH(Q$1,'Tillförd energi'!$B$1:$AQ$1,0),FALSE)</f>
        <v>0</v>
      </c>
      <c r="R340" s="31">
        <f>VLOOKUP($B340,'Tillförd energi'!$B$1:$AI$720,MATCH(R$1,'Tillförd energi'!$B$1:$AQ$1,0),FALSE)</f>
        <v>0</v>
      </c>
      <c r="S340" s="31">
        <f>VLOOKUP($B340,'Tillförd energi'!$B$1:$AI$720,MATCH(S$1,'Tillförd energi'!$B$1:$AQ$1,0),FALSE)</f>
        <v>0</v>
      </c>
      <c r="T340" s="31">
        <f>VLOOKUP($B340,'Tillförd energi'!$B$1:$AI$720,MATCH(T$1,'Tillförd energi'!$B$1:$AQ$1,0),FALSE)</f>
        <v>0</v>
      </c>
      <c r="U340" s="31">
        <f>VLOOKUP($B340,'Tillförd energi'!$B$1:$AI$720,MATCH(U$1,'Tillförd energi'!$B$1:$AQ$1,0),FALSE)</f>
        <v>0</v>
      </c>
      <c r="V340" s="31">
        <f>VLOOKUP($B340,'Tillförd energi'!$B$1:$AI$720,MATCH(V$1,'Tillförd energi'!$B$1:$AQ$1,0),FALSE)</f>
        <v>0</v>
      </c>
      <c r="W340" s="31">
        <f>VLOOKUP($B340,'Tillförd energi'!$B$1:$AI$720,MATCH(W$1,'Tillförd energi'!$B$1:$AQ$1,0),FALSE)</f>
        <v>28.489000000000001</v>
      </c>
      <c r="X340" s="31">
        <f>VLOOKUP($B340,'Tillförd energi'!$B$1:$AI$720,MATCH(X$1,'Tillförd energi'!$B$1:$AQ$1,0),FALSE)</f>
        <v>0</v>
      </c>
      <c r="Y340" s="31">
        <f>VLOOKUP($B340,'Tillförd energi'!$B$1:$AI$720,MATCH(Y$1,'Tillförd energi'!$B$1:$AQ$1,0),FALSE)</f>
        <v>0</v>
      </c>
      <c r="Z340" s="31">
        <f>VLOOKUP($B340,'Tillförd energi'!$B$1:$AI$720,MATCH(Z$1,'Tillförd energi'!$B$1:$AQ$1,0),FALSE)</f>
        <v>0</v>
      </c>
      <c r="AA340" s="31">
        <f>VLOOKUP($B340,'Tillförd energi'!$B$1:$AI$720,MATCH(AA$1,'Tillförd energi'!$B$1:$AQ$1,0),FALSE)</f>
        <v>0</v>
      </c>
      <c r="AB340" s="31">
        <f>VLOOKUP($B340,'Tillförd energi'!$B$1:$AI$720,MATCH(AB$1,'Tillförd energi'!$B$1:$AQ$1,0),FALSE)</f>
        <v>0</v>
      </c>
      <c r="AC340" s="31">
        <f>VLOOKUP($B340,'Tillförd energi'!$B$1:$AI$720,MATCH(AC$1,'Tillförd energi'!$B$1:$AQ$1,0),FALSE)</f>
        <v>0</v>
      </c>
      <c r="AD340" s="31">
        <f>VLOOKUP($B340,'Tillförd energi'!$B$1:$AI$720,MATCH(AD$1,'Tillförd energi'!$B$1:$AQ$1,0),FALSE)</f>
        <v>0</v>
      </c>
      <c r="AE340" s="31">
        <f>VLOOKUP($B340,'Tillförd energi'!$B$1:$AI$720,MATCH(AE$1,'Tillförd energi'!$B$1:$AQ$1,0),FALSE)</f>
        <v>0</v>
      </c>
      <c r="AF340" s="31">
        <f>VLOOKUP($B340,'Tillförd energi'!$B$1:$AI$720,MATCH(AF$1,'Tillförd energi'!$B$1:$AQ$1,0),FALSE)</f>
        <v>0.53400000000000003</v>
      </c>
      <c r="AG340" s="31">
        <f>IFERROR(VLOOKUP(B340,Miljö!$B$1:$AC$550,MATCH("Köpt mängd produktionsspecifik fjärrvärme:",Miljö!$B$1:$AC$1,0),FALSE)/1,0)</f>
        <v>0</v>
      </c>
      <c r="AI340" s="31">
        <f t="shared" si="115"/>
        <v>29.132999999999999</v>
      </c>
      <c r="AJ340" s="31">
        <f t="shared" si="116"/>
        <v>29.132999999999999</v>
      </c>
      <c r="AK340" s="31">
        <f>IF(ISERROR(1/VLOOKUP($B340,Leveranser!$B$1:$S$499,MATCH("Såld värme (GWh)",Leveranser!$B$1:$S$1,0),FALSE)),"",VLOOKUP($B340,Leveranser!$B$1:$S$499,MATCH("Såld värme (GWh)",Leveranser!$B$1:$S$1,0),FALSE))</f>
        <v>25.696000000000002</v>
      </c>
      <c r="AL340" s="31">
        <f>VLOOKUP($B340,Leveranser!$B$1:$Y$499,MATCH("Totalt såld fjärrvärme till andra fjärrvärmeföretag",Leveranser!$B$1:$AA$1,0),FALSE)</f>
        <v>0</v>
      </c>
      <c r="AM340" s="31">
        <f>IF(ISERROR(1/VLOOKUP($B340,Miljö!$B$1:$S$500,MATCH("Såld mängd produktionsspecifik fjärrvärme (GWh)",Miljö!$B$1:$R$1,0),FALSE)),0,VLOOKUP($B340,Miljö!$B$1:$S$500,MATCH("Såld mängd produktionsspecifik fjärrvärme (GWh)",Miljö!$B$1:$R$1,0),FALSE))</f>
        <v>0</v>
      </c>
      <c r="AN340" s="32">
        <f t="shared" si="117"/>
        <v>0.88202382178285799</v>
      </c>
      <c r="AP340" s="31" t="str">
        <f>IFERROR(VLOOKUP($B340,Miljövärden!$B$2:$H$550,7,FALSE),"Nej, saknas")</f>
        <v>Ja</v>
      </c>
      <c r="AQ340" s="31" t="str">
        <f>IFERROR(VLOOKUP($B340,Miljövärden!$B$2:$H$551,6,FALSE),"Nej, saknas")</f>
        <v>Ja</v>
      </c>
      <c r="AU340" s="31">
        <f t="shared" si="118"/>
        <v>0.53400000000000003</v>
      </c>
      <c r="AV340" s="31">
        <f t="shared" si="119"/>
        <v>0</v>
      </c>
      <c r="AW340" s="31">
        <f t="shared" si="120"/>
        <v>0</v>
      </c>
      <c r="AX340" s="31">
        <f t="shared" si="121"/>
        <v>0</v>
      </c>
      <c r="AZ340" s="31">
        <f t="shared" si="122"/>
        <v>28.489000000000001</v>
      </c>
      <c r="BC340" s="31">
        <f t="shared" si="123"/>
        <v>0.11</v>
      </c>
      <c r="BD340" s="31">
        <f t="shared" si="124"/>
        <v>0</v>
      </c>
      <c r="BE340" s="31">
        <f t="shared" si="125"/>
        <v>28.489000000000001</v>
      </c>
      <c r="BF340" s="31">
        <f t="shared" si="126"/>
        <v>0</v>
      </c>
      <c r="BG340" s="31">
        <f t="shared" si="127"/>
        <v>0.53400000000000003</v>
      </c>
      <c r="BH340" s="31">
        <f>VLOOKUP(B340,Miljö!$B$1:$BX$482,MATCH("Fossilandel för ursprungspecificerad el ()",Miljö!$B$1:$I$1,0),FALSE)</f>
        <v>0</v>
      </c>
      <c r="BI340" s="31">
        <f>VLOOKUP(B340,Miljö!$B$1:$BX$482,MATCH("Kärnkraftsandel för ursprungsspecificerad el ()",Miljö!$B$1:$O$1,0),FALSE)</f>
        <v>0.59</v>
      </c>
      <c r="BJ340" s="31">
        <f t="shared" si="128"/>
        <v>0</v>
      </c>
      <c r="BK340" s="31" t="str">
        <f>VLOOKUP(B340,Miljö!$B$1:$P$482,MATCH("Fossil andel i procent (%)",Miljö!$B$1:$P$1,0),FALSE)</f>
        <v>ET</v>
      </c>
      <c r="BL340" s="31">
        <f t="shared" si="129"/>
        <v>29.132999999999999</v>
      </c>
      <c r="BO340" s="32">
        <f t="shared" si="130"/>
        <v>3.775786908317029E-3</v>
      </c>
      <c r="BP340" s="32">
        <f t="shared" si="131"/>
        <v>1.0814540212130574E-2</v>
      </c>
      <c r="BQ340" s="32">
        <f t="shared" si="132"/>
        <v>0.9854096728795525</v>
      </c>
      <c r="BR340" s="32">
        <f t="shared" si="133"/>
        <v>0</v>
      </c>
      <c r="BT340" s="62">
        <f t="shared" si="134"/>
        <v>1</v>
      </c>
      <c r="BW340" s="32">
        <f>IF(AP340="Ja",VLOOKUP(B340,Miljövärden!$B$2:$H$551,MATCH("Total andel fossilt",Miljövärden!$B$2:$H$2,0),FALSE),"")</f>
        <v>3.7757899999999998E-3</v>
      </c>
      <c r="BX340" s="62">
        <f t="shared" si="135"/>
        <v>3.0916829708328708E-9</v>
      </c>
      <c r="BZ340" s="31">
        <f t="shared" si="136"/>
        <v>3.0916829708328708E-9</v>
      </c>
      <c r="CA340" s="32">
        <f t="shared" si="137"/>
        <v>0</v>
      </c>
    </row>
    <row r="341" spans="1:79" x14ac:dyDescent="0.45">
      <c r="A341" s="31" t="s">
        <v>232</v>
      </c>
      <c r="B341" s="31" t="s">
        <v>235</v>
      </c>
      <c r="C341" s="31">
        <f>VLOOKUP($B341,'Tillförd energi'!$B$1:$AI$720,MATCH(C$1,'Tillförd energi'!$B$1:$AQ$1,0),FALSE)</f>
        <v>0</v>
      </c>
      <c r="D341" s="31">
        <f>VLOOKUP($B341,'Tillförd energi'!$B$1:$AI$720,MATCH(D$1,'Tillförd energi'!$B$1:$AQ$1,0),FALSE)</f>
        <v>1.59</v>
      </c>
      <c r="E341" s="31">
        <f>VLOOKUP($B341,'Tillförd energi'!$B$1:$AI$720,MATCH(E$1,'Tillförd energi'!$B$1:$AQ$1,0),FALSE)</f>
        <v>0</v>
      </c>
      <c r="F341" s="31">
        <f>VLOOKUP($B341,'Tillförd energi'!$B$1:$AI$720,MATCH(F$1,'Tillförd energi'!$B$1:$AQ$1,0),FALSE)</f>
        <v>0</v>
      </c>
      <c r="G341" s="31">
        <f>VLOOKUP($B341,'Tillförd energi'!$B$1:$AI$720,MATCH(G$1,'Tillförd energi'!$B$1:$AQ$1,0),FALSE)</f>
        <v>0</v>
      </c>
      <c r="H341" s="31">
        <f>VLOOKUP($B341,'Tillförd energi'!$B$1:$AI$720,MATCH(H$1,'Tillförd energi'!$B$1:$AQ$1,0),FALSE)</f>
        <v>0</v>
      </c>
      <c r="I341" s="31">
        <f>VLOOKUP($B341,'Tillförd energi'!$B$1:$AI$720,MATCH(I$1,'Tillförd energi'!$B$1:$AQ$1,0),FALSE)</f>
        <v>0</v>
      </c>
      <c r="J341" s="31">
        <f>VLOOKUP($B341,'Tillförd energi'!$B$1:$AI$720,MATCH(J$1,'Tillförd energi'!$B$1:$AQ$1,0),FALSE)</f>
        <v>0</v>
      </c>
      <c r="K341" s="31">
        <f>VLOOKUP($B341,'Tillförd energi'!$B$1:$AI$720,MATCH(K$1,'Tillförd energi'!$B$1:$AQ$1,0),FALSE)</f>
        <v>0</v>
      </c>
      <c r="L341" s="31">
        <f>VLOOKUP($B341,'Tillförd energi'!$B$1:$AI$720,MATCH(L$1,'Tillförd energi'!$B$1:$AQ$1,0),FALSE)</f>
        <v>0</v>
      </c>
      <c r="M341" s="31">
        <f>VLOOKUP($B341,'Tillförd energi'!$B$1:$AI$720,MATCH(M$1,'Tillförd energi'!$B$1:$AQ$1,0),FALSE)</f>
        <v>0</v>
      </c>
      <c r="N341" s="31">
        <f>VLOOKUP($B341,'Tillförd energi'!$B$1:$AI$720,MATCH(N$1,'Tillförd energi'!$B$1:$AQ$1,0),FALSE)</f>
        <v>0</v>
      </c>
      <c r="O341" s="31">
        <f>VLOOKUP($B341,'Tillförd energi'!$B$1:$AI$720,MATCH(O$1,'Tillförd energi'!$B$1:$AQ$1,0),FALSE)</f>
        <v>0</v>
      </c>
      <c r="P341" s="31">
        <f>VLOOKUP($B341,'Tillförd energi'!$B$1:$AI$720,MATCH(P$1,'Tillförd energi'!$B$1:$AQ$1,0),FALSE)</f>
        <v>0</v>
      </c>
      <c r="Q341" s="31">
        <f>VLOOKUP($B341,'Tillförd energi'!$B$1:$AI$720,MATCH(Q$1,'Tillförd energi'!$B$1:$AQ$1,0),FALSE)</f>
        <v>0</v>
      </c>
      <c r="R341" s="31">
        <f>VLOOKUP($B341,'Tillförd energi'!$B$1:$AI$720,MATCH(R$1,'Tillförd energi'!$B$1:$AQ$1,0),FALSE)</f>
        <v>23.1</v>
      </c>
      <c r="S341" s="31">
        <f>VLOOKUP($B341,'Tillförd energi'!$B$1:$AI$720,MATCH(S$1,'Tillförd energi'!$B$1:$AQ$1,0),FALSE)</f>
        <v>0</v>
      </c>
      <c r="T341" s="31">
        <f>VLOOKUP($B341,'Tillförd energi'!$B$1:$AI$720,MATCH(T$1,'Tillförd energi'!$B$1:$AQ$1,0),FALSE)</f>
        <v>0</v>
      </c>
      <c r="U341" s="31">
        <f>VLOOKUP($B341,'Tillförd energi'!$B$1:$AI$720,MATCH(U$1,'Tillförd energi'!$B$1:$AQ$1,0),FALSE)</f>
        <v>0</v>
      </c>
      <c r="V341" s="31">
        <f>VLOOKUP($B341,'Tillförd energi'!$B$1:$AI$720,MATCH(V$1,'Tillförd energi'!$B$1:$AQ$1,0),FALSE)</f>
        <v>0</v>
      </c>
      <c r="W341" s="31">
        <f>VLOOKUP($B341,'Tillförd energi'!$B$1:$AI$720,MATCH(W$1,'Tillförd energi'!$B$1:$AQ$1,0),FALSE)</f>
        <v>0</v>
      </c>
      <c r="X341" s="31">
        <f>VLOOKUP($B341,'Tillförd energi'!$B$1:$AI$720,MATCH(X$1,'Tillförd energi'!$B$1:$AQ$1,0),FALSE)</f>
        <v>0</v>
      </c>
      <c r="Y341" s="31">
        <f>VLOOKUP($B341,'Tillförd energi'!$B$1:$AI$720,MATCH(Y$1,'Tillförd energi'!$B$1:$AQ$1,0),FALSE)</f>
        <v>0</v>
      </c>
      <c r="Z341" s="31">
        <f>VLOOKUP($B341,'Tillförd energi'!$B$1:$AI$720,MATCH(Z$1,'Tillförd energi'!$B$1:$AQ$1,0),FALSE)</f>
        <v>0</v>
      </c>
      <c r="AA341" s="31">
        <f>VLOOKUP($B341,'Tillförd energi'!$B$1:$AI$720,MATCH(AA$1,'Tillförd energi'!$B$1:$AQ$1,0),FALSE)</f>
        <v>0</v>
      </c>
      <c r="AB341" s="31">
        <f>VLOOKUP($B341,'Tillförd energi'!$B$1:$AI$720,MATCH(AB$1,'Tillförd energi'!$B$1:$AQ$1,0),FALSE)</f>
        <v>0</v>
      </c>
      <c r="AC341" s="31">
        <f>VLOOKUP($B341,'Tillförd energi'!$B$1:$AI$720,MATCH(AC$1,'Tillförd energi'!$B$1:$AQ$1,0),FALSE)</f>
        <v>0</v>
      </c>
      <c r="AD341" s="31">
        <f>VLOOKUP($B341,'Tillförd energi'!$B$1:$AI$720,MATCH(AD$1,'Tillförd energi'!$B$1:$AQ$1,0),FALSE)</f>
        <v>0</v>
      </c>
      <c r="AE341" s="31">
        <f>VLOOKUP($B341,'Tillförd energi'!$B$1:$AI$720,MATCH(AE$1,'Tillförd energi'!$B$1:$AQ$1,0),FALSE)</f>
        <v>0</v>
      </c>
      <c r="AF341" s="31">
        <f>VLOOKUP($B341,'Tillförd energi'!$B$1:$AI$720,MATCH(AF$1,'Tillförd energi'!$B$1:$AQ$1,0),FALSE)</f>
        <v>0.2</v>
      </c>
      <c r="AG341" s="31">
        <f>IFERROR(VLOOKUP(B341,Miljö!$B$1:$AC$550,MATCH("Köpt mängd produktionsspecifik fjärrvärme:",Miljö!$B$1:$AC$1,0),FALSE)/1,0)</f>
        <v>0</v>
      </c>
      <c r="AI341" s="31">
        <f t="shared" si="115"/>
        <v>24.89</v>
      </c>
      <c r="AJ341" s="31">
        <f t="shared" si="116"/>
        <v>24.89</v>
      </c>
      <c r="AK341" s="31">
        <f>IF(ISERROR(1/VLOOKUP($B341,Leveranser!$B$1:$S$499,MATCH("Såld värme (GWh)",Leveranser!$B$1:$S$1,0),FALSE)),"",VLOOKUP($B341,Leveranser!$B$1:$S$499,MATCH("Såld värme (GWh)",Leveranser!$B$1:$S$1,0),FALSE))</f>
        <v>14.379</v>
      </c>
      <c r="AL341" s="31">
        <f>VLOOKUP($B341,Leveranser!$B$1:$Y$499,MATCH("Totalt såld fjärrvärme till andra fjärrvärmeföretag",Leveranser!$B$1:$AA$1,0),FALSE)</f>
        <v>0</v>
      </c>
      <c r="AM341" s="31">
        <f>IF(ISERROR(1/VLOOKUP($B341,Miljö!$B$1:$S$500,MATCH("Såld mängd produktionsspecifik fjärrvärme (GWh)",Miljö!$B$1:$R$1,0),FALSE)),0,VLOOKUP($B341,Miljö!$B$1:$S$500,MATCH("Såld mängd produktionsspecifik fjärrvärme (GWh)",Miljö!$B$1:$R$1,0),FALSE))</f>
        <v>0</v>
      </c>
      <c r="AN341" s="32">
        <f t="shared" si="117"/>
        <v>0.57770188830855762</v>
      </c>
      <c r="AP341" s="31" t="str">
        <f>IFERROR(VLOOKUP($B341,Miljövärden!$B$2:$H$550,7,FALSE),"Nej, saknas")</f>
        <v>Ja</v>
      </c>
      <c r="AQ341" s="31" t="str">
        <f>IFERROR(VLOOKUP($B341,Miljövärden!$B$2:$H$551,6,FALSE),"Nej, saknas")</f>
        <v>Ja</v>
      </c>
      <c r="AU341" s="31">
        <f t="shared" si="118"/>
        <v>0.2</v>
      </c>
      <c r="AV341" s="31">
        <f t="shared" si="119"/>
        <v>0</v>
      </c>
      <c r="AW341" s="31">
        <f t="shared" si="120"/>
        <v>0</v>
      </c>
      <c r="AX341" s="31">
        <f t="shared" si="121"/>
        <v>23.1</v>
      </c>
      <c r="AZ341" s="31">
        <f t="shared" si="122"/>
        <v>23.1</v>
      </c>
      <c r="BC341" s="31">
        <f t="shared" si="123"/>
        <v>1.59</v>
      </c>
      <c r="BD341" s="31">
        <f t="shared" si="124"/>
        <v>0</v>
      </c>
      <c r="BE341" s="31">
        <f t="shared" si="125"/>
        <v>23.1</v>
      </c>
      <c r="BF341" s="31">
        <f t="shared" si="126"/>
        <v>0</v>
      </c>
      <c r="BG341" s="31">
        <f t="shared" si="127"/>
        <v>0.2</v>
      </c>
      <c r="BH341" s="31">
        <f>VLOOKUP(B341,Miljö!$B$1:$BX$482,MATCH("Fossilandel för ursprungspecificerad el ()",Miljö!$B$1:$I$1,0),FALSE)</f>
        <v>0</v>
      </c>
      <c r="BI341" s="31">
        <f>VLOOKUP(B341,Miljö!$B$1:$BX$482,MATCH("Kärnkraftsandel för ursprungsspecificerad el ()",Miljö!$B$1:$O$1,0),FALSE)</f>
        <v>0.59</v>
      </c>
      <c r="BJ341" s="31">
        <f t="shared" si="128"/>
        <v>0</v>
      </c>
      <c r="BK341" s="31" t="str">
        <f>VLOOKUP(B341,Miljö!$B$1:$P$482,MATCH("Fossil andel i procent (%)",Miljö!$B$1:$P$1,0),FALSE)</f>
        <v>ET</v>
      </c>
      <c r="BL341" s="31">
        <f t="shared" si="129"/>
        <v>24.89</v>
      </c>
      <c r="BO341" s="32">
        <f t="shared" si="130"/>
        <v>6.3881076737645648E-2</v>
      </c>
      <c r="BP341" s="32">
        <f t="shared" si="131"/>
        <v>4.7408597830453994E-3</v>
      </c>
      <c r="BQ341" s="32">
        <f t="shared" si="132"/>
        <v>0.93137806347930907</v>
      </c>
      <c r="BR341" s="32">
        <f t="shared" si="133"/>
        <v>0</v>
      </c>
      <c r="BT341" s="62">
        <f t="shared" si="134"/>
        <v>1</v>
      </c>
      <c r="BW341" s="32">
        <f>IF(AP341="Ja",VLOOKUP(B341,Miljövärden!$B$2:$H$551,MATCH("Total andel fossilt",Miljövärden!$B$2:$H$2,0),FALSE),"")</f>
        <v>6.3881099999999996E-2</v>
      </c>
      <c r="BX341" s="62">
        <f t="shared" si="135"/>
        <v>2.3262354348352332E-8</v>
      </c>
      <c r="BZ341" s="31">
        <f t="shared" si="136"/>
        <v>2.3262354348352332E-8</v>
      </c>
      <c r="CA341" s="32">
        <f t="shared" si="137"/>
        <v>0</v>
      </c>
    </row>
    <row r="342" spans="1:79" x14ac:dyDescent="0.45">
      <c r="A342" s="31" t="s">
        <v>232</v>
      </c>
      <c r="B342" s="31" t="s">
        <v>234</v>
      </c>
      <c r="C342" s="31">
        <f>VLOOKUP($B342,'Tillförd energi'!$B$1:$AI$720,MATCH(C$1,'Tillförd energi'!$B$1:$AQ$1,0),FALSE)</f>
        <v>35.567999999999998</v>
      </c>
      <c r="D342" s="31">
        <f>VLOOKUP($B342,'Tillförd energi'!$B$1:$AI$720,MATCH(D$1,'Tillförd energi'!$B$1:$AQ$1,0),FALSE)</f>
        <v>15.835900000000001</v>
      </c>
      <c r="E342" s="31">
        <f>VLOOKUP($B342,'Tillförd energi'!$B$1:$AI$720,MATCH(E$1,'Tillförd energi'!$B$1:$AQ$1,0),FALSE)</f>
        <v>0</v>
      </c>
      <c r="F342" s="31">
        <f>VLOOKUP($B342,'Tillförd energi'!$B$1:$AI$720,MATCH(F$1,'Tillförd energi'!$B$1:$AQ$1,0),FALSE)</f>
        <v>52.795200000000001</v>
      </c>
      <c r="G342" s="31">
        <f>VLOOKUP($B342,'Tillförd energi'!$B$1:$AI$720,MATCH(G$1,'Tillförd energi'!$B$1:$AQ$1,0),FALSE)</f>
        <v>0</v>
      </c>
      <c r="H342" s="31">
        <f>VLOOKUP($B342,'Tillförd energi'!$B$1:$AI$720,MATCH(H$1,'Tillförd energi'!$B$1:$AQ$1,0),FALSE)</f>
        <v>0</v>
      </c>
      <c r="I342" s="31">
        <f>VLOOKUP($B342,'Tillförd energi'!$B$1:$AI$720,MATCH(I$1,'Tillförd energi'!$B$1:$AQ$1,0),FALSE)</f>
        <v>1085.02</v>
      </c>
      <c r="J342" s="31">
        <f>VLOOKUP($B342,'Tillförd energi'!$B$1:$AI$720,MATCH(J$1,'Tillförd energi'!$B$1:$AQ$1,0),FALSE)</f>
        <v>0</v>
      </c>
      <c r="K342" s="31">
        <f>VLOOKUP($B342,'Tillförd energi'!$B$1:$AI$720,MATCH(K$1,'Tillförd energi'!$B$1:$AQ$1,0),FALSE)</f>
        <v>0</v>
      </c>
      <c r="L342" s="31">
        <f>VLOOKUP($B342,'Tillförd energi'!$B$1:$AI$720,MATCH(L$1,'Tillförd energi'!$B$1:$AQ$1,0),FALSE)</f>
        <v>0</v>
      </c>
      <c r="M342" s="31">
        <f>VLOOKUP($B342,'Tillförd energi'!$B$1:$AI$720,MATCH(M$1,'Tillförd energi'!$B$1:$AQ$1,0),FALSE)</f>
        <v>0</v>
      </c>
      <c r="N342" s="31">
        <f>VLOOKUP($B342,'Tillförd energi'!$B$1:$AI$720,MATCH(N$1,'Tillförd energi'!$B$1:$AQ$1,0),FALSE)</f>
        <v>0</v>
      </c>
      <c r="O342" s="31">
        <f>VLOOKUP($B342,'Tillförd energi'!$B$1:$AI$720,MATCH(O$1,'Tillförd energi'!$B$1:$AQ$1,0),FALSE)</f>
        <v>0</v>
      </c>
      <c r="P342" s="31">
        <f>VLOOKUP($B342,'Tillförd energi'!$B$1:$AI$720,MATCH(P$1,'Tillförd energi'!$B$1:$AQ$1,0),FALSE)</f>
        <v>0</v>
      </c>
      <c r="Q342" s="31">
        <f>VLOOKUP($B342,'Tillförd energi'!$B$1:$AI$720,MATCH(Q$1,'Tillförd energi'!$B$1:$AQ$1,0),FALSE)</f>
        <v>0</v>
      </c>
      <c r="R342" s="31">
        <f>VLOOKUP($B342,'Tillförd energi'!$B$1:$AI$720,MATCH(R$1,'Tillförd energi'!$B$1:$AQ$1,0),FALSE)</f>
        <v>164.96199999999999</v>
      </c>
      <c r="S342" s="31">
        <f>VLOOKUP($B342,'Tillförd energi'!$B$1:$AI$720,MATCH(S$1,'Tillförd energi'!$B$1:$AQ$1,0),FALSE)</f>
        <v>0</v>
      </c>
      <c r="T342" s="31">
        <f>VLOOKUP($B342,'Tillförd energi'!$B$1:$AI$720,MATCH(T$1,'Tillförd energi'!$B$1:$AQ$1,0),FALSE)</f>
        <v>0</v>
      </c>
      <c r="U342" s="31">
        <f>VLOOKUP($B342,'Tillförd energi'!$B$1:$AI$720,MATCH(U$1,'Tillförd energi'!$B$1:$AQ$1,0),FALSE)</f>
        <v>0</v>
      </c>
      <c r="V342" s="31">
        <f>VLOOKUP($B342,'Tillförd energi'!$B$1:$AI$720,MATCH(V$1,'Tillförd energi'!$B$1:$AQ$1,0),FALSE)</f>
        <v>0</v>
      </c>
      <c r="W342" s="31">
        <f>VLOOKUP($B342,'Tillförd energi'!$B$1:$AI$720,MATCH(W$1,'Tillförd energi'!$B$1:$AQ$1,0),FALSE)</f>
        <v>91.6</v>
      </c>
      <c r="X342" s="31">
        <f>VLOOKUP($B342,'Tillförd energi'!$B$1:$AI$720,MATCH(X$1,'Tillförd energi'!$B$1:$AQ$1,0),FALSE)</f>
        <v>0</v>
      </c>
      <c r="Y342" s="31">
        <f>VLOOKUP($B342,'Tillförd energi'!$B$1:$AI$720,MATCH(Y$1,'Tillförd energi'!$B$1:$AQ$1,0),FALSE)</f>
        <v>99.917000000000002</v>
      </c>
      <c r="Z342" s="31">
        <f>VLOOKUP($B342,'Tillförd energi'!$B$1:$AI$720,MATCH(Z$1,'Tillförd energi'!$B$1:$AQ$1,0),FALSE)</f>
        <v>85.5</v>
      </c>
      <c r="AA342" s="31">
        <f>VLOOKUP($B342,'Tillförd energi'!$B$1:$AI$720,MATCH(AA$1,'Tillförd energi'!$B$1:$AQ$1,0),FALSE)</f>
        <v>13</v>
      </c>
      <c r="AB342" s="31">
        <f>VLOOKUP($B342,'Tillförd energi'!$B$1:$AI$720,MATCH(AB$1,'Tillförd energi'!$B$1:$AQ$1,0),FALSE)</f>
        <v>46.5</v>
      </c>
      <c r="AC342" s="31">
        <f>VLOOKUP($B342,'Tillförd energi'!$B$1:$AI$720,MATCH(AC$1,'Tillförd energi'!$B$1:$AQ$1,0),FALSE)</f>
        <v>145</v>
      </c>
      <c r="AD342" s="31">
        <f>VLOOKUP($B342,'Tillförd energi'!$B$1:$AI$720,MATCH(AD$1,'Tillförd energi'!$B$1:$AQ$1,0),FALSE)</f>
        <v>0</v>
      </c>
      <c r="AE342" s="31">
        <f>VLOOKUP($B342,'Tillförd energi'!$B$1:$AI$720,MATCH(AE$1,'Tillförd energi'!$B$1:$AQ$1,0),FALSE)</f>
        <v>0</v>
      </c>
      <c r="AF342" s="31">
        <f>VLOOKUP($B342,'Tillförd energi'!$B$1:$AI$720,MATCH(AF$1,'Tillförd energi'!$B$1:$AQ$1,0),FALSE)</f>
        <v>71.794700000000006</v>
      </c>
      <c r="AG342" s="31">
        <f>IFERROR(VLOOKUP(B342,Miljö!$B$1:$AC$550,MATCH("Köpt mängd produktionsspecifik fjärrvärme:",Miljö!$B$1:$AC$1,0),FALSE)/1,0)</f>
        <v>0</v>
      </c>
      <c r="AI342" s="31">
        <f t="shared" si="115"/>
        <v>1907.4927999999998</v>
      </c>
      <c r="AJ342" s="31">
        <f t="shared" si="116"/>
        <v>1907.4927999999998</v>
      </c>
      <c r="AK342" s="31">
        <f>IF(ISERROR(1/VLOOKUP($B342,Leveranser!$B$1:$S$499,MATCH("Såld värme (GWh)",Leveranser!$B$1:$S$1,0),FALSE)),"",VLOOKUP($B342,Leveranser!$B$1:$S$499,MATCH("Såld värme (GWh)",Leveranser!$B$1:$S$1,0),FALSE))</f>
        <v>1289.133</v>
      </c>
      <c r="AL342" s="31">
        <f>VLOOKUP($B342,Leveranser!$B$1:$Y$499,MATCH("Totalt såld fjärrvärme till andra fjärrvärmeföretag",Leveranser!$B$1:$AA$1,0),FALSE)</f>
        <v>0</v>
      </c>
      <c r="AM342" s="31">
        <f>IF(ISERROR(1/VLOOKUP($B342,Miljö!$B$1:$S$500,MATCH("Såld mängd produktionsspecifik fjärrvärme (GWh)",Miljö!$B$1:$R$1,0),FALSE)),0,VLOOKUP($B342,Miljö!$B$1:$S$500,MATCH("Såld mängd produktionsspecifik fjärrvärme (GWh)",Miljö!$B$1:$R$1,0),FALSE))</f>
        <v>100.73</v>
      </c>
      <c r="AN342" s="32">
        <f t="shared" si="117"/>
        <v>0.67582587991944199</v>
      </c>
      <c r="AP342" s="31" t="str">
        <f>IFERROR(VLOOKUP($B342,Miljövärden!$B$2:$H$550,7,FALSE),"Nej, saknas")</f>
        <v>Ja</v>
      </c>
      <c r="AQ342" s="31" t="str">
        <f>IFERROR(VLOOKUP($B342,Miljövärden!$B$2:$H$551,6,FALSE),"Nej, saknas")</f>
        <v>Ja</v>
      </c>
      <c r="AU342" s="31">
        <f t="shared" si="118"/>
        <v>170.29470000000001</v>
      </c>
      <c r="AV342" s="31">
        <f t="shared" si="119"/>
        <v>0</v>
      </c>
      <c r="AW342" s="31">
        <f t="shared" si="120"/>
        <v>0</v>
      </c>
      <c r="AX342" s="31">
        <f t="shared" si="121"/>
        <v>164.96199999999999</v>
      </c>
      <c r="AZ342" s="31">
        <f t="shared" si="122"/>
        <v>256.56200000000001</v>
      </c>
      <c r="BC342" s="31">
        <f t="shared" si="123"/>
        <v>104.1991</v>
      </c>
      <c r="BD342" s="31">
        <f t="shared" si="124"/>
        <v>99.917000000000002</v>
      </c>
      <c r="BE342" s="31">
        <f t="shared" si="125"/>
        <v>256.56200000000001</v>
      </c>
      <c r="BF342" s="31">
        <f t="shared" si="126"/>
        <v>1276.52</v>
      </c>
      <c r="BG342" s="31">
        <f t="shared" si="127"/>
        <v>170.29470000000001</v>
      </c>
      <c r="BH342" s="31">
        <f>VLOOKUP(B342,Miljö!$B$1:$BX$482,MATCH("Fossilandel för ursprungspecificerad el ()",Miljö!$B$1:$I$1,0),FALSE)</f>
        <v>0</v>
      </c>
      <c r="BI342" s="31">
        <f>VLOOKUP(B342,Miljö!$B$1:$BX$482,MATCH("Kärnkraftsandel för ursprungsspecificerad el ()",Miljö!$B$1:$O$1,0),FALSE)</f>
        <v>0.59</v>
      </c>
      <c r="BJ342" s="31">
        <f t="shared" si="128"/>
        <v>0</v>
      </c>
      <c r="BK342" s="31" t="str">
        <f>VLOOKUP(B342,Miljö!$B$1:$P$482,MATCH("Fossil andel i procent (%)",Miljö!$B$1:$P$1,0),FALSE)</f>
        <v>ET</v>
      </c>
      <c r="BL342" s="31">
        <f t="shared" si="129"/>
        <v>1907.4928</v>
      </c>
      <c r="BO342" s="32">
        <f t="shared" si="130"/>
        <v>5.4626208811902201E-2</v>
      </c>
      <c r="BP342" s="32">
        <f t="shared" si="131"/>
        <v>0.10505458945900084</v>
      </c>
      <c r="BQ342" s="32">
        <f t="shared" si="132"/>
        <v>0.1711056665587414</v>
      </c>
      <c r="BR342" s="32">
        <f t="shared" si="133"/>
        <v>0.66921353517035553</v>
      </c>
      <c r="BT342" s="62">
        <f t="shared" si="134"/>
        <v>1</v>
      </c>
      <c r="BW342" s="32">
        <f>IF(AP342="Ja",VLOOKUP(B342,Miljövärden!$B$2:$H$551,MATCH("Total andel fossilt",Miljövärden!$B$2:$H$2,0),FALSE),"")</f>
        <v>5.7671699999999999E-2</v>
      </c>
      <c r="BX342" s="62">
        <f t="shared" si="135"/>
        <v>3.0454911880977986E-3</v>
      </c>
      <c r="BZ342" s="31">
        <f t="shared" si="136"/>
        <v>3.0454911880977986E-3</v>
      </c>
      <c r="CA342" s="32">
        <f t="shared" si="137"/>
        <v>3.0000000000000027E-3</v>
      </c>
    </row>
    <row r="343" spans="1:79" x14ac:dyDescent="0.45">
      <c r="A343" s="31" t="s">
        <v>232</v>
      </c>
      <c r="B343" s="31" t="s">
        <v>231</v>
      </c>
      <c r="C343" s="31">
        <f>VLOOKUP($B343,'Tillförd energi'!$B$1:$AI$720,MATCH(C$1,'Tillförd energi'!$B$1:$AQ$1,0),FALSE)</f>
        <v>0</v>
      </c>
      <c r="D343" s="31">
        <f>VLOOKUP($B343,'Tillförd energi'!$B$1:$AI$720,MATCH(D$1,'Tillförd energi'!$B$1:$AQ$1,0),FALSE)</f>
        <v>0.04</v>
      </c>
      <c r="E343" s="31">
        <f>VLOOKUP($B343,'Tillförd energi'!$B$1:$AI$720,MATCH(E$1,'Tillförd energi'!$B$1:$AQ$1,0),FALSE)</f>
        <v>0</v>
      </c>
      <c r="F343" s="31">
        <f>VLOOKUP($B343,'Tillförd energi'!$B$1:$AI$720,MATCH(F$1,'Tillförd energi'!$B$1:$AQ$1,0),FALSE)</f>
        <v>0</v>
      </c>
      <c r="G343" s="31">
        <f>VLOOKUP($B343,'Tillförd energi'!$B$1:$AI$720,MATCH(G$1,'Tillförd energi'!$B$1:$AQ$1,0),FALSE)</f>
        <v>0</v>
      </c>
      <c r="H343" s="31">
        <f>VLOOKUP($B343,'Tillförd energi'!$B$1:$AI$720,MATCH(H$1,'Tillförd energi'!$B$1:$AQ$1,0),FALSE)</f>
        <v>0</v>
      </c>
      <c r="I343" s="31">
        <f>VLOOKUP($B343,'Tillförd energi'!$B$1:$AI$720,MATCH(I$1,'Tillförd energi'!$B$1:$AQ$1,0),FALSE)</f>
        <v>0</v>
      </c>
      <c r="J343" s="31">
        <f>VLOOKUP($B343,'Tillförd energi'!$B$1:$AI$720,MATCH(J$1,'Tillförd energi'!$B$1:$AQ$1,0),FALSE)</f>
        <v>0</v>
      </c>
      <c r="K343" s="31">
        <f>VLOOKUP($B343,'Tillförd energi'!$B$1:$AI$720,MATCH(K$1,'Tillförd energi'!$B$1:$AQ$1,0),FALSE)</f>
        <v>0</v>
      </c>
      <c r="L343" s="31">
        <f>VLOOKUP($B343,'Tillförd energi'!$B$1:$AI$720,MATCH(L$1,'Tillförd energi'!$B$1:$AQ$1,0),FALSE)</f>
        <v>0</v>
      </c>
      <c r="M343" s="31">
        <f>VLOOKUP($B343,'Tillförd energi'!$B$1:$AI$720,MATCH(M$1,'Tillförd energi'!$B$1:$AQ$1,0),FALSE)</f>
        <v>0</v>
      </c>
      <c r="N343" s="31">
        <f>VLOOKUP($B343,'Tillförd energi'!$B$1:$AI$720,MATCH(N$1,'Tillförd energi'!$B$1:$AQ$1,0),FALSE)</f>
        <v>0</v>
      </c>
      <c r="O343" s="31">
        <f>VLOOKUP($B343,'Tillförd energi'!$B$1:$AI$720,MATCH(O$1,'Tillförd energi'!$B$1:$AQ$1,0),FALSE)</f>
        <v>0</v>
      </c>
      <c r="P343" s="31">
        <f>VLOOKUP($B343,'Tillförd energi'!$B$1:$AI$720,MATCH(P$1,'Tillförd energi'!$B$1:$AQ$1,0),FALSE)</f>
        <v>0</v>
      </c>
      <c r="Q343" s="31">
        <f>VLOOKUP($B343,'Tillförd energi'!$B$1:$AI$720,MATCH(Q$1,'Tillförd energi'!$B$1:$AQ$1,0),FALSE)</f>
        <v>0</v>
      </c>
      <c r="R343" s="31">
        <f>VLOOKUP($B343,'Tillförd energi'!$B$1:$AI$720,MATCH(R$1,'Tillförd energi'!$B$1:$AQ$1,0),FALSE)</f>
        <v>0</v>
      </c>
      <c r="S343" s="31">
        <f>VLOOKUP($B343,'Tillförd energi'!$B$1:$AI$720,MATCH(S$1,'Tillförd energi'!$B$1:$AQ$1,0),FALSE)</f>
        <v>0</v>
      </c>
      <c r="T343" s="31">
        <f>VLOOKUP($B343,'Tillförd energi'!$B$1:$AI$720,MATCH(T$1,'Tillförd energi'!$B$1:$AQ$1,0),FALSE)</f>
        <v>0</v>
      </c>
      <c r="U343" s="31">
        <f>VLOOKUP($B343,'Tillförd energi'!$B$1:$AI$720,MATCH(U$1,'Tillförd energi'!$B$1:$AQ$1,0),FALSE)</f>
        <v>0</v>
      </c>
      <c r="V343" s="31">
        <f>VLOOKUP($B343,'Tillförd energi'!$B$1:$AI$720,MATCH(V$1,'Tillförd energi'!$B$1:$AQ$1,0),FALSE)</f>
        <v>0</v>
      </c>
      <c r="W343" s="31">
        <f>VLOOKUP($B343,'Tillförd energi'!$B$1:$AI$720,MATCH(W$1,'Tillförd energi'!$B$1:$AQ$1,0),FALSE)</f>
        <v>10.5</v>
      </c>
      <c r="X343" s="31">
        <f>VLOOKUP($B343,'Tillförd energi'!$B$1:$AI$720,MATCH(X$1,'Tillförd energi'!$B$1:$AQ$1,0),FALSE)</f>
        <v>0</v>
      </c>
      <c r="Y343" s="31">
        <f>VLOOKUP($B343,'Tillförd energi'!$B$1:$AI$720,MATCH(Y$1,'Tillförd energi'!$B$1:$AQ$1,0),FALSE)</f>
        <v>0</v>
      </c>
      <c r="Z343" s="31">
        <f>VLOOKUP($B343,'Tillförd energi'!$B$1:$AI$720,MATCH(Z$1,'Tillförd energi'!$B$1:$AQ$1,0),FALSE)</f>
        <v>0</v>
      </c>
      <c r="AA343" s="31">
        <f>VLOOKUP($B343,'Tillförd energi'!$B$1:$AI$720,MATCH(AA$1,'Tillförd energi'!$B$1:$AQ$1,0),FALSE)</f>
        <v>0</v>
      </c>
      <c r="AB343" s="31">
        <f>VLOOKUP($B343,'Tillförd energi'!$B$1:$AI$720,MATCH(AB$1,'Tillförd energi'!$B$1:$AQ$1,0),FALSE)</f>
        <v>0</v>
      </c>
      <c r="AC343" s="31">
        <f>VLOOKUP($B343,'Tillförd energi'!$B$1:$AI$720,MATCH(AC$1,'Tillförd energi'!$B$1:$AQ$1,0),FALSE)</f>
        <v>0</v>
      </c>
      <c r="AD343" s="31">
        <f>VLOOKUP($B343,'Tillförd energi'!$B$1:$AI$720,MATCH(AD$1,'Tillförd energi'!$B$1:$AQ$1,0),FALSE)</f>
        <v>204</v>
      </c>
      <c r="AE343" s="31">
        <f>VLOOKUP($B343,'Tillförd energi'!$B$1:$AI$720,MATCH(AE$1,'Tillförd energi'!$B$1:$AQ$1,0),FALSE)</f>
        <v>0</v>
      </c>
      <c r="AF343" s="31">
        <f>VLOOKUP($B343,'Tillförd energi'!$B$1:$AI$720,MATCH(AF$1,'Tillförd energi'!$B$1:$AQ$1,0),FALSE)</f>
        <v>1.4</v>
      </c>
      <c r="AG343" s="31">
        <f>IFERROR(VLOOKUP(B343,Miljö!$B$1:$AC$550,MATCH("Köpt mängd produktionsspecifik fjärrvärme:",Miljö!$B$1:$AC$1,0),FALSE)/1,0)</f>
        <v>2.2000000000000002</v>
      </c>
      <c r="AI343" s="31">
        <f t="shared" si="115"/>
        <v>215.94</v>
      </c>
      <c r="AJ343" s="31">
        <f t="shared" si="116"/>
        <v>218.14</v>
      </c>
      <c r="AK343" s="31">
        <f>IF(ISERROR(1/VLOOKUP($B343,Leveranser!$B$1:$S$499,MATCH("Såld värme (GWh)",Leveranser!$B$1:$S$1,0),FALSE)),"",VLOOKUP($B343,Leveranser!$B$1:$S$499,MATCH("Såld värme (GWh)",Leveranser!$B$1:$S$1,0),FALSE))</f>
        <v>196.64099999999999</v>
      </c>
      <c r="AL343" s="31">
        <f>VLOOKUP($B343,Leveranser!$B$1:$Y$499,MATCH("Totalt såld fjärrvärme till andra fjärrvärmeföretag",Leveranser!$B$1:$AA$1,0),FALSE)</f>
        <v>66.7</v>
      </c>
      <c r="AM343" s="31">
        <f>IF(ISERROR(1/VLOOKUP($B343,Miljö!$B$1:$S$500,MATCH("Såld mängd produktionsspecifik fjärrvärme (GWh)",Miljö!$B$1:$R$1,0),FALSE)),0,VLOOKUP($B343,Miljö!$B$1:$S$500,MATCH("Såld mängd produktionsspecifik fjärrvärme (GWh)",Miljö!$B$1:$R$1,0),FALSE))</f>
        <v>66.7</v>
      </c>
      <c r="AN343" s="32">
        <f t="shared" si="117"/>
        <v>0.90144402677179791</v>
      </c>
      <c r="AP343" s="31" t="str">
        <f>IFERROR(VLOOKUP($B343,Miljövärden!$B$2:$H$550,7,FALSE),"Nej, saknas")</f>
        <v>Ja</v>
      </c>
      <c r="AQ343" s="31" t="str">
        <f>IFERROR(VLOOKUP($B343,Miljövärden!$B$2:$H$551,6,FALSE),"Nej, saknas")</f>
        <v>Ja</v>
      </c>
      <c r="AU343" s="31">
        <f t="shared" si="118"/>
        <v>1.4</v>
      </c>
      <c r="AV343" s="31">
        <f t="shared" si="119"/>
        <v>0</v>
      </c>
      <c r="AW343" s="31">
        <f t="shared" si="120"/>
        <v>0</v>
      </c>
      <c r="AX343" s="31">
        <f t="shared" si="121"/>
        <v>0</v>
      </c>
      <c r="AZ343" s="31">
        <f t="shared" si="122"/>
        <v>10.5</v>
      </c>
      <c r="BC343" s="31">
        <f t="shared" si="123"/>
        <v>0.04</v>
      </c>
      <c r="BD343" s="31">
        <f t="shared" si="124"/>
        <v>0</v>
      </c>
      <c r="BE343" s="31">
        <f t="shared" si="125"/>
        <v>10.5</v>
      </c>
      <c r="BF343" s="31">
        <f t="shared" si="126"/>
        <v>204</v>
      </c>
      <c r="BG343" s="31">
        <f t="shared" si="127"/>
        <v>1.4</v>
      </c>
      <c r="BH343" s="31">
        <f>VLOOKUP(B343,Miljö!$B$1:$BX$482,MATCH("Fossilandel för ursprungspecificerad el ()",Miljö!$B$1:$I$1,0),FALSE)</f>
        <v>0</v>
      </c>
      <c r="BI343" s="31">
        <f>VLOOKUP(B343,Miljö!$B$1:$BX$482,MATCH("Kärnkraftsandel för ursprungsspecificerad el ()",Miljö!$B$1:$O$1,0),FALSE)</f>
        <v>0.59399999999999997</v>
      </c>
      <c r="BJ343" s="31">
        <f t="shared" si="128"/>
        <v>2.2000000000000002</v>
      </c>
      <c r="BK343" s="31">
        <f>VLOOKUP(B343,Miljö!$B$1:$P$482,MATCH("Fossil andel i procent (%)",Miljö!$B$1:$P$1,0),FALSE)</f>
        <v>3.3000000000000002E-2</v>
      </c>
      <c r="BL343" s="31">
        <f t="shared" si="129"/>
        <v>218.14</v>
      </c>
      <c r="BO343" s="32">
        <f t="shared" si="130"/>
        <v>1.8669661685156321E-4</v>
      </c>
      <c r="BP343" s="32">
        <f t="shared" si="131"/>
        <v>1.3894168882369121E-2</v>
      </c>
      <c r="BQ343" s="32">
        <f t="shared" si="132"/>
        <v>5.0739891812597422E-2</v>
      </c>
      <c r="BR343" s="32">
        <f t="shared" si="133"/>
        <v>0.93517924268818198</v>
      </c>
      <c r="BT343" s="62">
        <f t="shared" si="134"/>
        <v>1</v>
      </c>
      <c r="BW343" s="32">
        <f>IF(AP343="Ja",VLOOKUP(B343,Miljövärden!$B$2:$H$551,MATCH("Total andel fossilt",Miljövärden!$B$2:$H$2,0),FALSE),"")</f>
        <v>2.6892600000000001E-4</v>
      </c>
      <c r="BX343" s="62">
        <f t="shared" si="135"/>
        <v>8.2229383148436794E-5</v>
      </c>
      <c r="BZ343" s="31">
        <f t="shared" si="136"/>
        <v>8.2229383148436794E-5</v>
      </c>
      <c r="CA343" s="32">
        <f t="shared" si="137"/>
        <v>0</v>
      </c>
    </row>
    <row r="344" spans="1:79" hidden="1" x14ac:dyDescent="0.45">
      <c r="A344" s="31" t="s">
        <v>7</v>
      </c>
      <c r="B344" s="31" t="s">
        <v>230</v>
      </c>
      <c r="C344" s="31">
        <f>VLOOKUP($B344,'Tillförd energi'!$B$1:$AI$720,MATCH(C$1,'Tillförd energi'!$B$1:$AQ$1,0),FALSE)</f>
        <v>0</v>
      </c>
      <c r="D344" s="31">
        <f>VLOOKUP($B344,'Tillförd energi'!$B$1:$AI$720,MATCH(D$1,'Tillförd energi'!$B$1:$AQ$1,0),FALSE)</f>
        <v>0</v>
      </c>
      <c r="E344" s="31">
        <f>VLOOKUP($B344,'Tillförd energi'!$B$1:$AI$720,MATCH(E$1,'Tillförd energi'!$B$1:$AQ$1,0),FALSE)</f>
        <v>0</v>
      </c>
      <c r="F344" s="31">
        <f>VLOOKUP($B344,'Tillförd energi'!$B$1:$AI$720,MATCH(F$1,'Tillförd energi'!$B$1:$AQ$1,0),FALSE)</f>
        <v>0</v>
      </c>
      <c r="G344" s="31">
        <f>VLOOKUP($B344,'Tillförd energi'!$B$1:$AI$720,MATCH(G$1,'Tillförd energi'!$B$1:$AQ$1,0),FALSE)</f>
        <v>0</v>
      </c>
      <c r="H344" s="31">
        <f>VLOOKUP($B344,'Tillförd energi'!$B$1:$AI$720,MATCH(H$1,'Tillförd energi'!$B$1:$AQ$1,0),FALSE)</f>
        <v>0</v>
      </c>
      <c r="I344" s="31">
        <f>VLOOKUP($B344,'Tillförd energi'!$B$1:$AI$720,MATCH(I$1,'Tillförd energi'!$B$1:$AQ$1,0),FALSE)</f>
        <v>0</v>
      </c>
      <c r="J344" s="31">
        <f>VLOOKUP($B344,'Tillförd energi'!$B$1:$AI$720,MATCH(J$1,'Tillförd energi'!$B$1:$AQ$1,0),FALSE)</f>
        <v>0</v>
      </c>
      <c r="K344" s="31">
        <f>VLOOKUP($B344,'Tillförd energi'!$B$1:$AI$720,MATCH(K$1,'Tillförd energi'!$B$1:$AQ$1,0),FALSE)</f>
        <v>0</v>
      </c>
      <c r="L344" s="31">
        <f>VLOOKUP($B344,'Tillförd energi'!$B$1:$AI$720,MATCH(L$1,'Tillförd energi'!$B$1:$AQ$1,0),FALSE)</f>
        <v>0</v>
      </c>
      <c r="M344" s="31">
        <f>VLOOKUP($B344,'Tillförd energi'!$B$1:$AI$720,MATCH(M$1,'Tillförd energi'!$B$1:$AQ$1,0),FALSE)</f>
        <v>0</v>
      </c>
      <c r="N344" s="31">
        <f>VLOOKUP($B344,'Tillförd energi'!$B$1:$AI$720,MATCH(N$1,'Tillförd energi'!$B$1:$AQ$1,0),FALSE)</f>
        <v>0</v>
      </c>
      <c r="O344" s="31">
        <f>VLOOKUP($B344,'Tillförd energi'!$B$1:$AI$720,MATCH(O$1,'Tillförd energi'!$B$1:$AQ$1,0),FALSE)</f>
        <v>0</v>
      </c>
      <c r="P344" s="31">
        <f>VLOOKUP($B344,'Tillförd energi'!$B$1:$AI$720,MATCH(P$1,'Tillförd energi'!$B$1:$AQ$1,0),FALSE)</f>
        <v>0</v>
      </c>
      <c r="Q344" s="31">
        <f>VLOOKUP($B344,'Tillförd energi'!$B$1:$AI$720,MATCH(Q$1,'Tillförd energi'!$B$1:$AQ$1,0),FALSE)</f>
        <v>0</v>
      </c>
      <c r="R344" s="31">
        <f>VLOOKUP($B344,'Tillförd energi'!$B$1:$AI$720,MATCH(R$1,'Tillförd energi'!$B$1:$AQ$1,0),FALSE)</f>
        <v>0</v>
      </c>
      <c r="S344" s="31">
        <f>VLOOKUP($B344,'Tillförd energi'!$B$1:$AI$720,MATCH(S$1,'Tillförd energi'!$B$1:$AQ$1,0),FALSE)</f>
        <v>0</v>
      </c>
      <c r="T344" s="31">
        <f>VLOOKUP($B344,'Tillförd energi'!$B$1:$AI$720,MATCH(T$1,'Tillförd energi'!$B$1:$AQ$1,0),FALSE)</f>
        <v>0</v>
      </c>
      <c r="U344" s="31">
        <f>VLOOKUP($B344,'Tillförd energi'!$B$1:$AI$720,MATCH(U$1,'Tillförd energi'!$B$1:$AQ$1,0),FALSE)</f>
        <v>0</v>
      </c>
      <c r="V344" s="31">
        <f>VLOOKUP($B344,'Tillförd energi'!$B$1:$AI$720,MATCH(V$1,'Tillförd energi'!$B$1:$AQ$1,0),FALSE)</f>
        <v>0</v>
      </c>
      <c r="W344" s="31">
        <f>VLOOKUP($B344,'Tillförd energi'!$B$1:$AI$720,MATCH(W$1,'Tillförd energi'!$B$1:$AQ$1,0),FALSE)</f>
        <v>0</v>
      </c>
      <c r="X344" s="31">
        <f>VLOOKUP($B344,'Tillförd energi'!$B$1:$AI$720,MATCH(X$1,'Tillförd energi'!$B$1:$AQ$1,0),FALSE)</f>
        <v>0</v>
      </c>
      <c r="Y344" s="31">
        <f>VLOOKUP($B344,'Tillförd energi'!$B$1:$AI$720,MATCH(Y$1,'Tillförd energi'!$B$1:$AQ$1,0),FALSE)</f>
        <v>0</v>
      </c>
      <c r="Z344" s="31">
        <f>VLOOKUP($B344,'Tillförd energi'!$B$1:$AI$720,MATCH(Z$1,'Tillförd energi'!$B$1:$AQ$1,0),FALSE)</f>
        <v>0</v>
      </c>
      <c r="AA344" s="31">
        <f>VLOOKUP($B344,'Tillförd energi'!$B$1:$AI$720,MATCH(AA$1,'Tillförd energi'!$B$1:$AQ$1,0),FALSE)</f>
        <v>0</v>
      </c>
      <c r="AB344" s="31">
        <f>VLOOKUP($B344,'Tillförd energi'!$B$1:$AI$720,MATCH(AB$1,'Tillförd energi'!$B$1:$AQ$1,0),FALSE)</f>
        <v>0</v>
      </c>
      <c r="AC344" s="31">
        <f>VLOOKUP($B344,'Tillförd energi'!$B$1:$AI$720,MATCH(AC$1,'Tillförd energi'!$B$1:$AQ$1,0),FALSE)</f>
        <v>0</v>
      </c>
      <c r="AD344" s="31">
        <f>VLOOKUP($B344,'Tillförd energi'!$B$1:$AI$720,MATCH(AD$1,'Tillförd energi'!$B$1:$AQ$1,0),FALSE)</f>
        <v>0</v>
      </c>
      <c r="AE344" s="31">
        <f>VLOOKUP($B344,'Tillförd energi'!$B$1:$AI$720,MATCH(AE$1,'Tillförd energi'!$B$1:$AQ$1,0),FALSE)</f>
        <v>0</v>
      </c>
      <c r="AF344" s="31">
        <f>VLOOKUP($B344,'Tillförd energi'!$B$1:$AI$720,MATCH(AF$1,'Tillförd energi'!$B$1:$AQ$1,0),FALSE)</f>
        <v>0</v>
      </c>
      <c r="AG344" s="31">
        <f>IFERROR(VLOOKUP(B344,Miljö!$B$1:$AC$550,MATCH("Köpt mängd produktionsspecifik fjärrvärme:",Miljö!$B$1:$AC$1,0),FALSE)/1,0)</f>
        <v>0</v>
      </c>
      <c r="AI344" s="31">
        <f t="shared" si="115"/>
        <v>0</v>
      </c>
      <c r="AJ344" s="31">
        <f t="shared" si="116"/>
        <v>0</v>
      </c>
      <c r="AK344" s="31" t="str">
        <f>IF(ISERROR(1/VLOOKUP($B344,Leveranser!$B$1:$S$499,MATCH("Såld värme (GWh)",Leveranser!$B$1:$S$1,0),FALSE)),"",VLOOKUP($B344,Leveranser!$B$1:$S$499,MATCH("Såld värme (GWh)",Leveranser!$B$1:$S$1,0),FALSE))</f>
        <v/>
      </c>
      <c r="AL344" s="31">
        <f>VLOOKUP($B344,Leveranser!$B$1:$Y$499,MATCH("Totalt såld fjärrvärme till andra fjärrvärmeföretag",Leveranser!$B$1:$AA$1,0),FALSE)</f>
        <v>0</v>
      </c>
      <c r="AM344" s="31">
        <f>IF(ISERROR(1/VLOOKUP($B344,Miljö!$B$1:$S$500,MATCH("Såld mängd produktionsspecifik fjärrvärme (GWh)",Miljö!$B$1:$R$1,0),FALSE)),0,VLOOKUP($B344,Miljö!$B$1:$S$500,MATCH("Såld mängd produktionsspecifik fjärrvärme (GWh)",Miljö!$B$1:$R$1,0),FALSE))</f>
        <v>0</v>
      </c>
      <c r="AN344" s="32" t="str">
        <f t="shared" si="117"/>
        <v/>
      </c>
      <c r="AP344" s="31" t="str">
        <f>IFERROR(VLOOKUP($B344,Miljövärden!$B$2:$H$550,7,FALSE),"Nej, saknas")</f>
        <v>Nej</v>
      </c>
      <c r="AQ344" s="31" t="str">
        <f>IFERROR(VLOOKUP($B344,Miljövärden!$B$2:$H$551,6,FALSE),"Nej, saknas")</f>
        <v>Nej</v>
      </c>
      <c r="AU344" s="31">
        <f t="shared" si="118"/>
        <v>0</v>
      </c>
      <c r="AV344" s="31">
        <f t="shared" si="119"/>
        <v>0</v>
      </c>
      <c r="AW344" s="31">
        <f t="shared" si="120"/>
        <v>0</v>
      </c>
      <c r="AX344" s="31">
        <f t="shared" si="121"/>
        <v>0</v>
      </c>
      <c r="AZ344" s="31">
        <f t="shared" si="122"/>
        <v>0</v>
      </c>
      <c r="BC344" s="31">
        <f t="shared" si="123"/>
        <v>0</v>
      </c>
      <c r="BD344" s="31">
        <f t="shared" si="124"/>
        <v>0</v>
      </c>
      <c r="BE344" s="31">
        <f t="shared" si="125"/>
        <v>0</v>
      </c>
      <c r="BF344" s="31">
        <f t="shared" si="126"/>
        <v>0</v>
      </c>
      <c r="BG344" s="31">
        <f t="shared" si="127"/>
        <v>0</v>
      </c>
      <c r="BH344" s="31" t="str">
        <f>VLOOKUP(B344,Miljö!$B$1:$BX$482,MATCH("Fossilandel för ursprungspecificerad el ()",Miljö!$B$1:$I$1,0),FALSE)</f>
        <v>-</v>
      </c>
      <c r="BI344" s="31" t="str">
        <f>VLOOKUP(B344,Miljö!$B$1:$BX$482,MATCH("Kärnkraftsandel för ursprungsspecificerad el ()",Miljö!$B$1:$O$1,0),FALSE)</f>
        <v>-</v>
      </c>
      <c r="BJ344" s="31">
        <f t="shared" si="128"/>
        <v>0</v>
      </c>
      <c r="BK344" s="31" t="str">
        <f>VLOOKUP(B344,Miljö!$B$1:$P$482,MATCH("Fossil andel i procent (%)",Miljö!$B$1:$P$1,0),FALSE)</f>
        <v>-</v>
      </c>
      <c r="BL344" s="31">
        <f t="shared" si="129"/>
        <v>0</v>
      </c>
      <c r="BO344" s="32" t="str">
        <f t="shared" si="130"/>
        <v/>
      </c>
      <c r="BP344" s="32" t="str">
        <f t="shared" si="131"/>
        <v/>
      </c>
      <c r="BQ344" s="32" t="str">
        <f t="shared" si="132"/>
        <v/>
      </c>
      <c r="BR344" s="32" t="str">
        <f t="shared" si="133"/>
        <v/>
      </c>
      <c r="BT344" s="62">
        <f t="shared" si="134"/>
        <v>0</v>
      </c>
      <c r="BW344" s="32" t="str">
        <f>IF(AP344="Ja",VLOOKUP(B344,Miljövärden!$B$2:$H$551,MATCH("Total andel fossilt",Miljövärden!$B$2:$H$2,0),FALSE),"")</f>
        <v/>
      </c>
      <c r="BX344" s="62" t="e">
        <f t="shared" si="135"/>
        <v>#VALUE!</v>
      </c>
      <c r="BZ344" s="31" t="str">
        <f t="shared" si="136"/>
        <v/>
      </c>
      <c r="CA344" s="32" t="str">
        <f t="shared" si="137"/>
        <v/>
      </c>
    </row>
    <row r="345" spans="1:79" hidden="1" x14ac:dyDescent="0.45">
      <c r="A345" s="31" t="s">
        <v>7</v>
      </c>
      <c r="B345" s="31" t="s">
        <v>8</v>
      </c>
      <c r="C345" s="31">
        <f>VLOOKUP($B345,'Tillförd energi'!$B$1:$AI$720,MATCH(C$1,'Tillförd energi'!$B$1:$AQ$1,0),FALSE)</f>
        <v>0</v>
      </c>
      <c r="D345" s="31">
        <f>VLOOKUP($B345,'Tillförd energi'!$B$1:$AI$720,MATCH(D$1,'Tillförd energi'!$B$1:$AQ$1,0),FALSE)</f>
        <v>0</v>
      </c>
      <c r="E345" s="31">
        <f>VLOOKUP($B345,'Tillförd energi'!$B$1:$AI$720,MATCH(E$1,'Tillförd energi'!$B$1:$AQ$1,0),FALSE)</f>
        <v>0</v>
      </c>
      <c r="F345" s="31">
        <f>VLOOKUP($B345,'Tillförd energi'!$B$1:$AI$720,MATCH(F$1,'Tillförd energi'!$B$1:$AQ$1,0),FALSE)</f>
        <v>0</v>
      </c>
      <c r="G345" s="31">
        <f>VLOOKUP($B345,'Tillförd energi'!$B$1:$AI$720,MATCH(G$1,'Tillförd energi'!$B$1:$AQ$1,0),FALSE)</f>
        <v>0</v>
      </c>
      <c r="H345" s="31">
        <f>VLOOKUP($B345,'Tillförd energi'!$B$1:$AI$720,MATCH(H$1,'Tillförd energi'!$B$1:$AQ$1,0),FALSE)</f>
        <v>0</v>
      </c>
      <c r="I345" s="31">
        <f>VLOOKUP($B345,'Tillförd energi'!$B$1:$AI$720,MATCH(I$1,'Tillförd energi'!$B$1:$AQ$1,0),FALSE)</f>
        <v>0</v>
      </c>
      <c r="J345" s="31">
        <f>VLOOKUP($B345,'Tillförd energi'!$B$1:$AI$720,MATCH(J$1,'Tillförd energi'!$B$1:$AQ$1,0),FALSE)</f>
        <v>0</v>
      </c>
      <c r="K345" s="31">
        <f>VLOOKUP($B345,'Tillförd energi'!$B$1:$AI$720,MATCH(K$1,'Tillförd energi'!$B$1:$AQ$1,0),FALSE)</f>
        <v>0</v>
      </c>
      <c r="L345" s="31">
        <f>VLOOKUP($B345,'Tillförd energi'!$B$1:$AI$720,MATCH(L$1,'Tillförd energi'!$B$1:$AQ$1,0),FALSE)</f>
        <v>0</v>
      </c>
      <c r="M345" s="31">
        <f>VLOOKUP($B345,'Tillförd energi'!$B$1:$AI$720,MATCH(M$1,'Tillförd energi'!$B$1:$AQ$1,0),FALSE)</f>
        <v>0</v>
      </c>
      <c r="N345" s="31">
        <f>VLOOKUP($B345,'Tillförd energi'!$B$1:$AI$720,MATCH(N$1,'Tillförd energi'!$B$1:$AQ$1,0),FALSE)</f>
        <v>0</v>
      </c>
      <c r="O345" s="31">
        <f>VLOOKUP($B345,'Tillförd energi'!$B$1:$AI$720,MATCH(O$1,'Tillförd energi'!$B$1:$AQ$1,0),FALSE)</f>
        <v>0</v>
      </c>
      <c r="P345" s="31">
        <f>VLOOKUP($B345,'Tillförd energi'!$B$1:$AI$720,MATCH(P$1,'Tillförd energi'!$B$1:$AQ$1,0),FALSE)</f>
        <v>0</v>
      </c>
      <c r="Q345" s="31">
        <f>VLOOKUP($B345,'Tillförd energi'!$B$1:$AI$720,MATCH(Q$1,'Tillförd energi'!$B$1:$AQ$1,0),FALSE)</f>
        <v>0</v>
      </c>
      <c r="R345" s="31">
        <f>VLOOKUP($B345,'Tillförd energi'!$B$1:$AI$720,MATCH(R$1,'Tillförd energi'!$B$1:$AQ$1,0),FALSE)</f>
        <v>0</v>
      </c>
      <c r="S345" s="31">
        <f>VLOOKUP($B345,'Tillförd energi'!$B$1:$AI$720,MATCH(S$1,'Tillförd energi'!$B$1:$AQ$1,0),FALSE)</f>
        <v>0</v>
      </c>
      <c r="T345" s="31">
        <f>VLOOKUP($B345,'Tillförd energi'!$B$1:$AI$720,MATCH(T$1,'Tillförd energi'!$B$1:$AQ$1,0),FALSE)</f>
        <v>0</v>
      </c>
      <c r="U345" s="31">
        <f>VLOOKUP($B345,'Tillförd energi'!$B$1:$AI$720,MATCH(U$1,'Tillförd energi'!$B$1:$AQ$1,0),FALSE)</f>
        <v>0</v>
      </c>
      <c r="V345" s="31">
        <f>VLOOKUP($B345,'Tillförd energi'!$B$1:$AI$720,MATCH(V$1,'Tillförd energi'!$B$1:$AQ$1,0),FALSE)</f>
        <v>0</v>
      </c>
      <c r="W345" s="31">
        <f>VLOOKUP($B345,'Tillförd energi'!$B$1:$AI$720,MATCH(W$1,'Tillförd energi'!$B$1:$AQ$1,0),FALSE)</f>
        <v>0</v>
      </c>
      <c r="X345" s="31">
        <f>VLOOKUP($B345,'Tillförd energi'!$B$1:$AI$720,MATCH(X$1,'Tillförd energi'!$B$1:$AQ$1,0),FALSE)</f>
        <v>0</v>
      </c>
      <c r="Y345" s="31">
        <f>VLOOKUP($B345,'Tillförd energi'!$B$1:$AI$720,MATCH(Y$1,'Tillförd energi'!$B$1:$AQ$1,0),FALSE)</f>
        <v>0</v>
      </c>
      <c r="Z345" s="31">
        <f>VLOOKUP($B345,'Tillförd energi'!$B$1:$AI$720,MATCH(Z$1,'Tillförd energi'!$B$1:$AQ$1,0),FALSE)</f>
        <v>0</v>
      </c>
      <c r="AA345" s="31">
        <f>VLOOKUP($B345,'Tillförd energi'!$B$1:$AI$720,MATCH(AA$1,'Tillförd energi'!$B$1:$AQ$1,0),FALSE)</f>
        <v>0</v>
      </c>
      <c r="AB345" s="31">
        <f>VLOOKUP($B345,'Tillförd energi'!$B$1:$AI$720,MATCH(AB$1,'Tillförd energi'!$B$1:$AQ$1,0),FALSE)</f>
        <v>0</v>
      </c>
      <c r="AC345" s="31">
        <f>VLOOKUP($B345,'Tillförd energi'!$B$1:$AI$720,MATCH(AC$1,'Tillförd energi'!$B$1:$AQ$1,0),FALSE)</f>
        <v>0</v>
      </c>
      <c r="AD345" s="31">
        <f>VLOOKUP($B345,'Tillförd energi'!$B$1:$AI$720,MATCH(AD$1,'Tillförd energi'!$B$1:$AQ$1,0),FALSE)</f>
        <v>0</v>
      </c>
      <c r="AE345" s="31">
        <f>VLOOKUP($B345,'Tillförd energi'!$B$1:$AI$720,MATCH(AE$1,'Tillförd energi'!$B$1:$AQ$1,0),FALSE)</f>
        <v>0</v>
      </c>
      <c r="AF345" s="31">
        <f>VLOOKUP($B345,'Tillförd energi'!$B$1:$AI$720,MATCH(AF$1,'Tillförd energi'!$B$1:$AQ$1,0),FALSE)</f>
        <v>0</v>
      </c>
      <c r="AG345" s="31">
        <f>IFERROR(VLOOKUP(B345,Miljö!$B$1:$AC$550,MATCH("Köpt mängd produktionsspecifik fjärrvärme:",Miljö!$B$1:$AC$1,0),FALSE)/1,0)</f>
        <v>0</v>
      </c>
      <c r="AI345" s="31">
        <f t="shared" si="115"/>
        <v>0</v>
      </c>
      <c r="AJ345" s="31">
        <f t="shared" si="116"/>
        <v>0</v>
      </c>
      <c r="AK345" s="31" t="str">
        <f>IF(ISERROR(1/VLOOKUP($B345,Leveranser!$B$1:$S$499,MATCH("Såld värme (GWh)",Leveranser!$B$1:$S$1,0),FALSE)),"",VLOOKUP($B345,Leveranser!$B$1:$S$499,MATCH("Såld värme (GWh)",Leveranser!$B$1:$S$1,0),FALSE))</f>
        <v/>
      </c>
      <c r="AL345" s="31">
        <f>VLOOKUP($B345,Leveranser!$B$1:$Y$499,MATCH("Totalt såld fjärrvärme till andra fjärrvärmeföretag",Leveranser!$B$1:$AA$1,0),FALSE)</f>
        <v>0</v>
      </c>
      <c r="AM345" s="31">
        <f>IF(ISERROR(1/VLOOKUP($B345,Miljö!$B$1:$S$500,MATCH("Såld mängd produktionsspecifik fjärrvärme (GWh)",Miljö!$B$1:$R$1,0),FALSE)),0,VLOOKUP($B345,Miljö!$B$1:$S$500,MATCH("Såld mängd produktionsspecifik fjärrvärme (GWh)",Miljö!$B$1:$R$1,0),FALSE))</f>
        <v>0</v>
      </c>
      <c r="AN345" s="32" t="str">
        <f t="shared" si="117"/>
        <v/>
      </c>
      <c r="AP345" s="31" t="str">
        <f>IFERROR(VLOOKUP($B345,Miljövärden!$B$2:$H$550,7,FALSE),"Nej, saknas")</f>
        <v>Nej</v>
      </c>
      <c r="AQ345" s="31" t="str">
        <f>IFERROR(VLOOKUP($B345,Miljövärden!$B$2:$H$551,6,FALSE),"Nej, saknas")</f>
        <v>Nej</v>
      </c>
      <c r="AU345" s="31">
        <f t="shared" si="118"/>
        <v>0</v>
      </c>
      <c r="AV345" s="31">
        <f t="shared" si="119"/>
        <v>0</v>
      </c>
      <c r="AW345" s="31">
        <f t="shared" si="120"/>
        <v>0</v>
      </c>
      <c r="AX345" s="31">
        <f t="shared" si="121"/>
        <v>0</v>
      </c>
      <c r="AZ345" s="31">
        <f t="shared" si="122"/>
        <v>0</v>
      </c>
      <c r="BC345" s="31">
        <f t="shared" si="123"/>
        <v>0</v>
      </c>
      <c r="BD345" s="31">
        <f t="shared" si="124"/>
        <v>0</v>
      </c>
      <c r="BE345" s="31">
        <f t="shared" si="125"/>
        <v>0</v>
      </c>
      <c r="BF345" s="31">
        <f t="shared" si="126"/>
        <v>0</v>
      </c>
      <c r="BG345" s="31">
        <f t="shared" si="127"/>
        <v>0</v>
      </c>
      <c r="BH345" s="31" t="str">
        <f>VLOOKUP(B345,Miljö!$B$1:$BX$482,MATCH("Fossilandel för ursprungspecificerad el ()",Miljö!$B$1:$I$1,0),FALSE)</f>
        <v>-</v>
      </c>
      <c r="BI345" s="31" t="str">
        <f>VLOOKUP(B345,Miljö!$B$1:$BX$482,MATCH("Kärnkraftsandel för ursprungsspecificerad el ()",Miljö!$B$1:$O$1,0),FALSE)</f>
        <v>-</v>
      </c>
      <c r="BJ345" s="31">
        <f t="shared" si="128"/>
        <v>0</v>
      </c>
      <c r="BK345" s="31" t="str">
        <f>VLOOKUP(B345,Miljö!$B$1:$P$482,MATCH("Fossil andel i procent (%)",Miljö!$B$1:$P$1,0),FALSE)</f>
        <v>-</v>
      </c>
      <c r="BL345" s="31">
        <f t="shared" si="129"/>
        <v>0</v>
      </c>
      <c r="BO345" s="32" t="str">
        <f t="shared" si="130"/>
        <v/>
      </c>
      <c r="BP345" s="32" t="str">
        <f t="shared" si="131"/>
        <v/>
      </c>
      <c r="BQ345" s="32" t="str">
        <f t="shared" si="132"/>
        <v/>
      </c>
      <c r="BR345" s="32" t="str">
        <f t="shared" si="133"/>
        <v/>
      </c>
      <c r="BT345" s="62">
        <f t="shared" si="134"/>
        <v>0</v>
      </c>
      <c r="BW345" s="32" t="str">
        <f>IF(AP345="Ja",VLOOKUP(B345,Miljövärden!$B$2:$H$551,MATCH("Total andel fossilt",Miljövärden!$B$2:$H$2,0),FALSE),"")</f>
        <v/>
      </c>
      <c r="BX345" s="62" t="e">
        <f t="shared" si="135"/>
        <v>#VALUE!</v>
      </c>
      <c r="BZ345" s="31" t="str">
        <f t="shared" si="136"/>
        <v/>
      </c>
      <c r="CA345" s="32" t="str">
        <f t="shared" si="137"/>
        <v/>
      </c>
    </row>
    <row r="346" spans="1:79" x14ac:dyDescent="0.45">
      <c r="A346" s="31" t="s">
        <v>225</v>
      </c>
      <c r="B346" s="31" t="s">
        <v>229</v>
      </c>
      <c r="C346" s="31">
        <f>VLOOKUP($B346,'Tillförd energi'!$B$1:$AI$720,MATCH(C$1,'Tillförd energi'!$B$1:$AQ$1,0),FALSE)</f>
        <v>0</v>
      </c>
      <c r="D346" s="31">
        <f>VLOOKUP($B346,'Tillförd energi'!$B$1:$AI$720,MATCH(D$1,'Tillförd energi'!$B$1:$AQ$1,0),FALSE)</f>
        <v>0</v>
      </c>
      <c r="E346" s="31">
        <f>VLOOKUP($B346,'Tillförd energi'!$B$1:$AI$720,MATCH(E$1,'Tillförd energi'!$B$1:$AQ$1,0),FALSE)</f>
        <v>0</v>
      </c>
      <c r="F346" s="31">
        <f>VLOOKUP($B346,'Tillförd energi'!$B$1:$AI$720,MATCH(F$1,'Tillförd energi'!$B$1:$AQ$1,0),FALSE)</f>
        <v>0</v>
      </c>
      <c r="G346" s="31">
        <f>VLOOKUP($B346,'Tillförd energi'!$B$1:$AI$720,MATCH(G$1,'Tillförd energi'!$B$1:$AQ$1,0),FALSE)</f>
        <v>0</v>
      </c>
      <c r="H346" s="31">
        <f>VLOOKUP($B346,'Tillförd energi'!$B$1:$AI$720,MATCH(H$1,'Tillförd energi'!$B$1:$AQ$1,0),FALSE)</f>
        <v>0</v>
      </c>
      <c r="I346" s="31">
        <f>VLOOKUP($B346,'Tillförd energi'!$B$1:$AI$720,MATCH(I$1,'Tillförd energi'!$B$1:$AQ$1,0),FALSE)</f>
        <v>0</v>
      </c>
      <c r="J346" s="31">
        <f>VLOOKUP($B346,'Tillförd energi'!$B$1:$AI$720,MATCH(J$1,'Tillförd energi'!$B$1:$AQ$1,0),FALSE)</f>
        <v>0</v>
      </c>
      <c r="K346" s="31">
        <f>VLOOKUP($B346,'Tillförd energi'!$B$1:$AI$720,MATCH(K$1,'Tillförd energi'!$B$1:$AQ$1,0),FALSE)</f>
        <v>0</v>
      </c>
      <c r="L346" s="31">
        <f>VLOOKUP($B346,'Tillförd energi'!$B$1:$AI$720,MATCH(L$1,'Tillförd energi'!$B$1:$AQ$1,0),FALSE)</f>
        <v>0</v>
      </c>
      <c r="M346" s="31">
        <f>VLOOKUP($B346,'Tillförd energi'!$B$1:$AI$720,MATCH(M$1,'Tillförd energi'!$B$1:$AQ$1,0),FALSE)</f>
        <v>0</v>
      </c>
      <c r="N346" s="31">
        <f>VLOOKUP($B346,'Tillförd energi'!$B$1:$AI$720,MATCH(N$1,'Tillförd energi'!$B$1:$AQ$1,0),FALSE)</f>
        <v>0</v>
      </c>
      <c r="O346" s="31">
        <f>VLOOKUP($B346,'Tillförd energi'!$B$1:$AI$720,MATCH(O$1,'Tillförd energi'!$B$1:$AQ$1,0),FALSE)</f>
        <v>0</v>
      </c>
      <c r="P346" s="31">
        <f>VLOOKUP($B346,'Tillförd energi'!$B$1:$AI$720,MATCH(P$1,'Tillförd energi'!$B$1:$AQ$1,0),FALSE)</f>
        <v>0</v>
      </c>
      <c r="Q346" s="31">
        <f>VLOOKUP($B346,'Tillförd energi'!$B$1:$AI$720,MATCH(Q$1,'Tillförd energi'!$B$1:$AQ$1,0),FALSE)</f>
        <v>5.1724100000000002</v>
      </c>
      <c r="R346" s="31">
        <f>VLOOKUP($B346,'Tillförd energi'!$B$1:$AI$720,MATCH(R$1,'Tillförd energi'!$B$1:$AQ$1,0),FALSE)</f>
        <v>0</v>
      </c>
      <c r="S346" s="31">
        <f>VLOOKUP($B346,'Tillförd energi'!$B$1:$AI$720,MATCH(S$1,'Tillförd energi'!$B$1:$AQ$1,0),FALSE)</f>
        <v>0</v>
      </c>
      <c r="T346" s="31">
        <f>VLOOKUP($B346,'Tillförd energi'!$B$1:$AI$720,MATCH(T$1,'Tillförd energi'!$B$1:$AQ$1,0),FALSE)</f>
        <v>0</v>
      </c>
      <c r="U346" s="31">
        <f>VLOOKUP($B346,'Tillförd energi'!$B$1:$AI$720,MATCH(U$1,'Tillförd energi'!$B$1:$AQ$1,0),FALSE)</f>
        <v>0</v>
      </c>
      <c r="V346" s="31">
        <f>VLOOKUP($B346,'Tillförd energi'!$B$1:$AI$720,MATCH(V$1,'Tillförd energi'!$B$1:$AQ$1,0),FALSE)</f>
        <v>0</v>
      </c>
      <c r="W346" s="31">
        <f>VLOOKUP($B346,'Tillförd energi'!$B$1:$AI$720,MATCH(W$1,'Tillförd energi'!$B$1:$AQ$1,0),FALSE)</f>
        <v>0</v>
      </c>
      <c r="X346" s="31">
        <f>VLOOKUP($B346,'Tillförd energi'!$B$1:$AI$720,MATCH(X$1,'Tillförd energi'!$B$1:$AQ$1,0),FALSE)</f>
        <v>0</v>
      </c>
      <c r="Y346" s="31">
        <f>VLOOKUP($B346,'Tillförd energi'!$B$1:$AI$720,MATCH(Y$1,'Tillförd energi'!$B$1:$AQ$1,0),FALSE)</f>
        <v>0</v>
      </c>
      <c r="Z346" s="31">
        <f>VLOOKUP($B346,'Tillförd energi'!$B$1:$AI$720,MATCH(Z$1,'Tillförd energi'!$B$1:$AQ$1,0),FALSE)</f>
        <v>0</v>
      </c>
      <c r="AA346" s="31">
        <f>VLOOKUP($B346,'Tillförd energi'!$B$1:$AI$720,MATCH(AA$1,'Tillförd energi'!$B$1:$AQ$1,0),FALSE)</f>
        <v>0</v>
      </c>
      <c r="AB346" s="31">
        <f>VLOOKUP($B346,'Tillförd energi'!$B$1:$AI$720,MATCH(AB$1,'Tillförd energi'!$B$1:$AQ$1,0),FALSE)</f>
        <v>0</v>
      </c>
      <c r="AC346" s="31">
        <f>VLOOKUP($B346,'Tillförd energi'!$B$1:$AI$720,MATCH(AC$1,'Tillförd energi'!$B$1:$AQ$1,0),FALSE)</f>
        <v>0</v>
      </c>
      <c r="AD346" s="31">
        <f>VLOOKUP($B346,'Tillförd energi'!$B$1:$AI$720,MATCH(AD$1,'Tillförd energi'!$B$1:$AQ$1,0),FALSE)</f>
        <v>0</v>
      </c>
      <c r="AE346" s="31">
        <f>VLOOKUP($B346,'Tillförd energi'!$B$1:$AI$720,MATCH(AE$1,'Tillförd energi'!$B$1:$AQ$1,0),FALSE)</f>
        <v>0</v>
      </c>
      <c r="AF346" s="31">
        <f>VLOOKUP($B346,'Tillförd energi'!$B$1:$AI$720,MATCH(AF$1,'Tillförd energi'!$B$1:$AQ$1,0),FALSE)</f>
        <v>0.1053</v>
      </c>
      <c r="AG346" s="31">
        <f>IFERROR(VLOOKUP(B346,Miljö!$B$1:$AC$550,MATCH("Köpt mängd produktionsspecifik fjärrvärme:",Miljö!$B$1:$AC$1,0),FALSE)/1,0)</f>
        <v>0</v>
      </c>
      <c r="AI346" s="31">
        <f t="shared" si="115"/>
        <v>5.2777099999999999</v>
      </c>
      <c r="AJ346" s="31">
        <f t="shared" si="116"/>
        <v>5.2777099999999999</v>
      </c>
      <c r="AK346" s="31">
        <f>IF(ISERROR(1/VLOOKUP($B346,Leveranser!$B$1:$S$499,MATCH("Såld värme (GWh)",Leveranser!$B$1:$S$1,0),FALSE)),"",VLOOKUP($B346,Leveranser!$B$1:$S$499,MATCH("Såld värme (GWh)",Leveranser!$B$1:$S$1,0),FALSE))</f>
        <v>3.51</v>
      </c>
      <c r="AL346" s="31">
        <f>VLOOKUP($B346,Leveranser!$B$1:$Y$499,MATCH("Totalt såld fjärrvärme till andra fjärrvärmeföretag",Leveranser!$B$1:$AA$1,0),FALSE)</f>
        <v>0</v>
      </c>
      <c r="AM346" s="31">
        <f>IF(ISERROR(1/VLOOKUP($B346,Miljö!$B$1:$S$500,MATCH("Såld mängd produktionsspecifik fjärrvärme (GWh)",Miljö!$B$1:$R$1,0),FALSE)),0,VLOOKUP($B346,Miljö!$B$1:$S$500,MATCH("Såld mängd produktionsspecifik fjärrvärme (GWh)",Miljö!$B$1:$R$1,0),FALSE))</f>
        <v>0</v>
      </c>
      <c r="AN346" s="32">
        <f t="shared" si="117"/>
        <v>0.66506117236452933</v>
      </c>
      <c r="AP346" s="31" t="str">
        <f>IFERROR(VLOOKUP($B346,Miljövärden!$B$2:$H$550,7,FALSE),"Nej, saknas")</f>
        <v>Ja</v>
      </c>
      <c r="AQ346" s="31" t="str">
        <f>IFERROR(VLOOKUP($B346,Miljövärden!$B$2:$H$551,6,FALSE),"Nej, saknas")</f>
        <v>Ja</v>
      </c>
      <c r="AU346" s="31">
        <f t="shared" si="118"/>
        <v>0.1053</v>
      </c>
      <c r="AV346" s="31">
        <f t="shared" si="119"/>
        <v>0</v>
      </c>
      <c r="AW346" s="31">
        <f t="shared" si="120"/>
        <v>5.1724100000000002</v>
      </c>
      <c r="AX346" s="31">
        <f t="shared" si="121"/>
        <v>0</v>
      </c>
      <c r="AZ346" s="31">
        <f t="shared" si="122"/>
        <v>5.1724100000000002</v>
      </c>
      <c r="BC346" s="31">
        <f t="shared" si="123"/>
        <v>0</v>
      </c>
      <c r="BD346" s="31">
        <f t="shared" si="124"/>
        <v>0</v>
      </c>
      <c r="BE346" s="31">
        <f t="shared" si="125"/>
        <v>5.1724100000000002</v>
      </c>
      <c r="BF346" s="31">
        <f t="shared" si="126"/>
        <v>0</v>
      </c>
      <c r="BG346" s="31">
        <f t="shared" si="127"/>
        <v>0.1053</v>
      </c>
      <c r="BH346" s="31">
        <f>VLOOKUP(B346,Miljö!$B$1:$BX$482,MATCH("Fossilandel för ursprungspecificerad el ()",Miljö!$B$1:$I$1,0),FALSE)</f>
        <v>0.35</v>
      </c>
      <c r="BI346" s="31">
        <f>VLOOKUP(B346,Miljö!$B$1:$BX$482,MATCH("Kärnkraftsandel för ursprungsspecificerad el ()",Miljö!$B$1:$O$1,0),FALSE)</f>
        <v>0.3977</v>
      </c>
      <c r="BJ346" s="31">
        <f t="shared" si="128"/>
        <v>0</v>
      </c>
      <c r="BK346" s="31" t="str">
        <f>VLOOKUP(B346,Miljö!$B$1:$P$482,MATCH("Fossil andel i procent (%)",Miljö!$B$1:$P$1,0),FALSE)</f>
        <v>ET</v>
      </c>
      <c r="BL346" s="31">
        <f t="shared" si="129"/>
        <v>5.2777099999999999</v>
      </c>
      <c r="BO346" s="32">
        <f t="shared" si="130"/>
        <v>6.983142309827558E-3</v>
      </c>
      <c r="BP346" s="32">
        <f t="shared" si="131"/>
        <v>7.9348448474811997E-3</v>
      </c>
      <c r="BQ346" s="32">
        <f t="shared" si="132"/>
        <v>0.98508201284269126</v>
      </c>
      <c r="BR346" s="32">
        <f t="shared" si="133"/>
        <v>0</v>
      </c>
      <c r="BT346" s="62">
        <f t="shared" si="134"/>
        <v>1</v>
      </c>
      <c r="BW346" s="32">
        <f>IF(AP346="Ja",VLOOKUP(B346,Miljövärden!$B$2:$H$551,MATCH("Total andel fossilt",Miljövärden!$B$2:$H$2,0),FALSE),"")</f>
        <v>6.9831399999999997E-3</v>
      </c>
      <c r="BX346" s="62">
        <f t="shared" si="135"/>
        <v>-2.3098275583888217E-9</v>
      </c>
      <c r="BZ346" s="31">
        <f t="shared" si="136"/>
        <v>-2.3098275583888217E-9</v>
      </c>
      <c r="CA346" s="32">
        <f t="shared" si="137"/>
        <v>0</v>
      </c>
    </row>
    <row r="347" spans="1:79" x14ac:dyDescent="0.45">
      <c r="A347" s="31" t="s">
        <v>225</v>
      </c>
      <c r="B347" s="31" t="s">
        <v>228</v>
      </c>
      <c r="C347" s="31">
        <f>VLOOKUP($B347,'Tillförd energi'!$B$1:$AI$720,MATCH(C$1,'Tillförd energi'!$B$1:$AQ$1,0),FALSE)</f>
        <v>0</v>
      </c>
      <c r="D347" s="31">
        <f>VLOOKUP($B347,'Tillförd energi'!$B$1:$AI$720,MATCH(D$1,'Tillförd energi'!$B$1:$AQ$1,0),FALSE)</f>
        <v>0</v>
      </c>
      <c r="E347" s="31">
        <f>VLOOKUP($B347,'Tillförd energi'!$B$1:$AI$720,MATCH(E$1,'Tillförd energi'!$B$1:$AQ$1,0),FALSE)</f>
        <v>0</v>
      </c>
      <c r="F347" s="31">
        <f>VLOOKUP($B347,'Tillförd energi'!$B$1:$AI$720,MATCH(F$1,'Tillförd energi'!$B$1:$AQ$1,0),FALSE)</f>
        <v>0</v>
      </c>
      <c r="G347" s="31">
        <f>VLOOKUP($B347,'Tillförd energi'!$B$1:$AI$720,MATCH(G$1,'Tillförd energi'!$B$1:$AQ$1,0),FALSE)</f>
        <v>0</v>
      </c>
      <c r="H347" s="31">
        <f>VLOOKUP($B347,'Tillförd energi'!$B$1:$AI$720,MATCH(H$1,'Tillförd energi'!$B$1:$AQ$1,0),FALSE)</f>
        <v>0</v>
      </c>
      <c r="I347" s="31">
        <f>VLOOKUP($B347,'Tillförd energi'!$B$1:$AI$720,MATCH(I$1,'Tillförd energi'!$B$1:$AQ$1,0),FALSE)</f>
        <v>0</v>
      </c>
      <c r="J347" s="31">
        <f>VLOOKUP($B347,'Tillförd energi'!$B$1:$AI$720,MATCH(J$1,'Tillförd energi'!$B$1:$AQ$1,0),FALSE)</f>
        <v>0</v>
      </c>
      <c r="K347" s="31">
        <f>VLOOKUP($B347,'Tillförd energi'!$B$1:$AI$720,MATCH(K$1,'Tillförd energi'!$B$1:$AQ$1,0),FALSE)</f>
        <v>0</v>
      </c>
      <c r="L347" s="31">
        <f>VLOOKUP($B347,'Tillförd energi'!$B$1:$AI$720,MATCH(L$1,'Tillförd energi'!$B$1:$AQ$1,0),FALSE)</f>
        <v>0</v>
      </c>
      <c r="M347" s="31">
        <f>VLOOKUP($B347,'Tillförd energi'!$B$1:$AI$720,MATCH(M$1,'Tillförd energi'!$B$1:$AQ$1,0),FALSE)</f>
        <v>0</v>
      </c>
      <c r="N347" s="31">
        <f>VLOOKUP($B347,'Tillförd energi'!$B$1:$AI$720,MATCH(N$1,'Tillförd energi'!$B$1:$AQ$1,0),FALSE)</f>
        <v>0</v>
      </c>
      <c r="O347" s="31">
        <f>VLOOKUP($B347,'Tillförd energi'!$B$1:$AI$720,MATCH(O$1,'Tillförd energi'!$B$1:$AQ$1,0),FALSE)</f>
        <v>0</v>
      </c>
      <c r="P347" s="31">
        <f>VLOOKUP($B347,'Tillförd energi'!$B$1:$AI$720,MATCH(P$1,'Tillförd energi'!$B$1:$AQ$1,0),FALSE)</f>
        <v>0.4</v>
      </c>
      <c r="Q347" s="31">
        <f>VLOOKUP($B347,'Tillförd energi'!$B$1:$AI$720,MATCH(Q$1,'Tillförd energi'!$B$1:$AQ$1,0),FALSE)</f>
        <v>4.9000000000000004</v>
      </c>
      <c r="R347" s="31">
        <f>VLOOKUP($B347,'Tillförd energi'!$B$1:$AI$720,MATCH(R$1,'Tillförd energi'!$B$1:$AQ$1,0),FALSE)</f>
        <v>0</v>
      </c>
      <c r="S347" s="31">
        <f>VLOOKUP($B347,'Tillförd energi'!$B$1:$AI$720,MATCH(S$1,'Tillförd energi'!$B$1:$AQ$1,0),FALSE)</f>
        <v>0</v>
      </c>
      <c r="T347" s="31">
        <f>VLOOKUP($B347,'Tillförd energi'!$B$1:$AI$720,MATCH(T$1,'Tillförd energi'!$B$1:$AQ$1,0),FALSE)</f>
        <v>0</v>
      </c>
      <c r="U347" s="31">
        <f>VLOOKUP($B347,'Tillförd energi'!$B$1:$AI$720,MATCH(U$1,'Tillförd energi'!$B$1:$AQ$1,0),FALSE)</f>
        <v>0</v>
      </c>
      <c r="V347" s="31">
        <f>VLOOKUP($B347,'Tillförd energi'!$B$1:$AI$720,MATCH(V$1,'Tillförd energi'!$B$1:$AQ$1,0),FALSE)</f>
        <v>0</v>
      </c>
      <c r="W347" s="31">
        <f>VLOOKUP($B347,'Tillförd energi'!$B$1:$AI$720,MATCH(W$1,'Tillförd energi'!$B$1:$AQ$1,0),FALSE)</f>
        <v>0.1</v>
      </c>
      <c r="X347" s="31">
        <f>VLOOKUP($B347,'Tillförd energi'!$B$1:$AI$720,MATCH(X$1,'Tillförd energi'!$B$1:$AQ$1,0),FALSE)</f>
        <v>0</v>
      </c>
      <c r="Y347" s="31">
        <f>VLOOKUP($B347,'Tillförd energi'!$B$1:$AI$720,MATCH(Y$1,'Tillförd energi'!$B$1:$AQ$1,0),FALSE)</f>
        <v>0</v>
      </c>
      <c r="Z347" s="31">
        <f>VLOOKUP($B347,'Tillförd energi'!$B$1:$AI$720,MATCH(Z$1,'Tillförd energi'!$B$1:$AQ$1,0),FALSE)</f>
        <v>0</v>
      </c>
      <c r="AA347" s="31">
        <f>VLOOKUP($B347,'Tillförd energi'!$B$1:$AI$720,MATCH(AA$1,'Tillförd energi'!$B$1:$AQ$1,0),FALSE)</f>
        <v>0</v>
      </c>
      <c r="AB347" s="31">
        <f>VLOOKUP($B347,'Tillförd energi'!$B$1:$AI$720,MATCH(AB$1,'Tillförd energi'!$B$1:$AQ$1,0),FALSE)</f>
        <v>0</v>
      </c>
      <c r="AC347" s="31">
        <f>VLOOKUP($B347,'Tillförd energi'!$B$1:$AI$720,MATCH(AC$1,'Tillförd energi'!$B$1:$AQ$1,0),FALSE)</f>
        <v>0</v>
      </c>
      <c r="AD347" s="31">
        <f>VLOOKUP($B347,'Tillförd energi'!$B$1:$AI$720,MATCH(AD$1,'Tillförd energi'!$B$1:$AQ$1,0),FALSE)</f>
        <v>0</v>
      </c>
      <c r="AE347" s="31">
        <f>VLOOKUP($B347,'Tillförd energi'!$B$1:$AI$720,MATCH(AE$1,'Tillförd energi'!$B$1:$AQ$1,0),FALSE)</f>
        <v>0</v>
      </c>
      <c r="AF347" s="31">
        <f>VLOOKUP($B347,'Tillförd energi'!$B$1:$AI$720,MATCH(AF$1,'Tillförd energi'!$B$1:$AQ$1,0),FALSE)</f>
        <v>0.10299999999999999</v>
      </c>
      <c r="AG347" s="31">
        <f>IFERROR(VLOOKUP(B347,Miljö!$B$1:$AC$550,MATCH("Köpt mängd produktionsspecifik fjärrvärme:",Miljö!$B$1:$AC$1,0),FALSE)/1,0)</f>
        <v>0</v>
      </c>
      <c r="AI347" s="31">
        <f t="shared" si="115"/>
        <v>5.5030000000000001</v>
      </c>
      <c r="AJ347" s="31">
        <f t="shared" si="116"/>
        <v>5.5030000000000001</v>
      </c>
      <c r="AK347" s="31">
        <f>IF(ISERROR(1/VLOOKUP($B347,Leveranser!$B$1:$S$499,MATCH("Såld värme (GWh)",Leveranser!$B$1:$S$1,0),FALSE)),"",VLOOKUP($B347,Leveranser!$B$1:$S$499,MATCH("Såld värme (GWh)",Leveranser!$B$1:$S$1,0),FALSE))</f>
        <v>3.8069999999999999</v>
      </c>
      <c r="AL347" s="31">
        <f>VLOOKUP($B347,Leveranser!$B$1:$Y$499,MATCH("Totalt såld fjärrvärme till andra fjärrvärmeföretag",Leveranser!$B$1:$AA$1,0),FALSE)</f>
        <v>0</v>
      </c>
      <c r="AM347" s="31">
        <f>IF(ISERROR(1/VLOOKUP($B347,Miljö!$B$1:$S$500,MATCH("Såld mängd produktionsspecifik fjärrvärme (GWh)",Miljö!$B$1:$R$1,0),FALSE)),0,VLOOKUP($B347,Miljö!$B$1:$S$500,MATCH("Såld mängd produktionsspecifik fjärrvärme (GWh)",Miljö!$B$1:$R$1,0),FALSE))</f>
        <v>0</v>
      </c>
      <c r="AN347" s="32">
        <f t="shared" si="117"/>
        <v>0.69180447028893333</v>
      </c>
      <c r="AP347" s="31" t="str">
        <f>IFERROR(VLOOKUP($B347,Miljövärden!$B$2:$H$550,7,FALSE),"Nej, saknas")</f>
        <v>Ja</v>
      </c>
      <c r="AQ347" s="31" t="str">
        <f>IFERROR(VLOOKUP($B347,Miljövärden!$B$2:$H$551,6,FALSE),"Nej, saknas")</f>
        <v>Ja</v>
      </c>
      <c r="AU347" s="31">
        <f t="shared" si="118"/>
        <v>0.10299999999999999</v>
      </c>
      <c r="AV347" s="31">
        <f t="shared" si="119"/>
        <v>0</v>
      </c>
      <c r="AW347" s="31">
        <f t="shared" si="120"/>
        <v>5.3000000000000007</v>
      </c>
      <c r="AX347" s="31">
        <f t="shared" si="121"/>
        <v>0</v>
      </c>
      <c r="AZ347" s="31">
        <f t="shared" si="122"/>
        <v>5.4</v>
      </c>
      <c r="BC347" s="31">
        <f t="shared" si="123"/>
        <v>0</v>
      </c>
      <c r="BD347" s="31">
        <f t="shared" si="124"/>
        <v>0</v>
      </c>
      <c r="BE347" s="31">
        <f t="shared" si="125"/>
        <v>5.4</v>
      </c>
      <c r="BF347" s="31">
        <f t="shared" si="126"/>
        <v>0</v>
      </c>
      <c r="BG347" s="31">
        <f t="shared" si="127"/>
        <v>0.10299999999999999</v>
      </c>
      <c r="BH347" s="31">
        <f>VLOOKUP(B347,Miljö!$B$1:$BX$482,MATCH("Fossilandel för ursprungspecificerad el ()",Miljö!$B$1:$I$1,0),FALSE)</f>
        <v>0</v>
      </c>
      <c r="BI347" s="31">
        <f>VLOOKUP(B347,Miljö!$B$1:$BX$482,MATCH("Kärnkraftsandel för ursprungsspecificerad el ()",Miljö!$B$1:$O$1,0),FALSE)</f>
        <v>0</v>
      </c>
      <c r="BJ347" s="31">
        <f t="shared" si="128"/>
        <v>0</v>
      </c>
      <c r="BK347" s="31" t="str">
        <f>VLOOKUP(B347,Miljö!$B$1:$P$482,MATCH("Fossil andel i procent (%)",Miljö!$B$1:$P$1,0),FALSE)</f>
        <v>ET</v>
      </c>
      <c r="BL347" s="31">
        <f t="shared" si="129"/>
        <v>5.5030000000000001</v>
      </c>
      <c r="BO347" s="32">
        <f t="shared" si="130"/>
        <v>0</v>
      </c>
      <c r="BP347" s="32">
        <f t="shared" si="131"/>
        <v>0</v>
      </c>
      <c r="BQ347" s="32">
        <f t="shared" si="132"/>
        <v>1</v>
      </c>
      <c r="BR347" s="32">
        <f t="shared" si="133"/>
        <v>0</v>
      </c>
      <c r="BT347" s="62">
        <f t="shared" si="134"/>
        <v>1</v>
      </c>
      <c r="BW347" s="32">
        <f>IF(AP347="Ja",VLOOKUP(B347,Miljövärden!$B$2:$H$551,MATCH("Total andel fossilt",Miljövärden!$B$2:$H$2,0),FALSE),"")</f>
        <v>0</v>
      </c>
      <c r="BX347" s="62">
        <f t="shared" si="135"/>
        <v>0</v>
      </c>
      <c r="BZ347" s="31">
        <f t="shared" si="136"/>
        <v>0</v>
      </c>
      <c r="CA347" s="32">
        <f t="shared" si="137"/>
        <v>0</v>
      </c>
    </row>
    <row r="348" spans="1:79" x14ac:dyDescent="0.45">
      <c r="A348" s="31" t="s">
        <v>225</v>
      </c>
      <c r="B348" s="31" t="s">
        <v>227</v>
      </c>
      <c r="C348" s="31">
        <f>VLOOKUP($B348,'Tillförd energi'!$B$1:$AI$720,MATCH(C$1,'Tillförd energi'!$B$1:$AQ$1,0),FALSE)</f>
        <v>0</v>
      </c>
      <c r="D348" s="31">
        <f>VLOOKUP($B348,'Tillförd energi'!$B$1:$AI$720,MATCH(D$1,'Tillförd energi'!$B$1:$AQ$1,0),FALSE)</f>
        <v>0</v>
      </c>
      <c r="E348" s="31">
        <f>VLOOKUP($B348,'Tillförd energi'!$B$1:$AI$720,MATCH(E$1,'Tillförd energi'!$B$1:$AQ$1,0),FALSE)</f>
        <v>0</v>
      </c>
      <c r="F348" s="31">
        <f>VLOOKUP($B348,'Tillförd energi'!$B$1:$AI$720,MATCH(F$1,'Tillförd energi'!$B$1:$AQ$1,0),FALSE)</f>
        <v>0</v>
      </c>
      <c r="G348" s="31">
        <f>VLOOKUP($B348,'Tillförd energi'!$B$1:$AI$720,MATCH(G$1,'Tillförd energi'!$B$1:$AQ$1,0),FALSE)</f>
        <v>0</v>
      </c>
      <c r="H348" s="31">
        <f>VLOOKUP($B348,'Tillförd energi'!$B$1:$AI$720,MATCH(H$1,'Tillförd energi'!$B$1:$AQ$1,0),FALSE)</f>
        <v>0</v>
      </c>
      <c r="I348" s="31">
        <f>VLOOKUP($B348,'Tillförd energi'!$B$1:$AI$720,MATCH(I$1,'Tillförd energi'!$B$1:$AQ$1,0),FALSE)</f>
        <v>0</v>
      </c>
      <c r="J348" s="31">
        <f>VLOOKUP($B348,'Tillförd energi'!$B$1:$AI$720,MATCH(J$1,'Tillförd energi'!$B$1:$AQ$1,0),FALSE)</f>
        <v>0</v>
      </c>
      <c r="K348" s="31">
        <f>VLOOKUP($B348,'Tillförd energi'!$B$1:$AI$720,MATCH(K$1,'Tillförd energi'!$B$1:$AQ$1,0),FALSE)</f>
        <v>0</v>
      </c>
      <c r="L348" s="31">
        <f>VLOOKUP($B348,'Tillförd energi'!$B$1:$AI$720,MATCH(L$1,'Tillförd energi'!$B$1:$AQ$1,0),FALSE)</f>
        <v>0</v>
      </c>
      <c r="M348" s="31">
        <f>VLOOKUP($B348,'Tillförd energi'!$B$1:$AI$720,MATCH(M$1,'Tillförd energi'!$B$1:$AQ$1,0),FALSE)</f>
        <v>0</v>
      </c>
      <c r="N348" s="31">
        <f>VLOOKUP($B348,'Tillförd energi'!$B$1:$AI$720,MATCH(N$1,'Tillförd energi'!$B$1:$AQ$1,0),FALSE)</f>
        <v>0</v>
      </c>
      <c r="O348" s="31">
        <f>VLOOKUP($B348,'Tillförd energi'!$B$1:$AI$720,MATCH(O$1,'Tillförd energi'!$B$1:$AQ$1,0),FALSE)</f>
        <v>0</v>
      </c>
      <c r="P348" s="31">
        <f>VLOOKUP($B348,'Tillförd energi'!$B$1:$AI$720,MATCH(P$1,'Tillförd energi'!$B$1:$AQ$1,0),FALSE)</f>
        <v>0</v>
      </c>
      <c r="Q348" s="31">
        <f>VLOOKUP($B348,'Tillförd energi'!$B$1:$AI$720,MATCH(Q$1,'Tillförd energi'!$B$1:$AQ$1,0),FALSE)</f>
        <v>10.1</v>
      </c>
      <c r="R348" s="31">
        <f>VLOOKUP($B348,'Tillförd energi'!$B$1:$AI$720,MATCH(R$1,'Tillförd energi'!$B$1:$AQ$1,0),FALSE)</f>
        <v>0</v>
      </c>
      <c r="S348" s="31">
        <f>VLOOKUP($B348,'Tillförd energi'!$B$1:$AI$720,MATCH(S$1,'Tillförd energi'!$B$1:$AQ$1,0),FALSE)</f>
        <v>0</v>
      </c>
      <c r="T348" s="31">
        <f>VLOOKUP($B348,'Tillförd energi'!$B$1:$AI$720,MATCH(T$1,'Tillförd energi'!$B$1:$AQ$1,0),FALSE)</f>
        <v>0</v>
      </c>
      <c r="U348" s="31">
        <f>VLOOKUP($B348,'Tillförd energi'!$B$1:$AI$720,MATCH(U$1,'Tillförd energi'!$B$1:$AQ$1,0),FALSE)</f>
        <v>0</v>
      </c>
      <c r="V348" s="31">
        <f>VLOOKUP($B348,'Tillförd energi'!$B$1:$AI$720,MATCH(V$1,'Tillförd energi'!$B$1:$AQ$1,0),FALSE)</f>
        <v>0</v>
      </c>
      <c r="W348" s="31">
        <f>VLOOKUP($B348,'Tillförd energi'!$B$1:$AI$720,MATCH(W$1,'Tillförd energi'!$B$1:$AQ$1,0),FALSE)</f>
        <v>0.13</v>
      </c>
      <c r="X348" s="31">
        <f>VLOOKUP($B348,'Tillförd energi'!$B$1:$AI$720,MATCH(X$1,'Tillförd energi'!$B$1:$AQ$1,0),FALSE)</f>
        <v>0</v>
      </c>
      <c r="Y348" s="31">
        <f>VLOOKUP($B348,'Tillförd energi'!$B$1:$AI$720,MATCH(Y$1,'Tillförd energi'!$B$1:$AQ$1,0),FALSE)</f>
        <v>0</v>
      </c>
      <c r="Z348" s="31">
        <f>VLOOKUP($B348,'Tillförd energi'!$B$1:$AI$720,MATCH(Z$1,'Tillförd energi'!$B$1:$AQ$1,0),FALSE)</f>
        <v>0</v>
      </c>
      <c r="AA348" s="31">
        <f>VLOOKUP($B348,'Tillförd energi'!$B$1:$AI$720,MATCH(AA$1,'Tillförd energi'!$B$1:$AQ$1,0),FALSE)</f>
        <v>0</v>
      </c>
      <c r="AB348" s="31">
        <f>VLOOKUP($B348,'Tillförd energi'!$B$1:$AI$720,MATCH(AB$1,'Tillförd energi'!$B$1:$AQ$1,0),FALSE)</f>
        <v>0</v>
      </c>
      <c r="AC348" s="31">
        <f>VLOOKUP($B348,'Tillförd energi'!$B$1:$AI$720,MATCH(AC$1,'Tillförd energi'!$B$1:$AQ$1,0),FALSE)</f>
        <v>0</v>
      </c>
      <c r="AD348" s="31">
        <f>VLOOKUP($B348,'Tillförd energi'!$B$1:$AI$720,MATCH(AD$1,'Tillförd energi'!$B$1:$AQ$1,0),FALSE)</f>
        <v>0</v>
      </c>
      <c r="AE348" s="31">
        <f>VLOOKUP($B348,'Tillförd energi'!$B$1:$AI$720,MATCH(AE$1,'Tillförd energi'!$B$1:$AQ$1,0),FALSE)</f>
        <v>0</v>
      </c>
      <c r="AF348" s="31">
        <f>VLOOKUP($B348,'Tillförd energi'!$B$1:$AI$720,MATCH(AF$1,'Tillförd energi'!$B$1:$AQ$1,0),FALSE)</f>
        <v>0.155</v>
      </c>
      <c r="AG348" s="31">
        <f>IFERROR(VLOOKUP(B348,Miljö!$B$1:$AC$550,MATCH("Köpt mängd produktionsspecifik fjärrvärme:",Miljö!$B$1:$AC$1,0),FALSE)/1,0)</f>
        <v>0</v>
      </c>
      <c r="AI348" s="31">
        <f t="shared" si="115"/>
        <v>10.385</v>
      </c>
      <c r="AJ348" s="31">
        <f t="shared" si="116"/>
        <v>10.385</v>
      </c>
      <c r="AK348" s="31">
        <f>IF(ISERROR(1/VLOOKUP($B348,Leveranser!$B$1:$S$499,MATCH("Såld värme (GWh)",Leveranser!$B$1:$S$1,0),FALSE)),"",VLOOKUP($B348,Leveranser!$B$1:$S$499,MATCH("Såld värme (GWh)",Leveranser!$B$1:$S$1,0),FALSE))</f>
        <v>6.6470000000000002</v>
      </c>
      <c r="AL348" s="31">
        <f>VLOOKUP($B348,Leveranser!$B$1:$Y$499,MATCH("Totalt såld fjärrvärme till andra fjärrvärmeföretag",Leveranser!$B$1:$AA$1,0),FALSE)</f>
        <v>0</v>
      </c>
      <c r="AM348" s="31">
        <f>IF(ISERROR(1/VLOOKUP($B348,Miljö!$B$1:$S$500,MATCH("Såld mängd produktionsspecifik fjärrvärme (GWh)",Miljö!$B$1:$R$1,0),FALSE)),0,VLOOKUP($B348,Miljö!$B$1:$S$500,MATCH("Såld mängd produktionsspecifik fjärrvärme (GWh)",Miljö!$B$1:$R$1,0),FALSE))</f>
        <v>0</v>
      </c>
      <c r="AN348" s="32">
        <f t="shared" si="117"/>
        <v>0.64005777563793942</v>
      </c>
      <c r="AP348" s="31" t="str">
        <f>IFERROR(VLOOKUP($B348,Miljövärden!$B$2:$H$550,7,FALSE),"Nej, saknas")</f>
        <v>Ja</v>
      </c>
      <c r="AQ348" s="31" t="str">
        <f>IFERROR(VLOOKUP($B348,Miljövärden!$B$2:$H$551,6,FALSE),"Nej, saknas")</f>
        <v>Ja</v>
      </c>
      <c r="AU348" s="31">
        <f t="shared" si="118"/>
        <v>0.155</v>
      </c>
      <c r="AV348" s="31">
        <f t="shared" si="119"/>
        <v>0</v>
      </c>
      <c r="AW348" s="31">
        <f t="shared" si="120"/>
        <v>10.1</v>
      </c>
      <c r="AX348" s="31">
        <f t="shared" si="121"/>
        <v>0</v>
      </c>
      <c r="AZ348" s="31">
        <f t="shared" si="122"/>
        <v>10.23</v>
      </c>
      <c r="BC348" s="31">
        <f t="shared" si="123"/>
        <v>0</v>
      </c>
      <c r="BD348" s="31">
        <f t="shared" si="124"/>
        <v>0</v>
      </c>
      <c r="BE348" s="31">
        <f t="shared" si="125"/>
        <v>10.23</v>
      </c>
      <c r="BF348" s="31">
        <f t="shared" si="126"/>
        <v>0</v>
      </c>
      <c r="BG348" s="31">
        <f t="shared" si="127"/>
        <v>0.155</v>
      </c>
      <c r="BH348" s="31">
        <f>VLOOKUP(B348,Miljö!$B$1:$BX$482,MATCH("Fossilandel för ursprungspecificerad el ()",Miljö!$B$1:$I$1,0),FALSE)</f>
        <v>0</v>
      </c>
      <c r="BI348" s="31">
        <f>VLOOKUP(B348,Miljö!$B$1:$BX$482,MATCH("Kärnkraftsandel för ursprungsspecificerad el ()",Miljö!$B$1:$O$1,0),FALSE)</f>
        <v>0</v>
      </c>
      <c r="BJ348" s="31">
        <f t="shared" si="128"/>
        <v>0</v>
      </c>
      <c r="BK348" s="31" t="str">
        <f>VLOOKUP(B348,Miljö!$B$1:$P$482,MATCH("Fossil andel i procent (%)",Miljö!$B$1:$P$1,0),FALSE)</f>
        <v>ET</v>
      </c>
      <c r="BL348" s="31">
        <f t="shared" si="129"/>
        <v>10.385</v>
      </c>
      <c r="BO348" s="32">
        <f t="shared" si="130"/>
        <v>0</v>
      </c>
      <c r="BP348" s="32">
        <f t="shared" si="131"/>
        <v>0</v>
      </c>
      <c r="BQ348" s="32">
        <f t="shared" si="132"/>
        <v>1</v>
      </c>
      <c r="BR348" s="32">
        <f t="shared" si="133"/>
        <v>0</v>
      </c>
      <c r="BT348" s="62">
        <f t="shared" si="134"/>
        <v>1</v>
      </c>
      <c r="BW348" s="32">
        <f>IF(AP348="Ja",VLOOKUP(B348,Miljövärden!$B$2:$H$551,MATCH("Total andel fossilt",Miljövärden!$B$2:$H$2,0),FALSE),"")</f>
        <v>0</v>
      </c>
      <c r="BX348" s="62">
        <f t="shared" si="135"/>
        <v>0</v>
      </c>
      <c r="BZ348" s="31">
        <f t="shared" si="136"/>
        <v>0</v>
      </c>
      <c r="CA348" s="32">
        <f t="shared" si="137"/>
        <v>0</v>
      </c>
    </row>
    <row r="349" spans="1:79" x14ac:dyDescent="0.45">
      <c r="A349" s="31" t="s">
        <v>225</v>
      </c>
      <c r="B349" s="31" t="s">
        <v>226</v>
      </c>
      <c r="C349" s="31">
        <f>VLOOKUP($B349,'Tillförd energi'!$B$1:$AI$720,MATCH(C$1,'Tillförd energi'!$B$1:$AQ$1,0),FALSE)</f>
        <v>0</v>
      </c>
      <c r="D349" s="31">
        <f>VLOOKUP($B349,'Tillförd energi'!$B$1:$AI$720,MATCH(D$1,'Tillförd energi'!$B$1:$AQ$1,0),FALSE)</f>
        <v>0</v>
      </c>
      <c r="E349" s="31">
        <f>VLOOKUP($B349,'Tillförd energi'!$B$1:$AI$720,MATCH(E$1,'Tillförd energi'!$B$1:$AQ$1,0),FALSE)</f>
        <v>0</v>
      </c>
      <c r="F349" s="31">
        <f>VLOOKUP($B349,'Tillförd energi'!$B$1:$AI$720,MATCH(F$1,'Tillförd energi'!$B$1:$AQ$1,0),FALSE)</f>
        <v>0</v>
      </c>
      <c r="G349" s="31">
        <f>VLOOKUP($B349,'Tillförd energi'!$B$1:$AI$720,MATCH(G$1,'Tillförd energi'!$B$1:$AQ$1,0),FALSE)</f>
        <v>0</v>
      </c>
      <c r="H349" s="31">
        <f>VLOOKUP($B349,'Tillförd energi'!$B$1:$AI$720,MATCH(H$1,'Tillförd energi'!$B$1:$AQ$1,0),FALSE)</f>
        <v>0</v>
      </c>
      <c r="I349" s="31">
        <f>VLOOKUP($B349,'Tillförd energi'!$B$1:$AI$720,MATCH(I$1,'Tillförd energi'!$B$1:$AQ$1,0),FALSE)</f>
        <v>0</v>
      </c>
      <c r="J349" s="31">
        <f>VLOOKUP($B349,'Tillförd energi'!$B$1:$AI$720,MATCH(J$1,'Tillförd energi'!$B$1:$AQ$1,0),FALSE)</f>
        <v>0</v>
      </c>
      <c r="K349" s="31">
        <f>VLOOKUP($B349,'Tillförd energi'!$B$1:$AI$720,MATCH(K$1,'Tillförd energi'!$B$1:$AQ$1,0),FALSE)</f>
        <v>0</v>
      </c>
      <c r="L349" s="31">
        <f>VLOOKUP($B349,'Tillförd energi'!$B$1:$AI$720,MATCH(L$1,'Tillförd energi'!$B$1:$AQ$1,0),FALSE)</f>
        <v>0</v>
      </c>
      <c r="M349" s="31">
        <f>VLOOKUP($B349,'Tillförd energi'!$B$1:$AI$720,MATCH(M$1,'Tillförd energi'!$B$1:$AQ$1,0),FALSE)</f>
        <v>0</v>
      </c>
      <c r="N349" s="31">
        <f>VLOOKUP($B349,'Tillförd energi'!$B$1:$AI$720,MATCH(N$1,'Tillförd energi'!$B$1:$AQ$1,0),FALSE)</f>
        <v>0</v>
      </c>
      <c r="O349" s="31">
        <f>VLOOKUP($B349,'Tillförd energi'!$B$1:$AI$720,MATCH(O$1,'Tillförd energi'!$B$1:$AQ$1,0),FALSE)</f>
        <v>0</v>
      </c>
      <c r="P349" s="31">
        <f>VLOOKUP($B349,'Tillförd energi'!$B$1:$AI$720,MATCH(P$1,'Tillförd energi'!$B$1:$AQ$1,0),FALSE)</f>
        <v>0</v>
      </c>
      <c r="Q349" s="31">
        <f>VLOOKUP($B349,'Tillförd energi'!$B$1:$AI$720,MATCH(Q$1,'Tillförd energi'!$B$1:$AQ$1,0),FALSE)</f>
        <v>15.08</v>
      </c>
      <c r="R349" s="31">
        <f>VLOOKUP($B349,'Tillförd energi'!$B$1:$AI$720,MATCH(R$1,'Tillförd energi'!$B$1:$AQ$1,0),FALSE)</f>
        <v>0</v>
      </c>
      <c r="S349" s="31">
        <f>VLOOKUP($B349,'Tillförd energi'!$B$1:$AI$720,MATCH(S$1,'Tillförd energi'!$B$1:$AQ$1,0),FALSE)</f>
        <v>0</v>
      </c>
      <c r="T349" s="31">
        <f>VLOOKUP($B349,'Tillförd energi'!$B$1:$AI$720,MATCH(T$1,'Tillförd energi'!$B$1:$AQ$1,0),FALSE)</f>
        <v>0</v>
      </c>
      <c r="U349" s="31">
        <f>VLOOKUP($B349,'Tillförd energi'!$B$1:$AI$720,MATCH(U$1,'Tillförd energi'!$B$1:$AQ$1,0),FALSE)</f>
        <v>0</v>
      </c>
      <c r="V349" s="31">
        <f>VLOOKUP($B349,'Tillförd energi'!$B$1:$AI$720,MATCH(V$1,'Tillförd energi'!$B$1:$AQ$1,0),FALSE)</f>
        <v>0</v>
      </c>
      <c r="W349" s="31">
        <f>VLOOKUP($B349,'Tillförd energi'!$B$1:$AI$720,MATCH(W$1,'Tillförd energi'!$B$1:$AQ$1,0),FALSE)</f>
        <v>0.37</v>
      </c>
      <c r="X349" s="31">
        <f>VLOOKUP($B349,'Tillförd energi'!$B$1:$AI$720,MATCH(X$1,'Tillförd energi'!$B$1:$AQ$1,0),FALSE)</f>
        <v>0</v>
      </c>
      <c r="Y349" s="31">
        <f>VLOOKUP($B349,'Tillförd energi'!$B$1:$AI$720,MATCH(Y$1,'Tillförd energi'!$B$1:$AQ$1,0),FALSE)</f>
        <v>0</v>
      </c>
      <c r="Z349" s="31">
        <f>VLOOKUP($B349,'Tillförd energi'!$B$1:$AI$720,MATCH(Z$1,'Tillförd energi'!$B$1:$AQ$1,0),FALSE)</f>
        <v>0</v>
      </c>
      <c r="AA349" s="31">
        <f>VLOOKUP($B349,'Tillförd energi'!$B$1:$AI$720,MATCH(AA$1,'Tillförd energi'!$B$1:$AQ$1,0),FALSE)</f>
        <v>0</v>
      </c>
      <c r="AB349" s="31">
        <f>VLOOKUP($B349,'Tillförd energi'!$B$1:$AI$720,MATCH(AB$1,'Tillförd energi'!$B$1:$AQ$1,0),FALSE)</f>
        <v>0</v>
      </c>
      <c r="AC349" s="31">
        <f>VLOOKUP($B349,'Tillförd energi'!$B$1:$AI$720,MATCH(AC$1,'Tillförd energi'!$B$1:$AQ$1,0),FALSE)</f>
        <v>0</v>
      </c>
      <c r="AD349" s="31">
        <f>VLOOKUP($B349,'Tillförd energi'!$B$1:$AI$720,MATCH(AD$1,'Tillförd energi'!$B$1:$AQ$1,0),FALSE)</f>
        <v>0</v>
      </c>
      <c r="AE349" s="31">
        <f>VLOOKUP($B349,'Tillförd energi'!$B$1:$AI$720,MATCH(AE$1,'Tillförd energi'!$B$1:$AQ$1,0),FALSE)</f>
        <v>0</v>
      </c>
      <c r="AF349" s="31">
        <f>VLOOKUP($B349,'Tillförd energi'!$B$1:$AI$720,MATCH(AF$1,'Tillförd energi'!$B$1:$AQ$1,0),FALSE)</f>
        <v>0.23599999999999999</v>
      </c>
      <c r="AG349" s="31">
        <f>IFERROR(VLOOKUP(B349,Miljö!$B$1:$AC$550,MATCH("Köpt mängd produktionsspecifik fjärrvärme:",Miljö!$B$1:$AC$1,0),FALSE)/1,0)</f>
        <v>0</v>
      </c>
      <c r="AI349" s="31">
        <f t="shared" si="115"/>
        <v>15.686</v>
      </c>
      <c r="AJ349" s="31">
        <f t="shared" si="116"/>
        <v>15.686</v>
      </c>
      <c r="AK349" s="31">
        <f>IF(ISERROR(1/VLOOKUP($B349,Leveranser!$B$1:$S$499,MATCH("Såld värme (GWh)",Leveranser!$B$1:$S$1,0),FALSE)),"",VLOOKUP($B349,Leveranser!$B$1:$S$499,MATCH("Såld värme (GWh)",Leveranser!$B$1:$S$1,0),FALSE))</f>
        <v>11.372</v>
      </c>
      <c r="AL349" s="31">
        <f>VLOOKUP($B349,Leveranser!$B$1:$Y$499,MATCH("Totalt såld fjärrvärme till andra fjärrvärmeföretag",Leveranser!$B$1:$AA$1,0),FALSE)</f>
        <v>0</v>
      </c>
      <c r="AM349" s="31">
        <f>IF(ISERROR(1/VLOOKUP($B349,Miljö!$B$1:$S$500,MATCH("Såld mängd produktionsspecifik fjärrvärme (GWh)",Miljö!$B$1:$R$1,0),FALSE)),0,VLOOKUP($B349,Miljö!$B$1:$S$500,MATCH("Såld mängd produktionsspecifik fjärrvärme (GWh)",Miljö!$B$1:$R$1,0),FALSE))</f>
        <v>0</v>
      </c>
      <c r="AN349" s="32">
        <f t="shared" si="117"/>
        <v>0.72497768710952437</v>
      </c>
      <c r="AP349" s="31" t="str">
        <f>IFERROR(VLOOKUP($B349,Miljövärden!$B$2:$H$550,7,FALSE),"Nej, saknas")</f>
        <v>Ja</v>
      </c>
      <c r="AQ349" s="31" t="str">
        <f>IFERROR(VLOOKUP($B349,Miljövärden!$B$2:$H$551,6,FALSE),"Nej, saknas")</f>
        <v>Ja</v>
      </c>
      <c r="AU349" s="31">
        <f t="shared" si="118"/>
        <v>0.23599999999999999</v>
      </c>
      <c r="AV349" s="31">
        <f t="shared" si="119"/>
        <v>0</v>
      </c>
      <c r="AW349" s="31">
        <f t="shared" si="120"/>
        <v>15.08</v>
      </c>
      <c r="AX349" s="31">
        <f t="shared" si="121"/>
        <v>0</v>
      </c>
      <c r="AZ349" s="31">
        <f t="shared" si="122"/>
        <v>15.45</v>
      </c>
      <c r="BC349" s="31">
        <f t="shared" si="123"/>
        <v>0</v>
      </c>
      <c r="BD349" s="31">
        <f t="shared" si="124"/>
        <v>0</v>
      </c>
      <c r="BE349" s="31">
        <f t="shared" si="125"/>
        <v>15.45</v>
      </c>
      <c r="BF349" s="31">
        <f t="shared" si="126"/>
        <v>0</v>
      </c>
      <c r="BG349" s="31">
        <f t="shared" si="127"/>
        <v>0.23599999999999999</v>
      </c>
      <c r="BH349" s="31">
        <f>VLOOKUP(B349,Miljö!$B$1:$BX$482,MATCH("Fossilandel för ursprungspecificerad el ()",Miljö!$B$1:$I$1,0),FALSE)</f>
        <v>0</v>
      </c>
      <c r="BI349" s="31">
        <f>VLOOKUP(B349,Miljö!$B$1:$BX$482,MATCH("Kärnkraftsandel för ursprungsspecificerad el ()",Miljö!$B$1:$O$1,0),FALSE)</f>
        <v>0</v>
      </c>
      <c r="BJ349" s="31">
        <f t="shared" si="128"/>
        <v>0</v>
      </c>
      <c r="BK349" s="31" t="str">
        <f>VLOOKUP(B349,Miljö!$B$1:$P$482,MATCH("Fossil andel i procent (%)",Miljö!$B$1:$P$1,0),FALSE)</f>
        <v>ET</v>
      </c>
      <c r="BL349" s="31">
        <f t="shared" si="129"/>
        <v>15.686</v>
      </c>
      <c r="BO349" s="32">
        <f t="shared" si="130"/>
        <v>0</v>
      </c>
      <c r="BP349" s="32">
        <f t="shared" si="131"/>
        <v>0</v>
      </c>
      <c r="BQ349" s="32">
        <f t="shared" si="132"/>
        <v>1</v>
      </c>
      <c r="BR349" s="32">
        <f t="shared" si="133"/>
        <v>0</v>
      </c>
      <c r="BT349" s="62">
        <f t="shared" si="134"/>
        <v>1</v>
      </c>
      <c r="BW349" s="32">
        <f>IF(AP349="Ja",VLOOKUP(B349,Miljövärden!$B$2:$H$551,MATCH("Total andel fossilt",Miljövärden!$B$2:$H$2,0),FALSE),"")</f>
        <v>0</v>
      </c>
      <c r="BX349" s="62">
        <f t="shared" si="135"/>
        <v>0</v>
      </c>
      <c r="BZ349" s="31">
        <f t="shared" si="136"/>
        <v>0</v>
      </c>
      <c r="CA349" s="32">
        <f t="shared" si="137"/>
        <v>0</v>
      </c>
    </row>
    <row r="350" spans="1:79" x14ac:dyDescent="0.45">
      <c r="A350" s="31" t="s">
        <v>225</v>
      </c>
      <c r="B350" s="31" t="s">
        <v>224</v>
      </c>
      <c r="C350" s="31">
        <f>VLOOKUP($B350,'Tillförd energi'!$B$1:$AI$720,MATCH(C$1,'Tillförd energi'!$B$1:$AQ$1,0),FALSE)</f>
        <v>0</v>
      </c>
      <c r="D350" s="31">
        <f>VLOOKUP($B350,'Tillförd energi'!$B$1:$AI$720,MATCH(D$1,'Tillförd energi'!$B$1:$AQ$1,0),FALSE)</f>
        <v>0.156807</v>
      </c>
      <c r="E350" s="31">
        <f>VLOOKUP($B350,'Tillförd energi'!$B$1:$AI$720,MATCH(E$1,'Tillförd energi'!$B$1:$AQ$1,0),FALSE)</f>
        <v>0.36</v>
      </c>
      <c r="F350" s="31">
        <f>VLOOKUP($B350,'Tillförd energi'!$B$1:$AI$720,MATCH(F$1,'Tillförd energi'!$B$1:$AQ$1,0),FALSE)</f>
        <v>0</v>
      </c>
      <c r="G350" s="31">
        <f>VLOOKUP($B350,'Tillförd energi'!$B$1:$AI$720,MATCH(G$1,'Tillförd energi'!$B$1:$AQ$1,0),FALSE)</f>
        <v>0</v>
      </c>
      <c r="H350" s="31">
        <f>VLOOKUP($B350,'Tillförd energi'!$B$1:$AI$720,MATCH(H$1,'Tillförd energi'!$B$1:$AQ$1,0),FALSE)</f>
        <v>0</v>
      </c>
      <c r="I350" s="31">
        <f>VLOOKUP($B350,'Tillförd energi'!$B$1:$AI$720,MATCH(I$1,'Tillförd energi'!$B$1:$AQ$1,0),FALSE)</f>
        <v>0</v>
      </c>
      <c r="J350" s="31">
        <f>VLOOKUP($B350,'Tillförd energi'!$B$1:$AI$720,MATCH(J$1,'Tillförd energi'!$B$1:$AQ$1,0),FALSE)</f>
        <v>3.09</v>
      </c>
      <c r="K350" s="31">
        <f>VLOOKUP($B350,'Tillförd energi'!$B$1:$AI$720,MATCH(K$1,'Tillförd energi'!$B$1:$AQ$1,0),FALSE)</f>
        <v>0</v>
      </c>
      <c r="L350" s="31">
        <f>VLOOKUP($B350,'Tillförd energi'!$B$1:$AI$720,MATCH(L$1,'Tillförd energi'!$B$1:$AQ$1,0),FALSE)</f>
        <v>0</v>
      </c>
      <c r="M350" s="31">
        <f>VLOOKUP($B350,'Tillförd energi'!$B$1:$AI$720,MATCH(M$1,'Tillförd energi'!$B$1:$AQ$1,0),FALSE)</f>
        <v>41.631900000000002</v>
      </c>
      <c r="N350" s="31">
        <f>VLOOKUP($B350,'Tillförd energi'!$B$1:$AI$720,MATCH(N$1,'Tillförd energi'!$B$1:$AQ$1,0),FALSE)</f>
        <v>47.654800000000002</v>
      </c>
      <c r="O350" s="31">
        <f>VLOOKUP($B350,'Tillförd energi'!$B$1:$AI$720,MATCH(O$1,'Tillförd energi'!$B$1:$AQ$1,0),FALSE)</f>
        <v>0</v>
      </c>
      <c r="P350" s="31">
        <f>VLOOKUP($B350,'Tillförd energi'!$B$1:$AI$720,MATCH(P$1,'Tillförd energi'!$B$1:$AQ$1,0),FALSE)</f>
        <v>3.9244300000000001</v>
      </c>
      <c r="Q350" s="31">
        <f>VLOOKUP($B350,'Tillförd energi'!$B$1:$AI$720,MATCH(Q$1,'Tillförd energi'!$B$1:$AQ$1,0),FALSE)</f>
        <v>0</v>
      </c>
      <c r="R350" s="31">
        <f>VLOOKUP($B350,'Tillförd energi'!$B$1:$AI$720,MATCH(R$1,'Tillförd energi'!$B$1:$AQ$1,0),FALSE)</f>
        <v>0</v>
      </c>
      <c r="S350" s="31">
        <f>VLOOKUP($B350,'Tillförd energi'!$B$1:$AI$720,MATCH(S$1,'Tillförd energi'!$B$1:$AQ$1,0),FALSE)</f>
        <v>0</v>
      </c>
      <c r="T350" s="31">
        <f>VLOOKUP($B350,'Tillförd energi'!$B$1:$AI$720,MATCH(T$1,'Tillförd energi'!$B$1:$AQ$1,0),FALSE)</f>
        <v>0</v>
      </c>
      <c r="U350" s="31">
        <f>VLOOKUP($B350,'Tillförd energi'!$B$1:$AI$720,MATCH(U$1,'Tillförd energi'!$B$1:$AQ$1,0),FALSE)</f>
        <v>0</v>
      </c>
      <c r="V350" s="31">
        <f>VLOOKUP($B350,'Tillförd energi'!$B$1:$AI$720,MATCH(V$1,'Tillförd energi'!$B$1:$AQ$1,0),FALSE)</f>
        <v>0</v>
      </c>
      <c r="W350" s="31">
        <f>VLOOKUP($B350,'Tillförd energi'!$B$1:$AI$720,MATCH(W$1,'Tillförd energi'!$B$1:$AQ$1,0),FALSE)</f>
        <v>0.1</v>
      </c>
      <c r="X350" s="31">
        <f>VLOOKUP($B350,'Tillförd energi'!$B$1:$AI$720,MATCH(X$1,'Tillförd energi'!$B$1:$AQ$1,0),FALSE)</f>
        <v>0</v>
      </c>
      <c r="Y350" s="31">
        <f>VLOOKUP($B350,'Tillförd energi'!$B$1:$AI$720,MATCH(Y$1,'Tillförd energi'!$B$1:$AQ$1,0),FALSE)</f>
        <v>0</v>
      </c>
      <c r="Z350" s="31">
        <f>VLOOKUP($B350,'Tillförd energi'!$B$1:$AI$720,MATCH(Z$1,'Tillförd energi'!$B$1:$AQ$1,0),FALSE)</f>
        <v>0</v>
      </c>
      <c r="AA350" s="31">
        <f>VLOOKUP($B350,'Tillförd energi'!$B$1:$AI$720,MATCH(AA$1,'Tillförd energi'!$B$1:$AQ$1,0),FALSE)</f>
        <v>0</v>
      </c>
      <c r="AB350" s="31">
        <f>VLOOKUP($B350,'Tillförd energi'!$B$1:$AI$720,MATCH(AB$1,'Tillförd energi'!$B$1:$AQ$1,0),FALSE)</f>
        <v>0</v>
      </c>
      <c r="AC350" s="31">
        <f>VLOOKUP($B350,'Tillförd energi'!$B$1:$AI$720,MATCH(AC$1,'Tillförd energi'!$B$1:$AQ$1,0),FALSE)</f>
        <v>19.946000000000002</v>
      </c>
      <c r="AD350" s="31">
        <f>VLOOKUP($B350,'Tillförd energi'!$B$1:$AI$720,MATCH(AD$1,'Tillförd energi'!$B$1:$AQ$1,0),FALSE)</f>
        <v>0</v>
      </c>
      <c r="AE350" s="31">
        <f>VLOOKUP($B350,'Tillförd energi'!$B$1:$AI$720,MATCH(AE$1,'Tillförd energi'!$B$1:$AQ$1,0),FALSE)</f>
        <v>0</v>
      </c>
      <c r="AF350" s="31">
        <f>VLOOKUP($B350,'Tillförd energi'!$B$1:$AI$720,MATCH(AF$1,'Tillförd energi'!$B$1:$AQ$1,0),FALSE)</f>
        <v>0.971777</v>
      </c>
      <c r="AG350" s="31">
        <f>IFERROR(VLOOKUP(B350,Miljö!$B$1:$AC$550,MATCH("Köpt mängd produktionsspecifik fjärrvärme:",Miljö!$B$1:$AC$1,0),FALSE)/1,0)</f>
        <v>0</v>
      </c>
      <c r="AI350" s="31">
        <f t="shared" si="115"/>
        <v>117.835714</v>
      </c>
      <c r="AJ350" s="31">
        <f t="shared" si="116"/>
        <v>117.835714</v>
      </c>
      <c r="AK350" s="31">
        <f>IF(ISERROR(1/VLOOKUP($B350,Leveranser!$B$1:$S$499,MATCH("Såld värme (GWh)",Leveranser!$B$1:$S$1,0),FALSE)),"",VLOOKUP($B350,Leveranser!$B$1:$S$499,MATCH("Såld värme (GWh)",Leveranser!$B$1:$S$1,0),FALSE))</f>
        <v>103.509</v>
      </c>
      <c r="AL350" s="31">
        <f>VLOOKUP($B350,Leveranser!$B$1:$Y$499,MATCH("Totalt såld fjärrvärme till andra fjärrvärmeföretag",Leveranser!$B$1:$AA$1,0),FALSE)</f>
        <v>0</v>
      </c>
      <c r="AM350" s="31">
        <f>IF(ISERROR(1/VLOOKUP($B350,Miljö!$B$1:$S$500,MATCH("Såld mängd produktionsspecifik fjärrvärme (GWh)",Miljö!$B$1:$R$1,0),FALSE)),0,VLOOKUP($B350,Miljö!$B$1:$S$500,MATCH("Såld mängd produktionsspecifik fjärrvärme (GWh)",Miljö!$B$1:$R$1,0),FALSE))</f>
        <v>0</v>
      </c>
      <c r="AN350" s="32">
        <f t="shared" si="117"/>
        <v>0.87841789629246025</v>
      </c>
      <c r="AP350" s="31" t="str">
        <f>IFERROR(VLOOKUP($B350,Miljövärden!$B$2:$H$550,7,FALSE),"Nej, saknas")</f>
        <v>Ja</v>
      </c>
      <c r="AQ350" s="31" t="str">
        <f>IFERROR(VLOOKUP($B350,Miljövärden!$B$2:$H$551,6,FALSE),"Nej, saknas")</f>
        <v>Ja</v>
      </c>
      <c r="AU350" s="31">
        <f t="shared" si="118"/>
        <v>0.971777</v>
      </c>
      <c r="AV350" s="31">
        <f t="shared" si="119"/>
        <v>0</v>
      </c>
      <c r="AW350" s="31">
        <f t="shared" si="120"/>
        <v>93.211129999999997</v>
      </c>
      <c r="AX350" s="31">
        <f t="shared" si="121"/>
        <v>0</v>
      </c>
      <c r="AZ350" s="31">
        <f t="shared" si="122"/>
        <v>93.311129999999991</v>
      </c>
      <c r="BC350" s="31">
        <f t="shared" si="123"/>
        <v>0.51680700000000002</v>
      </c>
      <c r="BD350" s="31">
        <f t="shared" si="124"/>
        <v>0</v>
      </c>
      <c r="BE350" s="31">
        <f t="shared" si="125"/>
        <v>93.311129999999991</v>
      </c>
      <c r="BF350" s="31">
        <f t="shared" si="126"/>
        <v>23.036000000000001</v>
      </c>
      <c r="BG350" s="31">
        <f t="shared" si="127"/>
        <v>0.971777</v>
      </c>
      <c r="BH350" s="31">
        <f>VLOOKUP(B350,Miljö!$B$1:$BX$482,MATCH("Fossilandel för ursprungspecificerad el ()",Miljö!$B$1:$I$1,0),FALSE)</f>
        <v>0</v>
      </c>
      <c r="BI350" s="31">
        <f>VLOOKUP(B350,Miljö!$B$1:$BX$482,MATCH("Kärnkraftsandel för ursprungsspecificerad el ()",Miljö!$B$1:$O$1,0),FALSE)</f>
        <v>0</v>
      </c>
      <c r="BJ350" s="31">
        <f t="shared" si="128"/>
        <v>0</v>
      </c>
      <c r="BK350" s="31" t="str">
        <f>VLOOKUP(B350,Miljö!$B$1:$P$482,MATCH("Fossil andel i procent (%)",Miljö!$B$1:$P$1,0),FALSE)</f>
        <v>ET</v>
      </c>
      <c r="BL350" s="31">
        <f t="shared" si="129"/>
        <v>117.835714</v>
      </c>
      <c r="BO350" s="32">
        <f t="shared" si="130"/>
        <v>4.3858265245458605E-3</v>
      </c>
      <c r="BP350" s="32">
        <f t="shared" si="131"/>
        <v>0</v>
      </c>
      <c r="BQ350" s="32">
        <f t="shared" si="132"/>
        <v>0.8001216592110606</v>
      </c>
      <c r="BR350" s="32">
        <f t="shared" si="133"/>
        <v>0.19549251426439357</v>
      </c>
      <c r="BT350" s="62">
        <f t="shared" si="134"/>
        <v>1</v>
      </c>
      <c r="BW350" s="32">
        <f>IF(AP350="Ja",VLOOKUP(B350,Miljövärden!$B$2:$H$551,MATCH("Total andel fossilt",Miljövärden!$B$2:$H$2,0),FALSE),"")</f>
        <v>4.3858200000000003E-3</v>
      </c>
      <c r="BX350" s="62">
        <f t="shared" si="135"/>
        <v>-6.5245458601842499E-9</v>
      </c>
      <c r="BZ350" s="31">
        <f t="shared" si="136"/>
        <v>-6.5245458601842499E-9</v>
      </c>
      <c r="CA350" s="32">
        <f t="shared" si="137"/>
        <v>0</v>
      </c>
    </row>
    <row r="351" spans="1:79" x14ac:dyDescent="0.45">
      <c r="A351" s="31" t="s">
        <v>221</v>
      </c>
      <c r="B351" s="31" t="s">
        <v>223</v>
      </c>
      <c r="C351" s="31">
        <f>VLOOKUP($B351,'Tillförd energi'!$B$1:$AI$720,MATCH(C$1,'Tillförd energi'!$B$1:$AQ$1,0),FALSE)</f>
        <v>0</v>
      </c>
      <c r="D351" s="31">
        <f>VLOOKUP($B351,'Tillförd energi'!$B$1:$AI$720,MATCH(D$1,'Tillförd energi'!$B$1:$AQ$1,0),FALSE)</f>
        <v>7.9000000000000001E-2</v>
      </c>
      <c r="E351" s="31">
        <f>VLOOKUP($B351,'Tillförd energi'!$B$1:$AI$720,MATCH(E$1,'Tillförd energi'!$B$1:$AQ$1,0),FALSE)</f>
        <v>0</v>
      </c>
      <c r="F351" s="31">
        <f>VLOOKUP($B351,'Tillförd energi'!$B$1:$AI$720,MATCH(F$1,'Tillförd energi'!$B$1:$AQ$1,0),FALSE)</f>
        <v>0</v>
      </c>
      <c r="G351" s="31">
        <f>VLOOKUP($B351,'Tillförd energi'!$B$1:$AI$720,MATCH(G$1,'Tillförd energi'!$B$1:$AQ$1,0),FALSE)</f>
        <v>0</v>
      </c>
      <c r="H351" s="31">
        <f>VLOOKUP($B351,'Tillförd energi'!$B$1:$AI$720,MATCH(H$1,'Tillförd energi'!$B$1:$AQ$1,0),FALSE)</f>
        <v>0</v>
      </c>
      <c r="I351" s="31">
        <f>VLOOKUP($B351,'Tillförd energi'!$B$1:$AI$720,MATCH(I$1,'Tillförd energi'!$B$1:$AQ$1,0),FALSE)</f>
        <v>0</v>
      </c>
      <c r="J351" s="31">
        <f>VLOOKUP($B351,'Tillförd energi'!$B$1:$AI$720,MATCH(J$1,'Tillförd energi'!$B$1:$AQ$1,0),FALSE)</f>
        <v>0</v>
      </c>
      <c r="K351" s="31">
        <f>VLOOKUP($B351,'Tillförd energi'!$B$1:$AI$720,MATCH(K$1,'Tillförd energi'!$B$1:$AQ$1,0),FALSE)</f>
        <v>0</v>
      </c>
      <c r="L351" s="31">
        <f>VLOOKUP($B351,'Tillförd energi'!$B$1:$AI$720,MATCH(L$1,'Tillförd energi'!$B$1:$AQ$1,0),FALSE)</f>
        <v>0</v>
      </c>
      <c r="M351" s="31">
        <f>VLOOKUP($B351,'Tillförd energi'!$B$1:$AI$720,MATCH(M$1,'Tillförd energi'!$B$1:$AQ$1,0),FALSE)</f>
        <v>0</v>
      </c>
      <c r="N351" s="31">
        <f>VLOOKUP($B351,'Tillförd energi'!$B$1:$AI$720,MATCH(N$1,'Tillförd energi'!$B$1:$AQ$1,0),FALSE)</f>
        <v>0</v>
      </c>
      <c r="O351" s="31">
        <f>VLOOKUP($B351,'Tillförd energi'!$B$1:$AI$720,MATCH(O$1,'Tillförd energi'!$B$1:$AQ$1,0),FALSE)</f>
        <v>0</v>
      </c>
      <c r="P351" s="31">
        <f>VLOOKUP($B351,'Tillförd energi'!$B$1:$AI$720,MATCH(P$1,'Tillförd energi'!$B$1:$AQ$1,0),FALSE)</f>
        <v>0</v>
      </c>
      <c r="Q351" s="31">
        <f>VLOOKUP($B351,'Tillförd energi'!$B$1:$AI$720,MATCH(Q$1,'Tillförd energi'!$B$1:$AQ$1,0),FALSE)</f>
        <v>0</v>
      </c>
      <c r="R351" s="31">
        <f>VLOOKUP($B351,'Tillförd energi'!$B$1:$AI$720,MATCH(R$1,'Tillförd energi'!$B$1:$AQ$1,0),FALSE)</f>
        <v>0.18</v>
      </c>
      <c r="S351" s="31">
        <f>VLOOKUP($B351,'Tillförd energi'!$B$1:$AI$720,MATCH(S$1,'Tillförd energi'!$B$1:$AQ$1,0),FALSE)</f>
        <v>2.71</v>
      </c>
      <c r="T351" s="31">
        <f>VLOOKUP($B351,'Tillförd energi'!$B$1:$AI$720,MATCH(T$1,'Tillförd energi'!$B$1:$AQ$1,0),FALSE)</f>
        <v>0</v>
      </c>
      <c r="U351" s="31">
        <f>VLOOKUP($B351,'Tillförd energi'!$B$1:$AI$720,MATCH(U$1,'Tillförd energi'!$B$1:$AQ$1,0),FALSE)</f>
        <v>0</v>
      </c>
      <c r="V351" s="31">
        <f>VLOOKUP($B351,'Tillförd energi'!$B$1:$AI$720,MATCH(V$1,'Tillförd energi'!$B$1:$AQ$1,0),FALSE)</f>
        <v>0</v>
      </c>
      <c r="W351" s="31">
        <f>VLOOKUP($B351,'Tillförd energi'!$B$1:$AI$720,MATCH(W$1,'Tillförd energi'!$B$1:$AQ$1,0),FALSE)</f>
        <v>0</v>
      </c>
      <c r="X351" s="31">
        <f>VLOOKUP($B351,'Tillförd energi'!$B$1:$AI$720,MATCH(X$1,'Tillförd energi'!$B$1:$AQ$1,0),FALSE)</f>
        <v>0</v>
      </c>
      <c r="Y351" s="31">
        <f>VLOOKUP($B351,'Tillförd energi'!$B$1:$AI$720,MATCH(Y$1,'Tillförd energi'!$B$1:$AQ$1,0),FALSE)</f>
        <v>0</v>
      </c>
      <c r="Z351" s="31">
        <f>VLOOKUP($B351,'Tillförd energi'!$B$1:$AI$720,MATCH(Z$1,'Tillförd energi'!$B$1:$AQ$1,0),FALSE)</f>
        <v>0</v>
      </c>
      <c r="AA351" s="31">
        <f>VLOOKUP($B351,'Tillförd energi'!$B$1:$AI$720,MATCH(AA$1,'Tillförd energi'!$B$1:$AQ$1,0),FALSE)</f>
        <v>0</v>
      </c>
      <c r="AB351" s="31">
        <f>VLOOKUP($B351,'Tillförd energi'!$B$1:$AI$720,MATCH(AB$1,'Tillförd energi'!$B$1:$AQ$1,0),FALSE)</f>
        <v>0</v>
      </c>
      <c r="AC351" s="31">
        <f>VLOOKUP($B351,'Tillförd energi'!$B$1:$AI$720,MATCH(AC$1,'Tillförd energi'!$B$1:$AQ$1,0),FALSE)</f>
        <v>0</v>
      </c>
      <c r="AD351" s="31">
        <f>VLOOKUP($B351,'Tillförd energi'!$B$1:$AI$720,MATCH(AD$1,'Tillförd energi'!$B$1:$AQ$1,0),FALSE)</f>
        <v>0</v>
      </c>
      <c r="AE351" s="31">
        <f>VLOOKUP($B351,'Tillförd energi'!$B$1:$AI$720,MATCH(AE$1,'Tillförd energi'!$B$1:$AQ$1,0),FALSE)</f>
        <v>0</v>
      </c>
      <c r="AF351" s="31">
        <f>VLOOKUP($B351,'Tillförd energi'!$B$1:$AI$720,MATCH(AF$1,'Tillförd energi'!$B$1:$AQ$1,0),FALSE)</f>
        <v>4.8000000000000001E-2</v>
      </c>
      <c r="AG351" s="31">
        <f>IFERROR(VLOOKUP(B351,Miljö!$B$1:$AC$550,MATCH("Köpt mängd produktionsspecifik fjärrvärme:",Miljö!$B$1:$AC$1,0),FALSE)/1,0)</f>
        <v>0</v>
      </c>
      <c r="AI351" s="31">
        <f t="shared" si="115"/>
        <v>3.0169999999999999</v>
      </c>
      <c r="AJ351" s="31">
        <f t="shared" si="116"/>
        <v>3.0169999999999999</v>
      </c>
      <c r="AK351" s="31">
        <f>IF(ISERROR(1/VLOOKUP($B351,Leveranser!$B$1:$S$499,MATCH("Såld värme (GWh)",Leveranser!$B$1:$S$1,0),FALSE)),"",VLOOKUP($B351,Leveranser!$B$1:$S$499,MATCH("Såld värme (GWh)",Leveranser!$B$1:$S$1,0),FALSE))</f>
        <v>2.23</v>
      </c>
      <c r="AL351" s="31">
        <f>VLOOKUP($B351,Leveranser!$B$1:$Y$499,MATCH("Totalt såld fjärrvärme till andra fjärrvärmeföretag",Leveranser!$B$1:$AA$1,0),FALSE)</f>
        <v>0</v>
      </c>
      <c r="AM351" s="31">
        <f>IF(ISERROR(1/VLOOKUP($B351,Miljö!$B$1:$S$500,MATCH("Såld mängd produktionsspecifik fjärrvärme (GWh)",Miljö!$B$1:$R$1,0),FALSE)),0,VLOOKUP($B351,Miljö!$B$1:$S$500,MATCH("Såld mängd produktionsspecifik fjärrvärme (GWh)",Miljö!$B$1:$R$1,0),FALSE))</f>
        <v>0</v>
      </c>
      <c r="AN351" s="32">
        <f t="shared" si="117"/>
        <v>0.73914484587338414</v>
      </c>
      <c r="AP351" s="31" t="str">
        <f>IFERROR(VLOOKUP($B351,Miljövärden!$B$2:$H$550,7,FALSE),"Nej, saknas")</f>
        <v>Ja</v>
      </c>
      <c r="AQ351" s="31" t="str">
        <f>IFERROR(VLOOKUP($B351,Miljövärden!$B$2:$H$551,6,FALSE),"Nej, saknas")</f>
        <v>Ja</v>
      </c>
      <c r="AU351" s="31">
        <f t="shared" si="118"/>
        <v>4.8000000000000001E-2</v>
      </c>
      <c r="AV351" s="31">
        <f t="shared" si="119"/>
        <v>0</v>
      </c>
      <c r="AW351" s="31">
        <f t="shared" si="120"/>
        <v>0</v>
      </c>
      <c r="AX351" s="31">
        <f t="shared" si="121"/>
        <v>2.89</v>
      </c>
      <c r="AZ351" s="31">
        <f t="shared" si="122"/>
        <v>2.89</v>
      </c>
      <c r="BC351" s="31">
        <f t="shared" si="123"/>
        <v>7.9000000000000001E-2</v>
      </c>
      <c r="BD351" s="31">
        <f t="shared" si="124"/>
        <v>0</v>
      </c>
      <c r="BE351" s="31">
        <f t="shared" si="125"/>
        <v>2.89</v>
      </c>
      <c r="BF351" s="31">
        <f t="shared" si="126"/>
        <v>0</v>
      </c>
      <c r="BG351" s="31">
        <f t="shared" si="127"/>
        <v>4.8000000000000001E-2</v>
      </c>
      <c r="BH351" s="31">
        <f>VLOOKUP(B351,Miljö!$B$1:$BX$482,MATCH("Fossilandel för ursprungspecificerad el ()",Miljö!$B$1:$I$1,0),FALSE)</f>
        <v>0</v>
      </c>
      <c r="BI351" s="31">
        <f>VLOOKUP(B351,Miljö!$B$1:$BX$482,MATCH("Kärnkraftsandel för ursprungsspecificerad el ()",Miljö!$B$1:$O$1,0),FALSE)</f>
        <v>0</v>
      </c>
      <c r="BJ351" s="31">
        <f t="shared" si="128"/>
        <v>0</v>
      </c>
      <c r="BK351" s="31" t="str">
        <f>VLOOKUP(B351,Miljö!$B$1:$P$482,MATCH("Fossil andel i procent (%)",Miljö!$B$1:$P$1,0),FALSE)</f>
        <v>ET</v>
      </c>
      <c r="BL351" s="31">
        <f t="shared" si="129"/>
        <v>3.0170000000000003</v>
      </c>
      <c r="BO351" s="32">
        <f t="shared" si="130"/>
        <v>2.6184951939012262E-2</v>
      </c>
      <c r="BP351" s="32">
        <f t="shared" si="131"/>
        <v>0</v>
      </c>
      <c r="BQ351" s="32">
        <f t="shared" si="132"/>
        <v>0.97381504806098773</v>
      </c>
      <c r="BR351" s="32">
        <f t="shared" si="133"/>
        <v>0</v>
      </c>
      <c r="BT351" s="62">
        <f t="shared" si="134"/>
        <v>1</v>
      </c>
      <c r="BW351" s="32">
        <f>IF(AP351="Ja",VLOOKUP(B351,Miljövärden!$B$2:$H$551,MATCH("Total andel fossilt",Miljövärden!$B$2:$H$2,0),FALSE),"")</f>
        <v>2.6185E-2</v>
      </c>
      <c r="BX351" s="62">
        <f t="shared" si="135"/>
        <v>4.8060987738185457E-8</v>
      </c>
      <c r="BZ351" s="31">
        <f t="shared" si="136"/>
        <v>4.8060987738185457E-8</v>
      </c>
      <c r="CA351" s="32">
        <f t="shared" si="137"/>
        <v>0</v>
      </c>
    </row>
    <row r="352" spans="1:79" x14ac:dyDescent="0.45">
      <c r="A352" s="31" t="s">
        <v>221</v>
      </c>
      <c r="B352" s="31" t="s">
        <v>222</v>
      </c>
      <c r="C352" s="31">
        <f>VLOOKUP($B352,'Tillförd energi'!$B$1:$AI$720,MATCH(C$1,'Tillförd energi'!$B$1:$AQ$1,0),FALSE)</f>
        <v>0</v>
      </c>
      <c r="D352" s="31">
        <f>VLOOKUP($B352,'Tillförd energi'!$B$1:$AI$720,MATCH(D$1,'Tillförd energi'!$B$1:$AQ$1,0),FALSE)</f>
        <v>0.360404</v>
      </c>
      <c r="E352" s="31">
        <f>VLOOKUP($B352,'Tillförd energi'!$B$1:$AI$720,MATCH(E$1,'Tillförd energi'!$B$1:$AQ$1,0),FALSE)</f>
        <v>0</v>
      </c>
      <c r="F352" s="31">
        <f>VLOOKUP($B352,'Tillförd energi'!$B$1:$AI$720,MATCH(F$1,'Tillförd energi'!$B$1:$AQ$1,0),FALSE)</f>
        <v>0</v>
      </c>
      <c r="G352" s="31">
        <f>VLOOKUP($B352,'Tillförd energi'!$B$1:$AI$720,MATCH(G$1,'Tillförd energi'!$B$1:$AQ$1,0),FALSE)</f>
        <v>0</v>
      </c>
      <c r="H352" s="31">
        <f>VLOOKUP($B352,'Tillförd energi'!$B$1:$AI$720,MATCH(H$1,'Tillförd energi'!$B$1:$AQ$1,0),FALSE)</f>
        <v>0</v>
      </c>
      <c r="I352" s="31">
        <f>VLOOKUP($B352,'Tillförd energi'!$B$1:$AI$720,MATCH(I$1,'Tillförd energi'!$B$1:$AQ$1,0),FALSE)</f>
        <v>0</v>
      </c>
      <c r="J352" s="31">
        <f>VLOOKUP($B352,'Tillförd energi'!$B$1:$AI$720,MATCH(J$1,'Tillförd energi'!$B$1:$AQ$1,0),FALSE)</f>
        <v>0</v>
      </c>
      <c r="K352" s="31">
        <f>VLOOKUP($B352,'Tillförd energi'!$B$1:$AI$720,MATCH(K$1,'Tillförd energi'!$B$1:$AQ$1,0),FALSE)</f>
        <v>0</v>
      </c>
      <c r="L352" s="31">
        <f>VLOOKUP($B352,'Tillförd energi'!$B$1:$AI$720,MATCH(L$1,'Tillförd energi'!$B$1:$AQ$1,0),FALSE)</f>
        <v>100.065</v>
      </c>
      <c r="M352" s="31">
        <f>VLOOKUP($B352,'Tillförd energi'!$B$1:$AI$720,MATCH(M$1,'Tillförd energi'!$B$1:$AQ$1,0),FALSE)</f>
        <v>0</v>
      </c>
      <c r="N352" s="31">
        <f>VLOOKUP($B352,'Tillförd energi'!$B$1:$AI$720,MATCH(N$1,'Tillförd energi'!$B$1:$AQ$1,0),FALSE)</f>
        <v>0</v>
      </c>
      <c r="O352" s="31">
        <f>VLOOKUP($B352,'Tillförd energi'!$B$1:$AI$720,MATCH(O$1,'Tillförd energi'!$B$1:$AQ$1,0),FALSE)</f>
        <v>0</v>
      </c>
      <c r="P352" s="31">
        <f>VLOOKUP($B352,'Tillförd energi'!$B$1:$AI$720,MATCH(P$1,'Tillförd energi'!$B$1:$AQ$1,0),FALSE)</f>
        <v>0</v>
      </c>
      <c r="Q352" s="31">
        <f>VLOOKUP($B352,'Tillförd energi'!$B$1:$AI$720,MATCH(Q$1,'Tillförd energi'!$B$1:$AQ$1,0),FALSE)</f>
        <v>0</v>
      </c>
      <c r="R352" s="31">
        <f>VLOOKUP($B352,'Tillförd energi'!$B$1:$AI$720,MATCH(R$1,'Tillförd energi'!$B$1:$AQ$1,0),FALSE)</f>
        <v>0</v>
      </c>
      <c r="S352" s="31">
        <f>VLOOKUP($B352,'Tillförd energi'!$B$1:$AI$720,MATCH(S$1,'Tillförd energi'!$B$1:$AQ$1,0),FALSE)</f>
        <v>0</v>
      </c>
      <c r="T352" s="31">
        <f>VLOOKUP($B352,'Tillförd energi'!$B$1:$AI$720,MATCH(T$1,'Tillförd energi'!$B$1:$AQ$1,0),FALSE)</f>
        <v>0</v>
      </c>
      <c r="U352" s="31">
        <f>VLOOKUP($B352,'Tillförd energi'!$B$1:$AI$720,MATCH(U$1,'Tillförd energi'!$B$1:$AQ$1,0),FALSE)</f>
        <v>0</v>
      </c>
      <c r="V352" s="31">
        <f>VLOOKUP($B352,'Tillförd energi'!$B$1:$AI$720,MATCH(V$1,'Tillförd energi'!$B$1:$AQ$1,0),FALSE)</f>
        <v>0</v>
      </c>
      <c r="W352" s="31">
        <f>VLOOKUP($B352,'Tillförd energi'!$B$1:$AI$720,MATCH(W$1,'Tillförd energi'!$B$1:$AQ$1,0),FALSE)</f>
        <v>0</v>
      </c>
      <c r="X352" s="31">
        <f>VLOOKUP($B352,'Tillförd energi'!$B$1:$AI$720,MATCH(X$1,'Tillförd energi'!$B$1:$AQ$1,0),FALSE)</f>
        <v>0</v>
      </c>
      <c r="Y352" s="31">
        <f>VLOOKUP($B352,'Tillförd energi'!$B$1:$AI$720,MATCH(Y$1,'Tillförd energi'!$B$1:$AQ$1,0),FALSE)</f>
        <v>0</v>
      </c>
      <c r="Z352" s="31">
        <f>VLOOKUP($B352,'Tillförd energi'!$B$1:$AI$720,MATCH(Z$1,'Tillförd energi'!$B$1:$AQ$1,0),FALSE)</f>
        <v>0</v>
      </c>
      <c r="AA352" s="31">
        <f>VLOOKUP($B352,'Tillförd energi'!$B$1:$AI$720,MATCH(AA$1,'Tillförd energi'!$B$1:$AQ$1,0),FALSE)</f>
        <v>0</v>
      </c>
      <c r="AB352" s="31">
        <f>VLOOKUP($B352,'Tillförd energi'!$B$1:$AI$720,MATCH(AB$1,'Tillförd energi'!$B$1:$AQ$1,0),FALSE)</f>
        <v>0</v>
      </c>
      <c r="AC352" s="31">
        <f>VLOOKUP($B352,'Tillförd energi'!$B$1:$AI$720,MATCH(AC$1,'Tillförd energi'!$B$1:$AQ$1,0),FALSE)</f>
        <v>32</v>
      </c>
      <c r="AD352" s="31">
        <f>VLOOKUP($B352,'Tillförd energi'!$B$1:$AI$720,MATCH(AD$1,'Tillförd energi'!$B$1:$AQ$1,0),FALSE)</f>
        <v>0.4</v>
      </c>
      <c r="AE352" s="31">
        <f>VLOOKUP($B352,'Tillförd energi'!$B$1:$AI$720,MATCH(AE$1,'Tillförd energi'!$B$1:$AQ$1,0),FALSE)</f>
        <v>0</v>
      </c>
      <c r="AF352" s="31">
        <f>VLOOKUP($B352,'Tillförd energi'!$B$1:$AI$720,MATCH(AF$1,'Tillförd energi'!$B$1:$AQ$1,0),FALSE)</f>
        <v>2.1352899999999999</v>
      </c>
      <c r="AG352" s="31">
        <f>IFERROR(VLOOKUP(B352,Miljö!$B$1:$AC$550,MATCH("Köpt mängd produktionsspecifik fjärrvärme:",Miljö!$B$1:$AC$1,0),FALSE)/1,0)</f>
        <v>0</v>
      </c>
      <c r="AI352" s="31">
        <f t="shared" si="115"/>
        <v>134.96069400000002</v>
      </c>
      <c r="AJ352" s="31">
        <f t="shared" si="116"/>
        <v>134.96069400000002</v>
      </c>
      <c r="AK352" s="31">
        <f>IF(ISERROR(1/VLOOKUP($B352,Leveranser!$B$1:$S$499,MATCH("Såld värme (GWh)",Leveranser!$B$1:$S$1,0),FALSE)),"",VLOOKUP($B352,Leveranser!$B$1:$S$499,MATCH("Såld värme (GWh)",Leveranser!$B$1:$S$1,0),FALSE))</f>
        <v>125.908</v>
      </c>
      <c r="AL352" s="31">
        <f>VLOOKUP($B352,Leveranser!$B$1:$Y$499,MATCH("Totalt såld fjärrvärme till andra fjärrvärmeföretag",Leveranser!$B$1:$AA$1,0),FALSE)</f>
        <v>0</v>
      </c>
      <c r="AM352" s="31">
        <f>IF(ISERROR(1/VLOOKUP($B352,Miljö!$B$1:$S$500,MATCH("Såld mängd produktionsspecifik fjärrvärme (GWh)",Miljö!$B$1:$R$1,0),FALSE)),0,VLOOKUP($B352,Miljö!$B$1:$S$500,MATCH("Såld mängd produktionsspecifik fjärrvärme (GWh)",Miljö!$B$1:$R$1,0),FALSE))</f>
        <v>0</v>
      </c>
      <c r="AN352" s="32">
        <f t="shared" si="117"/>
        <v>0.93292347770529382</v>
      </c>
      <c r="AP352" s="31" t="str">
        <f>IFERROR(VLOOKUP($B352,Miljövärden!$B$2:$H$550,7,FALSE),"Nej, saknas")</f>
        <v>Ja</v>
      </c>
      <c r="AQ352" s="31" t="str">
        <f>IFERROR(VLOOKUP($B352,Miljövärden!$B$2:$H$551,6,FALSE),"Nej, saknas")</f>
        <v>Ja</v>
      </c>
      <c r="AU352" s="31">
        <f t="shared" si="118"/>
        <v>2.1352899999999999</v>
      </c>
      <c r="AV352" s="31">
        <f t="shared" si="119"/>
        <v>0</v>
      </c>
      <c r="AW352" s="31">
        <f t="shared" si="120"/>
        <v>0</v>
      </c>
      <c r="AX352" s="31">
        <f t="shared" si="121"/>
        <v>0</v>
      </c>
      <c r="AZ352" s="31">
        <f t="shared" si="122"/>
        <v>100.065</v>
      </c>
      <c r="BC352" s="31">
        <f t="shared" si="123"/>
        <v>0.360404</v>
      </c>
      <c r="BD352" s="31">
        <f t="shared" si="124"/>
        <v>0</v>
      </c>
      <c r="BE352" s="31">
        <f t="shared" si="125"/>
        <v>0</v>
      </c>
      <c r="BF352" s="31">
        <f t="shared" si="126"/>
        <v>132.465</v>
      </c>
      <c r="BG352" s="31">
        <f t="shared" si="127"/>
        <v>2.1352899999999999</v>
      </c>
      <c r="BH352" s="31">
        <f>VLOOKUP(B352,Miljö!$B$1:$BX$482,MATCH("Fossilandel för ursprungspecificerad el ()",Miljö!$B$1:$I$1,0),FALSE)</f>
        <v>0</v>
      </c>
      <c r="BI352" s="31">
        <f>VLOOKUP(B352,Miljö!$B$1:$BX$482,MATCH("Kärnkraftsandel för ursprungsspecificerad el ()",Miljö!$B$1:$O$1,0),FALSE)</f>
        <v>0</v>
      </c>
      <c r="BJ352" s="31">
        <f t="shared" si="128"/>
        <v>0</v>
      </c>
      <c r="BK352" s="31" t="str">
        <f>VLOOKUP(B352,Miljö!$B$1:$P$482,MATCH("Fossil andel i procent (%)",Miljö!$B$1:$P$1,0),FALSE)</f>
        <v>ET</v>
      </c>
      <c r="BL352" s="31">
        <f t="shared" si="129"/>
        <v>134.96069399999999</v>
      </c>
      <c r="BO352" s="32">
        <f t="shared" si="130"/>
        <v>2.6704367717611177E-3</v>
      </c>
      <c r="BP352" s="32">
        <f t="shared" si="131"/>
        <v>0</v>
      </c>
      <c r="BQ352" s="32">
        <f t="shared" si="132"/>
        <v>1.5821569500820736E-2</v>
      </c>
      <c r="BR352" s="32">
        <f t="shared" si="133"/>
        <v>0.98150799372741826</v>
      </c>
      <c r="BT352" s="62">
        <f t="shared" si="134"/>
        <v>1.0000000000000002</v>
      </c>
      <c r="BW352" s="32">
        <f>IF(AP352="Ja",VLOOKUP(B352,Miljövärden!$B$2:$H$551,MATCH("Total andel fossilt",Miljövärden!$B$2:$H$2,0),FALSE),"")</f>
        <v>2.6704300000000001E-3</v>
      </c>
      <c r="BX352" s="62">
        <f t="shared" si="135"/>
        <v>-6.7717611175639736E-9</v>
      </c>
      <c r="BZ352" s="31">
        <f t="shared" si="136"/>
        <v>-6.7717611175639736E-9</v>
      </c>
      <c r="CA352" s="32">
        <f t="shared" si="137"/>
        <v>0</v>
      </c>
    </row>
    <row r="353" spans="1:79" x14ac:dyDescent="0.45">
      <c r="A353" s="31" t="s">
        <v>221</v>
      </c>
      <c r="B353" s="31" t="s">
        <v>220</v>
      </c>
      <c r="C353" s="31">
        <f>VLOOKUP($B353,'Tillförd energi'!$B$1:$AI$720,MATCH(C$1,'Tillförd energi'!$B$1:$AQ$1,0),FALSE)</f>
        <v>0</v>
      </c>
      <c r="D353" s="31">
        <f>VLOOKUP($B353,'Tillförd energi'!$B$1:$AI$720,MATCH(D$1,'Tillförd energi'!$B$1:$AQ$1,0),FALSE)</f>
        <v>0</v>
      </c>
      <c r="E353" s="31">
        <f>VLOOKUP($B353,'Tillförd energi'!$B$1:$AI$720,MATCH(E$1,'Tillförd energi'!$B$1:$AQ$1,0),FALSE)</f>
        <v>0</v>
      </c>
      <c r="F353" s="31">
        <f>VLOOKUP($B353,'Tillförd energi'!$B$1:$AI$720,MATCH(F$1,'Tillförd energi'!$B$1:$AQ$1,0),FALSE)</f>
        <v>0</v>
      </c>
      <c r="G353" s="31">
        <f>VLOOKUP($B353,'Tillförd energi'!$B$1:$AI$720,MATCH(G$1,'Tillförd energi'!$B$1:$AQ$1,0),FALSE)</f>
        <v>0</v>
      </c>
      <c r="H353" s="31">
        <f>VLOOKUP($B353,'Tillförd energi'!$B$1:$AI$720,MATCH(H$1,'Tillförd energi'!$B$1:$AQ$1,0),FALSE)</f>
        <v>0</v>
      </c>
      <c r="I353" s="31">
        <f>VLOOKUP($B353,'Tillförd energi'!$B$1:$AI$720,MATCH(I$1,'Tillförd energi'!$B$1:$AQ$1,0),FALSE)</f>
        <v>0</v>
      </c>
      <c r="J353" s="31">
        <f>VLOOKUP($B353,'Tillförd energi'!$B$1:$AI$720,MATCH(J$1,'Tillförd energi'!$B$1:$AQ$1,0),FALSE)</f>
        <v>0</v>
      </c>
      <c r="K353" s="31">
        <f>VLOOKUP($B353,'Tillförd energi'!$B$1:$AI$720,MATCH(K$1,'Tillförd energi'!$B$1:$AQ$1,0),FALSE)</f>
        <v>0</v>
      </c>
      <c r="L353" s="31">
        <f>VLOOKUP($B353,'Tillförd energi'!$B$1:$AI$720,MATCH(L$1,'Tillförd energi'!$B$1:$AQ$1,0),FALSE)</f>
        <v>0</v>
      </c>
      <c r="M353" s="31">
        <f>VLOOKUP($B353,'Tillförd energi'!$B$1:$AI$720,MATCH(M$1,'Tillförd energi'!$B$1:$AQ$1,0),FALSE)</f>
        <v>0</v>
      </c>
      <c r="N353" s="31">
        <f>VLOOKUP($B353,'Tillförd energi'!$B$1:$AI$720,MATCH(N$1,'Tillförd energi'!$B$1:$AQ$1,0),FALSE)</f>
        <v>0</v>
      </c>
      <c r="O353" s="31">
        <f>VLOOKUP($B353,'Tillförd energi'!$B$1:$AI$720,MATCH(O$1,'Tillförd energi'!$B$1:$AQ$1,0),FALSE)</f>
        <v>17.77</v>
      </c>
      <c r="P353" s="31">
        <f>VLOOKUP($B353,'Tillförd energi'!$B$1:$AI$720,MATCH(P$1,'Tillförd energi'!$B$1:$AQ$1,0),FALSE)</f>
        <v>10.62</v>
      </c>
      <c r="Q353" s="31">
        <f>VLOOKUP($B353,'Tillförd energi'!$B$1:$AI$720,MATCH(Q$1,'Tillförd energi'!$B$1:$AQ$1,0),FALSE)</f>
        <v>0</v>
      </c>
      <c r="R353" s="31">
        <f>VLOOKUP($B353,'Tillförd energi'!$B$1:$AI$720,MATCH(R$1,'Tillförd energi'!$B$1:$AQ$1,0),FALSE)</f>
        <v>0</v>
      </c>
      <c r="S353" s="31">
        <f>VLOOKUP($B353,'Tillförd energi'!$B$1:$AI$720,MATCH(S$1,'Tillförd energi'!$B$1:$AQ$1,0),FALSE)</f>
        <v>0</v>
      </c>
      <c r="T353" s="31">
        <f>VLOOKUP($B353,'Tillförd energi'!$B$1:$AI$720,MATCH(T$1,'Tillförd energi'!$B$1:$AQ$1,0),FALSE)</f>
        <v>0</v>
      </c>
      <c r="U353" s="31">
        <f>VLOOKUP($B353,'Tillförd energi'!$B$1:$AI$720,MATCH(U$1,'Tillförd energi'!$B$1:$AQ$1,0),FALSE)</f>
        <v>0</v>
      </c>
      <c r="V353" s="31">
        <f>VLOOKUP($B353,'Tillförd energi'!$B$1:$AI$720,MATCH(V$1,'Tillförd energi'!$B$1:$AQ$1,0),FALSE)</f>
        <v>0</v>
      </c>
      <c r="W353" s="31">
        <f>VLOOKUP($B353,'Tillförd energi'!$B$1:$AI$720,MATCH(W$1,'Tillförd energi'!$B$1:$AQ$1,0),FALSE)</f>
        <v>0</v>
      </c>
      <c r="X353" s="31">
        <f>VLOOKUP($B353,'Tillförd energi'!$B$1:$AI$720,MATCH(X$1,'Tillförd energi'!$B$1:$AQ$1,0),FALSE)</f>
        <v>0</v>
      </c>
      <c r="Y353" s="31">
        <f>VLOOKUP($B353,'Tillförd energi'!$B$1:$AI$720,MATCH(Y$1,'Tillförd energi'!$B$1:$AQ$1,0),FALSE)</f>
        <v>0</v>
      </c>
      <c r="Z353" s="31">
        <f>VLOOKUP($B353,'Tillförd energi'!$B$1:$AI$720,MATCH(Z$1,'Tillförd energi'!$B$1:$AQ$1,0),FALSE)</f>
        <v>0</v>
      </c>
      <c r="AA353" s="31">
        <f>VLOOKUP($B353,'Tillförd energi'!$B$1:$AI$720,MATCH(AA$1,'Tillförd energi'!$B$1:$AQ$1,0),FALSE)</f>
        <v>0</v>
      </c>
      <c r="AB353" s="31">
        <f>VLOOKUP($B353,'Tillförd energi'!$B$1:$AI$720,MATCH(AB$1,'Tillförd energi'!$B$1:$AQ$1,0),FALSE)</f>
        <v>0</v>
      </c>
      <c r="AC353" s="31">
        <f>VLOOKUP($B353,'Tillförd energi'!$B$1:$AI$720,MATCH(AC$1,'Tillförd energi'!$B$1:$AQ$1,0),FALSE)</f>
        <v>1.4379999999999999</v>
      </c>
      <c r="AD353" s="31">
        <f>VLOOKUP($B353,'Tillförd energi'!$B$1:$AI$720,MATCH(AD$1,'Tillförd energi'!$B$1:$AQ$1,0),FALSE)</f>
        <v>0</v>
      </c>
      <c r="AE353" s="31">
        <f>VLOOKUP($B353,'Tillförd energi'!$B$1:$AI$720,MATCH(AE$1,'Tillförd energi'!$B$1:$AQ$1,0),FALSE)</f>
        <v>0</v>
      </c>
      <c r="AF353" s="31">
        <f>VLOOKUP($B353,'Tillförd energi'!$B$1:$AI$720,MATCH(AF$1,'Tillförd energi'!$B$1:$AQ$1,0),FALSE)</f>
        <v>0.65</v>
      </c>
      <c r="AG353" s="31">
        <f>IFERROR(VLOOKUP(B353,Miljö!$B$1:$AC$550,MATCH("Köpt mängd produktionsspecifik fjärrvärme:",Miljö!$B$1:$AC$1,0),FALSE)/1,0)</f>
        <v>0</v>
      </c>
      <c r="AI353" s="31">
        <f t="shared" si="115"/>
        <v>30.477999999999998</v>
      </c>
      <c r="AJ353" s="31">
        <f t="shared" si="116"/>
        <v>30.477999999999998</v>
      </c>
      <c r="AK353" s="31">
        <f>IF(ISERROR(1/VLOOKUP($B353,Leveranser!$B$1:$S$499,MATCH("Såld värme (GWh)",Leveranser!$B$1:$S$1,0),FALSE)),"",VLOOKUP($B353,Leveranser!$B$1:$S$499,MATCH("Såld värme (GWh)",Leveranser!$B$1:$S$1,0),FALSE))</f>
        <v>24.553999999999998</v>
      </c>
      <c r="AL353" s="31">
        <f>VLOOKUP($B353,Leveranser!$B$1:$Y$499,MATCH("Totalt såld fjärrvärme till andra fjärrvärmeföretag",Leveranser!$B$1:$AA$1,0),FALSE)</f>
        <v>0</v>
      </c>
      <c r="AM353" s="31">
        <f>IF(ISERROR(1/VLOOKUP($B353,Miljö!$B$1:$S$500,MATCH("Såld mängd produktionsspecifik fjärrvärme (GWh)",Miljö!$B$1:$R$1,0),FALSE)),0,VLOOKUP($B353,Miljö!$B$1:$S$500,MATCH("Såld mängd produktionsspecifik fjärrvärme (GWh)",Miljö!$B$1:$R$1,0),FALSE))</f>
        <v>0</v>
      </c>
      <c r="AN353" s="32">
        <f t="shared" si="117"/>
        <v>0.80563029070148962</v>
      </c>
      <c r="AP353" s="31" t="str">
        <f>IFERROR(VLOOKUP($B353,Miljövärden!$B$2:$H$550,7,FALSE),"Nej, saknas")</f>
        <v>Ja</v>
      </c>
      <c r="AQ353" s="31" t="str">
        <f>IFERROR(VLOOKUP($B353,Miljövärden!$B$2:$H$551,6,FALSE),"Nej, saknas")</f>
        <v>Ja</v>
      </c>
      <c r="AU353" s="31">
        <f t="shared" si="118"/>
        <v>0.65</v>
      </c>
      <c r="AV353" s="31">
        <f t="shared" si="119"/>
        <v>0</v>
      </c>
      <c r="AW353" s="31">
        <f t="shared" si="120"/>
        <v>28.39</v>
      </c>
      <c r="AX353" s="31">
        <f t="shared" si="121"/>
        <v>0</v>
      </c>
      <c r="AZ353" s="31">
        <f t="shared" si="122"/>
        <v>28.39</v>
      </c>
      <c r="BC353" s="31">
        <f t="shared" si="123"/>
        <v>0</v>
      </c>
      <c r="BD353" s="31">
        <f t="shared" si="124"/>
        <v>0</v>
      </c>
      <c r="BE353" s="31">
        <f t="shared" si="125"/>
        <v>28.39</v>
      </c>
      <c r="BF353" s="31">
        <f t="shared" si="126"/>
        <v>1.4379999999999999</v>
      </c>
      <c r="BG353" s="31">
        <f t="shared" si="127"/>
        <v>0.65</v>
      </c>
      <c r="BH353" s="31">
        <f>VLOOKUP(B353,Miljö!$B$1:$BX$482,MATCH("Fossilandel för ursprungspecificerad el ()",Miljö!$B$1:$I$1,0),FALSE)</f>
        <v>0</v>
      </c>
      <c r="BI353" s="31">
        <f>VLOOKUP(B353,Miljö!$B$1:$BX$482,MATCH("Kärnkraftsandel för ursprungsspecificerad el ()",Miljö!$B$1:$O$1,0),FALSE)</f>
        <v>0</v>
      </c>
      <c r="BJ353" s="31">
        <f t="shared" si="128"/>
        <v>0</v>
      </c>
      <c r="BK353" s="31" t="str">
        <f>VLOOKUP(B353,Miljö!$B$1:$P$482,MATCH("Fossil andel i procent (%)",Miljö!$B$1:$P$1,0),FALSE)</f>
        <v>ET</v>
      </c>
      <c r="BL353" s="31">
        <f t="shared" si="129"/>
        <v>30.477999999999998</v>
      </c>
      <c r="BO353" s="32">
        <f t="shared" si="130"/>
        <v>0</v>
      </c>
      <c r="BP353" s="32">
        <f t="shared" si="131"/>
        <v>0</v>
      </c>
      <c r="BQ353" s="32">
        <f t="shared" si="132"/>
        <v>0.95281842640593217</v>
      </c>
      <c r="BR353" s="32">
        <f t="shared" si="133"/>
        <v>4.7181573594067855E-2</v>
      </c>
      <c r="BT353" s="62">
        <f t="shared" si="134"/>
        <v>1</v>
      </c>
      <c r="BW353" s="32">
        <f>IF(AP353="Ja",VLOOKUP(B353,Miljövärden!$B$2:$H$551,MATCH("Total andel fossilt",Miljövärden!$B$2:$H$2,0),FALSE),"")</f>
        <v>0</v>
      </c>
      <c r="BX353" s="62">
        <f t="shared" si="135"/>
        <v>0</v>
      </c>
      <c r="BZ353" s="31">
        <f t="shared" si="136"/>
        <v>0</v>
      </c>
      <c r="CA353" s="32">
        <f t="shared" si="137"/>
        <v>0</v>
      </c>
    </row>
    <row r="354" spans="1:79" x14ac:dyDescent="0.45">
      <c r="A354" s="31" t="s">
        <v>48</v>
      </c>
      <c r="B354" s="31" t="s">
        <v>219</v>
      </c>
      <c r="C354" s="31">
        <f>VLOOKUP($B354,'Tillförd energi'!$B$1:$AI$720,MATCH(C$1,'Tillförd energi'!$B$1:$AQ$1,0),FALSE)</f>
        <v>0</v>
      </c>
      <c r="D354" s="31">
        <f>VLOOKUP($B354,'Tillförd energi'!$B$1:$AI$720,MATCH(D$1,'Tillförd energi'!$B$1:$AQ$1,0),FALSE)</f>
        <v>1.3280000000000001</v>
      </c>
      <c r="E354" s="31">
        <f>VLOOKUP($B354,'Tillförd energi'!$B$1:$AI$720,MATCH(E$1,'Tillförd energi'!$B$1:$AQ$1,0),FALSE)</f>
        <v>1.92</v>
      </c>
      <c r="F354" s="31">
        <f>VLOOKUP($B354,'Tillförd energi'!$B$1:$AI$720,MATCH(F$1,'Tillförd energi'!$B$1:$AQ$1,0),FALSE)</f>
        <v>0</v>
      </c>
      <c r="G354" s="31">
        <f>VLOOKUP($B354,'Tillförd energi'!$B$1:$AI$720,MATCH(G$1,'Tillförd energi'!$B$1:$AQ$1,0),FALSE)</f>
        <v>0</v>
      </c>
      <c r="H354" s="31">
        <f>VLOOKUP($B354,'Tillförd energi'!$B$1:$AI$720,MATCH(H$1,'Tillförd energi'!$B$1:$AQ$1,0),FALSE)</f>
        <v>0</v>
      </c>
      <c r="I354" s="31">
        <f>VLOOKUP($B354,'Tillförd energi'!$B$1:$AI$720,MATCH(I$1,'Tillförd energi'!$B$1:$AQ$1,0),FALSE)</f>
        <v>134.60300000000001</v>
      </c>
      <c r="J354" s="31">
        <f>VLOOKUP($B354,'Tillförd energi'!$B$1:$AI$720,MATCH(J$1,'Tillförd energi'!$B$1:$AQ$1,0),FALSE)</f>
        <v>0</v>
      </c>
      <c r="K354" s="31">
        <f>VLOOKUP($B354,'Tillförd energi'!$B$1:$AI$720,MATCH(K$1,'Tillförd energi'!$B$1:$AQ$1,0),FALSE)</f>
        <v>0</v>
      </c>
      <c r="L354" s="31">
        <f>VLOOKUP($B354,'Tillförd energi'!$B$1:$AI$720,MATCH(L$1,'Tillförd energi'!$B$1:$AQ$1,0),FALSE)</f>
        <v>0</v>
      </c>
      <c r="M354" s="31">
        <f>VLOOKUP($B354,'Tillförd energi'!$B$1:$AI$720,MATCH(M$1,'Tillförd energi'!$B$1:$AQ$1,0),FALSE)</f>
        <v>0</v>
      </c>
      <c r="N354" s="31">
        <f>VLOOKUP($B354,'Tillförd energi'!$B$1:$AI$720,MATCH(N$1,'Tillförd energi'!$B$1:$AQ$1,0),FALSE)</f>
        <v>0</v>
      </c>
      <c r="O354" s="31">
        <f>VLOOKUP($B354,'Tillförd energi'!$B$1:$AI$720,MATCH(O$1,'Tillförd energi'!$B$1:$AQ$1,0),FALSE)</f>
        <v>17.242000000000001</v>
      </c>
      <c r="P354" s="31">
        <f>VLOOKUP($B354,'Tillförd energi'!$B$1:$AI$720,MATCH(P$1,'Tillförd energi'!$B$1:$AQ$1,0),FALSE)</f>
        <v>0</v>
      </c>
      <c r="Q354" s="31">
        <f>VLOOKUP($B354,'Tillförd energi'!$B$1:$AI$720,MATCH(Q$1,'Tillförd energi'!$B$1:$AQ$1,0),FALSE)</f>
        <v>2.2835299999999998</v>
      </c>
      <c r="R354" s="31">
        <f>VLOOKUP($B354,'Tillförd energi'!$B$1:$AI$720,MATCH(R$1,'Tillförd energi'!$B$1:$AQ$1,0),FALSE)</f>
        <v>0.56999999999999995</v>
      </c>
      <c r="S354" s="31">
        <f>VLOOKUP($B354,'Tillförd energi'!$B$1:$AI$720,MATCH(S$1,'Tillförd energi'!$B$1:$AQ$1,0),FALSE)</f>
        <v>0</v>
      </c>
      <c r="T354" s="31">
        <f>VLOOKUP($B354,'Tillförd energi'!$B$1:$AI$720,MATCH(T$1,'Tillförd energi'!$B$1:$AQ$1,0),FALSE)</f>
        <v>0</v>
      </c>
      <c r="U354" s="31">
        <f>VLOOKUP($B354,'Tillförd energi'!$B$1:$AI$720,MATCH(U$1,'Tillförd energi'!$B$1:$AQ$1,0),FALSE)</f>
        <v>0</v>
      </c>
      <c r="V354" s="31">
        <f>VLOOKUP($B354,'Tillförd energi'!$B$1:$AI$720,MATCH(V$1,'Tillförd energi'!$B$1:$AQ$1,0),FALSE)</f>
        <v>0</v>
      </c>
      <c r="W354" s="31">
        <f>VLOOKUP($B354,'Tillförd energi'!$B$1:$AI$720,MATCH(W$1,'Tillförd energi'!$B$1:$AQ$1,0),FALSE)</f>
        <v>0</v>
      </c>
      <c r="X354" s="31">
        <f>VLOOKUP($B354,'Tillförd energi'!$B$1:$AI$720,MATCH(X$1,'Tillförd energi'!$B$1:$AQ$1,0),FALSE)</f>
        <v>0</v>
      </c>
      <c r="Y354" s="31">
        <f>VLOOKUP($B354,'Tillförd energi'!$B$1:$AI$720,MATCH(Y$1,'Tillförd energi'!$B$1:$AQ$1,0),FALSE)</f>
        <v>0</v>
      </c>
      <c r="Z354" s="31">
        <f>VLOOKUP($B354,'Tillförd energi'!$B$1:$AI$720,MATCH(Z$1,'Tillförd energi'!$B$1:$AQ$1,0),FALSE)</f>
        <v>0</v>
      </c>
      <c r="AA354" s="31">
        <f>VLOOKUP($B354,'Tillförd energi'!$B$1:$AI$720,MATCH(AA$1,'Tillförd energi'!$B$1:$AQ$1,0),FALSE)</f>
        <v>0</v>
      </c>
      <c r="AB354" s="31">
        <f>VLOOKUP($B354,'Tillförd energi'!$B$1:$AI$720,MATCH(AB$1,'Tillförd energi'!$B$1:$AQ$1,0),FALSE)</f>
        <v>0</v>
      </c>
      <c r="AC354" s="31">
        <f>VLOOKUP($B354,'Tillförd energi'!$B$1:$AI$720,MATCH(AC$1,'Tillförd energi'!$B$1:$AQ$1,0),FALSE)</f>
        <v>14.349</v>
      </c>
      <c r="AD354" s="31">
        <f>VLOOKUP($B354,'Tillförd energi'!$B$1:$AI$720,MATCH(AD$1,'Tillförd energi'!$B$1:$AQ$1,0),FALSE)</f>
        <v>25.582000000000001</v>
      </c>
      <c r="AE354" s="31">
        <f>VLOOKUP($B354,'Tillförd energi'!$B$1:$AI$720,MATCH(AE$1,'Tillförd energi'!$B$1:$AQ$1,0),FALSE)</f>
        <v>0</v>
      </c>
      <c r="AF354" s="31">
        <f>VLOOKUP($B354,'Tillförd energi'!$B$1:$AI$720,MATCH(AF$1,'Tillförd energi'!$B$1:$AQ$1,0),FALSE)</f>
        <v>5.82</v>
      </c>
      <c r="AG354" s="31">
        <f>IFERROR(VLOOKUP(B354,Miljö!$B$1:$AC$550,MATCH("Köpt mängd produktionsspecifik fjärrvärme:",Miljö!$B$1:$AC$1,0),FALSE)/1,0)</f>
        <v>0</v>
      </c>
      <c r="AI354" s="31">
        <f t="shared" si="115"/>
        <v>203.69752999999997</v>
      </c>
      <c r="AJ354" s="31">
        <f t="shared" si="116"/>
        <v>203.69752999999997</v>
      </c>
      <c r="AK354" s="31">
        <f>IF(ISERROR(1/VLOOKUP($B354,Leveranser!$B$1:$S$499,MATCH("Såld värme (GWh)",Leveranser!$B$1:$S$1,0),FALSE)),"",VLOOKUP($B354,Leveranser!$B$1:$S$499,MATCH("Såld värme (GWh)",Leveranser!$B$1:$S$1,0),FALSE))</f>
        <v>127.65</v>
      </c>
      <c r="AL354" s="31">
        <f>VLOOKUP($B354,Leveranser!$B$1:$Y$499,MATCH("Totalt såld fjärrvärme till andra fjärrvärmeföretag",Leveranser!$B$1:$AA$1,0),FALSE)</f>
        <v>0</v>
      </c>
      <c r="AM354" s="31">
        <f>IF(ISERROR(1/VLOOKUP($B354,Miljö!$B$1:$S$500,MATCH("Såld mängd produktionsspecifik fjärrvärme (GWh)",Miljö!$B$1:$R$1,0),FALSE)),0,VLOOKUP($B354,Miljö!$B$1:$S$500,MATCH("Såld mängd produktionsspecifik fjärrvärme (GWh)",Miljö!$B$1:$R$1,0),FALSE))</f>
        <v>0</v>
      </c>
      <c r="AN354" s="32">
        <f t="shared" si="117"/>
        <v>0.62666444703575941</v>
      </c>
      <c r="AP354" s="31" t="str">
        <f>IFERROR(VLOOKUP($B354,Miljövärden!$B$2:$H$550,7,FALSE),"Nej, saknas")</f>
        <v>Ja</v>
      </c>
      <c r="AQ354" s="31" t="str">
        <f>IFERROR(VLOOKUP($B354,Miljövärden!$B$2:$H$551,6,FALSE),"Nej, saknas")</f>
        <v>Ja</v>
      </c>
      <c r="AU354" s="31">
        <f t="shared" si="118"/>
        <v>5.82</v>
      </c>
      <c r="AV354" s="31">
        <f t="shared" si="119"/>
        <v>0</v>
      </c>
      <c r="AW354" s="31">
        <f t="shared" si="120"/>
        <v>19.52553</v>
      </c>
      <c r="AX354" s="31">
        <f t="shared" si="121"/>
        <v>0.56999999999999995</v>
      </c>
      <c r="AZ354" s="31">
        <f t="shared" si="122"/>
        <v>20.09553</v>
      </c>
      <c r="BC354" s="31">
        <f t="shared" si="123"/>
        <v>3.2480000000000002</v>
      </c>
      <c r="BD354" s="31">
        <f t="shared" si="124"/>
        <v>0</v>
      </c>
      <c r="BE354" s="31">
        <f t="shared" si="125"/>
        <v>20.09553</v>
      </c>
      <c r="BF354" s="31">
        <f t="shared" si="126"/>
        <v>174.53399999999999</v>
      </c>
      <c r="BG354" s="31">
        <f t="shared" si="127"/>
        <v>5.82</v>
      </c>
      <c r="BH354" s="31">
        <f>VLOOKUP(B354,Miljö!$B$1:$BX$482,MATCH("Fossilandel för ursprungspecificerad el ()",Miljö!$B$1:$I$1,0),FALSE)</f>
        <v>0</v>
      </c>
      <c r="BI354" s="31">
        <f>VLOOKUP(B354,Miljö!$B$1:$BX$482,MATCH("Kärnkraftsandel för ursprungsspecificerad el ()",Miljö!$B$1:$O$1,0),FALSE)</f>
        <v>0</v>
      </c>
      <c r="BJ354" s="31">
        <f t="shared" si="128"/>
        <v>0</v>
      </c>
      <c r="BK354" s="31" t="str">
        <f>VLOOKUP(B354,Miljö!$B$1:$P$482,MATCH("Fossil andel i procent (%)",Miljö!$B$1:$P$1,0),FALSE)</f>
        <v>ET</v>
      </c>
      <c r="BL354" s="31">
        <f t="shared" si="129"/>
        <v>203.69752999999997</v>
      </c>
      <c r="BO354" s="32">
        <f t="shared" si="130"/>
        <v>1.5945210528571459E-2</v>
      </c>
      <c r="BP354" s="32">
        <f t="shared" si="131"/>
        <v>0</v>
      </c>
      <c r="BQ354" s="32">
        <f t="shared" si="132"/>
        <v>0.12722554858667165</v>
      </c>
      <c r="BR354" s="32">
        <f t="shared" si="133"/>
        <v>0.85682924088475698</v>
      </c>
      <c r="BT354" s="62">
        <f t="shared" si="134"/>
        <v>1</v>
      </c>
      <c r="BW354" s="32">
        <f>IF(AP354="Ja",VLOOKUP(B354,Miljövärden!$B$2:$H$551,MATCH("Total andel fossilt",Miljövärden!$B$2:$H$2,0),FALSE),"")</f>
        <v>1.59452E-2</v>
      </c>
      <c r="BX354" s="62">
        <f t="shared" si="135"/>
        <v>-1.0528571459111902E-8</v>
      </c>
      <c r="BZ354" s="31">
        <f t="shared" si="136"/>
        <v>-1.0528571459111902E-8</v>
      </c>
      <c r="CA354" s="32">
        <f t="shared" si="137"/>
        <v>0</v>
      </c>
    </row>
    <row r="355" spans="1:79" x14ac:dyDescent="0.45">
      <c r="A355" s="31" t="s">
        <v>48</v>
      </c>
      <c r="B355" s="31" t="s">
        <v>218</v>
      </c>
      <c r="C355" s="31">
        <f>VLOOKUP($B355,'Tillförd energi'!$B$1:$AI$720,MATCH(C$1,'Tillförd energi'!$B$1:$AQ$1,0),FALSE)</f>
        <v>0</v>
      </c>
      <c r="D355" s="31">
        <f>VLOOKUP($B355,'Tillförd energi'!$B$1:$AI$720,MATCH(D$1,'Tillförd energi'!$B$1:$AQ$1,0),FALSE)</f>
        <v>0.57899999999999996</v>
      </c>
      <c r="E355" s="31">
        <f>VLOOKUP($B355,'Tillförd energi'!$B$1:$AI$720,MATCH(E$1,'Tillförd energi'!$B$1:$AQ$1,0),FALSE)</f>
        <v>0</v>
      </c>
      <c r="F355" s="31">
        <f>VLOOKUP($B355,'Tillförd energi'!$B$1:$AI$720,MATCH(F$1,'Tillförd energi'!$B$1:$AQ$1,0),FALSE)</f>
        <v>0</v>
      </c>
      <c r="G355" s="31">
        <f>VLOOKUP($B355,'Tillförd energi'!$B$1:$AI$720,MATCH(G$1,'Tillförd energi'!$B$1:$AQ$1,0),FALSE)</f>
        <v>0</v>
      </c>
      <c r="H355" s="31">
        <f>VLOOKUP($B355,'Tillförd energi'!$B$1:$AI$720,MATCH(H$1,'Tillförd energi'!$B$1:$AQ$1,0),FALSE)</f>
        <v>0</v>
      </c>
      <c r="I355" s="31">
        <f>VLOOKUP($B355,'Tillförd energi'!$B$1:$AI$720,MATCH(I$1,'Tillförd energi'!$B$1:$AQ$1,0),FALSE)</f>
        <v>0</v>
      </c>
      <c r="J355" s="31">
        <f>VLOOKUP($B355,'Tillförd energi'!$B$1:$AI$720,MATCH(J$1,'Tillförd energi'!$B$1:$AQ$1,0),FALSE)</f>
        <v>0</v>
      </c>
      <c r="K355" s="31">
        <f>VLOOKUP($B355,'Tillförd energi'!$B$1:$AI$720,MATCH(K$1,'Tillförd energi'!$B$1:$AQ$1,0),FALSE)</f>
        <v>0</v>
      </c>
      <c r="L355" s="31">
        <f>VLOOKUP($B355,'Tillförd energi'!$B$1:$AI$720,MATCH(L$1,'Tillförd energi'!$B$1:$AQ$1,0),FALSE)</f>
        <v>0</v>
      </c>
      <c r="M355" s="31">
        <f>VLOOKUP($B355,'Tillförd energi'!$B$1:$AI$720,MATCH(M$1,'Tillförd energi'!$B$1:$AQ$1,0),FALSE)</f>
        <v>0</v>
      </c>
      <c r="N355" s="31">
        <f>VLOOKUP($B355,'Tillförd energi'!$B$1:$AI$720,MATCH(N$1,'Tillförd energi'!$B$1:$AQ$1,0),FALSE)</f>
        <v>0</v>
      </c>
      <c r="O355" s="31">
        <f>VLOOKUP($B355,'Tillförd energi'!$B$1:$AI$720,MATCH(O$1,'Tillförd energi'!$B$1:$AQ$1,0),FALSE)</f>
        <v>14.452999999999999</v>
      </c>
      <c r="P355" s="31">
        <f>VLOOKUP($B355,'Tillförd energi'!$B$1:$AI$720,MATCH(P$1,'Tillförd energi'!$B$1:$AQ$1,0),FALSE)</f>
        <v>0</v>
      </c>
      <c r="Q355" s="31">
        <f>VLOOKUP($B355,'Tillförd energi'!$B$1:$AI$720,MATCH(Q$1,'Tillförd energi'!$B$1:$AQ$1,0),FALSE)</f>
        <v>0.96599999999999997</v>
      </c>
      <c r="R355" s="31">
        <f>VLOOKUP($B355,'Tillförd energi'!$B$1:$AI$720,MATCH(R$1,'Tillförd energi'!$B$1:$AQ$1,0),FALSE)</f>
        <v>0</v>
      </c>
      <c r="S355" s="31">
        <f>VLOOKUP($B355,'Tillförd energi'!$B$1:$AI$720,MATCH(S$1,'Tillförd energi'!$B$1:$AQ$1,0),FALSE)</f>
        <v>0</v>
      </c>
      <c r="T355" s="31">
        <f>VLOOKUP($B355,'Tillförd energi'!$B$1:$AI$720,MATCH(T$1,'Tillförd energi'!$B$1:$AQ$1,0),FALSE)</f>
        <v>0</v>
      </c>
      <c r="U355" s="31">
        <f>VLOOKUP($B355,'Tillförd energi'!$B$1:$AI$720,MATCH(U$1,'Tillförd energi'!$B$1:$AQ$1,0),FALSE)</f>
        <v>0</v>
      </c>
      <c r="V355" s="31">
        <f>VLOOKUP($B355,'Tillförd energi'!$B$1:$AI$720,MATCH(V$1,'Tillförd energi'!$B$1:$AQ$1,0),FALSE)</f>
        <v>0</v>
      </c>
      <c r="W355" s="31">
        <f>VLOOKUP($B355,'Tillförd energi'!$B$1:$AI$720,MATCH(W$1,'Tillförd energi'!$B$1:$AQ$1,0),FALSE)</f>
        <v>0</v>
      </c>
      <c r="X355" s="31">
        <f>VLOOKUP($B355,'Tillförd energi'!$B$1:$AI$720,MATCH(X$1,'Tillförd energi'!$B$1:$AQ$1,0),FALSE)</f>
        <v>0</v>
      </c>
      <c r="Y355" s="31">
        <f>VLOOKUP($B355,'Tillförd energi'!$B$1:$AI$720,MATCH(Y$1,'Tillförd energi'!$B$1:$AQ$1,0),FALSE)</f>
        <v>0</v>
      </c>
      <c r="Z355" s="31">
        <f>VLOOKUP($B355,'Tillförd energi'!$B$1:$AI$720,MATCH(Z$1,'Tillförd energi'!$B$1:$AQ$1,0),FALSE)</f>
        <v>0</v>
      </c>
      <c r="AA355" s="31">
        <f>VLOOKUP($B355,'Tillförd energi'!$B$1:$AI$720,MATCH(AA$1,'Tillförd energi'!$B$1:$AQ$1,0),FALSE)</f>
        <v>0</v>
      </c>
      <c r="AB355" s="31">
        <f>VLOOKUP($B355,'Tillförd energi'!$B$1:$AI$720,MATCH(AB$1,'Tillförd energi'!$B$1:$AQ$1,0),FALSE)</f>
        <v>0</v>
      </c>
      <c r="AC355" s="31">
        <f>VLOOKUP($B355,'Tillförd energi'!$B$1:$AI$720,MATCH(AC$1,'Tillförd energi'!$B$1:$AQ$1,0),FALSE)</f>
        <v>3.0150000000000001</v>
      </c>
      <c r="AD355" s="31">
        <f>VLOOKUP($B355,'Tillförd energi'!$B$1:$AI$720,MATCH(AD$1,'Tillförd energi'!$B$1:$AQ$1,0),FALSE)</f>
        <v>0</v>
      </c>
      <c r="AE355" s="31">
        <f>VLOOKUP($B355,'Tillförd energi'!$B$1:$AI$720,MATCH(AE$1,'Tillförd energi'!$B$1:$AQ$1,0),FALSE)</f>
        <v>0</v>
      </c>
      <c r="AF355" s="31">
        <f>VLOOKUP($B355,'Tillförd energi'!$B$1:$AI$720,MATCH(AF$1,'Tillförd energi'!$B$1:$AQ$1,0),FALSE)</f>
        <v>0.44063999999999998</v>
      </c>
      <c r="AG355" s="31">
        <f>IFERROR(VLOOKUP(B355,Miljö!$B$1:$AC$550,MATCH("Köpt mängd produktionsspecifik fjärrvärme:",Miljö!$B$1:$AC$1,0),FALSE)/1,0)</f>
        <v>0</v>
      </c>
      <c r="AI355" s="31">
        <f t="shared" si="115"/>
        <v>19.453639999999996</v>
      </c>
      <c r="AJ355" s="31">
        <f t="shared" si="116"/>
        <v>19.453639999999996</v>
      </c>
      <c r="AK355" s="31">
        <f>IF(ISERROR(1/VLOOKUP($B355,Leveranser!$B$1:$S$499,MATCH("Såld värme (GWh)",Leveranser!$B$1:$S$1,0),FALSE)),"",VLOOKUP($B355,Leveranser!$B$1:$S$499,MATCH("Såld värme (GWh)",Leveranser!$B$1:$S$1,0),FALSE))</f>
        <v>14.688000000000001</v>
      </c>
      <c r="AL355" s="31">
        <f>VLOOKUP($B355,Leveranser!$B$1:$Y$499,MATCH("Totalt såld fjärrvärme till andra fjärrvärmeföretag",Leveranser!$B$1:$AA$1,0),FALSE)</f>
        <v>0</v>
      </c>
      <c r="AM355" s="31">
        <f>IF(ISERROR(1/VLOOKUP($B355,Miljö!$B$1:$S$500,MATCH("Såld mängd produktionsspecifik fjärrvärme (GWh)",Miljö!$B$1:$R$1,0),FALSE)),0,VLOOKUP($B355,Miljö!$B$1:$S$500,MATCH("Såld mängd produktionsspecifik fjärrvärme (GWh)",Miljö!$B$1:$R$1,0),FALSE))</f>
        <v>0</v>
      </c>
      <c r="AN355" s="32">
        <f t="shared" si="117"/>
        <v>0.75502579465848052</v>
      </c>
      <c r="AP355" s="31" t="str">
        <f>IFERROR(VLOOKUP($B355,Miljövärden!$B$2:$H$550,7,FALSE),"Nej, saknas")</f>
        <v>Ja</v>
      </c>
      <c r="AQ355" s="31" t="str">
        <f>IFERROR(VLOOKUP($B355,Miljövärden!$B$2:$H$551,6,FALSE),"Nej, saknas")</f>
        <v>Ja</v>
      </c>
      <c r="AU355" s="31">
        <f t="shared" si="118"/>
        <v>0.44063999999999998</v>
      </c>
      <c r="AV355" s="31">
        <f t="shared" si="119"/>
        <v>0</v>
      </c>
      <c r="AW355" s="31">
        <f t="shared" si="120"/>
        <v>15.418999999999999</v>
      </c>
      <c r="AX355" s="31">
        <f t="shared" si="121"/>
        <v>0</v>
      </c>
      <c r="AZ355" s="31">
        <f t="shared" si="122"/>
        <v>15.418999999999999</v>
      </c>
      <c r="BC355" s="31">
        <f t="shared" si="123"/>
        <v>0.57899999999999996</v>
      </c>
      <c r="BD355" s="31">
        <f t="shared" si="124"/>
        <v>0</v>
      </c>
      <c r="BE355" s="31">
        <f t="shared" si="125"/>
        <v>15.418999999999999</v>
      </c>
      <c r="BF355" s="31">
        <f t="shared" si="126"/>
        <v>3.0150000000000001</v>
      </c>
      <c r="BG355" s="31">
        <f t="shared" si="127"/>
        <v>0.44063999999999998</v>
      </c>
      <c r="BH355" s="31">
        <f>VLOOKUP(B355,Miljö!$B$1:$BX$482,MATCH("Fossilandel för ursprungspecificerad el ()",Miljö!$B$1:$I$1,0),FALSE)</f>
        <v>0</v>
      </c>
      <c r="BI355" s="31">
        <f>VLOOKUP(B355,Miljö!$B$1:$BX$482,MATCH("Kärnkraftsandel för ursprungsspecificerad el ()",Miljö!$B$1:$O$1,0),FALSE)</f>
        <v>0</v>
      </c>
      <c r="BJ355" s="31">
        <f t="shared" si="128"/>
        <v>0</v>
      </c>
      <c r="BK355" s="31" t="str">
        <f>VLOOKUP(B355,Miljö!$B$1:$P$482,MATCH("Fossil andel i procent (%)",Miljö!$B$1:$P$1,0),FALSE)</f>
        <v>ET</v>
      </c>
      <c r="BL355" s="31">
        <f t="shared" si="129"/>
        <v>19.453639999999996</v>
      </c>
      <c r="BO355" s="32">
        <f t="shared" si="130"/>
        <v>2.9763067477346146E-2</v>
      </c>
      <c r="BP355" s="32">
        <f t="shared" si="131"/>
        <v>0</v>
      </c>
      <c r="BQ355" s="32">
        <f t="shared" si="132"/>
        <v>0.81525308374165462</v>
      </c>
      <c r="BR355" s="32">
        <f t="shared" si="133"/>
        <v>0.15498384878099938</v>
      </c>
      <c r="BT355" s="62">
        <f t="shared" si="134"/>
        <v>1.0000000000000002</v>
      </c>
      <c r="BW355" s="32">
        <f>IF(AP355="Ja",VLOOKUP(B355,Miljövärden!$B$2:$H$551,MATCH("Total andel fossilt",Miljövärden!$B$2:$H$2,0),FALSE),"")</f>
        <v>2.9763100000000001E-2</v>
      </c>
      <c r="BX355" s="62">
        <f t="shared" si="135"/>
        <v>3.2522653854727412E-8</v>
      </c>
      <c r="BZ355" s="31">
        <f t="shared" si="136"/>
        <v>3.2522653854727412E-8</v>
      </c>
      <c r="CA355" s="32">
        <f t="shared" si="137"/>
        <v>0</v>
      </c>
    </row>
    <row r="356" spans="1:79" x14ac:dyDescent="0.45">
      <c r="A356" s="31" t="s">
        <v>48</v>
      </c>
      <c r="B356" s="31" t="s">
        <v>217</v>
      </c>
      <c r="C356" s="31">
        <f>VLOOKUP($B356,'Tillförd energi'!$B$1:$AI$720,MATCH(C$1,'Tillförd energi'!$B$1:$AQ$1,0),FALSE)</f>
        <v>0</v>
      </c>
      <c r="D356" s="31">
        <f>VLOOKUP($B356,'Tillförd energi'!$B$1:$AI$720,MATCH(D$1,'Tillförd energi'!$B$1:$AQ$1,0),FALSE)</f>
        <v>2.52494</v>
      </c>
      <c r="E356" s="31">
        <f>VLOOKUP($B356,'Tillförd energi'!$B$1:$AI$720,MATCH(E$1,'Tillförd energi'!$B$1:$AQ$1,0),FALSE)</f>
        <v>0</v>
      </c>
      <c r="F356" s="31">
        <f>VLOOKUP($B356,'Tillförd energi'!$B$1:$AI$720,MATCH(F$1,'Tillförd energi'!$B$1:$AQ$1,0),FALSE)</f>
        <v>0</v>
      </c>
      <c r="G356" s="31">
        <f>VLOOKUP($B356,'Tillförd energi'!$B$1:$AI$720,MATCH(G$1,'Tillförd energi'!$B$1:$AQ$1,0),FALSE)</f>
        <v>0</v>
      </c>
      <c r="H356" s="31">
        <f>VLOOKUP($B356,'Tillförd energi'!$B$1:$AI$720,MATCH(H$1,'Tillförd energi'!$B$1:$AQ$1,0),FALSE)</f>
        <v>0</v>
      </c>
      <c r="I356" s="31">
        <f>VLOOKUP($B356,'Tillförd energi'!$B$1:$AI$720,MATCH(I$1,'Tillförd energi'!$B$1:$AQ$1,0),FALSE)</f>
        <v>0</v>
      </c>
      <c r="J356" s="31">
        <f>VLOOKUP($B356,'Tillförd energi'!$B$1:$AI$720,MATCH(J$1,'Tillförd energi'!$B$1:$AQ$1,0),FALSE)</f>
        <v>0</v>
      </c>
      <c r="K356" s="31">
        <f>VLOOKUP($B356,'Tillförd energi'!$B$1:$AI$720,MATCH(K$1,'Tillförd energi'!$B$1:$AQ$1,0),FALSE)</f>
        <v>0</v>
      </c>
      <c r="L356" s="31">
        <f>VLOOKUP($B356,'Tillförd energi'!$B$1:$AI$720,MATCH(L$1,'Tillförd energi'!$B$1:$AQ$1,0),FALSE)</f>
        <v>0</v>
      </c>
      <c r="M356" s="31">
        <f>VLOOKUP($B356,'Tillförd energi'!$B$1:$AI$720,MATCH(M$1,'Tillförd energi'!$B$1:$AQ$1,0),FALSE)</f>
        <v>0</v>
      </c>
      <c r="N356" s="31">
        <f>VLOOKUP($B356,'Tillförd energi'!$B$1:$AI$720,MATCH(N$1,'Tillförd energi'!$B$1:$AQ$1,0),FALSE)</f>
        <v>0</v>
      </c>
      <c r="O356" s="31">
        <f>VLOOKUP($B356,'Tillförd energi'!$B$1:$AI$720,MATCH(O$1,'Tillförd energi'!$B$1:$AQ$1,0),FALSE)</f>
        <v>0</v>
      </c>
      <c r="P356" s="31">
        <f>VLOOKUP($B356,'Tillförd energi'!$B$1:$AI$720,MATCH(P$1,'Tillförd energi'!$B$1:$AQ$1,0),FALSE)</f>
        <v>0</v>
      </c>
      <c r="Q356" s="31">
        <f>VLOOKUP($B356,'Tillförd energi'!$B$1:$AI$720,MATCH(Q$1,'Tillförd energi'!$B$1:$AQ$1,0),FALSE)</f>
        <v>0.61685400000000001</v>
      </c>
      <c r="R356" s="31">
        <f>VLOOKUP($B356,'Tillförd energi'!$B$1:$AI$720,MATCH(R$1,'Tillförd energi'!$B$1:$AQ$1,0),FALSE)</f>
        <v>0</v>
      </c>
      <c r="S356" s="31">
        <f>VLOOKUP($B356,'Tillförd energi'!$B$1:$AI$720,MATCH(S$1,'Tillförd energi'!$B$1:$AQ$1,0),FALSE)</f>
        <v>0</v>
      </c>
      <c r="T356" s="31">
        <f>VLOOKUP($B356,'Tillförd energi'!$B$1:$AI$720,MATCH(T$1,'Tillförd energi'!$B$1:$AQ$1,0),FALSE)</f>
        <v>0</v>
      </c>
      <c r="U356" s="31">
        <f>VLOOKUP($B356,'Tillförd energi'!$B$1:$AI$720,MATCH(U$1,'Tillförd energi'!$B$1:$AQ$1,0),FALSE)</f>
        <v>0</v>
      </c>
      <c r="V356" s="31">
        <f>VLOOKUP($B356,'Tillförd energi'!$B$1:$AI$720,MATCH(V$1,'Tillförd energi'!$B$1:$AQ$1,0),FALSE)</f>
        <v>0</v>
      </c>
      <c r="W356" s="31">
        <f>VLOOKUP($B356,'Tillförd energi'!$B$1:$AI$720,MATCH(W$1,'Tillförd energi'!$B$1:$AQ$1,0),FALSE)</f>
        <v>0</v>
      </c>
      <c r="X356" s="31">
        <f>VLOOKUP($B356,'Tillförd energi'!$B$1:$AI$720,MATCH(X$1,'Tillförd energi'!$B$1:$AQ$1,0),FALSE)</f>
        <v>0</v>
      </c>
      <c r="Y356" s="31">
        <f>VLOOKUP($B356,'Tillförd energi'!$B$1:$AI$720,MATCH(Y$1,'Tillförd energi'!$B$1:$AQ$1,0),FALSE)</f>
        <v>0</v>
      </c>
      <c r="Z356" s="31">
        <f>VLOOKUP($B356,'Tillförd energi'!$B$1:$AI$720,MATCH(Z$1,'Tillförd energi'!$B$1:$AQ$1,0),FALSE)</f>
        <v>0</v>
      </c>
      <c r="AA356" s="31">
        <f>VLOOKUP($B356,'Tillförd energi'!$B$1:$AI$720,MATCH(AA$1,'Tillförd energi'!$B$1:$AQ$1,0),FALSE)</f>
        <v>0</v>
      </c>
      <c r="AB356" s="31">
        <f>VLOOKUP($B356,'Tillförd energi'!$B$1:$AI$720,MATCH(AB$1,'Tillförd energi'!$B$1:$AQ$1,0),FALSE)</f>
        <v>0</v>
      </c>
      <c r="AC356" s="31">
        <f>VLOOKUP($B356,'Tillförd energi'!$B$1:$AI$720,MATCH(AC$1,'Tillförd energi'!$B$1:$AQ$1,0),FALSE)</f>
        <v>0</v>
      </c>
      <c r="AD356" s="31">
        <f>VLOOKUP($B356,'Tillförd energi'!$B$1:$AI$720,MATCH(AD$1,'Tillförd energi'!$B$1:$AQ$1,0),FALSE)</f>
        <v>25.103000000000002</v>
      </c>
      <c r="AE356" s="31">
        <f>VLOOKUP($B356,'Tillförd energi'!$B$1:$AI$720,MATCH(AE$1,'Tillförd energi'!$B$1:$AQ$1,0),FALSE)</f>
        <v>0</v>
      </c>
      <c r="AF356" s="31">
        <f>VLOOKUP($B356,'Tillförd energi'!$B$1:$AI$720,MATCH(AF$1,'Tillförd energi'!$B$1:$AQ$1,0),FALSE)</f>
        <v>4.1000000000000002E-2</v>
      </c>
      <c r="AG356" s="31">
        <f>IFERROR(VLOOKUP(B356,Miljö!$B$1:$AC$550,MATCH("Köpt mängd produktionsspecifik fjärrvärme:",Miljö!$B$1:$AC$1,0),FALSE)/1,0)</f>
        <v>0</v>
      </c>
      <c r="AI356" s="31">
        <f t="shared" si="115"/>
        <v>28.285794000000003</v>
      </c>
      <c r="AJ356" s="31">
        <f t="shared" si="116"/>
        <v>28.285794000000003</v>
      </c>
      <c r="AK356" s="31">
        <f>IF(ISERROR(1/VLOOKUP($B356,Leveranser!$B$1:$S$499,MATCH("Såld värme (GWh)",Leveranser!$B$1:$S$1,0),FALSE)),"",VLOOKUP($B356,Leveranser!$B$1:$S$499,MATCH("Såld värme (GWh)",Leveranser!$B$1:$S$1,0),FALSE))</f>
        <v>22.847999999999999</v>
      </c>
      <c r="AL356" s="31">
        <f>VLOOKUP($B356,Leveranser!$B$1:$Y$499,MATCH("Totalt såld fjärrvärme till andra fjärrvärmeföretag",Leveranser!$B$1:$AA$1,0),FALSE)</f>
        <v>0</v>
      </c>
      <c r="AM356" s="31">
        <f>IF(ISERROR(1/VLOOKUP($B356,Miljö!$B$1:$S$500,MATCH("Såld mängd produktionsspecifik fjärrvärme (GWh)",Miljö!$B$1:$R$1,0),FALSE)),0,VLOOKUP($B356,Miljö!$B$1:$S$500,MATCH("Såld mängd produktionsspecifik fjärrvärme (GWh)",Miljö!$B$1:$R$1,0),FALSE))</f>
        <v>0</v>
      </c>
      <c r="AN356" s="32">
        <f t="shared" si="117"/>
        <v>0.80775529935627743</v>
      </c>
      <c r="AP356" s="31" t="str">
        <f>IFERROR(VLOOKUP($B356,Miljövärden!$B$2:$H$550,7,FALSE),"Nej, saknas")</f>
        <v>Ja</v>
      </c>
      <c r="AQ356" s="31" t="str">
        <f>IFERROR(VLOOKUP($B356,Miljövärden!$B$2:$H$551,6,FALSE),"Nej, saknas")</f>
        <v>Ja</v>
      </c>
      <c r="AU356" s="31">
        <f t="shared" si="118"/>
        <v>4.1000000000000002E-2</v>
      </c>
      <c r="AV356" s="31">
        <f t="shared" si="119"/>
        <v>0</v>
      </c>
      <c r="AW356" s="31">
        <f t="shared" si="120"/>
        <v>0.61685400000000001</v>
      </c>
      <c r="AX356" s="31">
        <f t="shared" si="121"/>
        <v>0</v>
      </c>
      <c r="AZ356" s="31">
        <f t="shared" si="122"/>
        <v>0.61685400000000001</v>
      </c>
      <c r="BC356" s="31">
        <f t="shared" si="123"/>
        <v>2.52494</v>
      </c>
      <c r="BD356" s="31">
        <f t="shared" si="124"/>
        <v>0</v>
      </c>
      <c r="BE356" s="31">
        <f t="shared" si="125"/>
        <v>0.61685400000000001</v>
      </c>
      <c r="BF356" s="31">
        <f t="shared" si="126"/>
        <v>25.103000000000002</v>
      </c>
      <c r="BG356" s="31">
        <f t="shared" si="127"/>
        <v>4.1000000000000002E-2</v>
      </c>
      <c r="BH356" s="31">
        <f>VLOOKUP(B356,Miljö!$B$1:$BX$482,MATCH("Fossilandel för ursprungspecificerad el ()",Miljö!$B$1:$I$1,0),FALSE)</f>
        <v>0</v>
      </c>
      <c r="BI356" s="31">
        <f>VLOOKUP(B356,Miljö!$B$1:$BX$482,MATCH("Kärnkraftsandel för ursprungsspecificerad el ()",Miljö!$B$1:$O$1,0),FALSE)</f>
        <v>0</v>
      </c>
      <c r="BJ356" s="31">
        <f t="shared" si="128"/>
        <v>0</v>
      </c>
      <c r="BK356" s="31" t="str">
        <f>VLOOKUP(B356,Miljö!$B$1:$P$482,MATCH("Fossil andel i procent (%)",Miljö!$B$1:$P$1,0),FALSE)</f>
        <v>ET</v>
      </c>
      <c r="BL356" s="31">
        <f t="shared" si="129"/>
        <v>28.285794000000003</v>
      </c>
      <c r="BO356" s="32">
        <f t="shared" si="130"/>
        <v>8.9265303989698841E-2</v>
      </c>
      <c r="BP356" s="32">
        <f t="shared" si="131"/>
        <v>0</v>
      </c>
      <c r="BQ356" s="32">
        <f t="shared" si="132"/>
        <v>2.3257399102885355E-2</v>
      </c>
      <c r="BR356" s="32">
        <f t="shared" si="133"/>
        <v>0.88747729690741572</v>
      </c>
      <c r="BT356" s="62">
        <f t="shared" si="134"/>
        <v>0.99999999999999989</v>
      </c>
      <c r="BW356" s="32">
        <f>IF(AP356="Ja",VLOOKUP(B356,Miljövärden!$B$2:$H$551,MATCH("Total andel fossilt",Miljövärden!$B$2:$H$2,0),FALSE),"")</f>
        <v>8.9265300000000006E-2</v>
      </c>
      <c r="BX356" s="62">
        <f t="shared" si="135"/>
        <v>-3.9896988351939555E-9</v>
      </c>
      <c r="BZ356" s="31">
        <f t="shared" si="136"/>
        <v>-3.9896988351939555E-9</v>
      </c>
      <c r="CA356" s="32">
        <f t="shared" si="137"/>
        <v>0</v>
      </c>
    </row>
    <row r="357" spans="1:79" x14ac:dyDescent="0.45">
      <c r="A357" s="31" t="s">
        <v>48</v>
      </c>
      <c r="B357" s="31" t="s">
        <v>216</v>
      </c>
      <c r="C357" s="31">
        <f>VLOOKUP($B357,'Tillförd energi'!$B$1:$AI$720,MATCH(C$1,'Tillförd energi'!$B$1:$AQ$1,0),FALSE)</f>
        <v>0</v>
      </c>
      <c r="D357" s="31">
        <f>VLOOKUP($B357,'Tillförd energi'!$B$1:$AI$720,MATCH(D$1,'Tillförd energi'!$B$1:$AQ$1,0),FALSE)</f>
        <v>0.22</v>
      </c>
      <c r="E357" s="31">
        <f>VLOOKUP($B357,'Tillförd energi'!$B$1:$AI$720,MATCH(E$1,'Tillförd energi'!$B$1:$AQ$1,0),FALSE)</f>
        <v>0</v>
      </c>
      <c r="F357" s="31">
        <f>VLOOKUP($B357,'Tillförd energi'!$B$1:$AI$720,MATCH(F$1,'Tillförd energi'!$B$1:$AQ$1,0),FALSE)</f>
        <v>0</v>
      </c>
      <c r="G357" s="31">
        <f>VLOOKUP($B357,'Tillförd energi'!$B$1:$AI$720,MATCH(G$1,'Tillförd energi'!$B$1:$AQ$1,0),FALSE)</f>
        <v>0</v>
      </c>
      <c r="H357" s="31">
        <f>VLOOKUP($B357,'Tillförd energi'!$B$1:$AI$720,MATCH(H$1,'Tillförd energi'!$B$1:$AQ$1,0),FALSE)</f>
        <v>0</v>
      </c>
      <c r="I357" s="31">
        <f>VLOOKUP($B357,'Tillförd energi'!$B$1:$AI$720,MATCH(I$1,'Tillförd energi'!$B$1:$AQ$1,0),FALSE)</f>
        <v>0</v>
      </c>
      <c r="J357" s="31">
        <f>VLOOKUP($B357,'Tillförd energi'!$B$1:$AI$720,MATCH(J$1,'Tillförd energi'!$B$1:$AQ$1,0),FALSE)</f>
        <v>0</v>
      </c>
      <c r="K357" s="31">
        <f>VLOOKUP($B357,'Tillförd energi'!$B$1:$AI$720,MATCH(K$1,'Tillförd energi'!$B$1:$AQ$1,0),FALSE)</f>
        <v>0</v>
      </c>
      <c r="L357" s="31">
        <f>VLOOKUP($B357,'Tillförd energi'!$B$1:$AI$720,MATCH(L$1,'Tillförd energi'!$B$1:$AQ$1,0),FALSE)</f>
        <v>0</v>
      </c>
      <c r="M357" s="31">
        <f>VLOOKUP($B357,'Tillförd energi'!$B$1:$AI$720,MATCH(M$1,'Tillförd energi'!$B$1:$AQ$1,0),FALSE)</f>
        <v>0</v>
      </c>
      <c r="N357" s="31">
        <f>VLOOKUP($B357,'Tillförd energi'!$B$1:$AI$720,MATCH(N$1,'Tillförd energi'!$B$1:$AQ$1,0),FALSE)</f>
        <v>0</v>
      </c>
      <c r="O357" s="31">
        <f>VLOOKUP($B357,'Tillförd energi'!$B$1:$AI$720,MATCH(O$1,'Tillförd energi'!$B$1:$AQ$1,0),FALSE)</f>
        <v>0</v>
      </c>
      <c r="P357" s="31">
        <f>VLOOKUP($B357,'Tillförd energi'!$B$1:$AI$720,MATCH(P$1,'Tillförd energi'!$B$1:$AQ$1,0),FALSE)</f>
        <v>0</v>
      </c>
      <c r="Q357" s="31">
        <f>VLOOKUP($B357,'Tillförd energi'!$B$1:$AI$720,MATCH(Q$1,'Tillförd energi'!$B$1:$AQ$1,0),FALSE)</f>
        <v>0</v>
      </c>
      <c r="R357" s="31">
        <f>VLOOKUP($B357,'Tillförd energi'!$B$1:$AI$720,MATCH(R$1,'Tillförd energi'!$B$1:$AQ$1,0),FALSE)</f>
        <v>0</v>
      </c>
      <c r="S357" s="31">
        <f>VLOOKUP($B357,'Tillförd energi'!$B$1:$AI$720,MATCH(S$1,'Tillförd energi'!$B$1:$AQ$1,0),FALSE)</f>
        <v>7.1239999999999997</v>
      </c>
      <c r="T357" s="31">
        <f>VLOOKUP($B357,'Tillförd energi'!$B$1:$AI$720,MATCH(T$1,'Tillförd energi'!$B$1:$AQ$1,0),FALSE)</f>
        <v>0</v>
      </c>
      <c r="U357" s="31">
        <f>VLOOKUP($B357,'Tillförd energi'!$B$1:$AI$720,MATCH(U$1,'Tillförd energi'!$B$1:$AQ$1,0),FALSE)</f>
        <v>0</v>
      </c>
      <c r="V357" s="31">
        <f>VLOOKUP($B357,'Tillförd energi'!$B$1:$AI$720,MATCH(V$1,'Tillförd energi'!$B$1:$AQ$1,0),FALSE)</f>
        <v>0</v>
      </c>
      <c r="W357" s="31">
        <f>VLOOKUP($B357,'Tillförd energi'!$B$1:$AI$720,MATCH(W$1,'Tillförd energi'!$B$1:$AQ$1,0),FALSE)</f>
        <v>0</v>
      </c>
      <c r="X357" s="31">
        <f>VLOOKUP($B357,'Tillförd energi'!$B$1:$AI$720,MATCH(X$1,'Tillförd energi'!$B$1:$AQ$1,0),FALSE)</f>
        <v>0</v>
      </c>
      <c r="Y357" s="31">
        <f>VLOOKUP($B357,'Tillförd energi'!$B$1:$AI$720,MATCH(Y$1,'Tillförd energi'!$B$1:$AQ$1,0),FALSE)</f>
        <v>0</v>
      </c>
      <c r="Z357" s="31">
        <f>VLOOKUP($B357,'Tillförd energi'!$B$1:$AI$720,MATCH(Z$1,'Tillförd energi'!$B$1:$AQ$1,0),FALSE)</f>
        <v>0</v>
      </c>
      <c r="AA357" s="31">
        <f>VLOOKUP($B357,'Tillförd energi'!$B$1:$AI$720,MATCH(AA$1,'Tillförd energi'!$B$1:$AQ$1,0),FALSE)</f>
        <v>0</v>
      </c>
      <c r="AB357" s="31">
        <f>VLOOKUP($B357,'Tillförd energi'!$B$1:$AI$720,MATCH(AB$1,'Tillförd energi'!$B$1:$AQ$1,0),FALSE)</f>
        <v>0</v>
      </c>
      <c r="AC357" s="31">
        <f>VLOOKUP($B357,'Tillförd energi'!$B$1:$AI$720,MATCH(AC$1,'Tillförd energi'!$B$1:$AQ$1,0),FALSE)</f>
        <v>0</v>
      </c>
      <c r="AD357" s="31">
        <f>VLOOKUP($B357,'Tillförd energi'!$B$1:$AI$720,MATCH(AD$1,'Tillförd energi'!$B$1:$AQ$1,0),FALSE)</f>
        <v>0</v>
      </c>
      <c r="AE357" s="31">
        <f>VLOOKUP($B357,'Tillförd energi'!$B$1:$AI$720,MATCH(AE$1,'Tillförd energi'!$B$1:$AQ$1,0),FALSE)</f>
        <v>0</v>
      </c>
      <c r="AF357" s="31">
        <f>VLOOKUP($B357,'Tillförd energi'!$B$1:$AI$720,MATCH(AF$1,'Tillförd energi'!$B$1:$AQ$1,0),FALSE)</f>
        <v>0.10299999999999999</v>
      </c>
      <c r="AG357" s="31">
        <f>IFERROR(VLOOKUP(B357,Miljö!$B$1:$AC$550,MATCH("Köpt mängd produktionsspecifik fjärrvärme:",Miljö!$B$1:$AC$1,0),FALSE)/1,0)</f>
        <v>0</v>
      </c>
      <c r="AI357" s="31">
        <f t="shared" si="115"/>
        <v>7.4469999999999992</v>
      </c>
      <c r="AJ357" s="31">
        <f t="shared" si="116"/>
        <v>7.4469999999999992</v>
      </c>
      <c r="AK357" s="31">
        <f>IF(ISERROR(1/VLOOKUP($B357,Leveranser!$B$1:$S$499,MATCH("Såld värme (GWh)",Leveranser!$B$1:$S$1,0),FALSE)),"",VLOOKUP($B357,Leveranser!$B$1:$S$499,MATCH("Såld värme (GWh)",Leveranser!$B$1:$S$1,0),FALSE))</f>
        <v>5.5330000000000004</v>
      </c>
      <c r="AL357" s="31">
        <f>VLOOKUP($B357,Leveranser!$B$1:$Y$499,MATCH("Totalt såld fjärrvärme till andra fjärrvärmeföretag",Leveranser!$B$1:$AA$1,0),FALSE)</f>
        <v>0</v>
      </c>
      <c r="AM357" s="31">
        <f>IF(ISERROR(1/VLOOKUP($B357,Miljö!$B$1:$S$500,MATCH("Såld mängd produktionsspecifik fjärrvärme (GWh)",Miljö!$B$1:$R$1,0),FALSE)),0,VLOOKUP($B357,Miljö!$B$1:$S$500,MATCH("Såld mängd produktionsspecifik fjärrvärme (GWh)",Miljö!$B$1:$R$1,0),FALSE))</f>
        <v>0</v>
      </c>
      <c r="AN357" s="32">
        <f t="shared" si="117"/>
        <v>0.74298375184638121</v>
      </c>
      <c r="AP357" s="31" t="str">
        <f>IFERROR(VLOOKUP($B357,Miljövärden!$B$2:$H$550,7,FALSE),"Nej, saknas")</f>
        <v>Ja</v>
      </c>
      <c r="AQ357" s="31" t="str">
        <f>IFERROR(VLOOKUP($B357,Miljövärden!$B$2:$H$551,6,FALSE),"Nej, saknas")</f>
        <v>Ja</v>
      </c>
      <c r="AU357" s="31">
        <f t="shared" si="118"/>
        <v>0.10299999999999999</v>
      </c>
      <c r="AV357" s="31">
        <f t="shared" si="119"/>
        <v>0</v>
      </c>
      <c r="AW357" s="31">
        <f t="shared" si="120"/>
        <v>0</v>
      </c>
      <c r="AX357" s="31">
        <f t="shared" si="121"/>
        <v>7.1239999999999997</v>
      </c>
      <c r="AZ357" s="31">
        <f t="shared" si="122"/>
        <v>7.1239999999999997</v>
      </c>
      <c r="BC357" s="31">
        <f t="shared" si="123"/>
        <v>0.22</v>
      </c>
      <c r="BD357" s="31">
        <f t="shared" si="124"/>
        <v>0</v>
      </c>
      <c r="BE357" s="31">
        <f t="shared" si="125"/>
        <v>7.1239999999999997</v>
      </c>
      <c r="BF357" s="31">
        <f t="shared" si="126"/>
        <v>0</v>
      </c>
      <c r="BG357" s="31">
        <f t="shared" si="127"/>
        <v>0.10299999999999999</v>
      </c>
      <c r="BH357" s="31">
        <f>VLOOKUP(B357,Miljö!$B$1:$BX$482,MATCH("Fossilandel för ursprungspecificerad el ()",Miljö!$B$1:$I$1,0),FALSE)</f>
        <v>0</v>
      </c>
      <c r="BI357" s="31">
        <f>VLOOKUP(B357,Miljö!$B$1:$BX$482,MATCH("Kärnkraftsandel för ursprungsspecificerad el ()",Miljö!$B$1:$O$1,0),FALSE)</f>
        <v>0</v>
      </c>
      <c r="BJ357" s="31">
        <f t="shared" si="128"/>
        <v>0</v>
      </c>
      <c r="BK357" s="31" t="str">
        <f>VLOOKUP(B357,Miljö!$B$1:$P$482,MATCH("Fossil andel i procent (%)",Miljö!$B$1:$P$1,0),FALSE)</f>
        <v>ET</v>
      </c>
      <c r="BL357" s="31">
        <f t="shared" si="129"/>
        <v>7.4469999999999992</v>
      </c>
      <c r="BO357" s="32">
        <f t="shared" si="130"/>
        <v>2.9542097488921715E-2</v>
      </c>
      <c r="BP357" s="32">
        <f t="shared" si="131"/>
        <v>0</v>
      </c>
      <c r="BQ357" s="32">
        <f t="shared" si="132"/>
        <v>0.97045790251107833</v>
      </c>
      <c r="BR357" s="32">
        <f t="shared" si="133"/>
        <v>0</v>
      </c>
      <c r="BT357" s="62">
        <f t="shared" si="134"/>
        <v>1</v>
      </c>
      <c r="BW357" s="32">
        <f>IF(AP357="Ja",VLOOKUP(B357,Miljövärden!$B$2:$H$551,MATCH("Total andel fossilt",Miljövärden!$B$2:$H$2,0),FALSE),"")</f>
        <v>2.9542100000000002E-2</v>
      </c>
      <c r="BX357" s="62">
        <f t="shared" si="135"/>
        <v>2.5110782862769465E-9</v>
      </c>
      <c r="BZ357" s="31">
        <f t="shared" si="136"/>
        <v>2.5110782862769465E-9</v>
      </c>
      <c r="CA357" s="32">
        <f t="shared" si="137"/>
        <v>0</v>
      </c>
    </row>
    <row r="358" spans="1:79" x14ac:dyDescent="0.45">
      <c r="A358" s="31" t="s">
        <v>48</v>
      </c>
      <c r="B358" s="31" t="s">
        <v>215</v>
      </c>
      <c r="C358" s="31">
        <f>VLOOKUP($B358,'Tillförd energi'!$B$1:$AI$720,MATCH(C$1,'Tillförd energi'!$B$1:$AQ$1,0),FALSE)</f>
        <v>0</v>
      </c>
      <c r="D358" s="31">
        <f>VLOOKUP($B358,'Tillförd energi'!$B$1:$AI$720,MATCH(D$1,'Tillförd energi'!$B$1:$AQ$1,0),FALSE)</f>
        <v>0</v>
      </c>
      <c r="E358" s="31">
        <f>VLOOKUP($B358,'Tillförd energi'!$B$1:$AI$720,MATCH(E$1,'Tillförd energi'!$B$1:$AQ$1,0),FALSE)</f>
        <v>0</v>
      </c>
      <c r="F358" s="31">
        <f>VLOOKUP($B358,'Tillförd energi'!$B$1:$AI$720,MATCH(F$1,'Tillförd energi'!$B$1:$AQ$1,0),FALSE)</f>
        <v>1.18503</v>
      </c>
      <c r="G358" s="31">
        <f>VLOOKUP($B358,'Tillförd energi'!$B$1:$AI$720,MATCH(G$1,'Tillförd energi'!$B$1:$AQ$1,0),FALSE)</f>
        <v>0</v>
      </c>
      <c r="H358" s="31">
        <f>VLOOKUP($B358,'Tillförd energi'!$B$1:$AI$720,MATCH(H$1,'Tillförd energi'!$B$1:$AQ$1,0),FALSE)</f>
        <v>0</v>
      </c>
      <c r="I358" s="31">
        <f>VLOOKUP($B358,'Tillförd energi'!$B$1:$AI$720,MATCH(I$1,'Tillförd energi'!$B$1:$AQ$1,0),FALSE)</f>
        <v>0</v>
      </c>
      <c r="J358" s="31">
        <f>VLOOKUP($B358,'Tillförd energi'!$B$1:$AI$720,MATCH(J$1,'Tillförd energi'!$B$1:$AQ$1,0),FALSE)</f>
        <v>0</v>
      </c>
      <c r="K358" s="31">
        <f>VLOOKUP($B358,'Tillförd energi'!$B$1:$AI$720,MATCH(K$1,'Tillförd energi'!$B$1:$AQ$1,0),FALSE)</f>
        <v>0</v>
      </c>
      <c r="L358" s="31">
        <f>VLOOKUP($B358,'Tillförd energi'!$B$1:$AI$720,MATCH(L$1,'Tillförd energi'!$B$1:$AQ$1,0),FALSE)</f>
        <v>0</v>
      </c>
      <c r="M358" s="31">
        <f>VLOOKUP($B358,'Tillförd energi'!$B$1:$AI$720,MATCH(M$1,'Tillförd energi'!$B$1:$AQ$1,0),FALSE)</f>
        <v>0</v>
      </c>
      <c r="N358" s="31">
        <f>VLOOKUP($B358,'Tillförd energi'!$B$1:$AI$720,MATCH(N$1,'Tillförd energi'!$B$1:$AQ$1,0),FALSE)</f>
        <v>0</v>
      </c>
      <c r="O358" s="31">
        <f>VLOOKUP($B358,'Tillförd energi'!$B$1:$AI$720,MATCH(O$1,'Tillförd energi'!$B$1:$AQ$1,0),FALSE)</f>
        <v>45.553899999999999</v>
      </c>
      <c r="P358" s="31">
        <f>VLOOKUP($B358,'Tillförd energi'!$B$1:$AI$720,MATCH(P$1,'Tillförd energi'!$B$1:$AQ$1,0),FALSE)</f>
        <v>13.0893</v>
      </c>
      <c r="Q358" s="31">
        <f>VLOOKUP($B358,'Tillförd energi'!$B$1:$AI$720,MATCH(Q$1,'Tillförd energi'!$B$1:$AQ$1,0),FALSE)</f>
        <v>10.665900000000001</v>
      </c>
      <c r="R358" s="31">
        <f>VLOOKUP($B358,'Tillförd energi'!$B$1:$AI$720,MATCH(R$1,'Tillförd energi'!$B$1:$AQ$1,0),FALSE)</f>
        <v>0</v>
      </c>
      <c r="S358" s="31">
        <f>VLOOKUP($B358,'Tillförd energi'!$B$1:$AI$720,MATCH(S$1,'Tillförd energi'!$B$1:$AQ$1,0),FALSE)</f>
        <v>0</v>
      </c>
      <c r="T358" s="31">
        <f>VLOOKUP($B358,'Tillförd energi'!$B$1:$AI$720,MATCH(T$1,'Tillförd energi'!$B$1:$AQ$1,0),FALSE)</f>
        <v>0</v>
      </c>
      <c r="U358" s="31">
        <f>VLOOKUP($B358,'Tillförd energi'!$B$1:$AI$720,MATCH(U$1,'Tillförd energi'!$B$1:$AQ$1,0),FALSE)</f>
        <v>0</v>
      </c>
      <c r="V358" s="31">
        <f>VLOOKUP($B358,'Tillförd energi'!$B$1:$AI$720,MATCH(V$1,'Tillförd energi'!$B$1:$AQ$1,0),FALSE)</f>
        <v>0</v>
      </c>
      <c r="W358" s="31">
        <f>VLOOKUP($B358,'Tillförd energi'!$B$1:$AI$720,MATCH(W$1,'Tillförd energi'!$B$1:$AQ$1,0),FALSE)</f>
        <v>0</v>
      </c>
      <c r="X358" s="31">
        <f>VLOOKUP($B358,'Tillförd energi'!$B$1:$AI$720,MATCH(X$1,'Tillförd energi'!$B$1:$AQ$1,0),FALSE)</f>
        <v>0</v>
      </c>
      <c r="Y358" s="31">
        <f>VLOOKUP($B358,'Tillförd energi'!$B$1:$AI$720,MATCH(Y$1,'Tillförd energi'!$B$1:$AQ$1,0),FALSE)</f>
        <v>0</v>
      </c>
      <c r="Z358" s="31">
        <f>VLOOKUP($B358,'Tillförd energi'!$B$1:$AI$720,MATCH(Z$1,'Tillförd energi'!$B$1:$AQ$1,0),FALSE)</f>
        <v>0</v>
      </c>
      <c r="AA358" s="31">
        <f>VLOOKUP($B358,'Tillförd energi'!$B$1:$AI$720,MATCH(AA$1,'Tillförd energi'!$B$1:$AQ$1,0),FALSE)</f>
        <v>0</v>
      </c>
      <c r="AB358" s="31">
        <f>VLOOKUP($B358,'Tillförd energi'!$B$1:$AI$720,MATCH(AB$1,'Tillförd energi'!$B$1:$AQ$1,0),FALSE)</f>
        <v>0</v>
      </c>
      <c r="AC358" s="31">
        <f>VLOOKUP($B358,'Tillförd energi'!$B$1:$AI$720,MATCH(AC$1,'Tillförd energi'!$B$1:$AQ$1,0),FALSE)</f>
        <v>7.89</v>
      </c>
      <c r="AD358" s="31">
        <f>VLOOKUP($B358,'Tillförd energi'!$B$1:$AI$720,MATCH(AD$1,'Tillförd energi'!$B$1:$AQ$1,0),FALSE)</f>
        <v>31.783999999999999</v>
      </c>
      <c r="AE358" s="31">
        <f>VLOOKUP($B358,'Tillförd energi'!$B$1:$AI$720,MATCH(AE$1,'Tillförd energi'!$B$1:$AQ$1,0),FALSE)</f>
        <v>0</v>
      </c>
      <c r="AF358" s="31">
        <f>VLOOKUP($B358,'Tillförd energi'!$B$1:$AI$720,MATCH(AF$1,'Tillförd energi'!$B$1:$AQ$1,0),FALSE)</f>
        <v>2.1865399999999999</v>
      </c>
      <c r="AG358" s="31">
        <f>IFERROR(VLOOKUP(B358,Miljö!$B$1:$AC$550,MATCH("Köpt mängd produktionsspecifik fjärrvärme:",Miljö!$B$1:$AC$1,0),FALSE)/1,0)</f>
        <v>0</v>
      </c>
      <c r="AI358" s="31">
        <f t="shared" si="115"/>
        <v>112.35466999999998</v>
      </c>
      <c r="AJ358" s="31">
        <f t="shared" si="116"/>
        <v>112.35466999999998</v>
      </c>
      <c r="AK358" s="31">
        <f>IF(ISERROR(1/VLOOKUP($B358,Leveranser!$B$1:$S$499,MATCH("Såld värme (GWh)",Leveranser!$B$1:$S$1,0),FALSE)),"",VLOOKUP($B358,Leveranser!$B$1:$S$499,MATCH("Såld värme (GWh)",Leveranser!$B$1:$S$1,0),FALSE))</f>
        <v>91.608000000000004</v>
      </c>
      <c r="AL358" s="31">
        <f>VLOOKUP($B358,Leveranser!$B$1:$Y$499,MATCH("Totalt såld fjärrvärme till andra fjärrvärmeföretag",Leveranser!$B$1:$AA$1,0),FALSE)</f>
        <v>0</v>
      </c>
      <c r="AM358" s="31">
        <f>IF(ISERROR(1/VLOOKUP($B358,Miljö!$B$1:$S$500,MATCH("Såld mängd produktionsspecifik fjärrvärme (GWh)",Miljö!$B$1:$R$1,0),FALSE)),0,VLOOKUP($B358,Miljö!$B$1:$S$500,MATCH("Såld mängd produktionsspecifik fjärrvärme (GWh)",Miljö!$B$1:$R$1,0),FALSE))</f>
        <v>0</v>
      </c>
      <c r="AN358" s="32">
        <f t="shared" si="117"/>
        <v>0.81534661621096849</v>
      </c>
      <c r="AP358" s="31" t="str">
        <f>IFERROR(VLOOKUP($B358,Miljövärden!$B$2:$H$550,7,FALSE),"Nej, saknas")</f>
        <v>Ja</v>
      </c>
      <c r="AQ358" s="31" t="str">
        <f>IFERROR(VLOOKUP($B358,Miljövärden!$B$2:$H$551,6,FALSE),"Nej, saknas")</f>
        <v>Ja</v>
      </c>
      <c r="AU358" s="31">
        <f t="shared" si="118"/>
        <v>2.1865399999999999</v>
      </c>
      <c r="AV358" s="31">
        <f t="shared" si="119"/>
        <v>0</v>
      </c>
      <c r="AW358" s="31">
        <f t="shared" si="120"/>
        <v>69.309100000000001</v>
      </c>
      <c r="AX358" s="31">
        <f t="shared" si="121"/>
        <v>0</v>
      </c>
      <c r="AZ358" s="31">
        <f t="shared" si="122"/>
        <v>69.309100000000001</v>
      </c>
      <c r="BC358" s="31">
        <f t="shared" si="123"/>
        <v>1.18503</v>
      </c>
      <c r="BD358" s="31">
        <f t="shared" si="124"/>
        <v>0</v>
      </c>
      <c r="BE358" s="31">
        <f t="shared" si="125"/>
        <v>69.309100000000001</v>
      </c>
      <c r="BF358" s="31">
        <f t="shared" si="126"/>
        <v>39.673999999999999</v>
      </c>
      <c r="BG358" s="31">
        <f t="shared" si="127"/>
        <v>2.1865399999999999</v>
      </c>
      <c r="BH358" s="31">
        <f>VLOOKUP(B358,Miljö!$B$1:$BX$482,MATCH("Fossilandel för ursprungspecificerad el ()",Miljö!$B$1:$I$1,0),FALSE)</f>
        <v>0</v>
      </c>
      <c r="BI358" s="31">
        <f>VLOOKUP(B358,Miljö!$B$1:$BX$482,MATCH("Kärnkraftsandel för ursprungsspecificerad el ()",Miljö!$B$1:$O$1,0),FALSE)</f>
        <v>0</v>
      </c>
      <c r="BJ358" s="31">
        <f t="shared" si="128"/>
        <v>0</v>
      </c>
      <c r="BK358" s="31" t="str">
        <f>VLOOKUP(B358,Miljö!$B$1:$P$482,MATCH("Fossil andel i procent (%)",Miljö!$B$1:$P$1,0),FALSE)</f>
        <v>ET</v>
      </c>
      <c r="BL358" s="31">
        <f t="shared" si="129"/>
        <v>112.35466999999998</v>
      </c>
      <c r="BO358" s="32">
        <f t="shared" si="130"/>
        <v>1.05472251398184E-2</v>
      </c>
      <c r="BP358" s="32">
        <f t="shared" si="131"/>
        <v>0</v>
      </c>
      <c r="BQ358" s="32">
        <f t="shared" si="132"/>
        <v>0.63633883665004765</v>
      </c>
      <c r="BR358" s="32">
        <f t="shared" si="133"/>
        <v>0.35311393821013409</v>
      </c>
      <c r="BT358" s="62">
        <f t="shared" si="134"/>
        <v>1.0000000000000002</v>
      </c>
      <c r="BW358" s="32">
        <f>IF(AP358="Ja",VLOOKUP(B358,Miljövärden!$B$2:$H$551,MATCH("Total andel fossilt",Miljövärden!$B$2:$H$2,0),FALSE),"")</f>
        <v>1.05472E-2</v>
      </c>
      <c r="BX358" s="62">
        <f t="shared" si="135"/>
        <v>-2.5139818400632397E-8</v>
      </c>
      <c r="BZ358" s="31">
        <f t="shared" si="136"/>
        <v>-2.5139818400632397E-8</v>
      </c>
      <c r="CA358" s="32">
        <f t="shared" si="137"/>
        <v>0</v>
      </c>
    </row>
    <row r="359" spans="1:79" x14ac:dyDescent="0.45">
      <c r="A359" s="31" t="s">
        <v>48</v>
      </c>
      <c r="B359" s="31" t="s">
        <v>214</v>
      </c>
      <c r="C359" s="31">
        <f>VLOOKUP($B359,'Tillförd energi'!$B$1:$AI$720,MATCH(C$1,'Tillförd energi'!$B$1:$AQ$1,0),FALSE)</f>
        <v>0</v>
      </c>
      <c r="D359" s="31">
        <f>VLOOKUP($B359,'Tillförd energi'!$B$1:$AI$720,MATCH(D$1,'Tillförd energi'!$B$1:$AQ$1,0),FALSE)</f>
        <v>0.55200000000000005</v>
      </c>
      <c r="E359" s="31">
        <f>VLOOKUP($B359,'Tillförd energi'!$B$1:$AI$720,MATCH(E$1,'Tillförd energi'!$B$1:$AQ$1,0),FALSE)</f>
        <v>0</v>
      </c>
      <c r="F359" s="31">
        <f>VLOOKUP($B359,'Tillförd energi'!$B$1:$AI$720,MATCH(F$1,'Tillförd energi'!$B$1:$AQ$1,0),FALSE)</f>
        <v>0</v>
      </c>
      <c r="G359" s="31">
        <f>VLOOKUP($B359,'Tillförd energi'!$B$1:$AI$720,MATCH(G$1,'Tillförd energi'!$B$1:$AQ$1,0),FALSE)</f>
        <v>0</v>
      </c>
      <c r="H359" s="31">
        <f>VLOOKUP($B359,'Tillförd energi'!$B$1:$AI$720,MATCH(H$1,'Tillförd energi'!$B$1:$AQ$1,0),FALSE)</f>
        <v>0</v>
      </c>
      <c r="I359" s="31">
        <f>VLOOKUP($B359,'Tillförd energi'!$B$1:$AI$720,MATCH(I$1,'Tillförd energi'!$B$1:$AQ$1,0),FALSE)</f>
        <v>0</v>
      </c>
      <c r="J359" s="31">
        <f>VLOOKUP($B359,'Tillförd energi'!$B$1:$AI$720,MATCH(J$1,'Tillförd energi'!$B$1:$AQ$1,0),FALSE)</f>
        <v>0</v>
      </c>
      <c r="K359" s="31">
        <f>VLOOKUP($B359,'Tillförd energi'!$B$1:$AI$720,MATCH(K$1,'Tillförd energi'!$B$1:$AQ$1,0),FALSE)</f>
        <v>0</v>
      </c>
      <c r="L359" s="31">
        <f>VLOOKUP($B359,'Tillförd energi'!$B$1:$AI$720,MATCH(L$1,'Tillförd energi'!$B$1:$AQ$1,0),FALSE)</f>
        <v>0</v>
      </c>
      <c r="M359" s="31">
        <f>VLOOKUP($B359,'Tillförd energi'!$B$1:$AI$720,MATCH(M$1,'Tillförd energi'!$B$1:$AQ$1,0),FALSE)</f>
        <v>53.1083</v>
      </c>
      <c r="N359" s="31">
        <f>VLOOKUP($B359,'Tillförd energi'!$B$1:$AI$720,MATCH(N$1,'Tillförd energi'!$B$1:$AQ$1,0),FALSE)</f>
        <v>1.1913899999999999</v>
      </c>
      <c r="O359" s="31">
        <f>VLOOKUP($B359,'Tillförd energi'!$B$1:$AI$720,MATCH(O$1,'Tillförd energi'!$B$1:$AQ$1,0),FALSE)</f>
        <v>33.143099999999997</v>
      </c>
      <c r="P359" s="31">
        <f>VLOOKUP($B359,'Tillförd energi'!$B$1:$AI$720,MATCH(P$1,'Tillförd energi'!$B$1:$AQ$1,0),FALSE)</f>
        <v>0</v>
      </c>
      <c r="Q359" s="31">
        <f>VLOOKUP($B359,'Tillförd energi'!$B$1:$AI$720,MATCH(Q$1,'Tillförd energi'!$B$1:$AQ$1,0),FALSE)</f>
        <v>5.5240499999999999</v>
      </c>
      <c r="R359" s="31">
        <f>VLOOKUP($B359,'Tillförd energi'!$B$1:$AI$720,MATCH(R$1,'Tillförd energi'!$B$1:$AQ$1,0),FALSE)</f>
        <v>0</v>
      </c>
      <c r="S359" s="31">
        <f>VLOOKUP($B359,'Tillförd energi'!$B$1:$AI$720,MATCH(S$1,'Tillförd energi'!$B$1:$AQ$1,0),FALSE)</f>
        <v>0</v>
      </c>
      <c r="T359" s="31">
        <f>VLOOKUP($B359,'Tillförd energi'!$B$1:$AI$720,MATCH(T$1,'Tillförd energi'!$B$1:$AQ$1,0),FALSE)</f>
        <v>0</v>
      </c>
      <c r="U359" s="31">
        <f>VLOOKUP($B359,'Tillförd energi'!$B$1:$AI$720,MATCH(U$1,'Tillförd energi'!$B$1:$AQ$1,0),FALSE)</f>
        <v>0</v>
      </c>
      <c r="V359" s="31">
        <f>VLOOKUP($B359,'Tillförd energi'!$B$1:$AI$720,MATCH(V$1,'Tillförd energi'!$B$1:$AQ$1,0),FALSE)</f>
        <v>0.83399999999999996</v>
      </c>
      <c r="W359" s="31">
        <f>VLOOKUP($B359,'Tillförd energi'!$B$1:$AI$720,MATCH(W$1,'Tillförd energi'!$B$1:$AQ$1,0),FALSE)</f>
        <v>0</v>
      </c>
      <c r="X359" s="31">
        <f>VLOOKUP($B359,'Tillförd energi'!$B$1:$AI$720,MATCH(X$1,'Tillförd energi'!$B$1:$AQ$1,0),FALSE)</f>
        <v>0</v>
      </c>
      <c r="Y359" s="31">
        <f>VLOOKUP($B359,'Tillförd energi'!$B$1:$AI$720,MATCH(Y$1,'Tillförd energi'!$B$1:$AQ$1,0),FALSE)</f>
        <v>0</v>
      </c>
      <c r="Z359" s="31">
        <f>VLOOKUP($B359,'Tillförd energi'!$B$1:$AI$720,MATCH(Z$1,'Tillförd energi'!$B$1:$AQ$1,0),FALSE)</f>
        <v>0</v>
      </c>
      <c r="AA359" s="31">
        <f>VLOOKUP($B359,'Tillförd energi'!$B$1:$AI$720,MATCH(AA$1,'Tillförd energi'!$B$1:$AQ$1,0),FALSE)</f>
        <v>0</v>
      </c>
      <c r="AB359" s="31">
        <f>VLOOKUP($B359,'Tillförd energi'!$B$1:$AI$720,MATCH(AB$1,'Tillförd energi'!$B$1:$AQ$1,0),FALSE)</f>
        <v>0</v>
      </c>
      <c r="AC359" s="31">
        <f>VLOOKUP($B359,'Tillförd energi'!$B$1:$AI$720,MATCH(AC$1,'Tillförd energi'!$B$1:$AQ$1,0),FALSE)</f>
        <v>39.619</v>
      </c>
      <c r="AD359" s="31">
        <f>VLOOKUP($B359,'Tillförd energi'!$B$1:$AI$720,MATCH(AD$1,'Tillförd energi'!$B$1:$AQ$1,0),FALSE)</f>
        <v>0</v>
      </c>
      <c r="AE359" s="31">
        <f>VLOOKUP($B359,'Tillförd energi'!$B$1:$AI$720,MATCH(AE$1,'Tillförd energi'!$B$1:$AQ$1,0),FALSE)</f>
        <v>0</v>
      </c>
      <c r="AF359" s="31">
        <f>VLOOKUP($B359,'Tillförd energi'!$B$1:$AI$720,MATCH(AF$1,'Tillförd energi'!$B$1:$AQ$1,0),FALSE)</f>
        <v>3.8870399999999998</v>
      </c>
      <c r="AG359" s="31">
        <f>IFERROR(VLOOKUP(B359,Miljö!$B$1:$AC$550,MATCH("Köpt mängd produktionsspecifik fjärrvärme:",Miljö!$B$1:$AC$1,0),FALSE)/1,0)</f>
        <v>0</v>
      </c>
      <c r="AI359" s="31">
        <f t="shared" si="115"/>
        <v>137.85888</v>
      </c>
      <c r="AJ359" s="31">
        <f t="shared" si="116"/>
        <v>137.85888</v>
      </c>
      <c r="AK359" s="31">
        <f>IF(ISERROR(1/VLOOKUP($B359,Leveranser!$B$1:$S$499,MATCH("Såld värme (GWh)",Leveranser!$B$1:$S$1,0),FALSE)),"",VLOOKUP($B359,Leveranser!$B$1:$S$499,MATCH("Såld värme (GWh)",Leveranser!$B$1:$S$1,0),FALSE))</f>
        <v>118.883</v>
      </c>
      <c r="AL359" s="31">
        <f>VLOOKUP($B359,Leveranser!$B$1:$Y$499,MATCH("Totalt såld fjärrvärme till andra fjärrvärmeföretag",Leveranser!$B$1:$AA$1,0),FALSE)</f>
        <v>0</v>
      </c>
      <c r="AM359" s="31">
        <f>IF(ISERROR(1/VLOOKUP($B359,Miljö!$B$1:$S$500,MATCH("Såld mängd produktionsspecifik fjärrvärme (GWh)",Miljö!$B$1:$R$1,0),FALSE)),0,VLOOKUP($B359,Miljö!$B$1:$S$500,MATCH("Såld mängd produktionsspecifik fjärrvärme (GWh)",Miljö!$B$1:$R$1,0),FALSE))</f>
        <v>0</v>
      </c>
      <c r="AN359" s="32">
        <f t="shared" si="117"/>
        <v>0.86235286403023148</v>
      </c>
      <c r="AP359" s="31" t="str">
        <f>IFERROR(VLOOKUP($B359,Miljövärden!$B$2:$H$550,7,FALSE),"Nej, saknas")</f>
        <v>Ja</v>
      </c>
      <c r="AQ359" s="31" t="str">
        <f>IFERROR(VLOOKUP($B359,Miljövärden!$B$2:$H$551,6,FALSE),"Nej, saknas")</f>
        <v>Ja</v>
      </c>
      <c r="AU359" s="31">
        <f t="shared" si="118"/>
        <v>3.8870399999999998</v>
      </c>
      <c r="AV359" s="31">
        <f t="shared" si="119"/>
        <v>0</v>
      </c>
      <c r="AW359" s="31">
        <f t="shared" si="120"/>
        <v>92.966840000000005</v>
      </c>
      <c r="AX359" s="31">
        <f t="shared" si="121"/>
        <v>0</v>
      </c>
      <c r="AZ359" s="31">
        <f t="shared" si="122"/>
        <v>93.800840000000008</v>
      </c>
      <c r="BC359" s="31">
        <f t="shared" si="123"/>
        <v>0.55200000000000005</v>
      </c>
      <c r="BD359" s="31">
        <f t="shared" si="124"/>
        <v>0</v>
      </c>
      <c r="BE359" s="31">
        <f t="shared" si="125"/>
        <v>93.800840000000008</v>
      </c>
      <c r="BF359" s="31">
        <f t="shared" si="126"/>
        <v>39.619</v>
      </c>
      <c r="BG359" s="31">
        <f t="shared" si="127"/>
        <v>3.8870399999999998</v>
      </c>
      <c r="BH359" s="31">
        <f>VLOOKUP(B359,Miljö!$B$1:$BX$482,MATCH("Fossilandel för ursprungspecificerad el ()",Miljö!$B$1:$I$1,0),FALSE)</f>
        <v>0</v>
      </c>
      <c r="BI359" s="31">
        <f>VLOOKUP(B359,Miljö!$B$1:$BX$482,MATCH("Kärnkraftsandel för ursprungsspecificerad el ()",Miljö!$B$1:$O$1,0),FALSE)</f>
        <v>0</v>
      </c>
      <c r="BJ359" s="31">
        <f t="shared" si="128"/>
        <v>0</v>
      </c>
      <c r="BK359" s="31" t="str">
        <f>VLOOKUP(B359,Miljö!$B$1:$P$482,MATCH("Fossil andel i procent (%)",Miljö!$B$1:$P$1,0),FALSE)</f>
        <v>ET</v>
      </c>
      <c r="BL359" s="31">
        <f t="shared" si="129"/>
        <v>137.85888000000003</v>
      </c>
      <c r="BO359" s="32">
        <f t="shared" si="130"/>
        <v>4.0040946219786488E-3</v>
      </c>
      <c r="BP359" s="32">
        <f t="shared" si="131"/>
        <v>0</v>
      </c>
      <c r="BQ359" s="32">
        <f t="shared" si="132"/>
        <v>0.70860781692118768</v>
      </c>
      <c r="BR359" s="32">
        <f t="shared" si="133"/>
        <v>0.2873880884568335</v>
      </c>
      <c r="BT359" s="62">
        <f t="shared" si="134"/>
        <v>0.99999999999999989</v>
      </c>
      <c r="BW359" s="32">
        <f>IF(AP359="Ja",VLOOKUP(B359,Miljövärden!$B$2:$H$551,MATCH("Total andel fossilt",Miljövärden!$B$2:$H$2,0),FALSE),"")</f>
        <v>4.0040900000000001E-3</v>
      </c>
      <c r="BX359" s="62">
        <f t="shared" si="135"/>
        <v>-4.6219786487694536E-9</v>
      </c>
      <c r="BZ359" s="31">
        <f t="shared" si="136"/>
        <v>-4.6219786487694536E-9</v>
      </c>
      <c r="CA359" s="32">
        <f t="shared" si="137"/>
        <v>0</v>
      </c>
    </row>
    <row r="360" spans="1:79" x14ac:dyDescent="0.45">
      <c r="A360" s="31" t="s">
        <v>48</v>
      </c>
      <c r="B360" s="31" t="s">
        <v>213</v>
      </c>
      <c r="C360" s="31">
        <f>VLOOKUP($B360,'Tillförd energi'!$B$1:$AI$720,MATCH(C$1,'Tillförd energi'!$B$1:$AQ$1,0),FALSE)</f>
        <v>0</v>
      </c>
      <c r="D360" s="31">
        <f>VLOOKUP($B360,'Tillförd energi'!$B$1:$AI$720,MATCH(D$1,'Tillförd energi'!$B$1:$AQ$1,0),FALSE)</f>
        <v>1.37</v>
      </c>
      <c r="E360" s="31">
        <f>VLOOKUP($B360,'Tillförd energi'!$B$1:$AI$720,MATCH(E$1,'Tillförd energi'!$B$1:$AQ$1,0),FALSE)</f>
        <v>0</v>
      </c>
      <c r="F360" s="31">
        <f>VLOOKUP($B360,'Tillförd energi'!$B$1:$AI$720,MATCH(F$1,'Tillförd energi'!$B$1:$AQ$1,0),FALSE)</f>
        <v>0</v>
      </c>
      <c r="G360" s="31">
        <f>VLOOKUP($B360,'Tillförd energi'!$B$1:$AI$720,MATCH(G$1,'Tillförd energi'!$B$1:$AQ$1,0),FALSE)</f>
        <v>0</v>
      </c>
      <c r="H360" s="31">
        <f>VLOOKUP($B360,'Tillförd energi'!$B$1:$AI$720,MATCH(H$1,'Tillförd energi'!$B$1:$AQ$1,0),FALSE)</f>
        <v>0</v>
      </c>
      <c r="I360" s="31">
        <f>VLOOKUP($B360,'Tillförd energi'!$B$1:$AI$720,MATCH(I$1,'Tillförd energi'!$B$1:$AQ$1,0),FALSE)</f>
        <v>0</v>
      </c>
      <c r="J360" s="31">
        <f>VLOOKUP($B360,'Tillförd energi'!$B$1:$AI$720,MATCH(J$1,'Tillförd energi'!$B$1:$AQ$1,0),FALSE)</f>
        <v>0</v>
      </c>
      <c r="K360" s="31">
        <f>VLOOKUP($B360,'Tillförd energi'!$B$1:$AI$720,MATCH(K$1,'Tillförd energi'!$B$1:$AQ$1,0),FALSE)</f>
        <v>0</v>
      </c>
      <c r="L360" s="31">
        <f>VLOOKUP($B360,'Tillförd energi'!$B$1:$AI$720,MATCH(L$1,'Tillförd energi'!$B$1:$AQ$1,0),FALSE)</f>
        <v>0</v>
      </c>
      <c r="M360" s="31">
        <f>VLOOKUP($B360,'Tillförd energi'!$B$1:$AI$720,MATCH(M$1,'Tillförd energi'!$B$1:$AQ$1,0),FALSE)</f>
        <v>14.055</v>
      </c>
      <c r="N360" s="31">
        <f>VLOOKUP($B360,'Tillförd energi'!$B$1:$AI$720,MATCH(N$1,'Tillförd energi'!$B$1:$AQ$1,0),FALSE)</f>
        <v>10.920999999999999</v>
      </c>
      <c r="O360" s="31">
        <f>VLOOKUP($B360,'Tillförd energi'!$B$1:$AI$720,MATCH(O$1,'Tillförd energi'!$B$1:$AQ$1,0),FALSE)</f>
        <v>0</v>
      </c>
      <c r="P360" s="31">
        <f>VLOOKUP($B360,'Tillförd energi'!$B$1:$AI$720,MATCH(P$1,'Tillförd energi'!$B$1:$AQ$1,0),FALSE)</f>
        <v>5.9390000000000001</v>
      </c>
      <c r="Q360" s="31">
        <f>VLOOKUP($B360,'Tillförd energi'!$B$1:$AI$720,MATCH(Q$1,'Tillförd energi'!$B$1:$AQ$1,0),FALSE)</f>
        <v>0</v>
      </c>
      <c r="R360" s="31">
        <f>VLOOKUP($B360,'Tillförd energi'!$B$1:$AI$720,MATCH(R$1,'Tillförd energi'!$B$1:$AQ$1,0),FALSE)</f>
        <v>0</v>
      </c>
      <c r="S360" s="31">
        <f>VLOOKUP($B360,'Tillförd energi'!$B$1:$AI$720,MATCH(S$1,'Tillförd energi'!$B$1:$AQ$1,0),FALSE)</f>
        <v>0</v>
      </c>
      <c r="T360" s="31">
        <f>VLOOKUP($B360,'Tillförd energi'!$B$1:$AI$720,MATCH(T$1,'Tillförd energi'!$B$1:$AQ$1,0),FALSE)</f>
        <v>0</v>
      </c>
      <c r="U360" s="31">
        <f>VLOOKUP($B360,'Tillförd energi'!$B$1:$AI$720,MATCH(U$1,'Tillförd energi'!$B$1:$AQ$1,0),FALSE)</f>
        <v>0</v>
      </c>
      <c r="V360" s="31">
        <f>VLOOKUP($B360,'Tillförd energi'!$B$1:$AI$720,MATCH(V$1,'Tillförd energi'!$B$1:$AQ$1,0),FALSE)</f>
        <v>0</v>
      </c>
      <c r="W360" s="31">
        <f>VLOOKUP($B360,'Tillförd energi'!$B$1:$AI$720,MATCH(W$1,'Tillförd energi'!$B$1:$AQ$1,0),FALSE)</f>
        <v>0</v>
      </c>
      <c r="X360" s="31">
        <f>VLOOKUP($B360,'Tillförd energi'!$B$1:$AI$720,MATCH(X$1,'Tillförd energi'!$B$1:$AQ$1,0),FALSE)</f>
        <v>0</v>
      </c>
      <c r="Y360" s="31">
        <f>VLOOKUP($B360,'Tillförd energi'!$B$1:$AI$720,MATCH(Y$1,'Tillförd energi'!$B$1:$AQ$1,0),FALSE)</f>
        <v>0</v>
      </c>
      <c r="Z360" s="31">
        <f>VLOOKUP($B360,'Tillförd energi'!$B$1:$AI$720,MATCH(Z$1,'Tillförd energi'!$B$1:$AQ$1,0),FALSE)</f>
        <v>0</v>
      </c>
      <c r="AA360" s="31">
        <f>VLOOKUP($B360,'Tillförd energi'!$B$1:$AI$720,MATCH(AA$1,'Tillförd energi'!$B$1:$AQ$1,0),FALSE)</f>
        <v>0</v>
      </c>
      <c r="AB360" s="31">
        <f>VLOOKUP($B360,'Tillförd energi'!$B$1:$AI$720,MATCH(AB$1,'Tillförd energi'!$B$1:$AQ$1,0),FALSE)</f>
        <v>0</v>
      </c>
      <c r="AC360" s="31">
        <f>VLOOKUP($B360,'Tillförd energi'!$B$1:$AI$720,MATCH(AC$1,'Tillförd energi'!$B$1:$AQ$1,0),FALSE)</f>
        <v>6.8579999999999997</v>
      </c>
      <c r="AD360" s="31">
        <f>VLOOKUP($B360,'Tillförd energi'!$B$1:$AI$720,MATCH(AD$1,'Tillförd energi'!$B$1:$AQ$1,0),FALSE)</f>
        <v>4.8380000000000001</v>
      </c>
      <c r="AE360" s="31">
        <f>VLOOKUP($B360,'Tillförd energi'!$B$1:$AI$720,MATCH(AE$1,'Tillförd energi'!$B$1:$AQ$1,0),FALSE)</f>
        <v>0</v>
      </c>
      <c r="AF360" s="31">
        <f>VLOOKUP($B360,'Tillförd energi'!$B$1:$AI$720,MATCH(AF$1,'Tillförd energi'!$B$1:$AQ$1,0),FALSE)</f>
        <v>0.98799999999999999</v>
      </c>
      <c r="AG360" s="31">
        <f>IFERROR(VLOOKUP(B360,Miljö!$B$1:$AC$550,MATCH("Köpt mängd produktionsspecifik fjärrvärme:",Miljö!$B$1:$AC$1,0),FALSE)/1,0)</f>
        <v>0</v>
      </c>
      <c r="AI360" s="31">
        <f t="shared" si="115"/>
        <v>44.968999999999994</v>
      </c>
      <c r="AJ360" s="31">
        <f t="shared" si="116"/>
        <v>44.968999999999994</v>
      </c>
      <c r="AK360" s="31">
        <f>IF(ISERROR(1/VLOOKUP($B360,Leveranser!$B$1:$S$499,MATCH("Såld värme (GWh)",Leveranser!$B$1:$S$1,0),FALSE)),"",VLOOKUP($B360,Leveranser!$B$1:$S$499,MATCH("Såld värme (GWh)",Leveranser!$B$1:$S$1,0),FALSE))</f>
        <v>32.707000000000001</v>
      </c>
      <c r="AL360" s="31">
        <f>VLOOKUP($B360,Leveranser!$B$1:$Y$499,MATCH("Totalt såld fjärrvärme till andra fjärrvärmeföretag",Leveranser!$B$1:$AA$1,0),FALSE)</f>
        <v>0</v>
      </c>
      <c r="AM360" s="31">
        <f>IF(ISERROR(1/VLOOKUP($B360,Miljö!$B$1:$S$500,MATCH("Såld mängd produktionsspecifik fjärrvärme (GWh)",Miljö!$B$1:$R$1,0),FALSE)),0,VLOOKUP($B360,Miljö!$B$1:$S$500,MATCH("Såld mängd produktionsspecifik fjärrvärme (GWh)",Miljö!$B$1:$R$1,0),FALSE))</f>
        <v>0</v>
      </c>
      <c r="AN360" s="32">
        <f t="shared" si="117"/>
        <v>0.72732326713958517</v>
      </c>
      <c r="AP360" s="31" t="str">
        <f>IFERROR(VLOOKUP($B360,Miljövärden!$B$2:$H$550,7,FALSE),"Nej, saknas")</f>
        <v>Ja</v>
      </c>
      <c r="AQ360" s="31" t="str">
        <f>IFERROR(VLOOKUP($B360,Miljövärden!$B$2:$H$551,6,FALSE),"Nej, saknas")</f>
        <v>Ja</v>
      </c>
      <c r="AU360" s="31">
        <f t="shared" si="118"/>
        <v>0.98799999999999999</v>
      </c>
      <c r="AV360" s="31">
        <f t="shared" si="119"/>
        <v>0</v>
      </c>
      <c r="AW360" s="31">
        <f t="shared" si="120"/>
        <v>30.914999999999999</v>
      </c>
      <c r="AX360" s="31">
        <f t="shared" si="121"/>
        <v>0</v>
      </c>
      <c r="AZ360" s="31">
        <f t="shared" si="122"/>
        <v>30.914999999999999</v>
      </c>
      <c r="BC360" s="31">
        <f t="shared" si="123"/>
        <v>1.37</v>
      </c>
      <c r="BD360" s="31">
        <f t="shared" si="124"/>
        <v>0</v>
      </c>
      <c r="BE360" s="31">
        <f t="shared" si="125"/>
        <v>30.914999999999999</v>
      </c>
      <c r="BF360" s="31">
        <f t="shared" si="126"/>
        <v>11.696</v>
      </c>
      <c r="BG360" s="31">
        <f t="shared" si="127"/>
        <v>0.98799999999999999</v>
      </c>
      <c r="BH360" s="31">
        <f>VLOOKUP(B360,Miljö!$B$1:$BX$482,MATCH("Fossilandel för ursprungspecificerad el ()",Miljö!$B$1:$I$1,0),FALSE)</f>
        <v>0</v>
      </c>
      <c r="BI360" s="31">
        <f>VLOOKUP(B360,Miljö!$B$1:$BX$482,MATCH("Kärnkraftsandel för ursprungsspecificerad el ()",Miljö!$B$1:$O$1,0),FALSE)</f>
        <v>0</v>
      </c>
      <c r="BJ360" s="31">
        <f t="shared" si="128"/>
        <v>0</v>
      </c>
      <c r="BK360" s="31" t="str">
        <f>VLOOKUP(B360,Miljö!$B$1:$P$482,MATCH("Fossil andel i procent (%)",Miljö!$B$1:$P$1,0),FALSE)</f>
        <v>ET</v>
      </c>
      <c r="BL360" s="31">
        <f t="shared" si="129"/>
        <v>44.968999999999994</v>
      </c>
      <c r="BO360" s="32">
        <f t="shared" si="130"/>
        <v>3.0465431741866625E-2</v>
      </c>
      <c r="BP360" s="32">
        <f t="shared" si="131"/>
        <v>0</v>
      </c>
      <c r="BQ360" s="32">
        <f t="shared" si="132"/>
        <v>0.70944428383997871</v>
      </c>
      <c r="BR360" s="32">
        <f t="shared" si="133"/>
        <v>0.26009028441815474</v>
      </c>
      <c r="BT360" s="62">
        <f t="shared" si="134"/>
        <v>1</v>
      </c>
      <c r="BW360" s="32">
        <f>IF(AP360="Ja",VLOOKUP(B360,Miljövärden!$B$2:$H$551,MATCH("Total andel fossilt",Miljövärden!$B$2:$H$2,0),FALSE),"")</f>
        <v>3.04654E-2</v>
      </c>
      <c r="BX360" s="62">
        <f t="shared" si="135"/>
        <v>-3.1741866624718229E-8</v>
      </c>
      <c r="BZ360" s="31">
        <f t="shared" si="136"/>
        <v>-3.1741866624718229E-8</v>
      </c>
      <c r="CA360" s="32">
        <f t="shared" si="137"/>
        <v>0</v>
      </c>
    </row>
    <row r="361" spans="1:79" x14ac:dyDescent="0.45">
      <c r="A361" s="31" t="s">
        <v>48</v>
      </c>
      <c r="B361" s="31" t="s">
        <v>212</v>
      </c>
      <c r="C361" s="31">
        <f>VLOOKUP($B361,'Tillförd energi'!$B$1:$AI$720,MATCH(C$1,'Tillförd energi'!$B$1:$AQ$1,0),FALSE)</f>
        <v>0</v>
      </c>
      <c r="D361" s="31">
        <f>VLOOKUP($B361,'Tillförd energi'!$B$1:$AI$720,MATCH(D$1,'Tillförd energi'!$B$1:$AQ$1,0),FALSE)</f>
        <v>0.91500000000000004</v>
      </c>
      <c r="E361" s="31">
        <f>VLOOKUP($B361,'Tillförd energi'!$B$1:$AI$720,MATCH(E$1,'Tillförd energi'!$B$1:$AQ$1,0),FALSE)</f>
        <v>0</v>
      </c>
      <c r="F361" s="31">
        <f>VLOOKUP($B361,'Tillförd energi'!$B$1:$AI$720,MATCH(F$1,'Tillförd energi'!$B$1:$AQ$1,0),FALSE)</f>
        <v>0.44705899999999998</v>
      </c>
      <c r="G361" s="31">
        <f>VLOOKUP($B361,'Tillförd energi'!$B$1:$AI$720,MATCH(G$1,'Tillförd energi'!$B$1:$AQ$1,0),FALSE)</f>
        <v>0</v>
      </c>
      <c r="H361" s="31">
        <f>VLOOKUP($B361,'Tillförd energi'!$B$1:$AI$720,MATCH(H$1,'Tillförd energi'!$B$1:$AQ$1,0),FALSE)</f>
        <v>0</v>
      </c>
      <c r="I361" s="31">
        <f>VLOOKUP($B361,'Tillförd energi'!$B$1:$AI$720,MATCH(I$1,'Tillförd energi'!$B$1:$AQ$1,0),FALSE)</f>
        <v>0</v>
      </c>
      <c r="J361" s="31">
        <f>VLOOKUP($B361,'Tillförd energi'!$B$1:$AI$720,MATCH(J$1,'Tillförd energi'!$B$1:$AQ$1,0),FALSE)</f>
        <v>0</v>
      </c>
      <c r="K361" s="31">
        <f>VLOOKUP($B361,'Tillförd energi'!$B$1:$AI$720,MATCH(K$1,'Tillförd energi'!$B$1:$AQ$1,0),FALSE)</f>
        <v>0</v>
      </c>
      <c r="L361" s="31">
        <f>VLOOKUP($B361,'Tillförd energi'!$B$1:$AI$720,MATCH(L$1,'Tillförd energi'!$B$1:$AQ$1,0),FALSE)</f>
        <v>0</v>
      </c>
      <c r="M361" s="31">
        <f>VLOOKUP($B361,'Tillförd energi'!$B$1:$AI$720,MATCH(M$1,'Tillförd energi'!$B$1:$AQ$1,0),FALSE)</f>
        <v>0</v>
      </c>
      <c r="N361" s="31">
        <f>VLOOKUP($B361,'Tillförd energi'!$B$1:$AI$720,MATCH(N$1,'Tillförd energi'!$B$1:$AQ$1,0),FALSE)</f>
        <v>0</v>
      </c>
      <c r="O361" s="31">
        <f>VLOOKUP($B361,'Tillförd energi'!$B$1:$AI$720,MATCH(O$1,'Tillförd energi'!$B$1:$AQ$1,0),FALSE)</f>
        <v>0</v>
      </c>
      <c r="P361" s="31">
        <f>VLOOKUP($B361,'Tillförd energi'!$B$1:$AI$720,MATCH(P$1,'Tillförd energi'!$B$1:$AQ$1,0),FALSE)</f>
        <v>0</v>
      </c>
      <c r="Q361" s="31">
        <f>VLOOKUP($B361,'Tillförd energi'!$B$1:$AI$720,MATCH(Q$1,'Tillförd energi'!$B$1:$AQ$1,0),FALSE)</f>
        <v>3.81412</v>
      </c>
      <c r="R361" s="31">
        <f>VLOOKUP($B361,'Tillförd energi'!$B$1:$AI$720,MATCH(R$1,'Tillförd energi'!$B$1:$AQ$1,0),FALSE)</f>
        <v>0</v>
      </c>
      <c r="S361" s="31">
        <f>VLOOKUP($B361,'Tillförd energi'!$B$1:$AI$720,MATCH(S$1,'Tillförd energi'!$B$1:$AQ$1,0),FALSE)</f>
        <v>0</v>
      </c>
      <c r="T361" s="31">
        <f>VLOOKUP($B361,'Tillförd energi'!$B$1:$AI$720,MATCH(T$1,'Tillförd energi'!$B$1:$AQ$1,0),FALSE)</f>
        <v>0</v>
      </c>
      <c r="U361" s="31">
        <f>VLOOKUP($B361,'Tillförd energi'!$B$1:$AI$720,MATCH(U$1,'Tillförd energi'!$B$1:$AQ$1,0),FALSE)</f>
        <v>0</v>
      </c>
      <c r="V361" s="31">
        <f>VLOOKUP($B361,'Tillförd energi'!$B$1:$AI$720,MATCH(V$1,'Tillförd energi'!$B$1:$AQ$1,0),FALSE)</f>
        <v>0</v>
      </c>
      <c r="W361" s="31">
        <f>VLOOKUP($B361,'Tillförd energi'!$B$1:$AI$720,MATCH(W$1,'Tillförd energi'!$B$1:$AQ$1,0),FALSE)</f>
        <v>0</v>
      </c>
      <c r="X361" s="31">
        <f>VLOOKUP($B361,'Tillförd energi'!$B$1:$AI$720,MATCH(X$1,'Tillförd energi'!$B$1:$AQ$1,0),FALSE)</f>
        <v>0</v>
      </c>
      <c r="Y361" s="31">
        <f>VLOOKUP($B361,'Tillförd energi'!$B$1:$AI$720,MATCH(Y$1,'Tillförd energi'!$B$1:$AQ$1,0),FALSE)</f>
        <v>0</v>
      </c>
      <c r="Z361" s="31">
        <f>VLOOKUP($B361,'Tillförd energi'!$B$1:$AI$720,MATCH(Z$1,'Tillförd energi'!$B$1:$AQ$1,0),FALSE)</f>
        <v>0</v>
      </c>
      <c r="AA361" s="31">
        <f>VLOOKUP($B361,'Tillförd energi'!$B$1:$AI$720,MATCH(AA$1,'Tillförd energi'!$B$1:$AQ$1,0),FALSE)</f>
        <v>0</v>
      </c>
      <c r="AB361" s="31">
        <f>VLOOKUP($B361,'Tillförd energi'!$B$1:$AI$720,MATCH(AB$1,'Tillförd energi'!$B$1:$AQ$1,0),FALSE)</f>
        <v>0</v>
      </c>
      <c r="AC361" s="31">
        <f>VLOOKUP($B361,'Tillförd energi'!$B$1:$AI$720,MATCH(AC$1,'Tillförd energi'!$B$1:$AQ$1,0),FALSE)</f>
        <v>0</v>
      </c>
      <c r="AD361" s="31">
        <f>VLOOKUP($B361,'Tillförd energi'!$B$1:$AI$720,MATCH(AD$1,'Tillförd energi'!$B$1:$AQ$1,0),FALSE)</f>
        <v>12.813000000000001</v>
      </c>
      <c r="AE361" s="31">
        <f>VLOOKUP($B361,'Tillförd energi'!$B$1:$AI$720,MATCH(AE$1,'Tillförd energi'!$B$1:$AQ$1,0),FALSE)</f>
        <v>0</v>
      </c>
      <c r="AF361" s="31">
        <f>VLOOKUP($B361,'Tillförd energi'!$B$1:$AI$720,MATCH(AF$1,'Tillförd energi'!$B$1:$AQ$1,0),FALSE)</f>
        <v>3.9E-2</v>
      </c>
      <c r="AG361" s="31">
        <f>IFERROR(VLOOKUP(B361,Miljö!$B$1:$AC$550,MATCH("Köpt mängd produktionsspecifik fjärrvärme:",Miljö!$B$1:$AC$1,0),FALSE)/1,0)</f>
        <v>0</v>
      </c>
      <c r="AI361" s="31">
        <f t="shared" si="115"/>
        <v>18.028179000000002</v>
      </c>
      <c r="AJ361" s="31">
        <f t="shared" si="116"/>
        <v>18.028179000000002</v>
      </c>
      <c r="AK361" s="31">
        <f>IF(ISERROR(1/VLOOKUP($B361,Leveranser!$B$1:$S$499,MATCH("Såld värme (GWh)",Leveranser!$B$1:$S$1,0),FALSE)),"",VLOOKUP($B361,Leveranser!$B$1:$S$499,MATCH("Såld värme (GWh)",Leveranser!$B$1:$S$1,0),FALSE))</f>
        <v>15.672000000000001</v>
      </c>
      <c r="AL361" s="31">
        <f>VLOOKUP($B361,Leveranser!$B$1:$Y$499,MATCH("Totalt såld fjärrvärme till andra fjärrvärmeföretag",Leveranser!$B$1:$AA$1,0),FALSE)</f>
        <v>0</v>
      </c>
      <c r="AM361" s="31">
        <f>IF(ISERROR(1/VLOOKUP($B361,Miljö!$B$1:$S$500,MATCH("Såld mängd produktionsspecifik fjärrvärme (GWh)",Miljö!$B$1:$R$1,0),FALSE)),0,VLOOKUP($B361,Miljö!$B$1:$S$500,MATCH("Såld mängd produktionsspecifik fjärrvärme (GWh)",Miljö!$B$1:$R$1,0),FALSE))</f>
        <v>0</v>
      </c>
      <c r="AN361" s="32">
        <f t="shared" si="117"/>
        <v>0.86930576848610164</v>
      </c>
      <c r="AP361" s="31" t="str">
        <f>IFERROR(VLOOKUP($B361,Miljövärden!$B$2:$H$550,7,FALSE),"Nej, saknas")</f>
        <v>Ja</v>
      </c>
      <c r="AQ361" s="31" t="str">
        <f>IFERROR(VLOOKUP($B361,Miljövärden!$B$2:$H$551,6,FALSE),"Nej, saknas")</f>
        <v>Ja</v>
      </c>
      <c r="AU361" s="31">
        <f t="shared" si="118"/>
        <v>3.9E-2</v>
      </c>
      <c r="AV361" s="31">
        <f t="shared" si="119"/>
        <v>0</v>
      </c>
      <c r="AW361" s="31">
        <f t="shared" si="120"/>
        <v>3.81412</v>
      </c>
      <c r="AX361" s="31">
        <f t="shared" si="121"/>
        <v>0</v>
      </c>
      <c r="AZ361" s="31">
        <f t="shared" si="122"/>
        <v>3.81412</v>
      </c>
      <c r="BC361" s="31">
        <f t="shared" si="123"/>
        <v>1.3620589999999999</v>
      </c>
      <c r="BD361" s="31">
        <f t="shared" si="124"/>
        <v>0</v>
      </c>
      <c r="BE361" s="31">
        <f t="shared" si="125"/>
        <v>3.81412</v>
      </c>
      <c r="BF361" s="31">
        <f t="shared" si="126"/>
        <v>12.813000000000001</v>
      </c>
      <c r="BG361" s="31">
        <f t="shared" si="127"/>
        <v>3.9E-2</v>
      </c>
      <c r="BH361" s="31">
        <f>VLOOKUP(B361,Miljö!$B$1:$BX$482,MATCH("Fossilandel för ursprungspecificerad el ()",Miljö!$B$1:$I$1,0),FALSE)</f>
        <v>0</v>
      </c>
      <c r="BI361" s="31">
        <f>VLOOKUP(B361,Miljö!$B$1:$BX$482,MATCH("Kärnkraftsandel för ursprungsspecificerad el ()",Miljö!$B$1:$O$1,0),FALSE)</f>
        <v>0</v>
      </c>
      <c r="BJ361" s="31">
        <f t="shared" si="128"/>
        <v>0</v>
      </c>
      <c r="BK361" s="31" t="str">
        <f>VLOOKUP(B361,Miljö!$B$1:$P$482,MATCH("Fossil andel i procent (%)",Miljö!$B$1:$P$1,0),FALSE)</f>
        <v>ET</v>
      </c>
      <c r="BL361" s="31">
        <f t="shared" si="129"/>
        <v>18.028179000000002</v>
      </c>
      <c r="BO361" s="32">
        <f t="shared" si="130"/>
        <v>7.5551668307708708E-2</v>
      </c>
      <c r="BP361" s="32">
        <f t="shared" si="131"/>
        <v>0</v>
      </c>
      <c r="BQ361" s="32">
        <f t="shared" si="132"/>
        <v>0.21372763161492903</v>
      </c>
      <c r="BR361" s="32">
        <f t="shared" si="133"/>
        <v>0.71072070007736221</v>
      </c>
      <c r="BT361" s="62">
        <f t="shared" si="134"/>
        <v>1</v>
      </c>
      <c r="BW361" s="32">
        <f>IF(AP361="Ja",VLOOKUP(B361,Miljövärden!$B$2:$H$551,MATCH("Total andel fossilt",Miljövärden!$B$2:$H$2,0),FALSE),"")</f>
        <v>7.5551599999999997E-2</v>
      </c>
      <c r="BX361" s="62">
        <f t="shared" si="135"/>
        <v>-6.8307708711579096E-8</v>
      </c>
      <c r="BZ361" s="31">
        <f t="shared" si="136"/>
        <v>-6.8307708711579096E-8</v>
      </c>
      <c r="CA361" s="32">
        <f t="shared" si="137"/>
        <v>0</v>
      </c>
    </row>
    <row r="362" spans="1:79" x14ac:dyDescent="0.45">
      <c r="A362" s="31" t="s">
        <v>48</v>
      </c>
      <c r="B362" s="31" t="s">
        <v>211</v>
      </c>
      <c r="C362" s="31">
        <f>VLOOKUP($B362,'Tillförd energi'!$B$1:$AI$720,MATCH(C$1,'Tillförd energi'!$B$1:$AQ$1,0),FALSE)</f>
        <v>0</v>
      </c>
      <c r="D362" s="31">
        <f>VLOOKUP($B362,'Tillförd energi'!$B$1:$AI$720,MATCH(D$1,'Tillförd energi'!$B$1:$AQ$1,0),FALSE)</f>
        <v>0.27200000000000002</v>
      </c>
      <c r="E362" s="31">
        <f>VLOOKUP($B362,'Tillförd energi'!$B$1:$AI$720,MATCH(E$1,'Tillförd energi'!$B$1:$AQ$1,0),FALSE)</f>
        <v>0</v>
      </c>
      <c r="F362" s="31">
        <f>VLOOKUP($B362,'Tillförd energi'!$B$1:$AI$720,MATCH(F$1,'Tillförd energi'!$B$1:$AQ$1,0),FALSE)</f>
        <v>0</v>
      </c>
      <c r="G362" s="31">
        <f>VLOOKUP($B362,'Tillförd energi'!$B$1:$AI$720,MATCH(G$1,'Tillförd energi'!$B$1:$AQ$1,0),FALSE)</f>
        <v>0</v>
      </c>
      <c r="H362" s="31">
        <f>VLOOKUP($B362,'Tillförd energi'!$B$1:$AI$720,MATCH(H$1,'Tillförd energi'!$B$1:$AQ$1,0),FALSE)</f>
        <v>0</v>
      </c>
      <c r="I362" s="31">
        <f>VLOOKUP($B362,'Tillförd energi'!$B$1:$AI$720,MATCH(I$1,'Tillförd energi'!$B$1:$AQ$1,0),FALSE)</f>
        <v>0</v>
      </c>
      <c r="J362" s="31">
        <f>VLOOKUP($B362,'Tillförd energi'!$B$1:$AI$720,MATCH(J$1,'Tillförd energi'!$B$1:$AQ$1,0),FALSE)</f>
        <v>0</v>
      </c>
      <c r="K362" s="31">
        <f>VLOOKUP($B362,'Tillförd energi'!$B$1:$AI$720,MATCH(K$1,'Tillförd energi'!$B$1:$AQ$1,0),FALSE)</f>
        <v>0</v>
      </c>
      <c r="L362" s="31">
        <f>VLOOKUP($B362,'Tillförd energi'!$B$1:$AI$720,MATCH(L$1,'Tillförd energi'!$B$1:$AQ$1,0),FALSE)</f>
        <v>0</v>
      </c>
      <c r="M362" s="31">
        <f>VLOOKUP($B362,'Tillförd energi'!$B$1:$AI$720,MATCH(M$1,'Tillförd energi'!$B$1:$AQ$1,0),FALSE)</f>
        <v>0</v>
      </c>
      <c r="N362" s="31">
        <f>VLOOKUP($B362,'Tillförd energi'!$B$1:$AI$720,MATCH(N$1,'Tillförd energi'!$B$1:$AQ$1,0),FALSE)</f>
        <v>0</v>
      </c>
      <c r="O362" s="31">
        <f>VLOOKUP($B362,'Tillförd energi'!$B$1:$AI$720,MATCH(O$1,'Tillförd energi'!$B$1:$AQ$1,0),FALSE)</f>
        <v>0</v>
      </c>
      <c r="P362" s="31">
        <f>VLOOKUP($B362,'Tillförd energi'!$B$1:$AI$720,MATCH(P$1,'Tillförd energi'!$B$1:$AQ$1,0),FALSE)</f>
        <v>0</v>
      </c>
      <c r="Q362" s="31">
        <f>VLOOKUP($B362,'Tillförd energi'!$B$1:$AI$720,MATCH(Q$1,'Tillförd energi'!$B$1:$AQ$1,0),FALSE)</f>
        <v>13.792999999999999</v>
      </c>
      <c r="R362" s="31">
        <f>VLOOKUP($B362,'Tillförd energi'!$B$1:$AI$720,MATCH(R$1,'Tillförd energi'!$B$1:$AQ$1,0),FALSE)</f>
        <v>0</v>
      </c>
      <c r="S362" s="31">
        <f>VLOOKUP($B362,'Tillförd energi'!$B$1:$AI$720,MATCH(S$1,'Tillförd energi'!$B$1:$AQ$1,0),FALSE)</f>
        <v>0.46</v>
      </c>
      <c r="T362" s="31">
        <f>VLOOKUP($B362,'Tillförd energi'!$B$1:$AI$720,MATCH(T$1,'Tillförd energi'!$B$1:$AQ$1,0),FALSE)</f>
        <v>0</v>
      </c>
      <c r="U362" s="31">
        <f>VLOOKUP($B362,'Tillförd energi'!$B$1:$AI$720,MATCH(U$1,'Tillförd energi'!$B$1:$AQ$1,0),FALSE)</f>
        <v>0</v>
      </c>
      <c r="V362" s="31">
        <f>VLOOKUP($B362,'Tillförd energi'!$B$1:$AI$720,MATCH(V$1,'Tillförd energi'!$B$1:$AQ$1,0),FALSE)</f>
        <v>0</v>
      </c>
      <c r="W362" s="31">
        <f>VLOOKUP($B362,'Tillförd energi'!$B$1:$AI$720,MATCH(W$1,'Tillförd energi'!$B$1:$AQ$1,0),FALSE)</f>
        <v>0</v>
      </c>
      <c r="X362" s="31">
        <f>VLOOKUP($B362,'Tillförd energi'!$B$1:$AI$720,MATCH(X$1,'Tillförd energi'!$B$1:$AQ$1,0),FALSE)</f>
        <v>0</v>
      </c>
      <c r="Y362" s="31">
        <f>VLOOKUP($B362,'Tillförd energi'!$B$1:$AI$720,MATCH(Y$1,'Tillförd energi'!$B$1:$AQ$1,0),FALSE)</f>
        <v>0</v>
      </c>
      <c r="Z362" s="31">
        <f>VLOOKUP($B362,'Tillförd energi'!$B$1:$AI$720,MATCH(Z$1,'Tillförd energi'!$B$1:$AQ$1,0),FALSE)</f>
        <v>0</v>
      </c>
      <c r="AA362" s="31">
        <f>VLOOKUP($B362,'Tillförd energi'!$B$1:$AI$720,MATCH(AA$1,'Tillförd energi'!$B$1:$AQ$1,0),FALSE)</f>
        <v>0</v>
      </c>
      <c r="AB362" s="31">
        <f>VLOOKUP($B362,'Tillförd energi'!$B$1:$AI$720,MATCH(AB$1,'Tillförd energi'!$B$1:$AQ$1,0),FALSE)</f>
        <v>0</v>
      </c>
      <c r="AC362" s="31">
        <f>VLOOKUP($B362,'Tillförd energi'!$B$1:$AI$720,MATCH(AC$1,'Tillförd energi'!$B$1:$AQ$1,0),FALSE)</f>
        <v>0</v>
      </c>
      <c r="AD362" s="31">
        <f>VLOOKUP($B362,'Tillförd energi'!$B$1:$AI$720,MATCH(AD$1,'Tillförd energi'!$B$1:$AQ$1,0),FALSE)</f>
        <v>0</v>
      </c>
      <c r="AE362" s="31">
        <f>VLOOKUP($B362,'Tillförd energi'!$B$1:$AI$720,MATCH(AE$1,'Tillförd energi'!$B$1:$AQ$1,0),FALSE)</f>
        <v>0</v>
      </c>
      <c r="AF362" s="31">
        <f>VLOOKUP($B362,'Tillförd energi'!$B$1:$AI$720,MATCH(AF$1,'Tillförd energi'!$B$1:$AQ$1,0),FALSE)</f>
        <v>0.32900000000000001</v>
      </c>
      <c r="AG362" s="31">
        <f>IFERROR(VLOOKUP(B362,Miljö!$B$1:$AC$550,MATCH("Köpt mängd produktionsspecifik fjärrvärme:",Miljö!$B$1:$AC$1,0),FALSE)/1,0)</f>
        <v>0</v>
      </c>
      <c r="AI362" s="31">
        <f t="shared" si="115"/>
        <v>14.854000000000001</v>
      </c>
      <c r="AJ362" s="31">
        <f t="shared" si="116"/>
        <v>14.854000000000001</v>
      </c>
      <c r="AK362" s="31">
        <f>IF(ISERROR(1/VLOOKUP($B362,Leveranser!$B$1:$S$499,MATCH("Såld värme (GWh)",Leveranser!$B$1:$S$1,0),FALSE)),"",VLOOKUP($B362,Leveranser!$B$1:$S$499,MATCH("Såld värme (GWh)",Leveranser!$B$1:$S$1,0),FALSE))</f>
        <v>10.991</v>
      </c>
      <c r="AL362" s="31">
        <f>VLOOKUP($B362,Leveranser!$B$1:$Y$499,MATCH("Totalt såld fjärrvärme till andra fjärrvärmeföretag",Leveranser!$B$1:$AA$1,0),FALSE)</f>
        <v>0</v>
      </c>
      <c r="AM362" s="31">
        <f>IF(ISERROR(1/VLOOKUP($B362,Miljö!$B$1:$S$500,MATCH("Såld mängd produktionsspecifik fjärrvärme (GWh)",Miljö!$B$1:$R$1,0),FALSE)),0,VLOOKUP($B362,Miljö!$B$1:$S$500,MATCH("Såld mängd produktionsspecifik fjärrvärme (GWh)",Miljö!$B$1:$R$1,0),FALSE))</f>
        <v>0</v>
      </c>
      <c r="AN362" s="32">
        <f t="shared" si="117"/>
        <v>0.73993537094385342</v>
      </c>
      <c r="AP362" s="31" t="str">
        <f>IFERROR(VLOOKUP($B362,Miljövärden!$B$2:$H$550,7,FALSE),"Nej, saknas")</f>
        <v>Ja</v>
      </c>
      <c r="AQ362" s="31" t="str">
        <f>IFERROR(VLOOKUP($B362,Miljövärden!$B$2:$H$551,6,FALSE),"Nej, saknas")</f>
        <v>Ja</v>
      </c>
      <c r="AU362" s="31">
        <f t="shared" si="118"/>
        <v>0.32900000000000001</v>
      </c>
      <c r="AV362" s="31">
        <f t="shared" si="119"/>
        <v>0</v>
      </c>
      <c r="AW362" s="31">
        <f t="shared" si="120"/>
        <v>13.792999999999999</v>
      </c>
      <c r="AX362" s="31">
        <f t="shared" si="121"/>
        <v>0.46</v>
      </c>
      <c r="AZ362" s="31">
        <f t="shared" si="122"/>
        <v>14.253</v>
      </c>
      <c r="BC362" s="31">
        <f t="shared" si="123"/>
        <v>0.27200000000000002</v>
      </c>
      <c r="BD362" s="31">
        <f t="shared" si="124"/>
        <v>0</v>
      </c>
      <c r="BE362" s="31">
        <f t="shared" si="125"/>
        <v>14.253</v>
      </c>
      <c r="BF362" s="31">
        <f t="shared" si="126"/>
        <v>0</v>
      </c>
      <c r="BG362" s="31">
        <f t="shared" si="127"/>
        <v>0.32900000000000001</v>
      </c>
      <c r="BH362" s="31">
        <f>VLOOKUP(B362,Miljö!$B$1:$BX$482,MATCH("Fossilandel för ursprungspecificerad el ()",Miljö!$B$1:$I$1,0),FALSE)</f>
        <v>0</v>
      </c>
      <c r="BI362" s="31">
        <f>VLOOKUP(B362,Miljö!$B$1:$BX$482,MATCH("Kärnkraftsandel för ursprungsspecificerad el ()",Miljö!$B$1:$O$1,0),FALSE)</f>
        <v>0</v>
      </c>
      <c r="BJ362" s="31">
        <f t="shared" si="128"/>
        <v>0</v>
      </c>
      <c r="BK362" s="31" t="str">
        <f>VLOOKUP(B362,Miljö!$B$1:$P$482,MATCH("Fossil andel i procent (%)",Miljö!$B$1:$P$1,0),FALSE)</f>
        <v>ET</v>
      </c>
      <c r="BL362" s="31">
        <f t="shared" si="129"/>
        <v>14.854000000000001</v>
      </c>
      <c r="BO362" s="32">
        <f t="shared" si="130"/>
        <v>1.8311565908172883E-2</v>
      </c>
      <c r="BP362" s="32">
        <f t="shared" si="131"/>
        <v>0</v>
      </c>
      <c r="BQ362" s="32">
        <f t="shared" si="132"/>
        <v>0.98168843409182716</v>
      </c>
      <c r="BR362" s="32">
        <f t="shared" si="133"/>
        <v>0</v>
      </c>
      <c r="BT362" s="62">
        <f t="shared" si="134"/>
        <v>1</v>
      </c>
      <c r="BW362" s="32">
        <f>IF(AP362="Ja",VLOOKUP(B362,Miljövärden!$B$2:$H$551,MATCH("Total andel fossilt",Miljövärden!$B$2:$H$2,0),FALSE),"")</f>
        <v>1.8311600000000001E-2</v>
      </c>
      <c r="BX362" s="62">
        <f t="shared" si="135"/>
        <v>3.409182711827663E-8</v>
      </c>
      <c r="BZ362" s="31">
        <f t="shared" si="136"/>
        <v>3.409182711827663E-8</v>
      </c>
      <c r="CA362" s="32">
        <f t="shared" si="137"/>
        <v>0</v>
      </c>
    </row>
    <row r="363" spans="1:79" x14ac:dyDescent="0.45">
      <c r="A363" s="31" t="s">
        <v>48</v>
      </c>
      <c r="B363" s="31" t="s">
        <v>210</v>
      </c>
      <c r="C363" s="31">
        <f>VLOOKUP($B363,'Tillförd energi'!$B$1:$AI$720,MATCH(C$1,'Tillförd energi'!$B$1:$AQ$1,0),FALSE)</f>
        <v>0</v>
      </c>
      <c r="D363" s="31">
        <f>VLOOKUP($B363,'Tillförd energi'!$B$1:$AI$720,MATCH(D$1,'Tillförd energi'!$B$1:$AQ$1,0),FALSE)</f>
        <v>1.639</v>
      </c>
      <c r="E363" s="31">
        <f>VLOOKUP($B363,'Tillförd energi'!$B$1:$AI$720,MATCH(E$1,'Tillförd energi'!$B$1:$AQ$1,0),FALSE)</f>
        <v>0</v>
      </c>
      <c r="F363" s="31">
        <f>VLOOKUP($B363,'Tillförd energi'!$B$1:$AI$720,MATCH(F$1,'Tillförd energi'!$B$1:$AQ$1,0),FALSE)</f>
        <v>0</v>
      </c>
      <c r="G363" s="31">
        <f>VLOOKUP($B363,'Tillförd energi'!$B$1:$AI$720,MATCH(G$1,'Tillförd energi'!$B$1:$AQ$1,0),FALSE)</f>
        <v>0</v>
      </c>
      <c r="H363" s="31">
        <f>VLOOKUP($B363,'Tillförd energi'!$B$1:$AI$720,MATCH(H$1,'Tillförd energi'!$B$1:$AQ$1,0),FALSE)</f>
        <v>0</v>
      </c>
      <c r="I363" s="31">
        <f>VLOOKUP($B363,'Tillförd energi'!$B$1:$AI$720,MATCH(I$1,'Tillförd energi'!$B$1:$AQ$1,0),FALSE)</f>
        <v>0</v>
      </c>
      <c r="J363" s="31">
        <f>VLOOKUP($B363,'Tillförd energi'!$B$1:$AI$720,MATCH(J$1,'Tillförd energi'!$B$1:$AQ$1,0),FALSE)</f>
        <v>0</v>
      </c>
      <c r="K363" s="31">
        <f>VLOOKUP($B363,'Tillförd energi'!$B$1:$AI$720,MATCH(K$1,'Tillförd energi'!$B$1:$AQ$1,0),FALSE)</f>
        <v>0</v>
      </c>
      <c r="L363" s="31">
        <f>VLOOKUP($B363,'Tillförd energi'!$B$1:$AI$720,MATCH(L$1,'Tillförd energi'!$B$1:$AQ$1,0),FALSE)</f>
        <v>0</v>
      </c>
      <c r="M363" s="31">
        <f>VLOOKUP($B363,'Tillförd energi'!$B$1:$AI$720,MATCH(M$1,'Tillförd energi'!$B$1:$AQ$1,0),FALSE)</f>
        <v>48.359000000000002</v>
      </c>
      <c r="N363" s="31">
        <f>VLOOKUP($B363,'Tillförd energi'!$B$1:$AI$720,MATCH(N$1,'Tillförd energi'!$B$1:$AQ$1,0),FALSE)</f>
        <v>47.363</v>
      </c>
      <c r="O363" s="31">
        <f>VLOOKUP($B363,'Tillförd energi'!$B$1:$AI$720,MATCH(O$1,'Tillförd energi'!$B$1:$AQ$1,0),FALSE)</f>
        <v>0</v>
      </c>
      <c r="P363" s="31">
        <f>VLOOKUP($B363,'Tillförd energi'!$B$1:$AI$720,MATCH(P$1,'Tillförd energi'!$B$1:$AQ$1,0),FALSE)</f>
        <v>2.8479999999999999</v>
      </c>
      <c r="Q363" s="31">
        <f>VLOOKUP($B363,'Tillförd energi'!$B$1:$AI$720,MATCH(Q$1,'Tillförd energi'!$B$1:$AQ$1,0),FALSE)</f>
        <v>0</v>
      </c>
      <c r="R363" s="31">
        <f>VLOOKUP($B363,'Tillförd energi'!$B$1:$AI$720,MATCH(R$1,'Tillförd energi'!$B$1:$AQ$1,0),FALSE)</f>
        <v>0</v>
      </c>
      <c r="S363" s="31">
        <f>VLOOKUP($B363,'Tillförd energi'!$B$1:$AI$720,MATCH(S$1,'Tillförd energi'!$B$1:$AQ$1,0),FALSE)</f>
        <v>0</v>
      </c>
      <c r="T363" s="31">
        <f>VLOOKUP($B363,'Tillförd energi'!$B$1:$AI$720,MATCH(T$1,'Tillförd energi'!$B$1:$AQ$1,0),FALSE)</f>
        <v>0</v>
      </c>
      <c r="U363" s="31">
        <f>VLOOKUP($B363,'Tillförd energi'!$B$1:$AI$720,MATCH(U$1,'Tillförd energi'!$B$1:$AQ$1,0),FALSE)</f>
        <v>0</v>
      </c>
      <c r="V363" s="31">
        <f>VLOOKUP($B363,'Tillförd energi'!$B$1:$AI$720,MATCH(V$1,'Tillförd energi'!$B$1:$AQ$1,0),FALSE)</f>
        <v>0</v>
      </c>
      <c r="W363" s="31">
        <f>VLOOKUP($B363,'Tillförd energi'!$B$1:$AI$720,MATCH(W$1,'Tillförd energi'!$B$1:$AQ$1,0),FALSE)</f>
        <v>0</v>
      </c>
      <c r="X363" s="31">
        <f>VLOOKUP($B363,'Tillförd energi'!$B$1:$AI$720,MATCH(X$1,'Tillförd energi'!$B$1:$AQ$1,0),FALSE)</f>
        <v>0</v>
      </c>
      <c r="Y363" s="31">
        <f>VLOOKUP($B363,'Tillförd energi'!$B$1:$AI$720,MATCH(Y$1,'Tillförd energi'!$B$1:$AQ$1,0),FALSE)</f>
        <v>0</v>
      </c>
      <c r="Z363" s="31">
        <f>VLOOKUP($B363,'Tillförd energi'!$B$1:$AI$720,MATCH(Z$1,'Tillförd energi'!$B$1:$AQ$1,0),FALSE)</f>
        <v>0</v>
      </c>
      <c r="AA363" s="31">
        <f>VLOOKUP($B363,'Tillförd energi'!$B$1:$AI$720,MATCH(AA$1,'Tillförd energi'!$B$1:$AQ$1,0),FALSE)</f>
        <v>0</v>
      </c>
      <c r="AB363" s="31">
        <f>VLOOKUP($B363,'Tillförd energi'!$B$1:$AI$720,MATCH(AB$1,'Tillförd energi'!$B$1:$AQ$1,0),FALSE)</f>
        <v>0</v>
      </c>
      <c r="AC363" s="31">
        <f>VLOOKUP($B363,'Tillförd energi'!$B$1:$AI$720,MATCH(AC$1,'Tillförd energi'!$B$1:$AQ$1,0),FALSE)</f>
        <v>24.856999999999999</v>
      </c>
      <c r="AD363" s="31">
        <f>VLOOKUP($B363,'Tillförd energi'!$B$1:$AI$720,MATCH(AD$1,'Tillförd energi'!$B$1:$AQ$1,0),FALSE)</f>
        <v>0</v>
      </c>
      <c r="AE363" s="31">
        <f>VLOOKUP($B363,'Tillförd energi'!$B$1:$AI$720,MATCH(AE$1,'Tillförd energi'!$B$1:$AQ$1,0),FALSE)</f>
        <v>0</v>
      </c>
      <c r="AF363" s="31">
        <f>VLOOKUP($B363,'Tillförd energi'!$B$1:$AI$720,MATCH(AF$1,'Tillförd energi'!$B$1:$AQ$1,0),FALSE)</f>
        <v>2.5009999999999999</v>
      </c>
      <c r="AG363" s="31">
        <f>IFERROR(VLOOKUP(B363,Miljö!$B$1:$AC$550,MATCH("Köpt mängd produktionsspecifik fjärrvärme:",Miljö!$B$1:$AC$1,0),FALSE)/1,0)</f>
        <v>0</v>
      </c>
      <c r="AI363" s="31">
        <f t="shared" si="115"/>
        <v>127.56700000000001</v>
      </c>
      <c r="AJ363" s="31">
        <f t="shared" si="116"/>
        <v>127.56700000000001</v>
      </c>
      <c r="AK363" s="31">
        <f>IF(ISERROR(1/VLOOKUP($B363,Leveranser!$B$1:$S$499,MATCH("Såld värme (GWh)",Leveranser!$B$1:$S$1,0),FALSE)),"",VLOOKUP($B363,Leveranser!$B$1:$S$499,MATCH("Såld värme (GWh)",Leveranser!$B$1:$S$1,0),FALSE))</f>
        <v>89.936000000000007</v>
      </c>
      <c r="AL363" s="31">
        <f>VLOOKUP($B363,Leveranser!$B$1:$Y$499,MATCH("Totalt såld fjärrvärme till andra fjärrvärmeföretag",Leveranser!$B$1:$AA$1,0),FALSE)</f>
        <v>0</v>
      </c>
      <c r="AM363" s="31">
        <f>IF(ISERROR(1/VLOOKUP($B363,Miljö!$B$1:$S$500,MATCH("Såld mängd produktionsspecifik fjärrvärme (GWh)",Miljö!$B$1:$R$1,0),FALSE)),0,VLOOKUP($B363,Miljö!$B$1:$S$500,MATCH("Såld mängd produktionsspecifik fjärrvärme (GWh)",Miljö!$B$1:$R$1,0),FALSE))</f>
        <v>0</v>
      </c>
      <c r="AN363" s="32">
        <f t="shared" si="117"/>
        <v>0.70500991635767873</v>
      </c>
      <c r="AP363" s="31" t="str">
        <f>IFERROR(VLOOKUP($B363,Miljövärden!$B$2:$H$550,7,FALSE),"Nej, saknas")</f>
        <v>Ja</v>
      </c>
      <c r="AQ363" s="31" t="str">
        <f>IFERROR(VLOOKUP($B363,Miljövärden!$B$2:$H$551,6,FALSE),"Nej, saknas")</f>
        <v>Ja</v>
      </c>
      <c r="AU363" s="31">
        <f t="shared" si="118"/>
        <v>2.5009999999999999</v>
      </c>
      <c r="AV363" s="31">
        <f t="shared" si="119"/>
        <v>0</v>
      </c>
      <c r="AW363" s="31">
        <f t="shared" si="120"/>
        <v>98.570000000000007</v>
      </c>
      <c r="AX363" s="31">
        <f t="shared" si="121"/>
        <v>0</v>
      </c>
      <c r="AZ363" s="31">
        <f t="shared" si="122"/>
        <v>98.570000000000007</v>
      </c>
      <c r="BC363" s="31">
        <f t="shared" si="123"/>
        <v>1.639</v>
      </c>
      <c r="BD363" s="31">
        <f t="shared" si="124"/>
        <v>0</v>
      </c>
      <c r="BE363" s="31">
        <f t="shared" si="125"/>
        <v>98.570000000000007</v>
      </c>
      <c r="BF363" s="31">
        <f t="shared" si="126"/>
        <v>24.856999999999999</v>
      </c>
      <c r="BG363" s="31">
        <f t="shared" si="127"/>
        <v>2.5009999999999999</v>
      </c>
      <c r="BH363" s="31">
        <f>VLOOKUP(B363,Miljö!$B$1:$BX$482,MATCH("Fossilandel för ursprungspecificerad el ()",Miljö!$B$1:$I$1,0),FALSE)</f>
        <v>0</v>
      </c>
      <c r="BI363" s="31">
        <f>VLOOKUP(B363,Miljö!$B$1:$BX$482,MATCH("Kärnkraftsandel för ursprungsspecificerad el ()",Miljö!$B$1:$O$1,0),FALSE)</f>
        <v>0</v>
      </c>
      <c r="BJ363" s="31">
        <f t="shared" si="128"/>
        <v>0</v>
      </c>
      <c r="BK363" s="31" t="str">
        <f>VLOOKUP(B363,Miljö!$B$1:$P$482,MATCH("Fossil andel i procent (%)",Miljö!$B$1:$P$1,0),FALSE)</f>
        <v>ET</v>
      </c>
      <c r="BL363" s="31">
        <f t="shared" si="129"/>
        <v>127.56700000000001</v>
      </c>
      <c r="BO363" s="32">
        <f t="shared" si="130"/>
        <v>1.2848150383719927E-2</v>
      </c>
      <c r="BP363" s="32">
        <f t="shared" si="131"/>
        <v>0</v>
      </c>
      <c r="BQ363" s="32">
        <f t="shared" si="132"/>
        <v>0.7922973809841104</v>
      </c>
      <c r="BR363" s="32">
        <f t="shared" si="133"/>
        <v>0.19485446863216974</v>
      </c>
      <c r="BT363" s="62">
        <f t="shared" si="134"/>
        <v>1</v>
      </c>
      <c r="BW363" s="32">
        <f>IF(AP363="Ja",VLOOKUP(B363,Miljövärden!$B$2:$H$551,MATCH("Total andel fossilt",Miljövärden!$B$2:$H$2,0),FALSE),"")</f>
        <v>1.2848200000000001E-2</v>
      </c>
      <c r="BX363" s="62">
        <f t="shared" si="135"/>
        <v>4.9616280074077368E-8</v>
      </c>
      <c r="BZ363" s="31">
        <f t="shared" si="136"/>
        <v>4.9616280074077368E-8</v>
      </c>
      <c r="CA363" s="32">
        <f t="shared" si="137"/>
        <v>0</v>
      </c>
    </row>
    <row r="364" spans="1:79" x14ac:dyDescent="0.45">
      <c r="A364" s="31" t="s">
        <v>48</v>
      </c>
      <c r="B364" s="31" t="s">
        <v>209</v>
      </c>
      <c r="C364" s="31">
        <f>VLOOKUP($B364,'Tillförd energi'!$B$1:$AI$720,MATCH(C$1,'Tillförd energi'!$B$1:$AQ$1,0),FALSE)</f>
        <v>0</v>
      </c>
      <c r="D364" s="31">
        <f>VLOOKUP($B364,'Tillförd energi'!$B$1:$AI$720,MATCH(D$1,'Tillförd energi'!$B$1:$AQ$1,0),FALSE)</f>
        <v>1.0607200000000001</v>
      </c>
      <c r="E364" s="31">
        <f>VLOOKUP($B364,'Tillförd energi'!$B$1:$AI$720,MATCH(E$1,'Tillförd energi'!$B$1:$AQ$1,0),FALSE)</f>
        <v>0</v>
      </c>
      <c r="F364" s="31">
        <f>VLOOKUP($B364,'Tillförd energi'!$B$1:$AI$720,MATCH(F$1,'Tillförd energi'!$B$1:$AQ$1,0),FALSE)</f>
        <v>1.7089399999999999</v>
      </c>
      <c r="G364" s="31">
        <f>VLOOKUP($B364,'Tillförd energi'!$B$1:$AI$720,MATCH(G$1,'Tillförd energi'!$B$1:$AQ$1,0),FALSE)</f>
        <v>0</v>
      </c>
      <c r="H364" s="31">
        <f>VLOOKUP($B364,'Tillförd energi'!$B$1:$AI$720,MATCH(H$1,'Tillförd energi'!$B$1:$AQ$1,0),FALSE)</f>
        <v>0</v>
      </c>
      <c r="I364" s="31">
        <f>VLOOKUP($B364,'Tillförd energi'!$B$1:$AI$720,MATCH(I$1,'Tillförd energi'!$B$1:$AQ$1,0),FALSE)</f>
        <v>2.8079200000000002</v>
      </c>
      <c r="J364" s="31">
        <f>VLOOKUP($B364,'Tillförd energi'!$B$1:$AI$720,MATCH(J$1,'Tillförd energi'!$B$1:$AQ$1,0),FALSE)</f>
        <v>0</v>
      </c>
      <c r="K364" s="31">
        <f>VLOOKUP($B364,'Tillförd energi'!$B$1:$AI$720,MATCH(K$1,'Tillförd energi'!$B$1:$AQ$1,0),FALSE)</f>
        <v>0</v>
      </c>
      <c r="L364" s="31">
        <f>VLOOKUP($B364,'Tillförd energi'!$B$1:$AI$720,MATCH(L$1,'Tillförd energi'!$B$1:$AQ$1,0),FALSE)</f>
        <v>57.404699999999998</v>
      </c>
      <c r="M364" s="31">
        <f>VLOOKUP($B364,'Tillförd energi'!$B$1:$AI$720,MATCH(M$1,'Tillförd energi'!$B$1:$AQ$1,0),FALSE)</f>
        <v>0</v>
      </c>
      <c r="N364" s="31">
        <f>VLOOKUP($B364,'Tillförd energi'!$B$1:$AI$720,MATCH(N$1,'Tillförd energi'!$B$1:$AQ$1,0),FALSE)</f>
        <v>6.6406499999999999</v>
      </c>
      <c r="O364" s="31">
        <f>VLOOKUP($B364,'Tillförd energi'!$B$1:$AI$720,MATCH(O$1,'Tillförd energi'!$B$1:$AQ$1,0),FALSE)</f>
        <v>0</v>
      </c>
      <c r="P364" s="31">
        <f>VLOOKUP($B364,'Tillförd energi'!$B$1:$AI$720,MATCH(P$1,'Tillförd energi'!$B$1:$AQ$1,0),FALSE)</f>
        <v>5.2935400000000001</v>
      </c>
      <c r="Q364" s="31">
        <f>VLOOKUP($B364,'Tillförd energi'!$B$1:$AI$720,MATCH(Q$1,'Tillförd energi'!$B$1:$AQ$1,0),FALSE)</f>
        <v>0</v>
      </c>
      <c r="R364" s="31">
        <f>VLOOKUP($B364,'Tillförd energi'!$B$1:$AI$720,MATCH(R$1,'Tillförd energi'!$B$1:$AQ$1,0),FALSE)</f>
        <v>0</v>
      </c>
      <c r="S364" s="31">
        <f>VLOOKUP($B364,'Tillförd energi'!$B$1:$AI$720,MATCH(S$1,'Tillförd energi'!$B$1:$AQ$1,0),FALSE)</f>
        <v>0</v>
      </c>
      <c r="T364" s="31">
        <f>VLOOKUP($B364,'Tillförd energi'!$B$1:$AI$720,MATCH(T$1,'Tillförd energi'!$B$1:$AQ$1,0),FALSE)</f>
        <v>0</v>
      </c>
      <c r="U364" s="31">
        <f>VLOOKUP($B364,'Tillförd energi'!$B$1:$AI$720,MATCH(U$1,'Tillförd energi'!$B$1:$AQ$1,0),FALSE)</f>
        <v>0</v>
      </c>
      <c r="V364" s="31">
        <f>VLOOKUP($B364,'Tillförd energi'!$B$1:$AI$720,MATCH(V$1,'Tillförd energi'!$B$1:$AQ$1,0),FALSE)</f>
        <v>0</v>
      </c>
      <c r="W364" s="31">
        <f>VLOOKUP($B364,'Tillförd energi'!$B$1:$AI$720,MATCH(W$1,'Tillförd energi'!$B$1:$AQ$1,0),FALSE)</f>
        <v>0</v>
      </c>
      <c r="X364" s="31">
        <f>VLOOKUP($B364,'Tillförd energi'!$B$1:$AI$720,MATCH(X$1,'Tillförd energi'!$B$1:$AQ$1,0),FALSE)</f>
        <v>0</v>
      </c>
      <c r="Y364" s="31">
        <f>VLOOKUP($B364,'Tillförd energi'!$B$1:$AI$720,MATCH(Y$1,'Tillförd energi'!$B$1:$AQ$1,0),FALSE)</f>
        <v>0</v>
      </c>
      <c r="Z364" s="31">
        <f>VLOOKUP($B364,'Tillförd energi'!$B$1:$AI$720,MATCH(Z$1,'Tillförd energi'!$B$1:$AQ$1,0),FALSE)</f>
        <v>0</v>
      </c>
      <c r="AA364" s="31">
        <f>VLOOKUP($B364,'Tillförd energi'!$B$1:$AI$720,MATCH(AA$1,'Tillförd energi'!$B$1:$AQ$1,0),FALSE)</f>
        <v>0</v>
      </c>
      <c r="AB364" s="31">
        <f>VLOOKUP($B364,'Tillförd energi'!$B$1:$AI$720,MATCH(AB$1,'Tillförd energi'!$B$1:$AQ$1,0),FALSE)</f>
        <v>0</v>
      </c>
      <c r="AC364" s="31">
        <f>VLOOKUP($B364,'Tillförd energi'!$B$1:$AI$720,MATCH(AC$1,'Tillförd energi'!$B$1:$AQ$1,0),FALSE)</f>
        <v>10.436999999999999</v>
      </c>
      <c r="AD364" s="31">
        <f>VLOOKUP($B364,'Tillförd energi'!$B$1:$AI$720,MATCH(AD$1,'Tillförd energi'!$B$1:$AQ$1,0),FALSE)</f>
        <v>18.523</v>
      </c>
      <c r="AE364" s="31">
        <f>VLOOKUP($B364,'Tillförd energi'!$B$1:$AI$720,MATCH(AE$1,'Tillförd energi'!$B$1:$AQ$1,0),FALSE)</f>
        <v>0</v>
      </c>
      <c r="AF364" s="31">
        <f>VLOOKUP($B364,'Tillförd energi'!$B$1:$AI$720,MATCH(AF$1,'Tillförd energi'!$B$1:$AQ$1,0),FALSE)</f>
        <v>7.2937900000000004</v>
      </c>
      <c r="AG364" s="31">
        <f>IFERROR(VLOOKUP(B364,Miljö!$B$1:$AC$550,MATCH("Köpt mängd produktionsspecifik fjärrvärme:",Miljö!$B$1:$AC$1,0),FALSE)/1,0)</f>
        <v>0</v>
      </c>
      <c r="AI364" s="31">
        <f t="shared" si="115"/>
        <v>111.17026</v>
      </c>
      <c r="AJ364" s="31">
        <f t="shared" si="116"/>
        <v>111.17026</v>
      </c>
      <c r="AK364" s="31">
        <f>IF(ISERROR(1/VLOOKUP($B364,Leveranser!$B$1:$S$499,MATCH("Såld värme (GWh)",Leveranser!$B$1:$S$1,0),FALSE)),"",VLOOKUP($B364,Leveranser!$B$1:$S$499,MATCH("Såld värme (GWh)",Leveranser!$B$1:$S$1,0),FALSE))</f>
        <v>66.548000000000002</v>
      </c>
      <c r="AL364" s="31">
        <f>VLOOKUP($B364,Leveranser!$B$1:$Y$499,MATCH("Totalt såld fjärrvärme till andra fjärrvärmeföretag",Leveranser!$B$1:$AA$1,0),FALSE)</f>
        <v>0</v>
      </c>
      <c r="AM364" s="31">
        <f>IF(ISERROR(1/VLOOKUP($B364,Miljö!$B$1:$S$500,MATCH("Såld mängd produktionsspecifik fjärrvärme (GWh)",Miljö!$B$1:$R$1,0),FALSE)),0,VLOOKUP($B364,Miljö!$B$1:$S$500,MATCH("Såld mängd produktionsspecifik fjärrvärme (GWh)",Miljö!$B$1:$R$1,0),FALSE))</f>
        <v>0</v>
      </c>
      <c r="AN364" s="32">
        <f t="shared" si="117"/>
        <v>0.59861333417768392</v>
      </c>
      <c r="AP364" s="31" t="str">
        <f>IFERROR(VLOOKUP($B364,Miljövärden!$B$2:$H$550,7,FALSE),"Nej, saknas")</f>
        <v>Ja</v>
      </c>
      <c r="AQ364" s="31" t="str">
        <f>IFERROR(VLOOKUP($B364,Miljövärden!$B$2:$H$551,6,FALSE),"Nej, saknas")</f>
        <v>Ja</v>
      </c>
      <c r="AU364" s="31">
        <f t="shared" si="118"/>
        <v>7.2937900000000004</v>
      </c>
      <c r="AV364" s="31">
        <f t="shared" si="119"/>
        <v>0</v>
      </c>
      <c r="AW364" s="31">
        <f t="shared" si="120"/>
        <v>11.934190000000001</v>
      </c>
      <c r="AX364" s="31">
        <f t="shared" si="121"/>
        <v>0</v>
      </c>
      <c r="AZ364" s="31">
        <f t="shared" si="122"/>
        <v>69.338889999999992</v>
      </c>
      <c r="BC364" s="31">
        <f t="shared" si="123"/>
        <v>2.76966</v>
      </c>
      <c r="BD364" s="31">
        <f t="shared" si="124"/>
        <v>0</v>
      </c>
      <c r="BE364" s="31">
        <f t="shared" si="125"/>
        <v>11.934190000000001</v>
      </c>
      <c r="BF364" s="31">
        <f t="shared" si="126"/>
        <v>89.172619999999995</v>
      </c>
      <c r="BG364" s="31">
        <f t="shared" si="127"/>
        <v>7.2937900000000004</v>
      </c>
      <c r="BH364" s="31">
        <f>VLOOKUP(B364,Miljö!$B$1:$BX$482,MATCH("Fossilandel för ursprungspecificerad el ()",Miljö!$B$1:$I$1,0),FALSE)</f>
        <v>0</v>
      </c>
      <c r="BI364" s="31">
        <f>VLOOKUP(B364,Miljö!$B$1:$BX$482,MATCH("Kärnkraftsandel för ursprungsspecificerad el ()",Miljö!$B$1:$O$1,0),FALSE)</f>
        <v>0</v>
      </c>
      <c r="BJ364" s="31">
        <f t="shared" si="128"/>
        <v>0</v>
      </c>
      <c r="BK364" s="31" t="str">
        <f>VLOOKUP(B364,Miljö!$B$1:$P$482,MATCH("Fossil andel i procent (%)",Miljö!$B$1:$P$1,0),FALSE)</f>
        <v>ET</v>
      </c>
      <c r="BL364" s="31">
        <f t="shared" si="129"/>
        <v>111.17026</v>
      </c>
      <c r="BO364" s="32">
        <f t="shared" si="130"/>
        <v>2.4913677452944701E-2</v>
      </c>
      <c r="BP364" s="32">
        <f t="shared" si="131"/>
        <v>0</v>
      </c>
      <c r="BQ364" s="32">
        <f t="shared" si="132"/>
        <v>0.17295974660849045</v>
      </c>
      <c r="BR364" s="32">
        <f t="shared" si="133"/>
        <v>0.80212657593856485</v>
      </c>
      <c r="BT364" s="62">
        <f t="shared" si="134"/>
        <v>1</v>
      </c>
      <c r="BW364" s="32">
        <f>IF(AP364="Ja",VLOOKUP(B364,Miljövärden!$B$2:$H$551,MATCH("Total andel fossilt",Miljövärden!$B$2:$H$2,0),FALSE),"")</f>
        <v>2.49137E-2</v>
      </c>
      <c r="BX364" s="62">
        <f t="shared" si="135"/>
        <v>2.2547055299193541E-8</v>
      </c>
      <c r="BZ364" s="31">
        <f t="shared" si="136"/>
        <v>2.2547055299193541E-8</v>
      </c>
      <c r="CA364" s="32">
        <f t="shared" si="137"/>
        <v>0</v>
      </c>
    </row>
    <row r="365" spans="1:79" x14ac:dyDescent="0.45">
      <c r="A365" s="31" t="s">
        <v>48</v>
      </c>
      <c r="B365" s="31" t="s">
        <v>208</v>
      </c>
      <c r="C365" s="31">
        <f>VLOOKUP($B365,'Tillförd energi'!$B$1:$AI$720,MATCH(C$1,'Tillförd energi'!$B$1:$AQ$1,0),FALSE)</f>
        <v>0</v>
      </c>
      <c r="D365" s="31">
        <f>VLOOKUP($B365,'Tillförd energi'!$B$1:$AI$720,MATCH(D$1,'Tillförd energi'!$B$1:$AQ$1,0),FALSE)</f>
        <v>4.5999999999999999E-2</v>
      </c>
      <c r="E365" s="31">
        <f>VLOOKUP($B365,'Tillförd energi'!$B$1:$AI$720,MATCH(E$1,'Tillförd energi'!$B$1:$AQ$1,0),FALSE)</f>
        <v>0</v>
      </c>
      <c r="F365" s="31">
        <f>VLOOKUP($B365,'Tillförd energi'!$B$1:$AI$720,MATCH(F$1,'Tillförd energi'!$B$1:$AQ$1,0),FALSE)</f>
        <v>0</v>
      </c>
      <c r="G365" s="31">
        <f>VLOOKUP($B365,'Tillförd energi'!$B$1:$AI$720,MATCH(G$1,'Tillförd energi'!$B$1:$AQ$1,0),FALSE)</f>
        <v>0</v>
      </c>
      <c r="H365" s="31">
        <f>VLOOKUP($B365,'Tillförd energi'!$B$1:$AI$720,MATCH(H$1,'Tillförd energi'!$B$1:$AQ$1,0),FALSE)</f>
        <v>0</v>
      </c>
      <c r="I365" s="31">
        <f>VLOOKUP($B365,'Tillförd energi'!$B$1:$AI$720,MATCH(I$1,'Tillförd energi'!$B$1:$AQ$1,0),FALSE)</f>
        <v>0</v>
      </c>
      <c r="J365" s="31">
        <f>VLOOKUP($B365,'Tillförd energi'!$B$1:$AI$720,MATCH(J$1,'Tillförd energi'!$B$1:$AQ$1,0),FALSE)</f>
        <v>0</v>
      </c>
      <c r="K365" s="31">
        <f>VLOOKUP($B365,'Tillförd energi'!$B$1:$AI$720,MATCH(K$1,'Tillförd energi'!$B$1:$AQ$1,0),FALSE)</f>
        <v>0</v>
      </c>
      <c r="L365" s="31">
        <f>VLOOKUP($B365,'Tillförd energi'!$B$1:$AI$720,MATCH(L$1,'Tillförd energi'!$B$1:$AQ$1,0),FALSE)</f>
        <v>0</v>
      </c>
      <c r="M365" s="31">
        <f>VLOOKUP($B365,'Tillförd energi'!$B$1:$AI$720,MATCH(M$1,'Tillförd energi'!$B$1:$AQ$1,0),FALSE)</f>
        <v>0</v>
      </c>
      <c r="N365" s="31">
        <f>VLOOKUP($B365,'Tillförd energi'!$B$1:$AI$720,MATCH(N$1,'Tillförd energi'!$B$1:$AQ$1,0),FALSE)</f>
        <v>0</v>
      </c>
      <c r="O365" s="31">
        <f>VLOOKUP($B365,'Tillförd energi'!$B$1:$AI$720,MATCH(O$1,'Tillförd energi'!$B$1:$AQ$1,0),FALSE)</f>
        <v>0</v>
      </c>
      <c r="P365" s="31">
        <f>VLOOKUP($B365,'Tillförd energi'!$B$1:$AI$720,MATCH(P$1,'Tillförd energi'!$B$1:$AQ$1,0),FALSE)</f>
        <v>0</v>
      </c>
      <c r="Q365" s="31">
        <f>VLOOKUP($B365,'Tillförd energi'!$B$1:$AI$720,MATCH(Q$1,'Tillförd energi'!$B$1:$AQ$1,0),FALSE)</f>
        <v>0</v>
      </c>
      <c r="R365" s="31">
        <f>VLOOKUP($B365,'Tillförd energi'!$B$1:$AI$720,MATCH(R$1,'Tillförd energi'!$B$1:$AQ$1,0),FALSE)</f>
        <v>0</v>
      </c>
      <c r="S365" s="31">
        <f>VLOOKUP($B365,'Tillförd energi'!$B$1:$AI$720,MATCH(S$1,'Tillförd energi'!$B$1:$AQ$1,0),FALSE)</f>
        <v>2.5129999999999999</v>
      </c>
      <c r="T365" s="31">
        <f>VLOOKUP($B365,'Tillförd energi'!$B$1:$AI$720,MATCH(T$1,'Tillförd energi'!$B$1:$AQ$1,0),FALSE)</f>
        <v>0</v>
      </c>
      <c r="U365" s="31">
        <f>VLOOKUP($B365,'Tillförd energi'!$B$1:$AI$720,MATCH(U$1,'Tillförd energi'!$B$1:$AQ$1,0),FALSE)</f>
        <v>0</v>
      </c>
      <c r="V365" s="31">
        <f>VLOOKUP($B365,'Tillförd energi'!$B$1:$AI$720,MATCH(V$1,'Tillförd energi'!$B$1:$AQ$1,0),FALSE)</f>
        <v>0</v>
      </c>
      <c r="W365" s="31">
        <f>VLOOKUP($B365,'Tillförd energi'!$B$1:$AI$720,MATCH(W$1,'Tillförd energi'!$B$1:$AQ$1,0),FALSE)</f>
        <v>0</v>
      </c>
      <c r="X365" s="31">
        <f>VLOOKUP($B365,'Tillförd energi'!$B$1:$AI$720,MATCH(X$1,'Tillförd energi'!$B$1:$AQ$1,0),FALSE)</f>
        <v>0</v>
      </c>
      <c r="Y365" s="31">
        <f>VLOOKUP($B365,'Tillförd energi'!$B$1:$AI$720,MATCH(Y$1,'Tillförd energi'!$B$1:$AQ$1,0),FALSE)</f>
        <v>0</v>
      </c>
      <c r="Z365" s="31">
        <f>VLOOKUP($B365,'Tillförd energi'!$B$1:$AI$720,MATCH(Z$1,'Tillförd energi'!$B$1:$AQ$1,0),FALSE)</f>
        <v>0</v>
      </c>
      <c r="AA365" s="31">
        <f>VLOOKUP($B365,'Tillförd energi'!$B$1:$AI$720,MATCH(AA$1,'Tillförd energi'!$B$1:$AQ$1,0),FALSE)</f>
        <v>0</v>
      </c>
      <c r="AB365" s="31">
        <f>VLOOKUP($B365,'Tillförd energi'!$B$1:$AI$720,MATCH(AB$1,'Tillförd energi'!$B$1:$AQ$1,0),FALSE)</f>
        <v>0</v>
      </c>
      <c r="AC365" s="31">
        <f>VLOOKUP($B365,'Tillförd energi'!$B$1:$AI$720,MATCH(AC$1,'Tillförd energi'!$B$1:$AQ$1,0),FALSE)</f>
        <v>0</v>
      </c>
      <c r="AD365" s="31">
        <f>VLOOKUP($B365,'Tillförd energi'!$B$1:$AI$720,MATCH(AD$1,'Tillförd energi'!$B$1:$AQ$1,0),FALSE)</f>
        <v>0</v>
      </c>
      <c r="AE365" s="31">
        <f>VLOOKUP($B365,'Tillförd energi'!$B$1:$AI$720,MATCH(AE$1,'Tillförd energi'!$B$1:$AQ$1,0),FALSE)</f>
        <v>0</v>
      </c>
      <c r="AF365" s="31">
        <f>VLOOKUP($B365,'Tillförd energi'!$B$1:$AI$720,MATCH(AF$1,'Tillförd energi'!$B$1:$AQ$1,0),FALSE)</f>
        <v>5.0999999999999997E-2</v>
      </c>
      <c r="AG365" s="31">
        <f>IFERROR(VLOOKUP(B365,Miljö!$B$1:$AC$550,MATCH("Köpt mängd produktionsspecifik fjärrvärme:",Miljö!$B$1:$AC$1,0),FALSE)/1,0)</f>
        <v>0</v>
      </c>
      <c r="AI365" s="31">
        <f t="shared" si="115"/>
        <v>2.61</v>
      </c>
      <c r="AJ365" s="31">
        <f t="shared" si="116"/>
        <v>2.61</v>
      </c>
      <c r="AK365" s="31">
        <f>IF(ISERROR(1/VLOOKUP($B365,Leveranser!$B$1:$S$499,MATCH("Såld värme (GWh)",Leveranser!$B$1:$S$1,0),FALSE)),"",VLOOKUP($B365,Leveranser!$B$1:$S$499,MATCH("Såld värme (GWh)",Leveranser!$B$1:$S$1,0),FALSE))</f>
        <v>1.7</v>
      </c>
      <c r="AL365" s="31">
        <f>VLOOKUP($B365,Leveranser!$B$1:$Y$499,MATCH("Totalt såld fjärrvärme till andra fjärrvärmeföretag",Leveranser!$B$1:$AA$1,0),FALSE)</f>
        <v>0</v>
      </c>
      <c r="AM365" s="31">
        <f>IF(ISERROR(1/VLOOKUP($B365,Miljö!$B$1:$S$500,MATCH("Såld mängd produktionsspecifik fjärrvärme (GWh)",Miljö!$B$1:$R$1,0),FALSE)),0,VLOOKUP($B365,Miljö!$B$1:$S$500,MATCH("Såld mängd produktionsspecifik fjärrvärme (GWh)",Miljö!$B$1:$R$1,0),FALSE))</f>
        <v>0</v>
      </c>
      <c r="AN365" s="32">
        <f t="shared" si="117"/>
        <v>0.65134099616858243</v>
      </c>
      <c r="AP365" s="31" t="str">
        <f>IFERROR(VLOOKUP($B365,Miljövärden!$B$2:$H$550,7,FALSE),"Nej, saknas")</f>
        <v>Ja</v>
      </c>
      <c r="AQ365" s="31" t="str">
        <f>IFERROR(VLOOKUP($B365,Miljövärden!$B$2:$H$551,6,FALSE),"Nej, saknas")</f>
        <v>Ja</v>
      </c>
      <c r="AU365" s="31">
        <f t="shared" si="118"/>
        <v>5.0999999999999997E-2</v>
      </c>
      <c r="AV365" s="31">
        <f t="shared" si="119"/>
        <v>0</v>
      </c>
      <c r="AW365" s="31">
        <f t="shared" si="120"/>
        <v>0</v>
      </c>
      <c r="AX365" s="31">
        <f t="shared" si="121"/>
        <v>2.5129999999999999</v>
      </c>
      <c r="AZ365" s="31">
        <f t="shared" si="122"/>
        <v>2.5129999999999999</v>
      </c>
      <c r="BC365" s="31">
        <f t="shared" si="123"/>
        <v>4.5999999999999999E-2</v>
      </c>
      <c r="BD365" s="31">
        <f t="shared" si="124"/>
        <v>0</v>
      </c>
      <c r="BE365" s="31">
        <f t="shared" si="125"/>
        <v>2.5129999999999999</v>
      </c>
      <c r="BF365" s="31">
        <f t="shared" si="126"/>
        <v>0</v>
      </c>
      <c r="BG365" s="31">
        <f t="shared" si="127"/>
        <v>5.0999999999999997E-2</v>
      </c>
      <c r="BH365" s="31">
        <f>VLOOKUP(B365,Miljö!$B$1:$BX$482,MATCH("Fossilandel för ursprungspecificerad el ()",Miljö!$B$1:$I$1,0),FALSE)</f>
        <v>0</v>
      </c>
      <c r="BI365" s="31">
        <f>VLOOKUP(B365,Miljö!$B$1:$BX$482,MATCH("Kärnkraftsandel för ursprungsspecificerad el ()",Miljö!$B$1:$O$1,0),FALSE)</f>
        <v>0</v>
      </c>
      <c r="BJ365" s="31">
        <f t="shared" si="128"/>
        <v>0</v>
      </c>
      <c r="BK365" s="31" t="str">
        <f>VLOOKUP(B365,Miljö!$B$1:$P$482,MATCH("Fossil andel i procent (%)",Miljö!$B$1:$P$1,0),FALSE)</f>
        <v>ET</v>
      </c>
      <c r="BL365" s="31">
        <f t="shared" si="129"/>
        <v>2.61</v>
      </c>
      <c r="BO365" s="32">
        <f t="shared" si="130"/>
        <v>1.7624521072796936E-2</v>
      </c>
      <c r="BP365" s="32">
        <f t="shared" si="131"/>
        <v>0</v>
      </c>
      <c r="BQ365" s="32">
        <f t="shared" si="132"/>
        <v>0.98237547892720312</v>
      </c>
      <c r="BR365" s="32">
        <f t="shared" si="133"/>
        <v>0</v>
      </c>
      <c r="BT365" s="62">
        <f t="shared" si="134"/>
        <v>1</v>
      </c>
      <c r="BW365" s="32">
        <f>IF(AP365="Ja",VLOOKUP(B365,Miljövärden!$B$2:$H$551,MATCH("Total andel fossilt",Miljövärden!$B$2:$H$2,0),FALSE),"")</f>
        <v>1.7624500000000001E-2</v>
      </c>
      <c r="BX365" s="62">
        <f t="shared" si="135"/>
        <v>-2.1072796934501481E-8</v>
      </c>
      <c r="BZ365" s="31">
        <f t="shared" si="136"/>
        <v>-2.1072796934501481E-8</v>
      </c>
      <c r="CA365" s="32">
        <f t="shared" si="137"/>
        <v>0</v>
      </c>
    </row>
    <row r="366" spans="1:79" x14ac:dyDescent="0.45">
      <c r="A366" s="31" t="s">
        <v>48</v>
      </c>
      <c r="B366" s="31" t="s">
        <v>207</v>
      </c>
      <c r="C366" s="31">
        <f>VLOOKUP($B366,'Tillförd energi'!$B$1:$AI$720,MATCH(C$1,'Tillförd energi'!$B$1:$AQ$1,0),FALSE)</f>
        <v>0</v>
      </c>
      <c r="D366" s="31">
        <f>VLOOKUP($B366,'Tillförd energi'!$B$1:$AI$720,MATCH(D$1,'Tillförd energi'!$B$1:$AQ$1,0),FALSE)</f>
        <v>0.379</v>
      </c>
      <c r="E366" s="31">
        <f>VLOOKUP($B366,'Tillförd energi'!$B$1:$AI$720,MATCH(E$1,'Tillförd energi'!$B$1:$AQ$1,0),FALSE)</f>
        <v>0.876</v>
      </c>
      <c r="F366" s="31">
        <f>VLOOKUP($B366,'Tillförd energi'!$B$1:$AI$720,MATCH(F$1,'Tillförd energi'!$B$1:$AQ$1,0),FALSE)</f>
        <v>0</v>
      </c>
      <c r="G366" s="31">
        <f>VLOOKUP($B366,'Tillförd energi'!$B$1:$AI$720,MATCH(G$1,'Tillförd energi'!$B$1:$AQ$1,0),FALSE)</f>
        <v>0</v>
      </c>
      <c r="H366" s="31">
        <f>VLOOKUP($B366,'Tillförd energi'!$B$1:$AI$720,MATCH(H$1,'Tillförd energi'!$B$1:$AQ$1,0),FALSE)</f>
        <v>0</v>
      </c>
      <c r="I366" s="31">
        <f>VLOOKUP($B366,'Tillförd energi'!$B$1:$AI$720,MATCH(I$1,'Tillförd energi'!$B$1:$AQ$1,0),FALSE)</f>
        <v>0</v>
      </c>
      <c r="J366" s="31">
        <f>VLOOKUP($B366,'Tillförd energi'!$B$1:$AI$720,MATCH(J$1,'Tillförd energi'!$B$1:$AQ$1,0),FALSE)</f>
        <v>0</v>
      </c>
      <c r="K366" s="31">
        <f>VLOOKUP($B366,'Tillförd energi'!$B$1:$AI$720,MATCH(K$1,'Tillförd energi'!$B$1:$AQ$1,0),FALSE)</f>
        <v>0</v>
      </c>
      <c r="L366" s="31">
        <f>VLOOKUP($B366,'Tillförd energi'!$B$1:$AI$720,MATCH(L$1,'Tillförd energi'!$B$1:$AQ$1,0),FALSE)</f>
        <v>0</v>
      </c>
      <c r="M366" s="31">
        <f>VLOOKUP($B366,'Tillförd energi'!$B$1:$AI$720,MATCH(M$1,'Tillförd energi'!$B$1:$AQ$1,0),FALSE)</f>
        <v>0</v>
      </c>
      <c r="N366" s="31">
        <f>VLOOKUP($B366,'Tillförd energi'!$B$1:$AI$720,MATCH(N$1,'Tillförd energi'!$B$1:$AQ$1,0),FALSE)</f>
        <v>0</v>
      </c>
      <c r="O366" s="31">
        <f>VLOOKUP($B366,'Tillförd energi'!$B$1:$AI$720,MATCH(O$1,'Tillförd energi'!$B$1:$AQ$1,0),FALSE)</f>
        <v>0</v>
      </c>
      <c r="P366" s="31">
        <f>VLOOKUP($B366,'Tillförd energi'!$B$1:$AI$720,MATCH(P$1,'Tillförd energi'!$B$1:$AQ$1,0),FALSE)</f>
        <v>0</v>
      </c>
      <c r="Q366" s="31">
        <f>VLOOKUP($B366,'Tillförd energi'!$B$1:$AI$720,MATCH(Q$1,'Tillförd energi'!$B$1:$AQ$1,0),FALSE)</f>
        <v>0</v>
      </c>
      <c r="R366" s="31">
        <f>VLOOKUP($B366,'Tillförd energi'!$B$1:$AI$720,MATCH(R$1,'Tillförd energi'!$B$1:$AQ$1,0),FALSE)</f>
        <v>33.922899999999998</v>
      </c>
      <c r="S366" s="31">
        <f>VLOOKUP($B366,'Tillförd energi'!$B$1:$AI$720,MATCH(S$1,'Tillförd energi'!$B$1:$AQ$1,0),FALSE)</f>
        <v>0</v>
      </c>
      <c r="T366" s="31">
        <f>VLOOKUP($B366,'Tillförd energi'!$B$1:$AI$720,MATCH(T$1,'Tillförd energi'!$B$1:$AQ$1,0),FALSE)</f>
        <v>0</v>
      </c>
      <c r="U366" s="31">
        <f>VLOOKUP($B366,'Tillförd energi'!$B$1:$AI$720,MATCH(U$1,'Tillförd energi'!$B$1:$AQ$1,0),FALSE)</f>
        <v>0</v>
      </c>
      <c r="V366" s="31">
        <f>VLOOKUP($B366,'Tillförd energi'!$B$1:$AI$720,MATCH(V$1,'Tillförd energi'!$B$1:$AQ$1,0),FALSE)</f>
        <v>0</v>
      </c>
      <c r="W366" s="31">
        <f>VLOOKUP($B366,'Tillförd energi'!$B$1:$AI$720,MATCH(W$1,'Tillförd energi'!$B$1:$AQ$1,0),FALSE)</f>
        <v>0</v>
      </c>
      <c r="X366" s="31">
        <f>VLOOKUP($B366,'Tillförd energi'!$B$1:$AI$720,MATCH(X$1,'Tillförd energi'!$B$1:$AQ$1,0),FALSE)</f>
        <v>0</v>
      </c>
      <c r="Y366" s="31">
        <f>VLOOKUP($B366,'Tillförd energi'!$B$1:$AI$720,MATCH(Y$1,'Tillförd energi'!$B$1:$AQ$1,0),FALSE)</f>
        <v>0</v>
      </c>
      <c r="Z366" s="31">
        <f>VLOOKUP($B366,'Tillförd energi'!$B$1:$AI$720,MATCH(Z$1,'Tillförd energi'!$B$1:$AQ$1,0),FALSE)</f>
        <v>0</v>
      </c>
      <c r="AA366" s="31">
        <f>VLOOKUP($B366,'Tillförd energi'!$B$1:$AI$720,MATCH(AA$1,'Tillförd energi'!$B$1:$AQ$1,0),FALSE)</f>
        <v>0</v>
      </c>
      <c r="AB366" s="31">
        <f>VLOOKUP($B366,'Tillförd energi'!$B$1:$AI$720,MATCH(AB$1,'Tillförd energi'!$B$1:$AQ$1,0),FALSE)</f>
        <v>0</v>
      </c>
      <c r="AC366" s="31">
        <f>VLOOKUP($B366,'Tillförd energi'!$B$1:$AI$720,MATCH(AC$1,'Tillförd energi'!$B$1:$AQ$1,0),FALSE)</f>
        <v>0</v>
      </c>
      <c r="AD366" s="31">
        <f>VLOOKUP($B366,'Tillförd energi'!$B$1:$AI$720,MATCH(AD$1,'Tillförd energi'!$B$1:$AQ$1,0),FALSE)</f>
        <v>20.800999999999998</v>
      </c>
      <c r="AE366" s="31">
        <f>VLOOKUP($B366,'Tillförd energi'!$B$1:$AI$720,MATCH(AE$1,'Tillförd energi'!$B$1:$AQ$1,0),FALSE)</f>
        <v>0</v>
      </c>
      <c r="AF366" s="31">
        <f>VLOOKUP($B366,'Tillförd energi'!$B$1:$AI$720,MATCH(AF$1,'Tillförd energi'!$B$1:$AQ$1,0),FALSE)</f>
        <v>0.70499999999999996</v>
      </c>
      <c r="AG366" s="31">
        <f>IFERROR(VLOOKUP(B366,Miljö!$B$1:$AC$550,MATCH("Köpt mängd produktionsspecifik fjärrvärme:",Miljö!$B$1:$AC$1,0),FALSE)/1,0)</f>
        <v>0</v>
      </c>
      <c r="AI366" s="31">
        <f t="shared" si="115"/>
        <v>56.683899999999994</v>
      </c>
      <c r="AJ366" s="31">
        <f t="shared" si="116"/>
        <v>56.683899999999994</v>
      </c>
      <c r="AK366" s="31">
        <f>IF(ISERROR(1/VLOOKUP($B366,Leveranser!$B$1:$S$499,MATCH("Såld värme (GWh)",Leveranser!$B$1:$S$1,0),FALSE)),"",VLOOKUP($B366,Leveranser!$B$1:$S$499,MATCH("Såld värme (GWh)",Leveranser!$B$1:$S$1,0),FALSE))</f>
        <v>47.171999999999997</v>
      </c>
      <c r="AL366" s="31">
        <f>VLOOKUP($B366,Leveranser!$B$1:$Y$499,MATCH("Totalt såld fjärrvärme till andra fjärrvärmeföretag",Leveranser!$B$1:$AA$1,0),FALSE)</f>
        <v>0</v>
      </c>
      <c r="AM366" s="31">
        <f>IF(ISERROR(1/VLOOKUP($B366,Miljö!$B$1:$S$500,MATCH("Såld mängd produktionsspecifik fjärrvärme (GWh)",Miljö!$B$1:$R$1,0),FALSE)),0,VLOOKUP($B366,Miljö!$B$1:$S$500,MATCH("Såld mängd produktionsspecifik fjärrvärme (GWh)",Miljö!$B$1:$R$1,0),FALSE))</f>
        <v>0</v>
      </c>
      <c r="AN366" s="32">
        <f t="shared" si="117"/>
        <v>0.83219397395027517</v>
      </c>
      <c r="AP366" s="31" t="str">
        <f>IFERROR(VLOOKUP($B366,Miljövärden!$B$2:$H$550,7,FALSE),"Nej, saknas")</f>
        <v>Ja</v>
      </c>
      <c r="AQ366" s="31" t="str">
        <f>IFERROR(VLOOKUP($B366,Miljövärden!$B$2:$H$551,6,FALSE),"Nej, saknas")</f>
        <v>Ja</v>
      </c>
      <c r="AU366" s="31">
        <f t="shared" si="118"/>
        <v>0.70499999999999996</v>
      </c>
      <c r="AV366" s="31">
        <f t="shared" si="119"/>
        <v>0</v>
      </c>
      <c r="AW366" s="31">
        <f t="shared" si="120"/>
        <v>0</v>
      </c>
      <c r="AX366" s="31">
        <f t="shared" si="121"/>
        <v>33.922899999999998</v>
      </c>
      <c r="AZ366" s="31">
        <f t="shared" si="122"/>
        <v>33.922899999999998</v>
      </c>
      <c r="BC366" s="31">
        <f t="shared" si="123"/>
        <v>1.2549999999999999</v>
      </c>
      <c r="BD366" s="31">
        <f t="shared" si="124"/>
        <v>0</v>
      </c>
      <c r="BE366" s="31">
        <f t="shared" si="125"/>
        <v>33.922899999999998</v>
      </c>
      <c r="BF366" s="31">
        <f t="shared" si="126"/>
        <v>20.800999999999998</v>
      </c>
      <c r="BG366" s="31">
        <f t="shared" si="127"/>
        <v>0.70499999999999996</v>
      </c>
      <c r="BH366" s="31">
        <f>VLOOKUP(B366,Miljö!$B$1:$BX$482,MATCH("Fossilandel för ursprungspecificerad el ()",Miljö!$B$1:$I$1,0),FALSE)</f>
        <v>0</v>
      </c>
      <c r="BI366" s="31">
        <f>VLOOKUP(B366,Miljö!$B$1:$BX$482,MATCH("Kärnkraftsandel för ursprungsspecificerad el ()",Miljö!$B$1:$O$1,0),FALSE)</f>
        <v>0</v>
      </c>
      <c r="BJ366" s="31">
        <f t="shared" si="128"/>
        <v>0</v>
      </c>
      <c r="BK366" s="31" t="str">
        <f>VLOOKUP(B366,Miljö!$B$1:$P$482,MATCH("Fossil andel i procent (%)",Miljö!$B$1:$P$1,0),FALSE)</f>
        <v>ET</v>
      </c>
      <c r="BL366" s="31">
        <f t="shared" si="129"/>
        <v>56.683899999999994</v>
      </c>
      <c r="BO366" s="32">
        <f t="shared" si="130"/>
        <v>2.2140325559815044E-2</v>
      </c>
      <c r="BP366" s="32">
        <f t="shared" si="131"/>
        <v>0</v>
      </c>
      <c r="BQ366" s="32">
        <f t="shared" si="132"/>
        <v>0.61089480434479637</v>
      </c>
      <c r="BR366" s="32">
        <f t="shared" si="133"/>
        <v>0.36696487009538864</v>
      </c>
      <c r="BT366" s="62">
        <f t="shared" si="134"/>
        <v>1</v>
      </c>
      <c r="BW366" s="32">
        <f>IF(AP366="Ja",VLOOKUP(B366,Miljövärden!$B$2:$H$551,MATCH("Total andel fossilt",Miljövärden!$B$2:$H$2,0),FALSE),"")</f>
        <v>2.2140300000000002E-2</v>
      </c>
      <c r="BX366" s="62">
        <f t="shared" si="135"/>
        <v>-2.5559815042264233E-8</v>
      </c>
      <c r="BZ366" s="31">
        <f t="shared" si="136"/>
        <v>-2.5559815042264233E-8</v>
      </c>
      <c r="CA366" s="32">
        <f t="shared" si="137"/>
        <v>0</v>
      </c>
    </row>
    <row r="367" spans="1:79" x14ac:dyDescent="0.45">
      <c r="A367" s="31" t="s">
        <v>48</v>
      </c>
      <c r="B367" s="31" t="s">
        <v>206</v>
      </c>
      <c r="C367" s="31">
        <f>VLOOKUP($B367,'Tillförd energi'!$B$1:$AI$720,MATCH(C$1,'Tillförd energi'!$B$1:$AQ$1,0),FALSE)</f>
        <v>0</v>
      </c>
      <c r="D367" s="31">
        <f>VLOOKUP($B367,'Tillförd energi'!$B$1:$AI$720,MATCH(D$1,'Tillförd energi'!$B$1:$AQ$1,0),FALSE)</f>
        <v>0.49399999999999999</v>
      </c>
      <c r="E367" s="31">
        <f>VLOOKUP($B367,'Tillförd energi'!$B$1:$AI$720,MATCH(E$1,'Tillförd energi'!$B$1:$AQ$1,0),FALSE)</f>
        <v>0</v>
      </c>
      <c r="F367" s="31">
        <f>VLOOKUP($B367,'Tillförd energi'!$B$1:$AI$720,MATCH(F$1,'Tillförd energi'!$B$1:$AQ$1,0),FALSE)</f>
        <v>0</v>
      </c>
      <c r="G367" s="31">
        <f>VLOOKUP($B367,'Tillförd energi'!$B$1:$AI$720,MATCH(G$1,'Tillförd energi'!$B$1:$AQ$1,0),FALSE)</f>
        <v>0</v>
      </c>
      <c r="H367" s="31">
        <f>VLOOKUP($B367,'Tillförd energi'!$B$1:$AI$720,MATCH(H$1,'Tillförd energi'!$B$1:$AQ$1,0),FALSE)</f>
        <v>0</v>
      </c>
      <c r="I367" s="31">
        <f>VLOOKUP($B367,'Tillförd energi'!$B$1:$AI$720,MATCH(I$1,'Tillförd energi'!$B$1:$AQ$1,0),FALSE)</f>
        <v>0</v>
      </c>
      <c r="J367" s="31">
        <f>VLOOKUP($B367,'Tillförd energi'!$B$1:$AI$720,MATCH(J$1,'Tillförd energi'!$B$1:$AQ$1,0),FALSE)</f>
        <v>0</v>
      </c>
      <c r="K367" s="31">
        <f>VLOOKUP($B367,'Tillförd energi'!$B$1:$AI$720,MATCH(K$1,'Tillförd energi'!$B$1:$AQ$1,0),FALSE)</f>
        <v>0</v>
      </c>
      <c r="L367" s="31">
        <f>VLOOKUP($B367,'Tillförd energi'!$B$1:$AI$720,MATCH(L$1,'Tillförd energi'!$B$1:$AQ$1,0),FALSE)</f>
        <v>0</v>
      </c>
      <c r="M367" s="31">
        <f>VLOOKUP($B367,'Tillförd energi'!$B$1:$AI$720,MATCH(M$1,'Tillförd energi'!$B$1:$AQ$1,0),FALSE)</f>
        <v>0</v>
      </c>
      <c r="N367" s="31">
        <f>VLOOKUP($B367,'Tillförd energi'!$B$1:$AI$720,MATCH(N$1,'Tillförd energi'!$B$1:$AQ$1,0),FALSE)</f>
        <v>0</v>
      </c>
      <c r="O367" s="31">
        <f>VLOOKUP($B367,'Tillförd energi'!$B$1:$AI$720,MATCH(O$1,'Tillförd energi'!$B$1:$AQ$1,0),FALSE)</f>
        <v>0.76600000000000001</v>
      </c>
      <c r="P367" s="31">
        <f>VLOOKUP($B367,'Tillförd energi'!$B$1:$AI$720,MATCH(P$1,'Tillförd energi'!$B$1:$AQ$1,0),FALSE)</f>
        <v>1E-3</v>
      </c>
      <c r="Q367" s="31">
        <f>VLOOKUP($B367,'Tillförd energi'!$B$1:$AI$720,MATCH(Q$1,'Tillförd energi'!$B$1:$AQ$1,0),FALSE)</f>
        <v>7.5979999999999999</v>
      </c>
      <c r="R367" s="31">
        <f>VLOOKUP($B367,'Tillförd energi'!$B$1:$AI$720,MATCH(R$1,'Tillförd energi'!$B$1:$AQ$1,0),FALSE)</f>
        <v>0</v>
      </c>
      <c r="S367" s="31">
        <f>VLOOKUP($B367,'Tillförd energi'!$B$1:$AI$720,MATCH(S$1,'Tillförd energi'!$B$1:$AQ$1,0),FALSE)</f>
        <v>0</v>
      </c>
      <c r="T367" s="31">
        <f>VLOOKUP($B367,'Tillförd energi'!$B$1:$AI$720,MATCH(T$1,'Tillförd energi'!$B$1:$AQ$1,0),FALSE)</f>
        <v>0</v>
      </c>
      <c r="U367" s="31">
        <f>VLOOKUP($B367,'Tillförd energi'!$B$1:$AI$720,MATCH(U$1,'Tillförd energi'!$B$1:$AQ$1,0),FALSE)</f>
        <v>0</v>
      </c>
      <c r="V367" s="31">
        <f>VLOOKUP($B367,'Tillförd energi'!$B$1:$AI$720,MATCH(V$1,'Tillförd energi'!$B$1:$AQ$1,0),FALSE)</f>
        <v>0</v>
      </c>
      <c r="W367" s="31">
        <f>VLOOKUP($B367,'Tillförd energi'!$B$1:$AI$720,MATCH(W$1,'Tillförd energi'!$B$1:$AQ$1,0),FALSE)</f>
        <v>0</v>
      </c>
      <c r="X367" s="31">
        <f>VLOOKUP($B367,'Tillförd energi'!$B$1:$AI$720,MATCH(X$1,'Tillförd energi'!$B$1:$AQ$1,0),FALSE)</f>
        <v>0</v>
      </c>
      <c r="Y367" s="31">
        <f>VLOOKUP($B367,'Tillförd energi'!$B$1:$AI$720,MATCH(Y$1,'Tillförd energi'!$B$1:$AQ$1,0),FALSE)</f>
        <v>0</v>
      </c>
      <c r="Z367" s="31">
        <f>VLOOKUP($B367,'Tillförd energi'!$B$1:$AI$720,MATCH(Z$1,'Tillförd energi'!$B$1:$AQ$1,0),FALSE)</f>
        <v>0</v>
      </c>
      <c r="AA367" s="31">
        <f>VLOOKUP($B367,'Tillförd energi'!$B$1:$AI$720,MATCH(AA$1,'Tillförd energi'!$B$1:$AQ$1,0),FALSE)</f>
        <v>0</v>
      </c>
      <c r="AB367" s="31">
        <f>VLOOKUP($B367,'Tillförd energi'!$B$1:$AI$720,MATCH(AB$1,'Tillförd energi'!$B$1:$AQ$1,0),FALSE)</f>
        <v>0</v>
      </c>
      <c r="AC367" s="31">
        <f>VLOOKUP($B367,'Tillförd energi'!$B$1:$AI$720,MATCH(AC$1,'Tillförd energi'!$B$1:$AQ$1,0),FALSE)</f>
        <v>0</v>
      </c>
      <c r="AD367" s="31">
        <f>VLOOKUP($B367,'Tillförd energi'!$B$1:$AI$720,MATCH(AD$1,'Tillförd energi'!$B$1:$AQ$1,0),FALSE)</f>
        <v>0</v>
      </c>
      <c r="AE367" s="31">
        <f>VLOOKUP($B367,'Tillförd energi'!$B$1:$AI$720,MATCH(AE$1,'Tillförd energi'!$B$1:$AQ$1,0),FALSE)</f>
        <v>0</v>
      </c>
      <c r="AF367" s="31">
        <f>VLOOKUP($B367,'Tillförd energi'!$B$1:$AI$720,MATCH(AF$1,'Tillförd energi'!$B$1:$AQ$1,0),FALSE)</f>
        <v>0.11</v>
      </c>
      <c r="AG367" s="31">
        <f>IFERROR(VLOOKUP(B367,Miljö!$B$1:$AC$550,MATCH("Köpt mängd produktionsspecifik fjärrvärme:",Miljö!$B$1:$AC$1,0),FALSE)/1,0)</f>
        <v>0</v>
      </c>
      <c r="AI367" s="31">
        <f t="shared" si="115"/>
        <v>8.9689999999999994</v>
      </c>
      <c r="AJ367" s="31">
        <f t="shared" si="116"/>
        <v>8.9689999999999994</v>
      </c>
      <c r="AK367" s="31">
        <f>IF(ISERROR(1/VLOOKUP($B367,Leveranser!$B$1:$S$499,MATCH("Såld värme (GWh)",Leveranser!$B$1:$S$1,0),FALSE)),"",VLOOKUP($B367,Leveranser!$B$1:$S$499,MATCH("Såld värme (GWh)",Leveranser!$B$1:$S$1,0),FALSE))</f>
        <v>6.7089999999999996</v>
      </c>
      <c r="AL367" s="31">
        <f>VLOOKUP($B367,Leveranser!$B$1:$Y$499,MATCH("Totalt såld fjärrvärme till andra fjärrvärmeföretag",Leveranser!$B$1:$AA$1,0),FALSE)</f>
        <v>0</v>
      </c>
      <c r="AM367" s="31">
        <f>IF(ISERROR(1/VLOOKUP($B367,Miljö!$B$1:$S$500,MATCH("Såld mängd produktionsspecifik fjärrvärme (GWh)",Miljö!$B$1:$R$1,0),FALSE)),0,VLOOKUP($B367,Miljö!$B$1:$S$500,MATCH("Såld mängd produktionsspecifik fjärrvärme (GWh)",Miljö!$B$1:$R$1,0),FALSE))</f>
        <v>0</v>
      </c>
      <c r="AN367" s="32">
        <f t="shared" si="117"/>
        <v>0.74802096108819272</v>
      </c>
      <c r="AP367" s="31" t="str">
        <f>IFERROR(VLOOKUP($B367,Miljövärden!$B$2:$H$550,7,FALSE),"Nej, saknas")</f>
        <v>Ja</v>
      </c>
      <c r="AQ367" s="31" t="str">
        <f>IFERROR(VLOOKUP($B367,Miljövärden!$B$2:$H$551,6,FALSE),"Nej, saknas")</f>
        <v>Ja</v>
      </c>
      <c r="AU367" s="31">
        <f t="shared" si="118"/>
        <v>0.11</v>
      </c>
      <c r="AV367" s="31">
        <f t="shared" si="119"/>
        <v>0</v>
      </c>
      <c r="AW367" s="31">
        <f t="shared" si="120"/>
        <v>8.3650000000000002</v>
      </c>
      <c r="AX367" s="31">
        <f t="shared" si="121"/>
        <v>0</v>
      </c>
      <c r="AZ367" s="31">
        <f t="shared" si="122"/>
        <v>8.3650000000000002</v>
      </c>
      <c r="BC367" s="31">
        <f t="shared" si="123"/>
        <v>0.49399999999999999</v>
      </c>
      <c r="BD367" s="31">
        <f t="shared" si="124"/>
        <v>0</v>
      </c>
      <c r="BE367" s="31">
        <f t="shared" si="125"/>
        <v>8.3650000000000002</v>
      </c>
      <c r="BF367" s="31">
        <f t="shared" si="126"/>
        <v>0</v>
      </c>
      <c r="BG367" s="31">
        <f t="shared" si="127"/>
        <v>0.11</v>
      </c>
      <c r="BH367" s="31">
        <f>VLOOKUP(B367,Miljö!$B$1:$BX$482,MATCH("Fossilandel för ursprungspecificerad el ()",Miljö!$B$1:$I$1,0),FALSE)</f>
        <v>0</v>
      </c>
      <c r="BI367" s="31">
        <f>VLOOKUP(B367,Miljö!$B$1:$BX$482,MATCH("Kärnkraftsandel för ursprungsspecificerad el ()",Miljö!$B$1:$O$1,0),FALSE)</f>
        <v>0</v>
      </c>
      <c r="BJ367" s="31">
        <f t="shared" si="128"/>
        <v>0</v>
      </c>
      <c r="BK367" s="31" t="str">
        <f>VLOOKUP(B367,Miljö!$B$1:$P$482,MATCH("Fossil andel i procent (%)",Miljö!$B$1:$P$1,0),FALSE)</f>
        <v>ET</v>
      </c>
      <c r="BL367" s="31">
        <f t="shared" si="129"/>
        <v>8.9689999999999994</v>
      </c>
      <c r="BO367" s="32">
        <f t="shared" si="130"/>
        <v>5.5078604080722494E-2</v>
      </c>
      <c r="BP367" s="32">
        <f t="shared" si="131"/>
        <v>0</v>
      </c>
      <c r="BQ367" s="32">
        <f t="shared" si="132"/>
        <v>0.94492139591927748</v>
      </c>
      <c r="BR367" s="32">
        <f t="shared" si="133"/>
        <v>0</v>
      </c>
      <c r="BT367" s="62">
        <f t="shared" si="134"/>
        <v>1</v>
      </c>
      <c r="BW367" s="32">
        <f>IF(AP367="Ja",VLOOKUP(B367,Miljövärden!$B$2:$H$551,MATCH("Total andel fossilt",Miljövärden!$B$2:$H$2,0),FALSE),"")</f>
        <v>5.5078599999999998E-2</v>
      </c>
      <c r="BX367" s="62">
        <f t="shared" si="135"/>
        <v>-4.0807224960248689E-9</v>
      </c>
      <c r="BZ367" s="31">
        <f t="shared" si="136"/>
        <v>-4.0807224960248689E-9</v>
      </c>
      <c r="CA367" s="32">
        <f t="shared" si="137"/>
        <v>0</v>
      </c>
    </row>
    <row r="368" spans="1:79" x14ac:dyDescent="0.45">
      <c r="A368" s="31" t="s">
        <v>48</v>
      </c>
      <c r="B368" s="31" t="s">
        <v>205</v>
      </c>
      <c r="C368" s="31">
        <f>VLOOKUP($B368,'Tillförd energi'!$B$1:$AI$720,MATCH(C$1,'Tillförd energi'!$B$1:$AQ$1,0),FALSE)</f>
        <v>0</v>
      </c>
      <c r="D368" s="31">
        <f>VLOOKUP($B368,'Tillförd energi'!$B$1:$AI$720,MATCH(D$1,'Tillförd energi'!$B$1:$AQ$1,0),FALSE)</f>
        <v>2.14</v>
      </c>
      <c r="E368" s="31">
        <f>VLOOKUP($B368,'Tillförd energi'!$B$1:$AI$720,MATCH(E$1,'Tillförd energi'!$B$1:$AQ$1,0),FALSE)</f>
        <v>0</v>
      </c>
      <c r="F368" s="31">
        <f>VLOOKUP($B368,'Tillförd energi'!$B$1:$AI$720,MATCH(F$1,'Tillförd energi'!$B$1:$AQ$1,0),FALSE)</f>
        <v>0</v>
      </c>
      <c r="G368" s="31">
        <f>VLOOKUP($B368,'Tillförd energi'!$B$1:$AI$720,MATCH(G$1,'Tillförd energi'!$B$1:$AQ$1,0),FALSE)</f>
        <v>0</v>
      </c>
      <c r="H368" s="31">
        <f>VLOOKUP($B368,'Tillförd energi'!$B$1:$AI$720,MATCH(H$1,'Tillförd energi'!$B$1:$AQ$1,0),FALSE)</f>
        <v>0</v>
      </c>
      <c r="I368" s="31">
        <f>VLOOKUP($B368,'Tillförd energi'!$B$1:$AI$720,MATCH(I$1,'Tillförd energi'!$B$1:$AQ$1,0),FALSE)</f>
        <v>0</v>
      </c>
      <c r="J368" s="31">
        <f>VLOOKUP($B368,'Tillförd energi'!$B$1:$AI$720,MATCH(J$1,'Tillförd energi'!$B$1:$AQ$1,0),FALSE)</f>
        <v>0</v>
      </c>
      <c r="K368" s="31">
        <f>VLOOKUP($B368,'Tillförd energi'!$B$1:$AI$720,MATCH(K$1,'Tillförd energi'!$B$1:$AQ$1,0),FALSE)</f>
        <v>0</v>
      </c>
      <c r="L368" s="31">
        <f>VLOOKUP($B368,'Tillförd energi'!$B$1:$AI$720,MATCH(L$1,'Tillförd energi'!$B$1:$AQ$1,0),FALSE)</f>
        <v>0</v>
      </c>
      <c r="M368" s="31">
        <f>VLOOKUP($B368,'Tillförd energi'!$B$1:$AI$720,MATCH(M$1,'Tillförd energi'!$B$1:$AQ$1,0),FALSE)</f>
        <v>0</v>
      </c>
      <c r="N368" s="31">
        <f>VLOOKUP($B368,'Tillförd energi'!$B$1:$AI$720,MATCH(N$1,'Tillförd energi'!$B$1:$AQ$1,0),FALSE)</f>
        <v>0</v>
      </c>
      <c r="O368" s="31">
        <f>VLOOKUP($B368,'Tillförd energi'!$B$1:$AI$720,MATCH(O$1,'Tillförd energi'!$B$1:$AQ$1,0),FALSE)</f>
        <v>0</v>
      </c>
      <c r="P368" s="31">
        <f>VLOOKUP($B368,'Tillförd energi'!$B$1:$AI$720,MATCH(P$1,'Tillförd energi'!$B$1:$AQ$1,0),FALSE)</f>
        <v>0</v>
      </c>
      <c r="Q368" s="31">
        <f>VLOOKUP($B368,'Tillförd energi'!$B$1:$AI$720,MATCH(Q$1,'Tillförd energi'!$B$1:$AQ$1,0),FALSE)</f>
        <v>87.424000000000007</v>
      </c>
      <c r="R368" s="31">
        <f>VLOOKUP($B368,'Tillförd energi'!$B$1:$AI$720,MATCH(R$1,'Tillförd energi'!$B$1:$AQ$1,0),FALSE)</f>
        <v>0</v>
      </c>
      <c r="S368" s="31">
        <f>VLOOKUP($B368,'Tillförd energi'!$B$1:$AI$720,MATCH(S$1,'Tillförd energi'!$B$1:$AQ$1,0),FALSE)</f>
        <v>0</v>
      </c>
      <c r="T368" s="31">
        <f>VLOOKUP($B368,'Tillförd energi'!$B$1:$AI$720,MATCH(T$1,'Tillförd energi'!$B$1:$AQ$1,0),FALSE)</f>
        <v>0</v>
      </c>
      <c r="U368" s="31">
        <f>VLOOKUP($B368,'Tillförd energi'!$B$1:$AI$720,MATCH(U$1,'Tillförd energi'!$B$1:$AQ$1,0),FALSE)</f>
        <v>0</v>
      </c>
      <c r="V368" s="31">
        <f>VLOOKUP($B368,'Tillförd energi'!$B$1:$AI$720,MATCH(V$1,'Tillförd energi'!$B$1:$AQ$1,0),FALSE)</f>
        <v>0</v>
      </c>
      <c r="W368" s="31">
        <f>VLOOKUP($B368,'Tillförd energi'!$B$1:$AI$720,MATCH(W$1,'Tillförd energi'!$B$1:$AQ$1,0),FALSE)</f>
        <v>0</v>
      </c>
      <c r="X368" s="31">
        <f>VLOOKUP($B368,'Tillförd energi'!$B$1:$AI$720,MATCH(X$1,'Tillförd energi'!$B$1:$AQ$1,0),FALSE)</f>
        <v>0</v>
      </c>
      <c r="Y368" s="31">
        <f>VLOOKUP($B368,'Tillförd energi'!$B$1:$AI$720,MATCH(Y$1,'Tillförd energi'!$B$1:$AQ$1,0),FALSE)</f>
        <v>0</v>
      </c>
      <c r="Z368" s="31">
        <f>VLOOKUP($B368,'Tillförd energi'!$B$1:$AI$720,MATCH(Z$1,'Tillförd energi'!$B$1:$AQ$1,0),FALSE)</f>
        <v>0</v>
      </c>
      <c r="AA368" s="31">
        <f>VLOOKUP($B368,'Tillförd energi'!$B$1:$AI$720,MATCH(AA$1,'Tillförd energi'!$B$1:$AQ$1,0),FALSE)</f>
        <v>0</v>
      </c>
      <c r="AB368" s="31">
        <f>VLOOKUP($B368,'Tillförd energi'!$B$1:$AI$720,MATCH(AB$1,'Tillförd energi'!$B$1:$AQ$1,0),FALSE)</f>
        <v>0</v>
      </c>
      <c r="AC368" s="31">
        <f>VLOOKUP($B368,'Tillförd energi'!$B$1:$AI$720,MATCH(AC$1,'Tillförd energi'!$B$1:$AQ$1,0),FALSE)</f>
        <v>15.481</v>
      </c>
      <c r="AD368" s="31">
        <f>VLOOKUP($B368,'Tillförd energi'!$B$1:$AI$720,MATCH(AD$1,'Tillförd energi'!$B$1:$AQ$1,0),FALSE)</f>
        <v>0</v>
      </c>
      <c r="AE368" s="31">
        <f>VLOOKUP($B368,'Tillförd energi'!$B$1:$AI$720,MATCH(AE$1,'Tillförd energi'!$B$1:$AQ$1,0),FALSE)</f>
        <v>0</v>
      </c>
      <c r="AF368" s="31">
        <f>VLOOKUP($B368,'Tillförd energi'!$B$1:$AI$720,MATCH(AF$1,'Tillförd energi'!$B$1:$AQ$1,0),FALSE)</f>
        <v>3.7999999999999999E-2</v>
      </c>
      <c r="AG368" s="31">
        <f>IFERROR(VLOOKUP(B368,Miljö!$B$1:$AC$550,MATCH("Köpt mängd produktionsspecifik fjärrvärme:",Miljö!$B$1:$AC$1,0),FALSE)/1,0)</f>
        <v>0</v>
      </c>
      <c r="AI368" s="31">
        <f t="shared" si="115"/>
        <v>105.083</v>
      </c>
      <c r="AJ368" s="31">
        <f t="shared" si="116"/>
        <v>105.083</v>
      </c>
      <c r="AK368" s="31">
        <f>IF(ISERROR(1/VLOOKUP($B368,Leveranser!$B$1:$S$499,MATCH("Såld värme (GWh)",Leveranser!$B$1:$S$1,0),FALSE)),"",VLOOKUP($B368,Leveranser!$B$1:$S$499,MATCH("Såld värme (GWh)",Leveranser!$B$1:$S$1,0),FALSE))</f>
        <v>79.188999999999993</v>
      </c>
      <c r="AL368" s="31">
        <f>VLOOKUP($B368,Leveranser!$B$1:$Y$499,MATCH("Totalt såld fjärrvärme till andra fjärrvärmeföretag",Leveranser!$B$1:$AA$1,0),FALSE)</f>
        <v>0</v>
      </c>
      <c r="AM368" s="31">
        <f>IF(ISERROR(1/VLOOKUP($B368,Miljö!$B$1:$S$500,MATCH("Såld mängd produktionsspecifik fjärrvärme (GWh)",Miljö!$B$1:$R$1,0),FALSE)),0,VLOOKUP($B368,Miljö!$B$1:$S$500,MATCH("Såld mängd produktionsspecifik fjärrvärme (GWh)",Miljö!$B$1:$R$1,0),FALSE))</f>
        <v>0</v>
      </c>
      <c r="AN368" s="32">
        <f t="shared" si="117"/>
        <v>0.75358526117450009</v>
      </c>
      <c r="AP368" s="31" t="str">
        <f>IFERROR(VLOOKUP($B368,Miljövärden!$B$2:$H$550,7,FALSE),"Nej, saknas")</f>
        <v>Ja</v>
      </c>
      <c r="AQ368" s="31" t="str">
        <f>IFERROR(VLOOKUP($B368,Miljövärden!$B$2:$H$551,6,FALSE),"Nej, saknas")</f>
        <v>Ja</v>
      </c>
      <c r="AU368" s="31">
        <f t="shared" si="118"/>
        <v>3.7999999999999999E-2</v>
      </c>
      <c r="AV368" s="31">
        <f t="shared" si="119"/>
        <v>0</v>
      </c>
      <c r="AW368" s="31">
        <f t="shared" si="120"/>
        <v>87.424000000000007</v>
      </c>
      <c r="AX368" s="31">
        <f t="shared" si="121"/>
        <v>0</v>
      </c>
      <c r="AZ368" s="31">
        <f t="shared" si="122"/>
        <v>87.424000000000007</v>
      </c>
      <c r="BC368" s="31">
        <f t="shared" si="123"/>
        <v>2.14</v>
      </c>
      <c r="BD368" s="31">
        <f t="shared" si="124"/>
        <v>0</v>
      </c>
      <c r="BE368" s="31">
        <f t="shared" si="125"/>
        <v>87.424000000000007</v>
      </c>
      <c r="BF368" s="31">
        <f t="shared" si="126"/>
        <v>15.481</v>
      </c>
      <c r="BG368" s="31">
        <f t="shared" si="127"/>
        <v>3.7999999999999999E-2</v>
      </c>
      <c r="BH368" s="31">
        <f>VLOOKUP(B368,Miljö!$B$1:$BX$482,MATCH("Fossilandel för ursprungspecificerad el ()",Miljö!$B$1:$I$1,0),FALSE)</f>
        <v>0</v>
      </c>
      <c r="BI368" s="31">
        <f>VLOOKUP(B368,Miljö!$B$1:$BX$482,MATCH("Kärnkraftsandel för ursprungsspecificerad el ()",Miljö!$B$1:$O$1,0),FALSE)</f>
        <v>0</v>
      </c>
      <c r="BJ368" s="31">
        <f t="shared" si="128"/>
        <v>0</v>
      </c>
      <c r="BK368" s="31" t="str">
        <f>VLOOKUP(B368,Miljö!$B$1:$P$482,MATCH("Fossil andel i procent (%)",Miljö!$B$1:$P$1,0),FALSE)</f>
        <v>ET</v>
      </c>
      <c r="BL368" s="31">
        <f t="shared" si="129"/>
        <v>105.083</v>
      </c>
      <c r="BO368" s="32">
        <f t="shared" si="130"/>
        <v>2.0364854448388418E-2</v>
      </c>
      <c r="BP368" s="32">
        <f t="shared" si="131"/>
        <v>0</v>
      </c>
      <c r="BQ368" s="32">
        <f t="shared" si="132"/>
        <v>0.83231350456305975</v>
      </c>
      <c r="BR368" s="32">
        <f t="shared" si="133"/>
        <v>0.14732164098855191</v>
      </c>
      <c r="BT368" s="62">
        <f t="shared" si="134"/>
        <v>1</v>
      </c>
      <c r="BW368" s="32">
        <f>IF(AP368="Ja",VLOOKUP(B368,Miljövärden!$B$2:$H$551,MATCH("Total andel fossilt",Miljövärden!$B$2:$H$2,0),FALSE),"")</f>
        <v>2.0364899999999998E-2</v>
      </c>
      <c r="BX368" s="62">
        <f t="shared" si="135"/>
        <v>4.5551611579930373E-8</v>
      </c>
      <c r="BZ368" s="31">
        <f t="shared" si="136"/>
        <v>4.5551611579930373E-8</v>
      </c>
      <c r="CA368" s="32">
        <f t="shared" si="137"/>
        <v>0</v>
      </c>
    </row>
    <row r="369" spans="1:79" hidden="1" x14ac:dyDescent="0.45">
      <c r="A369" s="31" t="s">
        <v>48</v>
      </c>
      <c r="B369" s="31" t="s">
        <v>204</v>
      </c>
      <c r="C369" s="31">
        <f>VLOOKUP($B369,'Tillförd energi'!$B$1:$AI$720,MATCH(C$1,'Tillförd energi'!$B$1:$AQ$1,0),FALSE)</f>
        <v>0</v>
      </c>
      <c r="D369" s="31">
        <f>VLOOKUP($B369,'Tillförd energi'!$B$1:$AI$720,MATCH(D$1,'Tillförd energi'!$B$1:$AQ$1,0),FALSE)</f>
        <v>0</v>
      </c>
      <c r="E369" s="31">
        <f>VLOOKUP($B369,'Tillförd energi'!$B$1:$AI$720,MATCH(E$1,'Tillförd energi'!$B$1:$AQ$1,0),FALSE)</f>
        <v>0</v>
      </c>
      <c r="F369" s="31">
        <f>VLOOKUP($B369,'Tillförd energi'!$B$1:$AI$720,MATCH(F$1,'Tillförd energi'!$B$1:$AQ$1,0),FALSE)</f>
        <v>0</v>
      </c>
      <c r="G369" s="31">
        <f>VLOOKUP($B369,'Tillförd energi'!$B$1:$AI$720,MATCH(G$1,'Tillförd energi'!$B$1:$AQ$1,0),FALSE)</f>
        <v>0</v>
      </c>
      <c r="H369" s="31">
        <f>VLOOKUP($B369,'Tillförd energi'!$B$1:$AI$720,MATCH(H$1,'Tillförd energi'!$B$1:$AQ$1,0),FALSE)</f>
        <v>0</v>
      </c>
      <c r="I369" s="31">
        <f>VLOOKUP($B369,'Tillförd energi'!$B$1:$AI$720,MATCH(I$1,'Tillförd energi'!$B$1:$AQ$1,0),FALSE)</f>
        <v>0</v>
      </c>
      <c r="J369" s="31">
        <f>VLOOKUP($B369,'Tillförd energi'!$B$1:$AI$720,MATCH(J$1,'Tillförd energi'!$B$1:$AQ$1,0),FALSE)</f>
        <v>0</v>
      </c>
      <c r="K369" s="31">
        <f>VLOOKUP($B369,'Tillförd energi'!$B$1:$AI$720,MATCH(K$1,'Tillförd energi'!$B$1:$AQ$1,0),FALSE)</f>
        <v>0</v>
      </c>
      <c r="L369" s="31">
        <f>VLOOKUP($B369,'Tillförd energi'!$B$1:$AI$720,MATCH(L$1,'Tillförd energi'!$B$1:$AQ$1,0),FALSE)</f>
        <v>0</v>
      </c>
      <c r="M369" s="31">
        <f>VLOOKUP($B369,'Tillförd energi'!$B$1:$AI$720,MATCH(M$1,'Tillförd energi'!$B$1:$AQ$1,0),FALSE)</f>
        <v>0</v>
      </c>
      <c r="N369" s="31">
        <f>VLOOKUP($B369,'Tillförd energi'!$B$1:$AI$720,MATCH(N$1,'Tillförd energi'!$B$1:$AQ$1,0),FALSE)</f>
        <v>0</v>
      </c>
      <c r="O369" s="31">
        <f>VLOOKUP($B369,'Tillförd energi'!$B$1:$AI$720,MATCH(O$1,'Tillförd energi'!$B$1:$AQ$1,0),FALSE)</f>
        <v>0</v>
      </c>
      <c r="P369" s="31">
        <f>VLOOKUP($B369,'Tillförd energi'!$B$1:$AI$720,MATCH(P$1,'Tillförd energi'!$B$1:$AQ$1,0),FALSE)</f>
        <v>0</v>
      </c>
      <c r="Q369" s="31">
        <f>VLOOKUP($B369,'Tillförd energi'!$B$1:$AI$720,MATCH(Q$1,'Tillförd energi'!$B$1:$AQ$1,0),FALSE)</f>
        <v>0</v>
      </c>
      <c r="R369" s="31">
        <f>VLOOKUP($B369,'Tillförd energi'!$B$1:$AI$720,MATCH(R$1,'Tillförd energi'!$B$1:$AQ$1,0),FALSE)</f>
        <v>0</v>
      </c>
      <c r="S369" s="31">
        <f>VLOOKUP($B369,'Tillförd energi'!$B$1:$AI$720,MATCH(S$1,'Tillförd energi'!$B$1:$AQ$1,0),FALSE)</f>
        <v>0</v>
      </c>
      <c r="T369" s="31">
        <f>VLOOKUP($B369,'Tillförd energi'!$B$1:$AI$720,MATCH(T$1,'Tillförd energi'!$B$1:$AQ$1,0),FALSE)</f>
        <v>0</v>
      </c>
      <c r="U369" s="31">
        <f>VLOOKUP($B369,'Tillförd energi'!$B$1:$AI$720,MATCH(U$1,'Tillförd energi'!$B$1:$AQ$1,0),FALSE)</f>
        <v>0</v>
      </c>
      <c r="V369" s="31">
        <f>VLOOKUP($B369,'Tillförd energi'!$B$1:$AI$720,MATCH(V$1,'Tillförd energi'!$B$1:$AQ$1,0),FALSE)</f>
        <v>0</v>
      </c>
      <c r="W369" s="31">
        <f>VLOOKUP($B369,'Tillförd energi'!$B$1:$AI$720,MATCH(W$1,'Tillförd energi'!$B$1:$AQ$1,0),FALSE)</f>
        <v>0</v>
      </c>
      <c r="X369" s="31">
        <f>VLOOKUP($B369,'Tillförd energi'!$B$1:$AI$720,MATCH(X$1,'Tillförd energi'!$B$1:$AQ$1,0),FALSE)</f>
        <v>0</v>
      </c>
      <c r="Y369" s="31">
        <f>VLOOKUP($B369,'Tillförd energi'!$B$1:$AI$720,MATCH(Y$1,'Tillförd energi'!$B$1:$AQ$1,0),FALSE)</f>
        <v>0</v>
      </c>
      <c r="Z369" s="31">
        <f>VLOOKUP($B369,'Tillförd energi'!$B$1:$AI$720,MATCH(Z$1,'Tillförd energi'!$B$1:$AQ$1,0),FALSE)</f>
        <v>0</v>
      </c>
      <c r="AA369" s="31">
        <f>VLOOKUP($B369,'Tillförd energi'!$B$1:$AI$720,MATCH(AA$1,'Tillförd energi'!$B$1:$AQ$1,0),FALSE)</f>
        <v>0</v>
      </c>
      <c r="AB369" s="31">
        <f>VLOOKUP($B369,'Tillförd energi'!$B$1:$AI$720,MATCH(AB$1,'Tillförd energi'!$B$1:$AQ$1,0),FALSE)</f>
        <v>0</v>
      </c>
      <c r="AC369" s="31">
        <f>VLOOKUP($B369,'Tillförd energi'!$B$1:$AI$720,MATCH(AC$1,'Tillförd energi'!$B$1:$AQ$1,0),FALSE)</f>
        <v>0</v>
      </c>
      <c r="AD369" s="31">
        <f>VLOOKUP($B369,'Tillförd energi'!$B$1:$AI$720,MATCH(AD$1,'Tillförd energi'!$B$1:$AQ$1,0),FALSE)</f>
        <v>0</v>
      </c>
      <c r="AE369" s="31">
        <f>VLOOKUP($B369,'Tillförd energi'!$B$1:$AI$720,MATCH(AE$1,'Tillförd energi'!$B$1:$AQ$1,0),FALSE)</f>
        <v>0</v>
      </c>
      <c r="AF369" s="31">
        <f>VLOOKUP($B369,'Tillförd energi'!$B$1:$AI$720,MATCH(AF$1,'Tillförd energi'!$B$1:$AQ$1,0),FALSE)</f>
        <v>0</v>
      </c>
      <c r="AG369" s="31">
        <f>IFERROR(VLOOKUP(B369,Miljö!$B$1:$AC$550,MATCH("Köpt mängd produktionsspecifik fjärrvärme:",Miljö!$B$1:$AC$1,0),FALSE)/1,0)</f>
        <v>0</v>
      </c>
      <c r="AI369" s="31">
        <f t="shared" si="115"/>
        <v>0</v>
      </c>
      <c r="AJ369" s="31">
        <f t="shared" si="116"/>
        <v>0</v>
      </c>
      <c r="AK369" s="31" t="str">
        <f>IF(ISERROR(1/VLOOKUP($B369,Leveranser!$B$1:$S$499,MATCH("Såld värme (GWh)",Leveranser!$B$1:$S$1,0),FALSE)),"",VLOOKUP($B369,Leveranser!$B$1:$S$499,MATCH("Såld värme (GWh)",Leveranser!$B$1:$S$1,0),FALSE))</f>
        <v/>
      </c>
      <c r="AL369" s="31">
        <f>VLOOKUP($B369,Leveranser!$B$1:$Y$499,MATCH("Totalt såld fjärrvärme till andra fjärrvärmeföretag",Leveranser!$B$1:$AA$1,0),FALSE)</f>
        <v>0</v>
      </c>
      <c r="AM369" s="31">
        <f>IF(ISERROR(1/VLOOKUP($B369,Miljö!$B$1:$S$500,MATCH("Såld mängd produktionsspecifik fjärrvärme (GWh)",Miljö!$B$1:$R$1,0),FALSE)),0,VLOOKUP($B369,Miljö!$B$1:$S$500,MATCH("Såld mängd produktionsspecifik fjärrvärme (GWh)",Miljö!$B$1:$R$1,0),FALSE))</f>
        <v>0</v>
      </c>
      <c r="AN369" s="32" t="str">
        <f t="shared" si="117"/>
        <v/>
      </c>
      <c r="AP369" s="31" t="str">
        <f>IFERROR(VLOOKUP($B369,Miljövärden!$B$2:$H$550,7,FALSE),"Nej, saknas")</f>
        <v>Nej</v>
      </c>
      <c r="AQ369" s="31" t="str">
        <f>IFERROR(VLOOKUP($B369,Miljövärden!$B$2:$H$551,6,FALSE),"Nej, saknas")</f>
        <v>Nej</v>
      </c>
      <c r="AU369" s="31">
        <f t="shared" si="118"/>
        <v>0</v>
      </c>
      <c r="AV369" s="31">
        <f t="shared" si="119"/>
        <v>0</v>
      </c>
      <c r="AW369" s="31">
        <f t="shared" si="120"/>
        <v>0</v>
      </c>
      <c r="AX369" s="31">
        <f t="shared" si="121"/>
        <v>0</v>
      </c>
      <c r="AZ369" s="31">
        <f t="shared" si="122"/>
        <v>0</v>
      </c>
      <c r="BC369" s="31">
        <f t="shared" si="123"/>
        <v>0</v>
      </c>
      <c r="BD369" s="31">
        <f t="shared" si="124"/>
        <v>0</v>
      </c>
      <c r="BE369" s="31">
        <f t="shared" si="125"/>
        <v>0</v>
      </c>
      <c r="BF369" s="31">
        <f t="shared" si="126"/>
        <v>0</v>
      </c>
      <c r="BG369" s="31">
        <f t="shared" si="127"/>
        <v>0</v>
      </c>
      <c r="BH369" s="31" t="str">
        <f>VLOOKUP(B369,Miljö!$B$1:$BX$482,MATCH("Fossilandel för ursprungspecificerad el ()",Miljö!$B$1:$I$1,0),FALSE)</f>
        <v>-</v>
      </c>
      <c r="BI369" s="31" t="str">
        <f>VLOOKUP(B369,Miljö!$B$1:$BX$482,MATCH("Kärnkraftsandel för ursprungsspecificerad el ()",Miljö!$B$1:$O$1,0),FALSE)</f>
        <v>-</v>
      </c>
      <c r="BJ369" s="31">
        <f t="shared" si="128"/>
        <v>0</v>
      </c>
      <c r="BK369" s="31" t="str">
        <f>VLOOKUP(B369,Miljö!$B$1:$P$482,MATCH("Fossil andel i procent (%)",Miljö!$B$1:$P$1,0),FALSE)</f>
        <v>-</v>
      </c>
      <c r="BL369" s="31">
        <f t="shared" si="129"/>
        <v>0</v>
      </c>
      <c r="BO369" s="32" t="str">
        <f t="shared" si="130"/>
        <v/>
      </c>
      <c r="BP369" s="32" t="str">
        <f t="shared" si="131"/>
        <v/>
      </c>
      <c r="BQ369" s="32" t="str">
        <f t="shared" si="132"/>
        <v/>
      </c>
      <c r="BR369" s="32" t="str">
        <f t="shared" si="133"/>
        <v/>
      </c>
      <c r="BT369" s="62">
        <f t="shared" si="134"/>
        <v>0</v>
      </c>
      <c r="BW369" s="32" t="str">
        <f>IF(AP369="Ja",VLOOKUP(B369,Miljövärden!$B$2:$H$551,MATCH("Total andel fossilt",Miljövärden!$B$2:$H$2,0),FALSE),"")</f>
        <v/>
      </c>
      <c r="BX369" s="62" t="e">
        <f t="shared" si="135"/>
        <v>#VALUE!</v>
      </c>
      <c r="BZ369" s="31" t="str">
        <f t="shared" si="136"/>
        <v/>
      </c>
      <c r="CA369" s="32" t="str">
        <f t="shared" si="137"/>
        <v/>
      </c>
    </row>
    <row r="370" spans="1:79" x14ac:dyDescent="0.45">
      <c r="A370" s="31" t="s">
        <v>197</v>
      </c>
      <c r="B370" s="31" t="s">
        <v>198</v>
      </c>
      <c r="C370" s="31">
        <f>VLOOKUP($B370,'Tillförd energi'!$B$1:$AI$720,MATCH(C$1,'Tillförd energi'!$B$1:$AQ$1,0),FALSE)</f>
        <v>0</v>
      </c>
      <c r="D370" s="31">
        <f>VLOOKUP($B370,'Tillförd energi'!$B$1:$AI$720,MATCH(D$1,'Tillförd energi'!$B$1:$AQ$1,0),FALSE)</f>
        <v>3.5000000000000003E-2</v>
      </c>
      <c r="E370" s="31">
        <f>VLOOKUP($B370,'Tillförd energi'!$B$1:$AI$720,MATCH(E$1,'Tillförd energi'!$B$1:$AQ$1,0),FALSE)</f>
        <v>0</v>
      </c>
      <c r="F370" s="31">
        <f>VLOOKUP($B370,'Tillförd energi'!$B$1:$AI$720,MATCH(F$1,'Tillförd energi'!$B$1:$AQ$1,0),FALSE)</f>
        <v>0</v>
      </c>
      <c r="G370" s="31">
        <f>VLOOKUP($B370,'Tillförd energi'!$B$1:$AI$720,MATCH(G$1,'Tillförd energi'!$B$1:$AQ$1,0),FALSE)</f>
        <v>0</v>
      </c>
      <c r="H370" s="31">
        <f>VLOOKUP($B370,'Tillförd energi'!$B$1:$AI$720,MATCH(H$1,'Tillförd energi'!$B$1:$AQ$1,0),FALSE)</f>
        <v>0</v>
      </c>
      <c r="I370" s="31">
        <f>VLOOKUP($B370,'Tillförd energi'!$B$1:$AI$720,MATCH(I$1,'Tillförd energi'!$B$1:$AQ$1,0),FALSE)</f>
        <v>0</v>
      </c>
      <c r="J370" s="31">
        <f>VLOOKUP($B370,'Tillförd energi'!$B$1:$AI$720,MATCH(J$1,'Tillförd energi'!$B$1:$AQ$1,0),FALSE)</f>
        <v>0</v>
      </c>
      <c r="K370" s="31">
        <f>VLOOKUP($B370,'Tillförd energi'!$B$1:$AI$720,MATCH(K$1,'Tillförd energi'!$B$1:$AQ$1,0),FALSE)</f>
        <v>0</v>
      </c>
      <c r="L370" s="31">
        <f>VLOOKUP($B370,'Tillförd energi'!$B$1:$AI$720,MATCH(L$1,'Tillförd energi'!$B$1:$AQ$1,0),FALSE)</f>
        <v>0</v>
      </c>
      <c r="M370" s="31">
        <f>VLOOKUP($B370,'Tillförd energi'!$B$1:$AI$720,MATCH(M$1,'Tillförd energi'!$B$1:$AQ$1,0),FALSE)</f>
        <v>0</v>
      </c>
      <c r="N370" s="31">
        <f>VLOOKUP($B370,'Tillförd energi'!$B$1:$AI$720,MATCH(N$1,'Tillförd energi'!$B$1:$AQ$1,0),FALSE)</f>
        <v>0</v>
      </c>
      <c r="O370" s="31">
        <f>VLOOKUP($B370,'Tillförd energi'!$B$1:$AI$720,MATCH(O$1,'Tillförd energi'!$B$1:$AQ$1,0),FALSE)</f>
        <v>0</v>
      </c>
      <c r="P370" s="31">
        <f>VLOOKUP($B370,'Tillförd energi'!$B$1:$AI$720,MATCH(P$1,'Tillförd energi'!$B$1:$AQ$1,0),FALSE)</f>
        <v>0</v>
      </c>
      <c r="Q370" s="31">
        <f>VLOOKUP($B370,'Tillförd energi'!$B$1:$AI$720,MATCH(Q$1,'Tillförd energi'!$B$1:$AQ$1,0),FALSE)</f>
        <v>13.7271</v>
      </c>
      <c r="R370" s="31">
        <f>VLOOKUP($B370,'Tillförd energi'!$B$1:$AI$720,MATCH(R$1,'Tillförd energi'!$B$1:$AQ$1,0),FALSE)</f>
        <v>0</v>
      </c>
      <c r="S370" s="31">
        <f>VLOOKUP($B370,'Tillförd energi'!$B$1:$AI$720,MATCH(S$1,'Tillförd energi'!$B$1:$AQ$1,0),FALSE)</f>
        <v>0</v>
      </c>
      <c r="T370" s="31">
        <f>VLOOKUP($B370,'Tillförd energi'!$B$1:$AI$720,MATCH(T$1,'Tillförd energi'!$B$1:$AQ$1,0),FALSE)</f>
        <v>0</v>
      </c>
      <c r="U370" s="31">
        <f>VLOOKUP($B370,'Tillförd energi'!$B$1:$AI$720,MATCH(U$1,'Tillförd energi'!$B$1:$AQ$1,0),FALSE)</f>
        <v>0</v>
      </c>
      <c r="V370" s="31">
        <f>VLOOKUP($B370,'Tillförd energi'!$B$1:$AI$720,MATCH(V$1,'Tillförd energi'!$B$1:$AQ$1,0),FALSE)</f>
        <v>0</v>
      </c>
      <c r="W370" s="31">
        <f>VLOOKUP($B370,'Tillförd energi'!$B$1:$AI$720,MATCH(W$1,'Tillförd energi'!$B$1:$AQ$1,0),FALSE)</f>
        <v>0</v>
      </c>
      <c r="X370" s="31">
        <f>VLOOKUP($B370,'Tillförd energi'!$B$1:$AI$720,MATCH(X$1,'Tillförd energi'!$B$1:$AQ$1,0),FALSE)</f>
        <v>0</v>
      </c>
      <c r="Y370" s="31">
        <f>VLOOKUP($B370,'Tillförd energi'!$B$1:$AI$720,MATCH(Y$1,'Tillförd energi'!$B$1:$AQ$1,0),FALSE)</f>
        <v>0</v>
      </c>
      <c r="Z370" s="31">
        <f>VLOOKUP($B370,'Tillförd energi'!$B$1:$AI$720,MATCH(Z$1,'Tillförd energi'!$B$1:$AQ$1,0),FALSE)</f>
        <v>0</v>
      </c>
      <c r="AA370" s="31">
        <f>VLOOKUP($B370,'Tillförd energi'!$B$1:$AI$720,MATCH(AA$1,'Tillförd energi'!$B$1:$AQ$1,0),FALSE)</f>
        <v>0</v>
      </c>
      <c r="AB370" s="31">
        <f>VLOOKUP($B370,'Tillförd energi'!$B$1:$AI$720,MATCH(AB$1,'Tillförd energi'!$B$1:$AQ$1,0),FALSE)</f>
        <v>0</v>
      </c>
      <c r="AC370" s="31">
        <f>VLOOKUP($B370,'Tillförd energi'!$B$1:$AI$720,MATCH(AC$1,'Tillförd energi'!$B$1:$AQ$1,0),FALSE)</f>
        <v>0</v>
      </c>
      <c r="AD370" s="31">
        <f>VLOOKUP($B370,'Tillförd energi'!$B$1:$AI$720,MATCH(AD$1,'Tillförd energi'!$B$1:$AQ$1,0),FALSE)</f>
        <v>0</v>
      </c>
      <c r="AE370" s="31">
        <f>VLOOKUP($B370,'Tillförd energi'!$B$1:$AI$720,MATCH(AE$1,'Tillförd energi'!$B$1:$AQ$1,0),FALSE)</f>
        <v>0</v>
      </c>
      <c r="AF370" s="31">
        <f>VLOOKUP($B370,'Tillförd energi'!$B$1:$AI$720,MATCH(AF$1,'Tillförd energi'!$B$1:$AQ$1,0),FALSE)</f>
        <v>0.27389999999999998</v>
      </c>
      <c r="AG370" s="31">
        <f>IFERROR(VLOOKUP(B370,Miljö!$B$1:$AC$550,MATCH("Köpt mängd produktionsspecifik fjärrvärme:",Miljö!$B$1:$AC$1,0),FALSE)/1,0)</f>
        <v>0</v>
      </c>
      <c r="AI370" s="31">
        <f t="shared" si="115"/>
        <v>14.036</v>
      </c>
      <c r="AJ370" s="31">
        <f t="shared" si="116"/>
        <v>14.036</v>
      </c>
      <c r="AK370" s="31">
        <f>IF(ISERROR(1/VLOOKUP($B370,Leveranser!$B$1:$S$499,MATCH("Såld värme (GWh)",Leveranser!$B$1:$S$1,0),FALSE)),"",VLOOKUP($B370,Leveranser!$B$1:$S$499,MATCH("Såld värme (GWh)",Leveranser!$B$1:$S$1,0),FALSE))</f>
        <v>9.1300000000000008</v>
      </c>
      <c r="AL370" s="31">
        <f>VLOOKUP($B370,Leveranser!$B$1:$Y$499,MATCH("Totalt såld fjärrvärme till andra fjärrvärmeföretag",Leveranser!$B$1:$AA$1,0),FALSE)</f>
        <v>0</v>
      </c>
      <c r="AM370" s="31">
        <f>IF(ISERROR(1/VLOOKUP($B370,Miljö!$B$1:$S$500,MATCH("Såld mängd produktionsspecifik fjärrvärme (GWh)",Miljö!$B$1:$R$1,0),FALSE)),0,VLOOKUP($B370,Miljö!$B$1:$S$500,MATCH("Såld mängd produktionsspecifik fjärrvärme (GWh)",Miljö!$B$1:$R$1,0),FALSE))</f>
        <v>0</v>
      </c>
      <c r="AN370" s="32">
        <f t="shared" si="117"/>
        <v>0.6504702194357368</v>
      </c>
      <c r="AP370" s="31" t="str">
        <f>IFERROR(VLOOKUP($B370,Miljövärden!$B$2:$H$550,7,FALSE),"Nej, saknas")</f>
        <v>Ja</v>
      </c>
      <c r="AQ370" s="31" t="str">
        <f>IFERROR(VLOOKUP($B370,Miljövärden!$B$2:$H$551,6,FALSE),"Nej, saknas")</f>
        <v>Ja</v>
      </c>
      <c r="AU370" s="31">
        <f t="shared" si="118"/>
        <v>0.27389999999999998</v>
      </c>
      <c r="AV370" s="31">
        <f t="shared" si="119"/>
        <v>0</v>
      </c>
      <c r="AW370" s="31">
        <f t="shared" si="120"/>
        <v>13.7271</v>
      </c>
      <c r="AX370" s="31">
        <f t="shared" si="121"/>
        <v>0</v>
      </c>
      <c r="AZ370" s="31">
        <f t="shared" si="122"/>
        <v>13.7271</v>
      </c>
      <c r="BC370" s="31">
        <f t="shared" si="123"/>
        <v>3.5000000000000003E-2</v>
      </c>
      <c r="BD370" s="31">
        <f t="shared" si="124"/>
        <v>0</v>
      </c>
      <c r="BE370" s="31">
        <f t="shared" si="125"/>
        <v>13.7271</v>
      </c>
      <c r="BF370" s="31">
        <f t="shared" si="126"/>
        <v>0</v>
      </c>
      <c r="BG370" s="31">
        <f t="shared" si="127"/>
        <v>0.27389999999999998</v>
      </c>
      <c r="BH370" s="31">
        <f>VLOOKUP(B370,Miljö!$B$1:$BX$482,MATCH("Fossilandel för ursprungspecificerad el ()",Miljö!$B$1:$I$1,0),FALSE)</f>
        <v>0</v>
      </c>
      <c r="BI370" s="31">
        <f>VLOOKUP(B370,Miljö!$B$1:$BX$482,MATCH("Kärnkraftsandel för ursprungsspecificerad el ()",Miljö!$B$1:$O$1,0),FALSE)</f>
        <v>0</v>
      </c>
      <c r="BJ370" s="31">
        <f t="shared" si="128"/>
        <v>0</v>
      </c>
      <c r="BK370" s="31" t="str">
        <f>VLOOKUP(B370,Miljö!$B$1:$P$482,MATCH("Fossil andel i procent (%)",Miljö!$B$1:$P$1,0),FALSE)</f>
        <v>ET</v>
      </c>
      <c r="BL370" s="31">
        <f t="shared" si="129"/>
        <v>14.036</v>
      </c>
      <c r="BO370" s="32">
        <f t="shared" si="130"/>
        <v>2.4935879167854091E-3</v>
      </c>
      <c r="BP370" s="32">
        <f t="shared" si="131"/>
        <v>0</v>
      </c>
      <c r="BQ370" s="32">
        <f t="shared" si="132"/>
        <v>0.99750641208321456</v>
      </c>
      <c r="BR370" s="32">
        <f t="shared" si="133"/>
        <v>0</v>
      </c>
      <c r="BT370" s="62">
        <f t="shared" si="134"/>
        <v>1</v>
      </c>
      <c r="BW370" s="32">
        <f>IF(AP370="Ja",VLOOKUP(B370,Miljövärden!$B$2:$H$551,MATCH("Total andel fossilt",Miljövärden!$B$2:$H$2,0),FALSE),"")</f>
        <v>2.49359E-3</v>
      </c>
      <c r="BX370" s="62">
        <f t="shared" si="135"/>
        <v>2.0832145908485089E-9</v>
      </c>
      <c r="BZ370" s="31">
        <f t="shared" si="136"/>
        <v>2.0832145908485089E-9</v>
      </c>
      <c r="CA370" s="32">
        <f t="shared" si="137"/>
        <v>0</v>
      </c>
    </row>
    <row r="371" spans="1:79" x14ac:dyDescent="0.45">
      <c r="A371" s="31" t="s">
        <v>197</v>
      </c>
      <c r="B371" s="31" t="s">
        <v>196</v>
      </c>
      <c r="C371" s="31">
        <f>VLOOKUP($B371,'Tillförd energi'!$B$1:$AI$720,MATCH(C$1,'Tillförd energi'!$B$1:$AQ$1,0),FALSE)</f>
        <v>0</v>
      </c>
      <c r="D371" s="31">
        <f>VLOOKUP($B371,'Tillförd energi'!$B$1:$AI$720,MATCH(D$1,'Tillförd energi'!$B$1:$AQ$1,0),FALSE)</f>
        <v>5.4999999999999997E-3</v>
      </c>
      <c r="E371" s="31">
        <f>VLOOKUP($B371,'Tillförd energi'!$B$1:$AI$720,MATCH(E$1,'Tillförd energi'!$B$1:$AQ$1,0),FALSE)</f>
        <v>0</v>
      </c>
      <c r="F371" s="31">
        <f>VLOOKUP($B371,'Tillförd energi'!$B$1:$AI$720,MATCH(F$1,'Tillförd energi'!$B$1:$AQ$1,0),FALSE)</f>
        <v>0</v>
      </c>
      <c r="G371" s="31">
        <f>VLOOKUP($B371,'Tillförd energi'!$B$1:$AI$720,MATCH(G$1,'Tillförd energi'!$B$1:$AQ$1,0),FALSE)</f>
        <v>0</v>
      </c>
      <c r="H371" s="31">
        <f>VLOOKUP($B371,'Tillförd energi'!$B$1:$AI$720,MATCH(H$1,'Tillförd energi'!$B$1:$AQ$1,0),FALSE)</f>
        <v>0.32700000000000001</v>
      </c>
      <c r="I371" s="31">
        <f>VLOOKUP($B371,'Tillförd energi'!$B$1:$AI$720,MATCH(I$1,'Tillförd energi'!$B$1:$AQ$1,0),FALSE)</f>
        <v>0</v>
      </c>
      <c r="J371" s="31">
        <f>VLOOKUP($B371,'Tillförd energi'!$B$1:$AI$720,MATCH(J$1,'Tillförd energi'!$B$1:$AQ$1,0),FALSE)</f>
        <v>0.84099999999999997</v>
      </c>
      <c r="K371" s="31">
        <f>VLOOKUP($B371,'Tillförd energi'!$B$1:$AI$720,MATCH(K$1,'Tillförd energi'!$B$1:$AQ$1,0),FALSE)</f>
        <v>0</v>
      </c>
      <c r="L371" s="31">
        <f>VLOOKUP($B371,'Tillförd energi'!$B$1:$AI$720,MATCH(L$1,'Tillförd energi'!$B$1:$AQ$1,0),FALSE)</f>
        <v>0</v>
      </c>
      <c r="M371" s="31">
        <f>VLOOKUP($B371,'Tillförd energi'!$B$1:$AI$720,MATCH(M$1,'Tillförd energi'!$B$1:$AQ$1,0),FALSE)</f>
        <v>38.714100000000002</v>
      </c>
      <c r="N371" s="31">
        <f>VLOOKUP($B371,'Tillförd energi'!$B$1:$AI$720,MATCH(N$1,'Tillförd energi'!$B$1:$AQ$1,0),FALSE)</f>
        <v>70.4602</v>
      </c>
      <c r="O371" s="31">
        <f>VLOOKUP($B371,'Tillförd energi'!$B$1:$AI$720,MATCH(O$1,'Tillförd energi'!$B$1:$AQ$1,0),FALSE)</f>
        <v>0</v>
      </c>
      <c r="P371" s="31">
        <f>VLOOKUP($B371,'Tillförd energi'!$B$1:$AI$720,MATCH(P$1,'Tillförd energi'!$B$1:$AQ$1,0),FALSE)</f>
        <v>25.886700000000001</v>
      </c>
      <c r="Q371" s="31">
        <f>VLOOKUP($B371,'Tillförd energi'!$B$1:$AI$720,MATCH(Q$1,'Tillförd energi'!$B$1:$AQ$1,0),FALSE)</f>
        <v>0</v>
      </c>
      <c r="R371" s="31">
        <f>VLOOKUP($B371,'Tillförd energi'!$B$1:$AI$720,MATCH(R$1,'Tillförd energi'!$B$1:$AQ$1,0),FALSE)</f>
        <v>0</v>
      </c>
      <c r="S371" s="31">
        <f>VLOOKUP($B371,'Tillförd energi'!$B$1:$AI$720,MATCH(S$1,'Tillförd energi'!$B$1:$AQ$1,0),FALSE)</f>
        <v>0</v>
      </c>
      <c r="T371" s="31">
        <f>VLOOKUP($B371,'Tillförd energi'!$B$1:$AI$720,MATCH(T$1,'Tillförd energi'!$B$1:$AQ$1,0),FALSE)</f>
        <v>0</v>
      </c>
      <c r="U371" s="31">
        <f>VLOOKUP($B371,'Tillförd energi'!$B$1:$AI$720,MATCH(U$1,'Tillförd energi'!$B$1:$AQ$1,0),FALSE)</f>
        <v>0</v>
      </c>
      <c r="V371" s="31">
        <f>VLOOKUP($B371,'Tillförd energi'!$B$1:$AI$720,MATCH(V$1,'Tillförd energi'!$B$1:$AQ$1,0),FALSE)</f>
        <v>0</v>
      </c>
      <c r="W371" s="31">
        <f>VLOOKUP($B371,'Tillförd energi'!$B$1:$AI$720,MATCH(W$1,'Tillförd energi'!$B$1:$AQ$1,0),FALSE)</f>
        <v>1.8</v>
      </c>
      <c r="X371" s="31">
        <f>VLOOKUP($B371,'Tillförd energi'!$B$1:$AI$720,MATCH(X$1,'Tillförd energi'!$B$1:$AQ$1,0),FALSE)</f>
        <v>0</v>
      </c>
      <c r="Y371" s="31">
        <f>VLOOKUP($B371,'Tillförd energi'!$B$1:$AI$720,MATCH(Y$1,'Tillförd energi'!$B$1:$AQ$1,0),FALSE)</f>
        <v>0</v>
      </c>
      <c r="Z371" s="31">
        <f>VLOOKUP($B371,'Tillförd energi'!$B$1:$AI$720,MATCH(Z$1,'Tillförd energi'!$B$1:$AQ$1,0),FALSE)</f>
        <v>0</v>
      </c>
      <c r="AA371" s="31">
        <f>VLOOKUP($B371,'Tillförd energi'!$B$1:$AI$720,MATCH(AA$1,'Tillförd energi'!$B$1:$AQ$1,0),FALSE)</f>
        <v>0</v>
      </c>
      <c r="AB371" s="31">
        <f>VLOOKUP($B371,'Tillförd energi'!$B$1:$AI$720,MATCH(AB$1,'Tillförd energi'!$B$1:$AQ$1,0),FALSE)</f>
        <v>0</v>
      </c>
      <c r="AC371" s="31">
        <f>VLOOKUP($B371,'Tillförd energi'!$B$1:$AI$720,MATCH(AC$1,'Tillförd energi'!$B$1:$AQ$1,0),FALSE)</f>
        <v>28.727</v>
      </c>
      <c r="AD371" s="31">
        <f>VLOOKUP($B371,'Tillförd energi'!$B$1:$AI$720,MATCH(AD$1,'Tillförd energi'!$B$1:$AQ$1,0),FALSE)</f>
        <v>0.27300000000000002</v>
      </c>
      <c r="AE371" s="31">
        <f>VLOOKUP($B371,'Tillförd energi'!$B$1:$AI$720,MATCH(AE$1,'Tillförd energi'!$B$1:$AQ$1,0),FALSE)</f>
        <v>0</v>
      </c>
      <c r="AF371" s="31">
        <f>VLOOKUP($B371,'Tillförd energi'!$B$1:$AI$720,MATCH(AF$1,'Tillförd energi'!$B$1:$AQ$1,0),FALSE)</f>
        <v>4.2088799999999997</v>
      </c>
      <c r="AG371" s="31">
        <f>IFERROR(VLOOKUP(B371,Miljö!$B$1:$AC$550,MATCH("Köpt mängd produktionsspecifik fjärrvärme:",Miljö!$B$1:$AC$1,0),FALSE)/1,0)</f>
        <v>0</v>
      </c>
      <c r="AI371" s="31">
        <f t="shared" si="115"/>
        <v>171.24338</v>
      </c>
      <c r="AJ371" s="31">
        <f t="shared" si="116"/>
        <v>171.24338</v>
      </c>
      <c r="AK371" s="31">
        <f>IF(ISERROR(1/VLOOKUP($B371,Leveranser!$B$1:$S$499,MATCH("Såld värme (GWh)",Leveranser!$B$1:$S$1,0),FALSE)),"",VLOOKUP($B371,Leveranser!$B$1:$S$499,MATCH("Såld värme (GWh)",Leveranser!$B$1:$S$1,0),FALSE))</f>
        <v>140.29599999999999</v>
      </c>
      <c r="AL371" s="31">
        <f>VLOOKUP($B371,Leveranser!$B$1:$Y$499,MATCH("Totalt såld fjärrvärme till andra fjärrvärmeföretag",Leveranser!$B$1:$AA$1,0),FALSE)</f>
        <v>0</v>
      </c>
      <c r="AM371" s="31">
        <f>IF(ISERROR(1/VLOOKUP($B371,Miljö!$B$1:$S$500,MATCH("Såld mängd produktionsspecifik fjärrvärme (GWh)",Miljö!$B$1:$R$1,0),FALSE)),0,VLOOKUP($B371,Miljö!$B$1:$S$500,MATCH("Såld mängd produktionsspecifik fjärrvärme (GWh)",Miljö!$B$1:$R$1,0),FALSE))</f>
        <v>0</v>
      </c>
      <c r="AN371" s="32">
        <f t="shared" si="117"/>
        <v>0.8192783861192181</v>
      </c>
      <c r="AP371" s="31" t="str">
        <f>IFERROR(VLOOKUP($B371,Miljövärden!$B$2:$H$550,7,FALSE),"Nej, saknas")</f>
        <v>Ja</v>
      </c>
      <c r="AQ371" s="31" t="str">
        <f>IFERROR(VLOOKUP($B371,Miljövärden!$B$2:$H$551,6,FALSE),"Nej, saknas")</f>
        <v>Ja</v>
      </c>
      <c r="AU371" s="31">
        <f t="shared" si="118"/>
        <v>4.2088799999999997</v>
      </c>
      <c r="AV371" s="31">
        <f t="shared" si="119"/>
        <v>0</v>
      </c>
      <c r="AW371" s="31">
        <f t="shared" si="120"/>
        <v>135.06100000000001</v>
      </c>
      <c r="AX371" s="31">
        <f t="shared" si="121"/>
        <v>0</v>
      </c>
      <c r="AZ371" s="31">
        <f t="shared" si="122"/>
        <v>136.86100000000002</v>
      </c>
      <c r="BC371" s="31">
        <f t="shared" si="123"/>
        <v>0.33250000000000002</v>
      </c>
      <c r="BD371" s="31">
        <f t="shared" si="124"/>
        <v>0</v>
      </c>
      <c r="BE371" s="31">
        <f t="shared" si="125"/>
        <v>136.86100000000002</v>
      </c>
      <c r="BF371" s="31">
        <f t="shared" si="126"/>
        <v>29.841000000000001</v>
      </c>
      <c r="BG371" s="31">
        <f t="shared" si="127"/>
        <v>4.2088799999999997</v>
      </c>
      <c r="BH371" s="31">
        <f>VLOOKUP(B371,Miljö!$B$1:$BX$482,MATCH("Fossilandel för ursprungspecificerad el ()",Miljö!$B$1:$I$1,0),FALSE)</f>
        <v>0</v>
      </c>
      <c r="BI371" s="31">
        <f>VLOOKUP(B371,Miljö!$B$1:$BX$482,MATCH("Kärnkraftsandel för ursprungsspecificerad el ()",Miljö!$B$1:$O$1,0),FALSE)</f>
        <v>0</v>
      </c>
      <c r="BJ371" s="31">
        <f t="shared" si="128"/>
        <v>0</v>
      </c>
      <c r="BK371" s="31" t="str">
        <f>VLOOKUP(B371,Miljö!$B$1:$P$482,MATCH("Fossil andel i procent (%)",Miljö!$B$1:$P$1,0),FALSE)</f>
        <v>ET</v>
      </c>
      <c r="BL371" s="31">
        <f t="shared" si="129"/>
        <v>171.24338000000003</v>
      </c>
      <c r="BO371" s="32">
        <f t="shared" si="130"/>
        <v>1.9416808988470093E-3</v>
      </c>
      <c r="BP371" s="32">
        <f t="shared" si="131"/>
        <v>0</v>
      </c>
      <c r="BQ371" s="32">
        <f t="shared" si="132"/>
        <v>0.82379756811620974</v>
      </c>
      <c r="BR371" s="32">
        <f t="shared" si="133"/>
        <v>0.17426075098494315</v>
      </c>
      <c r="BT371" s="62">
        <f t="shared" si="134"/>
        <v>1</v>
      </c>
      <c r="BW371" s="32">
        <f>IF(AP371="Ja",VLOOKUP(B371,Miljövärden!$B$2:$H$551,MATCH("Total andel fossilt",Miljövärden!$B$2:$H$2,0),FALSE),"")</f>
        <v>1.94169E-3</v>
      </c>
      <c r="BX371" s="62">
        <f t="shared" si="135"/>
        <v>9.101152990747749E-9</v>
      </c>
      <c r="BZ371" s="31">
        <f t="shared" si="136"/>
        <v>9.101152990747749E-9</v>
      </c>
      <c r="CA371" s="32">
        <f t="shared" si="137"/>
        <v>0</v>
      </c>
    </row>
    <row r="372" spans="1:79" x14ac:dyDescent="0.45">
      <c r="A372" s="31" t="s">
        <v>197</v>
      </c>
      <c r="B372" s="31" t="s">
        <v>199</v>
      </c>
      <c r="C372" s="31">
        <f>VLOOKUP($B372,'Tillförd energi'!$B$1:$AI$720,MATCH(C$1,'Tillförd energi'!$B$1:$AQ$1,0),FALSE)</f>
        <v>0</v>
      </c>
      <c r="D372" s="31">
        <f>VLOOKUP($B372,'Tillförd energi'!$B$1:$AI$720,MATCH(D$1,'Tillförd energi'!$B$1:$AQ$1,0),FALSE)</f>
        <v>3.9100000000000003E-2</v>
      </c>
      <c r="E372" s="31">
        <f>VLOOKUP($B372,'Tillförd energi'!$B$1:$AI$720,MATCH(E$1,'Tillförd energi'!$B$1:$AQ$1,0),FALSE)</f>
        <v>0</v>
      </c>
      <c r="F372" s="31">
        <f>VLOOKUP($B372,'Tillförd energi'!$B$1:$AI$720,MATCH(F$1,'Tillförd energi'!$B$1:$AQ$1,0),FALSE)</f>
        <v>0</v>
      </c>
      <c r="G372" s="31">
        <f>VLOOKUP($B372,'Tillförd energi'!$B$1:$AI$720,MATCH(G$1,'Tillförd energi'!$B$1:$AQ$1,0),FALSE)</f>
        <v>0</v>
      </c>
      <c r="H372" s="31">
        <f>VLOOKUP($B372,'Tillförd energi'!$B$1:$AI$720,MATCH(H$1,'Tillförd energi'!$B$1:$AQ$1,0),FALSE)</f>
        <v>0</v>
      </c>
      <c r="I372" s="31">
        <f>VLOOKUP($B372,'Tillförd energi'!$B$1:$AI$720,MATCH(I$1,'Tillförd energi'!$B$1:$AQ$1,0),FALSE)</f>
        <v>0</v>
      </c>
      <c r="J372" s="31">
        <f>VLOOKUP($B372,'Tillförd energi'!$B$1:$AI$720,MATCH(J$1,'Tillförd energi'!$B$1:$AQ$1,0),FALSE)</f>
        <v>0</v>
      </c>
      <c r="K372" s="31">
        <f>VLOOKUP($B372,'Tillförd energi'!$B$1:$AI$720,MATCH(K$1,'Tillförd energi'!$B$1:$AQ$1,0),FALSE)</f>
        <v>0</v>
      </c>
      <c r="L372" s="31">
        <f>VLOOKUP($B372,'Tillförd energi'!$B$1:$AI$720,MATCH(L$1,'Tillförd energi'!$B$1:$AQ$1,0),FALSE)</f>
        <v>0</v>
      </c>
      <c r="M372" s="31">
        <f>VLOOKUP($B372,'Tillförd energi'!$B$1:$AI$720,MATCH(M$1,'Tillförd energi'!$B$1:$AQ$1,0),FALSE)</f>
        <v>0</v>
      </c>
      <c r="N372" s="31">
        <f>VLOOKUP($B372,'Tillförd energi'!$B$1:$AI$720,MATCH(N$1,'Tillförd energi'!$B$1:$AQ$1,0),FALSE)</f>
        <v>0</v>
      </c>
      <c r="O372" s="31">
        <f>VLOOKUP($B372,'Tillförd energi'!$B$1:$AI$720,MATCH(O$1,'Tillförd energi'!$B$1:$AQ$1,0),FALSE)</f>
        <v>0</v>
      </c>
      <c r="P372" s="31">
        <f>VLOOKUP($B372,'Tillförd energi'!$B$1:$AI$720,MATCH(P$1,'Tillförd energi'!$B$1:$AQ$1,0),FALSE)</f>
        <v>0</v>
      </c>
      <c r="Q372" s="31">
        <f>VLOOKUP($B372,'Tillförd energi'!$B$1:$AI$720,MATCH(Q$1,'Tillförd energi'!$B$1:$AQ$1,0),FALSE)</f>
        <v>0</v>
      </c>
      <c r="R372" s="31">
        <f>VLOOKUP($B372,'Tillförd energi'!$B$1:$AI$720,MATCH(R$1,'Tillförd energi'!$B$1:$AQ$1,0),FALSE)</f>
        <v>0.71399999999999997</v>
      </c>
      <c r="S372" s="31">
        <f>VLOOKUP($B372,'Tillförd energi'!$B$1:$AI$720,MATCH(S$1,'Tillförd energi'!$B$1:$AQ$1,0),FALSE)</f>
        <v>0</v>
      </c>
      <c r="T372" s="31">
        <f>VLOOKUP($B372,'Tillförd energi'!$B$1:$AI$720,MATCH(T$1,'Tillförd energi'!$B$1:$AQ$1,0),FALSE)</f>
        <v>0</v>
      </c>
      <c r="U372" s="31">
        <f>VLOOKUP($B372,'Tillförd energi'!$B$1:$AI$720,MATCH(U$1,'Tillförd energi'!$B$1:$AQ$1,0),FALSE)</f>
        <v>0</v>
      </c>
      <c r="V372" s="31">
        <f>VLOOKUP($B372,'Tillförd energi'!$B$1:$AI$720,MATCH(V$1,'Tillförd energi'!$B$1:$AQ$1,0),FALSE)</f>
        <v>0</v>
      </c>
      <c r="W372" s="31">
        <f>VLOOKUP($B372,'Tillförd energi'!$B$1:$AI$720,MATCH(W$1,'Tillförd energi'!$B$1:$AQ$1,0),FALSE)</f>
        <v>0</v>
      </c>
      <c r="X372" s="31">
        <f>VLOOKUP($B372,'Tillförd energi'!$B$1:$AI$720,MATCH(X$1,'Tillförd energi'!$B$1:$AQ$1,0),FALSE)</f>
        <v>0</v>
      </c>
      <c r="Y372" s="31">
        <f>VLOOKUP($B372,'Tillförd energi'!$B$1:$AI$720,MATCH(Y$1,'Tillförd energi'!$B$1:$AQ$1,0),FALSE)</f>
        <v>0</v>
      </c>
      <c r="Z372" s="31">
        <f>VLOOKUP($B372,'Tillförd energi'!$B$1:$AI$720,MATCH(Z$1,'Tillförd energi'!$B$1:$AQ$1,0),FALSE)</f>
        <v>0</v>
      </c>
      <c r="AA372" s="31">
        <f>VLOOKUP($B372,'Tillförd energi'!$B$1:$AI$720,MATCH(AA$1,'Tillförd energi'!$B$1:$AQ$1,0),FALSE)</f>
        <v>0</v>
      </c>
      <c r="AB372" s="31">
        <f>VLOOKUP($B372,'Tillförd energi'!$B$1:$AI$720,MATCH(AB$1,'Tillförd energi'!$B$1:$AQ$1,0),FALSE)</f>
        <v>0</v>
      </c>
      <c r="AC372" s="31">
        <f>VLOOKUP($B372,'Tillförd energi'!$B$1:$AI$720,MATCH(AC$1,'Tillförd energi'!$B$1:$AQ$1,0),FALSE)</f>
        <v>0</v>
      </c>
      <c r="AD372" s="31">
        <f>VLOOKUP($B372,'Tillförd energi'!$B$1:$AI$720,MATCH(AD$1,'Tillförd energi'!$B$1:$AQ$1,0),FALSE)</f>
        <v>0</v>
      </c>
      <c r="AE372" s="31">
        <f>VLOOKUP($B372,'Tillförd energi'!$B$1:$AI$720,MATCH(AE$1,'Tillförd energi'!$B$1:$AQ$1,0),FALSE)</f>
        <v>0</v>
      </c>
      <c r="AF372" s="31">
        <f>VLOOKUP($B372,'Tillförd energi'!$B$1:$AI$720,MATCH(AF$1,'Tillförd energi'!$B$1:$AQ$1,0),FALSE)</f>
        <v>1.8450000000000001E-2</v>
      </c>
      <c r="AG372" s="31">
        <f>IFERROR(VLOOKUP(B372,Miljö!$B$1:$AC$550,MATCH("Köpt mängd produktionsspecifik fjärrvärme:",Miljö!$B$1:$AC$1,0),FALSE)/1,0)</f>
        <v>0</v>
      </c>
      <c r="AI372" s="31">
        <f t="shared" si="115"/>
        <v>0.77154999999999996</v>
      </c>
      <c r="AJ372" s="31">
        <f t="shared" si="116"/>
        <v>0.77154999999999996</v>
      </c>
      <c r="AK372" s="31">
        <f>IF(ISERROR(1/VLOOKUP($B372,Leveranser!$B$1:$S$499,MATCH("Såld värme (GWh)",Leveranser!$B$1:$S$1,0),FALSE)),"",VLOOKUP($B372,Leveranser!$B$1:$S$499,MATCH("Såld värme (GWh)",Leveranser!$B$1:$S$1,0),FALSE))</f>
        <v>0.61499999999999999</v>
      </c>
      <c r="AL372" s="31">
        <f>VLOOKUP($B372,Leveranser!$B$1:$Y$499,MATCH("Totalt såld fjärrvärme till andra fjärrvärmeföretag",Leveranser!$B$1:$AA$1,0),FALSE)</f>
        <v>0</v>
      </c>
      <c r="AM372" s="31">
        <f>IF(ISERROR(1/VLOOKUP($B372,Miljö!$B$1:$S$500,MATCH("Såld mängd produktionsspecifik fjärrvärme (GWh)",Miljö!$B$1:$R$1,0),FALSE)),0,VLOOKUP($B372,Miljö!$B$1:$S$500,MATCH("Såld mängd produktionsspecifik fjärrvärme (GWh)",Miljö!$B$1:$R$1,0),FALSE))</f>
        <v>0</v>
      </c>
      <c r="AN372" s="32">
        <f t="shared" si="117"/>
        <v>0.79709675328883423</v>
      </c>
      <c r="AP372" s="31" t="str">
        <f>IFERROR(VLOOKUP($B372,Miljövärden!$B$2:$H$550,7,FALSE),"Nej, saknas")</f>
        <v>Ja</v>
      </c>
      <c r="AQ372" s="31" t="str">
        <f>IFERROR(VLOOKUP($B372,Miljövärden!$B$2:$H$551,6,FALSE),"Nej, saknas")</f>
        <v>Ja</v>
      </c>
      <c r="AU372" s="31">
        <f t="shared" si="118"/>
        <v>1.8450000000000001E-2</v>
      </c>
      <c r="AV372" s="31">
        <f t="shared" si="119"/>
        <v>0</v>
      </c>
      <c r="AW372" s="31">
        <f t="shared" si="120"/>
        <v>0</v>
      </c>
      <c r="AX372" s="31">
        <f t="shared" si="121"/>
        <v>0.71399999999999997</v>
      </c>
      <c r="AZ372" s="31">
        <f t="shared" si="122"/>
        <v>0.71399999999999997</v>
      </c>
      <c r="BC372" s="31">
        <f t="shared" si="123"/>
        <v>3.9100000000000003E-2</v>
      </c>
      <c r="BD372" s="31">
        <f t="shared" si="124"/>
        <v>0</v>
      </c>
      <c r="BE372" s="31">
        <f t="shared" si="125"/>
        <v>0.71399999999999997</v>
      </c>
      <c r="BF372" s="31">
        <f t="shared" si="126"/>
        <v>0</v>
      </c>
      <c r="BG372" s="31">
        <f t="shared" si="127"/>
        <v>1.8450000000000001E-2</v>
      </c>
      <c r="BH372" s="31">
        <f>VLOOKUP(B372,Miljö!$B$1:$BX$482,MATCH("Fossilandel för ursprungspecificerad el ()",Miljö!$B$1:$I$1,0),FALSE)</f>
        <v>0</v>
      </c>
      <c r="BI372" s="31">
        <f>VLOOKUP(B372,Miljö!$B$1:$BX$482,MATCH("Kärnkraftsandel för ursprungsspecificerad el ()",Miljö!$B$1:$O$1,0),FALSE)</f>
        <v>0</v>
      </c>
      <c r="BJ372" s="31">
        <f t="shared" si="128"/>
        <v>0</v>
      </c>
      <c r="BK372" s="31" t="str">
        <f>VLOOKUP(B372,Miljö!$B$1:$P$482,MATCH("Fossil andel i procent (%)",Miljö!$B$1:$P$1,0),FALSE)</f>
        <v>ET</v>
      </c>
      <c r="BL372" s="31">
        <f t="shared" si="129"/>
        <v>0.77154999999999996</v>
      </c>
      <c r="BO372" s="32">
        <f t="shared" si="130"/>
        <v>5.0677208217225073E-2</v>
      </c>
      <c r="BP372" s="32">
        <f t="shared" si="131"/>
        <v>0</v>
      </c>
      <c r="BQ372" s="32">
        <f t="shared" si="132"/>
        <v>0.9493227917827749</v>
      </c>
      <c r="BR372" s="32">
        <f t="shared" si="133"/>
        <v>0</v>
      </c>
      <c r="BT372" s="62">
        <f t="shared" si="134"/>
        <v>1</v>
      </c>
      <c r="BW372" s="32">
        <f>IF(AP372="Ja",VLOOKUP(B372,Miljövärden!$B$2:$H$551,MATCH("Total andel fossilt",Miljövärden!$B$2:$H$2,0),FALSE),"")</f>
        <v>5.0677199999999999E-2</v>
      </c>
      <c r="BX372" s="62">
        <f t="shared" si="135"/>
        <v>-8.2172250739920294E-9</v>
      </c>
      <c r="BZ372" s="31">
        <f t="shared" si="136"/>
        <v>-8.2172250739920294E-9</v>
      </c>
      <c r="CA372" s="32">
        <f t="shared" si="137"/>
        <v>0</v>
      </c>
    </row>
    <row r="373" spans="1:79" x14ac:dyDescent="0.45">
      <c r="A373" s="31" t="s">
        <v>197</v>
      </c>
      <c r="B373" s="31" t="s">
        <v>202</v>
      </c>
      <c r="C373" s="31">
        <f>VLOOKUP($B373,'Tillförd energi'!$B$1:$AI$720,MATCH(C$1,'Tillförd energi'!$B$1:$AQ$1,0),FALSE)</f>
        <v>0</v>
      </c>
      <c r="D373" s="31">
        <f>VLOOKUP($B373,'Tillförd energi'!$B$1:$AI$720,MATCH(D$1,'Tillförd energi'!$B$1:$AQ$1,0),FALSE)</f>
        <v>7.1499999999999994E-2</v>
      </c>
      <c r="E373" s="31">
        <f>VLOOKUP($B373,'Tillförd energi'!$B$1:$AI$720,MATCH(E$1,'Tillförd energi'!$B$1:$AQ$1,0),FALSE)</f>
        <v>0</v>
      </c>
      <c r="F373" s="31">
        <f>VLOOKUP($B373,'Tillförd energi'!$B$1:$AI$720,MATCH(F$1,'Tillförd energi'!$B$1:$AQ$1,0),FALSE)</f>
        <v>0</v>
      </c>
      <c r="G373" s="31">
        <f>VLOOKUP($B373,'Tillförd energi'!$B$1:$AI$720,MATCH(G$1,'Tillförd energi'!$B$1:$AQ$1,0),FALSE)</f>
        <v>0</v>
      </c>
      <c r="H373" s="31">
        <f>VLOOKUP($B373,'Tillförd energi'!$B$1:$AI$720,MATCH(H$1,'Tillförd energi'!$B$1:$AQ$1,0),FALSE)</f>
        <v>0</v>
      </c>
      <c r="I373" s="31">
        <f>VLOOKUP($B373,'Tillförd energi'!$B$1:$AI$720,MATCH(I$1,'Tillförd energi'!$B$1:$AQ$1,0),FALSE)</f>
        <v>0</v>
      </c>
      <c r="J373" s="31">
        <f>VLOOKUP($B373,'Tillförd energi'!$B$1:$AI$720,MATCH(J$1,'Tillförd energi'!$B$1:$AQ$1,0),FALSE)</f>
        <v>0</v>
      </c>
      <c r="K373" s="31">
        <f>VLOOKUP($B373,'Tillförd energi'!$B$1:$AI$720,MATCH(K$1,'Tillförd energi'!$B$1:$AQ$1,0),FALSE)</f>
        <v>0</v>
      </c>
      <c r="L373" s="31">
        <f>VLOOKUP($B373,'Tillförd energi'!$B$1:$AI$720,MATCH(L$1,'Tillförd energi'!$B$1:$AQ$1,0),FALSE)</f>
        <v>0</v>
      </c>
      <c r="M373" s="31">
        <f>VLOOKUP($B373,'Tillförd energi'!$B$1:$AI$720,MATCH(M$1,'Tillförd energi'!$B$1:$AQ$1,0),FALSE)</f>
        <v>0</v>
      </c>
      <c r="N373" s="31">
        <f>VLOOKUP($B373,'Tillförd energi'!$B$1:$AI$720,MATCH(N$1,'Tillförd energi'!$B$1:$AQ$1,0),FALSE)</f>
        <v>0</v>
      </c>
      <c r="O373" s="31">
        <f>VLOOKUP($B373,'Tillförd energi'!$B$1:$AI$720,MATCH(O$1,'Tillförd energi'!$B$1:$AQ$1,0),FALSE)</f>
        <v>0</v>
      </c>
      <c r="P373" s="31">
        <f>VLOOKUP($B373,'Tillförd energi'!$B$1:$AI$720,MATCH(P$1,'Tillförd energi'!$B$1:$AQ$1,0),FALSE)</f>
        <v>0</v>
      </c>
      <c r="Q373" s="31">
        <f>VLOOKUP($B373,'Tillförd energi'!$B$1:$AI$720,MATCH(Q$1,'Tillförd energi'!$B$1:$AQ$1,0),FALSE)</f>
        <v>0</v>
      </c>
      <c r="R373" s="31">
        <f>VLOOKUP($B373,'Tillförd energi'!$B$1:$AI$720,MATCH(R$1,'Tillförd energi'!$B$1:$AQ$1,0),FALSE)</f>
        <v>3.46</v>
      </c>
      <c r="S373" s="31">
        <f>VLOOKUP($B373,'Tillförd energi'!$B$1:$AI$720,MATCH(S$1,'Tillförd energi'!$B$1:$AQ$1,0),FALSE)</f>
        <v>0</v>
      </c>
      <c r="T373" s="31">
        <f>VLOOKUP($B373,'Tillförd energi'!$B$1:$AI$720,MATCH(T$1,'Tillförd energi'!$B$1:$AQ$1,0),FALSE)</f>
        <v>0</v>
      </c>
      <c r="U373" s="31">
        <f>VLOOKUP($B373,'Tillförd energi'!$B$1:$AI$720,MATCH(U$1,'Tillförd energi'!$B$1:$AQ$1,0),FALSE)</f>
        <v>0</v>
      </c>
      <c r="V373" s="31">
        <f>VLOOKUP($B373,'Tillförd energi'!$B$1:$AI$720,MATCH(V$1,'Tillförd energi'!$B$1:$AQ$1,0),FALSE)</f>
        <v>0</v>
      </c>
      <c r="W373" s="31">
        <f>VLOOKUP($B373,'Tillförd energi'!$B$1:$AI$720,MATCH(W$1,'Tillförd energi'!$B$1:$AQ$1,0),FALSE)</f>
        <v>0</v>
      </c>
      <c r="X373" s="31">
        <f>VLOOKUP($B373,'Tillförd energi'!$B$1:$AI$720,MATCH(X$1,'Tillförd energi'!$B$1:$AQ$1,0),FALSE)</f>
        <v>0</v>
      </c>
      <c r="Y373" s="31">
        <f>VLOOKUP($B373,'Tillförd energi'!$B$1:$AI$720,MATCH(Y$1,'Tillförd energi'!$B$1:$AQ$1,0),FALSE)</f>
        <v>0</v>
      </c>
      <c r="Z373" s="31">
        <f>VLOOKUP($B373,'Tillförd energi'!$B$1:$AI$720,MATCH(Z$1,'Tillförd energi'!$B$1:$AQ$1,0),FALSE)</f>
        <v>0</v>
      </c>
      <c r="AA373" s="31">
        <f>VLOOKUP($B373,'Tillförd energi'!$B$1:$AI$720,MATCH(AA$1,'Tillförd energi'!$B$1:$AQ$1,0),FALSE)</f>
        <v>0.10100000000000001</v>
      </c>
      <c r="AB373" s="31">
        <f>VLOOKUP($B373,'Tillförd energi'!$B$1:$AI$720,MATCH(AB$1,'Tillförd energi'!$B$1:$AQ$1,0),FALSE)</f>
        <v>0.20300000000000001</v>
      </c>
      <c r="AC373" s="31">
        <f>VLOOKUP($B373,'Tillförd energi'!$B$1:$AI$720,MATCH(AC$1,'Tillförd energi'!$B$1:$AQ$1,0),FALSE)</f>
        <v>0</v>
      </c>
      <c r="AD373" s="31">
        <f>VLOOKUP($B373,'Tillförd energi'!$B$1:$AI$720,MATCH(AD$1,'Tillförd energi'!$B$1:$AQ$1,0),FALSE)</f>
        <v>0</v>
      </c>
      <c r="AE373" s="31">
        <f>VLOOKUP($B373,'Tillförd energi'!$B$1:$AI$720,MATCH(AE$1,'Tillförd energi'!$B$1:$AQ$1,0),FALSE)</f>
        <v>0</v>
      </c>
      <c r="AF373" s="31">
        <f>VLOOKUP($B373,'Tillförd energi'!$B$1:$AI$720,MATCH(AF$1,'Tillförd energi'!$B$1:$AQ$1,0),FALSE)</f>
        <v>9.69E-2</v>
      </c>
      <c r="AG373" s="31">
        <f>IFERROR(VLOOKUP(B373,Miljö!$B$1:$AC$550,MATCH("Köpt mängd produktionsspecifik fjärrvärme:",Miljö!$B$1:$AC$1,0),FALSE)/1,0)</f>
        <v>0</v>
      </c>
      <c r="AI373" s="31">
        <f t="shared" si="115"/>
        <v>3.9323999999999999</v>
      </c>
      <c r="AJ373" s="31">
        <f t="shared" si="116"/>
        <v>3.9323999999999999</v>
      </c>
      <c r="AK373" s="31">
        <f>IF(ISERROR(1/VLOOKUP($B373,Leveranser!$B$1:$S$499,MATCH("Såld värme (GWh)",Leveranser!$B$1:$S$1,0),FALSE)),"",VLOOKUP($B373,Leveranser!$B$1:$S$499,MATCH("Såld värme (GWh)",Leveranser!$B$1:$S$1,0),FALSE))</f>
        <v>3.23</v>
      </c>
      <c r="AL373" s="31">
        <f>VLOOKUP($B373,Leveranser!$B$1:$Y$499,MATCH("Totalt såld fjärrvärme till andra fjärrvärmeföretag",Leveranser!$B$1:$AA$1,0),FALSE)</f>
        <v>0</v>
      </c>
      <c r="AM373" s="31">
        <f>IF(ISERROR(1/VLOOKUP($B373,Miljö!$B$1:$S$500,MATCH("Såld mängd produktionsspecifik fjärrvärme (GWh)",Miljö!$B$1:$R$1,0),FALSE)),0,VLOOKUP($B373,Miljö!$B$1:$S$500,MATCH("Såld mängd produktionsspecifik fjärrvärme (GWh)",Miljö!$B$1:$R$1,0),FALSE))</f>
        <v>0</v>
      </c>
      <c r="AN373" s="32">
        <f t="shared" si="117"/>
        <v>0.82138134472586721</v>
      </c>
      <c r="AP373" s="31" t="str">
        <f>IFERROR(VLOOKUP($B373,Miljövärden!$B$2:$H$550,7,FALSE),"Nej, saknas")</f>
        <v>Ja</v>
      </c>
      <c r="AQ373" s="31" t="str">
        <f>IFERROR(VLOOKUP($B373,Miljövärden!$B$2:$H$551,6,FALSE),"Nej, saknas")</f>
        <v>Ja</v>
      </c>
      <c r="AU373" s="31">
        <f t="shared" si="118"/>
        <v>0.19790000000000002</v>
      </c>
      <c r="AV373" s="31">
        <f t="shared" si="119"/>
        <v>0</v>
      </c>
      <c r="AW373" s="31">
        <f t="shared" si="120"/>
        <v>0</v>
      </c>
      <c r="AX373" s="31">
        <f t="shared" si="121"/>
        <v>3.46</v>
      </c>
      <c r="AZ373" s="31">
        <f t="shared" si="122"/>
        <v>3.46</v>
      </c>
      <c r="BC373" s="31">
        <f t="shared" si="123"/>
        <v>7.1499999999999994E-2</v>
      </c>
      <c r="BD373" s="31">
        <f t="shared" si="124"/>
        <v>0</v>
      </c>
      <c r="BE373" s="31">
        <f t="shared" si="125"/>
        <v>3.46</v>
      </c>
      <c r="BF373" s="31">
        <f t="shared" si="126"/>
        <v>0.20300000000000001</v>
      </c>
      <c r="BG373" s="31">
        <f t="shared" si="127"/>
        <v>0.19790000000000002</v>
      </c>
      <c r="BH373" s="31">
        <f>VLOOKUP(B373,Miljö!$B$1:$BX$482,MATCH("Fossilandel för ursprungspecificerad el ()",Miljö!$B$1:$I$1,0),FALSE)</f>
        <v>0</v>
      </c>
      <c r="BI373" s="31">
        <f>VLOOKUP(B373,Miljö!$B$1:$BX$482,MATCH("Kärnkraftsandel för ursprungsspecificerad el ()",Miljö!$B$1:$O$1,0),FALSE)</f>
        <v>0</v>
      </c>
      <c r="BJ373" s="31">
        <f t="shared" si="128"/>
        <v>0</v>
      </c>
      <c r="BK373" s="31" t="str">
        <f>VLOOKUP(B373,Miljö!$B$1:$P$482,MATCH("Fossil andel i procent (%)",Miljö!$B$1:$P$1,0),FALSE)</f>
        <v>ET</v>
      </c>
      <c r="BL373" s="31">
        <f t="shared" si="129"/>
        <v>3.9323999999999999</v>
      </c>
      <c r="BO373" s="32">
        <f t="shared" si="130"/>
        <v>1.8182280541145356E-2</v>
      </c>
      <c r="BP373" s="32">
        <f t="shared" si="131"/>
        <v>0</v>
      </c>
      <c r="BQ373" s="32">
        <f t="shared" si="132"/>
        <v>0.93019530057979871</v>
      </c>
      <c r="BR373" s="32">
        <f t="shared" si="133"/>
        <v>5.1622418879056053E-2</v>
      </c>
      <c r="BT373" s="62">
        <f t="shared" si="134"/>
        <v>1</v>
      </c>
      <c r="BW373" s="32">
        <f>IF(AP373="Ja",VLOOKUP(B373,Miljövärden!$B$2:$H$551,MATCH("Total andel fossilt",Miljövärden!$B$2:$H$2,0),FALSE),"")</f>
        <v>1.8182299999999998E-2</v>
      </c>
      <c r="BX373" s="62">
        <f t="shared" si="135"/>
        <v>1.9458854642190326E-8</v>
      </c>
      <c r="BZ373" s="31">
        <f t="shared" si="136"/>
        <v>1.9458854642190326E-8</v>
      </c>
      <c r="CA373" s="32">
        <f t="shared" si="137"/>
        <v>0</v>
      </c>
    </row>
    <row r="374" spans="1:79" x14ac:dyDescent="0.45">
      <c r="A374" s="31" t="s">
        <v>197</v>
      </c>
      <c r="B374" s="31" t="s">
        <v>201</v>
      </c>
      <c r="C374" s="31">
        <f>VLOOKUP($B374,'Tillförd energi'!$B$1:$AI$720,MATCH(C$1,'Tillförd energi'!$B$1:$AQ$1,0),FALSE)</f>
        <v>0</v>
      </c>
      <c r="D374" s="31">
        <f>VLOOKUP($B374,'Tillförd energi'!$B$1:$AI$720,MATCH(D$1,'Tillförd energi'!$B$1:$AQ$1,0),FALSE)</f>
        <v>0.11650000000000001</v>
      </c>
      <c r="E374" s="31">
        <f>VLOOKUP($B374,'Tillförd energi'!$B$1:$AI$720,MATCH(E$1,'Tillförd energi'!$B$1:$AQ$1,0),FALSE)</f>
        <v>0</v>
      </c>
      <c r="F374" s="31">
        <f>VLOOKUP($B374,'Tillförd energi'!$B$1:$AI$720,MATCH(F$1,'Tillförd energi'!$B$1:$AQ$1,0),FALSE)</f>
        <v>0</v>
      </c>
      <c r="G374" s="31">
        <f>VLOOKUP($B374,'Tillförd energi'!$B$1:$AI$720,MATCH(G$1,'Tillförd energi'!$B$1:$AQ$1,0),FALSE)</f>
        <v>0</v>
      </c>
      <c r="H374" s="31">
        <f>VLOOKUP($B374,'Tillförd energi'!$B$1:$AI$720,MATCH(H$1,'Tillförd energi'!$B$1:$AQ$1,0),FALSE)</f>
        <v>0</v>
      </c>
      <c r="I374" s="31">
        <f>VLOOKUP($B374,'Tillförd energi'!$B$1:$AI$720,MATCH(I$1,'Tillförd energi'!$B$1:$AQ$1,0),FALSE)</f>
        <v>0</v>
      </c>
      <c r="J374" s="31">
        <f>VLOOKUP($B374,'Tillförd energi'!$B$1:$AI$720,MATCH(J$1,'Tillförd energi'!$B$1:$AQ$1,0),FALSE)</f>
        <v>0</v>
      </c>
      <c r="K374" s="31">
        <f>VLOOKUP($B374,'Tillförd energi'!$B$1:$AI$720,MATCH(K$1,'Tillförd energi'!$B$1:$AQ$1,0),FALSE)</f>
        <v>0</v>
      </c>
      <c r="L374" s="31">
        <f>VLOOKUP($B374,'Tillförd energi'!$B$1:$AI$720,MATCH(L$1,'Tillförd energi'!$B$1:$AQ$1,0),FALSE)</f>
        <v>0</v>
      </c>
      <c r="M374" s="31">
        <f>VLOOKUP($B374,'Tillförd energi'!$B$1:$AI$720,MATCH(M$1,'Tillförd energi'!$B$1:$AQ$1,0),FALSE)</f>
        <v>0</v>
      </c>
      <c r="N374" s="31">
        <f>VLOOKUP($B374,'Tillförd energi'!$B$1:$AI$720,MATCH(N$1,'Tillförd energi'!$B$1:$AQ$1,0),FALSE)</f>
        <v>0</v>
      </c>
      <c r="O374" s="31">
        <f>VLOOKUP($B374,'Tillförd energi'!$B$1:$AI$720,MATCH(O$1,'Tillförd energi'!$B$1:$AQ$1,0),FALSE)</f>
        <v>0</v>
      </c>
      <c r="P374" s="31">
        <f>VLOOKUP($B374,'Tillförd energi'!$B$1:$AI$720,MATCH(P$1,'Tillförd energi'!$B$1:$AQ$1,0),FALSE)</f>
        <v>0</v>
      </c>
      <c r="Q374" s="31">
        <f>VLOOKUP($B374,'Tillförd energi'!$B$1:$AI$720,MATCH(Q$1,'Tillförd energi'!$B$1:$AQ$1,0),FALSE)</f>
        <v>0</v>
      </c>
      <c r="R374" s="31">
        <f>VLOOKUP($B374,'Tillförd energi'!$B$1:$AI$720,MATCH(R$1,'Tillförd energi'!$B$1:$AQ$1,0),FALSE)</f>
        <v>4.5170000000000003</v>
      </c>
      <c r="S374" s="31">
        <f>VLOOKUP($B374,'Tillförd energi'!$B$1:$AI$720,MATCH(S$1,'Tillförd energi'!$B$1:$AQ$1,0),FALSE)</f>
        <v>0</v>
      </c>
      <c r="T374" s="31">
        <f>VLOOKUP($B374,'Tillförd energi'!$B$1:$AI$720,MATCH(T$1,'Tillförd energi'!$B$1:$AQ$1,0),FALSE)</f>
        <v>0</v>
      </c>
      <c r="U374" s="31">
        <f>VLOOKUP($B374,'Tillförd energi'!$B$1:$AI$720,MATCH(U$1,'Tillförd energi'!$B$1:$AQ$1,0),FALSE)</f>
        <v>0</v>
      </c>
      <c r="V374" s="31">
        <f>VLOOKUP($B374,'Tillförd energi'!$B$1:$AI$720,MATCH(V$1,'Tillförd energi'!$B$1:$AQ$1,0),FALSE)</f>
        <v>0</v>
      </c>
      <c r="W374" s="31">
        <f>VLOOKUP($B374,'Tillförd energi'!$B$1:$AI$720,MATCH(W$1,'Tillförd energi'!$B$1:$AQ$1,0),FALSE)</f>
        <v>0</v>
      </c>
      <c r="X374" s="31">
        <f>VLOOKUP($B374,'Tillförd energi'!$B$1:$AI$720,MATCH(X$1,'Tillförd energi'!$B$1:$AQ$1,0),FALSE)</f>
        <v>0</v>
      </c>
      <c r="Y374" s="31">
        <f>VLOOKUP($B374,'Tillförd energi'!$B$1:$AI$720,MATCH(Y$1,'Tillförd energi'!$B$1:$AQ$1,0),FALSE)</f>
        <v>0</v>
      </c>
      <c r="Z374" s="31">
        <f>VLOOKUP($B374,'Tillförd energi'!$B$1:$AI$720,MATCH(Z$1,'Tillförd energi'!$B$1:$AQ$1,0),FALSE)</f>
        <v>0</v>
      </c>
      <c r="AA374" s="31">
        <f>VLOOKUP($B374,'Tillförd energi'!$B$1:$AI$720,MATCH(AA$1,'Tillförd energi'!$B$1:$AQ$1,0),FALSE)</f>
        <v>1.0999999999999999E-2</v>
      </c>
      <c r="AB374" s="31">
        <f>VLOOKUP($B374,'Tillförd energi'!$B$1:$AI$720,MATCH(AB$1,'Tillförd energi'!$B$1:$AQ$1,0),FALSE)</f>
        <v>2.1999999999999999E-2</v>
      </c>
      <c r="AC374" s="31">
        <f>VLOOKUP($B374,'Tillförd energi'!$B$1:$AI$720,MATCH(AC$1,'Tillförd energi'!$B$1:$AQ$1,0),FALSE)</f>
        <v>0</v>
      </c>
      <c r="AD374" s="31">
        <f>VLOOKUP($B374,'Tillförd energi'!$B$1:$AI$720,MATCH(AD$1,'Tillförd energi'!$B$1:$AQ$1,0),FALSE)</f>
        <v>0</v>
      </c>
      <c r="AE374" s="31">
        <f>VLOOKUP($B374,'Tillförd energi'!$B$1:$AI$720,MATCH(AE$1,'Tillförd energi'!$B$1:$AQ$1,0),FALSE)</f>
        <v>0</v>
      </c>
      <c r="AF374" s="31">
        <f>VLOOKUP($B374,'Tillförd energi'!$B$1:$AI$720,MATCH(AF$1,'Tillförd energi'!$B$1:$AQ$1,0),FALSE)</f>
        <v>0.10238999999999999</v>
      </c>
      <c r="AG374" s="31">
        <f>IFERROR(VLOOKUP(B374,Miljö!$B$1:$AC$550,MATCH("Köpt mängd produktionsspecifik fjärrvärme:",Miljö!$B$1:$AC$1,0),FALSE)/1,0)</f>
        <v>0</v>
      </c>
      <c r="AI374" s="31">
        <f t="shared" si="115"/>
        <v>4.7688900000000007</v>
      </c>
      <c r="AJ374" s="31">
        <f t="shared" si="116"/>
        <v>4.7688900000000007</v>
      </c>
      <c r="AK374" s="31">
        <f>IF(ISERROR(1/VLOOKUP($B374,Leveranser!$B$1:$S$499,MATCH("Såld värme (GWh)",Leveranser!$B$1:$S$1,0),FALSE)),"",VLOOKUP($B374,Leveranser!$B$1:$S$499,MATCH("Såld värme (GWh)",Leveranser!$B$1:$S$1,0),FALSE))</f>
        <v>3.4129999999999998</v>
      </c>
      <c r="AL374" s="31">
        <f>VLOOKUP($B374,Leveranser!$B$1:$Y$499,MATCH("Totalt såld fjärrvärme till andra fjärrvärmeföretag",Leveranser!$B$1:$AA$1,0),FALSE)</f>
        <v>0</v>
      </c>
      <c r="AM374" s="31">
        <f>IF(ISERROR(1/VLOOKUP($B374,Miljö!$B$1:$S$500,MATCH("Såld mängd produktionsspecifik fjärrvärme (GWh)",Miljö!$B$1:$R$1,0),FALSE)),0,VLOOKUP($B374,Miljö!$B$1:$S$500,MATCH("Såld mängd produktionsspecifik fjärrvärme (GWh)",Miljö!$B$1:$R$1,0),FALSE))</f>
        <v>0</v>
      </c>
      <c r="AN374" s="32">
        <f t="shared" si="117"/>
        <v>0.71568016876044516</v>
      </c>
      <c r="AP374" s="31" t="str">
        <f>IFERROR(VLOOKUP($B374,Miljövärden!$B$2:$H$550,7,FALSE),"Nej, saknas")</f>
        <v>Ja</v>
      </c>
      <c r="AQ374" s="31" t="str">
        <f>IFERROR(VLOOKUP($B374,Miljövärden!$B$2:$H$551,6,FALSE),"Nej, saknas")</f>
        <v>Ja</v>
      </c>
      <c r="AU374" s="31">
        <f t="shared" si="118"/>
        <v>0.11338999999999999</v>
      </c>
      <c r="AV374" s="31">
        <f t="shared" si="119"/>
        <v>0</v>
      </c>
      <c r="AW374" s="31">
        <f t="shared" si="120"/>
        <v>0</v>
      </c>
      <c r="AX374" s="31">
        <f t="shared" si="121"/>
        <v>4.5170000000000003</v>
      </c>
      <c r="AZ374" s="31">
        <f t="shared" si="122"/>
        <v>4.5170000000000003</v>
      </c>
      <c r="BC374" s="31">
        <f t="shared" si="123"/>
        <v>0.11650000000000001</v>
      </c>
      <c r="BD374" s="31">
        <f t="shared" si="124"/>
        <v>0</v>
      </c>
      <c r="BE374" s="31">
        <f t="shared" si="125"/>
        <v>4.5170000000000003</v>
      </c>
      <c r="BF374" s="31">
        <f t="shared" si="126"/>
        <v>2.1999999999999999E-2</v>
      </c>
      <c r="BG374" s="31">
        <f t="shared" si="127"/>
        <v>0.11338999999999999</v>
      </c>
      <c r="BH374" s="31">
        <f>VLOOKUP(B374,Miljö!$B$1:$BX$482,MATCH("Fossilandel för ursprungspecificerad el ()",Miljö!$B$1:$I$1,0),FALSE)</f>
        <v>0</v>
      </c>
      <c r="BI374" s="31">
        <f>VLOOKUP(B374,Miljö!$B$1:$BX$482,MATCH("Kärnkraftsandel för ursprungsspecificerad el ()",Miljö!$B$1:$O$1,0),FALSE)</f>
        <v>0</v>
      </c>
      <c r="BJ374" s="31">
        <f t="shared" si="128"/>
        <v>0</v>
      </c>
      <c r="BK374" s="31" t="str">
        <f>VLOOKUP(B374,Miljö!$B$1:$P$482,MATCH("Fossil andel i procent (%)",Miljö!$B$1:$P$1,0),FALSE)</f>
        <v>ET</v>
      </c>
      <c r="BL374" s="31">
        <f t="shared" si="129"/>
        <v>4.7688900000000007</v>
      </c>
      <c r="BO374" s="32">
        <f t="shared" si="130"/>
        <v>2.4429164858069695E-2</v>
      </c>
      <c r="BP374" s="32">
        <f t="shared" si="131"/>
        <v>0</v>
      </c>
      <c r="BQ374" s="32">
        <f t="shared" si="132"/>
        <v>0.97095760229319605</v>
      </c>
      <c r="BR374" s="32">
        <f t="shared" si="133"/>
        <v>4.6132328487341907E-3</v>
      </c>
      <c r="BT374" s="62">
        <f t="shared" si="134"/>
        <v>0.99999999999999989</v>
      </c>
      <c r="BW374" s="32">
        <f>IF(AP374="Ja",VLOOKUP(B374,Miljövärden!$B$2:$H$551,MATCH("Total andel fossilt",Miljövärden!$B$2:$H$2,0),FALSE),"")</f>
        <v>2.4429200000000002E-2</v>
      </c>
      <c r="BX374" s="62">
        <f t="shared" si="135"/>
        <v>3.514193030670909E-8</v>
      </c>
      <c r="BZ374" s="31">
        <f t="shared" si="136"/>
        <v>3.514193030670909E-8</v>
      </c>
      <c r="CA374" s="32">
        <f t="shared" si="137"/>
        <v>0</v>
      </c>
    </row>
    <row r="375" spans="1:79" x14ac:dyDescent="0.45">
      <c r="A375" s="31" t="s">
        <v>197</v>
      </c>
      <c r="B375" s="31" t="s">
        <v>203</v>
      </c>
      <c r="C375" s="31">
        <f>VLOOKUP($B375,'Tillförd energi'!$B$1:$AI$720,MATCH(C$1,'Tillförd energi'!$B$1:$AQ$1,0),FALSE)</f>
        <v>0</v>
      </c>
      <c r="D375" s="31">
        <f>VLOOKUP($B375,'Tillförd energi'!$B$1:$AI$720,MATCH(D$1,'Tillförd energi'!$B$1:$AQ$1,0),FALSE)</f>
        <v>4.5900000000000003E-2</v>
      </c>
      <c r="E375" s="31">
        <f>VLOOKUP($B375,'Tillförd energi'!$B$1:$AI$720,MATCH(E$1,'Tillförd energi'!$B$1:$AQ$1,0),FALSE)</f>
        <v>0</v>
      </c>
      <c r="F375" s="31">
        <f>VLOOKUP($B375,'Tillförd energi'!$B$1:$AI$720,MATCH(F$1,'Tillförd energi'!$B$1:$AQ$1,0),FALSE)</f>
        <v>0</v>
      </c>
      <c r="G375" s="31">
        <f>VLOOKUP($B375,'Tillförd energi'!$B$1:$AI$720,MATCH(G$1,'Tillförd energi'!$B$1:$AQ$1,0),FALSE)</f>
        <v>0</v>
      </c>
      <c r="H375" s="31">
        <f>VLOOKUP($B375,'Tillförd energi'!$B$1:$AI$720,MATCH(H$1,'Tillförd energi'!$B$1:$AQ$1,0),FALSE)</f>
        <v>0</v>
      </c>
      <c r="I375" s="31">
        <f>VLOOKUP($B375,'Tillförd energi'!$B$1:$AI$720,MATCH(I$1,'Tillförd energi'!$B$1:$AQ$1,0),FALSE)</f>
        <v>0</v>
      </c>
      <c r="J375" s="31">
        <f>VLOOKUP($B375,'Tillförd energi'!$B$1:$AI$720,MATCH(J$1,'Tillförd energi'!$B$1:$AQ$1,0),FALSE)</f>
        <v>0</v>
      </c>
      <c r="K375" s="31">
        <f>VLOOKUP($B375,'Tillförd energi'!$B$1:$AI$720,MATCH(K$1,'Tillförd energi'!$B$1:$AQ$1,0),FALSE)</f>
        <v>0</v>
      </c>
      <c r="L375" s="31">
        <f>VLOOKUP($B375,'Tillförd energi'!$B$1:$AI$720,MATCH(L$1,'Tillförd energi'!$B$1:$AQ$1,0),FALSE)</f>
        <v>0</v>
      </c>
      <c r="M375" s="31">
        <f>VLOOKUP($B375,'Tillförd energi'!$B$1:$AI$720,MATCH(M$1,'Tillförd energi'!$B$1:$AQ$1,0),FALSE)</f>
        <v>0</v>
      </c>
      <c r="N375" s="31">
        <f>VLOOKUP($B375,'Tillförd energi'!$B$1:$AI$720,MATCH(N$1,'Tillförd energi'!$B$1:$AQ$1,0),FALSE)</f>
        <v>0</v>
      </c>
      <c r="O375" s="31">
        <f>VLOOKUP($B375,'Tillförd energi'!$B$1:$AI$720,MATCH(O$1,'Tillförd energi'!$B$1:$AQ$1,0),FALSE)</f>
        <v>0</v>
      </c>
      <c r="P375" s="31">
        <f>VLOOKUP($B375,'Tillförd energi'!$B$1:$AI$720,MATCH(P$1,'Tillförd energi'!$B$1:$AQ$1,0),FALSE)</f>
        <v>0</v>
      </c>
      <c r="Q375" s="31">
        <f>VLOOKUP($B375,'Tillförd energi'!$B$1:$AI$720,MATCH(Q$1,'Tillförd energi'!$B$1:$AQ$1,0),FALSE)</f>
        <v>0</v>
      </c>
      <c r="R375" s="31">
        <f>VLOOKUP($B375,'Tillförd energi'!$B$1:$AI$720,MATCH(R$1,'Tillförd energi'!$B$1:$AQ$1,0),FALSE)</f>
        <v>2.4609999999999999</v>
      </c>
      <c r="S375" s="31">
        <f>VLOOKUP($B375,'Tillförd energi'!$B$1:$AI$720,MATCH(S$1,'Tillförd energi'!$B$1:$AQ$1,0),FALSE)</f>
        <v>0</v>
      </c>
      <c r="T375" s="31">
        <f>VLOOKUP($B375,'Tillförd energi'!$B$1:$AI$720,MATCH(T$1,'Tillförd energi'!$B$1:$AQ$1,0),FALSE)</f>
        <v>0</v>
      </c>
      <c r="U375" s="31">
        <f>VLOOKUP($B375,'Tillförd energi'!$B$1:$AI$720,MATCH(U$1,'Tillförd energi'!$B$1:$AQ$1,0),FALSE)</f>
        <v>0</v>
      </c>
      <c r="V375" s="31">
        <f>VLOOKUP($B375,'Tillförd energi'!$B$1:$AI$720,MATCH(V$1,'Tillförd energi'!$B$1:$AQ$1,0),FALSE)</f>
        <v>0</v>
      </c>
      <c r="W375" s="31">
        <f>VLOOKUP($B375,'Tillförd energi'!$B$1:$AI$720,MATCH(W$1,'Tillförd energi'!$B$1:$AQ$1,0),FALSE)</f>
        <v>0</v>
      </c>
      <c r="X375" s="31">
        <f>VLOOKUP($B375,'Tillförd energi'!$B$1:$AI$720,MATCH(X$1,'Tillförd energi'!$B$1:$AQ$1,0),FALSE)</f>
        <v>0</v>
      </c>
      <c r="Y375" s="31">
        <f>VLOOKUP($B375,'Tillförd energi'!$B$1:$AI$720,MATCH(Y$1,'Tillförd energi'!$B$1:$AQ$1,0),FALSE)</f>
        <v>0</v>
      </c>
      <c r="Z375" s="31">
        <f>VLOOKUP($B375,'Tillförd energi'!$B$1:$AI$720,MATCH(Z$1,'Tillförd energi'!$B$1:$AQ$1,0),FALSE)</f>
        <v>0</v>
      </c>
      <c r="AA375" s="31">
        <f>VLOOKUP($B375,'Tillförd energi'!$B$1:$AI$720,MATCH(AA$1,'Tillförd energi'!$B$1:$AQ$1,0),FALSE)</f>
        <v>0</v>
      </c>
      <c r="AB375" s="31">
        <f>VLOOKUP($B375,'Tillförd energi'!$B$1:$AI$720,MATCH(AB$1,'Tillförd energi'!$B$1:$AQ$1,0),FALSE)</f>
        <v>0</v>
      </c>
      <c r="AC375" s="31">
        <f>VLOOKUP($B375,'Tillförd energi'!$B$1:$AI$720,MATCH(AC$1,'Tillförd energi'!$B$1:$AQ$1,0),FALSE)</f>
        <v>0</v>
      </c>
      <c r="AD375" s="31">
        <f>VLOOKUP($B375,'Tillförd energi'!$B$1:$AI$720,MATCH(AD$1,'Tillförd energi'!$B$1:$AQ$1,0),FALSE)</f>
        <v>0</v>
      </c>
      <c r="AE375" s="31">
        <f>VLOOKUP($B375,'Tillförd energi'!$B$1:$AI$720,MATCH(AE$1,'Tillförd energi'!$B$1:$AQ$1,0),FALSE)</f>
        <v>0</v>
      </c>
      <c r="AF375" s="31">
        <f>VLOOKUP($B375,'Tillförd energi'!$B$1:$AI$720,MATCH(AF$1,'Tillförd energi'!$B$1:$AQ$1,0),FALSE)</f>
        <v>5.688E-2</v>
      </c>
      <c r="AG375" s="31">
        <f>IFERROR(VLOOKUP(B375,Miljö!$B$1:$AC$550,MATCH("Köpt mängd produktionsspecifik fjärrvärme:",Miljö!$B$1:$AC$1,0),FALSE)/1,0)</f>
        <v>0</v>
      </c>
      <c r="AI375" s="31">
        <f t="shared" si="115"/>
        <v>2.5637799999999999</v>
      </c>
      <c r="AJ375" s="31">
        <f t="shared" si="116"/>
        <v>2.5637799999999999</v>
      </c>
      <c r="AK375" s="31">
        <f>IF(ISERROR(1/VLOOKUP($B375,Leveranser!$B$1:$S$499,MATCH("Såld värme (GWh)",Leveranser!$B$1:$S$1,0),FALSE)),"",VLOOKUP($B375,Leveranser!$B$1:$S$499,MATCH("Såld värme (GWh)",Leveranser!$B$1:$S$1,0),FALSE))</f>
        <v>1.8959999999999999</v>
      </c>
      <c r="AL375" s="31">
        <f>VLOOKUP($B375,Leveranser!$B$1:$Y$499,MATCH("Totalt såld fjärrvärme till andra fjärrvärmeföretag",Leveranser!$B$1:$AA$1,0),FALSE)</f>
        <v>0</v>
      </c>
      <c r="AM375" s="31">
        <f>IF(ISERROR(1/VLOOKUP($B375,Miljö!$B$1:$S$500,MATCH("Såld mängd produktionsspecifik fjärrvärme (GWh)",Miljö!$B$1:$R$1,0),FALSE)),0,VLOOKUP($B375,Miljö!$B$1:$S$500,MATCH("Såld mängd produktionsspecifik fjärrvärme (GWh)",Miljö!$B$1:$R$1,0),FALSE))</f>
        <v>0</v>
      </c>
      <c r="AN375" s="32">
        <f t="shared" si="117"/>
        <v>0.73953303325558351</v>
      </c>
      <c r="AP375" s="31" t="str">
        <f>IFERROR(VLOOKUP($B375,Miljövärden!$B$2:$H$550,7,FALSE),"Nej, saknas")</f>
        <v>Ja</v>
      </c>
      <c r="AQ375" s="31" t="str">
        <f>IFERROR(VLOOKUP($B375,Miljövärden!$B$2:$H$551,6,FALSE),"Nej, saknas")</f>
        <v>Ja</v>
      </c>
      <c r="AU375" s="31">
        <f t="shared" si="118"/>
        <v>5.688E-2</v>
      </c>
      <c r="AV375" s="31">
        <f t="shared" si="119"/>
        <v>0</v>
      </c>
      <c r="AW375" s="31">
        <f t="shared" si="120"/>
        <v>0</v>
      </c>
      <c r="AX375" s="31">
        <f t="shared" si="121"/>
        <v>2.4609999999999999</v>
      </c>
      <c r="AZ375" s="31">
        <f t="shared" si="122"/>
        <v>2.4609999999999999</v>
      </c>
      <c r="BC375" s="31">
        <f t="shared" si="123"/>
        <v>4.5900000000000003E-2</v>
      </c>
      <c r="BD375" s="31">
        <f t="shared" si="124"/>
        <v>0</v>
      </c>
      <c r="BE375" s="31">
        <f t="shared" si="125"/>
        <v>2.4609999999999999</v>
      </c>
      <c r="BF375" s="31">
        <f t="shared" si="126"/>
        <v>0</v>
      </c>
      <c r="BG375" s="31">
        <f t="shared" si="127"/>
        <v>5.688E-2</v>
      </c>
      <c r="BH375" s="31">
        <f>VLOOKUP(B375,Miljö!$B$1:$BX$482,MATCH("Fossilandel för ursprungspecificerad el ()",Miljö!$B$1:$I$1,0),FALSE)</f>
        <v>0</v>
      </c>
      <c r="BI375" s="31">
        <f>VLOOKUP(B375,Miljö!$B$1:$BX$482,MATCH("Kärnkraftsandel för ursprungsspecificerad el ()",Miljö!$B$1:$O$1,0),FALSE)</f>
        <v>0</v>
      </c>
      <c r="BJ375" s="31">
        <f t="shared" si="128"/>
        <v>0</v>
      </c>
      <c r="BK375" s="31" t="str">
        <f>VLOOKUP(B375,Miljö!$B$1:$P$482,MATCH("Fossil andel i procent (%)",Miljö!$B$1:$P$1,0),FALSE)</f>
        <v>ET</v>
      </c>
      <c r="BL375" s="31">
        <f t="shared" si="129"/>
        <v>2.5637799999999999</v>
      </c>
      <c r="BO375" s="32">
        <f t="shared" si="130"/>
        <v>1.7903252229130428E-2</v>
      </c>
      <c r="BP375" s="32">
        <f t="shared" si="131"/>
        <v>0</v>
      </c>
      <c r="BQ375" s="32">
        <f t="shared" si="132"/>
        <v>0.98209674777086953</v>
      </c>
      <c r="BR375" s="32">
        <f t="shared" si="133"/>
        <v>0</v>
      </c>
      <c r="BT375" s="62">
        <f t="shared" si="134"/>
        <v>1</v>
      </c>
      <c r="BW375" s="32">
        <f>IF(AP375="Ja",VLOOKUP(B375,Miljövärden!$B$2:$H$551,MATCH("Total andel fossilt",Miljövärden!$B$2:$H$2,0),FALSE),"")</f>
        <v>1.79033E-2</v>
      </c>
      <c r="BX375" s="62">
        <f t="shared" si="135"/>
        <v>4.7770869572583141E-8</v>
      </c>
      <c r="BZ375" s="31">
        <f t="shared" si="136"/>
        <v>4.7770869572583141E-8</v>
      </c>
      <c r="CA375" s="32">
        <f t="shared" si="137"/>
        <v>0</v>
      </c>
    </row>
    <row r="376" spans="1:79" x14ac:dyDescent="0.45">
      <c r="A376" s="31" t="s">
        <v>191</v>
      </c>
      <c r="B376" s="31" t="s">
        <v>195</v>
      </c>
      <c r="C376" s="31">
        <f>VLOOKUP($B376,'Tillförd energi'!$B$1:$AI$720,MATCH(C$1,'Tillförd energi'!$B$1:$AQ$1,0),FALSE)</f>
        <v>0</v>
      </c>
      <c r="D376" s="31">
        <f>VLOOKUP($B376,'Tillförd energi'!$B$1:$AI$720,MATCH(D$1,'Tillförd energi'!$B$1:$AQ$1,0),FALSE)</f>
        <v>0.114</v>
      </c>
      <c r="E376" s="31">
        <f>VLOOKUP($B376,'Tillförd energi'!$B$1:$AI$720,MATCH(E$1,'Tillförd energi'!$B$1:$AQ$1,0),FALSE)</f>
        <v>0</v>
      </c>
      <c r="F376" s="31">
        <f>VLOOKUP($B376,'Tillförd energi'!$B$1:$AI$720,MATCH(F$1,'Tillförd energi'!$B$1:$AQ$1,0),FALSE)</f>
        <v>0</v>
      </c>
      <c r="G376" s="31">
        <f>VLOOKUP($B376,'Tillförd energi'!$B$1:$AI$720,MATCH(G$1,'Tillförd energi'!$B$1:$AQ$1,0),FALSE)</f>
        <v>0</v>
      </c>
      <c r="H376" s="31">
        <f>VLOOKUP($B376,'Tillförd energi'!$B$1:$AI$720,MATCH(H$1,'Tillförd energi'!$B$1:$AQ$1,0),FALSE)</f>
        <v>0</v>
      </c>
      <c r="I376" s="31">
        <f>VLOOKUP($B376,'Tillförd energi'!$B$1:$AI$720,MATCH(I$1,'Tillförd energi'!$B$1:$AQ$1,0),FALSE)</f>
        <v>0</v>
      </c>
      <c r="J376" s="31">
        <f>VLOOKUP($B376,'Tillförd energi'!$B$1:$AI$720,MATCH(J$1,'Tillförd energi'!$B$1:$AQ$1,0),FALSE)</f>
        <v>0</v>
      </c>
      <c r="K376" s="31">
        <f>VLOOKUP($B376,'Tillförd energi'!$B$1:$AI$720,MATCH(K$1,'Tillförd energi'!$B$1:$AQ$1,0),FALSE)</f>
        <v>0</v>
      </c>
      <c r="L376" s="31">
        <f>VLOOKUP($B376,'Tillförd energi'!$B$1:$AI$720,MATCH(L$1,'Tillförd energi'!$B$1:$AQ$1,0),FALSE)</f>
        <v>0</v>
      </c>
      <c r="M376" s="31">
        <f>VLOOKUP($B376,'Tillförd energi'!$B$1:$AI$720,MATCH(M$1,'Tillförd energi'!$B$1:$AQ$1,0),FALSE)</f>
        <v>7.383</v>
      </c>
      <c r="N376" s="31">
        <f>VLOOKUP($B376,'Tillförd energi'!$B$1:$AI$720,MATCH(N$1,'Tillförd energi'!$B$1:$AQ$1,0),FALSE)</f>
        <v>31.681000000000001</v>
      </c>
      <c r="O376" s="31">
        <f>VLOOKUP($B376,'Tillförd energi'!$B$1:$AI$720,MATCH(O$1,'Tillförd energi'!$B$1:$AQ$1,0),FALSE)</f>
        <v>20.443000000000001</v>
      </c>
      <c r="P376" s="31">
        <f>VLOOKUP($B376,'Tillförd energi'!$B$1:$AI$720,MATCH(P$1,'Tillförd energi'!$B$1:$AQ$1,0),FALSE)</f>
        <v>20.797999999999998</v>
      </c>
      <c r="Q376" s="31">
        <f>VLOOKUP($B376,'Tillförd energi'!$B$1:$AI$720,MATCH(Q$1,'Tillförd energi'!$B$1:$AQ$1,0),FALSE)</f>
        <v>0</v>
      </c>
      <c r="R376" s="31">
        <f>VLOOKUP($B376,'Tillförd energi'!$B$1:$AI$720,MATCH(R$1,'Tillförd energi'!$B$1:$AQ$1,0),FALSE)</f>
        <v>6.7350000000000003</v>
      </c>
      <c r="S376" s="31">
        <f>VLOOKUP($B376,'Tillförd energi'!$B$1:$AI$720,MATCH(S$1,'Tillförd energi'!$B$1:$AQ$1,0),FALSE)</f>
        <v>0</v>
      </c>
      <c r="T376" s="31">
        <f>VLOOKUP($B376,'Tillförd energi'!$B$1:$AI$720,MATCH(T$1,'Tillförd energi'!$B$1:$AQ$1,0),FALSE)</f>
        <v>0</v>
      </c>
      <c r="U376" s="31">
        <f>VLOOKUP($B376,'Tillförd energi'!$B$1:$AI$720,MATCH(U$1,'Tillförd energi'!$B$1:$AQ$1,0),FALSE)</f>
        <v>0</v>
      </c>
      <c r="V376" s="31">
        <f>VLOOKUP($B376,'Tillförd energi'!$B$1:$AI$720,MATCH(V$1,'Tillförd energi'!$B$1:$AQ$1,0),FALSE)</f>
        <v>0</v>
      </c>
      <c r="W376" s="31">
        <f>VLOOKUP($B376,'Tillförd energi'!$B$1:$AI$720,MATCH(W$1,'Tillförd energi'!$B$1:$AQ$1,0),FALSE)</f>
        <v>3.085</v>
      </c>
      <c r="X376" s="31">
        <f>VLOOKUP($B376,'Tillförd energi'!$B$1:$AI$720,MATCH(X$1,'Tillförd energi'!$B$1:$AQ$1,0),FALSE)</f>
        <v>0</v>
      </c>
      <c r="Y376" s="31">
        <f>VLOOKUP($B376,'Tillförd energi'!$B$1:$AI$720,MATCH(Y$1,'Tillförd energi'!$B$1:$AQ$1,0),FALSE)</f>
        <v>0.871</v>
      </c>
      <c r="Z376" s="31">
        <f>VLOOKUP($B376,'Tillförd energi'!$B$1:$AI$720,MATCH(Z$1,'Tillförd energi'!$B$1:$AQ$1,0),FALSE)</f>
        <v>0</v>
      </c>
      <c r="AA376" s="31">
        <f>VLOOKUP($B376,'Tillförd energi'!$B$1:$AI$720,MATCH(AA$1,'Tillförd energi'!$B$1:$AQ$1,0),FALSE)</f>
        <v>1.254</v>
      </c>
      <c r="AB376" s="31">
        <f>VLOOKUP($B376,'Tillförd energi'!$B$1:$AI$720,MATCH(AB$1,'Tillförd energi'!$B$1:$AQ$1,0),FALSE)</f>
        <v>8.6180000000000003</v>
      </c>
      <c r="AC376" s="31">
        <f>VLOOKUP($B376,'Tillförd energi'!$B$1:$AI$720,MATCH(AC$1,'Tillförd energi'!$B$1:$AQ$1,0),FALSE)</f>
        <v>16.812000000000001</v>
      </c>
      <c r="AD376" s="31">
        <f>VLOOKUP($B376,'Tillförd energi'!$B$1:$AI$720,MATCH(AD$1,'Tillförd energi'!$B$1:$AQ$1,0),FALSE)</f>
        <v>4.9969999999999999</v>
      </c>
      <c r="AE376" s="31">
        <f>VLOOKUP($B376,'Tillförd energi'!$B$1:$AI$720,MATCH(AE$1,'Tillförd energi'!$B$1:$AQ$1,0),FALSE)</f>
        <v>0</v>
      </c>
      <c r="AF376" s="31">
        <f>VLOOKUP($B376,'Tillförd energi'!$B$1:$AI$720,MATCH(AF$1,'Tillförd energi'!$B$1:$AQ$1,0),FALSE)</f>
        <v>3.3969999999999998</v>
      </c>
      <c r="AG376" s="31">
        <f>IFERROR(VLOOKUP(B376,Miljö!$B$1:$AC$550,MATCH("Köpt mängd produktionsspecifik fjärrvärme:",Miljö!$B$1:$AC$1,0),FALSE)/1,0)</f>
        <v>0</v>
      </c>
      <c r="AI376" s="31">
        <f t="shared" si="115"/>
        <v>126.18799999999999</v>
      </c>
      <c r="AJ376" s="31">
        <f t="shared" si="116"/>
        <v>126.18799999999999</v>
      </c>
      <c r="AK376" s="31">
        <f>IF(ISERROR(1/VLOOKUP($B376,Leveranser!$B$1:$S$499,MATCH("Såld värme (GWh)",Leveranser!$B$1:$S$1,0),FALSE)),"",VLOOKUP($B376,Leveranser!$B$1:$S$499,MATCH("Såld värme (GWh)",Leveranser!$B$1:$S$1,0),FALSE))</f>
        <v>94.289000000000001</v>
      </c>
      <c r="AL376" s="31">
        <f>VLOOKUP($B376,Leveranser!$B$1:$Y$499,MATCH("Totalt såld fjärrvärme till andra fjärrvärmeföretag",Leveranser!$B$1:$AA$1,0),FALSE)</f>
        <v>0</v>
      </c>
      <c r="AM376" s="31">
        <f>IF(ISERROR(1/VLOOKUP($B376,Miljö!$B$1:$S$500,MATCH("Såld mängd produktionsspecifik fjärrvärme (GWh)",Miljö!$B$1:$R$1,0),FALSE)),0,VLOOKUP($B376,Miljö!$B$1:$S$500,MATCH("Såld mängd produktionsspecifik fjärrvärme (GWh)",Miljö!$B$1:$R$1,0),FALSE))</f>
        <v>0</v>
      </c>
      <c r="AN376" s="32">
        <f t="shared" si="117"/>
        <v>0.74721051130059923</v>
      </c>
      <c r="AP376" s="31" t="str">
        <f>IFERROR(VLOOKUP($B376,Miljövärden!$B$2:$H$550,7,FALSE),"Nej, saknas")</f>
        <v>Ja</v>
      </c>
      <c r="AQ376" s="31" t="str">
        <f>IFERROR(VLOOKUP($B376,Miljövärden!$B$2:$H$551,6,FALSE),"Nej, saknas")</f>
        <v>Ja</v>
      </c>
      <c r="AU376" s="31">
        <f t="shared" si="118"/>
        <v>4.6509999999999998</v>
      </c>
      <c r="AV376" s="31">
        <f t="shared" si="119"/>
        <v>0</v>
      </c>
      <c r="AW376" s="31">
        <f t="shared" si="120"/>
        <v>80.305000000000007</v>
      </c>
      <c r="AX376" s="31">
        <f t="shared" si="121"/>
        <v>6.7350000000000003</v>
      </c>
      <c r="AZ376" s="31">
        <f t="shared" si="122"/>
        <v>90.125</v>
      </c>
      <c r="BC376" s="31">
        <f t="shared" si="123"/>
        <v>0.114</v>
      </c>
      <c r="BD376" s="31">
        <f t="shared" si="124"/>
        <v>0.871</v>
      </c>
      <c r="BE376" s="31">
        <f t="shared" si="125"/>
        <v>90.125</v>
      </c>
      <c r="BF376" s="31">
        <f t="shared" si="126"/>
        <v>30.427</v>
      </c>
      <c r="BG376" s="31">
        <f t="shared" si="127"/>
        <v>4.6509999999999998</v>
      </c>
      <c r="BH376" s="31">
        <f>VLOOKUP(B376,Miljö!$B$1:$BX$482,MATCH("Fossilandel för ursprungspecificerad el ()",Miljö!$B$1:$I$1,0),FALSE)</f>
        <v>0</v>
      </c>
      <c r="BI376" s="31">
        <f>VLOOKUP(B376,Miljö!$B$1:$BX$482,MATCH("Kärnkraftsandel för ursprungsspecificerad el ()",Miljö!$B$1:$O$1,0),FALSE)</f>
        <v>0</v>
      </c>
      <c r="BJ376" s="31">
        <f t="shared" si="128"/>
        <v>0</v>
      </c>
      <c r="BK376" s="31" t="str">
        <f>VLOOKUP(B376,Miljö!$B$1:$P$482,MATCH("Fossil andel i procent (%)",Miljö!$B$1:$P$1,0),FALSE)</f>
        <v>ET</v>
      </c>
      <c r="BL376" s="31">
        <f t="shared" si="129"/>
        <v>126.188</v>
      </c>
      <c r="BO376" s="32">
        <f t="shared" si="130"/>
        <v>9.0341395378324405E-4</v>
      </c>
      <c r="BP376" s="32">
        <f t="shared" si="131"/>
        <v>6.9023995942561894E-3</v>
      </c>
      <c r="BQ376" s="32">
        <f t="shared" si="132"/>
        <v>0.75106983231369062</v>
      </c>
      <c r="BR376" s="32">
        <f t="shared" si="133"/>
        <v>0.24112435413826988</v>
      </c>
      <c r="BT376" s="62">
        <f t="shared" si="134"/>
        <v>1</v>
      </c>
      <c r="BW376" s="32">
        <f>IF(AP376="Ja",VLOOKUP(B376,Miljövärden!$B$2:$H$551,MATCH("Total andel fossilt",Miljövärden!$B$2:$H$2,0),FALSE),"")</f>
        <v>9.0341399999999995E-4</v>
      </c>
      <c r="BX376" s="62">
        <f t="shared" si="135"/>
        <v>4.6216755899761153E-11</v>
      </c>
      <c r="BZ376" s="31">
        <f t="shared" si="136"/>
        <v>4.6216755899761153E-11</v>
      </c>
      <c r="CA376" s="32">
        <f t="shared" si="137"/>
        <v>0</v>
      </c>
    </row>
    <row r="377" spans="1:79" x14ac:dyDescent="0.45">
      <c r="A377" s="31" t="s">
        <v>191</v>
      </c>
      <c r="B377" s="31" t="s">
        <v>193</v>
      </c>
      <c r="C377" s="31">
        <f>VLOOKUP($B377,'Tillförd energi'!$B$1:$AI$720,MATCH(C$1,'Tillförd energi'!$B$1:$AQ$1,0),FALSE)</f>
        <v>0</v>
      </c>
      <c r="D377" s="31">
        <f>VLOOKUP($B377,'Tillförd energi'!$B$1:$AI$720,MATCH(D$1,'Tillförd energi'!$B$1:$AQ$1,0),FALSE)</f>
        <v>0</v>
      </c>
      <c r="E377" s="31">
        <f>VLOOKUP($B377,'Tillförd energi'!$B$1:$AI$720,MATCH(E$1,'Tillförd energi'!$B$1:$AQ$1,0),FALSE)</f>
        <v>0</v>
      </c>
      <c r="F377" s="31">
        <f>VLOOKUP($B377,'Tillförd energi'!$B$1:$AI$720,MATCH(F$1,'Tillförd energi'!$B$1:$AQ$1,0),FALSE)</f>
        <v>0</v>
      </c>
      <c r="G377" s="31">
        <f>VLOOKUP($B377,'Tillförd energi'!$B$1:$AI$720,MATCH(G$1,'Tillförd energi'!$B$1:$AQ$1,0),FALSE)</f>
        <v>0</v>
      </c>
      <c r="H377" s="31">
        <f>VLOOKUP($B377,'Tillförd energi'!$B$1:$AI$720,MATCH(H$1,'Tillförd energi'!$B$1:$AQ$1,0),FALSE)</f>
        <v>0</v>
      </c>
      <c r="I377" s="31">
        <f>VLOOKUP($B377,'Tillförd energi'!$B$1:$AI$720,MATCH(I$1,'Tillförd energi'!$B$1:$AQ$1,0),FALSE)</f>
        <v>0</v>
      </c>
      <c r="J377" s="31">
        <f>VLOOKUP($B377,'Tillförd energi'!$B$1:$AI$720,MATCH(J$1,'Tillförd energi'!$B$1:$AQ$1,0),FALSE)</f>
        <v>0</v>
      </c>
      <c r="K377" s="31">
        <f>VLOOKUP($B377,'Tillförd energi'!$B$1:$AI$720,MATCH(K$1,'Tillförd energi'!$B$1:$AQ$1,0),FALSE)</f>
        <v>0</v>
      </c>
      <c r="L377" s="31">
        <f>VLOOKUP($B377,'Tillförd energi'!$B$1:$AI$720,MATCH(L$1,'Tillförd energi'!$B$1:$AQ$1,0),FALSE)</f>
        <v>0</v>
      </c>
      <c r="M377" s="31">
        <f>VLOOKUP($B377,'Tillförd energi'!$B$1:$AI$720,MATCH(M$1,'Tillförd energi'!$B$1:$AQ$1,0),FALSE)</f>
        <v>0</v>
      </c>
      <c r="N377" s="31">
        <f>VLOOKUP($B377,'Tillförd energi'!$B$1:$AI$720,MATCH(N$1,'Tillförd energi'!$B$1:$AQ$1,0),FALSE)</f>
        <v>0</v>
      </c>
      <c r="O377" s="31">
        <f>VLOOKUP($B377,'Tillförd energi'!$B$1:$AI$720,MATCH(O$1,'Tillförd energi'!$B$1:$AQ$1,0),FALSE)</f>
        <v>0</v>
      </c>
      <c r="P377" s="31">
        <f>VLOOKUP($B377,'Tillförd energi'!$B$1:$AI$720,MATCH(P$1,'Tillförd energi'!$B$1:$AQ$1,0),FALSE)</f>
        <v>15.356</v>
      </c>
      <c r="Q377" s="31">
        <f>VLOOKUP($B377,'Tillförd energi'!$B$1:$AI$720,MATCH(Q$1,'Tillförd energi'!$B$1:$AQ$1,0),FALSE)</f>
        <v>0</v>
      </c>
      <c r="R377" s="31">
        <f>VLOOKUP($B377,'Tillförd energi'!$B$1:$AI$720,MATCH(R$1,'Tillförd energi'!$B$1:$AQ$1,0),FALSE)</f>
        <v>0</v>
      </c>
      <c r="S377" s="31">
        <f>VLOOKUP($B377,'Tillförd energi'!$B$1:$AI$720,MATCH(S$1,'Tillförd energi'!$B$1:$AQ$1,0),FALSE)</f>
        <v>0</v>
      </c>
      <c r="T377" s="31">
        <f>VLOOKUP($B377,'Tillförd energi'!$B$1:$AI$720,MATCH(T$1,'Tillförd energi'!$B$1:$AQ$1,0),FALSE)</f>
        <v>0</v>
      </c>
      <c r="U377" s="31">
        <f>VLOOKUP($B377,'Tillförd energi'!$B$1:$AI$720,MATCH(U$1,'Tillförd energi'!$B$1:$AQ$1,0),FALSE)</f>
        <v>0</v>
      </c>
      <c r="V377" s="31">
        <f>VLOOKUP($B377,'Tillförd energi'!$B$1:$AI$720,MATCH(V$1,'Tillförd energi'!$B$1:$AQ$1,0),FALSE)</f>
        <v>0</v>
      </c>
      <c r="W377" s="31">
        <f>VLOOKUP($B377,'Tillförd energi'!$B$1:$AI$720,MATCH(W$1,'Tillförd energi'!$B$1:$AQ$1,0),FALSE)</f>
        <v>1.2210000000000001</v>
      </c>
      <c r="X377" s="31">
        <f>VLOOKUP($B377,'Tillförd energi'!$B$1:$AI$720,MATCH(X$1,'Tillförd energi'!$B$1:$AQ$1,0),FALSE)</f>
        <v>0</v>
      </c>
      <c r="Y377" s="31">
        <f>VLOOKUP($B377,'Tillförd energi'!$B$1:$AI$720,MATCH(Y$1,'Tillförd energi'!$B$1:$AQ$1,0),FALSE)</f>
        <v>0</v>
      </c>
      <c r="Z377" s="31">
        <f>VLOOKUP($B377,'Tillförd energi'!$B$1:$AI$720,MATCH(Z$1,'Tillförd energi'!$B$1:$AQ$1,0),FALSE)</f>
        <v>1E-3</v>
      </c>
      <c r="AA377" s="31">
        <f>VLOOKUP($B377,'Tillförd energi'!$B$1:$AI$720,MATCH(AA$1,'Tillförd energi'!$B$1:$AQ$1,0),FALSE)</f>
        <v>0</v>
      </c>
      <c r="AB377" s="31">
        <f>VLOOKUP($B377,'Tillförd energi'!$B$1:$AI$720,MATCH(AB$1,'Tillförd energi'!$B$1:$AQ$1,0),FALSE)</f>
        <v>0</v>
      </c>
      <c r="AC377" s="31">
        <f>VLOOKUP($B377,'Tillförd energi'!$B$1:$AI$720,MATCH(AC$1,'Tillförd energi'!$B$1:$AQ$1,0),FALSE)</f>
        <v>0</v>
      </c>
      <c r="AD377" s="31">
        <f>VLOOKUP($B377,'Tillförd energi'!$B$1:$AI$720,MATCH(AD$1,'Tillförd energi'!$B$1:$AQ$1,0),FALSE)</f>
        <v>0</v>
      </c>
      <c r="AE377" s="31">
        <f>VLOOKUP($B377,'Tillförd energi'!$B$1:$AI$720,MATCH(AE$1,'Tillförd energi'!$B$1:$AQ$1,0),FALSE)</f>
        <v>0</v>
      </c>
      <c r="AF377" s="31">
        <f>VLOOKUP($B377,'Tillförd energi'!$B$1:$AI$720,MATCH(AF$1,'Tillförd energi'!$B$1:$AQ$1,0),FALSE)</f>
        <v>0.34799999999999998</v>
      </c>
      <c r="AG377" s="31">
        <f>IFERROR(VLOOKUP(B377,Miljö!$B$1:$AC$550,MATCH("Köpt mängd produktionsspecifik fjärrvärme:",Miljö!$B$1:$AC$1,0),FALSE)/1,0)</f>
        <v>0</v>
      </c>
      <c r="AI377" s="31">
        <f t="shared" si="115"/>
        <v>16.925999999999998</v>
      </c>
      <c r="AJ377" s="31">
        <f t="shared" si="116"/>
        <v>16.925999999999998</v>
      </c>
      <c r="AK377" s="31">
        <f>IF(ISERROR(1/VLOOKUP($B377,Leveranser!$B$1:$S$499,MATCH("Såld värme (GWh)",Leveranser!$B$1:$S$1,0),FALSE)),"",VLOOKUP($B377,Leveranser!$B$1:$S$499,MATCH("Såld värme (GWh)",Leveranser!$B$1:$S$1,0),FALSE))</f>
        <v>12.691000000000001</v>
      </c>
      <c r="AL377" s="31">
        <f>VLOOKUP($B377,Leveranser!$B$1:$Y$499,MATCH("Totalt såld fjärrvärme till andra fjärrvärmeföretag",Leveranser!$B$1:$AA$1,0),FALSE)</f>
        <v>0</v>
      </c>
      <c r="AM377" s="31">
        <f>IF(ISERROR(1/VLOOKUP($B377,Miljö!$B$1:$S$500,MATCH("Såld mängd produktionsspecifik fjärrvärme (GWh)",Miljö!$B$1:$R$1,0),FALSE)),0,VLOOKUP($B377,Miljö!$B$1:$S$500,MATCH("Såld mängd produktionsspecifik fjärrvärme (GWh)",Miljö!$B$1:$R$1,0),FALSE))</f>
        <v>0</v>
      </c>
      <c r="AN377" s="32">
        <f t="shared" si="117"/>
        <v>0.74979321753515316</v>
      </c>
      <c r="AP377" s="31" t="str">
        <f>IFERROR(VLOOKUP($B377,Miljövärden!$B$2:$H$550,7,FALSE),"Nej, saknas")</f>
        <v>Ja</v>
      </c>
      <c r="AQ377" s="31" t="str">
        <f>IFERROR(VLOOKUP($B377,Miljövärden!$B$2:$H$551,6,FALSE),"Nej, saknas")</f>
        <v>Ja</v>
      </c>
      <c r="AU377" s="31">
        <f t="shared" si="118"/>
        <v>0.34899999999999998</v>
      </c>
      <c r="AV377" s="31">
        <f t="shared" si="119"/>
        <v>0</v>
      </c>
      <c r="AW377" s="31">
        <f t="shared" si="120"/>
        <v>15.356</v>
      </c>
      <c r="AX377" s="31">
        <f t="shared" si="121"/>
        <v>0</v>
      </c>
      <c r="AZ377" s="31">
        <f t="shared" si="122"/>
        <v>16.576999999999998</v>
      </c>
      <c r="BC377" s="31">
        <f t="shared" si="123"/>
        <v>0</v>
      </c>
      <c r="BD377" s="31">
        <f t="shared" si="124"/>
        <v>0</v>
      </c>
      <c r="BE377" s="31">
        <f t="shared" si="125"/>
        <v>16.576999999999998</v>
      </c>
      <c r="BF377" s="31">
        <f t="shared" si="126"/>
        <v>0</v>
      </c>
      <c r="BG377" s="31">
        <f t="shared" si="127"/>
        <v>0.34899999999999998</v>
      </c>
      <c r="BH377" s="31">
        <f>VLOOKUP(B377,Miljö!$B$1:$BX$482,MATCH("Fossilandel för ursprungspecificerad el ()",Miljö!$B$1:$I$1,0),FALSE)</f>
        <v>0</v>
      </c>
      <c r="BI377" s="31">
        <f>VLOOKUP(B377,Miljö!$B$1:$BX$482,MATCH("Kärnkraftsandel för ursprungsspecificerad el ()",Miljö!$B$1:$O$1,0),FALSE)</f>
        <v>0</v>
      </c>
      <c r="BJ377" s="31">
        <f t="shared" si="128"/>
        <v>0</v>
      </c>
      <c r="BK377" s="31" t="str">
        <f>VLOOKUP(B377,Miljö!$B$1:$P$482,MATCH("Fossil andel i procent (%)",Miljö!$B$1:$P$1,0),FALSE)</f>
        <v>ET</v>
      </c>
      <c r="BL377" s="31">
        <f t="shared" si="129"/>
        <v>16.925999999999998</v>
      </c>
      <c r="BO377" s="32">
        <f t="shared" si="130"/>
        <v>0</v>
      </c>
      <c r="BP377" s="32">
        <f t="shared" si="131"/>
        <v>0</v>
      </c>
      <c r="BQ377" s="32">
        <f t="shared" si="132"/>
        <v>1</v>
      </c>
      <c r="BR377" s="32">
        <f t="shared" si="133"/>
        <v>0</v>
      </c>
      <c r="BT377" s="62">
        <f t="shared" si="134"/>
        <v>1</v>
      </c>
      <c r="BW377" s="32">
        <f>IF(AP377="Ja",VLOOKUP(B377,Miljövärden!$B$2:$H$551,MATCH("Total andel fossilt",Miljövärden!$B$2:$H$2,0),FALSE),"")</f>
        <v>0</v>
      </c>
      <c r="BX377" s="62">
        <f t="shared" si="135"/>
        <v>0</v>
      </c>
      <c r="BZ377" s="31">
        <f t="shared" si="136"/>
        <v>0</v>
      </c>
      <c r="CA377" s="32">
        <f t="shared" si="137"/>
        <v>0</v>
      </c>
    </row>
    <row r="378" spans="1:79" x14ac:dyDescent="0.45">
      <c r="A378" s="31" t="s">
        <v>191</v>
      </c>
      <c r="B378" s="31" t="s">
        <v>192</v>
      </c>
      <c r="C378" s="31">
        <f>VLOOKUP($B378,'Tillförd energi'!$B$1:$AI$720,MATCH(C$1,'Tillförd energi'!$B$1:$AQ$1,0),FALSE)</f>
        <v>0</v>
      </c>
      <c r="D378" s="31">
        <f>VLOOKUP($B378,'Tillförd energi'!$B$1:$AI$720,MATCH(D$1,'Tillförd energi'!$B$1:$AQ$1,0),FALSE)</f>
        <v>0.872</v>
      </c>
      <c r="E378" s="31">
        <f>VLOOKUP($B378,'Tillförd energi'!$B$1:$AI$720,MATCH(E$1,'Tillförd energi'!$B$1:$AQ$1,0),FALSE)</f>
        <v>0</v>
      </c>
      <c r="F378" s="31">
        <f>VLOOKUP($B378,'Tillförd energi'!$B$1:$AI$720,MATCH(F$1,'Tillförd energi'!$B$1:$AQ$1,0),FALSE)</f>
        <v>0</v>
      </c>
      <c r="G378" s="31">
        <f>VLOOKUP($B378,'Tillförd energi'!$B$1:$AI$720,MATCH(G$1,'Tillförd energi'!$B$1:$AQ$1,0),FALSE)</f>
        <v>0</v>
      </c>
      <c r="H378" s="31">
        <f>VLOOKUP($B378,'Tillförd energi'!$B$1:$AI$720,MATCH(H$1,'Tillförd energi'!$B$1:$AQ$1,0),FALSE)</f>
        <v>0</v>
      </c>
      <c r="I378" s="31">
        <f>VLOOKUP($B378,'Tillförd energi'!$B$1:$AI$720,MATCH(I$1,'Tillförd energi'!$B$1:$AQ$1,0),FALSE)</f>
        <v>0</v>
      </c>
      <c r="J378" s="31">
        <f>VLOOKUP($B378,'Tillförd energi'!$B$1:$AI$720,MATCH(J$1,'Tillförd energi'!$B$1:$AQ$1,0),FALSE)</f>
        <v>0</v>
      </c>
      <c r="K378" s="31">
        <f>VLOOKUP($B378,'Tillförd energi'!$B$1:$AI$720,MATCH(K$1,'Tillförd energi'!$B$1:$AQ$1,0),FALSE)</f>
        <v>0</v>
      </c>
      <c r="L378" s="31">
        <f>VLOOKUP($B378,'Tillförd energi'!$B$1:$AI$720,MATCH(L$1,'Tillförd energi'!$B$1:$AQ$1,0),FALSE)</f>
        <v>81.53</v>
      </c>
      <c r="M378" s="31">
        <f>VLOOKUP($B378,'Tillförd energi'!$B$1:$AI$720,MATCH(M$1,'Tillförd energi'!$B$1:$AQ$1,0),FALSE)</f>
        <v>11.162000000000001</v>
      </c>
      <c r="N378" s="31">
        <f>VLOOKUP($B378,'Tillförd energi'!$B$1:$AI$720,MATCH(N$1,'Tillförd energi'!$B$1:$AQ$1,0),FALSE)</f>
        <v>1.391</v>
      </c>
      <c r="O378" s="31">
        <f>VLOOKUP($B378,'Tillförd energi'!$B$1:$AI$720,MATCH(O$1,'Tillförd energi'!$B$1:$AQ$1,0),FALSE)</f>
        <v>3.9540000000000002</v>
      </c>
      <c r="P378" s="31">
        <f>VLOOKUP($B378,'Tillförd energi'!$B$1:$AI$720,MATCH(P$1,'Tillförd energi'!$B$1:$AQ$1,0),FALSE)</f>
        <v>11.233000000000001</v>
      </c>
      <c r="Q378" s="31">
        <f>VLOOKUP($B378,'Tillförd energi'!$B$1:$AI$720,MATCH(Q$1,'Tillförd energi'!$B$1:$AQ$1,0),FALSE)</f>
        <v>0</v>
      </c>
      <c r="R378" s="31">
        <f>VLOOKUP($B378,'Tillförd energi'!$B$1:$AI$720,MATCH(R$1,'Tillförd energi'!$B$1:$AQ$1,0),FALSE)</f>
        <v>0</v>
      </c>
      <c r="S378" s="31">
        <f>VLOOKUP($B378,'Tillförd energi'!$B$1:$AI$720,MATCH(S$1,'Tillförd energi'!$B$1:$AQ$1,0),FALSE)</f>
        <v>0</v>
      </c>
      <c r="T378" s="31">
        <f>VLOOKUP($B378,'Tillförd energi'!$B$1:$AI$720,MATCH(T$1,'Tillförd energi'!$B$1:$AQ$1,0),FALSE)</f>
        <v>0</v>
      </c>
      <c r="U378" s="31">
        <f>VLOOKUP($B378,'Tillförd energi'!$B$1:$AI$720,MATCH(U$1,'Tillförd energi'!$B$1:$AQ$1,0),FALSE)</f>
        <v>0</v>
      </c>
      <c r="V378" s="31">
        <f>VLOOKUP($B378,'Tillförd energi'!$B$1:$AI$720,MATCH(V$1,'Tillförd energi'!$B$1:$AQ$1,0),FALSE)</f>
        <v>0</v>
      </c>
      <c r="W378" s="31">
        <f>VLOOKUP($B378,'Tillförd energi'!$B$1:$AI$720,MATCH(W$1,'Tillförd energi'!$B$1:$AQ$1,0),FALSE)</f>
        <v>7.6325599999999998</v>
      </c>
      <c r="X378" s="31">
        <f>VLOOKUP($B378,'Tillförd energi'!$B$1:$AI$720,MATCH(X$1,'Tillförd energi'!$B$1:$AQ$1,0),FALSE)</f>
        <v>0</v>
      </c>
      <c r="Y378" s="31">
        <f>VLOOKUP($B378,'Tillförd energi'!$B$1:$AI$720,MATCH(Y$1,'Tillförd energi'!$B$1:$AQ$1,0),FALSE)</f>
        <v>0</v>
      </c>
      <c r="Z378" s="31">
        <f>VLOOKUP($B378,'Tillförd energi'!$B$1:$AI$720,MATCH(Z$1,'Tillförd energi'!$B$1:$AQ$1,0),FALSE)</f>
        <v>1E-3</v>
      </c>
      <c r="AA378" s="31">
        <f>VLOOKUP($B378,'Tillförd energi'!$B$1:$AI$720,MATCH(AA$1,'Tillförd energi'!$B$1:$AQ$1,0),FALSE)</f>
        <v>0</v>
      </c>
      <c r="AB378" s="31">
        <f>VLOOKUP($B378,'Tillförd energi'!$B$1:$AI$720,MATCH(AB$1,'Tillförd energi'!$B$1:$AQ$1,0),FALSE)</f>
        <v>0</v>
      </c>
      <c r="AC378" s="31">
        <f>VLOOKUP($B378,'Tillförd energi'!$B$1:$AI$720,MATCH(AC$1,'Tillförd energi'!$B$1:$AQ$1,0),FALSE)</f>
        <v>17.361000000000001</v>
      </c>
      <c r="AD378" s="31">
        <f>VLOOKUP($B378,'Tillförd energi'!$B$1:$AI$720,MATCH(AD$1,'Tillförd energi'!$B$1:$AQ$1,0),FALSE)</f>
        <v>1.34</v>
      </c>
      <c r="AE378" s="31">
        <f>VLOOKUP($B378,'Tillförd energi'!$B$1:$AI$720,MATCH(AE$1,'Tillförd energi'!$B$1:$AQ$1,0),FALSE)</f>
        <v>0</v>
      </c>
      <c r="AF378" s="31">
        <f>VLOOKUP($B378,'Tillförd energi'!$B$1:$AI$720,MATCH(AF$1,'Tillförd energi'!$B$1:$AQ$1,0),FALSE)</f>
        <v>4.2530000000000001</v>
      </c>
      <c r="AG378" s="31">
        <f>IFERROR(VLOOKUP(B378,Miljö!$B$1:$AC$550,MATCH("Köpt mängd produktionsspecifik fjärrvärme:",Miljö!$B$1:$AC$1,0),FALSE)/1,0)</f>
        <v>0</v>
      </c>
      <c r="AI378" s="31">
        <f t="shared" si="115"/>
        <v>140.72955999999999</v>
      </c>
      <c r="AJ378" s="31">
        <f t="shared" si="116"/>
        <v>140.72955999999999</v>
      </c>
      <c r="AK378" s="31">
        <f>IF(ISERROR(1/VLOOKUP($B378,Leveranser!$B$1:$S$499,MATCH("Såld värme (GWh)",Leveranser!$B$1:$S$1,0),FALSE)),"",VLOOKUP($B378,Leveranser!$B$1:$S$499,MATCH("Såld värme (GWh)",Leveranser!$B$1:$S$1,0),FALSE))</f>
        <v>102.86799999999999</v>
      </c>
      <c r="AL378" s="31">
        <f>VLOOKUP($B378,Leveranser!$B$1:$Y$499,MATCH("Totalt såld fjärrvärme till andra fjärrvärmeföretag",Leveranser!$B$1:$AA$1,0),FALSE)</f>
        <v>0</v>
      </c>
      <c r="AM378" s="31">
        <f>IF(ISERROR(1/VLOOKUP($B378,Miljö!$B$1:$S$500,MATCH("Såld mängd produktionsspecifik fjärrvärme (GWh)",Miljö!$B$1:$R$1,0),FALSE)),0,VLOOKUP($B378,Miljö!$B$1:$S$500,MATCH("Såld mängd produktionsspecifik fjärrvärme (GWh)",Miljö!$B$1:$R$1,0),FALSE))</f>
        <v>0</v>
      </c>
      <c r="AN378" s="32">
        <f t="shared" si="117"/>
        <v>0.73096227970868377</v>
      </c>
      <c r="AP378" s="31" t="str">
        <f>IFERROR(VLOOKUP($B378,Miljövärden!$B$2:$H$550,7,FALSE),"Nej, saknas")</f>
        <v>Ja</v>
      </c>
      <c r="AQ378" s="31" t="str">
        <f>IFERROR(VLOOKUP($B378,Miljövärden!$B$2:$H$551,6,FALSE),"Nej, saknas")</f>
        <v>Ja</v>
      </c>
      <c r="AU378" s="31">
        <f t="shared" si="118"/>
        <v>4.2540000000000004</v>
      </c>
      <c r="AV378" s="31">
        <f t="shared" si="119"/>
        <v>0</v>
      </c>
      <c r="AW378" s="31">
        <f t="shared" si="120"/>
        <v>27.740000000000002</v>
      </c>
      <c r="AX378" s="31">
        <f t="shared" si="121"/>
        <v>0</v>
      </c>
      <c r="AZ378" s="31">
        <f t="shared" si="122"/>
        <v>116.90256000000001</v>
      </c>
      <c r="BC378" s="31">
        <f t="shared" si="123"/>
        <v>0.872</v>
      </c>
      <c r="BD378" s="31">
        <f t="shared" si="124"/>
        <v>0</v>
      </c>
      <c r="BE378" s="31">
        <f t="shared" si="125"/>
        <v>35.37256</v>
      </c>
      <c r="BF378" s="31">
        <f t="shared" si="126"/>
        <v>100.23100000000001</v>
      </c>
      <c r="BG378" s="31">
        <f t="shared" si="127"/>
        <v>4.2540000000000004</v>
      </c>
      <c r="BH378" s="31">
        <f>VLOOKUP(B378,Miljö!$B$1:$BX$482,MATCH("Fossilandel för ursprungspecificerad el ()",Miljö!$B$1:$I$1,0),FALSE)</f>
        <v>0</v>
      </c>
      <c r="BI378" s="31">
        <f>VLOOKUP(B378,Miljö!$B$1:$BX$482,MATCH("Kärnkraftsandel för ursprungsspecificerad el ()",Miljö!$B$1:$O$1,0),FALSE)</f>
        <v>0</v>
      </c>
      <c r="BJ378" s="31">
        <f t="shared" si="128"/>
        <v>0</v>
      </c>
      <c r="BK378" s="31" t="str">
        <f>VLOOKUP(B378,Miljö!$B$1:$P$482,MATCH("Fossil andel i procent (%)",Miljö!$B$1:$P$1,0),FALSE)</f>
        <v>ET</v>
      </c>
      <c r="BL378" s="31">
        <f t="shared" si="129"/>
        <v>140.72955999999999</v>
      </c>
      <c r="BO378" s="32">
        <f t="shared" si="130"/>
        <v>6.1962817193487998E-3</v>
      </c>
      <c r="BP378" s="32">
        <f t="shared" si="131"/>
        <v>0</v>
      </c>
      <c r="BQ378" s="32">
        <f t="shared" si="132"/>
        <v>0.28157950611086968</v>
      </c>
      <c r="BR378" s="32">
        <f t="shared" si="133"/>
        <v>0.7122242121697816</v>
      </c>
      <c r="BT378" s="62">
        <f t="shared" si="134"/>
        <v>1</v>
      </c>
      <c r="BW378" s="32">
        <f>IF(AP378="Ja",VLOOKUP(B378,Miljövärden!$B$2:$H$551,MATCH("Total andel fossilt",Miljövärden!$B$2:$H$2,0),FALSE),"")</f>
        <v>6.1962600000000003E-3</v>
      </c>
      <c r="BX378" s="62">
        <f t="shared" si="135"/>
        <v>-2.1719348799499605E-8</v>
      </c>
      <c r="BZ378" s="31">
        <f t="shared" si="136"/>
        <v>-2.1719348799499605E-8</v>
      </c>
      <c r="CA378" s="32">
        <f t="shared" si="137"/>
        <v>0</v>
      </c>
    </row>
    <row r="379" spans="1:79" x14ac:dyDescent="0.45">
      <c r="A379" s="31" t="s">
        <v>191</v>
      </c>
      <c r="B379" s="31" t="s">
        <v>190</v>
      </c>
      <c r="C379" s="31">
        <f>VLOOKUP($B379,'Tillförd energi'!$B$1:$AI$720,MATCH(C$1,'Tillförd energi'!$B$1:$AQ$1,0),FALSE)</f>
        <v>0</v>
      </c>
      <c r="D379" s="31">
        <f>VLOOKUP($B379,'Tillförd energi'!$B$1:$AI$720,MATCH(D$1,'Tillförd energi'!$B$1:$AQ$1,0),FALSE)</f>
        <v>0</v>
      </c>
      <c r="E379" s="31">
        <f>VLOOKUP($B379,'Tillförd energi'!$B$1:$AI$720,MATCH(E$1,'Tillförd energi'!$B$1:$AQ$1,0),FALSE)</f>
        <v>0</v>
      </c>
      <c r="F379" s="31">
        <f>VLOOKUP($B379,'Tillförd energi'!$B$1:$AI$720,MATCH(F$1,'Tillförd energi'!$B$1:$AQ$1,0),FALSE)</f>
        <v>0</v>
      </c>
      <c r="G379" s="31">
        <f>VLOOKUP($B379,'Tillförd energi'!$B$1:$AI$720,MATCH(G$1,'Tillförd energi'!$B$1:$AQ$1,0),FALSE)</f>
        <v>0</v>
      </c>
      <c r="H379" s="31">
        <f>VLOOKUP($B379,'Tillförd energi'!$B$1:$AI$720,MATCH(H$1,'Tillförd energi'!$B$1:$AQ$1,0),FALSE)</f>
        <v>0</v>
      </c>
      <c r="I379" s="31">
        <f>VLOOKUP($B379,'Tillförd energi'!$B$1:$AI$720,MATCH(I$1,'Tillförd energi'!$B$1:$AQ$1,0),FALSE)</f>
        <v>0</v>
      </c>
      <c r="J379" s="31">
        <f>VLOOKUP($B379,'Tillförd energi'!$B$1:$AI$720,MATCH(J$1,'Tillförd energi'!$B$1:$AQ$1,0),FALSE)</f>
        <v>0</v>
      </c>
      <c r="K379" s="31">
        <f>VLOOKUP($B379,'Tillförd energi'!$B$1:$AI$720,MATCH(K$1,'Tillförd energi'!$B$1:$AQ$1,0),FALSE)</f>
        <v>0</v>
      </c>
      <c r="L379" s="31">
        <f>VLOOKUP($B379,'Tillförd energi'!$B$1:$AI$720,MATCH(L$1,'Tillförd energi'!$B$1:$AQ$1,0),FALSE)</f>
        <v>0</v>
      </c>
      <c r="M379" s="31">
        <f>VLOOKUP($B379,'Tillförd energi'!$B$1:$AI$720,MATCH(M$1,'Tillförd energi'!$B$1:$AQ$1,0),FALSE)</f>
        <v>0</v>
      </c>
      <c r="N379" s="31">
        <f>VLOOKUP($B379,'Tillförd energi'!$B$1:$AI$720,MATCH(N$1,'Tillförd energi'!$B$1:$AQ$1,0),FALSE)</f>
        <v>0</v>
      </c>
      <c r="O379" s="31">
        <f>VLOOKUP($B379,'Tillförd energi'!$B$1:$AI$720,MATCH(O$1,'Tillförd energi'!$B$1:$AQ$1,0),FALSE)</f>
        <v>0</v>
      </c>
      <c r="P379" s="31">
        <f>VLOOKUP($B379,'Tillförd energi'!$B$1:$AI$720,MATCH(P$1,'Tillförd energi'!$B$1:$AQ$1,0),FALSE)</f>
        <v>0</v>
      </c>
      <c r="Q379" s="31">
        <f>VLOOKUP($B379,'Tillförd energi'!$B$1:$AI$720,MATCH(Q$1,'Tillförd energi'!$B$1:$AQ$1,0),FALSE)</f>
        <v>0</v>
      </c>
      <c r="R379" s="31">
        <f>VLOOKUP($B379,'Tillförd energi'!$B$1:$AI$720,MATCH(R$1,'Tillförd energi'!$B$1:$AQ$1,0),FALSE)</f>
        <v>1.27444</v>
      </c>
      <c r="S379" s="31">
        <f>VLOOKUP($B379,'Tillförd energi'!$B$1:$AI$720,MATCH(S$1,'Tillförd energi'!$B$1:$AQ$1,0),FALSE)</f>
        <v>0</v>
      </c>
      <c r="T379" s="31">
        <f>VLOOKUP($B379,'Tillförd energi'!$B$1:$AI$720,MATCH(T$1,'Tillförd energi'!$B$1:$AQ$1,0),FALSE)</f>
        <v>0</v>
      </c>
      <c r="U379" s="31">
        <f>VLOOKUP($B379,'Tillförd energi'!$B$1:$AI$720,MATCH(U$1,'Tillförd energi'!$B$1:$AQ$1,0),FALSE)</f>
        <v>0</v>
      </c>
      <c r="V379" s="31">
        <f>VLOOKUP($B379,'Tillförd energi'!$B$1:$AI$720,MATCH(V$1,'Tillförd energi'!$B$1:$AQ$1,0),FALSE)</f>
        <v>0</v>
      </c>
      <c r="W379" s="31">
        <f>VLOOKUP($B379,'Tillförd energi'!$B$1:$AI$720,MATCH(W$1,'Tillförd energi'!$B$1:$AQ$1,0),FALSE)</f>
        <v>0.42777799999999999</v>
      </c>
      <c r="X379" s="31">
        <f>VLOOKUP($B379,'Tillförd energi'!$B$1:$AI$720,MATCH(X$1,'Tillförd energi'!$B$1:$AQ$1,0),FALSE)</f>
        <v>0</v>
      </c>
      <c r="Y379" s="31">
        <f>VLOOKUP($B379,'Tillförd energi'!$B$1:$AI$720,MATCH(Y$1,'Tillförd energi'!$B$1:$AQ$1,0),FALSE)</f>
        <v>0</v>
      </c>
      <c r="Z379" s="31">
        <f>VLOOKUP($B379,'Tillförd energi'!$B$1:$AI$720,MATCH(Z$1,'Tillförd energi'!$B$1:$AQ$1,0),FALSE)</f>
        <v>0</v>
      </c>
      <c r="AA379" s="31">
        <f>VLOOKUP($B379,'Tillförd energi'!$B$1:$AI$720,MATCH(AA$1,'Tillförd energi'!$B$1:$AQ$1,0),FALSE)</f>
        <v>0</v>
      </c>
      <c r="AB379" s="31">
        <f>VLOOKUP($B379,'Tillförd energi'!$B$1:$AI$720,MATCH(AB$1,'Tillförd energi'!$B$1:$AQ$1,0),FALSE)</f>
        <v>0</v>
      </c>
      <c r="AC379" s="31">
        <f>VLOOKUP($B379,'Tillförd energi'!$B$1:$AI$720,MATCH(AC$1,'Tillförd energi'!$B$1:$AQ$1,0),FALSE)</f>
        <v>0</v>
      </c>
      <c r="AD379" s="31">
        <f>VLOOKUP($B379,'Tillförd energi'!$B$1:$AI$720,MATCH(AD$1,'Tillförd energi'!$B$1:$AQ$1,0),FALSE)</f>
        <v>19.209</v>
      </c>
      <c r="AE379" s="31">
        <f>VLOOKUP($B379,'Tillförd energi'!$B$1:$AI$720,MATCH(AE$1,'Tillförd energi'!$B$1:$AQ$1,0),FALSE)</f>
        <v>0</v>
      </c>
      <c r="AF379" s="31">
        <f>VLOOKUP($B379,'Tillförd energi'!$B$1:$AI$720,MATCH(AF$1,'Tillförd energi'!$B$1:$AQ$1,0),FALSE)</f>
        <v>8.6999999999999994E-2</v>
      </c>
      <c r="AG379" s="31">
        <f>IFERROR(VLOOKUP(B379,Miljö!$B$1:$AC$550,MATCH("Köpt mängd produktionsspecifik fjärrvärme:",Miljö!$B$1:$AC$1,0),FALSE)/1,0)</f>
        <v>0</v>
      </c>
      <c r="AI379" s="31">
        <f t="shared" si="115"/>
        <v>20.998217999999998</v>
      </c>
      <c r="AJ379" s="31">
        <f t="shared" si="116"/>
        <v>20.998217999999998</v>
      </c>
      <c r="AK379" s="31">
        <f>IF(ISERROR(1/VLOOKUP($B379,Leveranser!$B$1:$S$499,MATCH("Såld värme (GWh)",Leveranser!$B$1:$S$1,0),FALSE)),"",VLOOKUP($B379,Leveranser!$B$1:$S$499,MATCH("Såld värme (GWh)",Leveranser!$B$1:$S$1,0),FALSE))</f>
        <v>18.343</v>
      </c>
      <c r="AL379" s="31">
        <f>VLOOKUP($B379,Leveranser!$B$1:$Y$499,MATCH("Totalt såld fjärrvärme till andra fjärrvärmeföretag",Leveranser!$B$1:$AA$1,0),FALSE)</f>
        <v>0</v>
      </c>
      <c r="AM379" s="31">
        <f>IF(ISERROR(1/VLOOKUP($B379,Miljö!$B$1:$S$500,MATCH("Såld mängd produktionsspecifik fjärrvärme (GWh)",Miljö!$B$1:$R$1,0),FALSE)),0,VLOOKUP($B379,Miljö!$B$1:$S$500,MATCH("Såld mängd produktionsspecifik fjärrvärme (GWh)",Miljö!$B$1:$R$1,0),FALSE))</f>
        <v>0</v>
      </c>
      <c r="AN379" s="32">
        <f t="shared" si="117"/>
        <v>0.87355031746027223</v>
      </c>
      <c r="AP379" s="31" t="str">
        <f>IFERROR(VLOOKUP($B379,Miljövärden!$B$2:$H$550,7,FALSE),"Nej, saknas")</f>
        <v>Ja</v>
      </c>
      <c r="AQ379" s="31" t="str">
        <f>IFERROR(VLOOKUP($B379,Miljövärden!$B$2:$H$551,6,FALSE),"Nej, saknas")</f>
        <v>Ja</v>
      </c>
      <c r="AU379" s="31">
        <f t="shared" si="118"/>
        <v>8.6999999999999994E-2</v>
      </c>
      <c r="AV379" s="31">
        <f t="shared" si="119"/>
        <v>0</v>
      </c>
      <c r="AW379" s="31">
        <f t="shared" si="120"/>
        <v>0</v>
      </c>
      <c r="AX379" s="31">
        <f t="shared" si="121"/>
        <v>1.27444</v>
      </c>
      <c r="AZ379" s="31">
        <f t="shared" si="122"/>
        <v>1.702218</v>
      </c>
      <c r="BC379" s="31">
        <f t="shared" si="123"/>
        <v>0</v>
      </c>
      <c r="BD379" s="31">
        <f t="shared" si="124"/>
        <v>0</v>
      </c>
      <c r="BE379" s="31">
        <f t="shared" si="125"/>
        <v>1.702218</v>
      </c>
      <c r="BF379" s="31">
        <f t="shared" si="126"/>
        <v>19.209</v>
      </c>
      <c r="BG379" s="31">
        <f t="shared" si="127"/>
        <v>8.6999999999999994E-2</v>
      </c>
      <c r="BH379" s="31">
        <f>VLOOKUP(B379,Miljö!$B$1:$BX$482,MATCH("Fossilandel för ursprungspecificerad el ()",Miljö!$B$1:$I$1,0),FALSE)</f>
        <v>0.35</v>
      </c>
      <c r="BI379" s="31">
        <f>VLOOKUP(B379,Miljö!$B$1:$BX$482,MATCH("Kärnkraftsandel för ursprungsspecificerad el ()",Miljö!$B$1:$O$1,0),FALSE)</f>
        <v>0.3977</v>
      </c>
      <c r="BJ379" s="31">
        <f t="shared" si="128"/>
        <v>0</v>
      </c>
      <c r="BK379" s="31" t="str">
        <f>VLOOKUP(B379,Miljö!$B$1:$P$482,MATCH("Fossil andel i procent (%)",Miljö!$B$1:$P$1,0),FALSE)</f>
        <v>ET</v>
      </c>
      <c r="BL379" s="31">
        <f t="shared" si="129"/>
        <v>20.998217999999998</v>
      </c>
      <c r="BO379" s="32">
        <f t="shared" si="130"/>
        <v>1.4501230532990941E-3</v>
      </c>
      <c r="BP379" s="32">
        <f t="shared" si="131"/>
        <v>1.6477541094201422E-3</v>
      </c>
      <c r="BQ379" s="32">
        <f t="shared" si="132"/>
        <v>8.2110210495004873E-2</v>
      </c>
      <c r="BR379" s="32">
        <f t="shared" si="133"/>
        <v>0.91479191234227597</v>
      </c>
      <c r="BT379" s="62">
        <f t="shared" si="134"/>
        <v>1</v>
      </c>
      <c r="BW379" s="32">
        <f>IF(AP379="Ja",VLOOKUP(B379,Miljövärden!$B$2:$H$551,MATCH("Total andel fossilt",Miljövärden!$B$2:$H$2,0),FALSE),"")</f>
        <v>1.4501200000000001E-3</v>
      </c>
      <c r="BX379" s="62">
        <f t="shared" si="135"/>
        <v>-3.0532990940267124E-9</v>
      </c>
      <c r="BZ379" s="31">
        <f t="shared" si="136"/>
        <v>-3.0532990940267124E-9</v>
      </c>
      <c r="CA379" s="32">
        <f t="shared" si="137"/>
        <v>0</v>
      </c>
    </row>
    <row r="380" spans="1:79" x14ac:dyDescent="0.45">
      <c r="A380" s="31" t="s">
        <v>187</v>
      </c>
      <c r="B380" s="31" t="s">
        <v>189</v>
      </c>
      <c r="C380" s="31">
        <f>VLOOKUP($B380,'Tillförd energi'!$B$1:$AI$720,MATCH(C$1,'Tillförd energi'!$B$1:$AQ$1,0),FALSE)</f>
        <v>0</v>
      </c>
      <c r="D380" s="31">
        <f>VLOOKUP($B380,'Tillförd energi'!$B$1:$AI$720,MATCH(D$1,'Tillförd energi'!$B$1:$AQ$1,0),FALSE)</f>
        <v>0.38500000000000001</v>
      </c>
      <c r="E380" s="31">
        <f>VLOOKUP($B380,'Tillförd energi'!$B$1:$AI$720,MATCH(E$1,'Tillförd energi'!$B$1:$AQ$1,0),FALSE)</f>
        <v>0</v>
      </c>
      <c r="F380" s="31">
        <f>VLOOKUP($B380,'Tillförd energi'!$B$1:$AI$720,MATCH(F$1,'Tillförd energi'!$B$1:$AQ$1,0),FALSE)</f>
        <v>0</v>
      </c>
      <c r="G380" s="31">
        <f>VLOOKUP($B380,'Tillförd energi'!$B$1:$AI$720,MATCH(G$1,'Tillförd energi'!$B$1:$AQ$1,0),FALSE)</f>
        <v>0</v>
      </c>
      <c r="H380" s="31">
        <f>VLOOKUP($B380,'Tillförd energi'!$B$1:$AI$720,MATCH(H$1,'Tillförd energi'!$B$1:$AQ$1,0),FALSE)</f>
        <v>0</v>
      </c>
      <c r="I380" s="31">
        <f>VLOOKUP($B380,'Tillförd energi'!$B$1:$AI$720,MATCH(I$1,'Tillförd energi'!$B$1:$AQ$1,0),FALSE)</f>
        <v>0</v>
      </c>
      <c r="J380" s="31">
        <f>VLOOKUP($B380,'Tillförd energi'!$B$1:$AI$720,MATCH(J$1,'Tillförd energi'!$B$1:$AQ$1,0),FALSE)</f>
        <v>0</v>
      </c>
      <c r="K380" s="31">
        <f>VLOOKUP($B380,'Tillförd energi'!$B$1:$AI$720,MATCH(K$1,'Tillförd energi'!$B$1:$AQ$1,0),FALSE)</f>
        <v>0</v>
      </c>
      <c r="L380" s="31">
        <f>VLOOKUP($B380,'Tillförd energi'!$B$1:$AI$720,MATCH(L$1,'Tillförd energi'!$B$1:$AQ$1,0),FALSE)</f>
        <v>0</v>
      </c>
      <c r="M380" s="31">
        <f>VLOOKUP($B380,'Tillförd energi'!$B$1:$AI$720,MATCH(M$1,'Tillförd energi'!$B$1:$AQ$1,0),FALSE)</f>
        <v>0</v>
      </c>
      <c r="N380" s="31">
        <f>VLOOKUP($B380,'Tillförd energi'!$B$1:$AI$720,MATCH(N$1,'Tillförd energi'!$B$1:$AQ$1,0),FALSE)</f>
        <v>0</v>
      </c>
      <c r="O380" s="31">
        <f>VLOOKUP($B380,'Tillförd energi'!$B$1:$AI$720,MATCH(O$1,'Tillförd energi'!$B$1:$AQ$1,0),FALSE)</f>
        <v>0</v>
      </c>
      <c r="P380" s="31">
        <f>VLOOKUP($B380,'Tillförd energi'!$B$1:$AI$720,MATCH(P$1,'Tillförd energi'!$B$1:$AQ$1,0),FALSE)</f>
        <v>9.4179999999999993</v>
      </c>
      <c r="Q380" s="31">
        <f>VLOOKUP($B380,'Tillförd energi'!$B$1:$AI$720,MATCH(Q$1,'Tillförd energi'!$B$1:$AQ$1,0),FALSE)</f>
        <v>0</v>
      </c>
      <c r="R380" s="31">
        <f>VLOOKUP($B380,'Tillförd energi'!$B$1:$AI$720,MATCH(R$1,'Tillförd energi'!$B$1:$AQ$1,0),FALSE)</f>
        <v>0</v>
      </c>
      <c r="S380" s="31">
        <f>VLOOKUP($B380,'Tillförd energi'!$B$1:$AI$720,MATCH(S$1,'Tillförd energi'!$B$1:$AQ$1,0),FALSE)</f>
        <v>0</v>
      </c>
      <c r="T380" s="31">
        <f>VLOOKUP($B380,'Tillförd energi'!$B$1:$AI$720,MATCH(T$1,'Tillförd energi'!$B$1:$AQ$1,0),FALSE)</f>
        <v>0</v>
      </c>
      <c r="U380" s="31">
        <f>VLOOKUP($B380,'Tillförd energi'!$B$1:$AI$720,MATCH(U$1,'Tillförd energi'!$B$1:$AQ$1,0),FALSE)</f>
        <v>0</v>
      </c>
      <c r="V380" s="31">
        <f>VLOOKUP($B380,'Tillförd energi'!$B$1:$AI$720,MATCH(V$1,'Tillförd energi'!$B$1:$AQ$1,0),FALSE)</f>
        <v>0</v>
      </c>
      <c r="W380" s="31">
        <f>VLOOKUP($B380,'Tillförd energi'!$B$1:$AI$720,MATCH(W$1,'Tillförd energi'!$B$1:$AQ$1,0),FALSE)</f>
        <v>0</v>
      </c>
      <c r="X380" s="31">
        <f>VLOOKUP($B380,'Tillförd energi'!$B$1:$AI$720,MATCH(X$1,'Tillförd energi'!$B$1:$AQ$1,0),FALSE)</f>
        <v>0</v>
      </c>
      <c r="Y380" s="31">
        <f>VLOOKUP($B380,'Tillförd energi'!$B$1:$AI$720,MATCH(Y$1,'Tillförd energi'!$B$1:$AQ$1,0),FALSE)</f>
        <v>0</v>
      </c>
      <c r="Z380" s="31">
        <f>VLOOKUP($B380,'Tillförd energi'!$B$1:$AI$720,MATCH(Z$1,'Tillförd energi'!$B$1:$AQ$1,0),FALSE)</f>
        <v>0</v>
      </c>
      <c r="AA380" s="31">
        <f>VLOOKUP($B380,'Tillförd energi'!$B$1:$AI$720,MATCH(AA$1,'Tillförd energi'!$B$1:$AQ$1,0),FALSE)</f>
        <v>0</v>
      </c>
      <c r="AB380" s="31">
        <f>VLOOKUP($B380,'Tillförd energi'!$B$1:$AI$720,MATCH(AB$1,'Tillförd energi'!$B$1:$AQ$1,0),FALSE)</f>
        <v>0</v>
      </c>
      <c r="AC380" s="31">
        <f>VLOOKUP($B380,'Tillförd energi'!$B$1:$AI$720,MATCH(AC$1,'Tillförd energi'!$B$1:$AQ$1,0),FALSE)</f>
        <v>0</v>
      </c>
      <c r="AD380" s="31">
        <f>VLOOKUP($B380,'Tillförd energi'!$B$1:$AI$720,MATCH(AD$1,'Tillförd energi'!$B$1:$AQ$1,0),FALSE)</f>
        <v>0</v>
      </c>
      <c r="AE380" s="31">
        <f>VLOOKUP($B380,'Tillförd energi'!$B$1:$AI$720,MATCH(AE$1,'Tillförd energi'!$B$1:$AQ$1,0),FALSE)</f>
        <v>0</v>
      </c>
      <c r="AF380" s="31">
        <f>VLOOKUP($B380,'Tillförd energi'!$B$1:$AI$720,MATCH(AF$1,'Tillförd energi'!$B$1:$AQ$1,0),FALSE)</f>
        <v>0.28699999999999998</v>
      </c>
      <c r="AG380" s="31">
        <f>IFERROR(VLOOKUP(B380,Miljö!$B$1:$AC$550,MATCH("Köpt mängd produktionsspecifik fjärrvärme:",Miljö!$B$1:$AC$1,0),FALSE)/1,0)</f>
        <v>0</v>
      </c>
      <c r="AI380" s="31">
        <f t="shared" si="115"/>
        <v>10.09</v>
      </c>
      <c r="AJ380" s="31">
        <f t="shared" si="116"/>
        <v>10.09</v>
      </c>
      <c r="AK380" s="31">
        <f>IF(ISERROR(1/VLOOKUP($B380,Leveranser!$B$1:$S$499,MATCH("Såld värme (GWh)",Leveranser!$B$1:$S$1,0),FALSE)),"",VLOOKUP($B380,Leveranser!$B$1:$S$499,MATCH("Såld värme (GWh)",Leveranser!$B$1:$S$1,0),FALSE))</f>
        <v>6.2</v>
      </c>
      <c r="AL380" s="31">
        <f>VLOOKUP($B380,Leveranser!$B$1:$Y$499,MATCH("Totalt såld fjärrvärme till andra fjärrvärmeföretag",Leveranser!$B$1:$AA$1,0),FALSE)</f>
        <v>0</v>
      </c>
      <c r="AM380" s="31">
        <f>IF(ISERROR(1/VLOOKUP($B380,Miljö!$B$1:$S$500,MATCH("Såld mängd produktionsspecifik fjärrvärme (GWh)",Miljö!$B$1:$R$1,0),FALSE)),0,VLOOKUP($B380,Miljö!$B$1:$S$500,MATCH("Såld mängd produktionsspecifik fjärrvärme (GWh)",Miljö!$B$1:$R$1,0),FALSE))</f>
        <v>0</v>
      </c>
      <c r="AN380" s="32">
        <f t="shared" si="117"/>
        <v>0.61446977205153619</v>
      </c>
      <c r="AP380" s="31" t="str">
        <f>IFERROR(VLOOKUP($B380,Miljövärden!$B$2:$H$550,7,FALSE),"Nej, saknas")</f>
        <v>Ja</v>
      </c>
      <c r="AQ380" s="31" t="str">
        <f>IFERROR(VLOOKUP($B380,Miljövärden!$B$2:$H$551,6,FALSE),"Nej, saknas")</f>
        <v>Ja</v>
      </c>
      <c r="AU380" s="31">
        <f t="shared" si="118"/>
        <v>0.28699999999999998</v>
      </c>
      <c r="AV380" s="31">
        <f t="shared" si="119"/>
        <v>0</v>
      </c>
      <c r="AW380" s="31">
        <f t="shared" si="120"/>
        <v>9.4179999999999993</v>
      </c>
      <c r="AX380" s="31">
        <f t="shared" si="121"/>
        <v>0</v>
      </c>
      <c r="AZ380" s="31">
        <f t="shared" si="122"/>
        <v>9.4179999999999993</v>
      </c>
      <c r="BC380" s="31">
        <f t="shared" si="123"/>
        <v>0.38500000000000001</v>
      </c>
      <c r="BD380" s="31">
        <f t="shared" si="124"/>
        <v>0</v>
      </c>
      <c r="BE380" s="31">
        <f t="shared" si="125"/>
        <v>9.4179999999999993</v>
      </c>
      <c r="BF380" s="31">
        <f t="shared" si="126"/>
        <v>0</v>
      </c>
      <c r="BG380" s="31">
        <f t="shared" si="127"/>
        <v>0.28699999999999998</v>
      </c>
      <c r="BH380" s="31">
        <f>VLOOKUP(B380,Miljö!$B$1:$BX$482,MATCH("Fossilandel för ursprungspecificerad el ()",Miljö!$B$1:$I$1,0),FALSE)</f>
        <v>0</v>
      </c>
      <c r="BI380" s="31">
        <f>VLOOKUP(B380,Miljö!$B$1:$BX$482,MATCH("Kärnkraftsandel för ursprungsspecificerad el ()",Miljö!$B$1:$O$1,0),FALSE)</f>
        <v>0</v>
      </c>
      <c r="BJ380" s="31">
        <f t="shared" si="128"/>
        <v>0</v>
      </c>
      <c r="BK380" s="31" t="str">
        <f>VLOOKUP(B380,Miljö!$B$1:$P$482,MATCH("Fossil andel i procent (%)",Miljö!$B$1:$P$1,0),FALSE)</f>
        <v>ET</v>
      </c>
      <c r="BL380" s="31">
        <f t="shared" si="129"/>
        <v>10.09</v>
      </c>
      <c r="BO380" s="32">
        <f t="shared" si="130"/>
        <v>3.8156590683845394E-2</v>
      </c>
      <c r="BP380" s="32">
        <f t="shared" si="131"/>
        <v>0</v>
      </c>
      <c r="BQ380" s="32">
        <f t="shared" si="132"/>
        <v>0.96184340931615464</v>
      </c>
      <c r="BR380" s="32">
        <f t="shared" si="133"/>
        <v>0</v>
      </c>
      <c r="BT380" s="62">
        <f t="shared" si="134"/>
        <v>1</v>
      </c>
      <c r="BW380" s="32">
        <f>IF(AP380="Ja",VLOOKUP(B380,Miljövärden!$B$2:$H$551,MATCH("Total andel fossilt",Miljövärden!$B$2:$H$2,0),FALSE),"")</f>
        <v>3.8156599999999999E-2</v>
      </c>
      <c r="BX380" s="62">
        <f t="shared" si="135"/>
        <v>9.3161546046993671E-9</v>
      </c>
      <c r="BZ380" s="31">
        <f t="shared" si="136"/>
        <v>9.3161546046993671E-9</v>
      </c>
      <c r="CA380" s="32">
        <f t="shared" si="137"/>
        <v>0</v>
      </c>
    </row>
    <row r="381" spans="1:79" x14ac:dyDescent="0.45">
      <c r="A381" s="31" t="s">
        <v>187</v>
      </c>
      <c r="B381" s="31" t="s">
        <v>188</v>
      </c>
      <c r="C381" s="31">
        <f>VLOOKUP($B381,'Tillförd energi'!$B$1:$AI$720,MATCH(C$1,'Tillförd energi'!$B$1:$AQ$1,0),FALSE)</f>
        <v>0</v>
      </c>
      <c r="D381" s="31">
        <f>VLOOKUP($B381,'Tillförd energi'!$B$1:$AI$720,MATCH(D$1,'Tillförd energi'!$B$1:$AQ$1,0),FALSE)</f>
        <v>1.927</v>
      </c>
      <c r="E381" s="31">
        <f>VLOOKUP($B381,'Tillförd energi'!$B$1:$AI$720,MATCH(E$1,'Tillförd energi'!$B$1:$AQ$1,0),FALSE)</f>
        <v>0</v>
      </c>
      <c r="F381" s="31">
        <f>VLOOKUP($B381,'Tillförd energi'!$B$1:$AI$720,MATCH(F$1,'Tillförd energi'!$B$1:$AQ$1,0),FALSE)</f>
        <v>0</v>
      </c>
      <c r="G381" s="31">
        <f>VLOOKUP($B381,'Tillförd energi'!$B$1:$AI$720,MATCH(G$1,'Tillförd energi'!$B$1:$AQ$1,0),FALSE)</f>
        <v>0</v>
      </c>
      <c r="H381" s="31">
        <f>VLOOKUP($B381,'Tillförd energi'!$B$1:$AI$720,MATCH(H$1,'Tillförd energi'!$B$1:$AQ$1,0),FALSE)</f>
        <v>0</v>
      </c>
      <c r="I381" s="31">
        <f>VLOOKUP($B381,'Tillförd energi'!$B$1:$AI$720,MATCH(I$1,'Tillförd energi'!$B$1:$AQ$1,0),FALSE)</f>
        <v>0</v>
      </c>
      <c r="J381" s="31">
        <f>VLOOKUP($B381,'Tillförd energi'!$B$1:$AI$720,MATCH(J$1,'Tillförd energi'!$B$1:$AQ$1,0),FALSE)</f>
        <v>0</v>
      </c>
      <c r="K381" s="31">
        <f>VLOOKUP($B381,'Tillförd energi'!$B$1:$AI$720,MATCH(K$1,'Tillförd energi'!$B$1:$AQ$1,0),FALSE)</f>
        <v>0</v>
      </c>
      <c r="L381" s="31">
        <f>VLOOKUP($B381,'Tillförd energi'!$B$1:$AI$720,MATCH(L$1,'Tillförd energi'!$B$1:$AQ$1,0),FALSE)</f>
        <v>0</v>
      </c>
      <c r="M381" s="31">
        <f>VLOOKUP($B381,'Tillförd energi'!$B$1:$AI$720,MATCH(M$1,'Tillförd energi'!$B$1:$AQ$1,0),FALSE)</f>
        <v>0</v>
      </c>
      <c r="N381" s="31">
        <f>VLOOKUP($B381,'Tillförd energi'!$B$1:$AI$720,MATCH(N$1,'Tillförd energi'!$B$1:$AQ$1,0),FALSE)</f>
        <v>18.289000000000001</v>
      </c>
      <c r="O381" s="31">
        <f>VLOOKUP($B381,'Tillförd energi'!$B$1:$AI$720,MATCH(O$1,'Tillförd energi'!$B$1:$AQ$1,0),FALSE)</f>
        <v>0</v>
      </c>
      <c r="P381" s="31">
        <f>VLOOKUP($B381,'Tillförd energi'!$B$1:$AI$720,MATCH(P$1,'Tillförd energi'!$B$1:$AQ$1,0),FALSE)</f>
        <v>15.699</v>
      </c>
      <c r="Q381" s="31">
        <f>VLOOKUP($B381,'Tillförd energi'!$B$1:$AI$720,MATCH(Q$1,'Tillförd energi'!$B$1:$AQ$1,0),FALSE)</f>
        <v>0</v>
      </c>
      <c r="R381" s="31">
        <f>VLOOKUP($B381,'Tillförd energi'!$B$1:$AI$720,MATCH(R$1,'Tillförd energi'!$B$1:$AQ$1,0),FALSE)</f>
        <v>0</v>
      </c>
      <c r="S381" s="31">
        <f>VLOOKUP($B381,'Tillförd energi'!$B$1:$AI$720,MATCH(S$1,'Tillförd energi'!$B$1:$AQ$1,0),FALSE)</f>
        <v>0</v>
      </c>
      <c r="T381" s="31">
        <f>VLOOKUP($B381,'Tillförd energi'!$B$1:$AI$720,MATCH(T$1,'Tillförd energi'!$B$1:$AQ$1,0),FALSE)</f>
        <v>0</v>
      </c>
      <c r="U381" s="31">
        <f>VLOOKUP($B381,'Tillförd energi'!$B$1:$AI$720,MATCH(U$1,'Tillförd energi'!$B$1:$AQ$1,0),FALSE)</f>
        <v>0</v>
      </c>
      <c r="V381" s="31">
        <f>VLOOKUP($B381,'Tillförd energi'!$B$1:$AI$720,MATCH(V$1,'Tillförd energi'!$B$1:$AQ$1,0),FALSE)</f>
        <v>0</v>
      </c>
      <c r="W381" s="31">
        <f>VLOOKUP($B381,'Tillförd energi'!$B$1:$AI$720,MATCH(W$1,'Tillförd energi'!$B$1:$AQ$1,0),FALSE)</f>
        <v>0</v>
      </c>
      <c r="X381" s="31">
        <f>VLOOKUP($B381,'Tillförd energi'!$B$1:$AI$720,MATCH(X$1,'Tillförd energi'!$B$1:$AQ$1,0),FALSE)</f>
        <v>0</v>
      </c>
      <c r="Y381" s="31">
        <f>VLOOKUP($B381,'Tillförd energi'!$B$1:$AI$720,MATCH(Y$1,'Tillförd energi'!$B$1:$AQ$1,0),FALSE)</f>
        <v>0</v>
      </c>
      <c r="Z381" s="31">
        <f>VLOOKUP($B381,'Tillförd energi'!$B$1:$AI$720,MATCH(Z$1,'Tillförd energi'!$B$1:$AQ$1,0),FALSE)</f>
        <v>0</v>
      </c>
      <c r="AA381" s="31">
        <f>VLOOKUP($B381,'Tillförd energi'!$B$1:$AI$720,MATCH(AA$1,'Tillförd energi'!$B$1:$AQ$1,0),FALSE)</f>
        <v>0</v>
      </c>
      <c r="AB381" s="31">
        <f>VLOOKUP($B381,'Tillförd energi'!$B$1:$AI$720,MATCH(AB$1,'Tillförd energi'!$B$1:$AQ$1,0),FALSE)</f>
        <v>0</v>
      </c>
      <c r="AC381" s="31">
        <f>VLOOKUP($B381,'Tillförd energi'!$B$1:$AI$720,MATCH(AC$1,'Tillförd energi'!$B$1:$AQ$1,0),FALSE)</f>
        <v>0</v>
      </c>
      <c r="AD381" s="31">
        <f>VLOOKUP($B381,'Tillförd energi'!$B$1:$AI$720,MATCH(AD$1,'Tillförd energi'!$B$1:$AQ$1,0),FALSE)</f>
        <v>0</v>
      </c>
      <c r="AE381" s="31">
        <f>VLOOKUP($B381,'Tillförd energi'!$B$1:$AI$720,MATCH(AE$1,'Tillförd energi'!$B$1:$AQ$1,0),FALSE)</f>
        <v>0</v>
      </c>
      <c r="AF381" s="31">
        <f>VLOOKUP($B381,'Tillförd energi'!$B$1:$AI$720,MATCH(AF$1,'Tillförd energi'!$B$1:$AQ$1,0),FALSE)</f>
        <v>0.82599999999999996</v>
      </c>
      <c r="AG381" s="31">
        <f>IFERROR(VLOOKUP(B381,Miljö!$B$1:$AC$550,MATCH("Köpt mängd produktionsspecifik fjärrvärme:",Miljö!$B$1:$AC$1,0),FALSE)/1,0)</f>
        <v>0</v>
      </c>
      <c r="AI381" s="31">
        <f t="shared" si="115"/>
        <v>36.741</v>
      </c>
      <c r="AJ381" s="31">
        <f t="shared" si="116"/>
        <v>36.741</v>
      </c>
      <c r="AK381" s="31">
        <f>IF(ISERROR(1/VLOOKUP($B381,Leveranser!$B$1:$S$499,MATCH("Såld värme (GWh)",Leveranser!$B$1:$S$1,0),FALSE)),"",VLOOKUP($B381,Leveranser!$B$1:$S$499,MATCH("Såld värme (GWh)",Leveranser!$B$1:$S$1,0),FALSE))</f>
        <v>23.6</v>
      </c>
      <c r="AL381" s="31">
        <f>VLOOKUP($B381,Leveranser!$B$1:$Y$499,MATCH("Totalt såld fjärrvärme till andra fjärrvärmeföretag",Leveranser!$B$1:$AA$1,0),FALSE)</f>
        <v>0</v>
      </c>
      <c r="AM381" s="31">
        <f>IF(ISERROR(1/VLOOKUP($B381,Miljö!$B$1:$S$500,MATCH("Såld mängd produktionsspecifik fjärrvärme (GWh)",Miljö!$B$1:$R$1,0),FALSE)),0,VLOOKUP($B381,Miljö!$B$1:$S$500,MATCH("Såld mängd produktionsspecifik fjärrvärme (GWh)",Miljö!$B$1:$R$1,0),FALSE))</f>
        <v>0</v>
      </c>
      <c r="AN381" s="32">
        <f t="shared" si="117"/>
        <v>0.6423341770773795</v>
      </c>
      <c r="AP381" s="31" t="str">
        <f>IFERROR(VLOOKUP($B381,Miljövärden!$B$2:$H$550,7,FALSE),"Nej, saknas")</f>
        <v>Ja</v>
      </c>
      <c r="AQ381" s="31" t="str">
        <f>IFERROR(VLOOKUP($B381,Miljövärden!$B$2:$H$551,6,FALSE),"Nej, saknas")</f>
        <v>Ja</v>
      </c>
      <c r="AU381" s="31">
        <f t="shared" si="118"/>
        <v>0.82599999999999996</v>
      </c>
      <c r="AV381" s="31">
        <f t="shared" si="119"/>
        <v>0</v>
      </c>
      <c r="AW381" s="31">
        <f t="shared" si="120"/>
        <v>33.988</v>
      </c>
      <c r="AX381" s="31">
        <f t="shared" si="121"/>
        <v>0</v>
      </c>
      <c r="AZ381" s="31">
        <f t="shared" si="122"/>
        <v>33.988</v>
      </c>
      <c r="BC381" s="31">
        <f t="shared" si="123"/>
        <v>1.927</v>
      </c>
      <c r="BD381" s="31">
        <f t="shared" si="124"/>
        <v>0</v>
      </c>
      <c r="BE381" s="31">
        <f t="shared" si="125"/>
        <v>33.988</v>
      </c>
      <c r="BF381" s="31">
        <f t="shared" si="126"/>
        <v>0</v>
      </c>
      <c r="BG381" s="31">
        <f t="shared" si="127"/>
        <v>0.82599999999999996</v>
      </c>
      <c r="BH381" s="31">
        <f>VLOOKUP(B381,Miljö!$B$1:$BX$482,MATCH("Fossilandel för ursprungspecificerad el ()",Miljö!$B$1:$I$1,0),FALSE)</f>
        <v>0</v>
      </c>
      <c r="BI381" s="31">
        <f>VLOOKUP(B381,Miljö!$B$1:$BX$482,MATCH("Kärnkraftsandel för ursprungsspecificerad el ()",Miljö!$B$1:$O$1,0),FALSE)</f>
        <v>0</v>
      </c>
      <c r="BJ381" s="31">
        <f t="shared" si="128"/>
        <v>0</v>
      </c>
      <c r="BK381" s="31" t="str">
        <f>VLOOKUP(B381,Miljö!$B$1:$P$482,MATCH("Fossil andel i procent (%)",Miljö!$B$1:$P$1,0),FALSE)</f>
        <v>ET</v>
      </c>
      <c r="BL381" s="31">
        <f t="shared" si="129"/>
        <v>36.741</v>
      </c>
      <c r="BO381" s="32">
        <f t="shared" si="130"/>
        <v>5.2448218611360606E-2</v>
      </c>
      <c r="BP381" s="32">
        <f t="shared" si="131"/>
        <v>0</v>
      </c>
      <c r="BQ381" s="32">
        <f t="shared" si="132"/>
        <v>0.94755178138863938</v>
      </c>
      <c r="BR381" s="32">
        <f t="shared" si="133"/>
        <v>0</v>
      </c>
      <c r="BT381" s="62">
        <f t="shared" si="134"/>
        <v>1</v>
      </c>
      <c r="BW381" s="32">
        <f>IF(AP381="Ja",VLOOKUP(B381,Miljövärden!$B$2:$H$551,MATCH("Total andel fossilt",Miljövärden!$B$2:$H$2,0),FALSE),"")</f>
        <v>5.24482E-2</v>
      </c>
      <c r="BX381" s="62">
        <f t="shared" si="135"/>
        <v>-1.8611360605436111E-8</v>
      </c>
      <c r="BZ381" s="31">
        <f t="shared" si="136"/>
        <v>-1.8611360605436111E-8</v>
      </c>
      <c r="CA381" s="32">
        <f t="shared" si="137"/>
        <v>0</v>
      </c>
    </row>
    <row r="382" spans="1:79" x14ac:dyDescent="0.45">
      <c r="A382" s="31" t="s">
        <v>187</v>
      </c>
      <c r="B382" s="31" t="s">
        <v>186</v>
      </c>
      <c r="C382" s="31">
        <f>VLOOKUP($B382,'Tillförd energi'!$B$1:$AI$720,MATCH(C$1,'Tillförd energi'!$B$1:$AQ$1,0),FALSE)</f>
        <v>0</v>
      </c>
      <c r="D382" s="31">
        <f>VLOOKUP($B382,'Tillförd energi'!$B$1:$AI$720,MATCH(D$1,'Tillförd energi'!$B$1:$AQ$1,0),FALSE)</f>
        <v>4.1500000000000004</v>
      </c>
      <c r="E382" s="31">
        <f>VLOOKUP($B382,'Tillförd energi'!$B$1:$AI$720,MATCH(E$1,'Tillförd energi'!$B$1:$AQ$1,0),FALSE)</f>
        <v>0</v>
      </c>
      <c r="F382" s="31">
        <f>VLOOKUP($B382,'Tillförd energi'!$B$1:$AI$720,MATCH(F$1,'Tillförd energi'!$B$1:$AQ$1,0),FALSE)</f>
        <v>0</v>
      </c>
      <c r="G382" s="31">
        <f>VLOOKUP($B382,'Tillförd energi'!$B$1:$AI$720,MATCH(G$1,'Tillförd energi'!$B$1:$AQ$1,0),FALSE)</f>
        <v>0</v>
      </c>
      <c r="H382" s="31">
        <f>VLOOKUP($B382,'Tillförd energi'!$B$1:$AI$720,MATCH(H$1,'Tillförd energi'!$B$1:$AQ$1,0),FALSE)</f>
        <v>0</v>
      </c>
      <c r="I382" s="31">
        <f>VLOOKUP($B382,'Tillförd energi'!$B$1:$AI$720,MATCH(I$1,'Tillförd energi'!$B$1:$AQ$1,0),FALSE)</f>
        <v>156.16999999999999</v>
      </c>
      <c r="J382" s="31">
        <f>VLOOKUP($B382,'Tillförd energi'!$B$1:$AI$720,MATCH(J$1,'Tillförd energi'!$B$1:$AQ$1,0),FALSE)</f>
        <v>0</v>
      </c>
      <c r="K382" s="31">
        <f>VLOOKUP($B382,'Tillförd energi'!$B$1:$AI$720,MATCH(K$1,'Tillförd energi'!$B$1:$AQ$1,0),FALSE)</f>
        <v>0</v>
      </c>
      <c r="L382" s="31">
        <f>VLOOKUP($B382,'Tillförd energi'!$B$1:$AI$720,MATCH(L$1,'Tillförd energi'!$B$1:$AQ$1,0),FALSE)</f>
        <v>0</v>
      </c>
      <c r="M382" s="31">
        <f>VLOOKUP($B382,'Tillförd energi'!$B$1:$AI$720,MATCH(M$1,'Tillförd energi'!$B$1:$AQ$1,0),FALSE)</f>
        <v>0</v>
      </c>
      <c r="N382" s="31">
        <f>VLOOKUP($B382,'Tillförd energi'!$B$1:$AI$720,MATCH(N$1,'Tillförd energi'!$B$1:$AQ$1,0),FALSE)</f>
        <v>16.004999999999999</v>
      </c>
      <c r="O382" s="31">
        <f>VLOOKUP($B382,'Tillförd energi'!$B$1:$AI$720,MATCH(O$1,'Tillförd energi'!$B$1:$AQ$1,0),FALSE)</f>
        <v>0</v>
      </c>
      <c r="P382" s="31">
        <f>VLOOKUP($B382,'Tillförd energi'!$B$1:$AI$720,MATCH(P$1,'Tillförd energi'!$B$1:$AQ$1,0),FALSE)</f>
        <v>8.99</v>
      </c>
      <c r="Q382" s="31">
        <f>VLOOKUP($B382,'Tillförd energi'!$B$1:$AI$720,MATCH(Q$1,'Tillförd energi'!$B$1:$AQ$1,0),FALSE)</f>
        <v>0</v>
      </c>
      <c r="R382" s="31">
        <f>VLOOKUP($B382,'Tillförd energi'!$B$1:$AI$720,MATCH(R$1,'Tillförd energi'!$B$1:$AQ$1,0),FALSE)</f>
        <v>0</v>
      </c>
      <c r="S382" s="31">
        <f>VLOOKUP($B382,'Tillförd energi'!$B$1:$AI$720,MATCH(S$1,'Tillförd energi'!$B$1:$AQ$1,0),FALSE)</f>
        <v>0</v>
      </c>
      <c r="T382" s="31">
        <f>VLOOKUP($B382,'Tillförd energi'!$B$1:$AI$720,MATCH(T$1,'Tillförd energi'!$B$1:$AQ$1,0),FALSE)</f>
        <v>0</v>
      </c>
      <c r="U382" s="31">
        <f>VLOOKUP($B382,'Tillförd energi'!$B$1:$AI$720,MATCH(U$1,'Tillförd energi'!$B$1:$AQ$1,0),FALSE)</f>
        <v>0</v>
      </c>
      <c r="V382" s="31">
        <f>VLOOKUP($B382,'Tillförd energi'!$B$1:$AI$720,MATCH(V$1,'Tillförd energi'!$B$1:$AQ$1,0),FALSE)</f>
        <v>0</v>
      </c>
      <c r="W382" s="31">
        <f>VLOOKUP($B382,'Tillförd energi'!$B$1:$AI$720,MATCH(W$1,'Tillförd energi'!$B$1:$AQ$1,0),FALSE)</f>
        <v>0</v>
      </c>
      <c r="X382" s="31">
        <f>VLOOKUP($B382,'Tillförd energi'!$B$1:$AI$720,MATCH(X$1,'Tillförd energi'!$B$1:$AQ$1,0),FALSE)</f>
        <v>0</v>
      </c>
      <c r="Y382" s="31">
        <f>VLOOKUP($B382,'Tillförd energi'!$B$1:$AI$720,MATCH(Y$1,'Tillförd energi'!$B$1:$AQ$1,0),FALSE)</f>
        <v>0</v>
      </c>
      <c r="Z382" s="31">
        <f>VLOOKUP($B382,'Tillförd energi'!$B$1:$AI$720,MATCH(Z$1,'Tillförd energi'!$B$1:$AQ$1,0),FALSE)</f>
        <v>0</v>
      </c>
      <c r="AA382" s="31">
        <f>VLOOKUP($B382,'Tillförd energi'!$B$1:$AI$720,MATCH(AA$1,'Tillförd energi'!$B$1:$AQ$1,0),FALSE)</f>
        <v>0</v>
      </c>
      <c r="AB382" s="31">
        <f>VLOOKUP($B382,'Tillförd energi'!$B$1:$AI$720,MATCH(AB$1,'Tillförd energi'!$B$1:$AQ$1,0),FALSE)</f>
        <v>0</v>
      </c>
      <c r="AC382" s="31">
        <f>VLOOKUP($B382,'Tillförd energi'!$B$1:$AI$720,MATCH(AC$1,'Tillförd energi'!$B$1:$AQ$1,0),FALSE)</f>
        <v>14.048</v>
      </c>
      <c r="AD382" s="31">
        <f>VLOOKUP($B382,'Tillförd energi'!$B$1:$AI$720,MATCH(AD$1,'Tillförd energi'!$B$1:$AQ$1,0),FALSE)</f>
        <v>0</v>
      </c>
      <c r="AE382" s="31">
        <f>VLOOKUP($B382,'Tillförd energi'!$B$1:$AI$720,MATCH(AE$1,'Tillförd energi'!$B$1:$AQ$1,0),FALSE)</f>
        <v>0</v>
      </c>
      <c r="AF382" s="31">
        <f>VLOOKUP($B382,'Tillförd energi'!$B$1:$AI$720,MATCH(AF$1,'Tillförd energi'!$B$1:$AQ$1,0),FALSE)</f>
        <v>9.4573199999999993</v>
      </c>
      <c r="AG382" s="31">
        <f>IFERROR(VLOOKUP(B382,Miljö!$B$1:$AC$550,MATCH("Köpt mängd produktionsspecifik fjärrvärme:",Miljö!$B$1:$AC$1,0),FALSE)/1,0)</f>
        <v>0</v>
      </c>
      <c r="AI382" s="31">
        <f t="shared" si="115"/>
        <v>208.82032000000001</v>
      </c>
      <c r="AJ382" s="31">
        <f t="shared" si="116"/>
        <v>208.82032000000001</v>
      </c>
      <c r="AK382" s="31">
        <f>IF(ISERROR(1/VLOOKUP($B382,Leveranser!$B$1:$S$499,MATCH("Såld värme (GWh)",Leveranser!$B$1:$S$1,0),FALSE)),"",VLOOKUP($B382,Leveranser!$B$1:$S$499,MATCH("Såld värme (GWh)",Leveranser!$B$1:$S$1,0),FALSE))</f>
        <v>170.3</v>
      </c>
      <c r="AL382" s="31">
        <f>VLOOKUP($B382,Leveranser!$B$1:$Y$499,MATCH("Totalt såld fjärrvärme till andra fjärrvärmeföretag",Leveranser!$B$1:$AA$1,0),FALSE)</f>
        <v>0</v>
      </c>
      <c r="AM382" s="31">
        <f>IF(ISERROR(1/VLOOKUP($B382,Miljö!$B$1:$S$500,MATCH("Såld mängd produktionsspecifik fjärrvärme (GWh)",Miljö!$B$1:$R$1,0),FALSE)),0,VLOOKUP($B382,Miljö!$B$1:$S$500,MATCH("Såld mängd produktionsspecifik fjärrvärme (GWh)",Miljö!$B$1:$R$1,0),FALSE))</f>
        <v>0</v>
      </c>
      <c r="AN382" s="32">
        <f t="shared" si="117"/>
        <v>0.81553366070888123</v>
      </c>
      <c r="AP382" s="31" t="str">
        <f>IFERROR(VLOOKUP($B382,Miljövärden!$B$2:$H$550,7,FALSE),"Nej, saknas")</f>
        <v>Ja</v>
      </c>
      <c r="AQ382" s="31" t="str">
        <f>IFERROR(VLOOKUP($B382,Miljövärden!$B$2:$H$551,6,FALSE),"Nej, saknas")</f>
        <v>Ja</v>
      </c>
      <c r="AU382" s="31">
        <f t="shared" si="118"/>
        <v>9.4573199999999993</v>
      </c>
      <c r="AV382" s="31">
        <f t="shared" si="119"/>
        <v>0</v>
      </c>
      <c r="AW382" s="31">
        <f t="shared" si="120"/>
        <v>24.994999999999997</v>
      </c>
      <c r="AX382" s="31">
        <f t="shared" si="121"/>
        <v>0</v>
      </c>
      <c r="AZ382" s="31">
        <f t="shared" si="122"/>
        <v>24.994999999999997</v>
      </c>
      <c r="BC382" s="31">
        <f t="shared" si="123"/>
        <v>4.1500000000000004</v>
      </c>
      <c r="BD382" s="31">
        <f t="shared" si="124"/>
        <v>0</v>
      </c>
      <c r="BE382" s="31">
        <f t="shared" si="125"/>
        <v>24.994999999999997</v>
      </c>
      <c r="BF382" s="31">
        <f t="shared" si="126"/>
        <v>170.21799999999999</v>
      </c>
      <c r="BG382" s="31">
        <f t="shared" si="127"/>
        <v>9.4573199999999993</v>
      </c>
      <c r="BH382" s="31">
        <f>VLOOKUP(B382,Miljö!$B$1:$BX$482,MATCH("Fossilandel för ursprungspecificerad el ()",Miljö!$B$1:$I$1,0),FALSE)</f>
        <v>0</v>
      </c>
      <c r="BI382" s="31">
        <f>VLOOKUP(B382,Miljö!$B$1:$BX$482,MATCH("Kärnkraftsandel för ursprungsspecificerad el ()",Miljö!$B$1:$O$1,0),FALSE)</f>
        <v>0</v>
      </c>
      <c r="BJ382" s="31">
        <f t="shared" si="128"/>
        <v>0</v>
      </c>
      <c r="BK382" s="31" t="str">
        <f>VLOOKUP(B382,Miljö!$B$1:$P$482,MATCH("Fossil andel i procent (%)",Miljö!$B$1:$P$1,0),FALSE)</f>
        <v>ET</v>
      </c>
      <c r="BL382" s="31">
        <f t="shared" si="129"/>
        <v>208.82032000000001</v>
      </c>
      <c r="BO382" s="32">
        <f t="shared" si="130"/>
        <v>1.9873544873410788E-2</v>
      </c>
      <c r="BP382" s="32">
        <f t="shared" si="131"/>
        <v>0</v>
      </c>
      <c r="BQ382" s="32">
        <f t="shared" si="132"/>
        <v>0.16498547650918263</v>
      </c>
      <c r="BR382" s="32">
        <f t="shared" si="133"/>
        <v>0.81514097861740653</v>
      </c>
      <c r="BT382" s="62">
        <f t="shared" si="134"/>
        <v>1</v>
      </c>
      <c r="BW382" s="32">
        <f>IF(AP382="Ja",VLOOKUP(B382,Miljövärden!$B$2:$H$551,MATCH("Total andel fossilt",Miljövärden!$B$2:$H$2,0),FALSE),"")</f>
        <v>1.9873600000000002E-2</v>
      </c>
      <c r="BX382" s="62">
        <f t="shared" si="135"/>
        <v>5.5126589213611021E-8</v>
      </c>
      <c r="BZ382" s="31">
        <f t="shared" si="136"/>
        <v>5.5126589213611021E-8</v>
      </c>
      <c r="CA382" s="32">
        <f t="shared" si="137"/>
        <v>0</v>
      </c>
    </row>
    <row r="383" spans="1:79" hidden="1" x14ac:dyDescent="0.45">
      <c r="A383" s="31" t="s">
        <v>182</v>
      </c>
      <c r="B383" s="31" t="s">
        <v>184</v>
      </c>
      <c r="C383" s="31">
        <f>VLOOKUP($B383,'Tillförd energi'!$B$1:$AI$720,MATCH(C$1,'Tillförd energi'!$B$1:$AQ$1,0),FALSE)</f>
        <v>0</v>
      </c>
      <c r="D383" s="31">
        <f>VLOOKUP($B383,'Tillförd energi'!$B$1:$AI$720,MATCH(D$1,'Tillförd energi'!$B$1:$AQ$1,0),FALSE)</f>
        <v>0</v>
      </c>
      <c r="E383" s="31">
        <f>VLOOKUP($B383,'Tillförd energi'!$B$1:$AI$720,MATCH(E$1,'Tillförd energi'!$B$1:$AQ$1,0),FALSE)</f>
        <v>0</v>
      </c>
      <c r="F383" s="31">
        <f>VLOOKUP($B383,'Tillförd energi'!$B$1:$AI$720,MATCH(F$1,'Tillförd energi'!$B$1:$AQ$1,0),FALSE)</f>
        <v>0</v>
      </c>
      <c r="G383" s="31">
        <f>VLOOKUP($B383,'Tillförd energi'!$B$1:$AI$720,MATCH(G$1,'Tillförd energi'!$B$1:$AQ$1,0),FALSE)</f>
        <v>0</v>
      </c>
      <c r="H383" s="31">
        <f>VLOOKUP($B383,'Tillförd energi'!$B$1:$AI$720,MATCH(H$1,'Tillförd energi'!$B$1:$AQ$1,0),FALSE)</f>
        <v>0</v>
      </c>
      <c r="I383" s="31">
        <f>VLOOKUP($B383,'Tillförd energi'!$B$1:$AI$720,MATCH(I$1,'Tillförd energi'!$B$1:$AQ$1,0),FALSE)</f>
        <v>0</v>
      </c>
      <c r="J383" s="31">
        <f>VLOOKUP($B383,'Tillförd energi'!$B$1:$AI$720,MATCH(J$1,'Tillförd energi'!$B$1:$AQ$1,0),FALSE)</f>
        <v>0</v>
      </c>
      <c r="K383" s="31">
        <f>VLOOKUP($B383,'Tillförd energi'!$B$1:$AI$720,MATCH(K$1,'Tillförd energi'!$B$1:$AQ$1,0),FALSE)</f>
        <v>0</v>
      </c>
      <c r="L383" s="31">
        <f>VLOOKUP($B383,'Tillförd energi'!$B$1:$AI$720,MATCH(L$1,'Tillförd energi'!$B$1:$AQ$1,0),FALSE)</f>
        <v>0</v>
      </c>
      <c r="M383" s="31">
        <f>VLOOKUP($B383,'Tillförd energi'!$B$1:$AI$720,MATCH(M$1,'Tillförd energi'!$B$1:$AQ$1,0),FALSE)</f>
        <v>0</v>
      </c>
      <c r="N383" s="31">
        <f>VLOOKUP($B383,'Tillförd energi'!$B$1:$AI$720,MATCH(N$1,'Tillförd energi'!$B$1:$AQ$1,0),FALSE)</f>
        <v>0</v>
      </c>
      <c r="O383" s="31">
        <f>VLOOKUP($B383,'Tillförd energi'!$B$1:$AI$720,MATCH(O$1,'Tillförd energi'!$B$1:$AQ$1,0),FALSE)</f>
        <v>0</v>
      </c>
      <c r="P383" s="31">
        <f>VLOOKUP($B383,'Tillförd energi'!$B$1:$AI$720,MATCH(P$1,'Tillförd energi'!$B$1:$AQ$1,0),FALSE)</f>
        <v>0</v>
      </c>
      <c r="Q383" s="31">
        <f>VLOOKUP($B383,'Tillförd energi'!$B$1:$AI$720,MATCH(Q$1,'Tillförd energi'!$B$1:$AQ$1,0),FALSE)</f>
        <v>0</v>
      </c>
      <c r="R383" s="31">
        <f>VLOOKUP($B383,'Tillförd energi'!$B$1:$AI$720,MATCH(R$1,'Tillförd energi'!$B$1:$AQ$1,0),FALSE)</f>
        <v>0</v>
      </c>
      <c r="S383" s="31">
        <f>VLOOKUP($B383,'Tillförd energi'!$B$1:$AI$720,MATCH(S$1,'Tillförd energi'!$B$1:$AQ$1,0),FALSE)</f>
        <v>0</v>
      </c>
      <c r="T383" s="31">
        <f>VLOOKUP($B383,'Tillförd energi'!$B$1:$AI$720,MATCH(T$1,'Tillförd energi'!$B$1:$AQ$1,0),FALSE)</f>
        <v>0</v>
      </c>
      <c r="U383" s="31">
        <f>VLOOKUP($B383,'Tillförd energi'!$B$1:$AI$720,MATCH(U$1,'Tillförd energi'!$B$1:$AQ$1,0),FALSE)</f>
        <v>0</v>
      </c>
      <c r="V383" s="31">
        <f>VLOOKUP($B383,'Tillförd energi'!$B$1:$AI$720,MATCH(V$1,'Tillförd energi'!$B$1:$AQ$1,0),FALSE)</f>
        <v>0</v>
      </c>
      <c r="W383" s="31">
        <f>VLOOKUP($B383,'Tillförd energi'!$B$1:$AI$720,MATCH(W$1,'Tillförd energi'!$B$1:$AQ$1,0),FALSE)</f>
        <v>0</v>
      </c>
      <c r="X383" s="31">
        <f>VLOOKUP($B383,'Tillförd energi'!$B$1:$AI$720,MATCH(X$1,'Tillförd energi'!$B$1:$AQ$1,0),FALSE)</f>
        <v>0</v>
      </c>
      <c r="Y383" s="31">
        <f>VLOOKUP($B383,'Tillförd energi'!$B$1:$AI$720,MATCH(Y$1,'Tillförd energi'!$B$1:$AQ$1,0),FALSE)</f>
        <v>0</v>
      </c>
      <c r="Z383" s="31">
        <f>VLOOKUP($B383,'Tillförd energi'!$B$1:$AI$720,MATCH(Z$1,'Tillförd energi'!$B$1:$AQ$1,0),FALSE)</f>
        <v>0</v>
      </c>
      <c r="AA383" s="31">
        <f>VLOOKUP($B383,'Tillförd energi'!$B$1:$AI$720,MATCH(AA$1,'Tillförd energi'!$B$1:$AQ$1,0),FALSE)</f>
        <v>0</v>
      </c>
      <c r="AB383" s="31">
        <f>VLOOKUP($B383,'Tillförd energi'!$B$1:$AI$720,MATCH(AB$1,'Tillförd energi'!$B$1:$AQ$1,0),FALSE)</f>
        <v>0</v>
      </c>
      <c r="AC383" s="31">
        <f>VLOOKUP($B383,'Tillförd energi'!$B$1:$AI$720,MATCH(AC$1,'Tillförd energi'!$B$1:$AQ$1,0),FALSE)</f>
        <v>0</v>
      </c>
      <c r="AD383" s="31">
        <f>VLOOKUP($B383,'Tillförd energi'!$B$1:$AI$720,MATCH(AD$1,'Tillförd energi'!$B$1:$AQ$1,0),FALSE)</f>
        <v>0</v>
      </c>
      <c r="AE383" s="31">
        <f>VLOOKUP($B383,'Tillförd energi'!$B$1:$AI$720,MATCH(AE$1,'Tillförd energi'!$B$1:$AQ$1,0),FALSE)</f>
        <v>0</v>
      </c>
      <c r="AF383" s="31">
        <f>VLOOKUP($B383,'Tillförd energi'!$B$1:$AI$720,MATCH(AF$1,'Tillförd energi'!$B$1:$AQ$1,0),FALSE)</f>
        <v>0</v>
      </c>
      <c r="AG383" s="31">
        <f>IFERROR(VLOOKUP(B383,Miljö!$B$1:$AC$550,MATCH("Köpt mängd produktionsspecifik fjärrvärme:",Miljö!$B$1:$AC$1,0),FALSE)/1,0)</f>
        <v>0</v>
      </c>
      <c r="AI383" s="31">
        <f t="shared" si="115"/>
        <v>0</v>
      </c>
      <c r="AJ383" s="31">
        <f t="shared" si="116"/>
        <v>0</v>
      </c>
      <c r="AK383" s="31" t="str">
        <f>IF(ISERROR(1/VLOOKUP($B383,Leveranser!$B$1:$S$499,MATCH("Såld värme (GWh)",Leveranser!$B$1:$S$1,0),FALSE)),"",VLOOKUP($B383,Leveranser!$B$1:$S$499,MATCH("Såld värme (GWh)",Leveranser!$B$1:$S$1,0),FALSE))</f>
        <v/>
      </c>
      <c r="AL383" s="31">
        <f>VLOOKUP($B383,Leveranser!$B$1:$Y$499,MATCH("Totalt såld fjärrvärme till andra fjärrvärmeföretag",Leveranser!$B$1:$AA$1,0),FALSE)</f>
        <v>0</v>
      </c>
      <c r="AM383" s="31">
        <f>IF(ISERROR(1/VLOOKUP($B383,Miljö!$B$1:$S$500,MATCH("Såld mängd produktionsspecifik fjärrvärme (GWh)",Miljö!$B$1:$R$1,0),FALSE)),0,VLOOKUP($B383,Miljö!$B$1:$S$500,MATCH("Såld mängd produktionsspecifik fjärrvärme (GWh)",Miljö!$B$1:$R$1,0),FALSE))</f>
        <v>0</v>
      </c>
      <c r="AN383" s="32" t="str">
        <f t="shared" si="117"/>
        <v/>
      </c>
      <c r="AP383" s="31" t="str">
        <f>IFERROR(VLOOKUP($B383,Miljövärden!$B$2:$H$550,7,FALSE),"Nej, saknas")</f>
        <v>Nej</v>
      </c>
      <c r="AQ383" s="31" t="str">
        <f>IFERROR(VLOOKUP($B383,Miljövärden!$B$2:$H$551,6,FALSE),"Nej, saknas")</f>
        <v>Nej</v>
      </c>
      <c r="AU383" s="31">
        <f t="shared" si="118"/>
        <v>0</v>
      </c>
      <c r="AV383" s="31">
        <f t="shared" si="119"/>
        <v>0</v>
      </c>
      <c r="AW383" s="31">
        <f t="shared" si="120"/>
        <v>0</v>
      </c>
      <c r="AX383" s="31">
        <f t="shared" si="121"/>
        <v>0</v>
      </c>
      <c r="AZ383" s="31">
        <f t="shared" si="122"/>
        <v>0</v>
      </c>
      <c r="BC383" s="31">
        <f t="shared" si="123"/>
        <v>0</v>
      </c>
      <c r="BD383" s="31">
        <f t="shared" si="124"/>
        <v>0</v>
      </c>
      <c r="BE383" s="31">
        <f t="shared" si="125"/>
        <v>0</v>
      </c>
      <c r="BF383" s="31">
        <f t="shared" si="126"/>
        <v>0</v>
      </c>
      <c r="BG383" s="31">
        <f t="shared" si="127"/>
        <v>0</v>
      </c>
      <c r="BH383" s="31" t="str">
        <f>VLOOKUP(B383,Miljö!$B$1:$BX$482,MATCH("Fossilandel för ursprungspecificerad el ()",Miljö!$B$1:$I$1,0),FALSE)</f>
        <v>-</v>
      </c>
      <c r="BI383" s="31" t="str">
        <f>VLOOKUP(B383,Miljö!$B$1:$BX$482,MATCH("Kärnkraftsandel för ursprungsspecificerad el ()",Miljö!$B$1:$O$1,0),FALSE)</f>
        <v>-</v>
      </c>
      <c r="BJ383" s="31">
        <f t="shared" si="128"/>
        <v>0</v>
      </c>
      <c r="BK383" s="31" t="str">
        <f>VLOOKUP(B383,Miljö!$B$1:$P$482,MATCH("Fossil andel i procent (%)",Miljö!$B$1:$P$1,0),FALSE)</f>
        <v>-</v>
      </c>
      <c r="BL383" s="31">
        <f t="shared" si="129"/>
        <v>0</v>
      </c>
      <c r="BO383" s="32" t="str">
        <f t="shared" si="130"/>
        <v/>
      </c>
      <c r="BP383" s="32" t="str">
        <f t="shared" si="131"/>
        <v/>
      </c>
      <c r="BQ383" s="32" t="str">
        <f t="shared" si="132"/>
        <v/>
      </c>
      <c r="BR383" s="32" t="str">
        <f t="shared" si="133"/>
        <v/>
      </c>
      <c r="BT383" s="62">
        <f t="shared" si="134"/>
        <v>0</v>
      </c>
      <c r="BW383" s="32" t="str">
        <f>IF(AP383="Ja",VLOOKUP(B383,Miljövärden!$B$2:$H$551,MATCH("Total andel fossilt",Miljövärden!$B$2:$H$2,0),FALSE),"")</f>
        <v/>
      </c>
      <c r="BX383" s="62" t="e">
        <f t="shared" si="135"/>
        <v>#VALUE!</v>
      </c>
      <c r="BZ383" s="31" t="str">
        <f t="shared" si="136"/>
        <v/>
      </c>
      <c r="CA383" s="32" t="str">
        <f t="shared" si="137"/>
        <v/>
      </c>
    </row>
    <row r="384" spans="1:79" hidden="1" x14ac:dyDescent="0.45">
      <c r="A384" s="31" t="s">
        <v>182</v>
      </c>
      <c r="B384" s="31" t="s">
        <v>181</v>
      </c>
      <c r="C384" s="31">
        <f>VLOOKUP($B384,'Tillförd energi'!$B$1:$AI$720,MATCH(C$1,'Tillförd energi'!$B$1:$AQ$1,0),FALSE)</f>
        <v>0</v>
      </c>
      <c r="D384" s="31">
        <f>VLOOKUP($B384,'Tillförd energi'!$B$1:$AI$720,MATCH(D$1,'Tillförd energi'!$B$1:$AQ$1,0),FALSE)</f>
        <v>0</v>
      </c>
      <c r="E384" s="31">
        <f>VLOOKUP($B384,'Tillförd energi'!$B$1:$AI$720,MATCH(E$1,'Tillförd energi'!$B$1:$AQ$1,0),FALSE)</f>
        <v>0</v>
      </c>
      <c r="F384" s="31">
        <f>VLOOKUP($B384,'Tillförd energi'!$B$1:$AI$720,MATCH(F$1,'Tillförd energi'!$B$1:$AQ$1,0),FALSE)</f>
        <v>0</v>
      </c>
      <c r="G384" s="31">
        <f>VLOOKUP($B384,'Tillförd energi'!$B$1:$AI$720,MATCH(G$1,'Tillförd energi'!$B$1:$AQ$1,0),FALSE)</f>
        <v>0</v>
      </c>
      <c r="H384" s="31">
        <f>VLOOKUP($B384,'Tillförd energi'!$B$1:$AI$720,MATCH(H$1,'Tillförd energi'!$B$1:$AQ$1,0),FALSE)</f>
        <v>0</v>
      </c>
      <c r="I384" s="31">
        <f>VLOOKUP($B384,'Tillförd energi'!$B$1:$AI$720,MATCH(I$1,'Tillförd energi'!$B$1:$AQ$1,0),FALSE)</f>
        <v>0</v>
      </c>
      <c r="J384" s="31">
        <f>VLOOKUP($B384,'Tillförd energi'!$B$1:$AI$720,MATCH(J$1,'Tillförd energi'!$B$1:$AQ$1,0),FALSE)</f>
        <v>0</v>
      </c>
      <c r="K384" s="31">
        <f>VLOOKUP($B384,'Tillförd energi'!$B$1:$AI$720,MATCH(K$1,'Tillförd energi'!$B$1:$AQ$1,0),FALSE)</f>
        <v>0</v>
      </c>
      <c r="L384" s="31">
        <f>VLOOKUP($B384,'Tillförd energi'!$B$1:$AI$720,MATCH(L$1,'Tillförd energi'!$B$1:$AQ$1,0),FALSE)</f>
        <v>0</v>
      </c>
      <c r="M384" s="31">
        <f>VLOOKUP($B384,'Tillförd energi'!$B$1:$AI$720,MATCH(M$1,'Tillförd energi'!$B$1:$AQ$1,0),FALSE)</f>
        <v>0</v>
      </c>
      <c r="N384" s="31">
        <f>VLOOKUP($B384,'Tillförd energi'!$B$1:$AI$720,MATCH(N$1,'Tillförd energi'!$B$1:$AQ$1,0),FALSE)</f>
        <v>0</v>
      </c>
      <c r="O384" s="31">
        <f>VLOOKUP($B384,'Tillförd energi'!$B$1:$AI$720,MATCH(O$1,'Tillförd energi'!$B$1:$AQ$1,0),FALSE)</f>
        <v>0</v>
      </c>
      <c r="P384" s="31">
        <f>VLOOKUP($B384,'Tillförd energi'!$B$1:$AI$720,MATCH(P$1,'Tillförd energi'!$B$1:$AQ$1,0),FALSE)</f>
        <v>0</v>
      </c>
      <c r="Q384" s="31">
        <f>VLOOKUP($B384,'Tillförd energi'!$B$1:$AI$720,MATCH(Q$1,'Tillförd energi'!$B$1:$AQ$1,0),FALSE)</f>
        <v>0</v>
      </c>
      <c r="R384" s="31">
        <f>VLOOKUP($B384,'Tillförd energi'!$B$1:$AI$720,MATCH(R$1,'Tillförd energi'!$B$1:$AQ$1,0),FALSE)</f>
        <v>0</v>
      </c>
      <c r="S384" s="31">
        <f>VLOOKUP($B384,'Tillförd energi'!$B$1:$AI$720,MATCH(S$1,'Tillförd energi'!$B$1:$AQ$1,0),FALSE)</f>
        <v>0</v>
      </c>
      <c r="T384" s="31">
        <f>VLOOKUP($B384,'Tillförd energi'!$B$1:$AI$720,MATCH(T$1,'Tillförd energi'!$B$1:$AQ$1,0),FALSE)</f>
        <v>0</v>
      </c>
      <c r="U384" s="31">
        <f>VLOOKUP($B384,'Tillförd energi'!$B$1:$AI$720,MATCH(U$1,'Tillförd energi'!$B$1:$AQ$1,0),FALSE)</f>
        <v>0</v>
      </c>
      <c r="V384" s="31">
        <f>VLOOKUP($B384,'Tillförd energi'!$B$1:$AI$720,MATCH(V$1,'Tillförd energi'!$B$1:$AQ$1,0),FALSE)</f>
        <v>0</v>
      </c>
      <c r="W384" s="31">
        <f>VLOOKUP($B384,'Tillförd energi'!$B$1:$AI$720,MATCH(W$1,'Tillförd energi'!$B$1:$AQ$1,0),FALSE)</f>
        <v>0</v>
      </c>
      <c r="X384" s="31">
        <f>VLOOKUP($B384,'Tillförd energi'!$B$1:$AI$720,MATCH(X$1,'Tillförd energi'!$B$1:$AQ$1,0),FALSE)</f>
        <v>0</v>
      </c>
      <c r="Y384" s="31">
        <f>VLOOKUP($B384,'Tillförd energi'!$B$1:$AI$720,MATCH(Y$1,'Tillförd energi'!$B$1:$AQ$1,0),FALSE)</f>
        <v>0</v>
      </c>
      <c r="Z384" s="31">
        <f>VLOOKUP($B384,'Tillförd energi'!$B$1:$AI$720,MATCH(Z$1,'Tillförd energi'!$B$1:$AQ$1,0),FALSE)</f>
        <v>0</v>
      </c>
      <c r="AA384" s="31">
        <f>VLOOKUP($B384,'Tillförd energi'!$B$1:$AI$720,MATCH(AA$1,'Tillförd energi'!$B$1:$AQ$1,0),FALSE)</f>
        <v>0</v>
      </c>
      <c r="AB384" s="31">
        <f>VLOOKUP($B384,'Tillförd energi'!$B$1:$AI$720,MATCH(AB$1,'Tillförd energi'!$B$1:$AQ$1,0),FALSE)</f>
        <v>0</v>
      </c>
      <c r="AC384" s="31">
        <f>VLOOKUP($B384,'Tillförd energi'!$B$1:$AI$720,MATCH(AC$1,'Tillförd energi'!$B$1:$AQ$1,0),FALSE)</f>
        <v>0</v>
      </c>
      <c r="AD384" s="31">
        <f>VLOOKUP($B384,'Tillförd energi'!$B$1:$AI$720,MATCH(AD$1,'Tillförd energi'!$B$1:$AQ$1,0),FALSE)</f>
        <v>0</v>
      </c>
      <c r="AE384" s="31">
        <f>VLOOKUP($B384,'Tillförd energi'!$B$1:$AI$720,MATCH(AE$1,'Tillförd energi'!$B$1:$AQ$1,0),FALSE)</f>
        <v>0</v>
      </c>
      <c r="AF384" s="31">
        <f>VLOOKUP($B384,'Tillförd energi'!$B$1:$AI$720,MATCH(AF$1,'Tillförd energi'!$B$1:$AQ$1,0),FALSE)</f>
        <v>0</v>
      </c>
      <c r="AG384" s="31">
        <f>IFERROR(VLOOKUP(B384,Miljö!$B$1:$AC$550,MATCH("Köpt mängd produktionsspecifik fjärrvärme:",Miljö!$B$1:$AC$1,0),FALSE)/1,0)</f>
        <v>0</v>
      </c>
      <c r="AI384" s="31">
        <f t="shared" si="115"/>
        <v>0</v>
      </c>
      <c r="AJ384" s="31">
        <f t="shared" si="116"/>
        <v>0</v>
      </c>
      <c r="AK384" s="31" t="str">
        <f>IF(ISERROR(1/VLOOKUP($B384,Leveranser!$B$1:$S$499,MATCH("Såld värme (GWh)",Leveranser!$B$1:$S$1,0),FALSE)),"",VLOOKUP($B384,Leveranser!$B$1:$S$499,MATCH("Såld värme (GWh)",Leveranser!$B$1:$S$1,0),FALSE))</f>
        <v/>
      </c>
      <c r="AL384" s="31">
        <f>VLOOKUP($B384,Leveranser!$B$1:$Y$499,MATCH("Totalt såld fjärrvärme till andra fjärrvärmeföretag",Leveranser!$B$1:$AA$1,0),FALSE)</f>
        <v>0</v>
      </c>
      <c r="AM384" s="31">
        <f>IF(ISERROR(1/VLOOKUP($B384,Miljö!$B$1:$S$500,MATCH("Såld mängd produktionsspecifik fjärrvärme (GWh)",Miljö!$B$1:$R$1,0),FALSE)),0,VLOOKUP($B384,Miljö!$B$1:$S$500,MATCH("Såld mängd produktionsspecifik fjärrvärme (GWh)",Miljö!$B$1:$R$1,0),FALSE))</f>
        <v>0</v>
      </c>
      <c r="AN384" s="32" t="str">
        <f t="shared" si="117"/>
        <v/>
      </c>
      <c r="AP384" s="31" t="str">
        <f>IFERROR(VLOOKUP($B384,Miljövärden!$B$2:$H$550,7,FALSE),"Nej, saknas")</f>
        <v>Nej</v>
      </c>
      <c r="AQ384" s="31" t="str">
        <f>IFERROR(VLOOKUP($B384,Miljövärden!$B$2:$H$551,6,FALSE),"Nej, saknas")</f>
        <v>Nej</v>
      </c>
      <c r="AU384" s="31">
        <f t="shared" si="118"/>
        <v>0</v>
      </c>
      <c r="AV384" s="31">
        <f t="shared" si="119"/>
        <v>0</v>
      </c>
      <c r="AW384" s="31">
        <f t="shared" si="120"/>
        <v>0</v>
      </c>
      <c r="AX384" s="31">
        <f t="shared" si="121"/>
        <v>0</v>
      </c>
      <c r="AZ384" s="31">
        <f t="shared" si="122"/>
        <v>0</v>
      </c>
      <c r="BC384" s="31">
        <f t="shared" si="123"/>
        <v>0</v>
      </c>
      <c r="BD384" s="31">
        <f t="shared" si="124"/>
        <v>0</v>
      </c>
      <c r="BE384" s="31">
        <f t="shared" si="125"/>
        <v>0</v>
      </c>
      <c r="BF384" s="31">
        <f t="shared" si="126"/>
        <v>0</v>
      </c>
      <c r="BG384" s="31">
        <f t="shared" si="127"/>
        <v>0</v>
      </c>
      <c r="BH384" s="31" t="str">
        <f>VLOOKUP(B384,Miljö!$B$1:$BX$482,MATCH("Fossilandel för ursprungspecificerad el ()",Miljö!$B$1:$I$1,0),FALSE)</f>
        <v>-</v>
      </c>
      <c r="BI384" s="31" t="str">
        <f>VLOOKUP(B384,Miljö!$B$1:$BX$482,MATCH("Kärnkraftsandel för ursprungsspecificerad el ()",Miljö!$B$1:$O$1,0),FALSE)</f>
        <v>-</v>
      </c>
      <c r="BJ384" s="31">
        <f t="shared" si="128"/>
        <v>0</v>
      </c>
      <c r="BK384" s="31" t="str">
        <f>VLOOKUP(B384,Miljö!$B$1:$P$482,MATCH("Fossil andel i procent (%)",Miljö!$B$1:$P$1,0),FALSE)</f>
        <v>-</v>
      </c>
      <c r="BL384" s="31">
        <f t="shared" si="129"/>
        <v>0</v>
      </c>
      <c r="BO384" s="32" t="str">
        <f t="shared" si="130"/>
        <v/>
      </c>
      <c r="BP384" s="32" t="str">
        <f t="shared" si="131"/>
        <v/>
      </c>
      <c r="BQ384" s="32" t="str">
        <f t="shared" si="132"/>
        <v/>
      </c>
      <c r="BR384" s="32" t="str">
        <f t="shared" si="133"/>
        <v/>
      </c>
      <c r="BT384" s="62">
        <f t="shared" si="134"/>
        <v>0</v>
      </c>
      <c r="BW384" s="32" t="str">
        <f>IF(AP384="Ja",VLOOKUP(B384,Miljövärden!$B$2:$H$551,MATCH("Total andel fossilt",Miljövärden!$B$2:$H$2,0),FALSE),"")</f>
        <v/>
      </c>
      <c r="BX384" s="62" t="e">
        <f t="shared" si="135"/>
        <v>#VALUE!</v>
      </c>
      <c r="BZ384" s="31" t="str">
        <f t="shared" si="136"/>
        <v/>
      </c>
      <c r="CA384" s="32" t="str">
        <f t="shared" si="137"/>
        <v/>
      </c>
    </row>
    <row r="385" spans="1:79" x14ac:dyDescent="0.45">
      <c r="A385" s="31" t="s">
        <v>182</v>
      </c>
      <c r="B385" s="31" t="s">
        <v>185</v>
      </c>
      <c r="C385" s="31">
        <f>VLOOKUP($B385,'Tillförd energi'!$B$1:$AI$720,MATCH(C$1,'Tillförd energi'!$B$1:$AQ$1,0),FALSE)</f>
        <v>0</v>
      </c>
      <c r="D385" s="31">
        <f>VLOOKUP($B385,'Tillförd energi'!$B$1:$AI$720,MATCH(D$1,'Tillförd energi'!$B$1:$AQ$1,0),FALSE)</f>
        <v>0</v>
      </c>
      <c r="E385" s="31">
        <f>VLOOKUP($B385,'Tillförd energi'!$B$1:$AI$720,MATCH(E$1,'Tillförd energi'!$B$1:$AQ$1,0),FALSE)</f>
        <v>0</v>
      </c>
      <c r="F385" s="31">
        <f>VLOOKUP($B385,'Tillförd energi'!$B$1:$AI$720,MATCH(F$1,'Tillförd energi'!$B$1:$AQ$1,0),FALSE)</f>
        <v>0</v>
      </c>
      <c r="G385" s="31">
        <f>VLOOKUP($B385,'Tillförd energi'!$B$1:$AI$720,MATCH(G$1,'Tillförd energi'!$B$1:$AQ$1,0),FALSE)</f>
        <v>0</v>
      </c>
      <c r="H385" s="31">
        <f>VLOOKUP($B385,'Tillförd energi'!$B$1:$AI$720,MATCH(H$1,'Tillförd energi'!$B$1:$AQ$1,0),FALSE)</f>
        <v>0</v>
      </c>
      <c r="I385" s="31">
        <f>VLOOKUP($B385,'Tillförd energi'!$B$1:$AI$720,MATCH(I$1,'Tillförd energi'!$B$1:$AQ$1,0),FALSE)</f>
        <v>62.235300000000002</v>
      </c>
      <c r="J385" s="31">
        <f>VLOOKUP($B385,'Tillförd energi'!$B$1:$AI$720,MATCH(J$1,'Tillförd energi'!$B$1:$AQ$1,0),FALSE)</f>
        <v>0</v>
      </c>
      <c r="K385" s="31">
        <f>VLOOKUP($B385,'Tillförd energi'!$B$1:$AI$720,MATCH(K$1,'Tillförd energi'!$B$1:$AQ$1,0),FALSE)</f>
        <v>0</v>
      </c>
      <c r="L385" s="31">
        <f>VLOOKUP($B385,'Tillförd energi'!$B$1:$AI$720,MATCH(L$1,'Tillförd energi'!$B$1:$AQ$1,0),FALSE)</f>
        <v>0</v>
      </c>
      <c r="M385" s="31">
        <f>VLOOKUP($B385,'Tillförd energi'!$B$1:$AI$720,MATCH(M$1,'Tillförd energi'!$B$1:$AQ$1,0),FALSE)</f>
        <v>0</v>
      </c>
      <c r="N385" s="31">
        <f>VLOOKUP($B385,'Tillförd energi'!$B$1:$AI$720,MATCH(N$1,'Tillförd energi'!$B$1:$AQ$1,0),FALSE)</f>
        <v>0</v>
      </c>
      <c r="O385" s="31">
        <f>VLOOKUP($B385,'Tillförd energi'!$B$1:$AI$720,MATCH(O$1,'Tillförd energi'!$B$1:$AQ$1,0),FALSE)</f>
        <v>0</v>
      </c>
      <c r="P385" s="31">
        <f>VLOOKUP($B385,'Tillförd energi'!$B$1:$AI$720,MATCH(P$1,'Tillförd energi'!$B$1:$AQ$1,0),FALSE)</f>
        <v>0</v>
      </c>
      <c r="Q385" s="31">
        <f>VLOOKUP($B385,'Tillförd energi'!$B$1:$AI$720,MATCH(Q$1,'Tillförd energi'!$B$1:$AQ$1,0),FALSE)</f>
        <v>74.7</v>
      </c>
      <c r="R385" s="31">
        <f>VLOOKUP($B385,'Tillförd energi'!$B$1:$AI$720,MATCH(R$1,'Tillförd energi'!$B$1:$AQ$1,0),FALSE)</f>
        <v>41.7</v>
      </c>
      <c r="S385" s="31">
        <f>VLOOKUP($B385,'Tillförd energi'!$B$1:$AI$720,MATCH(S$1,'Tillförd energi'!$B$1:$AQ$1,0),FALSE)</f>
        <v>0</v>
      </c>
      <c r="T385" s="31">
        <f>VLOOKUP($B385,'Tillförd energi'!$B$1:$AI$720,MATCH(T$1,'Tillförd energi'!$B$1:$AQ$1,0),FALSE)</f>
        <v>0</v>
      </c>
      <c r="U385" s="31">
        <f>VLOOKUP($B385,'Tillförd energi'!$B$1:$AI$720,MATCH(U$1,'Tillförd energi'!$B$1:$AQ$1,0),FALSE)</f>
        <v>0</v>
      </c>
      <c r="V385" s="31">
        <f>VLOOKUP($B385,'Tillförd energi'!$B$1:$AI$720,MATCH(V$1,'Tillförd energi'!$B$1:$AQ$1,0),FALSE)</f>
        <v>0</v>
      </c>
      <c r="W385" s="31">
        <f>VLOOKUP($B385,'Tillförd energi'!$B$1:$AI$720,MATCH(W$1,'Tillförd energi'!$B$1:$AQ$1,0),FALSE)</f>
        <v>5.2</v>
      </c>
      <c r="X385" s="31">
        <f>VLOOKUP($B385,'Tillförd energi'!$B$1:$AI$720,MATCH(X$1,'Tillförd energi'!$B$1:$AQ$1,0),FALSE)</f>
        <v>0</v>
      </c>
      <c r="Y385" s="31">
        <f>VLOOKUP($B385,'Tillförd energi'!$B$1:$AI$720,MATCH(Y$1,'Tillförd energi'!$B$1:$AQ$1,0),FALSE)</f>
        <v>0</v>
      </c>
      <c r="Z385" s="31">
        <f>VLOOKUP($B385,'Tillförd energi'!$B$1:$AI$720,MATCH(Z$1,'Tillförd energi'!$B$1:$AQ$1,0),FALSE)</f>
        <v>0</v>
      </c>
      <c r="AA385" s="31">
        <f>VLOOKUP($B385,'Tillförd energi'!$B$1:$AI$720,MATCH(AA$1,'Tillförd energi'!$B$1:$AQ$1,0),FALSE)</f>
        <v>0</v>
      </c>
      <c r="AB385" s="31">
        <f>VLOOKUP($B385,'Tillförd energi'!$B$1:$AI$720,MATCH(AB$1,'Tillförd energi'!$B$1:$AQ$1,0),FALSE)</f>
        <v>0</v>
      </c>
      <c r="AC385" s="31">
        <f>VLOOKUP($B385,'Tillförd energi'!$B$1:$AI$720,MATCH(AC$1,'Tillförd energi'!$B$1:$AQ$1,0),FALSE)</f>
        <v>10.6</v>
      </c>
      <c r="AD385" s="31">
        <f>VLOOKUP($B385,'Tillförd energi'!$B$1:$AI$720,MATCH(AD$1,'Tillförd energi'!$B$1:$AQ$1,0),FALSE)</f>
        <v>179.1</v>
      </c>
      <c r="AE385" s="31">
        <f>VLOOKUP($B385,'Tillförd energi'!$B$1:$AI$720,MATCH(AE$1,'Tillförd energi'!$B$1:$AQ$1,0),FALSE)</f>
        <v>0</v>
      </c>
      <c r="AF385" s="31">
        <f>VLOOKUP($B385,'Tillförd energi'!$B$1:$AI$720,MATCH(AF$1,'Tillförd energi'!$B$1:$AQ$1,0),FALSE)</f>
        <v>4</v>
      </c>
      <c r="AG385" s="31">
        <f>IFERROR(VLOOKUP(B385,Miljö!$B$1:$AC$550,MATCH("Köpt mängd produktionsspecifik fjärrvärme:",Miljö!$B$1:$AC$1,0),FALSE)/1,0)</f>
        <v>0</v>
      </c>
      <c r="AI385" s="31">
        <f t="shared" si="115"/>
        <v>377.53530000000001</v>
      </c>
      <c r="AJ385" s="31">
        <f t="shared" si="116"/>
        <v>377.53530000000001</v>
      </c>
      <c r="AK385" s="31">
        <f>IF(ISERROR(1/VLOOKUP($B385,Leveranser!$B$1:$S$499,MATCH("Såld värme (GWh)",Leveranser!$B$1:$S$1,0),FALSE)),"",VLOOKUP($B385,Leveranser!$B$1:$S$499,MATCH("Såld värme (GWh)",Leveranser!$B$1:$S$1,0),FALSE))</f>
        <v>300</v>
      </c>
      <c r="AL385" s="31">
        <f>VLOOKUP($B385,Leveranser!$B$1:$Y$499,MATCH("Totalt såld fjärrvärme till andra fjärrvärmeföretag",Leveranser!$B$1:$AA$1,0),FALSE)</f>
        <v>0</v>
      </c>
      <c r="AM385" s="31">
        <f>IF(ISERROR(1/VLOOKUP($B385,Miljö!$B$1:$S$500,MATCH("Såld mängd produktionsspecifik fjärrvärme (GWh)",Miljö!$B$1:$R$1,0),FALSE)),0,VLOOKUP($B385,Miljö!$B$1:$S$500,MATCH("Såld mängd produktionsspecifik fjärrvärme (GWh)",Miljö!$B$1:$R$1,0),FALSE))</f>
        <v>0</v>
      </c>
      <c r="AN385" s="32">
        <f t="shared" si="117"/>
        <v>0.79462768117312477</v>
      </c>
      <c r="AP385" s="31" t="str">
        <f>IFERROR(VLOOKUP($B385,Miljövärden!$B$2:$H$550,7,FALSE),"Nej, saknas")</f>
        <v>Ja</v>
      </c>
      <c r="AQ385" s="31" t="str">
        <f>IFERROR(VLOOKUP($B385,Miljövärden!$B$2:$H$551,6,FALSE),"Nej, saknas")</f>
        <v>Nej</v>
      </c>
      <c r="AU385" s="31">
        <f t="shared" si="118"/>
        <v>4</v>
      </c>
      <c r="AV385" s="31">
        <f t="shared" si="119"/>
        <v>0</v>
      </c>
      <c r="AW385" s="31">
        <f t="shared" si="120"/>
        <v>74.7</v>
      </c>
      <c r="AX385" s="31">
        <f t="shared" si="121"/>
        <v>41.7</v>
      </c>
      <c r="AZ385" s="31">
        <f t="shared" si="122"/>
        <v>121.60000000000001</v>
      </c>
      <c r="BC385" s="31">
        <f t="shared" si="123"/>
        <v>0</v>
      </c>
      <c r="BD385" s="31">
        <f t="shared" si="124"/>
        <v>0</v>
      </c>
      <c r="BE385" s="31">
        <f t="shared" si="125"/>
        <v>121.60000000000001</v>
      </c>
      <c r="BF385" s="31">
        <f t="shared" si="126"/>
        <v>251.93529999999998</v>
      </c>
      <c r="BG385" s="31">
        <f t="shared" si="127"/>
        <v>4</v>
      </c>
      <c r="BH385" s="31">
        <f>VLOOKUP(B385,Miljö!$B$1:$BX$482,MATCH("Fossilandel för ursprungspecificerad el ()",Miljö!$B$1:$I$1,0),FALSE)</f>
        <v>0</v>
      </c>
      <c r="BI385" s="31">
        <f>VLOOKUP(B385,Miljö!$B$1:$BX$482,MATCH("Kärnkraftsandel för ursprungsspecificerad el ()",Miljö!$B$1:$O$1,0),FALSE)</f>
        <v>0</v>
      </c>
      <c r="BJ385" s="31">
        <f t="shared" si="128"/>
        <v>0</v>
      </c>
      <c r="BK385" s="31" t="str">
        <f>VLOOKUP(B385,Miljö!$B$1:$P$482,MATCH("Fossil andel i procent (%)",Miljö!$B$1:$P$1,0),FALSE)</f>
        <v>ET</v>
      </c>
      <c r="BL385" s="31">
        <f t="shared" si="129"/>
        <v>377.53530000000001</v>
      </c>
      <c r="BO385" s="32">
        <f t="shared" si="130"/>
        <v>0</v>
      </c>
      <c r="BP385" s="32">
        <f t="shared" si="131"/>
        <v>0</v>
      </c>
      <c r="BQ385" s="32">
        <f t="shared" si="132"/>
        <v>0.33268412251781493</v>
      </c>
      <c r="BR385" s="32">
        <f t="shared" si="133"/>
        <v>0.66731587748218502</v>
      </c>
      <c r="BT385" s="62">
        <f t="shared" si="134"/>
        <v>1</v>
      </c>
      <c r="BW385" s="32">
        <f>IF(AP385="Ja",VLOOKUP(B385,Miljövärden!$B$2:$H$551,MATCH("Total andel fossilt",Miljövärden!$B$2:$H$2,0),FALSE),"")</f>
        <v>0</v>
      </c>
      <c r="BX385" s="62">
        <f t="shared" si="135"/>
        <v>0</v>
      </c>
      <c r="BZ385" s="31">
        <f t="shared" si="136"/>
        <v>0</v>
      </c>
      <c r="CA385" s="32">
        <f t="shared" si="137"/>
        <v>0</v>
      </c>
    </row>
    <row r="386" spans="1:79" hidden="1" x14ac:dyDescent="0.45">
      <c r="A386" s="31" t="s">
        <v>182</v>
      </c>
      <c r="B386" s="31" t="s">
        <v>183</v>
      </c>
      <c r="C386" s="31">
        <f>VLOOKUP($B386,'Tillförd energi'!$B$1:$AI$720,MATCH(C$1,'Tillförd energi'!$B$1:$AQ$1,0),FALSE)</f>
        <v>0</v>
      </c>
      <c r="D386" s="31">
        <f>VLOOKUP($B386,'Tillförd energi'!$B$1:$AI$720,MATCH(D$1,'Tillförd energi'!$B$1:$AQ$1,0),FALSE)</f>
        <v>0</v>
      </c>
      <c r="E386" s="31">
        <f>VLOOKUP($B386,'Tillförd energi'!$B$1:$AI$720,MATCH(E$1,'Tillförd energi'!$B$1:$AQ$1,0),FALSE)</f>
        <v>0</v>
      </c>
      <c r="F386" s="31">
        <f>VLOOKUP($B386,'Tillförd energi'!$B$1:$AI$720,MATCH(F$1,'Tillförd energi'!$B$1:$AQ$1,0),FALSE)</f>
        <v>0</v>
      </c>
      <c r="G386" s="31">
        <f>VLOOKUP($B386,'Tillförd energi'!$B$1:$AI$720,MATCH(G$1,'Tillförd energi'!$B$1:$AQ$1,0),FALSE)</f>
        <v>0</v>
      </c>
      <c r="H386" s="31">
        <f>VLOOKUP($B386,'Tillförd energi'!$B$1:$AI$720,MATCH(H$1,'Tillförd energi'!$B$1:$AQ$1,0),FALSE)</f>
        <v>0</v>
      </c>
      <c r="I386" s="31">
        <f>VLOOKUP($B386,'Tillförd energi'!$B$1:$AI$720,MATCH(I$1,'Tillförd energi'!$B$1:$AQ$1,0),FALSE)</f>
        <v>0</v>
      </c>
      <c r="J386" s="31">
        <f>VLOOKUP($B386,'Tillförd energi'!$B$1:$AI$720,MATCH(J$1,'Tillförd energi'!$B$1:$AQ$1,0),FALSE)</f>
        <v>0</v>
      </c>
      <c r="K386" s="31">
        <f>VLOOKUP($B386,'Tillförd energi'!$B$1:$AI$720,MATCH(K$1,'Tillförd energi'!$B$1:$AQ$1,0),FALSE)</f>
        <v>0</v>
      </c>
      <c r="L386" s="31">
        <f>VLOOKUP($B386,'Tillförd energi'!$B$1:$AI$720,MATCH(L$1,'Tillförd energi'!$B$1:$AQ$1,0),FALSE)</f>
        <v>0</v>
      </c>
      <c r="M386" s="31">
        <f>VLOOKUP($B386,'Tillförd energi'!$B$1:$AI$720,MATCH(M$1,'Tillförd energi'!$B$1:$AQ$1,0),FALSE)</f>
        <v>0</v>
      </c>
      <c r="N386" s="31">
        <f>VLOOKUP($B386,'Tillförd energi'!$B$1:$AI$720,MATCH(N$1,'Tillförd energi'!$B$1:$AQ$1,0),FALSE)</f>
        <v>0</v>
      </c>
      <c r="O386" s="31">
        <f>VLOOKUP($B386,'Tillförd energi'!$B$1:$AI$720,MATCH(O$1,'Tillförd energi'!$B$1:$AQ$1,0),FALSE)</f>
        <v>0</v>
      </c>
      <c r="P386" s="31">
        <f>VLOOKUP($B386,'Tillförd energi'!$B$1:$AI$720,MATCH(P$1,'Tillförd energi'!$B$1:$AQ$1,0),FALSE)</f>
        <v>0</v>
      </c>
      <c r="Q386" s="31">
        <f>VLOOKUP($B386,'Tillförd energi'!$B$1:$AI$720,MATCH(Q$1,'Tillförd energi'!$B$1:$AQ$1,0),FALSE)</f>
        <v>0</v>
      </c>
      <c r="R386" s="31">
        <f>VLOOKUP($B386,'Tillförd energi'!$B$1:$AI$720,MATCH(R$1,'Tillförd energi'!$B$1:$AQ$1,0),FALSE)</f>
        <v>0</v>
      </c>
      <c r="S386" s="31">
        <f>VLOOKUP($B386,'Tillförd energi'!$B$1:$AI$720,MATCH(S$1,'Tillförd energi'!$B$1:$AQ$1,0),FALSE)</f>
        <v>0</v>
      </c>
      <c r="T386" s="31">
        <f>VLOOKUP($B386,'Tillförd energi'!$B$1:$AI$720,MATCH(T$1,'Tillförd energi'!$B$1:$AQ$1,0),FALSE)</f>
        <v>0</v>
      </c>
      <c r="U386" s="31">
        <f>VLOOKUP($B386,'Tillförd energi'!$B$1:$AI$720,MATCH(U$1,'Tillförd energi'!$B$1:$AQ$1,0),FALSE)</f>
        <v>0</v>
      </c>
      <c r="V386" s="31">
        <f>VLOOKUP($B386,'Tillförd energi'!$B$1:$AI$720,MATCH(V$1,'Tillförd energi'!$B$1:$AQ$1,0),FALSE)</f>
        <v>0</v>
      </c>
      <c r="W386" s="31">
        <f>VLOOKUP($B386,'Tillförd energi'!$B$1:$AI$720,MATCH(W$1,'Tillförd energi'!$B$1:$AQ$1,0),FALSE)</f>
        <v>0</v>
      </c>
      <c r="X386" s="31">
        <f>VLOOKUP($B386,'Tillförd energi'!$B$1:$AI$720,MATCH(X$1,'Tillförd energi'!$B$1:$AQ$1,0),FALSE)</f>
        <v>0</v>
      </c>
      <c r="Y386" s="31">
        <f>VLOOKUP($B386,'Tillförd energi'!$B$1:$AI$720,MATCH(Y$1,'Tillförd energi'!$B$1:$AQ$1,0),FALSE)</f>
        <v>0</v>
      </c>
      <c r="Z386" s="31">
        <f>VLOOKUP($B386,'Tillförd energi'!$B$1:$AI$720,MATCH(Z$1,'Tillförd energi'!$B$1:$AQ$1,0),FALSE)</f>
        <v>0</v>
      </c>
      <c r="AA386" s="31">
        <f>VLOOKUP($B386,'Tillförd energi'!$B$1:$AI$720,MATCH(AA$1,'Tillförd energi'!$B$1:$AQ$1,0),FALSE)</f>
        <v>0</v>
      </c>
      <c r="AB386" s="31">
        <f>VLOOKUP($B386,'Tillförd energi'!$B$1:$AI$720,MATCH(AB$1,'Tillförd energi'!$B$1:$AQ$1,0),FALSE)</f>
        <v>0</v>
      </c>
      <c r="AC386" s="31">
        <f>VLOOKUP($B386,'Tillförd energi'!$B$1:$AI$720,MATCH(AC$1,'Tillförd energi'!$B$1:$AQ$1,0),FALSE)</f>
        <v>0</v>
      </c>
      <c r="AD386" s="31">
        <f>VLOOKUP($B386,'Tillförd energi'!$B$1:$AI$720,MATCH(AD$1,'Tillförd energi'!$B$1:$AQ$1,0),FALSE)</f>
        <v>0</v>
      </c>
      <c r="AE386" s="31">
        <f>VLOOKUP($B386,'Tillförd energi'!$B$1:$AI$720,MATCH(AE$1,'Tillförd energi'!$B$1:$AQ$1,0),FALSE)</f>
        <v>0</v>
      </c>
      <c r="AF386" s="31">
        <f>VLOOKUP($B386,'Tillförd energi'!$B$1:$AI$720,MATCH(AF$1,'Tillförd energi'!$B$1:$AQ$1,0),FALSE)</f>
        <v>0</v>
      </c>
      <c r="AG386" s="31">
        <f>IFERROR(VLOOKUP(B386,Miljö!$B$1:$AC$550,MATCH("Köpt mängd produktionsspecifik fjärrvärme:",Miljö!$B$1:$AC$1,0),FALSE)/1,0)</f>
        <v>0</v>
      </c>
      <c r="AI386" s="31">
        <f t="shared" si="115"/>
        <v>0</v>
      </c>
      <c r="AJ386" s="31">
        <f t="shared" si="116"/>
        <v>0</v>
      </c>
      <c r="AK386" s="31" t="str">
        <f>IF(ISERROR(1/VLOOKUP($B386,Leveranser!$B$1:$S$499,MATCH("Såld värme (GWh)",Leveranser!$B$1:$S$1,0),FALSE)),"",VLOOKUP($B386,Leveranser!$B$1:$S$499,MATCH("Såld värme (GWh)",Leveranser!$B$1:$S$1,0),FALSE))</f>
        <v/>
      </c>
      <c r="AL386" s="31">
        <f>VLOOKUP($B386,Leveranser!$B$1:$Y$499,MATCH("Totalt såld fjärrvärme till andra fjärrvärmeföretag",Leveranser!$B$1:$AA$1,0),FALSE)</f>
        <v>0</v>
      </c>
      <c r="AM386" s="31">
        <f>IF(ISERROR(1/VLOOKUP($B386,Miljö!$B$1:$S$500,MATCH("Såld mängd produktionsspecifik fjärrvärme (GWh)",Miljö!$B$1:$R$1,0),FALSE)),0,VLOOKUP($B386,Miljö!$B$1:$S$500,MATCH("Såld mängd produktionsspecifik fjärrvärme (GWh)",Miljö!$B$1:$R$1,0),FALSE))</f>
        <v>0</v>
      </c>
      <c r="AN386" s="32" t="str">
        <f t="shared" si="117"/>
        <v/>
      </c>
      <c r="AP386" s="31" t="str">
        <f>IFERROR(VLOOKUP($B386,Miljövärden!$B$2:$H$550,7,FALSE),"Nej, saknas")</f>
        <v>Nej</v>
      </c>
      <c r="AQ386" s="31" t="str">
        <f>IFERROR(VLOOKUP($B386,Miljövärden!$B$2:$H$551,6,FALSE),"Nej, saknas")</f>
        <v>Nej</v>
      </c>
      <c r="AU386" s="31">
        <f t="shared" si="118"/>
        <v>0</v>
      </c>
      <c r="AV386" s="31">
        <f t="shared" si="119"/>
        <v>0</v>
      </c>
      <c r="AW386" s="31">
        <f t="shared" si="120"/>
        <v>0</v>
      </c>
      <c r="AX386" s="31">
        <f t="shared" si="121"/>
        <v>0</v>
      </c>
      <c r="AZ386" s="31">
        <f t="shared" si="122"/>
        <v>0</v>
      </c>
      <c r="BC386" s="31">
        <f t="shared" si="123"/>
        <v>0</v>
      </c>
      <c r="BD386" s="31">
        <f t="shared" si="124"/>
        <v>0</v>
      </c>
      <c r="BE386" s="31">
        <f t="shared" si="125"/>
        <v>0</v>
      </c>
      <c r="BF386" s="31">
        <f t="shared" si="126"/>
        <v>0</v>
      </c>
      <c r="BG386" s="31">
        <f t="shared" si="127"/>
        <v>0</v>
      </c>
      <c r="BH386" s="31" t="str">
        <f>VLOOKUP(B386,Miljö!$B$1:$BX$482,MATCH("Fossilandel för ursprungspecificerad el ()",Miljö!$B$1:$I$1,0),FALSE)</f>
        <v>-</v>
      </c>
      <c r="BI386" s="31" t="str">
        <f>VLOOKUP(B386,Miljö!$B$1:$BX$482,MATCH("Kärnkraftsandel för ursprungsspecificerad el ()",Miljö!$B$1:$O$1,0),FALSE)</f>
        <v>-</v>
      </c>
      <c r="BJ386" s="31">
        <f t="shared" si="128"/>
        <v>0</v>
      </c>
      <c r="BK386" s="31" t="str">
        <f>VLOOKUP(B386,Miljö!$B$1:$P$482,MATCH("Fossil andel i procent (%)",Miljö!$B$1:$P$1,0),FALSE)</f>
        <v>-</v>
      </c>
      <c r="BL386" s="31">
        <f t="shared" si="129"/>
        <v>0</v>
      </c>
      <c r="BO386" s="32" t="str">
        <f t="shared" si="130"/>
        <v/>
      </c>
      <c r="BP386" s="32" t="str">
        <f t="shared" si="131"/>
        <v/>
      </c>
      <c r="BQ386" s="32" t="str">
        <f t="shared" si="132"/>
        <v/>
      </c>
      <c r="BR386" s="32" t="str">
        <f t="shared" si="133"/>
        <v/>
      </c>
      <c r="BT386" s="62">
        <f t="shared" si="134"/>
        <v>0</v>
      </c>
      <c r="BW386" s="32" t="str">
        <f>IF(AP386="Ja",VLOOKUP(B386,Miljövärden!$B$2:$H$551,MATCH("Total andel fossilt",Miljövärden!$B$2:$H$2,0),FALSE),"")</f>
        <v/>
      </c>
      <c r="BX386" s="62" t="e">
        <f t="shared" si="135"/>
        <v>#VALUE!</v>
      </c>
      <c r="BZ386" s="31" t="str">
        <f t="shared" si="136"/>
        <v/>
      </c>
      <c r="CA386" s="32" t="str">
        <f t="shared" si="137"/>
        <v/>
      </c>
    </row>
    <row r="387" spans="1:79" x14ac:dyDescent="0.45">
      <c r="A387" s="31" t="s">
        <v>175</v>
      </c>
      <c r="B387" s="31" t="s">
        <v>180</v>
      </c>
      <c r="C387" s="31">
        <f>VLOOKUP($B387,'Tillförd energi'!$B$1:$AI$720,MATCH(C$1,'Tillförd energi'!$B$1:$AQ$1,0),FALSE)</f>
        <v>0</v>
      </c>
      <c r="D387" s="31">
        <f>VLOOKUP($B387,'Tillförd energi'!$B$1:$AI$720,MATCH(D$1,'Tillförd energi'!$B$1:$AQ$1,0),FALSE)</f>
        <v>0</v>
      </c>
      <c r="E387" s="31">
        <f>VLOOKUP($B387,'Tillförd energi'!$B$1:$AI$720,MATCH(E$1,'Tillförd energi'!$B$1:$AQ$1,0),FALSE)</f>
        <v>0</v>
      </c>
      <c r="F387" s="31">
        <f>VLOOKUP($B387,'Tillförd energi'!$B$1:$AI$720,MATCH(F$1,'Tillförd energi'!$B$1:$AQ$1,0),FALSE)</f>
        <v>0</v>
      </c>
      <c r="G387" s="31">
        <f>VLOOKUP($B387,'Tillförd energi'!$B$1:$AI$720,MATCH(G$1,'Tillförd energi'!$B$1:$AQ$1,0),FALSE)</f>
        <v>0</v>
      </c>
      <c r="H387" s="31">
        <f>VLOOKUP($B387,'Tillförd energi'!$B$1:$AI$720,MATCH(H$1,'Tillförd energi'!$B$1:$AQ$1,0),FALSE)</f>
        <v>0</v>
      </c>
      <c r="I387" s="31">
        <f>VLOOKUP($B387,'Tillförd energi'!$B$1:$AI$720,MATCH(I$1,'Tillförd energi'!$B$1:$AQ$1,0),FALSE)</f>
        <v>0</v>
      </c>
      <c r="J387" s="31">
        <f>VLOOKUP($B387,'Tillförd energi'!$B$1:$AI$720,MATCH(J$1,'Tillförd energi'!$B$1:$AQ$1,0),FALSE)</f>
        <v>0</v>
      </c>
      <c r="K387" s="31">
        <f>VLOOKUP($B387,'Tillförd energi'!$B$1:$AI$720,MATCH(K$1,'Tillförd energi'!$B$1:$AQ$1,0),FALSE)</f>
        <v>0</v>
      </c>
      <c r="L387" s="31">
        <f>VLOOKUP($B387,'Tillförd energi'!$B$1:$AI$720,MATCH(L$1,'Tillförd energi'!$B$1:$AQ$1,0),FALSE)</f>
        <v>0</v>
      </c>
      <c r="M387" s="31">
        <f>VLOOKUP($B387,'Tillförd energi'!$B$1:$AI$720,MATCH(M$1,'Tillförd energi'!$B$1:$AQ$1,0),FALSE)</f>
        <v>0</v>
      </c>
      <c r="N387" s="31">
        <f>VLOOKUP($B387,'Tillförd energi'!$B$1:$AI$720,MATCH(N$1,'Tillförd energi'!$B$1:$AQ$1,0),FALSE)</f>
        <v>0</v>
      </c>
      <c r="O387" s="31">
        <f>VLOOKUP($B387,'Tillförd energi'!$B$1:$AI$720,MATCH(O$1,'Tillförd energi'!$B$1:$AQ$1,0),FALSE)</f>
        <v>0</v>
      </c>
      <c r="P387" s="31">
        <f>VLOOKUP($B387,'Tillförd energi'!$B$1:$AI$720,MATCH(P$1,'Tillförd energi'!$B$1:$AQ$1,0),FALSE)</f>
        <v>13.518000000000001</v>
      </c>
      <c r="Q387" s="31">
        <f>VLOOKUP($B387,'Tillförd energi'!$B$1:$AI$720,MATCH(Q$1,'Tillförd energi'!$B$1:$AQ$1,0),FALSE)</f>
        <v>0</v>
      </c>
      <c r="R387" s="31">
        <f>VLOOKUP($B387,'Tillförd energi'!$B$1:$AI$720,MATCH(R$1,'Tillförd energi'!$B$1:$AQ$1,0),FALSE)</f>
        <v>4.0330000000000004</v>
      </c>
      <c r="S387" s="31">
        <f>VLOOKUP($B387,'Tillförd energi'!$B$1:$AI$720,MATCH(S$1,'Tillförd energi'!$B$1:$AQ$1,0),FALSE)</f>
        <v>0</v>
      </c>
      <c r="T387" s="31">
        <f>VLOOKUP($B387,'Tillförd energi'!$B$1:$AI$720,MATCH(T$1,'Tillförd energi'!$B$1:$AQ$1,0),FALSE)</f>
        <v>0</v>
      </c>
      <c r="U387" s="31">
        <f>VLOOKUP($B387,'Tillförd energi'!$B$1:$AI$720,MATCH(U$1,'Tillförd energi'!$B$1:$AQ$1,0),FALSE)</f>
        <v>0</v>
      </c>
      <c r="V387" s="31">
        <f>VLOOKUP($B387,'Tillförd energi'!$B$1:$AI$720,MATCH(V$1,'Tillförd energi'!$B$1:$AQ$1,0),FALSE)</f>
        <v>0</v>
      </c>
      <c r="W387" s="31">
        <f>VLOOKUP($B387,'Tillförd energi'!$B$1:$AI$720,MATCH(W$1,'Tillförd energi'!$B$1:$AQ$1,0),FALSE)</f>
        <v>0.88600000000000001</v>
      </c>
      <c r="X387" s="31">
        <f>VLOOKUP($B387,'Tillförd energi'!$B$1:$AI$720,MATCH(X$1,'Tillförd energi'!$B$1:$AQ$1,0),FALSE)</f>
        <v>0</v>
      </c>
      <c r="Y387" s="31">
        <f>VLOOKUP($B387,'Tillförd energi'!$B$1:$AI$720,MATCH(Y$1,'Tillförd energi'!$B$1:$AQ$1,0),FALSE)</f>
        <v>0</v>
      </c>
      <c r="Z387" s="31">
        <f>VLOOKUP($B387,'Tillförd energi'!$B$1:$AI$720,MATCH(Z$1,'Tillförd energi'!$B$1:$AQ$1,0),FALSE)</f>
        <v>0</v>
      </c>
      <c r="AA387" s="31">
        <f>VLOOKUP($B387,'Tillförd energi'!$B$1:$AI$720,MATCH(AA$1,'Tillförd energi'!$B$1:$AQ$1,0),FALSE)</f>
        <v>0</v>
      </c>
      <c r="AB387" s="31">
        <f>VLOOKUP($B387,'Tillförd energi'!$B$1:$AI$720,MATCH(AB$1,'Tillförd energi'!$B$1:$AQ$1,0),FALSE)</f>
        <v>0</v>
      </c>
      <c r="AC387" s="31">
        <f>VLOOKUP($B387,'Tillförd energi'!$B$1:$AI$720,MATCH(AC$1,'Tillförd energi'!$B$1:$AQ$1,0),FALSE)</f>
        <v>0</v>
      </c>
      <c r="AD387" s="31">
        <f>VLOOKUP($B387,'Tillförd energi'!$B$1:$AI$720,MATCH(AD$1,'Tillförd energi'!$B$1:$AQ$1,0),FALSE)</f>
        <v>0</v>
      </c>
      <c r="AE387" s="31">
        <f>VLOOKUP($B387,'Tillförd energi'!$B$1:$AI$720,MATCH(AE$1,'Tillförd energi'!$B$1:$AQ$1,0),FALSE)</f>
        <v>0</v>
      </c>
      <c r="AF387" s="31">
        <f>VLOOKUP($B387,'Tillförd energi'!$B$1:$AI$720,MATCH(AF$1,'Tillförd energi'!$B$1:$AQ$1,0),FALSE)</f>
        <v>0.26</v>
      </c>
      <c r="AG387" s="31">
        <f>IFERROR(VLOOKUP(B387,Miljö!$B$1:$AC$550,MATCH("Köpt mängd produktionsspecifik fjärrvärme:",Miljö!$B$1:$AC$1,0),FALSE)/1,0)</f>
        <v>0</v>
      </c>
      <c r="AI387" s="31">
        <f t="shared" ref="AI387:AI408" si="138">SUM(C387:AF387)</f>
        <v>18.697000000000003</v>
      </c>
      <c r="AJ387" s="31">
        <f t="shared" ref="AJ387:AJ408" si="139">SUM(C387:AG387)</f>
        <v>18.697000000000003</v>
      </c>
      <c r="AK387" s="31">
        <f>IF(ISERROR(1/VLOOKUP($B387,Leveranser!$B$1:$S$499,MATCH("Såld värme (GWh)",Leveranser!$B$1:$S$1,0),FALSE)),"",VLOOKUP($B387,Leveranser!$B$1:$S$499,MATCH("Såld värme (GWh)",Leveranser!$B$1:$S$1,0),FALSE))</f>
        <v>12.743</v>
      </c>
      <c r="AL387" s="31">
        <f>VLOOKUP($B387,Leveranser!$B$1:$Y$499,MATCH("Totalt såld fjärrvärme till andra fjärrvärmeföretag",Leveranser!$B$1:$AA$1,0),FALSE)</f>
        <v>0</v>
      </c>
      <c r="AM387" s="31">
        <f>IF(ISERROR(1/VLOOKUP($B387,Miljö!$B$1:$S$500,MATCH("Såld mängd produktionsspecifik fjärrvärme (GWh)",Miljö!$B$1:$R$1,0),FALSE)),0,VLOOKUP($B387,Miljö!$B$1:$S$500,MATCH("Såld mängd produktionsspecifik fjärrvärme (GWh)",Miljö!$B$1:$R$1,0),FALSE))</f>
        <v>0</v>
      </c>
      <c r="AN387" s="32">
        <f t="shared" ref="AN387:AN408" si="140">IFERROR(AK387/AJ387,"")</f>
        <v>0.68155319035139317</v>
      </c>
      <c r="AP387" s="31" t="str">
        <f>IFERROR(VLOOKUP($B387,Miljövärden!$B$2:$H$550,7,FALSE),"Nej, saknas")</f>
        <v>Ja</v>
      </c>
      <c r="AQ387" s="31" t="str">
        <f>IFERROR(VLOOKUP($B387,Miljövärden!$B$2:$H$551,6,FALSE),"Nej, saknas")</f>
        <v>Ja</v>
      </c>
      <c r="AU387" s="31">
        <f t="shared" ref="AU387:AU408" si="141">Z387+AA387+AF387</f>
        <v>0.26</v>
      </c>
      <c r="AV387" s="31">
        <f t="shared" ref="AV387:AV408" si="142">X387</f>
        <v>0</v>
      </c>
      <c r="AW387" s="31">
        <f t="shared" ref="AW387:AW408" si="143">M387+N387+O387+P387+Q387</f>
        <v>13.518000000000001</v>
      </c>
      <c r="AX387" s="31">
        <f t="shared" ref="AX387:AX408" si="144">R387+S387+T387+U387</f>
        <v>4.0330000000000004</v>
      </c>
      <c r="AZ387" s="31">
        <f t="shared" ref="AZ387:AZ408" si="145">L387+M387+N387+O387+P387+Q387+R387+S387+T387+U387+V387+W387+X387</f>
        <v>18.437000000000001</v>
      </c>
      <c r="BC387" s="31">
        <f t="shared" ref="BC387:BC408" si="146">C387+D387+E387+F387+G387+H387+AE387</f>
        <v>0</v>
      </c>
      <c r="BD387" s="31">
        <f t="shared" ref="BD387:BD408" si="147">Y387</f>
        <v>0</v>
      </c>
      <c r="BE387" s="31">
        <f t="shared" ref="BE387:BE408" si="148">M387+N387+O387+P387+Q387+R387+S387+T387+U387+V387+W387+X387</f>
        <v>18.437000000000001</v>
      </c>
      <c r="BF387" s="31">
        <f t="shared" ref="BF387:BF408" si="149">I387+J387+K387+L387+AB387+AC387+AD387</f>
        <v>0</v>
      </c>
      <c r="BG387" s="31">
        <f t="shared" ref="BG387:BG408" si="150">Z387+AA387+AF387</f>
        <v>0.26</v>
      </c>
      <c r="BH387" s="31">
        <f>VLOOKUP(B387,Miljö!$B$1:$BX$482,MATCH("Fossilandel för ursprungspecificerad el ()",Miljö!$B$1:$I$1,0),FALSE)</f>
        <v>0</v>
      </c>
      <c r="BI387" s="31">
        <f>VLOOKUP(B387,Miljö!$B$1:$BX$482,MATCH("Kärnkraftsandel för ursprungsspecificerad el ()",Miljö!$B$1:$O$1,0),FALSE)</f>
        <v>0</v>
      </c>
      <c r="BJ387" s="31">
        <f t="shared" ref="BJ387:BJ408" si="151">AG387</f>
        <v>0</v>
      </c>
      <c r="BK387" s="31" t="str">
        <f>VLOOKUP(B387,Miljö!$B$1:$P$482,MATCH("Fossil andel i procent (%)",Miljö!$B$1:$P$1,0),FALSE)</f>
        <v>ET</v>
      </c>
      <c r="BL387" s="31">
        <f t="shared" ref="BL387:BL408" si="152">SUM(BC387:BG387,BJ387)</f>
        <v>18.697000000000003</v>
      </c>
      <c r="BO387" s="32">
        <f t="shared" ref="BO387:BO408" si="153">IF(AP387="ja",(BC387+IFERROR(BG387*BH387,0)+IFERROR(BJ387*BK387/100,0))/$BL387,"")</f>
        <v>0</v>
      </c>
      <c r="BP387" s="32">
        <f t="shared" ref="BP387:BP408" si="154">IF(AP387="ja",(BD387+IFERROR(BG387*BI387,0)+IFERROR(BJ387*(1-BK387/100),0))/$BL387,"")</f>
        <v>0</v>
      </c>
      <c r="BQ387" s="32">
        <f t="shared" ref="BQ387:BQ408" si="155">IF(AP387="ja",(BE387+IFERROR(BG387*(1-BH387-BI387),0))/$BL387,"")</f>
        <v>1</v>
      </c>
      <c r="BR387" s="32">
        <f t="shared" ref="BR387:BR408" si="156">IF(AP387="Ja",BF387/$BL387,"")</f>
        <v>0</v>
      </c>
      <c r="BT387" s="62">
        <f t="shared" ref="BT387:BT408" si="157">SUM(BO387:BR387)</f>
        <v>1</v>
      </c>
      <c r="BW387" s="32">
        <f>IF(AP387="Ja",VLOOKUP(B387,Miljövärden!$B$2:$H$551,MATCH("Total andel fossilt",Miljövärden!$B$2:$H$2,0),FALSE),"")</f>
        <v>0</v>
      </c>
      <c r="BX387" s="62">
        <f t="shared" ref="BX387:BX408" si="158">BW387-BO387</f>
        <v>0</v>
      </c>
      <c r="BZ387" s="31">
        <f t="shared" ref="BZ387:BZ408" si="159">IFERROR(BW387-BO387,"")</f>
        <v>0</v>
      </c>
      <c r="CA387" s="32">
        <f t="shared" ref="CA387:CA408" si="160">IFERROR(ROUND(BW387,3)-ROUND(BO387,3),"")</f>
        <v>0</v>
      </c>
    </row>
    <row r="388" spans="1:79" x14ac:dyDescent="0.45">
      <c r="A388" s="31" t="s">
        <v>175</v>
      </c>
      <c r="B388" s="31" t="s">
        <v>179</v>
      </c>
      <c r="C388" s="31">
        <f>VLOOKUP($B388,'Tillförd energi'!$B$1:$AI$720,MATCH(C$1,'Tillförd energi'!$B$1:$AQ$1,0),FALSE)</f>
        <v>0</v>
      </c>
      <c r="D388" s="31">
        <f>VLOOKUP($B388,'Tillförd energi'!$B$1:$AI$720,MATCH(D$1,'Tillförd energi'!$B$1:$AQ$1,0),FALSE)</f>
        <v>0</v>
      </c>
      <c r="E388" s="31">
        <f>VLOOKUP($B388,'Tillförd energi'!$B$1:$AI$720,MATCH(E$1,'Tillförd energi'!$B$1:$AQ$1,0),FALSE)</f>
        <v>0</v>
      </c>
      <c r="F388" s="31">
        <f>VLOOKUP($B388,'Tillförd energi'!$B$1:$AI$720,MATCH(F$1,'Tillförd energi'!$B$1:$AQ$1,0),FALSE)</f>
        <v>0</v>
      </c>
      <c r="G388" s="31">
        <f>VLOOKUP($B388,'Tillförd energi'!$B$1:$AI$720,MATCH(G$1,'Tillförd energi'!$B$1:$AQ$1,0),FALSE)</f>
        <v>0</v>
      </c>
      <c r="H388" s="31">
        <f>VLOOKUP($B388,'Tillförd energi'!$B$1:$AI$720,MATCH(H$1,'Tillförd energi'!$B$1:$AQ$1,0),FALSE)</f>
        <v>0</v>
      </c>
      <c r="I388" s="31">
        <f>VLOOKUP($B388,'Tillförd energi'!$B$1:$AI$720,MATCH(I$1,'Tillförd energi'!$B$1:$AQ$1,0),FALSE)</f>
        <v>0</v>
      </c>
      <c r="J388" s="31">
        <f>VLOOKUP($B388,'Tillförd energi'!$B$1:$AI$720,MATCH(J$1,'Tillförd energi'!$B$1:$AQ$1,0),FALSE)</f>
        <v>0</v>
      </c>
      <c r="K388" s="31">
        <f>VLOOKUP($B388,'Tillförd energi'!$B$1:$AI$720,MATCH(K$1,'Tillförd energi'!$B$1:$AQ$1,0),FALSE)</f>
        <v>0</v>
      </c>
      <c r="L388" s="31">
        <f>VLOOKUP($B388,'Tillförd energi'!$B$1:$AI$720,MATCH(L$1,'Tillförd energi'!$B$1:$AQ$1,0),FALSE)</f>
        <v>0</v>
      </c>
      <c r="M388" s="31">
        <f>VLOOKUP($B388,'Tillförd energi'!$B$1:$AI$720,MATCH(M$1,'Tillförd energi'!$B$1:$AQ$1,0),FALSE)</f>
        <v>0</v>
      </c>
      <c r="N388" s="31">
        <f>VLOOKUP($B388,'Tillförd energi'!$B$1:$AI$720,MATCH(N$1,'Tillförd energi'!$B$1:$AQ$1,0),FALSE)</f>
        <v>0</v>
      </c>
      <c r="O388" s="31">
        <f>VLOOKUP($B388,'Tillförd energi'!$B$1:$AI$720,MATCH(O$1,'Tillförd energi'!$B$1:$AQ$1,0),FALSE)</f>
        <v>0</v>
      </c>
      <c r="P388" s="31">
        <f>VLOOKUP($B388,'Tillförd energi'!$B$1:$AI$720,MATCH(P$1,'Tillförd energi'!$B$1:$AQ$1,0),FALSE)</f>
        <v>6.8650000000000002</v>
      </c>
      <c r="Q388" s="31">
        <f>VLOOKUP($B388,'Tillförd energi'!$B$1:$AI$720,MATCH(Q$1,'Tillförd energi'!$B$1:$AQ$1,0),FALSE)</f>
        <v>0</v>
      </c>
      <c r="R388" s="31">
        <f>VLOOKUP($B388,'Tillförd energi'!$B$1:$AI$720,MATCH(R$1,'Tillförd energi'!$B$1:$AQ$1,0),FALSE)</f>
        <v>3.3380000000000001</v>
      </c>
      <c r="S388" s="31">
        <f>VLOOKUP($B388,'Tillförd energi'!$B$1:$AI$720,MATCH(S$1,'Tillförd energi'!$B$1:$AQ$1,0),FALSE)</f>
        <v>0</v>
      </c>
      <c r="T388" s="31">
        <f>VLOOKUP($B388,'Tillförd energi'!$B$1:$AI$720,MATCH(T$1,'Tillförd energi'!$B$1:$AQ$1,0),FALSE)</f>
        <v>0</v>
      </c>
      <c r="U388" s="31">
        <f>VLOOKUP($B388,'Tillförd energi'!$B$1:$AI$720,MATCH(U$1,'Tillförd energi'!$B$1:$AQ$1,0),FALSE)</f>
        <v>0</v>
      </c>
      <c r="V388" s="31">
        <f>VLOOKUP($B388,'Tillförd energi'!$B$1:$AI$720,MATCH(V$1,'Tillförd energi'!$B$1:$AQ$1,0),FALSE)</f>
        <v>0</v>
      </c>
      <c r="W388" s="31">
        <f>VLOOKUP($B388,'Tillförd energi'!$B$1:$AI$720,MATCH(W$1,'Tillförd energi'!$B$1:$AQ$1,0),FALSE)</f>
        <v>0.98</v>
      </c>
      <c r="X388" s="31">
        <f>VLOOKUP($B388,'Tillförd energi'!$B$1:$AI$720,MATCH(X$1,'Tillförd energi'!$B$1:$AQ$1,0),FALSE)</f>
        <v>0</v>
      </c>
      <c r="Y388" s="31">
        <f>VLOOKUP($B388,'Tillförd energi'!$B$1:$AI$720,MATCH(Y$1,'Tillförd energi'!$B$1:$AQ$1,0),FALSE)</f>
        <v>0</v>
      </c>
      <c r="Z388" s="31">
        <f>VLOOKUP($B388,'Tillförd energi'!$B$1:$AI$720,MATCH(Z$1,'Tillförd energi'!$B$1:$AQ$1,0),FALSE)</f>
        <v>0</v>
      </c>
      <c r="AA388" s="31">
        <f>VLOOKUP($B388,'Tillförd energi'!$B$1:$AI$720,MATCH(AA$1,'Tillförd energi'!$B$1:$AQ$1,0),FALSE)</f>
        <v>0</v>
      </c>
      <c r="AB388" s="31">
        <f>VLOOKUP($B388,'Tillförd energi'!$B$1:$AI$720,MATCH(AB$1,'Tillförd energi'!$B$1:$AQ$1,0),FALSE)</f>
        <v>0</v>
      </c>
      <c r="AC388" s="31">
        <f>VLOOKUP($B388,'Tillförd energi'!$B$1:$AI$720,MATCH(AC$1,'Tillförd energi'!$B$1:$AQ$1,0),FALSE)</f>
        <v>0</v>
      </c>
      <c r="AD388" s="31">
        <f>VLOOKUP($B388,'Tillförd energi'!$B$1:$AI$720,MATCH(AD$1,'Tillförd energi'!$B$1:$AQ$1,0),FALSE)</f>
        <v>0</v>
      </c>
      <c r="AE388" s="31">
        <f>VLOOKUP($B388,'Tillförd energi'!$B$1:$AI$720,MATCH(AE$1,'Tillförd energi'!$B$1:$AQ$1,0),FALSE)</f>
        <v>0</v>
      </c>
      <c r="AF388" s="31">
        <f>VLOOKUP($B388,'Tillförd energi'!$B$1:$AI$720,MATCH(AF$1,'Tillförd energi'!$B$1:$AQ$1,0),FALSE)</f>
        <v>0.2</v>
      </c>
      <c r="AG388" s="31">
        <f>IFERROR(VLOOKUP(B388,Miljö!$B$1:$AC$550,MATCH("Köpt mängd produktionsspecifik fjärrvärme:",Miljö!$B$1:$AC$1,0),FALSE)/1,0)</f>
        <v>0</v>
      </c>
      <c r="AI388" s="31">
        <f t="shared" si="138"/>
        <v>11.382999999999999</v>
      </c>
      <c r="AJ388" s="31">
        <f t="shared" si="139"/>
        <v>11.382999999999999</v>
      </c>
      <c r="AK388" s="31">
        <f>IF(ISERROR(1/VLOOKUP($B388,Leveranser!$B$1:$S$499,MATCH("Såld värme (GWh)",Leveranser!$B$1:$S$1,0),FALSE)),"",VLOOKUP($B388,Leveranser!$B$1:$S$499,MATCH("Såld värme (GWh)",Leveranser!$B$1:$S$1,0),FALSE))</f>
        <v>7.5730000000000004</v>
      </c>
      <c r="AL388" s="31">
        <f>VLOOKUP($B388,Leveranser!$B$1:$Y$499,MATCH("Totalt såld fjärrvärme till andra fjärrvärmeföretag",Leveranser!$B$1:$AA$1,0),FALSE)</f>
        <v>0</v>
      </c>
      <c r="AM388" s="31">
        <f>IF(ISERROR(1/VLOOKUP($B388,Miljö!$B$1:$S$500,MATCH("Såld mängd produktionsspecifik fjärrvärme (GWh)",Miljö!$B$1:$R$1,0),FALSE)),0,VLOOKUP($B388,Miljö!$B$1:$S$500,MATCH("Såld mängd produktionsspecifik fjärrvärme (GWh)",Miljö!$B$1:$R$1,0),FALSE))</f>
        <v>0</v>
      </c>
      <c r="AN388" s="32">
        <f t="shared" si="140"/>
        <v>0.66529034525169117</v>
      </c>
      <c r="AP388" s="31" t="str">
        <f>IFERROR(VLOOKUP($B388,Miljövärden!$B$2:$H$550,7,FALSE),"Nej, saknas")</f>
        <v>Ja</v>
      </c>
      <c r="AQ388" s="31" t="str">
        <f>IFERROR(VLOOKUP($B388,Miljövärden!$B$2:$H$551,6,FALSE),"Nej, saknas")</f>
        <v>Ja</v>
      </c>
      <c r="AU388" s="31">
        <f t="shared" si="141"/>
        <v>0.2</v>
      </c>
      <c r="AV388" s="31">
        <f t="shared" si="142"/>
        <v>0</v>
      </c>
      <c r="AW388" s="31">
        <f t="shared" si="143"/>
        <v>6.8650000000000002</v>
      </c>
      <c r="AX388" s="31">
        <f t="shared" si="144"/>
        <v>3.3380000000000001</v>
      </c>
      <c r="AZ388" s="31">
        <f t="shared" si="145"/>
        <v>11.183</v>
      </c>
      <c r="BC388" s="31">
        <f t="shared" si="146"/>
        <v>0</v>
      </c>
      <c r="BD388" s="31">
        <f t="shared" si="147"/>
        <v>0</v>
      </c>
      <c r="BE388" s="31">
        <f t="shared" si="148"/>
        <v>11.183</v>
      </c>
      <c r="BF388" s="31">
        <f t="shared" si="149"/>
        <v>0</v>
      </c>
      <c r="BG388" s="31">
        <f t="shared" si="150"/>
        <v>0.2</v>
      </c>
      <c r="BH388" s="31">
        <f>VLOOKUP(B388,Miljö!$B$1:$BX$482,MATCH("Fossilandel för ursprungspecificerad el ()",Miljö!$B$1:$I$1,0),FALSE)</f>
        <v>0</v>
      </c>
      <c r="BI388" s="31">
        <f>VLOOKUP(B388,Miljö!$B$1:$BX$482,MATCH("Kärnkraftsandel för ursprungsspecificerad el ()",Miljö!$B$1:$O$1,0),FALSE)</f>
        <v>0</v>
      </c>
      <c r="BJ388" s="31">
        <f t="shared" si="151"/>
        <v>0</v>
      </c>
      <c r="BK388" s="31" t="str">
        <f>VLOOKUP(B388,Miljö!$B$1:$P$482,MATCH("Fossil andel i procent (%)",Miljö!$B$1:$P$1,0),FALSE)</f>
        <v>ET</v>
      </c>
      <c r="BL388" s="31">
        <f t="shared" si="152"/>
        <v>11.382999999999999</v>
      </c>
      <c r="BO388" s="32">
        <f t="shared" si="153"/>
        <v>0</v>
      </c>
      <c r="BP388" s="32">
        <f t="shared" si="154"/>
        <v>0</v>
      </c>
      <c r="BQ388" s="32">
        <f t="shared" si="155"/>
        <v>1</v>
      </c>
      <c r="BR388" s="32">
        <f t="shared" si="156"/>
        <v>0</v>
      </c>
      <c r="BT388" s="62">
        <f t="shared" si="157"/>
        <v>1</v>
      </c>
      <c r="BW388" s="32">
        <f>IF(AP388="Ja",VLOOKUP(B388,Miljövärden!$B$2:$H$551,MATCH("Total andel fossilt",Miljövärden!$B$2:$H$2,0),FALSE),"")</f>
        <v>0</v>
      </c>
      <c r="BX388" s="62">
        <f t="shared" si="158"/>
        <v>0</v>
      </c>
      <c r="BZ388" s="31">
        <f t="shared" si="159"/>
        <v>0</v>
      </c>
      <c r="CA388" s="32">
        <f t="shared" si="160"/>
        <v>0</v>
      </c>
    </row>
    <row r="389" spans="1:79" x14ac:dyDescent="0.45">
      <c r="A389" s="31" t="s">
        <v>175</v>
      </c>
      <c r="B389" s="31" t="s">
        <v>178</v>
      </c>
      <c r="C389" s="31">
        <f>VLOOKUP($B389,'Tillförd energi'!$B$1:$AI$720,MATCH(C$1,'Tillförd energi'!$B$1:$AQ$1,0),FALSE)</f>
        <v>0</v>
      </c>
      <c r="D389" s="31">
        <f>VLOOKUP($B389,'Tillförd energi'!$B$1:$AI$720,MATCH(D$1,'Tillförd energi'!$B$1:$AQ$1,0),FALSE)</f>
        <v>0</v>
      </c>
      <c r="E389" s="31">
        <f>VLOOKUP($B389,'Tillförd energi'!$B$1:$AI$720,MATCH(E$1,'Tillförd energi'!$B$1:$AQ$1,0),FALSE)</f>
        <v>0</v>
      </c>
      <c r="F389" s="31">
        <f>VLOOKUP($B389,'Tillförd energi'!$B$1:$AI$720,MATCH(F$1,'Tillförd energi'!$B$1:$AQ$1,0),FALSE)</f>
        <v>0</v>
      </c>
      <c r="G389" s="31">
        <f>VLOOKUP($B389,'Tillförd energi'!$B$1:$AI$720,MATCH(G$1,'Tillförd energi'!$B$1:$AQ$1,0),FALSE)</f>
        <v>0</v>
      </c>
      <c r="H389" s="31">
        <f>VLOOKUP($B389,'Tillförd energi'!$B$1:$AI$720,MATCH(H$1,'Tillförd energi'!$B$1:$AQ$1,0),FALSE)</f>
        <v>0</v>
      </c>
      <c r="I389" s="31">
        <f>VLOOKUP($B389,'Tillförd energi'!$B$1:$AI$720,MATCH(I$1,'Tillförd energi'!$B$1:$AQ$1,0),FALSE)</f>
        <v>0</v>
      </c>
      <c r="J389" s="31">
        <f>VLOOKUP($B389,'Tillförd energi'!$B$1:$AI$720,MATCH(J$1,'Tillförd energi'!$B$1:$AQ$1,0),FALSE)</f>
        <v>0</v>
      </c>
      <c r="K389" s="31">
        <f>VLOOKUP($B389,'Tillförd energi'!$B$1:$AI$720,MATCH(K$1,'Tillförd energi'!$B$1:$AQ$1,0),FALSE)</f>
        <v>0</v>
      </c>
      <c r="L389" s="31">
        <f>VLOOKUP($B389,'Tillförd energi'!$B$1:$AI$720,MATCH(L$1,'Tillförd energi'!$B$1:$AQ$1,0),FALSE)</f>
        <v>0</v>
      </c>
      <c r="M389" s="31">
        <f>VLOOKUP($B389,'Tillförd energi'!$B$1:$AI$720,MATCH(M$1,'Tillförd energi'!$B$1:$AQ$1,0),FALSE)</f>
        <v>0</v>
      </c>
      <c r="N389" s="31">
        <f>VLOOKUP($B389,'Tillförd energi'!$B$1:$AI$720,MATCH(N$1,'Tillförd energi'!$B$1:$AQ$1,0),FALSE)</f>
        <v>0</v>
      </c>
      <c r="O389" s="31">
        <f>VLOOKUP($B389,'Tillförd energi'!$B$1:$AI$720,MATCH(O$1,'Tillförd energi'!$B$1:$AQ$1,0),FALSE)</f>
        <v>0</v>
      </c>
      <c r="P389" s="31">
        <f>VLOOKUP($B389,'Tillförd energi'!$B$1:$AI$720,MATCH(P$1,'Tillförd energi'!$B$1:$AQ$1,0),FALSE)</f>
        <v>13.128</v>
      </c>
      <c r="Q389" s="31">
        <f>VLOOKUP($B389,'Tillförd energi'!$B$1:$AI$720,MATCH(Q$1,'Tillförd energi'!$B$1:$AQ$1,0),FALSE)</f>
        <v>0</v>
      </c>
      <c r="R389" s="31">
        <f>VLOOKUP($B389,'Tillförd energi'!$B$1:$AI$720,MATCH(R$1,'Tillförd energi'!$B$1:$AQ$1,0),FALSE)</f>
        <v>0</v>
      </c>
      <c r="S389" s="31">
        <f>VLOOKUP($B389,'Tillförd energi'!$B$1:$AI$720,MATCH(S$1,'Tillförd energi'!$B$1:$AQ$1,0),FALSE)</f>
        <v>0</v>
      </c>
      <c r="T389" s="31">
        <f>VLOOKUP($B389,'Tillförd energi'!$B$1:$AI$720,MATCH(T$1,'Tillförd energi'!$B$1:$AQ$1,0),FALSE)</f>
        <v>0</v>
      </c>
      <c r="U389" s="31">
        <f>VLOOKUP($B389,'Tillförd energi'!$B$1:$AI$720,MATCH(U$1,'Tillförd energi'!$B$1:$AQ$1,0),FALSE)</f>
        <v>0</v>
      </c>
      <c r="V389" s="31">
        <f>VLOOKUP($B389,'Tillförd energi'!$B$1:$AI$720,MATCH(V$1,'Tillförd energi'!$B$1:$AQ$1,0),FALSE)</f>
        <v>0</v>
      </c>
      <c r="W389" s="31">
        <f>VLOOKUP($B389,'Tillförd energi'!$B$1:$AI$720,MATCH(W$1,'Tillförd energi'!$B$1:$AQ$1,0),FALSE)</f>
        <v>0.95399999999999996</v>
      </c>
      <c r="X389" s="31">
        <f>VLOOKUP($B389,'Tillförd energi'!$B$1:$AI$720,MATCH(X$1,'Tillförd energi'!$B$1:$AQ$1,0),FALSE)</f>
        <v>0</v>
      </c>
      <c r="Y389" s="31">
        <f>VLOOKUP($B389,'Tillförd energi'!$B$1:$AI$720,MATCH(Y$1,'Tillförd energi'!$B$1:$AQ$1,0),FALSE)</f>
        <v>0</v>
      </c>
      <c r="Z389" s="31">
        <f>VLOOKUP($B389,'Tillförd energi'!$B$1:$AI$720,MATCH(Z$1,'Tillförd energi'!$B$1:$AQ$1,0),FALSE)</f>
        <v>0</v>
      </c>
      <c r="AA389" s="31">
        <f>VLOOKUP($B389,'Tillförd energi'!$B$1:$AI$720,MATCH(AA$1,'Tillförd energi'!$B$1:$AQ$1,0),FALSE)</f>
        <v>0</v>
      </c>
      <c r="AB389" s="31">
        <f>VLOOKUP($B389,'Tillförd energi'!$B$1:$AI$720,MATCH(AB$1,'Tillförd energi'!$B$1:$AQ$1,0),FALSE)</f>
        <v>0</v>
      </c>
      <c r="AC389" s="31">
        <f>VLOOKUP($B389,'Tillförd energi'!$B$1:$AI$720,MATCH(AC$1,'Tillförd energi'!$B$1:$AQ$1,0),FALSE)</f>
        <v>0</v>
      </c>
      <c r="AD389" s="31">
        <f>VLOOKUP($B389,'Tillförd energi'!$B$1:$AI$720,MATCH(AD$1,'Tillförd energi'!$B$1:$AQ$1,0),FALSE)</f>
        <v>0</v>
      </c>
      <c r="AE389" s="31">
        <f>VLOOKUP($B389,'Tillförd energi'!$B$1:$AI$720,MATCH(AE$1,'Tillförd energi'!$B$1:$AQ$1,0),FALSE)</f>
        <v>0</v>
      </c>
      <c r="AF389" s="31">
        <f>VLOOKUP($B389,'Tillförd energi'!$B$1:$AI$720,MATCH(AF$1,'Tillförd energi'!$B$1:$AQ$1,0),FALSE)</f>
        <v>0.19</v>
      </c>
      <c r="AG389" s="31">
        <f>IFERROR(VLOOKUP(B389,Miljö!$B$1:$AC$550,MATCH("Köpt mängd produktionsspecifik fjärrvärme:",Miljö!$B$1:$AC$1,0),FALSE)/1,0)</f>
        <v>0</v>
      </c>
      <c r="AI389" s="31">
        <f t="shared" si="138"/>
        <v>14.272</v>
      </c>
      <c r="AJ389" s="31">
        <f t="shared" si="139"/>
        <v>14.272</v>
      </c>
      <c r="AK389" s="31">
        <f>IF(ISERROR(1/VLOOKUP($B389,Leveranser!$B$1:$S$499,MATCH("Såld värme (GWh)",Leveranser!$B$1:$S$1,0),FALSE)),"",VLOOKUP($B389,Leveranser!$B$1:$S$499,MATCH("Såld värme (GWh)",Leveranser!$B$1:$S$1,0),FALSE))</f>
        <v>9.7870000000000008</v>
      </c>
      <c r="AL389" s="31">
        <f>VLOOKUP($B389,Leveranser!$B$1:$Y$499,MATCH("Totalt såld fjärrvärme till andra fjärrvärmeföretag",Leveranser!$B$1:$AA$1,0),FALSE)</f>
        <v>0</v>
      </c>
      <c r="AM389" s="31">
        <f>IF(ISERROR(1/VLOOKUP($B389,Miljö!$B$1:$S$500,MATCH("Såld mängd produktionsspecifik fjärrvärme (GWh)",Miljö!$B$1:$R$1,0),FALSE)),0,VLOOKUP($B389,Miljö!$B$1:$S$500,MATCH("Såld mängd produktionsspecifik fjärrvärme (GWh)",Miljö!$B$1:$R$1,0),FALSE))</f>
        <v>0</v>
      </c>
      <c r="AN389" s="32">
        <f t="shared" si="140"/>
        <v>0.68574831838565031</v>
      </c>
      <c r="AP389" s="31" t="str">
        <f>IFERROR(VLOOKUP($B389,Miljövärden!$B$2:$H$550,7,FALSE),"Nej, saknas")</f>
        <v>Ja</v>
      </c>
      <c r="AQ389" s="31" t="str">
        <f>IFERROR(VLOOKUP($B389,Miljövärden!$B$2:$H$551,6,FALSE),"Nej, saknas")</f>
        <v>Ja</v>
      </c>
      <c r="AU389" s="31">
        <f t="shared" si="141"/>
        <v>0.19</v>
      </c>
      <c r="AV389" s="31">
        <f t="shared" si="142"/>
        <v>0</v>
      </c>
      <c r="AW389" s="31">
        <f t="shared" si="143"/>
        <v>13.128</v>
      </c>
      <c r="AX389" s="31">
        <f t="shared" si="144"/>
        <v>0</v>
      </c>
      <c r="AZ389" s="31">
        <f t="shared" si="145"/>
        <v>14.082000000000001</v>
      </c>
      <c r="BC389" s="31">
        <f t="shared" si="146"/>
        <v>0</v>
      </c>
      <c r="BD389" s="31">
        <f t="shared" si="147"/>
        <v>0</v>
      </c>
      <c r="BE389" s="31">
        <f t="shared" si="148"/>
        <v>14.082000000000001</v>
      </c>
      <c r="BF389" s="31">
        <f t="shared" si="149"/>
        <v>0</v>
      </c>
      <c r="BG389" s="31">
        <f t="shared" si="150"/>
        <v>0.19</v>
      </c>
      <c r="BH389" s="31">
        <f>VLOOKUP(B389,Miljö!$B$1:$BX$482,MATCH("Fossilandel för ursprungspecificerad el ()",Miljö!$B$1:$I$1,0),FALSE)</f>
        <v>0</v>
      </c>
      <c r="BI389" s="31">
        <f>VLOOKUP(B389,Miljö!$B$1:$BX$482,MATCH("Kärnkraftsandel för ursprungsspecificerad el ()",Miljö!$B$1:$O$1,0),FALSE)</f>
        <v>0</v>
      </c>
      <c r="BJ389" s="31">
        <f t="shared" si="151"/>
        <v>0</v>
      </c>
      <c r="BK389" s="31" t="str">
        <f>VLOOKUP(B389,Miljö!$B$1:$P$482,MATCH("Fossil andel i procent (%)",Miljö!$B$1:$P$1,0),FALSE)</f>
        <v>ET</v>
      </c>
      <c r="BL389" s="31">
        <f t="shared" si="152"/>
        <v>14.272</v>
      </c>
      <c r="BO389" s="32">
        <f t="shared" si="153"/>
        <v>0</v>
      </c>
      <c r="BP389" s="32">
        <f t="shared" si="154"/>
        <v>0</v>
      </c>
      <c r="BQ389" s="32">
        <f t="shared" si="155"/>
        <v>1</v>
      </c>
      <c r="BR389" s="32">
        <f t="shared" si="156"/>
        <v>0</v>
      </c>
      <c r="BT389" s="62">
        <f t="shared" si="157"/>
        <v>1</v>
      </c>
      <c r="BW389" s="32">
        <f>IF(AP389="Ja",VLOOKUP(B389,Miljövärden!$B$2:$H$551,MATCH("Total andel fossilt",Miljövärden!$B$2:$H$2,0),FALSE),"")</f>
        <v>0</v>
      </c>
      <c r="BX389" s="62">
        <f t="shared" si="158"/>
        <v>0</v>
      </c>
      <c r="BZ389" s="31">
        <f t="shared" si="159"/>
        <v>0</v>
      </c>
      <c r="CA389" s="32">
        <f t="shared" si="160"/>
        <v>0</v>
      </c>
    </row>
    <row r="390" spans="1:79" x14ac:dyDescent="0.45">
      <c r="A390" s="31" t="s">
        <v>175</v>
      </c>
      <c r="B390" s="31" t="s">
        <v>174</v>
      </c>
      <c r="C390" s="31">
        <f>VLOOKUP($B390,'Tillförd energi'!$B$1:$AI$720,MATCH(C$1,'Tillförd energi'!$B$1:$AQ$1,0),FALSE)</f>
        <v>0</v>
      </c>
      <c r="D390" s="31">
        <f>VLOOKUP($B390,'Tillförd energi'!$B$1:$AI$720,MATCH(D$1,'Tillförd energi'!$B$1:$AQ$1,0),FALSE)</f>
        <v>0.68101100000000003</v>
      </c>
      <c r="E390" s="31">
        <f>VLOOKUP($B390,'Tillförd energi'!$B$1:$AI$720,MATCH(E$1,'Tillförd energi'!$B$1:$AQ$1,0),FALSE)</f>
        <v>0</v>
      </c>
      <c r="F390" s="31">
        <f>VLOOKUP($B390,'Tillförd energi'!$B$1:$AI$720,MATCH(F$1,'Tillförd energi'!$B$1:$AQ$1,0),FALSE)</f>
        <v>0</v>
      </c>
      <c r="G390" s="31">
        <f>VLOOKUP($B390,'Tillförd energi'!$B$1:$AI$720,MATCH(G$1,'Tillförd energi'!$B$1:$AQ$1,0),FALSE)</f>
        <v>0</v>
      </c>
      <c r="H390" s="31">
        <f>VLOOKUP($B390,'Tillförd energi'!$B$1:$AI$720,MATCH(H$1,'Tillförd energi'!$B$1:$AQ$1,0),FALSE)</f>
        <v>0</v>
      </c>
      <c r="I390" s="31">
        <f>VLOOKUP($B390,'Tillförd energi'!$B$1:$AI$720,MATCH(I$1,'Tillförd energi'!$B$1:$AQ$1,0),FALSE)</f>
        <v>0</v>
      </c>
      <c r="J390" s="31">
        <f>VLOOKUP($B390,'Tillförd energi'!$B$1:$AI$720,MATCH(J$1,'Tillförd energi'!$B$1:$AQ$1,0),FALSE)</f>
        <v>0</v>
      </c>
      <c r="K390" s="31">
        <f>VLOOKUP($B390,'Tillförd energi'!$B$1:$AI$720,MATCH(K$1,'Tillförd energi'!$B$1:$AQ$1,0),FALSE)</f>
        <v>0</v>
      </c>
      <c r="L390" s="31">
        <f>VLOOKUP($B390,'Tillförd energi'!$B$1:$AI$720,MATCH(L$1,'Tillförd energi'!$B$1:$AQ$1,0),FALSE)</f>
        <v>22.475999999999999</v>
      </c>
      <c r="M390" s="31">
        <f>VLOOKUP($B390,'Tillförd energi'!$B$1:$AI$720,MATCH(M$1,'Tillförd energi'!$B$1:$AQ$1,0),FALSE)</f>
        <v>56.307899999999997</v>
      </c>
      <c r="N390" s="31">
        <f>VLOOKUP($B390,'Tillförd energi'!$B$1:$AI$720,MATCH(N$1,'Tillförd energi'!$B$1:$AQ$1,0),FALSE)</f>
        <v>212.048</v>
      </c>
      <c r="O390" s="31">
        <f>VLOOKUP($B390,'Tillförd energi'!$B$1:$AI$720,MATCH(O$1,'Tillförd energi'!$B$1:$AQ$1,0),FALSE)</f>
        <v>51.218899999999998</v>
      </c>
      <c r="P390" s="31">
        <f>VLOOKUP($B390,'Tillförd energi'!$B$1:$AI$720,MATCH(P$1,'Tillförd energi'!$B$1:$AQ$1,0),FALSE)</f>
        <v>63.950800000000001</v>
      </c>
      <c r="Q390" s="31">
        <f>VLOOKUP($B390,'Tillförd energi'!$B$1:$AI$720,MATCH(Q$1,'Tillförd energi'!$B$1:$AQ$1,0),FALSE)</f>
        <v>0</v>
      </c>
      <c r="R390" s="31">
        <f>VLOOKUP($B390,'Tillförd energi'!$B$1:$AI$720,MATCH(R$1,'Tillförd energi'!$B$1:$AQ$1,0),FALSE)</f>
        <v>0</v>
      </c>
      <c r="S390" s="31">
        <f>VLOOKUP($B390,'Tillförd energi'!$B$1:$AI$720,MATCH(S$1,'Tillförd energi'!$B$1:$AQ$1,0),FALSE)</f>
        <v>0</v>
      </c>
      <c r="T390" s="31">
        <f>VLOOKUP($B390,'Tillförd energi'!$B$1:$AI$720,MATCH(T$1,'Tillförd energi'!$B$1:$AQ$1,0),FALSE)</f>
        <v>0</v>
      </c>
      <c r="U390" s="31">
        <f>VLOOKUP($B390,'Tillförd energi'!$B$1:$AI$720,MATCH(U$1,'Tillförd energi'!$B$1:$AQ$1,0),FALSE)</f>
        <v>0</v>
      </c>
      <c r="V390" s="31">
        <f>VLOOKUP($B390,'Tillförd energi'!$B$1:$AI$720,MATCH(V$1,'Tillförd energi'!$B$1:$AQ$1,0),FALSE)</f>
        <v>0</v>
      </c>
      <c r="W390" s="31">
        <f>VLOOKUP($B390,'Tillförd energi'!$B$1:$AI$720,MATCH(W$1,'Tillförd energi'!$B$1:$AQ$1,0),FALSE)</f>
        <v>0.1</v>
      </c>
      <c r="X390" s="31">
        <f>VLOOKUP($B390,'Tillförd energi'!$B$1:$AI$720,MATCH(X$1,'Tillförd energi'!$B$1:$AQ$1,0),FALSE)</f>
        <v>0</v>
      </c>
      <c r="Y390" s="31">
        <f>VLOOKUP($B390,'Tillförd energi'!$B$1:$AI$720,MATCH(Y$1,'Tillförd energi'!$B$1:$AQ$1,0),FALSE)</f>
        <v>25.1846</v>
      </c>
      <c r="Z390" s="31">
        <f>VLOOKUP($B390,'Tillförd energi'!$B$1:$AI$720,MATCH(Z$1,'Tillförd energi'!$B$1:$AQ$1,0),FALSE)</f>
        <v>0</v>
      </c>
      <c r="AA390" s="31">
        <f>VLOOKUP($B390,'Tillförd energi'!$B$1:$AI$720,MATCH(AA$1,'Tillförd energi'!$B$1:$AQ$1,0),FALSE)</f>
        <v>0</v>
      </c>
      <c r="AB390" s="31">
        <f>VLOOKUP($B390,'Tillförd energi'!$B$1:$AI$720,MATCH(AB$1,'Tillförd energi'!$B$1:$AQ$1,0),FALSE)</f>
        <v>0</v>
      </c>
      <c r="AC390" s="31">
        <f>VLOOKUP($B390,'Tillförd energi'!$B$1:$AI$720,MATCH(AC$1,'Tillförd energi'!$B$1:$AQ$1,0),FALSE)</f>
        <v>67.3</v>
      </c>
      <c r="AD390" s="31">
        <f>VLOOKUP($B390,'Tillförd energi'!$B$1:$AI$720,MATCH(AD$1,'Tillförd energi'!$B$1:$AQ$1,0),FALSE)</f>
        <v>0.5</v>
      </c>
      <c r="AE390" s="31">
        <f>VLOOKUP($B390,'Tillförd energi'!$B$1:$AI$720,MATCH(AE$1,'Tillförd energi'!$B$1:$AQ$1,0),FALSE)</f>
        <v>0</v>
      </c>
      <c r="AF390" s="31">
        <f>VLOOKUP($B390,'Tillförd energi'!$B$1:$AI$720,MATCH(AF$1,'Tillförd energi'!$B$1:$AQ$1,0),FALSE)</f>
        <v>14.146699999999999</v>
      </c>
      <c r="AG390" s="31">
        <f>IFERROR(VLOOKUP(B390,Miljö!$B$1:$AC$550,MATCH("Köpt mängd produktionsspecifik fjärrvärme:",Miljö!$B$1:$AC$1,0),FALSE)/1,0)</f>
        <v>0</v>
      </c>
      <c r="AI390" s="31">
        <f t="shared" si="138"/>
        <v>513.9139110000001</v>
      </c>
      <c r="AJ390" s="31">
        <f t="shared" si="139"/>
        <v>513.9139110000001</v>
      </c>
      <c r="AK390" s="31">
        <f>IF(ISERROR(1/VLOOKUP($B390,Leveranser!$B$1:$S$499,MATCH("Såld värme (GWh)",Leveranser!$B$1:$S$1,0),FALSE)),"",VLOOKUP($B390,Leveranser!$B$1:$S$499,MATCH("Såld värme (GWh)",Leveranser!$B$1:$S$1,0),FALSE))</f>
        <v>516.13099999999997</v>
      </c>
      <c r="AL390" s="31">
        <f>VLOOKUP($B390,Leveranser!$B$1:$Y$499,MATCH("Totalt såld fjärrvärme till andra fjärrvärmeföretag",Leveranser!$B$1:$AA$1,0),FALSE)</f>
        <v>0</v>
      </c>
      <c r="AM390" s="31">
        <f>IF(ISERROR(1/VLOOKUP($B390,Miljö!$B$1:$S$500,MATCH("Såld mängd produktionsspecifik fjärrvärme (GWh)",Miljö!$B$1:$R$1,0),FALSE)),0,VLOOKUP($B390,Miljö!$B$1:$S$500,MATCH("Såld mängd produktionsspecifik fjärrvärme (GWh)",Miljö!$B$1:$R$1,0),FALSE))</f>
        <v>0</v>
      </c>
      <c r="AN390" s="32">
        <f t="shared" si="140"/>
        <v>1.0043141252893617</v>
      </c>
      <c r="AP390" s="31" t="str">
        <f>IFERROR(VLOOKUP($B390,Miljövärden!$B$2:$H$550,7,FALSE),"Nej, saknas")</f>
        <v>Ja</v>
      </c>
      <c r="AQ390" s="31" t="str">
        <f>IFERROR(VLOOKUP($B390,Miljövärden!$B$2:$H$551,6,FALSE),"Nej, saknas")</f>
        <v>Ja</v>
      </c>
      <c r="AU390" s="31">
        <f t="shared" si="141"/>
        <v>14.146699999999999</v>
      </c>
      <c r="AV390" s="31">
        <f t="shared" si="142"/>
        <v>0</v>
      </c>
      <c r="AW390" s="31">
        <f t="shared" si="143"/>
        <v>383.52560000000005</v>
      </c>
      <c r="AX390" s="31">
        <f t="shared" si="144"/>
        <v>0</v>
      </c>
      <c r="AZ390" s="31">
        <f t="shared" si="145"/>
        <v>406.10160000000008</v>
      </c>
      <c r="BC390" s="31">
        <f t="shared" si="146"/>
        <v>0.68101100000000003</v>
      </c>
      <c r="BD390" s="31">
        <f t="shared" si="147"/>
        <v>25.1846</v>
      </c>
      <c r="BE390" s="31">
        <f t="shared" si="148"/>
        <v>383.62560000000008</v>
      </c>
      <c r="BF390" s="31">
        <f t="shared" si="149"/>
        <v>90.275999999999996</v>
      </c>
      <c r="BG390" s="31">
        <f t="shared" si="150"/>
        <v>14.146699999999999</v>
      </c>
      <c r="BH390" s="31">
        <f>VLOOKUP(B390,Miljö!$B$1:$BX$482,MATCH("Fossilandel för ursprungspecificerad el ()",Miljö!$B$1:$I$1,0),FALSE)</f>
        <v>0</v>
      </c>
      <c r="BI390" s="31">
        <f>VLOOKUP(B390,Miljö!$B$1:$BX$482,MATCH("Kärnkraftsandel för ursprungsspecificerad el ()",Miljö!$B$1:$O$1,0),FALSE)</f>
        <v>0</v>
      </c>
      <c r="BJ390" s="31">
        <f t="shared" si="151"/>
        <v>0</v>
      </c>
      <c r="BK390" s="31" t="str">
        <f>VLOOKUP(B390,Miljö!$B$1:$P$482,MATCH("Fossil andel i procent (%)",Miljö!$B$1:$P$1,0),FALSE)</f>
        <v>ET</v>
      </c>
      <c r="BL390" s="31">
        <f t="shared" si="152"/>
        <v>513.9139110000001</v>
      </c>
      <c r="BO390" s="32">
        <f t="shared" si="153"/>
        <v>1.3251460710118818E-3</v>
      </c>
      <c r="BP390" s="32">
        <f t="shared" si="154"/>
        <v>4.9005484111131592E-2</v>
      </c>
      <c r="BQ390" s="32">
        <f t="shared" si="155"/>
        <v>0.77400570695974025</v>
      </c>
      <c r="BR390" s="32">
        <f t="shared" si="156"/>
        <v>0.1756636628581163</v>
      </c>
      <c r="BT390" s="62">
        <f t="shared" si="157"/>
        <v>1</v>
      </c>
      <c r="BW390" s="32">
        <f>IF(AP390="Ja",VLOOKUP(B390,Miljövärden!$B$2:$H$551,MATCH("Total andel fossilt",Miljövärden!$B$2:$H$2,0),FALSE),"")</f>
        <v>1.32515E-3</v>
      </c>
      <c r="BX390" s="62">
        <f t="shared" si="158"/>
        <v>3.9289881181413938E-9</v>
      </c>
      <c r="BZ390" s="31">
        <f t="shared" si="159"/>
        <v>3.9289881181413938E-9</v>
      </c>
      <c r="CA390" s="32">
        <f t="shared" si="160"/>
        <v>0</v>
      </c>
    </row>
    <row r="391" spans="1:79" x14ac:dyDescent="0.45">
      <c r="A391" s="31" t="s">
        <v>175</v>
      </c>
      <c r="B391" s="31" t="s">
        <v>177</v>
      </c>
      <c r="C391" s="31">
        <f>VLOOKUP($B391,'Tillförd energi'!$B$1:$AI$720,MATCH(C$1,'Tillförd energi'!$B$1:$AQ$1,0),FALSE)</f>
        <v>0</v>
      </c>
      <c r="D391" s="31">
        <f>VLOOKUP($B391,'Tillförd energi'!$B$1:$AI$720,MATCH(D$1,'Tillförd energi'!$B$1:$AQ$1,0),FALSE)</f>
        <v>0</v>
      </c>
      <c r="E391" s="31">
        <f>VLOOKUP($B391,'Tillförd energi'!$B$1:$AI$720,MATCH(E$1,'Tillförd energi'!$B$1:$AQ$1,0),FALSE)</f>
        <v>0</v>
      </c>
      <c r="F391" s="31">
        <f>VLOOKUP($B391,'Tillförd energi'!$B$1:$AI$720,MATCH(F$1,'Tillförd energi'!$B$1:$AQ$1,0),FALSE)</f>
        <v>0</v>
      </c>
      <c r="G391" s="31">
        <f>VLOOKUP($B391,'Tillförd energi'!$B$1:$AI$720,MATCH(G$1,'Tillförd energi'!$B$1:$AQ$1,0),FALSE)</f>
        <v>0</v>
      </c>
      <c r="H391" s="31">
        <f>VLOOKUP($B391,'Tillförd energi'!$B$1:$AI$720,MATCH(H$1,'Tillförd energi'!$B$1:$AQ$1,0),FALSE)</f>
        <v>0</v>
      </c>
      <c r="I391" s="31">
        <f>VLOOKUP($B391,'Tillförd energi'!$B$1:$AI$720,MATCH(I$1,'Tillförd energi'!$B$1:$AQ$1,0),FALSE)</f>
        <v>0</v>
      </c>
      <c r="J391" s="31">
        <f>VLOOKUP($B391,'Tillförd energi'!$B$1:$AI$720,MATCH(J$1,'Tillförd energi'!$B$1:$AQ$1,0),FALSE)</f>
        <v>0</v>
      </c>
      <c r="K391" s="31">
        <f>VLOOKUP($B391,'Tillförd energi'!$B$1:$AI$720,MATCH(K$1,'Tillförd energi'!$B$1:$AQ$1,0),FALSE)</f>
        <v>0</v>
      </c>
      <c r="L391" s="31">
        <f>VLOOKUP($B391,'Tillförd energi'!$B$1:$AI$720,MATCH(L$1,'Tillförd energi'!$B$1:$AQ$1,0),FALSE)</f>
        <v>0</v>
      </c>
      <c r="M391" s="31">
        <f>VLOOKUP($B391,'Tillförd energi'!$B$1:$AI$720,MATCH(M$1,'Tillförd energi'!$B$1:$AQ$1,0),FALSE)</f>
        <v>0</v>
      </c>
      <c r="N391" s="31">
        <f>VLOOKUP($B391,'Tillförd energi'!$B$1:$AI$720,MATCH(N$1,'Tillförd energi'!$B$1:$AQ$1,0),FALSE)</f>
        <v>0</v>
      </c>
      <c r="O391" s="31">
        <f>VLOOKUP($B391,'Tillförd energi'!$B$1:$AI$720,MATCH(O$1,'Tillförd energi'!$B$1:$AQ$1,0),FALSE)</f>
        <v>0</v>
      </c>
      <c r="P391" s="31">
        <f>VLOOKUP($B391,'Tillförd energi'!$B$1:$AI$720,MATCH(P$1,'Tillförd energi'!$B$1:$AQ$1,0),FALSE)</f>
        <v>12.7</v>
      </c>
      <c r="Q391" s="31">
        <f>VLOOKUP($B391,'Tillförd energi'!$B$1:$AI$720,MATCH(Q$1,'Tillförd energi'!$B$1:$AQ$1,0),FALSE)</f>
        <v>0</v>
      </c>
      <c r="R391" s="31">
        <f>VLOOKUP($B391,'Tillförd energi'!$B$1:$AI$720,MATCH(R$1,'Tillförd energi'!$B$1:$AQ$1,0),FALSE)</f>
        <v>0</v>
      </c>
      <c r="S391" s="31">
        <f>VLOOKUP($B391,'Tillförd energi'!$B$1:$AI$720,MATCH(S$1,'Tillförd energi'!$B$1:$AQ$1,0),FALSE)</f>
        <v>0</v>
      </c>
      <c r="T391" s="31">
        <f>VLOOKUP($B391,'Tillförd energi'!$B$1:$AI$720,MATCH(T$1,'Tillförd energi'!$B$1:$AQ$1,0),FALSE)</f>
        <v>0</v>
      </c>
      <c r="U391" s="31">
        <f>VLOOKUP($B391,'Tillförd energi'!$B$1:$AI$720,MATCH(U$1,'Tillförd energi'!$B$1:$AQ$1,0),FALSE)</f>
        <v>0</v>
      </c>
      <c r="V391" s="31">
        <f>VLOOKUP($B391,'Tillförd energi'!$B$1:$AI$720,MATCH(V$1,'Tillförd energi'!$B$1:$AQ$1,0),FALSE)</f>
        <v>0</v>
      </c>
      <c r="W391" s="31">
        <f>VLOOKUP($B391,'Tillförd energi'!$B$1:$AI$720,MATCH(W$1,'Tillförd energi'!$B$1:$AQ$1,0),FALSE)</f>
        <v>0</v>
      </c>
      <c r="X391" s="31">
        <f>VLOOKUP($B391,'Tillförd energi'!$B$1:$AI$720,MATCH(X$1,'Tillförd energi'!$B$1:$AQ$1,0),FALSE)</f>
        <v>0</v>
      </c>
      <c r="Y391" s="31">
        <f>VLOOKUP($B391,'Tillförd energi'!$B$1:$AI$720,MATCH(Y$1,'Tillförd energi'!$B$1:$AQ$1,0),FALSE)</f>
        <v>0</v>
      </c>
      <c r="Z391" s="31">
        <f>VLOOKUP($B391,'Tillförd energi'!$B$1:$AI$720,MATCH(Z$1,'Tillförd energi'!$B$1:$AQ$1,0),FALSE)</f>
        <v>0</v>
      </c>
      <c r="AA391" s="31">
        <f>VLOOKUP($B391,'Tillförd energi'!$B$1:$AI$720,MATCH(AA$1,'Tillförd energi'!$B$1:$AQ$1,0),FALSE)</f>
        <v>0</v>
      </c>
      <c r="AB391" s="31">
        <f>VLOOKUP($B391,'Tillförd energi'!$B$1:$AI$720,MATCH(AB$1,'Tillförd energi'!$B$1:$AQ$1,0),FALSE)</f>
        <v>0</v>
      </c>
      <c r="AC391" s="31">
        <f>VLOOKUP($B391,'Tillförd energi'!$B$1:$AI$720,MATCH(AC$1,'Tillförd energi'!$B$1:$AQ$1,0),FALSE)</f>
        <v>0</v>
      </c>
      <c r="AD391" s="31">
        <f>VLOOKUP($B391,'Tillförd energi'!$B$1:$AI$720,MATCH(AD$1,'Tillförd energi'!$B$1:$AQ$1,0),FALSE)</f>
        <v>0</v>
      </c>
      <c r="AE391" s="31">
        <f>VLOOKUP($B391,'Tillförd energi'!$B$1:$AI$720,MATCH(AE$1,'Tillförd energi'!$B$1:$AQ$1,0),FALSE)</f>
        <v>0</v>
      </c>
      <c r="AF391" s="31">
        <f>VLOOKUP($B391,'Tillförd energi'!$B$1:$AI$720,MATCH(AF$1,'Tillförd energi'!$B$1:$AQ$1,0),FALSE)</f>
        <v>1.6</v>
      </c>
      <c r="AG391" s="31">
        <f>IFERROR(VLOOKUP(B391,Miljö!$B$1:$AC$550,MATCH("Köpt mängd produktionsspecifik fjärrvärme:",Miljö!$B$1:$AC$1,0),FALSE)/1,0)</f>
        <v>0</v>
      </c>
      <c r="AI391" s="31">
        <f t="shared" si="138"/>
        <v>14.299999999999999</v>
      </c>
      <c r="AJ391" s="31">
        <f t="shared" si="139"/>
        <v>14.299999999999999</v>
      </c>
      <c r="AK391" s="31">
        <f>IF(ISERROR(1/VLOOKUP($B391,Leveranser!$B$1:$S$499,MATCH("Såld värme (GWh)",Leveranser!$B$1:$S$1,0),FALSE)),"",VLOOKUP($B391,Leveranser!$B$1:$S$499,MATCH("Såld värme (GWh)",Leveranser!$B$1:$S$1,0),FALSE))</f>
        <v>14.911</v>
      </c>
      <c r="AL391" s="31">
        <f>VLOOKUP($B391,Leveranser!$B$1:$Y$499,MATCH("Totalt såld fjärrvärme till andra fjärrvärmeföretag",Leveranser!$B$1:$AA$1,0),FALSE)</f>
        <v>0</v>
      </c>
      <c r="AM391" s="31">
        <f>IF(ISERROR(1/VLOOKUP($B391,Miljö!$B$1:$S$500,MATCH("Såld mängd produktionsspecifik fjärrvärme (GWh)",Miljö!$B$1:$R$1,0),FALSE)),0,VLOOKUP($B391,Miljö!$B$1:$S$500,MATCH("Såld mängd produktionsspecifik fjärrvärme (GWh)",Miljö!$B$1:$R$1,0),FALSE))</f>
        <v>0</v>
      </c>
      <c r="AN391" s="32">
        <f t="shared" si="140"/>
        <v>1.0427272727272727</v>
      </c>
      <c r="AP391" s="31" t="str">
        <f>IFERROR(VLOOKUP($B391,Miljövärden!$B$2:$H$550,7,FALSE),"Nej, saknas")</f>
        <v>Ja</v>
      </c>
      <c r="AQ391" s="31" t="str">
        <f>IFERROR(VLOOKUP($B391,Miljövärden!$B$2:$H$551,6,FALSE),"Nej, saknas")</f>
        <v>Ja</v>
      </c>
      <c r="AU391" s="31">
        <f t="shared" si="141"/>
        <v>1.6</v>
      </c>
      <c r="AV391" s="31">
        <f t="shared" si="142"/>
        <v>0</v>
      </c>
      <c r="AW391" s="31">
        <f t="shared" si="143"/>
        <v>12.7</v>
      </c>
      <c r="AX391" s="31">
        <f t="shared" si="144"/>
        <v>0</v>
      </c>
      <c r="AZ391" s="31">
        <f t="shared" si="145"/>
        <v>12.7</v>
      </c>
      <c r="BC391" s="31">
        <f t="shared" si="146"/>
        <v>0</v>
      </c>
      <c r="BD391" s="31">
        <f t="shared" si="147"/>
        <v>0</v>
      </c>
      <c r="BE391" s="31">
        <f t="shared" si="148"/>
        <v>12.7</v>
      </c>
      <c r="BF391" s="31">
        <f t="shared" si="149"/>
        <v>0</v>
      </c>
      <c r="BG391" s="31">
        <f t="shared" si="150"/>
        <v>1.6</v>
      </c>
      <c r="BH391" s="31">
        <f>VLOOKUP(B391,Miljö!$B$1:$BX$482,MATCH("Fossilandel för ursprungspecificerad el ()",Miljö!$B$1:$I$1,0),FALSE)</f>
        <v>0</v>
      </c>
      <c r="BI391" s="31">
        <f>VLOOKUP(B391,Miljö!$B$1:$BX$482,MATCH("Kärnkraftsandel för ursprungsspecificerad el ()",Miljö!$B$1:$O$1,0),FALSE)</f>
        <v>0</v>
      </c>
      <c r="BJ391" s="31">
        <f t="shared" si="151"/>
        <v>0</v>
      </c>
      <c r="BK391" s="31" t="str">
        <f>VLOOKUP(B391,Miljö!$B$1:$P$482,MATCH("Fossil andel i procent (%)",Miljö!$B$1:$P$1,0),FALSE)</f>
        <v>ET</v>
      </c>
      <c r="BL391" s="31">
        <f t="shared" si="152"/>
        <v>14.299999999999999</v>
      </c>
      <c r="BO391" s="32">
        <f t="shared" si="153"/>
        <v>0</v>
      </c>
      <c r="BP391" s="32">
        <f t="shared" si="154"/>
        <v>0</v>
      </c>
      <c r="BQ391" s="32">
        <f t="shared" si="155"/>
        <v>1</v>
      </c>
      <c r="BR391" s="32">
        <f t="shared" si="156"/>
        <v>0</v>
      </c>
      <c r="BT391" s="62">
        <f t="shared" si="157"/>
        <v>1</v>
      </c>
      <c r="BW391" s="32">
        <f>IF(AP391="Ja",VLOOKUP(B391,Miljövärden!$B$2:$H$551,MATCH("Total andel fossilt",Miljövärden!$B$2:$H$2,0),FALSE),"")</f>
        <v>0</v>
      </c>
      <c r="BX391" s="62">
        <f t="shared" si="158"/>
        <v>0</v>
      </c>
      <c r="BZ391" s="31">
        <f t="shared" si="159"/>
        <v>0</v>
      </c>
      <c r="CA391" s="32">
        <f t="shared" si="160"/>
        <v>0</v>
      </c>
    </row>
    <row r="392" spans="1:79" x14ac:dyDescent="0.45">
      <c r="A392" s="31" t="s">
        <v>172</v>
      </c>
      <c r="B392" s="31" t="s">
        <v>171</v>
      </c>
      <c r="C392" s="31">
        <f>VLOOKUP($B392,'Tillförd energi'!$B$1:$AI$720,MATCH(C$1,'Tillförd energi'!$B$1:$AQ$1,0),FALSE)</f>
        <v>0</v>
      </c>
      <c r="D392" s="31">
        <f>VLOOKUP($B392,'Tillförd energi'!$B$1:$AI$720,MATCH(D$1,'Tillförd energi'!$B$1:$AQ$1,0),FALSE)</f>
        <v>1.1910000000000001</v>
      </c>
      <c r="E392" s="31">
        <f>VLOOKUP($B392,'Tillförd energi'!$B$1:$AI$720,MATCH(E$1,'Tillförd energi'!$B$1:$AQ$1,0),FALSE)</f>
        <v>0</v>
      </c>
      <c r="F392" s="31">
        <f>VLOOKUP($B392,'Tillförd energi'!$B$1:$AI$720,MATCH(F$1,'Tillförd energi'!$B$1:$AQ$1,0),FALSE)</f>
        <v>0</v>
      </c>
      <c r="G392" s="31">
        <f>VLOOKUP($B392,'Tillförd energi'!$B$1:$AI$720,MATCH(G$1,'Tillförd energi'!$B$1:$AQ$1,0),FALSE)</f>
        <v>0</v>
      </c>
      <c r="H392" s="31">
        <f>VLOOKUP($B392,'Tillförd energi'!$B$1:$AI$720,MATCH(H$1,'Tillförd energi'!$B$1:$AQ$1,0),FALSE)</f>
        <v>0</v>
      </c>
      <c r="I392" s="31">
        <f>VLOOKUP($B392,'Tillförd energi'!$B$1:$AI$720,MATCH(I$1,'Tillförd energi'!$B$1:$AQ$1,0),FALSE)</f>
        <v>0</v>
      </c>
      <c r="J392" s="31">
        <f>VLOOKUP($B392,'Tillförd energi'!$B$1:$AI$720,MATCH(J$1,'Tillförd energi'!$B$1:$AQ$1,0),FALSE)</f>
        <v>3.1030000000000002</v>
      </c>
      <c r="K392" s="31">
        <f>VLOOKUP($B392,'Tillförd energi'!$B$1:$AI$720,MATCH(K$1,'Tillförd energi'!$B$1:$AQ$1,0),FALSE)</f>
        <v>0</v>
      </c>
      <c r="L392" s="31">
        <f>VLOOKUP($B392,'Tillförd energi'!$B$1:$AI$720,MATCH(L$1,'Tillförd energi'!$B$1:$AQ$1,0),FALSE)</f>
        <v>19.533999999999999</v>
      </c>
      <c r="M392" s="31">
        <f>VLOOKUP($B392,'Tillförd energi'!$B$1:$AI$720,MATCH(M$1,'Tillförd energi'!$B$1:$AQ$1,0),FALSE)</f>
        <v>11.938000000000001</v>
      </c>
      <c r="N392" s="31">
        <f>VLOOKUP($B392,'Tillförd energi'!$B$1:$AI$720,MATCH(N$1,'Tillförd energi'!$B$1:$AQ$1,0),FALSE)</f>
        <v>102.946</v>
      </c>
      <c r="O392" s="31">
        <f>VLOOKUP($B392,'Tillförd energi'!$B$1:$AI$720,MATCH(O$1,'Tillförd energi'!$B$1:$AQ$1,0),FALSE)</f>
        <v>0</v>
      </c>
      <c r="P392" s="31">
        <f>VLOOKUP($B392,'Tillförd energi'!$B$1:$AI$720,MATCH(P$1,'Tillförd energi'!$B$1:$AQ$1,0),FALSE)</f>
        <v>0</v>
      </c>
      <c r="Q392" s="31">
        <f>VLOOKUP($B392,'Tillförd energi'!$B$1:$AI$720,MATCH(Q$1,'Tillförd energi'!$B$1:$AQ$1,0),FALSE)</f>
        <v>5.42</v>
      </c>
      <c r="R392" s="31">
        <f>VLOOKUP($B392,'Tillförd energi'!$B$1:$AI$720,MATCH(R$1,'Tillförd energi'!$B$1:$AQ$1,0),FALSE)</f>
        <v>3.9649999999999999</v>
      </c>
      <c r="S392" s="31">
        <f>VLOOKUP($B392,'Tillförd energi'!$B$1:$AI$720,MATCH(S$1,'Tillförd energi'!$B$1:$AQ$1,0),FALSE)</f>
        <v>0</v>
      </c>
      <c r="T392" s="31">
        <f>VLOOKUP($B392,'Tillförd energi'!$B$1:$AI$720,MATCH(T$1,'Tillförd energi'!$B$1:$AQ$1,0),FALSE)</f>
        <v>0</v>
      </c>
      <c r="U392" s="31">
        <f>VLOOKUP($B392,'Tillförd energi'!$B$1:$AI$720,MATCH(U$1,'Tillförd energi'!$B$1:$AQ$1,0),FALSE)</f>
        <v>0</v>
      </c>
      <c r="V392" s="31">
        <f>VLOOKUP($B392,'Tillförd energi'!$B$1:$AI$720,MATCH(V$1,'Tillförd energi'!$B$1:$AQ$1,0),FALSE)</f>
        <v>0</v>
      </c>
      <c r="W392" s="31">
        <f>VLOOKUP($B392,'Tillförd energi'!$B$1:$AI$720,MATCH(W$1,'Tillförd energi'!$B$1:$AQ$1,0),FALSE)</f>
        <v>6.3259999999999996</v>
      </c>
      <c r="X392" s="31">
        <f>VLOOKUP($B392,'Tillförd energi'!$B$1:$AI$720,MATCH(X$1,'Tillförd energi'!$B$1:$AQ$1,0),FALSE)</f>
        <v>0</v>
      </c>
      <c r="Y392" s="31">
        <f>VLOOKUP($B392,'Tillförd energi'!$B$1:$AI$720,MATCH(Y$1,'Tillförd energi'!$B$1:$AQ$1,0),FALSE)</f>
        <v>0</v>
      </c>
      <c r="Z392" s="31">
        <f>VLOOKUP($B392,'Tillförd energi'!$B$1:$AI$720,MATCH(Z$1,'Tillförd energi'!$B$1:$AQ$1,0),FALSE)</f>
        <v>0</v>
      </c>
      <c r="AA392" s="31">
        <f>VLOOKUP($B392,'Tillförd energi'!$B$1:$AI$720,MATCH(AA$1,'Tillförd energi'!$B$1:$AQ$1,0),FALSE)</f>
        <v>0</v>
      </c>
      <c r="AB392" s="31">
        <f>VLOOKUP($B392,'Tillförd energi'!$B$1:$AI$720,MATCH(AB$1,'Tillförd energi'!$B$1:$AQ$1,0),FALSE)</f>
        <v>0</v>
      </c>
      <c r="AC392" s="31">
        <f>VLOOKUP($B392,'Tillförd energi'!$B$1:$AI$720,MATCH(AC$1,'Tillförd energi'!$B$1:$AQ$1,0),FALSE)</f>
        <v>21.082999999999998</v>
      </c>
      <c r="AD392" s="31">
        <f>VLOOKUP($B392,'Tillförd energi'!$B$1:$AI$720,MATCH(AD$1,'Tillförd energi'!$B$1:$AQ$1,0),FALSE)</f>
        <v>0</v>
      </c>
      <c r="AE392" s="31">
        <f>VLOOKUP($B392,'Tillförd energi'!$B$1:$AI$720,MATCH(AE$1,'Tillförd energi'!$B$1:$AQ$1,0),FALSE)</f>
        <v>0</v>
      </c>
      <c r="AF392" s="31">
        <f>VLOOKUP($B392,'Tillförd energi'!$B$1:$AI$720,MATCH(AF$1,'Tillförd energi'!$B$1:$AQ$1,0),FALSE)</f>
        <v>3.617</v>
      </c>
      <c r="AG392" s="31">
        <f>IFERROR(VLOOKUP(B392,Miljö!$B$1:$AC$550,MATCH("Köpt mängd produktionsspecifik fjärrvärme:",Miljö!$B$1:$AC$1,0),FALSE)/1,0)</f>
        <v>0</v>
      </c>
      <c r="AI392" s="31">
        <f t="shared" si="138"/>
        <v>179.12299999999996</v>
      </c>
      <c r="AJ392" s="31">
        <f t="shared" si="139"/>
        <v>179.12299999999996</v>
      </c>
      <c r="AK392" s="31">
        <f>IF(ISERROR(1/VLOOKUP($B392,Leveranser!$B$1:$S$499,MATCH("Såld värme (GWh)",Leveranser!$B$1:$S$1,0),FALSE)),"",VLOOKUP($B392,Leveranser!$B$1:$S$499,MATCH("Såld värme (GWh)",Leveranser!$B$1:$S$1,0),FALSE))</f>
        <v>128.572</v>
      </c>
      <c r="AL392" s="31">
        <f>VLOOKUP($B392,Leveranser!$B$1:$Y$499,MATCH("Totalt såld fjärrvärme till andra fjärrvärmeföretag",Leveranser!$B$1:$AA$1,0),FALSE)</f>
        <v>0</v>
      </c>
      <c r="AM392" s="31">
        <f>IF(ISERROR(1/VLOOKUP($B392,Miljö!$B$1:$S$500,MATCH("Såld mängd produktionsspecifik fjärrvärme (GWh)",Miljö!$B$1:$R$1,0),FALSE)),0,VLOOKUP($B392,Miljö!$B$1:$S$500,MATCH("Såld mängd produktionsspecifik fjärrvärme (GWh)",Miljö!$B$1:$R$1,0),FALSE))</f>
        <v>0</v>
      </c>
      <c r="AN392" s="32">
        <f t="shared" si="140"/>
        <v>0.71778610228725526</v>
      </c>
      <c r="AP392" s="31" t="str">
        <f>IFERROR(VLOOKUP($B392,Miljövärden!$B$2:$H$550,7,FALSE),"Nej, saknas")</f>
        <v>Ja</v>
      </c>
      <c r="AQ392" s="31" t="str">
        <f>IFERROR(VLOOKUP($B392,Miljövärden!$B$2:$H$551,6,FALSE),"Nej, saknas")</f>
        <v>Ja</v>
      </c>
      <c r="AU392" s="31">
        <f t="shared" si="141"/>
        <v>3.617</v>
      </c>
      <c r="AV392" s="31">
        <f t="shared" si="142"/>
        <v>0</v>
      </c>
      <c r="AW392" s="31">
        <f t="shared" si="143"/>
        <v>120.304</v>
      </c>
      <c r="AX392" s="31">
        <f t="shared" si="144"/>
        <v>3.9649999999999999</v>
      </c>
      <c r="AZ392" s="31">
        <f t="shared" si="145"/>
        <v>150.12899999999999</v>
      </c>
      <c r="BC392" s="31">
        <f t="shared" si="146"/>
        <v>1.1910000000000001</v>
      </c>
      <c r="BD392" s="31">
        <f t="shared" si="147"/>
        <v>0</v>
      </c>
      <c r="BE392" s="31">
        <f t="shared" si="148"/>
        <v>130.595</v>
      </c>
      <c r="BF392" s="31">
        <f t="shared" si="149"/>
        <v>43.72</v>
      </c>
      <c r="BG392" s="31">
        <f t="shared" si="150"/>
        <v>3.617</v>
      </c>
      <c r="BH392" s="31">
        <f>VLOOKUP(B392,Miljö!$B$1:$BX$482,MATCH("Fossilandel för ursprungspecificerad el ()",Miljö!$B$1:$I$1,0),FALSE)</f>
        <v>0</v>
      </c>
      <c r="BI392" s="31">
        <f>VLOOKUP(B392,Miljö!$B$1:$BX$482,MATCH("Kärnkraftsandel för ursprungsspecificerad el ()",Miljö!$B$1:$O$1,0),FALSE)</f>
        <v>0</v>
      </c>
      <c r="BJ392" s="31">
        <f t="shared" si="151"/>
        <v>0</v>
      </c>
      <c r="BK392" s="31" t="str">
        <f>VLOOKUP(B392,Miljö!$B$1:$P$482,MATCH("Fossil andel i procent (%)",Miljö!$B$1:$P$1,0),FALSE)</f>
        <v>ET</v>
      </c>
      <c r="BL392" s="31">
        <f t="shared" si="152"/>
        <v>179.12299999999999</v>
      </c>
      <c r="BO392" s="32">
        <f t="shared" si="153"/>
        <v>6.6490623761326023E-3</v>
      </c>
      <c r="BP392" s="32">
        <f t="shared" si="154"/>
        <v>0</v>
      </c>
      <c r="BQ392" s="32">
        <f t="shared" si="155"/>
        <v>0.74927284603317268</v>
      </c>
      <c r="BR392" s="32">
        <f t="shared" si="156"/>
        <v>0.24407809159069466</v>
      </c>
      <c r="BT392" s="62">
        <f t="shared" si="157"/>
        <v>1</v>
      </c>
      <c r="BW392" s="32">
        <f>IF(AP392="Ja",VLOOKUP(B392,Miljövärden!$B$2:$H$551,MATCH("Total andel fossilt",Miljövärden!$B$2:$H$2,0),FALSE),"")</f>
        <v>6.64906E-3</v>
      </c>
      <c r="BX392" s="62">
        <f t="shared" si="158"/>
        <v>-2.3761326023094553E-9</v>
      </c>
      <c r="BZ392" s="31">
        <f t="shared" si="159"/>
        <v>-2.3761326023094553E-9</v>
      </c>
      <c r="CA392" s="32">
        <f t="shared" si="160"/>
        <v>0</v>
      </c>
    </row>
    <row r="393" spans="1:79" x14ac:dyDescent="0.45">
      <c r="A393" s="31" t="s">
        <v>169</v>
      </c>
      <c r="B393" s="31" t="s">
        <v>170</v>
      </c>
      <c r="C393" s="31">
        <f>VLOOKUP($B393,'Tillförd energi'!$B$1:$AI$720,MATCH(C$1,'Tillförd energi'!$B$1:$AQ$1,0),FALSE)</f>
        <v>0</v>
      </c>
      <c r="D393" s="31">
        <f>VLOOKUP($B393,'Tillförd energi'!$B$1:$AI$720,MATCH(D$1,'Tillförd energi'!$B$1:$AQ$1,0),FALSE)</f>
        <v>7.4999999999999997E-2</v>
      </c>
      <c r="E393" s="31">
        <f>VLOOKUP($B393,'Tillförd energi'!$B$1:$AI$720,MATCH(E$1,'Tillförd energi'!$B$1:$AQ$1,0),FALSE)</f>
        <v>0</v>
      </c>
      <c r="F393" s="31">
        <f>VLOOKUP($B393,'Tillförd energi'!$B$1:$AI$720,MATCH(F$1,'Tillförd energi'!$B$1:$AQ$1,0),FALSE)</f>
        <v>0</v>
      </c>
      <c r="G393" s="31">
        <f>VLOOKUP($B393,'Tillförd energi'!$B$1:$AI$720,MATCH(G$1,'Tillförd energi'!$B$1:$AQ$1,0),FALSE)</f>
        <v>0</v>
      </c>
      <c r="H393" s="31">
        <f>VLOOKUP($B393,'Tillförd energi'!$B$1:$AI$720,MATCH(H$1,'Tillförd energi'!$B$1:$AQ$1,0),FALSE)</f>
        <v>0</v>
      </c>
      <c r="I393" s="31">
        <f>VLOOKUP($B393,'Tillförd energi'!$B$1:$AI$720,MATCH(I$1,'Tillförd energi'!$B$1:$AQ$1,0),FALSE)</f>
        <v>0</v>
      </c>
      <c r="J393" s="31">
        <f>VLOOKUP($B393,'Tillförd energi'!$B$1:$AI$720,MATCH(J$1,'Tillförd energi'!$B$1:$AQ$1,0),FALSE)</f>
        <v>0</v>
      </c>
      <c r="K393" s="31">
        <f>VLOOKUP($B393,'Tillförd energi'!$B$1:$AI$720,MATCH(K$1,'Tillförd energi'!$B$1:$AQ$1,0),FALSE)</f>
        <v>0</v>
      </c>
      <c r="L393" s="31">
        <f>VLOOKUP($B393,'Tillförd energi'!$B$1:$AI$720,MATCH(L$1,'Tillförd energi'!$B$1:$AQ$1,0),FALSE)</f>
        <v>0</v>
      </c>
      <c r="M393" s="31">
        <f>VLOOKUP($B393,'Tillförd energi'!$B$1:$AI$720,MATCH(M$1,'Tillförd energi'!$B$1:$AQ$1,0),FALSE)</f>
        <v>0</v>
      </c>
      <c r="N393" s="31">
        <f>VLOOKUP($B393,'Tillförd energi'!$B$1:$AI$720,MATCH(N$1,'Tillförd energi'!$B$1:$AQ$1,0),FALSE)</f>
        <v>0</v>
      </c>
      <c r="O393" s="31">
        <f>VLOOKUP($B393,'Tillförd energi'!$B$1:$AI$720,MATCH(O$1,'Tillförd energi'!$B$1:$AQ$1,0),FALSE)</f>
        <v>0</v>
      </c>
      <c r="P393" s="31">
        <f>VLOOKUP($B393,'Tillförd energi'!$B$1:$AI$720,MATCH(P$1,'Tillförd energi'!$B$1:$AQ$1,0),FALSE)</f>
        <v>0</v>
      </c>
      <c r="Q393" s="31">
        <f>VLOOKUP($B393,'Tillförd energi'!$B$1:$AI$720,MATCH(Q$1,'Tillförd energi'!$B$1:$AQ$1,0),FALSE)</f>
        <v>0</v>
      </c>
      <c r="R393" s="31">
        <f>VLOOKUP($B393,'Tillförd energi'!$B$1:$AI$720,MATCH(R$1,'Tillförd energi'!$B$1:$AQ$1,0),FALSE)</f>
        <v>7.7249999999999996</v>
      </c>
      <c r="S393" s="31">
        <f>VLOOKUP($B393,'Tillförd energi'!$B$1:$AI$720,MATCH(S$1,'Tillförd energi'!$B$1:$AQ$1,0),FALSE)</f>
        <v>0</v>
      </c>
      <c r="T393" s="31">
        <f>VLOOKUP($B393,'Tillförd energi'!$B$1:$AI$720,MATCH(T$1,'Tillförd energi'!$B$1:$AQ$1,0),FALSE)</f>
        <v>0</v>
      </c>
      <c r="U393" s="31">
        <f>VLOOKUP($B393,'Tillförd energi'!$B$1:$AI$720,MATCH(U$1,'Tillförd energi'!$B$1:$AQ$1,0),FALSE)</f>
        <v>0</v>
      </c>
      <c r="V393" s="31">
        <f>VLOOKUP($B393,'Tillförd energi'!$B$1:$AI$720,MATCH(V$1,'Tillförd energi'!$B$1:$AQ$1,0),FALSE)</f>
        <v>0</v>
      </c>
      <c r="W393" s="31">
        <f>VLOOKUP($B393,'Tillförd energi'!$B$1:$AI$720,MATCH(W$1,'Tillförd energi'!$B$1:$AQ$1,0),FALSE)</f>
        <v>0</v>
      </c>
      <c r="X393" s="31">
        <f>VLOOKUP($B393,'Tillförd energi'!$B$1:$AI$720,MATCH(X$1,'Tillförd energi'!$B$1:$AQ$1,0),FALSE)</f>
        <v>0</v>
      </c>
      <c r="Y393" s="31">
        <f>VLOOKUP($B393,'Tillförd energi'!$B$1:$AI$720,MATCH(Y$1,'Tillförd energi'!$B$1:$AQ$1,0),FALSE)</f>
        <v>0</v>
      </c>
      <c r="Z393" s="31">
        <f>VLOOKUP($B393,'Tillförd energi'!$B$1:$AI$720,MATCH(Z$1,'Tillförd energi'!$B$1:$AQ$1,0),FALSE)</f>
        <v>0</v>
      </c>
      <c r="AA393" s="31">
        <f>VLOOKUP($B393,'Tillförd energi'!$B$1:$AI$720,MATCH(AA$1,'Tillförd energi'!$B$1:$AQ$1,0),FALSE)</f>
        <v>0</v>
      </c>
      <c r="AB393" s="31">
        <f>VLOOKUP($B393,'Tillförd energi'!$B$1:$AI$720,MATCH(AB$1,'Tillförd energi'!$B$1:$AQ$1,0),FALSE)</f>
        <v>0</v>
      </c>
      <c r="AC393" s="31">
        <f>VLOOKUP($B393,'Tillförd energi'!$B$1:$AI$720,MATCH(AC$1,'Tillförd energi'!$B$1:$AQ$1,0),FALSE)</f>
        <v>0</v>
      </c>
      <c r="AD393" s="31">
        <f>VLOOKUP($B393,'Tillförd energi'!$B$1:$AI$720,MATCH(AD$1,'Tillförd energi'!$B$1:$AQ$1,0),FALSE)</f>
        <v>0</v>
      </c>
      <c r="AE393" s="31">
        <f>VLOOKUP($B393,'Tillförd energi'!$B$1:$AI$720,MATCH(AE$1,'Tillförd energi'!$B$1:$AQ$1,0),FALSE)</f>
        <v>0</v>
      </c>
      <c r="AF393" s="31">
        <f>VLOOKUP($B393,'Tillförd energi'!$B$1:$AI$720,MATCH(AF$1,'Tillförd energi'!$B$1:$AQ$1,0),FALSE)</f>
        <v>0.124</v>
      </c>
      <c r="AG393" s="31">
        <f>IFERROR(VLOOKUP(B393,Miljö!$B$1:$AC$550,MATCH("Köpt mängd produktionsspecifik fjärrvärme:",Miljö!$B$1:$AC$1,0),FALSE)/1,0)</f>
        <v>0</v>
      </c>
      <c r="AI393" s="31">
        <f t="shared" si="138"/>
        <v>7.9239999999999995</v>
      </c>
      <c r="AJ393" s="31">
        <f t="shared" si="139"/>
        <v>7.9239999999999995</v>
      </c>
      <c r="AK393" s="31">
        <f>IF(ISERROR(1/VLOOKUP($B393,Leveranser!$B$1:$S$499,MATCH("Såld värme (GWh)",Leveranser!$B$1:$S$1,0),FALSE)),"",VLOOKUP($B393,Leveranser!$B$1:$S$499,MATCH("Såld värme (GWh)",Leveranser!$B$1:$S$1,0),FALSE))</f>
        <v>6.4</v>
      </c>
      <c r="AL393" s="31">
        <f>VLOOKUP($B393,Leveranser!$B$1:$Y$499,MATCH("Totalt såld fjärrvärme till andra fjärrvärmeföretag",Leveranser!$B$1:$AA$1,0),FALSE)</f>
        <v>0</v>
      </c>
      <c r="AM393" s="31">
        <f>IF(ISERROR(1/VLOOKUP($B393,Miljö!$B$1:$S$500,MATCH("Såld mängd produktionsspecifik fjärrvärme (GWh)",Miljö!$B$1:$R$1,0),FALSE)),0,VLOOKUP($B393,Miljö!$B$1:$S$500,MATCH("Såld mängd produktionsspecifik fjärrvärme (GWh)",Miljö!$B$1:$R$1,0),FALSE))</f>
        <v>0</v>
      </c>
      <c r="AN393" s="32">
        <f t="shared" si="140"/>
        <v>0.80767289247854623</v>
      </c>
      <c r="AP393" s="31" t="str">
        <f>IFERROR(VLOOKUP($B393,Miljövärden!$B$2:$H$550,7,FALSE),"Nej, saknas")</f>
        <v>Ja</v>
      </c>
      <c r="AQ393" s="31" t="str">
        <f>IFERROR(VLOOKUP($B393,Miljövärden!$B$2:$H$551,6,FALSE),"Nej, saknas")</f>
        <v>Ja</v>
      </c>
      <c r="AU393" s="31">
        <f t="shared" si="141"/>
        <v>0.124</v>
      </c>
      <c r="AV393" s="31">
        <f t="shared" si="142"/>
        <v>0</v>
      </c>
      <c r="AW393" s="31">
        <f t="shared" si="143"/>
        <v>0</v>
      </c>
      <c r="AX393" s="31">
        <f t="shared" si="144"/>
        <v>7.7249999999999996</v>
      </c>
      <c r="AZ393" s="31">
        <f t="shared" si="145"/>
        <v>7.7249999999999996</v>
      </c>
      <c r="BC393" s="31">
        <f t="shared" si="146"/>
        <v>7.4999999999999997E-2</v>
      </c>
      <c r="BD393" s="31">
        <f t="shared" si="147"/>
        <v>0</v>
      </c>
      <c r="BE393" s="31">
        <f t="shared" si="148"/>
        <v>7.7249999999999996</v>
      </c>
      <c r="BF393" s="31">
        <f t="shared" si="149"/>
        <v>0</v>
      </c>
      <c r="BG393" s="31">
        <f t="shared" si="150"/>
        <v>0.124</v>
      </c>
      <c r="BH393" s="31">
        <f>VLOOKUP(B393,Miljö!$B$1:$BX$482,MATCH("Fossilandel för ursprungspecificerad el ()",Miljö!$B$1:$I$1,0),FALSE)</f>
        <v>0</v>
      </c>
      <c r="BI393" s="31">
        <f>VLOOKUP(B393,Miljö!$B$1:$BX$482,MATCH("Kärnkraftsandel för ursprungsspecificerad el ()",Miljö!$B$1:$O$1,0),FALSE)</f>
        <v>0.52</v>
      </c>
      <c r="BJ393" s="31">
        <f t="shared" si="151"/>
        <v>0</v>
      </c>
      <c r="BK393" s="31" t="str">
        <f>VLOOKUP(B393,Miljö!$B$1:$P$482,MATCH("Fossil andel i procent (%)",Miljö!$B$1:$P$1,0),FALSE)</f>
        <v>ET</v>
      </c>
      <c r="BL393" s="31">
        <f t="shared" si="152"/>
        <v>7.9239999999999995</v>
      </c>
      <c r="BO393" s="32">
        <f t="shared" si="153"/>
        <v>9.4649167087329632E-3</v>
      </c>
      <c r="BP393" s="32">
        <f t="shared" si="154"/>
        <v>8.137304391721353E-3</v>
      </c>
      <c r="BQ393" s="32">
        <f t="shared" si="155"/>
        <v>0.98239777889954571</v>
      </c>
      <c r="BR393" s="32">
        <f t="shared" si="156"/>
        <v>0</v>
      </c>
      <c r="BT393" s="62">
        <f t="shared" si="157"/>
        <v>1</v>
      </c>
      <c r="BW393" s="32">
        <f>IF(AP393="Ja",VLOOKUP(B393,Miljövärden!$B$2:$H$551,MATCH("Total andel fossilt",Miljövärden!$B$2:$H$2,0),FALSE),"")</f>
        <v>9.4649199999999999E-3</v>
      </c>
      <c r="BX393" s="62">
        <f t="shared" si="158"/>
        <v>3.2912670366869179E-9</v>
      </c>
      <c r="BZ393" s="31">
        <f t="shared" si="159"/>
        <v>3.2912670366869179E-9</v>
      </c>
      <c r="CA393" s="32">
        <f t="shared" si="160"/>
        <v>0</v>
      </c>
    </row>
    <row r="394" spans="1:79" x14ac:dyDescent="0.45">
      <c r="A394" s="31" t="s">
        <v>169</v>
      </c>
      <c r="B394" s="31" t="s">
        <v>168</v>
      </c>
      <c r="C394" s="31">
        <f>VLOOKUP($B394,'Tillförd energi'!$B$1:$AI$720,MATCH(C$1,'Tillförd energi'!$B$1:$AQ$1,0),FALSE)</f>
        <v>0</v>
      </c>
      <c r="D394" s="31">
        <f>VLOOKUP($B394,'Tillförd energi'!$B$1:$AI$720,MATCH(D$1,'Tillförd energi'!$B$1:$AQ$1,0),FALSE)</f>
        <v>5.5E-2</v>
      </c>
      <c r="E394" s="31">
        <f>VLOOKUP($B394,'Tillförd energi'!$B$1:$AI$720,MATCH(E$1,'Tillförd energi'!$B$1:$AQ$1,0),FALSE)</f>
        <v>0</v>
      </c>
      <c r="F394" s="31">
        <f>VLOOKUP($B394,'Tillförd energi'!$B$1:$AI$720,MATCH(F$1,'Tillförd energi'!$B$1:$AQ$1,0),FALSE)</f>
        <v>0</v>
      </c>
      <c r="G394" s="31">
        <f>VLOOKUP($B394,'Tillförd energi'!$B$1:$AI$720,MATCH(G$1,'Tillförd energi'!$B$1:$AQ$1,0),FALSE)</f>
        <v>0</v>
      </c>
      <c r="H394" s="31">
        <f>VLOOKUP($B394,'Tillförd energi'!$B$1:$AI$720,MATCH(H$1,'Tillförd energi'!$B$1:$AQ$1,0),FALSE)</f>
        <v>0</v>
      </c>
      <c r="I394" s="31">
        <f>VLOOKUP($B394,'Tillförd energi'!$B$1:$AI$720,MATCH(I$1,'Tillförd energi'!$B$1:$AQ$1,0),FALSE)</f>
        <v>0</v>
      </c>
      <c r="J394" s="31">
        <f>VLOOKUP($B394,'Tillförd energi'!$B$1:$AI$720,MATCH(J$1,'Tillförd energi'!$B$1:$AQ$1,0),FALSE)</f>
        <v>0</v>
      </c>
      <c r="K394" s="31">
        <f>VLOOKUP($B394,'Tillförd energi'!$B$1:$AI$720,MATCH(K$1,'Tillförd energi'!$B$1:$AQ$1,0),FALSE)</f>
        <v>0</v>
      </c>
      <c r="L394" s="31">
        <f>VLOOKUP($B394,'Tillförd energi'!$B$1:$AI$720,MATCH(L$1,'Tillförd energi'!$B$1:$AQ$1,0),FALSE)</f>
        <v>0</v>
      </c>
      <c r="M394" s="31">
        <f>VLOOKUP($B394,'Tillförd energi'!$B$1:$AI$720,MATCH(M$1,'Tillförd energi'!$B$1:$AQ$1,0),FALSE)</f>
        <v>0.627</v>
      </c>
      <c r="N394" s="31">
        <f>VLOOKUP($B394,'Tillförd energi'!$B$1:$AI$720,MATCH(N$1,'Tillförd energi'!$B$1:$AQ$1,0),FALSE)</f>
        <v>0</v>
      </c>
      <c r="O394" s="31">
        <f>VLOOKUP($B394,'Tillförd energi'!$B$1:$AI$720,MATCH(O$1,'Tillförd energi'!$B$1:$AQ$1,0),FALSE)</f>
        <v>0</v>
      </c>
      <c r="P394" s="31">
        <f>VLOOKUP($B394,'Tillförd energi'!$B$1:$AI$720,MATCH(P$1,'Tillförd energi'!$B$1:$AQ$1,0),FALSE)</f>
        <v>6.5410000000000004</v>
      </c>
      <c r="Q394" s="31">
        <f>VLOOKUP($B394,'Tillförd energi'!$B$1:$AI$720,MATCH(Q$1,'Tillförd energi'!$B$1:$AQ$1,0),FALSE)</f>
        <v>0.38300000000000001</v>
      </c>
      <c r="R394" s="31">
        <f>VLOOKUP($B394,'Tillförd energi'!$B$1:$AI$720,MATCH(R$1,'Tillförd energi'!$B$1:$AQ$1,0),FALSE)</f>
        <v>0.92100000000000004</v>
      </c>
      <c r="S394" s="31">
        <f>VLOOKUP($B394,'Tillförd energi'!$B$1:$AI$720,MATCH(S$1,'Tillförd energi'!$B$1:$AQ$1,0),FALSE)</f>
        <v>0</v>
      </c>
      <c r="T394" s="31">
        <f>VLOOKUP($B394,'Tillförd energi'!$B$1:$AI$720,MATCH(T$1,'Tillförd energi'!$B$1:$AQ$1,0),FALSE)</f>
        <v>0</v>
      </c>
      <c r="U394" s="31">
        <f>VLOOKUP($B394,'Tillförd energi'!$B$1:$AI$720,MATCH(U$1,'Tillförd energi'!$B$1:$AQ$1,0),FALSE)</f>
        <v>0</v>
      </c>
      <c r="V394" s="31">
        <f>VLOOKUP($B394,'Tillförd energi'!$B$1:$AI$720,MATCH(V$1,'Tillförd energi'!$B$1:$AQ$1,0),FALSE)</f>
        <v>0</v>
      </c>
      <c r="W394" s="31">
        <f>VLOOKUP($B394,'Tillförd energi'!$B$1:$AI$720,MATCH(W$1,'Tillförd energi'!$B$1:$AQ$1,0),FALSE)</f>
        <v>0</v>
      </c>
      <c r="X394" s="31">
        <f>VLOOKUP($B394,'Tillförd energi'!$B$1:$AI$720,MATCH(X$1,'Tillförd energi'!$B$1:$AQ$1,0),FALSE)</f>
        <v>0</v>
      </c>
      <c r="Y394" s="31">
        <f>VLOOKUP($B394,'Tillförd energi'!$B$1:$AI$720,MATCH(Y$1,'Tillförd energi'!$B$1:$AQ$1,0),FALSE)</f>
        <v>0</v>
      </c>
      <c r="Z394" s="31">
        <f>VLOOKUP($B394,'Tillförd energi'!$B$1:$AI$720,MATCH(Z$1,'Tillförd energi'!$B$1:$AQ$1,0),FALSE)</f>
        <v>0</v>
      </c>
      <c r="AA394" s="31">
        <f>VLOOKUP($B394,'Tillförd energi'!$B$1:$AI$720,MATCH(AA$1,'Tillförd energi'!$B$1:$AQ$1,0),FALSE)</f>
        <v>0</v>
      </c>
      <c r="AB394" s="31">
        <f>VLOOKUP($B394,'Tillförd energi'!$B$1:$AI$720,MATCH(AB$1,'Tillförd energi'!$B$1:$AQ$1,0),FALSE)</f>
        <v>0</v>
      </c>
      <c r="AC394" s="31">
        <f>VLOOKUP($B394,'Tillförd energi'!$B$1:$AI$720,MATCH(AC$1,'Tillförd energi'!$B$1:$AQ$1,0),FALSE)</f>
        <v>0.26600000000000001</v>
      </c>
      <c r="AD394" s="31">
        <f>VLOOKUP($B394,'Tillförd energi'!$B$1:$AI$720,MATCH(AD$1,'Tillförd energi'!$B$1:$AQ$1,0),FALSE)</f>
        <v>18.989999999999998</v>
      </c>
      <c r="AE394" s="31">
        <f>VLOOKUP($B394,'Tillförd energi'!$B$1:$AI$720,MATCH(AE$1,'Tillförd energi'!$B$1:$AQ$1,0),FALSE)</f>
        <v>0</v>
      </c>
      <c r="AF394" s="31">
        <f>VLOOKUP($B394,'Tillförd energi'!$B$1:$AI$720,MATCH(AF$1,'Tillförd energi'!$B$1:$AQ$1,0),FALSE)</f>
        <v>0.48299999999999998</v>
      </c>
      <c r="AG394" s="31">
        <f>IFERROR(VLOOKUP(B394,Miljö!$B$1:$AC$550,MATCH("Köpt mängd produktionsspecifik fjärrvärme:",Miljö!$B$1:$AC$1,0),FALSE)/1,0)</f>
        <v>0</v>
      </c>
      <c r="AI394" s="31">
        <f t="shared" si="138"/>
        <v>28.266000000000002</v>
      </c>
      <c r="AJ394" s="31">
        <f t="shared" si="139"/>
        <v>28.266000000000002</v>
      </c>
      <c r="AK394" s="31">
        <f>IF(ISERROR(1/VLOOKUP($B394,Leveranser!$B$1:$S$499,MATCH("Såld värme (GWh)",Leveranser!$B$1:$S$1,0),FALSE)),"",VLOOKUP($B394,Leveranser!$B$1:$S$499,MATCH("Såld värme (GWh)",Leveranser!$B$1:$S$1,0),FALSE))</f>
        <v>22.417999999999999</v>
      </c>
      <c r="AL394" s="31">
        <f>VLOOKUP($B394,Leveranser!$B$1:$Y$499,MATCH("Totalt såld fjärrvärme till andra fjärrvärmeföretag",Leveranser!$B$1:$AA$1,0),FALSE)</f>
        <v>0</v>
      </c>
      <c r="AM394" s="31">
        <f>IF(ISERROR(1/VLOOKUP($B394,Miljö!$B$1:$S$500,MATCH("Såld mängd produktionsspecifik fjärrvärme (GWh)",Miljö!$B$1:$R$1,0),FALSE)),0,VLOOKUP($B394,Miljö!$B$1:$S$500,MATCH("Såld mängd produktionsspecifik fjärrvärme (GWh)",Miljö!$B$1:$R$1,0),FALSE))</f>
        <v>0</v>
      </c>
      <c r="AN394" s="32">
        <f t="shared" si="140"/>
        <v>0.79310832802660436</v>
      </c>
      <c r="AP394" s="31" t="str">
        <f>IFERROR(VLOOKUP($B394,Miljövärden!$B$2:$H$550,7,FALSE),"Nej, saknas")</f>
        <v>Ja</v>
      </c>
      <c r="AQ394" s="31" t="str">
        <f>IFERROR(VLOOKUP($B394,Miljövärden!$B$2:$H$551,6,FALSE),"Nej, saknas")</f>
        <v>Ja</v>
      </c>
      <c r="AU394" s="31">
        <f t="shared" si="141"/>
        <v>0.48299999999999998</v>
      </c>
      <c r="AV394" s="31">
        <f t="shared" si="142"/>
        <v>0</v>
      </c>
      <c r="AW394" s="31">
        <f t="shared" si="143"/>
        <v>7.5510000000000002</v>
      </c>
      <c r="AX394" s="31">
        <f t="shared" si="144"/>
        <v>0.92100000000000004</v>
      </c>
      <c r="AZ394" s="31">
        <f t="shared" si="145"/>
        <v>8.4719999999999995</v>
      </c>
      <c r="BC394" s="31">
        <f t="shared" si="146"/>
        <v>5.5E-2</v>
      </c>
      <c r="BD394" s="31">
        <f t="shared" si="147"/>
        <v>0</v>
      </c>
      <c r="BE394" s="31">
        <f t="shared" si="148"/>
        <v>8.4719999999999995</v>
      </c>
      <c r="BF394" s="31">
        <f t="shared" si="149"/>
        <v>19.256</v>
      </c>
      <c r="BG394" s="31">
        <f t="shared" si="150"/>
        <v>0.48299999999999998</v>
      </c>
      <c r="BH394" s="31">
        <f>VLOOKUP(B394,Miljö!$B$1:$BX$482,MATCH("Fossilandel för ursprungspecificerad el ()",Miljö!$B$1:$I$1,0),FALSE)</f>
        <v>0</v>
      </c>
      <c r="BI394" s="31">
        <f>VLOOKUP(B394,Miljö!$B$1:$BX$482,MATCH("Kärnkraftsandel för ursprungsspecificerad el ()",Miljö!$B$1:$O$1,0),FALSE)</f>
        <v>0.52</v>
      </c>
      <c r="BJ394" s="31">
        <f t="shared" si="151"/>
        <v>0</v>
      </c>
      <c r="BK394" s="31" t="str">
        <f>VLOOKUP(B394,Miljö!$B$1:$P$482,MATCH("Fossil andel i procent (%)",Miljö!$B$1:$P$1,0),FALSE)</f>
        <v>ET</v>
      </c>
      <c r="BL394" s="31">
        <f t="shared" si="152"/>
        <v>28.266000000000002</v>
      </c>
      <c r="BO394" s="32">
        <f t="shared" si="153"/>
        <v>1.9458006085049174E-3</v>
      </c>
      <c r="BP394" s="32">
        <f t="shared" si="154"/>
        <v>8.8855869242199098E-3</v>
      </c>
      <c r="BQ394" s="32">
        <f t="shared" si="155"/>
        <v>0.30792613033326255</v>
      </c>
      <c r="BR394" s="32">
        <f t="shared" si="156"/>
        <v>0.68124248213401251</v>
      </c>
      <c r="BT394" s="62">
        <f t="shared" si="157"/>
        <v>0.99999999999999989</v>
      </c>
      <c r="BW394" s="32">
        <f>IF(AP394="Ja",VLOOKUP(B394,Miljövärden!$B$2:$H$551,MATCH("Total andel fossilt",Miljövärden!$B$2:$H$2,0),FALSE),"")</f>
        <v>1.9457999999999999E-3</v>
      </c>
      <c r="BX394" s="62">
        <f t="shared" si="158"/>
        <v>-6.085049174611723E-10</v>
      </c>
      <c r="BZ394" s="31">
        <f t="shared" si="159"/>
        <v>-6.085049174611723E-10</v>
      </c>
      <c r="CA394" s="32">
        <f t="shared" si="160"/>
        <v>0</v>
      </c>
    </row>
    <row r="395" spans="1:79" hidden="1" x14ac:dyDescent="0.45">
      <c r="A395" s="31" t="s">
        <v>167</v>
      </c>
      <c r="B395" s="31" t="s">
        <v>136</v>
      </c>
      <c r="C395" s="31">
        <f>VLOOKUP($B395,'Tillförd energi'!$B$1:$AI$720,MATCH(C$1,'Tillförd energi'!$B$1:$AQ$1,0),FALSE)</f>
        <v>0</v>
      </c>
      <c r="D395" s="31">
        <f>VLOOKUP($B395,'Tillförd energi'!$B$1:$AI$720,MATCH(D$1,'Tillförd energi'!$B$1:$AQ$1,0),FALSE)</f>
        <v>0</v>
      </c>
      <c r="E395" s="31">
        <f>VLOOKUP($B395,'Tillförd energi'!$B$1:$AI$720,MATCH(E$1,'Tillförd energi'!$B$1:$AQ$1,0),FALSE)</f>
        <v>0</v>
      </c>
      <c r="F395" s="31">
        <f>VLOOKUP($B395,'Tillförd energi'!$B$1:$AI$720,MATCH(F$1,'Tillförd energi'!$B$1:$AQ$1,0),FALSE)</f>
        <v>0</v>
      </c>
      <c r="G395" s="31">
        <f>VLOOKUP($B395,'Tillförd energi'!$B$1:$AI$720,MATCH(G$1,'Tillförd energi'!$B$1:$AQ$1,0),FALSE)</f>
        <v>0</v>
      </c>
      <c r="H395" s="31">
        <f>VLOOKUP($B395,'Tillförd energi'!$B$1:$AI$720,MATCH(H$1,'Tillförd energi'!$B$1:$AQ$1,0),FALSE)</f>
        <v>0</v>
      </c>
      <c r="I395" s="31">
        <f>VLOOKUP($B395,'Tillförd energi'!$B$1:$AI$720,MATCH(I$1,'Tillförd energi'!$B$1:$AQ$1,0),FALSE)</f>
        <v>0</v>
      </c>
      <c r="J395" s="31">
        <f>VLOOKUP($B395,'Tillförd energi'!$B$1:$AI$720,MATCH(J$1,'Tillförd energi'!$B$1:$AQ$1,0),FALSE)</f>
        <v>0</v>
      </c>
      <c r="K395" s="31">
        <f>VLOOKUP($B395,'Tillförd energi'!$B$1:$AI$720,MATCH(K$1,'Tillförd energi'!$B$1:$AQ$1,0),FALSE)</f>
        <v>0</v>
      </c>
      <c r="L395" s="31">
        <f>VLOOKUP($B395,'Tillförd energi'!$B$1:$AI$720,MATCH(L$1,'Tillförd energi'!$B$1:$AQ$1,0),FALSE)</f>
        <v>0</v>
      </c>
      <c r="M395" s="31">
        <f>VLOOKUP($B395,'Tillförd energi'!$B$1:$AI$720,MATCH(M$1,'Tillförd energi'!$B$1:$AQ$1,0),FALSE)</f>
        <v>0</v>
      </c>
      <c r="N395" s="31">
        <f>VLOOKUP($B395,'Tillförd energi'!$B$1:$AI$720,MATCH(N$1,'Tillförd energi'!$B$1:$AQ$1,0),FALSE)</f>
        <v>0</v>
      </c>
      <c r="O395" s="31">
        <f>VLOOKUP($B395,'Tillförd energi'!$B$1:$AI$720,MATCH(O$1,'Tillförd energi'!$B$1:$AQ$1,0),FALSE)</f>
        <v>0</v>
      </c>
      <c r="P395" s="31">
        <f>VLOOKUP($B395,'Tillförd energi'!$B$1:$AI$720,MATCH(P$1,'Tillförd energi'!$B$1:$AQ$1,0),FALSE)</f>
        <v>0</v>
      </c>
      <c r="Q395" s="31">
        <f>VLOOKUP($B395,'Tillförd energi'!$B$1:$AI$720,MATCH(Q$1,'Tillförd energi'!$B$1:$AQ$1,0),FALSE)</f>
        <v>0</v>
      </c>
      <c r="R395" s="31">
        <f>VLOOKUP($B395,'Tillförd energi'!$B$1:$AI$720,MATCH(R$1,'Tillförd energi'!$B$1:$AQ$1,0),FALSE)</f>
        <v>0</v>
      </c>
      <c r="S395" s="31">
        <f>VLOOKUP($B395,'Tillförd energi'!$B$1:$AI$720,MATCH(S$1,'Tillförd energi'!$B$1:$AQ$1,0),FALSE)</f>
        <v>0</v>
      </c>
      <c r="T395" s="31">
        <f>VLOOKUP($B395,'Tillförd energi'!$B$1:$AI$720,MATCH(T$1,'Tillförd energi'!$B$1:$AQ$1,0),FALSE)</f>
        <v>0</v>
      </c>
      <c r="U395" s="31">
        <f>VLOOKUP($B395,'Tillförd energi'!$B$1:$AI$720,MATCH(U$1,'Tillförd energi'!$B$1:$AQ$1,0),FALSE)</f>
        <v>0</v>
      </c>
      <c r="V395" s="31">
        <f>VLOOKUP($B395,'Tillförd energi'!$B$1:$AI$720,MATCH(V$1,'Tillförd energi'!$B$1:$AQ$1,0),FALSE)</f>
        <v>0</v>
      </c>
      <c r="W395" s="31">
        <f>VLOOKUP($B395,'Tillförd energi'!$B$1:$AI$720,MATCH(W$1,'Tillförd energi'!$B$1:$AQ$1,0),FALSE)</f>
        <v>0</v>
      </c>
      <c r="X395" s="31">
        <f>VLOOKUP($B395,'Tillförd energi'!$B$1:$AI$720,MATCH(X$1,'Tillförd energi'!$B$1:$AQ$1,0),FALSE)</f>
        <v>0</v>
      </c>
      <c r="Y395" s="31">
        <f>VLOOKUP($B395,'Tillförd energi'!$B$1:$AI$720,MATCH(Y$1,'Tillförd energi'!$B$1:$AQ$1,0),FALSE)</f>
        <v>0</v>
      </c>
      <c r="Z395" s="31">
        <f>VLOOKUP($B395,'Tillförd energi'!$B$1:$AI$720,MATCH(Z$1,'Tillförd energi'!$B$1:$AQ$1,0),FALSE)</f>
        <v>0</v>
      </c>
      <c r="AA395" s="31">
        <f>VLOOKUP($B395,'Tillförd energi'!$B$1:$AI$720,MATCH(AA$1,'Tillförd energi'!$B$1:$AQ$1,0),FALSE)</f>
        <v>0</v>
      </c>
      <c r="AB395" s="31">
        <f>VLOOKUP($B395,'Tillförd energi'!$B$1:$AI$720,MATCH(AB$1,'Tillförd energi'!$B$1:$AQ$1,0),FALSE)</f>
        <v>0</v>
      </c>
      <c r="AC395" s="31">
        <f>VLOOKUP($B395,'Tillförd energi'!$B$1:$AI$720,MATCH(AC$1,'Tillförd energi'!$B$1:$AQ$1,0),FALSE)</f>
        <v>0</v>
      </c>
      <c r="AD395" s="31">
        <f>VLOOKUP($B395,'Tillförd energi'!$B$1:$AI$720,MATCH(AD$1,'Tillförd energi'!$B$1:$AQ$1,0),FALSE)</f>
        <v>0</v>
      </c>
      <c r="AE395" s="31">
        <f>VLOOKUP($B395,'Tillförd energi'!$B$1:$AI$720,MATCH(AE$1,'Tillförd energi'!$B$1:$AQ$1,0),FALSE)</f>
        <v>0</v>
      </c>
      <c r="AF395" s="31">
        <f>VLOOKUP($B395,'Tillförd energi'!$B$1:$AI$720,MATCH(AF$1,'Tillförd energi'!$B$1:$AQ$1,0),FALSE)</f>
        <v>0</v>
      </c>
      <c r="AG395" s="31">
        <f>IFERROR(VLOOKUP(B395,Miljö!$B$1:$AC$550,MATCH("Köpt mängd produktionsspecifik fjärrvärme:",Miljö!$B$1:$AC$1,0),FALSE)/1,0)</f>
        <v>0</v>
      </c>
      <c r="AI395" s="31">
        <f t="shared" si="138"/>
        <v>0</v>
      </c>
      <c r="AJ395" s="31">
        <f t="shared" si="139"/>
        <v>0</v>
      </c>
      <c r="AK395" s="31" t="str">
        <f>IF(ISERROR(1/VLOOKUP($B395,Leveranser!$B$1:$S$499,MATCH("Såld värme (GWh)",Leveranser!$B$1:$S$1,0),FALSE)),"",VLOOKUP($B395,Leveranser!$B$1:$S$499,MATCH("Såld värme (GWh)",Leveranser!$B$1:$S$1,0),FALSE))</f>
        <v/>
      </c>
      <c r="AL395" s="31">
        <f>VLOOKUP($B395,Leveranser!$B$1:$Y$499,MATCH("Totalt såld fjärrvärme till andra fjärrvärmeföretag",Leveranser!$B$1:$AA$1,0),FALSE)</f>
        <v>0</v>
      </c>
      <c r="AM395" s="31">
        <f>IF(ISERROR(1/VLOOKUP($B395,Miljö!$B$1:$S$500,MATCH("Såld mängd produktionsspecifik fjärrvärme (GWh)",Miljö!$B$1:$R$1,0),FALSE)),0,VLOOKUP($B395,Miljö!$B$1:$S$500,MATCH("Såld mängd produktionsspecifik fjärrvärme (GWh)",Miljö!$B$1:$R$1,0),FALSE))</f>
        <v>0</v>
      </c>
      <c r="AN395" s="32" t="str">
        <f t="shared" si="140"/>
        <v/>
      </c>
      <c r="AP395" s="31" t="str">
        <f>IFERROR(VLOOKUP($B395,Miljövärden!$B$2:$H$550,7,FALSE),"Nej, saknas")</f>
        <v>Nej</v>
      </c>
      <c r="AQ395" s="31" t="str">
        <f>IFERROR(VLOOKUP($B395,Miljövärden!$B$2:$H$551,6,FALSE),"Nej, saknas")</f>
        <v>Nej</v>
      </c>
      <c r="AU395" s="31">
        <f t="shared" si="141"/>
        <v>0</v>
      </c>
      <c r="AV395" s="31">
        <f t="shared" si="142"/>
        <v>0</v>
      </c>
      <c r="AW395" s="31">
        <f t="shared" si="143"/>
        <v>0</v>
      </c>
      <c r="AX395" s="31">
        <f t="shared" si="144"/>
        <v>0</v>
      </c>
      <c r="AZ395" s="31">
        <f t="shared" si="145"/>
        <v>0</v>
      </c>
      <c r="BC395" s="31">
        <f t="shared" si="146"/>
        <v>0</v>
      </c>
      <c r="BD395" s="31">
        <f t="shared" si="147"/>
        <v>0</v>
      </c>
      <c r="BE395" s="31">
        <f t="shared" si="148"/>
        <v>0</v>
      </c>
      <c r="BF395" s="31">
        <f t="shared" si="149"/>
        <v>0</v>
      </c>
      <c r="BG395" s="31">
        <f t="shared" si="150"/>
        <v>0</v>
      </c>
      <c r="BH395" s="31" t="str">
        <f>VLOOKUP(B395,Miljö!$B$1:$BX$482,MATCH("Fossilandel för ursprungspecificerad el ()",Miljö!$B$1:$I$1,0),FALSE)</f>
        <v>-</v>
      </c>
      <c r="BI395" s="31" t="str">
        <f>VLOOKUP(B395,Miljö!$B$1:$BX$482,MATCH("Kärnkraftsandel för ursprungsspecificerad el ()",Miljö!$B$1:$O$1,0),FALSE)</f>
        <v>-</v>
      </c>
      <c r="BJ395" s="31">
        <f t="shared" si="151"/>
        <v>0</v>
      </c>
      <c r="BK395" s="31" t="str">
        <f>VLOOKUP(B395,Miljö!$B$1:$P$482,MATCH("Fossil andel i procent (%)",Miljö!$B$1:$P$1,0),FALSE)</f>
        <v>-</v>
      </c>
      <c r="BL395" s="31">
        <f t="shared" si="152"/>
        <v>0</v>
      </c>
      <c r="BO395" s="32" t="str">
        <f t="shared" si="153"/>
        <v/>
      </c>
      <c r="BP395" s="32" t="str">
        <f t="shared" si="154"/>
        <v/>
      </c>
      <c r="BQ395" s="32" t="str">
        <f t="shared" si="155"/>
        <v/>
      </c>
      <c r="BR395" s="32" t="str">
        <f t="shared" si="156"/>
        <v/>
      </c>
      <c r="BT395" s="62">
        <f t="shared" si="157"/>
        <v>0</v>
      </c>
      <c r="BW395" s="32" t="str">
        <f>IF(AP395="Ja",VLOOKUP(B395,Miljövärden!$B$2:$H$551,MATCH("Total andel fossilt",Miljövärden!$B$2:$H$2,0),FALSE),"")</f>
        <v/>
      </c>
      <c r="BX395" s="62" t="e">
        <f t="shared" si="158"/>
        <v>#VALUE!</v>
      </c>
      <c r="BZ395" s="31" t="str">
        <f t="shared" si="159"/>
        <v/>
      </c>
      <c r="CA395" s="32" t="str">
        <f t="shared" si="160"/>
        <v/>
      </c>
    </row>
    <row r="396" spans="1:79" x14ac:dyDescent="0.45">
      <c r="A396" s="31" t="s">
        <v>162</v>
      </c>
      <c r="B396" s="31" t="s">
        <v>166</v>
      </c>
      <c r="C396" s="31">
        <f>VLOOKUP($B396,'Tillförd energi'!$B$1:$AI$720,MATCH(C$1,'Tillförd energi'!$B$1:$AQ$1,0),FALSE)</f>
        <v>0</v>
      </c>
      <c r="D396" s="31">
        <f>VLOOKUP($B396,'Tillförd energi'!$B$1:$AI$720,MATCH(D$1,'Tillförd energi'!$B$1:$AQ$1,0),FALSE)</f>
        <v>0.249</v>
      </c>
      <c r="E396" s="31">
        <f>VLOOKUP($B396,'Tillförd energi'!$B$1:$AI$720,MATCH(E$1,'Tillförd energi'!$B$1:$AQ$1,0),FALSE)</f>
        <v>0</v>
      </c>
      <c r="F396" s="31">
        <f>VLOOKUP($B396,'Tillförd energi'!$B$1:$AI$720,MATCH(F$1,'Tillförd energi'!$B$1:$AQ$1,0),FALSE)</f>
        <v>1.5669999999999999</v>
      </c>
      <c r="G396" s="31">
        <f>VLOOKUP($B396,'Tillförd energi'!$B$1:$AI$720,MATCH(G$1,'Tillförd energi'!$B$1:$AQ$1,0),FALSE)</f>
        <v>0</v>
      </c>
      <c r="H396" s="31">
        <f>VLOOKUP($B396,'Tillförd energi'!$B$1:$AI$720,MATCH(H$1,'Tillförd energi'!$B$1:$AQ$1,0),FALSE)</f>
        <v>0</v>
      </c>
      <c r="I396" s="31">
        <f>VLOOKUP($B396,'Tillförd energi'!$B$1:$AI$720,MATCH(I$1,'Tillförd energi'!$B$1:$AQ$1,0),FALSE)</f>
        <v>274.24</v>
      </c>
      <c r="J396" s="31">
        <f>VLOOKUP($B396,'Tillförd energi'!$B$1:$AI$720,MATCH(J$1,'Tillförd energi'!$B$1:$AQ$1,0),FALSE)</f>
        <v>5.7682399999999996</v>
      </c>
      <c r="K396" s="31">
        <f>VLOOKUP($B396,'Tillförd energi'!$B$1:$AI$720,MATCH(K$1,'Tillförd energi'!$B$1:$AQ$1,0),FALSE)</f>
        <v>0</v>
      </c>
      <c r="L396" s="31">
        <f>VLOOKUP($B396,'Tillförd energi'!$B$1:$AI$720,MATCH(L$1,'Tillförd energi'!$B$1:$AQ$1,0),FALSE)</f>
        <v>0</v>
      </c>
      <c r="M396" s="31">
        <f>VLOOKUP($B396,'Tillförd energi'!$B$1:$AI$720,MATCH(M$1,'Tillförd energi'!$B$1:$AQ$1,0),FALSE)</f>
        <v>0</v>
      </c>
      <c r="N396" s="31">
        <f>VLOOKUP($B396,'Tillförd energi'!$B$1:$AI$720,MATCH(N$1,'Tillförd energi'!$B$1:$AQ$1,0),FALSE)</f>
        <v>0</v>
      </c>
      <c r="O396" s="31">
        <f>VLOOKUP($B396,'Tillförd energi'!$B$1:$AI$720,MATCH(O$1,'Tillförd energi'!$B$1:$AQ$1,0),FALSE)</f>
        <v>0</v>
      </c>
      <c r="P396" s="31">
        <f>VLOOKUP($B396,'Tillförd energi'!$B$1:$AI$720,MATCH(P$1,'Tillförd energi'!$B$1:$AQ$1,0),FALSE)</f>
        <v>0</v>
      </c>
      <c r="Q396" s="31">
        <f>VLOOKUP($B396,'Tillförd energi'!$B$1:$AI$720,MATCH(Q$1,'Tillförd energi'!$B$1:$AQ$1,0),FALSE)</f>
        <v>0</v>
      </c>
      <c r="R396" s="31">
        <f>VLOOKUP($B396,'Tillförd energi'!$B$1:$AI$720,MATCH(R$1,'Tillförd energi'!$B$1:$AQ$1,0),FALSE)</f>
        <v>149.1</v>
      </c>
      <c r="S396" s="31">
        <f>VLOOKUP($B396,'Tillförd energi'!$B$1:$AI$720,MATCH(S$1,'Tillförd energi'!$B$1:$AQ$1,0),FALSE)</f>
        <v>0</v>
      </c>
      <c r="T396" s="31">
        <f>VLOOKUP($B396,'Tillförd energi'!$B$1:$AI$720,MATCH(T$1,'Tillförd energi'!$B$1:$AQ$1,0),FALSE)</f>
        <v>0</v>
      </c>
      <c r="U396" s="31">
        <f>VLOOKUP($B396,'Tillförd energi'!$B$1:$AI$720,MATCH(U$1,'Tillförd energi'!$B$1:$AQ$1,0),FALSE)</f>
        <v>0</v>
      </c>
      <c r="V396" s="31">
        <f>VLOOKUP($B396,'Tillförd energi'!$B$1:$AI$720,MATCH(V$1,'Tillförd energi'!$B$1:$AQ$1,0),FALSE)</f>
        <v>0</v>
      </c>
      <c r="W396" s="31">
        <f>VLOOKUP($B396,'Tillförd energi'!$B$1:$AI$720,MATCH(W$1,'Tillförd energi'!$B$1:$AQ$1,0),FALSE)</f>
        <v>1.29</v>
      </c>
      <c r="X396" s="31">
        <f>VLOOKUP($B396,'Tillförd energi'!$B$1:$AI$720,MATCH(X$1,'Tillförd energi'!$B$1:$AQ$1,0),FALSE)</f>
        <v>0</v>
      </c>
      <c r="Y396" s="31">
        <f>VLOOKUP($B396,'Tillförd energi'!$B$1:$AI$720,MATCH(Y$1,'Tillförd energi'!$B$1:$AQ$1,0),FALSE)</f>
        <v>0</v>
      </c>
      <c r="Z396" s="31">
        <f>VLOOKUP($B396,'Tillförd energi'!$B$1:$AI$720,MATCH(Z$1,'Tillförd energi'!$B$1:$AQ$1,0),FALSE)</f>
        <v>0</v>
      </c>
      <c r="AA396" s="31">
        <f>VLOOKUP($B396,'Tillförd energi'!$B$1:$AI$720,MATCH(AA$1,'Tillförd energi'!$B$1:$AQ$1,0),FALSE)</f>
        <v>13.202</v>
      </c>
      <c r="AB396" s="31">
        <f>VLOOKUP($B396,'Tillförd energi'!$B$1:$AI$720,MATCH(AB$1,'Tillförd energi'!$B$1:$AQ$1,0),FALSE)</f>
        <v>26.902000000000001</v>
      </c>
      <c r="AC396" s="31">
        <f>VLOOKUP($B396,'Tillförd energi'!$B$1:$AI$720,MATCH(AC$1,'Tillförd energi'!$B$1:$AQ$1,0),FALSE)</f>
        <v>92.77</v>
      </c>
      <c r="AD396" s="31">
        <f>VLOOKUP($B396,'Tillförd energi'!$B$1:$AI$720,MATCH(AD$1,'Tillförd energi'!$B$1:$AQ$1,0),FALSE)</f>
        <v>379.42700000000002</v>
      </c>
      <c r="AE396" s="31">
        <f>VLOOKUP($B396,'Tillförd energi'!$B$1:$AI$720,MATCH(AE$1,'Tillförd energi'!$B$1:$AQ$1,0),FALSE)</f>
        <v>0</v>
      </c>
      <c r="AF396" s="31">
        <f>VLOOKUP($B396,'Tillförd energi'!$B$1:$AI$720,MATCH(AF$1,'Tillförd energi'!$B$1:$AQ$1,0),FALSE)</f>
        <v>19.2775</v>
      </c>
      <c r="AG396" s="31">
        <f>IFERROR(VLOOKUP(B396,Miljö!$B$1:$AC$550,MATCH("Köpt mängd produktionsspecifik fjärrvärme:",Miljö!$B$1:$AC$1,0),FALSE)/1,0)</f>
        <v>25.8</v>
      </c>
      <c r="AI396" s="31">
        <f t="shared" si="138"/>
        <v>963.79273999999998</v>
      </c>
      <c r="AJ396" s="31">
        <f t="shared" si="139"/>
        <v>989.59273999999994</v>
      </c>
      <c r="AK396" s="31">
        <f>IF(ISERROR(1/VLOOKUP($B396,Leveranser!$B$1:$S$499,MATCH("Såld värme (GWh)",Leveranser!$B$1:$S$1,0),FALSE)),"",VLOOKUP($B396,Leveranser!$B$1:$S$499,MATCH("Såld värme (GWh)",Leveranser!$B$1:$S$1,0),FALSE))</f>
        <v>958.4</v>
      </c>
      <c r="AL396" s="31">
        <f>VLOOKUP($B396,Leveranser!$B$1:$Y$499,MATCH("Totalt såld fjärrvärme till andra fjärrvärmeföretag",Leveranser!$B$1:$AA$1,0),FALSE)</f>
        <v>104.4</v>
      </c>
      <c r="AM396" s="31">
        <f>IF(ISERROR(1/VLOOKUP($B396,Miljö!$B$1:$S$500,MATCH("Såld mängd produktionsspecifik fjärrvärme (GWh)",Miljö!$B$1:$R$1,0),FALSE)),0,VLOOKUP($B396,Miljö!$B$1:$S$500,MATCH("Såld mängd produktionsspecifik fjärrvärme (GWh)",Miljö!$B$1:$R$1,0),FALSE))</f>
        <v>104.4</v>
      </c>
      <c r="AN396" s="32">
        <f t="shared" si="140"/>
        <v>0.96847921499504941</v>
      </c>
      <c r="AP396" s="31" t="str">
        <f>IFERROR(VLOOKUP($B396,Miljövärden!$B$2:$H$550,7,FALSE),"Nej, saknas")</f>
        <v>Ja</v>
      </c>
      <c r="AQ396" s="31" t="str">
        <f>IFERROR(VLOOKUP($B396,Miljövärden!$B$2:$H$551,6,FALSE),"Nej, saknas")</f>
        <v>Ja</v>
      </c>
      <c r="AU396" s="31">
        <f t="shared" si="141"/>
        <v>32.479500000000002</v>
      </c>
      <c r="AV396" s="31">
        <f t="shared" si="142"/>
        <v>0</v>
      </c>
      <c r="AW396" s="31">
        <f t="shared" si="143"/>
        <v>0</v>
      </c>
      <c r="AX396" s="31">
        <f t="shared" si="144"/>
        <v>149.1</v>
      </c>
      <c r="AZ396" s="31">
        <f t="shared" si="145"/>
        <v>150.38999999999999</v>
      </c>
      <c r="BC396" s="31">
        <f t="shared" si="146"/>
        <v>1.8159999999999998</v>
      </c>
      <c r="BD396" s="31">
        <f t="shared" si="147"/>
        <v>0</v>
      </c>
      <c r="BE396" s="31">
        <f t="shared" si="148"/>
        <v>150.38999999999999</v>
      </c>
      <c r="BF396" s="31">
        <f t="shared" si="149"/>
        <v>779.10724000000005</v>
      </c>
      <c r="BG396" s="31">
        <f t="shared" si="150"/>
        <v>32.479500000000002</v>
      </c>
      <c r="BH396" s="31">
        <f>VLOOKUP(B396,Miljö!$B$1:$BX$482,MATCH("Fossilandel för ursprungspecificerad el ()",Miljö!$B$1:$I$1,0),FALSE)</f>
        <v>1E-3</v>
      </c>
      <c r="BI396" s="31">
        <f>VLOOKUP(B396,Miljö!$B$1:$BX$482,MATCH("Kärnkraftsandel för ursprungsspecificerad el ()",Miljö!$B$1:$O$1,0),FALSE)</f>
        <v>0</v>
      </c>
      <c r="BJ396" s="31">
        <f t="shared" si="151"/>
        <v>25.8</v>
      </c>
      <c r="BK396" s="31">
        <f>VLOOKUP(B396,Miljö!$B$1:$P$482,MATCH("Fossil andel i procent (%)",Miljö!$B$1:$P$1,0),FALSE)</f>
        <v>0</v>
      </c>
      <c r="BL396" s="31">
        <f t="shared" si="152"/>
        <v>989.59274000000005</v>
      </c>
      <c r="BO396" s="32">
        <f t="shared" si="153"/>
        <v>1.8679194230952015E-3</v>
      </c>
      <c r="BP396" s="32">
        <f t="shared" si="154"/>
        <v>2.6071331121527833E-2</v>
      </c>
      <c r="BQ396" s="32">
        <f t="shared" si="155"/>
        <v>0.18475986444686324</v>
      </c>
      <c r="BR396" s="32">
        <f t="shared" si="156"/>
        <v>0.7873008850085137</v>
      </c>
      <c r="BT396" s="62">
        <f t="shared" si="157"/>
        <v>1</v>
      </c>
      <c r="BW396" s="32">
        <f>IF(AP396="Ja",VLOOKUP(B396,Miljövärden!$B$2:$H$551,MATCH("Total andel fossilt",Miljövärden!$B$2:$H$2,0),FALSE),"")</f>
        <v>2.3326900000000001E-3</v>
      </c>
      <c r="BX396" s="62">
        <f t="shared" si="158"/>
        <v>4.6477057690479866E-4</v>
      </c>
      <c r="BZ396" s="31">
        <f t="shared" si="159"/>
        <v>4.6477057690479866E-4</v>
      </c>
      <c r="CA396" s="32">
        <f t="shared" si="160"/>
        <v>0</v>
      </c>
    </row>
    <row r="397" spans="1:79" x14ac:dyDescent="0.45">
      <c r="A397" s="31" t="s">
        <v>162</v>
      </c>
      <c r="B397" s="31" t="s">
        <v>164</v>
      </c>
      <c r="C397" s="31">
        <f>VLOOKUP($B397,'Tillförd energi'!$B$1:$AI$720,MATCH(C$1,'Tillförd energi'!$B$1:$AQ$1,0),FALSE)</f>
        <v>0</v>
      </c>
      <c r="D397" s="31">
        <f>VLOOKUP($B397,'Tillförd energi'!$B$1:$AI$720,MATCH(D$1,'Tillförd energi'!$B$1:$AQ$1,0),FALSE)</f>
        <v>1.2E-2</v>
      </c>
      <c r="E397" s="31">
        <f>VLOOKUP($B397,'Tillförd energi'!$B$1:$AI$720,MATCH(E$1,'Tillförd energi'!$B$1:$AQ$1,0),FALSE)</f>
        <v>0</v>
      </c>
      <c r="F397" s="31">
        <f>VLOOKUP($B397,'Tillförd energi'!$B$1:$AI$720,MATCH(F$1,'Tillförd energi'!$B$1:$AQ$1,0),FALSE)</f>
        <v>0</v>
      </c>
      <c r="G397" s="31">
        <f>VLOOKUP($B397,'Tillförd energi'!$B$1:$AI$720,MATCH(G$1,'Tillförd energi'!$B$1:$AQ$1,0),FALSE)</f>
        <v>0</v>
      </c>
      <c r="H397" s="31">
        <f>VLOOKUP($B397,'Tillförd energi'!$B$1:$AI$720,MATCH(H$1,'Tillförd energi'!$B$1:$AQ$1,0),FALSE)</f>
        <v>0</v>
      </c>
      <c r="I397" s="31">
        <f>VLOOKUP($B397,'Tillförd energi'!$B$1:$AI$720,MATCH(I$1,'Tillförd energi'!$B$1:$AQ$1,0),FALSE)</f>
        <v>0</v>
      </c>
      <c r="J397" s="31">
        <f>VLOOKUP($B397,'Tillförd energi'!$B$1:$AI$720,MATCH(J$1,'Tillförd energi'!$B$1:$AQ$1,0),FALSE)</f>
        <v>0</v>
      </c>
      <c r="K397" s="31">
        <f>VLOOKUP($B397,'Tillförd energi'!$B$1:$AI$720,MATCH(K$1,'Tillförd energi'!$B$1:$AQ$1,0),FALSE)</f>
        <v>0</v>
      </c>
      <c r="L397" s="31">
        <f>VLOOKUP($B397,'Tillförd energi'!$B$1:$AI$720,MATCH(L$1,'Tillförd energi'!$B$1:$AQ$1,0),FALSE)</f>
        <v>0</v>
      </c>
      <c r="M397" s="31">
        <f>VLOOKUP($B397,'Tillförd energi'!$B$1:$AI$720,MATCH(M$1,'Tillförd energi'!$B$1:$AQ$1,0),FALSE)</f>
        <v>0</v>
      </c>
      <c r="N397" s="31">
        <f>VLOOKUP($B397,'Tillförd energi'!$B$1:$AI$720,MATCH(N$1,'Tillförd energi'!$B$1:$AQ$1,0),FALSE)</f>
        <v>0</v>
      </c>
      <c r="O397" s="31">
        <f>VLOOKUP($B397,'Tillförd energi'!$B$1:$AI$720,MATCH(O$1,'Tillförd energi'!$B$1:$AQ$1,0),FALSE)</f>
        <v>0</v>
      </c>
      <c r="P397" s="31">
        <f>VLOOKUP($B397,'Tillförd energi'!$B$1:$AI$720,MATCH(P$1,'Tillförd energi'!$B$1:$AQ$1,0),FALSE)</f>
        <v>0</v>
      </c>
      <c r="Q397" s="31">
        <f>VLOOKUP($B397,'Tillförd energi'!$B$1:$AI$720,MATCH(Q$1,'Tillförd energi'!$B$1:$AQ$1,0),FALSE)</f>
        <v>0</v>
      </c>
      <c r="R397" s="31">
        <f>VLOOKUP($B397,'Tillförd energi'!$B$1:$AI$720,MATCH(R$1,'Tillförd energi'!$B$1:$AQ$1,0),FALSE)</f>
        <v>2.4750000000000001</v>
      </c>
      <c r="S397" s="31">
        <f>VLOOKUP($B397,'Tillförd energi'!$B$1:$AI$720,MATCH(S$1,'Tillförd energi'!$B$1:$AQ$1,0),FALSE)</f>
        <v>0</v>
      </c>
      <c r="T397" s="31">
        <f>VLOOKUP($B397,'Tillförd energi'!$B$1:$AI$720,MATCH(T$1,'Tillförd energi'!$B$1:$AQ$1,0),FALSE)</f>
        <v>0</v>
      </c>
      <c r="U397" s="31">
        <f>VLOOKUP($B397,'Tillförd energi'!$B$1:$AI$720,MATCH(U$1,'Tillförd energi'!$B$1:$AQ$1,0),FALSE)</f>
        <v>0</v>
      </c>
      <c r="V397" s="31">
        <f>VLOOKUP($B397,'Tillförd energi'!$B$1:$AI$720,MATCH(V$1,'Tillförd energi'!$B$1:$AQ$1,0),FALSE)</f>
        <v>0</v>
      </c>
      <c r="W397" s="31">
        <f>VLOOKUP($B397,'Tillförd energi'!$B$1:$AI$720,MATCH(W$1,'Tillförd energi'!$B$1:$AQ$1,0),FALSE)</f>
        <v>0</v>
      </c>
      <c r="X397" s="31">
        <f>VLOOKUP($B397,'Tillförd energi'!$B$1:$AI$720,MATCH(X$1,'Tillförd energi'!$B$1:$AQ$1,0),FALSE)</f>
        <v>0</v>
      </c>
      <c r="Y397" s="31">
        <f>VLOOKUP($B397,'Tillförd energi'!$B$1:$AI$720,MATCH(Y$1,'Tillförd energi'!$B$1:$AQ$1,0),FALSE)</f>
        <v>0</v>
      </c>
      <c r="Z397" s="31">
        <f>VLOOKUP($B397,'Tillförd energi'!$B$1:$AI$720,MATCH(Z$1,'Tillförd energi'!$B$1:$AQ$1,0),FALSE)</f>
        <v>0</v>
      </c>
      <c r="AA397" s="31">
        <f>VLOOKUP($B397,'Tillförd energi'!$B$1:$AI$720,MATCH(AA$1,'Tillförd energi'!$B$1:$AQ$1,0),FALSE)</f>
        <v>0</v>
      </c>
      <c r="AB397" s="31">
        <f>VLOOKUP($B397,'Tillförd energi'!$B$1:$AI$720,MATCH(AB$1,'Tillförd energi'!$B$1:$AQ$1,0),FALSE)</f>
        <v>0</v>
      </c>
      <c r="AC397" s="31">
        <f>VLOOKUP($B397,'Tillförd energi'!$B$1:$AI$720,MATCH(AC$1,'Tillförd energi'!$B$1:$AQ$1,0),FALSE)</f>
        <v>0</v>
      </c>
      <c r="AD397" s="31">
        <f>VLOOKUP($B397,'Tillförd energi'!$B$1:$AI$720,MATCH(AD$1,'Tillförd energi'!$B$1:$AQ$1,0),FALSE)</f>
        <v>0</v>
      </c>
      <c r="AE397" s="31">
        <f>VLOOKUP($B397,'Tillförd energi'!$B$1:$AI$720,MATCH(AE$1,'Tillförd energi'!$B$1:$AQ$1,0),FALSE)</f>
        <v>0</v>
      </c>
      <c r="AF397" s="31">
        <f>VLOOKUP($B397,'Tillförd energi'!$B$1:$AI$720,MATCH(AF$1,'Tillförd energi'!$B$1:$AQ$1,0),FALSE)</f>
        <v>5.4899999999999997E-2</v>
      </c>
      <c r="AG397" s="31">
        <f>IFERROR(VLOOKUP(B397,Miljö!$B$1:$AC$550,MATCH("Köpt mängd produktionsspecifik fjärrvärme:",Miljö!$B$1:$AC$1,0),FALSE)/1,0)</f>
        <v>0</v>
      </c>
      <c r="AI397" s="31">
        <f t="shared" si="138"/>
        <v>2.5419</v>
      </c>
      <c r="AJ397" s="31">
        <f t="shared" si="139"/>
        <v>2.5419</v>
      </c>
      <c r="AK397" s="31">
        <f>IF(ISERROR(1/VLOOKUP($B397,Leveranser!$B$1:$S$499,MATCH("Såld värme (GWh)",Leveranser!$B$1:$S$1,0),FALSE)),"",VLOOKUP($B397,Leveranser!$B$1:$S$499,MATCH("Såld värme (GWh)",Leveranser!$B$1:$S$1,0),FALSE))</f>
        <v>1.83</v>
      </c>
      <c r="AL397" s="31">
        <f>VLOOKUP($B397,Leveranser!$B$1:$Y$499,MATCH("Totalt såld fjärrvärme till andra fjärrvärmeföretag",Leveranser!$B$1:$AA$1,0),FALSE)</f>
        <v>0</v>
      </c>
      <c r="AM397" s="31">
        <f>IF(ISERROR(1/VLOOKUP($B397,Miljö!$B$1:$S$500,MATCH("Såld mängd produktionsspecifik fjärrvärme (GWh)",Miljö!$B$1:$R$1,0),FALSE)),0,VLOOKUP($B397,Miljö!$B$1:$S$500,MATCH("Såld mängd produktionsspecifik fjärrvärme (GWh)",Miljö!$B$1:$R$1,0),FALSE))</f>
        <v>0</v>
      </c>
      <c r="AN397" s="32">
        <f t="shared" si="140"/>
        <v>0.71993390770683352</v>
      </c>
      <c r="AP397" s="31" t="str">
        <f>IFERROR(VLOOKUP($B397,Miljövärden!$B$2:$H$550,7,FALSE),"Nej, saknas")</f>
        <v>Ja</v>
      </c>
      <c r="AQ397" s="31" t="str">
        <f>IFERROR(VLOOKUP($B397,Miljövärden!$B$2:$H$551,6,FALSE),"Nej, saknas")</f>
        <v>Nej</v>
      </c>
      <c r="AU397" s="31">
        <f t="shared" si="141"/>
        <v>5.4899999999999997E-2</v>
      </c>
      <c r="AV397" s="31">
        <f t="shared" si="142"/>
        <v>0</v>
      </c>
      <c r="AW397" s="31">
        <f t="shared" si="143"/>
        <v>0</v>
      </c>
      <c r="AX397" s="31">
        <f t="shared" si="144"/>
        <v>2.4750000000000001</v>
      </c>
      <c r="AZ397" s="31">
        <f t="shared" si="145"/>
        <v>2.4750000000000001</v>
      </c>
      <c r="BC397" s="31">
        <f t="shared" si="146"/>
        <v>1.2E-2</v>
      </c>
      <c r="BD397" s="31">
        <f t="shared" si="147"/>
        <v>0</v>
      </c>
      <c r="BE397" s="31">
        <f t="shared" si="148"/>
        <v>2.4750000000000001</v>
      </c>
      <c r="BF397" s="31">
        <f t="shared" si="149"/>
        <v>0</v>
      </c>
      <c r="BG397" s="31">
        <f t="shared" si="150"/>
        <v>5.4899999999999997E-2</v>
      </c>
      <c r="BH397" s="31">
        <f>VLOOKUP(B397,Miljö!$B$1:$BX$482,MATCH("Fossilandel för ursprungspecificerad el ()",Miljö!$B$1:$I$1,0),FALSE)</f>
        <v>0</v>
      </c>
      <c r="BI397" s="31">
        <f>VLOOKUP(B397,Miljö!$B$1:$BX$482,MATCH("Kärnkraftsandel för ursprungsspecificerad el ()",Miljö!$B$1:$O$1,0),FALSE)</f>
        <v>0</v>
      </c>
      <c r="BJ397" s="31">
        <f t="shared" si="151"/>
        <v>0</v>
      </c>
      <c r="BK397" s="31" t="str">
        <f>VLOOKUP(B397,Miljö!$B$1:$P$482,MATCH("Fossil andel i procent (%)",Miljö!$B$1:$P$1,0),FALSE)</f>
        <v>ET</v>
      </c>
      <c r="BL397" s="31">
        <f t="shared" si="152"/>
        <v>2.5419</v>
      </c>
      <c r="BO397" s="32">
        <f t="shared" si="153"/>
        <v>4.7208780833234978E-3</v>
      </c>
      <c r="BP397" s="32">
        <f t="shared" si="154"/>
        <v>0</v>
      </c>
      <c r="BQ397" s="32">
        <f t="shared" si="155"/>
        <v>0.99527912191667645</v>
      </c>
      <c r="BR397" s="32">
        <f t="shared" si="156"/>
        <v>0</v>
      </c>
      <c r="BT397" s="62">
        <f t="shared" si="157"/>
        <v>0.99999999999999989</v>
      </c>
      <c r="BW397" s="32">
        <f>IF(AP397="Ja",VLOOKUP(B397,Miljövärden!$B$2:$H$551,MATCH("Total andel fossilt",Miljövärden!$B$2:$H$2,0),FALSE),"")</f>
        <v>4.7208800000000002E-3</v>
      </c>
      <c r="BX397" s="62">
        <f t="shared" si="158"/>
        <v>1.9166765024072885E-9</v>
      </c>
      <c r="BZ397" s="31">
        <f t="shared" si="159"/>
        <v>1.9166765024072885E-9</v>
      </c>
      <c r="CA397" s="32">
        <f t="shared" si="160"/>
        <v>0</v>
      </c>
    </row>
    <row r="398" spans="1:79" x14ac:dyDescent="0.45">
      <c r="A398" s="31" t="s">
        <v>162</v>
      </c>
      <c r="B398" s="31" t="s">
        <v>163</v>
      </c>
      <c r="C398" s="31">
        <f>VLOOKUP($B398,'Tillförd energi'!$B$1:$AI$720,MATCH(C$1,'Tillförd energi'!$B$1:$AQ$1,0),FALSE)</f>
        <v>0</v>
      </c>
      <c r="D398" s="31">
        <f>VLOOKUP($B398,'Tillförd energi'!$B$1:$AI$720,MATCH(D$1,'Tillförd energi'!$B$1:$AQ$1,0),FALSE)</f>
        <v>2.5000000000000001E-2</v>
      </c>
      <c r="E398" s="31">
        <f>VLOOKUP($B398,'Tillförd energi'!$B$1:$AI$720,MATCH(E$1,'Tillförd energi'!$B$1:$AQ$1,0),FALSE)</f>
        <v>0</v>
      </c>
      <c r="F398" s="31">
        <f>VLOOKUP($B398,'Tillförd energi'!$B$1:$AI$720,MATCH(F$1,'Tillförd energi'!$B$1:$AQ$1,0),FALSE)</f>
        <v>0</v>
      </c>
      <c r="G398" s="31">
        <f>VLOOKUP($B398,'Tillförd energi'!$B$1:$AI$720,MATCH(G$1,'Tillförd energi'!$B$1:$AQ$1,0),FALSE)</f>
        <v>0</v>
      </c>
      <c r="H398" s="31">
        <f>VLOOKUP($B398,'Tillförd energi'!$B$1:$AI$720,MATCH(H$1,'Tillförd energi'!$B$1:$AQ$1,0),FALSE)</f>
        <v>0</v>
      </c>
      <c r="I398" s="31">
        <f>VLOOKUP($B398,'Tillförd energi'!$B$1:$AI$720,MATCH(I$1,'Tillförd energi'!$B$1:$AQ$1,0),FALSE)</f>
        <v>0</v>
      </c>
      <c r="J398" s="31">
        <f>VLOOKUP($B398,'Tillförd energi'!$B$1:$AI$720,MATCH(J$1,'Tillförd energi'!$B$1:$AQ$1,0),FALSE)</f>
        <v>0</v>
      </c>
      <c r="K398" s="31">
        <f>VLOOKUP($B398,'Tillförd energi'!$B$1:$AI$720,MATCH(K$1,'Tillförd energi'!$B$1:$AQ$1,0),FALSE)</f>
        <v>0</v>
      </c>
      <c r="L398" s="31">
        <f>VLOOKUP($B398,'Tillförd energi'!$B$1:$AI$720,MATCH(L$1,'Tillförd energi'!$B$1:$AQ$1,0),FALSE)</f>
        <v>0</v>
      </c>
      <c r="M398" s="31">
        <f>VLOOKUP($B398,'Tillförd energi'!$B$1:$AI$720,MATCH(M$1,'Tillförd energi'!$B$1:$AQ$1,0),FALSE)</f>
        <v>0</v>
      </c>
      <c r="N398" s="31">
        <f>VLOOKUP($B398,'Tillförd energi'!$B$1:$AI$720,MATCH(N$1,'Tillförd energi'!$B$1:$AQ$1,0),FALSE)</f>
        <v>0</v>
      </c>
      <c r="O398" s="31">
        <f>VLOOKUP($B398,'Tillförd energi'!$B$1:$AI$720,MATCH(O$1,'Tillförd energi'!$B$1:$AQ$1,0),FALSE)</f>
        <v>0</v>
      </c>
      <c r="P398" s="31">
        <f>VLOOKUP($B398,'Tillförd energi'!$B$1:$AI$720,MATCH(P$1,'Tillförd energi'!$B$1:$AQ$1,0),FALSE)</f>
        <v>0</v>
      </c>
      <c r="Q398" s="31">
        <f>VLOOKUP($B398,'Tillförd energi'!$B$1:$AI$720,MATCH(Q$1,'Tillförd energi'!$B$1:$AQ$1,0),FALSE)</f>
        <v>0</v>
      </c>
      <c r="R398" s="31">
        <f>VLOOKUP($B398,'Tillförd energi'!$B$1:$AI$720,MATCH(R$1,'Tillförd energi'!$B$1:$AQ$1,0),FALSE)</f>
        <v>12.05</v>
      </c>
      <c r="S398" s="31">
        <f>VLOOKUP($B398,'Tillförd energi'!$B$1:$AI$720,MATCH(S$1,'Tillförd energi'!$B$1:$AQ$1,0),FALSE)</f>
        <v>0</v>
      </c>
      <c r="T398" s="31">
        <f>VLOOKUP($B398,'Tillförd energi'!$B$1:$AI$720,MATCH(T$1,'Tillförd energi'!$B$1:$AQ$1,0),FALSE)</f>
        <v>0</v>
      </c>
      <c r="U398" s="31">
        <f>VLOOKUP($B398,'Tillförd energi'!$B$1:$AI$720,MATCH(U$1,'Tillförd energi'!$B$1:$AQ$1,0),FALSE)</f>
        <v>0</v>
      </c>
      <c r="V398" s="31">
        <f>VLOOKUP($B398,'Tillförd energi'!$B$1:$AI$720,MATCH(V$1,'Tillförd energi'!$B$1:$AQ$1,0),FALSE)</f>
        <v>0</v>
      </c>
      <c r="W398" s="31">
        <f>VLOOKUP($B398,'Tillförd energi'!$B$1:$AI$720,MATCH(W$1,'Tillförd energi'!$B$1:$AQ$1,0),FALSE)</f>
        <v>0</v>
      </c>
      <c r="X398" s="31">
        <f>VLOOKUP($B398,'Tillförd energi'!$B$1:$AI$720,MATCH(X$1,'Tillförd energi'!$B$1:$AQ$1,0),FALSE)</f>
        <v>0</v>
      </c>
      <c r="Y398" s="31">
        <f>VLOOKUP($B398,'Tillförd energi'!$B$1:$AI$720,MATCH(Y$1,'Tillförd energi'!$B$1:$AQ$1,0),FALSE)</f>
        <v>0</v>
      </c>
      <c r="Z398" s="31">
        <f>VLOOKUP($B398,'Tillförd energi'!$B$1:$AI$720,MATCH(Z$1,'Tillförd energi'!$B$1:$AQ$1,0),FALSE)</f>
        <v>0</v>
      </c>
      <c r="AA398" s="31">
        <f>VLOOKUP($B398,'Tillförd energi'!$B$1:$AI$720,MATCH(AA$1,'Tillförd energi'!$B$1:$AQ$1,0),FALSE)</f>
        <v>0</v>
      </c>
      <c r="AB398" s="31">
        <f>VLOOKUP($B398,'Tillförd energi'!$B$1:$AI$720,MATCH(AB$1,'Tillförd energi'!$B$1:$AQ$1,0),FALSE)</f>
        <v>0</v>
      </c>
      <c r="AC398" s="31">
        <f>VLOOKUP($B398,'Tillförd energi'!$B$1:$AI$720,MATCH(AC$1,'Tillförd energi'!$B$1:$AQ$1,0),FALSE)</f>
        <v>0</v>
      </c>
      <c r="AD398" s="31">
        <f>VLOOKUP($B398,'Tillförd energi'!$B$1:$AI$720,MATCH(AD$1,'Tillförd energi'!$B$1:$AQ$1,0),FALSE)</f>
        <v>0</v>
      </c>
      <c r="AE398" s="31">
        <f>VLOOKUP($B398,'Tillförd energi'!$B$1:$AI$720,MATCH(AE$1,'Tillförd energi'!$B$1:$AQ$1,0),FALSE)</f>
        <v>0</v>
      </c>
      <c r="AF398" s="31">
        <f>VLOOKUP($B398,'Tillförd energi'!$B$1:$AI$720,MATCH(AF$1,'Tillförd energi'!$B$1:$AQ$1,0),FALSE)</f>
        <v>0.219</v>
      </c>
      <c r="AG398" s="31">
        <f>IFERROR(VLOOKUP(B398,Miljö!$B$1:$AC$550,MATCH("Köpt mängd produktionsspecifik fjärrvärme:",Miljö!$B$1:$AC$1,0),FALSE)/1,0)</f>
        <v>0</v>
      </c>
      <c r="AI398" s="31">
        <f t="shared" si="138"/>
        <v>12.294</v>
      </c>
      <c r="AJ398" s="31">
        <f t="shared" si="139"/>
        <v>12.294</v>
      </c>
      <c r="AK398" s="31">
        <f>IF(ISERROR(1/VLOOKUP($B398,Leveranser!$B$1:$S$499,MATCH("Såld värme (GWh)",Leveranser!$B$1:$S$1,0),FALSE)),"",VLOOKUP($B398,Leveranser!$B$1:$S$499,MATCH("Såld värme (GWh)",Leveranser!$B$1:$S$1,0),FALSE))</f>
        <v>7.3</v>
      </c>
      <c r="AL398" s="31">
        <f>VLOOKUP($B398,Leveranser!$B$1:$Y$499,MATCH("Totalt såld fjärrvärme till andra fjärrvärmeföretag",Leveranser!$B$1:$AA$1,0),FALSE)</f>
        <v>0</v>
      </c>
      <c r="AM398" s="31">
        <f>IF(ISERROR(1/VLOOKUP($B398,Miljö!$B$1:$S$500,MATCH("Såld mängd produktionsspecifik fjärrvärme (GWh)",Miljö!$B$1:$R$1,0),FALSE)),0,VLOOKUP($B398,Miljö!$B$1:$S$500,MATCH("Såld mängd produktionsspecifik fjärrvärme (GWh)",Miljö!$B$1:$R$1,0),FALSE))</f>
        <v>0</v>
      </c>
      <c r="AN398" s="32">
        <f t="shared" si="140"/>
        <v>0.59378558646494217</v>
      </c>
      <c r="AP398" s="31" t="str">
        <f>IFERROR(VLOOKUP($B398,Miljövärden!$B$2:$H$550,7,FALSE),"Nej, saknas")</f>
        <v>Ja</v>
      </c>
      <c r="AQ398" s="31" t="str">
        <f>IFERROR(VLOOKUP($B398,Miljövärden!$B$2:$H$551,6,FALSE),"Nej, saknas")</f>
        <v>Nej</v>
      </c>
      <c r="AU398" s="31">
        <f t="shared" si="141"/>
        <v>0.219</v>
      </c>
      <c r="AV398" s="31">
        <f t="shared" si="142"/>
        <v>0</v>
      </c>
      <c r="AW398" s="31">
        <f t="shared" si="143"/>
        <v>0</v>
      </c>
      <c r="AX398" s="31">
        <f t="shared" si="144"/>
        <v>12.05</v>
      </c>
      <c r="AZ398" s="31">
        <f t="shared" si="145"/>
        <v>12.05</v>
      </c>
      <c r="BC398" s="31">
        <f t="shared" si="146"/>
        <v>2.5000000000000001E-2</v>
      </c>
      <c r="BD398" s="31">
        <f t="shared" si="147"/>
        <v>0</v>
      </c>
      <c r="BE398" s="31">
        <f t="shared" si="148"/>
        <v>12.05</v>
      </c>
      <c r="BF398" s="31">
        <f t="shared" si="149"/>
        <v>0</v>
      </c>
      <c r="BG398" s="31">
        <f t="shared" si="150"/>
        <v>0.219</v>
      </c>
      <c r="BH398" s="31">
        <f>VLOOKUP(B398,Miljö!$B$1:$BX$482,MATCH("Fossilandel för ursprungspecificerad el ()",Miljö!$B$1:$I$1,0),FALSE)</f>
        <v>0</v>
      </c>
      <c r="BI398" s="31">
        <f>VLOOKUP(B398,Miljö!$B$1:$BX$482,MATCH("Kärnkraftsandel för ursprungsspecificerad el ()",Miljö!$B$1:$O$1,0),FALSE)</f>
        <v>0</v>
      </c>
      <c r="BJ398" s="31">
        <f t="shared" si="151"/>
        <v>0</v>
      </c>
      <c r="BK398" s="31" t="str">
        <f>VLOOKUP(B398,Miljö!$B$1:$P$482,MATCH("Fossil andel i procent (%)",Miljö!$B$1:$P$1,0),FALSE)</f>
        <v>ET</v>
      </c>
      <c r="BL398" s="31">
        <f t="shared" si="152"/>
        <v>12.294</v>
      </c>
      <c r="BO398" s="32">
        <f t="shared" si="153"/>
        <v>2.0335122824141857E-3</v>
      </c>
      <c r="BP398" s="32">
        <f t="shared" si="154"/>
        <v>0</v>
      </c>
      <c r="BQ398" s="32">
        <f t="shared" si="155"/>
        <v>0.99796648771758578</v>
      </c>
      <c r="BR398" s="32">
        <f t="shared" si="156"/>
        <v>0</v>
      </c>
      <c r="BT398" s="62">
        <f t="shared" si="157"/>
        <v>1</v>
      </c>
      <c r="BW398" s="32">
        <f>IF(AP398="Ja",VLOOKUP(B398,Miljövärden!$B$2:$H$551,MATCH("Total andel fossilt",Miljövärden!$B$2:$H$2,0),FALSE),"")</f>
        <v>2.0335100000000001E-3</v>
      </c>
      <c r="BX398" s="62">
        <f t="shared" si="158"/>
        <v>-2.2824141856017666E-9</v>
      </c>
      <c r="BZ398" s="31">
        <f t="shared" si="159"/>
        <v>-2.2824141856017666E-9</v>
      </c>
      <c r="CA398" s="32">
        <f t="shared" si="160"/>
        <v>0</v>
      </c>
    </row>
    <row r="399" spans="1:79" x14ac:dyDescent="0.45">
      <c r="A399" s="31" t="s">
        <v>162</v>
      </c>
      <c r="B399" s="31" t="s">
        <v>161</v>
      </c>
      <c r="C399" s="31">
        <f>VLOOKUP($B399,'Tillförd energi'!$B$1:$AI$720,MATCH(C$1,'Tillförd energi'!$B$1:$AQ$1,0),FALSE)</f>
        <v>0</v>
      </c>
      <c r="D399" s="31">
        <f>VLOOKUP($B399,'Tillförd energi'!$B$1:$AI$720,MATCH(D$1,'Tillförd energi'!$B$1:$AQ$1,0),FALSE)</f>
        <v>0.55000000000000004</v>
      </c>
      <c r="E399" s="31">
        <f>VLOOKUP($B399,'Tillförd energi'!$B$1:$AI$720,MATCH(E$1,'Tillförd energi'!$B$1:$AQ$1,0),FALSE)</f>
        <v>0</v>
      </c>
      <c r="F399" s="31">
        <f>VLOOKUP($B399,'Tillförd energi'!$B$1:$AI$720,MATCH(F$1,'Tillförd energi'!$B$1:$AQ$1,0),FALSE)</f>
        <v>0</v>
      </c>
      <c r="G399" s="31">
        <f>VLOOKUP($B399,'Tillförd energi'!$B$1:$AI$720,MATCH(G$1,'Tillförd energi'!$B$1:$AQ$1,0),FALSE)</f>
        <v>0</v>
      </c>
      <c r="H399" s="31">
        <f>VLOOKUP($B399,'Tillförd energi'!$B$1:$AI$720,MATCH(H$1,'Tillförd energi'!$B$1:$AQ$1,0),FALSE)</f>
        <v>1.0580000000000001</v>
      </c>
      <c r="I399" s="31">
        <f>VLOOKUP($B399,'Tillförd energi'!$B$1:$AI$720,MATCH(I$1,'Tillförd energi'!$B$1:$AQ$1,0),FALSE)</f>
        <v>1.41</v>
      </c>
      <c r="J399" s="31">
        <f>VLOOKUP($B399,'Tillförd energi'!$B$1:$AI$720,MATCH(J$1,'Tillförd energi'!$B$1:$AQ$1,0),FALSE)</f>
        <v>0</v>
      </c>
      <c r="K399" s="31">
        <f>VLOOKUP($B399,'Tillförd energi'!$B$1:$AI$720,MATCH(K$1,'Tillförd energi'!$B$1:$AQ$1,0),FALSE)</f>
        <v>0</v>
      </c>
      <c r="L399" s="31">
        <f>VLOOKUP($B399,'Tillförd energi'!$B$1:$AI$720,MATCH(L$1,'Tillförd energi'!$B$1:$AQ$1,0),FALSE)</f>
        <v>198.14599999999999</v>
      </c>
      <c r="M399" s="31">
        <f>VLOOKUP($B399,'Tillförd energi'!$B$1:$AI$720,MATCH(M$1,'Tillförd energi'!$B$1:$AQ$1,0),FALSE)</f>
        <v>0</v>
      </c>
      <c r="N399" s="31">
        <f>VLOOKUP($B399,'Tillförd energi'!$B$1:$AI$720,MATCH(N$1,'Tillförd energi'!$B$1:$AQ$1,0),FALSE)</f>
        <v>0</v>
      </c>
      <c r="O399" s="31">
        <f>VLOOKUP($B399,'Tillförd energi'!$B$1:$AI$720,MATCH(O$1,'Tillförd energi'!$B$1:$AQ$1,0),FALSE)</f>
        <v>0</v>
      </c>
      <c r="P399" s="31">
        <f>VLOOKUP($B399,'Tillförd energi'!$B$1:$AI$720,MATCH(P$1,'Tillförd energi'!$B$1:$AQ$1,0),FALSE)</f>
        <v>13.12</v>
      </c>
      <c r="Q399" s="31">
        <f>VLOOKUP($B399,'Tillförd energi'!$B$1:$AI$720,MATCH(Q$1,'Tillförd energi'!$B$1:$AQ$1,0),FALSE)</f>
        <v>4.4169999999999998</v>
      </c>
      <c r="R399" s="31">
        <f>VLOOKUP($B399,'Tillförd energi'!$B$1:$AI$720,MATCH(R$1,'Tillförd energi'!$B$1:$AQ$1,0),FALSE)</f>
        <v>0</v>
      </c>
      <c r="S399" s="31">
        <f>VLOOKUP($B399,'Tillförd energi'!$B$1:$AI$720,MATCH(S$1,'Tillförd energi'!$B$1:$AQ$1,0),FALSE)</f>
        <v>0</v>
      </c>
      <c r="T399" s="31">
        <f>VLOOKUP($B399,'Tillförd energi'!$B$1:$AI$720,MATCH(T$1,'Tillförd energi'!$B$1:$AQ$1,0),FALSE)</f>
        <v>0</v>
      </c>
      <c r="U399" s="31">
        <f>VLOOKUP($B399,'Tillförd energi'!$B$1:$AI$720,MATCH(U$1,'Tillförd energi'!$B$1:$AQ$1,0),FALSE)</f>
        <v>0</v>
      </c>
      <c r="V399" s="31">
        <f>VLOOKUP($B399,'Tillförd energi'!$B$1:$AI$720,MATCH(V$1,'Tillförd energi'!$B$1:$AQ$1,0),FALSE)</f>
        <v>0</v>
      </c>
      <c r="W399" s="31">
        <f>VLOOKUP($B399,'Tillförd energi'!$B$1:$AI$720,MATCH(W$1,'Tillförd energi'!$B$1:$AQ$1,0),FALSE)</f>
        <v>1.53</v>
      </c>
      <c r="X399" s="31">
        <f>VLOOKUP($B399,'Tillförd energi'!$B$1:$AI$720,MATCH(X$1,'Tillförd energi'!$B$1:$AQ$1,0),FALSE)</f>
        <v>0</v>
      </c>
      <c r="Y399" s="31">
        <f>VLOOKUP($B399,'Tillförd energi'!$B$1:$AI$720,MATCH(Y$1,'Tillförd energi'!$B$1:$AQ$1,0),FALSE)</f>
        <v>0</v>
      </c>
      <c r="Z399" s="31">
        <f>VLOOKUP($B399,'Tillförd energi'!$B$1:$AI$720,MATCH(Z$1,'Tillförd energi'!$B$1:$AQ$1,0),FALSE)</f>
        <v>0</v>
      </c>
      <c r="AA399" s="31">
        <f>VLOOKUP($B399,'Tillförd energi'!$B$1:$AI$720,MATCH(AA$1,'Tillförd energi'!$B$1:$AQ$1,0),FALSE)</f>
        <v>0</v>
      </c>
      <c r="AB399" s="31">
        <f>VLOOKUP($B399,'Tillförd energi'!$B$1:$AI$720,MATCH(AB$1,'Tillförd energi'!$B$1:$AQ$1,0),FALSE)</f>
        <v>0</v>
      </c>
      <c r="AC399" s="31">
        <f>VLOOKUP($B399,'Tillförd energi'!$B$1:$AI$720,MATCH(AC$1,'Tillförd energi'!$B$1:$AQ$1,0),FALSE)</f>
        <v>0</v>
      </c>
      <c r="AD399" s="31">
        <f>VLOOKUP($B399,'Tillförd energi'!$B$1:$AI$720,MATCH(AD$1,'Tillförd energi'!$B$1:$AQ$1,0),FALSE)</f>
        <v>0.29199999999999998</v>
      </c>
      <c r="AE399" s="31">
        <f>VLOOKUP($B399,'Tillförd energi'!$B$1:$AI$720,MATCH(AE$1,'Tillförd energi'!$B$1:$AQ$1,0),FALSE)</f>
        <v>0</v>
      </c>
      <c r="AF399" s="31">
        <f>VLOOKUP($B399,'Tillförd energi'!$B$1:$AI$720,MATCH(AF$1,'Tillförd energi'!$B$1:$AQ$1,0),FALSE)</f>
        <v>8.641</v>
      </c>
      <c r="AG399" s="31">
        <f>IFERROR(VLOOKUP(B399,Miljö!$B$1:$AC$550,MATCH("Köpt mängd produktionsspecifik fjärrvärme:",Miljö!$B$1:$AC$1,0),FALSE)/1,0)</f>
        <v>0</v>
      </c>
      <c r="AI399" s="31">
        <f t="shared" si="138"/>
        <v>229.16399999999999</v>
      </c>
      <c r="AJ399" s="31">
        <f t="shared" si="139"/>
        <v>229.16399999999999</v>
      </c>
      <c r="AK399" s="31">
        <f>IF(ISERROR(1/VLOOKUP($B399,Leveranser!$B$1:$S$499,MATCH("Såld värme (GWh)",Leveranser!$B$1:$S$1,0),FALSE)),"",VLOOKUP($B399,Leveranser!$B$1:$S$499,MATCH("Såld värme (GWh)",Leveranser!$B$1:$S$1,0),FALSE))</f>
        <v>161.465</v>
      </c>
      <c r="AL399" s="31">
        <f>VLOOKUP($B399,Leveranser!$B$1:$Y$499,MATCH("Totalt såld fjärrvärme till andra fjärrvärmeföretag",Leveranser!$B$1:$AA$1,0),FALSE)</f>
        <v>0</v>
      </c>
      <c r="AM399" s="31">
        <f>IF(ISERROR(1/VLOOKUP($B399,Miljö!$B$1:$S$500,MATCH("Såld mängd produktionsspecifik fjärrvärme (GWh)",Miljö!$B$1:$R$1,0),FALSE)),0,VLOOKUP($B399,Miljö!$B$1:$S$500,MATCH("Såld mängd produktionsspecifik fjärrvärme (GWh)",Miljö!$B$1:$R$1,0),FALSE))</f>
        <v>0</v>
      </c>
      <c r="AN399" s="32">
        <f t="shared" si="140"/>
        <v>0.70458274423556932</v>
      </c>
      <c r="AP399" s="31" t="str">
        <f>IFERROR(VLOOKUP($B399,Miljövärden!$B$2:$H$550,7,FALSE),"Nej, saknas")</f>
        <v>Ja</v>
      </c>
      <c r="AQ399" s="31" t="str">
        <f>IFERROR(VLOOKUP($B399,Miljövärden!$B$2:$H$551,6,FALSE),"Nej, saknas")</f>
        <v>Ja</v>
      </c>
      <c r="AU399" s="31">
        <f t="shared" si="141"/>
        <v>8.641</v>
      </c>
      <c r="AV399" s="31">
        <f t="shared" si="142"/>
        <v>0</v>
      </c>
      <c r="AW399" s="31">
        <f t="shared" si="143"/>
        <v>17.536999999999999</v>
      </c>
      <c r="AX399" s="31">
        <f t="shared" si="144"/>
        <v>0</v>
      </c>
      <c r="AZ399" s="31">
        <f t="shared" si="145"/>
        <v>217.21299999999999</v>
      </c>
      <c r="BC399" s="31">
        <f t="shared" si="146"/>
        <v>1.6080000000000001</v>
      </c>
      <c r="BD399" s="31">
        <f t="shared" si="147"/>
        <v>0</v>
      </c>
      <c r="BE399" s="31">
        <f t="shared" si="148"/>
        <v>19.067</v>
      </c>
      <c r="BF399" s="31">
        <f t="shared" si="149"/>
        <v>199.84799999999998</v>
      </c>
      <c r="BG399" s="31">
        <f t="shared" si="150"/>
        <v>8.641</v>
      </c>
      <c r="BH399" s="31">
        <f>VLOOKUP(B399,Miljö!$B$1:$BX$482,MATCH("Fossilandel för ursprungspecificerad el ()",Miljö!$B$1:$I$1,0),FALSE)</f>
        <v>0</v>
      </c>
      <c r="BI399" s="31">
        <f>VLOOKUP(B399,Miljö!$B$1:$BX$482,MATCH("Kärnkraftsandel för ursprungsspecificerad el ()",Miljö!$B$1:$O$1,0),FALSE)</f>
        <v>0</v>
      </c>
      <c r="BJ399" s="31">
        <f t="shared" si="151"/>
        <v>0</v>
      </c>
      <c r="BK399" s="31" t="str">
        <f>VLOOKUP(B399,Miljö!$B$1:$P$482,MATCH("Fossil andel i procent (%)",Miljö!$B$1:$P$1,0),FALSE)</f>
        <v>ET</v>
      </c>
      <c r="BL399" s="31">
        <f t="shared" si="152"/>
        <v>229.16399999999999</v>
      </c>
      <c r="BO399" s="32">
        <f t="shared" si="153"/>
        <v>7.0168089228674667E-3</v>
      </c>
      <c r="BP399" s="32">
        <f t="shared" si="154"/>
        <v>0</v>
      </c>
      <c r="BQ399" s="32">
        <f t="shared" si="155"/>
        <v>0.12090904330523118</v>
      </c>
      <c r="BR399" s="32">
        <f t="shared" si="156"/>
        <v>0.87207414777190129</v>
      </c>
      <c r="BT399" s="62">
        <f t="shared" si="157"/>
        <v>1</v>
      </c>
      <c r="BW399" s="32">
        <f>IF(AP399="Ja",VLOOKUP(B399,Miljövärden!$B$2:$H$551,MATCH("Total andel fossilt",Miljövärden!$B$2:$H$2,0),FALSE),"")</f>
        <v>7.0168100000000001E-3</v>
      </c>
      <c r="BX399" s="62">
        <f t="shared" si="158"/>
        <v>1.0771325333405746E-9</v>
      </c>
      <c r="BZ399" s="31">
        <f t="shared" si="159"/>
        <v>1.0771325333405746E-9</v>
      </c>
      <c r="CA399" s="32">
        <f t="shared" si="160"/>
        <v>0</v>
      </c>
    </row>
    <row r="400" spans="1:79" x14ac:dyDescent="0.45">
      <c r="A400" s="31" t="s">
        <v>159</v>
      </c>
      <c r="B400" s="31" t="s">
        <v>158</v>
      </c>
      <c r="C400" s="31">
        <f>VLOOKUP($B400,'Tillförd energi'!$B$1:$AI$720,MATCH(C$1,'Tillförd energi'!$B$1:$AQ$1,0),FALSE)</f>
        <v>0</v>
      </c>
      <c r="D400" s="31">
        <f>VLOOKUP($B400,'Tillförd energi'!$B$1:$AI$720,MATCH(D$1,'Tillförd energi'!$B$1:$AQ$1,0),FALSE)</f>
        <v>0.1</v>
      </c>
      <c r="E400" s="31">
        <f>VLOOKUP($B400,'Tillförd energi'!$B$1:$AI$720,MATCH(E$1,'Tillförd energi'!$B$1:$AQ$1,0),FALSE)</f>
        <v>0</v>
      </c>
      <c r="F400" s="31">
        <f>VLOOKUP($B400,'Tillförd energi'!$B$1:$AI$720,MATCH(F$1,'Tillförd energi'!$B$1:$AQ$1,0),FALSE)</f>
        <v>0</v>
      </c>
      <c r="G400" s="31">
        <f>VLOOKUP($B400,'Tillförd energi'!$B$1:$AI$720,MATCH(G$1,'Tillförd energi'!$B$1:$AQ$1,0),FALSE)</f>
        <v>0</v>
      </c>
      <c r="H400" s="31">
        <f>VLOOKUP($B400,'Tillförd energi'!$B$1:$AI$720,MATCH(H$1,'Tillförd energi'!$B$1:$AQ$1,0),FALSE)</f>
        <v>0</v>
      </c>
      <c r="I400" s="31">
        <f>VLOOKUP($B400,'Tillförd energi'!$B$1:$AI$720,MATCH(I$1,'Tillförd energi'!$B$1:$AQ$1,0),FALSE)</f>
        <v>0</v>
      </c>
      <c r="J400" s="31">
        <f>VLOOKUP($B400,'Tillförd energi'!$B$1:$AI$720,MATCH(J$1,'Tillförd energi'!$B$1:$AQ$1,0),FALSE)</f>
        <v>0</v>
      </c>
      <c r="K400" s="31">
        <f>VLOOKUP($B400,'Tillförd energi'!$B$1:$AI$720,MATCH(K$1,'Tillförd energi'!$B$1:$AQ$1,0),FALSE)</f>
        <v>0</v>
      </c>
      <c r="L400" s="31">
        <f>VLOOKUP($B400,'Tillförd energi'!$B$1:$AI$720,MATCH(L$1,'Tillförd energi'!$B$1:$AQ$1,0),FALSE)</f>
        <v>0</v>
      </c>
      <c r="M400" s="31">
        <f>VLOOKUP($B400,'Tillförd energi'!$B$1:$AI$720,MATCH(M$1,'Tillförd energi'!$B$1:$AQ$1,0),FALSE)</f>
        <v>0</v>
      </c>
      <c r="N400" s="31">
        <f>VLOOKUP($B400,'Tillförd energi'!$B$1:$AI$720,MATCH(N$1,'Tillförd energi'!$B$1:$AQ$1,0),FALSE)</f>
        <v>39.158999999999999</v>
      </c>
      <c r="O400" s="31">
        <f>VLOOKUP($B400,'Tillförd energi'!$B$1:$AI$720,MATCH(O$1,'Tillförd energi'!$B$1:$AQ$1,0),FALSE)</f>
        <v>0</v>
      </c>
      <c r="P400" s="31">
        <f>VLOOKUP($B400,'Tillförd energi'!$B$1:$AI$720,MATCH(P$1,'Tillförd energi'!$B$1:$AQ$1,0),FALSE)</f>
        <v>0</v>
      </c>
      <c r="Q400" s="31">
        <f>VLOOKUP($B400,'Tillförd energi'!$B$1:$AI$720,MATCH(Q$1,'Tillförd energi'!$B$1:$AQ$1,0),FALSE)</f>
        <v>0</v>
      </c>
      <c r="R400" s="31">
        <f>VLOOKUP($B400,'Tillförd energi'!$B$1:$AI$720,MATCH(R$1,'Tillförd energi'!$B$1:$AQ$1,0),FALSE)</f>
        <v>0</v>
      </c>
      <c r="S400" s="31">
        <f>VLOOKUP($B400,'Tillförd energi'!$B$1:$AI$720,MATCH(S$1,'Tillförd energi'!$B$1:$AQ$1,0),FALSE)</f>
        <v>0</v>
      </c>
      <c r="T400" s="31">
        <f>VLOOKUP($B400,'Tillförd energi'!$B$1:$AI$720,MATCH(T$1,'Tillförd energi'!$B$1:$AQ$1,0),FALSE)</f>
        <v>0</v>
      </c>
      <c r="U400" s="31">
        <f>VLOOKUP($B400,'Tillförd energi'!$B$1:$AI$720,MATCH(U$1,'Tillförd energi'!$B$1:$AQ$1,0),FALSE)</f>
        <v>0</v>
      </c>
      <c r="V400" s="31">
        <f>VLOOKUP($B400,'Tillförd energi'!$B$1:$AI$720,MATCH(V$1,'Tillförd energi'!$B$1:$AQ$1,0),FALSE)</f>
        <v>0</v>
      </c>
      <c r="W400" s="31">
        <f>VLOOKUP($B400,'Tillförd energi'!$B$1:$AI$720,MATCH(W$1,'Tillförd energi'!$B$1:$AQ$1,0),FALSE)</f>
        <v>0</v>
      </c>
      <c r="X400" s="31">
        <f>VLOOKUP($B400,'Tillförd energi'!$B$1:$AI$720,MATCH(X$1,'Tillförd energi'!$B$1:$AQ$1,0),FALSE)</f>
        <v>0</v>
      </c>
      <c r="Y400" s="31">
        <f>VLOOKUP($B400,'Tillförd energi'!$B$1:$AI$720,MATCH(Y$1,'Tillförd energi'!$B$1:$AQ$1,0),FALSE)</f>
        <v>0</v>
      </c>
      <c r="Z400" s="31">
        <f>VLOOKUP($B400,'Tillförd energi'!$B$1:$AI$720,MATCH(Z$1,'Tillförd energi'!$B$1:$AQ$1,0),FALSE)</f>
        <v>0</v>
      </c>
      <c r="AA400" s="31">
        <f>VLOOKUP($B400,'Tillförd energi'!$B$1:$AI$720,MATCH(AA$1,'Tillförd energi'!$B$1:$AQ$1,0),FALSE)</f>
        <v>0</v>
      </c>
      <c r="AB400" s="31">
        <f>VLOOKUP($B400,'Tillförd energi'!$B$1:$AI$720,MATCH(AB$1,'Tillförd energi'!$B$1:$AQ$1,0),FALSE)</f>
        <v>0</v>
      </c>
      <c r="AC400" s="31">
        <f>VLOOKUP($B400,'Tillförd energi'!$B$1:$AI$720,MATCH(AC$1,'Tillförd energi'!$B$1:$AQ$1,0),FALSE)</f>
        <v>4.2</v>
      </c>
      <c r="AD400" s="31">
        <f>VLOOKUP($B400,'Tillförd energi'!$B$1:$AI$720,MATCH(AD$1,'Tillförd energi'!$B$1:$AQ$1,0),FALSE)</f>
        <v>0</v>
      </c>
      <c r="AE400" s="31">
        <f>VLOOKUP($B400,'Tillförd energi'!$B$1:$AI$720,MATCH(AE$1,'Tillförd energi'!$B$1:$AQ$1,0),FALSE)</f>
        <v>0</v>
      </c>
      <c r="AF400" s="31">
        <f>VLOOKUP($B400,'Tillförd energi'!$B$1:$AI$720,MATCH(AF$1,'Tillförd energi'!$B$1:$AQ$1,0),FALSE)</f>
        <v>0.79200000000000004</v>
      </c>
      <c r="AG400" s="31">
        <f>IFERROR(VLOOKUP(B400,Miljö!$B$1:$AC$550,MATCH("Köpt mängd produktionsspecifik fjärrvärme:",Miljö!$B$1:$AC$1,0),FALSE)/1,0)</f>
        <v>0</v>
      </c>
      <c r="AI400" s="31">
        <f t="shared" si="138"/>
        <v>44.251000000000005</v>
      </c>
      <c r="AJ400" s="31">
        <f t="shared" si="139"/>
        <v>44.251000000000005</v>
      </c>
      <c r="AK400" s="31">
        <f>IF(ISERROR(1/VLOOKUP($B400,Leveranser!$B$1:$S$499,MATCH("Såld värme (GWh)",Leveranser!$B$1:$S$1,0),FALSE)),"",VLOOKUP($B400,Leveranser!$B$1:$S$499,MATCH("Såld värme (GWh)",Leveranser!$B$1:$S$1,0),FALSE))</f>
        <v>26.4</v>
      </c>
      <c r="AL400" s="31">
        <f>VLOOKUP($B400,Leveranser!$B$1:$Y$499,MATCH("Totalt såld fjärrvärme till andra fjärrvärmeföretag",Leveranser!$B$1:$AA$1,0),FALSE)</f>
        <v>0</v>
      </c>
      <c r="AM400" s="31">
        <f>IF(ISERROR(1/VLOOKUP($B400,Miljö!$B$1:$S$500,MATCH("Såld mängd produktionsspecifik fjärrvärme (GWh)",Miljö!$B$1:$R$1,0),FALSE)),0,VLOOKUP($B400,Miljö!$B$1:$S$500,MATCH("Såld mängd produktionsspecifik fjärrvärme (GWh)",Miljö!$B$1:$R$1,0),FALSE))</f>
        <v>0</v>
      </c>
      <c r="AN400" s="32">
        <f t="shared" si="140"/>
        <v>0.59659668708051783</v>
      </c>
      <c r="AP400" s="31" t="str">
        <f>IFERROR(VLOOKUP($B400,Miljövärden!$B$2:$H$550,7,FALSE),"Nej, saknas")</f>
        <v>Ja</v>
      </c>
      <c r="AQ400" s="31" t="str">
        <f>IFERROR(VLOOKUP($B400,Miljövärden!$B$2:$H$551,6,FALSE),"Nej, saknas")</f>
        <v>Ja</v>
      </c>
      <c r="AU400" s="31">
        <f t="shared" si="141"/>
        <v>0.79200000000000004</v>
      </c>
      <c r="AV400" s="31">
        <f t="shared" si="142"/>
        <v>0</v>
      </c>
      <c r="AW400" s="31">
        <f t="shared" si="143"/>
        <v>39.158999999999999</v>
      </c>
      <c r="AX400" s="31">
        <f t="shared" si="144"/>
        <v>0</v>
      </c>
      <c r="AZ400" s="31">
        <f t="shared" si="145"/>
        <v>39.158999999999999</v>
      </c>
      <c r="BC400" s="31">
        <f t="shared" si="146"/>
        <v>0.1</v>
      </c>
      <c r="BD400" s="31">
        <f t="shared" si="147"/>
        <v>0</v>
      </c>
      <c r="BE400" s="31">
        <f t="shared" si="148"/>
        <v>39.158999999999999</v>
      </c>
      <c r="BF400" s="31">
        <f t="shared" si="149"/>
        <v>4.2</v>
      </c>
      <c r="BG400" s="31">
        <f t="shared" si="150"/>
        <v>0.79200000000000004</v>
      </c>
      <c r="BH400" s="31">
        <f>VLOOKUP(B400,Miljö!$B$1:$BX$482,MATCH("Fossilandel för ursprungspecificerad el ()",Miljö!$B$1:$I$1,0),FALSE)</f>
        <v>0.35</v>
      </c>
      <c r="BI400" s="31">
        <f>VLOOKUP(B400,Miljö!$B$1:$BX$482,MATCH("Kärnkraftsandel för ursprungsspecificerad el ()",Miljö!$B$1:$O$1,0),FALSE)</f>
        <v>0.3977</v>
      </c>
      <c r="BJ400" s="31">
        <f t="shared" si="151"/>
        <v>0</v>
      </c>
      <c r="BK400" s="31" t="str">
        <f>VLOOKUP(B400,Miljö!$B$1:$P$482,MATCH("Fossil andel i procent (%)",Miljö!$B$1:$P$1,0),FALSE)</f>
        <v>ET</v>
      </c>
      <c r="BL400" s="31">
        <f t="shared" si="152"/>
        <v>44.251000000000005</v>
      </c>
      <c r="BO400" s="32">
        <f t="shared" si="153"/>
        <v>8.5241011502564905E-3</v>
      </c>
      <c r="BP400" s="32">
        <f t="shared" si="154"/>
        <v>7.1179950735576585E-3</v>
      </c>
      <c r="BQ400" s="32">
        <f t="shared" si="155"/>
        <v>0.88944479446792146</v>
      </c>
      <c r="BR400" s="32">
        <f t="shared" si="156"/>
        <v>9.4913109308264215E-2</v>
      </c>
      <c r="BT400" s="62">
        <f t="shared" si="157"/>
        <v>0.99999999999999989</v>
      </c>
      <c r="BW400" s="32">
        <f>IF(AP400="Ja",VLOOKUP(B400,Miljövärden!$B$2:$H$551,MATCH("Total andel fossilt",Miljövärden!$B$2:$H$2,0),FALSE),"")</f>
        <v>8.5240999999999997E-3</v>
      </c>
      <c r="BX400" s="62">
        <f t="shared" si="158"/>
        <v>-1.150256490750623E-9</v>
      </c>
      <c r="BZ400" s="31">
        <f t="shared" si="159"/>
        <v>-1.150256490750623E-9</v>
      </c>
      <c r="CA400" s="32">
        <f t="shared" si="160"/>
        <v>0</v>
      </c>
    </row>
    <row r="401" spans="1:79" x14ac:dyDescent="0.45">
      <c r="A401" s="31" t="s">
        <v>157</v>
      </c>
      <c r="B401" s="31" t="s">
        <v>156</v>
      </c>
      <c r="C401" s="31">
        <f>VLOOKUP($B401,'Tillförd energi'!$B$1:$AI$720,MATCH(C$1,'Tillförd energi'!$B$1:$AQ$1,0),FALSE)</f>
        <v>0</v>
      </c>
      <c r="D401" s="31">
        <f>VLOOKUP($B401,'Tillförd energi'!$B$1:$AI$720,MATCH(D$1,'Tillförd energi'!$B$1:$AQ$1,0),FALSE)</f>
        <v>0.7</v>
      </c>
      <c r="E401" s="31">
        <f>VLOOKUP($B401,'Tillförd energi'!$B$1:$AI$720,MATCH(E$1,'Tillförd energi'!$B$1:$AQ$1,0),FALSE)</f>
        <v>0</v>
      </c>
      <c r="F401" s="31">
        <f>VLOOKUP($B401,'Tillförd energi'!$B$1:$AI$720,MATCH(F$1,'Tillförd energi'!$B$1:$AQ$1,0),FALSE)</f>
        <v>0</v>
      </c>
      <c r="G401" s="31">
        <f>VLOOKUP($B401,'Tillförd energi'!$B$1:$AI$720,MATCH(G$1,'Tillförd energi'!$B$1:$AQ$1,0),FALSE)</f>
        <v>0</v>
      </c>
      <c r="H401" s="31">
        <f>VLOOKUP($B401,'Tillförd energi'!$B$1:$AI$720,MATCH(H$1,'Tillförd energi'!$B$1:$AQ$1,0),FALSE)</f>
        <v>0</v>
      </c>
      <c r="I401" s="31">
        <f>VLOOKUP($B401,'Tillförd energi'!$B$1:$AI$720,MATCH(I$1,'Tillförd energi'!$B$1:$AQ$1,0),FALSE)</f>
        <v>0</v>
      </c>
      <c r="J401" s="31">
        <f>VLOOKUP($B401,'Tillförd energi'!$B$1:$AI$720,MATCH(J$1,'Tillförd energi'!$B$1:$AQ$1,0),FALSE)</f>
        <v>0</v>
      </c>
      <c r="K401" s="31">
        <f>VLOOKUP($B401,'Tillförd energi'!$B$1:$AI$720,MATCH(K$1,'Tillförd energi'!$B$1:$AQ$1,0),FALSE)</f>
        <v>0</v>
      </c>
      <c r="L401" s="31">
        <f>VLOOKUP($B401,'Tillförd energi'!$B$1:$AI$720,MATCH(L$1,'Tillförd energi'!$B$1:$AQ$1,0),FALSE)</f>
        <v>0</v>
      </c>
      <c r="M401" s="31">
        <f>VLOOKUP($B401,'Tillförd energi'!$B$1:$AI$720,MATCH(M$1,'Tillförd energi'!$B$1:$AQ$1,0),FALSE)</f>
        <v>0</v>
      </c>
      <c r="N401" s="31">
        <f>VLOOKUP($B401,'Tillförd energi'!$B$1:$AI$720,MATCH(N$1,'Tillförd energi'!$B$1:$AQ$1,0),FALSE)</f>
        <v>0</v>
      </c>
      <c r="O401" s="31">
        <f>VLOOKUP($B401,'Tillförd energi'!$B$1:$AI$720,MATCH(O$1,'Tillförd energi'!$B$1:$AQ$1,0),FALSE)</f>
        <v>0</v>
      </c>
      <c r="P401" s="31">
        <f>VLOOKUP($B401,'Tillförd energi'!$B$1:$AI$720,MATCH(P$1,'Tillförd energi'!$B$1:$AQ$1,0),FALSE)</f>
        <v>0</v>
      </c>
      <c r="Q401" s="31">
        <f>VLOOKUP($B401,'Tillförd energi'!$B$1:$AI$720,MATCH(Q$1,'Tillförd energi'!$B$1:$AQ$1,0),FALSE)</f>
        <v>53.9</v>
      </c>
      <c r="R401" s="31">
        <f>VLOOKUP($B401,'Tillförd energi'!$B$1:$AI$720,MATCH(R$1,'Tillförd energi'!$B$1:$AQ$1,0),FALSE)</f>
        <v>0</v>
      </c>
      <c r="S401" s="31">
        <f>VLOOKUP($B401,'Tillförd energi'!$B$1:$AI$720,MATCH(S$1,'Tillförd energi'!$B$1:$AQ$1,0),FALSE)</f>
        <v>0</v>
      </c>
      <c r="T401" s="31">
        <f>VLOOKUP($B401,'Tillförd energi'!$B$1:$AI$720,MATCH(T$1,'Tillförd energi'!$B$1:$AQ$1,0),FALSE)</f>
        <v>0</v>
      </c>
      <c r="U401" s="31">
        <f>VLOOKUP($B401,'Tillförd energi'!$B$1:$AI$720,MATCH(U$1,'Tillförd energi'!$B$1:$AQ$1,0),FALSE)</f>
        <v>0</v>
      </c>
      <c r="V401" s="31">
        <f>VLOOKUP($B401,'Tillförd energi'!$B$1:$AI$720,MATCH(V$1,'Tillförd energi'!$B$1:$AQ$1,0),FALSE)</f>
        <v>0</v>
      </c>
      <c r="W401" s="31">
        <f>VLOOKUP($B401,'Tillförd energi'!$B$1:$AI$720,MATCH(W$1,'Tillförd energi'!$B$1:$AQ$1,0),FALSE)</f>
        <v>0</v>
      </c>
      <c r="X401" s="31">
        <f>VLOOKUP($B401,'Tillförd energi'!$B$1:$AI$720,MATCH(X$1,'Tillförd energi'!$B$1:$AQ$1,0),FALSE)</f>
        <v>0</v>
      </c>
      <c r="Y401" s="31">
        <f>VLOOKUP($B401,'Tillförd energi'!$B$1:$AI$720,MATCH(Y$1,'Tillförd energi'!$B$1:$AQ$1,0),FALSE)</f>
        <v>0</v>
      </c>
      <c r="Z401" s="31">
        <f>VLOOKUP($B401,'Tillförd energi'!$B$1:$AI$720,MATCH(Z$1,'Tillförd energi'!$B$1:$AQ$1,0),FALSE)</f>
        <v>0</v>
      </c>
      <c r="AA401" s="31">
        <f>VLOOKUP($B401,'Tillförd energi'!$B$1:$AI$720,MATCH(AA$1,'Tillförd energi'!$B$1:$AQ$1,0),FALSE)</f>
        <v>0</v>
      </c>
      <c r="AB401" s="31">
        <f>VLOOKUP($B401,'Tillförd energi'!$B$1:$AI$720,MATCH(AB$1,'Tillförd energi'!$B$1:$AQ$1,0),FALSE)</f>
        <v>0</v>
      </c>
      <c r="AC401" s="31">
        <f>VLOOKUP($B401,'Tillförd energi'!$B$1:$AI$720,MATCH(AC$1,'Tillförd energi'!$B$1:$AQ$1,0),FALSE)</f>
        <v>0</v>
      </c>
      <c r="AD401" s="31">
        <f>VLOOKUP($B401,'Tillförd energi'!$B$1:$AI$720,MATCH(AD$1,'Tillförd energi'!$B$1:$AQ$1,0),FALSE)</f>
        <v>0</v>
      </c>
      <c r="AE401" s="31">
        <f>VLOOKUP($B401,'Tillförd energi'!$B$1:$AI$720,MATCH(AE$1,'Tillförd energi'!$B$1:$AQ$1,0),FALSE)</f>
        <v>0</v>
      </c>
      <c r="AF401" s="31">
        <f>VLOOKUP($B401,'Tillförd energi'!$B$1:$AI$720,MATCH(AF$1,'Tillförd energi'!$B$1:$AQ$1,0),FALSE)</f>
        <v>1.383</v>
      </c>
      <c r="AG401" s="31">
        <f>IFERROR(VLOOKUP(B401,Miljö!$B$1:$AC$550,MATCH("Köpt mängd produktionsspecifik fjärrvärme:",Miljö!$B$1:$AC$1,0),FALSE)/1,0)</f>
        <v>0</v>
      </c>
      <c r="AI401" s="31">
        <f t="shared" si="138"/>
        <v>55.983000000000004</v>
      </c>
      <c r="AJ401" s="31">
        <f t="shared" si="139"/>
        <v>55.983000000000004</v>
      </c>
      <c r="AK401" s="31">
        <f>IF(ISERROR(1/VLOOKUP($B401,Leveranser!$B$1:$S$499,MATCH("Såld värme (GWh)",Leveranser!$B$1:$S$1,0),FALSE)),"",VLOOKUP($B401,Leveranser!$B$1:$S$499,MATCH("Såld värme (GWh)",Leveranser!$B$1:$S$1,0),FALSE))</f>
        <v>46.1</v>
      </c>
      <c r="AL401" s="31">
        <f>VLOOKUP($B401,Leveranser!$B$1:$Y$499,MATCH("Totalt såld fjärrvärme till andra fjärrvärmeföretag",Leveranser!$B$1:$AA$1,0),FALSE)</f>
        <v>0</v>
      </c>
      <c r="AM401" s="31">
        <f>IF(ISERROR(1/VLOOKUP($B401,Miljö!$B$1:$S$500,MATCH("Såld mängd produktionsspecifik fjärrvärme (GWh)",Miljö!$B$1:$R$1,0),FALSE)),0,VLOOKUP($B401,Miljö!$B$1:$S$500,MATCH("Såld mängd produktionsspecifik fjärrvärme (GWh)",Miljö!$B$1:$R$1,0),FALSE))</f>
        <v>0</v>
      </c>
      <c r="AN401" s="32">
        <f t="shared" si="140"/>
        <v>0.82346426593787392</v>
      </c>
      <c r="AP401" s="31" t="str">
        <f>IFERROR(VLOOKUP($B401,Miljövärden!$B$2:$H$550,7,FALSE),"Nej, saknas")</f>
        <v>Ja</v>
      </c>
      <c r="AQ401" s="31" t="str">
        <f>IFERROR(VLOOKUP($B401,Miljövärden!$B$2:$H$551,6,FALSE),"Nej, saknas")</f>
        <v>Nej</v>
      </c>
      <c r="AU401" s="31">
        <f t="shared" si="141"/>
        <v>1.383</v>
      </c>
      <c r="AV401" s="31">
        <f t="shared" si="142"/>
        <v>0</v>
      </c>
      <c r="AW401" s="31">
        <f t="shared" si="143"/>
        <v>53.9</v>
      </c>
      <c r="AX401" s="31">
        <f t="shared" si="144"/>
        <v>0</v>
      </c>
      <c r="AZ401" s="31">
        <f t="shared" si="145"/>
        <v>53.9</v>
      </c>
      <c r="BC401" s="31">
        <f t="shared" si="146"/>
        <v>0.7</v>
      </c>
      <c r="BD401" s="31">
        <f t="shared" si="147"/>
        <v>0</v>
      </c>
      <c r="BE401" s="31">
        <f t="shared" si="148"/>
        <v>53.9</v>
      </c>
      <c r="BF401" s="31">
        <f t="shared" si="149"/>
        <v>0</v>
      </c>
      <c r="BG401" s="31">
        <f t="shared" si="150"/>
        <v>1.383</v>
      </c>
      <c r="BH401" s="31">
        <f>VLOOKUP(B401,Miljö!$B$1:$BX$482,MATCH("Fossilandel för ursprungspecificerad el ()",Miljö!$B$1:$I$1,0),FALSE)</f>
        <v>0.35</v>
      </c>
      <c r="BI401" s="31">
        <f>VLOOKUP(B401,Miljö!$B$1:$BX$482,MATCH("Kärnkraftsandel för ursprungsspecificerad el ()",Miljö!$B$1:$O$1,0),FALSE)</f>
        <v>0.3977</v>
      </c>
      <c r="BJ401" s="31">
        <f t="shared" si="151"/>
        <v>0</v>
      </c>
      <c r="BK401" s="31" t="str">
        <f>VLOOKUP(B401,Miljö!$B$1:$P$482,MATCH("Fossil andel i procent (%)",Miljö!$B$1:$P$1,0),FALSE)</f>
        <v>ET</v>
      </c>
      <c r="BL401" s="31">
        <f t="shared" si="152"/>
        <v>55.983000000000004</v>
      </c>
      <c r="BO401" s="32">
        <f t="shared" si="153"/>
        <v>2.1150170587499777E-2</v>
      </c>
      <c r="BP401" s="32">
        <f t="shared" si="154"/>
        <v>9.824752156904773E-3</v>
      </c>
      <c r="BQ401" s="32">
        <f t="shared" si="155"/>
        <v>0.96902507725559539</v>
      </c>
      <c r="BR401" s="32">
        <f t="shared" si="156"/>
        <v>0</v>
      </c>
      <c r="BT401" s="62">
        <f t="shared" si="157"/>
        <v>0.99999999999999989</v>
      </c>
      <c r="BW401" s="32">
        <f>IF(AP401="Ja",VLOOKUP(B401,Miljövärden!$B$2:$H$551,MATCH("Total andel fossilt",Miljövärden!$B$2:$H$2,0),FALSE),"")</f>
        <v>2.1150200000000001E-2</v>
      </c>
      <c r="BX401" s="62">
        <f t="shared" si="158"/>
        <v>2.9412500223563454E-8</v>
      </c>
      <c r="BZ401" s="31">
        <f t="shared" si="159"/>
        <v>2.9412500223563454E-8</v>
      </c>
      <c r="CA401" s="32">
        <f t="shared" si="160"/>
        <v>0</v>
      </c>
    </row>
    <row r="402" spans="1:79" hidden="1" x14ac:dyDescent="0.45">
      <c r="A402" s="31" t="s">
        <v>12</v>
      </c>
      <c r="B402" s="31" t="s">
        <v>14</v>
      </c>
      <c r="C402" s="31">
        <f>VLOOKUP($B402,'Tillförd energi'!$B$1:$AI$720,MATCH(C$1,'Tillförd energi'!$B$1:$AQ$1,0),FALSE)</f>
        <v>0</v>
      </c>
      <c r="D402" s="31">
        <f>VLOOKUP($B402,'Tillförd energi'!$B$1:$AI$720,MATCH(D$1,'Tillförd energi'!$B$1:$AQ$1,0),FALSE)</f>
        <v>0</v>
      </c>
      <c r="E402" s="31">
        <f>VLOOKUP($B402,'Tillförd energi'!$B$1:$AI$720,MATCH(E$1,'Tillförd energi'!$B$1:$AQ$1,0),FALSE)</f>
        <v>0</v>
      </c>
      <c r="F402" s="31">
        <f>VLOOKUP($B402,'Tillförd energi'!$B$1:$AI$720,MATCH(F$1,'Tillförd energi'!$B$1:$AQ$1,0),FALSE)</f>
        <v>0</v>
      </c>
      <c r="G402" s="31">
        <f>VLOOKUP($B402,'Tillförd energi'!$B$1:$AI$720,MATCH(G$1,'Tillförd energi'!$B$1:$AQ$1,0),FALSE)</f>
        <v>0</v>
      </c>
      <c r="H402" s="31">
        <f>VLOOKUP($B402,'Tillförd energi'!$B$1:$AI$720,MATCH(H$1,'Tillförd energi'!$B$1:$AQ$1,0),FALSE)</f>
        <v>0</v>
      </c>
      <c r="I402" s="31">
        <f>VLOOKUP($B402,'Tillförd energi'!$B$1:$AI$720,MATCH(I$1,'Tillförd energi'!$B$1:$AQ$1,0),FALSE)</f>
        <v>0</v>
      </c>
      <c r="J402" s="31">
        <f>VLOOKUP($B402,'Tillförd energi'!$B$1:$AI$720,MATCH(J$1,'Tillförd energi'!$B$1:$AQ$1,0),FALSE)</f>
        <v>0</v>
      </c>
      <c r="K402" s="31">
        <f>VLOOKUP($B402,'Tillförd energi'!$B$1:$AI$720,MATCH(K$1,'Tillförd energi'!$B$1:$AQ$1,0),FALSE)</f>
        <v>0</v>
      </c>
      <c r="L402" s="31">
        <f>VLOOKUP($B402,'Tillförd energi'!$B$1:$AI$720,MATCH(L$1,'Tillförd energi'!$B$1:$AQ$1,0),FALSE)</f>
        <v>0</v>
      </c>
      <c r="M402" s="31">
        <f>VLOOKUP($B402,'Tillförd energi'!$B$1:$AI$720,MATCH(M$1,'Tillförd energi'!$B$1:$AQ$1,0),FALSE)</f>
        <v>0</v>
      </c>
      <c r="N402" s="31">
        <f>VLOOKUP($B402,'Tillförd energi'!$B$1:$AI$720,MATCH(N$1,'Tillförd energi'!$B$1:$AQ$1,0),FALSE)</f>
        <v>0</v>
      </c>
      <c r="O402" s="31">
        <f>VLOOKUP($B402,'Tillförd energi'!$B$1:$AI$720,MATCH(O$1,'Tillförd energi'!$B$1:$AQ$1,0),FALSE)</f>
        <v>0</v>
      </c>
      <c r="P402" s="31">
        <f>VLOOKUP($B402,'Tillförd energi'!$B$1:$AI$720,MATCH(P$1,'Tillförd energi'!$B$1:$AQ$1,0),FALSE)</f>
        <v>0</v>
      </c>
      <c r="Q402" s="31">
        <f>VLOOKUP($B402,'Tillförd energi'!$B$1:$AI$720,MATCH(Q$1,'Tillförd energi'!$B$1:$AQ$1,0),FALSE)</f>
        <v>0</v>
      </c>
      <c r="R402" s="31">
        <f>VLOOKUP($B402,'Tillförd energi'!$B$1:$AI$720,MATCH(R$1,'Tillförd energi'!$B$1:$AQ$1,0),FALSE)</f>
        <v>0</v>
      </c>
      <c r="S402" s="31">
        <f>VLOOKUP($B402,'Tillförd energi'!$B$1:$AI$720,MATCH(S$1,'Tillförd energi'!$B$1:$AQ$1,0),FALSE)</f>
        <v>0</v>
      </c>
      <c r="T402" s="31">
        <f>VLOOKUP($B402,'Tillförd energi'!$B$1:$AI$720,MATCH(T$1,'Tillförd energi'!$B$1:$AQ$1,0),FALSE)</f>
        <v>0</v>
      </c>
      <c r="U402" s="31">
        <f>VLOOKUP($B402,'Tillförd energi'!$B$1:$AI$720,MATCH(U$1,'Tillförd energi'!$B$1:$AQ$1,0),FALSE)</f>
        <v>0</v>
      </c>
      <c r="V402" s="31">
        <f>VLOOKUP($B402,'Tillförd energi'!$B$1:$AI$720,MATCH(V$1,'Tillförd energi'!$B$1:$AQ$1,0),FALSE)</f>
        <v>0</v>
      </c>
      <c r="W402" s="31">
        <f>VLOOKUP($B402,'Tillförd energi'!$B$1:$AI$720,MATCH(W$1,'Tillförd energi'!$B$1:$AQ$1,0),FALSE)</f>
        <v>0</v>
      </c>
      <c r="X402" s="31">
        <f>VLOOKUP($B402,'Tillförd energi'!$B$1:$AI$720,MATCH(X$1,'Tillförd energi'!$B$1:$AQ$1,0),FALSE)</f>
        <v>0</v>
      </c>
      <c r="Y402" s="31">
        <f>VLOOKUP($B402,'Tillförd energi'!$B$1:$AI$720,MATCH(Y$1,'Tillförd energi'!$B$1:$AQ$1,0),FALSE)</f>
        <v>0</v>
      </c>
      <c r="Z402" s="31">
        <f>VLOOKUP($B402,'Tillförd energi'!$B$1:$AI$720,MATCH(Z$1,'Tillförd energi'!$B$1:$AQ$1,0),FALSE)</f>
        <v>0</v>
      </c>
      <c r="AA402" s="31">
        <f>VLOOKUP($B402,'Tillförd energi'!$B$1:$AI$720,MATCH(AA$1,'Tillförd energi'!$B$1:$AQ$1,0),FALSE)</f>
        <v>0</v>
      </c>
      <c r="AB402" s="31">
        <f>VLOOKUP($B402,'Tillförd energi'!$B$1:$AI$720,MATCH(AB$1,'Tillförd energi'!$B$1:$AQ$1,0),FALSE)</f>
        <v>0</v>
      </c>
      <c r="AC402" s="31">
        <f>VLOOKUP($B402,'Tillförd energi'!$B$1:$AI$720,MATCH(AC$1,'Tillförd energi'!$B$1:$AQ$1,0),FALSE)</f>
        <v>0</v>
      </c>
      <c r="AD402" s="31">
        <f>VLOOKUP($B402,'Tillförd energi'!$B$1:$AI$720,MATCH(AD$1,'Tillförd energi'!$B$1:$AQ$1,0),FALSE)</f>
        <v>0</v>
      </c>
      <c r="AE402" s="31">
        <f>VLOOKUP($B402,'Tillförd energi'!$B$1:$AI$720,MATCH(AE$1,'Tillförd energi'!$B$1:$AQ$1,0),FALSE)</f>
        <v>0</v>
      </c>
      <c r="AF402" s="31">
        <f>VLOOKUP($B402,'Tillförd energi'!$B$1:$AI$720,MATCH(AF$1,'Tillförd energi'!$B$1:$AQ$1,0),FALSE)</f>
        <v>0</v>
      </c>
      <c r="AG402" s="31">
        <f>IFERROR(VLOOKUP(B402,Miljö!$B$1:$AC$550,MATCH("Köpt mängd produktionsspecifik fjärrvärme:",Miljö!$B$1:$AC$1,0),FALSE)/1,0)</f>
        <v>0</v>
      </c>
      <c r="AI402" s="31">
        <f t="shared" si="138"/>
        <v>0</v>
      </c>
      <c r="AJ402" s="31">
        <f t="shared" si="139"/>
        <v>0</v>
      </c>
      <c r="AK402" s="31" t="str">
        <f>IF(ISERROR(1/VLOOKUP($B402,Leveranser!$B$1:$S$499,MATCH("Såld värme (GWh)",Leveranser!$B$1:$S$1,0),FALSE)),"",VLOOKUP($B402,Leveranser!$B$1:$S$499,MATCH("Såld värme (GWh)",Leveranser!$B$1:$S$1,0),FALSE))</f>
        <v/>
      </c>
      <c r="AL402" s="31">
        <f>VLOOKUP($B402,Leveranser!$B$1:$Y$499,MATCH("Totalt såld fjärrvärme till andra fjärrvärmeföretag",Leveranser!$B$1:$AA$1,0),FALSE)</f>
        <v>0</v>
      </c>
      <c r="AM402" s="31">
        <f>IF(ISERROR(1/VLOOKUP($B402,Miljö!$B$1:$S$500,MATCH("Såld mängd produktionsspecifik fjärrvärme (GWh)",Miljö!$B$1:$R$1,0),FALSE)),0,VLOOKUP($B402,Miljö!$B$1:$S$500,MATCH("Såld mängd produktionsspecifik fjärrvärme (GWh)",Miljö!$B$1:$R$1,0),FALSE))</f>
        <v>0</v>
      </c>
      <c r="AN402" s="32" t="str">
        <f t="shared" si="140"/>
        <v/>
      </c>
      <c r="AP402" s="31" t="str">
        <f>IFERROR(VLOOKUP($B402,Miljövärden!$B$2:$H$550,7,FALSE),"Nej, saknas")</f>
        <v>Nej</v>
      </c>
      <c r="AQ402" s="31" t="str">
        <f>IFERROR(VLOOKUP($B402,Miljövärden!$B$2:$H$551,6,FALSE),"Nej, saknas")</f>
        <v>Nej</v>
      </c>
      <c r="AU402" s="31">
        <f t="shared" si="141"/>
        <v>0</v>
      </c>
      <c r="AV402" s="31">
        <f t="shared" si="142"/>
        <v>0</v>
      </c>
      <c r="AW402" s="31">
        <f t="shared" si="143"/>
        <v>0</v>
      </c>
      <c r="AX402" s="31">
        <f t="shared" si="144"/>
        <v>0</v>
      </c>
      <c r="AZ402" s="31">
        <f t="shared" si="145"/>
        <v>0</v>
      </c>
      <c r="BC402" s="31">
        <f t="shared" si="146"/>
        <v>0</v>
      </c>
      <c r="BD402" s="31">
        <f t="shared" si="147"/>
        <v>0</v>
      </c>
      <c r="BE402" s="31">
        <f t="shared" si="148"/>
        <v>0</v>
      </c>
      <c r="BF402" s="31">
        <f t="shared" si="149"/>
        <v>0</v>
      </c>
      <c r="BG402" s="31">
        <f t="shared" si="150"/>
        <v>0</v>
      </c>
      <c r="BH402" s="31" t="str">
        <f>VLOOKUP(B402,Miljö!$B$1:$BX$482,MATCH("Fossilandel för ursprungspecificerad el ()",Miljö!$B$1:$I$1,0),FALSE)</f>
        <v>-</v>
      </c>
      <c r="BI402" s="31" t="str">
        <f>VLOOKUP(B402,Miljö!$B$1:$BX$482,MATCH("Kärnkraftsandel för ursprungsspecificerad el ()",Miljö!$B$1:$O$1,0),FALSE)</f>
        <v>-</v>
      </c>
      <c r="BJ402" s="31">
        <f t="shared" si="151"/>
        <v>0</v>
      </c>
      <c r="BK402" s="31" t="str">
        <f>VLOOKUP(B402,Miljö!$B$1:$P$482,MATCH("Fossil andel i procent (%)",Miljö!$B$1:$P$1,0),FALSE)</f>
        <v>-</v>
      </c>
      <c r="BL402" s="31">
        <f t="shared" si="152"/>
        <v>0</v>
      </c>
      <c r="BO402" s="32" t="str">
        <f t="shared" si="153"/>
        <v/>
      </c>
      <c r="BP402" s="32" t="str">
        <f t="shared" si="154"/>
        <v/>
      </c>
      <c r="BQ402" s="32" t="str">
        <f t="shared" si="155"/>
        <v/>
      </c>
      <c r="BR402" s="32" t="str">
        <f t="shared" si="156"/>
        <v/>
      </c>
      <c r="BT402" s="62">
        <f t="shared" si="157"/>
        <v>0</v>
      </c>
      <c r="BW402" s="32" t="str">
        <f>IF(AP402="Ja",VLOOKUP(B402,Miljövärden!$B$2:$H$551,MATCH("Total andel fossilt",Miljövärden!$B$2:$H$2,0),FALSE),"")</f>
        <v/>
      </c>
      <c r="BX402" s="62" t="e">
        <f t="shared" si="158"/>
        <v>#VALUE!</v>
      </c>
      <c r="BZ402" s="31" t="str">
        <f t="shared" si="159"/>
        <v/>
      </c>
      <c r="CA402" s="32" t="str">
        <f t="shared" si="160"/>
        <v/>
      </c>
    </row>
    <row r="403" spans="1:79" x14ac:dyDescent="0.45">
      <c r="A403" s="31" t="s">
        <v>149</v>
      </c>
      <c r="B403" s="31" t="s">
        <v>154</v>
      </c>
      <c r="C403" s="31">
        <f>VLOOKUP($B403,'Tillförd energi'!$B$1:$AI$720,MATCH(C$1,'Tillförd energi'!$B$1:$AQ$1,0),FALSE)</f>
        <v>0</v>
      </c>
      <c r="D403" s="31">
        <f>VLOOKUP($B403,'Tillförd energi'!$B$1:$AI$720,MATCH(D$1,'Tillförd energi'!$B$1:$AQ$1,0),FALSE)</f>
        <v>5.5999999999999999E-3</v>
      </c>
      <c r="E403" s="31">
        <f>VLOOKUP($B403,'Tillförd energi'!$B$1:$AI$720,MATCH(E$1,'Tillförd energi'!$B$1:$AQ$1,0),FALSE)</f>
        <v>0</v>
      </c>
      <c r="F403" s="31">
        <f>VLOOKUP($B403,'Tillförd energi'!$B$1:$AI$720,MATCH(F$1,'Tillförd energi'!$B$1:$AQ$1,0),FALSE)</f>
        <v>0</v>
      </c>
      <c r="G403" s="31">
        <f>VLOOKUP($B403,'Tillförd energi'!$B$1:$AI$720,MATCH(G$1,'Tillförd energi'!$B$1:$AQ$1,0),FALSE)</f>
        <v>0</v>
      </c>
      <c r="H403" s="31">
        <f>VLOOKUP($B403,'Tillförd energi'!$B$1:$AI$720,MATCH(H$1,'Tillförd energi'!$B$1:$AQ$1,0),FALSE)</f>
        <v>0</v>
      </c>
      <c r="I403" s="31">
        <f>VLOOKUP($B403,'Tillförd energi'!$B$1:$AI$720,MATCH(I$1,'Tillförd energi'!$B$1:$AQ$1,0),FALSE)</f>
        <v>0</v>
      </c>
      <c r="J403" s="31">
        <f>VLOOKUP($B403,'Tillförd energi'!$B$1:$AI$720,MATCH(J$1,'Tillförd energi'!$B$1:$AQ$1,0),FALSE)</f>
        <v>0</v>
      </c>
      <c r="K403" s="31">
        <f>VLOOKUP($B403,'Tillförd energi'!$B$1:$AI$720,MATCH(K$1,'Tillförd energi'!$B$1:$AQ$1,0),FALSE)</f>
        <v>0</v>
      </c>
      <c r="L403" s="31">
        <f>VLOOKUP($B403,'Tillförd energi'!$B$1:$AI$720,MATCH(L$1,'Tillförd energi'!$B$1:$AQ$1,0),FALSE)</f>
        <v>0</v>
      </c>
      <c r="M403" s="31">
        <f>VLOOKUP($B403,'Tillförd energi'!$B$1:$AI$720,MATCH(M$1,'Tillförd energi'!$B$1:$AQ$1,0),FALSE)</f>
        <v>0</v>
      </c>
      <c r="N403" s="31">
        <f>VLOOKUP($B403,'Tillförd energi'!$B$1:$AI$720,MATCH(N$1,'Tillförd energi'!$B$1:$AQ$1,0),FALSE)</f>
        <v>0</v>
      </c>
      <c r="O403" s="31">
        <f>VLOOKUP($B403,'Tillförd energi'!$B$1:$AI$720,MATCH(O$1,'Tillförd energi'!$B$1:$AQ$1,0),FALSE)</f>
        <v>0</v>
      </c>
      <c r="P403" s="31">
        <f>VLOOKUP($B403,'Tillförd energi'!$B$1:$AI$720,MATCH(P$1,'Tillförd energi'!$B$1:$AQ$1,0),FALSE)</f>
        <v>7.7039</v>
      </c>
      <c r="Q403" s="31">
        <f>VLOOKUP($B403,'Tillförd energi'!$B$1:$AI$720,MATCH(Q$1,'Tillförd energi'!$B$1:$AQ$1,0),FALSE)</f>
        <v>0</v>
      </c>
      <c r="R403" s="31">
        <f>VLOOKUP($B403,'Tillförd energi'!$B$1:$AI$720,MATCH(R$1,'Tillförd energi'!$B$1:$AQ$1,0),FALSE)</f>
        <v>0</v>
      </c>
      <c r="S403" s="31">
        <f>VLOOKUP($B403,'Tillförd energi'!$B$1:$AI$720,MATCH(S$1,'Tillförd energi'!$B$1:$AQ$1,0),FALSE)</f>
        <v>0</v>
      </c>
      <c r="T403" s="31">
        <f>VLOOKUP($B403,'Tillförd energi'!$B$1:$AI$720,MATCH(T$1,'Tillförd energi'!$B$1:$AQ$1,0),FALSE)</f>
        <v>0</v>
      </c>
      <c r="U403" s="31">
        <f>VLOOKUP($B403,'Tillförd energi'!$B$1:$AI$720,MATCH(U$1,'Tillförd energi'!$B$1:$AQ$1,0),FALSE)</f>
        <v>0</v>
      </c>
      <c r="V403" s="31">
        <f>VLOOKUP($B403,'Tillförd energi'!$B$1:$AI$720,MATCH(V$1,'Tillförd energi'!$B$1:$AQ$1,0),FALSE)</f>
        <v>0</v>
      </c>
      <c r="W403" s="31">
        <f>VLOOKUP($B403,'Tillförd energi'!$B$1:$AI$720,MATCH(W$1,'Tillförd energi'!$B$1:$AQ$1,0),FALSE)</f>
        <v>1.4569000000000001</v>
      </c>
      <c r="X403" s="31">
        <f>VLOOKUP($B403,'Tillförd energi'!$B$1:$AI$720,MATCH(X$1,'Tillförd energi'!$B$1:$AQ$1,0),FALSE)</f>
        <v>0</v>
      </c>
      <c r="Y403" s="31">
        <f>VLOOKUP($B403,'Tillförd energi'!$B$1:$AI$720,MATCH(Y$1,'Tillförd energi'!$B$1:$AQ$1,0),FALSE)</f>
        <v>0</v>
      </c>
      <c r="Z403" s="31">
        <f>VLOOKUP($B403,'Tillförd energi'!$B$1:$AI$720,MATCH(Z$1,'Tillförd energi'!$B$1:$AQ$1,0),FALSE)</f>
        <v>0.98150000000000004</v>
      </c>
      <c r="AA403" s="31">
        <f>VLOOKUP($B403,'Tillförd energi'!$B$1:$AI$720,MATCH(AA$1,'Tillförd energi'!$B$1:$AQ$1,0),FALSE)</f>
        <v>0</v>
      </c>
      <c r="AB403" s="31">
        <f>VLOOKUP($B403,'Tillförd energi'!$B$1:$AI$720,MATCH(AB$1,'Tillförd energi'!$B$1:$AQ$1,0),FALSE)</f>
        <v>0</v>
      </c>
      <c r="AC403" s="31">
        <f>VLOOKUP($B403,'Tillförd energi'!$B$1:$AI$720,MATCH(AC$1,'Tillförd energi'!$B$1:$AQ$1,0),FALSE)</f>
        <v>0</v>
      </c>
      <c r="AD403" s="31">
        <f>VLOOKUP($B403,'Tillförd energi'!$B$1:$AI$720,MATCH(AD$1,'Tillförd energi'!$B$1:$AQ$1,0),FALSE)</f>
        <v>0</v>
      </c>
      <c r="AE403" s="31">
        <f>VLOOKUP($B403,'Tillförd energi'!$B$1:$AI$720,MATCH(AE$1,'Tillförd energi'!$B$1:$AQ$1,0),FALSE)</f>
        <v>0</v>
      </c>
      <c r="AF403" s="31">
        <f>VLOOKUP($B403,'Tillförd energi'!$B$1:$AI$720,MATCH(AF$1,'Tillförd energi'!$B$1:$AQ$1,0),FALSE)</f>
        <v>0.29010000000000002</v>
      </c>
      <c r="AG403" s="31">
        <f>IFERROR(VLOOKUP(B403,Miljö!$B$1:$AC$550,MATCH("Köpt mängd produktionsspecifik fjärrvärme:",Miljö!$B$1:$AC$1,0),FALSE)/1,0)</f>
        <v>0</v>
      </c>
      <c r="AI403" s="31">
        <f t="shared" si="138"/>
        <v>10.438000000000001</v>
      </c>
      <c r="AJ403" s="31">
        <f t="shared" si="139"/>
        <v>10.438000000000001</v>
      </c>
      <c r="AK403" s="31">
        <f>IF(ISERROR(1/VLOOKUP($B403,Leveranser!$B$1:$S$499,MATCH("Såld värme (GWh)",Leveranser!$B$1:$S$1,0),FALSE)),"",VLOOKUP($B403,Leveranser!$B$1:$S$499,MATCH("Såld värme (GWh)",Leveranser!$B$1:$S$1,0),FALSE))</f>
        <v>6.83</v>
      </c>
      <c r="AL403" s="31">
        <f>VLOOKUP($B403,Leveranser!$B$1:$Y$499,MATCH("Totalt såld fjärrvärme till andra fjärrvärmeföretag",Leveranser!$B$1:$AA$1,0),FALSE)</f>
        <v>0</v>
      </c>
      <c r="AM403" s="31">
        <f>IF(ISERROR(1/VLOOKUP($B403,Miljö!$B$1:$S$500,MATCH("Såld mängd produktionsspecifik fjärrvärme (GWh)",Miljö!$B$1:$R$1,0),FALSE)),0,VLOOKUP($B403,Miljö!$B$1:$S$500,MATCH("Såld mängd produktionsspecifik fjärrvärme (GWh)",Miljö!$B$1:$R$1,0),FALSE))</f>
        <v>0</v>
      </c>
      <c r="AN403" s="32">
        <f t="shared" si="140"/>
        <v>0.65433991186050966</v>
      </c>
      <c r="AP403" s="31" t="str">
        <f>IFERROR(VLOOKUP($B403,Miljövärden!$B$2:$H$550,7,FALSE),"Nej, saknas")</f>
        <v>Ja</v>
      </c>
      <c r="AQ403" s="31" t="str">
        <f>IFERROR(VLOOKUP($B403,Miljövärden!$B$2:$H$551,6,FALSE),"Nej, saknas")</f>
        <v>Ja</v>
      </c>
      <c r="AU403" s="31">
        <f t="shared" si="141"/>
        <v>1.2716000000000001</v>
      </c>
      <c r="AV403" s="31">
        <f t="shared" si="142"/>
        <v>0</v>
      </c>
      <c r="AW403" s="31">
        <f t="shared" si="143"/>
        <v>7.7039</v>
      </c>
      <c r="AX403" s="31">
        <f t="shared" si="144"/>
        <v>0</v>
      </c>
      <c r="AZ403" s="31">
        <f t="shared" si="145"/>
        <v>9.1608000000000001</v>
      </c>
      <c r="BC403" s="31">
        <f t="shared" si="146"/>
        <v>5.5999999999999999E-3</v>
      </c>
      <c r="BD403" s="31">
        <f t="shared" si="147"/>
        <v>0</v>
      </c>
      <c r="BE403" s="31">
        <f t="shared" si="148"/>
        <v>9.1608000000000001</v>
      </c>
      <c r="BF403" s="31">
        <f t="shared" si="149"/>
        <v>0</v>
      </c>
      <c r="BG403" s="31">
        <f t="shared" si="150"/>
        <v>1.2716000000000001</v>
      </c>
      <c r="BH403" s="31">
        <f>VLOOKUP(B403,Miljö!$B$1:$BX$482,MATCH("Fossilandel för ursprungspecificerad el ()",Miljö!$B$1:$I$1,0),FALSE)</f>
        <v>0.17</v>
      </c>
      <c r="BI403" s="31">
        <f>VLOOKUP(B403,Miljö!$B$1:$BX$482,MATCH("Kärnkraftsandel för ursprungsspecificerad el ()",Miljö!$B$1:$O$1,0),FALSE)</f>
        <v>0</v>
      </c>
      <c r="BJ403" s="31">
        <f t="shared" si="151"/>
        <v>0</v>
      </c>
      <c r="BK403" s="31" t="str">
        <f>VLOOKUP(B403,Miljö!$B$1:$P$482,MATCH("Fossil andel i procent (%)",Miljö!$B$1:$P$1,0),FALSE)</f>
        <v>ET</v>
      </c>
      <c r="BL403" s="31">
        <f t="shared" si="152"/>
        <v>10.437999999999999</v>
      </c>
      <c r="BO403" s="32">
        <f t="shared" si="153"/>
        <v>2.1246598965319032E-2</v>
      </c>
      <c r="BP403" s="32">
        <f t="shared" si="154"/>
        <v>0</v>
      </c>
      <c r="BQ403" s="32">
        <f t="shared" si="155"/>
        <v>0.97875340103468123</v>
      </c>
      <c r="BR403" s="32">
        <f t="shared" si="156"/>
        <v>0</v>
      </c>
      <c r="BT403" s="62">
        <f t="shared" si="157"/>
        <v>1.0000000000000002</v>
      </c>
      <c r="BW403" s="32">
        <f>IF(AP403="Ja",VLOOKUP(B403,Miljövärden!$B$2:$H$551,MATCH("Total andel fossilt",Miljövärden!$B$2:$H$2,0),FALSE),"")</f>
        <v>2.1246600000000001E-2</v>
      </c>
      <c r="BX403" s="62">
        <f t="shared" si="158"/>
        <v>1.0346809693750902E-9</v>
      </c>
      <c r="BZ403" s="31">
        <f t="shared" si="159"/>
        <v>1.0346809693750902E-9</v>
      </c>
      <c r="CA403" s="32">
        <f t="shared" si="160"/>
        <v>0</v>
      </c>
    </row>
    <row r="404" spans="1:79" x14ac:dyDescent="0.45">
      <c r="A404" s="31" t="s">
        <v>149</v>
      </c>
      <c r="B404" s="31" t="s">
        <v>153</v>
      </c>
      <c r="C404" s="31">
        <f>VLOOKUP($B404,'Tillförd energi'!$B$1:$AI$720,MATCH(C$1,'Tillförd energi'!$B$1:$AQ$1,0),FALSE)</f>
        <v>0</v>
      </c>
      <c r="D404" s="31">
        <f>VLOOKUP($B404,'Tillförd energi'!$B$1:$AI$720,MATCH(D$1,'Tillförd energi'!$B$1:$AQ$1,0),FALSE)</f>
        <v>3.5499999999999997E-2</v>
      </c>
      <c r="E404" s="31">
        <f>VLOOKUP($B404,'Tillförd energi'!$B$1:$AI$720,MATCH(E$1,'Tillförd energi'!$B$1:$AQ$1,0),FALSE)</f>
        <v>0</v>
      </c>
      <c r="F404" s="31">
        <f>VLOOKUP($B404,'Tillförd energi'!$B$1:$AI$720,MATCH(F$1,'Tillförd energi'!$B$1:$AQ$1,0),FALSE)</f>
        <v>0</v>
      </c>
      <c r="G404" s="31">
        <f>VLOOKUP($B404,'Tillförd energi'!$B$1:$AI$720,MATCH(G$1,'Tillförd energi'!$B$1:$AQ$1,0),FALSE)</f>
        <v>0</v>
      </c>
      <c r="H404" s="31">
        <f>VLOOKUP($B404,'Tillförd energi'!$B$1:$AI$720,MATCH(H$1,'Tillförd energi'!$B$1:$AQ$1,0),FALSE)</f>
        <v>0</v>
      </c>
      <c r="I404" s="31">
        <f>VLOOKUP($B404,'Tillförd energi'!$B$1:$AI$720,MATCH(I$1,'Tillförd energi'!$B$1:$AQ$1,0),FALSE)</f>
        <v>0</v>
      </c>
      <c r="J404" s="31">
        <f>VLOOKUP($B404,'Tillförd energi'!$B$1:$AI$720,MATCH(J$1,'Tillförd energi'!$B$1:$AQ$1,0),FALSE)</f>
        <v>0</v>
      </c>
      <c r="K404" s="31">
        <f>VLOOKUP($B404,'Tillförd energi'!$B$1:$AI$720,MATCH(K$1,'Tillförd energi'!$B$1:$AQ$1,0),FALSE)</f>
        <v>0</v>
      </c>
      <c r="L404" s="31">
        <f>VLOOKUP($B404,'Tillförd energi'!$B$1:$AI$720,MATCH(L$1,'Tillförd energi'!$B$1:$AQ$1,0),FALSE)</f>
        <v>0</v>
      </c>
      <c r="M404" s="31">
        <f>VLOOKUP($B404,'Tillförd energi'!$B$1:$AI$720,MATCH(M$1,'Tillförd energi'!$B$1:$AQ$1,0),FALSE)</f>
        <v>0</v>
      </c>
      <c r="N404" s="31">
        <f>VLOOKUP($B404,'Tillförd energi'!$B$1:$AI$720,MATCH(N$1,'Tillförd energi'!$B$1:$AQ$1,0),FALSE)</f>
        <v>0</v>
      </c>
      <c r="O404" s="31">
        <f>VLOOKUP($B404,'Tillförd energi'!$B$1:$AI$720,MATCH(O$1,'Tillförd energi'!$B$1:$AQ$1,0),FALSE)</f>
        <v>0</v>
      </c>
      <c r="P404" s="31">
        <f>VLOOKUP($B404,'Tillförd energi'!$B$1:$AI$720,MATCH(P$1,'Tillförd energi'!$B$1:$AQ$1,0),FALSE)</f>
        <v>5.1432000000000002</v>
      </c>
      <c r="Q404" s="31">
        <f>VLOOKUP($B404,'Tillförd energi'!$B$1:$AI$720,MATCH(Q$1,'Tillförd energi'!$B$1:$AQ$1,0),FALSE)</f>
        <v>0</v>
      </c>
      <c r="R404" s="31">
        <f>VLOOKUP($B404,'Tillförd energi'!$B$1:$AI$720,MATCH(R$1,'Tillförd energi'!$B$1:$AQ$1,0),FALSE)</f>
        <v>0.1057</v>
      </c>
      <c r="S404" s="31">
        <f>VLOOKUP($B404,'Tillförd energi'!$B$1:$AI$720,MATCH(S$1,'Tillförd energi'!$B$1:$AQ$1,0),FALSE)</f>
        <v>0</v>
      </c>
      <c r="T404" s="31">
        <f>VLOOKUP($B404,'Tillförd energi'!$B$1:$AI$720,MATCH(T$1,'Tillförd energi'!$B$1:$AQ$1,0),FALSE)</f>
        <v>0</v>
      </c>
      <c r="U404" s="31">
        <f>VLOOKUP($B404,'Tillförd energi'!$B$1:$AI$720,MATCH(U$1,'Tillförd energi'!$B$1:$AQ$1,0),FALSE)</f>
        <v>0</v>
      </c>
      <c r="V404" s="31">
        <f>VLOOKUP($B404,'Tillförd energi'!$B$1:$AI$720,MATCH(V$1,'Tillförd energi'!$B$1:$AQ$1,0),FALSE)</f>
        <v>0</v>
      </c>
      <c r="W404" s="31">
        <f>VLOOKUP($B404,'Tillförd energi'!$B$1:$AI$720,MATCH(W$1,'Tillförd energi'!$B$1:$AQ$1,0),FALSE)</f>
        <v>0.4531</v>
      </c>
      <c r="X404" s="31">
        <f>VLOOKUP($B404,'Tillförd energi'!$B$1:$AI$720,MATCH(X$1,'Tillförd energi'!$B$1:$AQ$1,0),FALSE)</f>
        <v>0</v>
      </c>
      <c r="Y404" s="31">
        <f>VLOOKUP($B404,'Tillförd energi'!$B$1:$AI$720,MATCH(Y$1,'Tillförd energi'!$B$1:$AQ$1,0),FALSE)</f>
        <v>0</v>
      </c>
      <c r="Z404" s="31">
        <f>VLOOKUP($B404,'Tillförd energi'!$B$1:$AI$720,MATCH(Z$1,'Tillförd energi'!$B$1:$AQ$1,0),FALSE)</f>
        <v>1.1748000000000001</v>
      </c>
      <c r="AA404" s="31">
        <f>VLOOKUP($B404,'Tillförd energi'!$B$1:$AI$720,MATCH(AA$1,'Tillförd energi'!$B$1:$AQ$1,0),FALSE)</f>
        <v>0</v>
      </c>
      <c r="AB404" s="31">
        <f>VLOOKUP($B404,'Tillförd energi'!$B$1:$AI$720,MATCH(AB$1,'Tillförd energi'!$B$1:$AQ$1,0),FALSE)</f>
        <v>0</v>
      </c>
      <c r="AC404" s="31">
        <f>VLOOKUP($B404,'Tillförd energi'!$B$1:$AI$720,MATCH(AC$1,'Tillförd energi'!$B$1:$AQ$1,0),FALSE)</f>
        <v>0</v>
      </c>
      <c r="AD404" s="31">
        <f>VLOOKUP($B404,'Tillförd energi'!$B$1:$AI$720,MATCH(AD$1,'Tillförd energi'!$B$1:$AQ$1,0),FALSE)</f>
        <v>0</v>
      </c>
      <c r="AE404" s="31">
        <f>VLOOKUP($B404,'Tillförd energi'!$B$1:$AI$720,MATCH(AE$1,'Tillförd energi'!$B$1:$AQ$1,0),FALSE)</f>
        <v>0</v>
      </c>
      <c r="AF404" s="31">
        <f>VLOOKUP($B404,'Tillförd energi'!$B$1:$AI$720,MATCH(AF$1,'Tillförd energi'!$B$1:$AQ$1,0),FALSE)</f>
        <v>0.1605</v>
      </c>
      <c r="AG404" s="31">
        <f>IFERROR(VLOOKUP(B404,Miljö!$B$1:$AC$550,MATCH("Köpt mängd produktionsspecifik fjärrvärme:",Miljö!$B$1:$AC$1,0),FALSE)/1,0)</f>
        <v>0</v>
      </c>
      <c r="AI404" s="31">
        <f t="shared" si="138"/>
        <v>7.0728</v>
      </c>
      <c r="AJ404" s="31">
        <f t="shared" si="139"/>
        <v>7.0728</v>
      </c>
      <c r="AK404" s="31">
        <f>IF(ISERROR(1/VLOOKUP($B404,Leveranser!$B$1:$S$499,MATCH("Såld värme (GWh)",Leveranser!$B$1:$S$1,0),FALSE)),"",VLOOKUP($B404,Leveranser!$B$1:$S$499,MATCH("Såld värme (GWh)",Leveranser!$B$1:$S$1,0),FALSE))</f>
        <v>5.35</v>
      </c>
      <c r="AL404" s="31">
        <f>VLOOKUP($B404,Leveranser!$B$1:$Y$499,MATCH("Totalt såld fjärrvärme till andra fjärrvärmeföretag",Leveranser!$B$1:$AA$1,0),FALSE)</f>
        <v>0</v>
      </c>
      <c r="AM404" s="31">
        <f>IF(ISERROR(1/VLOOKUP($B404,Miljö!$B$1:$S$500,MATCH("Såld mängd produktionsspecifik fjärrvärme (GWh)",Miljö!$B$1:$R$1,0),FALSE)),0,VLOOKUP($B404,Miljö!$B$1:$S$500,MATCH("Såld mängd produktionsspecifik fjärrvärme (GWh)",Miljö!$B$1:$R$1,0),FALSE))</f>
        <v>0</v>
      </c>
      <c r="AN404" s="32">
        <f t="shared" si="140"/>
        <v>0.75641895713154617</v>
      </c>
      <c r="AP404" s="31" t="str">
        <f>IFERROR(VLOOKUP($B404,Miljövärden!$B$2:$H$550,7,FALSE),"Nej, saknas")</f>
        <v>Ja</v>
      </c>
      <c r="AQ404" s="31" t="str">
        <f>IFERROR(VLOOKUP($B404,Miljövärden!$B$2:$H$551,6,FALSE),"Nej, saknas")</f>
        <v>Ja</v>
      </c>
      <c r="AU404" s="31">
        <f t="shared" si="141"/>
        <v>1.3353000000000002</v>
      </c>
      <c r="AV404" s="31">
        <f t="shared" si="142"/>
        <v>0</v>
      </c>
      <c r="AW404" s="31">
        <f t="shared" si="143"/>
        <v>5.1432000000000002</v>
      </c>
      <c r="AX404" s="31">
        <f t="shared" si="144"/>
        <v>0.1057</v>
      </c>
      <c r="AZ404" s="31">
        <f t="shared" si="145"/>
        <v>5.702</v>
      </c>
      <c r="BC404" s="31">
        <f t="shared" si="146"/>
        <v>3.5499999999999997E-2</v>
      </c>
      <c r="BD404" s="31">
        <f t="shared" si="147"/>
        <v>0</v>
      </c>
      <c r="BE404" s="31">
        <f t="shared" si="148"/>
        <v>5.702</v>
      </c>
      <c r="BF404" s="31">
        <f t="shared" si="149"/>
        <v>0</v>
      </c>
      <c r="BG404" s="31">
        <f t="shared" si="150"/>
        <v>1.3353000000000002</v>
      </c>
      <c r="BH404" s="31">
        <f>VLOOKUP(B404,Miljö!$B$1:$BX$482,MATCH("Fossilandel för ursprungspecificerad el ()",Miljö!$B$1:$I$1,0),FALSE)</f>
        <v>0.17</v>
      </c>
      <c r="BI404" s="31">
        <f>VLOOKUP(B404,Miljö!$B$1:$BX$482,MATCH("Kärnkraftsandel för ursprungsspecificerad el ()",Miljö!$B$1:$O$1,0),FALSE)</f>
        <v>0</v>
      </c>
      <c r="BJ404" s="31">
        <f t="shared" si="151"/>
        <v>0</v>
      </c>
      <c r="BK404" s="31" t="str">
        <f>VLOOKUP(B404,Miljö!$B$1:$P$482,MATCH("Fossil andel i procent (%)",Miljö!$B$1:$P$1,0),FALSE)</f>
        <v>ET</v>
      </c>
      <c r="BL404" s="31">
        <f t="shared" si="152"/>
        <v>7.0728</v>
      </c>
      <c r="BO404" s="32">
        <f t="shared" si="153"/>
        <v>3.7114155638502434E-2</v>
      </c>
      <c r="BP404" s="32">
        <f t="shared" si="154"/>
        <v>0</v>
      </c>
      <c r="BQ404" s="32">
        <f t="shared" si="155"/>
        <v>0.9628858443614976</v>
      </c>
      <c r="BR404" s="32">
        <f t="shared" si="156"/>
        <v>0</v>
      </c>
      <c r="BT404" s="62">
        <f t="shared" si="157"/>
        <v>1</v>
      </c>
      <c r="BW404" s="32">
        <f>IF(AP404="Ja",VLOOKUP(B404,Miljövärden!$B$2:$H$551,MATCH("Total andel fossilt",Miljövärden!$B$2:$H$2,0),FALSE),"")</f>
        <v>3.71142E-2</v>
      </c>
      <c r="BX404" s="62">
        <f t="shared" si="158"/>
        <v>4.4361497565648111E-8</v>
      </c>
      <c r="BZ404" s="31">
        <f t="shared" si="159"/>
        <v>4.4361497565648111E-8</v>
      </c>
      <c r="CA404" s="32">
        <f t="shared" si="160"/>
        <v>0</v>
      </c>
    </row>
    <row r="405" spans="1:79" x14ac:dyDescent="0.45">
      <c r="A405" s="31" t="s">
        <v>149</v>
      </c>
      <c r="B405" s="31" t="s">
        <v>152</v>
      </c>
      <c r="C405" s="31">
        <f>VLOOKUP($B405,'Tillförd energi'!$B$1:$AI$720,MATCH(C$1,'Tillförd energi'!$B$1:$AQ$1,0),FALSE)</f>
        <v>0</v>
      </c>
      <c r="D405" s="31">
        <f>VLOOKUP($B405,'Tillförd energi'!$B$1:$AI$720,MATCH(D$1,'Tillförd energi'!$B$1:$AQ$1,0),FALSE)</f>
        <v>0.1497</v>
      </c>
      <c r="E405" s="31">
        <f>VLOOKUP($B405,'Tillförd energi'!$B$1:$AI$720,MATCH(E$1,'Tillförd energi'!$B$1:$AQ$1,0),FALSE)</f>
        <v>0</v>
      </c>
      <c r="F405" s="31">
        <f>VLOOKUP($B405,'Tillförd energi'!$B$1:$AI$720,MATCH(F$1,'Tillförd energi'!$B$1:$AQ$1,0),FALSE)</f>
        <v>0</v>
      </c>
      <c r="G405" s="31">
        <f>VLOOKUP($B405,'Tillförd energi'!$B$1:$AI$720,MATCH(G$1,'Tillförd energi'!$B$1:$AQ$1,0),FALSE)</f>
        <v>0</v>
      </c>
      <c r="H405" s="31">
        <f>VLOOKUP($B405,'Tillförd energi'!$B$1:$AI$720,MATCH(H$1,'Tillförd energi'!$B$1:$AQ$1,0),FALSE)</f>
        <v>0</v>
      </c>
      <c r="I405" s="31">
        <f>VLOOKUP($B405,'Tillförd energi'!$B$1:$AI$720,MATCH(I$1,'Tillförd energi'!$B$1:$AQ$1,0),FALSE)</f>
        <v>0</v>
      </c>
      <c r="J405" s="31">
        <f>VLOOKUP($B405,'Tillförd energi'!$B$1:$AI$720,MATCH(J$1,'Tillförd energi'!$B$1:$AQ$1,0),FALSE)</f>
        <v>0</v>
      </c>
      <c r="K405" s="31">
        <f>VLOOKUP($B405,'Tillförd energi'!$B$1:$AI$720,MATCH(K$1,'Tillförd energi'!$B$1:$AQ$1,0),FALSE)</f>
        <v>0</v>
      </c>
      <c r="L405" s="31">
        <f>VLOOKUP($B405,'Tillförd energi'!$B$1:$AI$720,MATCH(L$1,'Tillförd energi'!$B$1:$AQ$1,0),FALSE)</f>
        <v>0</v>
      </c>
      <c r="M405" s="31">
        <f>VLOOKUP($B405,'Tillförd energi'!$B$1:$AI$720,MATCH(M$1,'Tillförd energi'!$B$1:$AQ$1,0),FALSE)</f>
        <v>0</v>
      </c>
      <c r="N405" s="31">
        <f>VLOOKUP($B405,'Tillförd energi'!$B$1:$AI$720,MATCH(N$1,'Tillförd energi'!$B$1:$AQ$1,0),FALSE)</f>
        <v>0</v>
      </c>
      <c r="O405" s="31">
        <f>VLOOKUP($B405,'Tillförd energi'!$B$1:$AI$720,MATCH(O$1,'Tillförd energi'!$B$1:$AQ$1,0),FALSE)</f>
        <v>0</v>
      </c>
      <c r="P405" s="31">
        <f>VLOOKUP($B405,'Tillförd energi'!$B$1:$AI$720,MATCH(P$1,'Tillförd energi'!$B$1:$AQ$1,0),FALSE)</f>
        <v>0</v>
      </c>
      <c r="Q405" s="31">
        <f>VLOOKUP($B405,'Tillförd energi'!$B$1:$AI$720,MATCH(Q$1,'Tillförd energi'!$B$1:$AQ$1,0),FALSE)</f>
        <v>2.4234100000000001</v>
      </c>
      <c r="R405" s="31">
        <f>VLOOKUP($B405,'Tillförd energi'!$B$1:$AI$720,MATCH(R$1,'Tillförd energi'!$B$1:$AQ$1,0),FALSE)</f>
        <v>0</v>
      </c>
      <c r="S405" s="31">
        <f>VLOOKUP($B405,'Tillförd energi'!$B$1:$AI$720,MATCH(S$1,'Tillförd energi'!$B$1:$AQ$1,0),FALSE)</f>
        <v>0</v>
      </c>
      <c r="T405" s="31">
        <f>VLOOKUP($B405,'Tillförd energi'!$B$1:$AI$720,MATCH(T$1,'Tillförd energi'!$B$1:$AQ$1,0),FALSE)</f>
        <v>0</v>
      </c>
      <c r="U405" s="31">
        <f>VLOOKUP($B405,'Tillförd energi'!$B$1:$AI$720,MATCH(U$1,'Tillförd energi'!$B$1:$AQ$1,0),FALSE)</f>
        <v>0</v>
      </c>
      <c r="V405" s="31">
        <f>VLOOKUP($B405,'Tillförd energi'!$B$1:$AI$720,MATCH(V$1,'Tillförd energi'!$B$1:$AQ$1,0),FALSE)</f>
        <v>0</v>
      </c>
      <c r="W405" s="31">
        <f>VLOOKUP($B405,'Tillförd energi'!$B$1:$AI$720,MATCH(W$1,'Tillförd energi'!$B$1:$AQ$1,0),FALSE)</f>
        <v>0</v>
      </c>
      <c r="X405" s="31">
        <f>VLOOKUP($B405,'Tillförd energi'!$B$1:$AI$720,MATCH(X$1,'Tillförd energi'!$B$1:$AQ$1,0),FALSE)</f>
        <v>0</v>
      </c>
      <c r="Y405" s="31">
        <f>VLOOKUP($B405,'Tillförd energi'!$B$1:$AI$720,MATCH(Y$1,'Tillförd energi'!$B$1:$AQ$1,0),FALSE)</f>
        <v>0</v>
      </c>
      <c r="Z405" s="31">
        <f>VLOOKUP($B405,'Tillförd energi'!$B$1:$AI$720,MATCH(Z$1,'Tillförd energi'!$B$1:$AQ$1,0),FALSE)</f>
        <v>0</v>
      </c>
      <c r="AA405" s="31">
        <f>VLOOKUP($B405,'Tillförd energi'!$B$1:$AI$720,MATCH(AA$1,'Tillförd energi'!$B$1:$AQ$1,0),FALSE)</f>
        <v>0</v>
      </c>
      <c r="AB405" s="31">
        <f>VLOOKUP($B405,'Tillförd energi'!$B$1:$AI$720,MATCH(AB$1,'Tillförd energi'!$B$1:$AQ$1,0),FALSE)</f>
        <v>0</v>
      </c>
      <c r="AC405" s="31">
        <f>VLOOKUP($B405,'Tillförd energi'!$B$1:$AI$720,MATCH(AC$1,'Tillförd energi'!$B$1:$AQ$1,0),FALSE)</f>
        <v>0</v>
      </c>
      <c r="AD405" s="31">
        <f>VLOOKUP($B405,'Tillförd energi'!$B$1:$AI$720,MATCH(AD$1,'Tillförd energi'!$B$1:$AQ$1,0),FALSE)</f>
        <v>6.5452000000000004</v>
      </c>
      <c r="AE405" s="31">
        <f>VLOOKUP($B405,'Tillförd energi'!$B$1:$AI$720,MATCH(AE$1,'Tillförd energi'!$B$1:$AQ$1,0),FALSE)</f>
        <v>0</v>
      </c>
      <c r="AF405" s="31">
        <f>VLOOKUP($B405,'Tillförd energi'!$B$1:$AI$720,MATCH(AF$1,'Tillförd energi'!$B$1:$AQ$1,0),FALSE)</f>
        <v>0.20039999999999999</v>
      </c>
      <c r="AG405" s="31">
        <f>IFERROR(VLOOKUP(B405,Miljö!$B$1:$AC$550,MATCH("Köpt mängd produktionsspecifik fjärrvärme:",Miljö!$B$1:$AC$1,0),FALSE)/1,0)</f>
        <v>0</v>
      </c>
      <c r="AI405" s="31">
        <f t="shared" si="138"/>
        <v>9.3187100000000012</v>
      </c>
      <c r="AJ405" s="31">
        <f t="shared" si="139"/>
        <v>9.3187100000000012</v>
      </c>
      <c r="AK405" s="31">
        <f>IF(ISERROR(1/VLOOKUP($B405,Leveranser!$B$1:$S$499,MATCH("Såld värme (GWh)",Leveranser!$B$1:$S$1,0),FALSE)),"",VLOOKUP($B405,Leveranser!$B$1:$S$499,MATCH("Såld värme (GWh)",Leveranser!$B$1:$S$1,0),FALSE))</f>
        <v>6.68</v>
      </c>
      <c r="AL405" s="31">
        <f>VLOOKUP($B405,Leveranser!$B$1:$Y$499,MATCH("Totalt såld fjärrvärme till andra fjärrvärmeföretag",Leveranser!$B$1:$AA$1,0),FALSE)</f>
        <v>0</v>
      </c>
      <c r="AM405" s="31">
        <f>IF(ISERROR(1/VLOOKUP($B405,Miljö!$B$1:$S$500,MATCH("Såld mängd produktionsspecifik fjärrvärme (GWh)",Miljö!$B$1:$R$1,0),FALSE)),0,VLOOKUP($B405,Miljö!$B$1:$S$500,MATCH("Såld mängd produktionsspecifik fjärrvärme (GWh)",Miljö!$B$1:$R$1,0),FALSE))</f>
        <v>0</v>
      </c>
      <c r="AN405" s="32">
        <f t="shared" si="140"/>
        <v>0.71683741633766895</v>
      </c>
      <c r="AP405" s="31" t="str">
        <f>IFERROR(VLOOKUP($B405,Miljövärden!$B$2:$H$550,7,FALSE),"Nej, saknas")</f>
        <v>Ja</v>
      </c>
      <c r="AQ405" s="31" t="str">
        <f>IFERROR(VLOOKUP($B405,Miljövärden!$B$2:$H$551,6,FALSE),"Nej, saknas")</f>
        <v>Ja</v>
      </c>
      <c r="AU405" s="31">
        <f t="shared" si="141"/>
        <v>0.20039999999999999</v>
      </c>
      <c r="AV405" s="31">
        <f t="shared" si="142"/>
        <v>0</v>
      </c>
      <c r="AW405" s="31">
        <f t="shared" si="143"/>
        <v>2.4234100000000001</v>
      </c>
      <c r="AX405" s="31">
        <f t="shared" si="144"/>
        <v>0</v>
      </c>
      <c r="AZ405" s="31">
        <f t="shared" si="145"/>
        <v>2.4234100000000001</v>
      </c>
      <c r="BC405" s="31">
        <f t="shared" si="146"/>
        <v>0.1497</v>
      </c>
      <c r="BD405" s="31">
        <f t="shared" si="147"/>
        <v>0</v>
      </c>
      <c r="BE405" s="31">
        <f t="shared" si="148"/>
        <v>2.4234100000000001</v>
      </c>
      <c r="BF405" s="31">
        <f t="shared" si="149"/>
        <v>6.5452000000000004</v>
      </c>
      <c r="BG405" s="31">
        <f t="shared" si="150"/>
        <v>0.20039999999999999</v>
      </c>
      <c r="BH405" s="31">
        <f>VLOOKUP(B405,Miljö!$B$1:$BX$482,MATCH("Fossilandel för ursprungspecificerad el ()",Miljö!$B$1:$I$1,0),FALSE)</f>
        <v>0.35</v>
      </c>
      <c r="BI405" s="31">
        <f>VLOOKUP(B405,Miljö!$B$1:$BX$482,MATCH("Kärnkraftsandel för ursprungsspecificerad el ()",Miljö!$B$1:$O$1,0),FALSE)</f>
        <v>0.3977</v>
      </c>
      <c r="BJ405" s="31">
        <f t="shared" si="151"/>
        <v>0</v>
      </c>
      <c r="BK405" s="31" t="str">
        <f>VLOOKUP(B405,Miljö!$B$1:$P$482,MATCH("Fossil andel i procent (%)",Miljö!$B$1:$P$1,0),FALSE)</f>
        <v>ET</v>
      </c>
      <c r="BL405" s="31">
        <f t="shared" si="152"/>
        <v>9.3187100000000012</v>
      </c>
      <c r="BO405" s="32">
        <f t="shared" si="153"/>
        <v>2.3591248144861247E-2</v>
      </c>
      <c r="BP405" s="32">
        <f t="shared" si="154"/>
        <v>8.5525872143247268E-3</v>
      </c>
      <c r="BQ405" s="32">
        <f t="shared" si="155"/>
        <v>0.26548426981846196</v>
      </c>
      <c r="BR405" s="32">
        <f t="shared" si="156"/>
        <v>0.70237189482235196</v>
      </c>
      <c r="BT405" s="62">
        <f t="shared" si="157"/>
        <v>0.99999999999999989</v>
      </c>
      <c r="BW405" s="32">
        <f>IF(AP405="Ja",VLOOKUP(B405,Miljövärden!$B$2:$H$551,MATCH("Total andel fossilt",Miljövärden!$B$2:$H$2,0),FALSE),"")</f>
        <v>2.35912E-2</v>
      </c>
      <c r="BX405" s="62">
        <f t="shared" si="158"/>
        <v>-4.8144861247018111E-8</v>
      </c>
      <c r="BZ405" s="31">
        <f t="shared" si="159"/>
        <v>-4.8144861247018111E-8</v>
      </c>
      <c r="CA405" s="32">
        <f t="shared" si="160"/>
        <v>0</v>
      </c>
    </row>
    <row r="406" spans="1:79" x14ac:dyDescent="0.45">
      <c r="A406" s="31" t="s">
        <v>149</v>
      </c>
      <c r="B406" s="31" t="s">
        <v>151</v>
      </c>
      <c r="C406" s="31">
        <f>VLOOKUP($B406,'Tillförd energi'!$B$1:$AI$720,MATCH(C$1,'Tillförd energi'!$B$1:$AQ$1,0),FALSE)</f>
        <v>0</v>
      </c>
      <c r="D406" s="31">
        <f>VLOOKUP($B406,'Tillförd energi'!$B$1:$AI$720,MATCH(D$1,'Tillförd energi'!$B$1:$AQ$1,0),FALSE)</f>
        <v>3.2000000000000002E-3</v>
      </c>
      <c r="E406" s="31">
        <f>VLOOKUP($B406,'Tillförd energi'!$B$1:$AI$720,MATCH(E$1,'Tillförd energi'!$B$1:$AQ$1,0),FALSE)</f>
        <v>0</v>
      </c>
      <c r="F406" s="31">
        <f>VLOOKUP($B406,'Tillförd energi'!$B$1:$AI$720,MATCH(F$1,'Tillförd energi'!$B$1:$AQ$1,0),FALSE)</f>
        <v>0</v>
      </c>
      <c r="G406" s="31">
        <f>VLOOKUP($B406,'Tillförd energi'!$B$1:$AI$720,MATCH(G$1,'Tillförd energi'!$B$1:$AQ$1,0),FALSE)</f>
        <v>0</v>
      </c>
      <c r="H406" s="31">
        <f>VLOOKUP($B406,'Tillförd energi'!$B$1:$AI$720,MATCH(H$1,'Tillförd energi'!$B$1:$AQ$1,0),FALSE)</f>
        <v>0</v>
      </c>
      <c r="I406" s="31">
        <f>VLOOKUP($B406,'Tillförd energi'!$B$1:$AI$720,MATCH(I$1,'Tillförd energi'!$B$1:$AQ$1,0),FALSE)</f>
        <v>0</v>
      </c>
      <c r="J406" s="31">
        <f>VLOOKUP($B406,'Tillförd energi'!$B$1:$AI$720,MATCH(J$1,'Tillförd energi'!$B$1:$AQ$1,0),FALSE)</f>
        <v>0</v>
      </c>
      <c r="K406" s="31">
        <f>VLOOKUP($B406,'Tillförd energi'!$B$1:$AI$720,MATCH(K$1,'Tillförd energi'!$B$1:$AQ$1,0),FALSE)</f>
        <v>0</v>
      </c>
      <c r="L406" s="31">
        <f>VLOOKUP($B406,'Tillförd energi'!$B$1:$AI$720,MATCH(L$1,'Tillförd energi'!$B$1:$AQ$1,0),FALSE)</f>
        <v>0</v>
      </c>
      <c r="M406" s="31">
        <f>VLOOKUP($B406,'Tillförd energi'!$B$1:$AI$720,MATCH(M$1,'Tillförd energi'!$B$1:$AQ$1,0),FALSE)</f>
        <v>0</v>
      </c>
      <c r="N406" s="31">
        <f>VLOOKUP($B406,'Tillförd energi'!$B$1:$AI$720,MATCH(N$1,'Tillförd energi'!$B$1:$AQ$1,0),FALSE)</f>
        <v>0</v>
      </c>
      <c r="O406" s="31">
        <f>VLOOKUP($B406,'Tillförd energi'!$B$1:$AI$720,MATCH(O$1,'Tillförd energi'!$B$1:$AQ$1,0),FALSE)</f>
        <v>0</v>
      </c>
      <c r="P406" s="31">
        <f>VLOOKUP($B406,'Tillförd energi'!$B$1:$AI$720,MATCH(P$1,'Tillförd energi'!$B$1:$AQ$1,0),FALSE)</f>
        <v>0</v>
      </c>
      <c r="Q406" s="31">
        <f>VLOOKUP($B406,'Tillförd energi'!$B$1:$AI$720,MATCH(Q$1,'Tillförd energi'!$B$1:$AQ$1,0),FALSE)</f>
        <v>0</v>
      </c>
      <c r="R406" s="31">
        <f>VLOOKUP($B406,'Tillförd energi'!$B$1:$AI$720,MATCH(R$1,'Tillförd energi'!$B$1:$AQ$1,0),FALSE)</f>
        <v>0.64670000000000005</v>
      </c>
      <c r="S406" s="31">
        <f>VLOOKUP($B406,'Tillförd energi'!$B$1:$AI$720,MATCH(S$1,'Tillförd energi'!$B$1:$AQ$1,0),FALSE)</f>
        <v>0</v>
      </c>
      <c r="T406" s="31">
        <f>VLOOKUP($B406,'Tillförd energi'!$B$1:$AI$720,MATCH(T$1,'Tillförd energi'!$B$1:$AQ$1,0),FALSE)</f>
        <v>0</v>
      </c>
      <c r="U406" s="31">
        <f>VLOOKUP($B406,'Tillförd energi'!$B$1:$AI$720,MATCH(U$1,'Tillförd energi'!$B$1:$AQ$1,0),FALSE)</f>
        <v>0</v>
      </c>
      <c r="V406" s="31">
        <f>VLOOKUP($B406,'Tillförd energi'!$B$1:$AI$720,MATCH(V$1,'Tillförd energi'!$B$1:$AQ$1,0),FALSE)</f>
        <v>0</v>
      </c>
      <c r="W406" s="31">
        <f>VLOOKUP($B406,'Tillförd energi'!$B$1:$AI$720,MATCH(W$1,'Tillförd energi'!$B$1:$AQ$1,0),FALSE)</f>
        <v>0</v>
      </c>
      <c r="X406" s="31">
        <f>VLOOKUP($B406,'Tillförd energi'!$B$1:$AI$720,MATCH(X$1,'Tillförd energi'!$B$1:$AQ$1,0),FALSE)</f>
        <v>0</v>
      </c>
      <c r="Y406" s="31">
        <f>VLOOKUP($B406,'Tillförd energi'!$B$1:$AI$720,MATCH(Y$1,'Tillförd energi'!$B$1:$AQ$1,0),FALSE)</f>
        <v>0</v>
      </c>
      <c r="Z406" s="31">
        <f>VLOOKUP($B406,'Tillförd energi'!$B$1:$AI$720,MATCH(Z$1,'Tillförd energi'!$B$1:$AQ$1,0),FALSE)</f>
        <v>0</v>
      </c>
      <c r="AA406" s="31">
        <f>VLOOKUP($B406,'Tillförd energi'!$B$1:$AI$720,MATCH(AA$1,'Tillförd energi'!$B$1:$AQ$1,0),FALSE)</f>
        <v>0</v>
      </c>
      <c r="AB406" s="31">
        <f>VLOOKUP($B406,'Tillförd energi'!$B$1:$AI$720,MATCH(AB$1,'Tillförd energi'!$B$1:$AQ$1,0),FALSE)</f>
        <v>0</v>
      </c>
      <c r="AC406" s="31">
        <f>VLOOKUP($B406,'Tillförd energi'!$B$1:$AI$720,MATCH(AC$1,'Tillförd energi'!$B$1:$AQ$1,0),FALSE)</f>
        <v>0</v>
      </c>
      <c r="AD406" s="31">
        <f>VLOOKUP($B406,'Tillförd energi'!$B$1:$AI$720,MATCH(AD$1,'Tillförd energi'!$B$1:$AQ$1,0),FALSE)</f>
        <v>0</v>
      </c>
      <c r="AE406" s="31">
        <f>VLOOKUP($B406,'Tillförd energi'!$B$1:$AI$720,MATCH(AE$1,'Tillförd energi'!$B$1:$AQ$1,0),FALSE)</f>
        <v>0</v>
      </c>
      <c r="AF406" s="31">
        <f>VLOOKUP($B406,'Tillförd energi'!$B$1:$AI$720,MATCH(AF$1,'Tillförd energi'!$B$1:$AQ$1,0),FALSE)</f>
        <v>2.3480000000000001E-2</v>
      </c>
      <c r="AG406" s="31">
        <f>IFERROR(VLOOKUP(B406,Miljö!$B$1:$AC$550,MATCH("Köpt mängd produktionsspecifik fjärrvärme:",Miljö!$B$1:$AC$1,0),FALSE)/1,0)</f>
        <v>0</v>
      </c>
      <c r="AI406" s="31">
        <f t="shared" si="138"/>
        <v>0.67338000000000009</v>
      </c>
      <c r="AJ406" s="31">
        <f t="shared" si="139"/>
        <v>0.67338000000000009</v>
      </c>
      <c r="AK406" s="31">
        <f>IF(ISERROR(1/VLOOKUP($B406,Leveranser!$B$1:$S$499,MATCH("Såld värme (GWh)",Leveranser!$B$1:$S$1,0),FALSE)),"",VLOOKUP($B406,Leveranser!$B$1:$S$499,MATCH("Såld värme (GWh)",Leveranser!$B$1:$S$1,0),FALSE))</f>
        <v>0.43</v>
      </c>
      <c r="AL406" s="31">
        <f>VLOOKUP($B406,Leveranser!$B$1:$Y$499,MATCH("Totalt såld fjärrvärme till andra fjärrvärmeföretag",Leveranser!$B$1:$AA$1,0),FALSE)</f>
        <v>0</v>
      </c>
      <c r="AM406" s="31">
        <f>IF(ISERROR(1/VLOOKUP($B406,Miljö!$B$1:$S$500,MATCH("Såld mängd produktionsspecifik fjärrvärme (GWh)",Miljö!$B$1:$R$1,0),FALSE)),0,VLOOKUP($B406,Miljö!$B$1:$S$500,MATCH("Såld mängd produktionsspecifik fjärrvärme (GWh)",Miljö!$B$1:$R$1,0),FALSE))</f>
        <v>0</v>
      </c>
      <c r="AN406" s="32">
        <f t="shared" si="140"/>
        <v>0.63856960408684538</v>
      </c>
      <c r="AP406" s="31" t="str">
        <f>IFERROR(VLOOKUP($B406,Miljövärden!$B$2:$H$550,7,FALSE),"Nej, saknas")</f>
        <v>Ja</v>
      </c>
      <c r="AQ406" s="31" t="str">
        <f>IFERROR(VLOOKUP($B406,Miljövärden!$B$2:$H$551,6,FALSE),"Nej, saknas")</f>
        <v>Ja</v>
      </c>
      <c r="AU406" s="31">
        <f t="shared" si="141"/>
        <v>2.3480000000000001E-2</v>
      </c>
      <c r="AV406" s="31">
        <f t="shared" si="142"/>
        <v>0</v>
      </c>
      <c r="AW406" s="31">
        <f t="shared" si="143"/>
        <v>0</v>
      </c>
      <c r="AX406" s="31">
        <f t="shared" si="144"/>
        <v>0.64670000000000005</v>
      </c>
      <c r="AZ406" s="31">
        <f t="shared" si="145"/>
        <v>0.64670000000000005</v>
      </c>
      <c r="BC406" s="31">
        <f t="shared" si="146"/>
        <v>3.2000000000000002E-3</v>
      </c>
      <c r="BD406" s="31">
        <f t="shared" si="147"/>
        <v>0</v>
      </c>
      <c r="BE406" s="31">
        <f t="shared" si="148"/>
        <v>0.64670000000000005</v>
      </c>
      <c r="BF406" s="31">
        <f t="shared" si="149"/>
        <v>0</v>
      </c>
      <c r="BG406" s="31">
        <f t="shared" si="150"/>
        <v>2.3480000000000001E-2</v>
      </c>
      <c r="BH406" s="31">
        <f>VLOOKUP(B406,Miljö!$B$1:$BX$482,MATCH("Fossilandel för ursprungspecificerad el ()",Miljö!$B$1:$I$1,0),FALSE)</f>
        <v>0.17</v>
      </c>
      <c r="BI406" s="31">
        <f>VLOOKUP(B406,Miljö!$B$1:$BX$482,MATCH("Kärnkraftsandel för ursprungsspecificerad el ()",Miljö!$B$1:$O$1,0),FALSE)</f>
        <v>0</v>
      </c>
      <c r="BJ406" s="31">
        <f t="shared" si="151"/>
        <v>0</v>
      </c>
      <c r="BK406" s="31" t="str">
        <f>VLOOKUP(B406,Miljö!$B$1:$P$482,MATCH("Fossil andel i procent (%)",Miljö!$B$1:$P$1,0),FALSE)</f>
        <v>ET</v>
      </c>
      <c r="BL406" s="31">
        <f t="shared" si="152"/>
        <v>0.67338000000000009</v>
      </c>
      <c r="BO406" s="32">
        <f t="shared" si="153"/>
        <v>1.0679853871513855E-2</v>
      </c>
      <c r="BP406" s="32">
        <f t="shared" si="154"/>
        <v>0</v>
      </c>
      <c r="BQ406" s="32">
        <f t="shared" si="155"/>
        <v>0.98932014612848607</v>
      </c>
      <c r="BR406" s="32">
        <f t="shared" si="156"/>
        <v>0</v>
      </c>
      <c r="BT406" s="62">
        <f t="shared" si="157"/>
        <v>0.99999999999999989</v>
      </c>
      <c r="BW406" s="32">
        <f>IF(AP406="Ja",VLOOKUP(B406,Miljövärden!$B$2:$H$551,MATCH("Total andel fossilt",Miljövärden!$B$2:$H$2,0),FALSE),"")</f>
        <v>1.0679900000000001E-2</v>
      </c>
      <c r="BX406" s="62">
        <f t="shared" si="158"/>
        <v>4.6128486145408099E-8</v>
      </c>
      <c r="BZ406" s="31">
        <f t="shared" si="159"/>
        <v>4.6128486145408099E-8</v>
      </c>
      <c r="CA406" s="32">
        <f t="shared" si="160"/>
        <v>0</v>
      </c>
    </row>
    <row r="407" spans="1:79" x14ac:dyDescent="0.45">
      <c r="A407" s="31" t="s">
        <v>149</v>
      </c>
      <c r="B407" s="31" t="s">
        <v>148</v>
      </c>
      <c r="C407" s="31">
        <f>VLOOKUP($B407,'Tillförd energi'!$B$1:$AI$720,MATCH(C$1,'Tillförd energi'!$B$1:$AQ$1,0),FALSE)</f>
        <v>0</v>
      </c>
      <c r="D407" s="31">
        <f>VLOOKUP($B407,'Tillförd energi'!$B$1:$AI$720,MATCH(D$1,'Tillförd energi'!$B$1:$AQ$1,0),FALSE)</f>
        <v>4.1000000000000002E-2</v>
      </c>
      <c r="E407" s="31">
        <f>VLOOKUP($B407,'Tillförd energi'!$B$1:$AI$720,MATCH(E$1,'Tillförd energi'!$B$1:$AQ$1,0),FALSE)</f>
        <v>0</v>
      </c>
      <c r="F407" s="31">
        <f>VLOOKUP($B407,'Tillförd energi'!$B$1:$AI$720,MATCH(F$1,'Tillförd energi'!$B$1:$AQ$1,0),FALSE)</f>
        <v>0.33373599999999998</v>
      </c>
      <c r="G407" s="31">
        <f>VLOOKUP($B407,'Tillförd energi'!$B$1:$AI$720,MATCH(G$1,'Tillförd energi'!$B$1:$AQ$1,0),FALSE)</f>
        <v>0</v>
      </c>
      <c r="H407" s="31">
        <f>VLOOKUP($B407,'Tillförd energi'!$B$1:$AI$720,MATCH(H$1,'Tillförd energi'!$B$1:$AQ$1,0),FALSE)</f>
        <v>0</v>
      </c>
      <c r="I407" s="31">
        <f>VLOOKUP($B407,'Tillförd energi'!$B$1:$AI$720,MATCH(I$1,'Tillförd energi'!$B$1:$AQ$1,0),FALSE)</f>
        <v>0</v>
      </c>
      <c r="J407" s="31">
        <f>VLOOKUP($B407,'Tillförd energi'!$B$1:$AI$720,MATCH(J$1,'Tillförd energi'!$B$1:$AQ$1,0),FALSE)</f>
        <v>1.4822900000000001</v>
      </c>
      <c r="K407" s="31">
        <f>VLOOKUP($B407,'Tillförd energi'!$B$1:$AI$720,MATCH(K$1,'Tillförd energi'!$B$1:$AQ$1,0),FALSE)</f>
        <v>0</v>
      </c>
      <c r="L407" s="31">
        <f>VLOOKUP($B407,'Tillförd energi'!$B$1:$AI$720,MATCH(L$1,'Tillförd energi'!$B$1:$AQ$1,0),FALSE)</f>
        <v>0</v>
      </c>
      <c r="M407" s="31">
        <f>VLOOKUP($B407,'Tillförd energi'!$B$1:$AI$720,MATCH(M$1,'Tillförd energi'!$B$1:$AQ$1,0),FALSE)</f>
        <v>60.8658</v>
      </c>
      <c r="N407" s="31">
        <f>VLOOKUP($B407,'Tillförd energi'!$B$1:$AI$720,MATCH(N$1,'Tillförd energi'!$B$1:$AQ$1,0),FALSE)</f>
        <v>4.5151899999999996</v>
      </c>
      <c r="O407" s="31">
        <f>VLOOKUP($B407,'Tillförd energi'!$B$1:$AI$720,MATCH(O$1,'Tillförd energi'!$B$1:$AQ$1,0),FALSE)</f>
        <v>24.6876</v>
      </c>
      <c r="P407" s="31">
        <f>VLOOKUP($B407,'Tillförd energi'!$B$1:$AI$720,MATCH(P$1,'Tillförd energi'!$B$1:$AQ$1,0),FALSE)</f>
        <v>11.3775</v>
      </c>
      <c r="Q407" s="31">
        <f>VLOOKUP($B407,'Tillförd energi'!$B$1:$AI$720,MATCH(Q$1,'Tillförd energi'!$B$1:$AQ$1,0),FALSE)</f>
        <v>0</v>
      </c>
      <c r="R407" s="31">
        <f>VLOOKUP($B407,'Tillförd energi'!$B$1:$AI$720,MATCH(R$1,'Tillförd energi'!$B$1:$AQ$1,0),FALSE)</f>
        <v>0</v>
      </c>
      <c r="S407" s="31">
        <f>VLOOKUP($B407,'Tillförd energi'!$B$1:$AI$720,MATCH(S$1,'Tillförd energi'!$B$1:$AQ$1,0),FALSE)</f>
        <v>0</v>
      </c>
      <c r="T407" s="31">
        <f>VLOOKUP($B407,'Tillförd energi'!$B$1:$AI$720,MATCH(T$1,'Tillförd energi'!$B$1:$AQ$1,0),FALSE)</f>
        <v>0</v>
      </c>
      <c r="U407" s="31">
        <f>VLOOKUP($B407,'Tillförd energi'!$B$1:$AI$720,MATCH(U$1,'Tillförd energi'!$B$1:$AQ$1,0),FALSE)</f>
        <v>0</v>
      </c>
      <c r="V407" s="31">
        <f>VLOOKUP($B407,'Tillförd energi'!$B$1:$AI$720,MATCH(V$1,'Tillförd energi'!$B$1:$AQ$1,0),FALSE)</f>
        <v>0</v>
      </c>
      <c r="W407" s="31">
        <f>VLOOKUP($B407,'Tillförd energi'!$B$1:$AI$720,MATCH(W$1,'Tillförd energi'!$B$1:$AQ$1,0),FALSE)</f>
        <v>4.8570000000000002</v>
      </c>
      <c r="X407" s="31">
        <f>VLOOKUP($B407,'Tillförd energi'!$B$1:$AI$720,MATCH(X$1,'Tillförd energi'!$B$1:$AQ$1,0),FALSE)</f>
        <v>0</v>
      </c>
      <c r="Y407" s="31">
        <f>VLOOKUP($B407,'Tillförd energi'!$B$1:$AI$720,MATCH(Y$1,'Tillförd energi'!$B$1:$AQ$1,0),FALSE)</f>
        <v>23.380099999999999</v>
      </c>
      <c r="Z407" s="31">
        <f>VLOOKUP($B407,'Tillförd energi'!$B$1:$AI$720,MATCH(Z$1,'Tillförd energi'!$B$1:$AQ$1,0),FALSE)</f>
        <v>3.6999999999999998E-2</v>
      </c>
      <c r="AA407" s="31">
        <f>VLOOKUP($B407,'Tillförd energi'!$B$1:$AI$720,MATCH(AA$1,'Tillförd energi'!$B$1:$AQ$1,0),FALSE)</f>
        <v>0</v>
      </c>
      <c r="AB407" s="31">
        <f>VLOOKUP($B407,'Tillförd energi'!$B$1:$AI$720,MATCH(AB$1,'Tillförd energi'!$B$1:$AQ$1,0),FALSE)</f>
        <v>0</v>
      </c>
      <c r="AC407" s="31">
        <f>VLOOKUP($B407,'Tillförd energi'!$B$1:$AI$720,MATCH(AC$1,'Tillförd energi'!$B$1:$AQ$1,0),FALSE)</f>
        <v>89.873999999999995</v>
      </c>
      <c r="AD407" s="31">
        <f>VLOOKUP($B407,'Tillförd energi'!$B$1:$AI$720,MATCH(AD$1,'Tillförd energi'!$B$1:$AQ$1,0),FALSE)</f>
        <v>0</v>
      </c>
      <c r="AE407" s="31">
        <f>VLOOKUP($B407,'Tillförd energi'!$B$1:$AI$720,MATCH(AE$1,'Tillförd energi'!$B$1:$AQ$1,0),FALSE)</f>
        <v>0</v>
      </c>
      <c r="AF407" s="31">
        <f>VLOOKUP($B407,'Tillförd energi'!$B$1:$AI$720,MATCH(AF$1,'Tillförd energi'!$B$1:$AQ$1,0),FALSE)</f>
        <v>5.9329200000000002</v>
      </c>
      <c r="AG407" s="31">
        <f>IFERROR(VLOOKUP(B407,Miljö!$B$1:$AC$550,MATCH("Köpt mängd produktionsspecifik fjärrvärme:",Miljö!$B$1:$AC$1,0),FALSE)/1,0)</f>
        <v>0</v>
      </c>
      <c r="AI407" s="31">
        <f t="shared" si="138"/>
        <v>227.38413599999998</v>
      </c>
      <c r="AJ407" s="31">
        <f t="shared" si="139"/>
        <v>227.38413599999998</v>
      </c>
      <c r="AK407" s="31">
        <f>IF(ISERROR(1/VLOOKUP($B407,Leveranser!$B$1:$S$499,MATCH("Såld värme (GWh)",Leveranser!$B$1:$S$1,0),FALSE)),"",VLOOKUP($B407,Leveranser!$B$1:$S$499,MATCH("Såld värme (GWh)",Leveranser!$B$1:$S$1,0),FALSE))</f>
        <v>232.97</v>
      </c>
      <c r="AL407" s="31">
        <f>VLOOKUP($B407,Leveranser!$B$1:$Y$499,MATCH("Totalt såld fjärrvärme till andra fjärrvärmeföretag",Leveranser!$B$1:$AA$1,0),FALSE)</f>
        <v>0</v>
      </c>
      <c r="AM407" s="31">
        <f>IF(ISERROR(1/VLOOKUP($B407,Miljö!$B$1:$S$500,MATCH("Såld mängd produktionsspecifik fjärrvärme (GWh)",Miljö!$B$1:$R$1,0),FALSE)),0,VLOOKUP($B407,Miljö!$B$1:$S$500,MATCH("Såld mängd produktionsspecifik fjärrvärme (GWh)",Miljö!$B$1:$R$1,0),FALSE))</f>
        <v>0</v>
      </c>
      <c r="AN407" s="32">
        <f t="shared" si="140"/>
        <v>1.0245657595039965</v>
      </c>
      <c r="AP407" s="31" t="str">
        <f>IFERROR(VLOOKUP($B407,Miljövärden!$B$2:$H$550,7,FALSE),"Nej, saknas")</f>
        <v>Ja</v>
      </c>
      <c r="AQ407" s="31" t="str">
        <f>IFERROR(VLOOKUP($B407,Miljövärden!$B$2:$H$551,6,FALSE),"Nej, saknas")</f>
        <v>Ja</v>
      </c>
      <c r="AU407" s="31">
        <f t="shared" si="141"/>
        <v>5.9699200000000001</v>
      </c>
      <c r="AV407" s="31">
        <f t="shared" si="142"/>
        <v>0</v>
      </c>
      <c r="AW407" s="31">
        <f t="shared" si="143"/>
        <v>101.44609</v>
      </c>
      <c r="AX407" s="31">
        <f t="shared" si="144"/>
        <v>0</v>
      </c>
      <c r="AZ407" s="31">
        <f t="shared" si="145"/>
        <v>106.30309</v>
      </c>
      <c r="BC407" s="31">
        <f t="shared" si="146"/>
        <v>0.37473599999999996</v>
      </c>
      <c r="BD407" s="31">
        <f t="shared" si="147"/>
        <v>23.380099999999999</v>
      </c>
      <c r="BE407" s="31">
        <f t="shared" si="148"/>
        <v>106.30309</v>
      </c>
      <c r="BF407" s="31">
        <f t="shared" si="149"/>
        <v>91.356290000000001</v>
      </c>
      <c r="BG407" s="31">
        <f t="shared" si="150"/>
        <v>5.9699200000000001</v>
      </c>
      <c r="BH407" s="31">
        <f>VLOOKUP(B407,Miljö!$B$1:$BX$482,MATCH("Fossilandel för ursprungspecificerad el ()",Miljö!$B$1:$I$1,0),FALSE)</f>
        <v>0.17</v>
      </c>
      <c r="BI407" s="31">
        <f>VLOOKUP(B407,Miljö!$B$1:$BX$482,MATCH("Kärnkraftsandel för ursprungsspecificerad el ()",Miljö!$B$1:$O$1,0),FALSE)</f>
        <v>0</v>
      </c>
      <c r="BJ407" s="31">
        <f t="shared" si="151"/>
        <v>0</v>
      </c>
      <c r="BK407" s="31" t="str">
        <f>VLOOKUP(B407,Miljö!$B$1:$P$482,MATCH("Fossil andel i procent (%)",Miljö!$B$1:$P$1,0),FALSE)</f>
        <v>ET</v>
      </c>
      <c r="BL407" s="31">
        <f t="shared" si="152"/>
        <v>227.38413600000001</v>
      </c>
      <c r="BO407" s="32">
        <f t="shared" si="153"/>
        <v>6.1113427895427147E-3</v>
      </c>
      <c r="BP407" s="32">
        <f t="shared" si="154"/>
        <v>0.10282203680207487</v>
      </c>
      <c r="BQ407" s="32">
        <f t="shared" si="155"/>
        <v>0.48929589177672445</v>
      </c>
      <c r="BR407" s="32">
        <f t="shared" si="156"/>
        <v>0.40177072863165791</v>
      </c>
      <c r="BT407" s="62">
        <f t="shared" si="157"/>
        <v>1</v>
      </c>
      <c r="BW407" s="32">
        <f>IF(AP407="Ja",VLOOKUP(B407,Miljövärden!$B$2:$H$551,MATCH("Total andel fossilt",Miljövärden!$B$2:$H$2,0),FALSE),"")</f>
        <v>6.1113799999999996E-3</v>
      </c>
      <c r="BX407" s="62">
        <f t="shared" si="158"/>
        <v>3.7210457284886367E-8</v>
      </c>
      <c r="BZ407" s="31">
        <f t="shared" si="159"/>
        <v>3.7210457284886367E-8</v>
      </c>
      <c r="CA407" s="32">
        <f t="shared" si="160"/>
        <v>0</v>
      </c>
    </row>
    <row r="408" spans="1:79" x14ac:dyDescent="0.45">
      <c r="A408" s="31" t="s">
        <v>149</v>
      </c>
      <c r="B408" s="31" t="s">
        <v>150</v>
      </c>
      <c r="C408" s="31">
        <f>VLOOKUP($B408,'Tillförd energi'!$B$1:$AI$720,MATCH(C$1,'Tillförd energi'!$B$1:$AQ$1,0),FALSE)</f>
        <v>0</v>
      </c>
      <c r="D408" s="31">
        <f>VLOOKUP($B408,'Tillförd energi'!$B$1:$AI$720,MATCH(D$1,'Tillförd energi'!$B$1:$AQ$1,0),FALSE)</f>
        <v>5.9916499999999999</v>
      </c>
      <c r="E408" s="31">
        <f>VLOOKUP($B408,'Tillförd energi'!$B$1:$AI$720,MATCH(E$1,'Tillförd energi'!$B$1:$AQ$1,0),FALSE)</f>
        <v>0</v>
      </c>
      <c r="F408" s="31">
        <f>VLOOKUP($B408,'Tillförd energi'!$B$1:$AI$720,MATCH(F$1,'Tillförd energi'!$B$1:$AQ$1,0),FALSE)</f>
        <v>0.99251699999999998</v>
      </c>
      <c r="G408" s="31">
        <f>VLOOKUP($B408,'Tillförd energi'!$B$1:$AI$720,MATCH(G$1,'Tillförd energi'!$B$1:$AQ$1,0),FALSE)</f>
        <v>0</v>
      </c>
      <c r="H408" s="31">
        <f>VLOOKUP($B408,'Tillförd energi'!$B$1:$AI$720,MATCH(H$1,'Tillförd energi'!$B$1:$AQ$1,0),FALSE)</f>
        <v>0</v>
      </c>
      <c r="I408" s="31">
        <f>VLOOKUP($B408,'Tillförd energi'!$B$1:$AI$720,MATCH(I$1,'Tillförd energi'!$B$1:$AQ$1,0),FALSE)</f>
        <v>0</v>
      </c>
      <c r="J408" s="31">
        <f>VLOOKUP($B408,'Tillförd energi'!$B$1:$AI$720,MATCH(J$1,'Tillförd energi'!$B$1:$AQ$1,0),FALSE)</f>
        <v>2.2696299999999998</v>
      </c>
      <c r="K408" s="31">
        <f>VLOOKUP($B408,'Tillförd energi'!$B$1:$AI$720,MATCH(K$1,'Tillförd energi'!$B$1:$AQ$1,0),FALSE)</f>
        <v>0</v>
      </c>
      <c r="L408" s="31">
        <f>VLOOKUP($B408,'Tillförd energi'!$B$1:$AI$720,MATCH(L$1,'Tillförd energi'!$B$1:$AQ$1,0),FALSE)</f>
        <v>0</v>
      </c>
      <c r="M408" s="31">
        <f>VLOOKUP($B408,'Tillförd energi'!$B$1:$AI$720,MATCH(M$1,'Tillförd energi'!$B$1:$AQ$1,0),FALSE)</f>
        <v>114.2</v>
      </c>
      <c r="N408" s="31">
        <f>VLOOKUP($B408,'Tillförd energi'!$B$1:$AI$720,MATCH(N$1,'Tillförd energi'!$B$1:$AQ$1,0),FALSE)</f>
        <v>9.7331199999999995</v>
      </c>
      <c r="O408" s="31">
        <f>VLOOKUP($B408,'Tillförd energi'!$B$1:$AI$720,MATCH(O$1,'Tillförd energi'!$B$1:$AQ$1,0),FALSE)</f>
        <v>44.587800000000001</v>
      </c>
      <c r="P408" s="31">
        <f>VLOOKUP($B408,'Tillförd energi'!$B$1:$AI$720,MATCH(P$1,'Tillförd energi'!$B$1:$AQ$1,0),FALSE)</f>
        <v>19.855</v>
      </c>
      <c r="Q408" s="31">
        <f>VLOOKUP($B408,'Tillförd energi'!$B$1:$AI$720,MATCH(Q$1,'Tillförd energi'!$B$1:$AQ$1,0),FALSE)</f>
        <v>0</v>
      </c>
      <c r="R408" s="31">
        <f>VLOOKUP($B408,'Tillförd energi'!$B$1:$AI$720,MATCH(R$1,'Tillförd energi'!$B$1:$AQ$1,0),FALSE)</f>
        <v>0</v>
      </c>
      <c r="S408" s="31">
        <f>VLOOKUP($B408,'Tillförd energi'!$B$1:$AI$720,MATCH(S$1,'Tillförd energi'!$B$1:$AQ$1,0),FALSE)</f>
        <v>0</v>
      </c>
      <c r="T408" s="31">
        <f>VLOOKUP($B408,'Tillförd energi'!$B$1:$AI$720,MATCH(T$1,'Tillförd energi'!$B$1:$AQ$1,0),FALSE)</f>
        <v>0</v>
      </c>
      <c r="U408" s="31">
        <f>VLOOKUP($B408,'Tillförd energi'!$B$1:$AI$720,MATCH(U$1,'Tillförd energi'!$B$1:$AQ$1,0),FALSE)</f>
        <v>0</v>
      </c>
      <c r="V408" s="31">
        <f>VLOOKUP($B408,'Tillförd energi'!$B$1:$AI$720,MATCH(V$1,'Tillförd energi'!$B$1:$AQ$1,0),FALSE)</f>
        <v>0</v>
      </c>
      <c r="W408" s="31">
        <f>VLOOKUP($B408,'Tillförd energi'!$B$1:$AI$720,MATCH(W$1,'Tillförd energi'!$B$1:$AQ$1,0),FALSE)</f>
        <v>0</v>
      </c>
      <c r="X408" s="31">
        <f>VLOOKUP($B408,'Tillförd energi'!$B$1:$AI$720,MATCH(X$1,'Tillförd energi'!$B$1:$AQ$1,0),FALSE)</f>
        <v>0</v>
      </c>
      <c r="Y408" s="31">
        <f>VLOOKUP($B408,'Tillförd energi'!$B$1:$AI$720,MATCH(Y$1,'Tillförd energi'!$B$1:$AQ$1,0),FALSE)</f>
        <v>39.6402</v>
      </c>
      <c r="Z408" s="31">
        <f>VLOOKUP($B408,'Tillförd energi'!$B$1:$AI$720,MATCH(Z$1,'Tillförd energi'!$B$1:$AQ$1,0),FALSE)</f>
        <v>0</v>
      </c>
      <c r="AA408" s="31">
        <f>VLOOKUP($B408,'Tillförd energi'!$B$1:$AI$720,MATCH(AA$1,'Tillförd energi'!$B$1:$AQ$1,0),FALSE)</f>
        <v>0</v>
      </c>
      <c r="AB408" s="31">
        <f>VLOOKUP($B408,'Tillförd energi'!$B$1:$AI$720,MATCH(AB$1,'Tillförd energi'!$B$1:$AQ$1,0),FALSE)</f>
        <v>0</v>
      </c>
      <c r="AC408" s="31">
        <f>VLOOKUP($B408,'Tillförd energi'!$B$1:$AI$720,MATCH(AC$1,'Tillförd energi'!$B$1:$AQ$1,0),FALSE)</f>
        <v>0</v>
      </c>
      <c r="AD408" s="31">
        <f>VLOOKUP($B408,'Tillförd energi'!$B$1:$AI$720,MATCH(AD$1,'Tillförd energi'!$B$1:$AQ$1,0),FALSE)</f>
        <v>0</v>
      </c>
      <c r="AE408" s="31">
        <f>VLOOKUP($B408,'Tillförd energi'!$B$1:$AI$720,MATCH(AE$1,'Tillförd energi'!$B$1:$AQ$1,0),FALSE)</f>
        <v>0</v>
      </c>
      <c r="AF408" s="31">
        <f>VLOOKUP($B408,'Tillförd energi'!$B$1:$AI$720,MATCH(AF$1,'Tillförd energi'!$B$1:$AQ$1,0),FALSE)</f>
        <v>8.8352000000000004</v>
      </c>
      <c r="AG408" s="31">
        <f>IFERROR(VLOOKUP(B408,Miljö!$B$1:$AC$550,MATCH("Köpt mängd produktionsspecifik fjärrvärme:",Miljö!$B$1:$AC$1,0),FALSE)/1,0)</f>
        <v>0</v>
      </c>
      <c r="AI408" s="31">
        <f t="shared" si="138"/>
        <v>246.10511700000001</v>
      </c>
      <c r="AJ408" s="31">
        <f t="shared" si="139"/>
        <v>246.10511700000001</v>
      </c>
      <c r="AK408" s="31">
        <f>IF(ISERROR(1/VLOOKUP($B408,Leveranser!$B$1:$S$499,MATCH("Såld värme (GWh)",Leveranser!$B$1:$S$1,0),FALSE)),"",VLOOKUP($B408,Leveranser!$B$1:$S$499,MATCH("Såld värme (GWh)",Leveranser!$B$1:$S$1,0),FALSE))</f>
        <v>267.3</v>
      </c>
      <c r="AL408" s="31">
        <f>VLOOKUP($B408,Leveranser!$B$1:$Y$499,MATCH("Totalt såld fjärrvärme till andra fjärrvärmeföretag",Leveranser!$B$1:$AA$1,0),FALSE)</f>
        <v>0</v>
      </c>
      <c r="AM408" s="31">
        <f>IF(ISERROR(1/VLOOKUP($B408,Miljö!$B$1:$S$500,MATCH("Såld mängd produktionsspecifik fjärrvärme (GWh)",Miljö!$B$1:$R$1,0),FALSE)),0,VLOOKUP($B408,Miljö!$B$1:$S$500,MATCH("Såld mängd produktionsspecifik fjärrvärme (GWh)",Miljö!$B$1:$R$1,0),FALSE))</f>
        <v>0</v>
      </c>
      <c r="AN408" s="32">
        <f t="shared" si="140"/>
        <v>1.086121260940706</v>
      </c>
      <c r="AP408" s="31" t="str">
        <f>IFERROR(VLOOKUP($B408,Miljövärden!$B$2:$H$550,7,FALSE),"Nej, saknas")</f>
        <v>Ja</v>
      </c>
      <c r="AQ408" s="31" t="str">
        <f>IFERROR(VLOOKUP($B408,Miljövärden!$B$2:$H$551,6,FALSE),"Nej, saknas")</f>
        <v>Ja</v>
      </c>
      <c r="AU408" s="31">
        <f t="shared" si="141"/>
        <v>8.8352000000000004</v>
      </c>
      <c r="AV408" s="31">
        <f t="shared" si="142"/>
        <v>0</v>
      </c>
      <c r="AW408" s="31">
        <f t="shared" si="143"/>
        <v>188.37591999999998</v>
      </c>
      <c r="AX408" s="31">
        <f t="shared" si="144"/>
        <v>0</v>
      </c>
      <c r="AZ408" s="31">
        <f t="shared" si="145"/>
        <v>188.37591999999998</v>
      </c>
      <c r="BC408" s="31">
        <f t="shared" si="146"/>
        <v>6.9841670000000002</v>
      </c>
      <c r="BD408" s="31">
        <f t="shared" si="147"/>
        <v>39.6402</v>
      </c>
      <c r="BE408" s="31">
        <f t="shared" si="148"/>
        <v>188.37591999999998</v>
      </c>
      <c r="BF408" s="31">
        <f t="shared" si="149"/>
        <v>2.2696299999999998</v>
      </c>
      <c r="BG408" s="31">
        <f t="shared" si="150"/>
        <v>8.8352000000000004</v>
      </c>
      <c r="BH408" s="31">
        <f>VLOOKUP(B408,Miljö!$B$1:$BX$482,MATCH("Fossilandel för ursprungspecificerad el ()",Miljö!$B$1:$I$1,0),FALSE)</f>
        <v>0.17</v>
      </c>
      <c r="BI408" s="31">
        <f>VLOOKUP(B408,Miljö!$B$1:$BX$482,MATCH("Kärnkraftsandel för ursprungsspecificerad el ()",Miljö!$B$1:$O$1,0),FALSE)</f>
        <v>0</v>
      </c>
      <c r="BJ408" s="31">
        <f t="shared" si="151"/>
        <v>0</v>
      </c>
      <c r="BK408" s="31" t="str">
        <f>VLOOKUP(B408,Miljö!$B$1:$P$482,MATCH("Fossil andel i procent (%)",Miljö!$B$1:$P$1,0),FALSE)</f>
        <v>ET</v>
      </c>
      <c r="BL408" s="31">
        <f t="shared" si="152"/>
        <v>246.10511700000001</v>
      </c>
      <c r="BO408" s="32">
        <f t="shared" si="153"/>
        <v>3.4481814532933905E-2</v>
      </c>
      <c r="BP408" s="32">
        <f t="shared" si="154"/>
        <v>0.16107019830879826</v>
      </c>
      <c r="BQ408" s="32">
        <f t="shared" si="155"/>
        <v>0.79522578963687285</v>
      </c>
      <c r="BR408" s="32">
        <f t="shared" si="156"/>
        <v>9.2221975213948922E-3</v>
      </c>
      <c r="BT408" s="62">
        <f t="shared" si="157"/>
        <v>0.99999999999999989</v>
      </c>
      <c r="BW408" s="32">
        <f>IF(AP408="Ja",VLOOKUP(B408,Miljövärden!$B$2:$H$551,MATCH("Total andel fossilt",Miljövärden!$B$2:$H$2,0),FALSE),"")</f>
        <v>3.44818E-2</v>
      </c>
      <c r="BX408" s="62">
        <f t="shared" si="158"/>
        <v>-1.4532933904909395E-8</v>
      </c>
      <c r="BZ408" s="31">
        <f t="shared" si="159"/>
        <v>-1.4532933904909395E-8</v>
      </c>
      <c r="CA408" s="32">
        <f t="shared" si="160"/>
        <v>0</v>
      </c>
    </row>
    <row r="409" spans="1:79" x14ac:dyDescent="0.45">
      <c r="AP409" s="31" t="str">
        <f>IFERROR(VLOOKUP($B409,Miljövärden!$B$2:$H$550,7,FALSE),"Nej, saknas")</f>
        <v>Nej, saknas</v>
      </c>
    </row>
    <row r="410" spans="1:79" x14ac:dyDescent="0.45">
      <c r="AP410" s="31" t="str">
        <f>IFERROR(VLOOKUP($B410,Miljövärden!$B$2:$H$550,7,FALSE),"Nej, saknas")</f>
        <v>Nej, saknas</v>
      </c>
    </row>
    <row r="411" spans="1:79" x14ac:dyDescent="0.45">
      <c r="B411" s="328" t="s">
        <v>1554</v>
      </c>
      <c r="C411" s="328"/>
      <c r="D411" s="328"/>
      <c r="E411" s="328"/>
      <c r="F411" s="328"/>
      <c r="G411" s="328"/>
      <c r="H411" s="328"/>
      <c r="I411" s="328">
        <f>-26.563</f>
        <v>-26.562999999999999</v>
      </c>
      <c r="J411" s="328"/>
      <c r="K411" s="328"/>
      <c r="L411" s="328"/>
      <c r="M411" s="328"/>
      <c r="N411" s="328"/>
      <c r="O411" s="328"/>
      <c r="P411" s="328"/>
      <c r="Q411" s="328"/>
      <c r="R411" s="328">
        <f>-6.755-0.07</f>
        <v>-6.8250000000000002</v>
      </c>
      <c r="S411" s="328"/>
      <c r="T411" s="328"/>
      <c r="U411" s="328"/>
      <c r="V411" s="328">
        <f>-0.881</f>
        <v>-0.88100000000000001</v>
      </c>
      <c r="W411" s="328">
        <f>-6.313</f>
        <v>-6.3129999999999997</v>
      </c>
      <c r="X411" s="328"/>
      <c r="Y411" s="328"/>
      <c r="Z411" s="328"/>
      <c r="AA411" s="328">
        <f>-15.788</f>
        <v>-15.788</v>
      </c>
      <c r="AB411" s="328"/>
      <c r="AC411" s="328"/>
      <c r="AD411" s="328"/>
      <c r="AE411" s="328"/>
      <c r="AF411" s="328"/>
      <c r="AG411" s="124">
        <v>82.86</v>
      </c>
      <c r="AH411" s="328"/>
      <c r="AI411" s="328">
        <f>SUM(C411:AF411)</f>
        <v>-56.370000000000005</v>
      </c>
      <c r="AJ411" s="328">
        <f>SUM(C411:AG411)</f>
        <v>26.489999999999995</v>
      </c>
      <c r="AP411" s="31" t="str">
        <f>IFERROR(VLOOKUP($B411,Miljövärden!$B$2:$H$550,7,FALSE),"Nej, saknas")</f>
        <v xml:space="preserve">Ja </v>
      </c>
      <c r="AU411" s="328">
        <f>Z411+AA411+AF411</f>
        <v>-15.788</v>
      </c>
      <c r="AV411" s="328">
        <f>X411</f>
        <v>0</v>
      </c>
      <c r="AW411" s="328">
        <f>M411+N411+O411+P411+Q411</f>
        <v>0</v>
      </c>
      <c r="AX411" s="328">
        <f>R411+S411+T411+U411</f>
        <v>-6.8250000000000002</v>
      </c>
      <c r="AY411" s="328"/>
      <c r="AZ411" s="328">
        <f>L411+M411+N411+O411+P411+Q411+R411+S411+T411+U411+V411+W411+X411</f>
        <v>-14.019</v>
      </c>
    </row>
    <row r="414" spans="1:79" customFormat="1" x14ac:dyDescent="0.45">
      <c r="A414" s="114" t="s">
        <v>1361</v>
      </c>
      <c r="B414" s="114" t="s">
        <v>1361</v>
      </c>
      <c r="C414" s="115">
        <f>SUMIF($AP$2:$AP$408,"=ja",C2:C408)+C411</f>
        <v>507.494595</v>
      </c>
      <c r="D414" s="115">
        <f t="shared" ref="D414:AF414" si="161">SUMIF($AP$2:$AP$408,"=ja",D2:D408)+D411</f>
        <v>457.35986660000032</v>
      </c>
      <c r="E414" s="115">
        <f t="shared" si="161"/>
        <v>17.82648</v>
      </c>
      <c r="F414" s="115">
        <f t="shared" si="161"/>
        <v>191.87490499999998</v>
      </c>
      <c r="G414" s="115">
        <f t="shared" si="161"/>
        <v>633.54064300000005</v>
      </c>
      <c r="H414" s="115">
        <f t="shared" si="161"/>
        <v>13.417</v>
      </c>
      <c r="I414" s="115">
        <f t="shared" si="161"/>
        <v>12196.823503</v>
      </c>
      <c r="J414" s="115">
        <f t="shared" si="161"/>
        <v>273.77873039999997</v>
      </c>
      <c r="K414" s="115">
        <f t="shared" si="161"/>
        <v>768.56000000000006</v>
      </c>
      <c r="L414" s="115">
        <f t="shared" si="161"/>
        <v>3706.9303000000014</v>
      </c>
      <c r="M414" s="115">
        <f t="shared" si="161"/>
        <v>2081.1733112000006</v>
      </c>
      <c r="N414" s="115">
        <f t="shared" si="161"/>
        <v>6298.076579999999</v>
      </c>
      <c r="O414" s="115">
        <f t="shared" si="161"/>
        <v>1397.8189700000003</v>
      </c>
      <c r="P414" s="115">
        <f t="shared" si="161"/>
        <v>3432.9035260000001</v>
      </c>
      <c r="Q414" s="115">
        <f t="shared" si="161"/>
        <v>2369.3701459999997</v>
      </c>
      <c r="R414" s="115">
        <f t="shared" si="161"/>
        <v>2145.3844880000001</v>
      </c>
      <c r="S414" s="115">
        <f t="shared" si="161"/>
        <v>352.97396999999995</v>
      </c>
      <c r="T414" s="115">
        <f t="shared" si="161"/>
        <v>241.113</v>
      </c>
      <c r="U414" s="115">
        <f t="shared" si="161"/>
        <v>128.19013000000001</v>
      </c>
      <c r="V414" s="115">
        <f t="shared" si="161"/>
        <v>116.02594000000002</v>
      </c>
      <c r="W414" s="115">
        <f t="shared" si="161"/>
        <v>902.7235091</v>
      </c>
      <c r="X414" s="115">
        <f t="shared" si="161"/>
        <v>52.601820000000004</v>
      </c>
      <c r="Y414" s="115">
        <f t="shared" si="161"/>
        <v>665.3651000000001</v>
      </c>
      <c r="Z414" s="115">
        <f t="shared" si="161"/>
        <v>194.28130000000002</v>
      </c>
      <c r="AA414" s="115">
        <f t="shared" si="161"/>
        <v>1028.431</v>
      </c>
      <c r="AB414" s="115">
        <f t="shared" si="161"/>
        <v>2193.9512999999997</v>
      </c>
      <c r="AC414" s="115">
        <f t="shared" si="161"/>
        <v>6141.5161000000016</v>
      </c>
      <c r="AD414" s="115">
        <f t="shared" si="161"/>
        <v>4565.7082000000009</v>
      </c>
      <c r="AE414" s="115">
        <f t="shared" si="161"/>
        <v>0.47529399999999999</v>
      </c>
      <c r="AF414" s="115">
        <f t="shared" si="161"/>
        <v>1587.9454060099999</v>
      </c>
      <c r="AG414" s="115">
        <f>SUMIF($AP$2:$AP$408,"=ja",AG2:AG408)+AG411</f>
        <v>1868.2825000000003</v>
      </c>
      <c r="AI414" s="115">
        <f>SUMIF($AP$2:$AP$408,"=ja",AI2:AI408)+AI411</f>
        <v>54663.635113310025</v>
      </c>
      <c r="AJ414" s="115">
        <f>SUMIF($AP$2:$AP$408,"=ja",AJ2:AJ408)+AJ411</f>
        <v>56531.917613310012</v>
      </c>
      <c r="AK414" s="327">
        <f>SUMIF($AP$2:$AP$408,"=ja",AK2:AK408)</f>
        <v>49729.292000000016</v>
      </c>
      <c r="AL414" s="327">
        <f>SUMIF($AP$2:$AP$408,"=ja",AL2:AL408)</f>
        <v>1862.8548000000003</v>
      </c>
      <c r="AM414" s="327">
        <f>SUMIF($AP$2:$AP$408,"=ja",AM2:AM408)</f>
        <v>1894.412</v>
      </c>
      <c r="AU414" s="115">
        <f>SUMIF($AP$2:$AP$408,"=ja",AU2:AU408)+AU411</f>
        <v>2810.6577060099999</v>
      </c>
      <c r="AV414" s="115">
        <f>SUMIF($AP$2:$AP$408,"=ja",AV2:AV408)+AV411</f>
        <v>52.601820000000004</v>
      </c>
      <c r="AW414" s="115">
        <f>SUMIF($AP$2:$AP$408,"=ja",AW2:AW408)+AW411</f>
        <v>15579.342533200008</v>
      </c>
      <c r="AX414" s="115">
        <f>SUMIF($AP$2:$AP$408,"=ja",AX2:AX408)+AX411</f>
        <v>2867.661587999999</v>
      </c>
      <c r="AY414" s="116"/>
      <c r="AZ414" s="115">
        <f>SUMIF($AP$2:$AP$408,"=ja",AZ2:AZ408)+AZ411</f>
        <v>23225.285690299988</v>
      </c>
      <c r="BP414" s="305"/>
      <c r="BQ414" s="305"/>
      <c r="BW414" s="305"/>
    </row>
    <row r="415" spans="1:79" customFormat="1" x14ac:dyDescent="0.45">
      <c r="A415" s="117" t="s">
        <v>1362</v>
      </c>
      <c r="B415" s="117" t="s">
        <v>1363</v>
      </c>
      <c r="C415" s="118">
        <f>SUMIFS(C$2:C$408,$AP$2:$AP$408,"=Ja",$AK$2:$AK$408,"&lt;150")</f>
        <v>1.66</v>
      </c>
      <c r="D415" s="118">
        <f>SUMIFS(D$2:D$408,$AP$2:$AP$408,"=ja",$AK$2:$AK$408,"&lt;150")</f>
        <v>142.44114199999979</v>
      </c>
      <c r="E415" s="118">
        <f>SUMIFS(E$2:E$408,$AP$2:$AP$408,"=ja",$AK$2:$AK$408,"&lt;150")</f>
        <v>3.1559999999999997</v>
      </c>
      <c r="F415" s="118">
        <f>SUMIFS(F$2:F$408,$AP$2:$AP$408,"=ja",$AK$2:$AK$408,"&lt;150")</f>
        <v>16.032209000000002</v>
      </c>
      <c r="G415" s="118">
        <f t="shared" ref="G415" si="162">SUMIFS(G$2:G$408,$AP$2:$AP$408,"=Ja",$AK$2:$AK$408,"&lt;150")</f>
        <v>6.911143</v>
      </c>
      <c r="H415" s="118">
        <f t="shared" ref="H415:J415" si="163">SUMIFS(H$2:H$408,$AP$2:$AP$408,"=ja",$AK$2:$AK$408,"&lt;150")</f>
        <v>1.637</v>
      </c>
      <c r="I415" s="118">
        <f t="shared" si="163"/>
        <v>907.04801999999995</v>
      </c>
      <c r="J415" s="118">
        <f t="shared" si="163"/>
        <v>46.417670400000006</v>
      </c>
      <c r="K415" s="118">
        <f t="shared" ref="K415" si="164">SUMIFS(K$2:K$408,$AP$2:$AP$408,"=Ja",$AK$2:$AK$408,"&lt;150")</f>
        <v>6.86</v>
      </c>
      <c r="L415" s="118">
        <f t="shared" ref="L415:N415" si="165">SUMIFS(L$2:L$408,$AP$2:$AP$408,"=ja",$AK$2:$AK$408,"&lt;150")</f>
        <v>640.91342999999995</v>
      </c>
      <c r="M415" s="118">
        <f t="shared" si="165"/>
        <v>767.62713000000008</v>
      </c>
      <c r="N415" s="118">
        <f t="shared" si="165"/>
        <v>2114.9409600000008</v>
      </c>
      <c r="O415" s="118">
        <f t="shared" ref="O415" si="166">SUMIFS(O$2:O$408,$AP$2:$AP$408,"=Ja",$AK$2:$AK$408,"&lt;150")</f>
        <v>608.68344999999988</v>
      </c>
      <c r="P415" s="118">
        <f t="shared" ref="P415:R415" si="167">SUMIFS(P$2:P$408,$AP$2:$AP$408,"=ja",$AK$2:$AK$408,"&lt;150")</f>
        <v>1864.3123070000004</v>
      </c>
      <c r="Q415" s="118">
        <f t="shared" si="167"/>
        <v>1427.2766570000003</v>
      </c>
      <c r="R415" s="118">
        <f t="shared" si="167"/>
        <v>890.98013800000047</v>
      </c>
      <c r="S415" s="118">
        <f t="shared" ref="S415" si="168">SUMIFS(S$2:S$408,$AP$2:$AP$408,"=Ja",$AK$2:$AK$408,"&lt;150")</f>
        <v>208.9632</v>
      </c>
      <c r="T415" s="118">
        <f t="shared" ref="T415:V415" si="169">SUMIFS(T$2:T$408,$AP$2:$AP$408,"=ja",$AK$2:$AK$408,"&lt;150")</f>
        <v>0</v>
      </c>
      <c r="U415" s="118">
        <f t="shared" si="169"/>
        <v>14.474670000000001</v>
      </c>
      <c r="V415" s="118">
        <f t="shared" si="169"/>
        <v>6.8839399999999999</v>
      </c>
      <c r="W415" s="118">
        <f t="shared" ref="W415" si="170">SUMIFS(W$2:W$408,$AP$2:$AP$408,"=Ja",$AK$2:$AK$408,"&lt;150")</f>
        <v>194.58782799999997</v>
      </c>
      <c r="X415" s="118">
        <f t="shared" ref="X415:Z415" si="171">SUMIFS(X$2:X$408,$AP$2:$AP$408,"=ja",$AK$2:$AK$408,"&lt;150")</f>
        <v>45.399699999999996</v>
      </c>
      <c r="Y415" s="118">
        <f t="shared" si="171"/>
        <v>102.91850000000001</v>
      </c>
      <c r="Z415" s="118">
        <f t="shared" si="171"/>
        <v>45.077299999999994</v>
      </c>
      <c r="AA415" s="118">
        <f t="shared" ref="AA415" si="172">SUMIFS(AA$2:AA$408,$AP$2:$AP$408,"=Ja",$AK$2:$AK$408,"&lt;150")</f>
        <v>17.788</v>
      </c>
      <c r="AB415" s="118">
        <f t="shared" ref="AB415:AD415" si="173">SUMIFS(AB$2:AB$408,$AP$2:$AP$408,"=ja",$AK$2:$AK$408,"&lt;150")</f>
        <v>31.536999999999999</v>
      </c>
      <c r="AC415" s="118">
        <f t="shared" si="173"/>
        <v>981.42109999999968</v>
      </c>
      <c r="AD415" s="118">
        <f t="shared" si="173"/>
        <v>1113.8651999999997</v>
      </c>
      <c r="AE415" s="118">
        <f t="shared" ref="AE415" si="174">SUMIFS(AE$2:AE$408,$AP$2:$AP$408,"=Ja",$AK$2:$AK$408,"&lt;150")</f>
        <v>0</v>
      </c>
      <c r="AF415" s="118">
        <f t="shared" ref="AF415:AG415" si="175">SUMIFS(AF$2:AF$408,$AP$2:$AP$408,"=ja",$AK$2:$AK$408,"&lt;150")</f>
        <v>311.53843599999976</v>
      </c>
      <c r="AG415" s="118">
        <f t="shared" si="175"/>
        <v>87</v>
      </c>
      <c r="AI415" s="119">
        <f>SUMIFS(AI$2:AI$408,$AP$2:$AP$408,"=ja",$AK$2:$AK$408,"&lt;150")</f>
        <v>12521.352130400002</v>
      </c>
      <c r="AJ415" s="119">
        <f t="shared" ref="AJ415:AM415" si="176">SUMIFS(AJ$2:AJ$408,$AP$2:$AP$408,"=ja",$AK$2:$AK$408,"&lt;150")</f>
        <v>12608.352130399999</v>
      </c>
      <c r="AK415" s="119">
        <f t="shared" si="176"/>
        <v>9711.8800000000047</v>
      </c>
      <c r="AL415" s="119">
        <f>SUMIFS(AL$2:AL$408,$AP$2:$AP$408,"=ja",$AK$2:$AK$408,"&lt;150")</f>
        <v>0</v>
      </c>
      <c r="AM415" s="119">
        <f t="shared" si="176"/>
        <v>0</v>
      </c>
      <c r="AU415" s="120">
        <f>SUMIFS(AU$2:AU$408,$AP$2:$AP$408,"=ja",$AK$2:$AK$408,"&lt;150")</f>
        <v>374.40373599999975</v>
      </c>
      <c r="AV415" s="120">
        <f t="shared" ref="AV415:AX415" si="177">SUMIFS(AV$2:AV$408,$AP$2:$AP$408,"=ja",$AK$2:$AK$408,"&lt;150")</f>
        <v>45.399699999999996</v>
      </c>
      <c r="AW415" s="120">
        <f t="shared" si="177"/>
        <v>6782.8405039999989</v>
      </c>
      <c r="AX415" s="120">
        <f t="shared" si="177"/>
        <v>1114.4180080000001</v>
      </c>
      <c r="AZ415" s="120">
        <f>SUMIFS(AZ$2:AZ$408,$AP$2:$AP$408,"=ja",$AK$2:$AK$408,"&lt;150")</f>
        <v>8785.0434099999984</v>
      </c>
      <c r="BP415" s="305"/>
      <c r="BQ415" s="305"/>
      <c r="BW415" s="305"/>
    </row>
    <row r="416" spans="1:79" customFormat="1" x14ac:dyDescent="0.45">
      <c r="A416" s="117" t="s">
        <v>1364</v>
      </c>
      <c r="B416" s="117" t="s">
        <v>1365</v>
      </c>
      <c r="C416" s="121">
        <f>SUMIFS(C$2:C$408,$AP$2:$AP$408,"=ja",$AK$2:$AK$408,"&gt;=150",$AK$2:$AK$408,"&lt;=1000")</f>
        <v>28.180499999999999</v>
      </c>
      <c r="D416" s="121">
        <f t="shared" ref="D416:AF416" si="178">SUMIFS(D$2:D$407,$AP$2:$AP$407,"=ja",$AK$2:$AK$407,"&gt;=150",$AK$2:$AK$407,"&lt;=1000")</f>
        <v>160.80945500000001</v>
      </c>
      <c r="E416" s="121">
        <f>SUMIFS(E$2:E$408,$AP$2:$AP$408,"=Ja",$AK$2:$AK$408,"&gt;=150",$AK$2:$AK$408,"&lt;=1000")</f>
        <v>14.670480000000001</v>
      </c>
      <c r="F416" s="121">
        <f>SUMIFS(F$2:F$408,$AP$2:$AP$408,"=ja",$AK$2:$AK$408,"&gt;=150",$AK$2:$AK$408,"&lt;=1000")</f>
        <v>52.026056000000011</v>
      </c>
      <c r="G416" s="121">
        <f t="shared" ref="G416" si="179">SUMIFS(G$2:G$408,$AP$2:$AP$408,"=ja",$AK$2:$AK$408,"&gt;=150",$AK$2:$AK$408,"&lt;=1000")</f>
        <v>8.8500000000000009E-2</v>
      </c>
      <c r="H416" s="121">
        <f t="shared" si="178"/>
        <v>10.780000000000001</v>
      </c>
      <c r="I416" s="121">
        <f t="shared" ref="I416" si="180">SUMIFS(I$2:I$408,$AP$2:$AP$408,"=Ja",$AK$2:$AK$408,"&gt;=150",$AK$2:$AK$408,"&lt;=1000")</f>
        <v>4677.9824829999998</v>
      </c>
      <c r="J416" s="121">
        <f t="shared" ref="J416:K416" si="181">SUMIFS(J$2:J$408,$AP$2:$AP$408,"=ja",$AK$2:$AK$408,"&gt;=150",$AK$2:$AK$408,"&lt;=1000")</f>
        <v>80.503730000000019</v>
      </c>
      <c r="K416" s="121">
        <f t="shared" si="181"/>
        <v>761.7</v>
      </c>
      <c r="L416" s="121">
        <f t="shared" si="178"/>
        <v>2532.7738700000004</v>
      </c>
      <c r="M416" s="121">
        <f t="shared" ref="M416" si="182">SUMIFS(M$2:M$408,$AP$2:$AP$408,"=Ja",$AK$2:$AK$408,"&gt;=150",$AK$2:$AK$408,"&lt;=1000")</f>
        <v>1177.7973602</v>
      </c>
      <c r="N416" s="121">
        <f t="shared" ref="N416:O416" si="183">SUMIFS(N$2:N$408,$AP$2:$AP$408,"=ja",$AK$2:$AK$408,"&gt;=150",$AK$2:$AK$408,"&lt;=1000")</f>
        <v>2598.12662</v>
      </c>
      <c r="O416" s="121">
        <f t="shared" si="183"/>
        <v>609.93021999999996</v>
      </c>
      <c r="P416" s="121">
        <f t="shared" si="178"/>
        <v>1140.4992190000003</v>
      </c>
      <c r="Q416" s="121">
        <f t="shared" ref="Q416" si="184">SUMIFS(Q$2:Q$408,$AP$2:$AP$408,"=Ja",$AK$2:$AK$408,"&gt;=150",$AK$2:$AK$408,"&lt;=1000")</f>
        <v>891.10248899999999</v>
      </c>
      <c r="R416" s="121">
        <f t="shared" ref="R416:S416" si="185">SUMIFS(R$2:R$408,$AP$2:$AP$408,"=ja",$AK$2:$AK$408,"&gt;=150",$AK$2:$AK$408,"&lt;=1000")</f>
        <v>608.20034999999996</v>
      </c>
      <c r="S416" s="121">
        <f t="shared" si="185"/>
        <v>144.01077000000001</v>
      </c>
      <c r="T416" s="121">
        <f t="shared" si="178"/>
        <v>241.113</v>
      </c>
      <c r="U416" s="121">
        <f t="shared" ref="U416" si="186">SUMIFS(U$2:U$408,$AP$2:$AP$408,"=Ja",$AK$2:$AK$408,"&gt;=150",$AK$2:$AK$408,"&lt;=1000")</f>
        <v>49.586559999999999</v>
      </c>
      <c r="V416" s="121">
        <f t="shared" ref="V416:W416" si="187">SUMIFS(V$2:V$408,$AP$2:$AP$408,"=ja",$AK$2:$AK$408,"&gt;=150",$AK$2:$AK$408,"&lt;=1000")</f>
        <v>40.341000000000001</v>
      </c>
      <c r="W416" s="121">
        <f t="shared" si="187"/>
        <v>259.05668109999999</v>
      </c>
      <c r="X416" s="121">
        <f t="shared" si="178"/>
        <v>0</v>
      </c>
      <c r="Y416" s="121">
        <f t="shared" ref="Y416" si="188">SUMIFS(Y$2:Y$408,$AP$2:$AP$408,"=Ja",$AK$2:$AK$408,"&gt;=150",$AK$2:$AK$408,"&lt;=1000")</f>
        <v>417.70959999999997</v>
      </c>
      <c r="Z416" s="121">
        <f t="shared" ref="Z416:AA416" si="189">SUMIFS(Z$2:Z$408,$AP$2:$AP$408,"=ja",$AK$2:$AK$408,"&gt;=150",$AK$2:$AK$408,"&lt;=1000")</f>
        <v>38.937000000000005</v>
      </c>
      <c r="AA416" s="121">
        <f t="shared" si="189"/>
        <v>307.02199999999993</v>
      </c>
      <c r="AB416" s="121">
        <f t="shared" si="178"/>
        <v>608.03030000000001</v>
      </c>
      <c r="AC416" s="121">
        <f t="shared" ref="AC416" si="190">SUMIFS(AC$2:AC$408,$AP$2:$AP$408,"=Ja",$AK$2:$AK$408,"&gt;=150",$AK$2:$AK$408,"&lt;=1000")</f>
        <v>2850.172</v>
      </c>
      <c r="AD416" s="121">
        <f t="shared" ref="AD416:AE416" si="191">SUMIFS(AD$2:AD$408,$AP$2:$AP$408,"=ja",$AK$2:$AK$408,"&gt;=150",$AK$2:$AK$408,"&lt;=1000")</f>
        <v>2111.8629999999998</v>
      </c>
      <c r="AE416" s="121">
        <f t="shared" si="191"/>
        <v>0.47529399999999999</v>
      </c>
      <c r="AF416" s="121">
        <f t="shared" si="178"/>
        <v>689.19347000999994</v>
      </c>
      <c r="AG416" s="121">
        <f t="shared" ref="AG416" si="192">SUMIFS(AG$2:AG$408,$AP$2:$AP$408,"=Ja",$AK$2:$AK$408,"&gt;=150",$AK$2:$AK$408,"&lt;=1000")</f>
        <v>1588.7875000000001</v>
      </c>
      <c r="AI416" s="120">
        <f>SUMIFS(AI$2:AI$408,$AP$2:$AP$408,"=ja",$AK$2:$AK$408,"&gt;=150",$AK$2:$AK$408,"&lt;=1000")</f>
        <v>23137.363857309992</v>
      </c>
      <c r="AJ416" s="120">
        <f>SUMIFS(AJ$2:AJ$408,$AP$2:$AP$408,"=ja",$AK$2:$AK$408,"&gt;=150",$AK$2:$AK$408,"&lt;=1000")</f>
        <v>24726.151357309991</v>
      </c>
      <c r="AK416" s="120">
        <f>SUMIFS(AK$2:AK$408,$AP$2:$AP$408,"=ja",$AK$2:$AK$408,"&gt;=150",$AK$2:$AK$408,"&lt;=1000")</f>
        <v>21838.378000000004</v>
      </c>
      <c r="AL416" s="120">
        <f>SUMIFS(AL$2:AL$408,$AP$2:$AP$408,"=ja",$AK$2:$AK$408,"&gt;=150",$AK$2:$AK$408,"&lt;=1000")</f>
        <v>553.39400000000001</v>
      </c>
      <c r="AM416" s="120">
        <f>SUMIFS(AM$2:AM$408,$AP$2:$AP$408,"=ja",$AK$2:$AK$408,"&gt;=150",$AK$2:$AK$408,"&lt;=1000")</f>
        <v>515.55900000000008</v>
      </c>
      <c r="AU416" s="120">
        <f>SUMIFS(AU$2:AU$408,$AP$2:$AP$408,"=ja",$AK$2:$AK$408,"&gt;=150",$AK$2:$AK$408,"&lt;=1000")</f>
        <v>1043.9876700100001</v>
      </c>
      <c r="AV416" s="120">
        <f t="shared" ref="AV416:AX416" si="193">SUMIFS(AV$2:AV$408,$AP$2:$AP$408,"=ja",$AK$2:$AK$408,"&gt;=150",$AK$2:$AK$408,"&lt;=1000")</f>
        <v>0</v>
      </c>
      <c r="AW416" s="120">
        <f t="shared" si="193"/>
        <v>6437.310908200001</v>
      </c>
      <c r="AX416" s="120">
        <f t="shared" si="193"/>
        <v>1042.9106800000002</v>
      </c>
      <c r="AZ416" s="120">
        <f>SUMIFS(AZ$2:AZ$408,$AP$2:$AP$408,"=ja",$AK$2:$AK$408,"&gt;=150",$AK$2:$AK$408,"&lt;=1000")</f>
        <v>10312.393139300002</v>
      </c>
      <c r="BP416" s="305"/>
      <c r="BQ416" s="305"/>
      <c r="BW416" s="305"/>
    </row>
    <row r="417" spans="1:75" customFormat="1" x14ac:dyDescent="0.45">
      <c r="A417" s="117" t="s">
        <v>1366</v>
      </c>
      <c r="B417" s="117" t="s">
        <v>1367</v>
      </c>
      <c r="C417" s="120">
        <f>SUMIFS(C$2:C$408,$AP$2:$AP$408,"=ja",$AK$2:$AK$408,"&gt;1000")+C411</f>
        <v>477.65409499999998</v>
      </c>
      <c r="D417" s="120">
        <f>SUMIFS(D$2:D$408,$AP$2:$AP$408,"=ja",$AK$2:$AK$408,"&gt;1000")</f>
        <v>148.11761960000001</v>
      </c>
      <c r="E417" s="120">
        <f t="shared" ref="E417:AG417" si="194">SUMIFS(E$2:E$407,$AP$2:$AP$407,"=ja",$AK$2:$AK$407,"&gt;1000")</f>
        <v>0</v>
      </c>
      <c r="F417" s="120">
        <f>SUMIFS(F$2:F$408,$AP$2:$AP$408,"=Ja",$AK$2:$AK$408,"&gt;1000")</f>
        <v>123.81664000000001</v>
      </c>
      <c r="G417" s="120">
        <f t="shared" ref="G417:H417" si="195">SUMIFS(G$2:G$408,$AP$2:$AP$408,"=ja",$AK$2:$AK$408,"&gt;1000")</f>
        <v>626.54100000000005</v>
      </c>
      <c r="H417" s="120">
        <f t="shared" si="195"/>
        <v>1</v>
      </c>
      <c r="I417" s="120">
        <f t="shared" si="194"/>
        <v>6638.3559999999998</v>
      </c>
      <c r="J417" s="120">
        <f t="shared" ref="J417" si="196">SUMIFS(J$2:J$408,$AP$2:$AP$408,"=Ja",$AK$2:$AK$408,"&gt;1000")</f>
        <v>146.85732999999999</v>
      </c>
      <c r="K417" s="120">
        <f t="shared" ref="K417:L417" si="197">SUMIFS(K$2:K$408,$AP$2:$AP$408,"=ja",$AK$2:$AK$408,"&gt;1000")</f>
        <v>0</v>
      </c>
      <c r="L417" s="120">
        <f t="shared" si="197"/>
        <v>533.24300000000005</v>
      </c>
      <c r="M417" s="120">
        <f t="shared" si="194"/>
        <v>135.74882099999999</v>
      </c>
      <c r="N417" s="120">
        <f t="shared" ref="N417" si="198">SUMIFS(N$2:N$408,$AP$2:$AP$408,"=Ja",$AK$2:$AK$408,"&gt;1000")</f>
        <v>1585.009</v>
      </c>
      <c r="O417" s="120">
        <f t="shared" ref="O417:P417" si="199">SUMIFS(O$2:O$408,$AP$2:$AP$408,"=ja",$AK$2:$AK$408,"&gt;1000")</f>
        <v>179.20529999999999</v>
      </c>
      <c r="P417" s="120">
        <f t="shared" si="199"/>
        <v>408.23700000000002</v>
      </c>
      <c r="Q417" s="120">
        <f t="shared" si="194"/>
        <v>50.991</v>
      </c>
      <c r="R417" s="120">
        <f t="shared" ref="R417" si="200">SUMIFS(R$2:R$408,$AP$2:$AP$408,"=Ja",$AK$2:$AK$408,"&gt;1000")</f>
        <v>653.029</v>
      </c>
      <c r="S417" s="120">
        <f t="shared" ref="S417:T417" si="201">SUMIFS(S$2:S$408,$AP$2:$AP$408,"=ja",$AK$2:$AK$408,"&gt;1000")</f>
        <v>0</v>
      </c>
      <c r="T417" s="120">
        <f t="shared" si="201"/>
        <v>0</v>
      </c>
      <c r="U417" s="120">
        <f t="shared" si="194"/>
        <v>64.128900000000002</v>
      </c>
      <c r="V417" s="120">
        <f t="shared" ref="V417" si="202">SUMIFS(V$2:V$408,$AP$2:$AP$408,"=Ja",$AK$2:$AK$408,"&gt;1000")</f>
        <v>69.682000000000002</v>
      </c>
      <c r="W417" s="120">
        <f t="shared" ref="W417:X417" si="203">SUMIFS(W$2:W$408,$AP$2:$AP$408,"=ja",$AK$2:$AK$408,"&gt;1000")</f>
        <v>455.39200000000005</v>
      </c>
      <c r="X417" s="120">
        <f t="shared" si="203"/>
        <v>7.2021200000000007</v>
      </c>
      <c r="Y417" s="120">
        <f t="shared" si="194"/>
        <v>144.73699999999999</v>
      </c>
      <c r="Z417" s="120">
        <f t="shared" ref="Z417" si="204">SUMIFS(Z$2:Z$408,$AP$2:$AP$408,"=Ja",$AK$2:$AK$408,"&gt;1000")</f>
        <v>110.267</v>
      </c>
      <c r="AA417" s="120">
        <f t="shared" ref="AA417:AB417" si="205">SUMIFS(AA$2:AA$408,$AP$2:$AP$408,"=ja",$AK$2:$AK$408,"&gt;1000")</f>
        <v>719.40900000000011</v>
      </c>
      <c r="AB417" s="120">
        <f t="shared" si="205"/>
        <v>1554.384</v>
      </c>
      <c r="AC417" s="120">
        <f t="shared" si="194"/>
        <v>2309.9230000000002</v>
      </c>
      <c r="AD417" s="120">
        <f t="shared" ref="AD417" si="206">SUMIFS(AD$2:AD$408,$AP$2:$AP$408,"=Ja",$AK$2:$AK$408,"&gt;1000")</f>
        <v>1339.98</v>
      </c>
      <c r="AE417" s="120">
        <f t="shared" ref="AE417:AF417" si="207">SUMIFS(AE$2:AE$408,$AP$2:$AP$408,"=ja",$AK$2:$AK$408,"&gt;1000")</f>
        <v>0</v>
      </c>
      <c r="AF417" s="120">
        <f t="shared" si="207"/>
        <v>578.37829999999997</v>
      </c>
      <c r="AG417" s="120">
        <f t="shared" si="194"/>
        <v>109.63500000000001</v>
      </c>
      <c r="AI417" s="120">
        <f>SUMIFS(AI$2:AI$408,$AP$2:$AP$408,"=ja",$AK$2:$AK$408,"&gt;1000")</f>
        <v>19061.2891256</v>
      </c>
      <c r="AJ417" s="120">
        <f>SUMIFS(AJ$2:AJ$408,$AP$2:$AP$408,"=ja",$AK$2:$AK$408,"&gt;1000")</f>
        <v>19170.924125600002</v>
      </c>
      <c r="AK417" s="120">
        <f t="shared" ref="AK417:AM417" si="208">SUMIFS(AK$2:AK$408,$AP$2:$AP$408,"=ja",$AK$2:$AK$408,"&gt;1000")</f>
        <v>18179.034000000003</v>
      </c>
      <c r="AL417" s="120">
        <f t="shared" si="208"/>
        <v>1309.4608000000001</v>
      </c>
      <c r="AM417" s="120">
        <f t="shared" si="208"/>
        <v>1378.8530000000001</v>
      </c>
      <c r="AU417" s="120">
        <f>SUMIFS(AU$2:AU$408,$AP$2:$AP$408,"=ja",$AK$2:$AK$408,"&gt;1000")</f>
        <v>1408.0543</v>
      </c>
      <c r="AV417" s="120">
        <f t="shared" ref="AV417:AX417" si="209">SUMIFS(AV$2:AV$408,$AP$2:$AP$408,"=ja",$AK$2:$AK$408,"&gt;1000")</f>
        <v>7.2021200000000007</v>
      </c>
      <c r="AW417" s="120">
        <f t="shared" si="209"/>
        <v>2359.1911209999998</v>
      </c>
      <c r="AX417" s="120">
        <f t="shared" si="209"/>
        <v>717.15789999999993</v>
      </c>
      <c r="AZ417" s="120">
        <f>SUMIFS(AZ$2:AZ$408,$AP$2:$AP$408,"=ja",$AK$2:$AK$408,"&gt;1000")</f>
        <v>4141.8681409999999</v>
      </c>
      <c r="BP417" s="305"/>
      <c r="BQ417" s="305"/>
      <c r="BW417" s="305"/>
    </row>
    <row r="418" spans="1:75" customFormat="1" x14ac:dyDescent="0.45">
      <c r="BP418" s="305"/>
      <c r="BQ418" s="305"/>
      <c r="BW418" s="305"/>
    </row>
    <row r="419" spans="1:75" customFormat="1" x14ac:dyDescent="0.45">
      <c r="A419" s="122" t="s">
        <v>1368</v>
      </c>
      <c r="B419" s="123"/>
      <c r="C419" s="124">
        <f>SUM(C2:C408)</f>
        <v>507.494595</v>
      </c>
      <c r="D419" s="124">
        <f t="shared" ref="D419:AF419" si="210">SUM(D2:D408)</f>
        <v>457.35986660000032</v>
      </c>
      <c r="E419" s="124">
        <f t="shared" si="210"/>
        <v>17.82648</v>
      </c>
      <c r="F419" s="124">
        <f t="shared" si="210"/>
        <v>191.87490499999998</v>
      </c>
      <c r="G419" s="124">
        <f t="shared" si="210"/>
        <v>633.54064300000005</v>
      </c>
      <c r="H419" s="124">
        <f t="shared" si="210"/>
        <v>13.417</v>
      </c>
      <c r="I419" s="124">
        <f t="shared" si="210"/>
        <v>12223.386503</v>
      </c>
      <c r="J419" s="124">
        <f t="shared" si="210"/>
        <v>273.77873039999997</v>
      </c>
      <c r="K419" s="124">
        <f t="shared" si="210"/>
        <v>768.56000000000006</v>
      </c>
      <c r="L419" s="124">
        <f t="shared" si="210"/>
        <v>3706.9303000000014</v>
      </c>
      <c r="M419" s="124">
        <f t="shared" si="210"/>
        <v>2081.1733112000006</v>
      </c>
      <c r="N419" s="124">
        <f t="shared" si="210"/>
        <v>6298.076579999999</v>
      </c>
      <c r="O419" s="124">
        <f t="shared" si="210"/>
        <v>1397.8189700000003</v>
      </c>
      <c r="P419" s="124">
        <f t="shared" si="210"/>
        <v>3432.9035260000001</v>
      </c>
      <c r="Q419" s="124">
        <f t="shared" si="210"/>
        <v>2369.3701459999997</v>
      </c>
      <c r="R419" s="124">
        <f t="shared" si="210"/>
        <v>2152.209488</v>
      </c>
      <c r="S419" s="124">
        <f t="shared" si="210"/>
        <v>352.97396999999995</v>
      </c>
      <c r="T419" s="124">
        <f t="shared" si="210"/>
        <v>241.113</v>
      </c>
      <c r="U419" s="124">
        <f t="shared" si="210"/>
        <v>128.19013000000001</v>
      </c>
      <c r="V419" s="124">
        <f t="shared" si="210"/>
        <v>116.90694000000002</v>
      </c>
      <c r="W419" s="124">
        <f t="shared" si="210"/>
        <v>909.03650909999999</v>
      </c>
      <c r="X419" s="124">
        <f t="shared" si="210"/>
        <v>52.601820000000004</v>
      </c>
      <c r="Y419" s="124">
        <f t="shared" si="210"/>
        <v>665.3651000000001</v>
      </c>
      <c r="Z419" s="124">
        <f t="shared" si="210"/>
        <v>194.28130000000002</v>
      </c>
      <c r="AA419" s="124">
        <f t="shared" si="210"/>
        <v>1044.2190000000001</v>
      </c>
      <c r="AB419" s="124">
        <f t="shared" si="210"/>
        <v>2193.9512999999997</v>
      </c>
      <c r="AC419" s="124">
        <f t="shared" si="210"/>
        <v>6141.5161000000016</v>
      </c>
      <c r="AD419" s="124">
        <f t="shared" si="210"/>
        <v>4565.7082000000009</v>
      </c>
      <c r="AE419" s="124">
        <f t="shared" si="210"/>
        <v>0.47529399999999999</v>
      </c>
      <c r="AF419" s="124">
        <f t="shared" si="210"/>
        <v>1587.9454060099999</v>
      </c>
      <c r="AG419" s="124">
        <f>SUM(AG2:AG408)+AG411</f>
        <v>1868.2825000000003</v>
      </c>
      <c r="AI419" s="124">
        <f>SUM(AI2:AI408)+AI411</f>
        <v>54663.635113310025</v>
      </c>
      <c r="AJ419" s="124">
        <f>SUM(AJ2:AJ408)+AJ411</f>
        <v>56531.917613310012</v>
      </c>
      <c r="AK419" s="303">
        <f>SUM(AK2:AK408)</f>
        <v>49729.292000000016</v>
      </c>
      <c r="AL419" s="303">
        <f>SUM(AL2:AL408)</f>
        <v>1862.8548000000003</v>
      </c>
      <c r="AM419" s="303">
        <f t="shared" ref="AM419" si="211">SUM(AM2:AM408)</f>
        <v>1894.412</v>
      </c>
      <c r="AU419" s="124">
        <f>SUM(AU2:AU408)+AU411</f>
        <v>2810.6577060099999</v>
      </c>
      <c r="AV419" s="124">
        <f t="shared" ref="AV419:AX419" si="212">SUM(AV2:AV408)+AV411</f>
        <v>52.601820000000004</v>
      </c>
      <c r="AW419" s="124">
        <f t="shared" si="212"/>
        <v>15579.342533200008</v>
      </c>
      <c r="AX419" s="124">
        <f t="shared" si="212"/>
        <v>2867.661587999999</v>
      </c>
      <c r="AY419" s="124"/>
      <c r="AZ419" s="124">
        <f>SUM(AZ2:AZ408)+AZ411</f>
        <v>23225.285690299988</v>
      </c>
      <c r="BP419" s="305"/>
      <c r="BQ419" s="305"/>
      <c r="BW419" s="305"/>
    </row>
  </sheetData>
  <autoFilter ref="A1:CA408" xr:uid="{762E4F22-0C26-4131-9967-9EA08A2E6966}">
    <filterColumn colId="41">
      <filters>
        <filter val="Ja"/>
      </filters>
    </filterColumn>
  </autoFilter>
  <conditionalFormatting sqref="B1">
    <cfRule type="duplicateValues" dxfId="33" priority="5"/>
  </conditionalFormatting>
  <conditionalFormatting sqref="B414:B419">
    <cfRule type="duplicateValues" dxfId="32" priority="4"/>
  </conditionalFormatting>
  <conditionalFormatting sqref="B1:B1048576">
    <cfRule type="duplicateValues" dxfId="31" priority="1"/>
    <cfRule type="duplicateValues" dxfId="30" priority="2"/>
    <cfRule type="duplicateValues" dxfId="29" priority="3"/>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92A20-84AC-4B43-A22D-4F2DC6B42FA0}">
  <sheetPr codeName="Blad14">
    <tabColor theme="9" tint="0.39997558519241921"/>
  </sheetPr>
  <dimension ref="A1:BS409"/>
  <sheetViews>
    <sheetView topLeftCell="T371" workbookViewId="0">
      <selection activeCell="AC397" sqref="AC397"/>
    </sheetView>
  </sheetViews>
  <sheetFormatPr defaultColWidth="9.1328125" defaultRowHeight="14.25" x14ac:dyDescent="0.45"/>
  <cols>
    <col min="1" max="1" width="30" style="63" customWidth="1"/>
    <col min="2" max="2" width="50" style="63" customWidth="1"/>
    <col min="3" max="3" width="9.1328125" style="63"/>
    <col min="4" max="5" width="9.86328125" style="63" bestFit="1" customWidth="1"/>
    <col min="6" max="9" width="9.1328125" style="63"/>
    <col min="10" max="10" width="9.86328125" style="63" bestFit="1" customWidth="1"/>
    <col min="11" max="11" width="9.1328125" style="63"/>
    <col min="12" max="12" width="9.86328125" style="63" bestFit="1" customWidth="1"/>
    <col min="13" max="16" width="9.1328125" style="63"/>
    <col min="17" max="18" width="9.86328125" style="63" bestFit="1" customWidth="1"/>
    <col min="19" max="22" width="9.1328125" style="63"/>
    <col min="23" max="24" width="9.86328125" style="63" bestFit="1" customWidth="1"/>
    <col min="25" max="26" width="9.1328125" style="63"/>
    <col min="27" max="27" width="9.86328125" style="63" bestFit="1" customWidth="1"/>
    <col min="28" max="34" width="9.1328125" style="63"/>
    <col min="35" max="35" width="10.73046875" style="63" customWidth="1"/>
    <col min="36" max="36" width="11.1328125" style="63" customWidth="1"/>
    <col min="37" max="45" width="9.1328125" style="63"/>
    <col min="46" max="46" width="9.86328125" style="63" bestFit="1" customWidth="1"/>
    <col min="47" max="16384" width="9.1328125" style="63"/>
  </cols>
  <sheetData>
    <row r="1" spans="1:71" customFormat="1" ht="45.75" customHeight="1" x14ac:dyDescent="0.55000000000000004">
      <c r="A1" s="64" t="s">
        <v>1292</v>
      </c>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348" t="s">
        <v>1288</v>
      </c>
      <c r="AN1" s="349"/>
      <c r="AO1" s="349"/>
      <c r="AP1" s="349"/>
      <c r="AQ1" s="350"/>
      <c r="AR1" s="66"/>
      <c r="AS1" s="351" t="s">
        <v>1289</v>
      </c>
      <c r="AT1" s="352"/>
      <c r="AU1" s="66"/>
      <c r="AV1" s="348" t="s">
        <v>1290</v>
      </c>
      <c r="AW1" s="350"/>
      <c r="AY1" s="353" t="s">
        <v>1223</v>
      </c>
      <c r="AZ1" s="354"/>
      <c r="BA1" s="354"/>
      <c r="BB1" s="354"/>
      <c r="BC1" s="354"/>
      <c r="BD1" s="355"/>
      <c r="BF1" s="356" t="s">
        <v>1291</v>
      </c>
      <c r="BG1" s="357"/>
      <c r="BH1" s="357"/>
      <c r="BI1" s="357"/>
      <c r="BJ1" s="357"/>
      <c r="BK1" s="357"/>
      <c r="BL1" s="357"/>
      <c r="BM1" s="357"/>
      <c r="BN1" s="357"/>
      <c r="BO1" s="357"/>
      <c r="BP1" s="357"/>
      <c r="BQ1" s="357"/>
      <c r="BR1" s="358"/>
    </row>
    <row r="2" spans="1:71" customFormat="1" ht="114" x14ac:dyDescent="0.45">
      <c r="A2" s="67" t="s">
        <v>724</v>
      </c>
      <c r="B2" s="67" t="s">
        <v>2</v>
      </c>
      <c r="C2" s="67" t="s">
        <v>1220</v>
      </c>
      <c r="D2" s="67" t="s">
        <v>747</v>
      </c>
      <c r="E2" s="67" t="s">
        <v>1293</v>
      </c>
      <c r="F2" s="67" t="s">
        <v>745</v>
      </c>
      <c r="G2" s="67" t="s">
        <v>727</v>
      </c>
      <c r="H2" s="67" t="s">
        <v>1212</v>
      </c>
      <c r="I2" s="67" t="s">
        <v>726</v>
      </c>
      <c r="J2" s="48" t="s">
        <v>736</v>
      </c>
      <c r="K2" s="67" t="s">
        <v>766</v>
      </c>
      <c r="L2" s="67" t="s">
        <v>1294</v>
      </c>
      <c r="M2" s="67" t="s">
        <v>1226</v>
      </c>
      <c r="N2" s="67" t="s">
        <v>1224</v>
      </c>
      <c r="O2" s="67" t="s">
        <v>1222</v>
      </c>
      <c r="P2" s="67" t="s">
        <v>1221</v>
      </c>
      <c r="Q2" s="67" t="s">
        <v>1295</v>
      </c>
      <c r="R2" s="67" t="s">
        <v>1216</v>
      </c>
      <c r="S2" s="67" t="s">
        <v>1217</v>
      </c>
      <c r="T2" s="67" t="s">
        <v>1215</v>
      </c>
      <c r="U2" s="67" t="s">
        <v>1296</v>
      </c>
      <c r="V2" s="67" t="s">
        <v>754</v>
      </c>
      <c r="W2" s="67" t="s">
        <v>739</v>
      </c>
      <c r="X2" s="67" t="s">
        <v>1297</v>
      </c>
      <c r="Y2" s="67" t="s">
        <v>1219</v>
      </c>
      <c r="Z2" s="67" t="s">
        <v>1225</v>
      </c>
      <c r="AA2" s="67" t="s">
        <v>1214</v>
      </c>
      <c r="AB2" s="67" t="s">
        <v>1213</v>
      </c>
      <c r="AC2" s="67" t="s">
        <v>1223</v>
      </c>
      <c r="AD2" s="67" t="s">
        <v>783</v>
      </c>
      <c r="AE2" s="67" t="s">
        <v>1227</v>
      </c>
      <c r="AF2" s="67" t="s">
        <v>1218</v>
      </c>
      <c r="AG2" s="68" t="s">
        <v>1257</v>
      </c>
      <c r="AH2" s="69" t="s">
        <v>35</v>
      </c>
      <c r="AI2" s="70" t="s">
        <v>1259</v>
      </c>
      <c r="AJ2" s="71" t="s">
        <v>1260</v>
      </c>
      <c r="AK2" s="72" t="s">
        <v>1264</v>
      </c>
      <c r="AL2" s="66"/>
      <c r="AM2" s="74" t="s">
        <v>1237</v>
      </c>
      <c r="AN2" s="74" t="s">
        <v>1298</v>
      </c>
      <c r="AO2" s="74" t="s">
        <v>1299</v>
      </c>
      <c r="AP2" s="76" t="s">
        <v>1300</v>
      </c>
      <c r="AQ2" s="74" t="s">
        <v>1301</v>
      </c>
      <c r="AR2" s="66"/>
      <c r="AS2" s="26" t="s">
        <v>1302</v>
      </c>
      <c r="AT2" s="26" t="s">
        <v>1303</v>
      </c>
      <c r="AU2" s="66"/>
      <c r="AV2" s="26" t="s">
        <v>1304</v>
      </c>
      <c r="AW2" s="26" t="s">
        <v>1305</v>
      </c>
      <c r="AY2" s="26" t="s">
        <v>1306</v>
      </c>
      <c r="AZ2" s="26" t="s">
        <v>1190</v>
      </c>
      <c r="BA2" s="26" t="s">
        <v>1191</v>
      </c>
      <c r="BB2" s="26" t="s">
        <v>1192</v>
      </c>
      <c r="BC2" s="26" t="s">
        <v>1193</v>
      </c>
      <c r="BD2" s="26" t="s">
        <v>1194</v>
      </c>
      <c r="BF2" s="26" t="s">
        <v>1307</v>
      </c>
      <c r="BG2" s="26" t="s">
        <v>1308</v>
      </c>
      <c r="BH2" s="26" t="s">
        <v>1309</v>
      </c>
      <c r="BI2" s="26" t="s">
        <v>1310</v>
      </c>
      <c r="BJ2" s="26" t="s">
        <v>1311</v>
      </c>
      <c r="BK2" s="26" t="s">
        <v>1197</v>
      </c>
      <c r="BL2" s="26" t="s">
        <v>1312</v>
      </c>
      <c r="BM2" s="26" t="s">
        <v>1313</v>
      </c>
      <c r="BN2" s="73" t="s">
        <v>1314</v>
      </c>
      <c r="BO2" s="73" t="s">
        <v>1315</v>
      </c>
      <c r="BP2" s="73" t="s">
        <v>1316</v>
      </c>
      <c r="BQ2" s="26" t="s">
        <v>1317</v>
      </c>
      <c r="BR2" s="26" t="s">
        <v>1318</v>
      </c>
      <c r="BS2" s="73" t="s">
        <v>1319</v>
      </c>
    </row>
    <row r="3" spans="1:71" x14ac:dyDescent="0.45">
      <c r="A3" s="63" t="s">
        <v>15</v>
      </c>
      <c r="B3" s="63" t="s">
        <v>24</v>
      </c>
      <c r="C3" s="63">
        <f>VLOOKUP($B3,'Tillförd energi'!$B$1:$AI$720,MATCH(C$2,'Tillförd energi'!$B$1:$AQ$1,0),FALSE)</f>
        <v>0</v>
      </c>
      <c r="D3" s="63">
        <f>VLOOKUP($B3,'Tillförd energi'!$B$1:$AI$720,MATCH(D$2,'Tillförd energi'!$B$1:$AQ$1,0),FALSE)</f>
        <v>1.252</v>
      </c>
      <c r="E3" s="63">
        <f>VLOOKUP($B3,'Tillförd energi'!$B$1:$AI$720,MATCH(E$2,'Tillförd energi'!$B$1:$AQ$1,0),FALSE)</f>
        <v>0</v>
      </c>
      <c r="F3" s="63">
        <f>VLOOKUP($B3,'Tillförd energi'!$B$1:$AI$720,MATCH(F$2,'Tillförd energi'!$B$1:$AQ$1,0),FALSE)</f>
        <v>0</v>
      </c>
      <c r="G3" s="63">
        <f>VLOOKUP($B3,'Tillförd energi'!$B$1:$AI$720,MATCH(G$2,'Tillförd energi'!$B$1:$AQ$1,0),FALSE)</f>
        <v>0</v>
      </c>
      <c r="H3" s="63">
        <f>VLOOKUP($B3,'Tillförd energi'!$B$1:$AI$720,MATCH(H$2,'Tillförd energi'!$B$1:$AQ$1,0),FALSE)</f>
        <v>0</v>
      </c>
      <c r="I3" s="63">
        <f>VLOOKUP($B3,'Tillförd energi'!$B$1:$AI$720,MATCH(I$2,'Tillförd energi'!$B$1:$AQ$1,0),FALSE)</f>
        <v>0</v>
      </c>
      <c r="J3" s="63">
        <f>VLOOKUP($B3,'Tillförd energi'!$B$1:$AI$720,MATCH(J$2,'Tillförd energi'!$B$1:$AQ$1,0),FALSE)</f>
        <v>0</v>
      </c>
      <c r="K3" s="63">
        <f>VLOOKUP($B3,'Tillförd energi'!$B$1:$AI$720,MATCH(K$2,'Tillförd energi'!$B$1:$AQ$1,0),FALSE)</f>
        <v>0</v>
      </c>
      <c r="L3" s="63">
        <f>VLOOKUP($B3,'Tillförd energi'!$B$1:$AI$720,MATCH(L$2,'Tillförd energi'!$B$1:$AQ$1,0),FALSE)</f>
        <v>0</v>
      </c>
      <c r="M3" s="63">
        <f>VLOOKUP($B3,'Tillförd energi'!$B$1:$AI$720,MATCH(M$2,'Tillförd energi'!$B$1:$AQ$1,0),FALSE)</f>
        <v>0</v>
      </c>
      <c r="N3" s="63">
        <f>VLOOKUP($B3,'Tillförd energi'!$B$1:$AI$720,MATCH(N$2,'Tillförd energi'!$B$1:$AQ$1,0),FALSE)</f>
        <v>0</v>
      </c>
      <c r="O3" s="63">
        <f>VLOOKUP($B3,'Tillförd energi'!$B$1:$AI$720,MATCH(O$2,'Tillförd energi'!$B$1:$AQ$1,0),FALSE)</f>
        <v>0</v>
      </c>
      <c r="P3" s="63">
        <f>VLOOKUP($B3,'Tillförd energi'!$B$1:$AI$720,MATCH(P$2,'Tillförd energi'!$B$1:$AQ$1,0),FALSE)</f>
        <v>0</v>
      </c>
      <c r="Q3" s="63">
        <f>VLOOKUP($B3,'Tillförd energi'!$B$1:$AI$720,MATCH(Q$2,'Tillförd energi'!$B$1:$AQ$1,0),FALSE)</f>
        <v>65.849000000000004</v>
      </c>
      <c r="R3" s="63">
        <f>VLOOKUP($B3,'Tillförd energi'!$B$1:$AI$720,MATCH(R$2,'Tillförd energi'!$B$1:$AQ$1,0),FALSE)</f>
        <v>0</v>
      </c>
      <c r="S3" s="63">
        <f>VLOOKUP($B3,'Tillförd energi'!$B$1:$AI$720,MATCH(S$2,'Tillförd energi'!$B$1:$AQ$1,0),FALSE)</f>
        <v>0</v>
      </c>
      <c r="T3" s="63">
        <f>VLOOKUP($B3,'Tillförd energi'!$B$1:$AI$720,MATCH(T$2,'Tillförd energi'!$B$1:$AQ$1,0),FALSE)</f>
        <v>0</v>
      </c>
      <c r="U3" s="63">
        <f>VLOOKUP($B3,'Tillförd energi'!$B$1:$AI$720,MATCH(U$2,'Tillförd energi'!$B$1:$AQ$1,0),FALSE)</f>
        <v>0</v>
      </c>
      <c r="V3" s="63">
        <f>VLOOKUP($B3,'Tillförd energi'!$B$1:$AI$720,MATCH(V$2,'Tillförd energi'!$B$1:$AQ$1,0),FALSE)</f>
        <v>0</v>
      </c>
      <c r="W3" s="63">
        <f>VLOOKUP($B3,'Tillförd energi'!$B$1:$AI$720,MATCH(W$2,'Tillförd energi'!$B$1:$AQ$1,0),FALSE)</f>
        <v>0</v>
      </c>
      <c r="X3" s="63">
        <f>VLOOKUP($B3,'Tillförd energi'!$B$1:$AI$720,MATCH(X$2,'Tillförd energi'!$B$1:$AQ$1,0),FALSE)</f>
        <v>0</v>
      </c>
      <c r="Y3" s="63">
        <f>VLOOKUP($B3,'Tillförd energi'!$B$1:$AI$720,MATCH(Y$2,'Tillförd energi'!$B$1:$AQ$1,0),FALSE)</f>
        <v>0</v>
      </c>
      <c r="Z3" s="63">
        <f>VLOOKUP($B3,'Tillförd energi'!$B$1:$AI$720,MATCH(Z$2,'Tillförd energi'!$B$1:$AQ$1,0),FALSE)</f>
        <v>0</v>
      </c>
      <c r="AA3" s="63">
        <f>VLOOKUP($B3,'Tillförd energi'!$B$1:$AI$720,MATCH(AA$2,'Tillförd energi'!$B$1:$AQ$1,0),FALSE)</f>
        <v>0</v>
      </c>
      <c r="AB3" s="63">
        <f>VLOOKUP($B3,'Tillförd energi'!$B$1:$AI$720,MATCH(AB$2,'Tillförd energi'!$B$1:$AQ$1,0),FALSE)</f>
        <v>0</v>
      </c>
      <c r="AC3" s="63">
        <f>VLOOKUP($B3,'Tillförd energi'!$B$1:$AI$720,MATCH(AC$2,'Tillförd energi'!$B$1:$AQ$1,0),FALSE)</f>
        <v>8.9290000000000003</v>
      </c>
      <c r="AD3" s="63">
        <f>VLOOKUP($B3,'Tillförd energi'!$B$1:$AI$720,MATCH(AD$2,'Tillförd energi'!$B$1:$AQ$1,0),FALSE)</f>
        <v>0</v>
      </c>
      <c r="AE3" s="63">
        <f>VLOOKUP($B3,'Tillförd energi'!$B$1:$AI$720,MATCH(AE$2,'Tillförd energi'!$B$1:$AQ$1,0),FALSE)</f>
        <v>0</v>
      </c>
      <c r="AF3" s="63">
        <f>VLOOKUP($B3,'Tillförd energi'!$B$1:$AI$720,MATCH(AF$2,'Tillförd energi'!$B$1:$AQ$1,0),FALSE)</f>
        <v>2.23</v>
      </c>
      <c r="AG3" s="63">
        <f>IFERROR(VLOOKUP(B3,Miljö!$B$1:$AC$550,MATCH("Köpt mängd produktionsspecifik fjärrvärme:",Miljö!$B$1:$AC$1,0),FALSE)/1,0)</f>
        <v>0</v>
      </c>
      <c r="AI3" s="63">
        <f>IF(B3&lt;&gt;"",SUM(C3:AG3),"")</f>
        <v>78.260000000000005</v>
      </c>
      <c r="AJ3" s="63">
        <f>IF(ISERROR(1/VLOOKUP($B3,Leveranser!$B$1:$S$500,MATCH("såld värme (gwh)",Leveranser!$B$1:$S$1,0),FALSE)),"",VLOOKUP($B3,Leveranser!$B$1:$S$500,MATCH("såld värme (gwh)",Leveranser!$B$1:$S$1,0),FALSE))</f>
        <v>59.720999999999997</v>
      </c>
      <c r="AM3" s="75" t="str">
        <f>IF(B3&lt;&gt;"",IF(VLOOKUP($B3,Totalt!$B$1:$AQ$554,MATCH("Kvalitetsgranskad:",Totalt!$B$1:$AQ$1,0),FALSE)="ja",VLOOKUP($B3,Miljö!$B$1:$AG$479,MATCH(AM$2,Miljö!$B$1:$AK$1,0),FALSE),""),"")</f>
        <v>Ja</v>
      </c>
      <c r="AN3" s="63" t="str">
        <f>IF(AM3="ja",VLOOKUP($B3,Miljö!$B$1:$J$479,MATCH("Typ av ursprungsspecificerad el   (Om inget värde anges används Nordisk residualmix, se inforuta) ()",Miljö!$B$1:$J$1,0),FALSE),IF(AM3="nej","Nordisk residualel",""))</f>
        <v>'Kärnkraft'</v>
      </c>
      <c r="AO3" s="63">
        <f>IF(AM3="","",VLOOKUP($B3,Miljö!$B$1:$J$479,MATCH("Fossilandel för ursprungspecificerad el ()",Miljö!$B$1:$J$1,0),FALSE))</f>
        <v>0</v>
      </c>
      <c r="AP3" s="63">
        <f>IF(AM3="","",IFERROR(VLOOKUP($B3,Miljö!$B$1:$J$479,MATCH("Kärnkraftsandel för ursprungsspecificerad el ()",Miljö!$B$1:$J$1,0),FALSE)/1,0))</f>
        <v>1</v>
      </c>
      <c r="AQ3" s="63">
        <f>IF(AM3="","",1-AO3-AP3)</f>
        <v>0</v>
      </c>
      <c r="AS3" s="63" t="str">
        <f>IF(B3&lt;&gt;"",IF(AND(AG3&gt;0,AG3&lt;&gt;""),"Ja","Nej"),"")</f>
        <v>Nej</v>
      </c>
      <c r="AT3" s="63" t="str">
        <f>IF(AS3="ja",VLOOKUP($B3,Miljö!$B$1:$P$500,MATCH("Fossil andel i procent (%)",Miljö!$B$1:$P$1,0),FALSE)/100,"")</f>
        <v/>
      </c>
      <c r="AV3" s="63" t="str">
        <f>IF(B3&lt;&gt;"",IF(AND(AB3&gt;0,AB3&lt;&gt;""),"Ja","Nej"),"")</f>
        <v>Nej</v>
      </c>
      <c r="AW3" s="63" t="str">
        <f>IF(AV3="ja",VLOOKUP($B3,'Egen hetvattenprod'!$B$1:$AO$500,MATCH("Värmekälla till värmepumpar ()",'Egen hetvattenprod'!$B$1:$AO$1,0),FALSE),"")</f>
        <v/>
      </c>
      <c r="AY3" s="63" t="str">
        <f>IF(B3&lt;&gt;"",IF(AND(AC3&gt;0,AC3&lt;&gt;""),"Ja","Nej"),"")</f>
        <v>Ja</v>
      </c>
      <c r="AZ3" s="77">
        <f>IF($AY3="ja",(VLOOKUP($B3,'Egen hetvattenprod'!$B$1:$BX$550,MATCH(AZ$2,'Egen hetvattenprod'!$B$1:$BX$1,0),FALSE)+VLOOKUP($B3,Kraftvärmeprod!$B$1:$BX$550,MATCH(AZ$2,Kraftvärmeprod!$B$1:$BX$1,0),FALSE))/$AC3,"")</f>
        <v>1</v>
      </c>
      <c r="BA3" s="77">
        <f>IF($AY3="ja",(VLOOKUP($B3,'Egen hetvattenprod'!$B$1:$BX$550,MATCH(BA$2,'Egen hetvattenprod'!$B$1:$BX$1,0),FALSE)+VLOOKUP($B3,Kraftvärmeprod!$B$1:$BX$550,MATCH(BA$2,Kraftvärmeprod!$B$1:$BX$1,0),FALSE))/$AC3,"")</f>
        <v>0</v>
      </c>
      <c r="BB3" s="77">
        <f>IF($AY3="ja",(VLOOKUP($B3,'Egen hetvattenprod'!$B$1:$BX$550,MATCH(BB$2,'Egen hetvattenprod'!$B$1:$BX$1,0),FALSE)+VLOOKUP($B3,Kraftvärmeprod!$B$1:$BX$550,MATCH(BB$2,Kraftvärmeprod!$B$1:$BX$1,0),FALSE))/$AC3,"")</f>
        <v>0</v>
      </c>
      <c r="BC3" s="77">
        <f>IF($AY3="ja",(VLOOKUP($B3,'Egen hetvattenprod'!$B$1:$BX$550,MATCH(BC$2,'Egen hetvattenprod'!$B$1:$BX$1,0),FALSE)+VLOOKUP($B3,Kraftvärmeprod!$B$1:$BX$550,MATCH(BC$2,Kraftvärmeprod!$B$1:$BX$1,0),FALSE))/$AC3,"")</f>
        <v>0</v>
      </c>
      <c r="BD3" s="77">
        <f>IF($AY3="ja",(VLOOKUP($B3,'Egen hetvattenprod'!$B$1:$BX$550,MATCH(BD$2,'Egen hetvattenprod'!$B$1:$BX$1,0),FALSE)+VLOOKUP($B3,Kraftvärmeprod!$B$1:$BX$550,MATCH(BD$2,Kraftvärmeprod!$B$1:$BX$1,0),FALSE))/$AC3,"")</f>
        <v>0</v>
      </c>
      <c r="BF3" s="63" t="str">
        <f>IF(B3&lt;&gt;"",IF(AND(I3&gt;0,I3&lt;&gt;""),"Ja","Nej"),"")</f>
        <v>Nej</v>
      </c>
      <c r="BG3" s="63" t="str">
        <f>IF($BF3="ja",VLOOKUP($B3,'Egen hetvattenprod'!$B$1:$BX$550,MATCH("Andelen klimatgaser med fossilt ursprung för avfall ()",'Egen hetvattenprod'!$B$1:$BX$1,0),FALSE),"")</f>
        <v/>
      </c>
      <c r="BH3" s="63" t="str">
        <f>IF($BF3="ja",VLOOKUP($B3,Kraftvärmeprod!$B$1:$BX$550,MATCH("Andelen klimatgaser med fossilt ursprung för avfall ()",Kraftvärmeprod!$B$1:$BX$1,0),FALSE),"")</f>
        <v/>
      </c>
      <c r="BI3" s="63" t="str">
        <f>IF($BF3="ja",VLOOKUP($B3,'Egen hetvattenprod'!$B$1:$BX$550,MATCH("Avfall (GWh)",'Egen hetvattenprod'!$B$1:$BX$1,0),FALSE),"")</f>
        <v/>
      </c>
      <c r="BJ3" s="63" t="str">
        <f>IF($BF3="ja",VLOOKUP($B3,'Slutlig allokering kvv'!$B$1:$BX$550,MATCH("Avfall (GWh)",'Slutlig allokering kvv'!$B$1:$BX$1,0),FALSE),"")</f>
        <v/>
      </c>
      <c r="BK3" s="63" t="str">
        <f>IF($BF3="ja",VLOOKUP($B3,'Köpt hetvatten'!$B$1:$BX$550,MATCH("Avfall i köpt hetvatten",'Köpt hetvatten'!$B$1:$BX$1,0),FALSE),"")</f>
        <v/>
      </c>
      <c r="BL3" s="63" t="str">
        <f>IF($BF3="ja",VLOOKUP($B3,'Egen hetvattenprod'!$B$1:$BX$550,MATCH("Värde enligt ovan. (%)",'Egen hetvattenprod'!$B$1:$BX$1,0),FALSE),"")</f>
        <v/>
      </c>
      <c r="BM3" s="63" t="str">
        <f>IF($BF3="ja",VLOOKUP($B3,Kraftvärmeprod!$B$1:$BX$550,MATCH("Värde enligt ovan. (%)",Kraftvärmeprod!$B$1:$BX$1,0),FALSE),"")</f>
        <v/>
      </c>
    </row>
    <row r="4" spans="1:71" x14ac:dyDescent="0.45">
      <c r="A4" s="63" t="s">
        <v>15</v>
      </c>
      <c r="B4" s="63" t="s">
        <v>16</v>
      </c>
      <c r="C4" s="63">
        <f>VLOOKUP($B4,'Tillförd energi'!$B$1:$AI$720,MATCH(C$2,'Tillförd energi'!$B$1:$AQ$1,0),FALSE)</f>
        <v>0</v>
      </c>
      <c r="D4" s="63">
        <f>VLOOKUP($B4,'Tillförd energi'!$B$1:$AI$720,MATCH(D$2,'Tillförd energi'!$B$1:$AQ$1,0),FALSE)</f>
        <v>0</v>
      </c>
      <c r="E4" s="63">
        <f>VLOOKUP($B4,'Tillförd energi'!$B$1:$AI$720,MATCH(E$2,'Tillförd energi'!$B$1:$AQ$1,0),FALSE)</f>
        <v>0</v>
      </c>
      <c r="F4" s="63">
        <f>VLOOKUP($B4,'Tillförd energi'!$B$1:$AI$720,MATCH(F$2,'Tillförd energi'!$B$1:$AQ$1,0),FALSE)</f>
        <v>0</v>
      </c>
      <c r="G4" s="63">
        <f>VLOOKUP($B4,'Tillförd energi'!$B$1:$AI$720,MATCH(G$2,'Tillförd energi'!$B$1:$AQ$1,0),FALSE)</f>
        <v>0</v>
      </c>
      <c r="H4" s="63">
        <f>VLOOKUP($B4,'Tillförd energi'!$B$1:$AI$720,MATCH(H$2,'Tillförd energi'!$B$1:$AQ$1,0),FALSE)</f>
        <v>0</v>
      </c>
      <c r="I4" s="63">
        <f>VLOOKUP($B4,'Tillförd energi'!$B$1:$AI$720,MATCH(I$2,'Tillförd energi'!$B$1:$AQ$1,0),FALSE)</f>
        <v>0</v>
      </c>
      <c r="J4" s="63">
        <f>VLOOKUP($B4,'Tillförd energi'!$B$1:$AI$720,MATCH(J$2,'Tillförd energi'!$B$1:$AQ$1,0),FALSE)</f>
        <v>0.48099999999999998</v>
      </c>
      <c r="K4" s="63">
        <f>VLOOKUP($B4,'Tillförd energi'!$B$1:$AI$720,MATCH(K$2,'Tillförd energi'!$B$1:$AQ$1,0),FALSE)</f>
        <v>0</v>
      </c>
      <c r="L4" s="63">
        <f>VLOOKUP($B4,'Tillförd energi'!$B$1:$AI$720,MATCH(L$2,'Tillförd energi'!$B$1:$AQ$1,0),FALSE)</f>
        <v>0</v>
      </c>
      <c r="M4" s="63">
        <f>VLOOKUP($B4,'Tillförd energi'!$B$1:$AI$720,MATCH(M$2,'Tillförd energi'!$B$1:$AQ$1,0),FALSE)</f>
        <v>0</v>
      </c>
      <c r="N4" s="63">
        <f>VLOOKUP($B4,'Tillförd energi'!$B$1:$AI$720,MATCH(N$2,'Tillförd energi'!$B$1:$AQ$1,0),FALSE)</f>
        <v>0</v>
      </c>
      <c r="O4" s="63">
        <f>VLOOKUP($B4,'Tillförd energi'!$B$1:$AI$720,MATCH(O$2,'Tillförd energi'!$B$1:$AQ$1,0),FALSE)</f>
        <v>0</v>
      </c>
      <c r="P4" s="63">
        <f>VLOOKUP($B4,'Tillförd energi'!$B$1:$AI$720,MATCH(P$2,'Tillförd energi'!$B$1:$AQ$1,0),FALSE)</f>
        <v>0</v>
      </c>
      <c r="Q4" s="63">
        <f>VLOOKUP($B4,'Tillförd energi'!$B$1:$AI$720,MATCH(Q$2,'Tillförd energi'!$B$1:$AQ$1,0),FALSE)</f>
        <v>0</v>
      </c>
      <c r="R4" s="63">
        <f>VLOOKUP($B4,'Tillförd energi'!$B$1:$AI$720,MATCH(R$2,'Tillförd energi'!$B$1:$AQ$1,0),FALSE)</f>
        <v>8.4</v>
      </c>
      <c r="S4" s="63">
        <f>VLOOKUP($B4,'Tillförd energi'!$B$1:$AI$720,MATCH(S$2,'Tillförd energi'!$B$1:$AQ$1,0),FALSE)</f>
        <v>0</v>
      </c>
      <c r="T4" s="63">
        <f>VLOOKUP($B4,'Tillförd energi'!$B$1:$AI$720,MATCH(T$2,'Tillförd energi'!$B$1:$AQ$1,0),FALSE)</f>
        <v>0</v>
      </c>
      <c r="U4" s="63">
        <f>VLOOKUP($B4,'Tillförd energi'!$B$1:$AI$720,MATCH(U$2,'Tillförd energi'!$B$1:$AQ$1,0),FALSE)</f>
        <v>0</v>
      </c>
      <c r="V4" s="63">
        <f>VLOOKUP($B4,'Tillförd energi'!$B$1:$AI$720,MATCH(V$2,'Tillförd energi'!$B$1:$AQ$1,0),FALSE)</f>
        <v>0</v>
      </c>
      <c r="W4" s="63">
        <f>VLOOKUP($B4,'Tillförd energi'!$B$1:$AI$720,MATCH(W$2,'Tillförd energi'!$B$1:$AQ$1,0),FALSE)</f>
        <v>0</v>
      </c>
      <c r="X4" s="63">
        <f>VLOOKUP($B4,'Tillförd energi'!$B$1:$AI$720,MATCH(X$2,'Tillförd energi'!$B$1:$AQ$1,0),FALSE)</f>
        <v>0</v>
      </c>
      <c r="Y4" s="63">
        <f>VLOOKUP($B4,'Tillförd energi'!$B$1:$AI$720,MATCH(Y$2,'Tillförd energi'!$B$1:$AQ$1,0),FALSE)</f>
        <v>0</v>
      </c>
      <c r="Z4" s="63">
        <f>VLOOKUP($B4,'Tillförd energi'!$B$1:$AI$720,MATCH(Z$2,'Tillförd energi'!$B$1:$AQ$1,0),FALSE)</f>
        <v>0</v>
      </c>
      <c r="AA4" s="63">
        <f>VLOOKUP($B4,'Tillförd energi'!$B$1:$AI$720,MATCH(AA$2,'Tillförd energi'!$B$1:$AQ$1,0),FALSE)</f>
        <v>0</v>
      </c>
      <c r="AB4" s="63">
        <f>VLOOKUP($B4,'Tillförd energi'!$B$1:$AI$720,MATCH(AB$2,'Tillförd energi'!$B$1:$AQ$1,0),FALSE)</f>
        <v>0</v>
      </c>
      <c r="AC4" s="63">
        <f>VLOOKUP($B4,'Tillförd energi'!$B$1:$AI$720,MATCH(AC$2,'Tillförd energi'!$B$1:$AQ$1,0),FALSE)</f>
        <v>0</v>
      </c>
      <c r="AD4" s="63">
        <f>VLOOKUP($B4,'Tillförd energi'!$B$1:$AI$720,MATCH(AD$2,'Tillförd energi'!$B$1:$AQ$1,0),FALSE)</f>
        <v>0</v>
      </c>
      <c r="AE4" s="63">
        <f>VLOOKUP($B4,'Tillförd energi'!$B$1:$AI$720,MATCH(AE$2,'Tillförd energi'!$B$1:$AQ$1,0),FALSE)</f>
        <v>0</v>
      </c>
      <c r="AF4" s="63">
        <f>VLOOKUP($B4,'Tillförd energi'!$B$1:$AI$720,MATCH(AF$2,'Tillförd energi'!$B$1:$AQ$1,0),FALSE)</f>
        <v>0.14299999999999999</v>
      </c>
      <c r="AG4" s="63">
        <f>IFERROR(VLOOKUP(B4,Miljö!$B$1:$AC$550,MATCH("Köpt mängd produktionsspecifik fjärrvärme:",Miljö!$B$1:$AC$1,0),FALSE)/1,0)</f>
        <v>0</v>
      </c>
      <c r="AI4" s="63">
        <f t="shared" ref="AI4:AI67" si="0">IF(B4&lt;&gt;"",SUM(C4:AG4),"")</f>
        <v>9.0240000000000009</v>
      </c>
      <c r="AJ4" s="63">
        <f>IF(ISERROR(1/VLOOKUP($B4,Leveranser!$B$1:$S$500,MATCH("såld värme (gwh)",Leveranser!$B$1:$S$1,0),FALSE)),"",VLOOKUP($B4,Leveranser!$B$1:$S$500,MATCH("såld värme (gwh)",Leveranser!$B$1:$S$1,0),FALSE))</f>
        <v>7.4340000000000002</v>
      </c>
      <c r="AM4" s="63" t="str">
        <f>IF(B4&lt;&gt;"",IF(VLOOKUP($B4,Totalt!$B$1:$AQ$554,MATCH("Kvalitetsgranskad:",Totalt!$B$1:$AQ$1,0),FALSE)="ja",VLOOKUP($B4,Miljö!$B$1:$AG$479,MATCH(AM$2,Miljö!$B$1:$AK$1,0),FALSE),""),"")</f>
        <v>Ja</v>
      </c>
      <c r="AN4" s="63" t="str">
        <f>IF(AM4="ja",VLOOKUP($B4,Miljö!$B$1:$J$479,MATCH("Typ av ursprungsspecificerad el   (Om inget värde anges används Nordisk residualmix, se inforuta) ()",Miljö!$B$1:$J$1,0),FALSE),IF(AM4="nej","Nordisk residualel",""))</f>
        <v>'Kärnkraft'</v>
      </c>
      <c r="AO4" s="63">
        <f>IF(AM4="","",VLOOKUP($B4,Miljö!$B$1:$J$479,MATCH("Fossilandel för ursprungspecificerad el ()",Miljö!$B$1:$J$1,0),FALSE))</f>
        <v>0</v>
      </c>
      <c r="AQ4" s="63">
        <f t="shared" ref="AQ4:AQ67" si="1">IF(AM4="","",1-AO4-AP4)</f>
        <v>1</v>
      </c>
      <c r="AS4" s="63" t="str">
        <f t="shared" ref="AS4:AS67" si="2">IF(B4&lt;&gt;"",IF(AND(AG4&gt;0,AG4&lt;&gt;""),"Ja","Nej"),"")</f>
        <v>Nej</v>
      </c>
      <c r="AT4" s="63" t="str">
        <f>IF(AS4="ja",VLOOKUP($B4,Miljö!$B$1:$P$500,MATCH("Fossil andel i procent (%)",Miljö!$B$1:$P$1,0),FALSE)/100,"")</f>
        <v/>
      </c>
      <c r="AV4" s="63" t="str">
        <f t="shared" ref="AV4:AV67" si="3">IF(B4&lt;&gt;"",IF(AND(AB4&gt;0,AB4&lt;&gt;""),"Ja","Nej"),"")</f>
        <v>Nej</v>
      </c>
      <c r="AW4" s="63" t="str">
        <f>IF(AV4="ja",VLOOKUP($B4,'Egen hetvattenprod'!$B$1:$AO$500,MATCH("Värmekälla till värmepumpar ()",'Egen hetvattenprod'!$B$1:$AO$1,0),FALSE),"")</f>
        <v/>
      </c>
      <c r="AY4" s="63" t="str">
        <f t="shared" ref="AY4:AY67" si="4">IF(B4&lt;&gt;"",IF(AND(AC4&gt;0,AC4&lt;&gt;""),"Ja","Nej"),"")</f>
        <v>Nej</v>
      </c>
      <c r="AZ4" s="77" t="str">
        <f>IF($AY4="ja",(VLOOKUP($B4,'Egen hetvattenprod'!$B$1:$BX$550,MATCH(AZ$2,'Egen hetvattenprod'!$B$1:$BX$1,0),FALSE)+VLOOKUP($B4,Kraftvärmeprod!$B$1:$BX$550,MATCH(AZ$2,Kraftvärmeprod!$B$1:$BX$1,0),FALSE))/$AC4,"")</f>
        <v/>
      </c>
      <c r="BA4" s="77" t="str">
        <f>IF($AY4="ja",(VLOOKUP($B4,'Egen hetvattenprod'!$B$1:$BX$550,MATCH(BA$2,'Egen hetvattenprod'!$B$1:$BX$1,0),FALSE)+VLOOKUP($B4,Kraftvärmeprod!$B$1:$BX$550,MATCH(BA$2,Kraftvärmeprod!$B$1:$BX$1,0),FALSE))/$AC4,"")</f>
        <v/>
      </c>
      <c r="BB4" s="77" t="str">
        <f>IF($AY4="ja",(VLOOKUP($B4,'Egen hetvattenprod'!$B$1:$BX$550,MATCH(BB$2,'Egen hetvattenprod'!$B$1:$BX$1,0),FALSE)+VLOOKUP($B4,Kraftvärmeprod!$B$1:$BX$550,MATCH(BB$2,Kraftvärmeprod!$B$1:$BX$1,0),FALSE))/$AC4,"")</f>
        <v/>
      </c>
      <c r="BC4" s="77" t="str">
        <f>IF($AY4="ja",(VLOOKUP($B4,'Egen hetvattenprod'!$B$1:$BX$550,MATCH(BC$2,'Egen hetvattenprod'!$B$1:$BX$1,0),FALSE)+VLOOKUP($B4,Kraftvärmeprod!$B$1:$BX$550,MATCH(BC$2,Kraftvärmeprod!$B$1:$BX$1,0),FALSE))/$AC4,"")</f>
        <v/>
      </c>
      <c r="BD4" s="77" t="str">
        <f>IF($AY4="ja",(VLOOKUP($B4,'Egen hetvattenprod'!$B$1:$BX$550,MATCH(BD$2,'Egen hetvattenprod'!$B$1:$BX$1,0),FALSE)+VLOOKUP($B4,Kraftvärmeprod!$B$1:$BX$550,MATCH(BD$2,Kraftvärmeprod!$B$1:$BX$1,0),FALSE))/$AC4,"")</f>
        <v/>
      </c>
      <c r="BF4" s="63" t="str">
        <f t="shared" ref="BF4:BF67" si="5">IF(B4&lt;&gt;"",IF(AND(I4&gt;0,I4&lt;&gt;""),"Ja","Nej"),"")</f>
        <v>Nej</v>
      </c>
      <c r="BG4" s="63" t="str">
        <f>IF($BF4="ja",VLOOKUP($B4,'Egen hetvattenprod'!$B$1:$BX$550,MATCH("Andelen klimatgaser med fossilt ursprung för avfall ()",'Egen hetvattenprod'!$B$1:$BX$1,0),FALSE),"")</f>
        <v/>
      </c>
      <c r="BH4" s="63" t="str">
        <f>IF($BF4="ja",VLOOKUP($B4,Kraftvärmeprod!$B$1:$BX$550,MATCH("Andelen klimatgaser med fossilt ursprung för avfall ()",Kraftvärmeprod!$B$1:$BX$1,0),FALSE),"")</f>
        <v/>
      </c>
      <c r="BI4" s="63" t="str">
        <f>IF($BF4="ja",VLOOKUP($B4,'Egen hetvattenprod'!$B$1:$BX$550,MATCH("Avfall (GWh)",'Egen hetvattenprod'!$B$1:$BX$1,0),FALSE),"")</f>
        <v/>
      </c>
      <c r="BJ4" s="63" t="str">
        <f>IF($BF4="ja",VLOOKUP($B4,'Slutlig allokering kvv'!$B$1:$BX$550,MATCH("Avfall (GWh)",'Slutlig allokering kvv'!$B$1:$BX$1,0),FALSE),"")</f>
        <v/>
      </c>
      <c r="BK4" s="63" t="str">
        <f>IF($BF4="ja",VLOOKUP($B4,'Köpt hetvatten'!$B$1:$BX$550,MATCH("Avfall i köpt hetvatten",'Köpt hetvatten'!$B$1:$BX$1,0),FALSE),"")</f>
        <v/>
      </c>
      <c r="BL4" s="63" t="str">
        <f>IF($BF4="ja",VLOOKUP($B4,'Egen hetvattenprod'!$B$1:$BX$550,MATCH("Värde enligt ovan. (%)",'Egen hetvattenprod'!$B$1:$BX$1,0),FALSE),"")</f>
        <v/>
      </c>
      <c r="BM4" s="63" t="str">
        <f>IF($BF4="ja",VLOOKUP($B4,Kraftvärmeprod!$B$1:$BX$550,MATCH("Värde enligt ovan. (%)",Kraftvärmeprod!$B$1:$BX$1,0),FALSE),"")</f>
        <v/>
      </c>
    </row>
    <row r="5" spans="1:71" x14ac:dyDescent="0.45">
      <c r="A5" s="63" t="s">
        <v>15</v>
      </c>
      <c r="B5" s="63" t="s">
        <v>18</v>
      </c>
      <c r="C5" s="63">
        <f>VLOOKUP($B5,'Tillförd energi'!$B$1:$AI$720,MATCH(C$2,'Tillförd energi'!$B$1:$AQ$1,0),FALSE)</f>
        <v>0</v>
      </c>
      <c r="D5" s="63">
        <f>VLOOKUP($B5,'Tillförd energi'!$B$1:$AI$720,MATCH(D$2,'Tillförd energi'!$B$1:$AQ$1,0),FALSE)</f>
        <v>0.14899999999999999</v>
      </c>
      <c r="E5" s="63">
        <f>VLOOKUP($B5,'Tillförd energi'!$B$1:$AI$720,MATCH(E$2,'Tillförd energi'!$B$1:$AQ$1,0),FALSE)</f>
        <v>0</v>
      </c>
      <c r="F5" s="63">
        <f>VLOOKUP($B5,'Tillförd energi'!$B$1:$AI$720,MATCH(F$2,'Tillförd energi'!$B$1:$AQ$1,0),FALSE)</f>
        <v>0</v>
      </c>
      <c r="G5" s="63">
        <f>VLOOKUP($B5,'Tillförd energi'!$B$1:$AI$720,MATCH(G$2,'Tillförd energi'!$B$1:$AQ$1,0),FALSE)</f>
        <v>0</v>
      </c>
      <c r="H5" s="63">
        <f>VLOOKUP($B5,'Tillförd energi'!$B$1:$AI$720,MATCH(H$2,'Tillförd energi'!$B$1:$AQ$1,0),FALSE)</f>
        <v>0</v>
      </c>
      <c r="I5" s="63">
        <f>VLOOKUP($B5,'Tillförd energi'!$B$1:$AI$720,MATCH(I$2,'Tillförd energi'!$B$1:$AQ$1,0),FALSE)</f>
        <v>0</v>
      </c>
      <c r="J5" s="63">
        <f>VLOOKUP($B5,'Tillförd energi'!$B$1:$AI$720,MATCH(J$2,'Tillförd energi'!$B$1:$AQ$1,0),FALSE)</f>
        <v>0</v>
      </c>
      <c r="K5" s="63">
        <f>VLOOKUP($B5,'Tillförd energi'!$B$1:$AI$720,MATCH(K$2,'Tillförd energi'!$B$1:$AQ$1,0),FALSE)</f>
        <v>0</v>
      </c>
      <c r="L5" s="63">
        <f>VLOOKUP($B5,'Tillförd energi'!$B$1:$AI$720,MATCH(L$2,'Tillförd energi'!$B$1:$AQ$1,0),FALSE)</f>
        <v>0</v>
      </c>
      <c r="M5" s="63">
        <f>VLOOKUP($B5,'Tillförd energi'!$B$1:$AI$720,MATCH(M$2,'Tillförd energi'!$B$1:$AQ$1,0),FALSE)</f>
        <v>0</v>
      </c>
      <c r="N5" s="63">
        <f>VLOOKUP($B5,'Tillförd energi'!$B$1:$AI$720,MATCH(N$2,'Tillförd energi'!$B$1:$AQ$1,0),FALSE)</f>
        <v>0</v>
      </c>
      <c r="O5" s="63">
        <f>VLOOKUP($B5,'Tillförd energi'!$B$1:$AI$720,MATCH(O$2,'Tillförd energi'!$B$1:$AQ$1,0),FALSE)</f>
        <v>0</v>
      </c>
      <c r="P5" s="63">
        <f>VLOOKUP($B5,'Tillförd energi'!$B$1:$AI$720,MATCH(P$2,'Tillförd energi'!$B$1:$AQ$1,0),FALSE)</f>
        <v>0</v>
      </c>
      <c r="Q5" s="63">
        <f>VLOOKUP($B5,'Tillförd energi'!$B$1:$AI$720,MATCH(Q$2,'Tillförd energi'!$B$1:$AQ$1,0),FALSE)</f>
        <v>18.361999999999998</v>
      </c>
      <c r="R5" s="63">
        <f>VLOOKUP($B5,'Tillförd energi'!$B$1:$AI$720,MATCH(R$2,'Tillförd energi'!$B$1:$AQ$1,0),FALSE)</f>
        <v>0</v>
      </c>
      <c r="S5" s="63">
        <f>VLOOKUP($B5,'Tillförd energi'!$B$1:$AI$720,MATCH(S$2,'Tillförd energi'!$B$1:$AQ$1,0),FALSE)</f>
        <v>0</v>
      </c>
      <c r="T5" s="63">
        <f>VLOOKUP($B5,'Tillförd energi'!$B$1:$AI$720,MATCH(T$2,'Tillförd energi'!$B$1:$AQ$1,0),FALSE)</f>
        <v>0</v>
      </c>
      <c r="U5" s="63">
        <f>VLOOKUP($B5,'Tillförd energi'!$B$1:$AI$720,MATCH(U$2,'Tillförd energi'!$B$1:$AQ$1,0),FALSE)</f>
        <v>0</v>
      </c>
      <c r="V5" s="63">
        <f>VLOOKUP($B5,'Tillförd energi'!$B$1:$AI$720,MATCH(V$2,'Tillförd energi'!$B$1:$AQ$1,0),FALSE)</f>
        <v>0</v>
      </c>
      <c r="W5" s="63">
        <f>VLOOKUP($B5,'Tillförd energi'!$B$1:$AI$720,MATCH(W$2,'Tillförd energi'!$B$1:$AQ$1,0),FALSE)</f>
        <v>0</v>
      </c>
      <c r="X5" s="63">
        <f>VLOOKUP($B5,'Tillförd energi'!$B$1:$AI$720,MATCH(X$2,'Tillförd energi'!$B$1:$AQ$1,0),FALSE)</f>
        <v>0</v>
      </c>
      <c r="Y5" s="63">
        <f>VLOOKUP($B5,'Tillförd energi'!$B$1:$AI$720,MATCH(Y$2,'Tillförd energi'!$B$1:$AQ$1,0),FALSE)</f>
        <v>0</v>
      </c>
      <c r="Z5" s="63">
        <f>VLOOKUP($B5,'Tillförd energi'!$B$1:$AI$720,MATCH(Z$2,'Tillförd energi'!$B$1:$AQ$1,0),FALSE)</f>
        <v>0</v>
      </c>
      <c r="AA5" s="63">
        <f>VLOOKUP($B5,'Tillförd energi'!$B$1:$AI$720,MATCH(AA$2,'Tillförd energi'!$B$1:$AQ$1,0),FALSE)</f>
        <v>0</v>
      </c>
      <c r="AB5" s="63">
        <f>VLOOKUP($B5,'Tillförd energi'!$B$1:$AI$720,MATCH(AB$2,'Tillförd energi'!$B$1:$AQ$1,0),FALSE)</f>
        <v>0</v>
      </c>
      <c r="AC5" s="63">
        <f>VLOOKUP($B5,'Tillförd energi'!$B$1:$AI$720,MATCH(AC$2,'Tillförd energi'!$B$1:$AQ$1,0),FALSE)</f>
        <v>0</v>
      </c>
      <c r="AD5" s="63">
        <f>VLOOKUP($B5,'Tillförd energi'!$B$1:$AI$720,MATCH(AD$2,'Tillförd energi'!$B$1:$AQ$1,0),FALSE)</f>
        <v>0</v>
      </c>
      <c r="AE5" s="63">
        <f>VLOOKUP($B5,'Tillförd energi'!$B$1:$AI$720,MATCH(AE$2,'Tillförd energi'!$B$1:$AQ$1,0),FALSE)</f>
        <v>0</v>
      </c>
      <c r="AF5" s="63">
        <f>VLOOKUP($B5,'Tillförd energi'!$B$1:$AI$720,MATCH(AF$2,'Tillförd energi'!$B$1:$AQ$1,0),FALSE)</f>
        <v>0.59599999999999997</v>
      </c>
      <c r="AG5" s="63">
        <f>IFERROR(VLOOKUP(B5,Miljö!$B$1:$AC$550,MATCH("Köpt mängd produktionsspecifik fjärrvärme:",Miljö!$B$1:$AC$1,0),FALSE)/1,0)</f>
        <v>0</v>
      </c>
      <c r="AI5" s="63">
        <f t="shared" si="0"/>
        <v>19.106999999999999</v>
      </c>
      <c r="AJ5" s="63">
        <f>IF(ISERROR(1/VLOOKUP($B5,Leveranser!$B$1:$S$500,MATCH("såld värme (gwh)",Leveranser!$B$1:$S$1,0),FALSE)),"",VLOOKUP($B5,Leveranser!$B$1:$S$500,MATCH("såld värme (gwh)",Leveranser!$B$1:$S$1,0),FALSE))</f>
        <v>15.275</v>
      </c>
      <c r="AM5" s="63" t="str">
        <f>IF(B5&lt;&gt;"",IF(VLOOKUP($B5,Totalt!$B$1:$AQ$554,MATCH("Kvalitetsgranskad:",Totalt!$B$1:$AQ$1,0),FALSE)="ja",VLOOKUP($B5,Miljö!$B$1:$AG$479,MATCH(AM$2,Miljö!$B$1:$AK$1,0),FALSE),""),"")</f>
        <v>Ja</v>
      </c>
      <c r="AN5" s="63" t="str">
        <f>IF(AM5="ja",VLOOKUP($B5,Miljö!$B$1:$J$479,MATCH("Typ av ursprungsspecificerad el   (Om inget värde anges används Nordisk residualmix, se inforuta) ()",Miljö!$B$1:$J$1,0),FALSE),IF(AM5="nej","Nordisk residualel",""))</f>
        <v>'Kärnkraft'</v>
      </c>
      <c r="AO5" s="63">
        <f>IF(AM5="","",VLOOKUP($B5,Miljö!$B$1:$J$479,MATCH("Fossilandel för ursprungspecificerad el ()",Miljö!$B$1:$J$1,0),FALSE))</f>
        <v>0</v>
      </c>
      <c r="AQ5" s="63">
        <f t="shared" si="1"/>
        <v>1</v>
      </c>
      <c r="AS5" s="63" t="str">
        <f t="shared" si="2"/>
        <v>Nej</v>
      </c>
      <c r="AT5" s="63" t="str">
        <f>IF(AS5="ja",VLOOKUP($B5,Miljö!$B$1:$P$500,MATCH("Fossil andel i procent (%)",Miljö!$B$1:$P$1,0),FALSE)/100,"")</f>
        <v/>
      </c>
      <c r="AV5" s="63" t="str">
        <f t="shared" si="3"/>
        <v>Nej</v>
      </c>
      <c r="AW5" s="63" t="str">
        <f>IF(AV5="ja",VLOOKUP($B5,'Egen hetvattenprod'!$B$1:$AO$500,MATCH("Värmekälla till värmepumpar ()",'Egen hetvattenprod'!$B$1:$AO$1,0),FALSE),"")</f>
        <v/>
      </c>
      <c r="AY5" s="63" t="str">
        <f t="shared" si="4"/>
        <v>Nej</v>
      </c>
      <c r="AZ5" s="77" t="str">
        <f>IF($AY5="ja",(VLOOKUP($B5,'Egen hetvattenprod'!$B$1:$BX$550,MATCH(AZ$2,'Egen hetvattenprod'!$B$1:$BX$1,0),FALSE)+VLOOKUP($B5,Kraftvärmeprod!$B$1:$BX$550,MATCH(AZ$2,Kraftvärmeprod!$B$1:$BX$1,0),FALSE))/$AC5,"")</f>
        <v/>
      </c>
      <c r="BA5" s="77" t="str">
        <f>IF($AY5="ja",(VLOOKUP($B5,'Egen hetvattenprod'!$B$1:$BX$550,MATCH(BA$2,'Egen hetvattenprod'!$B$1:$BX$1,0),FALSE)+VLOOKUP($B5,Kraftvärmeprod!$B$1:$BX$550,MATCH(BA$2,Kraftvärmeprod!$B$1:$BX$1,0),FALSE))/$AC5,"")</f>
        <v/>
      </c>
      <c r="BB5" s="77" t="str">
        <f>IF($AY5="ja",(VLOOKUP($B5,'Egen hetvattenprod'!$B$1:$BX$550,MATCH(BB$2,'Egen hetvattenprod'!$B$1:$BX$1,0),FALSE)+VLOOKUP($B5,Kraftvärmeprod!$B$1:$BX$550,MATCH(BB$2,Kraftvärmeprod!$B$1:$BX$1,0),FALSE))/$AC5,"")</f>
        <v/>
      </c>
      <c r="BC5" s="77" t="str">
        <f>IF($AY5="ja",(VLOOKUP($B5,'Egen hetvattenprod'!$B$1:$BX$550,MATCH(BC$2,'Egen hetvattenprod'!$B$1:$BX$1,0),FALSE)+VLOOKUP($B5,Kraftvärmeprod!$B$1:$BX$550,MATCH(BC$2,Kraftvärmeprod!$B$1:$BX$1,0),FALSE))/$AC5,"")</f>
        <v/>
      </c>
      <c r="BD5" s="77" t="str">
        <f>IF($AY5="ja",(VLOOKUP($B5,'Egen hetvattenprod'!$B$1:$BX$550,MATCH(BD$2,'Egen hetvattenprod'!$B$1:$BX$1,0),FALSE)+VLOOKUP($B5,Kraftvärmeprod!$B$1:$BX$550,MATCH(BD$2,Kraftvärmeprod!$B$1:$BX$1,0),FALSE))/$AC5,"")</f>
        <v/>
      </c>
      <c r="BF5" s="63" t="str">
        <f t="shared" si="5"/>
        <v>Nej</v>
      </c>
      <c r="BG5" s="63" t="str">
        <f>IF($BF5="ja",VLOOKUP($B5,'Egen hetvattenprod'!$B$1:$BX$550,MATCH("Andelen klimatgaser med fossilt ursprung för avfall ()",'Egen hetvattenprod'!$B$1:$BX$1,0),FALSE),"")</f>
        <v/>
      </c>
      <c r="BH5" s="63" t="str">
        <f>IF($BF5="ja",VLOOKUP($B5,Kraftvärmeprod!$B$1:$BX$550,MATCH("Andelen klimatgaser med fossilt ursprung för avfall ()",Kraftvärmeprod!$B$1:$BX$1,0),FALSE),"")</f>
        <v/>
      </c>
      <c r="BI5" s="63" t="str">
        <f>IF($BF5="ja",VLOOKUP($B5,'Egen hetvattenprod'!$B$1:$BX$550,MATCH("Avfall (GWh)",'Egen hetvattenprod'!$B$1:$BX$1,0),FALSE),"")</f>
        <v/>
      </c>
      <c r="BJ5" s="63" t="str">
        <f>IF($BF5="ja",VLOOKUP($B5,'Slutlig allokering kvv'!$B$1:$BX$550,MATCH("Avfall (GWh)",'Slutlig allokering kvv'!$B$1:$BX$1,0),FALSE),"")</f>
        <v/>
      </c>
      <c r="BK5" s="63" t="str">
        <f>IF($BF5="ja",VLOOKUP($B5,'Köpt hetvatten'!$B$1:$BX$550,MATCH("Avfall i köpt hetvatten",'Köpt hetvatten'!$B$1:$BX$1,0),FALSE),"")</f>
        <v/>
      </c>
      <c r="BL5" s="63" t="str">
        <f>IF($BF5="ja",VLOOKUP($B5,'Egen hetvattenprod'!$B$1:$BX$550,MATCH("Värde enligt ovan. (%)",'Egen hetvattenprod'!$B$1:$BX$1,0),FALSE),"")</f>
        <v/>
      </c>
      <c r="BM5" s="63" t="str">
        <f>IF($BF5="ja",VLOOKUP($B5,Kraftvärmeprod!$B$1:$BX$550,MATCH("Värde enligt ovan. (%)",Kraftvärmeprod!$B$1:$BX$1,0),FALSE),"")</f>
        <v/>
      </c>
    </row>
    <row r="6" spans="1:71" x14ac:dyDescent="0.45">
      <c r="A6" s="63" t="s">
        <v>15</v>
      </c>
      <c r="B6" s="63" t="s">
        <v>28</v>
      </c>
      <c r="C6" s="63">
        <f>VLOOKUP($B6,'Tillförd energi'!$B$1:$AI$720,MATCH(C$2,'Tillförd energi'!$B$1:$AQ$1,0),FALSE)</f>
        <v>0</v>
      </c>
      <c r="D6" s="63">
        <f>VLOOKUP($B6,'Tillförd energi'!$B$1:$AI$720,MATCH(D$2,'Tillförd energi'!$B$1:$AQ$1,0),FALSE)</f>
        <v>2.7690000000000001</v>
      </c>
      <c r="E6" s="63">
        <f>VLOOKUP($B6,'Tillförd energi'!$B$1:$AI$720,MATCH(E$2,'Tillförd energi'!$B$1:$AQ$1,0),FALSE)</f>
        <v>0</v>
      </c>
      <c r="F6" s="63">
        <f>VLOOKUP($B6,'Tillförd energi'!$B$1:$AI$720,MATCH(F$2,'Tillförd energi'!$B$1:$AQ$1,0),FALSE)</f>
        <v>0</v>
      </c>
      <c r="G6" s="63">
        <f>VLOOKUP($B6,'Tillförd energi'!$B$1:$AI$720,MATCH(G$2,'Tillförd energi'!$B$1:$AQ$1,0),FALSE)</f>
        <v>0</v>
      </c>
      <c r="H6" s="63">
        <f>VLOOKUP($B6,'Tillförd energi'!$B$1:$AI$720,MATCH(H$2,'Tillförd energi'!$B$1:$AQ$1,0),FALSE)</f>
        <v>0</v>
      </c>
      <c r="I6" s="63">
        <f>VLOOKUP($B6,'Tillförd energi'!$B$1:$AI$720,MATCH(I$2,'Tillförd energi'!$B$1:$AQ$1,0),FALSE)</f>
        <v>0</v>
      </c>
      <c r="J6" s="63">
        <f>VLOOKUP($B6,'Tillförd energi'!$B$1:$AI$720,MATCH(J$2,'Tillförd energi'!$B$1:$AQ$1,0),FALSE)</f>
        <v>0</v>
      </c>
      <c r="K6" s="63">
        <f>VLOOKUP($B6,'Tillförd energi'!$B$1:$AI$720,MATCH(K$2,'Tillförd energi'!$B$1:$AQ$1,0),FALSE)</f>
        <v>0</v>
      </c>
      <c r="L6" s="63">
        <f>VLOOKUP($B6,'Tillförd energi'!$B$1:$AI$720,MATCH(L$2,'Tillförd energi'!$B$1:$AQ$1,0),FALSE)</f>
        <v>0</v>
      </c>
      <c r="M6" s="63">
        <f>VLOOKUP($B6,'Tillförd energi'!$B$1:$AI$720,MATCH(M$2,'Tillförd energi'!$B$1:$AQ$1,0),FALSE)</f>
        <v>0</v>
      </c>
      <c r="N6" s="63">
        <f>VLOOKUP($B6,'Tillförd energi'!$B$1:$AI$720,MATCH(N$2,'Tillförd energi'!$B$1:$AQ$1,0),FALSE)</f>
        <v>0</v>
      </c>
      <c r="O6" s="63">
        <f>VLOOKUP($B6,'Tillförd energi'!$B$1:$AI$720,MATCH(O$2,'Tillförd energi'!$B$1:$AQ$1,0),FALSE)</f>
        <v>0</v>
      </c>
      <c r="P6" s="63">
        <f>VLOOKUP($B6,'Tillförd energi'!$B$1:$AI$720,MATCH(P$2,'Tillförd energi'!$B$1:$AQ$1,0),FALSE)</f>
        <v>0</v>
      </c>
      <c r="Q6" s="63">
        <f>VLOOKUP($B6,'Tillförd energi'!$B$1:$AI$720,MATCH(Q$2,'Tillförd energi'!$B$1:$AQ$1,0),FALSE)</f>
        <v>0</v>
      </c>
      <c r="R6" s="63">
        <f>VLOOKUP($B6,'Tillförd energi'!$B$1:$AI$720,MATCH(R$2,'Tillförd energi'!$B$1:$AQ$1,0),FALSE)</f>
        <v>11.872</v>
      </c>
      <c r="S6" s="63">
        <f>VLOOKUP($B6,'Tillförd energi'!$B$1:$AI$720,MATCH(S$2,'Tillförd energi'!$B$1:$AQ$1,0),FALSE)</f>
        <v>0</v>
      </c>
      <c r="T6" s="63">
        <f>VLOOKUP($B6,'Tillförd energi'!$B$1:$AI$720,MATCH(T$2,'Tillförd energi'!$B$1:$AQ$1,0),FALSE)</f>
        <v>0</v>
      </c>
      <c r="U6" s="63">
        <f>VLOOKUP($B6,'Tillförd energi'!$B$1:$AI$720,MATCH(U$2,'Tillförd energi'!$B$1:$AQ$1,0),FALSE)</f>
        <v>0</v>
      </c>
      <c r="V6" s="63">
        <f>VLOOKUP($B6,'Tillförd energi'!$B$1:$AI$720,MATCH(V$2,'Tillförd energi'!$B$1:$AQ$1,0),FALSE)</f>
        <v>0</v>
      </c>
      <c r="W6" s="63">
        <f>VLOOKUP($B6,'Tillförd energi'!$B$1:$AI$720,MATCH(W$2,'Tillförd energi'!$B$1:$AQ$1,0),FALSE)</f>
        <v>0</v>
      </c>
      <c r="X6" s="63">
        <f>VLOOKUP($B6,'Tillförd energi'!$B$1:$AI$720,MATCH(X$2,'Tillförd energi'!$B$1:$AQ$1,0),FALSE)</f>
        <v>0</v>
      </c>
      <c r="Y6" s="63">
        <f>VLOOKUP($B6,'Tillförd energi'!$B$1:$AI$720,MATCH(Y$2,'Tillförd energi'!$B$1:$AQ$1,0),FALSE)</f>
        <v>0</v>
      </c>
      <c r="Z6" s="63">
        <f>VLOOKUP($B6,'Tillförd energi'!$B$1:$AI$720,MATCH(Z$2,'Tillförd energi'!$B$1:$AQ$1,0),FALSE)</f>
        <v>0</v>
      </c>
      <c r="AA6" s="63">
        <f>VLOOKUP($B6,'Tillförd energi'!$B$1:$AI$720,MATCH(AA$2,'Tillförd energi'!$B$1:$AQ$1,0),FALSE)</f>
        <v>0</v>
      </c>
      <c r="AB6" s="63">
        <f>VLOOKUP($B6,'Tillförd energi'!$B$1:$AI$720,MATCH(AB$2,'Tillförd energi'!$B$1:$AQ$1,0),FALSE)</f>
        <v>0</v>
      </c>
      <c r="AC6" s="63">
        <f>VLOOKUP($B6,'Tillförd energi'!$B$1:$AI$720,MATCH(AC$2,'Tillförd energi'!$B$1:$AQ$1,0),FALSE)</f>
        <v>0</v>
      </c>
      <c r="AD6" s="63">
        <f>VLOOKUP($B6,'Tillförd energi'!$B$1:$AI$720,MATCH(AD$2,'Tillförd energi'!$B$1:$AQ$1,0),FALSE)</f>
        <v>71.063000000000002</v>
      </c>
      <c r="AE6" s="63">
        <f>VLOOKUP($B6,'Tillförd energi'!$B$1:$AI$720,MATCH(AE$2,'Tillförd energi'!$B$1:$AQ$1,0),FALSE)</f>
        <v>0</v>
      </c>
      <c r="AF6" s="63">
        <f>VLOOKUP($B6,'Tillförd energi'!$B$1:$AI$720,MATCH(AF$2,'Tillförd energi'!$B$1:$AQ$1,0),FALSE)</f>
        <v>0.23599999999999999</v>
      </c>
      <c r="AG6" s="63">
        <f>IFERROR(VLOOKUP(B6,Miljö!$B$1:$AC$550,MATCH("Köpt mängd produktionsspecifik fjärrvärme:",Miljö!$B$1:$AC$1,0),FALSE)/1,0)</f>
        <v>0</v>
      </c>
      <c r="AI6" s="63">
        <f t="shared" si="0"/>
        <v>85.940000000000012</v>
      </c>
      <c r="AJ6" s="63">
        <f>IF(ISERROR(1/VLOOKUP($B6,Leveranser!$B$1:$S$500,MATCH("såld värme (gwh)",Leveranser!$B$1:$S$1,0),FALSE)),"",VLOOKUP($B6,Leveranser!$B$1:$S$500,MATCH("såld värme (gwh)",Leveranser!$B$1:$S$1,0),FALSE))</f>
        <v>70.462000000000003</v>
      </c>
      <c r="AM6" s="63" t="str">
        <f>IF(B6&lt;&gt;"",IF(VLOOKUP($B6,Totalt!$B$1:$AQ$554,MATCH("Kvalitetsgranskad:",Totalt!$B$1:$AQ$1,0),FALSE)="ja",VLOOKUP($B6,Miljö!$B$1:$AG$479,MATCH(AM$2,Miljö!$B$1:$AK$1,0),FALSE),""),"")</f>
        <v>Ja</v>
      </c>
      <c r="AN6" s="63" t="str">
        <f>IF(AM6="ja",VLOOKUP($B6,Miljö!$B$1:$J$479,MATCH("Typ av ursprungsspecificerad el   (Om inget värde anges används Nordisk residualmix, se inforuta) ()",Miljö!$B$1:$J$1,0),FALSE),IF(AM6="nej","Nordisk residualel",""))</f>
        <v>'Kärnkraft'</v>
      </c>
      <c r="AO6" s="63">
        <f>IF(AM6="","",VLOOKUP($B6,Miljö!$B$1:$J$479,MATCH("Fossilandel för ursprungspecificerad el ()",Miljö!$B$1:$J$1,0),FALSE))</f>
        <v>0</v>
      </c>
      <c r="AQ6" s="63">
        <f t="shared" si="1"/>
        <v>1</v>
      </c>
      <c r="AS6" s="63" t="str">
        <f t="shared" si="2"/>
        <v>Nej</v>
      </c>
      <c r="AT6" s="63" t="str">
        <f>IF(AS6="ja",VLOOKUP($B6,Miljö!$B$1:$P$500,MATCH("Fossil andel i procent (%)",Miljö!$B$1:$P$1,0),FALSE)/100,"")</f>
        <v/>
      </c>
      <c r="AV6" s="63" t="str">
        <f t="shared" si="3"/>
        <v>Nej</v>
      </c>
      <c r="AW6" s="63" t="str">
        <f>IF(AV6="ja",VLOOKUP($B6,'Egen hetvattenprod'!$B$1:$AO$500,MATCH("Värmekälla till värmepumpar ()",'Egen hetvattenprod'!$B$1:$AO$1,0),FALSE),"")</f>
        <v/>
      </c>
      <c r="AY6" s="63" t="str">
        <f t="shared" si="4"/>
        <v>Nej</v>
      </c>
      <c r="AZ6" s="77" t="str">
        <f>IF($AY6="ja",(VLOOKUP($B6,'Egen hetvattenprod'!$B$1:$BX$550,MATCH(AZ$2,'Egen hetvattenprod'!$B$1:$BX$1,0),FALSE)+VLOOKUP($B6,Kraftvärmeprod!$B$1:$BX$550,MATCH(AZ$2,Kraftvärmeprod!$B$1:$BX$1,0),FALSE))/$AC6,"")</f>
        <v/>
      </c>
      <c r="BA6" s="77" t="str">
        <f>IF($AY6="ja",(VLOOKUP($B6,'Egen hetvattenprod'!$B$1:$BX$550,MATCH(BA$2,'Egen hetvattenprod'!$B$1:$BX$1,0),FALSE)+VLOOKUP($B6,Kraftvärmeprod!$B$1:$BX$550,MATCH(BA$2,Kraftvärmeprod!$B$1:$BX$1,0),FALSE))/$AC6,"")</f>
        <v/>
      </c>
      <c r="BB6" s="77" t="str">
        <f>IF($AY6="ja",(VLOOKUP($B6,'Egen hetvattenprod'!$B$1:$BX$550,MATCH(BB$2,'Egen hetvattenprod'!$B$1:$BX$1,0),FALSE)+VLOOKUP($B6,Kraftvärmeprod!$B$1:$BX$550,MATCH(BB$2,Kraftvärmeprod!$B$1:$BX$1,0),FALSE))/$AC6,"")</f>
        <v/>
      </c>
      <c r="BC6" s="77" t="str">
        <f>IF($AY6="ja",(VLOOKUP($B6,'Egen hetvattenprod'!$B$1:$BX$550,MATCH(BC$2,'Egen hetvattenprod'!$B$1:$BX$1,0),FALSE)+VLOOKUP($B6,Kraftvärmeprod!$B$1:$BX$550,MATCH(BC$2,Kraftvärmeprod!$B$1:$BX$1,0),FALSE))/$AC6,"")</f>
        <v/>
      </c>
      <c r="BD6" s="77" t="str">
        <f>IF($AY6="ja",(VLOOKUP($B6,'Egen hetvattenprod'!$B$1:$BX$550,MATCH(BD$2,'Egen hetvattenprod'!$B$1:$BX$1,0),FALSE)+VLOOKUP($B6,Kraftvärmeprod!$B$1:$BX$550,MATCH(BD$2,Kraftvärmeprod!$B$1:$BX$1,0),FALSE))/$AC6,"")</f>
        <v/>
      </c>
      <c r="BF6" s="63" t="str">
        <f t="shared" si="5"/>
        <v>Nej</v>
      </c>
      <c r="BG6" s="63" t="str">
        <f>IF($BF6="ja",VLOOKUP($B6,'Egen hetvattenprod'!$B$1:$BX$550,MATCH("Andelen klimatgaser med fossilt ursprung för avfall ()",'Egen hetvattenprod'!$B$1:$BX$1,0),FALSE),"")</f>
        <v/>
      </c>
      <c r="BH6" s="63" t="str">
        <f>IF($BF6="ja",VLOOKUP($B6,Kraftvärmeprod!$B$1:$BX$550,MATCH("Andelen klimatgaser med fossilt ursprung för avfall ()",Kraftvärmeprod!$B$1:$BX$1,0),FALSE),"")</f>
        <v/>
      </c>
      <c r="BI6" s="63" t="str">
        <f>IF($BF6="ja",VLOOKUP($B6,'Egen hetvattenprod'!$B$1:$BX$550,MATCH("Avfall (GWh)",'Egen hetvattenprod'!$B$1:$BX$1,0),FALSE),"")</f>
        <v/>
      </c>
      <c r="BJ6" s="63" t="str">
        <f>IF($BF6="ja",VLOOKUP($B6,'Slutlig allokering kvv'!$B$1:$BX$550,MATCH("Avfall (GWh)",'Slutlig allokering kvv'!$B$1:$BX$1,0),FALSE),"")</f>
        <v/>
      </c>
      <c r="BK6" s="63" t="str">
        <f>IF($BF6="ja",VLOOKUP($B6,'Köpt hetvatten'!$B$1:$BX$550,MATCH("Avfall i köpt hetvatten",'Köpt hetvatten'!$B$1:$BX$1,0),FALSE),"")</f>
        <v/>
      </c>
      <c r="BL6" s="63" t="str">
        <f>IF($BF6="ja",VLOOKUP($B6,'Egen hetvattenprod'!$B$1:$BX$550,MATCH("Värde enligt ovan. (%)",'Egen hetvattenprod'!$B$1:$BX$1,0),FALSE),"")</f>
        <v/>
      </c>
      <c r="BM6" s="63" t="str">
        <f>IF($BF6="ja",VLOOKUP($B6,Kraftvärmeprod!$B$1:$BX$550,MATCH("Värde enligt ovan. (%)",Kraftvärmeprod!$B$1:$BX$1,0),FALSE),"")</f>
        <v/>
      </c>
    </row>
    <row r="7" spans="1:71" x14ac:dyDescent="0.45">
      <c r="A7" s="63" t="s">
        <v>15</v>
      </c>
      <c r="B7" s="63" t="s">
        <v>22</v>
      </c>
      <c r="C7" s="63">
        <f>VLOOKUP($B7,'Tillförd energi'!$B$1:$AI$720,MATCH(C$2,'Tillförd energi'!$B$1:$AQ$1,0),FALSE)</f>
        <v>0</v>
      </c>
      <c r="D7" s="63">
        <f>VLOOKUP($B7,'Tillförd energi'!$B$1:$AI$720,MATCH(D$2,'Tillförd energi'!$B$1:$AQ$1,0),FALSE)</f>
        <v>5.3999999999999999E-2</v>
      </c>
      <c r="E7" s="63">
        <f>VLOOKUP($B7,'Tillförd energi'!$B$1:$AI$720,MATCH(E$2,'Tillförd energi'!$B$1:$AQ$1,0),FALSE)</f>
        <v>0</v>
      </c>
      <c r="F7" s="63">
        <f>VLOOKUP($B7,'Tillförd energi'!$B$1:$AI$720,MATCH(F$2,'Tillförd energi'!$B$1:$AQ$1,0),FALSE)</f>
        <v>0</v>
      </c>
      <c r="G7" s="63">
        <f>VLOOKUP($B7,'Tillförd energi'!$B$1:$AI$720,MATCH(G$2,'Tillförd energi'!$B$1:$AQ$1,0),FALSE)</f>
        <v>0</v>
      </c>
      <c r="H7" s="63">
        <f>VLOOKUP($B7,'Tillförd energi'!$B$1:$AI$720,MATCH(H$2,'Tillförd energi'!$B$1:$AQ$1,0),FALSE)</f>
        <v>0</v>
      </c>
      <c r="I7" s="63">
        <f>VLOOKUP($B7,'Tillförd energi'!$B$1:$AI$720,MATCH(I$2,'Tillförd energi'!$B$1:$AQ$1,0),FALSE)</f>
        <v>0</v>
      </c>
      <c r="J7" s="63">
        <f>VLOOKUP($B7,'Tillförd energi'!$B$1:$AI$720,MATCH(J$2,'Tillförd energi'!$B$1:$AQ$1,0),FALSE)</f>
        <v>0</v>
      </c>
      <c r="K7" s="63">
        <f>VLOOKUP($B7,'Tillförd energi'!$B$1:$AI$720,MATCH(K$2,'Tillförd energi'!$B$1:$AQ$1,0),FALSE)</f>
        <v>0</v>
      </c>
      <c r="L7" s="63">
        <f>VLOOKUP($B7,'Tillförd energi'!$B$1:$AI$720,MATCH(L$2,'Tillförd energi'!$B$1:$AQ$1,0),FALSE)</f>
        <v>0</v>
      </c>
      <c r="M7" s="63">
        <f>VLOOKUP($B7,'Tillförd energi'!$B$1:$AI$720,MATCH(M$2,'Tillförd energi'!$B$1:$AQ$1,0),FALSE)</f>
        <v>0</v>
      </c>
      <c r="N7" s="63">
        <f>VLOOKUP($B7,'Tillförd energi'!$B$1:$AI$720,MATCH(N$2,'Tillförd energi'!$B$1:$AQ$1,0),FALSE)</f>
        <v>0</v>
      </c>
      <c r="O7" s="63">
        <f>VLOOKUP($B7,'Tillförd energi'!$B$1:$AI$720,MATCH(O$2,'Tillförd energi'!$B$1:$AQ$1,0),FALSE)</f>
        <v>0</v>
      </c>
      <c r="P7" s="63">
        <f>VLOOKUP($B7,'Tillförd energi'!$B$1:$AI$720,MATCH(P$2,'Tillförd energi'!$B$1:$AQ$1,0),FALSE)</f>
        <v>0</v>
      </c>
      <c r="Q7" s="63">
        <f>VLOOKUP($B7,'Tillförd energi'!$B$1:$AI$720,MATCH(Q$2,'Tillförd energi'!$B$1:$AQ$1,0),FALSE)</f>
        <v>29.126000000000001</v>
      </c>
      <c r="R7" s="63">
        <f>VLOOKUP($B7,'Tillförd energi'!$B$1:$AI$720,MATCH(R$2,'Tillförd energi'!$B$1:$AQ$1,0),FALSE)</f>
        <v>0</v>
      </c>
      <c r="S7" s="63">
        <f>VLOOKUP($B7,'Tillförd energi'!$B$1:$AI$720,MATCH(S$2,'Tillförd energi'!$B$1:$AQ$1,0),FALSE)</f>
        <v>0</v>
      </c>
      <c r="T7" s="63">
        <f>VLOOKUP($B7,'Tillförd energi'!$B$1:$AI$720,MATCH(T$2,'Tillförd energi'!$B$1:$AQ$1,0),FALSE)</f>
        <v>0</v>
      </c>
      <c r="U7" s="63">
        <f>VLOOKUP($B7,'Tillförd energi'!$B$1:$AI$720,MATCH(U$2,'Tillförd energi'!$B$1:$AQ$1,0),FALSE)</f>
        <v>0</v>
      </c>
      <c r="V7" s="63">
        <f>VLOOKUP($B7,'Tillförd energi'!$B$1:$AI$720,MATCH(V$2,'Tillförd energi'!$B$1:$AQ$1,0),FALSE)</f>
        <v>0</v>
      </c>
      <c r="W7" s="63">
        <f>VLOOKUP($B7,'Tillförd energi'!$B$1:$AI$720,MATCH(W$2,'Tillförd energi'!$B$1:$AQ$1,0),FALSE)</f>
        <v>0</v>
      </c>
      <c r="X7" s="63">
        <f>VLOOKUP($B7,'Tillförd energi'!$B$1:$AI$720,MATCH(X$2,'Tillförd energi'!$B$1:$AQ$1,0),FALSE)</f>
        <v>0</v>
      </c>
      <c r="Y7" s="63">
        <f>VLOOKUP($B7,'Tillförd energi'!$B$1:$AI$720,MATCH(Y$2,'Tillförd energi'!$B$1:$AQ$1,0),FALSE)</f>
        <v>0</v>
      </c>
      <c r="Z7" s="63">
        <f>VLOOKUP($B7,'Tillförd energi'!$B$1:$AI$720,MATCH(Z$2,'Tillförd energi'!$B$1:$AQ$1,0),FALSE)</f>
        <v>0</v>
      </c>
      <c r="AA7" s="63">
        <f>VLOOKUP($B7,'Tillförd energi'!$B$1:$AI$720,MATCH(AA$2,'Tillförd energi'!$B$1:$AQ$1,0),FALSE)</f>
        <v>0</v>
      </c>
      <c r="AB7" s="63">
        <f>VLOOKUP($B7,'Tillförd energi'!$B$1:$AI$720,MATCH(AB$2,'Tillförd energi'!$B$1:$AQ$1,0),FALSE)</f>
        <v>0</v>
      </c>
      <c r="AC7" s="63">
        <f>VLOOKUP($B7,'Tillförd energi'!$B$1:$AI$720,MATCH(AC$2,'Tillförd energi'!$B$1:$AQ$1,0),FALSE)</f>
        <v>3.3</v>
      </c>
      <c r="AD7" s="63">
        <f>VLOOKUP($B7,'Tillförd energi'!$B$1:$AI$720,MATCH(AD$2,'Tillförd energi'!$B$1:$AQ$1,0),FALSE)</f>
        <v>0</v>
      </c>
      <c r="AE7" s="63">
        <f>VLOOKUP($B7,'Tillförd energi'!$B$1:$AI$720,MATCH(AE$2,'Tillförd energi'!$B$1:$AQ$1,0),FALSE)</f>
        <v>0</v>
      </c>
      <c r="AF7" s="63">
        <f>VLOOKUP($B7,'Tillförd energi'!$B$1:$AI$720,MATCH(AF$2,'Tillförd energi'!$B$1:$AQ$1,0),FALSE)</f>
        <v>0.55600000000000005</v>
      </c>
      <c r="AG7" s="63">
        <f>IFERROR(VLOOKUP(B7,Miljö!$B$1:$AC$550,MATCH("Köpt mängd produktionsspecifik fjärrvärme:",Miljö!$B$1:$AC$1,0),FALSE)/1,0)</f>
        <v>0</v>
      </c>
      <c r="AI7" s="63">
        <f t="shared" si="0"/>
        <v>33.035999999999994</v>
      </c>
      <c r="AJ7" s="63">
        <f>IF(ISERROR(1/VLOOKUP($B7,Leveranser!$B$1:$S$500,MATCH("såld värme (gwh)",Leveranser!$B$1:$S$1,0),FALSE)),"",VLOOKUP($B7,Leveranser!$B$1:$S$500,MATCH("såld värme (gwh)",Leveranser!$B$1:$S$1,0),FALSE))</f>
        <v>22.591000000000001</v>
      </c>
      <c r="AM7" s="63" t="str">
        <f>IF(B7&lt;&gt;"",IF(VLOOKUP($B7,Totalt!$B$1:$AQ$554,MATCH("Kvalitetsgranskad:",Totalt!$B$1:$AQ$1,0),FALSE)="ja",VLOOKUP($B7,Miljö!$B$1:$AG$479,MATCH(AM$2,Miljö!$B$1:$AK$1,0),FALSE),""),"")</f>
        <v>Ja</v>
      </c>
      <c r="AN7" s="63" t="str">
        <f>IF(AM7="ja",VLOOKUP($B7,Miljö!$B$1:$J$479,MATCH("Typ av ursprungsspecificerad el   (Om inget värde anges används Nordisk residualmix, se inforuta) ()",Miljö!$B$1:$J$1,0),FALSE),IF(AM7="nej","Nordisk residualel",""))</f>
        <v>'Kärnkraft'</v>
      </c>
      <c r="AO7" s="63">
        <f>IF(AM7="","",VLOOKUP($B7,Miljö!$B$1:$J$479,MATCH("Fossilandel för ursprungspecificerad el ()",Miljö!$B$1:$J$1,0),FALSE))</f>
        <v>0</v>
      </c>
      <c r="AQ7" s="63">
        <f t="shared" si="1"/>
        <v>1</v>
      </c>
      <c r="AS7" s="63" t="str">
        <f t="shared" si="2"/>
        <v>Nej</v>
      </c>
      <c r="AT7" s="63" t="str">
        <f>IF(AS7="ja",VLOOKUP($B7,Miljö!$B$1:$P$500,MATCH("Fossil andel i procent (%)",Miljö!$B$1:$P$1,0),FALSE)/100,"")</f>
        <v/>
      </c>
      <c r="AV7" s="63" t="str">
        <f t="shared" si="3"/>
        <v>Nej</v>
      </c>
      <c r="AW7" s="63" t="str">
        <f>IF(AV7="ja",VLOOKUP($B7,'Egen hetvattenprod'!$B$1:$AO$500,MATCH("Värmekälla till värmepumpar ()",'Egen hetvattenprod'!$B$1:$AO$1,0),FALSE),"")</f>
        <v/>
      </c>
      <c r="AY7" s="63" t="str">
        <f t="shared" si="4"/>
        <v>Ja</v>
      </c>
      <c r="AZ7" s="77">
        <f>IF($AY7="ja",(VLOOKUP($B7,'Egen hetvattenprod'!$B$1:$BX$550,MATCH(AZ$2,'Egen hetvattenprod'!$B$1:$BX$1,0),FALSE)+VLOOKUP($B7,Kraftvärmeprod!$B$1:$BX$550,MATCH(AZ$2,Kraftvärmeprod!$B$1:$BX$1,0),FALSE))/$AC7,"")</f>
        <v>1</v>
      </c>
      <c r="BA7" s="77">
        <f>IF($AY7="ja",(VLOOKUP($B7,'Egen hetvattenprod'!$B$1:$BX$550,MATCH(BA$2,'Egen hetvattenprod'!$B$1:$BX$1,0),FALSE)+VLOOKUP($B7,Kraftvärmeprod!$B$1:$BX$550,MATCH(BA$2,Kraftvärmeprod!$B$1:$BX$1,0),FALSE))/$AC7,"")</f>
        <v>0</v>
      </c>
      <c r="BB7" s="77">
        <f>IF($AY7="ja",(VLOOKUP($B7,'Egen hetvattenprod'!$B$1:$BX$550,MATCH(BB$2,'Egen hetvattenprod'!$B$1:$BX$1,0),FALSE)+VLOOKUP($B7,Kraftvärmeprod!$B$1:$BX$550,MATCH(BB$2,Kraftvärmeprod!$B$1:$BX$1,0),FALSE))/$AC7,"")</f>
        <v>0</v>
      </c>
      <c r="BC7" s="77">
        <f>IF($AY7="ja",(VLOOKUP($B7,'Egen hetvattenprod'!$B$1:$BX$550,MATCH(BC$2,'Egen hetvattenprod'!$B$1:$BX$1,0),FALSE)+VLOOKUP($B7,Kraftvärmeprod!$B$1:$BX$550,MATCH(BC$2,Kraftvärmeprod!$B$1:$BX$1,0),FALSE))/$AC7,"")</f>
        <v>0</v>
      </c>
      <c r="BD7" s="77">
        <f>IF($AY7="ja",(VLOOKUP($B7,'Egen hetvattenprod'!$B$1:$BX$550,MATCH(BD$2,'Egen hetvattenprod'!$B$1:$BX$1,0),FALSE)+VLOOKUP($B7,Kraftvärmeprod!$B$1:$BX$550,MATCH(BD$2,Kraftvärmeprod!$B$1:$BX$1,0),FALSE))/$AC7,"")</f>
        <v>0</v>
      </c>
      <c r="BF7" s="63" t="str">
        <f t="shared" si="5"/>
        <v>Nej</v>
      </c>
      <c r="BG7" s="63" t="str">
        <f>IF($BF7="ja",VLOOKUP($B7,'Egen hetvattenprod'!$B$1:$BX$550,MATCH("Andelen klimatgaser med fossilt ursprung för avfall ()",'Egen hetvattenprod'!$B$1:$BX$1,0),FALSE),"")</f>
        <v/>
      </c>
      <c r="BH7" s="63" t="str">
        <f>IF($BF7="ja",VLOOKUP($B7,Kraftvärmeprod!$B$1:$BX$550,MATCH("Andelen klimatgaser med fossilt ursprung för avfall ()",Kraftvärmeprod!$B$1:$BX$1,0),FALSE),"")</f>
        <v/>
      </c>
      <c r="BI7" s="63" t="str">
        <f>IF($BF7="ja",VLOOKUP($B7,'Egen hetvattenprod'!$B$1:$BX$550,MATCH("Avfall (GWh)",'Egen hetvattenprod'!$B$1:$BX$1,0),FALSE),"")</f>
        <v/>
      </c>
      <c r="BJ7" s="63" t="str">
        <f>IF($BF7="ja",VLOOKUP($B7,'Slutlig allokering kvv'!$B$1:$BX$550,MATCH("Avfall (GWh)",'Slutlig allokering kvv'!$B$1:$BX$1,0),FALSE),"")</f>
        <v/>
      </c>
      <c r="BK7" s="63" t="str">
        <f>IF($BF7="ja",VLOOKUP($B7,'Köpt hetvatten'!$B$1:$BX$550,MATCH("Avfall i köpt hetvatten",'Köpt hetvatten'!$B$1:$BX$1,0),FALSE),"")</f>
        <v/>
      </c>
      <c r="BL7" s="63" t="str">
        <f>IF($BF7="ja",VLOOKUP($B7,'Egen hetvattenprod'!$B$1:$BX$550,MATCH("Värde enligt ovan. (%)",'Egen hetvattenprod'!$B$1:$BX$1,0),FALSE),"")</f>
        <v/>
      </c>
      <c r="BM7" s="63" t="str">
        <f>IF($BF7="ja",VLOOKUP($B7,Kraftvärmeprod!$B$1:$BX$550,MATCH("Värde enligt ovan. (%)",Kraftvärmeprod!$B$1:$BX$1,0),FALSE),"")</f>
        <v/>
      </c>
    </row>
    <row r="8" spans="1:71" x14ac:dyDescent="0.45">
      <c r="A8" s="63" t="s">
        <v>15</v>
      </c>
      <c r="B8" s="63" t="s">
        <v>30</v>
      </c>
      <c r="C8" s="63">
        <f>VLOOKUP($B8,'Tillförd energi'!$B$1:$AI$720,MATCH(C$2,'Tillförd energi'!$B$1:$AQ$1,0),FALSE)</f>
        <v>0</v>
      </c>
      <c r="D8" s="63">
        <f>VLOOKUP($B8,'Tillförd energi'!$B$1:$AI$720,MATCH(D$2,'Tillförd energi'!$B$1:$AQ$1,0),FALSE)</f>
        <v>0.27800000000000002</v>
      </c>
      <c r="E8" s="63">
        <f>VLOOKUP($B8,'Tillförd energi'!$B$1:$AI$720,MATCH(E$2,'Tillförd energi'!$B$1:$AQ$1,0),FALSE)</f>
        <v>0</v>
      </c>
      <c r="F8" s="63">
        <f>VLOOKUP($B8,'Tillförd energi'!$B$1:$AI$720,MATCH(F$2,'Tillförd energi'!$B$1:$AQ$1,0),FALSE)</f>
        <v>0</v>
      </c>
      <c r="G8" s="63">
        <f>VLOOKUP($B8,'Tillförd energi'!$B$1:$AI$720,MATCH(G$2,'Tillförd energi'!$B$1:$AQ$1,0),FALSE)</f>
        <v>0</v>
      </c>
      <c r="H8" s="63">
        <f>VLOOKUP($B8,'Tillförd energi'!$B$1:$AI$720,MATCH(H$2,'Tillförd energi'!$B$1:$AQ$1,0),FALSE)</f>
        <v>0</v>
      </c>
      <c r="I8" s="63">
        <f>VLOOKUP($B8,'Tillförd energi'!$B$1:$AI$720,MATCH(I$2,'Tillförd energi'!$B$1:$AQ$1,0),FALSE)</f>
        <v>0</v>
      </c>
      <c r="J8" s="63">
        <f>VLOOKUP($B8,'Tillförd energi'!$B$1:$AI$720,MATCH(J$2,'Tillförd energi'!$B$1:$AQ$1,0),FALSE)</f>
        <v>0</v>
      </c>
      <c r="K8" s="63">
        <f>VLOOKUP($B8,'Tillförd energi'!$B$1:$AI$720,MATCH(K$2,'Tillförd energi'!$B$1:$AQ$1,0),FALSE)</f>
        <v>0</v>
      </c>
      <c r="L8" s="63">
        <f>VLOOKUP($B8,'Tillförd energi'!$B$1:$AI$720,MATCH(L$2,'Tillförd energi'!$B$1:$AQ$1,0),FALSE)</f>
        <v>0</v>
      </c>
      <c r="M8" s="63">
        <f>VLOOKUP($B8,'Tillförd energi'!$B$1:$AI$720,MATCH(M$2,'Tillförd energi'!$B$1:$AQ$1,0),FALSE)</f>
        <v>0</v>
      </c>
      <c r="N8" s="63">
        <f>VLOOKUP($B8,'Tillförd energi'!$B$1:$AI$720,MATCH(N$2,'Tillförd energi'!$B$1:$AQ$1,0),FALSE)</f>
        <v>0</v>
      </c>
      <c r="O8" s="63">
        <f>VLOOKUP($B8,'Tillförd energi'!$B$1:$AI$720,MATCH(O$2,'Tillförd energi'!$B$1:$AQ$1,0),FALSE)</f>
        <v>0</v>
      </c>
      <c r="P8" s="63">
        <f>VLOOKUP($B8,'Tillförd energi'!$B$1:$AI$720,MATCH(P$2,'Tillförd energi'!$B$1:$AQ$1,0),FALSE)</f>
        <v>0</v>
      </c>
      <c r="Q8" s="63">
        <f>VLOOKUP($B8,'Tillförd energi'!$B$1:$AI$720,MATCH(Q$2,'Tillförd energi'!$B$1:$AQ$1,0),FALSE)</f>
        <v>27.106000000000002</v>
      </c>
      <c r="R8" s="63">
        <f>VLOOKUP($B8,'Tillförd energi'!$B$1:$AI$720,MATCH(R$2,'Tillförd energi'!$B$1:$AQ$1,0),FALSE)</f>
        <v>0</v>
      </c>
      <c r="S8" s="63">
        <f>VLOOKUP($B8,'Tillförd energi'!$B$1:$AI$720,MATCH(S$2,'Tillförd energi'!$B$1:$AQ$1,0),FALSE)</f>
        <v>0</v>
      </c>
      <c r="T8" s="63">
        <f>VLOOKUP($B8,'Tillförd energi'!$B$1:$AI$720,MATCH(T$2,'Tillförd energi'!$B$1:$AQ$1,0),FALSE)</f>
        <v>0</v>
      </c>
      <c r="U8" s="63">
        <f>VLOOKUP($B8,'Tillförd energi'!$B$1:$AI$720,MATCH(U$2,'Tillförd energi'!$B$1:$AQ$1,0),FALSE)</f>
        <v>0</v>
      </c>
      <c r="V8" s="63">
        <f>VLOOKUP($B8,'Tillförd energi'!$B$1:$AI$720,MATCH(V$2,'Tillförd energi'!$B$1:$AQ$1,0),FALSE)</f>
        <v>0</v>
      </c>
      <c r="W8" s="63">
        <f>VLOOKUP($B8,'Tillförd energi'!$B$1:$AI$720,MATCH(W$2,'Tillförd energi'!$B$1:$AQ$1,0),FALSE)</f>
        <v>1.119</v>
      </c>
      <c r="X8" s="63">
        <f>VLOOKUP($B8,'Tillförd energi'!$B$1:$AI$720,MATCH(X$2,'Tillförd energi'!$B$1:$AQ$1,0),FALSE)</f>
        <v>0</v>
      </c>
      <c r="Y8" s="63">
        <f>VLOOKUP($B8,'Tillförd energi'!$B$1:$AI$720,MATCH(Y$2,'Tillförd energi'!$B$1:$AQ$1,0),FALSE)</f>
        <v>0</v>
      </c>
      <c r="Z8" s="63">
        <f>VLOOKUP($B8,'Tillförd energi'!$B$1:$AI$720,MATCH(Z$2,'Tillförd energi'!$B$1:$AQ$1,0),FALSE)</f>
        <v>0</v>
      </c>
      <c r="AA8" s="63">
        <f>VLOOKUP($B8,'Tillförd energi'!$B$1:$AI$720,MATCH(AA$2,'Tillförd energi'!$B$1:$AQ$1,0),FALSE)</f>
        <v>0</v>
      </c>
      <c r="AB8" s="63">
        <f>VLOOKUP($B8,'Tillförd energi'!$B$1:$AI$720,MATCH(AB$2,'Tillförd energi'!$B$1:$AQ$1,0),FALSE)</f>
        <v>0</v>
      </c>
      <c r="AC8" s="63">
        <f>VLOOKUP($B8,'Tillförd energi'!$B$1:$AI$720,MATCH(AC$2,'Tillförd energi'!$B$1:$AQ$1,0),FALSE)</f>
        <v>2.7759999999999998</v>
      </c>
      <c r="AD8" s="63">
        <f>VLOOKUP($B8,'Tillförd energi'!$B$1:$AI$720,MATCH(AD$2,'Tillförd energi'!$B$1:$AQ$1,0),FALSE)</f>
        <v>0</v>
      </c>
      <c r="AE8" s="63">
        <f>VLOOKUP($B8,'Tillförd energi'!$B$1:$AI$720,MATCH(AE$2,'Tillförd energi'!$B$1:$AQ$1,0),FALSE)</f>
        <v>0</v>
      </c>
      <c r="AF8" s="63">
        <f>VLOOKUP($B8,'Tillförd energi'!$B$1:$AI$720,MATCH(AF$2,'Tillförd energi'!$B$1:$AQ$1,0),FALSE)</f>
        <v>0.93200000000000005</v>
      </c>
      <c r="AG8" s="63">
        <f>IFERROR(VLOOKUP(B8,Miljö!$B$1:$AC$550,MATCH("Köpt mängd produktionsspecifik fjärrvärme:",Miljö!$B$1:$AC$1,0),FALSE)/1,0)</f>
        <v>0</v>
      </c>
      <c r="AI8" s="63">
        <f t="shared" si="0"/>
        <v>32.210999999999999</v>
      </c>
      <c r="AJ8" s="63">
        <f>IF(ISERROR(1/VLOOKUP($B8,Leveranser!$B$1:$S$500,MATCH("såld värme (gwh)",Leveranser!$B$1:$S$1,0),FALSE)),"",VLOOKUP($B8,Leveranser!$B$1:$S$500,MATCH("såld värme (gwh)",Leveranser!$B$1:$S$1,0),FALSE))</f>
        <v>22.984000000000002</v>
      </c>
      <c r="AM8" s="63" t="str">
        <f>IF(B8&lt;&gt;"",IF(VLOOKUP($B8,Totalt!$B$1:$AQ$554,MATCH("Kvalitetsgranskad:",Totalt!$B$1:$AQ$1,0),FALSE)="ja",VLOOKUP($B8,Miljö!$B$1:$AG$479,MATCH(AM$2,Miljö!$B$1:$AK$1,0),FALSE),""),"")</f>
        <v>Ja</v>
      </c>
      <c r="AN8" s="63" t="str">
        <f>IF(AM8="ja",VLOOKUP($B8,Miljö!$B$1:$J$479,MATCH("Typ av ursprungsspecificerad el   (Om inget värde anges används Nordisk residualmix, se inforuta) ()",Miljö!$B$1:$J$1,0),FALSE),IF(AM8="nej","Nordisk residualel",""))</f>
        <v>'Kärnkraft'</v>
      </c>
      <c r="AO8" s="63">
        <f>IF(AM8="","",VLOOKUP($B8,Miljö!$B$1:$J$479,MATCH("Fossilandel för ursprungspecificerad el ()",Miljö!$B$1:$J$1,0),FALSE))</f>
        <v>0</v>
      </c>
      <c r="AQ8" s="63">
        <f t="shared" si="1"/>
        <v>1</v>
      </c>
      <c r="AS8" s="63" t="str">
        <f t="shared" si="2"/>
        <v>Nej</v>
      </c>
      <c r="AT8" s="63" t="str">
        <f>IF(AS8="ja",VLOOKUP($B8,Miljö!$B$1:$P$500,MATCH("Fossil andel i procent (%)",Miljö!$B$1:$P$1,0),FALSE)/100,"")</f>
        <v/>
      </c>
      <c r="AV8" s="63" t="str">
        <f t="shared" si="3"/>
        <v>Nej</v>
      </c>
      <c r="AW8" s="63" t="str">
        <f>IF(AV8="ja",VLOOKUP($B8,'Egen hetvattenprod'!$B$1:$AO$500,MATCH("Värmekälla till värmepumpar ()",'Egen hetvattenprod'!$B$1:$AO$1,0),FALSE),"")</f>
        <v/>
      </c>
      <c r="AY8" s="63" t="str">
        <f t="shared" si="4"/>
        <v>Ja</v>
      </c>
      <c r="AZ8" s="77">
        <f>IF($AY8="ja",(VLOOKUP($B8,'Egen hetvattenprod'!$B$1:$BX$550,MATCH(AZ$2,'Egen hetvattenprod'!$B$1:$BX$1,0),FALSE)+VLOOKUP($B8,Kraftvärmeprod!$B$1:$BX$550,MATCH(AZ$2,Kraftvärmeprod!$B$1:$BX$1,0),FALSE))/$AC8,"")</f>
        <v>1</v>
      </c>
      <c r="BA8" s="77">
        <f>IF($AY8="ja",(VLOOKUP($B8,'Egen hetvattenprod'!$B$1:$BX$550,MATCH(BA$2,'Egen hetvattenprod'!$B$1:$BX$1,0),FALSE)+VLOOKUP($B8,Kraftvärmeprod!$B$1:$BX$550,MATCH(BA$2,Kraftvärmeprod!$B$1:$BX$1,0),FALSE))/$AC8,"")</f>
        <v>0</v>
      </c>
      <c r="BB8" s="77">
        <f>IF($AY8="ja",(VLOOKUP($B8,'Egen hetvattenprod'!$B$1:$BX$550,MATCH(BB$2,'Egen hetvattenprod'!$B$1:$BX$1,0),FALSE)+VLOOKUP($B8,Kraftvärmeprod!$B$1:$BX$550,MATCH(BB$2,Kraftvärmeprod!$B$1:$BX$1,0),FALSE))/$AC8,"")</f>
        <v>0</v>
      </c>
      <c r="BC8" s="77">
        <f>IF($AY8="ja",(VLOOKUP($B8,'Egen hetvattenprod'!$B$1:$BX$550,MATCH(BC$2,'Egen hetvattenprod'!$B$1:$BX$1,0),FALSE)+VLOOKUP($B8,Kraftvärmeprod!$B$1:$BX$550,MATCH(BC$2,Kraftvärmeprod!$B$1:$BX$1,0),FALSE))/$AC8,"")</f>
        <v>0</v>
      </c>
      <c r="BD8" s="77">
        <f>IF($AY8="ja",(VLOOKUP($B8,'Egen hetvattenprod'!$B$1:$BX$550,MATCH(BD$2,'Egen hetvattenprod'!$B$1:$BX$1,0),FALSE)+VLOOKUP($B8,Kraftvärmeprod!$B$1:$BX$550,MATCH(BD$2,Kraftvärmeprod!$B$1:$BX$1,0),FALSE))/$AC8,"")</f>
        <v>0</v>
      </c>
      <c r="BF8" s="63" t="str">
        <f t="shared" si="5"/>
        <v>Nej</v>
      </c>
      <c r="BG8" s="63" t="str">
        <f>IF($BF8="ja",VLOOKUP($B8,'Egen hetvattenprod'!$B$1:$BX$550,MATCH("Andelen klimatgaser med fossilt ursprung för avfall ()",'Egen hetvattenprod'!$B$1:$BX$1,0),FALSE),"")</f>
        <v/>
      </c>
      <c r="BH8" s="63" t="str">
        <f>IF($BF8="ja",VLOOKUP($B8,Kraftvärmeprod!$B$1:$BX$550,MATCH("Andelen klimatgaser med fossilt ursprung för avfall ()",Kraftvärmeprod!$B$1:$BX$1,0),FALSE),"")</f>
        <v/>
      </c>
      <c r="BI8" s="63" t="str">
        <f>IF($BF8="ja",VLOOKUP($B8,'Egen hetvattenprod'!$B$1:$BX$550,MATCH("Avfall (GWh)",'Egen hetvattenprod'!$B$1:$BX$1,0),FALSE),"")</f>
        <v/>
      </c>
      <c r="BJ8" s="63" t="str">
        <f>IF($BF8="ja",VLOOKUP($B8,'Slutlig allokering kvv'!$B$1:$BX$550,MATCH("Avfall (GWh)",'Slutlig allokering kvv'!$B$1:$BX$1,0),FALSE),"")</f>
        <v/>
      </c>
      <c r="BK8" s="63" t="str">
        <f>IF($BF8="ja",VLOOKUP($B8,'Köpt hetvatten'!$B$1:$BX$550,MATCH("Avfall i köpt hetvatten",'Köpt hetvatten'!$B$1:$BX$1,0),FALSE),"")</f>
        <v/>
      </c>
      <c r="BL8" s="63" t="str">
        <f>IF($BF8="ja",VLOOKUP($B8,'Egen hetvattenprod'!$B$1:$BX$550,MATCH("Värde enligt ovan. (%)",'Egen hetvattenprod'!$B$1:$BX$1,0),FALSE),"")</f>
        <v/>
      </c>
      <c r="BM8" s="63" t="str">
        <f>IF($BF8="ja",VLOOKUP($B8,Kraftvärmeprod!$B$1:$BX$550,MATCH("Värde enligt ovan. (%)",Kraftvärmeprod!$B$1:$BX$1,0),FALSE),"")</f>
        <v/>
      </c>
    </row>
    <row r="9" spans="1:71" x14ac:dyDescent="0.45">
      <c r="A9" s="63" t="s">
        <v>15</v>
      </c>
      <c r="B9" s="63" t="s">
        <v>26</v>
      </c>
      <c r="C9" s="63">
        <f>VLOOKUP($B9,'Tillförd energi'!$B$1:$AI$720,MATCH(C$2,'Tillförd energi'!$B$1:$AQ$1,0),FALSE)</f>
        <v>0</v>
      </c>
      <c r="D9" s="63">
        <f>VLOOKUP($B9,'Tillförd energi'!$B$1:$AI$720,MATCH(D$2,'Tillförd energi'!$B$1:$AQ$1,0),FALSE)</f>
        <v>0</v>
      </c>
      <c r="E9" s="63">
        <f>VLOOKUP($B9,'Tillförd energi'!$B$1:$AI$720,MATCH(E$2,'Tillförd energi'!$B$1:$AQ$1,0),FALSE)</f>
        <v>0</v>
      </c>
      <c r="F9" s="63">
        <f>VLOOKUP($B9,'Tillförd energi'!$B$1:$AI$720,MATCH(F$2,'Tillförd energi'!$B$1:$AQ$1,0),FALSE)</f>
        <v>0</v>
      </c>
      <c r="G9" s="63">
        <f>VLOOKUP($B9,'Tillförd energi'!$B$1:$AI$720,MATCH(G$2,'Tillförd energi'!$B$1:$AQ$1,0),FALSE)</f>
        <v>0</v>
      </c>
      <c r="H9" s="63">
        <f>VLOOKUP($B9,'Tillförd energi'!$B$1:$AI$720,MATCH(H$2,'Tillförd energi'!$B$1:$AQ$1,0),FALSE)</f>
        <v>0</v>
      </c>
      <c r="I9" s="63">
        <f>VLOOKUP($B9,'Tillförd energi'!$B$1:$AI$720,MATCH(I$2,'Tillförd energi'!$B$1:$AQ$1,0),FALSE)</f>
        <v>0</v>
      </c>
      <c r="J9" s="63">
        <f>VLOOKUP($B9,'Tillförd energi'!$B$1:$AI$720,MATCH(J$2,'Tillförd energi'!$B$1:$AQ$1,0),FALSE)</f>
        <v>1.2</v>
      </c>
      <c r="K9" s="63">
        <f>VLOOKUP($B9,'Tillförd energi'!$B$1:$AI$720,MATCH(K$2,'Tillförd energi'!$B$1:$AQ$1,0),FALSE)</f>
        <v>0</v>
      </c>
      <c r="L9" s="63">
        <f>VLOOKUP($B9,'Tillförd energi'!$B$1:$AI$720,MATCH(L$2,'Tillförd energi'!$B$1:$AQ$1,0),FALSE)</f>
        <v>0</v>
      </c>
      <c r="M9" s="63">
        <f>VLOOKUP($B9,'Tillförd energi'!$B$1:$AI$720,MATCH(M$2,'Tillförd energi'!$B$1:$AQ$1,0),FALSE)</f>
        <v>0</v>
      </c>
      <c r="N9" s="63">
        <f>VLOOKUP($B9,'Tillförd energi'!$B$1:$AI$720,MATCH(N$2,'Tillförd energi'!$B$1:$AQ$1,0),FALSE)</f>
        <v>0</v>
      </c>
      <c r="O9" s="63">
        <f>VLOOKUP($B9,'Tillförd energi'!$B$1:$AI$720,MATCH(O$2,'Tillförd energi'!$B$1:$AQ$1,0),FALSE)</f>
        <v>0</v>
      </c>
      <c r="P9" s="63">
        <f>VLOOKUP($B9,'Tillförd energi'!$B$1:$AI$720,MATCH(P$2,'Tillförd energi'!$B$1:$AQ$1,0),FALSE)</f>
        <v>0</v>
      </c>
      <c r="Q9" s="63">
        <f>VLOOKUP($B9,'Tillförd energi'!$B$1:$AI$720,MATCH(Q$2,'Tillförd energi'!$B$1:$AQ$1,0),FALSE)</f>
        <v>27.614999999999998</v>
      </c>
      <c r="R9" s="63">
        <f>VLOOKUP($B9,'Tillförd energi'!$B$1:$AI$720,MATCH(R$2,'Tillförd energi'!$B$1:$AQ$1,0),FALSE)</f>
        <v>0</v>
      </c>
      <c r="S9" s="63">
        <f>VLOOKUP($B9,'Tillförd energi'!$B$1:$AI$720,MATCH(S$2,'Tillförd energi'!$B$1:$AQ$1,0),FALSE)</f>
        <v>0</v>
      </c>
      <c r="T9" s="63">
        <f>VLOOKUP($B9,'Tillförd energi'!$B$1:$AI$720,MATCH(T$2,'Tillförd energi'!$B$1:$AQ$1,0),FALSE)</f>
        <v>0</v>
      </c>
      <c r="U9" s="63">
        <f>VLOOKUP($B9,'Tillförd energi'!$B$1:$AI$720,MATCH(U$2,'Tillförd energi'!$B$1:$AQ$1,0),FALSE)</f>
        <v>0</v>
      </c>
      <c r="V9" s="63">
        <f>VLOOKUP($B9,'Tillförd energi'!$B$1:$AI$720,MATCH(V$2,'Tillförd energi'!$B$1:$AQ$1,0),FALSE)</f>
        <v>0</v>
      </c>
      <c r="W9" s="63">
        <f>VLOOKUP($B9,'Tillförd energi'!$B$1:$AI$720,MATCH(W$2,'Tillförd energi'!$B$1:$AQ$1,0),FALSE)</f>
        <v>0</v>
      </c>
      <c r="X9" s="63">
        <f>VLOOKUP($B9,'Tillförd energi'!$B$1:$AI$720,MATCH(X$2,'Tillförd energi'!$B$1:$AQ$1,0),FALSE)</f>
        <v>0</v>
      </c>
      <c r="Y9" s="63">
        <f>VLOOKUP($B9,'Tillförd energi'!$B$1:$AI$720,MATCH(Y$2,'Tillförd energi'!$B$1:$AQ$1,0),FALSE)</f>
        <v>0</v>
      </c>
      <c r="Z9" s="63">
        <f>VLOOKUP($B9,'Tillförd energi'!$B$1:$AI$720,MATCH(Z$2,'Tillförd energi'!$B$1:$AQ$1,0),FALSE)</f>
        <v>0</v>
      </c>
      <c r="AA9" s="63">
        <f>VLOOKUP($B9,'Tillförd energi'!$B$1:$AI$720,MATCH(AA$2,'Tillförd energi'!$B$1:$AQ$1,0),FALSE)</f>
        <v>0</v>
      </c>
      <c r="AB9" s="63">
        <f>VLOOKUP($B9,'Tillförd energi'!$B$1:$AI$720,MATCH(AB$2,'Tillförd energi'!$B$1:$AQ$1,0),FALSE)</f>
        <v>0</v>
      </c>
      <c r="AC9" s="63">
        <f>VLOOKUP($B9,'Tillförd energi'!$B$1:$AI$720,MATCH(AC$2,'Tillförd energi'!$B$1:$AQ$1,0),FALSE)</f>
        <v>3.7679999999999998</v>
      </c>
      <c r="AD9" s="63">
        <f>VLOOKUP($B9,'Tillförd energi'!$B$1:$AI$720,MATCH(AD$2,'Tillförd energi'!$B$1:$AQ$1,0),FALSE)</f>
        <v>0</v>
      </c>
      <c r="AE9" s="63">
        <f>VLOOKUP($B9,'Tillförd energi'!$B$1:$AI$720,MATCH(AE$2,'Tillförd energi'!$B$1:$AQ$1,0),FALSE)</f>
        <v>0</v>
      </c>
      <c r="AF9" s="63">
        <f>VLOOKUP($B9,'Tillförd energi'!$B$1:$AI$720,MATCH(AF$2,'Tillförd energi'!$B$1:$AQ$1,0),FALSE)</f>
        <v>0.95199999999999996</v>
      </c>
      <c r="AG9" s="63">
        <f>IFERROR(VLOOKUP(B9,Miljö!$B$1:$AC$550,MATCH("Köpt mängd produktionsspecifik fjärrvärme:",Miljö!$B$1:$AC$1,0),FALSE)/1,0)</f>
        <v>0</v>
      </c>
      <c r="AI9" s="63">
        <f t="shared" si="0"/>
        <v>33.534999999999997</v>
      </c>
      <c r="AJ9" s="63">
        <f>IF(ISERROR(1/VLOOKUP($B9,Leveranser!$B$1:$S$500,MATCH("såld värme (gwh)",Leveranser!$B$1:$S$1,0),FALSE)),"",VLOOKUP($B9,Leveranser!$B$1:$S$500,MATCH("såld värme (gwh)",Leveranser!$B$1:$S$1,0),FALSE))</f>
        <v>25.547000000000001</v>
      </c>
      <c r="AM9" s="63" t="str">
        <f>IF(B9&lt;&gt;"",IF(VLOOKUP($B9,Totalt!$B$1:$AQ$554,MATCH("Kvalitetsgranskad:",Totalt!$B$1:$AQ$1,0),FALSE)="ja",VLOOKUP($B9,Miljö!$B$1:$AG$479,MATCH(AM$2,Miljö!$B$1:$AK$1,0),FALSE),""),"")</f>
        <v>Ja</v>
      </c>
      <c r="AN9" s="63" t="str">
        <f>IF(AM9="ja",VLOOKUP($B9,Miljö!$B$1:$J$479,MATCH("Typ av ursprungsspecificerad el   (Om inget värde anges används Nordisk residualmix, se inforuta) ()",Miljö!$B$1:$J$1,0),FALSE),IF(AM9="nej","Nordisk residualel",""))</f>
        <v>'Kärnkraft'</v>
      </c>
      <c r="AO9" s="63">
        <f>IF(AM9="","",VLOOKUP($B9,Miljö!$B$1:$J$479,MATCH("Fossilandel för ursprungspecificerad el ()",Miljö!$B$1:$J$1,0),FALSE))</f>
        <v>0</v>
      </c>
      <c r="AQ9" s="63">
        <f t="shared" si="1"/>
        <v>1</v>
      </c>
      <c r="AS9" s="63" t="str">
        <f t="shared" si="2"/>
        <v>Nej</v>
      </c>
      <c r="AT9" s="63" t="str">
        <f>IF(AS9="ja",VLOOKUP($B9,Miljö!$B$1:$P$500,MATCH("Fossil andel i procent (%)",Miljö!$B$1:$P$1,0),FALSE)/100,"")</f>
        <v/>
      </c>
      <c r="AV9" s="63" t="str">
        <f t="shared" si="3"/>
        <v>Nej</v>
      </c>
      <c r="AW9" s="63" t="str">
        <f>IF(AV9="ja",VLOOKUP($B9,'Egen hetvattenprod'!$B$1:$AO$500,MATCH("Värmekälla till värmepumpar ()",'Egen hetvattenprod'!$B$1:$AO$1,0),FALSE),"")</f>
        <v/>
      </c>
      <c r="AY9" s="63" t="str">
        <f t="shared" si="4"/>
        <v>Ja</v>
      </c>
      <c r="AZ9" s="77">
        <f>IF($AY9="ja",(VLOOKUP($B9,'Egen hetvattenprod'!$B$1:$BX$550,MATCH(AZ$2,'Egen hetvattenprod'!$B$1:$BX$1,0),FALSE)+VLOOKUP($B9,Kraftvärmeprod!$B$1:$BX$550,MATCH(AZ$2,Kraftvärmeprod!$B$1:$BX$1,0),FALSE))/$AC9,"")</f>
        <v>1</v>
      </c>
      <c r="BA9" s="77">
        <f>IF($AY9="ja",(VLOOKUP($B9,'Egen hetvattenprod'!$B$1:$BX$550,MATCH(BA$2,'Egen hetvattenprod'!$B$1:$BX$1,0),FALSE)+VLOOKUP($B9,Kraftvärmeprod!$B$1:$BX$550,MATCH(BA$2,Kraftvärmeprod!$B$1:$BX$1,0),FALSE))/$AC9,"")</f>
        <v>0</v>
      </c>
      <c r="BB9" s="77">
        <f>IF($AY9="ja",(VLOOKUP($B9,'Egen hetvattenprod'!$B$1:$BX$550,MATCH(BB$2,'Egen hetvattenprod'!$B$1:$BX$1,0),FALSE)+VLOOKUP($B9,Kraftvärmeprod!$B$1:$BX$550,MATCH(BB$2,Kraftvärmeprod!$B$1:$BX$1,0),FALSE))/$AC9,"")</f>
        <v>0</v>
      </c>
      <c r="BC9" s="77">
        <f>IF($AY9="ja",(VLOOKUP($B9,'Egen hetvattenprod'!$B$1:$BX$550,MATCH(BC$2,'Egen hetvattenprod'!$B$1:$BX$1,0),FALSE)+VLOOKUP($B9,Kraftvärmeprod!$B$1:$BX$550,MATCH(BC$2,Kraftvärmeprod!$B$1:$BX$1,0),FALSE))/$AC9,"")</f>
        <v>0</v>
      </c>
      <c r="BD9" s="77">
        <f>IF($AY9="ja",(VLOOKUP($B9,'Egen hetvattenprod'!$B$1:$BX$550,MATCH(BD$2,'Egen hetvattenprod'!$B$1:$BX$1,0),FALSE)+VLOOKUP($B9,Kraftvärmeprod!$B$1:$BX$550,MATCH(BD$2,Kraftvärmeprod!$B$1:$BX$1,0),FALSE))/$AC9,"")</f>
        <v>0</v>
      </c>
      <c r="BF9" s="63" t="str">
        <f t="shared" si="5"/>
        <v>Nej</v>
      </c>
      <c r="BG9" s="63" t="str">
        <f>IF($BF9="ja",VLOOKUP($B9,'Egen hetvattenprod'!$B$1:$BX$550,MATCH("Andelen klimatgaser med fossilt ursprung för avfall ()",'Egen hetvattenprod'!$B$1:$BX$1,0),FALSE),"")</f>
        <v/>
      </c>
      <c r="BH9" s="63" t="str">
        <f>IF($BF9="ja",VLOOKUP($B9,Kraftvärmeprod!$B$1:$BX$550,MATCH("Andelen klimatgaser med fossilt ursprung för avfall ()",Kraftvärmeprod!$B$1:$BX$1,0),FALSE),"")</f>
        <v/>
      </c>
      <c r="BI9" s="63" t="str">
        <f>IF($BF9="ja",VLOOKUP($B9,'Egen hetvattenprod'!$B$1:$BX$550,MATCH("Avfall (GWh)",'Egen hetvattenprod'!$B$1:$BX$1,0),FALSE),"")</f>
        <v/>
      </c>
      <c r="BJ9" s="63" t="str">
        <f>IF($BF9="ja",VLOOKUP($B9,'Slutlig allokering kvv'!$B$1:$BX$550,MATCH("Avfall (GWh)",'Slutlig allokering kvv'!$B$1:$BX$1,0),FALSE),"")</f>
        <v/>
      </c>
      <c r="BK9" s="63" t="str">
        <f>IF($BF9="ja",VLOOKUP($B9,'Köpt hetvatten'!$B$1:$BX$550,MATCH("Avfall i köpt hetvatten",'Köpt hetvatten'!$B$1:$BX$1,0),FALSE),"")</f>
        <v/>
      </c>
      <c r="BL9" s="63" t="str">
        <f>IF($BF9="ja",VLOOKUP($B9,'Egen hetvattenprod'!$B$1:$BX$550,MATCH("Värde enligt ovan. (%)",'Egen hetvattenprod'!$B$1:$BX$1,0),FALSE),"")</f>
        <v/>
      </c>
      <c r="BM9" s="63" t="str">
        <f>IF($BF9="ja",VLOOKUP($B9,Kraftvärmeprod!$B$1:$BX$550,MATCH("Värde enligt ovan. (%)",Kraftvärmeprod!$B$1:$BX$1,0),FALSE),"")</f>
        <v/>
      </c>
    </row>
    <row r="10" spans="1:71" x14ac:dyDescent="0.45">
      <c r="A10" s="63" t="s">
        <v>15</v>
      </c>
      <c r="B10" s="63" t="s">
        <v>20</v>
      </c>
      <c r="C10" s="63">
        <f>VLOOKUP($B10,'Tillförd energi'!$B$1:$AI$720,MATCH(C$2,'Tillförd energi'!$B$1:$AQ$1,0),FALSE)</f>
        <v>0</v>
      </c>
      <c r="D10" s="63">
        <f>VLOOKUP($B10,'Tillförd energi'!$B$1:$AI$720,MATCH(D$2,'Tillförd energi'!$B$1:$AQ$1,0),FALSE)</f>
        <v>0.97499999999999998</v>
      </c>
      <c r="E10" s="63">
        <f>VLOOKUP($B10,'Tillförd energi'!$B$1:$AI$720,MATCH(E$2,'Tillförd energi'!$B$1:$AQ$1,0),FALSE)</f>
        <v>0</v>
      </c>
      <c r="F10" s="63">
        <f>VLOOKUP($B10,'Tillförd energi'!$B$1:$AI$720,MATCH(F$2,'Tillförd energi'!$B$1:$AQ$1,0),FALSE)</f>
        <v>0</v>
      </c>
      <c r="G10" s="63">
        <f>VLOOKUP($B10,'Tillförd energi'!$B$1:$AI$720,MATCH(G$2,'Tillförd energi'!$B$1:$AQ$1,0),FALSE)</f>
        <v>0</v>
      </c>
      <c r="H10" s="63">
        <f>VLOOKUP($B10,'Tillförd energi'!$B$1:$AI$720,MATCH(H$2,'Tillförd energi'!$B$1:$AQ$1,0),FALSE)</f>
        <v>0</v>
      </c>
      <c r="I10" s="63">
        <f>VLOOKUP($B10,'Tillförd energi'!$B$1:$AI$720,MATCH(I$2,'Tillförd energi'!$B$1:$AQ$1,0),FALSE)</f>
        <v>68.287000000000006</v>
      </c>
      <c r="J10" s="63">
        <f>VLOOKUP($B10,'Tillförd energi'!$B$1:$AI$720,MATCH(J$2,'Tillförd energi'!$B$1:$AQ$1,0),FALSE)</f>
        <v>0</v>
      </c>
      <c r="K10" s="63">
        <f>VLOOKUP($B10,'Tillförd energi'!$B$1:$AI$720,MATCH(K$2,'Tillförd energi'!$B$1:$AQ$1,0),FALSE)</f>
        <v>0</v>
      </c>
      <c r="L10" s="63">
        <f>VLOOKUP($B10,'Tillförd energi'!$B$1:$AI$720,MATCH(L$2,'Tillförd energi'!$B$1:$AQ$1,0),FALSE)</f>
        <v>0</v>
      </c>
      <c r="M10" s="63">
        <f>VLOOKUP($B10,'Tillförd energi'!$B$1:$AI$720,MATCH(M$2,'Tillförd energi'!$B$1:$AQ$1,0),FALSE)</f>
        <v>0</v>
      </c>
      <c r="N10" s="63">
        <f>VLOOKUP($B10,'Tillförd energi'!$B$1:$AI$720,MATCH(N$2,'Tillförd energi'!$B$1:$AQ$1,0),FALSE)</f>
        <v>0</v>
      </c>
      <c r="O10" s="63">
        <f>VLOOKUP($B10,'Tillförd energi'!$B$1:$AI$720,MATCH(O$2,'Tillförd energi'!$B$1:$AQ$1,0),FALSE)</f>
        <v>0</v>
      </c>
      <c r="P10" s="63">
        <f>VLOOKUP($B10,'Tillförd energi'!$B$1:$AI$720,MATCH(P$2,'Tillförd energi'!$B$1:$AQ$1,0),FALSE)</f>
        <v>0</v>
      </c>
      <c r="Q10" s="63">
        <f>VLOOKUP($B10,'Tillförd energi'!$B$1:$AI$720,MATCH(Q$2,'Tillförd energi'!$B$1:$AQ$1,0),FALSE)</f>
        <v>43.963999999999999</v>
      </c>
      <c r="R10" s="63">
        <f>VLOOKUP($B10,'Tillförd energi'!$B$1:$AI$720,MATCH(R$2,'Tillförd energi'!$B$1:$AQ$1,0),FALSE)</f>
        <v>0</v>
      </c>
      <c r="S10" s="63">
        <f>VLOOKUP($B10,'Tillförd energi'!$B$1:$AI$720,MATCH(S$2,'Tillförd energi'!$B$1:$AQ$1,0),FALSE)</f>
        <v>0</v>
      </c>
      <c r="T10" s="63">
        <f>VLOOKUP($B10,'Tillförd energi'!$B$1:$AI$720,MATCH(T$2,'Tillförd energi'!$B$1:$AQ$1,0),FALSE)</f>
        <v>0</v>
      </c>
      <c r="U10" s="63">
        <f>VLOOKUP($B10,'Tillförd energi'!$B$1:$AI$720,MATCH(U$2,'Tillförd energi'!$B$1:$AQ$1,0),FALSE)</f>
        <v>0</v>
      </c>
      <c r="V10" s="63">
        <f>VLOOKUP($B10,'Tillförd energi'!$B$1:$AI$720,MATCH(V$2,'Tillförd energi'!$B$1:$AQ$1,0),FALSE)</f>
        <v>0</v>
      </c>
      <c r="W10" s="63">
        <f>VLOOKUP($B10,'Tillförd energi'!$B$1:$AI$720,MATCH(W$2,'Tillförd energi'!$B$1:$AQ$1,0),FALSE)</f>
        <v>0</v>
      </c>
      <c r="X10" s="63">
        <f>VLOOKUP($B10,'Tillförd energi'!$B$1:$AI$720,MATCH(X$2,'Tillförd energi'!$B$1:$AQ$1,0),FALSE)</f>
        <v>0</v>
      </c>
      <c r="Y10" s="63">
        <f>VLOOKUP($B10,'Tillförd energi'!$B$1:$AI$720,MATCH(Y$2,'Tillförd energi'!$B$1:$AQ$1,0),FALSE)</f>
        <v>0</v>
      </c>
      <c r="Z10" s="63">
        <f>VLOOKUP($B10,'Tillförd energi'!$B$1:$AI$720,MATCH(Z$2,'Tillförd energi'!$B$1:$AQ$1,0),FALSE)</f>
        <v>0</v>
      </c>
      <c r="AA10" s="63">
        <f>VLOOKUP($B10,'Tillförd energi'!$B$1:$AI$720,MATCH(AA$2,'Tillförd energi'!$B$1:$AQ$1,0),FALSE)</f>
        <v>0</v>
      </c>
      <c r="AB10" s="63">
        <f>VLOOKUP($B10,'Tillförd energi'!$B$1:$AI$720,MATCH(AB$2,'Tillförd energi'!$B$1:$AQ$1,0),FALSE)</f>
        <v>0</v>
      </c>
      <c r="AC10" s="63">
        <f>VLOOKUP($B10,'Tillförd energi'!$B$1:$AI$720,MATCH(AC$2,'Tillförd energi'!$B$1:$AQ$1,0),FALSE)</f>
        <v>6.8360000000000003</v>
      </c>
      <c r="AD10" s="63">
        <f>VLOOKUP($B10,'Tillförd energi'!$B$1:$AI$720,MATCH(AD$2,'Tillförd energi'!$B$1:$AQ$1,0),FALSE)</f>
        <v>18.297999999999998</v>
      </c>
      <c r="AE10" s="63">
        <f>VLOOKUP($B10,'Tillförd energi'!$B$1:$AI$720,MATCH(AE$2,'Tillförd energi'!$B$1:$AQ$1,0),FALSE)</f>
        <v>0</v>
      </c>
      <c r="AF10" s="63">
        <f>VLOOKUP($B10,'Tillförd energi'!$B$1:$AI$720,MATCH(AF$2,'Tillförd energi'!$B$1:$AQ$1,0),FALSE)</f>
        <v>4</v>
      </c>
      <c r="AG10" s="63">
        <f>IFERROR(VLOOKUP(B10,Miljö!$B$1:$AC$550,MATCH("Köpt mängd produktionsspecifik fjärrvärme:",Miljö!$B$1:$AC$1,0),FALSE)/1,0)</f>
        <v>0</v>
      </c>
      <c r="AI10" s="63">
        <f t="shared" si="0"/>
        <v>142.35999999999999</v>
      </c>
      <c r="AJ10" s="63">
        <f>IF(ISERROR(1/VLOOKUP($B10,Leveranser!$B$1:$S$500,MATCH("såld värme (gwh)",Leveranser!$B$1:$S$1,0),FALSE)),"",VLOOKUP($B10,Leveranser!$B$1:$S$500,MATCH("såld värme (gwh)",Leveranser!$B$1:$S$1,0),FALSE))</f>
        <v>104.622</v>
      </c>
      <c r="AM10" s="63" t="str">
        <f>IF(B10&lt;&gt;"",IF(VLOOKUP($B10,Totalt!$B$1:$AQ$554,MATCH("Kvalitetsgranskad:",Totalt!$B$1:$AQ$1,0),FALSE)="ja",VLOOKUP($B10,Miljö!$B$1:$AG$479,MATCH(AM$2,Miljö!$B$1:$AK$1,0),FALSE),""),"")</f>
        <v>Ja</v>
      </c>
      <c r="AN10" s="63" t="str">
        <f>IF(AM10="ja",VLOOKUP($B10,Miljö!$B$1:$J$479,MATCH("Typ av ursprungsspecificerad el   (Om inget värde anges används Nordisk residualmix, se inforuta) ()",Miljö!$B$1:$J$1,0),FALSE),IF(AM10="nej","Nordisk residualel",""))</f>
        <v>'Kärnkraft'</v>
      </c>
      <c r="AO10" s="63">
        <f>IF(AM10="","",VLOOKUP($B10,Miljö!$B$1:$J$479,MATCH("Fossilandel för ursprungspecificerad el ()",Miljö!$B$1:$J$1,0),FALSE))</f>
        <v>0</v>
      </c>
      <c r="AQ10" s="63">
        <f t="shared" si="1"/>
        <v>1</v>
      </c>
      <c r="AS10" s="63" t="str">
        <f t="shared" si="2"/>
        <v>Nej</v>
      </c>
      <c r="AT10" s="63" t="str">
        <f>IF(AS10="ja",VLOOKUP($B10,Miljö!$B$1:$P$500,MATCH("Fossil andel i procent (%)",Miljö!$B$1:$P$1,0),FALSE)/100,"")</f>
        <v/>
      </c>
      <c r="AV10" s="63" t="str">
        <f t="shared" si="3"/>
        <v>Nej</v>
      </c>
      <c r="AW10" s="63" t="str">
        <f>IF(AV10="ja",VLOOKUP($B10,'Egen hetvattenprod'!$B$1:$AO$500,MATCH("Värmekälla till värmepumpar ()",'Egen hetvattenprod'!$B$1:$AO$1,0),FALSE),"")</f>
        <v/>
      </c>
      <c r="AY10" s="63" t="str">
        <f t="shared" si="4"/>
        <v>Ja</v>
      </c>
      <c r="AZ10" s="77">
        <f>IF($AY10="ja",(VLOOKUP($B10,'Egen hetvattenprod'!$B$1:$BX$550,MATCH(AZ$2,'Egen hetvattenprod'!$B$1:$BX$1,0),FALSE)+VLOOKUP($B10,Kraftvärmeprod!$B$1:$BX$550,MATCH(AZ$2,Kraftvärmeprod!$B$1:$BX$1,0),FALSE))/$AC10,"")</f>
        <v>1</v>
      </c>
      <c r="BA10" s="77">
        <f>IF($AY10="ja",(VLOOKUP($B10,'Egen hetvattenprod'!$B$1:$BX$550,MATCH(BA$2,'Egen hetvattenprod'!$B$1:$BX$1,0),FALSE)+VLOOKUP($B10,Kraftvärmeprod!$B$1:$BX$550,MATCH(BA$2,Kraftvärmeprod!$B$1:$BX$1,0),FALSE))/$AC10,"")</f>
        <v>0</v>
      </c>
      <c r="BB10" s="77">
        <f>IF($AY10="ja",(VLOOKUP($B10,'Egen hetvattenprod'!$B$1:$BX$550,MATCH(BB$2,'Egen hetvattenprod'!$B$1:$BX$1,0),FALSE)+VLOOKUP($B10,Kraftvärmeprod!$B$1:$BX$550,MATCH(BB$2,Kraftvärmeprod!$B$1:$BX$1,0),FALSE))/$AC10,"")</f>
        <v>0</v>
      </c>
      <c r="BC10" s="77">
        <f>IF($AY10="ja",(VLOOKUP($B10,'Egen hetvattenprod'!$B$1:$BX$550,MATCH(BC$2,'Egen hetvattenprod'!$B$1:$BX$1,0),FALSE)+VLOOKUP($B10,Kraftvärmeprod!$B$1:$BX$550,MATCH(BC$2,Kraftvärmeprod!$B$1:$BX$1,0),FALSE))/$AC10,"")</f>
        <v>0</v>
      </c>
      <c r="BD10" s="77">
        <f>IF($AY10="ja",(VLOOKUP($B10,'Egen hetvattenprod'!$B$1:$BX$550,MATCH(BD$2,'Egen hetvattenprod'!$B$1:$BX$1,0),FALSE)+VLOOKUP($B10,Kraftvärmeprod!$B$1:$BX$550,MATCH(BD$2,Kraftvärmeprod!$B$1:$BX$1,0),FALSE))/$AC10,"")</f>
        <v>0</v>
      </c>
      <c r="BF10" s="63" t="str">
        <f t="shared" si="5"/>
        <v>Ja</v>
      </c>
      <c r="BG10" s="63" t="str">
        <f>IF($BF10="ja",VLOOKUP($B10,'Egen hetvattenprod'!$B$1:$BX$550,MATCH("Andelen klimatgaser med fossilt ursprung för avfall ()",'Egen hetvattenprod'!$B$1:$BX$1,0),FALSE),"")</f>
        <v>Schablon</v>
      </c>
      <c r="BH10" s="63" t="str">
        <f>IF($BF10="ja",VLOOKUP($B10,Kraftvärmeprod!$B$1:$BX$550,MATCH("Andelen klimatgaser med fossilt ursprung för avfall ()",Kraftvärmeprod!$B$1:$BX$1,0),FALSE),"")</f>
        <v>ET</v>
      </c>
      <c r="BI10" s="63">
        <f>IF($BF10="ja",VLOOKUP($B10,'Egen hetvattenprod'!$B$1:$BX$550,MATCH("Avfall (GWh)",'Egen hetvattenprod'!$B$1:$BX$1,0),FALSE),"")</f>
        <v>68.287000000000006</v>
      </c>
      <c r="BJ10" s="63">
        <f>IF($BF10="ja",VLOOKUP($B10,'Slutlig allokering kvv'!$B$1:$BX$550,MATCH("Avfall (GWh)",'Slutlig allokering kvv'!$B$1:$BX$1,0),FALSE),"")</f>
        <v>0</v>
      </c>
      <c r="BK10" s="63">
        <f>IF($BF10="ja",VLOOKUP($B10,'Köpt hetvatten'!$B$1:$BX$550,MATCH("Avfall i köpt hetvatten",'Köpt hetvatten'!$B$1:$BX$1,0),FALSE),"")</f>
        <v>0</v>
      </c>
      <c r="BL10" s="63">
        <f>IF($BF10="ja",VLOOKUP($B10,'Egen hetvattenprod'!$B$1:$BX$550,MATCH("Värde enligt ovan. (%)",'Egen hetvattenprod'!$B$1:$BX$1,0),FALSE),"")</f>
        <v>37.299999999999997</v>
      </c>
      <c r="BM10" s="63" t="str">
        <f>IF($BF10="ja",VLOOKUP($B10,Kraftvärmeprod!$B$1:$BX$550,MATCH("Värde enligt ovan. (%)",Kraftvärmeprod!$B$1:$BX$1,0),FALSE),"")</f>
        <v>ET</v>
      </c>
    </row>
    <row r="11" spans="1:71" x14ac:dyDescent="0.45">
      <c r="A11" s="63" t="s">
        <v>15</v>
      </c>
      <c r="B11" s="63" t="s">
        <v>32</v>
      </c>
      <c r="C11" s="63">
        <f>VLOOKUP($B11,'Tillförd energi'!$B$1:$AI$720,MATCH(C$2,'Tillförd energi'!$B$1:$AQ$1,0),FALSE)</f>
        <v>0</v>
      </c>
      <c r="D11" s="63">
        <f>VLOOKUP($B11,'Tillförd energi'!$B$1:$AI$720,MATCH(D$2,'Tillförd energi'!$B$1:$AQ$1,0),FALSE)</f>
        <v>0.03</v>
      </c>
      <c r="E11" s="63">
        <f>VLOOKUP($B11,'Tillförd energi'!$B$1:$AI$720,MATCH(E$2,'Tillförd energi'!$B$1:$AQ$1,0),FALSE)</f>
        <v>0</v>
      </c>
      <c r="F11" s="63">
        <f>VLOOKUP($B11,'Tillförd energi'!$B$1:$AI$720,MATCH(F$2,'Tillförd energi'!$B$1:$AQ$1,0),FALSE)</f>
        <v>0</v>
      </c>
      <c r="G11" s="63">
        <f>VLOOKUP($B11,'Tillförd energi'!$B$1:$AI$720,MATCH(G$2,'Tillförd energi'!$B$1:$AQ$1,0),FALSE)</f>
        <v>0</v>
      </c>
      <c r="H11" s="63">
        <f>VLOOKUP($B11,'Tillförd energi'!$B$1:$AI$720,MATCH(H$2,'Tillförd energi'!$B$1:$AQ$1,0),FALSE)</f>
        <v>0.04</v>
      </c>
      <c r="I11" s="63">
        <f>VLOOKUP($B11,'Tillförd energi'!$B$1:$AI$720,MATCH(I$2,'Tillförd energi'!$B$1:$AQ$1,0),FALSE)</f>
        <v>0</v>
      </c>
      <c r="J11" s="63">
        <f>VLOOKUP($B11,'Tillförd energi'!$B$1:$AI$720,MATCH(J$2,'Tillförd energi'!$B$1:$AQ$1,0),FALSE)</f>
        <v>0.314</v>
      </c>
      <c r="K11" s="63">
        <f>VLOOKUP($B11,'Tillförd energi'!$B$1:$AI$720,MATCH(K$2,'Tillförd energi'!$B$1:$AQ$1,0),FALSE)</f>
        <v>0</v>
      </c>
      <c r="L11" s="63">
        <f>VLOOKUP($B11,'Tillförd energi'!$B$1:$AI$720,MATCH(L$2,'Tillförd energi'!$B$1:$AQ$1,0),FALSE)</f>
        <v>0</v>
      </c>
      <c r="M11" s="63">
        <f>VLOOKUP($B11,'Tillförd energi'!$B$1:$AI$720,MATCH(M$2,'Tillförd energi'!$B$1:$AQ$1,0),FALSE)</f>
        <v>0</v>
      </c>
      <c r="N11" s="63">
        <f>VLOOKUP($B11,'Tillförd energi'!$B$1:$AI$720,MATCH(N$2,'Tillförd energi'!$B$1:$AQ$1,0),FALSE)</f>
        <v>0</v>
      </c>
      <c r="O11" s="63">
        <f>VLOOKUP($B11,'Tillförd energi'!$B$1:$AI$720,MATCH(O$2,'Tillförd energi'!$B$1:$AQ$1,0),FALSE)</f>
        <v>0</v>
      </c>
      <c r="P11" s="63">
        <f>VLOOKUP($B11,'Tillförd energi'!$B$1:$AI$720,MATCH(P$2,'Tillförd energi'!$B$1:$AQ$1,0),FALSE)</f>
        <v>0</v>
      </c>
      <c r="Q11" s="63">
        <f>VLOOKUP($B11,'Tillförd energi'!$B$1:$AI$720,MATCH(Q$2,'Tillförd energi'!$B$1:$AQ$1,0),FALSE)</f>
        <v>70.410399999999996</v>
      </c>
      <c r="R11" s="63">
        <f>VLOOKUP($B11,'Tillförd energi'!$B$1:$AI$720,MATCH(R$2,'Tillförd energi'!$B$1:$AQ$1,0),FALSE)</f>
        <v>0</v>
      </c>
      <c r="S11" s="63">
        <f>VLOOKUP($B11,'Tillförd energi'!$B$1:$AI$720,MATCH(S$2,'Tillförd energi'!$B$1:$AQ$1,0),FALSE)</f>
        <v>6.343</v>
      </c>
      <c r="T11" s="63">
        <f>VLOOKUP($B11,'Tillförd energi'!$B$1:$AI$720,MATCH(T$2,'Tillförd energi'!$B$1:$AQ$1,0),FALSE)</f>
        <v>0</v>
      </c>
      <c r="U11" s="63">
        <f>VLOOKUP($B11,'Tillförd energi'!$B$1:$AI$720,MATCH(U$2,'Tillförd energi'!$B$1:$AQ$1,0),FALSE)</f>
        <v>0</v>
      </c>
      <c r="V11" s="63">
        <f>VLOOKUP($B11,'Tillförd energi'!$B$1:$AI$720,MATCH(V$2,'Tillförd energi'!$B$1:$AQ$1,0),FALSE)</f>
        <v>0</v>
      </c>
      <c r="W11" s="63">
        <f>VLOOKUP($B11,'Tillförd energi'!$B$1:$AI$720,MATCH(W$2,'Tillförd energi'!$B$1:$AQ$1,0),FALSE)</f>
        <v>1.5349999999999999</v>
      </c>
      <c r="X11" s="63">
        <f>VLOOKUP($B11,'Tillförd energi'!$B$1:$AI$720,MATCH(X$2,'Tillförd energi'!$B$1:$AQ$1,0),FALSE)</f>
        <v>0</v>
      </c>
      <c r="Y11" s="63">
        <f>VLOOKUP($B11,'Tillförd energi'!$B$1:$AI$720,MATCH(Y$2,'Tillförd energi'!$B$1:$AQ$1,0),FALSE)</f>
        <v>0</v>
      </c>
      <c r="Z11" s="63">
        <f>VLOOKUP($B11,'Tillförd energi'!$B$1:$AI$720,MATCH(Z$2,'Tillförd energi'!$B$1:$AQ$1,0),FALSE)</f>
        <v>0</v>
      </c>
      <c r="AA11" s="63">
        <f>VLOOKUP($B11,'Tillförd energi'!$B$1:$AI$720,MATCH(AA$2,'Tillförd energi'!$B$1:$AQ$1,0),FALSE)</f>
        <v>0</v>
      </c>
      <c r="AB11" s="63">
        <f>VLOOKUP($B11,'Tillförd energi'!$B$1:$AI$720,MATCH(AB$2,'Tillförd energi'!$B$1:$AQ$1,0),FALSE)</f>
        <v>0</v>
      </c>
      <c r="AC11" s="63">
        <f>VLOOKUP($B11,'Tillförd energi'!$B$1:$AI$720,MATCH(AC$2,'Tillförd energi'!$B$1:$AQ$1,0),FALSE)</f>
        <v>13.855</v>
      </c>
      <c r="AD11" s="63">
        <f>VLOOKUP($B11,'Tillförd energi'!$B$1:$AI$720,MATCH(AD$2,'Tillförd energi'!$B$1:$AQ$1,0),FALSE)</f>
        <v>0</v>
      </c>
      <c r="AE11" s="63">
        <f>VLOOKUP($B11,'Tillförd energi'!$B$1:$AI$720,MATCH(AE$2,'Tillförd energi'!$B$1:$AQ$1,0),FALSE)</f>
        <v>0</v>
      </c>
      <c r="AF11" s="63">
        <f>VLOOKUP($B11,'Tillförd energi'!$B$1:$AI$720,MATCH(AF$2,'Tillförd energi'!$B$1:$AQ$1,0),FALSE)</f>
        <v>1.7</v>
      </c>
      <c r="AG11" s="63">
        <f>IFERROR(VLOOKUP(B11,Miljö!$B$1:$AC$550,MATCH("Köpt mängd produktionsspecifik fjärrvärme:",Miljö!$B$1:$AC$1,0),FALSE)/1,0)</f>
        <v>0</v>
      </c>
      <c r="AI11" s="63">
        <f t="shared" si="0"/>
        <v>94.227400000000003</v>
      </c>
      <c r="AJ11" s="63">
        <f>IF(ISERROR(1/VLOOKUP($B11,Leveranser!$B$1:$S$500,MATCH("såld värme (gwh)",Leveranser!$B$1:$S$1,0),FALSE)),"",VLOOKUP($B11,Leveranser!$B$1:$S$500,MATCH("såld värme (gwh)",Leveranser!$B$1:$S$1,0),FALSE))</f>
        <v>84.292000000000002</v>
      </c>
      <c r="AM11" s="63" t="str">
        <f>IF(B11&lt;&gt;"",IF(VLOOKUP($B11,Totalt!$B$1:$AQ$554,MATCH("Kvalitetsgranskad:",Totalt!$B$1:$AQ$1,0),FALSE)="ja",VLOOKUP($B11,Miljö!$B$1:$AG$479,MATCH(AM$2,Miljö!$B$1:$AK$1,0),FALSE),""),"")</f>
        <v>Ja</v>
      </c>
      <c r="AN11" s="63" t="str">
        <f>IF(AM11="ja",VLOOKUP($B11,Miljö!$B$1:$J$479,MATCH("Typ av ursprungsspecificerad el   (Om inget värde anges används Nordisk residualmix, se inforuta) ()",Miljö!$B$1:$J$1,0),FALSE),IF(AM11="nej","Nordisk residualel",""))</f>
        <v>'Kärnkraft'</v>
      </c>
      <c r="AO11" s="63">
        <f>IF(AM11="","",VLOOKUP($B11,Miljö!$B$1:$J$479,MATCH("Fossilandel för ursprungspecificerad el ()",Miljö!$B$1:$J$1,0),FALSE))</f>
        <v>0</v>
      </c>
      <c r="AQ11" s="63">
        <f t="shared" si="1"/>
        <v>1</v>
      </c>
      <c r="AS11" s="63" t="str">
        <f t="shared" si="2"/>
        <v>Nej</v>
      </c>
      <c r="AT11" s="63" t="str">
        <f>IF(AS11="ja",VLOOKUP($B11,Miljö!$B$1:$P$500,MATCH("Fossil andel i procent (%)",Miljö!$B$1:$P$1,0),FALSE)/100,"")</f>
        <v/>
      </c>
      <c r="AV11" s="63" t="str">
        <f t="shared" si="3"/>
        <v>Nej</v>
      </c>
      <c r="AW11" s="63" t="str">
        <f>IF(AV11="ja",VLOOKUP($B11,'Egen hetvattenprod'!$B$1:$AO$500,MATCH("Värmekälla till värmepumpar ()",'Egen hetvattenprod'!$B$1:$AO$1,0),FALSE),"")</f>
        <v/>
      </c>
      <c r="AY11" s="63" t="str">
        <f t="shared" si="4"/>
        <v>Ja</v>
      </c>
      <c r="AZ11" s="77">
        <f>IF($AY11="ja",(VLOOKUP($B11,'Egen hetvattenprod'!$B$1:$BX$550,MATCH(AZ$2,'Egen hetvattenprod'!$B$1:$BX$1,0),FALSE)+VLOOKUP($B11,Kraftvärmeprod!$B$1:$BX$550,MATCH(AZ$2,Kraftvärmeprod!$B$1:$BX$1,0),FALSE))/$AC11,"")</f>
        <v>1</v>
      </c>
      <c r="BA11" s="77">
        <f>IF($AY11="ja",(VLOOKUP($B11,'Egen hetvattenprod'!$B$1:$BX$550,MATCH(BA$2,'Egen hetvattenprod'!$B$1:$BX$1,0),FALSE)+VLOOKUP($B11,Kraftvärmeprod!$B$1:$BX$550,MATCH(BA$2,Kraftvärmeprod!$B$1:$BX$1,0),FALSE))/$AC11,"")</f>
        <v>0</v>
      </c>
      <c r="BB11" s="77">
        <f>IF($AY11="ja",(VLOOKUP($B11,'Egen hetvattenprod'!$B$1:$BX$550,MATCH(BB$2,'Egen hetvattenprod'!$B$1:$BX$1,0),FALSE)+VLOOKUP($B11,Kraftvärmeprod!$B$1:$BX$550,MATCH(BB$2,Kraftvärmeprod!$B$1:$BX$1,0),FALSE))/$AC11,"")</f>
        <v>0</v>
      </c>
      <c r="BC11" s="77">
        <f>IF($AY11="ja",(VLOOKUP($B11,'Egen hetvattenprod'!$B$1:$BX$550,MATCH(BC$2,'Egen hetvattenprod'!$B$1:$BX$1,0),FALSE)+VLOOKUP($B11,Kraftvärmeprod!$B$1:$BX$550,MATCH(BC$2,Kraftvärmeprod!$B$1:$BX$1,0),FALSE))/$AC11,"")</f>
        <v>0</v>
      </c>
      <c r="BD11" s="77">
        <f>IF($AY11="ja",(VLOOKUP($B11,'Egen hetvattenprod'!$B$1:$BX$550,MATCH(BD$2,'Egen hetvattenprod'!$B$1:$BX$1,0),FALSE)+VLOOKUP($B11,Kraftvärmeprod!$B$1:$BX$550,MATCH(BD$2,Kraftvärmeprod!$B$1:$BX$1,0),FALSE))/$AC11,"")</f>
        <v>0</v>
      </c>
      <c r="BF11" s="63" t="str">
        <f t="shared" si="5"/>
        <v>Nej</v>
      </c>
      <c r="BG11" s="63" t="str">
        <f>IF($BF11="ja",VLOOKUP($B11,'Egen hetvattenprod'!$B$1:$BX$550,MATCH("Andelen klimatgaser med fossilt ursprung för avfall ()",'Egen hetvattenprod'!$B$1:$BX$1,0),FALSE),"")</f>
        <v/>
      </c>
      <c r="BH11" s="63" t="str">
        <f>IF($BF11="ja",VLOOKUP($B11,Kraftvärmeprod!$B$1:$BX$550,MATCH("Andelen klimatgaser med fossilt ursprung för avfall ()",Kraftvärmeprod!$B$1:$BX$1,0),FALSE),"")</f>
        <v/>
      </c>
      <c r="BI11" s="63" t="str">
        <f>IF($BF11="ja",VLOOKUP($B11,'Egen hetvattenprod'!$B$1:$BX$550,MATCH("Avfall (GWh)",'Egen hetvattenprod'!$B$1:$BX$1,0),FALSE),"")</f>
        <v/>
      </c>
      <c r="BJ11" s="63" t="str">
        <f>IF($BF11="ja",VLOOKUP($B11,'Slutlig allokering kvv'!$B$1:$BX$550,MATCH("Avfall (GWh)",'Slutlig allokering kvv'!$B$1:$BX$1,0),FALSE),"")</f>
        <v/>
      </c>
      <c r="BK11" s="63" t="str">
        <f>IF($BF11="ja",VLOOKUP($B11,'Köpt hetvatten'!$B$1:$BX$550,MATCH("Avfall i köpt hetvatten",'Köpt hetvatten'!$B$1:$BX$1,0),FALSE),"")</f>
        <v/>
      </c>
      <c r="BL11" s="63" t="str">
        <f>IF($BF11="ja",VLOOKUP($B11,'Egen hetvattenprod'!$B$1:$BX$550,MATCH("Värde enligt ovan. (%)",'Egen hetvattenprod'!$B$1:$BX$1,0),FALSE),"")</f>
        <v/>
      </c>
      <c r="BM11" s="63" t="str">
        <f>IF($BF11="ja",VLOOKUP($B11,Kraftvärmeprod!$B$1:$BX$550,MATCH("Värde enligt ovan. (%)",Kraftvärmeprod!$B$1:$BX$1,0),FALSE),"")</f>
        <v/>
      </c>
    </row>
    <row r="12" spans="1:71" x14ac:dyDescent="0.45">
      <c r="A12" s="63" t="s">
        <v>672</v>
      </c>
      <c r="B12" s="63" t="s">
        <v>681</v>
      </c>
      <c r="C12" s="63">
        <f>VLOOKUP($B12,'Tillförd energi'!$B$1:$AI$720,MATCH(C$2,'Tillförd energi'!$B$1:$AQ$1,0),FALSE)</f>
        <v>0</v>
      </c>
      <c r="D12" s="63">
        <f>VLOOKUP($B12,'Tillförd energi'!$B$1:$AI$720,MATCH(D$2,'Tillförd energi'!$B$1:$AQ$1,0),FALSE)</f>
        <v>0</v>
      </c>
      <c r="E12" s="63">
        <f>VLOOKUP($B12,'Tillförd energi'!$B$1:$AI$720,MATCH(E$2,'Tillförd energi'!$B$1:$AQ$1,0),FALSE)</f>
        <v>0</v>
      </c>
      <c r="F12" s="63">
        <f>VLOOKUP($B12,'Tillförd energi'!$B$1:$AI$720,MATCH(F$2,'Tillförd energi'!$B$1:$AQ$1,0),FALSE)</f>
        <v>0</v>
      </c>
      <c r="G12" s="63">
        <f>VLOOKUP($B12,'Tillförd energi'!$B$1:$AI$720,MATCH(G$2,'Tillförd energi'!$B$1:$AQ$1,0),FALSE)</f>
        <v>0</v>
      </c>
      <c r="H12" s="63">
        <f>VLOOKUP($B12,'Tillförd energi'!$B$1:$AI$720,MATCH(H$2,'Tillförd energi'!$B$1:$AQ$1,0),FALSE)</f>
        <v>0</v>
      </c>
      <c r="I12" s="63">
        <f>VLOOKUP($B12,'Tillförd energi'!$B$1:$AI$720,MATCH(I$2,'Tillförd energi'!$B$1:$AQ$1,0),FALSE)</f>
        <v>0</v>
      </c>
      <c r="J12" s="63">
        <f>VLOOKUP($B12,'Tillförd energi'!$B$1:$AI$720,MATCH(J$2,'Tillförd energi'!$B$1:$AQ$1,0),FALSE)</f>
        <v>0</v>
      </c>
      <c r="K12" s="63">
        <f>VLOOKUP($B12,'Tillförd energi'!$B$1:$AI$720,MATCH(K$2,'Tillförd energi'!$B$1:$AQ$1,0),FALSE)</f>
        <v>0</v>
      </c>
      <c r="L12" s="63">
        <f>VLOOKUP($B12,'Tillförd energi'!$B$1:$AI$720,MATCH(L$2,'Tillförd energi'!$B$1:$AQ$1,0),FALSE)</f>
        <v>0</v>
      </c>
      <c r="M12" s="63">
        <f>VLOOKUP($B12,'Tillförd energi'!$B$1:$AI$720,MATCH(M$2,'Tillförd energi'!$B$1:$AQ$1,0),FALSE)</f>
        <v>0</v>
      </c>
      <c r="N12" s="63">
        <f>VLOOKUP($B12,'Tillförd energi'!$B$1:$AI$720,MATCH(N$2,'Tillförd energi'!$B$1:$AQ$1,0),FALSE)</f>
        <v>0</v>
      </c>
      <c r="O12" s="63">
        <f>VLOOKUP($B12,'Tillförd energi'!$B$1:$AI$720,MATCH(O$2,'Tillförd energi'!$B$1:$AQ$1,0),FALSE)</f>
        <v>0</v>
      </c>
      <c r="P12" s="63">
        <f>VLOOKUP($B12,'Tillförd energi'!$B$1:$AI$720,MATCH(P$2,'Tillförd energi'!$B$1:$AQ$1,0),FALSE)</f>
        <v>0</v>
      </c>
      <c r="Q12" s="63">
        <f>VLOOKUP($B12,'Tillförd energi'!$B$1:$AI$720,MATCH(Q$2,'Tillförd energi'!$B$1:$AQ$1,0),FALSE)</f>
        <v>6.9529399999999999</v>
      </c>
      <c r="R12" s="63">
        <f>VLOOKUP($B12,'Tillförd energi'!$B$1:$AI$720,MATCH(R$2,'Tillförd energi'!$B$1:$AQ$1,0),FALSE)</f>
        <v>0</v>
      </c>
      <c r="S12" s="63">
        <f>VLOOKUP($B12,'Tillförd energi'!$B$1:$AI$720,MATCH(S$2,'Tillförd energi'!$B$1:$AQ$1,0),FALSE)</f>
        <v>0</v>
      </c>
      <c r="T12" s="63">
        <f>VLOOKUP($B12,'Tillförd energi'!$B$1:$AI$720,MATCH(T$2,'Tillförd energi'!$B$1:$AQ$1,0),FALSE)</f>
        <v>0</v>
      </c>
      <c r="U12" s="63">
        <f>VLOOKUP($B12,'Tillförd energi'!$B$1:$AI$720,MATCH(U$2,'Tillförd energi'!$B$1:$AQ$1,0),FALSE)</f>
        <v>0</v>
      </c>
      <c r="V12" s="63">
        <f>VLOOKUP($B12,'Tillförd energi'!$B$1:$AI$720,MATCH(V$2,'Tillförd energi'!$B$1:$AQ$1,0),FALSE)</f>
        <v>0</v>
      </c>
      <c r="W12" s="63">
        <f>VLOOKUP($B12,'Tillförd energi'!$B$1:$AI$720,MATCH(W$2,'Tillförd energi'!$B$1:$AQ$1,0),FALSE)</f>
        <v>0</v>
      </c>
      <c r="X12" s="63">
        <f>VLOOKUP($B12,'Tillförd energi'!$B$1:$AI$720,MATCH(X$2,'Tillförd energi'!$B$1:$AQ$1,0),FALSE)</f>
        <v>0</v>
      </c>
      <c r="Y12" s="63">
        <f>VLOOKUP($B12,'Tillförd energi'!$B$1:$AI$720,MATCH(Y$2,'Tillförd energi'!$B$1:$AQ$1,0),FALSE)</f>
        <v>0</v>
      </c>
      <c r="Z12" s="63">
        <f>VLOOKUP($B12,'Tillförd energi'!$B$1:$AI$720,MATCH(Z$2,'Tillförd energi'!$B$1:$AQ$1,0),FALSE)</f>
        <v>0</v>
      </c>
      <c r="AA12" s="63">
        <f>VLOOKUP($B12,'Tillförd energi'!$B$1:$AI$720,MATCH(AA$2,'Tillförd energi'!$B$1:$AQ$1,0),FALSE)</f>
        <v>0</v>
      </c>
      <c r="AB12" s="63">
        <f>VLOOKUP($B12,'Tillförd energi'!$B$1:$AI$720,MATCH(AB$2,'Tillförd energi'!$B$1:$AQ$1,0),FALSE)</f>
        <v>0</v>
      </c>
      <c r="AC12" s="63">
        <f>VLOOKUP($B12,'Tillförd energi'!$B$1:$AI$720,MATCH(AC$2,'Tillförd energi'!$B$1:$AQ$1,0),FALSE)</f>
        <v>0</v>
      </c>
      <c r="AD12" s="63">
        <f>VLOOKUP($B12,'Tillförd energi'!$B$1:$AI$720,MATCH(AD$2,'Tillförd energi'!$B$1:$AQ$1,0),FALSE)</f>
        <v>0</v>
      </c>
      <c r="AE12" s="63">
        <f>VLOOKUP($B12,'Tillförd energi'!$B$1:$AI$720,MATCH(AE$2,'Tillförd energi'!$B$1:$AQ$1,0),FALSE)</f>
        <v>0</v>
      </c>
      <c r="AF12" s="63">
        <f>VLOOKUP($B12,'Tillförd energi'!$B$1:$AI$720,MATCH(AF$2,'Tillförd energi'!$B$1:$AQ$1,0),FALSE)</f>
        <v>0.14699999999999999</v>
      </c>
      <c r="AG12" s="63">
        <f>IFERROR(VLOOKUP(B12,Miljö!$B$1:$AC$550,MATCH("Köpt mängd produktionsspecifik fjärrvärme:",Miljö!$B$1:$AC$1,0),FALSE)/1,0)</f>
        <v>0</v>
      </c>
      <c r="AI12" s="63">
        <f t="shared" si="0"/>
        <v>7.0999400000000001</v>
      </c>
      <c r="AJ12" s="63">
        <f>IF(ISERROR(1/VLOOKUP($B12,Leveranser!$B$1:$S$500,MATCH("såld värme (gwh)",Leveranser!$B$1:$S$1,0),FALSE)),"",VLOOKUP($B12,Leveranser!$B$1:$S$500,MATCH("såld värme (gwh)",Leveranser!$B$1:$S$1,0),FALSE))</f>
        <v>4.9000000000000004</v>
      </c>
      <c r="AM12" s="63" t="str">
        <f>IF(B12&lt;&gt;"",IF(VLOOKUP($B12,Totalt!$B$1:$AQ$554,MATCH("Kvalitetsgranskad:",Totalt!$B$1:$AQ$1,0),FALSE)="ja",VLOOKUP($B12,Miljö!$B$1:$AG$479,MATCH(AM$2,Miljö!$B$1:$AK$1,0),FALSE),""),"")</f>
        <v>Ja</v>
      </c>
      <c r="AN12" s="63" t="str">
        <f>IF(AM12="ja",VLOOKUP($B12,Miljö!$B$1:$J$479,MATCH("Typ av ursprungsspecificerad el   (Om inget värde anges används Nordisk residualmix, se inforuta) ()",Miljö!$B$1:$J$1,0),FALSE),IF(AM12="nej","Nordisk residualel",""))</f>
        <v>'Kärnkraft'</v>
      </c>
      <c r="AO12" s="63">
        <f>IF(AM12="","",VLOOKUP($B12,Miljö!$B$1:$J$479,MATCH("Fossilandel för ursprungspecificerad el ()",Miljö!$B$1:$J$1,0),FALSE))</f>
        <v>0</v>
      </c>
      <c r="AQ12" s="63">
        <f t="shared" si="1"/>
        <v>1</v>
      </c>
      <c r="AS12" s="63" t="str">
        <f t="shared" si="2"/>
        <v>Nej</v>
      </c>
      <c r="AT12" s="63" t="str">
        <f>IF(AS12="ja",VLOOKUP($B12,Miljö!$B$1:$P$500,MATCH("Fossil andel i procent (%)",Miljö!$B$1:$P$1,0),FALSE)/100,"")</f>
        <v/>
      </c>
      <c r="AV12" s="63" t="str">
        <f t="shared" si="3"/>
        <v>Nej</v>
      </c>
      <c r="AW12" s="63" t="str">
        <f>IF(AV12="ja",VLOOKUP($B12,'Egen hetvattenprod'!$B$1:$AO$500,MATCH("Värmekälla till värmepumpar ()",'Egen hetvattenprod'!$B$1:$AO$1,0),FALSE),"")</f>
        <v/>
      </c>
      <c r="AY12" s="63" t="str">
        <f t="shared" si="4"/>
        <v>Nej</v>
      </c>
      <c r="AZ12" s="77" t="str">
        <f>IF($AY12="ja",(VLOOKUP($B12,'Egen hetvattenprod'!$B$1:$BX$550,MATCH(AZ$2,'Egen hetvattenprod'!$B$1:$BX$1,0),FALSE)+VLOOKUP($B12,Kraftvärmeprod!$B$1:$BX$550,MATCH(AZ$2,Kraftvärmeprod!$B$1:$BX$1,0),FALSE))/$AC12,"")</f>
        <v/>
      </c>
      <c r="BA12" s="77" t="str">
        <f>IF($AY12="ja",(VLOOKUP($B12,'Egen hetvattenprod'!$B$1:$BX$550,MATCH(BA$2,'Egen hetvattenprod'!$B$1:$BX$1,0),FALSE)+VLOOKUP($B12,Kraftvärmeprod!$B$1:$BX$550,MATCH(BA$2,Kraftvärmeprod!$B$1:$BX$1,0),FALSE))/$AC12,"")</f>
        <v/>
      </c>
      <c r="BB12" s="77" t="str">
        <f>IF($AY12="ja",(VLOOKUP($B12,'Egen hetvattenprod'!$B$1:$BX$550,MATCH(BB$2,'Egen hetvattenprod'!$B$1:$BX$1,0),FALSE)+VLOOKUP($B12,Kraftvärmeprod!$B$1:$BX$550,MATCH(BB$2,Kraftvärmeprod!$B$1:$BX$1,0),FALSE))/$AC12,"")</f>
        <v/>
      </c>
      <c r="BC12" s="77" t="str">
        <f>IF($AY12="ja",(VLOOKUP($B12,'Egen hetvattenprod'!$B$1:$BX$550,MATCH(BC$2,'Egen hetvattenprod'!$B$1:$BX$1,0),FALSE)+VLOOKUP($B12,Kraftvärmeprod!$B$1:$BX$550,MATCH(BC$2,Kraftvärmeprod!$B$1:$BX$1,0),FALSE))/$AC12,"")</f>
        <v/>
      </c>
      <c r="BD12" s="77" t="str">
        <f>IF($AY12="ja",(VLOOKUP($B12,'Egen hetvattenprod'!$B$1:$BX$550,MATCH(BD$2,'Egen hetvattenprod'!$B$1:$BX$1,0),FALSE)+VLOOKUP($B12,Kraftvärmeprod!$B$1:$BX$550,MATCH(BD$2,Kraftvärmeprod!$B$1:$BX$1,0),FALSE))/$AC12,"")</f>
        <v/>
      </c>
      <c r="BF12" s="63" t="str">
        <f t="shared" si="5"/>
        <v>Nej</v>
      </c>
      <c r="BG12" s="63" t="str">
        <f>IF($BF12="ja",VLOOKUP($B12,'Egen hetvattenprod'!$B$1:$BX$550,MATCH("Andelen klimatgaser med fossilt ursprung för avfall ()",'Egen hetvattenprod'!$B$1:$BX$1,0),FALSE),"")</f>
        <v/>
      </c>
      <c r="BH12" s="63" t="str">
        <f>IF($BF12="ja",VLOOKUP($B12,Kraftvärmeprod!$B$1:$BX$550,MATCH("Andelen klimatgaser med fossilt ursprung för avfall ()",Kraftvärmeprod!$B$1:$BX$1,0),FALSE),"")</f>
        <v/>
      </c>
      <c r="BI12" s="63" t="str">
        <f>IF($BF12="ja",VLOOKUP($B12,'Egen hetvattenprod'!$B$1:$BX$550,MATCH("Avfall (GWh)",'Egen hetvattenprod'!$B$1:$BX$1,0),FALSE),"")</f>
        <v/>
      </c>
      <c r="BJ12" s="63" t="str">
        <f>IF($BF12="ja",VLOOKUP($B12,'Slutlig allokering kvv'!$B$1:$BX$550,MATCH("Avfall (GWh)",'Slutlig allokering kvv'!$B$1:$BX$1,0),FALSE),"")</f>
        <v/>
      </c>
      <c r="BK12" s="63" t="str">
        <f>IF($BF12="ja",VLOOKUP($B12,'Köpt hetvatten'!$B$1:$BX$550,MATCH("Avfall i köpt hetvatten",'Köpt hetvatten'!$B$1:$BX$1,0),FALSE),"")</f>
        <v/>
      </c>
      <c r="BL12" s="63" t="str">
        <f>IF($BF12="ja",VLOOKUP($B12,'Egen hetvattenprod'!$B$1:$BX$550,MATCH("Värde enligt ovan. (%)",'Egen hetvattenprod'!$B$1:$BX$1,0),FALSE),"")</f>
        <v/>
      </c>
      <c r="BM12" s="63" t="str">
        <f>IF($BF12="ja",VLOOKUP($B12,Kraftvärmeprod!$B$1:$BX$550,MATCH("Värde enligt ovan. (%)",Kraftvärmeprod!$B$1:$BX$1,0),FALSE),"")</f>
        <v/>
      </c>
    </row>
    <row r="13" spans="1:71" x14ac:dyDescent="0.45">
      <c r="A13" s="63" t="s">
        <v>672</v>
      </c>
      <c r="B13" s="63" t="s">
        <v>679</v>
      </c>
      <c r="C13" s="63">
        <f>VLOOKUP($B13,'Tillförd energi'!$B$1:$AI$720,MATCH(C$2,'Tillförd energi'!$B$1:$AQ$1,0),FALSE)</f>
        <v>0</v>
      </c>
      <c r="D13" s="63">
        <f>VLOOKUP($B13,'Tillförd energi'!$B$1:$AI$720,MATCH(D$2,'Tillförd energi'!$B$1:$AQ$1,0),FALSE)</f>
        <v>3.6999999999999998E-2</v>
      </c>
      <c r="E13" s="63">
        <f>VLOOKUP($B13,'Tillförd energi'!$B$1:$AI$720,MATCH(E$2,'Tillförd energi'!$B$1:$AQ$1,0),FALSE)</f>
        <v>0</v>
      </c>
      <c r="F13" s="63">
        <f>VLOOKUP($B13,'Tillförd energi'!$B$1:$AI$720,MATCH(F$2,'Tillförd energi'!$B$1:$AQ$1,0),FALSE)</f>
        <v>0</v>
      </c>
      <c r="G13" s="63">
        <f>VLOOKUP($B13,'Tillförd energi'!$B$1:$AI$720,MATCH(G$2,'Tillförd energi'!$B$1:$AQ$1,0),FALSE)</f>
        <v>0</v>
      </c>
      <c r="H13" s="63">
        <f>VLOOKUP($B13,'Tillförd energi'!$B$1:$AI$720,MATCH(H$2,'Tillförd energi'!$B$1:$AQ$1,0),FALSE)</f>
        <v>0</v>
      </c>
      <c r="I13" s="63">
        <f>VLOOKUP($B13,'Tillförd energi'!$B$1:$AI$720,MATCH(I$2,'Tillförd energi'!$B$1:$AQ$1,0),FALSE)</f>
        <v>0</v>
      </c>
      <c r="J13" s="63">
        <f>VLOOKUP($B13,'Tillförd energi'!$B$1:$AI$720,MATCH(J$2,'Tillförd energi'!$B$1:$AQ$1,0),FALSE)</f>
        <v>0</v>
      </c>
      <c r="K13" s="63">
        <f>VLOOKUP($B13,'Tillförd energi'!$B$1:$AI$720,MATCH(K$2,'Tillförd energi'!$B$1:$AQ$1,0),FALSE)</f>
        <v>0</v>
      </c>
      <c r="L13" s="63">
        <f>VLOOKUP($B13,'Tillförd energi'!$B$1:$AI$720,MATCH(L$2,'Tillförd energi'!$B$1:$AQ$1,0),FALSE)</f>
        <v>0</v>
      </c>
      <c r="M13" s="63">
        <f>VLOOKUP($B13,'Tillförd energi'!$B$1:$AI$720,MATCH(M$2,'Tillförd energi'!$B$1:$AQ$1,0),FALSE)</f>
        <v>0</v>
      </c>
      <c r="N13" s="63">
        <f>VLOOKUP($B13,'Tillförd energi'!$B$1:$AI$720,MATCH(N$2,'Tillförd energi'!$B$1:$AQ$1,0),FALSE)</f>
        <v>0</v>
      </c>
      <c r="O13" s="63">
        <f>VLOOKUP($B13,'Tillförd energi'!$B$1:$AI$720,MATCH(O$2,'Tillförd energi'!$B$1:$AQ$1,0),FALSE)</f>
        <v>0</v>
      </c>
      <c r="P13" s="63">
        <f>VLOOKUP($B13,'Tillförd energi'!$B$1:$AI$720,MATCH(P$2,'Tillförd energi'!$B$1:$AQ$1,0),FALSE)</f>
        <v>6.0289999999999999</v>
      </c>
      <c r="Q13" s="63">
        <f>VLOOKUP($B13,'Tillförd energi'!$B$1:$AI$720,MATCH(Q$2,'Tillförd energi'!$B$1:$AQ$1,0),FALSE)</f>
        <v>0</v>
      </c>
      <c r="R13" s="63">
        <f>VLOOKUP($B13,'Tillförd energi'!$B$1:$AI$720,MATCH(R$2,'Tillförd energi'!$B$1:$AQ$1,0),FALSE)</f>
        <v>0</v>
      </c>
      <c r="S13" s="63">
        <f>VLOOKUP($B13,'Tillförd energi'!$B$1:$AI$720,MATCH(S$2,'Tillförd energi'!$B$1:$AQ$1,0),FALSE)</f>
        <v>0</v>
      </c>
      <c r="T13" s="63">
        <f>VLOOKUP($B13,'Tillförd energi'!$B$1:$AI$720,MATCH(T$2,'Tillförd energi'!$B$1:$AQ$1,0),FALSE)</f>
        <v>0</v>
      </c>
      <c r="U13" s="63">
        <f>VLOOKUP($B13,'Tillförd energi'!$B$1:$AI$720,MATCH(U$2,'Tillförd energi'!$B$1:$AQ$1,0),FALSE)</f>
        <v>0</v>
      </c>
      <c r="V13" s="63">
        <f>VLOOKUP($B13,'Tillförd energi'!$B$1:$AI$720,MATCH(V$2,'Tillförd energi'!$B$1:$AQ$1,0),FALSE)</f>
        <v>0</v>
      </c>
      <c r="W13" s="63">
        <f>VLOOKUP($B13,'Tillförd energi'!$B$1:$AI$720,MATCH(W$2,'Tillförd energi'!$B$1:$AQ$1,0),FALSE)</f>
        <v>0</v>
      </c>
      <c r="X13" s="63">
        <f>VLOOKUP($B13,'Tillförd energi'!$B$1:$AI$720,MATCH(X$2,'Tillförd energi'!$B$1:$AQ$1,0),FALSE)</f>
        <v>0</v>
      </c>
      <c r="Y13" s="63">
        <f>VLOOKUP($B13,'Tillförd energi'!$B$1:$AI$720,MATCH(Y$2,'Tillförd energi'!$B$1:$AQ$1,0),FALSE)</f>
        <v>0</v>
      </c>
      <c r="Z13" s="63">
        <f>VLOOKUP($B13,'Tillförd energi'!$B$1:$AI$720,MATCH(Z$2,'Tillförd energi'!$B$1:$AQ$1,0),FALSE)</f>
        <v>0</v>
      </c>
      <c r="AA13" s="63">
        <f>VLOOKUP($B13,'Tillförd energi'!$B$1:$AI$720,MATCH(AA$2,'Tillförd energi'!$B$1:$AQ$1,0),FALSE)</f>
        <v>0</v>
      </c>
      <c r="AB13" s="63">
        <f>VLOOKUP($B13,'Tillförd energi'!$B$1:$AI$720,MATCH(AB$2,'Tillförd energi'!$B$1:$AQ$1,0),FALSE)</f>
        <v>0</v>
      </c>
      <c r="AC13" s="63">
        <f>VLOOKUP($B13,'Tillförd energi'!$B$1:$AI$720,MATCH(AC$2,'Tillförd energi'!$B$1:$AQ$1,0),FALSE)</f>
        <v>0</v>
      </c>
      <c r="AD13" s="63">
        <f>VLOOKUP($B13,'Tillförd energi'!$B$1:$AI$720,MATCH(AD$2,'Tillförd energi'!$B$1:$AQ$1,0),FALSE)</f>
        <v>0</v>
      </c>
      <c r="AE13" s="63">
        <f>VLOOKUP($B13,'Tillförd energi'!$B$1:$AI$720,MATCH(AE$2,'Tillförd energi'!$B$1:$AQ$1,0),FALSE)</f>
        <v>0</v>
      </c>
      <c r="AF13" s="63">
        <f>VLOOKUP($B13,'Tillförd energi'!$B$1:$AI$720,MATCH(AF$2,'Tillförd energi'!$B$1:$AQ$1,0),FALSE)</f>
        <v>9.0999999999999998E-2</v>
      </c>
      <c r="AG13" s="63">
        <f>IFERROR(VLOOKUP(B13,Miljö!$B$1:$AC$550,MATCH("Köpt mängd produktionsspecifik fjärrvärme:",Miljö!$B$1:$AC$1,0),FALSE)/1,0)</f>
        <v>0</v>
      </c>
      <c r="AI13" s="63">
        <f t="shared" si="0"/>
        <v>6.157</v>
      </c>
      <c r="AJ13" s="63">
        <f>IF(ISERROR(1/VLOOKUP($B13,Leveranser!$B$1:$S$500,MATCH("såld värme (gwh)",Leveranser!$B$1:$S$1,0),FALSE)),"",VLOOKUP($B13,Leveranser!$B$1:$S$500,MATCH("såld värme (gwh)",Leveranser!$B$1:$S$1,0),FALSE))</f>
        <v>4.1840000000000002</v>
      </c>
      <c r="AM13" s="63" t="str">
        <f>IF(B13&lt;&gt;"",IF(VLOOKUP($B13,Totalt!$B$1:$AQ$554,MATCH("Kvalitetsgranskad:",Totalt!$B$1:$AQ$1,0),FALSE)="ja",VLOOKUP($B13,Miljö!$B$1:$AG$479,MATCH(AM$2,Miljö!$B$1:$AK$1,0),FALSE),""),"")</f>
        <v>Ja</v>
      </c>
      <c r="AN13" s="63" t="str">
        <f>IF(AM13="ja",VLOOKUP($B13,Miljö!$B$1:$J$479,MATCH("Typ av ursprungsspecificerad el   (Om inget värde anges används Nordisk residualmix, se inforuta) ()",Miljö!$B$1:$J$1,0),FALSE),IF(AM13="nej","Nordisk residualel",""))</f>
        <v>'Kärnkraft'</v>
      </c>
      <c r="AO13" s="63">
        <f>IF(AM13="","",VLOOKUP($B13,Miljö!$B$1:$J$479,MATCH("Fossilandel för ursprungspecificerad el ()",Miljö!$B$1:$J$1,0),FALSE))</f>
        <v>0</v>
      </c>
      <c r="AQ13" s="63">
        <f t="shared" si="1"/>
        <v>1</v>
      </c>
      <c r="AS13" s="63" t="str">
        <f t="shared" si="2"/>
        <v>Nej</v>
      </c>
      <c r="AT13" s="63" t="str">
        <f>IF(AS13="ja",VLOOKUP($B13,Miljö!$B$1:$P$500,MATCH("Fossil andel i procent (%)",Miljö!$B$1:$P$1,0),FALSE)/100,"")</f>
        <v/>
      </c>
      <c r="AV13" s="63" t="str">
        <f t="shared" si="3"/>
        <v>Nej</v>
      </c>
      <c r="AW13" s="63" t="str">
        <f>IF(AV13="ja",VLOOKUP($B13,'Egen hetvattenprod'!$B$1:$AO$500,MATCH("Värmekälla till värmepumpar ()",'Egen hetvattenprod'!$B$1:$AO$1,0),FALSE),"")</f>
        <v/>
      </c>
      <c r="AY13" s="63" t="str">
        <f t="shared" si="4"/>
        <v>Nej</v>
      </c>
      <c r="AZ13" s="77" t="str">
        <f>IF($AY13="ja",(VLOOKUP($B13,'Egen hetvattenprod'!$B$1:$BX$550,MATCH(AZ$2,'Egen hetvattenprod'!$B$1:$BX$1,0),FALSE)+VLOOKUP($B13,Kraftvärmeprod!$B$1:$BX$550,MATCH(AZ$2,Kraftvärmeprod!$B$1:$BX$1,0),FALSE))/$AC13,"")</f>
        <v/>
      </c>
      <c r="BA13" s="77" t="str">
        <f>IF($AY13="ja",(VLOOKUP($B13,'Egen hetvattenprod'!$B$1:$BX$550,MATCH(BA$2,'Egen hetvattenprod'!$B$1:$BX$1,0),FALSE)+VLOOKUP($B13,Kraftvärmeprod!$B$1:$BX$550,MATCH(BA$2,Kraftvärmeprod!$B$1:$BX$1,0),FALSE))/$AC13,"")</f>
        <v/>
      </c>
      <c r="BB13" s="77" t="str">
        <f>IF($AY13="ja",(VLOOKUP($B13,'Egen hetvattenprod'!$B$1:$BX$550,MATCH(BB$2,'Egen hetvattenprod'!$B$1:$BX$1,0),FALSE)+VLOOKUP($B13,Kraftvärmeprod!$B$1:$BX$550,MATCH(BB$2,Kraftvärmeprod!$B$1:$BX$1,0),FALSE))/$AC13,"")</f>
        <v/>
      </c>
      <c r="BC13" s="77" t="str">
        <f>IF($AY13="ja",(VLOOKUP($B13,'Egen hetvattenprod'!$B$1:$BX$550,MATCH(BC$2,'Egen hetvattenprod'!$B$1:$BX$1,0),FALSE)+VLOOKUP($B13,Kraftvärmeprod!$B$1:$BX$550,MATCH(BC$2,Kraftvärmeprod!$B$1:$BX$1,0),FALSE))/$AC13,"")</f>
        <v/>
      </c>
      <c r="BD13" s="77" t="str">
        <f>IF($AY13="ja",(VLOOKUP($B13,'Egen hetvattenprod'!$B$1:$BX$550,MATCH(BD$2,'Egen hetvattenprod'!$B$1:$BX$1,0),FALSE)+VLOOKUP($B13,Kraftvärmeprod!$B$1:$BX$550,MATCH(BD$2,Kraftvärmeprod!$B$1:$BX$1,0),FALSE))/$AC13,"")</f>
        <v/>
      </c>
      <c r="BF13" s="63" t="str">
        <f t="shared" si="5"/>
        <v>Nej</v>
      </c>
      <c r="BG13" s="63" t="str">
        <f>IF($BF13="ja",VLOOKUP($B13,'Egen hetvattenprod'!$B$1:$BX$550,MATCH("Andelen klimatgaser med fossilt ursprung för avfall ()",'Egen hetvattenprod'!$B$1:$BX$1,0),FALSE),"")</f>
        <v/>
      </c>
      <c r="BH13" s="63" t="str">
        <f>IF($BF13="ja",VLOOKUP($B13,Kraftvärmeprod!$B$1:$BX$550,MATCH("Andelen klimatgaser med fossilt ursprung för avfall ()",Kraftvärmeprod!$B$1:$BX$1,0),FALSE),"")</f>
        <v/>
      </c>
      <c r="BI13" s="63" t="str">
        <f>IF($BF13="ja",VLOOKUP($B13,'Egen hetvattenprod'!$B$1:$BX$550,MATCH("Avfall (GWh)",'Egen hetvattenprod'!$B$1:$BX$1,0),FALSE),"")</f>
        <v/>
      </c>
      <c r="BJ13" s="63" t="str">
        <f>IF($BF13="ja",VLOOKUP($B13,'Slutlig allokering kvv'!$B$1:$BX$550,MATCH("Avfall (GWh)",'Slutlig allokering kvv'!$B$1:$BX$1,0),FALSE),"")</f>
        <v/>
      </c>
      <c r="BK13" s="63" t="str">
        <f>IF($BF13="ja",VLOOKUP($B13,'Köpt hetvatten'!$B$1:$BX$550,MATCH("Avfall i köpt hetvatten",'Köpt hetvatten'!$B$1:$BX$1,0),FALSE),"")</f>
        <v/>
      </c>
      <c r="BL13" s="63" t="str">
        <f>IF($BF13="ja",VLOOKUP($B13,'Egen hetvattenprod'!$B$1:$BX$550,MATCH("Värde enligt ovan. (%)",'Egen hetvattenprod'!$B$1:$BX$1,0),FALSE),"")</f>
        <v/>
      </c>
      <c r="BM13" s="63" t="str">
        <f>IF($BF13="ja",VLOOKUP($B13,Kraftvärmeprod!$B$1:$BX$550,MATCH("Värde enligt ovan. (%)",Kraftvärmeprod!$B$1:$BX$1,0),FALSE),"")</f>
        <v/>
      </c>
    </row>
    <row r="14" spans="1:71" x14ac:dyDescent="0.45">
      <c r="A14" s="63" t="s">
        <v>672</v>
      </c>
      <c r="B14" s="63" t="s">
        <v>678</v>
      </c>
      <c r="C14" s="63">
        <f>VLOOKUP($B14,'Tillförd energi'!$B$1:$AI$720,MATCH(C$2,'Tillförd energi'!$B$1:$AQ$1,0),FALSE)</f>
        <v>0</v>
      </c>
      <c r="D14" s="63">
        <f>VLOOKUP($B14,'Tillförd energi'!$B$1:$AI$720,MATCH(D$2,'Tillförd energi'!$B$1:$AQ$1,0),FALSE)</f>
        <v>2.7E-2</v>
      </c>
      <c r="E14" s="63">
        <f>VLOOKUP($B14,'Tillförd energi'!$B$1:$AI$720,MATCH(E$2,'Tillförd energi'!$B$1:$AQ$1,0),FALSE)</f>
        <v>0</v>
      </c>
      <c r="F14" s="63">
        <f>VLOOKUP($B14,'Tillförd energi'!$B$1:$AI$720,MATCH(F$2,'Tillförd energi'!$B$1:$AQ$1,0),FALSE)</f>
        <v>0</v>
      </c>
      <c r="G14" s="63">
        <f>VLOOKUP($B14,'Tillförd energi'!$B$1:$AI$720,MATCH(G$2,'Tillförd energi'!$B$1:$AQ$1,0),FALSE)</f>
        <v>0</v>
      </c>
      <c r="H14" s="63">
        <f>VLOOKUP($B14,'Tillförd energi'!$B$1:$AI$720,MATCH(H$2,'Tillförd energi'!$B$1:$AQ$1,0),FALSE)</f>
        <v>0</v>
      </c>
      <c r="I14" s="63">
        <f>VLOOKUP($B14,'Tillförd energi'!$B$1:$AI$720,MATCH(I$2,'Tillförd energi'!$B$1:$AQ$1,0),FALSE)</f>
        <v>0</v>
      </c>
      <c r="J14" s="63">
        <f>VLOOKUP($B14,'Tillförd energi'!$B$1:$AI$720,MATCH(J$2,'Tillförd energi'!$B$1:$AQ$1,0),FALSE)</f>
        <v>0</v>
      </c>
      <c r="K14" s="63">
        <f>VLOOKUP($B14,'Tillförd energi'!$B$1:$AI$720,MATCH(K$2,'Tillförd energi'!$B$1:$AQ$1,0),FALSE)</f>
        <v>0</v>
      </c>
      <c r="L14" s="63">
        <f>VLOOKUP($B14,'Tillförd energi'!$B$1:$AI$720,MATCH(L$2,'Tillförd energi'!$B$1:$AQ$1,0),FALSE)</f>
        <v>0</v>
      </c>
      <c r="M14" s="63">
        <f>VLOOKUP($B14,'Tillförd energi'!$B$1:$AI$720,MATCH(M$2,'Tillförd energi'!$B$1:$AQ$1,0),FALSE)</f>
        <v>0</v>
      </c>
      <c r="N14" s="63">
        <f>VLOOKUP($B14,'Tillförd energi'!$B$1:$AI$720,MATCH(N$2,'Tillförd energi'!$B$1:$AQ$1,0),FALSE)</f>
        <v>0</v>
      </c>
      <c r="O14" s="63">
        <f>VLOOKUP($B14,'Tillförd energi'!$B$1:$AI$720,MATCH(O$2,'Tillförd energi'!$B$1:$AQ$1,0),FALSE)</f>
        <v>0</v>
      </c>
      <c r="P14" s="63">
        <f>VLOOKUP($B14,'Tillförd energi'!$B$1:$AI$720,MATCH(P$2,'Tillförd energi'!$B$1:$AQ$1,0),FALSE)</f>
        <v>0</v>
      </c>
      <c r="Q14" s="63">
        <f>VLOOKUP($B14,'Tillförd energi'!$B$1:$AI$720,MATCH(Q$2,'Tillförd energi'!$B$1:$AQ$1,0),FALSE)</f>
        <v>7.8719999999999999</v>
      </c>
      <c r="R14" s="63">
        <f>VLOOKUP($B14,'Tillförd energi'!$B$1:$AI$720,MATCH(R$2,'Tillförd energi'!$B$1:$AQ$1,0),FALSE)</f>
        <v>0</v>
      </c>
      <c r="S14" s="63">
        <f>VLOOKUP($B14,'Tillförd energi'!$B$1:$AI$720,MATCH(S$2,'Tillförd energi'!$B$1:$AQ$1,0),FALSE)</f>
        <v>0</v>
      </c>
      <c r="T14" s="63">
        <f>VLOOKUP($B14,'Tillförd energi'!$B$1:$AI$720,MATCH(T$2,'Tillförd energi'!$B$1:$AQ$1,0),FALSE)</f>
        <v>0</v>
      </c>
      <c r="U14" s="63">
        <f>VLOOKUP($B14,'Tillförd energi'!$B$1:$AI$720,MATCH(U$2,'Tillförd energi'!$B$1:$AQ$1,0),FALSE)</f>
        <v>0</v>
      </c>
      <c r="V14" s="63">
        <f>VLOOKUP($B14,'Tillförd energi'!$B$1:$AI$720,MATCH(V$2,'Tillförd energi'!$B$1:$AQ$1,0),FALSE)</f>
        <v>0</v>
      </c>
      <c r="W14" s="63">
        <f>VLOOKUP($B14,'Tillförd energi'!$B$1:$AI$720,MATCH(W$2,'Tillförd energi'!$B$1:$AQ$1,0),FALSE)</f>
        <v>0</v>
      </c>
      <c r="X14" s="63">
        <f>VLOOKUP($B14,'Tillförd energi'!$B$1:$AI$720,MATCH(X$2,'Tillförd energi'!$B$1:$AQ$1,0),FALSE)</f>
        <v>0</v>
      </c>
      <c r="Y14" s="63">
        <f>VLOOKUP($B14,'Tillförd energi'!$B$1:$AI$720,MATCH(Y$2,'Tillförd energi'!$B$1:$AQ$1,0),FALSE)</f>
        <v>0</v>
      </c>
      <c r="Z14" s="63">
        <f>VLOOKUP($B14,'Tillförd energi'!$B$1:$AI$720,MATCH(Z$2,'Tillförd energi'!$B$1:$AQ$1,0),FALSE)</f>
        <v>0</v>
      </c>
      <c r="AA14" s="63">
        <f>VLOOKUP($B14,'Tillförd energi'!$B$1:$AI$720,MATCH(AA$2,'Tillförd energi'!$B$1:$AQ$1,0),FALSE)</f>
        <v>0</v>
      </c>
      <c r="AB14" s="63">
        <f>VLOOKUP($B14,'Tillförd energi'!$B$1:$AI$720,MATCH(AB$2,'Tillförd energi'!$B$1:$AQ$1,0),FALSE)</f>
        <v>0</v>
      </c>
      <c r="AC14" s="63">
        <f>VLOOKUP($B14,'Tillförd energi'!$B$1:$AI$720,MATCH(AC$2,'Tillförd energi'!$B$1:$AQ$1,0),FALSE)</f>
        <v>0</v>
      </c>
      <c r="AD14" s="63">
        <f>VLOOKUP($B14,'Tillförd energi'!$B$1:$AI$720,MATCH(AD$2,'Tillförd energi'!$B$1:$AQ$1,0),FALSE)</f>
        <v>0</v>
      </c>
      <c r="AE14" s="63">
        <f>VLOOKUP($B14,'Tillförd energi'!$B$1:$AI$720,MATCH(AE$2,'Tillförd energi'!$B$1:$AQ$1,0),FALSE)</f>
        <v>0</v>
      </c>
      <c r="AF14" s="63">
        <f>VLOOKUP($B14,'Tillförd energi'!$B$1:$AI$720,MATCH(AF$2,'Tillförd energi'!$B$1:$AQ$1,0),FALSE)</f>
        <v>0.13100000000000001</v>
      </c>
      <c r="AG14" s="63">
        <f>IFERROR(VLOOKUP(B14,Miljö!$B$1:$AC$550,MATCH("Köpt mängd produktionsspecifik fjärrvärme:",Miljö!$B$1:$AC$1,0),FALSE)/1,0)</f>
        <v>0</v>
      </c>
      <c r="AI14" s="63">
        <f t="shared" si="0"/>
        <v>8.0299999999999994</v>
      </c>
      <c r="AJ14" s="63">
        <f>IF(ISERROR(1/VLOOKUP($B14,Leveranser!$B$1:$S$500,MATCH("såld värme (gwh)",Leveranser!$B$1:$S$1,0),FALSE)),"",VLOOKUP($B14,Leveranser!$B$1:$S$500,MATCH("såld värme (gwh)",Leveranser!$B$1:$S$1,0),FALSE))</f>
        <v>5.5890000000000004</v>
      </c>
      <c r="AM14" s="63" t="str">
        <f>IF(B14&lt;&gt;"",IF(VLOOKUP($B14,Totalt!$B$1:$AQ$554,MATCH("Kvalitetsgranskad:",Totalt!$B$1:$AQ$1,0),FALSE)="ja",VLOOKUP($B14,Miljö!$B$1:$AG$479,MATCH(AM$2,Miljö!$B$1:$AK$1,0),FALSE),""),"")</f>
        <v>Ja</v>
      </c>
      <c r="AN14" s="63" t="str">
        <f>IF(AM14="ja",VLOOKUP($B14,Miljö!$B$1:$J$479,MATCH("Typ av ursprungsspecificerad el   (Om inget värde anges används Nordisk residualmix, se inforuta) ()",Miljö!$B$1:$J$1,0),FALSE),IF(AM14="nej","Nordisk residualel",""))</f>
        <v>'Kärnkraft'</v>
      </c>
      <c r="AO14" s="63">
        <f>IF(AM14="","",VLOOKUP($B14,Miljö!$B$1:$J$479,MATCH("Fossilandel för ursprungspecificerad el ()",Miljö!$B$1:$J$1,0),FALSE))</f>
        <v>0</v>
      </c>
      <c r="AQ14" s="63">
        <f t="shared" si="1"/>
        <v>1</v>
      </c>
      <c r="AS14" s="63" t="str">
        <f t="shared" si="2"/>
        <v>Nej</v>
      </c>
      <c r="AT14" s="63" t="str">
        <f>IF(AS14="ja",VLOOKUP($B14,Miljö!$B$1:$P$500,MATCH("Fossil andel i procent (%)",Miljö!$B$1:$P$1,0),FALSE)/100,"")</f>
        <v/>
      </c>
      <c r="AV14" s="63" t="str">
        <f t="shared" si="3"/>
        <v>Nej</v>
      </c>
      <c r="AW14" s="63" t="str">
        <f>IF(AV14="ja",VLOOKUP($B14,'Egen hetvattenprod'!$B$1:$AO$500,MATCH("Värmekälla till värmepumpar ()",'Egen hetvattenprod'!$B$1:$AO$1,0),FALSE),"")</f>
        <v/>
      </c>
      <c r="AY14" s="63" t="str">
        <f t="shared" si="4"/>
        <v>Nej</v>
      </c>
      <c r="AZ14" s="77" t="str">
        <f>IF($AY14="ja",(VLOOKUP($B14,'Egen hetvattenprod'!$B$1:$BX$550,MATCH(AZ$2,'Egen hetvattenprod'!$B$1:$BX$1,0),FALSE)+VLOOKUP($B14,Kraftvärmeprod!$B$1:$BX$550,MATCH(AZ$2,Kraftvärmeprod!$B$1:$BX$1,0),FALSE))/$AC14,"")</f>
        <v/>
      </c>
      <c r="BA14" s="77" t="str">
        <f>IF($AY14="ja",(VLOOKUP($B14,'Egen hetvattenprod'!$B$1:$BX$550,MATCH(BA$2,'Egen hetvattenprod'!$B$1:$BX$1,0),FALSE)+VLOOKUP($B14,Kraftvärmeprod!$B$1:$BX$550,MATCH(BA$2,Kraftvärmeprod!$B$1:$BX$1,0),FALSE))/$AC14,"")</f>
        <v/>
      </c>
      <c r="BB14" s="77" t="str">
        <f>IF($AY14="ja",(VLOOKUP($B14,'Egen hetvattenprod'!$B$1:$BX$550,MATCH(BB$2,'Egen hetvattenprod'!$B$1:$BX$1,0),FALSE)+VLOOKUP($B14,Kraftvärmeprod!$B$1:$BX$550,MATCH(BB$2,Kraftvärmeprod!$B$1:$BX$1,0),FALSE))/$AC14,"")</f>
        <v/>
      </c>
      <c r="BC14" s="77" t="str">
        <f>IF($AY14="ja",(VLOOKUP($B14,'Egen hetvattenprod'!$B$1:$BX$550,MATCH(BC$2,'Egen hetvattenprod'!$B$1:$BX$1,0),FALSE)+VLOOKUP($B14,Kraftvärmeprod!$B$1:$BX$550,MATCH(BC$2,Kraftvärmeprod!$B$1:$BX$1,0),FALSE))/$AC14,"")</f>
        <v/>
      </c>
      <c r="BD14" s="77" t="str">
        <f>IF($AY14="ja",(VLOOKUP($B14,'Egen hetvattenprod'!$B$1:$BX$550,MATCH(BD$2,'Egen hetvattenprod'!$B$1:$BX$1,0),FALSE)+VLOOKUP($B14,Kraftvärmeprod!$B$1:$BX$550,MATCH(BD$2,Kraftvärmeprod!$B$1:$BX$1,0),FALSE))/$AC14,"")</f>
        <v/>
      </c>
      <c r="BF14" s="63" t="str">
        <f t="shared" si="5"/>
        <v>Nej</v>
      </c>
      <c r="BG14" s="63" t="str">
        <f>IF($BF14="ja",VLOOKUP($B14,'Egen hetvattenprod'!$B$1:$BX$550,MATCH("Andelen klimatgaser med fossilt ursprung för avfall ()",'Egen hetvattenprod'!$B$1:$BX$1,0),FALSE),"")</f>
        <v/>
      </c>
      <c r="BH14" s="63" t="str">
        <f>IF($BF14="ja",VLOOKUP($B14,Kraftvärmeprod!$B$1:$BX$550,MATCH("Andelen klimatgaser med fossilt ursprung för avfall ()",Kraftvärmeprod!$B$1:$BX$1,0),FALSE),"")</f>
        <v/>
      </c>
      <c r="BI14" s="63" t="str">
        <f>IF($BF14="ja",VLOOKUP($B14,'Egen hetvattenprod'!$B$1:$BX$550,MATCH("Avfall (GWh)",'Egen hetvattenprod'!$B$1:$BX$1,0),FALSE),"")</f>
        <v/>
      </c>
      <c r="BJ14" s="63" t="str">
        <f>IF($BF14="ja",VLOOKUP($B14,'Slutlig allokering kvv'!$B$1:$BX$550,MATCH("Avfall (GWh)",'Slutlig allokering kvv'!$B$1:$BX$1,0),FALSE),"")</f>
        <v/>
      </c>
      <c r="BK14" s="63" t="str">
        <f>IF($BF14="ja",VLOOKUP($B14,'Köpt hetvatten'!$B$1:$BX$550,MATCH("Avfall i köpt hetvatten",'Köpt hetvatten'!$B$1:$BX$1,0),FALSE),"")</f>
        <v/>
      </c>
      <c r="BL14" s="63" t="str">
        <f>IF($BF14="ja",VLOOKUP($B14,'Egen hetvattenprod'!$B$1:$BX$550,MATCH("Värde enligt ovan. (%)",'Egen hetvattenprod'!$B$1:$BX$1,0),FALSE),"")</f>
        <v/>
      </c>
      <c r="BM14" s="63" t="str">
        <f>IF($BF14="ja",VLOOKUP($B14,Kraftvärmeprod!$B$1:$BX$550,MATCH("Värde enligt ovan. (%)",Kraftvärmeprod!$B$1:$BX$1,0),FALSE),"")</f>
        <v/>
      </c>
    </row>
    <row r="15" spans="1:71" x14ac:dyDescent="0.45">
      <c r="A15" s="63" t="s">
        <v>672</v>
      </c>
      <c r="B15" s="63" t="s">
        <v>677</v>
      </c>
      <c r="C15" s="63">
        <f>VLOOKUP($B15,'Tillförd energi'!$B$1:$AI$720,MATCH(C$2,'Tillförd energi'!$B$1:$AQ$1,0),FALSE)</f>
        <v>0</v>
      </c>
      <c r="D15" s="63">
        <f>VLOOKUP($B15,'Tillförd energi'!$B$1:$AI$720,MATCH(D$2,'Tillförd energi'!$B$1:$AQ$1,0),FALSE)</f>
        <v>0.155</v>
      </c>
      <c r="E15" s="63">
        <f>VLOOKUP($B15,'Tillförd energi'!$B$1:$AI$720,MATCH(E$2,'Tillförd energi'!$B$1:$AQ$1,0),FALSE)</f>
        <v>0</v>
      </c>
      <c r="F15" s="63">
        <f>VLOOKUP($B15,'Tillförd energi'!$B$1:$AI$720,MATCH(F$2,'Tillförd energi'!$B$1:$AQ$1,0),FALSE)</f>
        <v>0</v>
      </c>
      <c r="G15" s="63">
        <f>VLOOKUP($B15,'Tillförd energi'!$B$1:$AI$720,MATCH(G$2,'Tillförd energi'!$B$1:$AQ$1,0),FALSE)</f>
        <v>0</v>
      </c>
      <c r="H15" s="63">
        <f>VLOOKUP($B15,'Tillförd energi'!$B$1:$AI$720,MATCH(H$2,'Tillförd energi'!$B$1:$AQ$1,0),FALSE)</f>
        <v>0</v>
      </c>
      <c r="I15" s="63">
        <f>VLOOKUP($B15,'Tillförd energi'!$B$1:$AI$720,MATCH(I$2,'Tillförd energi'!$B$1:$AQ$1,0),FALSE)</f>
        <v>0</v>
      </c>
      <c r="J15" s="63">
        <f>VLOOKUP($B15,'Tillförd energi'!$B$1:$AI$720,MATCH(J$2,'Tillförd energi'!$B$1:$AQ$1,0),FALSE)</f>
        <v>0</v>
      </c>
      <c r="K15" s="63">
        <f>VLOOKUP($B15,'Tillförd energi'!$B$1:$AI$720,MATCH(K$2,'Tillförd energi'!$B$1:$AQ$1,0),FALSE)</f>
        <v>0</v>
      </c>
      <c r="L15" s="63">
        <f>VLOOKUP($B15,'Tillförd energi'!$B$1:$AI$720,MATCH(L$2,'Tillförd energi'!$B$1:$AQ$1,0),FALSE)</f>
        <v>0</v>
      </c>
      <c r="M15" s="63">
        <f>VLOOKUP($B15,'Tillförd energi'!$B$1:$AI$720,MATCH(M$2,'Tillförd energi'!$B$1:$AQ$1,0),FALSE)</f>
        <v>0</v>
      </c>
      <c r="N15" s="63">
        <f>VLOOKUP($B15,'Tillförd energi'!$B$1:$AI$720,MATCH(N$2,'Tillförd energi'!$B$1:$AQ$1,0),FALSE)</f>
        <v>0</v>
      </c>
      <c r="O15" s="63">
        <f>VLOOKUP($B15,'Tillförd energi'!$B$1:$AI$720,MATCH(O$2,'Tillförd energi'!$B$1:$AQ$1,0),FALSE)</f>
        <v>0</v>
      </c>
      <c r="P15" s="63">
        <f>VLOOKUP($B15,'Tillförd energi'!$B$1:$AI$720,MATCH(P$2,'Tillförd energi'!$B$1:$AQ$1,0),FALSE)</f>
        <v>0</v>
      </c>
      <c r="Q15" s="63">
        <f>VLOOKUP($B15,'Tillförd energi'!$B$1:$AI$720,MATCH(Q$2,'Tillförd energi'!$B$1:$AQ$1,0),FALSE)</f>
        <v>11.523</v>
      </c>
      <c r="R15" s="63">
        <f>VLOOKUP($B15,'Tillförd energi'!$B$1:$AI$720,MATCH(R$2,'Tillförd energi'!$B$1:$AQ$1,0),FALSE)</f>
        <v>0</v>
      </c>
      <c r="S15" s="63">
        <f>VLOOKUP($B15,'Tillförd energi'!$B$1:$AI$720,MATCH(S$2,'Tillförd energi'!$B$1:$AQ$1,0),FALSE)</f>
        <v>0</v>
      </c>
      <c r="T15" s="63">
        <f>VLOOKUP($B15,'Tillförd energi'!$B$1:$AI$720,MATCH(T$2,'Tillförd energi'!$B$1:$AQ$1,0),FALSE)</f>
        <v>0</v>
      </c>
      <c r="U15" s="63">
        <f>VLOOKUP($B15,'Tillförd energi'!$B$1:$AI$720,MATCH(U$2,'Tillförd energi'!$B$1:$AQ$1,0),FALSE)</f>
        <v>0</v>
      </c>
      <c r="V15" s="63">
        <f>VLOOKUP($B15,'Tillförd energi'!$B$1:$AI$720,MATCH(V$2,'Tillförd energi'!$B$1:$AQ$1,0),FALSE)</f>
        <v>0</v>
      </c>
      <c r="W15" s="63">
        <f>VLOOKUP($B15,'Tillförd energi'!$B$1:$AI$720,MATCH(W$2,'Tillförd energi'!$B$1:$AQ$1,0),FALSE)</f>
        <v>0</v>
      </c>
      <c r="X15" s="63">
        <f>VLOOKUP($B15,'Tillförd energi'!$B$1:$AI$720,MATCH(X$2,'Tillförd energi'!$B$1:$AQ$1,0),FALSE)</f>
        <v>0</v>
      </c>
      <c r="Y15" s="63">
        <f>VLOOKUP($B15,'Tillförd energi'!$B$1:$AI$720,MATCH(Y$2,'Tillförd energi'!$B$1:$AQ$1,0),FALSE)</f>
        <v>0</v>
      </c>
      <c r="Z15" s="63">
        <f>VLOOKUP($B15,'Tillförd energi'!$B$1:$AI$720,MATCH(Z$2,'Tillförd energi'!$B$1:$AQ$1,0),FALSE)</f>
        <v>0</v>
      </c>
      <c r="AA15" s="63">
        <f>VLOOKUP($B15,'Tillförd energi'!$B$1:$AI$720,MATCH(AA$2,'Tillförd energi'!$B$1:$AQ$1,0),FALSE)</f>
        <v>0</v>
      </c>
      <c r="AB15" s="63">
        <f>VLOOKUP($B15,'Tillförd energi'!$B$1:$AI$720,MATCH(AB$2,'Tillförd energi'!$B$1:$AQ$1,0),FALSE)</f>
        <v>0</v>
      </c>
      <c r="AC15" s="63">
        <f>VLOOKUP($B15,'Tillförd energi'!$B$1:$AI$720,MATCH(AC$2,'Tillförd energi'!$B$1:$AQ$1,0),FALSE)</f>
        <v>0</v>
      </c>
      <c r="AD15" s="63">
        <f>VLOOKUP($B15,'Tillförd energi'!$B$1:$AI$720,MATCH(AD$2,'Tillförd energi'!$B$1:$AQ$1,0),FALSE)</f>
        <v>0</v>
      </c>
      <c r="AE15" s="63">
        <f>VLOOKUP($B15,'Tillförd energi'!$B$1:$AI$720,MATCH(AE$2,'Tillförd energi'!$B$1:$AQ$1,0),FALSE)</f>
        <v>0</v>
      </c>
      <c r="AF15" s="63">
        <f>VLOOKUP($B15,'Tillförd energi'!$B$1:$AI$720,MATCH(AF$2,'Tillförd energi'!$B$1:$AQ$1,0),FALSE)</f>
        <v>0.115</v>
      </c>
      <c r="AG15" s="63">
        <f>IFERROR(VLOOKUP(B15,Miljö!$B$1:$AC$550,MATCH("Köpt mängd produktionsspecifik fjärrvärme:",Miljö!$B$1:$AC$1,0),FALSE)/1,0)</f>
        <v>0</v>
      </c>
      <c r="AI15" s="63">
        <f t="shared" si="0"/>
        <v>11.792999999999999</v>
      </c>
      <c r="AJ15" s="63">
        <f>IF(ISERROR(1/VLOOKUP($B15,Leveranser!$B$1:$S$500,MATCH("såld värme (gwh)",Leveranser!$B$1:$S$1,0),FALSE)),"",VLOOKUP($B15,Leveranser!$B$1:$S$500,MATCH("såld värme (gwh)",Leveranser!$B$1:$S$1,0),FALSE))</f>
        <v>7.6479999999999997</v>
      </c>
      <c r="AM15" s="63" t="str">
        <f>IF(B15&lt;&gt;"",IF(VLOOKUP($B15,Totalt!$B$1:$AQ$554,MATCH("Kvalitetsgranskad:",Totalt!$B$1:$AQ$1,0),FALSE)="ja",VLOOKUP($B15,Miljö!$B$1:$AG$479,MATCH(AM$2,Miljö!$B$1:$AK$1,0),FALSE),""),"")</f>
        <v>Ja</v>
      </c>
      <c r="AN15" s="63" t="str">
        <f>IF(AM15="ja",VLOOKUP($B15,Miljö!$B$1:$J$479,MATCH("Typ av ursprungsspecificerad el   (Om inget värde anges används Nordisk residualmix, se inforuta) ()",Miljö!$B$1:$J$1,0),FALSE),IF(AM15="nej","Nordisk residualel",""))</f>
        <v>'Kärnkraft'</v>
      </c>
      <c r="AO15" s="63">
        <f>IF(AM15="","",VLOOKUP($B15,Miljö!$B$1:$J$479,MATCH("Fossilandel för ursprungspecificerad el ()",Miljö!$B$1:$J$1,0),FALSE))</f>
        <v>0</v>
      </c>
      <c r="AQ15" s="63">
        <f t="shared" si="1"/>
        <v>1</v>
      </c>
      <c r="AS15" s="63" t="str">
        <f t="shared" si="2"/>
        <v>Nej</v>
      </c>
      <c r="AT15" s="63" t="str">
        <f>IF(AS15="ja",VLOOKUP($B15,Miljö!$B$1:$P$500,MATCH("Fossil andel i procent (%)",Miljö!$B$1:$P$1,0),FALSE)/100,"")</f>
        <v/>
      </c>
      <c r="AV15" s="63" t="str">
        <f t="shared" si="3"/>
        <v>Nej</v>
      </c>
      <c r="AW15" s="63" t="str">
        <f>IF(AV15="ja",VLOOKUP($B15,'Egen hetvattenprod'!$B$1:$AO$500,MATCH("Värmekälla till värmepumpar ()",'Egen hetvattenprod'!$B$1:$AO$1,0),FALSE),"")</f>
        <v/>
      </c>
      <c r="AY15" s="63" t="str">
        <f t="shared" si="4"/>
        <v>Nej</v>
      </c>
      <c r="AZ15" s="77" t="str">
        <f>IF($AY15="ja",(VLOOKUP($B15,'Egen hetvattenprod'!$B$1:$BX$550,MATCH(AZ$2,'Egen hetvattenprod'!$B$1:$BX$1,0),FALSE)+VLOOKUP($B15,Kraftvärmeprod!$B$1:$BX$550,MATCH(AZ$2,Kraftvärmeprod!$B$1:$BX$1,0),FALSE))/$AC15,"")</f>
        <v/>
      </c>
      <c r="BA15" s="77" t="str">
        <f>IF($AY15="ja",(VLOOKUP($B15,'Egen hetvattenprod'!$B$1:$BX$550,MATCH(BA$2,'Egen hetvattenprod'!$B$1:$BX$1,0),FALSE)+VLOOKUP($B15,Kraftvärmeprod!$B$1:$BX$550,MATCH(BA$2,Kraftvärmeprod!$B$1:$BX$1,0),FALSE))/$AC15,"")</f>
        <v/>
      </c>
      <c r="BB15" s="77" t="str">
        <f>IF($AY15="ja",(VLOOKUP($B15,'Egen hetvattenprod'!$B$1:$BX$550,MATCH(BB$2,'Egen hetvattenprod'!$B$1:$BX$1,0),FALSE)+VLOOKUP($B15,Kraftvärmeprod!$B$1:$BX$550,MATCH(BB$2,Kraftvärmeprod!$B$1:$BX$1,0),FALSE))/$AC15,"")</f>
        <v/>
      </c>
      <c r="BC15" s="77" t="str">
        <f>IF($AY15="ja",(VLOOKUP($B15,'Egen hetvattenprod'!$B$1:$BX$550,MATCH(BC$2,'Egen hetvattenprod'!$B$1:$BX$1,0),FALSE)+VLOOKUP($B15,Kraftvärmeprod!$B$1:$BX$550,MATCH(BC$2,Kraftvärmeprod!$B$1:$BX$1,0),FALSE))/$AC15,"")</f>
        <v/>
      </c>
      <c r="BD15" s="77" t="str">
        <f>IF($AY15="ja",(VLOOKUP($B15,'Egen hetvattenprod'!$B$1:$BX$550,MATCH(BD$2,'Egen hetvattenprod'!$B$1:$BX$1,0),FALSE)+VLOOKUP($B15,Kraftvärmeprod!$B$1:$BX$550,MATCH(BD$2,Kraftvärmeprod!$B$1:$BX$1,0),FALSE))/$AC15,"")</f>
        <v/>
      </c>
      <c r="BF15" s="63" t="str">
        <f t="shared" si="5"/>
        <v>Nej</v>
      </c>
      <c r="BG15" s="63" t="str">
        <f>IF($BF15="ja",VLOOKUP($B15,'Egen hetvattenprod'!$B$1:$BX$550,MATCH("Andelen klimatgaser med fossilt ursprung för avfall ()",'Egen hetvattenprod'!$B$1:$BX$1,0),FALSE),"")</f>
        <v/>
      </c>
      <c r="BH15" s="63" t="str">
        <f>IF($BF15="ja",VLOOKUP($B15,Kraftvärmeprod!$B$1:$BX$550,MATCH("Andelen klimatgaser med fossilt ursprung för avfall ()",Kraftvärmeprod!$B$1:$BX$1,0),FALSE),"")</f>
        <v/>
      </c>
      <c r="BI15" s="63" t="str">
        <f>IF($BF15="ja",VLOOKUP($B15,'Egen hetvattenprod'!$B$1:$BX$550,MATCH("Avfall (GWh)",'Egen hetvattenprod'!$B$1:$BX$1,0),FALSE),"")</f>
        <v/>
      </c>
      <c r="BJ15" s="63" t="str">
        <f>IF($BF15="ja",VLOOKUP($B15,'Slutlig allokering kvv'!$B$1:$BX$550,MATCH("Avfall (GWh)",'Slutlig allokering kvv'!$B$1:$BX$1,0),FALSE),"")</f>
        <v/>
      </c>
      <c r="BK15" s="63" t="str">
        <f>IF($BF15="ja",VLOOKUP($B15,'Köpt hetvatten'!$B$1:$BX$550,MATCH("Avfall i köpt hetvatten",'Köpt hetvatten'!$B$1:$BX$1,0),FALSE),"")</f>
        <v/>
      </c>
      <c r="BL15" s="63" t="str">
        <f>IF($BF15="ja",VLOOKUP($B15,'Egen hetvattenprod'!$B$1:$BX$550,MATCH("Värde enligt ovan. (%)",'Egen hetvattenprod'!$B$1:$BX$1,0),FALSE),"")</f>
        <v/>
      </c>
      <c r="BM15" s="63" t="str">
        <f>IF($BF15="ja",VLOOKUP($B15,Kraftvärmeprod!$B$1:$BX$550,MATCH("Värde enligt ovan. (%)",Kraftvärmeprod!$B$1:$BX$1,0),FALSE),"")</f>
        <v/>
      </c>
    </row>
    <row r="16" spans="1:71" x14ac:dyDescent="0.45">
      <c r="A16" s="63" t="s">
        <v>672</v>
      </c>
      <c r="B16" s="63" t="s">
        <v>675</v>
      </c>
      <c r="C16" s="63">
        <f>VLOOKUP($B16,'Tillförd energi'!$B$1:$AI$720,MATCH(C$2,'Tillförd energi'!$B$1:$AQ$1,0),FALSE)</f>
        <v>0</v>
      </c>
      <c r="D16" s="63">
        <f>VLOOKUP($B16,'Tillförd energi'!$B$1:$AI$720,MATCH(D$2,'Tillförd energi'!$B$1:$AQ$1,0),FALSE)</f>
        <v>0.6</v>
      </c>
      <c r="E16" s="63">
        <f>VLOOKUP($B16,'Tillförd energi'!$B$1:$AI$720,MATCH(E$2,'Tillförd energi'!$B$1:$AQ$1,0),FALSE)</f>
        <v>0</v>
      </c>
      <c r="F16" s="63">
        <f>VLOOKUP($B16,'Tillförd energi'!$B$1:$AI$720,MATCH(F$2,'Tillförd energi'!$B$1:$AQ$1,0),FALSE)</f>
        <v>0</v>
      </c>
      <c r="G16" s="63">
        <f>VLOOKUP($B16,'Tillförd energi'!$B$1:$AI$720,MATCH(G$2,'Tillförd energi'!$B$1:$AQ$1,0),FALSE)</f>
        <v>0</v>
      </c>
      <c r="H16" s="63">
        <f>VLOOKUP($B16,'Tillförd energi'!$B$1:$AI$720,MATCH(H$2,'Tillförd energi'!$B$1:$AQ$1,0),FALSE)</f>
        <v>0</v>
      </c>
      <c r="I16" s="63">
        <f>VLOOKUP($B16,'Tillförd energi'!$B$1:$AI$720,MATCH(I$2,'Tillförd energi'!$B$1:$AQ$1,0),FALSE)</f>
        <v>0</v>
      </c>
      <c r="J16" s="63">
        <f>VLOOKUP($B16,'Tillförd energi'!$B$1:$AI$720,MATCH(J$2,'Tillförd energi'!$B$1:$AQ$1,0),FALSE)</f>
        <v>0</v>
      </c>
      <c r="K16" s="63">
        <f>VLOOKUP($B16,'Tillförd energi'!$B$1:$AI$720,MATCH(K$2,'Tillförd energi'!$B$1:$AQ$1,0),FALSE)</f>
        <v>0</v>
      </c>
      <c r="L16" s="63">
        <f>VLOOKUP($B16,'Tillförd energi'!$B$1:$AI$720,MATCH(L$2,'Tillförd energi'!$B$1:$AQ$1,0),FALSE)</f>
        <v>0</v>
      </c>
      <c r="M16" s="63">
        <f>VLOOKUP($B16,'Tillförd energi'!$B$1:$AI$720,MATCH(M$2,'Tillförd energi'!$B$1:$AQ$1,0),FALSE)</f>
        <v>0</v>
      </c>
      <c r="N16" s="63">
        <f>VLOOKUP($B16,'Tillförd energi'!$B$1:$AI$720,MATCH(N$2,'Tillförd energi'!$B$1:$AQ$1,0),FALSE)</f>
        <v>0</v>
      </c>
      <c r="O16" s="63">
        <f>VLOOKUP($B16,'Tillförd energi'!$B$1:$AI$720,MATCH(O$2,'Tillförd energi'!$B$1:$AQ$1,0),FALSE)</f>
        <v>0</v>
      </c>
      <c r="P16" s="63">
        <f>VLOOKUP($B16,'Tillförd energi'!$B$1:$AI$720,MATCH(P$2,'Tillförd energi'!$B$1:$AQ$1,0),FALSE)</f>
        <v>0</v>
      </c>
      <c r="Q16" s="63">
        <f>VLOOKUP($B16,'Tillförd energi'!$B$1:$AI$720,MATCH(Q$2,'Tillförd energi'!$B$1:$AQ$1,0),FALSE)</f>
        <v>0</v>
      </c>
      <c r="R16" s="63">
        <f>VLOOKUP($B16,'Tillförd energi'!$B$1:$AI$720,MATCH(R$2,'Tillförd energi'!$B$1:$AQ$1,0),FALSE)</f>
        <v>4.2</v>
      </c>
      <c r="S16" s="63">
        <f>VLOOKUP($B16,'Tillförd energi'!$B$1:$AI$720,MATCH(S$2,'Tillförd energi'!$B$1:$AQ$1,0),FALSE)</f>
        <v>0</v>
      </c>
      <c r="T16" s="63">
        <f>VLOOKUP($B16,'Tillförd energi'!$B$1:$AI$720,MATCH(T$2,'Tillförd energi'!$B$1:$AQ$1,0),FALSE)</f>
        <v>0</v>
      </c>
      <c r="U16" s="63">
        <f>VLOOKUP($B16,'Tillförd energi'!$B$1:$AI$720,MATCH(U$2,'Tillförd energi'!$B$1:$AQ$1,0),FALSE)</f>
        <v>0</v>
      </c>
      <c r="V16" s="63">
        <f>VLOOKUP($B16,'Tillförd energi'!$B$1:$AI$720,MATCH(V$2,'Tillförd energi'!$B$1:$AQ$1,0),FALSE)</f>
        <v>0</v>
      </c>
      <c r="W16" s="63">
        <f>VLOOKUP($B16,'Tillförd energi'!$B$1:$AI$720,MATCH(W$2,'Tillförd energi'!$B$1:$AQ$1,0),FALSE)</f>
        <v>0</v>
      </c>
      <c r="X16" s="63">
        <f>VLOOKUP($B16,'Tillförd energi'!$B$1:$AI$720,MATCH(X$2,'Tillförd energi'!$B$1:$AQ$1,0),FALSE)</f>
        <v>0</v>
      </c>
      <c r="Y16" s="63">
        <f>VLOOKUP($B16,'Tillförd energi'!$B$1:$AI$720,MATCH(Y$2,'Tillförd energi'!$B$1:$AQ$1,0),FALSE)</f>
        <v>0</v>
      </c>
      <c r="Z16" s="63">
        <f>VLOOKUP($B16,'Tillförd energi'!$B$1:$AI$720,MATCH(Z$2,'Tillförd energi'!$B$1:$AQ$1,0),FALSE)</f>
        <v>0.2</v>
      </c>
      <c r="AA16" s="63">
        <f>VLOOKUP($B16,'Tillförd energi'!$B$1:$AI$720,MATCH(AA$2,'Tillförd energi'!$B$1:$AQ$1,0),FALSE)</f>
        <v>0</v>
      </c>
      <c r="AB16" s="63">
        <f>VLOOKUP($B16,'Tillförd energi'!$B$1:$AI$720,MATCH(AB$2,'Tillförd energi'!$B$1:$AQ$1,0),FALSE)</f>
        <v>0</v>
      </c>
      <c r="AC16" s="63">
        <f>VLOOKUP($B16,'Tillförd energi'!$B$1:$AI$720,MATCH(AC$2,'Tillförd energi'!$B$1:$AQ$1,0),FALSE)</f>
        <v>0</v>
      </c>
      <c r="AD16" s="63">
        <f>VLOOKUP($B16,'Tillförd energi'!$B$1:$AI$720,MATCH(AD$2,'Tillförd energi'!$B$1:$AQ$1,0),FALSE)</f>
        <v>0</v>
      </c>
      <c r="AE16" s="63">
        <f>VLOOKUP($B16,'Tillförd energi'!$B$1:$AI$720,MATCH(AE$2,'Tillförd energi'!$B$1:$AQ$1,0),FALSE)</f>
        <v>0</v>
      </c>
      <c r="AF16" s="63">
        <f>VLOOKUP($B16,'Tillförd energi'!$B$1:$AI$720,MATCH(AF$2,'Tillförd energi'!$B$1:$AQ$1,0),FALSE)</f>
        <v>0.26200000000000001</v>
      </c>
      <c r="AG16" s="63">
        <f>IFERROR(VLOOKUP(B16,Miljö!$B$1:$AC$550,MATCH("Köpt mängd produktionsspecifik fjärrvärme:",Miljö!$B$1:$AC$1,0),FALSE)/1,0)</f>
        <v>0</v>
      </c>
      <c r="AI16" s="63">
        <f t="shared" si="0"/>
        <v>5.2620000000000005</v>
      </c>
      <c r="AJ16" s="63">
        <f>IF(ISERROR(1/VLOOKUP($B16,Leveranser!$B$1:$S$500,MATCH("såld värme (gwh)",Leveranser!$B$1:$S$1,0),FALSE)),"",VLOOKUP($B16,Leveranser!$B$1:$S$500,MATCH("såld värme (gwh)",Leveranser!$B$1:$S$1,0),FALSE))</f>
        <v>3.9</v>
      </c>
      <c r="AM16" s="63" t="str">
        <f>IF(B16&lt;&gt;"",IF(VLOOKUP($B16,Totalt!$B$1:$AQ$554,MATCH("Kvalitetsgranskad:",Totalt!$B$1:$AQ$1,0),FALSE)="ja",VLOOKUP($B16,Miljö!$B$1:$AG$479,MATCH(AM$2,Miljö!$B$1:$AK$1,0),FALSE),""),"")</f>
        <v>Ja</v>
      </c>
      <c r="AN16" s="63" t="str">
        <f>IF(AM16="ja",VLOOKUP($B16,Miljö!$B$1:$J$479,MATCH("Typ av ursprungsspecificerad el   (Om inget värde anges används Nordisk residualmix, se inforuta) ()",Miljö!$B$1:$J$1,0),FALSE),IF(AM16="nej","Nordisk residualel",""))</f>
        <v>'Kärnkraft'</v>
      </c>
      <c r="AO16" s="63">
        <f>IF(AM16="","",VLOOKUP($B16,Miljö!$B$1:$J$479,MATCH("Fossilandel för ursprungspecificerad el ()",Miljö!$B$1:$J$1,0),FALSE))</f>
        <v>0</v>
      </c>
      <c r="AQ16" s="63">
        <f t="shared" si="1"/>
        <v>1</v>
      </c>
      <c r="AS16" s="63" t="str">
        <f t="shared" si="2"/>
        <v>Nej</v>
      </c>
      <c r="AT16" s="63" t="str">
        <f>IF(AS16="ja",VLOOKUP($B16,Miljö!$B$1:$P$500,MATCH("Fossil andel i procent (%)",Miljö!$B$1:$P$1,0),FALSE)/100,"")</f>
        <v/>
      </c>
      <c r="AV16" s="63" t="str">
        <f t="shared" si="3"/>
        <v>Nej</v>
      </c>
      <c r="AW16" s="63" t="str">
        <f>IF(AV16="ja",VLOOKUP($B16,'Egen hetvattenprod'!$B$1:$AO$500,MATCH("Värmekälla till värmepumpar ()",'Egen hetvattenprod'!$B$1:$AO$1,0),FALSE),"")</f>
        <v/>
      </c>
      <c r="AY16" s="63" t="str">
        <f t="shared" si="4"/>
        <v>Nej</v>
      </c>
      <c r="AZ16" s="77" t="str">
        <f>IF($AY16="ja",(VLOOKUP($B16,'Egen hetvattenprod'!$B$1:$BX$550,MATCH(AZ$2,'Egen hetvattenprod'!$B$1:$BX$1,0),FALSE)+VLOOKUP($B16,Kraftvärmeprod!$B$1:$BX$550,MATCH(AZ$2,Kraftvärmeprod!$B$1:$BX$1,0),FALSE))/$AC16,"")</f>
        <v/>
      </c>
      <c r="BA16" s="77" t="str">
        <f>IF($AY16="ja",(VLOOKUP($B16,'Egen hetvattenprod'!$B$1:$BX$550,MATCH(BA$2,'Egen hetvattenprod'!$B$1:$BX$1,0),FALSE)+VLOOKUP($B16,Kraftvärmeprod!$B$1:$BX$550,MATCH(BA$2,Kraftvärmeprod!$B$1:$BX$1,0),FALSE))/$AC16,"")</f>
        <v/>
      </c>
      <c r="BB16" s="77" t="str">
        <f>IF($AY16="ja",(VLOOKUP($B16,'Egen hetvattenprod'!$B$1:$BX$550,MATCH(BB$2,'Egen hetvattenprod'!$B$1:$BX$1,0),FALSE)+VLOOKUP($B16,Kraftvärmeprod!$B$1:$BX$550,MATCH(BB$2,Kraftvärmeprod!$B$1:$BX$1,0),FALSE))/$AC16,"")</f>
        <v/>
      </c>
      <c r="BC16" s="77" t="str">
        <f>IF($AY16="ja",(VLOOKUP($B16,'Egen hetvattenprod'!$B$1:$BX$550,MATCH(BC$2,'Egen hetvattenprod'!$B$1:$BX$1,0),FALSE)+VLOOKUP($B16,Kraftvärmeprod!$B$1:$BX$550,MATCH(BC$2,Kraftvärmeprod!$B$1:$BX$1,0),FALSE))/$AC16,"")</f>
        <v/>
      </c>
      <c r="BD16" s="77" t="str">
        <f>IF($AY16="ja",(VLOOKUP($B16,'Egen hetvattenprod'!$B$1:$BX$550,MATCH(BD$2,'Egen hetvattenprod'!$B$1:$BX$1,0),FALSE)+VLOOKUP($B16,Kraftvärmeprod!$B$1:$BX$550,MATCH(BD$2,Kraftvärmeprod!$B$1:$BX$1,0),FALSE))/$AC16,"")</f>
        <v/>
      </c>
      <c r="BF16" s="63" t="str">
        <f t="shared" si="5"/>
        <v>Nej</v>
      </c>
      <c r="BG16" s="63" t="str">
        <f>IF($BF16="ja",VLOOKUP($B16,'Egen hetvattenprod'!$B$1:$BX$550,MATCH("Andelen klimatgaser med fossilt ursprung för avfall ()",'Egen hetvattenprod'!$B$1:$BX$1,0),FALSE),"")</f>
        <v/>
      </c>
      <c r="BH16" s="63" t="str">
        <f>IF($BF16="ja",VLOOKUP($B16,Kraftvärmeprod!$B$1:$BX$550,MATCH("Andelen klimatgaser med fossilt ursprung för avfall ()",Kraftvärmeprod!$B$1:$BX$1,0),FALSE),"")</f>
        <v/>
      </c>
      <c r="BI16" s="63" t="str">
        <f>IF($BF16="ja",VLOOKUP($B16,'Egen hetvattenprod'!$B$1:$BX$550,MATCH("Avfall (GWh)",'Egen hetvattenprod'!$B$1:$BX$1,0),FALSE),"")</f>
        <v/>
      </c>
      <c r="BJ16" s="63" t="str">
        <f>IF($BF16="ja",VLOOKUP($B16,'Slutlig allokering kvv'!$B$1:$BX$550,MATCH("Avfall (GWh)",'Slutlig allokering kvv'!$B$1:$BX$1,0),FALSE),"")</f>
        <v/>
      </c>
      <c r="BK16" s="63" t="str">
        <f>IF($BF16="ja",VLOOKUP($B16,'Köpt hetvatten'!$B$1:$BX$550,MATCH("Avfall i köpt hetvatten",'Köpt hetvatten'!$B$1:$BX$1,0),FALSE),"")</f>
        <v/>
      </c>
      <c r="BL16" s="63" t="str">
        <f>IF($BF16="ja",VLOOKUP($B16,'Egen hetvattenprod'!$B$1:$BX$550,MATCH("Värde enligt ovan. (%)",'Egen hetvattenprod'!$B$1:$BX$1,0),FALSE),"")</f>
        <v/>
      </c>
      <c r="BM16" s="63" t="str">
        <f>IF($BF16="ja",VLOOKUP($B16,Kraftvärmeprod!$B$1:$BX$550,MATCH("Värde enligt ovan. (%)",Kraftvärmeprod!$B$1:$BX$1,0),FALSE),"")</f>
        <v/>
      </c>
    </row>
    <row r="17" spans="1:65" x14ac:dyDescent="0.45">
      <c r="A17" s="63" t="s">
        <v>672</v>
      </c>
      <c r="B17" s="63" t="s">
        <v>674</v>
      </c>
      <c r="C17" s="63">
        <f>VLOOKUP($B17,'Tillförd energi'!$B$1:$AI$720,MATCH(C$2,'Tillförd energi'!$B$1:$AQ$1,0),FALSE)</f>
        <v>0</v>
      </c>
      <c r="D17" s="63">
        <f>VLOOKUP($B17,'Tillförd energi'!$B$1:$AI$720,MATCH(D$2,'Tillförd energi'!$B$1:$AQ$1,0),FALSE)</f>
        <v>5.6000000000000001E-2</v>
      </c>
      <c r="E17" s="63">
        <f>VLOOKUP($B17,'Tillförd energi'!$B$1:$AI$720,MATCH(E$2,'Tillförd energi'!$B$1:$AQ$1,0),FALSE)</f>
        <v>0</v>
      </c>
      <c r="F17" s="63">
        <f>VLOOKUP($B17,'Tillförd energi'!$B$1:$AI$720,MATCH(F$2,'Tillförd energi'!$B$1:$AQ$1,0),FALSE)</f>
        <v>0</v>
      </c>
      <c r="G17" s="63">
        <f>VLOOKUP($B17,'Tillförd energi'!$B$1:$AI$720,MATCH(G$2,'Tillförd energi'!$B$1:$AQ$1,0),FALSE)</f>
        <v>0</v>
      </c>
      <c r="H17" s="63">
        <f>VLOOKUP($B17,'Tillförd energi'!$B$1:$AI$720,MATCH(H$2,'Tillförd energi'!$B$1:$AQ$1,0),FALSE)</f>
        <v>0</v>
      </c>
      <c r="I17" s="63">
        <f>VLOOKUP($B17,'Tillförd energi'!$B$1:$AI$720,MATCH(I$2,'Tillförd energi'!$B$1:$AQ$1,0),FALSE)</f>
        <v>0</v>
      </c>
      <c r="J17" s="63">
        <f>VLOOKUP($B17,'Tillförd energi'!$B$1:$AI$720,MATCH(J$2,'Tillförd energi'!$B$1:$AQ$1,0),FALSE)</f>
        <v>0</v>
      </c>
      <c r="K17" s="63">
        <f>VLOOKUP($B17,'Tillförd energi'!$B$1:$AI$720,MATCH(K$2,'Tillförd energi'!$B$1:$AQ$1,0),FALSE)</f>
        <v>0</v>
      </c>
      <c r="L17" s="63">
        <f>VLOOKUP($B17,'Tillförd energi'!$B$1:$AI$720,MATCH(L$2,'Tillförd energi'!$B$1:$AQ$1,0),FALSE)</f>
        <v>0</v>
      </c>
      <c r="M17" s="63">
        <f>VLOOKUP($B17,'Tillförd energi'!$B$1:$AI$720,MATCH(M$2,'Tillförd energi'!$B$1:$AQ$1,0),FALSE)</f>
        <v>0</v>
      </c>
      <c r="N17" s="63">
        <f>VLOOKUP($B17,'Tillförd energi'!$B$1:$AI$720,MATCH(N$2,'Tillförd energi'!$B$1:$AQ$1,0),FALSE)</f>
        <v>0</v>
      </c>
      <c r="O17" s="63">
        <f>VLOOKUP($B17,'Tillförd energi'!$B$1:$AI$720,MATCH(O$2,'Tillförd energi'!$B$1:$AQ$1,0),FALSE)</f>
        <v>0</v>
      </c>
      <c r="P17" s="63">
        <f>VLOOKUP($B17,'Tillförd energi'!$B$1:$AI$720,MATCH(P$2,'Tillförd energi'!$B$1:$AQ$1,0),FALSE)</f>
        <v>0</v>
      </c>
      <c r="Q17" s="63">
        <f>VLOOKUP($B17,'Tillförd energi'!$B$1:$AI$720,MATCH(Q$2,'Tillförd energi'!$B$1:$AQ$1,0),FALSE)</f>
        <v>0</v>
      </c>
      <c r="R17" s="63">
        <f>VLOOKUP($B17,'Tillförd energi'!$B$1:$AI$720,MATCH(R$2,'Tillförd energi'!$B$1:$AQ$1,0),FALSE)</f>
        <v>2.2789999999999999</v>
      </c>
      <c r="S17" s="63">
        <f>VLOOKUP($B17,'Tillförd energi'!$B$1:$AI$720,MATCH(S$2,'Tillförd energi'!$B$1:$AQ$1,0),FALSE)</f>
        <v>0</v>
      </c>
      <c r="T17" s="63">
        <f>VLOOKUP($B17,'Tillförd energi'!$B$1:$AI$720,MATCH(T$2,'Tillförd energi'!$B$1:$AQ$1,0),FALSE)</f>
        <v>0</v>
      </c>
      <c r="U17" s="63">
        <f>VLOOKUP($B17,'Tillförd energi'!$B$1:$AI$720,MATCH(U$2,'Tillförd energi'!$B$1:$AQ$1,0),FALSE)</f>
        <v>0</v>
      </c>
      <c r="V17" s="63">
        <f>VLOOKUP($B17,'Tillförd energi'!$B$1:$AI$720,MATCH(V$2,'Tillförd energi'!$B$1:$AQ$1,0),FALSE)</f>
        <v>0</v>
      </c>
      <c r="W17" s="63">
        <f>VLOOKUP($B17,'Tillförd energi'!$B$1:$AI$720,MATCH(W$2,'Tillförd energi'!$B$1:$AQ$1,0),FALSE)</f>
        <v>0</v>
      </c>
      <c r="X17" s="63">
        <f>VLOOKUP($B17,'Tillförd energi'!$B$1:$AI$720,MATCH(X$2,'Tillförd energi'!$B$1:$AQ$1,0),FALSE)</f>
        <v>0</v>
      </c>
      <c r="Y17" s="63">
        <f>VLOOKUP($B17,'Tillförd energi'!$B$1:$AI$720,MATCH(Y$2,'Tillförd energi'!$B$1:$AQ$1,0),FALSE)</f>
        <v>0</v>
      </c>
      <c r="Z17" s="63">
        <f>VLOOKUP($B17,'Tillförd energi'!$B$1:$AI$720,MATCH(Z$2,'Tillförd energi'!$B$1:$AQ$1,0),FALSE)</f>
        <v>0</v>
      </c>
      <c r="AA17" s="63">
        <f>VLOOKUP($B17,'Tillförd energi'!$B$1:$AI$720,MATCH(AA$2,'Tillförd energi'!$B$1:$AQ$1,0),FALSE)</f>
        <v>0</v>
      </c>
      <c r="AB17" s="63">
        <f>VLOOKUP($B17,'Tillförd energi'!$B$1:$AI$720,MATCH(AB$2,'Tillförd energi'!$B$1:$AQ$1,0),FALSE)</f>
        <v>0</v>
      </c>
      <c r="AC17" s="63">
        <f>VLOOKUP($B17,'Tillförd energi'!$B$1:$AI$720,MATCH(AC$2,'Tillförd energi'!$B$1:$AQ$1,0),FALSE)</f>
        <v>0</v>
      </c>
      <c r="AD17" s="63">
        <f>VLOOKUP($B17,'Tillförd energi'!$B$1:$AI$720,MATCH(AD$2,'Tillförd energi'!$B$1:$AQ$1,0),FALSE)</f>
        <v>0</v>
      </c>
      <c r="AE17" s="63">
        <f>VLOOKUP($B17,'Tillförd energi'!$B$1:$AI$720,MATCH(AE$2,'Tillförd energi'!$B$1:$AQ$1,0),FALSE)</f>
        <v>0</v>
      </c>
      <c r="AF17" s="63">
        <f>VLOOKUP($B17,'Tillförd energi'!$B$1:$AI$720,MATCH(AF$2,'Tillförd energi'!$B$1:$AQ$1,0),FALSE)</f>
        <v>2.5000000000000001E-2</v>
      </c>
      <c r="AG17" s="63">
        <f>IFERROR(VLOOKUP(B17,Miljö!$B$1:$AC$550,MATCH("Köpt mängd produktionsspecifik fjärrvärme:",Miljö!$B$1:$AC$1,0),FALSE)/1,0)</f>
        <v>0</v>
      </c>
      <c r="AI17" s="63">
        <f t="shared" si="0"/>
        <v>2.36</v>
      </c>
      <c r="AJ17" s="63">
        <f>IF(ISERROR(1/VLOOKUP($B17,Leveranser!$B$1:$S$500,MATCH("såld värme (gwh)",Leveranser!$B$1:$S$1,0),FALSE)),"",VLOOKUP($B17,Leveranser!$B$1:$S$500,MATCH("såld värme (gwh)",Leveranser!$B$1:$S$1,0),FALSE))</f>
        <v>1.827</v>
      </c>
      <c r="AM17" s="63" t="str">
        <f>IF(B17&lt;&gt;"",IF(VLOOKUP($B17,Totalt!$B$1:$AQ$554,MATCH("Kvalitetsgranskad:",Totalt!$B$1:$AQ$1,0),FALSE)="ja",VLOOKUP($B17,Miljö!$B$1:$AG$479,MATCH(AM$2,Miljö!$B$1:$AK$1,0),FALSE),""),"")</f>
        <v>Ja</v>
      </c>
      <c r="AN17" s="63" t="str">
        <f>IF(AM17="ja",VLOOKUP($B17,Miljö!$B$1:$J$479,MATCH("Typ av ursprungsspecificerad el   (Om inget värde anges används Nordisk residualmix, se inforuta) ()",Miljö!$B$1:$J$1,0),FALSE),IF(AM17="nej","Nordisk residualel",""))</f>
        <v>'Kärnkraft'</v>
      </c>
      <c r="AO17" s="63">
        <f>IF(AM17="","",VLOOKUP($B17,Miljö!$B$1:$J$479,MATCH("Fossilandel för ursprungspecificerad el ()",Miljö!$B$1:$J$1,0),FALSE))</f>
        <v>0</v>
      </c>
      <c r="AQ17" s="63">
        <f t="shared" si="1"/>
        <v>1</v>
      </c>
      <c r="AS17" s="63" t="str">
        <f t="shared" si="2"/>
        <v>Nej</v>
      </c>
      <c r="AT17" s="63" t="str">
        <f>IF(AS17="ja",VLOOKUP($B17,Miljö!$B$1:$P$500,MATCH("Fossil andel i procent (%)",Miljö!$B$1:$P$1,0),FALSE)/100,"")</f>
        <v/>
      </c>
      <c r="AV17" s="63" t="str">
        <f t="shared" si="3"/>
        <v>Nej</v>
      </c>
      <c r="AW17" s="63" t="str">
        <f>IF(AV17="ja",VLOOKUP($B17,'Egen hetvattenprod'!$B$1:$AO$500,MATCH("Värmekälla till värmepumpar ()",'Egen hetvattenprod'!$B$1:$AO$1,0),FALSE),"")</f>
        <v/>
      </c>
      <c r="AY17" s="63" t="str">
        <f t="shared" si="4"/>
        <v>Nej</v>
      </c>
      <c r="AZ17" s="77" t="str">
        <f>IF($AY17="ja",(VLOOKUP($B17,'Egen hetvattenprod'!$B$1:$BX$550,MATCH(AZ$2,'Egen hetvattenprod'!$B$1:$BX$1,0),FALSE)+VLOOKUP($B17,Kraftvärmeprod!$B$1:$BX$550,MATCH(AZ$2,Kraftvärmeprod!$B$1:$BX$1,0),FALSE))/$AC17,"")</f>
        <v/>
      </c>
      <c r="BA17" s="77" t="str">
        <f>IF($AY17="ja",(VLOOKUP($B17,'Egen hetvattenprod'!$B$1:$BX$550,MATCH(BA$2,'Egen hetvattenprod'!$B$1:$BX$1,0),FALSE)+VLOOKUP($B17,Kraftvärmeprod!$B$1:$BX$550,MATCH(BA$2,Kraftvärmeprod!$B$1:$BX$1,0),FALSE))/$AC17,"")</f>
        <v/>
      </c>
      <c r="BB17" s="77" t="str">
        <f>IF($AY17="ja",(VLOOKUP($B17,'Egen hetvattenprod'!$B$1:$BX$550,MATCH(BB$2,'Egen hetvattenprod'!$B$1:$BX$1,0),FALSE)+VLOOKUP($B17,Kraftvärmeprod!$B$1:$BX$550,MATCH(BB$2,Kraftvärmeprod!$B$1:$BX$1,0),FALSE))/$AC17,"")</f>
        <v/>
      </c>
      <c r="BC17" s="77" t="str">
        <f>IF($AY17="ja",(VLOOKUP($B17,'Egen hetvattenprod'!$B$1:$BX$550,MATCH(BC$2,'Egen hetvattenprod'!$B$1:$BX$1,0),FALSE)+VLOOKUP($B17,Kraftvärmeprod!$B$1:$BX$550,MATCH(BC$2,Kraftvärmeprod!$B$1:$BX$1,0),FALSE))/$AC17,"")</f>
        <v/>
      </c>
      <c r="BD17" s="77" t="str">
        <f>IF($AY17="ja",(VLOOKUP($B17,'Egen hetvattenprod'!$B$1:$BX$550,MATCH(BD$2,'Egen hetvattenprod'!$B$1:$BX$1,0),FALSE)+VLOOKUP($B17,Kraftvärmeprod!$B$1:$BX$550,MATCH(BD$2,Kraftvärmeprod!$B$1:$BX$1,0),FALSE))/$AC17,"")</f>
        <v/>
      </c>
      <c r="BF17" s="63" t="str">
        <f t="shared" si="5"/>
        <v>Nej</v>
      </c>
      <c r="BG17" s="63" t="str">
        <f>IF($BF17="ja",VLOOKUP($B17,'Egen hetvattenprod'!$B$1:$BX$550,MATCH("Andelen klimatgaser med fossilt ursprung för avfall ()",'Egen hetvattenprod'!$B$1:$BX$1,0),FALSE),"")</f>
        <v/>
      </c>
      <c r="BH17" s="63" t="str">
        <f>IF($BF17="ja",VLOOKUP($B17,Kraftvärmeprod!$B$1:$BX$550,MATCH("Andelen klimatgaser med fossilt ursprung för avfall ()",Kraftvärmeprod!$B$1:$BX$1,0),FALSE),"")</f>
        <v/>
      </c>
      <c r="BI17" s="63" t="str">
        <f>IF($BF17="ja",VLOOKUP($B17,'Egen hetvattenprod'!$B$1:$BX$550,MATCH("Avfall (GWh)",'Egen hetvattenprod'!$B$1:$BX$1,0),FALSE),"")</f>
        <v/>
      </c>
      <c r="BJ17" s="63" t="str">
        <f>IF($BF17="ja",VLOOKUP($B17,'Slutlig allokering kvv'!$B$1:$BX$550,MATCH("Avfall (GWh)",'Slutlig allokering kvv'!$B$1:$BX$1,0),FALSE),"")</f>
        <v/>
      </c>
      <c r="BK17" s="63" t="str">
        <f>IF($BF17="ja",VLOOKUP($B17,'Köpt hetvatten'!$B$1:$BX$550,MATCH("Avfall i köpt hetvatten",'Köpt hetvatten'!$B$1:$BX$1,0),FALSE),"")</f>
        <v/>
      </c>
      <c r="BL17" s="63" t="str">
        <f>IF($BF17="ja",VLOOKUP($B17,'Egen hetvattenprod'!$B$1:$BX$550,MATCH("Värde enligt ovan. (%)",'Egen hetvattenprod'!$B$1:$BX$1,0),FALSE),"")</f>
        <v/>
      </c>
      <c r="BM17" s="63" t="str">
        <f>IF($BF17="ja",VLOOKUP($B17,Kraftvärmeprod!$B$1:$BX$550,MATCH("Värde enligt ovan. (%)",Kraftvärmeprod!$B$1:$BX$1,0),FALSE),"")</f>
        <v/>
      </c>
    </row>
    <row r="18" spans="1:65" x14ac:dyDescent="0.45">
      <c r="A18" s="63" t="s">
        <v>672</v>
      </c>
      <c r="B18" s="63" t="s">
        <v>673</v>
      </c>
      <c r="C18" s="63">
        <f>VLOOKUP($B18,'Tillförd energi'!$B$1:$AI$720,MATCH(C$2,'Tillförd energi'!$B$1:$AQ$1,0),FALSE)</f>
        <v>0</v>
      </c>
      <c r="D18" s="63">
        <f>VLOOKUP($B18,'Tillförd energi'!$B$1:$AI$720,MATCH(D$2,'Tillförd energi'!$B$1:$AQ$1,0),FALSE)</f>
        <v>8.6999999999999994E-2</v>
      </c>
      <c r="E18" s="63">
        <f>VLOOKUP($B18,'Tillförd energi'!$B$1:$AI$720,MATCH(E$2,'Tillförd energi'!$B$1:$AQ$1,0),FALSE)</f>
        <v>0</v>
      </c>
      <c r="F18" s="63">
        <f>VLOOKUP($B18,'Tillförd energi'!$B$1:$AI$720,MATCH(F$2,'Tillförd energi'!$B$1:$AQ$1,0),FALSE)</f>
        <v>0</v>
      </c>
      <c r="G18" s="63">
        <f>VLOOKUP($B18,'Tillförd energi'!$B$1:$AI$720,MATCH(G$2,'Tillförd energi'!$B$1:$AQ$1,0),FALSE)</f>
        <v>0</v>
      </c>
      <c r="H18" s="63">
        <f>VLOOKUP($B18,'Tillförd energi'!$B$1:$AI$720,MATCH(H$2,'Tillförd energi'!$B$1:$AQ$1,0),FALSE)</f>
        <v>0</v>
      </c>
      <c r="I18" s="63">
        <f>VLOOKUP($B18,'Tillförd energi'!$B$1:$AI$720,MATCH(I$2,'Tillförd energi'!$B$1:$AQ$1,0),FALSE)</f>
        <v>0</v>
      </c>
      <c r="J18" s="63">
        <f>VLOOKUP($B18,'Tillförd energi'!$B$1:$AI$720,MATCH(J$2,'Tillförd energi'!$B$1:$AQ$1,0),FALSE)</f>
        <v>0</v>
      </c>
      <c r="K18" s="63">
        <f>VLOOKUP($B18,'Tillförd energi'!$B$1:$AI$720,MATCH(K$2,'Tillförd energi'!$B$1:$AQ$1,0),FALSE)</f>
        <v>0</v>
      </c>
      <c r="L18" s="63">
        <f>VLOOKUP($B18,'Tillförd energi'!$B$1:$AI$720,MATCH(L$2,'Tillförd energi'!$B$1:$AQ$1,0),FALSE)</f>
        <v>0</v>
      </c>
      <c r="M18" s="63">
        <f>VLOOKUP($B18,'Tillförd energi'!$B$1:$AI$720,MATCH(M$2,'Tillförd energi'!$B$1:$AQ$1,0),FALSE)</f>
        <v>0</v>
      </c>
      <c r="N18" s="63">
        <f>VLOOKUP($B18,'Tillförd energi'!$B$1:$AI$720,MATCH(N$2,'Tillförd energi'!$B$1:$AQ$1,0),FALSE)</f>
        <v>0</v>
      </c>
      <c r="O18" s="63">
        <f>VLOOKUP($B18,'Tillförd energi'!$B$1:$AI$720,MATCH(O$2,'Tillförd energi'!$B$1:$AQ$1,0),FALSE)</f>
        <v>0</v>
      </c>
      <c r="P18" s="63">
        <f>VLOOKUP($B18,'Tillförd energi'!$B$1:$AI$720,MATCH(P$2,'Tillförd energi'!$B$1:$AQ$1,0),FALSE)</f>
        <v>0</v>
      </c>
      <c r="Q18" s="63">
        <f>VLOOKUP($B18,'Tillförd energi'!$B$1:$AI$720,MATCH(Q$2,'Tillförd energi'!$B$1:$AQ$1,0),FALSE)</f>
        <v>6.8239999999999998</v>
      </c>
      <c r="R18" s="63">
        <f>VLOOKUP($B18,'Tillförd energi'!$B$1:$AI$720,MATCH(R$2,'Tillförd energi'!$B$1:$AQ$1,0),FALSE)</f>
        <v>0.77300000000000002</v>
      </c>
      <c r="S18" s="63">
        <f>VLOOKUP($B18,'Tillförd energi'!$B$1:$AI$720,MATCH(S$2,'Tillförd energi'!$B$1:$AQ$1,0),FALSE)</f>
        <v>0</v>
      </c>
      <c r="T18" s="63">
        <f>VLOOKUP($B18,'Tillförd energi'!$B$1:$AI$720,MATCH(T$2,'Tillförd energi'!$B$1:$AQ$1,0),FALSE)</f>
        <v>0</v>
      </c>
      <c r="U18" s="63">
        <f>VLOOKUP($B18,'Tillförd energi'!$B$1:$AI$720,MATCH(U$2,'Tillförd energi'!$B$1:$AQ$1,0),FALSE)</f>
        <v>0</v>
      </c>
      <c r="V18" s="63">
        <f>VLOOKUP($B18,'Tillförd energi'!$B$1:$AI$720,MATCH(V$2,'Tillförd energi'!$B$1:$AQ$1,0),FALSE)</f>
        <v>0</v>
      </c>
      <c r="W18" s="63">
        <f>VLOOKUP($B18,'Tillförd energi'!$B$1:$AI$720,MATCH(W$2,'Tillförd energi'!$B$1:$AQ$1,0),FALSE)</f>
        <v>0</v>
      </c>
      <c r="X18" s="63">
        <f>VLOOKUP($B18,'Tillförd energi'!$B$1:$AI$720,MATCH(X$2,'Tillförd energi'!$B$1:$AQ$1,0),FALSE)</f>
        <v>0</v>
      </c>
      <c r="Y18" s="63">
        <f>VLOOKUP($B18,'Tillförd energi'!$B$1:$AI$720,MATCH(Y$2,'Tillförd energi'!$B$1:$AQ$1,0),FALSE)</f>
        <v>0</v>
      </c>
      <c r="Z18" s="63">
        <f>VLOOKUP($B18,'Tillförd energi'!$B$1:$AI$720,MATCH(Z$2,'Tillförd energi'!$B$1:$AQ$1,0),FALSE)</f>
        <v>0</v>
      </c>
      <c r="AA18" s="63">
        <f>VLOOKUP($B18,'Tillförd energi'!$B$1:$AI$720,MATCH(AA$2,'Tillförd energi'!$B$1:$AQ$1,0),FALSE)</f>
        <v>0</v>
      </c>
      <c r="AB18" s="63">
        <f>VLOOKUP($B18,'Tillförd energi'!$B$1:$AI$720,MATCH(AB$2,'Tillförd energi'!$B$1:$AQ$1,0),FALSE)</f>
        <v>0</v>
      </c>
      <c r="AC18" s="63">
        <f>VLOOKUP($B18,'Tillförd energi'!$B$1:$AI$720,MATCH(AC$2,'Tillförd energi'!$B$1:$AQ$1,0),FALSE)</f>
        <v>0</v>
      </c>
      <c r="AD18" s="63">
        <f>VLOOKUP($B18,'Tillförd energi'!$B$1:$AI$720,MATCH(AD$2,'Tillförd energi'!$B$1:$AQ$1,0),FALSE)</f>
        <v>0</v>
      </c>
      <c r="AE18" s="63">
        <f>VLOOKUP($B18,'Tillförd energi'!$B$1:$AI$720,MATCH(AE$2,'Tillförd energi'!$B$1:$AQ$1,0),FALSE)</f>
        <v>0</v>
      </c>
      <c r="AF18" s="63">
        <f>VLOOKUP($B18,'Tillförd energi'!$B$1:$AI$720,MATCH(AF$2,'Tillförd energi'!$B$1:$AQ$1,0),FALSE)</f>
        <v>0.17299999999999999</v>
      </c>
      <c r="AG18" s="63">
        <f>IFERROR(VLOOKUP(B18,Miljö!$B$1:$AC$550,MATCH("Köpt mängd produktionsspecifik fjärrvärme:",Miljö!$B$1:$AC$1,0),FALSE)/1,0)</f>
        <v>0</v>
      </c>
      <c r="AI18" s="63">
        <f t="shared" si="0"/>
        <v>7.8569999999999993</v>
      </c>
      <c r="AJ18" s="63">
        <f>IF(ISERROR(1/VLOOKUP($B18,Leveranser!$B$1:$S$500,MATCH("såld värme (gwh)",Leveranser!$B$1:$S$1,0),FALSE)),"",VLOOKUP($B18,Leveranser!$B$1:$S$500,MATCH("såld värme (gwh)",Leveranser!$B$1:$S$1,0),FALSE))</f>
        <v>5.1020000000000003</v>
      </c>
      <c r="AM18" s="63" t="str">
        <f>IF(B18&lt;&gt;"",IF(VLOOKUP($B18,Totalt!$B$1:$AQ$554,MATCH("Kvalitetsgranskad:",Totalt!$B$1:$AQ$1,0),FALSE)="ja",VLOOKUP($B18,Miljö!$B$1:$AG$479,MATCH(AM$2,Miljö!$B$1:$AK$1,0),FALSE),""),"")</f>
        <v>Ja</v>
      </c>
      <c r="AN18" s="63" t="str">
        <f>IF(AM18="ja",VLOOKUP($B18,Miljö!$B$1:$J$479,MATCH("Typ av ursprungsspecificerad el   (Om inget värde anges används Nordisk residualmix, se inforuta) ()",Miljö!$B$1:$J$1,0),FALSE),IF(AM18="nej","Nordisk residualel",""))</f>
        <v>'Kärnkraft'</v>
      </c>
      <c r="AO18" s="63">
        <f>IF(AM18="","",VLOOKUP($B18,Miljö!$B$1:$J$479,MATCH("Fossilandel för ursprungspecificerad el ()",Miljö!$B$1:$J$1,0),FALSE))</f>
        <v>0</v>
      </c>
      <c r="AQ18" s="63">
        <f t="shared" si="1"/>
        <v>1</v>
      </c>
      <c r="AS18" s="63" t="str">
        <f t="shared" si="2"/>
        <v>Nej</v>
      </c>
      <c r="AT18" s="63" t="str">
        <f>IF(AS18="ja",VLOOKUP($B18,Miljö!$B$1:$P$500,MATCH("Fossil andel i procent (%)",Miljö!$B$1:$P$1,0),FALSE)/100,"")</f>
        <v/>
      </c>
      <c r="AV18" s="63" t="str">
        <f t="shared" si="3"/>
        <v>Nej</v>
      </c>
      <c r="AW18" s="63" t="str">
        <f>IF(AV18="ja",VLOOKUP($B18,'Egen hetvattenprod'!$B$1:$AO$500,MATCH("Värmekälla till värmepumpar ()",'Egen hetvattenprod'!$B$1:$AO$1,0),FALSE),"")</f>
        <v/>
      </c>
      <c r="AY18" s="63" t="str">
        <f t="shared" si="4"/>
        <v>Nej</v>
      </c>
      <c r="AZ18" s="77" t="str">
        <f>IF($AY18="ja",(VLOOKUP($B18,'Egen hetvattenprod'!$B$1:$BX$550,MATCH(AZ$2,'Egen hetvattenprod'!$B$1:$BX$1,0),FALSE)+VLOOKUP($B18,Kraftvärmeprod!$B$1:$BX$550,MATCH(AZ$2,Kraftvärmeprod!$B$1:$BX$1,0),FALSE))/$AC18,"")</f>
        <v/>
      </c>
      <c r="BA18" s="77" t="str">
        <f>IF($AY18="ja",(VLOOKUP($B18,'Egen hetvattenprod'!$B$1:$BX$550,MATCH(BA$2,'Egen hetvattenprod'!$B$1:$BX$1,0),FALSE)+VLOOKUP($B18,Kraftvärmeprod!$B$1:$BX$550,MATCH(BA$2,Kraftvärmeprod!$B$1:$BX$1,0),FALSE))/$AC18,"")</f>
        <v/>
      </c>
      <c r="BB18" s="77" t="str">
        <f>IF($AY18="ja",(VLOOKUP($B18,'Egen hetvattenprod'!$B$1:$BX$550,MATCH(BB$2,'Egen hetvattenprod'!$B$1:$BX$1,0),FALSE)+VLOOKUP($B18,Kraftvärmeprod!$B$1:$BX$550,MATCH(BB$2,Kraftvärmeprod!$B$1:$BX$1,0),FALSE))/$AC18,"")</f>
        <v/>
      </c>
      <c r="BC18" s="77" t="str">
        <f>IF($AY18="ja",(VLOOKUP($B18,'Egen hetvattenprod'!$B$1:$BX$550,MATCH(BC$2,'Egen hetvattenprod'!$B$1:$BX$1,0),FALSE)+VLOOKUP($B18,Kraftvärmeprod!$B$1:$BX$550,MATCH(BC$2,Kraftvärmeprod!$B$1:$BX$1,0),FALSE))/$AC18,"")</f>
        <v/>
      </c>
      <c r="BD18" s="77" t="str">
        <f>IF($AY18="ja",(VLOOKUP($B18,'Egen hetvattenprod'!$B$1:$BX$550,MATCH(BD$2,'Egen hetvattenprod'!$B$1:$BX$1,0),FALSE)+VLOOKUP($B18,Kraftvärmeprod!$B$1:$BX$550,MATCH(BD$2,Kraftvärmeprod!$B$1:$BX$1,0),FALSE))/$AC18,"")</f>
        <v/>
      </c>
      <c r="BF18" s="63" t="str">
        <f t="shared" si="5"/>
        <v>Nej</v>
      </c>
      <c r="BG18" s="63" t="str">
        <f>IF($BF18="ja",VLOOKUP($B18,'Egen hetvattenprod'!$B$1:$BX$550,MATCH("Andelen klimatgaser med fossilt ursprung för avfall ()",'Egen hetvattenprod'!$B$1:$BX$1,0),FALSE),"")</f>
        <v/>
      </c>
      <c r="BH18" s="63" t="str">
        <f>IF($BF18="ja",VLOOKUP($B18,Kraftvärmeprod!$B$1:$BX$550,MATCH("Andelen klimatgaser med fossilt ursprung för avfall ()",Kraftvärmeprod!$B$1:$BX$1,0),FALSE),"")</f>
        <v/>
      </c>
      <c r="BI18" s="63" t="str">
        <f>IF($BF18="ja",VLOOKUP($B18,'Egen hetvattenprod'!$B$1:$BX$550,MATCH("Avfall (GWh)",'Egen hetvattenprod'!$B$1:$BX$1,0),FALSE),"")</f>
        <v/>
      </c>
      <c r="BJ18" s="63" t="str">
        <f>IF($BF18="ja",VLOOKUP($B18,'Slutlig allokering kvv'!$B$1:$BX$550,MATCH("Avfall (GWh)",'Slutlig allokering kvv'!$B$1:$BX$1,0),FALSE),"")</f>
        <v/>
      </c>
      <c r="BK18" s="63" t="str">
        <f>IF($BF18="ja",VLOOKUP($B18,'Köpt hetvatten'!$B$1:$BX$550,MATCH("Avfall i köpt hetvatten",'Köpt hetvatten'!$B$1:$BX$1,0),FALSE),"")</f>
        <v/>
      </c>
      <c r="BL18" s="63" t="str">
        <f>IF($BF18="ja",VLOOKUP($B18,'Egen hetvattenprod'!$B$1:$BX$550,MATCH("Värde enligt ovan. (%)",'Egen hetvattenprod'!$B$1:$BX$1,0),FALSE),"")</f>
        <v/>
      </c>
      <c r="BM18" s="63" t="str">
        <f>IF($BF18="ja",VLOOKUP($B18,Kraftvärmeprod!$B$1:$BX$550,MATCH("Värde enligt ovan. (%)",Kraftvärmeprod!$B$1:$BX$1,0),FALSE),"")</f>
        <v/>
      </c>
    </row>
    <row r="19" spans="1:65" x14ac:dyDescent="0.45">
      <c r="A19" s="63" t="s">
        <v>672</v>
      </c>
      <c r="B19" s="63" t="s">
        <v>680</v>
      </c>
      <c r="C19" s="63">
        <f>VLOOKUP($B19,'Tillförd energi'!$B$1:$AI$720,MATCH(C$2,'Tillförd energi'!$B$1:$AQ$1,0),FALSE)</f>
        <v>0</v>
      </c>
      <c r="D19" s="63">
        <f>VLOOKUP($B19,'Tillförd energi'!$B$1:$AI$720,MATCH(D$2,'Tillförd energi'!$B$1:$AQ$1,0),FALSE)</f>
        <v>9.5000000000000001E-2</v>
      </c>
      <c r="E19" s="63">
        <f>VLOOKUP($B19,'Tillförd energi'!$B$1:$AI$720,MATCH(E$2,'Tillförd energi'!$B$1:$AQ$1,0),FALSE)</f>
        <v>0</v>
      </c>
      <c r="F19" s="63">
        <f>VLOOKUP($B19,'Tillförd energi'!$B$1:$AI$720,MATCH(F$2,'Tillförd energi'!$B$1:$AQ$1,0),FALSE)</f>
        <v>0</v>
      </c>
      <c r="G19" s="63">
        <f>VLOOKUP($B19,'Tillförd energi'!$B$1:$AI$720,MATCH(G$2,'Tillförd energi'!$B$1:$AQ$1,0),FALSE)</f>
        <v>0</v>
      </c>
      <c r="H19" s="63">
        <f>VLOOKUP($B19,'Tillförd energi'!$B$1:$AI$720,MATCH(H$2,'Tillförd energi'!$B$1:$AQ$1,0),FALSE)</f>
        <v>0</v>
      </c>
      <c r="I19" s="63">
        <f>VLOOKUP($B19,'Tillförd energi'!$B$1:$AI$720,MATCH(I$2,'Tillförd energi'!$B$1:$AQ$1,0),FALSE)</f>
        <v>0</v>
      </c>
      <c r="J19" s="63">
        <f>VLOOKUP($B19,'Tillförd energi'!$B$1:$AI$720,MATCH(J$2,'Tillförd energi'!$B$1:$AQ$1,0),FALSE)</f>
        <v>0</v>
      </c>
      <c r="K19" s="63">
        <f>VLOOKUP($B19,'Tillförd energi'!$B$1:$AI$720,MATCH(K$2,'Tillförd energi'!$B$1:$AQ$1,0),FALSE)</f>
        <v>0</v>
      </c>
      <c r="L19" s="63">
        <f>VLOOKUP($B19,'Tillförd energi'!$B$1:$AI$720,MATCH(L$2,'Tillförd energi'!$B$1:$AQ$1,0),FALSE)</f>
        <v>0</v>
      </c>
      <c r="M19" s="63">
        <f>VLOOKUP($B19,'Tillförd energi'!$B$1:$AI$720,MATCH(M$2,'Tillförd energi'!$B$1:$AQ$1,0),FALSE)</f>
        <v>0</v>
      </c>
      <c r="N19" s="63">
        <f>VLOOKUP($B19,'Tillförd energi'!$B$1:$AI$720,MATCH(N$2,'Tillförd energi'!$B$1:$AQ$1,0),FALSE)</f>
        <v>0</v>
      </c>
      <c r="O19" s="63">
        <f>VLOOKUP($B19,'Tillförd energi'!$B$1:$AI$720,MATCH(O$2,'Tillförd energi'!$B$1:$AQ$1,0),FALSE)</f>
        <v>0</v>
      </c>
      <c r="P19" s="63">
        <f>VLOOKUP($B19,'Tillförd energi'!$B$1:$AI$720,MATCH(P$2,'Tillförd energi'!$B$1:$AQ$1,0),FALSE)</f>
        <v>0</v>
      </c>
      <c r="Q19" s="63">
        <f>VLOOKUP($B19,'Tillförd energi'!$B$1:$AI$720,MATCH(Q$2,'Tillförd energi'!$B$1:$AQ$1,0),FALSE)</f>
        <v>16.954999999999998</v>
      </c>
      <c r="R19" s="63">
        <f>VLOOKUP($B19,'Tillförd energi'!$B$1:$AI$720,MATCH(R$2,'Tillförd energi'!$B$1:$AQ$1,0),FALSE)</f>
        <v>3.7749999999999999</v>
      </c>
      <c r="S19" s="63">
        <f>VLOOKUP($B19,'Tillförd energi'!$B$1:$AI$720,MATCH(S$2,'Tillförd energi'!$B$1:$AQ$1,0),FALSE)</f>
        <v>0</v>
      </c>
      <c r="T19" s="63">
        <f>VLOOKUP($B19,'Tillförd energi'!$B$1:$AI$720,MATCH(T$2,'Tillförd energi'!$B$1:$AQ$1,0),FALSE)</f>
        <v>0</v>
      </c>
      <c r="U19" s="63">
        <f>VLOOKUP($B19,'Tillförd energi'!$B$1:$AI$720,MATCH(U$2,'Tillförd energi'!$B$1:$AQ$1,0),FALSE)</f>
        <v>0</v>
      </c>
      <c r="V19" s="63">
        <f>VLOOKUP($B19,'Tillförd energi'!$B$1:$AI$720,MATCH(V$2,'Tillförd energi'!$B$1:$AQ$1,0),FALSE)</f>
        <v>0</v>
      </c>
      <c r="W19" s="63">
        <f>VLOOKUP($B19,'Tillförd energi'!$B$1:$AI$720,MATCH(W$2,'Tillförd energi'!$B$1:$AQ$1,0),FALSE)</f>
        <v>0</v>
      </c>
      <c r="X19" s="63">
        <f>VLOOKUP($B19,'Tillförd energi'!$B$1:$AI$720,MATCH(X$2,'Tillförd energi'!$B$1:$AQ$1,0),FALSE)</f>
        <v>0</v>
      </c>
      <c r="Y19" s="63">
        <f>VLOOKUP($B19,'Tillförd energi'!$B$1:$AI$720,MATCH(Y$2,'Tillförd energi'!$B$1:$AQ$1,0),FALSE)</f>
        <v>0</v>
      </c>
      <c r="Z19" s="63">
        <f>VLOOKUP($B19,'Tillförd energi'!$B$1:$AI$720,MATCH(Z$2,'Tillförd energi'!$B$1:$AQ$1,0),FALSE)</f>
        <v>0</v>
      </c>
      <c r="AA19" s="63">
        <f>VLOOKUP($B19,'Tillförd energi'!$B$1:$AI$720,MATCH(AA$2,'Tillförd energi'!$B$1:$AQ$1,0),FALSE)</f>
        <v>0</v>
      </c>
      <c r="AB19" s="63">
        <f>VLOOKUP($B19,'Tillförd energi'!$B$1:$AI$720,MATCH(AB$2,'Tillförd energi'!$B$1:$AQ$1,0),FALSE)</f>
        <v>0</v>
      </c>
      <c r="AC19" s="63">
        <f>VLOOKUP($B19,'Tillförd energi'!$B$1:$AI$720,MATCH(AC$2,'Tillförd energi'!$B$1:$AQ$1,0),FALSE)</f>
        <v>0</v>
      </c>
      <c r="AD19" s="63">
        <f>VLOOKUP($B19,'Tillförd energi'!$B$1:$AI$720,MATCH(AD$2,'Tillförd energi'!$B$1:$AQ$1,0),FALSE)</f>
        <v>0</v>
      </c>
      <c r="AE19" s="63">
        <f>VLOOKUP($B19,'Tillförd energi'!$B$1:$AI$720,MATCH(AE$2,'Tillförd energi'!$B$1:$AQ$1,0),FALSE)</f>
        <v>0</v>
      </c>
      <c r="AF19" s="63">
        <f>VLOOKUP($B19,'Tillförd energi'!$B$1:$AI$720,MATCH(AF$2,'Tillförd energi'!$B$1:$AQ$1,0),FALSE)</f>
        <v>0.41299999999999998</v>
      </c>
      <c r="AG19" s="63">
        <f>IFERROR(VLOOKUP(B19,Miljö!$B$1:$AC$550,MATCH("Köpt mängd produktionsspecifik fjärrvärme:",Miljö!$B$1:$AC$1,0),FALSE)/1,0)</f>
        <v>0</v>
      </c>
      <c r="AI19" s="63">
        <f t="shared" si="0"/>
        <v>21.237999999999996</v>
      </c>
      <c r="AJ19" s="63">
        <f>IF(ISERROR(1/VLOOKUP($B19,Leveranser!$B$1:$S$500,MATCH("såld värme (gwh)",Leveranser!$B$1:$S$1,0),FALSE)),"",VLOOKUP($B19,Leveranser!$B$1:$S$500,MATCH("såld värme (gwh)",Leveranser!$B$1:$S$1,0),FALSE))</f>
        <v>14.776999999999999</v>
      </c>
      <c r="AM19" s="63" t="str">
        <f>IF(B19&lt;&gt;"",IF(VLOOKUP($B19,Totalt!$B$1:$AQ$554,MATCH("Kvalitetsgranskad:",Totalt!$B$1:$AQ$1,0),FALSE)="ja",VLOOKUP($B19,Miljö!$B$1:$AG$479,MATCH(AM$2,Miljö!$B$1:$AK$1,0),FALSE),""),"")</f>
        <v>Ja</v>
      </c>
      <c r="AN19" s="63" t="str">
        <f>IF(AM19="ja",VLOOKUP($B19,Miljö!$B$1:$J$479,MATCH("Typ av ursprungsspecificerad el   (Om inget värde anges används Nordisk residualmix, se inforuta) ()",Miljö!$B$1:$J$1,0),FALSE),IF(AM19="nej","Nordisk residualel",""))</f>
        <v>'Kärnkraft'</v>
      </c>
      <c r="AO19" s="63">
        <f>IF(AM19="","",VLOOKUP($B19,Miljö!$B$1:$J$479,MATCH("Fossilandel för ursprungspecificerad el ()",Miljö!$B$1:$J$1,0),FALSE))</f>
        <v>0</v>
      </c>
      <c r="AQ19" s="63">
        <f t="shared" si="1"/>
        <v>1</v>
      </c>
      <c r="AS19" s="63" t="str">
        <f t="shared" si="2"/>
        <v>Nej</v>
      </c>
      <c r="AT19" s="63" t="str">
        <f>IF(AS19="ja",VLOOKUP($B19,Miljö!$B$1:$P$500,MATCH("Fossil andel i procent (%)",Miljö!$B$1:$P$1,0),FALSE)/100,"")</f>
        <v/>
      </c>
      <c r="AV19" s="63" t="str">
        <f t="shared" si="3"/>
        <v>Nej</v>
      </c>
      <c r="AW19" s="63" t="str">
        <f>IF(AV19="ja",VLOOKUP($B19,'Egen hetvattenprod'!$B$1:$AO$500,MATCH("Värmekälla till värmepumpar ()",'Egen hetvattenprod'!$B$1:$AO$1,0),FALSE),"")</f>
        <v/>
      </c>
      <c r="AY19" s="63" t="str">
        <f t="shared" si="4"/>
        <v>Nej</v>
      </c>
      <c r="AZ19" s="77" t="str">
        <f>IF($AY19="ja",(VLOOKUP($B19,'Egen hetvattenprod'!$B$1:$BX$550,MATCH(AZ$2,'Egen hetvattenprod'!$B$1:$BX$1,0),FALSE)+VLOOKUP($B19,Kraftvärmeprod!$B$1:$BX$550,MATCH(AZ$2,Kraftvärmeprod!$B$1:$BX$1,0),FALSE))/$AC19,"")</f>
        <v/>
      </c>
      <c r="BA19" s="77" t="str">
        <f>IF($AY19="ja",(VLOOKUP($B19,'Egen hetvattenprod'!$B$1:$BX$550,MATCH(BA$2,'Egen hetvattenprod'!$B$1:$BX$1,0),FALSE)+VLOOKUP($B19,Kraftvärmeprod!$B$1:$BX$550,MATCH(BA$2,Kraftvärmeprod!$B$1:$BX$1,0),FALSE))/$AC19,"")</f>
        <v/>
      </c>
      <c r="BB19" s="77" t="str">
        <f>IF($AY19="ja",(VLOOKUP($B19,'Egen hetvattenprod'!$B$1:$BX$550,MATCH(BB$2,'Egen hetvattenprod'!$B$1:$BX$1,0),FALSE)+VLOOKUP($B19,Kraftvärmeprod!$B$1:$BX$550,MATCH(BB$2,Kraftvärmeprod!$B$1:$BX$1,0),FALSE))/$AC19,"")</f>
        <v/>
      </c>
      <c r="BC19" s="77" t="str">
        <f>IF($AY19="ja",(VLOOKUP($B19,'Egen hetvattenprod'!$B$1:$BX$550,MATCH(BC$2,'Egen hetvattenprod'!$B$1:$BX$1,0),FALSE)+VLOOKUP($B19,Kraftvärmeprod!$B$1:$BX$550,MATCH(BC$2,Kraftvärmeprod!$B$1:$BX$1,0),FALSE))/$AC19,"")</f>
        <v/>
      </c>
      <c r="BD19" s="77" t="str">
        <f>IF($AY19="ja",(VLOOKUP($B19,'Egen hetvattenprod'!$B$1:$BX$550,MATCH(BD$2,'Egen hetvattenprod'!$B$1:$BX$1,0),FALSE)+VLOOKUP($B19,Kraftvärmeprod!$B$1:$BX$550,MATCH(BD$2,Kraftvärmeprod!$B$1:$BX$1,0),FALSE))/$AC19,"")</f>
        <v/>
      </c>
      <c r="BF19" s="63" t="str">
        <f t="shared" si="5"/>
        <v>Nej</v>
      </c>
      <c r="BG19" s="63" t="str">
        <f>IF($BF19="ja",VLOOKUP($B19,'Egen hetvattenprod'!$B$1:$BX$550,MATCH("Andelen klimatgaser med fossilt ursprung för avfall ()",'Egen hetvattenprod'!$B$1:$BX$1,0),FALSE),"")</f>
        <v/>
      </c>
      <c r="BH19" s="63" t="str">
        <f>IF($BF19="ja",VLOOKUP($B19,Kraftvärmeprod!$B$1:$BX$550,MATCH("Andelen klimatgaser med fossilt ursprung för avfall ()",Kraftvärmeprod!$B$1:$BX$1,0),FALSE),"")</f>
        <v/>
      </c>
      <c r="BI19" s="63" t="str">
        <f>IF($BF19="ja",VLOOKUP($B19,'Egen hetvattenprod'!$B$1:$BX$550,MATCH("Avfall (GWh)",'Egen hetvattenprod'!$B$1:$BX$1,0),FALSE),"")</f>
        <v/>
      </c>
      <c r="BJ19" s="63" t="str">
        <f>IF($BF19="ja",VLOOKUP($B19,'Slutlig allokering kvv'!$B$1:$BX$550,MATCH("Avfall (GWh)",'Slutlig allokering kvv'!$B$1:$BX$1,0),FALSE),"")</f>
        <v/>
      </c>
      <c r="BK19" s="63" t="str">
        <f>IF($BF19="ja",VLOOKUP($B19,'Köpt hetvatten'!$B$1:$BX$550,MATCH("Avfall i köpt hetvatten",'Köpt hetvatten'!$B$1:$BX$1,0),FALSE),"")</f>
        <v/>
      </c>
      <c r="BL19" s="63" t="str">
        <f>IF($BF19="ja",VLOOKUP($B19,'Egen hetvattenprod'!$B$1:$BX$550,MATCH("Värde enligt ovan. (%)",'Egen hetvattenprod'!$B$1:$BX$1,0),FALSE),"")</f>
        <v/>
      </c>
      <c r="BM19" s="63" t="str">
        <f>IF($BF19="ja",VLOOKUP($B19,Kraftvärmeprod!$B$1:$BX$550,MATCH("Värde enligt ovan. (%)",Kraftvärmeprod!$B$1:$BX$1,0),FALSE),"")</f>
        <v/>
      </c>
    </row>
    <row r="20" spans="1:65" x14ac:dyDescent="0.45">
      <c r="A20" s="63" t="s">
        <v>672</v>
      </c>
      <c r="B20" s="63" t="s">
        <v>676</v>
      </c>
      <c r="C20" s="63">
        <f>VLOOKUP($B20,'Tillförd energi'!$B$1:$AI$720,MATCH(C$2,'Tillförd energi'!$B$1:$AQ$1,0),FALSE)</f>
        <v>0</v>
      </c>
      <c r="D20" s="63">
        <f>VLOOKUP($B20,'Tillförd energi'!$B$1:$AI$720,MATCH(D$2,'Tillförd energi'!$B$1:$AQ$1,0),FALSE)</f>
        <v>0.15</v>
      </c>
      <c r="E20" s="63">
        <f>VLOOKUP($B20,'Tillförd energi'!$B$1:$AI$720,MATCH(E$2,'Tillförd energi'!$B$1:$AQ$1,0),FALSE)</f>
        <v>0</v>
      </c>
      <c r="F20" s="63">
        <f>VLOOKUP($B20,'Tillförd energi'!$B$1:$AI$720,MATCH(F$2,'Tillförd energi'!$B$1:$AQ$1,0),FALSE)</f>
        <v>0</v>
      </c>
      <c r="G20" s="63">
        <f>VLOOKUP($B20,'Tillförd energi'!$B$1:$AI$720,MATCH(G$2,'Tillförd energi'!$B$1:$AQ$1,0),FALSE)</f>
        <v>0</v>
      </c>
      <c r="H20" s="63">
        <f>VLOOKUP($B20,'Tillförd energi'!$B$1:$AI$720,MATCH(H$2,'Tillförd energi'!$B$1:$AQ$1,0),FALSE)</f>
        <v>0</v>
      </c>
      <c r="I20" s="63">
        <f>VLOOKUP($B20,'Tillförd energi'!$B$1:$AI$720,MATCH(I$2,'Tillförd energi'!$B$1:$AQ$1,0),FALSE)</f>
        <v>0</v>
      </c>
      <c r="J20" s="63">
        <f>VLOOKUP($B20,'Tillförd energi'!$B$1:$AI$720,MATCH(J$2,'Tillförd energi'!$B$1:$AQ$1,0),FALSE)</f>
        <v>0</v>
      </c>
      <c r="K20" s="63">
        <f>VLOOKUP($B20,'Tillförd energi'!$B$1:$AI$720,MATCH(K$2,'Tillförd energi'!$B$1:$AQ$1,0),FALSE)</f>
        <v>0</v>
      </c>
      <c r="L20" s="63">
        <f>VLOOKUP($B20,'Tillförd energi'!$B$1:$AI$720,MATCH(L$2,'Tillförd energi'!$B$1:$AQ$1,0),FALSE)</f>
        <v>0</v>
      </c>
      <c r="M20" s="63">
        <f>VLOOKUP($B20,'Tillförd energi'!$B$1:$AI$720,MATCH(M$2,'Tillförd energi'!$B$1:$AQ$1,0),FALSE)</f>
        <v>0</v>
      </c>
      <c r="N20" s="63">
        <f>VLOOKUP($B20,'Tillförd energi'!$B$1:$AI$720,MATCH(N$2,'Tillförd energi'!$B$1:$AQ$1,0),FALSE)</f>
        <v>0</v>
      </c>
      <c r="O20" s="63">
        <f>VLOOKUP($B20,'Tillförd energi'!$B$1:$AI$720,MATCH(O$2,'Tillförd energi'!$B$1:$AQ$1,0),FALSE)</f>
        <v>0</v>
      </c>
      <c r="P20" s="63">
        <f>VLOOKUP($B20,'Tillförd energi'!$B$1:$AI$720,MATCH(P$2,'Tillförd energi'!$B$1:$AQ$1,0),FALSE)</f>
        <v>0</v>
      </c>
      <c r="Q20" s="63">
        <f>VLOOKUP($B20,'Tillförd energi'!$B$1:$AI$720,MATCH(Q$2,'Tillförd energi'!$B$1:$AQ$1,0),FALSE)</f>
        <v>21.321999999999999</v>
      </c>
      <c r="R20" s="63">
        <f>VLOOKUP($B20,'Tillförd energi'!$B$1:$AI$720,MATCH(R$2,'Tillförd energi'!$B$1:$AQ$1,0),FALSE)</f>
        <v>0</v>
      </c>
      <c r="S20" s="63">
        <f>VLOOKUP($B20,'Tillförd energi'!$B$1:$AI$720,MATCH(S$2,'Tillförd energi'!$B$1:$AQ$1,0),FALSE)</f>
        <v>0</v>
      </c>
      <c r="T20" s="63">
        <f>VLOOKUP($B20,'Tillförd energi'!$B$1:$AI$720,MATCH(T$2,'Tillförd energi'!$B$1:$AQ$1,0),FALSE)</f>
        <v>0</v>
      </c>
      <c r="U20" s="63">
        <f>VLOOKUP($B20,'Tillförd energi'!$B$1:$AI$720,MATCH(U$2,'Tillförd energi'!$B$1:$AQ$1,0),FALSE)</f>
        <v>0</v>
      </c>
      <c r="V20" s="63">
        <f>VLOOKUP($B20,'Tillförd energi'!$B$1:$AI$720,MATCH(V$2,'Tillförd energi'!$B$1:$AQ$1,0),FALSE)</f>
        <v>0</v>
      </c>
      <c r="W20" s="63">
        <f>VLOOKUP($B20,'Tillförd energi'!$B$1:$AI$720,MATCH(W$2,'Tillförd energi'!$B$1:$AQ$1,0),FALSE)</f>
        <v>0</v>
      </c>
      <c r="X20" s="63">
        <f>VLOOKUP($B20,'Tillförd energi'!$B$1:$AI$720,MATCH(X$2,'Tillförd energi'!$B$1:$AQ$1,0),FALSE)</f>
        <v>0</v>
      </c>
      <c r="Y20" s="63">
        <f>VLOOKUP($B20,'Tillförd energi'!$B$1:$AI$720,MATCH(Y$2,'Tillförd energi'!$B$1:$AQ$1,0),FALSE)</f>
        <v>0</v>
      </c>
      <c r="Z20" s="63">
        <f>VLOOKUP($B20,'Tillförd energi'!$B$1:$AI$720,MATCH(Z$2,'Tillförd energi'!$B$1:$AQ$1,0),FALSE)</f>
        <v>0</v>
      </c>
      <c r="AA20" s="63">
        <f>VLOOKUP($B20,'Tillförd energi'!$B$1:$AI$720,MATCH(AA$2,'Tillförd energi'!$B$1:$AQ$1,0),FALSE)</f>
        <v>0</v>
      </c>
      <c r="AB20" s="63">
        <f>VLOOKUP($B20,'Tillförd energi'!$B$1:$AI$720,MATCH(AB$2,'Tillförd energi'!$B$1:$AQ$1,0),FALSE)</f>
        <v>0</v>
      </c>
      <c r="AC20" s="63">
        <f>VLOOKUP($B20,'Tillförd energi'!$B$1:$AI$720,MATCH(AC$2,'Tillförd energi'!$B$1:$AQ$1,0),FALSE)</f>
        <v>0</v>
      </c>
      <c r="AD20" s="63">
        <f>VLOOKUP($B20,'Tillförd energi'!$B$1:$AI$720,MATCH(AD$2,'Tillförd energi'!$B$1:$AQ$1,0),FALSE)</f>
        <v>0</v>
      </c>
      <c r="AE20" s="63">
        <f>VLOOKUP($B20,'Tillförd energi'!$B$1:$AI$720,MATCH(AE$2,'Tillförd energi'!$B$1:$AQ$1,0),FALSE)</f>
        <v>0</v>
      </c>
      <c r="AF20" s="63">
        <f>VLOOKUP($B20,'Tillförd energi'!$B$1:$AI$720,MATCH(AF$2,'Tillförd energi'!$B$1:$AQ$1,0),FALSE)</f>
        <v>0.40899999999999997</v>
      </c>
      <c r="AG20" s="63">
        <f>IFERROR(VLOOKUP(B20,Miljö!$B$1:$AC$550,MATCH("Köpt mängd produktionsspecifik fjärrvärme:",Miljö!$B$1:$AC$1,0),FALSE)/1,0)</f>
        <v>0</v>
      </c>
      <c r="AI20" s="63">
        <f t="shared" si="0"/>
        <v>21.880999999999997</v>
      </c>
      <c r="AJ20" s="63">
        <f>IF(ISERROR(1/VLOOKUP($B20,Leveranser!$B$1:$S$500,MATCH("såld värme (gwh)",Leveranser!$B$1:$S$1,0),FALSE)),"",VLOOKUP($B20,Leveranser!$B$1:$S$500,MATCH("såld värme (gwh)",Leveranser!$B$1:$S$1,0),FALSE))</f>
        <v>15.265000000000001</v>
      </c>
      <c r="AM20" s="63" t="str">
        <f>IF(B20&lt;&gt;"",IF(VLOOKUP($B20,Totalt!$B$1:$AQ$554,MATCH("Kvalitetsgranskad:",Totalt!$B$1:$AQ$1,0),FALSE)="ja",VLOOKUP($B20,Miljö!$B$1:$AG$479,MATCH(AM$2,Miljö!$B$1:$AK$1,0),FALSE),""),"")</f>
        <v>Ja</v>
      </c>
      <c r="AN20" s="63" t="str">
        <f>IF(AM20="ja",VLOOKUP($B20,Miljö!$B$1:$J$479,MATCH("Typ av ursprungsspecificerad el   (Om inget värde anges används Nordisk residualmix, se inforuta) ()",Miljö!$B$1:$J$1,0),FALSE),IF(AM20="nej","Nordisk residualel",""))</f>
        <v>'Kärnkraft'</v>
      </c>
      <c r="AO20" s="63">
        <f>IF(AM20="","",VLOOKUP($B20,Miljö!$B$1:$J$479,MATCH("Fossilandel för ursprungspecificerad el ()",Miljö!$B$1:$J$1,0),FALSE))</f>
        <v>0</v>
      </c>
      <c r="AQ20" s="63">
        <f t="shared" si="1"/>
        <v>1</v>
      </c>
      <c r="AS20" s="63" t="str">
        <f t="shared" si="2"/>
        <v>Nej</v>
      </c>
      <c r="AT20" s="63" t="str">
        <f>IF(AS20="ja",VLOOKUP($B20,Miljö!$B$1:$P$500,MATCH("Fossil andel i procent (%)",Miljö!$B$1:$P$1,0),FALSE)/100,"")</f>
        <v/>
      </c>
      <c r="AV20" s="63" t="str">
        <f t="shared" si="3"/>
        <v>Nej</v>
      </c>
      <c r="AW20" s="63" t="str">
        <f>IF(AV20="ja",VLOOKUP($B20,'Egen hetvattenprod'!$B$1:$AO$500,MATCH("Värmekälla till värmepumpar ()",'Egen hetvattenprod'!$B$1:$AO$1,0),FALSE),"")</f>
        <v/>
      </c>
      <c r="AY20" s="63" t="str">
        <f t="shared" si="4"/>
        <v>Nej</v>
      </c>
      <c r="AZ20" s="77" t="str">
        <f>IF($AY20="ja",(VLOOKUP($B20,'Egen hetvattenprod'!$B$1:$BX$550,MATCH(AZ$2,'Egen hetvattenprod'!$B$1:$BX$1,0),FALSE)+VLOOKUP($B20,Kraftvärmeprod!$B$1:$BX$550,MATCH(AZ$2,Kraftvärmeprod!$B$1:$BX$1,0),FALSE))/$AC20,"")</f>
        <v/>
      </c>
      <c r="BA20" s="77" t="str">
        <f>IF($AY20="ja",(VLOOKUP($B20,'Egen hetvattenprod'!$B$1:$BX$550,MATCH(BA$2,'Egen hetvattenprod'!$B$1:$BX$1,0),FALSE)+VLOOKUP($B20,Kraftvärmeprod!$B$1:$BX$550,MATCH(BA$2,Kraftvärmeprod!$B$1:$BX$1,0),FALSE))/$AC20,"")</f>
        <v/>
      </c>
      <c r="BB20" s="77" t="str">
        <f>IF($AY20="ja",(VLOOKUP($B20,'Egen hetvattenprod'!$B$1:$BX$550,MATCH(BB$2,'Egen hetvattenprod'!$B$1:$BX$1,0),FALSE)+VLOOKUP($B20,Kraftvärmeprod!$B$1:$BX$550,MATCH(BB$2,Kraftvärmeprod!$B$1:$BX$1,0),FALSE))/$AC20,"")</f>
        <v/>
      </c>
      <c r="BC20" s="77" t="str">
        <f>IF($AY20="ja",(VLOOKUP($B20,'Egen hetvattenprod'!$B$1:$BX$550,MATCH(BC$2,'Egen hetvattenprod'!$B$1:$BX$1,0),FALSE)+VLOOKUP($B20,Kraftvärmeprod!$B$1:$BX$550,MATCH(BC$2,Kraftvärmeprod!$B$1:$BX$1,0),FALSE))/$AC20,"")</f>
        <v/>
      </c>
      <c r="BD20" s="77" t="str">
        <f>IF($AY20="ja",(VLOOKUP($B20,'Egen hetvattenprod'!$B$1:$BX$550,MATCH(BD$2,'Egen hetvattenprod'!$B$1:$BX$1,0),FALSE)+VLOOKUP($B20,Kraftvärmeprod!$B$1:$BX$550,MATCH(BD$2,Kraftvärmeprod!$B$1:$BX$1,0),FALSE))/$AC20,"")</f>
        <v/>
      </c>
      <c r="BF20" s="63" t="str">
        <f t="shared" si="5"/>
        <v>Nej</v>
      </c>
      <c r="BG20" s="63" t="str">
        <f>IF($BF20="ja",VLOOKUP($B20,'Egen hetvattenprod'!$B$1:$BX$550,MATCH("Andelen klimatgaser med fossilt ursprung för avfall ()",'Egen hetvattenprod'!$B$1:$BX$1,0),FALSE),"")</f>
        <v/>
      </c>
      <c r="BH20" s="63" t="str">
        <f>IF($BF20="ja",VLOOKUP($B20,Kraftvärmeprod!$B$1:$BX$550,MATCH("Andelen klimatgaser med fossilt ursprung för avfall ()",Kraftvärmeprod!$B$1:$BX$1,0),FALSE),"")</f>
        <v/>
      </c>
      <c r="BI20" s="63" t="str">
        <f>IF($BF20="ja",VLOOKUP($B20,'Egen hetvattenprod'!$B$1:$BX$550,MATCH("Avfall (GWh)",'Egen hetvattenprod'!$B$1:$BX$1,0),FALSE),"")</f>
        <v/>
      </c>
      <c r="BJ20" s="63" t="str">
        <f>IF($BF20="ja",VLOOKUP($B20,'Slutlig allokering kvv'!$B$1:$BX$550,MATCH("Avfall (GWh)",'Slutlig allokering kvv'!$B$1:$BX$1,0),FALSE),"")</f>
        <v/>
      </c>
      <c r="BK20" s="63" t="str">
        <f>IF($BF20="ja",VLOOKUP($B20,'Köpt hetvatten'!$B$1:$BX$550,MATCH("Avfall i köpt hetvatten",'Köpt hetvatten'!$B$1:$BX$1,0),FALSE),"")</f>
        <v/>
      </c>
      <c r="BL20" s="63" t="str">
        <f>IF($BF20="ja",VLOOKUP($B20,'Egen hetvattenprod'!$B$1:$BX$550,MATCH("Värde enligt ovan. (%)",'Egen hetvattenprod'!$B$1:$BX$1,0),FALSE),"")</f>
        <v/>
      </c>
      <c r="BM20" s="63" t="str">
        <f>IF($BF20="ja",VLOOKUP($B20,Kraftvärmeprod!$B$1:$BX$550,MATCH("Värde enligt ovan. (%)",Kraftvärmeprod!$B$1:$BX$1,0),FALSE),"")</f>
        <v/>
      </c>
    </row>
    <row r="21" spans="1:65" x14ac:dyDescent="0.45">
      <c r="A21" s="63" t="s">
        <v>672</v>
      </c>
      <c r="B21" s="63" t="s">
        <v>671</v>
      </c>
      <c r="C21" s="63">
        <f>VLOOKUP($B21,'Tillförd energi'!$B$1:$AI$720,MATCH(C$2,'Tillförd energi'!$B$1:$AQ$1,0),FALSE)</f>
        <v>0</v>
      </c>
      <c r="D21" s="63">
        <f>VLOOKUP($B21,'Tillförd energi'!$B$1:$AI$720,MATCH(D$2,'Tillförd energi'!$B$1:$AQ$1,0),FALSE)</f>
        <v>0.11799999999999999</v>
      </c>
      <c r="E21" s="63">
        <f>VLOOKUP($B21,'Tillförd energi'!$B$1:$AI$720,MATCH(E$2,'Tillförd energi'!$B$1:$AQ$1,0),FALSE)</f>
        <v>0</v>
      </c>
      <c r="F21" s="63">
        <f>VLOOKUP($B21,'Tillförd energi'!$B$1:$AI$720,MATCH(F$2,'Tillförd energi'!$B$1:$AQ$1,0),FALSE)</f>
        <v>0</v>
      </c>
      <c r="G21" s="63">
        <f>VLOOKUP($B21,'Tillförd energi'!$B$1:$AI$720,MATCH(G$2,'Tillförd energi'!$B$1:$AQ$1,0),FALSE)</f>
        <v>0</v>
      </c>
      <c r="H21" s="63">
        <f>VLOOKUP($B21,'Tillförd energi'!$B$1:$AI$720,MATCH(H$2,'Tillförd energi'!$B$1:$AQ$1,0),FALSE)</f>
        <v>0</v>
      </c>
      <c r="I21" s="63">
        <f>VLOOKUP($B21,'Tillförd energi'!$B$1:$AI$720,MATCH(I$2,'Tillförd energi'!$B$1:$AQ$1,0),FALSE)</f>
        <v>0</v>
      </c>
      <c r="J21" s="63">
        <f>VLOOKUP($B21,'Tillförd energi'!$B$1:$AI$720,MATCH(J$2,'Tillförd energi'!$B$1:$AQ$1,0),FALSE)</f>
        <v>0</v>
      </c>
      <c r="K21" s="63">
        <f>VLOOKUP($B21,'Tillförd energi'!$B$1:$AI$720,MATCH(K$2,'Tillförd energi'!$B$1:$AQ$1,0),FALSE)</f>
        <v>0</v>
      </c>
      <c r="L21" s="63">
        <f>VLOOKUP($B21,'Tillförd energi'!$B$1:$AI$720,MATCH(L$2,'Tillförd energi'!$B$1:$AQ$1,0),FALSE)</f>
        <v>0</v>
      </c>
      <c r="M21" s="63">
        <f>VLOOKUP($B21,'Tillförd energi'!$B$1:$AI$720,MATCH(M$2,'Tillförd energi'!$B$1:$AQ$1,0),FALSE)</f>
        <v>0</v>
      </c>
      <c r="N21" s="63">
        <f>VLOOKUP($B21,'Tillförd energi'!$B$1:$AI$720,MATCH(N$2,'Tillförd energi'!$B$1:$AQ$1,0),FALSE)</f>
        <v>0</v>
      </c>
      <c r="O21" s="63">
        <f>VLOOKUP($B21,'Tillförd energi'!$B$1:$AI$720,MATCH(O$2,'Tillförd energi'!$B$1:$AQ$1,0),FALSE)</f>
        <v>0</v>
      </c>
      <c r="P21" s="63">
        <f>VLOOKUP($B21,'Tillförd energi'!$B$1:$AI$720,MATCH(P$2,'Tillförd energi'!$B$1:$AQ$1,0),FALSE)</f>
        <v>0</v>
      </c>
      <c r="Q21" s="63">
        <f>VLOOKUP($B21,'Tillförd energi'!$B$1:$AI$720,MATCH(Q$2,'Tillförd energi'!$B$1:$AQ$1,0),FALSE)</f>
        <v>4.49</v>
      </c>
      <c r="R21" s="63">
        <f>VLOOKUP($B21,'Tillförd energi'!$B$1:$AI$720,MATCH(R$2,'Tillförd energi'!$B$1:$AQ$1,0),FALSE)</f>
        <v>0</v>
      </c>
      <c r="S21" s="63">
        <f>VLOOKUP($B21,'Tillförd energi'!$B$1:$AI$720,MATCH(S$2,'Tillförd energi'!$B$1:$AQ$1,0),FALSE)</f>
        <v>0</v>
      </c>
      <c r="T21" s="63">
        <f>VLOOKUP($B21,'Tillförd energi'!$B$1:$AI$720,MATCH(T$2,'Tillförd energi'!$B$1:$AQ$1,0),FALSE)</f>
        <v>0</v>
      </c>
      <c r="U21" s="63">
        <f>VLOOKUP($B21,'Tillförd energi'!$B$1:$AI$720,MATCH(U$2,'Tillförd energi'!$B$1:$AQ$1,0),FALSE)</f>
        <v>0</v>
      </c>
      <c r="V21" s="63">
        <f>VLOOKUP($B21,'Tillförd energi'!$B$1:$AI$720,MATCH(V$2,'Tillförd energi'!$B$1:$AQ$1,0),FALSE)</f>
        <v>0</v>
      </c>
      <c r="W21" s="63">
        <f>VLOOKUP($B21,'Tillförd energi'!$B$1:$AI$720,MATCH(W$2,'Tillförd energi'!$B$1:$AQ$1,0),FALSE)</f>
        <v>0</v>
      </c>
      <c r="X21" s="63">
        <f>VLOOKUP($B21,'Tillförd energi'!$B$1:$AI$720,MATCH(X$2,'Tillförd energi'!$B$1:$AQ$1,0),FALSE)</f>
        <v>0</v>
      </c>
      <c r="Y21" s="63">
        <f>VLOOKUP($B21,'Tillförd energi'!$B$1:$AI$720,MATCH(Y$2,'Tillförd energi'!$B$1:$AQ$1,0),FALSE)</f>
        <v>0</v>
      </c>
      <c r="Z21" s="63">
        <f>VLOOKUP($B21,'Tillförd energi'!$B$1:$AI$720,MATCH(Z$2,'Tillförd energi'!$B$1:$AQ$1,0),FALSE)</f>
        <v>0</v>
      </c>
      <c r="AA21" s="63">
        <f>VLOOKUP($B21,'Tillförd energi'!$B$1:$AI$720,MATCH(AA$2,'Tillförd energi'!$B$1:$AQ$1,0),FALSE)</f>
        <v>0</v>
      </c>
      <c r="AB21" s="63">
        <f>VLOOKUP($B21,'Tillförd energi'!$B$1:$AI$720,MATCH(AB$2,'Tillförd energi'!$B$1:$AQ$1,0),FALSE)</f>
        <v>0</v>
      </c>
      <c r="AC21" s="63">
        <f>VLOOKUP($B21,'Tillförd energi'!$B$1:$AI$720,MATCH(AC$2,'Tillförd energi'!$B$1:$AQ$1,0),FALSE)</f>
        <v>0</v>
      </c>
      <c r="AD21" s="63">
        <f>VLOOKUP($B21,'Tillförd energi'!$B$1:$AI$720,MATCH(AD$2,'Tillförd energi'!$B$1:$AQ$1,0),FALSE)</f>
        <v>0</v>
      </c>
      <c r="AE21" s="63">
        <f>VLOOKUP($B21,'Tillförd energi'!$B$1:$AI$720,MATCH(AE$2,'Tillförd energi'!$B$1:$AQ$1,0),FALSE)</f>
        <v>0</v>
      </c>
      <c r="AF21" s="63">
        <f>VLOOKUP($B21,'Tillförd energi'!$B$1:$AI$720,MATCH(AF$2,'Tillförd energi'!$B$1:$AQ$1,0),FALSE)</f>
        <v>8.1000000000000003E-2</v>
      </c>
      <c r="AG21" s="63">
        <f>IFERROR(VLOOKUP(B21,Miljö!$B$1:$AC$550,MATCH("Köpt mängd produktionsspecifik fjärrvärme:",Miljö!$B$1:$AC$1,0),FALSE)/1,0)</f>
        <v>0</v>
      </c>
      <c r="AI21" s="63">
        <f t="shared" si="0"/>
        <v>4.6890000000000009</v>
      </c>
      <c r="AJ21" s="63">
        <f>IF(ISERROR(1/VLOOKUP($B21,Leveranser!$B$1:$S$500,MATCH("såld värme (gwh)",Leveranser!$B$1:$S$1,0),FALSE)),"",VLOOKUP($B21,Leveranser!$B$1:$S$500,MATCH("såld värme (gwh)",Leveranser!$B$1:$S$1,0),FALSE))</f>
        <v>3.1920000000000002</v>
      </c>
      <c r="AM21" s="63" t="str">
        <f>IF(B21&lt;&gt;"",IF(VLOOKUP($B21,Totalt!$B$1:$AQ$554,MATCH("Kvalitetsgranskad:",Totalt!$B$1:$AQ$1,0),FALSE)="ja",VLOOKUP($B21,Miljö!$B$1:$AG$479,MATCH(AM$2,Miljö!$B$1:$AK$1,0),FALSE),""),"")</f>
        <v>Ja</v>
      </c>
      <c r="AN21" s="63" t="str">
        <f>IF(AM21="ja",VLOOKUP($B21,Miljö!$B$1:$J$479,MATCH("Typ av ursprungsspecificerad el   (Om inget värde anges används Nordisk residualmix, se inforuta) ()",Miljö!$B$1:$J$1,0),FALSE),IF(AM21="nej","Nordisk residualel",""))</f>
        <v>'Kärnkraft'</v>
      </c>
      <c r="AO21" s="63">
        <f>IF(AM21="","",VLOOKUP($B21,Miljö!$B$1:$J$479,MATCH("Fossilandel för ursprungspecificerad el ()",Miljö!$B$1:$J$1,0),FALSE))</f>
        <v>0</v>
      </c>
      <c r="AQ21" s="63">
        <f t="shared" si="1"/>
        <v>1</v>
      </c>
      <c r="AS21" s="63" t="str">
        <f t="shared" si="2"/>
        <v>Nej</v>
      </c>
      <c r="AT21" s="63" t="str">
        <f>IF(AS21="ja",VLOOKUP($B21,Miljö!$B$1:$P$500,MATCH("Fossil andel i procent (%)",Miljö!$B$1:$P$1,0),FALSE)/100,"")</f>
        <v/>
      </c>
      <c r="AV21" s="63" t="str">
        <f t="shared" si="3"/>
        <v>Nej</v>
      </c>
      <c r="AW21" s="63" t="str">
        <f>IF(AV21="ja",VLOOKUP($B21,'Egen hetvattenprod'!$B$1:$AO$500,MATCH("Värmekälla till värmepumpar ()",'Egen hetvattenprod'!$B$1:$AO$1,0),FALSE),"")</f>
        <v/>
      </c>
      <c r="AY21" s="63" t="str">
        <f t="shared" si="4"/>
        <v>Nej</v>
      </c>
      <c r="AZ21" s="77" t="str">
        <f>IF($AY21="ja",(VLOOKUP($B21,'Egen hetvattenprod'!$B$1:$BX$550,MATCH(AZ$2,'Egen hetvattenprod'!$B$1:$BX$1,0),FALSE)+VLOOKUP($B21,Kraftvärmeprod!$B$1:$BX$550,MATCH(AZ$2,Kraftvärmeprod!$B$1:$BX$1,0),FALSE))/$AC21,"")</f>
        <v/>
      </c>
      <c r="BA21" s="77" t="str">
        <f>IF($AY21="ja",(VLOOKUP($B21,'Egen hetvattenprod'!$B$1:$BX$550,MATCH(BA$2,'Egen hetvattenprod'!$B$1:$BX$1,0),FALSE)+VLOOKUP($B21,Kraftvärmeprod!$B$1:$BX$550,MATCH(BA$2,Kraftvärmeprod!$B$1:$BX$1,0),FALSE))/$AC21,"")</f>
        <v/>
      </c>
      <c r="BB21" s="77" t="str">
        <f>IF($AY21="ja",(VLOOKUP($B21,'Egen hetvattenprod'!$B$1:$BX$550,MATCH(BB$2,'Egen hetvattenprod'!$B$1:$BX$1,0),FALSE)+VLOOKUP($B21,Kraftvärmeprod!$B$1:$BX$550,MATCH(BB$2,Kraftvärmeprod!$B$1:$BX$1,0),FALSE))/$AC21,"")</f>
        <v/>
      </c>
      <c r="BC21" s="77" t="str">
        <f>IF($AY21="ja",(VLOOKUP($B21,'Egen hetvattenprod'!$B$1:$BX$550,MATCH(BC$2,'Egen hetvattenprod'!$B$1:$BX$1,0),FALSE)+VLOOKUP($B21,Kraftvärmeprod!$B$1:$BX$550,MATCH(BC$2,Kraftvärmeprod!$B$1:$BX$1,0),FALSE))/$AC21,"")</f>
        <v/>
      </c>
      <c r="BD21" s="77" t="str">
        <f>IF($AY21="ja",(VLOOKUP($B21,'Egen hetvattenprod'!$B$1:$BX$550,MATCH(BD$2,'Egen hetvattenprod'!$B$1:$BX$1,0),FALSE)+VLOOKUP($B21,Kraftvärmeprod!$B$1:$BX$550,MATCH(BD$2,Kraftvärmeprod!$B$1:$BX$1,0),FALSE))/$AC21,"")</f>
        <v/>
      </c>
      <c r="BF21" s="63" t="str">
        <f t="shared" si="5"/>
        <v>Nej</v>
      </c>
      <c r="BG21" s="63" t="str">
        <f>IF($BF21="ja",VLOOKUP($B21,'Egen hetvattenprod'!$B$1:$BX$550,MATCH("Andelen klimatgaser med fossilt ursprung för avfall ()",'Egen hetvattenprod'!$B$1:$BX$1,0),FALSE),"")</f>
        <v/>
      </c>
      <c r="BH21" s="63" t="str">
        <f>IF($BF21="ja",VLOOKUP($B21,Kraftvärmeprod!$B$1:$BX$550,MATCH("Andelen klimatgaser med fossilt ursprung för avfall ()",Kraftvärmeprod!$B$1:$BX$1,0),FALSE),"")</f>
        <v/>
      </c>
      <c r="BI21" s="63" t="str">
        <f>IF($BF21="ja",VLOOKUP($B21,'Egen hetvattenprod'!$B$1:$BX$550,MATCH("Avfall (GWh)",'Egen hetvattenprod'!$B$1:$BX$1,0),FALSE),"")</f>
        <v/>
      </c>
      <c r="BJ21" s="63" t="str">
        <f>IF($BF21="ja",VLOOKUP($B21,'Slutlig allokering kvv'!$B$1:$BX$550,MATCH("Avfall (GWh)",'Slutlig allokering kvv'!$B$1:$BX$1,0),FALSE),"")</f>
        <v/>
      </c>
      <c r="BK21" s="63" t="str">
        <f>IF($BF21="ja",VLOOKUP($B21,'Köpt hetvatten'!$B$1:$BX$550,MATCH("Avfall i köpt hetvatten",'Köpt hetvatten'!$B$1:$BX$1,0),FALSE),"")</f>
        <v/>
      </c>
      <c r="BL21" s="63" t="str">
        <f>IF($BF21="ja",VLOOKUP($B21,'Egen hetvattenprod'!$B$1:$BX$550,MATCH("Värde enligt ovan. (%)",'Egen hetvattenprod'!$B$1:$BX$1,0),FALSE),"")</f>
        <v/>
      </c>
      <c r="BM21" s="63" t="str">
        <f>IF($BF21="ja",VLOOKUP($B21,Kraftvärmeprod!$B$1:$BX$550,MATCH("Värde enligt ovan. (%)",Kraftvärmeprod!$B$1:$BX$1,0),FALSE),"")</f>
        <v/>
      </c>
    </row>
    <row r="22" spans="1:65" x14ac:dyDescent="0.45">
      <c r="A22" s="63" t="s">
        <v>666</v>
      </c>
      <c r="B22" s="63" t="s">
        <v>669</v>
      </c>
      <c r="C22" s="63">
        <f>VLOOKUP($B22,'Tillförd energi'!$B$1:$AI$720,MATCH(C$2,'Tillförd energi'!$B$1:$AQ$1,0),FALSE)</f>
        <v>0</v>
      </c>
      <c r="D22" s="63">
        <f>VLOOKUP($B22,'Tillförd energi'!$B$1:$AI$720,MATCH(D$2,'Tillförd energi'!$B$1:$AQ$1,0),FALSE)</f>
        <v>8.1000000000000003E-2</v>
      </c>
      <c r="E22" s="63">
        <f>VLOOKUP($B22,'Tillförd energi'!$B$1:$AI$720,MATCH(E$2,'Tillförd energi'!$B$1:$AQ$1,0),FALSE)</f>
        <v>0</v>
      </c>
      <c r="F22" s="63">
        <f>VLOOKUP($B22,'Tillförd energi'!$B$1:$AI$720,MATCH(F$2,'Tillförd energi'!$B$1:$AQ$1,0),FALSE)</f>
        <v>0</v>
      </c>
      <c r="G22" s="63">
        <f>VLOOKUP($B22,'Tillförd energi'!$B$1:$AI$720,MATCH(G$2,'Tillförd energi'!$B$1:$AQ$1,0),FALSE)</f>
        <v>0</v>
      </c>
      <c r="H22" s="63">
        <f>VLOOKUP($B22,'Tillförd energi'!$B$1:$AI$720,MATCH(H$2,'Tillförd energi'!$B$1:$AQ$1,0),FALSE)</f>
        <v>0</v>
      </c>
      <c r="I22" s="63">
        <f>VLOOKUP($B22,'Tillförd energi'!$B$1:$AI$720,MATCH(I$2,'Tillförd energi'!$B$1:$AQ$1,0),FALSE)</f>
        <v>0</v>
      </c>
      <c r="J22" s="63">
        <f>VLOOKUP($B22,'Tillförd energi'!$B$1:$AI$720,MATCH(J$2,'Tillförd energi'!$B$1:$AQ$1,0),FALSE)</f>
        <v>0</v>
      </c>
      <c r="K22" s="63">
        <f>VLOOKUP($B22,'Tillförd energi'!$B$1:$AI$720,MATCH(K$2,'Tillförd energi'!$B$1:$AQ$1,0),FALSE)</f>
        <v>0</v>
      </c>
      <c r="L22" s="63">
        <f>VLOOKUP($B22,'Tillförd energi'!$B$1:$AI$720,MATCH(L$2,'Tillförd energi'!$B$1:$AQ$1,0),FALSE)</f>
        <v>0</v>
      </c>
      <c r="M22" s="63">
        <f>VLOOKUP($B22,'Tillförd energi'!$B$1:$AI$720,MATCH(M$2,'Tillförd energi'!$B$1:$AQ$1,0),FALSE)</f>
        <v>0</v>
      </c>
      <c r="N22" s="63">
        <f>VLOOKUP($B22,'Tillförd energi'!$B$1:$AI$720,MATCH(N$2,'Tillförd energi'!$B$1:$AQ$1,0),FALSE)</f>
        <v>0</v>
      </c>
      <c r="O22" s="63">
        <f>VLOOKUP($B22,'Tillförd energi'!$B$1:$AI$720,MATCH(O$2,'Tillförd energi'!$B$1:$AQ$1,0),FALSE)</f>
        <v>0</v>
      </c>
      <c r="P22" s="63">
        <f>VLOOKUP($B22,'Tillförd energi'!$B$1:$AI$720,MATCH(P$2,'Tillförd energi'!$B$1:$AQ$1,0),FALSE)</f>
        <v>0</v>
      </c>
      <c r="Q22" s="63">
        <f>VLOOKUP($B22,'Tillförd energi'!$B$1:$AI$720,MATCH(Q$2,'Tillförd energi'!$B$1:$AQ$1,0),FALSE)</f>
        <v>0</v>
      </c>
      <c r="R22" s="63">
        <f>VLOOKUP($B22,'Tillförd energi'!$B$1:$AI$720,MATCH(R$2,'Tillförd energi'!$B$1:$AQ$1,0),FALSE)</f>
        <v>6.8440000000000003</v>
      </c>
      <c r="S22" s="63">
        <f>VLOOKUP($B22,'Tillförd energi'!$B$1:$AI$720,MATCH(S$2,'Tillförd energi'!$B$1:$AQ$1,0),FALSE)</f>
        <v>0</v>
      </c>
      <c r="T22" s="63">
        <f>VLOOKUP($B22,'Tillförd energi'!$B$1:$AI$720,MATCH(T$2,'Tillförd energi'!$B$1:$AQ$1,0),FALSE)</f>
        <v>0</v>
      </c>
      <c r="U22" s="63">
        <f>VLOOKUP($B22,'Tillförd energi'!$B$1:$AI$720,MATCH(U$2,'Tillförd energi'!$B$1:$AQ$1,0),FALSE)</f>
        <v>0</v>
      </c>
      <c r="V22" s="63">
        <f>VLOOKUP($B22,'Tillförd energi'!$B$1:$AI$720,MATCH(V$2,'Tillförd energi'!$B$1:$AQ$1,0),FALSE)</f>
        <v>0</v>
      </c>
      <c r="W22" s="63">
        <f>VLOOKUP($B22,'Tillförd energi'!$B$1:$AI$720,MATCH(W$2,'Tillförd energi'!$B$1:$AQ$1,0),FALSE)</f>
        <v>0</v>
      </c>
      <c r="X22" s="63">
        <f>VLOOKUP($B22,'Tillförd energi'!$B$1:$AI$720,MATCH(X$2,'Tillförd energi'!$B$1:$AQ$1,0),FALSE)</f>
        <v>0</v>
      </c>
      <c r="Y22" s="63">
        <f>VLOOKUP($B22,'Tillförd energi'!$B$1:$AI$720,MATCH(Y$2,'Tillförd energi'!$B$1:$AQ$1,0),FALSE)</f>
        <v>0</v>
      </c>
      <c r="Z22" s="63">
        <f>VLOOKUP($B22,'Tillförd energi'!$B$1:$AI$720,MATCH(Z$2,'Tillförd energi'!$B$1:$AQ$1,0),FALSE)</f>
        <v>0</v>
      </c>
      <c r="AA22" s="63">
        <f>VLOOKUP($B22,'Tillförd energi'!$B$1:$AI$720,MATCH(AA$2,'Tillförd energi'!$B$1:$AQ$1,0),FALSE)</f>
        <v>0</v>
      </c>
      <c r="AB22" s="63">
        <f>VLOOKUP($B22,'Tillförd energi'!$B$1:$AI$720,MATCH(AB$2,'Tillförd energi'!$B$1:$AQ$1,0),FALSE)</f>
        <v>0</v>
      </c>
      <c r="AC22" s="63">
        <f>VLOOKUP($B22,'Tillförd energi'!$B$1:$AI$720,MATCH(AC$2,'Tillförd energi'!$B$1:$AQ$1,0),FALSE)</f>
        <v>0</v>
      </c>
      <c r="AD22" s="63">
        <f>VLOOKUP($B22,'Tillförd energi'!$B$1:$AI$720,MATCH(AD$2,'Tillförd energi'!$B$1:$AQ$1,0),FALSE)</f>
        <v>0</v>
      </c>
      <c r="AE22" s="63">
        <f>VLOOKUP($B22,'Tillförd energi'!$B$1:$AI$720,MATCH(AE$2,'Tillförd energi'!$B$1:$AQ$1,0),FALSE)</f>
        <v>0</v>
      </c>
      <c r="AF22" s="63">
        <f>VLOOKUP($B22,'Tillförd energi'!$B$1:$AI$720,MATCH(AF$2,'Tillförd energi'!$B$1:$AQ$1,0),FALSE)</f>
        <v>0.106</v>
      </c>
      <c r="AG22" s="63">
        <f>IFERROR(VLOOKUP(B22,Miljö!$B$1:$AC$550,MATCH("Köpt mängd produktionsspecifik fjärrvärme:",Miljö!$B$1:$AC$1,0),FALSE)/1,0)</f>
        <v>0</v>
      </c>
      <c r="AI22" s="63">
        <f t="shared" si="0"/>
        <v>7.0310000000000006</v>
      </c>
      <c r="AJ22" s="63">
        <f>IF(ISERROR(1/VLOOKUP($B22,Leveranser!$B$1:$S$500,MATCH("såld värme (gwh)",Leveranser!$B$1:$S$1,0),FALSE)),"",VLOOKUP($B22,Leveranser!$B$1:$S$500,MATCH("såld värme (gwh)",Leveranser!$B$1:$S$1,0),FALSE))</f>
        <v>5</v>
      </c>
      <c r="AM22" s="63" t="str">
        <f>IF(B22&lt;&gt;"",IF(VLOOKUP($B22,Totalt!$B$1:$AQ$554,MATCH("Kvalitetsgranskad:",Totalt!$B$1:$AQ$1,0),FALSE)="ja",VLOOKUP($B22,Miljö!$B$1:$AG$479,MATCH(AM$2,Miljö!$B$1:$AK$1,0),FALSE),""),"")</f>
        <v>Ja</v>
      </c>
      <c r="AN22" s="63" t="str">
        <f>IF(AM22="ja",VLOOKUP($B22,Miljö!$B$1:$J$479,MATCH("Typ av ursprungsspecificerad el   (Om inget värde anges används Nordisk residualmix, se inforuta) ()",Miljö!$B$1:$J$1,0),FALSE),IF(AM22="nej","Nordisk residualel",""))</f>
        <v>'förnybar el "guarantee of origin"'</v>
      </c>
      <c r="AO22" s="63">
        <f>IF(AM22="","",VLOOKUP($B22,Miljö!$B$1:$J$479,MATCH("Fossilandel för ursprungspecificerad el ()",Miljö!$B$1:$J$1,0),FALSE))</f>
        <v>0</v>
      </c>
      <c r="AQ22" s="63">
        <f t="shared" si="1"/>
        <v>1</v>
      </c>
      <c r="AS22" s="63" t="str">
        <f t="shared" si="2"/>
        <v>Nej</v>
      </c>
      <c r="AT22" s="63" t="str">
        <f>IF(AS22="ja",VLOOKUP($B22,Miljö!$B$1:$P$500,MATCH("Fossil andel i procent (%)",Miljö!$B$1:$P$1,0),FALSE)/100,"")</f>
        <v/>
      </c>
      <c r="AV22" s="63" t="str">
        <f t="shared" si="3"/>
        <v>Nej</v>
      </c>
      <c r="AW22" s="63" t="str">
        <f>IF(AV22="ja",VLOOKUP($B22,'Egen hetvattenprod'!$B$1:$AO$500,MATCH("Värmekälla till värmepumpar ()",'Egen hetvattenprod'!$B$1:$AO$1,0),FALSE),"")</f>
        <v/>
      </c>
      <c r="AY22" s="63" t="str">
        <f t="shared" si="4"/>
        <v>Nej</v>
      </c>
      <c r="AZ22" s="77" t="str">
        <f>IF($AY22="ja",(VLOOKUP($B22,'Egen hetvattenprod'!$B$1:$BX$550,MATCH(AZ$2,'Egen hetvattenprod'!$B$1:$BX$1,0),FALSE)+VLOOKUP($B22,Kraftvärmeprod!$B$1:$BX$550,MATCH(AZ$2,Kraftvärmeprod!$B$1:$BX$1,0),FALSE))/$AC22,"")</f>
        <v/>
      </c>
      <c r="BA22" s="77" t="str">
        <f>IF($AY22="ja",(VLOOKUP($B22,'Egen hetvattenprod'!$B$1:$BX$550,MATCH(BA$2,'Egen hetvattenprod'!$B$1:$BX$1,0),FALSE)+VLOOKUP($B22,Kraftvärmeprod!$B$1:$BX$550,MATCH(BA$2,Kraftvärmeprod!$B$1:$BX$1,0),FALSE))/$AC22,"")</f>
        <v/>
      </c>
      <c r="BB22" s="77" t="str">
        <f>IF($AY22="ja",(VLOOKUP($B22,'Egen hetvattenprod'!$B$1:$BX$550,MATCH(BB$2,'Egen hetvattenprod'!$B$1:$BX$1,0),FALSE)+VLOOKUP($B22,Kraftvärmeprod!$B$1:$BX$550,MATCH(BB$2,Kraftvärmeprod!$B$1:$BX$1,0),FALSE))/$AC22,"")</f>
        <v/>
      </c>
      <c r="BC22" s="77" t="str">
        <f>IF($AY22="ja",(VLOOKUP($B22,'Egen hetvattenprod'!$B$1:$BX$550,MATCH(BC$2,'Egen hetvattenprod'!$B$1:$BX$1,0),FALSE)+VLOOKUP($B22,Kraftvärmeprod!$B$1:$BX$550,MATCH(BC$2,Kraftvärmeprod!$B$1:$BX$1,0),FALSE))/$AC22,"")</f>
        <v/>
      </c>
      <c r="BD22" s="77" t="str">
        <f>IF($AY22="ja",(VLOOKUP($B22,'Egen hetvattenprod'!$B$1:$BX$550,MATCH(BD$2,'Egen hetvattenprod'!$B$1:$BX$1,0),FALSE)+VLOOKUP($B22,Kraftvärmeprod!$B$1:$BX$550,MATCH(BD$2,Kraftvärmeprod!$B$1:$BX$1,0),FALSE))/$AC22,"")</f>
        <v/>
      </c>
      <c r="BF22" s="63" t="str">
        <f t="shared" si="5"/>
        <v>Nej</v>
      </c>
      <c r="BG22" s="63" t="str">
        <f>IF($BF22="ja",VLOOKUP($B22,'Egen hetvattenprod'!$B$1:$BX$550,MATCH("Andelen klimatgaser med fossilt ursprung för avfall ()",'Egen hetvattenprod'!$B$1:$BX$1,0),FALSE),"")</f>
        <v/>
      </c>
      <c r="BH22" s="63" t="str">
        <f>IF($BF22="ja",VLOOKUP($B22,Kraftvärmeprod!$B$1:$BX$550,MATCH("Andelen klimatgaser med fossilt ursprung för avfall ()",Kraftvärmeprod!$B$1:$BX$1,0),FALSE),"")</f>
        <v/>
      </c>
      <c r="BI22" s="63" t="str">
        <f>IF($BF22="ja",VLOOKUP($B22,'Egen hetvattenprod'!$B$1:$BX$550,MATCH("Avfall (GWh)",'Egen hetvattenprod'!$B$1:$BX$1,0),FALSE),"")</f>
        <v/>
      </c>
      <c r="BJ22" s="63" t="str">
        <f>IF($BF22="ja",VLOOKUP($B22,'Slutlig allokering kvv'!$B$1:$BX$550,MATCH("Avfall (GWh)",'Slutlig allokering kvv'!$B$1:$BX$1,0),FALSE),"")</f>
        <v/>
      </c>
      <c r="BK22" s="63" t="str">
        <f>IF($BF22="ja",VLOOKUP($B22,'Köpt hetvatten'!$B$1:$BX$550,MATCH("Avfall i köpt hetvatten",'Köpt hetvatten'!$B$1:$BX$1,0),FALSE),"")</f>
        <v/>
      </c>
      <c r="BL22" s="63" t="str">
        <f>IF($BF22="ja",VLOOKUP($B22,'Egen hetvattenprod'!$B$1:$BX$550,MATCH("Värde enligt ovan. (%)",'Egen hetvattenprod'!$B$1:$BX$1,0),FALSE),"")</f>
        <v/>
      </c>
      <c r="BM22" s="63" t="str">
        <f>IF($BF22="ja",VLOOKUP($B22,Kraftvärmeprod!$B$1:$BX$550,MATCH("Värde enligt ovan. (%)",Kraftvärmeprod!$B$1:$BX$1,0),FALSE),"")</f>
        <v/>
      </c>
    </row>
    <row r="23" spans="1:65" x14ac:dyDescent="0.45">
      <c r="A23" s="63" t="s">
        <v>666</v>
      </c>
      <c r="B23" s="63" t="s">
        <v>668</v>
      </c>
      <c r="C23" s="63">
        <f>VLOOKUP($B23,'Tillförd energi'!$B$1:$AI$720,MATCH(C$2,'Tillförd energi'!$B$1:$AQ$1,0),FALSE)</f>
        <v>0</v>
      </c>
      <c r="D23" s="63">
        <f>VLOOKUP($B23,'Tillförd energi'!$B$1:$AI$720,MATCH(D$2,'Tillförd energi'!$B$1:$AQ$1,0),FALSE)</f>
        <v>0.30750499999999997</v>
      </c>
      <c r="E23" s="63">
        <f>VLOOKUP($B23,'Tillförd energi'!$B$1:$AI$720,MATCH(E$2,'Tillförd energi'!$B$1:$AQ$1,0),FALSE)</f>
        <v>0</v>
      </c>
      <c r="F23" s="63">
        <f>VLOOKUP($B23,'Tillförd energi'!$B$1:$AI$720,MATCH(F$2,'Tillförd energi'!$B$1:$AQ$1,0),FALSE)</f>
        <v>0</v>
      </c>
      <c r="G23" s="63">
        <f>VLOOKUP($B23,'Tillförd energi'!$B$1:$AI$720,MATCH(G$2,'Tillförd energi'!$B$1:$AQ$1,0),FALSE)</f>
        <v>0</v>
      </c>
      <c r="H23" s="63">
        <f>VLOOKUP($B23,'Tillförd energi'!$B$1:$AI$720,MATCH(H$2,'Tillförd energi'!$B$1:$AQ$1,0),FALSE)</f>
        <v>0</v>
      </c>
      <c r="I23" s="63">
        <f>VLOOKUP($B23,'Tillförd energi'!$B$1:$AI$720,MATCH(I$2,'Tillförd energi'!$B$1:$AQ$1,0),FALSE)</f>
        <v>0</v>
      </c>
      <c r="J23" s="63">
        <f>VLOOKUP($B23,'Tillförd energi'!$B$1:$AI$720,MATCH(J$2,'Tillförd energi'!$B$1:$AQ$1,0),FALSE)</f>
        <v>0</v>
      </c>
      <c r="K23" s="63">
        <f>VLOOKUP($B23,'Tillförd energi'!$B$1:$AI$720,MATCH(K$2,'Tillförd energi'!$B$1:$AQ$1,0),FALSE)</f>
        <v>0</v>
      </c>
      <c r="L23" s="63">
        <f>VLOOKUP($B23,'Tillförd energi'!$B$1:$AI$720,MATCH(L$2,'Tillförd energi'!$B$1:$AQ$1,0),FALSE)</f>
        <v>32.985100000000003</v>
      </c>
      <c r="M23" s="63">
        <f>VLOOKUP($B23,'Tillförd energi'!$B$1:$AI$720,MATCH(M$2,'Tillförd energi'!$B$1:$AQ$1,0),FALSE)</f>
        <v>36.429200000000002</v>
      </c>
      <c r="N23" s="63">
        <f>VLOOKUP($B23,'Tillförd energi'!$B$1:$AI$720,MATCH(N$2,'Tillförd energi'!$B$1:$AQ$1,0),FALSE)</f>
        <v>124.751</v>
      </c>
      <c r="O23" s="63">
        <f>VLOOKUP($B23,'Tillförd energi'!$B$1:$AI$720,MATCH(O$2,'Tillförd energi'!$B$1:$AQ$1,0),FALSE)</f>
        <v>17.365500000000001</v>
      </c>
      <c r="P23" s="63">
        <f>VLOOKUP($B23,'Tillförd energi'!$B$1:$AI$720,MATCH(P$2,'Tillförd energi'!$B$1:$AQ$1,0),FALSE)</f>
        <v>1.3767199999999999</v>
      </c>
      <c r="Q23" s="63">
        <f>VLOOKUP($B23,'Tillförd energi'!$B$1:$AI$720,MATCH(Q$2,'Tillförd energi'!$B$1:$AQ$1,0),FALSE)</f>
        <v>1.3428599999999999</v>
      </c>
      <c r="R23" s="63">
        <f>VLOOKUP($B23,'Tillförd energi'!$B$1:$AI$720,MATCH(R$2,'Tillförd energi'!$B$1:$AQ$1,0),FALSE)</f>
        <v>0</v>
      </c>
      <c r="S23" s="63">
        <f>VLOOKUP($B23,'Tillförd energi'!$B$1:$AI$720,MATCH(S$2,'Tillförd energi'!$B$1:$AQ$1,0),FALSE)</f>
        <v>0</v>
      </c>
      <c r="T23" s="63">
        <f>VLOOKUP($B23,'Tillförd energi'!$B$1:$AI$720,MATCH(T$2,'Tillförd energi'!$B$1:$AQ$1,0),FALSE)</f>
        <v>0</v>
      </c>
      <c r="U23" s="63">
        <f>VLOOKUP($B23,'Tillförd energi'!$B$1:$AI$720,MATCH(U$2,'Tillförd energi'!$B$1:$AQ$1,0),FALSE)</f>
        <v>0</v>
      </c>
      <c r="V23" s="63">
        <f>VLOOKUP($B23,'Tillförd energi'!$B$1:$AI$720,MATCH(V$2,'Tillförd energi'!$B$1:$AQ$1,0),FALSE)</f>
        <v>0</v>
      </c>
      <c r="W23" s="63">
        <f>VLOOKUP($B23,'Tillförd energi'!$B$1:$AI$720,MATCH(W$2,'Tillförd energi'!$B$1:$AQ$1,0),FALSE)</f>
        <v>1.6639999999999999</v>
      </c>
      <c r="X23" s="63">
        <f>VLOOKUP($B23,'Tillförd energi'!$B$1:$AI$720,MATCH(X$2,'Tillförd energi'!$B$1:$AQ$1,0),FALSE)</f>
        <v>0</v>
      </c>
      <c r="Y23" s="63">
        <f>VLOOKUP($B23,'Tillförd energi'!$B$1:$AI$720,MATCH(Y$2,'Tillförd energi'!$B$1:$AQ$1,0),FALSE)</f>
        <v>0</v>
      </c>
      <c r="Z23" s="63">
        <f>VLOOKUP($B23,'Tillförd energi'!$B$1:$AI$720,MATCH(Z$2,'Tillförd energi'!$B$1:$AQ$1,0),FALSE)</f>
        <v>0</v>
      </c>
      <c r="AA23" s="63">
        <f>VLOOKUP($B23,'Tillförd energi'!$B$1:$AI$720,MATCH(AA$2,'Tillförd energi'!$B$1:$AQ$1,0),FALSE)</f>
        <v>0</v>
      </c>
      <c r="AB23" s="63">
        <f>VLOOKUP($B23,'Tillförd energi'!$B$1:$AI$720,MATCH(AB$2,'Tillförd energi'!$B$1:$AQ$1,0),FALSE)</f>
        <v>0</v>
      </c>
      <c r="AC23" s="63">
        <f>VLOOKUP($B23,'Tillförd energi'!$B$1:$AI$720,MATCH(AC$2,'Tillförd energi'!$B$1:$AQ$1,0),FALSE)</f>
        <v>61.481999999999999</v>
      </c>
      <c r="AD23" s="63">
        <f>VLOOKUP($B23,'Tillförd energi'!$B$1:$AI$720,MATCH(AD$2,'Tillförd energi'!$B$1:$AQ$1,0),FALSE)</f>
        <v>0</v>
      </c>
      <c r="AE23" s="63">
        <f>VLOOKUP($B23,'Tillförd energi'!$B$1:$AI$720,MATCH(AE$2,'Tillförd energi'!$B$1:$AQ$1,0),FALSE)</f>
        <v>0</v>
      </c>
      <c r="AF23" s="63">
        <f>VLOOKUP($B23,'Tillförd energi'!$B$1:$AI$720,MATCH(AF$2,'Tillförd energi'!$B$1:$AQ$1,0),FALSE)</f>
        <v>8.8739799999999995</v>
      </c>
      <c r="AG23" s="63">
        <f>IFERROR(VLOOKUP(B23,Miljö!$B$1:$AC$550,MATCH("Köpt mängd produktionsspecifik fjärrvärme:",Miljö!$B$1:$AC$1,0),FALSE)/1,0)</f>
        <v>0</v>
      </c>
      <c r="AI23" s="63">
        <f t="shared" si="0"/>
        <v>286.57786500000003</v>
      </c>
      <c r="AJ23" s="63">
        <f>IF(ISERROR(1/VLOOKUP($B23,Leveranser!$B$1:$S$500,MATCH("såld värme (gwh)",Leveranser!$B$1:$S$1,0),FALSE)),"",VLOOKUP($B23,Leveranser!$B$1:$S$500,MATCH("såld värme (gwh)",Leveranser!$B$1:$S$1,0),FALSE))</f>
        <v>236.58</v>
      </c>
      <c r="AM23" s="63" t="str">
        <f>IF(B23&lt;&gt;"",IF(VLOOKUP($B23,Totalt!$B$1:$AQ$554,MATCH("Kvalitetsgranskad:",Totalt!$B$1:$AQ$1,0),FALSE)="ja",VLOOKUP($B23,Miljö!$B$1:$AG$479,MATCH(AM$2,Miljö!$B$1:$AK$1,0),FALSE),""),"")</f>
        <v>Ja</v>
      </c>
      <c r="AN23" s="63" t="str">
        <f>IF(AM23="ja",VLOOKUP($B23,Miljö!$B$1:$J$479,MATCH("Typ av ursprungsspecificerad el   (Om inget värde anges används Nordisk residualmix, se inforuta) ()",Miljö!$B$1:$J$1,0),FALSE),IF(AM23="nej","Nordisk residualel",""))</f>
        <v>'förnybar el "guarantee of origin"'</v>
      </c>
      <c r="AO23" s="63">
        <f>IF(AM23="","",VLOOKUP($B23,Miljö!$B$1:$J$479,MATCH("Fossilandel för ursprungspecificerad el ()",Miljö!$B$1:$J$1,0),FALSE))</f>
        <v>0</v>
      </c>
      <c r="AQ23" s="63">
        <f t="shared" si="1"/>
        <v>1</v>
      </c>
      <c r="AS23" s="63" t="str">
        <f t="shared" si="2"/>
        <v>Nej</v>
      </c>
      <c r="AT23" s="63" t="str">
        <f>IF(AS23="ja",VLOOKUP($B23,Miljö!$B$1:$P$500,MATCH("Fossil andel i procent (%)",Miljö!$B$1:$P$1,0),FALSE)/100,"")</f>
        <v/>
      </c>
      <c r="AV23" s="63" t="str">
        <f t="shared" si="3"/>
        <v>Nej</v>
      </c>
      <c r="AW23" s="63" t="str">
        <f>IF(AV23="ja",VLOOKUP($B23,'Egen hetvattenprod'!$B$1:$AO$500,MATCH("Värmekälla till värmepumpar ()",'Egen hetvattenprod'!$B$1:$AO$1,0),FALSE),"")</f>
        <v/>
      </c>
      <c r="AY23" s="63" t="str">
        <f t="shared" si="4"/>
        <v>Ja</v>
      </c>
      <c r="AZ23" s="77">
        <f>IF($AY23="ja",(VLOOKUP($B23,'Egen hetvattenprod'!$B$1:$BX$550,MATCH(AZ$2,'Egen hetvattenprod'!$B$1:$BX$1,0),FALSE)+VLOOKUP($B23,Kraftvärmeprod!$B$1:$BX$550,MATCH(AZ$2,Kraftvärmeprod!$B$1:$BX$1,0),FALSE))/$AC23,"")</f>
        <v>1</v>
      </c>
      <c r="BA23" s="77">
        <f>IF($AY23="ja",(VLOOKUP($B23,'Egen hetvattenprod'!$B$1:$BX$550,MATCH(BA$2,'Egen hetvattenprod'!$B$1:$BX$1,0),FALSE)+VLOOKUP($B23,Kraftvärmeprod!$B$1:$BX$550,MATCH(BA$2,Kraftvärmeprod!$B$1:$BX$1,0),FALSE))/$AC23,"")</f>
        <v>0</v>
      </c>
      <c r="BB23" s="77">
        <f>IF($AY23="ja",(VLOOKUP($B23,'Egen hetvattenprod'!$B$1:$BX$550,MATCH(BB$2,'Egen hetvattenprod'!$B$1:$BX$1,0),FALSE)+VLOOKUP($B23,Kraftvärmeprod!$B$1:$BX$550,MATCH(BB$2,Kraftvärmeprod!$B$1:$BX$1,0),FALSE))/$AC23,"")</f>
        <v>0</v>
      </c>
      <c r="BC23" s="77">
        <f>IF($AY23="ja",(VLOOKUP($B23,'Egen hetvattenprod'!$B$1:$BX$550,MATCH(BC$2,'Egen hetvattenprod'!$B$1:$BX$1,0),FALSE)+VLOOKUP($B23,Kraftvärmeprod!$B$1:$BX$550,MATCH(BC$2,Kraftvärmeprod!$B$1:$BX$1,0),FALSE))/$AC23,"")</f>
        <v>0</v>
      </c>
      <c r="BD23" s="77">
        <f>IF($AY23="ja",(VLOOKUP($B23,'Egen hetvattenprod'!$B$1:$BX$550,MATCH(BD$2,'Egen hetvattenprod'!$B$1:$BX$1,0),FALSE)+VLOOKUP($B23,Kraftvärmeprod!$B$1:$BX$550,MATCH(BD$2,Kraftvärmeprod!$B$1:$BX$1,0),FALSE))/$AC23,"")</f>
        <v>0</v>
      </c>
      <c r="BF23" s="63" t="str">
        <f t="shared" si="5"/>
        <v>Nej</v>
      </c>
      <c r="BG23" s="63" t="str">
        <f>IF($BF23="ja",VLOOKUP($B23,'Egen hetvattenprod'!$B$1:$BX$550,MATCH("Andelen klimatgaser med fossilt ursprung för avfall ()",'Egen hetvattenprod'!$B$1:$BX$1,0),FALSE),"")</f>
        <v/>
      </c>
      <c r="BH23" s="63" t="str">
        <f>IF($BF23="ja",VLOOKUP($B23,Kraftvärmeprod!$B$1:$BX$550,MATCH("Andelen klimatgaser med fossilt ursprung för avfall ()",Kraftvärmeprod!$B$1:$BX$1,0),FALSE),"")</f>
        <v/>
      </c>
      <c r="BI23" s="63" t="str">
        <f>IF($BF23="ja",VLOOKUP($B23,'Egen hetvattenprod'!$B$1:$BX$550,MATCH("Avfall (GWh)",'Egen hetvattenprod'!$B$1:$BX$1,0),FALSE),"")</f>
        <v/>
      </c>
      <c r="BJ23" s="63" t="str">
        <f>IF($BF23="ja",VLOOKUP($B23,'Slutlig allokering kvv'!$B$1:$BX$550,MATCH("Avfall (GWh)",'Slutlig allokering kvv'!$B$1:$BX$1,0),FALSE),"")</f>
        <v/>
      </c>
      <c r="BK23" s="63" t="str">
        <f>IF($BF23="ja",VLOOKUP($B23,'Köpt hetvatten'!$B$1:$BX$550,MATCH("Avfall i köpt hetvatten",'Köpt hetvatten'!$B$1:$BX$1,0),FALSE),"")</f>
        <v/>
      </c>
      <c r="BL23" s="63" t="str">
        <f>IF($BF23="ja",VLOOKUP($B23,'Egen hetvattenprod'!$B$1:$BX$550,MATCH("Värde enligt ovan. (%)",'Egen hetvattenprod'!$B$1:$BX$1,0),FALSE),"")</f>
        <v/>
      </c>
      <c r="BM23" s="63" t="str">
        <f>IF($BF23="ja",VLOOKUP($B23,Kraftvärmeprod!$B$1:$BX$550,MATCH("Värde enligt ovan. (%)",Kraftvärmeprod!$B$1:$BX$1,0),FALSE),"")</f>
        <v/>
      </c>
    </row>
    <row r="24" spans="1:65" x14ac:dyDescent="0.45">
      <c r="A24" s="63" t="s">
        <v>666</v>
      </c>
      <c r="B24" s="63" t="s">
        <v>665</v>
      </c>
      <c r="C24" s="63">
        <f>VLOOKUP($B24,'Tillförd energi'!$B$1:$AI$720,MATCH(C$2,'Tillförd energi'!$B$1:$AQ$1,0),FALSE)</f>
        <v>0</v>
      </c>
      <c r="D24" s="63">
        <f>VLOOKUP($B24,'Tillförd energi'!$B$1:$AI$720,MATCH(D$2,'Tillförd energi'!$B$1:$AQ$1,0),FALSE)</f>
        <v>0.182</v>
      </c>
      <c r="E24" s="63">
        <f>VLOOKUP($B24,'Tillförd energi'!$B$1:$AI$720,MATCH(E$2,'Tillförd energi'!$B$1:$AQ$1,0),FALSE)</f>
        <v>0</v>
      </c>
      <c r="F24" s="63">
        <f>VLOOKUP($B24,'Tillförd energi'!$B$1:$AI$720,MATCH(F$2,'Tillförd energi'!$B$1:$AQ$1,0),FALSE)</f>
        <v>0</v>
      </c>
      <c r="G24" s="63">
        <f>VLOOKUP($B24,'Tillförd energi'!$B$1:$AI$720,MATCH(G$2,'Tillförd energi'!$B$1:$AQ$1,0),FALSE)</f>
        <v>0</v>
      </c>
      <c r="H24" s="63">
        <f>VLOOKUP($B24,'Tillförd energi'!$B$1:$AI$720,MATCH(H$2,'Tillförd energi'!$B$1:$AQ$1,0),FALSE)</f>
        <v>0</v>
      </c>
      <c r="I24" s="63">
        <f>VLOOKUP($B24,'Tillförd energi'!$B$1:$AI$720,MATCH(I$2,'Tillförd energi'!$B$1:$AQ$1,0),FALSE)</f>
        <v>0</v>
      </c>
      <c r="J24" s="63">
        <f>VLOOKUP($B24,'Tillförd energi'!$B$1:$AI$720,MATCH(J$2,'Tillförd energi'!$B$1:$AQ$1,0),FALSE)</f>
        <v>0</v>
      </c>
      <c r="K24" s="63">
        <f>VLOOKUP($B24,'Tillförd energi'!$B$1:$AI$720,MATCH(K$2,'Tillförd energi'!$B$1:$AQ$1,0),FALSE)</f>
        <v>0</v>
      </c>
      <c r="L24" s="63">
        <f>VLOOKUP($B24,'Tillförd energi'!$B$1:$AI$720,MATCH(L$2,'Tillförd energi'!$B$1:$AQ$1,0),FALSE)</f>
        <v>0</v>
      </c>
      <c r="M24" s="63">
        <f>VLOOKUP($B24,'Tillförd energi'!$B$1:$AI$720,MATCH(M$2,'Tillförd energi'!$B$1:$AQ$1,0),FALSE)</f>
        <v>0</v>
      </c>
      <c r="N24" s="63">
        <f>VLOOKUP($B24,'Tillförd energi'!$B$1:$AI$720,MATCH(N$2,'Tillförd energi'!$B$1:$AQ$1,0),FALSE)</f>
        <v>0</v>
      </c>
      <c r="O24" s="63">
        <f>VLOOKUP($B24,'Tillförd energi'!$B$1:$AI$720,MATCH(O$2,'Tillförd energi'!$B$1:$AQ$1,0),FALSE)</f>
        <v>0</v>
      </c>
      <c r="P24" s="63">
        <f>VLOOKUP($B24,'Tillförd energi'!$B$1:$AI$720,MATCH(P$2,'Tillförd energi'!$B$1:$AQ$1,0),FALSE)</f>
        <v>0</v>
      </c>
      <c r="Q24" s="63">
        <f>VLOOKUP($B24,'Tillförd energi'!$B$1:$AI$720,MATCH(Q$2,'Tillförd energi'!$B$1:$AQ$1,0),FALSE)</f>
        <v>0</v>
      </c>
      <c r="R24" s="63">
        <f>VLOOKUP($B24,'Tillförd energi'!$B$1:$AI$720,MATCH(R$2,'Tillförd energi'!$B$1:$AQ$1,0),FALSE)</f>
        <v>0.68</v>
      </c>
      <c r="S24" s="63">
        <f>VLOOKUP($B24,'Tillförd energi'!$B$1:$AI$720,MATCH(S$2,'Tillförd energi'!$B$1:$AQ$1,0),FALSE)</f>
        <v>0</v>
      </c>
      <c r="T24" s="63">
        <f>VLOOKUP($B24,'Tillförd energi'!$B$1:$AI$720,MATCH(T$2,'Tillförd energi'!$B$1:$AQ$1,0),FALSE)</f>
        <v>0</v>
      </c>
      <c r="U24" s="63">
        <f>VLOOKUP($B24,'Tillförd energi'!$B$1:$AI$720,MATCH(U$2,'Tillförd energi'!$B$1:$AQ$1,0),FALSE)</f>
        <v>0</v>
      </c>
      <c r="V24" s="63">
        <f>VLOOKUP($B24,'Tillförd energi'!$B$1:$AI$720,MATCH(V$2,'Tillförd energi'!$B$1:$AQ$1,0),FALSE)</f>
        <v>0</v>
      </c>
      <c r="W24" s="63">
        <f>VLOOKUP($B24,'Tillförd energi'!$B$1:$AI$720,MATCH(W$2,'Tillförd energi'!$B$1:$AQ$1,0),FALSE)</f>
        <v>0</v>
      </c>
      <c r="X24" s="63">
        <f>VLOOKUP($B24,'Tillförd energi'!$B$1:$AI$720,MATCH(X$2,'Tillförd energi'!$B$1:$AQ$1,0),FALSE)</f>
        <v>0</v>
      </c>
      <c r="Y24" s="63">
        <f>VLOOKUP($B24,'Tillförd energi'!$B$1:$AI$720,MATCH(Y$2,'Tillförd energi'!$B$1:$AQ$1,0),FALSE)</f>
        <v>0</v>
      </c>
      <c r="Z24" s="63">
        <f>VLOOKUP($B24,'Tillförd energi'!$B$1:$AI$720,MATCH(Z$2,'Tillförd energi'!$B$1:$AQ$1,0),FALSE)</f>
        <v>3.4000000000000002E-2</v>
      </c>
      <c r="AA24" s="63">
        <f>VLOOKUP($B24,'Tillförd energi'!$B$1:$AI$720,MATCH(AA$2,'Tillförd energi'!$B$1:$AQ$1,0),FALSE)</f>
        <v>0</v>
      </c>
      <c r="AB24" s="63">
        <f>VLOOKUP($B24,'Tillförd energi'!$B$1:$AI$720,MATCH(AB$2,'Tillförd energi'!$B$1:$AQ$1,0),FALSE)</f>
        <v>0</v>
      </c>
      <c r="AC24" s="63">
        <f>VLOOKUP($B24,'Tillförd energi'!$B$1:$AI$720,MATCH(AC$2,'Tillförd energi'!$B$1:$AQ$1,0),FALSE)</f>
        <v>0</v>
      </c>
      <c r="AD24" s="63">
        <f>VLOOKUP($B24,'Tillförd energi'!$B$1:$AI$720,MATCH(AD$2,'Tillförd energi'!$B$1:$AQ$1,0),FALSE)</f>
        <v>0</v>
      </c>
      <c r="AE24" s="63">
        <f>VLOOKUP($B24,'Tillförd energi'!$B$1:$AI$720,MATCH(AE$2,'Tillförd energi'!$B$1:$AQ$1,0),FALSE)</f>
        <v>0</v>
      </c>
      <c r="AF24" s="63">
        <f>VLOOKUP($B24,'Tillförd energi'!$B$1:$AI$720,MATCH(AF$2,'Tillförd energi'!$B$1:$AQ$1,0),FALSE)</f>
        <v>1.0999999999999999E-2</v>
      </c>
      <c r="AG24" s="63">
        <f>IFERROR(VLOOKUP(B24,Miljö!$B$1:$AC$550,MATCH("Köpt mängd produktionsspecifik fjärrvärme:",Miljö!$B$1:$AC$1,0),FALSE)/1,0)</f>
        <v>0</v>
      </c>
      <c r="AI24" s="63">
        <f t="shared" si="0"/>
        <v>0.90700000000000014</v>
      </c>
      <c r="AJ24" s="63">
        <f>IF(ISERROR(1/VLOOKUP($B24,Leveranser!$B$1:$S$500,MATCH("såld värme (gwh)",Leveranser!$B$1:$S$1,0),FALSE)),"",VLOOKUP($B24,Leveranser!$B$1:$S$500,MATCH("såld värme (gwh)",Leveranser!$B$1:$S$1,0),FALSE))</f>
        <v>0.63</v>
      </c>
      <c r="AM24" s="63" t="str">
        <f>IF(B24&lt;&gt;"",IF(VLOOKUP($B24,Totalt!$B$1:$AQ$554,MATCH("Kvalitetsgranskad:",Totalt!$B$1:$AQ$1,0),FALSE)="ja",VLOOKUP($B24,Miljö!$B$1:$AG$479,MATCH(AM$2,Miljö!$B$1:$AK$1,0),FALSE),""),"")</f>
        <v>Ja</v>
      </c>
      <c r="AN24" s="63" t="str">
        <f>IF(AM24="ja",VLOOKUP($B24,Miljö!$B$1:$J$479,MATCH("Typ av ursprungsspecificerad el   (Om inget värde anges används Nordisk residualmix, se inforuta) ()",Miljö!$B$1:$J$1,0),FALSE),IF(AM24="nej","Nordisk residualel",""))</f>
        <v>'förnybar el "guarantee of origin"'</v>
      </c>
      <c r="AO24" s="63">
        <f>IF(AM24="","",VLOOKUP($B24,Miljö!$B$1:$J$479,MATCH("Fossilandel för ursprungspecificerad el ()",Miljö!$B$1:$J$1,0),FALSE))</f>
        <v>0</v>
      </c>
      <c r="AQ24" s="63">
        <f t="shared" si="1"/>
        <v>1</v>
      </c>
      <c r="AS24" s="63" t="str">
        <f t="shared" si="2"/>
        <v>Nej</v>
      </c>
      <c r="AT24" s="63" t="str">
        <f>IF(AS24="ja",VLOOKUP($B24,Miljö!$B$1:$P$500,MATCH("Fossil andel i procent (%)",Miljö!$B$1:$P$1,0),FALSE)/100,"")</f>
        <v/>
      </c>
      <c r="AV24" s="63" t="str">
        <f t="shared" si="3"/>
        <v>Nej</v>
      </c>
      <c r="AW24" s="63" t="str">
        <f>IF(AV24="ja",VLOOKUP($B24,'Egen hetvattenprod'!$B$1:$AO$500,MATCH("Värmekälla till värmepumpar ()",'Egen hetvattenprod'!$B$1:$AO$1,0),FALSE),"")</f>
        <v/>
      </c>
      <c r="AY24" s="63" t="str">
        <f t="shared" si="4"/>
        <v>Nej</v>
      </c>
      <c r="AZ24" s="77" t="str">
        <f>IF($AY24="ja",(VLOOKUP($B24,'Egen hetvattenprod'!$B$1:$BX$550,MATCH(AZ$2,'Egen hetvattenprod'!$B$1:$BX$1,0),FALSE)+VLOOKUP($B24,Kraftvärmeprod!$B$1:$BX$550,MATCH(AZ$2,Kraftvärmeprod!$B$1:$BX$1,0),FALSE))/$AC24,"")</f>
        <v/>
      </c>
      <c r="BA24" s="77" t="str">
        <f>IF($AY24="ja",(VLOOKUP($B24,'Egen hetvattenprod'!$B$1:$BX$550,MATCH(BA$2,'Egen hetvattenprod'!$B$1:$BX$1,0),FALSE)+VLOOKUP($B24,Kraftvärmeprod!$B$1:$BX$550,MATCH(BA$2,Kraftvärmeprod!$B$1:$BX$1,0),FALSE))/$AC24,"")</f>
        <v/>
      </c>
      <c r="BB24" s="77" t="str">
        <f>IF($AY24="ja",(VLOOKUP($B24,'Egen hetvattenprod'!$B$1:$BX$550,MATCH(BB$2,'Egen hetvattenprod'!$B$1:$BX$1,0),FALSE)+VLOOKUP($B24,Kraftvärmeprod!$B$1:$BX$550,MATCH(BB$2,Kraftvärmeprod!$B$1:$BX$1,0),FALSE))/$AC24,"")</f>
        <v/>
      </c>
      <c r="BC24" s="77" t="str">
        <f>IF($AY24="ja",(VLOOKUP($B24,'Egen hetvattenprod'!$B$1:$BX$550,MATCH(BC$2,'Egen hetvattenprod'!$B$1:$BX$1,0),FALSE)+VLOOKUP($B24,Kraftvärmeprod!$B$1:$BX$550,MATCH(BC$2,Kraftvärmeprod!$B$1:$BX$1,0),FALSE))/$AC24,"")</f>
        <v/>
      </c>
      <c r="BD24" s="77" t="str">
        <f>IF($AY24="ja",(VLOOKUP($B24,'Egen hetvattenprod'!$B$1:$BX$550,MATCH(BD$2,'Egen hetvattenprod'!$B$1:$BX$1,0),FALSE)+VLOOKUP($B24,Kraftvärmeprod!$B$1:$BX$550,MATCH(BD$2,Kraftvärmeprod!$B$1:$BX$1,0),FALSE))/$AC24,"")</f>
        <v/>
      </c>
      <c r="BF24" s="63" t="str">
        <f t="shared" si="5"/>
        <v>Nej</v>
      </c>
      <c r="BG24" s="63" t="str">
        <f>IF($BF24="ja",VLOOKUP($B24,'Egen hetvattenprod'!$B$1:$BX$550,MATCH("Andelen klimatgaser med fossilt ursprung för avfall ()",'Egen hetvattenprod'!$B$1:$BX$1,0),FALSE),"")</f>
        <v/>
      </c>
      <c r="BH24" s="63" t="str">
        <f>IF($BF24="ja",VLOOKUP($B24,Kraftvärmeprod!$B$1:$BX$550,MATCH("Andelen klimatgaser med fossilt ursprung för avfall ()",Kraftvärmeprod!$B$1:$BX$1,0),FALSE),"")</f>
        <v/>
      </c>
      <c r="BI24" s="63" t="str">
        <f>IF($BF24="ja",VLOOKUP($B24,'Egen hetvattenprod'!$B$1:$BX$550,MATCH("Avfall (GWh)",'Egen hetvattenprod'!$B$1:$BX$1,0),FALSE),"")</f>
        <v/>
      </c>
      <c r="BJ24" s="63" t="str">
        <f>IF($BF24="ja",VLOOKUP($B24,'Slutlig allokering kvv'!$B$1:$BX$550,MATCH("Avfall (GWh)",'Slutlig allokering kvv'!$B$1:$BX$1,0),FALSE),"")</f>
        <v/>
      </c>
      <c r="BK24" s="63" t="str">
        <f>IF($BF24="ja",VLOOKUP($B24,'Köpt hetvatten'!$B$1:$BX$550,MATCH("Avfall i köpt hetvatten",'Köpt hetvatten'!$B$1:$BX$1,0),FALSE),"")</f>
        <v/>
      </c>
      <c r="BL24" s="63" t="str">
        <f>IF($BF24="ja",VLOOKUP($B24,'Egen hetvattenprod'!$B$1:$BX$550,MATCH("Värde enligt ovan. (%)",'Egen hetvattenprod'!$B$1:$BX$1,0),FALSE),"")</f>
        <v/>
      </c>
      <c r="BM24" s="63" t="str">
        <f>IF($BF24="ja",VLOOKUP($B24,Kraftvärmeprod!$B$1:$BX$550,MATCH("Värde enligt ovan. (%)",Kraftvärmeprod!$B$1:$BX$1,0),FALSE),"")</f>
        <v/>
      </c>
    </row>
    <row r="25" spans="1:65" x14ac:dyDescent="0.45">
      <c r="A25" s="63" t="s">
        <v>666</v>
      </c>
      <c r="B25" s="63" t="s">
        <v>667</v>
      </c>
      <c r="C25" s="63">
        <f>VLOOKUP($B25,'Tillförd energi'!$B$1:$AI$720,MATCH(C$2,'Tillförd energi'!$B$1:$AQ$1,0),FALSE)</f>
        <v>0</v>
      </c>
      <c r="D25" s="63">
        <f>VLOOKUP($B25,'Tillförd energi'!$B$1:$AI$720,MATCH(D$2,'Tillförd energi'!$B$1:$AQ$1,0),FALSE)</f>
        <v>0.09</v>
      </c>
      <c r="E25" s="63">
        <f>VLOOKUP($B25,'Tillförd energi'!$B$1:$AI$720,MATCH(E$2,'Tillförd energi'!$B$1:$AQ$1,0),FALSE)</f>
        <v>0</v>
      </c>
      <c r="F25" s="63">
        <f>VLOOKUP($B25,'Tillförd energi'!$B$1:$AI$720,MATCH(F$2,'Tillförd energi'!$B$1:$AQ$1,0),FALSE)</f>
        <v>0</v>
      </c>
      <c r="G25" s="63">
        <f>VLOOKUP($B25,'Tillförd energi'!$B$1:$AI$720,MATCH(G$2,'Tillförd energi'!$B$1:$AQ$1,0),FALSE)</f>
        <v>0</v>
      </c>
      <c r="H25" s="63">
        <f>VLOOKUP($B25,'Tillförd energi'!$B$1:$AI$720,MATCH(H$2,'Tillförd energi'!$B$1:$AQ$1,0),FALSE)</f>
        <v>0</v>
      </c>
      <c r="I25" s="63">
        <f>VLOOKUP($B25,'Tillförd energi'!$B$1:$AI$720,MATCH(I$2,'Tillförd energi'!$B$1:$AQ$1,0),FALSE)</f>
        <v>0</v>
      </c>
      <c r="J25" s="63">
        <f>VLOOKUP($B25,'Tillförd energi'!$B$1:$AI$720,MATCH(J$2,'Tillförd energi'!$B$1:$AQ$1,0),FALSE)</f>
        <v>0</v>
      </c>
      <c r="K25" s="63">
        <f>VLOOKUP($B25,'Tillförd energi'!$B$1:$AI$720,MATCH(K$2,'Tillförd energi'!$B$1:$AQ$1,0),FALSE)</f>
        <v>0</v>
      </c>
      <c r="L25" s="63">
        <f>VLOOKUP($B25,'Tillförd energi'!$B$1:$AI$720,MATCH(L$2,'Tillförd energi'!$B$1:$AQ$1,0),FALSE)</f>
        <v>0</v>
      </c>
      <c r="M25" s="63">
        <f>VLOOKUP($B25,'Tillförd energi'!$B$1:$AI$720,MATCH(M$2,'Tillförd energi'!$B$1:$AQ$1,0),FALSE)</f>
        <v>0</v>
      </c>
      <c r="N25" s="63">
        <f>VLOOKUP($B25,'Tillförd energi'!$B$1:$AI$720,MATCH(N$2,'Tillförd energi'!$B$1:$AQ$1,0),FALSE)</f>
        <v>0</v>
      </c>
      <c r="O25" s="63">
        <f>VLOOKUP($B25,'Tillförd energi'!$B$1:$AI$720,MATCH(O$2,'Tillförd energi'!$B$1:$AQ$1,0),FALSE)</f>
        <v>0</v>
      </c>
      <c r="P25" s="63">
        <f>VLOOKUP($B25,'Tillförd energi'!$B$1:$AI$720,MATCH(P$2,'Tillförd energi'!$B$1:$AQ$1,0),FALSE)</f>
        <v>0</v>
      </c>
      <c r="Q25" s="63">
        <f>VLOOKUP($B25,'Tillförd energi'!$B$1:$AI$720,MATCH(Q$2,'Tillförd energi'!$B$1:$AQ$1,0),FALSE)</f>
        <v>0</v>
      </c>
      <c r="R25" s="63">
        <f>VLOOKUP($B25,'Tillförd energi'!$B$1:$AI$720,MATCH(R$2,'Tillförd energi'!$B$1:$AQ$1,0),FALSE)</f>
        <v>4.9489999999999998</v>
      </c>
      <c r="S25" s="63">
        <f>VLOOKUP($B25,'Tillförd energi'!$B$1:$AI$720,MATCH(S$2,'Tillförd energi'!$B$1:$AQ$1,0),FALSE)</f>
        <v>0</v>
      </c>
      <c r="T25" s="63">
        <f>VLOOKUP($B25,'Tillförd energi'!$B$1:$AI$720,MATCH(T$2,'Tillförd energi'!$B$1:$AQ$1,0),FALSE)</f>
        <v>0</v>
      </c>
      <c r="U25" s="63">
        <f>VLOOKUP($B25,'Tillförd energi'!$B$1:$AI$720,MATCH(U$2,'Tillförd energi'!$B$1:$AQ$1,0),FALSE)</f>
        <v>0</v>
      </c>
      <c r="V25" s="63">
        <f>VLOOKUP($B25,'Tillförd energi'!$B$1:$AI$720,MATCH(V$2,'Tillförd energi'!$B$1:$AQ$1,0),FALSE)</f>
        <v>0</v>
      </c>
      <c r="W25" s="63">
        <f>VLOOKUP($B25,'Tillförd energi'!$B$1:$AI$720,MATCH(W$2,'Tillförd energi'!$B$1:$AQ$1,0),FALSE)</f>
        <v>0</v>
      </c>
      <c r="X25" s="63">
        <f>VLOOKUP($B25,'Tillförd energi'!$B$1:$AI$720,MATCH(X$2,'Tillförd energi'!$B$1:$AQ$1,0),FALSE)</f>
        <v>0</v>
      </c>
      <c r="Y25" s="63">
        <f>VLOOKUP($B25,'Tillförd energi'!$B$1:$AI$720,MATCH(Y$2,'Tillförd energi'!$B$1:$AQ$1,0),FALSE)</f>
        <v>0</v>
      </c>
      <c r="Z25" s="63">
        <f>VLOOKUP($B25,'Tillförd energi'!$B$1:$AI$720,MATCH(Z$2,'Tillförd energi'!$B$1:$AQ$1,0),FALSE)</f>
        <v>0</v>
      </c>
      <c r="AA25" s="63">
        <f>VLOOKUP($B25,'Tillförd energi'!$B$1:$AI$720,MATCH(AA$2,'Tillförd energi'!$B$1:$AQ$1,0),FALSE)</f>
        <v>0</v>
      </c>
      <c r="AB25" s="63">
        <f>VLOOKUP($B25,'Tillförd energi'!$B$1:$AI$720,MATCH(AB$2,'Tillförd energi'!$B$1:$AQ$1,0),FALSE)</f>
        <v>0</v>
      </c>
      <c r="AC25" s="63">
        <f>VLOOKUP($B25,'Tillförd energi'!$B$1:$AI$720,MATCH(AC$2,'Tillförd energi'!$B$1:$AQ$1,0),FALSE)</f>
        <v>0</v>
      </c>
      <c r="AD25" s="63">
        <f>VLOOKUP($B25,'Tillförd energi'!$B$1:$AI$720,MATCH(AD$2,'Tillförd energi'!$B$1:$AQ$1,0),FALSE)</f>
        <v>0</v>
      </c>
      <c r="AE25" s="63">
        <f>VLOOKUP($B25,'Tillförd energi'!$B$1:$AI$720,MATCH(AE$2,'Tillförd energi'!$B$1:$AQ$1,0),FALSE)</f>
        <v>0</v>
      </c>
      <c r="AF25" s="63">
        <f>VLOOKUP($B25,'Tillförd energi'!$B$1:$AI$720,MATCH(AF$2,'Tillförd energi'!$B$1:$AQ$1,0),FALSE)</f>
        <v>8.1000000000000003E-2</v>
      </c>
      <c r="AG25" s="63">
        <f>IFERROR(VLOOKUP(B25,Miljö!$B$1:$AC$550,MATCH("Köpt mängd produktionsspecifik fjärrvärme:",Miljö!$B$1:$AC$1,0),FALSE)/1,0)</f>
        <v>0</v>
      </c>
      <c r="AI25" s="63">
        <f t="shared" si="0"/>
        <v>5.12</v>
      </c>
      <c r="AJ25" s="63">
        <f>IF(ISERROR(1/VLOOKUP($B25,Leveranser!$B$1:$S$500,MATCH("såld värme (gwh)",Leveranser!$B$1:$S$1,0),FALSE)),"",VLOOKUP($B25,Leveranser!$B$1:$S$500,MATCH("såld värme (gwh)",Leveranser!$B$1:$S$1,0),FALSE))</f>
        <v>3.53</v>
      </c>
      <c r="AM25" s="63" t="str">
        <f>IF(B25&lt;&gt;"",IF(VLOOKUP($B25,Totalt!$B$1:$AQ$554,MATCH("Kvalitetsgranskad:",Totalt!$B$1:$AQ$1,0),FALSE)="ja",VLOOKUP($B25,Miljö!$B$1:$AG$479,MATCH(AM$2,Miljö!$B$1:$AK$1,0),FALSE),""),"")</f>
        <v>Ja</v>
      </c>
      <c r="AN25" s="63" t="str">
        <f>IF(AM25="ja",VLOOKUP($B25,Miljö!$B$1:$J$479,MATCH("Typ av ursprungsspecificerad el   (Om inget värde anges används Nordisk residualmix, se inforuta) ()",Miljö!$B$1:$J$1,0),FALSE),IF(AM25="nej","Nordisk residualel",""))</f>
        <v>'förnybar el "guarantee of origin"'</v>
      </c>
      <c r="AO25" s="63">
        <f>IF(AM25="","",VLOOKUP($B25,Miljö!$B$1:$J$479,MATCH("Fossilandel för ursprungspecificerad el ()",Miljö!$B$1:$J$1,0),FALSE))</f>
        <v>0</v>
      </c>
      <c r="AQ25" s="63">
        <f t="shared" si="1"/>
        <v>1</v>
      </c>
      <c r="AS25" s="63" t="str">
        <f t="shared" si="2"/>
        <v>Nej</v>
      </c>
      <c r="AT25" s="63" t="str">
        <f>IF(AS25="ja",VLOOKUP($B25,Miljö!$B$1:$P$500,MATCH("Fossil andel i procent (%)",Miljö!$B$1:$P$1,0),FALSE)/100,"")</f>
        <v/>
      </c>
      <c r="AV25" s="63" t="str">
        <f t="shared" si="3"/>
        <v>Nej</v>
      </c>
      <c r="AW25" s="63" t="str">
        <f>IF(AV25="ja",VLOOKUP($B25,'Egen hetvattenprod'!$B$1:$AO$500,MATCH("Värmekälla till värmepumpar ()",'Egen hetvattenprod'!$B$1:$AO$1,0),FALSE),"")</f>
        <v/>
      </c>
      <c r="AY25" s="63" t="str">
        <f t="shared" si="4"/>
        <v>Nej</v>
      </c>
      <c r="AZ25" s="77" t="str">
        <f>IF($AY25="ja",(VLOOKUP($B25,'Egen hetvattenprod'!$B$1:$BX$550,MATCH(AZ$2,'Egen hetvattenprod'!$B$1:$BX$1,0),FALSE)+VLOOKUP($B25,Kraftvärmeprod!$B$1:$BX$550,MATCH(AZ$2,Kraftvärmeprod!$B$1:$BX$1,0),FALSE))/$AC25,"")</f>
        <v/>
      </c>
      <c r="BA25" s="77" t="str">
        <f>IF($AY25="ja",(VLOOKUP($B25,'Egen hetvattenprod'!$B$1:$BX$550,MATCH(BA$2,'Egen hetvattenprod'!$B$1:$BX$1,0),FALSE)+VLOOKUP($B25,Kraftvärmeprod!$B$1:$BX$550,MATCH(BA$2,Kraftvärmeprod!$B$1:$BX$1,0),FALSE))/$AC25,"")</f>
        <v/>
      </c>
      <c r="BB25" s="77" t="str">
        <f>IF($AY25="ja",(VLOOKUP($B25,'Egen hetvattenprod'!$B$1:$BX$550,MATCH(BB$2,'Egen hetvattenprod'!$B$1:$BX$1,0),FALSE)+VLOOKUP($B25,Kraftvärmeprod!$B$1:$BX$550,MATCH(BB$2,Kraftvärmeprod!$B$1:$BX$1,0),FALSE))/$AC25,"")</f>
        <v/>
      </c>
      <c r="BC25" s="77" t="str">
        <f>IF($AY25="ja",(VLOOKUP($B25,'Egen hetvattenprod'!$B$1:$BX$550,MATCH(BC$2,'Egen hetvattenprod'!$B$1:$BX$1,0),FALSE)+VLOOKUP($B25,Kraftvärmeprod!$B$1:$BX$550,MATCH(BC$2,Kraftvärmeprod!$B$1:$BX$1,0),FALSE))/$AC25,"")</f>
        <v/>
      </c>
      <c r="BD25" s="77" t="str">
        <f>IF($AY25="ja",(VLOOKUP($B25,'Egen hetvattenprod'!$B$1:$BX$550,MATCH(BD$2,'Egen hetvattenprod'!$B$1:$BX$1,0),FALSE)+VLOOKUP($B25,Kraftvärmeprod!$B$1:$BX$550,MATCH(BD$2,Kraftvärmeprod!$B$1:$BX$1,0),FALSE))/$AC25,"")</f>
        <v/>
      </c>
      <c r="BF25" s="63" t="str">
        <f t="shared" si="5"/>
        <v>Nej</v>
      </c>
      <c r="BG25" s="63" t="str">
        <f>IF($BF25="ja",VLOOKUP($B25,'Egen hetvattenprod'!$B$1:$BX$550,MATCH("Andelen klimatgaser med fossilt ursprung för avfall ()",'Egen hetvattenprod'!$B$1:$BX$1,0),FALSE),"")</f>
        <v/>
      </c>
      <c r="BH25" s="63" t="str">
        <f>IF($BF25="ja",VLOOKUP($B25,Kraftvärmeprod!$B$1:$BX$550,MATCH("Andelen klimatgaser med fossilt ursprung för avfall ()",Kraftvärmeprod!$B$1:$BX$1,0),FALSE),"")</f>
        <v/>
      </c>
      <c r="BI25" s="63" t="str">
        <f>IF($BF25="ja",VLOOKUP($B25,'Egen hetvattenprod'!$B$1:$BX$550,MATCH("Avfall (GWh)",'Egen hetvattenprod'!$B$1:$BX$1,0),FALSE),"")</f>
        <v/>
      </c>
      <c r="BJ25" s="63" t="str">
        <f>IF($BF25="ja",VLOOKUP($B25,'Slutlig allokering kvv'!$B$1:$BX$550,MATCH("Avfall (GWh)",'Slutlig allokering kvv'!$B$1:$BX$1,0),FALSE),"")</f>
        <v/>
      </c>
      <c r="BK25" s="63" t="str">
        <f>IF($BF25="ja",VLOOKUP($B25,'Köpt hetvatten'!$B$1:$BX$550,MATCH("Avfall i köpt hetvatten",'Köpt hetvatten'!$B$1:$BX$1,0),FALSE),"")</f>
        <v/>
      </c>
      <c r="BL25" s="63" t="str">
        <f>IF($BF25="ja",VLOOKUP($B25,'Egen hetvattenprod'!$B$1:$BX$550,MATCH("Värde enligt ovan. (%)",'Egen hetvattenprod'!$B$1:$BX$1,0),FALSE),"")</f>
        <v/>
      </c>
      <c r="BM25" s="63" t="str">
        <f>IF($BF25="ja",VLOOKUP($B25,Kraftvärmeprod!$B$1:$BX$550,MATCH("Värde enligt ovan. (%)",Kraftvärmeprod!$B$1:$BX$1,0),FALSE),"")</f>
        <v/>
      </c>
    </row>
    <row r="26" spans="1:65" x14ac:dyDescent="0.45">
      <c r="A26" s="63" t="s">
        <v>666</v>
      </c>
      <c r="B26" s="63" t="s">
        <v>670</v>
      </c>
      <c r="C26" s="63">
        <f>VLOOKUP($B26,'Tillförd energi'!$B$1:$AI$720,MATCH(C$2,'Tillförd energi'!$B$1:$AQ$1,0),FALSE)</f>
        <v>0</v>
      </c>
      <c r="D26" s="63">
        <f>VLOOKUP($B26,'Tillförd energi'!$B$1:$AI$720,MATCH(D$2,'Tillförd energi'!$B$1:$AQ$1,0),FALSE)</f>
        <v>1.0999999999999999E-2</v>
      </c>
      <c r="E26" s="63">
        <f>VLOOKUP($B26,'Tillförd energi'!$B$1:$AI$720,MATCH(E$2,'Tillförd energi'!$B$1:$AQ$1,0),FALSE)</f>
        <v>0</v>
      </c>
      <c r="F26" s="63">
        <f>VLOOKUP($B26,'Tillförd energi'!$B$1:$AI$720,MATCH(F$2,'Tillförd energi'!$B$1:$AQ$1,0),FALSE)</f>
        <v>0</v>
      </c>
      <c r="G26" s="63">
        <f>VLOOKUP($B26,'Tillförd energi'!$B$1:$AI$720,MATCH(G$2,'Tillförd energi'!$B$1:$AQ$1,0),FALSE)</f>
        <v>0</v>
      </c>
      <c r="H26" s="63">
        <f>VLOOKUP($B26,'Tillförd energi'!$B$1:$AI$720,MATCH(H$2,'Tillförd energi'!$B$1:$AQ$1,0),FALSE)</f>
        <v>0</v>
      </c>
      <c r="I26" s="63">
        <f>VLOOKUP($B26,'Tillförd energi'!$B$1:$AI$720,MATCH(I$2,'Tillförd energi'!$B$1:$AQ$1,0),FALSE)</f>
        <v>0</v>
      </c>
      <c r="J26" s="63">
        <f>VLOOKUP($B26,'Tillförd energi'!$B$1:$AI$720,MATCH(J$2,'Tillförd energi'!$B$1:$AQ$1,0),FALSE)</f>
        <v>0</v>
      </c>
      <c r="K26" s="63">
        <f>VLOOKUP($B26,'Tillförd energi'!$B$1:$AI$720,MATCH(K$2,'Tillförd energi'!$B$1:$AQ$1,0),FALSE)</f>
        <v>0</v>
      </c>
      <c r="L26" s="63">
        <f>VLOOKUP($B26,'Tillförd energi'!$B$1:$AI$720,MATCH(L$2,'Tillförd energi'!$B$1:$AQ$1,0),FALSE)</f>
        <v>0</v>
      </c>
      <c r="M26" s="63">
        <f>VLOOKUP($B26,'Tillförd energi'!$B$1:$AI$720,MATCH(M$2,'Tillförd energi'!$B$1:$AQ$1,0),FALSE)</f>
        <v>0</v>
      </c>
      <c r="N26" s="63">
        <f>VLOOKUP($B26,'Tillförd energi'!$B$1:$AI$720,MATCH(N$2,'Tillförd energi'!$B$1:$AQ$1,0),FALSE)</f>
        <v>0</v>
      </c>
      <c r="O26" s="63">
        <f>VLOOKUP($B26,'Tillförd energi'!$B$1:$AI$720,MATCH(O$2,'Tillförd energi'!$B$1:$AQ$1,0),FALSE)</f>
        <v>0</v>
      </c>
      <c r="P26" s="63">
        <f>VLOOKUP($B26,'Tillförd energi'!$B$1:$AI$720,MATCH(P$2,'Tillförd energi'!$B$1:$AQ$1,0),FALSE)</f>
        <v>0</v>
      </c>
      <c r="Q26" s="63">
        <f>VLOOKUP($B26,'Tillförd energi'!$B$1:$AI$720,MATCH(Q$2,'Tillförd energi'!$B$1:$AQ$1,0),FALSE)</f>
        <v>0</v>
      </c>
      <c r="R26" s="63">
        <f>VLOOKUP($B26,'Tillförd energi'!$B$1:$AI$720,MATCH(R$2,'Tillförd energi'!$B$1:$AQ$1,0),FALSE)</f>
        <v>0.61599999999999999</v>
      </c>
      <c r="S26" s="63">
        <f>VLOOKUP($B26,'Tillförd energi'!$B$1:$AI$720,MATCH(S$2,'Tillförd energi'!$B$1:$AQ$1,0),FALSE)</f>
        <v>0</v>
      </c>
      <c r="T26" s="63">
        <f>VLOOKUP($B26,'Tillförd energi'!$B$1:$AI$720,MATCH(T$2,'Tillförd energi'!$B$1:$AQ$1,0),FALSE)</f>
        <v>0</v>
      </c>
      <c r="U26" s="63">
        <f>VLOOKUP($B26,'Tillförd energi'!$B$1:$AI$720,MATCH(U$2,'Tillförd energi'!$B$1:$AQ$1,0),FALSE)</f>
        <v>0</v>
      </c>
      <c r="V26" s="63">
        <f>VLOOKUP($B26,'Tillförd energi'!$B$1:$AI$720,MATCH(V$2,'Tillförd energi'!$B$1:$AQ$1,0),FALSE)</f>
        <v>0</v>
      </c>
      <c r="W26" s="63">
        <f>VLOOKUP($B26,'Tillförd energi'!$B$1:$AI$720,MATCH(W$2,'Tillförd energi'!$B$1:$AQ$1,0),FALSE)</f>
        <v>0</v>
      </c>
      <c r="X26" s="63">
        <f>VLOOKUP($B26,'Tillförd energi'!$B$1:$AI$720,MATCH(X$2,'Tillförd energi'!$B$1:$AQ$1,0),FALSE)</f>
        <v>0</v>
      </c>
      <c r="Y26" s="63">
        <f>VLOOKUP($B26,'Tillförd energi'!$B$1:$AI$720,MATCH(Y$2,'Tillförd energi'!$B$1:$AQ$1,0),FALSE)</f>
        <v>0</v>
      </c>
      <c r="Z26" s="63">
        <f>VLOOKUP($B26,'Tillförd energi'!$B$1:$AI$720,MATCH(Z$2,'Tillförd energi'!$B$1:$AQ$1,0),FALSE)</f>
        <v>0</v>
      </c>
      <c r="AA26" s="63">
        <f>VLOOKUP($B26,'Tillförd energi'!$B$1:$AI$720,MATCH(AA$2,'Tillförd energi'!$B$1:$AQ$1,0),FALSE)</f>
        <v>0</v>
      </c>
      <c r="AB26" s="63">
        <f>VLOOKUP($B26,'Tillförd energi'!$B$1:$AI$720,MATCH(AB$2,'Tillförd energi'!$B$1:$AQ$1,0),FALSE)</f>
        <v>0</v>
      </c>
      <c r="AC26" s="63">
        <f>VLOOKUP($B26,'Tillförd energi'!$B$1:$AI$720,MATCH(AC$2,'Tillförd energi'!$B$1:$AQ$1,0),FALSE)</f>
        <v>0</v>
      </c>
      <c r="AD26" s="63">
        <f>VLOOKUP($B26,'Tillförd energi'!$B$1:$AI$720,MATCH(AD$2,'Tillförd energi'!$B$1:$AQ$1,0),FALSE)</f>
        <v>0</v>
      </c>
      <c r="AE26" s="63">
        <f>VLOOKUP($B26,'Tillförd energi'!$B$1:$AI$720,MATCH(AE$2,'Tillförd energi'!$B$1:$AQ$1,0),FALSE)</f>
        <v>0</v>
      </c>
      <c r="AF26" s="63">
        <f>VLOOKUP($B26,'Tillförd energi'!$B$1:$AI$720,MATCH(AF$2,'Tillförd energi'!$B$1:$AQ$1,0),FALSE)</f>
        <v>1.2E-2</v>
      </c>
      <c r="AG26" s="63">
        <f>IFERROR(VLOOKUP(B26,Miljö!$B$1:$AC$550,MATCH("Köpt mängd produktionsspecifik fjärrvärme:",Miljö!$B$1:$AC$1,0),FALSE)/1,0)</f>
        <v>0</v>
      </c>
      <c r="AI26" s="63">
        <f t="shared" si="0"/>
        <v>0.63900000000000001</v>
      </c>
      <c r="AJ26" s="63">
        <f>IF(ISERROR(1/VLOOKUP($B26,Leveranser!$B$1:$S$500,MATCH("såld värme (gwh)",Leveranser!$B$1:$S$1,0),FALSE)),"",VLOOKUP($B26,Leveranser!$B$1:$S$500,MATCH("såld värme (gwh)",Leveranser!$B$1:$S$1,0),FALSE))</f>
        <v>0.39</v>
      </c>
      <c r="AM26" s="63" t="str">
        <f>IF(B26&lt;&gt;"",IF(VLOOKUP($B26,Totalt!$B$1:$AQ$554,MATCH("Kvalitetsgranskad:",Totalt!$B$1:$AQ$1,0),FALSE)="ja",VLOOKUP($B26,Miljö!$B$1:$AG$479,MATCH(AM$2,Miljö!$B$1:$AK$1,0),FALSE),""),"")</f>
        <v>Ja</v>
      </c>
      <c r="AN26" s="63" t="str">
        <f>IF(AM26="ja",VLOOKUP($B26,Miljö!$B$1:$J$479,MATCH("Typ av ursprungsspecificerad el   (Om inget värde anges används Nordisk residualmix, se inforuta) ()",Miljö!$B$1:$J$1,0),FALSE),IF(AM26="nej","Nordisk residualel",""))</f>
        <v>'Förnybar el "guarantee of origin"'</v>
      </c>
      <c r="AO26" s="63">
        <f>IF(AM26="","",VLOOKUP($B26,Miljö!$B$1:$J$479,MATCH("Fossilandel för ursprungspecificerad el ()",Miljö!$B$1:$J$1,0),FALSE))</f>
        <v>0</v>
      </c>
      <c r="AQ26" s="63">
        <f t="shared" si="1"/>
        <v>1</v>
      </c>
      <c r="AS26" s="63" t="str">
        <f t="shared" si="2"/>
        <v>Nej</v>
      </c>
      <c r="AT26" s="63" t="str">
        <f>IF(AS26="ja",VLOOKUP($B26,Miljö!$B$1:$P$500,MATCH("Fossil andel i procent (%)",Miljö!$B$1:$P$1,0),FALSE)/100,"")</f>
        <v/>
      </c>
      <c r="AV26" s="63" t="str">
        <f t="shared" si="3"/>
        <v>Nej</v>
      </c>
      <c r="AW26" s="63" t="str">
        <f>IF(AV26="ja",VLOOKUP($B26,'Egen hetvattenprod'!$B$1:$AO$500,MATCH("Värmekälla till värmepumpar ()",'Egen hetvattenprod'!$B$1:$AO$1,0),FALSE),"")</f>
        <v/>
      </c>
      <c r="AY26" s="63" t="str">
        <f t="shared" si="4"/>
        <v>Nej</v>
      </c>
      <c r="AZ26" s="77" t="str">
        <f>IF($AY26="ja",(VLOOKUP($B26,'Egen hetvattenprod'!$B$1:$BX$550,MATCH(AZ$2,'Egen hetvattenprod'!$B$1:$BX$1,0),FALSE)+VLOOKUP($B26,Kraftvärmeprod!$B$1:$BX$550,MATCH(AZ$2,Kraftvärmeprod!$B$1:$BX$1,0),FALSE))/$AC26,"")</f>
        <v/>
      </c>
      <c r="BA26" s="77" t="str">
        <f>IF($AY26="ja",(VLOOKUP($B26,'Egen hetvattenprod'!$B$1:$BX$550,MATCH(BA$2,'Egen hetvattenprod'!$B$1:$BX$1,0),FALSE)+VLOOKUP($B26,Kraftvärmeprod!$B$1:$BX$550,MATCH(BA$2,Kraftvärmeprod!$B$1:$BX$1,0),FALSE))/$AC26,"")</f>
        <v/>
      </c>
      <c r="BB26" s="77" t="str">
        <f>IF($AY26="ja",(VLOOKUP($B26,'Egen hetvattenprod'!$B$1:$BX$550,MATCH(BB$2,'Egen hetvattenprod'!$B$1:$BX$1,0),FALSE)+VLOOKUP($B26,Kraftvärmeprod!$B$1:$BX$550,MATCH(BB$2,Kraftvärmeprod!$B$1:$BX$1,0),FALSE))/$AC26,"")</f>
        <v/>
      </c>
      <c r="BC26" s="77" t="str">
        <f>IF($AY26="ja",(VLOOKUP($B26,'Egen hetvattenprod'!$B$1:$BX$550,MATCH(BC$2,'Egen hetvattenprod'!$B$1:$BX$1,0),FALSE)+VLOOKUP($B26,Kraftvärmeprod!$B$1:$BX$550,MATCH(BC$2,Kraftvärmeprod!$B$1:$BX$1,0),FALSE))/$AC26,"")</f>
        <v/>
      </c>
      <c r="BD26" s="77" t="str">
        <f>IF($AY26="ja",(VLOOKUP($B26,'Egen hetvattenprod'!$B$1:$BX$550,MATCH(BD$2,'Egen hetvattenprod'!$B$1:$BX$1,0),FALSE)+VLOOKUP($B26,Kraftvärmeprod!$B$1:$BX$550,MATCH(BD$2,Kraftvärmeprod!$B$1:$BX$1,0),FALSE))/$AC26,"")</f>
        <v/>
      </c>
      <c r="BF26" s="63" t="str">
        <f t="shared" si="5"/>
        <v>Nej</v>
      </c>
      <c r="BG26" s="63" t="str">
        <f>IF($BF26="ja",VLOOKUP($B26,'Egen hetvattenprod'!$B$1:$BX$550,MATCH("Andelen klimatgaser med fossilt ursprung för avfall ()",'Egen hetvattenprod'!$B$1:$BX$1,0),FALSE),"")</f>
        <v/>
      </c>
      <c r="BH26" s="63" t="str">
        <f>IF($BF26="ja",VLOOKUP($B26,Kraftvärmeprod!$B$1:$BX$550,MATCH("Andelen klimatgaser med fossilt ursprung för avfall ()",Kraftvärmeprod!$B$1:$BX$1,0),FALSE),"")</f>
        <v/>
      </c>
      <c r="BI26" s="63" t="str">
        <f>IF($BF26="ja",VLOOKUP($B26,'Egen hetvattenprod'!$B$1:$BX$550,MATCH("Avfall (GWh)",'Egen hetvattenprod'!$B$1:$BX$1,0),FALSE),"")</f>
        <v/>
      </c>
      <c r="BJ26" s="63" t="str">
        <f>IF($BF26="ja",VLOOKUP($B26,'Slutlig allokering kvv'!$B$1:$BX$550,MATCH("Avfall (GWh)",'Slutlig allokering kvv'!$B$1:$BX$1,0),FALSE),"")</f>
        <v/>
      </c>
      <c r="BK26" s="63" t="str">
        <f>IF($BF26="ja",VLOOKUP($B26,'Köpt hetvatten'!$B$1:$BX$550,MATCH("Avfall i köpt hetvatten",'Köpt hetvatten'!$B$1:$BX$1,0),FALSE),"")</f>
        <v/>
      </c>
      <c r="BL26" s="63" t="str">
        <f>IF($BF26="ja",VLOOKUP($B26,'Egen hetvattenprod'!$B$1:$BX$550,MATCH("Värde enligt ovan. (%)",'Egen hetvattenprod'!$B$1:$BX$1,0),FALSE),"")</f>
        <v/>
      </c>
      <c r="BM26" s="63" t="str">
        <f>IF($BF26="ja",VLOOKUP($B26,Kraftvärmeprod!$B$1:$BX$550,MATCH("Värde enligt ovan. (%)",Kraftvärmeprod!$B$1:$BX$1,0),FALSE),"")</f>
        <v/>
      </c>
    </row>
    <row r="27" spans="1:65" x14ac:dyDescent="0.45">
      <c r="A27" s="63" t="s">
        <v>664</v>
      </c>
      <c r="B27" s="63" t="s">
        <v>663</v>
      </c>
      <c r="C27" s="63">
        <f>VLOOKUP($B27,'Tillförd energi'!$B$1:$AI$720,MATCH(C$2,'Tillförd energi'!$B$1:$AQ$1,0),FALSE)</f>
        <v>0</v>
      </c>
      <c r="D27" s="63">
        <f>VLOOKUP($B27,'Tillförd energi'!$B$1:$AI$720,MATCH(D$2,'Tillförd energi'!$B$1:$AQ$1,0),FALSE)</f>
        <v>1.2E-2</v>
      </c>
      <c r="E27" s="63">
        <f>VLOOKUP($B27,'Tillförd energi'!$B$1:$AI$720,MATCH(E$2,'Tillförd energi'!$B$1:$AQ$1,0),FALSE)</f>
        <v>0</v>
      </c>
      <c r="F27" s="63">
        <f>VLOOKUP($B27,'Tillförd energi'!$B$1:$AI$720,MATCH(F$2,'Tillförd energi'!$B$1:$AQ$1,0),FALSE)</f>
        <v>0</v>
      </c>
      <c r="G27" s="63">
        <f>VLOOKUP($B27,'Tillförd energi'!$B$1:$AI$720,MATCH(G$2,'Tillförd energi'!$B$1:$AQ$1,0),FALSE)</f>
        <v>0</v>
      </c>
      <c r="H27" s="63">
        <f>VLOOKUP($B27,'Tillförd energi'!$B$1:$AI$720,MATCH(H$2,'Tillförd energi'!$B$1:$AQ$1,0),FALSE)</f>
        <v>0</v>
      </c>
      <c r="I27" s="63">
        <f>VLOOKUP($B27,'Tillförd energi'!$B$1:$AI$720,MATCH(I$2,'Tillförd energi'!$B$1:$AQ$1,0),FALSE)</f>
        <v>0</v>
      </c>
      <c r="J27" s="63">
        <f>VLOOKUP($B27,'Tillförd energi'!$B$1:$AI$720,MATCH(J$2,'Tillförd energi'!$B$1:$AQ$1,0),FALSE)</f>
        <v>1.23</v>
      </c>
      <c r="K27" s="63">
        <f>VLOOKUP($B27,'Tillförd energi'!$B$1:$AI$720,MATCH(K$2,'Tillförd energi'!$B$1:$AQ$1,0),FALSE)</f>
        <v>0</v>
      </c>
      <c r="L27" s="63">
        <f>VLOOKUP($B27,'Tillförd energi'!$B$1:$AI$720,MATCH(L$2,'Tillförd energi'!$B$1:$AQ$1,0),FALSE)</f>
        <v>0</v>
      </c>
      <c r="M27" s="63">
        <f>VLOOKUP($B27,'Tillförd energi'!$B$1:$AI$720,MATCH(M$2,'Tillförd energi'!$B$1:$AQ$1,0),FALSE)</f>
        <v>0</v>
      </c>
      <c r="N27" s="63">
        <f>VLOOKUP($B27,'Tillförd energi'!$B$1:$AI$720,MATCH(N$2,'Tillförd energi'!$B$1:$AQ$1,0),FALSE)</f>
        <v>0</v>
      </c>
      <c r="O27" s="63">
        <f>VLOOKUP($B27,'Tillförd energi'!$B$1:$AI$720,MATCH(O$2,'Tillförd energi'!$B$1:$AQ$1,0),FALSE)</f>
        <v>0</v>
      </c>
      <c r="P27" s="63">
        <f>VLOOKUP($B27,'Tillförd energi'!$B$1:$AI$720,MATCH(P$2,'Tillförd energi'!$B$1:$AQ$1,0),FALSE)</f>
        <v>0</v>
      </c>
      <c r="Q27" s="63">
        <f>VLOOKUP($B27,'Tillförd energi'!$B$1:$AI$720,MATCH(Q$2,'Tillförd energi'!$B$1:$AQ$1,0),FALSE)</f>
        <v>120</v>
      </c>
      <c r="R27" s="63">
        <f>VLOOKUP($B27,'Tillförd energi'!$B$1:$AI$720,MATCH(R$2,'Tillförd energi'!$B$1:$AQ$1,0),FALSE)</f>
        <v>0</v>
      </c>
      <c r="S27" s="63">
        <f>VLOOKUP($B27,'Tillförd energi'!$B$1:$AI$720,MATCH(S$2,'Tillförd energi'!$B$1:$AQ$1,0),FALSE)</f>
        <v>0</v>
      </c>
      <c r="T27" s="63">
        <f>VLOOKUP($B27,'Tillförd energi'!$B$1:$AI$720,MATCH(T$2,'Tillförd energi'!$B$1:$AQ$1,0),FALSE)</f>
        <v>0</v>
      </c>
      <c r="U27" s="63">
        <f>VLOOKUP($B27,'Tillförd energi'!$B$1:$AI$720,MATCH(U$2,'Tillförd energi'!$B$1:$AQ$1,0),FALSE)</f>
        <v>0</v>
      </c>
      <c r="V27" s="63">
        <f>VLOOKUP($B27,'Tillförd energi'!$B$1:$AI$720,MATCH(V$2,'Tillförd energi'!$B$1:$AQ$1,0),FALSE)</f>
        <v>0</v>
      </c>
      <c r="W27" s="63">
        <f>VLOOKUP($B27,'Tillförd energi'!$B$1:$AI$720,MATCH(W$2,'Tillförd energi'!$B$1:$AQ$1,0),FALSE)</f>
        <v>8.0000000000000002E-3</v>
      </c>
      <c r="X27" s="63">
        <f>VLOOKUP($B27,'Tillförd energi'!$B$1:$AI$720,MATCH(X$2,'Tillförd energi'!$B$1:$AQ$1,0),FALSE)</f>
        <v>0</v>
      </c>
      <c r="Y27" s="63">
        <f>VLOOKUP($B27,'Tillförd energi'!$B$1:$AI$720,MATCH(Y$2,'Tillförd energi'!$B$1:$AQ$1,0),FALSE)</f>
        <v>0</v>
      </c>
      <c r="Z27" s="63">
        <f>VLOOKUP($B27,'Tillförd energi'!$B$1:$AI$720,MATCH(Z$2,'Tillförd energi'!$B$1:$AQ$1,0),FALSE)</f>
        <v>0</v>
      </c>
      <c r="AA27" s="63">
        <f>VLOOKUP($B27,'Tillförd energi'!$B$1:$AI$720,MATCH(AA$2,'Tillförd energi'!$B$1:$AQ$1,0),FALSE)</f>
        <v>0</v>
      </c>
      <c r="AB27" s="63">
        <f>VLOOKUP($B27,'Tillförd energi'!$B$1:$AI$720,MATCH(AB$2,'Tillförd energi'!$B$1:$AQ$1,0),FALSE)</f>
        <v>0</v>
      </c>
      <c r="AC27" s="63">
        <f>VLOOKUP($B27,'Tillförd energi'!$B$1:$AI$720,MATCH(AC$2,'Tillförd energi'!$B$1:$AQ$1,0),FALSE)</f>
        <v>30.314</v>
      </c>
      <c r="AD27" s="63">
        <f>VLOOKUP($B27,'Tillförd energi'!$B$1:$AI$720,MATCH(AD$2,'Tillförd energi'!$B$1:$AQ$1,0),FALSE)</f>
        <v>0</v>
      </c>
      <c r="AE27" s="63">
        <f>VLOOKUP($B27,'Tillförd energi'!$B$1:$AI$720,MATCH(AE$2,'Tillförd energi'!$B$1:$AQ$1,0),FALSE)</f>
        <v>0</v>
      </c>
      <c r="AF27" s="63">
        <f>VLOOKUP($B27,'Tillförd energi'!$B$1:$AI$720,MATCH(AF$2,'Tillförd energi'!$B$1:$AQ$1,0),FALSE)</f>
        <v>2.8</v>
      </c>
      <c r="AG27" s="63">
        <f>IFERROR(VLOOKUP(B27,Miljö!$B$1:$AC$550,MATCH("Köpt mängd produktionsspecifik fjärrvärme:",Miljö!$B$1:$AC$1,0),FALSE)/1,0)</f>
        <v>0</v>
      </c>
      <c r="AI27" s="63">
        <f t="shared" si="0"/>
        <v>154.364</v>
      </c>
      <c r="AJ27" s="63">
        <f>IF(ISERROR(1/VLOOKUP($B27,Leveranser!$B$1:$S$500,MATCH("såld värme (gwh)",Leveranser!$B$1:$S$1,0),FALSE)),"",VLOOKUP($B27,Leveranser!$B$1:$S$500,MATCH("såld värme (gwh)",Leveranser!$B$1:$S$1,0),FALSE))</f>
        <v>119.2</v>
      </c>
      <c r="AM27" s="63" t="str">
        <f>IF(B27&lt;&gt;"",IF(VLOOKUP($B27,Totalt!$B$1:$AQ$554,MATCH("Kvalitetsgranskad:",Totalt!$B$1:$AQ$1,0),FALSE)="ja",VLOOKUP($B27,Miljö!$B$1:$AG$479,MATCH(AM$2,Miljö!$B$1:$AK$1,0),FALSE),""),"")</f>
        <v>Ja</v>
      </c>
      <c r="AN27" s="63" t="str">
        <f>IF(AM27="ja",VLOOKUP($B27,Miljö!$B$1:$J$479,MATCH("Typ av ursprungsspecificerad el   (Om inget värde anges används Nordisk residualmix, se inforuta) ()",Miljö!$B$1:$J$1,0),FALSE),IF(AM27="nej","Nordisk residualel",""))</f>
        <v>'79.6% Vind. 20.3 % vattenkraft. 0.1% sol'</v>
      </c>
      <c r="AO27" s="63">
        <f>IF(AM27="","",VLOOKUP($B27,Miljö!$B$1:$J$479,MATCH("Fossilandel för ursprungspecificerad el ()",Miljö!$B$1:$J$1,0),FALSE))</f>
        <v>0</v>
      </c>
      <c r="AQ27" s="63">
        <f t="shared" si="1"/>
        <v>1</v>
      </c>
      <c r="AS27" s="63" t="str">
        <f t="shared" si="2"/>
        <v>Nej</v>
      </c>
      <c r="AT27" s="63" t="str">
        <f>IF(AS27="ja",VLOOKUP($B27,Miljö!$B$1:$P$500,MATCH("Fossil andel i procent (%)",Miljö!$B$1:$P$1,0),FALSE)/100,"")</f>
        <v/>
      </c>
      <c r="AV27" s="63" t="str">
        <f t="shared" si="3"/>
        <v>Nej</v>
      </c>
      <c r="AW27" s="63" t="str">
        <f>IF(AV27="ja",VLOOKUP($B27,'Egen hetvattenprod'!$B$1:$AO$500,MATCH("Värmekälla till värmepumpar ()",'Egen hetvattenprod'!$B$1:$AO$1,0),FALSE),"")</f>
        <v/>
      </c>
      <c r="AY27" s="63" t="str">
        <f t="shared" si="4"/>
        <v>Ja</v>
      </c>
      <c r="AZ27" s="77">
        <f>IF($AY27="ja",(VLOOKUP($B27,'Egen hetvattenprod'!$B$1:$BX$550,MATCH(AZ$2,'Egen hetvattenprod'!$B$1:$BX$1,0),FALSE)+VLOOKUP($B27,Kraftvärmeprod!$B$1:$BX$550,MATCH(AZ$2,Kraftvärmeprod!$B$1:$BX$1,0),FALSE))/$AC27,"")</f>
        <v>1</v>
      </c>
      <c r="BA27" s="77">
        <f>IF($AY27="ja",(VLOOKUP($B27,'Egen hetvattenprod'!$B$1:$BX$550,MATCH(BA$2,'Egen hetvattenprod'!$B$1:$BX$1,0),FALSE)+VLOOKUP($B27,Kraftvärmeprod!$B$1:$BX$550,MATCH(BA$2,Kraftvärmeprod!$B$1:$BX$1,0),FALSE))/$AC27,"")</f>
        <v>0</v>
      </c>
      <c r="BB27" s="77">
        <f>IF($AY27="ja",(VLOOKUP($B27,'Egen hetvattenprod'!$B$1:$BX$550,MATCH(BB$2,'Egen hetvattenprod'!$B$1:$BX$1,0),FALSE)+VLOOKUP($B27,Kraftvärmeprod!$B$1:$BX$550,MATCH(BB$2,Kraftvärmeprod!$B$1:$BX$1,0),FALSE))/$AC27,"")</f>
        <v>0</v>
      </c>
      <c r="BC27" s="77">
        <f>IF($AY27="ja",(VLOOKUP($B27,'Egen hetvattenprod'!$B$1:$BX$550,MATCH(BC$2,'Egen hetvattenprod'!$B$1:$BX$1,0),FALSE)+VLOOKUP($B27,Kraftvärmeprod!$B$1:$BX$550,MATCH(BC$2,Kraftvärmeprod!$B$1:$BX$1,0),FALSE))/$AC27,"")</f>
        <v>0</v>
      </c>
      <c r="BD27" s="77">
        <f>IF($AY27="ja",(VLOOKUP($B27,'Egen hetvattenprod'!$B$1:$BX$550,MATCH(BD$2,'Egen hetvattenprod'!$B$1:$BX$1,0),FALSE)+VLOOKUP($B27,Kraftvärmeprod!$B$1:$BX$550,MATCH(BD$2,Kraftvärmeprod!$B$1:$BX$1,0),FALSE))/$AC27,"")</f>
        <v>0</v>
      </c>
      <c r="BF27" s="63" t="str">
        <f t="shared" si="5"/>
        <v>Nej</v>
      </c>
      <c r="BG27" s="63" t="str">
        <f>IF($BF27="ja",VLOOKUP($B27,'Egen hetvattenprod'!$B$1:$BX$550,MATCH("Andelen klimatgaser med fossilt ursprung för avfall ()",'Egen hetvattenprod'!$B$1:$BX$1,0),FALSE),"")</f>
        <v/>
      </c>
      <c r="BH27" s="63" t="str">
        <f>IF($BF27="ja",VLOOKUP($B27,Kraftvärmeprod!$B$1:$BX$550,MATCH("Andelen klimatgaser med fossilt ursprung för avfall ()",Kraftvärmeprod!$B$1:$BX$1,0),FALSE),"")</f>
        <v/>
      </c>
      <c r="BI27" s="63" t="str">
        <f>IF($BF27="ja",VLOOKUP($B27,'Egen hetvattenprod'!$B$1:$BX$550,MATCH("Avfall (GWh)",'Egen hetvattenprod'!$B$1:$BX$1,0),FALSE),"")</f>
        <v/>
      </c>
      <c r="BJ27" s="63" t="str">
        <f>IF($BF27="ja",VLOOKUP($B27,'Slutlig allokering kvv'!$B$1:$BX$550,MATCH("Avfall (GWh)",'Slutlig allokering kvv'!$B$1:$BX$1,0),FALSE),"")</f>
        <v/>
      </c>
      <c r="BK27" s="63" t="str">
        <f>IF($BF27="ja",VLOOKUP($B27,'Köpt hetvatten'!$B$1:$BX$550,MATCH("Avfall i köpt hetvatten",'Köpt hetvatten'!$B$1:$BX$1,0),FALSE),"")</f>
        <v/>
      </c>
      <c r="BL27" s="63" t="str">
        <f>IF($BF27="ja",VLOOKUP($B27,'Egen hetvattenprod'!$B$1:$BX$550,MATCH("Värde enligt ovan. (%)",'Egen hetvattenprod'!$B$1:$BX$1,0),FALSE),"")</f>
        <v/>
      </c>
      <c r="BM27" s="63" t="str">
        <f>IF($BF27="ja",VLOOKUP($B27,Kraftvärmeprod!$B$1:$BX$550,MATCH("Värde enligt ovan. (%)",Kraftvärmeprod!$B$1:$BX$1,0),FALSE),"")</f>
        <v/>
      </c>
    </row>
    <row r="28" spans="1:65" x14ac:dyDescent="0.45">
      <c r="A28" s="63" t="s">
        <v>660</v>
      </c>
      <c r="B28" s="63" t="s">
        <v>662</v>
      </c>
      <c r="C28" s="63">
        <f>VLOOKUP($B28,'Tillförd energi'!$B$1:$AI$720,MATCH(C$2,'Tillförd energi'!$B$1:$AQ$1,0),FALSE)</f>
        <v>0</v>
      </c>
      <c r="D28" s="63">
        <f>VLOOKUP($B28,'Tillförd energi'!$B$1:$AI$720,MATCH(D$2,'Tillförd energi'!$B$1:$AQ$1,0),FALSE)</f>
        <v>0</v>
      </c>
      <c r="E28" s="63">
        <f>VLOOKUP($B28,'Tillförd energi'!$B$1:$AI$720,MATCH(E$2,'Tillförd energi'!$B$1:$AQ$1,0),FALSE)</f>
        <v>0</v>
      </c>
      <c r="F28" s="63">
        <f>VLOOKUP($B28,'Tillförd energi'!$B$1:$AI$720,MATCH(F$2,'Tillförd energi'!$B$1:$AQ$1,0),FALSE)</f>
        <v>0</v>
      </c>
      <c r="G28" s="63">
        <f>VLOOKUP($B28,'Tillförd energi'!$B$1:$AI$720,MATCH(G$2,'Tillförd energi'!$B$1:$AQ$1,0),FALSE)</f>
        <v>0</v>
      </c>
      <c r="H28" s="63">
        <f>VLOOKUP($B28,'Tillförd energi'!$B$1:$AI$720,MATCH(H$2,'Tillförd energi'!$B$1:$AQ$1,0),FALSE)</f>
        <v>0</v>
      </c>
      <c r="I28" s="63">
        <f>VLOOKUP($B28,'Tillförd energi'!$B$1:$AI$720,MATCH(I$2,'Tillförd energi'!$B$1:$AQ$1,0),FALSE)</f>
        <v>0</v>
      </c>
      <c r="J28" s="63">
        <f>VLOOKUP($B28,'Tillförd energi'!$B$1:$AI$720,MATCH(J$2,'Tillförd energi'!$B$1:$AQ$1,0),FALSE)</f>
        <v>0</v>
      </c>
      <c r="K28" s="63">
        <f>VLOOKUP($B28,'Tillförd energi'!$B$1:$AI$720,MATCH(K$2,'Tillförd energi'!$B$1:$AQ$1,0),FALSE)</f>
        <v>0</v>
      </c>
      <c r="L28" s="63">
        <f>VLOOKUP($B28,'Tillförd energi'!$B$1:$AI$720,MATCH(L$2,'Tillförd energi'!$B$1:$AQ$1,0),FALSE)</f>
        <v>0</v>
      </c>
      <c r="M28" s="63">
        <f>VLOOKUP($B28,'Tillförd energi'!$B$1:$AI$720,MATCH(M$2,'Tillförd energi'!$B$1:$AQ$1,0),FALSE)</f>
        <v>0</v>
      </c>
      <c r="N28" s="63">
        <f>VLOOKUP($B28,'Tillförd energi'!$B$1:$AI$720,MATCH(N$2,'Tillförd energi'!$B$1:$AQ$1,0),FALSE)</f>
        <v>0</v>
      </c>
      <c r="O28" s="63">
        <f>VLOOKUP($B28,'Tillförd energi'!$B$1:$AI$720,MATCH(O$2,'Tillförd energi'!$B$1:$AQ$1,0),FALSE)</f>
        <v>0</v>
      </c>
      <c r="P28" s="63">
        <f>VLOOKUP($B28,'Tillförd energi'!$B$1:$AI$720,MATCH(P$2,'Tillförd energi'!$B$1:$AQ$1,0),FALSE)</f>
        <v>0</v>
      </c>
      <c r="Q28" s="63">
        <f>VLOOKUP($B28,'Tillförd energi'!$B$1:$AI$720,MATCH(Q$2,'Tillförd energi'!$B$1:$AQ$1,0),FALSE)</f>
        <v>79</v>
      </c>
      <c r="R28" s="63">
        <f>VLOOKUP($B28,'Tillförd energi'!$B$1:$AI$720,MATCH(R$2,'Tillförd energi'!$B$1:$AQ$1,0),FALSE)</f>
        <v>0</v>
      </c>
      <c r="S28" s="63">
        <f>VLOOKUP($B28,'Tillförd energi'!$B$1:$AI$720,MATCH(S$2,'Tillförd energi'!$B$1:$AQ$1,0),FALSE)</f>
        <v>0</v>
      </c>
      <c r="T28" s="63">
        <f>VLOOKUP($B28,'Tillförd energi'!$B$1:$AI$720,MATCH(T$2,'Tillförd energi'!$B$1:$AQ$1,0),FALSE)</f>
        <v>0</v>
      </c>
      <c r="U28" s="63">
        <f>VLOOKUP($B28,'Tillförd energi'!$B$1:$AI$720,MATCH(U$2,'Tillförd energi'!$B$1:$AQ$1,0),FALSE)</f>
        <v>0</v>
      </c>
      <c r="V28" s="63">
        <f>VLOOKUP($B28,'Tillförd energi'!$B$1:$AI$720,MATCH(V$2,'Tillförd energi'!$B$1:$AQ$1,0),FALSE)</f>
        <v>0</v>
      </c>
      <c r="W28" s="63">
        <f>VLOOKUP($B28,'Tillförd energi'!$B$1:$AI$720,MATCH(W$2,'Tillförd energi'!$B$1:$AQ$1,0),FALSE)</f>
        <v>0</v>
      </c>
      <c r="X28" s="63">
        <f>VLOOKUP($B28,'Tillförd energi'!$B$1:$AI$720,MATCH(X$2,'Tillförd energi'!$B$1:$AQ$1,0),FALSE)</f>
        <v>0</v>
      </c>
      <c r="Y28" s="63">
        <f>VLOOKUP($B28,'Tillförd energi'!$B$1:$AI$720,MATCH(Y$2,'Tillförd energi'!$B$1:$AQ$1,0),FALSE)</f>
        <v>0</v>
      </c>
      <c r="Z28" s="63">
        <f>VLOOKUP($B28,'Tillförd energi'!$B$1:$AI$720,MATCH(Z$2,'Tillförd energi'!$B$1:$AQ$1,0),FALSE)</f>
        <v>0</v>
      </c>
      <c r="AA28" s="63">
        <f>VLOOKUP($B28,'Tillförd energi'!$B$1:$AI$720,MATCH(AA$2,'Tillförd energi'!$B$1:$AQ$1,0),FALSE)</f>
        <v>0</v>
      </c>
      <c r="AB28" s="63">
        <f>VLOOKUP($B28,'Tillförd energi'!$B$1:$AI$720,MATCH(AB$2,'Tillförd energi'!$B$1:$AQ$1,0),FALSE)</f>
        <v>0</v>
      </c>
      <c r="AC28" s="63">
        <f>VLOOKUP($B28,'Tillförd energi'!$B$1:$AI$720,MATCH(AC$2,'Tillförd energi'!$B$1:$AQ$1,0),FALSE)</f>
        <v>0</v>
      </c>
      <c r="AD28" s="63">
        <f>VLOOKUP($B28,'Tillförd energi'!$B$1:$AI$720,MATCH(AD$2,'Tillförd energi'!$B$1:$AQ$1,0),FALSE)</f>
        <v>0</v>
      </c>
      <c r="AE28" s="63">
        <f>VLOOKUP($B28,'Tillförd energi'!$B$1:$AI$720,MATCH(AE$2,'Tillförd energi'!$B$1:$AQ$1,0),FALSE)</f>
        <v>0</v>
      </c>
      <c r="AF28" s="63">
        <f>VLOOKUP($B28,'Tillförd energi'!$B$1:$AI$720,MATCH(AF$2,'Tillförd energi'!$B$1:$AQ$1,0),FALSE)</f>
        <v>1.6413</v>
      </c>
      <c r="AG28" s="63">
        <f>IFERROR(VLOOKUP(B28,Miljö!$B$1:$AC$550,MATCH("Köpt mängd produktionsspecifik fjärrvärme:",Miljö!$B$1:$AC$1,0),FALSE)/1,0)</f>
        <v>0</v>
      </c>
      <c r="AI28" s="63">
        <f t="shared" si="0"/>
        <v>80.641300000000001</v>
      </c>
      <c r="AJ28" s="63">
        <f>IF(ISERROR(1/VLOOKUP($B28,Leveranser!$B$1:$S$500,MATCH("såld värme (gwh)",Leveranser!$B$1:$S$1,0),FALSE)),"",VLOOKUP($B28,Leveranser!$B$1:$S$500,MATCH("såld värme (gwh)",Leveranser!$B$1:$S$1,0),FALSE))</f>
        <v>54.71</v>
      </c>
      <c r="AM28" s="63" t="str">
        <f>IF(B28&lt;&gt;"",IF(VLOOKUP($B28,Totalt!$B$1:$AQ$554,MATCH("Kvalitetsgranskad:",Totalt!$B$1:$AQ$1,0),FALSE)="ja",VLOOKUP($B28,Miljö!$B$1:$AG$479,MATCH(AM$2,Miljö!$B$1:$AK$1,0),FALSE),""),"")</f>
        <v>Ja</v>
      </c>
      <c r="AN28" s="63" t="str">
        <f>IF(AM28="ja",VLOOKUP($B28,Miljö!$B$1:$J$479,MATCH("Typ av ursprungsspecificerad el   (Om inget värde anges används Nordisk residualmix, se inforuta) ()",Miljö!$B$1:$J$1,0),FALSE),IF(AM28="nej","Nordisk residualel",""))</f>
        <v>'Nordisk Elmix'</v>
      </c>
      <c r="AO28" s="63">
        <f>IF(AM28="","",VLOOKUP($B28,Miljö!$B$1:$J$479,MATCH("Fossilandel för ursprungspecificerad el ()",Miljö!$B$1:$J$1,0),FALSE))</f>
        <v>0.35</v>
      </c>
      <c r="AQ28" s="63">
        <f t="shared" si="1"/>
        <v>0.65</v>
      </c>
      <c r="AS28" s="63" t="str">
        <f t="shared" si="2"/>
        <v>Nej</v>
      </c>
      <c r="AT28" s="63" t="str">
        <f>IF(AS28="ja",VLOOKUP($B28,Miljö!$B$1:$P$500,MATCH("Fossil andel i procent (%)",Miljö!$B$1:$P$1,0),FALSE)/100,"")</f>
        <v/>
      </c>
      <c r="AV28" s="63" t="str">
        <f t="shared" si="3"/>
        <v>Nej</v>
      </c>
      <c r="AW28" s="63" t="str">
        <f>IF(AV28="ja",VLOOKUP($B28,'Egen hetvattenprod'!$B$1:$AO$500,MATCH("Värmekälla till värmepumpar ()",'Egen hetvattenprod'!$B$1:$AO$1,0),FALSE),"")</f>
        <v/>
      </c>
      <c r="AY28" s="63" t="str">
        <f t="shared" si="4"/>
        <v>Nej</v>
      </c>
      <c r="AZ28" s="77" t="str">
        <f>IF($AY28="ja",(VLOOKUP($B28,'Egen hetvattenprod'!$B$1:$BX$550,MATCH(AZ$2,'Egen hetvattenprod'!$B$1:$BX$1,0),FALSE)+VLOOKUP($B28,Kraftvärmeprod!$B$1:$BX$550,MATCH(AZ$2,Kraftvärmeprod!$B$1:$BX$1,0),FALSE))/$AC28,"")</f>
        <v/>
      </c>
      <c r="BA28" s="77" t="str">
        <f>IF($AY28="ja",(VLOOKUP($B28,'Egen hetvattenprod'!$B$1:$BX$550,MATCH(BA$2,'Egen hetvattenprod'!$B$1:$BX$1,0),FALSE)+VLOOKUP($B28,Kraftvärmeprod!$B$1:$BX$550,MATCH(BA$2,Kraftvärmeprod!$B$1:$BX$1,0),FALSE))/$AC28,"")</f>
        <v/>
      </c>
      <c r="BB28" s="77" t="str">
        <f>IF($AY28="ja",(VLOOKUP($B28,'Egen hetvattenprod'!$B$1:$BX$550,MATCH(BB$2,'Egen hetvattenprod'!$B$1:$BX$1,0),FALSE)+VLOOKUP($B28,Kraftvärmeprod!$B$1:$BX$550,MATCH(BB$2,Kraftvärmeprod!$B$1:$BX$1,0),FALSE))/$AC28,"")</f>
        <v/>
      </c>
      <c r="BC28" s="77" t="str">
        <f>IF($AY28="ja",(VLOOKUP($B28,'Egen hetvattenprod'!$B$1:$BX$550,MATCH(BC$2,'Egen hetvattenprod'!$B$1:$BX$1,0),FALSE)+VLOOKUP($B28,Kraftvärmeprod!$B$1:$BX$550,MATCH(BC$2,Kraftvärmeprod!$B$1:$BX$1,0),FALSE))/$AC28,"")</f>
        <v/>
      </c>
      <c r="BD28" s="77" t="str">
        <f>IF($AY28="ja",(VLOOKUP($B28,'Egen hetvattenprod'!$B$1:$BX$550,MATCH(BD$2,'Egen hetvattenprod'!$B$1:$BX$1,0),FALSE)+VLOOKUP($B28,Kraftvärmeprod!$B$1:$BX$550,MATCH(BD$2,Kraftvärmeprod!$B$1:$BX$1,0),FALSE))/$AC28,"")</f>
        <v/>
      </c>
      <c r="BF28" s="63" t="str">
        <f t="shared" si="5"/>
        <v>Nej</v>
      </c>
      <c r="BG28" s="63" t="str">
        <f>IF($BF28="ja",VLOOKUP($B28,'Egen hetvattenprod'!$B$1:$BX$550,MATCH("Andelen klimatgaser med fossilt ursprung för avfall ()",'Egen hetvattenprod'!$B$1:$BX$1,0),FALSE),"")</f>
        <v/>
      </c>
      <c r="BH28" s="63" t="str">
        <f>IF($BF28="ja",VLOOKUP($B28,Kraftvärmeprod!$B$1:$BX$550,MATCH("Andelen klimatgaser med fossilt ursprung för avfall ()",Kraftvärmeprod!$B$1:$BX$1,0),FALSE),"")</f>
        <v/>
      </c>
      <c r="BI28" s="63" t="str">
        <f>IF($BF28="ja",VLOOKUP($B28,'Egen hetvattenprod'!$B$1:$BX$550,MATCH("Avfall (GWh)",'Egen hetvattenprod'!$B$1:$BX$1,0),FALSE),"")</f>
        <v/>
      </c>
      <c r="BJ28" s="63" t="str">
        <f>IF($BF28="ja",VLOOKUP($B28,'Slutlig allokering kvv'!$B$1:$BX$550,MATCH("Avfall (GWh)",'Slutlig allokering kvv'!$B$1:$BX$1,0),FALSE),"")</f>
        <v/>
      </c>
      <c r="BK28" s="63" t="str">
        <f>IF($BF28="ja",VLOOKUP($B28,'Köpt hetvatten'!$B$1:$BX$550,MATCH("Avfall i köpt hetvatten",'Köpt hetvatten'!$B$1:$BX$1,0),FALSE),"")</f>
        <v/>
      </c>
      <c r="BL28" s="63" t="str">
        <f>IF($BF28="ja",VLOOKUP($B28,'Egen hetvattenprod'!$B$1:$BX$550,MATCH("Värde enligt ovan. (%)",'Egen hetvattenprod'!$B$1:$BX$1,0),FALSE),"")</f>
        <v/>
      </c>
      <c r="BM28" s="63" t="str">
        <f>IF($BF28="ja",VLOOKUP($B28,Kraftvärmeprod!$B$1:$BX$550,MATCH("Värde enligt ovan. (%)",Kraftvärmeprod!$B$1:$BX$1,0),FALSE),"")</f>
        <v/>
      </c>
    </row>
    <row r="29" spans="1:65" x14ac:dyDescent="0.45">
      <c r="A29" s="63" t="s">
        <v>660</v>
      </c>
      <c r="B29" s="63" t="s">
        <v>661</v>
      </c>
      <c r="C29" s="63">
        <f>VLOOKUP($B29,'Tillförd energi'!$B$1:$AI$720,MATCH(C$2,'Tillförd energi'!$B$1:$AQ$1,0),FALSE)</f>
        <v>0</v>
      </c>
      <c r="D29" s="63">
        <f>VLOOKUP($B29,'Tillförd energi'!$B$1:$AI$720,MATCH(D$2,'Tillförd energi'!$B$1:$AQ$1,0),FALSE)</f>
        <v>0</v>
      </c>
      <c r="E29" s="63">
        <f>VLOOKUP($B29,'Tillförd energi'!$B$1:$AI$720,MATCH(E$2,'Tillförd energi'!$B$1:$AQ$1,0),FALSE)</f>
        <v>0</v>
      </c>
      <c r="F29" s="63">
        <f>VLOOKUP($B29,'Tillförd energi'!$B$1:$AI$720,MATCH(F$2,'Tillförd energi'!$B$1:$AQ$1,0),FALSE)</f>
        <v>0</v>
      </c>
      <c r="G29" s="63">
        <f>VLOOKUP($B29,'Tillförd energi'!$B$1:$AI$720,MATCH(G$2,'Tillförd energi'!$B$1:$AQ$1,0),FALSE)</f>
        <v>0</v>
      </c>
      <c r="H29" s="63">
        <f>VLOOKUP($B29,'Tillförd energi'!$B$1:$AI$720,MATCH(H$2,'Tillförd energi'!$B$1:$AQ$1,0),FALSE)</f>
        <v>0</v>
      </c>
      <c r="I29" s="63">
        <f>VLOOKUP($B29,'Tillförd energi'!$B$1:$AI$720,MATCH(I$2,'Tillförd energi'!$B$1:$AQ$1,0),FALSE)</f>
        <v>0</v>
      </c>
      <c r="J29" s="63">
        <f>VLOOKUP($B29,'Tillförd energi'!$B$1:$AI$720,MATCH(J$2,'Tillförd energi'!$B$1:$AQ$1,0),FALSE)</f>
        <v>0</v>
      </c>
      <c r="K29" s="63">
        <f>VLOOKUP($B29,'Tillförd energi'!$B$1:$AI$720,MATCH(K$2,'Tillförd energi'!$B$1:$AQ$1,0),FALSE)</f>
        <v>0</v>
      </c>
      <c r="L29" s="63">
        <f>VLOOKUP($B29,'Tillförd energi'!$B$1:$AI$720,MATCH(L$2,'Tillförd energi'!$B$1:$AQ$1,0),FALSE)</f>
        <v>0</v>
      </c>
      <c r="M29" s="63">
        <f>VLOOKUP($B29,'Tillförd energi'!$B$1:$AI$720,MATCH(M$2,'Tillförd energi'!$B$1:$AQ$1,0),FALSE)</f>
        <v>0</v>
      </c>
      <c r="N29" s="63">
        <f>VLOOKUP($B29,'Tillförd energi'!$B$1:$AI$720,MATCH(N$2,'Tillförd energi'!$B$1:$AQ$1,0),FALSE)</f>
        <v>0</v>
      </c>
      <c r="O29" s="63">
        <f>VLOOKUP($B29,'Tillförd energi'!$B$1:$AI$720,MATCH(O$2,'Tillförd energi'!$B$1:$AQ$1,0),FALSE)</f>
        <v>0</v>
      </c>
      <c r="P29" s="63">
        <f>VLOOKUP($B29,'Tillförd energi'!$B$1:$AI$720,MATCH(P$2,'Tillförd energi'!$B$1:$AQ$1,0),FALSE)</f>
        <v>0</v>
      </c>
      <c r="Q29" s="63">
        <f>VLOOKUP($B29,'Tillförd energi'!$B$1:$AI$720,MATCH(Q$2,'Tillförd energi'!$B$1:$AQ$1,0),FALSE)</f>
        <v>16</v>
      </c>
      <c r="R29" s="63">
        <f>VLOOKUP($B29,'Tillförd energi'!$B$1:$AI$720,MATCH(R$2,'Tillförd energi'!$B$1:$AQ$1,0),FALSE)</f>
        <v>0</v>
      </c>
      <c r="S29" s="63">
        <f>VLOOKUP($B29,'Tillförd energi'!$B$1:$AI$720,MATCH(S$2,'Tillförd energi'!$B$1:$AQ$1,0),FALSE)</f>
        <v>0</v>
      </c>
      <c r="T29" s="63">
        <f>VLOOKUP($B29,'Tillförd energi'!$B$1:$AI$720,MATCH(T$2,'Tillförd energi'!$B$1:$AQ$1,0),FALSE)</f>
        <v>0</v>
      </c>
      <c r="U29" s="63">
        <f>VLOOKUP($B29,'Tillförd energi'!$B$1:$AI$720,MATCH(U$2,'Tillförd energi'!$B$1:$AQ$1,0),FALSE)</f>
        <v>0</v>
      </c>
      <c r="V29" s="63">
        <f>VLOOKUP($B29,'Tillförd energi'!$B$1:$AI$720,MATCH(V$2,'Tillförd energi'!$B$1:$AQ$1,0),FALSE)</f>
        <v>0</v>
      </c>
      <c r="W29" s="63">
        <f>VLOOKUP($B29,'Tillförd energi'!$B$1:$AI$720,MATCH(W$2,'Tillförd energi'!$B$1:$AQ$1,0),FALSE)</f>
        <v>0</v>
      </c>
      <c r="X29" s="63">
        <f>VLOOKUP($B29,'Tillförd energi'!$B$1:$AI$720,MATCH(X$2,'Tillförd energi'!$B$1:$AQ$1,0),FALSE)</f>
        <v>0</v>
      </c>
      <c r="Y29" s="63">
        <f>VLOOKUP($B29,'Tillförd energi'!$B$1:$AI$720,MATCH(Y$2,'Tillförd energi'!$B$1:$AQ$1,0),FALSE)</f>
        <v>0</v>
      </c>
      <c r="Z29" s="63">
        <f>VLOOKUP($B29,'Tillförd energi'!$B$1:$AI$720,MATCH(Z$2,'Tillförd energi'!$B$1:$AQ$1,0),FALSE)</f>
        <v>0</v>
      </c>
      <c r="AA29" s="63">
        <f>VLOOKUP($B29,'Tillförd energi'!$B$1:$AI$720,MATCH(AA$2,'Tillförd energi'!$B$1:$AQ$1,0),FALSE)</f>
        <v>0</v>
      </c>
      <c r="AB29" s="63">
        <f>VLOOKUP($B29,'Tillförd energi'!$B$1:$AI$720,MATCH(AB$2,'Tillförd energi'!$B$1:$AQ$1,0),FALSE)</f>
        <v>0</v>
      </c>
      <c r="AC29" s="63">
        <f>VLOOKUP($B29,'Tillförd energi'!$B$1:$AI$720,MATCH(AC$2,'Tillförd energi'!$B$1:$AQ$1,0),FALSE)</f>
        <v>0</v>
      </c>
      <c r="AD29" s="63">
        <f>VLOOKUP($B29,'Tillförd energi'!$B$1:$AI$720,MATCH(AD$2,'Tillförd energi'!$B$1:$AQ$1,0),FALSE)</f>
        <v>0</v>
      </c>
      <c r="AE29" s="63">
        <f>VLOOKUP($B29,'Tillförd energi'!$B$1:$AI$720,MATCH(AE$2,'Tillförd energi'!$B$1:$AQ$1,0),FALSE)</f>
        <v>0</v>
      </c>
      <c r="AF29" s="63">
        <f>VLOOKUP($B29,'Tillförd energi'!$B$1:$AI$720,MATCH(AF$2,'Tillförd energi'!$B$1:$AQ$1,0),FALSE)</f>
        <v>0.32129999999999997</v>
      </c>
      <c r="AG29" s="63">
        <f>IFERROR(VLOOKUP(B29,Miljö!$B$1:$AC$550,MATCH("Köpt mängd produktionsspecifik fjärrvärme:",Miljö!$B$1:$AC$1,0),FALSE)/1,0)</f>
        <v>0</v>
      </c>
      <c r="AI29" s="63">
        <f t="shared" si="0"/>
        <v>16.321300000000001</v>
      </c>
      <c r="AJ29" s="63">
        <f>IF(ISERROR(1/VLOOKUP($B29,Leveranser!$B$1:$S$500,MATCH("såld värme (gwh)",Leveranser!$B$1:$S$1,0),FALSE)),"",VLOOKUP($B29,Leveranser!$B$1:$S$500,MATCH("såld värme (gwh)",Leveranser!$B$1:$S$1,0),FALSE))</f>
        <v>10.71</v>
      </c>
      <c r="AM29" s="63" t="str">
        <f>IF(B29&lt;&gt;"",IF(VLOOKUP($B29,Totalt!$B$1:$AQ$554,MATCH("Kvalitetsgranskad:",Totalt!$B$1:$AQ$1,0),FALSE)="ja",VLOOKUP($B29,Miljö!$B$1:$AG$479,MATCH(AM$2,Miljö!$B$1:$AK$1,0),FALSE),""),"")</f>
        <v>Ja</v>
      </c>
      <c r="AN29" s="63" t="str">
        <f>IF(AM29="ja",VLOOKUP($B29,Miljö!$B$1:$J$479,MATCH("Typ av ursprungsspecificerad el   (Om inget värde anges används Nordisk residualmix, se inforuta) ()",Miljö!$B$1:$J$1,0),FALSE),IF(AM29="nej","Nordisk residualel",""))</f>
        <v>'0'</v>
      </c>
      <c r="AO29" s="63">
        <f>IF(AM29="","",VLOOKUP($B29,Miljö!$B$1:$J$479,MATCH("Fossilandel för ursprungspecificerad el ()",Miljö!$B$1:$J$1,0),FALSE))</f>
        <v>0.35</v>
      </c>
      <c r="AQ29" s="63">
        <f t="shared" si="1"/>
        <v>0.65</v>
      </c>
      <c r="AS29" s="63" t="str">
        <f t="shared" si="2"/>
        <v>Nej</v>
      </c>
      <c r="AT29" s="63" t="str">
        <f>IF(AS29="ja",VLOOKUP($B29,Miljö!$B$1:$P$500,MATCH("Fossil andel i procent (%)",Miljö!$B$1:$P$1,0),FALSE)/100,"")</f>
        <v/>
      </c>
      <c r="AV29" s="63" t="str">
        <f t="shared" si="3"/>
        <v>Nej</v>
      </c>
      <c r="AW29" s="63" t="str">
        <f>IF(AV29="ja",VLOOKUP($B29,'Egen hetvattenprod'!$B$1:$AO$500,MATCH("Värmekälla till värmepumpar ()",'Egen hetvattenprod'!$B$1:$AO$1,0),FALSE),"")</f>
        <v/>
      </c>
      <c r="AY29" s="63" t="str">
        <f t="shared" si="4"/>
        <v>Nej</v>
      </c>
      <c r="AZ29" s="77" t="str">
        <f>IF($AY29="ja",(VLOOKUP($B29,'Egen hetvattenprod'!$B$1:$BX$550,MATCH(AZ$2,'Egen hetvattenprod'!$B$1:$BX$1,0),FALSE)+VLOOKUP($B29,Kraftvärmeprod!$B$1:$BX$550,MATCH(AZ$2,Kraftvärmeprod!$B$1:$BX$1,0),FALSE))/$AC29,"")</f>
        <v/>
      </c>
      <c r="BA29" s="77" t="str">
        <f>IF($AY29="ja",(VLOOKUP($B29,'Egen hetvattenprod'!$B$1:$BX$550,MATCH(BA$2,'Egen hetvattenprod'!$B$1:$BX$1,0),FALSE)+VLOOKUP($B29,Kraftvärmeprod!$B$1:$BX$550,MATCH(BA$2,Kraftvärmeprod!$B$1:$BX$1,0),FALSE))/$AC29,"")</f>
        <v/>
      </c>
      <c r="BB29" s="77" t="str">
        <f>IF($AY29="ja",(VLOOKUP($B29,'Egen hetvattenprod'!$B$1:$BX$550,MATCH(BB$2,'Egen hetvattenprod'!$B$1:$BX$1,0),FALSE)+VLOOKUP($B29,Kraftvärmeprod!$B$1:$BX$550,MATCH(BB$2,Kraftvärmeprod!$B$1:$BX$1,0),FALSE))/$AC29,"")</f>
        <v/>
      </c>
      <c r="BC29" s="77" t="str">
        <f>IF($AY29="ja",(VLOOKUP($B29,'Egen hetvattenprod'!$B$1:$BX$550,MATCH(BC$2,'Egen hetvattenprod'!$B$1:$BX$1,0),FALSE)+VLOOKUP($B29,Kraftvärmeprod!$B$1:$BX$550,MATCH(BC$2,Kraftvärmeprod!$B$1:$BX$1,0),FALSE))/$AC29,"")</f>
        <v/>
      </c>
      <c r="BD29" s="77" t="str">
        <f>IF($AY29="ja",(VLOOKUP($B29,'Egen hetvattenprod'!$B$1:$BX$550,MATCH(BD$2,'Egen hetvattenprod'!$B$1:$BX$1,0),FALSE)+VLOOKUP($B29,Kraftvärmeprod!$B$1:$BX$550,MATCH(BD$2,Kraftvärmeprod!$B$1:$BX$1,0),FALSE))/$AC29,"")</f>
        <v/>
      </c>
      <c r="BF29" s="63" t="str">
        <f t="shared" si="5"/>
        <v>Nej</v>
      </c>
      <c r="BG29" s="63" t="str">
        <f>IF($BF29="ja",VLOOKUP($B29,'Egen hetvattenprod'!$B$1:$BX$550,MATCH("Andelen klimatgaser med fossilt ursprung för avfall ()",'Egen hetvattenprod'!$B$1:$BX$1,0),FALSE),"")</f>
        <v/>
      </c>
      <c r="BH29" s="63" t="str">
        <f>IF($BF29="ja",VLOOKUP($B29,Kraftvärmeprod!$B$1:$BX$550,MATCH("Andelen klimatgaser med fossilt ursprung för avfall ()",Kraftvärmeprod!$B$1:$BX$1,0),FALSE),"")</f>
        <v/>
      </c>
      <c r="BI29" s="63" t="str">
        <f>IF($BF29="ja",VLOOKUP($B29,'Egen hetvattenprod'!$B$1:$BX$550,MATCH("Avfall (GWh)",'Egen hetvattenprod'!$B$1:$BX$1,0),FALSE),"")</f>
        <v/>
      </c>
      <c r="BJ29" s="63" t="str">
        <f>IF($BF29="ja",VLOOKUP($B29,'Slutlig allokering kvv'!$B$1:$BX$550,MATCH("Avfall (GWh)",'Slutlig allokering kvv'!$B$1:$BX$1,0),FALSE),"")</f>
        <v/>
      </c>
      <c r="BK29" s="63" t="str">
        <f>IF($BF29="ja",VLOOKUP($B29,'Köpt hetvatten'!$B$1:$BX$550,MATCH("Avfall i köpt hetvatten",'Köpt hetvatten'!$B$1:$BX$1,0),FALSE),"")</f>
        <v/>
      </c>
      <c r="BL29" s="63" t="str">
        <f>IF($BF29="ja",VLOOKUP($B29,'Egen hetvattenprod'!$B$1:$BX$550,MATCH("Värde enligt ovan. (%)",'Egen hetvattenprod'!$B$1:$BX$1,0),FALSE),"")</f>
        <v/>
      </c>
      <c r="BM29" s="63" t="str">
        <f>IF($BF29="ja",VLOOKUP($B29,Kraftvärmeprod!$B$1:$BX$550,MATCH("Värde enligt ovan. (%)",Kraftvärmeprod!$B$1:$BX$1,0),FALSE),"")</f>
        <v/>
      </c>
    </row>
    <row r="30" spans="1:65" x14ac:dyDescent="0.45">
      <c r="A30" s="63" t="s">
        <v>660</v>
      </c>
      <c r="B30" s="63" t="s">
        <v>659</v>
      </c>
      <c r="C30" s="63">
        <f>VLOOKUP($B30,'Tillförd energi'!$B$1:$AI$720,MATCH(C$2,'Tillförd energi'!$B$1:$AQ$1,0),FALSE)</f>
        <v>0</v>
      </c>
      <c r="D30" s="63">
        <f>VLOOKUP($B30,'Tillförd energi'!$B$1:$AI$720,MATCH(D$2,'Tillförd energi'!$B$1:$AQ$1,0),FALSE)</f>
        <v>0</v>
      </c>
      <c r="E30" s="63">
        <f>VLOOKUP($B30,'Tillförd energi'!$B$1:$AI$720,MATCH(E$2,'Tillförd energi'!$B$1:$AQ$1,0),FALSE)</f>
        <v>0</v>
      </c>
      <c r="F30" s="63">
        <f>VLOOKUP($B30,'Tillförd energi'!$B$1:$AI$720,MATCH(F$2,'Tillförd energi'!$B$1:$AQ$1,0),FALSE)</f>
        <v>0</v>
      </c>
      <c r="G30" s="63">
        <f>VLOOKUP($B30,'Tillförd energi'!$B$1:$AI$720,MATCH(G$2,'Tillförd energi'!$B$1:$AQ$1,0),FALSE)</f>
        <v>0</v>
      </c>
      <c r="H30" s="63">
        <f>VLOOKUP($B30,'Tillförd energi'!$B$1:$AI$720,MATCH(H$2,'Tillförd energi'!$B$1:$AQ$1,0),FALSE)</f>
        <v>0</v>
      </c>
      <c r="I30" s="63">
        <f>VLOOKUP($B30,'Tillförd energi'!$B$1:$AI$720,MATCH(I$2,'Tillförd energi'!$B$1:$AQ$1,0),FALSE)</f>
        <v>0</v>
      </c>
      <c r="J30" s="63">
        <f>VLOOKUP($B30,'Tillförd energi'!$B$1:$AI$720,MATCH(J$2,'Tillförd energi'!$B$1:$AQ$1,0),FALSE)</f>
        <v>0</v>
      </c>
      <c r="K30" s="63">
        <f>VLOOKUP($B30,'Tillförd energi'!$B$1:$AI$720,MATCH(K$2,'Tillförd energi'!$B$1:$AQ$1,0),FALSE)</f>
        <v>0</v>
      </c>
      <c r="L30" s="63">
        <f>VLOOKUP($B30,'Tillförd energi'!$B$1:$AI$720,MATCH(L$2,'Tillförd energi'!$B$1:$AQ$1,0),FALSE)</f>
        <v>0</v>
      </c>
      <c r="M30" s="63">
        <f>VLOOKUP($B30,'Tillförd energi'!$B$1:$AI$720,MATCH(M$2,'Tillförd energi'!$B$1:$AQ$1,0),FALSE)</f>
        <v>0</v>
      </c>
      <c r="N30" s="63">
        <f>VLOOKUP($B30,'Tillförd energi'!$B$1:$AI$720,MATCH(N$2,'Tillförd energi'!$B$1:$AQ$1,0),FALSE)</f>
        <v>0</v>
      </c>
      <c r="O30" s="63">
        <f>VLOOKUP($B30,'Tillförd energi'!$B$1:$AI$720,MATCH(O$2,'Tillförd energi'!$B$1:$AQ$1,0),FALSE)</f>
        <v>0</v>
      </c>
      <c r="P30" s="63">
        <f>VLOOKUP($B30,'Tillförd energi'!$B$1:$AI$720,MATCH(P$2,'Tillförd energi'!$B$1:$AQ$1,0),FALSE)</f>
        <v>0</v>
      </c>
      <c r="Q30" s="63">
        <f>VLOOKUP($B30,'Tillförd energi'!$B$1:$AI$720,MATCH(Q$2,'Tillförd energi'!$B$1:$AQ$1,0),FALSE)</f>
        <v>22</v>
      </c>
      <c r="R30" s="63">
        <f>VLOOKUP($B30,'Tillförd energi'!$B$1:$AI$720,MATCH(R$2,'Tillförd energi'!$B$1:$AQ$1,0),FALSE)</f>
        <v>0</v>
      </c>
      <c r="S30" s="63">
        <f>VLOOKUP($B30,'Tillförd energi'!$B$1:$AI$720,MATCH(S$2,'Tillförd energi'!$B$1:$AQ$1,0),FALSE)</f>
        <v>0</v>
      </c>
      <c r="T30" s="63">
        <f>VLOOKUP($B30,'Tillförd energi'!$B$1:$AI$720,MATCH(T$2,'Tillförd energi'!$B$1:$AQ$1,0),FALSE)</f>
        <v>0</v>
      </c>
      <c r="U30" s="63">
        <f>VLOOKUP($B30,'Tillförd energi'!$B$1:$AI$720,MATCH(U$2,'Tillförd energi'!$B$1:$AQ$1,0),FALSE)</f>
        <v>0</v>
      </c>
      <c r="V30" s="63">
        <f>VLOOKUP($B30,'Tillförd energi'!$B$1:$AI$720,MATCH(V$2,'Tillförd energi'!$B$1:$AQ$1,0),FALSE)</f>
        <v>0</v>
      </c>
      <c r="W30" s="63">
        <f>VLOOKUP($B30,'Tillförd energi'!$B$1:$AI$720,MATCH(W$2,'Tillförd energi'!$B$1:$AQ$1,0),FALSE)</f>
        <v>0</v>
      </c>
      <c r="X30" s="63">
        <f>VLOOKUP($B30,'Tillförd energi'!$B$1:$AI$720,MATCH(X$2,'Tillförd energi'!$B$1:$AQ$1,0),FALSE)</f>
        <v>0</v>
      </c>
      <c r="Y30" s="63">
        <f>VLOOKUP($B30,'Tillförd energi'!$B$1:$AI$720,MATCH(Y$2,'Tillförd energi'!$B$1:$AQ$1,0),FALSE)</f>
        <v>0</v>
      </c>
      <c r="Z30" s="63">
        <f>VLOOKUP($B30,'Tillförd energi'!$B$1:$AI$720,MATCH(Z$2,'Tillförd energi'!$B$1:$AQ$1,0),FALSE)</f>
        <v>0</v>
      </c>
      <c r="AA30" s="63">
        <f>VLOOKUP($B30,'Tillförd energi'!$B$1:$AI$720,MATCH(AA$2,'Tillförd energi'!$B$1:$AQ$1,0),FALSE)</f>
        <v>0</v>
      </c>
      <c r="AB30" s="63">
        <f>VLOOKUP($B30,'Tillförd energi'!$B$1:$AI$720,MATCH(AB$2,'Tillförd energi'!$B$1:$AQ$1,0),FALSE)</f>
        <v>0</v>
      </c>
      <c r="AC30" s="63">
        <f>VLOOKUP($B30,'Tillförd energi'!$B$1:$AI$720,MATCH(AC$2,'Tillförd energi'!$B$1:$AQ$1,0),FALSE)</f>
        <v>0</v>
      </c>
      <c r="AD30" s="63">
        <f>VLOOKUP($B30,'Tillförd energi'!$B$1:$AI$720,MATCH(AD$2,'Tillförd energi'!$B$1:$AQ$1,0),FALSE)</f>
        <v>0</v>
      </c>
      <c r="AE30" s="63">
        <f>VLOOKUP($B30,'Tillförd energi'!$B$1:$AI$720,MATCH(AE$2,'Tillförd energi'!$B$1:$AQ$1,0),FALSE)</f>
        <v>0</v>
      </c>
      <c r="AF30" s="63">
        <f>VLOOKUP($B30,'Tillförd energi'!$B$1:$AI$720,MATCH(AF$2,'Tillförd energi'!$B$1:$AQ$1,0),FALSE)</f>
        <v>0.48480000000000001</v>
      </c>
      <c r="AG30" s="63">
        <f>IFERROR(VLOOKUP(B30,Miljö!$B$1:$AC$550,MATCH("Köpt mängd produktionsspecifik fjärrvärme:",Miljö!$B$1:$AC$1,0),FALSE)/1,0)</f>
        <v>0</v>
      </c>
      <c r="AI30" s="63">
        <f t="shared" si="0"/>
        <v>22.4848</v>
      </c>
      <c r="AJ30" s="63">
        <f>IF(ISERROR(1/VLOOKUP($B30,Leveranser!$B$1:$S$500,MATCH("såld värme (gwh)",Leveranser!$B$1:$S$1,0),FALSE)),"",VLOOKUP($B30,Leveranser!$B$1:$S$500,MATCH("såld värme (gwh)",Leveranser!$B$1:$S$1,0),FALSE))</f>
        <v>16.16</v>
      </c>
      <c r="AM30" s="63" t="str">
        <f>IF(B30&lt;&gt;"",IF(VLOOKUP($B30,Totalt!$B$1:$AQ$554,MATCH("Kvalitetsgranskad:",Totalt!$B$1:$AQ$1,0),FALSE)="ja",VLOOKUP($B30,Miljö!$B$1:$AG$479,MATCH(AM$2,Miljö!$B$1:$AK$1,0),FALSE),""),"")</f>
        <v>Ja</v>
      </c>
      <c r="AN30" s="63" t="str">
        <f>IF(AM30="ja",VLOOKUP($B30,Miljö!$B$1:$J$479,MATCH("Typ av ursprungsspecificerad el   (Om inget värde anges används Nordisk residualmix, se inforuta) ()",Miljö!$B$1:$J$1,0),FALSE),IF(AM30="nej","Nordisk residualel",""))</f>
        <v>'0'</v>
      </c>
      <c r="AO30" s="63">
        <f>IF(AM30="","",VLOOKUP($B30,Miljö!$B$1:$J$479,MATCH("Fossilandel för ursprungspecificerad el ()",Miljö!$B$1:$J$1,0),FALSE))</f>
        <v>0.35</v>
      </c>
      <c r="AQ30" s="63">
        <f t="shared" si="1"/>
        <v>0.65</v>
      </c>
      <c r="AS30" s="63" t="str">
        <f t="shared" si="2"/>
        <v>Nej</v>
      </c>
      <c r="AT30" s="63" t="str">
        <f>IF(AS30="ja",VLOOKUP($B30,Miljö!$B$1:$P$500,MATCH("Fossil andel i procent (%)",Miljö!$B$1:$P$1,0),FALSE)/100,"")</f>
        <v/>
      </c>
      <c r="AV30" s="63" t="str">
        <f t="shared" si="3"/>
        <v>Nej</v>
      </c>
      <c r="AW30" s="63" t="str">
        <f>IF(AV30="ja",VLOOKUP($B30,'Egen hetvattenprod'!$B$1:$AO$500,MATCH("Värmekälla till värmepumpar ()",'Egen hetvattenprod'!$B$1:$AO$1,0),FALSE),"")</f>
        <v/>
      </c>
      <c r="AY30" s="63" t="str">
        <f t="shared" si="4"/>
        <v>Nej</v>
      </c>
      <c r="AZ30" s="77" t="str">
        <f>IF($AY30="ja",(VLOOKUP($B30,'Egen hetvattenprod'!$B$1:$BX$550,MATCH(AZ$2,'Egen hetvattenprod'!$B$1:$BX$1,0),FALSE)+VLOOKUP($B30,Kraftvärmeprod!$B$1:$BX$550,MATCH(AZ$2,Kraftvärmeprod!$B$1:$BX$1,0),FALSE))/$AC30,"")</f>
        <v/>
      </c>
      <c r="BA30" s="77" t="str">
        <f>IF($AY30="ja",(VLOOKUP($B30,'Egen hetvattenprod'!$B$1:$BX$550,MATCH(BA$2,'Egen hetvattenprod'!$B$1:$BX$1,0),FALSE)+VLOOKUP($B30,Kraftvärmeprod!$B$1:$BX$550,MATCH(BA$2,Kraftvärmeprod!$B$1:$BX$1,0),FALSE))/$AC30,"")</f>
        <v/>
      </c>
      <c r="BB30" s="77" t="str">
        <f>IF($AY30="ja",(VLOOKUP($B30,'Egen hetvattenprod'!$B$1:$BX$550,MATCH(BB$2,'Egen hetvattenprod'!$B$1:$BX$1,0),FALSE)+VLOOKUP($B30,Kraftvärmeprod!$B$1:$BX$550,MATCH(BB$2,Kraftvärmeprod!$B$1:$BX$1,0),FALSE))/$AC30,"")</f>
        <v/>
      </c>
      <c r="BC30" s="77" t="str">
        <f>IF($AY30="ja",(VLOOKUP($B30,'Egen hetvattenprod'!$B$1:$BX$550,MATCH(BC$2,'Egen hetvattenprod'!$B$1:$BX$1,0),FALSE)+VLOOKUP($B30,Kraftvärmeprod!$B$1:$BX$550,MATCH(BC$2,Kraftvärmeprod!$B$1:$BX$1,0),FALSE))/$AC30,"")</f>
        <v/>
      </c>
      <c r="BD30" s="77" t="str">
        <f>IF($AY30="ja",(VLOOKUP($B30,'Egen hetvattenprod'!$B$1:$BX$550,MATCH(BD$2,'Egen hetvattenprod'!$B$1:$BX$1,0),FALSE)+VLOOKUP($B30,Kraftvärmeprod!$B$1:$BX$550,MATCH(BD$2,Kraftvärmeprod!$B$1:$BX$1,0),FALSE))/$AC30,"")</f>
        <v/>
      </c>
      <c r="BF30" s="63" t="str">
        <f t="shared" si="5"/>
        <v>Nej</v>
      </c>
      <c r="BG30" s="63" t="str">
        <f>IF($BF30="ja",VLOOKUP($B30,'Egen hetvattenprod'!$B$1:$BX$550,MATCH("Andelen klimatgaser med fossilt ursprung för avfall ()",'Egen hetvattenprod'!$B$1:$BX$1,0),FALSE),"")</f>
        <v/>
      </c>
      <c r="BH30" s="63" t="str">
        <f>IF($BF30="ja",VLOOKUP($B30,Kraftvärmeprod!$B$1:$BX$550,MATCH("Andelen klimatgaser med fossilt ursprung för avfall ()",Kraftvärmeprod!$B$1:$BX$1,0),FALSE),"")</f>
        <v/>
      </c>
      <c r="BI30" s="63" t="str">
        <f>IF($BF30="ja",VLOOKUP($B30,'Egen hetvattenprod'!$B$1:$BX$550,MATCH("Avfall (GWh)",'Egen hetvattenprod'!$B$1:$BX$1,0),FALSE),"")</f>
        <v/>
      </c>
      <c r="BJ30" s="63" t="str">
        <f>IF($BF30="ja",VLOOKUP($B30,'Slutlig allokering kvv'!$B$1:$BX$550,MATCH("Avfall (GWh)",'Slutlig allokering kvv'!$B$1:$BX$1,0),FALSE),"")</f>
        <v/>
      </c>
      <c r="BK30" s="63" t="str">
        <f>IF($BF30="ja",VLOOKUP($B30,'Köpt hetvatten'!$B$1:$BX$550,MATCH("Avfall i köpt hetvatten",'Köpt hetvatten'!$B$1:$BX$1,0),FALSE),"")</f>
        <v/>
      </c>
      <c r="BL30" s="63" t="str">
        <f>IF($BF30="ja",VLOOKUP($B30,'Egen hetvattenprod'!$B$1:$BX$550,MATCH("Värde enligt ovan. (%)",'Egen hetvattenprod'!$B$1:$BX$1,0),FALSE),"")</f>
        <v/>
      </c>
      <c r="BM30" s="63" t="str">
        <f>IF($BF30="ja",VLOOKUP($B30,Kraftvärmeprod!$B$1:$BX$550,MATCH("Värde enligt ovan. (%)",Kraftvärmeprod!$B$1:$BX$1,0),FALSE),"")</f>
        <v/>
      </c>
    </row>
    <row r="31" spans="1:65" x14ac:dyDescent="0.45">
      <c r="A31" s="63" t="s">
        <v>657</v>
      </c>
      <c r="B31" s="63" t="s">
        <v>656</v>
      </c>
      <c r="C31" s="63">
        <f>VLOOKUP($B31,'Tillförd energi'!$B$1:$AI$720,MATCH(C$2,'Tillförd energi'!$B$1:$AQ$1,0),FALSE)</f>
        <v>0</v>
      </c>
      <c r="D31" s="63">
        <f>VLOOKUP($B31,'Tillförd energi'!$B$1:$AI$720,MATCH(D$2,'Tillförd energi'!$B$1:$AQ$1,0),FALSE)</f>
        <v>0</v>
      </c>
      <c r="E31" s="63">
        <f>VLOOKUP($B31,'Tillförd energi'!$B$1:$AI$720,MATCH(E$2,'Tillförd energi'!$B$1:$AQ$1,0),FALSE)</f>
        <v>0</v>
      </c>
      <c r="F31" s="63">
        <f>VLOOKUP($B31,'Tillförd energi'!$B$1:$AI$720,MATCH(F$2,'Tillförd energi'!$B$1:$AQ$1,0),FALSE)</f>
        <v>0</v>
      </c>
      <c r="G31" s="63">
        <f>VLOOKUP($B31,'Tillförd energi'!$B$1:$AI$720,MATCH(G$2,'Tillförd energi'!$B$1:$AQ$1,0),FALSE)</f>
        <v>0</v>
      </c>
      <c r="H31" s="63">
        <f>VLOOKUP($B31,'Tillförd energi'!$B$1:$AI$720,MATCH(H$2,'Tillförd energi'!$B$1:$AQ$1,0),FALSE)</f>
        <v>0</v>
      </c>
      <c r="I31" s="63">
        <f>VLOOKUP($B31,'Tillförd energi'!$B$1:$AI$720,MATCH(I$2,'Tillförd energi'!$B$1:$AQ$1,0),FALSE)</f>
        <v>0</v>
      </c>
      <c r="J31" s="63">
        <f>VLOOKUP($B31,'Tillförd energi'!$B$1:$AI$720,MATCH(J$2,'Tillförd energi'!$B$1:$AQ$1,0),FALSE)</f>
        <v>0</v>
      </c>
      <c r="K31" s="63">
        <f>VLOOKUP($B31,'Tillförd energi'!$B$1:$AI$720,MATCH(K$2,'Tillförd energi'!$B$1:$AQ$1,0),FALSE)</f>
        <v>0</v>
      </c>
      <c r="L31" s="63">
        <f>VLOOKUP($B31,'Tillförd energi'!$B$1:$AI$720,MATCH(L$2,'Tillförd energi'!$B$1:$AQ$1,0),FALSE)</f>
        <v>0</v>
      </c>
      <c r="M31" s="63">
        <f>VLOOKUP($B31,'Tillförd energi'!$B$1:$AI$720,MATCH(M$2,'Tillförd energi'!$B$1:$AQ$1,0),FALSE)</f>
        <v>0</v>
      </c>
      <c r="N31" s="63">
        <f>VLOOKUP($B31,'Tillförd energi'!$B$1:$AI$720,MATCH(N$2,'Tillförd energi'!$B$1:$AQ$1,0),FALSE)</f>
        <v>0</v>
      </c>
      <c r="O31" s="63">
        <f>VLOOKUP($B31,'Tillförd energi'!$B$1:$AI$720,MATCH(O$2,'Tillförd energi'!$B$1:$AQ$1,0),FALSE)</f>
        <v>0</v>
      </c>
      <c r="P31" s="63">
        <f>VLOOKUP($B31,'Tillförd energi'!$B$1:$AI$720,MATCH(P$2,'Tillförd energi'!$B$1:$AQ$1,0),FALSE)</f>
        <v>29.99</v>
      </c>
      <c r="Q31" s="63">
        <f>VLOOKUP($B31,'Tillförd energi'!$B$1:$AI$720,MATCH(Q$2,'Tillförd energi'!$B$1:$AQ$1,0),FALSE)</f>
        <v>0</v>
      </c>
      <c r="R31" s="63">
        <f>VLOOKUP($B31,'Tillförd energi'!$B$1:$AI$720,MATCH(R$2,'Tillförd energi'!$B$1:$AQ$1,0),FALSE)</f>
        <v>4.08</v>
      </c>
      <c r="S31" s="63">
        <f>VLOOKUP($B31,'Tillförd energi'!$B$1:$AI$720,MATCH(S$2,'Tillförd energi'!$B$1:$AQ$1,0),FALSE)</f>
        <v>0</v>
      </c>
      <c r="T31" s="63">
        <f>VLOOKUP($B31,'Tillförd energi'!$B$1:$AI$720,MATCH(T$2,'Tillförd energi'!$B$1:$AQ$1,0),FALSE)</f>
        <v>0</v>
      </c>
      <c r="U31" s="63">
        <f>VLOOKUP($B31,'Tillförd energi'!$B$1:$AI$720,MATCH(U$2,'Tillförd energi'!$B$1:$AQ$1,0),FALSE)</f>
        <v>0</v>
      </c>
      <c r="V31" s="63">
        <f>VLOOKUP($B31,'Tillförd energi'!$B$1:$AI$720,MATCH(V$2,'Tillförd energi'!$B$1:$AQ$1,0),FALSE)</f>
        <v>0</v>
      </c>
      <c r="W31" s="63">
        <f>VLOOKUP($B31,'Tillförd energi'!$B$1:$AI$720,MATCH(W$2,'Tillförd energi'!$B$1:$AQ$1,0),FALSE)</f>
        <v>0</v>
      </c>
      <c r="X31" s="63">
        <f>VLOOKUP($B31,'Tillförd energi'!$B$1:$AI$720,MATCH(X$2,'Tillförd energi'!$B$1:$AQ$1,0),FALSE)</f>
        <v>0</v>
      </c>
      <c r="Y31" s="63">
        <f>VLOOKUP($B31,'Tillförd energi'!$B$1:$AI$720,MATCH(Y$2,'Tillförd energi'!$B$1:$AQ$1,0),FALSE)</f>
        <v>0</v>
      </c>
      <c r="Z31" s="63">
        <f>VLOOKUP($B31,'Tillförd energi'!$B$1:$AI$720,MATCH(Z$2,'Tillförd energi'!$B$1:$AQ$1,0),FALSE)</f>
        <v>0</v>
      </c>
      <c r="AA31" s="63">
        <f>VLOOKUP($B31,'Tillförd energi'!$B$1:$AI$720,MATCH(AA$2,'Tillförd energi'!$B$1:$AQ$1,0),FALSE)</f>
        <v>0</v>
      </c>
      <c r="AB31" s="63">
        <f>VLOOKUP($B31,'Tillförd energi'!$B$1:$AI$720,MATCH(AB$2,'Tillförd energi'!$B$1:$AQ$1,0),FALSE)</f>
        <v>0</v>
      </c>
      <c r="AC31" s="63">
        <f>VLOOKUP($B31,'Tillförd energi'!$B$1:$AI$720,MATCH(AC$2,'Tillförd energi'!$B$1:$AQ$1,0),FALSE)</f>
        <v>0</v>
      </c>
      <c r="AD31" s="63">
        <f>VLOOKUP($B31,'Tillförd energi'!$B$1:$AI$720,MATCH(AD$2,'Tillförd energi'!$B$1:$AQ$1,0),FALSE)</f>
        <v>0</v>
      </c>
      <c r="AE31" s="63">
        <f>VLOOKUP($B31,'Tillförd energi'!$B$1:$AI$720,MATCH(AE$2,'Tillförd energi'!$B$1:$AQ$1,0),FALSE)</f>
        <v>0</v>
      </c>
      <c r="AF31" s="63">
        <f>VLOOKUP($B31,'Tillförd energi'!$B$1:$AI$720,MATCH(AF$2,'Tillförd energi'!$B$1:$AQ$1,0),FALSE)</f>
        <v>0.51</v>
      </c>
      <c r="AG31" s="63">
        <f>IFERROR(VLOOKUP(B31,Miljö!$B$1:$AC$550,MATCH("Köpt mängd produktionsspecifik fjärrvärme:",Miljö!$B$1:$AC$1,0),FALSE)/1,0)</f>
        <v>0</v>
      </c>
      <c r="AI31" s="63">
        <f t="shared" si="0"/>
        <v>34.58</v>
      </c>
      <c r="AJ31" s="63">
        <f>IF(ISERROR(1/VLOOKUP($B31,Leveranser!$B$1:$S$500,MATCH("såld värme (gwh)",Leveranser!$B$1:$S$1,0),FALSE)),"",VLOOKUP($B31,Leveranser!$B$1:$S$500,MATCH("såld värme (gwh)",Leveranser!$B$1:$S$1,0),FALSE))</f>
        <v>24.748999999999999</v>
      </c>
      <c r="AM31" s="63" t="str">
        <f>IF(B31&lt;&gt;"",IF(VLOOKUP($B31,Totalt!$B$1:$AQ$554,MATCH("Kvalitetsgranskad:",Totalt!$B$1:$AQ$1,0),FALSE)="ja",VLOOKUP($B31,Miljö!$B$1:$AG$479,MATCH(AM$2,Miljö!$B$1:$AK$1,0),FALSE),""),"")</f>
        <v>Ja</v>
      </c>
      <c r="AN31" s="63" t="str">
        <f>IF(AM31="ja",VLOOKUP($B31,Miljö!$B$1:$J$479,MATCH("Typ av ursprungsspecificerad el   (Om inget värde anges används Nordisk residualmix, se inforuta) ()",Miljö!$B$1:$J$1,0),FALSE),IF(AM31="nej","Nordisk residualel",""))</f>
        <v>'Bra miljöval'</v>
      </c>
      <c r="AO31" s="63">
        <f>IF(AM31="","",VLOOKUP($B31,Miljö!$B$1:$J$479,MATCH("Fossilandel för ursprungspecificerad el ()",Miljö!$B$1:$J$1,0),FALSE))</f>
        <v>0</v>
      </c>
      <c r="AQ31" s="63">
        <f t="shared" si="1"/>
        <v>1</v>
      </c>
      <c r="AS31" s="63" t="str">
        <f t="shared" si="2"/>
        <v>Nej</v>
      </c>
      <c r="AT31" s="63" t="str">
        <f>IF(AS31="ja",VLOOKUP($B31,Miljö!$B$1:$P$500,MATCH("Fossil andel i procent (%)",Miljö!$B$1:$P$1,0),FALSE)/100,"")</f>
        <v/>
      </c>
      <c r="AV31" s="63" t="str">
        <f t="shared" si="3"/>
        <v>Nej</v>
      </c>
      <c r="AW31" s="63" t="str">
        <f>IF(AV31="ja",VLOOKUP($B31,'Egen hetvattenprod'!$B$1:$AO$500,MATCH("Värmekälla till värmepumpar ()",'Egen hetvattenprod'!$B$1:$AO$1,0),FALSE),"")</f>
        <v/>
      </c>
      <c r="AY31" s="63" t="str">
        <f t="shared" si="4"/>
        <v>Nej</v>
      </c>
      <c r="AZ31" s="77" t="str">
        <f>IF($AY31="ja",(VLOOKUP($B31,'Egen hetvattenprod'!$B$1:$BX$550,MATCH(AZ$2,'Egen hetvattenprod'!$B$1:$BX$1,0),FALSE)+VLOOKUP($B31,Kraftvärmeprod!$B$1:$BX$550,MATCH(AZ$2,Kraftvärmeprod!$B$1:$BX$1,0),FALSE))/$AC31,"")</f>
        <v/>
      </c>
      <c r="BA31" s="77" t="str">
        <f>IF($AY31="ja",(VLOOKUP($B31,'Egen hetvattenprod'!$B$1:$BX$550,MATCH(BA$2,'Egen hetvattenprod'!$B$1:$BX$1,0),FALSE)+VLOOKUP($B31,Kraftvärmeprod!$B$1:$BX$550,MATCH(BA$2,Kraftvärmeprod!$B$1:$BX$1,0),FALSE))/$AC31,"")</f>
        <v/>
      </c>
      <c r="BB31" s="77" t="str">
        <f>IF($AY31="ja",(VLOOKUP($B31,'Egen hetvattenprod'!$B$1:$BX$550,MATCH(BB$2,'Egen hetvattenprod'!$B$1:$BX$1,0),FALSE)+VLOOKUP($B31,Kraftvärmeprod!$B$1:$BX$550,MATCH(BB$2,Kraftvärmeprod!$B$1:$BX$1,0),FALSE))/$AC31,"")</f>
        <v/>
      </c>
      <c r="BC31" s="77" t="str">
        <f>IF($AY31="ja",(VLOOKUP($B31,'Egen hetvattenprod'!$B$1:$BX$550,MATCH(BC$2,'Egen hetvattenprod'!$B$1:$BX$1,0),FALSE)+VLOOKUP($B31,Kraftvärmeprod!$B$1:$BX$550,MATCH(BC$2,Kraftvärmeprod!$B$1:$BX$1,0),FALSE))/$AC31,"")</f>
        <v/>
      </c>
      <c r="BD31" s="77" t="str">
        <f>IF($AY31="ja",(VLOOKUP($B31,'Egen hetvattenprod'!$B$1:$BX$550,MATCH(BD$2,'Egen hetvattenprod'!$B$1:$BX$1,0),FALSE)+VLOOKUP($B31,Kraftvärmeprod!$B$1:$BX$550,MATCH(BD$2,Kraftvärmeprod!$B$1:$BX$1,0),FALSE))/$AC31,"")</f>
        <v/>
      </c>
      <c r="BF31" s="63" t="str">
        <f t="shared" si="5"/>
        <v>Nej</v>
      </c>
      <c r="BG31" s="63" t="str">
        <f>IF($BF31="ja",VLOOKUP($B31,'Egen hetvattenprod'!$B$1:$BX$550,MATCH("Andelen klimatgaser med fossilt ursprung för avfall ()",'Egen hetvattenprod'!$B$1:$BX$1,0),FALSE),"")</f>
        <v/>
      </c>
      <c r="BH31" s="63" t="str">
        <f>IF($BF31="ja",VLOOKUP($B31,Kraftvärmeprod!$B$1:$BX$550,MATCH("Andelen klimatgaser med fossilt ursprung för avfall ()",Kraftvärmeprod!$B$1:$BX$1,0),FALSE),"")</f>
        <v/>
      </c>
      <c r="BI31" s="63" t="str">
        <f>IF($BF31="ja",VLOOKUP($B31,'Egen hetvattenprod'!$B$1:$BX$550,MATCH("Avfall (GWh)",'Egen hetvattenprod'!$B$1:$BX$1,0),FALSE),"")</f>
        <v/>
      </c>
      <c r="BJ31" s="63" t="str">
        <f>IF($BF31="ja",VLOOKUP($B31,'Slutlig allokering kvv'!$B$1:$BX$550,MATCH("Avfall (GWh)",'Slutlig allokering kvv'!$B$1:$BX$1,0),FALSE),"")</f>
        <v/>
      </c>
      <c r="BK31" s="63" t="str">
        <f>IF($BF31="ja",VLOOKUP($B31,'Köpt hetvatten'!$B$1:$BX$550,MATCH("Avfall i köpt hetvatten",'Köpt hetvatten'!$B$1:$BX$1,0),FALSE),"")</f>
        <v/>
      </c>
      <c r="BL31" s="63" t="str">
        <f>IF($BF31="ja",VLOOKUP($B31,'Egen hetvattenprod'!$B$1:$BX$550,MATCH("Värde enligt ovan. (%)",'Egen hetvattenprod'!$B$1:$BX$1,0),FALSE),"")</f>
        <v/>
      </c>
      <c r="BM31" s="63" t="str">
        <f>IF($BF31="ja",VLOOKUP($B31,Kraftvärmeprod!$B$1:$BX$550,MATCH("Värde enligt ovan. (%)",Kraftvärmeprod!$B$1:$BX$1,0),FALSE),"")</f>
        <v/>
      </c>
    </row>
    <row r="32" spans="1:65" x14ac:dyDescent="0.45">
      <c r="A32" s="63" t="s">
        <v>53</v>
      </c>
      <c r="B32" s="63" t="s">
        <v>54</v>
      </c>
      <c r="C32" s="63">
        <f>VLOOKUP($B32,'Tillförd energi'!$B$1:$AI$720,MATCH(C$2,'Tillförd energi'!$B$1:$AQ$1,0),FALSE)</f>
        <v>0</v>
      </c>
      <c r="D32" s="63">
        <f>VLOOKUP($B32,'Tillförd energi'!$B$1:$AI$720,MATCH(D$2,'Tillförd energi'!$B$1:$AQ$1,0),FALSE)</f>
        <v>0</v>
      </c>
      <c r="E32" s="63">
        <f>VLOOKUP($B32,'Tillförd energi'!$B$1:$AI$720,MATCH(E$2,'Tillförd energi'!$B$1:$AQ$1,0),FALSE)</f>
        <v>0</v>
      </c>
      <c r="F32" s="63">
        <f>VLOOKUP($B32,'Tillförd energi'!$B$1:$AI$720,MATCH(F$2,'Tillförd energi'!$B$1:$AQ$1,0),FALSE)</f>
        <v>0</v>
      </c>
      <c r="G32" s="63">
        <f>VLOOKUP($B32,'Tillförd energi'!$B$1:$AI$720,MATCH(G$2,'Tillförd energi'!$B$1:$AQ$1,0),FALSE)</f>
        <v>0</v>
      </c>
      <c r="H32" s="63">
        <f>VLOOKUP($B32,'Tillförd energi'!$B$1:$AI$720,MATCH(H$2,'Tillförd energi'!$B$1:$AQ$1,0),FALSE)</f>
        <v>0</v>
      </c>
      <c r="I32" s="63">
        <f>VLOOKUP($B32,'Tillförd energi'!$B$1:$AI$720,MATCH(I$2,'Tillförd energi'!$B$1:$AQ$1,0),FALSE)</f>
        <v>0</v>
      </c>
      <c r="J32" s="63">
        <f>VLOOKUP($B32,'Tillförd energi'!$B$1:$AI$720,MATCH(J$2,'Tillförd energi'!$B$1:$AQ$1,0),FALSE)</f>
        <v>0</v>
      </c>
      <c r="K32" s="63">
        <f>VLOOKUP($B32,'Tillförd energi'!$B$1:$AI$720,MATCH(K$2,'Tillförd energi'!$B$1:$AQ$1,0),FALSE)</f>
        <v>0</v>
      </c>
      <c r="L32" s="63">
        <f>VLOOKUP($B32,'Tillförd energi'!$B$1:$AI$720,MATCH(L$2,'Tillförd energi'!$B$1:$AQ$1,0),FALSE)</f>
        <v>0</v>
      </c>
      <c r="M32" s="63">
        <f>VLOOKUP($B32,'Tillförd energi'!$B$1:$AI$720,MATCH(M$2,'Tillförd energi'!$B$1:$AQ$1,0),FALSE)</f>
        <v>0</v>
      </c>
      <c r="N32" s="63">
        <f>VLOOKUP($B32,'Tillförd energi'!$B$1:$AI$720,MATCH(N$2,'Tillförd energi'!$B$1:$AQ$1,0),FALSE)</f>
        <v>0</v>
      </c>
      <c r="O32" s="63">
        <f>VLOOKUP($B32,'Tillförd energi'!$B$1:$AI$720,MATCH(O$2,'Tillförd energi'!$B$1:$AQ$1,0),FALSE)</f>
        <v>0</v>
      </c>
      <c r="P32" s="63">
        <f>VLOOKUP($B32,'Tillförd energi'!$B$1:$AI$720,MATCH(P$2,'Tillförd energi'!$B$1:$AQ$1,0),FALSE)</f>
        <v>0</v>
      </c>
      <c r="Q32" s="63">
        <f>VLOOKUP($B32,'Tillförd energi'!$B$1:$AI$720,MATCH(Q$2,'Tillförd energi'!$B$1:$AQ$1,0),FALSE)</f>
        <v>32</v>
      </c>
      <c r="R32" s="63">
        <f>VLOOKUP($B32,'Tillförd energi'!$B$1:$AI$720,MATCH(R$2,'Tillförd energi'!$B$1:$AQ$1,0),FALSE)</f>
        <v>9.3000000000000007</v>
      </c>
      <c r="S32" s="63">
        <f>VLOOKUP($B32,'Tillförd energi'!$B$1:$AI$720,MATCH(S$2,'Tillförd energi'!$B$1:$AQ$1,0),FALSE)</f>
        <v>0</v>
      </c>
      <c r="T32" s="63">
        <f>VLOOKUP($B32,'Tillförd energi'!$B$1:$AI$720,MATCH(T$2,'Tillförd energi'!$B$1:$AQ$1,0),FALSE)</f>
        <v>0</v>
      </c>
      <c r="U32" s="63">
        <f>VLOOKUP($B32,'Tillförd energi'!$B$1:$AI$720,MATCH(U$2,'Tillförd energi'!$B$1:$AQ$1,0),FALSE)</f>
        <v>0</v>
      </c>
      <c r="V32" s="63">
        <f>VLOOKUP($B32,'Tillförd energi'!$B$1:$AI$720,MATCH(V$2,'Tillförd energi'!$B$1:$AQ$1,0),FALSE)</f>
        <v>0</v>
      </c>
      <c r="W32" s="63">
        <f>VLOOKUP($B32,'Tillförd energi'!$B$1:$AI$720,MATCH(W$2,'Tillförd energi'!$B$1:$AQ$1,0),FALSE)</f>
        <v>0</v>
      </c>
      <c r="X32" s="63">
        <f>VLOOKUP($B32,'Tillförd energi'!$B$1:$AI$720,MATCH(X$2,'Tillförd energi'!$B$1:$AQ$1,0),FALSE)</f>
        <v>0</v>
      </c>
      <c r="Y32" s="63">
        <f>VLOOKUP($B32,'Tillförd energi'!$B$1:$AI$720,MATCH(Y$2,'Tillförd energi'!$B$1:$AQ$1,0),FALSE)</f>
        <v>6.4</v>
      </c>
      <c r="Z32" s="63">
        <f>VLOOKUP($B32,'Tillförd energi'!$B$1:$AI$720,MATCH(Z$2,'Tillförd energi'!$B$1:$AQ$1,0),FALSE)</f>
        <v>0</v>
      </c>
      <c r="AA32" s="63">
        <f>VLOOKUP($B32,'Tillförd energi'!$B$1:$AI$720,MATCH(AA$2,'Tillförd energi'!$B$1:$AQ$1,0),FALSE)</f>
        <v>0</v>
      </c>
      <c r="AB32" s="63">
        <f>VLOOKUP($B32,'Tillförd energi'!$B$1:$AI$720,MATCH(AB$2,'Tillförd energi'!$B$1:$AQ$1,0),FALSE)</f>
        <v>0</v>
      </c>
      <c r="AC32" s="63">
        <f>VLOOKUP($B32,'Tillförd energi'!$B$1:$AI$720,MATCH(AC$2,'Tillförd energi'!$B$1:$AQ$1,0),FALSE)</f>
        <v>7.5</v>
      </c>
      <c r="AD32" s="63">
        <f>VLOOKUP($B32,'Tillförd energi'!$B$1:$AI$720,MATCH(AD$2,'Tillförd energi'!$B$1:$AQ$1,0),FALSE)</f>
        <v>0</v>
      </c>
      <c r="AE32" s="63">
        <f>VLOOKUP($B32,'Tillförd energi'!$B$1:$AI$720,MATCH(AE$2,'Tillförd energi'!$B$1:$AQ$1,0),FALSE)</f>
        <v>0</v>
      </c>
      <c r="AF32" s="63">
        <f>VLOOKUP($B32,'Tillförd energi'!$B$1:$AI$720,MATCH(AF$2,'Tillförd energi'!$B$1:$AQ$1,0),FALSE)</f>
        <v>1.177</v>
      </c>
      <c r="AG32" s="63">
        <f>IFERROR(VLOOKUP(B32,Miljö!$B$1:$AC$550,MATCH("Köpt mängd produktionsspecifik fjärrvärme:",Miljö!$B$1:$AC$1,0),FALSE)/1,0)</f>
        <v>0</v>
      </c>
      <c r="AI32" s="63">
        <f t="shared" si="0"/>
        <v>56.376999999999995</v>
      </c>
      <c r="AJ32" s="63">
        <f>IF(ISERROR(1/VLOOKUP($B32,Leveranser!$B$1:$S$500,MATCH("såld värme (gwh)",Leveranser!$B$1:$S$1,0),FALSE)),"",VLOOKUP($B32,Leveranser!$B$1:$S$500,MATCH("såld värme (gwh)",Leveranser!$B$1:$S$1,0),FALSE))</f>
        <v>41.6</v>
      </c>
      <c r="AM32" s="63" t="str">
        <f>IF(B32&lt;&gt;"",IF(VLOOKUP($B32,Totalt!$B$1:$AQ$554,MATCH("Kvalitetsgranskad:",Totalt!$B$1:$AQ$1,0),FALSE)="ja",VLOOKUP($B32,Miljö!$B$1:$AG$479,MATCH(AM$2,Miljö!$B$1:$AK$1,0),FALSE),""),"")</f>
        <v>Ja</v>
      </c>
      <c r="AN32" s="63" t="str">
        <f>IF(AM32="ja",VLOOKUP($B32,Miljö!$B$1:$J$479,MATCH("Typ av ursprungsspecificerad el   (Om inget värde anges används Nordisk residualmix, se inforuta) ()",Miljö!$B$1:$J$1,0),FALSE),IF(AM32="nej","Nordisk residualel",""))</f>
        <v>'nordisk residual el'</v>
      </c>
      <c r="AO32" s="63">
        <f>IF(AM32="","",VLOOKUP($B32,Miljö!$B$1:$J$479,MATCH("Fossilandel för ursprungspecificerad el ()",Miljö!$B$1:$J$1,0),FALSE))</f>
        <v>0.35</v>
      </c>
      <c r="AQ32" s="63">
        <f t="shared" si="1"/>
        <v>0.65</v>
      </c>
      <c r="AS32" s="63" t="str">
        <f t="shared" si="2"/>
        <v>Nej</v>
      </c>
      <c r="AT32" s="63" t="str">
        <f>IF(AS32="ja",VLOOKUP($B32,Miljö!$B$1:$P$500,MATCH("Fossil andel i procent (%)",Miljö!$B$1:$P$1,0),FALSE)/100,"")</f>
        <v/>
      </c>
      <c r="AV32" s="63" t="str">
        <f t="shared" si="3"/>
        <v>Nej</v>
      </c>
      <c r="AW32" s="63" t="str">
        <f>IF(AV32="ja",VLOOKUP($B32,'Egen hetvattenprod'!$B$1:$AO$500,MATCH("Värmekälla till värmepumpar ()",'Egen hetvattenprod'!$B$1:$AO$1,0),FALSE),"")</f>
        <v/>
      </c>
      <c r="AY32" s="63" t="str">
        <f t="shared" si="4"/>
        <v>Ja</v>
      </c>
      <c r="AZ32" s="77">
        <f>IF($AY32="ja",(VLOOKUP($B32,'Egen hetvattenprod'!$B$1:$BX$550,MATCH(AZ$2,'Egen hetvattenprod'!$B$1:$BX$1,0),FALSE)+VLOOKUP($B32,Kraftvärmeprod!$B$1:$BX$550,MATCH(AZ$2,Kraftvärmeprod!$B$1:$BX$1,0),FALSE))/$AC32,"")</f>
        <v>0.8</v>
      </c>
      <c r="BA32" s="77">
        <f>IF($AY32="ja",(VLOOKUP($B32,'Egen hetvattenprod'!$B$1:$BX$550,MATCH(BA$2,'Egen hetvattenprod'!$B$1:$BX$1,0),FALSE)+VLOOKUP($B32,Kraftvärmeprod!$B$1:$BX$550,MATCH(BA$2,Kraftvärmeprod!$B$1:$BX$1,0),FALSE))/$AC32,"")</f>
        <v>0</v>
      </c>
      <c r="BB32" s="77">
        <f>IF($AY32="ja",(VLOOKUP($B32,'Egen hetvattenprod'!$B$1:$BX$550,MATCH(BB$2,'Egen hetvattenprod'!$B$1:$BX$1,0),FALSE)+VLOOKUP($B32,Kraftvärmeprod!$B$1:$BX$550,MATCH(BB$2,Kraftvärmeprod!$B$1:$BX$1,0),FALSE))/$AC32,"")</f>
        <v>0</v>
      </c>
      <c r="BC32" s="77">
        <f>IF($AY32="ja",(VLOOKUP($B32,'Egen hetvattenprod'!$B$1:$BX$550,MATCH(BC$2,'Egen hetvattenprod'!$B$1:$BX$1,0),FALSE)+VLOOKUP($B32,Kraftvärmeprod!$B$1:$BX$550,MATCH(BC$2,Kraftvärmeprod!$B$1:$BX$1,0),FALSE))/$AC32,"")</f>
        <v>0.2</v>
      </c>
      <c r="BD32" s="77">
        <f>IF($AY32="ja",(VLOOKUP($B32,'Egen hetvattenprod'!$B$1:$BX$550,MATCH(BD$2,'Egen hetvattenprod'!$B$1:$BX$1,0),FALSE)+VLOOKUP($B32,Kraftvärmeprod!$B$1:$BX$550,MATCH(BD$2,Kraftvärmeprod!$B$1:$BX$1,0),FALSE))/$AC32,"")</f>
        <v>0</v>
      </c>
      <c r="BF32" s="63" t="str">
        <f t="shared" si="5"/>
        <v>Nej</v>
      </c>
      <c r="BG32" s="63" t="str">
        <f>IF($BF32="ja",VLOOKUP($B32,'Egen hetvattenprod'!$B$1:$BX$550,MATCH("Andelen klimatgaser med fossilt ursprung för avfall ()",'Egen hetvattenprod'!$B$1:$BX$1,0),FALSE),"")</f>
        <v/>
      </c>
      <c r="BH32" s="63" t="str">
        <f>IF($BF32="ja",VLOOKUP($B32,Kraftvärmeprod!$B$1:$BX$550,MATCH("Andelen klimatgaser med fossilt ursprung för avfall ()",Kraftvärmeprod!$B$1:$BX$1,0),FALSE),"")</f>
        <v/>
      </c>
      <c r="BI32" s="63" t="str">
        <f>IF($BF32="ja",VLOOKUP($B32,'Egen hetvattenprod'!$B$1:$BX$550,MATCH("Avfall (GWh)",'Egen hetvattenprod'!$B$1:$BX$1,0),FALSE),"")</f>
        <v/>
      </c>
      <c r="BJ32" s="63" t="str">
        <f>IF($BF32="ja",VLOOKUP($B32,'Slutlig allokering kvv'!$B$1:$BX$550,MATCH("Avfall (GWh)",'Slutlig allokering kvv'!$B$1:$BX$1,0),FALSE),"")</f>
        <v/>
      </c>
      <c r="BK32" s="63" t="str">
        <f>IF($BF32="ja",VLOOKUP($B32,'Köpt hetvatten'!$B$1:$BX$550,MATCH("Avfall i köpt hetvatten",'Köpt hetvatten'!$B$1:$BX$1,0),FALSE),"")</f>
        <v/>
      </c>
      <c r="BL32" s="63" t="str">
        <f>IF($BF32="ja",VLOOKUP($B32,'Egen hetvattenprod'!$B$1:$BX$550,MATCH("Värde enligt ovan. (%)",'Egen hetvattenprod'!$B$1:$BX$1,0),FALSE),"")</f>
        <v/>
      </c>
      <c r="BM32" s="63" t="str">
        <f>IF($BF32="ja",VLOOKUP($B32,Kraftvärmeprod!$B$1:$BX$550,MATCH("Värde enligt ovan. (%)",Kraftvärmeprod!$B$1:$BX$1,0),FALSE),"")</f>
        <v/>
      </c>
    </row>
    <row r="33" spans="1:65" x14ac:dyDescent="0.45">
      <c r="A33" s="63" t="s">
        <v>655</v>
      </c>
      <c r="B33" s="63" t="s">
        <v>654</v>
      </c>
      <c r="C33" s="63">
        <f>VLOOKUP($B33,'Tillförd energi'!$B$1:$AI$720,MATCH(C$2,'Tillförd energi'!$B$1:$AQ$1,0),FALSE)</f>
        <v>0</v>
      </c>
      <c r="D33" s="63">
        <f>VLOOKUP($B33,'Tillförd energi'!$B$1:$AI$720,MATCH(D$2,'Tillförd energi'!$B$1:$AQ$1,0),FALSE)</f>
        <v>1.74</v>
      </c>
      <c r="E33" s="63">
        <f>VLOOKUP($B33,'Tillförd energi'!$B$1:$AI$720,MATCH(E$2,'Tillförd energi'!$B$1:$AQ$1,0),FALSE)</f>
        <v>0</v>
      </c>
      <c r="F33" s="63">
        <f>VLOOKUP($B33,'Tillförd energi'!$B$1:$AI$720,MATCH(F$2,'Tillförd energi'!$B$1:$AQ$1,0),FALSE)</f>
        <v>1.67</v>
      </c>
      <c r="G33" s="63">
        <f>VLOOKUP($B33,'Tillförd energi'!$B$1:$AI$720,MATCH(G$2,'Tillförd energi'!$B$1:$AQ$1,0),FALSE)</f>
        <v>0</v>
      </c>
      <c r="H33" s="63">
        <f>VLOOKUP($B33,'Tillförd energi'!$B$1:$AI$720,MATCH(H$2,'Tillförd energi'!$B$1:$AQ$1,0),FALSE)</f>
        <v>0</v>
      </c>
      <c r="I33" s="63">
        <f>VLOOKUP($B33,'Tillförd energi'!$B$1:$AI$720,MATCH(I$2,'Tillförd energi'!$B$1:$AQ$1,0),FALSE)</f>
        <v>0</v>
      </c>
      <c r="J33" s="63">
        <f>VLOOKUP($B33,'Tillförd energi'!$B$1:$AI$720,MATCH(J$2,'Tillförd energi'!$B$1:$AQ$1,0),FALSE)</f>
        <v>0.84</v>
      </c>
      <c r="K33" s="63">
        <f>VLOOKUP($B33,'Tillförd energi'!$B$1:$AI$720,MATCH(K$2,'Tillförd energi'!$B$1:$AQ$1,0),FALSE)</f>
        <v>0</v>
      </c>
      <c r="L33" s="63">
        <f>VLOOKUP($B33,'Tillförd energi'!$B$1:$AI$720,MATCH(L$2,'Tillförd energi'!$B$1:$AQ$1,0),FALSE)</f>
        <v>0</v>
      </c>
      <c r="M33" s="63">
        <f>VLOOKUP($B33,'Tillförd energi'!$B$1:$AI$720,MATCH(M$2,'Tillförd energi'!$B$1:$AQ$1,0),FALSE)</f>
        <v>0</v>
      </c>
      <c r="N33" s="63">
        <f>VLOOKUP($B33,'Tillförd energi'!$B$1:$AI$720,MATCH(N$2,'Tillförd energi'!$B$1:$AQ$1,0),FALSE)</f>
        <v>0</v>
      </c>
      <c r="O33" s="63">
        <f>VLOOKUP($B33,'Tillförd energi'!$B$1:$AI$720,MATCH(O$2,'Tillförd energi'!$B$1:$AQ$1,0),FALSE)</f>
        <v>0</v>
      </c>
      <c r="P33" s="63">
        <f>VLOOKUP($B33,'Tillförd energi'!$B$1:$AI$720,MATCH(P$2,'Tillförd energi'!$B$1:$AQ$1,0),FALSE)</f>
        <v>0</v>
      </c>
      <c r="Q33" s="63">
        <f>VLOOKUP($B33,'Tillförd energi'!$B$1:$AI$720,MATCH(Q$2,'Tillförd energi'!$B$1:$AQ$1,0),FALSE)</f>
        <v>85.4</v>
      </c>
      <c r="R33" s="63">
        <f>VLOOKUP($B33,'Tillförd energi'!$B$1:$AI$720,MATCH(R$2,'Tillförd energi'!$B$1:$AQ$1,0),FALSE)</f>
        <v>15.5</v>
      </c>
      <c r="S33" s="63">
        <f>VLOOKUP($B33,'Tillförd energi'!$B$1:$AI$720,MATCH(S$2,'Tillförd energi'!$B$1:$AQ$1,0),FALSE)</f>
        <v>0</v>
      </c>
      <c r="T33" s="63">
        <f>VLOOKUP($B33,'Tillförd energi'!$B$1:$AI$720,MATCH(T$2,'Tillförd energi'!$B$1:$AQ$1,0),FALSE)</f>
        <v>0</v>
      </c>
      <c r="U33" s="63">
        <f>VLOOKUP($B33,'Tillförd energi'!$B$1:$AI$720,MATCH(U$2,'Tillförd energi'!$B$1:$AQ$1,0),FALSE)</f>
        <v>0</v>
      </c>
      <c r="V33" s="63">
        <f>VLOOKUP($B33,'Tillförd energi'!$B$1:$AI$720,MATCH(V$2,'Tillförd energi'!$B$1:$AQ$1,0),FALSE)</f>
        <v>0</v>
      </c>
      <c r="W33" s="63">
        <f>VLOOKUP($B33,'Tillförd energi'!$B$1:$AI$720,MATCH(W$2,'Tillförd energi'!$B$1:$AQ$1,0),FALSE)</f>
        <v>0</v>
      </c>
      <c r="X33" s="63">
        <f>VLOOKUP($B33,'Tillförd energi'!$B$1:$AI$720,MATCH(X$2,'Tillförd energi'!$B$1:$AQ$1,0),FALSE)</f>
        <v>0</v>
      </c>
      <c r="Y33" s="63">
        <f>VLOOKUP($B33,'Tillförd energi'!$B$1:$AI$720,MATCH(Y$2,'Tillförd energi'!$B$1:$AQ$1,0),FALSE)</f>
        <v>0</v>
      </c>
      <c r="Z33" s="63">
        <f>VLOOKUP($B33,'Tillförd energi'!$B$1:$AI$720,MATCH(Z$2,'Tillförd energi'!$B$1:$AQ$1,0),FALSE)</f>
        <v>0</v>
      </c>
      <c r="AA33" s="63">
        <f>VLOOKUP($B33,'Tillförd energi'!$B$1:$AI$720,MATCH(AA$2,'Tillförd energi'!$B$1:$AQ$1,0),FALSE)</f>
        <v>0</v>
      </c>
      <c r="AB33" s="63">
        <f>VLOOKUP($B33,'Tillförd energi'!$B$1:$AI$720,MATCH(AB$2,'Tillförd energi'!$B$1:$AQ$1,0),FALSE)</f>
        <v>0</v>
      </c>
      <c r="AC33" s="63">
        <f>VLOOKUP($B33,'Tillförd energi'!$B$1:$AI$720,MATCH(AC$2,'Tillförd energi'!$B$1:$AQ$1,0),FALSE)</f>
        <v>20</v>
      </c>
      <c r="AD33" s="63">
        <f>VLOOKUP($B33,'Tillförd energi'!$B$1:$AI$720,MATCH(AD$2,'Tillförd energi'!$B$1:$AQ$1,0),FALSE)</f>
        <v>8.01</v>
      </c>
      <c r="AE33" s="63">
        <f>VLOOKUP($B33,'Tillförd energi'!$B$1:$AI$720,MATCH(AE$2,'Tillförd energi'!$B$1:$AQ$1,0),FALSE)</f>
        <v>0</v>
      </c>
      <c r="AF33" s="63">
        <f>VLOOKUP($B33,'Tillförd energi'!$B$1:$AI$720,MATCH(AF$2,'Tillförd energi'!$B$1:$AQ$1,0),FALSE)</f>
        <v>3.35</v>
      </c>
      <c r="AG33" s="63">
        <f>IFERROR(VLOOKUP(B33,Miljö!$B$1:$AC$550,MATCH("Köpt mängd produktionsspecifik fjärrvärme:",Miljö!$B$1:$AC$1,0),FALSE)/1,0)</f>
        <v>0</v>
      </c>
      <c r="AI33" s="63">
        <f t="shared" si="0"/>
        <v>136.51</v>
      </c>
      <c r="AJ33" s="63">
        <f>IF(ISERROR(1/VLOOKUP($B33,Leveranser!$B$1:$S$500,MATCH("såld värme (gwh)",Leveranser!$B$1:$S$1,0),FALSE)),"",VLOOKUP($B33,Leveranser!$B$1:$S$500,MATCH("såld värme (gwh)",Leveranser!$B$1:$S$1,0),FALSE))</f>
        <v>106.7</v>
      </c>
      <c r="AM33" s="63" t="str">
        <f>IF(B33&lt;&gt;"",IF(VLOOKUP($B33,Totalt!$B$1:$AQ$554,MATCH("Kvalitetsgranskad:",Totalt!$B$1:$AQ$1,0),FALSE)="ja",VLOOKUP($B33,Miljö!$B$1:$AG$479,MATCH(AM$2,Miljö!$B$1:$AK$1,0),FALSE),""),"")</f>
        <v>Ja</v>
      </c>
      <c r="AN33" s="63" t="str">
        <f>IF(AM33="ja",VLOOKUP($B33,Miljö!$B$1:$J$479,MATCH("Typ av ursprungsspecificerad el   (Om inget värde anges används Nordisk residualmix, se inforuta) ()",Miljö!$B$1:$J$1,0),FALSE),IF(AM33="nej","Nordisk residualel",""))</f>
        <v>'Vattenkraft'</v>
      </c>
      <c r="AO33" s="63">
        <f>IF(AM33="","",VLOOKUP($B33,Miljö!$B$1:$J$479,MATCH("Fossilandel för ursprungspecificerad el ()",Miljö!$B$1:$J$1,0),FALSE))</f>
        <v>0</v>
      </c>
      <c r="AQ33" s="63">
        <f t="shared" si="1"/>
        <v>1</v>
      </c>
      <c r="AS33" s="63" t="str">
        <f t="shared" si="2"/>
        <v>Nej</v>
      </c>
      <c r="AT33" s="63" t="str">
        <f>IF(AS33="ja",VLOOKUP($B33,Miljö!$B$1:$P$500,MATCH("Fossil andel i procent (%)",Miljö!$B$1:$P$1,0),FALSE)/100,"")</f>
        <v/>
      </c>
      <c r="AV33" s="63" t="str">
        <f t="shared" si="3"/>
        <v>Nej</v>
      </c>
      <c r="AW33" s="63" t="str">
        <f>IF(AV33="ja",VLOOKUP($B33,'Egen hetvattenprod'!$B$1:$AO$500,MATCH("Värmekälla till värmepumpar ()",'Egen hetvattenprod'!$B$1:$AO$1,0),FALSE),"")</f>
        <v/>
      </c>
      <c r="AY33" s="63" t="str">
        <f t="shared" si="4"/>
        <v>Ja</v>
      </c>
      <c r="AZ33" s="77">
        <f>IF($AY33="ja",(VLOOKUP($B33,'Egen hetvattenprod'!$B$1:$BX$550,MATCH(AZ$2,'Egen hetvattenprod'!$B$1:$BX$1,0),FALSE)+VLOOKUP($B33,Kraftvärmeprod!$B$1:$BX$550,MATCH(AZ$2,Kraftvärmeprod!$B$1:$BX$1,0),FALSE))/$AC33,"")</f>
        <v>1</v>
      </c>
      <c r="BA33" s="77">
        <f>IF($AY33="ja",(VLOOKUP($B33,'Egen hetvattenprod'!$B$1:$BX$550,MATCH(BA$2,'Egen hetvattenprod'!$B$1:$BX$1,0),FALSE)+VLOOKUP($B33,Kraftvärmeprod!$B$1:$BX$550,MATCH(BA$2,Kraftvärmeprod!$B$1:$BX$1,0),FALSE))/$AC33,"")</f>
        <v>0</v>
      </c>
      <c r="BB33" s="77">
        <f>IF($AY33="ja",(VLOOKUP($B33,'Egen hetvattenprod'!$B$1:$BX$550,MATCH(BB$2,'Egen hetvattenprod'!$B$1:$BX$1,0),FALSE)+VLOOKUP($B33,Kraftvärmeprod!$B$1:$BX$550,MATCH(BB$2,Kraftvärmeprod!$B$1:$BX$1,0),FALSE))/$AC33,"")</f>
        <v>0</v>
      </c>
      <c r="BC33" s="77">
        <f>IF($AY33="ja",(VLOOKUP($B33,'Egen hetvattenprod'!$B$1:$BX$550,MATCH(BC$2,'Egen hetvattenprod'!$B$1:$BX$1,0),FALSE)+VLOOKUP($B33,Kraftvärmeprod!$B$1:$BX$550,MATCH(BC$2,Kraftvärmeprod!$B$1:$BX$1,0),FALSE))/$AC33,"")</f>
        <v>0</v>
      </c>
      <c r="BD33" s="77">
        <f>IF($AY33="ja",(VLOOKUP($B33,'Egen hetvattenprod'!$B$1:$BX$550,MATCH(BD$2,'Egen hetvattenprod'!$B$1:$BX$1,0),FALSE)+VLOOKUP($B33,Kraftvärmeprod!$B$1:$BX$550,MATCH(BD$2,Kraftvärmeprod!$B$1:$BX$1,0),FALSE))/$AC33,"")</f>
        <v>0</v>
      </c>
      <c r="BF33" s="63" t="str">
        <f t="shared" si="5"/>
        <v>Nej</v>
      </c>
      <c r="BG33" s="63" t="str">
        <f>IF($BF33="ja",VLOOKUP($B33,'Egen hetvattenprod'!$B$1:$BX$550,MATCH("Andelen klimatgaser med fossilt ursprung för avfall ()",'Egen hetvattenprod'!$B$1:$BX$1,0),FALSE),"")</f>
        <v/>
      </c>
      <c r="BH33" s="63" t="str">
        <f>IF($BF33="ja",VLOOKUP($B33,Kraftvärmeprod!$B$1:$BX$550,MATCH("Andelen klimatgaser med fossilt ursprung för avfall ()",Kraftvärmeprod!$B$1:$BX$1,0),FALSE),"")</f>
        <v/>
      </c>
      <c r="BI33" s="63" t="str">
        <f>IF($BF33="ja",VLOOKUP($B33,'Egen hetvattenprod'!$B$1:$BX$550,MATCH("Avfall (GWh)",'Egen hetvattenprod'!$B$1:$BX$1,0),FALSE),"")</f>
        <v/>
      </c>
      <c r="BJ33" s="63" t="str">
        <f>IF($BF33="ja",VLOOKUP($B33,'Slutlig allokering kvv'!$B$1:$BX$550,MATCH("Avfall (GWh)",'Slutlig allokering kvv'!$B$1:$BX$1,0),FALSE),"")</f>
        <v/>
      </c>
      <c r="BK33" s="63" t="str">
        <f>IF($BF33="ja",VLOOKUP($B33,'Köpt hetvatten'!$B$1:$BX$550,MATCH("Avfall i köpt hetvatten",'Köpt hetvatten'!$B$1:$BX$1,0),FALSE),"")</f>
        <v/>
      </c>
      <c r="BL33" s="63" t="str">
        <f>IF($BF33="ja",VLOOKUP($B33,'Egen hetvattenprod'!$B$1:$BX$550,MATCH("Värde enligt ovan. (%)",'Egen hetvattenprod'!$B$1:$BX$1,0),FALSE),"")</f>
        <v/>
      </c>
      <c r="BM33" s="63" t="str">
        <f>IF($BF33="ja",VLOOKUP($B33,Kraftvärmeprod!$B$1:$BX$550,MATCH("Värde enligt ovan. (%)",Kraftvärmeprod!$B$1:$BX$1,0),FALSE),"")</f>
        <v/>
      </c>
    </row>
    <row r="34" spans="1:65" x14ac:dyDescent="0.45">
      <c r="A34" s="63" t="s">
        <v>653</v>
      </c>
      <c r="B34" s="63" t="s">
        <v>652</v>
      </c>
      <c r="C34" s="63">
        <f>VLOOKUP($B34,'Tillförd energi'!$B$1:$AI$720,MATCH(C$2,'Tillförd energi'!$B$1:$AQ$1,0),FALSE)</f>
        <v>0</v>
      </c>
      <c r="D34" s="63">
        <f>VLOOKUP($B34,'Tillförd energi'!$B$1:$AI$720,MATCH(D$2,'Tillförd energi'!$B$1:$AQ$1,0),FALSE)</f>
        <v>0.1</v>
      </c>
      <c r="E34" s="63">
        <f>VLOOKUP($B34,'Tillförd energi'!$B$1:$AI$720,MATCH(E$2,'Tillförd energi'!$B$1:$AQ$1,0),FALSE)</f>
        <v>0</v>
      </c>
      <c r="F34" s="63">
        <f>VLOOKUP($B34,'Tillförd energi'!$B$1:$AI$720,MATCH(F$2,'Tillförd energi'!$B$1:$AQ$1,0),FALSE)</f>
        <v>0</v>
      </c>
      <c r="G34" s="63">
        <f>VLOOKUP($B34,'Tillförd energi'!$B$1:$AI$720,MATCH(G$2,'Tillförd energi'!$B$1:$AQ$1,0),FALSE)</f>
        <v>0</v>
      </c>
      <c r="H34" s="63">
        <f>VLOOKUP($B34,'Tillförd energi'!$B$1:$AI$720,MATCH(H$2,'Tillförd energi'!$B$1:$AQ$1,0),FALSE)</f>
        <v>0</v>
      </c>
      <c r="I34" s="63">
        <f>VLOOKUP($B34,'Tillförd energi'!$B$1:$AI$720,MATCH(I$2,'Tillförd energi'!$B$1:$AQ$1,0),FALSE)</f>
        <v>0</v>
      </c>
      <c r="J34" s="63">
        <f>VLOOKUP($B34,'Tillförd energi'!$B$1:$AI$720,MATCH(J$2,'Tillförd energi'!$B$1:$AQ$1,0),FALSE)</f>
        <v>0</v>
      </c>
      <c r="K34" s="63">
        <f>VLOOKUP($B34,'Tillförd energi'!$B$1:$AI$720,MATCH(K$2,'Tillförd energi'!$B$1:$AQ$1,0),FALSE)</f>
        <v>0</v>
      </c>
      <c r="L34" s="63">
        <f>VLOOKUP($B34,'Tillförd energi'!$B$1:$AI$720,MATCH(L$2,'Tillförd energi'!$B$1:$AQ$1,0),FALSE)</f>
        <v>0</v>
      </c>
      <c r="M34" s="63">
        <f>VLOOKUP($B34,'Tillförd energi'!$B$1:$AI$720,MATCH(M$2,'Tillförd energi'!$B$1:$AQ$1,0),FALSE)</f>
        <v>0</v>
      </c>
      <c r="N34" s="63">
        <f>VLOOKUP($B34,'Tillförd energi'!$B$1:$AI$720,MATCH(N$2,'Tillförd energi'!$B$1:$AQ$1,0),FALSE)</f>
        <v>0</v>
      </c>
      <c r="O34" s="63">
        <f>VLOOKUP($B34,'Tillförd energi'!$B$1:$AI$720,MATCH(O$2,'Tillförd energi'!$B$1:$AQ$1,0),FALSE)</f>
        <v>0</v>
      </c>
      <c r="P34" s="63">
        <f>VLOOKUP($B34,'Tillförd energi'!$B$1:$AI$720,MATCH(P$2,'Tillförd energi'!$B$1:$AQ$1,0),FALSE)</f>
        <v>0</v>
      </c>
      <c r="Q34" s="63">
        <f>VLOOKUP($B34,'Tillförd energi'!$B$1:$AI$720,MATCH(Q$2,'Tillförd energi'!$B$1:$AQ$1,0),FALSE)</f>
        <v>0</v>
      </c>
      <c r="R34" s="63">
        <f>VLOOKUP($B34,'Tillförd energi'!$B$1:$AI$720,MATCH(R$2,'Tillförd energi'!$B$1:$AQ$1,0),FALSE)</f>
        <v>1.3</v>
      </c>
      <c r="S34" s="63">
        <f>VLOOKUP($B34,'Tillförd energi'!$B$1:$AI$720,MATCH(S$2,'Tillförd energi'!$B$1:$AQ$1,0),FALSE)</f>
        <v>0</v>
      </c>
      <c r="T34" s="63">
        <f>VLOOKUP($B34,'Tillförd energi'!$B$1:$AI$720,MATCH(T$2,'Tillförd energi'!$B$1:$AQ$1,0),FALSE)</f>
        <v>0</v>
      </c>
      <c r="U34" s="63">
        <f>VLOOKUP($B34,'Tillförd energi'!$B$1:$AI$720,MATCH(U$2,'Tillförd energi'!$B$1:$AQ$1,0),FALSE)</f>
        <v>0</v>
      </c>
      <c r="V34" s="63">
        <f>VLOOKUP($B34,'Tillförd energi'!$B$1:$AI$720,MATCH(V$2,'Tillförd energi'!$B$1:$AQ$1,0),FALSE)</f>
        <v>0</v>
      </c>
      <c r="W34" s="63">
        <f>VLOOKUP($B34,'Tillförd energi'!$B$1:$AI$720,MATCH(W$2,'Tillförd energi'!$B$1:$AQ$1,0),FALSE)</f>
        <v>0</v>
      </c>
      <c r="X34" s="63">
        <f>VLOOKUP($B34,'Tillförd energi'!$B$1:$AI$720,MATCH(X$2,'Tillförd energi'!$B$1:$AQ$1,0),FALSE)</f>
        <v>0</v>
      </c>
      <c r="Y34" s="63">
        <f>VLOOKUP($B34,'Tillförd energi'!$B$1:$AI$720,MATCH(Y$2,'Tillförd energi'!$B$1:$AQ$1,0),FALSE)</f>
        <v>0</v>
      </c>
      <c r="Z34" s="63">
        <f>VLOOKUP($B34,'Tillförd energi'!$B$1:$AI$720,MATCH(Z$2,'Tillförd energi'!$B$1:$AQ$1,0),FALSE)</f>
        <v>0</v>
      </c>
      <c r="AA34" s="63">
        <f>VLOOKUP($B34,'Tillförd energi'!$B$1:$AI$720,MATCH(AA$2,'Tillförd energi'!$B$1:$AQ$1,0),FALSE)</f>
        <v>0</v>
      </c>
      <c r="AB34" s="63">
        <f>VLOOKUP($B34,'Tillförd energi'!$B$1:$AI$720,MATCH(AB$2,'Tillförd energi'!$B$1:$AQ$1,0),FALSE)</f>
        <v>0</v>
      </c>
      <c r="AC34" s="63">
        <f>VLOOKUP($B34,'Tillförd energi'!$B$1:$AI$720,MATCH(AC$2,'Tillförd energi'!$B$1:$AQ$1,0),FALSE)</f>
        <v>0</v>
      </c>
      <c r="AD34" s="63">
        <f>VLOOKUP($B34,'Tillförd energi'!$B$1:$AI$720,MATCH(AD$2,'Tillförd energi'!$B$1:$AQ$1,0),FALSE)</f>
        <v>8.6</v>
      </c>
      <c r="AE34" s="63">
        <f>VLOOKUP($B34,'Tillförd energi'!$B$1:$AI$720,MATCH(AE$2,'Tillförd energi'!$B$1:$AQ$1,0),FALSE)</f>
        <v>0</v>
      </c>
      <c r="AF34" s="63">
        <f>VLOOKUP($B34,'Tillförd energi'!$B$1:$AI$720,MATCH(AF$2,'Tillförd energi'!$B$1:$AQ$1,0),FALSE)</f>
        <v>0.06</v>
      </c>
      <c r="AG34" s="63">
        <f>IFERROR(VLOOKUP(B34,Miljö!$B$1:$AC$550,MATCH("Köpt mängd produktionsspecifik fjärrvärme:",Miljö!$B$1:$AC$1,0),FALSE)/1,0)</f>
        <v>0</v>
      </c>
      <c r="AI34" s="63">
        <f t="shared" si="0"/>
        <v>10.06</v>
      </c>
      <c r="AJ34" s="63">
        <f>IF(ISERROR(1/VLOOKUP($B34,Leveranser!$B$1:$S$500,MATCH("såld värme (gwh)",Leveranser!$B$1:$S$1,0),FALSE)),"",VLOOKUP($B34,Leveranser!$B$1:$S$500,MATCH("såld värme (gwh)",Leveranser!$B$1:$S$1,0),FALSE))</f>
        <v>8.6999999999999993</v>
      </c>
      <c r="AM34" s="63" t="str">
        <f>IF(B34&lt;&gt;"",IF(VLOOKUP($B34,Totalt!$B$1:$AQ$554,MATCH("Kvalitetsgranskad:",Totalt!$B$1:$AQ$1,0),FALSE)="ja",VLOOKUP($B34,Miljö!$B$1:$AG$479,MATCH(AM$2,Miljö!$B$1:$AK$1,0),FALSE),""),"")</f>
        <v>Ja</v>
      </c>
      <c r="AN34" s="63" t="str">
        <f>IF(AM34="ja",VLOOKUP($B34,Miljö!$B$1:$J$479,MATCH("Typ av ursprungsspecificerad el   (Om inget värde anges används Nordisk residualmix, se inforuta) ()",Miljö!$B$1:$J$1,0),FALSE),IF(AM34="nej","Nordisk residualel",""))</f>
        <v>'vattenkraft'</v>
      </c>
      <c r="AO34" s="63">
        <f>IF(AM34="","",VLOOKUP($B34,Miljö!$B$1:$J$479,MATCH("Fossilandel för ursprungspecificerad el ()",Miljö!$B$1:$J$1,0),FALSE))</f>
        <v>0</v>
      </c>
      <c r="AQ34" s="63">
        <f t="shared" si="1"/>
        <v>1</v>
      </c>
      <c r="AS34" s="63" t="str">
        <f t="shared" si="2"/>
        <v>Nej</v>
      </c>
      <c r="AT34" s="63" t="str">
        <f>IF(AS34="ja",VLOOKUP($B34,Miljö!$B$1:$P$500,MATCH("Fossil andel i procent (%)",Miljö!$B$1:$P$1,0),FALSE)/100,"")</f>
        <v/>
      </c>
      <c r="AV34" s="63" t="str">
        <f t="shared" si="3"/>
        <v>Nej</v>
      </c>
      <c r="AW34" s="63" t="str">
        <f>IF(AV34="ja",VLOOKUP($B34,'Egen hetvattenprod'!$B$1:$AO$500,MATCH("Värmekälla till värmepumpar ()",'Egen hetvattenprod'!$B$1:$AO$1,0),FALSE),"")</f>
        <v/>
      </c>
      <c r="AY34" s="63" t="str">
        <f t="shared" si="4"/>
        <v>Nej</v>
      </c>
      <c r="AZ34" s="77" t="str">
        <f>IF($AY34="ja",(VLOOKUP($B34,'Egen hetvattenprod'!$B$1:$BX$550,MATCH(AZ$2,'Egen hetvattenprod'!$B$1:$BX$1,0),FALSE)+VLOOKUP($B34,Kraftvärmeprod!$B$1:$BX$550,MATCH(AZ$2,Kraftvärmeprod!$B$1:$BX$1,0),FALSE))/$AC34,"")</f>
        <v/>
      </c>
      <c r="BA34" s="77" t="str">
        <f>IF($AY34="ja",(VLOOKUP($B34,'Egen hetvattenprod'!$B$1:$BX$550,MATCH(BA$2,'Egen hetvattenprod'!$B$1:$BX$1,0),FALSE)+VLOOKUP($B34,Kraftvärmeprod!$B$1:$BX$550,MATCH(BA$2,Kraftvärmeprod!$B$1:$BX$1,0),FALSE))/$AC34,"")</f>
        <v/>
      </c>
      <c r="BB34" s="77" t="str">
        <f>IF($AY34="ja",(VLOOKUP($B34,'Egen hetvattenprod'!$B$1:$BX$550,MATCH(BB$2,'Egen hetvattenprod'!$B$1:$BX$1,0),FALSE)+VLOOKUP($B34,Kraftvärmeprod!$B$1:$BX$550,MATCH(BB$2,Kraftvärmeprod!$B$1:$BX$1,0),FALSE))/$AC34,"")</f>
        <v/>
      </c>
      <c r="BC34" s="77" t="str">
        <f>IF($AY34="ja",(VLOOKUP($B34,'Egen hetvattenprod'!$B$1:$BX$550,MATCH(BC$2,'Egen hetvattenprod'!$B$1:$BX$1,0),FALSE)+VLOOKUP($B34,Kraftvärmeprod!$B$1:$BX$550,MATCH(BC$2,Kraftvärmeprod!$B$1:$BX$1,0),FALSE))/$AC34,"")</f>
        <v/>
      </c>
      <c r="BD34" s="77" t="str">
        <f>IF($AY34="ja",(VLOOKUP($B34,'Egen hetvattenprod'!$B$1:$BX$550,MATCH(BD$2,'Egen hetvattenprod'!$B$1:$BX$1,0),FALSE)+VLOOKUP($B34,Kraftvärmeprod!$B$1:$BX$550,MATCH(BD$2,Kraftvärmeprod!$B$1:$BX$1,0),FALSE))/$AC34,"")</f>
        <v/>
      </c>
      <c r="BF34" s="63" t="str">
        <f t="shared" si="5"/>
        <v>Nej</v>
      </c>
      <c r="BG34" s="63" t="str">
        <f>IF($BF34="ja",VLOOKUP($B34,'Egen hetvattenprod'!$B$1:$BX$550,MATCH("Andelen klimatgaser med fossilt ursprung för avfall ()",'Egen hetvattenprod'!$B$1:$BX$1,0),FALSE),"")</f>
        <v/>
      </c>
      <c r="BH34" s="63" t="str">
        <f>IF($BF34="ja",VLOOKUP($B34,Kraftvärmeprod!$B$1:$BX$550,MATCH("Andelen klimatgaser med fossilt ursprung för avfall ()",Kraftvärmeprod!$B$1:$BX$1,0),FALSE),"")</f>
        <v/>
      </c>
      <c r="BI34" s="63" t="str">
        <f>IF($BF34="ja",VLOOKUP($B34,'Egen hetvattenprod'!$B$1:$BX$550,MATCH("Avfall (GWh)",'Egen hetvattenprod'!$B$1:$BX$1,0),FALSE),"")</f>
        <v/>
      </c>
      <c r="BJ34" s="63" t="str">
        <f>IF($BF34="ja",VLOOKUP($B34,'Slutlig allokering kvv'!$B$1:$BX$550,MATCH("Avfall (GWh)",'Slutlig allokering kvv'!$B$1:$BX$1,0),FALSE),"")</f>
        <v/>
      </c>
      <c r="BK34" s="63" t="str">
        <f>IF($BF34="ja",VLOOKUP($B34,'Köpt hetvatten'!$B$1:$BX$550,MATCH("Avfall i köpt hetvatten",'Köpt hetvatten'!$B$1:$BX$1,0),FALSE),"")</f>
        <v/>
      </c>
      <c r="BL34" s="63" t="str">
        <f>IF($BF34="ja",VLOOKUP($B34,'Egen hetvattenprod'!$B$1:$BX$550,MATCH("Värde enligt ovan. (%)",'Egen hetvattenprod'!$B$1:$BX$1,0),FALSE),"")</f>
        <v/>
      </c>
      <c r="BM34" s="63" t="str">
        <f>IF($BF34="ja",VLOOKUP($B34,Kraftvärmeprod!$B$1:$BX$550,MATCH("Värde enligt ovan. (%)",Kraftvärmeprod!$B$1:$BX$1,0),FALSE),"")</f>
        <v/>
      </c>
    </row>
    <row r="35" spans="1:65" x14ac:dyDescent="0.45">
      <c r="A35" s="63" t="s">
        <v>651</v>
      </c>
      <c r="B35" s="63" t="s">
        <v>62</v>
      </c>
      <c r="C35" s="63">
        <f>VLOOKUP($B35,'Tillförd energi'!$B$1:$AI$720,MATCH(C$2,'Tillförd energi'!$B$1:$AQ$1,0),FALSE)</f>
        <v>0</v>
      </c>
      <c r="D35" s="63">
        <f>VLOOKUP($B35,'Tillförd energi'!$B$1:$AI$720,MATCH(D$2,'Tillförd energi'!$B$1:$AQ$1,0),FALSE)</f>
        <v>1.5</v>
      </c>
      <c r="E35" s="63">
        <f>VLOOKUP($B35,'Tillförd energi'!$B$1:$AI$720,MATCH(E$2,'Tillförd energi'!$B$1:$AQ$1,0),FALSE)</f>
        <v>0</v>
      </c>
      <c r="F35" s="63">
        <f>VLOOKUP($B35,'Tillförd energi'!$B$1:$AI$720,MATCH(F$2,'Tillförd energi'!$B$1:$AQ$1,0),FALSE)</f>
        <v>1.33</v>
      </c>
      <c r="G35" s="63">
        <f>VLOOKUP($B35,'Tillförd energi'!$B$1:$AI$720,MATCH(G$2,'Tillförd energi'!$B$1:$AQ$1,0),FALSE)</f>
        <v>0</v>
      </c>
      <c r="H35" s="63">
        <f>VLOOKUP($B35,'Tillförd energi'!$B$1:$AI$720,MATCH(H$2,'Tillförd energi'!$B$1:$AQ$1,0),FALSE)</f>
        <v>0</v>
      </c>
      <c r="I35" s="63">
        <f>VLOOKUP($B35,'Tillförd energi'!$B$1:$AI$720,MATCH(I$2,'Tillförd energi'!$B$1:$AQ$1,0),FALSE)</f>
        <v>293.024</v>
      </c>
      <c r="J35" s="63">
        <f>VLOOKUP($B35,'Tillförd energi'!$B$1:$AI$720,MATCH(J$2,'Tillförd energi'!$B$1:$AQ$1,0),FALSE)</f>
        <v>0</v>
      </c>
      <c r="K35" s="63">
        <f>VLOOKUP($B35,'Tillförd energi'!$B$1:$AI$720,MATCH(K$2,'Tillförd energi'!$B$1:$AQ$1,0),FALSE)</f>
        <v>0</v>
      </c>
      <c r="L35" s="63">
        <f>VLOOKUP($B35,'Tillförd energi'!$B$1:$AI$720,MATCH(L$2,'Tillförd energi'!$B$1:$AQ$1,0),FALSE)</f>
        <v>10.054</v>
      </c>
      <c r="M35" s="63">
        <f>VLOOKUP($B35,'Tillförd energi'!$B$1:$AI$720,MATCH(M$2,'Tillförd energi'!$B$1:$AQ$1,0),FALSE)</f>
        <v>0</v>
      </c>
      <c r="N35" s="63">
        <f>VLOOKUP($B35,'Tillförd energi'!$B$1:$AI$720,MATCH(N$2,'Tillförd energi'!$B$1:$AQ$1,0),FALSE)</f>
        <v>0</v>
      </c>
      <c r="O35" s="63">
        <f>VLOOKUP($B35,'Tillförd energi'!$B$1:$AI$720,MATCH(O$2,'Tillförd energi'!$B$1:$AQ$1,0),FALSE)</f>
        <v>9</v>
      </c>
      <c r="P35" s="63">
        <f>VLOOKUP($B35,'Tillförd energi'!$B$1:$AI$720,MATCH(P$2,'Tillförd energi'!$B$1:$AQ$1,0),FALSE)</f>
        <v>0</v>
      </c>
      <c r="Q35" s="63">
        <f>VLOOKUP($B35,'Tillförd energi'!$B$1:$AI$720,MATCH(Q$2,'Tillförd energi'!$B$1:$AQ$1,0),FALSE)</f>
        <v>2</v>
      </c>
      <c r="R35" s="63">
        <f>VLOOKUP($B35,'Tillförd energi'!$B$1:$AI$720,MATCH(R$2,'Tillförd energi'!$B$1:$AQ$1,0),FALSE)</f>
        <v>0</v>
      </c>
      <c r="S35" s="63">
        <f>VLOOKUP($B35,'Tillförd energi'!$B$1:$AI$720,MATCH(S$2,'Tillförd energi'!$B$1:$AQ$1,0),FALSE)</f>
        <v>0</v>
      </c>
      <c r="T35" s="63">
        <f>VLOOKUP($B35,'Tillförd energi'!$B$1:$AI$720,MATCH(T$2,'Tillförd energi'!$B$1:$AQ$1,0),FALSE)</f>
        <v>0</v>
      </c>
      <c r="U35" s="63">
        <f>VLOOKUP($B35,'Tillförd energi'!$B$1:$AI$720,MATCH(U$2,'Tillförd energi'!$B$1:$AQ$1,0),FALSE)</f>
        <v>0</v>
      </c>
      <c r="V35" s="63">
        <f>VLOOKUP($B35,'Tillförd energi'!$B$1:$AI$720,MATCH(V$2,'Tillförd energi'!$B$1:$AQ$1,0),FALSE)</f>
        <v>0</v>
      </c>
      <c r="W35" s="63">
        <f>VLOOKUP($B35,'Tillförd energi'!$B$1:$AI$720,MATCH(W$2,'Tillförd energi'!$B$1:$AQ$1,0),FALSE)</f>
        <v>3.9</v>
      </c>
      <c r="X35" s="63">
        <f>VLOOKUP($B35,'Tillförd energi'!$B$1:$AI$720,MATCH(X$2,'Tillförd energi'!$B$1:$AQ$1,0),FALSE)</f>
        <v>0</v>
      </c>
      <c r="Y35" s="63">
        <f>VLOOKUP($B35,'Tillförd energi'!$B$1:$AI$720,MATCH(Y$2,'Tillförd energi'!$B$1:$AQ$1,0),FALSE)</f>
        <v>1.5</v>
      </c>
      <c r="Z35" s="63">
        <f>VLOOKUP($B35,'Tillförd energi'!$B$1:$AI$720,MATCH(Z$2,'Tillförd energi'!$B$1:$AQ$1,0),FALSE)</f>
        <v>0</v>
      </c>
      <c r="AA35" s="63">
        <f>VLOOKUP($B35,'Tillförd energi'!$B$1:$AI$720,MATCH(AA$2,'Tillförd energi'!$B$1:$AQ$1,0),FALSE)</f>
        <v>0</v>
      </c>
      <c r="AB35" s="63">
        <f>VLOOKUP($B35,'Tillförd energi'!$B$1:$AI$720,MATCH(AB$2,'Tillförd energi'!$B$1:$AQ$1,0),FALSE)</f>
        <v>0</v>
      </c>
      <c r="AC35" s="63">
        <f>VLOOKUP($B35,'Tillförd energi'!$B$1:$AI$720,MATCH(AC$2,'Tillförd energi'!$B$1:$AQ$1,0),FALSE)</f>
        <v>36.5</v>
      </c>
      <c r="AD35" s="63">
        <f>VLOOKUP($B35,'Tillförd energi'!$B$1:$AI$720,MATCH(AD$2,'Tillförd energi'!$B$1:$AQ$1,0),FALSE)</f>
        <v>0</v>
      </c>
      <c r="AE35" s="63">
        <f>VLOOKUP($B35,'Tillförd energi'!$B$1:$AI$720,MATCH(AE$2,'Tillförd energi'!$B$1:$AQ$1,0),FALSE)</f>
        <v>0</v>
      </c>
      <c r="AF35" s="63">
        <f>VLOOKUP($B35,'Tillförd energi'!$B$1:$AI$720,MATCH(AF$2,'Tillförd energi'!$B$1:$AQ$1,0),FALSE)</f>
        <v>8.7911800000000007</v>
      </c>
      <c r="AG35" s="63">
        <f>IFERROR(VLOOKUP(B35,Miljö!$B$1:$AC$550,MATCH("Köpt mängd produktionsspecifik fjärrvärme:",Miljö!$B$1:$AC$1,0),FALSE)/1,0)</f>
        <v>0</v>
      </c>
      <c r="AI35" s="63">
        <f t="shared" si="0"/>
        <v>367.59917999999993</v>
      </c>
      <c r="AJ35" s="63">
        <f>IF(ISERROR(1/VLOOKUP($B35,Leveranser!$B$1:$S$500,MATCH("såld värme (gwh)",Leveranser!$B$1:$S$1,0),FALSE)),"",VLOOKUP($B35,Leveranser!$B$1:$S$500,MATCH("såld värme (gwh)",Leveranser!$B$1:$S$1,0),FALSE))</f>
        <v>275</v>
      </c>
      <c r="AM35" s="63" t="str">
        <f>IF(B35&lt;&gt;"",IF(VLOOKUP($B35,Totalt!$B$1:$AQ$554,MATCH("Kvalitetsgranskad:",Totalt!$B$1:$AQ$1,0),FALSE)="ja",VLOOKUP($B35,Miljö!$B$1:$AG$479,MATCH(AM$2,Miljö!$B$1:$AK$1,0),FALSE),""),"")</f>
        <v>Ja</v>
      </c>
      <c r="AN35" s="63" t="str">
        <f>IF(AM35="ja",VLOOKUP($B35,Miljö!$B$1:$J$479,MATCH("Typ av ursprungsspecificerad el   (Om inget värde anges används Nordisk residualmix, se inforuta) ()",Miljö!$B$1:$J$1,0),FALSE),IF(AM35="nej","Nordisk residualel",""))</f>
        <v>-</v>
      </c>
      <c r="AO35" s="63">
        <f>IF(AM35="","",VLOOKUP($B35,Miljö!$B$1:$J$479,MATCH("Fossilandel för ursprungspecificerad el ()",Miljö!$B$1:$J$1,0),FALSE))</f>
        <v>0.35</v>
      </c>
      <c r="AQ35" s="63">
        <f t="shared" si="1"/>
        <v>0.65</v>
      </c>
      <c r="AS35" s="63" t="str">
        <f t="shared" si="2"/>
        <v>Nej</v>
      </c>
      <c r="AT35" s="63" t="str">
        <f>IF(AS35="ja",VLOOKUP($B35,Miljö!$B$1:$P$500,MATCH("Fossil andel i procent (%)",Miljö!$B$1:$P$1,0),FALSE)/100,"")</f>
        <v/>
      </c>
      <c r="AV35" s="63" t="str">
        <f t="shared" si="3"/>
        <v>Nej</v>
      </c>
      <c r="AW35" s="63" t="str">
        <f>IF(AV35="ja",VLOOKUP($B35,'Egen hetvattenprod'!$B$1:$AO$500,MATCH("Värmekälla till värmepumpar ()",'Egen hetvattenprod'!$B$1:$AO$1,0),FALSE),"")</f>
        <v/>
      </c>
      <c r="AY35" s="63" t="str">
        <f t="shared" si="4"/>
        <v>Ja</v>
      </c>
      <c r="AZ35" s="77">
        <f>IF($AY35="ja",(VLOOKUP($B35,'Egen hetvattenprod'!$B$1:$BX$550,MATCH(AZ$2,'Egen hetvattenprod'!$B$1:$BX$1,0),FALSE)+VLOOKUP($B35,Kraftvärmeprod!$B$1:$BX$550,MATCH(AZ$2,Kraftvärmeprod!$B$1:$BX$1,0),FALSE))/$AC35,"")</f>
        <v>6.2082191780821916E-2</v>
      </c>
      <c r="BA35" s="77">
        <f>IF($AY35="ja",(VLOOKUP($B35,'Egen hetvattenprod'!$B$1:$BX$550,MATCH(BA$2,'Egen hetvattenprod'!$B$1:$BX$1,0),FALSE)+VLOOKUP($B35,Kraftvärmeprod!$B$1:$BX$550,MATCH(BA$2,Kraftvärmeprod!$B$1:$BX$1,0),FALSE))/$AC35,"")</f>
        <v>0.93090410958904113</v>
      </c>
      <c r="BB35" s="77">
        <f>IF($AY35="ja",(VLOOKUP($B35,'Egen hetvattenprod'!$B$1:$BX$550,MATCH(BB$2,'Egen hetvattenprod'!$B$1:$BX$1,0),FALSE)+VLOOKUP($B35,Kraftvärmeprod!$B$1:$BX$550,MATCH(BB$2,Kraftvärmeprod!$B$1:$BX$1,0),FALSE))/$AC35,"")</f>
        <v>0</v>
      </c>
      <c r="BC35" s="77">
        <f>IF($AY35="ja",(VLOOKUP($B35,'Egen hetvattenprod'!$B$1:$BX$550,MATCH(BC$2,'Egen hetvattenprod'!$B$1:$BX$1,0),FALSE)+VLOOKUP($B35,Kraftvärmeprod!$B$1:$BX$550,MATCH(BC$2,Kraftvärmeprod!$B$1:$BX$1,0),FALSE))/$AC35,"")</f>
        <v>7.0136986301369865E-3</v>
      </c>
      <c r="BD35" s="77">
        <f>IF($AY35="ja",(VLOOKUP($B35,'Egen hetvattenprod'!$B$1:$BX$550,MATCH(BD$2,'Egen hetvattenprod'!$B$1:$BX$1,0),FALSE)+VLOOKUP($B35,Kraftvärmeprod!$B$1:$BX$550,MATCH(BD$2,Kraftvärmeprod!$B$1:$BX$1,0),FALSE))/$AC35,"")</f>
        <v>0</v>
      </c>
      <c r="BF35" s="63" t="str">
        <f t="shared" si="5"/>
        <v>Ja</v>
      </c>
      <c r="BG35" s="63" t="str">
        <f>IF($BF35="ja",VLOOKUP($B35,'Egen hetvattenprod'!$B$1:$BX$550,MATCH("Andelen klimatgaser med fossilt ursprung för avfall ()",'Egen hetvattenprod'!$B$1:$BX$1,0),FALSE),"")</f>
        <v>Schablon</v>
      </c>
      <c r="BH35" s="63" t="str">
        <f>IF($BF35="ja",VLOOKUP($B35,Kraftvärmeprod!$B$1:$BX$550,MATCH("Andelen klimatgaser med fossilt ursprung för avfall ()",Kraftvärmeprod!$B$1:$BX$1,0),FALSE),"")</f>
        <v>Schablon</v>
      </c>
      <c r="BI35" s="63">
        <f>IF($BF35="ja",VLOOKUP($B35,'Egen hetvattenprod'!$B$1:$BX$550,MATCH("Avfall (GWh)",'Egen hetvattenprod'!$B$1:$BX$1,0),FALSE),"")</f>
        <v>68</v>
      </c>
      <c r="BJ35" s="63">
        <f>IF($BF35="ja",VLOOKUP($B35,'Slutlig allokering kvv'!$B$1:$BX$550,MATCH("Avfall (GWh)",'Slutlig allokering kvv'!$B$1:$BX$1,0),FALSE),"")</f>
        <v>225.024</v>
      </c>
      <c r="BK35" s="63">
        <f>IF($BF35="ja",VLOOKUP($B35,'Köpt hetvatten'!$B$1:$BX$550,MATCH("Avfall i köpt hetvatten",'Köpt hetvatten'!$B$1:$BX$1,0),FALSE),"")</f>
        <v>0</v>
      </c>
      <c r="BL35" s="63">
        <f>IF($BF35="ja",VLOOKUP($B35,'Egen hetvattenprod'!$B$1:$BX$550,MATCH("Värde enligt ovan. (%)",'Egen hetvattenprod'!$B$1:$BX$1,0),FALSE),"")</f>
        <v>37.299999999999997</v>
      </c>
      <c r="BM35" s="63">
        <f>IF($BF35="ja",VLOOKUP($B35,Kraftvärmeprod!$B$1:$BX$550,MATCH("Värde enligt ovan. (%)",Kraftvärmeprod!$B$1:$BX$1,0),FALSE),"")</f>
        <v>37.299999999999997</v>
      </c>
    </row>
    <row r="36" spans="1:65" x14ac:dyDescent="0.45">
      <c r="A36" s="63" t="s">
        <v>647</v>
      </c>
      <c r="B36" s="63" t="s">
        <v>650</v>
      </c>
      <c r="C36" s="63">
        <f>VLOOKUP($B36,'Tillförd energi'!$B$1:$AI$720,MATCH(C$2,'Tillförd energi'!$B$1:$AQ$1,0),FALSE)</f>
        <v>0</v>
      </c>
      <c r="D36" s="63">
        <f>VLOOKUP($B36,'Tillförd energi'!$B$1:$AI$720,MATCH(D$2,'Tillförd energi'!$B$1:$AQ$1,0),FALSE)</f>
        <v>1.1499999999999999</v>
      </c>
      <c r="E36" s="63">
        <f>VLOOKUP($B36,'Tillförd energi'!$B$1:$AI$720,MATCH(E$2,'Tillförd energi'!$B$1:$AQ$1,0),FALSE)</f>
        <v>0</v>
      </c>
      <c r="F36" s="63">
        <f>VLOOKUP($B36,'Tillförd energi'!$B$1:$AI$720,MATCH(F$2,'Tillförd energi'!$B$1:$AQ$1,0),FALSE)</f>
        <v>0</v>
      </c>
      <c r="G36" s="63">
        <f>VLOOKUP($B36,'Tillförd energi'!$B$1:$AI$720,MATCH(G$2,'Tillförd energi'!$B$1:$AQ$1,0),FALSE)</f>
        <v>0</v>
      </c>
      <c r="H36" s="63">
        <f>VLOOKUP($B36,'Tillförd energi'!$B$1:$AI$720,MATCH(H$2,'Tillförd energi'!$B$1:$AQ$1,0),FALSE)</f>
        <v>0</v>
      </c>
      <c r="I36" s="63">
        <f>VLOOKUP($B36,'Tillförd energi'!$B$1:$AI$720,MATCH(I$2,'Tillförd energi'!$B$1:$AQ$1,0),FALSE)</f>
        <v>0</v>
      </c>
      <c r="J36" s="63">
        <f>VLOOKUP($B36,'Tillförd energi'!$B$1:$AI$720,MATCH(J$2,'Tillförd energi'!$B$1:$AQ$1,0),FALSE)</f>
        <v>0</v>
      </c>
      <c r="K36" s="63">
        <f>VLOOKUP($B36,'Tillförd energi'!$B$1:$AI$720,MATCH(K$2,'Tillförd energi'!$B$1:$AQ$1,0),FALSE)</f>
        <v>0</v>
      </c>
      <c r="L36" s="63">
        <f>VLOOKUP($B36,'Tillförd energi'!$B$1:$AI$720,MATCH(L$2,'Tillförd energi'!$B$1:$AQ$1,0),FALSE)</f>
        <v>0</v>
      </c>
      <c r="M36" s="63">
        <f>VLOOKUP($B36,'Tillförd energi'!$B$1:$AI$720,MATCH(M$2,'Tillförd energi'!$B$1:$AQ$1,0),FALSE)</f>
        <v>0</v>
      </c>
      <c r="N36" s="63">
        <f>VLOOKUP($B36,'Tillförd energi'!$B$1:$AI$720,MATCH(N$2,'Tillförd energi'!$B$1:$AQ$1,0),FALSE)</f>
        <v>0</v>
      </c>
      <c r="O36" s="63">
        <f>VLOOKUP($B36,'Tillförd energi'!$B$1:$AI$720,MATCH(O$2,'Tillförd energi'!$B$1:$AQ$1,0),FALSE)</f>
        <v>7.55</v>
      </c>
      <c r="P36" s="63">
        <f>VLOOKUP($B36,'Tillförd energi'!$B$1:$AI$720,MATCH(P$2,'Tillförd energi'!$B$1:$AQ$1,0),FALSE)</f>
        <v>12.88</v>
      </c>
      <c r="Q36" s="63">
        <f>VLOOKUP($B36,'Tillförd energi'!$B$1:$AI$720,MATCH(Q$2,'Tillförd energi'!$B$1:$AQ$1,0),FALSE)</f>
        <v>0</v>
      </c>
      <c r="R36" s="63">
        <f>VLOOKUP($B36,'Tillförd energi'!$B$1:$AI$720,MATCH(R$2,'Tillförd energi'!$B$1:$AQ$1,0),FALSE)</f>
        <v>0</v>
      </c>
      <c r="S36" s="63">
        <f>VLOOKUP($B36,'Tillförd energi'!$B$1:$AI$720,MATCH(S$2,'Tillförd energi'!$B$1:$AQ$1,0),FALSE)</f>
        <v>0</v>
      </c>
      <c r="T36" s="63">
        <f>VLOOKUP($B36,'Tillförd energi'!$B$1:$AI$720,MATCH(T$2,'Tillförd energi'!$B$1:$AQ$1,0),FALSE)</f>
        <v>0</v>
      </c>
      <c r="U36" s="63">
        <f>VLOOKUP($B36,'Tillförd energi'!$B$1:$AI$720,MATCH(U$2,'Tillförd energi'!$B$1:$AQ$1,0),FALSE)</f>
        <v>0</v>
      </c>
      <c r="V36" s="63">
        <f>VLOOKUP($B36,'Tillförd energi'!$B$1:$AI$720,MATCH(V$2,'Tillförd energi'!$B$1:$AQ$1,0),FALSE)</f>
        <v>0</v>
      </c>
      <c r="W36" s="63">
        <f>VLOOKUP($B36,'Tillförd energi'!$B$1:$AI$720,MATCH(W$2,'Tillförd energi'!$B$1:$AQ$1,0),FALSE)</f>
        <v>0</v>
      </c>
      <c r="X36" s="63">
        <f>VLOOKUP($B36,'Tillförd energi'!$B$1:$AI$720,MATCH(X$2,'Tillförd energi'!$B$1:$AQ$1,0),FALSE)</f>
        <v>0</v>
      </c>
      <c r="Y36" s="63">
        <f>VLOOKUP($B36,'Tillförd energi'!$B$1:$AI$720,MATCH(Y$2,'Tillförd energi'!$B$1:$AQ$1,0),FALSE)</f>
        <v>0</v>
      </c>
      <c r="Z36" s="63">
        <f>VLOOKUP($B36,'Tillförd energi'!$B$1:$AI$720,MATCH(Z$2,'Tillförd energi'!$B$1:$AQ$1,0),FALSE)</f>
        <v>0</v>
      </c>
      <c r="AA36" s="63">
        <f>VLOOKUP($B36,'Tillförd energi'!$B$1:$AI$720,MATCH(AA$2,'Tillförd energi'!$B$1:$AQ$1,0),FALSE)</f>
        <v>0</v>
      </c>
      <c r="AB36" s="63">
        <f>VLOOKUP($B36,'Tillförd energi'!$B$1:$AI$720,MATCH(AB$2,'Tillförd energi'!$B$1:$AQ$1,0),FALSE)</f>
        <v>0</v>
      </c>
      <c r="AC36" s="63">
        <f>VLOOKUP($B36,'Tillförd energi'!$B$1:$AI$720,MATCH(AC$2,'Tillförd energi'!$B$1:$AQ$1,0),FALSE)</f>
        <v>2.98</v>
      </c>
      <c r="AD36" s="63">
        <f>VLOOKUP($B36,'Tillförd energi'!$B$1:$AI$720,MATCH(AD$2,'Tillförd energi'!$B$1:$AQ$1,0),FALSE)</f>
        <v>0</v>
      </c>
      <c r="AE36" s="63">
        <f>VLOOKUP($B36,'Tillförd energi'!$B$1:$AI$720,MATCH(AE$2,'Tillförd energi'!$B$1:$AQ$1,0),FALSE)</f>
        <v>0</v>
      </c>
      <c r="AF36" s="63">
        <f>VLOOKUP($B36,'Tillförd energi'!$B$1:$AI$720,MATCH(AF$2,'Tillförd energi'!$B$1:$AQ$1,0),FALSE)</f>
        <v>0.51500000000000001</v>
      </c>
      <c r="AG36" s="63">
        <f>IFERROR(VLOOKUP(B36,Miljö!$B$1:$AC$550,MATCH("Köpt mängd produktionsspecifik fjärrvärme:",Miljö!$B$1:$AC$1,0),FALSE)/1,0)</f>
        <v>0</v>
      </c>
      <c r="AI36" s="63">
        <f t="shared" si="0"/>
        <v>25.074999999999999</v>
      </c>
      <c r="AJ36" s="63">
        <f>IF(ISERROR(1/VLOOKUP($B36,Leveranser!$B$1:$S$500,MATCH("såld värme (gwh)",Leveranser!$B$1:$S$1,0),FALSE)),"",VLOOKUP($B36,Leveranser!$B$1:$S$500,MATCH("såld värme (gwh)",Leveranser!$B$1:$S$1,0),FALSE))</f>
        <v>17.331</v>
      </c>
      <c r="AM36" s="63" t="str">
        <f>IF(B36&lt;&gt;"",IF(VLOOKUP($B36,Totalt!$B$1:$AQ$554,MATCH("Kvalitetsgranskad:",Totalt!$B$1:$AQ$1,0),FALSE)="ja",VLOOKUP($B36,Miljö!$B$1:$AG$479,MATCH(AM$2,Miljö!$B$1:$AK$1,0),FALSE),""),"")</f>
        <v>Ja</v>
      </c>
      <c r="AN36" s="63" t="str">
        <f>IF(AM36="ja",VLOOKUP($B36,Miljö!$B$1:$J$479,MATCH("Typ av ursprungsspecificerad el   (Om inget värde anges används Nordisk residualmix, se inforuta) ()",Miljö!$B$1:$J$1,0),FALSE),IF(AM36="nej","Nordisk residualel",""))</f>
        <v>'Vattenkraft'</v>
      </c>
      <c r="AO36" s="63">
        <f>IF(AM36="","",VLOOKUP($B36,Miljö!$B$1:$J$479,MATCH("Fossilandel för ursprungspecificerad el ()",Miljö!$B$1:$J$1,0),FALSE))</f>
        <v>0</v>
      </c>
      <c r="AQ36" s="63">
        <f t="shared" si="1"/>
        <v>1</v>
      </c>
      <c r="AS36" s="63" t="str">
        <f t="shared" si="2"/>
        <v>Nej</v>
      </c>
      <c r="AT36" s="63" t="str">
        <f>IF(AS36="ja",VLOOKUP($B36,Miljö!$B$1:$P$500,MATCH("Fossil andel i procent (%)",Miljö!$B$1:$P$1,0),FALSE)/100,"")</f>
        <v/>
      </c>
      <c r="AV36" s="63" t="str">
        <f t="shared" si="3"/>
        <v>Nej</v>
      </c>
      <c r="AW36" s="63" t="str">
        <f>IF(AV36="ja",VLOOKUP($B36,'Egen hetvattenprod'!$B$1:$AO$500,MATCH("Värmekälla till värmepumpar ()",'Egen hetvattenprod'!$B$1:$AO$1,0),FALSE),"")</f>
        <v/>
      </c>
      <c r="AY36" s="63" t="str">
        <f t="shared" si="4"/>
        <v>Ja</v>
      </c>
      <c r="AZ36" s="77">
        <f>IF($AY36="ja",(VLOOKUP($B36,'Egen hetvattenprod'!$B$1:$BX$550,MATCH(AZ$2,'Egen hetvattenprod'!$B$1:$BX$1,0),FALSE)+VLOOKUP($B36,Kraftvärmeprod!$B$1:$BX$550,MATCH(AZ$2,Kraftvärmeprod!$B$1:$BX$1,0),FALSE))/$AC36,"")</f>
        <v>1</v>
      </c>
      <c r="BA36" s="77">
        <f>IF($AY36="ja",(VLOOKUP($B36,'Egen hetvattenprod'!$B$1:$BX$550,MATCH(BA$2,'Egen hetvattenprod'!$B$1:$BX$1,0),FALSE)+VLOOKUP($B36,Kraftvärmeprod!$B$1:$BX$550,MATCH(BA$2,Kraftvärmeprod!$B$1:$BX$1,0),FALSE))/$AC36,"")</f>
        <v>0</v>
      </c>
      <c r="BB36" s="77">
        <f>IF($AY36="ja",(VLOOKUP($B36,'Egen hetvattenprod'!$B$1:$BX$550,MATCH(BB$2,'Egen hetvattenprod'!$B$1:$BX$1,0),FALSE)+VLOOKUP($B36,Kraftvärmeprod!$B$1:$BX$550,MATCH(BB$2,Kraftvärmeprod!$B$1:$BX$1,0),FALSE))/$AC36,"")</f>
        <v>0</v>
      </c>
      <c r="BC36" s="77">
        <f>IF($AY36="ja",(VLOOKUP($B36,'Egen hetvattenprod'!$B$1:$BX$550,MATCH(BC$2,'Egen hetvattenprod'!$B$1:$BX$1,0),FALSE)+VLOOKUP($B36,Kraftvärmeprod!$B$1:$BX$550,MATCH(BC$2,Kraftvärmeprod!$B$1:$BX$1,0),FALSE))/$AC36,"")</f>
        <v>0</v>
      </c>
      <c r="BD36" s="77">
        <f>IF($AY36="ja",(VLOOKUP($B36,'Egen hetvattenprod'!$B$1:$BX$550,MATCH(BD$2,'Egen hetvattenprod'!$B$1:$BX$1,0),FALSE)+VLOOKUP($B36,Kraftvärmeprod!$B$1:$BX$550,MATCH(BD$2,Kraftvärmeprod!$B$1:$BX$1,0),FALSE))/$AC36,"")</f>
        <v>0</v>
      </c>
      <c r="BF36" s="63" t="str">
        <f t="shared" si="5"/>
        <v>Nej</v>
      </c>
      <c r="BG36" s="63" t="str">
        <f>IF($BF36="ja",VLOOKUP($B36,'Egen hetvattenprod'!$B$1:$BX$550,MATCH("Andelen klimatgaser med fossilt ursprung för avfall ()",'Egen hetvattenprod'!$B$1:$BX$1,0),FALSE),"")</f>
        <v/>
      </c>
      <c r="BH36" s="63" t="str">
        <f>IF($BF36="ja",VLOOKUP($B36,Kraftvärmeprod!$B$1:$BX$550,MATCH("Andelen klimatgaser med fossilt ursprung för avfall ()",Kraftvärmeprod!$B$1:$BX$1,0),FALSE),"")</f>
        <v/>
      </c>
      <c r="BI36" s="63" t="str">
        <f>IF($BF36="ja",VLOOKUP($B36,'Egen hetvattenprod'!$B$1:$BX$550,MATCH("Avfall (GWh)",'Egen hetvattenprod'!$B$1:$BX$1,0),FALSE),"")</f>
        <v/>
      </c>
      <c r="BJ36" s="63" t="str">
        <f>IF($BF36="ja",VLOOKUP($B36,'Slutlig allokering kvv'!$B$1:$BX$550,MATCH("Avfall (GWh)",'Slutlig allokering kvv'!$B$1:$BX$1,0),FALSE),"")</f>
        <v/>
      </c>
      <c r="BK36" s="63" t="str">
        <f>IF($BF36="ja",VLOOKUP($B36,'Köpt hetvatten'!$B$1:$BX$550,MATCH("Avfall i köpt hetvatten",'Köpt hetvatten'!$B$1:$BX$1,0),FALSE),"")</f>
        <v/>
      </c>
      <c r="BL36" s="63" t="str">
        <f>IF($BF36="ja",VLOOKUP($B36,'Egen hetvattenprod'!$B$1:$BX$550,MATCH("Värde enligt ovan. (%)",'Egen hetvattenprod'!$B$1:$BX$1,0),FALSE),"")</f>
        <v/>
      </c>
      <c r="BM36" s="63" t="str">
        <f>IF($BF36="ja",VLOOKUP($B36,Kraftvärmeprod!$B$1:$BX$550,MATCH("Värde enligt ovan. (%)",Kraftvärmeprod!$B$1:$BX$1,0),FALSE),"")</f>
        <v/>
      </c>
    </row>
    <row r="37" spans="1:65" x14ac:dyDescent="0.45">
      <c r="A37" s="63" t="s">
        <v>647</v>
      </c>
      <c r="B37" s="63" t="s">
        <v>649</v>
      </c>
      <c r="C37" s="63">
        <f>VLOOKUP($B37,'Tillförd energi'!$B$1:$AI$720,MATCH(C$2,'Tillförd energi'!$B$1:$AQ$1,0),FALSE)</f>
        <v>0</v>
      </c>
      <c r="D37" s="63">
        <f>VLOOKUP($B37,'Tillförd energi'!$B$1:$AI$720,MATCH(D$2,'Tillförd energi'!$B$1:$AQ$1,0),FALSE)</f>
        <v>0.74197599999999997</v>
      </c>
      <c r="E37" s="63">
        <f>VLOOKUP($B37,'Tillförd energi'!$B$1:$AI$720,MATCH(E$2,'Tillförd energi'!$B$1:$AQ$1,0),FALSE)</f>
        <v>0</v>
      </c>
      <c r="F37" s="63">
        <f>VLOOKUP($B37,'Tillförd energi'!$B$1:$AI$720,MATCH(F$2,'Tillförd energi'!$B$1:$AQ$1,0),FALSE)</f>
        <v>0</v>
      </c>
      <c r="G37" s="63">
        <f>VLOOKUP($B37,'Tillförd energi'!$B$1:$AI$720,MATCH(G$2,'Tillförd energi'!$B$1:$AQ$1,0),FALSE)</f>
        <v>0</v>
      </c>
      <c r="H37" s="63">
        <f>VLOOKUP($B37,'Tillförd energi'!$B$1:$AI$720,MATCH(H$2,'Tillförd energi'!$B$1:$AQ$1,0),FALSE)</f>
        <v>0</v>
      </c>
      <c r="I37" s="63">
        <f>VLOOKUP($B37,'Tillförd energi'!$B$1:$AI$720,MATCH(I$2,'Tillförd energi'!$B$1:$AQ$1,0),FALSE)</f>
        <v>93.974100000000007</v>
      </c>
      <c r="J37" s="63">
        <f>VLOOKUP($B37,'Tillförd energi'!$B$1:$AI$720,MATCH(J$2,'Tillförd energi'!$B$1:$AQ$1,0),FALSE)</f>
        <v>0</v>
      </c>
      <c r="K37" s="63">
        <f>VLOOKUP($B37,'Tillförd energi'!$B$1:$AI$720,MATCH(K$2,'Tillförd energi'!$B$1:$AQ$1,0),FALSE)</f>
        <v>0</v>
      </c>
      <c r="L37" s="63">
        <f>VLOOKUP($B37,'Tillförd energi'!$B$1:$AI$720,MATCH(L$2,'Tillförd energi'!$B$1:$AQ$1,0),FALSE)</f>
        <v>19.940100000000001</v>
      </c>
      <c r="M37" s="63">
        <f>VLOOKUP($B37,'Tillförd energi'!$B$1:$AI$720,MATCH(M$2,'Tillförd energi'!$B$1:$AQ$1,0),FALSE)</f>
        <v>4.2876500000000002</v>
      </c>
      <c r="N37" s="63">
        <f>VLOOKUP($B37,'Tillförd energi'!$B$1:$AI$720,MATCH(N$2,'Tillförd energi'!$B$1:$AQ$1,0),FALSE)</f>
        <v>0</v>
      </c>
      <c r="O37" s="63">
        <f>VLOOKUP($B37,'Tillförd energi'!$B$1:$AI$720,MATCH(O$2,'Tillförd energi'!$B$1:$AQ$1,0),FALSE)</f>
        <v>2.89</v>
      </c>
      <c r="P37" s="63">
        <f>VLOOKUP($B37,'Tillförd energi'!$B$1:$AI$720,MATCH(P$2,'Tillförd energi'!$B$1:$AQ$1,0),FALSE)</f>
        <v>0.87</v>
      </c>
      <c r="Q37" s="63">
        <f>VLOOKUP($B37,'Tillförd energi'!$B$1:$AI$720,MATCH(Q$2,'Tillförd energi'!$B$1:$AQ$1,0),FALSE)</f>
        <v>0</v>
      </c>
      <c r="R37" s="63">
        <f>VLOOKUP($B37,'Tillförd energi'!$B$1:$AI$720,MATCH(R$2,'Tillförd energi'!$B$1:$AQ$1,0),FALSE)</f>
        <v>0</v>
      </c>
      <c r="S37" s="63">
        <f>VLOOKUP($B37,'Tillförd energi'!$B$1:$AI$720,MATCH(S$2,'Tillförd energi'!$B$1:$AQ$1,0),FALSE)</f>
        <v>0</v>
      </c>
      <c r="T37" s="63">
        <f>VLOOKUP($B37,'Tillförd energi'!$B$1:$AI$720,MATCH(T$2,'Tillförd energi'!$B$1:$AQ$1,0),FALSE)</f>
        <v>0</v>
      </c>
      <c r="U37" s="63">
        <f>VLOOKUP($B37,'Tillförd energi'!$B$1:$AI$720,MATCH(U$2,'Tillförd energi'!$B$1:$AQ$1,0),FALSE)</f>
        <v>0</v>
      </c>
      <c r="V37" s="63">
        <f>VLOOKUP($B37,'Tillförd energi'!$B$1:$AI$720,MATCH(V$2,'Tillförd energi'!$B$1:$AQ$1,0),FALSE)</f>
        <v>0</v>
      </c>
      <c r="W37" s="63">
        <f>VLOOKUP($B37,'Tillförd energi'!$B$1:$AI$720,MATCH(W$2,'Tillförd energi'!$B$1:$AQ$1,0),FALSE)</f>
        <v>0</v>
      </c>
      <c r="X37" s="63">
        <f>VLOOKUP($B37,'Tillförd energi'!$B$1:$AI$720,MATCH(X$2,'Tillförd energi'!$B$1:$AQ$1,0),FALSE)</f>
        <v>0</v>
      </c>
      <c r="Y37" s="63">
        <f>VLOOKUP($B37,'Tillförd energi'!$B$1:$AI$720,MATCH(Y$2,'Tillförd energi'!$B$1:$AQ$1,0),FALSE)</f>
        <v>0</v>
      </c>
      <c r="Z37" s="63">
        <f>VLOOKUP($B37,'Tillförd energi'!$B$1:$AI$720,MATCH(Z$2,'Tillförd energi'!$B$1:$AQ$1,0),FALSE)</f>
        <v>0</v>
      </c>
      <c r="AA37" s="63">
        <f>VLOOKUP($B37,'Tillförd energi'!$B$1:$AI$720,MATCH(AA$2,'Tillförd energi'!$B$1:$AQ$1,0),FALSE)</f>
        <v>0</v>
      </c>
      <c r="AB37" s="63">
        <f>VLOOKUP($B37,'Tillförd energi'!$B$1:$AI$720,MATCH(AB$2,'Tillförd energi'!$B$1:$AQ$1,0),FALSE)</f>
        <v>0</v>
      </c>
      <c r="AC37" s="63">
        <f>VLOOKUP($B37,'Tillförd energi'!$B$1:$AI$720,MATCH(AC$2,'Tillförd energi'!$B$1:$AQ$1,0),FALSE)</f>
        <v>13.32</v>
      </c>
      <c r="AD37" s="63">
        <f>VLOOKUP($B37,'Tillförd energi'!$B$1:$AI$720,MATCH(AD$2,'Tillförd energi'!$B$1:$AQ$1,0),FALSE)</f>
        <v>0</v>
      </c>
      <c r="AE37" s="63">
        <f>VLOOKUP($B37,'Tillförd energi'!$B$1:$AI$720,MATCH(AE$2,'Tillförd energi'!$B$1:$AQ$1,0),FALSE)</f>
        <v>0</v>
      </c>
      <c r="AF37" s="63">
        <f>VLOOKUP($B37,'Tillförd energi'!$B$1:$AI$720,MATCH(AF$2,'Tillförd energi'!$B$1:$AQ$1,0),FALSE)</f>
        <v>6.2064199999999996</v>
      </c>
      <c r="AG37" s="63">
        <f>IFERROR(VLOOKUP(B37,Miljö!$B$1:$AC$550,MATCH("Köpt mängd produktionsspecifik fjärrvärme:",Miljö!$B$1:$AC$1,0),FALSE)/1,0)</f>
        <v>0</v>
      </c>
      <c r="AI37" s="63">
        <f t="shared" si="0"/>
        <v>142.23024600000002</v>
      </c>
      <c r="AJ37" s="63">
        <f>IF(ISERROR(1/VLOOKUP($B37,Leveranser!$B$1:$S$500,MATCH("såld värme (gwh)",Leveranser!$B$1:$S$1,0),FALSE)),"",VLOOKUP($B37,Leveranser!$B$1:$S$500,MATCH("såld värme (gwh)",Leveranser!$B$1:$S$1,0),FALSE))</f>
        <v>123.673</v>
      </c>
      <c r="AM37" s="63" t="str">
        <f>IF(B37&lt;&gt;"",IF(VLOOKUP($B37,Totalt!$B$1:$AQ$554,MATCH("Kvalitetsgranskad:",Totalt!$B$1:$AQ$1,0),FALSE)="ja",VLOOKUP($B37,Miljö!$B$1:$AG$479,MATCH(AM$2,Miljö!$B$1:$AK$1,0),FALSE),""),"")</f>
        <v>Ja</v>
      </c>
      <c r="AN37" s="63" t="str">
        <f>IF(AM37="ja",VLOOKUP($B37,Miljö!$B$1:$J$479,MATCH("Typ av ursprungsspecificerad el   (Om inget värde anges används Nordisk residualmix, se inforuta) ()",Miljö!$B$1:$J$1,0),FALSE),IF(AM37="nej","Nordisk residualel",""))</f>
        <v>'Vattenkraft'</v>
      </c>
      <c r="AO37" s="63">
        <f>IF(AM37="","",VLOOKUP($B37,Miljö!$B$1:$J$479,MATCH("Fossilandel för ursprungspecificerad el ()",Miljö!$B$1:$J$1,0),FALSE))</f>
        <v>0</v>
      </c>
      <c r="AQ37" s="63">
        <f t="shared" si="1"/>
        <v>1</v>
      </c>
      <c r="AS37" s="63" t="str">
        <f t="shared" si="2"/>
        <v>Nej</v>
      </c>
      <c r="AT37" s="63" t="str">
        <f>IF(AS37="ja",VLOOKUP($B37,Miljö!$B$1:$P$500,MATCH("Fossil andel i procent (%)",Miljö!$B$1:$P$1,0),FALSE)/100,"")</f>
        <v/>
      </c>
      <c r="AV37" s="63" t="str">
        <f t="shared" si="3"/>
        <v>Nej</v>
      </c>
      <c r="AW37" s="63" t="str">
        <f>IF(AV37="ja",VLOOKUP($B37,'Egen hetvattenprod'!$B$1:$AO$500,MATCH("Värmekälla till värmepumpar ()",'Egen hetvattenprod'!$B$1:$AO$1,0),FALSE),"")</f>
        <v/>
      </c>
      <c r="AY37" s="63" t="str">
        <f t="shared" si="4"/>
        <v>Ja</v>
      </c>
      <c r="AZ37" s="77">
        <f>IF($AY37="ja",(VLOOKUP($B37,'Egen hetvattenprod'!$B$1:$BX$550,MATCH(AZ$2,'Egen hetvattenprod'!$B$1:$BX$1,0),FALSE)+VLOOKUP($B37,Kraftvärmeprod!$B$1:$BX$550,MATCH(AZ$2,Kraftvärmeprod!$B$1:$BX$1,0),FALSE))/$AC37,"")</f>
        <v>6.0223348348348353E-2</v>
      </c>
      <c r="BA37" s="77">
        <f>IF($AY37="ja",(VLOOKUP($B37,'Egen hetvattenprod'!$B$1:$BX$550,MATCH(BA$2,'Egen hetvattenprod'!$B$1:$BX$1,0),FALSE)+VLOOKUP($B37,Kraftvärmeprod!$B$1:$BX$550,MATCH(BA$2,Kraftvärmeprod!$B$1:$BX$1,0),FALSE))/$AC37,"")</f>
        <v>0.9397766516516517</v>
      </c>
      <c r="BB37" s="77">
        <f>IF($AY37="ja",(VLOOKUP($B37,'Egen hetvattenprod'!$B$1:$BX$550,MATCH(BB$2,'Egen hetvattenprod'!$B$1:$BX$1,0),FALSE)+VLOOKUP($B37,Kraftvärmeprod!$B$1:$BX$550,MATCH(BB$2,Kraftvärmeprod!$B$1:$BX$1,0),FALSE))/$AC37,"")</f>
        <v>0</v>
      </c>
      <c r="BC37" s="77">
        <f>IF($AY37="ja",(VLOOKUP($B37,'Egen hetvattenprod'!$B$1:$BX$550,MATCH(BC$2,'Egen hetvattenprod'!$B$1:$BX$1,0),FALSE)+VLOOKUP($B37,Kraftvärmeprod!$B$1:$BX$550,MATCH(BC$2,Kraftvärmeprod!$B$1:$BX$1,0),FALSE))/$AC37,"")</f>
        <v>0</v>
      </c>
      <c r="BD37" s="77">
        <f>IF($AY37="ja",(VLOOKUP($B37,'Egen hetvattenprod'!$B$1:$BX$550,MATCH(BD$2,'Egen hetvattenprod'!$B$1:$BX$1,0),FALSE)+VLOOKUP($B37,Kraftvärmeprod!$B$1:$BX$550,MATCH(BD$2,Kraftvärmeprod!$B$1:$BX$1,0),FALSE))/$AC37,"")</f>
        <v>0</v>
      </c>
      <c r="BF37" s="63" t="str">
        <f t="shared" si="5"/>
        <v>Ja</v>
      </c>
      <c r="BG37" s="63" t="str">
        <f>IF($BF37="ja",VLOOKUP($B37,'Egen hetvattenprod'!$B$1:$BX$550,MATCH("Andelen klimatgaser med fossilt ursprung för avfall ()",'Egen hetvattenprod'!$B$1:$BX$1,0),FALSE),"")</f>
        <v>Schablon</v>
      </c>
      <c r="BH37" s="63" t="str">
        <f>IF($BF37="ja",VLOOKUP($B37,Kraftvärmeprod!$B$1:$BX$550,MATCH("Andelen klimatgaser med fossilt ursprung för avfall ()",Kraftvärmeprod!$B$1:$BX$1,0),FALSE),"")</f>
        <v>Schablon</v>
      </c>
      <c r="BI37" s="63">
        <f>IF($BF37="ja",VLOOKUP($B37,'Egen hetvattenprod'!$B$1:$BX$550,MATCH("Avfall (GWh)",'Egen hetvattenprod'!$B$1:$BX$1,0),FALSE),"")</f>
        <v>4.22</v>
      </c>
      <c r="BJ37" s="63">
        <f>IF($BF37="ja",VLOOKUP($B37,'Slutlig allokering kvv'!$B$1:$BX$550,MATCH("Avfall (GWh)",'Slutlig allokering kvv'!$B$1:$BX$1,0),FALSE),"")</f>
        <v>89.754099999999994</v>
      </c>
      <c r="BK37" s="63">
        <f>IF($BF37="ja",VLOOKUP($B37,'Köpt hetvatten'!$B$1:$BX$550,MATCH("Avfall i köpt hetvatten",'Köpt hetvatten'!$B$1:$BX$1,0),FALSE),"")</f>
        <v>0</v>
      </c>
      <c r="BL37" s="63">
        <f>IF($BF37="ja",VLOOKUP($B37,'Egen hetvattenprod'!$B$1:$BX$550,MATCH("Värde enligt ovan. (%)",'Egen hetvattenprod'!$B$1:$BX$1,0),FALSE),"")</f>
        <v>37.299999999999997</v>
      </c>
      <c r="BM37" s="63">
        <f>IF($BF37="ja",VLOOKUP($B37,Kraftvärmeprod!$B$1:$BX$550,MATCH("Värde enligt ovan. (%)",Kraftvärmeprod!$B$1:$BX$1,0),FALSE),"")</f>
        <v>37.299999999999997</v>
      </c>
    </row>
    <row r="38" spans="1:65" x14ac:dyDescent="0.45">
      <c r="A38" s="63" t="s">
        <v>647</v>
      </c>
      <c r="B38" s="63" t="s">
        <v>646</v>
      </c>
      <c r="C38" s="63">
        <f>VLOOKUP($B38,'Tillförd energi'!$B$1:$AI$720,MATCH(C$2,'Tillförd energi'!$B$1:$AQ$1,0),FALSE)</f>
        <v>0</v>
      </c>
      <c r="D38" s="63">
        <f>VLOOKUP($B38,'Tillförd energi'!$B$1:$AI$720,MATCH(D$2,'Tillförd energi'!$B$1:$AQ$1,0),FALSE)</f>
        <v>0.1</v>
      </c>
      <c r="E38" s="63">
        <f>VLOOKUP($B38,'Tillförd energi'!$B$1:$AI$720,MATCH(E$2,'Tillförd energi'!$B$1:$AQ$1,0),FALSE)</f>
        <v>0</v>
      </c>
      <c r="F38" s="63">
        <f>VLOOKUP($B38,'Tillförd energi'!$B$1:$AI$720,MATCH(F$2,'Tillförd energi'!$B$1:$AQ$1,0),FALSE)</f>
        <v>0</v>
      </c>
      <c r="G38" s="63">
        <f>VLOOKUP($B38,'Tillförd energi'!$B$1:$AI$720,MATCH(G$2,'Tillförd energi'!$B$1:$AQ$1,0),FALSE)</f>
        <v>0</v>
      </c>
      <c r="H38" s="63">
        <f>VLOOKUP($B38,'Tillförd energi'!$B$1:$AI$720,MATCH(H$2,'Tillförd energi'!$B$1:$AQ$1,0),FALSE)</f>
        <v>0</v>
      </c>
      <c r="I38" s="63">
        <f>VLOOKUP($B38,'Tillförd energi'!$B$1:$AI$720,MATCH(I$2,'Tillförd energi'!$B$1:$AQ$1,0),FALSE)</f>
        <v>0</v>
      </c>
      <c r="J38" s="63">
        <f>VLOOKUP($B38,'Tillförd energi'!$B$1:$AI$720,MATCH(J$2,'Tillförd energi'!$B$1:$AQ$1,0),FALSE)</f>
        <v>0</v>
      </c>
      <c r="K38" s="63">
        <f>VLOOKUP($B38,'Tillförd energi'!$B$1:$AI$720,MATCH(K$2,'Tillförd energi'!$B$1:$AQ$1,0),FALSE)</f>
        <v>0</v>
      </c>
      <c r="L38" s="63">
        <f>VLOOKUP($B38,'Tillförd energi'!$B$1:$AI$720,MATCH(L$2,'Tillförd energi'!$B$1:$AQ$1,0),FALSE)</f>
        <v>0</v>
      </c>
      <c r="M38" s="63">
        <f>VLOOKUP($B38,'Tillförd energi'!$B$1:$AI$720,MATCH(M$2,'Tillförd energi'!$B$1:$AQ$1,0),FALSE)</f>
        <v>10.9</v>
      </c>
      <c r="N38" s="63">
        <f>VLOOKUP($B38,'Tillförd energi'!$B$1:$AI$720,MATCH(N$2,'Tillförd energi'!$B$1:$AQ$1,0),FALSE)</f>
        <v>0</v>
      </c>
      <c r="O38" s="63">
        <f>VLOOKUP($B38,'Tillförd energi'!$B$1:$AI$720,MATCH(O$2,'Tillförd energi'!$B$1:$AQ$1,0),FALSE)</f>
        <v>13.84</v>
      </c>
      <c r="P38" s="63">
        <f>VLOOKUP($B38,'Tillförd energi'!$B$1:$AI$720,MATCH(P$2,'Tillförd energi'!$B$1:$AQ$1,0),FALSE)</f>
        <v>1.5</v>
      </c>
      <c r="Q38" s="63">
        <f>VLOOKUP($B38,'Tillförd energi'!$B$1:$AI$720,MATCH(Q$2,'Tillförd energi'!$B$1:$AQ$1,0),FALSE)</f>
        <v>0</v>
      </c>
      <c r="R38" s="63">
        <f>VLOOKUP($B38,'Tillförd energi'!$B$1:$AI$720,MATCH(R$2,'Tillförd energi'!$B$1:$AQ$1,0),FALSE)</f>
        <v>0</v>
      </c>
      <c r="S38" s="63">
        <f>VLOOKUP($B38,'Tillförd energi'!$B$1:$AI$720,MATCH(S$2,'Tillförd energi'!$B$1:$AQ$1,0),FALSE)</f>
        <v>0</v>
      </c>
      <c r="T38" s="63">
        <f>VLOOKUP($B38,'Tillförd energi'!$B$1:$AI$720,MATCH(T$2,'Tillförd energi'!$B$1:$AQ$1,0),FALSE)</f>
        <v>0</v>
      </c>
      <c r="U38" s="63">
        <f>VLOOKUP($B38,'Tillförd energi'!$B$1:$AI$720,MATCH(U$2,'Tillförd energi'!$B$1:$AQ$1,0),FALSE)</f>
        <v>0</v>
      </c>
      <c r="V38" s="63">
        <f>VLOOKUP($B38,'Tillförd energi'!$B$1:$AI$720,MATCH(V$2,'Tillförd energi'!$B$1:$AQ$1,0),FALSE)</f>
        <v>0</v>
      </c>
      <c r="W38" s="63">
        <f>VLOOKUP($B38,'Tillförd energi'!$B$1:$AI$720,MATCH(W$2,'Tillförd energi'!$B$1:$AQ$1,0),FALSE)</f>
        <v>0</v>
      </c>
      <c r="X38" s="63">
        <f>VLOOKUP($B38,'Tillförd energi'!$B$1:$AI$720,MATCH(X$2,'Tillförd energi'!$B$1:$AQ$1,0),FALSE)</f>
        <v>0</v>
      </c>
      <c r="Y38" s="63">
        <f>VLOOKUP($B38,'Tillförd energi'!$B$1:$AI$720,MATCH(Y$2,'Tillförd energi'!$B$1:$AQ$1,0),FALSE)</f>
        <v>0</v>
      </c>
      <c r="Z38" s="63">
        <f>VLOOKUP($B38,'Tillförd energi'!$B$1:$AI$720,MATCH(Z$2,'Tillförd energi'!$B$1:$AQ$1,0),FALSE)</f>
        <v>0</v>
      </c>
      <c r="AA38" s="63">
        <f>VLOOKUP($B38,'Tillförd energi'!$B$1:$AI$720,MATCH(AA$2,'Tillförd energi'!$B$1:$AQ$1,0),FALSE)</f>
        <v>0</v>
      </c>
      <c r="AB38" s="63">
        <f>VLOOKUP($B38,'Tillförd energi'!$B$1:$AI$720,MATCH(AB$2,'Tillförd energi'!$B$1:$AQ$1,0),FALSE)</f>
        <v>0</v>
      </c>
      <c r="AC38" s="63">
        <f>VLOOKUP($B38,'Tillförd energi'!$B$1:$AI$720,MATCH(AC$2,'Tillförd energi'!$B$1:$AQ$1,0),FALSE)</f>
        <v>3.43</v>
      </c>
      <c r="AD38" s="63">
        <f>VLOOKUP($B38,'Tillförd energi'!$B$1:$AI$720,MATCH(AD$2,'Tillförd energi'!$B$1:$AQ$1,0),FALSE)</f>
        <v>0</v>
      </c>
      <c r="AE38" s="63">
        <f>VLOOKUP($B38,'Tillförd energi'!$B$1:$AI$720,MATCH(AE$2,'Tillförd energi'!$B$1:$AQ$1,0),FALSE)</f>
        <v>0</v>
      </c>
      <c r="AF38" s="63">
        <f>VLOOKUP($B38,'Tillförd energi'!$B$1:$AI$720,MATCH(AF$2,'Tillförd energi'!$B$1:$AQ$1,0),FALSE)</f>
        <v>0.59499999999999997</v>
      </c>
      <c r="AG38" s="63">
        <f>IFERROR(VLOOKUP(B38,Miljö!$B$1:$AC$550,MATCH("Köpt mängd produktionsspecifik fjärrvärme:",Miljö!$B$1:$AC$1,0),FALSE)/1,0)</f>
        <v>0</v>
      </c>
      <c r="AI38" s="63">
        <f t="shared" si="0"/>
        <v>30.364999999999998</v>
      </c>
      <c r="AJ38" s="63">
        <f>IF(ISERROR(1/VLOOKUP($B38,Leveranser!$B$1:$S$500,MATCH("såld värme (gwh)",Leveranser!$B$1:$S$1,0),FALSE)),"",VLOOKUP($B38,Leveranser!$B$1:$S$500,MATCH("såld värme (gwh)",Leveranser!$B$1:$S$1,0),FALSE))</f>
        <v>22.18</v>
      </c>
      <c r="AM38" s="63" t="str">
        <f>IF(B38&lt;&gt;"",IF(VLOOKUP($B38,Totalt!$B$1:$AQ$554,MATCH("Kvalitetsgranskad:",Totalt!$B$1:$AQ$1,0),FALSE)="ja",VLOOKUP($B38,Miljö!$B$1:$AG$479,MATCH(AM$2,Miljö!$B$1:$AK$1,0),FALSE),""),"")</f>
        <v>Ja</v>
      </c>
      <c r="AN38" s="63" t="str">
        <f>IF(AM38="ja",VLOOKUP($B38,Miljö!$B$1:$J$479,MATCH("Typ av ursprungsspecificerad el   (Om inget värde anges används Nordisk residualmix, se inforuta) ()",Miljö!$B$1:$J$1,0),FALSE),IF(AM38="nej","Nordisk residualel",""))</f>
        <v>'Vattenkraft'</v>
      </c>
      <c r="AO38" s="63">
        <f>IF(AM38="","",VLOOKUP($B38,Miljö!$B$1:$J$479,MATCH("Fossilandel för ursprungspecificerad el ()",Miljö!$B$1:$J$1,0),FALSE))</f>
        <v>0</v>
      </c>
      <c r="AQ38" s="63">
        <f t="shared" si="1"/>
        <v>1</v>
      </c>
      <c r="AS38" s="63" t="str">
        <f t="shared" si="2"/>
        <v>Nej</v>
      </c>
      <c r="AT38" s="63" t="str">
        <f>IF(AS38="ja",VLOOKUP($B38,Miljö!$B$1:$P$500,MATCH("Fossil andel i procent (%)",Miljö!$B$1:$P$1,0),FALSE)/100,"")</f>
        <v/>
      </c>
      <c r="AV38" s="63" t="str">
        <f t="shared" si="3"/>
        <v>Nej</v>
      </c>
      <c r="AW38" s="63" t="str">
        <f>IF(AV38="ja",VLOOKUP($B38,'Egen hetvattenprod'!$B$1:$AO$500,MATCH("Värmekälla till värmepumpar ()",'Egen hetvattenprod'!$B$1:$AO$1,0),FALSE),"")</f>
        <v/>
      </c>
      <c r="AY38" s="63" t="str">
        <f t="shared" si="4"/>
        <v>Ja</v>
      </c>
      <c r="AZ38" s="77">
        <f>IF($AY38="ja",(VLOOKUP($B38,'Egen hetvattenprod'!$B$1:$BX$550,MATCH(AZ$2,'Egen hetvattenprod'!$B$1:$BX$1,0),FALSE)+VLOOKUP($B38,Kraftvärmeprod!$B$1:$BX$550,MATCH(AZ$2,Kraftvärmeprod!$B$1:$BX$1,0),FALSE))/$AC38,"")</f>
        <v>1</v>
      </c>
      <c r="BA38" s="77">
        <f>IF($AY38="ja",(VLOOKUP($B38,'Egen hetvattenprod'!$B$1:$BX$550,MATCH(BA$2,'Egen hetvattenprod'!$B$1:$BX$1,0),FALSE)+VLOOKUP($B38,Kraftvärmeprod!$B$1:$BX$550,MATCH(BA$2,Kraftvärmeprod!$B$1:$BX$1,0),FALSE))/$AC38,"")</f>
        <v>0</v>
      </c>
      <c r="BB38" s="77">
        <f>IF($AY38="ja",(VLOOKUP($B38,'Egen hetvattenprod'!$B$1:$BX$550,MATCH(BB$2,'Egen hetvattenprod'!$B$1:$BX$1,0),FALSE)+VLOOKUP($B38,Kraftvärmeprod!$B$1:$BX$550,MATCH(BB$2,Kraftvärmeprod!$B$1:$BX$1,0),FALSE))/$AC38,"")</f>
        <v>0</v>
      </c>
      <c r="BC38" s="77">
        <f>IF($AY38="ja",(VLOOKUP($B38,'Egen hetvattenprod'!$B$1:$BX$550,MATCH(BC$2,'Egen hetvattenprod'!$B$1:$BX$1,0),FALSE)+VLOOKUP($B38,Kraftvärmeprod!$B$1:$BX$550,MATCH(BC$2,Kraftvärmeprod!$B$1:$BX$1,0),FALSE))/$AC38,"")</f>
        <v>0</v>
      </c>
      <c r="BD38" s="77">
        <f>IF($AY38="ja",(VLOOKUP($B38,'Egen hetvattenprod'!$B$1:$BX$550,MATCH(BD$2,'Egen hetvattenprod'!$B$1:$BX$1,0),FALSE)+VLOOKUP($B38,Kraftvärmeprod!$B$1:$BX$550,MATCH(BD$2,Kraftvärmeprod!$B$1:$BX$1,0),FALSE))/$AC38,"")</f>
        <v>0</v>
      </c>
      <c r="BF38" s="63" t="str">
        <f t="shared" si="5"/>
        <v>Nej</v>
      </c>
      <c r="BG38" s="63" t="str">
        <f>IF($BF38="ja",VLOOKUP($B38,'Egen hetvattenprod'!$B$1:$BX$550,MATCH("Andelen klimatgaser med fossilt ursprung för avfall ()",'Egen hetvattenprod'!$B$1:$BX$1,0),FALSE),"")</f>
        <v/>
      </c>
      <c r="BH38" s="63" t="str">
        <f>IF($BF38="ja",VLOOKUP($B38,Kraftvärmeprod!$B$1:$BX$550,MATCH("Andelen klimatgaser med fossilt ursprung för avfall ()",Kraftvärmeprod!$B$1:$BX$1,0),FALSE),"")</f>
        <v/>
      </c>
      <c r="BI38" s="63" t="str">
        <f>IF($BF38="ja",VLOOKUP($B38,'Egen hetvattenprod'!$B$1:$BX$550,MATCH("Avfall (GWh)",'Egen hetvattenprod'!$B$1:$BX$1,0),FALSE),"")</f>
        <v/>
      </c>
      <c r="BJ38" s="63" t="str">
        <f>IF($BF38="ja",VLOOKUP($B38,'Slutlig allokering kvv'!$B$1:$BX$550,MATCH("Avfall (GWh)",'Slutlig allokering kvv'!$B$1:$BX$1,0),FALSE),"")</f>
        <v/>
      </c>
      <c r="BK38" s="63" t="str">
        <f>IF($BF38="ja",VLOOKUP($B38,'Köpt hetvatten'!$B$1:$BX$550,MATCH("Avfall i köpt hetvatten",'Köpt hetvatten'!$B$1:$BX$1,0),FALSE),"")</f>
        <v/>
      </c>
      <c r="BL38" s="63" t="str">
        <f>IF($BF38="ja",VLOOKUP($B38,'Egen hetvattenprod'!$B$1:$BX$550,MATCH("Värde enligt ovan. (%)",'Egen hetvattenprod'!$B$1:$BX$1,0),FALSE),"")</f>
        <v/>
      </c>
      <c r="BM38" s="63" t="str">
        <f>IF($BF38="ja",VLOOKUP($B38,Kraftvärmeprod!$B$1:$BX$550,MATCH("Värde enligt ovan. (%)",Kraftvärmeprod!$B$1:$BX$1,0),FALSE),"")</f>
        <v/>
      </c>
    </row>
    <row r="39" spans="1:65" x14ac:dyDescent="0.45">
      <c r="A39" s="63" t="s">
        <v>644</v>
      </c>
      <c r="B39" s="63" t="s">
        <v>645</v>
      </c>
      <c r="C39" s="63">
        <f>VLOOKUP($B39,'Tillförd energi'!$B$1:$AI$720,MATCH(C$2,'Tillförd energi'!$B$1:$AQ$1,0),FALSE)</f>
        <v>0</v>
      </c>
      <c r="D39" s="63">
        <f>VLOOKUP($B39,'Tillförd energi'!$B$1:$AI$720,MATCH(D$2,'Tillförd energi'!$B$1:$AQ$1,0),FALSE)</f>
        <v>6.3E-2</v>
      </c>
      <c r="E39" s="63">
        <f>VLOOKUP($B39,'Tillförd energi'!$B$1:$AI$720,MATCH(E$2,'Tillförd energi'!$B$1:$AQ$1,0),FALSE)</f>
        <v>0</v>
      </c>
      <c r="F39" s="63">
        <f>VLOOKUP($B39,'Tillförd energi'!$B$1:$AI$720,MATCH(F$2,'Tillförd energi'!$B$1:$AQ$1,0),FALSE)</f>
        <v>0</v>
      </c>
      <c r="G39" s="63">
        <f>VLOOKUP($B39,'Tillförd energi'!$B$1:$AI$720,MATCH(G$2,'Tillförd energi'!$B$1:$AQ$1,0),FALSE)</f>
        <v>0</v>
      </c>
      <c r="H39" s="63">
        <f>VLOOKUP($B39,'Tillförd energi'!$B$1:$AI$720,MATCH(H$2,'Tillförd energi'!$B$1:$AQ$1,0),FALSE)</f>
        <v>0</v>
      </c>
      <c r="I39" s="63">
        <f>VLOOKUP($B39,'Tillförd energi'!$B$1:$AI$720,MATCH(I$2,'Tillförd energi'!$B$1:$AQ$1,0),FALSE)</f>
        <v>0</v>
      </c>
      <c r="J39" s="63">
        <f>VLOOKUP($B39,'Tillförd energi'!$B$1:$AI$720,MATCH(J$2,'Tillförd energi'!$B$1:$AQ$1,0),FALSE)</f>
        <v>0</v>
      </c>
      <c r="K39" s="63">
        <f>VLOOKUP($B39,'Tillförd energi'!$B$1:$AI$720,MATCH(K$2,'Tillförd energi'!$B$1:$AQ$1,0),FALSE)</f>
        <v>0</v>
      </c>
      <c r="L39" s="63">
        <f>VLOOKUP($B39,'Tillförd energi'!$B$1:$AI$720,MATCH(L$2,'Tillförd energi'!$B$1:$AQ$1,0),FALSE)</f>
        <v>0</v>
      </c>
      <c r="M39" s="63">
        <f>VLOOKUP($B39,'Tillförd energi'!$B$1:$AI$720,MATCH(M$2,'Tillförd energi'!$B$1:$AQ$1,0),FALSE)</f>
        <v>0</v>
      </c>
      <c r="N39" s="63">
        <f>VLOOKUP($B39,'Tillförd energi'!$B$1:$AI$720,MATCH(N$2,'Tillförd energi'!$B$1:$AQ$1,0),FALSE)</f>
        <v>0</v>
      </c>
      <c r="O39" s="63">
        <f>VLOOKUP($B39,'Tillförd energi'!$B$1:$AI$720,MATCH(O$2,'Tillförd energi'!$B$1:$AQ$1,0),FALSE)</f>
        <v>0</v>
      </c>
      <c r="P39" s="63">
        <f>VLOOKUP($B39,'Tillförd energi'!$B$1:$AI$720,MATCH(P$2,'Tillförd energi'!$B$1:$AQ$1,0),FALSE)</f>
        <v>24.998999999999999</v>
      </c>
      <c r="Q39" s="63">
        <f>VLOOKUP($B39,'Tillförd energi'!$B$1:$AI$720,MATCH(Q$2,'Tillförd energi'!$B$1:$AQ$1,0),FALSE)</f>
        <v>0</v>
      </c>
      <c r="R39" s="63">
        <f>VLOOKUP($B39,'Tillförd energi'!$B$1:$AI$720,MATCH(R$2,'Tillförd energi'!$B$1:$AQ$1,0),FALSE)</f>
        <v>0</v>
      </c>
      <c r="S39" s="63">
        <f>VLOOKUP($B39,'Tillförd energi'!$B$1:$AI$720,MATCH(S$2,'Tillförd energi'!$B$1:$AQ$1,0),FALSE)</f>
        <v>0</v>
      </c>
      <c r="T39" s="63">
        <f>VLOOKUP($B39,'Tillförd energi'!$B$1:$AI$720,MATCH(T$2,'Tillförd energi'!$B$1:$AQ$1,0),FALSE)</f>
        <v>0</v>
      </c>
      <c r="U39" s="63">
        <f>VLOOKUP($B39,'Tillförd energi'!$B$1:$AI$720,MATCH(U$2,'Tillförd energi'!$B$1:$AQ$1,0),FALSE)</f>
        <v>0</v>
      </c>
      <c r="V39" s="63">
        <f>VLOOKUP($B39,'Tillförd energi'!$B$1:$AI$720,MATCH(V$2,'Tillförd energi'!$B$1:$AQ$1,0),FALSE)</f>
        <v>0</v>
      </c>
      <c r="W39" s="63">
        <f>VLOOKUP($B39,'Tillförd energi'!$B$1:$AI$720,MATCH(W$2,'Tillförd energi'!$B$1:$AQ$1,0),FALSE)</f>
        <v>0</v>
      </c>
      <c r="X39" s="63">
        <f>VLOOKUP($B39,'Tillförd energi'!$B$1:$AI$720,MATCH(X$2,'Tillförd energi'!$B$1:$AQ$1,0),FALSE)</f>
        <v>0</v>
      </c>
      <c r="Y39" s="63">
        <f>VLOOKUP($B39,'Tillförd energi'!$B$1:$AI$720,MATCH(Y$2,'Tillförd energi'!$B$1:$AQ$1,0),FALSE)</f>
        <v>0</v>
      </c>
      <c r="Z39" s="63">
        <f>VLOOKUP($B39,'Tillförd energi'!$B$1:$AI$720,MATCH(Z$2,'Tillförd energi'!$B$1:$AQ$1,0),FALSE)</f>
        <v>0</v>
      </c>
      <c r="AA39" s="63">
        <f>VLOOKUP($B39,'Tillförd energi'!$B$1:$AI$720,MATCH(AA$2,'Tillförd energi'!$B$1:$AQ$1,0),FALSE)</f>
        <v>0</v>
      </c>
      <c r="AB39" s="63">
        <f>VLOOKUP($B39,'Tillförd energi'!$B$1:$AI$720,MATCH(AB$2,'Tillförd energi'!$B$1:$AQ$1,0),FALSE)</f>
        <v>0</v>
      </c>
      <c r="AC39" s="63">
        <f>VLOOKUP($B39,'Tillförd energi'!$B$1:$AI$720,MATCH(AC$2,'Tillförd energi'!$B$1:$AQ$1,0),FALSE)</f>
        <v>4.1980000000000004</v>
      </c>
      <c r="AD39" s="63">
        <f>VLOOKUP($B39,'Tillförd energi'!$B$1:$AI$720,MATCH(AD$2,'Tillförd energi'!$B$1:$AQ$1,0),FALSE)</f>
        <v>0</v>
      </c>
      <c r="AE39" s="63">
        <f>VLOOKUP($B39,'Tillförd energi'!$B$1:$AI$720,MATCH(AE$2,'Tillförd energi'!$B$1:$AQ$1,0),FALSE)</f>
        <v>0</v>
      </c>
      <c r="AF39" s="63">
        <f>VLOOKUP($B39,'Tillförd energi'!$B$1:$AI$720,MATCH(AF$2,'Tillförd energi'!$B$1:$AQ$1,0),FALSE)</f>
        <v>0.69240000000000002</v>
      </c>
      <c r="AG39" s="63">
        <f>IFERROR(VLOOKUP(B39,Miljö!$B$1:$AC$550,MATCH("Köpt mängd produktionsspecifik fjärrvärme:",Miljö!$B$1:$AC$1,0),FALSE)/1,0)</f>
        <v>0</v>
      </c>
      <c r="AI39" s="63">
        <f t="shared" si="0"/>
        <v>29.952399999999997</v>
      </c>
      <c r="AJ39" s="63">
        <f>IF(ISERROR(1/VLOOKUP($B39,Leveranser!$B$1:$S$500,MATCH("såld värme (gwh)",Leveranser!$B$1:$S$1,0),FALSE)),"",VLOOKUP($B39,Leveranser!$B$1:$S$500,MATCH("såld värme (gwh)",Leveranser!$B$1:$S$1,0),FALSE))</f>
        <v>23.08</v>
      </c>
      <c r="AM39" s="63" t="str">
        <f>IF(B39&lt;&gt;"",IF(VLOOKUP($B39,Totalt!$B$1:$AQ$554,MATCH("Kvalitetsgranskad:",Totalt!$B$1:$AQ$1,0),FALSE)="ja",VLOOKUP($B39,Miljö!$B$1:$AG$479,MATCH(AM$2,Miljö!$B$1:$AK$1,0),FALSE),""),"")</f>
        <v>Ja</v>
      </c>
      <c r="AN39" s="63" t="str">
        <f>IF(AM39="ja",VLOOKUP($B39,Miljö!$B$1:$J$479,MATCH("Typ av ursprungsspecificerad el   (Om inget värde anges används Nordisk residualmix, se inforuta) ()",Miljö!$B$1:$J$1,0),FALSE),IF(AM39="nej","Nordisk residualel",""))</f>
        <v>ET</v>
      </c>
      <c r="AO39" s="63">
        <f>IF(AM39="","",VLOOKUP($B39,Miljö!$B$1:$J$479,MATCH("Fossilandel för ursprungspecificerad el ()",Miljö!$B$1:$J$1,0),FALSE))</f>
        <v>0.35</v>
      </c>
      <c r="AQ39" s="63">
        <f t="shared" si="1"/>
        <v>0.65</v>
      </c>
      <c r="AS39" s="63" t="str">
        <f t="shared" si="2"/>
        <v>Nej</v>
      </c>
      <c r="AT39" s="63" t="str">
        <f>IF(AS39="ja",VLOOKUP($B39,Miljö!$B$1:$P$500,MATCH("Fossil andel i procent (%)",Miljö!$B$1:$P$1,0),FALSE)/100,"")</f>
        <v/>
      </c>
      <c r="AV39" s="63" t="str">
        <f t="shared" si="3"/>
        <v>Nej</v>
      </c>
      <c r="AW39" s="63" t="str">
        <f>IF(AV39="ja",VLOOKUP($B39,'Egen hetvattenprod'!$B$1:$AO$500,MATCH("Värmekälla till värmepumpar ()",'Egen hetvattenprod'!$B$1:$AO$1,0),FALSE),"")</f>
        <v/>
      </c>
      <c r="AY39" s="63" t="str">
        <f t="shared" si="4"/>
        <v>Ja</v>
      </c>
      <c r="AZ39" s="77">
        <f>IF($AY39="ja",(VLOOKUP($B39,'Egen hetvattenprod'!$B$1:$BX$550,MATCH(AZ$2,'Egen hetvattenprod'!$B$1:$BX$1,0),FALSE)+VLOOKUP($B39,Kraftvärmeprod!$B$1:$BX$550,MATCH(AZ$2,Kraftvärmeprod!$B$1:$BX$1,0),FALSE))/$AC39,"")</f>
        <v>1</v>
      </c>
      <c r="BA39" s="77">
        <f>IF($AY39="ja",(VLOOKUP($B39,'Egen hetvattenprod'!$B$1:$BX$550,MATCH(BA$2,'Egen hetvattenprod'!$B$1:$BX$1,0),FALSE)+VLOOKUP($B39,Kraftvärmeprod!$B$1:$BX$550,MATCH(BA$2,Kraftvärmeprod!$B$1:$BX$1,0),FALSE))/$AC39,"")</f>
        <v>0</v>
      </c>
      <c r="BB39" s="77">
        <f>IF($AY39="ja",(VLOOKUP($B39,'Egen hetvattenprod'!$B$1:$BX$550,MATCH(BB$2,'Egen hetvattenprod'!$B$1:$BX$1,0),FALSE)+VLOOKUP($B39,Kraftvärmeprod!$B$1:$BX$550,MATCH(BB$2,Kraftvärmeprod!$B$1:$BX$1,0),FALSE))/$AC39,"")</f>
        <v>0</v>
      </c>
      <c r="BC39" s="77">
        <f>IF($AY39="ja",(VLOOKUP($B39,'Egen hetvattenprod'!$B$1:$BX$550,MATCH(BC$2,'Egen hetvattenprod'!$B$1:$BX$1,0),FALSE)+VLOOKUP($B39,Kraftvärmeprod!$B$1:$BX$550,MATCH(BC$2,Kraftvärmeprod!$B$1:$BX$1,0),FALSE))/$AC39,"")</f>
        <v>0</v>
      </c>
      <c r="BD39" s="77">
        <f>IF($AY39="ja",(VLOOKUP($B39,'Egen hetvattenprod'!$B$1:$BX$550,MATCH(BD$2,'Egen hetvattenprod'!$B$1:$BX$1,0),FALSE)+VLOOKUP($B39,Kraftvärmeprod!$B$1:$BX$550,MATCH(BD$2,Kraftvärmeprod!$B$1:$BX$1,0),FALSE))/$AC39,"")</f>
        <v>0</v>
      </c>
      <c r="BF39" s="63" t="str">
        <f t="shared" si="5"/>
        <v>Nej</v>
      </c>
      <c r="BG39" s="63" t="str">
        <f>IF($BF39="ja",VLOOKUP($B39,'Egen hetvattenprod'!$B$1:$BX$550,MATCH("Andelen klimatgaser med fossilt ursprung för avfall ()",'Egen hetvattenprod'!$B$1:$BX$1,0),FALSE),"")</f>
        <v/>
      </c>
      <c r="BH39" s="63" t="str">
        <f>IF($BF39="ja",VLOOKUP($B39,Kraftvärmeprod!$B$1:$BX$550,MATCH("Andelen klimatgaser med fossilt ursprung för avfall ()",Kraftvärmeprod!$B$1:$BX$1,0),FALSE),"")</f>
        <v/>
      </c>
      <c r="BI39" s="63" t="str">
        <f>IF($BF39="ja",VLOOKUP($B39,'Egen hetvattenprod'!$B$1:$BX$550,MATCH("Avfall (GWh)",'Egen hetvattenprod'!$B$1:$BX$1,0),FALSE),"")</f>
        <v/>
      </c>
      <c r="BJ39" s="63" t="str">
        <f>IF($BF39="ja",VLOOKUP($B39,'Slutlig allokering kvv'!$B$1:$BX$550,MATCH("Avfall (GWh)",'Slutlig allokering kvv'!$B$1:$BX$1,0),FALSE),"")</f>
        <v/>
      </c>
      <c r="BK39" s="63" t="str">
        <f>IF($BF39="ja",VLOOKUP($B39,'Köpt hetvatten'!$B$1:$BX$550,MATCH("Avfall i köpt hetvatten",'Köpt hetvatten'!$B$1:$BX$1,0),FALSE),"")</f>
        <v/>
      </c>
      <c r="BL39" s="63" t="str">
        <f>IF($BF39="ja",VLOOKUP($B39,'Egen hetvattenprod'!$B$1:$BX$550,MATCH("Värde enligt ovan. (%)",'Egen hetvattenprod'!$B$1:$BX$1,0),FALSE),"")</f>
        <v/>
      </c>
      <c r="BM39" s="63" t="str">
        <f>IF($BF39="ja",VLOOKUP($B39,Kraftvärmeprod!$B$1:$BX$550,MATCH("Värde enligt ovan. (%)",Kraftvärmeprod!$B$1:$BX$1,0),FALSE),"")</f>
        <v/>
      </c>
    </row>
    <row r="40" spans="1:65" x14ac:dyDescent="0.45">
      <c r="A40" s="63" t="s">
        <v>644</v>
      </c>
      <c r="B40" s="63" t="s">
        <v>643</v>
      </c>
      <c r="C40" s="63">
        <f>VLOOKUP($B40,'Tillförd energi'!$B$1:$AI$720,MATCH(C$2,'Tillförd energi'!$B$1:$AQ$1,0),FALSE)</f>
        <v>0</v>
      </c>
      <c r="D40" s="63">
        <f>VLOOKUP($B40,'Tillförd energi'!$B$1:$AI$720,MATCH(D$2,'Tillförd energi'!$B$1:$AQ$1,0),FALSE)</f>
        <v>0.65700000000000003</v>
      </c>
      <c r="E40" s="63">
        <f>VLOOKUP($B40,'Tillförd energi'!$B$1:$AI$720,MATCH(E$2,'Tillförd energi'!$B$1:$AQ$1,0),FALSE)</f>
        <v>0</v>
      </c>
      <c r="F40" s="63">
        <f>VLOOKUP($B40,'Tillförd energi'!$B$1:$AI$720,MATCH(F$2,'Tillförd energi'!$B$1:$AQ$1,0),FALSE)</f>
        <v>0</v>
      </c>
      <c r="G40" s="63">
        <f>VLOOKUP($B40,'Tillförd energi'!$B$1:$AI$720,MATCH(G$2,'Tillförd energi'!$B$1:$AQ$1,0),FALSE)</f>
        <v>0</v>
      </c>
      <c r="H40" s="63">
        <f>VLOOKUP($B40,'Tillförd energi'!$B$1:$AI$720,MATCH(H$2,'Tillförd energi'!$B$1:$AQ$1,0),FALSE)</f>
        <v>0</v>
      </c>
      <c r="I40" s="63">
        <f>VLOOKUP($B40,'Tillförd energi'!$B$1:$AI$720,MATCH(I$2,'Tillförd energi'!$B$1:$AQ$1,0),FALSE)</f>
        <v>0</v>
      </c>
      <c r="J40" s="63">
        <f>VLOOKUP($B40,'Tillförd energi'!$B$1:$AI$720,MATCH(J$2,'Tillförd energi'!$B$1:$AQ$1,0),FALSE)</f>
        <v>0</v>
      </c>
      <c r="K40" s="63">
        <f>VLOOKUP($B40,'Tillförd energi'!$B$1:$AI$720,MATCH(K$2,'Tillförd energi'!$B$1:$AQ$1,0),FALSE)</f>
        <v>0</v>
      </c>
      <c r="L40" s="63">
        <f>VLOOKUP($B40,'Tillförd energi'!$B$1:$AI$720,MATCH(L$2,'Tillförd energi'!$B$1:$AQ$1,0),FALSE)</f>
        <v>0</v>
      </c>
      <c r="M40" s="63">
        <f>VLOOKUP($B40,'Tillförd energi'!$B$1:$AI$720,MATCH(M$2,'Tillförd energi'!$B$1:$AQ$1,0),FALSE)</f>
        <v>0</v>
      </c>
      <c r="N40" s="63">
        <f>VLOOKUP($B40,'Tillförd energi'!$B$1:$AI$720,MATCH(N$2,'Tillförd energi'!$B$1:$AQ$1,0),FALSE)</f>
        <v>0</v>
      </c>
      <c r="O40" s="63">
        <f>VLOOKUP($B40,'Tillförd energi'!$B$1:$AI$720,MATCH(O$2,'Tillförd energi'!$B$1:$AQ$1,0),FALSE)</f>
        <v>0</v>
      </c>
      <c r="P40" s="63">
        <f>VLOOKUP($B40,'Tillförd energi'!$B$1:$AI$720,MATCH(P$2,'Tillförd energi'!$B$1:$AQ$1,0),FALSE)</f>
        <v>2.4649999999999999</v>
      </c>
      <c r="Q40" s="63">
        <f>VLOOKUP($B40,'Tillförd energi'!$B$1:$AI$720,MATCH(Q$2,'Tillförd energi'!$B$1:$AQ$1,0),FALSE)</f>
        <v>0</v>
      </c>
      <c r="R40" s="63">
        <f>VLOOKUP($B40,'Tillförd energi'!$B$1:$AI$720,MATCH(R$2,'Tillförd energi'!$B$1:$AQ$1,0),FALSE)</f>
        <v>0</v>
      </c>
      <c r="S40" s="63">
        <f>VLOOKUP($B40,'Tillförd energi'!$B$1:$AI$720,MATCH(S$2,'Tillförd energi'!$B$1:$AQ$1,0),FALSE)</f>
        <v>0</v>
      </c>
      <c r="T40" s="63">
        <f>VLOOKUP($B40,'Tillförd energi'!$B$1:$AI$720,MATCH(T$2,'Tillförd energi'!$B$1:$AQ$1,0),FALSE)</f>
        <v>0</v>
      </c>
      <c r="U40" s="63">
        <f>VLOOKUP($B40,'Tillförd energi'!$B$1:$AI$720,MATCH(U$2,'Tillförd energi'!$B$1:$AQ$1,0),FALSE)</f>
        <v>0</v>
      </c>
      <c r="V40" s="63">
        <f>VLOOKUP($B40,'Tillförd energi'!$B$1:$AI$720,MATCH(V$2,'Tillförd energi'!$B$1:$AQ$1,0),FALSE)</f>
        <v>0</v>
      </c>
      <c r="W40" s="63">
        <f>VLOOKUP($B40,'Tillförd energi'!$B$1:$AI$720,MATCH(W$2,'Tillförd energi'!$B$1:$AQ$1,0),FALSE)</f>
        <v>0</v>
      </c>
      <c r="X40" s="63">
        <f>VLOOKUP($B40,'Tillförd energi'!$B$1:$AI$720,MATCH(X$2,'Tillförd energi'!$B$1:$AQ$1,0),FALSE)</f>
        <v>0</v>
      </c>
      <c r="Y40" s="63">
        <f>VLOOKUP($B40,'Tillförd energi'!$B$1:$AI$720,MATCH(Y$2,'Tillförd energi'!$B$1:$AQ$1,0),FALSE)</f>
        <v>0</v>
      </c>
      <c r="Z40" s="63">
        <f>VLOOKUP($B40,'Tillförd energi'!$B$1:$AI$720,MATCH(Z$2,'Tillförd energi'!$B$1:$AQ$1,0),FALSE)</f>
        <v>0</v>
      </c>
      <c r="AA40" s="63">
        <f>VLOOKUP($B40,'Tillförd energi'!$B$1:$AI$720,MATCH(AA$2,'Tillförd energi'!$B$1:$AQ$1,0),FALSE)</f>
        <v>0</v>
      </c>
      <c r="AB40" s="63">
        <f>VLOOKUP($B40,'Tillförd energi'!$B$1:$AI$720,MATCH(AB$2,'Tillförd energi'!$B$1:$AQ$1,0),FALSE)</f>
        <v>0</v>
      </c>
      <c r="AC40" s="63">
        <f>VLOOKUP($B40,'Tillförd energi'!$B$1:$AI$720,MATCH(AC$2,'Tillförd energi'!$B$1:$AQ$1,0),FALSE)</f>
        <v>0</v>
      </c>
      <c r="AD40" s="63">
        <f>VLOOKUP($B40,'Tillförd energi'!$B$1:$AI$720,MATCH(AD$2,'Tillförd energi'!$B$1:$AQ$1,0),FALSE)</f>
        <v>0</v>
      </c>
      <c r="AE40" s="63">
        <f>VLOOKUP($B40,'Tillförd energi'!$B$1:$AI$720,MATCH(AE$2,'Tillförd energi'!$B$1:$AQ$1,0),FALSE)</f>
        <v>0</v>
      </c>
      <c r="AF40" s="63">
        <f>VLOOKUP($B40,'Tillförd energi'!$B$1:$AI$720,MATCH(AF$2,'Tillförd energi'!$B$1:$AQ$1,0),FALSE)</f>
        <v>7.1279999999999996E-2</v>
      </c>
      <c r="AG40" s="63">
        <f>IFERROR(VLOOKUP(B40,Miljö!$B$1:$AC$550,MATCH("Köpt mängd produktionsspecifik fjärrvärme:",Miljö!$B$1:$AC$1,0),FALSE)/1,0)</f>
        <v>0</v>
      </c>
      <c r="AI40" s="63">
        <f t="shared" si="0"/>
        <v>3.1932799999999997</v>
      </c>
      <c r="AJ40" s="63">
        <f>IF(ISERROR(1/VLOOKUP($B40,Leveranser!$B$1:$S$500,MATCH("såld värme (gwh)",Leveranser!$B$1:$S$1,0),FALSE)),"",VLOOKUP($B40,Leveranser!$B$1:$S$500,MATCH("såld värme (gwh)",Leveranser!$B$1:$S$1,0),FALSE))</f>
        <v>2.3759999999999999</v>
      </c>
      <c r="AM40" s="63" t="str">
        <f>IF(B40&lt;&gt;"",IF(VLOOKUP($B40,Totalt!$B$1:$AQ$554,MATCH("Kvalitetsgranskad:",Totalt!$B$1:$AQ$1,0),FALSE)="ja",VLOOKUP($B40,Miljö!$B$1:$AG$479,MATCH(AM$2,Miljö!$B$1:$AK$1,0),FALSE),""),"")</f>
        <v>Ja</v>
      </c>
      <c r="AN40" s="63" t="str">
        <f>IF(AM40="ja",VLOOKUP($B40,Miljö!$B$1:$J$479,MATCH("Typ av ursprungsspecificerad el   (Om inget värde anges används Nordisk residualmix, se inforuta) ()",Miljö!$B$1:$J$1,0),FALSE),IF(AM40="nej","Nordisk residualel",""))</f>
        <v>-</v>
      </c>
      <c r="AO40" s="63">
        <f>IF(AM40="","",VLOOKUP($B40,Miljö!$B$1:$J$479,MATCH("Fossilandel för ursprungspecificerad el ()",Miljö!$B$1:$J$1,0),FALSE))</f>
        <v>0.35</v>
      </c>
      <c r="AQ40" s="63">
        <f t="shared" si="1"/>
        <v>0.65</v>
      </c>
      <c r="AS40" s="63" t="str">
        <f t="shared" si="2"/>
        <v>Nej</v>
      </c>
      <c r="AT40" s="63" t="str">
        <f>IF(AS40="ja",VLOOKUP($B40,Miljö!$B$1:$P$500,MATCH("Fossil andel i procent (%)",Miljö!$B$1:$P$1,0),FALSE)/100,"")</f>
        <v/>
      </c>
      <c r="AV40" s="63" t="str">
        <f t="shared" si="3"/>
        <v>Nej</v>
      </c>
      <c r="AW40" s="63" t="str">
        <f>IF(AV40="ja",VLOOKUP($B40,'Egen hetvattenprod'!$B$1:$AO$500,MATCH("Värmekälla till värmepumpar ()",'Egen hetvattenprod'!$B$1:$AO$1,0),FALSE),"")</f>
        <v/>
      </c>
      <c r="AY40" s="63" t="str">
        <f t="shared" si="4"/>
        <v>Nej</v>
      </c>
      <c r="AZ40" s="77" t="str">
        <f>IF($AY40="ja",(VLOOKUP($B40,'Egen hetvattenprod'!$B$1:$BX$550,MATCH(AZ$2,'Egen hetvattenprod'!$B$1:$BX$1,0),FALSE)+VLOOKUP($B40,Kraftvärmeprod!$B$1:$BX$550,MATCH(AZ$2,Kraftvärmeprod!$B$1:$BX$1,0),FALSE))/$AC40,"")</f>
        <v/>
      </c>
      <c r="BA40" s="77" t="str">
        <f>IF($AY40="ja",(VLOOKUP($B40,'Egen hetvattenprod'!$B$1:$BX$550,MATCH(BA$2,'Egen hetvattenprod'!$B$1:$BX$1,0),FALSE)+VLOOKUP($B40,Kraftvärmeprod!$B$1:$BX$550,MATCH(BA$2,Kraftvärmeprod!$B$1:$BX$1,0),FALSE))/$AC40,"")</f>
        <v/>
      </c>
      <c r="BB40" s="77" t="str">
        <f>IF($AY40="ja",(VLOOKUP($B40,'Egen hetvattenprod'!$B$1:$BX$550,MATCH(BB$2,'Egen hetvattenprod'!$B$1:$BX$1,0),FALSE)+VLOOKUP($B40,Kraftvärmeprod!$B$1:$BX$550,MATCH(BB$2,Kraftvärmeprod!$B$1:$BX$1,0),FALSE))/$AC40,"")</f>
        <v/>
      </c>
      <c r="BC40" s="77" t="str">
        <f>IF($AY40="ja",(VLOOKUP($B40,'Egen hetvattenprod'!$B$1:$BX$550,MATCH(BC$2,'Egen hetvattenprod'!$B$1:$BX$1,0),FALSE)+VLOOKUP($B40,Kraftvärmeprod!$B$1:$BX$550,MATCH(BC$2,Kraftvärmeprod!$B$1:$BX$1,0),FALSE))/$AC40,"")</f>
        <v/>
      </c>
      <c r="BD40" s="77" t="str">
        <f>IF($AY40="ja",(VLOOKUP($B40,'Egen hetvattenprod'!$B$1:$BX$550,MATCH(BD$2,'Egen hetvattenprod'!$B$1:$BX$1,0),FALSE)+VLOOKUP($B40,Kraftvärmeprod!$B$1:$BX$550,MATCH(BD$2,Kraftvärmeprod!$B$1:$BX$1,0),FALSE))/$AC40,"")</f>
        <v/>
      </c>
      <c r="BF40" s="63" t="str">
        <f t="shared" si="5"/>
        <v>Nej</v>
      </c>
      <c r="BG40" s="63" t="str">
        <f>IF($BF40="ja",VLOOKUP($B40,'Egen hetvattenprod'!$B$1:$BX$550,MATCH("Andelen klimatgaser med fossilt ursprung för avfall ()",'Egen hetvattenprod'!$B$1:$BX$1,0),FALSE),"")</f>
        <v/>
      </c>
      <c r="BH40" s="63" t="str">
        <f>IF($BF40="ja",VLOOKUP($B40,Kraftvärmeprod!$B$1:$BX$550,MATCH("Andelen klimatgaser med fossilt ursprung för avfall ()",Kraftvärmeprod!$B$1:$BX$1,0),FALSE),"")</f>
        <v/>
      </c>
      <c r="BI40" s="63" t="str">
        <f>IF($BF40="ja",VLOOKUP($B40,'Egen hetvattenprod'!$B$1:$BX$550,MATCH("Avfall (GWh)",'Egen hetvattenprod'!$B$1:$BX$1,0),FALSE),"")</f>
        <v/>
      </c>
      <c r="BJ40" s="63" t="str">
        <f>IF($BF40="ja",VLOOKUP($B40,'Slutlig allokering kvv'!$B$1:$BX$550,MATCH("Avfall (GWh)",'Slutlig allokering kvv'!$B$1:$BX$1,0),FALSE),"")</f>
        <v/>
      </c>
      <c r="BK40" s="63" t="str">
        <f>IF($BF40="ja",VLOOKUP($B40,'Köpt hetvatten'!$B$1:$BX$550,MATCH("Avfall i köpt hetvatten",'Köpt hetvatten'!$B$1:$BX$1,0),FALSE),"")</f>
        <v/>
      </c>
      <c r="BL40" s="63" t="str">
        <f>IF($BF40="ja",VLOOKUP($B40,'Egen hetvattenprod'!$B$1:$BX$550,MATCH("Värde enligt ovan. (%)",'Egen hetvattenprod'!$B$1:$BX$1,0),FALSE),"")</f>
        <v/>
      </c>
      <c r="BM40" s="63" t="str">
        <f>IF($BF40="ja",VLOOKUP($B40,Kraftvärmeprod!$B$1:$BX$550,MATCH("Värde enligt ovan. (%)",Kraftvärmeprod!$B$1:$BX$1,0),FALSE),"")</f>
        <v/>
      </c>
    </row>
    <row r="41" spans="1:65" x14ac:dyDescent="0.45">
      <c r="A41" s="63" t="s">
        <v>640</v>
      </c>
      <c r="B41" s="63" t="s">
        <v>642</v>
      </c>
      <c r="C41" s="63">
        <f>VLOOKUP($B41,'Tillförd energi'!$B$1:$AI$720,MATCH(C$2,'Tillförd energi'!$B$1:$AQ$1,0),FALSE)</f>
        <v>0</v>
      </c>
      <c r="D41" s="63">
        <f>VLOOKUP($B41,'Tillförd energi'!$B$1:$AI$720,MATCH(D$2,'Tillförd energi'!$B$1:$AQ$1,0),FALSE)</f>
        <v>2.8899999999999999E-2</v>
      </c>
      <c r="E41" s="63">
        <f>VLOOKUP($B41,'Tillförd energi'!$B$1:$AI$720,MATCH(E$2,'Tillförd energi'!$B$1:$AQ$1,0),FALSE)</f>
        <v>1.1855</v>
      </c>
      <c r="F41" s="63">
        <f>VLOOKUP($B41,'Tillförd energi'!$B$1:$AI$720,MATCH(F$2,'Tillförd energi'!$B$1:$AQ$1,0),FALSE)</f>
        <v>0</v>
      </c>
      <c r="G41" s="63">
        <f>VLOOKUP($B41,'Tillförd energi'!$B$1:$AI$720,MATCH(G$2,'Tillförd energi'!$B$1:$AQ$1,0),FALSE)</f>
        <v>0</v>
      </c>
      <c r="H41" s="63">
        <f>VLOOKUP($B41,'Tillförd energi'!$B$1:$AI$720,MATCH(H$2,'Tillförd energi'!$B$1:$AQ$1,0),FALSE)</f>
        <v>0</v>
      </c>
      <c r="I41" s="63">
        <f>VLOOKUP($B41,'Tillförd energi'!$B$1:$AI$720,MATCH(I$2,'Tillförd energi'!$B$1:$AQ$1,0),FALSE)</f>
        <v>196.30600000000001</v>
      </c>
      <c r="J41" s="63">
        <f>VLOOKUP($B41,'Tillförd energi'!$B$1:$AI$720,MATCH(J$2,'Tillförd energi'!$B$1:$AQ$1,0),FALSE)</f>
        <v>2.7959999999999998</v>
      </c>
      <c r="K41" s="63">
        <f>VLOOKUP($B41,'Tillförd energi'!$B$1:$AI$720,MATCH(K$2,'Tillförd energi'!$B$1:$AQ$1,0),FALSE)</f>
        <v>0</v>
      </c>
      <c r="L41" s="63">
        <f>VLOOKUP($B41,'Tillförd energi'!$B$1:$AI$720,MATCH(L$2,'Tillförd energi'!$B$1:$AQ$1,0),FALSE)</f>
        <v>6.1619200000000003</v>
      </c>
      <c r="M41" s="63">
        <f>VLOOKUP($B41,'Tillförd energi'!$B$1:$AI$720,MATCH(M$2,'Tillförd energi'!$B$1:$AQ$1,0),FALSE)</f>
        <v>0</v>
      </c>
      <c r="N41" s="63">
        <f>VLOOKUP($B41,'Tillförd energi'!$B$1:$AI$720,MATCH(N$2,'Tillförd energi'!$B$1:$AQ$1,0),FALSE)</f>
        <v>2.2170000000000001</v>
      </c>
      <c r="O41" s="63">
        <f>VLOOKUP($B41,'Tillförd energi'!$B$1:$AI$720,MATCH(O$2,'Tillförd energi'!$B$1:$AQ$1,0),FALSE)</f>
        <v>0</v>
      </c>
      <c r="P41" s="63">
        <f>VLOOKUP($B41,'Tillförd energi'!$B$1:$AI$720,MATCH(P$2,'Tillförd energi'!$B$1:$AQ$1,0),FALSE)</f>
        <v>1.407</v>
      </c>
      <c r="Q41" s="63">
        <f>VLOOKUP($B41,'Tillförd energi'!$B$1:$AI$720,MATCH(Q$2,'Tillförd energi'!$B$1:$AQ$1,0),FALSE)</f>
        <v>157.77099999999999</v>
      </c>
      <c r="R41" s="63">
        <f>VLOOKUP($B41,'Tillförd energi'!$B$1:$AI$720,MATCH(R$2,'Tillförd energi'!$B$1:$AQ$1,0),FALSE)</f>
        <v>0</v>
      </c>
      <c r="S41" s="63">
        <f>VLOOKUP($B41,'Tillförd energi'!$B$1:$AI$720,MATCH(S$2,'Tillförd energi'!$B$1:$AQ$1,0),FALSE)</f>
        <v>0</v>
      </c>
      <c r="T41" s="63">
        <f>VLOOKUP($B41,'Tillförd energi'!$B$1:$AI$720,MATCH(T$2,'Tillförd energi'!$B$1:$AQ$1,0),FALSE)</f>
        <v>0</v>
      </c>
      <c r="U41" s="63">
        <f>VLOOKUP($B41,'Tillförd energi'!$B$1:$AI$720,MATCH(U$2,'Tillförd energi'!$B$1:$AQ$1,0),FALSE)</f>
        <v>0</v>
      </c>
      <c r="V41" s="63">
        <f>VLOOKUP($B41,'Tillförd energi'!$B$1:$AI$720,MATCH(V$2,'Tillförd energi'!$B$1:$AQ$1,0),FALSE)</f>
        <v>0</v>
      </c>
      <c r="W41" s="63">
        <f>VLOOKUP($B41,'Tillförd energi'!$B$1:$AI$720,MATCH(W$2,'Tillförd energi'!$B$1:$AQ$1,0),FALSE)</f>
        <v>8.02171E-2</v>
      </c>
      <c r="X41" s="63">
        <f>VLOOKUP($B41,'Tillförd energi'!$B$1:$AI$720,MATCH(X$2,'Tillförd energi'!$B$1:$AQ$1,0),FALSE)</f>
        <v>0</v>
      </c>
      <c r="Y41" s="63">
        <f>VLOOKUP($B41,'Tillförd energi'!$B$1:$AI$720,MATCH(Y$2,'Tillförd energi'!$B$1:$AQ$1,0),FALSE)</f>
        <v>0</v>
      </c>
      <c r="Z41" s="63">
        <f>VLOOKUP($B41,'Tillförd energi'!$B$1:$AI$720,MATCH(Z$2,'Tillförd energi'!$B$1:$AQ$1,0),FALSE)</f>
        <v>0</v>
      </c>
      <c r="AA41" s="63">
        <f>VLOOKUP($B41,'Tillförd energi'!$B$1:$AI$720,MATCH(AA$2,'Tillförd energi'!$B$1:$AQ$1,0),FALSE)</f>
        <v>2.0270000000000001</v>
      </c>
      <c r="AB41" s="63">
        <f>VLOOKUP($B41,'Tillförd energi'!$B$1:$AI$720,MATCH(AB$2,'Tillförd energi'!$B$1:$AQ$1,0),FALSE)</f>
        <v>0.63400000000000001</v>
      </c>
      <c r="AC41" s="63">
        <f>VLOOKUP($B41,'Tillförd energi'!$B$1:$AI$720,MATCH(AC$2,'Tillförd energi'!$B$1:$AQ$1,0),FALSE)</f>
        <v>9.7650000000000006</v>
      </c>
      <c r="AD41" s="63">
        <f>VLOOKUP($B41,'Tillförd energi'!$B$1:$AI$720,MATCH(AD$2,'Tillförd energi'!$B$1:$AQ$1,0),FALSE)</f>
        <v>94.512</v>
      </c>
      <c r="AE41" s="63">
        <f>VLOOKUP($B41,'Tillförd energi'!$B$1:$AI$720,MATCH(AE$2,'Tillförd energi'!$B$1:$AQ$1,0),FALSE)</f>
        <v>0</v>
      </c>
      <c r="AF41" s="63">
        <f>VLOOKUP($B41,'Tillförd energi'!$B$1:$AI$720,MATCH(AF$2,'Tillförd energi'!$B$1:$AQ$1,0),FALSE)</f>
        <v>7.5194000000000001</v>
      </c>
      <c r="AG41" s="63">
        <f>IFERROR(VLOOKUP(B41,Miljö!$B$1:$AC$550,MATCH("Köpt mängd produktionsspecifik fjärrvärme:",Miljö!$B$1:$AC$1,0),FALSE)/1,0)</f>
        <v>2.8555000000000001</v>
      </c>
      <c r="AI41" s="63">
        <f t="shared" si="0"/>
        <v>485.26643710000008</v>
      </c>
      <c r="AJ41" s="63">
        <f>IF(ISERROR(1/VLOOKUP($B41,Leveranser!$B$1:$S$500,MATCH("såld värme (gwh)",Leveranser!$B$1:$S$1,0),FALSE)),"",VLOOKUP($B41,Leveranser!$B$1:$S$500,MATCH("såld värme (gwh)",Leveranser!$B$1:$S$1,0),FALSE))</f>
        <v>430.88900000000001</v>
      </c>
      <c r="AM41" s="63" t="str">
        <f>IF(B41&lt;&gt;"",IF(VLOOKUP($B41,Totalt!$B$1:$AQ$554,MATCH("Kvalitetsgranskad:",Totalt!$B$1:$AQ$1,0),FALSE)="ja",VLOOKUP($B41,Miljö!$B$1:$AG$479,MATCH(AM$2,Miljö!$B$1:$AK$1,0),FALSE),""),"")</f>
        <v>Ja</v>
      </c>
      <c r="AN41" s="63" t="str">
        <f>IF(AM41="ja",VLOOKUP($B41,Miljö!$B$1:$J$479,MATCH("Typ av ursprungsspecificerad el   (Om inget värde anges används Nordisk residualmix, se inforuta) ()",Miljö!$B$1:$J$1,0),FALSE),IF(AM41="nej","Nordisk residualel",""))</f>
        <v>'Vattenkraft'</v>
      </c>
      <c r="AO41" s="63">
        <f>IF(AM41="","",VLOOKUP($B41,Miljö!$B$1:$J$479,MATCH("Fossilandel för ursprungspecificerad el ()",Miljö!$B$1:$J$1,0),FALSE))</f>
        <v>0</v>
      </c>
      <c r="AQ41" s="63">
        <f t="shared" si="1"/>
        <v>1</v>
      </c>
      <c r="AS41" s="63" t="str">
        <f t="shared" si="2"/>
        <v>Ja</v>
      </c>
      <c r="AT41" s="63">
        <f>IF(AS41="ja",VLOOKUP($B41,Miljö!$B$1:$P$500,MATCH("Fossil andel i procent (%)",Miljö!$B$1:$P$1,0),FALSE)/100,"")</f>
        <v>0</v>
      </c>
      <c r="AV41" s="63" t="str">
        <f t="shared" si="3"/>
        <v>Ja</v>
      </c>
      <c r="AW41" s="63" t="str">
        <f>IF(AV41="ja",VLOOKUP($B41,'Egen hetvattenprod'!$B$1:$AO$500,MATCH("Värmekälla till värmepumpar ()",'Egen hetvattenprod'!$B$1:$AO$1,0),FALSE),"")</f>
        <v>Renat avloppsvatten</v>
      </c>
      <c r="AY41" s="63" t="str">
        <f t="shared" si="4"/>
        <v>Ja</v>
      </c>
      <c r="AZ41" s="77">
        <f>IF($AY41="ja",(VLOOKUP($B41,'Egen hetvattenprod'!$B$1:$BX$550,MATCH(AZ$2,'Egen hetvattenprod'!$B$1:$BX$1,0),FALSE)+VLOOKUP($B41,Kraftvärmeprod!$B$1:$BX$550,MATCH(AZ$2,Kraftvärmeprod!$B$1:$BX$1,0),FALSE))/$AC41,"")</f>
        <v>0.10630000000000001</v>
      </c>
      <c r="BA41" s="77">
        <f>IF($AY41="ja",(VLOOKUP($B41,'Egen hetvattenprod'!$B$1:$BX$550,MATCH(BA$2,'Egen hetvattenprod'!$B$1:$BX$1,0),FALSE)+VLOOKUP($B41,Kraftvärmeprod!$B$1:$BX$550,MATCH(BA$2,Kraftvärmeprod!$B$1:$BX$1,0),FALSE))/$AC41,"")</f>
        <v>0.89370000000000016</v>
      </c>
      <c r="BB41" s="77">
        <f>IF($AY41="ja",(VLOOKUP($B41,'Egen hetvattenprod'!$B$1:$BX$550,MATCH(BB$2,'Egen hetvattenprod'!$B$1:$BX$1,0),FALSE)+VLOOKUP($B41,Kraftvärmeprod!$B$1:$BX$550,MATCH(BB$2,Kraftvärmeprod!$B$1:$BX$1,0),FALSE))/$AC41,"")</f>
        <v>0</v>
      </c>
      <c r="BC41" s="77">
        <f>IF($AY41="ja",(VLOOKUP($B41,'Egen hetvattenprod'!$B$1:$BX$550,MATCH(BC$2,'Egen hetvattenprod'!$B$1:$BX$1,0),FALSE)+VLOOKUP($B41,Kraftvärmeprod!$B$1:$BX$550,MATCH(BC$2,Kraftvärmeprod!$B$1:$BX$1,0),FALSE))/$AC41,"")</f>
        <v>0</v>
      </c>
      <c r="BD41" s="77">
        <f>IF($AY41="ja",(VLOOKUP($B41,'Egen hetvattenprod'!$B$1:$BX$550,MATCH(BD$2,'Egen hetvattenprod'!$B$1:$BX$1,0),FALSE)+VLOOKUP($B41,Kraftvärmeprod!$B$1:$BX$550,MATCH(BD$2,Kraftvärmeprod!$B$1:$BX$1,0),FALSE))/$AC41,"")</f>
        <v>0</v>
      </c>
      <c r="BF41" s="63" t="str">
        <f t="shared" si="5"/>
        <v>Ja</v>
      </c>
      <c r="BG41" s="63" t="str">
        <f>IF($BF41="ja",VLOOKUP($B41,'Egen hetvattenprod'!$B$1:$BX$550,MATCH("Andelen klimatgaser med fossilt ursprung för avfall ()",'Egen hetvattenprod'!$B$1:$BX$1,0),FALSE),"")</f>
        <v>Schablon</v>
      </c>
      <c r="BH41" s="63" t="str">
        <f>IF($BF41="ja",VLOOKUP($B41,Kraftvärmeprod!$B$1:$BX$550,MATCH("Andelen klimatgaser med fossilt ursprung för avfall ()",Kraftvärmeprod!$B$1:$BX$1,0),FALSE),"")</f>
        <v>Schablon</v>
      </c>
      <c r="BI41" s="63">
        <f>IF($BF41="ja",VLOOKUP($B41,'Egen hetvattenprod'!$B$1:$BX$550,MATCH("Avfall (GWh)",'Egen hetvattenprod'!$B$1:$BX$1,0),FALSE),"")</f>
        <v>52.816000000000003</v>
      </c>
      <c r="BJ41" s="63">
        <f>IF($BF41="ja",VLOOKUP($B41,'Slutlig allokering kvv'!$B$1:$BX$550,MATCH("Avfall (GWh)",'Slutlig allokering kvv'!$B$1:$BX$1,0),FALSE),"")</f>
        <v>143.49</v>
      </c>
      <c r="BK41" s="63">
        <f>IF($BF41="ja",VLOOKUP($B41,'Köpt hetvatten'!$B$1:$BX$550,MATCH("Avfall i köpt hetvatten",'Köpt hetvatten'!$B$1:$BX$1,0),FALSE),"")</f>
        <v>0</v>
      </c>
      <c r="BL41" s="63">
        <f>IF($BF41="ja",VLOOKUP($B41,'Egen hetvattenprod'!$B$1:$BX$550,MATCH("Värde enligt ovan. (%)",'Egen hetvattenprod'!$B$1:$BX$1,0),FALSE),"")</f>
        <v>37.299999999999997</v>
      </c>
      <c r="BM41" s="63">
        <f>IF($BF41="ja",VLOOKUP($B41,Kraftvärmeprod!$B$1:$BX$550,MATCH("Värde enligt ovan. (%)",Kraftvärmeprod!$B$1:$BX$1,0),FALSE),"")</f>
        <v>37.299999999999997</v>
      </c>
    </row>
    <row r="42" spans="1:65" x14ac:dyDescent="0.45">
      <c r="A42" s="63" t="s">
        <v>640</v>
      </c>
      <c r="B42" s="63" t="s">
        <v>641</v>
      </c>
      <c r="C42" s="63">
        <f>VLOOKUP($B42,'Tillförd energi'!$B$1:$AI$720,MATCH(C$2,'Tillförd energi'!$B$1:$AQ$1,0),FALSE)</f>
        <v>0</v>
      </c>
      <c r="D42" s="63">
        <f>VLOOKUP($B42,'Tillförd energi'!$B$1:$AI$720,MATCH(D$2,'Tillförd energi'!$B$1:$AQ$1,0),FALSE)</f>
        <v>3.3E-3</v>
      </c>
      <c r="E42" s="63">
        <f>VLOOKUP($B42,'Tillförd energi'!$B$1:$AI$720,MATCH(E$2,'Tillförd energi'!$B$1:$AQ$1,0),FALSE)</f>
        <v>0</v>
      </c>
      <c r="F42" s="63">
        <f>VLOOKUP($B42,'Tillförd energi'!$B$1:$AI$720,MATCH(F$2,'Tillförd energi'!$B$1:$AQ$1,0),FALSE)</f>
        <v>0</v>
      </c>
      <c r="G42" s="63">
        <f>VLOOKUP($B42,'Tillförd energi'!$B$1:$AI$720,MATCH(G$2,'Tillförd energi'!$B$1:$AQ$1,0),FALSE)</f>
        <v>0</v>
      </c>
      <c r="H42" s="63">
        <f>VLOOKUP($B42,'Tillförd energi'!$B$1:$AI$720,MATCH(H$2,'Tillförd energi'!$B$1:$AQ$1,0),FALSE)</f>
        <v>0</v>
      </c>
      <c r="I42" s="63">
        <f>VLOOKUP($B42,'Tillförd energi'!$B$1:$AI$720,MATCH(I$2,'Tillförd energi'!$B$1:$AQ$1,0),FALSE)</f>
        <v>0</v>
      </c>
      <c r="J42" s="63">
        <f>VLOOKUP($B42,'Tillförd energi'!$B$1:$AI$720,MATCH(J$2,'Tillförd energi'!$B$1:$AQ$1,0),FALSE)</f>
        <v>0</v>
      </c>
      <c r="K42" s="63">
        <f>VLOOKUP($B42,'Tillförd energi'!$B$1:$AI$720,MATCH(K$2,'Tillförd energi'!$B$1:$AQ$1,0),FALSE)</f>
        <v>0</v>
      </c>
      <c r="L42" s="63">
        <f>VLOOKUP($B42,'Tillförd energi'!$B$1:$AI$720,MATCH(L$2,'Tillförd energi'!$B$1:$AQ$1,0),FALSE)</f>
        <v>0</v>
      </c>
      <c r="M42" s="63">
        <f>VLOOKUP($B42,'Tillförd energi'!$B$1:$AI$720,MATCH(M$2,'Tillförd energi'!$B$1:$AQ$1,0),FALSE)</f>
        <v>0</v>
      </c>
      <c r="N42" s="63">
        <f>VLOOKUP($B42,'Tillförd energi'!$B$1:$AI$720,MATCH(N$2,'Tillförd energi'!$B$1:$AQ$1,0),FALSE)</f>
        <v>0</v>
      </c>
      <c r="O42" s="63">
        <f>VLOOKUP($B42,'Tillförd energi'!$B$1:$AI$720,MATCH(O$2,'Tillförd energi'!$B$1:$AQ$1,0),FALSE)</f>
        <v>0</v>
      </c>
      <c r="P42" s="63">
        <f>VLOOKUP($B42,'Tillförd energi'!$B$1:$AI$720,MATCH(P$2,'Tillförd energi'!$B$1:$AQ$1,0),FALSE)</f>
        <v>0</v>
      </c>
      <c r="Q42" s="63">
        <f>VLOOKUP($B42,'Tillförd energi'!$B$1:$AI$720,MATCH(Q$2,'Tillförd energi'!$B$1:$AQ$1,0),FALSE)</f>
        <v>0</v>
      </c>
      <c r="R42" s="63">
        <f>VLOOKUP($B42,'Tillförd energi'!$B$1:$AI$720,MATCH(R$2,'Tillförd energi'!$B$1:$AQ$1,0),FALSE)</f>
        <v>2.9239999999999999</v>
      </c>
      <c r="S42" s="63">
        <f>VLOOKUP($B42,'Tillförd energi'!$B$1:$AI$720,MATCH(S$2,'Tillförd energi'!$B$1:$AQ$1,0),FALSE)</f>
        <v>0</v>
      </c>
      <c r="T42" s="63">
        <f>VLOOKUP($B42,'Tillförd energi'!$B$1:$AI$720,MATCH(T$2,'Tillförd energi'!$B$1:$AQ$1,0),FALSE)</f>
        <v>0</v>
      </c>
      <c r="U42" s="63">
        <f>VLOOKUP($B42,'Tillförd energi'!$B$1:$AI$720,MATCH(U$2,'Tillförd energi'!$B$1:$AQ$1,0),FALSE)</f>
        <v>0</v>
      </c>
      <c r="V42" s="63">
        <f>VLOOKUP($B42,'Tillförd energi'!$B$1:$AI$720,MATCH(V$2,'Tillförd energi'!$B$1:$AQ$1,0),FALSE)</f>
        <v>0</v>
      </c>
      <c r="W42" s="63">
        <f>VLOOKUP($B42,'Tillförd energi'!$B$1:$AI$720,MATCH(W$2,'Tillförd energi'!$B$1:$AQ$1,0),FALSE)</f>
        <v>0</v>
      </c>
      <c r="X42" s="63">
        <f>VLOOKUP($B42,'Tillförd energi'!$B$1:$AI$720,MATCH(X$2,'Tillförd energi'!$B$1:$AQ$1,0),FALSE)</f>
        <v>0</v>
      </c>
      <c r="Y42" s="63">
        <f>VLOOKUP($B42,'Tillförd energi'!$B$1:$AI$720,MATCH(Y$2,'Tillförd energi'!$B$1:$AQ$1,0),FALSE)</f>
        <v>0</v>
      </c>
      <c r="Z42" s="63">
        <f>VLOOKUP($B42,'Tillförd energi'!$B$1:$AI$720,MATCH(Z$2,'Tillförd energi'!$B$1:$AQ$1,0),FALSE)</f>
        <v>0</v>
      </c>
      <c r="AA42" s="63">
        <f>VLOOKUP($B42,'Tillförd energi'!$B$1:$AI$720,MATCH(AA$2,'Tillförd energi'!$B$1:$AQ$1,0),FALSE)</f>
        <v>0</v>
      </c>
      <c r="AB42" s="63">
        <f>VLOOKUP($B42,'Tillförd energi'!$B$1:$AI$720,MATCH(AB$2,'Tillförd energi'!$B$1:$AQ$1,0),FALSE)</f>
        <v>0</v>
      </c>
      <c r="AC42" s="63">
        <f>VLOOKUP($B42,'Tillförd energi'!$B$1:$AI$720,MATCH(AC$2,'Tillförd energi'!$B$1:$AQ$1,0),FALSE)</f>
        <v>0</v>
      </c>
      <c r="AD42" s="63">
        <f>VLOOKUP($B42,'Tillförd energi'!$B$1:$AI$720,MATCH(AD$2,'Tillförd energi'!$B$1:$AQ$1,0),FALSE)</f>
        <v>0</v>
      </c>
      <c r="AE42" s="63">
        <f>VLOOKUP($B42,'Tillförd energi'!$B$1:$AI$720,MATCH(AE$2,'Tillförd energi'!$B$1:$AQ$1,0),FALSE)</f>
        <v>0</v>
      </c>
      <c r="AF42" s="63">
        <f>VLOOKUP($B42,'Tillförd energi'!$B$1:$AI$720,MATCH(AF$2,'Tillförd energi'!$B$1:$AQ$1,0),FALSE)</f>
        <v>5.5999999999999999E-3</v>
      </c>
      <c r="AG42" s="63">
        <f>IFERROR(VLOOKUP(B42,Miljö!$B$1:$AC$550,MATCH("Köpt mängd produktionsspecifik fjärrvärme:",Miljö!$B$1:$AC$1,0),FALSE)/1,0)</f>
        <v>0</v>
      </c>
      <c r="AI42" s="63">
        <f t="shared" si="0"/>
        <v>2.9328999999999996</v>
      </c>
      <c r="AJ42" s="63">
        <f>IF(ISERROR(1/VLOOKUP($B42,Leveranser!$B$1:$S$500,MATCH("såld värme (gwh)",Leveranser!$B$1:$S$1,0),FALSE)),"",VLOOKUP($B42,Leveranser!$B$1:$S$500,MATCH("såld värme (gwh)",Leveranser!$B$1:$S$1,0),FALSE))</f>
        <v>1.861</v>
      </c>
      <c r="AM42" s="63" t="str">
        <f>IF(B42&lt;&gt;"",IF(VLOOKUP($B42,Totalt!$B$1:$AQ$554,MATCH("Kvalitetsgranskad:",Totalt!$B$1:$AQ$1,0),FALSE)="ja",VLOOKUP($B42,Miljö!$B$1:$AG$479,MATCH(AM$2,Miljö!$B$1:$AK$1,0),FALSE),""),"")</f>
        <v>Ja</v>
      </c>
      <c r="AN42" s="63" t="str">
        <f>IF(AM42="ja",VLOOKUP($B42,Miljö!$B$1:$J$479,MATCH("Typ av ursprungsspecificerad el   (Om inget värde anges används Nordisk residualmix, se inforuta) ()",Miljö!$B$1:$J$1,0),FALSE),IF(AM42="nej","Nordisk residualel",""))</f>
        <v>'Vattenkraft'</v>
      </c>
      <c r="AO42" s="63">
        <f>IF(AM42="","",VLOOKUP($B42,Miljö!$B$1:$J$479,MATCH("Fossilandel för ursprungspecificerad el ()",Miljö!$B$1:$J$1,0),FALSE))</f>
        <v>0</v>
      </c>
      <c r="AQ42" s="63">
        <f t="shared" si="1"/>
        <v>1</v>
      </c>
      <c r="AS42" s="63" t="str">
        <f t="shared" si="2"/>
        <v>Nej</v>
      </c>
      <c r="AT42" s="63" t="str">
        <f>IF(AS42="ja",VLOOKUP($B42,Miljö!$B$1:$P$500,MATCH("Fossil andel i procent (%)",Miljö!$B$1:$P$1,0),FALSE)/100,"")</f>
        <v/>
      </c>
      <c r="AV42" s="63" t="str">
        <f t="shared" si="3"/>
        <v>Nej</v>
      </c>
      <c r="AW42" s="63" t="str">
        <f>IF(AV42="ja",VLOOKUP($B42,'Egen hetvattenprod'!$B$1:$AO$500,MATCH("Värmekälla till värmepumpar ()",'Egen hetvattenprod'!$B$1:$AO$1,0),FALSE),"")</f>
        <v/>
      </c>
      <c r="AY42" s="63" t="str">
        <f t="shared" si="4"/>
        <v>Nej</v>
      </c>
      <c r="AZ42" s="77" t="str">
        <f>IF($AY42="ja",(VLOOKUP($B42,'Egen hetvattenprod'!$B$1:$BX$550,MATCH(AZ$2,'Egen hetvattenprod'!$B$1:$BX$1,0),FALSE)+VLOOKUP($B42,Kraftvärmeprod!$B$1:$BX$550,MATCH(AZ$2,Kraftvärmeprod!$B$1:$BX$1,0),FALSE))/$AC42,"")</f>
        <v/>
      </c>
      <c r="BA42" s="77" t="str">
        <f>IF($AY42="ja",(VLOOKUP($B42,'Egen hetvattenprod'!$B$1:$BX$550,MATCH(BA$2,'Egen hetvattenprod'!$B$1:$BX$1,0),FALSE)+VLOOKUP($B42,Kraftvärmeprod!$B$1:$BX$550,MATCH(BA$2,Kraftvärmeprod!$B$1:$BX$1,0),FALSE))/$AC42,"")</f>
        <v/>
      </c>
      <c r="BB42" s="77" t="str">
        <f>IF($AY42="ja",(VLOOKUP($B42,'Egen hetvattenprod'!$B$1:$BX$550,MATCH(BB$2,'Egen hetvattenprod'!$B$1:$BX$1,0),FALSE)+VLOOKUP($B42,Kraftvärmeprod!$B$1:$BX$550,MATCH(BB$2,Kraftvärmeprod!$B$1:$BX$1,0),FALSE))/$AC42,"")</f>
        <v/>
      </c>
      <c r="BC42" s="77" t="str">
        <f>IF($AY42="ja",(VLOOKUP($B42,'Egen hetvattenprod'!$B$1:$BX$550,MATCH(BC$2,'Egen hetvattenprod'!$B$1:$BX$1,0),FALSE)+VLOOKUP($B42,Kraftvärmeprod!$B$1:$BX$550,MATCH(BC$2,Kraftvärmeprod!$B$1:$BX$1,0),FALSE))/$AC42,"")</f>
        <v/>
      </c>
      <c r="BD42" s="77" t="str">
        <f>IF($AY42="ja",(VLOOKUP($B42,'Egen hetvattenprod'!$B$1:$BX$550,MATCH(BD$2,'Egen hetvattenprod'!$B$1:$BX$1,0),FALSE)+VLOOKUP($B42,Kraftvärmeprod!$B$1:$BX$550,MATCH(BD$2,Kraftvärmeprod!$B$1:$BX$1,0),FALSE))/$AC42,"")</f>
        <v/>
      </c>
      <c r="BF42" s="63" t="str">
        <f t="shared" si="5"/>
        <v>Nej</v>
      </c>
      <c r="BG42" s="63" t="str">
        <f>IF($BF42="ja",VLOOKUP($B42,'Egen hetvattenprod'!$B$1:$BX$550,MATCH("Andelen klimatgaser med fossilt ursprung för avfall ()",'Egen hetvattenprod'!$B$1:$BX$1,0),FALSE),"")</f>
        <v/>
      </c>
      <c r="BH42" s="63" t="str">
        <f>IF($BF42="ja",VLOOKUP($B42,Kraftvärmeprod!$B$1:$BX$550,MATCH("Andelen klimatgaser med fossilt ursprung för avfall ()",Kraftvärmeprod!$B$1:$BX$1,0),FALSE),"")</f>
        <v/>
      </c>
      <c r="BI42" s="63" t="str">
        <f>IF($BF42="ja",VLOOKUP($B42,'Egen hetvattenprod'!$B$1:$BX$550,MATCH("Avfall (GWh)",'Egen hetvattenprod'!$B$1:$BX$1,0),FALSE),"")</f>
        <v/>
      </c>
      <c r="BJ42" s="63" t="str">
        <f>IF($BF42="ja",VLOOKUP($B42,'Slutlig allokering kvv'!$B$1:$BX$550,MATCH("Avfall (GWh)",'Slutlig allokering kvv'!$B$1:$BX$1,0),FALSE),"")</f>
        <v/>
      </c>
      <c r="BK42" s="63" t="str">
        <f>IF($BF42="ja",VLOOKUP($B42,'Köpt hetvatten'!$B$1:$BX$550,MATCH("Avfall i köpt hetvatten",'Köpt hetvatten'!$B$1:$BX$1,0),FALSE),"")</f>
        <v/>
      </c>
      <c r="BL42" s="63" t="str">
        <f>IF($BF42="ja",VLOOKUP($B42,'Egen hetvattenprod'!$B$1:$BX$550,MATCH("Värde enligt ovan. (%)",'Egen hetvattenprod'!$B$1:$BX$1,0),FALSE),"")</f>
        <v/>
      </c>
      <c r="BM42" s="63" t="str">
        <f>IF($BF42="ja",VLOOKUP($B42,Kraftvärmeprod!$B$1:$BX$550,MATCH("Värde enligt ovan. (%)",Kraftvärmeprod!$B$1:$BX$1,0),FALSE),"")</f>
        <v/>
      </c>
    </row>
    <row r="43" spans="1:65" x14ac:dyDescent="0.45">
      <c r="A43" s="63" t="s">
        <v>640</v>
      </c>
      <c r="B43" s="63" t="s">
        <v>639</v>
      </c>
      <c r="C43" s="63">
        <f>VLOOKUP($B43,'Tillförd energi'!$B$1:$AI$720,MATCH(C$2,'Tillförd energi'!$B$1:$AQ$1,0),FALSE)</f>
        <v>0</v>
      </c>
      <c r="D43" s="63">
        <f>VLOOKUP($B43,'Tillförd energi'!$B$1:$AI$720,MATCH(D$2,'Tillförd energi'!$B$1:$AQ$1,0),FALSE)</f>
        <v>2.2599999999999999E-2</v>
      </c>
      <c r="E43" s="63">
        <f>VLOOKUP($B43,'Tillförd energi'!$B$1:$AI$720,MATCH(E$2,'Tillförd energi'!$B$1:$AQ$1,0),FALSE)</f>
        <v>0</v>
      </c>
      <c r="F43" s="63">
        <f>VLOOKUP($B43,'Tillförd energi'!$B$1:$AI$720,MATCH(F$2,'Tillförd energi'!$B$1:$AQ$1,0),FALSE)</f>
        <v>0</v>
      </c>
      <c r="G43" s="63">
        <f>VLOOKUP($B43,'Tillförd energi'!$B$1:$AI$720,MATCH(G$2,'Tillförd energi'!$B$1:$AQ$1,0),FALSE)</f>
        <v>0</v>
      </c>
      <c r="H43" s="63">
        <f>VLOOKUP($B43,'Tillförd energi'!$B$1:$AI$720,MATCH(H$2,'Tillförd energi'!$B$1:$AQ$1,0),FALSE)</f>
        <v>0</v>
      </c>
      <c r="I43" s="63">
        <f>VLOOKUP($B43,'Tillförd energi'!$B$1:$AI$720,MATCH(I$2,'Tillförd energi'!$B$1:$AQ$1,0),FALSE)</f>
        <v>0</v>
      </c>
      <c r="J43" s="63">
        <f>VLOOKUP($B43,'Tillförd energi'!$B$1:$AI$720,MATCH(J$2,'Tillförd energi'!$B$1:$AQ$1,0),FALSE)</f>
        <v>0</v>
      </c>
      <c r="K43" s="63">
        <f>VLOOKUP($B43,'Tillförd energi'!$B$1:$AI$720,MATCH(K$2,'Tillförd energi'!$B$1:$AQ$1,0),FALSE)</f>
        <v>0</v>
      </c>
      <c r="L43" s="63">
        <f>VLOOKUP($B43,'Tillförd energi'!$B$1:$AI$720,MATCH(L$2,'Tillförd energi'!$B$1:$AQ$1,0),FALSE)</f>
        <v>0</v>
      </c>
      <c r="M43" s="63">
        <f>VLOOKUP($B43,'Tillförd energi'!$B$1:$AI$720,MATCH(M$2,'Tillförd energi'!$B$1:$AQ$1,0),FALSE)</f>
        <v>0</v>
      </c>
      <c r="N43" s="63">
        <f>VLOOKUP($B43,'Tillförd energi'!$B$1:$AI$720,MATCH(N$2,'Tillförd energi'!$B$1:$AQ$1,0),FALSE)</f>
        <v>0</v>
      </c>
      <c r="O43" s="63">
        <f>VLOOKUP($B43,'Tillförd energi'!$B$1:$AI$720,MATCH(O$2,'Tillförd energi'!$B$1:$AQ$1,0),FALSE)</f>
        <v>0</v>
      </c>
      <c r="P43" s="63">
        <f>VLOOKUP($B43,'Tillförd energi'!$B$1:$AI$720,MATCH(P$2,'Tillförd energi'!$B$1:$AQ$1,0),FALSE)</f>
        <v>0</v>
      </c>
      <c r="Q43" s="63">
        <f>VLOOKUP($B43,'Tillförd energi'!$B$1:$AI$720,MATCH(Q$2,'Tillförd energi'!$B$1:$AQ$1,0),FALSE)</f>
        <v>0</v>
      </c>
      <c r="R43" s="63">
        <f>VLOOKUP($B43,'Tillförd energi'!$B$1:$AI$720,MATCH(R$2,'Tillförd energi'!$B$1:$AQ$1,0),FALSE)</f>
        <v>5.54</v>
      </c>
      <c r="S43" s="63">
        <f>VLOOKUP($B43,'Tillförd energi'!$B$1:$AI$720,MATCH(S$2,'Tillförd energi'!$B$1:$AQ$1,0),FALSE)</f>
        <v>0</v>
      </c>
      <c r="T43" s="63">
        <f>VLOOKUP($B43,'Tillförd energi'!$B$1:$AI$720,MATCH(T$2,'Tillförd energi'!$B$1:$AQ$1,0),FALSE)</f>
        <v>0</v>
      </c>
      <c r="U43" s="63">
        <f>VLOOKUP($B43,'Tillförd energi'!$B$1:$AI$720,MATCH(U$2,'Tillförd energi'!$B$1:$AQ$1,0),FALSE)</f>
        <v>0</v>
      </c>
      <c r="V43" s="63">
        <f>VLOOKUP($B43,'Tillförd energi'!$B$1:$AI$720,MATCH(V$2,'Tillförd energi'!$B$1:$AQ$1,0),FALSE)</f>
        <v>0</v>
      </c>
      <c r="W43" s="63">
        <f>VLOOKUP($B43,'Tillförd energi'!$B$1:$AI$720,MATCH(W$2,'Tillförd energi'!$B$1:$AQ$1,0),FALSE)</f>
        <v>6.3E-3</v>
      </c>
      <c r="X43" s="63">
        <f>VLOOKUP($B43,'Tillförd energi'!$B$1:$AI$720,MATCH(X$2,'Tillförd energi'!$B$1:$AQ$1,0),FALSE)</f>
        <v>0</v>
      </c>
      <c r="Y43" s="63">
        <f>VLOOKUP($B43,'Tillförd energi'!$B$1:$AI$720,MATCH(Y$2,'Tillförd energi'!$B$1:$AQ$1,0),FALSE)</f>
        <v>0</v>
      </c>
      <c r="Z43" s="63">
        <f>VLOOKUP($B43,'Tillförd energi'!$B$1:$AI$720,MATCH(Z$2,'Tillförd energi'!$B$1:$AQ$1,0),FALSE)</f>
        <v>9.06E-2</v>
      </c>
      <c r="AA43" s="63">
        <f>VLOOKUP($B43,'Tillförd energi'!$B$1:$AI$720,MATCH(AA$2,'Tillförd energi'!$B$1:$AQ$1,0),FALSE)</f>
        <v>0</v>
      </c>
      <c r="AB43" s="63">
        <f>VLOOKUP($B43,'Tillförd energi'!$B$1:$AI$720,MATCH(AB$2,'Tillförd energi'!$B$1:$AQ$1,0),FALSE)</f>
        <v>0</v>
      </c>
      <c r="AC43" s="63">
        <f>VLOOKUP($B43,'Tillförd energi'!$B$1:$AI$720,MATCH(AC$2,'Tillförd energi'!$B$1:$AQ$1,0),FALSE)</f>
        <v>0</v>
      </c>
      <c r="AD43" s="63">
        <f>VLOOKUP($B43,'Tillförd energi'!$B$1:$AI$720,MATCH(AD$2,'Tillförd energi'!$B$1:$AQ$1,0),FALSE)</f>
        <v>0</v>
      </c>
      <c r="AE43" s="63">
        <f>VLOOKUP($B43,'Tillförd energi'!$B$1:$AI$720,MATCH(AE$2,'Tillförd energi'!$B$1:$AQ$1,0),FALSE)</f>
        <v>0</v>
      </c>
      <c r="AF43" s="63">
        <f>VLOOKUP($B43,'Tillförd energi'!$B$1:$AI$720,MATCH(AF$2,'Tillförd energi'!$B$1:$AQ$1,0),FALSE)</f>
        <v>9.2999999999999999E-2</v>
      </c>
      <c r="AG43" s="63">
        <f>IFERROR(VLOOKUP(B43,Miljö!$B$1:$AC$550,MATCH("Köpt mängd produktionsspecifik fjärrvärme:",Miljö!$B$1:$AC$1,0),FALSE)/1,0)</f>
        <v>0</v>
      </c>
      <c r="AI43" s="63">
        <f t="shared" si="0"/>
        <v>5.7525000000000004</v>
      </c>
      <c r="AJ43" s="63">
        <f>IF(ISERROR(1/VLOOKUP($B43,Leveranser!$B$1:$S$500,MATCH("såld värme (gwh)",Leveranser!$B$1:$S$1,0),FALSE)),"",VLOOKUP($B43,Leveranser!$B$1:$S$500,MATCH("såld värme (gwh)",Leveranser!$B$1:$S$1,0),FALSE))</f>
        <v>3.2610000000000001</v>
      </c>
      <c r="AM43" s="63" t="str">
        <f>IF(B43&lt;&gt;"",IF(VLOOKUP($B43,Totalt!$B$1:$AQ$554,MATCH("Kvalitetsgranskad:",Totalt!$B$1:$AQ$1,0),FALSE)="ja",VLOOKUP($B43,Miljö!$B$1:$AG$479,MATCH(AM$2,Miljö!$B$1:$AK$1,0),FALSE),""),"")</f>
        <v>Ja</v>
      </c>
      <c r="AN43" s="63" t="str">
        <f>IF(AM43="ja",VLOOKUP($B43,Miljö!$B$1:$J$479,MATCH("Typ av ursprungsspecificerad el   (Om inget värde anges används Nordisk residualmix, se inforuta) ()",Miljö!$B$1:$J$1,0),FALSE),IF(AM43="nej","Nordisk residualel",""))</f>
        <v>'Vattenkraft'</v>
      </c>
      <c r="AO43" s="63">
        <f>IF(AM43="","",VLOOKUP($B43,Miljö!$B$1:$J$479,MATCH("Fossilandel för ursprungspecificerad el ()",Miljö!$B$1:$J$1,0),FALSE))</f>
        <v>0</v>
      </c>
      <c r="AQ43" s="63">
        <f t="shared" si="1"/>
        <v>1</v>
      </c>
      <c r="AS43" s="63" t="str">
        <f t="shared" si="2"/>
        <v>Nej</v>
      </c>
      <c r="AT43" s="63" t="str">
        <f>IF(AS43="ja",VLOOKUP($B43,Miljö!$B$1:$P$500,MATCH("Fossil andel i procent (%)",Miljö!$B$1:$P$1,0),FALSE)/100,"")</f>
        <v/>
      </c>
      <c r="AV43" s="63" t="str">
        <f t="shared" si="3"/>
        <v>Nej</v>
      </c>
      <c r="AW43" s="63" t="str">
        <f>IF(AV43="ja",VLOOKUP($B43,'Egen hetvattenprod'!$B$1:$AO$500,MATCH("Värmekälla till värmepumpar ()",'Egen hetvattenprod'!$B$1:$AO$1,0),FALSE),"")</f>
        <v/>
      </c>
      <c r="AY43" s="63" t="str">
        <f t="shared" si="4"/>
        <v>Nej</v>
      </c>
      <c r="AZ43" s="77" t="str">
        <f>IF($AY43="ja",(VLOOKUP($B43,'Egen hetvattenprod'!$B$1:$BX$550,MATCH(AZ$2,'Egen hetvattenprod'!$B$1:$BX$1,0),FALSE)+VLOOKUP($B43,Kraftvärmeprod!$B$1:$BX$550,MATCH(AZ$2,Kraftvärmeprod!$B$1:$BX$1,0),FALSE))/$AC43,"")</f>
        <v/>
      </c>
      <c r="BA43" s="77" t="str">
        <f>IF($AY43="ja",(VLOOKUP($B43,'Egen hetvattenprod'!$B$1:$BX$550,MATCH(BA$2,'Egen hetvattenprod'!$B$1:$BX$1,0),FALSE)+VLOOKUP($B43,Kraftvärmeprod!$B$1:$BX$550,MATCH(BA$2,Kraftvärmeprod!$B$1:$BX$1,0),FALSE))/$AC43,"")</f>
        <v/>
      </c>
      <c r="BB43" s="77" t="str">
        <f>IF($AY43="ja",(VLOOKUP($B43,'Egen hetvattenprod'!$B$1:$BX$550,MATCH(BB$2,'Egen hetvattenprod'!$B$1:$BX$1,0),FALSE)+VLOOKUP($B43,Kraftvärmeprod!$B$1:$BX$550,MATCH(BB$2,Kraftvärmeprod!$B$1:$BX$1,0),FALSE))/$AC43,"")</f>
        <v/>
      </c>
      <c r="BC43" s="77" t="str">
        <f>IF($AY43="ja",(VLOOKUP($B43,'Egen hetvattenprod'!$B$1:$BX$550,MATCH(BC$2,'Egen hetvattenprod'!$B$1:$BX$1,0),FALSE)+VLOOKUP($B43,Kraftvärmeprod!$B$1:$BX$550,MATCH(BC$2,Kraftvärmeprod!$B$1:$BX$1,0),FALSE))/$AC43,"")</f>
        <v/>
      </c>
      <c r="BD43" s="77" t="str">
        <f>IF($AY43="ja",(VLOOKUP($B43,'Egen hetvattenprod'!$B$1:$BX$550,MATCH(BD$2,'Egen hetvattenprod'!$B$1:$BX$1,0),FALSE)+VLOOKUP($B43,Kraftvärmeprod!$B$1:$BX$550,MATCH(BD$2,Kraftvärmeprod!$B$1:$BX$1,0),FALSE))/$AC43,"")</f>
        <v/>
      </c>
      <c r="BF43" s="63" t="str">
        <f t="shared" si="5"/>
        <v>Nej</v>
      </c>
      <c r="BG43" s="63" t="str">
        <f>IF($BF43="ja",VLOOKUP($B43,'Egen hetvattenprod'!$B$1:$BX$550,MATCH("Andelen klimatgaser med fossilt ursprung för avfall ()",'Egen hetvattenprod'!$B$1:$BX$1,0),FALSE),"")</f>
        <v/>
      </c>
      <c r="BH43" s="63" t="str">
        <f>IF($BF43="ja",VLOOKUP($B43,Kraftvärmeprod!$B$1:$BX$550,MATCH("Andelen klimatgaser med fossilt ursprung för avfall ()",Kraftvärmeprod!$B$1:$BX$1,0),FALSE),"")</f>
        <v/>
      </c>
      <c r="BI43" s="63" t="str">
        <f>IF($BF43="ja",VLOOKUP($B43,'Egen hetvattenprod'!$B$1:$BX$550,MATCH("Avfall (GWh)",'Egen hetvattenprod'!$B$1:$BX$1,0),FALSE),"")</f>
        <v/>
      </c>
      <c r="BJ43" s="63" t="str">
        <f>IF($BF43="ja",VLOOKUP($B43,'Slutlig allokering kvv'!$B$1:$BX$550,MATCH("Avfall (GWh)",'Slutlig allokering kvv'!$B$1:$BX$1,0),FALSE),"")</f>
        <v/>
      </c>
      <c r="BK43" s="63" t="str">
        <f>IF($BF43="ja",VLOOKUP($B43,'Köpt hetvatten'!$B$1:$BX$550,MATCH("Avfall i köpt hetvatten",'Köpt hetvatten'!$B$1:$BX$1,0),FALSE),"")</f>
        <v/>
      </c>
      <c r="BL43" s="63" t="str">
        <f>IF($BF43="ja",VLOOKUP($B43,'Egen hetvattenprod'!$B$1:$BX$550,MATCH("Värde enligt ovan. (%)",'Egen hetvattenprod'!$B$1:$BX$1,0),FALSE),"")</f>
        <v/>
      </c>
      <c r="BM43" s="63" t="str">
        <f>IF($BF43="ja",VLOOKUP($B43,Kraftvärmeprod!$B$1:$BX$550,MATCH("Värde enligt ovan. (%)",Kraftvärmeprod!$B$1:$BX$1,0),FALSE),"")</f>
        <v/>
      </c>
    </row>
    <row r="44" spans="1:65" x14ac:dyDescent="0.45">
      <c r="A44" s="63" t="s">
        <v>637</v>
      </c>
      <c r="B44" s="63" t="s">
        <v>638</v>
      </c>
      <c r="C44" s="63">
        <f>VLOOKUP($B44,'Tillförd energi'!$B$1:$AI$720,MATCH(C$2,'Tillförd energi'!$B$1:$AQ$1,0),FALSE)</f>
        <v>0</v>
      </c>
      <c r="D44" s="63">
        <f>VLOOKUP($B44,'Tillförd energi'!$B$1:$AI$720,MATCH(D$2,'Tillförd energi'!$B$1:$AQ$1,0),FALSE)</f>
        <v>0.04</v>
      </c>
      <c r="E44" s="63">
        <f>VLOOKUP($B44,'Tillförd energi'!$B$1:$AI$720,MATCH(E$2,'Tillförd energi'!$B$1:$AQ$1,0),FALSE)</f>
        <v>4.1900000000000004</v>
      </c>
      <c r="F44" s="63">
        <f>VLOOKUP($B44,'Tillförd energi'!$B$1:$AI$720,MATCH(F$2,'Tillförd energi'!$B$1:$AQ$1,0),FALSE)</f>
        <v>0</v>
      </c>
      <c r="G44" s="63">
        <f>VLOOKUP($B44,'Tillförd energi'!$B$1:$AI$720,MATCH(G$2,'Tillförd energi'!$B$1:$AQ$1,0),FALSE)</f>
        <v>0</v>
      </c>
      <c r="H44" s="63">
        <f>VLOOKUP($B44,'Tillförd energi'!$B$1:$AI$720,MATCH(H$2,'Tillförd energi'!$B$1:$AQ$1,0),FALSE)</f>
        <v>1.45</v>
      </c>
      <c r="I44" s="63">
        <f>VLOOKUP($B44,'Tillförd energi'!$B$1:$AI$720,MATCH(I$2,'Tillförd energi'!$B$1:$AQ$1,0),FALSE)</f>
        <v>194.31700000000001</v>
      </c>
      <c r="J44" s="63">
        <f>VLOOKUP($B44,'Tillförd energi'!$B$1:$AI$720,MATCH(J$2,'Tillförd energi'!$B$1:$AQ$1,0),FALSE)</f>
        <v>0</v>
      </c>
      <c r="K44" s="63">
        <f>VLOOKUP($B44,'Tillförd energi'!$B$1:$AI$720,MATCH(K$2,'Tillförd energi'!$B$1:$AQ$1,0),FALSE)</f>
        <v>0</v>
      </c>
      <c r="L44" s="63">
        <f>VLOOKUP($B44,'Tillförd energi'!$B$1:$AI$720,MATCH(L$2,'Tillförd energi'!$B$1:$AQ$1,0),FALSE)</f>
        <v>0</v>
      </c>
      <c r="M44" s="63">
        <f>VLOOKUP($B44,'Tillförd energi'!$B$1:$AI$720,MATCH(M$2,'Tillförd energi'!$B$1:$AQ$1,0),FALSE)</f>
        <v>51.212299999999999</v>
      </c>
      <c r="N44" s="63">
        <f>VLOOKUP($B44,'Tillförd energi'!$B$1:$AI$720,MATCH(N$2,'Tillförd energi'!$B$1:$AQ$1,0),FALSE)</f>
        <v>225.76300000000001</v>
      </c>
      <c r="O44" s="63">
        <f>VLOOKUP($B44,'Tillförd energi'!$B$1:$AI$720,MATCH(O$2,'Tillförd energi'!$B$1:$AQ$1,0),FALSE)</f>
        <v>14.494899999999999</v>
      </c>
      <c r="P44" s="63">
        <f>VLOOKUP($B44,'Tillförd energi'!$B$1:$AI$720,MATCH(P$2,'Tillförd energi'!$B$1:$AQ$1,0),FALSE)</f>
        <v>0</v>
      </c>
      <c r="Q44" s="63">
        <f>VLOOKUP($B44,'Tillförd energi'!$B$1:$AI$720,MATCH(Q$2,'Tillförd energi'!$B$1:$AQ$1,0),FALSE)</f>
        <v>14.9716</v>
      </c>
      <c r="R44" s="63">
        <f>VLOOKUP($B44,'Tillförd energi'!$B$1:$AI$720,MATCH(R$2,'Tillförd energi'!$B$1:$AQ$1,0),FALSE)</f>
        <v>7.89</v>
      </c>
      <c r="S44" s="63">
        <f>VLOOKUP($B44,'Tillförd energi'!$B$1:$AI$720,MATCH(S$2,'Tillförd energi'!$B$1:$AQ$1,0),FALSE)</f>
        <v>1.1077699999999999</v>
      </c>
      <c r="T44" s="63">
        <f>VLOOKUP($B44,'Tillförd energi'!$B$1:$AI$720,MATCH(T$2,'Tillförd energi'!$B$1:$AQ$1,0),FALSE)</f>
        <v>0</v>
      </c>
      <c r="U44" s="63">
        <f>VLOOKUP($B44,'Tillförd energi'!$B$1:$AI$720,MATCH(U$2,'Tillförd energi'!$B$1:$AQ$1,0),FALSE)</f>
        <v>44.451599999999999</v>
      </c>
      <c r="V44" s="63">
        <f>VLOOKUP($B44,'Tillförd energi'!$B$1:$AI$720,MATCH(V$2,'Tillförd energi'!$B$1:$AQ$1,0),FALSE)</f>
        <v>0</v>
      </c>
      <c r="W44" s="63">
        <f>VLOOKUP($B44,'Tillförd energi'!$B$1:$AI$720,MATCH(W$2,'Tillförd energi'!$B$1:$AQ$1,0),FALSE)</f>
        <v>8.9700000000000006</v>
      </c>
      <c r="X44" s="63">
        <f>VLOOKUP($B44,'Tillförd energi'!$B$1:$AI$720,MATCH(X$2,'Tillförd energi'!$B$1:$AQ$1,0),FALSE)</f>
        <v>0</v>
      </c>
      <c r="Y44" s="63">
        <f>VLOOKUP($B44,'Tillförd energi'!$B$1:$AI$720,MATCH(Y$2,'Tillförd energi'!$B$1:$AQ$1,0),FALSE)</f>
        <v>0</v>
      </c>
      <c r="Z44" s="63">
        <f>VLOOKUP($B44,'Tillförd energi'!$B$1:$AI$720,MATCH(Z$2,'Tillförd energi'!$B$1:$AQ$1,0),FALSE)</f>
        <v>2.25</v>
      </c>
      <c r="AA44" s="63">
        <f>VLOOKUP($B44,'Tillförd energi'!$B$1:$AI$720,MATCH(AA$2,'Tillförd energi'!$B$1:$AQ$1,0),FALSE)</f>
        <v>0</v>
      </c>
      <c r="AB44" s="63">
        <f>VLOOKUP($B44,'Tillförd energi'!$B$1:$AI$720,MATCH(AB$2,'Tillförd energi'!$B$1:$AQ$1,0),FALSE)</f>
        <v>0</v>
      </c>
      <c r="AC44" s="63">
        <f>VLOOKUP($B44,'Tillförd energi'!$B$1:$AI$720,MATCH(AC$2,'Tillförd energi'!$B$1:$AQ$1,0),FALSE)</f>
        <v>79.97</v>
      </c>
      <c r="AD44" s="63">
        <f>VLOOKUP($B44,'Tillförd energi'!$B$1:$AI$720,MATCH(AD$2,'Tillförd energi'!$B$1:$AQ$1,0),FALSE)</f>
        <v>0</v>
      </c>
      <c r="AE44" s="63">
        <f>VLOOKUP($B44,'Tillförd energi'!$B$1:$AI$720,MATCH(AE$2,'Tillförd energi'!$B$1:$AQ$1,0),FALSE)</f>
        <v>0</v>
      </c>
      <c r="AF44" s="63">
        <f>VLOOKUP($B44,'Tillförd energi'!$B$1:$AI$720,MATCH(AF$2,'Tillförd energi'!$B$1:$AQ$1,0),FALSE)</f>
        <v>20.222200000000001</v>
      </c>
      <c r="AG44" s="63">
        <f>IFERROR(VLOOKUP(B44,Miljö!$B$1:$AC$550,MATCH("Köpt mängd produktionsspecifik fjärrvärme:",Miljö!$B$1:$AC$1,0),FALSE)/1,0)</f>
        <v>0</v>
      </c>
      <c r="AI44" s="63">
        <f t="shared" si="0"/>
        <v>671.30037000000004</v>
      </c>
      <c r="AJ44" s="63">
        <f>IF(ISERROR(1/VLOOKUP($B44,Leveranser!$B$1:$S$500,MATCH("såld värme (gwh)",Leveranser!$B$1:$S$1,0),FALSE)),"",VLOOKUP($B44,Leveranser!$B$1:$S$500,MATCH("såld värme (gwh)",Leveranser!$B$1:$S$1,0),FALSE))</f>
        <v>586.19399999999996</v>
      </c>
      <c r="AM44" s="63" t="str">
        <f>IF(B44&lt;&gt;"",IF(VLOOKUP($B44,Totalt!$B$1:$AQ$554,MATCH("Kvalitetsgranskad:",Totalt!$B$1:$AQ$1,0),FALSE)="ja",VLOOKUP($B44,Miljö!$B$1:$AG$479,MATCH(AM$2,Miljö!$B$1:$AK$1,0),FALSE),""),"")</f>
        <v>Ja</v>
      </c>
      <c r="AN44" s="63" t="str">
        <f>IF(AM44="ja",VLOOKUP($B44,Miljö!$B$1:$J$479,MATCH("Typ av ursprungsspecificerad el   (Om inget värde anges används Nordisk residualmix, se inforuta) ()",Miljö!$B$1:$J$1,0),FALSE),IF(AM44="nej","Nordisk residualel",""))</f>
        <v>'Ursprungsmärkt egenproducerad el'</v>
      </c>
      <c r="AO44" s="63">
        <f>IF(AM44="","",VLOOKUP($B44,Miljö!$B$1:$J$479,MATCH("Fossilandel för ursprungspecificerad el ()",Miljö!$B$1:$J$1,0),FALSE))</f>
        <v>0</v>
      </c>
      <c r="AQ44" s="63">
        <f t="shared" si="1"/>
        <v>1</v>
      </c>
      <c r="AS44" s="63" t="str">
        <f t="shared" si="2"/>
        <v>Nej</v>
      </c>
      <c r="AT44" s="63" t="str">
        <f>IF(AS44="ja",VLOOKUP($B44,Miljö!$B$1:$P$500,MATCH("Fossil andel i procent (%)",Miljö!$B$1:$P$1,0),FALSE)/100,"")</f>
        <v/>
      </c>
      <c r="AV44" s="63" t="str">
        <f t="shared" si="3"/>
        <v>Nej</v>
      </c>
      <c r="AW44" s="63" t="str">
        <f>IF(AV44="ja",VLOOKUP($B44,'Egen hetvattenprod'!$B$1:$AO$500,MATCH("Värmekälla till värmepumpar ()",'Egen hetvattenprod'!$B$1:$AO$1,0),FALSE),"")</f>
        <v/>
      </c>
      <c r="AY44" s="63" t="str">
        <f t="shared" si="4"/>
        <v>Ja</v>
      </c>
      <c r="AZ44" s="77">
        <f>IF($AY44="ja",(VLOOKUP($B44,'Egen hetvattenprod'!$B$1:$BX$550,MATCH(AZ$2,'Egen hetvattenprod'!$B$1:$BX$1,0),FALSE)+VLOOKUP($B44,Kraftvärmeprod!$B$1:$BX$550,MATCH(AZ$2,Kraftvärmeprod!$B$1:$BX$1,0),FALSE))/$AC44,"")</f>
        <v>0</v>
      </c>
      <c r="BA44" s="77">
        <f>IF($AY44="ja",(VLOOKUP($B44,'Egen hetvattenprod'!$B$1:$BX$550,MATCH(BA$2,'Egen hetvattenprod'!$B$1:$BX$1,0),FALSE)+VLOOKUP($B44,Kraftvärmeprod!$B$1:$BX$550,MATCH(BA$2,Kraftvärmeprod!$B$1:$BX$1,0),FALSE))/$AC44,"")</f>
        <v>1</v>
      </c>
      <c r="BB44" s="77">
        <f>IF($AY44="ja",(VLOOKUP($B44,'Egen hetvattenprod'!$B$1:$BX$550,MATCH(BB$2,'Egen hetvattenprod'!$B$1:$BX$1,0),FALSE)+VLOOKUP($B44,Kraftvärmeprod!$B$1:$BX$550,MATCH(BB$2,Kraftvärmeprod!$B$1:$BX$1,0),FALSE))/$AC44,"")</f>
        <v>0</v>
      </c>
      <c r="BC44" s="77">
        <f>IF($AY44="ja",(VLOOKUP($B44,'Egen hetvattenprod'!$B$1:$BX$550,MATCH(BC$2,'Egen hetvattenprod'!$B$1:$BX$1,0),FALSE)+VLOOKUP($B44,Kraftvärmeprod!$B$1:$BX$550,MATCH(BC$2,Kraftvärmeprod!$B$1:$BX$1,0),FALSE))/$AC44,"")</f>
        <v>0</v>
      </c>
      <c r="BD44" s="77">
        <f>IF($AY44="ja",(VLOOKUP($B44,'Egen hetvattenprod'!$B$1:$BX$550,MATCH(BD$2,'Egen hetvattenprod'!$B$1:$BX$1,0),FALSE)+VLOOKUP($B44,Kraftvärmeprod!$B$1:$BX$550,MATCH(BD$2,Kraftvärmeprod!$B$1:$BX$1,0),FALSE))/$AC44,"")</f>
        <v>0</v>
      </c>
      <c r="BF44" s="63" t="str">
        <f t="shared" si="5"/>
        <v>Ja</v>
      </c>
      <c r="BG44" s="63" t="str">
        <f>IF($BF44="ja",VLOOKUP($B44,'Egen hetvattenprod'!$B$1:$BX$550,MATCH("Andelen klimatgaser med fossilt ursprung för avfall ()",'Egen hetvattenprod'!$B$1:$BX$1,0),FALSE),"")</f>
        <v>Ingen redovisning</v>
      </c>
      <c r="BH44" s="63" t="str">
        <f>IF($BF44="ja",VLOOKUP($B44,Kraftvärmeprod!$B$1:$BX$550,MATCH("Andelen klimatgaser med fossilt ursprung för avfall ()",Kraftvärmeprod!$B$1:$BX$1,0),FALSE),"")</f>
        <v>Schablon</v>
      </c>
      <c r="BI44" s="63" t="str">
        <f>IF($BF44="ja",VLOOKUP($B44,'Egen hetvattenprod'!$B$1:$BX$550,MATCH("Avfall (GWh)",'Egen hetvattenprod'!$B$1:$BX$1,0),FALSE),"")</f>
        <v>ET</v>
      </c>
      <c r="BJ44" s="63">
        <f>IF($BF44="ja",VLOOKUP($B44,'Slutlig allokering kvv'!$B$1:$BX$550,MATCH("Avfall (GWh)",'Slutlig allokering kvv'!$B$1:$BX$1,0),FALSE),"")</f>
        <v>194.31700000000001</v>
      </c>
      <c r="BK44" s="63">
        <f>IF($BF44="ja",VLOOKUP($B44,'Köpt hetvatten'!$B$1:$BX$550,MATCH("Avfall i köpt hetvatten",'Köpt hetvatten'!$B$1:$BX$1,0),FALSE),"")</f>
        <v>0</v>
      </c>
      <c r="BL44" s="63" t="str">
        <f>IF($BF44="ja",VLOOKUP($B44,'Egen hetvattenprod'!$B$1:$BX$550,MATCH("Värde enligt ovan. (%)",'Egen hetvattenprod'!$B$1:$BX$1,0),FALSE),"")</f>
        <v>ET</v>
      </c>
      <c r="BM44" s="63">
        <f>IF($BF44="ja",VLOOKUP($B44,Kraftvärmeprod!$B$1:$BX$550,MATCH("Värde enligt ovan. (%)",Kraftvärmeprod!$B$1:$BX$1,0),FALSE),"")</f>
        <v>37.299999999999997</v>
      </c>
    </row>
    <row r="45" spans="1:65" x14ac:dyDescent="0.45">
      <c r="A45" s="63" t="s">
        <v>637</v>
      </c>
      <c r="B45" s="63" t="s">
        <v>636</v>
      </c>
      <c r="C45" s="63">
        <f>VLOOKUP($B45,'Tillförd energi'!$B$1:$AI$720,MATCH(C$2,'Tillförd energi'!$B$1:$AQ$1,0),FALSE)</f>
        <v>0</v>
      </c>
      <c r="D45" s="63">
        <f>VLOOKUP($B45,'Tillförd energi'!$B$1:$AI$720,MATCH(D$2,'Tillförd energi'!$B$1:$AQ$1,0),FALSE)</f>
        <v>0.68</v>
      </c>
      <c r="E45" s="63">
        <f>VLOOKUP($B45,'Tillförd energi'!$B$1:$AI$720,MATCH(E$2,'Tillförd energi'!$B$1:$AQ$1,0),FALSE)</f>
        <v>0</v>
      </c>
      <c r="F45" s="63">
        <f>VLOOKUP($B45,'Tillförd energi'!$B$1:$AI$720,MATCH(F$2,'Tillförd energi'!$B$1:$AQ$1,0),FALSE)</f>
        <v>0</v>
      </c>
      <c r="G45" s="63">
        <f>VLOOKUP($B45,'Tillförd energi'!$B$1:$AI$720,MATCH(G$2,'Tillförd energi'!$B$1:$AQ$1,0),FALSE)</f>
        <v>0</v>
      </c>
      <c r="H45" s="63">
        <f>VLOOKUP($B45,'Tillförd energi'!$B$1:$AI$720,MATCH(H$2,'Tillförd energi'!$B$1:$AQ$1,0),FALSE)</f>
        <v>0</v>
      </c>
      <c r="I45" s="63">
        <f>VLOOKUP($B45,'Tillförd energi'!$B$1:$AI$720,MATCH(I$2,'Tillförd energi'!$B$1:$AQ$1,0),FALSE)</f>
        <v>0</v>
      </c>
      <c r="J45" s="63">
        <f>VLOOKUP($B45,'Tillförd energi'!$B$1:$AI$720,MATCH(J$2,'Tillförd energi'!$B$1:$AQ$1,0),FALSE)</f>
        <v>0</v>
      </c>
      <c r="K45" s="63">
        <f>VLOOKUP($B45,'Tillförd energi'!$B$1:$AI$720,MATCH(K$2,'Tillförd energi'!$B$1:$AQ$1,0),FALSE)</f>
        <v>0</v>
      </c>
      <c r="L45" s="63">
        <f>VLOOKUP($B45,'Tillförd energi'!$B$1:$AI$720,MATCH(L$2,'Tillförd energi'!$B$1:$AQ$1,0),FALSE)</f>
        <v>0</v>
      </c>
      <c r="M45" s="63">
        <f>VLOOKUP($B45,'Tillförd energi'!$B$1:$AI$720,MATCH(M$2,'Tillförd energi'!$B$1:$AQ$1,0),FALSE)</f>
        <v>0</v>
      </c>
      <c r="N45" s="63">
        <f>VLOOKUP($B45,'Tillförd energi'!$B$1:$AI$720,MATCH(N$2,'Tillförd energi'!$B$1:$AQ$1,0),FALSE)</f>
        <v>0</v>
      </c>
      <c r="O45" s="63">
        <f>VLOOKUP($B45,'Tillförd energi'!$B$1:$AI$720,MATCH(O$2,'Tillförd energi'!$B$1:$AQ$1,0),FALSE)</f>
        <v>0</v>
      </c>
      <c r="P45" s="63">
        <f>VLOOKUP($B45,'Tillförd energi'!$B$1:$AI$720,MATCH(P$2,'Tillförd energi'!$B$1:$AQ$1,0),FALSE)</f>
        <v>0</v>
      </c>
      <c r="Q45" s="63">
        <f>VLOOKUP($B45,'Tillförd energi'!$B$1:$AI$720,MATCH(Q$2,'Tillförd energi'!$B$1:$AQ$1,0),FALSE)</f>
        <v>0</v>
      </c>
      <c r="R45" s="63">
        <f>VLOOKUP($B45,'Tillförd energi'!$B$1:$AI$720,MATCH(R$2,'Tillförd energi'!$B$1:$AQ$1,0),FALSE)</f>
        <v>0.91</v>
      </c>
      <c r="S45" s="63">
        <f>VLOOKUP($B45,'Tillförd energi'!$B$1:$AI$720,MATCH(S$2,'Tillförd energi'!$B$1:$AQ$1,0),FALSE)</f>
        <v>6.3</v>
      </c>
      <c r="T45" s="63">
        <f>VLOOKUP($B45,'Tillförd energi'!$B$1:$AI$720,MATCH(T$2,'Tillförd energi'!$B$1:$AQ$1,0),FALSE)</f>
        <v>0</v>
      </c>
      <c r="U45" s="63">
        <f>VLOOKUP($B45,'Tillförd energi'!$B$1:$AI$720,MATCH(U$2,'Tillförd energi'!$B$1:$AQ$1,0),FALSE)</f>
        <v>0</v>
      </c>
      <c r="V45" s="63">
        <f>VLOOKUP($B45,'Tillförd energi'!$B$1:$AI$720,MATCH(V$2,'Tillförd energi'!$B$1:$AQ$1,0),FALSE)</f>
        <v>0</v>
      </c>
      <c r="W45" s="63">
        <f>VLOOKUP($B45,'Tillförd energi'!$B$1:$AI$720,MATCH(W$2,'Tillförd energi'!$B$1:$AQ$1,0),FALSE)</f>
        <v>0</v>
      </c>
      <c r="X45" s="63">
        <f>VLOOKUP($B45,'Tillförd energi'!$B$1:$AI$720,MATCH(X$2,'Tillförd energi'!$B$1:$AQ$1,0),FALSE)</f>
        <v>0</v>
      </c>
      <c r="Y45" s="63">
        <f>VLOOKUP($B45,'Tillförd energi'!$B$1:$AI$720,MATCH(Y$2,'Tillförd energi'!$B$1:$AQ$1,0),FALSE)</f>
        <v>0</v>
      </c>
      <c r="Z45" s="63">
        <f>VLOOKUP($B45,'Tillförd energi'!$B$1:$AI$720,MATCH(Z$2,'Tillförd energi'!$B$1:$AQ$1,0),FALSE)</f>
        <v>0</v>
      </c>
      <c r="AA45" s="63">
        <f>VLOOKUP($B45,'Tillförd energi'!$B$1:$AI$720,MATCH(AA$2,'Tillförd energi'!$B$1:$AQ$1,0),FALSE)</f>
        <v>0</v>
      </c>
      <c r="AB45" s="63">
        <f>VLOOKUP($B45,'Tillförd energi'!$B$1:$AI$720,MATCH(AB$2,'Tillförd energi'!$B$1:$AQ$1,0),FALSE)</f>
        <v>0</v>
      </c>
      <c r="AC45" s="63">
        <f>VLOOKUP($B45,'Tillförd energi'!$B$1:$AI$720,MATCH(AC$2,'Tillförd energi'!$B$1:$AQ$1,0),FALSE)</f>
        <v>0</v>
      </c>
      <c r="AD45" s="63">
        <f>VLOOKUP($B45,'Tillförd energi'!$B$1:$AI$720,MATCH(AD$2,'Tillförd energi'!$B$1:$AQ$1,0),FALSE)</f>
        <v>0</v>
      </c>
      <c r="AE45" s="63">
        <f>VLOOKUP($B45,'Tillförd energi'!$B$1:$AI$720,MATCH(AE$2,'Tillförd energi'!$B$1:$AQ$1,0),FALSE)</f>
        <v>0</v>
      </c>
      <c r="AF45" s="63">
        <f>VLOOKUP($B45,'Tillförd energi'!$B$1:$AI$720,MATCH(AF$2,'Tillförd energi'!$B$1:$AQ$1,0),FALSE)</f>
        <v>0.161</v>
      </c>
      <c r="AG45" s="63">
        <f>IFERROR(VLOOKUP(B45,Miljö!$B$1:$AC$550,MATCH("Köpt mängd produktionsspecifik fjärrvärme:",Miljö!$B$1:$AC$1,0),FALSE)/1,0)</f>
        <v>0</v>
      </c>
      <c r="AI45" s="63">
        <f t="shared" si="0"/>
        <v>8.0510000000000002</v>
      </c>
      <c r="AJ45" s="63">
        <f>IF(ISERROR(1/VLOOKUP($B45,Leveranser!$B$1:$S$500,MATCH("såld värme (gwh)",Leveranser!$B$1:$S$1,0),FALSE)),"",VLOOKUP($B45,Leveranser!$B$1:$S$500,MATCH("såld värme (gwh)",Leveranser!$B$1:$S$1,0),FALSE))</f>
        <v>7.0259999999999998</v>
      </c>
      <c r="AM45" s="63" t="str">
        <f>IF(B45&lt;&gt;"",IF(VLOOKUP($B45,Totalt!$B$1:$AQ$554,MATCH("Kvalitetsgranskad:",Totalt!$B$1:$AQ$1,0),FALSE)="ja",VLOOKUP($B45,Miljö!$B$1:$AG$479,MATCH(AM$2,Miljö!$B$1:$AK$1,0),FALSE),""),"")</f>
        <v>Ja</v>
      </c>
      <c r="AN45" s="63" t="str">
        <f>IF(AM45="ja",VLOOKUP($B45,Miljö!$B$1:$J$479,MATCH("Typ av ursprungsspecificerad el   (Om inget värde anges används Nordisk residualmix, se inforuta) ()",Miljö!$B$1:$J$1,0),FALSE),IF(AM45="nej","Nordisk residualel",""))</f>
        <v>'Egenproducerad el från kraftvärme och vattenkraft</v>
      </c>
      <c r="AO45" s="63">
        <f>IF(AM45="","",VLOOKUP($B45,Miljö!$B$1:$J$479,MATCH("Fossilandel för ursprungspecificerad el ()",Miljö!$B$1:$J$1,0),FALSE))</f>
        <v>0</v>
      </c>
      <c r="AQ45" s="63">
        <f t="shared" si="1"/>
        <v>1</v>
      </c>
      <c r="AS45" s="63" t="str">
        <f t="shared" si="2"/>
        <v>Nej</v>
      </c>
      <c r="AT45" s="63" t="str">
        <f>IF(AS45="ja",VLOOKUP($B45,Miljö!$B$1:$P$500,MATCH("Fossil andel i procent (%)",Miljö!$B$1:$P$1,0),FALSE)/100,"")</f>
        <v/>
      </c>
      <c r="AV45" s="63" t="str">
        <f t="shared" si="3"/>
        <v>Nej</v>
      </c>
      <c r="AW45" s="63" t="str">
        <f>IF(AV45="ja",VLOOKUP($B45,'Egen hetvattenprod'!$B$1:$AO$500,MATCH("Värmekälla till värmepumpar ()",'Egen hetvattenprod'!$B$1:$AO$1,0),FALSE),"")</f>
        <v/>
      </c>
      <c r="AY45" s="63" t="str">
        <f t="shared" si="4"/>
        <v>Nej</v>
      </c>
      <c r="AZ45" s="77" t="str">
        <f>IF($AY45="ja",(VLOOKUP($B45,'Egen hetvattenprod'!$B$1:$BX$550,MATCH(AZ$2,'Egen hetvattenprod'!$B$1:$BX$1,0),FALSE)+VLOOKUP($B45,Kraftvärmeprod!$B$1:$BX$550,MATCH(AZ$2,Kraftvärmeprod!$B$1:$BX$1,0),FALSE))/$AC45,"")</f>
        <v/>
      </c>
      <c r="BA45" s="77" t="str">
        <f>IF($AY45="ja",(VLOOKUP($B45,'Egen hetvattenprod'!$B$1:$BX$550,MATCH(BA$2,'Egen hetvattenprod'!$B$1:$BX$1,0),FALSE)+VLOOKUP($B45,Kraftvärmeprod!$B$1:$BX$550,MATCH(BA$2,Kraftvärmeprod!$B$1:$BX$1,0),FALSE))/$AC45,"")</f>
        <v/>
      </c>
      <c r="BB45" s="77" t="str">
        <f>IF($AY45="ja",(VLOOKUP($B45,'Egen hetvattenprod'!$B$1:$BX$550,MATCH(BB$2,'Egen hetvattenprod'!$B$1:$BX$1,0),FALSE)+VLOOKUP($B45,Kraftvärmeprod!$B$1:$BX$550,MATCH(BB$2,Kraftvärmeprod!$B$1:$BX$1,0),FALSE))/$AC45,"")</f>
        <v/>
      </c>
      <c r="BC45" s="77" t="str">
        <f>IF($AY45="ja",(VLOOKUP($B45,'Egen hetvattenprod'!$B$1:$BX$550,MATCH(BC$2,'Egen hetvattenprod'!$B$1:$BX$1,0),FALSE)+VLOOKUP($B45,Kraftvärmeprod!$B$1:$BX$550,MATCH(BC$2,Kraftvärmeprod!$B$1:$BX$1,0),FALSE))/$AC45,"")</f>
        <v/>
      </c>
      <c r="BD45" s="77" t="str">
        <f>IF($AY45="ja",(VLOOKUP($B45,'Egen hetvattenprod'!$B$1:$BX$550,MATCH(BD$2,'Egen hetvattenprod'!$B$1:$BX$1,0),FALSE)+VLOOKUP($B45,Kraftvärmeprod!$B$1:$BX$550,MATCH(BD$2,Kraftvärmeprod!$B$1:$BX$1,0),FALSE))/$AC45,"")</f>
        <v/>
      </c>
      <c r="BF45" s="63" t="str">
        <f t="shared" si="5"/>
        <v>Nej</v>
      </c>
      <c r="BG45" s="63" t="str">
        <f>IF($BF45="ja",VLOOKUP($B45,'Egen hetvattenprod'!$B$1:$BX$550,MATCH("Andelen klimatgaser med fossilt ursprung för avfall ()",'Egen hetvattenprod'!$B$1:$BX$1,0),FALSE),"")</f>
        <v/>
      </c>
      <c r="BH45" s="63" t="str">
        <f>IF($BF45="ja",VLOOKUP($B45,Kraftvärmeprod!$B$1:$BX$550,MATCH("Andelen klimatgaser med fossilt ursprung för avfall ()",Kraftvärmeprod!$B$1:$BX$1,0),FALSE),"")</f>
        <v/>
      </c>
      <c r="BI45" s="63" t="str">
        <f>IF($BF45="ja",VLOOKUP($B45,'Egen hetvattenprod'!$B$1:$BX$550,MATCH("Avfall (GWh)",'Egen hetvattenprod'!$B$1:$BX$1,0),FALSE),"")</f>
        <v/>
      </c>
      <c r="BJ45" s="63" t="str">
        <f>IF($BF45="ja",VLOOKUP($B45,'Slutlig allokering kvv'!$B$1:$BX$550,MATCH("Avfall (GWh)",'Slutlig allokering kvv'!$B$1:$BX$1,0),FALSE),"")</f>
        <v/>
      </c>
      <c r="BK45" s="63" t="str">
        <f>IF($BF45="ja",VLOOKUP($B45,'Köpt hetvatten'!$B$1:$BX$550,MATCH("Avfall i köpt hetvatten",'Köpt hetvatten'!$B$1:$BX$1,0),FALSE),"")</f>
        <v/>
      </c>
      <c r="BL45" s="63" t="str">
        <f>IF($BF45="ja",VLOOKUP($B45,'Egen hetvattenprod'!$B$1:$BX$550,MATCH("Värde enligt ovan. (%)",'Egen hetvattenprod'!$B$1:$BX$1,0),FALSE),"")</f>
        <v/>
      </c>
      <c r="BM45" s="63" t="str">
        <f>IF($BF45="ja",VLOOKUP($B45,Kraftvärmeprod!$B$1:$BX$550,MATCH("Värde enligt ovan. (%)",Kraftvärmeprod!$B$1:$BX$1,0),FALSE),"")</f>
        <v/>
      </c>
    </row>
    <row r="46" spans="1:65" x14ac:dyDescent="0.45">
      <c r="A46" s="63" t="s">
        <v>635</v>
      </c>
      <c r="B46" s="63" t="s">
        <v>634</v>
      </c>
      <c r="C46" s="63">
        <f>VLOOKUP($B46,'Tillförd energi'!$B$1:$AI$720,MATCH(C$2,'Tillförd energi'!$B$1:$AQ$1,0),FALSE)</f>
        <v>0</v>
      </c>
      <c r="D46" s="63">
        <f>VLOOKUP($B46,'Tillförd energi'!$B$1:$AI$720,MATCH(D$2,'Tillförd energi'!$B$1:$AQ$1,0),FALSE)</f>
        <v>0</v>
      </c>
      <c r="E46" s="63">
        <f>VLOOKUP($B46,'Tillförd energi'!$B$1:$AI$720,MATCH(E$2,'Tillförd energi'!$B$1:$AQ$1,0),FALSE)</f>
        <v>0</v>
      </c>
      <c r="F46" s="63">
        <f>VLOOKUP($B46,'Tillförd energi'!$B$1:$AI$720,MATCH(F$2,'Tillförd energi'!$B$1:$AQ$1,0),FALSE)</f>
        <v>0</v>
      </c>
      <c r="G46" s="63">
        <f>VLOOKUP($B46,'Tillförd energi'!$B$1:$AI$720,MATCH(G$2,'Tillförd energi'!$B$1:$AQ$1,0),FALSE)</f>
        <v>0</v>
      </c>
      <c r="H46" s="63">
        <f>VLOOKUP($B46,'Tillförd energi'!$B$1:$AI$720,MATCH(H$2,'Tillförd energi'!$B$1:$AQ$1,0),FALSE)</f>
        <v>0</v>
      </c>
      <c r="I46" s="63">
        <f>VLOOKUP($B46,'Tillförd energi'!$B$1:$AI$720,MATCH(I$2,'Tillförd energi'!$B$1:$AQ$1,0),FALSE)</f>
        <v>0</v>
      </c>
      <c r="J46" s="63">
        <f>VLOOKUP($B46,'Tillförd energi'!$B$1:$AI$720,MATCH(J$2,'Tillförd energi'!$B$1:$AQ$1,0),FALSE)</f>
        <v>0</v>
      </c>
      <c r="K46" s="63">
        <f>VLOOKUP($B46,'Tillförd energi'!$B$1:$AI$720,MATCH(K$2,'Tillförd energi'!$B$1:$AQ$1,0),FALSE)</f>
        <v>0</v>
      </c>
      <c r="L46" s="63">
        <f>VLOOKUP($B46,'Tillförd energi'!$B$1:$AI$720,MATCH(L$2,'Tillförd energi'!$B$1:$AQ$1,0),FALSE)</f>
        <v>0</v>
      </c>
      <c r="M46" s="63">
        <f>VLOOKUP($B46,'Tillförd energi'!$B$1:$AI$720,MATCH(M$2,'Tillförd energi'!$B$1:$AQ$1,0),FALSE)</f>
        <v>0</v>
      </c>
      <c r="N46" s="63">
        <f>VLOOKUP($B46,'Tillförd energi'!$B$1:$AI$720,MATCH(N$2,'Tillförd energi'!$B$1:$AQ$1,0),FALSE)</f>
        <v>0</v>
      </c>
      <c r="O46" s="63">
        <f>VLOOKUP($B46,'Tillförd energi'!$B$1:$AI$720,MATCH(O$2,'Tillförd energi'!$B$1:$AQ$1,0),FALSE)</f>
        <v>0</v>
      </c>
      <c r="P46" s="63">
        <f>VLOOKUP($B46,'Tillförd energi'!$B$1:$AI$720,MATCH(P$2,'Tillförd energi'!$B$1:$AQ$1,0),FALSE)</f>
        <v>0</v>
      </c>
      <c r="Q46" s="63">
        <f>VLOOKUP($B46,'Tillförd energi'!$B$1:$AI$720,MATCH(Q$2,'Tillförd energi'!$B$1:$AQ$1,0),FALSE)</f>
        <v>0</v>
      </c>
      <c r="R46" s="63">
        <f>VLOOKUP($B46,'Tillförd energi'!$B$1:$AI$720,MATCH(R$2,'Tillförd energi'!$B$1:$AQ$1,0),FALSE)</f>
        <v>0</v>
      </c>
      <c r="S46" s="63">
        <f>VLOOKUP($B46,'Tillförd energi'!$B$1:$AI$720,MATCH(S$2,'Tillförd energi'!$B$1:$AQ$1,0),FALSE)</f>
        <v>0</v>
      </c>
      <c r="T46" s="63">
        <f>VLOOKUP($B46,'Tillförd energi'!$B$1:$AI$720,MATCH(T$2,'Tillförd energi'!$B$1:$AQ$1,0),FALSE)</f>
        <v>0</v>
      </c>
      <c r="U46" s="63">
        <f>VLOOKUP($B46,'Tillförd energi'!$B$1:$AI$720,MATCH(U$2,'Tillförd energi'!$B$1:$AQ$1,0),FALSE)</f>
        <v>0</v>
      </c>
      <c r="V46" s="63">
        <f>VLOOKUP($B46,'Tillförd energi'!$B$1:$AI$720,MATCH(V$2,'Tillförd energi'!$B$1:$AQ$1,0),FALSE)</f>
        <v>0</v>
      </c>
      <c r="W46" s="63">
        <f>VLOOKUP($B46,'Tillförd energi'!$B$1:$AI$720,MATCH(W$2,'Tillförd energi'!$B$1:$AQ$1,0),FALSE)</f>
        <v>0</v>
      </c>
      <c r="X46" s="63">
        <f>VLOOKUP($B46,'Tillförd energi'!$B$1:$AI$720,MATCH(X$2,'Tillförd energi'!$B$1:$AQ$1,0),FALSE)</f>
        <v>0</v>
      </c>
      <c r="Y46" s="63">
        <f>VLOOKUP($B46,'Tillförd energi'!$B$1:$AI$720,MATCH(Y$2,'Tillförd energi'!$B$1:$AQ$1,0),FALSE)</f>
        <v>0</v>
      </c>
      <c r="Z46" s="63">
        <f>VLOOKUP($B46,'Tillförd energi'!$B$1:$AI$720,MATCH(Z$2,'Tillförd energi'!$B$1:$AQ$1,0),FALSE)</f>
        <v>0</v>
      </c>
      <c r="AA46" s="63">
        <f>VLOOKUP($B46,'Tillförd energi'!$B$1:$AI$720,MATCH(AA$2,'Tillförd energi'!$B$1:$AQ$1,0),FALSE)</f>
        <v>0</v>
      </c>
      <c r="AB46" s="63">
        <f>VLOOKUP($B46,'Tillförd energi'!$B$1:$AI$720,MATCH(AB$2,'Tillförd energi'!$B$1:$AQ$1,0),FALSE)</f>
        <v>0</v>
      </c>
      <c r="AC46" s="63">
        <f>VLOOKUP($B46,'Tillförd energi'!$B$1:$AI$720,MATCH(AC$2,'Tillförd energi'!$B$1:$AQ$1,0),FALSE)</f>
        <v>0</v>
      </c>
      <c r="AD46" s="63">
        <f>VLOOKUP($B46,'Tillförd energi'!$B$1:$AI$720,MATCH(AD$2,'Tillförd energi'!$B$1:$AQ$1,0),FALSE)</f>
        <v>47</v>
      </c>
      <c r="AE46" s="63">
        <f>VLOOKUP($B46,'Tillförd energi'!$B$1:$AI$720,MATCH(AE$2,'Tillförd energi'!$B$1:$AQ$1,0),FALSE)</f>
        <v>0</v>
      </c>
      <c r="AF46" s="63">
        <f>VLOOKUP($B46,'Tillförd energi'!$B$1:$AI$720,MATCH(AF$2,'Tillförd energi'!$B$1:$AQ$1,0),FALSE)</f>
        <v>0.13500000000000001</v>
      </c>
      <c r="AG46" s="63">
        <f>IFERROR(VLOOKUP(B46,Miljö!$B$1:$AC$550,MATCH("Köpt mängd produktionsspecifik fjärrvärme:",Miljö!$B$1:$AC$1,0),FALSE)/1,0)</f>
        <v>0</v>
      </c>
      <c r="AI46" s="63">
        <f t="shared" si="0"/>
        <v>47.134999999999998</v>
      </c>
      <c r="AJ46" s="63">
        <f>IF(ISERROR(1/VLOOKUP($B46,Leveranser!$B$1:$S$500,MATCH("såld värme (gwh)",Leveranser!$B$1:$S$1,0),FALSE)),"",VLOOKUP($B46,Leveranser!$B$1:$S$500,MATCH("såld värme (gwh)",Leveranser!$B$1:$S$1,0),FALSE))</f>
        <v>34.299999999999997</v>
      </c>
      <c r="AM46" s="63" t="str">
        <f>IF(B46&lt;&gt;"",IF(VLOOKUP($B46,Totalt!$B$1:$AQ$554,MATCH("Kvalitetsgranskad:",Totalt!$B$1:$AQ$1,0),FALSE)="ja",VLOOKUP($B46,Miljö!$B$1:$AG$479,MATCH(AM$2,Miljö!$B$1:$AK$1,0),FALSE),""),"")</f>
        <v>Ja</v>
      </c>
      <c r="AN46" s="63" t="str">
        <f>IF(AM46="ja",VLOOKUP($B46,Miljö!$B$1:$J$479,MATCH("Typ av ursprungsspecificerad el   (Om inget värde anges används Nordisk residualmix, se inforuta) ()",Miljö!$B$1:$J$1,0),FALSE),IF(AM46="nej","Nordisk residualel",""))</f>
        <v>'Förnybar'</v>
      </c>
      <c r="AO46" s="63">
        <f>IF(AM46="","",VLOOKUP($B46,Miljö!$B$1:$J$479,MATCH("Fossilandel för ursprungspecificerad el ()",Miljö!$B$1:$J$1,0),FALSE))</f>
        <v>0</v>
      </c>
      <c r="AQ46" s="63">
        <f t="shared" si="1"/>
        <v>1</v>
      </c>
      <c r="AS46" s="63" t="str">
        <f t="shared" si="2"/>
        <v>Nej</v>
      </c>
      <c r="AT46" s="63" t="str">
        <f>IF(AS46="ja",VLOOKUP($B46,Miljö!$B$1:$P$500,MATCH("Fossil andel i procent (%)",Miljö!$B$1:$P$1,0),FALSE)/100,"")</f>
        <v/>
      </c>
      <c r="AV46" s="63" t="str">
        <f t="shared" si="3"/>
        <v>Nej</v>
      </c>
      <c r="AW46" s="63" t="str">
        <f>IF(AV46="ja",VLOOKUP($B46,'Egen hetvattenprod'!$B$1:$AO$500,MATCH("Värmekälla till värmepumpar ()",'Egen hetvattenprod'!$B$1:$AO$1,0),FALSE),"")</f>
        <v/>
      </c>
      <c r="AY46" s="63" t="str">
        <f t="shared" si="4"/>
        <v>Nej</v>
      </c>
      <c r="AZ46" s="77" t="str">
        <f>IF($AY46="ja",(VLOOKUP($B46,'Egen hetvattenprod'!$B$1:$BX$550,MATCH(AZ$2,'Egen hetvattenprod'!$B$1:$BX$1,0),FALSE)+VLOOKUP($B46,Kraftvärmeprod!$B$1:$BX$550,MATCH(AZ$2,Kraftvärmeprod!$B$1:$BX$1,0),FALSE))/$AC46,"")</f>
        <v/>
      </c>
      <c r="BA46" s="77" t="str">
        <f>IF($AY46="ja",(VLOOKUP($B46,'Egen hetvattenprod'!$B$1:$BX$550,MATCH(BA$2,'Egen hetvattenprod'!$B$1:$BX$1,0),FALSE)+VLOOKUP($B46,Kraftvärmeprod!$B$1:$BX$550,MATCH(BA$2,Kraftvärmeprod!$B$1:$BX$1,0),FALSE))/$AC46,"")</f>
        <v/>
      </c>
      <c r="BB46" s="77" t="str">
        <f>IF($AY46="ja",(VLOOKUP($B46,'Egen hetvattenprod'!$B$1:$BX$550,MATCH(BB$2,'Egen hetvattenprod'!$B$1:$BX$1,0),FALSE)+VLOOKUP($B46,Kraftvärmeprod!$B$1:$BX$550,MATCH(BB$2,Kraftvärmeprod!$B$1:$BX$1,0),FALSE))/$AC46,"")</f>
        <v/>
      </c>
      <c r="BC46" s="77" t="str">
        <f>IF($AY46="ja",(VLOOKUP($B46,'Egen hetvattenprod'!$B$1:$BX$550,MATCH(BC$2,'Egen hetvattenprod'!$B$1:$BX$1,0),FALSE)+VLOOKUP($B46,Kraftvärmeprod!$B$1:$BX$550,MATCH(BC$2,Kraftvärmeprod!$B$1:$BX$1,0),FALSE))/$AC46,"")</f>
        <v/>
      </c>
      <c r="BD46" s="77" t="str">
        <f>IF($AY46="ja",(VLOOKUP($B46,'Egen hetvattenprod'!$B$1:$BX$550,MATCH(BD$2,'Egen hetvattenprod'!$B$1:$BX$1,0),FALSE)+VLOOKUP($B46,Kraftvärmeprod!$B$1:$BX$550,MATCH(BD$2,Kraftvärmeprod!$B$1:$BX$1,0),FALSE))/$AC46,"")</f>
        <v/>
      </c>
      <c r="BF46" s="63" t="str">
        <f t="shared" si="5"/>
        <v>Nej</v>
      </c>
      <c r="BG46" s="63" t="str">
        <f>IF($BF46="ja",VLOOKUP($B46,'Egen hetvattenprod'!$B$1:$BX$550,MATCH("Andelen klimatgaser med fossilt ursprung för avfall ()",'Egen hetvattenprod'!$B$1:$BX$1,0),FALSE),"")</f>
        <v/>
      </c>
      <c r="BH46" s="63" t="str">
        <f>IF($BF46="ja",VLOOKUP($B46,Kraftvärmeprod!$B$1:$BX$550,MATCH("Andelen klimatgaser med fossilt ursprung för avfall ()",Kraftvärmeprod!$B$1:$BX$1,0),FALSE),"")</f>
        <v/>
      </c>
      <c r="BI46" s="63" t="str">
        <f>IF($BF46="ja",VLOOKUP($B46,'Egen hetvattenprod'!$B$1:$BX$550,MATCH("Avfall (GWh)",'Egen hetvattenprod'!$B$1:$BX$1,0),FALSE),"")</f>
        <v/>
      </c>
      <c r="BJ46" s="63" t="str">
        <f>IF($BF46="ja",VLOOKUP($B46,'Slutlig allokering kvv'!$B$1:$BX$550,MATCH("Avfall (GWh)",'Slutlig allokering kvv'!$B$1:$BX$1,0),FALSE),"")</f>
        <v/>
      </c>
      <c r="BK46" s="63" t="str">
        <f>IF($BF46="ja",VLOOKUP($B46,'Köpt hetvatten'!$B$1:$BX$550,MATCH("Avfall i köpt hetvatten",'Köpt hetvatten'!$B$1:$BX$1,0),FALSE),"")</f>
        <v/>
      </c>
      <c r="BL46" s="63" t="str">
        <f>IF($BF46="ja",VLOOKUP($B46,'Egen hetvattenprod'!$B$1:$BX$550,MATCH("Värde enligt ovan. (%)",'Egen hetvattenprod'!$B$1:$BX$1,0),FALSE),"")</f>
        <v/>
      </c>
      <c r="BM46" s="63" t="str">
        <f>IF($BF46="ja",VLOOKUP($B46,Kraftvärmeprod!$B$1:$BX$550,MATCH("Värde enligt ovan. (%)",Kraftvärmeprod!$B$1:$BX$1,0),FALSE),"")</f>
        <v/>
      </c>
    </row>
    <row r="47" spans="1:65" x14ac:dyDescent="0.45">
      <c r="A47" s="63" t="s">
        <v>633</v>
      </c>
      <c r="B47" s="63" t="s">
        <v>65</v>
      </c>
      <c r="C47" s="63">
        <f>VLOOKUP($B47,'Tillförd energi'!$B$1:$AI$720,MATCH(C$2,'Tillförd energi'!$B$1:$AQ$1,0),FALSE)</f>
        <v>0</v>
      </c>
      <c r="D47" s="63">
        <f>VLOOKUP($B47,'Tillförd energi'!$B$1:$AI$720,MATCH(D$2,'Tillförd energi'!$B$1:$AQ$1,0),FALSE)</f>
        <v>0.222</v>
      </c>
      <c r="E47" s="63">
        <f>VLOOKUP($B47,'Tillförd energi'!$B$1:$AI$720,MATCH(E$2,'Tillförd energi'!$B$1:$AQ$1,0),FALSE)</f>
        <v>0</v>
      </c>
      <c r="F47" s="63">
        <f>VLOOKUP($B47,'Tillförd energi'!$B$1:$AI$720,MATCH(F$2,'Tillförd energi'!$B$1:$AQ$1,0),FALSE)</f>
        <v>0</v>
      </c>
      <c r="G47" s="63">
        <f>VLOOKUP($B47,'Tillförd energi'!$B$1:$AI$720,MATCH(G$2,'Tillförd energi'!$B$1:$AQ$1,0),FALSE)</f>
        <v>0</v>
      </c>
      <c r="H47" s="63">
        <f>VLOOKUP($B47,'Tillförd energi'!$B$1:$AI$720,MATCH(H$2,'Tillförd energi'!$B$1:$AQ$1,0),FALSE)</f>
        <v>0</v>
      </c>
      <c r="I47" s="63">
        <f>VLOOKUP($B47,'Tillförd energi'!$B$1:$AI$720,MATCH(I$2,'Tillförd energi'!$B$1:$AQ$1,0),FALSE)</f>
        <v>0</v>
      </c>
      <c r="J47" s="63">
        <f>VLOOKUP($B47,'Tillförd energi'!$B$1:$AI$720,MATCH(J$2,'Tillförd energi'!$B$1:$AQ$1,0),FALSE)</f>
        <v>0</v>
      </c>
      <c r="K47" s="63">
        <f>VLOOKUP($B47,'Tillförd energi'!$B$1:$AI$720,MATCH(K$2,'Tillförd energi'!$B$1:$AQ$1,0),FALSE)</f>
        <v>0</v>
      </c>
      <c r="L47" s="63">
        <f>VLOOKUP($B47,'Tillförd energi'!$B$1:$AI$720,MATCH(L$2,'Tillförd energi'!$B$1:$AQ$1,0),FALSE)</f>
        <v>0</v>
      </c>
      <c r="M47" s="63">
        <f>VLOOKUP($B47,'Tillförd energi'!$B$1:$AI$720,MATCH(M$2,'Tillförd energi'!$B$1:$AQ$1,0),FALSE)</f>
        <v>0</v>
      </c>
      <c r="N47" s="63">
        <f>VLOOKUP($B47,'Tillförd energi'!$B$1:$AI$720,MATCH(N$2,'Tillförd energi'!$B$1:$AQ$1,0),FALSE)</f>
        <v>0</v>
      </c>
      <c r="O47" s="63">
        <f>VLOOKUP($B47,'Tillförd energi'!$B$1:$AI$720,MATCH(O$2,'Tillförd energi'!$B$1:$AQ$1,0),FALSE)</f>
        <v>9.9350000000000005</v>
      </c>
      <c r="P47" s="63">
        <f>VLOOKUP($B47,'Tillförd energi'!$B$1:$AI$720,MATCH(P$2,'Tillförd energi'!$B$1:$AQ$1,0),FALSE)</f>
        <v>3.7149999999999999</v>
      </c>
      <c r="Q47" s="63">
        <f>VLOOKUP($B47,'Tillförd energi'!$B$1:$AI$720,MATCH(Q$2,'Tillförd energi'!$B$1:$AQ$1,0),FALSE)</f>
        <v>0</v>
      </c>
      <c r="R47" s="63">
        <f>VLOOKUP($B47,'Tillförd energi'!$B$1:$AI$720,MATCH(R$2,'Tillförd energi'!$B$1:$AQ$1,0),FALSE)</f>
        <v>0.61199999999999999</v>
      </c>
      <c r="S47" s="63">
        <f>VLOOKUP($B47,'Tillförd energi'!$B$1:$AI$720,MATCH(S$2,'Tillförd energi'!$B$1:$AQ$1,0),FALSE)</f>
        <v>0</v>
      </c>
      <c r="T47" s="63">
        <f>VLOOKUP($B47,'Tillförd energi'!$B$1:$AI$720,MATCH(T$2,'Tillförd energi'!$B$1:$AQ$1,0),FALSE)</f>
        <v>0</v>
      </c>
      <c r="U47" s="63">
        <f>VLOOKUP($B47,'Tillförd energi'!$B$1:$AI$720,MATCH(U$2,'Tillförd energi'!$B$1:$AQ$1,0),FALSE)</f>
        <v>0</v>
      </c>
      <c r="V47" s="63">
        <f>VLOOKUP($B47,'Tillförd energi'!$B$1:$AI$720,MATCH(V$2,'Tillförd energi'!$B$1:$AQ$1,0),FALSE)</f>
        <v>0</v>
      </c>
      <c r="W47" s="63">
        <f>VLOOKUP($B47,'Tillförd energi'!$B$1:$AI$720,MATCH(W$2,'Tillförd energi'!$B$1:$AQ$1,0),FALSE)</f>
        <v>0</v>
      </c>
      <c r="X47" s="63">
        <f>VLOOKUP($B47,'Tillförd energi'!$B$1:$AI$720,MATCH(X$2,'Tillförd energi'!$B$1:$AQ$1,0),FALSE)</f>
        <v>0</v>
      </c>
      <c r="Y47" s="63">
        <f>VLOOKUP($B47,'Tillförd energi'!$B$1:$AI$720,MATCH(Y$2,'Tillförd energi'!$B$1:$AQ$1,0),FALSE)</f>
        <v>0</v>
      </c>
      <c r="Z47" s="63">
        <f>VLOOKUP($B47,'Tillförd energi'!$B$1:$AI$720,MATCH(Z$2,'Tillförd energi'!$B$1:$AQ$1,0),FALSE)</f>
        <v>0.36</v>
      </c>
      <c r="AA47" s="63">
        <f>VLOOKUP($B47,'Tillförd energi'!$B$1:$AI$720,MATCH(AA$2,'Tillförd energi'!$B$1:$AQ$1,0),FALSE)</f>
        <v>0</v>
      </c>
      <c r="AB47" s="63">
        <f>VLOOKUP($B47,'Tillförd energi'!$B$1:$AI$720,MATCH(AB$2,'Tillförd energi'!$B$1:$AQ$1,0),FALSE)</f>
        <v>0</v>
      </c>
      <c r="AC47" s="63">
        <f>VLOOKUP($B47,'Tillförd energi'!$B$1:$AI$720,MATCH(AC$2,'Tillförd energi'!$B$1:$AQ$1,0),FALSE)</f>
        <v>0</v>
      </c>
      <c r="AD47" s="63">
        <f>VLOOKUP($B47,'Tillförd energi'!$B$1:$AI$720,MATCH(AD$2,'Tillförd energi'!$B$1:$AQ$1,0),FALSE)</f>
        <v>0</v>
      </c>
      <c r="AE47" s="63">
        <f>VLOOKUP($B47,'Tillförd energi'!$B$1:$AI$720,MATCH(AE$2,'Tillförd energi'!$B$1:$AQ$1,0),FALSE)</f>
        <v>0</v>
      </c>
      <c r="AF47" s="63">
        <f>VLOOKUP($B47,'Tillförd energi'!$B$1:$AI$720,MATCH(AF$2,'Tillförd energi'!$B$1:$AQ$1,0),FALSE)</f>
        <v>0.33759</v>
      </c>
      <c r="AG47" s="63">
        <f>IFERROR(VLOOKUP(B47,Miljö!$B$1:$AC$550,MATCH("Köpt mängd produktionsspecifik fjärrvärme:",Miljö!$B$1:$AC$1,0),FALSE)/1,0)</f>
        <v>0</v>
      </c>
      <c r="AI47" s="63">
        <f t="shared" si="0"/>
        <v>15.18159</v>
      </c>
      <c r="AJ47" s="63">
        <f>IF(ISERROR(1/VLOOKUP($B47,Leveranser!$B$1:$S$500,MATCH("såld värme (gwh)",Leveranser!$B$1:$S$1,0),FALSE)),"",VLOOKUP($B47,Leveranser!$B$1:$S$500,MATCH("såld värme (gwh)",Leveranser!$B$1:$S$1,0),FALSE))</f>
        <v>11.253</v>
      </c>
      <c r="AM47" s="63" t="str">
        <f>IF(B47&lt;&gt;"",IF(VLOOKUP($B47,Totalt!$B$1:$AQ$554,MATCH("Kvalitetsgranskad:",Totalt!$B$1:$AQ$1,0),FALSE)="ja",VLOOKUP($B47,Miljö!$B$1:$AG$479,MATCH(AM$2,Miljö!$B$1:$AK$1,0),FALSE),""),"")</f>
        <v>Ja</v>
      </c>
      <c r="AN47" s="63" t="str">
        <f>IF(AM47="ja",VLOOKUP($B47,Miljö!$B$1:$J$479,MATCH("Typ av ursprungsspecificerad el   (Om inget värde anges används Nordisk residualmix, se inforuta) ()",Miljö!$B$1:$J$1,0),FALSE),IF(AM47="nej","Nordisk residualel",""))</f>
        <v>' Nordisk residual'</v>
      </c>
      <c r="AO47" s="63">
        <f>IF(AM47="","",VLOOKUP($B47,Miljö!$B$1:$J$479,MATCH("Fossilandel för ursprungspecificerad el ()",Miljö!$B$1:$J$1,0),FALSE))</f>
        <v>0.35</v>
      </c>
      <c r="AQ47" s="63">
        <f t="shared" si="1"/>
        <v>0.65</v>
      </c>
      <c r="AS47" s="63" t="str">
        <f t="shared" si="2"/>
        <v>Nej</v>
      </c>
      <c r="AT47" s="63" t="str">
        <f>IF(AS47="ja",VLOOKUP($B47,Miljö!$B$1:$P$500,MATCH("Fossil andel i procent (%)",Miljö!$B$1:$P$1,0),FALSE)/100,"")</f>
        <v/>
      </c>
      <c r="AV47" s="63" t="str">
        <f t="shared" si="3"/>
        <v>Nej</v>
      </c>
      <c r="AW47" s="63" t="str">
        <f>IF(AV47="ja",VLOOKUP($B47,'Egen hetvattenprod'!$B$1:$AO$500,MATCH("Värmekälla till värmepumpar ()",'Egen hetvattenprod'!$B$1:$AO$1,0),FALSE),"")</f>
        <v/>
      </c>
      <c r="AY47" s="63" t="str">
        <f t="shared" si="4"/>
        <v>Nej</v>
      </c>
      <c r="AZ47" s="77" t="str">
        <f>IF($AY47="ja",(VLOOKUP($B47,'Egen hetvattenprod'!$B$1:$BX$550,MATCH(AZ$2,'Egen hetvattenprod'!$B$1:$BX$1,0),FALSE)+VLOOKUP($B47,Kraftvärmeprod!$B$1:$BX$550,MATCH(AZ$2,Kraftvärmeprod!$B$1:$BX$1,0),FALSE))/$AC47,"")</f>
        <v/>
      </c>
      <c r="BA47" s="77" t="str">
        <f>IF($AY47="ja",(VLOOKUP($B47,'Egen hetvattenprod'!$B$1:$BX$550,MATCH(BA$2,'Egen hetvattenprod'!$B$1:$BX$1,0),FALSE)+VLOOKUP($B47,Kraftvärmeprod!$B$1:$BX$550,MATCH(BA$2,Kraftvärmeprod!$B$1:$BX$1,0),FALSE))/$AC47,"")</f>
        <v/>
      </c>
      <c r="BB47" s="77" t="str">
        <f>IF($AY47="ja",(VLOOKUP($B47,'Egen hetvattenprod'!$B$1:$BX$550,MATCH(BB$2,'Egen hetvattenprod'!$B$1:$BX$1,0),FALSE)+VLOOKUP($B47,Kraftvärmeprod!$B$1:$BX$550,MATCH(BB$2,Kraftvärmeprod!$B$1:$BX$1,0),FALSE))/$AC47,"")</f>
        <v/>
      </c>
      <c r="BC47" s="77" t="str">
        <f>IF($AY47="ja",(VLOOKUP($B47,'Egen hetvattenprod'!$B$1:$BX$550,MATCH(BC$2,'Egen hetvattenprod'!$B$1:$BX$1,0),FALSE)+VLOOKUP($B47,Kraftvärmeprod!$B$1:$BX$550,MATCH(BC$2,Kraftvärmeprod!$B$1:$BX$1,0),FALSE))/$AC47,"")</f>
        <v/>
      </c>
      <c r="BD47" s="77" t="str">
        <f>IF($AY47="ja",(VLOOKUP($B47,'Egen hetvattenprod'!$B$1:$BX$550,MATCH(BD$2,'Egen hetvattenprod'!$B$1:$BX$1,0),FALSE)+VLOOKUP($B47,Kraftvärmeprod!$B$1:$BX$550,MATCH(BD$2,Kraftvärmeprod!$B$1:$BX$1,0),FALSE))/$AC47,"")</f>
        <v/>
      </c>
      <c r="BF47" s="63" t="str">
        <f t="shared" si="5"/>
        <v>Nej</v>
      </c>
      <c r="BG47" s="63" t="str">
        <f>IF($BF47="ja",VLOOKUP($B47,'Egen hetvattenprod'!$B$1:$BX$550,MATCH("Andelen klimatgaser med fossilt ursprung för avfall ()",'Egen hetvattenprod'!$B$1:$BX$1,0),FALSE),"")</f>
        <v/>
      </c>
      <c r="BH47" s="63" t="str">
        <f>IF($BF47="ja",VLOOKUP($B47,Kraftvärmeprod!$B$1:$BX$550,MATCH("Andelen klimatgaser med fossilt ursprung för avfall ()",Kraftvärmeprod!$B$1:$BX$1,0),FALSE),"")</f>
        <v/>
      </c>
      <c r="BI47" s="63" t="str">
        <f>IF($BF47="ja",VLOOKUP($B47,'Egen hetvattenprod'!$B$1:$BX$550,MATCH("Avfall (GWh)",'Egen hetvattenprod'!$B$1:$BX$1,0),FALSE),"")</f>
        <v/>
      </c>
      <c r="BJ47" s="63" t="str">
        <f>IF($BF47="ja",VLOOKUP($B47,'Slutlig allokering kvv'!$B$1:$BX$550,MATCH("Avfall (GWh)",'Slutlig allokering kvv'!$B$1:$BX$1,0),FALSE),"")</f>
        <v/>
      </c>
      <c r="BK47" s="63" t="str">
        <f>IF($BF47="ja",VLOOKUP($B47,'Köpt hetvatten'!$B$1:$BX$550,MATCH("Avfall i köpt hetvatten",'Köpt hetvatten'!$B$1:$BX$1,0),FALSE),"")</f>
        <v/>
      </c>
      <c r="BL47" s="63" t="str">
        <f>IF($BF47="ja",VLOOKUP($B47,'Egen hetvattenprod'!$B$1:$BX$550,MATCH("Värde enligt ovan. (%)",'Egen hetvattenprod'!$B$1:$BX$1,0),FALSE),"")</f>
        <v/>
      </c>
      <c r="BM47" s="63" t="str">
        <f>IF($BF47="ja",VLOOKUP($B47,Kraftvärmeprod!$B$1:$BX$550,MATCH("Värde enligt ovan. (%)",Kraftvärmeprod!$B$1:$BX$1,0),FALSE),"")</f>
        <v/>
      </c>
    </row>
    <row r="48" spans="1:65" x14ac:dyDescent="0.45">
      <c r="A48" s="63" t="s">
        <v>631</v>
      </c>
      <c r="B48" s="63" t="s">
        <v>632</v>
      </c>
      <c r="C48" s="63">
        <f>VLOOKUP($B48,'Tillförd energi'!$B$1:$AI$720,MATCH(C$2,'Tillförd energi'!$B$1:$AQ$1,0),FALSE)</f>
        <v>0</v>
      </c>
      <c r="D48" s="63">
        <f>VLOOKUP($B48,'Tillförd energi'!$B$1:$AI$720,MATCH(D$2,'Tillförd energi'!$B$1:$AQ$1,0),FALSE)</f>
        <v>0.11700000000000001</v>
      </c>
      <c r="E48" s="63">
        <f>VLOOKUP($B48,'Tillförd energi'!$B$1:$AI$720,MATCH(E$2,'Tillförd energi'!$B$1:$AQ$1,0),FALSE)</f>
        <v>0</v>
      </c>
      <c r="F48" s="63">
        <f>VLOOKUP($B48,'Tillförd energi'!$B$1:$AI$720,MATCH(F$2,'Tillförd energi'!$B$1:$AQ$1,0),FALSE)</f>
        <v>0</v>
      </c>
      <c r="G48" s="63">
        <f>VLOOKUP($B48,'Tillförd energi'!$B$1:$AI$720,MATCH(G$2,'Tillförd energi'!$B$1:$AQ$1,0),FALSE)</f>
        <v>0</v>
      </c>
      <c r="H48" s="63">
        <f>VLOOKUP($B48,'Tillförd energi'!$B$1:$AI$720,MATCH(H$2,'Tillförd energi'!$B$1:$AQ$1,0),FALSE)</f>
        <v>0</v>
      </c>
      <c r="I48" s="63">
        <f>VLOOKUP($B48,'Tillförd energi'!$B$1:$AI$720,MATCH(I$2,'Tillförd energi'!$B$1:$AQ$1,0),FALSE)</f>
        <v>0</v>
      </c>
      <c r="J48" s="63">
        <f>VLOOKUP($B48,'Tillförd energi'!$B$1:$AI$720,MATCH(J$2,'Tillförd energi'!$B$1:$AQ$1,0),FALSE)</f>
        <v>0</v>
      </c>
      <c r="K48" s="63">
        <f>VLOOKUP($B48,'Tillförd energi'!$B$1:$AI$720,MATCH(K$2,'Tillförd energi'!$B$1:$AQ$1,0),FALSE)</f>
        <v>0</v>
      </c>
      <c r="L48" s="63">
        <f>VLOOKUP($B48,'Tillförd energi'!$B$1:$AI$720,MATCH(L$2,'Tillförd energi'!$B$1:$AQ$1,0),FALSE)</f>
        <v>0</v>
      </c>
      <c r="M48" s="63">
        <f>VLOOKUP($B48,'Tillförd energi'!$B$1:$AI$720,MATCH(M$2,'Tillförd energi'!$B$1:$AQ$1,0),FALSE)</f>
        <v>0</v>
      </c>
      <c r="N48" s="63">
        <f>VLOOKUP($B48,'Tillförd energi'!$B$1:$AI$720,MATCH(N$2,'Tillförd energi'!$B$1:$AQ$1,0),FALSE)</f>
        <v>0</v>
      </c>
      <c r="O48" s="63">
        <f>VLOOKUP($B48,'Tillförd energi'!$B$1:$AI$720,MATCH(O$2,'Tillförd energi'!$B$1:$AQ$1,0),FALSE)</f>
        <v>0</v>
      </c>
      <c r="P48" s="63">
        <f>VLOOKUP($B48,'Tillförd energi'!$B$1:$AI$720,MATCH(P$2,'Tillförd energi'!$B$1:$AQ$1,0),FALSE)</f>
        <v>6.4050000000000002</v>
      </c>
      <c r="Q48" s="63">
        <f>VLOOKUP($B48,'Tillförd energi'!$B$1:$AI$720,MATCH(Q$2,'Tillförd energi'!$B$1:$AQ$1,0),FALSE)</f>
        <v>0</v>
      </c>
      <c r="R48" s="63">
        <f>VLOOKUP($B48,'Tillförd energi'!$B$1:$AI$720,MATCH(R$2,'Tillförd energi'!$B$1:$AQ$1,0),FALSE)</f>
        <v>0</v>
      </c>
      <c r="S48" s="63">
        <f>VLOOKUP($B48,'Tillförd energi'!$B$1:$AI$720,MATCH(S$2,'Tillförd energi'!$B$1:$AQ$1,0),FALSE)</f>
        <v>0</v>
      </c>
      <c r="T48" s="63">
        <f>VLOOKUP($B48,'Tillförd energi'!$B$1:$AI$720,MATCH(T$2,'Tillförd energi'!$B$1:$AQ$1,0),FALSE)</f>
        <v>0</v>
      </c>
      <c r="U48" s="63">
        <f>VLOOKUP($B48,'Tillförd energi'!$B$1:$AI$720,MATCH(U$2,'Tillförd energi'!$B$1:$AQ$1,0),FALSE)</f>
        <v>0</v>
      </c>
      <c r="V48" s="63">
        <f>VLOOKUP($B48,'Tillförd energi'!$B$1:$AI$720,MATCH(V$2,'Tillförd energi'!$B$1:$AQ$1,0),FALSE)</f>
        <v>0</v>
      </c>
      <c r="W48" s="63">
        <f>VLOOKUP($B48,'Tillförd energi'!$B$1:$AI$720,MATCH(W$2,'Tillförd energi'!$B$1:$AQ$1,0),FALSE)</f>
        <v>0.61</v>
      </c>
      <c r="X48" s="63">
        <f>VLOOKUP($B48,'Tillförd energi'!$B$1:$AI$720,MATCH(X$2,'Tillförd energi'!$B$1:$AQ$1,0),FALSE)</f>
        <v>0</v>
      </c>
      <c r="Y48" s="63">
        <f>VLOOKUP($B48,'Tillförd energi'!$B$1:$AI$720,MATCH(Y$2,'Tillförd energi'!$B$1:$AQ$1,0),FALSE)</f>
        <v>0</v>
      </c>
      <c r="Z48" s="63">
        <f>VLOOKUP($B48,'Tillförd energi'!$B$1:$AI$720,MATCH(Z$2,'Tillförd energi'!$B$1:$AQ$1,0),FALSE)</f>
        <v>0</v>
      </c>
      <c r="AA48" s="63">
        <f>VLOOKUP($B48,'Tillförd energi'!$B$1:$AI$720,MATCH(AA$2,'Tillförd energi'!$B$1:$AQ$1,0),FALSE)</f>
        <v>0</v>
      </c>
      <c r="AB48" s="63">
        <f>VLOOKUP($B48,'Tillförd energi'!$B$1:$AI$720,MATCH(AB$2,'Tillförd energi'!$B$1:$AQ$1,0),FALSE)</f>
        <v>0</v>
      </c>
      <c r="AC48" s="63">
        <f>VLOOKUP($B48,'Tillförd energi'!$B$1:$AI$720,MATCH(AC$2,'Tillförd energi'!$B$1:$AQ$1,0),FALSE)</f>
        <v>0</v>
      </c>
      <c r="AD48" s="63">
        <f>VLOOKUP($B48,'Tillförd energi'!$B$1:$AI$720,MATCH(AD$2,'Tillförd energi'!$B$1:$AQ$1,0),FALSE)</f>
        <v>0</v>
      </c>
      <c r="AE48" s="63">
        <f>VLOOKUP($B48,'Tillförd energi'!$B$1:$AI$720,MATCH(AE$2,'Tillförd energi'!$B$1:$AQ$1,0),FALSE)</f>
        <v>0</v>
      </c>
      <c r="AF48" s="63">
        <f>VLOOKUP($B48,'Tillförd energi'!$B$1:$AI$720,MATCH(AF$2,'Tillförd energi'!$B$1:$AQ$1,0),FALSE)</f>
        <v>0.13800000000000001</v>
      </c>
      <c r="AG48" s="63">
        <f>IFERROR(VLOOKUP(B48,Miljö!$B$1:$AC$550,MATCH("Köpt mängd produktionsspecifik fjärrvärme:",Miljö!$B$1:$AC$1,0),FALSE)/1,0)</f>
        <v>0</v>
      </c>
      <c r="AI48" s="63">
        <f t="shared" si="0"/>
        <v>7.2700000000000005</v>
      </c>
      <c r="AJ48" s="63">
        <f>IF(ISERROR(1/VLOOKUP($B48,Leveranser!$B$1:$S$500,MATCH("såld värme (gwh)",Leveranser!$B$1:$S$1,0),FALSE)),"",VLOOKUP($B48,Leveranser!$B$1:$S$500,MATCH("såld värme (gwh)",Leveranser!$B$1:$S$1,0),FALSE))</f>
        <v>4.4779999999999998</v>
      </c>
      <c r="AM48" s="63" t="str">
        <f>IF(B48&lt;&gt;"",IF(VLOOKUP($B48,Totalt!$B$1:$AQ$554,MATCH("Kvalitetsgranskad:",Totalt!$B$1:$AQ$1,0),FALSE)="ja",VLOOKUP($B48,Miljö!$B$1:$AG$479,MATCH(AM$2,Miljö!$B$1:$AK$1,0),FALSE),""),"")</f>
        <v>Ja</v>
      </c>
      <c r="AN48" s="63" t="str">
        <f>IF(AM48="ja",VLOOKUP($B48,Miljö!$B$1:$J$479,MATCH("Typ av ursprungsspecificerad el   (Om inget värde anges används Nordisk residualmix, se inforuta) ()",Miljö!$B$1:$J$1,0),FALSE),IF(AM48="nej","Nordisk residualel",""))</f>
        <v>'C4 Energi 100% fossilfritt'</v>
      </c>
      <c r="AO48" s="63">
        <f>IF(AM48="","",VLOOKUP($B48,Miljö!$B$1:$J$479,MATCH("Fossilandel för ursprungspecificerad el ()",Miljö!$B$1:$J$1,0),FALSE))</f>
        <v>0</v>
      </c>
      <c r="AQ48" s="63">
        <f t="shared" si="1"/>
        <v>1</v>
      </c>
      <c r="AS48" s="63" t="str">
        <f t="shared" si="2"/>
        <v>Nej</v>
      </c>
      <c r="AT48" s="63" t="str">
        <f>IF(AS48="ja",VLOOKUP($B48,Miljö!$B$1:$P$500,MATCH("Fossil andel i procent (%)",Miljö!$B$1:$P$1,0),FALSE)/100,"")</f>
        <v/>
      </c>
      <c r="AV48" s="63" t="str">
        <f t="shared" si="3"/>
        <v>Nej</v>
      </c>
      <c r="AW48" s="63" t="str">
        <f>IF(AV48="ja",VLOOKUP($B48,'Egen hetvattenprod'!$B$1:$AO$500,MATCH("Värmekälla till värmepumpar ()",'Egen hetvattenprod'!$B$1:$AO$1,0),FALSE),"")</f>
        <v/>
      </c>
      <c r="AY48" s="63" t="str">
        <f t="shared" si="4"/>
        <v>Nej</v>
      </c>
      <c r="AZ48" s="77" t="str">
        <f>IF($AY48="ja",(VLOOKUP($B48,'Egen hetvattenprod'!$B$1:$BX$550,MATCH(AZ$2,'Egen hetvattenprod'!$B$1:$BX$1,0),FALSE)+VLOOKUP($B48,Kraftvärmeprod!$B$1:$BX$550,MATCH(AZ$2,Kraftvärmeprod!$B$1:$BX$1,0),FALSE))/$AC48,"")</f>
        <v/>
      </c>
      <c r="BA48" s="77" t="str">
        <f>IF($AY48="ja",(VLOOKUP($B48,'Egen hetvattenprod'!$B$1:$BX$550,MATCH(BA$2,'Egen hetvattenprod'!$B$1:$BX$1,0),FALSE)+VLOOKUP($B48,Kraftvärmeprod!$B$1:$BX$550,MATCH(BA$2,Kraftvärmeprod!$B$1:$BX$1,0),FALSE))/$AC48,"")</f>
        <v/>
      </c>
      <c r="BB48" s="77" t="str">
        <f>IF($AY48="ja",(VLOOKUP($B48,'Egen hetvattenprod'!$B$1:$BX$550,MATCH(BB$2,'Egen hetvattenprod'!$B$1:$BX$1,0),FALSE)+VLOOKUP($B48,Kraftvärmeprod!$B$1:$BX$550,MATCH(BB$2,Kraftvärmeprod!$B$1:$BX$1,0),FALSE))/$AC48,"")</f>
        <v/>
      </c>
      <c r="BC48" s="77" t="str">
        <f>IF($AY48="ja",(VLOOKUP($B48,'Egen hetvattenprod'!$B$1:$BX$550,MATCH(BC$2,'Egen hetvattenprod'!$B$1:$BX$1,0),FALSE)+VLOOKUP($B48,Kraftvärmeprod!$B$1:$BX$550,MATCH(BC$2,Kraftvärmeprod!$B$1:$BX$1,0),FALSE))/$AC48,"")</f>
        <v/>
      </c>
      <c r="BD48" s="77" t="str">
        <f>IF($AY48="ja",(VLOOKUP($B48,'Egen hetvattenprod'!$B$1:$BX$550,MATCH(BD$2,'Egen hetvattenprod'!$B$1:$BX$1,0),FALSE)+VLOOKUP($B48,Kraftvärmeprod!$B$1:$BX$550,MATCH(BD$2,Kraftvärmeprod!$B$1:$BX$1,0),FALSE))/$AC48,"")</f>
        <v/>
      </c>
      <c r="BF48" s="63" t="str">
        <f t="shared" si="5"/>
        <v>Nej</v>
      </c>
      <c r="BG48" s="63" t="str">
        <f>IF($BF48="ja",VLOOKUP($B48,'Egen hetvattenprod'!$B$1:$BX$550,MATCH("Andelen klimatgaser med fossilt ursprung för avfall ()",'Egen hetvattenprod'!$B$1:$BX$1,0),FALSE),"")</f>
        <v/>
      </c>
      <c r="BH48" s="63" t="str">
        <f>IF($BF48="ja",VLOOKUP($B48,Kraftvärmeprod!$B$1:$BX$550,MATCH("Andelen klimatgaser med fossilt ursprung för avfall ()",Kraftvärmeprod!$B$1:$BX$1,0),FALSE),"")</f>
        <v/>
      </c>
      <c r="BI48" s="63" t="str">
        <f>IF($BF48="ja",VLOOKUP($B48,'Egen hetvattenprod'!$B$1:$BX$550,MATCH("Avfall (GWh)",'Egen hetvattenprod'!$B$1:$BX$1,0),FALSE),"")</f>
        <v/>
      </c>
      <c r="BJ48" s="63" t="str">
        <f>IF($BF48="ja",VLOOKUP($B48,'Slutlig allokering kvv'!$B$1:$BX$550,MATCH("Avfall (GWh)",'Slutlig allokering kvv'!$B$1:$BX$1,0),FALSE),"")</f>
        <v/>
      </c>
      <c r="BK48" s="63" t="str">
        <f>IF($BF48="ja",VLOOKUP($B48,'Köpt hetvatten'!$B$1:$BX$550,MATCH("Avfall i köpt hetvatten",'Köpt hetvatten'!$B$1:$BX$1,0),FALSE),"")</f>
        <v/>
      </c>
      <c r="BL48" s="63" t="str">
        <f>IF($BF48="ja",VLOOKUP($B48,'Egen hetvattenprod'!$B$1:$BX$550,MATCH("Värde enligt ovan. (%)",'Egen hetvattenprod'!$B$1:$BX$1,0),FALSE),"")</f>
        <v/>
      </c>
      <c r="BM48" s="63" t="str">
        <f>IF($BF48="ja",VLOOKUP($B48,Kraftvärmeprod!$B$1:$BX$550,MATCH("Värde enligt ovan. (%)",Kraftvärmeprod!$B$1:$BX$1,0),FALSE),"")</f>
        <v/>
      </c>
    </row>
    <row r="49" spans="1:65" x14ac:dyDescent="0.45">
      <c r="A49" s="63" t="s">
        <v>631</v>
      </c>
      <c r="B49" s="63" t="s">
        <v>630</v>
      </c>
      <c r="C49" s="63">
        <f>VLOOKUP($B49,'Tillförd energi'!$B$1:$AI$720,MATCH(C$2,'Tillförd energi'!$B$1:$AQ$1,0),FALSE)</f>
        <v>0</v>
      </c>
      <c r="D49" s="63">
        <f>VLOOKUP($B49,'Tillförd energi'!$B$1:$AI$720,MATCH(D$2,'Tillförd energi'!$B$1:$AQ$1,0),FALSE)</f>
        <v>0.23708399999999999</v>
      </c>
      <c r="E49" s="63">
        <f>VLOOKUP($B49,'Tillförd energi'!$B$1:$AI$720,MATCH(E$2,'Tillförd energi'!$B$1:$AQ$1,0),FALSE)</f>
        <v>0</v>
      </c>
      <c r="F49" s="63">
        <f>VLOOKUP($B49,'Tillförd energi'!$B$1:$AI$720,MATCH(F$2,'Tillförd energi'!$B$1:$AQ$1,0),FALSE)</f>
        <v>0</v>
      </c>
      <c r="G49" s="63">
        <f>VLOOKUP($B49,'Tillförd energi'!$B$1:$AI$720,MATCH(G$2,'Tillförd energi'!$B$1:$AQ$1,0),FALSE)</f>
        <v>0</v>
      </c>
      <c r="H49" s="63">
        <f>VLOOKUP($B49,'Tillförd energi'!$B$1:$AI$720,MATCH(H$2,'Tillförd energi'!$B$1:$AQ$1,0),FALSE)</f>
        <v>0</v>
      </c>
      <c r="I49" s="63">
        <f>VLOOKUP($B49,'Tillförd energi'!$B$1:$AI$720,MATCH(I$2,'Tillförd energi'!$B$1:$AQ$1,0),FALSE)</f>
        <v>0</v>
      </c>
      <c r="J49" s="63">
        <f>VLOOKUP($B49,'Tillförd energi'!$B$1:$AI$720,MATCH(J$2,'Tillförd energi'!$B$1:$AQ$1,0),FALSE)</f>
        <v>16.295200000000001</v>
      </c>
      <c r="K49" s="63">
        <f>VLOOKUP($B49,'Tillförd energi'!$B$1:$AI$720,MATCH(K$2,'Tillförd energi'!$B$1:$AQ$1,0),FALSE)</f>
        <v>0</v>
      </c>
      <c r="L49" s="63">
        <f>VLOOKUP($B49,'Tillförd energi'!$B$1:$AI$720,MATCH(L$2,'Tillförd energi'!$B$1:$AQ$1,0),FALSE)</f>
        <v>0</v>
      </c>
      <c r="M49" s="63">
        <f>VLOOKUP($B49,'Tillförd energi'!$B$1:$AI$720,MATCH(M$2,'Tillförd energi'!$B$1:$AQ$1,0),FALSE)</f>
        <v>24.4909</v>
      </c>
      <c r="N49" s="63">
        <f>VLOOKUP($B49,'Tillförd energi'!$B$1:$AI$720,MATCH(N$2,'Tillförd energi'!$B$1:$AQ$1,0),FALSE)</f>
        <v>187.34299999999999</v>
      </c>
      <c r="O49" s="63">
        <f>VLOOKUP($B49,'Tillförd energi'!$B$1:$AI$720,MATCH(O$2,'Tillförd energi'!$B$1:$AQ$1,0),FALSE)</f>
        <v>0</v>
      </c>
      <c r="P49" s="63">
        <f>VLOOKUP($B49,'Tillförd energi'!$B$1:$AI$720,MATCH(P$2,'Tillförd energi'!$B$1:$AQ$1,0),FALSE)</f>
        <v>31.7301</v>
      </c>
      <c r="Q49" s="63">
        <f>VLOOKUP($B49,'Tillförd energi'!$B$1:$AI$720,MATCH(Q$2,'Tillförd energi'!$B$1:$AQ$1,0),FALSE)</f>
        <v>0.28106100000000001</v>
      </c>
      <c r="R49" s="63">
        <f>VLOOKUP($B49,'Tillförd energi'!$B$1:$AI$720,MATCH(R$2,'Tillförd energi'!$B$1:$AQ$1,0),FALSE)</f>
        <v>0</v>
      </c>
      <c r="S49" s="63">
        <f>VLOOKUP($B49,'Tillförd energi'!$B$1:$AI$720,MATCH(S$2,'Tillförd energi'!$B$1:$AQ$1,0),FALSE)</f>
        <v>0</v>
      </c>
      <c r="T49" s="63">
        <f>VLOOKUP($B49,'Tillförd energi'!$B$1:$AI$720,MATCH(T$2,'Tillförd energi'!$B$1:$AQ$1,0),FALSE)</f>
        <v>0</v>
      </c>
      <c r="U49" s="63">
        <f>VLOOKUP($B49,'Tillförd energi'!$B$1:$AI$720,MATCH(U$2,'Tillförd energi'!$B$1:$AQ$1,0),FALSE)</f>
        <v>0</v>
      </c>
      <c r="V49" s="63">
        <f>VLOOKUP($B49,'Tillförd energi'!$B$1:$AI$720,MATCH(V$2,'Tillförd energi'!$B$1:$AQ$1,0),FALSE)</f>
        <v>0</v>
      </c>
      <c r="W49" s="63">
        <f>VLOOKUP($B49,'Tillförd energi'!$B$1:$AI$720,MATCH(W$2,'Tillförd energi'!$B$1:$AQ$1,0),FALSE)</f>
        <v>17.946000000000002</v>
      </c>
      <c r="X49" s="63">
        <f>VLOOKUP($B49,'Tillförd energi'!$B$1:$AI$720,MATCH(X$2,'Tillförd energi'!$B$1:$AQ$1,0),FALSE)</f>
        <v>0</v>
      </c>
      <c r="Y49" s="63">
        <f>VLOOKUP($B49,'Tillförd energi'!$B$1:$AI$720,MATCH(Y$2,'Tillförd energi'!$B$1:$AQ$1,0),FALSE)</f>
        <v>0</v>
      </c>
      <c r="Z49" s="63">
        <f>VLOOKUP($B49,'Tillförd energi'!$B$1:$AI$720,MATCH(Z$2,'Tillförd energi'!$B$1:$AQ$1,0),FALSE)</f>
        <v>0</v>
      </c>
      <c r="AA49" s="63">
        <f>VLOOKUP($B49,'Tillförd energi'!$B$1:$AI$720,MATCH(AA$2,'Tillförd energi'!$B$1:$AQ$1,0),FALSE)</f>
        <v>0</v>
      </c>
      <c r="AB49" s="63">
        <f>VLOOKUP($B49,'Tillförd energi'!$B$1:$AI$720,MATCH(AB$2,'Tillförd energi'!$B$1:$AQ$1,0),FALSE)</f>
        <v>0</v>
      </c>
      <c r="AC49" s="63">
        <f>VLOOKUP($B49,'Tillförd energi'!$B$1:$AI$720,MATCH(AC$2,'Tillförd energi'!$B$1:$AQ$1,0),FALSE)</f>
        <v>80.335999999999999</v>
      </c>
      <c r="AD49" s="63">
        <f>VLOOKUP($B49,'Tillförd energi'!$B$1:$AI$720,MATCH(AD$2,'Tillförd energi'!$B$1:$AQ$1,0),FALSE)</f>
        <v>0.48099999999999998</v>
      </c>
      <c r="AE49" s="63">
        <f>VLOOKUP($B49,'Tillförd energi'!$B$1:$AI$720,MATCH(AE$2,'Tillförd energi'!$B$1:$AQ$1,0),FALSE)</f>
        <v>0</v>
      </c>
      <c r="AF49" s="63">
        <f>VLOOKUP($B49,'Tillförd energi'!$B$1:$AI$720,MATCH(AF$2,'Tillförd energi'!$B$1:$AQ$1,0),FALSE)</f>
        <v>10.459099999999999</v>
      </c>
      <c r="AG49" s="63">
        <f>IFERROR(VLOOKUP(B49,Miljö!$B$1:$AC$550,MATCH("Köpt mängd produktionsspecifik fjärrvärme:",Miljö!$B$1:$AC$1,0),FALSE)/1,0)</f>
        <v>0</v>
      </c>
      <c r="AI49" s="63">
        <f t="shared" si="0"/>
        <v>369.599445</v>
      </c>
      <c r="AJ49" s="63">
        <f>IF(ISERROR(1/VLOOKUP($B49,Leveranser!$B$1:$S$500,MATCH("såld värme (gwh)",Leveranser!$B$1:$S$1,0),FALSE)),"",VLOOKUP($B49,Leveranser!$B$1:$S$500,MATCH("såld värme (gwh)",Leveranser!$B$1:$S$1,0),FALSE))</f>
        <v>340.601</v>
      </c>
      <c r="AM49" s="63" t="str">
        <f>IF(B49&lt;&gt;"",IF(VLOOKUP($B49,Totalt!$B$1:$AQ$554,MATCH("Kvalitetsgranskad:",Totalt!$B$1:$AQ$1,0),FALSE)="ja",VLOOKUP($B49,Miljö!$B$1:$AG$479,MATCH(AM$2,Miljö!$B$1:$AK$1,0),FALSE),""),"")</f>
        <v>Ja</v>
      </c>
      <c r="AN49" s="63" t="str">
        <f>IF(AM49="ja",VLOOKUP($B49,Miljö!$B$1:$J$479,MATCH("Typ av ursprungsspecificerad el   (Om inget värde anges används Nordisk residualmix, se inforuta) ()",Miljö!$B$1:$J$1,0),FALSE),IF(AM49="nej","Nordisk residualel",""))</f>
        <v>'Egenproducerad grön 100%'</v>
      </c>
      <c r="AO49" s="63">
        <f>IF(AM49="","",VLOOKUP($B49,Miljö!$B$1:$J$479,MATCH("Fossilandel för ursprungspecificerad el ()",Miljö!$B$1:$J$1,0),FALSE))</f>
        <v>0</v>
      </c>
      <c r="AQ49" s="63">
        <f t="shared" si="1"/>
        <v>1</v>
      </c>
      <c r="AS49" s="63" t="str">
        <f t="shared" si="2"/>
        <v>Nej</v>
      </c>
      <c r="AT49" s="63" t="str">
        <f>IF(AS49="ja",VLOOKUP($B49,Miljö!$B$1:$P$500,MATCH("Fossil andel i procent (%)",Miljö!$B$1:$P$1,0),FALSE)/100,"")</f>
        <v/>
      </c>
      <c r="AV49" s="63" t="str">
        <f t="shared" si="3"/>
        <v>Nej</v>
      </c>
      <c r="AW49" s="63" t="str">
        <f>IF(AV49="ja",VLOOKUP($B49,'Egen hetvattenprod'!$B$1:$AO$500,MATCH("Värmekälla till värmepumpar ()",'Egen hetvattenprod'!$B$1:$AO$1,0),FALSE),"")</f>
        <v/>
      </c>
      <c r="AY49" s="63" t="str">
        <f t="shared" si="4"/>
        <v>Ja</v>
      </c>
      <c r="AZ49" s="77">
        <f>IF($AY49="ja",(VLOOKUP($B49,'Egen hetvattenprod'!$B$1:$BX$550,MATCH(AZ$2,'Egen hetvattenprod'!$B$1:$BX$1,0),FALSE)+VLOOKUP($B49,Kraftvärmeprod!$B$1:$BX$550,MATCH(AZ$2,Kraftvärmeprod!$B$1:$BX$1,0),FALSE))/$AC49,"")</f>
        <v>1</v>
      </c>
      <c r="BA49" s="77">
        <f>IF($AY49="ja",(VLOOKUP($B49,'Egen hetvattenprod'!$B$1:$BX$550,MATCH(BA$2,'Egen hetvattenprod'!$B$1:$BX$1,0),FALSE)+VLOOKUP($B49,Kraftvärmeprod!$B$1:$BX$550,MATCH(BA$2,Kraftvärmeprod!$B$1:$BX$1,0),FALSE))/$AC49,"")</f>
        <v>0</v>
      </c>
      <c r="BB49" s="77">
        <f>IF($AY49="ja",(VLOOKUP($B49,'Egen hetvattenprod'!$B$1:$BX$550,MATCH(BB$2,'Egen hetvattenprod'!$B$1:$BX$1,0),FALSE)+VLOOKUP($B49,Kraftvärmeprod!$B$1:$BX$550,MATCH(BB$2,Kraftvärmeprod!$B$1:$BX$1,0),FALSE))/$AC49,"")</f>
        <v>0</v>
      </c>
      <c r="BC49" s="77">
        <f>IF($AY49="ja",(VLOOKUP($B49,'Egen hetvattenprod'!$B$1:$BX$550,MATCH(BC$2,'Egen hetvattenprod'!$B$1:$BX$1,0),FALSE)+VLOOKUP($B49,Kraftvärmeprod!$B$1:$BX$550,MATCH(BC$2,Kraftvärmeprod!$B$1:$BX$1,0),FALSE))/$AC49,"")</f>
        <v>0</v>
      </c>
      <c r="BD49" s="77">
        <f>IF($AY49="ja",(VLOOKUP($B49,'Egen hetvattenprod'!$B$1:$BX$550,MATCH(BD$2,'Egen hetvattenprod'!$B$1:$BX$1,0),FALSE)+VLOOKUP($B49,Kraftvärmeprod!$B$1:$BX$550,MATCH(BD$2,Kraftvärmeprod!$B$1:$BX$1,0),FALSE))/$AC49,"")</f>
        <v>0</v>
      </c>
      <c r="BF49" s="63" t="str">
        <f t="shared" si="5"/>
        <v>Nej</v>
      </c>
      <c r="BG49" s="63" t="str">
        <f>IF($BF49="ja",VLOOKUP($B49,'Egen hetvattenprod'!$B$1:$BX$550,MATCH("Andelen klimatgaser med fossilt ursprung för avfall ()",'Egen hetvattenprod'!$B$1:$BX$1,0),FALSE),"")</f>
        <v/>
      </c>
      <c r="BH49" s="63" t="str">
        <f>IF($BF49="ja",VLOOKUP($B49,Kraftvärmeprod!$B$1:$BX$550,MATCH("Andelen klimatgaser med fossilt ursprung för avfall ()",Kraftvärmeprod!$B$1:$BX$1,0),FALSE),"")</f>
        <v/>
      </c>
      <c r="BI49" s="63" t="str">
        <f>IF($BF49="ja",VLOOKUP($B49,'Egen hetvattenprod'!$B$1:$BX$550,MATCH("Avfall (GWh)",'Egen hetvattenprod'!$B$1:$BX$1,0),FALSE),"")</f>
        <v/>
      </c>
      <c r="BJ49" s="63" t="str">
        <f>IF($BF49="ja",VLOOKUP($B49,'Slutlig allokering kvv'!$B$1:$BX$550,MATCH("Avfall (GWh)",'Slutlig allokering kvv'!$B$1:$BX$1,0),FALSE),"")</f>
        <v/>
      </c>
      <c r="BK49" s="63" t="str">
        <f>IF($BF49="ja",VLOOKUP($B49,'Köpt hetvatten'!$B$1:$BX$550,MATCH("Avfall i köpt hetvatten",'Köpt hetvatten'!$B$1:$BX$1,0),FALSE),"")</f>
        <v/>
      </c>
      <c r="BL49" s="63" t="str">
        <f>IF($BF49="ja",VLOOKUP($B49,'Egen hetvattenprod'!$B$1:$BX$550,MATCH("Värde enligt ovan. (%)",'Egen hetvattenprod'!$B$1:$BX$1,0),FALSE),"")</f>
        <v/>
      </c>
      <c r="BM49" s="63" t="str">
        <f>IF($BF49="ja",VLOOKUP($B49,Kraftvärmeprod!$B$1:$BX$550,MATCH("Värde enligt ovan. (%)",Kraftvärmeprod!$B$1:$BX$1,0),FALSE),"")</f>
        <v/>
      </c>
    </row>
    <row r="50" spans="1:65" x14ac:dyDescent="0.45">
      <c r="A50" s="63" t="s">
        <v>628</v>
      </c>
      <c r="B50" s="63" t="s">
        <v>629</v>
      </c>
      <c r="C50" s="63">
        <f>VLOOKUP($B50,'Tillförd energi'!$B$1:$AI$720,MATCH(C$2,'Tillförd energi'!$B$1:$AQ$1,0),FALSE)</f>
        <v>0</v>
      </c>
      <c r="D50" s="63">
        <f>VLOOKUP($B50,'Tillförd energi'!$B$1:$AI$720,MATCH(D$2,'Tillförd energi'!$B$1:$AQ$1,0),FALSE)</f>
        <v>0</v>
      </c>
      <c r="E50" s="63">
        <f>VLOOKUP($B50,'Tillförd energi'!$B$1:$AI$720,MATCH(E$2,'Tillförd energi'!$B$1:$AQ$1,0),FALSE)</f>
        <v>0</v>
      </c>
      <c r="F50" s="63">
        <f>VLOOKUP($B50,'Tillförd energi'!$B$1:$AI$720,MATCH(F$2,'Tillförd energi'!$B$1:$AQ$1,0),FALSE)</f>
        <v>0</v>
      </c>
      <c r="G50" s="63">
        <f>VLOOKUP($B50,'Tillförd energi'!$B$1:$AI$720,MATCH(G$2,'Tillförd energi'!$B$1:$AQ$1,0),FALSE)</f>
        <v>0</v>
      </c>
      <c r="H50" s="63">
        <f>VLOOKUP($B50,'Tillförd energi'!$B$1:$AI$720,MATCH(H$2,'Tillförd energi'!$B$1:$AQ$1,0),FALSE)</f>
        <v>0</v>
      </c>
      <c r="I50" s="63">
        <f>VLOOKUP($B50,'Tillförd energi'!$B$1:$AI$720,MATCH(I$2,'Tillförd energi'!$B$1:$AQ$1,0),FALSE)</f>
        <v>0</v>
      </c>
      <c r="J50" s="63">
        <f>VLOOKUP($B50,'Tillförd energi'!$B$1:$AI$720,MATCH(J$2,'Tillförd energi'!$B$1:$AQ$1,0),FALSE)</f>
        <v>0</v>
      </c>
      <c r="K50" s="63">
        <f>VLOOKUP($B50,'Tillförd energi'!$B$1:$AI$720,MATCH(K$2,'Tillförd energi'!$B$1:$AQ$1,0),FALSE)</f>
        <v>0</v>
      </c>
      <c r="L50" s="63">
        <f>VLOOKUP($B50,'Tillförd energi'!$B$1:$AI$720,MATCH(L$2,'Tillförd energi'!$B$1:$AQ$1,0),FALSE)</f>
        <v>0</v>
      </c>
      <c r="M50" s="63">
        <f>VLOOKUP($B50,'Tillförd energi'!$B$1:$AI$720,MATCH(M$2,'Tillförd energi'!$B$1:$AQ$1,0),FALSE)</f>
        <v>0</v>
      </c>
      <c r="N50" s="63">
        <f>VLOOKUP($B50,'Tillförd energi'!$B$1:$AI$720,MATCH(N$2,'Tillförd energi'!$B$1:$AQ$1,0),FALSE)</f>
        <v>0</v>
      </c>
      <c r="O50" s="63">
        <f>VLOOKUP($B50,'Tillförd energi'!$B$1:$AI$720,MATCH(O$2,'Tillförd energi'!$B$1:$AQ$1,0),FALSE)</f>
        <v>0</v>
      </c>
      <c r="P50" s="63">
        <f>VLOOKUP($B50,'Tillförd energi'!$B$1:$AI$720,MATCH(P$2,'Tillförd energi'!$B$1:$AQ$1,0),FALSE)</f>
        <v>0</v>
      </c>
      <c r="Q50" s="63">
        <f>VLOOKUP($B50,'Tillförd energi'!$B$1:$AI$720,MATCH(Q$2,'Tillförd energi'!$B$1:$AQ$1,0),FALSE)</f>
        <v>13.678000000000001</v>
      </c>
      <c r="R50" s="63">
        <f>VLOOKUP($B50,'Tillförd energi'!$B$1:$AI$720,MATCH(R$2,'Tillförd energi'!$B$1:$AQ$1,0),FALSE)</f>
        <v>0</v>
      </c>
      <c r="S50" s="63">
        <f>VLOOKUP($B50,'Tillförd energi'!$B$1:$AI$720,MATCH(S$2,'Tillförd energi'!$B$1:$AQ$1,0),FALSE)</f>
        <v>0</v>
      </c>
      <c r="T50" s="63">
        <f>VLOOKUP($B50,'Tillförd energi'!$B$1:$AI$720,MATCH(T$2,'Tillförd energi'!$B$1:$AQ$1,0),FALSE)</f>
        <v>0</v>
      </c>
      <c r="U50" s="63">
        <f>VLOOKUP($B50,'Tillförd energi'!$B$1:$AI$720,MATCH(U$2,'Tillförd energi'!$B$1:$AQ$1,0),FALSE)</f>
        <v>0</v>
      </c>
      <c r="V50" s="63">
        <f>VLOOKUP($B50,'Tillförd energi'!$B$1:$AI$720,MATCH(V$2,'Tillförd energi'!$B$1:$AQ$1,0),FALSE)</f>
        <v>0</v>
      </c>
      <c r="W50" s="63">
        <f>VLOOKUP($B50,'Tillförd energi'!$B$1:$AI$720,MATCH(W$2,'Tillförd energi'!$B$1:$AQ$1,0),FALSE)</f>
        <v>0</v>
      </c>
      <c r="X50" s="63">
        <f>VLOOKUP($B50,'Tillförd energi'!$B$1:$AI$720,MATCH(X$2,'Tillförd energi'!$B$1:$AQ$1,0),FALSE)</f>
        <v>0</v>
      </c>
      <c r="Y50" s="63">
        <f>VLOOKUP($B50,'Tillförd energi'!$B$1:$AI$720,MATCH(Y$2,'Tillförd energi'!$B$1:$AQ$1,0),FALSE)</f>
        <v>0</v>
      </c>
      <c r="Z50" s="63">
        <f>VLOOKUP($B50,'Tillförd energi'!$B$1:$AI$720,MATCH(Z$2,'Tillförd energi'!$B$1:$AQ$1,0),FALSE)</f>
        <v>0</v>
      </c>
      <c r="AA50" s="63">
        <f>VLOOKUP($B50,'Tillförd energi'!$B$1:$AI$720,MATCH(AA$2,'Tillförd energi'!$B$1:$AQ$1,0),FALSE)</f>
        <v>0</v>
      </c>
      <c r="AB50" s="63">
        <f>VLOOKUP($B50,'Tillförd energi'!$B$1:$AI$720,MATCH(AB$2,'Tillförd energi'!$B$1:$AQ$1,0),FALSE)</f>
        <v>0</v>
      </c>
      <c r="AC50" s="63">
        <f>VLOOKUP($B50,'Tillförd energi'!$B$1:$AI$720,MATCH(AC$2,'Tillförd energi'!$B$1:$AQ$1,0),FALSE)</f>
        <v>0</v>
      </c>
      <c r="AD50" s="63">
        <f>VLOOKUP($B50,'Tillförd energi'!$B$1:$AI$720,MATCH(AD$2,'Tillförd energi'!$B$1:$AQ$1,0),FALSE)</f>
        <v>0</v>
      </c>
      <c r="AE50" s="63">
        <f>VLOOKUP($B50,'Tillförd energi'!$B$1:$AI$720,MATCH(AE$2,'Tillförd energi'!$B$1:$AQ$1,0),FALSE)</f>
        <v>0</v>
      </c>
      <c r="AF50" s="63">
        <f>VLOOKUP($B50,'Tillförd energi'!$B$1:$AI$720,MATCH(AF$2,'Tillförd energi'!$B$1:$AQ$1,0),FALSE)</f>
        <v>2.8000000000000001E-2</v>
      </c>
      <c r="AG50" s="63">
        <f>IFERROR(VLOOKUP(B50,Miljö!$B$1:$AC$550,MATCH("Köpt mängd produktionsspecifik fjärrvärme:",Miljö!$B$1:$AC$1,0),FALSE)/1,0)</f>
        <v>0</v>
      </c>
      <c r="AI50" s="63">
        <f t="shared" si="0"/>
        <v>13.706000000000001</v>
      </c>
      <c r="AJ50" s="63">
        <f>IF(ISERROR(1/VLOOKUP($B50,Leveranser!$B$1:$S$500,MATCH("såld värme (gwh)",Leveranser!$B$1:$S$1,0),FALSE)),"",VLOOKUP($B50,Leveranser!$B$1:$S$500,MATCH("såld värme (gwh)",Leveranser!$B$1:$S$1,0),FALSE))</f>
        <v>9.0679999999999996</v>
      </c>
      <c r="AM50" s="63" t="str">
        <f>IF(B50&lt;&gt;"",IF(VLOOKUP($B50,Totalt!$B$1:$AQ$554,MATCH("Kvalitetsgranskad:",Totalt!$B$1:$AQ$1,0),FALSE)="ja",VLOOKUP($B50,Miljö!$B$1:$AG$479,MATCH(AM$2,Miljö!$B$1:$AK$1,0),FALSE),""),"")</f>
        <v>Ja</v>
      </c>
      <c r="AN50" s="63" t="str">
        <f>IF(AM50="ja",VLOOKUP($B50,Miljö!$B$1:$J$479,MATCH("Typ av ursprungsspecificerad el   (Om inget värde anges används Nordisk residualmix, se inforuta) ()",Miljö!$B$1:$J$1,0),FALSE),IF(AM50="nej","Nordisk residualel",""))</f>
        <v>'!00% förnybart från Dala Kraft'</v>
      </c>
      <c r="AO50" s="63">
        <f>IF(AM50="","",VLOOKUP($B50,Miljö!$B$1:$J$479,MATCH("Fossilandel för ursprungspecificerad el ()",Miljö!$B$1:$J$1,0),FALSE))</f>
        <v>0</v>
      </c>
      <c r="AQ50" s="63">
        <f t="shared" si="1"/>
        <v>1</v>
      </c>
      <c r="AS50" s="63" t="str">
        <f t="shared" si="2"/>
        <v>Nej</v>
      </c>
      <c r="AT50" s="63" t="str">
        <f>IF(AS50="ja",VLOOKUP($B50,Miljö!$B$1:$P$500,MATCH("Fossil andel i procent (%)",Miljö!$B$1:$P$1,0),FALSE)/100,"")</f>
        <v/>
      </c>
      <c r="AV50" s="63" t="str">
        <f t="shared" si="3"/>
        <v>Nej</v>
      </c>
      <c r="AW50" s="63" t="str">
        <f>IF(AV50="ja",VLOOKUP($B50,'Egen hetvattenprod'!$B$1:$AO$500,MATCH("Värmekälla till värmepumpar ()",'Egen hetvattenprod'!$B$1:$AO$1,0),FALSE),"")</f>
        <v/>
      </c>
      <c r="AY50" s="63" t="str">
        <f t="shared" si="4"/>
        <v>Nej</v>
      </c>
      <c r="AZ50" s="77" t="str">
        <f>IF($AY50="ja",(VLOOKUP($B50,'Egen hetvattenprod'!$B$1:$BX$550,MATCH(AZ$2,'Egen hetvattenprod'!$B$1:$BX$1,0),FALSE)+VLOOKUP($B50,Kraftvärmeprod!$B$1:$BX$550,MATCH(AZ$2,Kraftvärmeprod!$B$1:$BX$1,0),FALSE))/$AC50,"")</f>
        <v/>
      </c>
      <c r="BA50" s="77" t="str">
        <f>IF($AY50="ja",(VLOOKUP($B50,'Egen hetvattenprod'!$B$1:$BX$550,MATCH(BA$2,'Egen hetvattenprod'!$B$1:$BX$1,0),FALSE)+VLOOKUP($B50,Kraftvärmeprod!$B$1:$BX$550,MATCH(BA$2,Kraftvärmeprod!$B$1:$BX$1,0),FALSE))/$AC50,"")</f>
        <v/>
      </c>
      <c r="BB50" s="77" t="str">
        <f>IF($AY50="ja",(VLOOKUP($B50,'Egen hetvattenprod'!$B$1:$BX$550,MATCH(BB$2,'Egen hetvattenprod'!$B$1:$BX$1,0),FALSE)+VLOOKUP($B50,Kraftvärmeprod!$B$1:$BX$550,MATCH(BB$2,Kraftvärmeprod!$B$1:$BX$1,0),FALSE))/$AC50,"")</f>
        <v/>
      </c>
      <c r="BC50" s="77" t="str">
        <f>IF($AY50="ja",(VLOOKUP($B50,'Egen hetvattenprod'!$B$1:$BX$550,MATCH(BC$2,'Egen hetvattenprod'!$B$1:$BX$1,0),FALSE)+VLOOKUP($B50,Kraftvärmeprod!$B$1:$BX$550,MATCH(BC$2,Kraftvärmeprod!$B$1:$BX$1,0),FALSE))/$AC50,"")</f>
        <v/>
      </c>
      <c r="BD50" s="77" t="str">
        <f>IF($AY50="ja",(VLOOKUP($B50,'Egen hetvattenprod'!$B$1:$BX$550,MATCH(BD$2,'Egen hetvattenprod'!$B$1:$BX$1,0),FALSE)+VLOOKUP($B50,Kraftvärmeprod!$B$1:$BX$550,MATCH(BD$2,Kraftvärmeprod!$B$1:$BX$1,0),FALSE))/$AC50,"")</f>
        <v/>
      </c>
      <c r="BF50" s="63" t="str">
        <f t="shared" si="5"/>
        <v>Nej</v>
      </c>
      <c r="BG50" s="63" t="str">
        <f>IF($BF50="ja",VLOOKUP($B50,'Egen hetvattenprod'!$B$1:$BX$550,MATCH("Andelen klimatgaser med fossilt ursprung för avfall ()",'Egen hetvattenprod'!$B$1:$BX$1,0),FALSE),"")</f>
        <v/>
      </c>
      <c r="BH50" s="63" t="str">
        <f>IF($BF50="ja",VLOOKUP($B50,Kraftvärmeprod!$B$1:$BX$550,MATCH("Andelen klimatgaser med fossilt ursprung för avfall ()",Kraftvärmeprod!$B$1:$BX$1,0),FALSE),"")</f>
        <v/>
      </c>
      <c r="BI50" s="63" t="str">
        <f>IF($BF50="ja",VLOOKUP($B50,'Egen hetvattenprod'!$B$1:$BX$550,MATCH("Avfall (GWh)",'Egen hetvattenprod'!$B$1:$BX$1,0),FALSE),"")</f>
        <v/>
      </c>
      <c r="BJ50" s="63" t="str">
        <f>IF($BF50="ja",VLOOKUP($B50,'Slutlig allokering kvv'!$B$1:$BX$550,MATCH("Avfall (GWh)",'Slutlig allokering kvv'!$B$1:$BX$1,0),FALSE),"")</f>
        <v/>
      </c>
      <c r="BK50" s="63" t="str">
        <f>IF($BF50="ja",VLOOKUP($B50,'Köpt hetvatten'!$B$1:$BX$550,MATCH("Avfall i köpt hetvatten",'Köpt hetvatten'!$B$1:$BX$1,0),FALSE),"")</f>
        <v/>
      </c>
      <c r="BL50" s="63" t="str">
        <f>IF($BF50="ja",VLOOKUP($B50,'Egen hetvattenprod'!$B$1:$BX$550,MATCH("Värde enligt ovan. (%)",'Egen hetvattenprod'!$B$1:$BX$1,0),FALSE),"")</f>
        <v/>
      </c>
      <c r="BM50" s="63" t="str">
        <f>IF($BF50="ja",VLOOKUP($B50,Kraftvärmeprod!$B$1:$BX$550,MATCH("Värde enligt ovan. (%)",Kraftvärmeprod!$B$1:$BX$1,0),FALSE),"")</f>
        <v/>
      </c>
    </row>
    <row r="51" spans="1:65" x14ac:dyDescent="0.45">
      <c r="A51" s="63" t="s">
        <v>628</v>
      </c>
      <c r="B51" s="63" t="s">
        <v>627</v>
      </c>
      <c r="C51" s="63">
        <f>VLOOKUP($B51,'Tillförd energi'!$B$1:$AI$720,MATCH(C$2,'Tillförd energi'!$B$1:$AQ$1,0),FALSE)</f>
        <v>0</v>
      </c>
      <c r="D51" s="63">
        <f>VLOOKUP($B51,'Tillförd energi'!$B$1:$AI$720,MATCH(D$2,'Tillförd energi'!$B$1:$AQ$1,0),FALSE)</f>
        <v>7.9000000000000001E-2</v>
      </c>
      <c r="E51" s="63">
        <f>VLOOKUP($B51,'Tillförd energi'!$B$1:$AI$720,MATCH(E$2,'Tillförd energi'!$B$1:$AQ$1,0),FALSE)</f>
        <v>0</v>
      </c>
      <c r="F51" s="63">
        <f>VLOOKUP($B51,'Tillförd energi'!$B$1:$AI$720,MATCH(F$2,'Tillförd energi'!$B$1:$AQ$1,0),FALSE)</f>
        <v>0</v>
      </c>
      <c r="G51" s="63">
        <f>VLOOKUP($B51,'Tillförd energi'!$B$1:$AI$720,MATCH(G$2,'Tillförd energi'!$B$1:$AQ$1,0),FALSE)</f>
        <v>0</v>
      </c>
      <c r="H51" s="63">
        <f>VLOOKUP($B51,'Tillförd energi'!$B$1:$AI$720,MATCH(H$2,'Tillförd energi'!$B$1:$AQ$1,0),FALSE)</f>
        <v>0</v>
      </c>
      <c r="I51" s="63">
        <f>VLOOKUP($B51,'Tillförd energi'!$B$1:$AI$720,MATCH(I$2,'Tillförd energi'!$B$1:$AQ$1,0),FALSE)</f>
        <v>0</v>
      </c>
      <c r="J51" s="63">
        <f>VLOOKUP($B51,'Tillförd energi'!$B$1:$AI$720,MATCH(J$2,'Tillförd energi'!$B$1:$AQ$1,0),FALSE)</f>
        <v>0</v>
      </c>
      <c r="K51" s="63">
        <f>VLOOKUP($B51,'Tillförd energi'!$B$1:$AI$720,MATCH(K$2,'Tillförd energi'!$B$1:$AQ$1,0),FALSE)</f>
        <v>0</v>
      </c>
      <c r="L51" s="63">
        <f>VLOOKUP($B51,'Tillförd energi'!$B$1:$AI$720,MATCH(L$2,'Tillförd energi'!$B$1:$AQ$1,0),FALSE)</f>
        <v>0</v>
      </c>
      <c r="M51" s="63">
        <f>VLOOKUP($B51,'Tillförd energi'!$B$1:$AI$720,MATCH(M$2,'Tillförd energi'!$B$1:$AQ$1,0),FALSE)</f>
        <v>3.2719999999999998</v>
      </c>
      <c r="N51" s="63">
        <f>VLOOKUP($B51,'Tillförd energi'!$B$1:$AI$720,MATCH(N$2,'Tillförd energi'!$B$1:$AQ$1,0),FALSE)</f>
        <v>24.908999999999999</v>
      </c>
      <c r="O51" s="63">
        <f>VLOOKUP($B51,'Tillförd energi'!$B$1:$AI$720,MATCH(O$2,'Tillförd energi'!$B$1:$AQ$1,0),FALSE)</f>
        <v>0</v>
      </c>
      <c r="P51" s="63">
        <f>VLOOKUP($B51,'Tillförd energi'!$B$1:$AI$720,MATCH(P$2,'Tillförd energi'!$B$1:$AQ$1,0),FALSE)</f>
        <v>8.9049999999999994</v>
      </c>
      <c r="Q51" s="63">
        <f>VLOOKUP($B51,'Tillförd energi'!$B$1:$AI$720,MATCH(Q$2,'Tillförd energi'!$B$1:$AQ$1,0),FALSE)</f>
        <v>0</v>
      </c>
      <c r="R51" s="63">
        <f>VLOOKUP($B51,'Tillförd energi'!$B$1:$AI$720,MATCH(R$2,'Tillförd energi'!$B$1:$AQ$1,0),FALSE)</f>
        <v>0</v>
      </c>
      <c r="S51" s="63">
        <f>VLOOKUP($B51,'Tillförd energi'!$B$1:$AI$720,MATCH(S$2,'Tillförd energi'!$B$1:$AQ$1,0),FALSE)</f>
        <v>0</v>
      </c>
      <c r="T51" s="63">
        <f>VLOOKUP($B51,'Tillförd energi'!$B$1:$AI$720,MATCH(T$2,'Tillförd energi'!$B$1:$AQ$1,0),FALSE)</f>
        <v>0</v>
      </c>
      <c r="U51" s="63">
        <f>VLOOKUP($B51,'Tillförd energi'!$B$1:$AI$720,MATCH(U$2,'Tillförd energi'!$B$1:$AQ$1,0),FALSE)</f>
        <v>0</v>
      </c>
      <c r="V51" s="63">
        <f>VLOOKUP($B51,'Tillförd energi'!$B$1:$AI$720,MATCH(V$2,'Tillförd energi'!$B$1:$AQ$1,0),FALSE)</f>
        <v>0</v>
      </c>
      <c r="W51" s="63">
        <f>VLOOKUP($B51,'Tillförd energi'!$B$1:$AI$720,MATCH(W$2,'Tillförd energi'!$B$1:$AQ$1,0),FALSE)</f>
        <v>0</v>
      </c>
      <c r="X51" s="63">
        <f>VLOOKUP($B51,'Tillförd energi'!$B$1:$AI$720,MATCH(X$2,'Tillförd energi'!$B$1:$AQ$1,0),FALSE)</f>
        <v>0</v>
      </c>
      <c r="Y51" s="63">
        <f>VLOOKUP($B51,'Tillförd energi'!$B$1:$AI$720,MATCH(Y$2,'Tillförd energi'!$B$1:$AQ$1,0),FALSE)</f>
        <v>0</v>
      </c>
      <c r="Z51" s="63">
        <f>VLOOKUP($B51,'Tillförd energi'!$B$1:$AI$720,MATCH(Z$2,'Tillförd energi'!$B$1:$AQ$1,0),FALSE)</f>
        <v>0</v>
      </c>
      <c r="AA51" s="63">
        <f>VLOOKUP($B51,'Tillförd energi'!$B$1:$AI$720,MATCH(AA$2,'Tillförd energi'!$B$1:$AQ$1,0),FALSE)</f>
        <v>0</v>
      </c>
      <c r="AB51" s="63">
        <f>VLOOKUP($B51,'Tillförd energi'!$B$1:$AI$720,MATCH(AB$2,'Tillförd energi'!$B$1:$AQ$1,0),FALSE)</f>
        <v>0</v>
      </c>
      <c r="AC51" s="63">
        <f>VLOOKUP($B51,'Tillförd energi'!$B$1:$AI$720,MATCH(AC$2,'Tillförd energi'!$B$1:$AQ$1,0),FALSE)</f>
        <v>0</v>
      </c>
      <c r="AD51" s="63">
        <f>VLOOKUP($B51,'Tillförd energi'!$B$1:$AI$720,MATCH(AD$2,'Tillförd energi'!$B$1:$AQ$1,0),FALSE)</f>
        <v>0</v>
      </c>
      <c r="AE51" s="63">
        <f>VLOOKUP($B51,'Tillförd energi'!$B$1:$AI$720,MATCH(AE$2,'Tillförd energi'!$B$1:$AQ$1,0),FALSE)</f>
        <v>0</v>
      </c>
      <c r="AF51" s="63">
        <f>VLOOKUP($B51,'Tillförd energi'!$B$1:$AI$720,MATCH(AF$2,'Tillförd energi'!$B$1:$AQ$1,0),FALSE)</f>
        <v>1.1060000000000001</v>
      </c>
      <c r="AG51" s="63">
        <f>IFERROR(VLOOKUP(B51,Miljö!$B$1:$AC$550,MATCH("Köpt mängd produktionsspecifik fjärrvärme:",Miljö!$B$1:$AC$1,0),FALSE)/1,0)</f>
        <v>0</v>
      </c>
      <c r="AI51" s="63">
        <f t="shared" si="0"/>
        <v>38.271000000000001</v>
      </c>
      <c r="AJ51" s="63">
        <f>IF(ISERROR(1/VLOOKUP($B51,Leveranser!$B$1:$S$500,MATCH("såld värme (gwh)",Leveranser!$B$1:$S$1,0),FALSE)),"",VLOOKUP($B51,Leveranser!$B$1:$S$500,MATCH("såld värme (gwh)",Leveranser!$B$1:$S$1,0),FALSE))</f>
        <v>32.793999999999997</v>
      </c>
      <c r="AM51" s="63" t="str">
        <f>IF(B51&lt;&gt;"",IF(VLOOKUP($B51,Totalt!$B$1:$AQ$554,MATCH("Kvalitetsgranskad:",Totalt!$B$1:$AQ$1,0),FALSE)="ja",VLOOKUP($B51,Miljö!$B$1:$AG$479,MATCH(AM$2,Miljö!$B$1:$AK$1,0),FALSE),""),"")</f>
        <v>Ja</v>
      </c>
      <c r="AN51" s="63" t="str">
        <f>IF(AM51="ja",VLOOKUP($B51,Miljö!$B$1:$J$479,MATCH("Typ av ursprungsspecificerad el   (Om inget värde anges används Nordisk residualmix, se inforuta) ()",Miljö!$B$1:$J$1,0),FALSE),IF(AM51="nej","Nordisk residualel",""))</f>
        <v>'100% förnybar el från Dala Kraft'</v>
      </c>
      <c r="AO51" s="63">
        <f>IF(AM51="","",VLOOKUP($B51,Miljö!$B$1:$J$479,MATCH("Fossilandel för ursprungspecificerad el ()",Miljö!$B$1:$J$1,0),FALSE))</f>
        <v>0</v>
      </c>
      <c r="AQ51" s="63">
        <f t="shared" si="1"/>
        <v>1</v>
      </c>
      <c r="AS51" s="63" t="str">
        <f t="shared" si="2"/>
        <v>Nej</v>
      </c>
      <c r="AT51" s="63" t="str">
        <f>IF(AS51="ja",VLOOKUP($B51,Miljö!$B$1:$P$500,MATCH("Fossil andel i procent (%)",Miljö!$B$1:$P$1,0),FALSE)/100,"")</f>
        <v/>
      </c>
      <c r="AV51" s="63" t="str">
        <f t="shared" si="3"/>
        <v>Nej</v>
      </c>
      <c r="AW51" s="63" t="str">
        <f>IF(AV51="ja",VLOOKUP($B51,'Egen hetvattenprod'!$B$1:$AO$500,MATCH("Värmekälla till värmepumpar ()",'Egen hetvattenprod'!$B$1:$AO$1,0),FALSE),"")</f>
        <v/>
      </c>
      <c r="AY51" s="63" t="str">
        <f t="shared" si="4"/>
        <v>Nej</v>
      </c>
      <c r="AZ51" s="77" t="str">
        <f>IF($AY51="ja",(VLOOKUP($B51,'Egen hetvattenprod'!$B$1:$BX$550,MATCH(AZ$2,'Egen hetvattenprod'!$B$1:$BX$1,0),FALSE)+VLOOKUP($B51,Kraftvärmeprod!$B$1:$BX$550,MATCH(AZ$2,Kraftvärmeprod!$B$1:$BX$1,0),FALSE))/$AC51,"")</f>
        <v/>
      </c>
      <c r="BA51" s="77" t="str">
        <f>IF($AY51="ja",(VLOOKUP($B51,'Egen hetvattenprod'!$B$1:$BX$550,MATCH(BA$2,'Egen hetvattenprod'!$B$1:$BX$1,0),FALSE)+VLOOKUP($B51,Kraftvärmeprod!$B$1:$BX$550,MATCH(BA$2,Kraftvärmeprod!$B$1:$BX$1,0),FALSE))/$AC51,"")</f>
        <v/>
      </c>
      <c r="BB51" s="77" t="str">
        <f>IF($AY51="ja",(VLOOKUP($B51,'Egen hetvattenprod'!$B$1:$BX$550,MATCH(BB$2,'Egen hetvattenprod'!$B$1:$BX$1,0),FALSE)+VLOOKUP($B51,Kraftvärmeprod!$B$1:$BX$550,MATCH(BB$2,Kraftvärmeprod!$B$1:$BX$1,0),FALSE))/$AC51,"")</f>
        <v/>
      </c>
      <c r="BC51" s="77" t="str">
        <f>IF($AY51="ja",(VLOOKUP($B51,'Egen hetvattenprod'!$B$1:$BX$550,MATCH(BC$2,'Egen hetvattenprod'!$B$1:$BX$1,0),FALSE)+VLOOKUP($B51,Kraftvärmeprod!$B$1:$BX$550,MATCH(BC$2,Kraftvärmeprod!$B$1:$BX$1,0),FALSE))/$AC51,"")</f>
        <v/>
      </c>
      <c r="BD51" s="77" t="str">
        <f>IF($AY51="ja",(VLOOKUP($B51,'Egen hetvattenprod'!$B$1:$BX$550,MATCH(BD$2,'Egen hetvattenprod'!$B$1:$BX$1,0),FALSE)+VLOOKUP($B51,Kraftvärmeprod!$B$1:$BX$550,MATCH(BD$2,Kraftvärmeprod!$B$1:$BX$1,0),FALSE))/$AC51,"")</f>
        <v/>
      </c>
      <c r="BF51" s="63" t="str">
        <f t="shared" si="5"/>
        <v>Nej</v>
      </c>
      <c r="BG51" s="63" t="str">
        <f>IF($BF51="ja",VLOOKUP($B51,'Egen hetvattenprod'!$B$1:$BX$550,MATCH("Andelen klimatgaser med fossilt ursprung för avfall ()",'Egen hetvattenprod'!$B$1:$BX$1,0),FALSE),"")</f>
        <v/>
      </c>
      <c r="BH51" s="63" t="str">
        <f>IF($BF51="ja",VLOOKUP($B51,Kraftvärmeprod!$B$1:$BX$550,MATCH("Andelen klimatgaser med fossilt ursprung för avfall ()",Kraftvärmeprod!$B$1:$BX$1,0),FALSE),"")</f>
        <v/>
      </c>
      <c r="BI51" s="63" t="str">
        <f>IF($BF51="ja",VLOOKUP($B51,'Egen hetvattenprod'!$B$1:$BX$550,MATCH("Avfall (GWh)",'Egen hetvattenprod'!$B$1:$BX$1,0),FALSE),"")</f>
        <v/>
      </c>
      <c r="BJ51" s="63" t="str">
        <f>IF($BF51="ja",VLOOKUP($B51,'Slutlig allokering kvv'!$B$1:$BX$550,MATCH("Avfall (GWh)",'Slutlig allokering kvv'!$B$1:$BX$1,0),FALSE),"")</f>
        <v/>
      </c>
      <c r="BK51" s="63" t="str">
        <f>IF($BF51="ja",VLOOKUP($B51,'Köpt hetvatten'!$B$1:$BX$550,MATCH("Avfall i köpt hetvatten",'Köpt hetvatten'!$B$1:$BX$1,0),FALSE),"")</f>
        <v/>
      </c>
      <c r="BL51" s="63" t="str">
        <f>IF($BF51="ja",VLOOKUP($B51,'Egen hetvattenprod'!$B$1:$BX$550,MATCH("Värde enligt ovan. (%)",'Egen hetvattenprod'!$B$1:$BX$1,0),FALSE),"")</f>
        <v/>
      </c>
      <c r="BM51" s="63" t="str">
        <f>IF($BF51="ja",VLOOKUP($B51,Kraftvärmeprod!$B$1:$BX$550,MATCH("Värde enligt ovan. (%)",Kraftvärmeprod!$B$1:$BX$1,0),FALSE),"")</f>
        <v/>
      </c>
    </row>
    <row r="52" spans="1:65" x14ac:dyDescent="0.45">
      <c r="A52" s="63" t="s">
        <v>623</v>
      </c>
      <c r="B52" s="63" t="s">
        <v>626</v>
      </c>
      <c r="C52" s="63">
        <f>VLOOKUP($B52,'Tillförd energi'!$B$1:$AI$720,MATCH(C$2,'Tillförd energi'!$B$1:$AQ$1,0),FALSE)</f>
        <v>0</v>
      </c>
      <c r="D52" s="63">
        <f>VLOOKUP($B52,'Tillförd energi'!$B$1:$AI$720,MATCH(D$2,'Tillförd energi'!$B$1:$AQ$1,0),FALSE)</f>
        <v>1.4999999999999999E-2</v>
      </c>
      <c r="E52" s="63">
        <f>VLOOKUP($B52,'Tillförd energi'!$B$1:$AI$720,MATCH(E$2,'Tillförd energi'!$B$1:$AQ$1,0),FALSE)</f>
        <v>0</v>
      </c>
      <c r="F52" s="63">
        <f>VLOOKUP($B52,'Tillförd energi'!$B$1:$AI$720,MATCH(F$2,'Tillförd energi'!$B$1:$AQ$1,0),FALSE)</f>
        <v>0</v>
      </c>
      <c r="G52" s="63">
        <f>VLOOKUP($B52,'Tillförd energi'!$B$1:$AI$720,MATCH(G$2,'Tillförd energi'!$B$1:$AQ$1,0),FALSE)</f>
        <v>0</v>
      </c>
      <c r="H52" s="63">
        <f>VLOOKUP($B52,'Tillförd energi'!$B$1:$AI$720,MATCH(H$2,'Tillförd energi'!$B$1:$AQ$1,0),FALSE)</f>
        <v>0</v>
      </c>
      <c r="I52" s="63">
        <f>VLOOKUP($B52,'Tillförd energi'!$B$1:$AI$720,MATCH(I$2,'Tillförd energi'!$B$1:$AQ$1,0),FALSE)</f>
        <v>0</v>
      </c>
      <c r="J52" s="63">
        <f>VLOOKUP($B52,'Tillförd energi'!$B$1:$AI$720,MATCH(J$2,'Tillförd energi'!$B$1:$AQ$1,0),FALSE)</f>
        <v>0</v>
      </c>
      <c r="K52" s="63">
        <f>VLOOKUP($B52,'Tillförd energi'!$B$1:$AI$720,MATCH(K$2,'Tillförd energi'!$B$1:$AQ$1,0),FALSE)</f>
        <v>0</v>
      </c>
      <c r="L52" s="63">
        <f>VLOOKUP($B52,'Tillförd energi'!$B$1:$AI$720,MATCH(L$2,'Tillförd energi'!$B$1:$AQ$1,0),FALSE)</f>
        <v>0</v>
      </c>
      <c r="M52" s="63">
        <f>VLOOKUP($B52,'Tillförd energi'!$B$1:$AI$720,MATCH(M$2,'Tillförd energi'!$B$1:$AQ$1,0),FALSE)</f>
        <v>14.112</v>
      </c>
      <c r="N52" s="63">
        <f>VLOOKUP($B52,'Tillförd energi'!$B$1:$AI$720,MATCH(N$2,'Tillförd energi'!$B$1:$AQ$1,0),FALSE)</f>
        <v>1.6135999999999999</v>
      </c>
      <c r="O52" s="63">
        <f>VLOOKUP($B52,'Tillförd energi'!$B$1:$AI$720,MATCH(O$2,'Tillförd energi'!$B$1:$AQ$1,0),FALSE)</f>
        <v>0</v>
      </c>
      <c r="P52" s="63">
        <f>VLOOKUP($B52,'Tillförd energi'!$B$1:$AI$720,MATCH(P$2,'Tillförd energi'!$B$1:$AQ$1,0),FALSE)</f>
        <v>19.321999999999999</v>
      </c>
      <c r="Q52" s="63">
        <f>VLOOKUP($B52,'Tillförd energi'!$B$1:$AI$720,MATCH(Q$2,'Tillförd energi'!$B$1:$AQ$1,0),FALSE)</f>
        <v>0</v>
      </c>
      <c r="R52" s="63">
        <f>VLOOKUP($B52,'Tillförd energi'!$B$1:$AI$720,MATCH(R$2,'Tillförd energi'!$B$1:$AQ$1,0),FALSE)</f>
        <v>9.6000000000000002E-2</v>
      </c>
      <c r="S52" s="63">
        <f>VLOOKUP($B52,'Tillförd energi'!$B$1:$AI$720,MATCH(S$2,'Tillförd energi'!$B$1:$AQ$1,0),FALSE)</f>
        <v>7.1639999999999997</v>
      </c>
      <c r="T52" s="63">
        <f>VLOOKUP($B52,'Tillförd energi'!$B$1:$AI$720,MATCH(T$2,'Tillförd energi'!$B$1:$AQ$1,0),FALSE)</f>
        <v>0</v>
      </c>
      <c r="U52" s="63">
        <f>VLOOKUP($B52,'Tillförd energi'!$B$1:$AI$720,MATCH(U$2,'Tillförd energi'!$B$1:$AQ$1,0),FALSE)</f>
        <v>0</v>
      </c>
      <c r="V52" s="63">
        <f>VLOOKUP($B52,'Tillförd energi'!$B$1:$AI$720,MATCH(V$2,'Tillförd energi'!$B$1:$AQ$1,0),FALSE)</f>
        <v>0</v>
      </c>
      <c r="W52" s="63">
        <f>VLOOKUP($B52,'Tillförd energi'!$B$1:$AI$720,MATCH(W$2,'Tillförd energi'!$B$1:$AQ$1,0),FALSE)</f>
        <v>0</v>
      </c>
      <c r="X52" s="63">
        <f>VLOOKUP($B52,'Tillförd energi'!$B$1:$AI$720,MATCH(X$2,'Tillförd energi'!$B$1:$AQ$1,0),FALSE)</f>
        <v>0</v>
      </c>
      <c r="Y52" s="63">
        <f>VLOOKUP($B52,'Tillförd energi'!$B$1:$AI$720,MATCH(Y$2,'Tillförd energi'!$B$1:$AQ$1,0),FALSE)</f>
        <v>0</v>
      </c>
      <c r="Z52" s="63">
        <f>VLOOKUP($B52,'Tillförd energi'!$B$1:$AI$720,MATCH(Z$2,'Tillförd energi'!$B$1:$AQ$1,0),FALSE)</f>
        <v>0</v>
      </c>
      <c r="AA52" s="63">
        <f>VLOOKUP($B52,'Tillförd energi'!$B$1:$AI$720,MATCH(AA$2,'Tillförd energi'!$B$1:$AQ$1,0),FALSE)</f>
        <v>0</v>
      </c>
      <c r="AB52" s="63">
        <f>VLOOKUP($B52,'Tillförd energi'!$B$1:$AI$720,MATCH(AB$2,'Tillförd energi'!$B$1:$AQ$1,0),FALSE)</f>
        <v>0</v>
      </c>
      <c r="AC52" s="63">
        <f>VLOOKUP($B52,'Tillförd energi'!$B$1:$AI$720,MATCH(AC$2,'Tillförd energi'!$B$1:$AQ$1,0),FALSE)</f>
        <v>7.51</v>
      </c>
      <c r="AD52" s="63">
        <f>VLOOKUP($B52,'Tillförd energi'!$B$1:$AI$720,MATCH(AD$2,'Tillförd energi'!$B$1:$AQ$1,0),FALSE)</f>
        <v>0</v>
      </c>
      <c r="AE52" s="63">
        <f>VLOOKUP($B52,'Tillförd energi'!$B$1:$AI$720,MATCH(AE$2,'Tillförd energi'!$B$1:$AQ$1,0),FALSE)</f>
        <v>0</v>
      </c>
      <c r="AF52" s="63">
        <f>VLOOKUP($B52,'Tillförd energi'!$B$1:$AI$720,MATCH(AF$2,'Tillförd energi'!$B$1:$AQ$1,0),FALSE)</f>
        <v>0.70299999999999996</v>
      </c>
      <c r="AG52" s="63">
        <f>IFERROR(VLOOKUP(B52,Miljö!$B$1:$AC$550,MATCH("Köpt mängd produktionsspecifik fjärrvärme:",Miljö!$B$1:$AC$1,0),FALSE)/1,0)</f>
        <v>0</v>
      </c>
      <c r="AI52" s="63">
        <f t="shared" si="0"/>
        <v>50.535600000000002</v>
      </c>
      <c r="AJ52" s="63">
        <f>IF(ISERROR(1/VLOOKUP($B52,Leveranser!$B$1:$S$500,MATCH("såld värme (gwh)",Leveranser!$B$1:$S$1,0),FALSE)),"",VLOOKUP($B52,Leveranser!$B$1:$S$500,MATCH("såld värme (gwh)",Leveranser!$B$1:$S$1,0),FALSE))</f>
        <v>35.67</v>
      </c>
      <c r="AM52" s="63" t="str">
        <f>IF(B52&lt;&gt;"",IF(VLOOKUP($B52,Totalt!$B$1:$AQ$554,MATCH("Kvalitetsgranskad:",Totalt!$B$1:$AQ$1,0),FALSE)="ja",VLOOKUP($B52,Miljö!$B$1:$AG$479,MATCH(AM$2,Miljö!$B$1:$AK$1,0),FALSE),""),"")</f>
        <v>Ja</v>
      </c>
      <c r="AN52" s="63" t="str">
        <f>IF(AM52="ja",VLOOKUP($B52,Miljö!$B$1:$J$479,MATCH("Typ av ursprungsspecificerad el   (Om inget värde anges används Nordisk residualmix, se inforuta) ()",Miljö!$B$1:$J$1,0),FALSE),IF(AM52="nej","Nordisk residualel",""))</f>
        <v>'Vattenkraft'</v>
      </c>
      <c r="AO52" s="63">
        <f>IF(AM52="","",VLOOKUP($B52,Miljö!$B$1:$J$479,MATCH("Fossilandel för ursprungspecificerad el ()",Miljö!$B$1:$J$1,0),FALSE))</f>
        <v>0</v>
      </c>
      <c r="AQ52" s="63">
        <f t="shared" si="1"/>
        <v>1</v>
      </c>
      <c r="AS52" s="63" t="str">
        <f t="shared" si="2"/>
        <v>Nej</v>
      </c>
      <c r="AT52" s="63" t="str">
        <f>IF(AS52="ja",VLOOKUP($B52,Miljö!$B$1:$P$500,MATCH("Fossil andel i procent (%)",Miljö!$B$1:$P$1,0),FALSE)/100,"")</f>
        <v/>
      </c>
      <c r="AV52" s="63" t="str">
        <f t="shared" si="3"/>
        <v>Nej</v>
      </c>
      <c r="AW52" s="63" t="str">
        <f>IF(AV52="ja",VLOOKUP($B52,'Egen hetvattenprod'!$B$1:$AO$500,MATCH("Värmekälla till värmepumpar ()",'Egen hetvattenprod'!$B$1:$AO$1,0),FALSE),"")</f>
        <v/>
      </c>
      <c r="AY52" s="63" t="str">
        <f t="shared" si="4"/>
        <v>Ja</v>
      </c>
      <c r="AZ52" s="77">
        <f>IF($AY52="ja",(VLOOKUP($B52,'Egen hetvattenprod'!$B$1:$BX$550,MATCH(AZ$2,'Egen hetvattenprod'!$B$1:$BX$1,0),FALSE)+VLOOKUP($B52,Kraftvärmeprod!$B$1:$BX$550,MATCH(AZ$2,Kraftvärmeprod!$B$1:$BX$1,0),FALSE))/$AC52,"")</f>
        <v>1</v>
      </c>
      <c r="BA52" s="77">
        <f>IF($AY52="ja",(VLOOKUP($B52,'Egen hetvattenprod'!$B$1:$BX$550,MATCH(BA$2,'Egen hetvattenprod'!$B$1:$BX$1,0),FALSE)+VLOOKUP($B52,Kraftvärmeprod!$B$1:$BX$550,MATCH(BA$2,Kraftvärmeprod!$B$1:$BX$1,0),FALSE))/$AC52,"")</f>
        <v>0</v>
      </c>
      <c r="BB52" s="77">
        <f>IF($AY52="ja",(VLOOKUP($B52,'Egen hetvattenprod'!$B$1:$BX$550,MATCH(BB$2,'Egen hetvattenprod'!$B$1:$BX$1,0),FALSE)+VLOOKUP($B52,Kraftvärmeprod!$B$1:$BX$550,MATCH(BB$2,Kraftvärmeprod!$B$1:$BX$1,0),FALSE))/$AC52,"")</f>
        <v>0</v>
      </c>
      <c r="BC52" s="77">
        <f>IF($AY52="ja",(VLOOKUP($B52,'Egen hetvattenprod'!$B$1:$BX$550,MATCH(BC$2,'Egen hetvattenprod'!$B$1:$BX$1,0),FALSE)+VLOOKUP($B52,Kraftvärmeprod!$B$1:$BX$550,MATCH(BC$2,Kraftvärmeprod!$B$1:$BX$1,0),FALSE))/$AC52,"")</f>
        <v>0</v>
      </c>
      <c r="BD52" s="77">
        <f>IF($AY52="ja",(VLOOKUP($B52,'Egen hetvattenprod'!$B$1:$BX$550,MATCH(BD$2,'Egen hetvattenprod'!$B$1:$BX$1,0),FALSE)+VLOOKUP($B52,Kraftvärmeprod!$B$1:$BX$550,MATCH(BD$2,Kraftvärmeprod!$B$1:$BX$1,0),FALSE))/$AC52,"")</f>
        <v>0</v>
      </c>
      <c r="BF52" s="63" t="str">
        <f t="shared" si="5"/>
        <v>Nej</v>
      </c>
      <c r="BG52" s="63" t="str">
        <f>IF($BF52="ja",VLOOKUP($B52,'Egen hetvattenprod'!$B$1:$BX$550,MATCH("Andelen klimatgaser med fossilt ursprung för avfall ()",'Egen hetvattenprod'!$B$1:$BX$1,0),FALSE),"")</f>
        <v/>
      </c>
      <c r="BH52" s="63" t="str">
        <f>IF($BF52="ja",VLOOKUP($B52,Kraftvärmeprod!$B$1:$BX$550,MATCH("Andelen klimatgaser med fossilt ursprung för avfall ()",Kraftvärmeprod!$B$1:$BX$1,0),FALSE),"")</f>
        <v/>
      </c>
      <c r="BI52" s="63" t="str">
        <f>IF($BF52="ja",VLOOKUP($B52,'Egen hetvattenprod'!$B$1:$BX$550,MATCH("Avfall (GWh)",'Egen hetvattenprod'!$B$1:$BX$1,0),FALSE),"")</f>
        <v/>
      </c>
      <c r="BJ52" s="63" t="str">
        <f>IF($BF52="ja",VLOOKUP($B52,'Slutlig allokering kvv'!$B$1:$BX$550,MATCH("Avfall (GWh)",'Slutlig allokering kvv'!$B$1:$BX$1,0),FALSE),"")</f>
        <v/>
      </c>
      <c r="BK52" s="63" t="str">
        <f>IF($BF52="ja",VLOOKUP($B52,'Köpt hetvatten'!$B$1:$BX$550,MATCH("Avfall i köpt hetvatten",'Köpt hetvatten'!$B$1:$BX$1,0),FALSE),"")</f>
        <v/>
      </c>
      <c r="BL52" s="63" t="str">
        <f>IF($BF52="ja",VLOOKUP($B52,'Egen hetvattenprod'!$B$1:$BX$550,MATCH("Värde enligt ovan. (%)",'Egen hetvattenprod'!$B$1:$BX$1,0),FALSE),"")</f>
        <v/>
      </c>
      <c r="BM52" s="63" t="str">
        <f>IF($BF52="ja",VLOOKUP($B52,Kraftvärmeprod!$B$1:$BX$550,MATCH("Värde enligt ovan. (%)",Kraftvärmeprod!$B$1:$BX$1,0),FALSE),"")</f>
        <v/>
      </c>
    </row>
    <row r="53" spans="1:65" x14ac:dyDescent="0.45">
      <c r="A53" s="63" t="s">
        <v>623</v>
      </c>
      <c r="B53" s="63" t="s">
        <v>625</v>
      </c>
      <c r="C53" s="63">
        <f>VLOOKUP($B53,'Tillförd energi'!$B$1:$AI$720,MATCH(C$2,'Tillförd energi'!$B$1:$AQ$1,0),FALSE)</f>
        <v>0</v>
      </c>
      <c r="D53" s="63">
        <f>VLOOKUP($B53,'Tillförd energi'!$B$1:$AI$720,MATCH(D$2,'Tillförd energi'!$B$1:$AQ$1,0),FALSE)</f>
        <v>0</v>
      </c>
      <c r="E53" s="63">
        <f>VLOOKUP($B53,'Tillförd energi'!$B$1:$AI$720,MATCH(E$2,'Tillförd energi'!$B$1:$AQ$1,0),FALSE)</f>
        <v>0</v>
      </c>
      <c r="F53" s="63">
        <f>VLOOKUP($B53,'Tillförd energi'!$B$1:$AI$720,MATCH(F$2,'Tillförd energi'!$B$1:$AQ$1,0),FALSE)</f>
        <v>0</v>
      </c>
      <c r="G53" s="63">
        <f>VLOOKUP($B53,'Tillförd energi'!$B$1:$AI$720,MATCH(G$2,'Tillförd energi'!$B$1:$AQ$1,0),FALSE)</f>
        <v>0</v>
      </c>
      <c r="H53" s="63">
        <f>VLOOKUP($B53,'Tillförd energi'!$B$1:$AI$720,MATCH(H$2,'Tillförd energi'!$B$1:$AQ$1,0),FALSE)</f>
        <v>0</v>
      </c>
      <c r="I53" s="63">
        <f>VLOOKUP($B53,'Tillförd energi'!$B$1:$AI$720,MATCH(I$2,'Tillförd energi'!$B$1:$AQ$1,0),FALSE)</f>
        <v>0</v>
      </c>
      <c r="J53" s="63">
        <f>VLOOKUP($B53,'Tillförd energi'!$B$1:$AI$720,MATCH(J$2,'Tillförd energi'!$B$1:$AQ$1,0),FALSE)</f>
        <v>0</v>
      </c>
      <c r="K53" s="63">
        <f>VLOOKUP($B53,'Tillförd energi'!$B$1:$AI$720,MATCH(K$2,'Tillförd energi'!$B$1:$AQ$1,0),FALSE)</f>
        <v>0</v>
      </c>
      <c r="L53" s="63">
        <f>VLOOKUP($B53,'Tillförd energi'!$B$1:$AI$720,MATCH(L$2,'Tillförd energi'!$B$1:$AQ$1,0),FALSE)</f>
        <v>0</v>
      </c>
      <c r="M53" s="63">
        <f>VLOOKUP($B53,'Tillförd energi'!$B$1:$AI$720,MATCH(M$2,'Tillförd energi'!$B$1:$AQ$1,0),FALSE)</f>
        <v>0</v>
      </c>
      <c r="N53" s="63">
        <f>VLOOKUP($B53,'Tillförd energi'!$B$1:$AI$720,MATCH(N$2,'Tillförd energi'!$B$1:$AQ$1,0),FALSE)</f>
        <v>0</v>
      </c>
      <c r="O53" s="63">
        <f>VLOOKUP($B53,'Tillförd energi'!$B$1:$AI$720,MATCH(O$2,'Tillförd energi'!$B$1:$AQ$1,0),FALSE)</f>
        <v>0</v>
      </c>
      <c r="P53" s="63">
        <f>VLOOKUP($B53,'Tillförd energi'!$B$1:$AI$720,MATCH(P$2,'Tillförd energi'!$B$1:$AQ$1,0),FALSE)</f>
        <v>0</v>
      </c>
      <c r="Q53" s="63">
        <f>VLOOKUP($B53,'Tillförd energi'!$B$1:$AI$720,MATCH(Q$2,'Tillförd energi'!$B$1:$AQ$1,0),FALSE)</f>
        <v>0</v>
      </c>
      <c r="R53" s="63">
        <f>VLOOKUP($B53,'Tillförd energi'!$B$1:$AI$720,MATCH(R$2,'Tillförd energi'!$B$1:$AQ$1,0),FALSE)</f>
        <v>0</v>
      </c>
      <c r="S53" s="63">
        <f>VLOOKUP($B53,'Tillförd energi'!$B$1:$AI$720,MATCH(S$2,'Tillförd energi'!$B$1:$AQ$1,0),FALSE)</f>
        <v>0</v>
      </c>
      <c r="T53" s="63">
        <f>VLOOKUP($B53,'Tillförd energi'!$B$1:$AI$720,MATCH(T$2,'Tillförd energi'!$B$1:$AQ$1,0),FALSE)</f>
        <v>0</v>
      </c>
      <c r="U53" s="63">
        <f>VLOOKUP($B53,'Tillförd energi'!$B$1:$AI$720,MATCH(U$2,'Tillförd energi'!$B$1:$AQ$1,0),FALSE)</f>
        <v>0</v>
      </c>
      <c r="V53" s="63">
        <f>VLOOKUP($B53,'Tillförd energi'!$B$1:$AI$720,MATCH(V$2,'Tillförd energi'!$B$1:$AQ$1,0),FALSE)</f>
        <v>0</v>
      </c>
      <c r="W53" s="63">
        <f>VLOOKUP($B53,'Tillförd energi'!$B$1:$AI$720,MATCH(W$2,'Tillförd energi'!$B$1:$AQ$1,0),FALSE)</f>
        <v>0</v>
      </c>
      <c r="X53" s="63">
        <f>VLOOKUP($B53,'Tillförd energi'!$B$1:$AI$720,MATCH(X$2,'Tillförd energi'!$B$1:$AQ$1,0),FALSE)</f>
        <v>0</v>
      </c>
      <c r="Y53" s="63">
        <f>VLOOKUP($B53,'Tillförd energi'!$B$1:$AI$720,MATCH(Y$2,'Tillförd energi'!$B$1:$AQ$1,0),FALSE)</f>
        <v>0</v>
      </c>
      <c r="Z53" s="63">
        <f>VLOOKUP($B53,'Tillförd energi'!$B$1:$AI$720,MATCH(Z$2,'Tillförd energi'!$B$1:$AQ$1,0),FALSE)</f>
        <v>0</v>
      </c>
      <c r="AA53" s="63">
        <f>VLOOKUP($B53,'Tillförd energi'!$B$1:$AI$720,MATCH(AA$2,'Tillförd energi'!$B$1:$AQ$1,0),FALSE)</f>
        <v>0</v>
      </c>
      <c r="AB53" s="63">
        <f>VLOOKUP($B53,'Tillförd energi'!$B$1:$AI$720,MATCH(AB$2,'Tillförd energi'!$B$1:$AQ$1,0),FALSE)</f>
        <v>0</v>
      </c>
      <c r="AC53" s="63">
        <f>VLOOKUP($B53,'Tillförd energi'!$B$1:$AI$720,MATCH(AC$2,'Tillförd energi'!$B$1:$AQ$1,0),FALSE)</f>
        <v>0</v>
      </c>
      <c r="AD53" s="63">
        <f>VLOOKUP($B53,'Tillförd energi'!$B$1:$AI$720,MATCH(AD$2,'Tillförd energi'!$B$1:$AQ$1,0),FALSE)</f>
        <v>0</v>
      </c>
      <c r="AE53" s="63">
        <f>VLOOKUP($B53,'Tillförd energi'!$B$1:$AI$720,MATCH(AE$2,'Tillförd energi'!$B$1:$AQ$1,0),FALSE)</f>
        <v>0</v>
      </c>
      <c r="AF53" s="63">
        <f>VLOOKUP($B53,'Tillförd energi'!$B$1:$AI$720,MATCH(AF$2,'Tillförd energi'!$B$1:$AQ$1,0),FALSE)</f>
        <v>0</v>
      </c>
      <c r="AG53" s="63">
        <f>IFERROR(VLOOKUP(B53,Miljö!$B$1:$AC$550,MATCH("Köpt mängd produktionsspecifik fjärrvärme:",Miljö!$B$1:$AC$1,0),FALSE)/1,0)</f>
        <v>0</v>
      </c>
      <c r="AI53" s="63">
        <f t="shared" si="0"/>
        <v>0</v>
      </c>
      <c r="AJ53" s="63" t="str">
        <f>IF(ISERROR(1/VLOOKUP($B53,Leveranser!$B$1:$S$500,MATCH("såld värme (gwh)",Leveranser!$B$1:$S$1,0),FALSE)),"",VLOOKUP($B53,Leveranser!$B$1:$S$500,MATCH("såld värme (gwh)",Leveranser!$B$1:$S$1,0),FALSE))</f>
        <v/>
      </c>
      <c r="AM53" s="63" t="str">
        <f>IF(B53&lt;&gt;"",IF(VLOOKUP($B53,Totalt!$B$1:$AQ$554,MATCH("Kvalitetsgranskad:",Totalt!$B$1:$AQ$1,0),FALSE)="ja",VLOOKUP($B53,Miljö!$B$1:$AG$479,MATCH(AM$2,Miljö!$B$1:$AK$1,0),FALSE),""),"")</f>
        <v/>
      </c>
      <c r="AN53" s="63" t="str">
        <f>IF(AM53="ja",VLOOKUP($B53,Miljö!$B$1:$J$479,MATCH("Typ av ursprungsspecificerad el   (Om inget värde anges används Nordisk residualmix, se inforuta) ()",Miljö!$B$1:$J$1,0),FALSE),IF(AM53="nej","Nordisk residualel",""))</f>
        <v/>
      </c>
      <c r="AO53" s="63" t="str">
        <f>IF(AM53="","",VLOOKUP($B53,Miljö!$B$1:$J$479,MATCH("Fossilandel för ursprungspecificerad el ()",Miljö!$B$1:$J$1,0),FALSE))</f>
        <v/>
      </c>
      <c r="AQ53" s="63" t="str">
        <f t="shared" si="1"/>
        <v/>
      </c>
      <c r="AS53" s="63" t="str">
        <f t="shared" si="2"/>
        <v>Nej</v>
      </c>
      <c r="AT53" s="63" t="str">
        <f>IF(AS53="ja",VLOOKUP($B53,Miljö!$B$1:$P$500,MATCH("Fossil andel i procent (%)",Miljö!$B$1:$P$1,0),FALSE)/100,"")</f>
        <v/>
      </c>
      <c r="AV53" s="63" t="str">
        <f t="shared" si="3"/>
        <v>Nej</v>
      </c>
      <c r="AW53" s="63" t="str">
        <f>IF(AV53="ja",VLOOKUP($B53,'Egen hetvattenprod'!$B$1:$AO$500,MATCH("Värmekälla till värmepumpar ()",'Egen hetvattenprod'!$B$1:$AO$1,0),FALSE),"")</f>
        <v/>
      </c>
      <c r="AY53" s="63" t="str">
        <f t="shared" si="4"/>
        <v>Nej</v>
      </c>
      <c r="AZ53" s="77" t="str">
        <f>IF($AY53="ja",(VLOOKUP($B53,'Egen hetvattenprod'!$B$1:$BX$550,MATCH(AZ$2,'Egen hetvattenprod'!$B$1:$BX$1,0),FALSE)+VLOOKUP($B53,Kraftvärmeprod!$B$1:$BX$550,MATCH(AZ$2,Kraftvärmeprod!$B$1:$BX$1,0),FALSE))/$AC53,"")</f>
        <v/>
      </c>
      <c r="BA53" s="77" t="str">
        <f>IF($AY53="ja",(VLOOKUP($B53,'Egen hetvattenprod'!$B$1:$BX$550,MATCH(BA$2,'Egen hetvattenprod'!$B$1:$BX$1,0),FALSE)+VLOOKUP($B53,Kraftvärmeprod!$B$1:$BX$550,MATCH(BA$2,Kraftvärmeprod!$B$1:$BX$1,0),FALSE))/$AC53,"")</f>
        <v/>
      </c>
      <c r="BB53" s="77" t="str">
        <f>IF($AY53="ja",(VLOOKUP($B53,'Egen hetvattenprod'!$B$1:$BX$550,MATCH(BB$2,'Egen hetvattenprod'!$B$1:$BX$1,0),FALSE)+VLOOKUP($B53,Kraftvärmeprod!$B$1:$BX$550,MATCH(BB$2,Kraftvärmeprod!$B$1:$BX$1,0),FALSE))/$AC53,"")</f>
        <v/>
      </c>
      <c r="BC53" s="77" t="str">
        <f>IF($AY53="ja",(VLOOKUP($B53,'Egen hetvattenprod'!$B$1:$BX$550,MATCH(BC$2,'Egen hetvattenprod'!$B$1:$BX$1,0),FALSE)+VLOOKUP($B53,Kraftvärmeprod!$B$1:$BX$550,MATCH(BC$2,Kraftvärmeprod!$B$1:$BX$1,0),FALSE))/$AC53,"")</f>
        <v/>
      </c>
      <c r="BD53" s="77" t="str">
        <f>IF($AY53="ja",(VLOOKUP($B53,'Egen hetvattenprod'!$B$1:$BX$550,MATCH(BD$2,'Egen hetvattenprod'!$B$1:$BX$1,0),FALSE)+VLOOKUP($B53,Kraftvärmeprod!$B$1:$BX$550,MATCH(BD$2,Kraftvärmeprod!$B$1:$BX$1,0),FALSE))/$AC53,"")</f>
        <v/>
      </c>
      <c r="BF53" s="63" t="str">
        <f t="shared" si="5"/>
        <v>Nej</v>
      </c>
      <c r="BG53" s="63" t="str">
        <f>IF($BF53="ja",VLOOKUP($B53,'Egen hetvattenprod'!$B$1:$BX$550,MATCH("Andelen klimatgaser med fossilt ursprung för avfall ()",'Egen hetvattenprod'!$B$1:$BX$1,0),FALSE),"")</f>
        <v/>
      </c>
      <c r="BH53" s="63" t="str">
        <f>IF($BF53="ja",VLOOKUP($B53,Kraftvärmeprod!$B$1:$BX$550,MATCH("Andelen klimatgaser med fossilt ursprung för avfall ()",Kraftvärmeprod!$B$1:$BX$1,0),FALSE),"")</f>
        <v/>
      </c>
      <c r="BI53" s="63" t="str">
        <f>IF($BF53="ja",VLOOKUP($B53,'Egen hetvattenprod'!$B$1:$BX$550,MATCH("Avfall (GWh)",'Egen hetvattenprod'!$B$1:$BX$1,0),FALSE),"")</f>
        <v/>
      </c>
      <c r="BJ53" s="63" t="str">
        <f>IF($BF53="ja",VLOOKUP($B53,'Slutlig allokering kvv'!$B$1:$BX$550,MATCH("Avfall (GWh)",'Slutlig allokering kvv'!$B$1:$BX$1,0),FALSE),"")</f>
        <v/>
      </c>
      <c r="BK53" s="63" t="str">
        <f>IF($BF53="ja",VLOOKUP($B53,'Köpt hetvatten'!$B$1:$BX$550,MATCH("Avfall i köpt hetvatten",'Köpt hetvatten'!$B$1:$BX$1,0),FALSE),"")</f>
        <v/>
      </c>
      <c r="BL53" s="63" t="str">
        <f>IF($BF53="ja",VLOOKUP($B53,'Egen hetvattenprod'!$B$1:$BX$550,MATCH("Värde enligt ovan. (%)",'Egen hetvattenprod'!$B$1:$BX$1,0),FALSE),"")</f>
        <v/>
      </c>
      <c r="BM53" s="63" t="str">
        <f>IF($BF53="ja",VLOOKUP($B53,Kraftvärmeprod!$B$1:$BX$550,MATCH("Värde enligt ovan. (%)",Kraftvärmeprod!$B$1:$BX$1,0),FALSE),"")</f>
        <v/>
      </c>
    </row>
    <row r="54" spans="1:65" x14ac:dyDescent="0.45">
      <c r="A54" s="63" t="s">
        <v>623</v>
      </c>
      <c r="B54" s="63" t="s">
        <v>624</v>
      </c>
      <c r="C54" s="63">
        <f>VLOOKUP($B54,'Tillförd energi'!$B$1:$AI$720,MATCH(C$2,'Tillförd energi'!$B$1:$AQ$1,0),FALSE)</f>
        <v>0</v>
      </c>
      <c r="D54" s="63">
        <f>VLOOKUP($B54,'Tillförd energi'!$B$1:$AI$720,MATCH(D$2,'Tillförd energi'!$B$1:$AQ$1,0),FALSE)</f>
        <v>8.0000000000000002E-3</v>
      </c>
      <c r="E54" s="63">
        <f>VLOOKUP($B54,'Tillförd energi'!$B$1:$AI$720,MATCH(E$2,'Tillförd energi'!$B$1:$AQ$1,0),FALSE)</f>
        <v>0</v>
      </c>
      <c r="F54" s="63">
        <f>VLOOKUP($B54,'Tillförd energi'!$B$1:$AI$720,MATCH(F$2,'Tillförd energi'!$B$1:$AQ$1,0),FALSE)</f>
        <v>0</v>
      </c>
      <c r="G54" s="63">
        <f>VLOOKUP($B54,'Tillförd energi'!$B$1:$AI$720,MATCH(G$2,'Tillförd energi'!$B$1:$AQ$1,0),FALSE)</f>
        <v>0</v>
      </c>
      <c r="H54" s="63">
        <f>VLOOKUP($B54,'Tillförd energi'!$B$1:$AI$720,MATCH(H$2,'Tillförd energi'!$B$1:$AQ$1,0),FALSE)</f>
        <v>0</v>
      </c>
      <c r="I54" s="63">
        <f>VLOOKUP($B54,'Tillförd energi'!$B$1:$AI$720,MATCH(I$2,'Tillförd energi'!$B$1:$AQ$1,0),FALSE)</f>
        <v>0</v>
      </c>
      <c r="J54" s="63">
        <f>VLOOKUP($B54,'Tillförd energi'!$B$1:$AI$720,MATCH(J$2,'Tillförd energi'!$B$1:$AQ$1,0),FALSE)</f>
        <v>0</v>
      </c>
      <c r="K54" s="63">
        <f>VLOOKUP($B54,'Tillförd energi'!$B$1:$AI$720,MATCH(K$2,'Tillförd energi'!$B$1:$AQ$1,0),FALSE)</f>
        <v>0</v>
      </c>
      <c r="L54" s="63">
        <f>VLOOKUP($B54,'Tillförd energi'!$B$1:$AI$720,MATCH(L$2,'Tillförd energi'!$B$1:$AQ$1,0),FALSE)</f>
        <v>0</v>
      </c>
      <c r="M54" s="63">
        <f>VLOOKUP($B54,'Tillförd energi'!$B$1:$AI$720,MATCH(M$2,'Tillförd energi'!$B$1:$AQ$1,0),FALSE)</f>
        <v>0</v>
      </c>
      <c r="N54" s="63">
        <f>VLOOKUP($B54,'Tillförd energi'!$B$1:$AI$720,MATCH(N$2,'Tillförd energi'!$B$1:$AQ$1,0),FALSE)</f>
        <v>0</v>
      </c>
      <c r="O54" s="63">
        <f>VLOOKUP($B54,'Tillförd energi'!$B$1:$AI$720,MATCH(O$2,'Tillförd energi'!$B$1:$AQ$1,0),FALSE)</f>
        <v>0</v>
      </c>
      <c r="P54" s="63">
        <f>VLOOKUP($B54,'Tillförd energi'!$B$1:$AI$720,MATCH(P$2,'Tillförd energi'!$B$1:$AQ$1,0),FALSE)</f>
        <v>0</v>
      </c>
      <c r="Q54" s="63">
        <f>VLOOKUP($B54,'Tillförd energi'!$B$1:$AI$720,MATCH(Q$2,'Tillförd energi'!$B$1:$AQ$1,0),FALSE)</f>
        <v>0</v>
      </c>
      <c r="R54" s="63">
        <f>VLOOKUP($B54,'Tillförd energi'!$B$1:$AI$720,MATCH(R$2,'Tillförd energi'!$B$1:$AQ$1,0),FALSE)</f>
        <v>2.028</v>
      </c>
      <c r="S54" s="63">
        <f>VLOOKUP($B54,'Tillförd energi'!$B$1:$AI$720,MATCH(S$2,'Tillförd energi'!$B$1:$AQ$1,0),FALSE)</f>
        <v>0</v>
      </c>
      <c r="T54" s="63">
        <f>VLOOKUP($B54,'Tillförd energi'!$B$1:$AI$720,MATCH(T$2,'Tillförd energi'!$B$1:$AQ$1,0),FALSE)</f>
        <v>0</v>
      </c>
      <c r="U54" s="63">
        <f>VLOOKUP($B54,'Tillförd energi'!$B$1:$AI$720,MATCH(U$2,'Tillförd energi'!$B$1:$AQ$1,0),FALSE)</f>
        <v>0</v>
      </c>
      <c r="V54" s="63">
        <f>VLOOKUP($B54,'Tillförd energi'!$B$1:$AI$720,MATCH(V$2,'Tillförd energi'!$B$1:$AQ$1,0),FALSE)</f>
        <v>0</v>
      </c>
      <c r="W54" s="63">
        <f>VLOOKUP($B54,'Tillförd energi'!$B$1:$AI$720,MATCH(W$2,'Tillförd energi'!$B$1:$AQ$1,0),FALSE)</f>
        <v>0</v>
      </c>
      <c r="X54" s="63">
        <f>VLOOKUP($B54,'Tillförd energi'!$B$1:$AI$720,MATCH(X$2,'Tillförd energi'!$B$1:$AQ$1,0),FALSE)</f>
        <v>0</v>
      </c>
      <c r="Y54" s="63">
        <f>VLOOKUP($B54,'Tillförd energi'!$B$1:$AI$720,MATCH(Y$2,'Tillförd energi'!$B$1:$AQ$1,0),FALSE)</f>
        <v>0</v>
      </c>
      <c r="Z54" s="63">
        <f>VLOOKUP($B54,'Tillförd energi'!$B$1:$AI$720,MATCH(Z$2,'Tillförd energi'!$B$1:$AQ$1,0),FALSE)</f>
        <v>0</v>
      </c>
      <c r="AA54" s="63">
        <f>VLOOKUP($B54,'Tillförd energi'!$B$1:$AI$720,MATCH(AA$2,'Tillförd energi'!$B$1:$AQ$1,0),FALSE)</f>
        <v>0</v>
      </c>
      <c r="AB54" s="63">
        <f>VLOOKUP($B54,'Tillförd energi'!$B$1:$AI$720,MATCH(AB$2,'Tillförd energi'!$B$1:$AQ$1,0),FALSE)</f>
        <v>0</v>
      </c>
      <c r="AC54" s="63">
        <f>VLOOKUP($B54,'Tillförd energi'!$B$1:$AI$720,MATCH(AC$2,'Tillförd energi'!$B$1:$AQ$1,0),FALSE)</f>
        <v>0</v>
      </c>
      <c r="AD54" s="63">
        <f>VLOOKUP($B54,'Tillförd energi'!$B$1:$AI$720,MATCH(AD$2,'Tillförd energi'!$B$1:$AQ$1,0),FALSE)</f>
        <v>0</v>
      </c>
      <c r="AE54" s="63">
        <f>VLOOKUP($B54,'Tillförd energi'!$B$1:$AI$720,MATCH(AE$2,'Tillförd energi'!$B$1:$AQ$1,0),FALSE)</f>
        <v>0</v>
      </c>
      <c r="AF54" s="63">
        <f>VLOOKUP($B54,'Tillförd energi'!$B$1:$AI$720,MATCH(AF$2,'Tillförd energi'!$B$1:$AQ$1,0),FALSE)</f>
        <v>4.1000000000000002E-2</v>
      </c>
      <c r="AG54" s="63">
        <f>IFERROR(VLOOKUP(B54,Miljö!$B$1:$AC$550,MATCH("Köpt mängd produktionsspecifik fjärrvärme:",Miljö!$B$1:$AC$1,0),FALSE)/1,0)</f>
        <v>0</v>
      </c>
      <c r="AI54" s="63">
        <f t="shared" si="0"/>
        <v>2.077</v>
      </c>
      <c r="AJ54" s="63">
        <f>IF(ISERROR(1/VLOOKUP($B54,Leveranser!$B$1:$S$500,MATCH("såld värme (gwh)",Leveranser!$B$1:$S$1,0),FALSE)),"",VLOOKUP($B54,Leveranser!$B$1:$S$500,MATCH("såld värme (gwh)",Leveranser!$B$1:$S$1,0),FALSE))</f>
        <v>1.38</v>
      </c>
      <c r="AM54" s="63" t="str">
        <f>IF(B54&lt;&gt;"",IF(VLOOKUP($B54,Totalt!$B$1:$AQ$554,MATCH("Kvalitetsgranskad:",Totalt!$B$1:$AQ$1,0),FALSE)="ja",VLOOKUP($B54,Miljö!$B$1:$AG$479,MATCH(AM$2,Miljö!$B$1:$AK$1,0),FALSE),""),"")</f>
        <v>Ja</v>
      </c>
      <c r="AN54" s="63" t="str">
        <f>IF(AM54="ja",VLOOKUP($B54,Miljö!$B$1:$J$479,MATCH("Typ av ursprungsspecificerad el   (Om inget värde anges används Nordisk residualmix, se inforuta) ()",Miljö!$B$1:$J$1,0),FALSE),IF(AM54="nej","Nordisk residualel",""))</f>
        <v>'Vattenkraft'</v>
      </c>
      <c r="AO54" s="63">
        <f>IF(AM54="","",VLOOKUP($B54,Miljö!$B$1:$J$479,MATCH("Fossilandel för ursprungspecificerad el ()",Miljö!$B$1:$J$1,0),FALSE))</f>
        <v>0</v>
      </c>
      <c r="AQ54" s="63">
        <f t="shared" si="1"/>
        <v>1</v>
      </c>
      <c r="AS54" s="63" t="str">
        <f t="shared" si="2"/>
        <v>Nej</v>
      </c>
      <c r="AT54" s="63" t="str">
        <f>IF(AS54="ja",VLOOKUP($B54,Miljö!$B$1:$P$500,MATCH("Fossil andel i procent (%)",Miljö!$B$1:$P$1,0),FALSE)/100,"")</f>
        <v/>
      </c>
      <c r="AV54" s="63" t="str">
        <f t="shared" si="3"/>
        <v>Nej</v>
      </c>
      <c r="AW54" s="63" t="str">
        <f>IF(AV54="ja",VLOOKUP($B54,'Egen hetvattenprod'!$B$1:$AO$500,MATCH("Värmekälla till värmepumpar ()",'Egen hetvattenprod'!$B$1:$AO$1,0),FALSE),"")</f>
        <v/>
      </c>
      <c r="AY54" s="63" t="str">
        <f t="shared" si="4"/>
        <v>Nej</v>
      </c>
      <c r="AZ54" s="77" t="str">
        <f>IF($AY54="ja",(VLOOKUP($B54,'Egen hetvattenprod'!$B$1:$BX$550,MATCH(AZ$2,'Egen hetvattenprod'!$B$1:$BX$1,0),FALSE)+VLOOKUP($B54,Kraftvärmeprod!$B$1:$BX$550,MATCH(AZ$2,Kraftvärmeprod!$B$1:$BX$1,0),FALSE))/$AC54,"")</f>
        <v/>
      </c>
      <c r="BA54" s="77" t="str">
        <f>IF($AY54="ja",(VLOOKUP($B54,'Egen hetvattenprod'!$B$1:$BX$550,MATCH(BA$2,'Egen hetvattenprod'!$B$1:$BX$1,0),FALSE)+VLOOKUP($B54,Kraftvärmeprod!$B$1:$BX$550,MATCH(BA$2,Kraftvärmeprod!$B$1:$BX$1,0),FALSE))/$AC54,"")</f>
        <v/>
      </c>
      <c r="BB54" s="77" t="str">
        <f>IF($AY54="ja",(VLOOKUP($B54,'Egen hetvattenprod'!$B$1:$BX$550,MATCH(BB$2,'Egen hetvattenprod'!$B$1:$BX$1,0),FALSE)+VLOOKUP($B54,Kraftvärmeprod!$B$1:$BX$550,MATCH(BB$2,Kraftvärmeprod!$B$1:$BX$1,0),FALSE))/$AC54,"")</f>
        <v/>
      </c>
      <c r="BC54" s="77" t="str">
        <f>IF($AY54="ja",(VLOOKUP($B54,'Egen hetvattenprod'!$B$1:$BX$550,MATCH(BC$2,'Egen hetvattenprod'!$B$1:$BX$1,0),FALSE)+VLOOKUP($B54,Kraftvärmeprod!$B$1:$BX$550,MATCH(BC$2,Kraftvärmeprod!$B$1:$BX$1,0),FALSE))/$AC54,"")</f>
        <v/>
      </c>
      <c r="BD54" s="77" t="str">
        <f>IF($AY54="ja",(VLOOKUP($B54,'Egen hetvattenprod'!$B$1:$BX$550,MATCH(BD$2,'Egen hetvattenprod'!$B$1:$BX$1,0),FALSE)+VLOOKUP($B54,Kraftvärmeprod!$B$1:$BX$550,MATCH(BD$2,Kraftvärmeprod!$B$1:$BX$1,0),FALSE))/$AC54,"")</f>
        <v/>
      </c>
      <c r="BF54" s="63" t="str">
        <f t="shared" si="5"/>
        <v>Nej</v>
      </c>
      <c r="BG54" s="63" t="str">
        <f>IF($BF54="ja",VLOOKUP($B54,'Egen hetvattenprod'!$B$1:$BX$550,MATCH("Andelen klimatgaser med fossilt ursprung för avfall ()",'Egen hetvattenprod'!$B$1:$BX$1,0),FALSE),"")</f>
        <v/>
      </c>
      <c r="BH54" s="63" t="str">
        <f>IF($BF54="ja",VLOOKUP($B54,Kraftvärmeprod!$B$1:$BX$550,MATCH("Andelen klimatgaser med fossilt ursprung för avfall ()",Kraftvärmeprod!$B$1:$BX$1,0),FALSE),"")</f>
        <v/>
      </c>
      <c r="BI54" s="63" t="str">
        <f>IF($BF54="ja",VLOOKUP($B54,'Egen hetvattenprod'!$B$1:$BX$550,MATCH("Avfall (GWh)",'Egen hetvattenprod'!$B$1:$BX$1,0),FALSE),"")</f>
        <v/>
      </c>
      <c r="BJ54" s="63" t="str">
        <f>IF($BF54="ja",VLOOKUP($B54,'Slutlig allokering kvv'!$B$1:$BX$550,MATCH("Avfall (GWh)",'Slutlig allokering kvv'!$B$1:$BX$1,0),FALSE),"")</f>
        <v/>
      </c>
      <c r="BK54" s="63" t="str">
        <f>IF($BF54="ja",VLOOKUP($B54,'Köpt hetvatten'!$B$1:$BX$550,MATCH("Avfall i köpt hetvatten",'Köpt hetvatten'!$B$1:$BX$1,0),FALSE),"")</f>
        <v/>
      </c>
      <c r="BL54" s="63" t="str">
        <f>IF($BF54="ja",VLOOKUP($B54,'Egen hetvattenprod'!$B$1:$BX$550,MATCH("Värde enligt ovan. (%)",'Egen hetvattenprod'!$B$1:$BX$1,0),FALSE),"")</f>
        <v/>
      </c>
      <c r="BM54" s="63" t="str">
        <f>IF($BF54="ja",VLOOKUP($B54,Kraftvärmeprod!$B$1:$BX$550,MATCH("Värde enligt ovan. (%)",Kraftvärmeprod!$B$1:$BX$1,0),FALSE),"")</f>
        <v/>
      </c>
    </row>
    <row r="55" spans="1:65" x14ac:dyDescent="0.45">
      <c r="A55" s="63" t="s">
        <v>623</v>
      </c>
      <c r="B55" s="63" t="s">
        <v>622</v>
      </c>
      <c r="C55" s="63">
        <f>VLOOKUP($B55,'Tillförd energi'!$B$1:$AI$720,MATCH(C$2,'Tillförd energi'!$B$1:$AQ$1,0),FALSE)</f>
        <v>0</v>
      </c>
      <c r="D55" s="63">
        <f>VLOOKUP($B55,'Tillförd energi'!$B$1:$AI$720,MATCH(D$2,'Tillförd energi'!$B$1:$AQ$1,0),FALSE)</f>
        <v>8.1799999999999998E-2</v>
      </c>
      <c r="E55" s="63">
        <f>VLOOKUP($B55,'Tillförd energi'!$B$1:$AI$720,MATCH(E$2,'Tillförd energi'!$B$1:$AQ$1,0),FALSE)</f>
        <v>0</v>
      </c>
      <c r="F55" s="63">
        <f>VLOOKUP($B55,'Tillförd energi'!$B$1:$AI$720,MATCH(F$2,'Tillförd energi'!$B$1:$AQ$1,0),FALSE)</f>
        <v>0</v>
      </c>
      <c r="G55" s="63">
        <f>VLOOKUP($B55,'Tillförd energi'!$B$1:$AI$720,MATCH(G$2,'Tillförd energi'!$B$1:$AQ$1,0),FALSE)</f>
        <v>0</v>
      </c>
      <c r="H55" s="63">
        <f>VLOOKUP($B55,'Tillförd energi'!$B$1:$AI$720,MATCH(H$2,'Tillförd energi'!$B$1:$AQ$1,0),FALSE)</f>
        <v>0</v>
      </c>
      <c r="I55" s="63">
        <f>VLOOKUP($B55,'Tillförd energi'!$B$1:$AI$720,MATCH(I$2,'Tillförd energi'!$B$1:$AQ$1,0),FALSE)</f>
        <v>0</v>
      </c>
      <c r="J55" s="63">
        <f>VLOOKUP($B55,'Tillförd energi'!$B$1:$AI$720,MATCH(J$2,'Tillförd energi'!$B$1:$AQ$1,0),FALSE)</f>
        <v>0</v>
      </c>
      <c r="K55" s="63">
        <f>VLOOKUP($B55,'Tillförd energi'!$B$1:$AI$720,MATCH(K$2,'Tillförd energi'!$B$1:$AQ$1,0),FALSE)</f>
        <v>0</v>
      </c>
      <c r="L55" s="63">
        <f>VLOOKUP($B55,'Tillförd energi'!$B$1:$AI$720,MATCH(L$2,'Tillförd energi'!$B$1:$AQ$1,0),FALSE)</f>
        <v>0</v>
      </c>
      <c r="M55" s="63">
        <f>VLOOKUP($B55,'Tillförd energi'!$B$1:$AI$720,MATCH(M$2,'Tillförd energi'!$B$1:$AQ$1,0),FALSE)</f>
        <v>0</v>
      </c>
      <c r="N55" s="63">
        <f>VLOOKUP($B55,'Tillförd energi'!$B$1:$AI$720,MATCH(N$2,'Tillförd energi'!$B$1:$AQ$1,0),FALSE)</f>
        <v>0</v>
      </c>
      <c r="O55" s="63">
        <f>VLOOKUP($B55,'Tillförd energi'!$B$1:$AI$720,MATCH(O$2,'Tillförd energi'!$B$1:$AQ$1,0),FALSE)</f>
        <v>0</v>
      </c>
      <c r="P55" s="63">
        <f>VLOOKUP($B55,'Tillförd energi'!$B$1:$AI$720,MATCH(P$2,'Tillförd energi'!$B$1:$AQ$1,0),FALSE)</f>
        <v>0</v>
      </c>
      <c r="Q55" s="63">
        <f>VLOOKUP($B55,'Tillförd energi'!$B$1:$AI$720,MATCH(Q$2,'Tillförd energi'!$B$1:$AQ$1,0),FALSE)</f>
        <v>0</v>
      </c>
      <c r="R55" s="63">
        <f>VLOOKUP($B55,'Tillförd energi'!$B$1:$AI$720,MATCH(R$2,'Tillförd energi'!$B$1:$AQ$1,0),FALSE)</f>
        <v>0.57999999999999996</v>
      </c>
      <c r="S55" s="63">
        <f>VLOOKUP($B55,'Tillförd energi'!$B$1:$AI$720,MATCH(S$2,'Tillförd energi'!$B$1:$AQ$1,0),FALSE)</f>
        <v>0</v>
      </c>
      <c r="T55" s="63">
        <f>VLOOKUP($B55,'Tillförd energi'!$B$1:$AI$720,MATCH(T$2,'Tillförd energi'!$B$1:$AQ$1,0),FALSE)</f>
        <v>0</v>
      </c>
      <c r="U55" s="63">
        <f>VLOOKUP($B55,'Tillförd energi'!$B$1:$AI$720,MATCH(U$2,'Tillförd energi'!$B$1:$AQ$1,0),FALSE)</f>
        <v>0</v>
      </c>
      <c r="V55" s="63">
        <f>VLOOKUP($B55,'Tillförd energi'!$B$1:$AI$720,MATCH(V$2,'Tillförd energi'!$B$1:$AQ$1,0),FALSE)</f>
        <v>0</v>
      </c>
      <c r="W55" s="63">
        <f>VLOOKUP($B55,'Tillförd energi'!$B$1:$AI$720,MATCH(W$2,'Tillförd energi'!$B$1:$AQ$1,0),FALSE)</f>
        <v>0</v>
      </c>
      <c r="X55" s="63">
        <f>VLOOKUP($B55,'Tillförd energi'!$B$1:$AI$720,MATCH(X$2,'Tillförd energi'!$B$1:$AQ$1,0),FALSE)</f>
        <v>0</v>
      </c>
      <c r="Y55" s="63">
        <f>VLOOKUP($B55,'Tillförd energi'!$B$1:$AI$720,MATCH(Y$2,'Tillförd energi'!$B$1:$AQ$1,0),FALSE)</f>
        <v>0</v>
      </c>
      <c r="Z55" s="63">
        <f>VLOOKUP($B55,'Tillförd energi'!$B$1:$AI$720,MATCH(Z$2,'Tillförd energi'!$B$1:$AQ$1,0),FALSE)</f>
        <v>0</v>
      </c>
      <c r="AA55" s="63">
        <f>VLOOKUP($B55,'Tillförd energi'!$B$1:$AI$720,MATCH(AA$2,'Tillförd energi'!$B$1:$AQ$1,0),FALSE)</f>
        <v>0</v>
      </c>
      <c r="AB55" s="63">
        <f>VLOOKUP($B55,'Tillförd energi'!$B$1:$AI$720,MATCH(AB$2,'Tillförd energi'!$B$1:$AQ$1,0),FALSE)</f>
        <v>0</v>
      </c>
      <c r="AC55" s="63">
        <f>VLOOKUP($B55,'Tillförd energi'!$B$1:$AI$720,MATCH(AC$2,'Tillförd energi'!$B$1:$AQ$1,0),FALSE)</f>
        <v>0</v>
      </c>
      <c r="AD55" s="63">
        <f>VLOOKUP($B55,'Tillförd energi'!$B$1:$AI$720,MATCH(AD$2,'Tillförd energi'!$B$1:$AQ$1,0),FALSE)</f>
        <v>0</v>
      </c>
      <c r="AE55" s="63">
        <f>VLOOKUP($B55,'Tillförd energi'!$B$1:$AI$720,MATCH(AE$2,'Tillförd energi'!$B$1:$AQ$1,0),FALSE)</f>
        <v>0</v>
      </c>
      <c r="AF55" s="63">
        <f>VLOOKUP($B55,'Tillförd energi'!$B$1:$AI$720,MATCH(AF$2,'Tillförd energi'!$B$1:$AQ$1,0),FALSE)</f>
        <v>1.4189999999999999E-2</v>
      </c>
      <c r="AG55" s="63">
        <f>IFERROR(VLOOKUP(B55,Miljö!$B$1:$AC$550,MATCH("Köpt mängd produktionsspecifik fjärrvärme:",Miljö!$B$1:$AC$1,0),FALSE)/1,0)</f>
        <v>0</v>
      </c>
      <c r="AI55" s="63">
        <f t="shared" si="0"/>
        <v>0.67598999999999998</v>
      </c>
      <c r="AJ55" s="63">
        <f>IF(ISERROR(1/VLOOKUP($B55,Leveranser!$B$1:$S$500,MATCH("såld värme (gwh)",Leveranser!$B$1:$S$1,0),FALSE)),"",VLOOKUP($B55,Leveranser!$B$1:$S$500,MATCH("såld värme (gwh)",Leveranser!$B$1:$S$1,0),FALSE))</f>
        <v>0.47299999999999998</v>
      </c>
      <c r="AM55" s="63" t="str">
        <f>IF(B55&lt;&gt;"",IF(VLOOKUP($B55,Totalt!$B$1:$AQ$554,MATCH("Kvalitetsgranskad:",Totalt!$B$1:$AQ$1,0),FALSE)="ja",VLOOKUP($B55,Miljö!$B$1:$AG$479,MATCH(AM$2,Miljö!$B$1:$AK$1,0),FALSE),""),"")</f>
        <v>Ja</v>
      </c>
      <c r="AN55" s="63" t="str">
        <f>IF(AM55="ja",VLOOKUP($B55,Miljö!$B$1:$J$479,MATCH("Typ av ursprungsspecificerad el   (Om inget värde anges används Nordisk residualmix, se inforuta) ()",Miljö!$B$1:$J$1,0),FALSE),IF(AM55="nej","Nordisk residualel",""))</f>
        <v>'-'</v>
      </c>
      <c r="AO55" s="63">
        <f>IF(AM55="","",VLOOKUP($B55,Miljö!$B$1:$J$479,MATCH("Fossilandel för ursprungspecificerad el ()",Miljö!$B$1:$J$1,0),FALSE))</f>
        <v>0.35</v>
      </c>
      <c r="AQ55" s="63">
        <f t="shared" si="1"/>
        <v>0.65</v>
      </c>
      <c r="AS55" s="63" t="str">
        <f t="shared" si="2"/>
        <v>Nej</v>
      </c>
      <c r="AT55" s="63" t="str">
        <f>IF(AS55="ja",VLOOKUP($B55,Miljö!$B$1:$P$500,MATCH("Fossil andel i procent (%)",Miljö!$B$1:$P$1,0),FALSE)/100,"")</f>
        <v/>
      </c>
      <c r="AV55" s="63" t="str">
        <f t="shared" si="3"/>
        <v>Nej</v>
      </c>
      <c r="AW55" s="63" t="str">
        <f>IF(AV55="ja",VLOOKUP($B55,'Egen hetvattenprod'!$B$1:$AO$500,MATCH("Värmekälla till värmepumpar ()",'Egen hetvattenprod'!$B$1:$AO$1,0),FALSE),"")</f>
        <v/>
      </c>
      <c r="AY55" s="63" t="str">
        <f t="shared" si="4"/>
        <v>Nej</v>
      </c>
      <c r="AZ55" s="77" t="str">
        <f>IF($AY55="ja",(VLOOKUP($B55,'Egen hetvattenprod'!$B$1:$BX$550,MATCH(AZ$2,'Egen hetvattenprod'!$B$1:$BX$1,0),FALSE)+VLOOKUP($B55,Kraftvärmeprod!$B$1:$BX$550,MATCH(AZ$2,Kraftvärmeprod!$B$1:$BX$1,0),FALSE))/$AC55,"")</f>
        <v/>
      </c>
      <c r="BA55" s="77" t="str">
        <f>IF($AY55="ja",(VLOOKUP($B55,'Egen hetvattenprod'!$B$1:$BX$550,MATCH(BA$2,'Egen hetvattenprod'!$B$1:$BX$1,0),FALSE)+VLOOKUP($B55,Kraftvärmeprod!$B$1:$BX$550,MATCH(BA$2,Kraftvärmeprod!$B$1:$BX$1,0),FALSE))/$AC55,"")</f>
        <v/>
      </c>
      <c r="BB55" s="77" t="str">
        <f>IF($AY55="ja",(VLOOKUP($B55,'Egen hetvattenprod'!$B$1:$BX$550,MATCH(BB$2,'Egen hetvattenprod'!$B$1:$BX$1,0),FALSE)+VLOOKUP($B55,Kraftvärmeprod!$B$1:$BX$550,MATCH(BB$2,Kraftvärmeprod!$B$1:$BX$1,0),FALSE))/$AC55,"")</f>
        <v/>
      </c>
      <c r="BC55" s="77" t="str">
        <f>IF($AY55="ja",(VLOOKUP($B55,'Egen hetvattenprod'!$B$1:$BX$550,MATCH(BC$2,'Egen hetvattenprod'!$B$1:$BX$1,0),FALSE)+VLOOKUP($B55,Kraftvärmeprod!$B$1:$BX$550,MATCH(BC$2,Kraftvärmeprod!$B$1:$BX$1,0),FALSE))/$AC55,"")</f>
        <v/>
      </c>
      <c r="BD55" s="77" t="str">
        <f>IF($AY55="ja",(VLOOKUP($B55,'Egen hetvattenprod'!$B$1:$BX$550,MATCH(BD$2,'Egen hetvattenprod'!$B$1:$BX$1,0),FALSE)+VLOOKUP($B55,Kraftvärmeprod!$B$1:$BX$550,MATCH(BD$2,Kraftvärmeprod!$B$1:$BX$1,0),FALSE))/$AC55,"")</f>
        <v/>
      </c>
      <c r="BF55" s="63" t="str">
        <f t="shared" si="5"/>
        <v>Nej</v>
      </c>
      <c r="BG55" s="63" t="str">
        <f>IF($BF55="ja",VLOOKUP($B55,'Egen hetvattenprod'!$B$1:$BX$550,MATCH("Andelen klimatgaser med fossilt ursprung för avfall ()",'Egen hetvattenprod'!$B$1:$BX$1,0),FALSE),"")</f>
        <v/>
      </c>
      <c r="BH55" s="63" t="str">
        <f>IF($BF55="ja",VLOOKUP($B55,Kraftvärmeprod!$B$1:$BX$550,MATCH("Andelen klimatgaser med fossilt ursprung för avfall ()",Kraftvärmeprod!$B$1:$BX$1,0),FALSE),"")</f>
        <v/>
      </c>
      <c r="BI55" s="63" t="str">
        <f>IF($BF55="ja",VLOOKUP($B55,'Egen hetvattenprod'!$B$1:$BX$550,MATCH("Avfall (GWh)",'Egen hetvattenprod'!$B$1:$BX$1,0),FALSE),"")</f>
        <v/>
      </c>
      <c r="BJ55" s="63" t="str">
        <f>IF($BF55="ja",VLOOKUP($B55,'Slutlig allokering kvv'!$B$1:$BX$550,MATCH("Avfall (GWh)",'Slutlig allokering kvv'!$B$1:$BX$1,0),FALSE),"")</f>
        <v/>
      </c>
      <c r="BK55" s="63" t="str">
        <f>IF($BF55="ja",VLOOKUP($B55,'Köpt hetvatten'!$B$1:$BX$550,MATCH("Avfall i köpt hetvatten",'Köpt hetvatten'!$B$1:$BX$1,0),FALSE),"")</f>
        <v/>
      </c>
      <c r="BL55" s="63" t="str">
        <f>IF($BF55="ja",VLOOKUP($B55,'Egen hetvattenprod'!$B$1:$BX$550,MATCH("Värde enligt ovan. (%)",'Egen hetvattenprod'!$B$1:$BX$1,0),FALSE),"")</f>
        <v/>
      </c>
      <c r="BM55" s="63" t="str">
        <f>IF($BF55="ja",VLOOKUP($B55,Kraftvärmeprod!$B$1:$BX$550,MATCH("Värde enligt ovan. (%)",Kraftvärmeprod!$B$1:$BX$1,0),FALSE),"")</f>
        <v/>
      </c>
    </row>
    <row r="56" spans="1:65" x14ac:dyDescent="0.45">
      <c r="A56" s="63" t="s">
        <v>610</v>
      </c>
      <c r="B56" s="63" t="s">
        <v>613</v>
      </c>
      <c r="C56" s="63">
        <f>VLOOKUP($B56,'Tillförd energi'!$B$1:$AI$720,MATCH(C$2,'Tillförd energi'!$B$1:$AQ$1,0),FALSE)</f>
        <v>28.180499999999999</v>
      </c>
      <c r="D56" s="63">
        <f>VLOOKUP($B56,'Tillförd energi'!$B$1:$AI$720,MATCH(D$2,'Tillförd energi'!$B$1:$AQ$1,0),FALSE)</f>
        <v>9.0617400000000004</v>
      </c>
      <c r="E56" s="63">
        <f>VLOOKUP($B56,'Tillförd energi'!$B$1:$AI$720,MATCH(E$2,'Tillförd energi'!$B$1:$AQ$1,0),FALSE)</f>
        <v>0</v>
      </c>
      <c r="F56" s="63">
        <f>VLOOKUP($B56,'Tillförd energi'!$B$1:$AI$720,MATCH(F$2,'Tillförd energi'!$B$1:$AQ$1,0),FALSE)</f>
        <v>13</v>
      </c>
      <c r="G56" s="63">
        <f>VLOOKUP($B56,'Tillförd energi'!$B$1:$AI$720,MATCH(G$2,'Tillförd energi'!$B$1:$AQ$1,0),FALSE)</f>
        <v>0</v>
      </c>
      <c r="H56" s="63">
        <f>VLOOKUP($B56,'Tillförd energi'!$B$1:$AI$720,MATCH(H$2,'Tillförd energi'!$B$1:$AQ$1,0),FALSE)</f>
        <v>0</v>
      </c>
      <c r="I56" s="63">
        <f>VLOOKUP($B56,'Tillförd energi'!$B$1:$AI$720,MATCH(I$2,'Tillförd energi'!$B$1:$AQ$1,0),FALSE)</f>
        <v>670.90899999999999</v>
      </c>
      <c r="J56" s="63">
        <f>VLOOKUP($B56,'Tillförd energi'!$B$1:$AI$720,MATCH(J$2,'Tillförd energi'!$B$1:$AQ$1,0),FALSE)</f>
        <v>0</v>
      </c>
      <c r="K56" s="63">
        <f>VLOOKUP($B56,'Tillförd energi'!$B$1:$AI$720,MATCH(K$2,'Tillförd energi'!$B$1:$AQ$1,0),FALSE)</f>
        <v>0</v>
      </c>
      <c r="L56" s="63">
        <f>VLOOKUP($B56,'Tillförd energi'!$B$1:$AI$720,MATCH(L$2,'Tillförd energi'!$B$1:$AQ$1,0),FALSE)</f>
        <v>43.002200000000002</v>
      </c>
      <c r="M56" s="63">
        <f>VLOOKUP($B56,'Tillförd energi'!$B$1:$AI$720,MATCH(M$2,'Tillförd energi'!$B$1:$AQ$1,0),FALSE)</f>
        <v>0</v>
      </c>
      <c r="N56" s="63">
        <f>VLOOKUP($B56,'Tillförd energi'!$B$1:$AI$720,MATCH(N$2,'Tillförd energi'!$B$1:$AQ$1,0),FALSE)</f>
        <v>31.051500000000001</v>
      </c>
      <c r="O56" s="63">
        <f>VLOOKUP($B56,'Tillförd energi'!$B$1:$AI$720,MATCH(O$2,'Tillförd energi'!$B$1:$AQ$1,0),FALSE)</f>
        <v>0</v>
      </c>
      <c r="P56" s="63">
        <f>VLOOKUP($B56,'Tillförd energi'!$B$1:$AI$720,MATCH(P$2,'Tillförd energi'!$B$1:$AQ$1,0),FALSE)</f>
        <v>0</v>
      </c>
      <c r="Q56" s="63">
        <f>VLOOKUP($B56,'Tillförd energi'!$B$1:$AI$720,MATCH(Q$2,'Tillförd energi'!$B$1:$AQ$1,0),FALSE)</f>
        <v>0</v>
      </c>
      <c r="R56" s="63">
        <f>VLOOKUP($B56,'Tillförd energi'!$B$1:$AI$720,MATCH(R$2,'Tillförd energi'!$B$1:$AQ$1,0),FALSE)</f>
        <v>0</v>
      </c>
      <c r="S56" s="63">
        <f>VLOOKUP($B56,'Tillförd energi'!$B$1:$AI$720,MATCH(S$2,'Tillförd energi'!$B$1:$AQ$1,0),FALSE)</f>
        <v>0</v>
      </c>
      <c r="T56" s="63">
        <f>VLOOKUP($B56,'Tillförd energi'!$B$1:$AI$720,MATCH(T$2,'Tillförd energi'!$B$1:$AQ$1,0),FALSE)</f>
        <v>0</v>
      </c>
      <c r="U56" s="63">
        <f>VLOOKUP($B56,'Tillförd energi'!$B$1:$AI$720,MATCH(U$2,'Tillförd energi'!$B$1:$AQ$1,0),FALSE)</f>
        <v>0</v>
      </c>
      <c r="V56" s="63">
        <f>VLOOKUP($B56,'Tillförd energi'!$B$1:$AI$720,MATCH(V$2,'Tillförd energi'!$B$1:$AQ$1,0),FALSE)</f>
        <v>0</v>
      </c>
      <c r="W56" s="63">
        <f>VLOOKUP($B56,'Tillförd energi'!$B$1:$AI$720,MATCH(W$2,'Tillförd energi'!$B$1:$AQ$1,0),FALSE)</f>
        <v>9.8000000000000007</v>
      </c>
      <c r="X56" s="63">
        <f>VLOOKUP($B56,'Tillförd energi'!$B$1:$AI$720,MATCH(X$2,'Tillförd energi'!$B$1:$AQ$1,0),FALSE)</f>
        <v>0</v>
      </c>
      <c r="Y56" s="63">
        <f>VLOOKUP($B56,'Tillförd energi'!$B$1:$AI$720,MATCH(Y$2,'Tillförd energi'!$B$1:$AQ$1,0),FALSE)</f>
        <v>0</v>
      </c>
      <c r="Z56" s="63">
        <f>VLOOKUP($B56,'Tillförd energi'!$B$1:$AI$720,MATCH(Z$2,'Tillförd energi'!$B$1:$AQ$1,0),FALSE)</f>
        <v>0</v>
      </c>
      <c r="AA56" s="63">
        <f>VLOOKUP($B56,'Tillförd energi'!$B$1:$AI$720,MATCH(AA$2,'Tillförd energi'!$B$1:$AQ$1,0),FALSE)</f>
        <v>0</v>
      </c>
      <c r="AB56" s="63">
        <f>VLOOKUP($B56,'Tillförd energi'!$B$1:$AI$720,MATCH(AB$2,'Tillförd energi'!$B$1:$AQ$1,0),FALSE)</f>
        <v>0</v>
      </c>
      <c r="AC56" s="63">
        <f>VLOOKUP($B56,'Tillförd energi'!$B$1:$AI$720,MATCH(AC$2,'Tillförd energi'!$B$1:$AQ$1,0),FALSE)</f>
        <v>69.599999999999994</v>
      </c>
      <c r="AD56" s="63">
        <f>VLOOKUP($B56,'Tillförd energi'!$B$1:$AI$720,MATCH(AD$2,'Tillförd energi'!$B$1:$AQ$1,0),FALSE)</f>
        <v>0</v>
      </c>
      <c r="AE56" s="63">
        <f>VLOOKUP($B56,'Tillförd energi'!$B$1:$AI$720,MATCH(AE$2,'Tillförd energi'!$B$1:$AQ$1,0),FALSE)</f>
        <v>0</v>
      </c>
      <c r="AF56" s="63">
        <f>VLOOKUP($B56,'Tillförd energi'!$B$1:$AI$720,MATCH(AF$2,'Tillförd energi'!$B$1:$AQ$1,0),FALSE)</f>
        <v>37.8142</v>
      </c>
      <c r="AG56" s="63">
        <f>IFERROR(VLOOKUP(B56,Miljö!$B$1:$AC$550,MATCH("Köpt mängd produktionsspecifik fjärrvärme:",Miljö!$B$1:$AC$1,0),FALSE)/1,0)</f>
        <v>0</v>
      </c>
      <c r="AI56" s="63">
        <f t="shared" si="0"/>
        <v>912.41914000000008</v>
      </c>
      <c r="AJ56" s="63">
        <f>IF(ISERROR(1/VLOOKUP($B56,Leveranser!$B$1:$S$500,MATCH("såld värme (gwh)",Leveranser!$B$1:$S$1,0),FALSE)),"",VLOOKUP($B56,Leveranser!$B$1:$S$500,MATCH("såld värme (gwh)",Leveranser!$B$1:$S$1,0),FALSE))</f>
        <v>879</v>
      </c>
      <c r="AM56" s="63" t="str">
        <f>IF(B56&lt;&gt;"",IF(VLOOKUP($B56,Totalt!$B$1:$AQ$554,MATCH("Kvalitetsgranskad:",Totalt!$B$1:$AQ$1,0),FALSE)="ja",VLOOKUP($B56,Miljö!$B$1:$AG$479,MATCH(AM$2,Miljö!$B$1:$AK$1,0),FALSE),""),"")</f>
        <v>Ja</v>
      </c>
      <c r="AN56" s="63" t="str">
        <f>IF(AM56="ja",VLOOKUP($B56,Miljö!$B$1:$J$479,MATCH("Typ av ursprungsspecificerad el   (Om inget värde anges används Nordisk residualmix, se inforuta) ()",Miljö!$B$1:$J$1,0),FALSE),IF(AM56="nej","Nordisk residualel",""))</f>
        <v>-</v>
      </c>
      <c r="AO56" s="63">
        <f>IF(AM56="","",VLOOKUP($B56,Miljö!$B$1:$J$479,MATCH("Fossilandel för ursprungspecificerad el ()",Miljö!$B$1:$J$1,0),FALSE))</f>
        <v>0.35</v>
      </c>
      <c r="AQ56" s="63">
        <f t="shared" si="1"/>
        <v>0.65</v>
      </c>
      <c r="AS56" s="63" t="str">
        <f t="shared" si="2"/>
        <v>Nej</v>
      </c>
      <c r="AT56" s="63" t="str">
        <f>IF(AS56="ja",VLOOKUP($B56,Miljö!$B$1:$P$500,MATCH("Fossil andel i procent (%)",Miljö!$B$1:$P$1,0),FALSE)/100,"")</f>
        <v/>
      </c>
      <c r="AV56" s="63" t="str">
        <f t="shared" si="3"/>
        <v>Nej</v>
      </c>
      <c r="AW56" s="63" t="str">
        <f>IF(AV56="ja",VLOOKUP($B56,'Egen hetvattenprod'!$B$1:$AO$500,MATCH("Värmekälla till värmepumpar ()",'Egen hetvattenprod'!$B$1:$AO$1,0),FALSE),"")</f>
        <v/>
      </c>
      <c r="AY56" s="63" t="str">
        <f t="shared" si="4"/>
        <v>Ja</v>
      </c>
      <c r="AZ56" s="77">
        <f>IF($AY56="ja",(VLOOKUP($B56,'Egen hetvattenprod'!$B$1:$BX$550,MATCH(AZ$2,'Egen hetvattenprod'!$B$1:$BX$1,0),FALSE)+VLOOKUP($B56,Kraftvärmeprod!$B$1:$BX$550,MATCH(AZ$2,Kraftvärmeprod!$B$1:$BX$1,0),FALSE))/$AC56,"")</f>
        <v>1</v>
      </c>
      <c r="BA56" s="77">
        <f>IF($AY56="ja",(VLOOKUP($B56,'Egen hetvattenprod'!$B$1:$BX$550,MATCH(BA$2,'Egen hetvattenprod'!$B$1:$BX$1,0),FALSE)+VLOOKUP($B56,Kraftvärmeprod!$B$1:$BX$550,MATCH(BA$2,Kraftvärmeprod!$B$1:$BX$1,0),FALSE))/$AC56,"")</f>
        <v>0</v>
      </c>
      <c r="BB56" s="77">
        <f>IF($AY56="ja",(VLOOKUP($B56,'Egen hetvattenprod'!$B$1:$BX$550,MATCH(BB$2,'Egen hetvattenprod'!$B$1:$BX$1,0),FALSE)+VLOOKUP($B56,Kraftvärmeprod!$B$1:$BX$550,MATCH(BB$2,Kraftvärmeprod!$B$1:$BX$1,0),FALSE))/$AC56,"")</f>
        <v>0</v>
      </c>
      <c r="BC56" s="77">
        <f>IF($AY56="ja",(VLOOKUP($B56,'Egen hetvattenprod'!$B$1:$BX$550,MATCH(BC$2,'Egen hetvattenprod'!$B$1:$BX$1,0),FALSE)+VLOOKUP($B56,Kraftvärmeprod!$B$1:$BX$550,MATCH(BC$2,Kraftvärmeprod!$B$1:$BX$1,0),FALSE))/$AC56,"")</f>
        <v>0</v>
      </c>
      <c r="BD56" s="77">
        <f>IF($AY56="ja",(VLOOKUP($B56,'Egen hetvattenprod'!$B$1:$BX$550,MATCH(BD$2,'Egen hetvattenprod'!$B$1:$BX$1,0),FALSE)+VLOOKUP($B56,Kraftvärmeprod!$B$1:$BX$550,MATCH(BD$2,Kraftvärmeprod!$B$1:$BX$1,0),FALSE))/$AC56,"")</f>
        <v>0</v>
      </c>
      <c r="BF56" s="63" t="str">
        <f t="shared" si="5"/>
        <v>Ja</v>
      </c>
      <c r="BG56" s="63" t="str">
        <f>IF($BF56="ja",VLOOKUP($B56,'Egen hetvattenprod'!$B$1:$BX$550,MATCH("Andelen klimatgaser med fossilt ursprung för avfall ()",'Egen hetvattenprod'!$B$1:$BX$1,0),FALSE),"")</f>
        <v>-</v>
      </c>
      <c r="BH56" s="63" t="str">
        <f>IF($BF56="ja",VLOOKUP($B56,Kraftvärmeprod!$B$1:$BX$550,MATCH("Andelen klimatgaser med fossilt ursprung för avfall ()",Kraftvärmeprod!$B$1:$BX$1,0),FALSE),"")</f>
        <v>Mätvärde</v>
      </c>
      <c r="BI56" s="63">
        <f>IF($BF56="ja",VLOOKUP($B56,'Egen hetvattenprod'!$B$1:$BX$550,MATCH("Avfall (GWh)",'Egen hetvattenprod'!$B$1:$BX$1,0),FALSE),"")</f>
        <v>110.3</v>
      </c>
      <c r="BJ56" s="63">
        <f>IF($BF56="ja",VLOOKUP($B56,'Slutlig allokering kvv'!$B$1:$BX$550,MATCH("Avfall (GWh)",'Slutlig allokering kvv'!$B$1:$BX$1,0),FALSE),"")</f>
        <v>560.60900000000004</v>
      </c>
      <c r="BK56" s="63">
        <f>IF($BF56="ja",VLOOKUP($B56,'Köpt hetvatten'!$B$1:$BX$550,MATCH("Avfall i köpt hetvatten",'Köpt hetvatten'!$B$1:$BX$1,0),FALSE),"")</f>
        <v>0</v>
      </c>
      <c r="BL56" s="63" t="str">
        <f>IF($BF56="ja",VLOOKUP($B56,'Egen hetvattenprod'!$B$1:$BX$550,MATCH("Värde enligt ovan. (%)",'Egen hetvattenprod'!$B$1:$BX$1,0),FALSE),"")</f>
        <v>ET</v>
      </c>
      <c r="BM56" s="63">
        <f>IF($BF56="ja",VLOOKUP($B56,Kraftvärmeprod!$B$1:$BX$550,MATCH("Värde enligt ovan. (%)",Kraftvärmeprod!$B$1:$BX$1,0),FALSE),"")</f>
        <v>41</v>
      </c>
    </row>
    <row r="57" spans="1:65" x14ac:dyDescent="0.45">
      <c r="A57" s="63" t="s">
        <v>610</v>
      </c>
      <c r="B57" s="63" t="s">
        <v>621</v>
      </c>
      <c r="C57" s="63">
        <f>VLOOKUP($B57,'Tillförd energi'!$B$1:$AI$720,MATCH(C$2,'Tillförd energi'!$B$1:$AQ$1,0),FALSE)</f>
        <v>0</v>
      </c>
      <c r="D57" s="63">
        <f>VLOOKUP($B57,'Tillförd energi'!$B$1:$AI$720,MATCH(D$2,'Tillförd energi'!$B$1:$AQ$1,0),FALSE)</f>
        <v>0</v>
      </c>
      <c r="E57" s="63">
        <f>VLOOKUP($B57,'Tillförd energi'!$B$1:$AI$720,MATCH(E$2,'Tillförd energi'!$B$1:$AQ$1,0),FALSE)</f>
        <v>0</v>
      </c>
      <c r="F57" s="63">
        <f>VLOOKUP($B57,'Tillförd energi'!$B$1:$AI$720,MATCH(F$2,'Tillförd energi'!$B$1:$AQ$1,0),FALSE)</f>
        <v>0</v>
      </c>
      <c r="G57" s="63">
        <f>VLOOKUP($B57,'Tillförd energi'!$B$1:$AI$720,MATCH(G$2,'Tillförd energi'!$B$1:$AQ$1,0),FALSE)</f>
        <v>0</v>
      </c>
      <c r="H57" s="63">
        <f>VLOOKUP($B57,'Tillförd energi'!$B$1:$AI$720,MATCH(H$2,'Tillförd energi'!$B$1:$AQ$1,0),FALSE)</f>
        <v>0</v>
      </c>
      <c r="I57" s="63">
        <f>VLOOKUP($B57,'Tillförd energi'!$B$1:$AI$720,MATCH(I$2,'Tillförd energi'!$B$1:$AQ$1,0),FALSE)</f>
        <v>0</v>
      </c>
      <c r="J57" s="63">
        <f>VLOOKUP($B57,'Tillförd energi'!$B$1:$AI$720,MATCH(J$2,'Tillförd energi'!$B$1:$AQ$1,0),FALSE)</f>
        <v>0</v>
      </c>
      <c r="K57" s="63">
        <f>VLOOKUP($B57,'Tillförd energi'!$B$1:$AI$720,MATCH(K$2,'Tillförd energi'!$B$1:$AQ$1,0),FALSE)</f>
        <v>0</v>
      </c>
      <c r="L57" s="63">
        <f>VLOOKUP($B57,'Tillförd energi'!$B$1:$AI$720,MATCH(L$2,'Tillförd energi'!$B$1:$AQ$1,0),FALSE)</f>
        <v>0</v>
      </c>
      <c r="M57" s="63">
        <f>VLOOKUP($B57,'Tillförd energi'!$B$1:$AI$720,MATCH(M$2,'Tillförd energi'!$B$1:$AQ$1,0),FALSE)</f>
        <v>0</v>
      </c>
      <c r="N57" s="63">
        <f>VLOOKUP($B57,'Tillförd energi'!$B$1:$AI$720,MATCH(N$2,'Tillförd energi'!$B$1:$AQ$1,0),FALSE)</f>
        <v>0</v>
      </c>
      <c r="O57" s="63">
        <f>VLOOKUP($B57,'Tillförd energi'!$B$1:$AI$720,MATCH(O$2,'Tillförd energi'!$B$1:$AQ$1,0),FALSE)</f>
        <v>0</v>
      </c>
      <c r="P57" s="63">
        <f>VLOOKUP($B57,'Tillförd energi'!$B$1:$AI$720,MATCH(P$2,'Tillförd energi'!$B$1:$AQ$1,0),FALSE)</f>
        <v>0</v>
      </c>
      <c r="Q57" s="63">
        <f>VLOOKUP($B57,'Tillförd energi'!$B$1:$AI$720,MATCH(Q$2,'Tillförd energi'!$B$1:$AQ$1,0),FALSE)</f>
        <v>0</v>
      </c>
      <c r="R57" s="63">
        <f>VLOOKUP($B57,'Tillförd energi'!$B$1:$AI$720,MATCH(R$2,'Tillförd energi'!$B$1:$AQ$1,0),FALSE)</f>
        <v>0</v>
      </c>
      <c r="S57" s="63">
        <f>VLOOKUP($B57,'Tillförd energi'!$B$1:$AI$720,MATCH(S$2,'Tillförd energi'!$B$1:$AQ$1,0),FALSE)</f>
        <v>0</v>
      </c>
      <c r="T57" s="63">
        <f>VLOOKUP($B57,'Tillförd energi'!$B$1:$AI$720,MATCH(T$2,'Tillförd energi'!$B$1:$AQ$1,0),FALSE)</f>
        <v>0</v>
      </c>
      <c r="U57" s="63">
        <f>VLOOKUP($B57,'Tillförd energi'!$B$1:$AI$720,MATCH(U$2,'Tillförd energi'!$B$1:$AQ$1,0),FALSE)</f>
        <v>0</v>
      </c>
      <c r="V57" s="63">
        <f>VLOOKUP($B57,'Tillförd energi'!$B$1:$AI$720,MATCH(V$2,'Tillförd energi'!$B$1:$AQ$1,0),FALSE)</f>
        <v>0</v>
      </c>
      <c r="W57" s="63">
        <f>VLOOKUP($B57,'Tillförd energi'!$B$1:$AI$720,MATCH(W$2,'Tillförd energi'!$B$1:$AQ$1,0),FALSE)</f>
        <v>0</v>
      </c>
      <c r="X57" s="63">
        <f>VLOOKUP($B57,'Tillförd energi'!$B$1:$AI$720,MATCH(X$2,'Tillförd energi'!$B$1:$AQ$1,0),FALSE)</f>
        <v>0</v>
      </c>
      <c r="Y57" s="63">
        <f>VLOOKUP($B57,'Tillförd energi'!$B$1:$AI$720,MATCH(Y$2,'Tillförd energi'!$B$1:$AQ$1,0),FALSE)</f>
        <v>0</v>
      </c>
      <c r="Z57" s="63">
        <f>VLOOKUP($B57,'Tillförd energi'!$B$1:$AI$720,MATCH(Z$2,'Tillförd energi'!$B$1:$AQ$1,0),FALSE)</f>
        <v>0</v>
      </c>
      <c r="AA57" s="63">
        <f>VLOOKUP($B57,'Tillförd energi'!$B$1:$AI$720,MATCH(AA$2,'Tillförd energi'!$B$1:$AQ$1,0),FALSE)</f>
        <v>0</v>
      </c>
      <c r="AB57" s="63">
        <f>VLOOKUP($B57,'Tillförd energi'!$B$1:$AI$720,MATCH(AB$2,'Tillförd energi'!$B$1:$AQ$1,0),FALSE)</f>
        <v>0</v>
      </c>
      <c r="AC57" s="63">
        <f>VLOOKUP($B57,'Tillförd energi'!$B$1:$AI$720,MATCH(AC$2,'Tillförd energi'!$B$1:$AQ$1,0),FALSE)</f>
        <v>0</v>
      </c>
      <c r="AD57" s="63">
        <f>VLOOKUP($B57,'Tillförd energi'!$B$1:$AI$720,MATCH(AD$2,'Tillförd energi'!$B$1:$AQ$1,0),FALSE)</f>
        <v>0</v>
      </c>
      <c r="AE57" s="63">
        <f>VLOOKUP($B57,'Tillförd energi'!$B$1:$AI$720,MATCH(AE$2,'Tillförd energi'!$B$1:$AQ$1,0),FALSE)</f>
        <v>0</v>
      </c>
      <c r="AF57" s="63">
        <f>VLOOKUP($B57,'Tillförd energi'!$B$1:$AI$720,MATCH(AF$2,'Tillförd energi'!$B$1:$AQ$1,0),FALSE)</f>
        <v>0</v>
      </c>
      <c r="AG57" s="63">
        <f>IFERROR(VLOOKUP(B57,Miljö!$B$1:$AC$550,MATCH("Köpt mängd produktionsspecifik fjärrvärme:",Miljö!$B$1:$AC$1,0),FALSE)/1,0)</f>
        <v>0</v>
      </c>
      <c r="AI57" s="63">
        <f t="shared" si="0"/>
        <v>0</v>
      </c>
      <c r="AJ57" s="63" t="str">
        <f>IF(ISERROR(1/VLOOKUP($B57,Leveranser!$B$1:$S$500,MATCH("såld värme (gwh)",Leveranser!$B$1:$S$1,0),FALSE)),"",VLOOKUP($B57,Leveranser!$B$1:$S$500,MATCH("såld värme (gwh)",Leveranser!$B$1:$S$1,0),FALSE))</f>
        <v/>
      </c>
      <c r="AM57" s="63" t="str">
        <f>IF(B57&lt;&gt;"",IF(VLOOKUP($B57,Totalt!$B$1:$AQ$554,MATCH("Kvalitetsgranskad:",Totalt!$B$1:$AQ$1,0),FALSE)="ja",VLOOKUP($B57,Miljö!$B$1:$AG$479,MATCH(AM$2,Miljö!$B$1:$AK$1,0),FALSE),""),"")</f>
        <v/>
      </c>
      <c r="AN57" s="63" t="str">
        <f>IF(AM57="ja",VLOOKUP($B57,Miljö!$B$1:$J$479,MATCH("Typ av ursprungsspecificerad el   (Om inget värde anges används Nordisk residualmix, se inforuta) ()",Miljö!$B$1:$J$1,0),FALSE),IF(AM57="nej","Nordisk residualel",""))</f>
        <v/>
      </c>
      <c r="AO57" s="63" t="str">
        <f>IF(AM57="","",VLOOKUP($B57,Miljö!$B$1:$J$479,MATCH("Fossilandel för ursprungspecificerad el ()",Miljö!$B$1:$J$1,0),FALSE))</f>
        <v/>
      </c>
      <c r="AQ57" s="63" t="str">
        <f t="shared" si="1"/>
        <v/>
      </c>
      <c r="AS57" s="63" t="str">
        <f t="shared" si="2"/>
        <v>Nej</v>
      </c>
      <c r="AT57" s="63" t="str">
        <f>IF(AS57="ja",VLOOKUP($B57,Miljö!$B$1:$P$500,MATCH("Fossil andel i procent (%)",Miljö!$B$1:$P$1,0),FALSE)/100,"")</f>
        <v/>
      </c>
      <c r="AV57" s="63" t="str">
        <f t="shared" si="3"/>
        <v>Nej</v>
      </c>
      <c r="AW57" s="63" t="str">
        <f>IF(AV57="ja",VLOOKUP($B57,'Egen hetvattenprod'!$B$1:$AO$500,MATCH("Värmekälla till värmepumpar ()",'Egen hetvattenprod'!$B$1:$AO$1,0),FALSE),"")</f>
        <v/>
      </c>
      <c r="AY57" s="63" t="str">
        <f t="shared" si="4"/>
        <v>Nej</v>
      </c>
      <c r="AZ57" s="77" t="str">
        <f>IF($AY57="ja",(VLOOKUP($B57,'Egen hetvattenprod'!$B$1:$BX$550,MATCH(AZ$2,'Egen hetvattenprod'!$B$1:$BX$1,0),FALSE)+VLOOKUP($B57,Kraftvärmeprod!$B$1:$BX$550,MATCH(AZ$2,Kraftvärmeprod!$B$1:$BX$1,0),FALSE))/$AC57,"")</f>
        <v/>
      </c>
      <c r="BA57" s="77" t="str">
        <f>IF($AY57="ja",(VLOOKUP($B57,'Egen hetvattenprod'!$B$1:$BX$550,MATCH(BA$2,'Egen hetvattenprod'!$B$1:$BX$1,0),FALSE)+VLOOKUP($B57,Kraftvärmeprod!$B$1:$BX$550,MATCH(BA$2,Kraftvärmeprod!$B$1:$BX$1,0),FALSE))/$AC57,"")</f>
        <v/>
      </c>
      <c r="BB57" s="77" t="str">
        <f>IF($AY57="ja",(VLOOKUP($B57,'Egen hetvattenprod'!$B$1:$BX$550,MATCH(BB$2,'Egen hetvattenprod'!$B$1:$BX$1,0),FALSE)+VLOOKUP($B57,Kraftvärmeprod!$B$1:$BX$550,MATCH(BB$2,Kraftvärmeprod!$B$1:$BX$1,0),FALSE))/$AC57,"")</f>
        <v/>
      </c>
      <c r="BC57" s="77" t="str">
        <f>IF($AY57="ja",(VLOOKUP($B57,'Egen hetvattenprod'!$B$1:$BX$550,MATCH(BC$2,'Egen hetvattenprod'!$B$1:$BX$1,0),FALSE)+VLOOKUP($B57,Kraftvärmeprod!$B$1:$BX$550,MATCH(BC$2,Kraftvärmeprod!$B$1:$BX$1,0),FALSE))/$AC57,"")</f>
        <v/>
      </c>
      <c r="BD57" s="77" t="str">
        <f>IF($AY57="ja",(VLOOKUP($B57,'Egen hetvattenprod'!$B$1:$BX$550,MATCH(BD$2,'Egen hetvattenprod'!$B$1:$BX$1,0),FALSE)+VLOOKUP($B57,Kraftvärmeprod!$B$1:$BX$550,MATCH(BD$2,Kraftvärmeprod!$B$1:$BX$1,0),FALSE))/$AC57,"")</f>
        <v/>
      </c>
      <c r="BF57" s="63" t="str">
        <f t="shared" si="5"/>
        <v>Nej</v>
      </c>
      <c r="BG57" s="63" t="str">
        <f>IF($BF57="ja",VLOOKUP($B57,'Egen hetvattenprod'!$B$1:$BX$550,MATCH("Andelen klimatgaser med fossilt ursprung för avfall ()",'Egen hetvattenprod'!$B$1:$BX$1,0),FALSE),"")</f>
        <v/>
      </c>
      <c r="BH57" s="63" t="str">
        <f>IF($BF57="ja",VLOOKUP($B57,Kraftvärmeprod!$B$1:$BX$550,MATCH("Andelen klimatgaser med fossilt ursprung för avfall ()",Kraftvärmeprod!$B$1:$BX$1,0),FALSE),"")</f>
        <v/>
      </c>
      <c r="BI57" s="63" t="str">
        <f>IF($BF57="ja",VLOOKUP($B57,'Egen hetvattenprod'!$B$1:$BX$550,MATCH("Avfall (GWh)",'Egen hetvattenprod'!$B$1:$BX$1,0),FALSE),"")</f>
        <v/>
      </c>
      <c r="BJ57" s="63" t="str">
        <f>IF($BF57="ja",VLOOKUP($B57,'Slutlig allokering kvv'!$B$1:$BX$550,MATCH("Avfall (GWh)",'Slutlig allokering kvv'!$B$1:$BX$1,0),FALSE),"")</f>
        <v/>
      </c>
      <c r="BK57" s="63" t="str">
        <f>IF($BF57="ja",VLOOKUP($B57,'Köpt hetvatten'!$B$1:$BX$550,MATCH("Avfall i köpt hetvatten",'Köpt hetvatten'!$B$1:$BX$1,0),FALSE),"")</f>
        <v/>
      </c>
      <c r="BL57" s="63" t="str">
        <f>IF($BF57="ja",VLOOKUP($B57,'Egen hetvattenprod'!$B$1:$BX$550,MATCH("Värde enligt ovan. (%)",'Egen hetvattenprod'!$B$1:$BX$1,0),FALSE),"")</f>
        <v/>
      </c>
      <c r="BM57" s="63" t="str">
        <f>IF($BF57="ja",VLOOKUP($B57,Kraftvärmeprod!$B$1:$BX$550,MATCH("Värde enligt ovan. (%)",Kraftvärmeprod!$B$1:$BX$1,0),FALSE),"")</f>
        <v/>
      </c>
    </row>
    <row r="58" spans="1:65" x14ac:dyDescent="0.45">
      <c r="A58" s="63" t="s">
        <v>610</v>
      </c>
      <c r="B58" s="63" t="s">
        <v>620</v>
      </c>
      <c r="C58" s="63">
        <f>VLOOKUP($B58,'Tillförd energi'!$B$1:$AI$720,MATCH(C$2,'Tillförd energi'!$B$1:$AQ$1,0),FALSE)</f>
        <v>0</v>
      </c>
      <c r="D58" s="63">
        <f>VLOOKUP($B58,'Tillförd energi'!$B$1:$AI$720,MATCH(D$2,'Tillförd energi'!$B$1:$AQ$1,0),FALSE)</f>
        <v>0.4</v>
      </c>
      <c r="E58" s="63">
        <f>VLOOKUP($B58,'Tillförd energi'!$B$1:$AI$720,MATCH(E$2,'Tillförd energi'!$B$1:$AQ$1,0),FALSE)</f>
        <v>0</v>
      </c>
      <c r="F58" s="63">
        <f>VLOOKUP($B58,'Tillförd energi'!$B$1:$AI$720,MATCH(F$2,'Tillförd energi'!$B$1:$AQ$1,0),FALSE)</f>
        <v>0</v>
      </c>
      <c r="G58" s="63">
        <f>VLOOKUP($B58,'Tillförd energi'!$B$1:$AI$720,MATCH(G$2,'Tillförd energi'!$B$1:$AQ$1,0),FALSE)</f>
        <v>0</v>
      </c>
      <c r="H58" s="63">
        <f>VLOOKUP($B58,'Tillförd energi'!$B$1:$AI$720,MATCH(H$2,'Tillförd energi'!$B$1:$AQ$1,0),FALSE)</f>
        <v>0</v>
      </c>
      <c r="I58" s="63">
        <f>VLOOKUP($B58,'Tillförd energi'!$B$1:$AI$720,MATCH(I$2,'Tillförd energi'!$B$1:$AQ$1,0),FALSE)</f>
        <v>0</v>
      </c>
      <c r="J58" s="63">
        <f>VLOOKUP($B58,'Tillförd energi'!$B$1:$AI$720,MATCH(J$2,'Tillförd energi'!$B$1:$AQ$1,0),FALSE)</f>
        <v>0</v>
      </c>
      <c r="K58" s="63">
        <f>VLOOKUP($B58,'Tillförd energi'!$B$1:$AI$720,MATCH(K$2,'Tillförd energi'!$B$1:$AQ$1,0),FALSE)</f>
        <v>0</v>
      </c>
      <c r="L58" s="63">
        <f>VLOOKUP($B58,'Tillförd energi'!$B$1:$AI$720,MATCH(L$2,'Tillförd energi'!$B$1:$AQ$1,0),FALSE)</f>
        <v>0</v>
      </c>
      <c r="M58" s="63">
        <f>VLOOKUP($B58,'Tillförd energi'!$B$1:$AI$720,MATCH(M$2,'Tillförd energi'!$B$1:$AQ$1,0),FALSE)</f>
        <v>0</v>
      </c>
      <c r="N58" s="63">
        <f>VLOOKUP($B58,'Tillförd energi'!$B$1:$AI$720,MATCH(N$2,'Tillförd energi'!$B$1:$AQ$1,0),FALSE)</f>
        <v>0</v>
      </c>
      <c r="O58" s="63">
        <f>VLOOKUP($B58,'Tillförd energi'!$B$1:$AI$720,MATCH(O$2,'Tillförd energi'!$B$1:$AQ$1,0),FALSE)</f>
        <v>0</v>
      </c>
      <c r="P58" s="63">
        <f>VLOOKUP($B58,'Tillförd energi'!$B$1:$AI$720,MATCH(P$2,'Tillförd energi'!$B$1:$AQ$1,0),FALSE)</f>
        <v>24.9</v>
      </c>
      <c r="Q58" s="63">
        <f>VLOOKUP($B58,'Tillförd energi'!$B$1:$AI$720,MATCH(Q$2,'Tillförd energi'!$B$1:$AQ$1,0),FALSE)</f>
        <v>0</v>
      </c>
      <c r="R58" s="63">
        <f>VLOOKUP($B58,'Tillförd energi'!$B$1:$AI$720,MATCH(R$2,'Tillförd energi'!$B$1:$AQ$1,0),FALSE)</f>
        <v>7.4</v>
      </c>
      <c r="S58" s="63">
        <f>VLOOKUP($B58,'Tillförd energi'!$B$1:$AI$720,MATCH(S$2,'Tillförd energi'!$B$1:$AQ$1,0),FALSE)</f>
        <v>0</v>
      </c>
      <c r="T58" s="63">
        <f>VLOOKUP($B58,'Tillförd energi'!$B$1:$AI$720,MATCH(T$2,'Tillförd energi'!$B$1:$AQ$1,0),FALSE)</f>
        <v>0</v>
      </c>
      <c r="U58" s="63">
        <f>VLOOKUP($B58,'Tillförd energi'!$B$1:$AI$720,MATCH(U$2,'Tillförd energi'!$B$1:$AQ$1,0),FALSE)</f>
        <v>0</v>
      </c>
      <c r="V58" s="63">
        <f>VLOOKUP($B58,'Tillförd energi'!$B$1:$AI$720,MATCH(V$2,'Tillförd energi'!$B$1:$AQ$1,0),FALSE)</f>
        <v>0</v>
      </c>
      <c r="W58" s="63">
        <f>VLOOKUP($B58,'Tillförd energi'!$B$1:$AI$720,MATCH(W$2,'Tillförd energi'!$B$1:$AQ$1,0),FALSE)</f>
        <v>1.8</v>
      </c>
      <c r="X58" s="63">
        <f>VLOOKUP($B58,'Tillförd energi'!$B$1:$AI$720,MATCH(X$2,'Tillförd energi'!$B$1:$AQ$1,0),FALSE)</f>
        <v>0</v>
      </c>
      <c r="Y58" s="63">
        <f>VLOOKUP($B58,'Tillförd energi'!$B$1:$AI$720,MATCH(Y$2,'Tillförd energi'!$B$1:$AQ$1,0),FALSE)</f>
        <v>0</v>
      </c>
      <c r="Z58" s="63">
        <f>VLOOKUP($B58,'Tillförd energi'!$B$1:$AI$720,MATCH(Z$2,'Tillförd energi'!$B$1:$AQ$1,0),FALSE)</f>
        <v>0</v>
      </c>
      <c r="AA58" s="63">
        <f>VLOOKUP($B58,'Tillförd energi'!$B$1:$AI$720,MATCH(AA$2,'Tillförd energi'!$B$1:$AQ$1,0),FALSE)</f>
        <v>0</v>
      </c>
      <c r="AB58" s="63">
        <f>VLOOKUP($B58,'Tillförd energi'!$B$1:$AI$720,MATCH(AB$2,'Tillförd energi'!$B$1:$AQ$1,0),FALSE)</f>
        <v>0</v>
      </c>
      <c r="AC58" s="63">
        <f>VLOOKUP($B58,'Tillförd energi'!$B$1:$AI$720,MATCH(AC$2,'Tillförd energi'!$B$1:$AQ$1,0),FALSE)</f>
        <v>0</v>
      </c>
      <c r="AD58" s="63">
        <f>VLOOKUP($B58,'Tillförd energi'!$B$1:$AI$720,MATCH(AD$2,'Tillförd energi'!$B$1:$AQ$1,0),FALSE)</f>
        <v>8.8000000000000007</v>
      </c>
      <c r="AE58" s="63">
        <f>VLOOKUP($B58,'Tillförd energi'!$B$1:$AI$720,MATCH(AE$2,'Tillförd energi'!$B$1:$AQ$1,0),FALSE)</f>
        <v>0</v>
      </c>
      <c r="AF58" s="63">
        <f>VLOOKUP($B58,'Tillförd energi'!$B$1:$AI$720,MATCH(AF$2,'Tillförd energi'!$B$1:$AQ$1,0),FALSE)</f>
        <v>1.07</v>
      </c>
      <c r="AG58" s="63">
        <f>IFERROR(VLOOKUP(B58,Miljö!$B$1:$AC$550,MATCH("Köpt mängd produktionsspecifik fjärrvärme:",Miljö!$B$1:$AC$1,0),FALSE)/1,0)</f>
        <v>0</v>
      </c>
      <c r="AI58" s="63">
        <f t="shared" si="0"/>
        <v>44.37</v>
      </c>
      <c r="AJ58" s="63">
        <f>IF(ISERROR(1/VLOOKUP($B58,Leveranser!$B$1:$S$500,MATCH("såld värme (gwh)",Leveranser!$B$1:$S$1,0),FALSE)),"",VLOOKUP($B58,Leveranser!$B$1:$S$500,MATCH("såld värme (gwh)",Leveranser!$B$1:$S$1,0),FALSE))</f>
        <v>33.200000000000003</v>
      </c>
      <c r="AM58" s="63" t="str">
        <f>IF(B58&lt;&gt;"",IF(VLOOKUP($B58,Totalt!$B$1:$AQ$554,MATCH("Kvalitetsgranskad:",Totalt!$B$1:$AQ$1,0),FALSE)="ja",VLOOKUP($B58,Miljö!$B$1:$AG$479,MATCH(AM$2,Miljö!$B$1:$AK$1,0),FALSE),""),"")</f>
        <v>Ja</v>
      </c>
      <c r="AN58" s="63" t="str">
        <f>IF(AM58="ja",VLOOKUP($B58,Miljö!$B$1:$J$479,MATCH("Typ av ursprungsspecificerad el   (Om inget värde anges används Nordisk residualmix, se inforuta) ()",Miljö!$B$1:$J$1,0),FALSE),IF(AM58="nej","Nordisk residualel",""))</f>
        <v>-</v>
      </c>
      <c r="AO58" s="63">
        <f>IF(AM58="","",VLOOKUP($B58,Miljö!$B$1:$J$479,MATCH("Fossilandel för ursprungspecificerad el ()",Miljö!$B$1:$J$1,0),FALSE))</f>
        <v>0.35</v>
      </c>
      <c r="AQ58" s="63">
        <f t="shared" si="1"/>
        <v>0.65</v>
      </c>
      <c r="AS58" s="63" t="str">
        <f t="shared" si="2"/>
        <v>Nej</v>
      </c>
      <c r="AT58" s="63" t="str">
        <f>IF(AS58="ja",VLOOKUP($B58,Miljö!$B$1:$P$500,MATCH("Fossil andel i procent (%)",Miljö!$B$1:$P$1,0),FALSE)/100,"")</f>
        <v/>
      </c>
      <c r="AV58" s="63" t="str">
        <f t="shared" si="3"/>
        <v>Nej</v>
      </c>
      <c r="AW58" s="63" t="str">
        <f>IF(AV58="ja",VLOOKUP($B58,'Egen hetvattenprod'!$B$1:$AO$500,MATCH("Värmekälla till värmepumpar ()",'Egen hetvattenprod'!$B$1:$AO$1,0),FALSE),"")</f>
        <v/>
      </c>
      <c r="AY58" s="63" t="str">
        <f t="shared" si="4"/>
        <v>Nej</v>
      </c>
      <c r="AZ58" s="77" t="str">
        <f>IF($AY58="ja",(VLOOKUP($B58,'Egen hetvattenprod'!$B$1:$BX$550,MATCH(AZ$2,'Egen hetvattenprod'!$B$1:$BX$1,0),FALSE)+VLOOKUP($B58,Kraftvärmeprod!$B$1:$BX$550,MATCH(AZ$2,Kraftvärmeprod!$B$1:$BX$1,0),FALSE))/$AC58,"")</f>
        <v/>
      </c>
      <c r="BA58" s="77" t="str">
        <f>IF($AY58="ja",(VLOOKUP($B58,'Egen hetvattenprod'!$B$1:$BX$550,MATCH(BA$2,'Egen hetvattenprod'!$B$1:$BX$1,0),FALSE)+VLOOKUP($B58,Kraftvärmeprod!$B$1:$BX$550,MATCH(BA$2,Kraftvärmeprod!$B$1:$BX$1,0),FALSE))/$AC58,"")</f>
        <v/>
      </c>
      <c r="BB58" s="77" t="str">
        <f>IF($AY58="ja",(VLOOKUP($B58,'Egen hetvattenprod'!$B$1:$BX$550,MATCH(BB$2,'Egen hetvattenprod'!$B$1:$BX$1,0),FALSE)+VLOOKUP($B58,Kraftvärmeprod!$B$1:$BX$550,MATCH(BB$2,Kraftvärmeprod!$B$1:$BX$1,0),FALSE))/$AC58,"")</f>
        <v/>
      </c>
      <c r="BC58" s="77" t="str">
        <f>IF($AY58="ja",(VLOOKUP($B58,'Egen hetvattenprod'!$B$1:$BX$550,MATCH(BC$2,'Egen hetvattenprod'!$B$1:$BX$1,0),FALSE)+VLOOKUP($B58,Kraftvärmeprod!$B$1:$BX$550,MATCH(BC$2,Kraftvärmeprod!$B$1:$BX$1,0),FALSE))/$AC58,"")</f>
        <v/>
      </c>
      <c r="BD58" s="77" t="str">
        <f>IF($AY58="ja",(VLOOKUP($B58,'Egen hetvattenprod'!$B$1:$BX$550,MATCH(BD$2,'Egen hetvattenprod'!$B$1:$BX$1,0),FALSE)+VLOOKUP($B58,Kraftvärmeprod!$B$1:$BX$550,MATCH(BD$2,Kraftvärmeprod!$B$1:$BX$1,0),FALSE))/$AC58,"")</f>
        <v/>
      </c>
      <c r="BF58" s="63" t="str">
        <f t="shared" si="5"/>
        <v>Nej</v>
      </c>
      <c r="BG58" s="63" t="str">
        <f>IF($BF58="ja",VLOOKUP($B58,'Egen hetvattenprod'!$B$1:$BX$550,MATCH("Andelen klimatgaser med fossilt ursprung för avfall ()",'Egen hetvattenprod'!$B$1:$BX$1,0),FALSE),"")</f>
        <v/>
      </c>
      <c r="BH58" s="63" t="str">
        <f>IF($BF58="ja",VLOOKUP($B58,Kraftvärmeprod!$B$1:$BX$550,MATCH("Andelen klimatgaser med fossilt ursprung för avfall ()",Kraftvärmeprod!$B$1:$BX$1,0),FALSE),"")</f>
        <v/>
      </c>
      <c r="BI58" s="63" t="str">
        <f>IF($BF58="ja",VLOOKUP($B58,'Egen hetvattenprod'!$B$1:$BX$550,MATCH("Avfall (GWh)",'Egen hetvattenprod'!$B$1:$BX$1,0),FALSE),"")</f>
        <v/>
      </c>
      <c r="BJ58" s="63" t="str">
        <f>IF($BF58="ja",VLOOKUP($B58,'Slutlig allokering kvv'!$B$1:$BX$550,MATCH("Avfall (GWh)",'Slutlig allokering kvv'!$B$1:$BX$1,0),FALSE),"")</f>
        <v/>
      </c>
      <c r="BK58" s="63" t="str">
        <f>IF($BF58="ja",VLOOKUP($B58,'Köpt hetvatten'!$B$1:$BX$550,MATCH("Avfall i köpt hetvatten",'Köpt hetvatten'!$B$1:$BX$1,0),FALSE),"")</f>
        <v/>
      </c>
      <c r="BL58" s="63" t="str">
        <f>IF($BF58="ja",VLOOKUP($B58,'Egen hetvattenprod'!$B$1:$BX$550,MATCH("Värde enligt ovan. (%)",'Egen hetvattenprod'!$B$1:$BX$1,0),FALSE),"")</f>
        <v/>
      </c>
      <c r="BM58" s="63" t="str">
        <f>IF($BF58="ja",VLOOKUP($B58,Kraftvärmeprod!$B$1:$BX$550,MATCH("Värde enligt ovan. (%)",Kraftvärmeprod!$B$1:$BX$1,0),FALSE),"")</f>
        <v/>
      </c>
    </row>
    <row r="59" spans="1:65" x14ac:dyDescent="0.45">
      <c r="A59" s="63" t="s">
        <v>610</v>
      </c>
      <c r="B59" s="63" t="s">
        <v>619</v>
      </c>
      <c r="C59" s="63">
        <f>VLOOKUP($B59,'Tillförd energi'!$B$1:$AI$720,MATCH(C$2,'Tillförd energi'!$B$1:$AQ$1,0),FALSE)</f>
        <v>0</v>
      </c>
      <c r="D59" s="63">
        <f>VLOOKUP($B59,'Tillförd energi'!$B$1:$AI$720,MATCH(D$2,'Tillförd energi'!$B$1:$AQ$1,0),FALSE)</f>
        <v>0</v>
      </c>
      <c r="E59" s="63">
        <f>VLOOKUP($B59,'Tillförd energi'!$B$1:$AI$720,MATCH(E$2,'Tillförd energi'!$B$1:$AQ$1,0),FALSE)</f>
        <v>0</v>
      </c>
      <c r="F59" s="63">
        <f>VLOOKUP($B59,'Tillförd energi'!$B$1:$AI$720,MATCH(F$2,'Tillförd energi'!$B$1:$AQ$1,0),FALSE)</f>
        <v>0</v>
      </c>
      <c r="G59" s="63">
        <f>VLOOKUP($B59,'Tillförd energi'!$B$1:$AI$720,MATCH(G$2,'Tillförd energi'!$B$1:$AQ$1,0),FALSE)</f>
        <v>0</v>
      </c>
      <c r="H59" s="63">
        <f>VLOOKUP($B59,'Tillförd energi'!$B$1:$AI$720,MATCH(H$2,'Tillförd energi'!$B$1:$AQ$1,0),FALSE)</f>
        <v>0</v>
      </c>
      <c r="I59" s="63">
        <f>VLOOKUP($B59,'Tillförd energi'!$B$1:$AI$720,MATCH(I$2,'Tillförd energi'!$B$1:$AQ$1,0),FALSE)</f>
        <v>0</v>
      </c>
      <c r="J59" s="63">
        <f>VLOOKUP($B59,'Tillförd energi'!$B$1:$AI$720,MATCH(J$2,'Tillförd energi'!$B$1:$AQ$1,0),FALSE)</f>
        <v>0</v>
      </c>
      <c r="K59" s="63">
        <f>VLOOKUP($B59,'Tillförd energi'!$B$1:$AI$720,MATCH(K$2,'Tillförd energi'!$B$1:$AQ$1,0),FALSE)</f>
        <v>0</v>
      </c>
      <c r="L59" s="63">
        <f>VLOOKUP($B59,'Tillförd energi'!$B$1:$AI$720,MATCH(L$2,'Tillförd energi'!$B$1:$AQ$1,0),FALSE)</f>
        <v>0</v>
      </c>
      <c r="M59" s="63">
        <f>VLOOKUP($B59,'Tillförd energi'!$B$1:$AI$720,MATCH(M$2,'Tillförd energi'!$B$1:$AQ$1,0),FALSE)</f>
        <v>0</v>
      </c>
      <c r="N59" s="63">
        <f>VLOOKUP($B59,'Tillförd energi'!$B$1:$AI$720,MATCH(N$2,'Tillförd energi'!$B$1:$AQ$1,0),FALSE)</f>
        <v>0</v>
      </c>
      <c r="O59" s="63">
        <f>VLOOKUP($B59,'Tillförd energi'!$B$1:$AI$720,MATCH(O$2,'Tillförd energi'!$B$1:$AQ$1,0),FALSE)</f>
        <v>0</v>
      </c>
      <c r="P59" s="63">
        <f>VLOOKUP($B59,'Tillförd energi'!$B$1:$AI$720,MATCH(P$2,'Tillförd energi'!$B$1:$AQ$1,0),FALSE)</f>
        <v>0</v>
      </c>
      <c r="Q59" s="63">
        <f>VLOOKUP($B59,'Tillförd energi'!$B$1:$AI$720,MATCH(Q$2,'Tillförd energi'!$B$1:$AQ$1,0),FALSE)</f>
        <v>0</v>
      </c>
      <c r="R59" s="63">
        <f>VLOOKUP($B59,'Tillförd energi'!$B$1:$AI$720,MATCH(R$2,'Tillförd energi'!$B$1:$AQ$1,0),FALSE)</f>
        <v>0</v>
      </c>
      <c r="S59" s="63">
        <f>VLOOKUP($B59,'Tillförd energi'!$B$1:$AI$720,MATCH(S$2,'Tillförd energi'!$B$1:$AQ$1,0),FALSE)</f>
        <v>0</v>
      </c>
      <c r="T59" s="63">
        <f>VLOOKUP($B59,'Tillförd energi'!$B$1:$AI$720,MATCH(T$2,'Tillförd energi'!$B$1:$AQ$1,0),FALSE)</f>
        <v>0</v>
      </c>
      <c r="U59" s="63">
        <f>VLOOKUP($B59,'Tillförd energi'!$B$1:$AI$720,MATCH(U$2,'Tillförd energi'!$B$1:$AQ$1,0),FALSE)</f>
        <v>0</v>
      </c>
      <c r="V59" s="63">
        <f>VLOOKUP($B59,'Tillförd energi'!$B$1:$AI$720,MATCH(V$2,'Tillförd energi'!$B$1:$AQ$1,0),FALSE)</f>
        <v>0</v>
      </c>
      <c r="W59" s="63">
        <f>VLOOKUP($B59,'Tillförd energi'!$B$1:$AI$720,MATCH(W$2,'Tillförd energi'!$B$1:$AQ$1,0),FALSE)</f>
        <v>0</v>
      </c>
      <c r="X59" s="63">
        <f>VLOOKUP($B59,'Tillförd energi'!$B$1:$AI$720,MATCH(X$2,'Tillförd energi'!$B$1:$AQ$1,0),FALSE)</f>
        <v>0</v>
      </c>
      <c r="Y59" s="63">
        <f>VLOOKUP($B59,'Tillförd energi'!$B$1:$AI$720,MATCH(Y$2,'Tillförd energi'!$B$1:$AQ$1,0),FALSE)</f>
        <v>0</v>
      </c>
      <c r="Z59" s="63">
        <f>VLOOKUP($B59,'Tillförd energi'!$B$1:$AI$720,MATCH(Z$2,'Tillförd energi'!$B$1:$AQ$1,0),FALSE)</f>
        <v>0</v>
      </c>
      <c r="AA59" s="63">
        <f>VLOOKUP($B59,'Tillförd energi'!$B$1:$AI$720,MATCH(AA$2,'Tillförd energi'!$B$1:$AQ$1,0),FALSE)</f>
        <v>0</v>
      </c>
      <c r="AB59" s="63">
        <f>VLOOKUP($B59,'Tillförd energi'!$B$1:$AI$720,MATCH(AB$2,'Tillförd energi'!$B$1:$AQ$1,0),FALSE)</f>
        <v>0</v>
      </c>
      <c r="AC59" s="63">
        <f>VLOOKUP($B59,'Tillförd energi'!$B$1:$AI$720,MATCH(AC$2,'Tillförd energi'!$B$1:$AQ$1,0),FALSE)</f>
        <v>0</v>
      </c>
      <c r="AD59" s="63">
        <f>VLOOKUP($B59,'Tillförd energi'!$B$1:$AI$720,MATCH(AD$2,'Tillförd energi'!$B$1:$AQ$1,0),FALSE)</f>
        <v>0</v>
      </c>
      <c r="AE59" s="63">
        <f>VLOOKUP($B59,'Tillförd energi'!$B$1:$AI$720,MATCH(AE$2,'Tillförd energi'!$B$1:$AQ$1,0),FALSE)</f>
        <v>0</v>
      </c>
      <c r="AF59" s="63">
        <f>VLOOKUP($B59,'Tillförd energi'!$B$1:$AI$720,MATCH(AF$2,'Tillförd energi'!$B$1:$AQ$1,0),FALSE)</f>
        <v>0</v>
      </c>
      <c r="AG59" s="63">
        <f>IFERROR(VLOOKUP(B59,Miljö!$B$1:$AC$550,MATCH("Köpt mängd produktionsspecifik fjärrvärme:",Miljö!$B$1:$AC$1,0),FALSE)/1,0)</f>
        <v>0</v>
      </c>
      <c r="AI59" s="63">
        <f t="shared" si="0"/>
        <v>0</v>
      </c>
      <c r="AJ59" s="63" t="str">
        <f>IF(ISERROR(1/VLOOKUP($B59,Leveranser!$B$1:$S$500,MATCH("såld värme (gwh)",Leveranser!$B$1:$S$1,0),FALSE)),"",VLOOKUP($B59,Leveranser!$B$1:$S$500,MATCH("såld värme (gwh)",Leveranser!$B$1:$S$1,0),FALSE))</f>
        <v/>
      </c>
      <c r="AM59" s="63" t="str">
        <f>IF(B59&lt;&gt;"",IF(VLOOKUP($B59,Totalt!$B$1:$AQ$554,MATCH("Kvalitetsgranskad:",Totalt!$B$1:$AQ$1,0),FALSE)="ja",VLOOKUP($B59,Miljö!$B$1:$AG$479,MATCH(AM$2,Miljö!$B$1:$AK$1,0),FALSE),""),"")</f>
        <v/>
      </c>
      <c r="AN59" s="63" t="str">
        <f>IF(AM59="ja",VLOOKUP($B59,Miljö!$B$1:$J$479,MATCH("Typ av ursprungsspecificerad el   (Om inget värde anges används Nordisk residualmix, se inforuta) ()",Miljö!$B$1:$J$1,0),FALSE),IF(AM59="nej","Nordisk residualel",""))</f>
        <v/>
      </c>
      <c r="AO59" s="63" t="str">
        <f>IF(AM59="","",VLOOKUP($B59,Miljö!$B$1:$J$479,MATCH("Fossilandel för ursprungspecificerad el ()",Miljö!$B$1:$J$1,0),FALSE))</f>
        <v/>
      </c>
      <c r="AQ59" s="63" t="str">
        <f t="shared" si="1"/>
        <v/>
      </c>
      <c r="AS59" s="63" t="str">
        <f t="shared" si="2"/>
        <v>Nej</v>
      </c>
      <c r="AT59" s="63" t="str">
        <f>IF(AS59="ja",VLOOKUP($B59,Miljö!$B$1:$P$500,MATCH("Fossil andel i procent (%)",Miljö!$B$1:$P$1,0),FALSE)/100,"")</f>
        <v/>
      </c>
      <c r="AV59" s="63" t="str">
        <f t="shared" si="3"/>
        <v>Nej</v>
      </c>
      <c r="AW59" s="63" t="str">
        <f>IF(AV59="ja",VLOOKUP($B59,'Egen hetvattenprod'!$B$1:$AO$500,MATCH("Värmekälla till värmepumpar ()",'Egen hetvattenprod'!$B$1:$AO$1,0),FALSE),"")</f>
        <v/>
      </c>
      <c r="AY59" s="63" t="str">
        <f t="shared" si="4"/>
        <v>Nej</v>
      </c>
      <c r="AZ59" s="77" t="str">
        <f>IF($AY59="ja",(VLOOKUP($B59,'Egen hetvattenprod'!$B$1:$BX$550,MATCH(AZ$2,'Egen hetvattenprod'!$B$1:$BX$1,0),FALSE)+VLOOKUP($B59,Kraftvärmeprod!$B$1:$BX$550,MATCH(AZ$2,Kraftvärmeprod!$B$1:$BX$1,0),FALSE))/$AC59,"")</f>
        <v/>
      </c>
      <c r="BA59" s="77" t="str">
        <f>IF($AY59="ja",(VLOOKUP($B59,'Egen hetvattenprod'!$B$1:$BX$550,MATCH(BA$2,'Egen hetvattenprod'!$B$1:$BX$1,0),FALSE)+VLOOKUP($B59,Kraftvärmeprod!$B$1:$BX$550,MATCH(BA$2,Kraftvärmeprod!$B$1:$BX$1,0),FALSE))/$AC59,"")</f>
        <v/>
      </c>
      <c r="BB59" s="77" t="str">
        <f>IF($AY59="ja",(VLOOKUP($B59,'Egen hetvattenprod'!$B$1:$BX$550,MATCH(BB$2,'Egen hetvattenprod'!$B$1:$BX$1,0),FALSE)+VLOOKUP($B59,Kraftvärmeprod!$B$1:$BX$550,MATCH(BB$2,Kraftvärmeprod!$B$1:$BX$1,0),FALSE))/$AC59,"")</f>
        <v/>
      </c>
      <c r="BC59" s="77" t="str">
        <f>IF($AY59="ja",(VLOOKUP($B59,'Egen hetvattenprod'!$B$1:$BX$550,MATCH(BC$2,'Egen hetvattenprod'!$B$1:$BX$1,0),FALSE)+VLOOKUP($B59,Kraftvärmeprod!$B$1:$BX$550,MATCH(BC$2,Kraftvärmeprod!$B$1:$BX$1,0),FALSE))/$AC59,"")</f>
        <v/>
      </c>
      <c r="BD59" s="77" t="str">
        <f>IF($AY59="ja",(VLOOKUP($B59,'Egen hetvattenprod'!$B$1:$BX$550,MATCH(BD$2,'Egen hetvattenprod'!$B$1:$BX$1,0),FALSE)+VLOOKUP($B59,Kraftvärmeprod!$B$1:$BX$550,MATCH(BD$2,Kraftvärmeprod!$B$1:$BX$1,0),FALSE))/$AC59,"")</f>
        <v/>
      </c>
      <c r="BF59" s="63" t="str">
        <f t="shared" si="5"/>
        <v>Nej</v>
      </c>
      <c r="BG59" s="63" t="str">
        <f>IF($BF59="ja",VLOOKUP($B59,'Egen hetvattenprod'!$B$1:$BX$550,MATCH("Andelen klimatgaser med fossilt ursprung för avfall ()",'Egen hetvattenprod'!$B$1:$BX$1,0),FALSE),"")</f>
        <v/>
      </c>
      <c r="BH59" s="63" t="str">
        <f>IF($BF59="ja",VLOOKUP($B59,Kraftvärmeprod!$B$1:$BX$550,MATCH("Andelen klimatgaser med fossilt ursprung för avfall ()",Kraftvärmeprod!$B$1:$BX$1,0),FALSE),"")</f>
        <v/>
      </c>
      <c r="BI59" s="63" t="str">
        <f>IF($BF59="ja",VLOOKUP($B59,'Egen hetvattenprod'!$B$1:$BX$550,MATCH("Avfall (GWh)",'Egen hetvattenprod'!$B$1:$BX$1,0),FALSE),"")</f>
        <v/>
      </c>
      <c r="BJ59" s="63" t="str">
        <f>IF($BF59="ja",VLOOKUP($B59,'Slutlig allokering kvv'!$B$1:$BX$550,MATCH("Avfall (GWh)",'Slutlig allokering kvv'!$B$1:$BX$1,0),FALSE),"")</f>
        <v/>
      </c>
      <c r="BK59" s="63" t="str">
        <f>IF($BF59="ja",VLOOKUP($B59,'Köpt hetvatten'!$B$1:$BX$550,MATCH("Avfall i köpt hetvatten",'Köpt hetvatten'!$B$1:$BX$1,0),FALSE),"")</f>
        <v/>
      </c>
      <c r="BL59" s="63" t="str">
        <f>IF($BF59="ja",VLOOKUP($B59,'Egen hetvattenprod'!$B$1:$BX$550,MATCH("Värde enligt ovan. (%)",'Egen hetvattenprod'!$B$1:$BX$1,0),FALSE),"")</f>
        <v/>
      </c>
      <c r="BM59" s="63" t="str">
        <f>IF($BF59="ja",VLOOKUP($B59,Kraftvärmeprod!$B$1:$BX$550,MATCH("Värde enligt ovan. (%)",Kraftvärmeprod!$B$1:$BX$1,0),FALSE),"")</f>
        <v/>
      </c>
    </row>
    <row r="60" spans="1:65" x14ac:dyDescent="0.45">
      <c r="A60" s="63" t="s">
        <v>610</v>
      </c>
      <c r="B60" s="63" t="s">
        <v>618</v>
      </c>
      <c r="C60" s="63">
        <f>VLOOKUP($B60,'Tillförd energi'!$B$1:$AI$720,MATCH(C$2,'Tillförd energi'!$B$1:$AQ$1,0),FALSE)</f>
        <v>0.485095</v>
      </c>
      <c r="D60" s="63">
        <f>VLOOKUP($B60,'Tillförd energi'!$B$1:$AI$720,MATCH(D$2,'Tillförd energi'!$B$1:$AQ$1,0),FALSE)</f>
        <v>0.97783100000000001</v>
      </c>
      <c r="E60" s="63">
        <f>VLOOKUP($B60,'Tillförd energi'!$B$1:$AI$720,MATCH(E$2,'Tillförd energi'!$B$1:$AQ$1,0),FALSE)</f>
        <v>0</v>
      </c>
      <c r="F60" s="63">
        <f>VLOOKUP($B60,'Tillförd energi'!$B$1:$AI$720,MATCH(F$2,'Tillförd energi'!$B$1:$AQ$1,0),FALSE)</f>
        <v>15.253299999999999</v>
      </c>
      <c r="G60" s="63">
        <f>VLOOKUP($B60,'Tillförd energi'!$B$1:$AI$720,MATCH(G$2,'Tillförd energi'!$B$1:$AQ$1,0),FALSE)</f>
        <v>0</v>
      </c>
      <c r="H60" s="63">
        <f>VLOOKUP($B60,'Tillförd energi'!$B$1:$AI$720,MATCH(H$2,'Tillförd energi'!$B$1:$AQ$1,0),FALSE)</f>
        <v>0</v>
      </c>
      <c r="I60" s="63">
        <f>VLOOKUP($B60,'Tillförd energi'!$B$1:$AI$720,MATCH(I$2,'Tillförd energi'!$B$1:$AQ$1,0),FALSE)</f>
        <v>210.21700000000001</v>
      </c>
      <c r="J60" s="63">
        <f>VLOOKUP($B60,'Tillförd energi'!$B$1:$AI$720,MATCH(J$2,'Tillförd energi'!$B$1:$AQ$1,0),FALSE)</f>
        <v>0</v>
      </c>
      <c r="K60" s="63">
        <f>VLOOKUP($B60,'Tillförd energi'!$B$1:$AI$720,MATCH(K$2,'Tillförd energi'!$B$1:$AQ$1,0),FALSE)</f>
        <v>0</v>
      </c>
      <c r="L60" s="63">
        <f>VLOOKUP($B60,'Tillförd energi'!$B$1:$AI$720,MATCH(L$2,'Tillförd energi'!$B$1:$AQ$1,0),FALSE)</f>
        <v>0</v>
      </c>
      <c r="M60" s="63">
        <f>VLOOKUP($B60,'Tillförd energi'!$B$1:$AI$720,MATCH(M$2,'Tillförd energi'!$B$1:$AQ$1,0),FALSE)</f>
        <v>49.0426</v>
      </c>
      <c r="N60" s="63">
        <f>VLOOKUP($B60,'Tillförd energi'!$B$1:$AI$720,MATCH(N$2,'Tillförd energi'!$B$1:$AQ$1,0),FALSE)</f>
        <v>102.34099999999999</v>
      </c>
      <c r="O60" s="63">
        <f>VLOOKUP($B60,'Tillförd energi'!$B$1:$AI$720,MATCH(O$2,'Tillförd energi'!$B$1:$AQ$1,0),FALSE)</f>
        <v>98.6053</v>
      </c>
      <c r="P60" s="63">
        <f>VLOOKUP($B60,'Tillförd energi'!$B$1:$AI$720,MATCH(P$2,'Tillförd energi'!$B$1:$AQ$1,0),FALSE)</f>
        <v>108.773</v>
      </c>
      <c r="Q60" s="63">
        <f>VLOOKUP($B60,'Tillförd energi'!$B$1:$AI$720,MATCH(Q$2,'Tillförd energi'!$B$1:$AQ$1,0),FALSE)</f>
        <v>0</v>
      </c>
      <c r="R60" s="63">
        <f>VLOOKUP($B60,'Tillförd energi'!$B$1:$AI$720,MATCH(R$2,'Tillförd energi'!$B$1:$AQ$1,0),FALSE)</f>
        <v>0</v>
      </c>
      <c r="S60" s="63">
        <f>VLOOKUP($B60,'Tillförd energi'!$B$1:$AI$720,MATCH(S$2,'Tillförd energi'!$B$1:$AQ$1,0),FALSE)</f>
        <v>0</v>
      </c>
      <c r="T60" s="63">
        <f>VLOOKUP($B60,'Tillförd energi'!$B$1:$AI$720,MATCH(T$2,'Tillförd energi'!$B$1:$AQ$1,0),FALSE)</f>
        <v>0</v>
      </c>
      <c r="U60" s="63">
        <f>VLOOKUP($B60,'Tillförd energi'!$B$1:$AI$720,MATCH(U$2,'Tillförd energi'!$B$1:$AQ$1,0),FALSE)</f>
        <v>64.128900000000002</v>
      </c>
      <c r="V60" s="63">
        <f>VLOOKUP($B60,'Tillförd energi'!$B$1:$AI$720,MATCH(V$2,'Tillförd energi'!$B$1:$AQ$1,0),FALSE)</f>
        <v>0</v>
      </c>
      <c r="W60" s="63">
        <f>VLOOKUP($B60,'Tillförd energi'!$B$1:$AI$720,MATCH(W$2,'Tillförd energi'!$B$1:$AQ$1,0),FALSE)</f>
        <v>0</v>
      </c>
      <c r="X60" s="63">
        <f>VLOOKUP($B60,'Tillförd energi'!$B$1:$AI$720,MATCH(X$2,'Tillförd energi'!$B$1:$AQ$1,0),FALSE)</f>
        <v>3.4621200000000001</v>
      </c>
      <c r="Y60" s="63">
        <f>VLOOKUP($B60,'Tillförd energi'!$B$1:$AI$720,MATCH(Y$2,'Tillförd energi'!$B$1:$AQ$1,0),FALSE)</f>
        <v>0</v>
      </c>
      <c r="Z60" s="63">
        <f>VLOOKUP($B60,'Tillförd energi'!$B$1:$AI$720,MATCH(Z$2,'Tillförd energi'!$B$1:$AQ$1,0),FALSE)</f>
        <v>0.2</v>
      </c>
      <c r="AA60" s="63">
        <f>VLOOKUP($B60,'Tillförd energi'!$B$1:$AI$720,MATCH(AA$2,'Tillförd energi'!$B$1:$AQ$1,0),FALSE)</f>
        <v>16.2</v>
      </c>
      <c r="AB60" s="63">
        <f>VLOOKUP($B60,'Tillförd energi'!$B$1:$AI$720,MATCH(AB$2,'Tillförd energi'!$B$1:$AQ$1,0),FALSE)</f>
        <v>34.9</v>
      </c>
      <c r="AC60" s="63">
        <f>VLOOKUP($B60,'Tillförd energi'!$B$1:$AI$720,MATCH(AC$2,'Tillförd energi'!$B$1:$AQ$1,0),FALSE)</f>
        <v>188</v>
      </c>
      <c r="AD60" s="63">
        <f>VLOOKUP($B60,'Tillförd energi'!$B$1:$AI$720,MATCH(AD$2,'Tillförd energi'!$B$1:$AQ$1,0),FALSE)</f>
        <v>76.599999999999994</v>
      </c>
      <c r="AE60" s="63">
        <f>VLOOKUP($B60,'Tillförd energi'!$B$1:$AI$720,MATCH(AE$2,'Tillförd energi'!$B$1:$AQ$1,0),FALSE)</f>
        <v>0</v>
      </c>
      <c r="AF60" s="63">
        <f>VLOOKUP($B60,'Tillförd energi'!$B$1:$AI$720,MATCH(AF$2,'Tillförd energi'!$B$1:$AQ$1,0),FALSE)</f>
        <v>60.531500000000001</v>
      </c>
      <c r="AG60" s="63">
        <f>IFERROR(VLOOKUP(B60,Miljö!$B$1:$AC$550,MATCH("Köpt mängd produktionsspecifik fjärrvärme:",Miljö!$B$1:$AC$1,0),FALSE)/1,0)</f>
        <v>0</v>
      </c>
      <c r="AI60" s="63">
        <f t="shared" si="0"/>
        <v>1029.7176460000003</v>
      </c>
      <c r="AJ60" s="63">
        <f>IF(ISERROR(1/VLOOKUP($B60,Leveranser!$B$1:$S$500,MATCH("såld värme (gwh)",Leveranser!$B$1:$S$1,0),FALSE)),"",VLOOKUP($B60,Leveranser!$B$1:$S$500,MATCH("såld värme (gwh)",Leveranser!$B$1:$S$1,0),FALSE))</f>
        <v>1015</v>
      </c>
      <c r="AM60" s="63" t="str">
        <f>IF(B60&lt;&gt;"",IF(VLOOKUP($B60,Totalt!$B$1:$AQ$554,MATCH("Kvalitetsgranskad:",Totalt!$B$1:$AQ$1,0),FALSE)="ja",VLOOKUP($B60,Miljö!$B$1:$AG$479,MATCH(AM$2,Miljö!$B$1:$AK$1,0),FALSE),""),"")</f>
        <v>Ja</v>
      </c>
      <c r="AN60" s="63" t="str">
        <f>IF(AM60="ja",VLOOKUP($B60,Miljö!$B$1:$J$479,MATCH("Typ av ursprungsspecificerad el   (Om inget värde anges används Nordisk residualmix, se inforuta) ()",Miljö!$B$1:$J$1,0),FALSE),IF(AM60="nej","Nordisk residualel",""))</f>
        <v>-</v>
      </c>
      <c r="AO60" s="63">
        <f>IF(AM60="","",VLOOKUP($B60,Miljö!$B$1:$J$479,MATCH("Fossilandel för ursprungspecificerad el ()",Miljö!$B$1:$J$1,0),FALSE))</f>
        <v>0.35</v>
      </c>
      <c r="AQ60" s="63">
        <f t="shared" si="1"/>
        <v>0.65</v>
      </c>
      <c r="AS60" s="63" t="str">
        <f t="shared" si="2"/>
        <v>Nej</v>
      </c>
      <c r="AT60" s="63" t="str">
        <f>IF(AS60="ja",VLOOKUP($B60,Miljö!$B$1:$P$500,MATCH("Fossil andel i procent (%)",Miljö!$B$1:$P$1,0),FALSE)/100,"")</f>
        <v/>
      </c>
      <c r="AV60" s="63" t="str">
        <f t="shared" si="3"/>
        <v>Ja</v>
      </c>
      <c r="AW60" s="63" t="str">
        <f>IF(AV60="ja",VLOOKUP($B60,'Egen hetvattenprod'!$B$1:$AO$500,MATCH("Värmekälla till värmepumpar ()",'Egen hetvattenprod'!$B$1:$AO$1,0),FALSE),"")</f>
        <v>Renat avloppsvatten</v>
      </c>
      <c r="AY60" s="63" t="str">
        <f t="shared" si="4"/>
        <v>Ja</v>
      </c>
      <c r="AZ60" s="77">
        <f>IF($AY60="ja",(VLOOKUP($B60,'Egen hetvattenprod'!$B$1:$BX$550,MATCH(AZ$2,'Egen hetvattenprod'!$B$1:$BX$1,0),FALSE)+VLOOKUP($B60,Kraftvärmeprod!$B$1:$BX$550,MATCH(AZ$2,Kraftvärmeprod!$B$1:$BX$1,0),FALSE))/$AC60,"")</f>
        <v>0</v>
      </c>
      <c r="BA60" s="77">
        <f>IF($AY60="ja",(VLOOKUP($B60,'Egen hetvattenprod'!$B$1:$BX$550,MATCH(BA$2,'Egen hetvattenprod'!$B$1:$BX$1,0),FALSE)+VLOOKUP($B60,Kraftvärmeprod!$B$1:$BX$550,MATCH(BA$2,Kraftvärmeprod!$B$1:$BX$1,0),FALSE))/$AC60,"")</f>
        <v>0</v>
      </c>
      <c r="BB60" s="77">
        <f>IF($AY60="ja",(VLOOKUP($B60,'Egen hetvattenprod'!$B$1:$BX$550,MATCH(BB$2,'Egen hetvattenprod'!$B$1:$BX$1,0),FALSE)+VLOOKUP($B60,Kraftvärmeprod!$B$1:$BX$550,MATCH(BB$2,Kraftvärmeprod!$B$1:$BX$1,0),FALSE))/$AC60,"")</f>
        <v>0</v>
      </c>
      <c r="BC60" s="77">
        <f>IF($AY60="ja",(VLOOKUP($B60,'Egen hetvattenprod'!$B$1:$BX$550,MATCH(BC$2,'Egen hetvattenprod'!$B$1:$BX$1,0),FALSE)+VLOOKUP($B60,Kraftvärmeprod!$B$1:$BX$550,MATCH(BC$2,Kraftvärmeprod!$B$1:$BX$1,0),FALSE))/$AC60,"")</f>
        <v>0</v>
      </c>
      <c r="BD60" s="77">
        <f>IF($AY60="ja",(VLOOKUP($B60,'Egen hetvattenprod'!$B$1:$BX$550,MATCH(BD$2,'Egen hetvattenprod'!$B$1:$BX$1,0),FALSE)+VLOOKUP($B60,Kraftvärmeprod!$B$1:$BX$550,MATCH(BD$2,Kraftvärmeprod!$B$1:$BX$1,0),FALSE))/$AC60,"")</f>
        <v>1</v>
      </c>
      <c r="BF60" s="63" t="str">
        <f t="shared" si="5"/>
        <v>Ja</v>
      </c>
      <c r="BG60" s="63" t="str">
        <f>IF($BF60="ja",VLOOKUP($B60,'Egen hetvattenprod'!$B$1:$BX$550,MATCH("Andelen klimatgaser med fossilt ursprung för avfall ()",'Egen hetvattenprod'!$B$1:$BX$1,0),FALSE),"")</f>
        <v>ET</v>
      </c>
      <c r="BH60" s="63" t="str">
        <f>IF($BF60="ja",VLOOKUP($B60,Kraftvärmeprod!$B$1:$BX$550,MATCH("Andelen klimatgaser med fossilt ursprung för avfall ()",Kraftvärmeprod!$B$1:$BX$1,0),FALSE),"")</f>
        <v>ET</v>
      </c>
      <c r="BI60" s="63" t="str">
        <f>IF($BF60="ja",VLOOKUP($B60,'Egen hetvattenprod'!$B$1:$BX$550,MATCH("Avfall (GWh)",'Egen hetvattenprod'!$B$1:$BX$1,0),FALSE),"")</f>
        <v>ET</v>
      </c>
      <c r="BJ60" s="63">
        <f>IF($BF60="ja",VLOOKUP($B60,'Slutlig allokering kvv'!$B$1:$BX$550,MATCH("Avfall (GWh)",'Slutlig allokering kvv'!$B$1:$BX$1,0),FALSE),"")</f>
        <v>0</v>
      </c>
      <c r="BK60" s="63">
        <f>IF($BF60="ja",VLOOKUP($B60,'Köpt hetvatten'!$B$1:$BX$550,MATCH("Avfall i köpt hetvatten",'Köpt hetvatten'!$B$1:$BX$1,0),FALSE),"")</f>
        <v>227.52941176470588</v>
      </c>
      <c r="BL60" s="63" t="str">
        <f>IF($BF60="ja",VLOOKUP($B60,'Egen hetvattenprod'!$B$1:$BX$550,MATCH("Värde enligt ovan. (%)",'Egen hetvattenprod'!$B$1:$BX$1,0),FALSE),"")</f>
        <v>ET</v>
      </c>
      <c r="BM60" s="63" t="str">
        <f>IF($BF60="ja",VLOOKUP($B60,Kraftvärmeprod!$B$1:$BX$550,MATCH("Värde enligt ovan. (%)",Kraftvärmeprod!$B$1:$BX$1,0),FALSE),"")</f>
        <v>ET</v>
      </c>
    </row>
    <row r="61" spans="1:65" x14ac:dyDescent="0.45">
      <c r="A61" s="63" t="s">
        <v>610</v>
      </c>
      <c r="B61" s="63" t="s">
        <v>616</v>
      </c>
      <c r="C61" s="63">
        <f>VLOOKUP($B61,'Tillförd energi'!$B$1:$AI$720,MATCH(C$2,'Tillförd energi'!$B$1:$AQ$1,0),FALSE)</f>
        <v>0</v>
      </c>
      <c r="D61" s="63">
        <f>VLOOKUP($B61,'Tillförd energi'!$B$1:$AI$720,MATCH(D$2,'Tillförd energi'!$B$1:$AQ$1,0),FALSE)</f>
        <v>0</v>
      </c>
      <c r="E61" s="63">
        <f>VLOOKUP($B61,'Tillförd energi'!$B$1:$AI$720,MATCH(E$2,'Tillförd energi'!$B$1:$AQ$1,0),FALSE)</f>
        <v>0</v>
      </c>
      <c r="F61" s="63">
        <f>VLOOKUP($B61,'Tillförd energi'!$B$1:$AI$720,MATCH(F$2,'Tillförd energi'!$B$1:$AQ$1,0),FALSE)</f>
        <v>0</v>
      </c>
      <c r="G61" s="63">
        <f>VLOOKUP($B61,'Tillförd energi'!$B$1:$AI$720,MATCH(G$2,'Tillförd energi'!$B$1:$AQ$1,0),FALSE)</f>
        <v>0</v>
      </c>
      <c r="H61" s="63">
        <f>VLOOKUP($B61,'Tillförd energi'!$B$1:$AI$720,MATCH(H$2,'Tillförd energi'!$B$1:$AQ$1,0),FALSE)</f>
        <v>0</v>
      </c>
      <c r="I61" s="63">
        <f>VLOOKUP($B61,'Tillförd energi'!$B$1:$AI$720,MATCH(I$2,'Tillförd energi'!$B$1:$AQ$1,0),FALSE)</f>
        <v>110</v>
      </c>
      <c r="J61" s="63">
        <f>VLOOKUP($B61,'Tillförd energi'!$B$1:$AI$720,MATCH(J$2,'Tillförd energi'!$B$1:$AQ$1,0),FALSE)</f>
        <v>0.2</v>
      </c>
      <c r="K61" s="63">
        <f>VLOOKUP($B61,'Tillförd energi'!$B$1:$AI$720,MATCH(K$2,'Tillförd energi'!$B$1:$AQ$1,0),FALSE)</f>
        <v>0</v>
      </c>
      <c r="L61" s="63">
        <f>VLOOKUP($B61,'Tillförd energi'!$B$1:$AI$720,MATCH(L$2,'Tillförd energi'!$B$1:$AQ$1,0),FALSE)</f>
        <v>0</v>
      </c>
      <c r="M61" s="63">
        <f>VLOOKUP($B61,'Tillförd energi'!$B$1:$AI$720,MATCH(M$2,'Tillförd energi'!$B$1:$AQ$1,0),FALSE)</f>
        <v>0</v>
      </c>
      <c r="N61" s="63">
        <f>VLOOKUP($B61,'Tillförd energi'!$B$1:$AI$720,MATCH(N$2,'Tillförd energi'!$B$1:$AQ$1,0),FALSE)</f>
        <v>0</v>
      </c>
      <c r="O61" s="63">
        <f>VLOOKUP($B61,'Tillförd energi'!$B$1:$AI$720,MATCH(O$2,'Tillförd energi'!$B$1:$AQ$1,0),FALSE)</f>
        <v>0</v>
      </c>
      <c r="P61" s="63">
        <f>VLOOKUP($B61,'Tillförd energi'!$B$1:$AI$720,MATCH(P$2,'Tillförd energi'!$B$1:$AQ$1,0),FALSE)</f>
        <v>0</v>
      </c>
      <c r="Q61" s="63">
        <f>VLOOKUP($B61,'Tillförd energi'!$B$1:$AI$720,MATCH(Q$2,'Tillförd energi'!$B$1:$AQ$1,0),FALSE)</f>
        <v>0</v>
      </c>
      <c r="R61" s="63">
        <f>VLOOKUP($B61,'Tillförd energi'!$B$1:$AI$720,MATCH(R$2,'Tillförd energi'!$B$1:$AQ$1,0),FALSE)</f>
        <v>66</v>
      </c>
      <c r="S61" s="63">
        <f>VLOOKUP($B61,'Tillförd energi'!$B$1:$AI$720,MATCH(S$2,'Tillförd energi'!$B$1:$AQ$1,0),FALSE)</f>
        <v>17</v>
      </c>
      <c r="T61" s="63">
        <f>VLOOKUP($B61,'Tillförd energi'!$B$1:$AI$720,MATCH(T$2,'Tillförd energi'!$B$1:$AQ$1,0),FALSE)</f>
        <v>0</v>
      </c>
      <c r="U61" s="63">
        <f>VLOOKUP($B61,'Tillförd energi'!$B$1:$AI$720,MATCH(U$2,'Tillförd energi'!$B$1:$AQ$1,0),FALSE)</f>
        <v>0</v>
      </c>
      <c r="V61" s="63">
        <f>VLOOKUP($B61,'Tillförd energi'!$B$1:$AI$720,MATCH(V$2,'Tillförd energi'!$B$1:$AQ$1,0),FALSE)</f>
        <v>0</v>
      </c>
      <c r="W61" s="63">
        <f>VLOOKUP($B61,'Tillförd energi'!$B$1:$AI$720,MATCH(W$2,'Tillförd energi'!$B$1:$AQ$1,0),FALSE)</f>
        <v>27</v>
      </c>
      <c r="X61" s="63">
        <f>VLOOKUP($B61,'Tillförd energi'!$B$1:$AI$720,MATCH(X$2,'Tillförd energi'!$B$1:$AQ$1,0),FALSE)</f>
        <v>0</v>
      </c>
      <c r="Y61" s="63">
        <f>VLOOKUP($B61,'Tillförd energi'!$B$1:$AI$720,MATCH(Y$2,'Tillförd energi'!$B$1:$AQ$1,0),FALSE)</f>
        <v>0</v>
      </c>
      <c r="Z61" s="63">
        <f>VLOOKUP($B61,'Tillförd energi'!$B$1:$AI$720,MATCH(Z$2,'Tillförd energi'!$B$1:$AQ$1,0),FALSE)</f>
        <v>0</v>
      </c>
      <c r="AA61" s="63">
        <f>VLOOKUP($B61,'Tillförd energi'!$B$1:$AI$720,MATCH(AA$2,'Tillförd energi'!$B$1:$AQ$1,0),FALSE)</f>
        <v>63.5</v>
      </c>
      <c r="AB61" s="63">
        <f>VLOOKUP($B61,'Tillförd energi'!$B$1:$AI$720,MATCH(AB$2,'Tillförd energi'!$B$1:$AQ$1,0),FALSE)</f>
        <v>129.5</v>
      </c>
      <c r="AC61" s="63">
        <f>VLOOKUP($B61,'Tillförd energi'!$B$1:$AI$720,MATCH(AC$2,'Tillförd energi'!$B$1:$AQ$1,0),FALSE)</f>
        <v>9.4</v>
      </c>
      <c r="AD61" s="63">
        <f>VLOOKUP($B61,'Tillförd energi'!$B$1:$AI$720,MATCH(AD$2,'Tillförd energi'!$B$1:$AQ$1,0),FALSE)</f>
        <v>0</v>
      </c>
      <c r="AE61" s="63">
        <f>VLOOKUP($B61,'Tillförd energi'!$B$1:$AI$720,MATCH(AE$2,'Tillförd energi'!$B$1:$AQ$1,0),FALSE)</f>
        <v>0</v>
      </c>
      <c r="AF61" s="63">
        <f>VLOOKUP($B61,'Tillförd energi'!$B$1:$AI$720,MATCH(AF$2,'Tillförd energi'!$B$1:$AQ$1,0),FALSE)</f>
        <v>3.7</v>
      </c>
      <c r="AG61" s="63">
        <f>IFERROR(VLOOKUP(B61,Miljö!$B$1:$AC$550,MATCH("Köpt mängd produktionsspecifik fjärrvärme:",Miljö!$B$1:$AC$1,0),FALSE)/1,0)</f>
        <v>76.8</v>
      </c>
      <c r="AI61" s="63">
        <f t="shared" si="0"/>
        <v>503.09999999999997</v>
      </c>
      <c r="AJ61" s="63">
        <f>IF(ISERROR(1/VLOOKUP($B61,Leveranser!$B$1:$S$500,MATCH("såld värme (gwh)",Leveranser!$B$1:$S$1,0),FALSE)),"",VLOOKUP($B61,Leveranser!$B$1:$S$500,MATCH("såld värme (gwh)",Leveranser!$B$1:$S$1,0),FALSE))</f>
        <v>462</v>
      </c>
      <c r="AM61" s="63" t="str">
        <f>IF(B61&lt;&gt;"",IF(VLOOKUP($B61,Totalt!$B$1:$AQ$554,MATCH("Kvalitetsgranskad:",Totalt!$B$1:$AQ$1,0),FALSE)="ja",VLOOKUP($B61,Miljö!$B$1:$AG$479,MATCH(AM$2,Miljö!$B$1:$AK$1,0),FALSE),""),"")</f>
        <v>Ja</v>
      </c>
      <c r="AN61" s="63" t="str">
        <f>IF(AM61="ja",VLOOKUP($B61,Miljö!$B$1:$J$479,MATCH("Typ av ursprungsspecificerad el   (Om inget värde anges används Nordisk residualmix, se inforuta) ()",Miljö!$B$1:$J$1,0),FALSE),IF(AM61="nej","Nordisk residualel",""))</f>
        <v>'mixed el'</v>
      </c>
      <c r="AO61" s="63">
        <f>IF(AM61="","",VLOOKUP($B61,Miljö!$B$1:$J$479,MATCH("Fossilandel för ursprungspecificerad el ()",Miljö!$B$1:$J$1,0),FALSE))</f>
        <v>2.8400000000000002E-2</v>
      </c>
      <c r="AQ61" s="63">
        <f t="shared" si="1"/>
        <v>0.97160000000000002</v>
      </c>
      <c r="AS61" s="63" t="str">
        <f t="shared" si="2"/>
        <v>Ja</v>
      </c>
      <c r="AT61" s="63">
        <f>IF(AS61="ja",VLOOKUP($B61,Miljö!$B$1:$P$500,MATCH("Fossil andel i procent (%)",Miljö!$B$1:$P$1,0),FALSE)/100,"")</f>
        <v>0.1</v>
      </c>
      <c r="AV61" s="63" t="str">
        <f t="shared" si="3"/>
        <v>Ja</v>
      </c>
      <c r="AW61" s="63" t="str">
        <f>IF(AV61="ja",VLOOKUP($B61,'Egen hetvattenprod'!$B$1:$AO$500,MATCH("Värmekälla till värmepumpar ()",'Egen hetvattenprod'!$B$1:$AO$1,0),FALSE),"")</f>
        <v>Sjövatten</v>
      </c>
      <c r="AY61" s="63" t="str">
        <f t="shared" si="4"/>
        <v>Ja</v>
      </c>
      <c r="AZ61" s="77">
        <f>IF($AY61="ja",(VLOOKUP($B61,'Egen hetvattenprod'!$B$1:$BX$550,MATCH(AZ$2,'Egen hetvattenprod'!$B$1:$BX$1,0),FALSE)+VLOOKUP($B61,Kraftvärmeprod!$B$1:$BX$550,MATCH(AZ$2,Kraftvärmeprod!$B$1:$BX$1,0),FALSE))/$AC61,"")</f>
        <v>0</v>
      </c>
      <c r="BA61" s="77">
        <f>IF($AY61="ja",(VLOOKUP($B61,'Egen hetvattenprod'!$B$1:$BX$550,MATCH(BA$2,'Egen hetvattenprod'!$B$1:$BX$1,0),FALSE)+VLOOKUP($B61,Kraftvärmeprod!$B$1:$BX$550,MATCH(BA$2,Kraftvärmeprod!$B$1:$BX$1,0),FALSE))/$AC61,"")</f>
        <v>1</v>
      </c>
      <c r="BB61" s="77">
        <f>IF($AY61="ja",(VLOOKUP($B61,'Egen hetvattenprod'!$B$1:$BX$550,MATCH(BB$2,'Egen hetvattenprod'!$B$1:$BX$1,0),FALSE)+VLOOKUP($B61,Kraftvärmeprod!$B$1:$BX$550,MATCH(BB$2,Kraftvärmeprod!$B$1:$BX$1,0),FALSE))/$AC61,"")</f>
        <v>0</v>
      </c>
      <c r="BC61" s="77">
        <f>IF($AY61="ja",(VLOOKUP($B61,'Egen hetvattenprod'!$B$1:$BX$550,MATCH(BC$2,'Egen hetvattenprod'!$B$1:$BX$1,0),FALSE)+VLOOKUP($B61,Kraftvärmeprod!$B$1:$BX$550,MATCH(BC$2,Kraftvärmeprod!$B$1:$BX$1,0),FALSE))/$AC61,"")</f>
        <v>0</v>
      </c>
      <c r="BD61" s="77">
        <f>IF($AY61="ja",(VLOOKUP($B61,'Egen hetvattenprod'!$B$1:$BX$550,MATCH(BD$2,'Egen hetvattenprod'!$B$1:$BX$1,0),FALSE)+VLOOKUP($B61,Kraftvärmeprod!$B$1:$BX$550,MATCH(BD$2,Kraftvärmeprod!$B$1:$BX$1,0),FALSE))/$AC61,"")</f>
        <v>0</v>
      </c>
      <c r="BF61" s="63" t="str">
        <f t="shared" si="5"/>
        <v>Ja</v>
      </c>
      <c r="BG61" s="63" t="str">
        <f>IF($BF61="ja",VLOOKUP($B61,'Egen hetvattenprod'!$B$1:$BX$550,MATCH("Andelen klimatgaser med fossilt ursprung för avfall ()",'Egen hetvattenprod'!$B$1:$BX$1,0),FALSE),"")</f>
        <v>Schablon</v>
      </c>
      <c r="BH61" s="63" t="str">
        <f>IF($BF61="ja",VLOOKUP($B61,Kraftvärmeprod!$B$1:$BX$550,MATCH("Andelen klimatgaser med fossilt ursprung för avfall ()",Kraftvärmeprod!$B$1:$BX$1,0),FALSE),"")</f>
        <v>ET</v>
      </c>
      <c r="BI61" s="63">
        <f>IF($BF61="ja",VLOOKUP($B61,'Egen hetvattenprod'!$B$1:$BX$550,MATCH("Avfall (GWh)",'Egen hetvattenprod'!$B$1:$BX$1,0),FALSE),"")</f>
        <v>110</v>
      </c>
      <c r="BJ61" s="63">
        <f>IF($BF61="ja",VLOOKUP($B61,'Slutlig allokering kvv'!$B$1:$BX$550,MATCH("Avfall (GWh)",'Slutlig allokering kvv'!$B$1:$BX$1,0),FALSE),"")</f>
        <v>0</v>
      </c>
      <c r="BK61" s="63">
        <f>IF($BF61="ja",VLOOKUP($B61,'Köpt hetvatten'!$B$1:$BX$550,MATCH("Avfall i köpt hetvatten",'Köpt hetvatten'!$B$1:$BX$1,0),FALSE),"")</f>
        <v>0</v>
      </c>
      <c r="BL61" s="63">
        <f>IF($BF61="ja",VLOOKUP($B61,'Egen hetvattenprod'!$B$1:$BX$550,MATCH("Värde enligt ovan. (%)",'Egen hetvattenprod'!$B$1:$BX$1,0),FALSE),"")</f>
        <v>37.299999999999997</v>
      </c>
      <c r="BM61" s="63" t="str">
        <f>IF($BF61="ja",VLOOKUP($B61,Kraftvärmeprod!$B$1:$BX$550,MATCH("Värde enligt ovan. (%)",Kraftvärmeprod!$B$1:$BX$1,0),FALSE),"")</f>
        <v>ET</v>
      </c>
    </row>
    <row r="62" spans="1:65" x14ac:dyDescent="0.45">
      <c r="A62" s="63" t="s">
        <v>610</v>
      </c>
      <c r="B62" s="63" t="s">
        <v>615</v>
      </c>
      <c r="C62" s="63">
        <f>VLOOKUP($B62,'Tillförd energi'!$B$1:$AI$720,MATCH(C$2,'Tillförd energi'!$B$1:$AQ$1,0),FALSE)</f>
        <v>0</v>
      </c>
      <c r="D62" s="63">
        <f>VLOOKUP($B62,'Tillförd energi'!$B$1:$AI$720,MATCH(D$2,'Tillförd energi'!$B$1:$AQ$1,0),FALSE)</f>
        <v>0</v>
      </c>
      <c r="E62" s="63">
        <f>VLOOKUP($B62,'Tillförd energi'!$B$1:$AI$720,MATCH(E$2,'Tillförd energi'!$B$1:$AQ$1,0),FALSE)</f>
        <v>0</v>
      </c>
      <c r="F62" s="63">
        <f>VLOOKUP($B62,'Tillförd energi'!$B$1:$AI$720,MATCH(F$2,'Tillförd energi'!$B$1:$AQ$1,0),FALSE)</f>
        <v>0</v>
      </c>
      <c r="G62" s="63">
        <f>VLOOKUP($B62,'Tillförd energi'!$B$1:$AI$720,MATCH(G$2,'Tillförd energi'!$B$1:$AQ$1,0),FALSE)</f>
        <v>0</v>
      </c>
      <c r="H62" s="63">
        <f>VLOOKUP($B62,'Tillförd energi'!$B$1:$AI$720,MATCH(H$2,'Tillförd energi'!$B$1:$AQ$1,0),FALSE)</f>
        <v>0</v>
      </c>
      <c r="I62" s="63">
        <f>VLOOKUP($B62,'Tillförd energi'!$B$1:$AI$720,MATCH(I$2,'Tillförd energi'!$B$1:$AQ$1,0),FALSE)</f>
        <v>0</v>
      </c>
      <c r="J62" s="63">
        <f>VLOOKUP($B62,'Tillförd energi'!$B$1:$AI$720,MATCH(J$2,'Tillförd energi'!$B$1:$AQ$1,0),FALSE)</f>
        <v>0</v>
      </c>
      <c r="K62" s="63">
        <f>VLOOKUP($B62,'Tillförd energi'!$B$1:$AI$720,MATCH(K$2,'Tillförd energi'!$B$1:$AQ$1,0),FALSE)</f>
        <v>0</v>
      </c>
      <c r="L62" s="63">
        <f>VLOOKUP($B62,'Tillförd energi'!$B$1:$AI$720,MATCH(L$2,'Tillförd energi'!$B$1:$AQ$1,0),FALSE)</f>
        <v>0</v>
      </c>
      <c r="M62" s="63">
        <f>VLOOKUP($B62,'Tillförd energi'!$B$1:$AI$720,MATCH(M$2,'Tillförd energi'!$B$1:$AQ$1,0),FALSE)</f>
        <v>0</v>
      </c>
      <c r="N62" s="63">
        <f>VLOOKUP($B62,'Tillförd energi'!$B$1:$AI$720,MATCH(N$2,'Tillförd energi'!$B$1:$AQ$1,0),FALSE)</f>
        <v>0</v>
      </c>
      <c r="O62" s="63">
        <f>VLOOKUP($B62,'Tillförd energi'!$B$1:$AI$720,MATCH(O$2,'Tillförd energi'!$B$1:$AQ$1,0),FALSE)</f>
        <v>0</v>
      </c>
      <c r="P62" s="63">
        <f>VLOOKUP($B62,'Tillförd energi'!$B$1:$AI$720,MATCH(P$2,'Tillförd energi'!$B$1:$AQ$1,0),FALSE)</f>
        <v>0</v>
      </c>
      <c r="Q62" s="63">
        <f>VLOOKUP($B62,'Tillförd energi'!$B$1:$AI$720,MATCH(Q$2,'Tillförd energi'!$B$1:$AQ$1,0),FALSE)</f>
        <v>0</v>
      </c>
      <c r="R62" s="63">
        <f>VLOOKUP($B62,'Tillförd energi'!$B$1:$AI$720,MATCH(R$2,'Tillförd energi'!$B$1:$AQ$1,0),FALSE)</f>
        <v>0</v>
      </c>
      <c r="S62" s="63">
        <f>VLOOKUP($B62,'Tillförd energi'!$B$1:$AI$720,MATCH(S$2,'Tillförd energi'!$B$1:$AQ$1,0),FALSE)</f>
        <v>0</v>
      </c>
      <c r="T62" s="63">
        <f>VLOOKUP($B62,'Tillförd energi'!$B$1:$AI$720,MATCH(T$2,'Tillförd energi'!$B$1:$AQ$1,0),FALSE)</f>
        <v>0</v>
      </c>
      <c r="U62" s="63">
        <f>VLOOKUP($B62,'Tillförd energi'!$B$1:$AI$720,MATCH(U$2,'Tillförd energi'!$B$1:$AQ$1,0),FALSE)</f>
        <v>0</v>
      </c>
      <c r="V62" s="63">
        <f>VLOOKUP($B62,'Tillförd energi'!$B$1:$AI$720,MATCH(V$2,'Tillförd energi'!$B$1:$AQ$1,0),FALSE)</f>
        <v>0</v>
      </c>
      <c r="W62" s="63">
        <f>VLOOKUP($B62,'Tillförd energi'!$B$1:$AI$720,MATCH(W$2,'Tillförd energi'!$B$1:$AQ$1,0),FALSE)</f>
        <v>0</v>
      </c>
      <c r="X62" s="63">
        <f>VLOOKUP($B62,'Tillförd energi'!$B$1:$AI$720,MATCH(X$2,'Tillförd energi'!$B$1:$AQ$1,0),FALSE)</f>
        <v>0</v>
      </c>
      <c r="Y62" s="63">
        <f>VLOOKUP($B62,'Tillförd energi'!$B$1:$AI$720,MATCH(Y$2,'Tillförd energi'!$B$1:$AQ$1,0),FALSE)</f>
        <v>0</v>
      </c>
      <c r="Z62" s="63">
        <f>VLOOKUP($B62,'Tillförd energi'!$B$1:$AI$720,MATCH(Z$2,'Tillförd energi'!$B$1:$AQ$1,0),FALSE)</f>
        <v>0</v>
      </c>
      <c r="AA62" s="63">
        <f>VLOOKUP($B62,'Tillförd energi'!$B$1:$AI$720,MATCH(AA$2,'Tillförd energi'!$B$1:$AQ$1,0),FALSE)</f>
        <v>0</v>
      </c>
      <c r="AB62" s="63">
        <f>VLOOKUP($B62,'Tillförd energi'!$B$1:$AI$720,MATCH(AB$2,'Tillförd energi'!$B$1:$AQ$1,0),FALSE)</f>
        <v>0</v>
      </c>
      <c r="AC62" s="63">
        <f>VLOOKUP($B62,'Tillförd energi'!$B$1:$AI$720,MATCH(AC$2,'Tillförd energi'!$B$1:$AQ$1,0),FALSE)</f>
        <v>0</v>
      </c>
      <c r="AD62" s="63">
        <f>VLOOKUP($B62,'Tillförd energi'!$B$1:$AI$720,MATCH(AD$2,'Tillförd energi'!$B$1:$AQ$1,0),FALSE)</f>
        <v>0</v>
      </c>
      <c r="AE62" s="63">
        <f>VLOOKUP($B62,'Tillförd energi'!$B$1:$AI$720,MATCH(AE$2,'Tillförd energi'!$B$1:$AQ$1,0),FALSE)</f>
        <v>0</v>
      </c>
      <c r="AF62" s="63">
        <f>VLOOKUP($B62,'Tillförd energi'!$B$1:$AI$720,MATCH(AF$2,'Tillförd energi'!$B$1:$AQ$1,0),FALSE)</f>
        <v>0</v>
      </c>
      <c r="AG62" s="63">
        <f>IFERROR(VLOOKUP(B62,Miljö!$B$1:$AC$550,MATCH("Köpt mängd produktionsspecifik fjärrvärme:",Miljö!$B$1:$AC$1,0),FALSE)/1,0)</f>
        <v>0</v>
      </c>
      <c r="AI62" s="63">
        <f t="shared" si="0"/>
        <v>0</v>
      </c>
      <c r="AJ62" s="63" t="str">
        <f>IF(ISERROR(1/VLOOKUP($B62,Leveranser!$B$1:$S$500,MATCH("såld värme (gwh)",Leveranser!$B$1:$S$1,0),FALSE)),"",VLOOKUP($B62,Leveranser!$B$1:$S$500,MATCH("såld värme (gwh)",Leveranser!$B$1:$S$1,0),FALSE))</f>
        <v/>
      </c>
      <c r="AM62" s="63" t="str">
        <f>IF(B62&lt;&gt;"",IF(VLOOKUP($B62,Totalt!$B$1:$AQ$554,MATCH("Kvalitetsgranskad:",Totalt!$B$1:$AQ$1,0),FALSE)="ja",VLOOKUP($B62,Miljö!$B$1:$AG$479,MATCH(AM$2,Miljö!$B$1:$AK$1,0),FALSE),""),"")</f>
        <v/>
      </c>
      <c r="AN62" s="63" t="str">
        <f>IF(AM62="ja",VLOOKUP($B62,Miljö!$B$1:$J$479,MATCH("Typ av ursprungsspecificerad el   (Om inget värde anges används Nordisk residualmix, se inforuta) ()",Miljö!$B$1:$J$1,0),FALSE),IF(AM62="nej","Nordisk residualel",""))</f>
        <v/>
      </c>
      <c r="AO62" s="63" t="str">
        <f>IF(AM62="","",VLOOKUP($B62,Miljö!$B$1:$J$479,MATCH("Fossilandel för ursprungspecificerad el ()",Miljö!$B$1:$J$1,0),FALSE))</f>
        <v/>
      </c>
      <c r="AQ62" s="63" t="str">
        <f t="shared" si="1"/>
        <v/>
      </c>
      <c r="AS62" s="63" t="str">
        <f t="shared" si="2"/>
        <v>Nej</v>
      </c>
      <c r="AT62" s="63" t="str">
        <f>IF(AS62="ja",VLOOKUP($B62,Miljö!$B$1:$P$500,MATCH("Fossil andel i procent (%)",Miljö!$B$1:$P$1,0),FALSE)/100,"")</f>
        <v/>
      </c>
      <c r="AV62" s="63" t="str">
        <f t="shared" si="3"/>
        <v>Nej</v>
      </c>
      <c r="AW62" s="63" t="str">
        <f>IF(AV62="ja",VLOOKUP($B62,'Egen hetvattenprod'!$B$1:$AO$500,MATCH("Värmekälla till värmepumpar ()",'Egen hetvattenprod'!$B$1:$AO$1,0),FALSE),"")</f>
        <v/>
      </c>
      <c r="AY62" s="63" t="str">
        <f t="shared" si="4"/>
        <v>Nej</v>
      </c>
      <c r="AZ62" s="77" t="str">
        <f>IF($AY62="ja",(VLOOKUP($B62,'Egen hetvattenprod'!$B$1:$BX$550,MATCH(AZ$2,'Egen hetvattenprod'!$B$1:$BX$1,0),FALSE)+VLOOKUP($B62,Kraftvärmeprod!$B$1:$BX$550,MATCH(AZ$2,Kraftvärmeprod!$B$1:$BX$1,0),FALSE))/$AC62,"")</f>
        <v/>
      </c>
      <c r="BA62" s="77" t="str">
        <f>IF($AY62="ja",(VLOOKUP($B62,'Egen hetvattenprod'!$B$1:$BX$550,MATCH(BA$2,'Egen hetvattenprod'!$B$1:$BX$1,0),FALSE)+VLOOKUP($B62,Kraftvärmeprod!$B$1:$BX$550,MATCH(BA$2,Kraftvärmeprod!$B$1:$BX$1,0),FALSE))/$AC62,"")</f>
        <v/>
      </c>
      <c r="BB62" s="77" t="str">
        <f>IF($AY62="ja",(VLOOKUP($B62,'Egen hetvattenprod'!$B$1:$BX$550,MATCH(BB$2,'Egen hetvattenprod'!$B$1:$BX$1,0),FALSE)+VLOOKUP($B62,Kraftvärmeprod!$B$1:$BX$550,MATCH(BB$2,Kraftvärmeprod!$B$1:$BX$1,0),FALSE))/$AC62,"")</f>
        <v/>
      </c>
      <c r="BC62" s="77" t="str">
        <f>IF($AY62="ja",(VLOOKUP($B62,'Egen hetvattenprod'!$B$1:$BX$550,MATCH(BC$2,'Egen hetvattenprod'!$B$1:$BX$1,0),FALSE)+VLOOKUP($B62,Kraftvärmeprod!$B$1:$BX$550,MATCH(BC$2,Kraftvärmeprod!$B$1:$BX$1,0),FALSE))/$AC62,"")</f>
        <v/>
      </c>
      <c r="BD62" s="77" t="str">
        <f>IF($AY62="ja",(VLOOKUP($B62,'Egen hetvattenprod'!$B$1:$BX$550,MATCH(BD$2,'Egen hetvattenprod'!$B$1:$BX$1,0),FALSE)+VLOOKUP($B62,Kraftvärmeprod!$B$1:$BX$550,MATCH(BD$2,Kraftvärmeprod!$B$1:$BX$1,0),FALSE))/$AC62,"")</f>
        <v/>
      </c>
      <c r="BF62" s="63" t="str">
        <f t="shared" si="5"/>
        <v>Nej</v>
      </c>
      <c r="BG62" s="63" t="str">
        <f>IF($BF62="ja",VLOOKUP($B62,'Egen hetvattenprod'!$B$1:$BX$550,MATCH("Andelen klimatgaser med fossilt ursprung för avfall ()",'Egen hetvattenprod'!$B$1:$BX$1,0),FALSE),"")</f>
        <v/>
      </c>
      <c r="BH62" s="63" t="str">
        <f>IF($BF62="ja",VLOOKUP($B62,Kraftvärmeprod!$B$1:$BX$550,MATCH("Andelen klimatgaser med fossilt ursprung för avfall ()",Kraftvärmeprod!$B$1:$BX$1,0),FALSE),"")</f>
        <v/>
      </c>
      <c r="BI62" s="63" t="str">
        <f>IF($BF62="ja",VLOOKUP($B62,'Egen hetvattenprod'!$B$1:$BX$550,MATCH("Avfall (GWh)",'Egen hetvattenprod'!$B$1:$BX$1,0),FALSE),"")</f>
        <v/>
      </c>
      <c r="BJ62" s="63" t="str">
        <f>IF($BF62="ja",VLOOKUP($B62,'Slutlig allokering kvv'!$B$1:$BX$550,MATCH("Avfall (GWh)",'Slutlig allokering kvv'!$B$1:$BX$1,0),FALSE),"")</f>
        <v/>
      </c>
      <c r="BK62" s="63" t="str">
        <f>IF($BF62="ja",VLOOKUP($B62,'Köpt hetvatten'!$B$1:$BX$550,MATCH("Avfall i köpt hetvatten",'Köpt hetvatten'!$B$1:$BX$1,0),FALSE),"")</f>
        <v/>
      </c>
      <c r="BL62" s="63" t="str">
        <f>IF($BF62="ja",VLOOKUP($B62,'Egen hetvattenprod'!$B$1:$BX$550,MATCH("Värde enligt ovan. (%)",'Egen hetvattenprod'!$B$1:$BX$1,0),FALSE),"")</f>
        <v/>
      </c>
      <c r="BM62" s="63" t="str">
        <f>IF($BF62="ja",VLOOKUP($B62,Kraftvärmeprod!$B$1:$BX$550,MATCH("Värde enligt ovan. (%)",Kraftvärmeprod!$B$1:$BX$1,0),FALSE),"")</f>
        <v/>
      </c>
    </row>
    <row r="63" spans="1:65" x14ac:dyDescent="0.45">
      <c r="A63" s="63" t="s">
        <v>610</v>
      </c>
      <c r="B63" s="63" t="s">
        <v>614</v>
      </c>
      <c r="C63" s="63">
        <f>VLOOKUP($B63,'Tillförd energi'!$B$1:$AI$720,MATCH(C$2,'Tillförd energi'!$B$1:$AQ$1,0),FALSE)</f>
        <v>0</v>
      </c>
      <c r="D63" s="63">
        <f>VLOOKUP($B63,'Tillförd energi'!$B$1:$AI$720,MATCH(D$2,'Tillförd energi'!$B$1:$AQ$1,0),FALSE)</f>
        <v>4.9888599999999998E-2</v>
      </c>
      <c r="E63" s="63">
        <f>VLOOKUP($B63,'Tillförd energi'!$B$1:$AI$720,MATCH(E$2,'Tillförd energi'!$B$1:$AQ$1,0),FALSE)</f>
        <v>0</v>
      </c>
      <c r="F63" s="63">
        <f>VLOOKUP($B63,'Tillförd energi'!$B$1:$AI$720,MATCH(F$2,'Tillförd energi'!$B$1:$AQ$1,0),FALSE)</f>
        <v>4.4691400000000003</v>
      </c>
      <c r="G63" s="63">
        <f>VLOOKUP($B63,'Tillförd energi'!$B$1:$AI$720,MATCH(G$2,'Tillförd energi'!$B$1:$AQ$1,0),FALSE)</f>
        <v>222.328</v>
      </c>
      <c r="H63" s="63">
        <f>VLOOKUP($B63,'Tillförd energi'!$B$1:$AI$720,MATCH(H$2,'Tillförd energi'!$B$1:$AQ$1,0),FALSE)</f>
        <v>0</v>
      </c>
      <c r="I63" s="63">
        <f>VLOOKUP($B63,'Tillförd energi'!$B$1:$AI$720,MATCH(I$2,'Tillförd energi'!$B$1:$AQ$1,0),FALSE)</f>
        <v>932.34699999999998</v>
      </c>
      <c r="J63" s="63">
        <f>VLOOKUP($B63,'Tillförd energi'!$B$1:$AI$720,MATCH(J$2,'Tillförd energi'!$B$1:$AQ$1,0),FALSE)</f>
        <v>92.907799999999995</v>
      </c>
      <c r="K63" s="63">
        <f>VLOOKUP($B63,'Tillförd energi'!$B$1:$AI$720,MATCH(K$2,'Tillförd energi'!$B$1:$AQ$1,0),FALSE)</f>
        <v>0</v>
      </c>
      <c r="L63" s="63">
        <f>VLOOKUP($B63,'Tillförd energi'!$B$1:$AI$720,MATCH(L$2,'Tillförd energi'!$B$1:$AQ$1,0),FALSE)</f>
        <v>0</v>
      </c>
      <c r="M63" s="63">
        <f>VLOOKUP($B63,'Tillförd energi'!$B$1:$AI$720,MATCH(M$2,'Tillförd energi'!$B$1:$AQ$1,0),FALSE)</f>
        <v>0</v>
      </c>
      <c r="N63" s="63">
        <f>VLOOKUP($B63,'Tillförd energi'!$B$1:$AI$720,MATCH(N$2,'Tillförd energi'!$B$1:$AQ$1,0),FALSE)</f>
        <v>0</v>
      </c>
      <c r="O63" s="63">
        <f>VLOOKUP($B63,'Tillförd energi'!$B$1:$AI$720,MATCH(O$2,'Tillförd energi'!$B$1:$AQ$1,0),FALSE)</f>
        <v>0</v>
      </c>
      <c r="P63" s="63">
        <f>VLOOKUP($B63,'Tillförd energi'!$B$1:$AI$720,MATCH(P$2,'Tillförd energi'!$B$1:$AQ$1,0),FALSE)</f>
        <v>147</v>
      </c>
      <c r="Q63" s="63">
        <f>VLOOKUP($B63,'Tillförd energi'!$B$1:$AI$720,MATCH(Q$2,'Tillförd energi'!$B$1:$AQ$1,0),FALSE)</f>
        <v>0</v>
      </c>
      <c r="R63" s="63">
        <f>VLOOKUP($B63,'Tillförd energi'!$B$1:$AI$720,MATCH(R$2,'Tillförd energi'!$B$1:$AQ$1,0),FALSE)</f>
        <v>0</v>
      </c>
      <c r="S63" s="63">
        <f>VLOOKUP($B63,'Tillförd energi'!$B$1:$AI$720,MATCH(S$2,'Tillförd energi'!$B$1:$AQ$1,0),FALSE)</f>
        <v>0</v>
      </c>
      <c r="T63" s="63">
        <f>VLOOKUP($B63,'Tillförd energi'!$B$1:$AI$720,MATCH(T$2,'Tillförd energi'!$B$1:$AQ$1,0),FALSE)</f>
        <v>0</v>
      </c>
      <c r="U63" s="63">
        <f>VLOOKUP($B63,'Tillförd energi'!$B$1:$AI$720,MATCH(U$2,'Tillförd energi'!$B$1:$AQ$1,0),FALSE)</f>
        <v>0</v>
      </c>
      <c r="V63" s="63">
        <f>VLOOKUP($B63,'Tillförd energi'!$B$1:$AI$720,MATCH(V$2,'Tillförd energi'!$B$1:$AQ$1,0),FALSE)</f>
        <v>0</v>
      </c>
      <c r="W63" s="63">
        <f>VLOOKUP($B63,'Tillförd energi'!$B$1:$AI$720,MATCH(W$2,'Tillförd energi'!$B$1:$AQ$1,0),FALSE)</f>
        <v>0</v>
      </c>
      <c r="X63" s="63">
        <f>VLOOKUP($B63,'Tillförd energi'!$B$1:$AI$720,MATCH(X$2,'Tillförd energi'!$B$1:$AQ$1,0),FALSE)</f>
        <v>0</v>
      </c>
      <c r="Y63" s="63">
        <f>VLOOKUP($B63,'Tillförd energi'!$B$1:$AI$720,MATCH(Y$2,'Tillförd energi'!$B$1:$AQ$1,0),FALSE)</f>
        <v>0</v>
      </c>
      <c r="Z63" s="63">
        <f>VLOOKUP($B63,'Tillförd energi'!$B$1:$AI$720,MATCH(Z$2,'Tillförd energi'!$B$1:$AQ$1,0),FALSE)</f>
        <v>0</v>
      </c>
      <c r="AA63" s="63">
        <f>VLOOKUP($B63,'Tillförd energi'!$B$1:$AI$720,MATCH(AA$2,'Tillförd energi'!$B$1:$AQ$1,0),FALSE)</f>
        <v>24.5</v>
      </c>
      <c r="AB63" s="63">
        <f>VLOOKUP($B63,'Tillförd energi'!$B$1:$AI$720,MATCH(AB$2,'Tillförd energi'!$B$1:$AQ$1,0),FALSE)</f>
        <v>55.5</v>
      </c>
      <c r="AC63" s="63">
        <f>VLOOKUP($B63,'Tillförd energi'!$B$1:$AI$720,MATCH(AC$2,'Tillförd energi'!$B$1:$AQ$1,0),FALSE)</f>
        <v>58</v>
      </c>
      <c r="AD63" s="63">
        <f>VLOOKUP($B63,'Tillförd energi'!$B$1:$AI$720,MATCH(AD$2,'Tillförd energi'!$B$1:$AQ$1,0),FALSE)</f>
        <v>158.69999999999999</v>
      </c>
      <c r="AE63" s="63">
        <f>VLOOKUP($B63,'Tillförd energi'!$B$1:$AI$720,MATCH(AE$2,'Tillförd energi'!$B$1:$AQ$1,0),FALSE)</f>
        <v>0</v>
      </c>
      <c r="AF63" s="63">
        <f>VLOOKUP($B63,'Tillförd energi'!$B$1:$AI$720,MATCH(AF$2,'Tillförd energi'!$B$1:$AQ$1,0),FALSE)</f>
        <v>32.607100000000003</v>
      </c>
      <c r="AG63" s="63">
        <f>IFERROR(VLOOKUP(B63,Miljö!$B$1:$AC$550,MATCH("Köpt mängd produktionsspecifik fjärrvärme:",Miljö!$B$1:$AC$1,0),FALSE)/1,0)</f>
        <v>0</v>
      </c>
      <c r="AI63" s="63">
        <f t="shared" si="0"/>
        <v>1728.4089285999999</v>
      </c>
      <c r="AJ63" s="63">
        <f>IF(ISERROR(1/VLOOKUP($B63,Leveranser!$B$1:$S$500,MATCH("såld värme (gwh)",Leveranser!$B$1:$S$1,0),FALSE)),"",VLOOKUP($B63,Leveranser!$B$1:$S$500,MATCH("såld värme (gwh)",Leveranser!$B$1:$S$1,0),FALSE))</f>
        <v>1971</v>
      </c>
      <c r="AM63" s="63" t="str">
        <f>IF(B63&lt;&gt;"",IF(VLOOKUP($B63,Totalt!$B$1:$AQ$554,MATCH("Kvalitetsgranskad:",Totalt!$B$1:$AQ$1,0),FALSE)="ja",VLOOKUP($B63,Miljö!$B$1:$AG$479,MATCH(AM$2,Miljö!$B$1:$AK$1,0),FALSE),""),"")</f>
        <v>Ja</v>
      </c>
      <c r="AN63" s="63" t="str">
        <f>IF(AM63="ja",VLOOKUP($B63,Miljö!$B$1:$J$479,MATCH("Typ av ursprungsspecificerad el   (Om inget värde anges används Nordisk residualmix, se inforuta) ()",Miljö!$B$1:$J$1,0),FALSE),IF(AM63="nej","Nordisk residualel",""))</f>
        <v>'mixed el'</v>
      </c>
      <c r="AO63" s="63">
        <f>IF(AM63="","",VLOOKUP($B63,Miljö!$B$1:$J$479,MATCH("Fossilandel för ursprungspecificerad el ()",Miljö!$B$1:$J$1,0),FALSE))</f>
        <v>0.19600000000000001</v>
      </c>
      <c r="AQ63" s="63">
        <f t="shared" si="1"/>
        <v>0.80400000000000005</v>
      </c>
      <c r="AS63" s="63" t="str">
        <f t="shared" si="2"/>
        <v>Nej</v>
      </c>
      <c r="AT63" s="63" t="str">
        <f>IF(AS63="ja",VLOOKUP($B63,Miljö!$B$1:$P$500,MATCH("Fossil andel i procent (%)",Miljö!$B$1:$P$1,0),FALSE)/100,"")</f>
        <v/>
      </c>
      <c r="AV63" s="63" t="str">
        <f t="shared" si="3"/>
        <v>Ja</v>
      </c>
      <c r="AW63" s="63" t="str">
        <f>IF(AV63="ja",VLOOKUP($B63,'Egen hetvattenprod'!$B$1:$AO$500,MATCH("Värmekälla till värmepumpar ()",'Egen hetvattenprod'!$B$1:$AO$1,0),FALSE),"")</f>
        <v>Renat avloppsvatten</v>
      </c>
      <c r="AY63" s="63" t="str">
        <f t="shared" si="4"/>
        <v>Ja</v>
      </c>
      <c r="AZ63" s="77">
        <f>IF($AY63="ja",(VLOOKUP($B63,'Egen hetvattenprod'!$B$1:$BX$550,MATCH(AZ$2,'Egen hetvattenprod'!$B$1:$BX$1,0),FALSE)+VLOOKUP($B63,Kraftvärmeprod!$B$1:$BX$550,MATCH(AZ$2,Kraftvärmeprod!$B$1:$BX$1,0),FALSE))/$AC63,"")</f>
        <v>0.65500000000000003</v>
      </c>
      <c r="BA63" s="77">
        <f>IF($AY63="ja",(VLOOKUP($B63,'Egen hetvattenprod'!$B$1:$BX$550,MATCH(BA$2,'Egen hetvattenprod'!$B$1:$BX$1,0),FALSE)+VLOOKUP($B63,Kraftvärmeprod!$B$1:$BX$550,MATCH(BA$2,Kraftvärmeprod!$B$1:$BX$1,0),FALSE))/$AC63,"")</f>
        <v>0</v>
      </c>
      <c r="BB63" s="77">
        <f>IF($AY63="ja",(VLOOKUP($B63,'Egen hetvattenprod'!$B$1:$BX$550,MATCH(BB$2,'Egen hetvattenprod'!$B$1:$BX$1,0),FALSE)+VLOOKUP($B63,Kraftvärmeprod!$B$1:$BX$550,MATCH(BB$2,Kraftvärmeprod!$B$1:$BX$1,0),FALSE))/$AC63,"")</f>
        <v>0.34500000000000003</v>
      </c>
      <c r="BC63" s="77">
        <f>IF($AY63="ja",(VLOOKUP($B63,'Egen hetvattenprod'!$B$1:$BX$550,MATCH(BC$2,'Egen hetvattenprod'!$B$1:$BX$1,0),FALSE)+VLOOKUP($B63,Kraftvärmeprod!$B$1:$BX$550,MATCH(BC$2,Kraftvärmeprod!$B$1:$BX$1,0),FALSE))/$AC63,"")</f>
        <v>0</v>
      </c>
      <c r="BD63" s="77">
        <f>IF($AY63="ja",(VLOOKUP($B63,'Egen hetvattenprod'!$B$1:$BX$550,MATCH(BD$2,'Egen hetvattenprod'!$B$1:$BX$1,0),FALSE)+VLOOKUP($B63,Kraftvärmeprod!$B$1:$BX$550,MATCH(BD$2,Kraftvärmeprod!$B$1:$BX$1,0),FALSE))/$AC63,"")</f>
        <v>0</v>
      </c>
      <c r="BF63" s="63" t="str">
        <f t="shared" si="5"/>
        <v>Ja</v>
      </c>
      <c r="BG63" s="63" t="str">
        <f>IF($BF63="ja",VLOOKUP($B63,'Egen hetvattenprod'!$B$1:$BX$550,MATCH("Andelen klimatgaser med fossilt ursprung för avfall ()",'Egen hetvattenprod'!$B$1:$BX$1,0),FALSE),"")</f>
        <v>ET</v>
      </c>
      <c r="BH63" s="63" t="str">
        <f>IF($BF63="ja",VLOOKUP($B63,Kraftvärmeprod!$B$1:$BX$550,MATCH("Andelen klimatgaser med fossilt ursprung för avfall ()",Kraftvärmeprod!$B$1:$BX$1,0),FALSE),"")</f>
        <v>ET</v>
      </c>
      <c r="BI63" s="63" t="str">
        <f>IF($BF63="ja",VLOOKUP($B63,'Egen hetvattenprod'!$B$1:$BX$550,MATCH("Avfall (GWh)",'Egen hetvattenprod'!$B$1:$BX$1,0),FALSE),"")</f>
        <v>ET</v>
      </c>
      <c r="BJ63" s="63">
        <f>IF($BF63="ja",VLOOKUP($B63,'Slutlig allokering kvv'!$B$1:$BX$550,MATCH("Avfall (GWh)",'Slutlig allokering kvv'!$B$1:$BX$1,0),FALSE),"")</f>
        <v>932.34699999999998</v>
      </c>
      <c r="BK63" s="63">
        <f>IF($BF63="ja",VLOOKUP($B63,'Köpt hetvatten'!$B$1:$BX$550,MATCH("Avfall i köpt hetvatten",'Köpt hetvatten'!$B$1:$BX$1,0),FALSE),"")</f>
        <v>0</v>
      </c>
      <c r="BL63" s="63" t="str">
        <f>IF($BF63="ja",VLOOKUP($B63,'Egen hetvattenprod'!$B$1:$BX$550,MATCH("Värde enligt ovan. (%)",'Egen hetvattenprod'!$B$1:$BX$1,0),FALSE),"")</f>
        <v>ET</v>
      </c>
      <c r="BM63" s="63" t="str">
        <f>IF($BF63="ja",VLOOKUP($B63,Kraftvärmeprod!$B$1:$BX$550,MATCH("Värde enligt ovan. (%)",Kraftvärmeprod!$B$1:$BX$1,0),FALSE),"")</f>
        <v>ET</v>
      </c>
    </row>
    <row r="64" spans="1:65" x14ac:dyDescent="0.45">
      <c r="A64" s="63" t="s">
        <v>610</v>
      </c>
      <c r="B64" s="63" t="s">
        <v>611</v>
      </c>
      <c r="C64" s="63">
        <f>VLOOKUP($B64,'Tillförd energi'!$B$1:$AI$720,MATCH(C$2,'Tillförd energi'!$B$1:$AQ$1,0),FALSE)</f>
        <v>0</v>
      </c>
      <c r="D64" s="63">
        <f>VLOOKUP($B64,'Tillförd energi'!$B$1:$AI$720,MATCH(D$2,'Tillförd energi'!$B$1:$AQ$1,0),FALSE)</f>
        <v>0</v>
      </c>
      <c r="E64" s="63">
        <f>VLOOKUP($B64,'Tillförd energi'!$B$1:$AI$720,MATCH(E$2,'Tillförd energi'!$B$1:$AQ$1,0),FALSE)</f>
        <v>0</v>
      </c>
      <c r="F64" s="63">
        <f>VLOOKUP($B64,'Tillförd energi'!$B$1:$AI$720,MATCH(F$2,'Tillförd energi'!$B$1:$AQ$1,0),FALSE)</f>
        <v>0</v>
      </c>
      <c r="G64" s="63">
        <f>VLOOKUP($B64,'Tillförd energi'!$B$1:$AI$720,MATCH(G$2,'Tillförd energi'!$B$1:$AQ$1,0),FALSE)</f>
        <v>0</v>
      </c>
      <c r="H64" s="63">
        <f>VLOOKUP($B64,'Tillförd energi'!$B$1:$AI$720,MATCH(H$2,'Tillförd energi'!$B$1:$AQ$1,0),FALSE)</f>
        <v>0</v>
      </c>
      <c r="I64" s="63">
        <f>VLOOKUP($B64,'Tillförd energi'!$B$1:$AI$720,MATCH(I$2,'Tillförd energi'!$B$1:$AQ$1,0),FALSE)</f>
        <v>0</v>
      </c>
      <c r="J64" s="63">
        <f>VLOOKUP($B64,'Tillförd energi'!$B$1:$AI$720,MATCH(J$2,'Tillförd energi'!$B$1:$AQ$1,0),FALSE)</f>
        <v>0</v>
      </c>
      <c r="K64" s="63">
        <f>VLOOKUP($B64,'Tillförd energi'!$B$1:$AI$720,MATCH(K$2,'Tillförd energi'!$B$1:$AQ$1,0),FALSE)</f>
        <v>0</v>
      </c>
      <c r="L64" s="63">
        <f>VLOOKUP($B64,'Tillförd energi'!$B$1:$AI$720,MATCH(L$2,'Tillförd energi'!$B$1:$AQ$1,0),FALSE)</f>
        <v>0</v>
      </c>
      <c r="M64" s="63">
        <f>VLOOKUP($B64,'Tillförd energi'!$B$1:$AI$720,MATCH(M$2,'Tillförd energi'!$B$1:$AQ$1,0),FALSE)</f>
        <v>0</v>
      </c>
      <c r="N64" s="63">
        <f>VLOOKUP($B64,'Tillförd energi'!$B$1:$AI$720,MATCH(N$2,'Tillförd energi'!$B$1:$AQ$1,0),FALSE)</f>
        <v>0</v>
      </c>
      <c r="O64" s="63">
        <f>VLOOKUP($B64,'Tillförd energi'!$B$1:$AI$720,MATCH(O$2,'Tillförd energi'!$B$1:$AQ$1,0),FALSE)</f>
        <v>0</v>
      </c>
      <c r="P64" s="63">
        <f>VLOOKUP($B64,'Tillförd energi'!$B$1:$AI$720,MATCH(P$2,'Tillförd energi'!$B$1:$AQ$1,0),FALSE)</f>
        <v>40</v>
      </c>
      <c r="Q64" s="63">
        <f>VLOOKUP($B64,'Tillförd energi'!$B$1:$AI$720,MATCH(Q$2,'Tillförd energi'!$B$1:$AQ$1,0),FALSE)</f>
        <v>0</v>
      </c>
      <c r="R64" s="63">
        <f>VLOOKUP($B64,'Tillförd energi'!$B$1:$AI$720,MATCH(R$2,'Tillförd energi'!$B$1:$AQ$1,0),FALSE)</f>
        <v>0</v>
      </c>
      <c r="S64" s="63">
        <f>VLOOKUP($B64,'Tillförd energi'!$B$1:$AI$720,MATCH(S$2,'Tillförd energi'!$B$1:$AQ$1,0),FALSE)</f>
        <v>0</v>
      </c>
      <c r="T64" s="63">
        <f>VLOOKUP($B64,'Tillförd energi'!$B$1:$AI$720,MATCH(T$2,'Tillförd energi'!$B$1:$AQ$1,0),FALSE)</f>
        <v>0</v>
      </c>
      <c r="U64" s="63">
        <f>VLOOKUP($B64,'Tillförd energi'!$B$1:$AI$720,MATCH(U$2,'Tillförd energi'!$B$1:$AQ$1,0),FALSE)</f>
        <v>0</v>
      </c>
      <c r="V64" s="63">
        <f>VLOOKUP($B64,'Tillförd energi'!$B$1:$AI$720,MATCH(V$2,'Tillförd energi'!$B$1:$AQ$1,0),FALSE)</f>
        <v>0</v>
      </c>
      <c r="W64" s="63">
        <f>VLOOKUP($B64,'Tillförd energi'!$B$1:$AI$720,MATCH(W$2,'Tillförd energi'!$B$1:$AQ$1,0),FALSE)</f>
        <v>5.7</v>
      </c>
      <c r="X64" s="63">
        <f>VLOOKUP($B64,'Tillförd energi'!$B$1:$AI$720,MATCH(X$2,'Tillförd energi'!$B$1:$AQ$1,0),FALSE)</f>
        <v>0</v>
      </c>
      <c r="Y64" s="63">
        <f>VLOOKUP($B64,'Tillförd energi'!$B$1:$AI$720,MATCH(Y$2,'Tillförd energi'!$B$1:$AQ$1,0),FALSE)</f>
        <v>0</v>
      </c>
      <c r="Z64" s="63">
        <f>VLOOKUP($B64,'Tillförd energi'!$B$1:$AI$720,MATCH(Z$2,'Tillförd energi'!$B$1:$AQ$1,0),FALSE)</f>
        <v>0</v>
      </c>
      <c r="AA64" s="63">
        <f>VLOOKUP($B64,'Tillförd energi'!$B$1:$AI$720,MATCH(AA$2,'Tillförd energi'!$B$1:$AQ$1,0),FALSE)</f>
        <v>8.3000000000000007</v>
      </c>
      <c r="AB64" s="63">
        <f>VLOOKUP($B64,'Tillförd energi'!$B$1:$AI$720,MATCH(AB$2,'Tillförd energi'!$B$1:$AQ$1,0),FALSE)</f>
        <v>12.7</v>
      </c>
      <c r="AC64" s="63">
        <f>VLOOKUP($B64,'Tillförd energi'!$B$1:$AI$720,MATCH(AC$2,'Tillförd energi'!$B$1:$AQ$1,0),FALSE)</f>
        <v>0</v>
      </c>
      <c r="AD64" s="63">
        <f>VLOOKUP($B64,'Tillförd energi'!$B$1:$AI$720,MATCH(AD$2,'Tillförd energi'!$B$1:$AQ$1,0),FALSE)</f>
        <v>0.3</v>
      </c>
      <c r="AE64" s="63">
        <f>VLOOKUP($B64,'Tillförd energi'!$B$1:$AI$720,MATCH(AE$2,'Tillförd energi'!$B$1:$AQ$1,0),FALSE)</f>
        <v>0</v>
      </c>
      <c r="AF64" s="63">
        <f>VLOOKUP($B64,'Tillförd energi'!$B$1:$AI$720,MATCH(AF$2,'Tillförd energi'!$B$1:$AQ$1,0),FALSE)</f>
        <v>4.7</v>
      </c>
      <c r="AG64" s="63">
        <f>IFERROR(VLOOKUP(B64,Miljö!$B$1:$AC$550,MATCH("Köpt mängd produktionsspecifik fjärrvärme:",Miljö!$B$1:$AC$1,0),FALSE)/1,0)</f>
        <v>0</v>
      </c>
      <c r="AI64" s="63">
        <f t="shared" si="0"/>
        <v>71.7</v>
      </c>
      <c r="AJ64" s="63">
        <f>IF(ISERROR(1/VLOOKUP($B64,Leveranser!$B$1:$S$500,MATCH("såld värme (gwh)",Leveranser!$B$1:$S$1,0),FALSE)),"",VLOOKUP($B64,Leveranser!$B$1:$S$500,MATCH("såld värme (gwh)",Leveranser!$B$1:$S$1,0),FALSE))</f>
        <v>61</v>
      </c>
      <c r="AM64" s="63" t="str">
        <f>IF(B64&lt;&gt;"",IF(VLOOKUP($B64,Totalt!$B$1:$AQ$554,MATCH("Kvalitetsgranskad:",Totalt!$B$1:$AQ$1,0),FALSE)="ja",VLOOKUP($B64,Miljö!$B$1:$AG$479,MATCH(AM$2,Miljö!$B$1:$AK$1,0),FALSE),""),"")</f>
        <v>Ja</v>
      </c>
      <c r="AN64" s="63" t="str">
        <f>IF(AM64="ja",VLOOKUP($B64,Miljö!$B$1:$J$479,MATCH("Typ av ursprungsspecificerad el   (Om inget värde anges används Nordisk residualmix, se inforuta) ()",Miljö!$B$1:$J$1,0),FALSE),IF(AM64="nej","Nordisk residualel",""))</f>
        <v>-</v>
      </c>
      <c r="AO64" s="63">
        <f>IF(AM64="","",VLOOKUP($B64,Miljö!$B$1:$J$479,MATCH("Fossilandel för ursprungspecificerad el ()",Miljö!$B$1:$J$1,0),FALSE))</f>
        <v>0.35</v>
      </c>
      <c r="AQ64" s="63">
        <f t="shared" si="1"/>
        <v>0.65</v>
      </c>
      <c r="AS64" s="63" t="str">
        <f t="shared" si="2"/>
        <v>Nej</v>
      </c>
      <c r="AT64" s="63" t="str">
        <f>IF(AS64="ja",VLOOKUP($B64,Miljö!$B$1:$P$500,MATCH("Fossil andel i procent (%)",Miljö!$B$1:$P$1,0),FALSE)/100,"")</f>
        <v/>
      </c>
      <c r="AV64" s="63" t="str">
        <f t="shared" si="3"/>
        <v>Ja</v>
      </c>
      <c r="AW64" s="63" t="str">
        <f>IF(AV64="ja",VLOOKUP($B64,'Egen hetvattenprod'!$B$1:$AO$500,MATCH("Värmekälla till värmepumpar ()",'Egen hetvattenprod'!$B$1:$AO$1,0),FALSE),"")</f>
        <v>Sjövatten</v>
      </c>
      <c r="AY64" s="63" t="str">
        <f t="shared" si="4"/>
        <v>Nej</v>
      </c>
      <c r="AZ64" s="77" t="str">
        <f>IF($AY64="ja",(VLOOKUP($B64,'Egen hetvattenprod'!$B$1:$BX$550,MATCH(AZ$2,'Egen hetvattenprod'!$B$1:$BX$1,0),FALSE)+VLOOKUP($B64,Kraftvärmeprod!$B$1:$BX$550,MATCH(AZ$2,Kraftvärmeprod!$B$1:$BX$1,0),FALSE))/$AC64,"")</f>
        <v/>
      </c>
      <c r="BA64" s="77" t="str">
        <f>IF($AY64="ja",(VLOOKUP($B64,'Egen hetvattenprod'!$B$1:$BX$550,MATCH(BA$2,'Egen hetvattenprod'!$B$1:$BX$1,0),FALSE)+VLOOKUP($B64,Kraftvärmeprod!$B$1:$BX$550,MATCH(BA$2,Kraftvärmeprod!$B$1:$BX$1,0),FALSE))/$AC64,"")</f>
        <v/>
      </c>
      <c r="BB64" s="77" t="str">
        <f>IF($AY64="ja",(VLOOKUP($B64,'Egen hetvattenprod'!$B$1:$BX$550,MATCH(BB$2,'Egen hetvattenprod'!$B$1:$BX$1,0),FALSE)+VLOOKUP($B64,Kraftvärmeprod!$B$1:$BX$550,MATCH(BB$2,Kraftvärmeprod!$B$1:$BX$1,0),FALSE))/$AC64,"")</f>
        <v/>
      </c>
      <c r="BC64" s="77" t="str">
        <f>IF($AY64="ja",(VLOOKUP($B64,'Egen hetvattenprod'!$B$1:$BX$550,MATCH(BC$2,'Egen hetvattenprod'!$B$1:$BX$1,0),FALSE)+VLOOKUP($B64,Kraftvärmeprod!$B$1:$BX$550,MATCH(BC$2,Kraftvärmeprod!$B$1:$BX$1,0),FALSE))/$AC64,"")</f>
        <v/>
      </c>
      <c r="BD64" s="77" t="str">
        <f>IF($AY64="ja",(VLOOKUP($B64,'Egen hetvattenprod'!$B$1:$BX$550,MATCH(BD$2,'Egen hetvattenprod'!$B$1:$BX$1,0),FALSE)+VLOOKUP($B64,Kraftvärmeprod!$B$1:$BX$550,MATCH(BD$2,Kraftvärmeprod!$B$1:$BX$1,0),FALSE))/$AC64,"")</f>
        <v/>
      </c>
      <c r="BF64" s="63" t="str">
        <f t="shared" si="5"/>
        <v>Nej</v>
      </c>
      <c r="BG64" s="63" t="str">
        <f>IF($BF64="ja",VLOOKUP($B64,'Egen hetvattenprod'!$B$1:$BX$550,MATCH("Andelen klimatgaser med fossilt ursprung för avfall ()",'Egen hetvattenprod'!$B$1:$BX$1,0),FALSE),"")</f>
        <v/>
      </c>
      <c r="BH64" s="63" t="str">
        <f>IF($BF64="ja",VLOOKUP($B64,Kraftvärmeprod!$B$1:$BX$550,MATCH("Andelen klimatgaser med fossilt ursprung för avfall ()",Kraftvärmeprod!$B$1:$BX$1,0),FALSE),"")</f>
        <v/>
      </c>
      <c r="BI64" s="63" t="str">
        <f>IF($BF64="ja",VLOOKUP($B64,'Egen hetvattenprod'!$B$1:$BX$550,MATCH("Avfall (GWh)",'Egen hetvattenprod'!$B$1:$BX$1,0),FALSE),"")</f>
        <v/>
      </c>
      <c r="BJ64" s="63" t="str">
        <f>IF($BF64="ja",VLOOKUP($B64,'Slutlig allokering kvv'!$B$1:$BX$550,MATCH("Avfall (GWh)",'Slutlig allokering kvv'!$B$1:$BX$1,0),FALSE),"")</f>
        <v/>
      </c>
      <c r="BK64" s="63" t="str">
        <f>IF($BF64="ja",VLOOKUP($B64,'Köpt hetvatten'!$B$1:$BX$550,MATCH("Avfall i köpt hetvatten",'Köpt hetvatten'!$B$1:$BX$1,0),FALSE),"")</f>
        <v/>
      </c>
      <c r="BL64" s="63" t="str">
        <f>IF($BF64="ja",VLOOKUP($B64,'Egen hetvattenprod'!$B$1:$BX$550,MATCH("Värde enligt ovan. (%)",'Egen hetvattenprod'!$B$1:$BX$1,0),FALSE),"")</f>
        <v/>
      </c>
      <c r="BM64" s="63" t="str">
        <f>IF($BF64="ja",VLOOKUP($B64,Kraftvärmeprod!$B$1:$BX$550,MATCH("Värde enligt ovan. (%)",Kraftvärmeprod!$B$1:$BX$1,0),FALSE),"")</f>
        <v/>
      </c>
    </row>
    <row r="65" spans="1:65" x14ac:dyDescent="0.45">
      <c r="A65" s="63" t="s">
        <v>610</v>
      </c>
      <c r="B65" s="63" t="s">
        <v>609</v>
      </c>
      <c r="C65" s="63">
        <f>VLOOKUP($B65,'Tillförd energi'!$B$1:$AI$720,MATCH(C$2,'Tillförd energi'!$B$1:$AQ$1,0),FALSE)</f>
        <v>0</v>
      </c>
      <c r="D65" s="63">
        <f>VLOOKUP($B65,'Tillförd energi'!$B$1:$AI$720,MATCH(D$2,'Tillförd energi'!$B$1:$AQ$1,0),FALSE)</f>
        <v>1.4</v>
      </c>
      <c r="E65" s="63">
        <f>VLOOKUP($B65,'Tillförd energi'!$B$1:$AI$720,MATCH(E$2,'Tillförd energi'!$B$1:$AQ$1,0),FALSE)</f>
        <v>0</v>
      </c>
      <c r="F65" s="63">
        <f>VLOOKUP($B65,'Tillförd energi'!$B$1:$AI$720,MATCH(F$2,'Tillförd energi'!$B$1:$AQ$1,0),FALSE)</f>
        <v>0</v>
      </c>
      <c r="G65" s="63">
        <f>VLOOKUP($B65,'Tillförd energi'!$B$1:$AI$720,MATCH(G$2,'Tillförd energi'!$B$1:$AQ$1,0),FALSE)</f>
        <v>0</v>
      </c>
      <c r="H65" s="63">
        <f>VLOOKUP($B65,'Tillförd energi'!$B$1:$AI$720,MATCH(H$2,'Tillförd energi'!$B$1:$AQ$1,0),FALSE)</f>
        <v>0</v>
      </c>
      <c r="I65" s="63">
        <f>VLOOKUP($B65,'Tillförd energi'!$B$1:$AI$720,MATCH(I$2,'Tillförd energi'!$B$1:$AQ$1,0),FALSE)</f>
        <v>0</v>
      </c>
      <c r="J65" s="63">
        <f>VLOOKUP($B65,'Tillförd energi'!$B$1:$AI$720,MATCH(J$2,'Tillförd energi'!$B$1:$AQ$1,0),FALSE)</f>
        <v>0</v>
      </c>
      <c r="K65" s="63">
        <f>VLOOKUP($B65,'Tillförd energi'!$B$1:$AI$720,MATCH(K$2,'Tillförd energi'!$B$1:$AQ$1,0),FALSE)</f>
        <v>0</v>
      </c>
      <c r="L65" s="63">
        <f>VLOOKUP($B65,'Tillförd energi'!$B$1:$AI$720,MATCH(L$2,'Tillförd energi'!$B$1:$AQ$1,0),FALSE)</f>
        <v>0</v>
      </c>
      <c r="M65" s="63">
        <f>VLOOKUP($B65,'Tillförd energi'!$B$1:$AI$720,MATCH(M$2,'Tillförd energi'!$B$1:$AQ$1,0),FALSE)</f>
        <v>0</v>
      </c>
      <c r="N65" s="63">
        <f>VLOOKUP($B65,'Tillförd energi'!$B$1:$AI$720,MATCH(N$2,'Tillförd energi'!$B$1:$AQ$1,0),FALSE)</f>
        <v>0</v>
      </c>
      <c r="O65" s="63">
        <f>VLOOKUP($B65,'Tillförd energi'!$B$1:$AI$720,MATCH(O$2,'Tillförd energi'!$B$1:$AQ$1,0),FALSE)</f>
        <v>0</v>
      </c>
      <c r="P65" s="63">
        <f>VLOOKUP($B65,'Tillförd energi'!$B$1:$AI$720,MATCH(P$2,'Tillförd energi'!$B$1:$AQ$1,0),FALSE)</f>
        <v>60</v>
      </c>
      <c r="Q65" s="63">
        <f>VLOOKUP($B65,'Tillförd energi'!$B$1:$AI$720,MATCH(Q$2,'Tillförd energi'!$B$1:$AQ$1,0),FALSE)</f>
        <v>0</v>
      </c>
      <c r="R65" s="63">
        <f>VLOOKUP($B65,'Tillförd energi'!$B$1:$AI$720,MATCH(R$2,'Tillförd energi'!$B$1:$AQ$1,0),FALSE)</f>
        <v>8</v>
      </c>
      <c r="S65" s="63">
        <f>VLOOKUP($B65,'Tillförd energi'!$B$1:$AI$720,MATCH(S$2,'Tillförd energi'!$B$1:$AQ$1,0),FALSE)</f>
        <v>0</v>
      </c>
      <c r="T65" s="63">
        <f>VLOOKUP($B65,'Tillförd energi'!$B$1:$AI$720,MATCH(T$2,'Tillförd energi'!$B$1:$AQ$1,0),FALSE)</f>
        <v>0</v>
      </c>
      <c r="U65" s="63">
        <f>VLOOKUP($B65,'Tillförd energi'!$B$1:$AI$720,MATCH(U$2,'Tillförd energi'!$B$1:$AQ$1,0),FALSE)</f>
        <v>0</v>
      </c>
      <c r="V65" s="63">
        <f>VLOOKUP($B65,'Tillförd energi'!$B$1:$AI$720,MATCH(V$2,'Tillförd energi'!$B$1:$AQ$1,0),FALSE)</f>
        <v>0</v>
      </c>
      <c r="W65" s="63">
        <f>VLOOKUP($B65,'Tillförd energi'!$B$1:$AI$720,MATCH(W$2,'Tillförd energi'!$B$1:$AQ$1,0),FALSE)</f>
        <v>8.8000000000000007</v>
      </c>
      <c r="X65" s="63">
        <f>VLOOKUP($B65,'Tillförd energi'!$B$1:$AI$720,MATCH(X$2,'Tillförd energi'!$B$1:$AQ$1,0),FALSE)</f>
        <v>0</v>
      </c>
      <c r="Y65" s="63">
        <f>VLOOKUP($B65,'Tillförd energi'!$B$1:$AI$720,MATCH(Y$2,'Tillförd energi'!$B$1:$AQ$1,0),FALSE)</f>
        <v>0</v>
      </c>
      <c r="Z65" s="63">
        <f>VLOOKUP($B65,'Tillförd energi'!$B$1:$AI$720,MATCH(Z$2,'Tillförd energi'!$B$1:$AQ$1,0),FALSE)</f>
        <v>0</v>
      </c>
      <c r="AA65" s="63">
        <f>VLOOKUP($B65,'Tillförd energi'!$B$1:$AI$720,MATCH(AA$2,'Tillförd energi'!$B$1:$AQ$1,0),FALSE)</f>
        <v>0</v>
      </c>
      <c r="AB65" s="63">
        <f>VLOOKUP($B65,'Tillförd energi'!$B$1:$AI$720,MATCH(AB$2,'Tillförd energi'!$B$1:$AQ$1,0),FALSE)</f>
        <v>0</v>
      </c>
      <c r="AC65" s="63">
        <f>VLOOKUP($B65,'Tillförd energi'!$B$1:$AI$720,MATCH(AC$2,'Tillförd energi'!$B$1:$AQ$1,0),FALSE)</f>
        <v>10.6</v>
      </c>
      <c r="AD65" s="63">
        <f>VLOOKUP($B65,'Tillförd energi'!$B$1:$AI$720,MATCH(AD$2,'Tillförd energi'!$B$1:$AQ$1,0),FALSE)</f>
        <v>0</v>
      </c>
      <c r="AE65" s="63">
        <f>VLOOKUP($B65,'Tillförd energi'!$B$1:$AI$720,MATCH(AE$2,'Tillförd energi'!$B$1:$AQ$1,0),FALSE)</f>
        <v>0</v>
      </c>
      <c r="AF65" s="63">
        <f>VLOOKUP($B65,'Tillförd energi'!$B$1:$AI$720,MATCH(AF$2,'Tillförd energi'!$B$1:$AQ$1,0),FALSE)</f>
        <v>1.7</v>
      </c>
      <c r="AG65" s="63">
        <f>IFERROR(VLOOKUP(B65,Miljö!$B$1:$AC$550,MATCH("Köpt mängd produktionsspecifik fjärrvärme:",Miljö!$B$1:$AC$1,0),FALSE)/1,0)</f>
        <v>0</v>
      </c>
      <c r="AI65" s="63">
        <f t="shared" si="0"/>
        <v>90.5</v>
      </c>
      <c r="AJ65" s="63">
        <f>IF(ISERROR(1/VLOOKUP($B65,Leveranser!$B$1:$S$500,MATCH("såld värme (gwh)",Leveranser!$B$1:$S$1,0),FALSE)),"",VLOOKUP($B65,Leveranser!$B$1:$S$500,MATCH("såld värme (gwh)",Leveranser!$B$1:$S$1,0),FALSE))</f>
        <v>65</v>
      </c>
      <c r="AM65" s="63" t="str">
        <f>IF(B65&lt;&gt;"",IF(VLOOKUP($B65,Totalt!$B$1:$AQ$554,MATCH("Kvalitetsgranskad:",Totalt!$B$1:$AQ$1,0),FALSE)="ja",VLOOKUP($B65,Miljö!$B$1:$AG$479,MATCH(AM$2,Miljö!$B$1:$AK$1,0),FALSE),""),"")</f>
        <v>Ja</v>
      </c>
      <c r="AN65" s="63" t="str">
        <f>IF(AM65="ja",VLOOKUP($B65,Miljö!$B$1:$J$479,MATCH("Typ av ursprungsspecificerad el   (Om inget värde anges används Nordisk residualmix, se inforuta) ()",Miljö!$B$1:$J$1,0),FALSE),IF(AM65="nej","Nordisk residualel",""))</f>
        <v>'Residual'</v>
      </c>
      <c r="AO65" s="63">
        <f>IF(AM65="","",VLOOKUP($B65,Miljö!$B$1:$J$479,MATCH("Fossilandel för ursprungspecificerad el ()",Miljö!$B$1:$J$1,0),FALSE))</f>
        <v>0.35399999999999998</v>
      </c>
      <c r="AQ65" s="63">
        <f t="shared" si="1"/>
        <v>0.64600000000000002</v>
      </c>
      <c r="AS65" s="63" t="str">
        <f t="shared" si="2"/>
        <v>Nej</v>
      </c>
      <c r="AT65" s="63" t="str">
        <f>IF(AS65="ja",VLOOKUP($B65,Miljö!$B$1:$P$500,MATCH("Fossil andel i procent (%)",Miljö!$B$1:$P$1,0),FALSE)/100,"")</f>
        <v/>
      </c>
      <c r="AV65" s="63" t="str">
        <f t="shared" si="3"/>
        <v>Nej</v>
      </c>
      <c r="AW65" s="63" t="str">
        <f>IF(AV65="ja",VLOOKUP($B65,'Egen hetvattenprod'!$B$1:$AO$500,MATCH("Värmekälla till värmepumpar ()",'Egen hetvattenprod'!$B$1:$AO$1,0),FALSE),"")</f>
        <v/>
      </c>
      <c r="AY65" s="63" t="str">
        <f t="shared" si="4"/>
        <v>Ja</v>
      </c>
      <c r="AZ65" s="77">
        <f>IF($AY65="ja",(VLOOKUP($B65,'Egen hetvattenprod'!$B$1:$BX$550,MATCH(AZ$2,'Egen hetvattenprod'!$B$1:$BX$1,0),FALSE)+VLOOKUP($B65,Kraftvärmeprod!$B$1:$BX$550,MATCH(AZ$2,Kraftvärmeprod!$B$1:$BX$1,0),FALSE))/$AC65,"")</f>
        <v>1</v>
      </c>
      <c r="BA65" s="77">
        <f>IF($AY65="ja",(VLOOKUP($B65,'Egen hetvattenprod'!$B$1:$BX$550,MATCH(BA$2,'Egen hetvattenprod'!$B$1:$BX$1,0),FALSE)+VLOOKUP($B65,Kraftvärmeprod!$B$1:$BX$550,MATCH(BA$2,Kraftvärmeprod!$B$1:$BX$1,0),FALSE))/$AC65,"")</f>
        <v>0</v>
      </c>
      <c r="BB65" s="77">
        <f>IF($AY65="ja",(VLOOKUP($B65,'Egen hetvattenprod'!$B$1:$BX$550,MATCH(BB$2,'Egen hetvattenprod'!$B$1:$BX$1,0),FALSE)+VLOOKUP($B65,Kraftvärmeprod!$B$1:$BX$550,MATCH(BB$2,Kraftvärmeprod!$B$1:$BX$1,0),FALSE))/$AC65,"")</f>
        <v>0</v>
      </c>
      <c r="BC65" s="77">
        <f>IF($AY65="ja",(VLOOKUP($B65,'Egen hetvattenprod'!$B$1:$BX$550,MATCH(BC$2,'Egen hetvattenprod'!$B$1:$BX$1,0),FALSE)+VLOOKUP($B65,Kraftvärmeprod!$B$1:$BX$550,MATCH(BC$2,Kraftvärmeprod!$B$1:$BX$1,0),FALSE))/$AC65,"")</f>
        <v>0</v>
      </c>
      <c r="BD65" s="77">
        <f>IF($AY65="ja",(VLOOKUP($B65,'Egen hetvattenprod'!$B$1:$BX$550,MATCH(BD$2,'Egen hetvattenprod'!$B$1:$BX$1,0),FALSE)+VLOOKUP($B65,Kraftvärmeprod!$B$1:$BX$550,MATCH(BD$2,Kraftvärmeprod!$B$1:$BX$1,0),FALSE))/$AC65,"")</f>
        <v>0</v>
      </c>
      <c r="BF65" s="63" t="str">
        <f t="shared" si="5"/>
        <v>Nej</v>
      </c>
      <c r="BG65" s="63" t="str">
        <f>IF($BF65="ja",VLOOKUP($B65,'Egen hetvattenprod'!$B$1:$BX$550,MATCH("Andelen klimatgaser med fossilt ursprung för avfall ()",'Egen hetvattenprod'!$B$1:$BX$1,0),FALSE),"")</f>
        <v/>
      </c>
      <c r="BH65" s="63" t="str">
        <f>IF($BF65="ja",VLOOKUP($B65,Kraftvärmeprod!$B$1:$BX$550,MATCH("Andelen klimatgaser med fossilt ursprung för avfall ()",Kraftvärmeprod!$B$1:$BX$1,0),FALSE),"")</f>
        <v/>
      </c>
      <c r="BI65" s="63" t="str">
        <f>IF($BF65="ja",VLOOKUP($B65,'Egen hetvattenprod'!$B$1:$BX$550,MATCH("Avfall (GWh)",'Egen hetvattenprod'!$B$1:$BX$1,0),FALSE),"")</f>
        <v/>
      </c>
      <c r="BJ65" s="63" t="str">
        <f>IF($BF65="ja",VLOOKUP($B65,'Slutlig allokering kvv'!$B$1:$BX$550,MATCH("Avfall (GWh)",'Slutlig allokering kvv'!$B$1:$BX$1,0),FALSE),"")</f>
        <v/>
      </c>
      <c r="BK65" s="63" t="str">
        <f>IF($BF65="ja",VLOOKUP($B65,'Köpt hetvatten'!$B$1:$BX$550,MATCH("Avfall i köpt hetvatten",'Köpt hetvatten'!$B$1:$BX$1,0),FALSE),"")</f>
        <v/>
      </c>
      <c r="BL65" s="63" t="str">
        <f>IF($BF65="ja",VLOOKUP($B65,'Egen hetvattenprod'!$B$1:$BX$550,MATCH("Värde enligt ovan. (%)",'Egen hetvattenprod'!$B$1:$BX$1,0),FALSE),"")</f>
        <v/>
      </c>
      <c r="BM65" s="63" t="str">
        <f>IF($BF65="ja",VLOOKUP($B65,Kraftvärmeprod!$B$1:$BX$550,MATCH("Värde enligt ovan. (%)",Kraftvärmeprod!$B$1:$BX$1,0),FALSE),"")</f>
        <v/>
      </c>
    </row>
    <row r="66" spans="1:65" x14ac:dyDescent="0.45">
      <c r="A66" s="63" t="s">
        <v>610</v>
      </c>
      <c r="B66" s="63" t="s">
        <v>612</v>
      </c>
      <c r="C66" s="63">
        <f>VLOOKUP($B66,'Tillförd energi'!$B$1:$AI$720,MATCH(C$2,'Tillförd energi'!$B$1:$AQ$1,0),FALSE)</f>
        <v>0</v>
      </c>
      <c r="D66" s="63">
        <f>VLOOKUP($B66,'Tillförd energi'!$B$1:$AI$720,MATCH(D$2,'Tillförd energi'!$B$1:$AQ$1,0),FALSE)</f>
        <v>1.9</v>
      </c>
      <c r="E66" s="63">
        <f>VLOOKUP($B66,'Tillförd energi'!$B$1:$AI$720,MATCH(E$2,'Tillförd energi'!$B$1:$AQ$1,0),FALSE)</f>
        <v>0</v>
      </c>
      <c r="F66" s="63">
        <f>VLOOKUP($B66,'Tillförd energi'!$B$1:$AI$720,MATCH(F$2,'Tillförd energi'!$B$1:$AQ$1,0),FALSE)</f>
        <v>0</v>
      </c>
      <c r="G66" s="63">
        <f>VLOOKUP($B66,'Tillförd energi'!$B$1:$AI$720,MATCH(G$2,'Tillförd energi'!$B$1:$AQ$1,0),FALSE)</f>
        <v>0</v>
      </c>
      <c r="H66" s="63">
        <f>VLOOKUP($B66,'Tillförd energi'!$B$1:$AI$720,MATCH(H$2,'Tillförd energi'!$B$1:$AQ$1,0),FALSE)</f>
        <v>0</v>
      </c>
      <c r="I66" s="63">
        <f>VLOOKUP($B66,'Tillförd energi'!$B$1:$AI$720,MATCH(I$2,'Tillförd energi'!$B$1:$AQ$1,0),FALSE)</f>
        <v>0</v>
      </c>
      <c r="J66" s="63">
        <f>VLOOKUP($B66,'Tillförd energi'!$B$1:$AI$720,MATCH(J$2,'Tillförd energi'!$B$1:$AQ$1,0),FALSE)</f>
        <v>0</v>
      </c>
      <c r="K66" s="63">
        <f>VLOOKUP($B66,'Tillförd energi'!$B$1:$AI$720,MATCH(K$2,'Tillförd energi'!$B$1:$AQ$1,0),FALSE)</f>
        <v>0</v>
      </c>
      <c r="L66" s="63">
        <f>VLOOKUP($B66,'Tillförd energi'!$B$1:$AI$720,MATCH(L$2,'Tillförd energi'!$B$1:$AQ$1,0),FALSE)</f>
        <v>0</v>
      </c>
      <c r="M66" s="63">
        <f>VLOOKUP($B66,'Tillförd energi'!$B$1:$AI$720,MATCH(M$2,'Tillförd energi'!$B$1:$AQ$1,0),FALSE)</f>
        <v>0</v>
      </c>
      <c r="N66" s="63">
        <f>VLOOKUP($B66,'Tillförd energi'!$B$1:$AI$720,MATCH(N$2,'Tillförd energi'!$B$1:$AQ$1,0),FALSE)</f>
        <v>0</v>
      </c>
      <c r="O66" s="63">
        <f>VLOOKUP($B66,'Tillförd energi'!$B$1:$AI$720,MATCH(O$2,'Tillförd energi'!$B$1:$AQ$1,0),FALSE)</f>
        <v>0</v>
      </c>
      <c r="P66" s="63">
        <f>VLOOKUP($B66,'Tillförd energi'!$B$1:$AI$720,MATCH(P$2,'Tillförd energi'!$B$1:$AQ$1,0),FALSE)</f>
        <v>79</v>
      </c>
      <c r="Q66" s="63">
        <f>VLOOKUP($B66,'Tillförd energi'!$B$1:$AI$720,MATCH(Q$2,'Tillförd energi'!$B$1:$AQ$1,0),FALSE)</f>
        <v>0</v>
      </c>
      <c r="R66" s="63">
        <f>VLOOKUP($B66,'Tillförd energi'!$B$1:$AI$720,MATCH(R$2,'Tillförd energi'!$B$1:$AQ$1,0),FALSE)</f>
        <v>5</v>
      </c>
      <c r="S66" s="63">
        <f>VLOOKUP($B66,'Tillförd energi'!$B$1:$AI$720,MATCH(S$2,'Tillförd energi'!$B$1:$AQ$1,0),FALSE)</f>
        <v>0</v>
      </c>
      <c r="T66" s="63">
        <f>VLOOKUP($B66,'Tillförd energi'!$B$1:$AI$720,MATCH(T$2,'Tillförd energi'!$B$1:$AQ$1,0),FALSE)</f>
        <v>0</v>
      </c>
      <c r="U66" s="63">
        <f>VLOOKUP($B66,'Tillförd energi'!$B$1:$AI$720,MATCH(U$2,'Tillförd energi'!$B$1:$AQ$1,0),FALSE)</f>
        <v>0</v>
      </c>
      <c r="V66" s="63">
        <f>VLOOKUP($B66,'Tillförd energi'!$B$1:$AI$720,MATCH(V$2,'Tillförd energi'!$B$1:$AQ$1,0),FALSE)</f>
        <v>0</v>
      </c>
      <c r="W66" s="63">
        <f>VLOOKUP($B66,'Tillförd energi'!$B$1:$AI$720,MATCH(W$2,'Tillförd energi'!$B$1:$AQ$1,0),FALSE)</f>
        <v>1.4</v>
      </c>
      <c r="X66" s="63">
        <f>VLOOKUP($B66,'Tillförd energi'!$B$1:$AI$720,MATCH(X$2,'Tillförd energi'!$B$1:$AQ$1,0),FALSE)</f>
        <v>0</v>
      </c>
      <c r="Y66" s="63">
        <f>VLOOKUP($B66,'Tillförd energi'!$B$1:$AI$720,MATCH(Y$2,'Tillförd energi'!$B$1:$AQ$1,0),FALSE)</f>
        <v>0</v>
      </c>
      <c r="Z66" s="63">
        <f>VLOOKUP($B66,'Tillförd energi'!$B$1:$AI$720,MATCH(Z$2,'Tillförd energi'!$B$1:$AQ$1,0),FALSE)</f>
        <v>0</v>
      </c>
      <c r="AA66" s="63">
        <f>VLOOKUP($B66,'Tillförd energi'!$B$1:$AI$720,MATCH(AA$2,'Tillförd energi'!$B$1:$AQ$1,0),FALSE)</f>
        <v>0</v>
      </c>
      <c r="AB66" s="63">
        <f>VLOOKUP($B66,'Tillförd energi'!$B$1:$AI$720,MATCH(AB$2,'Tillförd energi'!$B$1:$AQ$1,0),FALSE)</f>
        <v>0</v>
      </c>
      <c r="AC66" s="63">
        <f>VLOOKUP($B66,'Tillförd energi'!$B$1:$AI$720,MATCH(AC$2,'Tillförd energi'!$B$1:$AQ$1,0),FALSE)</f>
        <v>10.5</v>
      </c>
      <c r="AD66" s="63">
        <f>VLOOKUP($B66,'Tillförd energi'!$B$1:$AI$720,MATCH(AD$2,'Tillförd energi'!$B$1:$AQ$1,0),FALSE)</f>
        <v>0</v>
      </c>
      <c r="AE66" s="63">
        <f>VLOOKUP($B66,'Tillförd energi'!$B$1:$AI$720,MATCH(AE$2,'Tillförd energi'!$B$1:$AQ$1,0),FALSE)</f>
        <v>0</v>
      </c>
      <c r="AF66" s="63">
        <f>VLOOKUP($B66,'Tillförd energi'!$B$1:$AI$720,MATCH(AF$2,'Tillförd energi'!$B$1:$AQ$1,0),FALSE)</f>
        <v>2.2999999999999998</v>
      </c>
      <c r="AG66" s="63">
        <f>IFERROR(VLOOKUP(B66,Miljö!$B$1:$AC$550,MATCH("Köpt mängd produktionsspecifik fjärrvärme:",Miljö!$B$1:$AC$1,0),FALSE)/1,0)</f>
        <v>0</v>
      </c>
      <c r="AI66" s="63">
        <f t="shared" si="0"/>
        <v>100.10000000000001</v>
      </c>
      <c r="AJ66" s="63">
        <f>IF(ISERROR(1/VLOOKUP($B66,Leveranser!$B$1:$S$500,MATCH("såld värme (gwh)",Leveranser!$B$1:$S$1,0),FALSE)),"",VLOOKUP($B66,Leveranser!$B$1:$S$500,MATCH("såld värme (gwh)",Leveranser!$B$1:$S$1,0),FALSE))</f>
        <v>77.5</v>
      </c>
      <c r="AM66" s="63" t="str">
        <f>IF(B66&lt;&gt;"",IF(VLOOKUP($B66,Totalt!$B$1:$AQ$554,MATCH("Kvalitetsgranskad:",Totalt!$B$1:$AQ$1,0),FALSE)="ja",VLOOKUP($B66,Miljö!$B$1:$AG$479,MATCH(AM$2,Miljö!$B$1:$AK$1,0),FALSE),""),"")</f>
        <v>Ja</v>
      </c>
      <c r="AN66" s="63" t="str">
        <f>IF(AM66="ja",VLOOKUP($B66,Miljö!$B$1:$J$479,MATCH("Typ av ursprungsspecificerad el   (Om inget värde anges används Nordisk residualmix, se inforuta) ()",Miljö!$B$1:$J$1,0),FALSE),IF(AM66="nej","Nordisk residualel",""))</f>
        <v>'Residual'</v>
      </c>
      <c r="AO66" s="63">
        <f>IF(AM66="","",VLOOKUP($B66,Miljö!$B$1:$J$479,MATCH("Fossilandel för ursprungspecificerad el ()",Miljö!$B$1:$J$1,0),FALSE))</f>
        <v>0.35399999999999998</v>
      </c>
      <c r="AQ66" s="63">
        <f t="shared" si="1"/>
        <v>0.64600000000000002</v>
      </c>
      <c r="AS66" s="63" t="str">
        <f t="shared" si="2"/>
        <v>Nej</v>
      </c>
      <c r="AT66" s="63" t="str">
        <f>IF(AS66="ja",VLOOKUP($B66,Miljö!$B$1:$P$500,MATCH("Fossil andel i procent (%)",Miljö!$B$1:$P$1,0),FALSE)/100,"")</f>
        <v/>
      </c>
      <c r="AV66" s="63" t="str">
        <f t="shared" si="3"/>
        <v>Nej</v>
      </c>
      <c r="AW66" s="63" t="str">
        <f>IF(AV66="ja",VLOOKUP($B66,'Egen hetvattenprod'!$B$1:$AO$500,MATCH("Värmekälla till värmepumpar ()",'Egen hetvattenprod'!$B$1:$AO$1,0),FALSE),"")</f>
        <v/>
      </c>
      <c r="AY66" s="63" t="str">
        <f t="shared" si="4"/>
        <v>Ja</v>
      </c>
      <c r="AZ66" s="77">
        <f>IF($AY66="ja",(VLOOKUP($B66,'Egen hetvattenprod'!$B$1:$BX$550,MATCH(AZ$2,'Egen hetvattenprod'!$B$1:$BX$1,0),FALSE)+VLOOKUP($B66,Kraftvärmeprod!$B$1:$BX$550,MATCH(AZ$2,Kraftvärmeprod!$B$1:$BX$1,0),FALSE))/$AC66,"")</f>
        <v>1</v>
      </c>
      <c r="BA66" s="77">
        <f>IF($AY66="ja",(VLOOKUP($B66,'Egen hetvattenprod'!$B$1:$BX$550,MATCH(BA$2,'Egen hetvattenprod'!$B$1:$BX$1,0),FALSE)+VLOOKUP($B66,Kraftvärmeprod!$B$1:$BX$550,MATCH(BA$2,Kraftvärmeprod!$B$1:$BX$1,0),FALSE))/$AC66,"")</f>
        <v>0</v>
      </c>
      <c r="BB66" s="77">
        <f>IF($AY66="ja",(VLOOKUP($B66,'Egen hetvattenprod'!$B$1:$BX$550,MATCH(BB$2,'Egen hetvattenprod'!$B$1:$BX$1,0),FALSE)+VLOOKUP($B66,Kraftvärmeprod!$B$1:$BX$550,MATCH(BB$2,Kraftvärmeprod!$B$1:$BX$1,0),FALSE))/$AC66,"")</f>
        <v>0</v>
      </c>
      <c r="BC66" s="77">
        <f>IF($AY66="ja",(VLOOKUP($B66,'Egen hetvattenprod'!$B$1:$BX$550,MATCH(BC$2,'Egen hetvattenprod'!$B$1:$BX$1,0),FALSE)+VLOOKUP($B66,Kraftvärmeprod!$B$1:$BX$550,MATCH(BC$2,Kraftvärmeprod!$B$1:$BX$1,0),FALSE))/$AC66,"")</f>
        <v>0</v>
      </c>
      <c r="BD66" s="77">
        <f>IF($AY66="ja",(VLOOKUP($B66,'Egen hetvattenprod'!$B$1:$BX$550,MATCH(BD$2,'Egen hetvattenprod'!$B$1:$BX$1,0),FALSE)+VLOOKUP($B66,Kraftvärmeprod!$B$1:$BX$550,MATCH(BD$2,Kraftvärmeprod!$B$1:$BX$1,0),FALSE))/$AC66,"")</f>
        <v>0</v>
      </c>
      <c r="BF66" s="63" t="str">
        <f t="shared" si="5"/>
        <v>Nej</v>
      </c>
      <c r="BG66" s="63" t="str">
        <f>IF($BF66="ja",VLOOKUP($B66,'Egen hetvattenprod'!$B$1:$BX$550,MATCH("Andelen klimatgaser med fossilt ursprung för avfall ()",'Egen hetvattenprod'!$B$1:$BX$1,0),FALSE),"")</f>
        <v/>
      </c>
      <c r="BH66" s="63" t="str">
        <f>IF($BF66="ja",VLOOKUP($B66,Kraftvärmeprod!$B$1:$BX$550,MATCH("Andelen klimatgaser med fossilt ursprung för avfall ()",Kraftvärmeprod!$B$1:$BX$1,0),FALSE),"")</f>
        <v/>
      </c>
      <c r="BI66" s="63" t="str">
        <f>IF($BF66="ja",VLOOKUP($B66,'Egen hetvattenprod'!$B$1:$BX$550,MATCH("Avfall (GWh)",'Egen hetvattenprod'!$B$1:$BX$1,0),FALSE),"")</f>
        <v/>
      </c>
      <c r="BJ66" s="63" t="str">
        <f>IF($BF66="ja",VLOOKUP($B66,'Slutlig allokering kvv'!$B$1:$BX$550,MATCH("Avfall (GWh)",'Slutlig allokering kvv'!$B$1:$BX$1,0),FALSE),"")</f>
        <v/>
      </c>
      <c r="BK66" s="63" t="str">
        <f>IF($BF66="ja",VLOOKUP($B66,'Köpt hetvatten'!$B$1:$BX$550,MATCH("Avfall i köpt hetvatten",'Köpt hetvatten'!$B$1:$BX$1,0),FALSE),"")</f>
        <v/>
      </c>
      <c r="BL66" s="63" t="str">
        <f>IF($BF66="ja",VLOOKUP($B66,'Egen hetvattenprod'!$B$1:$BX$550,MATCH("Värde enligt ovan. (%)",'Egen hetvattenprod'!$B$1:$BX$1,0),FALSE),"")</f>
        <v/>
      </c>
      <c r="BM66" s="63" t="str">
        <f>IF($BF66="ja",VLOOKUP($B66,Kraftvärmeprod!$B$1:$BX$550,MATCH("Värde enligt ovan. (%)",Kraftvärmeprod!$B$1:$BX$1,0),FALSE),"")</f>
        <v/>
      </c>
    </row>
    <row r="67" spans="1:65" x14ac:dyDescent="0.45">
      <c r="A67" s="63" t="s">
        <v>608</v>
      </c>
      <c r="B67" s="63" t="s">
        <v>608</v>
      </c>
      <c r="C67" s="63">
        <f>VLOOKUP($B67,'Tillförd energi'!$B$1:$AI$720,MATCH(C$2,'Tillförd energi'!$B$1:$AQ$1,0),FALSE)</f>
        <v>0</v>
      </c>
      <c r="D67" s="63">
        <f>VLOOKUP($B67,'Tillförd energi'!$B$1:$AI$720,MATCH(D$2,'Tillförd energi'!$B$1:$AQ$1,0),FALSE)</f>
        <v>0</v>
      </c>
      <c r="E67" s="63">
        <f>VLOOKUP($B67,'Tillförd energi'!$B$1:$AI$720,MATCH(E$2,'Tillförd energi'!$B$1:$AQ$1,0),FALSE)</f>
        <v>0</v>
      </c>
      <c r="F67" s="63">
        <f>VLOOKUP($B67,'Tillförd energi'!$B$1:$AI$720,MATCH(F$2,'Tillförd energi'!$B$1:$AQ$1,0),FALSE)</f>
        <v>0</v>
      </c>
      <c r="G67" s="63">
        <f>VLOOKUP($B67,'Tillförd energi'!$B$1:$AI$720,MATCH(G$2,'Tillförd energi'!$B$1:$AQ$1,0),FALSE)</f>
        <v>0</v>
      </c>
      <c r="H67" s="63">
        <f>VLOOKUP($B67,'Tillförd energi'!$B$1:$AI$720,MATCH(H$2,'Tillförd energi'!$B$1:$AQ$1,0),FALSE)</f>
        <v>0</v>
      </c>
      <c r="I67" s="63">
        <f>VLOOKUP($B67,'Tillförd energi'!$B$1:$AI$720,MATCH(I$2,'Tillförd energi'!$B$1:$AQ$1,0),FALSE)</f>
        <v>0</v>
      </c>
      <c r="J67" s="63">
        <f>VLOOKUP($B67,'Tillförd energi'!$B$1:$AI$720,MATCH(J$2,'Tillförd energi'!$B$1:$AQ$1,0),FALSE)</f>
        <v>0</v>
      </c>
      <c r="K67" s="63">
        <f>VLOOKUP($B67,'Tillförd energi'!$B$1:$AI$720,MATCH(K$2,'Tillförd energi'!$B$1:$AQ$1,0),FALSE)</f>
        <v>0</v>
      </c>
      <c r="L67" s="63">
        <f>VLOOKUP($B67,'Tillförd energi'!$B$1:$AI$720,MATCH(L$2,'Tillförd energi'!$B$1:$AQ$1,0),FALSE)</f>
        <v>0</v>
      </c>
      <c r="M67" s="63">
        <f>VLOOKUP($B67,'Tillförd energi'!$B$1:$AI$720,MATCH(M$2,'Tillförd energi'!$B$1:$AQ$1,0),FALSE)</f>
        <v>0</v>
      </c>
      <c r="N67" s="63">
        <f>VLOOKUP($B67,'Tillförd energi'!$B$1:$AI$720,MATCH(N$2,'Tillförd energi'!$B$1:$AQ$1,0),FALSE)</f>
        <v>0</v>
      </c>
      <c r="O67" s="63">
        <f>VLOOKUP($B67,'Tillförd energi'!$B$1:$AI$720,MATCH(O$2,'Tillförd energi'!$B$1:$AQ$1,0),FALSE)</f>
        <v>0</v>
      </c>
      <c r="P67" s="63">
        <f>VLOOKUP($B67,'Tillförd energi'!$B$1:$AI$720,MATCH(P$2,'Tillförd energi'!$B$1:$AQ$1,0),FALSE)</f>
        <v>0</v>
      </c>
      <c r="Q67" s="63">
        <f>VLOOKUP($B67,'Tillförd energi'!$B$1:$AI$720,MATCH(Q$2,'Tillförd energi'!$B$1:$AQ$1,0),FALSE)</f>
        <v>0</v>
      </c>
      <c r="R67" s="63">
        <f>VLOOKUP($B67,'Tillförd energi'!$B$1:$AI$720,MATCH(R$2,'Tillförd energi'!$B$1:$AQ$1,0),FALSE)</f>
        <v>0</v>
      </c>
      <c r="S67" s="63">
        <f>VLOOKUP($B67,'Tillförd energi'!$B$1:$AI$720,MATCH(S$2,'Tillförd energi'!$B$1:$AQ$1,0),FALSE)</f>
        <v>0</v>
      </c>
      <c r="T67" s="63">
        <f>VLOOKUP($B67,'Tillförd energi'!$B$1:$AI$720,MATCH(T$2,'Tillförd energi'!$B$1:$AQ$1,0),FALSE)</f>
        <v>0</v>
      </c>
      <c r="U67" s="63">
        <f>VLOOKUP($B67,'Tillförd energi'!$B$1:$AI$720,MATCH(U$2,'Tillförd energi'!$B$1:$AQ$1,0),FALSE)</f>
        <v>0</v>
      </c>
      <c r="V67" s="63">
        <f>VLOOKUP($B67,'Tillförd energi'!$B$1:$AI$720,MATCH(V$2,'Tillförd energi'!$B$1:$AQ$1,0),FALSE)</f>
        <v>0</v>
      </c>
      <c r="W67" s="63">
        <f>VLOOKUP($B67,'Tillförd energi'!$B$1:$AI$720,MATCH(W$2,'Tillförd energi'!$B$1:$AQ$1,0),FALSE)</f>
        <v>0</v>
      </c>
      <c r="X67" s="63">
        <f>VLOOKUP($B67,'Tillförd energi'!$B$1:$AI$720,MATCH(X$2,'Tillförd energi'!$B$1:$AQ$1,0),FALSE)</f>
        <v>0</v>
      </c>
      <c r="Y67" s="63">
        <f>VLOOKUP($B67,'Tillförd energi'!$B$1:$AI$720,MATCH(Y$2,'Tillförd energi'!$B$1:$AQ$1,0),FALSE)</f>
        <v>0</v>
      </c>
      <c r="Z67" s="63">
        <f>VLOOKUP($B67,'Tillförd energi'!$B$1:$AI$720,MATCH(Z$2,'Tillförd energi'!$B$1:$AQ$1,0),FALSE)</f>
        <v>0</v>
      </c>
      <c r="AA67" s="63">
        <f>VLOOKUP($B67,'Tillförd energi'!$B$1:$AI$720,MATCH(AA$2,'Tillförd energi'!$B$1:$AQ$1,0),FALSE)</f>
        <v>0</v>
      </c>
      <c r="AB67" s="63">
        <f>VLOOKUP($B67,'Tillförd energi'!$B$1:$AI$720,MATCH(AB$2,'Tillförd energi'!$B$1:$AQ$1,0),FALSE)</f>
        <v>0</v>
      </c>
      <c r="AC67" s="63">
        <f>VLOOKUP($B67,'Tillförd energi'!$B$1:$AI$720,MATCH(AC$2,'Tillförd energi'!$B$1:$AQ$1,0),FALSE)</f>
        <v>0</v>
      </c>
      <c r="AD67" s="63">
        <f>VLOOKUP($B67,'Tillförd energi'!$B$1:$AI$720,MATCH(AD$2,'Tillförd energi'!$B$1:$AQ$1,0),FALSE)</f>
        <v>0</v>
      </c>
      <c r="AE67" s="63">
        <f>VLOOKUP($B67,'Tillförd energi'!$B$1:$AI$720,MATCH(AE$2,'Tillförd energi'!$B$1:$AQ$1,0),FALSE)</f>
        <v>0</v>
      </c>
      <c r="AF67" s="63">
        <f>VLOOKUP($B67,'Tillförd energi'!$B$1:$AI$720,MATCH(AF$2,'Tillförd energi'!$B$1:$AQ$1,0),FALSE)</f>
        <v>0</v>
      </c>
      <c r="AG67" s="63">
        <f>IFERROR(VLOOKUP(B67,Miljö!$B$1:$AC$550,MATCH("Köpt mängd produktionsspecifik fjärrvärme:",Miljö!$B$1:$AC$1,0),FALSE)/1,0)</f>
        <v>0</v>
      </c>
      <c r="AI67" s="63">
        <f t="shared" si="0"/>
        <v>0</v>
      </c>
      <c r="AJ67" s="63" t="str">
        <f>IF(ISERROR(1/VLOOKUP($B67,Leveranser!$B$1:$S$500,MATCH("såld värme (gwh)",Leveranser!$B$1:$S$1,0),FALSE)),"",VLOOKUP($B67,Leveranser!$B$1:$S$500,MATCH("såld värme (gwh)",Leveranser!$B$1:$S$1,0),FALSE))</f>
        <v/>
      </c>
      <c r="AM67" s="63" t="str">
        <f>IF(B67&lt;&gt;"",IF(VLOOKUP($B67,Totalt!$B$1:$AQ$554,MATCH("Kvalitetsgranskad:",Totalt!$B$1:$AQ$1,0),FALSE)="ja",VLOOKUP($B67,Miljö!$B$1:$AG$479,MATCH(AM$2,Miljö!$B$1:$AK$1,0),FALSE),""),"")</f>
        <v/>
      </c>
      <c r="AN67" s="63" t="str">
        <f>IF(AM67="ja",VLOOKUP($B67,Miljö!$B$1:$J$479,MATCH("Typ av ursprungsspecificerad el   (Om inget värde anges används Nordisk residualmix, se inforuta) ()",Miljö!$B$1:$J$1,0),FALSE),IF(AM67="nej","Nordisk residualel",""))</f>
        <v/>
      </c>
      <c r="AO67" s="63" t="str">
        <f>IF(AM67="","",VLOOKUP($B67,Miljö!$B$1:$J$479,MATCH("Fossilandel för ursprungspecificerad el ()",Miljö!$B$1:$J$1,0),FALSE))</f>
        <v/>
      </c>
      <c r="AQ67" s="63" t="str">
        <f t="shared" si="1"/>
        <v/>
      </c>
      <c r="AS67" s="63" t="str">
        <f t="shared" si="2"/>
        <v>Nej</v>
      </c>
      <c r="AT67" s="63" t="str">
        <f>IF(AS67="ja",VLOOKUP($B67,Miljö!$B$1:$P$500,MATCH("Fossil andel i procent (%)",Miljö!$B$1:$P$1,0),FALSE)/100,"")</f>
        <v/>
      </c>
      <c r="AV67" s="63" t="str">
        <f t="shared" si="3"/>
        <v>Nej</v>
      </c>
      <c r="AW67" s="63" t="str">
        <f>IF(AV67="ja",VLOOKUP($B67,'Egen hetvattenprod'!$B$1:$AO$500,MATCH("Värmekälla till värmepumpar ()",'Egen hetvattenprod'!$B$1:$AO$1,0),FALSE),"")</f>
        <v/>
      </c>
      <c r="AY67" s="63" t="str">
        <f t="shared" si="4"/>
        <v>Nej</v>
      </c>
      <c r="AZ67" s="77" t="str">
        <f>IF($AY67="ja",(VLOOKUP($B67,'Egen hetvattenprod'!$B$1:$BX$550,MATCH(AZ$2,'Egen hetvattenprod'!$B$1:$BX$1,0),FALSE)+VLOOKUP($B67,Kraftvärmeprod!$B$1:$BX$550,MATCH(AZ$2,Kraftvärmeprod!$B$1:$BX$1,0),FALSE))/$AC67,"")</f>
        <v/>
      </c>
      <c r="BA67" s="77" t="str">
        <f>IF($AY67="ja",(VLOOKUP($B67,'Egen hetvattenprod'!$B$1:$BX$550,MATCH(BA$2,'Egen hetvattenprod'!$B$1:$BX$1,0),FALSE)+VLOOKUP($B67,Kraftvärmeprod!$B$1:$BX$550,MATCH(BA$2,Kraftvärmeprod!$B$1:$BX$1,0),FALSE))/$AC67,"")</f>
        <v/>
      </c>
      <c r="BB67" s="77" t="str">
        <f>IF($AY67="ja",(VLOOKUP($B67,'Egen hetvattenprod'!$B$1:$BX$550,MATCH(BB$2,'Egen hetvattenprod'!$B$1:$BX$1,0),FALSE)+VLOOKUP($B67,Kraftvärmeprod!$B$1:$BX$550,MATCH(BB$2,Kraftvärmeprod!$B$1:$BX$1,0),FALSE))/$AC67,"")</f>
        <v/>
      </c>
      <c r="BC67" s="77" t="str">
        <f>IF($AY67="ja",(VLOOKUP($B67,'Egen hetvattenprod'!$B$1:$BX$550,MATCH(BC$2,'Egen hetvattenprod'!$B$1:$BX$1,0),FALSE)+VLOOKUP($B67,Kraftvärmeprod!$B$1:$BX$550,MATCH(BC$2,Kraftvärmeprod!$B$1:$BX$1,0),FALSE))/$AC67,"")</f>
        <v/>
      </c>
      <c r="BD67" s="77" t="str">
        <f>IF($AY67="ja",(VLOOKUP($B67,'Egen hetvattenprod'!$B$1:$BX$550,MATCH(BD$2,'Egen hetvattenprod'!$B$1:$BX$1,0),FALSE)+VLOOKUP($B67,Kraftvärmeprod!$B$1:$BX$550,MATCH(BD$2,Kraftvärmeprod!$B$1:$BX$1,0),FALSE))/$AC67,"")</f>
        <v/>
      </c>
      <c r="BF67" s="63" t="str">
        <f t="shared" si="5"/>
        <v>Nej</v>
      </c>
      <c r="BG67" s="63" t="str">
        <f>IF($BF67="ja",VLOOKUP($B67,'Egen hetvattenprod'!$B$1:$BX$550,MATCH("Andelen klimatgaser med fossilt ursprung för avfall ()",'Egen hetvattenprod'!$B$1:$BX$1,0),FALSE),"")</f>
        <v/>
      </c>
      <c r="BH67" s="63" t="str">
        <f>IF($BF67="ja",VLOOKUP($B67,Kraftvärmeprod!$B$1:$BX$550,MATCH("Andelen klimatgaser med fossilt ursprung för avfall ()",Kraftvärmeprod!$B$1:$BX$1,0),FALSE),"")</f>
        <v/>
      </c>
      <c r="BI67" s="63" t="str">
        <f>IF($BF67="ja",VLOOKUP($B67,'Egen hetvattenprod'!$B$1:$BX$550,MATCH("Avfall (GWh)",'Egen hetvattenprod'!$B$1:$BX$1,0),FALSE),"")</f>
        <v/>
      </c>
      <c r="BJ67" s="63" t="str">
        <f>IF($BF67="ja",VLOOKUP($B67,'Slutlig allokering kvv'!$B$1:$BX$550,MATCH("Avfall (GWh)",'Slutlig allokering kvv'!$B$1:$BX$1,0),FALSE),"")</f>
        <v/>
      </c>
      <c r="BK67" s="63" t="str">
        <f>IF($BF67="ja",VLOOKUP($B67,'Köpt hetvatten'!$B$1:$BX$550,MATCH("Avfall i köpt hetvatten",'Köpt hetvatten'!$B$1:$BX$1,0),FALSE),"")</f>
        <v/>
      </c>
      <c r="BL67" s="63" t="str">
        <f>IF($BF67="ja",VLOOKUP($B67,'Egen hetvattenprod'!$B$1:$BX$550,MATCH("Värde enligt ovan. (%)",'Egen hetvattenprod'!$B$1:$BX$1,0),FALSE),"")</f>
        <v/>
      </c>
      <c r="BM67" s="63" t="str">
        <f>IF($BF67="ja",VLOOKUP($B67,Kraftvärmeprod!$B$1:$BX$550,MATCH("Värde enligt ovan. (%)",Kraftvärmeprod!$B$1:$BX$1,0),FALSE),"")</f>
        <v/>
      </c>
    </row>
    <row r="68" spans="1:65" x14ac:dyDescent="0.45">
      <c r="A68" s="63" t="s">
        <v>605</v>
      </c>
      <c r="B68" s="63" t="s">
        <v>607</v>
      </c>
      <c r="C68" s="63">
        <f>VLOOKUP($B68,'Tillförd energi'!$B$1:$AI$720,MATCH(C$2,'Tillförd energi'!$B$1:$AQ$1,0),FALSE)</f>
        <v>0</v>
      </c>
      <c r="D68" s="63">
        <f>VLOOKUP($B68,'Tillförd energi'!$B$1:$AI$720,MATCH(D$2,'Tillförd energi'!$B$1:$AQ$1,0),FALSE)</f>
        <v>0</v>
      </c>
      <c r="E68" s="63">
        <f>VLOOKUP($B68,'Tillförd energi'!$B$1:$AI$720,MATCH(E$2,'Tillförd energi'!$B$1:$AQ$1,0),FALSE)</f>
        <v>0</v>
      </c>
      <c r="F68" s="63">
        <f>VLOOKUP($B68,'Tillförd energi'!$B$1:$AI$720,MATCH(F$2,'Tillförd energi'!$B$1:$AQ$1,0),FALSE)</f>
        <v>0</v>
      </c>
      <c r="G68" s="63">
        <f>VLOOKUP($B68,'Tillförd energi'!$B$1:$AI$720,MATCH(G$2,'Tillförd energi'!$B$1:$AQ$1,0),FALSE)</f>
        <v>0</v>
      </c>
      <c r="H68" s="63">
        <f>VLOOKUP($B68,'Tillförd energi'!$B$1:$AI$720,MATCH(H$2,'Tillförd energi'!$B$1:$AQ$1,0),FALSE)</f>
        <v>0</v>
      </c>
      <c r="I68" s="63">
        <f>VLOOKUP($B68,'Tillförd energi'!$B$1:$AI$720,MATCH(I$2,'Tillförd energi'!$B$1:$AQ$1,0),FALSE)</f>
        <v>113.372</v>
      </c>
      <c r="J68" s="63">
        <f>VLOOKUP($B68,'Tillförd energi'!$B$1:$AI$720,MATCH(J$2,'Tillförd energi'!$B$1:$AQ$1,0),FALSE)</f>
        <v>0</v>
      </c>
      <c r="K68" s="63">
        <f>VLOOKUP($B68,'Tillförd energi'!$B$1:$AI$720,MATCH(K$2,'Tillförd energi'!$B$1:$AQ$1,0),FALSE)</f>
        <v>0</v>
      </c>
      <c r="L68" s="63">
        <f>VLOOKUP($B68,'Tillförd energi'!$B$1:$AI$720,MATCH(L$2,'Tillförd energi'!$B$1:$AQ$1,0),FALSE)</f>
        <v>0</v>
      </c>
      <c r="M68" s="63">
        <f>VLOOKUP($B68,'Tillförd energi'!$B$1:$AI$720,MATCH(M$2,'Tillförd energi'!$B$1:$AQ$1,0),FALSE)</f>
        <v>2.4</v>
      </c>
      <c r="N68" s="63">
        <f>VLOOKUP($B68,'Tillförd energi'!$B$1:$AI$720,MATCH(N$2,'Tillförd energi'!$B$1:$AQ$1,0),FALSE)</f>
        <v>0</v>
      </c>
      <c r="O68" s="63">
        <f>VLOOKUP($B68,'Tillförd energi'!$B$1:$AI$720,MATCH(O$2,'Tillförd energi'!$B$1:$AQ$1,0),FALSE)</f>
        <v>2.4</v>
      </c>
      <c r="P68" s="63">
        <f>VLOOKUP($B68,'Tillförd energi'!$B$1:$AI$720,MATCH(P$2,'Tillförd energi'!$B$1:$AQ$1,0),FALSE)</f>
        <v>19.3</v>
      </c>
      <c r="Q68" s="63">
        <f>VLOOKUP($B68,'Tillförd energi'!$B$1:$AI$720,MATCH(Q$2,'Tillförd energi'!$B$1:$AQ$1,0),FALSE)</f>
        <v>1.6</v>
      </c>
      <c r="R68" s="63">
        <f>VLOOKUP($B68,'Tillförd energi'!$B$1:$AI$720,MATCH(R$2,'Tillförd energi'!$B$1:$AQ$1,0),FALSE)</f>
        <v>0</v>
      </c>
      <c r="S68" s="63">
        <f>VLOOKUP($B68,'Tillförd energi'!$B$1:$AI$720,MATCH(S$2,'Tillförd energi'!$B$1:$AQ$1,0),FALSE)</f>
        <v>0</v>
      </c>
      <c r="T68" s="63">
        <f>VLOOKUP($B68,'Tillförd energi'!$B$1:$AI$720,MATCH(T$2,'Tillförd energi'!$B$1:$AQ$1,0),FALSE)</f>
        <v>0</v>
      </c>
      <c r="U68" s="63">
        <f>VLOOKUP($B68,'Tillförd energi'!$B$1:$AI$720,MATCH(U$2,'Tillförd energi'!$B$1:$AQ$1,0),FALSE)</f>
        <v>0</v>
      </c>
      <c r="V68" s="63">
        <f>VLOOKUP($B68,'Tillförd energi'!$B$1:$AI$720,MATCH(V$2,'Tillförd energi'!$B$1:$AQ$1,0),FALSE)</f>
        <v>0</v>
      </c>
      <c r="W68" s="63">
        <f>VLOOKUP($B68,'Tillförd energi'!$B$1:$AI$720,MATCH(W$2,'Tillförd energi'!$B$1:$AQ$1,0),FALSE)</f>
        <v>1.1240000000000001</v>
      </c>
      <c r="X68" s="63">
        <f>VLOOKUP($B68,'Tillförd energi'!$B$1:$AI$720,MATCH(X$2,'Tillförd energi'!$B$1:$AQ$1,0),FALSE)</f>
        <v>0</v>
      </c>
      <c r="Y68" s="63">
        <f>VLOOKUP($B68,'Tillförd energi'!$B$1:$AI$720,MATCH(Y$2,'Tillförd energi'!$B$1:$AQ$1,0),FALSE)</f>
        <v>0</v>
      </c>
      <c r="Z68" s="63">
        <f>VLOOKUP($B68,'Tillförd energi'!$B$1:$AI$720,MATCH(Z$2,'Tillförd energi'!$B$1:$AQ$1,0),FALSE)</f>
        <v>0</v>
      </c>
      <c r="AA68" s="63">
        <f>VLOOKUP($B68,'Tillförd energi'!$B$1:$AI$720,MATCH(AA$2,'Tillförd energi'!$B$1:$AQ$1,0),FALSE)</f>
        <v>0</v>
      </c>
      <c r="AB68" s="63">
        <f>VLOOKUP($B68,'Tillförd energi'!$B$1:$AI$720,MATCH(AB$2,'Tillförd energi'!$B$1:$AQ$1,0),FALSE)</f>
        <v>0</v>
      </c>
      <c r="AC68" s="63">
        <f>VLOOKUP($B68,'Tillförd energi'!$B$1:$AI$720,MATCH(AC$2,'Tillförd energi'!$B$1:$AQ$1,0),FALSE)</f>
        <v>0</v>
      </c>
      <c r="AD68" s="63">
        <f>VLOOKUP($B68,'Tillförd energi'!$B$1:$AI$720,MATCH(AD$2,'Tillförd energi'!$B$1:$AQ$1,0),FALSE)</f>
        <v>0</v>
      </c>
      <c r="AE68" s="63">
        <f>VLOOKUP($B68,'Tillförd energi'!$B$1:$AI$720,MATCH(AE$2,'Tillförd energi'!$B$1:$AQ$1,0),FALSE)</f>
        <v>0</v>
      </c>
      <c r="AF68" s="63">
        <f>VLOOKUP($B68,'Tillförd energi'!$B$1:$AI$720,MATCH(AF$2,'Tillförd energi'!$B$1:$AQ$1,0),FALSE)</f>
        <v>5.9778200000000004</v>
      </c>
      <c r="AG68" s="63">
        <f>IFERROR(VLOOKUP(B68,Miljö!$B$1:$AC$550,MATCH("Köpt mängd produktionsspecifik fjärrvärme:",Miljö!$B$1:$AC$1,0),FALSE)/1,0)</f>
        <v>0</v>
      </c>
      <c r="AI68" s="63">
        <f t="shared" ref="AI68:AI131" si="6">IF(B68&lt;&gt;"",SUM(C68:AG68),"")</f>
        <v>146.17382000000001</v>
      </c>
      <c r="AJ68" s="63">
        <f>IF(ISERROR(1/VLOOKUP($B68,Leveranser!$B$1:$S$500,MATCH("såld värme (gwh)",Leveranser!$B$1:$S$1,0),FALSE)),"",VLOOKUP($B68,Leveranser!$B$1:$S$500,MATCH("såld värme (gwh)",Leveranser!$B$1:$S$1,0),FALSE))</f>
        <v>102.72199999999999</v>
      </c>
      <c r="AM68" s="63" t="str">
        <f>IF(B68&lt;&gt;"",IF(VLOOKUP($B68,Totalt!$B$1:$AQ$554,MATCH("Kvalitetsgranskad:",Totalt!$B$1:$AQ$1,0),FALSE)="ja",VLOOKUP($B68,Miljö!$B$1:$AG$479,MATCH(AM$2,Miljö!$B$1:$AK$1,0),FALSE),""),"")</f>
        <v>Ja</v>
      </c>
      <c r="AN68" s="63" t="str">
        <f>IF(AM68="ja",VLOOKUP($B68,Miljö!$B$1:$J$479,MATCH("Typ av ursprungsspecificerad el   (Om inget värde anges används Nordisk residualmix, se inforuta) ()",Miljö!$B$1:$J$1,0),FALSE),IF(AM68="nej","Nordisk residualel",""))</f>
        <v>-</v>
      </c>
      <c r="AO68" s="63">
        <f>IF(AM68="","",VLOOKUP($B68,Miljö!$B$1:$J$479,MATCH("Fossilandel för ursprungspecificerad el ()",Miljö!$B$1:$J$1,0),FALSE))</f>
        <v>0.35</v>
      </c>
      <c r="AQ68" s="63">
        <f t="shared" ref="AQ68:AQ131" si="7">IF(AM68="","",1-AO68-AP68)</f>
        <v>0.65</v>
      </c>
      <c r="AS68" s="63" t="str">
        <f t="shared" ref="AS68:AS131" si="8">IF(B68&lt;&gt;"",IF(AND(AG68&gt;0,AG68&lt;&gt;""),"Ja","Nej"),"")</f>
        <v>Nej</v>
      </c>
      <c r="AT68" s="63" t="str">
        <f>IF(AS68="ja",VLOOKUP($B68,Miljö!$B$1:$P$500,MATCH("Fossil andel i procent (%)",Miljö!$B$1:$P$1,0),FALSE)/100,"")</f>
        <v/>
      </c>
      <c r="AV68" s="63" t="str">
        <f t="shared" ref="AV68:AV131" si="9">IF(B68&lt;&gt;"",IF(AND(AB68&gt;0,AB68&lt;&gt;""),"Ja","Nej"),"")</f>
        <v>Nej</v>
      </c>
      <c r="AW68" s="63" t="str">
        <f>IF(AV68="ja",VLOOKUP($B68,'Egen hetvattenprod'!$B$1:$AO$500,MATCH("Värmekälla till värmepumpar ()",'Egen hetvattenprod'!$B$1:$AO$1,0),FALSE),"")</f>
        <v/>
      </c>
      <c r="AY68" s="63" t="str">
        <f t="shared" ref="AY68:AY131" si="10">IF(B68&lt;&gt;"",IF(AND(AC68&gt;0,AC68&lt;&gt;""),"Ja","Nej"),"")</f>
        <v>Nej</v>
      </c>
      <c r="AZ68" s="77" t="str">
        <f>IF($AY68="ja",(VLOOKUP($B68,'Egen hetvattenprod'!$B$1:$BX$550,MATCH(AZ$2,'Egen hetvattenprod'!$B$1:$BX$1,0),FALSE)+VLOOKUP($B68,Kraftvärmeprod!$B$1:$BX$550,MATCH(AZ$2,Kraftvärmeprod!$B$1:$BX$1,0),FALSE))/$AC68,"")</f>
        <v/>
      </c>
      <c r="BA68" s="77" t="str">
        <f>IF($AY68="ja",(VLOOKUP($B68,'Egen hetvattenprod'!$B$1:$BX$550,MATCH(BA$2,'Egen hetvattenprod'!$B$1:$BX$1,0),FALSE)+VLOOKUP($B68,Kraftvärmeprod!$B$1:$BX$550,MATCH(BA$2,Kraftvärmeprod!$B$1:$BX$1,0),FALSE))/$AC68,"")</f>
        <v/>
      </c>
      <c r="BB68" s="77" t="str">
        <f>IF($AY68="ja",(VLOOKUP($B68,'Egen hetvattenprod'!$B$1:$BX$550,MATCH(BB$2,'Egen hetvattenprod'!$B$1:$BX$1,0),FALSE)+VLOOKUP($B68,Kraftvärmeprod!$B$1:$BX$550,MATCH(BB$2,Kraftvärmeprod!$B$1:$BX$1,0),FALSE))/$AC68,"")</f>
        <v/>
      </c>
      <c r="BC68" s="77" t="str">
        <f>IF($AY68="ja",(VLOOKUP($B68,'Egen hetvattenprod'!$B$1:$BX$550,MATCH(BC$2,'Egen hetvattenprod'!$B$1:$BX$1,0),FALSE)+VLOOKUP($B68,Kraftvärmeprod!$B$1:$BX$550,MATCH(BC$2,Kraftvärmeprod!$B$1:$BX$1,0),FALSE))/$AC68,"")</f>
        <v/>
      </c>
      <c r="BD68" s="77" t="str">
        <f>IF($AY68="ja",(VLOOKUP($B68,'Egen hetvattenprod'!$B$1:$BX$550,MATCH(BD$2,'Egen hetvattenprod'!$B$1:$BX$1,0),FALSE)+VLOOKUP($B68,Kraftvärmeprod!$B$1:$BX$550,MATCH(BD$2,Kraftvärmeprod!$B$1:$BX$1,0),FALSE))/$AC68,"")</f>
        <v/>
      </c>
      <c r="BF68" s="63" t="str">
        <f t="shared" ref="BF68:BF131" si="11">IF(B68&lt;&gt;"",IF(AND(I68&gt;0,I68&lt;&gt;""),"Ja","Nej"),"")</f>
        <v>Ja</v>
      </c>
      <c r="BG68" s="63" t="str">
        <f>IF($BF68="ja",VLOOKUP($B68,'Egen hetvattenprod'!$B$1:$BX$550,MATCH("Andelen klimatgaser med fossilt ursprung för avfall ()",'Egen hetvattenprod'!$B$1:$BX$1,0),FALSE),"")</f>
        <v>Ingen redovisning</v>
      </c>
      <c r="BH68" s="63" t="str">
        <f>IF($BF68="ja",VLOOKUP($B68,Kraftvärmeprod!$B$1:$BX$550,MATCH("Andelen klimatgaser med fossilt ursprung för avfall ()",Kraftvärmeprod!$B$1:$BX$1,0),FALSE),"")</f>
        <v>Schablon</v>
      </c>
      <c r="BI68" s="63" t="str">
        <f>IF($BF68="ja",VLOOKUP($B68,'Egen hetvattenprod'!$B$1:$BX$550,MATCH("Avfall (GWh)",'Egen hetvattenprod'!$B$1:$BX$1,0),FALSE),"")</f>
        <v>ET</v>
      </c>
      <c r="BJ68" s="63">
        <f>IF($BF68="ja",VLOOKUP($B68,'Slutlig allokering kvv'!$B$1:$BX$550,MATCH("Avfall (GWh)",'Slutlig allokering kvv'!$B$1:$BX$1,0),FALSE),"")</f>
        <v>113.372</v>
      </c>
      <c r="BK68" s="63">
        <f>IF($BF68="ja",VLOOKUP($B68,'Köpt hetvatten'!$B$1:$BX$550,MATCH("Avfall i köpt hetvatten",'Köpt hetvatten'!$B$1:$BX$1,0),FALSE),"")</f>
        <v>0</v>
      </c>
      <c r="BL68" s="63" t="str">
        <f>IF($BF68="ja",VLOOKUP($B68,'Egen hetvattenprod'!$B$1:$BX$550,MATCH("Värde enligt ovan. (%)",'Egen hetvattenprod'!$B$1:$BX$1,0),FALSE),"")</f>
        <v>ET</v>
      </c>
      <c r="BM68" s="63">
        <f>IF($BF68="ja",VLOOKUP($B68,Kraftvärmeprod!$B$1:$BX$550,MATCH("Värde enligt ovan. (%)",Kraftvärmeprod!$B$1:$BX$1,0),FALSE),"")</f>
        <v>37.299999999999997</v>
      </c>
    </row>
    <row r="69" spans="1:65" x14ac:dyDescent="0.45">
      <c r="A69" s="63" t="s">
        <v>605</v>
      </c>
      <c r="B69" s="63" t="s">
        <v>606</v>
      </c>
      <c r="C69" s="63">
        <f>VLOOKUP($B69,'Tillförd energi'!$B$1:$AI$720,MATCH(C$2,'Tillförd energi'!$B$1:$AQ$1,0),FALSE)</f>
        <v>0</v>
      </c>
      <c r="D69" s="63">
        <f>VLOOKUP($B69,'Tillförd energi'!$B$1:$AI$720,MATCH(D$2,'Tillförd energi'!$B$1:$AQ$1,0),FALSE)</f>
        <v>0</v>
      </c>
      <c r="E69" s="63">
        <f>VLOOKUP($B69,'Tillförd energi'!$B$1:$AI$720,MATCH(E$2,'Tillförd energi'!$B$1:$AQ$1,0),FALSE)</f>
        <v>0</v>
      </c>
      <c r="F69" s="63">
        <f>VLOOKUP($B69,'Tillförd energi'!$B$1:$AI$720,MATCH(F$2,'Tillförd energi'!$B$1:$AQ$1,0),FALSE)</f>
        <v>0</v>
      </c>
      <c r="G69" s="63">
        <f>VLOOKUP($B69,'Tillförd energi'!$B$1:$AI$720,MATCH(G$2,'Tillförd energi'!$B$1:$AQ$1,0),FALSE)</f>
        <v>0</v>
      </c>
      <c r="H69" s="63">
        <f>VLOOKUP($B69,'Tillförd energi'!$B$1:$AI$720,MATCH(H$2,'Tillförd energi'!$B$1:$AQ$1,0),FALSE)</f>
        <v>0</v>
      </c>
      <c r="I69" s="63">
        <f>VLOOKUP($B69,'Tillförd energi'!$B$1:$AI$720,MATCH(I$2,'Tillförd energi'!$B$1:$AQ$1,0),FALSE)</f>
        <v>0</v>
      </c>
      <c r="J69" s="63">
        <f>VLOOKUP($B69,'Tillförd energi'!$B$1:$AI$720,MATCH(J$2,'Tillförd energi'!$B$1:$AQ$1,0),FALSE)</f>
        <v>0</v>
      </c>
      <c r="K69" s="63">
        <f>VLOOKUP($B69,'Tillförd energi'!$B$1:$AI$720,MATCH(K$2,'Tillförd energi'!$B$1:$AQ$1,0),FALSE)</f>
        <v>0</v>
      </c>
      <c r="L69" s="63">
        <f>VLOOKUP($B69,'Tillförd energi'!$B$1:$AI$720,MATCH(L$2,'Tillförd energi'!$B$1:$AQ$1,0),FALSE)</f>
        <v>0</v>
      </c>
      <c r="M69" s="63">
        <f>VLOOKUP($B69,'Tillförd energi'!$B$1:$AI$720,MATCH(M$2,'Tillförd energi'!$B$1:$AQ$1,0),FALSE)</f>
        <v>1.44</v>
      </c>
      <c r="N69" s="63">
        <f>VLOOKUP($B69,'Tillförd energi'!$B$1:$AI$720,MATCH(N$2,'Tillförd energi'!$B$1:$AQ$1,0),FALSE)</f>
        <v>0</v>
      </c>
      <c r="O69" s="63">
        <f>VLOOKUP($B69,'Tillförd energi'!$B$1:$AI$720,MATCH(O$2,'Tillförd energi'!$B$1:$AQ$1,0),FALSE)</f>
        <v>1.44</v>
      </c>
      <c r="P69" s="63">
        <f>VLOOKUP($B69,'Tillförd energi'!$B$1:$AI$720,MATCH(P$2,'Tillförd energi'!$B$1:$AQ$1,0),FALSE)</f>
        <v>1.44</v>
      </c>
      <c r="Q69" s="63">
        <f>VLOOKUP($B69,'Tillförd energi'!$B$1:$AI$720,MATCH(Q$2,'Tillförd energi'!$B$1:$AQ$1,0),FALSE)</f>
        <v>0</v>
      </c>
      <c r="R69" s="63">
        <f>VLOOKUP($B69,'Tillförd energi'!$B$1:$AI$720,MATCH(R$2,'Tillförd energi'!$B$1:$AQ$1,0),FALSE)</f>
        <v>0</v>
      </c>
      <c r="S69" s="63">
        <f>VLOOKUP($B69,'Tillförd energi'!$B$1:$AI$720,MATCH(S$2,'Tillförd energi'!$B$1:$AQ$1,0),FALSE)</f>
        <v>0</v>
      </c>
      <c r="T69" s="63">
        <f>VLOOKUP($B69,'Tillförd energi'!$B$1:$AI$720,MATCH(T$2,'Tillförd energi'!$B$1:$AQ$1,0),FALSE)</f>
        <v>0</v>
      </c>
      <c r="U69" s="63">
        <f>VLOOKUP($B69,'Tillförd energi'!$B$1:$AI$720,MATCH(U$2,'Tillförd energi'!$B$1:$AQ$1,0),FALSE)</f>
        <v>0</v>
      </c>
      <c r="V69" s="63">
        <f>VLOOKUP($B69,'Tillförd energi'!$B$1:$AI$720,MATCH(V$2,'Tillförd energi'!$B$1:$AQ$1,0),FALSE)</f>
        <v>0</v>
      </c>
      <c r="W69" s="63">
        <f>VLOOKUP($B69,'Tillförd energi'!$B$1:$AI$720,MATCH(W$2,'Tillförd energi'!$B$1:$AQ$1,0),FALSE)</f>
        <v>5.3999999999999999E-2</v>
      </c>
      <c r="X69" s="63">
        <f>VLOOKUP($B69,'Tillförd energi'!$B$1:$AI$720,MATCH(X$2,'Tillförd energi'!$B$1:$AQ$1,0),FALSE)</f>
        <v>0</v>
      </c>
      <c r="Y69" s="63">
        <f>VLOOKUP($B69,'Tillförd energi'!$B$1:$AI$720,MATCH(Y$2,'Tillförd energi'!$B$1:$AQ$1,0),FALSE)</f>
        <v>0</v>
      </c>
      <c r="Z69" s="63">
        <f>VLOOKUP($B69,'Tillförd energi'!$B$1:$AI$720,MATCH(Z$2,'Tillförd energi'!$B$1:$AQ$1,0),FALSE)</f>
        <v>0</v>
      </c>
      <c r="AA69" s="63">
        <f>VLOOKUP($B69,'Tillförd energi'!$B$1:$AI$720,MATCH(AA$2,'Tillförd energi'!$B$1:$AQ$1,0),FALSE)</f>
        <v>0</v>
      </c>
      <c r="AB69" s="63">
        <f>VLOOKUP($B69,'Tillförd energi'!$B$1:$AI$720,MATCH(AB$2,'Tillförd energi'!$B$1:$AQ$1,0),FALSE)</f>
        <v>0</v>
      </c>
      <c r="AC69" s="63">
        <f>VLOOKUP($B69,'Tillförd energi'!$B$1:$AI$720,MATCH(AC$2,'Tillförd energi'!$B$1:$AQ$1,0),FALSE)</f>
        <v>0</v>
      </c>
      <c r="AD69" s="63">
        <f>VLOOKUP($B69,'Tillförd energi'!$B$1:$AI$720,MATCH(AD$2,'Tillförd energi'!$B$1:$AQ$1,0),FALSE)</f>
        <v>0</v>
      </c>
      <c r="AE69" s="63">
        <f>VLOOKUP($B69,'Tillförd energi'!$B$1:$AI$720,MATCH(AE$2,'Tillförd energi'!$B$1:$AQ$1,0),FALSE)</f>
        <v>0</v>
      </c>
      <c r="AF69" s="63">
        <f>VLOOKUP($B69,'Tillförd energi'!$B$1:$AI$720,MATCH(AF$2,'Tillförd energi'!$B$1:$AQ$1,0),FALSE)</f>
        <v>0.12</v>
      </c>
      <c r="AG69" s="63">
        <f>IFERROR(VLOOKUP(B69,Miljö!$B$1:$AC$550,MATCH("Köpt mängd produktionsspecifik fjärrvärme:",Miljö!$B$1:$AC$1,0),FALSE)/1,0)</f>
        <v>0</v>
      </c>
      <c r="AI69" s="63">
        <f t="shared" si="6"/>
        <v>4.4940000000000007</v>
      </c>
      <c r="AJ69" s="63">
        <f>IF(ISERROR(1/VLOOKUP($B69,Leveranser!$B$1:$S$500,MATCH("såld värme (gwh)",Leveranser!$B$1:$S$1,0),FALSE)),"",VLOOKUP($B69,Leveranser!$B$1:$S$500,MATCH("såld värme (gwh)",Leveranser!$B$1:$S$1,0),FALSE))</f>
        <v>2.8330000000000002</v>
      </c>
      <c r="AM69" s="63" t="str">
        <f>IF(B69&lt;&gt;"",IF(VLOOKUP($B69,Totalt!$B$1:$AQ$554,MATCH("Kvalitetsgranskad:",Totalt!$B$1:$AQ$1,0),FALSE)="ja",VLOOKUP($B69,Miljö!$B$1:$AG$479,MATCH(AM$2,Miljö!$B$1:$AK$1,0),FALSE),""),"")</f>
        <v>Ja</v>
      </c>
      <c r="AN69" s="63" t="str">
        <f>IF(AM69="ja",VLOOKUP($B69,Miljö!$B$1:$J$479,MATCH("Typ av ursprungsspecificerad el   (Om inget värde anges används Nordisk residualmix, se inforuta) ()",Miljö!$B$1:$J$1,0),FALSE),IF(AM69="nej","Nordisk residualel",""))</f>
        <v>-</v>
      </c>
      <c r="AO69" s="63">
        <f>IF(AM69="","",VLOOKUP($B69,Miljö!$B$1:$J$479,MATCH("Fossilandel för ursprungspecificerad el ()",Miljö!$B$1:$J$1,0),FALSE))</f>
        <v>0.35</v>
      </c>
      <c r="AQ69" s="63">
        <f t="shared" si="7"/>
        <v>0.65</v>
      </c>
      <c r="AS69" s="63" t="str">
        <f t="shared" si="8"/>
        <v>Nej</v>
      </c>
      <c r="AT69" s="63" t="str">
        <f>IF(AS69="ja",VLOOKUP($B69,Miljö!$B$1:$P$500,MATCH("Fossil andel i procent (%)",Miljö!$B$1:$P$1,0),FALSE)/100,"")</f>
        <v/>
      </c>
      <c r="AV69" s="63" t="str">
        <f t="shared" si="9"/>
        <v>Nej</v>
      </c>
      <c r="AW69" s="63" t="str">
        <f>IF(AV69="ja",VLOOKUP($B69,'Egen hetvattenprod'!$B$1:$AO$500,MATCH("Värmekälla till värmepumpar ()",'Egen hetvattenprod'!$B$1:$AO$1,0),FALSE),"")</f>
        <v/>
      </c>
      <c r="AY69" s="63" t="str">
        <f t="shared" si="10"/>
        <v>Nej</v>
      </c>
      <c r="AZ69" s="77" t="str">
        <f>IF($AY69="ja",(VLOOKUP($B69,'Egen hetvattenprod'!$B$1:$BX$550,MATCH(AZ$2,'Egen hetvattenprod'!$B$1:$BX$1,0),FALSE)+VLOOKUP($B69,Kraftvärmeprod!$B$1:$BX$550,MATCH(AZ$2,Kraftvärmeprod!$B$1:$BX$1,0),FALSE))/$AC69,"")</f>
        <v/>
      </c>
      <c r="BA69" s="77" t="str">
        <f>IF($AY69="ja",(VLOOKUP($B69,'Egen hetvattenprod'!$B$1:$BX$550,MATCH(BA$2,'Egen hetvattenprod'!$B$1:$BX$1,0),FALSE)+VLOOKUP($B69,Kraftvärmeprod!$B$1:$BX$550,MATCH(BA$2,Kraftvärmeprod!$B$1:$BX$1,0),FALSE))/$AC69,"")</f>
        <v/>
      </c>
      <c r="BB69" s="77" t="str">
        <f>IF($AY69="ja",(VLOOKUP($B69,'Egen hetvattenprod'!$B$1:$BX$550,MATCH(BB$2,'Egen hetvattenprod'!$B$1:$BX$1,0),FALSE)+VLOOKUP($B69,Kraftvärmeprod!$B$1:$BX$550,MATCH(BB$2,Kraftvärmeprod!$B$1:$BX$1,0),FALSE))/$AC69,"")</f>
        <v/>
      </c>
      <c r="BC69" s="77" t="str">
        <f>IF($AY69="ja",(VLOOKUP($B69,'Egen hetvattenprod'!$B$1:$BX$550,MATCH(BC$2,'Egen hetvattenprod'!$B$1:$BX$1,0),FALSE)+VLOOKUP($B69,Kraftvärmeprod!$B$1:$BX$550,MATCH(BC$2,Kraftvärmeprod!$B$1:$BX$1,0),FALSE))/$AC69,"")</f>
        <v/>
      </c>
      <c r="BD69" s="77" t="str">
        <f>IF($AY69="ja",(VLOOKUP($B69,'Egen hetvattenprod'!$B$1:$BX$550,MATCH(BD$2,'Egen hetvattenprod'!$B$1:$BX$1,0),FALSE)+VLOOKUP($B69,Kraftvärmeprod!$B$1:$BX$550,MATCH(BD$2,Kraftvärmeprod!$B$1:$BX$1,0),FALSE))/$AC69,"")</f>
        <v/>
      </c>
      <c r="BF69" s="63" t="str">
        <f t="shared" si="11"/>
        <v>Nej</v>
      </c>
      <c r="BG69" s="63" t="str">
        <f>IF($BF69="ja",VLOOKUP($B69,'Egen hetvattenprod'!$B$1:$BX$550,MATCH("Andelen klimatgaser med fossilt ursprung för avfall ()",'Egen hetvattenprod'!$B$1:$BX$1,0),FALSE),"")</f>
        <v/>
      </c>
      <c r="BH69" s="63" t="str">
        <f>IF($BF69="ja",VLOOKUP($B69,Kraftvärmeprod!$B$1:$BX$550,MATCH("Andelen klimatgaser med fossilt ursprung för avfall ()",Kraftvärmeprod!$B$1:$BX$1,0),FALSE),"")</f>
        <v/>
      </c>
      <c r="BI69" s="63" t="str">
        <f>IF($BF69="ja",VLOOKUP($B69,'Egen hetvattenprod'!$B$1:$BX$550,MATCH("Avfall (GWh)",'Egen hetvattenprod'!$B$1:$BX$1,0),FALSE),"")</f>
        <v/>
      </c>
      <c r="BJ69" s="63" t="str">
        <f>IF($BF69="ja",VLOOKUP($B69,'Slutlig allokering kvv'!$B$1:$BX$550,MATCH("Avfall (GWh)",'Slutlig allokering kvv'!$B$1:$BX$1,0),FALSE),"")</f>
        <v/>
      </c>
      <c r="BK69" s="63" t="str">
        <f>IF($BF69="ja",VLOOKUP($B69,'Köpt hetvatten'!$B$1:$BX$550,MATCH("Avfall i köpt hetvatten",'Köpt hetvatten'!$B$1:$BX$1,0),FALSE),"")</f>
        <v/>
      </c>
      <c r="BL69" s="63" t="str">
        <f>IF($BF69="ja",VLOOKUP($B69,'Egen hetvattenprod'!$B$1:$BX$550,MATCH("Värde enligt ovan. (%)",'Egen hetvattenprod'!$B$1:$BX$1,0),FALSE),"")</f>
        <v/>
      </c>
      <c r="BM69" s="63" t="str">
        <f>IF($BF69="ja",VLOOKUP($B69,Kraftvärmeprod!$B$1:$BX$550,MATCH("Värde enligt ovan. (%)",Kraftvärmeprod!$B$1:$BX$1,0),FALSE),"")</f>
        <v/>
      </c>
    </row>
    <row r="70" spans="1:65" x14ac:dyDescent="0.45">
      <c r="A70" s="63" t="s">
        <v>605</v>
      </c>
      <c r="B70" s="63" t="s">
        <v>604</v>
      </c>
      <c r="C70" s="63">
        <f>VLOOKUP($B70,'Tillförd energi'!$B$1:$AI$720,MATCH(C$2,'Tillförd energi'!$B$1:$AQ$1,0),FALSE)</f>
        <v>0</v>
      </c>
      <c r="D70" s="63">
        <f>VLOOKUP($B70,'Tillförd energi'!$B$1:$AI$720,MATCH(D$2,'Tillförd energi'!$B$1:$AQ$1,0),FALSE)</f>
        <v>0</v>
      </c>
      <c r="E70" s="63">
        <f>VLOOKUP($B70,'Tillförd energi'!$B$1:$AI$720,MATCH(E$2,'Tillförd energi'!$B$1:$AQ$1,0),FALSE)</f>
        <v>0</v>
      </c>
      <c r="F70" s="63">
        <f>VLOOKUP($B70,'Tillförd energi'!$B$1:$AI$720,MATCH(F$2,'Tillförd energi'!$B$1:$AQ$1,0),FALSE)</f>
        <v>0</v>
      </c>
      <c r="G70" s="63">
        <f>VLOOKUP($B70,'Tillförd energi'!$B$1:$AI$720,MATCH(G$2,'Tillförd energi'!$B$1:$AQ$1,0),FALSE)</f>
        <v>0</v>
      </c>
      <c r="H70" s="63">
        <f>VLOOKUP($B70,'Tillförd energi'!$B$1:$AI$720,MATCH(H$2,'Tillförd energi'!$B$1:$AQ$1,0),FALSE)</f>
        <v>0</v>
      </c>
      <c r="I70" s="63">
        <f>VLOOKUP($B70,'Tillförd energi'!$B$1:$AI$720,MATCH(I$2,'Tillförd energi'!$B$1:$AQ$1,0),FALSE)</f>
        <v>0</v>
      </c>
      <c r="J70" s="63">
        <f>VLOOKUP($B70,'Tillförd energi'!$B$1:$AI$720,MATCH(J$2,'Tillförd energi'!$B$1:$AQ$1,0),FALSE)</f>
        <v>0</v>
      </c>
      <c r="K70" s="63">
        <f>VLOOKUP($B70,'Tillförd energi'!$B$1:$AI$720,MATCH(K$2,'Tillförd energi'!$B$1:$AQ$1,0),FALSE)</f>
        <v>0</v>
      </c>
      <c r="L70" s="63">
        <f>VLOOKUP($B70,'Tillförd energi'!$B$1:$AI$720,MATCH(L$2,'Tillförd energi'!$B$1:$AQ$1,0),FALSE)</f>
        <v>0</v>
      </c>
      <c r="M70" s="63">
        <f>VLOOKUP($B70,'Tillförd energi'!$B$1:$AI$720,MATCH(M$2,'Tillförd energi'!$B$1:$AQ$1,0),FALSE)</f>
        <v>6.45</v>
      </c>
      <c r="N70" s="63">
        <f>VLOOKUP($B70,'Tillförd energi'!$B$1:$AI$720,MATCH(N$2,'Tillförd energi'!$B$1:$AQ$1,0),FALSE)</f>
        <v>0</v>
      </c>
      <c r="O70" s="63">
        <f>VLOOKUP($B70,'Tillförd energi'!$B$1:$AI$720,MATCH(O$2,'Tillförd energi'!$B$1:$AQ$1,0),FALSE)</f>
        <v>6.45</v>
      </c>
      <c r="P70" s="63">
        <f>VLOOKUP($B70,'Tillförd energi'!$B$1:$AI$720,MATCH(P$2,'Tillförd energi'!$B$1:$AQ$1,0),FALSE)</f>
        <v>6.45</v>
      </c>
      <c r="Q70" s="63">
        <f>VLOOKUP($B70,'Tillförd energi'!$B$1:$AI$720,MATCH(Q$2,'Tillförd energi'!$B$1:$AQ$1,0),FALSE)</f>
        <v>0</v>
      </c>
      <c r="R70" s="63">
        <f>VLOOKUP($B70,'Tillförd energi'!$B$1:$AI$720,MATCH(R$2,'Tillförd energi'!$B$1:$AQ$1,0),FALSE)</f>
        <v>0</v>
      </c>
      <c r="S70" s="63">
        <f>VLOOKUP($B70,'Tillförd energi'!$B$1:$AI$720,MATCH(S$2,'Tillförd energi'!$B$1:$AQ$1,0),FALSE)</f>
        <v>0</v>
      </c>
      <c r="T70" s="63">
        <f>VLOOKUP($B70,'Tillförd energi'!$B$1:$AI$720,MATCH(T$2,'Tillförd energi'!$B$1:$AQ$1,0),FALSE)</f>
        <v>0</v>
      </c>
      <c r="U70" s="63">
        <f>VLOOKUP($B70,'Tillförd energi'!$B$1:$AI$720,MATCH(U$2,'Tillförd energi'!$B$1:$AQ$1,0),FALSE)</f>
        <v>0</v>
      </c>
      <c r="V70" s="63">
        <f>VLOOKUP($B70,'Tillförd energi'!$B$1:$AI$720,MATCH(V$2,'Tillförd energi'!$B$1:$AQ$1,0),FALSE)</f>
        <v>0</v>
      </c>
      <c r="W70" s="63">
        <f>VLOOKUP($B70,'Tillförd energi'!$B$1:$AI$720,MATCH(W$2,'Tillförd energi'!$B$1:$AQ$1,0),FALSE)</f>
        <v>0.20799999999999999</v>
      </c>
      <c r="X70" s="63">
        <f>VLOOKUP($B70,'Tillförd energi'!$B$1:$AI$720,MATCH(X$2,'Tillförd energi'!$B$1:$AQ$1,0),FALSE)</f>
        <v>0</v>
      </c>
      <c r="Y70" s="63">
        <f>VLOOKUP($B70,'Tillförd energi'!$B$1:$AI$720,MATCH(Y$2,'Tillförd energi'!$B$1:$AQ$1,0),FALSE)</f>
        <v>0</v>
      </c>
      <c r="Z70" s="63">
        <f>VLOOKUP($B70,'Tillförd energi'!$B$1:$AI$720,MATCH(Z$2,'Tillförd energi'!$B$1:$AQ$1,0),FALSE)</f>
        <v>0</v>
      </c>
      <c r="AA70" s="63">
        <f>VLOOKUP($B70,'Tillförd energi'!$B$1:$AI$720,MATCH(AA$2,'Tillförd energi'!$B$1:$AQ$1,0),FALSE)</f>
        <v>0</v>
      </c>
      <c r="AB70" s="63">
        <f>VLOOKUP($B70,'Tillförd energi'!$B$1:$AI$720,MATCH(AB$2,'Tillförd energi'!$B$1:$AQ$1,0),FALSE)</f>
        <v>0</v>
      </c>
      <c r="AC70" s="63">
        <f>VLOOKUP($B70,'Tillförd energi'!$B$1:$AI$720,MATCH(AC$2,'Tillförd energi'!$B$1:$AQ$1,0),FALSE)</f>
        <v>0</v>
      </c>
      <c r="AD70" s="63">
        <f>VLOOKUP($B70,'Tillförd energi'!$B$1:$AI$720,MATCH(AD$2,'Tillförd energi'!$B$1:$AQ$1,0),FALSE)</f>
        <v>0</v>
      </c>
      <c r="AE70" s="63">
        <f>VLOOKUP($B70,'Tillförd energi'!$B$1:$AI$720,MATCH(AE$2,'Tillförd energi'!$B$1:$AQ$1,0),FALSE)</f>
        <v>0</v>
      </c>
      <c r="AF70" s="63">
        <f>VLOOKUP($B70,'Tillförd energi'!$B$1:$AI$720,MATCH(AF$2,'Tillförd energi'!$B$1:$AQ$1,0),FALSE)</f>
        <v>0.34</v>
      </c>
      <c r="AG70" s="63">
        <f>IFERROR(VLOOKUP(B70,Miljö!$B$1:$AC$550,MATCH("Köpt mängd produktionsspecifik fjärrvärme:",Miljö!$B$1:$AC$1,0),FALSE)/1,0)</f>
        <v>0</v>
      </c>
      <c r="AI70" s="63">
        <f t="shared" si="6"/>
        <v>19.898</v>
      </c>
      <c r="AJ70" s="63">
        <f>IF(ISERROR(1/VLOOKUP($B70,Leveranser!$B$1:$S$500,MATCH("såld värme (gwh)",Leveranser!$B$1:$S$1,0),FALSE)),"",VLOOKUP($B70,Leveranser!$B$1:$S$500,MATCH("såld värme (gwh)",Leveranser!$B$1:$S$1,0),FALSE))</f>
        <v>12.869</v>
      </c>
      <c r="AM70" s="63" t="str">
        <f>IF(B70&lt;&gt;"",IF(VLOOKUP($B70,Totalt!$B$1:$AQ$554,MATCH("Kvalitetsgranskad:",Totalt!$B$1:$AQ$1,0),FALSE)="ja",VLOOKUP($B70,Miljö!$B$1:$AG$479,MATCH(AM$2,Miljö!$B$1:$AK$1,0),FALSE),""),"")</f>
        <v>Ja</v>
      </c>
      <c r="AN70" s="63" t="str">
        <f>IF(AM70="ja",VLOOKUP($B70,Miljö!$B$1:$J$479,MATCH("Typ av ursprungsspecificerad el   (Om inget värde anges används Nordisk residualmix, se inforuta) ()",Miljö!$B$1:$J$1,0),FALSE),IF(AM70="nej","Nordisk residualel",""))</f>
        <v>-</v>
      </c>
      <c r="AO70" s="63">
        <f>IF(AM70="","",VLOOKUP($B70,Miljö!$B$1:$J$479,MATCH("Fossilandel för ursprungspecificerad el ()",Miljö!$B$1:$J$1,0),FALSE))</f>
        <v>0.35</v>
      </c>
      <c r="AQ70" s="63">
        <f t="shared" si="7"/>
        <v>0.65</v>
      </c>
      <c r="AS70" s="63" t="str">
        <f t="shared" si="8"/>
        <v>Nej</v>
      </c>
      <c r="AT70" s="63" t="str">
        <f>IF(AS70="ja",VLOOKUP($B70,Miljö!$B$1:$P$500,MATCH("Fossil andel i procent (%)",Miljö!$B$1:$P$1,0),FALSE)/100,"")</f>
        <v/>
      </c>
      <c r="AV70" s="63" t="str">
        <f t="shared" si="9"/>
        <v>Nej</v>
      </c>
      <c r="AW70" s="63" t="str">
        <f>IF(AV70="ja",VLOOKUP($B70,'Egen hetvattenprod'!$B$1:$AO$500,MATCH("Värmekälla till värmepumpar ()",'Egen hetvattenprod'!$B$1:$AO$1,0),FALSE),"")</f>
        <v/>
      </c>
      <c r="AY70" s="63" t="str">
        <f t="shared" si="10"/>
        <v>Nej</v>
      </c>
      <c r="AZ70" s="77" t="str">
        <f>IF($AY70="ja",(VLOOKUP($B70,'Egen hetvattenprod'!$B$1:$BX$550,MATCH(AZ$2,'Egen hetvattenprod'!$B$1:$BX$1,0),FALSE)+VLOOKUP($B70,Kraftvärmeprod!$B$1:$BX$550,MATCH(AZ$2,Kraftvärmeprod!$B$1:$BX$1,0),FALSE))/$AC70,"")</f>
        <v/>
      </c>
      <c r="BA70" s="77" t="str">
        <f>IF($AY70="ja",(VLOOKUP($B70,'Egen hetvattenprod'!$B$1:$BX$550,MATCH(BA$2,'Egen hetvattenprod'!$B$1:$BX$1,0),FALSE)+VLOOKUP($B70,Kraftvärmeprod!$B$1:$BX$550,MATCH(BA$2,Kraftvärmeprod!$B$1:$BX$1,0),FALSE))/$AC70,"")</f>
        <v/>
      </c>
      <c r="BB70" s="77" t="str">
        <f>IF($AY70="ja",(VLOOKUP($B70,'Egen hetvattenprod'!$B$1:$BX$550,MATCH(BB$2,'Egen hetvattenprod'!$B$1:$BX$1,0),FALSE)+VLOOKUP($B70,Kraftvärmeprod!$B$1:$BX$550,MATCH(BB$2,Kraftvärmeprod!$B$1:$BX$1,0),FALSE))/$AC70,"")</f>
        <v/>
      </c>
      <c r="BC70" s="77" t="str">
        <f>IF($AY70="ja",(VLOOKUP($B70,'Egen hetvattenprod'!$B$1:$BX$550,MATCH(BC$2,'Egen hetvattenprod'!$B$1:$BX$1,0),FALSE)+VLOOKUP($B70,Kraftvärmeprod!$B$1:$BX$550,MATCH(BC$2,Kraftvärmeprod!$B$1:$BX$1,0),FALSE))/$AC70,"")</f>
        <v/>
      </c>
      <c r="BD70" s="77" t="str">
        <f>IF($AY70="ja",(VLOOKUP($B70,'Egen hetvattenprod'!$B$1:$BX$550,MATCH(BD$2,'Egen hetvattenprod'!$B$1:$BX$1,0),FALSE)+VLOOKUP($B70,Kraftvärmeprod!$B$1:$BX$550,MATCH(BD$2,Kraftvärmeprod!$B$1:$BX$1,0),FALSE))/$AC70,"")</f>
        <v/>
      </c>
      <c r="BF70" s="63" t="str">
        <f t="shared" si="11"/>
        <v>Nej</v>
      </c>
      <c r="BG70" s="63" t="str">
        <f>IF($BF70="ja",VLOOKUP($B70,'Egen hetvattenprod'!$B$1:$BX$550,MATCH("Andelen klimatgaser med fossilt ursprung för avfall ()",'Egen hetvattenprod'!$B$1:$BX$1,0),FALSE),"")</f>
        <v/>
      </c>
      <c r="BH70" s="63" t="str">
        <f>IF($BF70="ja",VLOOKUP($B70,Kraftvärmeprod!$B$1:$BX$550,MATCH("Andelen klimatgaser med fossilt ursprung för avfall ()",Kraftvärmeprod!$B$1:$BX$1,0),FALSE),"")</f>
        <v/>
      </c>
      <c r="BI70" s="63" t="str">
        <f>IF($BF70="ja",VLOOKUP($B70,'Egen hetvattenprod'!$B$1:$BX$550,MATCH("Avfall (GWh)",'Egen hetvattenprod'!$B$1:$BX$1,0),FALSE),"")</f>
        <v/>
      </c>
      <c r="BJ70" s="63" t="str">
        <f>IF($BF70="ja",VLOOKUP($B70,'Slutlig allokering kvv'!$B$1:$BX$550,MATCH("Avfall (GWh)",'Slutlig allokering kvv'!$B$1:$BX$1,0),FALSE),"")</f>
        <v/>
      </c>
      <c r="BK70" s="63" t="str">
        <f>IF($BF70="ja",VLOOKUP($B70,'Köpt hetvatten'!$B$1:$BX$550,MATCH("Avfall i köpt hetvatten",'Köpt hetvatten'!$B$1:$BX$1,0),FALSE),"")</f>
        <v/>
      </c>
      <c r="BL70" s="63" t="str">
        <f>IF($BF70="ja",VLOOKUP($B70,'Egen hetvattenprod'!$B$1:$BX$550,MATCH("Värde enligt ovan. (%)",'Egen hetvattenprod'!$B$1:$BX$1,0),FALSE),"")</f>
        <v/>
      </c>
      <c r="BM70" s="63" t="str">
        <f>IF($BF70="ja",VLOOKUP($B70,Kraftvärmeprod!$B$1:$BX$550,MATCH("Värde enligt ovan. (%)",Kraftvärmeprod!$B$1:$BX$1,0),FALSE),"")</f>
        <v/>
      </c>
    </row>
    <row r="71" spans="1:65" x14ac:dyDescent="0.45">
      <c r="A71" s="63" t="s">
        <v>603</v>
      </c>
      <c r="B71" s="63" t="s">
        <v>602</v>
      </c>
      <c r="C71" s="63">
        <f>VLOOKUP($B71,'Tillförd energi'!$B$1:$AI$720,MATCH(C$2,'Tillförd energi'!$B$1:$AQ$1,0),FALSE)</f>
        <v>0</v>
      </c>
      <c r="D71" s="63">
        <f>VLOOKUP($B71,'Tillförd energi'!$B$1:$AI$720,MATCH(D$2,'Tillförd energi'!$B$1:$AQ$1,0),FALSE)</f>
        <v>0.69</v>
      </c>
      <c r="E71" s="63">
        <f>VLOOKUP($B71,'Tillförd energi'!$B$1:$AI$720,MATCH(E$2,'Tillförd energi'!$B$1:$AQ$1,0),FALSE)</f>
        <v>0</v>
      </c>
      <c r="F71" s="63">
        <f>VLOOKUP($B71,'Tillförd energi'!$B$1:$AI$720,MATCH(F$2,'Tillförd energi'!$B$1:$AQ$1,0),FALSE)</f>
        <v>0</v>
      </c>
      <c r="G71" s="63">
        <f>VLOOKUP($B71,'Tillförd energi'!$B$1:$AI$720,MATCH(G$2,'Tillförd energi'!$B$1:$AQ$1,0),FALSE)</f>
        <v>0</v>
      </c>
      <c r="H71" s="63">
        <f>VLOOKUP($B71,'Tillförd energi'!$B$1:$AI$720,MATCH(H$2,'Tillförd energi'!$B$1:$AQ$1,0),FALSE)</f>
        <v>0</v>
      </c>
      <c r="I71" s="63">
        <f>VLOOKUP($B71,'Tillförd energi'!$B$1:$AI$720,MATCH(I$2,'Tillförd energi'!$B$1:$AQ$1,0),FALSE)</f>
        <v>0</v>
      </c>
      <c r="J71" s="63">
        <f>VLOOKUP($B71,'Tillförd energi'!$B$1:$AI$720,MATCH(J$2,'Tillförd energi'!$B$1:$AQ$1,0),FALSE)</f>
        <v>0</v>
      </c>
      <c r="K71" s="63">
        <f>VLOOKUP($B71,'Tillförd energi'!$B$1:$AI$720,MATCH(K$2,'Tillförd energi'!$B$1:$AQ$1,0),FALSE)</f>
        <v>0</v>
      </c>
      <c r="L71" s="63">
        <f>VLOOKUP($B71,'Tillförd energi'!$B$1:$AI$720,MATCH(L$2,'Tillförd energi'!$B$1:$AQ$1,0),FALSE)</f>
        <v>0</v>
      </c>
      <c r="M71" s="63">
        <f>VLOOKUP($B71,'Tillförd energi'!$B$1:$AI$720,MATCH(M$2,'Tillförd energi'!$B$1:$AQ$1,0),FALSE)</f>
        <v>0</v>
      </c>
      <c r="N71" s="63">
        <f>VLOOKUP($B71,'Tillförd energi'!$B$1:$AI$720,MATCH(N$2,'Tillförd energi'!$B$1:$AQ$1,0),FALSE)</f>
        <v>0</v>
      </c>
      <c r="O71" s="63">
        <f>VLOOKUP($B71,'Tillförd energi'!$B$1:$AI$720,MATCH(O$2,'Tillförd energi'!$B$1:$AQ$1,0),FALSE)</f>
        <v>0</v>
      </c>
      <c r="P71" s="63">
        <f>VLOOKUP($B71,'Tillförd energi'!$B$1:$AI$720,MATCH(P$2,'Tillförd energi'!$B$1:$AQ$1,0),FALSE)</f>
        <v>0</v>
      </c>
      <c r="Q71" s="63">
        <f>VLOOKUP($B71,'Tillförd energi'!$B$1:$AI$720,MATCH(Q$2,'Tillförd energi'!$B$1:$AQ$1,0),FALSE)</f>
        <v>44.6</v>
      </c>
      <c r="R71" s="63">
        <f>VLOOKUP($B71,'Tillförd energi'!$B$1:$AI$720,MATCH(R$2,'Tillförd energi'!$B$1:$AQ$1,0),FALSE)</f>
        <v>3.5</v>
      </c>
      <c r="S71" s="63">
        <f>VLOOKUP($B71,'Tillförd energi'!$B$1:$AI$720,MATCH(S$2,'Tillförd energi'!$B$1:$AQ$1,0),FALSE)</f>
        <v>0</v>
      </c>
      <c r="T71" s="63">
        <f>VLOOKUP($B71,'Tillförd energi'!$B$1:$AI$720,MATCH(T$2,'Tillförd energi'!$B$1:$AQ$1,0),FALSE)</f>
        <v>0</v>
      </c>
      <c r="U71" s="63">
        <f>VLOOKUP($B71,'Tillförd energi'!$B$1:$AI$720,MATCH(U$2,'Tillförd energi'!$B$1:$AQ$1,0),FALSE)</f>
        <v>0</v>
      </c>
      <c r="V71" s="63">
        <f>VLOOKUP($B71,'Tillförd energi'!$B$1:$AI$720,MATCH(V$2,'Tillförd energi'!$B$1:$AQ$1,0),FALSE)</f>
        <v>0</v>
      </c>
      <c r="W71" s="63">
        <f>VLOOKUP($B71,'Tillförd energi'!$B$1:$AI$720,MATCH(W$2,'Tillförd energi'!$B$1:$AQ$1,0),FALSE)</f>
        <v>0</v>
      </c>
      <c r="X71" s="63">
        <f>VLOOKUP($B71,'Tillförd energi'!$B$1:$AI$720,MATCH(X$2,'Tillförd energi'!$B$1:$AQ$1,0),FALSE)</f>
        <v>0</v>
      </c>
      <c r="Y71" s="63">
        <f>VLOOKUP($B71,'Tillförd energi'!$B$1:$AI$720,MATCH(Y$2,'Tillförd energi'!$B$1:$AQ$1,0),FALSE)</f>
        <v>0</v>
      </c>
      <c r="Z71" s="63">
        <f>VLOOKUP($B71,'Tillförd energi'!$B$1:$AI$720,MATCH(Z$2,'Tillförd energi'!$B$1:$AQ$1,0),FALSE)</f>
        <v>0</v>
      </c>
      <c r="AA71" s="63">
        <f>VLOOKUP($B71,'Tillförd energi'!$B$1:$AI$720,MATCH(AA$2,'Tillförd energi'!$B$1:$AQ$1,0),FALSE)</f>
        <v>0</v>
      </c>
      <c r="AB71" s="63">
        <f>VLOOKUP($B71,'Tillförd energi'!$B$1:$AI$720,MATCH(AB$2,'Tillförd energi'!$B$1:$AQ$1,0),FALSE)</f>
        <v>0</v>
      </c>
      <c r="AC71" s="63">
        <f>VLOOKUP($B71,'Tillförd energi'!$B$1:$AI$720,MATCH(AC$2,'Tillförd energi'!$B$1:$AQ$1,0),FALSE)</f>
        <v>7.3</v>
      </c>
      <c r="AD71" s="63">
        <f>VLOOKUP($B71,'Tillförd energi'!$B$1:$AI$720,MATCH(AD$2,'Tillförd energi'!$B$1:$AQ$1,0),FALSE)</f>
        <v>0</v>
      </c>
      <c r="AE71" s="63">
        <f>VLOOKUP($B71,'Tillförd energi'!$B$1:$AI$720,MATCH(AE$2,'Tillförd energi'!$B$1:$AQ$1,0),FALSE)</f>
        <v>0</v>
      </c>
      <c r="AF71" s="63">
        <f>VLOOKUP($B71,'Tillförd energi'!$B$1:$AI$720,MATCH(AF$2,'Tillförd energi'!$B$1:$AQ$1,0),FALSE)</f>
        <v>1.48</v>
      </c>
      <c r="AG71" s="63">
        <f>IFERROR(VLOOKUP(B71,Miljö!$B$1:$AC$550,MATCH("Köpt mängd produktionsspecifik fjärrvärme:",Miljö!$B$1:$AC$1,0),FALSE)/1,0)</f>
        <v>0</v>
      </c>
      <c r="AI71" s="63">
        <f t="shared" si="6"/>
        <v>57.569999999999993</v>
      </c>
      <c r="AJ71" s="63">
        <f>IF(ISERROR(1/VLOOKUP($B71,Leveranser!$B$1:$S$500,MATCH("såld värme (gwh)",Leveranser!$B$1:$S$1,0),FALSE)),"",VLOOKUP($B71,Leveranser!$B$1:$S$500,MATCH("såld värme (gwh)",Leveranser!$B$1:$S$1,0),FALSE))</f>
        <v>42.5</v>
      </c>
      <c r="AM71" s="63" t="str">
        <f>IF(B71&lt;&gt;"",IF(VLOOKUP($B71,Totalt!$B$1:$AQ$554,MATCH("Kvalitetsgranskad:",Totalt!$B$1:$AQ$1,0),FALSE)="ja",VLOOKUP($B71,Miljö!$B$1:$AG$479,MATCH(AM$2,Miljö!$B$1:$AK$1,0),FALSE),""),"")</f>
        <v>Ja</v>
      </c>
      <c r="AN71" s="63" t="str">
        <f>IF(AM71="ja",VLOOKUP($B71,Miljö!$B$1:$J$479,MATCH("Typ av ursprungsspecificerad el   (Om inget värde anges används Nordisk residualmix, se inforuta) ()",Miljö!$B$1:$J$1,0),FALSE),IF(AM71="nej","Nordisk residualel",""))</f>
        <v>'100% förnybart. Vind. vatten &amp; biobränsle'</v>
      </c>
      <c r="AO71" s="63">
        <f>IF(AM71="","",VLOOKUP($B71,Miljö!$B$1:$J$479,MATCH("Fossilandel för ursprungspecificerad el ()",Miljö!$B$1:$J$1,0),FALSE))</f>
        <v>0</v>
      </c>
      <c r="AQ71" s="63">
        <f t="shared" si="7"/>
        <v>1</v>
      </c>
      <c r="AS71" s="63" t="str">
        <f t="shared" si="8"/>
        <v>Nej</v>
      </c>
      <c r="AT71" s="63" t="str">
        <f>IF(AS71="ja",VLOOKUP($B71,Miljö!$B$1:$P$500,MATCH("Fossil andel i procent (%)",Miljö!$B$1:$P$1,0),FALSE)/100,"")</f>
        <v/>
      </c>
      <c r="AV71" s="63" t="str">
        <f t="shared" si="9"/>
        <v>Nej</v>
      </c>
      <c r="AW71" s="63" t="str">
        <f>IF(AV71="ja",VLOOKUP($B71,'Egen hetvattenprod'!$B$1:$AO$500,MATCH("Värmekälla till värmepumpar ()",'Egen hetvattenprod'!$B$1:$AO$1,0),FALSE),"")</f>
        <v/>
      </c>
      <c r="AY71" s="63" t="str">
        <f t="shared" si="10"/>
        <v>Ja</v>
      </c>
      <c r="AZ71" s="77">
        <f>IF($AY71="ja",(VLOOKUP($B71,'Egen hetvattenprod'!$B$1:$BX$550,MATCH(AZ$2,'Egen hetvattenprod'!$B$1:$BX$1,0),FALSE)+VLOOKUP($B71,Kraftvärmeprod!$B$1:$BX$550,MATCH(AZ$2,Kraftvärmeprod!$B$1:$BX$1,0),FALSE))/$AC71,"")</f>
        <v>1</v>
      </c>
      <c r="BA71" s="77">
        <f>IF($AY71="ja",(VLOOKUP($B71,'Egen hetvattenprod'!$B$1:$BX$550,MATCH(BA$2,'Egen hetvattenprod'!$B$1:$BX$1,0),FALSE)+VLOOKUP($B71,Kraftvärmeprod!$B$1:$BX$550,MATCH(BA$2,Kraftvärmeprod!$B$1:$BX$1,0),FALSE))/$AC71,"")</f>
        <v>0</v>
      </c>
      <c r="BB71" s="77">
        <f>IF($AY71="ja",(VLOOKUP($B71,'Egen hetvattenprod'!$B$1:$BX$550,MATCH(BB$2,'Egen hetvattenprod'!$B$1:$BX$1,0),FALSE)+VLOOKUP($B71,Kraftvärmeprod!$B$1:$BX$550,MATCH(BB$2,Kraftvärmeprod!$B$1:$BX$1,0),FALSE))/$AC71,"")</f>
        <v>0</v>
      </c>
      <c r="BC71" s="77">
        <f>IF($AY71="ja",(VLOOKUP($B71,'Egen hetvattenprod'!$B$1:$BX$550,MATCH(BC$2,'Egen hetvattenprod'!$B$1:$BX$1,0),FALSE)+VLOOKUP($B71,Kraftvärmeprod!$B$1:$BX$550,MATCH(BC$2,Kraftvärmeprod!$B$1:$BX$1,0),FALSE))/$AC71,"")</f>
        <v>0</v>
      </c>
      <c r="BD71" s="77">
        <f>IF($AY71="ja",(VLOOKUP($B71,'Egen hetvattenprod'!$B$1:$BX$550,MATCH(BD$2,'Egen hetvattenprod'!$B$1:$BX$1,0),FALSE)+VLOOKUP($B71,Kraftvärmeprod!$B$1:$BX$550,MATCH(BD$2,Kraftvärmeprod!$B$1:$BX$1,0),FALSE))/$AC71,"")</f>
        <v>0</v>
      </c>
      <c r="BF71" s="63" t="str">
        <f t="shared" si="11"/>
        <v>Nej</v>
      </c>
      <c r="BG71" s="63" t="str">
        <f>IF($BF71="ja",VLOOKUP($B71,'Egen hetvattenprod'!$B$1:$BX$550,MATCH("Andelen klimatgaser med fossilt ursprung för avfall ()",'Egen hetvattenprod'!$B$1:$BX$1,0),FALSE),"")</f>
        <v/>
      </c>
      <c r="BH71" s="63" t="str">
        <f>IF($BF71="ja",VLOOKUP($B71,Kraftvärmeprod!$B$1:$BX$550,MATCH("Andelen klimatgaser med fossilt ursprung för avfall ()",Kraftvärmeprod!$B$1:$BX$1,0),FALSE),"")</f>
        <v/>
      </c>
      <c r="BI71" s="63" t="str">
        <f>IF($BF71="ja",VLOOKUP($B71,'Egen hetvattenprod'!$B$1:$BX$550,MATCH("Avfall (GWh)",'Egen hetvattenprod'!$B$1:$BX$1,0),FALSE),"")</f>
        <v/>
      </c>
      <c r="BJ71" s="63" t="str">
        <f>IF($BF71="ja",VLOOKUP($B71,'Slutlig allokering kvv'!$B$1:$BX$550,MATCH("Avfall (GWh)",'Slutlig allokering kvv'!$B$1:$BX$1,0),FALSE),"")</f>
        <v/>
      </c>
      <c r="BK71" s="63" t="str">
        <f>IF($BF71="ja",VLOOKUP($B71,'Köpt hetvatten'!$B$1:$BX$550,MATCH("Avfall i köpt hetvatten",'Köpt hetvatten'!$B$1:$BX$1,0),FALSE),"")</f>
        <v/>
      </c>
      <c r="BL71" s="63" t="str">
        <f>IF($BF71="ja",VLOOKUP($B71,'Egen hetvattenprod'!$B$1:$BX$550,MATCH("Värde enligt ovan. (%)",'Egen hetvattenprod'!$B$1:$BX$1,0),FALSE),"")</f>
        <v/>
      </c>
      <c r="BM71" s="63" t="str">
        <f>IF($BF71="ja",VLOOKUP($B71,Kraftvärmeprod!$B$1:$BX$550,MATCH("Värde enligt ovan. (%)",Kraftvärmeprod!$B$1:$BX$1,0),FALSE),"")</f>
        <v/>
      </c>
    </row>
    <row r="72" spans="1:65" x14ac:dyDescent="0.45">
      <c r="A72" s="63" t="s">
        <v>601</v>
      </c>
      <c r="B72" s="63" t="s">
        <v>600</v>
      </c>
      <c r="C72" s="63">
        <f>VLOOKUP($B72,'Tillförd energi'!$B$1:$AI$720,MATCH(C$2,'Tillförd energi'!$B$1:$AQ$1,0),FALSE)</f>
        <v>0</v>
      </c>
      <c r="D72" s="63">
        <f>VLOOKUP($B72,'Tillförd energi'!$B$1:$AI$720,MATCH(D$2,'Tillförd energi'!$B$1:$AQ$1,0),FALSE)</f>
        <v>1.6465000000000001</v>
      </c>
      <c r="E72" s="63">
        <f>VLOOKUP($B72,'Tillförd energi'!$B$1:$AI$720,MATCH(E$2,'Tillförd energi'!$B$1:$AQ$1,0),FALSE)</f>
        <v>0</v>
      </c>
      <c r="F72" s="63">
        <f>VLOOKUP($B72,'Tillförd energi'!$B$1:$AI$720,MATCH(F$2,'Tillförd energi'!$B$1:$AQ$1,0),FALSE)</f>
        <v>0</v>
      </c>
      <c r="G72" s="63">
        <f>VLOOKUP($B72,'Tillförd energi'!$B$1:$AI$720,MATCH(G$2,'Tillförd energi'!$B$1:$AQ$1,0),FALSE)</f>
        <v>0</v>
      </c>
      <c r="H72" s="63">
        <f>VLOOKUP($B72,'Tillförd energi'!$B$1:$AI$720,MATCH(H$2,'Tillförd energi'!$B$1:$AQ$1,0),FALSE)</f>
        <v>0</v>
      </c>
      <c r="I72" s="63">
        <f>VLOOKUP($B72,'Tillförd energi'!$B$1:$AI$720,MATCH(I$2,'Tillförd energi'!$B$1:$AQ$1,0),FALSE)</f>
        <v>0</v>
      </c>
      <c r="J72" s="63">
        <f>VLOOKUP($B72,'Tillförd energi'!$B$1:$AI$720,MATCH(J$2,'Tillförd energi'!$B$1:$AQ$1,0),FALSE)</f>
        <v>3</v>
      </c>
      <c r="K72" s="63">
        <f>VLOOKUP($B72,'Tillförd energi'!$B$1:$AI$720,MATCH(K$2,'Tillförd energi'!$B$1:$AQ$1,0),FALSE)</f>
        <v>0</v>
      </c>
      <c r="L72" s="63">
        <f>VLOOKUP($B72,'Tillförd energi'!$B$1:$AI$720,MATCH(L$2,'Tillförd energi'!$B$1:$AQ$1,0),FALSE)</f>
        <v>171.13399999999999</v>
      </c>
      <c r="M72" s="63">
        <f>VLOOKUP($B72,'Tillförd energi'!$B$1:$AI$720,MATCH(M$2,'Tillförd energi'!$B$1:$AQ$1,0),FALSE)</f>
        <v>0</v>
      </c>
      <c r="N72" s="63">
        <f>VLOOKUP($B72,'Tillförd energi'!$B$1:$AI$720,MATCH(N$2,'Tillförd energi'!$B$1:$AQ$1,0),FALSE)</f>
        <v>16.435199999999998</v>
      </c>
      <c r="O72" s="63">
        <f>VLOOKUP($B72,'Tillförd energi'!$B$1:$AI$720,MATCH(O$2,'Tillförd energi'!$B$1:$AQ$1,0),FALSE)</f>
        <v>0</v>
      </c>
      <c r="P72" s="63">
        <f>VLOOKUP($B72,'Tillförd energi'!$B$1:$AI$720,MATCH(P$2,'Tillförd energi'!$B$1:$AQ$1,0),FALSE)</f>
        <v>0</v>
      </c>
      <c r="Q72" s="63">
        <f>VLOOKUP($B72,'Tillförd energi'!$B$1:$AI$720,MATCH(Q$2,'Tillförd energi'!$B$1:$AQ$1,0),FALSE)</f>
        <v>0</v>
      </c>
      <c r="R72" s="63">
        <f>VLOOKUP($B72,'Tillförd energi'!$B$1:$AI$720,MATCH(R$2,'Tillförd energi'!$B$1:$AQ$1,0),FALSE)</f>
        <v>24</v>
      </c>
      <c r="S72" s="63">
        <f>VLOOKUP($B72,'Tillförd energi'!$B$1:$AI$720,MATCH(S$2,'Tillförd energi'!$B$1:$AQ$1,0),FALSE)</f>
        <v>0</v>
      </c>
      <c r="T72" s="63">
        <f>VLOOKUP($B72,'Tillförd energi'!$B$1:$AI$720,MATCH(T$2,'Tillförd energi'!$B$1:$AQ$1,0),FALSE)</f>
        <v>0</v>
      </c>
      <c r="U72" s="63">
        <f>VLOOKUP($B72,'Tillförd energi'!$B$1:$AI$720,MATCH(U$2,'Tillförd energi'!$B$1:$AQ$1,0),FALSE)</f>
        <v>0</v>
      </c>
      <c r="V72" s="63">
        <f>VLOOKUP($B72,'Tillförd energi'!$B$1:$AI$720,MATCH(V$2,'Tillförd energi'!$B$1:$AQ$1,0),FALSE)</f>
        <v>0</v>
      </c>
      <c r="W72" s="63">
        <f>VLOOKUP($B72,'Tillförd energi'!$B$1:$AI$720,MATCH(W$2,'Tillförd energi'!$B$1:$AQ$1,0),FALSE)</f>
        <v>0</v>
      </c>
      <c r="X72" s="63">
        <f>VLOOKUP($B72,'Tillförd energi'!$B$1:$AI$720,MATCH(X$2,'Tillförd energi'!$B$1:$AQ$1,0),FALSE)</f>
        <v>0</v>
      </c>
      <c r="Y72" s="63">
        <f>VLOOKUP($B72,'Tillförd energi'!$B$1:$AI$720,MATCH(Y$2,'Tillförd energi'!$B$1:$AQ$1,0),FALSE)</f>
        <v>0</v>
      </c>
      <c r="Z72" s="63">
        <f>VLOOKUP($B72,'Tillförd energi'!$B$1:$AI$720,MATCH(Z$2,'Tillförd energi'!$B$1:$AQ$1,0),FALSE)</f>
        <v>1.4999999999999999E-2</v>
      </c>
      <c r="AA72" s="63">
        <f>VLOOKUP($B72,'Tillförd energi'!$B$1:$AI$720,MATCH(AA$2,'Tillförd energi'!$B$1:$AQ$1,0),FALSE)</f>
        <v>0</v>
      </c>
      <c r="AB72" s="63">
        <f>VLOOKUP($B72,'Tillförd energi'!$B$1:$AI$720,MATCH(AB$2,'Tillförd energi'!$B$1:$AQ$1,0),FALSE)</f>
        <v>0</v>
      </c>
      <c r="AC72" s="63">
        <f>VLOOKUP($B72,'Tillförd energi'!$B$1:$AI$720,MATCH(AC$2,'Tillförd energi'!$B$1:$AQ$1,0),FALSE)</f>
        <v>0</v>
      </c>
      <c r="AD72" s="63">
        <f>VLOOKUP($B72,'Tillförd energi'!$B$1:$AI$720,MATCH(AD$2,'Tillförd energi'!$B$1:$AQ$1,0),FALSE)</f>
        <v>0</v>
      </c>
      <c r="AE72" s="63">
        <f>VLOOKUP($B72,'Tillförd energi'!$B$1:$AI$720,MATCH(AE$2,'Tillförd energi'!$B$1:$AQ$1,0),FALSE)</f>
        <v>0</v>
      </c>
      <c r="AF72" s="63">
        <f>VLOOKUP($B72,'Tillförd energi'!$B$1:$AI$720,MATCH(AF$2,'Tillförd energi'!$B$1:$AQ$1,0),FALSE)</f>
        <v>8.8507200000000008</v>
      </c>
      <c r="AG72" s="63">
        <f>IFERROR(VLOOKUP(B72,Miljö!$B$1:$AC$550,MATCH("Köpt mängd produktionsspecifik fjärrvärme:",Miljö!$B$1:$AC$1,0),FALSE)/1,0)</f>
        <v>0</v>
      </c>
      <c r="AI72" s="63">
        <f t="shared" si="6"/>
        <v>225.08141999999998</v>
      </c>
      <c r="AJ72" s="63">
        <f>IF(ISERROR(1/VLOOKUP($B72,Leveranser!$B$1:$S$500,MATCH("såld värme (gwh)",Leveranser!$B$1:$S$1,0),FALSE)),"",VLOOKUP($B72,Leveranser!$B$1:$S$500,MATCH("såld värme (gwh)",Leveranser!$B$1:$S$1,0),FALSE))</f>
        <v>213</v>
      </c>
      <c r="AM72" s="63" t="str">
        <f>IF(B72&lt;&gt;"",IF(VLOOKUP($B72,Totalt!$B$1:$AQ$554,MATCH("Kvalitetsgranskad:",Totalt!$B$1:$AQ$1,0),FALSE)="ja",VLOOKUP($B72,Miljö!$B$1:$AG$479,MATCH(AM$2,Miljö!$B$1:$AK$1,0),FALSE),""),"")</f>
        <v>Ja</v>
      </c>
      <c r="AN72" s="63" t="str">
        <f>IF(AM72="ja",VLOOKUP($B72,Miljö!$B$1:$J$479,MATCH("Typ av ursprungsspecificerad el   (Om inget värde anges används Nordisk residualmix, se inforuta) ()",Miljö!$B$1:$J$1,0),FALSE),IF(AM72="nej","Nordisk residualel",""))</f>
        <v>'Biokraft'</v>
      </c>
      <c r="AO72" s="63">
        <f>IF(AM72="","",VLOOKUP($B72,Miljö!$B$1:$J$479,MATCH("Fossilandel för ursprungspecificerad el ()",Miljö!$B$1:$J$1,0),FALSE))</f>
        <v>0.25</v>
      </c>
      <c r="AQ72" s="63">
        <f t="shared" si="7"/>
        <v>0.75</v>
      </c>
      <c r="AS72" s="63" t="str">
        <f t="shared" si="8"/>
        <v>Nej</v>
      </c>
      <c r="AT72" s="63" t="str">
        <f>IF(AS72="ja",VLOOKUP($B72,Miljö!$B$1:$P$500,MATCH("Fossil andel i procent (%)",Miljö!$B$1:$P$1,0),FALSE)/100,"")</f>
        <v/>
      </c>
      <c r="AV72" s="63" t="str">
        <f t="shared" si="9"/>
        <v>Nej</v>
      </c>
      <c r="AW72" s="63" t="str">
        <f>IF(AV72="ja",VLOOKUP($B72,'Egen hetvattenprod'!$B$1:$AO$500,MATCH("Värmekälla till värmepumpar ()",'Egen hetvattenprod'!$B$1:$AO$1,0),FALSE),"")</f>
        <v/>
      </c>
      <c r="AY72" s="63" t="str">
        <f t="shared" si="10"/>
        <v>Nej</v>
      </c>
      <c r="AZ72" s="77" t="str">
        <f>IF($AY72="ja",(VLOOKUP($B72,'Egen hetvattenprod'!$B$1:$BX$550,MATCH(AZ$2,'Egen hetvattenprod'!$B$1:$BX$1,0),FALSE)+VLOOKUP($B72,Kraftvärmeprod!$B$1:$BX$550,MATCH(AZ$2,Kraftvärmeprod!$B$1:$BX$1,0),FALSE))/$AC72,"")</f>
        <v/>
      </c>
      <c r="BA72" s="77" t="str">
        <f>IF($AY72="ja",(VLOOKUP($B72,'Egen hetvattenprod'!$B$1:$BX$550,MATCH(BA$2,'Egen hetvattenprod'!$B$1:$BX$1,0),FALSE)+VLOOKUP($B72,Kraftvärmeprod!$B$1:$BX$550,MATCH(BA$2,Kraftvärmeprod!$B$1:$BX$1,0),FALSE))/$AC72,"")</f>
        <v/>
      </c>
      <c r="BB72" s="77" t="str">
        <f>IF($AY72="ja",(VLOOKUP($B72,'Egen hetvattenprod'!$B$1:$BX$550,MATCH(BB$2,'Egen hetvattenprod'!$B$1:$BX$1,0),FALSE)+VLOOKUP($B72,Kraftvärmeprod!$B$1:$BX$550,MATCH(BB$2,Kraftvärmeprod!$B$1:$BX$1,0),FALSE))/$AC72,"")</f>
        <v/>
      </c>
      <c r="BC72" s="77" t="str">
        <f>IF($AY72="ja",(VLOOKUP($B72,'Egen hetvattenprod'!$B$1:$BX$550,MATCH(BC$2,'Egen hetvattenprod'!$B$1:$BX$1,0),FALSE)+VLOOKUP($B72,Kraftvärmeprod!$B$1:$BX$550,MATCH(BC$2,Kraftvärmeprod!$B$1:$BX$1,0),FALSE))/$AC72,"")</f>
        <v/>
      </c>
      <c r="BD72" s="77" t="str">
        <f>IF($AY72="ja",(VLOOKUP($B72,'Egen hetvattenprod'!$B$1:$BX$550,MATCH(BD$2,'Egen hetvattenprod'!$B$1:$BX$1,0),FALSE)+VLOOKUP($B72,Kraftvärmeprod!$B$1:$BX$550,MATCH(BD$2,Kraftvärmeprod!$B$1:$BX$1,0),FALSE))/$AC72,"")</f>
        <v/>
      </c>
      <c r="BF72" s="63" t="str">
        <f t="shared" si="11"/>
        <v>Nej</v>
      </c>
      <c r="BG72" s="63" t="str">
        <f>IF($BF72="ja",VLOOKUP($B72,'Egen hetvattenprod'!$B$1:$BX$550,MATCH("Andelen klimatgaser med fossilt ursprung för avfall ()",'Egen hetvattenprod'!$B$1:$BX$1,0),FALSE),"")</f>
        <v/>
      </c>
      <c r="BH72" s="63" t="str">
        <f>IF($BF72="ja",VLOOKUP($B72,Kraftvärmeprod!$B$1:$BX$550,MATCH("Andelen klimatgaser med fossilt ursprung för avfall ()",Kraftvärmeprod!$B$1:$BX$1,0),FALSE),"")</f>
        <v/>
      </c>
      <c r="BI72" s="63" t="str">
        <f>IF($BF72="ja",VLOOKUP($B72,'Egen hetvattenprod'!$B$1:$BX$550,MATCH("Avfall (GWh)",'Egen hetvattenprod'!$B$1:$BX$1,0),FALSE),"")</f>
        <v/>
      </c>
      <c r="BJ72" s="63" t="str">
        <f>IF($BF72="ja",VLOOKUP($B72,'Slutlig allokering kvv'!$B$1:$BX$550,MATCH("Avfall (GWh)",'Slutlig allokering kvv'!$B$1:$BX$1,0),FALSE),"")</f>
        <v/>
      </c>
      <c r="BK72" s="63" t="str">
        <f>IF($BF72="ja",VLOOKUP($B72,'Köpt hetvatten'!$B$1:$BX$550,MATCH("Avfall i köpt hetvatten",'Köpt hetvatten'!$B$1:$BX$1,0),FALSE),"")</f>
        <v/>
      </c>
      <c r="BL72" s="63" t="str">
        <f>IF($BF72="ja",VLOOKUP($B72,'Egen hetvattenprod'!$B$1:$BX$550,MATCH("Värde enligt ovan. (%)",'Egen hetvattenprod'!$B$1:$BX$1,0),FALSE),"")</f>
        <v/>
      </c>
      <c r="BM72" s="63" t="str">
        <f>IF($BF72="ja",VLOOKUP($B72,Kraftvärmeprod!$B$1:$BX$550,MATCH("Värde enligt ovan. (%)",Kraftvärmeprod!$B$1:$BX$1,0),FALSE),"")</f>
        <v/>
      </c>
    </row>
    <row r="73" spans="1:65" x14ac:dyDescent="0.45">
      <c r="A73" s="63" t="s">
        <v>597</v>
      </c>
      <c r="B73" s="63" t="s">
        <v>599</v>
      </c>
      <c r="C73" s="63">
        <f>VLOOKUP($B73,'Tillförd energi'!$B$1:$AI$720,MATCH(C$2,'Tillförd energi'!$B$1:$AQ$1,0),FALSE)</f>
        <v>0</v>
      </c>
      <c r="D73" s="63">
        <f>VLOOKUP($B73,'Tillförd energi'!$B$1:$AI$720,MATCH(D$2,'Tillförd energi'!$B$1:$AQ$1,0),FALSE)</f>
        <v>3.4079999999999999</v>
      </c>
      <c r="E73" s="63">
        <f>VLOOKUP($B73,'Tillförd energi'!$B$1:$AI$720,MATCH(E$2,'Tillförd energi'!$B$1:$AQ$1,0),FALSE)</f>
        <v>0</v>
      </c>
      <c r="F73" s="63">
        <f>VLOOKUP($B73,'Tillförd energi'!$B$1:$AI$720,MATCH(F$2,'Tillförd energi'!$B$1:$AQ$1,0),FALSE)</f>
        <v>3.319</v>
      </c>
      <c r="G73" s="63">
        <f>VLOOKUP($B73,'Tillförd energi'!$B$1:$AI$720,MATCH(G$2,'Tillförd energi'!$B$1:$AQ$1,0),FALSE)</f>
        <v>0</v>
      </c>
      <c r="H73" s="63">
        <f>VLOOKUP($B73,'Tillförd energi'!$B$1:$AI$720,MATCH(H$2,'Tillförd energi'!$B$1:$AQ$1,0),FALSE)</f>
        <v>0</v>
      </c>
      <c r="I73" s="63">
        <f>VLOOKUP($B73,'Tillförd energi'!$B$1:$AI$720,MATCH(I$2,'Tillförd energi'!$B$1:$AQ$1,0),FALSE)</f>
        <v>0</v>
      </c>
      <c r="J73" s="63">
        <f>VLOOKUP($B73,'Tillförd energi'!$B$1:$AI$720,MATCH(J$2,'Tillförd energi'!$B$1:$AQ$1,0),FALSE)</f>
        <v>0</v>
      </c>
      <c r="K73" s="63">
        <f>VLOOKUP($B73,'Tillförd energi'!$B$1:$AI$720,MATCH(K$2,'Tillförd energi'!$B$1:$AQ$1,0),FALSE)</f>
        <v>0</v>
      </c>
      <c r="L73" s="63">
        <f>VLOOKUP($B73,'Tillförd energi'!$B$1:$AI$720,MATCH(L$2,'Tillförd energi'!$B$1:$AQ$1,0),FALSE)</f>
        <v>0</v>
      </c>
      <c r="M73" s="63">
        <f>VLOOKUP($B73,'Tillförd energi'!$B$1:$AI$720,MATCH(M$2,'Tillförd energi'!$B$1:$AQ$1,0),FALSE)</f>
        <v>129.46600000000001</v>
      </c>
      <c r="N73" s="63">
        <f>VLOOKUP($B73,'Tillförd energi'!$B$1:$AI$720,MATCH(N$2,'Tillförd energi'!$B$1:$AQ$1,0),FALSE)</f>
        <v>407.33</v>
      </c>
      <c r="O73" s="63">
        <f>VLOOKUP($B73,'Tillförd energi'!$B$1:$AI$720,MATCH(O$2,'Tillförd energi'!$B$1:$AQ$1,0),FALSE)</f>
        <v>0</v>
      </c>
      <c r="P73" s="63">
        <f>VLOOKUP($B73,'Tillförd energi'!$B$1:$AI$720,MATCH(P$2,'Tillförd energi'!$B$1:$AQ$1,0),FALSE)</f>
        <v>0</v>
      </c>
      <c r="Q73" s="63">
        <f>VLOOKUP($B73,'Tillförd energi'!$B$1:$AI$720,MATCH(Q$2,'Tillförd energi'!$B$1:$AQ$1,0),FALSE)</f>
        <v>0</v>
      </c>
      <c r="R73" s="63">
        <f>VLOOKUP($B73,'Tillförd energi'!$B$1:$AI$720,MATCH(R$2,'Tillförd energi'!$B$1:$AQ$1,0),FALSE)</f>
        <v>0</v>
      </c>
      <c r="S73" s="63">
        <f>VLOOKUP($B73,'Tillförd energi'!$B$1:$AI$720,MATCH(S$2,'Tillförd energi'!$B$1:$AQ$1,0),FALSE)</f>
        <v>0</v>
      </c>
      <c r="T73" s="63">
        <f>VLOOKUP($B73,'Tillförd energi'!$B$1:$AI$720,MATCH(T$2,'Tillförd energi'!$B$1:$AQ$1,0),FALSE)</f>
        <v>0</v>
      </c>
      <c r="U73" s="63">
        <f>VLOOKUP($B73,'Tillförd energi'!$B$1:$AI$720,MATCH(U$2,'Tillförd energi'!$B$1:$AQ$1,0),FALSE)</f>
        <v>0</v>
      </c>
      <c r="V73" s="63">
        <f>VLOOKUP($B73,'Tillförd energi'!$B$1:$AI$720,MATCH(V$2,'Tillförd energi'!$B$1:$AQ$1,0),FALSE)</f>
        <v>0</v>
      </c>
      <c r="W73" s="63">
        <f>VLOOKUP($B73,'Tillförd energi'!$B$1:$AI$720,MATCH(W$2,'Tillförd energi'!$B$1:$AQ$1,0),FALSE)</f>
        <v>3.0409999999999999</v>
      </c>
      <c r="X73" s="63">
        <f>VLOOKUP($B73,'Tillförd energi'!$B$1:$AI$720,MATCH(X$2,'Tillförd energi'!$B$1:$AQ$1,0),FALSE)</f>
        <v>0</v>
      </c>
      <c r="Y73" s="63">
        <f>VLOOKUP($B73,'Tillförd energi'!$B$1:$AI$720,MATCH(Y$2,'Tillförd energi'!$B$1:$AQ$1,0),FALSE)</f>
        <v>0</v>
      </c>
      <c r="Z73" s="63">
        <f>VLOOKUP($B73,'Tillförd energi'!$B$1:$AI$720,MATCH(Z$2,'Tillförd energi'!$B$1:$AQ$1,0),FALSE)</f>
        <v>0</v>
      </c>
      <c r="AA73" s="63">
        <f>VLOOKUP($B73,'Tillförd energi'!$B$1:$AI$720,MATCH(AA$2,'Tillförd energi'!$B$1:$AQ$1,0),FALSE)</f>
        <v>0</v>
      </c>
      <c r="AB73" s="63">
        <f>VLOOKUP($B73,'Tillförd energi'!$B$1:$AI$720,MATCH(AB$2,'Tillförd energi'!$B$1:$AQ$1,0),FALSE)</f>
        <v>0</v>
      </c>
      <c r="AC73" s="63">
        <f>VLOOKUP($B73,'Tillförd energi'!$B$1:$AI$720,MATCH(AC$2,'Tillförd energi'!$B$1:$AQ$1,0),FALSE)</f>
        <v>136.28</v>
      </c>
      <c r="AD73" s="63">
        <f>VLOOKUP($B73,'Tillförd energi'!$B$1:$AI$720,MATCH(AD$2,'Tillförd energi'!$B$1:$AQ$1,0),FALSE)</f>
        <v>0</v>
      </c>
      <c r="AE73" s="63">
        <f>VLOOKUP($B73,'Tillförd energi'!$B$1:$AI$720,MATCH(AE$2,'Tillförd energi'!$B$1:$AQ$1,0),FALSE)</f>
        <v>0</v>
      </c>
      <c r="AF73" s="63">
        <f>VLOOKUP($B73,'Tillförd energi'!$B$1:$AI$720,MATCH(AF$2,'Tillförd energi'!$B$1:$AQ$1,0),FALSE)</f>
        <v>27.0275</v>
      </c>
      <c r="AG73" s="63">
        <f>IFERROR(VLOOKUP(B73,Miljö!$B$1:$AC$550,MATCH("Köpt mängd produktionsspecifik fjärrvärme:",Miljö!$B$1:$AC$1,0),FALSE)/1,0)</f>
        <v>0</v>
      </c>
      <c r="AI73" s="63">
        <f t="shared" si="6"/>
        <v>709.87150000000008</v>
      </c>
      <c r="AJ73" s="63">
        <f>IF(ISERROR(1/VLOOKUP($B73,Leveranser!$B$1:$S$500,MATCH("såld värme (gwh)",Leveranser!$B$1:$S$1,0),FALSE)),"",VLOOKUP($B73,Leveranser!$B$1:$S$500,MATCH("såld värme (gwh)",Leveranser!$B$1:$S$1,0),FALSE))</f>
        <v>640.34</v>
      </c>
      <c r="AM73" s="63" t="str">
        <f>IF(B73&lt;&gt;"",IF(VLOOKUP($B73,Totalt!$B$1:$AQ$554,MATCH("Kvalitetsgranskad:",Totalt!$B$1:$AQ$1,0),FALSE)="ja",VLOOKUP($B73,Miljö!$B$1:$AG$479,MATCH(AM$2,Miljö!$B$1:$AK$1,0),FALSE),""),"")</f>
        <v>Ja</v>
      </c>
      <c r="AN73" s="63" t="str">
        <f>IF(AM73="ja",VLOOKUP($B73,Miljö!$B$1:$J$479,MATCH("Typ av ursprungsspecificerad el   (Om inget värde anges används Nordisk residualmix, se inforuta) ()",Miljö!$B$1:$J$1,0),FALSE),IF(AM73="nej","Nordisk residualel",""))</f>
        <v>'Eskilstuna Bioel'</v>
      </c>
      <c r="AO73" s="63">
        <f>IF(AM73="","",VLOOKUP($B73,Miljö!$B$1:$J$479,MATCH("Fossilandel för ursprungspecificerad el ()",Miljö!$B$1:$J$1,0),FALSE))</f>
        <v>0</v>
      </c>
      <c r="AQ73" s="63">
        <f t="shared" si="7"/>
        <v>1</v>
      </c>
      <c r="AS73" s="63" t="str">
        <f t="shared" si="8"/>
        <v>Nej</v>
      </c>
      <c r="AT73" s="63" t="str">
        <f>IF(AS73="ja",VLOOKUP($B73,Miljö!$B$1:$P$500,MATCH("Fossil andel i procent (%)",Miljö!$B$1:$P$1,0),FALSE)/100,"")</f>
        <v/>
      </c>
      <c r="AV73" s="63" t="str">
        <f t="shared" si="9"/>
        <v>Nej</v>
      </c>
      <c r="AW73" s="63" t="str">
        <f>IF(AV73="ja",VLOOKUP($B73,'Egen hetvattenprod'!$B$1:$AO$500,MATCH("Värmekälla till värmepumpar ()",'Egen hetvattenprod'!$B$1:$AO$1,0),FALSE),"")</f>
        <v/>
      </c>
      <c r="AY73" s="63" t="str">
        <f t="shared" si="10"/>
        <v>Ja</v>
      </c>
      <c r="AZ73" s="77">
        <f>IF($AY73="ja",(VLOOKUP($B73,'Egen hetvattenprod'!$B$1:$BX$550,MATCH(AZ$2,'Egen hetvattenprod'!$B$1:$BX$1,0),FALSE)+VLOOKUP($B73,Kraftvärmeprod!$B$1:$BX$550,MATCH(AZ$2,Kraftvärmeprod!$B$1:$BX$1,0),FALSE))/$AC73,"")</f>
        <v>1</v>
      </c>
      <c r="BA73" s="77">
        <f>IF($AY73="ja",(VLOOKUP($B73,'Egen hetvattenprod'!$B$1:$BX$550,MATCH(BA$2,'Egen hetvattenprod'!$B$1:$BX$1,0),FALSE)+VLOOKUP($B73,Kraftvärmeprod!$B$1:$BX$550,MATCH(BA$2,Kraftvärmeprod!$B$1:$BX$1,0),FALSE))/$AC73,"")</f>
        <v>0</v>
      </c>
      <c r="BB73" s="77">
        <f>IF($AY73="ja",(VLOOKUP($B73,'Egen hetvattenprod'!$B$1:$BX$550,MATCH(BB$2,'Egen hetvattenprod'!$B$1:$BX$1,0),FALSE)+VLOOKUP($B73,Kraftvärmeprod!$B$1:$BX$550,MATCH(BB$2,Kraftvärmeprod!$B$1:$BX$1,0),FALSE))/$AC73,"")</f>
        <v>0</v>
      </c>
      <c r="BC73" s="77">
        <f>IF($AY73="ja",(VLOOKUP($B73,'Egen hetvattenprod'!$B$1:$BX$550,MATCH(BC$2,'Egen hetvattenprod'!$B$1:$BX$1,0),FALSE)+VLOOKUP($B73,Kraftvärmeprod!$B$1:$BX$550,MATCH(BC$2,Kraftvärmeprod!$B$1:$BX$1,0),FALSE))/$AC73,"")</f>
        <v>0</v>
      </c>
      <c r="BD73" s="77">
        <f>IF($AY73="ja",(VLOOKUP($B73,'Egen hetvattenprod'!$B$1:$BX$550,MATCH(BD$2,'Egen hetvattenprod'!$B$1:$BX$1,0),FALSE)+VLOOKUP($B73,Kraftvärmeprod!$B$1:$BX$550,MATCH(BD$2,Kraftvärmeprod!$B$1:$BX$1,0),FALSE))/$AC73,"")</f>
        <v>0</v>
      </c>
      <c r="BF73" s="63" t="str">
        <f t="shared" si="11"/>
        <v>Nej</v>
      </c>
      <c r="BG73" s="63" t="str">
        <f>IF($BF73="ja",VLOOKUP($B73,'Egen hetvattenprod'!$B$1:$BX$550,MATCH("Andelen klimatgaser med fossilt ursprung för avfall ()",'Egen hetvattenprod'!$B$1:$BX$1,0),FALSE),"")</f>
        <v/>
      </c>
      <c r="BH73" s="63" t="str">
        <f>IF($BF73="ja",VLOOKUP($B73,Kraftvärmeprod!$B$1:$BX$550,MATCH("Andelen klimatgaser med fossilt ursprung för avfall ()",Kraftvärmeprod!$B$1:$BX$1,0),FALSE),"")</f>
        <v/>
      </c>
      <c r="BI73" s="63" t="str">
        <f>IF($BF73="ja",VLOOKUP($B73,'Egen hetvattenprod'!$B$1:$BX$550,MATCH("Avfall (GWh)",'Egen hetvattenprod'!$B$1:$BX$1,0),FALSE),"")</f>
        <v/>
      </c>
      <c r="BJ73" s="63" t="str">
        <f>IF($BF73="ja",VLOOKUP($B73,'Slutlig allokering kvv'!$B$1:$BX$550,MATCH("Avfall (GWh)",'Slutlig allokering kvv'!$B$1:$BX$1,0),FALSE),"")</f>
        <v/>
      </c>
      <c r="BK73" s="63" t="str">
        <f>IF($BF73="ja",VLOOKUP($B73,'Köpt hetvatten'!$B$1:$BX$550,MATCH("Avfall i köpt hetvatten",'Köpt hetvatten'!$B$1:$BX$1,0),FALSE),"")</f>
        <v/>
      </c>
      <c r="BL73" s="63" t="str">
        <f>IF($BF73="ja",VLOOKUP($B73,'Egen hetvattenprod'!$B$1:$BX$550,MATCH("Värde enligt ovan. (%)",'Egen hetvattenprod'!$B$1:$BX$1,0),FALSE),"")</f>
        <v/>
      </c>
      <c r="BM73" s="63" t="str">
        <f>IF($BF73="ja",VLOOKUP($B73,Kraftvärmeprod!$B$1:$BX$550,MATCH("Värde enligt ovan. (%)",Kraftvärmeprod!$B$1:$BX$1,0),FALSE),"")</f>
        <v/>
      </c>
    </row>
    <row r="74" spans="1:65" x14ac:dyDescent="0.45">
      <c r="A74" s="63" t="s">
        <v>597</v>
      </c>
      <c r="B74" s="63" t="s">
        <v>598</v>
      </c>
      <c r="C74" s="63">
        <f>VLOOKUP($B74,'Tillförd energi'!$B$1:$AI$720,MATCH(C$2,'Tillförd energi'!$B$1:$AQ$1,0),FALSE)</f>
        <v>0</v>
      </c>
      <c r="D74" s="63">
        <f>VLOOKUP($B74,'Tillförd energi'!$B$1:$AI$720,MATCH(D$2,'Tillförd energi'!$B$1:$AQ$1,0),FALSE)</f>
        <v>0.14199999999999999</v>
      </c>
      <c r="E74" s="63">
        <f>VLOOKUP($B74,'Tillförd energi'!$B$1:$AI$720,MATCH(E$2,'Tillförd energi'!$B$1:$AQ$1,0),FALSE)</f>
        <v>0</v>
      </c>
      <c r="F74" s="63">
        <f>VLOOKUP($B74,'Tillförd energi'!$B$1:$AI$720,MATCH(F$2,'Tillförd energi'!$B$1:$AQ$1,0),FALSE)</f>
        <v>0</v>
      </c>
      <c r="G74" s="63">
        <f>VLOOKUP($B74,'Tillförd energi'!$B$1:$AI$720,MATCH(G$2,'Tillförd energi'!$B$1:$AQ$1,0),FALSE)</f>
        <v>0</v>
      </c>
      <c r="H74" s="63">
        <f>VLOOKUP($B74,'Tillförd energi'!$B$1:$AI$720,MATCH(H$2,'Tillförd energi'!$B$1:$AQ$1,0),FALSE)</f>
        <v>0</v>
      </c>
      <c r="I74" s="63">
        <f>VLOOKUP($B74,'Tillförd energi'!$B$1:$AI$720,MATCH(I$2,'Tillförd energi'!$B$1:$AQ$1,0),FALSE)</f>
        <v>0</v>
      </c>
      <c r="J74" s="63">
        <f>VLOOKUP($B74,'Tillförd energi'!$B$1:$AI$720,MATCH(J$2,'Tillförd energi'!$B$1:$AQ$1,0),FALSE)</f>
        <v>0</v>
      </c>
      <c r="K74" s="63">
        <f>VLOOKUP($B74,'Tillförd energi'!$B$1:$AI$720,MATCH(K$2,'Tillförd energi'!$B$1:$AQ$1,0),FALSE)</f>
        <v>0</v>
      </c>
      <c r="L74" s="63">
        <f>VLOOKUP($B74,'Tillförd energi'!$B$1:$AI$720,MATCH(L$2,'Tillförd energi'!$B$1:$AQ$1,0),FALSE)</f>
        <v>0</v>
      </c>
      <c r="M74" s="63">
        <f>VLOOKUP($B74,'Tillförd energi'!$B$1:$AI$720,MATCH(M$2,'Tillförd energi'!$B$1:$AQ$1,0),FALSE)</f>
        <v>0</v>
      </c>
      <c r="N74" s="63">
        <f>VLOOKUP($B74,'Tillförd energi'!$B$1:$AI$720,MATCH(N$2,'Tillförd energi'!$B$1:$AQ$1,0),FALSE)</f>
        <v>0</v>
      </c>
      <c r="O74" s="63">
        <f>VLOOKUP($B74,'Tillförd energi'!$B$1:$AI$720,MATCH(O$2,'Tillförd energi'!$B$1:$AQ$1,0),FALSE)</f>
        <v>0</v>
      </c>
      <c r="P74" s="63">
        <f>VLOOKUP($B74,'Tillförd energi'!$B$1:$AI$720,MATCH(P$2,'Tillförd energi'!$B$1:$AQ$1,0),FALSE)</f>
        <v>0</v>
      </c>
      <c r="Q74" s="63">
        <f>VLOOKUP($B74,'Tillförd energi'!$B$1:$AI$720,MATCH(Q$2,'Tillförd energi'!$B$1:$AQ$1,0),FALSE)</f>
        <v>0</v>
      </c>
      <c r="R74" s="63">
        <f>VLOOKUP($B74,'Tillförd energi'!$B$1:$AI$720,MATCH(R$2,'Tillförd energi'!$B$1:$AQ$1,0),FALSE)</f>
        <v>0.71499999999999997</v>
      </c>
      <c r="S74" s="63">
        <f>VLOOKUP($B74,'Tillförd energi'!$B$1:$AI$720,MATCH(S$2,'Tillförd energi'!$B$1:$AQ$1,0),FALSE)</f>
        <v>0</v>
      </c>
      <c r="T74" s="63">
        <f>VLOOKUP($B74,'Tillförd energi'!$B$1:$AI$720,MATCH(T$2,'Tillförd energi'!$B$1:$AQ$1,0),FALSE)</f>
        <v>0</v>
      </c>
      <c r="U74" s="63">
        <f>VLOOKUP($B74,'Tillförd energi'!$B$1:$AI$720,MATCH(U$2,'Tillförd energi'!$B$1:$AQ$1,0),FALSE)</f>
        <v>0</v>
      </c>
      <c r="V74" s="63">
        <f>VLOOKUP($B74,'Tillförd energi'!$B$1:$AI$720,MATCH(V$2,'Tillförd energi'!$B$1:$AQ$1,0),FALSE)</f>
        <v>0</v>
      </c>
      <c r="W74" s="63">
        <f>VLOOKUP($B74,'Tillförd energi'!$B$1:$AI$720,MATCH(W$2,'Tillförd energi'!$B$1:$AQ$1,0),FALSE)</f>
        <v>0</v>
      </c>
      <c r="X74" s="63">
        <f>VLOOKUP($B74,'Tillförd energi'!$B$1:$AI$720,MATCH(X$2,'Tillförd energi'!$B$1:$AQ$1,0),FALSE)</f>
        <v>0</v>
      </c>
      <c r="Y74" s="63">
        <f>VLOOKUP($B74,'Tillförd energi'!$B$1:$AI$720,MATCH(Y$2,'Tillförd energi'!$B$1:$AQ$1,0),FALSE)</f>
        <v>0</v>
      </c>
      <c r="Z74" s="63">
        <f>VLOOKUP($B74,'Tillförd energi'!$B$1:$AI$720,MATCH(Z$2,'Tillförd energi'!$B$1:$AQ$1,0),FALSE)</f>
        <v>0</v>
      </c>
      <c r="AA74" s="63">
        <f>VLOOKUP($B74,'Tillförd energi'!$B$1:$AI$720,MATCH(AA$2,'Tillförd energi'!$B$1:$AQ$1,0),FALSE)</f>
        <v>0</v>
      </c>
      <c r="AB74" s="63">
        <f>VLOOKUP($B74,'Tillförd energi'!$B$1:$AI$720,MATCH(AB$2,'Tillförd energi'!$B$1:$AQ$1,0),FALSE)</f>
        <v>0</v>
      </c>
      <c r="AC74" s="63">
        <f>VLOOKUP($B74,'Tillförd energi'!$B$1:$AI$720,MATCH(AC$2,'Tillförd energi'!$B$1:$AQ$1,0),FALSE)</f>
        <v>0</v>
      </c>
      <c r="AD74" s="63">
        <f>VLOOKUP($B74,'Tillförd energi'!$B$1:$AI$720,MATCH(AD$2,'Tillförd energi'!$B$1:$AQ$1,0),FALSE)</f>
        <v>0</v>
      </c>
      <c r="AE74" s="63">
        <f>VLOOKUP($B74,'Tillförd energi'!$B$1:$AI$720,MATCH(AE$2,'Tillförd energi'!$B$1:$AQ$1,0),FALSE)</f>
        <v>0</v>
      </c>
      <c r="AF74" s="63">
        <f>VLOOKUP($B74,'Tillförd energi'!$B$1:$AI$720,MATCH(AF$2,'Tillförd energi'!$B$1:$AQ$1,0),FALSE)</f>
        <v>1.7000000000000001E-2</v>
      </c>
      <c r="AG74" s="63">
        <f>IFERROR(VLOOKUP(B74,Miljö!$B$1:$AC$550,MATCH("Köpt mängd produktionsspecifik fjärrvärme:",Miljö!$B$1:$AC$1,0),FALSE)/1,0)</f>
        <v>0</v>
      </c>
      <c r="AI74" s="63">
        <f t="shared" si="6"/>
        <v>0.874</v>
      </c>
      <c r="AJ74" s="63">
        <f>IF(ISERROR(1/VLOOKUP($B74,Leveranser!$B$1:$S$500,MATCH("såld värme (gwh)",Leveranser!$B$1:$S$1,0),FALSE)),"",VLOOKUP($B74,Leveranser!$B$1:$S$500,MATCH("såld värme (gwh)",Leveranser!$B$1:$S$1,0),FALSE))</f>
        <v>0.77500000000000002</v>
      </c>
      <c r="AM74" s="63" t="str">
        <f>IF(B74&lt;&gt;"",IF(VLOOKUP($B74,Totalt!$B$1:$AQ$554,MATCH("Kvalitetsgranskad:",Totalt!$B$1:$AQ$1,0),FALSE)="ja",VLOOKUP($B74,Miljö!$B$1:$AG$479,MATCH(AM$2,Miljö!$B$1:$AK$1,0),FALSE),""),"")</f>
        <v>Ja</v>
      </c>
      <c r="AN74" s="63" t="str">
        <f>IF(AM74="ja",VLOOKUP($B74,Miljö!$B$1:$J$479,MATCH("Typ av ursprungsspecificerad el   (Om inget värde anges används Nordisk residualmix, se inforuta) ()",Miljö!$B$1:$J$1,0),FALSE),IF(AM74="nej","Nordisk residualel",""))</f>
        <v>'Eskilstuna Bioel'</v>
      </c>
      <c r="AO74" s="63">
        <f>IF(AM74="","",VLOOKUP($B74,Miljö!$B$1:$J$479,MATCH("Fossilandel för ursprungspecificerad el ()",Miljö!$B$1:$J$1,0),FALSE))</f>
        <v>0</v>
      </c>
      <c r="AQ74" s="63">
        <f t="shared" si="7"/>
        <v>1</v>
      </c>
      <c r="AS74" s="63" t="str">
        <f t="shared" si="8"/>
        <v>Nej</v>
      </c>
      <c r="AT74" s="63" t="str">
        <f>IF(AS74="ja",VLOOKUP($B74,Miljö!$B$1:$P$500,MATCH("Fossil andel i procent (%)",Miljö!$B$1:$P$1,0),FALSE)/100,"")</f>
        <v/>
      </c>
      <c r="AV74" s="63" t="str">
        <f t="shared" si="9"/>
        <v>Nej</v>
      </c>
      <c r="AW74" s="63" t="str">
        <f>IF(AV74="ja",VLOOKUP($B74,'Egen hetvattenprod'!$B$1:$AO$500,MATCH("Värmekälla till värmepumpar ()",'Egen hetvattenprod'!$B$1:$AO$1,0),FALSE),"")</f>
        <v/>
      </c>
      <c r="AY74" s="63" t="str">
        <f t="shared" si="10"/>
        <v>Nej</v>
      </c>
      <c r="AZ74" s="77" t="str">
        <f>IF($AY74="ja",(VLOOKUP($B74,'Egen hetvattenprod'!$B$1:$BX$550,MATCH(AZ$2,'Egen hetvattenprod'!$B$1:$BX$1,0),FALSE)+VLOOKUP($B74,Kraftvärmeprod!$B$1:$BX$550,MATCH(AZ$2,Kraftvärmeprod!$B$1:$BX$1,0),FALSE))/$AC74,"")</f>
        <v/>
      </c>
      <c r="BA74" s="77" t="str">
        <f>IF($AY74="ja",(VLOOKUP($B74,'Egen hetvattenprod'!$B$1:$BX$550,MATCH(BA$2,'Egen hetvattenprod'!$B$1:$BX$1,0),FALSE)+VLOOKUP($B74,Kraftvärmeprod!$B$1:$BX$550,MATCH(BA$2,Kraftvärmeprod!$B$1:$BX$1,0),FALSE))/$AC74,"")</f>
        <v/>
      </c>
      <c r="BB74" s="77" t="str">
        <f>IF($AY74="ja",(VLOOKUP($B74,'Egen hetvattenprod'!$B$1:$BX$550,MATCH(BB$2,'Egen hetvattenprod'!$B$1:$BX$1,0),FALSE)+VLOOKUP($B74,Kraftvärmeprod!$B$1:$BX$550,MATCH(BB$2,Kraftvärmeprod!$B$1:$BX$1,0),FALSE))/$AC74,"")</f>
        <v/>
      </c>
      <c r="BC74" s="77" t="str">
        <f>IF($AY74="ja",(VLOOKUP($B74,'Egen hetvattenprod'!$B$1:$BX$550,MATCH(BC$2,'Egen hetvattenprod'!$B$1:$BX$1,0),FALSE)+VLOOKUP($B74,Kraftvärmeprod!$B$1:$BX$550,MATCH(BC$2,Kraftvärmeprod!$B$1:$BX$1,0),FALSE))/$AC74,"")</f>
        <v/>
      </c>
      <c r="BD74" s="77" t="str">
        <f>IF($AY74="ja",(VLOOKUP($B74,'Egen hetvattenprod'!$B$1:$BX$550,MATCH(BD$2,'Egen hetvattenprod'!$B$1:$BX$1,0),FALSE)+VLOOKUP($B74,Kraftvärmeprod!$B$1:$BX$550,MATCH(BD$2,Kraftvärmeprod!$B$1:$BX$1,0),FALSE))/$AC74,"")</f>
        <v/>
      </c>
      <c r="BF74" s="63" t="str">
        <f t="shared" si="11"/>
        <v>Nej</v>
      </c>
      <c r="BG74" s="63" t="str">
        <f>IF($BF74="ja",VLOOKUP($B74,'Egen hetvattenprod'!$B$1:$BX$550,MATCH("Andelen klimatgaser med fossilt ursprung för avfall ()",'Egen hetvattenprod'!$B$1:$BX$1,0),FALSE),"")</f>
        <v/>
      </c>
      <c r="BH74" s="63" t="str">
        <f>IF($BF74="ja",VLOOKUP($B74,Kraftvärmeprod!$B$1:$BX$550,MATCH("Andelen klimatgaser med fossilt ursprung för avfall ()",Kraftvärmeprod!$B$1:$BX$1,0),FALSE),"")</f>
        <v/>
      </c>
      <c r="BI74" s="63" t="str">
        <f>IF($BF74="ja",VLOOKUP($B74,'Egen hetvattenprod'!$B$1:$BX$550,MATCH("Avfall (GWh)",'Egen hetvattenprod'!$B$1:$BX$1,0),FALSE),"")</f>
        <v/>
      </c>
      <c r="BJ74" s="63" t="str">
        <f>IF($BF74="ja",VLOOKUP($B74,'Slutlig allokering kvv'!$B$1:$BX$550,MATCH("Avfall (GWh)",'Slutlig allokering kvv'!$B$1:$BX$1,0),FALSE),"")</f>
        <v/>
      </c>
      <c r="BK74" s="63" t="str">
        <f>IF($BF74="ja",VLOOKUP($B74,'Köpt hetvatten'!$B$1:$BX$550,MATCH("Avfall i köpt hetvatten",'Köpt hetvatten'!$B$1:$BX$1,0),FALSE),"")</f>
        <v/>
      </c>
      <c r="BL74" s="63" t="str">
        <f>IF($BF74="ja",VLOOKUP($B74,'Egen hetvattenprod'!$B$1:$BX$550,MATCH("Värde enligt ovan. (%)",'Egen hetvattenprod'!$B$1:$BX$1,0),FALSE),"")</f>
        <v/>
      </c>
      <c r="BM74" s="63" t="str">
        <f>IF($BF74="ja",VLOOKUP($B74,Kraftvärmeprod!$B$1:$BX$550,MATCH("Värde enligt ovan. (%)",Kraftvärmeprod!$B$1:$BX$1,0),FALSE),"")</f>
        <v/>
      </c>
    </row>
    <row r="75" spans="1:65" x14ac:dyDescent="0.45">
      <c r="A75" s="63" t="s">
        <v>597</v>
      </c>
      <c r="B75" s="63" t="s">
        <v>596</v>
      </c>
      <c r="C75" s="63">
        <f>VLOOKUP($B75,'Tillförd energi'!$B$1:$AI$720,MATCH(C$2,'Tillförd energi'!$B$1:$AQ$1,0),FALSE)</f>
        <v>0</v>
      </c>
      <c r="D75" s="63">
        <f>VLOOKUP($B75,'Tillförd energi'!$B$1:$AI$720,MATCH(D$2,'Tillförd energi'!$B$1:$AQ$1,0),FALSE)</f>
        <v>0</v>
      </c>
      <c r="E75" s="63">
        <f>VLOOKUP($B75,'Tillförd energi'!$B$1:$AI$720,MATCH(E$2,'Tillförd energi'!$B$1:$AQ$1,0),FALSE)</f>
        <v>0</v>
      </c>
      <c r="F75" s="63">
        <f>VLOOKUP($B75,'Tillförd energi'!$B$1:$AI$720,MATCH(F$2,'Tillförd energi'!$B$1:$AQ$1,0),FALSE)</f>
        <v>0</v>
      </c>
      <c r="G75" s="63">
        <f>VLOOKUP($B75,'Tillförd energi'!$B$1:$AI$720,MATCH(G$2,'Tillförd energi'!$B$1:$AQ$1,0),FALSE)</f>
        <v>0</v>
      </c>
      <c r="H75" s="63">
        <f>VLOOKUP($B75,'Tillförd energi'!$B$1:$AI$720,MATCH(H$2,'Tillförd energi'!$B$1:$AQ$1,0),FALSE)</f>
        <v>0</v>
      </c>
      <c r="I75" s="63">
        <f>VLOOKUP($B75,'Tillförd energi'!$B$1:$AI$720,MATCH(I$2,'Tillförd energi'!$B$1:$AQ$1,0),FALSE)</f>
        <v>0</v>
      </c>
      <c r="J75" s="63">
        <f>VLOOKUP($B75,'Tillförd energi'!$B$1:$AI$720,MATCH(J$2,'Tillförd energi'!$B$1:$AQ$1,0),FALSE)</f>
        <v>0</v>
      </c>
      <c r="K75" s="63">
        <f>VLOOKUP($B75,'Tillförd energi'!$B$1:$AI$720,MATCH(K$2,'Tillförd energi'!$B$1:$AQ$1,0),FALSE)</f>
        <v>0</v>
      </c>
      <c r="L75" s="63">
        <f>VLOOKUP($B75,'Tillförd energi'!$B$1:$AI$720,MATCH(L$2,'Tillförd energi'!$B$1:$AQ$1,0),FALSE)</f>
        <v>0</v>
      </c>
      <c r="M75" s="63">
        <f>VLOOKUP($B75,'Tillförd energi'!$B$1:$AI$720,MATCH(M$2,'Tillförd energi'!$B$1:$AQ$1,0),FALSE)</f>
        <v>0</v>
      </c>
      <c r="N75" s="63">
        <f>VLOOKUP($B75,'Tillförd energi'!$B$1:$AI$720,MATCH(N$2,'Tillförd energi'!$B$1:$AQ$1,0),FALSE)</f>
        <v>0</v>
      </c>
      <c r="O75" s="63">
        <f>VLOOKUP($B75,'Tillförd energi'!$B$1:$AI$720,MATCH(O$2,'Tillförd energi'!$B$1:$AQ$1,0),FALSE)</f>
        <v>0</v>
      </c>
      <c r="P75" s="63">
        <f>VLOOKUP($B75,'Tillförd energi'!$B$1:$AI$720,MATCH(P$2,'Tillförd energi'!$B$1:$AQ$1,0),FALSE)</f>
        <v>0</v>
      </c>
      <c r="Q75" s="63">
        <f>VLOOKUP($B75,'Tillförd energi'!$B$1:$AI$720,MATCH(Q$2,'Tillförd energi'!$B$1:$AQ$1,0),FALSE)</f>
        <v>0</v>
      </c>
      <c r="R75" s="63">
        <f>VLOOKUP($B75,'Tillförd energi'!$B$1:$AI$720,MATCH(R$2,'Tillförd energi'!$B$1:$AQ$1,0),FALSE)</f>
        <v>5.194</v>
      </c>
      <c r="S75" s="63">
        <f>VLOOKUP($B75,'Tillförd energi'!$B$1:$AI$720,MATCH(S$2,'Tillförd energi'!$B$1:$AQ$1,0),FALSE)</f>
        <v>0</v>
      </c>
      <c r="T75" s="63">
        <f>VLOOKUP($B75,'Tillförd energi'!$B$1:$AI$720,MATCH(T$2,'Tillförd energi'!$B$1:$AQ$1,0),FALSE)</f>
        <v>0</v>
      </c>
      <c r="U75" s="63">
        <f>VLOOKUP($B75,'Tillförd energi'!$B$1:$AI$720,MATCH(U$2,'Tillförd energi'!$B$1:$AQ$1,0),FALSE)</f>
        <v>0</v>
      </c>
      <c r="V75" s="63">
        <f>VLOOKUP($B75,'Tillförd energi'!$B$1:$AI$720,MATCH(V$2,'Tillförd energi'!$B$1:$AQ$1,0),FALSE)</f>
        <v>0</v>
      </c>
      <c r="W75" s="63">
        <f>VLOOKUP($B75,'Tillförd energi'!$B$1:$AI$720,MATCH(W$2,'Tillförd energi'!$B$1:$AQ$1,0),FALSE)</f>
        <v>3.6230000000000002</v>
      </c>
      <c r="X75" s="63">
        <f>VLOOKUP($B75,'Tillförd energi'!$B$1:$AI$720,MATCH(X$2,'Tillförd energi'!$B$1:$AQ$1,0),FALSE)</f>
        <v>0</v>
      </c>
      <c r="Y75" s="63">
        <f>VLOOKUP($B75,'Tillförd energi'!$B$1:$AI$720,MATCH(Y$2,'Tillförd energi'!$B$1:$AQ$1,0),FALSE)</f>
        <v>0</v>
      </c>
      <c r="Z75" s="63">
        <f>VLOOKUP($B75,'Tillförd energi'!$B$1:$AI$720,MATCH(Z$2,'Tillförd energi'!$B$1:$AQ$1,0),FALSE)</f>
        <v>0</v>
      </c>
      <c r="AA75" s="63">
        <f>VLOOKUP($B75,'Tillförd energi'!$B$1:$AI$720,MATCH(AA$2,'Tillförd energi'!$B$1:$AQ$1,0),FALSE)</f>
        <v>0</v>
      </c>
      <c r="AB75" s="63">
        <f>VLOOKUP($B75,'Tillförd energi'!$B$1:$AI$720,MATCH(AB$2,'Tillförd energi'!$B$1:$AQ$1,0),FALSE)</f>
        <v>0</v>
      </c>
      <c r="AC75" s="63">
        <f>VLOOKUP($B75,'Tillförd energi'!$B$1:$AI$720,MATCH(AC$2,'Tillförd energi'!$B$1:$AQ$1,0),FALSE)</f>
        <v>0</v>
      </c>
      <c r="AD75" s="63">
        <f>VLOOKUP($B75,'Tillförd energi'!$B$1:$AI$720,MATCH(AD$2,'Tillförd energi'!$B$1:$AQ$1,0),FALSE)</f>
        <v>0</v>
      </c>
      <c r="AE75" s="63">
        <f>VLOOKUP($B75,'Tillförd energi'!$B$1:$AI$720,MATCH(AE$2,'Tillförd energi'!$B$1:$AQ$1,0),FALSE)</f>
        <v>0</v>
      </c>
      <c r="AF75" s="63">
        <f>VLOOKUP($B75,'Tillförd energi'!$B$1:$AI$720,MATCH(AF$2,'Tillförd energi'!$B$1:$AQ$1,0),FALSE)</f>
        <v>0.121</v>
      </c>
      <c r="AG75" s="63">
        <f>IFERROR(VLOOKUP(B75,Miljö!$B$1:$AC$550,MATCH("Köpt mängd produktionsspecifik fjärrvärme:",Miljö!$B$1:$AC$1,0),FALSE)/1,0)</f>
        <v>0</v>
      </c>
      <c r="AI75" s="63">
        <f t="shared" si="6"/>
        <v>8.9380000000000006</v>
      </c>
      <c r="AJ75" s="63">
        <f>IF(ISERROR(1/VLOOKUP($B75,Leveranser!$B$1:$S$500,MATCH("såld värme (gwh)",Leveranser!$B$1:$S$1,0),FALSE)),"",VLOOKUP($B75,Leveranser!$B$1:$S$500,MATCH("såld värme (gwh)",Leveranser!$B$1:$S$1,0),FALSE))</f>
        <v>5.8049999999999997</v>
      </c>
      <c r="AM75" s="63" t="str">
        <f>IF(B75&lt;&gt;"",IF(VLOOKUP($B75,Totalt!$B$1:$AQ$554,MATCH("Kvalitetsgranskad:",Totalt!$B$1:$AQ$1,0),FALSE)="ja",VLOOKUP($B75,Miljö!$B$1:$AG$479,MATCH(AM$2,Miljö!$B$1:$AK$1,0),FALSE),""),"")</f>
        <v>Ja</v>
      </c>
      <c r="AN75" s="63" t="str">
        <f>IF(AM75="ja",VLOOKUP($B75,Miljö!$B$1:$J$479,MATCH("Typ av ursprungsspecificerad el   (Om inget värde anges används Nordisk residualmix, se inforuta) ()",Miljö!$B$1:$J$1,0),FALSE),IF(AM75="nej","Nordisk residualel",""))</f>
        <v>'Eskilstuna Bioel'</v>
      </c>
      <c r="AO75" s="63">
        <f>IF(AM75="","",VLOOKUP($B75,Miljö!$B$1:$J$479,MATCH("Fossilandel för ursprungspecificerad el ()",Miljö!$B$1:$J$1,0),FALSE))</f>
        <v>0</v>
      </c>
      <c r="AQ75" s="63">
        <f t="shared" si="7"/>
        <v>1</v>
      </c>
      <c r="AS75" s="63" t="str">
        <f t="shared" si="8"/>
        <v>Nej</v>
      </c>
      <c r="AT75" s="63" t="str">
        <f>IF(AS75="ja",VLOOKUP($B75,Miljö!$B$1:$P$500,MATCH("Fossil andel i procent (%)",Miljö!$B$1:$P$1,0),FALSE)/100,"")</f>
        <v/>
      </c>
      <c r="AV75" s="63" t="str">
        <f t="shared" si="9"/>
        <v>Nej</v>
      </c>
      <c r="AW75" s="63" t="str">
        <f>IF(AV75="ja",VLOOKUP($B75,'Egen hetvattenprod'!$B$1:$AO$500,MATCH("Värmekälla till värmepumpar ()",'Egen hetvattenprod'!$B$1:$AO$1,0),FALSE),"")</f>
        <v/>
      </c>
      <c r="AY75" s="63" t="str">
        <f t="shared" si="10"/>
        <v>Nej</v>
      </c>
      <c r="AZ75" s="77" t="str">
        <f>IF($AY75="ja",(VLOOKUP($B75,'Egen hetvattenprod'!$B$1:$BX$550,MATCH(AZ$2,'Egen hetvattenprod'!$B$1:$BX$1,0),FALSE)+VLOOKUP($B75,Kraftvärmeprod!$B$1:$BX$550,MATCH(AZ$2,Kraftvärmeprod!$B$1:$BX$1,0),FALSE))/$AC75,"")</f>
        <v/>
      </c>
      <c r="BA75" s="77" t="str">
        <f>IF($AY75="ja",(VLOOKUP($B75,'Egen hetvattenprod'!$B$1:$BX$550,MATCH(BA$2,'Egen hetvattenprod'!$B$1:$BX$1,0),FALSE)+VLOOKUP($B75,Kraftvärmeprod!$B$1:$BX$550,MATCH(BA$2,Kraftvärmeprod!$B$1:$BX$1,0),FALSE))/$AC75,"")</f>
        <v/>
      </c>
      <c r="BB75" s="77" t="str">
        <f>IF($AY75="ja",(VLOOKUP($B75,'Egen hetvattenprod'!$B$1:$BX$550,MATCH(BB$2,'Egen hetvattenprod'!$B$1:$BX$1,0),FALSE)+VLOOKUP($B75,Kraftvärmeprod!$B$1:$BX$550,MATCH(BB$2,Kraftvärmeprod!$B$1:$BX$1,0),FALSE))/$AC75,"")</f>
        <v/>
      </c>
      <c r="BC75" s="77" t="str">
        <f>IF($AY75="ja",(VLOOKUP($B75,'Egen hetvattenprod'!$B$1:$BX$550,MATCH(BC$2,'Egen hetvattenprod'!$B$1:$BX$1,0),FALSE)+VLOOKUP($B75,Kraftvärmeprod!$B$1:$BX$550,MATCH(BC$2,Kraftvärmeprod!$B$1:$BX$1,0),FALSE))/$AC75,"")</f>
        <v/>
      </c>
      <c r="BD75" s="77" t="str">
        <f>IF($AY75="ja",(VLOOKUP($B75,'Egen hetvattenprod'!$B$1:$BX$550,MATCH(BD$2,'Egen hetvattenprod'!$B$1:$BX$1,0),FALSE)+VLOOKUP($B75,Kraftvärmeprod!$B$1:$BX$550,MATCH(BD$2,Kraftvärmeprod!$B$1:$BX$1,0),FALSE))/$AC75,"")</f>
        <v/>
      </c>
      <c r="BF75" s="63" t="str">
        <f t="shared" si="11"/>
        <v>Nej</v>
      </c>
      <c r="BG75" s="63" t="str">
        <f>IF($BF75="ja",VLOOKUP($B75,'Egen hetvattenprod'!$B$1:$BX$550,MATCH("Andelen klimatgaser med fossilt ursprung för avfall ()",'Egen hetvattenprod'!$B$1:$BX$1,0),FALSE),"")</f>
        <v/>
      </c>
      <c r="BH75" s="63" t="str">
        <f>IF($BF75="ja",VLOOKUP($B75,Kraftvärmeprod!$B$1:$BX$550,MATCH("Andelen klimatgaser med fossilt ursprung för avfall ()",Kraftvärmeprod!$B$1:$BX$1,0),FALSE),"")</f>
        <v/>
      </c>
      <c r="BI75" s="63" t="str">
        <f>IF($BF75="ja",VLOOKUP($B75,'Egen hetvattenprod'!$B$1:$BX$550,MATCH("Avfall (GWh)",'Egen hetvattenprod'!$B$1:$BX$1,0),FALSE),"")</f>
        <v/>
      </c>
      <c r="BJ75" s="63" t="str">
        <f>IF($BF75="ja",VLOOKUP($B75,'Slutlig allokering kvv'!$B$1:$BX$550,MATCH("Avfall (GWh)",'Slutlig allokering kvv'!$B$1:$BX$1,0),FALSE),"")</f>
        <v/>
      </c>
      <c r="BK75" s="63" t="str">
        <f>IF($BF75="ja",VLOOKUP($B75,'Köpt hetvatten'!$B$1:$BX$550,MATCH("Avfall i köpt hetvatten",'Köpt hetvatten'!$B$1:$BX$1,0),FALSE),"")</f>
        <v/>
      </c>
      <c r="BL75" s="63" t="str">
        <f>IF($BF75="ja",VLOOKUP($B75,'Egen hetvattenprod'!$B$1:$BX$550,MATCH("Värde enligt ovan. (%)",'Egen hetvattenprod'!$B$1:$BX$1,0),FALSE),"")</f>
        <v/>
      </c>
      <c r="BM75" s="63" t="str">
        <f>IF($BF75="ja",VLOOKUP($B75,Kraftvärmeprod!$B$1:$BX$550,MATCH("Värde enligt ovan. (%)",Kraftvärmeprod!$B$1:$BX$1,0),FALSE),"")</f>
        <v/>
      </c>
    </row>
    <row r="76" spans="1:65" x14ac:dyDescent="0.45">
      <c r="A76" s="63" t="s">
        <v>593</v>
      </c>
      <c r="B76" s="63" t="s">
        <v>595</v>
      </c>
      <c r="C76" s="63">
        <f>VLOOKUP($B76,'Tillförd energi'!$B$1:$AI$720,MATCH(C$2,'Tillförd energi'!$B$1:$AQ$1,0),FALSE)</f>
        <v>0</v>
      </c>
      <c r="D76" s="63">
        <f>VLOOKUP($B76,'Tillförd energi'!$B$1:$AI$720,MATCH(D$2,'Tillförd energi'!$B$1:$AQ$1,0),FALSE)</f>
        <v>0</v>
      </c>
      <c r="E76" s="63">
        <f>VLOOKUP($B76,'Tillförd energi'!$B$1:$AI$720,MATCH(E$2,'Tillförd energi'!$B$1:$AQ$1,0),FALSE)</f>
        <v>0</v>
      </c>
      <c r="F76" s="63">
        <f>VLOOKUP($B76,'Tillförd energi'!$B$1:$AI$720,MATCH(F$2,'Tillförd energi'!$B$1:$AQ$1,0),FALSE)</f>
        <v>0</v>
      </c>
      <c r="G76" s="63">
        <f>VLOOKUP($B76,'Tillförd energi'!$B$1:$AI$720,MATCH(G$2,'Tillförd energi'!$B$1:$AQ$1,0),FALSE)</f>
        <v>0</v>
      </c>
      <c r="H76" s="63">
        <f>VLOOKUP($B76,'Tillförd energi'!$B$1:$AI$720,MATCH(H$2,'Tillförd energi'!$B$1:$AQ$1,0),FALSE)</f>
        <v>0</v>
      </c>
      <c r="I76" s="63">
        <f>VLOOKUP($B76,'Tillförd energi'!$B$1:$AI$720,MATCH(I$2,'Tillförd energi'!$B$1:$AQ$1,0),FALSE)</f>
        <v>0</v>
      </c>
      <c r="J76" s="63">
        <f>VLOOKUP($B76,'Tillförd energi'!$B$1:$AI$720,MATCH(J$2,'Tillförd energi'!$B$1:$AQ$1,0),FALSE)</f>
        <v>0</v>
      </c>
      <c r="K76" s="63">
        <f>VLOOKUP($B76,'Tillförd energi'!$B$1:$AI$720,MATCH(K$2,'Tillförd energi'!$B$1:$AQ$1,0),FALSE)</f>
        <v>0</v>
      </c>
      <c r="L76" s="63">
        <f>VLOOKUP($B76,'Tillförd energi'!$B$1:$AI$720,MATCH(L$2,'Tillförd energi'!$B$1:$AQ$1,0),FALSE)</f>
        <v>0</v>
      </c>
      <c r="M76" s="63">
        <f>VLOOKUP($B76,'Tillförd energi'!$B$1:$AI$720,MATCH(M$2,'Tillförd energi'!$B$1:$AQ$1,0),FALSE)</f>
        <v>3.5853299999999999</v>
      </c>
      <c r="N76" s="63">
        <f>VLOOKUP($B76,'Tillförd energi'!$B$1:$AI$720,MATCH(N$2,'Tillförd energi'!$B$1:$AQ$1,0),FALSE)</f>
        <v>81.192800000000005</v>
      </c>
      <c r="O76" s="63">
        <f>VLOOKUP($B76,'Tillförd energi'!$B$1:$AI$720,MATCH(O$2,'Tillförd energi'!$B$1:$AQ$1,0),FALSE)</f>
        <v>0</v>
      </c>
      <c r="P76" s="63">
        <f>VLOOKUP($B76,'Tillförd energi'!$B$1:$AI$720,MATCH(P$2,'Tillförd energi'!$B$1:$AQ$1,0),FALSE)</f>
        <v>0.44816699999999998</v>
      </c>
      <c r="Q76" s="63">
        <f>VLOOKUP($B76,'Tillförd energi'!$B$1:$AI$720,MATCH(Q$2,'Tillförd energi'!$B$1:$AQ$1,0),FALSE)</f>
        <v>17.2544</v>
      </c>
      <c r="R76" s="63">
        <f>VLOOKUP($B76,'Tillförd energi'!$B$1:$AI$720,MATCH(R$2,'Tillförd energi'!$B$1:$AQ$1,0),FALSE)</f>
        <v>0</v>
      </c>
      <c r="S76" s="63">
        <f>VLOOKUP($B76,'Tillförd energi'!$B$1:$AI$720,MATCH(S$2,'Tillförd energi'!$B$1:$AQ$1,0),FALSE)</f>
        <v>6.7889999999999997</v>
      </c>
      <c r="T76" s="63">
        <f>VLOOKUP($B76,'Tillförd energi'!$B$1:$AI$720,MATCH(T$2,'Tillförd energi'!$B$1:$AQ$1,0),FALSE)</f>
        <v>0</v>
      </c>
      <c r="U76" s="63">
        <f>VLOOKUP($B76,'Tillförd energi'!$B$1:$AI$720,MATCH(U$2,'Tillförd energi'!$B$1:$AQ$1,0),FALSE)</f>
        <v>0</v>
      </c>
      <c r="V76" s="63">
        <f>VLOOKUP($B76,'Tillförd energi'!$B$1:$AI$720,MATCH(V$2,'Tillförd energi'!$B$1:$AQ$1,0),FALSE)</f>
        <v>0</v>
      </c>
      <c r="W76" s="63">
        <f>VLOOKUP($B76,'Tillförd energi'!$B$1:$AI$720,MATCH(W$2,'Tillförd energi'!$B$1:$AQ$1,0),FALSE)</f>
        <v>1.0167200000000001</v>
      </c>
      <c r="X76" s="63">
        <f>VLOOKUP($B76,'Tillförd energi'!$B$1:$AI$720,MATCH(X$2,'Tillförd energi'!$B$1:$AQ$1,0),FALSE)</f>
        <v>0</v>
      </c>
      <c r="Y76" s="63">
        <f>VLOOKUP($B76,'Tillförd energi'!$B$1:$AI$720,MATCH(Y$2,'Tillförd energi'!$B$1:$AQ$1,0),FALSE)</f>
        <v>0</v>
      </c>
      <c r="Z76" s="63">
        <f>VLOOKUP($B76,'Tillförd energi'!$B$1:$AI$720,MATCH(Z$2,'Tillförd energi'!$B$1:$AQ$1,0),FALSE)</f>
        <v>0</v>
      </c>
      <c r="AA76" s="63">
        <f>VLOOKUP($B76,'Tillförd energi'!$B$1:$AI$720,MATCH(AA$2,'Tillförd energi'!$B$1:$AQ$1,0),FALSE)</f>
        <v>0</v>
      </c>
      <c r="AB76" s="63">
        <f>VLOOKUP($B76,'Tillförd energi'!$B$1:$AI$720,MATCH(AB$2,'Tillförd energi'!$B$1:$AQ$1,0),FALSE)</f>
        <v>0</v>
      </c>
      <c r="AC76" s="63">
        <f>VLOOKUP($B76,'Tillförd energi'!$B$1:$AI$720,MATCH(AC$2,'Tillförd energi'!$B$1:$AQ$1,0),FALSE)</f>
        <v>23.2</v>
      </c>
      <c r="AD76" s="63">
        <f>VLOOKUP($B76,'Tillförd energi'!$B$1:$AI$720,MATCH(AD$2,'Tillförd energi'!$B$1:$AQ$1,0),FALSE)</f>
        <v>0</v>
      </c>
      <c r="AE76" s="63">
        <f>VLOOKUP($B76,'Tillförd energi'!$B$1:$AI$720,MATCH(AE$2,'Tillförd energi'!$B$1:$AQ$1,0),FALSE)</f>
        <v>0</v>
      </c>
      <c r="AF76" s="63">
        <f>VLOOKUP($B76,'Tillförd energi'!$B$1:$AI$720,MATCH(AF$2,'Tillförd energi'!$B$1:$AQ$1,0),FALSE)</f>
        <v>3.7181299999999999</v>
      </c>
      <c r="AG76" s="63">
        <f>IFERROR(VLOOKUP(B76,Miljö!$B$1:$AC$550,MATCH("Köpt mängd produktionsspecifik fjärrvärme:",Miljö!$B$1:$AC$1,0),FALSE)/1,0)</f>
        <v>0</v>
      </c>
      <c r="AI76" s="63">
        <f t="shared" si="6"/>
        <v>137.20454700000002</v>
      </c>
      <c r="AJ76" s="63">
        <f>IF(ISERROR(1/VLOOKUP($B76,Leveranser!$B$1:$S$500,MATCH("såld värme (gwh)",Leveranser!$B$1:$S$1,0),FALSE)),"",VLOOKUP($B76,Leveranser!$B$1:$S$500,MATCH("såld värme (gwh)",Leveranser!$B$1:$S$1,0),FALSE))</f>
        <v>102.3</v>
      </c>
      <c r="AM76" s="63" t="str">
        <f>IF(B76&lt;&gt;"",IF(VLOOKUP($B76,Totalt!$B$1:$AQ$554,MATCH("Kvalitetsgranskad:",Totalt!$B$1:$AQ$1,0),FALSE)="ja",VLOOKUP($B76,Miljö!$B$1:$AG$479,MATCH(AM$2,Miljö!$B$1:$AK$1,0),FALSE),""),"")</f>
        <v>Ja</v>
      </c>
      <c r="AN76" s="63" t="str">
        <f>IF(AM76="ja",VLOOKUP($B76,Miljö!$B$1:$J$479,MATCH("Typ av ursprungsspecificerad el   (Om inget värde anges används Nordisk residualmix, se inforuta) ()",Miljö!$B$1:$J$1,0),FALSE),IF(AM76="nej","Nordisk residualel",""))</f>
        <v>'Bra Miljöval'</v>
      </c>
      <c r="AO76" s="63">
        <f>IF(AM76="","",VLOOKUP($B76,Miljö!$B$1:$J$479,MATCH("Fossilandel för ursprungspecificerad el ()",Miljö!$B$1:$J$1,0),FALSE))</f>
        <v>0</v>
      </c>
      <c r="AQ76" s="63">
        <f t="shared" si="7"/>
        <v>1</v>
      </c>
      <c r="AS76" s="63" t="str">
        <f t="shared" si="8"/>
        <v>Nej</v>
      </c>
      <c r="AT76" s="63" t="str">
        <f>IF(AS76="ja",VLOOKUP($B76,Miljö!$B$1:$P$500,MATCH("Fossil andel i procent (%)",Miljö!$B$1:$P$1,0),FALSE)/100,"")</f>
        <v/>
      </c>
      <c r="AV76" s="63" t="str">
        <f t="shared" si="9"/>
        <v>Nej</v>
      </c>
      <c r="AW76" s="63" t="str">
        <f>IF(AV76="ja",VLOOKUP($B76,'Egen hetvattenprod'!$B$1:$AO$500,MATCH("Värmekälla till värmepumpar ()",'Egen hetvattenprod'!$B$1:$AO$1,0),FALSE),"")</f>
        <v/>
      </c>
      <c r="AY76" s="63" t="str">
        <f t="shared" si="10"/>
        <v>Ja</v>
      </c>
      <c r="AZ76" s="77">
        <f>IF($AY76="ja",(VLOOKUP($B76,'Egen hetvattenprod'!$B$1:$BX$550,MATCH(AZ$2,'Egen hetvattenprod'!$B$1:$BX$1,0),FALSE)+VLOOKUP($B76,Kraftvärmeprod!$B$1:$BX$550,MATCH(AZ$2,Kraftvärmeprod!$B$1:$BX$1,0),FALSE))/$AC76,"")</f>
        <v>1</v>
      </c>
      <c r="BA76" s="77">
        <f>IF($AY76="ja",(VLOOKUP($B76,'Egen hetvattenprod'!$B$1:$BX$550,MATCH(BA$2,'Egen hetvattenprod'!$B$1:$BX$1,0),FALSE)+VLOOKUP($B76,Kraftvärmeprod!$B$1:$BX$550,MATCH(BA$2,Kraftvärmeprod!$B$1:$BX$1,0),FALSE))/$AC76,"")</f>
        <v>0</v>
      </c>
      <c r="BB76" s="77">
        <f>IF($AY76="ja",(VLOOKUP($B76,'Egen hetvattenprod'!$B$1:$BX$550,MATCH(BB$2,'Egen hetvattenprod'!$B$1:$BX$1,0),FALSE)+VLOOKUP($B76,Kraftvärmeprod!$B$1:$BX$550,MATCH(BB$2,Kraftvärmeprod!$B$1:$BX$1,0),FALSE))/$AC76,"")</f>
        <v>0</v>
      </c>
      <c r="BC76" s="77">
        <f>IF($AY76="ja",(VLOOKUP($B76,'Egen hetvattenprod'!$B$1:$BX$550,MATCH(BC$2,'Egen hetvattenprod'!$B$1:$BX$1,0),FALSE)+VLOOKUP($B76,Kraftvärmeprod!$B$1:$BX$550,MATCH(BC$2,Kraftvärmeprod!$B$1:$BX$1,0),FALSE))/$AC76,"")</f>
        <v>0</v>
      </c>
      <c r="BD76" s="77">
        <f>IF($AY76="ja",(VLOOKUP($B76,'Egen hetvattenprod'!$B$1:$BX$550,MATCH(BD$2,'Egen hetvattenprod'!$B$1:$BX$1,0),FALSE)+VLOOKUP($B76,Kraftvärmeprod!$B$1:$BX$550,MATCH(BD$2,Kraftvärmeprod!$B$1:$BX$1,0),FALSE))/$AC76,"")</f>
        <v>0</v>
      </c>
      <c r="BF76" s="63" t="str">
        <f t="shared" si="11"/>
        <v>Nej</v>
      </c>
      <c r="BG76" s="63" t="str">
        <f>IF($BF76="ja",VLOOKUP($B76,'Egen hetvattenprod'!$B$1:$BX$550,MATCH("Andelen klimatgaser med fossilt ursprung för avfall ()",'Egen hetvattenprod'!$B$1:$BX$1,0),FALSE),"")</f>
        <v/>
      </c>
      <c r="BH76" s="63" t="str">
        <f>IF($BF76="ja",VLOOKUP($B76,Kraftvärmeprod!$B$1:$BX$550,MATCH("Andelen klimatgaser med fossilt ursprung för avfall ()",Kraftvärmeprod!$B$1:$BX$1,0),FALSE),"")</f>
        <v/>
      </c>
      <c r="BI76" s="63" t="str">
        <f>IF($BF76="ja",VLOOKUP($B76,'Egen hetvattenprod'!$B$1:$BX$550,MATCH("Avfall (GWh)",'Egen hetvattenprod'!$B$1:$BX$1,0),FALSE),"")</f>
        <v/>
      </c>
      <c r="BJ76" s="63" t="str">
        <f>IF($BF76="ja",VLOOKUP($B76,'Slutlig allokering kvv'!$B$1:$BX$550,MATCH("Avfall (GWh)",'Slutlig allokering kvv'!$B$1:$BX$1,0),FALSE),"")</f>
        <v/>
      </c>
      <c r="BK76" s="63" t="str">
        <f>IF($BF76="ja",VLOOKUP($B76,'Köpt hetvatten'!$B$1:$BX$550,MATCH("Avfall i köpt hetvatten",'Köpt hetvatten'!$B$1:$BX$1,0),FALSE),"")</f>
        <v/>
      </c>
      <c r="BL76" s="63" t="str">
        <f>IF($BF76="ja",VLOOKUP($B76,'Egen hetvattenprod'!$B$1:$BX$550,MATCH("Värde enligt ovan. (%)",'Egen hetvattenprod'!$B$1:$BX$1,0),FALSE),"")</f>
        <v/>
      </c>
      <c r="BM76" s="63" t="str">
        <f>IF($BF76="ja",VLOOKUP($B76,Kraftvärmeprod!$B$1:$BX$550,MATCH("Värde enligt ovan. (%)",Kraftvärmeprod!$B$1:$BX$1,0),FALSE),"")</f>
        <v/>
      </c>
    </row>
    <row r="77" spans="1:65" x14ac:dyDescent="0.45">
      <c r="A77" s="63" t="s">
        <v>593</v>
      </c>
      <c r="B77" s="63" t="s">
        <v>594</v>
      </c>
      <c r="C77" s="63">
        <f>VLOOKUP($B77,'Tillförd energi'!$B$1:$AI$720,MATCH(C$2,'Tillförd energi'!$B$1:$AQ$1,0),FALSE)</f>
        <v>0</v>
      </c>
      <c r="D77" s="63">
        <f>VLOOKUP($B77,'Tillförd energi'!$B$1:$AI$720,MATCH(D$2,'Tillförd energi'!$B$1:$AQ$1,0),FALSE)</f>
        <v>0</v>
      </c>
      <c r="E77" s="63">
        <f>VLOOKUP($B77,'Tillförd energi'!$B$1:$AI$720,MATCH(E$2,'Tillförd energi'!$B$1:$AQ$1,0),FALSE)</f>
        <v>0</v>
      </c>
      <c r="F77" s="63">
        <f>VLOOKUP($B77,'Tillförd energi'!$B$1:$AI$720,MATCH(F$2,'Tillförd energi'!$B$1:$AQ$1,0),FALSE)</f>
        <v>0</v>
      </c>
      <c r="G77" s="63">
        <f>VLOOKUP($B77,'Tillförd energi'!$B$1:$AI$720,MATCH(G$2,'Tillförd energi'!$B$1:$AQ$1,0),FALSE)</f>
        <v>0</v>
      </c>
      <c r="H77" s="63">
        <f>VLOOKUP($B77,'Tillförd energi'!$B$1:$AI$720,MATCH(H$2,'Tillförd energi'!$B$1:$AQ$1,0),FALSE)</f>
        <v>0</v>
      </c>
      <c r="I77" s="63">
        <f>VLOOKUP($B77,'Tillförd energi'!$B$1:$AI$720,MATCH(I$2,'Tillförd energi'!$B$1:$AQ$1,0),FALSE)</f>
        <v>0</v>
      </c>
      <c r="J77" s="63">
        <f>VLOOKUP($B77,'Tillförd energi'!$B$1:$AI$720,MATCH(J$2,'Tillförd energi'!$B$1:$AQ$1,0),FALSE)</f>
        <v>0</v>
      </c>
      <c r="K77" s="63">
        <f>VLOOKUP($B77,'Tillförd energi'!$B$1:$AI$720,MATCH(K$2,'Tillförd energi'!$B$1:$AQ$1,0),FALSE)</f>
        <v>0</v>
      </c>
      <c r="L77" s="63">
        <f>VLOOKUP($B77,'Tillförd energi'!$B$1:$AI$720,MATCH(L$2,'Tillförd energi'!$B$1:$AQ$1,0),FALSE)</f>
        <v>0</v>
      </c>
      <c r="M77" s="63">
        <f>VLOOKUP($B77,'Tillförd energi'!$B$1:$AI$720,MATCH(M$2,'Tillförd energi'!$B$1:$AQ$1,0),FALSE)</f>
        <v>0</v>
      </c>
      <c r="N77" s="63">
        <f>VLOOKUP($B77,'Tillförd energi'!$B$1:$AI$720,MATCH(N$2,'Tillförd energi'!$B$1:$AQ$1,0),FALSE)</f>
        <v>0</v>
      </c>
      <c r="O77" s="63">
        <f>VLOOKUP($B77,'Tillförd energi'!$B$1:$AI$720,MATCH(O$2,'Tillförd energi'!$B$1:$AQ$1,0),FALSE)</f>
        <v>0</v>
      </c>
      <c r="P77" s="63">
        <f>VLOOKUP($B77,'Tillförd energi'!$B$1:$AI$720,MATCH(P$2,'Tillförd energi'!$B$1:$AQ$1,0),FALSE)</f>
        <v>0</v>
      </c>
      <c r="Q77" s="63">
        <f>VLOOKUP($B77,'Tillförd energi'!$B$1:$AI$720,MATCH(Q$2,'Tillförd energi'!$B$1:$AQ$1,0),FALSE)</f>
        <v>1.8129999999999999</v>
      </c>
      <c r="R77" s="63">
        <f>VLOOKUP($B77,'Tillförd energi'!$B$1:$AI$720,MATCH(R$2,'Tillförd energi'!$B$1:$AQ$1,0),FALSE)</f>
        <v>0</v>
      </c>
      <c r="S77" s="63">
        <f>VLOOKUP($B77,'Tillförd energi'!$B$1:$AI$720,MATCH(S$2,'Tillförd energi'!$B$1:$AQ$1,0),FALSE)</f>
        <v>10.218</v>
      </c>
      <c r="T77" s="63">
        <f>VLOOKUP($B77,'Tillförd energi'!$B$1:$AI$720,MATCH(T$2,'Tillförd energi'!$B$1:$AQ$1,0),FALSE)</f>
        <v>0</v>
      </c>
      <c r="U77" s="63">
        <f>VLOOKUP($B77,'Tillförd energi'!$B$1:$AI$720,MATCH(U$2,'Tillförd energi'!$B$1:$AQ$1,0),FALSE)</f>
        <v>0</v>
      </c>
      <c r="V77" s="63">
        <f>VLOOKUP($B77,'Tillförd energi'!$B$1:$AI$720,MATCH(V$2,'Tillförd energi'!$B$1:$AQ$1,0),FALSE)</f>
        <v>0</v>
      </c>
      <c r="W77" s="63">
        <f>VLOOKUP($B77,'Tillförd energi'!$B$1:$AI$720,MATCH(W$2,'Tillförd energi'!$B$1:$AQ$1,0),FALSE)</f>
        <v>0.17</v>
      </c>
      <c r="X77" s="63">
        <f>VLOOKUP($B77,'Tillförd energi'!$B$1:$AI$720,MATCH(X$2,'Tillförd energi'!$B$1:$AQ$1,0),FALSE)</f>
        <v>0</v>
      </c>
      <c r="Y77" s="63">
        <f>VLOOKUP($B77,'Tillförd energi'!$B$1:$AI$720,MATCH(Y$2,'Tillförd energi'!$B$1:$AQ$1,0),FALSE)</f>
        <v>0</v>
      </c>
      <c r="Z77" s="63">
        <f>VLOOKUP($B77,'Tillförd energi'!$B$1:$AI$720,MATCH(Z$2,'Tillförd energi'!$B$1:$AQ$1,0),FALSE)</f>
        <v>0</v>
      </c>
      <c r="AA77" s="63">
        <f>VLOOKUP($B77,'Tillförd energi'!$B$1:$AI$720,MATCH(AA$2,'Tillförd energi'!$B$1:$AQ$1,0),FALSE)</f>
        <v>0</v>
      </c>
      <c r="AB77" s="63">
        <f>VLOOKUP($B77,'Tillförd energi'!$B$1:$AI$720,MATCH(AB$2,'Tillförd energi'!$B$1:$AQ$1,0),FALSE)</f>
        <v>0</v>
      </c>
      <c r="AC77" s="63">
        <f>VLOOKUP($B77,'Tillförd energi'!$B$1:$AI$720,MATCH(AC$2,'Tillförd energi'!$B$1:$AQ$1,0),FALSE)</f>
        <v>0</v>
      </c>
      <c r="AD77" s="63">
        <f>VLOOKUP($B77,'Tillförd energi'!$B$1:$AI$720,MATCH(AD$2,'Tillförd energi'!$B$1:$AQ$1,0),FALSE)</f>
        <v>0</v>
      </c>
      <c r="AE77" s="63">
        <f>VLOOKUP($B77,'Tillförd energi'!$B$1:$AI$720,MATCH(AE$2,'Tillförd energi'!$B$1:$AQ$1,0),FALSE)</f>
        <v>0</v>
      </c>
      <c r="AF77" s="63">
        <f>VLOOKUP($B77,'Tillförd energi'!$B$1:$AI$720,MATCH(AF$2,'Tillförd energi'!$B$1:$AQ$1,0),FALSE)</f>
        <v>0.11</v>
      </c>
      <c r="AG77" s="63">
        <f>IFERROR(VLOOKUP(B77,Miljö!$B$1:$AC$550,MATCH("Köpt mängd produktionsspecifik fjärrvärme:",Miljö!$B$1:$AC$1,0),FALSE)/1,0)</f>
        <v>0</v>
      </c>
      <c r="AI77" s="63">
        <f t="shared" si="6"/>
        <v>12.311</v>
      </c>
      <c r="AJ77" s="63">
        <f>IF(ISERROR(1/VLOOKUP($B77,Leveranser!$B$1:$S$500,MATCH("såld värme (gwh)",Leveranser!$B$1:$S$1,0),FALSE)),"",VLOOKUP($B77,Leveranser!$B$1:$S$500,MATCH("såld värme (gwh)",Leveranser!$B$1:$S$1,0),FALSE))</f>
        <v>9.1</v>
      </c>
      <c r="AM77" s="63" t="str">
        <f>IF(B77&lt;&gt;"",IF(VLOOKUP($B77,Totalt!$B$1:$AQ$554,MATCH("Kvalitetsgranskad:",Totalt!$B$1:$AQ$1,0),FALSE)="ja",VLOOKUP($B77,Miljö!$B$1:$AG$479,MATCH(AM$2,Miljö!$B$1:$AK$1,0),FALSE),""),"")</f>
        <v>Ja</v>
      </c>
      <c r="AN77" s="63" t="str">
        <f>IF(AM77="ja",VLOOKUP($B77,Miljö!$B$1:$J$479,MATCH("Typ av ursprungsspecificerad el   (Om inget värde anges används Nordisk residualmix, se inforuta) ()",Miljö!$B$1:$J$1,0),FALSE),IF(AM77="nej","Nordisk residualel",""))</f>
        <v>'Bra Miljöval'</v>
      </c>
      <c r="AO77" s="63">
        <f>IF(AM77="","",VLOOKUP($B77,Miljö!$B$1:$J$479,MATCH("Fossilandel för ursprungspecificerad el ()",Miljö!$B$1:$J$1,0),FALSE))</f>
        <v>0</v>
      </c>
      <c r="AQ77" s="63">
        <f t="shared" si="7"/>
        <v>1</v>
      </c>
      <c r="AS77" s="63" t="str">
        <f t="shared" si="8"/>
        <v>Nej</v>
      </c>
      <c r="AT77" s="63" t="str">
        <f>IF(AS77="ja",VLOOKUP($B77,Miljö!$B$1:$P$500,MATCH("Fossil andel i procent (%)",Miljö!$B$1:$P$1,0),FALSE)/100,"")</f>
        <v/>
      </c>
      <c r="AV77" s="63" t="str">
        <f t="shared" si="9"/>
        <v>Nej</v>
      </c>
      <c r="AW77" s="63" t="str">
        <f>IF(AV77="ja",VLOOKUP($B77,'Egen hetvattenprod'!$B$1:$AO$500,MATCH("Värmekälla till värmepumpar ()",'Egen hetvattenprod'!$B$1:$AO$1,0),FALSE),"")</f>
        <v/>
      </c>
      <c r="AY77" s="63" t="str">
        <f t="shared" si="10"/>
        <v>Nej</v>
      </c>
      <c r="AZ77" s="77" t="str">
        <f>IF($AY77="ja",(VLOOKUP($B77,'Egen hetvattenprod'!$B$1:$BX$550,MATCH(AZ$2,'Egen hetvattenprod'!$B$1:$BX$1,0),FALSE)+VLOOKUP($B77,Kraftvärmeprod!$B$1:$BX$550,MATCH(AZ$2,Kraftvärmeprod!$B$1:$BX$1,0),FALSE))/$AC77,"")</f>
        <v/>
      </c>
      <c r="BA77" s="77" t="str">
        <f>IF($AY77="ja",(VLOOKUP($B77,'Egen hetvattenprod'!$B$1:$BX$550,MATCH(BA$2,'Egen hetvattenprod'!$B$1:$BX$1,0),FALSE)+VLOOKUP($B77,Kraftvärmeprod!$B$1:$BX$550,MATCH(BA$2,Kraftvärmeprod!$B$1:$BX$1,0),FALSE))/$AC77,"")</f>
        <v/>
      </c>
      <c r="BB77" s="77" t="str">
        <f>IF($AY77="ja",(VLOOKUP($B77,'Egen hetvattenprod'!$B$1:$BX$550,MATCH(BB$2,'Egen hetvattenprod'!$B$1:$BX$1,0),FALSE)+VLOOKUP($B77,Kraftvärmeprod!$B$1:$BX$550,MATCH(BB$2,Kraftvärmeprod!$B$1:$BX$1,0),FALSE))/$AC77,"")</f>
        <v/>
      </c>
      <c r="BC77" s="77" t="str">
        <f>IF($AY77="ja",(VLOOKUP($B77,'Egen hetvattenprod'!$B$1:$BX$550,MATCH(BC$2,'Egen hetvattenprod'!$B$1:$BX$1,0),FALSE)+VLOOKUP($B77,Kraftvärmeprod!$B$1:$BX$550,MATCH(BC$2,Kraftvärmeprod!$B$1:$BX$1,0),FALSE))/$AC77,"")</f>
        <v/>
      </c>
      <c r="BD77" s="77" t="str">
        <f>IF($AY77="ja",(VLOOKUP($B77,'Egen hetvattenprod'!$B$1:$BX$550,MATCH(BD$2,'Egen hetvattenprod'!$B$1:$BX$1,0),FALSE)+VLOOKUP($B77,Kraftvärmeprod!$B$1:$BX$550,MATCH(BD$2,Kraftvärmeprod!$B$1:$BX$1,0),FALSE))/$AC77,"")</f>
        <v/>
      </c>
      <c r="BF77" s="63" t="str">
        <f t="shared" si="11"/>
        <v>Nej</v>
      </c>
      <c r="BG77" s="63" t="str">
        <f>IF($BF77="ja",VLOOKUP($B77,'Egen hetvattenprod'!$B$1:$BX$550,MATCH("Andelen klimatgaser med fossilt ursprung för avfall ()",'Egen hetvattenprod'!$B$1:$BX$1,0),FALSE),"")</f>
        <v/>
      </c>
      <c r="BH77" s="63" t="str">
        <f>IF($BF77="ja",VLOOKUP($B77,Kraftvärmeprod!$B$1:$BX$550,MATCH("Andelen klimatgaser med fossilt ursprung för avfall ()",Kraftvärmeprod!$B$1:$BX$1,0),FALSE),"")</f>
        <v/>
      </c>
      <c r="BI77" s="63" t="str">
        <f>IF($BF77="ja",VLOOKUP($B77,'Egen hetvattenprod'!$B$1:$BX$550,MATCH("Avfall (GWh)",'Egen hetvattenprod'!$B$1:$BX$1,0),FALSE),"")</f>
        <v/>
      </c>
      <c r="BJ77" s="63" t="str">
        <f>IF($BF77="ja",VLOOKUP($B77,'Slutlig allokering kvv'!$B$1:$BX$550,MATCH("Avfall (GWh)",'Slutlig allokering kvv'!$B$1:$BX$1,0),FALSE),"")</f>
        <v/>
      </c>
      <c r="BK77" s="63" t="str">
        <f>IF($BF77="ja",VLOOKUP($B77,'Köpt hetvatten'!$B$1:$BX$550,MATCH("Avfall i köpt hetvatten",'Köpt hetvatten'!$B$1:$BX$1,0),FALSE),"")</f>
        <v/>
      </c>
      <c r="BL77" s="63" t="str">
        <f>IF($BF77="ja",VLOOKUP($B77,'Egen hetvattenprod'!$B$1:$BX$550,MATCH("Värde enligt ovan. (%)",'Egen hetvattenprod'!$B$1:$BX$1,0),FALSE),"")</f>
        <v/>
      </c>
      <c r="BM77" s="63" t="str">
        <f>IF($BF77="ja",VLOOKUP($B77,Kraftvärmeprod!$B$1:$BX$550,MATCH("Värde enligt ovan. (%)",Kraftvärmeprod!$B$1:$BX$1,0),FALSE),"")</f>
        <v/>
      </c>
    </row>
    <row r="78" spans="1:65" x14ac:dyDescent="0.45">
      <c r="A78" s="63" t="s">
        <v>593</v>
      </c>
      <c r="B78" s="63" t="s">
        <v>592</v>
      </c>
      <c r="C78" s="63">
        <f>VLOOKUP($B78,'Tillförd energi'!$B$1:$AI$720,MATCH(C$2,'Tillförd energi'!$B$1:$AQ$1,0),FALSE)</f>
        <v>0</v>
      </c>
      <c r="D78" s="63">
        <f>VLOOKUP($B78,'Tillförd energi'!$B$1:$AI$720,MATCH(D$2,'Tillförd energi'!$B$1:$AQ$1,0),FALSE)</f>
        <v>0</v>
      </c>
      <c r="E78" s="63">
        <f>VLOOKUP($B78,'Tillförd energi'!$B$1:$AI$720,MATCH(E$2,'Tillförd energi'!$B$1:$AQ$1,0),FALSE)</f>
        <v>0</v>
      </c>
      <c r="F78" s="63">
        <f>VLOOKUP($B78,'Tillförd energi'!$B$1:$AI$720,MATCH(F$2,'Tillförd energi'!$B$1:$AQ$1,0),FALSE)</f>
        <v>0</v>
      </c>
      <c r="G78" s="63">
        <f>VLOOKUP($B78,'Tillförd energi'!$B$1:$AI$720,MATCH(G$2,'Tillförd energi'!$B$1:$AQ$1,0),FALSE)</f>
        <v>0</v>
      </c>
      <c r="H78" s="63">
        <f>VLOOKUP($B78,'Tillförd energi'!$B$1:$AI$720,MATCH(H$2,'Tillförd energi'!$B$1:$AQ$1,0),FALSE)</f>
        <v>0</v>
      </c>
      <c r="I78" s="63">
        <f>VLOOKUP($B78,'Tillförd energi'!$B$1:$AI$720,MATCH(I$2,'Tillförd energi'!$B$1:$AQ$1,0),FALSE)</f>
        <v>0</v>
      </c>
      <c r="J78" s="63">
        <f>VLOOKUP($B78,'Tillförd energi'!$B$1:$AI$720,MATCH(J$2,'Tillförd energi'!$B$1:$AQ$1,0),FALSE)</f>
        <v>0</v>
      </c>
      <c r="K78" s="63">
        <f>VLOOKUP($B78,'Tillförd energi'!$B$1:$AI$720,MATCH(K$2,'Tillförd energi'!$B$1:$AQ$1,0),FALSE)</f>
        <v>0</v>
      </c>
      <c r="L78" s="63">
        <f>VLOOKUP($B78,'Tillförd energi'!$B$1:$AI$720,MATCH(L$2,'Tillförd energi'!$B$1:$AQ$1,0),FALSE)</f>
        <v>0</v>
      </c>
      <c r="M78" s="63">
        <f>VLOOKUP($B78,'Tillförd energi'!$B$1:$AI$720,MATCH(M$2,'Tillförd energi'!$B$1:$AQ$1,0),FALSE)</f>
        <v>0</v>
      </c>
      <c r="N78" s="63">
        <f>VLOOKUP($B78,'Tillförd energi'!$B$1:$AI$720,MATCH(N$2,'Tillförd energi'!$B$1:$AQ$1,0),FALSE)</f>
        <v>0</v>
      </c>
      <c r="O78" s="63">
        <f>VLOOKUP($B78,'Tillförd energi'!$B$1:$AI$720,MATCH(O$2,'Tillförd energi'!$B$1:$AQ$1,0),FALSE)</f>
        <v>0</v>
      </c>
      <c r="P78" s="63">
        <f>VLOOKUP($B78,'Tillförd energi'!$B$1:$AI$720,MATCH(P$2,'Tillförd energi'!$B$1:$AQ$1,0),FALSE)</f>
        <v>0</v>
      </c>
      <c r="Q78" s="63">
        <f>VLOOKUP($B78,'Tillförd energi'!$B$1:$AI$720,MATCH(Q$2,'Tillförd energi'!$B$1:$AQ$1,0),FALSE)</f>
        <v>0</v>
      </c>
      <c r="R78" s="63">
        <f>VLOOKUP($B78,'Tillförd energi'!$B$1:$AI$720,MATCH(R$2,'Tillförd energi'!$B$1:$AQ$1,0),FALSE)</f>
        <v>4.4489999999999998</v>
      </c>
      <c r="S78" s="63">
        <f>VLOOKUP($B78,'Tillförd energi'!$B$1:$AI$720,MATCH(S$2,'Tillförd energi'!$B$1:$AQ$1,0),FALSE)</f>
        <v>0</v>
      </c>
      <c r="T78" s="63">
        <f>VLOOKUP($B78,'Tillförd energi'!$B$1:$AI$720,MATCH(T$2,'Tillförd energi'!$B$1:$AQ$1,0),FALSE)</f>
        <v>0</v>
      </c>
      <c r="U78" s="63">
        <f>VLOOKUP($B78,'Tillförd energi'!$B$1:$AI$720,MATCH(U$2,'Tillförd energi'!$B$1:$AQ$1,0),FALSE)</f>
        <v>0</v>
      </c>
      <c r="V78" s="63">
        <f>VLOOKUP($B78,'Tillförd energi'!$B$1:$AI$720,MATCH(V$2,'Tillförd energi'!$B$1:$AQ$1,0),FALSE)</f>
        <v>0</v>
      </c>
      <c r="W78" s="63">
        <f>VLOOKUP($B78,'Tillförd energi'!$B$1:$AI$720,MATCH(W$2,'Tillförd energi'!$B$1:$AQ$1,0),FALSE)</f>
        <v>0</v>
      </c>
      <c r="X78" s="63">
        <f>VLOOKUP($B78,'Tillförd energi'!$B$1:$AI$720,MATCH(X$2,'Tillförd energi'!$B$1:$AQ$1,0),FALSE)</f>
        <v>0</v>
      </c>
      <c r="Y78" s="63">
        <f>VLOOKUP($B78,'Tillförd energi'!$B$1:$AI$720,MATCH(Y$2,'Tillförd energi'!$B$1:$AQ$1,0),FALSE)</f>
        <v>0</v>
      </c>
      <c r="Z78" s="63">
        <f>VLOOKUP($B78,'Tillförd energi'!$B$1:$AI$720,MATCH(Z$2,'Tillförd energi'!$B$1:$AQ$1,0),FALSE)</f>
        <v>0.1</v>
      </c>
      <c r="AA78" s="63">
        <f>VLOOKUP($B78,'Tillförd energi'!$B$1:$AI$720,MATCH(AA$2,'Tillförd energi'!$B$1:$AQ$1,0),FALSE)</f>
        <v>0</v>
      </c>
      <c r="AB78" s="63">
        <f>VLOOKUP($B78,'Tillförd energi'!$B$1:$AI$720,MATCH(AB$2,'Tillförd energi'!$B$1:$AQ$1,0),FALSE)</f>
        <v>0</v>
      </c>
      <c r="AC78" s="63">
        <f>VLOOKUP($B78,'Tillförd energi'!$B$1:$AI$720,MATCH(AC$2,'Tillförd energi'!$B$1:$AQ$1,0),FALSE)</f>
        <v>0</v>
      </c>
      <c r="AD78" s="63">
        <f>VLOOKUP($B78,'Tillförd energi'!$B$1:$AI$720,MATCH(AD$2,'Tillförd energi'!$B$1:$AQ$1,0),FALSE)</f>
        <v>0</v>
      </c>
      <c r="AE78" s="63">
        <f>VLOOKUP($B78,'Tillförd energi'!$B$1:$AI$720,MATCH(AE$2,'Tillförd energi'!$B$1:$AQ$1,0),FALSE)</f>
        <v>0</v>
      </c>
      <c r="AF78" s="63">
        <f>VLOOKUP($B78,'Tillförd energi'!$B$1:$AI$720,MATCH(AF$2,'Tillförd energi'!$B$1:$AQ$1,0),FALSE)</f>
        <v>0.63</v>
      </c>
      <c r="AG78" s="63">
        <f>IFERROR(VLOOKUP(B78,Miljö!$B$1:$AC$550,MATCH("Köpt mängd produktionsspecifik fjärrvärme:",Miljö!$B$1:$AC$1,0),FALSE)/1,0)</f>
        <v>0</v>
      </c>
      <c r="AI78" s="63">
        <f t="shared" si="6"/>
        <v>5.1789999999999994</v>
      </c>
      <c r="AJ78" s="63">
        <f>IF(ISERROR(1/VLOOKUP($B78,Leveranser!$B$1:$S$500,MATCH("såld värme (gwh)",Leveranser!$B$1:$S$1,0),FALSE)),"",VLOOKUP($B78,Leveranser!$B$1:$S$500,MATCH("såld värme (gwh)",Leveranser!$B$1:$S$1,0),FALSE))</f>
        <v>4</v>
      </c>
      <c r="AM78" s="63" t="str">
        <f>IF(B78&lt;&gt;"",IF(VLOOKUP($B78,Totalt!$B$1:$AQ$554,MATCH("Kvalitetsgranskad:",Totalt!$B$1:$AQ$1,0),FALSE)="ja",VLOOKUP($B78,Miljö!$B$1:$AG$479,MATCH(AM$2,Miljö!$B$1:$AK$1,0),FALSE),""),"")</f>
        <v>Ja</v>
      </c>
      <c r="AN78" s="63" t="str">
        <f>IF(AM78="ja",VLOOKUP($B78,Miljö!$B$1:$J$479,MATCH("Typ av ursprungsspecificerad el   (Om inget värde anges används Nordisk residualmix, se inforuta) ()",Miljö!$B$1:$J$1,0),FALSE),IF(AM78="nej","Nordisk residualel",""))</f>
        <v>'Bra Miljöval'</v>
      </c>
      <c r="AO78" s="63">
        <f>IF(AM78="","",VLOOKUP($B78,Miljö!$B$1:$J$479,MATCH("Fossilandel för ursprungspecificerad el ()",Miljö!$B$1:$J$1,0),FALSE))</f>
        <v>0</v>
      </c>
      <c r="AQ78" s="63">
        <f t="shared" si="7"/>
        <v>1</v>
      </c>
      <c r="AS78" s="63" t="str">
        <f t="shared" si="8"/>
        <v>Nej</v>
      </c>
      <c r="AT78" s="63" t="str">
        <f>IF(AS78="ja",VLOOKUP($B78,Miljö!$B$1:$P$500,MATCH("Fossil andel i procent (%)",Miljö!$B$1:$P$1,0),FALSE)/100,"")</f>
        <v/>
      </c>
      <c r="AV78" s="63" t="str">
        <f t="shared" si="9"/>
        <v>Nej</v>
      </c>
      <c r="AW78" s="63" t="str">
        <f>IF(AV78="ja",VLOOKUP($B78,'Egen hetvattenprod'!$B$1:$AO$500,MATCH("Värmekälla till värmepumpar ()",'Egen hetvattenprod'!$B$1:$AO$1,0),FALSE),"")</f>
        <v/>
      </c>
      <c r="AY78" s="63" t="str">
        <f t="shared" si="10"/>
        <v>Nej</v>
      </c>
      <c r="AZ78" s="77" t="str">
        <f>IF($AY78="ja",(VLOOKUP($B78,'Egen hetvattenprod'!$B$1:$BX$550,MATCH(AZ$2,'Egen hetvattenprod'!$B$1:$BX$1,0),FALSE)+VLOOKUP($B78,Kraftvärmeprod!$B$1:$BX$550,MATCH(AZ$2,Kraftvärmeprod!$B$1:$BX$1,0),FALSE))/$AC78,"")</f>
        <v/>
      </c>
      <c r="BA78" s="77" t="str">
        <f>IF($AY78="ja",(VLOOKUP($B78,'Egen hetvattenprod'!$B$1:$BX$550,MATCH(BA$2,'Egen hetvattenprod'!$B$1:$BX$1,0),FALSE)+VLOOKUP($B78,Kraftvärmeprod!$B$1:$BX$550,MATCH(BA$2,Kraftvärmeprod!$B$1:$BX$1,0),FALSE))/$AC78,"")</f>
        <v/>
      </c>
      <c r="BB78" s="77" t="str">
        <f>IF($AY78="ja",(VLOOKUP($B78,'Egen hetvattenprod'!$B$1:$BX$550,MATCH(BB$2,'Egen hetvattenprod'!$B$1:$BX$1,0),FALSE)+VLOOKUP($B78,Kraftvärmeprod!$B$1:$BX$550,MATCH(BB$2,Kraftvärmeprod!$B$1:$BX$1,0),FALSE))/$AC78,"")</f>
        <v/>
      </c>
      <c r="BC78" s="77" t="str">
        <f>IF($AY78="ja",(VLOOKUP($B78,'Egen hetvattenprod'!$B$1:$BX$550,MATCH(BC$2,'Egen hetvattenprod'!$B$1:$BX$1,0),FALSE)+VLOOKUP($B78,Kraftvärmeprod!$B$1:$BX$550,MATCH(BC$2,Kraftvärmeprod!$B$1:$BX$1,0),FALSE))/$AC78,"")</f>
        <v/>
      </c>
      <c r="BD78" s="77" t="str">
        <f>IF($AY78="ja",(VLOOKUP($B78,'Egen hetvattenprod'!$B$1:$BX$550,MATCH(BD$2,'Egen hetvattenprod'!$B$1:$BX$1,0),FALSE)+VLOOKUP($B78,Kraftvärmeprod!$B$1:$BX$550,MATCH(BD$2,Kraftvärmeprod!$B$1:$BX$1,0),FALSE))/$AC78,"")</f>
        <v/>
      </c>
      <c r="BF78" s="63" t="str">
        <f t="shared" si="11"/>
        <v>Nej</v>
      </c>
      <c r="BG78" s="63" t="str">
        <f>IF($BF78="ja",VLOOKUP($B78,'Egen hetvattenprod'!$B$1:$BX$550,MATCH("Andelen klimatgaser med fossilt ursprung för avfall ()",'Egen hetvattenprod'!$B$1:$BX$1,0),FALSE),"")</f>
        <v/>
      </c>
      <c r="BH78" s="63" t="str">
        <f>IF($BF78="ja",VLOOKUP($B78,Kraftvärmeprod!$B$1:$BX$550,MATCH("Andelen klimatgaser med fossilt ursprung för avfall ()",Kraftvärmeprod!$B$1:$BX$1,0),FALSE),"")</f>
        <v/>
      </c>
      <c r="BI78" s="63" t="str">
        <f>IF($BF78="ja",VLOOKUP($B78,'Egen hetvattenprod'!$B$1:$BX$550,MATCH("Avfall (GWh)",'Egen hetvattenprod'!$B$1:$BX$1,0),FALSE),"")</f>
        <v/>
      </c>
      <c r="BJ78" s="63" t="str">
        <f>IF($BF78="ja",VLOOKUP($B78,'Slutlig allokering kvv'!$B$1:$BX$550,MATCH("Avfall (GWh)",'Slutlig allokering kvv'!$B$1:$BX$1,0),FALSE),"")</f>
        <v/>
      </c>
      <c r="BK78" s="63" t="str">
        <f>IF($BF78="ja",VLOOKUP($B78,'Köpt hetvatten'!$B$1:$BX$550,MATCH("Avfall i köpt hetvatten",'Köpt hetvatten'!$B$1:$BX$1,0),FALSE),"")</f>
        <v/>
      </c>
      <c r="BL78" s="63" t="str">
        <f>IF($BF78="ja",VLOOKUP($B78,'Egen hetvattenprod'!$B$1:$BX$550,MATCH("Värde enligt ovan. (%)",'Egen hetvattenprod'!$B$1:$BX$1,0),FALSE),"")</f>
        <v/>
      </c>
      <c r="BM78" s="63" t="str">
        <f>IF($BF78="ja",VLOOKUP($B78,Kraftvärmeprod!$B$1:$BX$550,MATCH("Värde enligt ovan. (%)",Kraftvärmeprod!$B$1:$BX$1,0),FALSE),"")</f>
        <v/>
      </c>
    </row>
    <row r="79" spans="1:65" x14ac:dyDescent="0.45">
      <c r="A79" s="63" t="s">
        <v>589</v>
      </c>
      <c r="B79" s="63" t="s">
        <v>591</v>
      </c>
      <c r="C79" s="63">
        <f>VLOOKUP($B79,'Tillförd energi'!$B$1:$AI$720,MATCH(C$2,'Tillförd energi'!$B$1:$AQ$1,0),FALSE)</f>
        <v>0</v>
      </c>
      <c r="D79" s="63">
        <f>VLOOKUP($B79,'Tillförd energi'!$B$1:$AI$720,MATCH(D$2,'Tillförd energi'!$B$1:$AQ$1,0),FALSE)</f>
        <v>0</v>
      </c>
      <c r="E79" s="63">
        <f>VLOOKUP($B79,'Tillförd energi'!$B$1:$AI$720,MATCH(E$2,'Tillförd energi'!$B$1:$AQ$1,0),FALSE)</f>
        <v>0</v>
      </c>
      <c r="F79" s="63">
        <f>VLOOKUP($B79,'Tillförd energi'!$B$1:$AI$720,MATCH(F$2,'Tillförd energi'!$B$1:$AQ$1,0),FALSE)</f>
        <v>0</v>
      </c>
      <c r="G79" s="63">
        <f>VLOOKUP($B79,'Tillförd energi'!$B$1:$AI$720,MATCH(G$2,'Tillförd energi'!$B$1:$AQ$1,0),FALSE)</f>
        <v>0</v>
      </c>
      <c r="H79" s="63">
        <f>VLOOKUP($B79,'Tillförd energi'!$B$1:$AI$720,MATCH(H$2,'Tillförd energi'!$B$1:$AQ$1,0),FALSE)</f>
        <v>0</v>
      </c>
      <c r="I79" s="63">
        <f>VLOOKUP($B79,'Tillförd energi'!$B$1:$AI$720,MATCH(I$2,'Tillförd energi'!$B$1:$AQ$1,0),FALSE)</f>
        <v>0</v>
      </c>
      <c r="J79" s="63">
        <f>VLOOKUP($B79,'Tillförd energi'!$B$1:$AI$720,MATCH(J$2,'Tillförd energi'!$B$1:$AQ$1,0),FALSE)</f>
        <v>1.1140000000000001</v>
      </c>
      <c r="K79" s="63">
        <f>VLOOKUP($B79,'Tillförd energi'!$B$1:$AI$720,MATCH(K$2,'Tillförd energi'!$B$1:$AQ$1,0),FALSE)</f>
        <v>0</v>
      </c>
      <c r="L79" s="63">
        <f>VLOOKUP($B79,'Tillförd energi'!$B$1:$AI$720,MATCH(L$2,'Tillförd energi'!$B$1:$AQ$1,0),FALSE)</f>
        <v>0</v>
      </c>
      <c r="M79" s="63">
        <f>VLOOKUP($B79,'Tillförd energi'!$B$1:$AI$720,MATCH(M$2,'Tillförd energi'!$B$1:$AQ$1,0),FALSE)</f>
        <v>0</v>
      </c>
      <c r="N79" s="63">
        <f>VLOOKUP($B79,'Tillförd energi'!$B$1:$AI$720,MATCH(N$2,'Tillförd energi'!$B$1:$AQ$1,0),FALSE)</f>
        <v>57.026000000000003</v>
      </c>
      <c r="O79" s="63">
        <f>VLOOKUP($B79,'Tillförd energi'!$B$1:$AI$720,MATCH(O$2,'Tillförd energi'!$B$1:$AQ$1,0),FALSE)</f>
        <v>0</v>
      </c>
      <c r="P79" s="63">
        <f>VLOOKUP($B79,'Tillförd energi'!$B$1:$AI$720,MATCH(P$2,'Tillförd energi'!$B$1:$AQ$1,0),FALSE)</f>
        <v>20.004000000000001</v>
      </c>
      <c r="Q79" s="63">
        <f>VLOOKUP($B79,'Tillförd energi'!$B$1:$AI$720,MATCH(Q$2,'Tillförd energi'!$B$1:$AQ$1,0),FALSE)</f>
        <v>0</v>
      </c>
      <c r="R79" s="63">
        <f>VLOOKUP($B79,'Tillförd energi'!$B$1:$AI$720,MATCH(R$2,'Tillförd energi'!$B$1:$AQ$1,0),FALSE)</f>
        <v>4.0000000000000001E-3</v>
      </c>
      <c r="S79" s="63">
        <f>VLOOKUP($B79,'Tillförd energi'!$B$1:$AI$720,MATCH(S$2,'Tillförd energi'!$B$1:$AQ$1,0),FALSE)</f>
        <v>0</v>
      </c>
      <c r="T79" s="63">
        <f>VLOOKUP($B79,'Tillförd energi'!$B$1:$AI$720,MATCH(T$2,'Tillförd energi'!$B$1:$AQ$1,0),FALSE)</f>
        <v>0</v>
      </c>
      <c r="U79" s="63">
        <f>VLOOKUP($B79,'Tillförd energi'!$B$1:$AI$720,MATCH(U$2,'Tillförd energi'!$B$1:$AQ$1,0),FALSE)</f>
        <v>0</v>
      </c>
      <c r="V79" s="63">
        <f>VLOOKUP($B79,'Tillförd energi'!$B$1:$AI$720,MATCH(V$2,'Tillförd energi'!$B$1:$AQ$1,0),FALSE)</f>
        <v>0</v>
      </c>
      <c r="W79" s="63">
        <f>VLOOKUP($B79,'Tillförd energi'!$B$1:$AI$720,MATCH(W$2,'Tillförd energi'!$B$1:$AQ$1,0),FALSE)</f>
        <v>2.5680000000000001</v>
      </c>
      <c r="X79" s="63">
        <f>VLOOKUP($B79,'Tillförd energi'!$B$1:$AI$720,MATCH(X$2,'Tillförd energi'!$B$1:$AQ$1,0),FALSE)</f>
        <v>0</v>
      </c>
      <c r="Y79" s="63">
        <f>VLOOKUP($B79,'Tillförd energi'!$B$1:$AI$720,MATCH(Y$2,'Tillförd energi'!$B$1:$AQ$1,0),FALSE)</f>
        <v>0</v>
      </c>
      <c r="Z79" s="63">
        <f>VLOOKUP($B79,'Tillförd energi'!$B$1:$AI$720,MATCH(Z$2,'Tillförd energi'!$B$1:$AQ$1,0),FALSE)</f>
        <v>0</v>
      </c>
      <c r="AA79" s="63">
        <f>VLOOKUP($B79,'Tillförd energi'!$B$1:$AI$720,MATCH(AA$2,'Tillförd energi'!$B$1:$AQ$1,0),FALSE)</f>
        <v>0</v>
      </c>
      <c r="AB79" s="63">
        <f>VLOOKUP($B79,'Tillförd energi'!$B$1:$AI$720,MATCH(AB$2,'Tillförd energi'!$B$1:$AQ$1,0),FALSE)</f>
        <v>0</v>
      </c>
      <c r="AC79" s="63">
        <f>VLOOKUP($B79,'Tillförd energi'!$B$1:$AI$720,MATCH(AC$2,'Tillförd energi'!$B$1:$AQ$1,0),FALSE)</f>
        <v>8.0169999999999995</v>
      </c>
      <c r="AD79" s="63">
        <f>VLOOKUP($B79,'Tillförd energi'!$B$1:$AI$720,MATCH(AD$2,'Tillförd energi'!$B$1:$AQ$1,0),FALSE)</f>
        <v>0</v>
      </c>
      <c r="AE79" s="63">
        <f>VLOOKUP($B79,'Tillförd energi'!$B$1:$AI$720,MATCH(AE$2,'Tillförd energi'!$B$1:$AQ$1,0),FALSE)</f>
        <v>0</v>
      </c>
      <c r="AF79" s="63">
        <f>VLOOKUP($B79,'Tillförd energi'!$B$1:$AI$720,MATCH(AF$2,'Tillförd energi'!$B$1:$AQ$1,0),FALSE)</f>
        <v>1.716</v>
      </c>
      <c r="AG79" s="63">
        <f>IFERROR(VLOOKUP(B79,Miljö!$B$1:$AC$550,MATCH("Köpt mängd produktionsspecifik fjärrvärme:",Miljö!$B$1:$AC$1,0),FALSE)/1,0)</f>
        <v>0</v>
      </c>
      <c r="AI79" s="63">
        <f t="shared" si="6"/>
        <v>90.448999999999998</v>
      </c>
      <c r="AJ79" s="63">
        <f>IF(ISERROR(1/VLOOKUP($B79,Leveranser!$B$1:$S$500,MATCH("såld värme (gwh)",Leveranser!$B$1:$S$1,0),FALSE)),"",VLOOKUP($B79,Leveranser!$B$1:$S$500,MATCH("såld värme (gwh)",Leveranser!$B$1:$S$1,0),FALSE))</f>
        <v>63.613999999999997</v>
      </c>
      <c r="AM79" s="63" t="str">
        <f>IF(B79&lt;&gt;"",IF(VLOOKUP($B79,Totalt!$B$1:$AQ$554,MATCH("Kvalitetsgranskad:",Totalt!$B$1:$AQ$1,0),FALSE)="ja",VLOOKUP($B79,Miljö!$B$1:$AG$479,MATCH(AM$2,Miljö!$B$1:$AK$1,0),FALSE),""),"")</f>
        <v>Ja</v>
      </c>
      <c r="AN79" s="63" t="str">
        <f>IF(AM79="ja",VLOOKUP($B79,Miljö!$B$1:$J$479,MATCH("Typ av ursprungsspecificerad el   (Om inget värde anges används Nordisk residualmix, se inforuta) ()",Miljö!$B$1:$J$1,0),FALSE),IF(AM79="nej","Nordisk residualel",""))</f>
        <v>'FEAB Bra miljöval'</v>
      </c>
      <c r="AO79" s="63">
        <f>IF(AM79="","",VLOOKUP($B79,Miljö!$B$1:$J$479,MATCH("Fossilandel för ursprungspecificerad el ()",Miljö!$B$1:$J$1,0),FALSE))</f>
        <v>0</v>
      </c>
      <c r="AQ79" s="63">
        <f t="shared" si="7"/>
        <v>1</v>
      </c>
      <c r="AS79" s="63" t="str">
        <f t="shared" si="8"/>
        <v>Nej</v>
      </c>
      <c r="AT79" s="63" t="str">
        <f>IF(AS79="ja",VLOOKUP($B79,Miljö!$B$1:$P$500,MATCH("Fossil andel i procent (%)",Miljö!$B$1:$P$1,0),FALSE)/100,"")</f>
        <v/>
      </c>
      <c r="AV79" s="63" t="str">
        <f t="shared" si="9"/>
        <v>Nej</v>
      </c>
      <c r="AW79" s="63" t="str">
        <f>IF(AV79="ja",VLOOKUP($B79,'Egen hetvattenprod'!$B$1:$AO$500,MATCH("Värmekälla till värmepumpar ()",'Egen hetvattenprod'!$B$1:$AO$1,0),FALSE),"")</f>
        <v/>
      </c>
      <c r="AY79" s="63" t="str">
        <f t="shared" si="10"/>
        <v>Ja</v>
      </c>
      <c r="AZ79" s="77">
        <f>IF($AY79="ja",(VLOOKUP($B79,'Egen hetvattenprod'!$B$1:$BX$550,MATCH(AZ$2,'Egen hetvattenprod'!$B$1:$BX$1,0),FALSE)+VLOOKUP($B79,Kraftvärmeprod!$B$1:$BX$550,MATCH(AZ$2,Kraftvärmeprod!$B$1:$BX$1,0),FALSE))/$AC79,"")</f>
        <v>1</v>
      </c>
      <c r="BA79" s="77">
        <f>IF($AY79="ja",(VLOOKUP($B79,'Egen hetvattenprod'!$B$1:$BX$550,MATCH(BA$2,'Egen hetvattenprod'!$B$1:$BX$1,0),FALSE)+VLOOKUP($B79,Kraftvärmeprod!$B$1:$BX$550,MATCH(BA$2,Kraftvärmeprod!$B$1:$BX$1,0),FALSE))/$AC79,"")</f>
        <v>0</v>
      </c>
      <c r="BB79" s="77">
        <f>IF($AY79="ja",(VLOOKUP($B79,'Egen hetvattenprod'!$B$1:$BX$550,MATCH(BB$2,'Egen hetvattenprod'!$B$1:$BX$1,0),FALSE)+VLOOKUP($B79,Kraftvärmeprod!$B$1:$BX$550,MATCH(BB$2,Kraftvärmeprod!$B$1:$BX$1,0),FALSE))/$AC79,"")</f>
        <v>0</v>
      </c>
      <c r="BC79" s="77">
        <f>IF($AY79="ja",(VLOOKUP($B79,'Egen hetvattenprod'!$B$1:$BX$550,MATCH(BC$2,'Egen hetvattenprod'!$B$1:$BX$1,0),FALSE)+VLOOKUP($B79,Kraftvärmeprod!$B$1:$BX$550,MATCH(BC$2,Kraftvärmeprod!$B$1:$BX$1,0),FALSE))/$AC79,"")</f>
        <v>0</v>
      </c>
      <c r="BD79" s="77">
        <f>IF($AY79="ja",(VLOOKUP($B79,'Egen hetvattenprod'!$B$1:$BX$550,MATCH(BD$2,'Egen hetvattenprod'!$B$1:$BX$1,0),FALSE)+VLOOKUP($B79,Kraftvärmeprod!$B$1:$BX$550,MATCH(BD$2,Kraftvärmeprod!$B$1:$BX$1,0),FALSE))/$AC79,"")</f>
        <v>0</v>
      </c>
      <c r="BF79" s="63" t="str">
        <f t="shared" si="11"/>
        <v>Nej</v>
      </c>
      <c r="BG79" s="63" t="str">
        <f>IF($BF79="ja",VLOOKUP($B79,'Egen hetvattenprod'!$B$1:$BX$550,MATCH("Andelen klimatgaser med fossilt ursprung för avfall ()",'Egen hetvattenprod'!$B$1:$BX$1,0),FALSE),"")</f>
        <v/>
      </c>
      <c r="BH79" s="63" t="str">
        <f>IF($BF79="ja",VLOOKUP($B79,Kraftvärmeprod!$B$1:$BX$550,MATCH("Andelen klimatgaser med fossilt ursprung för avfall ()",Kraftvärmeprod!$B$1:$BX$1,0),FALSE),"")</f>
        <v/>
      </c>
      <c r="BI79" s="63" t="str">
        <f>IF($BF79="ja",VLOOKUP($B79,'Egen hetvattenprod'!$B$1:$BX$550,MATCH("Avfall (GWh)",'Egen hetvattenprod'!$B$1:$BX$1,0),FALSE),"")</f>
        <v/>
      </c>
      <c r="BJ79" s="63" t="str">
        <f>IF($BF79="ja",VLOOKUP($B79,'Slutlig allokering kvv'!$B$1:$BX$550,MATCH("Avfall (GWh)",'Slutlig allokering kvv'!$B$1:$BX$1,0),FALSE),"")</f>
        <v/>
      </c>
      <c r="BK79" s="63" t="str">
        <f>IF($BF79="ja",VLOOKUP($B79,'Köpt hetvatten'!$B$1:$BX$550,MATCH("Avfall i köpt hetvatten",'Köpt hetvatten'!$B$1:$BX$1,0),FALSE),"")</f>
        <v/>
      </c>
      <c r="BL79" s="63" t="str">
        <f>IF($BF79="ja",VLOOKUP($B79,'Egen hetvattenprod'!$B$1:$BX$550,MATCH("Värde enligt ovan. (%)",'Egen hetvattenprod'!$B$1:$BX$1,0),FALSE),"")</f>
        <v/>
      </c>
      <c r="BM79" s="63" t="str">
        <f>IF($BF79="ja",VLOOKUP($B79,Kraftvärmeprod!$B$1:$BX$550,MATCH("Värde enligt ovan. (%)",Kraftvärmeprod!$B$1:$BX$1,0),FALSE),"")</f>
        <v/>
      </c>
    </row>
    <row r="80" spans="1:65" x14ac:dyDescent="0.45">
      <c r="A80" s="63" t="s">
        <v>589</v>
      </c>
      <c r="B80" s="63" t="s">
        <v>590</v>
      </c>
      <c r="C80" s="63">
        <f>VLOOKUP($B80,'Tillförd energi'!$B$1:$AI$720,MATCH(C$2,'Tillförd energi'!$B$1:$AQ$1,0),FALSE)</f>
        <v>0</v>
      </c>
      <c r="D80" s="63">
        <f>VLOOKUP($B80,'Tillförd energi'!$B$1:$AI$720,MATCH(D$2,'Tillförd energi'!$B$1:$AQ$1,0),FALSE)</f>
        <v>5.3999999999999999E-2</v>
      </c>
      <c r="E80" s="63">
        <f>VLOOKUP($B80,'Tillförd energi'!$B$1:$AI$720,MATCH(E$2,'Tillförd energi'!$B$1:$AQ$1,0),FALSE)</f>
        <v>0</v>
      </c>
      <c r="F80" s="63">
        <f>VLOOKUP($B80,'Tillförd energi'!$B$1:$AI$720,MATCH(F$2,'Tillförd energi'!$B$1:$AQ$1,0),FALSE)</f>
        <v>0</v>
      </c>
      <c r="G80" s="63">
        <f>VLOOKUP($B80,'Tillförd energi'!$B$1:$AI$720,MATCH(G$2,'Tillförd energi'!$B$1:$AQ$1,0),FALSE)</f>
        <v>0</v>
      </c>
      <c r="H80" s="63">
        <f>VLOOKUP($B80,'Tillförd energi'!$B$1:$AI$720,MATCH(H$2,'Tillförd energi'!$B$1:$AQ$1,0),FALSE)</f>
        <v>0</v>
      </c>
      <c r="I80" s="63">
        <f>VLOOKUP($B80,'Tillförd energi'!$B$1:$AI$720,MATCH(I$2,'Tillförd energi'!$B$1:$AQ$1,0),FALSE)</f>
        <v>0</v>
      </c>
      <c r="J80" s="63">
        <f>VLOOKUP($B80,'Tillförd energi'!$B$1:$AI$720,MATCH(J$2,'Tillförd energi'!$B$1:$AQ$1,0),FALSE)</f>
        <v>0</v>
      </c>
      <c r="K80" s="63">
        <f>VLOOKUP($B80,'Tillförd energi'!$B$1:$AI$720,MATCH(K$2,'Tillförd energi'!$B$1:$AQ$1,0),FALSE)</f>
        <v>0</v>
      </c>
      <c r="L80" s="63">
        <f>VLOOKUP($B80,'Tillförd energi'!$B$1:$AI$720,MATCH(L$2,'Tillförd energi'!$B$1:$AQ$1,0),FALSE)</f>
        <v>0</v>
      </c>
      <c r="M80" s="63">
        <f>VLOOKUP($B80,'Tillförd energi'!$B$1:$AI$720,MATCH(M$2,'Tillförd energi'!$B$1:$AQ$1,0),FALSE)</f>
        <v>0</v>
      </c>
      <c r="N80" s="63">
        <f>VLOOKUP($B80,'Tillförd energi'!$B$1:$AI$720,MATCH(N$2,'Tillförd energi'!$B$1:$AQ$1,0),FALSE)</f>
        <v>0</v>
      </c>
      <c r="O80" s="63">
        <f>VLOOKUP($B80,'Tillförd energi'!$B$1:$AI$720,MATCH(O$2,'Tillförd energi'!$B$1:$AQ$1,0),FALSE)</f>
        <v>0</v>
      </c>
      <c r="P80" s="63">
        <f>VLOOKUP($B80,'Tillförd energi'!$B$1:$AI$720,MATCH(P$2,'Tillförd energi'!$B$1:$AQ$1,0),FALSE)</f>
        <v>0</v>
      </c>
      <c r="Q80" s="63">
        <f>VLOOKUP($B80,'Tillförd energi'!$B$1:$AI$720,MATCH(Q$2,'Tillförd energi'!$B$1:$AQ$1,0),FALSE)</f>
        <v>0</v>
      </c>
      <c r="R80" s="63">
        <f>VLOOKUP($B80,'Tillförd energi'!$B$1:$AI$720,MATCH(R$2,'Tillförd energi'!$B$1:$AQ$1,0),FALSE)</f>
        <v>2.8679999999999999</v>
      </c>
      <c r="S80" s="63">
        <f>VLOOKUP($B80,'Tillförd energi'!$B$1:$AI$720,MATCH(S$2,'Tillförd energi'!$B$1:$AQ$1,0),FALSE)</f>
        <v>0</v>
      </c>
      <c r="T80" s="63">
        <f>VLOOKUP($B80,'Tillförd energi'!$B$1:$AI$720,MATCH(T$2,'Tillförd energi'!$B$1:$AQ$1,0),FALSE)</f>
        <v>0</v>
      </c>
      <c r="U80" s="63">
        <f>VLOOKUP($B80,'Tillförd energi'!$B$1:$AI$720,MATCH(U$2,'Tillförd energi'!$B$1:$AQ$1,0),FALSE)</f>
        <v>0</v>
      </c>
      <c r="V80" s="63">
        <f>VLOOKUP($B80,'Tillförd energi'!$B$1:$AI$720,MATCH(V$2,'Tillförd energi'!$B$1:$AQ$1,0),FALSE)</f>
        <v>0</v>
      </c>
      <c r="W80" s="63">
        <f>VLOOKUP($B80,'Tillförd energi'!$B$1:$AI$720,MATCH(W$2,'Tillförd energi'!$B$1:$AQ$1,0),FALSE)</f>
        <v>0</v>
      </c>
      <c r="X80" s="63">
        <f>VLOOKUP($B80,'Tillförd energi'!$B$1:$AI$720,MATCH(X$2,'Tillförd energi'!$B$1:$AQ$1,0),FALSE)</f>
        <v>0</v>
      </c>
      <c r="Y80" s="63">
        <f>VLOOKUP($B80,'Tillförd energi'!$B$1:$AI$720,MATCH(Y$2,'Tillförd energi'!$B$1:$AQ$1,0),FALSE)</f>
        <v>0</v>
      </c>
      <c r="Z80" s="63">
        <f>VLOOKUP($B80,'Tillförd energi'!$B$1:$AI$720,MATCH(Z$2,'Tillförd energi'!$B$1:$AQ$1,0),FALSE)</f>
        <v>0</v>
      </c>
      <c r="AA80" s="63">
        <f>VLOOKUP($B80,'Tillförd energi'!$B$1:$AI$720,MATCH(AA$2,'Tillförd energi'!$B$1:$AQ$1,0),FALSE)</f>
        <v>0</v>
      </c>
      <c r="AB80" s="63">
        <f>VLOOKUP($B80,'Tillförd energi'!$B$1:$AI$720,MATCH(AB$2,'Tillförd energi'!$B$1:$AQ$1,0),FALSE)</f>
        <v>0</v>
      </c>
      <c r="AC80" s="63">
        <f>VLOOKUP($B80,'Tillförd energi'!$B$1:$AI$720,MATCH(AC$2,'Tillförd energi'!$B$1:$AQ$1,0),FALSE)</f>
        <v>0</v>
      </c>
      <c r="AD80" s="63">
        <f>VLOOKUP($B80,'Tillförd energi'!$B$1:$AI$720,MATCH(AD$2,'Tillförd energi'!$B$1:$AQ$1,0),FALSE)</f>
        <v>0</v>
      </c>
      <c r="AE80" s="63">
        <f>VLOOKUP($B80,'Tillförd energi'!$B$1:$AI$720,MATCH(AE$2,'Tillförd energi'!$B$1:$AQ$1,0),FALSE)</f>
        <v>0</v>
      </c>
      <c r="AF80" s="63">
        <f>VLOOKUP($B80,'Tillförd energi'!$B$1:$AI$720,MATCH(AF$2,'Tillförd energi'!$B$1:$AQ$1,0),FALSE)</f>
        <v>4.9000000000000002E-2</v>
      </c>
      <c r="AG80" s="63">
        <f>IFERROR(VLOOKUP(B80,Miljö!$B$1:$AC$550,MATCH("Köpt mängd produktionsspecifik fjärrvärme:",Miljö!$B$1:$AC$1,0),FALSE)/1,0)</f>
        <v>0</v>
      </c>
      <c r="AI80" s="63">
        <f t="shared" si="6"/>
        <v>2.9709999999999996</v>
      </c>
      <c r="AJ80" s="63">
        <f>IF(ISERROR(1/VLOOKUP($B80,Leveranser!$B$1:$S$500,MATCH("såld värme (gwh)",Leveranser!$B$1:$S$1,0),FALSE)),"",VLOOKUP($B80,Leveranser!$B$1:$S$500,MATCH("såld värme (gwh)",Leveranser!$B$1:$S$1,0),FALSE))</f>
        <v>2.3220000000000001</v>
      </c>
      <c r="AM80" s="63" t="str">
        <f>IF(B80&lt;&gt;"",IF(VLOOKUP($B80,Totalt!$B$1:$AQ$554,MATCH("Kvalitetsgranskad:",Totalt!$B$1:$AQ$1,0),FALSE)="ja",VLOOKUP($B80,Miljö!$B$1:$AG$479,MATCH(AM$2,Miljö!$B$1:$AK$1,0),FALSE),""),"")</f>
        <v>Ja</v>
      </c>
      <c r="AN80" s="63" t="str">
        <f>IF(AM80="ja",VLOOKUP($B80,Miljö!$B$1:$J$479,MATCH("Typ av ursprungsspecificerad el   (Om inget värde anges används Nordisk residualmix, se inforuta) ()",Miljö!$B$1:$J$1,0),FALSE),IF(AM80="nej","Nordisk residualel",""))</f>
        <v>'FEAB Bra miljöval'</v>
      </c>
      <c r="AO80" s="63">
        <f>IF(AM80="","",VLOOKUP($B80,Miljö!$B$1:$J$479,MATCH("Fossilandel för ursprungspecificerad el ()",Miljö!$B$1:$J$1,0),FALSE))</f>
        <v>0</v>
      </c>
      <c r="AQ80" s="63">
        <f t="shared" si="7"/>
        <v>1</v>
      </c>
      <c r="AS80" s="63" t="str">
        <f t="shared" si="8"/>
        <v>Nej</v>
      </c>
      <c r="AT80" s="63" t="str">
        <f>IF(AS80="ja",VLOOKUP($B80,Miljö!$B$1:$P$500,MATCH("Fossil andel i procent (%)",Miljö!$B$1:$P$1,0),FALSE)/100,"")</f>
        <v/>
      </c>
      <c r="AV80" s="63" t="str">
        <f t="shared" si="9"/>
        <v>Nej</v>
      </c>
      <c r="AW80" s="63" t="str">
        <f>IF(AV80="ja",VLOOKUP($B80,'Egen hetvattenprod'!$B$1:$AO$500,MATCH("Värmekälla till värmepumpar ()",'Egen hetvattenprod'!$B$1:$AO$1,0),FALSE),"")</f>
        <v/>
      </c>
      <c r="AY80" s="63" t="str">
        <f t="shared" si="10"/>
        <v>Nej</v>
      </c>
      <c r="AZ80" s="77" t="str">
        <f>IF($AY80="ja",(VLOOKUP($B80,'Egen hetvattenprod'!$B$1:$BX$550,MATCH(AZ$2,'Egen hetvattenprod'!$B$1:$BX$1,0),FALSE)+VLOOKUP($B80,Kraftvärmeprod!$B$1:$BX$550,MATCH(AZ$2,Kraftvärmeprod!$B$1:$BX$1,0),FALSE))/$AC80,"")</f>
        <v/>
      </c>
      <c r="BA80" s="77" t="str">
        <f>IF($AY80="ja",(VLOOKUP($B80,'Egen hetvattenprod'!$B$1:$BX$550,MATCH(BA$2,'Egen hetvattenprod'!$B$1:$BX$1,0),FALSE)+VLOOKUP($B80,Kraftvärmeprod!$B$1:$BX$550,MATCH(BA$2,Kraftvärmeprod!$B$1:$BX$1,0),FALSE))/$AC80,"")</f>
        <v/>
      </c>
      <c r="BB80" s="77" t="str">
        <f>IF($AY80="ja",(VLOOKUP($B80,'Egen hetvattenprod'!$B$1:$BX$550,MATCH(BB$2,'Egen hetvattenprod'!$B$1:$BX$1,0),FALSE)+VLOOKUP($B80,Kraftvärmeprod!$B$1:$BX$550,MATCH(BB$2,Kraftvärmeprod!$B$1:$BX$1,0),FALSE))/$AC80,"")</f>
        <v/>
      </c>
      <c r="BC80" s="77" t="str">
        <f>IF($AY80="ja",(VLOOKUP($B80,'Egen hetvattenprod'!$B$1:$BX$550,MATCH(BC$2,'Egen hetvattenprod'!$B$1:$BX$1,0),FALSE)+VLOOKUP($B80,Kraftvärmeprod!$B$1:$BX$550,MATCH(BC$2,Kraftvärmeprod!$B$1:$BX$1,0),FALSE))/$AC80,"")</f>
        <v/>
      </c>
      <c r="BD80" s="77" t="str">
        <f>IF($AY80="ja",(VLOOKUP($B80,'Egen hetvattenprod'!$B$1:$BX$550,MATCH(BD$2,'Egen hetvattenprod'!$B$1:$BX$1,0),FALSE)+VLOOKUP($B80,Kraftvärmeprod!$B$1:$BX$550,MATCH(BD$2,Kraftvärmeprod!$B$1:$BX$1,0),FALSE))/$AC80,"")</f>
        <v/>
      </c>
      <c r="BF80" s="63" t="str">
        <f t="shared" si="11"/>
        <v>Nej</v>
      </c>
      <c r="BG80" s="63" t="str">
        <f>IF($BF80="ja",VLOOKUP($B80,'Egen hetvattenprod'!$B$1:$BX$550,MATCH("Andelen klimatgaser med fossilt ursprung för avfall ()",'Egen hetvattenprod'!$B$1:$BX$1,0),FALSE),"")</f>
        <v/>
      </c>
      <c r="BH80" s="63" t="str">
        <f>IF($BF80="ja",VLOOKUP($B80,Kraftvärmeprod!$B$1:$BX$550,MATCH("Andelen klimatgaser med fossilt ursprung för avfall ()",Kraftvärmeprod!$B$1:$BX$1,0),FALSE),"")</f>
        <v/>
      </c>
      <c r="BI80" s="63" t="str">
        <f>IF($BF80="ja",VLOOKUP($B80,'Egen hetvattenprod'!$B$1:$BX$550,MATCH("Avfall (GWh)",'Egen hetvattenprod'!$B$1:$BX$1,0),FALSE),"")</f>
        <v/>
      </c>
      <c r="BJ80" s="63" t="str">
        <f>IF($BF80="ja",VLOOKUP($B80,'Slutlig allokering kvv'!$B$1:$BX$550,MATCH("Avfall (GWh)",'Slutlig allokering kvv'!$B$1:$BX$1,0),FALSE),"")</f>
        <v/>
      </c>
      <c r="BK80" s="63" t="str">
        <f>IF($BF80="ja",VLOOKUP($B80,'Köpt hetvatten'!$B$1:$BX$550,MATCH("Avfall i köpt hetvatten",'Köpt hetvatten'!$B$1:$BX$1,0),FALSE),"")</f>
        <v/>
      </c>
      <c r="BL80" s="63" t="str">
        <f>IF($BF80="ja",VLOOKUP($B80,'Egen hetvattenprod'!$B$1:$BX$550,MATCH("Värde enligt ovan. (%)",'Egen hetvattenprod'!$B$1:$BX$1,0),FALSE),"")</f>
        <v/>
      </c>
      <c r="BM80" s="63" t="str">
        <f>IF($BF80="ja",VLOOKUP($B80,Kraftvärmeprod!$B$1:$BX$550,MATCH("Värde enligt ovan. (%)",Kraftvärmeprod!$B$1:$BX$1,0),FALSE),"")</f>
        <v/>
      </c>
    </row>
    <row r="81" spans="1:65" x14ac:dyDescent="0.45">
      <c r="A81" s="63" t="s">
        <v>589</v>
      </c>
      <c r="B81" s="63" t="s">
        <v>588</v>
      </c>
      <c r="C81" s="63">
        <f>VLOOKUP($B81,'Tillförd energi'!$B$1:$AI$720,MATCH(C$2,'Tillförd energi'!$B$1:$AQ$1,0),FALSE)</f>
        <v>0</v>
      </c>
      <c r="D81" s="63">
        <f>VLOOKUP($B81,'Tillförd energi'!$B$1:$AI$720,MATCH(D$2,'Tillförd energi'!$B$1:$AQ$1,0),FALSE)</f>
        <v>5.6000000000000001E-2</v>
      </c>
      <c r="E81" s="63">
        <f>VLOOKUP($B81,'Tillförd energi'!$B$1:$AI$720,MATCH(E$2,'Tillförd energi'!$B$1:$AQ$1,0),FALSE)</f>
        <v>0</v>
      </c>
      <c r="F81" s="63">
        <f>VLOOKUP($B81,'Tillförd energi'!$B$1:$AI$720,MATCH(F$2,'Tillförd energi'!$B$1:$AQ$1,0),FALSE)</f>
        <v>0</v>
      </c>
      <c r="G81" s="63">
        <f>VLOOKUP($B81,'Tillförd energi'!$B$1:$AI$720,MATCH(G$2,'Tillförd energi'!$B$1:$AQ$1,0),FALSE)</f>
        <v>0</v>
      </c>
      <c r="H81" s="63">
        <f>VLOOKUP($B81,'Tillförd energi'!$B$1:$AI$720,MATCH(H$2,'Tillförd energi'!$B$1:$AQ$1,0),FALSE)</f>
        <v>0</v>
      </c>
      <c r="I81" s="63">
        <f>VLOOKUP($B81,'Tillförd energi'!$B$1:$AI$720,MATCH(I$2,'Tillförd energi'!$B$1:$AQ$1,0),FALSE)</f>
        <v>0</v>
      </c>
      <c r="J81" s="63">
        <f>VLOOKUP($B81,'Tillförd energi'!$B$1:$AI$720,MATCH(J$2,'Tillförd energi'!$B$1:$AQ$1,0),FALSE)</f>
        <v>0</v>
      </c>
      <c r="K81" s="63">
        <f>VLOOKUP($B81,'Tillförd energi'!$B$1:$AI$720,MATCH(K$2,'Tillförd energi'!$B$1:$AQ$1,0),FALSE)</f>
        <v>0</v>
      </c>
      <c r="L81" s="63">
        <f>VLOOKUP($B81,'Tillförd energi'!$B$1:$AI$720,MATCH(L$2,'Tillförd energi'!$B$1:$AQ$1,0),FALSE)</f>
        <v>0</v>
      </c>
      <c r="M81" s="63">
        <f>VLOOKUP($B81,'Tillförd energi'!$B$1:$AI$720,MATCH(M$2,'Tillförd energi'!$B$1:$AQ$1,0),FALSE)</f>
        <v>0</v>
      </c>
      <c r="N81" s="63">
        <f>VLOOKUP($B81,'Tillförd energi'!$B$1:$AI$720,MATCH(N$2,'Tillförd energi'!$B$1:$AQ$1,0),FALSE)</f>
        <v>0</v>
      </c>
      <c r="O81" s="63">
        <f>VLOOKUP($B81,'Tillförd energi'!$B$1:$AI$720,MATCH(O$2,'Tillförd energi'!$B$1:$AQ$1,0),FALSE)</f>
        <v>0</v>
      </c>
      <c r="P81" s="63">
        <f>VLOOKUP($B81,'Tillförd energi'!$B$1:$AI$720,MATCH(P$2,'Tillförd energi'!$B$1:$AQ$1,0),FALSE)</f>
        <v>0</v>
      </c>
      <c r="Q81" s="63">
        <f>VLOOKUP($B81,'Tillförd energi'!$B$1:$AI$720,MATCH(Q$2,'Tillförd energi'!$B$1:$AQ$1,0),FALSE)</f>
        <v>0</v>
      </c>
      <c r="R81" s="63">
        <f>VLOOKUP($B81,'Tillförd energi'!$B$1:$AI$720,MATCH(R$2,'Tillförd energi'!$B$1:$AQ$1,0),FALSE)</f>
        <v>3.7410000000000001</v>
      </c>
      <c r="S81" s="63">
        <f>VLOOKUP($B81,'Tillförd energi'!$B$1:$AI$720,MATCH(S$2,'Tillförd energi'!$B$1:$AQ$1,0),FALSE)</f>
        <v>0</v>
      </c>
      <c r="T81" s="63">
        <f>VLOOKUP($B81,'Tillförd energi'!$B$1:$AI$720,MATCH(T$2,'Tillförd energi'!$B$1:$AQ$1,0),FALSE)</f>
        <v>0</v>
      </c>
      <c r="U81" s="63">
        <f>VLOOKUP($B81,'Tillförd energi'!$B$1:$AI$720,MATCH(U$2,'Tillförd energi'!$B$1:$AQ$1,0),FALSE)</f>
        <v>0</v>
      </c>
      <c r="V81" s="63">
        <f>VLOOKUP($B81,'Tillförd energi'!$B$1:$AI$720,MATCH(V$2,'Tillförd energi'!$B$1:$AQ$1,0),FALSE)</f>
        <v>0</v>
      </c>
      <c r="W81" s="63">
        <f>VLOOKUP($B81,'Tillförd energi'!$B$1:$AI$720,MATCH(W$2,'Tillförd energi'!$B$1:$AQ$1,0),FALSE)</f>
        <v>0</v>
      </c>
      <c r="X81" s="63">
        <f>VLOOKUP($B81,'Tillförd energi'!$B$1:$AI$720,MATCH(X$2,'Tillförd energi'!$B$1:$AQ$1,0),FALSE)</f>
        <v>0</v>
      </c>
      <c r="Y81" s="63">
        <f>VLOOKUP($B81,'Tillförd energi'!$B$1:$AI$720,MATCH(Y$2,'Tillförd energi'!$B$1:$AQ$1,0),FALSE)</f>
        <v>0</v>
      </c>
      <c r="Z81" s="63">
        <f>VLOOKUP($B81,'Tillförd energi'!$B$1:$AI$720,MATCH(Z$2,'Tillförd energi'!$B$1:$AQ$1,0),FALSE)</f>
        <v>0</v>
      </c>
      <c r="AA81" s="63">
        <f>VLOOKUP($B81,'Tillförd energi'!$B$1:$AI$720,MATCH(AA$2,'Tillförd energi'!$B$1:$AQ$1,0),FALSE)</f>
        <v>0</v>
      </c>
      <c r="AB81" s="63">
        <f>VLOOKUP($B81,'Tillförd energi'!$B$1:$AI$720,MATCH(AB$2,'Tillförd energi'!$B$1:$AQ$1,0),FALSE)</f>
        <v>0</v>
      </c>
      <c r="AC81" s="63">
        <f>VLOOKUP($B81,'Tillförd energi'!$B$1:$AI$720,MATCH(AC$2,'Tillförd energi'!$B$1:$AQ$1,0),FALSE)</f>
        <v>0</v>
      </c>
      <c r="AD81" s="63">
        <f>VLOOKUP($B81,'Tillförd energi'!$B$1:$AI$720,MATCH(AD$2,'Tillförd energi'!$B$1:$AQ$1,0),FALSE)</f>
        <v>0</v>
      </c>
      <c r="AE81" s="63">
        <f>VLOOKUP($B81,'Tillförd energi'!$B$1:$AI$720,MATCH(AE$2,'Tillförd energi'!$B$1:$AQ$1,0),FALSE)</f>
        <v>0</v>
      </c>
      <c r="AF81" s="63">
        <f>VLOOKUP($B81,'Tillförd energi'!$B$1:$AI$720,MATCH(AF$2,'Tillförd energi'!$B$1:$AQ$1,0),FALSE)</f>
        <v>5.1999999999999998E-2</v>
      </c>
      <c r="AG81" s="63">
        <f>IFERROR(VLOOKUP(B81,Miljö!$B$1:$AC$550,MATCH("Köpt mängd produktionsspecifik fjärrvärme:",Miljö!$B$1:$AC$1,0),FALSE)/1,0)</f>
        <v>0</v>
      </c>
      <c r="AI81" s="63">
        <f t="shared" si="6"/>
        <v>3.8490000000000002</v>
      </c>
      <c r="AJ81" s="63">
        <f>IF(ISERROR(1/VLOOKUP($B81,Leveranser!$B$1:$S$500,MATCH("såld värme (gwh)",Leveranser!$B$1:$S$1,0),FALSE)),"",VLOOKUP($B81,Leveranser!$B$1:$S$500,MATCH("såld värme (gwh)",Leveranser!$B$1:$S$1,0),FALSE))</f>
        <v>3.036</v>
      </c>
      <c r="AM81" s="63" t="str">
        <f>IF(B81&lt;&gt;"",IF(VLOOKUP($B81,Totalt!$B$1:$AQ$554,MATCH("Kvalitetsgranskad:",Totalt!$B$1:$AQ$1,0),FALSE)="ja",VLOOKUP($B81,Miljö!$B$1:$AG$479,MATCH(AM$2,Miljö!$B$1:$AK$1,0),FALSE),""),"")</f>
        <v>Ja</v>
      </c>
      <c r="AN81" s="63" t="str">
        <f>IF(AM81="ja",VLOOKUP($B81,Miljö!$B$1:$J$479,MATCH("Typ av ursprungsspecificerad el   (Om inget värde anges används Nordisk residualmix, se inforuta) ()",Miljö!$B$1:$J$1,0),FALSE),IF(AM81="nej","Nordisk residualel",""))</f>
        <v>'100% vattenkraftsel'</v>
      </c>
      <c r="AO81" s="63">
        <f>IF(AM81="","",VLOOKUP($B81,Miljö!$B$1:$J$479,MATCH("Fossilandel för ursprungspecificerad el ()",Miljö!$B$1:$J$1,0),FALSE))</f>
        <v>0.01</v>
      </c>
      <c r="AQ81" s="63">
        <f t="shared" si="7"/>
        <v>0.99</v>
      </c>
      <c r="AS81" s="63" t="str">
        <f t="shared" si="8"/>
        <v>Nej</v>
      </c>
      <c r="AT81" s="63" t="str">
        <f>IF(AS81="ja",VLOOKUP($B81,Miljö!$B$1:$P$500,MATCH("Fossil andel i procent (%)",Miljö!$B$1:$P$1,0),FALSE)/100,"")</f>
        <v/>
      </c>
      <c r="AV81" s="63" t="str">
        <f t="shared" si="9"/>
        <v>Nej</v>
      </c>
      <c r="AW81" s="63" t="str">
        <f>IF(AV81="ja",VLOOKUP($B81,'Egen hetvattenprod'!$B$1:$AO$500,MATCH("Värmekälla till värmepumpar ()",'Egen hetvattenprod'!$B$1:$AO$1,0),FALSE),"")</f>
        <v/>
      </c>
      <c r="AY81" s="63" t="str">
        <f t="shared" si="10"/>
        <v>Nej</v>
      </c>
      <c r="AZ81" s="77" t="str">
        <f>IF($AY81="ja",(VLOOKUP($B81,'Egen hetvattenprod'!$B$1:$BX$550,MATCH(AZ$2,'Egen hetvattenprod'!$B$1:$BX$1,0),FALSE)+VLOOKUP($B81,Kraftvärmeprod!$B$1:$BX$550,MATCH(AZ$2,Kraftvärmeprod!$B$1:$BX$1,0),FALSE))/$AC81,"")</f>
        <v/>
      </c>
      <c r="BA81" s="77" t="str">
        <f>IF($AY81="ja",(VLOOKUP($B81,'Egen hetvattenprod'!$B$1:$BX$550,MATCH(BA$2,'Egen hetvattenprod'!$B$1:$BX$1,0),FALSE)+VLOOKUP($B81,Kraftvärmeprod!$B$1:$BX$550,MATCH(BA$2,Kraftvärmeprod!$B$1:$BX$1,0),FALSE))/$AC81,"")</f>
        <v/>
      </c>
      <c r="BB81" s="77" t="str">
        <f>IF($AY81="ja",(VLOOKUP($B81,'Egen hetvattenprod'!$B$1:$BX$550,MATCH(BB$2,'Egen hetvattenprod'!$B$1:$BX$1,0),FALSE)+VLOOKUP($B81,Kraftvärmeprod!$B$1:$BX$550,MATCH(BB$2,Kraftvärmeprod!$B$1:$BX$1,0),FALSE))/$AC81,"")</f>
        <v/>
      </c>
      <c r="BC81" s="77" t="str">
        <f>IF($AY81="ja",(VLOOKUP($B81,'Egen hetvattenprod'!$B$1:$BX$550,MATCH(BC$2,'Egen hetvattenprod'!$B$1:$BX$1,0),FALSE)+VLOOKUP($B81,Kraftvärmeprod!$B$1:$BX$550,MATCH(BC$2,Kraftvärmeprod!$B$1:$BX$1,0),FALSE))/$AC81,"")</f>
        <v/>
      </c>
      <c r="BD81" s="77" t="str">
        <f>IF($AY81="ja",(VLOOKUP($B81,'Egen hetvattenprod'!$B$1:$BX$550,MATCH(BD$2,'Egen hetvattenprod'!$B$1:$BX$1,0),FALSE)+VLOOKUP($B81,Kraftvärmeprod!$B$1:$BX$550,MATCH(BD$2,Kraftvärmeprod!$B$1:$BX$1,0),FALSE))/$AC81,"")</f>
        <v/>
      </c>
      <c r="BF81" s="63" t="str">
        <f t="shared" si="11"/>
        <v>Nej</v>
      </c>
      <c r="BG81" s="63" t="str">
        <f>IF($BF81="ja",VLOOKUP($B81,'Egen hetvattenprod'!$B$1:$BX$550,MATCH("Andelen klimatgaser med fossilt ursprung för avfall ()",'Egen hetvattenprod'!$B$1:$BX$1,0),FALSE),"")</f>
        <v/>
      </c>
      <c r="BH81" s="63" t="str">
        <f>IF($BF81="ja",VLOOKUP($B81,Kraftvärmeprod!$B$1:$BX$550,MATCH("Andelen klimatgaser med fossilt ursprung för avfall ()",Kraftvärmeprod!$B$1:$BX$1,0),FALSE),"")</f>
        <v/>
      </c>
      <c r="BI81" s="63" t="str">
        <f>IF($BF81="ja",VLOOKUP($B81,'Egen hetvattenprod'!$B$1:$BX$550,MATCH("Avfall (GWh)",'Egen hetvattenprod'!$B$1:$BX$1,0),FALSE),"")</f>
        <v/>
      </c>
      <c r="BJ81" s="63" t="str">
        <f>IF($BF81="ja",VLOOKUP($B81,'Slutlig allokering kvv'!$B$1:$BX$550,MATCH("Avfall (GWh)",'Slutlig allokering kvv'!$B$1:$BX$1,0),FALSE),"")</f>
        <v/>
      </c>
      <c r="BK81" s="63" t="str">
        <f>IF($BF81="ja",VLOOKUP($B81,'Köpt hetvatten'!$B$1:$BX$550,MATCH("Avfall i köpt hetvatten",'Köpt hetvatten'!$B$1:$BX$1,0),FALSE),"")</f>
        <v/>
      </c>
      <c r="BL81" s="63" t="str">
        <f>IF($BF81="ja",VLOOKUP($B81,'Egen hetvattenprod'!$B$1:$BX$550,MATCH("Värde enligt ovan. (%)",'Egen hetvattenprod'!$B$1:$BX$1,0),FALSE),"")</f>
        <v/>
      </c>
      <c r="BM81" s="63" t="str">
        <f>IF($BF81="ja",VLOOKUP($B81,Kraftvärmeprod!$B$1:$BX$550,MATCH("Värde enligt ovan. (%)",Kraftvärmeprod!$B$1:$BX$1,0),FALSE),"")</f>
        <v/>
      </c>
    </row>
    <row r="82" spans="1:65" x14ac:dyDescent="0.45">
      <c r="A82" s="63" t="s">
        <v>582</v>
      </c>
      <c r="B82" s="63" t="s">
        <v>586</v>
      </c>
      <c r="C82" s="63">
        <f>VLOOKUP($B82,'Tillförd energi'!$B$1:$AI$720,MATCH(C$2,'Tillförd energi'!$B$1:$AQ$1,0),FALSE)</f>
        <v>0</v>
      </c>
      <c r="D82" s="63">
        <f>VLOOKUP($B82,'Tillförd energi'!$B$1:$AI$720,MATCH(D$2,'Tillförd energi'!$B$1:$AQ$1,0),FALSE)</f>
        <v>0.05</v>
      </c>
      <c r="E82" s="63">
        <f>VLOOKUP($B82,'Tillförd energi'!$B$1:$AI$720,MATCH(E$2,'Tillförd energi'!$B$1:$AQ$1,0),FALSE)</f>
        <v>0</v>
      </c>
      <c r="F82" s="63">
        <f>VLOOKUP($B82,'Tillförd energi'!$B$1:$AI$720,MATCH(F$2,'Tillförd energi'!$B$1:$AQ$1,0),FALSE)</f>
        <v>0</v>
      </c>
      <c r="G82" s="63">
        <f>VLOOKUP($B82,'Tillförd energi'!$B$1:$AI$720,MATCH(G$2,'Tillförd energi'!$B$1:$AQ$1,0),FALSE)</f>
        <v>0</v>
      </c>
      <c r="H82" s="63">
        <f>VLOOKUP($B82,'Tillförd energi'!$B$1:$AI$720,MATCH(H$2,'Tillförd energi'!$B$1:$AQ$1,0),FALSE)</f>
        <v>0</v>
      </c>
      <c r="I82" s="63">
        <f>VLOOKUP($B82,'Tillförd energi'!$B$1:$AI$720,MATCH(I$2,'Tillförd energi'!$B$1:$AQ$1,0),FALSE)</f>
        <v>0</v>
      </c>
      <c r="J82" s="63">
        <f>VLOOKUP($B82,'Tillförd energi'!$B$1:$AI$720,MATCH(J$2,'Tillförd energi'!$B$1:$AQ$1,0),FALSE)</f>
        <v>0</v>
      </c>
      <c r="K82" s="63">
        <f>VLOOKUP($B82,'Tillförd energi'!$B$1:$AI$720,MATCH(K$2,'Tillförd energi'!$B$1:$AQ$1,0),FALSE)</f>
        <v>0</v>
      </c>
      <c r="L82" s="63">
        <f>VLOOKUP($B82,'Tillförd energi'!$B$1:$AI$720,MATCH(L$2,'Tillförd energi'!$B$1:$AQ$1,0),FALSE)</f>
        <v>0</v>
      </c>
      <c r="M82" s="63">
        <f>VLOOKUP($B82,'Tillförd energi'!$B$1:$AI$720,MATCH(M$2,'Tillförd energi'!$B$1:$AQ$1,0),FALSE)</f>
        <v>0</v>
      </c>
      <c r="N82" s="63">
        <f>VLOOKUP($B82,'Tillförd energi'!$B$1:$AI$720,MATCH(N$2,'Tillförd energi'!$B$1:$AQ$1,0),FALSE)</f>
        <v>0</v>
      </c>
      <c r="O82" s="63">
        <f>VLOOKUP($B82,'Tillförd energi'!$B$1:$AI$720,MATCH(O$2,'Tillförd energi'!$B$1:$AQ$1,0),FALSE)</f>
        <v>0</v>
      </c>
      <c r="P82" s="63">
        <f>VLOOKUP($B82,'Tillförd energi'!$B$1:$AI$720,MATCH(P$2,'Tillförd energi'!$B$1:$AQ$1,0),FALSE)</f>
        <v>0</v>
      </c>
      <c r="Q82" s="63">
        <f>VLOOKUP($B82,'Tillförd energi'!$B$1:$AI$720,MATCH(Q$2,'Tillförd energi'!$B$1:$AQ$1,0),FALSE)</f>
        <v>0</v>
      </c>
      <c r="R82" s="63">
        <f>VLOOKUP($B82,'Tillförd energi'!$B$1:$AI$720,MATCH(R$2,'Tillförd energi'!$B$1:$AQ$1,0),FALSE)</f>
        <v>4.97</v>
      </c>
      <c r="S82" s="63">
        <f>VLOOKUP($B82,'Tillförd energi'!$B$1:$AI$720,MATCH(S$2,'Tillförd energi'!$B$1:$AQ$1,0),FALSE)</f>
        <v>0</v>
      </c>
      <c r="T82" s="63">
        <f>VLOOKUP($B82,'Tillförd energi'!$B$1:$AI$720,MATCH(T$2,'Tillförd energi'!$B$1:$AQ$1,0),FALSE)</f>
        <v>0</v>
      </c>
      <c r="U82" s="63">
        <f>VLOOKUP($B82,'Tillförd energi'!$B$1:$AI$720,MATCH(U$2,'Tillförd energi'!$B$1:$AQ$1,0),FALSE)</f>
        <v>0</v>
      </c>
      <c r="V82" s="63">
        <f>VLOOKUP($B82,'Tillförd energi'!$B$1:$AI$720,MATCH(V$2,'Tillförd energi'!$B$1:$AQ$1,0),FALSE)</f>
        <v>0</v>
      </c>
      <c r="W82" s="63">
        <f>VLOOKUP($B82,'Tillförd energi'!$B$1:$AI$720,MATCH(W$2,'Tillförd energi'!$B$1:$AQ$1,0),FALSE)</f>
        <v>0</v>
      </c>
      <c r="X82" s="63">
        <f>VLOOKUP($B82,'Tillförd energi'!$B$1:$AI$720,MATCH(X$2,'Tillförd energi'!$B$1:$AQ$1,0),FALSE)</f>
        <v>0</v>
      </c>
      <c r="Y82" s="63">
        <f>VLOOKUP($B82,'Tillförd energi'!$B$1:$AI$720,MATCH(Y$2,'Tillförd energi'!$B$1:$AQ$1,0),FALSE)</f>
        <v>0</v>
      </c>
      <c r="Z82" s="63">
        <f>VLOOKUP($B82,'Tillförd energi'!$B$1:$AI$720,MATCH(Z$2,'Tillförd energi'!$B$1:$AQ$1,0),FALSE)</f>
        <v>0</v>
      </c>
      <c r="AA82" s="63">
        <f>VLOOKUP($B82,'Tillförd energi'!$B$1:$AI$720,MATCH(AA$2,'Tillförd energi'!$B$1:$AQ$1,0),FALSE)</f>
        <v>0</v>
      </c>
      <c r="AB82" s="63">
        <f>VLOOKUP($B82,'Tillförd energi'!$B$1:$AI$720,MATCH(AB$2,'Tillförd energi'!$B$1:$AQ$1,0),FALSE)</f>
        <v>0</v>
      </c>
      <c r="AC82" s="63">
        <f>VLOOKUP($B82,'Tillförd energi'!$B$1:$AI$720,MATCH(AC$2,'Tillförd energi'!$B$1:$AQ$1,0),FALSE)</f>
        <v>0</v>
      </c>
      <c r="AD82" s="63">
        <f>VLOOKUP($B82,'Tillförd energi'!$B$1:$AI$720,MATCH(AD$2,'Tillförd energi'!$B$1:$AQ$1,0),FALSE)</f>
        <v>0</v>
      </c>
      <c r="AE82" s="63">
        <f>VLOOKUP($B82,'Tillförd energi'!$B$1:$AI$720,MATCH(AE$2,'Tillförd energi'!$B$1:$AQ$1,0),FALSE)</f>
        <v>0</v>
      </c>
      <c r="AF82" s="63">
        <f>VLOOKUP($B82,'Tillförd energi'!$B$1:$AI$720,MATCH(AF$2,'Tillförd energi'!$B$1:$AQ$1,0),FALSE)</f>
        <v>6.6000000000000003E-2</v>
      </c>
      <c r="AG82" s="63">
        <f>IFERROR(VLOOKUP(B82,Miljö!$B$1:$AC$550,MATCH("Köpt mängd produktionsspecifik fjärrvärme:",Miljö!$B$1:$AC$1,0),FALSE)/1,0)</f>
        <v>0</v>
      </c>
      <c r="AI82" s="63">
        <f t="shared" si="6"/>
        <v>5.0859999999999994</v>
      </c>
      <c r="AJ82" s="63">
        <f>IF(ISERROR(1/VLOOKUP($B82,Leveranser!$B$1:$S$500,MATCH("såld värme (gwh)",Leveranser!$B$1:$S$1,0),FALSE)),"",VLOOKUP($B82,Leveranser!$B$1:$S$500,MATCH("såld värme (gwh)",Leveranser!$B$1:$S$1,0),FALSE))</f>
        <v>3.96</v>
      </c>
      <c r="AM82" s="63" t="str">
        <f>IF(B82&lt;&gt;"",IF(VLOOKUP($B82,Totalt!$B$1:$AQ$554,MATCH("Kvalitetsgranskad:",Totalt!$B$1:$AQ$1,0),FALSE)="ja",VLOOKUP($B82,Miljö!$B$1:$AG$479,MATCH(AM$2,Miljö!$B$1:$AK$1,0),FALSE),""),"")</f>
        <v>Ja</v>
      </c>
      <c r="AN82" s="63" t="str">
        <f>IF(AM82="ja",VLOOKUP($B82,Miljö!$B$1:$J$479,MATCH("Typ av ursprungsspecificerad el   (Om inget värde anges används Nordisk residualmix, se inforuta) ()",Miljö!$B$1:$J$1,0),FALSE),IF(AM82="nej","Nordisk residualel",""))</f>
        <v>'Bio. vatten. vind'</v>
      </c>
      <c r="AO82" s="63">
        <f>IF(AM82="","",VLOOKUP($B82,Miljö!$B$1:$J$479,MATCH("Fossilandel för ursprungspecificerad el ()",Miljö!$B$1:$J$1,0),FALSE))</f>
        <v>0</v>
      </c>
      <c r="AQ82" s="63">
        <f t="shared" si="7"/>
        <v>1</v>
      </c>
      <c r="AS82" s="63" t="str">
        <f t="shared" si="8"/>
        <v>Nej</v>
      </c>
      <c r="AT82" s="63" t="str">
        <f>IF(AS82="ja",VLOOKUP($B82,Miljö!$B$1:$P$500,MATCH("Fossil andel i procent (%)",Miljö!$B$1:$P$1,0),FALSE)/100,"")</f>
        <v/>
      </c>
      <c r="AV82" s="63" t="str">
        <f t="shared" si="9"/>
        <v>Nej</v>
      </c>
      <c r="AW82" s="63" t="str">
        <f>IF(AV82="ja",VLOOKUP($B82,'Egen hetvattenprod'!$B$1:$AO$500,MATCH("Värmekälla till värmepumpar ()",'Egen hetvattenprod'!$B$1:$AO$1,0),FALSE),"")</f>
        <v/>
      </c>
      <c r="AY82" s="63" t="str">
        <f t="shared" si="10"/>
        <v>Nej</v>
      </c>
      <c r="AZ82" s="77" t="str">
        <f>IF($AY82="ja",(VLOOKUP($B82,'Egen hetvattenprod'!$B$1:$BX$550,MATCH(AZ$2,'Egen hetvattenprod'!$B$1:$BX$1,0),FALSE)+VLOOKUP($B82,Kraftvärmeprod!$B$1:$BX$550,MATCH(AZ$2,Kraftvärmeprod!$B$1:$BX$1,0),FALSE))/$AC82,"")</f>
        <v/>
      </c>
      <c r="BA82" s="77" t="str">
        <f>IF($AY82="ja",(VLOOKUP($B82,'Egen hetvattenprod'!$B$1:$BX$550,MATCH(BA$2,'Egen hetvattenprod'!$B$1:$BX$1,0),FALSE)+VLOOKUP($B82,Kraftvärmeprod!$B$1:$BX$550,MATCH(BA$2,Kraftvärmeprod!$B$1:$BX$1,0),FALSE))/$AC82,"")</f>
        <v/>
      </c>
      <c r="BB82" s="77" t="str">
        <f>IF($AY82="ja",(VLOOKUP($B82,'Egen hetvattenprod'!$B$1:$BX$550,MATCH(BB$2,'Egen hetvattenprod'!$B$1:$BX$1,0),FALSE)+VLOOKUP($B82,Kraftvärmeprod!$B$1:$BX$550,MATCH(BB$2,Kraftvärmeprod!$B$1:$BX$1,0),FALSE))/$AC82,"")</f>
        <v/>
      </c>
      <c r="BC82" s="77" t="str">
        <f>IF($AY82="ja",(VLOOKUP($B82,'Egen hetvattenprod'!$B$1:$BX$550,MATCH(BC$2,'Egen hetvattenprod'!$B$1:$BX$1,0),FALSE)+VLOOKUP($B82,Kraftvärmeprod!$B$1:$BX$550,MATCH(BC$2,Kraftvärmeprod!$B$1:$BX$1,0),FALSE))/$AC82,"")</f>
        <v/>
      </c>
      <c r="BD82" s="77" t="str">
        <f>IF($AY82="ja",(VLOOKUP($B82,'Egen hetvattenprod'!$B$1:$BX$550,MATCH(BD$2,'Egen hetvattenprod'!$B$1:$BX$1,0),FALSE)+VLOOKUP($B82,Kraftvärmeprod!$B$1:$BX$550,MATCH(BD$2,Kraftvärmeprod!$B$1:$BX$1,0),FALSE))/$AC82,"")</f>
        <v/>
      </c>
      <c r="BF82" s="63" t="str">
        <f t="shared" si="11"/>
        <v>Nej</v>
      </c>
      <c r="BG82" s="63" t="str">
        <f>IF($BF82="ja",VLOOKUP($B82,'Egen hetvattenprod'!$B$1:$BX$550,MATCH("Andelen klimatgaser med fossilt ursprung för avfall ()",'Egen hetvattenprod'!$B$1:$BX$1,0),FALSE),"")</f>
        <v/>
      </c>
      <c r="BH82" s="63" t="str">
        <f>IF($BF82="ja",VLOOKUP($B82,Kraftvärmeprod!$B$1:$BX$550,MATCH("Andelen klimatgaser med fossilt ursprung för avfall ()",Kraftvärmeprod!$B$1:$BX$1,0),FALSE),"")</f>
        <v/>
      </c>
      <c r="BI82" s="63" t="str">
        <f>IF($BF82="ja",VLOOKUP($B82,'Egen hetvattenprod'!$B$1:$BX$550,MATCH("Avfall (GWh)",'Egen hetvattenprod'!$B$1:$BX$1,0),FALSE),"")</f>
        <v/>
      </c>
      <c r="BJ82" s="63" t="str">
        <f>IF($BF82="ja",VLOOKUP($B82,'Slutlig allokering kvv'!$B$1:$BX$550,MATCH("Avfall (GWh)",'Slutlig allokering kvv'!$B$1:$BX$1,0),FALSE),"")</f>
        <v/>
      </c>
      <c r="BK82" s="63" t="str">
        <f>IF($BF82="ja",VLOOKUP($B82,'Köpt hetvatten'!$B$1:$BX$550,MATCH("Avfall i köpt hetvatten",'Köpt hetvatten'!$B$1:$BX$1,0),FALSE),"")</f>
        <v/>
      </c>
      <c r="BL82" s="63" t="str">
        <f>IF($BF82="ja",VLOOKUP($B82,'Egen hetvattenprod'!$B$1:$BX$550,MATCH("Värde enligt ovan. (%)",'Egen hetvattenprod'!$B$1:$BX$1,0),FALSE),"")</f>
        <v/>
      </c>
      <c r="BM82" s="63" t="str">
        <f>IF($BF82="ja",VLOOKUP($B82,Kraftvärmeprod!$B$1:$BX$550,MATCH("Värde enligt ovan. (%)",Kraftvärmeprod!$B$1:$BX$1,0),FALSE),"")</f>
        <v/>
      </c>
    </row>
    <row r="83" spans="1:65" x14ac:dyDescent="0.45">
      <c r="A83" s="63" t="s">
        <v>582</v>
      </c>
      <c r="B83" s="63" t="s">
        <v>585</v>
      </c>
      <c r="C83" s="63">
        <f>VLOOKUP($B83,'Tillförd energi'!$B$1:$AI$720,MATCH(C$2,'Tillförd energi'!$B$1:$AQ$1,0),FALSE)</f>
        <v>0</v>
      </c>
      <c r="D83" s="63">
        <f>VLOOKUP($B83,'Tillförd energi'!$B$1:$AI$720,MATCH(D$2,'Tillförd energi'!$B$1:$AQ$1,0),FALSE)</f>
        <v>1.7</v>
      </c>
      <c r="E83" s="63">
        <f>VLOOKUP($B83,'Tillförd energi'!$B$1:$AI$720,MATCH(E$2,'Tillförd energi'!$B$1:$AQ$1,0),FALSE)</f>
        <v>0</v>
      </c>
      <c r="F83" s="63">
        <f>VLOOKUP($B83,'Tillförd energi'!$B$1:$AI$720,MATCH(F$2,'Tillförd energi'!$B$1:$AQ$1,0),FALSE)</f>
        <v>0</v>
      </c>
      <c r="G83" s="63">
        <f>VLOOKUP($B83,'Tillförd energi'!$B$1:$AI$720,MATCH(G$2,'Tillförd energi'!$B$1:$AQ$1,0),FALSE)</f>
        <v>0</v>
      </c>
      <c r="H83" s="63">
        <f>VLOOKUP($B83,'Tillförd energi'!$B$1:$AI$720,MATCH(H$2,'Tillförd energi'!$B$1:$AQ$1,0),FALSE)</f>
        <v>3.7</v>
      </c>
      <c r="I83" s="63">
        <f>VLOOKUP($B83,'Tillförd energi'!$B$1:$AI$720,MATCH(I$2,'Tillförd energi'!$B$1:$AQ$1,0),FALSE)</f>
        <v>0</v>
      </c>
      <c r="J83" s="63">
        <f>VLOOKUP($B83,'Tillförd energi'!$B$1:$AI$720,MATCH(J$2,'Tillförd energi'!$B$1:$AQ$1,0),FALSE)</f>
        <v>0</v>
      </c>
      <c r="K83" s="63">
        <f>VLOOKUP($B83,'Tillförd energi'!$B$1:$AI$720,MATCH(K$2,'Tillförd energi'!$B$1:$AQ$1,0),FALSE)</f>
        <v>0</v>
      </c>
      <c r="L83" s="63">
        <f>VLOOKUP($B83,'Tillförd energi'!$B$1:$AI$720,MATCH(L$2,'Tillförd energi'!$B$1:$AQ$1,0),FALSE)</f>
        <v>46.228999999999999</v>
      </c>
      <c r="M83" s="63">
        <f>VLOOKUP($B83,'Tillförd energi'!$B$1:$AI$720,MATCH(M$2,'Tillförd energi'!$B$1:$AQ$1,0),FALSE)</f>
        <v>61.3459</v>
      </c>
      <c r="N83" s="63">
        <f>VLOOKUP($B83,'Tillförd energi'!$B$1:$AI$720,MATCH(N$2,'Tillförd energi'!$B$1:$AQ$1,0),FALSE)</f>
        <v>67.553899999999999</v>
      </c>
      <c r="O83" s="63">
        <f>VLOOKUP($B83,'Tillförd energi'!$B$1:$AI$720,MATCH(O$2,'Tillförd energi'!$B$1:$AQ$1,0),FALSE)</f>
        <v>0</v>
      </c>
      <c r="P83" s="63">
        <f>VLOOKUP($B83,'Tillförd energi'!$B$1:$AI$720,MATCH(P$2,'Tillförd energi'!$B$1:$AQ$1,0),FALSE)</f>
        <v>76.349000000000004</v>
      </c>
      <c r="Q83" s="63">
        <f>VLOOKUP($B83,'Tillförd energi'!$B$1:$AI$720,MATCH(Q$2,'Tillförd energi'!$B$1:$AQ$1,0),FALSE)</f>
        <v>20.158000000000001</v>
      </c>
      <c r="R83" s="63">
        <f>VLOOKUP($B83,'Tillförd energi'!$B$1:$AI$720,MATCH(R$2,'Tillförd energi'!$B$1:$AQ$1,0),FALSE)</f>
        <v>0</v>
      </c>
      <c r="S83" s="63">
        <f>VLOOKUP($B83,'Tillförd energi'!$B$1:$AI$720,MATCH(S$2,'Tillförd energi'!$B$1:$AQ$1,0),FALSE)</f>
        <v>0</v>
      </c>
      <c r="T83" s="63">
        <f>VLOOKUP($B83,'Tillförd energi'!$B$1:$AI$720,MATCH(T$2,'Tillförd energi'!$B$1:$AQ$1,0),FALSE)</f>
        <v>0</v>
      </c>
      <c r="U83" s="63">
        <f>VLOOKUP($B83,'Tillförd energi'!$B$1:$AI$720,MATCH(U$2,'Tillförd energi'!$B$1:$AQ$1,0),FALSE)</f>
        <v>0</v>
      </c>
      <c r="V83" s="63">
        <f>VLOOKUP($B83,'Tillförd energi'!$B$1:$AI$720,MATCH(V$2,'Tillförd energi'!$B$1:$AQ$1,0),FALSE)</f>
        <v>0</v>
      </c>
      <c r="W83" s="63">
        <f>VLOOKUP($B83,'Tillförd energi'!$B$1:$AI$720,MATCH(W$2,'Tillförd energi'!$B$1:$AQ$1,0),FALSE)</f>
        <v>0</v>
      </c>
      <c r="X83" s="63">
        <f>VLOOKUP($B83,'Tillförd energi'!$B$1:$AI$720,MATCH(X$2,'Tillförd energi'!$B$1:$AQ$1,0),FALSE)</f>
        <v>0</v>
      </c>
      <c r="Y83" s="63">
        <f>VLOOKUP($B83,'Tillförd energi'!$B$1:$AI$720,MATCH(Y$2,'Tillförd energi'!$B$1:$AQ$1,0),FALSE)</f>
        <v>0</v>
      </c>
      <c r="Z83" s="63">
        <f>VLOOKUP($B83,'Tillförd energi'!$B$1:$AI$720,MATCH(Z$2,'Tillförd energi'!$B$1:$AQ$1,0),FALSE)</f>
        <v>0</v>
      </c>
      <c r="AA83" s="63">
        <f>VLOOKUP($B83,'Tillförd energi'!$B$1:$AI$720,MATCH(AA$2,'Tillförd energi'!$B$1:$AQ$1,0),FALSE)</f>
        <v>0</v>
      </c>
      <c r="AB83" s="63">
        <f>VLOOKUP($B83,'Tillförd energi'!$B$1:$AI$720,MATCH(AB$2,'Tillförd energi'!$B$1:$AQ$1,0),FALSE)</f>
        <v>0</v>
      </c>
      <c r="AC83" s="63">
        <f>VLOOKUP($B83,'Tillförd energi'!$B$1:$AI$720,MATCH(AC$2,'Tillförd energi'!$B$1:$AQ$1,0),FALSE)</f>
        <v>65.7</v>
      </c>
      <c r="AD83" s="63">
        <f>VLOOKUP($B83,'Tillförd energi'!$B$1:$AI$720,MATCH(AD$2,'Tillförd energi'!$B$1:$AQ$1,0),FALSE)</f>
        <v>0.35</v>
      </c>
      <c r="AE83" s="63">
        <f>VLOOKUP($B83,'Tillförd energi'!$B$1:$AI$720,MATCH(AE$2,'Tillförd energi'!$B$1:$AQ$1,0),FALSE)</f>
        <v>0</v>
      </c>
      <c r="AF83" s="63">
        <f>VLOOKUP($B83,'Tillförd energi'!$B$1:$AI$720,MATCH(AF$2,'Tillförd energi'!$B$1:$AQ$1,0),FALSE)</f>
        <v>11.3271</v>
      </c>
      <c r="AG83" s="63">
        <f>IFERROR(VLOOKUP(B83,Miljö!$B$1:$AC$550,MATCH("Köpt mängd produktionsspecifik fjärrvärme:",Miljö!$B$1:$AC$1,0),FALSE)/1,0)</f>
        <v>50.02</v>
      </c>
      <c r="AI83" s="63">
        <f t="shared" si="6"/>
        <v>404.43289999999996</v>
      </c>
      <c r="AJ83" s="63">
        <f>IF(ISERROR(1/VLOOKUP($B83,Leveranser!$B$1:$S$500,MATCH("såld värme (gwh)",Leveranser!$B$1:$S$1,0),FALSE)),"",VLOOKUP($B83,Leveranser!$B$1:$S$500,MATCH("såld värme (gwh)",Leveranser!$B$1:$S$1,0),FALSE))</f>
        <v>352.86</v>
      </c>
      <c r="AM83" s="63" t="str">
        <f>IF(B83&lt;&gt;"",IF(VLOOKUP($B83,Totalt!$B$1:$AQ$554,MATCH("Kvalitetsgranskad:",Totalt!$B$1:$AQ$1,0),FALSE)="ja",VLOOKUP($B83,Miljö!$B$1:$AG$479,MATCH(AM$2,Miljö!$B$1:$AK$1,0),FALSE),""),"")</f>
        <v>Ja</v>
      </c>
      <c r="AN83" s="63" t="str">
        <f>IF(AM83="ja",VLOOKUP($B83,Miljö!$B$1:$J$479,MATCH("Typ av ursprungsspecificerad el   (Om inget värde anges används Nordisk residualmix, se inforuta) ()",Miljö!$B$1:$J$1,0),FALSE),IF(AM83="nej","Nordisk residualel",""))</f>
        <v>'Bio. vatten. vind'</v>
      </c>
      <c r="AO83" s="63">
        <f>IF(AM83="","",VLOOKUP($B83,Miljö!$B$1:$J$479,MATCH("Fossilandel för ursprungspecificerad el ()",Miljö!$B$1:$J$1,0),FALSE))</f>
        <v>0</v>
      </c>
      <c r="AQ83" s="63">
        <f t="shared" si="7"/>
        <v>1</v>
      </c>
      <c r="AS83" s="63" t="str">
        <f t="shared" si="8"/>
        <v>Ja</v>
      </c>
      <c r="AT83" s="63">
        <f>IF(AS83="ja",VLOOKUP($B83,Miljö!$B$1:$P$500,MATCH("Fossil andel i procent (%)",Miljö!$B$1:$P$1,0),FALSE)/100,"")</f>
        <v>0</v>
      </c>
      <c r="AV83" s="63" t="str">
        <f t="shared" si="9"/>
        <v>Nej</v>
      </c>
      <c r="AW83" s="63" t="str">
        <f>IF(AV83="ja",VLOOKUP($B83,'Egen hetvattenprod'!$B$1:$AO$500,MATCH("Värmekälla till värmepumpar ()",'Egen hetvattenprod'!$B$1:$AO$1,0),FALSE),"")</f>
        <v/>
      </c>
      <c r="AY83" s="63" t="str">
        <f t="shared" si="10"/>
        <v>Ja</v>
      </c>
      <c r="AZ83" s="77">
        <f>IF($AY83="ja",(VLOOKUP($B83,'Egen hetvattenprod'!$B$1:$BX$550,MATCH(AZ$2,'Egen hetvattenprod'!$B$1:$BX$1,0),FALSE)+VLOOKUP($B83,Kraftvärmeprod!$B$1:$BX$550,MATCH(AZ$2,Kraftvärmeprod!$B$1:$BX$1,0),FALSE))/$AC83,"")</f>
        <v>1</v>
      </c>
      <c r="BA83" s="77">
        <f>IF($AY83="ja",(VLOOKUP($B83,'Egen hetvattenprod'!$B$1:$BX$550,MATCH(BA$2,'Egen hetvattenprod'!$B$1:$BX$1,0),FALSE)+VLOOKUP($B83,Kraftvärmeprod!$B$1:$BX$550,MATCH(BA$2,Kraftvärmeprod!$B$1:$BX$1,0),FALSE))/$AC83,"")</f>
        <v>0</v>
      </c>
      <c r="BB83" s="77">
        <f>IF($AY83="ja",(VLOOKUP($B83,'Egen hetvattenprod'!$B$1:$BX$550,MATCH(BB$2,'Egen hetvattenprod'!$B$1:$BX$1,0),FALSE)+VLOOKUP($B83,Kraftvärmeprod!$B$1:$BX$550,MATCH(BB$2,Kraftvärmeprod!$B$1:$BX$1,0),FALSE))/$AC83,"")</f>
        <v>0</v>
      </c>
      <c r="BC83" s="77">
        <f>IF($AY83="ja",(VLOOKUP($B83,'Egen hetvattenprod'!$B$1:$BX$550,MATCH(BC$2,'Egen hetvattenprod'!$B$1:$BX$1,0),FALSE)+VLOOKUP($B83,Kraftvärmeprod!$B$1:$BX$550,MATCH(BC$2,Kraftvärmeprod!$B$1:$BX$1,0),FALSE))/$AC83,"")</f>
        <v>0</v>
      </c>
      <c r="BD83" s="77">
        <f>IF($AY83="ja",(VLOOKUP($B83,'Egen hetvattenprod'!$B$1:$BX$550,MATCH(BD$2,'Egen hetvattenprod'!$B$1:$BX$1,0),FALSE)+VLOOKUP($B83,Kraftvärmeprod!$B$1:$BX$550,MATCH(BD$2,Kraftvärmeprod!$B$1:$BX$1,0),FALSE))/$AC83,"")</f>
        <v>0</v>
      </c>
      <c r="BF83" s="63" t="str">
        <f t="shared" si="11"/>
        <v>Nej</v>
      </c>
      <c r="BG83" s="63" t="str">
        <f>IF($BF83="ja",VLOOKUP($B83,'Egen hetvattenprod'!$B$1:$BX$550,MATCH("Andelen klimatgaser med fossilt ursprung för avfall ()",'Egen hetvattenprod'!$B$1:$BX$1,0),FALSE),"")</f>
        <v/>
      </c>
      <c r="BH83" s="63" t="str">
        <f>IF($BF83="ja",VLOOKUP($B83,Kraftvärmeprod!$B$1:$BX$550,MATCH("Andelen klimatgaser med fossilt ursprung för avfall ()",Kraftvärmeprod!$B$1:$BX$1,0),FALSE),"")</f>
        <v/>
      </c>
      <c r="BI83" s="63" t="str">
        <f>IF($BF83="ja",VLOOKUP($B83,'Egen hetvattenprod'!$B$1:$BX$550,MATCH("Avfall (GWh)",'Egen hetvattenprod'!$B$1:$BX$1,0),FALSE),"")</f>
        <v/>
      </c>
      <c r="BJ83" s="63" t="str">
        <f>IF($BF83="ja",VLOOKUP($B83,'Slutlig allokering kvv'!$B$1:$BX$550,MATCH("Avfall (GWh)",'Slutlig allokering kvv'!$B$1:$BX$1,0),FALSE),"")</f>
        <v/>
      </c>
      <c r="BK83" s="63" t="str">
        <f>IF($BF83="ja",VLOOKUP($B83,'Köpt hetvatten'!$B$1:$BX$550,MATCH("Avfall i köpt hetvatten",'Köpt hetvatten'!$B$1:$BX$1,0),FALSE),"")</f>
        <v/>
      </c>
      <c r="BL83" s="63" t="str">
        <f>IF($BF83="ja",VLOOKUP($B83,'Egen hetvattenprod'!$B$1:$BX$550,MATCH("Värde enligt ovan. (%)",'Egen hetvattenprod'!$B$1:$BX$1,0),FALSE),"")</f>
        <v/>
      </c>
      <c r="BM83" s="63" t="str">
        <f>IF($BF83="ja",VLOOKUP($B83,Kraftvärmeprod!$B$1:$BX$550,MATCH("Värde enligt ovan. (%)",Kraftvärmeprod!$B$1:$BX$1,0),FALSE),"")</f>
        <v/>
      </c>
    </row>
    <row r="84" spans="1:65" x14ac:dyDescent="0.45">
      <c r="A84" s="63" t="s">
        <v>582</v>
      </c>
      <c r="B84" s="63" t="s">
        <v>583</v>
      </c>
      <c r="C84" s="63">
        <f>VLOOKUP($B84,'Tillförd energi'!$B$1:$AI$720,MATCH(C$2,'Tillförd energi'!$B$1:$AQ$1,0),FALSE)</f>
        <v>0</v>
      </c>
      <c r="D84" s="63">
        <f>VLOOKUP($B84,'Tillförd energi'!$B$1:$AI$720,MATCH(D$2,'Tillförd energi'!$B$1:$AQ$1,0),FALSE)</f>
        <v>0.02</v>
      </c>
      <c r="E84" s="63">
        <f>VLOOKUP($B84,'Tillförd energi'!$B$1:$AI$720,MATCH(E$2,'Tillförd energi'!$B$1:$AQ$1,0),FALSE)</f>
        <v>0</v>
      </c>
      <c r="F84" s="63">
        <f>VLOOKUP($B84,'Tillförd energi'!$B$1:$AI$720,MATCH(F$2,'Tillförd energi'!$B$1:$AQ$1,0),FALSE)</f>
        <v>0</v>
      </c>
      <c r="G84" s="63">
        <f>VLOOKUP($B84,'Tillförd energi'!$B$1:$AI$720,MATCH(G$2,'Tillförd energi'!$B$1:$AQ$1,0),FALSE)</f>
        <v>0</v>
      </c>
      <c r="H84" s="63">
        <f>VLOOKUP($B84,'Tillförd energi'!$B$1:$AI$720,MATCH(H$2,'Tillförd energi'!$B$1:$AQ$1,0),FALSE)</f>
        <v>0</v>
      </c>
      <c r="I84" s="63">
        <f>VLOOKUP($B84,'Tillförd energi'!$B$1:$AI$720,MATCH(I$2,'Tillförd energi'!$B$1:$AQ$1,0),FALSE)</f>
        <v>0</v>
      </c>
      <c r="J84" s="63">
        <f>VLOOKUP($B84,'Tillförd energi'!$B$1:$AI$720,MATCH(J$2,'Tillförd energi'!$B$1:$AQ$1,0),FALSE)</f>
        <v>0</v>
      </c>
      <c r="K84" s="63">
        <f>VLOOKUP($B84,'Tillförd energi'!$B$1:$AI$720,MATCH(K$2,'Tillförd energi'!$B$1:$AQ$1,0),FALSE)</f>
        <v>0</v>
      </c>
      <c r="L84" s="63">
        <f>VLOOKUP($B84,'Tillförd energi'!$B$1:$AI$720,MATCH(L$2,'Tillförd energi'!$B$1:$AQ$1,0),FALSE)</f>
        <v>0</v>
      </c>
      <c r="M84" s="63">
        <f>VLOOKUP($B84,'Tillförd energi'!$B$1:$AI$720,MATCH(M$2,'Tillförd energi'!$B$1:$AQ$1,0),FALSE)</f>
        <v>0</v>
      </c>
      <c r="N84" s="63">
        <f>VLOOKUP($B84,'Tillförd energi'!$B$1:$AI$720,MATCH(N$2,'Tillförd energi'!$B$1:$AQ$1,0),FALSE)</f>
        <v>0</v>
      </c>
      <c r="O84" s="63">
        <f>VLOOKUP($B84,'Tillförd energi'!$B$1:$AI$720,MATCH(O$2,'Tillförd energi'!$B$1:$AQ$1,0),FALSE)</f>
        <v>0</v>
      </c>
      <c r="P84" s="63">
        <f>VLOOKUP($B84,'Tillförd energi'!$B$1:$AI$720,MATCH(P$2,'Tillförd energi'!$B$1:$AQ$1,0),FALSE)</f>
        <v>0</v>
      </c>
      <c r="Q84" s="63">
        <f>VLOOKUP($B84,'Tillförd energi'!$B$1:$AI$720,MATCH(Q$2,'Tillförd energi'!$B$1:$AQ$1,0),FALSE)</f>
        <v>0</v>
      </c>
      <c r="R84" s="63">
        <f>VLOOKUP($B84,'Tillförd energi'!$B$1:$AI$720,MATCH(R$2,'Tillförd energi'!$B$1:$AQ$1,0),FALSE)</f>
        <v>5.24</v>
      </c>
      <c r="S84" s="63">
        <f>VLOOKUP($B84,'Tillförd energi'!$B$1:$AI$720,MATCH(S$2,'Tillförd energi'!$B$1:$AQ$1,0),FALSE)</f>
        <v>0</v>
      </c>
      <c r="T84" s="63">
        <f>VLOOKUP($B84,'Tillförd energi'!$B$1:$AI$720,MATCH(T$2,'Tillförd energi'!$B$1:$AQ$1,0),FALSE)</f>
        <v>0</v>
      </c>
      <c r="U84" s="63">
        <f>VLOOKUP($B84,'Tillförd energi'!$B$1:$AI$720,MATCH(U$2,'Tillförd energi'!$B$1:$AQ$1,0),FALSE)</f>
        <v>0</v>
      </c>
      <c r="V84" s="63">
        <f>VLOOKUP($B84,'Tillförd energi'!$B$1:$AI$720,MATCH(V$2,'Tillförd energi'!$B$1:$AQ$1,0),FALSE)</f>
        <v>0</v>
      </c>
      <c r="W84" s="63">
        <f>VLOOKUP($B84,'Tillförd energi'!$B$1:$AI$720,MATCH(W$2,'Tillförd energi'!$B$1:$AQ$1,0),FALSE)</f>
        <v>0</v>
      </c>
      <c r="X84" s="63">
        <f>VLOOKUP($B84,'Tillförd energi'!$B$1:$AI$720,MATCH(X$2,'Tillförd energi'!$B$1:$AQ$1,0),FALSE)</f>
        <v>0</v>
      </c>
      <c r="Y84" s="63">
        <f>VLOOKUP($B84,'Tillförd energi'!$B$1:$AI$720,MATCH(Y$2,'Tillförd energi'!$B$1:$AQ$1,0),FALSE)</f>
        <v>0</v>
      </c>
      <c r="Z84" s="63">
        <f>VLOOKUP($B84,'Tillförd energi'!$B$1:$AI$720,MATCH(Z$2,'Tillförd energi'!$B$1:$AQ$1,0),FALSE)</f>
        <v>0</v>
      </c>
      <c r="AA84" s="63">
        <f>VLOOKUP($B84,'Tillförd energi'!$B$1:$AI$720,MATCH(AA$2,'Tillförd energi'!$B$1:$AQ$1,0),FALSE)</f>
        <v>0</v>
      </c>
      <c r="AB84" s="63">
        <f>VLOOKUP($B84,'Tillförd energi'!$B$1:$AI$720,MATCH(AB$2,'Tillförd energi'!$B$1:$AQ$1,0),FALSE)</f>
        <v>0</v>
      </c>
      <c r="AC84" s="63">
        <f>VLOOKUP($B84,'Tillförd energi'!$B$1:$AI$720,MATCH(AC$2,'Tillförd energi'!$B$1:$AQ$1,0),FALSE)</f>
        <v>0</v>
      </c>
      <c r="AD84" s="63">
        <f>VLOOKUP($B84,'Tillförd energi'!$B$1:$AI$720,MATCH(AD$2,'Tillförd energi'!$B$1:$AQ$1,0),FALSE)</f>
        <v>0</v>
      </c>
      <c r="AE84" s="63">
        <f>VLOOKUP($B84,'Tillförd energi'!$B$1:$AI$720,MATCH(AE$2,'Tillförd energi'!$B$1:$AQ$1,0),FALSE)</f>
        <v>0</v>
      </c>
      <c r="AF84" s="63">
        <f>VLOOKUP($B84,'Tillförd energi'!$B$1:$AI$720,MATCH(AF$2,'Tillförd energi'!$B$1:$AQ$1,0),FALSE)</f>
        <v>5.6000000000000001E-2</v>
      </c>
      <c r="AG84" s="63">
        <f>IFERROR(VLOOKUP(B84,Miljö!$B$1:$AC$550,MATCH("Köpt mängd produktionsspecifik fjärrvärme:",Miljö!$B$1:$AC$1,0),FALSE)/1,0)</f>
        <v>0</v>
      </c>
      <c r="AI84" s="63">
        <f t="shared" si="6"/>
        <v>5.3159999999999998</v>
      </c>
      <c r="AJ84" s="63">
        <f>IF(ISERROR(1/VLOOKUP($B84,Leveranser!$B$1:$S$500,MATCH("såld värme (gwh)",Leveranser!$B$1:$S$1,0),FALSE)),"",VLOOKUP($B84,Leveranser!$B$1:$S$500,MATCH("såld värme (gwh)",Leveranser!$B$1:$S$1,0),FALSE))</f>
        <v>4.2699999999999996</v>
      </c>
      <c r="AM84" s="63" t="str">
        <f>IF(B84&lt;&gt;"",IF(VLOOKUP($B84,Totalt!$B$1:$AQ$554,MATCH("Kvalitetsgranskad:",Totalt!$B$1:$AQ$1,0),FALSE)="ja",VLOOKUP($B84,Miljö!$B$1:$AG$479,MATCH(AM$2,Miljö!$B$1:$AK$1,0),FALSE),""),"")</f>
        <v>Ja</v>
      </c>
      <c r="AN84" s="63" t="str">
        <f>IF(AM84="ja",VLOOKUP($B84,Miljö!$B$1:$J$479,MATCH("Typ av ursprungsspecificerad el   (Om inget värde anges används Nordisk residualmix, se inforuta) ()",Miljö!$B$1:$J$1,0),FALSE),IF(AM84="nej","Nordisk residualel",""))</f>
        <v>'Bio. vatten. vind'</v>
      </c>
      <c r="AO84" s="63">
        <f>IF(AM84="","",VLOOKUP($B84,Miljö!$B$1:$J$479,MATCH("Fossilandel för ursprungspecificerad el ()",Miljö!$B$1:$J$1,0),FALSE))</f>
        <v>0</v>
      </c>
      <c r="AQ84" s="63">
        <f t="shared" si="7"/>
        <v>1</v>
      </c>
      <c r="AS84" s="63" t="str">
        <f t="shared" si="8"/>
        <v>Nej</v>
      </c>
      <c r="AT84" s="63" t="str">
        <f>IF(AS84="ja",VLOOKUP($B84,Miljö!$B$1:$P$500,MATCH("Fossil andel i procent (%)",Miljö!$B$1:$P$1,0),FALSE)/100,"")</f>
        <v/>
      </c>
      <c r="AV84" s="63" t="str">
        <f t="shared" si="9"/>
        <v>Nej</v>
      </c>
      <c r="AW84" s="63" t="str">
        <f>IF(AV84="ja",VLOOKUP($B84,'Egen hetvattenprod'!$B$1:$AO$500,MATCH("Värmekälla till värmepumpar ()",'Egen hetvattenprod'!$B$1:$AO$1,0),FALSE),"")</f>
        <v/>
      </c>
      <c r="AY84" s="63" t="str">
        <f t="shared" si="10"/>
        <v>Nej</v>
      </c>
      <c r="AZ84" s="77" t="str">
        <f>IF($AY84="ja",(VLOOKUP($B84,'Egen hetvattenprod'!$B$1:$BX$550,MATCH(AZ$2,'Egen hetvattenprod'!$B$1:$BX$1,0),FALSE)+VLOOKUP($B84,Kraftvärmeprod!$B$1:$BX$550,MATCH(AZ$2,Kraftvärmeprod!$B$1:$BX$1,0),FALSE))/$AC84,"")</f>
        <v/>
      </c>
      <c r="BA84" s="77" t="str">
        <f>IF($AY84="ja",(VLOOKUP($B84,'Egen hetvattenprod'!$B$1:$BX$550,MATCH(BA$2,'Egen hetvattenprod'!$B$1:$BX$1,0),FALSE)+VLOOKUP($B84,Kraftvärmeprod!$B$1:$BX$550,MATCH(BA$2,Kraftvärmeprod!$B$1:$BX$1,0),FALSE))/$AC84,"")</f>
        <v/>
      </c>
      <c r="BB84" s="77" t="str">
        <f>IF($AY84="ja",(VLOOKUP($B84,'Egen hetvattenprod'!$B$1:$BX$550,MATCH(BB$2,'Egen hetvattenprod'!$B$1:$BX$1,0),FALSE)+VLOOKUP($B84,Kraftvärmeprod!$B$1:$BX$550,MATCH(BB$2,Kraftvärmeprod!$B$1:$BX$1,0),FALSE))/$AC84,"")</f>
        <v/>
      </c>
      <c r="BC84" s="77" t="str">
        <f>IF($AY84="ja",(VLOOKUP($B84,'Egen hetvattenprod'!$B$1:$BX$550,MATCH(BC$2,'Egen hetvattenprod'!$B$1:$BX$1,0),FALSE)+VLOOKUP($B84,Kraftvärmeprod!$B$1:$BX$550,MATCH(BC$2,Kraftvärmeprod!$B$1:$BX$1,0),FALSE))/$AC84,"")</f>
        <v/>
      </c>
      <c r="BD84" s="77" t="str">
        <f>IF($AY84="ja",(VLOOKUP($B84,'Egen hetvattenprod'!$B$1:$BX$550,MATCH(BD$2,'Egen hetvattenprod'!$B$1:$BX$1,0),FALSE)+VLOOKUP($B84,Kraftvärmeprod!$B$1:$BX$550,MATCH(BD$2,Kraftvärmeprod!$B$1:$BX$1,0),FALSE))/$AC84,"")</f>
        <v/>
      </c>
      <c r="BF84" s="63" t="str">
        <f t="shared" si="11"/>
        <v>Nej</v>
      </c>
      <c r="BG84" s="63" t="str">
        <f>IF($BF84="ja",VLOOKUP($B84,'Egen hetvattenprod'!$B$1:$BX$550,MATCH("Andelen klimatgaser med fossilt ursprung för avfall ()",'Egen hetvattenprod'!$B$1:$BX$1,0),FALSE),"")</f>
        <v/>
      </c>
      <c r="BH84" s="63" t="str">
        <f>IF($BF84="ja",VLOOKUP($B84,Kraftvärmeprod!$B$1:$BX$550,MATCH("Andelen klimatgaser med fossilt ursprung för avfall ()",Kraftvärmeprod!$B$1:$BX$1,0),FALSE),"")</f>
        <v/>
      </c>
      <c r="BI84" s="63" t="str">
        <f>IF($BF84="ja",VLOOKUP($B84,'Egen hetvattenprod'!$B$1:$BX$550,MATCH("Avfall (GWh)",'Egen hetvattenprod'!$B$1:$BX$1,0),FALSE),"")</f>
        <v/>
      </c>
      <c r="BJ84" s="63" t="str">
        <f>IF($BF84="ja",VLOOKUP($B84,'Slutlig allokering kvv'!$B$1:$BX$550,MATCH("Avfall (GWh)",'Slutlig allokering kvv'!$B$1:$BX$1,0),FALSE),"")</f>
        <v/>
      </c>
      <c r="BK84" s="63" t="str">
        <f>IF($BF84="ja",VLOOKUP($B84,'Köpt hetvatten'!$B$1:$BX$550,MATCH("Avfall i köpt hetvatten",'Köpt hetvatten'!$B$1:$BX$1,0),FALSE),"")</f>
        <v/>
      </c>
      <c r="BL84" s="63" t="str">
        <f>IF($BF84="ja",VLOOKUP($B84,'Egen hetvattenprod'!$B$1:$BX$550,MATCH("Värde enligt ovan. (%)",'Egen hetvattenprod'!$B$1:$BX$1,0),FALSE),"")</f>
        <v/>
      </c>
      <c r="BM84" s="63" t="str">
        <f>IF($BF84="ja",VLOOKUP($B84,Kraftvärmeprod!$B$1:$BX$550,MATCH("Värde enligt ovan. (%)",Kraftvärmeprod!$B$1:$BX$1,0),FALSE),"")</f>
        <v/>
      </c>
    </row>
    <row r="85" spans="1:65" x14ac:dyDescent="0.45">
      <c r="A85" s="63" t="s">
        <v>582</v>
      </c>
      <c r="B85" s="63" t="s">
        <v>581</v>
      </c>
      <c r="C85" s="63">
        <f>VLOOKUP($B85,'Tillförd energi'!$B$1:$AI$720,MATCH(C$2,'Tillförd energi'!$B$1:$AQ$1,0),FALSE)</f>
        <v>0</v>
      </c>
      <c r="D85" s="63">
        <f>VLOOKUP($B85,'Tillförd energi'!$B$1:$AI$720,MATCH(D$2,'Tillförd energi'!$B$1:$AQ$1,0),FALSE)</f>
        <v>0.02</v>
      </c>
      <c r="E85" s="63">
        <f>VLOOKUP($B85,'Tillförd energi'!$B$1:$AI$720,MATCH(E$2,'Tillförd energi'!$B$1:$AQ$1,0),FALSE)</f>
        <v>0</v>
      </c>
      <c r="F85" s="63">
        <f>VLOOKUP($B85,'Tillförd energi'!$B$1:$AI$720,MATCH(F$2,'Tillförd energi'!$B$1:$AQ$1,0),FALSE)</f>
        <v>0</v>
      </c>
      <c r="G85" s="63">
        <f>VLOOKUP($B85,'Tillförd energi'!$B$1:$AI$720,MATCH(G$2,'Tillförd energi'!$B$1:$AQ$1,0),FALSE)</f>
        <v>0</v>
      </c>
      <c r="H85" s="63">
        <f>VLOOKUP($B85,'Tillförd energi'!$B$1:$AI$720,MATCH(H$2,'Tillförd energi'!$B$1:$AQ$1,0),FALSE)</f>
        <v>0</v>
      </c>
      <c r="I85" s="63">
        <f>VLOOKUP($B85,'Tillförd energi'!$B$1:$AI$720,MATCH(I$2,'Tillförd energi'!$B$1:$AQ$1,0),FALSE)</f>
        <v>0</v>
      </c>
      <c r="J85" s="63">
        <f>VLOOKUP($B85,'Tillförd energi'!$B$1:$AI$720,MATCH(J$2,'Tillförd energi'!$B$1:$AQ$1,0),FALSE)</f>
        <v>0</v>
      </c>
      <c r="K85" s="63">
        <f>VLOOKUP($B85,'Tillförd energi'!$B$1:$AI$720,MATCH(K$2,'Tillförd energi'!$B$1:$AQ$1,0),FALSE)</f>
        <v>0</v>
      </c>
      <c r="L85" s="63">
        <f>VLOOKUP($B85,'Tillförd energi'!$B$1:$AI$720,MATCH(L$2,'Tillförd energi'!$B$1:$AQ$1,0),FALSE)</f>
        <v>0</v>
      </c>
      <c r="M85" s="63">
        <f>VLOOKUP($B85,'Tillförd energi'!$B$1:$AI$720,MATCH(M$2,'Tillförd energi'!$B$1:$AQ$1,0),FALSE)</f>
        <v>0</v>
      </c>
      <c r="N85" s="63">
        <f>VLOOKUP($B85,'Tillförd energi'!$B$1:$AI$720,MATCH(N$2,'Tillförd energi'!$B$1:$AQ$1,0),FALSE)</f>
        <v>0</v>
      </c>
      <c r="O85" s="63">
        <f>VLOOKUP($B85,'Tillförd energi'!$B$1:$AI$720,MATCH(O$2,'Tillförd energi'!$B$1:$AQ$1,0),FALSE)</f>
        <v>0</v>
      </c>
      <c r="P85" s="63">
        <f>VLOOKUP($B85,'Tillförd energi'!$B$1:$AI$720,MATCH(P$2,'Tillförd energi'!$B$1:$AQ$1,0),FALSE)</f>
        <v>0</v>
      </c>
      <c r="Q85" s="63">
        <f>VLOOKUP($B85,'Tillförd energi'!$B$1:$AI$720,MATCH(Q$2,'Tillförd energi'!$B$1:$AQ$1,0),FALSE)</f>
        <v>0</v>
      </c>
      <c r="R85" s="63">
        <f>VLOOKUP($B85,'Tillförd energi'!$B$1:$AI$720,MATCH(R$2,'Tillförd energi'!$B$1:$AQ$1,0),FALSE)</f>
        <v>6.1</v>
      </c>
      <c r="S85" s="63">
        <f>VLOOKUP($B85,'Tillförd energi'!$B$1:$AI$720,MATCH(S$2,'Tillförd energi'!$B$1:$AQ$1,0),FALSE)</f>
        <v>0</v>
      </c>
      <c r="T85" s="63">
        <f>VLOOKUP($B85,'Tillförd energi'!$B$1:$AI$720,MATCH(T$2,'Tillförd energi'!$B$1:$AQ$1,0),FALSE)</f>
        <v>0</v>
      </c>
      <c r="U85" s="63">
        <f>VLOOKUP($B85,'Tillförd energi'!$B$1:$AI$720,MATCH(U$2,'Tillförd energi'!$B$1:$AQ$1,0),FALSE)</f>
        <v>0</v>
      </c>
      <c r="V85" s="63">
        <f>VLOOKUP($B85,'Tillförd energi'!$B$1:$AI$720,MATCH(V$2,'Tillförd energi'!$B$1:$AQ$1,0),FALSE)</f>
        <v>0</v>
      </c>
      <c r="W85" s="63">
        <f>VLOOKUP($B85,'Tillförd energi'!$B$1:$AI$720,MATCH(W$2,'Tillförd energi'!$B$1:$AQ$1,0),FALSE)</f>
        <v>0</v>
      </c>
      <c r="X85" s="63">
        <f>VLOOKUP($B85,'Tillförd energi'!$B$1:$AI$720,MATCH(X$2,'Tillförd energi'!$B$1:$AQ$1,0),FALSE)</f>
        <v>0</v>
      </c>
      <c r="Y85" s="63">
        <f>VLOOKUP($B85,'Tillförd energi'!$B$1:$AI$720,MATCH(Y$2,'Tillförd energi'!$B$1:$AQ$1,0),FALSE)</f>
        <v>0</v>
      </c>
      <c r="Z85" s="63">
        <f>VLOOKUP($B85,'Tillförd energi'!$B$1:$AI$720,MATCH(Z$2,'Tillförd energi'!$B$1:$AQ$1,0),FALSE)</f>
        <v>0</v>
      </c>
      <c r="AA85" s="63">
        <f>VLOOKUP($B85,'Tillförd energi'!$B$1:$AI$720,MATCH(AA$2,'Tillförd energi'!$B$1:$AQ$1,0),FALSE)</f>
        <v>0</v>
      </c>
      <c r="AB85" s="63">
        <f>VLOOKUP($B85,'Tillförd energi'!$B$1:$AI$720,MATCH(AB$2,'Tillförd energi'!$B$1:$AQ$1,0),FALSE)</f>
        <v>0</v>
      </c>
      <c r="AC85" s="63">
        <f>VLOOKUP($B85,'Tillförd energi'!$B$1:$AI$720,MATCH(AC$2,'Tillförd energi'!$B$1:$AQ$1,0),FALSE)</f>
        <v>0</v>
      </c>
      <c r="AD85" s="63">
        <f>VLOOKUP($B85,'Tillförd energi'!$B$1:$AI$720,MATCH(AD$2,'Tillförd energi'!$B$1:$AQ$1,0),FALSE)</f>
        <v>0</v>
      </c>
      <c r="AE85" s="63">
        <f>VLOOKUP($B85,'Tillförd energi'!$B$1:$AI$720,MATCH(AE$2,'Tillförd energi'!$B$1:$AQ$1,0),FALSE)</f>
        <v>0</v>
      </c>
      <c r="AF85" s="63">
        <f>VLOOKUP($B85,'Tillförd energi'!$B$1:$AI$720,MATCH(AF$2,'Tillförd energi'!$B$1:$AQ$1,0),FALSE)</f>
        <v>0.1</v>
      </c>
      <c r="AG85" s="63">
        <f>IFERROR(VLOOKUP(B85,Miljö!$B$1:$AC$550,MATCH("Köpt mängd produktionsspecifik fjärrvärme:",Miljö!$B$1:$AC$1,0),FALSE)/1,0)</f>
        <v>0</v>
      </c>
      <c r="AI85" s="63">
        <f t="shared" si="6"/>
        <v>6.2199999999999989</v>
      </c>
      <c r="AJ85" s="63">
        <f>IF(ISERROR(1/VLOOKUP($B85,Leveranser!$B$1:$S$500,MATCH("såld värme (gwh)",Leveranser!$B$1:$S$1,0),FALSE)),"",VLOOKUP($B85,Leveranser!$B$1:$S$500,MATCH("såld värme (gwh)",Leveranser!$B$1:$S$1,0),FALSE))</f>
        <v>4.8499999999999996</v>
      </c>
      <c r="AM85" s="63" t="str">
        <f>IF(B85&lt;&gt;"",IF(VLOOKUP($B85,Totalt!$B$1:$AQ$554,MATCH("Kvalitetsgranskad:",Totalt!$B$1:$AQ$1,0),FALSE)="ja",VLOOKUP($B85,Miljö!$B$1:$AG$479,MATCH(AM$2,Miljö!$B$1:$AK$1,0),FALSE),""),"")</f>
        <v>Ja</v>
      </c>
      <c r="AN85" s="63" t="str">
        <f>IF(AM85="ja",VLOOKUP($B85,Miljö!$B$1:$J$479,MATCH("Typ av ursprungsspecificerad el   (Om inget värde anges används Nordisk residualmix, se inforuta) ()",Miljö!$B$1:$J$1,0),FALSE),IF(AM85="nej","Nordisk residualel",""))</f>
        <v>'Bio. vatten. vind'</v>
      </c>
      <c r="AO85" s="63">
        <f>IF(AM85="","",VLOOKUP($B85,Miljö!$B$1:$J$479,MATCH("Fossilandel för ursprungspecificerad el ()",Miljö!$B$1:$J$1,0),FALSE))</f>
        <v>0</v>
      </c>
      <c r="AQ85" s="63">
        <f t="shared" si="7"/>
        <v>1</v>
      </c>
      <c r="AS85" s="63" t="str">
        <f t="shared" si="8"/>
        <v>Nej</v>
      </c>
      <c r="AT85" s="63" t="str">
        <f>IF(AS85="ja",VLOOKUP($B85,Miljö!$B$1:$P$500,MATCH("Fossil andel i procent (%)",Miljö!$B$1:$P$1,0),FALSE)/100,"")</f>
        <v/>
      </c>
      <c r="AV85" s="63" t="str">
        <f t="shared" si="9"/>
        <v>Nej</v>
      </c>
      <c r="AW85" s="63" t="str">
        <f>IF(AV85="ja",VLOOKUP($B85,'Egen hetvattenprod'!$B$1:$AO$500,MATCH("Värmekälla till värmepumpar ()",'Egen hetvattenprod'!$B$1:$AO$1,0),FALSE),"")</f>
        <v/>
      </c>
      <c r="AY85" s="63" t="str">
        <f t="shared" si="10"/>
        <v>Nej</v>
      </c>
      <c r="AZ85" s="77" t="str">
        <f>IF($AY85="ja",(VLOOKUP($B85,'Egen hetvattenprod'!$B$1:$BX$550,MATCH(AZ$2,'Egen hetvattenprod'!$B$1:$BX$1,0),FALSE)+VLOOKUP($B85,Kraftvärmeprod!$B$1:$BX$550,MATCH(AZ$2,Kraftvärmeprod!$B$1:$BX$1,0),FALSE))/$AC85,"")</f>
        <v/>
      </c>
      <c r="BA85" s="77" t="str">
        <f>IF($AY85="ja",(VLOOKUP($B85,'Egen hetvattenprod'!$B$1:$BX$550,MATCH(BA$2,'Egen hetvattenprod'!$B$1:$BX$1,0),FALSE)+VLOOKUP($B85,Kraftvärmeprod!$B$1:$BX$550,MATCH(BA$2,Kraftvärmeprod!$B$1:$BX$1,0),FALSE))/$AC85,"")</f>
        <v/>
      </c>
      <c r="BB85" s="77" t="str">
        <f>IF($AY85="ja",(VLOOKUP($B85,'Egen hetvattenprod'!$B$1:$BX$550,MATCH(BB$2,'Egen hetvattenprod'!$B$1:$BX$1,0),FALSE)+VLOOKUP($B85,Kraftvärmeprod!$B$1:$BX$550,MATCH(BB$2,Kraftvärmeprod!$B$1:$BX$1,0),FALSE))/$AC85,"")</f>
        <v/>
      </c>
      <c r="BC85" s="77" t="str">
        <f>IF($AY85="ja",(VLOOKUP($B85,'Egen hetvattenprod'!$B$1:$BX$550,MATCH(BC$2,'Egen hetvattenprod'!$B$1:$BX$1,0),FALSE)+VLOOKUP($B85,Kraftvärmeprod!$B$1:$BX$550,MATCH(BC$2,Kraftvärmeprod!$B$1:$BX$1,0),FALSE))/$AC85,"")</f>
        <v/>
      </c>
      <c r="BD85" s="77" t="str">
        <f>IF($AY85="ja",(VLOOKUP($B85,'Egen hetvattenprod'!$B$1:$BX$550,MATCH(BD$2,'Egen hetvattenprod'!$B$1:$BX$1,0),FALSE)+VLOOKUP($B85,Kraftvärmeprod!$B$1:$BX$550,MATCH(BD$2,Kraftvärmeprod!$B$1:$BX$1,0),FALSE))/$AC85,"")</f>
        <v/>
      </c>
      <c r="BF85" s="63" t="str">
        <f t="shared" si="11"/>
        <v>Nej</v>
      </c>
      <c r="BG85" s="63" t="str">
        <f>IF($BF85="ja",VLOOKUP($B85,'Egen hetvattenprod'!$B$1:$BX$550,MATCH("Andelen klimatgaser med fossilt ursprung för avfall ()",'Egen hetvattenprod'!$B$1:$BX$1,0),FALSE),"")</f>
        <v/>
      </c>
      <c r="BH85" s="63" t="str">
        <f>IF($BF85="ja",VLOOKUP($B85,Kraftvärmeprod!$B$1:$BX$550,MATCH("Andelen klimatgaser med fossilt ursprung för avfall ()",Kraftvärmeprod!$B$1:$BX$1,0),FALSE),"")</f>
        <v/>
      </c>
      <c r="BI85" s="63" t="str">
        <f>IF($BF85="ja",VLOOKUP($B85,'Egen hetvattenprod'!$B$1:$BX$550,MATCH("Avfall (GWh)",'Egen hetvattenprod'!$B$1:$BX$1,0),FALSE),"")</f>
        <v/>
      </c>
      <c r="BJ85" s="63" t="str">
        <f>IF($BF85="ja",VLOOKUP($B85,'Slutlig allokering kvv'!$B$1:$BX$550,MATCH("Avfall (GWh)",'Slutlig allokering kvv'!$B$1:$BX$1,0),FALSE),"")</f>
        <v/>
      </c>
      <c r="BK85" s="63" t="str">
        <f>IF($BF85="ja",VLOOKUP($B85,'Köpt hetvatten'!$B$1:$BX$550,MATCH("Avfall i köpt hetvatten",'Köpt hetvatten'!$B$1:$BX$1,0),FALSE),"")</f>
        <v/>
      </c>
      <c r="BL85" s="63" t="str">
        <f>IF($BF85="ja",VLOOKUP($B85,'Egen hetvattenprod'!$B$1:$BX$550,MATCH("Värde enligt ovan. (%)",'Egen hetvattenprod'!$B$1:$BX$1,0),FALSE),"")</f>
        <v/>
      </c>
      <c r="BM85" s="63" t="str">
        <f>IF($BF85="ja",VLOOKUP($B85,Kraftvärmeprod!$B$1:$BX$550,MATCH("Värde enligt ovan. (%)",Kraftvärmeprod!$B$1:$BX$1,0),FALSE),"")</f>
        <v/>
      </c>
    </row>
    <row r="86" spans="1:65" x14ac:dyDescent="0.45">
      <c r="A86" s="63" t="s">
        <v>580</v>
      </c>
      <c r="B86" s="63" t="s">
        <v>579</v>
      </c>
      <c r="C86" s="63">
        <f>VLOOKUP($B86,'Tillförd energi'!$B$1:$AI$720,MATCH(C$2,'Tillförd energi'!$B$1:$AQ$1,0),FALSE)</f>
        <v>0</v>
      </c>
      <c r="D86" s="63">
        <f>VLOOKUP($B86,'Tillförd energi'!$B$1:$AI$720,MATCH(D$2,'Tillförd energi'!$B$1:$AQ$1,0),FALSE)</f>
        <v>1.3</v>
      </c>
      <c r="E86" s="63">
        <f>VLOOKUP($B86,'Tillförd energi'!$B$1:$AI$720,MATCH(E$2,'Tillförd energi'!$B$1:$AQ$1,0),FALSE)</f>
        <v>0</v>
      </c>
      <c r="F86" s="63">
        <f>VLOOKUP($B86,'Tillförd energi'!$B$1:$AI$720,MATCH(F$2,'Tillförd energi'!$B$1:$AQ$1,0),FALSE)</f>
        <v>0</v>
      </c>
      <c r="G86" s="63">
        <f>VLOOKUP($B86,'Tillförd energi'!$B$1:$AI$720,MATCH(G$2,'Tillförd energi'!$B$1:$AQ$1,0),FALSE)</f>
        <v>0</v>
      </c>
      <c r="H86" s="63">
        <f>VLOOKUP($B86,'Tillförd energi'!$B$1:$AI$720,MATCH(H$2,'Tillförd energi'!$B$1:$AQ$1,0),FALSE)</f>
        <v>0</v>
      </c>
      <c r="I86" s="63">
        <f>VLOOKUP($B86,'Tillförd energi'!$B$1:$AI$720,MATCH(I$2,'Tillförd energi'!$B$1:$AQ$1,0),FALSE)</f>
        <v>69.099999999999994</v>
      </c>
      <c r="J86" s="63">
        <f>VLOOKUP($B86,'Tillförd energi'!$B$1:$AI$720,MATCH(J$2,'Tillförd energi'!$B$1:$AQ$1,0),FALSE)</f>
        <v>0</v>
      </c>
      <c r="K86" s="63">
        <f>VLOOKUP($B86,'Tillförd energi'!$B$1:$AI$720,MATCH(K$2,'Tillförd energi'!$B$1:$AQ$1,0),FALSE)</f>
        <v>0</v>
      </c>
      <c r="L86" s="63">
        <f>VLOOKUP($B86,'Tillförd energi'!$B$1:$AI$720,MATCH(L$2,'Tillförd energi'!$B$1:$AQ$1,0),FALSE)</f>
        <v>3.7</v>
      </c>
      <c r="M86" s="63">
        <f>VLOOKUP($B86,'Tillförd energi'!$B$1:$AI$720,MATCH(M$2,'Tillförd energi'!$B$1:$AQ$1,0),FALSE)</f>
        <v>0</v>
      </c>
      <c r="N86" s="63">
        <f>VLOOKUP($B86,'Tillförd energi'!$B$1:$AI$720,MATCH(N$2,'Tillförd energi'!$B$1:$AQ$1,0),FALSE)</f>
        <v>43.3</v>
      </c>
      <c r="O86" s="63">
        <f>VLOOKUP($B86,'Tillförd energi'!$B$1:$AI$720,MATCH(O$2,'Tillförd energi'!$B$1:$AQ$1,0),FALSE)</f>
        <v>0</v>
      </c>
      <c r="P86" s="63">
        <f>VLOOKUP($B86,'Tillförd energi'!$B$1:$AI$720,MATCH(P$2,'Tillförd energi'!$B$1:$AQ$1,0),FALSE)</f>
        <v>0</v>
      </c>
      <c r="Q86" s="63">
        <f>VLOOKUP($B86,'Tillförd energi'!$B$1:$AI$720,MATCH(Q$2,'Tillförd energi'!$B$1:$AQ$1,0),FALSE)</f>
        <v>0</v>
      </c>
      <c r="R86" s="63">
        <f>VLOOKUP($B86,'Tillförd energi'!$B$1:$AI$720,MATCH(R$2,'Tillförd energi'!$B$1:$AQ$1,0),FALSE)</f>
        <v>0</v>
      </c>
      <c r="S86" s="63">
        <f>VLOOKUP($B86,'Tillförd energi'!$B$1:$AI$720,MATCH(S$2,'Tillförd energi'!$B$1:$AQ$1,0),FALSE)</f>
        <v>0</v>
      </c>
      <c r="T86" s="63">
        <f>VLOOKUP($B86,'Tillförd energi'!$B$1:$AI$720,MATCH(T$2,'Tillförd energi'!$B$1:$AQ$1,0),FALSE)</f>
        <v>0</v>
      </c>
      <c r="U86" s="63">
        <f>VLOOKUP($B86,'Tillförd energi'!$B$1:$AI$720,MATCH(U$2,'Tillförd energi'!$B$1:$AQ$1,0),FALSE)</f>
        <v>0</v>
      </c>
      <c r="V86" s="63">
        <f>VLOOKUP($B86,'Tillförd energi'!$B$1:$AI$720,MATCH(V$2,'Tillförd energi'!$B$1:$AQ$1,0),FALSE)</f>
        <v>0</v>
      </c>
      <c r="W86" s="63">
        <f>VLOOKUP($B86,'Tillförd energi'!$B$1:$AI$720,MATCH(W$2,'Tillförd energi'!$B$1:$AQ$1,0),FALSE)</f>
        <v>7.7</v>
      </c>
      <c r="X86" s="63">
        <f>VLOOKUP($B86,'Tillförd energi'!$B$1:$AI$720,MATCH(X$2,'Tillförd energi'!$B$1:$AQ$1,0),FALSE)</f>
        <v>0</v>
      </c>
      <c r="Y86" s="63">
        <f>VLOOKUP($B86,'Tillförd energi'!$B$1:$AI$720,MATCH(Y$2,'Tillförd energi'!$B$1:$AQ$1,0),FALSE)</f>
        <v>0</v>
      </c>
      <c r="Z86" s="63">
        <f>VLOOKUP($B86,'Tillförd energi'!$B$1:$AI$720,MATCH(Z$2,'Tillförd energi'!$B$1:$AQ$1,0),FALSE)</f>
        <v>0</v>
      </c>
      <c r="AA86" s="63">
        <f>VLOOKUP($B86,'Tillförd energi'!$B$1:$AI$720,MATCH(AA$2,'Tillförd energi'!$B$1:$AQ$1,0),FALSE)</f>
        <v>0</v>
      </c>
      <c r="AB86" s="63">
        <f>VLOOKUP($B86,'Tillförd energi'!$B$1:$AI$720,MATCH(AB$2,'Tillförd energi'!$B$1:$AQ$1,0),FALSE)</f>
        <v>0</v>
      </c>
      <c r="AC86" s="63">
        <f>VLOOKUP($B86,'Tillförd energi'!$B$1:$AI$720,MATCH(AC$2,'Tillförd energi'!$B$1:$AQ$1,0),FALSE)</f>
        <v>0</v>
      </c>
      <c r="AD86" s="63">
        <f>VLOOKUP($B86,'Tillförd energi'!$B$1:$AI$720,MATCH(AD$2,'Tillförd energi'!$B$1:$AQ$1,0),FALSE)</f>
        <v>16.5</v>
      </c>
      <c r="AE86" s="63">
        <f>VLOOKUP($B86,'Tillförd energi'!$B$1:$AI$720,MATCH(AE$2,'Tillförd energi'!$B$1:$AQ$1,0),FALSE)</f>
        <v>0</v>
      </c>
      <c r="AF86" s="63">
        <f>VLOOKUP($B86,'Tillförd energi'!$B$1:$AI$720,MATCH(AF$2,'Tillförd energi'!$B$1:$AQ$1,0),FALSE)</f>
        <v>4</v>
      </c>
      <c r="AG86" s="63">
        <f>IFERROR(VLOOKUP(B86,Miljö!$B$1:$AC$550,MATCH("Köpt mängd produktionsspecifik fjärrvärme:",Miljö!$B$1:$AC$1,0),FALSE)/1,0)</f>
        <v>0</v>
      </c>
      <c r="AI86" s="63">
        <f t="shared" si="6"/>
        <v>145.6</v>
      </c>
      <c r="AJ86" s="63">
        <f>IF(ISERROR(1/VLOOKUP($B86,Leveranser!$B$1:$S$500,MATCH("såld värme (gwh)",Leveranser!$B$1:$S$1,0),FALSE)),"",VLOOKUP($B86,Leveranser!$B$1:$S$500,MATCH("såld värme (gwh)",Leveranser!$B$1:$S$1,0),FALSE))</f>
        <v>110</v>
      </c>
      <c r="AM86" s="63" t="str">
        <f>IF(B86&lt;&gt;"",IF(VLOOKUP($B86,Totalt!$B$1:$AQ$554,MATCH("Kvalitetsgranskad:",Totalt!$B$1:$AQ$1,0),FALSE)="ja",VLOOKUP($B86,Miljö!$B$1:$AG$479,MATCH(AM$2,Miljö!$B$1:$AK$1,0),FALSE),""),"")</f>
        <v>Ja</v>
      </c>
      <c r="AN86" s="63" t="str">
        <f>IF(AM86="ja",VLOOKUP($B86,Miljö!$B$1:$J$479,MATCH("Typ av ursprungsspecificerad el   (Om inget värde anges används Nordisk residualmix, se inforuta) ()",Miljö!$B$1:$J$1,0),FALSE),IF(AM86="nej","Nordisk residualel",""))</f>
        <v>'vindkraft'</v>
      </c>
      <c r="AO86" s="63">
        <f>IF(AM86="","",VLOOKUP($B86,Miljö!$B$1:$J$479,MATCH("Fossilandel för ursprungspecificerad el ()",Miljö!$B$1:$J$1,0),FALSE))</f>
        <v>0</v>
      </c>
      <c r="AQ86" s="63">
        <f t="shared" si="7"/>
        <v>1</v>
      </c>
      <c r="AS86" s="63" t="str">
        <f t="shared" si="8"/>
        <v>Nej</v>
      </c>
      <c r="AT86" s="63" t="str">
        <f>IF(AS86="ja",VLOOKUP($B86,Miljö!$B$1:$P$500,MATCH("Fossil andel i procent (%)",Miljö!$B$1:$P$1,0),FALSE)/100,"")</f>
        <v/>
      </c>
      <c r="AV86" s="63" t="str">
        <f t="shared" si="9"/>
        <v>Nej</v>
      </c>
      <c r="AW86" s="63" t="str">
        <f>IF(AV86="ja",VLOOKUP($B86,'Egen hetvattenprod'!$B$1:$AO$500,MATCH("Värmekälla till värmepumpar ()",'Egen hetvattenprod'!$B$1:$AO$1,0),FALSE),"")</f>
        <v/>
      </c>
      <c r="AY86" s="63" t="str">
        <f t="shared" si="10"/>
        <v>Nej</v>
      </c>
      <c r="AZ86" s="77" t="str">
        <f>IF($AY86="ja",(VLOOKUP($B86,'Egen hetvattenprod'!$B$1:$BX$550,MATCH(AZ$2,'Egen hetvattenprod'!$B$1:$BX$1,0),FALSE)+VLOOKUP($B86,Kraftvärmeprod!$B$1:$BX$550,MATCH(AZ$2,Kraftvärmeprod!$B$1:$BX$1,0),FALSE))/$AC86,"")</f>
        <v/>
      </c>
      <c r="BA86" s="77" t="str">
        <f>IF($AY86="ja",(VLOOKUP($B86,'Egen hetvattenprod'!$B$1:$BX$550,MATCH(BA$2,'Egen hetvattenprod'!$B$1:$BX$1,0),FALSE)+VLOOKUP($B86,Kraftvärmeprod!$B$1:$BX$550,MATCH(BA$2,Kraftvärmeprod!$B$1:$BX$1,0),FALSE))/$AC86,"")</f>
        <v/>
      </c>
      <c r="BB86" s="77" t="str">
        <f>IF($AY86="ja",(VLOOKUP($B86,'Egen hetvattenprod'!$B$1:$BX$550,MATCH(BB$2,'Egen hetvattenprod'!$B$1:$BX$1,0),FALSE)+VLOOKUP($B86,Kraftvärmeprod!$B$1:$BX$550,MATCH(BB$2,Kraftvärmeprod!$B$1:$BX$1,0),FALSE))/$AC86,"")</f>
        <v/>
      </c>
      <c r="BC86" s="77" t="str">
        <f>IF($AY86="ja",(VLOOKUP($B86,'Egen hetvattenprod'!$B$1:$BX$550,MATCH(BC$2,'Egen hetvattenprod'!$B$1:$BX$1,0),FALSE)+VLOOKUP($B86,Kraftvärmeprod!$B$1:$BX$550,MATCH(BC$2,Kraftvärmeprod!$B$1:$BX$1,0),FALSE))/$AC86,"")</f>
        <v/>
      </c>
      <c r="BD86" s="77" t="str">
        <f>IF($AY86="ja",(VLOOKUP($B86,'Egen hetvattenprod'!$B$1:$BX$550,MATCH(BD$2,'Egen hetvattenprod'!$B$1:$BX$1,0),FALSE)+VLOOKUP($B86,Kraftvärmeprod!$B$1:$BX$550,MATCH(BD$2,Kraftvärmeprod!$B$1:$BX$1,0),FALSE))/$AC86,"")</f>
        <v/>
      </c>
      <c r="BF86" s="63" t="str">
        <f t="shared" si="11"/>
        <v>Ja</v>
      </c>
      <c r="BG86" s="63" t="str">
        <f>IF($BF86="ja",VLOOKUP($B86,'Egen hetvattenprod'!$B$1:$BX$550,MATCH("Andelen klimatgaser med fossilt ursprung för avfall ()",'Egen hetvattenprod'!$B$1:$BX$1,0),FALSE),"")</f>
        <v>Schablon</v>
      </c>
      <c r="BH86" s="63" t="str">
        <f>IF($BF86="ja",VLOOKUP($B86,Kraftvärmeprod!$B$1:$BX$550,MATCH("Andelen klimatgaser med fossilt ursprung för avfall ()",Kraftvärmeprod!$B$1:$BX$1,0),FALSE),"")</f>
        <v>ET</v>
      </c>
      <c r="BI86" s="63">
        <f>IF($BF86="ja",VLOOKUP($B86,'Egen hetvattenprod'!$B$1:$BX$550,MATCH("Avfall (GWh)",'Egen hetvattenprod'!$B$1:$BX$1,0),FALSE),"")</f>
        <v>69.099999999999994</v>
      </c>
      <c r="BJ86" s="63">
        <f>IF($BF86="ja",VLOOKUP($B86,'Slutlig allokering kvv'!$B$1:$BX$550,MATCH("Avfall (GWh)",'Slutlig allokering kvv'!$B$1:$BX$1,0),FALSE),"")</f>
        <v>0</v>
      </c>
      <c r="BK86" s="63">
        <f>IF($BF86="ja",VLOOKUP($B86,'Köpt hetvatten'!$B$1:$BX$550,MATCH("Avfall i köpt hetvatten",'Köpt hetvatten'!$B$1:$BX$1,0),FALSE),"")</f>
        <v>0</v>
      </c>
      <c r="BL86" s="63">
        <f>IF($BF86="ja",VLOOKUP($B86,'Egen hetvattenprod'!$B$1:$BX$550,MATCH("Värde enligt ovan. (%)",'Egen hetvattenprod'!$B$1:$BX$1,0),FALSE),"")</f>
        <v>37.5</v>
      </c>
      <c r="BM86" s="63" t="str">
        <f>IF($BF86="ja",VLOOKUP($B86,Kraftvärmeprod!$B$1:$BX$550,MATCH("Värde enligt ovan. (%)",Kraftvärmeprod!$B$1:$BX$1,0),FALSE),"")</f>
        <v>ET</v>
      </c>
    </row>
    <row r="87" spans="1:65" x14ac:dyDescent="0.45">
      <c r="A87" s="63" t="s">
        <v>576</v>
      </c>
      <c r="B87" s="63" t="s">
        <v>578</v>
      </c>
      <c r="C87" s="63">
        <f>VLOOKUP($B87,'Tillförd energi'!$B$1:$AI$720,MATCH(C$2,'Tillförd energi'!$B$1:$AQ$1,0),FALSE)</f>
        <v>0</v>
      </c>
      <c r="D87" s="63">
        <f>VLOOKUP($B87,'Tillförd energi'!$B$1:$AI$720,MATCH(D$2,'Tillförd energi'!$B$1:$AQ$1,0),FALSE)</f>
        <v>0.04</v>
      </c>
      <c r="E87" s="63">
        <f>VLOOKUP($B87,'Tillförd energi'!$B$1:$AI$720,MATCH(E$2,'Tillförd energi'!$B$1:$AQ$1,0),FALSE)</f>
        <v>0</v>
      </c>
      <c r="F87" s="63">
        <f>VLOOKUP($B87,'Tillförd energi'!$B$1:$AI$720,MATCH(F$2,'Tillförd energi'!$B$1:$AQ$1,0),FALSE)</f>
        <v>0</v>
      </c>
      <c r="G87" s="63">
        <f>VLOOKUP($B87,'Tillförd energi'!$B$1:$AI$720,MATCH(G$2,'Tillförd energi'!$B$1:$AQ$1,0),FALSE)</f>
        <v>0</v>
      </c>
      <c r="H87" s="63">
        <f>VLOOKUP($B87,'Tillförd energi'!$B$1:$AI$720,MATCH(H$2,'Tillförd energi'!$B$1:$AQ$1,0),FALSE)</f>
        <v>0</v>
      </c>
      <c r="I87" s="63">
        <f>VLOOKUP($B87,'Tillförd energi'!$B$1:$AI$720,MATCH(I$2,'Tillförd energi'!$B$1:$AQ$1,0),FALSE)</f>
        <v>0</v>
      </c>
      <c r="J87" s="63">
        <f>VLOOKUP($B87,'Tillförd energi'!$B$1:$AI$720,MATCH(J$2,'Tillförd energi'!$B$1:$AQ$1,0),FALSE)</f>
        <v>0</v>
      </c>
      <c r="K87" s="63">
        <f>VLOOKUP($B87,'Tillförd energi'!$B$1:$AI$720,MATCH(K$2,'Tillförd energi'!$B$1:$AQ$1,0),FALSE)</f>
        <v>0</v>
      </c>
      <c r="L87" s="63">
        <f>VLOOKUP($B87,'Tillförd energi'!$B$1:$AI$720,MATCH(L$2,'Tillförd energi'!$B$1:$AQ$1,0),FALSE)</f>
        <v>0</v>
      </c>
      <c r="M87" s="63">
        <f>VLOOKUP($B87,'Tillförd energi'!$B$1:$AI$720,MATCH(M$2,'Tillförd energi'!$B$1:$AQ$1,0),FALSE)</f>
        <v>9.3000000000000007</v>
      </c>
      <c r="N87" s="63">
        <f>VLOOKUP($B87,'Tillförd energi'!$B$1:$AI$720,MATCH(N$2,'Tillförd energi'!$B$1:$AQ$1,0),FALSE)</f>
        <v>24.46</v>
      </c>
      <c r="O87" s="63">
        <f>VLOOKUP($B87,'Tillförd energi'!$B$1:$AI$720,MATCH(O$2,'Tillförd energi'!$B$1:$AQ$1,0),FALSE)</f>
        <v>0</v>
      </c>
      <c r="P87" s="63">
        <f>VLOOKUP($B87,'Tillförd energi'!$B$1:$AI$720,MATCH(P$2,'Tillförd energi'!$B$1:$AQ$1,0),FALSE)</f>
        <v>10.3</v>
      </c>
      <c r="Q87" s="63">
        <f>VLOOKUP($B87,'Tillförd energi'!$B$1:$AI$720,MATCH(Q$2,'Tillförd energi'!$B$1:$AQ$1,0),FALSE)</f>
        <v>0</v>
      </c>
      <c r="R87" s="63">
        <f>VLOOKUP($B87,'Tillförd energi'!$B$1:$AI$720,MATCH(R$2,'Tillförd energi'!$B$1:$AQ$1,0),FALSE)</f>
        <v>0</v>
      </c>
      <c r="S87" s="63">
        <f>VLOOKUP($B87,'Tillförd energi'!$B$1:$AI$720,MATCH(S$2,'Tillförd energi'!$B$1:$AQ$1,0),FALSE)</f>
        <v>0</v>
      </c>
      <c r="T87" s="63">
        <f>VLOOKUP($B87,'Tillförd energi'!$B$1:$AI$720,MATCH(T$2,'Tillförd energi'!$B$1:$AQ$1,0),FALSE)</f>
        <v>0</v>
      </c>
      <c r="U87" s="63">
        <f>VLOOKUP($B87,'Tillförd energi'!$B$1:$AI$720,MATCH(U$2,'Tillförd energi'!$B$1:$AQ$1,0),FALSE)</f>
        <v>0</v>
      </c>
      <c r="V87" s="63">
        <f>VLOOKUP($B87,'Tillförd energi'!$B$1:$AI$720,MATCH(V$2,'Tillförd energi'!$B$1:$AQ$1,0),FALSE)</f>
        <v>0</v>
      </c>
      <c r="W87" s="63">
        <f>VLOOKUP($B87,'Tillförd energi'!$B$1:$AI$720,MATCH(W$2,'Tillförd energi'!$B$1:$AQ$1,0),FALSE)</f>
        <v>0</v>
      </c>
      <c r="X87" s="63">
        <f>VLOOKUP($B87,'Tillförd energi'!$B$1:$AI$720,MATCH(X$2,'Tillförd energi'!$B$1:$AQ$1,0),FALSE)</f>
        <v>0</v>
      </c>
      <c r="Y87" s="63">
        <f>VLOOKUP($B87,'Tillförd energi'!$B$1:$AI$720,MATCH(Y$2,'Tillförd energi'!$B$1:$AQ$1,0),FALSE)</f>
        <v>0</v>
      </c>
      <c r="Z87" s="63">
        <f>VLOOKUP($B87,'Tillförd energi'!$B$1:$AI$720,MATCH(Z$2,'Tillförd energi'!$B$1:$AQ$1,0),FALSE)</f>
        <v>0</v>
      </c>
      <c r="AA87" s="63">
        <f>VLOOKUP($B87,'Tillförd energi'!$B$1:$AI$720,MATCH(AA$2,'Tillförd energi'!$B$1:$AQ$1,0),FALSE)</f>
        <v>0</v>
      </c>
      <c r="AB87" s="63">
        <f>VLOOKUP($B87,'Tillförd energi'!$B$1:$AI$720,MATCH(AB$2,'Tillförd energi'!$B$1:$AQ$1,0),FALSE)</f>
        <v>0</v>
      </c>
      <c r="AC87" s="63">
        <f>VLOOKUP($B87,'Tillförd energi'!$B$1:$AI$720,MATCH(AC$2,'Tillförd energi'!$B$1:$AQ$1,0),FALSE)</f>
        <v>7.1</v>
      </c>
      <c r="AD87" s="63">
        <f>VLOOKUP($B87,'Tillförd energi'!$B$1:$AI$720,MATCH(AD$2,'Tillförd energi'!$B$1:$AQ$1,0),FALSE)</f>
        <v>0.91200000000000003</v>
      </c>
      <c r="AE87" s="63">
        <f>VLOOKUP($B87,'Tillförd energi'!$B$1:$AI$720,MATCH(AE$2,'Tillförd energi'!$B$1:$AQ$1,0),FALSE)</f>
        <v>0</v>
      </c>
      <c r="AF87" s="63">
        <f>VLOOKUP($B87,'Tillförd energi'!$B$1:$AI$720,MATCH(AF$2,'Tillförd energi'!$B$1:$AQ$1,0),FALSE)</f>
        <v>1.1895899999999999</v>
      </c>
      <c r="AG87" s="63">
        <f>IFERROR(VLOOKUP(B87,Miljö!$B$1:$AC$550,MATCH("Köpt mängd produktionsspecifik fjärrvärme:",Miljö!$B$1:$AC$1,0),FALSE)/1,0)</f>
        <v>0</v>
      </c>
      <c r="AI87" s="63">
        <f t="shared" si="6"/>
        <v>53.301589999999997</v>
      </c>
      <c r="AJ87" s="63">
        <f>IF(ISERROR(1/VLOOKUP($B87,Leveranser!$B$1:$S$500,MATCH("såld värme (gwh)",Leveranser!$B$1:$S$1,0),FALSE)),"",VLOOKUP($B87,Leveranser!$B$1:$S$500,MATCH("såld värme (gwh)",Leveranser!$B$1:$S$1,0),FALSE))</f>
        <v>39.652999999999999</v>
      </c>
      <c r="AM87" s="63" t="str">
        <f>IF(B87&lt;&gt;"",IF(VLOOKUP($B87,Totalt!$B$1:$AQ$554,MATCH("Kvalitetsgranskad:",Totalt!$B$1:$AQ$1,0),FALSE)="ja",VLOOKUP($B87,Miljö!$B$1:$AG$479,MATCH(AM$2,Miljö!$B$1:$AK$1,0),FALSE),""),"")</f>
        <v>Ja</v>
      </c>
      <c r="AN87" s="63" t="str">
        <f>IF(AM87="ja",VLOOKUP($B87,Miljö!$B$1:$J$479,MATCH("Typ av ursprungsspecificerad el   (Om inget värde anges används Nordisk residualmix, se inforuta) ()",Miljö!$B$1:$J$1,0),FALSE),IF(AM87="nej","Nordisk residualel",""))</f>
        <v>'Förnybart'</v>
      </c>
      <c r="AO87" s="63">
        <f>IF(AM87="","",VLOOKUP($B87,Miljö!$B$1:$J$479,MATCH("Fossilandel för ursprungspecificerad el ()",Miljö!$B$1:$J$1,0),FALSE))</f>
        <v>0</v>
      </c>
      <c r="AQ87" s="63">
        <f t="shared" si="7"/>
        <v>1</v>
      </c>
      <c r="AS87" s="63" t="str">
        <f t="shared" si="8"/>
        <v>Nej</v>
      </c>
      <c r="AT87" s="63" t="str">
        <f>IF(AS87="ja",VLOOKUP($B87,Miljö!$B$1:$P$500,MATCH("Fossil andel i procent (%)",Miljö!$B$1:$P$1,0),FALSE)/100,"")</f>
        <v/>
      </c>
      <c r="AV87" s="63" t="str">
        <f t="shared" si="9"/>
        <v>Nej</v>
      </c>
      <c r="AW87" s="63" t="str">
        <f>IF(AV87="ja",VLOOKUP($B87,'Egen hetvattenprod'!$B$1:$AO$500,MATCH("Värmekälla till värmepumpar ()",'Egen hetvattenprod'!$B$1:$AO$1,0),FALSE),"")</f>
        <v/>
      </c>
      <c r="AY87" s="63" t="str">
        <f t="shared" si="10"/>
        <v>Ja</v>
      </c>
      <c r="AZ87" s="77">
        <f>IF($AY87="ja",(VLOOKUP($B87,'Egen hetvattenprod'!$B$1:$BX$550,MATCH(AZ$2,'Egen hetvattenprod'!$B$1:$BX$1,0),FALSE)+VLOOKUP($B87,Kraftvärmeprod!$B$1:$BX$550,MATCH(AZ$2,Kraftvärmeprod!$B$1:$BX$1,0),FALSE))/$AC87,"")</f>
        <v>1</v>
      </c>
      <c r="BA87" s="77">
        <f>IF($AY87="ja",(VLOOKUP($B87,'Egen hetvattenprod'!$B$1:$BX$550,MATCH(BA$2,'Egen hetvattenprod'!$B$1:$BX$1,0),FALSE)+VLOOKUP($B87,Kraftvärmeprod!$B$1:$BX$550,MATCH(BA$2,Kraftvärmeprod!$B$1:$BX$1,0),FALSE))/$AC87,"")</f>
        <v>0</v>
      </c>
      <c r="BB87" s="77">
        <f>IF($AY87="ja",(VLOOKUP($B87,'Egen hetvattenprod'!$B$1:$BX$550,MATCH(BB$2,'Egen hetvattenprod'!$B$1:$BX$1,0),FALSE)+VLOOKUP($B87,Kraftvärmeprod!$B$1:$BX$550,MATCH(BB$2,Kraftvärmeprod!$B$1:$BX$1,0),FALSE))/$AC87,"")</f>
        <v>0</v>
      </c>
      <c r="BC87" s="77">
        <f>IF($AY87="ja",(VLOOKUP($B87,'Egen hetvattenprod'!$B$1:$BX$550,MATCH(BC$2,'Egen hetvattenprod'!$B$1:$BX$1,0),FALSE)+VLOOKUP($B87,Kraftvärmeprod!$B$1:$BX$550,MATCH(BC$2,Kraftvärmeprod!$B$1:$BX$1,0),FALSE))/$AC87,"")</f>
        <v>0</v>
      </c>
      <c r="BD87" s="77">
        <f>IF($AY87="ja",(VLOOKUP($B87,'Egen hetvattenprod'!$B$1:$BX$550,MATCH(BD$2,'Egen hetvattenprod'!$B$1:$BX$1,0),FALSE)+VLOOKUP($B87,Kraftvärmeprod!$B$1:$BX$550,MATCH(BD$2,Kraftvärmeprod!$B$1:$BX$1,0),FALSE))/$AC87,"")</f>
        <v>0</v>
      </c>
      <c r="BF87" s="63" t="str">
        <f t="shared" si="11"/>
        <v>Nej</v>
      </c>
      <c r="BG87" s="63" t="str">
        <f>IF($BF87="ja",VLOOKUP($B87,'Egen hetvattenprod'!$B$1:$BX$550,MATCH("Andelen klimatgaser med fossilt ursprung för avfall ()",'Egen hetvattenprod'!$B$1:$BX$1,0),FALSE),"")</f>
        <v/>
      </c>
      <c r="BH87" s="63" t="str">
        <f>IF($BF87="ja",VLOOKUP($B87,Kraftvärmeprod!$B$1:$BX$550,MATCH("Andelen klimatgaser med fossilt ursprung för avfall ()",Kraftvärmeprod!$B$1:$BX$1,0),FALSE),"")</f>
        <v/>
      </c>
      <c r="BI87" s="63" t="str">
        <f>IF($BF87="ja",VLOOKUP($B87,'Egen hetvattenprod'!$B$1:$BX$550,MATCH("Avfall (GWh)",'Egen hetvattenprod'!$B$1:$BX$1,0),FALSE),"")</f>
        <v/>
      </c>
      <c r="BJ87" s="63" t="str">
        <f>IF($BF87="ja",VLOOKUP($B87,'Slutlig allokering kvv'!$B$1:$BX$550,MATCH("Avfall (GWh)",'Slutlig allokering kvv'!$B$1:$BX$1,0),FALSE),"")</f>
        <v/>
      </c>
      <c r="BK87" s="63" t="str">
        <f>IF($BF87="ja",VLOOKUP($B87,'Köpt hetvatten'!$B$1:$BX$550,MATCH("Avfall i köpt hetvatten",'Köpt hetvatten'!$B$1:$BX$1,0),FALSE),"")</f>
        <v/>
      </c>
      <c r="BL87" s="63" t="str">
        <f>IF($BF87="ja",VLOOKUP($B87,'Egen hetvattenprod'!$B$1:$BX$550,MATCH("Värde enligt ovan. (%)",'Egen hetvattenprod'!$B$1:$BX$1,0),FALSE),"")</f>
        <v/>
      </c>
      <c r="BM87" s="63" t="str">
        <f>IF($BF87="ja",VLOOKUP($B87,Kraftvärmeprod!$B$1:$BX$550,MATCH("Värde enligt ovan. (%)",Kraftvärmeprod!$B$1:$BX$1,0),FALSE),"")</f>
        <v/>
      </c>
    </row>
    <row r="88" spans="1:65" x14ac:dyDescent="0.45">
      <c r="A88" s="63" t="s">
        <v>576</v>
      </c>
      <c r="B88" s="63" t="s">
        <v>577</v>
      </c>
      <c r="C88" s="63">
        <f>VLOOKUP($B88,'Tillförd energi'!$B$1:$AI$720,MATCH(C$2,'Tillförd energi'!$B$1:$AQ$1,0),FALSE)</f>
        <v>0</v>
      </c>
      <c r="D88" s="63">
        <f>VLOOKUP($B88,'Tillförd energi'!$B$1:$AI$720,MATCH(D$2,'Tillförd energi'!$B$1:$AQ$1,0),FALSE)</f>
        <v>0</v>
      </c>
      <c r="E88" s="63">
        <f>VLOOKUP($B88,'Tillförd energi'!$B$1:$AI$720,MATCH(E$2,'Tillförd energi'!$B$1:$AQ$1,0),FALSE)</f>
        <v>0</v>
      </c>
      <c r="F88" s="63">
        <f>VLOOKUP($B88,'Tillförd energi'!$B$1:$AI$720,MATCH(F$2,'Tillförd energi'!$B$1:$AQ$1,0),FALSE)</f>
        <v>0</v>
      </c>
      <c r="G88" s="63">
        <f>VLOOKUP($B88,'Tillförd energi'!$B$1:$AI$720,MATCH(G$2,'Tillförd energi'!$B$1:$AQ$1,0),FALSE)</f>
        <v>0</v>
      </c>
      <c r="H88" s="63">
        <f>VLOOKUP($B88,'Tillförd energi'!$B$1:$AI$720,MATCH(H$2,'Tillförd energi'!$B$1:$AQ$1,0),FALSE)</f>
        <v>0</v>
      </c>
      <c r="I88" s="63">
        <f>VLOOKUP($B88,'Tillförd energi'!$B$1:$AI$720,MATCH(I$2,'Tillförd energi'!$B$1:$AQ$1,0),FALSE)</f>
        <v>0</v>
      </c>
      <c r="J88" s="63">
        <f>VLOOKUP($B88,'Tillförd energi'!$B$1:$AI$720,MATCH(J$2,'Tillförd energi'!$B$1:$AQ$1,0),FALSE)</f>
        <v>0</v>
      </c>
      <c r="K88" s="63">
        <f>VLOOKUP($B88,'Tillförd energi'!$B$1:$AI$720,MATCH(K$2,'Tillförd energi'!$B$1:$AQ$1,0),FALSE)</f>
        <v>0</v>
      </c>
      <c r="L88" s="63">
        <f>VLOOKUP($B88,'Tillförd energi'!$B$1:$AI$720,MATCH(L$2,'Tillförd energi'!$B$1:$AQ$1,0),FALSE)</f>
        <v>0</v>
      </c>
      <c r="M88" s="63">
        <f>VLOOKUP($B88,'Tillförd energi'!$B$1:$AI$720,MATCH(M$2,'Tillförd energi'!$B$1:$AQ$1,0),FALSE)</f>
        <v>0</v>
      </c>
      <c r="N88" s="63">
        <f>VLOOKUP($B88,'Tillförd energi'!$B$1:$AI$720,MATCH(N$2,'Tillförd energi'!$B$1:$AQ$1,0),FALSE)</f>
        <v>0</v>
      </c>
      <c r="O88" s="63">
        <f>VLOOKUP($B88,'Tillförd energi'!$B$1:$AI$720,MATCH(O$2,'Tillförd energi'!$B$1:$AQ$1,0),FALSE)</f>
        <v>0</v>
      </c>
      <c r="P88" s="63">
        <f>VLOOKUP($B88,'Tillförd energi'!$B$1:$AI$720,MATCH(P$2,'Tillförd energi'!$B$1:$AQ$1,0),FALSE)</f>
        <v>0</v>
      </c>
      <c r="Q88" s="63">
        <f>VLOOKUP($B88,'Tillförd energi'!$B$1:$AI$720,MATCH(Q$2,'Tillförd energi'!$B$1:$AQ$1,0),FALSE)</f>
        <v>5.7388199999999996</v>
      </c>
      <c r="R88" s="63">
        <f>VLOOKUP($B88,'Tillförd energi'!$B$1:$AI$720,MATCH(R$2,'Tillförd energi'!$B$1:$AQ$1,0),FALSE)</f>
        <v>0</v>
      </c>
      <c r="S88" s="63">
        <f>VLOOKUP($B88,'Tillförd energi'!$B$1:$AI$720,MATCH(S$2,'Tillförd energi'!$B$1:$AQ$1,0),FALSE)</f>
        <v>0</v>
      </c>
      <c r="T88" s="63">
        <f>VLOOKUP($B88,'Tillförd energi'!$B$1:$AI$720,MATCH(T$2,'Tillförd energi'!$B$1:$AQ$1,0),FALSE)</f>
        <v>0</v>
      </c>
      <c r="U88" s="63">
        <f>VLOOKUP($B88,'Tillförd energi'!$B$1:$AI$720,MATCH(U$2,'Tillförd energi'!$B$1:$AQ$1,0),FALSE)</f>
        <v>0</v>
      </c>
      <c r="V88" s="63">
        <f>VLOOKUP($B88,'Tillförd energi'!$B$1:$AI$720,MATCH(V$2,'Tillförd energi'!$B$1:$AQ$1,0),FALSE)</f>
        <v>0</v>
      </c>
      <c r="W88" s="63">
        <f>VLOOKUP($B88,'Tillförd energi'!$B$1:$AI$720,MATCH(W$2,'Tillförd energi'!$B$1:$AQ$1,0),FALSE)</f>
        <v>0</v>
      </c>
      <c r="X88" s="63">
        <f>VLOOKUP($B88,'Tillförd energi'!$B$1:$AI$720,MATCH(X$2,'Tillförd energi'!$B$1:$AQ$1,0),FALSE)</f>
        <v>0</v>
      </c>
      <c r="Y88" s="63">
        <f>VLOOKUP($B88,'Tillförd energi'!$B$1:$AI$720,MATCH(Y$2,'Tillförd energi'!$B$1:$AQ$1,0),FALSE)</f>
        <v>0</v>
      </c>
      <c r="Z88" s="63">
        <f>VLOOKUP($B88,'Tillförd energi'!$B$1:$AI$720,MATCH(Z$2,'Tillförd energi'!$B$1:$AQ$1,0),FALSE)</f>
        <v>0</v>
      </c>
      <c r="AA88" s="63">
        <f>VLOOKUP($B88,'Tillförd energi'!$B$1:$AI$720,MATCH(AA$2,'Tillförd energi'!$B$1:$AQ$1,0),FALSE)</f>
        <v>0</v>
      </c>
      <c r="AB88" s="63">
        <f>VLOOKUP($B88,'Tillförd energi'!$B$1:$AI$720,MATCH(AB$2,'Tillförd energi'!$B$1:$AQ$1,0),FALSE)</f>
        <v>0</v>
      </c>
      <c r="AC88" s="63">
        <f>VLOOKUP($B88,'Tillförd energi'!$B$1:$AI$720,MATCH(AC$2,'Tillförd energi'!$B$1:$AQ$1,0),FALSE)</f>
        <v>0</v>
      </c>
      <c r="AD88" s="63">
        <f>VLOOKUP($B88,'Tillförd energi'!$B$1:$AI$720,MATCH(AD$2,'Tillförd energi'!$B$1:$AQ$1,0),FALSE)</f>
        <v>0</v>
      </c>
      <c r="AE88" s="63">
        <f>VLOOKUP($B88,'Tillförd energi'!$B$1:$AI$720,MATCH(AE$2,'Tillförd energi'!$B$1:$AQ$1,0),FALSE)</f>
        <v>0</v>
      </c>
      <c r="AF88" s="63">
        <f>VLOOKUP($B88,'Tillförd energi'!$B$1:$AI$720,MATCH(AF$2,'Tillförd energi'!$B$1:$AQ$1,0),FALSE)</f>
        <v>0.12534000000000001</v>
      </c>
      <c r="AG88" s="63">
        <f>IFERROR(VLOOKUP(B88,Miljö!$B$1:$AC$550,MATCH("Köpt mängd produktionsspecifik fjärrvärme:",Miljö!$B$1:$AC$1,0),FALSE)/1,0)</f>
        <v>0</v>
      </c>
      <c r="AI88" s="63">
        <f t="shared" si="6"/>
        <v>5.86416</v>
      </c>
      <c r="AJ88" s="63">
        <f>IF(ISERROR(1/VLOOKUP($B88,Leveranser!$B$1:$S$500,MATCH("såld värme (gwh)",Leveranser!$B$1:$S$1,0),FALSE)),"",VLOOKUP($B88,Leveranser!$B$1:$S$500,MATCH("såld värme (gwh)",Leveranser!$B$1:$S$1,0),FALSE))</f>
        <v>4.1779999999999999</v>
      </c>
      <c r="AM88" s="63" t="str">
        <f>IF(B88&lt;&gt;"",IF(VLOOKUP($B88,Totalt!$B$1:$AQ$554,MATCH("Kvalitetsgranskad:",Totalt!$B$1:$AQ$1,0),FALSE)="ja",VLOOKUP($B88,Miljö!$B$1:$AG$479,MATCH(AM$2,Miljö!$B$1:$AK$1,0),FALSE),""),"")</f>
        <v>Ja</v>
      </c>
      <c r="AN88" s="63" t="str">
        <f>IF(AM88="ja",VLOOKUP($B88,Miljö!$B$1:$J$479,MATCH("Typ av ursprungsspecificerad el   (Om inget värde anges används Nordisk residualmix, se inforuta) ()",Miljö!$B$1:$J$1,0),FALSE),IF(AM88="nej","Nordisk residualel",""))</f>
        <v>-</v>
      </c>
      <c r="AO88" s="63">
        <f>IF(AM88="","",VLOOKUP($B88,Miljö!$B$1:$J$479,MATCH("Fossilandel för ursprungspecificerad el ()",Miljö!$B$1:$J$1,0),FALSE))</f>
        <v>0.35</v>
      </c>
      <c r="AQ88" s="63">
        <f t="shared" si="7"/>
        <v>0.65</v>
      </c>
      <c r="AS88" s="63" t="str">
        <f t="shared" si="8"/>
        <v>Nej</v>
      </c>
      <c r="AT88" s="63" t="str">
        <f>IF(AS88="ja",VLOOKUP($B88,Miljö!$B$1:$P$500,MATCH("Fossil andel i procent (%)",Miljö!$B$1:$P$1,0),FALSE)/100,"")</f>
        <v/>
      </c>
      <c r="AV88" s="63" t="str">
        <f t="shared" si="9"/>
        <v>Nej</v>
      </c>
      <c r="AW88" s="63" t="str">
        <f>IF(AV88="ja",VLOOKUP($B88,'Egen hetvattenprod'!$B$1:$AO$500,MATCH("Värmekälla till värmepumpar ()",'Egen hetvattenprod'!$B$1:$AO$1,0),FALSE),"")</f>
        <v/>
      </c>
      <c r="AY88" s="63" t="str">
        <f t="shared" si="10"/>
        <v>Nej</v>
      </c>
      <c r="AZ88" s="77" t="str">
        <f>IF($AY88="ja",(VLOOKUP($B88,'Egen hetvattenprod'!$B$1:$BX$550,MATCH(AZ$2,'Egen hetvattenprod'!$B$1:$BX$1,0),FALSE)+VLOOKUP($B88,Kraftvärmeprod!$B$1:$BX$550,MATCH(AZ$2,Kraftvärmeprod!$B$1:$BX$1,0),FALSE))/$AC88,"")</f>
        <v/>
      </c>
      <c r="BA88" s="77" t="str">
        <f>IF($AY88="ja",(VLOOKUP($B88,'Egen hetvattenprod'!$B$1:$BX$550,MATCH(BA$2,'Egen hetvattenprod'!$B$1:$BX$1,0),FALSE)+VLOOKUP($B88,Kraftvärmeprod!$B$1:$BX$550,MATCH(BA$2,Kraftvärmeprod!$B$1:$BX$1,0),FALSE))/$AC88,"")</f>
        <v/>
      </c>
      <c r="BB88" s="77" t="str">
        <f>IF($AY88="ja",(VLOOKUP($B88,'Egen hetvattenprod'!$B$1:$BX$550,MATCH(BB$2,'Egen hetvattenprod'!$B$1:$BX$1,0),FALSE)+VLOOKUP($B88,Kraftvärmeprod!$B$1:$BX$550,MATCH(BB$2,Kraftvärmeprod!$B$1:$BX$1,0),FALSE))/$AC88,"")</f>
        <v/>
      </c>
      <c r="BC88" s="77" t="str">
        <f>IF($AY88="ja",(VLOOKUP($B88,'Egen hetvattenprod'!$B$1:$BX$550,MATCH(BC$2,'Egen hetvattenprod'!$B$1:$BX$1,0),FALSE)+VLOOKUP($B88,Kraftvärmeprod!$B$1:$BX$550,MATCH(BC$2,Kraftvärmeprod!$B$1:$BX$1,0),FALSE))/$AC88,"")</f>
        <v/>
      </c>
      <c r="BD88" s="77" t="str">
        <f>IF($AY88="ja",(VLOOKUP($B88,'Egen hetvattenprod'!$B$1:$BX$550,MATCH(BD$2,'Egen hetvattenprod'!$B$1:$BX$1,0),FALSE)+VLOOKUP($B88,Kraftvärmeprod!$B$1:$BX$550,MATCH(BD$2,Kraftvärmeprod!$B$1:$BX$1,0),FALSE))/$AC88,"")</f>
        <v/>
      </c>
      <c r="BF88" s="63" t="str">
        <f t="shared" si="11"/>
        <v>Nej</v>
      </c>
      <c r="BG88" s="63" t="str">
        <f>IF($BF88="ja",VLOOKUP($B88,'Egen hetvattenprod'!$B$1:$BX$550,MATCH("Andelen klimatgaser med fossilt ursprung för avfall ()",'Egen hetvattenprod'!$B$1:$BX$1,0),FALSE),"")</f>
        <v/>
      </c>
      <c r="BH88" s="63" t="str">
        <f>IF($BF88="ja",VLOOKUP($B88,Kraftvärmeprod!$B$1:$BX$550,MATCH("Andelen klimatgaser med fossilt ursprung för avfall ()",Kraftvärmeprod!$B$1:$BX$1,0),FALSE),"")</f>
        <v/>
      </c>
      <c r="BI88" s="63" t="str">
        <f>IF($BF88="ja",VLOOKUP($B88,'Egen hetvattenprod'!$B$1:$BX$550,MATCH("Avfall (GWh)",'Egen hetvattenprod'!$B$1:$BX$1,0),FALSE),"")</f>
        <v/>
      </c>
      <c r="BJ88" s="63" t="str">
        <f>IF($BF88="ja",VLOOKUP($B88,'Slutlig allokering kvv'!$B$1:$BX$550,MATCH("Avfall (GWh)",'Slutlig allokering kvv'!$B$1:$BX$1,0),FALSE),"")</f>
        <v/>
      </c>
      <c r="BK88" s="63" t="str">
        <f>IF($BF88="ja",VLOOKUP($B88,'Köpt hetvatten'!$B$1:$BX$550,MATCH("Avfall i köpt hetvatten",'Köpt hetvatten'!$B$1:$BX$1,0),FALSE),"")</f>
        <v/>
      </c>
      <c r="BL88" s="63" t="str">
        <f>IF($BF88="ja",VLOOKUP($B88,'Egen hetvattenprod'!$B$1:$BX$550,MATCH("Värde enligt ovan. (%)",'Egen hetvattenprod'!$B$1:$BX$1,0),FALSE),"")</f>
        <v/>
      </c>
      <c r="BM88" s="63" t="str">
        <f>IF($BF88="ja",VLOOKUP($B88,Kraftvärmeprod!$B$1:$BX$550,MATCH("Värde enligt ovan. (%)",Kraftvärmeprod!$B$1:$BX$1,0),FALSE),"")</f>
        <v/>
      </c>
    </row>
    <row r="89" spans="1:65" x14ac:dyDescent="0.45">
      <c r="A89" s="63" t="s">
        <v>576</v>
      </c>
      <c r="B89" s="63" t="s">
        <v>575</v>
      </c>
      <c r="C89" s="63">
        <f>VLOOKUP($B89,'Tillförd energi'!$B$1:$AI$720,MATCH(C$2,'Tillförd energi'!$B$1:$AQ$1,0),FALSE)</f>
        <v>0</v>
      </c>
      <c r="D89" s="63">
        <f>VLOOKUP($B89,'Tillförd energi'!$B$1:$AI$720,MATCH(D$2,'Tillförd energi'!$B$1:$AQ$1,0),FALSE)</f>
        <v>0</v>
      </c>
      <c r="E89" s="63">
        <f>VLOOKUP($B89,'Tillförd energi'!$B$1:$AI$720,MATCH(E$2,'Tillförd energi'!$B$1:$AQ$1,0),FALSE)</f>
        <v>0</v>
      </c>
      <c r="F89" s="63">
        <f>VLOOKUP($B89,'Tillförd energi'!$B$1:$AI$720,MATCH(F$2,'Tillförd energi'!$B$1:$AQ$1,0),FALSE)</f>
        <v>0</v>
      </c>
      <c r="G89" s="63">
        <f>VLOOKUP($B89,'Tillförd energi'!$B$1:$AI$720,MATCH(G$2,'Tillförd energi'!$B$1:$AQ$1,0),FALSE)</f>
        <v>0</v>
      </c>
      <c r="H89" s="63">
        <f>VLOOKUP($B89,'Tillförd energi'!$B$1:$AI$720,MATCH(H$2,'Tillförd energi'!$B$1:$AQ$1,0),FALSE)</f>
        <v>0</v>
      </c>
      <c r="I89" s="63">
        <f>VLOOKUP($B89,'Tillförd energi'!$B$1:$AI$720,MATCH(I$2,'Tillförd energi'!$B$1:$AQ$1,0),FALSE)</f>
        <v>0</v>
      </c>
      <c r="J89" s="63">
        <f>VLOOKUP($B89,'Tillförd energi'!$B$1:$AI$720,MATCH(J$2,'Tillförd energi'!$B$1:$AQ$1,0),FALSE)</f>
        <v>0</v>
      </c>
      <c r="K89" s="63">
        <f>VLOOKUP($B89,'Tillförd energi'!$B$1:$AI$720,MATCH(K$2,'Tillförd energi'!$B$1:$AQ$1,0),FALSE)</f>
        <v>0</v>
      </c>
      <c r="L89" s="63">
        <f>VLOOKUP($B89,'Tillförd energi'!$B$1:$AI$720,MATCH(L$2,'Tillförd energi'!$B$1:$AQ$1,0),FALSE)</f>
        <v>0</v>
      </c>
      <c r="M89" s="63">
        <f>VLOOKUP($B89,'Tillförd energi'!$B$1:$AI$720,MATCH(M$2,'Tillförd energi'!$B$1:$AQ$1,0),FALSE)</f>
        <v>0</v>
      </c>
      <c r="N89" s="63">
        <f>VLOOKUP($B89,'Tillförd energi'!$B$1:$AI$720,MATCH(N$2,'Tillförd energi'!$B$1:$AQ$1,0),FALSE)</f>
        <v>0</v>
      </c>
      <c r="O89" s="63">
        <f>VLOOKUP($B89,'Tillförd energi'!$B$1:$AI$720,MATCH(O$2,'Tillförd energi'!$B$1:$AQ$1,0),FALSE)</f>
        <v>0</v>
      </c>
      <c r="P89" s="63">
        <f>VLOOKUP($B89,'Tillförd energi'!$B$1:$AI$720,MATCH(P$2,'Tillförd energi'!$B$1:$AQ$1,0),FALSE)</f>
        <v>0</v>
      </c>
      <c r="Q89" s="63">
        <f>VLOOKUP($B89,'Tillförd energi'!$B$1:$AI$720,MATCH(Q$2,'Tillförd energi'!$B$1:$AQ$1,0),FALSE)</f>
        <v>0</v>
      </c>
      <c r="R89" s="63">
        <f>VLOOKUP($B89,'Tillförd energi'!$B$1:$AI$720,MATCH(R$2,'Tillförd energi'!$B$1:$AQ$1,0),FALSE)</f>
        <v>0</v>
      </c>
      <c r="S89" s="63">
        <f>VLOOKUP($B89,'Tillförd energi'!$B$1:$AI$720,MATCH(S$2,'Tillförd energi'!$B$1:$AQ$1,0),FALSE)</f>
        <v>2.3650000000000002</v>
      </c>
      <c r="T89" s="63">
        <f>VLOOKUP($B89,'Tillförd energi'!$B$1:$AI$720,MATCH(T$2,'Tillförd energi'!$B$1:$AQ$1,0),FALSE)</f>
        <v>0</v>
      </c>
      <c r="U89" s="63">
        <f>VLOOKUP($B89,'Tillförd energi'!$B$1:$AI$720,MATCH(U$2,'Tillförd energi'!$B$1:$AQ$1,0),FALSE)</f>
        <v>0</v>
      </c>
      <c r="V89" s="63">
        <f>VLOOKUP($B89,'Tillförd energi'!$B$1:$AI$720,MATCH(V$2,'Tillförd energi'!$B$1:$AQ$1,0),FALSE)</f>
        <v>0</v>
      </c>
      <c r="W89" s="63">
        <f>VLOOKUP($B89,'Tillförd energi'!$B$1:$AI$720,MATCH(W$2,'Tillförd energi'!$B$1:$AQ$1,0),FALSE)</f>
        <v>0</v>
      </c>
      <c r="X89" s="63">
        <f>VLOOKUP($B89,'Tillförd energi'!$B$1:$AI$720,MATCH(X$2,'Tillförd energi'!$B$1:$AQ$1,0),FALSE)</f>
        <v>0</v>
      </c>
      <c r="Y89" s="63">
        <f>VLOOKUP($B89,'Tillförd energi'!$B$1:$AI$720,MATCH(Y$2,'Tillförd energi'!$B$1:$AQ$1,0),FALSE)</f>
        <v>0</v>
      </c>
      <c r="Z89" s="63">
        <f>VLOOKUP($B89,'Tillförd energi'!$B$1:$AI$720,MATCH(Z$2,'Tillförd energi'!$B$1:$AQ$1,0),FALSE)</f>
        <v>0.02</v>
      </c>
      <c r="AA89" s="63">
        <f>VLOOKUP($B89,'Tillförd energi'!$B$1:$AI$720,MATCH(AA$2,'Tillförd energi'!$B$1:$AQ$1,0),FALSE)</f>
        <v>0</v>
      </c>
      <c r="AB89" s="63">
        <f>VLOOKUP($B89,'Tillförd energi'!$B$1:$AI$720,MATCH(AB$2,'Tillförd energi'!$B$1:$AQ$1,0),FALSE)</f>
        <v>0</v>
      </c>
      <c r="AC89" s="63">
        <f>VLOOKUP($B89,'Tillförd energi'!$B$1:$AI$720,MATCH(AC$2,'Tillförd energi'!$B$1:$AQ$1,0),FALSE)</f>
        <v>0</v>
      </c>
      <c r="AD89" s="63">
        <f>VLOOKUP($B89,'Tillförd energi'!$B$1:$AI$720,MATCH(AD$2,'Tillförd energi'!$B$1:$AQ$1,0),FALSE)</f>
        <v>0</v>
      </c>
      <c r="AE89" s="63">
        <f>VLOOKUP($B89,'Tillförd energi'!$B$1:$AI$720,MATCH(AE$2,'Tillförd energi'!$B$1:$AQ$1,0),FALSE)</f>
        <v>0</v>
      </c>
      <c r="AF89" s="63">
        <f>VLOOKUP($B89,'Tillförd energi'!$B$1:$AI$720,MATCH(AF$2,'Tillförd energi'!$B$1:$AQ$1,0),FALSE)</f>
        <v>0.02</v>
      </c>
      <c r="AG89" s="63">
        <f>IFERROR(VLOOKUP(B89,Miljö!$B$1:$AC$550,MATCH("Köpt mängd produktionsspecifik fjärrvärme:",Miljö!$B$1:$AC$1,0),FALSE)/1,0)</f>
        <v>0</v>
      </c>
      <c r="AI89" s="63">
        <f t="shared" si="6"/>
        <v>2.4050000000000002</v>
      </c>
      <c r="AJ89" s="63">
        <f>IF(ISERROR(1/VLOOKUP($B89,Leveranser!$B$1:$S$500,MATCH("såld värme (gwh)",Leveranser!$B$1:$S$1,0),FALSE)),"",VLOOKUP($B89,Leveranser!$B$1:$S$500,MATCH("såld värme (gwh)",Leveranser!$B$1:$S$1,0),FALSE))</f>
        <v>2.0609999999999999</v>
      </c>
      <c r="AM89" s="63" t="str">
        <f>IF(B89&lt;&gt;"",IF(VLOOKUP($B89,Totalt!$B$1:$AQ$554,MATCH("Kvalitetsgranskad:",Totalt!$B$1:$AQ$1,0),FALSE)="ja",VLOOKUP($B89,Miljö!$B$1:$AG$479,MATCH(AM$2,Miljö!$B$1:$AK$1,0),FALSE),""),"")</f>
        <v>Ja</v>
      </c>
      <c r="AN89" s="63" t="str">
        <f>IF(AM89="ja",VLOOKUP($B89,Miljö!$B$1:$J$479,MATCH("Typ av ursprungsspecificerad el   (Om inget värde anges används Nordisk residualmix, se inforuta) ()",Miljö!$B$1:$J$1,0),FALSE),IF(AM89="nej","Nordisk residualel",""))</f>
        <v>'Förnybart'</v>
      </c>
      <c r="AO89" s="63">
        <f>IF(AM89="","",VLOOKUP($B89,Miljö!$B$1:$J$479,MATCH("Fossilandel för ursprungspecificerad el ()",Miljö!$B$1:$J$1,0),FALSE))</f>
        <v>0</v>
      </c>
      <c r="AQ89" s="63">
        <f t="shared" si="7"/>
        <v>1</v>
      </c>
      <c r="AS89" s="63" t="str">
        <f t="shared" si="8"/>
        <v>Nej</v>
      </c>
      <c r="AT89" s="63" t="str">
        <f>IF(AS89="ja",VLOOKUP($B89,Miljö!$B$1:$P$500,MATCH("Fossil andel i procent (%)",Miljö!$B$1:$P$1,0),FALSE)/100,"")</f>
        <v/>
      </c>
      <c r="AV89" s="63" t="str">
        <f t="shared" si="9"/>
        <v>Nej</v>
      </c>
      <c r="AW89" s="63" t="str">
        <f>IF(AV89="ja",VLOOKUP($B89,'Egen hetvattenprod'!$B$1:$AO$500,MATCH("Värmekälla till värmepumpar ()",'Egen hetvattenprod'!$B$1:$AO$1,0),FALSE),"")</f>
        <v/>
      </c>
      <c r="AY89" s="63" t="str">
        <f t="shared" si="10"/>
        <v>Nej</v>
      </c>
      <c r="AZ89" s="77" t="str">
        <f>IF($AY89="ja",(VLOOKUP($B89,'Egen hetvattenprod'!$B$1:$BX$550,MATCH(AZ$2,'Egen hetvattenprod'!$B$1:$BX$1,0),FALSE)+VLOOKUP($B89,Kraftvärmeprod!$B$1:$BX$550,MATCH(AZ$2,Kraftvärmeprod!$B$1:$BX$1,0),FALSE))/$AC89,"")</f>
        <v/>
      </c>
      <c r="BA89" s="77" t="str">
        <f>IF($AY89="ja",(VLOOKUP($B89,'Egen hetvattenprod'!$B$1:$BX$550,MATCH(BA$2,'Egen hetvattenprod'!$B$1:$BX$1,0),FALSE)+VLOOKUP($B89,Kraftvärmeprod!$B$1:$BX$550,MATCH(BA$2,Kraftvärmeprod!$B$1:$BX$1,0),FALSE))/$AC89,"")</f>
        <v/>
      </c>
      <c r="BB89" s="77" t="str">
        <f>IF($AY89="ja",(VLOOKUP($B89,'Egen hetvattenprod'!$B$1:$BX$550,MATCH(BB$2,'Egen hetvattenprod'!$B$1:$BX$1,0),FALSE)+VLOOKUP($B89,Kraftvärmeprod!$B$1:$BX$550,MATCH(BB$2,Kraftvärmeprod!$B$1:$BX$1,0),FALSE))/$AC89,"")</f>
        <v/>
      </c>
      <c r="BC89" s="77" t="str">
        <f>IF($AY89="ja",(VLOOKUP($B89,'Egen hetvattenprod'!$B$1:$BX$550,MATCH(BC$2,'Egen hetvattenprod'!$B$1:$BX$1,0),FALSE)+VLOOKUP($B89,Kraftvärmeprod!$B$1:$BX$550,MATCH(BC$2,Kraftvärmeprod!$B$1:$BX$1,0),FALSE))/$AC89,"")</f>
        <v/>
      </c>
      <c r="BD89" s="77" t="str">
        <f>IF($AY89="ja",(VLOOKUP($B89,'Egen hetvattenprod'!$B$1:$BX$550,MATCH(BD$2,'Egen hetvattenprod'!$B$1:$BX$1,0),FALSE)+VLOOKUP($B89,Kraftvärmeprod!$B$1:$BX$550,MATCH(BD$2,Kraftvärmeprod!$B$1:$BX$1,0),FALSE))/$AC89,"")</f>
        <v/>
      </c>
      <c r="BF89" s="63" t="str">
        <f t="shared" si="11"/>
        <v>Nej</v>
      </c>
      <c r="BG89" s="63" t="str">
        <f>IF($BF89="ja",VLOOKUP($B89,'Egen hetvattenprod'!$B$1:$BX$550,MATCH("Andelen klimatgaser med fossilt ursprung för avfall ()",'Egen hetvattenprod'!$B$1:$BX$1,0),FALSE),"")</f>
        <v/>
      </c>
      <c r="BH89" s="63" t="str">
        <f>IF($BF89="ja",VLOOKUP($B89,Kraftvärmeprod!$B$1:$BX$550,MATCH("Andelen klimatgaser med fossilt ursprung för avfall ()",Kraftvärmeprod!$B$1:$BX$1,0),FALSE),"")</f>
        <v/>
      </c>
      <c r="BI89" s="63" t="str">
        <f>IF($BF89="ja",VLOOKUP($B89,'Egen hetvattenprod'!$B$1:$BX$550,MATCH("Avfall (GWh)",'Egen hetvattenprod'!$B$1:$BX$1,0),FALSE),"")</f>
        <v/>
      </c>
      <c r="BJ89" s="63" t="str">
        <f>IF($BF89="ja",VLOOKUP($B89,'Slutlig allokering kvv'!$B$1:$BX$550,MATCH("Avfall (GWh)",'Slutlig allokering kvv'!$B$1:$BX$1,0),FALSE),"")</f>
        <v/>
      </c>
      <c r="BK89" s="63" t="str">
        <f>IF($BF89="ja",VLOOKUP($B89,'Köpt hetvatten'!$B$1:$BX$550,MATCH("Avfall i köpt hetvatten",'Köpt hetvatten'!$B$1:$BX$1,0),FALSE),"")</f>
        <v/>
      </c>
      <c r="BL89" s="63" t="str">
        <f>IF($BF89="ja",VLOOKUP($B89,'Egen hetvattenprod'!$B$1:$BX$550,MATCH("Värde enligt ovan. (%)",'Egen hetvattenprod'!$B$1:$BX$1,0),FALSE),"")</f>
        <v/>
      </c>
      <c r="BM89" s="63" t="str">
        <f>IF($BF89="ja",VLOOKUP($B89,Kraftvärmeprod!$B$1:$BX$550,MATCH("Värde enligt ovan. (%)",Kraftvärmeprod!$B$1:$BX$1,0),FALSE),"")</f>
        <v/>
      </c>
    </row>
    <row r="90" spans="1:65" x14ac:dyDescent="0.45">
      <c r="A90" s="63" t="s">
        <v>571</v>
      </c>
      <c r="B90" s="63" t="s">
        <v>574</v>
      </c>
      <c r="C90" s="63">
        <f>VLOOKUP($B90,'Tillförd energi'!$B$1:$AI$720,MATCH(C$2,'Tillförd energi'!$B$1:$AQ$1,0),FALSE)</f>
        <v>0</v>
      </c>
      <c r="D90" s="63">
        <f>VLOOKUP($B90,'Tillförd energi'!$B$1:$AI$720,MATCH(D$2,'Tillförd energi'!$B$1:$AQ$1,0),FALSE)</f>
        <v>0.15</v>
      </c>
      <c r="E90" s="63">
        <f>VLOOKUP($B90,'Tillförd energi'!$B$1:$AI$720,MATCH(E$2,'Tillförd energi'!$B$1:$AQ$1,0),FALSE)</f>
        <v>0</v>
      </c>
      <c r="F90" s="63">
        <f>VLOOKUP($B90,'Tillförd energi'!$B$1:$AI$720,MATCH(F$2,'Tillförd energi'!$B$1:$AQ$1,0),FALSE)</f>
        <v>0</v>
      </c>
      <c r="G90" s="63">
        <f>VLOOKUP($B90,'Tillförd energi'!$B$1:$AI$720,MATCH(G$2,'Tillförd energi'!$B$1:$AQ$1,0),FALSE)</f>
        <v>0</v>
      </c>
      <c r="H90" s="63">
        <f>VLOOKUP($B90,'Tillförd energi'!$B$1:$AI$720,MATCH(H$2,'Tillförd energi'!$B$1:$AQ$1,0),FALSE)</f>
        <v>0</v>
      </c>
      <c r="I90" s="63">
        <f>VLOOKUP($B90,'Tillförd energi'!$B$1:$AI$720,MATCH(I$2,'Tillförd energi'!$B$1:$AQ$1,0),FALSE)</f>
        <v>0</v>
      </c>
      <c r="J90" s="63">
        <f>VLOOKUP($B90,'Tillförd energi'!$B$1:$AI$720,MATCH(J$2,'Tillförd energi'!$B$1:$AQ$1,0),FALSE)</f>
        <v>0</v>
      </c>
      <c r="K90" s="63">
        <f>VLOOKUP($B90,'Tillförd energi'!$B$1:$AI$720,MATCH(K$2,'Tillförd energi'!$B$1:$AQ$1,0),FALSE)</f>
        <v>0</v>
      </c>
      <c r="L90" s="63">
        <f>VLOOKUP($B90,'Tillförd energi'!$B$1:$AI$720,MATCH(L$2,'Tillförd energi'!$B$1:$AQ$1,0),FALSE)</f>
        <v>0</v>
      </c>
      <c r="M90" s="63">
        <f>VLOOKUP($B90,'Tillförd energi'!$B$1:$AI$720,MATCH(M$2,'Tillförd energi'!$B$1:$AQ$1,0),FALSE)</f>
        <v>0</v>
      </c>
      <c r="N90" s="63">
        <f>VLOOKUP($B90,'Tillförd energi'!$B$1:$AI$720,MATCH(N$2,'Tillförd energi'!$B$1:$AQ$1,0),FALSE)</f>
        <v>12.958</v>
      </c>
      <c r="O90" s="63">
        <f>VLOOKUP($B90,'Tillförd energi'!$B$1:$AI$720,MATCH(O$2,'Tillförd energi'!$B$1:$AQ$1,0),FALSE)</f>
        <v>0</v>
      </c>
      <c r="P90" s="63">
        <f>VLOOKUP($B90,'Tillförd energi'!$B$1:$AI$720,MATCH(P$2,'Tillförd energi'!$B$1:$AQ$1,0),FALSE)</f>
        <v>0</v>
      </c>
      <c r="Q90" s="63">
        <f>VLOOKUP($B90,'Tillförd energi'!$B$1:$AI$720,MATCH(Q$2,'Tillförd energi'!$B$1:$AQ$1,0),FALSE)</f>
        <v>0</v>
      </c>
      <c r="R90" s="63">
        <f>VLOOKUP($B90,'Tillförd energi'!$B$1:$AI$720,MATCH(R$2,'Tillförd energi'!$B$1:$AQ$1,0),FALSE)</f>
        <v>0</v>
      </c>
      <c r="S90" s="63">
        <f>VLOOKUP($B90,'Tillförd energi'!$B$1:$AI$720,MATCH(S$2,'Tillförd energi'!$B$1:$AQ$1,0),FALSE)</f>
        <v>0</v>
      </c>
      <c r="T90" s="63">
        <f>VLOOKUP($B90,'Tillförd energi'!$B$1:$AI$720,MATCH(T$2,'Tillförd energi'!$B$1:$AQ$1,0),FALSE)</f>
        <v>0</v>
      </c>
      <c r="U90" s="63">
        <f>VLOOKUP($B90,'Tillförd energi'!$B$1:$AI$720,MATCH(U$2,'Tillförd energi'!$B$1:$AQ$1,0),FALSE)</f>
        <v>0</v>
      </c>
      <c r="V90" s="63">
        <f>VLOOKUP($B90,'Tillförd energi'!$B$1:$AI$720,MATCH(V$2,'Tillförd energi'!$B$1:$AQ$1,0),FALSE)</f>
        <v>0</v>
      </c>
      <c r="W90" s="63">
        <f>VLOOKUP($B90,'Tillförd energi'!$B$1:$AI$720,MATCH(W$2,'Tillförd energi'!$B$1:$AQ$1,0),FALSE)</f>
        <v>0</v>
      </c>
      <c r="X90" s="63">
        <f>VLOOKUP($B90,'Tillförd energi'!$B$1:$AI$720,MATCH(X$2,'Tillförd energi'!$B$1:$AQ$1,0),FALSE)</f>
        <v>0</v>
      </c>
      <c r="Y90" s="63">
        <f>VLOOKUP($B90,'Tillförd energi'!$B$1:$AI$720,MATCH(Y$2,'Tillförd energi'!$B$1:$AQ$1,0),FALSE)</f>
        <v>0</v>
      </c>
      <c r="Z90" s="63">
        <f>VLOOKUP($B90,'Tillförd energi'!$B$1:$AI$720,MATCH(Z$2,'Tillförd energi'!$B$1:$AQ$1,0),FALSE)</f>
        <v>0</v>
      </c>
      <c r="AA90" s="63">
        <f>VLOOKUP($B90,'Tillförd energi'!$B$1:$AI$720,MATCH(AA$2,'Tillförd energi'!$B$1:$AQ$1,0),FALSE)</f>
        <v>0</v>
      </c>
      <c r="AB90" s="63">
        <f>VLOOKUP($B90,'Tillförd energi'!$B$1:$AI$720,MATCH(AB$2,'Tillförd energi'!$B$1:$AQ$1,0),FALSE)</f>
        <v>0</v>
      </c>
      <c r="AC90" s="63">
        <f>VLOOKUP($B90,'Tillförd energi'!$B$1:$AI$720,MATCH(AC$2,'Tillförd energi'!$B$1:$AQ$1,0),FALSE)</f>
        <v>0</v>
      </c>
      <c r="AD90" s="63">
        <f>VLOOKUP($B90,'Tillförd energi'!$B$1:$AI$720,MATCH(AD$2,'Tillförd energi'!$B$1:$AQ$1,0),FALSE)</f>
        <v>0</v>
      </c>
      <c r="AE90" s="63">
        <f>VLOOKUP($B90,'Tillförd energi'!$B$1:$AI$720,MATCH(AE$2,'Tillförd energi'!$B$1:$AQ$1,0),FALSE)</f>
        <v>0</v>
      </c>
      <c r="AF90" s="63">
        <f>VLOOKUP($B90,'Tillförd energi'!$B$1:$AI$720,MATCH(AF$2,'Tillförd energi'!$B$1:$AQ$1,0),FALSE)</f>
        <v>0.32817000000000002</v>
      </c>
      <c r="AG90" s="63">
        <f>IFERROR(VLOOKUP(B90,Miljö!$B$1:$AC$550,MATCH("Köpt mängd produktionsspecifik fjärrvärme:",Miljö!$B$1:$AC$1,0),FALSE)/1,0)</f>
        <v>0</v>
      </c>
      <c r="AI90" s="63">
        <f t="shared" si="6"/>
        <v>13.436170000000001</v>
      </c>
      <c r="AJ90" s="63">
        <f>IF(ISERROR(1/VLOOKUP($B90,Leveranser!$B$1:$S$500,MATCH("såld värme (gwh)",Leveranser!$B$1:$S$1,0),FALSE)),"",VLOOKUP($B90,Leveranser!$B$1:$S$500,MATCH("såld värme (gwh)",Leveranser!$B$1:$S$1,0),FALSE))</f>
        <v>10.939</v>
      </c>
      <c r="AM90" s="63" t="str">
        <f>IF(B90&lt;&gt;"",IF(VLOOKUP($B90,Totalt!$B$1:$AQ$554,MATCH("Kvalitetsgranskad:",Totalt!$B$1:$AQ$1,0),FALSE)="ja",VLOOKUP($B90,Miljö!$B$1:$AG$479,MATCH(AM$2,Miljö!$B$1:$AK$1,0),FALSE),""),"")</f>
        <v>Ja</v>
      </c>
      <c r="AN90" s="63" t="str">
        <f>IF(AM90="ja",VLOOKUP($B90,Miljö!$B$1:$J$479,MATCH("Typ av ursprungsspecificerad el   (Om inget värde anges används Nordisk residualmix, se inforuta) ()",Miljö!$B$1:$J$1,0),FALSE),IF(AM90="nej","Nordisk residualel",""))</f>
        <v>'EPD-EL Miljöcertifierad vattenkraft'</v>
      </c>
      <c r="AO90" s="63">
        <f>IF(AM90="","",VLOOKUP($B90,Miljö!$B$1:$J$479,MATCH("Fossilandel för ursprungspecificerad el ()",Miljö!$B$1:$J$1,0),FALSE))</f>
        <v>0</v>
      </c>
      <c r="AQ90" s="63">
        <f t="shared" si="7"/>
        <v>1</v>
      </c>
      <c r="AS90" s="63" t="str">
        <f t="shared" si="8"/>
        <v>Nej</v>
      </c>
      <c r="AT90" s="63" t="str">
        <f>IF(AS90="ja",VLOOKUP($B90,Miljö!$B$1:$P$500,MATCH("Fossil andel i procent (%)",Miljö!$B$1:$P$1,0),FALSE)/100,"")</f>
        <v/>
      </c>
      <c r="AV90" s="63" t="str">
        <f t="shared" si="9"/>
        <v>Nej</v>
      </c>
      <c r="AW90" s="63" t="str">
        <f>IF(AV90="ja",VLOOKUP($B90,'Egen hetvattenprod'!$B$1:$AO$500,MATCH("Värmekälla till värmepumpar ()",'Egen hetvattenprod'!$B$1:$AO$1,0),FALSE),"")</f>
        <v/>
      </c>
      <c r="AY90" s="63" t="str">
        <f t="shared" si="10"/>
        <v>Nej</v>
      </c>
      <c r="AZ90" s="77" t="str">
        <f>IF($AY90="ja",(VLOOKUP($B90,'Egen hetvattenprod'!$B$1:$BX$550,MATCH(AZ$2,'Egen hetvattenprod'!$B$1:$BX$1,0),FALSE)+VLOOKUP($B90,Kraftvärmeprod!$B$1:$BX$550,MATCH(AZ$2,Kraftvärmeprod!$B$1:$BX$1,0),FALSE))/$AC90,"")</f>
        <v/>
      </c>
      <c r="BA90" s="77" t="str">
        <f>IF($AY90="ja",(VLOOKUP($B90,'Egen hetvattenprod'!$B$1:$BX$550,MATCH(BA$2,'Egen hetvattenprod'!$B$1:$BX$1,0),FALSE)+VLOOKUP($B90,Kraftvärmeprod!$B$1:$BX$550,MATCH(BA$2,Kraftvärmeprod!$B$1:$BX$1,0),FALSE))/$AC90,"")</f>
        <v/>
      </c>
      <c r="BB90" s="77" t="str">
        <f>IF($AY90="ja",(VLOOKUP($B90,'Egen hetvattenprod'!$B$1:$BX$550,MATCH(BB$2,'Egen hetvattenprod'!$B$1:$BX$1,0),FALSE)+VLOOKUP($B90,Kraftvärmeprod!$B$1:$BX$550,MATCH(BB$2,Kraftvärmeprod!$B$1:$BX$1,0),FALSE))/$AC90,"")</f>
        <v/>
      </c>
      <c r="BC90" s="77" t="str">
        <f>IF($AY90="ja",(VLOOKUP($B90,'Egen hetvattenprod'!$B$1:$BX$550,MATCH(BC$2,'Egen hetvattenprod'!$B$1:$BX$1,0),FALSE)+VLOOKUP($B90,Kraftvärmeprod!$B$1:$BX$550,MATCH(BC$2,Kraftvärmeprod!$B$1:$BX$1,0),FALSE))/$AC90,"")</f>
        <v/>
      </c>
      <c r="BD90" s="77" t="str">
        <f>IF($AY90="ja",(VLOOKUP($B90,'Egen hetvattenprod'!$B$1:$BX$550,MATCH(BD$2,'Egen hetvattenprod'!$B$1:$BX$1,0),FALSE)+VLOOKUP($B90,Kraftvärmeprod!$B$1:$BX$550,MATCH(BD$2,Kraftvärmeprod!$B$1:$BX$1,0),FALSE))/$AC90,"")</f>
        <v/>
      </c>
      <c r="BF90" s="63" t="str">
        <f t="shared" si="11"/>
        <v>Nej</v>
      </c>
      <c r="BG90" s="63" t="str">
        <f>IF($BF90="ja",VLOOKUP($B90,'Egen hetvattenprod'!$B$1:$BX$550,MATCH("Andelen klimatgaser med fossilt ursprung för avfall ()",'Egen hetvattenprod'!$B$1:$BX$1,0),FALSE),"")</f>
        <v/>
      </c>
      <c r="BH90" s="63" t="str">
        <f>IF($BF90="ja",VLOOKUP($B90,Kraftvärmeprod!$B$1:$BX$550,MATCH("Andelen klimatgaser med fossilt ursprung för avfall ()",Kraftvärmeprod!$B$1:$BX$1,0),FALSE),"")</f>
        <v/>
      </c>
      <c r="BI90" s="63" t="str">
        <f>IF($BF90="ja",VLOOKUP($B90,'Egen hetvattenprod'!$B$1:$BX$550,MATCH("Avfall (GWh)",'Egen hetvattenprod'!$B$1:$BX$1,0),FALSE),"")</f>
        <v/>
      </c>
      <c r="BJ90" s="63" t="str">
        <f>IF($BF90="ja",VLOOKUP($B90,'Slutlig allokering kvv'!$B$1:$BX$550,MATCH("Avfall (GWh)",'Slutlig allokering kvv'!$B$1:$BX$1,0),FALSE),"")</f>
        <v/>
      </c>
      <c r="BK90" s="63" t="str">
        <f>IF($BF90="ja",VLOOKUP($B90,'Köpt hetvatten'!$B$1:$BX$550,MATCH("Avfall i köpt hetvatten",'Köpt hetvatten'!$B$1:$BX$1,0),FALSE),"")</f>
        <v/>
      </c>
      <c r="BL90" s="63" t="str">
        <f>IF($BF90="ja",VLOOKUP($B90,'Egen hetvattenprod'!$B$1:$BX$550,MATCH("Värde enligt ovan. (%)",'Egen hetvattenprod'!$B$1:$BX$1,0),FALSE),"")</f>
        <v/>
      </c>
      <c r="BM90" s="63" t="str">
        <f>IF($BF90="ja",VLOOKUP($B90,Kraftvärmeprod!$B$1:$BX$550,MATCH("Värde enligt ovan. (%)",Kraftvärmeprod!$B$1:$BX$1,0),FALSE),"")</f>
        <v/>
      </c>
    </row>
    <row r="91" spans="1:65" x14ac:dyDescent="0.45">
      <c r="A91" s="63" t="s">
        <v>571</v>
      </c>
      <c r="B91" s="63" t="s">
        <v>573</v>
      </c>
      <c r="C91" s="63">
        <f>VLOOKUP($B91,'Tillförd energi'!$B$1:$AI$720,MATCH(C$2,'Tillförd energi'!$B$1:$AQ$1,0),FALSE)</f>
        <v>0</v>
      </c>
      <c r="D91" s="63">
        <f>VLOOKUP($B91,'Tillförd energi'!$B$1:$AI$720,MATCH(D$2,'Tillförd energi'!$B$1:$AQ$1,0),FALSE)</f>
        <v>0.26100000000000001</v>
      </c>
      <c r="E91" s="63">
        <f>VLOOKUP($B91,'Tillförd energi'!$B$1:$AI$720,MATCH(E$2,'Tillförd energi'!$B$1:$AQ$1,0),FALSE)</f>
        <v>0</v>
      </c>
      <c r="F91" s="63">
        <f>VLOOKUP($B91,'Tillförd energi'!$B$1:$AI$720,MATCH(F$2,'Tillförd energi'!$B$1:$AQ$1,0),FALSE)</f>
        <v>0</v>
      </c>
      <c r="G91" s="63">
        <f>VLOOKUP($B91,'Tillförd energi'!$B$1:$AI$720,MATCH(G$2,'Tillförd energi'!$B$1:$AQ$1,0),FALSE)</f>
        <v>0</v>
      </c>
      <c r="H91" s="63">
        <f>VLOOKUP($B91,'Tillförd energi'!$B$1:$AI$720,MATCH(H$2,'Tillförd energi'!$B$1:$AQ$1,0),FALSE)</f>
        <v>0</v>
      </c>
      <c r="I91" s="63">
        <f>VLOOKUP($B91,'Tillförd energi'!$B$1:$AI$720,MATCH(I$2,'Tillförd energi'!$B$1:$AQ$1,0),FALSE)</f>
        <v>0</v>
      </c>
      <c r="J91" s="63">
        <f>VLOOKUP($B91,'Tillförd energi'!$B$1:$AI$720,MATCH(J$2,'Tillförd energi'!$B$1:$AQ$1,0),FALSE)</f>
        <v>0</v>
      </c>
      <c r="K91" s="63">
        <f>VLOOKUP($B91,'Tillförd energi'!$B$1:$AI$720,MATCH(K$2,'Tillförd energi'!$B$1:$AQ$1,0),FALSE)</f>
        <v>0</v>
      </c>
      <c r="L91" s="63">
        <f>VLOOKUP($B91,'Tillförd energi'!$B$1:$AI$720,MATCH(L$2,'Tillförd energi'!$B$1:$AQ$1,0),FALSE)</f>
        <v>0</v>
      </c>
      <c r="M91" s="63">
        <f>VLOOKUP($B91,'Tillförd energi'!$B$1:$AI$720,MATCH(M$2,'Tillförd energi'!$B$1:$AQ$1,0),FALSE)</f>
        <v>0</v>
      </c>
      <c r="N91" s="63">
        <f>VLOOKUP($B91,'Tillförd energi'!$B$1:$AI$720,MATCH(N$2,'Tillförd energi'!$B$1:$AQ$1,0),FALSE)</f>
        <v>0</v>
      </c>
      <c r="O91" s="63">
        <f>VLOOKUP($B91,'Tillförd energi'!$B$1:$AI$720,MATCH(O$2,'Tillförd energi'!$B$1:$AQ$1,0),FALSE)</f>
        <v>0</v>
      </c>
      <c r="P91" s="63">
        <f>VLOOKUP($B91,'Tillförd energi'!$B$1:$AI$720,MATCH(P$2,'Tillförd energi'!$B$1:$AQ$1,0),FALSE)</f>
        <v>0</v>
      </c>
      <c r="Q91" s="63">
        <f>VLOOKUP($B91,'Tillförd energi'!$B$1:$AI$720,MATCH(Q$2,'Tillförd energi'!$B$1:$AQ$1,0),FALSE)</f>
        <v>0</v>
      </c>
      <c r="R91" s="63">
        <f>VLOOKUP($B91,'Tillförd energi'!$B$1:$AI$720,MATCH(R$2,'Tillförd energi'!$B$1:$AQ$1,0),FALSE)</f>
        <v>0</v>
      </c>
      <c r="S91" s="63">
        <f>VLOOKUP($B91,'Tillförd energi'!$B$1:$AI$720,MATCH(S$2,'Tillförd energi'!$B$1:$AQ$1,0),FALSE)</f>
        <v>0</v>
      </c>
      <c r="T91" s="63">
        <f>VLOOKUP($B91,'Tillförd energi'!$B$1:$AI$720,MATCH(T$2,'Tillförd energi'!$B$1:$AQ$1,0),FALSE)</f>
        <v>0</v>
      </c>
      <c r="U91" s="63">
        <f>VLOOKUP($B91,'Tillförd energi'!$B$1:$AI$720,MATCH(U$2,'Tillförd energi'!$B$1:$AQ$1,0),FALSE)</f>
        <v>0</v>
      </c>
      <c r="V91" s="63">
        <f>VLOOKUP($B91,'Tillförd energi'!$B$1:$AI$720,MATCH(V$2,'Tillförd energi'!$B$1:$AQ$1,0),FALSE)</f>
        <v>0</v>
      </c>
      <c r="W91" s="63">
        <f>VLOOKUP($B91,'Tillförd energi'!$B$1:$AI$720,MATCH(W$2,'Tillförd energi'!$B$1:$AQ$1,0),FALSE)</f>
        <v>0</v>
      </c>
      <c r="X91" s="63">
        <f>VLOOKUP($B91,'Tillförd energi'!$B$1:$AI$720,MATCH(X$2,'Tillförd energi'!$B$1:$AQ$1,0),FALSE)</f>
        <v>9.2258800000000001</v>
      </c>
      <c r="Y91" s="63">
        <f>VLOOKUP($B91,'Tillförd energi'!$B$1:$AI$720,MATCH(Y$2,'Tillförd energi'!$B$1:$AQ$1,0),FALSE)</f>
        <v>0</v>
      </c>
      <c r="Z91" s="63">
        <f>VLOOKUP($B91,'Tillförd energi'!$B$1:$AI$720,MATCH(Z$2,'Tillförd energi'!$B$1:$AQ$1,0),FALSE)</f>
        <v>0</v>
      </c>
      <c r="AA91" s="63">
        <f>VLOOKUP($B91,'Tillförd energi'!$B$1:$AI$720,MATCH(AA$2,'Tillförd energi'!$B$1:$AQ$1,0),FALSE)</f>
        <v>0</v>
      </c>
      <c r="AB91" s="63">
        <f>VLOOKUP($B91,'Tillförd energi'!$B$1:$AI$720,MATCH(AB$2,'Tillförd energi'!$B$1:$AQ$1,0),FALSE)</f>
        <v>0</v>
      </c>
      <c r="AC91" s="63">
        <f>VLOOKUP($B91,'Tillförd energi'!$B$1:$AI$720,MATCH(AC$2,'Tillförd energi'!$B$1:$AQ$1,0),FALSE)</f>
        <v>0</v>
      </c>
      <c r="AD91" s="63">
        <f>VLOOKUP($B91,'Tillförd energi'!$B$1:$AI$720,MATCH(AD$2,'Tillförd energi'!$B$1:$AQ$1,0),FALSE)</f>
        <v>0</v>
      </c>
      <c r="AE91" s="63">
        <f>VLOOKUP($B91,'Tillförd energi'!$B$1:$AI$720,MATCH(AE$2,'Tillförd energi'!$B$1:$AQ$1,0),FALSE)</f>
        <v>0</v>
      </c>
      <c r="AF91" s="63">
        <f>VLOOKUP($B91,'Tillförd energi'!$B$1:$AI$720,MATCH(AF$2,'Tillförd energi'!$B$1:$AQ$1,0),FALSE)</f>
        <v>0.19886999999999999</v>
      </c>
      <c r="AG91" s="63">
        <f>IFERROR(VLOOKUP(B91,Miljö!$B$1:$AC$550,MATCH("Köpt mängd produktionsspecifik fjärrvärme:",Miljö!$B$1:$AC$1,0),FALSE)/1,0)</f>
        <v>0</v>
      </c>
      <c r="AI91" s="63">
        <f t="shared" si="6"/>
        <v>9.6857499999999987</v>
      </c>
      <c r="AJ91" s="63">
        <f>IF(ISERROR(1/VLOOKUP($B91,Leveranser!$B$1:$S$500,MATCH("såld värme (gwh)",Leveranser!$B$1:$S$1,0),FALSE)),"",VLOOKUP($B91,Leveranser!$B$1:$S$500,MATCH("såld värme (gwh)",Leveranser!$B$1:$S$1,0),FALSE))</f>
        <v>6.6289999999999996</v>
      </c>
      <c r="AM91" s="63" t="str">
        <f>IF(B91&lt;&gt;"",IF(VLOOKUP($B91,Totalt!$B$1:$AQ$554,MATCH("Kvalitetsgranskad:",Totalt!$B$1:$AQ$1,0),FALSE)="ja",VLOOKUP($B91,Miljö!$B$1:$AG$479,MATCH(AM$2,Miljö!$B$1:$AK$1,0),FALSE),""),"")</f>
        <v>Ja</v>
      </c>
      <c r="AN91" s="63" t="str">
        <f>IF(AM91="ja",VLOOKUP($B91,Miljö!$B$1:$J$479,MATCH("Typ av ursprungsspecificerad el   (Om inget värde anges används Nordisk residualmix, se inforuta) ()",Miljö!$B$1:$J$1,0),FALSE),IF(AM91="nej","Nordisk residualel",""))</f>
        <v>'EPD-EL Miljöcertifierad Vattenkraft'</v>
      </c>
      <c r="AO91" s="63">
        <f>IF(AM91="","",VLOOKUP($B91,Miljö!$B$1:$J$479,MATCH("Fossilandel för ursprungspecificerad el ()",Miljö!$B$1:$J$1,0),FALSE))</f>
        <v>0</v>
      </c>
      <c r="AQ91" s="63">
        <f t="shared" si="7"/>
        <v>1</v>
      </c>
      <c r="AS91" s="63" t="str">
        <f t="shared" si="8"/>
        <v>Nej</v>
      </c>
      <c r="AT91" s="63" t="str">
        <f>IF(AS91="ja",VLOOKUP($B91,Miljö!$B$1:$P$500,MATCH("Fossil andel i procent (%)",Miljö!$B$1:$P$1,0),FALSE)/100,"")</f>
        <v/>
      </c>
      <c r="AV91" s="63" t="str">
        <f t="shared" si="9"/>
        <v>Nej</v>
      </c>
      <c r="AW91" s="63" t="str">
        <f>IF(AV91="ja",VLOOKUP($B91,'Egen hetvattenprod'!$B$1:$AO$500,MATCH("Värmekälla till värmepumpar ()",'Egen hetvattenprod'!$B$1:$AO$1,0),FALSE),"")</f>
        <v/>
      </c>
      <c r="AY91" s="63" t="str">
        <f t="shared" si="10"/>
        <v>Nej</v>
      </c>
      <c r="AZ91" s="77" t="str">
        <f>IF($AY91="ja",(VLOOKUP($B91,'Egen hetvattenprod'!$B$1:$BX$550,MATCH(AZ$2,'Egen hetvattenprod'!$B$1:$BX$1,0),FALSE)+VLOOKUP($B91,Kraftvärmeprod!$B$1:$BX$550,MATCH(AZ$2,Kraftvärmeprod!$B$1:$BX$1,0),FALSE))/$AC91,"")</f>
        <v/>
      </c>
      <c r="BA91" s="77" t="str">
        <f>IF($AY91="ja",(VLOOKUP($B91,'Egen hetvattenprod'!$B$1:$BX$550,MATCH(BA$2,'Egen hetvattenprod'!$B$1:$BX$1,0),FALSE)+VLOOKUP($B91,Kraftvärmeprod!$B$1:$BX$550,MATCH(BA$2,Kraftvärmeprod!$B$1:$BX$1,0),FALSE))/$AC91,"")</f>
        <v/>
      </c>
      <c r="BB91" s="77" t="str">
        <f>IF($AY91="ja",(VLOOKUP($B91,'Egen hetvattenprod'!$B$1:$BX$550,MATCH(BB$2,'Egen hetvattenprod'!$B$1:$BX$1,0),FALSE)+VLOOKUP($B91,Kraftvärmeprod!$B$1:$BX$550,MATCH(BB$2,Kraftvärmeprod!$B$1:$BX$1,0),FALSE))/$AC91,"")</f>
        <v/>
      </c>
      <c r="BC91" s="77" t="str">
        <f>IF($AY91="ja",(VLOOKUP($B91,'Egen hetvattenprod'!$B$1:$BX$550,MATCH(BC$2,'Egen hetvattenprod'!$B$1:$BX$1,0),FALSE)+VLOOKUP($B91,Kraftvärmeprod!$B$1:$BX$550,MATCH(BC$2,Kraftvärmeprod!$B$1:$BX$1,0),FALSE))/$AC91,"")</f>
        <v/>
      </c>
      <c r="BD91" s="77" t="str">
        <f>IF($AY91="ja",(VLOOKUP($B91,'Egen hetvattenprod'!$B$1:$BX$550,MATCH(BD$2,'Egen hetvattenprod'!$B$1:$BX$1,0),FALSE)+VLOOKUP($B91,Kraftvärmeprod!$B$1:$BX$550,MATCH(BD$2,Kraftvärmeprod!$B$1:$BX$1,0),FALSE))/$AC91,"")</f>
        <v/>
      </c>
      <c r="BF91" s="63" t="str">
        <f t="shared" si="11"/>
        <v>Nej</v>
      </c>
      <c r="BG91" s="63" t="str">
        <f>IF($BF91="ja",VLOOKUP($B91,'Egen hetvattenprod'!$B$1:$BX$550,MATCH("Andelen klimatgaser med fossilt ursprung för avfall ()",'Egen hetvattenprod'!$B$1:$BX$1,0),FALSE),"")</f>
        <v/>
      </c>
      <c r="BH91" s="63" t="str">
        <f>IF($BF91="ja",VLOOKUP($B91,Kraftvärmeprod!$B$1:$BX$550,MATCH("Andelen klimatgaser med fossilt ursprung för avfall ()",Kraftvärmeprod!$B$1:$BX$1,0),FALSE),"")</f>
        <v/>
      </c>
      <c r="BI91" s="63" t="str">
        <f>IF($BF91="ja",VLOOKUP($B91,'Egen hetvattenprod'!$B$1:$BX$550,MATCH("Avfall (GWh)",'Egen hetvattenprod'!$B$1:$BX$1,0),FALSE),"")</f>
        <v/>
      </c>
      <c r="BJ91" s="63" t="str">
        <f>IF($BF91="ja",VLOOKUP($B91,'Slutlig allokering kvv'!$B$1:$BX$550,MATCH("Avfall (GWh)",'Slutlig allokering kvv'!$B$1:$BX$1,0),FALSE),"")</f>
        <v/>
      </c>
      <c r="BK91" s="63" t="str">
        <f>IF($BF91="ja",VLOOKUP($B91,'Köpt hetvatten'!$B$1:$BX$550,MATCH("Avfall i köpt hetvatten",'Köpt hetvatten'!$B$1:$BX$1,0),FALSE),"")</f>
        <v/>
      </c>
      <c r="BL91" s="63" t="str">
        <f>IF($BF91="ja",VLOOKUP($B91,'Egen hetvattenprod'!$B$1:$BX$550,MATCH("Värde enligt ovan. (%)",'Egen hetvattenprod'!$B$1:$BX$1,0),FALSE),"")</f>
        <v/>
      </c>
      <c r="BM91" s="63" t="str">
        <f>IF($BF91="ja",VLOOKUP($B91,Kraftvärmeprod!$B$1:$BX$550,MATCH("Värde enligt ovan. (%)",Kraftvärmeprod!$B$1:$BX$1,0),FALSE),"")</f>
        <v/>
      </c>
    </row>
    <row r="92" spans="1:65" x14ac:dyDescent="0.45">
      <c r="A92" s="63" t="s">
        <v>571</v>
      </c>
      <c r="B92" s="63" t="s">
        <v>572</v>
      </c>
      <c r="C92" s="63">
        <f>VLOOKUP($B92,'Tillförd energi'!$B$1:$AI$720,MATCH(C$2,'Tillförd energi'!$B$1:$AQ$1,0),FALSE)</f>
        <v>0</v>
      </c>
      <c r="D92" s="63">
        <f>VLOOKUP($B92,'Tillförd energi'!$B$1:$AI$720,MATCH(D$2,'Tillförd energi'!$B$1:$AQ$1,0),FALSE)</f>
        <v>0.32400000000000001</v>
      </c>
      <c r="E92" s="63">
        <f>VLOOKUP($B92,'Tillförd energi'!$B$1:$AI$720,MATCH(E$2,'Tillförd energi'!$B$1:$AQ$1,0),FALSE)</f>
        <v>0</v>
      </c>
      <c r="F92" s="63">
        <f>VLOOKUP($B92,'Tillförd energi'!$B$1:$AI$720,MATCH(F$2,'Tillförd energi'!$B$1:$AQ$1,0),FALSE)</f>
        <v>0</v>
      </c>
      <c r="G92" s="63">
        <f>VLOOKUP($B92,'Tillförd energi'!$B$1:$AI$720,MATCH(G$2,'Tillförd energi'!$B$1:$AQ$1,0),FALSE)</f>
        <v>0</v>
      </c>
      <c r="H92" s="63">
        <f>VLOOKUP($B92,'Tillförd energi'!$B$1:$AI$720,MATCH(H$2,'Tillförd energi'!$B$1:$AQ$1,0),FALSE)</f>
        <v>0</v>
      </c>
      <c r="I92" s="63">
        <f>VLOOKUP($B92,'Tillförd energi'!$B$1:$AI$720,MATCH(I$2,'Tillförd energi'!$B$1:$AQ$1,0),FALSE)</f>
        <v>0</v>
      </c>
      <c r="J92" s="63">
        <f>VLOOKUP($B92,'Tillförd energi'!$B$1:$AI$720,MATCH(J$2,'Tillförd energi'!$B$1:$AQ$1,0),FALSE)</f>
        <v>0</v>
      </c>
      <c r="K92" s="63">
        <f>VLOOKUP($B92,'Tillförd energi'!$B$1:$AI$720,MATCH(K$2,'Tillförd energi'!$B$1:$AQ$1,0),FALSE)</f>
        <v>0</v>
      </c>
      <c r="L92" s="63">
        <f>VLOOKUP($B92,'Tillförd energi'!$B$1:$AI$720,MATCH(L$2,'Tillförd energi'!$B$1:$AQ$1,0),FALSE)</f>
        <v>0</v>
      </c>
      <c r="M92" s="63">
        <f>VLOOKUP($B92,'Tillförd energi'!$B$1:$AI$720,MATCH(M$2,'Tillförd energi'!$B$1:$AQ$1,0),FALSE)</f>
        <v>0</v>
      </c>
      <c r="N92" s="63">
        <f>VLOOKUP($B92,'Tillförd energi'!$B$1:$AI$720,MATCH(N$2,'Tillförd energi'!$B$1:$AQ$1,0),FALSE)</f>
        <v>0</v>
      </c>
      <c r="O92" s="63">
        <f>VLOOKUP($B92,'Tillförd energi'!$B$1:$AI$720,MATCH(O$2,'Tillförd energi'!$B$1:$AQ$1,0),FALSE)</f>
        <v>0</v>
      </c>
      <c r="P92" s="63">
        <f>VLOOKUP($B92,'Tillförd energi'!$B$1:$AI$720,MATCH(P$2,'Tillförd energi'!$B$1:$AQ$1,0),FALSE)</f>
        <v>0</v>
      </c>
      <c r="Q92" s="63">
        <f>VLOOKUP($B92,'Tillförd energi'!$B$1:$AI$720,MATCH(Q$2,'Tillförd energi'!$B$1:$AQ$1,0),FALSE)</f>
        <v>0</v>
      </c>
      <c r="R92" s="63">
        <f>VLOOKUP($B92,'Tillförd energi'!$B$1:$AI$720,MATCH(R$2,'Tillförd energi'!$B$1:$AQ$1,0),FALSE)</f>
        <v>0</v>
      </c>
      <c r="S92" s="63">
        <f>VLOOKUP($B92,'Tillförd energi'!$B$1:$AI$720,MATCH(S$2,'Tillförd energi'!$B$1:$AQ$1,0),FALSE)</f>
        <v>0</v>
      </c>
      <c r="T92" s="63">
        <f>VLOOKUP($B92,'Tillförd energi'!$B$1:$AI$720,MATCH(T$2,'Tillförd energi'!$B$1:$AQ$1,0),FALSE)</f>
        <v>0</v>
      </c>
      <c r="U92" s="63">
        <f>VLOOKUP($B92,'Tillförd energi'!$B$1:$AI$720,MATCH(U$2,'Tillförd energi'!$B$1:$AQ$1,0),FALSE)</f>
        <v>0</v>
      </c>
      <c r="V92" s="63">
        <f>VLOOKUP($B92,'Tillförd energi'!$B$1:$AI$720,MATCH(V$2,'Tillförd energi'!$B$1:$AQ$1,0),FALSE)</f>
        <v>0</v>
      </c>
      <c r="W92" s="63">
        <f>VLOOKUP($B92,'Tillförd energi'!$B$1:$AI$720,MATCH(W$2,'Tillförd energi'!$B$1:$AQ$1,0),FALSE)</f>
        <v>4.9550000000000001</v>
      </c>
      <c r="X92" s="63">
        <f>VLOOKUP($B92,'Tillförd energi'!$B$1:$AI$720,MATCH(X$2,'Tillförd energi'!$B$1:$AQ$1,0),FALSE)</f>
        <v>0</v>
      </c>
      <c r="Y92" s="63">
        <f>VLOOKUP($B92,'Tillförd energi'!$B$1:$AI$720,MATCH(Y$2,'Tillförd energi'!$B$1:$AQ$1,0),FALSE)</f>
        <v>0</v>
      </c>
      <c r="Z92" s="63">
        <f>VLOOKUP($B92,'Tillförd energi'!$B$1:$AI$720,MATCH(Z$2,'Tillförd energi'!$B$1:$AQ$1,0),FALSE)</f>
        <v>0</v>
      </c>
      <c r="AA92" s="63">
        <f>VLOOKUP($B92,'Tillförd energi'!$B$1:$AI$720,MATCH(AA$2,'Tillförd energi'!$B$1:$AQ$1,0),FALSE)</f>
        <v>0</v>
      </c>
      <c r="AB92" s="63">
        <f>VLOOKUP($B92,'Tillförd energi'!$B$1:$AI$720,MATCH(AB$2,'Tillförd energi'!$B$1:$AQ$1,0),FALSE)</f>
        <v>0</v>
      </c>
      <c r="AC92" s="63">
        <f>VLOOKUP($B92,'Tillförd energi'!$B$1:$AI$720,MATCH(AC$2,'Tillförd energi'!$B$1:$AQ$1,0),FALSE)</f>
        <v>0</v>
      </c>
      <c r="AD92" s="63">
        <f>VLOOKUP($B92,'Tillförd energi'!$B$1:$AI$720,MATCH(AD$2,'Tillförd energi'!$B$1:$AQ$1,0),FALSE)</f>
        <v>15.762</v>
      </c>
      <c r="AE92" s="63">
        <f>VLOOKUP($B92,'Tillförd energi'!$B$1:$AI$720,MATCH(AE$2,'Tillförd energi'!$B$1:$AQ$1,0),FALSE)</f>
        <v>0</v>
      </c>
      <c r="AF92" s="63">
        <f>VLOOKUP($B92,'Tillförd energi'!$B$1:$AI$720,MATCH(AF$2,'Tillförd energi'!$B$1:$AQ$1,0),FALSE)</f>
        <v>0.47532000000000002</v>
      </c>
      <c r="AG92" s="63">
        <f>IFERROR(VLOOKUP(B92,Miljö!$B$1:$AC$550,MATCH("Köpt mängd produktionsspecifik fjärrvärme:",Miljö!$B$1:$AC$1,0),FALSE)/1,0)</f>
        <v>0</v>
      </c>
      <c r="AI92" s="63">
        <f t="shared" si="6"/>
        <v>21.51632</v>
      </c>
      <c r="AJ92" s="63">
        <f>IF(ISERROR(1/VLOOKUP($B92,Leveranser!$B$1:$S$500,MATCH("såld värme (gwh)",Leveranser!$B$1:$S$1,0),FALSE)),"",VLOOKUP($B92,Leveranser!$B$1:$S$500,MATCH("såld värme (gwh)",Leveranser!$B$1:$S$1,0),FALSE))</f>
        <v>15.843999999999999</v>
      </c>
      <c r="AM92" s="63" t="str">
        <f>IF(B92&lt;&gt;"",IF(VLOOKUP($B92,Totalt!$B$1:$AQ$554,MATCH("Kvalitetsgranskad:",Totalt!$B$1:$AQ$1,0),FALSE)="ja",VLOOKUP($B92,Miljö!$B$1:$AG$479,MATCH(AM$2,Miljö!$B$1:$AK$1,0),FALSE),""),"")</f>
        <v>Ja</v>
      </c>
      <c r="AN92" s="63" t="str">
        <f>IF(AM92="ja",VLOOKUP($B92,Miljö!$B$1:$J$479,MATCH("Typ av ursprungsspecificerad el   (Om inget värde anges används Nordisk residualmix, se inforuta) ()",Miljö!$B$1:$J$1,0),FALSE),IF(AM92="nej","Nordisk residualel",""))</f>
        <v>'EPD-EL Miljöcertifierad Vattenkraft'</v>
      </c>
      <c r="AO92" s="63">
        <f>IF(AM92="","",VLOOKUP($B92,Miljö!$B$1:$J$479,MATCH("Fossilandel för ursprungspecificerad el ()",Miljö!$B$1:$J$1,0),FALSE))</f>
        <v>0</v>
      </c>
      <c r="AQ92" s="63">
        <f t="shared" si="7"/>
        <v>1</v>
      </c>
      <c r="AS92" s="63" t="str">
        <f t="shared" si="8"/>
        <v>Nej</v>
      </c>
      <c r="AT92" s="63" t="str">
        <f>IF(AS92="ja",VLOOKUP($B92,Miljö!$B$1:$P$500,MATCH("Fossil andel i procent (%)",Miljö!$B$1:$P$1,0),FALSE)/100,"")</f>
        <v/>
      </c>
      <c r="AV92" s="63" t="str">
        <f t="shared" si="9"/>
        <v>Nej</v>
      </c>
      <c r="AW92" s="63" t="str">
        <f>IF(AV92="ja",VLOOKUP($B92,'Egen hetvattenprod'!$B$1:$AO$500,MATCH("Värmekälla till värmepumpar ()",'Egen hetvattenprod'!$B$1:$AO$1,0),FALSE),"")</f>
        <v/>
      </c>
      <c r="AY92" s="63" t="str">
        <f t="shared" si="10"/>
        <v>Nej</v>
      </c>
      <c r="AZ92" s="77" t="str">
        <f>IF($AY92="ja",(VLOOKUP($B92,'Egen hetvattenprod'!$B$1:$BX$550,MATCH(AZ$2,'Egen hetvattenprod'!$B$1:$BX$1,0),FALSE)+VLOOKUP($B92,Kraftvärmeprod!$B$1:$BX$550,MATCH(AZ$2,Kraftvärmeprod!$B$1:$BX$1,0),FALSE))/$AC92,"")</f>
        <v/>
      </c>
      <c r="BA92" s="77" t="str">
        <f>IF($AY92="ja",(VLOOKUP($B92,'Egen hetvattenprod'!$B$1:$BX$550,MATCH(BA$2,'Egen hetvattenprod'!$B$1:$BX$1,0),FALSE)+VLOOKUP($B92,Kraftvärmeprod!$B$1:$BX$550,MATCH(BA$2,Kraftvärmeprod!$B$1:$BX$1,0),FALSE))/$AC92,"")</f>
        <v/>
      </c>
      <c r="BB92" s="77" t="str">
        <f>IF($AY92="ja",(VLOOKUP($B92,'Egen hetvattenprod'!$B$1:$BX$550,MATCH(BB$2,'Egen hetvattenprod'!$B$1:$BX$1,0),FALSE)+VLOOKUP($B92,Kraftvärmeprod!$B$1:$BX$550,MATCH(BB$2,Kraftvärmeprod!$B$1:$BX$1,0),FALSE))/$AC92,"")</f>
        <v/>
      </c>
      <c r="BC92" s="77" t="str">
        <f>IF($AY92="ja",(VLOOKUP($B92,'Egen hetvattenprod'!$B$1:$BX$550,MATCH(BC$2,'Egen hetvattenprod'!$B$1:$BX$1,0),FALSE)+VLOOKUP($B92,Kraftvärmeprod!$B$1:$BX$550,MATCH(BC$2,Kraftvärmeprod!$B$1:$BX$1,0),FALSE))/$AC92,"")</f>
        <v/>
      </c>
      <c r="BD92" s="77" t="str">
        <f>IF($AY92="ja",(VLOOKUP($B92,'Egen hetvattenprod'!$B$1:$BX$550,MATCH(BD$2,'Egen hetvattenprod'!$B$1:$BX$1,0),FALSE)+VLOOKUP($B92,Kraftvärmeprod!$B$1:$BX$550,MATCH(BD$2,Kraftvärmeprod!$B$1:$BX$1,0),FALSE))/$AC92,"")</f>
        <v/>
      </c>
      <c r="BF92" s="63" t="str">
        <f t="shared" si="11"/>
        <v>Nej</v>
      </c>
      <c r="BG92" s="63" t="str">
        <f>IF($BF92="ja",VLOOKUP($B92,'Egen hetvattenprod'!$B$1:$BX$550,MATCH("Andelen klimatgaser med fossilt ursprung för avfall ()",'Egen hetvattenprod'!$B$1:$BX$1,0),FALSE),"")</f>
        <v/>
      </c>
      <c r="BH92" s="63" t="str">
        <f>IF($BF92="ja",VLOOKUP($B92,Kraftvärmeprod!$B$1:$BX$550,MATCH("Andelen klimatgaser med fossilt ursprung för avfall ()",Kraftvärmeprod!$B$1:$BX$1,0),FALSE),"")</f>
        <v/>
      </c>
      <c r="BI92" s="63" t="str">
        <f>IF($BF92="ja",VLOOKUP($B92,'Egen hetvattenprod'!$B$1:$BX$550,MATCH("Avfall (GWh)",'Egen hetvattenprod'!$B$1:$BX$1,0),FALSE),"")</f>
        <v/>
      </c>
      <c r="BJ92" s="63" t="str">
        <f>IF($BF92="ja",VLOOKUP($B92,'Slutlig allokering kvv'!$B$1:$BX$550,MATCH("Avfall (GWh)",'Slutlig allokering kvv'!$B$1:$BX$1,0),FALSE),"")</f>
        <v/>
      </c>
      <c r="BK92" s="63" t="str">
        <f>IF($BF92="ja",VLOOKUP($B92,'Köpt hetvatten'!$B$1:$BX$550,MATCH("Avfall i köpt hetvatten",'Köpt hetvatten'!$B$1:$BX$1,0),FALSE),"")</f>
        <v/>
      </c>
      <c r="BL92" s="63" t="str">
        <f>IF($BF92="ja",VLOOKUP($B92,'Egen hetvattenprod'!$B$1:$BX$550,MATCH("Värde enligt ovan. (%)",'Egen hetvattenprod'!$B$1:$BX$1,0),FALSE),"")</f>
        <v/>
      </c>
      <c r="BM92" s="63" t="str">
        <f>IF($BF92="ja",VLOOKUP($B92,Kraftvärmeprod!$B$1:$BX$550,MATCH("Värde enligt ovan. (%)",Kraftvärmeprod!$B$1:$BX$1,0),FALSE),"")</f>
        <v/>
      </c>
    </row>
    <row r="93" spans="1:65" x14ac:dyDescent="0.45">
      <c r="A93" s="63" t="s">
        <v>571</v>
      </c>
      <c r="B93" s="63" t="s">
        <v>570</v>
      </c>
      <c r="C93" s="63">
        <f>VLOOKUP($B93,'Tillförd energi'!$B$1:$AI$720,MATCH(C$2,'Tillförd energi'!$B$1:$AQ$1,0),FALSE)</f>
        <v>0</v>
      </c>
      <c r="D93" s="63">
        <f>VLOOKUP($B93,'Tillförd energi'!$B$1:$AI$720,MATCH(D$2,'Tillförd energi'!$B$1:$AQ$1,0),FALSE)</f>
        <v>0</v>
      </c>
      <c r="E93" s="63">
        <f>VLOOKUP($B93,'Tillförd energi'!$B$1:$AI$720,MATCH(E$2,'Tillförd energi'!$B$1:$AQ$1,0),FALSE)</f>
        <v>0</v>
      </c>
      <c r="F93" s="63">
        <f>VLOOKUP($B93,'Tillförd energi'!$B$1:$AI$720,MATCH(F$2,'Tillförd energi'!$B$1:$AQ$1,0),FALSE)</f>
        <v>0</v>
      </c>
      <c r="G93" s="63">
        <f>VLOOKUP($B93,'Tillförd energi'!$B$1:$AI$720,MATCH(G$2,'Tillförd energi'!$B$1:$AQ$1,0),FALSE)</f>
        <v>0</v>
      </c>
      <c r="H93" s="63">
        <f>VLOOKUP($B93,'Tillförd energi'!$B$1:$AI$720,MATCH(H$2,'Tillförd energi'!$B$1:$AQ$1,0),FALSE)</f>
        <v>0</v>
      </c>
      <c r="I93" s="63">
        <f>VLOOKUP($B93,'Tillförd energi'!$B$1:$AI$720,MATCH(I$2,'Tillförd energi'!$B$1:$AQ$1,0),FALSE)</f>
        <v>0</v>
      </c>
      <c r="J93" s="63">
        <f>VLOOKUP($B93,'Tillförd energi'!$B$1:$AI$720,MATCH(J$2,'Tillförd energi'!$B$1:$AQ$1,0),FALSE)</f>
        <v>0.80500000000000005</v>
      </c>
      <c r="K93" s="63">
        <f>VLOOKUP($B93,'Tillförd energi'!$B$1:$AI$720,MATCH(K$2,'Tillförd energi'!$B$1:$AQ$1,0),FALSE)</f>
        <v>0</v>
      </c>
      <c r="L93" s="63">
        <f>VLOOKUP($B93,'Tillförd energi'!$B$1:$AI$720,MATCH(L$2,'Tillförd energi'!$B$1:$AQ$1,0),FALSE)</f>
        <v>0</v>
      </c>
      <c r="M93" s="63">
        <f>VLOOKUP($B93,'Tillförd energi'!$B$1:$AI$720,MATCH(M$2,'Tillförd energi'!$B$1:$AQ$1,0),FALSE)</f>
        <v>64.634</v>
      </c>
      <c r="N93" s="63">
        <f>VLOOKUP($B93,'Tillförd energi'!$B$1:$AI$720,MATCH(N$2,'Tillförd energi'!$B$1:$AQ$1,0),FALSE)</f>
        <v>84.593000000000004</v>
      </c>
      <c r="O93" s="63">
        <f>VLOOKUP($B93,'Tillförd energi'!$B$1:$AI$720,MATCH(O$2,'Tillförd energi'!$B$1:$AQ$1,0),FALSE)</f>
        <v>0</v>
      </c>
      <c r="P93" s="63">
        <f>VLOOKUP($B93,'Tillförd energi'!$B$1:$AI$720,MATCH(P$2,'Tillförd energi'!$B$1:$AQ$1,0),FALSE)</f>
        <v>4.298</v>
      </c>
      <c r="Q93" s="63">
        <f>VLOOKUP($B93,'Tillförd energi'!$B$1:$AI$720,MATCH(Q$2,'Tillförd energi'!$B$1:$AQ$1,0),FALSE)</f>
        <v>0</v>
      </c>
      <c r="R93" s="63">
        <f>VLOOKUP($B93,'Tillförd energi'!$B$1:$AI$720,MATCH(R$2,'Tillförd energi'!$B$1:$AQ$1,0),FALSE)</f>
        <v>0</v>
      </c>
      <c r="S93" s="63">
        <f>VLOOKUP($B93,'Tillförd energi'!$B$1:$AI$720,MATCH(S$2,'Tillförd energi'!$B$1:$AQ$1,0),FALSE)</f>
        <v>0</v>
      </c>
      <c r="T93" s="63">
        <f>VLOOKUP($B93,'Tillförd energi'!$B$1:$AI$720,MATCH(T$2,'Tillförd energi'!$B$1:$AQ$1,0),FALSE)</f>
        <v>0</v>
      </c>
      <c r="U93" s="63">
        <f>VLOOKUP($B93,'Tillförd energi'!$B$1:$AI$720,MATCH(U$2,'Tillförd energi'!$B$1:$AQ$1,0),FALSE)</f>
        <v>0</v>
      </c>
      <c r="V93" s="63">
        <f>VLOOKUP($B93,'Tillförd energi'!$B$1:$AI$720,MATCH(V$2,'Tillförd energi'!$B$1:$AQ$1,0),FALSE)</f>
        <v>0</v>
      </c>
      <c r="W93" s="63">
        <f>VLOOKUP($B93,'Tillförd energi'!$B$1:$AI$720,MATCH(W$2,'Tillförd energi'!$B$1:$AQ$1,0),FALSE)</f>
        <v>4.6349999999999998</v>
      </c>
      <c r="X93" s="63">
        <f>VLOOKUP($B93,'Tillförd energi'!$B$1:$AI$720,MATCH(X$2,'Tillförd energi'!$B$1:$AQ$1,0),FALSE)</f>
        <v>0</v>
      </c>
      <c r="Y93" s="63">
        <f>VLOOKUP($B93,'Tillförd energi'!$B$1:$AI$720,MATCH(Y$2,'Tillförd energi'!$B$1:$AQ$1,0),FALSE)</f>
        <v>0</v>
      </c>
      <c r="Z93" s="63">
        <f>VLOOKUP($B93,'Tillförd energi'!$B$1:$AI$720,MATCH(Z$2,'Tillförd energi'!$B$1:$AQ$1,0),FALSE)</f>
        <v>0.05</v>
      </c>
      <c r="AA93" s="63">
        <f>VLOOKUP($B93,'Tillförd energi'!$B$1:$AI$720,MATCH(AA$2,'Tillförd energi'!$B$1:$AQ$1,0),FALSE)</f>
        <v>12.15</v>
      </c>
      <c r="AB93" s="63">
        <f>VLOOKUP($B93,'Tillförd energi'!$B$1:$AI$720,MATCH(AB$2,'Tillförd energi'!$B$1:$AQ$1,0),FALSE)</f>
        <v>16.196999999999999</v>
      </c>
      <c r="AC93" s="63">
        <f>VLOOKUP($B93,'Tillförd energi'!$B$1:$AI$720,MATCH(AC$2,'Tillförd energi'!$B$1:$AQ$1,0),FALSE)</f>
        <v>26.786999999999999</v>
      </c>
      <c r="AD93" s="63">
        <f>VLOOKUP($B93,'Tillförd energi'!$B$1:$AI$720,MATCH(AD$2,'Tillförd energi'!$B$1:$AQ$1,0),FALSE)</f>
        <v>0</v>
      </c>
      <c r="AE93" s="63">
        <f>VLOOKUP($B93,'Tillförd energi'!$B$1:$AI$720,MATCH(AE$2,'Tillförd energi'!$B$1:$AQ$1,0),FALSE)</f>
        <v>0</v>
      </c>
      <c r="AF93" s="63">
        <f>VLOOKUP($B93,'Tillförd energi'!$B$1:$AI$720,MATCH(AF$2,'Tillförd energi'!$B$1:$AQ$1,0),FALSE)</f>
        <v>4.9792500000000004</v>
      </c>
      <c r="AG93" s="63">
        <f>IFERROR(VLOOKUP(B93,Miljö!$B$1:$AC$550,MATCH("Köpt mängd produktionsspecifik fjärrvärme:",Miljö!$B$1:$AC$1,0),FALSE)/1,0)</f>
        <v>0</v>
      </c>
      <c r="AI93" s="63">
        <f t="shared" si="6"/>
        <v>219.12825000000004</v>
      </c>
      <c r="AJ93" s="63">
        <f>IF(ISERROR(1/VLOOKUP($B93,Leveranser!$B$1:$S$500,MATCH("såld värme (gwh)",Leveranser!$B$1:$S$1,0),FALSE)),"",VLOOKUP($B93,Leveranser!$B$1:$S$500,MATCH("såld värme (gwh)",Leveranser!$B$1:$S$1,0),FALSE))</f>
        <v>165.97499999999999</v>
      </c>
      <c r="AM93" s="63" t="str">
        <f>IF(B93&lt;&gt;"",IF(VLOOKUP($B93,Totalt!$B$1:$AQ$554,MATCH("Kvalitetsgranskad:",Totalt!$B$1:$AQ$1,0),FALSE)="ja",VLOOKUP($B93,Miljö!$B$1:$AG$479,MATCH(AM$2,Miljö!$B$1:$AK$1,0),FALSE),""),"")</f>
        <v>Ja</v>
      </c>
      <c r="AN93" s="63" t="str">
        <f>IF(AM93="ja",VLOOKUP($B93,Miljö!$B$1:$J$479,MATCH("Typ av ursprungsspecificerad el   (Om inget värde anges används Nordisk residualmix, se inforuta) ()",Miljö!$B$1:$J$1,0),FALSE),IF(AM93="nej","Nordisk residualel",""))</f>
        <v>'EPD-EL Miljöcertifierad Vattenkraft'</v>
      </c>
      <c r="AO93" s="63">
        <f>IF(AM93="","",VLOOKUP($B93,Miljö!$B$1:$J$479,MATCH("Fossilandel för ursprungspecificerad el ()",Miljö!$B$1:$J$1,0),FALSE))</f>
        <v>0</v>
      </c>
      <c r="AQ93" s="63">
        <f t="shared" si="7"/>
        <v>1</v>
      </c>
      <c r="AS93" s="63" t="str">
        <f t="shared" si="8"/>
        <v>Nej</v>
      </c>
      <c r="AT93" s="63" t="str">
        <f>IF(AS93="ja",VLOOKUP($B93,Miljö!$B$1:$P$500,MATCH("Fossil andel i procent (%)",Miljö!$B$1:$P$1,0),FALSE)/100,"")</f>
        <v/>
      </c>
      <c r="AV93" s="63" t="str">
        <f t="shared" si="9"/>
        <v>Ja</v>
      </c>
      <c r="AW93" s="63" t="str">
        <f>IF(AV93="ja",VLOOKUP($B93,'Egen hetvattenprod'!$B$1:$AO$500,MATCH("Värmekälla till värmepumpar ()",'Egen hetvattenprod'!$B$1:$AO$1,0),FALSE),"")</f>
        <v>Sjövatten</v>
      </c>
      <c r="AY93" s="63" t="str">
        <f t="shared" si="10"/>
        <v>Ja</v>
      </c>
      <c r="AZ93" s="77">
        <f>IF($AY93="ja",(VLOOKUP($B93,'Egen hetvattenprod'!$B$1:$BX$550,MATCH(AZ$2,'Egen hetvattenprod'!$B$1:$BX$1,0),FALSE)+VLOOKUP($B93,Kraftvärmeprod!$B$1:$BX$550,MATCH(AZ$2,Kraftvärmeprod!$B$1:$BX$1,0),FALSE))/$AC93,"")</f>
        <v>1</v>
      </c>
      <c r="BA93" s="77">
        <f>IF($AY93="ja",(VLOOKUP($B93,'Egen hetvattenprod'!$B$1:$BX$550,MATCH(BA$2,'Egen hetvattenprod'!$B$1:$BX$1,0),FALSE)+VLOOKUP($B93,Kraftvärmeprod!$B$1:$BX$550,MATCH(BA$2,Kraftvärmeprod!$B$1:$BX$1,0),FALSE))/$AC93,"")</f>
        <v>0</v>
      </c>
      <c r="BB93" s="77">
        <f>IF($AY93="ja",(VLOOKUP($B93,'Egen hetvattenprod'!$B$1:$BX$550,MATCH(BB$2,'Egen hetvattenprod'!$B$1:$BX$1,0),FALSE)+VLOOKUP($B93,Kraftvärmeprod!$B$1:$BX$550,MATCH(BB$2,Kraftvärmeprod!$B$1:$BX$1,0),FALSE))/$AC93,"")</f>
        <v>0</v>
      </c>
      <c r="BC93" s="77">
        <f>IF($AY93="ja",(VLOOKUP($B93,'Egen hetvattenprod'!$B$1:$BX$550,MATCH(BC$2,'Egen hetvattenprod'!$B$1:$BX$1,0),FALSE)+VLOOKUP($B93,Kraftvärmeprod!$B$1:$BX$550,MATCH(BC$2,Kraftvärmeprod!$B$1:$BX$1,0),FALSE))/$AC93,"")</f>
        <v>0</v>
      </c>
      <c r="BD93" s="77">
        <f>IF($AY93="ja",(VLOOKUP($B93,'Egen hetvattenprod'!$B$1:$BX$550,MATCH(BD$2,'Egen hetvattenprod'!$B$1:$BX$1,0),FALSE)+VLOOKUP($B93,Kraftvärmeprod!$B$1:$BX$550,MATCH(BD$2,Kraftvärmeprod!$B$1:$BX$1,0),FALSE))/$AC93,"")</f>
        <v>0</v>
      </c>
      <c r="BF93" s="63" t="str">
        <f t="shared" si="11"/>
        <v>Nej</v>
      </c>
      <c r="BG93" s="63" t="str">
        <f>IF($BF93="ja",VLOOKUP($B93,'Egen hetvattenprod'!$B$1:$BX$550,MATCH("Andelen klimatgaser med fossilt ursprung för avfall ()",'Egen hetvattenprod'!$B$1:$BX$1,0),FALSE),"")</f>
        <v/>
      </c>
      <c r="BH93" s="63" t="str">
        <f>IF($BF93="ja",VLOOKUP($B93,Kraftvärmeprod!$B$1:$BX$550,MATCH("Andelen klimatgaser med fossilt ursprung för avfall ()",Kraftvärmeprod!$B$1:$BX$1,0),FALSE),"")</f>
        <v/>
      </c>
      <c r="BI93" s="63" t="str">
        <f>IF($BF93="ja",VLOOKUP($B93,'Egen hetvattenprod'!$B$1:$BX$550,MATCH("Avfall (GWh)",'Egen hetvattenprod'!$B$1:$BX$1,0),FALSE),"")</f>
        <v/>
      </c>
      <c r="BJ93" s="63" t="str">
        <f>IF($BF93="ja",VLOOKUP($B93,'Slutlig allokering kvv'!$B$1:$BX$550,MATCH("Avfall (GWh)",'Slutlig allokering kvv'!$B$1:$BX$1,0),FALSE),"")</f>
        <v/>
      </c>
      <c r="BK93" s="63" t="str">
        <f>IF($BF93="ja",VLOOKUP($B93,'Köpt hetvatten'!$B$1:$BX$550,MATCH("Avfall i köpt hetvatten",'Köpt hetvatten'!$B$1:$BX$1,0),FALSE),"")</f>
        <v/>
      </c>
      <c r="BL93" s="63" t="str">
        <f>IF($BF93="ja",VLOOKUP($B93,'Egen hetvattenprod'!$B$1:$BX$550,MATCH("Värde enligt ovan. (%)",'Egen hetvattenprod'!$B$1:$BX$1,0),FALSE),"")</f>
        <v/>
      </c>
      <c r="BM93" s="63" t="str">
        <f>IF($BF93="ja",VLOOKUP($B93,Kraftvärmeprod!$B$1:$BX$550,MATCH("Värde enligt ovan. (%)",Kraftvärmeprod!$B$1:$BX$1,0),FALSE),"")</f>
        <v/>
      </c>
    </row>
    <row r="94" spans="1:65" x14ac:dyDescent="0.45">
      <c r="A94" s="63" t="s">
        <v>568</v>
      </c>
      <c r="B94" s="63" t="s">
        <v>567</v>
      </c>
      <c r="C94" s="63">
        <f>VLOOKUP($B94,'Tillförd energi'!$B$1:$AI$720,MATCH(C$2,'Tillförd energi'!$B$1:$AQ$1,0),FALSE)</f>
        <v>0</v>
      </c>
      <c r="D94" s="63">
        <f>VLOOKUP($B94,'Tillförd energi'!$B$1:$AI$720,MATCH(D$2,'Tillförd energi'!$B$1:$AQ$1,0),FALSE)</f>
        <v>2.4</v>
      </c>
      <c r="E94" s="63">
        <f>VLOOKUP($B94,'Tillförd energi'!$B$1:$AI$720,MATCH(E$2,'Tillförd energi'!$B$1:$AQ$1,0),FALSE)</f>
        <v>0</v>
      </c>
      <c r="F94" s="63">
        <f>VLOOKUP($B94,'Tillförd energi'!$B$1:$AI$720,MATCH(F$2,'Tillförd energi'!$B$1:$AQ$1,0),FALSE)</f>
        <v>0.7</v>
      </c>
      <c r="G94" s="63">
        <f>VLOOKUP($B94,'Tillförd energi'!$B$1:$AI$720,MATCH(G$2,'Tillförd energi'!$B$1:$AQ$1,0),FALSE)</f>
        <v>0</v>
      </c>
      <c r="H94" s="63">
        <f>VLOOKUP($B94,'Tillförd energi'!$B$1:$AI$720,MATCH(H$2,'Tillförd energi'!$B$1:$AQ$1,0),FALSE)</f>
        <v>0</v>
      </c>
      <c r="I94" s="63">
        <f>VLOOKUP($B94,'Tillförd energi'!$B$1:$AI$720,MATCH(I$2,'Tillförd energi'!$B$1:$AQ$1,0),FALSE)</f>
        <v>0</v>
      </c>
      <c r="J94" s="63">
        <f>VLOOKUP($B94,'Tillförd energi'!$B$1:$AI$720,MATCH(J$2,'Tillförd energi'!$B$1:$AQ$1,0),FALSE)</f>
        <v>0</v>
      </c>
      <c r="K94" s="63">
        <f>VLOOKUP($B94,'Tillförd energi'!$B$1:$AI$720,MATCH(K$2,'Tillförd energi'!$B$1:$AQ$1,0),FALSE)</f>
        <v>0</v>
      </c>
      <c r="L94" s="63">
        <f>VLOOKUP($B94,'Tillförd energi'!$B$1:$AI$720,MATCH(L$2,'Tillförd energi'!$B$1:$AQ$1,0),FALSE)</f>
        <v>0</v>
      </c>
      <c r="M94" s="63">
        <f>VLOOKUP($B94,'Tillförd energi'!$B$1:$AI$720,MATCH(M$2,'Tillförd energi'!$B$1:$AQ$1,0),FALSE)</f>
        <v>6.5654500000000002</v>
      </c>
      <c r="N94" s="63">
        <f>VLOOKUP($B94,'Tillförd energi'!$B$1:$AI$720,MATCH(N$2,'Tillförd energi'!$B$1:$AQ$1,0),FALSE)</f>
        <v>6.5654500000000002</v>
      </c>
      <c r="O94" s="63">
        <f>VLOOKUP($B94,'Tillförd energi'!$B$1:$AI$720,MATCH(O$2,'Tillförd energi'!$B$1:$AQ$1,0),FALSE)</f>
        <v>37.423000000000002</v>
      </c>
      <c r="P94" s="63">
        <f>VLOOKUP($B94,'Tillförd energi'!$B$1:$AI$720,MATCH(P$2,'Tillförd energi'!$B$1:$AQ$1,0),FALSE)</f>
        <v>26.261800000000001</v>
      </c>
      <c r="Q94" s="63">
        <f>VLOOKUP($B94,'Tillförd energi'!$B$1:$AI$720,MATCH(Q$2,'Tillförd energi'!$B$1:$AQ$1,0),FALSE)</f>
        <v>0</v>
      </c>
      <c r="R94" s="63">
        <f>VLOOKUP($B94,'Tillförd energi'!$B$1:$AI$720,MATCH(R$2,'Tillförd energi'!$B$1:$AQ$1,0),FALSE)</f>
        <v>9.6</v>
      </c>
      <c r="S94" s="63">
        <f>VLOOKUP($B94,'Tillförd energi'!$B$1:$AI$720,MATCH(S$2,'Tillförd energi'!$B$1:$AQ$1,0),FALSE)</f>
        <v>0</v>
      </c>
      <c r="T94" s="63">
        <f>VLOOKUP($B94,'Tillförd energi'!$B$1:$AI$720,MATCH(T$2,'Tillförd energi'!$B$1:$AQ$1,0),FALSE)</f>
        <v>0</v>
      </c>
      <c r="U94" s="63">
        <f>VLOOKUP($B94,'Tillförd energi'!$B$1:$AI$720,MATCH(U$2,'Tillförd energi'!$B$1:$AQ$1,0),FALSE)</f>
        <v>0</v>
      </c>
      <c r="V94" s="63">
        <f>VLOOKUP($B94,'Tillförd energi'!$B$1:$AI$720,MATCH(V$2,'Tillförd energi'!$B$1:$AQ$1,0),FALSE)</f>
        <v>0</v>
      </c>
      <c r="W94" s="63">
        <f>VLOOKUP($B94,'Tillförd energi'!$B$1:$AI$720,MATCH(W$2,'Tillförd energi'!$B$1:$AQ$1,0),FALSE)</f>
        <v>0</v>
      </c>
      <c r="X94" s="63">
        <f>VLOOKUP($B94,'Tillförd energi'!$B$1:$AI$720,MATCH(X$2,'Tillförd energi'!$B$1:$AQ$1,0),FALSE)</f>
        <v>0</v>
      </c>
      <c r="Y94" s="63">
        <f>VLOOKUP($B94,'Tillförd energi'!$B$1:$AI$720,MATCH(Y$2,'Tillförd energi'!$B$1:$AQ$1,0),FALSE)</f>
        <v>88.587299999999999</v>
      </c>
      <c r="Z94" s="63">
        <f>VLOOKUP($B94,'Tillförd energi'!$B$1:$AI$720,MATCH(Z$2,'Tillförd energi'!$B$1:$AQ$1,0),FALSE)</f>
        <v>0</v>
      </c>
      <c r="AA94" s="63">
        <f>VLOOKUP($B94,'Tillförd energi'!$B$1:$AI$720,MATCH(AA$2,'Tillförd energi'!$B$1:$AQ$1,0),FALSE)</f>
        <v>0</v>
      </c>
      <c r="AB94" s="63">
        <f>VLOOKUP($B94,'Tillförd energi'!$B$1:$AI$720,MATCH(AB$2,'Tillförd energi'!$B$1:$AQ$1,0),FALSE)</f>
        <v>0</v>
      </c>
      <c r="AC94" s="63">
        <f>VLOOKUP($B94,'Tillförd energi'!$B$1:$AI$720,MATCH(AC$2,'Tillförd energi'!$B$1:$AQ$1,0),FALSE)</f>
        <v>20.5</v>
      </c>
      <c r="AD94" s="63">
        <f>VLOOKUP($B94,'Tillförd energi'!$B$1:$AI$720,MATCH(AD$2,'Tillförd energi'!$B$1:$AQ$1,0),FALSE)</f>
        <v>0</v>
      </c>
      <c r="AE94" s="63">
        <f>VLOOKUP($B94,'Tillförd energi'!$B$1:$AI$720,MATCH(AE$2,'Tillförd energi'!$B$1:$AQ$1,0),FALSE)</f>
        <v>0</v>
      </c>
      <c r="AF94" s="63">
        <f>VLOOKUP($B94,'Tillförd energi'!$B$1:$AI$720,MATCH(AF$2,'Tillförd energi'!$B$1:$AQ$1,0),FALSE)</f>
        <v>7.1250600000000004</v>
      </c>
      <c r="AG94" s="63">
        <f>IFERROR(VLOOKUP(B94,Miljö!$B$1:$AC$550,MATCH("Köpt mängd produktionsspecifik fjärrvärme:",Miljö!$B$1:$AC$1,0),FALSE)/1,0)</f>
        <v>0</v>
      </c>
      <c r="AI94" s="63">
        <f t="shared" si="6"/>
        <v>205.72806</v>
      </c>
      <c r="AJ94" s="63">
        <f>IF(ISERROR(1/VLOOKUP($B94,Leveranser!$B$1:$S$500,MATCH("såld värme (gwh)",Leveranser!$B$1:$S$1,0),FALSE)),"",VLOOKUP($B94,Leveranser!$B$1:$S$500,MATCH("såld värme (gwh)",Leveranser!$B$1:$S$1,0),FALSE))</f>
        <v>165</v>
      </c>
      <c r="AM94" s="63" t="str">
        <f>IF(B94&lt;&gt;"",IF(VLOOKUP($B94,Totalt!$B$1:$AQ$554,MATCH("Kvalitetsgranskad:",Totalt!$B$1:$AQ$1,0),FALSE)="ja",VLOOKUP($B94,Miljö!$B$1:$AG$479,MATCH(AM$2,Miljö!$B$1:$AK$1,0),FALSE),""),"")</f>
        <v>Ja</v>
      </c>
      <c r="AN94" s="63" t="str">
        <f>IF(AM94="ja",VLOOKUP($B94,Miljö!$B$1:$J$479,MATCH("Typ av ursprungsspecificerad el   (Om inget värde anges används Nordisk residualmix, se inforuta) ()",Miljö!$B$1:$J$1,0),FALSE),IF(AM94="nej","Nordisk residualel",""))</f>
        <v>'-'</v>
      </c>
      <c r="AO94" s="63">
        <f>IF(AM94="","",VLOOKUP($B94,Miljö!$B$1:$J$479,MATCH("Fossilandel för ursprungspecificerad el ()",Miljö!$B$1:$J$1,0),FALSE))</f>
        <v>0</v>
      </c>
      <c r="AQ94" s="63">
        <f t="shared" si="7"/>
        <v>1</v>
      </c>
      <c r="AS94" s="63" t="str">
        <f t="shared" si="8"/>
        <v>Nej</v>
      </c>
      <c r="AT94" s="63" t="str">
        <f>IF(AS94="ja",VLOOKUP($B94,Miljö!$B$1:$P$500,MATCH("Fossil andel i procent (%)",Miljö!$B$1:$P$1,0),FALSE)/100,"")</f>
        <v/>
      </c>
      <c r="AV94" s="63" t="str">
        <f t="shared" si="9"/>
        <v>Nej</v>
      </c>
      <c r="AW94" s="63" t="str">
        <f>IF(AV94="ja",VLOOKUP($B94,'Egen hetvattenprod'!$B$1:$AO$500,MATCH("Värmekälla till värmepumpar ()",'Egen hetvattenprod'!$B$1:$AO$1,0),FALSE),"")</f>
        <v/>
      </c>
      <c r="AY94" s="63" t="str">
        <f t="shared" si="10"/>
        <v>Ja</v>
      </c>
      <c r="AZ94" s="77">
        <f>IF($AY94="ja",(VLOOKUP($B94,'Egen hetvattenprod'!$B$1:$BX$550,MATCH(AZ$2,'Egen hetvattenprod'!$B$1:$BX$1,0),FALSE)+VLOOKUP($B94,Kraftvärmeprod!$B$1:$BX$550,MATCH(AZ$2,Kraftvärmeprod!$B$1:$BX$1,0),FALSE))/$AC94,"")</f>
        <v>0.56000000000000005</v>
      </c>
      <c r="BA94" s="77">
        <f>IF($AY94="ja",(VLOOKUP($B94,'Egen hetvattenprod'!$B$1:$BX$550,MATCH(BA$2,'Egen hetvattenprod'!$B$1:$BX$1,0),FALSE)+VLOOKUP($B94,Kraftvärmeprod!$B$1:$BX$550,MATCH(BA$2,Kraftvärmeprod!$B$1:$BX$1,0),FALSE))/$AC94,"")</f>
        <v>0</v>
      </c>
      <c r="BB94" s="77">
        <f>IF($AY94="ja",(VLOOKUP($B94,'Egen hetvattenprod'!$B$1:$BX$550,MATCH(BB$2,'Egen hetvattenprod'!$B$1:$BX$1,0),FALSE)+VLOOKUP($B94,Kraftvärmeprod!$B$1:$BX$550,MATCH(BB$2,Kraftvärmeprod!$B$1:$BX$1,0),FALSE))/$AC94,"")</f>
        <v>0</v>
      </c>
      <c r="BC94" s="77">
        <f>IF($AY94="ja",(VLOOKUP($B94,'Egen hetvattenprod'!$B$1:$BX$550,MATCH(BC$2,'Egen hetvattenprod'!$B$1:$BX$1,0),FALSE)+VLOOKUP($B94,Kraftvärmeprod!$B$1:$BX$550,MATCH(BC$2,Kraftvärmeprod!$B$1:$BX$1,0),FALSE))/$AC94,"")</f>
        <v>0.44</v>
      </c>
      <c r="BD94" s="77">
        <f>IF($AY94="ja",(VLOOKUP($B94,'Egen hetvattenprod'!$B$1:$BX$550,MATCH(BD$2,'Egen hetvattenprod'!$B$1:$BX$1,0),FALSE)+VLOOKUP($B94,Kraftvärmeprod!$B$1:$BX$550,MATCH(BD$2,Kraftvärmeprod!$B$1:$BX$1,0),FALSE))/$AC94,"")</f>
        <v>0</v>
      </c>
      <c r="BF94" s="63" t="str">
        <f t="shared" si="11"/>
        <v>Nej</v>
      </c>
      <c r="BG94" s="63" t="str">
        <f>IF($BF94="ja",VLOOKUP($B94,'Egen hetvattenprod'!$B$1:$BX$550,MATCH("Andelen klimatgaser med fossilt ursprung för avfall ()",'Egen hetvattenprod'!$B$1:$BX$1,0),FALSE),"")</f>
        <v/>
      </c>
      <c r="BH94" s="63" t="str">
        <f>IF($BF94="ja",VLOOKUP($B94,Kraftvärmeprod!$B$1:$BX$550,MATCH("Andelen klimatgaser med fossilt ursprung för avfall ()",Kraftvärmeprod!$B$1:$BX$1,0),FALSE),"")</f>
        <v/>
      </c>
      <c r="BI94" s="63" t="str">
        <f>IF($BF94="ja",VLOOKUP($B94,'Egen hetvattenprod'!$B$1:$BX$550,MATCH("Avfall (GWh)",'Egen hetvattenprod'!$B$1:$BX$1,0),FALSE),"")</f>
        <v/>
      </c>
      <c r="BJ94" s="63" t="str">
        <f>IF($BF94="ja",VLOOKUP($B94,'Slutlig allokering kvv'!$B$1:$BX$550,MATCH("Avfall (GWh)",'Slutlig allokering kvv'!$B$1:$BX$1,0),FALSE),"")</f>
        <v/>
      </c>
      <c r="BK94" s="63" t="str">
        <f>IF($BF94="ja",VLOOKUP($B94,'Köpt hetvatten'!$B$1:$BX$550,MATCH("Avfall i köpt hetvatten",'Köpt hetvatten'!$B$1:$BX$1,0),FALSE),"")</f>
        <v/>
      </c>
      <c r="BL94" s="63" t="str">
        <f>IF($BF94="ja",VLOOKUP($B94,'Egen hetvattenprod'!$B$1:$BX$550,MATCH("Värde enligt ovan. (%)",'Egen hetvattenprod'!$B$1:$BX$1,0),FALSE),"")</f>
        <v/>
      </c>
      <c r="BM94" s="63" t="str">
        <f>IF($BF94="ja",VLOOKUP($B94,Kraftvärmeprod!$B$1:$BX$550,MATCH("Värde enligt ovan. (%)",Kraftvärmeprod!$B$1:$BX$1,0),FALSE),"")</f>
        <v/>
      </c>
    </row>
    <row r="95" spans="1:65" x14ac:dyDescent="0.45">
      <c r="A95" s="63" t="s">
        <v>566</v>
      </c>
      <c r="B95" s="63" t="s">
        <v>565</v>
      </c>
      <c r="C95" s="63">
        <f>VLOOKUP($B95,'Tillförd energi'!$B$1:$AI$720,MATCH(C$2,'Tillförd energi'!$B$1:$AQ$1,0),FALSE)</f>
        <v>0</v>
      </c>
      <c r="D95" s="63">
        <f>VLOOKUP($B95,'Tillförd energi'!$B$1:$AI$720,MATCH(D$2,'Tillförd energi'!$B$1:$AQ$1,0),FALSE)</f>
        <v>0</v>
      </c>
      <c r="E95" s="63">
        <f>VLOOKUP($B95,'Tillförd energi'!$B$1:$AI$720,MATCH(E$2,'Tillförd energi'!$B$1:$AQ$1,0),FALSE)</f>
        <v>0</v>
      </c>
      <c r="F95" s="63">
        <f>VLOOKUP($B95,'Tillförd energi'!$B$1:$AI$720,MATCH(F$2,'Tillförd energi'!$B$1:$AQ$1,0),FALSE)</f>
        <v>0.42954500000000001</v>
      </c>
      <c r="G95" s="63">
        <f>VLOOKUP($B95,'Tillförd energi'!$B$1:$AI$720,MATCH(G$2,'Tillförd energi'!$B$1:$AQ$1,0),FALSE)</f>
        <v>0</v>
      </c>
      <c r="H95" s="63">
        <f>VLOOKUP($B95,'Tillförd energi'!$B$1:$AI$720,MATCH(H$2,'Tillförd energi'!$B$1:$AQ$1,0),FALSE)</f>
        <v>0</v>
      </c>
      <c r="I95" s="63">
        <f>VLOOKUP($B95,'Tillförd energi'!$B$1:$AI$720,MATCH(I$2,'Tillförd energi'!$B$1:$AQ$1,0),FALSE)</f>
        <v>0</v>
      </c>
      <c r="J95" s="63">
        <f>VLOOKUP($B95,'Tillförd energi'!$B$1:$AI$720,MATCH(J$2,'Tillförd energi'!$B$1:$AQ$1,0),FALSE)</f>
        <v>0</v>
      </c>
      <c r="K95" s="63">
        <f>VLOOKUP($B95,'Tillförd energi'!$B$1:$AI$720,MATCH(K$2,'Tillförd energi'!$B$1:$AQ$1,0),FALSE)</f>
        <v>0</v>
      </c>
      <c r="L95" s="63">
        <f>VLOOKUP($B95,'Tillförd energi'!$B$1:$AI$720,MATCH(L$2,'Tillförd energi'!$B$1:$AQ$1,0),FALSE)</f>
        <v>74.118300000000005</v>
      </c>
      <c r="M95" s="63">
        <f>VLOOKUP($B95,'Tillförd energi'!$B$1:$AI$720,MATCH(M$2,'Tillförd energi'!$B$1:$AQ$1,0),FALSE)</f>
        <v>64.702299999999994</v>
      </c>
      <c r="N95" s="63">
        <f>VLOOKUP($B95,'Tillförd energi'!$B$1:$AI$720,MATCH(N$2,'Tillförd energi'!$B$1:$AQ$1,0),FALSE)</f>
        <v>20.318000000000001</v>
      </c>
      <c r="O95" s="63">
        <f>VLOOKUP($B95,'Tillförd energi'!$B$1:$AI$720,MATCH(O$2,'Tillförd energi'!$B$1:$AQ$1,0),FALSE)</f>
        <v>0</v>
      </c>
      <c r="P95" s="63">
        <f>VLOOKUP($B95,'Tillförd energi'!$B$1:$AI$720,MATCH(P$2,'Tillförd energi'!$B$1:$AQ$1,0),FALSE)</f>
        <v>14.6661</v>
      </c>
      <c r="Q95" s="63">
        <f>VLOOKUP($B95,'Tillförd energi'!$B$1:$AI$720,MATCH(Q$2,'Tillförd energi'!$B$1:$AQ$1,0),FALSE)</f>
        <v>93.477599999999995</v>
      </c>
      <c r="R95" s="63">
        <f>VLOOKUP($B95,'Tillförd energi'!$B$1:$AI$720,MATCH(R$2,'Tillförd energi'!$B$1:$AQ$1,0),FALSE)</f>
        <v>0</v>
      </c>
      <c r="S95" s="63">
        <f>VLOOKUP($B95,'Tillförd energi'!$B$1:$AI$720,MATCH(S$2,'Tillförd energi'!$B$1:$AQ$1,0),FALSE)</f>
        <v>0</v>
      </c>
      <c r="T95" s="63">
        <f>VLOOKUP($B95,'Tillförd energi'!$B$1:$AI$720,MATCH(T$2,'Tillförd energi'!$B$1:$AQ$1,0),FALSE)</f>
        <v>0</v>
      </c>
      <c r="U95" s="63">
        <f>VLOOKUP($B95,'Tillförd energi'!$B$1:$AI$720,MATCH(U$2,'Tillförd energi'!$B$1:$AQ$1,0),FALSE)</f>
        <v>0</v>
      </c>
      <c r="V95" s="63">
        <f>VLOOKUP($B95,'Tillförd energi'!$B$1:$AI$720,MATCH(V$2,'Tillförd energi'!$B$1:$AQ$1,0),FALSE)</f>
        <v>0</v>
      </c>
      <c r="W95" s="63">
        <f>VLOOKUP($B95,'Tillförd energi'!$B$1:$AI$720,MATCH(W$2,'Tillförd energi'!$B$1:$AQ$1,0),FALSE)</f>
        <v>2.8820600000000001</v>
      </c>
      <c r="X95" s="63">
        <f>VLOOKUP($B95,'Tillförd energi'!$B$1:$AI$720,MATCH(X$2,'Tillförd energi'!$B$1:$AQ$1,0),FALSE)</f>
        <v>0</v>
      </c>
      <c r="Y95" s="63">
        <f>VLOOKUP($B95,'Tillförd energi'!$B$1:$AI$720,MATCH(Y$2,'Tillförd energi'!$B$1:$AQ$1,0),FALSE)</f>
        <v>0</v>
      </c>
      <c r="Z95" s="63">
        <f>VLOOKUP($B95,'Tillförd energi'!$B$1:$AI$720,MATCH(Z$2,'Tillförd energi'!$B$1:$AQ$1,0),FALSE)</f>
        <v>0</v>
      </c>
      <c r="AA95" s="63">
        <f>VLOOKUP($B95,'Tillförd energi'!$B$1:$AI$720,MATCH(AA$2,'Tillförd energi'!$B$1:$AQ$1,0),FALSE)</f>
        <v>0</v>
      </c>
      <c r="AB95" s="63">
        <f>VLOOKUP($B95,'Tillförd energi'!$B$1:$AI$720,MATCH(AB$2,'Tillförd energi'!$B$1:$AQ$1,0),FALSE)</f>
        <v>0</v>
      </c>
      <c r="AC95" s="63">
        <f>VLOOKUP($B95,'Tillförd energi'!$B$1:$AI$720,MATCH(AC$2,'Tillförd energi'!$B$1:$AQ$1,0),FALSE)</f>
        <v>76.875</v>
      </c>
      <c r="AD95" s="63">
        <f>VLOOKUP($B95,'Tillförd energi'!$B$1:$AI$720,MATCH(AD$2,'Tillförd energi'!$B$1:$AQ$1,0),FALSE)</f>
        <v>398.517</v>
      </c>
      <c r="AE95" s="63">
        <f>VLOOKUP($B95,'Tillförd energi'!$B$1:$AI$720,MATCH(AE$2,'Tillförd energi'!$B$1:$AQ$1,0),FALSE)</f>
        <v>0</v>
      </c>
      <c r="AF95" s="63">
        <f>VLOOKUP($B95,'Tillförd energi'!$B$1:$AI$720,MATCH(AF$2,'Tillförd energi'!$B$1:$AQ$1,0),FALSE)</f>
        <v>9.8604099999999999</v>
      </c>
      <c r="AG95" s="63">
        <f>IFERROR(VLOOKUP(B95,Miljö!$B$1:$AC$550,MATCH("Köpt mängd produktionsspecifik fjärrvärme:",Miljö!$B$1:$AC$1,0),FALSE)/1,0)</f>
        <v>0</v>
      </c>
      <c r="AI95" s="63">
        <f t="shared" si="6"/>
        <v>755.846315</v>
      </c>
      <c r="AJ95" s="63">
        <f>IF(ISERROR(1/VLOOKUP($B95,Leveranser!$B$1:$S$500,MATCH("såld värme (gwh)",Leveranser!$B$1:$S$1,0),FALSE)),"",VLOOKUP($B95,Leveranser!$B$1:$S$500,MATCH("såld värme (gwh)",Leveranser!$B$1:$S$1,0),FALSE))</f>
        <v>685</v>
      </c>
      <c r="AM95" s="63" t="str">
        <f>IF(B95&lt;&gt;"",IF(VLOOKUP($B95,Totalt!$B$1:$AQ$554,MATCH("Kvalitetsgranskad:",Totalt!$B$1:$AQ$1,0),FALSE)="ja",VLOOKUP($B95,Miljö!$B$1:$AG$479,MATCH(AM$2,Miljö!$B$1:$AK$1,0),FALSE),""),"")</f>
        <v>Ja</v>
      </c>
      <c r="AN95" s="63" t="str">
        <f>IF(AM95="ja",VLOOKUP($B95,Miljö!$B$1:$J$479,MATCH("Typ av ursprungsspecificerad el   (Om inget värde anges används Nordisk residualmix, se inforuta) ()",Miljö!$B$1:$J$1,0),FALSE),IF(AM95="nej","Nordisk residualel",""))</f>
        <v>'Källmärkt Gävle Energi'</v>
      </c>
      <c r="AO95" s="63">
        <f>IF(AM95="","",VLOOKUP($B95,Miljö!$B$1:$J$479,MATCH("Fossilandel för ursprungspecificerad el ()",Miljö!$B$1:$J$1,0),FALSE))</f>
        <v>0</v>
      </c>
      <c r="AQ95" s="63">
        <f t="shared" si="7"/>
        <v>1</v>
      </c>
      <c r="AS95" s="63" t="str">
        <f t="shared" si="8"/>
        <v>Nej</v>
      </c>
      <c r="AT95" s="63" t="str">
        <f>IF(AS95="ja",VLOOKUP($B95,Miljö!$B$1:$P$500,MATCH("Fossil andel i procent (%)",Miljö!$B$1:$P$1,0),FALSE)/100,"")</f>
        <v/>
      </c>
      <c r="AV95" s="63" t="str">
        <f t="shared" si="9"/>
        <v>Nej</v>
      </c>
      <c r="AW95" s="63" t="str">
        <f>IF(AV95="ja",VLOOKUP($B95,'Egen hetvattenprod'!$B$1:$AO$500,MATCH("Värmekälla till värmepumpar ()",'Egen hetvattenprod'!$B$1:$AO$1,0),FALSE),"")</f>
        <v/>
      </c>
      <c r="AY95" s="63" t="str">
        <f t="shared" si="10"/>
        <v>Ja</v>
      </c>
      <c r="AZ95" s="77">
        <f>IF($AY95="ja",(VLOOKUP($B95,'Egen hetvattenprod'!$B$1:$BX$550,MATCH(AZ$2,'Egen hetvattenprod'!$B$1:$BX$1,0),FALSE)+VLOOKUP($B95,Kraftvärmeprod!$B$1:$BX$550,MATCH(AZ$2,Kraftvärmeprod!$B$1:$BX$1,0),FALSE))/$AC95,"")</f>
        <v>1</v>
      </c>
      <c r="BA95" s="77">
        <f>IF($AY95="ja",(VLOOKUP($B95,'Egen hetvattenprod'!$B$1:$BX$550,MATCH(BA$2,'Egen hetvattenprod'!$B$1:$BX$1,0),FALSE)+VLOOKUP($B95,Kraftvärmeprod!$B$1:$BX$550,MATCH(BA$2,Kraftvärmeprod!$B$1:$BX$1,0),FALSE))/$AC95,"")</f>
        <v>0</v>
      </c>
      <c r="BB95" s="77">
        <f>IF($AY95="ja",(VLOOKUP($B95,'Egen hetvattenprod'!$B$1:$BX$550,MATCH(BB$2,'Egen hetvattenprod'!$B$1:$BX$1,0),FALSE)+VLOOKUP($B95,Kraftvärmeprod!$B$1:$BX$550,MATCH(BB$2,Kraftvärmeprod!$B$1:$BX$1,0),FALSE))/$AC95,"")</f>
        <v>0</v>
      </c>
      <c r="BC95" s="77">
        <f>IF($AY95="ja",(VLOOKUP($B95,'Egen hetvattenprod'!$B$1:$BX$550,MATCH(BC$2,'Egen hetvattenprod'!$B$1:$BX$1,0),FALSE)+VLOOKUP($B95,Kraftvärmeprod!$B$1:$BX$550,MATCH(BC$2,Kraftvärmeprod!$B$1:$BX$1,0),FALSE))/$AC95,"")</f>
        <v>0</v>
      </c>
      <c r="BD95" s="77">
        <f>IF($AY95="ja",(VLOOKUP($B95,'Egen hetvattenprod'!$B$1:$BX$550,MATCH(BD$2,'Egen hetvattenprod'!$B$1:$BX$1,0),FALSE)+VLOOKUP($B95,Kraftvärmeprod!$B$1:$BX$550,MATCH(BD$2,Kraftvärmeprod!$B$1:$BX$1,0),FALSE))/$AC95,"")</f>
        <v>0</v>
      </c>
      <c r="BF95" s="63" t="str">
        <f t="shared" si="11"/>
        <v>Nej</v>
      </c>
      <c r="BG95" s="63" t="str">
        <f>IF($BF95="ja",VLOOKUP($B95,'Egen hetvattenprod'!$B$1:$BX$550,MATCH("Andelen klimatgaser med fossilt ursprung för avfall ()",'Egen hetvattenprod'!$B$1:$BX$1,0),FALSE),"")</f>
        <v/>
      </c>
      <c r="BH95" s="63" t="str">
        <f>IF($BF95="ja",VLOOKUP($B95,Kraftvärmeprod!$B$1:$BX$550,MATCH("Andelen klimatgaser med fossilt ursprung för avfall ()",Kraftvärmeprod!$B$1:$BX$1,0),FALSE),"")</f>
        <v/>
      </c>
      <c r="BI95" s="63" t="str">
        <f>IF($BF95="ja",VLOOKUP($B95,'Egen hetvattenprod'!$B$1:$BX$550,MATCH("Avfall (GWh)",'Egen hetvattenprod'!$B$1:$BX$1,0),FALSE),"")</f>
        <v/>
      </c>
      <c r="BJ95" s="63" t="str">
        <f>IF($BF95="ja",VLOOKUP($B95,'Slutlig allokering kvv'!$B$1:$BX$550,MATCH("Avfall (GWh)",'Slutlig allokering kvv'!$B$1:$BX$1,0),FALSE),"")</f>
        <v/>
      </c>
      <c r="BK95" s="63" t="str">
        <f>IF($BF95="ja",VLOOKUP($B95,'Köpt hetvatten'!$B$1:$BX$550,MATCH("Avfall i köpt hetvatten",'Köpt hetvatten'!$B$1:$BX$1,0),FALSE),"")</f>
        <v/>
      </c>
      <c r="BL95" s="63" t="str">
        <f>IF($BF95="ja",VLOOKUP($B95,'Egen hetvattenprod'!$B$1:$BX$550,MATCH("Värde enligt ovan. (%)",'Egen hetvattenprod'!$B$1:$BX$1,0),FALSE),"")</f>
        <v/>
      </c>
      <c r="BM95" s="63" t="str">
        <f>IF($BF95="ja",VLOOKUP($B95,Kraftvärmeprod!$B$1:$BX$550,MATCH("Värde enligt ovan. (%)",Kraftvärmeprod!$B$1:$BX$1,0),FALSE),"")</f>
        <v/>
      </c>
    </row>
    <row r="96" spans="1:65" x14ac:dyDescent="0.45">
      <c r="A96" s="63" t="s">
        <v>560</v>
      </c>
      <c r="B96" s="63" t="s">
        <v>563</v>
      </c>
      <c r="C96" s="63">
        <f>VLOOKUP($B96,'Tillförd energi'!$B$1:$AI$720,MATCH(C$2,'Tillförd energi'!$B$1:$AQ$1,0),FALSE)</f>
        <v>0</v>
      </c>
      <c r="D96" s="63">
        <f>VLOOKUP($B96,'Tillförd energi'!$B$1:$AI$720,MATCH(D$2,'Tillförd energi'!$B$1:$AQ$1,0),FALSE)</f>
        <v>0.75600000000000001</v>
      </c>
      <c r="E96" s="63">
        <f>VLOOKUP($B96,'Tillförd energi'!$B$1:$AI$720,MATCH(E$2,'Tillförd energi'!$B$1:$AQ$1,0),FALSE)</f>
        <v>0</v>
      </c>
      <c r="F96" s="63">
        <f>VLOOKUP($B96,'Tillförd energi'!$B$1:$AI$720,MATCH(F$2,'Tillförd energi'!$B$1:$AQ$1,0),FALSE)</f>
        <v>9.4510000000000005</v>
      </c>
      <c r="G96" s="63">
        <f>VLOOKUP($B96,'Tillförd energi'!$B$1:$AI$720,MATCH(G$2,'Tillförd energi'!$B$1:$AQ$1,0),FALSE)</f>
        <v>404.21300000000002</v>
      </c>
      <c r="H96" s="63">
        <f>VLOOKUP($B96,'Tillförd energi'!$B$1:$AI$720,MATCH(H$2,'Tillförd energi'!$B$1:$AQ$1,0),FALSE)</f>
        <v>0</v>
      </c>
      <c r="I96" s="63">
        <f>VLOOKUP($B96,'Tillförd energi'!$B$1:$AI$720,MATCH(I$2,'Tillförd energi'!$B$1:$AQ$1,0),FALSE)</f>
        <v>907.58199999999999</v>
      </c>
      <c r="J96" s="63">
        <f>VLOOKUP($B96,'Tillförd energi'!$B$1:$AI$720,MATCH(J$2,'Tillförd energi'!$B$1:$AQ$1,0),FALSE)</f>
        <v>52.125999999999998</v>
      </c>
      <c r="K96" s="63">
        <f>VLOOKUP($B96,'Tillförd energi'!$B$1:$AI$720,MATCH(K$2,'Tillförd energi'!$B$1:$AQ$1,0),FALSE)</f>
        <v>0</v>
      </c>
      <c r="L96" s="63">
        <f>VLOOKUP($B96,'Tillförd energi'!$B$1:$AI$720,MATCH(L$2,'Tillförd energi'!$B$1:$AQ$1,0),FALSE)</f>
        <v>0</v>
      </c>
      <c r="M96" s="63">
        <f>VLOOKUP($B96,'Tillförd energi'!$B$1:$AI$720,MATCH(M$2,'Tillförd energi'!$B$1:$AQ$1,0),FALSE)</f>
        <v>41.268999999999998</v>
      </c>
      <c r="N96" s="63">
        <f>VLOOKUP($B96,'Tillförd energi'!$B$1:$AI$720,MATCH(N$2,'Tillförd energi'!$B$1:$AQ$1,0),FALSE)</f>
        <v>92.528000000000006</v>
      </c>
      <c r="O96" s="63">
        <f>VLOOKUP($B96,'Tillförd energi'!$B$1:$AI$720,MATCH(O$2,'Tillförd energi'!$B$1:$AQ$1,0),FALSE)</f>
        <v>0</v>
      </c>
      <c r="P96" s="63">
        <f>VLOOKUP($B96,'Tillförd energi'!$B$1:$AI$720,MATCH(P$2,'Tillförd energi'!$B$1:$AQ$1,0),FALSE)</f>
        <v>28.044</v>
      </c>
      <c r="Q96" s="63">
        <f>VLOOKUP($B96,'Tillförd energi'!$B$1:$AI$720,MATCH(Q$2,'Tillförd energi'!$B$1:$AQ$1,0),FALSE)</f>
        <v>23.277999999999999</v>
      </c>
      <c r="R96" s="63">
        <f>VLOOKUP($B96,'Tillförd energi'!$B$1:$AI$720,MATCH(R$2,'Tillförd energi'!$B$1:$AQ$1,0),FALSE)</f>
        <v>79.703000000000003</v>
      </c>
      <c r="S96" s="63">
        <f>VLOOKUP($B96,'Tillförd energi'!$B$1:$AI$720,MATCH(S$2,'Tillförd energi'!$B$1:$AQ$1,0),FALSE)</f>
        <v>0</v>
      </c>
      <c r="T96" s="63">
        <f>VLOOKUP($B96,'Tillförd energi'!$B$1:$AI$720,MATCH(T$2,'Tillförd energi'!$B$1:$AQ$1,0),FALSE)</f>
        <v>0</v>
      </c>
      <c r="U96" s="63">
        <f>VLOOKUP($B96,'Tillförd energi'!$B$1:$AI$720,MATCH(U$2,'Tillförd energi'!$B$1:$AQ$1,0),FALSE)</f>
        <v>0</v>
      </c>
      <c r="V96" s="63">
        <f>VLOOKUP($B96,'Tillförd energi'!$B$1:$AI$720,MATCH(V$2,'Tillförd energi'!$B$1:$AQ$1,0),FALSE)</f>
        <v>0</v>
      </c>
      <c r="W96" s="63">
        <f>VLOOKUP($B96,'Tillförd energi'!$B$1:$AI$720,MATCH(W$2,'Tillförd energi'!$B$1:$AQ$1,0),FALSE)</f>
        <v>3.1190000000000002</v>
      </c>
      <c r="X96" s="63">
        <f>VLOOKUP($B96,'Tillförd energi'!$B$1:$AI$720,MATCH(X$2,'Tillförd energi'!$B$1:$AQ$1,0),FALSE)</f>
        <v>0</v>
      </c>
      <c r="Y96" s="63">
        <f>VLOOKUP($B96,'Tillförd energi'!$B$1:$AI$720,MATCH(Y$2,'Tillförd energi'!$B$1:$AQ$1,0),FALSE)</f>
        <v>0</v>
      </c>
      <c r="Z96" s="63">
        <f>VLOOKUP($B96,'Tillförd energi'!$B$1:$AI$720,MATCH(Z$2,'Tillförd energi'!$B$1:$AQ$1,0),FALSE)</f>
        <v>0</v>
      </c>
      <c r="AA96" s="63">
        <f>VLOOKUP($B96,'Tillförd energi'!$B$1:$AI$720,MATCH(AA$2,'Tillförd energi'!$B$1:$AQ$1,0),FALSE)</f>
        <v>92.748999999999995</v>
      </c>
      <c r="AB96" s="63">
        <f>VLOOKUP($B96,'Tillförd energi'!$B$1:$AI$720,MATCH(AB$2,'Tillförd energi'!$B$1:$AQ$1,0),FALSE)</f>
        <v>225.64400000000001</v>
      </c>
      <c r="AC96" s="63">
        <f>VLOOKUP($B96,'Tillförd energi'!$B$1:$AI$720,MATCH(AC$2,'Tillförd energi'!$B$1:$AQ$1,0),FALSE)</f>
        <v>423.27300000000002</v>
      </c>
      <c r="AD96" s="63">
        <f>VLOOKUP($B96,'Tillförd energi'!$B$1:$AI$720,MATCH(AD$2,'Tillförd energi'!$B$1:$AQ$1,0),FALSE)</f>
        <v>1104.68</v>
      </c>
      <c r="AE96" s="63">
        <f>VLOOKUP($B96,'Tillförd energi'!$B$1:$AI$720,MATCH(AE$2,'Tillförd energi'!$B$1:$AQ$1,0),FALSE)</f>
        <v>0</v>
      </c>
      <c r="AF96" s="63">
        <f>VLOOKUP($B96,'Tillförd energi'!$B$1:$AI$720,MATCH(AF$2,'Tillförd energi'!$B$1:$AQ$1,0),FALSE)</f>
        <v>56.531999999999996</v>
      </c>
      <c r="AG96" s="63">
        <f>IFERROR(VLOOKUP(B96,Miljö!$B$1:$AC$550,MATCH("Köpt mängd produktionsspecifik fjärrvärme:",Miljö!$B$1:$AC$1,0),FALSE)/1,0)</f>
        <v>109.63500000000001</v>
      </c>
      <c r="AI96" s="63">
        <f t="shared" si="6"/>
        <v>3654.5820000000003</v>
      </c>
      <c r="AJ96" s="63">
        <f>IF(ISERROR(1/VLOOKUP($B96,Leveranser!$B$1:$S$500,MATCH("såld värme (gwh)",Leveranser!$B$1:$S$1,0),FALSE)),"",VLOOKUP($B96,Leveranser!$B$1:$S$500,MATCH("såld värme (gwh)",Leveranser!$B$1:$S$1,0),FALSE))</f>
        <v>3155.53</v>
      </c>
      <c r="AM96" s="63" t="str">
        <f>IF(B96&lt;&gt;"",IF(VLOOKUP($B96,Totalt!$B$1:$AQ$554,MATCH("Kvalitetsgranskad:",Totalt!$B$1:$AQ$1,0),FALSE)="ja",VLOOKUP($B96,Miljö!$B$1:$AG$479,MATCH(AM$2,Miljö!$B$1:$AK$1,0),FALSE),""),"")</f>
        <v>Ja</v>
      </c>
      <c r="AN96" s="63" t="str">
        <f>IF(AM96="ja",VLOOKUP($B96,Miljö!$B$1:$J$479,MATCH("Typ av ursprungsspecificerad el   (Om inget värde anges används Nordisk residualmix, se inforuta) ()",Miljö!$B$1:$J$1,0),FALSE),IF(AM96="nej","Nordisk residualel",""))</f>
        <v>'Bra Miljöval el'</v>
      </c>
      <c r="AO96" s="63">
        <f>IF(AM96="","",VLOOKUP($B96,Miljö!$B$1:$J$479,MATCH("Fossilandel för ursprungspecificerad el ()",Miljö!$B$1:$J$1,0),FALSE))</f>
        <v>0</v>
      </c>
      <c r="AQ96" s="63">
        <f t="shared" si="7"/>
        <v>1</v>
      </c>
      <c r="AS96" s="63" t="str">
        <f t="shared" si="8"/>
        <v>Ja</v>
      </c>
      <c r="AT96" s="63">
        <f>IF(AS96="ja",VLOOKUP($B96,Miljö!$B$1:$P$500,MATCH("Fossil andel i procent (%)",Miljö!$B$1:$P$1,0),FALSE)/100,"")</f>
        <v>0</v>
      </c>
      <c r="AV96" s="63" t="str">
        <f t="shared" si="9"/>
        <v>Ja</v>
      </c>
      <c r="AW96" s="63" t="str">
        <f>IF(AV96="ja",VLOOKUP($B96,'Egen hetvattenprod'!$B$1:$AO$500,MATCH("Värmekälla till värmepumpar ()",'Egen hetvattenprod'!$B$1:$AO$1,0),FALSE),"")</f>
        <v>Renat avloppsvatten</v>
      </c>
      <c r="AY96" s="63" t="str">
        <f t="shared" si="10"/>
        <v>Ja</v>
      </c>
      <c r="AZ96" s="77">
        <f>IF($AY96="ja",(VLOOKUP($B96,'Egen hetvattenprod'!$B$1:$BX$550,MATCH(AZ$2,'Egen hetvattenprod'!$B$1:$BX$1,0),FALSE)+VLOOKUP($B96,Kraftvärmeprod!$B$1:$BX$550,MATCH(AZ$2,Kraftvärmeprod!$B$1:$BX$1,0),FALSE))/$AC96,"")</f>
        <v>0.13612638651650352</v>
      </c>
      <c r="BA96" s="77">
        <f>IF($AY96="ja",(VLOOKUP($B96,'Egen hetvattenprod'!$B$1:$BX$550,MATCH(BA$2,'Egen hetvattenprod'!$B$1:$BX$1,0),FALSE)+VLOOKUP($B96,Kraftvärmeprod!$B$1:$BX$550,MATCH(BA$2,Kraftvärmeprod!$B$1:$BX$1,0),FALSE))/$AC96,"")</f>
        <v>0.86387361348349645</v>
      </c>
      <c r="BB96" s="77">
        <f>IF($AY96="ja",(VLOOKUP($B96,'Egen hetvattenprod'!$B$1:$BX$550,MATCH(BB$2,'Egen hetvattenprod'!$B$1:$BX$1,0),FALSE)+VLOOKUP($B96,Kraftvärmeprod!$B$1:$BX$550,MATCH(BB$2,Kraftvärmeprod!$B$1:$BX$1,0),FALSE))/$AC96,"")</f>
        <v>0</v>
      </c>
      <c r="BC96" s="77">
        <f>IF($AY96="ja",(VLOOKUP($B96,'Egen hetvattenprod'!$B$1:$BX$550,MATCH(BC$2,'Egen hetvattenprod'!$B$1:$BX$1,0),FALSE)+VLOOKUP($B96,Kraftvärmeprod!$B$1:$BX$550,MATCH(BC$2,Kraftvärmeprod!$B$1:$BX$1,0),FALSE))/$AC96,"")</f>
        <v>0</v>
      </c>
      <c r="BD96" s="77">
        <f>IF($AY96="ja",(VLOOKUP($B96,'Egen hetvattenprod'!$B$1:$BX$550,MATCH(BD$2,'Egen hetvattenprod'!$B$1:$BX$1,0),FALSE)+VLOOKUP($B96,Kraftvärmeprod!$B$1:$BX$550,MATCH(BD$2,Kraftvärmeprod!$B$1:$BX$1,0),FALSE))/$AC96,"")</f>
        <v>0</v>
      </c>
      <c r="BF96" s="63" t="str">
        <f t="shared" si="11"/>
        <v>Ja</v>
      </c>
      <c r="BG96" s="63" t="str">
        <f>IF($BF96="ja",VLOOKUP($B96,'Egen hetvattenprod'!$B$1:$BX$550,MATCH("Andelen klimatgaser med fossilt ursprung för avfall ()",'Egen hetvattenprod'!$B$1:$BX$1,0),FALSE),"")</f>
        <v>Mätvärde</v>
      </c>
      <c r="BH96" s="63" t="str">
        <f>IF($BF96="ja",VLOOKUP($B96,Kraftvärmeprod!$B$1:$BX$550,MATCH("Andelen klimatgaser med fossilt ursprung för avfall ()",Kraftvärmeprod!$B$1:$BX$1,0),FALSE),"")</f>
        <v>Ingen redovisning</v>
      </c>
      <c r="BI96" s="63" t="str">
        <f>IF($BF96="ja",VLOOKUP($B96,'Egen hetvattenprod'!$B$1:$BX$550,MATCH("Avfall (GWh)",'Egen hetvattenprod'!$B$1:$BX$1,0),FALSE),"")</f>
        <v>ET</v>
      </c>
      <c r="BJ96" s="63">
        <f>IF($BF96="ja",VLOOKUP($B96,'Slutlig allokering kvv'!$B$1:$BX$550,MATCH("Avfall (GWh)",'Slutlig allokering kvv'!$B$1:$BX$1,0),FALSE),"")</f>
        <v>0</v>
      </c>
      <c r="BK96" s="63">
        <f>IF($BF96="ja",VLOOKUP($B96,'Köpt hetvatten'!$B$1:$BX$550,MATCH("Avfall i köpt hetvatten",'Köpt hetvatten'!$B$1:$BX$1,0),FALSE),"")</f>
        <v>907.58199999999999</v>
      </c>
      <c r="BL96" s="63">
        <f>IF($BF96="ja",VLOOKUP($B96,'Egen hetvattenprod'!$B$1:$BX$550,MATCH("Värde enligt ovan. (%)",'Egen hetvattenprod'!$B$1:$BX$1,0),FALSE),"")</f>
        <v>37</v>
      </c>
      <c r="BM96" s="63" t="str">
        <f>IF($BF96="ja",VLOOKUP($B96,Kraftvärmeprod!$B$1:$BX$550,MATCH("Värde enligt ovan. (%)",Kraftvärmeprod!$B$1:$BX$1,0),FALSE),"")</f>
        <v>ET</v>
      </c>
    </row>
    <row r="97" spans="1:65" x14ac:dyDescent="0.45">
      <c r="A97" s="63" t="s">
        <v>560</v>
      </c>
      <c r="B97" s="63" t="s">
        <v>562</v>
      </c>
      <c r="C97" s="63">
        <f>VLOOKUP($B97,'Tillförd energi'!$B$1:$AI$720,MATCH(C$2,'Tillförd energi'!$B$1:$AQ$1,0),FALSE)</f>
        <v>0</v>
      </c>
      <c r="D97" s="63">
        <f>VLOOKUP($B97,'Tillförd energi'!$B$1:$AI$720,MATCH(D$2,'Tillförd energi'!$B$1:$AQ$1,0),FALSE)</f>
        <v>0</v>
      </c>
      <c r="E97" s="63">
        <f>VLOOKUP($B97,'Tillförd energi'!$B$1:$AI$720,MATCH(E$2,'Tillförd energi'!$B$1:$AQ$1,0),FALSE)</f>
        <v>0</v>
      </c>
      <c r="F97" s="63">
        <f>VLOOKUP($B97,'Tillförd energi'!$B$1:$AI$720,MATCH(F$2,'Tillförd energi'!$B$1:$AQ$1,0),FALSE)</f>
        <v>0</v>
      </c>
      <c r="G97" s="63">
        <f>VLOOKUP($B97,'Tillförd energi'!$B$1:$AI$720,MATCH(G$2,'Tillförd energi'!$B$1:$AQ$1,0),FALSE)</f>
        <v>0</v>
      </c>
      <c r="H97" s="63">
        <f>VLOOKUP($B97,'Tillförd energi'!$B$1:$AI$720,MATCH(H$2,'Tillförd energi'!$B$1:$AQ$1,0),FALSE)</f>
        <v>0</v>
      </c>
      <c r="I97" s="63">
        <f>VLOOKUP($B97,'Tillförd energi'!$B$1:$AI$720,MATCH(I$2,'Tillförd energi'!$B$1:$AQ$1,0),FALSE)</f>
        <v>0</v>
      </c>
      <c r="J97" s="63">
        <f>VLOOKUP($B97,'Tillförd energi'!$B$1:$AI$720,MATCH(J$2,'Tillförd energi'!$B$1:$AQ$1,0),FALSE)</f>
        <v>0</v>
      </c>
      <c r="K97" s="63">
        <f>VLOOKUP($B97,'Tillförd energi'!$B$1:$AI$720,MATCH(K$2,'Tillförd energi'!$B$1:$AQ$1,0),FALSE)</f>
        <v>0</v>
      </c>
      <c r="L97" s="63">
        <f>VLOOKUP($B97,'Tillförd energi'!$B$1:$AI$720,MATCH(L$2,'Tillförd energi'!$B$1:$AQ$1,0),FALSE)</f>
        <v>0</v>
      </c>
      <c r="M97" s="63">
        <f>VLOOKUP($B97,'Tillförd energi'!$B$1:$AI$720,MATCH(M$2,'Tillförd energi'!$B$1:$AQ$1,0),FALSE)</f>
        <v>30.423999999999999</v>
      </c>
      <c r="N97" s="63">
        <f>VLOOKUP($B97,'Tillförd energi'!$B$1:$AI$720,MATCH(N$2,'Tillförd energi'!$B$1:$AQ$1,0),FALSE)</f>
        <v>68.213999999999999</v>
      </c>
      <c r="O97" s="63">
        <f>VLOOKUP($B97,'Tillförd energi'!$B$1:$AI$720,MATCH(O$2,'Tillförd energi'!$B$1:$AQ$1,0),FALSE)</f>
        <v>0</v>
      </c>
      <c r="P97" s="63">
        <f>VLOOKUP($B97,'Tillförd energi'!$B$1:$AI$720,MATCH(P$2,'Tillförd energi'!$B$1:$AQ$1,0),FALSE)</f>
        <v>20.675000000000001</v>
      </c>
      <c r="Q97" s="63">
        <f>VLOOKUP($B97,'Tillförd energi'!$B$1:$AI$720,MATCH(Q$2,'Tillförd energi'!$B$1:$AQ$1,0),FALSE)</f>
        <v>14.385</v>
      </c>
      <c r="R97" s="63">
        <f>VLOOKUP($B97,'Tillförd energi'!$B$1:$AI$720,MATCH(R$2,'Tillförd energi'!$B$1:$AQ$1,0),FALSE)</f>
        <v>0</v>
      </c>
      <c r="S97" s="63">
        <f>VLOOKUP($B97,'Tillförd energi'!$B$1:$AI$720,MATCH(S$2,'Tillförd energi'!$B$1:$AQ$1,0),FALSE)</f>
        <v>0</v>
      </c>
      <c r="T97" s="63">
        <f>VLOOKUP($B97,'Tillförd energi'!$B$1:$AI$720,MATCH(T$2,'Tillförd energi'!$B$1:$AQ$1,0),FALSE)</f>
        <v>0</v>
      </c>
      <c r="U97" s="63">
        <f>VLOOKUP($B97,'Tillförd energi'!$B$1:$AI$720,MATCH(U$2,'Tillförd energi'!$B$1:$AQ$1,0),FALSE)</f>
        <v>0</v>
      </c>
      <c r="V97" s="63">
        <f>VLOOKUP($B97,'Tillförd energi'!$B$1:$AI$720,MATCH(V$2,'Tillförd energi'!$B$1:$AQ$1,0),FALSE)</f>
        <v>0</v>
      </c>
      <c r="W97" s="63">
        <f>VLOOKUP($B97,'Tillförd energi'!$B$1:$AI$720,MATCH(W$2,'Tillförd energi'!$B$1:$AQ$1,0),FALSE)</f>
        <v>0.49399999999999999</v>
      </c>
      <c r="X97" s="63">
        <f>VLOOKUP($B97,'Tillförd energi'!$B$1:$AI$720,MATCH(X$2,'Tillförd energi'!$B$1:$AQ$1,0),FALSE)</f>
        <v>0</v>
      </c>
      <c r="Y97" s="63">
        <f>VLOOKUP($B97,'Tillförd energi'!$B$1:$AI$720,MATCH(Y$2,'Tillförd energi'!$B$1:$AQ$1,0),FALSE)</f>
        <v>0</v>
      </c>
      <c r="Z97" s="63">
        <f>VLOOKUP($B97,'Tillförd energi'!$B$1:$AI$720,MATCH(Z$2,'Tillförd energi'!$B$1:$AQ$1,0),FALSE)</f>
        <v>0</v>
      </c>
      <c r="AA97" s="63">
        <f>VLOOKUP($B97,'Tillförd energi'!$B$1:$AI$720,MATCH(AA$2,'Tillförd energi'!$B$1:$AQ$1,0),FALSE)</f>
        <v>0</v>
      </c>
      <c r="AB97" s="63">
        <f>VLOOKUP($B97,'Tillförd energi'!$B$1:$AI$720,MATCH(AB$2,'Tillförd energi'!$B$1:$AQ$1,0),FALSE)</f>
        <v>0</v>
      </c>
      <c r="AC97" s="63">
        <f>VLOOKUP($B97,'Tillförd energi'!$B$1:$AI$720,MATCH(AC$2,'Tillförd energi'!$B$1:$AQ$1,0),FALSE)</f>
        <v>40.58</v>
      </c>
      <c r="AD97" s="63">
        <f>VLOOKUP($B97,'Tillförd energi'!$B$1:$AI$720,MATCH(AD$2,'Tillförd energi'!$B$1:$AQ$1,0),FALSE)</f>
        <v>0</v>
      </c>
      <c r="AE97" s="63">
        <f>VLOOKUP($B97,'Tillförd energi'!$B$1:$AI$720,MATCH(AE$2,'Tillförd energi'!$B$1:$AQ$1,0),FALSE)</f>
        <v>0</v>
      </c>
      <c r="AF97" s="63">
        <f>VLOOKUP($B97,'Tillförd energi'!$B$1:$AI$720,MATCH(AF$2,'Tillförd energi'!$B$1:$AQ$1,0),FALSE)</f>
        <v>2.8290000000000002</v>
      </c>
      <c r="AG97" s="63">
        <f>IFERROR(VLOOKUP(B97,Miljö!$B$1:$AC$550,MATCH("Köpt mängd produktionsspecifik fjärrvärme:",Miljö!$B$1:$AC$1,0),FALSE)/1,0)</f>
        <v>0</v>
      </c>
      <c r="AI97" s="63">
        <f t="shared" si="6"/>
        <v>177.601</v>
      </c>
      <c r="AJ97" s="63">
        <f>IF(ISERROR(1/VLOOKUP($B97,Leveranser!$B$1:$S$500,MATCH("såld värme (gwh)",Leveranser!$B$1:$S$1,0),FALSE)),"",VLOOKUP($B97,Leveranser!$B$1:$S$500,MATCH("såld värme (gwh)",Leveranser!$B$1:$S$1,0),FALSE))</f>
        <v>158.6</v>
      </c>
      <c r="AM97" s="63" t="str">
        <f>IF(B97&lt;&gt;"",IF(VLOOKUP($B97,Totalt!$B$1:$AQ$554,MATCH("Kvalitetsgranskad:",Totalt!$B$1:$AQ$1,0),FALSE)="ja",VLOOKUP($B97,Miljö!$B$1:$AG$479,MATCH(AM$2,Miljö!$B$1:$AK$1,0),FALSE),""),"")</f>
        <v>Ja</v>
      </c>
      <c r="AN97" s="63" t="str">
        <f>IF(AM97="ja",VLOOKUP($B97,Miljö!$B$1:$J$479,MATCH("Typ av ursprungsspecificerad el   (Om inget värde anges används Nordisk residualmix, se inforuta) ()",Miljö!$B$1:$J$1,0),FALSE),IF(AM97="nej","Nordisk residualel",""))</f>
        <v>'Bra Miljöval'</v>
      </c>
      <c r="AO97" s="63">
        <f>IF(AM97="","",VLOOKUP($B97,Miljö!$B$1:$J$479,MATCH("Fossilandel för ursprungspecificerad el ()",Miljö!$B$1:$J$1,0),FALSE))</f>
        <v>0</v>
      </c>
      <c r="AQ97" s="63">
        <f t="shared" si="7"/>
        <v>1</v>
      </c>
      <c r="AS97" s="63" t="str">
        <f t="shared" si="8"/>
        <v>Nej</v>
      </c>
      <c r="AT97" s="63" t="str">
        <f>IF(AS97="ja",VLOOKUP($B97,Miljö!$B$1:$P$500,MATCH("Fossil andel i procent (%)",Miljö!$B$1:$P$1,0),FALSE)/100,"")</f>
        <v/>
      </c>
      <c r="AV97" s="63" t="str">
        <f t="shared" si="9"/>
        <v>Nej</v>
      </c>
      <c r="AW97" s="63" t="str">
        <f>IF(AV97="ja",VLOOKUP($B97,'Egen hetvattenprod'!$B$1:$AO$500,MATCH("Värmekälla till värmepumpar ()",'Egen hetvattenprod'!$B$1:$AO$1,0),FALSE),"")</f>
        <v/>
      </c>
      <c r="AY97" s="63" t="str">
        <f t="shared" si="10"/>
        <v>Ja</v>
      </c>
      <c r="AZ97" s="77">
        <f>IF($AY97="ja",(VLOOKUP($B97,'Egen hetvattenprod'!$B$1:$BX$550,MATCH(AZ$2,'Egen hetvattenprod'!$B$1:$BX$1,0),FALSE)+VLOOKUP($B97,Kraftvärmeprod!$B$1:$BX$550,MATCH(AZ$2,Kraftvärmeprod!$B$1:$BX$1,0),FALSE))/$AC97,"")</f>
        <v>1</v>
      </c>
      <c r="BA97" s="77">
        <f>IF($AY97="ja",(VLOOKUP($B97,'Egen hetvattenprod'!$B$1:$BX$550,MATCH(BA$2,'Egen hetvattenprod'!$B$1:$BX$1,0),FALSE)+VLOOKUP($B97,Kraftvärmeprod!$B$1:$BX$550,MATCH(BA$2,Kraftvärmeprod!$B$1:$BX$1,0),FALSE))/$AC97,"")</f>
        <v>0</v>
      </c>
      <c r="BB97" s="77">
        <f>IF($AY97="ja",(VLOOKUP($B97,'Egen hetvattenprod'!$B$1:$BX$550,MATCH(BB$2,'Egen hetvattenprod'!$B$1:$BX$1,0),FALSE)+VLOOKUP($B97,Kraftvärmeprod!$B$1:$BX$550,MATCH(BB$2,Kraftvärmeprod!$B$1:$BX$1,0),FALSE))/$AC97,"")</f>
        <v>0</v>
      </c>
      <c r="BC97" s="77">
        <f>IF($AY97="ja",(VLOOKUP($B97,'Egen hetvattenprod'!$B$1:$BX$550,MATCH(BC$2,'Egen hetvattenprod'!$B$1:$BX$1,0),FALSE)+VLOOKUP($B97,Kraftvärmeprod!$B$1:$BX$550,MATCH(BC$2,Kraftvärmeprod!$B$1:$BX$1,0),FALSE))/$AC97,"")</f>
        <v>0</v>
      </c>
      <c r="BD97" s="77">
        <f>IF($AY97="ja",(VLOOKUP($B97,'Egen hetvattenprod'!$B$1:$BX$550,MATCH(BD$2,'Egen hetvattenprod'!$B$1:$BX$1,0),FALSE)+VLOOKUP($B97,Kraftvärmeprod!$B$1:$BX$550,MATCH(BD$2,Kraftvärmeprod!$B$1:$BX$1,0),FALSE))/$AC97,"")</f>
        <v>0</v>
      </c>
      <c r="BF97" s="63" t="str">
        <f t="shared" si="11"/>
        <v>Nej</v>
      </c>
      <c r="BG97" s="63" t="str">
        <f>IF($BF97="ja",VLOOKUP($B97,'Egen hetvattenprod'!$B$1:$BX$550,MATCH("Andelen klimatgaser med fossilt ursprung för avfall ()",'Egen hetvattenprod'!$B$1:$BX$1,0),FALSE),"")</f>
        <v/>
      </c>
      <c r="BH97" s="63" t="str">
        <f>IF($BF97="ja",VLOOKUP($B97,Kraftvärmeprod!$B$1:$BX$550,MATCH("Andelen klimatgaser med fossilt ursprung för avfall ()",Kraftvärmeprod!$B$1:$BX$1,0),FALSE),"")</f>
        <v/>
      </c>
      <c r="BI97" s="63" t="str">
        <f>IF($BF97="ja",VLOOKUP($B97,'Egen hetvattenprod'!$B$1:$BX$550,MATCH("Avfall (GWh)",'Egen hetvattenprod'!$B$1:$BX$1,0),FALSE),"")</f>
        <v/>
      </c>
      <c r="BJ97" s="63" t="str">
        <f>IF($BF97="ja",VLOOKUP($B97,'Slutlig allokering kvv'!$B$1:$BX$550,MATCH("Avfall (GWh)",'Slutlig allokering kvv'!$B$1:$BX$1,0),FALSE),"")</f>
        <v/>
      </c>
      <c r="BK97" s="63" t="str">
        <f>IF($BF97="ja",VLOOKUP($B97,'Köpt hetvatten'!$B$1:$BX$550,MATCH("Avfall i köpt hetvatten",'Köpt hetvatten'!$B$1:$BX$1,0),FALSE),"")</f>
        <v/>
      </c>
      <c r="BL97" s="63" t="str">
        <f>IF($BF97="ja",VLOOKUP($B97,'Egen hetvattenprod'!$B$1:$BX$550,MATCH("Värde enligt ovan. (%)",'Egen hetvattenprod'!$B$1:$BX$1,0),FALSE),"")</f>
        <v/>
      </c>
      <c r="BM97" s="63" t="str">
        <f>IF($BF97="ja",VLOOKUP($B97,Kraftvärmeprod!$B$1:$BX$550,MATCH("Värde enligt ovan. (%)",Kraftvärmeprod!$B$1:$BX$1,0),FALSE),"")</f>
        <v/>
      </c>
    </row>
    <row r="98" spans="1:65" x14ac:dyDescent="0.45">
      <c r="A98" s="63" t="s">
        <v>560</v>
      </c>
      <c r="B98" s="63" t="s">
        <v>559</v>
      </c>
      <c r="C98" s="63">
        <f>VLOOKUP($B98,'Tillförd energi'!$B$1:$AI$720,MATCH(C$2,'Tillförd energi'!$B$1:$AQ$1,0),FALSE)</f>
        <v>0</v>
      </c>
      <c r="D98" s="63">
        <f>VLOOKUP($B98,'Tillförd energi'!$B$1:$AI$720,MATCH(D$2,'Tillförd energi'!$B$1:$AQ$1,0),FALSE)</f>
        <v>0</v>
      </c>
      <c r="E98" s="63">
        <f>VLOOKUP($B98,'Tillförd energi'!$B$1:$AI$720,MATCH(E$2,'Tillförd energi'!$B$1:$AQ$1,0),FALSE)</f>
        <v>0</v>
      </c>
      <c r="F98" s="63">
        <f>VLOOKUP($B98,'Tillförd energi'!$B$1:$AI$720,MATCH(F$2,'Tillförd energi'!$B$1:$AQ$1,0),FALSE)</f>
        <v>0</v>
      </c>
      <c r="G98" s="63">
        <f>VLOOKUP($B98,'Tillförd energi'!$B$1:$AI$720,MATCH(G$2,'Tillförd energi'!$B$1:$AQ$1,0),FALSE)</f>
        <v>0</v>
      </c>
      <c r="H98" s="63">
        <f>VLOOKUP($B98,'Tillförd energi'!$B$1:$AI$720,MATCH(H$2,'Tillförd energi'!$B$1:$AQ$1,0),FALSE)</f>
        <v>0</v>
      </c>
      <c r="I98" s="63">
        <f>VLOOKUP($B98,'Tillförd energi'!$B$1:$AI$720,MATCH(I$2,'Tillförd energi'!$B$1:$AQ$1,0),FALSE)</f>
        <v>0</v>
      </c>
      <c r="J98" s="63">
        <f>VLOOKUP($B98,'Tillförd energi'!$B$1:$AI$720,MATCH(J$2,'Tillförd energi'!$B$1:$AQ$1,0),FALSE)</f>
        <v>0</v>
      </c>
      <c r="K98" s="63">
        <f>VLOOKUP($B98,'Tillförd energi'!$B$1:$AI$720,MATCH(K$2,'Tillförd energi'!$B$1:$AQ$1,0),FALSE)</f>
        <v>0</v>
      </c>
      <c r="L98" s="63">
        <f>VLOOKUP($B98,'Tillförd energi'!$B$1:$AI$720,MATCH(L$2,'Tillförd energi'!$B$1:$AQ$1,0),FALSE)</f>
        <v>0</v>
      </c>
      <c r="M98" s="63">
        <f>VLOOKUP($B98,'Tillförd energi'!$B$1:$AI$720,MATCH(M$2,'Tillförd energi'!$B$1:$AQ$1,0),FALSE)</f>
        <v>0</v>
      </c>
      <c r="N98" s="63">
        <f>VLOOKUP($B98,'Tillförd energi'!$B$1:$AI$720,MATCH(N$2,'Tillförd energi'!$B$1:$AQ$1,0),FALSE)</f>
        <v>0</v>
      </c>
      <c r="O98" s="63">
        <f>VLOOKUP($B98,'Tillförd energi'!$B$1:$AI$720,MATCH(O$2,'Tillförd energi'!$B$1:$AQ$1,0),FALSE)</f>
        <v>0</v>
      </c>
      <c r="P98" s="63">
        <f>VLOOKUP($B98,'Tillförd energi'!$B$1:$AI$720,MATCH(P$2,'Tillförd energi'!$B$1:$AQ$1,0),FALSE)</f>
        <v>0</v>
      </c>
      <c r="Q98" s="63">
        <f>VLOOKUP($B98,'Tillförd energi'!$B$1:$AI$720,MATCH(Q$2,'Tillförd energi'!$B$1:$AQ$1,0),FALSE)</f>
        <v>0</v>
      </c>
      <c r="R98" s="63">
        <f>VLOOKUP($B98,'Tillförd energi'!$B$1:$AI$720,MATCH(R$2,'Tillförd energi'!$B$1:$AQ$1,0),FALSE)</f>
        <v>0</v>
      </c>
      <c r="S98" s="63">
        <f>VLOOKUP($B98,'Tillförd energi'!$B$1:$AI$720,MATCH(S$2,'Tillförd energi'!$B$1:$AQ$1,0),FALSE)</f>
        <v>0</v>
      </c>
      <c r="T98" s="63">
        <f>VLOOKUP($B98,'Tillförd energi'!$B$1:$AI$720,MATCH(T$2,'Tillförd energi'!$B$1:$AQ$1,0),FALSE)</f>
        <v>0</v>
      </c>
      <c r="U98" s="63">
        <f>VLOOKUP($B98,'Tillförd energi'!$B$1:$AI$720,MATCH(U$2,'Tillförd energi'!$B$1:$AQ$1,0),FALSE)</f>
        <v>0</v>
      </c>
      <c r="V98" s="63">
        <f>VLOOKUP($B98,'Tillförd energi'!$B$1:$AI$720,MATCH(V$2,'Tillförd energi'!$B$1:$AQ$1,0),FALSE)</f>
        <v>0</v>
      </c>
      <c r="W98" s="63">
        <f>VLOOKUP($B98,'Tillförd energi'!$B$1:$AI$720,MATCH(W$2,'Tillförd energi'!$B$1:$AQ$1,0),FALSE)</f>
        <v>0</v>
      </c>
      <c r="X98" s="63">
        <f>VLOOKUP($B98,'Tillförd energi'!$B$1:$AI$720,MATCH(X$2,'Tillförd energi'!$B$1:$AQ$1,0),FALSE)</f>
        <v>0</v>
      </c>
      <c r="Y98" s="63">
        <f>VLOOKUP($B98,'Tillförd energi'!$B$1:$AI$720,MATCH(Y$2,'Tillförd energi'!$B$1:$AQ$1,0),FALSE)</f>
        <v>0</v>
      </c>
      <c r="Z98" s="63">
        <f>VLOOKUP($B98,'Tillförd energi'!$B$1:$AI$720,MATCH(Z$2,'Tillförd energi'!$B$1:$AQ$1,0),FALSE)</f>
        <v>0</v>
      </c>
      <c r="AA98" s="63">
        <f>VLOOKUP($B98,'Tillförd energi'!$B$1:$AI$720,MATCH(AA$2,'Tillförd energi'!$B$1:$AQ$1,0),FALSE)</f>
        <v>0</v>
      </c>
      <c r="AB98" s="63">
        <f>VLOOKUP($B98,'Tillförd energi'!$B$1:$AI$720,MATCH(AB$2,'Tillförd energi'!$B$1:$AQ$1,0),FALSE)</f>
        <v>0</v>
      </c>
      <c r="AC98" s="63">
        <f>VLOOKUP($B98,'Tillförd energi'!$B$1:$AI$720,MATCH(AC$2,'Tillförd energi'!$B$1:$AQ$1,0),FALSE)</f>
        <v>0</v>
      </c>
      <c r="AD98" s="63">
        <f>VLOOKUP($B98,'Tillförd energi'!$B$1:$AI$720,MATCH(AD$2,'Tillförd energi'!$B$1:$AQ$1,0),FALSE)</f>
        <v>0</v>
      </c>
      <c r="AE98" s="63">
        <f>VLOOKUP($B98,'Tillförd energi'!$B$1:$AI$720,MATCH(AE$2,'Tillförd energi'!$B$1:$AQ$1,0),FALSE)</f>
        <v>0</v>
      </c>
      <c r="AF98" s="63">
        <f>VLOOKUP($B98,'Tillförd energi'!$B$1:$AI$720,MATCH(AF$2,'Tillförd energi'!$B$1:$AQ$1,0),FALSE)</f>
        <v>0</v>
      </c>
      <c r="AG98" s="63">
        <f>IFERROR(VLOOKUP(B98,Miljö!$B$1:$AC$550,MATCH("Köpt mängd produktionsspecifik fjärrvärme:",Miljö!$B$1:$AC$1,0),FALSE)/1,0)</f>
        <v>0</v>
      </c>
      <c r="AI98" s="63">
        <f t="shared" si="6"/>
        <v>0</v>
      </c>
      <c r="AJ98" s="63" t="str">
        <f>IF(ISERROR(1/VLOOKUP($B98,Leveranser!$B$1:$S$500,MATCH("såld värme (gwh)",Leveranser!$B$1:$S$1,0),FALSE)),"",VLOOKUP($B98,Leveranser!$B$1:$S$500,MATCH("såld värme (gwh)",Leveranser!$B$1:$S$1,0),FALSE))</f>
        <v/>
      </c>
      <c r="AM98" s="63" t="str">
        <f>IF(B98&lt;&gt;"",IF(VLOOKUP($B98,Totalt!$B$1:$AQ$554,MATCH("Kvalitetsgranskad:",Totalt!$B$1:$AQ$1,0),FALSE)="ja",VLOOKUP($B98,Miljö!$B$1:$AG$479,MATCH(AM$2,Miljö!$B$1:$AK$1,0),FALSE),""),"")</f>
        <v/>
      </c>
      <c r="AN98" s="63" t="str">
        <f>IF(AM98="ja",VLOOKUP($B98,Miljö!$B$1:$J$479,MATCH("Typ av ursprungsspecificerad el   (Om inget värde anges används Nordisk residualmix, se inforuta) ()",Miljö!$B$1:$J$1,0),FALSE),IF(AM98="nej","Nordisk residualel",""))</f>
        <v/>
      </c>
      <c r="AO98" s="63" t="str">
        <f>IF(AM98="","",VLOOKUP($B98,Miljö!$B$1:$J$479,MATCH("Fossilandel för ursprungspecificerad el ()",Miljö!$B$1:$J$1,0),FALSE))</f>
        <v/>
      </c>
      <c r="AQ98" s="63" t="str">
        <f t="shared" si="7"/>
        <v/>
      </c>
      <c r="AS98" s="63" t="str">
        <f t="shared" si="8"/>
        <v>Nej</v>
      </c>
      <c r="AT98" s="63" t="str">
        <f>IF(AS98="ja",VLOOKUP($B98,Miljö!$B$1:$P$500,MATCH("Fossil andel i procent (%)",Miljö!$B$1:$P$1,0),FALSE)/100,"")</f>
        <v/>
      </c>
      <c r="AV98" s="63" t="str">
        <f t="shared" si="9"/>
        <v>Nej</v>
      </c>
      <c r="AW98" s="63" t="str">
        <f>IF(AV98="ja",VLOOKUP($B98,'Egen hetvattenprod'!$B$1:$AO$500,MATCH("Värmekälla till värmepumpar ()",'Egen hetvattenprod'!$B$1:$AO$1,0),FALSE),"")</f>
        <v/>
      </c>
      <c r="AY98" s="63" t="str">
        <f t="shared" si="10"/>
        <v>Nej</v>
      </c>
      <c r="AZ98" s="77" t="str">
        <f>IF($AY98="ja",(VLOOKUP($B98,'Egen hetvattenprod'!$B$1:$BX$550,MATCH(AZ$2,'Egen hetvattenprod'!$B$1:$BX$1,0),FALSE)+VLOOKUP($B98,Kraftvärmeprod!$B$1:$BX$550,MATCH(AZ$2,Kraftvärmeprod!$B$1:$BX$1,0),FALSE))/$AC98,"")</f>
        <v/>
      </c>
      <c r="BA98" s="77" t="str">
        <f>IF($AY98="ja",(VLOOKUP($B98,'Egen hetvattenprod'!$B$1:$BX$550,MATCH(BA$2,'Egen hetvattenprod'!$B$1:$BX$1,0),FALSE)+VLOOKUP($B98,Kraftvärmeprod!$B$1:$BX$550,MATCH(BA$2,Kraftvärmeprod!$B$1:$BX$1,0),FALSE))/$AC98,"")</f>
        <v/>
      </c>
      <c r="BB98" s="77" t="str">
        <f>IF($AY98="ja",(VLOOKUP($B98,'Egen hetvattenprod'!$B$1:$BX$550,MATCH(BB$2,'Egen hetvattenprod'!$B$1:$BX$1,0),FALSE)+VLOOKUP($B98,Kraftvärmeprod!$B$1:$BX$550,MATCH(BB$2,Kraftvärmeprod!$B$1:$BX$1,0),FALSE))/$AC98,"")</f>
        <v/>
      </c>
      <c r="BC98" s="77" t="str">
        <f>IF($AY98="ja",(VLOOKUP($B98,'Egen hetvattenprod'!$B$1:$BX$550,MATCH(BC$2,'Egen hetvattenprod'!$B$1:$BX$1,0),FALSE)+VLOOKUP($B98,Kraftvärmeprod!$B$1:$BX$550,MATCH(BC$2,Kraftvärmeprod!$B$1:$BX$1,0),FALSE))/$AC98,"")</f>
        <v/>
      </c>
      <c r="BD98" s="77" t="str">
        <f>IF($AY98="ja",(VLOOKUP($B98,'Egen hetvattenprod'!$B$1:$BX$550,MATCH(BD$2,'Egen hetvattenprod'!$B$1:$BX$1,0),FALSE)+VLOOKUP($B98,Kraftvärmeprod!$B$1:$BX$550,MATCH(BD$2,Kraftvärmeprod!$B$1:$BX$1,0),FALSE))/$AC98,"")</f>
        <v/>
      </c>
      <c r="BF98" s="63" t="str">
        <f t="shared" si="11"/>
        <v>Nej</v>
      </c>
      <c r="BG98" s="63" t="str">
        <f>IF($BF98="ja",VLOOKUP($B98,'Egen hetvattenprod'!$B$1:$BX$550,MATCH("Andelen klimatgaser med fossilt ursprung för avfall ()",'Egen hetvattenprod'!$B$1:$BX$1,0),FALSE),"")</f>
        <v/>
      </c>
      <c r="BH98" s="63" t="str">
        <f>IF($BF98="ja",VLOOKUP($B98,Kraftvärmeprod!$B$1:$BX$550,MATCH("Andelen klimatgaser med fossilt ursprung för avfall ()",Kraftvärmeprod!$B$1:$BX$1,0),FALSE),"")</f>
        <v/>
      </c>
      <c r="BI98" s="63" t="str">
        <f>IF($BF98="ja",VLOOKUP($B98,'Egen hetvattenprod'!$B$1:$BX$550,MATCH("Avfall (GWh)",'Egen hetvattenprod'!$B$1:$BX$1,0),FALSE),"")</f>
        <v/>
      </c>
      <c r="BJ98" s="63" t="str">
        <f>IF($BF98="ja",VLOOKUP($B98,'Slutlig allokering kvv'!$B$1:$BX$550,MATCH("Avfall (GWh)",'Slutlig allokering kvv'!$B$1:$BX$1,0),FALSE),"")</f>
        <v/>
      </c>
      <c r="BK98" s="63" t="str">
        <f>IF($BF98="ja",VLOOKUP($B98,'Köpt hetvatten'!$B$1:$BX$550,MATCH("Avfall i köpt hetvatten",'Köpt hetvatten'!$B$1:$BX$1,0),FALSE),"")</f>
        <v/>
      </c>
      <c r="BL98" s="63" t="str">
        <f>IF($BF98="ja",VLOOKUP($B98,'Egen hetvattenprod'!$B$1:$BX$550,MATCH("Värde enligt ovan. (%)",'Egen hetvattenprod'!$B$1:$BX$1,0),FALSE),"")</f>
        <v/>
      </c>
      <c r="BM98" s="63" t="str">
        <f>IF($BF98="ja",VLOOKUP($B98,Kraftvärmeprod!$B$1:$BX$550,MATCH("Värde enligt ovan. (%)",Kraftvärmeprod!$B$1:$BX$1,0),FALSE),"")</f>
        <v/>
      </c>
    </row>
    <row r="99" spans="1:65" x14ac:dyDescent="0.45">
      <c r="A99" s="63" t="s">
        <v>560</v>
      </c>
      <c r="B99" s="63" t="s">
        <v>560</v>
      </c>
      <c r="C99" s="63">
        <f>VLOOKUP($B99,'Tillförd energi'!$B$1:$AI$720,MATCH(C$2,'Tillförd energi'!$B$1:$AQ$1,0),FALSE)</f>
        <v>0</v>
      </c>
      <c r="D99" s="63">
        <f>VLOOKUP($B99,'Tillförd energi'!$B$1:$AI$720,MATCH(D$2,'Tillförd energi'!$B$1:$AQ$1,0),FALSE)</f>
        <v>0</v>
      </c>
      <c r="E99" s="63">
        <f>VLOOKUP($B99,'Tillförd energi'!$B$1:$AI$720,MATCH(E$2,'Tillförd energi'!$B$1:$AQ$1,0),FALSE)</f>
        <v>0</v>
      </c>
      <c r="F99" s="63">
        <f>VLOOKUP($B99,'Tillförd energi'!$B$1:$AI$720,MATCH(F$2,'Tillförd energi'!$B$1:$AQ$1,0),FALSE)</f>
        <v>0</v>
      </c>
      <c r="G99" s="63">
        <f>VLOOKUP($B99,'Tillförd energi'!$B$1:$AI$720,MATCH(G$2,'Tillförd energi'!$B$1:$AQ$1,0),FALSE)</f>
        <v>0</v>
      </c>
      <c r="H99" s="63">
        <f>VLOOKUP($B99,'Tillförd energi'!$B$1:$AI$720,MATCH(H$2,'Tillförd energi'!$B$1:$AQ$1,0),FALSE)</f>
        <v>0</v>
      </c>
      <c r="I99" s="63">
        <f>VLOOKUP($B99,'Tillförd energi'!$B$1:$AI$720,MATCH(I$2,'Tillförd energi'!$B$1:$AQ$1,0),FALSE)</f>
        <v>0</v>
      </c>
      <c r="J99" s="63">
        <f>VLOOKUP($B99,'Tillförd energi'!$B$1:$AI$720,MATCH(J$2,'Tillförd energi'!$B$1:$AQ$1,0),FALSE)</f>
        <v>0</v>
      </c>
      <c r="K99" s="63">
        <f>VLOOKUP($B99,'Tillförd energi'!$B$1:$AI$720,MATCH(K$2,'Tillförd energi'!$B$1:$AQ$1,0),FALSE)</f>
        <v>0</v>
      </c>
      <c r="L99" s="63">
        <f>VLOOKUP($B99,'Tillförd energi'!$B$1:$AI$720,MATCH(L$2,'Tillförd energi'!$B$1:$AQ$1,0),FALSE)</f>
        <v>0</v>
      </c>
      <c r="M99" s="63">
        <f>VLOOKUP($B99,'Tillförd energi'!$B$1:$AI$720,MATCH(M$2,'Tillförd energi'!$B$1:$AQ$1,0),FALSE)</f>
        <v>0</v>
      </c>
      <c r="N99" s="63">
        <f>VLOOKUP($B99,'Tillförd energi'!$B$1:$AI$720,MATCH(N$2,'Tillförd energi'!$B$1:$AQ$1,0),FALSE)</f>
        <v>0</v>
      </c>
      <c r="O99" s="63">
        <f>VLOOKUP($B99,'Tillförd energi'!$B$1:$AI$720,MATCH(O$2,'Tillförd energi'!$B$1:$AQ$1,0),FALSE)</f>
        <v>0</v>
      </c>
      <c r="P99" s="63">
        <f>VLOOKUP($B99,'Tillförd energi'!$B$1:$AI$720,MATCH(P$2,'Tillförd energi'!$B$1:$AQ$1,0),FALSE)</f>
        <v>0</v>
      </c>
      <c r="Q99" s="63">
        <f>VLOOKUP($B99,'Tillförd energi'!$B$1:$AI$720,MATCH(Q$2,'Tillförd energi'!$B$1:$AQ$1,0),FALSE)</f>
        <v>0</v>
      </c>
      <c r="R99" s="63">
        <f>VLOOKUP($B99,'Tillförd energi'!$B$1:$AI$720,MATCH(R$2,'Tillförd energi'!$B$1:$AQ$1,0),FALSE)</f>
        <v>0</v>
      </c>
      <c r="S99" s="63">
        <f>VLOOKUP($B99,'Tillförd energi'!$B$1:$AI$720,MATCH(S$2,'Tillförd energi'!$B$1:$AQ$1,0),FALSE)</f>
        <v>0</v>
      </c>
      <c r="T99" s="63">
        <f>VLOOKUP($B99,'Tillförd energi'!$B$1:$AI$720,MATCH(T$2,'Tillförd energi'!$B$1:$AQ$1,0),FALSE)</f>
        <v>0</v>
      </c>
      <c r="U99" s="63">
        <f>VLOOKUP($B99,'Tillförd energi'!$B$1:$AI$720,MATCH(U$2,'Tillförd energi'!$B$1:$AQ$1,0),FALSE)</f>
        <v>0</v>
      </c>
      <c r="V99" s="63">
        <f>VLOOKUP($B99,'Tillförd energi'!$B$1:$AI$720,MATCH(V$2,'Tillförd energi'!$B$1:$AQ$1,0),FALSE)</f>
        <v>0</v>
      </c>
      <c r="W99" s="63">
        <f>VLOOKUP($B99,'Tillförd energi'!$B$1:$AI$720,MATCH(W$2,'Tillförd energi'!$B$1:$AQ$1,0),FALSE)</f>
        <v>0</v>
      </c>
      <c r="X99" s="63">
        <f>VLOOKUP($B99,'Tillförd energi'!$B$1:$AI$720,MATCH(X$2,'Tillförd energi'!$B$1:$AQ$1,0),FALSE)</f>
        <v>0</v>
      </c>
      <c r="Y99" s="63">
        <f>VLOOKUP($B99,'Tillförd energi'!$B$1:$AI$720,MATCH(Y$2,'Tillförd energi'!$B$1:$AQ$1,0),FALSE)</f>
        <v>0</v>
      </c>
      <c r="Z99" s="63">
        <f>VLOOKUP($B99,'Tillförd energi'!$B$1:$AI$720,MATCH(Z$2,'Tillförd energi'!$B$1:$AQ$1,0),FALSE)</f>
        <v>0</v>
      </c>
      <c r="AA99" s="63">
        <f>VLOOKUP($B99,'Tillförd energi'!$B$1:$AI$720,MATCH(AA$2,'Tillförd energi'!$B$1:$AQ$1,0),FALSE)</f>
        <v>0</v>
      </c>
      <c r="AB99" s="63">
        <f>VLOOKUP($B99,'Tillförd energi'!$B$1:$AI$720,MATCH(AB$2,'Tillförd energi'!$B$1:$AQ$1,0),FALSE)</f>
        <v>0</v>
      </c>
      <c r="AC99" s="63">
        <f>VLOOKUP($B99,'Tillförd energi'!$B$1:$AI$720,MATCH(AC$2,'Tillförd energi'!$B$1:$AQ$1,0),FALSE)</f>
        <v>0</v>
      </c>
      <c r="AD99" s="63">
        <f>VLOOKUP($B99,'Tillförd energi'!$B$1:$AI$720,MATCH(AD$2,'Tillförd energi'!$B$1:$AQ$1,0),FALSE)</f>
        <v>0</v>
      </c>
      <c r="AE99" s="63">
        <f>VLOOKUP($B99,'Tillförd energi'!$B$1:$AI$720,MATCH(AE$2,'Tillförd energi'!$B$1:$AQ$1,0),FALSE)</f>
        <v>0</v>
      </c>
      <c r="AF99" s="63">
        <f>VLOOKUP($B99,'Tillförd energi'!$B$1:$AI$720,MATCH(AF$2,'Tillförd energi'!$B$1:$AQ$1,0),FALSE)</f>
        <v>0</v>
      </c>
      <c r="AG99" s="63">
        <f>IFERROR(VLOOKUP(B99,Miljö!$B$1:$AC$550,MATCH("Köpt mängd produktionsspecifik fjärrvärme:",Miljö!$B$1:$AC$1,0),FALSE)/1,0)</f>
        <v>0</v>
      </c>
      <c r="AI99" s="63">
        <f t="shared" si="6"/>
        <v>0</v>
      </c>
      <c r="AJ99" s="63" t="str">
        <f>IF(ISERROR(1/VLOOKUP($B99,Leveranser!$B$1:$S$500,MATCH("såld värme (gwh)",Leveranser!$B$1:$S$1,0),FALSE)),"",VLOOKUP($B99,Leveranser!$B$1:$S$500,MATCH("såld värme (gwh)",Leveranser!$B$1:$S$1,0),FALSE))</f>
        <v/>
      </c>
      <c r="AM99" s="63" t="str">
        <f>IF(B99&lt;&gt;"",IF(VLOOKUP($B99,Totalt!$B$1:$AQ$554,MATCH("Kvalitetsgranskad:",Totalt!$B$1:$AQ$1,0),FALSE)="ja",VLOOKUP($B99,Miljö!$B$1:$AG$479,MATCH(AM$2,Miljö!$B$1:$AK$1,0),FALSE),""),"")</f>
        <v/>
      </c>
      <c r="AN99" s="63" t="str">
        <f>IF(AM99="ja",VLOOKUP($B99,Miljö!$B$1:$J$479,MATCH("Typ av ursprungsspecificerad el   (Om inget värde anges används Nordisk residualmix, se inforuta) ()",Miljö!$B$1:$J$1,0),FALSE),IF(AM99="nej","Nordisk residualel",""))</f>
        <v/>
      </c>
      <c r="AO99" s="63" t="str">
        <f>IF(AM99="","",VLOOKUP($B99,Miljö!$B$1:$J$479,MATCH("Fossilandel för ursprungspecificerad el ()",Miljö!$B$1:$J$1,0),FALSE))</f>
        <v/>
      </c>
      <c r="AQ99" s="63" t="str">
        <f t="shared" si="7"/>
        <v/>
      </c>
      <c r="AS99" s="63" t="str">
        <f t="shared" si="8"/>
        <v>Nej</v>
      </c>
      <c r="AT99" s="63" t="str">
        <f>IF(AS99="ja",VLOOKUP($B99,Miljö!$B$1:$P$500,MATCH("Fossil andel i procent (%)",Miljö!$B$1:$P$1,0),FALSE)/100,"")</f>
        <v/>
      </c>
      <c r="AV99" s="63" t="str">
        <f t="shared" si="9"/>
        <v>Nej</v>
      </c>
      <c r="AW99" s="63" t="str">
        <f>IF(AV99="ja",VLOOKUP($B99,'Egen hetvattenprod'!$B$1:$AO$500,MATCH("Värmekälla till värmepumpar ()",'Egen hetvattenprod'!$B$1:$AO$1,0),FALSE),"")</f>
        <v/>
      </c>
      <c r="AY99" s="63" t="str">
        <f t="shared" si="10"/>
        <v>Nej</v>
      </c>
      <c r="AZ99" s="77" t="str">
        <f>IF($AY99="ja",(VLOOKUP($B99,'Egen hetvattenprod'!$B$1:$BX$550,MATCH(AZ$2,'Egen hetvattenprod'!$B$1:$BX$1,0),FALSE)+VLOOKUP($B99,Kraftvärmeprod!$B$1:$BX$550,MATCH(AZ$2,Kraftvärmeprod!$B$1:$BX$1,0),FALSE))/$AC99,"")</f>
        <v/>
      </c>
      <c r="BA99" s="77" t="str">
        <f>IF($AY99="ja",(VLOOKUP($B99,'Egen hetvattenprod'!$B$1:$BX$550,MATCH(BA$2,'Egen hetvattenprod'!$B$1:$BX$1,0),FALSE)+VLOOKUP($B99,Kraftvärmeprod!$B$1:$BX$550,MATCH(BA$2,Kraftvärmeprod!$B$1:$BX$1,0),FALSE))/$AC99,"")</f>
        <v/>
      </c>
      <c r="BB99" s="77" t="str">
        <f>IF($AY99="ja",(VLOOKUP($B99,'Egen hetvattenprod'!$B$1:$BX$550,MATCH(BB$2,'Egen hetvattenprod'!$B$1:$BX$1,0),FALSE)+VLOOKUP($B99,Kraftvärmeprod!$B$1:$BX$550,MATCH(BB$2,Kraftvärmeprod!$B$1:$BX$1,0),FALSE))/$AC99,"")</f>
        <v/>
      </c>
      <c r="BC99" s="77" t="str">
        <f>IF($AY99="ja",(VLOOKUP($B99,'Egen hetvattenprod'!$B$1:$BX$550,MATCH(BC$2,'Egen hetvattenprod'!$B$1:$BX$1,0),FALSE)+VLOOKUP($B99,Kraftvärmeprod!$B$1:$BX$550,MATCH(BC$2,Kraftvärmeprod!$B$1:$BX$1,0),FALSE))/$AC99,"")</f>
        <v/>
      </c>
      <c r="BD99" s="77" t="str">
        <f>IF($AY99="ja",(VLOOKUP($B99,'Egen hetvattenprod'!$B$1:$BX$550,MATCH(BD$2,'Egen hetvattenprod'!$B$1:$BX$1,0),FALSE)+VLOOKUP($B99,Kraftvärmeprod!$B$1:$BX$550,MATCH(BD$2,Kraftvärmeprod!$B$1:$BX$1,0),FALSE))/$AC99,"")</f>
        <v/>
      </c>
      <c r="BF99" s="63" t="str">
        <f t="shared" si="11"/>
        <v>Nej</v>
      </c>
      <c r="BG99" s="63" t="str">
        <f>IF($BF99="ja",VLOOKUP($B99,'Egen hetvattenprod'!$B$1:$BX$550,MATCH("Andelen klimatgaser med fossilt ursprung för avfall ()",'Egen hetvattenprod'!$B$1:$BX$1,0),FALSE),"")</f>
        <v/>
      </c>
      <c r="BH99" s="63" t="str">
        <f>IF($BF99="ja",VLOOKUP($B99,Kraftvärmeprod!$B$1:$BX$550,MATCH("Andelen klimatgaser med fossilt ursprung för avfall ()",Kraftvärmeprod!$B$1:$BX$1,0),FALSE),"")</f>
        <v/>
      </c>
      <c r="BI99" s="63" t="str">
        <f>IF($BF99="ja",VLOOKUP($B99,'Egen hetvattenprod'!$B$1:$BX$550,MATCH("Avfall (GWh)",'Egen hetvattenprod'!$B$1:$BX$1,0),FALSE),"")</f>
        <v/>
      </c>
      <c r="BJ99" s="63" t="str">
        <f>IF($BF99="ja",VLOOKUP($B99,'Slutlig allokering kvv'!$B$1:$BX$550,MATCH("Avfall (GWh)",'Slutlig allokering kvv'!$B$1:$BX$1,0),FALSE),"")</f>
        <v/>
      </c>
      <c r="BK99" s="63" t="str">
        <f>IF($BF99="ja",VLOOKUP($B99,'Köpt hetvatten'!$B$1:$BX$550,MATCH("Avfall i köpt hetvatten",'Köpt hetvatten'!$B$1:$BX$1,0),FALSE),"")</f>
        <v/>
      </c>
      <c r="BL99" s="63" t="str">
        <f>IF($BF99="ja",VLOOKUP($B99,'Egen hetvattenprod'!$B$1:$BX$550,MATCH("Värde enligt ovan. (%)",'Egen hetvattenprod'!$B$1:$BX$1,0),FALSE),"")</f>
        <v/>
      </c>
      <c r="BM99" s="63" t="str">
        <f>IF($BF99="ja",VLOOKUP($B99,Kraftvärmeprod!$B$1:$BX$550,MATCH("Värde enligt ovan. (%)",Kraftvärmeprod!$B$1:$BX$1,0),FALSE),"")</f>
        <v/>
      </c>
    </row>
    <row r="100" spans="1:65" x14ac:dyDescent="0.45">
      <c r="A100" s="63" t="s">
        <v>560</v>
      </c>
      <c r="B100" s="63" t="s">
        <v>564</v>
      </c>
      <c r="C100" s="63">
        <f>VLOOKUP($B100,'Tillförd energi'!$B$1:$AI$720,MATCH(C$2,'Tillförd energi'!$B$1:$AQ$1,0),FALSE)</f>
        <v>0</v>
      </c>
      <c r="D100" s="63">
        <f>VLOOKUP($B100,'Tillförd energi'!$B$1:$AI$720,MATCH(D$2,'Tillförd energi'!$B$1:$AQ$1,0),FALSE)</f>
        <v>0</v>
      </c>
      <c r="E100" s="63">
        <f>VLOOKUP($B100,'Tillförd energi'!$B$1:$AI$720,MATCH(E$2,'Tillförd energi'!$B$1:$AQ$1,0),FALSE)</f>
        <v>0</v>
      </c>
      <c r="F100" s="63">
        <f>VLOOKUP($B100,'Tillförd energi'!$B$1:$AI$720,MATCH(F$2,'Tillförd energi'!$B$1:$AQ$1,0),FALSE)</f>
        <v>0</v>
      </c>
      <c r="G100" s="63">
        <f>VLOOKUP($B100,'Tillförd energi'!$B$1:$AI$720,MATCH(G$2,'Tillförd energi'!$B$1:$AQ$1,0),FALSE)</f>
        <v>0</v>
      </c>
      <c r="H100" s="63">
        <f>VLOOKUP($B100,'Tillförd energi'!$B$1:$AI$720,MATCH(H$2,'Tillförd energi'!$B$1:$AQ$1,0),FALSE)</f>
        <v>0</v>
      </c>
      <c r="I100" s="63">
        <f>VLOOKUP($B100,'Tillförd energi'!$B$1:$AI$720,MATCH(I$2,'Tillförd energi'!$B$1:$AQ$1,0),FALSE)</f>
        <v>0</v>
      </c>
      <c r="J100" s="63">
        <f>VLOOKUP($B100,'Tillförd energi'!$B$1:$AI$720,MATCH(J$2,'Tillförd energi'!$B$1:$AQ$1,0),FALSE)</f>
        <v>0</v>
      </c>
      <c r="K100" s="63">
        <f>VLOOKUP($B100,'Tillförd energi'!$B$1:$AI$720,MATCH(K$2,'Tillförd energi'!$B$1:$AQ$1,0),FALSE)</f>
        <v>0</v>
      </c>
      <c r="L100" s="63">
        <f>VLOOKUP($B100,'Tillförd energi'!$B$1:$AI$720,MATCH(L$2,'Tillförd energi'!$B$1:$AQ$1,0),FALSE)</f>
        <v>0</v>
      </c>
      <c r="M100" s="63">
        <f>VLOOKUP($B100,'Tillförd energi'!$B$1:$AI$720,MATCH(M$2,'Tillförd energi'!$B$1:$AQ$1,0),FALSE)</f>
        <v>0</v>
      </c>
      <c r="N100" s="63">
        <f>VLOOKUP($B100,'Tillförd energi'!$B$1:$AI$720,MATCH(N$2,'Tillförd energi'!$B$1:$AQ$1,0),FALSE)</f>
        <v>0</v>
      </c>
      <c r="O100" s="63">
        <f>VLOOKUP($B100,'Tillförd energi'!$B$1:$AI$720,MATCH(O$2,'Tillförd energi'!$B$1:$AQ$1,0),FALSE)</f>
        <v>0</v>
      </c>
      <c r="P100" s="63">
        <f>VLOOKUP($B100,'Tillförd energi'!$B$1:$AI$720,MATCH(P$2,'Tillförd energi'!$B$1:$AQ$1,0),FALSE)</f>
        <v>0</v>
      </c>
      <c r="Q100" s="63">
        <f>VLOOKUP($B100,'Tillförd energi'!$B$1:$AI$720,MATCH(Q$2,'Tillförd energi'!$B$1:$AQ$1,0),FALSE)</f>
        <v>0</v>
      </c>
      <c r="R100" s="63">
        <f>VLOOKUP($B100,'Tillförd energi'!$B$1:$AI$720,MATCH(R$2,'Tillförd energi'!$B$1:$AQ$1,0),FALSE)</f>
        <v>0</v>
      </c>
      <c r="S100" s="63">
        <f>VLOOKUP($B100,'Tillförd energi'!$B$1:$AI$720,MATCH(S$2,'Tillförd energi'!$B$1:$AQ$1,0),FALSE)</f>
        <v>0</v>
      </c>
      <c r="T100" s="63">
        <f>VLOOKUP($B100,'Tillförd energi'!$B$1:$AI$720,MATCH(T$2,'Tillförd energi'!$B$1:$AQ$1,0),FALSE)</f>
        <v>0</v>
      </c>
      <c r="U100" s="63">
        <f>VLOOKUP($B100,'Tillförd energi'!$B$1:$AI$720,MATCH(U$2,'Tillförd energi'!$B$1:$AQ$1,0),FALSE)</f>
        <v>0</v>
      </c>
      <c r="V100" s="63">
        <f>VLOOKUP($B100,'Tillförd energi'!$B$1:$AI$720,MATCH(V$2,'Tillförd energi'!$B$1:$AQ$1,0),FALSE)</f>
        <v>0</v>
      </c>
      <c r="W100" s="63">
        <f>VLOOKUP($B100,'Tillförd energi'!$B$1:$AI$720,MATCH(W$2,'Tillförd energi'!$B$1:$AQ$1,0),FALSE)</f>
        <v>0</v>
      </c>
      <c r="X100" s="63">
        <f>VLOOKUP($B100,'Tillförd energi'!$B$1:$AI$720,MATCH(X$2,'Tillförd energi'!$B$1:$AQ$1,0),FALSE)</f>
        <v>0</v>
      </c>
      <c r="Y100" s="63">
        <f>VLOOKUP($B100,'Tillförd energi'!$B$1:$AI$720,MATCH(Y$2,'Tillförd energi'!$B$1:$AQ$1,0),FALSE)</f>
        <v>0</v>
      </c>
      <c r="Z100" s="63">
        <f>VLOOKUP($B100,'Tillförd energi'!$B$1:$AI$720,MATCH(Z$2,'Tillförd energi'!$B$1:$AQ$1,0),FALSE)</f>
        <v>0</v>
      </c>
      <c r="AA100" s="63">
        <f>VLOOKUP($B100,'Tillförd energi'!$B$1:$AI$720,MATCH(AA$2,'Tillförd energi'!$B$1:$AQ$1,0),FALSE)</f>
        <v>0</v>
      </c>
      <c r="AB100" s="63">
        <f>VLOOKUP($B100,'Tillförd energi'!$B$1:$AI$720,MATCH(AB$2,'Tillförd energi'!$B$1:$AQ$1,0),FALSE)</f>
        <v>0</v>
      </c>
      <c r="AC100" s="63">
        <f>VLOOKUP($B100,'Tillförd energi'!$B$1:$AI$720,MATCH(AC$2,'Tillförd energi'!$B$1:$AQ$1,0),FALSE)</f>
        <v>0</v>
      </c>
      <c r="AD100" s="63">
        <f>VLOOKUP($B100,'Tillförd energi'!$B$1:$AI$720,MATCH(AD$2,'Tillförd energi'!$B$1:$AQ$1,0),FALSE)</f>
        <v>0</v>
      </c>
      <c r="AE100" s="63">
        <f>VLOOKUP($B100,'Tillförd energi'!$B$1:$AI$720,MATCH(AE$2,'Tillförd energi'!$B$1:$AQ$1,0),FALSE)</f>
        <v>0</v>
      </c>
      <c r="AF100" s="63">
        <f>VLOOKUP($B100,'Tillförd energi'!$B$1:$AI$720,MATCH(AF$2,'Tillförd energi'!$B$1:$AQ$1,0),FALSE)</f>
        <v>0</v>
      </c>
      <c r="AG100" s="63">
        <f>IFERROR(VLOOKUP(B100,Miljö!$B$1:$AC$550,MATCH("Köpt mängd produktionsspecifik fjärrvärme:",Miljö!$B$1:$AC$1,0),FALSE)/1,0)</f>
        <v>0</v>
      </c>
      <c r="AI100" s="63">
        <f t="shared" si="6"/>
        <v>0</v>
      </c>
      <c r="AJ100" s="63" t="str">
        <f>IF(ISERROR(1/VLOOKUP($B100,Leveranser!$B$1:$S$500,MATCH("såld värme (gwh)",Leveranser!$B$1:$S$1,0),FALSE)),"",VLOOKUP($B100,Leveranser!$B$1:$S$500,MATCH("såld värme (gwh)",Leveranser!$B$1:$S$1,0),FALSE))</f>
        <v/>
      </c>
      <c r="AM100" s="63" t="str">
        <f>IF(B100&lt;&gt;"",IF(VLOOKUP($B100,Totalt!$B$1:$AQ$554,MATCH("Kvalitetsgranskad:",Totalt!$B$1:$AQ$1,0),FALSE)="ja",VLOOKUP($B100,Miljö!$B$1:$AG$479,MATCH(AM$2,Miljö!$B$1:$AK$1,0),FALSE),""),"")</f>
        <v/>
      </c>
      <c r="AN100" s="63" t="str">
        <f>IF(AM100="ja",VLOOKUP($B100,Miljö!$B$1:$J$479,MATCH("Typ av ursprungsspecificerad el   (Om inget värde anges används Nordisk residualmix, se inforuta) ()",Miljö!$B$1:$J$1,0),FALSE),IF(AM100="nej","Nordisk residualel",""))</f>
        <v/>
      </c>
      <c r="AO100" s="63" t="str">
        <f>IF(AM100="","",VLOOKUP($B100,Miljö!$B$1:$J$479,MATCH("Fossilandel för ursprungspecificerad el ()",Miljö!$B$1:$J$1,0),FALSE))</f>
        <v/>
      </c>
      <c r="AQ100" s="63" t="str">
        <f t="shared" si="7"/>
        <v/>
      </c>
      <c r="AS100" s="63" t="str">
        <f t="shared" si="8"/>
        <v>Nej</v>
      </c>
      <c r="AT100" s="63" t="str">
        <f>IF(AS100="ja",VLOOKUP($B100,Miljö!$B$1:$P$500,MATCH("Fossil andel i procent (%)",Miljö!$B$1:$P$1,0),FALSE)/100,"")</f>
        <v/>
      </c>
      <c r="AV100" s="63" t="str">
        <f t="shared" si="9"/>
        <v>Nej</v>
      </c>
      <c r="AW100" s="63" t="str">
        <f>IF(AV100="ja",VLOOKUP($B100,'Egen hetvattenprod'!$B$1:$AO$500,MATCH("Värmekälla till värmepumpar ()",'Egen hetvattenprod'!$B$1:$AO$1,0),FALSE),"")</f>
        <v/>
      </c>
      <c r="AY100" s="63" t="str">
        <f t="shared" si="10"/>
        <v>Nej</v>
      </c>
      <c r="AZ100" s="77" t="str">
        <f>IF($AY100="ja",(VLOOKUP($B100,'Egen hetvattenprod'!$B$1:$BX$550,MATCH(AZ$2,'Egen hetvattenprod'!$B$1:$BX$1,0),FALSE)+VLOOKUP($B100,Kraftvärmeprod!$B$1:$BX$550,MATCH(AZ$2,Kraftvärmeprod!$B$1:$BX$1,0),FALSE))/$AC100,"")</f>
        <v/>
      </c>
      <c r="BA100" s="77" t="str">
        <f>IF($AY100="ja",(VLOOKUP($B100,'Egen hetvattenprod'!$B$1:$BX$550,MATCH(BA$2,'Egen hetvattenprod'!$B$1:$BX$1,0),FALSE)+VLOOKUP($B100,Kraftvärmeprod!$B$1:$BX$550,MATCH(BA$2,Kraftvärmeprod!$B$1:$BX$1,0),FALSE))/$AC100,"")</f>
        <v/>
      </c>
      <c r="BB100" s="77" t="str">
        <f>IF($AY100="ja",(VLOOKUP($B100,'Egen hetvattenprod'!$B$1:$BX$550,MATCH(BB$2,'Egen hetvattenprod'!$B$1:$BX$1,0),FALSE)+VLOOKUP($B100,Kraftvärmeprod!$B$1:$BX$550,MATCH(BB$2,Kraftvärmeprod!$B$1:$BX$1,0),FALSE))/$AC100,"")</f>
        <v/>
      </c>
      <c r="BC100" s="77" t="str">
        <f>IF($AY100="ja",(VLOOKUP($B100,'Egen hetvattenprod'!$B$1:$BX$550,MATCH(BC$2,'Egen hetvattenprod'!$B$1:$BX$1,0),FALSE)+VLOOKUP($B100,Kraftvärmeprod!$B$1:$BX$550,MATCH(BC$2,Kraftvärmeprod!$B$1:$BX$1,0),FALSE))/$AC100,"")</f>
        <v/>
      </c>
      <c r="BD100" s="77" t="str">
        <f>IF($AY100="ja",(VLOOKUP($B100,'Egen hetvattenprod'!$B$1:$BX$550,MATCH(BD$2,'Egen hetvattenprod'!$B$1:$BX$1,0),FALSE)+VLOOKUP($B100,Kraftvärmeprod!$B$1:$BX$550,MATCH(BD$2,Kraftvärmeprod!$B$1:$BX$1,0),FALSE))/$AC100,"")</f>
        <v/>
      </c>
      <c r="BF100" s="63" t="str">
        <f t="shared" si="11"/>
        <v>Nej</v>
      </c>
      <c r="BG100" s="63" t="str">
        <f>IF($BF100="ja",VLOOKUP($B100,'Egen hetvattenprod'!$B$1:$BX$550,MATCH("Andelen klimatgaser med fossilt ursprung för avfall ()",'Egen hetvattenprod'!$B$1:$BX$1,0),FALSE),"")</f>
        <v/>
      </c>
      <c r="BH100" s="63" t="str">
        <f>IF($BF100="ja",VLOOKUP($B100,Kraftvärmeprod!$B$1:$BX$550,MATCH("Andelen klimatgaser med fossilt ursprung för avfall ()",Kraftvärmeprod!$B$1:$BX$1,0),FALSE),"")</f>
        <v/>
      </c>
      <c r="BI100" s="63" t="str">
        <f>IF($BF100="ja",VLOOKUP($B100,'Egen hetvattenprod'!$B$1:$BX$550,MATCH("Avfall (GWh)",'Egen hetvattenprod'!$B$1:$BX$1,0),FALSE),"")</f>
        <v/>
      </c>
      <c r="BJ100" s="63" t="str">
        <f>IF($BF100="ja",VLOOKUP($B100,'Slutlig allokering kvv'!$B$1:$BX$550,MATCH("Avfall (GWh)",'Slutlig allokering kvv'!$B$1:$BX$1,0),FALSE),"")</f>
        <v/>
      </c>
      <c r="BK100" s="63" t="str">
        <f>IF($BF100="ja",VLOOKUP($B100,'Köpt hetvatten'!$B$1:$BX$550,MATCH("Avfall i köpt hetvatten",'Köpt hetvatten'!$B$1:$BX$1,0),FALSE),"")</f>
        <v/>
      </c>
      <c r="BL100" s="63" t="str">
        <f>IF($BF100="ja",VLOOKUP($B100,'Egen hetvattenprod'!$B$1:$BX$550,MATCH("Värde enligt ovan. (%)",'Egen hetvattenprod'!$B$1:$BX$1,0),FALSE),"")</f>
        <v/>
      </c>
      <c r="BM100" s="63" t="str">
        <f>IF($BF100="ja",VLOOKUP($B100,Kraftvärmeprod!$B$1:$BX$550,MATCH("Värde enligt ovan. (%)",Kraftvärmeprod!$B$1:$BX$1,0),FALSE),"")</f>
        <v/>
      </c>
    </row>
    <row r="101" spans="1:65" x14ac:dyDescent="0.45">
      <c r="A101" s="63" t="s">
        <v>560</v>
      </c>
      <c r="B101" s="63" t="s">
        <v>561</v>
      </c>
      <c r="C101" s="63">
        <f>VLOOKUP($B101,'Tillförd energi'!$B$1:$AI$720,MATCH(C$2,'Tillförd energi'!$B$1:$AQ$1,0),FALSE)</f>
        <v>0</v>
      </c>
      <c r="D101" s="63">
        <f>VLOOKUP($B101,'Tillförd energi'!$B$1:$AI$720,MATCH(D$2,'Tillförd energi'!$B$1:$AQ$1,0),FALSE)</f>
        <v>0</v>
      </c>
      <c r="E101" s="63">
        <f>VLOOKUP($B101,'Tillförd energi'!$B$1:$AI$720,MATCH(E$2,'Tillförd energi'!$B$1:$AQ$1,0),FALSE)</f>
        <v>0</v>
      </c>
      <c r="F101" s="63">
        <f>VLOOKUP($B101,'Tillförd energi'!$B$1:$AI$720,MATCH(F$2,'Tillförd energi'!$B$1:$AQ$1,0),FALSE)</f>
        <v>0</v>
      </c>
      <c r="G101" s="63">
        <f>VLOOKUP($B101,'Tillförd energi'!$B$1:$AI$720,MATCH(G$2,'Tillförd energi'!$B$1:$AQ$1,0),FALSE)</f>
        <v>0</v>
      </c>
      <c r="H101" s="63">
        <f>VLOOKUP($B101,'Tillförd energi'!$B$1:$AI$720,MATCH(H$2,'Tillförd energi'!$B$1:$AQ$1,0),FALSE)</f>
        <v>0</v>
      </c>
      <c r="I101" s="63">
        <f>VLOOKUP($B101,'Tillförd energi'!$B$1:$AI$720,MATCH(I$2,'Tillförd energi'!$B$1:$AQ$1,0),FALSE)</f>
        <v>0</v>
      </c>
      <c r="J101" s="63">
        <f>VLOOKUP($B101,'Tillförd energi'!$B$1:$AI$720,MATCH(J$2,'Tillförd energi'!$B$1:$AQ$1,0),FALSE)</f>
        <v>0</v>
      </c>
      <c r="K101" s="63">
        <f>VLOOKUP($B101,'Tillförd energi'!$B$1:$AI$720,MATCH(K$2,'Tillförd energi'!$B$1:$AQ$1,0),FALSE)</f>
        <v>0</v>
      </c>
      <c r="L101" s="63">
        <f>VLOOKUP($B101,'Tillförd energi'!$B$1:$AI$720,MATCH(L$2,'Tillförd energi'!$B$1:$AQ$1,0),FALSE)</f>
        <v>0</v>
      </c>
      <c r="M101" s="63">
        <f>VLOOKUP($B101,'Tillförd energi'!$B$1:$AI$720,MATCH(M$2,'Tillförd energi'!$B$1:$AQ$1,0),FALSE)</f>
        <v>0</v>
      </c>
      <c r="N101" s="63">
        <f>VLOOKUP($B101,'Tillförd energi'!$B$1:$AI$720,MATCH(N$2,'Tillförd energi'!$B$1:$AQ$1,0),FALSE)</f>
        <v>0</v>
      </c>
      <c r="O101" s="63">
        <f>VLOOKUP($B101,'Tillförd energi'!$B$1:$AI$720,MATCH(O$2,'Tillförd energi'!$B$1:$AQ$1,0),FALSE)</f>
        <v>0</v>
      </c>
      <c r="P101" s="63">
        <f>VLOOKUP($B101,'Tillförd energi'!$B$1:$AI$720,MATCH(P$2,'Tillförd energi'!$B$1:$AQ$1,0),FALSE)</f>
        <v>0</v>
      </c>
      <c r="Q101" s="63">
        <f>VLOOKUP($B101,'Tillförd energi'!$B$1:$AI$720,MATCH(Q$2,'Tillförd energi'!$B$1:$AQ$1,0),FALSE)</f>
        <v>0</v>
      </c>
      <c r="R101" s="63">
        <f>VLOOKUP($B101,'Tillförd energi'!$B$1:$AI$720,MATCH(R$2,'Tillförd energi'!$B$1:$AQ$1,0),FALSE)</f>
        <v>0</v>
      </c>
      <c r="S101" s="63">
        <f>VLOOKUP($B101,'Tillförd energi'!$B$1:$AI$720,MATCH(S$2,'Tillförd energi'!$B$1:$AQ$1,0),FALSE)</f>
        <v>0</v>
      </c>
      <c r="T101" s="63">
        <f>VLOOKUP($B101,'Tillförd energi'!$B$1:$AI$720,MATCH(T$2,'Tillförd energi'!$B$1:$AQ$1,0),FALSE)</f>
        <v>0</v>
      </c>
      <c r="U101" s="63">
        <f>VLOOKUP($B101,'Tillförd energi'!$B$1:$AI$720,MATCH(U$2,'Tillförd energi'!$B$1:$AQ$1,0),FALSE)</f>
        <v>0</v>
      </c>
      <c r="V101" s="63">
        <f>VLOOKUP($B101,'Tillförd energi'!$B$1:$AI$720,MATCH(V$2,'Tillförd energi'!$B$1:$AQ$1,0),FALSE)</f>
        <v>0</v>
      </c>
      <c r="W101" s="63">
        <f>VLOOKUP($B101,'Tillförd energi'!$B$1:$AI$720,MATCH(W$2,'Tillförd energi'!$B$1:$AQ$1,0),FALSE)</f>
        <v>0</v>
      </c>
      <c r="X101" s="63">
        <f>VLOOKUP($B101,'Tillförd energi'!$B$1:$AI$720,MATCH(X$2,'Tillförd energi'!$B$1:$AQ$1,0),FALSE)</f>
        <v>0</v>
      </c>
      <c r="Y101" s="63">
        <f>VLOOKUP($B101,'Tillförd energi'!$B$1:$AI$720,MATCH(Y$2,'Tillförd energi'!$B$1:$AQ$1,0),FALSE)</f>
        <v>0</v>
      </c>
      <c r="Z101" s="63">
        <f>VLOOKUP($B101,'Tillförd energi'!$B$1:$AI$720,MATCH(Z$2,'Tillförd energi'!$B$1:$AQ$1,0),FALSE)</f>
        <v>0</v>
      </c>
      <c r="AA101" s="63">
        <f>VLOOKUP($B101,'Tillförd energi'!$B$1:$AI$720,MATCH(AA$2,'Tillförd energi'!$B$1:$AQ$1,0),FALSE)</f>
        <v>0</v>
      </c>
      <c r="AB101" s="63">
        <f>VLOOKUP($B101,'Tillförd energi'!$B$1:$AI$720,MATCH(AB$2,'Tillförd energi'!$B$1:$AQ$1,0),FALSE)</f>
        <v>0</v>
      </c>
      <c r="AC101" s="63">
        <f>VLOOKUP($B101,'Tillförd energi'!$B$1:$AI$720,MATCH(AC$2,'Tillförd energi'!$B$1:$AQ$1,0),FALSE)</f>
        <v>0</v>
      </c>
      <c r="AD101" s="63">
        <f>VLOOKUP($B101,'Tillförd energi'!$B$1:$AI$720,MATCH(AD$2,'Tillförd energi'!$B$1:$AQ$1,0),FALSE)</f>
        <v>0</v>
      </c>
      <c r="AE101" s="63">
        <f>VLOOKUP($B101,'Tillförd energi'!$B$1:$AI$720,MATCH(AE$2,'Tillförd energi'!$B$1:$AQ$1,0),FALSE)</f>
        <v>0</v>
      </c>
      <c r="AF101" s="63">
        <f>VLOOKUP($B101,'Tillförd energi'!$B$1:$AI$720,MATCH(AF$2,'Tillförd energi'!$B$1:$AQ$1,0),FALSE)</f>
        <v>0</v>
      </c>
      <c r="AG101" s="63">
        <f>IFERROR(VLOOKUP(B101,Miljö!$B$1:$AC$550,MATCH("Köpt mängd produktionsspecifik fjärrvärme:",Miljö!$B$1:$AC$1,0),FALSE)/1,0)</f>
        <v>0</v>
      </c>
      <c r="AI101" s="63">
        <f t="shared" si="6"/>
        <v>0</v>
      </c>
      <c r="AJ101" s="63" t="str">
        <f>IF(ISERROR(1/VLOOKUP($B101,Leveranser!$B$1:$S$500,MATCH("såld värme (gwh)",Leveranser!$B$1:$S$1,0),FALSE)),"",VLOOKUP($B101,Leveranser!$B$1:$S$500,MATCH("såld värme (gwh)",Leveranser!$B$1:$S$1,0),FALSE))</f>
        <v/>
      </c>
      <c r="AM101" s="63" t="str">
        <f>IF(B101&lt;&gt;"",IF(VLOOKUP($B101,Totalt!$B$1:$AQ$554,MATCH("Kvalitetsgranskad:",Totalt!$B$1:$AQ$1,0),FALSE)="ja",VLOOKUP($B101,Miljö!$B$1:$AG$479,MATCH(AM$2,Miljö!$B$1:$AK$1,0),FALSE),""),"")</f>
        <v/>
      </c>
      <c r="AN101" s="63" t="str">
        <f>IF(AM101="ja",VLOOKUP($B101,Miljö!$B$1:$J$479,MATCH("Typ av ursprungsspecificerad el   (Om inget värde anges används Nordisk residualmix, se inforuta) ()",Miljö!$B$1:$J$1,0),FALSE),IF(AM101="nej","Nordisk residualel",""))</f>
        <v/>
      </c>
      <c r="AO101" s="63" t="str">
        <f>IF(AM101="","",VLOOKUP($B101,Miljö!$B$1:$J$479,MATCH("Fossilandel för ursprungspecificerad el ()",Miljö!$B$1:$J$1,0),FALSE))</f>
        <v/>
      </c>
      <c r="AQ101" s="63" t="str">
        <f t="shared" si="7"/>
        <v/>
      </c>
      <c r="AS101" s="63" t="str">
        <f t="shared" si="8"/>
        <v>Nej</v>
      </c>
      <c r="AT101" s="63" t="str">
        <f>IF(AS101="ja",VLOOKUP($B101,Miljö!$B$1:$P$500,MATCH("Fossil andel i procent (%)",Miljö!$B$1:$P$1,0),FALSE)/100,"")</f>
        <v/>
      </c>
      <c r="AV101" s="63" t="str">
        <f t="shared" si="9"/>
        <v>Nej</v>
      </c>
      <c r="AW101" s="63" t="str">
        <f>IF(AV101="ja",VLOOKUP($B101,'Egen hetvattenprod'!$B$1:$AO$500,MATCH("Värmekälla till värmepumpar ()",'Egen hetvattenprod'!$B$1:$AO$1,0),FALSE),"")</f>
        <v/>
      </c>
      <c r="AY101" s="63" t="str">
        <f t="shared" si="10"/>
        <v>Nej</v>
      </c>
      <c r="AZ101" s="77" t="str">
        <f>IF($AY101="ja",(VLOOKUP($B101,'Egen hetvattenprod'!$B$1:$BX$550,MATCH(AZ$2,'Egen hetvattenprod'!$B$1:$BX$1,0),FALSE)+VLOOKUP($B101,Kraftvärmeprod!$B$1:$BX$550,MATCH(AZ$2,Kraftvärmeprod!$B$1:$BX$1,0),FALSE))/$AC101,"")</f>
        <v/>
      </c>
      <c r="BA101" s="77" t="str">
        <f>IF($AY101="ja",(VLOOKUP($B101,'Egen hetvattenprod'!$B$1:$BX$550,MATCH(BA$2,'Egen hetvattenprod'!$B$1:$BX$1,0),FALSE)+VLOOKUP($B101,Kraftvärmeprod!$B$1:$BX$550,MATCH(BA$2,Kraftvärmeprod!$B$1:$BX$1,0),FALSE))/$AC101,"")</f>
        <v/>
      </c>
      <c r="BB101" s="77" t="str">
        <f>IF($AY101="ja",(VLOOKUP($B101,'Egen hetvattenprod'!$B$1:$BX$550,MATCH(BB$2,'Egen hetvattenprod'!$B$1:$BX$1,0),FALSE)+VLOOKUP($B101,Kraftvärmeprod!$B$1:$BX$550,MATCH(BB$2,Kraftvärmeprod!$B$1:$BX$1,0),FALSE))/$AC101,"")</f>
        <v/>
      </c>
      <c r="BC101" s="77" t="str">
        <f>IF($AY101="ja",(VLOOKUP($B101,'Egen hetvattenprod'!$B$1:$BX$550,MATCH(BC$2,'Egen hetvattenprod'!$B$1:$BX$1,0),FALSE)+VLOOKUP($B101,Kraftvärmeprod!$B$1:$BX$550,MATCH(BC$2,Kraftvärmeprod!$B$1:$BX$1,0),FALSE))/$AC101,"")</f>
        <v/>
      </c>
      <c r="BD101" s="77" t="str">
        <f>IF($AY101="ja",(VLOOKUP($B101,'Egen hetvattenprod'!$B$1:$BX$550,MATCH(BD$2,'Egen hetvattenprod'!$B$1:$BX$1,0),FALSE)+VLOOKUP($B101,Kraftvärmeprod!$B$1:$BX$550,MATCH(BD$2,Kraftvärmeprod!$B$1:$BX$1,0),FALSE))/$AC101,"")</f>
        <v/>
      </c>
      <c r="BF101" s="63" t="str">
        <f t="shared" si="11"/>
        <v>Nej</v>
      </c>
      <c r="BG101" s="63" t="str">
        <f>IF($BF101="ja",VLOOKUP($B101,'Egen hetvattenprod'!$B$1:$BX$550,MATCH("Andelen klimatgaser med fossilt ursprung för avfall ()",'Egen hetvattenprod'!$B$1:$BX$1,0),FALSE),"")</f>
        <v/>
      </c>
      <c r="BH101" s="63" t="str">
        <f>IF($BF101="ja",VLOOKUP($B101,Kraftvärmeprod!$B$1:$BX$550,MATCH("Andelen klimatgaser med fossilt ursprung för avfall ()",Kraftvärmeprod!$B$1:$BX$1,0),FALSE),"")</f>
        <v/>
      </c>
      <c r="BI101" s="63" t="str">
        <f>IF($BF101="ja",VLOOKUP($B101,'Egen hetvattenprod'!$B$1:$BX$550,MATCH("Avfall (GWh)",'Egen hetvattenprod'!$B$1:$BX$1,0),FALSE),"")</f>
        <v/>
      </c>
      <c r="BJ101" s="63" t="str">
        <f>IF($BF101="ja",VLOOKUP($B101,'Slutlig allokering kvv'!$B$1:$BX$550,MATCH("Avfall (GWh)",'Slutlig allokering kvv'!$B$1:$BX$1,0),FALSE),"")</f>
        <v/>
      </c>
      <c r="BK101" s="63" t="str">
        <f>IF($BF101="ja",VLOOKUP($B101,'Köpt hetvatten'!$B$1:$BX$550,MATCH("Avfall i köpt hetvatten",'Köpt hetvatten'!$B$1:$BX$1,0),FALSE),"")</f>
        <v/>
      </c>
      <c r="BL101" s="63" t="str">
        <f>IF($BF101="ja",VLOOKUP($B101,'Egen hetvattenprod'!$B$1:$BX$550,MATCH("Värde enligt ovan. (%)",'Egen hetvattenprod'!$B$1:$BX$1,0),FALSE),"")</f>
        <v/>
      </c>
      <c r="BM101" s="63" t="str">
        <f>IF($BF101="ja",VLOOKUP($B101,Kraftvärmeprod!$B$1:$BX$550,MATCH("Värde enligt ovan. (%)",Kraftvärmeprod!$B$1:$BX$1,0),FALSE),"")</f>
        <v/>
      </c>
    </row>
    <row r="102" spans="1:65" x14ac:dyDescent="0.45">
      <c r="A102" s="63" t="s">
        <v>556</v>
      </c>
      <c r="B102" s="63" t="s">
        <v>558</v>
      </c>
      <c r="C102" s="63">
        <f>VLOOKUP($B102,'Tillförd energi'!$B$1:$AI$720,MATCH(C$2,'Tillförd energi'!$B$1:$AQ$1,0),FALSE)</f>
        <v>0</v>
      </c>
      <c r="D102" s="63">
        <f>VLOOKUP($B102,'Tillförd energi'!$B$1:$AI$720,MATCH(D$2,'Tillförd energi'!$B$1:$AQ$1,0),FALSE)</f>
        <v>4.2759999999999998</v>
      </c>
      <c r="E102" s="63">
        <f>VLOOKUP($B102,'Tillförd energi'!$B$1:$AI$720,MATCH(E$2,'Tillförd energi'!$B$1:$AQ$1,0),FALSE)</f>
        <v>0</v>
      </c>
      <c r="F102" s="63">
        <f>VLOOKUP($B102,'Tillförd energi'!$B$1:$AI$720,MATCH(F$2,'Tillförd energi'!$B$1:$AQ$1,0),FALSE)</f>
        <v>0</v>
      </c>
      <c r="G102" s="63">
        <f>VLOOKUP($B102,'Tillförd energi'!$B$1:$AI$720,MATCH(G$2,'Tillförd energi'!$B$1:$AQ$1,0),FALSE)</f>
        <v>0</v>
      </c>
      <c r="H102" s="63">
        <f>VLOOKUP($B102,'Tillförd energi'!$B$1:$AI$720,MATCH(H$2,'Tillförd energi'!$B$1:$AQ$1,0),FALSE)</f>
        <v>0</v>
      </c>
      <c r="I102" s="63">
        <f>VLOOKUP($B102,'Tillförd energi'!$B$1:$AI$720,MATCH(I$2,'Tillförd energi'!$B$1:$AQ$1,0),FALSE)</f>
        <v>0</v>
      </c>
      <c r="J102" s="63">
        <f>VLOOKUP($B102,'Tillförd energi'!$B$1:$AI$720,MATCH(J$2,'Tillförd energi'!$B$1:$AQ$1,0),FALSE)</f>
        <v>0</v>
      </c>
      <c r="K102" s="63">
        <f>VLOOKUP($B102,'Tillförd energi'!$B$1:$AI$720,MATCH(K$2,'Tillförd energi'!$B$1:$AQ$1,0),FALSE)</f>
        <v>0</v>
      </c>
      <c r="L102" s="63">
        <f>VLOOKUP($B102,'Tillförd energi'!$B$1:$AI$720,MATCH(L$2,'Tillförd energi'!$B$1:$AQ$1,0),FALSE)</f>
        <v>0</v>
      </c>
      <c r="M102" s="63">
        <f>VLOOKUP($B102,'Tillförd energi'!$B$1:$AI$720,MATCH(M$2,'Tillförd energi'!$B$1:$AQ$1,0),FALSE)</f>
        <v>12.096</v>
      </c>
      <c r="N102" s="63">
        <f>VLOOKUP($B102,'Tillförd energi'!$B$1:$AI$720,MATCH(N$2,'Tillförd energi'!$B$1:$AQ$1,0),FALSE)</f>
        <v>110.331</v>
      </c>
      <c r="O102" s="63">
        <f>VLOOKUP($B102,'Tillförd energi'!$B$1:$AI$720,MATCH(O$2,'Tillförd energi'!$B$1:$AQ$1,0),FALSE)</f>
        <v>0</v>
      </c>
      <c r="P102" s="63">
        <f>VLOOKUP($B102,'Tillförd energi'!$B$1:$AI$720,MATCH(P$2,'Tillförd energi'!$B$1:$AQ$1,0),FALSE)</f>
        <v>0</v>
      </c>
      <c r="Q102" s="63">
        <f>VLOOKUP($B102,'Tillförd energi'!$B$1:$AI$720,MATCH(Q$2,'Tillförd energi'!$B$1:$AQ$1,0),FALSE)</f>
        <v>0</v>
      </c>
      <c r="R102" s="63">
        <f>VLOOKUP($B102,'Tillförd energi'!$B$1:$AI$720,MATCH(R$2,'Tillförd energi'!$B$1:$AQ$1,0),FALSE)</f>
        <v>0</v>
      </c>
      <c r="S102" s="63">
        <f>VLOOKUP($B102,'Tillförd energi'!$B$1:$AI$720,MATCH(S$2,'Tillförd energi'!$B$1:$AQ$1,0),FALSE)</f>
        <v>0</v>
      </c>
      <c r="T102" s="63">
        <f>VLOOKUP($B102,'Tillförd energi'!$B$1:$AI$720,MATCH(T$2,'Tillförd energi'!$B$1:$AQ$1,0),FALSE)</f>
        <v>0</v>
      </c>
      <c r="U102" s="63">
        <f>VLOOKUP($B102,'Tillförd energi'!$B$1:$AI$720,MATCH(U$2,'Tillförd energi'!$B$1:$AQ$1,0),FALSE)</f>
        <v>0</v>
      </c>
      <c r="V102" s="63">
        <f>VLOOKUP($B102,'Tillförd energi'!$B$1:$AI$720,MATCH(V$2,'Tillförd energi'!$B$1:$AQ$1,0),FALSE)</f>
        <v>0</v>
      </c>
      <c r="W102" s="63">
        <f>VLOOKUP($B102,'Tillförd energi'!$B$1:$AI$720,MATCH(W$2,'Tillförd energi'!$B$1:$AQ$1,0),FALSE)</f>
        <v>0</v>
      </c>
      <c r="X102" s="63">
        <f>VLOOKUP($B102,'Tillförd energi'!$B$1:$AI$720,MATCH(X$2,'Tillförd energi'!$B$1:$AQ$1,0),FALSE)</f>
        <v>0</v>
      </c>
      <c r="Y102" s="63">
        <f>VLOOKUP($B102,'Tillförd energi'!$B$1:$AI$720,MATCH(Y$2,'Tillförd energi'!$B$1:$AQ$1,0),FALSE)</f>
        <v>0</v>
      </c>
      <c r="Z102" s="63">
        <f>VLOOKUP($B102,'Tillförd energi'!$B$1:$AI$720,MATCH(Z$2,'Tillförd energi'!$B$1:$AQ$1,0),FALSE)</f>
        <v>0</v>
      </c>
      <c r="AA102" s="63">
        <f>VLOOKUP($B102,'Tillförd energi'!$B$1:$AI$720,MATCH(AA$2,'Tillförd energi'!$B$1:$AQ$1,0),FALSE)</f>
        <v>0</v>
      </c>
      <c r="AB102" s="63">
        <f>VLOOKUP($B102,'Tillförd energi'!$B$1:$AI$720,MATCH(AB$2,'Tillförd energi'!$B$1:$AQ$1,0),FALSE)</f>
        <v>0</v>
      </c>
      <c r="AC102" s="63">
        <f>VLOOKUP($B102,'Tillförd energi'!$B$1:$AI$720,MATCH(AC$2,'Tillförd energi'!$B$1:$AQ$1,0),FALSE)</f>
        <v>9</v>
      </c>
      <c r="AD102" s="63">
        <f>VLOOKUP($B102,'Tillförd energi'!$B$1:$AI$720,MATCH(AD$2,'Tillförd energi'!$B$1:$AQ$1,0),FALSE)</f>
        <v>0</v>
      </c>
      <c r="AE102" s="63">
        <f>VLOOKUP($B102,'Tillförd energi'!$B$1:$AI$720,MATCH(AE$2,'Tillförd energi'!$B$1:$AQ$1,0),FALSE)</f>
        <v>0</v>
      </c>
      <c r="AF102" s="63">
        <f>VLOOKUP($B102,'Tillförd energi'!$B$1:$AI$720,MATCH(AF$2,'Tillförd energi'!$B$1:$AQ$1,0),FALSE)</f>
        <v>3.39</v>
      </c>
      <c r="AG102" s="63">
        <f>IFERROR(VLOOKUP(B102,Miljö!$B$1:$AC$550,MATCH("Köpt mängd produktionsspecifik fjärrvärme:",Miljö!$B$1:$AC$1,0),FALSE)/1,0)</f>
        <v>0</v>
      </c>
      <c r="AI102" s="63">
        <f t="shared" si="6"/>
        <v>139.09299999999999</v>
      </c>
      <c r="AJ102" s="63">
        <f>IF(ISERROR(1/VLOOKUP($B102,Leveranser!$B$1:$S$500,MATCH("såld värme (gwh)",Leveranser!$B$1:$S$1,0),FALSE)),"",VLOOKUP($B102,Leveranser!$B$1:$S$500,MATCH("såld värme (gwh)",Leveranser!$B$1:$S$1,0),FALSE))</f>
        <v>98.884</v>
      </c>
      <c r="AM102" s="63" t="str">
        <f>IF(B102&lt;&gt;"",IF(VLOOKUP($B102,Totalt!$B$1:$AQ$554,MATCH("Kvalitetsgranskad:",Totalt!$B$1:$AQ$1,0),FALSE)="ja",VLOOKUP($B102,Miljö!$B$1:$AG$479,MATCH(AM$2,Miljö!$B$1:$AK$1,0),FALSE),""),"")</f>
        <v>Ja</v>
      </c>
      <c r="AN102" s="63" t="str">
        <f>IF(AM102="ja",VLOOKUP($B102,Miljö!$B$1:$J$479,MATCH("Typ av ursprungsspecificerad el   (Om inget värde anges används Nordisk residualmix, se inforuta) ()",Miljö!$B$1:$J$1,0),FALSE),IF(AM102="nej","Nordisk residualel",""))</f>
        <v>'Vattenkraft'</v>
      </c>
      <c r="AO102" s="63">
        <f>IF(AM102="","",VLOOKUP($B102,Miljö!$B$1:$J$479,MATCH("Fossilandel för ursprungspecificerad el ()",Miljö!$B$1:$J$1,0),FALSE))</f>
        <v>0</v>
      </c>
      <c r="AQ102" s="63">
        <f t="shared" si="7"/>
        <v>1</v>
      </c>
      <c r="AS102" s="63" t="str">
        <f t="shared" si="8"/>
        <v>Nej</v>
      </c>
      <c r="AT102" s="63" t="str">
        <f>IF(AS102="ja",VLOOKUP($B102,Miljö!$B$1:$P$500,MATCH("Fossil andel i procent (%)",Miljö!$B$1:$P$1,0),FALSE)/100,"")</f>
        <v/>
      </c>
      <c r="AV102" s="63" t="str">
        <f t="shared" si="9"/>
        <v>Nej</v>
      </c>
      <c r="AW102" s="63" t="str">
        <f>IF(AV102="ja",VLOOKUP($B102,'Egen hetvattenprod'!$B$1:$AO$500,MATCH("Värmekälla till värmepumpar ()",'Egen hetvattenprod'!$B$1:$AO$1,0),FALSE),"")</f>
        <v/>
      </c>
      <c r="AY102" s="63" t="str">
        <f t="shared" si="10"/>
        <v>Ja</v>
      </c>
      <c r="AZ102" s="77">
        <f>IF($AY102="ja",(VLOOKUP($B102,'Egen hetvattenprod'!$B$1:$BX$550,MATCH(AZ$2,'Egen hetvattenprod'!$B$1:$BX$1,0),FALSE)+VLOOKUP($B102,Kraftvärmeprod!$B$1:$BX$550,MATCH(AZ$2,Kraftvärmeprod!$B$1:$BX$1,0),FALSE))/$AC102,"")</f>
        <v>1</v>
      </c>
      <c r="BA102" s="77">
        <f>IF($AY102="ja",(VLOOKUP($B102,'Egen hetvattenprod'!$B$1:$BX$550,MATCH(BA$2,'Egen hetvattenprod'!$B$1:$BX$1,0),FALSE)+VLOOKUP($B102,Kraftvärmeprod!$B$1:$BX$550,MATCH(BA$2,Kraftvärmeprod!$B$1:$BX$1,0),FALSE))/$AC102,"")</f>
        <v>0</v>
      </c>
      <c r="BB102" s="77">
        <f>IF($AY102="ja",(VLOOKUP($B102,'Egen hetvattenprod'!$B$1:$BX$550,MATCH(BB$2,'Egen hetvattenprod'!$B$1:$BX$1,0),FALSE)+VLOOKUP($B102,Kraftvärmeprod!$B$1:$BX$550,MATCH(BB$2,Kraftvärmeprod!$B$1:$BX$1,0),FALSE))/$AC102,"")</f>
        <v>0</v>
      </c>
      <c r="BC102" s="77">
        <f>IF($AY102="ja",(VLOOKUP($B102,'Egen hetvattenprod'!$B$1:$BX$550,MATCH(BC$2,'Egen hetvattenprod'!$B$1:$BX$1,0),FALSE)+VLOOKUP($B102,Kraftvärmeprod!$B$1:$BX$550,MATCH(BC$2,Kraftvärmeprod!$B$1:$BX$1,0),FALSE))/$AC102,"")</f>
        <v>0</v>
      </c>
      <c r="BD102" s="77">
        <f>IF($AY102="ja",(VLOOKUP($B102,'Egen hetvattenprod'!$B$1:$BX$550,MATCH(BD$2,'Egen hetvattenprod'!$B$1:$BX$1,0),FALSE)+VLOOKUP($B102,Kraftvärmeprod!$B$1:$BX$550,MATCH(BD$2,Kraftvärmeprod!$B$1:$BX$1,0),FALSE))/$AC102,"")</f>
        <v>0</v>
      </c>
      <c r="BF102" s="63" t="str">
        <f t="shared" si="11"/>
        <v>Nej</v>
      </c>
      <c r="BG102" s="63" t="str">
        <f>IF($BF102="ja",VLOOKUP($B102,'Egen hetvattenprod'!$B$1:$BX$550,MATCH("Andelen klimatgaser med fossilt ursprung för avfall ()",'Egen hetvattenprod'!$B$1:$BX$1,0),FALSE),"")</f>
        <v/>
      </c>
      <c r="BH102" s="63" t="str">
        <f>IF($BF102="ja",VLOOKUP($B102,Kraftvärmeprod!$B$1:$BX$550,MATCH("Andelen klimatgaser med fossilt ursprung för avfall ()",Kraftvärmeprod!$B$1:$BX$1,0),FALSE),"")</f>
        <v/>
      </c>
      <c r="BI102" s="63" t="str">
        <f>IF($BF102="ja",VLOOKUP($B102,'Egen hetvattenprod'!$B$1:$BX$550,MATCH("Avfall (GWh)",'Egen hetvattenprod'!$B$1:$BX$1,0),FALSE),"")</f>
        <v/>
      </c>
      <c r="BJ102" s="63" t="str">
        <f>IF($BF102="ja",VLOOKUP($B102,'Slutlig allokering kvv'!$B$1:$BX$550,MATCH("Avfall (GWh)",'Slutlig allokering kvv'!$B$1:$BX$1,0),FALSE),"")</f>
        <v/>
      </c>
      <c r="BK102" s="63" t="str">
        <f>IF($BF102="ja",VLOOKUP($B102,'Köpt hetvatten'!$B$1:$BX$550,MATCH("Avfall i köpt hetvatten",'Köpt hetvatten'!$B$1:$BX$1,0),FALSE),"")</f>
        <v/>
      </c>
      <c r="BL102" s="63" t="str">
        <f>IF($BF102="ja",VLOOKUP($B102,'Egen hetvattenprod'!$B$1:$BX$550,MATCH("Värde enligt ovan. (%)",'Egen hetvattenprod'!$B$1:$BX$1,0),FALSE),"")</f>
        <v/>
      </c>
      <c r="BM102" s="63" t="str">
        <f>IF($BF102="ja",VLOOKUP($B102,Kraftvärmeprod!$B$1:$BX$550,MATCH("Värde enligt ovan. (%)",Kraftvärmeprod!$B$1:$BX$1,0),FALSE),"")</f>
        <v/>
      </c>
    </row>
    <row r="103" spans="1:65" x14ac:dyDescent="0.45">
      <c r="A103" s="63" t="s">
        <v>556</v>
      </c>
      <c r="B103" s="63" t="s">
        <v>555</v>
      </c>
      <c r="C103" s="63">
        <f>VLOOKUP($B103,'Tillförd energi'!$B$1:$AI$720,MATCH(C$2,'Tillförd energi'!$B$1:$AQ$1,0),FALSE)</f>
        <v>0</v>
      </c>
      <c r="D103" s="63">
        <f>VLOOKUP($B103,'Tillförd energi'!$B$1:$AI$720,MATCH(D$2,'Tillförd energi'!$B$1:$AQ$1,0),FALSE)</f>
        <v>2.5000000000000001E-2</v>
      </c>
      <c r="E103" s="63">
        <f>VLOOKUP($B103,'Tillförd energi'!$B$1:$AI$720,MATCH(E$2,'Tillförd energi'!$B$1:$AQ$1,0),FALSE)</f>
        <v>0</v>
      </c>
      <c r="F103" s="63">
        <f>VLOOKUP($B103,'Tillförd energi'!$B$1:$AI$720,MATCH(F$2,'Tillförd energi'!$B$1:$AQ$1,0),FALSE)</f>
        <v>0</v>
      </c>
      <c r="G103" s="63">
        <f>VLOOKUP($B103,'Tillförd energi'!$B$1:$AI$720,MATCH(G$2,'Tillförd energi'!$B$1:$AQ$1,0),FALSE)</f>
        <v>0</v>
      </c>
      <c r="H103" s="63">
        <f>VLOOKUP($B103,'Tillförd energi'!$B$1:$AI$720,MATCH(H$2,'Tillförd energi'!$B$1:$AQ$1,0),FALSE)</f>
        <v>0</v>
      </c>
      <c r="I103" s="63">
        <f>VLOOKUP($B103,'Tillförd energi'!$B$1:$AI$720,MATCH(I$2,'Tillförd energi'!$B$1:$AQ$1,0),FALSE)</f>
        <v>0</v>
      </c>
      <c r="J103" s="63">
        <f>VLOOKUP($B103,'Tillförd energi'!$B$1:$AI$720,MATCH(J$2,'Tillförd energi'!$B$1:$AQ$1,0),FALSE)</f>
        <v>0</v>
      </c>
      <c r="K103" s="63">
        <f>VLOOKUP($B103,'Tillförd energi'!$B$1:$AI$720,MATCH(K$2,'Tillförd energi'!$B$1:$AQ$1,0),FALSE)</f>
        <v>0</v>
      </c>
      <c r="L103" s="63">
        <f>VLOOKUP($B103,'Tillförd energi'!$B$1:$AI$720,MATCH(L$2,'Tillförd energi'!$B$1:$AQ$1,0),FALSE)</f>
        <v>0</v>
      </c>
      <c r="M103" s="63">
        <f>VLOOKUP($B103,'Tillförd energi'!$B$1:$AI$720,MATCH(M$2,'Tillförd energi'!$B$1:$AQ$1,0),FALSE)</f>
        <v>0</v>
      </c>
      <c r="N103" s="63">
        <f>VLOOKUP($B103,'Tillförd energi'!$B$1:$AI$720,MATCH(N$2,'Tillförd energi'!$B$1:$AQ$1,0),FALSE)</f>
        <v>0</v>
      </c>
      <c r="O103" s="63">
        <f>VLOOKUP($B103,'Tillförd energi'!$B$1:$AI$720,MATCH(O$2,'Tillförd energi'!$B$1:$AQ$1,0),FALSE)</f>
        <v>0</v>
      </c>
      <c r="P103" s="63">
        <f>VLOOKUP($B103,'Tillförd energi'!$B$1:$AI$720,MATCH(P$2,'Tillförd energi'!$B$1:$AQ$1,0),FALSE)</f>
        <v>0</v>
      </c>
      <c r="Q103" s="63">
        <f>VLOOKUP($B103,'Tillförd energi'!$B$1:$AI$720,MATCH(Q$2,'Tillförd energi'!$B$1:$AQ$1,0),FALSE)</f>
        <v>0</v>
      </c>
      <c r="R103" s="63">
        <f>VLOOKUP($B103,'Tillförd energi'!$B$1:$AI$720,MATCH(R$2,'Tillförd energi'!$B$1:$AQ$1,0),FALSE)</f>
        <v>6.4000000000000001E-2</v>
      </c>
      <c r="S103" s="63">
        <f>VLOOKUP($B103,'Tillförd energi'!$B$1:$AI$720,MATCH(S$2,'Tillförd energi'!$B$1:$AQ$1,0),FALSE)</f>
        <v>0</v>
      </c>
      <c r="T103" s="63">
        <f>VLOOKUP($B103,'Tillförd energi'!$B$1:$AI$720,MATCH(T$2,'Tillförd energi'!$B$1:$AQ$1,0),FALSE)</f>
        <v>0</v>
      </c>
      <c r="U103" s="63">
        <f>VLOOKUP($B103,'Tillförd energi'!$B$1:$AI$720,MATCH(U$2,'Tillförd energi'!$B$1:$AQ$1,0),FALSE)</f>
        <v>0</v>
      </c>
      <c r="V103" s="63">
        <f>VLOOKUP($B103,'Tillförd energi'!$B$1:$AI$720,MATCH(V$2,'Tillförd energi'!$B$1:$AQ$1,0),FALSE)</f>
        <v>0</v>
      </c>
      <c r="W103" s="63">
        <f>VLOOKUP($B103,'Tillförd energi'!$B$1:$AI$720,MATCH(W$2,'Tillförd energi'!$B$1:$AQ$1,0),FALSE)</f>
        <v>0</v>
      </c>
      <c r="X103" s="63">
        <f>VLOOKUP($B103,'Tillförd energi'!$B$1:$AI$720,MATCH(X$2,'Tillförd energi'!$B$1:$AQ$1,0),FALSE)</f>
        <v>0</v>
      </c>
      <c r="Y103" s="63">
        <f>VLOOKUP($B103,'Tillförd energi'!$B$1:$AI$720,MATCH(Y$2,'Tillförd energi'!$B$1:$AQ$1,0),FALSE)</f>
        <v>0</v>
      </c>
      <c r="Z103" s="63">
        <f>VLOOKUP($B103,'Tillförd energi'!$B$1:$AI$720,MATCH(Z$2,'Tillförd energi'!$B$1:$AQ$1,0),FALSE)</f>
        <v>0</v>
      </c>
      <c r="AA103" s="63">
        <f>VLOOKUP($B103,'Tillförd energi'!$B$1:$AI$720,MATCH(AA$2,'Tillförd energi'!$B$1:$AQ$1,0),FALSE)</f>
        <v>0</v>
      </c>
      <c r="AB103" s="63">
        <f>VLOOKUP($B103,'Tillförd energi'!$B$1:$AI$720,MATCH(AB$2,'Tillförd energi'!$B$1:$AQ$1,0),FALSE)</f>
        <v>0</v>
      </c>
      <c r="AC103" s="63">
        <f>VLOOKUP($B103,'Tillförd energi'!$B$1:$AI$720,MATCH(AC$2,'Tillförd energi'!$B$1:$AQ$1,0),FALSE)</f>
        <v>0</v>
      </c>
      <c r="AD103" s="63">
        <f>VLOOKUP($B103,'Tillförd energi'!$B$1:$AI$720,MATCH(AD$2,'Tillförd energi'!$B$1:$AQ$1,0),FALSE)</f>
        <v>3.0590000000000002</v>
      </c>
      <c r="AE103" s="63">
        <f>VLOOKUP($B103,'Tillförd energi'!$B$1:$AI$720,MATCH(AE$2,'Tillförd energi'!$B$1:$AQ$1,0),FALSE)</f>
        <v>0</v>
      </c>
      <c r="AF103" s="63">
        <f>VLOOKUP($B103,'Tillförd energi'!$B$1:$AI$720,MATCH(AF$2,'Tillförd energi'!$B$1:$AQ$1,0),FALSE)</f>
        <v>7.2029999999999997E-2</v>
      </c>
      <c r="AG103" s="63">
        <f>IFERROR(VLOOKUP(B103,Miljö!$B$1:$AC$550,MATCH("Köpt mängd produktionsspecifik fjärrvärme:",Miljö!$B$1:$AC$1,0),FALSE)/1,0)</f>
        <v>0</v>
      </c>
      <c r="AI103" s="63">
        <f t="shared" si="6"/>
        <v>3.2200299999999999</v>
      </c>
      <c r="AJ103" s="63">
        <f>IF(ISERROR(1/VLOOKUP($B103,Leveranser!$B$1:$S$500,MATCH("såld värme (gwh)",Leveranser!$B$1:$S$1,0),FALSE)),"",VLOOKUP($B103,Leveranser!$B$1:$S$500,MATCH("såld värme (gwh)",Leveranser!$B$1:$S$1,0),FALSE))</f>
        <v>2.4009999999999998</v>
      </c>
      <c r="AM103" s="63" t="str">
        <f>IF(B103&lt;&gt;"",IF(VLOOKUP($B103,Totalt!$B$1:$AQ$554,MATCH("Kvalitetsgranskad:",Totalt!$B$1:$AQ$1,0),FALSE)="ja",VLOOKUP($B103,Miljö!$B$1:$AG$479,MATCH(AM$2,Miljö!$B$1:$AK$1,0),FALSE),""),"")</f>
        <v>Ja</v>
      </c>
      <c r="AN103" s="63" t="str">
        <f>IF(AM103="ja",VLOOKUP($B103,Miljö!$B$1:$J$479,MATCH("Typ av ursprungsspecificerad el   (Om inget värde anges används Nordisk residualmix, se inforuta) ()",Miljö!$B$1:$J$1,0),FALSE),IF(AM103="nej","Nordisk residualel",""))</f>
        <v>'Vattenkraft'</v>
      </c>
      <c r="AO103" s="63">
        <f>IF(AM103="","",VLOOKUP($B103,Miljö!$B$1:$J$479,MATCH("Fossilandel för ursprungspecificerad el ()",Miljö!$B$1:$J$1,0),FALSE))</f>
        <v>0</v>
      </c>
      <c r="AQ103" s="63">
        <f t="shared" si="7"/>
        <v>1</v>
      </c>
      <c r="AS103" s="63" t="str">
        <f t="shared" si="8"/>
        <v>Nej</v>
      </c>
      <c r="AT103" s="63" t="str">
        <f>IF(AS103="ja",VLOOKUP($B103,Miljö!$B$1:$P$500,MATCH("Fossil andel i procent (%)",Miljö!$B$1:$P$1,0),FALSE)/100,"")</f>
        <v/>
      </c>
      <c r="AV103" s="63" t="str">
        <f t="shared" si="9"/>
        <v>Nej</v>
      </c>
      <c r="AW103" s="63" t="str">
        <f>IF(AV103="ja",VLOOKUP($B103,'Egen hetvattenprod'!$B$1:$AO$500,MATCH("Värmekälla till värmepumpar ()",'Egen hetvattenprod'!$B$1:$AO$1,0),FALSE),"")</f>
        <v/>
      </c>
      <c r="AY103" s="63" t="str">
        <f t="shared" si="10"/>
        <v>Nej</v>
      </c>
      <c r="AZ103" s="77" t="str">
        <f>IF($AY103="ja",(VLOOKUP($B103,'Egen hetvattenprod'!$B$1:$BX$550,MATCH(AZ$2,'Egen hetvattenprod'!$B$1:$BX$1,0),FALSE)+VLOOKUP($B103,Kraftvärmeprod!$B$1:$BX$550,MATCH(AZ$2,Kraftvärmeprod!$B$1:$BX$1,0),FALSE))/$AC103,"")</f>
        <v/>
      </c>
      <c r="BA103" s="77" t="str">
        <f>IF($AY103="ja",(VLOOKUP($B103,'Egen hetvattenprod'!$B$1:$BX$550,MATCH(BA$2,'Egen hetvattenprod'!$B$1:$BX$1,0),FALSE)+VLOOKUP($B103,Kraftvärmeprod!$B$1:$BX$550,MATCH(BA$2,Kraftvärmeprod!$B$1:$BX$1,0),FALSE))/$AC103,"")</f>
        <v/>
      </c>
      <c r="BB103" s="77" t="str">
        <f>IF($AY103="ja",(VLOOKUP($B103,'Egen hetvattenprod'!$B$1:$BX$550,MATCH(BB$2,'Egen hetvattenprod'!$B$1:$BX$1,0),FALSE)+VLOOKUP($B103,Kraftvärmeprod!$B$1:$BX$550,MATCH(BB$2,Kraftvärmeprod!$B$1:$BX$1,0),FALSE))/$AC103,"")</f>
        <v/>
      </c>
      <c r="BC103" s="77" t="str">
        <f>IF($AY103="ja",(VLOOKUP($B103,'Egen hetvattenprod'!$B$1:$BX$550,MATCH(BC$2,'Egen hetvattenprod'!$B$1:$BX$1,0),FALSE)+VLOOKUP($B103,Kraftvärmeprod!$B$1:$BX$550,MATCH(BC$2,Kraftvärmeprod!$B$1:$BX$1,0),FALSE))/$AC103,"")</f>
        <v/>
      </c>
      <c r="BD103" s="77" t="str">
        <f>IF($AY103="ja",(VLOOKUP($B103,'Egen hetvattenprod'!$B$1:$BX$550,MATCH(BD$2,'Egen hetvattenprod'!$B$1:$BX$1,0),FALSE)+VLOOKUP($B103,Kraftvärmeprod!$B$1:$BX$550,MATCH(BD$2,Kraftvärmeprod!$B$1:$BX$1,0),FALSE))/$AC103,"")</f>
        <v/>
      </c>
      <c r="BF103" s="63" t="str">
        <f t="shared" si="11"/>
        <v>Nej</v>
      </c>
      <c r="BG103" s="63" t="str">
        <f>IF($BF103="ja",VLOOKUP($B103,'Egen hetvattenprod'!$B$1:$BX$550,MATCH("Andelen klimatgaser med fossilt ursprung för avfall ()",'Egen hetvattenprod'!$B$1:$BX$1,0),FALSE),"")</f>
        <v/>
      </c>
      <c r="BH103" s="63" t="str">
        <f>IF($BF103="ja",VLOOKUP($B103,Kraftvärmeprod!$B$1:$BX$550,MATCH("Andelen klimatgaser med fossilt ursprung för avfall ()",Kraftvärmeprod!$B$1:$BX$1,0),FALSE),"")</f>
        <v/>
      </c>
      <c r="BI103" s="63" t="str">
        <f>IF($BF103="ja",VLOOKUP($B103,'Egen hetvattenprod'!$B$1:$BX$550,MATCH("Avfall (GWh)",'Egen hetvattenprod'!$B$1:$BX$1,0),FALSE),"")</f>
        <v/>
      </c>
      <c r="BJ103" s="63" t="str">
        <f>IF($BF103="ja",VLOOKUP($B103,'Slutlig allokering kvv'!$B$1:$BX$550,MATCH("Avfall (GWh)",'Slutlig allokering kvv'!$B$1:$BX$1,0),FALSE),"")</f>
        <v/>
      </c>
      <c r="BK103" s="63" t="str">
        <f>IF($BF103="ja",VLOOKUP($B103,'Köpt hetvatten'!$B$1:$BX$550,MATCH("Avfall i köpt hetvatten",'Köpt hetvatten'!$B$1:$BX$1,0),FALSE),"")</f>
        <v/>
      </c>
      <c r="BL103" s="63" t="str">
        <f>IF($BF103="ja",VLOOKUP($B103,'Egen hetvattenprod'!$B$1:$BX$550,MATCH("Värde enligt ovan. (%)",'Egen hetvattenprod'!$B$1:$BX$1,0),FALSE),"")</f>
        <v/>
      </c>
      <c r="BM103" s="63" t="str">
        <f>IF($BF103="ja",VLOOKUP($B103,Kraftvärmeprod!$B$1:$BX$550,MATCH("Värde enligt ovan. (%)",Kraftvärmeprod!$B$1:$BX$1,0),FALSE),"")</f>
        <v/>
      </c>
    </row>
    <row r="104" spans="1:65" x14ac:dyDescent="0.45">
      <c r="A104" s="63" t="s">
        <v>554</v>
      </c>
      <c r="B104" s="63" t="s">
        <v>553</v>
      </c>
      <c r="C104" s="63">
        <f>VLOOKUP($B104,'Tillförd energi'!$B$1:$AI$720,MATCH(C$2,'Tillförd energi'!$B$1:$AQ$1,0),FALSE)</f>
        <v>0</v>
      </c>
      <c r="D104" s="63">
        <f>VLOOKUP($B104,'Tillförd energi'!$B$1:$AI$720,MATCH(D$2,'Tillförd energi'!$B$1:$AQ$1,0),FALSE)</f>
        <v>0</v>
      </c>
      <c r="E104" s="63">
        <f>VLOOKUP($B104,'Tillförd energi'!$B$1:$AI$720,MATCH(E$2,'Tillförd energi'!$B$1:$AQ$1,0),FALSE)</f>
        <v>0</v>
      </c>
      <c r="F104" s="63">
        <f>VLOOKUP($B104,'Tillförd energi'!$B$1:$AI$720,MATCH(F$2,'Tillförd energi'!$B$1:$AQ$1,0),FALSE)</f>
        <v>0</v>
      </c>
      <c r="G104" s="63">
        <f>VLOOKUP($B104,'Tillförd energi'!$B$1:$AI$720,MATCH(G$2,'Tillförd energi'!$B$1:$AQ$1,0),FALSE)</f>
        <v>0</v>
      </c>
      <c r="H104" s="63">
        <f>VLOOKUP($B104,'Tillförd energi'!$B$1:$AI$720,MATCH(H$2,'Tillförd energi'!$B$1:$AQ$1,0),FALSE)</f>
        <v>0</v>
      </c>
      <c r="I104" s="63">
        <f>VLOOKUP($B104,'Tillförd energi'!$B$1:$AI$720,MATCH(I$2,'Tillförd energi'!$B$1:$AQ$1,0),FALSE)</f>
        <v>0</v>
      </c>
      <c r="J104" s="63">
        <f>VLOOKUP($B104,'Tillförd energi'!$B$1:$AI$720,MATCH(J$2,'Tillförd energi'!$B$1:$AQ$1,0),FALSE)</f>
        <v>0</v>
      </c>
      <c r="K104" s="63">
        <f>VLOOKUP($B104,'Tillförd energi'!$B$1:$AI$720,MATCH(K$2,'Tillförd energi'!$B$1:$AQ$1,0),FALSE)</f>
        <v>0</v>
      </c>
      <c r="L104" s="63">
        <f>VLOOKUP($B104,'Tillförd energi'!$B$1:$AI$720,MATCH(L$2,'Tillförd energi'!$B$1:$AQ$1,0),FALSE)</f>
        <v>0</v>
      </c>
      <c r="M104" s="63">
        <f>VLOOKUP($B104,'Tillförd energi'!$B$1:$AI$720,MATCH(M$2,'Tillförd energi'!$B$1:$AQ$1,0),FALSE)</f>
        <v>0</v>
      </c>
      <c r="N104" s="63">
        <f>VLOOKUP($B104,'Tillförd energi'!$B$1:$AI$720,MATCH(N$2,'Tillförd energi'!$B$1:$AQ$1,0),FALSE)</f>
        <v>1.5</v>
      </c>
      <c r="O104" s="63">
        <f>VLOOKUP($B104,'Tillförd energi'!$B$1:$AI$720,MATCH(O$2,'Tillförd energi'!$B$1:$AQ$1,0),FALSE)</f>
        <v>0</v>
      </c>
      <c r="P104" s="63">
        <f>VLOOKUP($B104,'Tillförd energi'!$B$1:$AI$720,MATCH(P$2,'Tillförd energi'!$B$1:$AQ$1,0),FALSE)</f>
        <v>27.3</v>
      </c>
      <c r="Q104" s="63">
        <f>VLOOKUP($B104,'Tillförd energi'!$B$1:$AI$720,MATCH(Q$2,'Tillförd energi'!$B$1:$AQ$1,0),FALSE)</f>
        <v>0</v>
      </c>
      <c r="R104" s="63">
        <f>VLOOKUP($B104,'Tillförd energi'!$B$1:$AI$720,MATCH(R$2,'Tillförd energi'!$B$1:$AQ$1,0),FALSE)</f>
        <v>0</v>
      </c>
      <c r="S104" s="63">
        <f>VLOOKUP($B104,'Tillförd energi'!$B$1:$AI$720,MATCH(S$2,'Tillförd energi'!$B$1:$AQ$1,0),FALSE)</f>
        <v>0</v>
      </c>
      <c r="T104" s="63">
        <f>VLOOKUP($B104,'Tillförd energi'!$B$1:$AI$720,MATCH(T$2,'Tillförd energi'!$B$1:$AQ$1,0),FALSE)</f>
        <v>0</v>
      </c>
      <c r="U104" s="63">
        <f>VLOOKUP($B104,'Tillförd energi'!$B$1:$AI$720,MATCH(U$2,'Tillförd energi'!$B$1:$AQ$1,0),FALSE)</f>
        <v>0</v>
      </c>
      <c r="V104" s="63">
        <f>VLOOKUP($B104,'Tillförd energi'!$B$1:$AI$720,MATCH(V$2,'Tillförd energi'!$B$1:$AQ$1,0),FALSE)</f>
        <v>0</v>
      </c>
      <c r="W104" s="63">
        <f>VLOOKUP($B104,'Tillförd energi'!$B$1:$AI$720,MATCH(W$2,'Tillförd energi'!$B$1:$AQ$1,0),FALSE)</f>
        <v>1.3</v>
      </c>
      <c r="X104" s="63">
        <f>VLOOKUP($B104,'Tillförd energi'!$B$1:$AI$720,MATCH(X$2,'Tillförd energi'!$B$1:$AQ$1,0),FALSE)</f>
        <v>0</v>
      </c>
      <c r="Y104" s="63">
        <f>VLOOKUP($B104,'Tillförd energi'!$B$1:$AI$720,MATCH(Y$2,'Tillförd energi'!$B$1:$AQ$1,0),FALSE)</f>
        <v>0</v>
      </c>
      <c r="Z104" s="63">
        <f>VLOOKUP($B104,'Tillförd energi'!$B$1:$AI$720,MATCH(Z$2,'Tillförd energi'!$B$1:$AQ$1,0),FALSE)</f>
        <v>0</v>
      </c>
      <c r="AA104" s="63">
        <f>VLOOKUP($B104,'Tillförd energi'!$B$1:$AI$720,MATCH(AA$2,'Tillförd energi'!$B$1:$AQ$1,0),FALSE)</f>
        <v>0</v>
      </c>
      <c r="AB104" s="63">
        <f>VLOOKUP($B104,'Tillförd energi'!$B$1:$AI$720,MATCH(AB$2,'Tillförd energi'!$B$1:$AQ$1,0),FALSE)</f>
        <v>0</v>
      </c>
      <c r="AC104" s="63">
        <f>VLOOKUP($B104,'Tillförd energi'!$B$1:$AI$720,MATCH(AC$2,'Tillförd energi'!$B$1:$AQ$1,0),FALSE)</f>
        <v>0</v>
      </c>
      <c r="AD104" s="63">
        <f>VLOOKUP($B104,'Tillförd energi'!$B$1:$AI$720,MATCH(AD$2,'Tillförd energi'!$B$1:$AQ$1,0),FALSE)</f>
        <v>0</v>
      </c>
      <c r="AE104" s="63">
        <f>VLOOKUP($B104,'Tillförd energi'!$B$1:$AI$720,MATCH(AE$2,'Tillförd energi'!$B$1:$AQ$1,0),FALSE)</f>
        <v>0</v>
      </c>
      <c r="AF104" s="63">
        <f>VLOOKUP($B104,'Tillförd energi'!$B$1:$AI$720,MATCH(AF$2,'Tillförd energi'!$B$1:$AQ$1,0),FALSE)</f>
        <v>0.25</v>
      </c>
      <c r="AG104" s="63">
        <f>IFERROR(VLOOKUP(B104,Miljö!$B$1:$AC$550,MATCH("Köpt mängd produktionsspecifik fjärrvärme:",Miljö!$B$1:$AC$1,0),FALSE)/1,0)</f>
        <v>0</v>
      </c>
      <c r="AI104" s="63">
        <f t="shared" si="6"/>
        <v>30.35</v>
      </c>
      <c r="AJ104" s="63">
        <f>IF(ISERROR(1/VLOOKUP($B104,Leveranser!$B$1:$S$500,MATCH("såld värme (gwh)",Leveranser!$B$1:$S$1,0),FALSE)),"",VLOOKUP($B104,Leveranser!$B$1:$S$500,MATCH("såld värme (gwh)",Leveranser!$B$1:$S$1,0),FALSE))</f>
        <v>21.2</v>
      </c>
      <c r="AM104" s="63" t="str">
        <f>IF(B104&lt;&gt;"",IF(VLOOKUP($B104,Totalt!$B$1:$AQ$554,MATCH("Kvalitetsgranskad:",Totalt!$B$1:$AQ$1,0),FALSE)="ja",VLOOKUP($B104,Miljö!$B$1:$AG$479,MATCH(AM$2,Miljö!$B$1:$AK$1,0),FALSE),""),"")</f>
        <v>Ja</v>
      </c>
      <c r="AN104" s="63" t="str">
        <f>IF(AM104="ja",VLOOKUP($B104,Miljö!$B$1:$J$479,MATCH("Typ av ursprungsspecificerad el   (Om inget värde anges används Nordisk residualmix, se inforuta) ()",Miljö!$B$1:$J$1,0),FALSE),IF(AM104="nej","Nordisk residualel",""))</f>
        <v>'Förnybar vattenkraft'</v>
      </c>
      <c r="AO104" s="63">
        <f>IF(AM104="","",VLOOKUP($B104,Miljö!$B$1:$J$479,MATCH("Fossilandel för ursprungspecificerad el ()",Miljö!$B$1:$J$1,0),FALSE))</f>
        <v>0</v>
      </c>
      <c r="AQ104" s="63">
        <f t="shared" si="7"/>
        <v>1</v>
      </c>
      <c r="AS104" s="63" t="str">
        <f t="shared" si="8"/>
        <v>Nej</v>
      </c>
      <c r="AT104" s="63" t="str">
        <f>IF(AS104="ja",VLOOKUP($B104,Miljö!$B$1:$P$500,MATCH("Fossil andel i procent (%)",Miljö!$B$1:$P$1,0),FALSE)/100,"")</f>
        <v/>
      </c>
      <c r="AV104" s="63" t="str">
        <f t="shared" si="9"/>
        <v>Nej</v>
      </c>
      <c r="AW104" s="63" t="str">
        <f>IF(AV104="ja",VLOOKUP($B104,'Egen hetvattenprod'!$B$1:$AO$500,MATCH("Värmekälla till värmepumpar ()",'Egen hetvattenprod'!$B$1:$AO$1,0),FALSE),"")</f>
        <v/>
      </c>
      <c r="AY104" s="63" t="str">
        <f t="shared" si="10"/>
        <v>Nej</v>
      </c>
      <c r="AZ104" s="77" t="str">
        <f>IF($AY104="ja",(VLOOKUP($B104,'Egen hetvattenprod'!$B$1:$BX$550,MATCH(AZ$2,'Egen hetvattenprod'!$B$1:$BX$1,0),FALSE)+VLOOKUP($B104,Kraftvärmeprod!$B$1:$BX$550,MATCH(AZ$2,Kraftvärmeprod!$B$1:$BX$1,0),FALSE))/$AC104,"")</f>
        <v/>
      </c>
      <c r="BA104" s="77" t="str">
        <f>IF($AY104="ja",(VLOOKUP($B104,'Egen hetvattenprod'!$B$1:$BX$550,MATCH(BA$2,'Egen hetvattenprod'!$B$1:$BX$1,0),FALSE)+VLOOKUP($B104,Kraftvärmeprod!$B$1:$BX$550,MATCH(BA$2,Kraftvärmeprod!$B$1:$BX$1,0),FALSE))/$AC104,"")</f>
        <v/>
      </c>
      <c r="BB104" s="77" t="str">
        <f>IF($AY104="ja",(VLOOKUP($B104,'Egen hetvattenprod'!$B$1:$BX$550,MATCH(BB$2,'Egen hetvattenprod'!$B$1:$BX$1,0),FALSE)+VLOOKUP($B104,Kraftvärmeprod!$B$1:$BX$550,MATCH(BB$2,Kraftvärmeprod!$B$1:$BX$1,0),FALSE))/$AC104,"")</f>
        <v/>
      </c>
      <c r="BC104" s="77" t="str">
        <f>IF($AY104="ja",(VLOOKUP($B104,'Egen hetvattenprod'!$B$1:$BX$550,MATCH(BC$2,'Egen hetvattenprod'!$B$1:$BX$1,0),FALSE)+VLOOKUP($B104,Kraftvärmeprod!$B$1:$BX$550,MATCH(BC$2,Kraftvärmeprod!$B$1:$BX$1,0),FALSE))/$AC104,"")</f>
        <v/>
      </c>
      <c r="BD104" s="77" t="str">
        <f>IF($AY104="ja",(VLOOKUP($B104,'Egen hetvattenprod'!$B$1:$BX$550,MATCH(BD$2,'Egen hetvattenprod'!$B$1:$BX$1,0),FALSE)+VLOOKUP($B104,Kraftvärmeprod!$B$1:$BX$550,MATCH(BD$2,Kraftvärmeprod!$B$1:$BX$1,0),FALSE))/$AC104,"")</f>
        <v/>
      </c>
      <c r="BF104" s="63" t="str">
        <f t="shared" si="11"/>
        <v>Nej</v>
      </c>
      <c r="BG104" s="63" t="str">
        <f>IF($BF104="ja",VLOOKUP($B104,'Egen hetvattenprod'!$B$1:$BX$550,MATCH("Andelen klimatgaser med fossilt ursprung för avfall ()",'Egen hetvattenprod'!$B$1:$BX$1,0),FALSE),"")</f>
        <v/>
      </c>
      <c r="BH104" s="63" t="str">
        <f>IF($BF104="ja",VLOOKUP($B104,Kraftvärmeprod!$B$1:$BX$550,MATCH("Andelen klimatgaser med fossilt ursprung för avfall ()",Kraftvärmeprod!$B$1:$BX$1,0),FALSE),"")</f>
        <v/>
      </c>
      <c r="BI104" s="63" t="str">
        <f>IF($BF104="ja",VLOOKUP($B104,'Egen hetvattenprod'!$B$1:$BX$550,MATCH("Avfall (GWh)",'Egen hetvattenprod'!$B$1:$BX$1,0),FALSE),"")</f>
        <v/>
      </c>
      <c r="BJ104" s="63" t="str">
        <f>IF($BF104="ja",VLOOKUP($B104,'Slutlig allokering kvv'!$B$1:$BX$550,MATCH("Avfall (GWh)",'Slutlig allokering kvv'!$B$1:$BX$1,0),FALSE),"")</f>
        <v/>
      </c>
      <c r="BK104" s="63" t="str">
        <f>IF($BF104="ja",VLOOKUP($B104,'Köpt hetvatten'!$B$1:$BX$550,MATCH("Avfall i köpt hetvatten",'Köpt hetvatten'!$B$1:$BX$1,0),FALSE),"")</f>
        <v/>
      </c>
      <c r="BL104" s="63" t="str">
        <f>IF($BF104="ja",VLOOKUP($B104,'Egen hetvattenprod'!$B$1:$BX$550,MATCH("Värde enligt ovan. (%)",'Egen hetvattenprod'!$B$1:$BX$1,0),FALSE),"")</f>
        <v/>
      </c>
      <c r="BM104" s="63" t="str">
        <f>IF($BF104="ja",VLOOKUP($B104,Kraftvärmeprod!$B$1:$BX$550,MATCH("Värde enligt ovan. (%)",Kraftvärmeprod!$B$1:$BX$1,0),FALSE),"")</f>
        <v/>
      </c>
    </row>
    <row r="105" spans="1:65" x14ac:dyDescent="0.45">
      <c r="A105" s="63" t="s">
        <v>550</v>
      </c>
      <c r="B105" s="63" t="s">
        <v>551</v>
      </c>
      <c r="C105" s="63">
        <f>VLOOKUP($B105,'Tillförd energi'!$B$1:$AI$720,MATCH(C$2,'Tillförd energi'!$B$1:$AQ$1,0),FALSE)</f>
        <v>0</v>
      </c>
      <c r="D105" s="63">
        <f>VLOOKUP($B105,'Tillförd energi'!$B$1:$AI$720,MATCH(D$2,'Tillförd energi'!$B$1:$AQ$1,0),FALSE)</f>
        <v>0.30499999999999999</v>
      </c>
      <c r="E105" s="63">
        <f>VLOOKUP($B105,'Tillförd energi'!$B$1:$AI$720,MATCH(E$2,'Tillförd energi'!$B$1:$AQ$1,0),FALSE)</f>
        <v>0</v>
      </c>
      <c r="F105" s="63">
        <f>VLOOKUP($B105,'Tillförd energi'!$B$1:$AI$720,MATCH(F$2,'Tillförd energi'!$B$1:$AQ$1,0),FALSE)</f>
        <v>0</v>
      </c>
      <c r="G105" s="63">
        <f>VLOOKUP($B105,'Tillförd energi'!$B$1:$AI$720,MATCH(G$2,'Tillförd energi'!$B$1:$AQ$1,0),FALSE)</f>
        <v>4.78</v>
      </c>
      <c r="H105" s="63">
        <f>VLOOKUP($B105,'Tillförd energi'!$B$1:$AI$720,MATCH(H$2,'Tillförd energi'!$B$1:$AQ$1,0),FALSE)</f>
        <v>0</v>
      </c>
      <c r="I105" s="63">
        <f>VLOOKUP($B105,'Tillförd energi'!$B$1:$AI$720,MATCH(I$2,'Tillförd energi'!$B$1:$AQ$1,0),FALSE)</f>
        <v>0</v>
      </c>
      <c r="J105" s="63">
        <f>VLOOKUP($B105,'Tillförd energi'!$B$1:$AI$720,MATCH(J$2,'Tillförd energi'!$B$1:$AQ$1,0),FALSE)</f>
        <v>0</v>
      </c>
      <c r="K105" s="63">
        <f>VLOOKUP($B105,'Tillförd energi'!$B$1:$AI$720,MATCH(K$2,'Tillförd energi'!$B$1:$AQ$1,0),FALSE)</f>
        <v>0</v>
      </c>
      <c r="L105" s="63">
        <f>VLOOKUP($B105,'Tillförd energi'!$B$1:$AI$720,MATCH(L$2,'Tillförd energi'!$B$1:$AQ$1,0),FALSE)</f>
        <v>0</v>
      </c>
      <c r="M105" s="63">
        <f>VLOOKUP($B105,'Tillförd energi'!$B$1:$AI$720,MATCH(M$2,'Tillförd energi'!$B$1:$AQ$1,0),FALSE)</f>
        <v>7.79</v>
      </c>
      <c r="N105" s="63">
        <f>VLOOKUP($B105,'Tillförd energi'!$B$1:$AI$720,MATCH(N$2,'Tillförd energi'!$B$1:$AQ$1,0),FALSE)</f>
        <v>16.64</v>
      </c>
      <c r="O105" s="63">
        <f>VLOOKUP($B105,'Tillförd energi'!$B$1:$AI$720,MATCH(O$2,'Tillförd energi'!$B$1:$AQ$1,0),FALSE)</f>
        <v>0</v>
      </c>
      <c r="P105" s="63">
        <f>VLOOKUP($B105,'Tillförd energi'!$B$1:$AI$720,MATCH(P$2,'Tillförd energi'!$B$1:$AQ$1,0),FALSE)</f>
        <v>22.4</v>
      </c>
      <c r="Q105" s="63">
        <f>VLOOKUP($B105,'Tillförd energi'!$B$1:$AI$720,MATCH(Q$2,'Tillförd energi'!$B$1:$AQ$1,0),FALSE)</f>
        <v>6.22</v>
      </c>
      <c r="R105" s="63">
        <f>VLOOKUP($B105,'Tillförd energi'!$B$1:$AI$720,MATCH(R$2,'Tillförd energi'!$B$1:$AQ$1,0),FALSE)</f>
        <v>0</v>
      </c>
      <c r="S105" s="63">
        <f>VLOOKUP($B105,'Tillförd energi'!$B$1:$AI$720,MATCH(S$2,'Tillförd energi'!$B$1:$AQ$1,0),FALSE)</f>
        <v>0</v>
      </c>
      <c r="T105" s="63">
        <f>VLOOKUP($B105,'Tillförd energi'!$B$1:$AI$720,MATCH(T$2,'Tillförd energi'!$B$1:$AQ$1,0),FALSE)</f>
        <v>0</v>
      </c>
      <c r="U105" s="63">
        <f>VLOOKUP($B105,'Tillförd energi'!$B$1:$AI$720,MATCH(U$2,'Tillförd energi'!$B$1:$AQ$1,0),FALSE)</f>
        <v>0</v>
      </c>
      <c r="V105" s="63">
        <f>VLOOKUP($B105,'Tillförd energi'!$B$1:$AI$720,MATCH(V$2,'Tillförd energi'!$B$1:$AQ$1,0),FALSE)</f>
        <v>0</v>
      </c>
      <c r="W105" s="63">
        <f>VLOOKUP($B105,'Tillförd energi'!$B$1:$AI$720,MATCH(W$2,'Tillförd energi'!$B$1:$AQ$1,0),FALSE)</f>
        <v>0</v>
      </c>
      <c r="X105" s="63">
        <f>VLOOKUP($B105,'Tillförd energi'!$B$1:$AI$720,MATCH(X$2,'Tillförd energi'!$B$1:$AQ$1,0),FALSE)</f>
        <v>0</v>
      </c>
      <c r="Y105" s="63">
        <f>VLOOKUP($B105,'Tillförd energi'!$B$1:$AI$720,MATCH(Y$2,'Tillförd energi'!$B$1:$AQ$1,0),FALSE)</f>
        <v>0</v>
      </c>
      <c r="Z105" s="63">
        <f>VLOOKUP($B105,'Tillförd energi'!$B$1:$AI$720,MATCH(Z$2,'Tillförd energi'!$B$1:$AQ$1,0),FALSE)</f>
        <v>0</v>
      </c>
      <c r="AA105" s="63">
        <f>VLOOKUP($B105,'Tillförd energi'!$B$1:$AI$720,MATCH(AA$2,'Tillförd energi'!$B$1:$AQ$1,0),FALSE)</f>
        <v>0</v>
      </c>
      <c r="AB105" s="63">
        <f>VLOOKUP($B105,'Tillförd energi'!$B$1:$AI$720,MATCH(AB$2,'Tillförd energi'!$B$1:$AQ$1,0),FALSE)</f>
        <v>0</v>
      </c>
      <c r="AC105" s="63">
        <f>VLOOKUP($B105,'Tillförd energi'!$B$1:$AI$720,MATCH(AC$2,'Tillförd energi'!$B$1:$AQ$1,0),FALSE)</f>
        <v>7.39</v>
      </c>
      <c r="AD105" s="63">
        <f>VLOOKUP($B105,'Tillförd energi'!$B$1:$AI$720,MATCH(AD$2,'Tillförd energi'!$B$1:$AQ$1,0),FALSE)</f>
        <v>0.248</v>
      </c>
      <c r="AE105" s="63">
        <f>VLOOKUP($B105,'Tillförd energi'!$B$1:$AI$720,MATCH(AE$2,'Tillförd energi'!$B$1:$AQ$1,0),FALSE)</f>
        <v>0</v>
      </c>
      <c r="AF105" s="63">
        <f>VLOOKUP($B105,'Tillförd energi'!$B$1:$AI$720,MATCH(AF$2,'Tillförd energi'!$B$1:$AQ$1,0),FALSE)</f>
        <v>0.98699999999999999</v>
      </c>
      <c r="AG105" s="63">
        <f>IFERROR(VLOOKUP(B105,Miljö!$B$1:$AC$550,MATCH("Köpt mängd produktionsspecifik fjärrvärme:",Miljö!$B$1:$AC$1,0),FALSE)/1,0)</f>
        <v>0</v>
      </c>
      <c r="AI105" s="63">
        <f t="shared" si="6"/>
        <v>66.759999999999991</v>
      </c>
      <c r="AJ105" s="63">
        <f>IF(ISERROR(1/VLOOKUP($B105,Leveranser!$B$1:$S$500,MATCH("såld värme (gwh)",Leveranser!$B$1:$S$1,0),FALSE)),"",VLOOKUP($B105,Leveranser!$B$1:$S$500,MATCH("såld värme (gwh)",Leveranser!$B$1:$S$1,0),FALSE))</f>
        <v>50.99</v>
      </c>
      <c r="AM105" s="63" t="str">
        <f>IF(B105&lt;&gt;"",IF(VLOOKUP($B105,Totalt!$B$1:$AQ$554,MATCH("Kvalitetsgranskad:",Totalt!$B$1:$AQ$1,0),FALSE)="ja",VLOOKUP($B105,Miljö!$B$1:$AG$479,MATCH(AM$2,Miljö!$B$1:$AK$1,0),FALSE),""),"")</f>
        <v>Ja</v>
      </c>
      <c r="AN105" s="63" t="str">
        <f>IF(AM105="ja",VLOOKUP($B105,Miljö!$B$1:$J$479,MATCH("Typ av ursprungsspecificerad el   (Om inget värde anges används Nordisk residualmix, se inforuta) ()",Miljö!$B$1:$J$1,0),FALSE),IF(AM105="nej","Nordisk residualel",""))</f>
        <v>'-'</v>
      </c>
      <c r="AO105" s="63">
        <f>IF(AM105="","",VLOOKUP($B105,Miljö!$B$1:$J$479,MATCH("Fossilandel för ursprungspecificerad el ()",Miljö!$B$1:$J$1,0),FALSE))</f>
        <v>0.35</v>
      </c>
      <c r="AQ105" s="63">
        <f t="shared" si="7"/>
        <v>0.65</v>
      </c>
      <c r="AS105" s="63" t="str">
        <f t="shared" si="8"/>
        <v>Nej</v>
      </c>
      <c r="AT105" s="63" t="str">
        <f>IF(AS105="ja",VLOOKUP($B105,Miljö!$B$1:$P$500,MATCH("Fossil andel i procent (%)",Miljö!$B$1:$P$1,0),FALSE)/100,"")</f>
        <v/>
      </c>
      <c r="AV105" s="63" t="str">
        <f t="shared" si="9"/>
        <v>Nej</v>
      </c>
      <c r="AW105" s="63" t="str">
        <f>IF(AV105="ja",VLOOKUP($B105,'Egen hetvattenprod'!$B$1:$AO$500,MATCH("Värmekälla till värmepumpar ()",'Egen hetvattenprod'!$B$1:$AO$1,0),FALSE),"")</f>
        <v/>
      </c>
      <c r="AY105" s="63" t="str">
        <f t="shared" si="10"/>
        <v>Ja</v>
      </c>
      <c r="AZ105" s="77">
        <f>IF($AY105="ja",(VLOOKUP($B105,'Egen hetvattenprod'!$B$1:$BX$550,MATCH(AZ$2,'Egen hetvattenprod'!$B$1:$BX$1,0),FALSE)+VLOOKUP($B105,Kraftvärmeprod!$B$1:$BX$550,MATCH(AZ$2,Kraftvärmeprod!$B$1:$BX$1,0),FALSE))/$AC105,"")</f>
        <v>1</v>
      </c>
      <c r="BA105" s="77">
        <f>IF($AY105="ja",(VLOOKUP($B105,'Egen hetvattenprod'!$B$1:$BX$550,MATCH(BA$2,'Egen hetvattenprod'!$B$1:$BX$1,0),FALSE)+VLOOKUP($B105,Kraftvärmeprod!$B$1:$BX$550,MATCH(BA$2,Kraftvärmeprod!$B$1:$BX$1,0),FALSE))/$AC105,"")</f>
        <v>0</v>
      </c>
      <c r="BB105" s="77">
        <f>IF($AY105="ja",(VLOOKUP($B105,'Egen hetvattenprod'!$B$1:$BX$550,MATCH(BB$2,'Egen hetvattenprod'!$B$1:$BX$1,0),FALSE)+VLOOKUP($B105,Kraftvärmeprod!$B$1:$BX$550,MATCH(BB$2,Kraftvärmeprod!$B$1:$BX$1,0),FALSE))/$AC105,"")</f>
        <v>0</v>
      </c>
      <c r="BC105" s="77">
        <f>IF($AY105="ja",(VLOOKUP($B105,'Egen hetvattenprod'!$B$1:$BX$550,MATCH(BC$2,'Egen hetvattenprod'!$B$1:$BX$1,0),FALSE)+VLOOKUP($B105,Kraftvärmeprod!$B$1:$BX$550,MATCH(BC$2,Kraftvärmeprod!$B$1:$BX$1,0),FALSE))/$AC105,"")</f>
        <v>0</v>
      </c>
      <c r="BD105" s="77">
        <f>IF($AY105="ja",(VLOOKUP($B105,'Egen hetvattenprod'!$B$1:$BX$550,MATCH(BD$2,'Egen hetvattenprod'!$B$1:$BX$1,0),FALSE)+VLOOKUP($B105,Kraftvärmeprod!$B$1:$BX$550,MATCH(BD$2,Kraftvärmeprod!$B$1:$BX$1,0),FALSE))/$AC105,"")</f>
        <v>0</v>
      </c>
      <c r="BF105" s="63" t="str">
        <f t="shared" si="11"/>
        <v>Nej</v>
      </c>
      <c r="BG105" s="63" t="str">
        <f>IF($BF105="ja",VLOOKUP($B105,'Egen hetvattenprod'!$B$1:$BX$550,MATCH("Andelen klimatgaser med fossilt ursprung för avfall ()",'Egen hetvattenprod'!$B$1:$BX$1,0),FALSE),"")</f>
        <v/>
      </c>
      <c r="BH105" s="63" t="str">
        <f>IF($BF105="ja",VLOOKUP($B105,Kraftvärmeprod!$B$1:$BX$550,MATCH("Andelen klimatgaser med fossilt ursprung för avfall ()",Kraftvärmeprod!$B$1:$BX$1,0),FALSE),"")</f>
        <v/>
      </c>
      <c r="BI105" s="63" t="str">
        <f>IF($BF105="ja",VLOOKUP($B105,'Egen hetvattenprod'!$B$1:$BX$550,MATCH("Avfall (GWh)",'Egen hetvattenprod'!$B$1:$BX$1,0),FALSE),"")</f>
        <v/>
      </c>
      <c r="BJ105" s="63" t="str">
        <f>IF($BF105="ja",VLOOKUP($B105,'Slutlig allokering kvv'!$B$1:$BX$550,MATCH("Avfall (GWh)",'Slutlig allokering kvv'!$B$1:$BX$1,0),FALSE),"")</f>
        <v/>
      </c>
      <c r="BK105" s="63" t="str">
        <f>IF($BF105="ja",VLOOKUP($B105,'Köpt hetvatten'!$B$1:$BX$550,MATCH("Avfall i köpt hetvatten",'Köpt hetvatten'!$B$1:$BX$1,0),FALSE),"")</f>
        <v/>
      </c>
      <c r="BL105" s="63" t="str">
        <f>IF($BF105="ja",VLOOKUP($B105,'Egen hetvattenprod'!$B$1:$BX$550,MATCH("Värde enligt ovan. (%)",'Egen hetvattenprod'!$B$1:$BX$1,0),FALSE),"")</f>
        <v/>
      </c>
      <c r="BM105" s="63" t="str">
        <f>IF($BF105="ja",VLOOKUP($B105,Kraftvärmeprod!$B$1:$BX$550,MATCH("Värde enligt ovan. (%)",Kraftvärmeprod!$B$1:$BX$1,0),FALSE),"")</f>
        <v/>
      </c>
    </row>
    <row r="106" spans="1:65" x14ac:dyDescent="0.45">
      <c r="A106" s="63" t="s">
        <v>550</v>
      </c>
      <c r="B106" s="63" t="s">
        <v>552</v>
      </c>
      <c r="C106" s="63">
        <f>VLOOKUP($B106,'Tillförd energi'!$B$1:$AI$720,MATCH(C$2,'Tillförd energi'!$B$1:$AQ$1,0),FALSE)</f>
        <v>0</v>
      </c>
      <c r="D106" s="63">
        <f>VLOOKUP($B106,'Tillförd energi'!$B$1:$AI$720,MATCH(D$2,'Tillförd energi'!$B$1:$AQ$1,0),FALSE)</f>
        <v>0.56100000000000005</v>
      </c>
      <c r="E106" s="63">
        <f>VLOOKUP($B106,'Tillförd energi'!$B$1:$AI$720,MATCH(E$2,'Tillförd energi'!$B$1:$AQ$1,0),FALSE)</f>
        <v>0</v>
      </c>
      <c r="F106" s="63">
        <f>VLOOKUP($B106,'Tillförd energi'!$B$1:$AI$720,MATCH(F$2,'Tillförd energi'!$B$1:$AQ$1,0),FALSE)</f>
        <v>0</v>
      </c>
      <c r="G106" s="63">
        <f>VLOOKUP($B106,'Tillförd energi'!$B$1:$AI$720,MATCH(G$2,'Tillförd energi'!$B$1:$AQ$1,0),FALSE)</f>
        <v>0</v>
      </c>
      <c r="H106" s="63">
        <f>VLOOKUP($B106,'Tillförd energi'!$B$1:$AI$720,MATCH(H$2,'Tillförd energi'!$B$1:$AQ$1,0),FALSE)</f>
        <v>0</v>
      </c>
      <c r="I106" s="63">
        <f>VLOOKUP($B106,'Tillförd energi'!$B$1:$AI$720,MATCH(I$2,'Tillförd energi'!$B$1:$AQ$1,0),FALSE)</f>
        <v>0</v>
      </c>
      <c r="J106" s="63">
        <f>VLOOKUP($B106,'Tillförd energi'!$B$1:$AI$720,MATCH(J$2,'Tillförd energi'!$B$1:$AQ$1,0),FALSE)</f>
        <v>0</v>
      </c>
      <c r="K106" s="63">
        <f>VLOOKUP($B106,'Tillförd energi'!$B$1:$AI$720,MATCH(K$2,'Tillförd energi'!$B$1:$AQ$1,0),FALSE)</f>
        <v>0</v>
      </c>
      <c r="L106" s="63">
        <f>VLOOKUP($B106,'Tillförd energi'!$B$1:$AI$720,MATCH(L$2,'Tillförd energi'!$B$1:$AQ$1,0),FALSE)</f>
        <v>0</v>
      </c>
      <c r="M106" s="63">
        <f>VLOOKUP($B106,'Tillförd energi'!$B$1:$AI$720,MATCH(M$2,'Tillförd energi'!$B$1:$AQ$1,0),FALSE)</f>
        <v>1.58</v>
      </c>
      <c r="N106" s="63">
        <f>VLOOKUP($B106,'Tillförd energi'!$B$1:$AI$720,MATCH(N$2,'Tillförd energi'!$B$1:$AQ$1,0),FALSE)</f>
        <v>3.46</v>
      </c>
      <c r="O106" s="63">
        <f>VLOOKUP($B106,'Tillförd energi'!$B$1:$AI$720,MATCH(O$2,'Tillförd energi'!$B$1:$AQ$1,0),FALSE)</f>
        <v>0</v>
      </c>
      <c r="P106" s="63">
        <f>VLOOKUP($B106,'Tillförd energi'!$B$1:$AI$720,MATCH(P$2,'Tillförd energi'!$B$1:$AQ$1,0),FALSE)</f>
        <v>4.29</v>
      </c>
      <c r="Q106" s="63">
        <f>VLOOKUP($B106,'Tillförd energi'!$B$1:$AI$720,MATCH(Q$2,'Tillförd energi'!$B$1:$AQ$1,0),FALSE)</f>
        <v>4.9000000000000004</v>
      </c>
      <c r="R106" s="63">
        <f>VLOOKUP($B106,'Tillförd energi'!$B$1:$AI$720,MATCH(R$2,'Tillförd energi'!$B$1:$AQ$1,0),FALSE)</f>
        <v>0</v>
      </c>
      <c r="S106" s="63">
        <f>VLOOKUP($B106,'Tillförd energi'!$B$1:$AI$720,MATCH(S$2,'Tillförd energi'!$B$1:$AQ$1,0),FALSE)</f>
        <v>0</v>
      </c>
      <c r="T106" s="63">
        <f>VLOOKUP($B106,'Tillförd energi'!$B$1:$AI$720,MATCH(T$2,'Tillförd energi'!$B$1:$AQ$1,0),FALSE)</f>
        <v>0</v>
      </c>
      <c r="U106" s="63">
        <f>VLOOKUP($B106,'Tillförd energi'!$B$1:$AI$720,MATCH(U$2,'Tillförd energi'!$B$1:$AQ$1,0),FALSE)</f>
        <v>0</v>
      </c>
      <c r="V106" s="63">
        <f>VLOOKUP($B106,'Tillförd energi'!$B$1:$AI$720,MATCH(V$2,'Tillförd energi'!$B$1:$AQ$1,0),FALSE)</f>
        <v>0</v>
      </c>
      <c r="W106" s="63">
        <f>VLOOKUP($B106,'Tillförd energi'!$B$1:$AI$720,MATCH(W$2,'Tillförd energi'!$B$1:$AQ$1,0),FALSE)</f>
        <v>0</v>
      </c>
      <c r="X106" s="63">
        <f>VLOOKUP($B106,'Tillförd energi'!$B$1:$AI$720,MATCH(X$2,'Tillförd energi'!$B$1:$AQ$1,0),FALSE)</f>
        <v>0</v>
      </c>
      <c r="Y106" s="63">
        <f>VLOOKUP($B106,'Tillförd energi'!$B$1:$AI$720,MATCH(Y$2,'Tillförd energi'!$B$1:$AQ$1,0),FALSE)</f>
        <v>0</v>
      </c>
      <c r="Z106" s="63">
        <f>VLOOKUP($B106,'Tillförd energi'!$B$1:$AI$720,MATCH(Z$2,'Tillförd energi'!$B$1:$AQ$1,0),FALSE)</f>
        <v>0</v>
      </c>
      <c r="AA106" s="63">
        <f>VLOOKUP($B106,'Tillförd energi'!$B$1:$AI$720,MATCH(AA$2,'Tillförd energi'!$B$1:$AQ$1,0),FALSE)</f>
        <v>0</v>
      </c>
      <c r="AB106" s="63">
        <f>VLOOKUP($B106,'Tillförd energi'!$B$1:$AI$720,MATCH(AB$2,'Tillförd energi'!$B$1:$AQ$1,0),FALSE)</f>
        <v>0</v>
      </c>
      <c r="AC106" s="63">
        <f>VLOOKUP($B106,'Tillförd energi'!$B$1:$AI$720,MATCH(AC$2,'Tillförd energi'!$B$1:$AQ$1,0),FALSE)</f>
        <v>2.4900000000000002</v>
      </c>
      <c r="AD106" s="63">
        <f>VLOOKUP($B106,'Tillförd energi'!$B$1:$AI$720,MATCH(AD$2,'Tillförd energi'!$B$1:$AQ$1,0),FALSE)</f>
        <v>0</v>
      </c>
      <c r="AE106" s="63">
        <f>VLOOKUP($B106,'Tillförd energi'!$B$1:$AI$720,MATCH(AE$2,'Tillförd energi'!$B$1:$AQ$1,0),FALSE)</f>
        <v>0</v>
      </c>
      <c r="AF106" s="63">
        <f>VLOOKUP($B106,'Tillförd energi'!$B$1:$AI$720,MATCH(AF$2,'Tillförd energi'!$B$1:$AQ$1,0),FALSE)</f>
        <v>0.22</v>
      </c>
      <c r="AG106" s="63">
        <f>IFERROR(VLOOKUP(B106,Miljö!$B$1:$AC$550,MATCH("Köpt mängd produktionsspecifik fjärrvärme:",Miljö!$B$1:$AC$1,0),FALSE)/1,0)</f>
        <v>0</v>
      </c>
      <c r="AI106" s="63">
        <f t="shared" si="6"/>
        <v>17.500999999999998</v>
      </c>
      <c r="AJ106" s="63">
        <f>IF(ISERROR(1/VLOOKUP($B106,Leveranser!$B$1:$S$500,MATCH("såld värme (gwh)",Leveranser!$B$1:$S$1,0),FALSE)),"",VLOOKUP($B106,Leveranser!$B$1:$S$500,MATCH("såld värme (gwh)",Leveranser!$B$1:$S$1,0),FALSE))</f>
        <v>10.96</v>
      </c>
      <c r="AM106" s="63" t="str">
        <f>IF(B106&lt;&gt;"",IF(VLOOKUP($B106,Totalt!$B$1:$AQ$554,MATCH("Kvalitetsgranskad:",Totalt!$B$1:$AQ$1,0),FALSE)="ja",VLOOKUP($B106,Miljö!$B$1:$AG$479,MATCH(AM$2,Miljö!$B$1:$AK$1,0),FALSE),""),"")</f>
        <v>Ja</v>
      </c>
      <c r="AN106" s="63" t="str">
        <f>IF(AM106="ja",VLOOKUP($B106,Miljö!$B$1:$J$479,MATCH("Typ av ursprungsspecificerad el   (Om inget värde anges används Nordisk residualmix, se inforuta) ()",Miljö!$B$1:$J$1,0),FALSE),IF(AM106="nej","Nordisk residualel",""))</f>
        <v>'-'</v>
      </c>
      <c r="AO106" s="63">
        <f>IF(AM106="","",VLOOKUP($B106,Miljö!$B$1:$J$479,MATCH("Fossilandel för ursprungspecificerad el ()",Miljö!$B$1:$J$1,0),FALSE))</f>
        <v>0.35</v>
      </c>
      <c r="AQ106" s="63">
        <f t="shared" si="7"/>
        <v>0.65</v>
      </c>
      <c r="AS106" s="63" t="str">
        <f t="shared" si="8"/>
        <v>Nej</v>
      </c>
      <c r="AT106" s="63" t="str">
        <f>IF(AS106="ja",VLOOKUP($B106,Miljö!$B$1:$P$500,MATCH("Fossil andel i procent (%)",Miljö!$B$1:$P$1,0),FALSE)/100,"")</f>
        <v/>
      </c>
      <c r="AV106" s="63" t="str">
        <f t="shared" si="9"/>
        <v>Nej</v>
      </c>
      <c r="AW106" s="63" t="str">
        <f>IF(AV106="ja",VLOOKUP($B106,'Egen hetvattenprod'!$B$1:$AO$500,MATCH("Värmekälla till värmepumpar ()",'Egen hetvattenprod'!$B$1:$AO$1,0),FALSE),"")</f>
        <v/>
      </c>
      <c r="AY106" s="63" t="str">
        <f t="shared" si="10"/>
        <v>Ja</v>
      </c>
      <c r="AZ106" s="77">
        <f>IF($AY106="ja",(VLOOKUP($B106,'Egen hetvattenprod'!$B$1:$BX$550,MATCH(AZ$2,'Egen hetvattenprod'!$B$1:$BX$1,0),FALSE)+VLOOKUP($B106,Kraftvärmeprod!$B$1:$BX$550,MATCH(AZ$2,Kraftvärmeprod!$B$1:$BX$1,0),FALSE))/$AC106,"")</f>
        <v>1</v>
      </c>
      <c r="BA106" s="77">
        <f>IF($AY106="ja",(VLOOKUP($B106,'Egen hetvattenprod'!$B$1:$BX$550,MATCH(BA$2,'Egen hetvattenprod'!$B$1:$BX$1,0),FALSE)+VLOOKUP($B106,Kraftvärmeprod!$B$1:$BX$550,MATCH(BA$2,Kraftvärmeprod!$B$1:$BX$1,0),FALSE))/$AC106,"")</f>
        <v>0</v>
      </c>
      <c r="BB106" s="77">
        <f>IF($AY106="ja",(VLOOKUP($B106,'Egen hetvattenprod'!$B$1:$BX$550,MATCH(BB$2,'Egen hetvattenprod'!$B$1:$BX$1,0),FALSE)+VLOOKUP($B106,Kraftvärmeprod!$B$1:$BX$550,MATCH(BB$2,Kraftvärmeprod!$B$1:$BX$1,0),FALSE))/$AC106,"")</f>
        <v>0</v>
      </c>
      <c r="BC106" s="77">
        <f>IF($AY106="ja",(VLOOKUP($B106,'Egen hetvattenprod'!$B$1:$BX$550,MATCH(BC$2,'Egen hetvattenprod'!$B$1:$BX$1,0),FALSE)+VLOOKUP($B106,Kraftvärmeprod!$B$1:$BX$550,MATCH(BC$2,Kraftvärmeprod!$B$1:$BX$1,0),FALSE))/$AC106,"")</f>
        <v>0</v>
      </c>
      <c r="BD106" s="77">
        <f>IF($AY106="ja",(VLOOKUP($B106,'Egen hetvattenprod'!$B$1:$BX$550,MATCH(BD$2,'Egen hetvattenprod'!$B$1:$BX$1,0),FALSE)+VLOOKUP($B106,Kraftvärmeprod!$B$1:$BX$550,MATCH(BD$2,Kraftvärmeprod!$B$1:$BX$1,0),FALSE))/$AC106,"")</f>
        <v>0</v>
      </c>
      <c r="BF106" s="63" t="str">
        <f t="shared" si="11"/>
        <v>Nej</v>
      </c>
      <c r="BG106" s="63" t="str">
        <f>IF($BF106="ja",VLOOKUP($B106,'Egen hetvattenprod'!$B$1:$BX$550,MATCH("Andelen klimatgaser med fossilt ursprung för avfall ()",'Egen hetvattenprod'!$B$1:$BX$1,0),FALSE),"")</f>
        <v/>
      </c>
      <c r="BH106" s="63" t="str">
        <f>IF($BF106="ja",VLOOKUP($B106,Kraftvärmeprod!$B$1:$BX$550,MATCH("Andelen klimatgaser med fossilt ursprung för avfall ()",Kraftvärmeprod!$B$1:$BX$1,0),FALSE),"")</f>
        <v/>
      </c>
      <c r="BI106" s="63" t="str">
        <f>IF($BF106="ja",VLOOKUP($B106,'Egen hetvattenprod'!$B$1:$BX$550,MATCH("Avfall (GWh)",'Egen hetvattenprod'!$B$1:$BX$1,0),FALSE),"")</f>
        <v/>
      </c>
      <c r="BJ106" s="63" t="str">
        <f>IF($BF106="ja",VLOOKUP($B106,'Slutlig allokering kvv'!$B$1:$BX$550,MATCH("Avfall (GWh)",'Slutlig allokering kvv'!$B$1:$BX$1,0),FALSE),"")</f>
        <v/>
      </c>
      <c r="BK106" s="63" t="str">
        <f>IF($BF106="ja",VLOOKUP($B106,'Köpt hetvatten'!$B$1:$BX$550,MATCH("Avfall i köpt hetvatten",'Köpt hetvatten'!$B$1:$BX$1,0),FALSE),"")</f>
        <v/>
      </c>
      <c r="BL106" s="63" t="str">
        <f>IF($BF106="ja",VLOOKUP($B106,'Egen hetvattenprod'!$B$1:$BX$550,MATCH("Värde enligt ovan. (%)",'Egen hetvattenprod'!$B$1:$BX$1,0),FALSE),"")</f>
        <v/>
      </c>
      <c r="BM106" s="63" t="str">
        <f>IF($BF106="ja",VLOOKUP($B106,Kraftvärmeprod!$B$1:$BX$550,MATCH("Värde enligt ovan. (%)",Kraftvärmeprod!$B$1:$BX$1,0),FALSE),"")</f>
        <v/>
      </c>
    </row>
    <row r="107" spans="1:65" x14ac:dyDescent="0.45">
      <c r="A107" s="63" t="s">
        <v>550</v>
      </c>
      <c r="B107" s="63" t="s">
        <v>549</v>
      </c>
      <c r="C107" s="63">
        <f>VLOOKUP($B107,'Tillförd energi'!$B$1:$AI$720,MATCH(C$2,'Tillförd energi'!$B$1:$AQ$1,0),FALSE)</f>
        <v>0</v>
      </c>
      <c r="D107" s="63">
        <f>VLOOKUP($B107,'Tillförd energi'!$B$1:$AI$720,MATCH(D$2,'Tillförd energi'!$B$1:$AQ$1,0),FALSE)</f>
        <v>3.2000000000000001E-2</v>
      </c>
      <c r="E107" s="63">
        <f>VLOOKUP($B107,'Tillförd energi'!$B$1:$AI$720,MATCH(E$2,'Tillförd energi'!$B$1:$AQ$1,0),FALSE)</f>
        <v>0</v>
      </c>
      <c r="F107" s="63">
        <f>VLOOKUP($B107,'Tillförd energi'!$B$1:$AI$720,MATCH(F$2,'Tillförd energi'!$B$1:$AQ$1,0),FALSE)</f>
        <v>0</v>
      </c>
      <c r="G107" s="63">
        <f>VLOOKUP($B107,'Tillförd energi'!$B$1:$AI$720,MATCH(G$2,'Tillförd energi'!$B$1:$AQ$1,0),FALSE)</f>
        <v>0</v>
      </c>
      <c r="H107" s="63">
        <f>VLOOKUP($B107,'Tillförd energi'!$B$1:$AI$720,MATCH(H$2,'Tillförd energi'!$B$1:$AQ$1,0),FALSE)</f>
        <v>0</v>
      </c>
      <c r="I107" s="63">
        <f>VLOOKUP($B107,'Tillförd energi'!$B$1:$AI$720,MATCH(I$2,'Tillförd energi'!$B$1:$AQ$1,0),FALSE)</f>
        <v>0</v>
      </c>
      <c r="J107" s="63">
        <f>VLOOKUP($B107,'Tillförd energi'!$B$1:$AI$720,MATCH(J$2,'Tillförd energi'!$B$1:$AQ$1,0),FALSE)</f>
        <v>0</v>
      </c>
      <c r="K107" s="63">
        <f>VLOOKUP($B107,'Tillförd energi'!$B$1:$AI$720,MATCH(K$2,'Tillförd energi'!$B$1:$AQ$1,0),FALSE)</f>
        <v>0</v>
      </c>
      <c r="L107" s="63">
        <f>VLOOKUP($B107,'Tillförd energi'!$B$1:$AI$720,MATCH(L$2,'Tillförd energi'!$B$1:$AQ$1,0),FALSE)</f>
        <v>0</v>
      </c>
      <c r="M107" s="63">
        <f>VLOOKUP($B107,'Tillförd energi'!$B$1:$AI$720,MATCH(M$2,'Tillförd energi'!$B$1:$AQ$1,0),FALSE)</f>
        <v>0</v>
      </c>
      <c r="N107" s="63">
        <f>VLOOKUP($B107,'Tillförd energi'!$B$1:$AI$720,MATCH(N$2,'Tillförd energi'!$B$1:$AQ$1,0),FALSE)</f>
        <v>0</v>
      </c>
      <c r="O107" s="63">
        <f>VLOOKUP($B107,'Tillförd energi'!$B$1:$AI$720,MATCH(O$2,'Tillförd energi'!$B$1:$AQ$1,0),FALSE)</f>
        <v>0</v>
      </c>
      <c r="P107" s="63">
        <f>VLOOKUP($B107,'Tillförd energi'!$B$1:$AI$720,MATCH(P$2,'Tillförd energi'!$B$1:$AQ$1,0),FALSE)</f>
        <v>0</v>
      </c>
      <c r="Q107" s="63">
        <f>VLOOKUP($B107,'Tillförd energi'!$B$1:$AI$720,MATCH(Q$2,'Tillförd energi'!$B$1:$AQ$1,0),FALSE)</f>
        <v>0</v>
      </c>
      <c r="R107" s="63">
        <f>VLOOKUP($B107,'Tillförd energi'!$B$1:$AI$720,MATCH(R$2,'Tillförd energi'!$B$1:$AQ$1,0),FALSE)</f>
        <v>0.25700000000000001</v>
      </c>
      <c r="S107" s="63">
        <f>VLOOKUP($B107,'Tillförd energi'!$B$1:$AI$720,MATCH(S$2,'Tillförd energi'!$B$1:$AQ$1,0),FALSE)</f>
        <v>0</v>
      </c>
      <c r="T107" s="63">
        <f>VLOOKUP($B107,'Tillförd energi'!$B$1:$AI$720,MATCH(T$2,'Tillförd energi'!$B$1:$AQ$1,0),FALSE)</f>
        <v>0</v>
      </c>
      <c r="U107" s="63">
        <f>VLOOKUP($B107,'Tillförd energi'!$B$1:$AI$720,MATCH(U$2,'Tillförd energi'!$B$1:$AQ$1,0),FALSE)</f>
        <v>0</v>
      </c>
      <c r="V107" s="63">
        <f>VLOOKUP($B107,'Tillförd energi'!$B$1:$AI$720,MATCH(V$2,'Tillförd energi'!$B$1:$AQ$1,0),FALSE)</f>
        <v>0</v>
      </c>
      <c r="W107" s="63">
        <f>VLOOKUP($B107,'Tillförd energi'!$B$1:$AI$720,MATCH(W$2,'Tillförd energi'!$B$1:$AQ$1,0),FALSE)</f>
        <v>0</v>
      </c>
      <c r="X107" s="63">
        <f>VLOOKUP($B107,'Tillförd energi'!$B$1:$AI$720,MATCH(X$2,'Tillförd energi'!$B$1:$AQ$1,0),FALSE)</f>
        <v>0</v>
      </c>
      <c r="Y107" s="63">
        <f>VLOOKUP($B107,'Tillförd energi'!$B$1:$AI$720,MATCH(Y$2,'Tillförd energi'!$B$1:$AQ$1,0),FALSE)</f>
        <v>0</v>
      </c>
      <c r="Z107" s="63">
        <f>VLOOKUP($B107,'Tillförd energi'!$B$1:$AI$720,MATCH(Z$2,'Tillförd energi'!$B$1:$AQ$1,0),FALSE)</f>
        <v>0</v>
      </c>
      <c r="AA107" s="63">
        <f>VLOOKUP($B107,'Tillförd energi'!$B$1:$AI$720,MATCH(AA$2,'Tillförd energi'!$B$1:$AQ$1,0),FALSE)</f>
        <v>0</v>
      </c>
      <c r="AB107" s="63">
        <f>VLOOKUP($B107,'Tillförd energi'!$B$1:$AI$720,MATCH(AB$2,'Tillförd energi'!$B$1:$AQ$1,0),FALSE)</f>
        <v>0</v>
      </c>
      <c r="AC107" s="63">
        <f>VLOOKUP($B107,'Tillförd energi'!$B$1:$AI$720,MATCH(AC$2,'Tillförd energi'!$B$1:$AQ$1,0),FALSE)</f>
        <v>0</v>
      </c>
      <c r="AD107" s="63">
        <f>VLOOKUP($B107,'Tillförd energi'!$B$1:$AI$720,MATCH(AD$2,'Tillförd energi'!$B$1:$AQ$1,0),FALSE)</f>
        <v>0</v>
      </c>
      <c r="AE107" s="63">
        <f>VLOOKUP($B107,'Tillförd energi'!$B$1:$AI$720,MATCH(AE$2,'Tillförd energi'!$B$1:$AQ$1,0),FALSE)</f>
        <v>0</v>
      </c>
      <c r="AF107" s="63">
        <f>VLOOKUP($B107,'Tillförd energi'!$B$1:$AI$720,MATCH(AF$2,'Tillförd energi'!$B$1:$AQ$1,0),FALSE)</f>
        <v>8.1600000000000006E-3</v>
      </c>
      <c r="AG107" s="63">
        <f>IFERROR(VLOOKUP(B107,Miljö!$B$1:$AC$550,MATCH("Köpt mängd produktionsspecifik fjärrvärme:",Miljö!$B$1:$AC$1,0),FALSE)/1,0)</f>
        <v>0</v>
      </c>
      <c r="AI107" s="63">
        <f t="shared" si="6"/>
        <v>0.29716000000000004</v>
      </c>
      <c r="AJ107" s="63">
        <f>IF(ISERROR(1/VLOOKUP($B107,Leveranser!$B$1:$S$500,MATCH("såld värme (gwh)",Leveranser!$B$1:$S$1,0),FALSE)),"",VLOOKUP($B107,Leveranser!$B$1:$S$500,MATCH("såld värme (gwh)",Leveranser!$B$1:$S$1,0),FALSE))</f>
        <v>0.27200000000000002</v>
      </c>
      <c r="AM107" s="63" t="str">
        <f>IF(B107&lt;&gt;"",IF(VLOOKUP($B107,Totalt!$B$1:$AQ$554,MATCH("Kvalitetsgranskad:",Totalt!$B$1:$AQ$1,0),FALSE)="ja",VLOOKUP($B107,Miljö!$B$1:$AG$479,MATCH(AM$2,Miljö!$B$1:$AK$1,0),FALSE),""),"")</f>
        <v>Ja</v>
      </c>
      <c r="AN107" s="63" t="str">
        <f>IF(AM107="ja",VLOOKUP($B107,Miljö!$B$1:$J$479,MATCH("Typ av ursprungsspecificerad el   (Om inget värde anges används Nordisk residualmix, se inforuta) ()",Miljö!$B$1:$J$1,0),FALSE),IF(AM107="nej","Nordisk residualel",""))</f>
        <v>-</v>
      </c>
      <c r="AO107" s="63">
        <f>IF(AM107="","",VLOOKUP($B107,Miljö!$B$1:$J$479,MATCH("Fossilandel för ursprungspecificerad el ()",Miljö!$B$1:$J$1,0),FALSE))</f>
        <v>0.35</v>
      </c>
      <c r="AQ107" s="63">
        <f t="shared" si="7"/>
        <v>0.65</v>
      </c>
      <c r="AS107" s="63" t="str">
        <f t="shared" si="8"/>
        <v>Nej</v>
      </c>
      <c r="AT107" s="63" t="str">
        <f>IF(AS107="ja",VLOOKUP($B107,Miljö!$B$1:$P$500,MATCH("Fossil andel i procent (%)",Miljö!$B$1:$P$1,0),FALSE)/100,"")</f>
        <v/>
      </c>
      <c r="AV107" s="63" t="str">
        <f t="shared" si="9"/>
        <v>Nej</v>
      </c>
      <c r="AW107" s="63" t="str">
        <f>IF(AV107="ja",VLOOKUP($B107,'Egen hetvattenprod'!$B$1:$AO$500,MATCH("Värmekälla till värmepumpar ()",'Egen hetvattenprod'!$B$1:$AO$1,0),FALSE),"")</f>
        <v/>
      </c>
      <c r="AY107" s="63" t="str">
        <f t="shared" si="10"/>
        <v>Nej</v>
      </c>
      <c r="AZ107" s="77" t="str">
        <f>IF($AY107="ja",(VLOOKUP($B107,'Egen hetvattenprod'!$B$1:$BX$550,MATCH(AZ$2,'Egen hetvattenprod'!$B$1:$BX$1,0),FALSE)+VLOOKUP($B107,Kraftvärmeprod!$B$1:$BX$550,MATCH(AZ$2,Kraftvärmeprod!$B$1:$BX$1,0),FALSE))/$AC107,"")</f>
        <v/>
      </c>
      <c r="BA107" s="77" t="str">
        <f>IF($AY107="ja",(VLOOKUP($B107,'Egen hetvattenprod'!$B$1:$BX$550,MATCH(BA$2,'Egen hetvattenprod'!$B$1:$BX$1,0),FALSE)+VLOOKUP($B107,Kraftvärmeprod!$B$1:$BX$550,MATCH(BA$2,Kraftvärmeprod!$B$1:$BX$1,0),FALSE))/$AC107,"")</f>
        <v/>
      </c>
      <c r="BB107" s="77" t="str">
        <f>IF($AY107="ja",(VLOOKUP($B107,'Egen hetvattenprod'!$B$1:$BX$550,MATCH(BB$2,'Egen hetvattenprod'!$B$1:$BX$1,0),FALSE)+VLOOKUP($B107,Kraftvärmeprod!$B$1:$BX$550,MATCH(BB$2,Kraftvärmeprod!$B$1:$BX$1,0),FALSE))/$AC107,"")</f>
        <v/>
      </c>
      <c r="BC107" s="77" t="str">
        <f>IF($AY107="ja",(VLOOKUP($B107,'Egen hetvattenprod'!$B$1:$BX$550,MATCH(BC$2,'Egen hetvattenprod'!$B$1:$BX$1,0),FALSE)+VLOOKUP($B107,Kraftvärmeprod!$B$1:$BX$550,MATCH(BC$2,Kraftvärmeprod!$B$1:$BX$1,0),FALSE))/$AC107,"")</f>
        <v/>
      </c>
      <c r="BD107" s="77" t="str">
        <f>IF($AY107="ja",(VLOOKUP($B107,'Egen hetvattenprod'!$B$1:$BX$550,MATCH(BD$2,'Egen hetvattenprod'!$B$1:$BX$1,0),FALSE)+VLOOKUP($B107,Kraftvärmeprod!$B$1:$BX$550,MATCH(BD$2,Kraftvärmeprod!$B$1:$BX$1,0),FALSE))/$AC107,"")</f>
        <v/>
      </c>
      <c r="BF107" s="63" t="str">
        <f t="shared" si="11"/>
        <v>Nej</v>
      </c>
      <c r="BG107" s="63" t="str">
        <f>IF($BF107="ja",VLOOKUP($B107,'Egen hetvattenprod'!$B$1:$BX$550,MATCH("Andelen klimatgaser med fossilt ursprung för avfall ()",'Egen hetvattenprod'!$B$1:$BX$1,0),FALSE),"")</f>
        <v/>
      </c>
      <c r="BH107" s="63" t="str">
        <f>IF($BF107="ja",VLOOKUP($B107,Kraftvärmeprod!$B$1:$BX$550,MATCH("Andelen klimatgaser med fossilt ursprung för avfall ()",Kraftvärmeprod!$B$1:$BX$1,0),FALSE),"")</f>
        <v/>
      </c>
      <c r="BI107" s="63" t="str">
        <f>IF($BF107="ja",VLOOKUP($B107,'Egen hetvattenprod'!$B$1:$BX$550,MATCH("Avfall (GWh)",'Egen hetvattenprod'!$B$1:$BX$1,0),FALSE),"")</f>
        <v/>
      </c>
      <c r="BJ107" s="63" t="str">
        <f>IF($BF107="ja",VLOOKUP($B107,'Slutlig allokering kvv'!$B$1:$BX$550,MATCH("Avfall (GWh)",'Slutlig allokering kvv'!$B$1:$BX$1,0),FALSE),"")</f>
        <v/>
      </c>
      <c r="BK107" s="63" t="str">
        <f>IF($BF107="ja",VLOOKUP($B107,'Köpt hetvatten'!$B$1:$BX$550,MATCH("Avfall i köpt hetvatten",'Köpt hetvatten'!$B$1:$BX$1,0),FALSE),"")</f>
        <v/>
      </c>
      <c r="BL107" s="63" t="str">
        <f>IF($BF107="ja",VLOOKUP($B107,'Egen hetvattenprod'!$B$1:$BX$550,MATCH("Värde enligt ovan. (%)",'Egen hetvattenprod'!$B$1:$BX$1,0),FALSE),"")</f>
        <v/>
      </c>
      <c r="BM107" s="63" t="str">
        <f>IF($BF107="ja",VLOOKUP($B107,Kraftvärmeprod!$B$1:$BX$550,MATCH("Värde enligt ovan. (%)",Kraftvärmeprod!$B$1:$BX$1,0),FALSE),"")</f>
        <v/>
      </c>
    </row>
    <row r="108" spans="1:65" x14ac:dyDescent="0.45">
      <c r="A108" s="63" t="s">
        <v>548</v>
      </c>
      <c r="B108" s="63" t="s">
        <v>547</v>
      </c>
      <c r="C108" s="63">
        <f>VLOOKUP($B108,'Tillförd energi'!$B$1:$AI$720,MATCH(C$2,'Tillförd energi'!$B$1:$AQ$1,0),FALSE)</f>
        <v>0</v>
      </c>
      <c r="D108" s="63">
        <f>VLOOKUP($B108,'Tillförd energi'!$B$1:$AI$720,MATCH(D$2,'Tillförd energi'!$B$1:$AQ$1,0),FALSE)</f>
        <v>0</v>
      </c>
      <c r="E108" s="63">
        <f>VLOOKUP($B108,'Tillförd energi'!$B$1:$AI$720,MATCH(E$2,'Tillförd energi'!$B$1:$AQ$1,0),FALSE)</f>
        <v>0</v>
      </c>
      <c r="F108" s="63">
        <f>VLOOKUP($B108,'Tillförd energi'!$B$1:$AI$720,MATCH(F$2,'Tillförd energi'!$B$1:$AQ$1,0),FALSE)</f>
        <v>0</v>
      </c>
      <c r="G108" s="63">
        <f>VLOOKUP($B108,'Tillförd energi'!$B$1:$AI$720,MATCH(G$2,'Tillförd energi'!$B$1:$AQ$1,0),FALSE)</f>
        <v>0</v>
      </c>
      <c r="H108" s="63">
        <f>VLOOKUP($B108,'Tillförd energi'!$B$1:$AI$720,MATCH(H$2,'Tillförd energi'!$B$1:$AQ$1,0),FALSE)</f>
        <v>0</v>
      </c>
      <c r="I108" s="63">
        <f>VLOOKUP($B108,'Tillförd energi'!$B$1:$AI$720,MATCH(I$2,'Tillförd energi'!$B$1:$AQ$1,0),FALSE)</f>
        <v>428.35599999999999</v>
      </c>
      <c r="J108" s="63">
        <f>VLOOKUP($B108,'Tillförd energi'!$B$1:$AI$720,MATCH(J$2,'Tillförd energi'!$B$1:$AQ$1,0),FALSE)</f>
        <v>21.6</v>
      </c>
      <c r="K108" s="63">
        <f>VLOOKUP($B108,'Tillförd energi'!$B$1:$AI$720,MATCH(K$2,'Tillförd energi'!$B$1:$AQ$1,0),FALSE)</f>
        <v>0</v>
      </c>
      <c r="L108" s="63">
        <f>VLOOKUP($B108,'Tillförd energi'!$B$1:$AI$720,MATCH(L$2,'Tillförd energi'!$B$1:$AQ$1,0),FALSE)</f>
        <v>0</v>
      </c>
      <c r="M108" s="63">
        <f>VLOOKUP($B108,'Tillförd energi'!$B$1:$AI$720,MATCH(M$2,'Tillförd energi'!$B$1:$AQ$1,0),FALSE)</f>
        <v>0</v>
      </c>
      <c r="N108" s="63">
        <f>VLOOKUP($B108,'Tillförd energi'!$B$1:$AI$720,MATCH(N$2,'Tillförd energi'!$B$1:$AQ$1,0),FALSE)</f>
        <v>126.176</v>
      </c>
      <c r="O108" s="63">
        <f>VLOOKUP($B108,'Tillförd energi'!$B$1:$AI$720,MATCH(O$2,'Tillförd energi'!$B$1:$AQ$1,0),FALSE)</f>
        <v>0</v>
      </c>
      <c r="P108" s="63">
        <f>VLOOKUP($B108,'Tillförd energi'!$B$1:$AI$720,MATCH(P$2,'Tillförd energi'!$B$1:$AQ$1,0),FALSE)</f>
        <v>0</v>
      </c>
      <c r="Q108" s="63">
        <f>VLOOKUP($B108,'Tillförd energi'!$B$1:$AI$720,MATCH(Q$2,'Tillförd energi'!$B$1:$AQ$1,0),FALSE)</f>
        <v>0</v>
      </c>
      <c r="R108" s="63">
        <f>VLOOKUP($B108,'Tillförd energi'!$B$1:$AI$720,MATCH(R$2,'Tillförd energi'!$B$1:$AQ$1,0),FALSE)</f>
        <v>0</v>
      </c>
      <c r="S108" s="63">
        <f>VLOOKUP($B108,'Tillförd energi'!$B$1:$AI$720,MATCH(S$2,'Tillförd energi'!$B$1:$AQ$1,0),FALSE)</f>
        <v>0</v>
      </c>
      <c r="T108" s="63">
        <f>VLOOKUP($B108,'Tillförd energi'!$B$1:$AI$720,MATCH(T$2,'Tillförd energi'!$B$1:$AQ$1,0),FALSE)</f>
        <v>0</v>
      </c>
      <c r="U108" s="63">
        <f>VLOOKUP($B108,'Tillförd energi'!$B$1:$AI$720,MATCH(U$2,'Tillförd energi'!$B$1:$AQ$1,0),FALSE)</f>
        <v>0</v>
      </c>
      <c r="V108" s="63">
        <f>VLOOKUP($B108,'Tillförd energi'!$B$1:$AI$720,MATCH(V$2,'Tillförd energi'!$B$1:$AQ$1,0),FALSE)</f>
        <v>0</v>
      </c>
      <c r="W108" s="63">
        <f>VLOOKUP($B108,'Tillförd energi'!$B$1:$AI$720,MATCH(W$2,'Tillförd energi'!$B$1:$AQ$1,0),FALSE)</f>
        <v>2.3E-2</v>
      </c>
      <c r="X108" s="63">
        <f>VLOOKUP($B108,'Tillförd energi'!$B$1:$AI$720,MATCH(X$2,'Tillförd energi'!$B$1:$AQ$1,0),FALSE)</f>
        <v>0</v>
      </c>
      <c r="Y108" s="63">
        <f>VLOOKUP($B108,'Tillförd energi'!$B$1:$AI$720,MATCH(Y$2,'Tillförd energi'!$B$1:$AQ$1,0),FALSE)</f>
        <v>0</v>
      </c>
      <c r="Z108" s="63">
        <f>VLOOKUP($B108,'Tillförd energi'!$B$1:$AI$720,MATCH(Z$2,'Tillförd energi'!$B$1:$AQ$1,0),FALSE)</f>
        <v>0</v>
      </c>
      <c r="AA108" s="63">
        <f>VLOOKUP($B108,'Tillförd energi'!$B$1:$AI$720,MATCH(AA$2,'Tillförd energi'!$B$1:$AQ$1,0),FALSE)</f>
        <v>0</v>
      </c>
      <c r="AB108" s="63">
        <f>VLOOKUP($B108,'Tillförd energi'!$B$1:$AI$720,MATCH(AB$2,'Tillförd energi'!$B$1:$AQ$1,0),FALSE)</f>
        <v>0</v>
      </c>
      <c r="AC108" s="63">
        <f>VLOOKUP($B108,'Tillförd energi'!$B$1:$AI$720,MATCH(AC$2,'Tillförd energi'!$B$1:$AQ$1,0),FALSE)</f>
        <v>84.9</v>
      </c>
      <c r="AD108" s="63">
        <f>VLOOKUP($B108,'Tillförd energi'!$B$1:$AI$720,MATCH(AD$2,'Tillförd energi'!$B$1:$AQ$1,0),FALSE)</f>
        <v>12.69</v>
      </c>
      <c r="AE108" s="63">
        <f>VLOOKUP($B108,'Tillförd energi'!$B$1:$AI$720,MATCH(AE$2,'Tillförd energi'!$B$1:$AQ$1,0),FALSE)</f>
        <v>0</v>
      </c>
      <c r="AF108" s="63">
        <f>VLOOKUP($B108,'Tillförd energi'!$B$1:$AI$720,MATCH(AF$2,'Tillförd energi'!$B$1:$AQ$1,0),FALSE)</f>
        <v>21.870200000000001</v>
      </c>
      <c r="AG108" s="63">
        <f>IFERROR(VLOOKUP(B108,Miljö!$B$1:$AC$550,MATCH("Köpt mängd produktionsspecifik fjärrvärme:",Miljö!$B$1:$AC$1,0),FALSE)/1,0)</f>
        <v>0</v>
      </c>
      <c r="AI108" s="63">
        <f t="shared" si="6"/>
        <v>695.61520000000007</v>
      </c>
      <c r="AJ108" s="63">
        <f>IF(ISERROR(1/VLOOKUP($B108,Leveranser!$B$1:$S$500,MATCH("såld värme (gwh)",Leveranser!$B$1:$S$1,0),FALSE)),"",VLOOKUP($B108,Leveranser!$B$1:$S$500,MATCH("såld värme (gwh)",Leveranser!$B$1:$S$1,0),FALSE))</f>
        <v>537.70000000000005</v>
      </c>
      <c r="AM108" s="63" t="str">
        <f>IF(B108&lt;&gt;"",IF(VLOOKUP($B108,Totalt!$B$1:$AQ$554,MATCH("Kvalitetsgranskad:",Totalt!$B$1:$AQ$1,0),FALSE)="ja",VLOOKUP($B108,Miljö!$B$1:$AG$479,MATCH(AM$2,Miljö!$B$1:$AK$1,0),FALSE),""),"")</f>
        <v>Ja</v>
      </c>
      <c r="AN108" s="63" t="str">
        <f>IF(AM108="ja",VLOOKUP($B108,Miljö!$B$1:$J$479,MATCH("Typ av ursprungsspecificerad el   (Om inget värde anges används Nordisk residualmix, se inforuta) ()",Miljö!$B$1:$J$1,0),FALSE),IF(AM108="nej","Nordisk residualel",""))</f>
        <v>'Vattenkraftsel'</v>
      </c>
      <c r="AO108" s="63">
        <f>IF(AM108="","",VLOOKUP($B108,Miljö!$B$1:$J$479,MATCH("Fossilandel för ursprungspecificerad el ()",Miljö!$B$1:$J$1,0),FALSE))</f>
        <v>0</v>
      </c>
      <c r="AQ108" s="63">
        <f t="shared" si="7"/>
        <v>1</v>
      </c>
      <c r="AS108" s="63" t="str">
        <f t="shared" si="8"/>
        <v>Nej</v>
      </c>
      <c r="AT108" s="63" t="str">
        <f>IF(AS108="ja",VLOOKUP($B108,Miljö!$B$1:$P$500,MATCH("Fossil andel i procent (%)",Miljö!$B$1:$P$1,0),FALSE)/100,"")</f>
        <v/>
      </c>
      <c r="AV108" s="63" t="str">
        <f t="shared" si="9"/>
        <v>Nej</v>
      </c>
      <c r="AW108" s="63" t="str">
        <f>IF(AV108="ja",VLOOKUP($B108,'Egen hetvattenprod'!$B$1:$AO$500,MATCH("Värmekälla till värmepumpar ()",'Egen hetvattenprod'!$B$1:$AO$1,0),FALSE),"")</f>
        <v/>
      </c>
      <c r="AY108" s="63" t="str">
        <f t="shared" si="10"/>
        <v>Ja</v>
      </c>
      <c r="AZ108" s="77">
        <f>IF($AY108="ja",(VLOOKUP($B108,'Egen hetvattenprod'!$B$1:$BX$550,MATCH(AZ$2,'Egen hetvattenprod'!$B$1:$BX$1,0),FALSE)+VLOOKUP($B108,Kraftvärmeprod!$B$1:$BX$550,MATCH(AZ$2,Kraftvärmeprod!$B$1:$BX$1,0),FALSE))/$AC108,"")</f>
        <v>0.33661484098939931</v>
      </c>
      <c r="BA108" s="77">
        <f>IF($AY108="ja",(VLOOKUP($B108,'Egen hetvattenprod'!$B$1:$BX$550,MATCH(BA$2,'Egen hetvattenprod'!$B$1:$BX$1,0),FALSE)+VLOOKUP($B108,Kraftvärmeprod!$B$1:$BX$550,MATCH(BA$2,Kraftvärmeprod!$B$1:$BX$1,0),FALSE))/$AC108,"")</f>
        <v>0.66338515901060058</v>
      </c>
      <c r="BB108" s="77">
        <f>IF($AY108="ja",(VLOOKUP($B108,'Egen hetvattenprod'!$B$1:$BX$550,MATCH(BB$2,'Egen hetvattenprod'!$B$1:$BX$1,0),FALSE)+VLOOKUP($B108,Kraftvärmeprod!$B$1:$BX$550,MATCH(BB$2,Kraftvärmeprod!$B$1:$BX$1,0),FALSE))/$AC108,"")</f>
        <v>0</v>
      </c>
      <c r="BC108" s="77">
        <f>IF($AY108="ja",(VLOOKUP($B108,'Egen hetvattenprod'!$B$1:$BX$550,MATCH(BC$2,'Egen hetvattenprod'!$B$1:$BX$1,0),FALSE)+VLOOKUP($B108,Kraftvärmeprod!$B$1:$BX$550,MATCH(BC$2,Kraftvärmeprod!$B$1:$BX$1,0),FALSE))/$AC108,"")</f>
        <v>0</v>
      </c>
      <c r="BD108" s="77">
        <f>IF($AY108="ja",(VLOOKUP($B108,'Egen hetvattenprod'!$B$1:$BX$550,MATCH(BD$2,'Egen hetvattenprod'!$B$1:$BX$1,0),FALSE)+VLOOKUP($B108,Kraftvärmeprod!$B$1:$BX$550,MATCH(BD$2,Kraftvärmeprod!$B$1:$BX$1,0),FALSE))/$AC108,"")</f>
        <v>0</v>
      </c>
      <c r="BF108" s="63" t="str">
        <f t="shared" si="11"/>
        <v>Ja</v>
      </c>
      <c r="BG108" s="63" t="str">
        <f>IF($BF108="ja",VLOOKUP($B108,'Egen hetvattenprod'!$B$1:$BX$550,MATCH("Andelen klimatgaser med fossilt ursprung för avfall ()",'Egen hetvattenprod'!$B$1:$BX$1,0),FALSE),"")</f>
        <v>Mätvärde</v>
      </c>
      <c r="BH108" s="63" t="str">
        <f>IF($BF108="ja",VLOOKUP($B108,Kraftvärmeprod!$B$1:$BX$550,MATCH("Andelen klimatgaser med fossilt ursprung för avfall ()",Kraftvärmeprod!$B$1:$BX$1,0),FALSE),"")</f>
        <v>Mätvärde</v>
      </c>
      <c r="BI108" s="63">
        <f>IF($BF108="ja",VLOOKUP($B108,'Egen hetvattenprod'!$B$1:$BX$550,MATCH("Avfall (GWh)",'Egen hetvattenprod'!$B$1:$BX$1,0),FALSE),"")</f>
        <v>237.26900000000001</v>
      </c>
      <c r="BJ108" s="63">
        <f>IF($BF108="ja",VLOOKUP($B108,'Slutlig allokering kvv'!$B$1:$BX$550,MATCH("Avfall (GWh)",'Slutlig allokering kvv'!$B$1:$BX$1,0),FALSE),"")</f>
        <v>191.08699999999999</v>
      </c>
      <c r="BK108" s="63">
        <f>IF($BF108="ja",VLOOKUP($B108,'Köpt hetvatten'!$B$1:$BX$550,MATCH("Avfall i köpt hetvatten",'Köpt hetvatten'!$B$1:$BX$1,0),FALSE),"")</f>
        <v>0</v>
      </c>
      <c r="BL108" s="63">
        <f>IF($BF108="ja",VLOOKUP($B108,'Egen hetvattenprod'!$B$1:$BX$550,MATCH("Värde enligt ovan. (%)",'Egen hetvattenprod'!$B$1:$BX$1,0),FALSE),"")</f>
        <v>41.34</v>
      </c>
      <c r="BM108" s="63">
        <f>IF($BF108="ja",VLOOKUP($B108,Kraftvärmeprod!$B$1:$BX$550,MATCH("Värde enligt ovan. (%)",Kraftvärmeprod!$B$1:$BX$1,0),FALSE),"")</f>
        <v>50.2</v>
      </c>
    </row>
    <row r="109" spans="1:65" x14ac:dyDescent="0.45">
      <c r="A109" s="63" t="s">
        <v>546</v>
      </c>
      <c r="B109" s="63" t="s">
        <v>545</v>
      </c>
      <c r="C109" s="63">
        <f>VLOOKUP($B109,'Tillförd energi'!$B$1:$AI$720,MATCH(C$2,'Tillförd energi'!$B$1:$AQ$1,0),FALSE)</f>
        <v>0</v>
      </c>
      <c r="D109" s="63">
        <f>VLOOKUP($B109,'Tillförd energi'!$B$1:$AI$720,MATCH(D$2,'Tillförd energi'!$B$1:$AQ$1,0),FALSE)</f>
        <v>0.09</v>
      </c>
      <c r="E109" s="63">
        <f>VLOOKUP($B109,'Tillförd energi'!$B$1:$AI$720,MATCH(E$2,'Tillförd energi'!$B$1:$AQ$1,0),FALSE)</f>
        <v>0</v>
      </c>
      <c r="F109" s="63">
        <f>VLOOKUP($B109,'Tillförd energi'!$B$1:$AI$720,MATCH(F$2,'Tillförd energi'!$B$1:$AQ$1,0),FALSE)</f>
        <v>0</v>
      </c>
      <c r="G109" s="63">
        <f>VLOOKUP($B109,'Tillförd energi'!$B$1:$AI$720,MATCH(G$2,'Tillförd energi'!$B$1:$AQ$1,0),FALSE)</f>
        <v>0</v>
      </c>
      <c r="H109" s="63">
        <f>VLOOKUP($B109,'Tillförd energi'!$B$1:$AI$720,MATCH(H$2,'Tillförd energi'!$B$1:$AQ$1,0),FALSE)</f>
        <v>0</v>
      </c>
      <c r="I109" s="63">
        <f>VLOOKUP($B109,'Tillförd energi'!$B$1:$AI$720,MATCH(I$2,'Tillförd energi'!$B$1:$AQ$1,0),FALSE)</f>
        <v>0</v>
      </c>
      <c r="J109" s="63">
        <f>VLOOKUP($B109,'Tillförd energi'!$B$1:$AI$720,MATCH(J$2,'Tillförd energi'!$B$1:$AQ$1,0),FALSE)</f>
        <v>0</v>
      </c>
      <c r="K109" s="63">
        <f>VLOOKUP($B109,'Tillförd energi'!$B$1:$AI$720,MATCH(K$2,'Tillförd energi'!$B$1:$AQ$1,0),FALSE)</f>
        <v>0</v>
      </c>
      <c r="L109" s="63">
        <f>VLOOKUP($B109,'Tillförd energi'!$B$1:$AI$720,MATCH(L$2,'Tillförd energi'!$B$1:$AQ$1,0),FALSE)</f>
        <v>0</v>
      </c>
      <c r="M109" s="63">
        <f>VLOOKUP($B109,'Tillförd energi'!$B$1:$AI$720,MATCH(M$2,'Tillförd energi'!$B$1:$AQ$1,0),FALSE)</f>
        <v>0</v>
      </c>
      <c r="N109" s="63">
        <f>VLOOKUP($B109,'Tillförd energi'!$B$1:$AI$720,MATCH(N$2,'Tillförd energi'!$B$1:$AQ$1,0),FALSE)</f>
        <v>0</v>
      </c>
      <c r="O109" s="63">
        <f>VLOOKUP($B109,'Tillförd energi'!$B$1:$AI$720,MATCH(O$2,'Tillförd energi'!$B$1:$AQ$1,0),FALSE)</f>
        <v>0</v>
      </c>
      <c r="P109" s="63">
        <f>VLOOKUP($B109,'Tillförd energi'!$B$1:$AI$720,MATCH(P$2,'Tillförd energi'!$B$1:$AQ$1,0),FALSE)</f>
        <v>0</v>
      </c>
      <c r="Q109" s="63">
        <f>VLOOKUP($B109,'Tillförd energi'!$B$1:$AI$720,MATCH(Q$2,'Tillförd energi'!$B$1:$AQ$1,0),FALSE)</f>
        <v>0</v>
      </c>
      <c r="R109" s="63">
        <f>VLOOKUP($B109,'Tillförd energi'!$B$1:$AI$720,MATCH(R$2,'Tillförd energi'!$B$1:$AQ$1,0),FALSE)</f>
        <v>3.1</v>
      </c>
      <c r="S109" s="63">
        <f>VLOOKUP($B109,'Tillförd energi'!$B$1:$AI$720,MATCH(S$2,'Tillförd energi'!$B$1:$AQ$1,0),FALSE)</f>
        <v>0</v>
      </c>
      <c r="T109" s="63">
        <f>VLOOKUP($B109,'Tillförd energi'!$B$1:$AI$720,MATCH(T$2,'Tillförd energi'!$B$1:$AQ$1,0),FALSE)</f>
        <v>0</v>
      </c>
      <c r="U109" s="63">
        <f>VLOOKUP($B109,'Tillförd energi'!$B$1:$AI$720,MATCH(U$2,'Tillförd energi'!$B$1:$AQ$1,0),FALSE)</f>
        <v>0</v>
      </c>
      <c r="V109" s="63">
        <f>VLOOKUP($B109,'Tillförd energi'!$B$1:$AI$720,MATCH(V$2,'Tillförd energi'!$B$1:$AQ$1,0),FALSE)</f>
        <v>0</v>
      </c>
      <c r="W109" s="63">
        <f>VLOOKUP($B109,'Tillförd energi'!$B$1:$AI$720,MATCH(W$2,'Tillförd energi'!$B$1:$AQ$1,0),FALSE)</f>
        <v>0</v>
      </c>
      <c r="X109" s="63">
        <f>VLOOKUP($B109,'Tillförd energi'!$B$1:$AI$720,MATCH(X$2,'Tillförd energi'!$B$1:$AQ$1,0),FALSE)</f>
        <v>0</v>
      </c>
      <c r="Y109" s="63">
        <f>VLOOKUP($B109,'Tillförd energi'!$B$1:$AI$720,MATCH(Y$2,'Tillförd energi'!$B$1:$AQ$1,0),FALSE)</f>
        <v>0</v>
      </c>
      <c r="Z109" s="63">
        <f>VLOOKUP($B109,'Tillförd energi'!$B$1:$AI$720,MATCH(Z$2,'Tillförd energi'!$B$1:$AQ$1,0),FALSE)</f>
        <v>0</v>
      </c>
      <c r="AA109" s="63">
        <f>VLOOKUP($B109,'Tillförd energi'!$B$1:$AI$720,MATCH(AA$2,'Tillförd energi'!$B$1:$AQ$1,0),FALSE)</f>
        <v>0</v>
      </c>
      <c r="AB109" s="63">
        <f>VLOOKUP($B109,'Tillförd energi'!$B$1:$AI$720,MATCH(AB$2,'Tillförd energi'!$B$1:$AQ$1,0),FALSE)</f>
        <v>0</v>
      </c>
      <c r="AC109" s="63">
        <f>VLOOKUP($B109,'Tillförd energi'!$B$1:$AI$720,MATCH(AC$2,'Tillförd energi'!$B$1:$AQ$1,0),FALSE)</f>
        <v>0</v>
      </c>
      <c r="AD109" s="63">
        <f>VLOOKUP($B109,'Tillförd energi'!$B$1:$AI$720,MATCH(AD$2,'Tillförd energi'!$B$1:$AQ$1,0),FALSE)</f>
        <v>0</v>
      </c>
      <c r="AE109" s="63">
        <f>VLOOKUP($B109,'Tillförd energi'!$B$1:$AI$720,MATCH(AE$2,'Tillförd energi'!$B$1:$AQ$1,0),FALSE)</f>
        <v>0</v>
      </c>
      <c r="AF109" s="63">
        <f>VLOOKUP($B109,'Tillförd energi'!$B$1:$AI$720,MATCH(AF$2,'Tillförd energi'!$B$1:$AQ$1,0),FALSE)</f>
        <v>0.38</v>
      </c>
      <c r="AG109" s="63">
        <f>IFERROR(VLOOKUP(B109,Miljö!$B$1:$AC$550,MATCH("Köpt mängd produktionsspecifik fjärrvärme:",Miljö!$B$1:$AC$1,0),FALSE)/1,0)</f>
        <v>57.9</v>
      </c>
      <c r="AI109" s="63">
        <f t="shared" si="6"/>
        <v>61.47</v>
      </c>
      <c r="AJ109" s="63">
        <f>IF(ISERROR(1/VLOOKUP($B109,Leveranser!$B$1:$S$500,MATCH("såld värme (gwh)",Leveranser!$B$1:$S$1,0),FALSE)),"",VLOOKUP($B109,Leveranser!$B$1:$S$500,MATCH("såld värme (gwh)",Leveranser!$B$1:$S$1,0),FALSE))</f>
        <v>46.1</v>
      </c>
      <c r="AM109" s="63" t="str">
        <f>IF(B109&lt;&gt;"",IF(VLOOKUP($B109,Totalt!$B$1:$AQ$554,MATCH("Kvalitetsgranskad:",Totalt!$B$1:$AQ$1,0),FALSE)="ja",VLOOKUP($B109,Miljö!$B$1:$AG$479,MATCH(AM$2,Miljö!$B$1:$AK$1,0),FALSE),""),"")</f>
        <v>Ja</v>
      </c>
      <c r="AN109" s="63" t="str">
        <f>IF(AM109="ja",VLOOKUP($B109,Miljö!$B$1:$J$479,MATCH("Typ av ursprungsspecificerad el   (Om inget värde anges används Nordisk residualmix, se inforuta) ()",Miljö!$B$1:$J$1,0),FALSE),IF(AM109="nej","Nordisk residualel",""))</f>
        <v>'100% FÖRNYBAR'</v>
      </c>
      <c r="AO109" s="63">
        <f>IF(AM109="","",VLOOKUP($B109,Miljö!$B$1:$J$479,MATCH("Fossilandel för ursprungspecificerad el ()",Miljö!$B$1:$J$1,0),FALSE))</f>
        <v>0</v>
      </c>
      <c r="AQ109" s="63">
        <f t="shared" si="7"/>
        <v>1</v>
      </c>
      <c r="AS109" s="63" t="str">
        <f t="shared" si="8"/>
        <v>Ja</v>
      </c>
      <c r="AT109" s="63">
        <f>IF(AS109="ja",VLOOKUP($B109,Miljö!$B$1:$P$500,MATCH("Fossil andel i procent (%)",Miljö!$B$1:$P$1,0),FALSE)/100,"")</f>
        <v>5.0000000000000001E-3</v>
      </c>
      <c r="AV109" s="63" t="str">
        <f t="shared" si="9"/>
        <v>Nej</v>
      </c>
      <c r="AW109" s="63" t="str">
        <f>IF(AV109="ja",VLOOKUP($B109,'Egen hetvattenprod'!$B$1:$AO$500,MATCH("Värmekälla till värmepumpar ()",'Egen hetvattenprod'!$B$1:$AO$1,0),FALSE),"")</f>
        <v/>
      </c>
      <c r="AY109" s="63" t="str">
        <f t="shared" si="10"/>
        <v>Nej</v>
      </c>
      <c r="AZ109" s="77" t="str">
        <f>IF($AY109="ja",(VLOOKUP($B109,'Egen hetvattenprod'!$B$1:$BX$550,MATCH(AZ$2,'Egen hetvattenprod'!$B$1:$BX$1,0),FALSE)+VLOOKUP($B109,Kraftvärmeprod!$B$1:$BX$550,MATCH(AZ$2,Kraftvärmeprod!$B$1:$BX$1,0),FALSE))/$AC109,"")</f>
        <v/>
      </c>
      <c r="BA109" s="77" t="str">
        <f>IF($AY109="ja",(VLOOKUP($B109,'Egen hetvattenprod'!$B$1:$BX$550,MATCH(BA$2,'Egen hetvattenprod'!$B$1:$BX$1,0),FALSE)+VLOOKUP($B109,Kraftvärmeprod!$B$1:$BX$550,MATCH(BA$2,Kraftvärmeprod!$B$1:$BX$1,0),FALSE))/$AC109,"")</f>
        <v/>
      </c>
      <c r="BB109" s="77" t="str">
        <f>IF($AY109="ja",(VLOOKUP($B109,'Egen hetvattenprod'!$B$1:$BX$550,MATCH(BB$2,'Egen hetvattenprod'!$B$1:$BX$1,0),FALSE)+VLOOKUP($B109,Kraftvärmeprod!$B$1:$BX$550,MATCH(BB$2,Kraftvärmeprod!$B$1:$BX$1,0),FALSE))/$AC109,"")</f>
        <v/>
      </c>
      <c r="BC109" s="77" t="str">
        <f>IF($AY109="ja",(VLOOKUP($B109,'Egen hetvattenprod'!$B$1:$BX$550,MATCH(BC$2,'Egen hetvattenprod'!$B$1:$BX$1,0),FALSE)+VLOOKUP($B109,Kraftvärmeprod!$B$1:$BX$550,MATCH(BC$2,Kraftvärmeprod!$B$1:$BX$1,0),FALSE))/$AC109,"")</f>
        <v/>
      </c>
      <c r="BD109" s="77" t="str">
        <f>IF($AY109="ja",(VLOOKUP($B109,'Egen hetvattenprod'!$B$1:$BX$550,MATCH(BD$2,'Egen hetvattenprod'!$B$1:$BX$1,0),FALSE)+VLOOKUP($B109,Kraftvärmeprod!$B$1:$BX$550,MATCH(BD$2,Kraftvärmeprod!$B$1:$BX$1,0),FALSE))/$AC109,"")</f>
        <v/>
      </c>
      <c r="BF109" s="63" t="str">
        <f t="shared" si="11"/>
        <v>Nej</v>
      </c>
      <c r="BG109" s="63" t="str">
        <f>IF($BF109="ja",VLOOKUP($B109,'Egen hetvattenprod'!$B$1:$BX$550,MATCH("Andelen klimatgaser med fossilt ursprung för avfall ()",'Egen hetvattenprod'!$B$1:$BX$1,0),FALSE),"")</f>
        <v/>
      </c>
      <c r="BH109" s="63" t="str">
        <f>IF($BF109="ja",VLOOKUP($B109,Kraftvärmeprod!$B$1:$BX$550,MATCH("Andelen klimatgaser med fossilt ursprung för avfall ()",Kraftvärmeprod!$B$1:$BX$1,0),FALSE),"")</f>
        <v/>
      </c>
      <c r="BI109" s="63" t="str">
        <f>IF($BF109="ja",VLOOKUP($B109,'Egen hetvattenprod'!$B$1:$BX$550,MATCH("Avfall (GWh)",'Egen hetvattenprod'!$B$1:$BX$1,0),FALSE),"")</f>
        <v/>
      </c>
      <c r="BJ109" s="63" t="str">
        <f>IF($BF109="ja",VLOOKUP($B109,'Slutlig allokering kvv'!$B$1:$BX$550,MATCH("Avfall (GWh)",'Slutlig allokering kvv'!$B$1:$BX$1,0),FALSE),"")</f>
        <v/>
      </c>
      <c r="BK109" s="63" t="str">
        <f>IF($BF109="ja",VLOOKUP($B109,'Köpt hetvatten'!$B$1:$BX$550,MATCH("Avfall i köpt hetvatten",'Köpt hetvatten'!$B$1:$BX$1,0),FALSE),"")</f>
        <v/>
      </c>
      <c r="BL109" s="63" t="str">
        <f>IF($BF109="ja",VLOOKUP($B109,'Egen hetvattenprod'!$B$1:$BX$550,MATCH("Värde enligt ovan. (%)",'Egen hetvattenprod'!$B$1:$BX$1,0),FALSE),"")</f>
        <v/>
      </c>
      <c r="BM109" s="63" t="str">
        <f>IF($BF109="ja",VLOOKUP($B109,Kraftvärmeprod!$B$1:$BX$550,MATCH("Värde enligt ovan. (%)",Kraftvärmeprod!$B$1:$BX$1,0),FALSE),"")</f>
        <v/>
      </c>
    </row>
    <row r="110" spans="1:65" x14ac:dyDescent="0.45">
      <c r="A110" s="63" t="s">
        <v>543</v>
      </c>
      <c r="B110" s="63" t="s">
        <v>542</v>
      </c>
      <c r="C110" s="63">
        <f>VLOOKUP($B110,'Tillförd energi'!$B$1:$AI$720,MATCH(C$2,'Tillförd energi'!$B$1:$AQ$1,0),FALSE)</f>
        <v>0</v>
      </c>
      <c r="D110" s="63">
        <f>VLOOKUP($B110,'Tillförd energi'!$B$1:$AI$720,MATCH(D$2,'Tillförd energi'!$B$1:$AQ$1,0),FALSE)</f>
        <v>2.7930600000000001</v>
      </c>
      <c r="E110" s="63">
        <f>VLOOKUP($B110,'Tillförd energi'!$B$1:$AI$720,MATCH(E$2,'Tillförd energi'!$B$1:$AQ$1,0),FALSE)</f>
        <v>0</v>
      </c>
      <c r="F110" s="63">
        <f>VLOOKUP($B110,'Tillförd energi'!$B$1:$AI$720,MATCH(F$2,'Tillförd energi'!$B$1:$AQ$1,0),FALSE)</f>
        <v>0</v>
      </c>
      <c r="G110" s="63">
        <f>VLOOKUP($B110,'Tillförd energi'!$B$1:$AI$720,MATCH(G$2,'Tillförd energi'!$B$1:$AQ$1,0),FALSE)</f>
        <v>0</v>
      </c>
      <c r="H110" s="63">
        <f>VLOOKUP($B110,'Tillförd energi'!$B$1:$AI$720,MATCH(H$2,'Tillförd energi'!$B$1:$AQ$1,0),FALSE)</f>
        <v>0</v>
      </c>
      <c r="I110" s="63">
        <f>VLOOKUP($B110,'Tillförd energi'!$B$1:$AI$720,MATCH(I$2,'Tillförd energi'!$B$1:$AQ$1,0),FALSE)</f>
        <v>0</v>
      </c>
      <c r="J110" s="63">
        <f>VLOOKUP($B110,'Tillförd energi'!$B$1:$AI$720,MATCH(J$2,'Tillförd energi'!$B$1:$AQ$1,0),FALSE)</f>
        <v>0</v>
      </c>
      <c r="K110" s="63">
        <f>VLOOKUP($B110,'Tillförd energi'!$B$1:$AI$720,MATCH(K$2,'Tillförd energi'!$B$1:$AQ$1,0),FALSE)</f>
        <v>0</v>
      </c>
      <c r="L110" s="63">
        <f>VLOOKUP($B110,'Tillförd energi'!$B$1:$AI$720,MATCH(L$2,'Tillförd energi'!$B$1:$AQ$1,0),FALSE)</f>
        <v>0</v>
      </c>
      <c r="M110" s="63">
        <f>VLOOKUP($B110,'Tillförd energi'!$B$1:$AI$720,MATCH(M$2,'Tillförd energi'!$B$1:$AQ$1,0),FALSE)</f>
        <v>0</v>
      </c>
      <c r="N110" s="63">
        <f>VLOOKUP($B110,'Tillförd energi'!$B$1:$AI$720,MATCH(N$2,'Tillförd energi'!$B$1:$AQ$1,0),FALSE)</f>
        <v>0</v>
      </c>
      <c r="O110" s="63">
        <f>VLOOKUP($B110,'Tillförd energi'!$B$1:$AI$720,MATCH(O$2,'Tillförd energi'!$B$1:$AQ$1,0),FALSE)</f>
        <v>0</v>
      </c>
      <c r="P110" s="63">
        <f>VLOOKUP($B110,'Tillförd energi'!$B$1:$AI$720,MATCH(P$2,'Tillförd energi'!$B$1:$AQ$1,0),FALSE)</f>
        <v>0</v>
      </c>
      <c r="Q110" s="63">
        <f>VLOOKUP($B110,'Tillförd energi'!$B$1:$AI$720,MATCH(Q$2,'Tillförd energi'!$B$1:$AQ$1,0),FALSE)</f>
        <v>0</v>
      </c>
      <c r="R110" s="63">
        <f>VLOOKUP($B110,'Tillförd energi'!$B$1:$AI$720,MATCH(R$2,'Tillförd energi'!$B$1:$AQ$1,0),FALSE)</f>
        <v>0</v>
      </c>
      <c r="S110" s="63">
        <f>VLOOKUP($B110,'Tillförd energi'!$B$1:$AI$720,MATCH(S$2,'Tillförd energi'!$B$1:$AQ$1,0),FALSE)</f>
        <v>0</v>
      </c>
      <c r="T110" s="63">
        <f>VLOOKUP($B110,'Tillförd energi'!$B$1:$AI$720,MATCH(T$2,'Tillförd energi'!$B$1:$AQ$1,0),FALSE)</f>
        <v>0</v>
      </c>
      <c r="U110" s="63">
        <f>VLOOKUP($B110,'Tillförd energi'!$B$1:$AI$720,MATCH(U$2,'Tillförd energi'!$B$1:$AQ$1,0),FALSE)</f>
        <v>0</v>
      </c>
      <c r="V110" s="63">
        <f>VLOOKUP($B110,'Tillförd energi'!$B$1:$AI$720,MATCH(V$2,'Tillförd energi'!$B$1:$AQ$1,0),FALSE)</f>
        <v>0</v>
      </c>
      <c r="W110" s="63">
        <f>VLOOKUP($B110,'Tillförd energi'!$B$1:$AI$720,MATCH(W$2,'Tillförd energi'!$B$1:$AQ$1,0),FALSE)</f>
        <v>0</v>
      </c>
      <c r="X110" s="63">
        <f>VLOOKUP($B110,'Tillförd energi'!$B$1:$AI$720,MATCH(X$2,'Tillförd energi'!$B$1:$AQ$1,0),FALSE)</f>
        <v>0</v>
      </c>
      <c r="Y110" s="63">
        <f>VLOOKUP($B110,'Tillförd energi'!$B$1:$AI$720,MATCH(Y$2,'Tillförd energi'!$B$1:$AQ$1,0),FALSE)</f>
        <v>58.997100000000003</v>
      </c>
      <c r="Z110" s="63">
        <f>VLOOKUP($B110,'Tillförd energi'!$B$1:$AI$720,MATCH(Z$2,'Tillförd energi'!$B$1:$AQ$1,0),FALSE)</f>
        <v>0</v>
      </c>
      <c r="AA110" s="63">
        <f>VLOOKUP($B110,'Tillförd energi'!$B$1:$AI$720,MATCH(AA$2,'Tillförd energi'!$B$1:$AQ$1,0),FALSE)</f>
        <v>0</v>
      </c>
      <c r="AB110" s="63">
        <f>VLOOKUP($B110,'Tillförd energi'!$B$1:$AI$720,MATCH(AB$2,'Tillförd energi'!$B$1:$AQ$1,0),FALSE)</f>
        <v>0</v>
      </c>
      <c r="AC110" s="63">
        <f>VLOOKUP($B110,'Tillförd energi'!$B$1:$AI$720,MATCH(AC$2,'Tillförd energi'!$B$1:$AQ$1,0),FALSE)</f>
        <v>0</v>
      </c>
      <c r="AD110" s="63">
        <f>VLOOKUP($B110,'Tillförd energi'!$B$1:$AI$720,MATCH(AD$2,'Tillförd energi'!$B$1:$AQ$1,0),FALSE)</f>
        <v>0</v>
      </c>
      <c r="AE110" s="63">
        <f>VLOOKUP($B110,'Tillförd energi'!$B$1:$AI$720,MATCH(AE$2,'Tillförd energi'!$B$1:$AQ$1,0),FALSE)</f>
        <v>0</v>
      </c>
      <c r="AF110" s="63">
        <f>VLOOKUP($B110,'Tillförd energi'!$B$1:$AI$720,MATCH(AF$2,'Tillförd energi'!$B$1:$AQ$1,0),FALSE)</f>
        <v>0.44800000000000001</v>
      </c>
      <c r="AG110" s="63">
        <f>IFERROR(VLOOKUP(B110,Miljö!$B$1:$AC$550,MATCH("Köpt mängd produktionsspecifik fjärrvärme:",Miljö!$B$1:$AC$1,0),FALSE)/1,0)</f>
        <v>0</v>
      </c>
      <c r="AI110" s="63">
        <f t="shared" si="6"/>
        <v>62.238160000000001</v>
      </c>
      <c r="AJ110" s="63">
        <f>IF(ISERROR(1/VLOOKUP($B110,Leveranser!$B$1:$S$500,MATCH("såld värme (gwh)",Leveranser!$B$1:$S$1,0),FALSE)),"",VLOOKUP($B110,Leveranser!$B$1:$S$500,MATCH("såld värme (gwh)",Leveranser!$B$1:$S$1,0),FALSE))</f>
        <v>43.280999999999999</v>
      </c>
      <c r="AM110" s="63" t="str">
        <f>IF(B110&lt;&gt;"",IF(VLOOKUP($B110,Totalt!$B$1:$AQ$554,MATCH("Kvalitetsgranskad:",Totalt!$B$1:$AQ$1,0),FALSE)="ja",VLOOKUP($B110,Miljö!$B$1:$AG$479,MATCH(AM$2,Miljö!$B$1:$AK$1,0),FALSE),""),"")</f>
        <v>Ja</v>
      </c>
      <c r="AN110" s="63" t="str">
        <f>IF(AM110="ja",VLOOKUP($B110,Miljö!$B$1:$J$479,MATCH("Typ av ursprungsspecificerad el   (Om inget värde anges används Nordisk residualmix, se inforuta) ()",Miljö!$B$1:$J$1,0),FALSE),IF(AM110="nej","Nordisk residualel",""))</f>
        <v>'Vattenkraft EDP'</v>
      </c>
      <c r="AO110" s="63">
        <f>IF(AM110="","",VLOOKUP($B110,Miljö!$B$1:$J$479,MATCH("Fossilandel för ursprungspecificerad el ()",Miljö!$B$1:$J$1,0),FALSE))</f>
        <v>0</v>
      </c>
      <c r="AQ110" s="63">
        <f t="shared" si="7"/>
        <v>1</v>
      </c>
      <c r="AS110" s="63" t="str">
        <f t="shared" si="8"/>
        <v>Nej</v>
      </c>
      <c r="AT110" s="63" t="str">
        <f>IF(AS110="ja",VLOOKUP($B110,Miljö!$B$1:$P$500,MATCH("Fossil andel i procent (%)",Miljö!$B$1:$P$1,0),FALSE)/100,"")</f>
        <v/>
      </c>
      <c r="AV110" s="63" t="str">
        <f t="shared" si="9"/>
        <v>Nej</v>
      </c>
      <c r="AW110" s="63" t="str">
        <f>IF(AV110="ja",VLOOKUP($B110,'Egen hetvattenprod'!$B$1:$AO$500,MATCH("Värmekälla till värmepumpar ()",'Egen hetvattenprod'!$B$1:$AO$1,0),FALSE),"")</f>
        <v/>
      </c>
      <c r="AY110" s="63" t="str">
        <f t="shared" si="10"/>
        <v>Nej</v>
      </c>
      <c r="AZ110" s="77" t="str">
        <f>IF($AY110="ja",(VLOOKUP($B110,'Egen hetvattenprod'!$B$1:$BX$550,MATCH(AZ$2,'Egen hetvattenprod'!$B$1:$BX$1,0),FALSE)+VLOOKUP($B110,Kraftvärmeprod!$B$1:$BX$550,MATCH(AZ$2,Kraftvärmeprod!$B$1:$BX$1,0),FALSE))/$AC110,"")</f>
        <v/>
      </c>
      <c r="BA110" s="77" t="str">
        <f>IF($AY110="ja",(VLOOKUP($B110,'Egen hetvattenprod'!$B$1:$BX$550,MATCH(BA$2,'Egen hetvattenprod'!$B$1:$BX$1,0),FALSE)+VLOOKUP($B110,Kraftvärmeprod!$B$1:$BX$550,MATCH(BA$2,Kraftvärmeprod!$B$1:$BX$1,0),FALSE))/$AC110,"")</f>
        <v/>
      </c>
      <c r="BB110" s="77" t="str">
        <f>IF($AY110="ja",(VLOOKUP($B110,'Egen hetvattenprod'!$B$1:$BX$550,MATCH(BB$2,'Egen hetvattenprod'!$B$1:$BX$1,0),FALSE)+VLOOKUP($B110,Kraftvärmeprod!$B$1:$BX$550,MATCH(BB$2,Kraftvärmeprod!$B$1:$BX$1,0),FALSE))/$AC110,"")</f>
        <v/>
      </c>
      <c r="BC110" s="77" t="str">
        <f>IF($AY110="ja",(VLOOKUP($B110,'Egen hetvattenprod'!$B$1:$BX$550,MATCH(BC$2,'Egen hetvattenprod'!$B$1:$BX$1,0),FALSE)+VLOOKUP($B110,Kraftvärmeprod!$B$1:$BX$550,MATCH(BC$2,Kraftvärmeprod!$B$1:$BX$1,0),FALSE))/$AC110,"")</f>
        <v/>
      </c>
      <c r="BD110" s="77" t="str">
        <f>IF($AY110="ja",(VLOOKUP($B110,'Egen hetvattenprod'!$B$1:$BX$550,MATCH(BD$2,'Egen hetvattenprod'!$B$1:$BX$1,0),FALSE)+VLOOKUP($B110,Kraftvärmeprod!$B$1:$BX$550,MATCH(BD$2,Kraftvärmeprod!$B$1:$BX$1,0),FALSE))/$AC110,"")</f>
        <v/>
      </c>
      <c r="BF110" s="63" t="str">
        <f t="shared" si="11"/>
        <v>Nej</v>
      </c>
      <c r="BG110" s="63" t="str">
        <f>IF($BF110="ja",VLOOKUP($B110,'Egen hetvattenprod'!$B$1:$BX$550,MATCH("Andelen klimatgaser med fossilt ursprung för avfall ()",'Egen hetvattenprod'!$B$1:$BX$1,0),FALSE),"")</f>
        <v/>
      </c>
      <c r="BH110" s="63" t="str">
        <f>IF($BF110="ja",VLOOKUP($B110,Kraftvärmeprod!$B$1:$BX$550,MATCH("Andelen klimatgaser med fossilt ursprung för avfall ()",Kraftvärmeprod!$B$1:$BX$1,0),FALSE),"")</f>
        <v/>
      </c>
      <c r="BI110" s="63" t="str">
        <f>IF($BF110="ja",VLOOKUP($B110,'Egen hetvattenprod'!$B$1:$BX$550,MATCH("Avfall (GWh)",'Egen hetvattenprod'!$B$1:$BX$1,0),FALSE),"")</f>
        <v/>
      </c>
      <c r="BJ110" s="63" t="str">
        <f>IF($BF110="ja",VLOOKUP($B110,'Slutlig allokering kvv'!$B$1:$BX$550,MATCH("Avfall (GWh)",'Slutlig allokering kvv'!$B$1:$BX$1,0),FALSE),"")</f>
        <v/>
      </c>
      <c r="BK110" s="63" t="str">
        <f>IF($BF110="ja",VLOOKUP($B110,'Köpt hetvatten'!$B$1:$BX$550,MATCH("Avfall i köpt hetvatten",'Köpt hetvatten'!$B$1:$BX$1,0),FALSE),"")</f>
        <v/>
      </c>
      <c r="BL110" s="63" t="str">
        <f>IF($BF110="ja",VLOOKUP($B110,'Egen hetvattenprod'!$B$1:$BX$550,MATCH("Värde enligt ovan. (%)",'Egen hetvattenprod'!$B$1:$BX$1,0),FALSE),"")</f>
        <v/>
      </c>
      <c r="BM110" s="63" t="str">
        <f>IF($BF110="ja",VLOOKUP($B110,Kraftvärmeprod!$B$1:$BX$550,MATCH("Värde enligt ovan. (%)",Kraftvärmeprod!$B$1:$BX$1,0),FALSE),"")</f>
        <v/>
      </c>
    </row>
    <row r="111" spans="1:65" x14ac:dyDescent="0.45">
      <c r="A111" s="63" t="s">
        <v>543</v>
      </c>
      <c r="B111" s="63" t="s">
        <v>544</v>
      </c>
      <c r="C111" s="63">
        <f>VLOOKUP($B111,'Tillförd energi'!$B$1:$AI$720,MATCH(C$2,'Tillförd energi'!$B$1:$AQ$1,0),FALSE)</f>
        <v>0</v>
      </c>
      <c r="D111" s="63">
        <f>VLOOKUP($B111,'Tillförd energi'!$B$1:$AI$720,MATCH(D$2,'Tillförd energi'!$B$1:$AQ$1,0),FALSE)</f>
        <v>0</v>
      </c>
      <c r="E111" s="63">
        <f>VLOOKUP($B111,'Tillförd energi'!$B$1:$AI$720,MATCH(E$2,'Tillförd energi'!$B$1:$AQ$1,0),FALSE)</f>
        <v>0</v>
      </c>
      <c r="F111" s="63">
        <f>VLOOKUP($B111,'Tillförd energi'!$B$1:$AI$720,MATCH(F$2,'Tillförd energi'!$B$1:$AQ$1,0),FALSE)</f>
        <v>0</v>
      </c>
      <c r="G111" s="63">
        <f>VLOOKUP($B111,'Tillförd energi'!$B$1:$AI$720,MATCH(G$2,'Tillförd energi'!$B$1:$AQ$1,0),FALSE)</f>
        <v>0</v>
      </c>
      <c r="H111" s="63">
        <f>VLOOKUP($B111,'Tillförd energi'!$B$1:$AI$720,MATCH(H$2,'Tillförd energi'!$B$1:$AQ$1,0),FALSE)</f>
        <v>0</v>
      </c>
      <c r="I111" s="63">
        <f>VLOOKUP($B111,'Tillförd energi'!$B$1:$AI$720,MATCH(I$2,'Tillförd energi'!$B$1:$AQ$1,0),FALSE)</f>
        <v>0</v>
      </c>
      <c r="J111" s="63">
        <f>VLOOKUP($B111,'Tillförd energi'!$B$1:$AI$720,MATCH(J$2,'Tillförd energi'!$B$1:$AQ$1,0),FALSE)</f>
        <v>0</v>
      </c>
      <c r="K111" s="63">
        <f>VLOOKUP($B111,'Tillförd energi'!$B$1:$AI$720,MATCH(K$2,'Tillförd energi'!$B$1:$AQ$1,0),FALSE)</f>
        <v>0</v>
      </c>
      <c r="L111" s="63">
        <f>VLOOKUP($B111,'Tillförd energi'!$B$1:$AI$720,MATCH(L$2,'Tillförd energi'!$B$1:$AQ$1,0),FALSE)</f>
        <v>0</v>
      </c>
      <c r="M111" s="63">
        <f>VLOOKUP($B111,'Tillförd energi'!$B$1:$AI$720,MATCH(M$2,'Tillförd energi'!$B$1:$AQ$1,0),FALSE)</f>
        <v>0</v>
      </c>
      <c r="N111" s="63">
        <f>VLOOKUP($B111,'Tillförd energi'!$B$1:$AI$720,MATCH(N$2,'Tillförd energi'!$B$1:$AQ$1,0),FALSE)</f>
        <v>0</v>
      </c>
      <c r="O111" s="63">
        <f>VLOOKUP($B111,'Tillförd energi'!$B$1:$AI$720,MATCH(O$2,'Tillförd energi'!$B$1:$AQ$1,0),FALSE)</f>
        <v>0</v>
      </c>
      <c r="P111" s="63">
        <f>VLOOKUP($B111,'Tillförd energi'!$B$1:$AI$720,MATCH(P$2,'Tillförd energi'!$B$1:$AQ$1,0),FALSE)</f>
        <v>12.157999999999999</v>
      </c>
      <c r="Q111" s="63">
        <f>VLOOKUP($B111,'Tillförd energi'!$B$1:$AI$720,MATCH(Q$2,'Tillförd energi'!$B$1:$AQ$1,0),FALSE)</f>
        <v>0</v>
      </c>
      <c r="R111" s="63">
        <f>VLOOKUP($B111,'Tillförd energi'!$B$1:$AI$720,MATCH(R$2,'Tillförd energi'!$B$1:$AQ$1,0),FALSE)</f>
        <v>3.0110000000000001</v>
      </c>
      <c r="S111" s="63">
        <f>VLOOKUP($B111,'Tillförd energi'!$B$1:$AI$720,MATCH(S$2,'Tillförd energi'!$B$1:$AQ$1,0),FALSE)</f>
        <v>0</v>
      </c>
      <c r="T111" s="63">
        <f>VLOOKUP($B111,'Tillförd energi'!$B$1:$AI$720,MATCH(T$2,'Tillförd energi'!$B$1:$AQ$1,0),FALSE)</f>
        <v>0</v>
      </c>
      <c r="U111" s="63">
        <f>VLOOKUP($B111,'Tillförd energi'!$B$1:$AI$720,MATCH(U$2,'Tillförd energi'!$B$1:$AQ$1,0),FALSE)</f>
        <v>0</v>
      </c>
      <c r="V111" s="63">
        <f>VLOOKUP($B111,'Tillförd energi'!$B$1:$AI$720,MATCH(V$2,'Tillförd energi'!$B$1:$AQ$1,0),FALSE)</f>
        <v>0</v>
      </c>
      <c r="W111" s="63">
        <f>VLOOKUP($B111,'Tillförd energi'!$B$1:$AI$720,MATCH(W$2,'Tillförd energi'!$B$1:$AQ$1,0),FALSE)</f>
        <v>2.7170000000000001</v>
      </c>
      <c r="X111" s="63">
        <f>VLOOKUP($B111,'Tillförd energi'!$B$1:$AI$720,MATCH(X$2,'Tillförd energi'!$B$1:$AQ$1,0),FALSE)</f>
        <v>0</v>
      </c>
      <c r="Y111" s="63">
        <f>VLOOKUP($B111,'Tillförd energi'!$B$1:$AI$720,MATCH(Y$2,'Tillförd energi'!$B$1:$AQ$1,0),FALSE)</f>
        <v>0</v>
      </c>
      <c r="Z111" s="63">
        <f>VLOOKUP($B111,'Tillförd energi'!$B$1:$AI$720,MATCH(Z$2,'Tillförd energi'!$B$1:$AQ$1,0),FALSE)</f>
        <v>0</v>
      </c>
      <c r="AA111" s="63">
        <f>VLOOKUP($B111,'Tillförd energi'!$B$1:$AI$720,MATCH(AA$2,'Tillförd energi'!$B$1:$AQ$1,0),FALSE)</f>
        <v>0</v>
      </c>
      <c r="AB111" s="63">
        <f>VLOOKUP($B111,'Tillförd energi'!$B$1:$AI$720,MATCH(AB$2,'Tillförd energi'!$B$1:$AQ$1,0),FALSE)</f>
        <v>0</v>
      </c>
      <c r="AC111" s="63">
        <f>VLOOKUP($B111,'Tillförd energi'!$B$1:$AI$720,MATCH(AC$2,'Tillförd energi'!$B$1:$AQ$1,0),FALSE)</f>
        <v>0</v>
      </c>
      <c r="AD111" s="63">
        <f>VLOOKUP($B111,'Tillförd energi'!$B$1:$AI$720,MATCH(AD$2,'Tillförd energi'!$B$1:$AQ$1,0),FALSE)</f>
        <v>0</v>
      </c>
      <c r="AE111" s="63">
        <f>VLOOKUP($B111,'Tillförd energi'!$B$1:$AI$720,MATCH(AE$2,'Tillförd energi'!$B$1:$AQ$1,0),FALSE)</f>
        <v>0</v>
      </c>
      <c r="AF111" s="63">
        <f>VLOOKUP($B111,'Tillförd energi'!$B$1:$AI$720,MATCH(AF$2,'Tillförd energi'!$B$1:$AQ$1,0),FALSE)</f>
        <v>0.14899999999999999</v>
      </c>
      <c r="AG111" s="63">
        <f>IFERROR(VLOOKUP(B111,Miljö!$B$1:$AC$550,MATCH("Köpt mängd produktionsspecifik fjärrvärme:",Miljö!$B$1:$AC$1,0),FALSE)/1,0)</f>
        <v>0</v>
      </c>
      <c r="AI111" s="63">
        <f t="shared" si="6"/>
        <v>18.035</v>
      </c>
      <c r="AJ111" s="63">
        <f>IF(ISERROR(1/VLOOKUP($B111,Leveranser!$B$1:$S$500,MATCH("såld värme (gwh)",Leveranser!$B$1:$S$1,0),FALSE)),"",VLOOKUP($B111,Leveranser!$B$1:$S$500,MATCH("såld värme (gwh)",Leveranser!$B$1:$S$1,0),FALSE))</f>
        <v>14</v>
      </c>
      <c r="AM111" s="63" t="str">
        <f>IF(B111&lt;&gt;"",IF(VLOOKUP($B111,Totalt!$B$1:$AQ$554,MATCH("Kvalitetsgranskad:",Totalt!$B$1:$AQ$1,0),FALSE)="ja",VLOOKUP($B111,Miljö!$B$1:$AG$479,MATCH(AM$2,Miljö!$B$1:$AK$1,0),FALSE),""),"")</f>
        <v>Ja</v>
      </c>
      <c r="AN111" s="63" t="str">
        <f>IF(AM111="ja",VLOOKUP($B111,Miljö!$B$1:$J$479,MATCH("Typ av ursprungsspecificerad el   (Om inget värde anges används Nordisk residualmix, se inforuta) ()",Miljö!$B$1:$J$1,0),FALSE),IF(AM111="nej","Nordisk residualel",""))</f>
        <v>'Vattenkraft EPD'</v>
      </c>
      <c r="AO111" s="63">
        <f>IF(AM111="","",VLOOKUP($B111,Miljö!$B$1:$J$479,MATCH("Fossilandel för ursprungspecificerad el ()",Miljö!$B$1:$J$1,0),FALSE))</f>
        <v>0</v>
      </c>
      <c r="AQ111" s="63">
        <f t="shared" si="7"/>
        <v>1</v>
      </c>
      <c r="AS111" s="63" t="str">
        <f t="shared" si="8"/>
        <v>Nej</v>
      </c>
      <c r="AT111" s="63" t="str">
        <f>IF(AS111="ja",VLOOKUP($B111,Miljö!$B$1:$P$500,MATCH("Fossil andel i procent (%)",Miljö!$B$1:$P$1,0),FALSE)/100,"")</f>
        <v/>
      </c>
      <c r="AV111" s="63" t="str">
        <f t="shared" si="9"/>
        <v>Nej</v>
      </c>
      <c r="AW111" s="63" t="str">
        <f>IF(AV111="ja",VLOOKUP($B111,'Egen hetvattenprod'!$B$1:$AO$500,MATCH("Värmekälla till värmepumpar ()",'Egen hetvattenprod'!$B$1:$AO$1,0),FALSE),"")</f>
        <v/>
      </c>
      <c r="AY111" s="63" t="str">
        <f t="shared" si="10"/>
        <v>Nej</v>
      </c>
      <c r="AZ111" s="77" t="str">
        <f>IF($AY111="ja",(VLOOKUP($B111,'Egen hetvattenprod'!$B$1:$BX$550,MATCH(AZ$2,'Egen hetvattenprod'!$B$1:$BX$1,0),FALSE)+VLOOKUP($B111,Kraftvärmeprod!$B$1:$BX$550,MATCH(AZ$2,Kraftvärmeprod!$B$1:$BX$1,0),FALSE))/$AC111,"")</f>
        <v/>
      </c>
      <c r="BA111" s="77" t="str">
        <f>IF($AY111="ja",(VLOOKUP($B111,'Egen hetvattenprod'!$B$1:$BX$550,MATCH(BA$2,'Egen hetvattenprod'!$B$1:$BX$1,0),FALSE)+VLOOKUP($B111,Kraftvärmeprod!$B$1:$BX$550,MATCH(BA$2,Kraftvärmeprod!$B$1:$BX$1,0),FALSE))/$AC111,"")</f>
        <v/>
      </c>
      <c r="BB111" s="77" t="str">
        <f>IF($AY111="ja",(VLOOKUP($B111,'Egen hetvattenprod'!$B$1:$BX$550,MATCH(BB$2,'Egen hetvattenprod'!$B$1:$BX$1,0),FALSE)+VLOOKUP($B111,Kraftvärmeprod!$B$1:$BX$550,MATCH(BB$2,Kraftvärmeprod!$B$1:$BX$1,0),FALSE))/$AC111,"")</f>
        <v/>
      </c>
      <c r="BC111" s="77" t="str">
        <f>IF($AY111="ja",(VLOOKUP($B111,'Egen hetvattenprod'!$B$1:$BX$550,MATCH(BC$2,'Egen hetvattenprod'!$B$1:$BX$1,0),FALSE)+VLOOKUP($B111,Kraftvärmeprod!$B$1:$BX$550,MATCH(BC$2,Kraftvärmeprod!$B$1:$BX$1,0),FALSE))/$AC111,"")</f>
        <v/>
      </c>
      <c r="BD111" s="77" t="str">
        <f>IF($AY111="ja",(VLOOKUP($B111,'Egen hetvattenprod'!$B$1:$BX$550,MATCH(BD$2,'Egen hetvattenprod'!$B$1:$BX$1,0),FALSE)+VLOOKUP($B111,Kraftvärmeprod!$B$1:$BX$550,MATCH(BD$2,Kraftvärmeprod!$B$1:$BX$1,0),FALSE))/$AC111,"")</f>
        <v/>
      </c>
      <c r="BF111" s="63" t="str">
        <f t="shared" si="11"/>
        <v>Nej</v>
      </c>
      <c r="BG111" s="63" t="str">
        <f>IF($BF111="ja",VLOOKUP($B111,'Egen hetvattenprod'!$B$1:$BX$550,MATCH("Andelen klimatgaser med fossilt ursprung för avfall ()",'Egen hetvattenprod'!$B$1:$BX$1,0),FALSE),"")</f>
        <v/>
      </c>
      <c r="BH111" s="63" t="str">
        <f>IF($BF111="ja",VLOOKUP($B111,Kraftvärmeprod!$B$1:$BX$550,MATCH("Andelen klimatgaser med fossilt ursprung för avfall ()",Kraftvärmeprod!$B$1:$BX$1,0),FALSE),"")</f>
        <v/>
      </c>
      <c r="BI111" s="63" t="str">
        <f>IF($BF111="ja",VLOOKUP($B111,'Egen hetvattenprod'!$B$1:$BX$550,MATCH("Avfall (GWh)",'Egen hetvattenprod'!$B$1:$BX$1,0),FALSE),"")</f>
        <v/>
      </c>
      <c r="BJ111" s="63" t="str">
        <f>IF($BF111="ja",VLOOKUP($B111,'Slutlig allokering kvv'!$B$1:$BX$550,MATCH("Avfall (GWh)",'Slutlig allokering kvv'!$B$1:$BX$1,0),FALSE),"")</f>
        <v/>
      </c>
      <c r="BK111" s="63" t="str">
        <f>IF($BF111="ja",VLOOKUP($B111,'Köpt hetvatten'!$B$1:$BX$550,MATCH("Avfall i köpt hetvatten",'Köpt hetvatten'!$B$1:$BX$1,0),FALSE),"")</f>
        <v/>
      </c>
      <c r="BL111" s="63" t="str">
        <f>IF($BF111="ja",VLOOKUP($B111,'Egen hetvattenprod'!$B$1:$BX$550,MATCH("Värde enligt ovan. (%)",'Egen hetvattenprod'!$B$1:$BX$1,0),FALSE),"")</f>
        <v/>
      </c>
      <c r="BM111" s="63" t="str">
        <f>IF($BF111="ja",VLOOKUP($B111,Kraftvärmeprod!$B$1:$BX$550,MATCH("Värde enligt ovan. (%)",Kraftvärmeprod!$B$1:$BX$1,0),FALSE),"")</f>
        <v/>
      </c>
    </row>
    <row r="112" spans="1:65" x14ac:dyDescent="0.45">
      <c r="A112" s="63" t="s">
        <v>538</v>
      </c>
      <c r="B112" s="63" t="s">
        <v>541</v>
      </c>
      <c r="C112" s="63">
        <f>VLOOKUP($B112,'Tillförd energi'!$B$1:$AI$720,MATCH(C$2,'Tillförd energi'!$B$1:$AQ$1,0),FALSE)</f>
        <v>0</v>
      </c>
      <c r="D112" s="63">
        <f>VLOOKUP($B112,'Tillförd energi'!$B$1:$AI$720,MATCH(D$2,'Tillförd energi'!$B$1:$AQ$1,0),FALSE)</f>
        <v>0.56699999999999995</v>
      </c>
      <c r="E112" s="63">
        <f>VLOOKUP($B112,'Tillförd energi'!$B$1:$AI$720,MATCH(E$2,'Tillförd energi'!$B$1:$AQ$1,0),FALSE)</f>
        <v>0</v>
      </c>
      <c r="F112" s="63">
        <f>VLOOKUP($B112,'Tillförd energi'!$B$1:$AI$720,MATCH(F$2,'Tillförd energi'!$B$1:$AQ$1,0),FALSE)</f>
        <v>0</v>
      </c>
      <c r="G112" s="63">
        <f>VLOOKUP($B112,'Tillförd energi'!$B$1:$AI$720,MATCH(G$2,'Tillförd energi'!$B$1:$AQ$1,0),FALSE)</f>
        <v>0</v>
      </c>
      <c r="H112" s="63">
        <f>VLOOKUP($B112,'Tillförd energi'!$B$1:$AI$720,MATCH(H$2,'Tillförd energi'!$B$1:$AQ$1,0),FALSE)</f>
        <v>0</v>
      </c>
      <c r="I112" s="63">
        <f>VLOOKUP($B112,'Tillförd energi'!$B$1:$AI$720,MATCH(I$2,'Tillförd energi'!$B$1:$AQ$1,0),FALSE)</f>
        <v>0</v>
      </c>
      <c r="J112" s="63">
        <f>VLOOKUP($B112,'Tillförd energi'!$B$1:$AI$720,MATCH(J$2,'Tillförd energi'!$B$1:$AQ$1,0),FALSE)</f>
        <v>0</v>
      </c>
      <c r="K112" s="63">
        <f>VLOOKUP($B112,'Tillförd energi'!$B$1:$AI$720,MATCH(K$2,'Tillförd energi'!$B$1:$AQ$1,0),FALSE)</f>
        <v>0</v>
      </c>
      <c r="L112" s="63">
        <f>VLOOKUP($B112,'Tillförd energi'!$B$1:$AI$720,MATCH(L$2,'Tillförd energi'!$B$1:$AQ$1,0),FALSE)</f>
        <v>0</v>
      </c>
      <c r="M112" s="63">
        <f>VLOOKUP($B112,'Tillförd energi'!$B$1:$AI$720,MATCH(M$2,'Tillförd energi'!$B$1:$AQ$1,0),FALSE)</f>
        <v>11.2326</v>
      </c>
      <c r="N112" s="63">
        <f>VLOOKUP($B112,'Tillförd energi'!$B$1:$AI$720,MATCH(N$2,'Tillförd energi'!$B$1:$AQ$1,0),FALSE)</f>
        <v>11.2326</v>
      </c>
      <c r="O112" s="63">
        <f>VLOOKUP($B112,'Tillförd energi'!$B$1:$AI$720,MATCH(O$2,'Tillförd energi'!$B$1:$AQ$1,0),FALSE)</f>
        <v>11.2326</v>
      </c>
      <c r="P112" s="63">
        <f>VLOOKUP($B112,'Tillförd energi'!$B$1:$AI$720,MATCH(P$2,'Tillförd energi'!$B$1:$AQ$1,0),FALSE)</f>
        <v>11.2326</v>
      </c>
      <c r="Q112" s="63">
        <f>VLOOKUP($B112,'Tillförd energi'!$B$1:$AI$720,MATCH(Q$2,'Tillförd energi'!$B$1:$AQ$1,0),FALSE)</f>
        <v>11.332599999999999</v>
      </c>
      <c r="R112" s="63">
        <f>VLOOKUP($B112,'Tillförd energi'!$B$1:$AI$720,MATCH(R$2,'Tillförd energi'!$B$1:$AQ$1,0),FALSE)</f>
        <v>0</v>
      </c>
      <c r="S112" s="63">
        <f>VLOOKUP($B112,'Tillförd energi'!$B$1:$AI$720,MATCH(S$2,'Tillförd energi'!$B$1:$AQ$1,0),FALSE)</f>
        <v>0</v>
      </c>
      <c r="T112" s="63">
        <f>VLOOKUP($B112,'Tillförd energi'!$B$1:$AI$720,MATCH(T$2,'Tillförd energi'!$B$1:$AQ$1,0),FALSE)</f>
        <v>0</v>
      </c>
      <c r="U112" s="63">
        <f>VLOOKUP($B112,'Tillförd energi'!$B$1:$AI$720,MATCH(U$2,'Tillförd energi'!$B$1:$AQ$1,0),FALSE)</f>
        <v>0</v>
      </c>
      <c r="V112" s="63">
        <f>VLOOKUP($B112,'Tillförd energi'!$B$1:$AI$720,MATCH(V$2,'Tillförd energi'!$B$1:$AQ$1,0),FALSE)</f>
        <v>0</v>
      </c>
      <c r="W112" s="63">
        <f>VLOOKUP($B112,'Tillförd energi'!$B$1:$AI$720,MATCH(W$2,'Tillförd energi'!$B$1:$AQ$1,0),FALSE)</f>
        <v>0</v>
      </c>
      <c r="X112" s="63">
        <f>VLOOKUP($B112,'Tillförd energi'!$B$1:$AI$720,MATCH(X$2,'Tillförd energi'!$B$1:$AQ$1,0),FALSE)</f>
        <v>0</v>
      </c>
      <c r="Y112" s="63">
        <f>VLOOKUP($B112,'Tillförd energi'!$B$1:$AI$720,MATCH(Y$2,'Tillförd energi'!$B$1:$AQ$1,0),FALSE)</f>
        <v>0</v>
      </c>
      <c r="Z112" s="63">
        <f>VLOOKUP($B112,'Tillförd energi'!$B$1:$AI$720,MATCH(Z$2,'Tillförd energi'!$B$1:$AQ$1,0),FALSE)</f>
        <v>0</v>
      </c>
      <c r="AA112" s="63">
        <f>VLOOKUP($B112,'Tillförd energi'!$B$1:$AI$720,MATCH(AA$2,'Tillförd energi'!$B$1:$AQ$1,0),FALSE)</f>
        <v>0</v>
      </c>
      <c r="AB112" s="63">
        <f>VLOOKUP($B112,'Tillförd energi'!$B$1:$AI$720,MATCH(AB$2,'Tillförd energi'!$B$1:$AQ$1,0),FALSE)</f>
        <v>0</v>
      </c>
      <c r="AC112" s="63">
        <f>VLOOKUP($B112,'Tillförd energi'!$B$1:$AI$720,MATCH(AC$2,'Tillförd energi'!$B$1:$AQ$1,0),FALSE)</f>
        <v>6.7</v>
      </c>
      <c r="AD112" s="63">
        <f>VLOOKUP($B112,'Tillförd energi'!$B$1:$AI$720,MATCH(AD$2,'Tillförd energi'!$B$1:$AQ$1,0),FALSE)</f>
        <v>0</v>
      </c>
      <c r="AE112" s="63">
        <f>VLOOKUP($B112,'Tillförd energi'!$B$1:$AI$720,MATCH(AE$2,'Tillförd energi'!$B$1:$AQ$1,0),FALSE)</f>
        <v>0</v>
      </c>
      <c r="AF112" s="63">
        <f>VLOOKUP($B112,'Tillförd energi'!$B$1:$AI$720,MATCH(AF$2,'Tillförd energi'!$B$1:$AQ$1,0),FALSE)</f>
        <v>2.0347599999999999</v>
      </c>
      <c r="AG112" s="63">
        <f>IFERROR(VLOOKUP(B112,Miljö!$B$1:$AC$550,MATCH("Köpt mängd produktionsspecifik fjärrvärme:",Miljö!$B$1:$AC$1,0),FALSE)/1,0)</f>
        <v>0</v>
      </c>
      <c r="AI112" s="63">
        <f t="shared" si="6"/>
        <v>65.564760000000007</v>
      </c>
      <c r="AJ112" s="63">
        <f>IF(ISERROR(1/VLOOKUP($B112,Leveranser!$B$1:$S$500,MATCH("såld värme (gwh)",Leveranser!$B$1:$S$1,0),FALSE)),"",VLOOKUP($B112,Leveranser!$B$1:$S$500,MATCH("såld värme (gwh)",Leveranser!$B$1:$S$1,0),FALSE))</f>
        <v>55.9</v>
      </c>
      <c r="AM112" s="63" t="str">
        <f>IF(B112&lt;&gt;"",IF(VLOOKUP($B112,Totalt!$B$1:$AQ$554,MATCH("Kvalitetsgranskad:",Totalt!$B$1:$AQ$1,0),FALSE)="ja",VLOOKUP($B112,Miljö!$B$1:$AG$479,MATCH(AM$2,Miljö!$B$1:$AK$1,0),FALSE),""),"")</f>
        <v>Ja</v>
      </c>
      <c r="AN112" s="63" t="str">
        <f>IF(AM112="ja",VLOOKUP($B112,Miljö!$B$1:$J$479,MATCH("Typ av ursprungsspecificerad el   (Om inget värde anges används Nordisk residualmix, se inforuta) ()",Miljö!$B$1:$J$1,0),FALSE),IF(AM112="nej","Nordisk residualel",""))</f>
        <v>-</v>
      </c>
      <c r="AO112" s="63">
        <f>IF(AM112="","",VLOOKUP($B112,Miljö!$B$1:$J$479,MATCH("Fossilandel för ursprungspecificerad el ()",Miljö!$B$1:$J$1,0),FALSE))</f>
        <v>0.35</v>
      </c>
      <c r="AQ112" s="63">
        <f t="shared" si="7"/>
        <v>0.65</v>
      </c>
      <c r="AS112" s="63" t="str">
        <f t="shared" si="8"/>
        <v>Nej</v>
      </c>
      <c r="AT112" s="63" t="str">
        <f>IF(AS112="ja",VLOOKUP($B112,Miljö!$B$1:$P$500,MATCH("Fossil andel i procent (%)",Miljö!$B$1:$P$1,0),FALSE)/100,"")</f>
        <v/>
      </c>
      <c r="AV112" s="63" t="str">
        <f t="shared" si="9"/>
        <v>Nej</v>
      </c>
      <c r="AW112" s="63" t="str">
        <f>IF(AV112="ja",VLOOKUP($B112,'Egen hetvattenprod'!$B$1:$AO$500,MATCH("Värmekälla till värmepumpar ()",'Egen hetvattenprod'!$B$1:$AO$1,0),FALSE),"")</f>
        <v/>
      </c>
      <c r="AY112" s="63" t="str">
        <f t="shared" si="10"/>
        <v>Ja</v>
      </c>
      <c r="AZ112" s="77">
        <f>IF($AY112="ja",(VLOOKUP($B112,'Egen hetvattenprod'!$B$1:$BX$550,MATCH(AZ$2,'Egen hetvattenprod'!$B$1:$BX$1,0),FALSE)+VLOOKUP($B112,Kraftvärmeprod!$B$1:$BX$550,MATCH(AZ$2,Kraftvärmeprod!$B$1:$BX$1,0),FALSE))/$AC112,"")</f>
        <v>1</v>
      </c>
      <c r="BA112" s="77">
        <f>IF($AY112="ja",(VLOOKUP($B112,'Egen hetvattenprod'!$B$1:$BX$550,MATCH(BA$2,'Egen hetvattenprod'!$B$1:$BX$1,0),FALSE)+VLOOKUP($B112,Kraftvärmeprod!$B$1:$BX$550,MATCH(BA$2,Kraftvärmeprod!$B$1:$BX$1,0),FALSE))/$AC112,"")</f>
        <v>0</v>
      </c>
      <c r="BB112" s="77">
        <f>IF($AY112="ja",(VLOOKUP($B112,'Egen hetvattenprod'!$B$1:$BX$550,MATCH(BB$2,'Egen hetvattenprod'!$B$1:$BX$1,0),FALSE)+VLOOKUP($B112,Kraftvärmeprod!$B$1:$BX$550,MATCH(BB$2,Kraftvärmeprod!$B$1:$BX$1,0),FALSE))/$AC112,"")</f>
        <v>0</v>
      </c>
      <c r="BC112" s="77">
        <f>IF($AY112="ja",(VLOOKUP($B112,'Egen hetvattenprod'!$B$1:$BX$550,MATCH(BC$2,'Egen hetvattenprod'!$B$1:$BX$1,0),FALSE)+VLOOKUP($B112,Kraftvärmeprod!$B$1:$BX$550,MATCH(BC$2,Kraftvärmeprod!$B$1:$BX$1,0),FALSE))/$AC112,"")</f>
        <v>0</v>
      </c>
      <c r="BD112" s="77">
        <f>IF($AY112="ja",(VLOOKUP($B112,'Egen hetvattenprod'!$B$1:$BX$550,MATCH(BD$2,'Egen hetvattenprod'!$B$1:$BX$1,0),FALSE)+VLOOKUP($B112,Kraftvärmeprod!$B$1:$BX$550,MATCH(BD$2,Kraftvärmeprod!$B$1:$BX$1,0),FALSE))/$AC112,"")</f>
        <v>0</v>
      </c>
      <c r="BF112" s="63" t="str">
        <f t="shared" si="11"/>
        <v>Nej</v>
      </c>
      <c r="BG112" s="63" t="str">
        <f>IF($BF112="ja",VLOOKUP($B112,'Egen hetvattenprod'!$B$1:$BX$550,MATCH("Andelen klimatgaser med fossilt ursprung för avfall ()",'Egen hetvattenprod'!$B$1:$BX$1,0),FALSE),"")</f>
        <v/>
      </c>
      <c r="BH112" s="63" t="str">
        <f>IF($BF112="ja",VLOOKUP($B112,Kraftvärmeprod!$B$1:$BX$550,MATCH("Andelen klimatgaser med fossilt ursprung för avfall ()",Kraftvärmeprod!$B$1:$BX$1,0),FALSE),"")</f>
        <v/>
      </c>
      <c r="BI112" s="63" t="str">
        <f>IF($BF112="ja",VLOOKUP($B112,'Egen hetvattenprod'!$B$1:$BX$550,MATCH("Avfall (GWh)",'Egen hetvattenprod'!$B$1:$BX$1,0),FALSE),"")</f>
        <v/>
      </c>
      <c r="BJ112" s="63" t="str">
        <f>IF($BF112="ja",VLOOKUP($B112,'Slutlig allokering kvv'!$B$1:$BX$550,MATCH("Avfall (GWh)",'Slutlig allokering kvv'!$B$1:$BX$1,0),FALSE),"")</f>
        <v/>
      </c>
      <c r="BK112" s="63" t="str">
        <f>IF($BF112="ja",VLOOKUP($B112,'Köpt hetvatten'!$B$1:$BX$550,MATCH("Avfall i köpt hetvatten",'Köpt hetvatten'!$B$1:$BX$1,0),FALSE),"")</f>
        <v/>
      </c>
      <c r="BL112" s="63" t="str">
        <f>IF($BF112="ja",VLOOKUP($B112,'Egen hetvattenprod'!$B$1:$BX$550,MATCH("Värde enligt ovan. (%)",'Egen hetvattenprod'!$B$1:$BX$1,0),FALSE),"")</f>
        <v/>
      </c>
      <c r="BM112" s="63" t="str">
        <f>IF($BF112="ja",VLOOKUP($B112,Kraftvärmeprod!$B$1:$BX$550,MATCH("Värde enligt ovan. (%)",Kraftvärmeprod!$B$1:$BX$1,0),FALSE),"")</f>
        <v/>
      </c>
    </row>
    <row r="113" spans="1:65" x14ac:dyDescent="0.45">
      <c r="A113" s="63" t="s">
        <v>538</v>
      </c>
      <c r="B113" s="63" t="s">
        <v>540</v>
      </c>
      <c r="C113" s="63">
        <f>VLOOKUP($B113,'Tillförd energi'!$B$1:$AI$720,MATCH(C$2,'Tillförd energi'!$B$1:$AQ$1,0),FALSE)</f>
        <v>0</v>
      </c>
      <c r="D113" s="63">
        <f>VLOOKUP($B113,'Tillförd energi'!$B$1:$AI$720,MATCH(D$2,'Tillförd energi'!$B$1:$AQ$1,0),FALSE)</f>
        <v>0.121</v>
      </c>
      <c r="E113" s="63">
        <f>VLOOKUP($B113,'Tillförd energi'!$B$1:$AI$720,MATCH(E$2,'Tillförd energi'!$B$1:$AQ$1,0),FALSE)</f>
        <v>0</v>
      </c>
      <c r="F113" s="63">
        <f>VLOOKUP($B113,'Tillförd energi'!$B$1:$AI$720,MATCH(F$2,'Tillförd energi'!$B$1:$AQ$1,0),FALSE)</f>
        <v>0</v>
      </c>
      <c r="G113" s="63">
        <f>VLOOKUP($B113,'Tillförd energi'!$B$1:$AI$720,MATCH(G$2,'Tillförd energi'!$B$1:$AQ$1,0),FALSE)</f>
        <v>0</v>
      </c>
      <c r="H113" s="63">
        <f>VLOOKUP($B113,'Tillförd energi'!$B$1:$AI$720,MATCH(H$2,'Tillförd energi'!$B$1:$AQ$1,0),FALSE)</f>
        <v>0</v>
      </c>
      <c r="I113" s="63">
        <f>VLOOKUP($B113,'Tillförd energi'!$B$1:$AI$720,MATCH(I$2,'Tillförd energi'!$B$1:$AQ$1,0),FALSE)</f>
        <v>0</v>
      </c>
      <c r="J113" s="63">
        <f>VLOOKUP($B113,'Tillförd energi'!$B$1:$AI$720,MATCH(J$2,'Tillförd energi'!$B$1:$AQ$1,0),FALSE)</f>
        <v>0</v>
      </c>
      <c r="K113" s="63">
        <f>VLOOKUP($B113,'Tillförd energi'!$B$1:$AI$720,MATCH(K$2,'Tillförd energi'!$B$1:$AQ$1,0),FALSE)</f>
        <v>0</v>
      </c>
      <c r="L113" s="63">
        <f>VLOOKUP($B113,'Tillförd energi'!$B$1:$AI$720,MATCH(L$2,'Tillförd energi'!$B$1:$AQ$1,0),FALSE)</f>
        <v>0</v>
      </c>
      <c r="M113" s="63">
        <f>VLOOKUP($B113,'Tillförd energi'!$B$1:$AI$720,MATCH(M$2,'Tillförd energi'!$B$1:$AQ$1,0),FALSE)</f>
        <v>0</v>
      </c>
      <c r="N113" s="63">
        <f>VLOOKUP($B113,'Tillförd energi'!$B$1:$AI$720,MATCH(N$2,'Tillförd energi'!$B$1:$AQ$1,0),FALSE)</f>
        <v>0</v>
      </c>
      <c r="O113" s="63">
        <f>VLOOKUP($B113,'Tillförd energi'!$B$1:$AI$720,MATCH(O$2,'Tillförd energi'!$B$1:$AQ$1,0),FALSE)</f>
        <v>0</v>
      </c>
      <c r="P113" s="63">
        <f>VLOOKUP($B113,'Tillförd energi'!$B$1:$AI$720,MATCH(P$2,'Tillförd energi'!$B$1:$AQ$1,0),FALSE)</f>
        <v>8.3699999999999992</v>
      </c>
      <c r="Q113" s="63">
        <f>VLOOKUP($B113,'Tillförd energi'!$B$1:$AI$720,MATCH(Q$2,'Tillförd energi'!$B$1:$AQ$1,0),FALSE)</f>
        <v>0</v>
      </c>
      <c r="R113" s="63">
        <f>VLOOKUP($B113,'Tillförd energi'!$B$1:$AI$720,MATCH(R$2,'Tillförd energi'!$B$1:$AQ$1,0),FALSE)</f>
        <v>0</v>
      </c>
      <c r="S113" s="63">
        <f>VLOOKUP($B113,'Tillförd energi'!$B$1:$AI$720,MATCH(S$2,'Tillförd energi'!$B$1:$AQ$1,0),FALSE)</f>
        <v>0</v>
      </c>
      <c r="T113" s="63">
        <f>VLOOKUP($B113,'Tillförd energi'!$B$1:$AI$720,MATCH(T$2,'Tillförd energi'!$B$1:$AQ$1,0),FALSE)</f>
        <v>0</v>
      </c>
      <c r="U113" s="63">
        <f>VLOOKUP($B113,'Tillförd energi'!$B$1:$AI$720,MATCH(U$2,'Tillförd energi'!$B$1:$AQ$1,0),FALSE)</f>
        <v>0</v>
      </c>
      <c r="V113" s="63">
        <f>VLOOKUP($B113,'Tillförd energi'!$B$1:$AI$720,MATCH(V$2,'Tillförd energi'!$B$1:$AQ$1,0),FALSE)</f>
        <v>0</v>
      </c>
      <c r="W113" s="63">
        <f>VLOOKUP($B113,'Tillförd energi'!$B$1:$AI$720,MATCH(W$2,'Tillförd energi'!$B$1:$AQ$1,0),FALSE)</f>
        <v>0</v>
      </c>
      <c r="X113" s="63">
        <f>VLOOKUP($B113,'Tillförd energi'!$B$1:$AI$720,MATCH(X$2,'Tillförd energi'!$B$1:$AQ$1,0),FALSE)</f>
        <v>0</v>
      </c>
      <c r="Y113" s="63">
        <f>VLOOKUP($B113,'Tillförd energi'!$B$1:$AI$720,MATCH(Y$2,'Tillförd energi'!$B$1:$AQ$1,0),FALSE)</f>
        <v>0</v>
      </c>
      <c r="Z113" s="63">
        <f>VLOOKUP($B113,'Tillförd energi'!$B$1:$AI$720,MATCH(Z$2,'Tillförd energi'!$B$1:$AQ$1,0),FALSE)</f>
        <v>0</v>
      </c>
      <c r="AA113" s="63">
        <f>VLOOKUP($B113,'Tillförd energi'!$B$1:$AI$720,MATCH(AA$2,'Tillförd energi'!$B$1:$AQ$1,0),FALSE)</f>
        <v>0</v>
      </c>
      <c r="AB113" s="63">
        <f>VLOOKUP($B113,'Tillförd energi'!$B$1:$AI$720,MATCH(AB$2,'Tillförd energi'!$B$1:$AQ$1,0),FALSE)</f>
        <v>0</v>
      </c>
      <c r="AC113" s="63">
        <f>VLOOKUP($B113,'Tillförd energi'!$B$1:$AI$720,MATCH(AC$2,'Tillförd energi'!$B$1:$AQ$1,0),FALSE)</f>
        <v>0</v>
      </c>
      <c r="AD113" s="63">
        <f>VLOOKUP($B113,'Tillförd energi'!$B$1:$AI$720,MATCH(AD$2,'Tillförd energi'!$B$1:$AQ$1,0),FALSE)</f>
        <v>0</v>
      </c>
      <c r="AE113" s="63">
        <f>VLOOKUP($B113,'Tillförd energi'!$B$1:$AI$720,MATCH(AE$2,'Tillförd energi'!$B$1:$AQ$1,0),FALSE)</f>
        <v>0</v>
      </c>
      <c r="AF113" s="63">
        <f>VLOOKUP($B113,'Tillförd energi'!$B$1:$AI$720,MATCH(AF$2,'Tillförd energi'!$B$1:$AQ$1,0),FALSE)</f>
        <v>0.18</v>
      </c>
      <c r="AG113" s="63">
        <f>IFERROR(VLOOKUP(B113,Miljö!$B$1:$AC$550,MATCH("Köpt mängd produktionsspecifik fjärrvärme:",Miljö!$B$1:$AC$1,0),FALSE)/1,0)</f>
        <v>0</v>
      </c>
      <c r="AI113" s="63">
        <f t="shared" si="6"/>
        <v>8.6709999999999994</v>
      </c>
      <c r="AJ113" s="63">
        <f>IF(ISERROR(1/VLOOKUP($B113,Leveranser!$B$1:$S$500,MATCH("såld värme (gwh)",Leveranser!$B$1:$S$1,0),FALSE)),"",VLOOKUP($B113,Leveranser!$B$1:$S$500,MATCH("såld värme (gwh)",Leveranser!$B$1:$S$1,0),FALSE))</f>
        <v>6.38</v>
      </c>
      <c r="AM113" s="63" t="str">
        <f>IF(B113&lt;&gt;"",IF(VLOOKUP($B113,Totalt!$B$1:$AQ$554,MATCH("Kvalitetsgranskad:",Totalt!$B$1:$AQ$1,0),FALSE)="ja",VLOOKUP($B113,Miljö!$B$1:$AG$479,MATCH(AM$2,Miljö!$B$1:$AK$1,0),FALSE),""),"")</f>
        <v>Ja</v>
      </c>
      <c r="AN113" s="63" t="str">
        <f>IF(AM113="ja",VLOOKUP($B113,Miljö!$B$1:$J$479,MATCH("Typ av ursprungsspecificerad el   (Om inget värde anges används Nordisk residualmix, se inforuta) ()",Miljö!$B$1:$J$1,0),FALSE),IF(AM113="nej","Nordisk residualel",""))</f>
        <v>'bio'</v>
      </c>
      <c r="AO113" s="63">
        <f>IF(AM113="","",VLOOKUP($B113,Miljö!$B$1:$J$479,MATCH("Fossilandel för ursprungspecificerad el ()",Miljö!$B$1:$J$1,0),FALSE))</f>
        <v>0</v>
      </c>
      <c r="AQ113" s="63">
        <f t="shared" si="7"/>
        <v>1</v>
      </c>
      <c r="AS113" s="63" t="str">
        <f t="shared" si="8"/>
        <v>Nej</v>
      </c>
      <c r="AT113" s="63" t="str">
        <f>IF(AS113="ja",VLOOKUP($B113,Miljö!$B$1:$P$500,MATCH("Fossil andel i procent (%)",Miljö!$B$1:$P$1,0),FALSE)/100,"")</f>
        <v/>
      </c>
      <c r="AV113" s="63" t="str">
        <f t="shared" si="9"/>
        <v>Nej</v>
      </c>
      <c r="AW113" s="63" t="str">
        <f>IF(AV113="ja",VLOOKUP($B113,'Egen hetvattenprod'!$B$1:$AO$500,MATCH("Värmekälla till värmepumpar ()",'Egen hetvattenprod'!$B$1:$AO$1,0),FALSE),"")</f>
        <v/>
      </c>
      <c r="AY113" s="63" t="str">
        <f t="shared" si="10"/>
        <v>Nej</v>
      </c>
      <c r="AZ113" s="77" t="str">
        <f>IF($AY113="ja",(VLOOKUP($B113,'Egen hetvattenprod'!$B$1:$BX$550,MATCH(AZ$2,'Egen hetvattenprod'!$B$1:$BX$1,0),FALSE)+VLOOKUP($B113,Kraftvärmeprod!$B$1:$BX$550,MATCH(AZ$2,Kraftvärmeprod!$B$1:$BX$1,0),FALSE))/$AC113,"")</f>
        <v/>
      </c>
      <c r="BA113" s="77" t="str">
        <f>IF($AY113="ja",(VLOOKUP($B113,'Egen hetvattenprod'!$B$1:$BX$550,MATCH(BA$2,'Egen hetvattenprod'!$B$1:$BX$1,0),FALSE)+VLOOKUP($B113,Kraftvärmeprod!$B$1:$BX$550,MATCH(BA$2,Kraftvärmeprod!$B$1:$BX$1,0),FALSE))/$AC113,"")</f>
        <v/>
      </c>
      <c r="BB113" s="77" t="str">
        <f>IF($AY113="ja",(VLOOKUP($B113,'Egen hetvattenprod'!$B$1:$BX$550,MATCH(BB$2,'Egen hetvattenprod'!$B$1:$BX$1,0),FALSE)+VLOOKUP($B113,Kraftvärmeprod!$B$1:$BX$550,MATCH(BB$2,Kraftvärmeprod!$B$1:$BX$1,0),FALSE))/$AC113,"")</f>
        <v/>
      </c>
      <c r="BC113" s="77" t="str">
        <f>IF($AY113="ja",(VLOOKUP($B113,'Egen hetvattenprod'!$B$1:$BX$550,MATCH(BC$2,'Egen hetvattenprod'!$B$1:$BX$1,0),FALSE)+VLOOKUP($B113,Kraftvärmeprod!$B$1:$BX$550,MATCH(BC$2,Kraftvärmeprod!$B$1:$BX$1,0),FALSE))/$AC113,"")</f>
        <v/>
      </c>
      <c r="BD113" s="77" t="str">
        <f>IF($AY113="ja",(VLOOKUP($B113,'Egen hetvattenprod'!$B$1:$BX$550,MATCH(BD$2,'Egen hetvattenprod'!$B$1:$BX$1,0),FALSE)+VLOOKUP($B113,Kraftvärmeprod!$B$1:$BX$550,MATCH(BD$2,Kraftvärmeprod!$B$1:$BX$1,0),FALSE))/$AC113,"")</f>
        <v/>
      </c>
      <c r="BF113" s="63" t="str">
        <f t="shared" si="11"/>
        <v>Nej</v>
      </c>
      <c r="BG113" s="63" t="str">
        <f>IF($BF113="ja",VLOOKUP($B113,'Egen hetvattenprod'!$B$1:$BX$550,MATCH("Andelen klimatgaser med fossilt ursprung för avfall ()",'Egen hetvattenprod'!$B$1:$BX$1,0),FALSE),"")</f>
        <v/>
      </c>
      <c r="BH113" s="63" t="str">
        <f>IF($BF113="ja",VLOOKUP($B113,Kraftvärmeprod!$B$1:$BX$550,MATCH("Andelen klimatgaser med fossilt ursprung för avfall ()",Kraftvärmeprod!$B$1:$BX$1,0),FALSE),"")</f>
        <v/>
      </c>
      <c r="BI113" s="63" t="str">
        <f>IF($BF113="ja",VLOOKUP($B113,'Egen hetvattenprod'!$B$1:$BX$550,MATCH("Avfall (GWh)",'Egen hetvattenprod'!$B$1:$BX$1,0),FALSE),"")</f>
        <v/>
      </c>
      <c r="BJ113" s="63" t="str">
        <f>IF($BF113="ja",VLOOKUP($B113,'Slutlig allokering kvv'!$B$1:$BX$550,MATCH("Avfall (GWh)",'Slutlig allokering kvv'!$B$1:$BX$1,0),FALSE),"")</f>
        <v/>
      </c>
      <c r="BK113" s="63" t="str">
        <f>IF($BF113="ja",VLOOKUP($B113,'Köpt hetvatten'!$B$1:$BX$550,MATCH("Avfall i köpt hetvatten",'Köpt hetvatten'!$B$1:$BX$1,0),FALSE),"")</f>
        <v/>
      </c>
      <c r="BL113" s="63" t="str">
        <f>IF($BF113="ja",VLOOKUP($B113,'Egen hetvattenprod'!$B$1:$BX$550,MATCH("Värde enligt ovan. (%)",'Egen hetvattenprod'!$B$1:$BX$1,0),FALSE),"")</f>
        <v/>
      </c>
      <c r="BM113" s="63" t="str">
        <f>IF($BF113="ja",VLOOKUP($B113,Kraftvärmeprod!$B$1:$BX$550,MATCH("Värde enligt ovan. (%)",Kraftvärmeprod!$B$1:$BX$1,0),FALSE),"")</f>
        <v/>
      </c>
    </row>
    <row r="114" spans="1:65" x14ac:dyDescent="0.45">
      <c r="A114" s="63" t="s">
        <v>538</v>
      </c>
      <c r="B114" s="63" t="s">
        <v>539</v>
      </c>
      <c r="C114" s="63">
        <f>VLOOKUP($B114,'Tillförd energi'!$B$1:$AI$720,MATCH(C$2,'Tillförd energi'!$B$1:$AQ$1,0),FALSE)</f>
        <v>0</v>
      </c>
      <c r="D114" s="63">
        <f>VLOOKUP($B114,'Tillförd energi'!$B$1:$AI$720,MATCH(D$2,'Tillförd energi'!$B$1:$AQ$1,0),FALSE)</f>
        <v>5.0999999999999997E-2</v>
      </c>
      <c r="E114" s="63">
        <f>VLOOKUP($B114,'Tillförd energi'!$B$1:$AI$720,MATCH(E$2,'Tillförd energi'!$B$1:$AQ$1,0),FALSE)</f>
        <v>0</v>
      </c>
      <c r="F114" s="63">
        <f>VLOOKUP($B114,'Tillförd energi'!$B$1:$AI$720,MATCH(F$2,'Tillförd energi'!$B$1:$AQ$1,0),FALSE)</f>
        <v>0</v>
      </c>
      <c r="G114" s="63">
        <f>VLOOKUP($B114,'Tillförd energi'!$B$1:$AI$720,MATCH(G$2,'Tillförd energi'!$B$1:$AQ$1,0),FALSE)</f>
        <v>0</v>
      </c>
      <c r="H114" s="63">
        <f>VLOOKUP($B114,'Tillförd energi'!$B$1:$AI$720,MATCH(H$2,'Tillförd energi'!$B$1:$AQ$1,0),FALSE)</f>
        <v>0</v>
      </c>
      <c r="I114" s="63">
        <f>VLOOKUP($B114,'Tillförd energi'!$B$1:$AI$720,MATCH(I$2,'Tillförd energi'!$B$1:$AQ$1,0),FALSE)</f>
        <v>0</v>
      </c>
      <c r="J114" s="63">
        <f>VLOOKUP($B114,'Tillförd energi'!$B$1:$AI$720,MATCH(J$2,'Tillförd energi'!$B$1:$AQ$1,0),FALSE)</f>
        <v>0</v>
      </c>
      <c r="K114" s="63">
        <f>VLOOKUP($B114,'Tillförd energi'!$B$1:$AI$720,MATCH(K$2,'Tillförd energi'!$B$1:$AQ$1,0),FALSE)</f>
        <v>0</v>
      </c>
      <c r="L114" s="63">
        <f>VLOOKUP($B114,'Tillförd energi'!$B$1:$AI$720,MATCH(L$2,'Tillförd energi'!$B$1:$AQ$1,0),FALSE)</f>
        <v>0</v>
      </c>
      <c r="M114" s="63">
        <f>VLOOKUP($B114,'Tillförd energi'!$B$1:$AI$720,MATCH(M$2,'Tillförd energi'!$B$1:$AQ$1,0),FALSE)</f>
        <v>0</v>
      </c>
      <c r="N114" s="63">
        <f>VLOOKUP($B114,'Tillförd energi'!$B$1:$AI$720,MATCH(N$2,'Tillförd energi'!$B$1:$AQ$1,0),FALSE)</f>
        <v>0</v>
      </c>
      <c r="O114" s="63">
        <f>VLOOKUP($B114,'Tillförd energi'!$B$1:$AI$720,MATCH(O$2,'Tillförd energi'!$B$1:$AQ$1,0),FALSE)</f>
        <v>0</v>
      </c>
      <c r="P114" s="63">
        <f>VLOOKUP($B114,'Tillförd energi'!$B$1:$AI$720,MATCH(P$2,'Tillförd energi'!$B$1:$AQ$1,0),FALSE)</f>
        <v>2.7</v>
      </c>
      <c r="Q114" s="63">
        <f>VLOOKUP($B114,'Tillförd energi'!$B$1:$AI$720,MATCH(Q$2,'Tillförd energi'!$B$1:$AQ$1,0),FALSE)</f>
        <v>0</v>
      </c>
      <c r="R114" s="63">
        <f>VLOOKUP($B114,'Tillförd energi'!$B$1:$AI$720,MATCH(R$2,'Tillförd energi'!$B$1:$AQ$1,0),FALSE)</f>
        <v>0</v>
      </c>
      <c r="S114" s="63">
        <f>VLOOKUP($B114,'Tillförd energi'!$B$1:$AI$720,MATCH(S$2,'Tillförd energi'!$B$1:$AQ$1,0),FALSE)</f>
        <v>0</v>
      </c>
      <c r="T114" s="63">
        <f>VLOOKUP($B114,'Tillförd energi'!$B$1:$AI$720,MATCH(T$2,'Tillförd energi'!$B$1:$AQ$1,0),FALSE)</f>
        <v>0</v>
      </c>
      <c r="U114" s="63">
        <f>VLOOKUP($B114,'Tillförd energi'!$B$1:$AI$720,MATCH(U$2,'Tillförd energi'!$B$1:$AQ$1,0),FALSE)</f>
        <v>0</v>
      </c>
      <c r="V114" s="63">
        <f>VLOOKUP($B114,'Tillförd energi'!$B$1:$AI$720,MATCH(V$2,'Tillförd energi'!$B$1:$AQ$1,0),FALSE)</f>
        <v>0</v>
      </c>
      <c r="W114" s="63">
        <f>VLOOKUP($B114,'Tillförd energi'!$B$1:$AI$720,MATCH(W$2,'Tillförd energi'!$B$1:$AQ$1,0),FALSE)</f>
        <v>0</v>
      </c>
      <c r="X114" s="63">
        <f>VLOOKUP($B114,'Tillförd energi'!$B$1:$AI$720,MATCH(X$2,'Tillförd energi'!$B$1:$AQ$1,0),FALSE)</f>
        <v>0</v>
      </c>
      <c r="Y114" s="63">
        <f>VLOOKUP($B114,'Tillförd energi'!$B$1:$AI$720,MATCH(Y$2,'Tillförd energi'!$B$1:$AQ$1,0),FALSE)</f>
        <v>0</v>
      </c>
      <c r="Z114" s="63">
        <f>VLOOKUP($B114,'Tillförd energi'!$B$1:$AI$720,MATCH(Z$2,'Tillförd energi'!$B$1:$AQ$1,0),FALSE)</f>
        <v>0</v>
      </c>
      <c r="AA114" s="63">
        <f>VLOOKUP($B114,'Tillförd energi'!$B$1:$AI$720,MATCH(AA$2,'Tillförd energi'!$B$1:$AQ$1,0),FALSE)</f>
        <v>0</v>
      </c>
      <c r="AB114" s="63">
        <f>VLOOKUP($B114,'Tillförd energi'!$B$1:$AI$720,MATCH(AB$2,'Tillförd energi'!$B$1:$AQ$1,0),FALSE)</f>
        <v>0</v>
      </c>
      <c r="AC114" s="63">
        <f>VLOOKUP($B114,'Tillförd energi'!$B$1:$AI$720,MATCH(AC$2,'Tillförd energi'!$B$1:$AQ$1,0),FALSE)</f>
        <v>0</v>
      </c>
      <c r="AD114" s="63">
        <f>VLOOKUP($B114,'Tillförd energi'!$B$1:$AI$720,MATCH(AD$2,'Tillförd energi'!$B$1:$AQ$1,0),FALSE)</f>
        <v>0</v>
      </c>
      <c r="AE114" s="63">
        <f>VLOOKUP($B114,'Tillförd energi'!$B$1:$AI$720,MATCH(AE$2,'Tillförd energi'!$B$1:$AQ$1,0),FALSE)</f>
        <v>0</v>
      </c>
      <c r="AF114" s="63">
        <f>VLOOKUP($B114,'Tillförd energi'!$B$1:$AI$720,MATCH(AF$2,'Tillförd energi'!$B$1:$AQ$1,0),FALSE)</f>
        <v>5.0999999999999997E-2</v>
      </c>
      <c r="AG114" s="63">
        <f>IFERROR(VLOOKUP(B114,Miljö!$B$1:$AC$550,MATCH("Köpt mängd produktionsspecifik fjärrvärme:",Miljö!$B$1:$AC$1,0),FALSE)/1,0)</f>
        <v>0</v>
      </c>
      <c r="AI114" s="63">
        <f t="shared" si="6"/>
        <v>2.8020000000000005</v>
      </c>
      <c r="AJ114" s="63">
        <f>IF(ISERROR(1/VLOOKUP($B114,Leveranser!$B$1:$S$500,MATCH("såld värme (gwh)",Leveranser!$B$1:$S$1,0),FALSE)),"",VLOOKUP($B114,Leveranser!$B$1:$S$500,MATCH("såld värme (gwh)",Leveranser!$B$1:$S$1,0),FALSE))</f>
        <v>2.2400000000000002</v>
      </c>
      <c r="AM114" s="63" t="str">
        <f>IF(B114&lt;&gt;"",IF(VLOOKUP($B114,Totalt!$B$1:$AQ$554,MATCH("Kvalitetsgranskad:",Totalt!$B$1:$AQ$1,0),FALSE)="ja",VLOOKUP($B114,Miljö!$B$1:$AG$479,MATCH(AM$2,Miljö!$B$1:$AK$1,0),FALSE),""),"")</f>
        <v>Ja</v>
      </c>
      <c r="AN114" s="63" t="str">
        <f>IF(AM114="ja",VLOOKUP($B114,Miljö!$B$1:$J$479,MATCH("Typ av ursprungsspecificerad el   (Om inget värde anges används Nordisk residualmix, se inforuta) ()",Miljö!$B$1:$J$1,0),FALSE),IF(AM114="nej","Nordisk residualel",""))</f>
        <v>'bio'</v>
      </c>
      <c r="AO114" s="63">
        <f>IF(AM114="","",VLOOKUP($B114,Miljö!$B$1:$J$479,MATCH("Fossilandel för ursprungspecificerad el ()",Miljö!$B$1:$J$1,0),FALSE))</f>
        <v>0</v>
      </c>
      <c r="AQ114" s="63">
        <f t="shared" si="7"/>
        <v>1</v>
      </c>
      <c r="AS114" s="63" t="str">
        <f t="shared" si="8"/>
        <v>Nej</v>
      </c>
      <c r="AT114" s="63" t="str">
        <f>IF(AS114="ja",VLOOKUP($B114,Miljö!$B$1:$P$500,MATCH("Fossil andel i procent (%)",Miljö!$B$1:$P$1,0),FALSE)/100,"")</f>
        <v/>
      </c>
      <c r="AV114" s="63" t="str">
        <f t="shared" si="9"/>
        <v>Nej</v>
      </c>
      <c r="AW114" s="63" t="str">
        <f>IF(AV114="ja",VLOOKUP($B114,'Egen hetvattenprod'!$B$1:$AO$500,MATCH("Värmekälla till värmepumpar ()",'Egen hetvattenprod'!$B$1:$AO$1,0),FALSE),"")</f>
        <v/>
      </c>
      <c r="AY114" s="63" t="str">
        <f t="shared" si="10"/>
        <v>Nej</v>
      </c>
      <c r="AZ114" s="77" t="str">
        <f>IF($AY114="ja",(VLOOKUP($B114,'Egen hetvattenprod'!$B$1:$BX$550,MATCH(AZ$2,'Egen hetvattenprod'!$B$1:$BX$1,0),FALSE)+VLOOKUP($B114,Kraftvärmeprod!$B$1:$BX$550,MATCH(AZ$2,Kraftvärmeprod!$B$1:$BX$1,0),FALSE))/$AC114,"")</f>
        <v/>
      </c>
      <c r="BA114" s="77" t="str">
        <f>IF($AY114="ja",(VLOOKUP($B114,'Egen hetvattenprod'!$B$1:$BX$550,MATCH(BA$2,'Egen hetvattenprod'!$B$1:$BX$1,0),FALSE)+VLOOKUP($B114,Kraftvärmeprod!$B$1:$BX$550,MATCH(BA$2,Kraftvärmeprod!$B$1:$BX$1,0),FALSE))/$AC114,"")</f>
        <v/>
      </c>
      <c r="BB114" s="77" t="str">
        <f>IF($AY114="ja",(VLOOKUP($B114,'Egen hetvattenprod'!$B$1:$BX$550,MATCH(BB$2,'Egen hetvattenprod'!$B$1:$BX$1,0),FALSE)+VLOOKUP($B114,Kraftvärmeprod!$B$1:$BX$550,MATCH(BB$2,Kraftvärmeprod!$B$1:$BX$1,0),FALSE))/$AC114,"")</f>
        <v/>
      </c>
      <c r="BC114" s="77" t="str">
        <f>IF($AY114="ja",(VLOOKUP($B114,'Egen hetvattenprod'!$B$1:$BX$550,MATCH(BC$2,'Egen hetvattenprod'!$B$1:$BX$1,0),FALSE)+VLOOKUP($B114,Kraftvärmeprod!$B$1:$BX$550,MATCH(BC$2,Kraftvärmeprod!$B$1:$BX$1,0),FALSE))/$AC114,"")</f>
        <v/>
      </c>
      <c r="BD114" s="77" t="str">
        <f>IF($AY114="ja",(VLOOKUP($B114,'Egen hetvattenprod'!$B$1:$BX$550,MATCH(BD$2,'Egen hetvattenprod'!$B$1:$BX$1,0),FALSE)+VLOOKUP($B114,Kraftvärmeprod!$B$1:$BX$550,MATCH(BD$2,Kraftvärmeprod!$B$1:$BX$1,0),FALSE))/$AC114,"")</f>
        <v/>
      </c>
      <c r="BF114" s="63" t="str">
        <f t="shared" si="11"/>
        <v>Nej</v>
      </c>
      <c r="BG114" s="63" t="str">
        <f>IF($BF114="ja",VLOOKUP($B114,'Egen hetvattenprod'!$B$1:$BX$550,MATCH("Andelen klimatgaser med fossilt ursprung för avfall ()",'Egen hetvattenprod'!$B$1:$BX$1,0),FALSE),"")</f>
        <v/>
      </c>
      <c r="BH114" s="63" t="str">
        <f>IF($BF114="ja",VLOOKUP($B114,Kraftvärmeprod!$B$1:$BX$550,MATCH("Andelen klimatgaser med fossilt ursprung för avfall ()",Kraftvärmeprod!$B$1:$BX$1,0),FALSE),"")</f>
        <v/>
      </c>
      <c r="BI114" s="63" t="str">
        <f>IF($BF114="ja",VLOOKUP($B114,'Egen hetvattenprod'!$B$1:$BX$550,MATCH("Avfall (GWh)",'Egen hetvattenprod'!$B$1:$BX$1,0),FALSE),"")</f>
        <v/>
      </c>
      <c r="BJ114" s="63" t="str">
        <f>IF($BF114="ja",VLOOKUP($B114,'Slutlig allokering kvv'!$B$1:$BX$550,MATCH("Avfall (GWh)",'Slutlig allokering kvv'!$B$1:$BX$1,0),FALSE),"")</f>
        <v/>
      </c>
      <c r="BK114" s="63" t="str">
        <f>IF($BF114="ja",VLOOKUP($B114,'Köpt hetvatten'!$B$1:$BX$550,MATCH("Avfall i köpt hetvatten",'Köpt hetvatten'!$B$1:$BX$1,0),FALSE),"")</f>
        <v/>
      </c>
      <c r="BL114" s="63" t="str">
        <f>IF($BF114="ja",VLOOKUP($B114,'Egen hetvattenprod'!$B$1:$BX$550,MATCH("Värde enligt ovan. (%)",'Egen hetvattenprod'!$B$1:$BX$1,0),FALSE),"")</f>
        <v/>
      </c>
      <c r="BM114" s="63" t="str">
        <f>IF($BF114="ja",VLOOKUP($B114,Kraftvärmeprod!$B$1:$BX$550,MATCH("Värde enligt ovan. (%)",Kraftvärmeprod!$B$1:$BX$1,0),FALSE),"")</f>
        <v/>
      </c>
    </row>
    <row r="115" spans="1:65" x14ac:dyDescent="0.45">
      <c r="A115" s="63" t="s">
        <v>538</v>
      </c>
      <c r="B115" s="63" t="s">
        <v>537</v>
      </c>
      <c r="C115" s="63">
        <f>VLOOKUP($B115,'Tillförd energi'!$B$1:$AI$720,MATCH(C$2,'Tillförd energi'!$B$1:$AQ$1,0),FALSE)</f>
        <v>0</v>
      </c>
      <c r="D115" s="63">
        <f>VLOOKUP($B115,'Tillförd energi'!$B$1:$AI$720,MATCH(D$2,'Tillförd energi'!$B$1:$AQ$1,0),FALSE)</f>
        <v>1.5</v>
      </c>
      <c r="E115" s="63">
        <f>VLOOKUP($B115,'Tillförd energi'!$B$1:$AI$720,MATCH(E$2,'Tillförd energi'!$B$1:$AQ$1,0),FALSE)</f>
        <v>0</v>
      </c>
      <c r="F115" s="63">
        <f>VLOOKUP($B115,'Tillförd energi'!$B$1:$AI$720,MATCH(F$2,'Tillförd energi'!$B$1:$AQ$1,0),FALSE)</f>
        <v>0</v>
      </c>
      <c r="G115" s="63">
        <f>VLOOKUP($B115,'Tillförd energi'!$B$1:$AI$720,MATCH(G$2,'Tillförd energi'!$B$1:$AQ$1,0),FALSE)</f>
        <v>0</v>
      </c>
      <c r="H115" s="63">
        <f>VLOOKUP($B115,'Tillförd energi'!$B$1:$AI$720,MATCH(H$2,'Tillförd energi'!$B$1:$AQ$1,0),FALSE)</f>
        <v>0</v>
      </c>
      <c r="I115" s="63">
        <f>VLOOKUP($B115,'Tillförd energi'!$B$1:$AI$720,MATCH(I$2,'Tillförd energi'!$B$1:$AQ$1,0),FALSE)</f>
        <v>0</v>
      </c>
      <c r="J115" s="63">
        <f>VLOOKUP($B115,'Tillförd energi'!$B$1:$AI$720,MATCH(J$2,'Tillförd energi'!$B$1:$AQ$1,0),FALSE)</f>
        <v>0</v>
      </c>
      <c r="K115" s="63">
        <f>VLOOKUP($B115,'Tillförd energi'!$B$1:$AI$720,MATCH(K$2,'Tillförd energi'!$B$1:$AQ$1,0),FALSE)</f>
        <v>0</v>
      </c>
      <c r="L115" s="63">
        <f>VLOOKUP($B115,'Tillförd energi'!$B$1:$AI$720,MATCH(L$2,'Tillförd energi'!$B$1:$AQ$1,0),FALSE)</f>
        <v>0</v>
      </c>
      <c r="M115" s="63">
        <f>VLOOKUP($B115,'Tillförd energi'!$B$1:$AI$720,MATCH(M$2,'Tillförd energi'!$B$1:$AQ$1,0),FALSE)</f>
        <v>10.162000000000001</v>
      </c>
      <c r="N115" s="63">
        <f>VLOOKUP($B115,'Tillförd energi'!$B$1:$AI$720,MATCH(N$2,'Tillförd energi'!$B$1:$AQ$1,0),FALSE)</f>
        <v>10.162000000000001</v>
      </c>
      <c r="O115" s="63">
        <f>VLOOKUP($B115,'Tillförd energi'!$B$1:$AI$720,MATCH(O$2,'Tillförd energi'!$B$1:$AQ$1,0),FALSE)</f>
        <v>10.162000000000001</v>
      </c>
      <c r="P115" s="63">
        <f>VLOOKUP($B115,'Tillförd energi'!$B$1:$AI$720,MATCH(P$2,'Tillförd energi'!$B$1:$AQ$1,0),FALSE)</f>
        <v>10.162000000000001</v>
      </c>
      <c r="Q115" s="63">
        <f>VLOOKUP($B115,'Tillförd energi'!$B$1:$AI$720,MATCH(Q$2,'Tillförd energi'!$B$1:$AQ$1,0),FALSE)</f>
        <v>10.162000000000001</v>
      </c>
      <c r="R115" s="63">
        <f>VLOOKUP($B115,'Tillförd energi'!$B$1:$AI$720,MATCH(R$2,'Tillförd energi'!$B$1:$AQ$1,0),FALSE)</f>
        <v>0</v>
      </c>
      <c r="S115" s="63">
        <f>VLOOKUP($B115,'Tillförd energi'!$B$1:$AI$720,MATCH(S$2,'Tillförd energi'!$B$1:$AQ$1,0),FALSE)</f>
        <v>0</v>
      </c>
      <c r="T115" s="63">
        <f>VLOOKUP($B115,'Tillförd energi'!$B$1:$AI$720,MATCH(T$2,'Tillförd energi'!$B$1:$AQ$1,0),FALSE)</f>
        <v>0</v>
      </c>
      <c r="U115" s="63">
        <f>VLOOKUP($B115,'Tillförd energi'!$B$1:$AI$720,MATCH(U$2,'Tillförd energi'!$B$1:$AQ$1,0),FALSE)</f>
        <v>0</v>
      </c>
      <c r="V115" s="63">
        <f>VLOOKUP($B115,'Tillförd energi'!$B$1:$AI$720,MATCH(V$2,'Tillförd energi'!$B$1:$AQ$1,0),FALSE)</f>
        <v>0</v>
      </c>
      <c r="W115" s="63">
        <f>VLOOKUP($B115,'Tillförd energi'!$B$1:$AI$720,MATCH(W$2,'Tillförd energi'!$B$1:$AQ$1,0),FALSE)</f>
        <v>0</v>
      </c>
      <c r="X115" s="63">
        <f>VLOOKUP($B115,'Tillförd energi'!$B$1:$AI$720,MATCH(X$2,'Tillförd energi'!$B$1:$AQ$1,0),FALSE)</f>
        <v>0</v>
      </c>
      <c r="Y115" s="63">
        <f>VLOOKUP($B115,'Tillförd energi'!$B$1:$AI$720,MATCH(Y$2,'Tillförd energi'!$B$1:$AQ$1,0),FALSE)</f>
        <v>0</v>
      </c>
      <c r="Z115" s="63">
        <f>VLOOKUP($B115,'Tillförd energi'!$B$1:$AI$720,MATCH(Z$2,'Tillförd energi'!$B$1:$AQ$1,0),FALSE)</f>
        <v>0</v>
      </c>
      <c r="AA115" s="63">
        <f>VLOOKUP($B115,'Tillförd energi'!$B$1:$AI$720,MATCH(AA$2,'Tillförd energi'!$B$1:$AQ$1,0),FALSE)</f>
        <v>0</v>
      </c>
      <c r="AB115" s="63">
        <f>VLOOKUP($B115,'Tillförd energi'!$B$1:$AI$720,MATCH(AB$2,'Tillförd energi'!$B$1:$AQ$1,0),FALSE)</f>
        <v>0</v>
      </c>
      <c r="AC115" s="63">
        <f>VLOOKUP($B115,'Tillförd energi'!$B$1:$AI$720,MATCH(AC$2,'Tillförd energi'!$B$1:$AQ$1,0),FALSE)</f>
        <v>4.66</v>
      </c>
      <c r="AD115" s="63">
        <f>VLOOKUP($B115,'Tillförd energi'!$B$1:$AI$720,MATCH(AD$2,'Tillförd energi'!$B$1:$AQ$1,0),FALSE)</f>
        <v>0</v>
      </c>
      <c r="AE115" s="63">
        <f>VLOOKUP($B115,'Tillförd energi'!$B$1:$AI$720,MATCH(AE$2,'Tillförd energi'!$B$1:$AQ$1,0),FALSE)</f>
        <v>0</v>
      </c>
      <c r="AF115" s="63">
        <f>VLOOKUP($B115,'Tillförd energi'!$B$1:$AI$720,MATCH(AF$2,'Tillförd energi'!$B$1:$AQ$1,0),FALSE)</f>
        <v>2.3142200000000002</v>
      </c>
      <c r="AG115" s="63">
        <f>IFERROR(VLOOKUP(B115,Miljö!$B$1:$AC$550,MATCH("Köpt mängd produktionsspecifik fjärrvärme:",Miljö!$B$1:$AC$1,0),FALSE)/1,0)</f>
        <v>0</v>
      </c>
      <c r="AI115" s="63">
        <f t="shared" si="6"/>
        <v>59.284219999999998</v>
      </c>
      <c r="AJ115" s="63">
        <f>IF(ISERROR(1/VLOOKUP($B115,Leveranser!$B$1:$S$500,MATCH("såld värme (gwh)",Leveranser!$B$1:$S$1,0),FALSE)),"",VLOOKUP($B115,Leveranser!$B$1:$S$500,MATCH("såld värme (gwh)",Leveranser!$B$1:$S$1,0),FALSE))</f>
        <v>49.8</v>
      </c>
      <c r="AM115" s="63" t="str">
        <f>IF(B115&lt;&gt;"",IF(VLOOKUP($B115,Totalt!$B$1:$AQ$554,MATCH("Kvalitetsgranskad:",Totalt!$B$1:$AQ$1,0),FALSE)="ja",VLOOKUP($B115,Miljö!$B$1:$AG$479,MATCH(AM$2,Miljö!$B$1:$AK$1,0),FALSE),""),"")</f>
        <v>Ja</v>
      </c>
      <c r="AN115" s="63" t="str">
        <f>IF(AM115="ja",VLOOKUP($B115,Miljö!$B$1:$J$479,MATCH("Typ av ursprungsspecificerad el   (Om inget värde anges används Nordisk residualmix, se inforuta) ()",Miljö!$B$1:$J$1,0),FALSE),IF(AM115="nej","Nordisk residualel",""))</f>
        <v>'bio'</v>
      </c>
      <c r="AO115" s="63">
        <f>IF(AM115="","",VLOOKUP($B115,Miljö!$B$1:$J$479,MATCH("Fossilandel för ursprungspecificerad el ()",Miljö!$B$1:$J$1,0),FALSE))</f>
        <v>0</v>
      </c>
      <c r="AQ115" s="63">
        <f t="shared" si="7"/>
        <v>1</v>
      </c>
      <c r="AS115" s="63" t="str">
        <f t="shared" si="8"/>
        <v>Nej</v>
      </c>
      <c r="AT115" s="63" t="str">
        <f>IF(AS115="ja",VLOOKUP($B115,Miljö!$B$1:$P$500,MATCH("Fossil andel i procent (%)",Miljö!$B$1:$P$1,0),FALSE)/100,"")</f>
        <v/>
      </c>
      <c r="AV115" s="63" t="str">
        <f t="shared" si="9"/>
        <v>Nej</v>
      </c>
      <c r="AW115" s="63" t="str">
        <f>IF(AV115="ja",VLOOKUP($B115,'Egen hetvattenprod'!$B$1:$AO$500,MATCH("Värmekälla till värmepumpar ()",'Egen hetvattenprod'!$B$1:$AO$1,0),FALSE),"")</f>
        <v/>
      </c>
      <c r="AY115" s="63" t="str">
        <f t="shared" si="10"/>
        <v>Ja</v>
      </c>
      <c r="AZ115" s="77">
        <f>IF($AY115="ja",(VLOOKUP($B115,'Egen hetvattenprod'!$B$1:$BX$550,MATCH(AZ$2,'Egen hetvattenprod'!$B$1:$BX$1,0),FALSE)+VLOOKUP($B115,Kraftvärmeprod!$B$1:$BX$550,MATCH(AZ$2,Kraftvärmeprod!$B$1:$BX$1,0),FALSE))/$AC115,"")</f>
        <v>1</v>
      </c>
      <c r="BA115" s="77">
        <f>IF($AY115="ja",(VLOOKUP($B115,'Egen hetvattenprod'!$B$1:$BX$550,MATCH(BA$2,'Egen hetvattenprod'!$B$1:$BX$1,0),FALSE)+VLOOKUP($B115,Kraftvärmeprod!$B$1:$BX$550,MATCH(BA$2,Kraftvärmeprod!$B$1:$BX$1,0),FALSE))/$AC115,"")</f>
        <v>0</v>
      </c>
      <c r="BB115" s="77">
        <f>IF($AY115="ja",(VLOOKUP($B115,'Egen hetvattenprod'!$B$1:$BX$550,MATCH(BB$2,'Egen hetvattenprod'!$B$1:$BX$1,0),FALSE)+VLOOKUP($B115,Kraftvärmeprod!$B$1:$BX$550,MATCH(BB$2,Kraftvärmeprod!$B$1:$BX$1,0),FALSE))/$AC115,"")</f>
        <v>0</v>
      </c>
      <c r="BC115" s="77">
        <f>IF($AY115="ja",(VLOOKUP($B115,'Egen hetvattenprod'!$B$1:$BX$550,MATCH(BC$2,'Egen hetvattenprod'!$B$1:$BX$1,0),FALSE)+VLOOKUP($B115,Kraftvärmeprod!$B$1:$BX$550,MATCH(BC$2,Kraftvärmeprod!$B$1:$BX$1,0),FALSE))/$AC115,"")</f>
        <v>0</v>
      </c>
      <c r="BD115" s="77">
        <f>IF($AY115="ja",(VLOOKUP($B115,'Egen hetvattenprod'!$B$1:$BX$550,MATCH(BD$2,'Egen hetvattenprod'!$B$1:$BX$1,0),FALSE)+VLOOKUP($B115,Kraftvärmeprod!$B$1:$BX$550,MATCH(BD$2,Kraftvärmeprod!$B$1:$BX$1,0),FALSE))/$AC115,"")</f>
        <v>0</v>
      </c>
      <c r="BF115" s="63" t="str">
        <f t="shared" si="11"/>
        <v>Nej</v>
      </c>
      <c r="BG115" s="63" t="str">
        <f>IF($BF115="ja",VLOOKUP($B115,'Egen hetvattenprod'!$B$1:$BX$550,MATCH("Andelen klimatgaser med fossilt ursprung för avfall ()",'Egen hetvattenprod'!$B$1:$BX$1,0),FALSE),"")</f>
        <v/>
      </c>
      <c r="BH115" s="63" t="str">
        <f>IF($BF115="ja",VLOOKUP($B115,Kraftvärmeprod!$B$1:$BX$550,MATCH("Andelen klimatgaser med fossilt ursprung för avfall ()",Kraftvärmeprod!$B$1:$BX$1,0),FALSE),"")</f>
        <v/>
      </c>
      <c r="BI115" s="63" t="str">
        <f>IF($BF115="ja",VLOOKUP($B115,'Egen hetvattenprod'!$B$1:$BX$550,MATCH("Avfall (GWh)",'Egen hetvattenprod'!$B$1:$BX$1,0),FALSE),"")</f>
        <v/>
      </c>
      <c r="BJ115" s="63" t="str">
        <f>IF($BF115="ja",VLOOKUP($B115,'Slutlig allokering kvv'!$B$1:$BX$550,MATCH("Avfall (GWh)",'Slutlig allokering kvv'!$B$1:$BX$1,0),FALSE),"")</f>
        <v/>
      </c>
      <c r="BK115" s="63" t="str">
        <f>IF($BF115="ja",VLOOKUP($B115,'Köpt hetvatten'!$B$1:$BX$550,MATCH("Avfall i köpt hetvatten",'Köpt hetvatten'!$B$1:$BX$1,0),FALSE),"")</f>
        <v/>
      </c>
      <c r="BL115" s="63" t="str">
        <f>IF($BF115="ja",VLOOKUP($B115,'Egen hetvattenprod'!$B$1:$BX$550,MATCH("Värde enligt ovan. (%)",'Egen hetvattenprod'!$B$1:$BX$1,0),FALSE),"")</f>
        <v/>
      </c>
      <c r="BM115" s="63" t="str">
        <f>IF($BF115="ja",VLOOKUP($B115,Kraftvärmeprod!$B$1:$BX$550,MATCH("Värde enligt ovan. (%)",Kraftvärmeprod!$B$1:$BX$1,0),FALSE),"")</f>
        <v/>
      </c>
    </row>
    <row r="116" spans="1:65" x14ac:dyDescent="0.45">
      <c r="A116" s="63" t="s">
        <v>536</v>
      </c>
      <c r="B116" s="63" t="s">
        <v>74</v>
      </c>
      <c r="C116" s="63">
        <f>VLOOKUP($B116,'Tillförd energi'!$B$1:$AI$720,MATCH(C$2,'Tillförd energi'!$B$1:$AQ$1,0),FALSE)</f>
        <v>0</v>
      </c>
      <c r="D116" s="63">
        <f>VLOOKUP($B116,'Tillförd energi'!$B$1:$AI$720,MATCH(D$2,'Tillförd energi'!$B$1:$AQ$1,0),FALSE)</f>
        <v>0</v>
      </c>
      <c r="E116" s="63">
        <f>VLOOKUP($B116,'Tillförd energi'!$B$1:$AI$720,MATCH(E$2,'Tillförd energi'!$B$1:$AQ$1,0),FALSE)</f>
        <v>0</v>
      </c>
      <c r="F116" s="63">
        <f>VLOOKUP($B116,'Tillförd energi'!$B$1:$AI$720,MATCH(F$2,'Tillförd energi'!$B$1:$AQ$1,0),FALSE)</f>
        <v>0</v>
      </c>
      <c r="G116" s="63">
        <f>VLOOKUP($B116,'Tillförd energi'!$B$1:$AI$720,MATCH(G$2,'Tillförd energi'!$B$1:$AQ$1,0),FALSE)</f>
        <v>0</v>
      </c>
      <c r="H116" s="63">
        <f>VLOOKUP($B116,'Tillförd energi'!$B$1:$AI$720,MATCH(H$2,'Tillförd energi'!$B$1:$AQ$1,0),FALSE)</f>
        <v>0</v>
      </c>
      <c r="I116" s="63">
        <f>VLOOKUP($B116,'Tillförd energi'!$B$1:$AI$720,MATCH(I$2,'Tillförd energi'!$B$1:$AQ$1,0),FALSE)</f>
        <v>0</v>
      </c>
      <c r="J116" s="63">
        <f>VLOOKUP($B116,'Tillförd energi'!$B$1:$AI$720,MATCH(J$2,'Tillförd energi'!$B$1:$AQ$1,0),FALSE)</f>
        <v>0</v>
      </c>
      <c r="K116" s="63">
        <f>VLOOKUP($B116,'Tillförd energi'!$B$1:$AI$720,MATCH(K$2,'Tillförd energi'!$B$1:$AQ$1,0),FALSE)</f>
        <v>0</v>
      </c>
      <c r="L116" s="63">
        <f>VLOOKUP($B116,'Tillförd energi'!$B$1:$AI$720,MATCH(L$2,'Tillförd energi'!$B$1:$AQ$1,0),FALSE)</f>
        <v>0</v>
      </c>
      <c r="M116" s="63">
        <f>VLOOKUP($B116,'Tillförd energi'!$B$1:$AI$720,MATCH(M$2,'Tillförd energi'!$B$1:$AQ$1,0),FALSE)</f>
        <v>0</v>
      </c>
      <c r="N116" s="63">
        <f>VLOOKUP($B116,'Tillförd energi'!$B$1:$AI$720,MATCH(N$2,'Tillförd energi'!$B$1:$AQ$1,0),FALSE)</f>
        <v>0</v>
      </c>
      <c r="O116" s="63">
        <f>VLOOKUP($B116,'Tillförd energi'!$B$1:$AI$720,MATCH(O$2,'Tillförd energi'!$B$1:$AQ$1,0),FALSE)</f>
        <v>0</v>
      </c>
      <c r="P116" s="63">
        <f>VLOOKUP($B116,'Tillförd energi'!$B$1:$AI$720,MATCH(P$2,'Tillförd energi'!$B$1:$AQ$1,0),FALSE)</f>
        <v>0</v>
      </c>
      <c r="Q116" s="63">
        <f>VLOOKUP($B116,'Tillförd energi'!$B$1:$AI$720,MATCH(Q$2,'Tillförd energi'!$B$1:$AQ$1,0),FALSE)</f>
        <v>0</v>
      </c>
      <c r="R116" s="63">
        <f>VLOOKUP($B116,'Tillförd energi'!$B$1:$AI$720,MATCH(R$2,'Tillförd energi'!$B$1:$AQ$1,0),FALSE)</f>
        <v>0</v>
      </c>
      <c r="S116" s="63">
        <f>VLOOKUP($B116,'Tillförd energi'!$B$1:$AI$720,MATCH(S$2,'Tillförd energi'!$B$1:$AQ$1,0),FALSE)</f>
        <v>0</v>
      </c>
      <c r="T116" s="63">
        <f>VLOOKUP($B116,'Tillförd energi'!$B$1:$AI$720,MATCH(T$2,'Tillförd energi'!$B$1:$AQ$1,0),FALSE)</f>
        <v>0</v>
      </c>
      <c r="U116" s="63">
        <f>VLOOKUP($B116,'Tillförd energi'!$B$1:$AI$720,MATCH(U$2,'Tillförd energi'!$B$1:$AQ$1,0),FALSE)</f>
        <v>0</v>
      </c>
      <c r="V116" s="63">
        <f>VLOOKUP($B116,'Tillförd energi'!$B$1:$AI$720,MATCH(V$2,'Tillförd energi'!$B$1:$AQ$1,0),FALSE)</f>
        <v>0</v>
      </c>
      <c r="W116" s="63">
        <f>VLOOKUP($B116,'Tillförd energi'!$B$1:$AI$720,MATCH(W$2,'Tillförd energi'!$B$1:$AQ$1,0),FALSE)</f>
        <v>0</v>
      </c>
      <c r="X116" s="63">
        <f>VLOOKUP($B116,'Tillförd energi'!$B$1:$AI$720,MATCH(X$2,'Tillförd energi'!$B$1:$AQ$1,0),FALSE)</f>
        <v>0</v>
      </c>
      <c r="Y116" s="63">
        <f>VLOOKUP($B116,'Tillförd energi'!$B$1:$AI$720,MATCH(Y$2,'Tillförd energi'!$B$1:$AQ$1,0),FALSE)</f>
        <v>0</v>
      </c>
      <c r="Z116" s="63">
        <f>VLOOKUP($B116,'Tillförd energi'!$B$1:$AI$720,MATCH(Z$2,'Tillförd energi'!$B$1:$AQ$1,0),FALSE)</f>
        <v>0</v>
      </c>
      <c r="AA116" s="63">
        <f>VLOOKUP($B116,'Tillförd energi'!$B$1:$AI$720,MATCH(AA$2,'Tillförd energi'!$B$1:$AQ$1,0),FALSE)</f>
        <v>0</v>
      </c>
      <c r="AB116" s="63">
        <f>VLOOKUP($B116,'Tillförd energi'!$B$1:$AI$720,MATCH(AB$2,'Tillförd energi'!$B$1:$AQ$1,0),FALSE)</f>
        <v>0</v>
      </c>
      <c r="AC116" s="63">
        <f>VLOOKUP($B116,'Tillförd energi'!$B$1:$AI$720,MATCH(AC$2,'Tillförd energi'!$B$1:$AQ$1,0),FALSE)</f>
        <v>0</v>
      </c>
      <c r="AD116" s="63">
        <f>VLOOKUP($B116,'Tillförd energi'!$B$1:$AI$720,MATCH(AD$2,'Tillförd energi'!$B$1:$AQ$1,0),FALSE)</f>
        <v>0</v>
      </c>
      <c r="AE116" s="63">
        <f>VLOOKUP($B116,'Tillförd energi'!$B$1:$AI$720,MATCH(AE$2,'Tillförd energi'!$B$1:$AQ$1,0),FALSE)</f>
        <v>0</v>
      </c>
      <c r="AF116" s="63">
        <f>VLOOKUP($B116,'Tillförd energi'!$B$1:$AI$720,MATCH(AF$2,'Tillförd energi'!$B$1:$AQ$1,0),FALSE)</f>
        <v>0</v>
      </c>
      <c r="AG116" s="63">
        <f>IFERROR(VLOOKUP(B116,Miljö!$B$1:$AC$550,MATCH("Köpt mängd produktionsspecifik fjärrvärme:",Miljö!$B$1:$AC$1,0),FALSE)/1,0)</f>
        <v>0</v>
      </c>
      <c r="AI116" s="63">
        <f t="shared" si="6"/>
        <v>0</v>
      </c>
      <c r="AJ116" s="63" t="str">
        <f>IF(ISERROR(1/VLOOKUP($B116,Leveranser!$B$1:$S$500,MATCH("såld värme (gwh)",Leveranser!$B$1:$S$1,0),FALSE)),"",VLOOKUP($B116,Leveranser!$B$1:$S$500,MATCH("såld värme (gwh)",Leveranser!$B$1:$S$1,0),FALSE))</f>
        <v/>
      </c>
      <c r="AM116" s="63" t="str">
        <f>IF(B116&lt;&gt;"",IF(VLOOKUP($B116,Totalt!$B$1:$AQ$554,MATCH("Kvalitetsgranskad:",Totalt!$B$1:$AQ$1,0),FALSE)="ja",VLOOKUP($B116,Miljö!$B$1:$AG$479,MATCH(AM$2,Miljö!$B$1:$AK$1,0),FALSE),""),"")</f>
        <v/>
      </c>
      <c r="AN116" s="63" t="str">
        <f>IF(AM116="ja",VLOOKUP($B116,Miljö!$B$1:$J$479,MATCH("Typ av ursprungsspecificerad el   (Om inget värde anges används Nordisk residualmix, se inforuta) ()",Miljö!$B$1:$J$1,0),FALSE),IF(AM116="nej","Nordisk residualel",""))</f>
        <v/>
      </c>
      <c r="AO116" s="63" t="str">
        <f>IF(AM116="","",VLOOKUP($B116,Miljö!$B$1:$J$479,MATCH("Fossilandel för ursprungspecificerad el ()",Miljö!$B$1:$J$1,0),FALSE))</f>
        <v/>
      </c>
      <c r="AQ116" s="63" t="str">
        <f t="shared" si="7"/>
        <v/>
      </c>
      <c r="AS116" s="63" t="str">
        <f t="shared" si="8"/>
        <v>Nej</v>
      </c>
      <c r="AT116" s="63" t="str">
        <f>IF(AS116="ja",VLOOKUP($B116,Miljö!$B$1:$P$500,MATCH("Fossil andel i procent (%)",Miljö!$B$1:$P$1,0),FALSE)/100,"")</f>
        <v/>
      </c>
      <c r="AV116" s="63" t="str">
        <f t="shared" si="9"/>
        <v>Nej</v>
      </c>
      <c r="AW116" s="63" t="str">
        <f>IF(AV116="ja",VLOOKUP($B116,'Egen hetvattenprod'!$B$1:$AO$500,MATCH("Värmekälla till värmepumpar ()",'Egen hetvattenprod'!$B$1:$AO$1,0),FALSE),"")</f>
        <v/>
      </c>
      <c r="AY116" s="63" t="str">
        <f t="shared" si="10"/>
        <v>Nej</v>
      </c>
      <c r="AZ116" s="77" t="str">
        <f>IF($AY116="ja",(VLOOKUP($B116,'Egen hetvattenprod'!$B$1:$BX$550,MATCH(AZ$2,'Egen hetvattenprod'!$B$1:$BX$1,0),FALSE)+VLOOKUP($B116,Kraftvärmeprod!$B$1:$BX$550,MATCH(AZ$2,Kraftvärmeprod!$B$1:$BX$1,0),FALSE))/$AC116,"")</f>
        <v/>
      </c>
      <c r="BA116" s="77" t="str">
        <f>IF($AY116="ja",(VLOOKUP($B116,'Egen hetvattenprod'!$B$1:$BX$550,MATCH(BA$2,'Egen hetvattenprod'!$B$1:$BX$1,0),FALSE)+VLOOKUP($B116,Kraftvärmeprod!$B$1:$BX$550,MATCH(BA$2,Kraftvärmeprod!$B$1:$BX$1,0),FALSE))/$AC116,"")</f>
        <v/>
      </c>
      <c r="BB116" s="77" t="str">
        <f>IF($AY116="ja",(VLOOKUP($B116,'Egen hetvattenprod'!$B$1:$BX$550,MATCH(BB$2,'Egen hetvattenprod'!$B$1:$BX$1,0),FALSE)+VLOOKUP($B116,Kraftvärmeprod!$B$1:$BX$550,MATCH(BB$2,Kraftvärmeprod!$B$1:$BX$1,0),FALSE))/$AC116,"")</f>
        <v/>
      </c>
      <c r="BC116" s="77" t="str">
        <f>IF($AY116="ja",(VLOOKUP($B116,'Egen hetvattenprod'!$B$1:$BX$550,MATCH(BC$2,'Egen hetvattenprod'!$B$1:$BX$1,0),FALSE)+VLOOKUP($B116,Kraftvärmeprod!$B$1:$BX$550,MATCH(BC$2,Kraftvärmeprod!$B$1:$BX$1,0),FALSE))/$AC116,"")</f>
        <v/>
      </c>
      <c r="BD116" s="77" t="str">
        <f>IF($AY116="ja",(VLOOKUP($B116,'Egen hetvattenprod'!$B$1:$BX$550,MATCH(BD$2,'Egen hetvattenprod'!$B$1:$BX$1,0),FALSE)+VLOOKUP($B116,Kraftvärmeprod!$B$1:$BX$550,MATCH(BD$2,Kraftvärmeprod!$B$1:$BX$1,0),FALSE))/$AC116,"")</f>
        <v/>
      </c>
      <c r="BF116" s="63" t="str">
        <f t="shared" si="11"/>
        <v>Nej</v>
      </c>
      <c r="BG116" s="63" t="str">
        <f>IF($BF116="ja",VLOOKUP($B116,'Egen hetvattenprod'!$B$1:$BX$550,MATCH("Andelen klimatgaser med fossilt ursprung för avfall ()",'Egen hetvattenprod'!$B$1:$BX$1,0),FALSE),"")</f>
        <v/>
      </c>
      <c r="BH116" s="63" t="str">
        <f>IF($BF116="ja",VLOOKUP($B116,Kraftvärmeprod!$B$1:$BX$550,MATCH("Andelen klimatgaser med fossilt ursprung för avfall ()",Kraftvärmeprod!$B$1:$BX$1,0),FALSE),"")</f>
        <v/>
      </c>
      <c r="BI116" s="63" t="str">
        <f>IF($BF116="ja",VLOOKUP($B116,'Egen hetvattenprod'!$B$1:$BX$550,MATCH("Avfall (GWh)",'Egen hetvattenprod'!$B$1:$BX$1,0),FALSE),"")</f>
        <v/>
      </c>
      <c r="BJ116" s="63" t="str">
        <f>IF($BF116="ja",VLOOKUP($B116,'Slutlig allokering kvv'!$B$1:$BX$550,MATCH("Avfall (GWh)",'Slutlig allokering kvv'!$B$1:$BX$1,0),FALSE),"")</f>
        <v/>
      </c>
      <c r="BK116" s="63" t="str">
        <f>IF($BF116="ja",VLOOKUP($B116,'Köpt hetvatten'!$B$1:$BX$550,MATCH("Avfall i köpt hetvatten",'Köpt hetvatten'!$B$1:$BX$1,0),FALSE),"")</f>
        <v/>
      </c>
      <c r="BL116" s="63" t="str">
        <f>IF($BF116="ja",VLOOKUP($B116,'Egen hetvattenprod'!$B$1:$BX$550,MATCH("Värde enligt ovan. (%)",'Egen hetvattenprod'!$B$1:$BX$1,0),FALSE),"")</f>
        <v/>
      </c>
      <c r="BM116" s="63" t="str">
        <f>IF($BF116="ja",VLOOKUP($B116,Kraftvärmeprod!$B$1:$BX$550,MATCH("Värde enligt ovan. (%)",Kraftvärmeprod!$B$1:$BX$1,0),FALSE),"")</f>
        <v/>
      </c>
    </row>
    <row r="117" spans="1:65" x14ac:dyDescent="0.45">
      <c r="A117" s="63" t="s">
        <v>535</v>
      </c>
      <c r="B117" s="63" t="s">
        <v>534</v>
      </c>
      <c r="C117" s="63">
        <f>VLOOKUP($B117,'Tillförd energi'!$B$1:$AI$720,MATCH(C$2,'Tillförd energi'!$B$1:$AQ$1,0),FALSE)</f>
        <v>0</v>
      </c>
      <c r="D117" s="63">
        <f>VLOOKUP($B117,'Tillförd energi'!$B$1:$AI$720,MATCH(D$2,'Tillförd energi'!$B$1:$AQ$1,0),FALSE)</f>
        <v>0.4</v>
      </c>
      <c r="E117" s="63">
        <f>VLOOKUP($B117,'Tillförd energi'!$B$1:$AI$720,MATCH(E$2,'Tillförd energi'!$B$1:$AQ$1,0),FALSE)</f>
        <v>0</v>
      </c>
      <c r="F117" s="63">
        <f>VLOOKUP($B117,'Tillförd energi'!$B$1:$AI$720,MATCH(F$2,'Tillförd energi'!$B$1:$AQ$1,0),FALSE)</f>
        <v>0</v>
      </c>
      <c r="G117" s="63">
        <f>VLOOKUP($B117,'Tillförd energi'!$B$1:$AI$720,MATCH(G$2,'Tillförd energi'!$B$1:$AQ$1,0),FALSE)</f>
        <v>0</v>
      </c>
      <c r="H117" s="63">
        <f>VLOOKUP($B117,'Tillförd energi'!$B$1:$AI$720,MATCH(H$2,'Tillförd energi'!$B$1:$AQ$1,0),FALSE)</f>
        <v>0</v>
      </c>
      <c r="I117" s="63">
        <f>VLOOKUP($B117,'Tillförd energi'!$B$1:$AI$720,MATCH(I$2,'Tillförd energi'!$B$1:$AQ$1,0),FALSE)</f>
        <v>0</v>
      </c>
      <c r="J117" s="63">
        <f>VLOOKUP($B117,'Tillförd energi'!$B$1:$AI$720,MATCH(J$2,'Tillförd energi'!$B$1:$AQ$1,0),FALSE)</f>
        <v>0</v>
      </c>
      <c r="K117" s="63">
        <f>VLOOKUP($B117,'Tillförd energi'!$B$1:$AI$720,MATCH(K$2,'Tillförd energi'!$B$1:$AQ$1,0),FALSE)</f>
        <v>0</v>
      </c>
      <c r="L117" s="63">
        <f>VLOOKUP($B117,'Tillförd energi'!$B$1:$AI$720,MATCH(L$2,'Tillförd energi'!$B$1:$AQ$1,0),FALSE)</f>
        <v>0</v>
      </c>
      <c r="M117" s="63">
        <f>VLOOKUP($B117,'Tillförd energi'!$B$1:$AI$720,MATCH(M$2,'Tillförd energi'!$B$1:$AQ$1,0),FALSE)</f>
        <v>0</v>
      </c>
      <c r="N117" s="63">
        <f>VLOOKUP($B117,'Tillförd energi'!$B$1:$AI$720,MATCH(N$2,'Tillförd energi'!$B$1:$AQ$1,0),FALSE)</f>
        <v>39</v>
      </c>
      <c r="O117" s="63">
        <f>VLOOKUP($B117,'Tillförd energi'!$B$1:$AI$720,MATCH(O$2,'Tillförd energi'!$B$1:$AQ$1,0),FALSE)</f>
        <v>0</v>
      </c>
      <c r="P117" s="63">
        <f>VLOOKUP($B117,'Tillförd energi'!$B$1:$AI$720,MATCH(P$2,'Tillförd energi'!$B$1:$AQ$1,0),FALSE)</f>
        <v>2.6</v>
      </c>
      <c r="Q117" s="63">
        <f>VLOOKUP($B117,'Tillförd energi'!$B$1:$AI$720,MATCH(Q$2,'Tillförd energi'!$B$1:$AQ$1,0),FALSE)</f>
        <v>0</v>
      </c>
      <c r="R117" s="63">
        <f>VLOOKUP($B117,'Tillförd energi'!$B$1:$AI$720,MATCH(R$2,'Tillförd energi'!$B$1:$AQ$1,0),FALSE)</f>
        <v>0</v>
      </c>
      <c r="S117" s="63">
        <f>VLOOKUP($B117,'Tillförd energi'!$B$1:$AI$720,MATCH(S$2,'Tillförd energi'!$B$1:$AQ$1,0),FALSE)</f>
        <v>0</v>
      </c>
      <c r="T117" s="63">
        <f>VLOOKUP($B117,'Tillförd energi'!$B$1:$AI$720,MATCH(T$2,'Tillförd energi'!$B$1:$AQ$1,0),FALSE)</f>
        <v>0</v>
      </c>
      <c r="U117" s="63">
        <f>VLOOKUP($B117,'Tillförd energi'!$B$1:$AI$720,MATCH(U$2,'Tillförd energi'!$B$1:$AQ$1,0),FALSE)</f>
        <v>0</v>
      </c>
      <c r="V117" s="63">
        <f>VLOOKUP($B117,'Tillförd energi'!$B$1:$AI$720,MATCH(V$2,'Tillförd energi'!$B$1:$AQ$1,0),FALSE)</f>
        <v>0</v>
      </c>
      <c r="W117" s="63">
        <f>VLOOKUP($B117,'Tillförd energi'!$B$1:$AI$720,MATCH(W$2,'Tillförd energi'!$B$1:$AQ$1,0),FALSE)</f>
        <v>0</v>
      </c>
      <c r="X117" s="63">
        <f>VLOOKUP($B117,'Tillförd energi'!$B$1:$AI$720,MATCH(X$2,'Tillförd energi'!$B$1:$AQ$1,0),FALSE)</f>
        <v>0</v>
      </c>
      <c r="Y117" s="63">
        <f>VLOOKUP($B117,'Tillförd energi'!$B$1:$AI$720,MATCH(Y$2,'Tillförd energi'!$B$1:$AQ$1,0),FALSE)</f>
        <v>0</v>
      </c>
      <c r="Z117" s="63">
        <f>VLOOKUP($B117,'Tillförd energi'!$B$1:$AI$720,MATCH(Z$2,'Tillförd energi'!$B$1:$AQ$1,0),FALSE)</f>
        <v>0</v>
      </c>
      <c r="AA117" s="63">
        <f>VLOOKUP($B117,'Tillförd energi'!$B$1:$AI$720,MATCH(AA$2,'Tillförd energi'!$B$1:$AQ$1,0),FALSE)</f>
        <v>0</v>
      </c>
      <c r="AB117" s="63">
        <f>VLOOKUP($B117,'Tillförd energi'!$B$1:$AI$720,MATCH(AB$2,'Tillförd energi'!$B$1:$AQ$1,0),FALSE)</f>
        <v>0</v>
      </c>
      <c r="AC117" s="63">
        <f>VLOOKUP($B117,'Tillförd energi'!$B$1:$AI$720,MATCH(AC$2,'Tillförd energi'!$B$1:$AQ$1,0),FALSE)</f>
        <v>5.9</v>
      </c>
      <c r="AD117" s="63">
        <f>VLOOKUP($B117,'Tillförd energi'!$B$1:$AI$720,MATCH(AD$2,'Tillförd energi'!$B$1:$AQ$1,0),FALSE)</f>
        <v>0</v>
      </c>
      <c r="AE117" s="63">
        <f>VLOOKUP($B117,'Tillförd energi'!$B$1:$AI$720,MATCH(AE$2,'Tillförd energi'!$B$1:$AQ$1,0),FALSE)</f>
        <v>0</v>
      </c>
      <c r="AF117" s="63">
        <f>VLOOKUP($B117,'Tillförd energi'!$B$1:$AI$720,MATCH(AF$2,'Tillförd energi'!$B$1:$AQ$1,0),FALSE)</f>
        <v>0.86299999999999999</v>
      </c>
      <c r="AG117" s="63">
        <f>IFERROR(VLOOKUP(B117,Miljö!$B$1:$AC$550,MATCH("Köpt mängd produktionsspecifik fjärrvärme:",Miljö!$B$1:$AC$1,0),FALSE)/1,0)</f>
        <v>0</v>
      </c>
      <c r="AI117" s="63">
        <f t="shared" si="6"/>
        <v>48.762999999999998</v>
      </c>
      <c r="AJ117" s="63">
        <f>IF(ISERROR(1/VLOOKUP($B117,Leveranser!$B$1:$S$500,MATCH("såld värme (gwh)",Leveranser!$B$1:$S$1,0),FALSE)),"",VLOOKUP($B117,Leveranser!$B$1:$S$500,MATCH("såld värme (gwh)",Leveranser!$B$1:$S$1,0),FALSE))</f>
        <v>32.500999999999998</v>
      </c>
      <c r="AM117" s="63" t="str">
        <f>IF(B117&lt;&gt;"",IF(VLOOKUP($B117,Totalt!$B$1:$AQ$554,MATCH("Kvalitetsgranskad:",Totalt!$B$1:$AQ$1,0),FALSE)="ja",VLOOKUP($B117,Miljö!$B$1:$AG$479,MATCH(AM$2,Miljö!$B$1:$AK$1,0),FALSE),""),"")</f>
        <v>Ja</v>
      </c>
      <c r="AN117" s="63" t="str">
        <f>IF(AM117="ja",VLOOKUP($B117,Miljö!$B$1:$J$479,MATCH("Typ av ursprungsspecificerad el   (Om inget värde anges används Nordisk residualmix, se inforuta) ()",Miljö!$B$1:$J$1,0),FALSE),IF(AM117="nej","Nordisk residualel",""))</f>
        <v>'Vatten El'</v>
      </c>
      <c r="AO117" s="63">
        <f>IF(AM117="","",VLOOKUP($B117,Miljö!$B$1:$J$479,MATCH("Fossilandel för ursprungspecificerad el ()",Miljö!$B$1:$J$1,0),FALSE))</f>
        <v>0</v>
      </c>
      <c r="AQ117" s="63">
        <f t="shared" si="7"/>
        <v>1</v>
      </c>
      <c r="AS117" s="63" t="str">
        <f t="shared" si="8"/>
        <v>Nej</v>
      </c>
      <c r="AT117" s="63" t="str">
        <f>IF(AS117="ja",VLOOKUP($B117,Miljö!$B$1:$P$500,MATCH("Fossil andel i procent (%)",Miljö!$B$1:$P$1,0),FALSE)/100,"")</f>
        <v/>
      </c>
      <c r="AV117" s="63" t="str">
        <f t="shared" si="9"/>
        <v>Nej</v>
      </c>
      <c r="AW117" s="63" t="str">
        <f>IF(AV117="ja",VLOOKUP($B117,'Egen hetvattenprod'!$B$1:$AO$500,MATCH("Värmekälla till värmepumpar ()",'Egen hetvattenprod'!$B$1:$AO$1,0),FALSE),"")</f>
        <v/>
      </c>
      <c r="AY117" s="63" t="str">
        <f t="shared" si="10"/>
        <v>Ja</v>
      </c>
      <c r="AZ117" s="77">
        <f>IF($AY117="ja",(VLOOKUP($B117,'Egen hetvattenprod'!$B$1:$BX$550,MATCH(AZ$2,'Egen hetvattenprod'!$B$1:$BX$1,0),FALSE)+VLOOKUP($B117,Kraftvärmeprod!$B$1:$BX$550,MATCH(AZ$2,Kraftvärmeprod!$B$1:$BX$1,0),FALSE))/$AC117,"")</f>
        <v>1</v>
      </c>
      <c r="BA117" s="77">
        <f>IF($AY117="ja",(VLOOKUP($B117,'Egen hetvattenprod'!$B$1:$BX$550,MATCH(BA$2,'Egen hetvattenprod'!$B$1:$BX$1,0),FALSE)+VLOOKUP($B117,Kraftvärmeprod!$B$1:$BX$550,MATCH(BA$2,Kraftvärmeprod!$B$1:$BX$1,0),FALSE))/$AC117,"")</f>
        <v>0</v>
      </c>
      <c r="BB117" s="77">
        <f>IF($AY117="ja",(VLOOKUP($B117,'Egen hetvattenprod'!$B$1:$BX$550,MATCH(BB$2,'Egen hetvattenprod'!$B$1:$BX$1,0),FALSE)+VLOOKUP($B117,Kraftvärmeprod!$B$1:$BX$550,MATCH(BB$2,Kraftvärmeprod!$B$1:$BX$1,0),FALSE))/$AC117,"")</f>
        <v>0</v>
      </c>
      <c r="BC117" s="77">
        <f>IF($AY117="ja",(VLOOKUP($B117,'Egen hetvattenprod'!$B$1:$BX$550,MATCH(BC$2,'Egen hetvattenprod'!$B$1:$BX$1,0),FALSE)+VLOOKUP($B117,Kraftvärmeprod!$B$1:$BX$550,MATCH(BC$2,Kraftvärmeprod!$B$1:$BX$1,0),FALSE))/$AC117,"")</f>
        <v>0</v>
      </c>
      <c r="BD117" s="77">
        <f>IF($AY117="ja",(VLOOKUP($B117,'Egen hetvattenprod'!$B$1:$BX$550,MATCH(BD$2,'Egen hetvattenprod'!$B$1:$BX$1,0),FALSE)+VLOOKUP($B117,Kraftvärmeprod!$B$1:$BX$550,MATCH(BD$2,Kraftvärmeprod!$B$1:$BX$1,0),FALSE))/$AC117,"")</f>
        <v>0</v>
      </c>
      <c r="BF117" s="63" t="str">
        <f t="shared" si="11"/>
        <v>Nej</v>
      </c>
      <c r="BG117" s="63" t="str">
        <f>IF($BF117="ja",VLOOKUP($B117,'Egen hetvattenprod'!$B$1:$BX$550,MATCH("Andelen klimatgaser med fossilt ursprung för avfall ()",'Egen hetvattenprod'!$B$1:$BX$1,0),FALSE),"")</f>
        <v/>
      </c>
      <c r="BH117" s="63" t="str">
        <f>IF($BF117="ja",VLOOKUP($B117,Kraftvärmeprod!$B$1:$BX$550,MATCH("Andelen klimatgaser med fossilt ursprung för avfall ()",Kraftvärmeprod!$B$1:$BX$1,0),FALSE),"")</f>
        <v/>
      </c>
      <c r="BI117" s="63" t="str">
        <f>IF($BF117="ja",VLOOKUP($B117,'Egen hetvattenprod'!$B$1:$BX$550,MATCH("Avfall (GWh)",'Egen hetvattenprod'!$B$1:$BX$1,0),FALSE),"")</f>
        <v/>
      </c>
      <c r="BJ117" s="63" t="str">
        <f>IF($BF117="ja",VLOOKUP($B117,'Slutlig allokering kvv'!$B$1:$BX$550,MATCH("Avfall (GWh)",'Slutlig allokering kvv'!$B$1:$BX$1,0),FALSE),"")</f>
        <v/>
      </c>
      <c r="BK117" s="63" t="str">
        <f>IF($BF117="ja",VLOOKUP($B117,'Köpt hetvatten'!$B$1:$BX$550,MATCH("Avfall i köpt hetvatten",'Köpt hetvatten'!$B$1:$BX$1,0),FALSE),"")</f>
        <v/>
      </c>
      <c r="BL117" s="63" t="str">
        <f>IF($BF117="ja",VLOOKUP($B117,'Egen hetvattenprod'!$B$1:$BX$550,MATCH("Värde enligt ovan. (%)",'Egen hetvattenprod'!$B$1:$BX$1,0),FALSE),"")</f>
        <v/>
      </c>
      <c r="BM117" s="63" t="str">
        <f>IF($BF117="ja",VLOOKUP($B117,Kraftvärmeprod!$B$1:$BX$550,MATCH("Värde enligt ovan. (%)",Kraftvärmeprod!$B$1:$BX$1,0),FALSE),"")</f>
        <v/>
      </c>
    </row>
    <row r="118" spans="1:65" x14ac:dyDescent="0.45">
      <c r="A118" s="63" t="s">
        <v>533</v>
      </c>
      <c r="B118" s="63" t="s">
        <v>532</v>
      </c>
      <c r="C118" s="63">
        <f>VLOOKUP($B118,'Tillförd energi'!$B$1:$AI$720,MATCH(C$2,'Tillförd energi'!$B$1:$AQ$1,0),FALSE)</f>
        <v>0</v>
      </c>
      <c r="D118" s="63">
        <f>VLOOKUP($B118,'Tillförd energi'!$B$1:$AI$720,MATCH(D$2,'Tillförd energi'!$B$1:$AQ$1,0),FALSE)</f>
        <v>0</v>
      </c>
      <c r="E118" s="63">
        <f>VLOOKUP($B118,'Tillförd energi'!$B$1:$AI$720,MATCH(E$2,'Tillförd energi'!$B$1:$AQ$1,0),FALSE)</f>
        <v>1.9</v>
      </c>
      <c r="F118" s="63">
        <f>VLOOKUP($B118,'Tillförd energi'!$B$1:$AI$720,MATCH(F$2,'Tillförd energi'!$B$1:$AQ$1,0),FALSE)</f>
        <v>0</v>
      </c>
      <c r="G118" s="63">
        <f>VLOOKUP($B118,'Tillförd energi'!$B$1:$AI$720,MATCH(G$2,'Tillförd energi'!$B$1:$AQ$1,0),FALSE)</f>
        <v>0</v>
      </c>
      <c r="H118" s="63">
        <f>VLOOKUP($B118,'Tillförd energi'!$B$1:$AI$720,MATCH(H$2,'Tillförd energi'!$B$1:$AQ$1,0),FALSE)</f>
        <v>0</v>
      </c>
      <c r="I118" s="63">
        <f>VLOOKUP($B118,'Tillförd energi'!$B$1:$AI$720,MATCH(I$2,'Tillförd energi'!$B$1:$AQ$1,0),FALSE)</f>
        <v>0</v>
      </c>
      <c r="J118" s="63">
        <f>VLOOKUP($B118,'Tillförd energi'!$B$1:$AI$720,MATCH(J$2,'Tillförd energi'!$B$1:$AQ$1,0),FALSE)</f>
        <v>3.8</v>
      </c>
      <c r="K118" s="63">
        <f>VLOOKUP($B118,'Tillförd energi'!$B$1:$AI$720,MATCH(K$2,'Tillförd energi'!$B$1:$AQ$1,0),FALSE)</f>
        <v>0</v>
      </c>
      <c r="L118" s="63">
        <f>VLOOKUP($B118,'Tillförd energi'!$B$1:$AI$720,MATCH(L$2,'Tillförd energi'!$B$1:$AQ$1,0),FALSE)</f>
        <v>0</v>
      </c>
      <c r="M118" s="63">
        <f>VLOOKUP($B118,'Tillförd energi'!$B$1:$AI$720,MATCH(M$2,'Tillförd energi'!$B$1:$AQ$1,0),FALSE)</f>
        <v>37.645000000000003</v>
      </c>
      <c r="N118" s="63">
        <f>VLOOKUP($B118,'Tillförd energi'!$B$1:$AI$720,MATCH(N$2,'Tillförd energi'!$B$1:$AQ$1,0),FALSE)</f>
        <v>15.9488</v>
      </c>
      <c r="O118" s="63">
        <f>VLOOKUP($B118,'Tillförd energi'!$B$1:$AI$720,MATCH(O$2,'Tillförd energi'!$B$1:$AQ$1,0),FALSE)</f>
        <v>4.0673899999999996</v>
      </c>
      <c r="P118" s="63">
        <f>VLOOKUP($B118,'Tillförd energi'!$B$1:$AI$720,MATCH(P$2,'Tillförd energi'!$B$1:$AQ$1,0),FALSE)</f>
        <v>41.933199999999999</v>
      </c>
      <c r="Q118" s="63">
        <f>VLOOKUP($B118,'Tillförd energi'!$B$1:$AI$720,MATCH(Q$2,'Tillförd energi'!$B$1:$AQ$1,0),FALSE)</f>
        <v>0</v>
      </c>
      <c r="R118" s="63">
        <f>VLOOKUP($B118,'Tillförd energi'!$B$1:$AI$720,MATCH(R$2,'Tillförd energi'!$B$1:$AQ$1,0),FALSE)</f>
        <v>4.3</v>
      </c>
      <c r="S118" s="63">
        <f>VLOOKUP($B118,'Tillförd energi'!$B$1:$AI$720,MATCH(S$2,'Tillförd energi'!$B$1:$AQ$1,0),FALSE)</f>
        <v>0</v>
      </c>
      <c r="T118" s="63">
        <f>VLOOKUP($B118,'Tillförd energi'!$B$1:$AI$720,MATCH(T$2,'Tillförd energi'!$B$1:$AQ$1,0),FALSE)</f>
        <v>0</v>
      </c>
      <c r="U118" s="63">
        <f>VLOOKUP($B118,'Tillförd energi'!$B$1:$AI$720,MATCH(U$2,'Tillförd energi'!$B$1:$AQ$1,0),FALSE)</f>
        <v>0</v>
      </c>
      <c r="V118" s="63">
        <f>VLOOKUP($B118,'Tillförd energi'!$B$1:$AI$720,MATCH(V$2,'Tillförd energi'!$B$1:$AQ$1,0),FALSE)</f>
        <v>0</v>
      </c>
      <c r="W118" s="63">
        <f>VLOOKUP($B118,'Tillförd energi'!$B$1:$AI$720,MATCH(W$2,'Tillförd energi'!$B$1:$AQ$1,0),FALSE)</f>
        <v>0</v>
      </c>
      <c r="X118" s="63">
        <f>VLOOKUP($B118,'Tillförd energi'!$B$1:$AI$720,MATCH(X$2,'Tillförd energi'!$B$1:$AQ$1,0),FALSE)</f>
        <v>0</v>
      </c>
      <c r="Y118" s="63">
        <f>VLOOKUP($B118,'Tillförd energi'!$B$1:$AI$720,MATCH(Y$2,'Tillförd energi'!$B$1:$AQ$1,0),FALSE)</f>
        <v>21.701799999999999</v>
      </c>
      <c r="Z118" s="63">
        <f>VLOOKUP($B118,'Tillförd energi'!$B$1:$AI$720,MATCH(Z$2,'Tillförd energi'!$B$1:$AQ$1,0),FALSE)</f>
        <v>9.8000000000000007</v>
      </c>
      <c r="AA118" s="63">
        <f>VLOOKUP($B118,'Tillförd energi'!$B$1:$AI$720,MATCH(AA$2,'Tillförd energi'!$B$1:$AQ$1,0),FALSE)</f>
        <v>0</v>
      </c>
      <c r="AB118" s="63">
        <f>VLOOKUP($B118,'Tillförd energi'!$B$1:$AI$720,MATCH(AB$2,'Tillförd energi'!$B$1:$AQ$1,0),FALSE)</f>
        <v>0</v>
      </c>
      <c r="AC118" s="63">
        <f>VLOOKUP($B118,'Tillförd energi'!$B$1:$AI$720,MATCH(AC$2,'Tillförd energi'!$B$1:$AQ$1,0),FALSE)</f>
        <v>36</v>
      </c>
      <c r="AD118" s="63">
        <f>VLOOKUP($B118,'Tillförd energi'!$B$1:$AI$720,MATCH(AD$2,'Tillförd energi'!$B$1:$AQ$1,0),FALSE)</f>
        <v>37.89</v>
      </c>
      <c r="AE118" s="63">
        <f>VLOOKUP($B118,'Tillförd energi'!$B$1:$AI$720,MATCH(AE$2,'Tillförd energi'!$B$1:$AQ$1,0),FALSE)</f>
        <v>0</v>
      </c>
      <c r="AF118" s="63">
        <f>VLOOKUP($B118,'Tillförd energi'!$B$1:$AI$720,MATCH(AF$2,'Tillförd energi'!$B$1:$AQ$1,0),FALSE)</f>
        <v>6.2066999999999997</v>
      </c>
      <c r="AG118" s="63">
        <f>IFERROR(VLOOKUP(B118,Miljö!$B$1:$AC$550,MATCH("Köpt mängd produktionsspecifik fjärrvärme:",Miljö!$B$1:$AC$1,0),FALSE)/1,0)</f>
        <v>0</v>
      </c>
      <c r="AI118" s="63">
        <f t="shared" si="6"/>
        <v>221.19289000000003</v>
      </c>
      <c r="AJ118" s="63">
        <f>IF(ISERROR(1/VLOOKUP($B118,Leveranser!$B$1:$S$500,MATCH("såld värme (gwh)",Leveranser!$B$1:$S$1,0),FALSE)),"",VLOOKUP($B118,Leveranser!$B$1:$S$500,MATCH("såld värme (gwh)",Leveranser!$B$1:$S$1,0),FALSE))</f>
        <v>180</v>
      </c>
      <c r="AM118" s="63" t="str">
        <f>IF(B118&lt;&gt;"",IF(VLOOKUP($B118,Totalt!$B$1:$AQ$554,MATCH("Kvalitetsgranskad:",Totalt!$B$1:$AQ$1,0),FALSE)="ja",VLOOKUP($B118,Miljö!$B$1:$AG$479,MATCH(AM$2,Miljö!$B$1:$AK$1,0),FALSE),""),"")</f>
        <v>Ja</v>
      </c>
      <c r="AN118" s="63" t="str">
        <f>IF(AM118="ja",VLOOKUP($B118,Miljö!$B$1:$J$479,MATCH("Typ av ursprungsspecificerad el   (Om inget värde anges används Nordisk residualmix, se inforuta) ()",Miljö!$B$1:$J$1,0),FALSE),IF(AM118="nej","Nordisk residualel",""))</f>
        <v>'Biokraft'</v>
      </c>
      <c r="AO118" s="63">
        <f>IF(AM118="","",VLOOKUP($B118,Miljö!$B$1:$J$479,MATCH("Fossilandel för ursprungspecificerad el ()",Miljö!$B$1:$J$1,0),FALSE))</f>
        <v>0</v>
      </c>
      <c r="AQ118" s="63">
        <f t="shared" si="7"/>
        <v>1</v>
      </c>
      <c r="AS118" s="63" t="str">
        <f t="shared" si="8"/>
        <v>Nej</v>
      </c>
      <c r="AT118" s="63" t="str">
        <f>IF(AS118="ja",VLOOKUP($B118,Miljö!$B$1:$P$500,MATCH("Fossil andel i procent (%)",Miljö!$B$1:$P$1,0),FALSE)/100,"")</f>
        <v/>
      </c>
      <c r="AV118" s="63" t="str">
        <f t="shared" si="9"/>
        <v>Nej</v>
      </c>
      <c r="AW118" s="63" t="str">
        <f>IF(AV118="ja",VLOOKUP($B118,'Egen hetvattenprod'!$B$1:$AO$500,MATCH("Värmekälla till värmepumpar ()",'Egen hetvattenprod'!$B$1:$AO$1,0),FALSE),"")</f>
        <v/>
      </c>
      <c r="AY118" s="63" t="str">
        <f t="shared" si="10"/>
        <v>Ja</v>
      </c>
      <c r="AZ118" s="77">
        <f>IF($AY118="ja",(VLOOKUP($B118,'Egen hetvattenprod'!$B$1:$BX$550,MATCH(AZ$2,'Egen hetvattenprod'!$B$1:$BX$1,0),FALSE)+VLOOKUP($B118,Kraftvärmeprod!$B$1:$BX$550,MATCH(AZ$2,Kraftvärmeprod!$B$1:$BX$1,0),FALSE))/$AC118,"")</f>
        <v>0.83216666666666661</v>
      </c>
      <c r="BA118" s="77">
        <f>IF($AY118="ja",(VLOOKUP($B118,'Egen hetvattenprod'!$B$1:$BX$550,MATCH(BA$2,'Egen hetvattenprod'!$B$1:$BX$1,0),FALSE)+VLOOKUP($B118,Kraftvärmeprod!$B$1:$BX$550,MATCH(BA$2,Kraftvärmeprod!$B$1:$BX$1,0),FALSE))/$AC118,"")</f>
        <v>0</v>
      </c>
      <c r="BB118" s="77">
        <f>IF($AY118="ja",(VLOOKUP($B118,'Egen hetvattenprod'!$B$1:$BX$550,MATCH(BB$2,'Egen hetvattenprod'!$B$1:$BX$1,0),FALSE)+VLOOKUP($B118,Kraftvärmeprod!$B$1:$BX$550,MATCH(BB$2,Kraftvärmeprod!$B$1:$BX$1,0),FALSE))/$AC118,"")</f>
        <v>3.6111111111111114E-3</v>
      </c>
      <c r="BC118" s="77">
        <f>IF($AY118="ja",(VLOOKUP($B118,'Egen hetvattenprod'!$B$1:$BX$550,MATCH(BC$2,'Egen hetvattenprod'!$B$1:$BX$1,0),FALSE)+VLOOKUP($B118,Kraftvärmeprod!$B$1:$BX$550,MATCH(BC$2,Kraftvärmeprod!$B$1:$BX$1,0),FALSE))/$AC118,"")</f>
        <v>0.16422222222222221</v>
      </c>
      <c r="BD118" s="77">
        <f>IF($AY118="ja",(VLOOKUP($B118,'Egen hetvattenprod'!$B$1:$BX$550,MATCH(BD$2,'Egen hetvattenprod'!$B$1:$BX$1,0),FALSE)+VLOOKUP($B118,Kraftvärmeprod!$B$1:$BX$550,MATCH(BD$2,Kraftvärmeprod!$B$1:$BX$1,0),FALSE))/$AC118,"")</f>
        <v>0</v>
      </c>
      <c r="BF118" s="63" t="str">
        <f t="shared" si="11"/>
        <v>Nej</v>
      </c>
      <c r="BG118" s="63" t="str">
        <f>IF($BF118="ja",VLOOKUP($B118,'Egen hetvattenprod'!$B$1:$BX$550,MATCH("Andelen klimatgaser med fossilt ursprung för avfall ()",'Egen hetvattenprod'!$B$1:$BX$1,0),FALSE),"")</f>
        <v/>
      </c>
      <c r="BH118" s="63" t="str">
        <f>IF($BF118="ja",VLOOKUP($B118,Kraftvärmeprod!$B$1:$BX$550,MATCH("Andelen klimatgaser med fossilt ursprung för avfall ()",Kraftvärmeprod!$B$1:$BX$1,0),FALSE),"")</f>
        <v/>
      </c>
      <c r="BI118" s="63" t="str">
        <f>IF($BF118="ja",VLOOKUP($B118,'Egen hetvattenprod'!$B$1:$BX$550,MATCH("Avfall (GWh)",'Egen hetvattenprod'!$B$1:$BX$1,0),FALSE),"")</f>
        <v/>
      </c>
      <c r="BJ118" s="63" t="str">
        <f>IF($BF118="ja",VLOOKUP($B118,'Slutlig allokering kvv'!$B$1:$BX$550,MATCH("Avfall (GWh)",'Slutlig allokering kvv'!$B$1:$BX$1,0),FALSE),"")</f>
        <v/>
      </c>
      <c r="BK118" s="63" t="str">
        <f>IF($BF118="ja",VLOOKUP($B118,'Köpt hetvatten'!$B$1:$BX$550,MATCH("Avfall i köpt hetvatten",'Köpt hetvatten'!$B$1:$BX$1,0),FALSE),"")</f>
        <v/>
      </c>
      <c r="BL118" s="63" t="str">
        <f>IF($BF118="ja",VLOOKUP($B118,'Egen hetvattenprod'!$B$1:$BX$550,MATCH("Värde enligt ovan. (%)",'Egen hetvattenprod'!$B$1:$BX$1,0),FALSE),"")</f>
        <v/>
      </c>
      <c r="BM118" s="63" t="str">
        <f>IF($BF118="ja",VLOOKUP($B118,Kraftvärmeprod!$B$1:$BX$550,MATCH("Värde enligt ovan. (%)",Kraftvärmeprod!$B$1:$BX$1,0),FALSE),"")</f>
        <v/>
      </c>
    </row>
    <row r="119" spans="1:65" x14ac:dyDescent="0.45">
      <c r="A119" s="63" t="s">
        <v>530</v>
      </c>
      <c r="B119" s="63" t="s">
        <v>531</v>
      </c>
      <c r="C119" s="63">
        <f>VLOOKUP($B119,'Tillförd energi'!$B$1:$AI$720,MATCH(C$2,'Tillförd energi'!$B$1:$AQ$1,0),FALSE)</f>
        <v>0</v>
      </c>
      <c r="D119" s="63">
        <f>VLOOKUP($B119,'Tillförd energi'!$B$1:$AI$720,MATCH(D$2,'Tillförd energi'!$B$1:$AQ$1,0),FALSE)</f>
        <v>0</v>
      </c>
      <c r="E119" s="63">
        <f>VLOOKUP($B119,'Tillförd energi'!$B$1:$AI$720,MATCH(E$2,'Tillförd energi'!$B$1:$AQ$1,0),FALSE)</f>
        <v>0</v>
      </c>
      <c r="F119" s="63">
        <f>VLOOKUP($B119,'Tillförd energi'!$B$1:$AI$720,MATCH(F$2,'Tillförd energi'!$B$1:$AQ$1,0),FALSE)</f>
        <v>0</v>
      </c>
      <c r="G119" s="63">
        <f>VLOOKUP($B119,'Tillförd energi'!$B$1:$AI$720,MATCH(G$2,'Tillförd energi'!$B$1:$AQ$1,0),FALSE)</f>
        <v>0</v>
      </c>
      <c r="H119" s="63">
        <f>VLOOKUP($B119,'Tillförd energi'!$B$1:$AI$720,MATCH(H$2,'Tillförd energi'!$B$1:$AQ$1,0),FALSE)</f>
        <v>0</v>
      </c>
      <c r="I119" s="63">
        <f>VLOOKUP($B119,'Tillförd energi'!$B$1:$AI$720,MATCH(I$2,'Tillförd energi'!$B$1:$AQ$1,0),FALSE)</f>
        <v>113.053</v>
      </c>
      <c r="J119" s="63">
        <f>VLOOKUP($B119,'Tillförd energi'!$B$1:$AI$720,MATCH(J$2,'Tillförd energi'!$B$1:$AQ$1,0),FALSE)</f>
        <v>0</v>
      </c>
      <c r="K119" s="63">
        <f>VLOOKUP($B119,'Tillförd energi'!$B$1:$AI$720,MATCH(K$2,'Tillförd energi'!$B$1:$AQ$1,0),FALSE)</f>
        <v>0</v>
      </c>
      <c r="L119" s="63">
        <f>VLOOKUP($B119,'Tillförd energi'!$B$1:$AI$720,MATCH(L$2,'Tillförd energi'!$B$1:$AQ$1,0),FALSE)</f>
        <v>0</v>
      </c>
      <c r="M119" s="63">
        <f>VLOOKUP($B119,'Tillförd energi'!$B$1:$AI$720,MATCH(M$2,'Tillförd energi'!$B$1:$AQ$1,0),FALSE)</f>
        <v>0</v>
      </c>
      <c r="N119" s="63">
        <f>VLOOKUP($B119,'Tillförd energi'!$B$1:$AI$720,MATCH(N$2,'Tillförd energi'!$B$1:$AQ$1,0),FALSE)</f>
        <v>0</v>
      </c>
      <c r="O119" s="63">
        <f>VLOOKUP($B119,'Tillförd energi'!$B$1:$AI$720,MATCH(O$2,'Tillförd energi'!$B$1:$AQ$1,0),FALSE)</f>
        <v>0</v>
      </c>
      <c r="P119" s="63">
        <f>VLOOKUP($B119,'Tillförd energi'!$B$1:$AI$720,MATCH(P$2,'Tillförd energi'!$B$1:$AQ$1,0),FALSE)</f>
        <v>86</v>
      </c>
      <c r="Q119" s="63">
        <f>VLOOKUP($B119,'Tillförd energi'!$B$1:$AI$720,MATCH(Q$2,'Tillförd energi'!$B$1:$AQ$1,0),FALSE)</f>
        <v>0</v>
      </c>
      <c r="R119" s="63">
        <f>VLOOKUP($B119,'Tillförd energi'!$B$1:$AI$720,MATCH(R$2,'Tillförd energi'!$B$1:$AQ$1,0),FALSE)</f>
        <v>0</v>
      </c>
      <c r="S119" s="63">
        <f>VLOOKUP($B119,'Tillförd energi'!$B$1:$AI$720,MATCH(S$2,'Tillförd energi'!$B$1:$AQ$1,0),FALSE)</f>
        <v>0</v>
      </c>
      <c r="T119" s="63">
        <f>VLOOKUP($B119,'Tillförd energi'!$B$1:$AI$720,MATCH(T$2,'Tillförd energi'!$B$1:$AQ$1,0),FALSE)</f>
        <v>0</v>
      </c>
      <c r="U119" s="63">
        <f>VLOOKUP($B119,'Tillförd energi'!$B$1:$AI$720,MATCH(U$2,'Tillförd energi'!$B$1:$AQ$1,0),FALSE)</f>
        <v>0</v>
      </c>
      <c r="V119" s="63">
        <f>VLOOKUP($B119,'Tillförd energi'!$B$1:$AI$720,MATCH(V$2,'Tillförd energi'!$B$1:$AQ$1,0),FALSE)</f>
        <v>0</v>
      </c>
      <c r="W119" s="63">
        <f>VLOOKUP($B119,'Tillförd energi'!$B$1:$AI$720,MATCH(W$2,'Tillförd energi'!$B$1:$AQ$1,0),FALSE)</f>
        <v>0.108954</v>
      </c>
      <c r="X119" s="63">
        <f>VLOOKUP($B119,'Tillförd energi'!$B$1:$AI$720,MATCH(X$2,'Tillförd energi'!$B$1:$AQ$1,0),FALSE)</f>
        <v>0</v>
      </c>
      <c r="Y119" s="63">
        <f>VLOOKUP($B119,'Tillförd energi'!$B$1:$AI$720,MATCH(Y$2,'Tillförd energi'!$B$1:$AQ$1,0),FALSE)</f>
        <v>0</v>
      </c>
      <c r="Z119" s="63">
        <f>VLOOKUP($B119,'Tillförd energi'!$B$1:$AI$720,MATCH(Z$2,'Tillförd energi'!$B$1:$AQ$1,0),FALSE)</f>
        <v>0</v>
      </c>
      <c r="AA119" s="63">
        <f>VLOOKUP($B119,'Tillförd energi'!$B$1:$AI$720,MATCH(AA$2,'Tillförd energi'!$B$1:$AQ$1,0),FALSE)</f>
        <v>0</v>
      </c>
      <c r="AB119" s="63">
        <f>VLOOKUP($B119,'Tillförd energi'!$B$1:$AI$720,MATCH(AB$2,'Tillförd energi'!$B$1:$AQ$1,0),FALSE)</f>
        <v>0</v>
      </c>
      <c r="AC119" s="63">
        <f>VLOOKUP($B119,'Tillförd energi'!$B$1:$AI$720,MATCH(AC$2,'Tillförd energi'!$B$1:$AQ$1,0),FALSE)</f>
        <v>14.5</v>
      </c>
      <c r="AD119" s="63">
        <f>VLOOKUP($B119,'Tillförd energi'!$B$1:$AI$720,MATCH(AD$2,'Tillförd energi'!$B$1:$AQ$1,0),FALSE)</f>
        <v>1.6</v>
      </c>
      <c r="AE119" s="63">
        <f>VLOOKUP($B119,'Tillförd energi'!$B$1:$AI$720,MATCH(AE$2,'Tillförd energi'!$B$1:$AQ$1,0),FALSE)</f>
        <v>0</v>
      </c>
      <c r="AF119" s="63">
        <f>VLOOKUP($B119,'Tillförd energi'!$B$1:$AI$720,MATCH(AF$2,'Tillförd energi'!$B$1:$AQ$1,0),FALSE)</f>
        <v>7.38</v>
      </c>
      <c r="AG119" s="63">
        <f>IFERROR(VLOOKUP(B119,Miljö!$B$1:$AC$550,MATCH("Köpt mängd produktionsspecifik fjärrvärme:",Miljö!$B$1:$AC$1,0),FALSE)/1,0)</f>
        <v>0</v>
      </c>
      <c r="AI119" s="63">
        <f t="shared" si="6"/>
        <v>222.641954</v>
      </c>
      <c r="AJ119" s="63">
        <f>IF(ISERROR(1/VLOOKUP($B119,Leveranser!$B$1:$S$500,MATCH("såld värme (gwh)",Leveranser!$B$1:$S$1,0),FALSE)),"",VLOOKUP($B119,Leveranser!$B$1:$S$500,MATCH("såld värme (gwh)",Leveranser!$B$1:$S$1,0),FALSE))</f>
        <v>173.8</v>
      </c>
      <c r="AM119" s="63" t="str">
        <f>IF(B119&lt;&gt;"",IF(VLOOKUP($B119,Totalt!$B$1:$AQ$554,MATCH("Kvalitetsgranskad:",Totalt!$B$1:$AQ$1,0),FALSE)="ja",VLOOKUP($B119,Miljö!$B$1:$AG$479,MATCH(AM$2,Miljö!$B$1:$AK$1,0),FALSE),""),"")</f>
        <v>Ja</v>
      </c>
      <c r="AN119" s="63" t="str">
        <f>IF(AM119="ja",VLOOKUP($B119,Miljö!$B$1:$J$479,MATCH("Typ av ursprungsspecificerad el   (Om inget värde anges används Nordisk residualmix, se inforuta) ()",Miljö!$B$1:$J$1,0),FALSE),IF(AM119="nej","Nordisk residualel",""))</f>
        <v>'Vattenkraft'</v>
      </c>
      <c r="AO119" s="63">
        <f>IF(AM119="","",VLOOKUP($B119,Miljö!$B$1:$J$479,MATCH("Fossilandel för ursprungspecificerad el ()",Miljö!$B$1:$J$1,0),FALSE))</f>
        <v>0</v>
      </c>
      <c r="AQ119" s="63">
        <f t="shared" si="7"/>
        <v>1</v>
      </c>
      <c r="AS119" s="63" t="str">
        <f t="shared" si="8"/>
        <v>Nej</v>
      </c>
      <c r="AT119" s="63" t="str">
        <f>IF(AS119="ja",VLOOKUP($B119,Miljö!$B$1:$P$500,MATCH("Fossil andel i procent (%)",Miljö!$B$1:$P$1,0),FALSE)/100,"")</f>
        <v/>
      </c>
      <c r="AV119" s="63" t="str">
        <f t="shared" si="9"/>
        <v>Nej</v>
      </c>
      <c r="AW119" s="63" t="str">
        <f>IF(AV119="ja",VLOOKUP($B119,'Egen hetvattenprod'!$B$1:$AO$500,MATCH("Värmekälla till värmepumpar ()",'Egen hetvattenprod'!$B$1:$AO$1,0),FALSE),"")</f>
        <v/>
      </c>
      <c r="AY119" s="63" t="str">
        <f t="shared" si="10"/>
        <v>Ja</v>
      </c>
      <c r="AZ119" s="77">
        <f>IF($AY119="ja",(VLOOKUP($B119,'Egen hetvattenprod'!$B$1:$BX$550,MATCH(AZ$2,'Egen hetvattenprod'!$B$1:$BX$1,0),FALSE)+VLOOKUP($B119,Kraftvärmeprod!$B$1:$BX$550,MATCH(AZ$2,Kraftvärmeprod!$B$1:$BX$1,0),FALSE))/$AC119,"")</f>
        <v>1</v>
      </c>
      <c r="BA119" s="77">
        <f>IF($AY119="ja",(VLOOKUP($B119,'Egen hetvattenprod'!$B$1:$BX$550,MATCH(BA$2,'Egen hetvattenprod'!$B$1:$BX$1,0),FALSE)+VLOOKUP($B119,Kraftvärmeprod!$B$1:$BX$550,MATCH(BA$2,Kraftvärmeprod!$B$1:$BX$1,0),FALSE))/$AC119,"")</f>
        <v>0</v>
      </c>
      <c r="BB119" s="77">
        <f>IF($AY119="ja",(VLOOKUP($B119,'Egen hetvattenprod'!$B$1:$BX$550,MATCH(BB$2,'Egen hetvattenprod'!$B$1:$BX$1,0),FALSE)+VLOOKUP($B119,Kraftvärmeprod!$B$1:$BX$550,MATCH(BB$2,Kraftvärmeprod!$B$1:$BX$1,0),FALSE))/$AC119,"")</f>
        <v>0</v>
      </c>
      <c r="BC119" s="77">
        <f>IF($AY119="ja",(VLOOKUP($B119,'Egen hetvattenprod'!$B$1:$BX$550,MATCH(BC$2,'Egen hetvattenprod'!$B$1:$BX$1,0),FALSE)+VLOOKUP($B119,Kraftvärmeprod!$B$1:$BX$550,MATCH(BC$2,Kraftvärmeprod!$B$1:$BX$1,0),FALSE))/$AC119,"")</f>
        <v>0</v>
      </c>
      <c r="BD119" s="77">
        <f>IF($AY119="ja",(VLOOKUP($B119,'Egen hetvattenprod'!$B$1:$BX$550,MATCH(BD$2,'Egen hetvattenprod'!$B$1:$BX$1,0),FALSE)+VLOOKUP($B119,Kraftvärmeprod!$B$1:$BX$550,MATCH(BD$2,Kraftvärmeprod!$B$1:$BX$1,0),FALSE))/$AC119,"")</f>
        <v>0</v>
      </c>
      <c r="BF119" s="63" t="str">
        <f t="shared" si="11"/>
        <v>Ja</v>
      </c>
      <c r="BG119" s="63" t="str">
        <f>IF($BF119="ja",VLOOKUP($B119,'Egen hetvattenprod'!$B$1:$BX$550,MATCH("Andelen klimatgaser med fossilt ursprung för avfall ()",'Egen hetvattenprod'!$B$1:$BX$1,0),FALSE),"")</f>
        <v>ET</v>
      </c>
      <c r="BH119" s="63" t="str">
        <f>IF($BF119="ja",VLOOKUP($B119,Kraftvärmeprod!$B$1:$BX$550,MATCH("Andelen klimatgaser med fossilt ursprung för avfall ()",Kraftvärmeprod!$B$1:$BX$1,0),FALSE),"")</f>
        <v>Schablon</v>
      </c>
      <c r="BI119" s="63" t="str">
        <f>IF($BF119="ja",VLOOKUP($B119,'Egen hetvattenprod'!$B$1:$BX$550,MATCH("Avfall (GWh)",'Egen hetvattenprod'!$B$1:$BX$1,0),FALSE),"")</f>
        <v>ET</v>
      </c>
      <c r="BJ119" s="63">
        <f>IF($BF119="ja",VLOOKUP($B119,'Slutlig allokering kvv'!$B$1:$BX$550,MATCH("Avfall (GWh)",'Slutlig allokering kvv'!$B$1:$BX$1,0),FALSE),"")</f>
        <v>113.053</v>
      </c>
      <c r="BK119" s="63">
        <f>IF($BF119="ja",VLOOKUP($B119,'Köpt hetvatten'!$B$1:$BX$550,MATCH("Avfall i köpt hetvatten",'Köpt hetvatten'!$B$1:$BX$1,0),FALSE),"")</f>
        <v>0</v>
      </c>
      <c r="BL119" s="63" t="str">
        <f>IF($BF119="ja",VLOOKUP($B119,'Egen hetvattenprod'!$B$1:$BX$550,MATCH("Värde enligt ovan. (%)",'Egen hetvattenprod'!$B$1:$BX$1,0),FALSE),"")</f>
        <v>ET</v>
      </c>
      <c r="BM119" s="63">
        <f>IF($BF119="ja",VLOOKUP($B119,Kraftvärmeprod!$B$1:$BX$550,MATCH("Värde enligt ovan. (%)",Kraftvärmeprod!$B$1:$BX$1,0),FALSE),"")</f>
        <v>37.299999999999997</v>
      </c>
    </row>
    <row r="120" spans="1:65" x14ac:dyDescent="0.45">
      <c r="A120" s="63" t="s">
        <v>530</v>
      </c>
      <c r="B120" s="63" t="s">
        <v>529</v>
      </c>
      <c r="C120" s="63">
        <f>VLOOKUP($B120,'Tillförd energi'!$B$1:$AI$720,MATCH(C$2,'Tillförd energi'!$B$1:$AQ$1,0),FALSE)</f>
        <v>0</v>
      </c>
      <c r="D120" s="63">
        <f>VLOOKUP($B120,'Tillförd energi'!$B$1:$AI$720,MATCH(D$2,'Tillförd energi'!$B$1:$AQ$1,0),FALSE)</f>
        <v>0</v>
      </c>
      <c r="E120" s="63">
        <f>VLOOKUP($B120,'Tillförd energi'!$B$1:$AI$720,MATCH(E$2,'Tillförd energi'!$B$1:$AQ$1,0),FALSE)</f>
        <v>0</v>
      </c>
      <c r="F120" s="63">
        <f>VLOOKUP($B120,'Tillförd energi'!$B$1:$AI$720,MATCH(F$2,'Tillförd energi'!$B$1:$AQ$1,0),FALSE)</f>
        <v>0</v>
      </c>
      <c r="G120" s="63">
        <f>VLOOKUP($B120,'Tillförd energi'!$B$1:$AI$720,MATCH(G$2,'Tillförd energi'!$B$1:$AQ$1,0),FALSE)</f>
        <v>0</v>
      </c>
      <c r="H120" s="63">
        <f>VLOOKUP($B120,'Tillförd energi'!$B$1:$AI$720,MATCH(H$2,'Tillförd energi'!$B$1:$AQ$1,0),FALSE)</f>
        <v>0</v>
      </c>
      <c r="I120" s="63">
        <f>VLOOKUP($B120,'Tillförd energi'!$B$1:$AI$720,MATCH(I$2,'Tillförd energi'!$B$1:$AQ$1,0),FALSE)</f>
        <v>0</v>
      </c>
      <c r="J120" s="63">
        <f>VLOOKUP($B120,'Tillförd energi'!$B$1:$AI$720,MATCH(J$2,'Tillförd energi'!$B$1:$AQ$1,0),FALSE)</f>
        <v>0</v>
      </c>
      <c r="K120" s="63">
        <f>VLOOKUP($B120,'Tillförd energi'!$B$1:$AI$720,MATCH(K$2,'Tillförd energi'!$B$1:$AQ$1,0),FALSE)</f>
        <v>0</v>
      </c>
      <c r="L120" s="63">
        <f>VLOOKUP($B120,'Tillförd energi'!$B$1:$AI$720,MATCH(L$2,'Tillförd energi'!$B$1:$AQ$1,0),FALSE)</f>
        <v>0</v>
      </c>
      <c r="M120" s="63">
        <f>VLOOKUP($B120,'Tillförd energi'!$B$1:$AI$720,MATCH(M$2,'Tillförd energi'!$B$1:$AQ$1,0),FALSE)</f>
        <v>0</v>
      </c>
      <c r="N120" s="63">
        <f>VLOOKUP($B120,'Tillförd energi'!$B$1:$AI$720,MATCH(N$2,'Tillförd energi'!$B$1:$AQ$1,0),FALSE)</f>
        <v>0</v>
      </c>
      <c r="O120" s="63">
        <f>VLOOKUP($B120,'Tillförd energi'!$B$1:$AI$720,MATCH(O$2,'Tillförd energi'!$B$1:$AQ$1,0),FALSE)</f>
        <v>0</v>
      </c>
      <c r="P120" s="63">
        <f>VLOOKUP($B120,'Tillförd energi'!$B$1:$AI$720,MATCH(P$2,'Tillförd energi'!$B$1:$AQ$1,0),FALSE)</f>
        <v>23.7</v>
      </c>
      <c r="Q120" s="63">
        <f>VLOOKUP($B120,'Tillförd energi'!$B$1:$AI$720,MATCH(Q$2,'Tillförd energi'!$B$1:$AQ$1,0),FALSE)</f>
        <v>0</v>
      </c>
      <c r="R120" s="63">
        <f>VLOOKUP($B120,'Tillförd energi'!$B$1:$AI$720,MATCH(R$2,'Tillförd energi'!$B$1:$AQ$1,0),FALSE)</f>
        <v>0</v>
      </c>
      <c r="S120" s="63">
        <f>VLOOKUP($B120,'Tillförd energi'!$B$1:$AI$720,MATCH(S$2,'Tillförd energi'!$B$1:$AQ$1,0),FALSE)</f>
        <v>0</v>
      </c>
      <c r="T120" s="63">
        <f>VLOOKUP($B120,'Tillförd energi'!$B$1:$AI$720,MATCH(T$2,'Tillförd energi'!$B$1:$AQ$1,0),FALSE)</f>
        <v>0</v>
      </c>
      <c r="U120" s="63">
        <f>VLOOKUP($B120,'Tillförd energi'!$B$1:$AI$720,MATCH(U$2,'Tillförd energi'!$B$1:$AQ$1,0),FALSE)</f>
        <v>0</v>
      </c>
      <c r="V120" s="63">
        <f>VLOOKUP($B120,'Tillförd energi'!$B$1:$AI$720,MATCH(V$2,'Tillförd energi'!$B$1:$AQ$1,0),FALSE)</f>
        <v>0</v>
      </c>
      <c r="W120" s="63">
        <f>VLOOKUP($B120,'Tillförd energi'!$B$1:$AI$720,MATCH(W$2,'Tillförd energi'!$B$1:$AQ$1,0),FALSE)</f>
        <v>0.32</v>
      </c>
      <c r="X120" s="63">
        <f>VLOOKUP($B120,'Tillförd energi'!$B$1:$AI$720,MATCH(X$2,'Tillförd energi'!$B$1:$AQ$1,0),FALSE)</f>
        <v>0</v>
      </c>
      <c r="Y120" s="63">
        <f>VLOOKUP($B120,'Tillförd energi'!$B$1:$AI$720,MATCH(Y$2,'Tillförd energi'!$B$1:$AQ$1,0),FALSE)</f>
        <v>0</v>
      </c>
      <c r="Z120" s="63">
        <f>VLOOKUP($B120,'Tillförd energi'!$B$1:$AI$720,MATCH(Z$2,'Tillförd energi'!$B$1:$AQ$1,0),FALSE)</f>
        <v>0</v>
      </c>
      <c r="AA120" s="63">
        <f>VLOOKUP($B120,'Tillförd energi'!$B$1:$AI$720,MATCH(AA$2,'Tillförd energi'!$B$1:$AQ$1,0),FALSE)</f>
        <v>0</v>
      </c>
      <c r="AB120" s="63">
        <f>VLOOKUP($B120,'Tillförd energi'!$B$1:$AI$720,MATCH(AB$2,'Tillförd energi'!$B$1:$AQ$1,0),FALSE)</f>
        <v>0</v>
      </c>
      <c r="AC120" s="63">
        <f>VLOOKUP($B120,'Tillförd energi'!$B$1:$AI$720,MATCH(AC$2,'Tillförd energi'!$B$1:$AQ$1,0),FALSE)</f>
        <v>0</v>
      </c>
      <c r="AD120" s="63">
        <f>VLOOKUP($B120,'Tillförd energi'!$B$1:$AI$720,MATCH(AD$2,'Tillförd energi'!$B$1:$AQ$1,0),FALSE)</f>
        <v>0</v>
      </c>
      <c r="AE120" s="63">
        <f>VLOOKUP($B120,'Tillförd energi'!$B$1:$AI$720,MATCH(AE$2,'Tillförd energi'!$B$1:$AQ$1,0),FALSE)</f>
        <v>0</v>
      </c>
      <c r="AF120" s="63">
        <f>VLOOKUP($B120,'Tillförd energi'!$B$1:$AI$720,MATCH(AF$2,'Tillförd energi'!$B$1:$AQ$1,0),FALSE)</f>
        <v>0.63</v>
      </c>
      <c r="AG120" s="63">
        <f>IFERROR(VLOOKUP(B120,Miljö!$B$1:$AC$550,MATCH("Köpt mängd produktionsspecifik fjärrvärme:",Miljö!$B$1:$AC$1,0),FALSE)/1,0)</f>
        <v>0</v>
      </c>
      <c r="AI120" s="63">
        <f t="shared" si="6"/>
        <v>24.65</v>
      </c>
      <c r="AJ120" s="63">
        <f>IF(ISERROR(1/VLOOKUP($B120,Leveranser!$B$1:$S$500,MATCH("såld värme (gwh)",Leveranser!$B$1:$S$1,0),FALSE)),"",VLOOKUP($B120,Leveranser!$B$1:$S$500,MATCH("såld värme (gwh)",Leveranser!$B$1:$S$1,0),FALSE))</f>
        <v>16.899999999999999</v>
      </c>
      <c r="AM120" s="63" t="str">
        <f>IF(B120&lt;&gt;"",IF(VLOOKUP($B120,Totalt!$B$1:$AQ$554,MATCH("Kvalitetsgranskad:",Totalt!$B$1:$AQ$1,0),FALSE)="ja",VLOOKUP($B120,Miljö!$B$1:$AG$479,MATCH(AM$2,Miljö!$B$1:$AK$1,0),FALSE),""),"")</f>
        <v>Ja</v>
      </c>
      <c r="AN120" s="63" t="str">
        <f>IF(AM120="ja",VLOOKUP($B120,Miljö!$B$1:$J$479,MATCH("Typ av ursprungsspecificerad el   (Om inget värde anges används Nordisk residualmix, se inforuta) ()",Miljö!$B$1:$J$1,0),FALSE),IF(AM120="nej","Nordisk residualel",""))</f>
        <v>'Vattenkraft'</v>
      </c>
      <c r="AO120" s="63">
        <f>IF(AM120="","",VLOOKUP($B120,Miljö!$B$1:$J$479,MATCH("Fossilandel för ursprungspecificerad el ()",Miljö!$B$1:$J$1,0),FALSE))</f>
        <v>0</v>
      </c>
      <c r="AQ120" s="63">
        <f t="shared" si="7"/>
        <v>1</v>
      </c>
      <c r="AS120" s="63" t="str">
        <f t="shared" si="8"/>
        <v>Nej</v>
      </c>
      <c r="AT120" s="63" t="str">
        <f>IF(AS120="ja",VLOOKUP($B120,Miljö!$B$1:$P$500,MATCH("Fossil andel i procent (%)",Miljö!$B$1:$P$1,0),FALSE)/100,"")</f>
        <v/>
      </c>
      <c r="AV120" s="63" t="str">
        <f t="shared" si="9"/>
        <v>Nej</v>
      </c>
      <c r="AW120" s="63" t="str">
        <f>IF(AV120="ja",VLOOKUP($B120,'Egen hetvattenprod'!$B$1:$AO$500,MATCH("Värmekälla till värmepumpar ()",'Egen hetvattenprod'!$B$1:$AO$1,0),FALSE),"")</f>
        <v/>
      </c>
      <c r="AY120" s="63" t="str">
        <f t="shared" si="10"/>
        <v>Nej</v>
      </c>
      <c r="AZ120" s="77" t="str">
        <f>IF($AY120="ja",(VLOOKUP($B120,'Egen hetvattenprod'!$B$1:$BX$550,MATCH(AZ$2,'Egen hetvattenprod'!$B$1:$BX$1,0),FALSE)+VLOOKUP($B120,Kraftvärmeprod!$B$1:$BX$550,MATCH(AZ$2,Kraftvärmeprod!$B$1:$BX$1,0),FALSE))/$AC120,"")</f>
        <v/>
      </c>
      <c r="BA120" s="77" t="str">
        <f>IF($AY120="ja",(VLOOKUP($B120,'Egen hetvattenprod'!$B$1:$BX$550,MATCH(BA$2,'Egen hetvattenprod'!$B$1:$BX$1,0),FALSE)+VLOOKUP($B120,Kraftvärmeprod!$B$1:$BX$550,MATCH(BA$2,Kraftvärmeprod!$B$1:$BX$1,0),FALSE))/$AC120,"")</f>
        <v/>
      </c>
      <c r="BB120" s="77" t="str">
        <f>IF($AY120="ja",(VLOOKUP($B120,'Egen hetvattenprod'!$B$1:$BX$550,MATCH(BB$2,'Egen hetvattenprod'!$B$1:$BX$1,0),FALSE)+VLOOKUP($B120,Kraftvärmeprod!$B$1:$BX$550,MATCH(BB$2,Kraftvärmeprod!$B$1:$BX$1,0),FALSE))/$AC120,"")</f>
        <v/>
      </c>
      <c r="BC120" s="77" t="str">
        <f>IF($AY120="ja",(VLOOKUP($B120,'Egen hetvattenprod'!$B$1:$BX$550,MATCH(BC$2,'Egen hetvattenprod'!$B$1:$BX$1,0),FALSE)+VLOOKUP($B120,Kraftvärmeprod!$B$1:$BX$550,MATCH(BC$2,Kraftvärmeprod!$B$1:$BX$1,0),FALSE))/$AC120,"")</f>
        <v/>
      </c>
      <c r="BD120" s="77" t="str">
        <f>IF($AY120="ja",(VLOOKUP($B120,'Egen hetvattenprod'!$B$1:$BX$550,MATCH(BD$2,'Egen hetvattenprod'!$B$1:$BX$1,0),FALSE)+VLOOKUP($B120,Kraftvärmeprod!$B$1:$BX$550,MATCH(BD$2,Kraftvärmeprod!$B$1:$BX$1,0),FALSE))/$AC120,"")</f>
        <v/>
      </c>
      <c r="BF120" s="63" t="str">
        <f t="shared" si="11"/>
        <v>Nej</v>
      </c>
      <c r="BG120" s="63" t="str">
        <f>IF($BF120="ja",VLOOKUP($B120,'Egen hetvattenprod'!$B$1:$BX$550,MATCH("Andelen klimatgaser med fossilt ursprung för avfall ()",'Egen hetvattenprod'!$B$1:$BX$1,0),FALSE),"")</f>
        <v/>
      </c>
      <c r="BH120" s="63" t="str">
        <f>IF($BF120="ja",VLOOKUP($B120,Kraftvärmeprod!$B$1:$BX$550,MATCH("Andelen klimatgaser med fossilt ursprung för avfall ()",Kraftvärmeprod!$B$1:$BX$1,0),FALSE),"")</f>
        <v/>
      </c>
      <c r="BI120" s="63" t="str">
        <f>IF($BF120="ja",VLOOKUP($B120,'Egen hetvattenprod'!$B$1:$BX$550,MATCH("Avfall (GWh)",'Egen hetvattenprod'!$B$1:$BX$1,0),FALSE),"")</f>
        <v/>
      </c>
      <c r="BJ120" s="63" t="str">
        <f>IF($BF120="ja",VLOOKUP($B120,'Slutlig allokering kvv'!$B$1:$BX$550,MATCH("Avfall (GWh)",'Slutlig allokering kvv'!$B$1:$BX$1,0),FALSE),"")</f>
        <v/>
      </c>
      <c r="BK120" s="63" t="str">
        <f>IF($BF120="ja",VLOOKUP($B120,'Köpt hetvatten'!$B$1:$BX$550,MATCH("Avfall i köpt hetvatten",'Köpt hetvatten'!$B$1:$BX$1,0),FALSE),"")</f>
        <v/>
      </c>
      <c r="BL120" s="63" t="str">
        <f>IF($BF120="ja",VLOOKUP($B120,'Egen hetvattenprod'!$B$1:$BX$550,MATCH("Värde enligt ovan. (%)",'Egen hetvattenprod'!$B$1:$BX$1,0),FALSE),"")</f>
        <v/>
      </c>
      <c r="BM120" s="63" t="str">
        <f>IF($BF120="ja",VLOOKUP($B120,Kraftvärmeprod!$B$1:$BX$550,MATCH("Värde enligt ovan. (%)",Kraftvärmeprod!$B$1:$BX$1,0),FALSE),"")</f>
        <v/>
      </c>
    </row>
    <row r="121" spans="1:65" x14ac:dyDescent="0.45">
      <c r="A121" s="63" t="s">
        <v>528</v>
      </c>
      <c r="B121" s="63" t="s">
        <v>527</v>
      </c>
      <c r="C121" s="63">
        <f>VLOOKUP($B121,'Tillförd energi'!$B$1:$AI$720,MATCH(C$2,'Tillförd energi'!$B$1:$AQ$1,0),FALSE)</f>
        <v>0</v>
      </c>
      <c r="D121" s="63">
        <f>VLOOKUP($B121,'Tillförd energi'!$B$1:$AI$720,MATCH(D$2,'Tillförd energi'!$B$1:$AQ$1,0),FALSE)</f>
        <v>0</v>
      </c>
      <c r="E121" s="63">
        <f>VLOOKUP($B121,'Tillförd energi'!$B$1:$AI$720,MATCH(E$2,'Tillförd energi'!$B$1:$AQ$1,0),FALSE)</f>
        <v>0</v>
      </c>
      <c r="F121" s="63">
        <f>VLOOKUP($B121,'Tillförd energi'!$B$1:$AI$720,MATCH(F$2,'Tillförd energi'!$B$1:$AQ$1,0),FALSE)</f>
        <v>0</v>
      </c>
      <c r="G121" s="63">
        <f>VLOOKUP($B121,'Tillförd energi'!$B$1:$AI$720,MATCH(G$2,'Tillförd energi'!$B$1:$AQ$1,0),FALSE)</f>
        <v>1.4300000000000001E-4</v>
      </c>
      <c r="H121" s="63">
        <f>VLOOKUP($B121,'Tillförd energi'!$B$1:$AI$720,MATCH(H$2,'Tillförd energi'!$B$1:$AQ$1,0),FALSE)</f>
        <v>0</v>
      </c>
      <c r="I121" s="63">
        <f>VLOOKUP($B121,'Tillförd energi'!$B$1:$AI$720,MATCH(I$2,'Tillförd energi'!$B$1:$AQ$1,0),FALSE)</f>
        <v>0</v>
      </c>
      <c r="J121" s="63">
        <f>VLOOKUP($B121,'Tillförd energi'!$B$1:$AI$720,MATCH(J$2,'Tillförd energi'!$B$1:$AQ$1,0),FALSE)</f>
        <v>0</v>
      </c>
      <c r="K121" s="63">
        <f>VLOOKUP($B121,'Tillförd energi'!$B$1:$AI$720,MATCH(K$2,'Tillförd energi'!$B$1:$AQ$1,0),FALSE)</f>
        <v>0</v>
      </c>
      <c r="L121" s="63">
        <f>VLOOKUP($B121,'Tillförd energi'!$B$1:$AI$720,MATCH(L$2,'Tillförd energi'!$B$1:$AQ$1,0),FALSE)</f>
        <v>0</v>
      </c>
      <c r="M121" s="63">
        <f>VLOOKUP($B121,'Tillförd energi'!$B$1:$AI$720,MATCH(M$2,'Tillförd energi'!$B$1:$AQ$1,0),FALSE)</f>
        <v>0</v>
      </c>
      <c r="N121" s="63">
        <f>VLOOKUP($B121,'Tillförd energi'!$B$1:$AI$720,MATCH(N$2,'Tillförd energi'!$B$1:$AQ$1,0),FALSE)</f>
        <v>0</v>
      </c>
      <c r="O121" s="63">
        <f>VLOOKUP($B121,'Tillförd energi'!$B$1:$AI$720,MATCH(O$2,'Tillförd energi'!$B$1:$AQ$1,0),FALSE)</f>
        <v>0</v>
      </c>
      <c r="P121" s="63">
        <f>VLOOKUP($B121,'Tillförd energi'!$B$1:$AI$720,MATCH(P$2,'Tillförd energi'!$B$1:$AQ$1,0),FALSE)</f>
        <v>0</v>
      </c>
      <c r="Q121" s="63">
        <f>VLOOKUP($B121,'Tillförd energi'!$B$1:$AI$720,MATCH(Q$2,'Tillförd energi'!$B$1:$AQ$1,0),FALSE)</f>
        <v>0</v>
      </c>
      <c r="R121" s="63">
        <f>VLOOKUP($B121,'Tillförd energi'!$B$1:$AI$720,MATCH(R$2,'Tillförd energi'!$B$1:$AQ$1,0),FALSE)</f>
        <v>0</v>
      </c>
      <c r="S121" s="63">
        <f>VLOOKUP($B121,'Tillförd energi'!$B$1:$AI$720,MATCH(S$2,'Tillförd energi'!$B$1:$AQ$1,0),FALSE)</f>
        <v>0</v>
      </c>
      <c r="T121" s="63">
        <f>VLOOKUP($B121,'Tillförd energi'!$B$1:$AI$720,MATCH(T$2,'Tillförd energi'!$B$1:$AQ$1,0),FALSE)</f>
        <v>0</v>
      </c>
      <c r="U121" s="63">
        <f>VLOOKUP($B121,'Tillförd energi'!$B$1:$AI$720,MATCH(U$2,'Tillförd energi'!$B$1:$AQ$1,0),FALSE)</f>
        <v>0</v>
      </c>
      <c r="V121" s="63">
        <f>VLOOKUP($B121,'Tillförd energi'!$B$1:$AI$720,MATCH(V$2,'Tillförd energi'!$B$1:$AQ$1,0),FALSE)</f>
        <v>0</v>
      </c>
      <c r="W121" s="63">
        <f>VLOOKUP($B121,'Tillförd energi'!$B$1:$AI$720,MATCH(W$2,'Tillförd energi'!$B$1:$AQ$1,0),FALSE)</f>
        <v>10.548999999999999</v>
      </c>
      <c r="X121" s="63">
        <f>VLOOKUP($B121,'Tillförd energi'!$B$1:$AI$720,MATCH(X$2,'Tillförd energi'!$B$1:$AQ$1,0),FALSE)</f>
        <v>0</v>
      </c>
      <c r="Y121" s="63">
        <f>VLOOKUP($B121,'Tillförd energi'!$B$1:$AI$720,MATCH(Y$2,'Tillförd energi'!$B$1:$AQ$1,0),FALSE)</f>
        <v>0</v>
      </c>
      <c r="Z121" s="63">
        <f>VLOOKUP($B121,'Tillförd energi'!$B$1:$AI$720,MATCH(Z$2,'Tillförd energi'!$B$1:$AQ$1,0),FALSE)</f>
        <v>0</v>
      </c>
      <c r="AA121" s="63">
        <f>VLOOKUP($B121,'Tillförd energi'!$B$1:$AI$720,MATCH(AA$2,'Tillförd energi'!$B$1:$AQ$1,0),FALSE)</f>
        <v>0</v>
      </c>
      <c r="AB121" s="63">
        <f>VLOOKUP($B121,'Tillförd energi'!$B$1:$AI$720,MATCH(AB$2,'Tillförd energi'!$B$1:$AQ$1,0),FALSE)</f>
        <v>0</v>
      </c>
      <c r="AC121" s="63">
        <f>VLOOKUP($B121,'Tillförd energi'!$B$1:$AI$720,MATCH(AC$2,'Tillförd energi'!$B$1:$AQ$1,0),FALSE)</f>
        <v>0</v>
      </c>
      <c r="AD121" s="63">
        <f>VLOOKUP($B121,'Tillförd energi'!$B$1:$AI$720,MATCH(AD$2,'Tillförd energi'!$B$1:$AQ$1,0),FALSE)</f>
        <v>38.523000000000003</v>
      </c>
      <c r="AE121" s="63">
        <f>VLOOKUP($B121,'Tillförd energi'!$B$1:$AI$720,MATCH(AE$2,'Tillförd energi'!$B$1:$AQ$1,0),FALSE)</f>
        <v>0</v>
      </c>
      <c r="AF121" s="63">
        <f>VLOOKUP($B121,'Tillförd energi'!$B$1:$AI$720,MATCH(AF$2,'Tillförd energi'!$B$1:$AQ$1,0),FALSE)</f>
        <v>0.36528100000000002</v>
      </c>
      <c r="AG121" s="63">
        <f>IFERROR(VLOOKUP(B121,Miljö!$B$1:$AC$550,MATCH("Köpt mängd produktionsspecifik fjärrvärme:",Miljö!$B$1:$AC$1,0),FALSE)/1,0)</f>
        <v>0</v>
      </c>
      <c r="AI121" s="63">
        <f t="shared" si="6"/>
        <v>49.437424000000007</v>
      </c>
      <c r="AJ121" s="63">
        <f>IF(ISERROR(1/VLOOKUP($B121,Leveranser!$B$1:$S$500,MATCH("såld värme (gwh)",Leveranser!$B$1:$S$1,0),FALSE)),"",VLOOKUP($B121,Leveranser!$B$1:$S$500,MATCH("såld värme (gwh)",Leveranser!$B$1:$S$1,0),FALSE))</f>
        <v>41.533999999999999</v>
      </c>
      <c r="AM121" s="63" t="str">
        <f>IF(B121&lt;&gt;"",IF(VLOOKUP($B121,Totalt!$B$1:$AQ$554,MATCH("Kvalitetsgranskad:",Totalt!$B$1:$AQ$1,0),FALSE)="ja",VLOOKUP($B121,Miljö!$B$1:$AG$479,MATCH(AM$2,Miljö!$B$1:$AK$1,0),FALSE),""),"")</f>
        <v>Ja</v>
      </c>
      <c r="AN121" s="63" t="str">
        <f>IF(AM121="ja",VLOOKUP($B121,Miljö!$B$1:$J$479,MATCH("Typ av ursprungsspecificerad el   (Om inget värde anges används Nordisk residualmix, se inforuta) ()",Miljö!$B$1:$J$1,0),FALSE),IF(AM121="nej","Nordisk residualel",""))</f>
        <v>'Vattenkraft'</v>
      </c>
      <c r="AO121" s="63">
        <f>IF(AM121="","",VLOOKUP($B121,Miljö!$B$1:$J$479,MATCH("Fossilandel för ursprungspecificerad el ()",Miljö!$B$1:$J$1,0),FALSE))</f>
        <v>0</v>
      </c>
      <c r="AQ121" s="63">
        <f t="shared" si="7"/>
        <v>1</v>
      </c>
      <c r="AS121" s="63" t="str">
        <f t="shared" si="8"/>
        <v>Nej</v>
      </c>
      <c r="AT121" s="63" t="str">
        <f>IF(AS121="ja",VLOOKUP($B121,Miljö!$B$1:$P$500,MATCH("Fossil andel i procent (%)",Miljö!$B$1:$P$1,0),FALSE)/100,"")</f>
        <v/>
      </c>
      <c r="AV121" s="63" t="str">
        <f t="shared" si="9"/>
        <v>Nej</v>
      </c>
      <c r="AW121" s="63" t="str">
        <f>IF(AV121="ja",VLOOKUP($B121,'Egen hetvattenprod'!$B$1:$AO$500,MATCH("Värmekälla till värmepumpar ()",'Egen hetvattenprod'!$B$1:$AO$1,0),FALSE),"")</f>
        <v/>
      </c>
      <c r="AY121" s="63" t="str">
        <f t="shared" si="10"/>
        <v>Nej</v>
      </c>
      <c r="AZ121" s="77" t="str">
        <f>IF($AY121="ja",(VLOOKUP($B121,'Egen hetvattenprod'!$B$1:$BX$550,MATCH(AZ$2,'Egen hetvattenprod'!$B$1:$BX$1,0),FALSE)+VLOOKUP($B121,Kraftvärmeprod!$B$1:$BX$550,MATCH(AZ$2,Kraftvärmeprod!$B$1:$BX$1,0),FALSE))/$AC121,"")</f>
        <v/>
      </c>
      <c r="BA121" s="77" t="str">
        <f>IF($AY121="ja",(VLOOKUP($B121,'Egen hetvattenprod'!$B$1:$BX$550,MATCH(BA$2,'Egen hetvattenprod'!$B$1:$BX$1,0),FALSE)+VLOOKUP($B121,Kraftvärmeprod!$B$1:$BX$550,MATCH(BA$2,Kraftvärmeprod!$B$1:$BX$1,0),FALSE))/$AC121,"")</f>
        <v/>
      </c>
      <c r="BB121" s="77" t="str">
        <f>IF($AY121="ja",(VLOOKUP($B121,'Egen hetvattenprod'!$B$1:$BX$550,MATCH(BB$2,'Egen hetvattenprod'!$B$1:$BX$1,0),FALSE)+VLOOKUP($B121,Kraftvärmeprod!$B$1:$BX$550,MATCH(BB$2,Kraftvärmeprod!$B$1:$BX$1,0),FALSE))/$AC121,"")</f>
        <v/>
      </c>
      <c r="BC121" s="77" t="str">
        <f>IF($AY121="ja",(VLOOKUP($B121,'Egen hetvattenprod'!$B$1:$BX$550,MATCH(BC$2,'Egen hetvattenprod'!$B$1:$BX$1,0),FALSE)+VLOOKUP($B121,Kraftvärmeprod!$B$1:$BX$550,MATCH(BC$2,Kraftvärmeprod!$B$1:$BX$1,0),FALSE))/$AC121,"")</f>
        <v/>
      </c>
      <c r="BD121" s="77" t="str">
        <f>IF($AY121="ja",(VLOOKUP($B121,'Egen hetvattenprod'!$B$1:$BX$550,MATCH(BD$2,'Egen hetvattenprod'!$B$1:$BX$1,0),FALSE)+VLOOKUP($B121,Kraftvärmeprod!$B$1:$BX$550,MATCH(BD$2,Kraftvärmeprod!$B$1:$BX$1,0),FALSE))/$AC121,"")</f>
        <v/>
      </c>
      <c r="BF121" s="63" t="str">
        <f t="shared" si="11"/>
        <v>Nej</v>
      </c>
      <c r="BG121" s="63" t="str">
        <f>IF($BF121="ja",VLOOKUP($B121,'Egen hetvattenprod'!$B$1:$BX$550,MATCH("Andelen klimatgaser med fossilt ursprung för avfall ()",'Egen hetvattenprod'!$B$1:$BX$1,0),FALSE),"")</f>
        <v/>
      </c>
      <c r="BH121" s="63" t="str">
        <f>IF($BF121="ja",VLOOKUP($B121,Kraftvärmeprod!$B$1:$BX$550,MATCH("Andelen klimatgaser med fossilt ursprung för avfall ()",Kraftvärmeprod!$B$1:$BX$1,0),FALSE),"")</f>
        <v/>
      </c>
      <c r="BI121" s="63" t="str">
        <f>IF($BF121="ja",VLOOKUP($B121,'Egen hetvattenprod'!$B$1:$BX$550,MATCH("Avfall (GWh)",'Egen hetvattenprod'!$B$1:$BX$1,0),FALSE),"")</f>
        <v/>
      </c>
      <c r="BJ121" s="63" t="str">
        <f>IF($BF121="ja",VLOOKUP($B121,'Slutlig allokering kvv'!$B$1:$BX$550,MATCH("Avfall (GWh)",'Slutlig allokering kvv'!$B$1:$BX$1,0),FALSE),"")</f>
        <v/>
      </c>
      <c r="BK121" s="63" t="str">
        <f>IF($BF121="ja",VLOOKUP($B121,'Köpt hetvatten'!$B$1:$BX$550,MATCH("Avfall i köpt hetvatten",'Köpt hetvatten'!$B$1:$BX$1,0),FALSE),"")</f>
        <v/>
      </c>
      <c r="BL121" s="63" t="str">
        <f>IF($BF121="ja",VLOOKUP($B121,'Egen hetvattenprod'!$B$1:$BX$550,MATCH("Värde enligt ovan. (%)",'Egen hetvattenprod'!$B$1:$BX$1,0),FALSE),"")</f>
        <v/>
      </c>
      <c r="BM121" s="63" t="str">
        <f>IF($BF121="ja",VLOOKUP($B121,Kraftvärmeprod!$B$1:$BX$550,MATCH("Värde enligt ovan. (%)",Kraftvärmeprod!$B$1:$BX$1,0),FALSE),"")</f>
        <v/>
      </c>
    </row>
    <row r="122" spans="1:65" x14ac:dyDescent="0.45">
      <c r="A122" s="63" t="s">
        <v>526</v>
      </c>
      <c r="B122" s="63" t="s">
        <v>525</v>
      </c>
      <c r="C122" s="63">
        <f>VLOOKUP($B122,'Tillförd energi'!$B$1:$AI$720,MATCH(C$2,'Tillförd energi'!$B$1:$AQ$1,0),FALSE)</f>
        <v>0</v>
      </c>
      <c r="D122" s="63">
        <f>VLOOKUP($B122,'Tillförd energi'!$B$1:$AI$720,MATCH(D$2,'Tillförd energi'!$B$1:$AQ$1,0),FALSE)</f>
        <v>0.57999999999999996</v>
      </c>
      <c r="E122" s="63">
        <f>VLOOKUP($B122,'Tillförd energi'!$B$1:$AI$720,MATCH(E$2,'Tillförd energi'!$B$1:$AQ$1,0),FALSE)</f>
        <v>0</v>
      </c>
      <c r="F122" s="63">
        <f>VLOOKUP($B122,'Tillförd energi'!$B$1:$AI$720,MATCH(F$2,'Tillförd energi'!$B$1:$AQ$1,0),FALSE)</f>
        <v>0</v>
      </c>
      <c r="G122" s="63">
        <f>VLOOKUP($B122,'Tillförd energi'!$B$1:$AI$720,MATCH(G$2,'Tillförd energi'!$B$1:$AQ$1,0),FALSE)</f>
        <v>0</v>
      </c>
      <c r="H122" s="63">
        <f>VLOOKUP($B122,'Tillförd energi'!$B$1:$AI$720,MATCH(H$2,'Tillförd energi'!$B$1:$AQ$1,0),FALSE)</f>
        <v>0</v>
      </c>
      <c r="I122" s="63">
        <f>VLOOKUP($B122,'Tillförd energi'!$B$1:$AI$720,MATCH(I$2,'Tillförd energi'!$B$1:$AQ$1,0),FALSE)</f>
        <v>0</v>
      </c>
      <c r="J122" s="63">
        <f>VLOOKUP($B122,'Tillförd energi'!$B$1:$AI$720,MATCH(J$2,'Tillförd energi'!$B$1:$AQ$1,0),FALSE)</f>
        <v>0</v>
      </c>
      <c r="K122" s="63">
        <f>VLOOKUP($B122,'Tillförd energi'!$B$1:$AI$720,MATCH(K$2,'Tillförd energi'!$B$1:$AQ$1,0),FALSE)</f>
        <v>0</v>
      </c>
      <c r="L122" s="63">
        <f>VLOOKUP($B122,'Tillförd energi'!$B$1:$AI$720,MATCH(L$2,'Tillförd energi'!$B$1:$AQ$1,0),FALSE)</f>
        <v>0</v>
      </c>
      <c r="M122" s="63">
        <f>VLOOKUP($B122,'Tillförd energi'!$B$1:$AI$720,MATCH(M$2,'Tillförd energi'!$B$1:$AQ$1,0),FALSE)</f>
        <v>0.8</v>
      </c>
      <c r="N122" s="63">
        <f>VLOOKUP($B122,'Tillförd energi'!$B$1:$AI$720,MATCH(N$2,'Tillförd energi'!$B$1:$AQ$1,0),FALSE)</f>
        <v>0</v>
      </c>
      <c r="O122" s="63">
        <f>VLOOKUP($B122,'Tillförd energi'!$B$1:$AI$720,MATCH(O$2,'Tillförd energi'!$B$1:$AQ$1,0),FALSE)</f>
        <v>0</v>
      </c>
      <c r="P122" s="63">
        <f>VLOOKUP($B122,'Tillförd energi'!$B$1:$AI$720,MATCH(P$2,'Tillförd energi'!$B$1:$AQ$1,0),FALSE)</f>
        <v>38.58</v>
      </c>
      <c r="Q122" s="63">
        <f>VLOOKUP($B122,'Tillförd energi'!$B$1:$AI$720,MATCH(Q$2,'Tillförd energi'!$B$1:$AQ$1,0),FALSE)</f>
        <v>0</v>
      </c>
      <c r="R122" s="63">
        <f>VLOOKUP($B122,'Tillförd energi'!$B$1:$AI$720,MATCH(R$2,'Tillförd energi'!$B$1:$AQ$1,0),FALSE)</f>
        <v>5.6660000000000004</v>
      </c>
      <c r="S122" s="63">
        <f>VLOOKUP($B122,'Tillförd energi'!$B$1:$AI$720,MATCH(S$2,'Tillförd energi'!$B$1:$AQ$1,0),FALSE)</f>
        <v>0</v>
      </c>
      <c r="T122" s="63">
        <f>VLOOKUP($B122,'Tillförd energi'!$B$1:$AI$720,MATCH(T$2,'Tillförd energi'!$B$1:$AQ$1,0),FALSE)</f>
        <v>0</v>
      </c>
      <c r="U122" s="63">
        <f>VLOOKUP($B122,'Tillförd energi'!$B$1:$AI$720,MATCH(U$2,'Tillförd energi'!$B$1:$AQ$1,0),FALSE)</f>
        <v>1.6654800000000001</v>
      </c>
      <c r="V122" s="63">
        <f>VLOOKUP($B122,'Tillförd energi'!$B$1:$AI$720,MATCH(V$2,'Tillförd energi'!$B$1:$AQ$1,0),FALSE)</f>
        <v>0</v>
      </c>
      <c r="W122" s="63">
        <f>VLOOKUP($B122,'Tillförd energi'!$B$1:$AI$720,MATCH(W$2,'Tillförd energi'!$B$1:$AQ$1,0),FALSE)</f>
        <v>0</v>
      </c>
      <c r="X122" s="63">
        <f>VLOOKUP($B122,'Tillförd energi'!$B$1:$AI$720,MATCH(X$2,'Tillförd energi'!$B$1:$AQ$1,0),FALSE)</f>
        <v>0</v>
      </c>
      <c r="Y122" s="63">
        <f>VLOOKUP($B122,'Tillförd energi'!$B$1:$AI$720,MATCH(Y$2,'Tillförd energi'!$B$1:$AQ$1,0),FALSE)</f>
        <v>0</v>
      </c>
      <c r="Z122" s="63">
        <f>VLOOKUP($B122,'Tillförd energi'!$B$1:$AI$720,MATCH(Z$2,'Tillförd energi'!$B$1:$AQ$1,0),FALSE)</f>
        <v>0</v>
      </c>
      <c r="AA122" s="63">
        <f>VLOOKUP($B122,'Tillförd energi'!$B$1:$AI$720,MATCH(AA$2,'Tillförd energi'!$B$1:$AQ$1,0),FALSE)</f>
        <v>0</v>
      </c>
      <c r="AB122" s="63">
        <f>VLOOKUP($B122,'Tillförd energi'!$B$1:$AI$720,MATCH(AB$2,'Tillförd energi'!$B$1:$AQ$1,0),FALSE)</f>
        <v>0</v>
      </c>
      <c r="AC122" s="63">
        <f>VLOOKUP($B122,'Tillförd energi'!$B$1:$AI$720,MATCH(AC$2,'Tillförd energi'!$B$1:$AQ$1,0),FALSE)</f>
        <v>0</v>
      </c>
      <c r="AD122" s="63">
        <f>VLOOKUP($B122,'Tillförd energi'!$B$1:$AI$720,MATCH(AD$2,'Tillförd energi'!$B$1:$AQ$1,0),FALSE)</f>
        <v>0</v>
      </c>
      <c r="AE122" s="63">
        <f>VLOOKUP($B122,'Tillförd energi'!$B$1:$AI$720,MATCH(AE$2,'Tillförd energi'!$B$1:$AQ$1,0),FALSE)</f>
        <v>0</v>
      </c>
      <c r="AF122" s="63">
        <f>VLOOKUP($B122,'Tillförd energi'!$B$1:$AI$720,MATCH(AF$2,'Tillförd energi'!$B$1:$AQ$1,0),FALSE)</f>
        <v>1.3</v>
      </c>
      <c r="AG122" s="63">
        <f>IFERROR(VLOOKUP(B122,Miljö!$B$1:$AC$550,MATCH("Köpt mängd produktionsspecifik fjärrvärme:",Miljö!$B$1:$AC$1,0),FALSE)/1,0)</f>
        <v>0</v>
      </c>
      <c r="AI122" s="63">
        <f t="shared" si="6"/>
        <v>48.591480000000004</v>
      </c>
      <c r="AJ122" s="63">
        <f>IF(ISERROR(1/VLOOKUP($B122,Leveranser!$B$1:$S$500,MATCH("såld värme (gwh)",Leveranser!$B$1:$S$1,0),FALSE)),"",VLOOKUP($B122,Leveranser!$B$1:$S$500,MATCH("såld värme (gwh)",Leveranser!$B$1:$S$1,0),FALSE))</f>
        <v>36.75</v>
      </c>
      <c r="AM122" s="63" t="str">
        <f>IF(B122&lt;&gt;"",IF(VLOOKUP($B122,Totalt!$B$1:$AQ$554,MATCH("Kvalitetsgranskad:",Totalt!$B$1:$AQ$1,0),FALSE)="ja",VLOOKUP($B122,Miljö!$B$1:$AG$479,MATCH(AM$2,Miljö!$B$1:$AK$1,0),FALSE),""),"")</f>
        <v>Ja</v>
      </c>
      <c r="AN122" s="63" t="str">
        <f>IF(AM122="ja",VLOOKUP($B122,Miljö!$B$1:$J$479,MATCH("Typ av ursprungsspecificerad el   (Om inget värde anges används Nordisk residualmix, se inforuta) ()",Miljö!$B$1:$J$1,0),FALSE),IF(AM122="nej","Nordisk residualel",""))</f>
        <v>'green Power Förnyelsebara energikällor 100%'</v>
      </c>
      <c r="AO122" s="63">
        <f>IF(AM122="","",VLOOKUP($B122,Miljö!$B$1:$J$479,MATCH("Fossilandel för ursprungspecificerad el ()",Miljö!$B$1:$J$1,0),FALSE))</f>
        <v>0</v>
      </c>
      <c r="AQ122" s="63">
        <f t="shared" si="7"/>
        <v>1</v>
      </c>
      <c r="AS122" s="63" t="str">
        <f t="shared" si="8"/>
        <v>Nej</v>
      </c>
      <c r="AT122" s="63" t="str">
        <f>IF(AS122="ja",VLOOKUP($B122,Miljö!$B$1:$P$500,MATCH("Fossil andel i procent (%)",Miljö!$B$1:$P$1,0),FALSE)/100,"")</f>
        <v/>
      </c>
      <c r="AV122" s="63" t="str">
        <f t="shared" si="9"/>
        <v>Nej</v>
      </c>
      <c r="AW122" s="63" t="str">
        <f>IF(AV122="ja",VLOOKUP($B122,'Egen hetvattenprod'!$B$1:$AO$500,MATCH("Värmekälla till värmepumpar ()",'Egen hetvattenprod'!$B$1:$AO$1,0),FALSE),"")</f>
        <v/>
      </c>
      <c r="AY122" s="63" t="str">
        <f t="shared" si="10"/>
        <v>Nej</v>
      </c>
      <c r="AZ122" s="77" t="str">
        <f>IF($AY122="ja",(VLOOKUP($B122,'Egen hetvattenprod'!$B$1:$BX$550,MATCH(AZ$2,'Egen hetvattenprod'!$B$1:$BX$1,0),FALSE)+VLOOKUP($B122,Kraftvärmeprod!$B$1:$BX$550,MATCH(AZ$2,Kraftvärmeprod!$B$1:$BX$1,0),FALSE))/$AC122,"")</f>
        <v/>
      </c>
      <c r="BA122" s="77" t="str">
        <f>IF($AY122="ja",(VLOOKUP($B122,'Egen hetvattenprod'!$B$1:$BX$550,MATCH(BA$2,'Egen hetvattenprod'!$B$1:$BX$1,0),FALSE)+VLOOKUP($B122,Kraftvärmeprod!$B$1:$BX$550,MATCH(BA$2,Kraftvärmeprod!$B$1:$BX$1,0),FALSE))/$AC122,"")</f>
        <v/>
      </c>
      <c r="BB122" s="77" t="str">
        <f>IF($AY122="ja",(VLOOKUP($B122,'Egen hetvattenprod'!$B$1:$BX$550,MATCH(BB$2,'Egen hetvattenprod'!$B$1:$BX$1,0),FALSE)+VLOOKUP($B122,Kraftvärmeprod!$B$1:$BX$550,MATCH(BB$2,Kraftvärmeprod!$B$1:$BX$1,0),FALSE))/$AC122,"")</f>
        <v/>
      </c>
      <c r="BC122" s="77" t="str">
        <f>IF($AY122="ja",(VLOOKUP($B122,'Egen hetvattenprod'!$B$1:$BX$550,MATCH(BC$2,'Egen hetvattenprod'!$B$1:$BX$1,0),FALSE)+VLOOKUP($B122,Kraftvärmeprod!$B$1:$BX$550,MATCH(BC$2,Kraftvärmeprod!$B$1:$BX$1,0),FALSE))/$AC122,"")</f>
        <v/>
      </c>
      <c r="BD122" s="77" t="str">
        <f>IF($AY122="ja",(VLOOKUP($B122,'Egen hetvattenprod'!$B$1:$BX$550,MATCH(BD$2,'Egen hetvattenprod'!$B$1:$BX$1,0),FALSE)+VLOOKUP($B122,Kraftvärmeprod!$B$1:$BX$550,MATCH(BD$2,Kraftvärmeprod!$B$1:$BX$1,0),FALSE))/$AC122,"")</f>
        <v/>
      </c>
      <c r="BF122" s="63" t="str">
        <f t="shared" si="11"/>
        <v>Nej</v>
      </c>
      <c r="BG122" s="63" t="str">
        <f>IF($BF122="ja",VLOOKUP($B122,'Egen hetvattenprod'!$B$1:$BX$550,MATCH("Andelen klimatgaser med fossilt ursprung för avfall ()",'Egen hetvattenprod'!$B$1:$BX$1,0),FALSE),"")</f>
        <v/>
      </c>
      <c r="BH122" s="63" t="str">
        <f>IF($BF122="ja",VLOOKUP($B122,Kraftvärmeprod!$B$1:$BX$550,MATCH("Andelen klimatgaser med fossilt ursprung för avfall ()",Kraftvärmeprod!$B$1:$BX$1,0),FALSE),"")</f>
        <v/>
      </c>
      <c r="BI122" s="63" t="str">
        <f>IF($BF122="ja",VLOOKUP($B122,'Egen hetvattenprod'!$B$1:$BX$550,MATCH("Avfall (GWh)",'Egen hetvattenprod'!$B$1:$BX$1,0),FALSE),"")</f>
        <v/>
      </c>
      <c r="BJ122" s="63" t="str">
        <f>IF($BF122="ja",VLOOKUP($B122,'Slutlig allokering kvv'!$B$1:$BX$550,MATCH("Avfall (GWh)",'Slutlig allokering kvv'!$B$1:$BX$1,0),FALSE),"")</f>
        <v/>
      </c>
      <c r="BK122" s="63" t="str">
        <f>IF($BF122="ja",VLOOKUP($B122,'Köpt hetvatten'!$B$1:$BX$550,MATCH("Avfall i köpt hetvatten",'Köpt hetvatten'!$B$1:$BX$1,0),FALSE),"")</f>
        <v/>
      </c>
      <c r="BL122" s="63" t="str">
        <f>IF($BF122="ja",VLOOKUP($B122,'Egen hetvattenprod'!$B$1:$BX$550,MATCH("Värde enligt ovan. (%)",'Egen hetvattenprod'!$B$1:$BX$1,0),FALSE),"")</f>
        <v/>
      </c>
      <c r="BM122" s="63" t="str">
        <f>IF($BF122="ja",VLOOKUP($B122,Kraftvärmeprod!$B$1:$BX$550,MATCH("Värde enligt ovan. (%)",Kraftvärmeprod!$B$1:$BX$1,0),FALSE),"")</f>
        <v/>
      </c>
    </row>
    <row r="123" spans="1:65" x14ac:dyDescent="0.45">
      <c r="A123" s="63" t="s">
        <v>520</v>
      </c>
      <c r="B123" s="63" t="s">
        <v>524</v>
      </c>
      <c r="C123" s="63">
        <f>VLOOKUP($B123,'Tillförd energi'!$B$1:$AI$720,MATCH(C$2,'Tillförd energi'!$B$1:$AQ$1,0),FALSE)</f>
        <v>0</v>
      </c>
      <c r="D123" s="63">
        <f>VLOOKUP($B123,'Tillförd energi'!$B$1:$AI$720,MATCH(D$2,'Tillförd energi'!$B$1:$AQ$1,0),FALSE)</f>
        <v>0</v>
      </c>
      <c r="E123" s="63">
        <f>VLOOKUP($B123,'Tillförd energi'!$B$1:$AI$720,MATCH(E$2,'Tillförd energi'!$B$1:$AQ$1,0),FALSE)</f>
        <v>0</v>
      </c>
      <c r="F123" s="63">
        <f>VLOOKUP($B123,'Tillförd energi'!$B$1:$AI$720,MATCH(F$2,'Tillförd energi'!$B$1:$AQ$1,0),FALSE)</f>
        <v>0</v>
      </c>
      <c r="G123" s="63">
        <f>VLOOKUP($B123,'Tillförd energi'!$B$1:$AI$720,MATCH(G$2,'Tillförd energi'!$B$1:$AQ$1,0),FALSE)</f>
        <v>0</v>
      </c>
      <c r="H123" s="63">
        <f>VLOOKUP($B123,'Tillförd energi'!$B$1:$AI$720,MATCH(H$2,'Tillförd energi'!$B$1:$AQ$1,0),FALSE)</f>
        <v>0</v>
      </c>
      <c r="I123" s="63">
        <f>VLOOKUP($B123,'Tillförd energi'!$B$1:$AI$720,MATCH(I$2,'Tillförd energi'!$B$1:$AQ$1,0),FALSE)</f>
        <v>0</v>
      </c>
      <c r="J123" s="63">
        <f>VLOOKUP($B123,'Tillförd energi'!$B$1:$AI$720,MATCH(J$2,'Tillförd energi'!$B$1:$AQ$1,0),FALSE)</f>
        <v>0</v>
      </c>
      <c r="K123" s="63">
        <f>VLOOKUP($B123,'Tillförd energi'!$B$1:$AI$720,MATCH(K$2,'Tillförd energi'!$B$1:$AQ$1,0),FALSE)</f>
        <v>0</v>
      </c>
      <c r="L123" s="63">
        <f>VLOOKUP($B123,'Tillförd energi'!$B$1:$AI$720,MATCH(L$2,'Tillförd energi'!$B$1:$AQ$1,0),FALSE)</f>
        <v>0</v>
      </c>
      <c r="M123" s="63">
        <f>VLOOKUP($B123,'Tillförd energi'!$B$1:$AI$720,MATCH(M$2,'Tillförd energi'!$B$1:$AQ$1,0),FALSE)</f>
        <v>0</v>
      </c>
      <c r="N123" s="63">
        <f>VLOOKUP($B123,'Tillförd energi'!$B$1:$AI$720,MATCH(N$2,'Tillförd energi'!$B$1:$AQ$1,0),FALSE)</f>
        <v>0</v>
      </c>
      <c r="O123" s="63">
        <f>VLOOKUP($B123,'Tillförd energi'!$B$1:$AI$720,MATCH(O$2,'Tillförd energi'!$B$1:$AQ$1,0),FALSE)</f>
        <v>0</v>
      </c>
      <c r="P123" s="63">
        <f>VLOOKUP($B123,'Tillförd energi'!$B$1:$AI$720,MATCH(P$2,'Tillförd energi'!$B$1:$AQ$1,0),FALSE)</f>
        <v>0</v>
      </c>
      <c r="Q123" s="63">
        <f>VLOOKUP($B123,'Tillförd energi'!$B$1:$AI$720,MATCH(Q$2,'Tillförd energi'!$B$1:$AQ$1,0),FALSE)</f>
        <v>0</v>
      </c>
      <c r="R123" s="63">
        <f>VLOOKUP($B123,'Tillförd energi'!$B$1:$AI$720,MATCH(R$2,'Tillförd energi'!$B$1:$AQ$1,0),FALSE)</f>
        <v>0</v>
      </c>
      <c r="S123" s="63">
        <f>VLOOKUP($B123,'Tillförd energi'!$B$1:$AI$720,MATCH(S$2,'Tillförd energi'!$B$1:$AQ$1,0),FALSE)</f>
        <v>0</v>
      </c>
      <c r="T123" s="63">
        <f>VLOOKUP($B123,'Tillförd energi'!$B$1:$AI$720,MATCH(T$2,'Tillförd energi'!$B$1:$AQ$1,0),FALSE)</f>
        <v>0</v>
      </c>
      <c r="U123" s="63">
        <f>VLOOKUP($B123,'Tillförd energi'!$B$1:$AI$720,MATCH(U$2,'Tillförd energi'!$B$1:$AQ$1,0),FALSE)</f>
        <v>0</v>
      </c>
      <c r="V123" s="63">
        <f>VLOOKUP($B123,'Tillförd energi'!$B$1:$AI$720,MATCH(V$2,'Tillförd energi'!$B$1:$AQ$1,0),FALSE)</f>
        <v>0</v>
      </c>
      <c r="W123" s="63">
        <f>VLOOKUP($B123,'Tillförd energi'!$B$1:$AI$720,MATCH(W$2,'Tillförd energi'!$B$1:$AQ$1,0),FALSE)</f>
        <v>0</v>
      </c>
      <c r="X123" s="63">
        <f>VLOOKUP($B123,'Tillförd energi'!$B$1:$AI$720,MATCH(X$2,'Tillförd energi'!$B$1:$AQ$1,0),FALSE)</f>
        <v>0</v>
      </c>
      <c r="Y123" s="63">
        <f>VLOOKUP($B123,'Tillförd energi'!$B$1:$AI$720,MATCH(Y$2,'Tillförd energi'!$B$1:$AQ$1,0),FALSE)</f>
        <v>0</v>
      </c>
      <c r="Z123" s="63">
        <f>VLOOKUP($B123,'Tillförd energi'!$B$1:$AI$720,MATCH(Z$2,'Tillförd energi'!$B$1:$AQ$1,0),FALSE)</f>
        <v>0</v>
      </c>
      <c r="AA123" s="63">
        <f>VLOOKUP($B123,'Tillförd energi'!$B$1:$AI$720,MATCH(AA$2,'Tillförd energi'!$B$1:$AQ$1,0),FALSE)</f>
        <v>0</v>
      </c>
      <c r="AB123" s="63">
        <f>VLOOKUP($B123,'Tillförd energi'!$B$1:$AI$720,MATCH(AB$2,'Tillförd energi'!$B$1:$AQ$1,0),FALSE)</f>
        <v>0</v>
      </c>
      <c r="AC123" s="63">
        <f>VLOOKUP($B123,'Tillförd energi'!$B$1:$AI$720,MATCH(AC$2,'Tillförd energi'!$B$1:$AQ$1,0),FALSE)</f>
        <v>0</v>
      </c>
      <c r="AD123" s="63">
        <f>VLOOKUP($B123,'Tillförd energi'!$B$1:$AI$720,MATCH(AD$2,'Tillförd energi'!$B$1:$AQ$1,0),FALSE)</f>
        <v>0</v>
      </c>
      <c r="AE123" s="63">
        <f>VLOOKUP($B123,'Tillförd energi'!$B$1:$AI$720,MATCH(AE$2,'Tillförd energi'!$B$1:$AQ$1,0),FALSE)</f>
        <v>0</v>
      </c>
      <c r="AF123" s="63">
        <f>VLOOKUP($B123,'Tillförd energi'!$B$1:$AI$720,MATCH(AF$2,'Tillförd energi'!$B$1:$AQ$1,0),FALSE)</f>
        <v>0</v>
      </c>
      <c r="AG123" s="63">
        <f>IFERROR(VLOOKUP(B123,Miljö!$B$1:$AC$550,MATCH("Köpt mängd produktionsspecifik fjärrvärme:",Miljö!$B$1:$AC$1,0),FALSE)/1,0)</f>
        <v>0</v>
      </c>
      <c r="AI123" s="63">
        <f t="shared" si="6"/>
        <v>0</v>
      </c>
      <c r="AJ123" s="63" t="str">
        <f>IF(ISERROR(1/VLOOKUP($B123,Leveranser!$B$1:$S$500,MATCH("såld värme (gwh)",Leveranser!$B$1:$S$1,0),FALSE)),"",VLOOKUP($B123,Leveranser!$B$1:$S$500,MATCH("såld värme (gwh)",Leveranser!$B$1:$S$1,0),FALSE))</f>
        <v/>
      </c>
      <c r="AM123" s="63" t="str">
        <f>IF(B123&lt;&gt;"",IF(VLOOKUP($B123,Totalt!$B$1:$AQ$554,MATCH("Kvalitetsgranskad:",Totalt!$B$1:$AQ$1,0),FALSE)="ja",VLOOKUP($B123,Miljö!$B$1:$AG$479,MATCH(AM$2,Miljö!$B$1:$AK$1,0),FALSE),""),"")</f>
        <v/>
      </c>
      <c r="AN123" s="63" t="str">
        <f>IF(AM123="ja",VLOOKUP($B123,Miljö!$B$1:$J$479,MATCH("Typ av ursprungsspecificerad el   (Om inget värde anges används Nordisk residualmix, se inforuta) ()",Miljö!$B$1:$J$1,0),FALSE),IF(AM123="nej","Nordisk residualel",""))</f>
        <v/>
      </c>
      <c r="AO123" s="63" t="str">
        <f>IF(AM123="","",VLOOKUP($B123,Miljö!$B$1:$J$479,MATCH("Fossilandel för ursprungspecificerad el ()",Miljö!$B$1:$J$1,0),FALSE))</f>
        <v/>
      </c>
      <c r="AQ123" s="63" t="str">
        <f t="shared" si="7"/>
        <v/>
      </c>
      <c r="AS123" s="63" t="str">
        <f t="shared" si="8"/>
        <v>Nej</v>
      </c>
      <c r="AT123" s="63" t="str">
        <f>IF(AS123="ja",VLOOKUP($B123,Miljö!$B$1:$P$500,MATCH("Fossil andel i procent (%)",Miljö!$B$1:$P$1,0),FALSE)/100,"")</f>
        <v/>
      </c>
      <c r="AV123" s="63" t="str">
        <f t="shared" si="9"/>
        <v>Nej</v>
      </c>
      <c r="AW123" s="63" t="str">
        <f>IF(AV123="ja",VLOOKUP($B123,'Egen hetvattenprod'!$B$1:$AO$500,MATCH("Värmekälla till värmepumpar ()",'Egen hetvattenprod'!$B$1:$AO$1,0),FALSE),"")</f>
        <v/>
      </c>
      <c r="AY123" s="63" t="str">
        <f t="shared" si="10"/>
        <v>Nej</v>
      </c>
      <c r="AZ123" s="77" t="str">
        <f>IF($AY123="ja",(VLOOKUP($B123,'Egen hetvattenprod'!$B$1:$BX$550,MATCH(AZ$2,'Egen hetvattenprod'!$B$1:$BX$1,0),FALSE)+VLOOKUP($B123,Kraftvärmeprod!$B$1:$BX$550,MATCH(AZ$2,Kraftvärmeprod!$B$1:$BX$1,0),FALSE))/$AC123,"")</f>
        <v/>
      </c>
      <c r="BA123" s="77" t="str">
        <f>IF($AY123="ja",(VLOOKUP($B123,'Egen hetvattenprod'!$B$1:$BX$550,MATCH(BA$2,'Egen hetvattenprod'!$B$1:$BX$1,0),FALSE)+VLOOKUP($B123,Kraftvärmeprod!$B$1:$BX$550,MATCH(BA$2,Kraftvärmeprod!$B$1:$BX$1,0),FALSE))/$AC123,"")</f>
        <v/>
      </c>
      <c r="BB123" s="77" t="str">
        <f>IF($AY123="ja",(VLOOKUP($B123,'Egen hetvattenprod'!$B$1:$BX$550,MATCH(BB$2,'Egen hetvattenprod'!$B$1:$BX$1,0),FALSE)+VLOOKUP($B123,Kraftvärmeprod!$B$1:$BX$550,MATCH(BB$2,Kraftvärmeprod!$B$1:$BX$1,0),FALSE))/$AC123,"")</f>
        <v/>
      </c>
      <c r="BC123" s="77" t="str">
        <f>IF($AY123="ja",(VLOOKUP($B123,'Egen hetvattenprod'!$B$1:$BX$550,MATCH(BC$2,'Egen hetvattenprod'!$B$1:$BX$1,0),FALSE)+VLOOKUP($B123,Kraftvärmeprod!$B$1:$BX$550,MATCH(BC$2,Kraftvärmeprod!$B$1:$BX$1,0),FALSE))/$AC123,"")</f>
        <v/>
      </c>
      <c r="BD123" s="77" t="str">
        <f>IF($AY123="ja",(VLOOKUP($B123,'Egen hetvattenprod'!$B$1:$BX$550,MATCH(BD$2,'Egen hetvattenprod'!$B$1:$BX$1,0),FALSE)+VLOOKUP($B123,Kraftvärmeprod!$B$1:$BX$550,MATCH(BD$2,Kraftvärmeprod!$B$1:$BX$1,0),FALSE))/$AC123,"")</f>
        <v/>
      </c>
      <c r="BF123" s="63" t="str">
        <f t="shared" si="11"/>
        <v>Nej</v>
      </c>
      <c r="BG123" s="63" t="str">
        <f>IF($BF123="ja",VLOOKUP($B123,'Egen hetvattenprod'!$B$1:$BX$550,MATCH("Andelen klimatgaser med fossilt ursprung för avfall ()",'Egen hetvattenprod'!$B$1:$BX$1,0),FALSE),"")</f>
        <v/>
      </c>
      <c r="BH123" s="63" t="str">
        <f>IF($BF123="ja",VLOOKUP($B123,Kraftvärmeprod!$B$1:$BX$550,MATCH("Andelen klimatgaser med fossilt ursprung för avfall ()",Kraftvärmeprod!$B$1:$BX$1,0),FALSE),"")</f>
        <v/>
      </c>
      <c r="BI123" s="63" t="str">
        <f>IF($BF123="ja",VLOOKUP($B123,'Egen hetvattenprod'!$B$1:$BX$550,MATCH("Avfall (GWh)",'Egen hetvattenprod'!$B$1:$BX$1,0),FALSE),"")</f>
        <v/>
      </c>
      <c r="BJ123" s="63" t="str">
        <f>IF($BF123="ja",VLOOKUP($B123,'Slutlig allokering kvv'!$B$1:$BX$550,MATCH("Avfall (GWh)",'Slutlig allokering kvv'!$B$1:$BX$1,0),FALSE),"")</f>
        <v/>
      </c>
      <c r="BK123" s="63" t="str">
        <f>IF($BF123="ja",VLOOKUP($B123,'Köpt hetvatten'!$B$1:$BX$550,MATCH("Avfall i köpt hetvatten",'Köpt hetvatten'!$B$1:$BX$1,0),FALSE),"")</f>
        <v/>
      </c>
      <c r="BL123" s="63" t="str">
        <f>IF($BF123="ja",VLOOKUP($B123,'Egen hetvattenprod'!$B$1:$BX$550,MATCH("Värde enligt ovan. (%)",'Egen hetvattenprod'!$B$1:$BX$1,0),FALSE),"")</f>
        <v/>
      </c>
      <c r="BM123" s="63" t="str">
        <f>IF($BF123="ja",VLOOKUP($B123,Kraftvärmeprod!$B$1:$BX$550,MATCH("Värde enligt ovan. (%)",Kraftvärmeprod!$B$1:$BX$1,0),FALSE),"")</f>
        <v/>
      </c>
    </row>
    <row r="124" spans="1:65" x14ac:dyDescent="0.45">
      <c r="A124" s="63" t="s">
        <v>520</v>
      </c>
      <c r="B124" s="63" t="s">
        <v>523</v>
      </c>
      <c r="C124" s="63">
        <f>VLOOKUP($B124,'Tillförd energi'!$B$1:$AI$720,MATCH(C$2,'Tillförd energi'!$B$1:$AQ$1,0),FALSE)</f>
        <v>0</v>
      </c>
      <c r="D124" s="63">
        <f>VLOOKUP($B124,'Tillförd energi'!$B$1:$AI$720,MATCH(D$2,'Tillförd energi'!$B$1:$AQ$1,0),FALSE)</f>
        <v>0.08</v>
      </c>
      <c r="E124" s="63">
        <f>VLOOKUP($B124,'Tillförd energi'!$B$1:$AI$720,MATCH(E$2,'Tillförd energi'!$B$1:$AQ$1,0),FALSE)</f>
        <v>0</v>
      </c>
      <c r="F124" s="63">
        <f>VLOOKUP($B124,'Tillförd energi'!$B$1:$AI$720,MATCH(F$2,'Tillförd energi'!$B$1:$AQ$1,0),FALSE)</f>
        <v>0</v>
      </c>
      <c r="G124" s="63">
        <f>VLOOKUP($B124,'Tillförd energi'!$B$1:$AI$720,MATCH(G$2,'Tillförd energi'!$B$1:$AQ$1,0),FALSE)</f>
        <v>0</v>
      </c>
      <c r="H124" s="63">
        <f>VLOOKUP($B124,'Tillförd energi'!$B$1:$AI$720,MATCH(H$2,'Tillförd energi'!$B$1:$AQ$1,0),FALSE)</f>
        <v>0</v>
      </c>
      <c r="I124" s="63">
        <f>VLOOKUP($B124,'Tillförd energi'!$B$1:$AI$720,MATCH(I$2,'Tillförd energi'!$B$1:$AQ$1,0),FALSE)</f>
        <v>0</v>
      </c>
      <c r="J124" s="63">
        <f>VLOOKUP($B124,'Tillförd energi'!$B$1:$AI$720,MATCH(J$2,'Tillförd energi'!$B$1:$AQ$1,0),FALSE)</f>
        <v>0</v>
      </c>
      <c r="K124" s="63">
        <f>VLOOKUP($B124,'Tillförd energi'!$B$1:$AI$720,MATCH(K$2,'Tillförd energi'!$B$1:$AQ$1,0),FALSE)</f>
        <v>0</v>
      </c>
      <c r="L124" s="63">
        <f>VLOOKUP($B124,'Tillförd energi'!$B$1:$AI$720,MATCH(L$2,'Tillförd energi'!$B$1:$AQ$1,0),FALSE)</f>
        <v>0</v>
      </c>
      <c r="M124" s="63">
        <f>VLOOKUP($B124,'Tillförd energi'!$B$1:$AI$720,MATCH(M$2,'Tillförd energi'!$B$1:$AQ$1,0),FALSE)</f>
        <v>0</v>
      </c>
      <c r="N124" s="63">
        <f>VLOOKUP($B124,'Tillförd energi'!$B$1:$AI$720,MATCH(N$2,'Tillförd energi'!$B$1:$AQ$1,0),FALSE)</f>
        <v>0</v>
      </c>
      <c r="O124" s="63">
        <f>VLOOKUP($B124,'Tillförd energi'!$B$1:$AI$720,MATCH(O$2,'Tillförd energi'!$B$1:$AQ$1,0),FALSE)</f>
        <v>0</v>
      </c>
      <c r="P124" s="63">
        <f>VLOOKUP($B124,'Tillförd energi'!$B$1:$AI$720,MATCH(P$2,'Tillförd energi'!$B$1:$AQ$1,0),FALSE)</f>
        <v>0</v>
      </c>
      <c r="Q124" s="63">
        <f>VLOOKUP($B124,'Tillförd energi'!$B$1:$AI$720,MATCH(Q$2,'Tillförd energi'!$B$1:$AQ$1,0),FALSE)</f>
        <v>16.7059</v>
      </c>
      <c r="R124" s="63">
        <f>VLOOKUP($B124,'Tillförd energi'!$B$1:$AI$720,MATCH(R$2,'Tillförd energi'!$B$1:$AQ$1,0),FALSE)</f>
        <v>7.3</v>
      </c>
      <c r="S124" s="63">
        <f>VLOOKUP($B124,'Tillförd energi'!$B$1:$AI$720,MATCH(S$2,'Tillförd energi'!$B$1:$AQ$1,0),FALSE)</f>
        <v>0</v>
      </c>
      <c r="T124" s="63">
        <f>VLOOKUP($B124,'Tillförd energi'!$B$1:$AI$720,MATCH(T$2,'Tillförd energi'!$B$1:$AQ$1,0),FALSE)</f>
        <v>0</v>
      </c>
      <c r="U124" s="63">
        <f>VLOOKUP($B124,'Tillförd energi'!$B$1:$AI$720,MATCH(U$2,'Tillförd energi'!$B$1:$AQ$1,0),FALSE)</f>
        <v>0</v>
      </c>
      <c r="V124" s="63">
        <f>VLOOKUP($B124,'Tillförd energi'!$B$1:$AI$720,MATCH(V$2,'Tillförd energi'!$B$1:$AQ$1,0),FALSE)</f>
        <v>0</v>
      </c>
      <c r="W124" s="63">
        <f>VLOOKUP($B124,'Tillförd energi'!$B$1:$AI$720,MATCH(W$2,'Tillförd energi'!$B$1:$AQ$1,0),FALSE)</f>
        <v>0.6</v>
      </c>
      <c r="X124" s="63">
        <f>VLOOKUP($B124,'Tillförd energi'!$B$1:$AI$720,MATCH(X$2,'Tillförd energi'!$B$1:$AQ$1,0),FALSE)</f>
        <v>0</v>
      </c>
      <c r="Y124" s="63">
        <f>VLOOKUP($B124,'Tillförd energi'!$B$1:$AI$720,MATCH(Y$2,'Tillförd energi'!$B$1:$AQ$1,0),FALSE)</f>
        <v>0</v>
      </c>
      <c r="Z124" s="63">
        <f>VLOOKUP($B124,'Tillförd energi'!$B$1:$AI$720,MATCH(Z$2,'Tillförd energi'!$B$1:$AQ$1,0),FALSE)</f>
        <v>0.3</v>
      </c>
      <c r="AA124" s="63">
        <f>VLOOKUP($B124,'Tillförd energi'!$B$1:$AI$720,MATCH(AA$2,'Tillförd energi'!$B$1:$AQ$1,0),FALSE)</f>
        <v>0</v>
      </c>
      <c r="AB124" s="63">
        <f>VLOOKUP($B124,'Tillförd energi'!$B$1:$AI$720,MATCH(AB$2,'Tillförd energi'!$B$1:$AQ$1,0),FALSE)</f>
        <v>0</v>
      </c>
      <c r="AC124" s="63">
        <f>VLOOKUP($B124,'Tillförd energi'!$B$1:$AI$720,MATCH(AC$2,'Tillförd energi'!$B$1:$AQ$1,0),FALSE)</f>
        <v>0</v>
      </c>
      <c r="AD124" s="63">
        <f>VLOOKUP($B124,'Tillförd energi'!$B$1:$AI$720,MATCH(AD$2,'Tillförd energi'!$B$1:$AQ$1,0),FALSE)</f>
        <v>0</v>
      </c>
      <c r="AE124" s="63">
        <f>VLOOKUP($B124,'Tillförd energi'!$B$1:$AI$720,MATCH(AE$2,'Tillförd energi'!$B$1:$AQ$1,0),FALSE)</f>
        <v>0</v>
      </c>
      <c r="AF124" s="63">
        <f>VLOOKUP($B124,'Tillförd energi'!$B$1:$AI$720,MATCH(AF$2,'Tillförd energi'!$B$1:$AQ$1,0),FALSE)</f>
        <v>0.53985000000000005</v>
      </c>
      <c r="AG124" s="63">
        <f>IFERROR(VLOOKUP(B124,Miljö!$B$1:$AC$550,MATCH("Köpt mängd produktionsspecifik fjärrvärme:",Miljö!$B$1:$AC$1,0),FALSE)/1,0)</f>
        <v>0</v>
      </c>
      <c r="AI124" s="63">
        <f t="shared" si="6"/>
        <v>25.525750000000002</v>
      </c>
      <c r="AJ124" s="63">
        <f>IF(ISERROR(1/VLOOKUP($B124,Leveranser!$B$1:$S$500,MATCH("såld värme (gwh)",Leveranser!$B$1:$S$1,0),FALSE)),"",VLOOKUP($B124,Leveranser!$B$1:$S$500,MATCH("såld värme (gwh)",Leveranser!$B$1:$S$1,0),FALSE))</f>
        <v>17.995000000000001</v>
      </c>
      <c r="AM124" s="63" t="str">
        <f>IF(B124&lt;&gt;"",IF(VLOOKUP($B124,Totalt!$B$1:$AQ$554,MATCH("Kvalitetsgranskad:",Totalt!$B$1:$AQ$1,0),FALSE)="ja",VLOOKUP($B124,Miljö!$B$1:$AG$479,MATCH(AM$2,Miljö!$B$1:$AK$1,0),FALSE),""),"")</f>
        <v>Ja</v>
      </c>
      <c r="AN124" s="63" t="str">
        <f>IF(AM124="ja",VLOOKUP($B124,Miljö!$B$1:$J$479,MATCH("Typ av ursprungsspecificerad el   (Om inget värde anges används Nordisk residualmix, se inforuta) ()",Miljö!$B$1:$J$1,0),FALSE),IF(AM124="nej","Nordisk residualel",""))</f>
        <v>'Jämtkrafts lokalel'</v>
      </c>
      <c r="AO124" s="63">
        <f>IF(AM124="","",VLOOKUP($B124,Miljö!$B$1:$J$479,MATCH("Fossilandel för ursprungspecificerad el ()",Miljö!$B$1:$J$1,0),FALSE))</f>
        <v>0</v>
      </c>
      <c r="AQ124" s="63">
        <f t="shared" si="7"/>
        <v>1</v>
      </c>
      <c r="AS124" s="63" t="str">
        <f t="shared" si="8"/>
        <v>Nej</v>
      </c>
      <c r="AT124" s="63" t="str">
        <f>IF(AS124="ja",VLOOKUP($B124,Miljö!$B$1:$P$500,MATCH("Fossil andel i procent (%)",Miljö!$B$1:$P$1,0),FALSE)/100,"")</f>
        <v/>
      </c>
      <c r="AV124" s="63" t="str">
        <f t="shared" si="9"/>
        <v>Nej</v>
      </c>
      <c r="AW124" s="63" t="str">
        <f>IF(AV124="ja",VLOOKUP($B124,'Egen hetvattenprod'!$B$1:$AO$500,MATCH("Värmekälla till värmepumpar ()",'Egen hetvattenprod'!$B$1:$AO$1,0),FALSE),"")</f>
        <v/>
      </c>
      <c r="AY124" s="63" t="str">
        <f t="shared" si="10"/>
        <v>Nej</v>
      </c>
      <c r="AZ124" s="77" t="str">
        <f>IF($AY124="ja",(VLOOKUP($B124,'Egen hetvattenprod'!$B$1:$BX$550,MATCH(AZ$2,'Egen hetvattenprod'!$B$1:$BX$1,0),FALSE)+VLOOKUP($B124,Kraftvärmeprod!$B$1:$BX$550,MATCH(AZ$2,Kraftvärmeprod!$B$1:$BX$1,0),FALSE))/$AC124,"")</f>
        <v/>
      </c>
      <c r="BA124" s="77" t="str">
        <f>IF($AY124="ja",(VLOOKUP($B124,'Egen hetvattenprod'!$B$1:$BX$550,MATCH(BA$2,'Egen hetvattenprod'!$B$1:$BX$1,0),FALSE)+VLOOKUP($B124,Kraftvärmeprod!$B$1:$BX$550,MATCH(BA$2,Kraftvärmeprod!$B$1:$BX$1,0),FALSE))/$AC124,"")</f>
        <v/>
      </c>
      <c r="BB124" s="77" t="str">
        <f>IF($AY124="ja",(VLOOKUP($B124,'Egen hetvattenprod'!$B$1:$BX$550,MATCH(BB$2,'Egen hetvattenprod'!$B$1:$BX$1,0),FALSE)+VLOOKUP($B124,Kraftvärmeprod!$B$1:$BX$550,MATCH(BB$2,Kraftvärmeprod!$B$1:$BX$1,0),FALSE))/$AC124,"")</f>
        <v/>
      </c>
      <c r="BC124" s="77" t="str">
        <f>IF($AY124="ja",(VLOOKUP($B124,'Egen hetvattenprod'!$B$1:$BX$550,MATCH(BC$2,'Egen hetvattenprod'!$B$1:$BX$1,0),FALSE)+VLOOKUP($B124,Kraftvärmeprod!$B$1:$BX$550,MATCH(BC$2,Kraftvärmeprod!$B$1:$BX$1,0),FALSE))/$AC124,"")</f>
        <v/>
      </c>
      <c r="BD124" s="77" t="str">
        <f>IF($AY124="ja",(VLOOKUP($B124,'Egen hetvattenprod'!$B$1:$BX$550,MATCH(BD$2,'Egen hetvattenprod'!$B$1:$BX$1,0),FALSE)+VLOOKUP($B124,Kraftvärmeprod!$B$1:$BX$550,MATCH(BD$2,Kraftvärmeprod!$B$1:$BX$1,0),FALSE))/$AC124,"")</f>
        <v/>
      </c>
      <c r="BF124" s="63" t="str">
        <f t="shared" si="11"/>
        <v>Nej</v>
      </c>
      <c r="BG124" s="63" t="str">
        <f>IF($BF124="ja",VLOOKUP($B124,'Egen hetvattenprod'!$B$1:$BX$550,MATCH("Andelen klimatgaser med fossilt ursprung för avfall ()",'Egen hetvattenprod'!$B$1:$BX$1,0),FALSE),"")</f>
        <v/>
      </c>
      <c r="BH124" s="63" t="str">
        <f>IF($BF124="ja",VLOOKUP($B124,Kraftvärmeprod!$B$1:$BX$550,MATCH("Andelen klimatgaser med fossilt ursprung för avfall ()",Kraftvärmeprod!$B$1:$BX$1,0),FALSE),"")</f>
        <v/>
      </c>
      <c r="BI124" s="63" t="str">
        <f>IF($BF124="ja",VLOOKUP($B124,'Egen hetvattenprod'!$B$1:$BX$550,MATCH("Avfall (GWh)",'Egen hetvattenprod'!$B$1:$BX$1,0),FALSE),"")</f>
        <v/>
      </c>
      <c r="BJ124" s="63" t="str">
        <f>IF($BF124="ja",VLOOKUP($B124,'Slutlig allokering kvv'!$B$1:$BX$550,MATCH("Avfall (GWh)",'Slutlig allokering kvv'!$B$1:$BX$1,0),FALSE),"")</f>
        <v/>
      </c>
      <c r="BK124" s="63" t="str">
        <f>IF($BF124="ja",VLOOKUP($B124,'Köpt hetvatten'!$B$1:$BX$550,MATCH("Avfall i köpt hetvatten",'Köpt hetvatten'!$B$1:$BX$1,0),FALSE),"")</f>
        <v/>
      </c>
      <c r="BL124" s="63" t="str">
        <f>IF($BF124="ja",VLOOKUP($B124,'Egen hetvattenprod'!$B$1:$BX$550,MATCH("Värde enligt ovan. (%)",'Egen hetvattenprod'!$B$1:$BX$1,0),FALSE),"")</f>
        <v/>
      </c>
      <c r="BM124" s="63" t="str">
        <f>IF($BF124="ja",VLOOKUP($B124,Kraftvärmeprod!$B$1:$BX$550,MATCH("Värde enligt ovan. (%)",Kraftvärmeprod!$B$1:$BX$1,0),FALSE),"")</f>
        <v/>
      </c>
    </row>
    <row r="125" spans="1:65" x14ac:dyDescent="0.45">
      <c r="A125" s="63" t="s">
        <v>520</v>
      </c>
      <c r="B125" s="63" t="s">
        <v>522</v>
      </c>
      <c r="C125" s="63">
        <f>VLOOKUP($B125,'Tillförd energi'!$B$1:$AI$720,MATCH(C$2,'Tillförd energi'!$B$1:$AQ$1,0),FALSE)</f>
        <v>0</v>
      </c>
      <c r="D125" s="63">
        <f>VLOOKUP($B125,'Tillförd energi'!$B$1:$AI$720,MATCH(D$2,'Tillförd energi'!$B$1:$AQ$1,0),FALSE)</f>
        <v>0.2</v>
      </c>
      <c r="E125" s="63">
        <f>VLOOKUP($B125,'Tillförd energi'!$B$1:$AI$720,MATCH(E$2,'Tillförd energi'!$B$1:$AQ$1,0),FALSE)</f>
        <v>0</v>
      </c>
      <c r="F125" s="63">
        <f>VLOOKUP($B125,'Tillförd energi'!$B$1:$AI$720,MATCH(F$2,'Tillförd energi'!$B$1:$AQ$1,0),FALSE)</f>
        <v>0</v>
      </c>
      <c r="G125" s="63">
        <f>VLOOKUP($B125,'Tillförd energi'!$B$1:$AI$720,MATCH(G$2,'Tillförd energi'!$B$1:$AQ$1,0),FALSE)</f>
        <v>0</v>
      </c>
      <c r="H125" s="63">
        <f>VLOOKUP($B125,'Tillförd energi'!$B$1:$AI$720,MATCH(H$2,'Tillförd energi'!$B$1:$AQ$1,0),FALSE)</f>
        <v>0</v>
      </c>
      <c r="I125" s="63">
        <f>VLOOKUP($B125,'Tillförd energi'!$B$1:$AI$720,MATCH(I$2,'Tillförd energi'!$B$1:$AQ$1,0),FALSE)</f>
        <v>0</v>
      </c>
      <c r="J125" s="63">
        <f>VLOOKUP($B125,'Tillförd energi'!$B$1:$AI$720,MATCH(J$2,'Tillförd energi'!$B$1:$AQ$1,0),FALSE)</f>
        <v>0</v>
      </c>
      <c r="K125" s="63">
        <f>VLOOKUP($B125,'Tillförd energi'!$B$1:$AI$720,MATCH(K$2,'Tillförd energi'!$B$1:$AQ$1,0),FALSE)</f>
        <v>0</v>
      </c>
      <c r="L125" s="63">
        <f>VLOOKUP($B125,'Tillförd energi'!$B$1:$AI$720,MATCH(L$2,'Tillförd energi'!$B$1:$AQ$1,0),FALSE)</f>
        <v>0</v>
      </c>
      <c r="M125" s="63">
        <f>VLOOKUP($B125,'Tillförd energi'!$B$1:$AI$720,MATCH(M$2,'Tillförd energi'!$B$1:$AQ$1,0),FALSE)</f>
        <v>0</v>
      </c>
      <c r="N125" s="63">
        <f>VLOOKUP($B125,'Tillförd energi'!$B$1:$AI$720,MATCH(N$2,'Tillförd energi'!$B$1:$AQ$1,0),FALSE)</f>
        <v>0</v>
      </c>
      <c r="O125" s="63">
        <f>VLOOKUP($B125,'Tillförd energi'!$B$1:$AI$720,MATCH(O$2,'Tillförd energi'!$B$1:$AQ$1,0),FALSE)</f>
        <v>0</v>
      </c>
      <c r="P125" s="63">
        <f>VLOOKUP($B125,'Tillförd energi'!$B$1:$AI$720,MATCH(P$2,'Tillförd energi'!$B$1:$AQ$1,0),FALSE)</f>
        <v>66.7</v>
      </c>
      <c r="Q125" s="63">
        <f>VLOOKUP($B125,'Tillförd energi'!$B$1:$AI$720,MATCH(Q$2,'Tillförd energi'!$B$1:$AQ$1,0),FALSE)</f>
        <v>0</v>
      </c>
      <c r="R125" s="63">
        <f>VLOOKUP($B125,'Tillförd energi'!$B$1:$AI$720,MATCH(R$2,'Tillförd energi'!$B$1:$AQ$1,0),FALSE)</f>
        <v>10.5</v>
      </c>
      <c r="S125" s="63">
        <f>VLOOKUP($B125,'Tillförd energi'!$B$1:$AI$720,MATCH(S$2,'Tillförd energi'!$B$1:$AQ$1,0),FALSE)</f>
        <v>0</v>
      </c>
      <c r="T125" s="63">
        <f>VLOOKUP($B125,'Tillförd energi'!$B$1:$AI$720,MATCH(T$2,'Tillförd energi'!$B$1:$AQ$1,0),FALSE)</f>
        <v>0</v>
      </c>
      <c r="U125" s="63">
        <f>VLOOKUP($B125,'Tillförd energi'!$B$1:$AI$720,MATCH(U$2,'Tillförd energi'!$B$1:$AQ$1,0),FALSE)</f>
        <v>0</v>
      </c>
      <c r="V125" s="63">
        <f>VLOOKUP($B125,'Tillförd energi'!$B$1:$AI$720,MATCH(V$2,'Tillförd energi'!$B$1:$AQ$1,0),FALSE)</f>
        <v>0</v>
      </c>
      <c r="W125" s="63">
        <f>VLOOKUP($B125,'Tillförd energi'!$B$1:$AI$720,MATCH(W$2,'Tillförd energi'!$B$1:$AQ$1,0),FALSE)</f>
        <v>1.8</v>
      </c>
      <c r="X125" s="63">
        <f>VLOOKUP($B125,'Tillförd energi'!$B$1:$AI$720,MATCH(X$2,'Tillförd energi'!$B$1:$AQ$1,0),FALSE)</f>
        <v>0</v>
      </c>
      <c r="Y125" s="63">
        <f>VLOOKUP($B125,'Tillförd energi'!$B$1:$AI$720,MATCH(Y$2,'Tillförd energi'!$B$1:$AQ$1,0),FALSE)</f>
        <v>0</v>
      </c>
      <c r="Z125" s="63">
        <f>VLOOKUP($B125,'Tillförd energi'!$B$1:$AI$720,MATCH(Z$2,'Tillförd energi'!$B$1:$AQ$1,0),FALSE)</f>
        <v>0.1</v>
      </c>
      <c r="AA125" s="63">
        <f>VLOOKUP($B125,'Tillförd energi'!$B$1:$AI$720,MATCH(AA$2,'Tillförd energi'!$B$1:$AQ$1,0),FALSE)</f>
        <v>0</v>
      </c>
      <c r="AB125" s="63">
        <f>VLOOKUP($B125,'Tillförd energi'!$B$1:$AI$720,MATCH(AB$2,'Tillförd energi'!$B$1:$AQ$1,0),FALSE)</f>
        <v>0</v>
      </c>
      <c r="AC125" s="63">
        <f>VLOOKUP($B125,'Tillförd energi'!$B$1:$AI$720,MATCH(AC$2,'Tillförd energi'!$B$1:$AQ$1,0),FALSE)</f>
        <v>7.3</v>
      </c>
      <c r="AD125" s="63">
        <f>VLOOKUP($B125,'Tillförd energi'!$B$1:$AI$720,MATCH(AD$2,'Tillförd energi'!$B$1:$AQ$1,0),FALSE)</f>
        <v>0</v>
      </c>
      <c r="AE125" s="63">
        <f>VLOOKUP($B125,'Tillförd energi'!$B$1:$AI$720,MATCH(AE$2,'Tillförd energi'!$B$1:$AQ$1,0),FALSE)</f>
        <v>0</v>
      </c>
      <c r="AF125" s="63">
        <f>VLOOKUP($B125,'Tillförd energi'!$B$1:$AI$720,MATCH(AF$2,'Tillförd energi'!$B$1:$AQ$1,0),FALSE)</f>
        <v>1.6964999999999999</v>
      </c>
      <c r="AG125" s="63">
        <f>IFERROR(VLOOKUP(B125,Miljö!$B$1:$AC$550,MATCH("Köpt mängd produktionsspecifik fjärrvärme:",Miljö!$B$1:$AC$1,0),FALSE)/1,0)</f>
        <v>0</v>
      </c>
      <c r="AI125" s="63">
        <f t="shared" si="6"/>
        <v>88.296499999999995</v>
      </c>
      <c r="AJ125" s="63">
        <f>IF(ISERROR(1/VLOOKUP($B125,Leveranser!$B$1:$S$500,MATCH("såld värme (gwh)",Leveranser!$B$1:$S$1,0),FALSE)),"",VLOOKUP($B125,Leveranser!$B$1:$S$500,MATCH("såld värme (gwh)",Leveranser!$B$1:$S$1,0),FALSE))</f>
        <v>56.55</v>
      </c>
      <c r="AM125" s="63" t="str">
        <f>IF(B125&lt;&gt;"",IF(VLOOKUP($B125,Totalt!$B$1:$AQ$554,MATCH("Kvalitetsgranskad:",Totalt!$B$1:$AQ$1,0),FALSE)="ja",VLOOKUP($B125,Miljö!$B$1:$AG$479,MATCH(AM$2,Miljö!$B$1:$AK$1,0),FALSE),""),"")</f>
        <v>Ja</v>
      </c>
      <c r="AN125" s="63" t="str">
        <f>IF(AM125="ja",VLOOKUP($B125,Miljö!$B$1:$J$479,MATCH("Typ av ursprungsspecificerad el   (Om inget värde anges används Nordisk residualmix, se inforuta) ()",Miljö!$B$1:$J$1,0),FALSE),IF(AM125="nej","Nordisk residualel",""))</f>
        <v>'Jämtkrafts lokalel'</v>
      </c>
      <c r="AO125" s="63">
        <f>IF(AM125="","",VLOOKUP($B125,Miljö!$B$1:$J$479,MATCH("Fossilandel för ursprungspecificerad el ()",Miljö!$B$1:$J$1,0),FALSE))</f>
        <v>0</v>
      </c>
      <c r="AQ125" s="63">
        <f t="shared" si="7"/>
        <v>1</v>
      </c>
      <c r="AS125" s="63" t="str">
        <f t="shared" si="8"/>
        <v>Nej</v>
      </c>
      <c r="AT125" s="63" t="str">
        <f>IF(AS125="ja",VLOOKUP($B125,Miljö!$B$1:$P$500,MATCH("Fossil andel i procent (%)",Miljö!$B$1:$P$1,0),FALSE)/100,"")</f>
        <v/>
      </c>
      <c r="AV125" s="63" t="str">
        <f t="shared" si="9"/>
        <v>Nej</v>
      </c>
      <c r="AW125" s="63" t="str">
        <f>IF(AV125="ja",VLOOKUP($B125,'Egen hetvattenprod'!$B$1:$AO$500,MATCH("Värmekälla till värmepumpar ()",'Egen hetvattenprod'!$B$1:$AO$1,0),FALSE),"")</f>
        <v/>
      </c>
      <c r="AY125" s="63" t="str">
        <f t="shared" si="10"/>
        <v>Ja</v>
      </c>
      <c r="AZ125" s="77">
        <f>IF($AY125="ja",(VLOOKUP($B125,'Egen hetvattenprod'!$B$1:$BX$550,MATCH(AZ$2,'Egen hetvattenprod'!$B$1:$BX$1,0),FALSE)+VLOOKUP($B125,Kraftvärmeprod!$B$1:$BX$550,MATCH(AZ$2,Kraftvärmeprod!$B$1:$BX$1,0),FALSE))/$AC125,"")</f>
        <v>1</v>
      </c>
      <c r="BA125" s="77">
        <f>IF($AY125="ja",(VLOOKUP($B125,'Egen hetvattenprod'!$B$1:$BX$550,MATCH(BA$2,'Egen hetvattenprod'!$B$1:$BX$1,0),FALSE)+VLOOKUP($B125,Kraftvärmeprod!$B$1:$BX$550,MATCH(BA$2,Kraftvärmeprod!$B$1:$BX$1,0),FALSE))/$AC125,"")</f>
        <v>0</v>
      </c>
      <c r="BB125" s="77">
        <f>IF($AY125="ja",(VLOOKUP($B125,'Egen hetvattenprod'!$B$1:$BX$550,MATCH(BB$2,'Egen hetvattenprod'!$B$1:$BX$1,0),FALSE)+VLOOKUP($B125,Kraftvärmeprod!$B$1:$BX$550,MATCH(BB$2,Kraftvärmeprod!$B$1:$BX$1,0),FALSE))/$AC125,"")</f>
        <v>0</v>
      </c>
      <c r="BC125" s="77">
        <f>IF($AY125="ja",(VLOOKUP($B125,'Egen hetvattenprod'!$B$1:$BX$550,MATCH(BC$2,'Egen hetvattenprod'!$B$1:$BX$1,0),FALSE)+VLOOKUP($B125,Kraftvärmeprod!$B$1:$BX$550,MATCH(BC$2,Kraftvärmeprod!$B$1:$BX$1,0),FALSE))/$AC125,"")</f>
        <v>0</v>
      </c>
      <c r="BD125" s="77">
        <f>IF($AY125="ja",(VLOOKUP($B125,'Egen hetvattenprod'!$B$1:$BX$550,MATCH(BD$2,'Egen hetvattenprod'!$B$1:$BX$1,0),FALSE)+VLOOKUP($B125,Kraftvärmeprod!$B$1:$BX$550,MATCH(BD$2,Kraftvärmeprod!$B$1:$BX$1,0),FALSE))/$AC125,"")</f>
        <v>0</v>
      </c>
      <c r="BF125" s="63" t="str">
        <f t="shared" si="11"/>
        <v>Nej</v>
      </c>
      <c r="BG125" s="63" t="str">
        <f>IF($BF125="ja",VLOOKUP($B125,'Egen hetvattenprod'!$B$1:$BX$550,MATCH("Andelen klimatgaser med fossilt ursprung för avfall ()",'Egen hetvattenprod'!$B$1:$BX$1,0),FALSE),"")</f>
        <v/>
      </c>
      <c r="BH125" s="63" t="str">
        <f>IF($BF125="ja",VLOOKUP($B125,Kraftvärmeprod!$B$1:$BX$550,MATCH("Andelen klimatgaser med fossilt ursprung för avfall ()",Kraftvärmeprod!$B$1:$BX$1,0),FALSE),"")</f>
        <v/>
      </c>
      <c r="BI125" s="63" t="str">
        <f>IF($BF125="ja",VLOOKUP($B125,'Egen hetvattenprod'!$B$1:$BX$550,MATCH("Avfall (GWh)",'Egen hetvattenprod'!$B$1:$BX$1,0),FALSE),"")</f>
        <v/>
      </c>
      <c r="BJ125" s="63" t="str">
        <f>IF($BF125="ja",VLOOKUP($B125,'Slutlig allokering kvv'!$B$1:$BX$550,MATCH("Avfall (GWh)",'Slutlig allokering kvv'!$B$1:$BX$1,0),FALSE),"")</f>
        <v/>
      </c>
      <c r="BK125" s="63" t="str">
        <f>IF($BF125="ja",VLOOKUP($B125,'Köpt hetvatten'!$B$1:$BX$550,MATCH("Avfall i köpt hetvatten",'Köpt hetvatten'!$B$1:$BX$1,0),FALSE),"")</f>
        <v/>
      </c>
      <c r="BL125" s="63" t="str">
        <f>IF($BF125="ja",VLOOKUP($B125,'Egen hetvattenprod'!$B$1:$BX$550,MATCH("Värde enligt ovan. (%)",'Egen hetvattenprod'!$B$1:$BX$1,0),FALSE),"")</f>
        <v/>
      </c>
      <c r="BM125" s="63" t="str">
        <f>IF($BF125="ja",VLOOKUP($B125,Kraftvärmeprod!$B$1:$BX$550,MATCH("Värde enligt ovan. (%)",Kraftvärmeprod!$B$1:$BX$1,0),FALSE),"")</f>
        <v/>
      </c>
    </row>
    <row r="126" spans="1:65" x14ac:dyDescent="0.45">
      <c r="A126" s="63" t="s">
        <v>520</v>
      </c>
      <c r="B126" s="63" t="s">
        <v>521</v>
      </c>
      <c r="C126" s="63">
        <f>VLOOKUP($B126,'Tillförd energi'!$B$1:$AI$720,MATCH(C$2,'Tillförd energi'!$B$1:$AQ$1,0),FALSE)</f>
        <v>0</v>
      </c>
      <c r="D126" s="63">
        <f>VLOOKUP($B126,'Tillförd energi'!$B$1:$AI$720,MATCH(D$2,'Tillförd energi'!$B$1:$AQ$1,0),FALSE)</f>
        <v>0.9</v>
      </c>
      <c r="E126" s="63">
        <f>VLOOKUP($B126,'Tillförd energi'!$B$1:$AI$720,MATCH(E$2,'Tillförd energi'!$B$1:$AQ$1,0),FALSE)</f>
        <v>0</v>
      </c>
      <c r="F126" s="63">
        <f>VLOOKUP($B126,'Tillförd energi'!$B$1:$AI$720,MATCH(F$2,'Tillförd energi'!$B$1:$AQ$1,0),FALSE)</f>
        <v>0.2</v>
      </c>
      <c r="G126" s="63">
        <f>VLOOKUP($B126,'Tillförd energi'!$B$1:$AI$720,MATCH(G$2,'Tillförd energi'!$B$1:$AQ$1,0),FALSE)</f>
        <v>0</v>
      </c>
      <c r="H126" s="63">
        <f>VLOOKUP($B126,'Tillförd energi'!$B$1:$AI$720,MATCH(H$2,'Tillförd energi'!$B$1:$AQ$1,0),FALSE)</f>
        <v>0</v>
      </c>
      <c r="I126" s="63">
        <f>VLOOKUP($B126,'Tillförd energi'!$B$1:$AI$720,MATCH(I$2,'Tillförd energi'!$B$1:$AQ$1,0),FALSE)</f>
        <v>0</v>
      </c>
      <c r="J126" s="63">
        <f>VLOOKUP($B126,'Tillförd energi'!$B$1:$AI$720,MATCH(J$2,'Tillförd energi'!$B$1:$AQ$1,0),FALSE)</f>
        <v>1</v>
      </c>
      <c r="K126" s="63">
        <f>VLOOKUP($B126,'Tillförd energi'!$B$1:$AI$720,MATCH(K$2,'Tillförd energi'!$B$1:$AQ$1,0),FALSE)</f>
        <v>0</v>
      </c>
      <c r="L126" s="63">
        <f>VLOOKUP($B126,'Tillförd energi'!$B$1:$AI$720,MATCH(L$2,'Tillförd energi'!$B$1:$AQ$1,0),FALSE)</f>
        <v>41.589799999999997</v>
      </c>
      <c r="M126" s="63">
        <f>VLOOKUP($B126,'Tillförd energi'!$B$1:$AI$720,MATCH(M$2,'Tillförd energi'!$B$1:$AQ$1,0),FALSE)</f>
        <v>92.254800000000003</v>
      </c>
      <c r="N126" s="63">
        <f>VLOOKUP($B126,'Tillförd energi'!$B$1:$AI$720,MATCH(N$2,'Tillförd energi'!$B$1:$AQ$1,0),FALSE)</f>
        <v>21.144300000000001</v>
      </c>
      <c r="O126" s="63">
        <f>VLOOKUP($B126,'Tillförd energi'!$B$1:$AI$720,MATCH(O$2,'Tillförd energi'!$B$1:$AQ$1,0),FALSE)</f>
        <v>62.833199999999998</v>
      </c>
      <c r="P126" s="63">
        <f>VLOOKUP($B126,'Tillförd energi'!$B$1:$AI$720,MATCH(P$2,'Tillförd energi'!$B$1:$AQ$1,0),FALSE)</f>
        <v>155.41200000000001</v>
      </c>
      <c r="Q126" s="63">
        <f>VLOOKUP($B126,'Tillförd energi'!$B$1:$AI$720,MATCH(Q$2,'Tillförd energi'!$B$1:$AQ$1,0),FALSE)</f>
        <v>0</v>
      </c>
      <c r="R126" s="63">
        <f>VLOOKUP($B126,'Tillförd energi'!$B$1:$AI$720,MATCH(R$2,'Tillförd energi'!$B$1:$AQ$1,0),FALSE)</f>
        <v>0.9</v>
      </c>
      <c r="S126" s="63">
        <f>VLOOKUP($B126,'Tillförd energi'!$B$1:$AI$720,MATCH(S$2,'Tillförd energi'!$B$1:$AQ$1,0),FALSE)</f>
        <v>0</v>
      </c>
      <c r="T126" s="63">
        <f>VLOOKUP($B126,'Tillförd energi'!$B$1:$AI$720,MATCH(T$2,'Tillförd energi'!$B$1:$AQ$1,0),FALSE)</f>
        <v>0</v>
      </c>
      <c r="U126" s="63">
        <f>VLOOKUP($B126,'Tillförd energi'!$B$1:$AI$720,MATCH(U$2,'Tillförd energi'!$B$1:$AQ$1,0),FALSE)</f>
        <v>0</v>
      </c>
      <c r="V126" s="63">
        <f>VLOOKUP($B126,'Tillförd energi'!$B$1:$AI$720,MATCH(V$2,'Tillförd energi'!$B$1:$AQ$1,0),FALSE)</f>
        <v>0</v>
      </c>
      <c r="W126" s="63">
        <f>VLOOKUP($B126,'Tillförd energi'!$B$1:$AI$720,MATCH(W$2,'Tillförd energi'!$B$1:$AQ$1,0),FALSE)</f>
        <v>0.2</v>
      </c>
      <c r="X126" s="63">
        <f>VLOOKUP($B126,'Tillförd energi'!$B$1:$AI$720,MATCH(X$2,'Tillförd energi'!$B$1:$AQ$1,0),FALSE)</f>
        <v>0</v>
      </c>
      <c r="Y126" s="63">
        <f>VLOOKUP($B126,'Tillförd energi'!$B$1:$AI$720,MATCH(Y$2,'Tillförd energi'!$B$1:$AQ$1,0),FALSE)</f>
        <v>18.674099999999999</v>
      </c>
      <c r="Z126" s="63">
        <f>VLOOKUP($B126,'Tillförd energi'!$B$1:$AI$720,MATCH(Z$2,'Tillförd energi'!$B$1:$AQ$1,0),FALSE)</f>
        <v>0.2</v>
      </c>
      <c r="AA126" s="63">
        <f>VLOOKUP($B126,'Tillförd energi'!$B$1:$AI$720,MATCH(AA$2,'Tillförd energi'!$B$1:$AQ$1,0),FALSE)</f>
        <v>0</v>
      </c>
      <c r="AB126" s="63">
        <f>VLOOKUP($B126,'Tillförd energi'!$B$1:$AI$720,MATCH(AB$2,'Tillförd energi'!$B$1:$AQ$1,0),FALSE)</f>
        <v>0</v>
      </c>
      <c r="AC126" s="63">
        <f>VLOOKUP($B126,'Tillförd energi'!$B$1:$AI$720,MATCH(AC$2,'Tillförd energi'!$B$1:$AQ$1,0),FALSE)</f>
        <v>143.12</v>
      </c>
      <c r="AD126" s="63">
        <f>VLOOKUP($B126,'Tillförd energi'!$B$1:$AI$720,MATCH(AD$2,'Tillförd energi'!$B$1:$AQ$1,0),FALSE)</f>
        <v>1.4</v>
      </c>
      <c r="AE126" s="63">
        <f>VLOOKUP($B126,'Tillförd energi'!$B$1:$AI$720,MATCH(AE$2,'Tillförd energi'!$B$1:$AQ$1,0),FALSE)</f>
        <v>0</v>
      </c>
      <c r="AF126" s="63">
        <f>VLOOKUP($B126,'Tillförd energi'!$B$1:$AI$720,MATCH(AF$2,'Tillförd energi'!$B$1:$AQ$1,0),FALSE)</f>
        <v>16.410299999999999</v>
      </c>
      <c r="AG126" s="63">
        <f>IFERROR(VLOOKUP(B126,Miljö!$B$1:$AC$550,MATCH("Köpt mängd produktionsspecifik fjärrvärme:",Miljö!$B$1:$AC$1,0),FALSE)/1,0)</f>
        <v>0</v>
      </c>
      <c r="AI126" s="63">
        <f t="shared" si="6"/>
        <v>556.23850000000004</v>
      </c>
      <c r="AJ126" s="63">
        <f>IF(ISERROR(1/VLOOKUP($B126,Leveranser!$B$1:$S$500,MATCH("såld värme (gwh)",Leveranser!$B$1:$S$1,0),FALSE)),"",VLOOKUP($B126,Leveranser!$B$1:$S$500,MATCH("såld värme (gwh)",Leveranser!$B$1:$S$1,0),FALSE))</f>
        <v>547.01</v>
      </c>
      <c r="AM126" s="63" t="str">
        <f>IF(B126&lt;&gt;"",IF(VLOOKUP($B126,Totalt!$B$1:$AQ$554,MATCH("Kvalitetsgranskad:",Totalt!$B$1:$AQ$1,0),FALSE)="ja",VLOOKUP($B126,Miljö!$B$1:$AG$479,MATCH(AM$2,Miljö!$B$1:$AK$1,0),FALSE),""),"")</f>
        <v>Ja</v>
      </c>
      <c r="AN126" s="63" t="str">
        <f>IF(AM126="ja",VLOOKUP($B126,Miljö!$B$1:$J$479,MATCH("Typ av ursprungsspecificerad el   (Om inget värde anges används Nordisk residualmix, se inforuta) ()",Miljö!$B$1:$J$1,0),FALSE),IF(AM126="nej","Nordisk residualel",""))</f>
        <v>'Jämtkraft lokalel'</v>
      </c>
      <c r="AO126" s="63">
        <f>IF(AM126="","",VLOOKUP($B126,Miljö!$B$1:$J$479,MATCH("Fossilandel för ursprungspecificerad el ()",Miljö!$B$1:$J$1,0),FALSE))</f>
        <v>0</v>
      </c>
      <c r="AQ126" s="63">
        <f t="shared" si="7"/>
        <v>1</v>
      </c>
      <c r="AS126" s="63" t="str">
        <f t="shared" si="8"/>
        <v>Nej</v>
      </c>
      <c r="AT126" s="63" t="str">
        <f>IF(AS126="ja",VLOOKUP($B126,Miljö!$B$1:$P$500,MATCH("Fossil andel i procent (%)",Miljö!$B$1:$P$1,0),FALSE)/100,"")</f>
        <v/>
      </c>
      <c r="AV126" s="63" t="str">
        <f t="shared" si="9"/>
        <v>Nej</v>
      </c>
      <c r="AW126" s="63" t="str">
        <f>IF(AV126="ja",VLOOKUP($B126,'Egen hetvattenprod'!$B$1:$AO$500,MATCH("Värmekälla till värmepumpar ()",'Egen hetvattenprod'!$B$1:$AO$1,0),FALSE),"")</f>
        <v/>
      </c>
      <c r="AY126" s="63" t="str">
        <f t="shared" si="10"/>
        <v>Ja</v>
      </c>
      <c r="AZ126" s="77">
        <f>IF($AY126="ja",(VLOOKUP($B126,'Egen hetvattenprod'!$B$1:$BX$550,MATCH(AZ$2,'Egen hetvattenprod'!$B$1:$BX$1,0),FALSE)+VLOOKUP($B126,Kraftvärmeprod!$B$1:$BX$550,MATCH(AZ$2,Kraftvärmeprod!$B$1:$BX$1,0),FALSE))/$AC126,"")</f>
        <v>0.95425768585802129</v>
      </c>
      <c r="BA126" s="77">
        <f>IF($AY126="ja",(VLOOKUP($B126,'Egen hetvattenprod'!$B$1:$BX$550,MATCH(BA$2,'Egen hetvattenprod'!$B$1:$BX$1,0),FALSE)+VLOOKUP($B126,Kraftvärmeprod!$B$1:$BX$550,MATCH(BA$2,Kraftvärmeprod!$B$1:$BX$1,0),FALSE))/$AC126,"")</f>
        <v>0</v>
      </c>
      <c r="BB126" s="77">
        <f>IF($AY126="ja",(VLOOKUP($B126,'Egen hetvattenprod'!$B$1:$BX$550,MATCH(BB$2,'Egen hetvattenprod'!$B$1:$BX$1,0),FALSE)+VLOOKUP($B126,Kraftvärmeprod!$B$1:$BX$550,MATCH(BB$2,Kraftvärmeprod!$B$1:$BX$1,0),FALSE))/$AC126,"")</f>
        <v>0</v>
      </c>
      <c r="BC126" s="77">
        <f>IF($AY126="ja",(VLOOKUP($B126,'Egen hetvattenprod'!$B$1:$BX$550,MATCH(BC$2,'Egen hetvattenprod'!$B$1:$BX$1,0),FALSE)+VLOOKUP($B126,Kraftvärmeprod!$B$1:$BX$550,MATCH(BC$2,Kraftvärmeprod!$B$1:$BX$1,0),FALSE))/$AC126,"")</f>
        <v>4.5742314141978761E-2</v>
      </c>
      <c r="BD126" s="77">
        <f>IF($AY126="ja",(VLOOKUP($B126,'Egen hetvattenprod'!$B$1:$BX$550,MATCH(BD$2,'Egen hetvattenprod'!$B$1:$BX$1,0),FALSE)+VLOOKUP($B126,Kraftvärmeprod!$B$1:$BX$550,MATCH(BD$2,Kraftvärmeprod!$B$1:$BX$1,0),FALSE))/$AC126,"")</f>
        <v>0</v>
      </c>
      <c r="BF126" s="63" t="str">
        <f t="shared" si="11"/>
        <v>Nej</v>
      </c>
      <c r="BG126" s="63" t="str">
        <f>IF($BF126="ja",VLOOKUP($B126,'Egen hetvattenprod'!$B$1:$BX$550,MATCH("Andelen klimatgaser med fossilt ursprung för avfall ()",'Egen hetvattenprod'!$B$1:$BX$1,0),FALSE),"")</f>
        <v/>
      </c>
      <c r="BH126" s="63" t="str">
        <f>IF($BF126="ja",VLOOKUP($B126,Kraftvärmeprod!$B$1:$BX$550,MATCH("Andelen klimatgaser med fossilt ursprung för avfall ()",Kraftvärmeprod!$B$1:$BX$1,0),FALSE),"")</f>
        <v/>
      </c>
      <c r="BI126" s="63" t="str">
        <f>IF($BF126="ja",VLOOKUP($B126,'Egen hetvattenprod'!$B$1:$BX$550,MATCH("Avfall (GWh)",'Egen hetvattenprod'!$B$1:$BX$1,0),FALSE),"")</f>
        <v/>
      </c>
      <c r="BJ126" s="63" t="str">
        <f>IF($BF126="ja",VLOOKUP($B126,'Slutlig allokering kvv'!$B$1:$BX$550,MATCH("Avfall (GWh)",'Slutlig allokering kvv'!$B$1:$BX$1,0),FALSE),"")</f>
        <v/>
      </c>
      <c r="BK126" s="63" t="str">
        <f>IF($BF126="ja",VLOOKUP($B126,'Köpt hetvatten'!$B$1:$BX$550,MATCH("Avfall i köpt hetvatten",'Köpt hetvatten'!$B$1:$BX$1,0),FALSE),"")</f>
        <v/>
      </c>
      <c r="BL126" s="63" t="str">
        <f>IF($BF126="ja",VLOOKUP($B126,'Egen hetvattenprod'!$B$1:$BX$550,MATCH("Värde enligt ovan. (%)",'Egen hetvattenprod'!$B$1:$BX$1,0),FALSE),"")</f>
        <v/>
      </c>
      <c r="BM126" s="63" t="str">
        <f>IF($BF126="ja",VLOOKUP($B126,Kraftvärmeprod!$B$1:$BX$550,MATCH("Värde enligt ovan. (%)",Kraftvärmeprod!$B$1:$BX$1,0),FALSE),"")</f>
        <v/>
      </c>
    </row>
    <row r="127" spans="1:65" x14ac:dyDescent="0.45">
      <c r="A127" s="63" t="s">
        <v>520</v>
      </c>
      <c r="B127" s="63" t="s">
        <v>519</v>
      </c>
      <c r="C127" s="63">
        <f>VLOOKUP($B127,'Tillförd energi'!$B$1:$AI$720,MATCH(C$2,'Tillförd energi'!$B$1:$AQ$1,0),FALSE)</f>
        <v>0</v>
      </c>
      <c r="D127" s="63">
        <f>VLOOKUP($B127,'Tillförd energi'!$B$1:$AI$720,MATCH(D$2,'Tillförd energi'!$B$1:$AQ$1,0),FALSE)</f>
        <v>0</v>
      </c>
      <c r="E127" s="63">
        <f>VLOOKUP($B127,'Tillförd energi'!$B$1:$AI$720,MATCH(E$2,'Tillförd energi'!$B$1:$AQ$1,0),FALSE)</f>
        <v>0</v>
      </c>
      <c r="F127" s="63">
        <f>VLOOKUP($B127,'Tillförd energi'!$B$1:$AI$720,MATCH(F$2,'Tillförd energi'!$B$1:$AQ$1,0),FALSE)</f>
        <v>0</v>
      </c>
      <c r="G127" s="63">
        <f>VLOOKUP($B127,'Tillförd energi'!$B$1:$AI$720,MATCH(G$2,'Tillförd energi'!$B$1:$AQ$1,0),FALSE)</f>
        <v>0</v>
      </c>
      <c r="H127" s="63">
        <f>VLOOKUP($B127,'Tillförd energi'!$B$1:$AI$720,MATCH(H$2,'Tillförd energi'!$B$1:$AQ$1,0),FALSE)</f>
        <v>0</v>
      </c>
      <c r="I127" s="63">
        <f>VLOOKUP($B127,'Tillförd energi'!$B$1:$AI$720,MATCH(I$2,'Tillförd energi'!$B$1:$AQ$1,0),FALSE)</f>
        <v>0</v>
      </c>
      <c r="J127" s="63">
        <f>VLOOKUP($B127,'Tillförd energi'!$B$1:$AI$720,MATCH(J$2,'Tillförd energi'!$B$1:$AQ$1,0),FALSE)</f>
        <v>0</v>
      </c>
      <c r="K127" s="63">
        <f>VLOOKUP($B127,'Tillförd energi'!$B$1:$AI$720,MATCH(K$2,'Tillförd energi'!$B$1:$AQ$1,0),FALSE)</f>
        <v>0</v>
      </c>
      <c r="L127" s="63">
        <f>VLOOKUP($B127,'Tillförd energi'!$B$1:$AI$720,MATCH(L$2,'Tillförd energi'!$B$1:$AQ$1,0),FALSE)</f>
        <v>0</v>
      </c>
      <c r="M127" s="63">
        <f>VLOOKUP($B127,'Tillförd energi'!$B$1:$AI$720,MATCH(M$2,'Tillförd energi'!$B$1:$AQ$1,0),FALSE)</f>
        <v>0</v>
      </c>
      <c r="N127" s="63">
        <f>VLOOKUP($B127,'Tillförd energi'!$B$1:$AI$720,MATCH(N$2,'Tillförd energi'!$B$1:$AQ$1,0),FALSE)</f>
        <v>0</v>
      </c>
      <c r="O127" s="63">
        <f>VLOOKUP($B127,'Tillförd energi'!$B$1:$AI$720,MATCH(O$2,'Tillförd energi'!$B$1:$AQ$1,0),FALSE)</f>
        <v>0</v>
      </c>
      <c r="P127" s="63">
        <f>VLOOKUP($B127,'Tillförd energi'!$B$1:$AI$720,MATCH(P$2,'Tillförd energi'!$B$1:$AQ$1,0),FALSE)</f>
        <v>0</v>
      </c>
      <c r="Q127" s="63">
        <f>VLOOKUP($B127,'Tillförd energi'!$B$1:$AI$720,MATCH(Q$2,'Tillförd energi'!$B$1:$AQ$1,0),FALSE)</f>
        <v>0</v>
      </c>
      <c r="R127" s="63">
        <f>VLOOKUP($B127,'Tillförd energi'!$B$1:$AI$720,MATCH(R$2,'Tillförd energi'!$B$1:$AQ$1,0),FALSE)</f>
        <v>0</v>
      </c>
      <c r="S127" s="63">
        <f>VLOOKUP($B127,'Tillförd energi'!$B$1:$AI$720,MATCH(S$2,'Tillförd energi'!$B$1:$AQ$1,0),FALSE)</f>
        <v>0</v>
      </c>
      <c r="T127" s="63">
        <f>VLOOKUP($B127,'Tillförd energi'!$B$1:$AI$720,MATCH(T$2,'Tillförd energi'!$B$1:$AQ$1,0),FALSE)</f>
        <v>0</v>
      </c>
      <c r="U127" s="63">
        <f>VLOOKUP($B127,'Tillförd energi'!$B$1:$AI$720,MATCH(U$2,'Tillförd energi'!$B$1:$AQ$1,0),FALSE)</f>
        <v>0</v>
      </c>
      <c r="V127" s="63">
        <f>VLOOKUP($B127,'Tillförd energi'!$B$1:$AI$720,MATCH(V$2,'Tillförd energi'!$B$1:$AQ$1,0),FALSE)</f>
        <v>0</v>
      </c>
      <c r="W127" s="63">
        <f>VLOOKUP($B127,'Tillförd energi'!$B$1:$AI$720,MATCH(W$2,'Tillförd energi'!$B$1:$AQ$1,0),FALSE)</f>
        <v>0</v>
      </c>
      <c r="X127" s="63">
        <f>VLOOKUP($B127,'Tillförd energi'!$B$1:$AI$720,MATCH(X$2,'Tillförd energi'!$B$1:$AQ$1,0),FALSE)</f>
        <v>0</v>
      </c>
      <c r="Y127" s="63">
        <f>VLOOKUP($B127,'Tillförd energi'!$B$1:$AI$720,MATCH(Y$2,'Tillförd energi'!$B$1:$AQ$1,0),FALSE)</f>
        <v>0</v>
      </c>
      <c r="Z127" s="63">
        <f>VLOOKUP($B127,'Tillförd energi'!$B$1:$AI$720,MATCH(Z$2,'Tillförd energi'!$B$1:$AQ$1,0),FALSE)</f>
        <v>0</v>
      </c>
      <c r="AA127" s="63">
        <f>VLOOKUP($B127,'Tillförd energi'!$B$1:$AI$720,MATCH(AA$2,'Tillförd energi'!$B$1:$AQ$1,0),FALSE)</f>
        <v>0</v>
      </c>
      <c r="AB127" s="63">
        <f>VLOOKUP($B127,'Tillförd energi'!$B$1:$AI$720,MATCH(AB$2,'Tillförd energi'!$B$1:$AQ$1,0),FALSE)</f>
        <v>0</v>
      </c>
      <c r="AC127" s="63">
        <f>VLOOKUP($B127,'Tillförd energi'!$B$1:$AI$720,MATCH(AC$2,'Tillförd energi'!$B$1:$AQ$1,0),FALSE)</f>
        <v>1.5760000000000001</v>
      </c>
      <c r="AD127" s="63">
        <f>VLOOKUP($B127,'Tillförd energi'!$B$1:$AI$720,MATCH(AD$2,'Tillförd energi'!$B$1:$AQ$1,0),FALSE)</f>
        <v>0</v>
      </c>
      <c r="AE127" s="63">
        <f>VLOOKUP($B127,'Tillförd energi'!$B$1:$AI$720,MATCH(AE$2,'Tillförd energi'!$B$1:$AQ$1,0),FALSE)</f>
        <v>0</v>
      </c>
      <c r="AF127" s="63">
        <f>VLOOKUP($B127,'Tillförd energi'!$B$1:$AI$720,MATCH(AF$2,'Tillförd energi'!$B$1:$AQ$1,0),FALSE)</f>
        <v>4.7280000000000003E-2</v>
      </c>
      <c r="AG127" s="63">
        <f>IFERROR(VLOOKUP(B127,Miljö!$B$1:$AC$550,MATCH("Köpt mängd produktionsspecifik fjärrvärme:",Miljö!$B$1:$AC$1,0),FALSE)/1,0)</f>
        <v>0</v>
      </c>
      <c r="AI127" s="63">
        <f t="shared" si="6"/>
        <v>1.6232800000000001</v>
      </c>
      <c r="AJ127" s="63">
        <f>IF(ISERROR(1/VLOOKUP($B127,Leveranser!$B$1:$S$500,MATCH("såld värme (gwh)",Leveranser!$B$1:$S$1,0),FALSE)),"",VLOOKUP($B127,Leveranser!$B$1:$S$500,MATCH("såld värme (gwh)",Leveranser!$B$1:$S$1,0),FALSE))</f>
        <v>1.5760000000000001</v>
      </c>
      <c r="AM127" s="63" t="str">
        <f>IF(B127&lt;&gt;"",IF(VLOOKUP($B127,Totalt!$B$1:$AQ$554,MATCH("Kvalitetsgranskad:",Totalt!$B$1:$AQ$1,0),FALSE)="ja",VLOOKUP($B127,Miljö!$B$1:$AG$479,MATCH(AM$2,Miljö!$B$1:$AK$1,0),FALSE),""),"")</f>
        <v>Ja</v>
      </c>
      <c r="AN127" s="63" t="str">
        <f>IF(AM127="ja",VLOOKUP($B127,Miljö!$B$1:$J$479,MATCH("Typ av ursprungsspecificerad el   (Om inget värde anges används Nordisk residualmix, se inforuta) ()",Miljö!$B$1:$J$1,0),FALSE),IF(AM127="nej","Nordisk residualel",""))</f>
        <v>'Jämtkrafts lokalel'</v>
      </c>
      <c r="AO127" s="63">
        <f>IF(AM127="","",VLOOKUP($B127,Miljö!$B$1:$J$479,MATCH("Fossilandel för ursprungspecificerad el ()",Miljö!$B$1:$J$1,0),FALSE))</f>
        <v>0</v>
      </c>
      <c r="AQ127" s="63">
        <f t="shared" si="7"/>
        <v>1</v>
      </c>
      <c r="AS127" s="63" t="str">
        <f t="shared" si="8"/>
        <v>Nej</v>
      </c>
      <c r="AT127" s="63" t="str">
        <f>IF(AS127="ja",VLOOKUP($B127,Miljö!$B$1:$P$500,MATCH("Fossil andel i procent (%)",Miljö!$B$1:$P$1,0),FALSE)/100,"")</f>
        <v/>
      </c>
      <c r="AV127" s="63" t="str">
        <f t="shared" si="9"/>
        <v>Nej</v>
      </c>
      <c r="AW127" s="63" t="str">
        <f>IF(AV127="ja",VLOOKUP($B127,'Egen hetvattenprod'!$B$1:$AO$500,MATCH("Värmekälla till värmepumpar ()",'Egen hetvattenprod'!$B$1:$AO$1,0),FALSE),"")</f>
        <v/>
      </c>
      <c r="AY127" s="63" t="str">
        <f t="shared" si="10"/>
        <v>Ja</v>
      </c>
      <c r="AZ127" s="77">
        <f>IF($AY127="ja",(VLOOKUP($B127,'Egen hetvattenprod'!$B$1:$BX$550,MATCH(AZ$2,'Egen hetvattenprod'!$B$1:$BX$1,0),FALSE)+VLOOKUP($B127,Kraftvärmeprod!$B$1:$BX$550,MATCH(AZ$2,Kraftvärmeprod!$B$1:$BX$1,0),FALSE))/$AC127,"")</f>
        <v>1</v>
      </c>
      <c r="BA127" s="77">
        <f>IF($AY127="ja",(VLOOKUP($B127,'Egen hetvattenprod'!$B$1:$BX$550,MATCH(BA$2,'Egen hetvattenprod'!$B$1:$BX$1,0),FALSE)+VLOOKUP($B127,Kraftvärmeprod!$B$1:$BX$550,MATCH(BA$2,Kraftvärmeprod!$B$1:$BX$1,0),FALSE))/$AC127,"")</f>
        <v>0</v>
      </c>
      <c r="BB127" s="77">
        <f>IF($AY127="ja",(VLOOKUP($B127,'Egen hetvattenprod'!$B$1:$BX$550,MATCH(BB$2,'Egen hetvattenprod'!$B$1:$BX$1,0),FALSE)+VLOOKUP($B127,Kraftvärmeprod!$B$1:$BX$550,MATCH(BB$2,Kraftvärmeprod!$B$1:$BX$1,0),FALSE))/$AC127,"")</f>
        <v>0</v>
      </c>
      <c r="BC127" s="77">
        <f>IF($AY127="ja",(VLOOKUP($B127,'Egen hetvattenprod'!$B$1:$BX$550,MATCH(BC$2,'Egen hetvattenprod'!$B$1:$BX$1,0),FALSE)+VLOOKUP($B127,Kraftvärmeprod!$B$1:$BX$550,MATCH(BC$2,Kraftvärmeprod!$B$1:$BX$1,0),FALSE))/$AC127,"")</f>
        <v>0</v>
      </c>
      <c r="BD127" s="77">
        <f>IF($AY127="ja",(VLOOKUP($B127,'Egen hetvattenprod'!$B$1:$BX$550,MATCH(BD$2,'Egen hetvattenprod'!$B$1:$BX$1,0),FALSE)+VLOOKUP($B127,Kraftvärmeprod!$B$1:$BX$550,MATCH(BD$2,Kraftvärmeprod!$B$1:$BX$1,0),FALSE))/$AC127,"")</f>
        <v>0</v>
      </c>
      <c r="BF127" s="63" t="str">
        <f t="shared" si="11"/>
        <v>Nej</v>
      </c>
      <c r="BG127" s="63" t="str">
        <f>IF($BF127="ja",VLOOKUP($B127,'Egen hetvattenprod'!$B$1:$BX$550,MATCH("Andelen klimatgaser med fossilt ursprung för avfall ()",'Egen hetvattenprod'!$B$1:$BX$1,0),FALSE),"")</f>
        <v/>
      </c>
      <c r="BH127" s="63" t="str">
        <f>IF($BF127="ja",VLOOKUP($B127,Kraftvärmeprod!$B$1:$BX$550,MATCH("Andelen klimatgaser med fossilt ursprung för avfall ()",Kraftvärmeprod!$B$1:$BX$1,0),FALSE),"")</f>
        <v/>
      </c>
      <c r="BI127" s="63" t="str">
        <f>IF($BF127="ja",VLOOKUP($B127,'Egen hetvattenprod'!$B$1:$BX$550,MATCH("Avfall (GWh)",'Egen hetvattenprod'!$B$1:$BX$1,0),FALSE),"")</f>
        <v/>
      </c>
      <c r="BJ127" s="63" t="str">
        <f>IF($BF127="ja",VLOOKUP($B127,'Slutlig allokering kvv'!$B$1:$BX$550,MATCH("Avfall (GWh)",'Slutlig allokering kvv'!$B$1:$BX$1,0),FALSE),"")</f>
        <v/>
      </c>
      <c r="BK127" s="63" t="str">
        <f>IF($BF127="ja",VLOOKUP($B127,'Köpt hetvatten'!$B$1:$BX$550,MATCH("Avfall i köpt hetvatten",'Köpt hetvatten'!$B$1:$BX$1,0),FALSE),"")</f>
        <v/>
      </c>
      <c r="BL127" s="63" t="str">
        <f>IF($BF127="ja",VLOOKUP($B127,'Egen hetvattenprod'!$B$1:$BX$550,MATCH("Värde enligt ovan. (%)",'Egen hetvattenprod'!$B$1:$BX$1,0),FALSE),"")</f>
        <v/>
      </c>
      <c r="BM127" s="63" t="str">
        <f>IF($BF127="ja",VLOOKUP($B127,Kraftvärmeprod!$B$1:$BX$550,MATCH("Värde enligt ovan. (%)",Kraftvärmeprod!$B$1:$BX$1,0),FALSE),"")</f>
        <v/>
      </c>
    </row>
    <row r="128" spans="1:65" x14ac:dyDescent="0.45">
      <c r="A128" s="63" t="s">
        <v>518</v>
      </c>
      <c r="B128" s="63" t="s">
        <v>77</v>
      </c>
      <c r="C128" s="63">
        <f>VLOOKUP($B128,'Tillförd energi'!$B$1:$AI$720,MATCH(C$2,'Tillförd energi'!$B$1:$AQ$1,0),FALSE)</f>
        <v>0</v>
      </c>
      <c r="D128" s="63">
        <f>VLOOKUP($B128,'Tillförd energi'!$B$1:$AI$720,MATCH(D$2,'Tillförd energi'!$B$1:$AQ$1,0),FALSE)</f>
        <v>0.41</v>
      </c>
      <c r="E128" s="63">
        <f>VLOOKUP($B128,'Tillförd energi'!$B$1:$AI$720,MATCH(E$2,'Tillförd energi'!$B$1:$AQ$1,0),FALSE)</f>
        <v>0</v>
      </c>
      <c r="F128" s="63">
        <f>VLOOKUP($B128,'Tillförd energi'!$B$1:$AI$720,MATCH(F$2,'Tillförd energi'!$B$1:$AQ$1,0),FALSE)</f>
        <v>0</v>
      </c>
      <c r="G128" s="63">
        <f>VLOOKUP($B128,'Tillförd energi'!$B$1:$AI$720,MATCH(G$2,'Tillförd energi'!$B$1:$AQ$1,0),FALSE)</f>
        <v>0</v>
      </c>
      <c r="H128" s="63">
        <f>VLOOKUP($B128,'Tillförd energi'!$B$1:$AI$720,MATCH(H$2,'Tillförd energi'!$B$1:$AQ$1,0),FALSE)</f>
        <v>0</v>
      </c>
      <c r="I128" s="63">
        <f>VLOOKUP($B128,'Tillförd energi'!$B$1:$AI$720,MATCH(I$2,'Tillförd energi'!$B$1:$AQ$1,0),FALSE)</f>
        <v>0</v>
      </c>
      <c r="J128" s="63">
        <f>VLOOKUP($B128,'Tillförd energi'!$B$1:$AI$720,MATCH(J$2,'Tillförd energi'!$B$1:$AQ$1,0),FALSE)</f>
        <v>0</v>
      </c>
      <c r="K128" s="63">
        <f>VLOOKUP($B128,'Tillförd energi'!$B$1:$AI$720,MATCH(K$2,'Tillförd energi'!$B$1:$AQ$1,0),FALSE)</f>
        <v>0</v>
      </c>
      <c r="L128" s="63">
        <f>VLOOKUP($B128,'Tillförd energi'!$B$1:$AI$720,MATCH(L$2,'Tillförd energi'!$B$1:$AQ$1,0),FALSE)</f>
        <v>0</v>
      </c>
      <c r="M128" s="63">
        <f>VLOOKUP($B128,'Tillförd energi'!$B$1:$AI$720,MATCH(M$2,'Tillförd energi'!$B$1:$AQ$1,0),FALSE)</f>
        <v>0</v>
      </c>
      <c r="N128" s="63">
        <f>VLOOKUP($B128,'Tillförd energi'!$B$1:$AI$720,MATCH(N$2,'Tillförd energi'!$B$1:$AQ$1,0),FALSE)</f>
        <v>0</v>
      </c>
      <c r="O128" s="63">
        <f>VLOOKUP($B128,'Tillförd energi'!$B$1:$AI$720,MATCH(O$2,'Tillförd energi'!$B$1:$AQ$1,0),FALSE)</f>
        <v>18.5</v>
      </c>
      <c r="P128" s="63">
        <f>VLOOKUP($B128,'Tillförd energi'!$B$1:$AI$720,MATCH(P$2,'Tillförd energi'!$B$1:$AQ$1,0),FALSE)</f>
        <v>16.440000000000001</v>
      </c>
      <c r="Q128" s="63">
        <f>VLOOKUP($B128,'Tillförd energi'!$B$1:$AI$720,MATCH(Q$2,'Tillförd energi'!$B$1:$AQ$1,0),FALSE)</f>
        <v>27.8</v>
      </c>
      <c r="R128" s="63">
        <f>VLOOKUP($B128,'Tillförd energi'!$B$1:$AI$720,MATCH(R$2,'Tillförd energi'!$B$1:$AQ$1,0),FALSE)</f>
        <v>8.19</v>
      </c>
      <c r="S128" s="63">
        <f>VLOOKUP($B128,'Tillförd energi'!$B$1:$AI$720,MATCH(S$2,'Tillförd energi'!$B$1:$AQ$1,0),FALSE)</f>
        <v>0</v>
      </c>
      <c r="T128" s="63">
        <f>VLOOKUP($B128,'Tillförd energi'!$B$1:$AI$720,MATCH(T$2,'Tillförd energi'!$B$1:$AQ$1,0),FALSE)</f>
        <v>0</v>
      </c>
      <c r="U128" s="63">
        <f>VLOOKUP($B128,'Tillförd energi'!$B$1:$AI$720,MATCH(U$2,'Tillförd energi'!$B$1:$AQ$1,0),FALSE)</f>
        <v>0</v>
      </c>
      <c r="V128" s="63">
        <f>VLOOKUP($B128,'Tillförd energi'!$B$1:$AI$720,MATCH(V$2,'Tillförd energi'!$B$1:$AQ$1,0),FALSE)</f>
        <v>0</v>
      </c>
      <c r="W128" s="63">
        <f>VLOOKUP($B128,'Tillförd energi'!$B$1:$AI$720,MATCH(W$2,'Tillförd energi'!$B$1:$AQ$1,0),FALSE)</f>
        <v>3</v>
      </c>
      <c r="X128" s="63">
        <f>VLOOKUP($B128,'Tillförd energi'!$B$1:$AI$720,MATCH(X$2,'Tillförd energi'!$B$1:$AQ$1,0),FALSE)</f>
        <v>0</v>
      </c>
      <c r="Y128" s="63">
        <f>VLOOKUP($B128,'Tillförd energi'!$B$1:$AI$720,MATCH(Y$2,'Tillförd energi'!$B$1:$AQ$1,0),FALSE)</f>
        <v>0</v>
      </c>
      <c r="Z128" s="63">
        <f>VLOOKUP($B128,'Tillförd energi'!$B$1:$AI$720,MATCH(Z$2,'Tillförd energi'!$B$1:$AQ$1,0),FALSE)</f>
        <v>0</v>
      </c>
      <c r="AA128" s="63">
        <f>VLOOKUP($B128,'Tillförd energi'!$B$1:$AI$720,MATCH(AA$2,'Tillförd energi'!$B$1:$AQ$1,0),FALSE)</f>
        <v>0</v>
      </c>
      <c r="AB128" s="63">
        <f>VLOOKUP($B128,'Tillförd energi'!$B$1:$AI$720,MATCH(AB$2,'Tillförd energi'!$B$1:$AQ$1,0),FALSE)</f>
        <v>0</v>
      </c>
      <c r="AC128" s="63">
        <f>VLOOKUP($B128,'Tillförd energi'!$B$1:$AI$720,MATCH(AC$2,'Tillförd energi'!$B$1:$AQ$1,0),FALSE)</f>
        <v>2.4</v>
      </c>
      <c r="AD128" s="63">
        <f>VLOOKUP($B128,'Tillförd energi'!$B$1:$AI$720,MATCH(AD$2,'Tillförd energi'!$B$1:$AQ$1,0),FALSE)</f>
        <v>0</v>
      </c>
      <c r="AE128" s="63">
        <f>VLOOKUP($B128,'Tillförd energi'!$B$1:$AI$720,MATCH(AE$2,'Tillförd energi'!$B$1:$AQ$1,0),FALSE)</f>
        <v>0</v>
      </c>
      <c r="AF128" s="63">
        <f>VLOOKUP($B128,'Tillförd energi'!$B$1:$AI$720,MATCH(AF$2,'Tillförd energi'!$B$1:$AQ$1,0),FALSE)</f>
        <v>1.6319999999999999</v>
      </c>
      <c r="AG128" s="63">
        <f>IFERROR(VLOOKUP(B128,Miljö!$B$1:$AC$550,MATCH("Köpt mängd produktionsspecifik fjärrvärme:",Miljö!$B$1:$AC$1,0),FALSE)/1,0)</f>
        <v>0</v>
      </c>
      <c r="AI128" s="63">
        <f t="shared" si="6"/>
        <v>78.372000000000014</v>
      </c>
      <c r="AJ128" s="63">
        <f>IF(ISERROR(1/VLOOKUP($B128,Leveranser!$B$1:$S$500,MATCH("såld värme (gwh)",Leveranser!$B$1:$S$1,0),FALSE)),"",VLOOKUP($B128,Leveranser!$B$1:$S$500,MATCH("såld värme (gwh)",Leveranser!$B$1:$S$1,0),FALSE))</f>
        <v>54.4</v>
      </c>
      <c r="AM128" s="63" t="str">
        <f>IF(B128&lt;&gt;"",IF(VLOOKUP($B128,Totalt!$B$1:$AQ$554,MATCH("Kvalitetsgranskad:",Totalt!$B$1:$AQ$1,0),FALSE)="ja",VLOOKUP($B128,Miljö!$B$1:$AG$479,MATCH(AM$2,Miljö!$B$1:$AK$1,0),FALSE),""),"")</f>
        <v>Ja</v>
      </c>
      <c r="AN128" s="63" t="str">
        <f>IF(AM128="ja",VLOOKUP($B128,Miljö!$B$1:$J$479,MATCH("Typ av ursprungsspecificerad el   (Om inget värde anges används Nordisk residualmix, se inforuta) ()",Miljö!$B$1:$J$1,0),FALSE),IF(AM128="nej","Nordisk residualel",""))</f>
        <v>-</v>
      </c>
      <c r="AO128" s="63">
        <f>IF(AM128="","",VLOOKUP($B128,Miljö!$B$1:$J$479,MATCH("Fossilandel för ursprungspecificerad el ()",Miljö!$B$1:$J$1,0),FALSE))</f>
        <v>0.35</v>
      </c>
      <c r="AQ128" s="63">
        <f t="shared" si="7"/>
        <v>0.65</v>
      </c>
      <c r="AS128" s="63" t="str">
        <f t="shared" si="8"/>
        <v>Nej</v>
      </c>
      <c r="AT128" s="63" t="str">
        <f>IF(AS128="ja",VLOOKUP($B128,Miljö!$B$1:$P$500,MATCH("Fossil andel i procent (%)",Miljö!$B$1:$P$1,0),FALSE)/100,"")</f>
        <v/>
      </c>
      <c r="AV128" s="63" t="str">
        <f t="shared" si="9"/>
        <v>Nej</v>
      </c>
      <c r="AW128" s="63" t="str">
        <f>IF(AV128="ja",VLOOKUP($B128,'Egen hetvattenprod'!$B$1:$AO$500,MATCH("Värmekälla till värmepumpar ()",'Egen hetvattenprod'!$B$1:$AO$1,0),FALSE),"")</f>
        <v/>
      </c>
      <c r="AY128" s="63" t="str">
        <f t="shared" si="10"/>
        <v>Ja</v>
      </c>
      <c r="AZ128" s="77">
        <f>IF($AY128="ja",(VLOOKUP($B128,'Egen hetvattenprod'!$B$1:$BX$550,MATCH(AZ$2,'Egen hetvattenprod'!$B$1:$BX$1,0),FALSE)+VLOOKUP($B128,Kraftvärmeprod!$B$1:$BX$550,MATCH(AZ$2,Kraftvärmeprod!$B$1:$BX$1,0),FALSE))/$AC128,"")</f>
        <v>1</v>
      </c>
      <c r="BA128" s="77">
        <f>IF($AY128="ja",(VLOOKUP($B128,'Egen hetvattenprod'!$B$1:$BX$550,MATCH(BA$2,'Egen hetvattenprod'!$B$1:$BX$1,0),FALSE)+VLOOKUP($B128,Kraftvärmeprod!$B$1:$BX$550,MATCH(BA$2,Kraftvärmeprod!$B$1:$BX$1,0),FALSE))/$AC128,"")</f>
        <v>0</v>
      </c>
      <c r="BB128" s="77">
        <f>IF($AY128="ja",(VLOOKUP($B128,'Egen hetvattenprod'!$B$1:$BX$550,MATCH(BB$2,'Egen hetvattenprod'!$B$1:$BX$1,0),FALSE)+VLOOKUP($B128,Kraftvärmeprod!$B$1:$BX$550,MATCH(BB$2,Kraftvärmeprod!$B$1:$BX$1,0),FALSE))/$AC128,"")</f>
        <v>0</v>
      </c>
      <c r="BC128" s="77">
        <f>IF($AY128="ja",(VLOOKUP($B128,'Egen hetvattenprod'!$B$1:$BX$550,MATCH(BC$2,'Egen hetvattenprod'!$B$1:$BX$1,0),FALSE)+VLOOKUP($B128,Kraftvärmeprod!$B$1:$BX$550,MATCH(BC$2,Kraftvärmeprod!$B$1:$BX$1,0),FALSE))/$AC128,"")</f>
        <v>0</v>
      </c>
      <c r="BD128" s="77">
        <f>IF($AY128="ja",(VLOOKUP($B128,'Egen hetvattenprod'!$B$1:$BX$550,MATCH(BD$2,'Egen hetvattenprod'!$B$1:$BX$1,0),FALSE)+VLOOKUP($B128,Kraftvärmeprod!$B$1:$BX$550,MATCH(BD$2,Kraftvärmeprod!$B$1:$BX$1,0),FALSE))/$AC128,"")</f>
        <v>0</v>
      </c>
      <c r="BF128" s="63" t="str">
        <f t="shared" si="11"/>
        <v>Nej</v>
      </c>
      <c r="BG128" s="63" t="str">
        <f>IF($BF128="ja",VLOOKUP($B128,'Egen hetvattenprod'!$B$1:$BX$550,MATCH("Andelen klimatgaser med fossilt ursprung för avfall ()",'Egen hetvattenprod'!$B$1:$BX$1,0),FALSE),"")</f>
        <v/>
      </c>
      <c r="BH128" s="63" t="str">
        <f>IF($BF128="ja",VLOOKUP($B128,Kraftvärmeprod!$B$1:$BX$550,MATCH("Andelen klimatgaser med fossilt ursprung för avfall ()",Kraftvärmeprod!$B$1:$BX$1,0),FALSE),"")</f>
        <v/>
      </c>
      <c r="BI128" s="63" t="str">
        <f>IF($BF128="ja",VLOOKUP($B128,'Egen hetvattenprod'!$B$1:$BX$550,MATCH("Avfall (GWh)",'Egen hetvattenprod'!$B$1:$BX$1,0),FALSE),"")</f>
        <v/>
      </c>
      <c r="BJ128" s="63" t="str">
        <f>IF($BF128="ja",VLOOKUP($B128,'Slutlig allokering kvv'!$B$1:$BX$550,MATCH("Avfall (GWh)",'Slutlig allokering kvv'!$B$1:$BX$1,0),FALSE),"")</f>
        <v/>
      </c>
      <c r="BK128" s="63" t="str">
        <f>IF($BF128="ja",VLOOKUP($B128,'Köpt hetvatten'!$B$1:$BX$550,MATCH("Avfall i köpt hetvatten",'Köpt hetvatten'!$B$1:$BX$1,0),FALSE),"")</f>
        <v/>
      </c>
      <c r="BL128" s="63" t="str">
        <f>IF($BF128="ja",VLOOKUP($B128,'Egen hetvattenprod'!$B$1:$BX$550,MATCH("Värde enligt ovan. (%)",'Egen hetvattenprod'!$B$1:$BX$1,0),FALSE),"")</f>
        <v/>
      </c>
      <c r="BM128" s="63" t="str">
        <f>IF($BF128="ja",VLOOKUP($B128,Kraftvärmeprod!$B$1:$BX$550,MATCH("Värde enligt ovan. (%)",Kraftvärmeprod!$B$1:$BX$1,0),FALSE),"")</f>
        <v/>
      </c>
    </row>
    <row r="129" spans="1:65" x14ac:dyDescent="0.45">
      <c r="A129" s="63" t="s">
        <v>515</v>
      </c>
      <c r="B129" s="63" t="s">
        <v>517</v>
      </c>
      <c r="C129" s="63">
        <f>VLOOKUP($B129,'Tillförd energi'!$B$1:$AI$720,MATCH(C$2,'Tillförd energi'!$B$1:$AQ$1,0),FALSE)</f>
        <v>0</v>
      </c>
      <c r="D129" s="63">
        <f>VLOOKUP($B129,'Tillförd energi'!$B$1:$AI$720,MATCH(D$2,'Tillförd energi'!$B$1:$AQ$1,0),FALSE)</f>
        <v>0.18</v>
      </c>
      <c r="E129" s="63">
        <f>VLOOKUP($B129,'Tillförd energi'!$B$1:$AI$720,MATCH(E$2,'Tillförd energi'!$B$1:$AQ$1,0),FALSE)</f>
        <v>0</v>
      </c>
      <c r="F129" s="63">
        <f>VLOOKUP($B129,'Tillförd energi'!$B$1:$AI$720,MATCH(F$2,'Tillförd energi'!$B$1:$AQ$1,0),FALSE)</f>
        <v>0</v>
      </c>
      <c r="G129" s="63">
        <f>VLOOKUP($B129,'Tillförd energi'!$B$1:$AI$720,MATCH(G$2,'Tillförd energi'!$B$1:$AQ$1,0),FALSE)</f>
        <v>0</v>
      </c>
      <c r="H129" s="63">
        <f>VLOOKUP($B129,'Tillförd energi'!$B$1:$AI$720,MATCH(H$2,'Tillförd energi'!$B$1:$AQ$1,0),FALSE)</f>
        <v>0</v>
      </c>
      <c r="I129" s="63">
        <f>VLOOKUP($B129,'Tillförd energi'!$B$1:$AI$720,MATCH(I$2,'Tillförd energi'!$B$1:$AQ$1,0),FALSE)</f>
        <v>0</v>
      </c>
      <c r="J129" s="63">
        <f>VLOOKUP($B129,'Tillförd energi'!$B$1:$AI$720,MATCH(J$2,'Tillförd energi'!$B$1:$AQ$1,0),FALSE)</f>
        <v>0</v>
      </c>
      <c r="K129" s="63">
        <f>VLOOKUP($B129,'Tillförd energi'!$B$1:$AI$720,MATCH(K$2,'Tillförd energi'!$B$1:$AQ$1,0),FALSE)</f>
        <v>0</v>
      </c>
      <c r="L129" s="63">
        <f>VLOOKUP($B129,'Tillförd energi'!$B$1:$AI$720,MATCH(L$2,'Tillförd energi'!$B$1:$AQ$1,0),FALSE)</f>
        <v>0</v>
      </c>
      <c r="M129" s="63">
        <f>VLOOKUP($B129,'Tillförd energi'!$B$1:$AI$720,MATCH(M$2,'Tillförd energi'!$B$1:$AQ$1,0),FALSE)</f>
        <v>0</v>
      </c>
      <c r="N129" s="63">
        <f>VLOOKUP($B129,'Tillförd energi'!$B$1:$AI$720,MATCH(N$2,'Tillförd energi'!$B$1:$AQ$1,0),FALSE)</f>
        <v>0</v>
      </c>
      <c r="O129" s="63">
        <f>VLOOKUP($B129,'Tillförd energi'!$B$1:$AI$720,MATCH(O$2,'Tillförd energi'!$B$1:$AQ$1,0),FALSE)</f>
        <v>0</v>
      </c>
      <c r="P129" s="63">
        <f>VLOOKUP($B129,'Tillförd energi'!$B$1:$AI$720,MATCH(P$2,'Tillförd energi'!$B$1:$AQ$1,0),FALSE)</f>
        <v>14.58</v>
      </c>
      <c r="Q129" s="63">
        <f>VLOOKUP($B129,'Tillförd energi'!$B$1:$AI$720,MATCH(Q$2,'Tillförd energi'!$B$1:$AQ$1,0),FALSE)</f>
        <v>0</v>
      </c>
      <c r="R129" s="63">
        <f>VLOOKUP($B129,'Tillförd energi'!$B$1:$AI$720,MATCH(R$2,'Tillförd energi'!$B$1:$AQ$1,0),FALSE)</f>
        <v>0</v>
      </c>
      <c r="S129" s="63">
        <f>VLOOKUP($B129,'Tillförd energi'!$B$1:$AI$720,MATCH(S$2,'Tillförd energi'!$B$1:$AQ$1,0),FALSE)</f>
        <v>0</v>
      </c>
      <c r="T129" s="63">
        <f>VLOOKUP($B129,'Tillförd energi'!$B$1:$AI$720,MATCH(T$2,'Tillförd energi'!$B$1:$AQ$1,0),FALSE)</f>
        <v>0</v>
      </c>
      <c r="U129" s="63">
        <f>VLOOKUP($B129,'Tillförd energi'!$B$1:$AI$720,MATCH(U$2,'Tillförd energi'!$B$1:$AQ$1,0),FALSE)</f>
        <v>0</v>
      </c>
      <c r="V129" s="63">
        <f>VLOOKUP($B129,'Tillförd energi'!$B$1:$AI$720,MATCH(V$2,'Tillförd energi'!$B$1:$AQ$1,0),FALSE)</f>
        <v>0</v>
      </c>
      <c r="W129" s="63">
        <f>VLOOKUP($B129,'Tillförd energi'!$B$1:$AI$720,MATCH(W$2,'Tillförd energi'!$B$1:$AQ$1,0),FALSE)</f>
        <v>0</v>
      </c>
      <c r="X129" s="63">
        <f>VLOOKUP($B129,'Tillförd energi'!$B$1:$AI$720,MATCH(X$2,'Tillförd energi'!$B$1:$AQ$1,0),FALSE)</f>
        <v>0</v>
      </c>
      <c r="Y129" s="63">
        <f>VLOOKUP($B129,'Tillförd energi'!$B$1:$AI$720,MATCH(Y$2,'Tillförd energi'!$B$1:$AQ$1,0),FALSE)</f>
        <v>0</v>
      </c>
      <c r="Z129" s="63">
        <f>VLOOKUP($B129,'Tillförd energi'!$B$1:$AI$720,MATCH(Z$2,'Tillförd energi'!$B$1:$AQ$1,0),FALSE)</f>
        <v>0</v>
      </c>
      <c r="AA129" s="63">
        <f>VLOOKUP($B129,'Tillförd energi'!$B$1:$AI$720,MATCH(AA$2,'Tillförd energi'!$B$1:$AQ$1,0),FALSE)</f>
        <v>0</v>
      </c>
      <c r="AB129" s="63">
        <f>VLOOKUP($B129,'Tillförd energi'!$B$1:$AI$720,MATCH(AB$2,'Tillförd energi'!$B$1:$AQ$1,0),FALSE)</f>
        <v>0</v>
      </c>
      <c r="AC129" s="63">
        <f>VLOOKUP($B129,'Tillförd energi'!$B$1:$AI$720,MATCH(AC$2,'Tillförd energi'!$B$1:$AQ$1,0),FALSE)</f>
        <v>2.2200000000000002</v>
      </c>
      <c r="AD129" s="63">
        <f>VLOOKUP($B129,'Tillförd energi'!$B$1:$AI$720,MATCH(AD$2,'Tillförd energi'!$B$1:$AQ$1,0),FALSE)</f>
        <v>0</v>
      </c>
      <c r="AE129" s="63">
        <f>VLOOKUP($B129,'Tillförd energi'!$B$1:$AI$720,MATCH(AE$2,'Tillförd energi'!$B$1:$AQ$1,0),FALSE)</f>
        <v>0</v>
      </c>
      <c r="AF129" s="63">
        <f>VLOOKUP($B129,'Tillförd energi'!$B$1:$AI$720,MATCH(AF$2,'Tillförd energi'!$B$1:$AQ$1,0),FALSE)</f>
        <v>0.42</v>
      </c>
      <c r="AG129" s="63">
        <f>IFERROR(VLOOKUP(B129,Miljö!$B$1:$AC$550,MATCH("Köpt mängd produktionsspecifik fjärrvärme:",Miljö!$B$1:$AC$1,0),FALSE)/1,0)</f>
        <v>0</v>
      </c>
      <c r="AI129" s="63">
        <f t="shared" si="6"/>
        <v>17.400000000000002</v>
      </c>
      <c r="AJ129" s="63">
        <f>IF(ISERROR(1/VLOOKUP($B129,Leveranser!$B$1:$S$500,MATCH("såld värme (gwh)",Leveranser!$B$1:$S$1,0),FALSE)),"",VLOOKUP($B129,Leveranser!$B$1:$S$500,MATCH("såld värme (gwh)",Leveranser!$B$1:$S$1,0),FALSE))</f>
        <v>11.73</v>
      </c>
      <c r="AM129" s="63" t="str">
        <f>IF(B129&lt;&gt;"",IF(VLOOKUP($B129,Totalt!$B$1:$AQ$554,MATCH("Kvalitetsgranskad:",Totalt!$B$1:$AQ$1,0),FALSE)="ja",VLOOKUP($B129,Miljö!$B$1:$AG$479,MATCH(AM$2,Miljö!$B$1:$AK$1,0),FALSE),""),"")</f>
        <v>Ja</v>
      </c>
      <c r="AN129" s="63" t="str">
        <f>IF(AM129="ja",VLOOKUP($B129,Miljö!$B$1:$J$479,MATCH("Typ av ursprungsspecificerad el   (Om inget värde anges används Nordisk residualmix, se inforuta) ()",Miljö!$B$1:$J$1,0),FALSE),IF(AM129="nej","Nordisk residualel",""))</f>
        <v>'Mix av förnybara källor'</v>
      </c>
      <c r="AO129" s="63">
        <f>IF(AM129="","",VLOOKUP($B129,Miljö!$B$1:$J$479,MATCH("Fossilandel för ursprungspecificerad el ()",Miljö!$B$1:$J$1,0),FALSE))</f>
        <v>0</v>
      </c>
      <c r="AQ129" s="63">
        <f t="shared" si="7"/>
        <v>1</v>
      </c>
      <c r="AS129" s="63" t="str">
        <f t="shared" si="8"/>
        <v>Nej</v>
      </c>
      <c r="AT129" s="63" t="str">
        <f>IF(AS129="ja",VLOOKUP($B129,Miljö!$B$1:$P$500,MATCH("Fossil andel i procent (%)",Miljö!$B$1:$P$1,0),FALSE)/100,"")</f>
        <v/>
      </c>
      <c r="AV129" s="63" t="str">
        <f t="shared" si="9"/>
        <v>Nej</v>
      </c>
      <c r="AW129" s="63" t="str">
        <f>IF(AV129="ja",VLOOKUP($B129,'Egen hetvattenprod'!$B$1:$AO$500,MATCH("Värmekälla till värmepumpar ()",'Egen hetvattenprod'!$B$1:$AO$1,0),FALSE),"")</f>
        <v/>
      </c>
      <c r="AY129" s="63" t="str">
        <f t="shared" si="10"/>
        <v>Ja</v>
      </c>
      <c r="AZ129" s="77">
        <f>IF($AY129="ja",(VLOOKUP($B129,'Egen hetvattenprod'!$B$1:$BX$550,MATCH(AZ$2,'Egen hetvattenprod'!$B$1:$BX$1,0),FALSE)+VLOOKUP($B129,Kraftvärmeprod!$B$1:$BX$550,MATCH(AZ$2,Kraftvärmeprod!$B$1:$BX$1,0),FALSE))/$AC129,"")</f>
        <v>1</v>
      </c>
      <c r="BA129" s="77">
        <f>IF($AY129="ja",(VLOOKUP($B129,'Egen hetvattenprod'!$B$1:$BX$550,MATCH(BA$2,'Egen hetvattenprod'!$B$1:$BX$1,0),FALSE)+VLOOKUP($B129,Kraftvärmeprod!$B$1:$BX$550,MATCH(BA$2,Kraftvärmeprod!$B$1:$BX$1,0),FALSE))/$AC129,"")</f>
        <v>0</v>
      </c>
      <c r="BB129" s="77">
        <f>IF($AY129="ja",(VLOOKUP($B129,'Egen hetvattenprod'!$B$1:$BX$550,MATCH(BB$2,'Egen hetvattenprod'!$B$1:$BX$1,0),FALSE)+VLOOKUP($B129,Kraftvärmeprod!$B$1:$BX$550,MATCH(BB$2,Kraftvärmeprod!$B$1:$BX$1,0),FALSE))/$AC129,"")</f>
        <v>0</v>
      </c>
      <c r="BC129" s="77">
        <f>IF($AY129="ja",(VLOOKUP($B129,'Egen hetvattenprod'!$B$1:$BX$550,MATCH(BC$2,'Egen hetvattenprod'!$B$1:$BX$1,0),FALSE)+VLOOKUP($B129,Kraftvärmeprod!$B$1:$BX$550,MATCH(BC$2,Kraftvärmeprod!$B$1:$BX$1,0),FALSE))/$AC129,"")</f>
        <v>0</v>
      </c>
      <c r="BD129" s="77">
        <f>IF($AY129="ja",(VLOOKUP($B129,'Egen hetvattenprod'!$B$1:$BX$550,MATCH(BD$2,'Egen hetvattenprod'!$B$1:$BX$1,0),FALSE)+VLOOKUP($B129,Kraftvärmeprod!$B$1:$BX$550,MATCH(BD$2,Kraftvärmeprod!$B$1:$BX$1,0),FALSE))/$AC129,"")</f>
        <v>0</v>
      </c>
      <c r="BF129" s="63" t="str">
        <f t="shared" si="11"/>
        <v>Nej</v>
      </c>
      <c r="BG129" s="63" t="str">
        <f>IF($BF129="ja",VLOOKUP($B129,'Egen hetvattenprod'!$B$1:$BX$550,MATCH("Andelen klimatgaser med fossilt ursprung för avfall ()",'Egen hetvattenprod'!$B$1:$BX$1,0),FALSE),"")</f>
        <v/>
      </c>
      <c r="BH129" s="63" t="str">
        <f>IF($BF129="ja",VLOOKUP($B129,Kraftvärmeprod!$B$1:$BX$550,MATCH("Andelen klimatgaser med fossilt ursprung för avfall ()",Kraftvärmeprod!$B$1:$BX$1,0),FALSE),"")</f>
        <v/>
      </c>
      <c r="BI129" s="63" t="str">
        <f>IF($BF129="ja",VLOOKUP($B129,'Egen hetvattenprod'!$B$1:$BX$550,MATCH("Avfall (GWh)",'Egen hetvattenprod'!$B$1:$BX$1,0),FALSE),"")</f>
        <v/>
      </c>
      <c r="BJ129" s="63" t="str">
        <f>IF($BF129="ja",VLOOKUP($B129,'Slutlig allokering kvv'!$B$1:$BX$550,MATCH("Avfall (GWh)",'Slutlig allokering kvv'!$B$1:$BX$1,0),FALSE),"")</f>
        <v/>
      </c>
      <c r="BK129" s="63" t="str">
        <f>IF($BF129="ja",VLOOKUP($B129,'Köpt hetvatten'!$B$1:$BX$550,MATCH("Avfall i köpt hetvatten",'Köpt hetvatten'!$B$1:$BX$1,0),FALSE),"")</f>
        <v/>
      </c>
      <c r="BL129" s="63" t="str">
        <f>IF($BF129="ja",VLOOKUP($B129,'Egen hetvattenprod'!$B$1:$BX$550,MATCH("Värde enligt ovan. (%)",'Egen hetvattenprod'!$B$1:$BX$1,0),FALSE),"")</f>
        <v/>
      </c>
      <c r="BM129" s="63" t="str">
        <f>IF($BF129="ja",VLOOKUP($B129,Kraftvärmeprod!$B$1:$BX$550,MATCH("Värde enligt ovan. (%)",Kraftvärmeprod!$B$1:$BX$1,0),FALSE),"")</f>
        <v/>
      </c>
    </row>
    <row r="130" spans="1:65" x14ac:dyDescent="0.45">
      <c r="A130" s="63" t="s">
        <v>515</v>
      </c>
      <c r="B130" s="63" t="s">
        <v>516</v>
      </c>
      <c r="C130" s="63">
        <f>VLOOKUP($B130,'Tillförd energi'!$B$1:$AI$720,MATCH(C$2,'Tillförd energi'!$B$1:$AQ$1,0),FALSE)</f>
        <v>0</v>
      </c>
      <c r="D130" s="63">
        <f>VLOOKUP($B130,'Tillförd energi'!$B$1:$AI$720,MATCH(D$2,'Tillförd energi'!$B$1:$AQ$1,0),FALSE)</f>
        <v>2.7716699999999999</v>
      </c>
      <c r="E130" s="63">
        <f>VLOOKUP($B130,'Tillförd energi'!$B$1:$AI$720,MATCH(E$2,'Tillförd energi'!$B$1:$AQ$1,0),FALSE)</f>
        <v>0</v>
      </c>
      <c r="F130" s="63">
        <f>VLOOKUP($B130,'Tillförd energi'!$B$1:$AI$720,MATCH(F$2,'Tillförd energi'!$B$1:$AQ$1,0),FALSE)</f>
        <v>14.03</v>
      </c>
      <c r="G130" s="63">
        <f>VLOOKUP($B130,'Tillförd energi'!$B$1:$AI$720,MATCH(G$2,'Tillförd energi'!$B$1:$AQ$1,0),FALSE)</f>
        <v>0</v>
      </c>
      <c r="H130" s="63">
        <f>VLOOKUP($B130,'Tillförd energi'!$B$1:$AI$720,MATCH(H$2,'Tillförd energi'!$B$1:$AQ$1,0),FALSE)</f>
        <v>0</v>
      </c>
      <c r="I130" s="63">
        <f>VLOOKUP($B130,'Tillförd energi'!$B$1:$AI$720,MATCH(I$2,'Tillförd energi'!$B$1:$AQ$1,0),FALSE)</f>
        <v>243.90899999999999</v>
      </c>
      <c r="J130" s="63">
        <f>VLOOKUP($B130,'Tillförd energi'!$B$1:$AI$720,MATCH(J$2,'Tillförd energi'!$B$1:$AQ$1,0),FALSE)</f>
        <v>0</v>
      </c>
      <c r="K130" s="63">
        <f>VLOOKUP($B130,'Tillförd energi'!$B$1:$AI$720,MATCH(K$2,'Tillförd energi'!$B$1:$AQ$1,0),FALSE)</f>
        <v>0</v>
      </c>
      <c r="L130" s="63">
        <f>VLOOKUP($B130,'Tillförd energi'!$B$1:$AI$720,MATCH(L$2,'Tillförd energi'!$B$1:$AQ$1,0),FALSE)</f>
        <v>4.3468499999999999</v>
      </c>
      <c r="M130" s="63">
        <f>VLOOKUP($B130,'Tillförd energi'!$B$1:$AI$720,MATCH(M$2,'Tillförd energi'!$B$1:$AQ$1,0),FALSE)</f>
        <v>28.075299999999999</v>
      </c>
      <c r="N130" s="63">
        <f>VLOOKUP($B130,'Tillförd energi'!$B$1:$AI$720,MATCH(N$2,'Tillförd energi'!$B$1:$AQ$1,0),FALSE)</f>
        <v>128.96700000000001</v>
      </c>
      <c r="O130" s="63">
        <f>VLOOKUP($B130,'Tillförd energi'!$B$1:$AI$720,MATCH(O$2,'Tillförd energi'!$B$1:$AQ$1,0),FALSE)</f>
        <v>4.7709299999999999</v>
      </c>
      <c r="P130" s="63">
        <f>VLOOKUP($B130,'Tillförd energi'!$B$1:$AI$720,MATCH(P$2,'Tillförd energi'!$B$1:$AQ$1,0),FALSE)</f>
        <v>15.0448</v>
      </c>
      <c r="Q130" s="63">
        <f>VLOOKUP($B130,'Tillförd energi'!$B$1:$AI$720,MATCH(Q$2,'Tillförd energi'!$B$1:$AQ$1,0),FALSE)</f>
        <v>47.0227</v>
      </c>
      <c r="R130" s="63">
        <f>VLOOKUP($B130,'Tillförd energi'!$B$1:$AI$720,MATCH(R$2,'Tillförd energi'!$B$1:$AQ$1,0),FALSE)</f>
        <v>13.8</v>
      </c>
      <c r="S130" s="63">
        <f>VLOOKUP($B130,'Tillförd energi'!$B$1:$AI$720,MATCH(S$2,'Tillförd energi'!$B$1:$AQ$1,0),FALSE)</f>
        <v>0</v>
      </c>
      <c r="T130" s="63">
        <f>VLOOKUP($B130,'Tillförd energi'!$B$1:$AI$720,MATCH(T$2,'Tillförd energi'!$B$1:$AQ$1,0),FALSE)</f>
        <v>25.43</v>
      </c>
      <c r="U130" s="63">
        <f>VLOOKUP($B130,'Tillförd energi'!$B$1:$AI$720,MATCH(U$2,'Tillförd energi'!$B$1:$AQ$1,0),FALSE)</f>
        <v>0</v>
      </c>
      <c r="V130" s="63">
        <f>VLOOKUP($B130,'Tillförd energi'!$B$1:$AI$720,MATCH(V$2,'Tillförd energi'!$B$1:$AQ$1,0),FALSE)</f>
        <v>0</v>
      </c>
      <c r="W130" s="63">
        <f>VLOOKUP($B130,'Tillförd energi'!$B$1:$AI$720,MATCH(W$2,'Tillförd energi'!$B$1:$AQ$1,0),FALSE)</f>
        <v>0</v>
      </c>
      <c r="X130" s="63">
        <f>VLOOKUP($B130,'Tillförd energi'!$B$1:$AI$720,MATCH(X$2,'Tillförd energi'!$B$1:$AQ$1,0),FALSE)</f>
        <v>0</v>
      </c>
      <c r="Y130" s="63">
        <f>VLOOKUP($B130,'Tillförd energi'!$B$1:$AI$720,MATCH(Y$2,'Tillförd energi'!$B$1:$AQ$1,0),FALSE)</f>
        <v>0</v>
      </c>
      <c r="Z130" s="63">
        <f>VLOOKUP($B130,'Tillförd energi'!$B$1:$AI$720,MATCH(Z$2,'Tillförd energi'!$B$1:$AQ$1,0),FALSE)</f>
        <v>0</v>
      </c>
      <c r="AA130" s="63">
        <f>VLOOKUP($B130,'Tillförd energi'!$B$1:$AI$720,MATCH(AA$2,'Tillförd energi'!$B$1:$AQ$1,0),FALSE)</f>
        <v>5.0199999999999996</v>
      </c>
      <c r="AB130" s="63">
        <f>VLOOKUP($B130,'Tillförd energi'!$B$1:$AI$720,MATCH(AB$2,'Tillförd energi'!$B$1:$AQ$1,0),FALSE)</f>
        <v>10.74</v>
      </c>
      <c r="AC130" s="63">
        <f>VLOOKUP($B130,'Tillförd energi'!$B$1:$AI$720,MATCH(AC$2,'Tillförd energi'!$B$1:$AQ$1,0),FALSE)</f>
        <v>130.09800000000001</v>
      </c>
      <c r="AD130" s="63">
        <f>VLOOKUP($B130,'Tillförd energi'!$B$1:$AI$720,MATCH(AD$2,'Tillförd energi'!$B$1:$AQ$1,0),FALSE)</f>
        <v>0</v>
      </c>
      <c r="AE130" s="63">
        <f>VLOOKUP($B130,'Tillförd energi'!$B$1:$AI$720,MATCH(AE$2,'Tillförd energi'!$B$1:$AQ$1,0),FALSE)</f>
        <v>0</v>
      </c>
      <c r="AF130" s="63">
        <f>VLOOKUP($B130,'Tillförd energi'!$B$1:$AI$720,MATCH(AF$2,'Tillförd energi'!$B$1:$AQ$1,0),FALSE)</f>
        <v>25.542400000000001</v>
      </c>
      <c r="AG130" s="63">
        <f>IFERROR(VLOOKUP(B130,Miljö!$B$1:$AC$550,MATCH("Köpt mängd produktionsspecifik fjärrvärme:",Miljö!$B$1:$AC$1,0),FALSE)/1,0)</f>
        <v>0</v>
      </c>
      <c r="AI130" s="63">
        <f t="shared" si="6"/>
        <v>699.56865000000016</v>
      </c>
      <c r="AJ130" s="63">
        <f>IF(ISERROR(1/VLOOKUP($B130,Leveranser!$B$1:$S$500,MATCH("såld värme (gwh)",Leveranser!$B$1:$S$1,0),FALSE)),"",VLOOKUP($B130,Leveranser!$B$1:$S$500,MATCH("såld värme (gwh)",Leveranser!$B$1:$S$1,0),FALSE))</f>
        <v>676.178</v>
      </c>
      <c r="AM130" s="63" t="str">
        <f>IF(B130&lt;&gt;"",IF(VLOOKUP($B130,Totalt!$B$1:$AQ$554,MATCH("Kvalitetsgranskad:",Totalt!$B$1:$AQ$1,0),FALSE)="ja",VLOOKUP($B130,Miljö!$B$1:$AG$479,MATCH(AM$2,Miljö!$B$1:$AK$1,0),FALSE),""),"")</f>
        <v>Ja</v>
      </c>
      <c r="AN130" s="63" t="str">
        <f>IF(AM130="ja",VLOOKUP($B130,Miljö!$B$1:$J$479,MATCH("Typ av ursprungsspecificerad el   (Om inget värde anges används Nordisk residualmix, se inforuta) ()",Miljö!$B$1:$J$1,0),FALSE),IF(AM130="nej","Nordisk residualel",""))</f>
        <v>'Mix av förnybara källor'</v>
      </c>
      <c r="AO130" s="63">
        <f>IF(AM130="","",VLOOKUP($B130,Miljö!$B$1:$J$479,MATCH("Fossilandel för ursprungspecificerad el ()",Miljö!$B$1:$J$1,0),FALSE))</f>
        <v>0</v>
      </c>
      <c r="AQ130" s="63">
        <f t="shared" si="7"/>
        <v>1</v>
      </c>
      <c r="AS130" s="63" t="str">
        <f t="shared" si="8"/>
        <v>Nej</v>
      </c>
      <c r="AT130" s="63" t="str">
        <f>IF(AS130="ja",VLOOKUP($B130,Miljö!$B$1:$P$500,MATCH("Fossil andel i procent (%)",Miljö!$B$1:$P$1,0),FALSE)/100,"")</f>
        <v/>
      </c>
      <c r="AV130" s="63" t="str">
        <f t="shared" si="9"/>
        <v>Ja</v>
      </c>
      <c r="AW130" s="63" t="str">
        <f>IF(AV130="ja",VLOOKUP($B130,'Egen hetvattenprod'!$B$1:$AO$500,MATCH("Värmekälla till värmepumpar ()",'Egen hetvattenprod'!$B$1:$AO$1,0),FALSE),"")</f>
        <v>Lågtempererad spillvärme</v>
      </c>
      <c r="AY130" s="63" t="str">
        <f t="shared" si="10"/>
        <v>Ja</v>
      </c>
      <c r="AZ130" s="77">
        <f>IF($AY130="ja",(VLOOKUP($B130,'Egen hetvattenprod'!$B$1:$BX$550,MATCH(AZ$2,'Egen hetvattenprod'!$B$1:$BX$1,0),FALSE)+VLOOKUP($B130,Kraftvärmeprod!$B$1:$BX$550,MATCH(AZ$2,Kraftvärmeprod!$B$1:$BX$1,0),FALSE))/$AC130,"")</f>
        <v>0.63720589094375002</v>
      </c>
      <c r="BA130" s="77">
        <f>IF($AY130="ja",(VLOOKUP($B130,'Egen hetvattenprod'!$B$1:$BX$550,MATCH(BA$2,'Egen hetvattenprod'!$B$1:$BX$1,0),FALSE)+VLOOKUP($B130,Kraftvärmeprod!$B$1:$BX$550,MATCH(BA$2,Kraftvärmeprod!$B$1:$BX$1,0),FALSE))/$AC130,"")</f>
        <v>0.36279410905624987</v>
      </c>
      <c r="BB130" s="77">
        <f>IF($AY130="ja",(VLOOKUP($B130,'Egen hetvattenprod'!$B$1:$BX$550,MATCH(BB$2,'Egen hetvattenprod'!$B$1:$BX$1,0),FALSE)+VLOOKUP($B130,Kraftvärmeprod!$B$1:$BX$550,MATCH(BB$2,Kraftvärmeprod!$B$1:$BX$1,0),FALSE))/$AC130,"")</f>
        <v>0</v>
      </c>
      <c r="BC130" s="77">
        <f>IF($AY130="ja",(VLOOKUP($B130,'Egen hetvattenprod'!$B$1:$BX$550,MATCH(BC$2,'Egen hetvattenprod'!$B$1:$BX$1,0),FALSE)+VLOOKUP($B130,Kraftvärmeprod!$B$1:$BX$550,MATCH(BC$2,Kraftvärmeprod!$B$1:$BX$1,0),FALSE))/$AC130,"")</f>
        <v>0</v>
      </c>
      <c r="BD130" s="77">
        <f>IF($AY130="ja",(VLOOKUP($B130,'Egen hetvattenprod'!$B$1:$BX$550,MATCH(BD$2,'Egen hetvattenprod'!$B$1:$BX$1,0),FALSE)+VLOOKUP($B130,Kraftvärmeprod!$B$1:$BX$550,MATCH(BD$2,Kraftvärmeprod!$B$1:$BX$1,0),FALSE))/$AC130,"")</f>
        <v>0</v>
      </c>
      <c r="BF130" s="63" t="str">
        <f t="shared" si="11"/>
        <v>Ja</v>
      </c>
      <c r="BG130" s="63" t="str">
        <f>IF($BF130="ja",VLOOKUP($B130,'Egen hetvattenprod'!$B$1:$BX$550,MATCH("Andelen klimatgaser med fossilt ursprung för avfall ()",'Egen hetvattenprod'!$B$1:$BX$1,0),FALSE),"")</f>
        <v>ET</v>
      </c>
      <c r="BH130" s="63" t="str">
        <f>IF($BF130="ja",VLOOKUP($B130,Kraftvärmeprod!$B$1:$BX$550,MATCH("Andelen klimatgaser med fossilt ursprung för avfall ()",Kraftvärmeprod!$B$1:$BX$1,0),FALSE),"")</f>
        <v>Schablon</v>
      </c>
      <c r="BI130" s="63" t="str">
        <f>IF($BF130="ja",VLOOKUP($B130,'Egen hetvattenprod'!$B$1:$BX$550,MATCH("Avfall (GWh)",'Egen hetvattenprod'!$B$1:$BX$1,0),FALSE),"")</f>
        <v>ET</v>
      </c>
      <c r="BJ130" s="63">
        <f>IF($BF130="ja",VLOOKUP($B130,'Slutlig allokering kvv'!$B$1:$BX$550,MATCH("Avfall (GWh)",'Slutlig allokering kvv'!$B$1:$BX$1,0),FALSE),"")</f>
        <v>243.90899999999999</v>
      </c>
      <c r="BK130" s="63">
        <f>IF($BF130="ja",VLOOKUP($B130,'Köpt hetvatten'!$B$1:$BX$550,MATCH("Avfall i köpt hetvatten",'Köpt hetvatten'!$B$1:$BX$1,0),FALSE),"")</f>
        <v>0</v>
      </c>
      <c r="BL130" s="63" t="str">
        <f>IF($BF130="ja",VLOOKUP($B130,'Egen hetvattenprod'!$B$1:$BX$550,MATCH("Värde enligt ovan. (%)",'Egen hetvattenprod'!$B$1:$BX$1,0),FALSE),"")</f>
        <v>ET</v>
      </c>
      <c r="BM130" s="63">
        <f>IF($BF130="ja",VLOOKUP($B130,Kraftvärmeprod!$B$1:$BX$550,MATCH("Värde enligt ovan. (%)",Kraftvärmeprod!$B$1:$BX$1,0),FALSE),"")</f>
        <v>37.299999999999997</v>
      </c>
    </row>
    <row r="131" spans="1:65" x14ac:dyDescent="0.45">
      <c r="A131" s="63" t="s">
        <v>515</v>
      </c>
      <c r="B131" s="63" t="s">
        <v>514</v>
      </c>
      <c r="C131" s="63">
        <f>VLOOKUP($B131,'Tillförd energi'!$B$1:$AI$720,MATCH(C$2,'Tillförd energi'!$B$1:$AQ$1,0),FALSE)</f>
        <v>0</v>
      </c>
      <c r="D131" s="63">
        <f>VLOOKUP($B131,'Tillförd energi'!$B$1:$AI$720,MATCH(D$2,'Tillförd energi'!$B$1:$AQ$1,0),FALSE)</f>
        <v>8.6999999999999994E-2</v>
      </c>
      <c r="E131" s="63">
        <f>VLOOKUP($B131,'Tillförd energi'!$B$1:$AI$720,MATCH(E$2,'Tillförd energi'!$B$1:$AQ$1,0),FALSE)</f>
        <v>0</v>
      </c>
      <c r="F131" s="63">
        <f>VLOOKUP($B131,'Tillförd energi'!$B$1:$AI$720,MATCH(F$2,'Tillförd energi'!$B$1:$AQ$1,0),FALSE)</f>
        <v>0</v>
      </c>
      <c r="G131" s="63">
        <f>VLOOKUP($B131,'Tillförd energi'!$B$1:$AI$720,MATCH(G$2,'Tillförd energi'!$B$1:$AQ$1,0),FALSE)</f>
        <v>0</v>
      </c>
      <c r="H131" s="63">
        <f>VLOOKUP($B131,'Tillförd energi'!$B$1:$AI$720,MATCH(H$2,'Tillförd energi'!$B$1:$AQ$1,0),FALSE)</f>
        <v>0</v>
      </c>
      <c r="I131" s="63">
        <f>VLOOKUP($B131,'Tillförd energi'!$B$1:$AI$720,MATCH(I$2,'Tillförd energi'!$B$1:$AQ$1,0),FALSE)</f>
        <v>0</v>
      </c>
      <c r="J131" s="63">
        <f>VLOOKUP($B131,'Tillförd energi'!$B$1:$AI$720,MATCH(J$2,'Tillförd energi'!$B$1:$AQ$1,0),FALSE)</f>
        <v>0</v>
      </c>
      <c r="K131" s="63">
        <f>VLOOKUP($B131,'Tillförd energi'!$B$1:$AI$720,MATCH(K$2,'Tillförd energi'!$B$1:$AQ$1,0),FALSE)</f>
        <v>0</v>
      </c>
      <c r="L131" s="63">
        <f>VLOOKUP($B131,'Tillförd energi'!$B$1:$AI$720,MATCH(L$2,'Tillförd energi'!$B$1:$AQ$1,0),FALSE)</f>
        <v>0</v>
      </c>
      <c r="M131" s="63">
        <f>VLOOKUP($B131,'Tillförd energi'!$B$1:$AI$720,MATCH(M$2,'Tillförd energi'!$B$1:$AQ$1,0),FALSE)</f>
        <v>0</v>
      </c>
      <c r="N131" s="63">
        <f>VLOOKUP($B131,'Tillförd energi'!$B$1:$AI$720,MATCH(N$2,'Tillförd energi'!$B$1:$AQ$1,0),FALSE)</f>
        <v>0</v>
      </c>
      <c r="O131" s="63">
        <f>VLOOKUP($B131,'Tillförd energi'!$B$1:$AI$720,MATCH(O$2,'Tillförd energi'!$B$1:$AQ$1,0),FALSE)</f>
        <v>0</v>
      </c>
      <c r="P131" s="63">
        <f>VLOOKUP($B131,'Tillförd energi'!$B$1:$AI$720,MATCH(P$2,'Tillförd energi'!$B$1:$AQ$1,0),FALSE)</f>
        <v>0</v>
      </c>
      <c r="Q131" s="63">
        <f>VLOOKUP($B131,'Tillförd energi'!$B$1:$AI$720,MATCH(Q$2,'Tillförd energi'!$B$1:$AQ$1,0),FALSE)</f>
        <v>0</v>
      </c>
      <c r="R131" s="63">
        <f>VLOOKUP($B131,'Tillförd energi'!$B$1:$AI$720,MATCH(R$2,'Tillförd energi'!$B$1:$AQ$1,0),FALSE)</f>
        <v>6.5</v>
      </c>
      <c r="S131" s="63">
        <f>VLOOKUP($B131,'Tillförd energi'!$B$1:$AI$720,MATCH(S$2,'Tillförd energi'!$B$1:$AQ$1,0),FALSE)</f>
        <v>0</v>
      </c>
      <c r="T131" s="63">
        <f>VLOOKUP($B131,'Tillförd energi'!$B$1:$AI$720,MATCH(T$2,'Tillförd energi'!$B$1:$AQ$1,0),FALSE)</f>
        <v>0</v>
      </c>
      <c r="U131" s="63">
        <f>VLOOKUP($B131,'Tillförd energi'!$B$1:$AI$720,MATCH(U$2,'Tillförd energi'!$B$1:$AQ$1,0),FALSE)</f>
        <v>0</v>
      </c>
      <c r="V131" s="63">
        <f>VLOOKUP($B131,'Tillförd energi'!$B$1:$AI$720,MATCH(V$2,'Tillförd energi'!$B$1:$AQ$1,0),FALSE)</f>
        <v>0</v>
      </c>
      <c r="W131" s="63">
        <f>VLOOKUP($B131,'Tillförd energi'!$B$1:$AI$720,MATCH(W$2,'Tillförd energi'!$B$1:$AQ$1,0),FALSE)</f>
        <v>0</v>
      </c>
      <c r="X131" s="63">
        <f>VLOOKUP($B131,'Tillförd energi'!$B$1:$AI$720,MATCH(X$2,'Tillförd energi'!$B$1:$AQ$1,0),FALSE)</f>
        <v>0</v>
      </c>
      <c r="Y131" s="63">
        <f>VLOOKUP($B131,'Tillförd energi'!$B$1:$AI$720,MATCH(Y$2,'Tillförd energi'!$B$1:$AQ$1,0),FALSE)</f>
        <v>0</v>
      </c>
      <c r="Z131" s="63">
        <f>VLOOKUP($B131,'Tillförd energi'!$B$1:$AI$720,MATCH(Z$2,'Tillförd energi'!$B$1:$AQ$1,0),FALSE)</f>
        <v>0</v>
      </c>
      <c r="AA131" s="63">
        <f>VLOOKUP($B131,'Tillförd energi'!$B$1:$AI$720,MATCH(AA$2,'Tillförd energi'!$B$1:$AQ$1,0),FALSE)</f>
        <v>0</v>
      </c>
      <c r="AB131" s="63">
        <f>VLOOKUP($B131,'Tillförd energi'!$B$1:$AI$720,MATCH(AB$2,'Tillförd energi'!$B$1:$AQ$1,0),FALSE)</f>
        <v>0</v>
      </c>
      <c r="AC131" s="63">
        <f>VLOOKUP($B131,'Tillförd energi'!$B$1:$AI$720,MATCH(AC$2,'Tillförd energi'!$B$1:$AQ$1,0),FALSE)</f>
        <v>0</v>
      </c>
      <c r="AD131" s="63">
        <f>VLOOKUP($B131,'Tillförd energi'!$B$1:$AI$720,MATCH(AD$2,'Tillförd energi'!$B$1:$AQ$1,0),FALSE)</f>
        <v>0</v>
      </c>
      <c r="AE131" s="63">
        <f>VLOOKUP($B131,'Tillförd energi'!$B$1:$AI$720,MATCH(AE$2,'Tillförd energi'!$B$1:$AQ$1,0),FALSE)</f>
        <v>0</v>
      </c>
      <c r="AF131" s="63">
        <f>VLOOKUP($B131,'Tillförd energi'!$B$1:$AI$720,MATCH(AF$2,'Tillförd energi'!$B$1:$AQ$1,0),FALSE)</f>
        <v>0.112</v>
      </c>
      <c r="AG131" s="63">
        <f>IFERROR(VLOOKUP(B131,Miljö!$B$1:$AC$550,MATCH("Köpt mängd produktionsspecifik fjärrvärme:",Miljö!$B$1:$AC$1,0),FALSE)/1,0)</f>
        <v>0</v>
      </c>
      <c r="AI131" s="63">
        <f t="shared" si="6"/>
        <v>6.6989999999999998</v>
      </c>
      <c r="AJ131" s="63">
        <f>IF(ISERROR(1/VLOOKUP($B131,Leveranser!$B$1:$S$500,MATCH("såld värme (gwh)",Leveranser!$B$1:$S$1,0),FALSE)),"",VLOOKUP($B131,Leveranser!$B$1:$S$500,MATCH("såld värme (gwh)",Leveranser!$B$1:$S$1,0),FALSE))</f>
        <v>5.117</v>
      </c>
      <c r="AM131" s="63" t="str">
        <f>IF(B131&lt;&gt;"",IF(VLOOKUP($B131,Totalt!$B$1:$AQ$554,MATCH("Kvalitetsgranskad:",Totalt!$B$1:$AQ$1,0),FALSE)="ja",VLOOKUP($B131,Miljö!$B$1:$AG$479,MATCH(AM$2,Miljö!$B$1:$AK$1,0),FALSE),""),"")</f>
        <v>Ja</v>
      </c>
      <c r="AN131" s="63" t="str">
        <f>IF(AM131="ja",VLOOKUP($B131,Miljö!$B$1:$J$479,MATCH("Typ av ursprungsspecificerad el   (Om inget värde anges används Nordisk residualmix, se inforuta) ()",Miljö!$B$1:$J$1,0),FALSE),IF(AM131="nej","Nordisk residualel",""))</f>
        <v>'Mix av förnybara källor'</v>
      </c>
      <c r="AO131" s="63">
        <f>IF(AM131="","",VLOOKUP($B131,Miljö!$B$1:$J$479,MATCH("Fossilandel för ursprungspecificerad el ()",Miljö!$B$1:$J$1,0),FALSE))</f>
        <v>0</v>
      </c>
      <c r="AQ131" s="63">
        <f t="shared" si="7"/>
        <v>1</v>
      </c>
      <c r="AS131" s="63" t="str">
        <f t="shared" si="8"/>
        <v>Nej</v>
      </c>
      <c r="AT131" s="63" t="str">
        <f>IF(AS131="ja",VLOOKUP($B131,Miljö!$B$1:$P$500,MATCH("Fossil andel i procent (%)",Miljö!$B$1:$P$1,0),FALSE)/100,"")</f>
        <v/>
      </c>
      <c r="AV131" s="63" t="str">
        <f t="shared" si="9"/>
        <v>Nej</v>
      </c>
      <c r="AW131" s="63" t="str">
        <f>IF(AV131="ja",VLOOKUP($B131,'Egen hetvattenprod'!$B$1:$AO$500,MATCH("Värmekälla till värmepumpar ()",'Egen hetvattenprod'!$B$1:$AO$1,0),FALSE),"")</f>
        <v/>
      </c>
      <c r="AY131" s="63" t="str">
        <f t="shared" si="10"/>
        <v>Nej</v>
      </c>
      <c r="AZ131" s="77" t="str">
        <f>IF($AY131="ja",(VLOOKUP($B131,'Egen hetvattenprod'!$B$1:$BX$550,MATCH(AZ$2,'Egen hetvattenprod'!$B$1:$BX$1,0),FALSE)+VLOOKUP($B131,Kraftvärmeprod!$B$1:$BX$550,MATCH(AZ$2,Kraftvärmeprod!$B$1:$BX$1,0),FALSE))/$AC131,"")</f>
        <v/>
      </c>
      <c r="BA131" s="77" t="str">
        <f>IF($AY131="ja",(VLOOKUP($B131,'Egen hetvattenprod'!$B$1:$BX$550,MATCH(BA$2,'Egen hetvattenprod'!$B$1:$BX$1,0),FALSE)+VLOOKUP($B131,Kraftvärmeprod!$B$1:$BX$550,MATCH(BA$2,Kraftvärmeprod!$B$1:$BX$1,0),FALSE))/$AC131,"")</f>
        <v/>
      </c>
      <c r="BB131" s="77" t="str">
        <f>IF($AY131="ja",(VLOOKUP($B131,'Egen hetvattenprod'!$B$1:$BX$550,MATCH(BB$2,'Egen hetvattenprod'!$B$1:$BX$1,0),FALSE)+VLOOKUP($B131,Kraftvärmeprod!$B$1:$BX$550,MATCH(BB$2,Kraftvärmeprod!$B$1:$BX$1,0),FALSE))/$AC131,"")</f>
        <v/>
      </c>
      <c r="BC131" s="77" t="str">
        <f>IF($AY131="ja",(VLOOKUP($B131,'Egen hetvattenprod'!$B$1:$BX$550,MATCH(BC$2,'Egen hetvattenprod'!$B$1:$BX$1,0),FALSE)+VLOOKUP($B131,Kraftvärmeprod!$B$1:$BX$550,MATCH(BC$2,Kraftvärmeprod!$B$1:$BX$1,0),FALSE))/$AC131,"")</f>
        <v/>
      </c>
      <c r="BD131" s="77" t="str">
        <f>IF($AY131="ja",(VLOOKUP($B131,'Egen hetvattenprod'!$B$1:$BX$550,MATCH(BD$2,'Egen hetvattenprod'!$B$1:$BX$1,0),FALSE)+VLOOKUP($B131,Kraftvärmeprod!$B$1:$BX$550,MATCH(BD$2,Kraftvärmeprod!$B$1:$BX$1,0),FALSE))/$AC131,"")</f>
        <v/>
      </c>
      <c r="BF131" s="63" t="str">
        <f t="shared" si="11"/>
        <v>Nej</v>
      </c>
      <c r="BG131" s="63" t="str">
        <f>IF($BF131="ja",VLOOKUP($B131,'Egen hetvattenprod'!$B$1:$BX$550,MATCH("Andelen klimatgaser med fossilt ursprung för avfall ()",'Egen hetvattenprod'!$B$1:$BX$1,0),FALSE),"")</f>
        <v/>
      </c>
      <c r="BH131" s="63" t="str">
        <f>IF($BF131="ja",VLOOKUP($B131,Kraftvärmeprod!$B$1:$BX$550,MATCH("Andelen klimatgaser med fossilt ursprung för avfall ()",Kraftvärmeprod!$B$1:$BX$1,0),FALSE),"")</f>
        <v/>
      </c>
      <c r="BI131" s="63" t="str">
        <f>IF($BF131="ja",VLOOKUP($B131,'Egen hetvattenprod'!$B$1:$BX$550,MATCH("Avfall (GWh)",'Egen hetvattenprod'!$B$1:$BX$1,0),FALSE),"")</f>
        <v/>
      </c>
      <c r="BJ131" s="63" t="str">
        <f>IF($BF131="ja",VLOOKUP($B131,'Slutlig allokering kvv'!$B$1:$BX$550,MATCH("Avfall (GWh)",'Slutlig allokering kvv'!$B$1:$BX$1,0),FALSE),"")</f>
        <v/>
      </c>
      <c r="BK131" s="63" t="str">
        <f>IF($BF131="ja",VLOOKUP($B131,'Köpt hetvatten'!$B$1:$BX$550,MATCH("Avfall i köpt hetvatten",'Köpt hetvatten'!$B$1:$BX$1,0),FALSE),"")</f>
        <v/>
      </c>
      <c r="BL131" s="63" t="str">
        <f>IF($BF131="ja",VLOOKUP($B131,'Egen hetvattenprod'!$B$1:$BX$550,MATCH("Värde enligt ovan. (%)",'Egen hetvattenprod'!$B$1:$BX$1,0),FALSE),"")</f>
        <v/>
      </c>
      <c r="BM131" s="63" t="str">
        <f>IF($BF131="ja",VLOOKUP($B131,Kraftvärmeprod!$B$1:$BX$550,MATCH("Värde enligt ovan. (%)",Kraftvärmeprod!$B$1:$BX$1,0),FALSE),"")</f>
        <v/>
      </c>
    </row>
    <row r="132" spans="1:65" x14ac:dyDescent="0.45">
      <c r="A132" s="63" t="s">
        <v>513</v>
      </c>
      <c r="B132" s="63" t="s">
        <v>512</v>
      </c>
      <c r="C132" s="63">
        <f>VLOOKUP($B132,'Tillförd energi'!$B$1:$AI$720,MATCH(C$2,'Tillförd energi'!$B$1:$AQ$1,0),FALSE)</f>
        <v>0</v>
      </c>
      <c r="D132" s="63">
        <f>VLOOKUP($B132,'Tillförd energi'!$B$1:$AI$720,MATCH(D$2,'Tillförd energi'!$B$1:$AQ$1,0),FALSE)</f>
        <v>1.76</v>
      </c>
      <c r="E132" s="63">
        <f>VLOOKUP($B132,'Tillförd energi'!$B$1:$AI$720,MATCH(E$2,'Tillförd energi'!$B$1:$AQ$1,0),FALSE)</f>
        <v>0</v>
      </c>
      <c r="F132" s="63">
        <f>VLOOKUP($B132,'Tillförd energi'!$B$1:$AI$720,MATCH(F$2,'Tillförd energi'!$B$1:$AQ$1,0),FALSE)</f>
        <v>3.27</v>
      </c>
      <c r="G132" s="63">
        <f>VLOOKUP($B132,'Tillförd energi'!$B$1:$AI$720,MATCH(G$2,'Tillförd energi'!$B$1:$AQ$1,0),FALSE)</f>
        <v>0</v>
      </c>
      <c r="H132" s="63">
        <f>VLOOKUP($B132,'Tillförd energi'!$B$1:$AI$720,MATCH(H$2,'Tillförd energi'!$B$1:$AQ$1,0),FALSE)</f>
        <v>0</v>
      </c>
      <c r="I132" s="63">
        <f>VLOOKUP($B132,'Tillförd energi'!$B$1:$AI$720,MATCH(I$2,'Tillförd energi'!$B$1:$AQ$1,0),FALSE)</f>
        <v>0</v>
      </c>
      <c r="J132" s="63">
        <f>VLOOKUP($B132,'Tillförd energi'!$B$1:$AI$720,MATCH(J$2,'Tillförd energi'!$B$1:$AQ$1,0),FALSE)</f>
        <v>0</v>
      </c>
      <c r="K132" s="63">
        <f>VLOOKUP($B132,'Tillförd energi'!$B$1:$AI$720,MATCH(K$2,'Tillförd energi'!$B$1:$AQ$1,0),FALSE)</f>
        <v>0</v>
      </c>
      <c r="L132" s="63">
        <f>VLOOKUP($B132,'Tillförd energi'!$B$1:$AI$720,MATCH(L$2,'Tillförd energi'!$B$1:$AQ$1,0),FALSE)</f>
        <v>0</v>
      </c>
      <c r="M132" s="63">
        <f>VLOOKUP($B132,'Tillförd energi'!$B$1:$AI$720,MATCH(M$2,'Tillförd energi'!$B$1:$AQ$1,0),FALSE)</f>
        <v>52.7042</v>
      </c>
      <c r="N132" s="63">
        <f>VLOOKUP($B132,'Tillförd energi'!$B$1:$AI$720,MATCH(N$2,'Tillförd energi'!$B$1:$AQ$1,0),FALSE)</f>
        <v>142.80099999999999</v>
      </c>
      <c r="O132" s="63">
        <f>VLOOKUP($B132,'Tillförd energi'!$B$1:$AI$720,MATCH(O$2,'Tillförd energi'!$B$1:$AQ$1,0),FALSE)</f>
        <v>28.366800000000001</v>
      </c>
      <c r="P132" s="63">
        <f>VLOOKUP($B132,'Tillförd energi'!$B$1:$AI$720,MATCH(P$2,'Tillförd energi'!$B$1:$AQ$1,0),FALSE)</f>
        <v>0.53724899999999998</v>
      </c>
      <c r="Q132" s="63">
        <f>VLOOKUP($B132,'Tillförd energi'!$B$1:$AI$720,MATCH(Q$2,'Tillförd energi'!$B$1:$AQ$1,0),FALSE)</f>
        <v>0</v>
      </c>
      <c r="R132" s="63">
        <f>VLOOKUP($B132,'Tillförd energi'!$B$1:$AI$720,MATCH(R$2,'Tillförd energi'!$B$1:$AQ$1,0),FALSE)</f>
        <v>0</v>
      </c>
      <c r="S132" s="63">
        <f>VLOOKUP($B132,'Tillförd energi'!$B$1:$AI$720,MATCH(S$2,'Tillförd energi'!$B$1:$AQ$1,0),FALSE)</f>
        <v>0</v>
      </c>
      <c r="T132" s="63">
        <f>VLOOKUP($B132,'Tillförd energi'!$B$1:$AI$720,MATCH(T$2,'Tillförd energi'!$B$1:$AQ$1,0),FALSE)</f>
        <v>56.4</v>
      </c>
      <c r="U132" s="63">
        <f>VLOOKUP($B132,'Tillförd energi'!$B$1:$AI$720,MATCH(U$2,'Tillförd energi'!$B$1:$AQ$1,0),FALSE)</f>
        <v>0</v>
      </c>
      <c r="V132" s="63">
        <f>VLOOKUP($B132,'Tillförd energi'!$B$1:$AI$720,MATCH(V$2,'Tillförd energi'!$B$1:$AQ$1,0),FALSE)</f>
        <v>0</v>
      </c>
      <c r="W132" s="63">
        <f>VLOOKUP($B132,'Tillförd energi'!$B$1:$AI$720,MATCH(W$2,'Tillförd energi'!$B$1:$AQ$1,0),FALSE)</f>
        <v>0</v>
      </c>
      <c r="X132" s="63">
        <f>VLOOKUP($B132,'Tillförd energi'!$B$1:$AI$720,MATCH(X$2,'Tillförd energi'!$B$1:$AQ$1,0),FALSE)</f>
        <v>0</v>
      </c>
      <c r="Y132" s="63">
        <f>VLOOKUP($B132,'Tillförd energi'!$B$1:$AI$720,MATCH(Y$2,'Tillförd energi'!$B$1:$AQ$1,0),FALSE)</f>
        <v>0</v>
      </c>
      <c r="Z132" s="63">
        <f>VLOOKUP($B132,'Tillförd energi'!$B$1:$AI$720,MATCH(Z$2,'Tillförd energi'!$B$1:$AQ$1,0),FALSE)</f>
        <v>0</v>
      </c>
      <c r="AA132" s="63">
        <f>VLOOKUP($B132,'Tillförd energi'!$B$1:$AI$720,MATCH(AA$2,'Tillförd energi'!$B$1:$AQ$1,0),FALSE)</f>
        <v>0</v>
      </c>
      <c r="AB132" s="63">
        <f>VLOOKUP($B132,'Tillförd energi'!$B$1:$AI$720,MATCH(AB$2,'Tillförd energi'!$B$1:$AQ$1,0),FALSE)</f>
        <v>0</v>
      </c>
      <c r="AC132" s="63">
        <f>VLOOKUP($B132,'Tillförd energi'!$B$1:$AI$720,MATCH(AC$2,'Tillförd energi'!$B$1:$AQ$1,0),FALSE)</f>
        <v>85.5</v>
      </c>
      <c r="AD132" s="63">
        <f>VLOOKUP($B132,'Tillförd energi'!$B$1:$AI$720,MATCH(AD$2,'Tillförd energi'!$B$1:$AQ$1,0),FALSE)</f>
        <v>0</v>
      </c>
      <c r="AE132" s="63">
        <f>VLOOKUP($B132,'Tillförd energi'!$B$1:$AI$720,MATCH(AE$2,'Tillförd energi'!$B$1:$AQ$1,0),FALSE)</f>
        <v>0</v>
      </c>
      <c r="AF132" s="63">
        <f>VLOOKUP($B132,'Tillförd energi'!$B$1:$AI$720,MATCH(AF$2,'Tillförd energi'!$B$1:$AQ$1,0),FALSE)</f>
        <v>16.825800000000001</v>
      </c>
      <c r="AG132" s="63">
        <f>IFERROR(VLOOKUP(B132,Miljö!$B$1:$AC$550,MATCH("Köpt mängd produktionsspecifik fjärrvärme:",Miljö!$B$1:$AC$1,0),FALSE)/1,0)</f>
        <v>0</v>
      </c>
      <c r="AI132" s="63">
        <f t="shared" ref="AI132:AI195" si="12">IF(B132&lt;&gt;"",SUM(C132:AG132),"")</f>
        <v>388.16504900000001</v>
      </c>
      <c r="AJ132" s="63">
        <f>IF(ISERROR(1/VLOOKUP($B132,Leveranser!$B$1:$S$500,MATCH("såld värme (gwh)",Leveranser!$B$1:$S$1,0),FALSE)),"",VLOOKUP($B132,Leveranser!$B$1:$S$500,MATCH("såld värme (gwh)",Leveranser!$B$1:$S$1,0),FALSE))</f>
        <v>355.1</v>
      </c>
      <c r="AM132" s="63" t="str">
        <f>IF(B132&lt;&gt;"",IF(VLOOKUP($B132,Totalt!$B$1:$AQ$554,MATCH("Kvalitetsgranskad:",Totalt!$B$1:$AQ$1,0),FALSE)="ja",VLOOKUP($B132,Miljö!$B$1:$AG$479,MATCH(AM$2,Miljö!$B$1:$AK$1,0),FALSE),""),"")</f>
        <v>Ja</v>
      </c>
      <c r="AN132" s="63" t="str">
        <f>IF(AM132="ja",VLOOKUP($B132,Miljö!$B$1:$J$479,MATCH("Typ av ursprungsspecificerad el   (Om inget värde anges används Nordisk residualmix, se inforuta) ()",Miljö!$B$1:$J$1,0),FALSE),IF(AM132="nej","Nordisk residualel",""))</f>
        <v>'"100% förnybar el"'</v>
      </c>
      <c r="AO132" s="63">
        <f>IF(AM132="","",VLOOKUP($B132,Miljö!$B$1:$J$479,MATCH("Fossilandel för ursprungspecificerad el ()",Miljö!$B$1:$J$1,0),FALSE))</f>
        <v>0</v>
      </c>
      <c r="AQ132" s="63">
        <f t="shared" ref="AQ132:AQ195" si="13">IF(AM132="","",1-AO132-AP132)</f>
        <v>1</v>
      </c>
      <c r="AS132" s="63" t="str">
        <f t="shared" ref="AS132:AS195" si="14">IF(B132&lt;&gt;"",IF(AND(AG132&gt;0,AG132&lt;&gt;""),"Ja","Nej"),"")</f>
        <v>Nej</v>
      </c>
      <c r="AT132" s="63" t="str">
        <f>IF(AS132="ja",VLOOKUP($B132,Miljö!$B$1:$P$500,MATCH("Fossil andel i procent (%)",Miljö!$B$1:$P$1,0),FALSE)/100,"")</f>
        <v/>
      </c>
      <c r="AV132" s="63" t="str">
        <f t="shared" ref="AV132:AV195" si="15">IF(B132&lt;&gt;"",IF(AND(AB132&gt;0,AB132&lt;&gt;""),"Ja","Nej"),"")</f>
        <v>Nej</v>
      </c>
      <c r="AW132" s="63" t="str">
        <f>IF(AV132="ja",VLOOKUP($B132,'Egen hetvattenprod'!$B$1:$AO$500,MATCH("Värmekälla till värmepumpar ()",'Egen hetvattenprod'!$B$1:$AO$1,0),FALSE),"")</f>
        <v/>
      </c>
      <c r="AY132" s="63" t="str">
        <f t="shared" ref="AY132:AY195" si="16">IF(B132&lt;&gt;"",IF(AND(AC132&gt;0,AC132&lt;&gt;""),"Ja","Nej"),"")</f>
        <v>Ja</v>
      </c>
      <c r="AZ132" s="77">
        <f>IF($AY132="ja",(VLOOKUP($B132,'Egen hetvattenprod'!$B$1:$BX$550,MATCH(AZ$2,'Egen hetvattenprod'!$B$1:$BX$1,0),FALSE)+VLOOKUP($B132,Kraftvärmeprod!$B$1:$BX$550,MATCH(AZ$2,Kraftvärmeprod!$B$1:$BX$1,0),FALSE))/$AC132,"")</f>
        <v>1</v>
      </c>
      <c r="BA132" s="77">
        <f>IF($AY132="ja",(VLOOKUP($B132,'Egen hetvattenprod'!$B$1:$BX$550,MATCH(BA$2,'Egen hetvattenprod'!$B$1:$BX$1,0),FALSE)+VLOOKUP($B132,Kraftvärmeprod!$B$1:$BX$550,MATCH(BA$2,Kraftvärmeprod!$B$1:$BX$1,0),FALSE))/$AC132,"")</f>
        <v>0</v>
      </c>
      <c r="BB132" s="77">
        <f>IF($AY132="ja",(VLOOKUP($B132,'Egen hetvattenprod'!$B$1:$BX$550,MATCH(BB$2,'Egen hetvattenprod'!$B$1:$BX$1,0),FALSE)+VLOOKUP($B132,Kraftvärmeprod!$B$1:$BX$550,MATCH(BB$2,Kraftvärmeprod!$B$1:$BX$1,0),FALSE))/$AC132,"")</f>
        <v>0</v>
      </c>
      <c r="BC132" s="77">
        <f>IF($AY132="ja",(VLOOKUP($B132,'Egen hetvattenprod'!$B$1:$BX$550,MATCH(BC$2,'Egen hetvattenprod'!$B$1:$BX$1,0),FALSE)+VLOOKUP($B132,Kraftvärmeprod!$B$1:$BX$550,MATCH(BC$2,Kraftvärmeprod!$B$1:$BX$1,0),FALSE))/$AC132,"")</f>
        <v>0</v>
      </c>
      <c r="BD132" s="77">
        <f>IF($AY132="ja",(VLOOKUP($B132,'Egen hetvattenprod'!$B$1:$BX$550,MATCH(BD$2,'Egen hetvattenprod'!$B$1:$BX$1,0),FALSE)+VLOOKUP($B132,Kraftvärmeprod!$B$1:$BX$550,MATCH(BD$2,Kraftvärmeprod!$B$1:$BX$1,0),FALSE))/$AC132,"")</f>
        <v>0</v>
      </c>
      <c r="BF132" s="63" t="str">
        <f t="shared" ref="BF132:BF195" si="17">IF(B132&lt;&gt;"",IF(AND(I132&gt;0,I132&lt;&gt;""),"Ja","Nej"),"")</f>
        <v>Nej</v>
      </c>
      <c r="BG132" s="63" t="str">
        <f>IF($BF132="ja",VLOOKUP($B132,'Egen hetvattenprod'!$B$1:$BX$550,MATCH("Andelen klimatgaser med fossilt ursprung för avfall ()",'Egen hetvattenprod'!$B$1:$BX$1,0),FALSE),"")</f>
        <v/>
      </c>
      <c r="BH132" s="63" t="str">
        <f>IF($BF132="ja",VLOOKUP($B132,Kraftvärmeprod!$B$1:$BX$550,MATCH("Andelen klimatgaser med fossilt ursprung för avfall ()",Kraftvärmeprod!$B$1:$BX$1,0),FALSE),"")</f>
        <v/>
      </c>
      <c r="BI132" s="63" t="str">
        <f>IF($BF132="ja",VLOOKUP($B132,'Egen hetvattenprod'!$B$1:$BX$550,MATCH("Avfall (GWh)",'Egen hetvattenprod'!$B$1:$BX$1,0),FALSE),"")</f>
        <v/>
      </c>
      <c r="BJ132" s="63" t="str">
        <f>IF($BF132="ja",VLOOKUP($B132,'Slutlig allokering kvv'!$B$1:$BX$550,MATCH("Avfall (GWh)",'Slutlig allokering kvv'!$B$1:$BX$1,0),FALSE),"")</f>
        <v/>
      </c>
      <c r="BK132" s="63" t="str">
        <f>IF($BF132="ja",VLOOKUP($B132,'Köpt hetvatten'!$B$1:$BX$550,MATCH("Avfall i köpt hetvatten",'Köpt hetvatten'!$B$1:$BX$1,0),FALSE),"")</f>
        <v/>
      </c>
      <c r="BL132" s="63" t="str">
        <f>IF($BF132="ja",VLOOKUP($B132,'Egen hetvattenprod'!$B$1:$BX$550,MATCH("Värde enligt ovan. (%)",'Egen hetvattenprod'!$B$1:$BX$1,0),FALSE),"")</f>
        <v/>
      </c>
      <c r="BM132" s="63" t="str">
        <f>IF($BF132="ja",VLOOKUP($B132,Kraftvärmeprod!$B$1:$BX$550,MATCH("Värde enligt ovan. (%)",Kraftvärmeprod!$B$1:$BX$1,0),FALSE),"")</f>
        <v/>
      </c>
    </row>
    <row r="133" spans="1:65" x14ac:dyDescent="0.45">
      <c r="A133" s="63" t="s">
        <v>511</v>
      </c>
      <c r="B133" s="63" t="s">
        <v>80</v>
      </c>
      <c r="C133" s="63">
        <f>VLOOKUP($B133,'Tillförd energi'!$B$1:$AI$720,MATCH(C$2,'Tillförd energi'!$B$1:$AQ$1,0),FALSE)</f>
        <v>0</v>
      </c>
      <c r="D133" s="63">
        <f>VLOOKUP($B133,'Tillförd energi'!$B$1:$AI$720,MATCH(D$2,'Tillförd energi'!$B$1:$AQ$1,0),FALSE)</f>
        <v>0.52</v>
      </c>
      <c r="E133" s="63">
        <f>VLOOKUP($B133,'Tillförd energi'!$B$1:$AI$720,MATCH(E$2,'Tillförd energi'!$B$1:$AQ$1,0),FALSE)</f>
        <v>0</v>
      </c>
      <c r="F133" s="63">
        <f>VLOOKUP($B133,'Tillförd energi'!$B$1:$AI$720,MATCH(F$2,'Tillförd energi'!$B$1:$AQ$1,0),FALSE)</f>
        <v>0</v>
      </c>
      <c r="G133" s="63">
        <f>VLOOKUP($B133,'Tillförd energi'!$B$1:$AI$720,MATCH(G$2,'Tillförd energi'!$B$1:$AQ$1,0),FALSE)</f>
        <v>0</v>
      </c>
      <c r="H133" s="63">
        <f>VLOOKUP($B133,'Tillförd energi'!$B$1:$AI$720,MATCH(H$2,'Tillförd energi'!$B$1:$AQ$1,0),FALSE)</f>
        <v>0</v>
      </c>
      <c r="I133" s="63">
        <f>VLOOKUP($B133,'Tillförd energi'!$B$1:$AI$720,MATCH(I$2,'Tillförd energi'!$B$1:$AQ$1,0),FALSE)</f>
        <v>0</v>
      </c>
      <c r="J133" s="63">
        <f>VLOOKUP($B133,'Tillförd energi'!$B$1:$AI$720,MATCH(J$2,'Tillförd energi'!$B$1:$AQ$1,0),FALSE)</f>
        <v>0</v>
      </c>
      <c r="K133" s="63">
        <f>VLOOKUP($B133,'Tillförd energi'!$B$1:$AI$720,MATCH(K$2,'Tillförd energi'!$B$1:$AQ$1,0),FALSE)</f>
        <v>0</v>
      </c>
      <c r="L133" s="63">
        <f>VLOOKUP($B133,'Tillförd energi'!$B$1:$AI$720,MATCH(L$2,'Tillförd energi'!$B$1:$AQ$1,0),FALSE)</f>
        <v>0</v>
      </c>
      <c r="M133" s="63">
        <f>VLOOKUP($B133,'Tillförd energi'!$B$1:$AI$720,MATCH(M$2,'Tillförd energi'!$B$1:$AQ$1,0),FALSE)</f>
        <v>0</v>
      </c>
      <c r="N133" s="63">
        <f>VLOOKUP($B133,'Tillförd energi'!$B$1:$AI$720,MATCH(N$2,'Tillförd energi'!$B$1:$AQ$1,0),FALSE)</f>
        <v>0</v>
      </c>
      <c r="O133" s="63">
        <f>VLOOKUP($B133,'Tillförd energi'!$B$1:$AI$720,MATCH(O$2,'Tillförd energi'!$B$1:$AQ$1,0),FALSE)</f>
        <v>0</v>
      </c>
      <c r="P133" s="63">
        <f>VLOOKUP($B133,'Tillförd energi'!$B$1:$AI$720,MATCH(P$2,'Tillförd energi'!$B$1:$AQ$1,0),FALSE)</f>
        <v>17.600000000000001</v>
      </c>
      <c r="Q133" s="63">
        <f>VLOOKUP($B133,'Tillförd energi'!$B$1:$AI$720,MATCH(Q$2,'Tillförd energi'!$B$1:$AQ$1,0),FALSE)</f>
        <v>0</v>
      </c>
      <c r="R133" s="63">
        <f>VLOOKUP($B133,'Tillförd energi'!$B$1:$AI$720,MATCH(R$2,'Tillförd energi'!$B$1:$AQ$1,0),FALSE)</f>
        <v>0</v>
      </c>
      <c r="S133" s="63">
        <f>VLOOKUP($B133,'Tillförd energi'!$B$1:$AI$720,MATCH(S$2,'Tillförd energi'!$B$1:$AQ$1,0),FALSE)</f>
        <v>0</v>
      </c>
      <c r="T133" s="63">
        <f>VLOOKUP($B133,'Tillförd energi'!$B$1:$AI$720,MATCH(T$2,'Tillförd energi'!$B$1:$AQ$1,0),FALSE)</f>
        <v>0</v>
      </c>
      <c r="U133" s="63">
        <f>VLOOKUP($B133,'Tillförd energi'!$B$1:$AI$720,MATCH(U$2,'Tillförd energi'!$B$1:$AQ$1,0),FALSE)</f>
        <v>0</v>
      </c>
      <c r="V133" s="63">
        <f>VLOOKUP($B133,'Tillförd energi'!$B$1:$AI$720,MATCH(V$2,'Tillförd energi'!$B$1:$AQ$1,0),FALSE)</f>
        <v>0</v>
      </c>
      <c r="W133" s="63">
        <f>VLOOKUP($B133,'Tillförd energi'!$B$1:$AI$720,MATCH(W$2,'Tillförd energi'!$B$1:$AQ$1,0),FALSE)</f>
        <v>0</v>
      </c>
      <c r="X133" s="63">
        <f>VLOOKUP($B133,'Tillförd energi'!$B$1:$AI$720,MATCH(X$2,'Tillförd energi'!$B$1:$AQ$1,0),FALSE)</f>
        <v>0</v>
      </c>
      <c r="Y133" s="63">
        <f>VLOOKUP($B133,'Tillförd energi'!$B$1:$AI$720,MATCH(Y$2,'Tillförd energi'!$B$1:$AQ$1,0),FALSE)</f>
        <v>0</v>
      </c>
      <c r="Z133" s="63">
        <f>VLOOKUP($B133,'Tillförd energi'!$B$1:$AI$720,MATCH(Z$2,'Tillförd energi'!$B$1:$AQ$1,0),FALSE)</f>
        <v>0</v>
      </c>
      <c r="AA133" s="63">
        <f>VLOOKUP($B133,'Tillförd energi'!$B$1:$AI$720,MATCH(AA$2,'Tillförd energi'!$B$1:$AQ$1,0),FALSE)</f>
        <v>0</v>
      </c>
      <c r="AB133" s="63">
        <f>VLOOKUP($B133,'Tillförd energi'!$B$1:$AI$720,MATCH(AB$2,'Tillförd energi'!$B$1:$AQ$1,0),FALSE)</f>
        <v>0</v>
      </c>
      <c r="AC133" s="63">
        <f>VLOOKUP($B133,'Tillförd energi'!$B$1:$AI$720,MATCH(AC$2,'Tillförd energi'!$B$1:$AQ$1,0),FALSE)</f>
        <v>0</v>
      </c>
      <c r="AD133" s="63">
        <f>VLOOKUP($B133,'Tillförd energi'!$B$1:$AI$720,MATCH(AD$2,'Tillförd energi'!$B$1:$AQ$1,0),FALSE)</f>
        <v>0</v>
      </c>
      <c r="AE133" s="63">
        <f>VLOOKUP($B133,'Tillförd energi'!$B$1:$AI$720,MATCH(AE$2,'Tillförd energi'!$B$1:$AQ$1,0),FALSE)</f>
        <v>0</v>
      </c>
      <c r="AF133" s="63">
        <f>VLOOKUP($B133,'Tillförd energi'!$B$1:$AI$720,MATCH(AF$2,'Tillförd energi'!$B$1:$AQ$1,0),FALSE)</f>
        <v>0.44400000000000001</v>
      </c>
      <c r="AG133" s="63">
        <f>IFERROR(VLOOKUP(B133,Miljö!$B$1:$AC$550,MATCH("Köpt mängd produktionsspecifik fjärrvärme:",Miljö!$B$1:$AC$1,0),FALSE)/1,0)</f>
        <v>0</v>
      </c>
      <c r="AI133" s="63">
        <f t="shared" si="12"/>
        <v>18.564</v>
      </c>
      <c r="AJ133" s="63">
        <f>IF(ISERROR(1/VLOOKUP($B133,Leveranser!$B$1:$S$500,MATCH("såld värme (gwh)",Leveranser!$B$1:$S$1,0),FALSE)),"",VLOOKUP($B133,Leveranser!$B$1:$S$500,MATCH("såld värme (gwh)",Leveranser!$B$1:$S$1,0),FALSE))</f>
        <v>14.8</v>
      </c>
      <c r="AM133" s="63" t="str">
        <f>IF(B133&lt;&gt;"",IF(VLOOKUP($B133,Totalt!$B$1:$AQ$554,MATCH("Kvalitetsgranskad:",Totalt!$B$1:$AQ$1,0),FALSE)="ja",VLOOKUP($B133,Miljö!$B$1:$AG$479,MATCH(AM$2,Miljö!$B$1:$AK$1,0),FALSE),""),"")</f>
        <v>Ja</v>
      </c>
      <c r="AN133" s="63" t="str">
        <f>IF(AM133="ja",VLOOKUP($B133,Miljö!$B$1:$J$479,MATCH("Typ av ursprungsspecificerad el   (Om inget värde anges används Nordisk residualmix, se inforuta) ()",Miljö!$B$1:$J$1,0),FALSE),IF(AM133="nej","Nordisk residualel",""))</f>
        <v>-</v>
      </c>
      <c r="AO133" s="63">
        <f>IF(AM133="","",VLOOKUP($B133,Miljö!$B$1:$J$479,MATCH("Fossilandel för ursprungspecificerad el ()",Miljö!$B$1:$J$1,0),FALSE))</f>
        <v>0.35399999999999998</v>
      </c>
      <c r="AQ133" s="63">
        <f t="shared" si="13"/>
        <v>0.64600000000000002</v>
      </c>
      <c r="AS133" s="63" t="str">
        <f t="shared" si="14"/>
        <v>Nej</v>
      </c>
      <c r="AT133" s="63" t="str">
        <f>IF(AS133="ja",VLOOKUP($B133,Miljö!$B$1:$P$500,MATCH("Fossil andel i procent (%)",Miljö!$B$1:$P$1,0),FALSE)/100,"")</f>
        <v/>
      </c>
      <c r="AV133" s="63" t="str">
        <f t="shared" si="15"/>
        <v>Nej</v>
      </c>
      <c r="AW133" s="63" t="str">
        <f>IF(AV133="ja",VLOOKUP($B133,'Egen hetvattenprod'!$B$1:$AO$500,MATCH("Värmekälla till värmepumpar ()",'Egen hetvattenprod'!$B$1:$AO$1,0),FALSE),"")</f>
        <v/>
      </c>
      <c r="AY133" s="63" t="str">
        <f t="shared" si="16"/>
        <v>Nej</v>
      </c>
      <c r="AZ133" s="77" t="str">
        <f>IF($AY133="ja",(VLOOKUP($B133,'Egen hetvattenprod'!$B$1:$BX$550,MATCH(AZ$2,'Egen hetvattenprod'!$B$1:$BX$1,0),FALSE)+VLOOKUP($B133,Kraftvärmeprod!$B$1:$BX$550,MATCH(AZ$2,Kraftvärmeprod!$B$1:$BX$1,0),FALSE))/$AC133,"")</f>
        <v/>
      </c>
      <c r="BA133" s="77" t="str">
        <f>IF($AY133="ja",(VLOOKUP($B133,'Egen hetvattenprod'!$B$1:$BX$550,MATCH(BA$2,'Egen hetvattenprod'!$B$1:$BX$1,0),FALSE)+VLOOKUP($B133,Kraftvärmeprod!$B$1:$BX$550,MATCH(BA$2,Kraftvärmeprod!$B$1:$BX$1,0),FALSE))/$AC133,"")</f>
        <v/>
      </c>
      <c r="BB133" s="77" t="str">
        <f>IF($AY133="ja",(VLOOKUP($B133,'Egen hetvattenprod'!$B$1:$BX$550,MATCH(BB$2,'Egen hetvattenprod'!$B$1:$BX$1,0),FALSE)+VLOOKUP($B133,Kraftvärmeprod!$B$1:$BX$550,MATCH(BB$2,Kraftvärmeprod!$B$1:$BX$1,0),FALSE))/$AC133,"")</f>
        <v/>
      </c>
      <c r="BC133" s="77" t="str">
        <f>IF($AY133="ja",(VLOOKUP($B133,'Egen hetvattenprod'!$B$1:$BX$550,MATCH(BC$2,'Egen hetvattenprod'!$B$1:$BX$1,0),FALSE)+VLOOKUP($B133,Kraftvärmeprod!$B$1:$BX$550,MATCH(BC$2,Kraftvärmeprod!$B$1:$BX$1,0),FALSE))/$AC133,"")</f>
        <v/>
      </c>
      <c r="BD133" s="77" t="str">
        <f>IF($AY133="ja",(VLOOKUP($B133,'Egen hetvattenprod'!$B$1:$BX$550,MATCH(BD$2,'Egen hetvattenprod'!$B$1:$BX$1,0),FALSE)+VLOOKUP($B133,Kraftvärmeprod!$B$1:$BX$550,MATCH(BD$2,Kraftvärmeprod!$B$1:$BX$1,0),FALSE))/$AC133,"")</f>
        <v/>
      </c>
      <c r="BF133" s="63" t="str">
        <f t="shared" si="17"/>
        <v>Nej</v>
      </c>
      <c r="BG133" s="63" t="str">
        <f>IF($BF133="ja",VLOOKUP($B133,'Egen hetvattenprod'!$B$1:$BX$550,MATCH("Andelen klimatgaser med fossilt ursprung för avfall ()",'Egen hetvattenprod'!$B$1:$BX$1,0),FALSE),"")</f>
        <v/>
      </c>
      <c r="BH133" s="63" t="str">
        <f>IF($BF133="ja",VLOOKUP($B133,Kraftvärmeprod!$B$1:$BX$550,MATCH("Andelen klimatgaser med fossilt ursprung för avfall ()",Kraftvärmeprod!$B$1:$BX$1,0),FALSE),"")</f>
        <v/>
      </c>
      <c r="BI133" s="63" t="str">
        <f>IF($BF133="ja",VLOOKUP($B133,'Egen hetvattenprod'!$B$1:$BX$550,MATCH("Avfall (GWh)",'Egen hetvattenprod'!$B$1:$BX$1,0),FALSE),"")</f>
        <v/>
      </c>
      <c r="BJ133" s="63" t="str">
        <f>IF($BF133="ja",VLOOKUP($B133,'Slutlig allokering kvv'!$B$1:$BX$550,MATCH("Avfall (GWh)",'Slutlig allokering kvv'!$B$1:$BX$1,0),FALSE),"")</f>
        <v/>
      </c>
      <c r="BK133" s="63" t="str">
        <f>IF($BF133="ja",VLOOKUP($B133,'Köpt hetvatten'!$B$1:$BX$550,MATCH("Avfall i köpt hetvatten",'Köpt hetvatten'!$B$1:$BX$1,0),FALSE),"")</f>
        <v/>
      </c>
      <c r="BL133" s="63" t="str">
        <f>IF($BF133="ja",VLOOKUP($B133,'Egen hetvattenprod'!$B$1:$BX$550,MATCH("Värde enligt ovan. (%)",'Egen hetvattenprod'!$B$1:$BX$1,0),FALSE),"")</f>
        <v/>
      </c>
      <c r="BM133" s="63" t="str">
        <f>IF($BF133="ja",VLOOKUP($B133,Kraftvärmeprod!$B$1:$BX$550,MATCH("Värde enligt ovan. (%)",Kraftvärmeprod!$B$1:$BX$1,0),FALSE),"")</f>
        <v/>
      </c>
    </row>
    <row r="134" spans="1:65" x14ac:dyDescent="0.45">
      <c r="A134" s="63" t="s">
        <v>510</v>
      </c>
      <c r="B134" s="63" t="s">
        <v>509</v>
      </c>
      <c r="C134" s="63">
        <f>VLOOKUP($B134,'Tillförd energi'!$B$1:$AI$720,MATCH(C$2,'Tillförd energi'!$B$1:$AQ$1,0),FALSE)</f>
        <v>0</v>
      </c>
      <c r="D134" s="63">
        <f>VLOOKUP($B134,'Tillförd energi'!$B$1:$AI$720,MATCH(D$2,'Tillförd energi'!$B$1:$AQ$1,0),FALSE)</f>
        <v>0.23</v>
      </c>
      <c r="E134" s="63">
        <f>VLOOKUP($B134,'Tillförd energi'!$B$1:$AI$720,MATCH(E$2,'Tillförd energi'!$B$1:$AQ$1,0),FALSE)</f>
        <v>0</v>
      </c>
      <c r="F134" s="63">
        <f>VLOOKUP($B134,'Tillförd energi'!$B$1:$AI$720,MATCH(F$2,'Tillförd energi'!$B$1:$AQ$1,0),FALSE)</f>
        <v>0</v>
      </c>
      <c r="G134" s="63">
        <f>VLOOKUP($B134,'Tillförd energi'!$B$1:$AI$720,MATCH(G$2,'Tillförd energi'!$B$1:$AQ$1,0),FALSE)</f>
        <v>8.5000000000000006E-2</v>
      </c>
      <c r="H134" s="63">
        <f>VLOOKUP($B134,'Tillförd energi'!$B$1:$AI$720,MATCH(H$2,'Tillförd energi'!$B$1:$AQ$1,0),FALSE)</f>
        <v>0</v>
      </c>
      <c r="I134" s="63">
        <f>VLOOKUP($B134,'Tillförd energi'!$B$1:$AI$720,MATCH(I$2,'Tillförd energi'!$B$1:$AQ$1,0),FALSE)</f>
        <v>0</v>
      </c>
      <c r="J134" s="63">
        <f>VLOOKUP($B134,'Tillförd energi'!$B$1:$AI$720,MATCH(J$2,'Tillförd energi'!$B$1:$AQ$1,0),FALSE)</f>
        <v>0</v>
      </c>
      <c r="K134" s="63">
        <f>VLOOKUP($B134,'Tillförd energi'!$B$1:$AI$720,MATCH(K$2,'Tillförd energi'!$B$1:$AQ$1,0),FALSE)</f>
        <v>0</v>
      </c>
      <c r="L134" s="63">
        <f>VLOOKUP($B134,'Tillförd energi'!$B$1:$AI$720,MATCH(L$2,'Tillförd energi'!$B$1:$AQ$1,0),FALSE)</f>
        <v>0</v>
      </c>
      <c r="M134" s="63">
        <f>VLOOKUP($B134,'Tillförd energi'!$B$1:$AI$720,MATCH(M$2,'Tillförd energi'!$B$1:$AQ$1,0),FALSE)</f>
        <v>0</v>
      </c>
      <c r="N134" s="63">
        <f>VLOOKUP($B134,'Tillförd energi'!$B$1:$AI$720,MATCH(N$2,'Tillförd energi'!$B$1:$AQ$1,0),FALSE)</f>
        <v>0</v>
      </c>
      <c r="O134" s="63">
        <f>VLOOKUP($B134,'Tillförd energi'!$B$1:$AI$720,MATCH(O$2,'Tillförd energi'!$B$1:$AQ$1,0),FALSE)</f>
        <v>0</v>
      </c>
      <c r="P134" s="63">
        <f>VLOOKUP($B134,'Tillförd energi'!$B$1:$AI$720,MATCH(P$2,'Tillförd energi'!$B$1:$AQ$1,0),FALSE)</f>
        <v>0</v>
      </c>
      <c r="Q134" s="63">
        <f>VLOOKUP($B134,'Tillförd energi'!$B$1:$AI$720,MATCH(Q$2,'Tillförd energi'!$B$1:$AQ$1,0),FALSE)</f>
        <v>0</v>
      </c>
      <c r="R134" s="63">
        <f>VLOOKUP($B134,'Tillförd energi'!$B$1:$AI$720,MATCH(R$2,'Tillförd energi'!$B$1:$AQ$1,0),FALSE)</f>
        <v>4.7963500000000003</v>
      </c>
      <c r="S134" s="63">
        <f>VLOOKUP($B134,'Tillförd energi'!$B$1:$AI$720,MATCH(S$2,'Tillförd energi'!$B$1:$AQ$1,0),FALSE)</f>
        <v>0</v>
      </c>
      <c r="T134" s="63">
        <f>VLOOKUP($B134,'Tillförd energi'!$B$1:$AI$720,MATCH(T$2,'Tillförd energi'!$B$1:$AQ$1,0),FALSE)</f>
        <v>0</v>
      </c>
      <c r="U134" s="63">
        <f>VLOOKUP($B134,'Tillförd energi'!$B$1:$AI$720,MATCH(U$2,'Tillförd energi'!$B$1:$AQ$1,0),FALSE)</f>
        <v>0</v>
      </c>
      <c r="V134" s="63">
        <f>VLOOKUP($B134,'Tillförd energi'!$B$1:$AI$720,MATCH(V$2,'Tillförd energi'!$B$1:$AQ$1,0),FALSE)</f>
        <v>0</v>
      </c>
      <c r="W134" s="63">
        <f>VLOOKUP($B134,'Tillförd energi'!$B$1:$AI$720,MATCH(W$2,'Tillförd energi'!$B$1:$AQ$1,0),FALSE)</f>
        <v>0</v>
      </c>
      <c r="X134" s="63">
        <f>VLOOKUP($B134,'Tillförd energi'!$B$1:$AI$720,MATCH(X$2,'Tillförd energi'!$B$1:$AQ$1,0),FALSE)</f>
        <v>0</v>
      </c>
      <c r="Y134" s="63">
        <f>VLOOKUP($B134,'Tillförd energi'!$B$1:$AI$720,MATCH(Y$2,'Tillförd energi'!$B$1:$AQ$1,0),FALSE)</f>
        <v>0</v>
      </c>
      <c r="Z134" s="63">
        <f>VLOOKUP($B134,'Tillförd energi'!$B$1:$AI$720,MATCH(Z$2,'Tillförd energi'!$B$1:$AQ$1,0),FALSE)</f>
        <v>0</v>
      </c>
      <c r="AA134" s="63">
        <f>VLOOKUP($B134,'Tillförd energi'!$B$1:$AI$720,MATCH(AA$2,'Tillförd energi'!$B$1:$AQ$1,0),FALSE)</f>
        <v>0</v>
      </c>
      <c r="AB134" s="63">
        <f>VLOOKUP($B134,'Tillförd energi'!$B$1:$AI$720,MATCH(AB$2,'Tillförd energi'!$B$1:$AQ$1,0),FALSE)</f>
        <v>0</v>
      </c>
      <c r="AC134" s="63">
        <f>VLOOKUP($B134,'Tillförd energi'!$B$1:$AI$720,MATCH(AC$2,'Tillförd energi'!$B$1:$AQ$1,0),FALSE)</f>
        <v>0</v>
      </c>
      <c r="AD134" s="63">
        <f>VLOOKUP($B134,'Tillförd energi'!$B$1:$AI$720,MATCH(AD$2,'Tillförd energi'!$B$1:$AQ$1,0),FALSE)</f>
        <v>180.17699999999999</v>
      </c>
      <c r="AE134" s="63">
        <f>VLOOKUP($B134,'Tillförd energi'!$B$1:$AI$720,MATCH(AE$2,'Tillförd energi'!$B$1:$AQ$1,0),FALSE)</f>
        <v>0</v>
      </c>
      <c r="AF134" s="63">
        <f>VLOOKUP($B134,'Tillförd energi'!$B$1:$AI$720,MATCH(AF$2,'Tillförd energi'!$B$1:$AQ$1,0),FALSE)</f>
        <v>4.84497</v>
      </c>
      <c r="AG134" s="63">
        <f>IFERROR(VLOOKUP(B134,Miljö!$B$1:$AC$550,MATCH("Köpt mängd produktionsspecifik fjärrvärme:",Miljö!$B$1:$AC$1,0),FALSE)/1,0)</f>
        <v>0</v>
      </c>
      <c r="AI134" s="63">
        <f t="shared" si="12"/>
        <v>190.13331999999997</v>
      </c>
      <c r="AJ134" s="63">
        <f>IF(ISERROR(1/VLOOKUP($B134,Leveranser!$B$1:$S$500,MATCH("såld värme (gwh)",Leveranser!$B$1:$S$1,0),FALSE)),"",VLOOKUP($B134,Leveranser!$B$1:$S$500,MATCH("såld värme (gwh)",Leveranser!$B$1:$S$1,0),FALSE))</f>
        <v>161.499</v>
      </c>
      <c r="AM134" s="63" t="str">
        <f>IF(B134&lt;&gt;"",IF(VLOOKUP($B134,Totalt!$B$1:$AQ$554,MATCH("Kvalitetsgranskad:",Totalt!$B$1:$AQ$1,0),FALSE)="ja",VLOOKUP($B134,Miljö!$B$1:$AG$479,MATCH(AM$2,Miljö!$B$1:$AK$1,0),FALSE),""),"")</f>
        <v>Ja</v>
      </c>
      <c r="AN134" s="63" t="str">
        <f>IF(AM134="ja",VLOOKUP($B134,Miljö!$B$1:$J$479,MATCH("Typ av ursprungsspecificerad el   (Om inget värde anges används Nordisk residualmix, se inforuta) ()",Miljö!$B$1:$J$1,0),FALSE),IF(AM134="nej","Nordisk residualel",""))</f>
        <v>'100 % vindkraft'</v>
      </c>
      <c r="AO134" s="63">
        <f>IF(AM134="","",VLOOKUP($B134,Miljö!$B$1:$J$479,MATCH("Fossilandel för ursprungspecificerad el ()",Miljö!$B$1:$J$1,0),FALSE))</f>
        <v>0</v>
      </c>
      <c r="AQ134" s="63">
        <f t="shared" si="13"/>
        <v>1</v>
      </c>
      <c r="AS134" s="63" t="str">
        <f t="shared" si="14"/>
        <v>Nej</v>
      </c>
      <c r="AT134" s="63" t="str">
        <f>IF(AS134="ja",VLOOKUP($B134,Miljö!$B$1:$P$500,MATCH("Fossil andel i procent (%)",Miljö!$B$1:$P$1,0),FALSE)/100,"")</f>
        <v/>
      </c>
      <c r="AV134" s="63" t="str">
        <f t="shared" si="15"/>
        <v>Nej</v>
      </c>
      <c r="AW134" s="63" t="str">
        <f>IF(AV134="ja",VLOOKUP($B134,'Egen hetvattenprod'!$B$1:$AO$500,MATCH("Värmekälla till värmepumpar ()",'Egen hetvattenprod'!$B$1:$AO$1,0),FALSE),"")</f>
        <v/>
      </c>
      <c r="AY134" s="63" t="str">
        <f t="shared" si="16"/>
        <v>Nej</v>
      </c>
      <c r="AZ134" s="77" t="str">
        <f>IF($AY134="ja",(VLOOKUP($B134,'Egen hetvattenprod'!$B$1:$BX$550,MATCH(AZ$2,'Egen hetvattenprod'!$B$1:$BX$1,0),FALSE)+VLOOKUP($B134,Kraftvärmeprod!$B$1:$BX$550,MATCH(AZ$2,Kraftvärmeprod!$B$1:$BX$1,0),FALSE))/$AC134,"")</f>
        <v/>
      </c>
      <c r="BA134" s="77" t="str">
        <f>IF($AY134="ja",(VLOOKUP($B134,'Egen hetvattenprod'!$B$1:$BX$550,MATCH(BA$2,'Egen hetvattenprod'!$B$1:$BX$1,0),FALSE)+VLOOKUP($B134,Kraftvärmeprod!$B$1:$BX$550,MATCH(BA$2,Kraftvärmeprod!$B$1:$BX$1,0),FALSE))/$AC134,"")</f>
        <v/>
      </c>
      <c r="BB134" s="77" t="str">
        <f>IF($AY134="ja",(VLOOKUP($B134,'Egen hetvattenprod'!$B$1:$BX$550,MATCH(BB$2,'Egen hetvattenprod'!$B$1:$BX$1,0),FALSE)+VLOOKUP($B134,Kraftvärmeprod!$B$1:$BX$550,MATCH(BB$2,Kraftvärmeprod!$B$1:$BX$1,0),FALSE))/$AC134,"")</f>
        <v/>
      </c>
      <c r="BC134" s="77" t="str">
        <f>IF($AY134="ja",(VLOOKUP($B134,'Egen hetvattenprod'!$B$1:$BX$550,MATCH(BC$2,'Egen hetvattenprod'!$B$1:$BX$1,0),FALSE)+VLOOKUP($B134,Kraftvärmeprod!$B$1:$BX$550,MATCH(BC$2,Kraftvärmeprod!$B$1:$BX$1,0),FALSE))/$AC134,"")</f>
        <v/>
      </c>
      <c r="BD134" s="77" t="str">
        <f>IF($AY134="ja",(VLOOKUP($B134,'Egen hetvattenprod'!$B$1:$BX$550,MATCH(BD$2,'Egen hetvattenprod'!$B$1:$BX$1,0),FALSE)+VLOOKUP($B134,Kraftvärmeprod!$B$1:$BX$550,MATCH(BD$2,Kraftvärmeprod!$B$1:$BX$1,0),FALSE))/$AC134,"")</f>
        <v/>
      </c>
      <c r="BF134" s="63" t="str">
        <f t="shared" si="17"/>
        <v>Nej</v>
      </c>
      <c r="BG134" s="63" t="str">
        <f>IF($BF134="ja",VLOOKUP($B134,'Egen hetvattenprod'!$B$1:$BX$550,MATCH("Andelen klimatgaser med fossilt ursprung för avfall ()",'Egen hetvattenprod'!$B$1:$BX$1,0),FALSE),"")</f>
        <v/>
      </c>
      <c r="BH134" s="63" t="str">
        <f>IF($BF134="ja",VLOOKUP($B134,Kraftvärmeprod!$B$1:$BX$550,MATCH("Andelen klimatgaser med fossilt ursprung för avfall ()",Kraftvärmeprod!$B$1:$BX$1,0),FALSE),"")</f>
        <v/>
      </c>
      <c r="BI134" s="63" t="str">
        <f>IF($BF134="ja",VLOOKUP($B134,'Egen hetvattenprod'!$B$1:$BX$550,MATCH("Avfall (GWh)",'Egen hetvattenprod'!$B$1:$BX$1,0),FALSE),"")</f>
        <v/>
      </c>
      <c r="BJ134" s="63" t="str">
        <f>IF($BF134="ja",VLOOKUP($B134,'Slutlig allokering kvv'!$B$1:$BX$550,MATCH("Avfall (GWh)",'Slutlig allokering kvv'!$B$1:$BX$1,0),FALSE),"")</f>
        <v/>
      </c>
      <c r="BK134" s="63" t="str">
        <f>IF($BF134="ja",VLOOKUP($B134,'Köpt hetvatten'!$B$1:$BX$550,MATCH("Avfall i köpt hetvatten",'Köpt hetvatten'!$B$1:$BX$1,0),FALSE),"")</f>
        <v/>
      </c>
      <c r="BL134" s="63" t="str">
        <f>IF($BF134="ja",VLOOKUP($B134,'Egen hetvattenprod'!$B$1:$BX$550,MATCH("Värde enligt ovan. (%)",'Egen hetvattenprod'!$B$1:$BX$1,0),FALSE),"")</f>
        <v/>
      </c>
      <c r="BM134" s="63" t="str">
        <f>IF($BF134="ja",VLOOKUP($B134,Kraftvärmeprod!$B$1:$BX$550,MATCH("Värde enligt ovan. (%)",Kraftvärmeprod!$B$1:$BX$1,0),FALSE),"")</f>
        <v/>
      </c>
    </row>
    <row r="135" spans="1:65" x14ac:dyDescent="0.45">
      <c r="A135" s="63" t="s">
        <v>508</v>
      </c>
      <c r="B135" s="63" t="s">
        <v>83</v>
      </c>
      <c r="C135" s="63">
        <f>VLOOKUP($B135,'Tillförd energi'!$B$1:$AI$720,MATCH(C$2,'Tillförd energi'!$B$1:$AQ$1,0),FALSE)</f>
        <v>0</v>
      </c>
      <c r="D135" s="63">
        <f>VLOOKUP($B135,'Tillförd energi'!$B$1:$AI$720,MATCH(D$2,'Tillförd energi'!$B$1:$AQ$1,0),FALSE)</f>
        <v>13.364100000000001</v>
      </c>
      <c r="E135" s="63">
        <f>VLOOKUP($B135,'Tillförd energi'!$B$1:$AI$720,MATCH(E$2,'Tillförd energi'!$B$1:$AQ$1,0),FALSE)</f>
        <v>0</v>
      </c>
      <c r="F135" s="63">
        <f>VLOOKUP($B135,'Tillförd energi'!$B$1:$AI$720,MATCH(F$2,'Tillförd energi'!$B$1:$AQ$1,0),FALSE)</f>
        <v>0</v>
      </c>
      <c r="G135" s="63">
        <f>VLOOKUP($B135,'Tillförd energi'!$B$1:$AI$720,MATCH(G$2,'Tillförd energi'!$B$1:$AQ$1,0),FALSE)</f>
        <v>0</v>
      </c>
      <c r="H135" s="63">
        <f>VLOOKUP($B135,'Tillförd energi'!$B$1:$AI$720,MATCH(H$2,'Tillförd energi'!$B$1:$AQ$1,0),FALSE)</f>
        <v>0</v>
      </c>
      <c r="I135" s="63">
        <f>VLOOKUP($B135,'Tillförd energi'!$B$1:$AI$720,MATCH(I$2,'Tillförd energi'!$B$1:$AQ$1,0),FALSE)</f>
        <v>77.349500000000006</v>
      </c>
      <c r="J135" s="63">
        <f>VLOOKUP($B135,'Tillförd energi'!$B$1:$AI$720,MATCH(J$2,'Tillförd energi'!$B$1:$AQ$1,0),FALSE)</f>
        <v>0</v>
      </c>
      <c r="K135" s="63">
        <f>VLOOKUP($B135,'Tillförd energi'!$B$1:$AI$720,MATCH(K$2,'Tillförd energi'!$B$1:$AQ$1,0),FALSE)</f>
        <v>0</v>
      </c>
      <c r="L135" s="63">
        <f>VLOOKUP($B135,'Tillförd energi'!$B$1:$AI$720,MATCH(L$2,'Tillförd energi'!$B$1:$AQ$1,0),FALSE)</f>
        <v>164.667</v>
      </c>
      <c r="M135" s="63">
        <f>VLOOKUP($B135,'Tillförd energi'!$B$1:$AI$720,MATCH(M$2,'Tillförd energi'!$B$1:$AQ$1,0),FALSE)</f>
        <v>0</v>
      </c>
      <c r="N135" s="63">
        <f>VLOOKUP($B135,'Tillförd energi'!$B$1:$AI$720,MATCH(N$2,'Tillförd energi'!$B$1:$AQ$1,0),FALSE)</f>
        <v>0</v>
      </c>
      <c r="O135" s="63">
        <f>VLOOKUP($B135,'Tillförd energi'!$B$1:$AI$720,MATCH(O$2,'Tillförd energi'!$B$1:$AQ$1,0),FALSE)</f>
        <v>0</v>
      </c>
      <c r="P135" s="63">
        <f>VLOOKUP($B135,'Tillförd energi'!$B$1:$AI$720,MATCH(P$2,'Tillförd energi'!$B$1:$AQ$1,0),FALSE)</f>
        <v>0</v>
      </c>
      <c r="Q135" s="63">
        <f>VLOOKUP($B135,'Tillförd energi'!$B$1:$AI$720,MATCH(Q$2,'Tillförd energi'!$B$1:$AQ$1,0),FALSE)</f>
        <v>0</v>
      </c>
      <c r="R135" s="63">
        <f>VLOOKUP($B135,'Tillförd energi'!$B$1:$AI$720,MATCH(R$2,'Tillförd energi'!$B$1:$AQ$1,0),FALSE)</f>
        <v>0</v>
      </c>
      <c r="S135" s="63">
        <f>VLOOKUP($B135,'Tillförd energi'!$B$1:$AI$720,MATCH(S$2,'Tillförd energi'!$B$1:$AQ$1,0),FALSE)</f>
        <v>0</v>
      </c>
      <c r="T135" s="63">
        <f>VLOOKUP($B135,'Tillförd energi'!$B$1:$AI$720,MATCH(T$2,'Tillförd energi'!$B$1:$AQ$1,0),FALSE)</f>
        <v>0</v>
      </c>
      <c r="U135" s="63">
        <f>VLOOKUP($B135,'Tillförd energi'!$B$1:$AI$720,MATCH(U$2,'Tillförd energi'!$B$1:$AQ$1,0),FALSE)</f>
        <v>5.1349600000000004</v>
      </c>
      <c r="V135" s="63">
        <f>VLOOKUP($B135,'Tillförd energi'!$B$1:$AI$720,MATCH(V$2,'Tillförd energi'!$B$1:$AQ$1,0),FALSE)</f>
        <v>0</v>
      </c>
      <c r="W135" s="63">
        <f>VLOOKUP($B135,'Tillförd energi'!$B$1:$AI$720,MATCH(W$2,'Tillförd energi'!$B$1:$AQ$1,0),FALSE)</f>
        <v>26.711200000000002</v>
      </c>
      <c r="X135" s="63">
        <f>VLOOKUP($B135,'Tillförd energi'!$B$1:$AI$720,MATCH(X$2,'Tillförd energi'!$B$1:$AQ$1,0),FALSE)</f>
        <v>0</v>
      </c>
      <c r="Y135" s="63">
        <f>VLOOKUP($B135,'Tillförd energi'!$B$1:$AI$720,MATCH(Y$2,'Tillförd energi'!$B$1:$AQ$1,0),FALSE)</f>
        <v>43.780700000000003</v>
      </c>
      <c r="Z135" s="63">
        <f>VLOOKUP($B135,'Tillförd energi'!$B$1:$AI$720,MATCH(Z$2,'Tillförd energi'!$B$1:$AQ$1,0),FALSE)</f>
        <v>0</v>
      </c>
      <c r="AA135" s="63">
        <f>VLOOKUP($B135,'Tillförd energi'!$B$1:$AI$720,MATCH(AA$2,'Tillförd energi'!$B$1:$AQ$1,0),FALSE)</f>
        <v>0</v>
      </c>
      <c r="AB135" s="63">
        <f>VLOOKUP($B135,'Tillförd energi'!$B$1:$AI$720,MATCH(AB$2,'Tillförd energi'!$B$1:$AQ$1,0),FALSE)</f>
        <v>0</v>
      </c>
      <c r="AC135" s="63">
        <f>VLOOKUP($B135,'Tillförd energi'!$B$1:$AI$720,MATCH(AC$2,'Tillförd energi'!$B$1:$AQ$1,0),FALSE)</f>
        <v>21.2</v>
      </c>
      <c r="AD135" s="63">
        <f>VLOOKUP($B135,'Tillförd energi'!$B$1:$AI$720,MATCH(AD$2,'Tillförd energi'!$B$1:$AQ$1,0),FALSE)</f>
        <v>0</v>
      </c>
      <c r="AE135" s="63">
        <f>VLOOKUP($B135,'Tillförd energi'!$B$1:$AI$720,MATCH(AE$2,'Tillförd energi'!$B$1:$AQ$1,0),FALSE)</f>
        <v>0</v>
      </c>
      <c r="AF135" s="63">
        <f>VLOOKUP($B135,'Tillförd energi'!$B$1:$AI$720,MATCH(AF$2,'Tillförd energi'!$B$1:$AQ$1,0),FALSE)</f>
        <v>13.707100000000001</v>
      </c>
      <c r="AG135" s="63">
        <f>IFERROR(VLOOKUP(B135,Miljö!$B$1:$AC$550,MATCH("Köpt mängd produktionsspecifik fjärrvärme:",Miljö!$B$1:$AC$1,0),FALSE)/1,0)</f>
        <v>0</v>
      </c>
      <c r="AI135" s="63">
        <f t="shared" si="12"/>
        <v>365.91456000000005</v>
      </c>
      <c r="AJ135" s="63">
        <f>IF(ISERROR(1/VLOOKUP($B135,Leveranser!$B$1:$S$500,MATCH("såld värme (gwh)",Leveranser!$B$1:$S$1,0),FALSE)),"",VLOOKUP($B135,Leveranser!$B$1:$S$500,MATCH("såld värme (gwh)",Leveranser!$B$1:$S$1,0),FALSE))</f>
        <v>301.60000000000002</v>
      </c>
      <c r="AM135" s="63" t="str">
        <f>IF(B135&lt;&gt;"",IF(VLOOKUP($B135,Totalt!$B$1:$AQ$554,MATCH("Kvalitetsgranskad:",Totalt!$B$1:$AQ$1,0),FALSE)="ja",VLOOKUP($B135,Miljö!$B$1:$AG$479,MATCH(AM$2,Miljö!$B$1:$AK$1,0),FALSE),""),"")</f>
        <v>Ja</v>
      </c>
      <c r="AN135" s="63" t="str">
        <f>IF(AM135="ja",VLOOKUP($B135,Miljö!$B$1:$J$479,MATCH("Typ av ursprungsspecificerad el   (Om inget värde anges används Nordisk residualmix, se inforuta) ()",Miljö!$B$1:$J$1,0),FALSE),IF(AM135="nej","Nordisk residualel",""))</f>
        <v>'Vattenkraft'</v>
      </c>
      <c r="AO135" s="63">
        <f>IF(AM135="","",VLOOKUP($B135,Miljö!$B$1:$J$479,MATCH("Fossilandel för ursprungspecificerad el ()",Miljö!$B$1:$J$1,0),FALSE))</f>
        <v>0</v>
      </c>
      <c r="AQ135" s="63">
        <f t="shared" si="13"/>
        <v>1</v>
      </c>
      <c r="AS135" s="63" t="str">
        <f t="shared" si="14"/>
        <v>Nej</v>
      </c>
      <c r="AT135" s="63" t="str">
        <f>IF(AS135="ja",VLOOKUP($B135,Miljö!$B$1:$P$500,MATCH("Fossil andel i procent (%)",Miljö!$B$1:$P$1,0),FALSE)/100,"")</f>
        <v/>
      </c>
      <c r="AV135" s="63" t="str">
        <f t="shared" si="15"/>
        <v>Nej</v>
      </c>
      <c r="AW135" s="63" t="str">
        <f>IF(AV135="ja",VLOOKUP($B135,'Egen hetvattenprod'!$B$1:$AO$500,MATCH("Värmekälla till värmepumpar ()",'Egen hetvattenprod'!$B$1:$AO$1,0),FALSE),"")</f>
        <v/>
      </c>
      <c r="AY135" s="63" t="str">
        <f t="shared" si="16"/>
        <v>Ja</v>
      </c>
      <c r="AZ135" s="77">
        <f>IF($AY135="ja",(VLOOKUP($B135,'Egen hetvattenprod'!$B$1:$BX$550,MATCH(AZ$2,'Egen hetvattenprod'!$B$1:$BX$1,0),FALSE)+VLOOKUP($B135,Kraftvärmeprod!$B$1:$BX$550,MATCH(AZ$2,Kraftvärmeprod!$B$1:$BX$1,0),FALSE))/$AC135,"")</f>
        <v>0.7</v>
      </c>
      <c r="BA135" s="77">
        <f>IF($AY135="ja",(VLOOKUP($B135,'Egen hetvattenprod'!$B$1:$BX$550,MATCH(BA$2,'Egen hetvattenprod'!$B$1:$BX$1,0),FALSE)+VLOOKUP($B135,Kraftvärmeprod!$B$1:$BX$550,MATCH(BA$2,Kraftvärmeprod!$B$1:$BX$1,0),FALSE))/$AC135,"")</f>
        <v>0</v>
      </c>
      <c r="BB135" s="77">
        <f>IF($AY135="ja",(VLOOKUP($B135,'Egen hetvattenprod'!$B$1:$BX$550,MATCH(BB$2,'Egen hetvattenprod'!$B$1:$BX$1,0),FALSE)+VLOOKUP($B135,Kraftvärmeprod!$B$1:$BX$550,MATCH(BB$2,Kraftvärmeprod!$B$1:$BX$1,0),FALSE))/$AC135,"")</f>
        <v>0</v>
      </c>
      <c r="BC135" s="77">
        <f>IF($AY135="ja",(VLOOKUP($B135,'Egen hetvattenprod'!$B$1:$BX$550,MATCH(BC$2,'Egen hetvattenprod'!$B$1:$BX$1,0),FALSE)+VLOOKUP($B135,Kraftvärmeprod!$B$1:$BX$550,MATCH(BC$2,Kraftvärmeprod!$B$1:$BX$1,0),FALSE))/$AC135,"")</f>
        <v>0.3</v>
      </c>
      <c r="BD135" s="77">
        <f>IF($AY135="ja",(VLOOKUP($B135,'Egen hetvattenprod'!$B$1:$BX$550,MATCH(BD$2,'Egen hetvattenprod'!$B$1:$BX$1,0),FALSE)+VLOOKUP($B135,Kraftvärmeprod!$B$1:$BX$550,MATCH(BD$2,Kraftvärmeprod!$B$1:$BX$1,0),FALSE))/$AC135,"")</f>
        <v>1.6758083390568402E-16</v>
      </c>
      <c r="BF135" s="63" t="str">
        <f t="shared" si="17"/>
        <v>Ja</v>
      </c>
      <c r="BG135" s="63" t="str">
        <f>IF($BF135="ja",VLOOKUP($B135,'Egen hetvattenprod'!$B$1:$BX$550,MATCH("Andelen klimatgaser med fossilt ursprung för avfall ()",'Egen hetvattenprod'!$B$1:$BX$1,0),FALSE),"")</f>
        <v>Schablon</v>
      </c>
      <c r="BH135" s="63" t="str">
        <f>IF($BF135="ja",VLOOKUP($B135,Kraftvärmeprod!$B$1:$BX$550,MATCH("Andelen klimatgaser med fossilt ursprung för avfall ()",Kraftvärmeprod!$B$1:$BX$1,0),FALSE),"")</f>
        <v>Schablon</v>
      </c>
      <c r="BI135" s="63" t="str">
        <f>IF($BF135="ja",VLOOKUP($B135,'Egen hetvattenprod'!$B$1:$BX$550,MATCH("Avfall (GWh)",'Egen hetvattenprod'!$B$1:$BX$1,0),FALSE),"")</f>
        <v>ET</v>
      </c>
      <c r="BJ135" s="63">
        <f>IF($BF135="ja",VLOOKUP($B135,'Slutlig allokering kvv'!$B$1:$BX$550,MATCH("Avfall (GWh)",'Slutlig allokering kvv'!$B$1:$BX$1,0),FALSE),"")</f>
        <v>77.349500000000006</v>
      </c>
      <c r="BK135" s="63">
        <f>IF($BF135="ja",VLOOKUP($B135,'Köpt hetvatten'!$B$1:$BX$550,MATCH("Avfall i köpt hetvatten",'Köpt hetvatten'!$B$1:$BX$1,0),FALSE),"")</f>
        <v>0</v>
      </c>
      <c r="BL135" s="63">
        <f>IF($BF135="ja",VLOOKUP($B135,'Egen hetvattenprod'!$B$1:$BX$550,MATCH("Värde enligt ovan. (%)",'Egen hetvattenprod'!$B$1:$BX$1,0),FALSE),"")</f>
        <v>37.299999999999997</v>
      </c>
      <c r="BM135" s="63">
        <f>IF($BF135="ja",VLOOKUP($B135,Kraftvärmeprod!$B$1:$BX$550,MATCH("Värde enligt ovan. (%)",Kraftvärmeprod!$B$1:$BX$1,0),FALSE),"")</f>
        <v>37.299999999999997</v>
      </c>
    </row>
    <row r="136" spans="1:65" x14ac:dyDescent="0.45">
      <c r="A136" s="63" t="s">
        <v>507</v>
      </c>
      <c r="B136" s="63" t="s">
        <v>506</v>
      </c>
      <c r="C136" s="63">
        <f>VLOOKUP($B136,'Tillförd energi'!$B$1:$AI$720,MATCH(C$2,'Tillförd energi'!$B$1:$AQ$1,0),FALSE)</f>
        <v>0</v>
      </c>
      <c r="D136" s="63">
        <f>VLOOKUP($B136,'Tillförd energi'!$B$1:$AI$720,MATCH(D$2,'Tillförd energi'!$B$1:$AQ$1,0),FALSE)</f>
        <v>4.2024900000000001</v>
      </c>
      <c r="E136" s="63">
        <f>VLOOKUP($B136,'Tillförd energi'!$B$1:$AI$720,MATCH(E$2,'Tillförd energi'!$B$1:$AQ$1,0),FALSE)</f>
        <v>0</v>
      </c>
      <c r="F136" s="63">
        <f>VLOOKUP($B136,'Tillförd energi'!$B$1:$AI$720,MATCH(F$2,'Tillförd energi'!$B$1:$AQ$1,0),FALSE)</f>
        <v>0.82925800000000005</v>
      </c>
      <c r="G136" s="63">
        <f>VLOOKUP($B136,'Tillförd energi'!$B$1:$AI$720,MATCH(G$2,'Tillförd energi'!$B$1:$AQ$1,0),FALSE)</f>
        <v>0</v>
      </c>
      <c r="H136" s="63">
        <f>VLOOKUP($B136,'Tillförd energi'!$B$1:$AI$720,MATCH(H$2,'Tillförd energi'!$B$1:$AQ$1,0),FALSE)</f>
        <v>0</v>
      </c>
      <c r="I136" s="63">
        <f>VLOOKUP($B136,'Tillförd energi'!$B$1:$AI$720,MATCH(I$2,'Tillförd energi'!$B$1:$AQ$1,0),FALSE)</f>
        <v>147.36500000000001</v>
      </c>
      <c r="J136" s="63">
        <f>VLOOKUP($B136,'Tillförd energi'!$B$1:$AI$720,MATCH(J$2,'Tillförd energi'!$B$1:$AQ$1,0),FALSE)</f>
        <v>0</v>
      </c>
      <c r="K136" s="63">
        <f>VLOOKUP($B136,'Tillförd energi'!$B$1:$AI$720,MATCH(K$2,'Tillförd energi'!$B$1:$AQ$1,0),FALSE)</f>
        <v>0</v>
      </c>
      <c r="L136" s="63">
        <f>VLOOKUP($B136,'Tillförd energi'!$B$1:$AI$720,MATCH(L$2,'Tillförd energi'!$B$1:$AQ$1,0),FALSE)</f>
        <v>0</v>
      </c>
      <c r="M136" s="63">
        <f>VLOOKUP($B136,'Tillförd energi'!$B$1:$AI$720,MATCH(M$2,'Tillförd energi'!$B$1:$AQ$1,0),FALSE)</f>
        <v>0</v>
      </c>
      <c r="N136" s="63">
        <f>VLOOKUP($B136,'Tillförd energi'!$B$1:$AI$720,MATCH(N$2,'Tillförd energi'!$B$1:$AQ$1,0),FALSE)</f>
        <v>0</v>
      </c>
      <c r="O136" s="63">
        <f>VLOOKUP($B136,'Tillförd energi'!$B$1:$AI$720,MATCH(O$2,'Tillförd energi'!$B$1:$AQ$1,0),FALSE)</f>
        <v>0</v>
      </c>
      <c r="P136" s="63">
        <f>VLOOKUP($B136,'Tillförd energi'!$B$1:$AI$720,MATCH(P$2,'Tillförd energi'!$B$1:$AQ$1,0),FALSE)</f>
        <v>0</v>
      </c>
      <c r="Q136" s="63">
        <f>VLOOKUP($B136,'Tillförd energi'!$B$1:$AI$720,MATCH(Q$2,'Tillförd energi'!$B$1:$AQ$1,0),FALSE)</f>
        <v>333.745</v>
      </c>
      <c r="R136" s="63">
        <f>VLOOKUP($B136,'Tillförd energi'!$B$1:$AI$720,MATCH(R$2,'Tillförd energi'!$B$1:$AQ$1,0),FALSE)</f>
        <v>0</v>
      </c>
      <c r="S136" s="63">
        <f>VLOOKUP($B136,'Tillförd energi'!$B$1:$AI$720,MATCH(S$2,'Tillförd energi'!$B$1:$AQ$1,0),FALSE)</f>
        <v>0</v>
      </c>
      <c r="T136" s="63">
        <f>VLOOKUP($B136,'Tillförd energi'!$B$1:$AI$720,MATCH(T$2,'Tillförd energi'!$B$1:$AQ$1,0),FALSE)</f>
        <v>0</v>
      </c>
      <c r="U136" s="63">
        <f>VLOOKUP($B136,'Tillförd energi'!$B$1:$AI$720,MATCH(U$2,'Tillförd energi'!$B$1:$AQ$1,0),FALSE)</f>
        <v>0</v>
      </c>
      <c r="V136" s="63">
        <f>VLOOKUP($B136,'Tillförd energi'!$B$1:$AI$720,MATCH(V$2,'Tillförd energi'!$B$1:$AQ$1,0),FALSE)</f>
        <v>0</v>
      </c>
      <c r="W136" s="63">
        <f>VLOOKUP($B136,'Tillförd energi'!$B$1:$AI$720,MATCH(W$2,'Tillförd energi'!$B$1:$AQ$1,0),FALSE)</f>
        <v>1.8680000000000001</v>
      </c>
      <c r="X136" s="63">
        <f>VLOOKUP($B136,'Tillförd energi'!$B$1:$AI$720,MATCH(X$2,'Tillförd energi'!$B$1:$AQ$1,0),FALSE)</f>
        <v>0</v>
      </c>
      <c r="Y136" s="63">
        <f>VLOOKUP($B136,'Tillförd energi'!$B$1:$AI$720,MATCH(Y$2,'Tillförd energi'!$B$1:$AQ$1,0),FALSE)</f>
        <v>0</v>
      </c>
      <c r="Z136" s="63">
        <f>VLOOKUP($B136,'Tillförd energi'!$B$1:$AI$720,MATCH(Z$2,'Tillförd energi'!$B$1:$AQ$1,0),FALSE)</f>
        <v>0</v>
      </c>
      <c r="AA136" s="63">
        <f>VLOOKUP($B136,'Tillförd energi'!$B$1:$AI$720,MATCH(AA$2,'Tillförd energi'!$B$1:$AQ$1,0),FALSE)</f>
        <v>0</v>
      </c>
      <c r="AB136" s="63">
        <f>VLOOKUP($B136,'Tillförd energi'!$B$1:$AI$720,MATCH(AB$2,'Tillförd energi'!$B$1:$AQ$1,0),FALSE)</f>
        <v>0</v>
      </c>
      <c r="AC136" s="63">
        <f>VLOOKUP($B136,'Tillförd energi'!$B$1:$AI$720,MATCH(AC$2,'Tillförd energi'!$B$1:$AQ$1,0),FALSE)</f>
        <v>159.352</v>
      </c>
      <c r="AD136" s="63">
        <f>VLOOKUP($B136,'Tillförd energi'!$B$1:$AI$720,MATCH(AD$2,'Tillförd energi'!$B$1:$AQ$1,0),FALSE)</f>
        <v>6.6859999999999999</v>
      </c>
      <c r="AE136" s="63">
        <f>VLOOKUP($B136,'Tillförd energi'!$B$1:$AI$720,MATCH(AE$2,'Tillförd energi'!$B$1:$AQ$1,0),FALSE)</f>
        <v>0</v>
      </c>
      <c r="AF136" s="63">
        <f>VLOOKUP($B136,'Tillförd energi'!$B$1:$AI$720,MATCH(AF$2,'Tillförd energi'!$B$1:$AQ$1,0),FALSE)</f>
        <v>26.802099999999999</v>
      </c>
      <c r="AG136" s="63">
        <f>IFERROR(VLOOKUP(B136,Miljö!$B$1:$AC$550,MATCH("Köpt mängd produktionsspecifik fjärrvärme:",Miljö!$B$1:$AC$1,0),FALSE)/1,0)</f>
        <v>0</v>
      </c>
      <c r="AI136" s="63">
        <f t="shared" si="12"/>
        <v>680.84984800000007</v>
      </c>
      <c r="AJ136" s="63">
        <f>IF(ISERROR(1/VLOOKUP($B136,Leveranser!$B$1:$S$500,MATCH("såld värme (gwh)",Leveranser!$B$1:$S$1,0),FALSE)),"",VLOOKUP($B136,Leveranser!$B$1:$S$500,MATCH("såld värme (gwh)",Leveranser!$B$1:$S$1,0),FALSE))</f>
        <v>558.6</v>
      </c>
      <c r="AM136" s="63" t="str">
        <f>IF(B136&lt;&gt;"",IF(VLOOKUP($B136,Totalt!$B$1:$AQ$554,MATCH("Kvalitetsgranskad:",Totalt!$B$1:$AQ$1,0),FALSE)="ja",VLOOKUP($B136,Miljö!$B$1:$AG$479,MATCH(AM$2,Miljö!$B$1:$AK$1,0),FALSE),""),"")</f>
        <v>Ja</v>
      </c>
      <c r="AN136" s="63" t="str">
        <f>IF(AM136="ja",VLOOKUP($B136,Miljö!$B$1:$J$479,MATCH("Typ av ursprungsspecificerad el   (Om inget värde anges används Nordisk residualmix, se inforuta) ()",Miljö!$B$1:$J$1,0),FALSE),IF(AM136="nej","Nordisk residualel",""))</f>
        <v>'Förnybar'</v>
      </c>
      <c r="AO136" s="63">
        <f>IF(AM136="","",VLOOKUP($B136,Miljö!$B$1:$J$479,MATCH("Fossilandel för ursprungspecificerad el ()",Miljö!$B$1:$J$1,0),FALSE))</f>
        <v>0</v>
      </c>
      <c r="AQ136" s="63">
        <f t="shared" si="13"/>
        <v>1</v>
      </c>
      <c r="AS136" s="63" t="str">
        <f t="shared" si="14"/>
        <v>Nej</v>
      </c>
      <c r="AT136" s="63" t="str">
        <f>IF(AS136="ja",VLOOKUP($B136,Miljö!$B$1:$P$500,MATCH("Fossil andel i procent (%)",Miljö!$B$1:$P$1,0),FALSE)/100,"")</f>
        <v/>
      </c>
      <c r="AV136" s="63" t="str">
        <f t="shared" si="15"/>
        <v>Nej</v>
      </c>
      <c r="AW136" s="63" t="str">
        <f>IF(AV136="ja",VLOOKUP($B136,'Egen hetvattenprod'!$B$1:$AO$500,MATCH("Värmekälla till värmepumpar ()",'Egen hetvattenprod'!$B$1:$AO$1,0),FALSE),"")</f>
        <v/>
      </c>
      <c r="AY136" s="63" t="str">
        <f t="shared" si="16"/>
        <v>Ja</v>
      </c>
      <c r="AZ136" s="77">
        <f>IF($AY136="ja",(VLOOKUP($B136,'Egen hetvattenprod'!$B$1:$BX$550,MATCH(AZ$2,'Egen hetvattenprod'!$B$1:$BX$1,0),FALSE)+VLOOKUP($B136,Kraftvärmeprod!$B$1:$BX$550,MATCH(AZ$2,Kraftvärmeprod!$B$1:$BX$1,0),FALSE))/$AC136,"")</f>
        <v>0.81275415432501641</v>
      </c>
      <c r="BA136" s="77">
        <f>IF($AY136="ja",(VLOOKUP($B136,'Egen hetvattenprod'!$B$1:$BX$550,MATCH(BA$2,'Egen hetvattenprod'!$B$1:$BX$1,0),FALSE)+VLOOKUP($B136,Kraftvärmeprod!$B$1:$BX$550,MATCH(BA$2,Kraftvärmeprod!$B$1:$BX$1,0),FALSE))/$AC136,"")</f>
        <v>0.18724584567498367</v>
      </c>
      <c r="BB136" s="77">
        <f>IF($AY136="ja",(VLOOKUP($B136,'Egen hetvattenprod'!$B$1:$BX$550,MATCH(BB$2,'Egen hetvattenprod'!$B$1:$BX$1,0),FALSE)+VLOOKUP($B136,Kraftvärmeprod!$B$1:$BX$550,MATCH(BB$2,Kraftvärmeprod!$B$1:$BX$1,0),FALSE))/$AC136,"")</f>
        <v>0</v>
      </c>
      <c r="BC136" s="77">
        <f>IF($AY136="ja",(VLOOKUP($B136,'Egen hetvattenprod'!$B$1:$BX$550,MATCH(BC$2,'Egen hetvattenprod'!$B$1:$BX$1,0),FALSE)+VLOOKUP($B136,Kraftvärmeprod!$B$1:$BX$550,MATCH(BC$2,Kraftvärmeprod!$B$1:$BX$1,0),FALSE))/$AC136,"")</f>
        <v>0</v>
      </c>
      <c r="BD136" s="77">
        <f>IF($AY136="ja",(VLOOKUP($B136,'Egen hetvattenprod'!$B$1:$BX$550,MATCH(BD$2,'Egen hetvattenprod'!$B$1:$BX$1,0),FALSE)+VLOOKUP($B136,Kraftvärmeprod!$B$1:$BX$550,MATCH(BD$2,Kraftvärmeprod!$B$1:$BX$1,0),FALSE))/$AC136,"")</f>
        <v>0</v>
      </c>
      <c r="BF136" s="63" t="str">
        <f t="shared" si="17"/>
        <v>Ja</v>
      </c>
      <c r="BG136" s="63" t="str">
        <f>IF($BF136="ja",VLOOKUP($B136,'Egen hetvattenprod'!$B$1:$BX$550,MATCH("Andelen klimatgaser med fossilt ursprung för avfall ()",'Egen hetvattenprod'!$B$1:$BX$1,0),FALSE),"")</f>
        <v>Schablon</v>
      </c>
      <c r="BH136" s="63" t="str">
        <f>IF($BF136="ja",VLOOKUP($B136,Kraftvärmeprod!$B$1:$BX$550,MATCH("Andelen klimatgaser med fossilt ursprung för avfall ()",Kraftvärmeprod!$B$1:$BX$1,0),FALSE),"")</f>
        <v>ET</v>
      </c>
      <c r="BI136" s="63">
        <f>IF($BF136="ja",VLOOKUP($B136,'Egen hetvattenprod'!$B$1:$BX$550,MATCH("Avfall (GWh)",'Egen hetvattenprod'!$B$1:$BX$1,0),FALSE),"")</f>
        <v>147.36500000000001</v>
      </c>
      <c r="BJ136" s="63">
        <f>IF($BF136="ja",VLOOKUP($B136,'Slutlig allokering kvv'!$B$1:$BX$550,MATCH("Avfall (GWh)",'Slutlig allokering kvv'!$B$1:$BX$1,0),FALSE),"")</f>
        <v>0</v>
      </c>
      <c r="BK136" s="63">
        <f>IF($BF136="ja",VLOOKUP($B136,'Köpt hetvatten'!$B$1:$BX$550,MATCH("Avfall i köpt hetvatten",'Köpt hetvatten'!$B$1:$BX$1,0),FALSE),"")</f>
        <v>0</v>
      </c>
      <c r="BL136" s="63">
        <f>IF($BF136="ja",VLOOKUP($B136,'Egen hetvattenprod'!$B$1:$BX$550,MATCH("Värde enligt ovan. (%)",'Egen hetvattenprod'!$B$1:$BX$1,0),FALSE),"")</f>
        <v>37.299999999999997</v>
      </c>
      <c r="BM136" s="63" t="str">
        <f>IF($BF136="ja",VLOOKUP($B136,Kraftvärmeprod!$B$1:$BX$550,MATCH("Värde enligt ovan. (%)",Kraftvärmeprod!$B$1:$BX$1,0),FALSE),"")</f>
        <v>ET</v>
      </c>
    </row>
    <row r="137" spans="1:65" x14ac:dyDescent="0.45">
      <c r="A137" s="63" t="s">
        <v>505</v>
      </c>
      <c r="B137" s="63" t="s">
        <v>504</v>
      </c>
      <c r="C137" s="63">
        <f>VLOOKUP($B137,'Tillförd energi'!$B$1:$AI$720,MATCH(C$2,'Tillförd energi'!$B$1:$AQ$1,0),FALSE)</f>
        <v>0</v>
      </c>
      <c r="D137" s="63">
        <f>VLOOKUP($B137,'Tillförd energi'!$B$1:$AI$720,MATCH(D$2,'Tillförd energi'!$B$1:$AQ$1,0),FALSE)</f>
        <v>0.18</v>
      </c>
      <c r="E137" s="63">
        <f>VLOOKUP($B137,'Tillförd energi'!$B$1:$AI$720,MATCH(E$2,'Tillförd energi'!$B$1:$AQ$1,0),FALSE)</f>
        <v>0</v>
      </c>
      <c r="F137" s="63">
        <f>VLOOKUP($B137,'Tillförd energi'!$B$1:$AI$720,MATCH(F$2,'Tillförd energi'!$B$1:$AQ$1,0),FALSE)</f>
        <v>0</v>
      </c>
      <c r="G137" s="63">
        <f>VLOOKUP($B137,'Tillförd energi'!$B$1:$AI$720,MATCH(G$2,'Tillförd energi'!$B$1:$AQ$1,0),FALSE)</f>
        <v>0</v>
      </c>
      <c r="H137" s="63">
        <f>VLOOKUP($B137,'Tillförd energi'!$B$1:$AI$720,MATCH(H$2,'Tillförd energi'!$B$1:$AQ$1,0),FALSE)</f>
        <v>0</v>
      </c>
      <c r="I137" s="63">
        <f>VLOOKUP($B137,'Tillförd energi'!$B$1:$AI$720,MATCH(I$2,'Tillförd energi'!$B$1:$AQ$1,0),FALSE)</f>
        <v>0</v>
      </c>
      <c r="J137" s="63">
        <f>VLOOKUP($B137,'Tillförd energi'!$B$1:$AI$720,MATCH(J$2,'Tillförd energi'!$B$1:$AQ$1,0),FALSE)</f>
        <v>0.63294099999999998</v>
      </c>
      <c r="K137" s="63">
        <f>VLOOKUP($B137,'Tillförd energi'!$B$1:$AI$720,MATCH(K$2,'Tillförd energi'!$B$1:$AQ$1,0),FALSE)</f>
        <v>0</v>
      </c>
      <c r="L137" s="63">
        <f>VLOOKUP($B137,'Tillförd energi'!$B$1:$AI$720,MATCH(L$2,'Tillförd energi'!$B$1:$AQ$1,0),FALSE)</f>
        <v>43.9</v>
      </c>
      <c r="M137" s="63">
        <f>VLOOKUP($B137,'Tillförd energi'!$B$1:$AI$720,MATCH(M$2,'Tillförd energi'!$B$1:$AQ$1,0),FALSE)</f>
        <v>0</v>
      </c>
      <c r="N137" s="63">
        <f>VLOOKUP($B137,'Tillförd energi'!$B$1:$AI$720,MATCH(N$2,'Tillförd energi'!$B$1:$AQ$1,0),FALSE)</f>
        <v>0</v>
      </c>
      <c r="O137" s="63">
        <f>VLOOKUP($B137,'Tillförd energi'!$B$1:$AI$720,MATCH(O$2,'Tillförd energi'!$B$1:$AQ$1,0),FALSE)</f>
        <v>0</v>
      </c>
      <c r="P137" s="63">
        <f>VLOOKUP($B137,'Tillförd energi'!$B$1:$AI$720,MATCH(P$2,'Tillförd energi'!$B$1:$AQ$1,0),FALSE)</f>
        <v>0</v>
      </c>
      <c r="Q137" s="63">
        <f>VLOOKUP($B137,'Tillförd energi'!$B$1:$AI$720,MATCH(Q$2,'Tillförd energi'!$B$1:$AQ$1,0),FALSE)</f>
        <v>0</v>
      </c>
      <c r="R137" s="63">
        <f>VLOOKUP($B137,'Tillförd energi'!$B$1:$AI$720,MATCH(R$2,'Tillförd energi'!$B$1:$AQ$1,0),FALSE)</f>
        <v>2.2000000000000002</v>
      </c>
      <c r="S137" s="63">
        <f>VLOOKUP($B137,'Tillförd energi'!$B$1:$AI$720,MATCH(S$2,'Tillförd energi'!$B$1:$AQ$1,0),FALSE)</f>
        <v>0</v>
      </c>
      <c r="T137" s="63">
        <f>VLOOKUP($B137,'Tillförd energi'!$B$1:$AI$720,MATCH(T$2,'Tillförd energi'!$B$1:$AQ$1,0),FALSE)</f>
        <v>0</v>
      </c>
      <c r="U137" s="63">
        <f>VLOOKUP($B137,'Tillförd energi'!$B$1:$AI$720,MATCH(U$2,'Tillförd energi'!$B$1:$AQ$1,0),FALSE)</f>
        <v>0</v>
      </c>
      <c r="V137" s="63">
        <f>VLOOKUP($B137,'Tillförd energi'!$B$1:$AI$720,MATCH(V$2,'Tillförd energi'!$B$1:$AQ$1,0),FALSE)</f>
        <v>0</v>
      </c>
      <c r="W137" s="63">
        <f>VLOOKUP($B137,'Tillförd energi'!$B$1:$AI$720,MATCH(W$2,'Tillförd energi'!$B$1:$AQ$1,0),FALSE)</f>
        <v>0</v>
      </c>
      <c r="X137" s="63">
        <f>VLOOKUP($B137,'Tillförd energi'!$B$1:$AI$720,MATCH(X$2,'Tillförd energi'!$B$1:$AQ$1,0),FALSE)</f>
        <v>0</v>
      </c>
      <c r="Y137" s="63">
        <f>VLOOKUP($B137,'Tillförd energi'!$B$1:$AI$720,MATCH(Y$2,'Tillförd energi'!$B$1:$AQ$1,0),FALSE)</f>
        <v>0</v>
      </c>
      <c r="Z137" s="63">
        <f>VLOOKUP($B137,'Tillförd energi'!$B$1:$AI$720,MATCH(Z$2,'Tillförd energi'!$B$1:$AQ$1,0),FALSE)</f>
        <v>0</v>
      </c>
      <c r="AA137" s="63">
        <f>VLOOKUP($B137,'Tillförd energi'!$B$1:$AI$720,MATCH(AA$2,'Tillförd energi'!$B$1:$AQ$1,0),FALSE)</f>
        <v>0</v>
      </c>
      <c r="AB137" s="63">
        <f>VLOOKUP($B137,'Tillförd energi'!$B$1:$AI$720,MATCH(AB$2,'Tillförd energi'!$B$1:$AQ$1,0),FALSE)</f>
        <v>0</v>
      </c>
      <c r="AC137" s="63">
        <f>VLOOKUP($B137,'Tillförd energi'!$B$1:$AI$720,MATCH(AC$2,'Tillförd energi'!$B$1:$AQ$1,0),FALSE)</f>
        <v>0</v>
      </c>
      <c r="AD137" s="63">
        <f>VLOOKUP($B137,'Tillförd energi'!$B$1:$AI$720,MATCH(AD$2,'Tillförd energi'!$B$1:$AQ$1,0),FALSE)</f>
        <v>0</v>
      </c>
      <c r="AE137" s="63">
        <f>VLOOKUP($B137,'Tillförd energi'!$B$1:$AI$720,MATCH(AE$2,'Tillförd energi'!$B$1:$AQ$1,0),FALSE)</f>
        <v>0</v>
      </c>
      <c r="AF137" s="63">
        <f>VLOOKUP($B137,'Tillförd energi'!$B$1:$AI$720,MATCH(AF$2,'Tillförd energi'!$B$1:$AQ$1,0),FALSE)</f>
        <v>2.09</v>
      </c>
      <c r="AG137" s="63">
        <f>IFERROR(VLOOKUP(B137,Miljö!$B$1:$AC$550,MATCH("Köpt mängd produktionsspecifik fjärrvärme:",Miljö!$B$1:$AC$1,0),FALSE)/1,0)</f>
        <v>0</v>
      </c>
      <c r="AI137" s="63">
        <f t="shared" si="12"/>
        <v>49.002941000000007</v>
      </c>
      <c r="AJ137" s="63">
        <f>IF(ISERROR(1/VLOOKUP($B137,Leveranser!$B$1:$S$500,MATCH("såld värme (gwh)",Leveranser!$B$1:$S$1,0),FALSE)),"",VLOOKUP($B137,Leveranser!$B$1:$S$500,MATCH("såld värme (gwh)",Leveranser!$B$1:$S$1,0),FALSE))</f>
        <v>36.450000000000003</v>
      </c>
      <c r="AM137" s="63" t="str">
        <f>IF(B137&lt;&gt;"",IF(VLOOKUP($B137,Totalt!$B$1:$AQ$554,MATCH("Kvalitetsgranskad:",Totalt!$B$1:$AQ$1,0),FALSE)="ja",VLOOKUP($B137,Miljö!$B$1:$AG$479,MATCH(AM$2,Miljö!$B$1:$AK$1,0),FALSE),""),"")</f>
        <v>Ja</v>
      </c>
      <c r="AN137" s="63" t="str">
        <f>IF(AM137="ja",VLOOKUP($B137,Miljö!$B$1:$J$479,MATCH("Typ av ursprungsspecificerad el   (Om inget värde anges används Nordisk residualmix, se inforuta) ()",Miljö!$B$1:$J$1,0),FALSE),IF(AM137="nej","Nordisk residualel",""))</f>
        <v>'Förnybar'</v>
      </c>
      <c r="AO137" s="63">
        <f>IF(AM137="","",VLOOKUP($B137,Miljö!$B$1:$J$479,MATCH("Fossilandel för ursprungspecificerad el ()",Miljö!$B$1:$J$1,0),FALSE))</f>
        <v>0</v>
      </c>
      <c r="AQ137" s="63">
        <f t="shared" si="13"/>
        <v>1</v>
      </c>
      <c r="AS137" s="63" t="str">
        <f t="shared" si="14"/>
        <v>Nej</v>
      </c>
      <c r="AT137" s="63" t="str">
        <f>IF(AS137="ja",VLOOKUP($B137,Miljö!$B$1:$P$500,MATCH("Fossil andel i procent (%)",Miljö!$B$1:$P$1,0),FALSE)/100,"")</f>
        <v/>
      </c>
      <c r="AV137" s="63" t="str">
        <f t="shared" si="15"/>
        <v>Nej</v>
      </c>
      <c r="AW137" s="63" t="str">
        <f>IF(AV137="ja",VLOOKUP($B137,'Egen hetvattenprod'!$B$1:$AO$500,MATCH("Värmekälla till värmepumpar ()",'Egen hetvattenprod'!$B$1:$AO$1,0),FALSE),"")</f>
        <v/>
      </c>
      <c r="AY137" s="63" t="str">
        <f t="shared" si="16"/>
        <v>Nej</v>
      </c>
      <c r="AZ137" s="77" t="str">
        <f>IF($AY137="ja",(VLOOKUP($B137,'Egen hetvattenprod'!$B$1:$BX$550,MATCH(AZ$2,'Egen hetvattenprod'!$B$1:$BX$1,0),FALSE)+VLOOKUP($B137,Kraftvärmeprod!$B$1:$BX$550,MATCH(AZ$2,Kraftvärmeprod!$B$1:$BX$1,0),FALSE))/$AC137,"")</f>
        <v/>
      </c>
      <c r="BA137" s="77" t="str">
        <f>IF($AY137="ja",(VLOOKUP($B137,'Egen hetvattenprod'!$B$1:$BX$550,MATCH(BA$2,'Egen hetvattenprod'!$B$1:$BX$1,0),FALSE)+VLOOKUP($B137,Kraftvärmeprod!$B$1:$BX$550,MATCH(BA$2,Kraftvärmeprod!$B$1:$BX$1,0),FALSE))/$AC137,"")</f>
        <v/>
      </c>
      <c r="BB137" s="77" t="str">
        <f>IF($AY137="ja",(VLOOKUP($B137,'Egen hetvattenprod'!$B$1:$BX$550,MATCH(BB$2,'Egen hetvattenprod'!$B$1:$BX$1,0),FALSE)+VLOOKUP($B137,Kraftvärmeprod!$B$1:$BX$550,MATCH(BB$2,Kraftvärmeprod!$B$1:$BX$1,0),FALSE))/$AC137,"")</f>
        <v/>
      </c>
      <c r="BC137" s="77" t="str">
        <f>IF($AY137="ja",(VLOOKUP($B137,'Egen hetvattenprod'!$B$1:$BX$550,MATCH(BC$2,'Egen hetvattenprod'!$B$1:$BX$1,0),FALSE)+VLOOKUP($B137,Kraftvärmeprod!$B$1:$BX$550,MATCH(BC$2,Kraftvärmeprod!$B$1:$BX$1,0),FALSE))/$AC137,"")</f>
        <v/>
      </c>
      <c r="BD137" s="77" t="str">
        <f>IF($AY137="ja",(VLOOKUP($B137,'Egen hetvattenprod'!$B$1:$BX$550,MATCH(BD$2,'Egen hetvattenprod'!$B$1:$BX$1,0),FALSE)+VLOOKUP($B137,Kraftvärmeprod!$B$1:$BX$550,MATCH(BD$2,Kraftvärmeprod!$B$1:$BX$1,0),FALSE))/$AC137,"")</f>
        <v/>
      </c>
      <c r="BF137" s="63" t="str">
        <f t="shared" si="17"/>
        <v>Nej</v>
      </c>
      <c r="BG137" s="63" t="str">
        <f>IF($BF137="ja",VLOOKUP($B137,'Egen hetvattenprod'!$B$1:$BX$550,MATCH("Andelen klimatgaser med fossilt ursprung för avfall ()",'Egen hetvattenprod'!$B$1:$BX$1,0),FALSE),"")</f>
        <v/>
      </c>
      <c r="BH137" s="63" t="str">
        <f>IF($BF137="ja",VLOOKUP($B137,Kraftvärmeprod!$B$1:$BX$550,MATCH("Andelen klimatgaser med fossilt ursprung för avfall ()",Kraftvärmeprod!$B$1:$BX$1,0),FALSE),"")</f>
        <v/>
      </c>
      <c r="BI137" s="63" t="str">
        <f>IF($BF137="ja",VLOOKUP($B137,'Egen hetvattenprod'!$B$1:$BX$550,MATCH("Avfall (GWh)",'Egen hetvattenprod'!$B$1:$BX$1,0),FALSE),"")</f>
        <v/>
      </c>
      <c r="BJ137" s="63" t="str">
        <f>IF($BF137="ja",VLOOKUP($B137,'Slutlig allokering kvv'!$B$1:$BX$550,MATCH("Avfall (GWh)",'Slutlig allokering kvv'!$B$1:$BX$1,0),FALSE),"")</f>
        <v/>
      </c>
      <c r="BK137" s="63" t="str">
        <f>IF($BF137="ja",VLOOKUP($B137,'Köpt hetvatten'!$B$1:$BX$550,MATCH("Avfall i köpt hetvatten",'Köpt hetvatten'!$B$1:$BX$1,0),FALSE),"")</f>
        <v/>
      </c>
      <c r="BL137" s="63" t="str">
        <f>IF($BF137="ja",VLOOKUP($B137,'Egen hetvattenprod'!$B$1:$BX$550,MATCH("Värde enligt ovan. (%)",'Egen hetvattenprod'!$B$1:$BX$1,0),FALSE),"")</f>
        <v/>
      </c>
      <c r="BM137" s="63" t="str">
        <f>IF($BF137="ja",VLOOKUP($B137,Kraftvärmeprod!$B$1:$BX$550,MATCH("Värde enligt ovan. (%)",Kraftvärmeprod!$B$1:$BX$1,0),FALSE),"")</f>
        <v/>
      </c>
    </row>
    <row r="138" spans="1:65" x14ac:dyDescent="0.45">
      <c r="A138" s="63" t="s">
        <v>502</v>
      </c>
      <c r="B138" s="63" t="s">
        <v>503</v>
      </c>
      <c r="C138" s="63">
        <f>VLOOKUP($B138,'Tillförd energi'!$B$1:$AI$720,MATCH(C$2,'Tillförd energi'!$B$1:$AQ$1,0),FALSE)</f>
        <v>0</v>
      </c>
      <c r="D138" s="63">
        <f>VLOOKUP($B138,'Tillförd energi'!$B$1:$AI$720,MATCH(D$2,'Tillförd energi'!$B$1:$AQ$1,0),FALSE)</f>
        <v>16.274999999999999</v>
      </c>
      <c r="E138" s="63">
        <f>VLOOKUP($B138,'Tillförd energi'!$B$1:$AI$720,MATCH(E$2,'Tillförd energi'!$B$1:$AQ$1,0),FALSE)</f>
        <v>0</v>
      </c>
      <c r="F138" s="63">
        <f>VLOOKUP($B138,'Tillförd energi'!$B$1:$AI$720,MATCH(F$2,'Tillförd energi'!$B$1:$AQ$1,0),FALSE)</f>
        <v>0</v>
      </c>
      <c r="G138" s="63">
        <f>VLOOKUP($B138,'Tillförd energi'!$B$1:$AI$720,MATCH(G$2,'Tillförd energi'!$B$1:$AQ$1,0),FALSE)</f>
        <v>0</v>
      </c>
      <c r="H138" s="63">
        <f>VLOOKUP($B138,'Tillförd energi'!$B$1:$AI$720,MATCH(H$2,'Tillförd energi'!$B$1:$AQ$1,0),FALSE)</f>
        <v>0</v>
      </c>
      <c r="I138" s="63">
        <f>VLOOKUP($B138,'Tillförd energi'!$B$1:$AI$720,MATCH(I$2,'Tillförd energi'!$B$1:$AQ$1,0),FALSE)</f>
        <v>137.36099999999999</v>
      </c>
      <c r="J138" s="63">
        <f>VLOOKUP($B138,'Tillförd energi'!$B$1:$AI$720,MATCH(J$2,'Tillförd energi'!$B$1:$AQ$1,0),FALSE)</f>
        <v>0</v>
      </c>
      <c r="K138" s="63">
        <f>VLOOKUP($B138,'Tillförd energi'!$B$1:$AI$720,MATCH(K$2,'Tillförd energi'!$B$1:$AQ$1,0),FALSE)</f>
        <v>0</v>
      </c>
      <c r="L138" s="63">
        <f>VLOOKUP($B138,'Tillförd energi'!$B$1:$AI$720,MATCH(L$2,'Tillförd energi'!$B$1:$AQ$1,0),FALSE)</f>
        <v>58.450200000000002</v>
      </c>
      <c r="M138" s="63">
        <f>VLOOKUP($B138,'Tillförd energi'!$B$1:$AI$720,MATCH(M$2,'Tillförd energi'!$B$1:$AQ$1,0),FALSE)</f>
        <v>0</v>
      </c>
      <c r="N138" s="63">
        <f>VLOOKUP($B138,'Tillförd energi'!$B$1:$AI$720,MATCH(N$2,'Tillförd energi'!$B$1:$AQ$1,0),FALSE)</f>
        <v>0</v>
      </c>
      <c r="O138" s="63">
        <f>VLOOKUP($B138,'Tillförd energi'!$B$1:$AI$720,MATCH(O$2,'Tillförd energi'!$B$1:$AQ$1,0),FALSE)</f>
        <v>0</v>
      </c>
      <c r="P138" s="63">
        <f>VLOOKUP($B138,'Tillförd energi'!$B$1:$AI$720,MATCH(P$2,'Tillförd energi'!$B$1:$AQ$1,0),FALSE)</f>
        <v>4.3662099999999997</v>
      </c>
      <c r="Q138" s="63">
        <f>VLOOKUP($B138,'Tillförd energi'!$B$1:$AI$720,MATCH(Q$2,'Tillförd energi'!$B$1:$AQ$1,0),FALSE)</f>
        <v>0</v>
      </c>
      <c r="R138" s="63">
        <f>VLOOKUP($B138,'Tillförd energi'!$B$1:$AI$720,MATCH(R$2,'Tillförd energi'!$B$1:$AQ$1,0),FALSE)</f>
        <v>3.2829999999999999</v>
      </c>
      <c r="S138" s="63">
        <f>VLOOKUP($B138,'Tillförd energi'!$B$1:$AI$720,MATCH(S$2,'Tillförd energi'!$B$1:$AQ$1,0),FALSE)</f>
        <v>0</v>
      </c>
      <c r="T138" s="63">
        <f>VLOOKUP($B138,'Tillförd energi'!$B$1:$AI$720,MATCH(T$2,'Tillförd energi'!$B$1:$AQ$1,0),FALSE)</f>
        <v>0</v>
      </c>
      <c r="U138" s="63">
        <f>VLOOKUP($B138,'Tillförd energi'!$B$1:$AI$720,MATCH(U$2,'Tillförd energi'!$B$1:$AQ$1,0),FALSE)</f>
        <v>0</v>
      </c>
      <c r="V138" s="63">
        <f>VLOOKUP($B138,'Tillförd energi'!$B$1:$AI$720,MATCH(V$2,'Tillförd energi'!$B$1:$AQ$1,0),FALSE)</f>
        <v>0</v>
      </c>
      <c r="W138" s="63">
        <f>VLOOKUP($B138,'Tillförd energi'!$B$1:$AI$720,MATCH(W$2,'Tillförd energi'!$B$1:$AQ$1,0),FALSE)</f>
        <v>12.393000000000001</v>
      </c>
      <c r="X138" s="63">
        <f>VLOOKUP($B138,'Tillförd energi'!$B$1:$AI$720,MATCH(X$2,'Tillförd energi'!$B$1:$AQ$1,0),FALSE)</f>
        <v>0</v>
      </c>
      <c r="Y138" s="63">
        <f>VLOOKUP($B138,'Tillförd energi'!$B$1:$AI$720,MATCH(Y$2,'Tillförd energi'!$B$1:$AQ$1,0),FALSE)</f>
        <v>0</v>
      </c>
      <c r="Z138" s="63">
        <f>VLOOKUP($B138,'Tillförd energi'!$B$1:$AI$720,MATCH(Z$2,'Tillförd energi'!$B$1:$AQ$1,0),FALSE)</f>
        <v>0</v>
      </c>
      <c r="AA138" s="63">
        <f>VLOOKUP($B138,'Tillförd energi'!$B$1:$AI$720,MATCH(AA$2,'Tillförd energi'!$B$1:$AQ$1,0),FALSE)</f>
        <v>0</v>
      </c>
      <c r="AB138" s="63">
        <f>VLOOKUP($B138,'Tillförd energi'!$B$1:$AI$720,MATCH(AB$2,'Tillförd energi'!$B$1:$AQ$1,0),FALSE)</f>
        <v>0</v>
      </c>
      <c r="AC138" s="63">
        <f>VLOOKUP($B138,'Tillförd energi'!$B$1:$AI$720,MATCH(AC$2,'Tillförd energi'!$B$1:$AQ$1,0),FALSE)</f>
        <v>17.873000000000001</v>
      </c>
      <c r="AD138" s="63">
        <f>VLOOKUP($B138,'Tillförd energi'!$B$1:$AI$720,MATCH(AD$2,'Tillförd energi'!$B$1:$AQ$1,0),FALSE)</f>
        <v>28.471</v>
      </c>
      <c r="AE138" s="63">
        <f>VLOOKUP($B138,'Tillförd energi'!$B$1:$AI$720,MATCH(AE$2,'Tillförd energi'!$B$1:$AQ$1,0),FALSE)</f>
        <v>0</v>
      </c>
      <c r="AF138" s="63">
        <f>VLOOKUP($B138,'Tillförd energi'!$B$1:$AI$720,MATCH(AF$2,'Tillförd energi'!$B$1:$AQ$1,0),FALSE)</f>
        <v>9.0904299999999996</v>
      </c>
      <c r="AG138" s="63">
        <f>IFERROR(VLOOKUP(B138,Miljö!$B$1:$AC$550,MATCH("Köpt mängd produktionsspecifik fjärrvärme:",Miljö!$B$1:$AC$1,0),FALSE)/1,0)</f>
        <v>0</v>
      </c>
      <c r="AI138" s="63">
        <f t="shared" si="12"/>
        <v>287.56283999999999</v>
      </c>
      <c r="AJ138" s="63">
        <f>IF(ISERROR(1/VLOOKUP($B138,Leveranser!$B$1:$S$500,MATCH("såld värme (gwh)",Leveranser!$B$1:$S$1,0),FALSE)),"",VLOOKUP($B138,Leveranser!$B$1:$S$500,MATCH("såld värme (gwh)",Leveranser!$B$1:$S$1,0),FALSE))</f>
        <v>209.52199999999999</v>
      </c>
      <c r="AM138" s="63" t="str">
        <f>IF(B138&lt;&gt;"",IF(VLOOKUP($B138,Totalt!$B$1:$AQ$554,MATCH("Kvalitetsgranskad:",Totalt!$B$1:$AQ$1,0),FALSE)="ja",VLOOKUP($B138,Miljö!$B$1:$AG$479,MATCH(AM$2,Miljö!$B$1:$AK$1,0),FALSE),""),"")</f>
        <v>Ja</v>
      </c>
      <c r="AN138" s="63" t="str">
        <f>IF(AM138="ja",VLOOKUP($B138,Miljö!$B$1:$J$479,MATCH("Typ av ursprungsspecificerad el   (Om inget värde anges används Nordisk residualmix, se inforuta) ()",Miljö!$B$1:$J$1,0),FALSE),IF(AM138="nej","Nordisk residualel",""))</f>
        <v>'Förnyelsebart'</v>
      </c>
      <c r="AO138" s="63">
        <f>IF(AM138="","",VLOOKUP($B138,Miljö!$B$1:$J$479,MATCH("Fossilandel för ursprungspecificerad el ()",Miljö!$B$1:$J$1,0),FALSE))</f>
        <v>0</v>
      </c>
      <c r="AQ138" s="63">
        <f t="shared" si="13"/>
        <v>1</v>
      </c>
      <c r="AS138" s="63" t="str">
        <f t="shared" si="14"/>
        <v>Nej</v>
      </c>
      <c r="AT138" s="63" t="str">
        <f>IF(AS138="ja",VLOOKUP($B138,Miljö!$B$1:$P$500,MATCH("Fossil andel i procent (%)",Miljö!$B$1:$P$1,0),FALSE)/100,"")</f>
        <v/>
      </c>
      <c r="AV138" s="63" t="str">
        <f t="shared" si="15"/>
        <v>Nej</v>
      </c>
      <c r="AW138" s="63" t="str">
        <f>IF(AV138="ja",VLOOKUP($B138,'Egen hetvattenprod'!$B$1:$AO$500,MATCH("Värmekälla till värmepumpar ()",'Egen hetvattenprod'!$B$1:$AO$1,0),FALSE),"")</f>
        <v/>
      </c>
      <c r="AY138" s="63" t="str">
        <f t="shared" si="16"/>
        <v>Ja</v>
      </c>
      <c r="AZ138" s="77">
        <f>IF($AY138="ja",(VLOOKUP($B138,'Egen hetvattenprod'!$B$1:$BX$550,MATCH(AZ$2,'Egen hetvattenprod'!$B$1:$BX$1,0),FALSE)+VLOOKUP($B138,Kraftvärmeprod!$B$1:$BX$550,MATCH(AZ$2,Kraftvärmeprod!$B$1:$BX$1,0),FALSE))/$AC138,"")</f>
        <v>0.05</v>
      </c>
      <c r="BA138" s="77">
        <f>IF($AY138="ja",(VLOOKUP($B138,'Egen hetvattenprod'!$B$1:$BX$550,MATCH(BA$2,'Egen hetvattenprod'!$B$1:$BX$1,0),FALSE)+VLOOKUP($B138,Kraftvärmeprod!$B$1:$BX$550,MATCH(BA$2,Kraftvärmeprod!$B$1:$BX$1,0),FALSE))/$AC138,"")</f>
        <v>0.95</v>
      </c>
      <c r="BB138" s="77">
        <f>IF($AY138="ja",(VLOOKUP($B138,'Egen hetvattenprod'!$B$1:$BX$550,MATCH(BB$2,'Egen hetvattenprod'!$B$1:$BX$1,0),FALSE)+VLOOKUP($B138,Kraftvärmeprod!$B$1:$BX$550,MATCH(BB$2,Kraftvärmeprod!$B$1:$BX$1,0),FALSE))/$AC138,"")</f>
        <v>0</v>
      </c>
      <c r="BC138" s="77">
        <f>IF($AY138="ja",(VLOOKUP($B138,'Egen hetvattenprod'!$B$1:$BX$550,MATCH(BC$2,'Egen hetvattenprod'!$B$1:$BX$1,0),FALSE)+VLOOKUP($B138,Kraftvärmeprod!$B$1:$BX$550,MATCH(BC$2,Kraftvärmeprod!$B$1:$BX$1,0),FALSE))/$AC138,"")</f>
        <v>0</v>
      </c>
      <c r="BD138" s="77">
        <f>IF($AY138="ja",(VLOOKUP($B138,'Egen hetvattenprod'!$B$1:$BX$550,MATCH(BD$2,'Egen hetvattenprod'!$B$1:$BX$1,0),FALSE)+VLOOKUP($B138,Kraftvärmeprod!$B$1:$BX$550,MATCH(BD$2,Kraftvärmeprod!$B$1:$BX$1,0),FALSE))/$AC138,"")</f>
        <v>0</v>
      </c>
      <c r="BF138" s="63" t="str">
        <f t="shared" si="17"/>
        <v>Ja</v>
      </c>
      <c r="BG138" s="63" t="str">
        <f>IF($BF138="ja",VLOOKUP($B138,'Egen hetvattenprod'!$B$1:$BX$550,MATCH("Andelen klimatgaser med fossilt ursprung för avfall ()",'Egen hetvattenprod'!$B$1:$BX$1,0),FALSE),"")</f>
        <v>Ingen redovisning</v>
      </c>
      <c r="BH138" s="63" t="str">
        <f>IF($BF138="ja",VLOOKUP($B138,Kraftvärmeprod!$B$1:$BX$550,MATCH("Andelen klimatgaser med fossilt ursprung för avfall ()",Kraftvärmeprod!$B$1:$BX$1,0),FALSE),"")</f>
        <v>Schablon</v>
      </c>
      <c r="BI138" s="63" t="str">
        <f>IF($BF138="ja",VLOOKUP($B138,'Egen hetvattenprod'!$B$1:$BX$550,MATCH("Avfall (GWh)",'Egen hetvattenprod'!$B$1:$BX$1,0),FALSE),"")</f>
        <v>ET</v>
      </c>
      <c r="BJ138" s="63">
        <f>IF($BF138="ja",VLOOKUP($B138,'Slutlig allokering kvv'!$B$1:$BX$550,MATCH("Avfall (GWh)",'Slutlig allokering kvv'!$B$1:$BX$1,0),FALSE),"")</f>
        <v>137.36099999999999</v>
      </c>
      <c r="BK138" s="63">
        <f>IF($BF138="ja",VLOOKUP($B138,'Köpt hetvatten'!$B$1:$BX$550,MATCH("Avfall i köpt hetvatten",'Köpt hetvatten'!$B$1:$BX$1,0),FALSE),"")</f>
        <v>0</v>
      </c>
      <c r="BL138" s="63" t="str">
        <f>IF($BF138="ja",VLOOKUP($B138,'Egen hetvattenprod'!$B$1:$BX$550,MATCH("Värde enligt ovan. (%)",'Egen hetvattenprod'!$B$1:$BX$1,0),FALSE),"")</f>
        <v>ET</v>
      </c>
      <c r="BM138" s="63">
        <f>IF($BF138="ja",VLOOKUP($B138,Kraftvärmeprod!$B$1:$BX$550,MATCH("Värde enligt ovan. (%)",Kraftvärmeprod!$B$1:$BX$1,0),FALSE),"")</f>
        <v>37.5</v>
      </c>
    </row>
    <row r="139" spans="1:65" x14ac:dyDescent="0.45">
      <c r="A139" s="63" t="s">
        <v>502</v>
      </c>
      <c r="B139" s="63" t="s">
        <v>501</v>
      </c>
      <c r="C139" s="63">
        <f>VLOOKUP($B139,'Tillförd energi'!$B$1:$AI$720,MATCH(C$2,'Tillförd energi'!$B$1:$AQ$1,0),FALSE)</f>
        <v>0</v>
      </c>
      <c r="D139" s="63">
        <f>VLOOKUP($B139,'Tillförd energi'!$B$1:$AI$720,MATCH(D$2,'Tillförd energi'!$B$1:$AQ$1,0),FALSE)</f>
        <v>1.0309999999999999</v>
      </c>
      <c r="E139" s="63">
        <f>VLOOKUP($B139,'Tillförd energi'!$B$1:$AI$720,MATCH(E$2,'Tillförd energi'!$B$1:$AQ$1,0),FALSE)</f>
        <v>0</v>
      </c>
      <c r="F139" s="63">
        <f>VLOOKUP($B139,'Tillförd energi'!$B$1:$AI$720,MATCH(F$2,'Tillförd energi'!$B$1:$AQ$1,0),FALSE)</f>
        <v>0</v>
      </c>
      <c r="G139" s="63">
        <f>VLOOKUP($B139,'Tillförd energi'!$B$1:$AI$720,MATCH(G$2,'Tillförd energi'!$B$1:$AQ$1,0),FALSE)</f>
        <v>0</v>
      </c>
      <c r="H139" s="63">
        <f>VLOOKUP($B139,'Tillförd energi'!$B$1:$AI$720,MATCH(H$2,'Tillförd energi'!$B$1:$AQ$1,0),FALSE)</f>
        <v>0</v>
      </c>
      <c r="I139" s="63">
        <f>VLOOKUP($B139,'Tillförd energi'!$B$1:$AI$720,MATCH(I$2,'Tillförd energi'!$B$1:$AQ$1,0),FALSE)</f>
        <v>0</v>
      </c>
      <c r="J139" s="63">
        <f>VLOOKUP($B139,'Tillförd energi'!$B$1:$AI$720,MATCH(J$2,'Tillförd energi'!$B$1:$AQ$1,0),FALSE)</f>
        <v>0</v>
      </c>
      <c r="K139" s="63">
        <f>VLOOKUP($B139,'Tillförd energi'!$B$1:$AI$720,MATCH(K$2,'Tillförd energi'!$B$1:$AQ$1,0),FALSE)</f>
        <v>0</v>
      </c>
      <c r="L139" s="63">
        <f>VLOOKUP($B139,'Tillförd energi'!$B$1:$AI$720,MATCH(L$2,'Tillförd energi'!$B$1:$AQ$1,0),FALSE)</f>
        <v>0</v>
      </c>
      <c r="M139" s="63">
        <f>VLOOKUP($B139,'Tillförd energi'!$B$1:$AI$720,MATCH(M$2,'Tillförd energi'!$B$1:$AQ$1,0),FALSE)</f>
        <v>0</v>
      </c>
      <c r="N139" s="63">
        <f>VLOOKUP($B139,'Tillförd energi'!$B$1:$AI$720,MATCH(N$2,'Tillförd energi'!$B$1:$AQ$1,0),FALSE)</f>
        <v>0</v>
      </c>
      <c r="O139" s="63">
        <f>VLOOKUP($B139,'Tillförd energi'!$B$1:$AI$720,MATCH(O$2,'Tillförd energi'!$B$1:$AQ$1,0),FALSE)</f>
        <v>0</v>
      </c>
      <c r="P139" s="63">
        <f>VLOOKUP($B139,'Tillförd energi'!$B$1:$AI$720,MATCH(P$2,'Tillförd energi'!$B$1:$AQ$1,0),FALSE)</f>
        <v>8.4719999999999995</v>
      </c>
      <c r="Q139" s="63">
        <f>VLOOKUP($B139,'Tillförd energi'!$B$1:$AI$720,MATCH(Q$2,'Tillförd energi'!$B$1:$AQ$1,0),FALSE)</f>
        <v>0</v>
      </c>
      <c r="R139" s="63">
        <f>VLOOKUP($B139,'Tillförd energi'!$B$1:$AI$720,MATCH(R$2,'Tillförd energi'!$B$1:$AQ$1,0),FALSE)</f>
        <v>0</v>
      </c>
      <c r="S139" s="63">
        <f>VLOOKUP($B139,'Tillförd energi'!$B$1:$AI$720,MATCH(S$2,'Tillförd energi'!$B$1:$AQ$1,0),FALSE)</f>
        <v>0</v>
      </c>
      <c r="T139" s="63">
        <f>VLOOKUP($B139,'Tillförd energi'!$B$1:$AI$720,MATCH(T$2,'Tillförd energi'!$B$1:$AQ$1,0),FALSE)</f>
        <v>0</v>
      </c>
      <c r="U139" s="63">
        <f>VLOOKUP($B139,'Tillförd energi'!$B$1:$AI$720,MATCH(U$2,'Tillförd energi'!$B$1:$AQ$1,0),FALSE)</f>
        <v>0</v>
      </c>
      <c r="V139" s="63">
        <f>VLOOKUP($B139,'Tillförd energi'!$B$1:$AI$720,MATCH(V$2,'Tillförd energi'!$B$1:$AQ$1,0),FALSE)</f>
        <v>0</v>
      </c>
      <c r="W139" s="63">
        <f>VLOOKUP($B139,'Tillförd energi'!$B$1:$AI$720,MATCH(W$2,'Tillförd energi'!$B$1:$AQ$1,0),FALSE)</f>
        <v>0</v>
      </c>
      <c r="X139" s="63">
        <f>VLOOKUP($B139,'Tillförd energi'!$B$1:$AI$720,MATCH(X$2,'Tillförd energi'!$B$1:$AQ$1,0),FALSE)</f>
        <v>0</v>
      </c>
      <c r="Y139" s="63">
        <f>VLOOKUP($B139,'Tillförd energi'!$B$1:$AI$720,MATCH(Y$2,'Tillförd energi'!$B$1:$AQ$1,0),FALSE)</f>
        <v>0</v>
      </c>
      <c r="Z139" s="63">
        <f>VLOOKUP($B139,'Tillförd energi'!$B$1:$AI$720,MATCH(Z$2,'Tillförd energi'!$B$1:$AQ$1,0),FALSE)</f>
        <v>0.45</v>
      </c>
      <c r="AA139" s="63">
        <f>VLOOKUP($B139,'Tillförd energi'!$B$1:$AI$720,MATCH(AA$2,'Tillförd energi'!$B$1:$AQ$1,0),FALSE)</f>
        <v>0</v>
      </c>
      <c r="AB139" s="63">
        <f>VLOOKUP($B139,'Tillförd energi'!$B$1:$AI$720,MATCH(AB$2,'Tillförd energi'!$B$1:$AQ$1,0),FALSE)</f>
        <v>0</v>
      </c>
      <c r="AC139" s="63">
        <f>VLOOKUP($B139,'Tillförd energi'!$B$1:$AI$720,MATCH(AC$2,'Tillförd energi'!$B$1:$AQ$1,0),FALSE)</f>
        <v>0</v>
      </c>
      <c r="AD139" s="63">
        <f>VLOOKUP($B139,'Tillförd energi'!$B$1:$AI$720,MATCH(AD$2,'Tillförd energi'!$B$1:$AQ$1,0),FALSE)</f>
        <v>0</v>
      </c>
      <c r="AE139" s="63">
        <f>VLOOKUP($B139,'Tillförd energi'!$B$1:$AI$720,MATCH(AE$2,'Tillförd energi'!$B$1:$AQ$1,0),FALSE)</f>
        <v>0</v>
      </c>
      <c r="AF139" s="63">
        <f>VLOOKUP($B139,'Tillförd energi'!$B$1:$AI$720,MATCH(AF$2,'Tillförd energi'!$B$1:$AQ$1,0),FALSE)</f>
        <v>0.14399999999999999</v>
      </c>
      <c r="AG139" s="63">
        <f>IFERROR(VLOOKUP(B139,Miljö!$B$1:$AC$550,MATCH("Köpt mängd produktionsspecifik fjärrvärme:",Miljö!$B$1:$AC$1,0),FALSE)/1,0)</f>
        <v>0</v>
      </c>
      <c r="AI139" s="63">
        <f t="shared" si="12"/>
        <v>10.097</v>
      </c>
      <c r="AJ139" s="63">
        <f>IF(ISERROR(1/VLOOKUP($B139,Leveranser!$B$1:$S$500,MATCH("såld värme (gwh)",Leveranser!$B$1:$S$1,0),FALSE)),"",VLOOKUP($B139,Leveranser!$B$1:$S$500,MATCH("såld värme (gwh)",Leveranser!$B$1:$S$1,0),FALSE))</f>
        <v>5.9429999999999996</v>
      </c>
      <c r="AM139" s="63" t="str">
        <f>IF(B139&lt;&gt;"",IF(VLOOKUP($B139,Totalt!$B$1:$AQ$554,MATCH("Kvalitetsgranskad:",Totalt!$B$1:$AQ$1,0),FALSE)="ja",VLOOKUP($B139,Miljö!$B$1:$AG$479,MATCH(AM$2,Miljö!$B$1:$AK$1,0),FALSE),""),"")</f>
        <v>Ja</v>
      </c>
      <c r="AN139" s="63" t="str">
        <f>IF(AM139="ja",VLOOKUP($B139,Miljö!$B$1:$J$479,MATCH("Typ av ursprungsspecificerad el   (Om inget värde anges används Nordisk residualmix, se inforuta) ()",Miljö!$B$1:$J$1,0),FALSE),IF(AM139="nej","Nordisk residualel",""))</f>
        <v>'Förnyelsebart (vattenkraft)'</v>
      </c>
      <c r="AO139" s="63">
        <f>IF(AM139="","",VLOOKUP($B139,Miljö!$B$1:$J$479,MATCH("Fossilandel för ursprungspecificerad el ()",Miljö!$B$1:$J$1,0),FALSE))</f>
        <v>0</v>
      </c>
      <c r="AQ139" s="63">
        <f t="shared" si="13"/>
        <v>1</v>
      </c>
      <c r="AS139" s="63" t="str">
        <f t="shared" si="14"/>
        <v>Nej</v>
      </c>
      <c r="AT139" s="63" t="str">
        <f>IF(AS139="ja",VLOOKUP($B139,Miljö!$B$1:$P$500,MATCH("Fossil andel i procent (%)",Miljö!$B$1:$P$1,0),FALSE)/100,"")</f>
        <v/>
      </c>
      <c r="AV139" s="63" t="str">
        <f t="shared" si="15"/>
        <v>Nej</v>
      </c>
      <c r="AW139" s="63" t="str">
        <f>IF(AV139="ja",VLOOKUP($B139,'Egen hetvattenprod'!$B$1:$AO$500,MATCH("Värmekälla till värmepumpar ()",'Egen hetvattenprod'!$B$1:$AO$1,0),FALSE),"")</f>
        <v/>
      </c>
      <c r="AY139" s="63" t="str">
        <f t="shared" si="16"/>
        <v>Nej</v>
      </c>
      <c r="AZ139" s="77" t="str">
        <f>IF($AY139="ja",(VLOOKUP($B139,'Egen hetvattenprod'!$B$1:$BX$550,MATCH(AZ$2,'Egen hetvattenprod'!$B$1:$BX$1,0),FALSE)+VLOOKUP($B139,Kraftvärmeprod!$B$1:$BX$550,MATCH(AZ$2,Kraftvärmeprod!$B$1:$BX$1,0),FALSE))/$AC139,"")</f>
        <v/>
      </c>
      <c r="BA139" s="77" t="str">
        <f>IF($AY139="ja",(VLOOKUP($B139,'Egen hetvattenprod'!$B$1:$BX$550,MATCH(BA$2,'Egen hetvattenprod'!$B$1:$BX$1,0),FALSE)+VLOOKUP($B139,Kraftvärmeprod!$B$1:$BX$550,MATCH(BA$2,Kraftvärmeprod!$B$1:$BX$1,0),FALSE))/$AC139,"")</f>
        <v/>
      </c>
      <c r="BB139" s="77" t="str">
        <f>IF($AY139="ja",(VLOOKUP($B139,'Egen hetvattenprod'!$B$1:$BX$550,MATCH(BB$2,'Egen hetvattenprod'!$B$1:$BX$1,0),FALSE)+VLOOKUP($B139,Kraftvärmeprod!$B$1:$BX$550,MATCH(BB$2,Kraftvärmeprod!$B$1:$BX$1,0),FALSE))/$AC139,"")</f>
        <v/>
      </c>
      <c r="BC139" s="77" t="str">
        <f>IF($AY139="ja",(VLOOKUP($B139,'Egen hetvattenprod'!$B$1:$BX$550,MATCH(BC$2,'Egen hetvattenprod'!$B$1:$BX$1,0),FALSE)+VLOOKUP($B139,Kraftvärmeprod!$B$1:$BX$550,MATCH(BC$2,Kraftvärmeprod!$B$1:$BX$1,0),FALSE))/$AC139,"")</f>
        <v/>
      </c>
      <c r="BD139" s="77" t="str">
        <f>IF($AY139="ja",(VLOOKUP($B139,'Egen hetvattenprod'!$B$1:$BX$550,MATCH(BD$2,'Egen hetvattenprod'!$B$1:$BX$1,0),FALSE)+VLOOKUP($B139,Kraftvärmeprod!$B$1:$BX$550,MATCH(BD$2,Kraftvärmeprod!$B$1:$BX$1,0),FALSE))/$AC139,"")</f>
        <v/>
      </c>
      <c r="BF139" s="63" t="str">
        <f t="shared" si="17"/>
        <v>Nej</v>
      </c>
      <c r="BG139" s="63" t="str">
        <f>IF($BF139="ja",VLOOKUP($B139,'Egen hetvattenprod'!$B$1:$BX$550,MATCH("Andelen klimatgaser med fossilt ursprung för avfall ()",'Egen hetvattenprod'!$B$1:$BX$1,0),FALSE),"")</f>
        <v/>
      </c>
      <c r="BH139" s="63" t="str">
        <f>IF($BF139="ja",VLOOKUP($B139,Kraftvärmeprod!$B$1:$BX$550,MATCH("Andelen klimatgaser med fossilt ursprung för avfall ()",Kraftvärmeprod!$B$1:$BX$1,0),FALSE),"")</f>
        <v/>
      </c>
      <c r="BI139" s="63" t="str">
        <f>IF($BF139="ja",VLOOKUP($B139,'Egen hetvattenprod'!$B$1:$BX$550,MATCH("Avfall (GWh)",'Egen hetvattenprod'!$B$1:$BX$1,0),FALSE),"")</f>
        <v/>
      </c>
      <c r="BJ139" s="63" t="str">
        <f>IF($BF139="ja",VLOOKUP($B139,'Slutlig allokering kvv'!$B$1:$BX$550,MATCH("Avfall (GWh)",'Slutlig allokering kvv'!$B$1:$BX$1,0),FALSE),"")</f>
        <v/>
      </c>
      <c r="BK139" s="63" t="str">
        <f>IF($BF139="ja",VLOOKUP($B139,'Köpt hetvatten'!$B$1:$BX$550,MATCH("Avfall i köpt hetvatten",'Köpt hetvatten'!$B$1:$BX$1,0),FALSE),"")</f>
        <v/>
      </c>
      <c r="BL139" s="63" t="str">
        <f>IF($BF139="ja",VLOOKUP($B139,'Egen hetvattenprod'!$B$1:$BX$550,MATCH("Värde enligt ovan. (%)",'Egen hetvattenprod'!$B$1:$BX$1,0),FALSE),"")</f>
        <v/>
      </c>
      <c r="BM139" s="63" t="str">
        <f>IF($BF139="ja",VLOOKUP($B139,Kraftvärmeprod!$B$1:$BX$550,MATCH("Värde enligt ovan. (%)",Kraftvärmeprod!$B$1:$BX$1,0),FALSE),"")</f>
        <v/>
      </c>
    </row>
    <row r="140" spans="1:65" x14ac:dyDescent="0.45">
      <c r="A140" s="63" t="s">
        <v>498</v>
      </c>
      <c r="B140" s="63" t="s">
        <v>500</v>
      </c>
      <c r="C140" s="63">
        <f>VLOOKUP($B140,'Tillförd energi'!$B$1:$AI$720,MATCH(C$2,'Tillförd energi'!$B$1:$AQ$1,0),FALSE)</f>
        <v>0</v>
      </c>
      <c r="D140" s="63">
        <f>VLOOKUP($B140,'Tillförd energi'!$B$1:$AI$720,MATCH(D$2,'Tillförd energi'!$B$1:$AQ$1,0),FALSE)</f>
        <v>0</v>
      </c>
      <c r="E140" s="63">
        <f>VLOOKUP($B140,'Tillförd energi'!$B$1:$AI$720,MATCH(E$2,'Tillförd energi'!$B$1:$AQ$1,0),FALSE)</f>
        <v>0</v>
      </c>
      <c r="F140" s="63">
        <f>VLOOKUP($B140,'Tillförd energi'!$B$1:$AI$720,MATCH(F$2,'Tillförd energi'!$B$1:$AQ$1,0),FALSE)</f>
        <v>0</v>
      </c>
      <c r="G140" s="63">
        <f>VLOOKUP($B140,'Tillförd energi'!$B$1:$AI$720,MATCH(G$2,'Tillförd energi'!$B$1:$AQ$1,0),FALSE)</f>
        <v>0</v>
      </c>
      <c r="H140" s="63">
        <f>VLOOKUP($B140,'Tillförd energi'!$B$1:$AI$720,MATCH(H$2,'Tillförd energi'!$B$1:$AQ$1,0),FALSE)</f>
        <v>0</v>
      </c>
      <c r="I140" s="63">
        <f>VLOOKUP($B140,'Tillförd energi'!$B$1:$AI$720,MATCH(I$2,'Tillförd energi'!$B$1:$AQ$1,0),FALSE)</f>
        <v>0</v>
      </c>
      <c r="J140" s="63">
        <f>VLOOKUP($B140,'Tillförd energi'!$B$1:$AI$720,MATCH(J$2,'Tillförd energi'!$B$1:$AQ$1,0),FALSE)</f>
        <v>16.625</v>
      </c>
      <c r="K140" s="63">
        <f>VLOOKUP($B140,'Tillförd energi'!$B$1:$AI$720,MATCH(K$2,'Tillförd energi'!$B$1:$AQ$1,0),FALSE)</f>
        <v>0</v>
      </c>
      <c r="L140" s="63">
        <f>VLOOKUP($B140,'Tillförd energi'!$B$1:$AI$720,MATCH(L$2,'Tillförd energi'!$B$1:$AQ$1,0),FALSE)</f>
        <v>169.262</v>
      </c>
      <c r="M140" s="63">
        <f>VLOOKUP($B140,'Tillförd energi'!$B$1:$AI$720,MATCH(M$2,'Tillförd energi'!$B$1:$AQ$1,0),FALSE)</f>
        <v>0</v>
      </c>
      <c r="N140" s="63">
        <f>VLOOKUP($B140,'Tillförd energi'!$B$1:$AI$720,MATCH(N$2,'Tillförd energi'!$B$1:$AQ$1,0),FALSE)</f>
        <v>0</v>
      </c>
      <c r="O140" s="63">
        <f>VLOOKUP($B140,'Tillförd energi'!$B$1:$AI$720,MATCH(O$2,'Tillförd energi'!$B$1:$AQ$1,0),FALSE)</f>
        <v>0</v>
      </c>
      <c r="P140" s="63">
        <f>VLOOKUP($B140,'Tillförd energi'!$B$1:$AI$720,MATCH(P$2,'Tillförd energi'!$B$1:$AQ$1,0),FALSE)</f>
        <v>215.42699999999999</v>
      </c>
      <c r="Q140" s="63">
        <f>VLOOKUP($B140,'Tillförd energi'!$B$1:$AI$720,MATCH(Q$2,'Tillförd energi'!$B$1:$AQ$1,0),FALSE)</f>
        <v>32.788200000000003</v>
      </c>
      <c r="R140" s="63">
        <f>VLOOKUP($B140,'Tillförd energi'!$B$1:$AI$720,MATCH(R$2,'Tillförd energi'!$B$1:$AQ$1,0),FALSE)</f>
        <v>5.0949999999999998</v>
      </c>
      <c r="S140" s="63">
        <f>VLOOKUP($B140,'Tillförd energi'!$B$1:$AI$720,MATCH(S$2,'Tillförd energi'!$B$1:$AQ$1,0),FALSE)</f>
        <v>0</v>
      </c>
      <c r="T140" s="63">
        <f>VLOOKUP($B140,'Tillförd energi'!$B$1:$AI$720,MATCH(T$2,'Tillförd energi'!$B$1:$AQ$1,0),FALSE)</f>
        <v>0</v>
      </c>
      <c r="U140" s="63">
        <f>VLOOKUP($B140,'Tillförd energi'!$B$1:$AI$720,MATCH(U$2,'Tillförd energi'!$B$1:$AQ$1,0),FALSE)</f>
        <v>0</v>
      </c>
      <c r="V140" s="63">
        <f>VLOOKUP($B140,'Tillförd energi'!$B$1:$AI$720,MATCH(V$2,'Tillförd energi'!$B$1:$AQ$1,0),FALSE)</f>
        <v>0</v>
      </c>
      <c r="W140" s="63">
        <f>VLOOKUP($B140,'Tillförd energi'!$B$1:$AI$720,MATCH(W$2,'Tillförd energi'!$B$1:$AQ$1,0),FALSE)</f>
        <v>36.783000000000001</v>
      </c>
      <c r="X140" s="63">
        <f>VLOOKUP($B140,'Tillförd energi'!$B$1:$AI$720,MATCH(X$2,'Tillförd energi'!$B$1:$AQ$1,0),FALSE)</f>
        <v>0</v>
      </c>
      <c r="Y140" s="63">
        <f>VLOOKUP($B140,'Tillförd energi'!$B$1:$AI$720,MATCH(Y$2,'Tillförd energi'!$B$1:$AQ$1,0),FALSE)</f>
        <v>0</v>
      </c>
      <c r="Z140" s="63">
        <f>VLOOKUP($B140,'Tillförd energi'!$B$1:$AI$720,MATCH(Z$2,'Tillförd energi'!$B$1:$AQ$1,0),FALSE)</f>
        <v>0</v>
      </c>
      <c r="AA140" s="63">
        <f>VLOOKUP($B140,'Tillförd energi'!$B$1:$AI$720,MATCH(AA$2,'Tillförd energi'!$B$1:$AQ$1,0),FALSE)</f>
        <v>67.741</v>
      </c>
      <c r="AB140" s="63">
        <f>VLOOKUP($B140,'Tillförd energi'!$B$1:$AI$720,MATCH(AB$2,'Tillförd energi'!$B$1:$AQ$1,0),FALSE)</f>
        <v>142.4</v>
      </c>
      <c r="AC140" s="63">
        <f>VLOOKUP($B140,'Tillförd energi'!$B$1:$AI$720,MATCH(AC$2,'Tillförd energi'!$B$1:$AQ$1,0),FALSE)</f>
        <v>99.561000000000007</v>
      </c>
      <c r="AD140" s="63">
        <f>VLOOKUP($B140,'Tillförd energi'!$B$1:$AI$720,MATCH(AD$2,'Tillförd energi'!$B$1:$AQ$1,0),FALSE)</f>
        <v>10.305</v>
      </c>
      <c r="AE140" s="63">
        <f>VLOOKUP($B140,'Tillförd energi'!$B$1:$AI$720,MATCH(AE$2,'Tillförd energi'!$B$1:$AQ$1,0),FALSE)</f>
        <v>0</v>
      </c>
      <c r="AF140" s="63">
        <f>VLOOKUP($B140,'Tillförd energi'!$B$1:$AI$720,MATCH(AF$2,'Tillförd energi'!$B$1:$AQ$1,0),FALSE)</f>
        <v>24.15</v>
      </c>
      <c r="AG140" s="63">
        <f>IFERROR(VLOOKUP(B140,Miljö!$B$1:$AC$550,MATCH("Köpt mängd produktionsspecifik fjärrvärme:",Miljö!$B$1:$AC$1,0),FALSE)/1,0)</f>
        <v>130.053</v>
      </c>
      <c r="AI140" s="63">
        <f t="shared" si="12"/>
        <v>950.1902</v>
      </c>
      <c r="AJ140" s="63">
        <f>IF(ISERROR(1/VLOOKUP($B140,Leveranser!$B$1:$S$500,MATCH("såld värme (gwh)",Leveranser!$B$1:$S$1,0),FALSE)),"",VLOOKUP($B140,Leveranser!$B$1:$S$500,MATCH("såld värme (gwh)",Leveranser!$B$1:$S$1,0),FALSE))</f>
        <v>805</v>
      </c>
      <c r="AM140" s="63" t="str">
        <f>IF(B140&lt;&gt;"",IF(VLOOKUP($B140,Totalt!$B$1:$AQ$554,MATCH("Kvalitetsgranskad:",Totalt!$B$1:$AQ$1,0),FALSE)="ja",VLOOKUP($B140,Miljö!$B$1:$AG$479,MATCH(AM$2,Miljö!$B$1:$AK$1,0),FALSE),""),"")</f>
        <v>Ja</v>
      </c>
      <c r="AN140" s="63" t="str">
        <f>IF(AM140="ja",VLOOKUP($B140,Miljö!$B$1:$J$479,MATCH("Typ av ursprungsspecificerad el   (Om inget värde anges används Nordisk residualmix, se inforuta) ()",Miljö!$B$1:$J$1,0),FALSE),IF(AM140="nej","Nordisk residualel",""))</f>
        <v>'biokraft. vindkraft. sol'</v>
      </c>
      <c r="AO140" s="63">
        <f>IF(AM140="","",VLOOKUP($B140,Miljö!$B$1:$J$479,MATCH("Fossilandel för ursprungspecificerad el ()",Miljö!$B$1:$J$1,0),FALSE))</f>
        <v>0</v>
      </c>
      <c r="AQ140" s="63">
        <f t="shared" si="13"/>
        <v>1</v>
      </c>
      <c r="AS140" s="63" t="str">
        <f t="shared" si="14"/>
        <v>Ja</v>
      </c>
      <c r="AT140" s="63">
        <f>IF(AS140="ja",VLOOKUP($B140,Miljö!$B$1:$P$500,MATCH("Fossil andel i procent (%)",Miljö!$B$1:$P$1,0),FALSE)/100,"")</f>
        <v>0</v>
      </c>
      <c r="AV140" s="63" t="str">
        <f t="shared" si="15"/>
        <v>Ja</v>
      </c>
      <c r="AW140" s="63" t="str">
        <f>IF(AV140="ja",VLOOKUP($B140,'Egen hetvattenprod'!$B$1:$AO$500,MATCH("Värmekälla till värmepumpar ()",'Egen hetvattenprod'!$B$1:$AO$1,0),FALSE),"")</f>
        <v>Geotermi</v>
      </c>
      <c r="AY140" s="63" t="str">
        <f t="shared" si="16"/>
        <v>Ja</v>
      </c>
      <c r="AZ140" s="77">
        <f>IF($AY140="ja",(VLOOKUP($B140,'Egen hetvattenprod'!$B$1:$BX$550,MATCH(AZ$2,'Egen hetvattenprod'!$B$1:$BX$1,0),FALSE)+VLOOKUP($B140,Kraftvärmeprod!$B$1:$BX$550,MATCH(AZ$2,Kraftvärmeprod!$B$1:$BX$1,0),FALSE))/$AC140,"")</f>
        <v>0.99999999999999989</v>
      </c>
      <c r="BA140" s="77">
        <f>IF($AY140="ja",(VLOOKUP($B140,'Egen hetvattenprod'!$B$1:$BX$550,MATCH(BA$2,'Egen hetvattenprod'!$B$1:$BX$1,0),FALSE)+VLOOKUP($B140,Kraftvärmeprod!$B$1:$BX$550,MATCH(BA$2,Kraftvärmeprod!$B$1:$BX$1,0),FALSE))/$AC140,"")</f>
        <v>0</v>
      </c>
      <c r="BB140" s="77">
        <f>IF($AY140="ja",(VLOOKUP($B140,'Egen hetvattenprod'!$B$1:$BX$550,MATCH(BB$2,'Egen hetvattenprod'!$B$1:$BX$1,0),FALSE)+VLOOKUP($B140,Kraftvärmeprod!$B$1:$BX$550,MATCH(BB$2,Kraftvärmeprod!$B$1:$BX$1,0),FALSE))/$AC140,"")</f>
        <v>0</v>
      </c>
      <c r="BC140" s="77">
        <f>IF($AY140="ja",(VLOOKUP($B140,'Egen hetvattenprod'!$B$1:$BX$550,MATCH(BC$2,'Egen hetvattenprod'!$B$1:$BX$1,0),FALSE)+VLOOKUP($B140,Kraftvärmeprod!$B$1:$BX$550,MATCH(BC$2,Kraftvärmeprod!$B$1:$BX$1,0),FALSE))/$AC140,"")</f>
        <v>0</v>
      </c>
      <c r="BD140" s="77">
        <f>IF($AY140="ja",(VLOOKUP($B140,'Egen hetvattenprod'!$B$1:$BX$550,MATCH(BD$2,'Egen hetvattenprod'!$B$1:$BX$1,0),FALSE)+VLOOKUP($B140,Kraftvärmeprod!$B$1:$BX$550,MATCH(BD$2,Kraftvärmeprod!$B$1:$BX$1,0),FALSE))/$AC140,"")</f>
        <v>0</v>
      </c>
      <c r="BF140" s="63" t="str">
        <f t="shared" si="17"/>
        <v>Nej</v>
      </c>
      <c r="BG140" s="63" t="str">
        <f>IF($BF140="ja",VLOOKUP($B140,'Egen hetvattenprod'!$B$1:$BX$550,MATCH("Andelen klimatgaser med fossilt ursprung för avfall ()",'Egen hetvattenprod'!$B$1:$BX$1,0),FALSE),"")</f>
        <v/>
      </c>
      <c r="BH140" s="63" t="str">
        <f>IF($BF140="ja",VLOOKUP($B140,Kraftvärmeprod!$B$1:$BX$550,MATCH("Andelen klimatgaser med fossilt ursprung för avfall ()",Kraftvärmeprod!$B$1:$BX$1,0),FALSE),"")</f>
        <v/>
      </c>
      <c r="BI140" s="63" t="str">
        <f>IF($BF140="ja",VLOOKUP($B140,'Egen hetvattenprod'!$B$1:$BX$550,MATCH("Avfall (GWh)",'Egen hetvattenprod'!$B$1:$BX$1,0),FALSE),"")</f>
        <v/>
      </c>
      <c r="BJ140" s="63" t="str">
        <f>IF($BF140="ja",VLOOKUP($B140,'Slutlig allokering kvv'!$B$1:$BX$550,MATCH("Avfall (GWh)",'Slutlig allokering kvv'!$B$1:$BX$1,0),FALSE),"")</f>
        <v/>
      </c>
      <c r="BK140" s="63" t="str">
        <f>IF($BF140="ja",VLOOKUP($B140,'Köpt hetvatten'!$B$1:$BX$550,MATCH("Avfall i köpt hetvatten",'Köpt hetvatten'!$B$1:$BX$1,0),FALSE),"")</f>
        <v/>
      </c>
      <c r="BL140" s="63" t="str">
        <f>IF($BF140="ja",VLOOKUP($B140,'Egen hetvattenprod'!$B$1:$BX$550,MATCH("Värde enligt ovan. (%)",'Egen hetvattenprod'!$B$1:$BX$1,0),FALSE),"")</f>
        <v/>
      </c>
      <c r="BM140" s="63" t="str">
        <f>IF($BF140="ja",VLOOKUP($B140,Kraftvärmeprod!$B$1:$BX$550,MATCH("Värde enligt ovan. (%)",Kraftvärmeprod!$B$1:$BX$1,0),FALSE),"")</f>
        <v/>
      </c>
    </row>
    <row r="141" spans="1:65" x14ac:dyDescent="0.45">
      <c r="A141" s="63" t="s">
        <v>498</v>
      </c>
      <c r="B141" s="63" t="s">
        <v>497</v>
      </c>
      <c r="C141" s="63">
        <f>VLOOKUP($B141,'Tillförd energi'!$B$1:$AI$720,MATCH(C$2,'Tillförd energi'!$B$1:$AQ$1,0),FALSE)</f>
        <v>0</v>
      </c>
      <c r="D141" s="63">
        <f>VLOOKUP($B141,'Tillförd energi'!$B$1:$AI$720,MATCH(D$2,'Tillförd energi'!$B$1:$AQ$1,0),FALSE)</f>
        <v>0</v>
      </c>
      <c r="E141" s="63">
        <f>VLOOKUP($B141,'Tillförd energi'!$B$1:$AI$720,MATCH(E$2,'Tillförd energi'!$B$1:$AQ$1,0),FALSE)</f>
        <v>0</v>
      </c>
      <c r="F141" s="63">
        <f>VLOOKUP($B141,'Tillförd energi'!$B$1:$AI$720,MATCH(F$2,'Tillförd energi'!$B$1:$AQ$1,0),FALSE)</f>
        <v>0</v>
      </c>
      <c r="G141" s="63">
        <f>VLOOKUP($B141,'Tillförd energi'!$B$1:$AI$720,MATCH(G$2,'Tillförd energi'!$B$1:$AQ$1,0),FALSE)</f>
        <v>0</v>
      </c>
      <c r="H141" s="63">
        <f>VLOOKUP($B141,'Tillförd energi'!$B$1:$AI$720,MATCH(H$2,'Tillförd energi'!$B$1:$AQ$1,0),FALSE)</f>
        <v>0</v>
      </c>
      <c r="I141" s="63">
        <f>VLOOKUP($B141,'Tillförd energi'!$B$1:$AI$720,MATCH(I$2,'Tillförd energi'!$B$1:$AQ$1,0),FALSE)</f>
        <v>0</v>
      </c>
      <c r="J141" s="63">
        <f>VLOOKUP($B141,'Tillförd energi'!$B$1:$AI$720,MATCH(J$2,'Tillförd energi'!$B$1:$AQ$1,0),FALSE)</f>
        <v>3.91</v>
      </c>
      <c r="K141" s="63">
        <f>VLOOKUP($B141,'Tillförd energi'!$B$1:$AI$720,MATCH(K$2,'Tillförd energi'!$B$1:$AQ$1,0),FALSE)</f>
        <v>0</v>
      </c>
      <c r="L141" s="63">
        <f>VLOOKUP($B141,'Tillförd energi'!$B$1:$AI$720,MATCH(L$2,'Tillförd energi'!$B$1:$AQ$1,0),FALSE)</f>
        <v>0</v>
      </c>
      <c r="M141" s="63">
        <f>VLOOKUP($B141,'Tillförd energi'!$B$1:$AI$720,MATCH(M$2,'Tillförd energi'!$B$1:$AQ$1,0),FALSE)</f>
        <v>0</v>
      </c>
      <c r="N141" s="63">
        <f>VLOOKUP($B141,'Tillförd energi'!$B$1:$AI$720,MATCH(N$2,'Tillförd energi'!$B$1:$AQ$1,0),FALSE)</f>
        <v>0</v>
      </c>
      <c r="O141" s="63">
        <f>VLOOKUP($B141,'Tillförd energi'!$B$1:$AI$720,MATCH(O$2,'Tillförd energi'!$B$1:$AQ$1,0),FALSE)</f>
        <v>0</v>
      </c>
      <c r="P141" s="63">
        <f>VLOOKUP($B141,'Tillförd energi'!$B$1:$AI$720,MATCH(P$2,'Tillförd energi'!$B$1:$AQ$1,0),FALSE)</f>
        <v>41.27</v>
      </c>
      <c r="Q141" s="63">
        <f>VLOOKUP($B141,'Tillförd energi'!$B$1:$AI$720,MATCH(Q$2,'Tillförd energi'!$B$1:$AQ$1,0),FALSE)</f>
        <v>0</v>
      </c>
      <c r="R141" s="63">
        <f>VLOOKUP($B141,'Tillförd energi'!$B$1:$AI$720,MATCH(R$2,'Tillförd energi'!$B$1:$AQ$1,0),FALSE)</f>
        <v>3.24</v>
      </c>
      <c r="S141" s="63">
        <f>VLOOKUP($B141,'Tillförd energi'!$B$1:$AI$720,MATCH(S$2,'Tillförd energi'!$B$1:$AQ$1,0),FALSE)</f>
        <v>12.72</v>
      </c>
      <c r="T141" s="63">
        <f>VLOOKUP($B141,'Tillförd energi'!$B$1:$AI$720,MATCH(T$2,'Tillförd energi'!$B$1:$AQ$1,0),FALSE)</f>
        <v>0</v>
      </c>
      <c r="U141" s="63">
        <f>VLOOKUP($B141,'Tillförd energi'!$B$1:$AI$720,MATCH(U$2,'Tillförd energi'!$B$1:$AQ$1,0),FALSE)</f>
        <v>0</v>
      </c>
      <c r="V141" s="63">
        <f>VLOOKUP($B141,'Tillförd energi'!$B$1:$AI$720,MATCH(V$2,'Tillförd energi'!$B$1:$AQ$1,0),FALSE)</f>
        <v>0</v>
      </c>
      <c r="W141" s="63">
        <f>VLOOKUP($B141,'Tillförd energi'!$B$1:$AI$720,MATCH(W$2,'Tillförd energi'!$B$1:$AQ$1,0),FALSE)</f>
        <v>3.55</v>
      </c>
      <c r="X141" s="63">
        <f>VLOOKUP($B141,'Tillförd energi'!$B$1:$AI$720,MATCH(X$2,'Tillförd energi'!$B$1:$AQ$1,0),FALSE)</f>
        <v>0</v>
      </c>
      <c r="Y141" s="63">
        <f>VLOOKUP($B141,'Tillförd energi'!$B$1:$AI$720,MATCH(Y$2,'Tillförd energi'!$B$1:$AQ$1,0),FALSE)</f>
        <v>0</v>
      </c>
      <c r="Z141" s="63">
        <f>VLOOKUP($B141,'Tillförd energi'!$B$1:$AI$720,MATCH(Z$2,'Tillförd energi'!$B$1:$AQ$1,0),FALSE)</f>
        <v>0.33800000000000002</v>
      </c>
      <c r="AA141" s="63">
        <f>VLOOKUP($B141,'Tillförd energi'!$B$1:$AI$720,MATCH(AA$2,'Tillförd energi'!$B$1:$AQ$1,0),FALSE)</f>
        <v>0</v>
      </c>
      <c r="AB141" s="63">
        <f>VLOOKUP($B141,'Tillförd energi'!$B$1:$AI$720,MATCH(AB$2,'Tillförd energi'!$B$1:$AQ$1,0),FALSE)</f>
        <v>0</v>
      </c>
      <c r="AC141" s="63">
        <f>VLOOKUP($B141,'Tillförd energi'!$B$1:$AI$720,MATCH(AC$2,'Tillförd energi'!$B$1:$AQ$1,0),FALSE)</f>
        <v>2.95</v>
      </c>
      <c r="AD141" s="63">
        <f>VLOOKUP($B141,'Tillförd energi'!$B$1:$AI$720,MATCH(AD$2,'Tillförd energi'!$B$1:$AQ$1,0),FALSE)</f>
        <v>0</v>
      </c>
      <c r="AE141" s="63">
        <f>VLOOKUP($B141,'Tillförd energi'!$B$1:$AI$720,MATCH(AE$2,'Tillförd energi'!$B$1:$AQ$1,0),FALSE)</f>
        <v>0</v>
      </c>
      <c r="AF141" s="63">
        <f>VLOOKUP($B141,'Tillförd energi'!$B$1:$AI$720,MATCH(AF$2,'Tillförd energi'!$B$1:$AQ$1,0),FALSE)</f>
        <v>1.53</v>
      </c>
      <c r="AG141" s="63">
        <f>IFERROR(VLOOKUP(B141,Miljö!$B$1:$AC$550,MATCH("Köpt mängd produktionsspecifik fjärrvärme:",Miljö!$B$1:$AC$1,0),FALSE)/1,0)</f>
        <v>0</v>
      </c>
      <c r="AI141" s="63">
        <f t="shared" si="12"/>
        <v>69.50800000000001</v>
      </c>
      <c r="AJ141" s="63">
        <f>IF(ISERROR(1/VLOOKUP($B141,Leveranser!$B$1:$S$500,MATCH("såld värme (gwh)",Leveranser!$B$1:$S$1,0),FALSE)),"",VLOOKUP($B141,Leveranser!$B$1:$S$500,MATCH("såld värme (gwh)",Leveranser!$B$1:$S$1,0),FALSE))</f>
        <v>51</v>
      </c>
      <c r="AM141" s="63" t="str">
        <f>IF(B141&lt;&gt;"",IF(VLOOKUP($B141,Totalt!$B$1:$AQ$554,MATCH("Kvalitetsgranskad:",Totalt!$B$1:$AQ$1,0),FALSE)="ja",VLOOKUP($B141,Miljö!$B$1:$AG$479,MATCH(AM$2,Miljö!$B$1:$AK$1,0),FALSE),""),"")</f>
        <v>Ja</v>
      </c>
      <c r="AN141" s="63" t="str">
        <f>IF(AM141="ja",VLOOKUP($B141,Miljö!$B$1:$J$479,MATCH("Typ av ursprungsspecificerad el   (Om inget värde anges används Nordisk residualmix, se inforuta) ()",Miljö!$B$1:$J$1,0),FALSE),IF(AM141="nej","Nordisk residualel",""))</f>
        <v>'biokraft. vind. sol'</v>
      </c>
      <c r="AO141" s="63">
        <f>IF(AM141="","",VLOOKUP($B141,Miljö!$B$1:$J$479,MATCH("Fossilandel för ursprungspecificerad el ()",Miljö!$B$1:$J$1,0),FALSE))</f>
        <v>0</v>
      </c>
      <c r="AQ141" s="63">
        <f t="shared" si="13"/>
        <v>1</v>
      </c>
      <c r="AS141" s="63" t="str">
        <f t="shared" si="14"/>
        <v>Nej</v>
      </c>
      <c r="AT141" s="63" t="str">
        <f>IF(AS141="ja",VLOOKUP($B141,Miljö!$B$1:$P$500,MATCH("Fossil andel i procent (%)",Miljö!$B$1:$P$1,0),FALSE)/100,"")</f>
        <v/>
      </c>
      <c r="AV141" s="63" t="str">
        <f t="shared" si="15"/>
        <v>Nej</v>
      </c>
      <c r="AW141" s="63" t="str">
        <f>IF(AV141="ja",VLOOKUP($B141,'Egen hetvattenprod'!$B$1:$AO$500,MATCH("Värmekälla till värmepumpar ()",'Egen hetvattenprod'!$B$1:$AO$1,0),FALSE),"")</f>
        <v/>
      </c>
      <c r="AY141" s="63" t="str">
        <f t="shared" si="16"/>
        <v>Ja</v>
      </c>
      <c r="AZ141" s="77">
        <f>IF($AY141="ja",(VLOOKUP($B141,'Egen hetvattenprod'!$B$1:$BX$550,MATCH(AZ$2,'Egen hetvattenprod'!$B$1:$BX$1,0),FALSE)+VLOOKUP($B141,Kraftvärmeprod!$B$1:$BX$550,MATCH(AZ$2,Kraftvärmeprod!$B$1:$BX$1,0),FALSE))/$AC141,"")</f>
        <v>1</v>
      </c>
      <c r="BA141" s="77">
        <f>IF($AY141="ja",(VLOOKUP($B141,'Egen hetvattenprod'!$B$1:$BX$550,MATCH(BA$2,'Egen hetvattenprod'!$B$1:$BX$1,0),FALSE)+VLOOKUP($B141,Kraftvärmeprod!$B$1:$BX$550,MATCH(BA$2,Kraftvärmeprod!$B$1:$BX$1,0),FALSE))/$AC141,"")</f>
        <v>0</v>
      </c>
      <c r="BB141" s="77">
        <f>IF($AY141="ja",(VLOOKUP($B141,'Egen hetvattenprod'!$B$1:$BX$550,MATCH(BB$2,'Egen hetvattenprod'!$B$1:$BX$1,0),FALSE)+VLOOKUP($B141,Kraftvärmeprod!$B$1:$BX$550,MATCH(BB$2,Kraftvärmeprod!$B$1:$BX$1,0),FALSE))/$AC141,"")</f>
        <v>0</v>
      </c>
      <c r="BC141" s="77">
        <f>IF($AY141="ja",(VLOOKUP($B141,'Egen hetvattenprod'!$B$1:$BX$550,MATCH(BC$2,'Egen hetvattenprod'!$B$1:$BX$1,0),FALSE)+VLOOKUP($B141,Kraftvärmeprod!$B$1:$BX$550,MATCH(BC$2,Kraftvärmeprod!$B$1:$BX$1,0),FALSE))/$AC141,"")</f>
        <v>0</v>
      </c>
      <c r="BD141" s="77">
        <f>IF($AY141="ja",(VLOOKUP($B141,'Egen hetvattenprod'!$B$1:$BX$550,MATCH(BD$2,'Egen hetvattenprod'!$B$1:$BX$1,0),FALSE)+VLOOKUP($B141,Kraftvärmeprod!$B$1:$BX$550,MATCH(BD$2,Kraftvärmeprod!$B$1:$BX$1,0),FALSE))/$AC141,"")</f>
        <v>0</v>
      </c>
      <c r="BF141" s="63" t="str">
        <f t="shared" si="17"/>
        <v>Nej</v>
      </c>
      <c r="BG141" s="63" t="str">
        <f>IF($BF141="ja",VLOOKUP($B141,'Egen hetvattenprod'!$B$1:$BX$550,MATCH("Andelen klimatgaser med fossilt ursprung för avfall ()",'Egen hetvattenprod'!$B$1:$BX$1,0),FALSE),"")</f>
        <v/>
      </c>
      <c r="BH141" s="63" t="str">
        <f>IF($BF141="ja",VLOOKUP($B141,Kraftvärmeprod!$B$1:$BX$550,MATCH("Andelen klimatgaser med fossilt ursprung för avfall ()",Kraftvärmeprod!$B$1:$BX$1,0),FALSE),"")</f>
        <v/>
      </c>
      <c r="BI141" s="63" t="str">
        <f>IF($BF141="ja",VLOOKUP($B141,'Egen hetvattenprod'!$B$1:$BX$550,MATCH("Avfall (GWh)",'Egen hetvattenprod'!$B$1:$BX$1,0),FALSE),"")</f>
        <v/>
      </c>
      <c r="BJ141" s="63" t="str">
        <f>IF($BF141="ja",VLOOKUP($B141,'Slutlig allokering kvv'!$B$1:$BX$550,MATCH("Avfall (GWh)",'Slutlig allokering kvv'!$B$1:$BX$1,0),FALSE),"")</f>
        <v/>
      </c>
      <c r="BK141" s="63" t="str">
        <f>IF($BF141="ja",VLOOKUP($B141,'Köpt hetvatten'!$B$1:$BX$550,MATCH("Avfall i köpt hetvatten",'Köpt hetvatten'!$B$1:$BX$1,0),FALSE),"")</f>
        <v/>
      </c>
      <c r="BL141" s="63" t="str">
        <f>IF($BF141="ja",VLOOKUP($B141,'Egen hetvattenprod'!$B$1:$BX$550,MATCH("Värde enligt ovan. (%)",'Egen hetvattenprod'!$B$1:$BX$1,0),FALSE),"")</f>
        <v/>
      </c>
      <c r="BM141" s="63" t="str">
        <f>IF($BF141="ja",VLOOKUP($B141,Kraftvärmeprod!$B$1:$BX$550,MATCH("Värde enligt ovan. (%)",Kraftvärmeprod!$B$1:$BX$1,0),FALSE),"")</f>
        <v/>
      </c>
    </row>
    <row r="142" spans="1:65" x14ac:dyDescent="0.45">
      <c r="A142" s="63" t="s">
        <v>493</v>
      </c>
      <c r="B142" s="63" t="s">
        <v>496</v>
      </c>
      <c r="C142" s="63">
        <f>VLOOKUP($B142,'Tillförd energi'!$B$1:$AI$720,MATCH(C$2,'Tillförd energi'!$B$1:$AQ$1,0),FALSE)</f>
        <v>0</v>
      </c>
      <c r="D142" s="63">
        <f>VLOOKUP($B142,'Tillförd energi'!$B$1:$AI$720,MATCH(D$2,'Tillförd energi'!$B$1:$AQ$1,0),FALSE)</f>
        <v>0.16</v>
      </c>
      <c r="E142" s="63">
        <f>VLOOKUP($B142,'Tillförd energi'!$B$1:$AI$720,MATCH(E$2,'Tillförd energi'!$B$1:$AQ$1,0),FALSE)</f>
        <v>0</v>
      </c>
      <c r="F142" s="63">
        <f>VLOOKUP($B142,'Tillförd energi'!$B$1:$AI$720,MATCH(F$2,'Tillförd energi'!$B$1:$AQ$1,0),FALSE)</f>
        <v>0</v>
      </c>
      <c r="G142" s="63">
        <f>VLOOKUP($B142,'Tillförd energi'!$B$1:$AI$720,MATCH(G$2,'Tillförd energi'!$B$1:$AQ$1,0),FALSE)</f>
        <v>0</v>
      </c>
      <c r="H142" s="63">
        <f>VLOOKUP($B142,'Tillförd energi'!$B$1:$AI$720,MATCH(H$2,'Tillförd energi'!$B$1:$AQ$1,0),FALSE)</f>
        <v>0</v>
      </c>
      <c r="I142" s="63">
        <f>VLOOKUP($B142,'Tillförd energi'!$B$1:$AI$720,MATCH(I$2,'Tillförd energi'!$B$1:$AQ$1,0),FALSE)</f>
        <v>0</v>
      </c>
      <c r="J142" s="63">
        <f>VLOOKUP($B142,'Tillförd energi'!$B$1:$AI$720,MATCH(J$2,'Tillförd energi'!$B$1:$AQ$1,0),FALSE)</f>
        <v>0</v>
      </c>
      <c r="K142" s="63">
        <f>VLOOKUP($B142,'Tillförd energi'!$B$1:$AI$720,MATCH(K$2,'Tillförd energi'!$B$1:$AQ$1,0),FALSE)</f>
        <v>0</v>
      </c>
      <c r="L142" s="63">
        <f>VLOOKUP($B142,'Tillförd energi'!$B$1:$AI$720,MATCH(L$2,'Tillförd energi'!$B$1:$AQ$1,0),FALSE)</f>
        <v>0</v>
      </c>
      <c r="M142" s="63">
        <f>VLOOKUP($B142,'Tillförd energi'!$B$1:$AI$720,MATCH(M$2,'Tillförd energi'!$B$1:$AQ$1,0),FALSE)</f>
        <v>0</v>
      </c>
      <c r="N142" s="63">
        <f>VLOOKUP($B142,'Tillförd energi'!$B$1:$AI$720,MATCH(N$2,'Tillförd energi'!$B$1:$AQ$1,0),FALSE)</f>
        <v>0</v>
      </c>
      <c r="O142" s="63">
        <f>VLOOKUP($B142,'Tillförd energi'!$B$1:$AI$720,MATCH(O$2,'Tillförd energi'!$B$1:$AQ$1,0),FALSE)</f>
        <v>0</v>
      </c>
      <c r="P142" s="63">
        <f>VLOOKUP($B142,'Tillförd energi'!$B$1:$AI$720,MATCH(P$2,'Tillförd energi'!$B$1:$AQ$1,0),FALSE)</f>
        <v>0</v>
      </c>
      <c r="Q142" s="63">
        <f>VLOOKUP($B142,'Tillförd energi'!$B$1:$AI$720,MATCH(Q$2,'Tillförd energi'!$B$1:$AQ$1,0),FALSE)</f>
        <v>0</v>
      </c>
      <c r="R142" s="63">
        <f>VLOOKUP($B142,'Tillförd energi'!$B$1:$AI$720,MATCH(R$2,'Tillförd energi'!$B$1:$AQ$1,0),FALSE)</f>
        <v>1.117</v>
      </c>
      <c r="S142" s="63">
        <f>VLOOKUP($B142,'Tillförd energi'!$B$1:$AI$720,MATCH(S$2,'Tillförd energi'!$B$1:$AQ$1,0),FALSE)</f>
        <v>0</v>
      </c>
      <c r="T142" s="63">
        <f>VLOOKUP($B142,'Tillförd energi'!$B$1:$AI$720,MATCH(T$2,'Tillförd energi'!$B$1:$AQ$1,0),FALSE)</f>
        <v>0</v>
      </c>
      <c r="U142" s="63">
        <f>VLOOKUP($B142,'Tillförd energi'!$B$1:$AI$720,MATCH(U$2,'Tillförd energi'!$B$1:$AQ$1,0),FALSE)</f>
        <v>0</v>
      </c>
      <c r="V142" s="63">
        <f>VLOOKUP($B142,'Tillförd energi'!$B$1:$AI$720,MATCH(V$2,'Tillförd energi'!$B$1:$AQ$1,0),FALSE)</f>
        <v>0</v>
      </c>
      <c r="W142" s="63">
        <f>VLOOKUP($B142,'Tillförd energi'!$B$1:$AI$720,MATCH(W$2,'Tillförd energi'!$B$1:$AQ$1,0),FALSE)</f>
        <v>0</v>
      </c>
      <c r="X142" s="63">
        <f>VLOOKUP($B142,'Tillförd energi'!$B$1:$AI$720,MATCH(X$2,'Tillförd energi'!$B$1:$AQ$1,0),FALSE)</f>
        <v>0</v>
      </c>
      <c r="Y142" s="63">
        <f>VLOOKUP($B142,'Tillförd energi'!$B$1:$AI$720,MATCH(Y$2,'Tillförd energi'!$B$1:$AQ$1,0),FALSE)</f>
        <v>0</v>
      </c>
      <c r="Z142" s="63">
        <f>VLOOKUP($B142,'Tillförd energi'!$B$1:$AI$720,MATCH(Z$2,'Tillförd energi'!$B$1:$AQ$1,0),FALSE)</f>
        <v>0</v>
      </c>
      <c r="AA142" s="63">
        <f>VLOOKUP($B142,'Tillförd energi'!$B$1:$AI$720,MATCH(AA$2,'Tillförd energi'!$B$1:$AQ$1,0),FALSE)</f>
        <v>0</v>
      </c>
      <c r="AB142" s="63">
        <f>VLOOKUP($B142,'Tillförd energi'!$B$1:$AI$720,MATCH(AB$2,'Tillförd energi'!$B$1:$AQ$1,0),FALSE)</f>
        <v>0</v>
      </c>
      <c r="AC142" s="63">
        <f>VLOOKUP($B142,'Tillförd energi'!$B$1:$AI$720,MATCH(AC$2,'Tillförd energi'!$B$1:$AQ$1,0),FALSE)</f>
        <v>0</v>
      </c>
      <c r="AD142" s="63">
        <f>VLOOKUP($B142,'Tillförd energi'!$B$1:$AI$720,MATCH(AD$2,'Tillförd energi'!$B$1:$AQ$1,0),FALSE)</f>
        <v>0</v>
      </c>
      <c r="AE142" s="63">
        <f>VLOOKUP($B142,'Tillförd energi'!$B$1:$AI$720,MATCH(AE$2,'Tillförd energi'!$B$1:$AQ$1,0),FALSE)</f>
        <v>0</v>
      </c>
      <c r="AF142" s="63">
        <f>VLOOKUP($B142,'Tillförd energi'!$B$1:$AI$720,MATCH(AF$2,'Tillförd energi'!$B$1:$AQ$1,0),FALSE)</f>
        <v>2.1999999999999999E-2</v>
      </c>
      <c r="AG142" s="63">
        <f>IFERROR(VLOOKUP(B142,Miljö!$B$1:$AC$550,MATCH("Köpt mängd produktionsspecifik fjärrvärme:",Miljö!$B$1:$AC$1,0),FALSE)/1,0)</f>
        <v>0</v>
      </c>
      <c r="AI142" s="63">
        <f t="shared" si="12"/>
        <v>1.2989999999999999</v>
      </c>
      <c r="AJ142" s="63">
        <f>IF(ISERROR(1/VLOOKUP($B142,Leveranser!$B$1:$S$500,MATCH("såld värme (gwh)",Leveranser!$B$1:$S$1,0),FALSE)),"",VLOOKUP($B142,Leveranser!$B$1:$S$500,MATCH("såld värme (gwh)",Leveranser!$B$1:$S$1,0),FALSE))</f>
        <v>1.095</v>
      </c>
      <c r="AM142" s="63" t="str">
        <f>IF(B142&lt;&gt;"",IF(VLOOKUP($B142,Totalt!$B$1:$AQ$554,MATCH("Kvalitetsgranskad:",Totalt!$B$1:$AQ$1,0),FALSE)="ja",VLOOKUP($B142,Miljö!$B$1:$AG$479,MATCH(AM$2,Miljö!$B$1:$AK$1,0),FALSE),""),"")</f>
        <v>Ja</v>
      </c>
      <c r="AN142" s="63" t="str">
        <f>IF(AM142="ja",VLOOKUP($B142,Miljö!$B$1:$J$479,MATCH("Typ av ursprungsspecificerad el   (Om inget värde anges används Nordisk residualmix, se inforuta) ()",Miljö!$B$1:$J$1,0),FALSE),IF(AM142="nej","Nordisk residualel",""))</f>
        <v>'vattenkraft'</v>
      </c>
      <c r="AO142" s="63">
        <f>IF(AM142="","",VLOOKUP($B142,Miljö!$B$1:$J$479,MATCH("Fossilandel för ursprungspecificerad el ()",Miljö!$B$1:$J$1,0),FALSE))</f>
        <v>0</v>
      </c>
      <c r="AQ142" s="63">
        <f t="shared" si="13"/>
        <v>1</v>
      </c>
      <c r="AS142" s="63" t="str">
        <f t="shared" si="14"/>
        <v>Nej</v>
      </c>
      <c r="AT142" s="63" t="str">
        <f>IF(AS142="ja",VLOOKUP($B142,Miljö!$B$1:$P$500,MATCH("Fossil andel i procent (%)",Miljö!$B$1:$P$1,0),FALSE)/100,"")</f>
        <v/>
      </c>
      <c r="AV142" s="63" t="str">
        <f t="shared" si="15"/>
        <v>Nej</v>
      </c>
      <c r="AW142" s="63" t="str">
        <f>IF(AV142="ja",VLOOKUP($B142,'Egen hetvattenprod'!$B$1:$AO$500,MATCH("Värmekälla till värmepumpar ()",'Egen hetvattenprod'!$B$1:$AO$1,0),FALSE),"")</f>
        <v/>
      </c>
      <c r="AY142" s="63" t="str">
        <f t="shared" si="16"/>
        <v>Nej</v>
      </c>
      <c r="AZ142" s="77" t="str">
        <f>IF($AY142="ja",(VLOOKUP($B142,'Egen hetvattenprod'!$B$1:$BX$550,MATCH(AZ$2,'Egen hetvattenprod'!$B$1:$BX$1,0),FALSE)+VLOOKUP($B142,Kraftvärmeprod!$B$1:$BX$550,MATCH(AZ$2,Kraftvärmeprod!$B$1:$BX$1,0),FALSE))/$AC142,"")</f>
        <v/>
      </c>
      <c r="BA142" s="77" t="str">
        <f>IF($AY142="ja",(VLOOKUP($B142,'Egen hetvattenprod'!$B$1:$BX$550,MATCH(BA$2,'Egen hetvattenprod'!$B$1:$BX$1,0),FALSE)+VLOOKUP($B142,Kraftvärmeprod!$B$1:$BX$550,MATCH(BA$2,Kraftvärmeprod!$B$1:$BX$1,0),FALSE))/$AC142,"")</f>
        <v/>
      </c>
      <c r="BB142" s="77" t="str">
        <f>IF($AY142="ja",(VLOOKUP($B142,'Egen hetvattenprod'!$B$1:$BX$550,MATCH(BB$2,'Egen hetvattenprod'!$B$1:$BX$1,0),FALSE)+VLOOKUP($B142,Kraftvärmeprod!$B$1:$BX$550,MATCH(BB$2,Kraftvärmeprod!$B$1:$BX$1,0),FALSE))/$AC142,"")</f>
        <v/>
      </c>
      <c r="BC142" s="77" t="str">
        <f>IF($AY142="ja",(VLOOKUP($B142,'Egen hetvattenprod'!$B$1:$BX$550,MATCH(BC$2,'Egen hetvattenprod'!$B$1:$BX$1,0),FALSE)+VLOOKUP($B142,Kraftvärmeprod!$B$1:$BX$550,MATCH(BC$2,Kraftvärmeprod!$B$1:$BX$1,0),FALSE))/$AC142,"")</f>
        <v/>
      </c>
      <c r="BD142" s="77" t="str">
        <f>IF($AY142="ja",(VLOOKUP($B142,'Egen hetvattenprod'!$B$1:$BX$550,MATCH(BD$2,'Egen hetvattenprod'!$B$1:$BX$1,0),FALSE)+VLOOKUP($B142,Kraftvärmeprod!$B$1:$BX$550,MATCH(BD$2,Kraftvärmeprod!$B$1:$BX$1,0),FALSE))/$AC142,"")</f>
        <v/>
      </c>
      <c r="BF142" s="63" t="str">
        <f t="shared" si="17"/>
        <v>Nej</v>
      </c>
      <c r="BG142" s="63" t="str">
        <f>IF($BF142="ja",VLOOKUP($B142,'Egen hetvattenprod'!$B$1:$BX$550,MATCH("Andelen klimatgaser med fossilt ursprung för avfall ()",'Egen hetvattenprod'!$B$1:$BX$1,0),FALSE),"")</f>
        <v/>
      </c>
      <c r="BH142" s="63" t="str">
        <f>IF($BF142="ja",VLOOKUP($B142,Kraftvärmeprod!$B$1:$BX$550,MATCH("Andelen klimatgaser med fossilt ursprung för avfall ()",Kraftvärmeprod!$B$1:$BX$1,0),FALSE),"")</f>
        <v/>
      </c>
      <c r="BI142" s="63" t="str">
        <f>IF($BF142="ja",VLOOKUP($B142,'Egen hetvattenprod'!$B$1:$BX$550,MATCH("Avfall (GWh)",'Egen hetvattenprod'!$B$1:$BX$1,0),FALSE),"")</f>
        <v/>
      </c>
      <c r="BJ142" s="63" t="str">
        <f>IF($BF142="ja",VLOOKUP($B142,'Slutlig allokering kvv'!$B$1:$BX$550,MATCH("Avfall (GWh)",'Slutlig allokering kvv'!$B$1:$BX$1,0),FALSE),"")</f>
        <v/>
      </c>
      <c r="BK142" s="63" t="str">
        <f>IF($BF142="ja",VLOOKUP($B142,'Köpt hetvatten'!$B$1:$BX$550,MATCH("Avfall i köpt hetvatten",'Köpt hetvatten'!$B$1:$BX$1,0),FALSE),"")</f>
        <v/>
      </c>
      <c r="BL142" s="63" t="str">
        <f>IF($BF142="ja",VLOOKUP($B142,'Egen hetvattenprod'!$B$1:$BX$550,MATCH("Värde enligt ovan. (%)",'Egen hetvattenprod'!$B$1:$BX$1,0),FALSE),"")</f>
        <v/>
      </c>
      <c r="BM142" s="63" t="str">
        <f>IF($BF142="ja",VLOOKUP($B142,Kraftvärmeprod!$B$1:$BX$550,MATCH("Värde enligt ovan. (%)",Kraftvärmeprod!$B$1:$BX$1,0),FALSE),"")</f>
        <v/>
      </c>
    </row>
    <row r="143" spans="1:65" x14ac:dyDescent="0.45">
      <c r="A143" s="63" t="s">
        <v>493</v>
      </c>
      <c r="B143" s="63" t="s">
        <v>495</v>
      </c>
      <c r="C143" s="63">
        <f>VLOOKUP($B143,'Tillförd energi'!$B$1:$AI$720,MATCH(C$2,'Tillförd energi'!$B$1:$AQ$1,0),FALSE)</f>
        <v>0</v>
      </c>
      <c r="D143" s="63">
        <f>VLOOKUP($B143,'Tillförd energi'!$B$1:$AI$720,MATCH(D$2,'Tillförd energi'!$B$1:$AQ$1,0),FALSE)</f>
        <v>7.1999999999999995E-2</v>
      </c>
      <c r="E143" s="63">
        <f>VLOOKUP($B143,'Tillförd energi'!$B$1:$AI$720,MATCH(E$2,'Tillförd energi'!$B$1:$AQ$1,0),FALSE)</f>
        <v>0</v>
      </c>
      <c r="F143" s="63">
        <f>VLOOKUP($B143,'Tillförd energi'!$B$1:$AI$720,MATCH(F$2,'Tillförd energi'!$B$1:$AQ$1,0),FALSE)</f>
        <v>0</v>
      </c>
      <c r="G143" s="63">
        <f>VLOOKUP($B143,'Tillförd energi'!$B$1:$AI$720,MATCH(G$2,'Tillförd energi'!$B$1:$AQ$1,0),FALSE)</f>
        <v>0</v>
      </c>
      <c r="H143" s="63">
        <f>VLOOKUP($B143,'Tillförd energi'!$B$1:$AI$720,MATCH(H$2,'Tillförd energi'!$B$1:$AQ$1,0),FALSE)</f>
        <v>0</v>
      </c>
      <c r="I143" s="63">
        <f>VLOOKUP($B143,'Tillförd energi'!$B$1:$AI$720,MATCH(I$2,'Tillförd energi'!$B$1:$AQ$1,0),FALSE)</f>
        <v>0</v>
      </c>
      <c r="J143" s="63">
        <f>VLOOKUP($B143,'Tillförd energi'!$B$1:$AI$720,MATCH(J$2,'Tillförd energi'!$B$1:$AQ$1,0),FALSE)</f>
        <v>0</v>
      </c>
      <c r="K143" s="63">
        <f>VLOOKUP($B143,'Tillförd energi'!$B$1:$AI$720,MATCH(K$2,'Tillförd energi'!$B$1:$AQ$1,0),FALSE)</f>
        <v>0</v>
      </c>
      <c r="L143" s="63">
        <f>VLOOKUP($B143,'Tillförd energi'!$B$1:$AI$720,MATCH(L$2,'Tillförd energi'!$B$1:$AQ$1,0),FALSE)</f>
        <v>0</v>
      </c>
      <c r="M143" s="63">
        <f>VLOOKUP($B143,'Tillförd energi'!$B$1:$AI$720,MATCH(M$2,'Tillförd energi'!$B$1:$AQ$1,0),FALSE)</f>
        <v>0</v>
      </c>
      <c r="N143" s="63">
        <f>VLOOKUP($B143,'Tillförd energi'!$B$1:$AI$720,MATCH(N$2,'Tillförd energi'!$B$1:$AQ$1,0),FALSE)</f>
        <v>0</v>
      </c>
      <c r="O143" s="63">
        <f>VLOOKUP($B143,'Tillförd energi'!$B$1:$AI$720,MATCH(O$2,'Tillförd energi'!$B$1:$AQ$1,0),FALSE)</f>
        <v>0</v>
      </c>
      <c r="P143" s="63">
        <f>VLOOKUP($B143,'Tillförd energi'!$B$1:$AI$720,MATCH(P$2,'Tillförd energi'!$B$1:$AQ$1,0),FALSE)</f>
        <v>0</v>
      </c>
      <c r="Q143" s="63">
        <f>VLOOKUP($B143,'Tillförd energi'!$B$1:$AI$720,MATCH(Q$2,'Tillförd energi'!$B$1:$AQ$1,0),FALSE)</f>
        <v>0</v>
      </c>
      <c r="R143" s="63">
        <f>VLOOKUP($B143,'Tillförd energi'!$B$1:$AI$720,MATCH(R$2,'Tillförd energi'!$B$1:$AQ$1,0),FALSE)</f>
        <v>1.159</v>
      </c>
      <c r="S143" s="63">
        <f>VLOOKUP($B143,'Tillförd energi'!$B$1:$AI$720,MATCH(S$2,'Tillförd energi'!$B$1:$AQ$1,0),FALSE)</f>
        <v>0</v>
      </c>
      <c r="T143" s="63">
        <f>VLOOKUP($B143,'Tillförd energi'!$B$1:$AI$720,MATCH(T$2,'Tillförd energi'!$B$1:$AQ$1,0),FALSE)</f>
        <v>0</v>
      </c>
      <c r="U143" s="63">
        <f>VLOOKUP($B143,'Tillförd energi'!$B$1:$AI$720,MATCH(U$2,'Tillförd energi'!$B$1:$AQ$1,0),FALSE)</f>
        <v>0</v>
      </c>
      <c r="V143" s="63">
        <f>VLOOKUP($B143,'Tillförd energi'!$B$1:$AI$720,MATCH(V$2,'Tillförd energi'!$B$1:$AQ$1,0),FALSE)</f>
        <v>0</v>
      </c>
      <c r="W143" s="63">
        <f>VLOOKUP($B143,'Tillförd energi'!$B$1:$AI$720,MATCH(W$2,'Tillförd energi'!$B$1:$AQ$1,0),FALSE)</f>
        <v>0</v>
      </c>
      <c r="X143" s="63">
        <f>VLOOKUP($B143,'Tillförd energi'!$B$1:$AI$720,MATCH(X$2,'Tillförd energi'!$B$1:$AQ$1,0),FALSE)</f>
        <v>0</v>
      </c>
      <c r="Y143" s="63">
        <f>VLOOKUP($B143,'Tillförd energi'!$B$1:$AI$720,MATCH(Y$2,'Tillförd energi'!$B$1:$AQ$1,0),FALSE)</f>
        <v>0</v>
      </c>
      <c r="Z143" s="63">
        <f>VLOOKUP($B143,'Tillförd energi'!$B$1:$AI$720,MATCH(Z$2,'Tillförd energi'!$B$1:$AQ$1,0),FALSE)</f>
        <v>0</v>
      </c>
      <c r="AA143" s="63">
        <f>VLOOKUP($B143,'Tillförd energi'!$B$1:$AI$720,MATCH(AA$2,'Tillförd energi'!$B$1:$AQ$1,0),FALSE)</f>
        <v>0</v>
      </c>
      <c r="AB143" s="63">
        <f>VLOOKUP($B143,'Tillförd energi'!$B$1:$AI$720,MATCH(AB$2,'Tillförd energi'!$B$1:$AQ$1,0),FALSE)</f>
        <v>0</v>
      </c>
      <c r="AC143" s="63">
        <f>VLOOKUP($B143,'Tillförd energi'!$B$1:$AI$720,MATCH(AC$2,'Tillförd energi'!$B$1:$AQ$1,0),FALSE)</f>
        <v>0</v>
      </c>
      <c r="AD143" s="63">
        <f>VLOOKUP($B143,'Tillförd energi'!$B$1:$AI$720,MATCH(AD$2,'Tillförd energi'!$B$1:$AQ$1,0),FALSE)</f>
        <v>0</v>
      </c>
      <c r="AE143" s="63">
        <f>VLOOKUP($B143,'Tillförd energi'!$B$1:$AI$720,MATCH(AE$2,'Tillförd energi'!$B$1:$AQ$1,0),FALSE)</f>
        <v>0</v>
      </c>
      <c r="AF143" s="63">
        <f>VLOOKUP($B143,'Tillförd energi'!$B$1:$AI$720,MATCH(AF$2,'Tillförd energi'!$B$1:$AQ$1,0),FALSE)</f>
        <v>2.3E-2</v>
      </c>
      <c r="AG143" s="63">
        <f>IFERROR(VLOOKUP(B143,Miljö!$B$1:$AC$550,MATCH("Köpt mängd produktionsspecifik fjärrvärme:",Miljö!$B$1:$AC$1,0),FALSE)/1,0)</f>
        <v>0</v>
      </c>
      <c r="AI143" s="63">
        <f t="shared" si="12"/>
        <v>1.254</v>
      </c>
      <c r="AJ143" s="63">
        <f>IF(ISERROR(1/VLOOKUP($B143,Leveranser!$B$1:$S$500,MATCH("såld värme (gwh)",Leveranser!$B$1:$S$1,0),FALSE)),"",VLOOKUP($B143,Leveranser!$B$1:$S$500,MATCH("såld värme (gwh)",Leveranser!$B$1:$S$1,0),FALSE))</f>
        <v>1.032</v>
      </c>
      <c r="AM143" s="63" t="str">
        <f>IF(B143&lt;&gt;"",IF(VLOOKUP($B143,Totalt!$B$1:$AQ$554,MATCH("Kvalitetsgranskad:",Totalt!$B$1:$AQ$1,0),FALSE)="ja",VLOOKUP($B143,Miljö!$B$1:$AG$479,MATCH(AM$2,Miljö!$B$1:$AK$1,0),FALSE),""),"")</f>
        <v>Ja</v>
      </c>
      <c r="AN143" s="63" t="str">
        <f>IF(AM143="ja",VLOOKUP($B143,Miljö!$B$1:$J$479,MATCH("Typ av ursprungsspecificerad el   (Om inget värde anges används Nordisk residualmix, se inforuta) ()",Miljö!$B$1:$J$1,0),FALSE),IF(AM143="nej","Nordisk residualel",""))</f>
        <v>'vattenkraft'</v>
      </c>
      <c r="AO143" s="63">
        <f>IF(AM143="","",VLOOKUP($B143,Miljö!$B$1:$J$479,MATCH("Fossilandel för ursprungspecificerad el ()",Miljö!$B$1:$J$1,0),FALSE))</f>
        <v>0</v>
      </c>
      <c r="AQ143" s="63">
        <f t="shared" si="13"/>
        <v>1</v>
      </c>
      <c r="AS143" s="63" t="str">
        <f t="shared" si="14"/>
        <v>Nej</v>
      </c>
      <c r="AT143" s="63" t="str">
        <f>IF(AS143="ja",VLOOKUP($B143,Miljö!$B$1:$P$500,MATCH("Fossil andel i procent (%)",Miljö!$B$1:$P$1,0),FALSE)/100,"")</f>
        <v/>
      </c>
      <c r="AV143" s="63" t="str">
        <f t="shared" si="15"/>
        <v>Nej</v>
      </c>
      <c r="AW143" s="63" t="str">
        <f>IF(AV143="ja",VLOOKUP($B143,'Egen hetvattenprod'!$B$1:$AO$500,MATCH("Värmekälla till värmepumpar ()",'Egen hetvattenprod'!$B$1:$AO$1,0),FALSE),"")</f>
        <v/>
      </c>
      <c r="AY143" s="63" t="str">
        <f t="shared" si="16"/>
        <v>Nej</v>
      </c>
      <c r="AZ143" s="77" t="str">
        <f>IF($AY143="ja",(VLOOKUP($B143,'Egen hetvattenprod'!$B$1:$BX$550,MATCH(AZ$2,'Egen hetvattenprod'!$B$1:$BX$1,0),FALSE)+VLOOKUP($B143,Kraftvärmeprod!$B$1:$BX$550,MATCH(AZ$2,Kraftvärmeprod!$B$1:$BX$1,0),FALSE))/$AC143,"")</f>
        <v/>
      </c>
      <c r="BA143" s="77" t="str">
        <f>IF($AY143="ja",(VLOOKUP($B143,'Egen hetvattenprod'!$B$1:$BX$550,MATCH(BA$2,'Egen hetvattenprod'!$B$1:$BX$1,0),FALSE)+VLOOKUP($B143,Kraftvärmeprod!$B$1:$BX$550,MATCH(BA$2,Kraftvärmeprod!$B$1:$BX$1,0),FALSE))/$AC143,"")</f>
        <v/>
      </c>
      <c r="BB143" s="77" t="str">
        <f>IF($AY143="ja",(VLOOKUP($B143,'Egen hetvattenprod'!$B$1:$BX$550,MATCH(BB$2,'Egen hetvattenprod'!$B$1:$BX$1,0),FALSE)+VLOOKUP($B143,Kraftvärmeprod!$B$1:$BX$550,MATCH(BB$2,Kraftvärmeprod!$B$1:$BX$1,0),FALSE))/$AC143,"")</f>
        <v/>
      </c>
      <c r="BC143" s="77" t="str">
        <f>IF($AY143="ja",(VLOOKUP($B143,'Egen hetvattenprod'!$B$1:$BX$550,MATCH(BC$2,'Egen hetvattenprod'!$B$1:$BX$1,0),FALSE)+VLOOKUP($B143,Kraftvärmeprod!$B$1:$BX$550,MATCH(BC$2,Kraftvärmeprod!$B$1:$BX$1,0),FALSE))/$AC143,"")</f>
        <v/>
      </c>
      <c r="BD143" s="77" t="str">
        <f>IF($AY143="ja",(VLOOKUP($B143,'Egen hetvattenprod'!$B$1:$BX$550,MATCH(BD$2,'Egen hetvattenprod'!$B$1:$BX$1,0),FALSE)+VLOOKUP($B143,Kraftvärmeprod!$B$1:$BX$550,MATCH(BD$2,Kraftvärmeprod!$B$1:$BX$1,0),FALSE))/$AC143,"")</f>
        <v/>
      </c>
      <c r="BF143" s="63" t="str">
        <f t="shared" si="17"/>
        <v>Nej</v>
      </c>
      <c r="BG143" s="63" t="str">
        <f>IF($BF143="ja",VLOOKUP($B143,'Egen hetvattenprod'!$B$1:$BX$550,MATCH("Andelen klimatgaser med fossilt ursprung för avfall ()",'Egen hetvattenprod'!$B$1:$BX$1,0),FALSE),"")</f>
        <v/>
      </c>
      <c r="BH143" s="63" t="str">
        <f>IF($BF143="ja",VLOOKUP($B143,Kraftvärmeprod!$B$1:$BX$550,MATCH("Andelen klimatgaser med fossilt ursprung för avfall ()",Kraftvärmeprod!$B$1:$BX$1,0),FALSE),"")</f>
        <v/>
      </c>
      <c r="BI143" s="63" t="str">
        <f>IF($BF143="ja",VLOOKUP($B143,'Egen hetvattenprod'!$B$1:$BX$550,MATCH("Avfall (GWh)",'Egen hetvattenprod'!$B$1:$BX$1,0),FALSE),"")</f>
        <v/>
      </c>
      <c r="BJ143" s="63" t="str">
        <f>IF($BF143="ja",VLOOKUP($B143,'Slutlig allokering kvv'!$B$1:$BX$550,MATCH("Avfall (GWh)",'Slutlig allokering kvv'!$B$1:$BX$1,0),FALSE),"")</f>
        <v/>
      </c>
      <c r="BK143" s="63" t="str">
        <f>IF($BF143="ja",VLOOKUP($B143,'Köpt hetvatten'!$B$1:$BX$550,MATCH("Avfall i köpt hetvatten",'Köpt hetvatten'!$B$1:$BX$1,0),FALSE),"")</f>
        <v/>
      </c>
      <c r="BL143" s="63" t="str">
        <f>IF($BF143="ja",VLOOKUP($B143,'Egen hetvattenprod'!$B$1:$BX$550,MATCH("Värde enligt ovan. (%)",'Egen hetvattenprod'!$B$1:$BX$1,0),FALSE),"")</f>
        <v/>
      </c>
      <c r="BM143" s="63" t="str">
        <f>IF($BF143="ja",VLOOKUP($B143,Kraftvärmeprod!$B$1:$BX$550,MATCH("Värde enligt ovan. (%)",Kraftvärmeprod!$B$1:$BX$1,0),FALSE),"")</f>
        <v/>
      </c>
    </row>
    <row r="144" spans="1:65" x14ac:dyDescent="0.45">
      <c r="A144" s="63" t="s">
        <v>493</v>
      </c>
      <c r="B144" s="63" t="s">
        <v>494</v>
      </c>
      <c r="C144" s="63">
        <f>VLOOKUP($B144,'Tillförd energi'!$B$1:$AI$720,MATCH(C$2,'Tillförd energi'!$B$1:$AQ$1,0),FALSE)</f>
        <v>0</v>
      </c>
      <c r="D144" s="63">
        <f>VLOOKUP($B144,'Tillförd energi'!$B$1:$AI$720,MATCH(D$2,'Tillförd energi'!$B$1:$AQ$1,0),FALSE)</f>
        <v>4.7E-2</v>
      </c>
      <c r="E144" s="63">
        <f>VLOOKUP($B144,'Tillförd energi'!$B$1:$AI$720,MATCH(E$2,'Tillförd energi'!$B$1:$AQ$1,0),FALSE)</f>
        <v>0</v>
      </c>
      <c r="F144" s="63">
        <f>VLOOKUP($B144,'Tillförd energi'!$B$1:$AI$720,MATCH(F$2,'Tillförd energi'!$B$1:$AQ$1,0),FALSE)</f>
        <v>0</v>
      </c>
      <c r="G144" s="63">
        <f>VLOOKUP($B144,'Tillförd energi'!$B$1:$AI$720,MATCH(G$2,'Tillförd energi'!$B$1:$AQ$1,0),FALSE)</f>
        <v>0</v>
      </c>
      <c r="H144" s="63">
        <f>VLOOKUP($B144,'Tillförd energi'!$B$1:$AI$720,MATCH(H$2,'Tillförd energi'!$B$1:$AQ$1,0),FALSE)</f>
        <v>0</v>
      </c>
      <c r="I144" s="63">
        <f>VLOOKUP($B144,'Tillförd energi'!$B$1:$AI$720,MATCH(I$2,'Tillförd energi'!$B$1:$AQ$1,0),FALSE)</f>
        <v>0</v>
      </c>
      <c r="J144" s="63">
        <f>VLOOKUP($B144,'Tillförd energi'!$B$1:$AI$720,MATCH(J$2,'Tillförd energi'!$B$1:$AQ$1,0),FALSE)</f>
        <v>0</v>
      </c>
      <c r="K144" s="63">
        <f>VLOOKUP($B144,'Tillförd energi'!$B$1:$AI$720,MATCH(K$2,'Tillförd energi'!$B$1:$AQ$1,0),FALSE)</f>
        <v>0</v>
      </c>
      <c r="L144" s="63">
        <f>VLOOKUP($B144,'Tillförd energi'!$B$1:$AI$720,MATCH(L$2,'Tillförd energi'!$B$1:$AQ$1,0),FALSE)</f>
        <v>0</v>
      </c>
      <c r="M144" s="63">
        <f>VLOOKUP($B144,'Tillförd energi'!$B$1:$AI$720,MATCH(M$2,'Tillförd energi'!$B$1:$AQ$1,0),FALSE)</f>
        <v>0</v>
      </c>
      <c r="N144" s="63">
        <f>VLOOKUP($B144,'Tillförd energi'!$B$1:$AI$720,MATCH(N$2,'Tillförd energi'!$B$1:$AQ$1,0),FALSE)</f>
        <v>0</v>
      </c>
      <c r="O144" s="63">
        <f>VLOOKUP($B144,'Tillförd energi'!$B$1:$AI$720,MATCH(O$2,'Tillförd energi'!$B$1:$AQ$1,0),FALSE)</f>
        <v>0</v>
      </c>
      <c r="P144" s="63">
        <f>VLOOKUP($B144,'Tillförd energi'!$B$1:$AI$720,MATCH(P$2,'Tillförd energi'!$B$1:$AQ$1,0),FALSE)</f>
        <v>0</v>
      </c>
      <c r="Q144" s="63">
        <f>VLOOKUP($B144,'Tillförd energi'!$B$1:$AI$720,MATCH(Q$2,'Tillförd energi'!$B$1:$AQ$1,0),FALSE)</f>
        <v>0</v>
      </c>
      <c r="R144" s="63">
        <f>VLOOKUP($B144,'Tillförd energi'!$B$1:$AI$720,MATCH(R$2,'Tillförd energi'!$B$1:$AQ$1,0),FALSE)</f>
        <v>3.125</v>
      </c>
      <c r="S144" s="63">
        <f>VLOOKUP($B144,'Tillförd energi'!$B$1:$AI$720,MATCH(S$2,'Tillförd energi'!$B$1:$AQ$1,0),FALSE)</f>
        <v>0</v>
      </c>
      <c r="T144" s="63">
        <f>VLOOKUP($B144,'Tillförd energi'!$B$1:$AI$720,MATCH(T$2,'Tillförd energi'!$B$1:$AQ$1,0),FALSE)</f>
        <v>0</v>
      </c>
      <c r="U144" s="63">
        <f>VLOOKUP($B144,'Tillförd energi'!$B$1:$AI$720,MATCH(U$2,'Tillförd energi'!$B$1:$AQ$1,0),FALSE)</f>
        <v>0</v>
      </c>
      <c r="V144" s="63">
        <f>VLOOKUP($B144,'Tillförd energi'!$B$1:$AI$720,MATCH(V$2,'Tillförd energi'!$B$1:$AQ$1,0),FALSE)</f>
        <v>0</v>
      </c>
      <c r="W144" s="63">
        <f>VLOOKUP($B144,'Tillförd energi'!$B$1:$AI$720,MATCH(W$2,'Tillförd energi'!$B$1:$AQ$1,0),FALSE)</f>
        <v>0</v>
      </c>
      <c r="X144" s="63">
        <f>VLOOKUP($B144,'Tillförd energi'!$B$1:$AI$720,MATCH(X$2,'Tillförd energi'!$B$1:$AQ$1,0),FALSE)</f>
        <v>0</v>
      </c>
      <c r="Y144" s="63">
        <f>VLOOKUP($B144,'Tillförd energi'!$B$1:$AI$720,MATCH(Y$2,'Tillförd energi'!$B$1:$AQ$1,0),FALSE)</f>
        <v>0</v>
      </c>
      <c r="Z144" s="63">
        <f>VLOOKUP($B144,'Tillförd energi'!$B$1:$AI$720,MATCH(Z$2,'Tillförd energi'!$B$1:$AQ$1,0),FALSE)</f>
        <v>0</v>
      </c>
      <c r="AA144" s="63">
        <f>VLOOKUP($B144,'Tillförd energi'!$B$1:$AI$720,MATCH(AA$2,'Tillförd energi'!$B$1:$AQ$1,0),FALSE)</f>
        <v>0</v>
      </c>
      <c r="AB144" s="63">
        <f>VLOOKUP($B144,'Tillförd energi'!$B$1:$AI$720,MATCH(AB$2,'Tillförd energi'!$B$1:$AQ$1,0),FALSE)</f>
        <v>0</v>
      </c>
      <c r="AC144" s="63">
        <f>VLOOKUP($B144,'Tillförd energi'!$B$1:$AI$720,MATCH(AC$2,'Tillförd energi'!$B$1:$AQ$1,0),FALSE)</f>
        <v>0</v>
      </c>
      <c r="AD144" s="63">
        <f>VLOOKUP($B144,'Tillförd energi'!$B$1:$AI$720,MATCH(AD$2,'Tillförd energi'!$B$1:$AQ$1,0),FALSE)</f>
        <v>0</v>
      </c>
      <c r="AE144" s="63">
        <f>VLOOKUP($B144,'Tillförd energi'!$B$1:$AI$720,MATCH(AE$2,'Tillförd energi'!$B$1:$AQ$1,0),FALSE)</f>
        <v>0</v>
      </c>
      <c r="AF144" s="63">
        <f>VLOOKUP($B144,'Tillförd energi'!$B$1:$AI$720,MATCH(AF$2,'Tillförd energi'!$B$1:$AQ$1,0),FALSE)</f>
        <v>5.0999999999999997E-2</v>
      </c>
      <c r="AG144" s="63">
        <f>IFERROR(VLOOKUP(B144,Miljö!$B$1:$AC$550,MATCH("Köpt mängd produktionsspecifik fjärrvärme:",Miljö!$B$1:$AC$1,0),FALSE)/1,0)</f>
        <v>0</v>
      </c>
      <c r="AI144" s="63">
        <f t="shared" si="12"/>
        <v>3.2230000000000003</v>
      </c>
      <c r="AJ144" s="63">
        <f>IF(ISERROR(1/VLOOKUP($B144,Leveranser!$B$1:$S$500,MATCH("såld värme (gwh)",Leveranser!$B$1:$S$1,0),FALSE)),"",VLOOKUP($B144,Leveranser!$B$1:$S$500,MATCH("såld värme (gwh)",Leveranser!$B$1:$S$1,0),FALSE))</f>
        <v>2.5499999999999998</v>
      </c>
      <c r="AM144" s="63" t="str">
        <f>IF(B144&lt;&gt;"",IF(VLOOKUP($B144,Totalt!$B$1:$AQ$554,MATCH("Kvalitetsgranskad:",Totalt!$B$1:$AQ$1,0),FALSE)="ja",VLOOKUP($B144,Miljö!$B$1:$AG$479,MATCH(AM$2,Miljö!$B$1:$AK$1,0),FALSE),""),"")</f>
        <v>Ja</v>
      </c>
      <c r="AN144" s="63" t="str">
        <f>IF(AM144="ja",VLOOKUP($B144,Miljö!$B$1:$J$479,MATCH("Typ av ursprungsspecificerad el   (Om inget värde anges används Nordisk residualmix, se inforuta) ()",Miljö!$B$1:$J$1,0),FALSE),IF(AM144="nej","Nordisk residualel",""))</f>
        <v>'vattenkraft'</v>
      </c>
      <c r="AO144" s="63">
        <f>IF(AM144="","",VLOOKUP($B144,Miljö!$B$1:$J$479,MATCH("Fossilandel för ursprungspecificerad el ()",Miljö!$B$1:$J$1,0),FALSE))</f>
        <v>0</v>
      </c>
      <c r="AQ144" s="63">
        <f t="shared" si="13"/>
        <v>1</v>
      </c>
      <c r="AS144" s="63" t="str">
        <f t="shared" si="14"/>
        <v>Nej</v>
      </c>
      <c r="AT144" s="63" t="str">
        <f>IF(AS144="ja",VLOOKUP($B144,Miljö!$B$1:$P$500,MATCH("Fossil andel i procent (%)",Miljö!$B$1:$P$1,0),FALSE)/100,"")</f>
        <v/>
      </c>
      <c r="AV144" s="63" t="str">
        <f t="shared" si="15"/>
        <v>Nej</v>
      </c>
      <c r="AW144" s="63" t="str">
        <f>IF(AV144="ja",VLOOKUP($B144,'Egen hetvattenprod'!$B$1:$AO$500,MATCH("Värmekälla till värmepumpar ()",'Egen hetvattenprod'!$B$1:$AO$1,0),FALSE),"")</f>
        <v/>
      </c>
      <c r="AY144" s="63" t="str">
        <f t="shared" si="16"/>
        <v>Nej</v>
      </c>
      <c r="AZ144" s="77" t="str">
        <f>IF($AY144="ja",(VLOOKUP($B144,'Egen hetvattenprod'!$B$1:$BX$550,MATCH(AZ$2,'Egen hetvattenprod'!$B$1:$BX$1,0),FALSE)+VLOOKUP($B144,Kraftvärmeprod!$B$1:$BX$550,MATCH(AZ$2,Kraftvärmeprod!$B$1:$BX$1,0),FALSE))/$AC144,"")</f>
        <v/>
      </c>
      <c r="BA144" s="77" t="str">
        <f>IF($AY144="ja",(VLOOKUP($B144,'Egen hetvattenprod'!$B$1:$BX$550,MATCH(BA$2,'Egen hetvattenprod'!$B$1:$BX$1,0),FALSE)+VLOOKUP($B144,Kraftvärmeprod!$B$1:$BX$550,MATCH(BA$2,Kraftvärmeprod!$B$1:$BX$1,0),FALSE))/$AC144,"")</f>
        <v/>
      </c>
      <c r="BB144" s="77" t="str">
        <f>IF($AY144="ja",(VLOOKUP($B144,'Egen hetvattenprod'!$B$1:$BX$550,MATCH(BB$2,'Egen hetvattenprod'!$B$1:$BX$1,0),FALSE)+VLOOKUP($B144,Kraftvärmeprod!$B$1:$BX$550,MATCH(BB$2,Kraftvärmeprod!$B$1:$BX$1,0),FALSE))/$AC144,"")</f>
        <v/>
      </c>
      <c r="BC144" s="77" t="str">
        <f>IF($AY144="ja",(VLOOKUP($B144,'Egen hetvattenprod'!$B$1:$BX$550,MATCH(BC$2,'Egen hetvattenprod'!$B$1:$BX$1,0),FALSE)+VLOOKUP($B144,Kraftvärmeprod!$B$1:$BX$550,MATCH(BC$2,Kraftvärmeprod!$B$1:$BX$1,0),FALSE))/$AC144,"")</f>
        <v/>
      </c>
      <c r="BD144" s="77" t="str">
        <f>IF($AY144="ja",(VLOOKUP($B144,'Egen hetvattenprod'!$B$1:$BX$550,MATCH(BD$2,'Egen hetvattenprod'!$B$1:$BX$1,0),FALSE)+VLOOKUP($B144,Kraftvärmeprod!$B$1:$BX$550,MATCH(BD$2,Kraftvärmeprod!$B$1:$BX$1,0),FALSE))/$AC144,"")</f>
        <v/>
      </c>
      <c r="BF144" s="63" t="str">
        <f t="shared" si="17"/>
        <v>Nej</v>
      </c>
      <c r="BG144" s="63" t="str">
        <f>IF($BF144="ja",VLOOKUP($B144,'Egen hetvattenprod'!$B$1:$BX$550,MATCH("Andelen klimatgaser med fossilt ursprung för avfall ()",'Egen hetvattenprod'!$B$1:$BX$1,0),FALSE),"")</f>
        <v/>
      </c>
      <c r="BH144" s="63" t="str">
        <f>IF($BF144="ja",VLOOKUP($B144,Kraftvärmeprod!$B$1:$BX$550,MATCH("Andelen klimatgaser med fossilt ursprung för avfall ()",Kraftvärmeprod!$B$1:$BX$1,0),FALSE),"")</f>
        <v/>
      </c>
      <c r="BI144" s="63" t="str">
        <f>IF($BF144="ja",VLOOKUP($B144,'Egen hetvattenprod'!$B$1:$BX$550,MATCH("Avfall (GWh)",'Egen hetvattenprod'!$B$1:$BX$1,0),FALSE),"")</f>
        <v/>
      </c>
      <c r="BJ144" s="63" t="str">
        <f>IF($BF144="ja",VLOOKUP($B144,'Slutlig allokering kvv'!$B$1:$BX$550,MATCH("Avfall (GWh)",'Slutlig allokering kvv'!$B$1:$BX$1,0),FALSE),"")</f>
        <v/>
      </c>
      <c r="BK144" s="63" t="str">
        <f>IF($BF144="ja",VLOOKUP($B144,'Köpt hetvatten'!$B$1:$BX$550,MATCH("Avfall i köpt hetvatten",'Köpt hetvatten'!$B$1:$BX$1,0),FALSE),"")</f>
        <v/>
      </c>
      <c r="BL144" s="63" t="str">
        <f>IF($BF144="ja",VLOOKUP($B144,'Egen hetvattenprod'!$B$1:$BX$550,MATCH("Värde enligt ovan. (%)",'Egen hetvattenprod'!$B$1:$BX$1,0),FALSE),"")</f>
        <v/>
      </c>
      <c r="BM144" s="63" t="str">
        <f>IF($BF144="ja",VLOOKUP($B144,Kraftvärmeprod!$B$1:$BX$550,MATCH("Värde enligt ovan. (%)",Kraftvärmeprod!$B$1:$BX$1,0),FALSE),"")</f>
        <v/>
      </c>
    </row>
    <row r="145" spans="1:65" x14ac:dyDescent="0.45">
      <c r="A145" s="63" t="s">
        <v>493</v>
      </c>
      <c r="B145" s="63" t="s">
        <v>492</v>
      </c>
      <c r="C145" s="63">
        <f>VLOOKUP($B145,'Tillförd energi'!$B$1:$AI$720,MATCH(C$2,'Tillförd energi'!$B$1:$AQ$1,0),FALSE)</f>
        <v>0</v>
      </c>
      <c r="D145" s="63">
        <f>VLOOKUP($B145,'Tillförd energi'!$B$1:$AI$720,MATCH(D$2,'Tillförd energi'!$B$1:$AQ$1,0),FALSE)</f>
        <v>0</v>
      </c>
      <c r="E145" s="63">
        <f>VLOOKUP($B145,'Tillförd energi'!$B$1:$AI$720,MATCH(E$2,'Tillförd energi'!$B$1:$AQ$1,0),FALSE)</f>
        <v>0</v>
      </c>
      <c r="F145" s="63">
        <f>VLOOKUP($B145,'Tillförd energi'!$B$1:$AI$720,MATCH(F$2,'Tillförd energi'!$B$1:$AQ$1,0),FALSE)</f>
        <v>0</v>
      </c>
      <c r="G145" s="63">
        <f>VLOOKUP($B145,'Tillförd energi'!$B$1:$AI$720,MATCH(G$2,'Tillförd energi'!$B$1:$AQ$1,0),FALSE)</f>
        <v>0</v>
      </c>
      <c r="H145" s="63">
        <f>VLOOKUP($B145,'Tillförd energi'!$B$1:$AI$720,MATCH(H$2,'Tillförd energi'!$B$1:$AQ$1,0),FALSE)</f>
        <v>0</v>
      </c>
      <c r="I145" s="63">
        <f>VLOOKUP($B145,'Tillförd energi'!$B$1:$AI$720,MATCH(I$2,'Tillförd energi'!$B$1:$AQ$1,0),FALSE)</f>
        <v>0</v>
      </c>
      <c r="J145" s="63">
        <f>VLOOKUP($B145,'Tillförd energi'!$B$1:$AI$720,MATCH(J$2,'Tillförd energi'!$B$1:$AQ$1,0),FALSE)</f>
        <v>0</v>
      </c>
      <c r="K145" s="63">
        <f>VLOOKUP($B145,'Tillförd energi'!$B$1:$AI$720,MATCH(K$2,'Tillförd energi'!$B$1:$AQ$1,0),FALSE)</f>
        <v>0</v>
      </c>
      <c r="L145" s="63">
        <f>VLOOKUP($B145,'Tillförd energi'!$B$1:$AI$720,MATCH(L$2,'Tillförd energi'!$B$1:$AQ$1,0),FALSE)</f>
        <v>0</v>
      </c>
      <c r="M145" s="63">
        <f>VLOOKUP($B145,'Tillförd energi'!$B$1:$AI$720,MATCH(M$2,'Tillförd energi'!$B$1:$AQ$1,0),FALSE)</f>
        <v>22</v>
      </c>
      <c r="N145" s="63">
        <f>VLOOKUP($B145,'Tillförd energi'!$B$1:$AI$720,MATCH(N$2,'Tillförd energi'!$B$1:$AQ$1,0),FALSE)</f>
        <v>65</v>
      </c>
      <c r="O145" s="63">
        <f>VLOOKUP($B145,'Tillförd energi'!$B$1:$AI$720,MATCH(O$2,'Tillförd energi'!$B$1:$AQ$1,0),FALSE)</f>
        <v>22</v>
      </c>
      <c r="P145" s="63">
        <f>VLOOKUP($B145,'Tillförd energi'!$B$1:$AI$720,MATCH(P$2,'Tillförd energi'!$B$1:$AQ$1,0),FALSE)</f>
        <v>17.867100000000001</v>
      </c>
      <c r="Q145" s="63">
        <f>VLOOKUP($B145,'Tillförd energi'!$B$1:$AI$720,MATCH(Q$2,'Tillförd energi'!$B$1:$AQ$1,0),FALSE)</f>
        <v>0</v>
      </c>
      <c r="R145" s="63">
        <f>VLOOKUP($B145,'Tillförd energi'!$B$1:$AI$720,MATCH(R$2,'Tillförd energi'!$B$1:$AQ$1,0),FALSE)</f>
        <v>0</v>
      </c>
      <c r="S145" s="63">
        <f>VLOOKUP($B145,'Tillförd energi'!$B$1:$AI$720,MATCH(S$2,'Tillförd energi'!$B$1:$AQ$1,0),FALSE)</f>
        <v>0</v>
      </c>
      <c r="T145" s="63">
        <f>VLOOKUP($B145,'Tillförd energi'!$B$1:$AI$720,MATCH(T$2,'Tillförd energi'!$B$1:$AQ$1,0),FALSE)</f>
        <v>0</v>
      </c>
      <c r="U145" s="63">
        <f>VLOOKUP($B145,'Tillförd energi'!$B$1:$AI$720,MATCH(U$2,'Tillförd energi'!$B$1:$AQ$1,0),FALSE)</f>
        <v>0</v>
      </c>
      <c r="V145" s="63">
        <f>VLOOKUP($B145,'Tillförd energi'!$B$1:$AI$720,MATCH(V$2,'Tillförd energi'!$B$1:$AQ$1,0),FALSE)</f>
        <v>0</v>
      </c>
      <c r="W145" s="63">
        <f>VLOOKUP($B145,'Tillförd energi'!$B$1:$AI$720,MATCH(W$2,'Tillförd energi'!$B$1:$AQ$1,0),FALSE)</f>
        <v>0.26100000000000001</v>
      </c>
      <c r="X145" s="63">
        <f>VLOOKUP($B145,'Tillförd energi'!$B$1:$AI$720,MATCH(X$2,'Tillförd energi'!$B$1:$AQ$1,0),FALSE)</f>
        <v>0</v>
      </c>
      <c r="Y145" s="63">
        <f>VLOOKUP($B145,'Tillförd energi'!$B$1:$AI$720,MATCH(Y$2,'Tillförd energi'!$B$1:$AQ$1,0),FALSE)</f>
        <v>0</v>
      </c>
      <c r="Z145" s="63">
        <f>VLOOKUP($B145,'Tillförd energi'!$B$1:$AI$720,MATCH(Z$2,'Tillförd energi'!$B$1:$AQ$1,0),FALSE)</f>
        <v>0</v>
      </c>
      <c r="AA145" s="63">
        <f>VLOOKUP($B145,'Tillförd energi'!$B$1:$AI$720,MATCH(AA$2,'Tillförd energi'!$B$1:$AQ$1,0),FALSE)</f>
        <v>0</v>
      </c>
      <c r="AB145" s="63">
        <f>VLOOKUP($B145,'Tillförd energi'!$B$1:$AI$720,MATCH(AB$2,'Tillförd energi'!$B$1:$AQ$1,0),FALSE)</f>
        <v>0</v>
      </c>
      <c r="AC145" s="63">
        <f>VLOOKUP($B145,'Tillförd energi'!$B$1:$AI$720,MATCH(AC$2,'Tillförd energi'!$B$1:$AQ$1,0),FALSE)</f>
        <v>27.6</v>
      </c>
      <c r="AD145" s="63">
        <f>VLOOKUP($B145,'Tillförd energi'!$B$1:$AI$720,MATCH(AD$2,'Tillförd energi'!$B$1:$AQ$1,0),FALSE)</f>
        <v>0</v>
      </c>
      <c r="AE145" s="63">
        <f>VLOOKUP($B145,'Tillförd energi'!$B$1:$AI$720,MATCH(AE$2,'Tillförd energi'!$B$1:$AQ$1,0),FALSE)</f>
        <v>0</v>
      </c>
      <c r="AF145" s="63">
        <f>VLOOKUP($B145,'Tillförd energi'!$B$1:$AI$720,MATCH(AF$2,'Tillförd energi'!$B$1:$AQ$1,0),FALSE)</f>
        <v>0.87436499999999995</v>
      </c>
      <c r="AG145" s="63">
        <f>IFERROR(VLOOKUP(B145,Miljö!$B$1:$AC$550,MATCH("Köpt mängd produktionsspecifik fjärrvärme:",Miljö!$B$1:$AC$1,0),FALSE)/1,0)</f>
        <v>29.1</v>
      </c>
      <c r="AI145" s="63">
        <f t="shared" si="12"/>
        <v>184.70246499999999</v>
      </c>
      <c r="AJ145" s="63">
        <f>IF(ISERROR(1/VLOOKUP($B145,Leveranser!$B$1:$S$500,MATCH("såld värme (gwh)",Leveranser!$B$1:$S$1,0),FALSE)),"",VLOOKUP($B145,Leveranser!$B$1:$S$500,MATCH("såld värme (gwh)",Leveranser!$B$1:$S$1,0),FALSE))</f>
        <v>113.8</v>
      </c>
      <c r="AM145" s="63" t="str">
        <f>IF(B145&lt;&gt;"",IF(VLOOKUP($B145,Totalt!$B$1:$AQ$554,MATCH("Kvalitetsgranskad:",Totalt!$B$1:$AQ$1,0),FALSE)="ja",VLOOKUP($B145,Miljö!$B$1:$AG$479,MATCH(AM$2,Miljö!$B$1:$AK$1,0),FALSE),""),"")</f>
        <v>Ja</v>
      </c>
      <c r="AN145" s="63" t="str">
        <f>IF(AM145="ja",VLOOKUP($B145,Miljö!$B$1:$J$479,MATCH("Typ av ursprungsspecificerad el   (Om inget värde anges används Nordisk residualmix, se inforuta) ()",Miljö!$B$1:$J$1,0),FALSE),IF(AM145="nej","Nordisk residualel",""))</f>
        <v>'vattenkraft'</v>
      </c>
      <c r="AO145" s="63">
        <f>IF(AM145="","",VLOOKUP($B145,Miljö!$B$1:$J$479,MATCH("Fossilandel för ursprungspecificerad el ()",Miljö!$B$1:$J$1,0),FALSE))</f>
        <v>0</v>
      </c>
      <c r="AQ145" s="63">
        <f t="shared" si="13"/>
        <v>1</v>
      </c>
      <c r="AS145" s="63" t="str">
        <f t="shared" si="14"/>
        <v>Ja</v>
      </c>
      <c r="AT145" s="63">
        <f>IF(AS145="ja",VLOOKUP($B145,Miljö!$B$1:$P$500,MATCH("Fossil andel i procent (%)",Miljö!$B$1:$P$1,0),FALSE)/100,"")</f>
        <v>0.12</v>
      </c>
      <c r="AV145" s="63" t="str">
        <f t="shared" si="15"/>
        <v>Nej</v>
      </c>
      <c r="AW145" s="63" t="str">
        <f>IF(AV145="ja",VLOOKUP($B145,'Egen hetvattenprod'!$B$1:$AO$500,MATCH("Värmekälla till värmepumpar ()",'Egen hetvattenprod'!$B$1:$AO$1,0),FALSE),"")</f>
        <v/>
      </c>
      <c r="AY145" s="63" t="str">
        <f t="shared" si="16"/>
        <v>Ja</v>
      </c>
      <c r="AZ145" s="77">
        <f>IF($AY145="ja",(VLOOKUP($B145,'Egen hetvattenprod'!$B$1:$BX$550,MATCH(AZ$2,'Egen hetvattenprod'!$B$1:$BX$1,0),FALSE)+VLOOKUP($B145,Kraftvärmeprod!$B$1:$BX$550,MATCH(AZ$2,Kraftvärmeprod!$B$1:$BX$1,0),FALSE))/$AC145,"")</f>
        <v>1</v>
      </c>
      <c r="BA145" s="77">
        <f>IF($AY145="ja",(VLOOKUP($B145,'Egen hetvattenprod'!$B$1:$BX$550,MATCH(BA$2,'Egen hetvattenprod'!$B$1:$BX$1,0),FALSE)+VLOOKUP($B145,Kraftvärmeprod!$B$1:$BX$550,MATCH(BA$2,Kraftvärmeprod!$B$1:$BX$1,0),FALSE))/$AC145,"")</f>
        <v>0</v>
      </c>
      <c r="BB145" s="77">
        <f>IF($AY145="ja",(VLOOKUP($B145,'Egen hetvattenprod'!$B$1:$BX$550,MATCH(BB$2,'Egen hetvattenprod'!$B$1:$BX$1,0),FALSE)+VLOOKUP($B145,Kraftvärmeprod!$B$1:$BX$550,MATCH(BB$2,Kraftvärmeprod!$B$1:$BX$1,0),FALSE))/$AC145,"")</f>
        <v>0</v>
      </c>
      <c r="BC145" s="77">
        <f>IF($AY145="ja",(VLOOKUP($B145,'Egen hetvattenprod'!$B$1:$BX$550,MATCH(BC$2,'Egen hetvattenprod'!$B$1:$BX$1,0),FALSE)+VLOOKUP($B145,Kraftvärmeprod!$B$1:$BX$550,MATCH(BC$2,Kraftvärmeprod!$B$1:$BX$1,0),FALSE))/$AC145,"")</f>
        <v>0</v>
      </c>
      <c r="BD145" s="77">
        <f>IF($AY145="ja",(VLOOKUP($B145,'Egen hetvattenprod'!$B$1:$BX$550,MATCH(BD$2,'Egen hetvattenprod'!$B$1:$BX$1,0),FALSE)+VLOOKUP($B145,Kraftvärmeprod!$B$1:$BX$550,MATCH(BD$2,Kraftvärmeprod!$B$1:$BX$1,0),FALSE))/$AC145,"")</f>
        <v>0</v>
      </c>
      <c r="BF145" s="63" t="str">
        <f t="shared" si="17"/>
        <v>Nej</v>
      </c>
      <c r="BG145" s="63" t="str">
        <f>IF($BF145="ja",VLOOKUP($B145,'Egen hetvattenprod'!$B$1:$BX$550,MATCH("Andelen klimatgaser med fossilt ursprung för avfall ()",'Egen hetvattenprod'!$B$1:$BX$1,0),FALSE),"")</f>
        <v/>
      </c>
      <c r="BH145" s="63" t="str">
        <f>IF($BF145="ja",VLOOKUP($B145,Kraftvärmeprod!$B$1:$BX$550,MATCH("Andelen klimatgaser med fossilt ursprung för avfall ()",Kraftvärmeprod!$B$1:$BX$1,0),FALSE),"")</f>
        <v/>
      </c>
      <c r="BI145" s="63" t="str">
        <f>IF($BF145="ja",VLOOKUP($B145,'Egen hetvattenprod'!$B$1:$BX$550,MATCH("Avfall (GWh)",'Egen hetvattenprod'!$B$1:$BX$1,0),FALSE),"")</f>
        <v/>
      </c>
      <c r="BJ145" s="63" t="str">
        <f>IF($BF145="ja",VLOOKUP($B145,'Slutlig allokering kvv'!$B$1:$BX$550,MATCH("Avfall (GWh)",'Slutlig allokering kvv'!$B$1:$BX$1,0),FALSE),"")</f>
        <v/>
      </c>
      <c r="BK145" s="63" t="str">
        <f>IF($BF145="ja",VLOOKUP($B145,'Köpt hetvatten'!$B$1:$BX$550,MATCH("Avfall i köpt hetvatten",'Köpt hetvatten'!$B$1:$BX$1,0),FALSE),"")</f>
        <v/>
      </c>
      <c r="BL145" s="63" t="str">
        <f>IF($BF145="ja",VLOOKUP($B145,'Egen hetvattenprod'!$B$1:$BX$550,MATCH("Värde enligt ovan. (%)",'Egen hetvattenprod'!$B$1:$BX$1,0),FALSE),"")</f>
        <v/>
      </c>
      <c r="BM145" s="63" t="str">
        <f>IF($BF145="ja",VLOOKUP($B145,Kraftvärmeprod!$B$1:$BX$550,MATCH("Värde enligt ovan. (%)",Kraftvärmeprod!$B$1:$BX$1,0),FALSE),"")</f>
        <v/>
      </c>
    </row>
    <row r="146" spans="1:65" x14ac:dyDescent="0.45">
      <c r="A146" s="63" t="s">
        <v>490</v>
      </c>
      <c r="B146" s="63" t="s">
        <v>489</v>
      </c>
      <c r="C146" s="63">
        <f>VLOOKUP($B146,'Tillförd energi'!$B$1:$AI$720,MATCH(C$2,'Tillförd energi'!$B$1:$AQ$1,0),FALSE)</f>
        <v>0</v>
      </c>
      <c r="D146" s="63">
        <f>VLOOKUP($B146,'Tillförd energi'!$B$1:$AI$720,MATCH(D$2,'Tillförd energi'!$B$1:$AQ$1,0),FALSE)</f>
        <v>2.1463299999999998</v>
      </c>
      <c r="E146" s="63">
        <f>VLOOKUP($B146,'Tillförd energi'!$B$1:$AI$720,MATCH(E$2,'Tillförd energi'!$B$1:$AQ$1,0),FALSE)</f>
        <v>0</v>
      </c>
      <c r="F146" s="63">
        <f>VLOOKUP($B146,'Tillförd energi'!$B$1:$AI$720,MATCH(F$2,'Tillförd energi'!$B$1:$AQ$1,0),FALSE)</f>
        <v>0</v>
      </c>
      <c r="G146" s="63">
        <f>VLOOKUP($B146,'Tillförd energi'!$B$1:$AI$720,MATCH(G$2,'Tillförd energi'!$B$1:$AQ$1,0),FALSE)</f>
        <v>3.5000000000000001E-3</v>
      </c>
      <c r="H146" s="63">
        <f>VLOOKUP($B146,'Tillförd energi'!$B$1:$AI$720,MATCH(H$2,'Tillförd energi'!$B$1:$AQ$1,0),FALSE)</f>
        <v>0</v>
      </c>
      <c r="I146" s="63">
        <f>VLOOKUP($B146,'Tillförd energi'!$B$1:$AI$720,MATCH(I$2,'Tillförd energi'!$B$1:$AQ$1,0),FALSE)</f>
        <v>159.48699999999999</v>
      </c>
      <c r="J146" s="63">
        <f>VLOOKUP($B146,'Tillförd energi'!$B$1:$AI$720,MATCH(J$2,'Tillförd energi'!$B$1:$AQ$1,0),FALSE)</f>
        <v>0</v>
      </c>
      <c r="K146" s="63">
        <f>VLOOKUP($B146,'Tillförd energi'!$B$1:$AI$720,MATCH(K$2,'Tillförd energi'!$B$1:$AQ$1,0),FALSE)</f>
        <v>0</v>
      </c>
      <c r="L146" s="63">
        <f>VLOOKUP($B146,'Tillförd energi'!$B$1:$AI$720,MATCH(L$2,'Tillförd energi'!$B$1:$AQ$1,0),FALSE)</f>
        <v>56.827599999999997</v>
      </c>
      <c r="M146" s="63">
        <f>VLOOKUP($B146,'Tillförd energi'!$B$1:$AI$720,MATCH(M$2,'Tillförd energi'!$B$1:$AQ$1,0),FALSE)</f>
        <v>0</v>
      </c>
      <c r="N146" s="63">
        <f>VLOOKUP($B146,'Tillförd energi'!$B$1:$AI$720,MATCH(N$2,'Tillförd energi'!$B$1:$AQ$1,0),FALSE)</f>
        <v>0</v>
      </c>
      <c r="O146" s="63">
        <f>VLOOKUP($B146,'Tillförd energi'!$B$1:$AI$720,MATCH(O$2,'Tillförd energi'!$B$1:$AQ$1,0),FALSE)</f>
        <v>0</v>
      </c>
      <c r="P146" s="63">
        <f>VLOOKUP($B146,'Tillförd energi'!$B$1:$AI$720,MATCH(P$2,'Tillförd energi'!$B$1:$AQ$1,0),FALSE)</f>
        <v>29.18</v>
      </c>
      <c r="Q146" s="63">
        <f>VLOOKUP($B146,'Tillförd energi'!$B$1:$AI$720,MATCH(Q$2,'Tillförd energi'!$B$1:$AQ$1,0),FALSE)</f>
        <v>0</v>
      </c>
      <c r="R146" s="63">
        <f>VLOOKUP($B146,'Tillförd energi'!$B$1:$AI$720,MATCH(R$2,'Tillförd energi'!$B$1:$AQ$1,0),FALSE)</f>
        <v>0</v>
      </c>
      <c r="S146" s="63">
        <f>VLOOKUP($B146,'Tillförd energi'!$B$1:$AI$720,MATCH(S$2,'Tillförd energi'!$B$1:$AQ$1,0),FALSE)</f>
        <v>0</v>
      </c>
      <c r="T146" s="63">
        <f>VLOOKUP($B146,'Tillförd energi'!$B$1:$AI$720,MATCH(T$2,'Tillförd energi'!$B$1:$AQ$1,0),FALSE)</f>
        <v>0</v>
      </c>
      <c r="U146" s="63">
        <f>VLOOKUP($B146,'Tillförd energi'!$B$1:$AI$720,MATCH(U$2,'Tillförd energi'!$B$1:$AQ$1,0),FALSE)</f>
        <v>0</v>
      </c>
      <c r="V146" s="63">
        <f>VLOOKUP($B146,'Tillförd energi'!$B$1:$AI$720,MATCH(V$2,'Tillförd energi'!$B$1:$AQ$1,0),FALSE)</f>
        <v>0</v>
      </c>
      <c r="W146" s="63">
        <f>VLOOKUP($B146,'Tillförd energi'!$B$1:$AI$720,MATCH(W$2,'Tillförd energi'!$B$1:$AQ$1,0),FALSE)</f>
        <v>0</v>
      </c>
      <c r="X146" s="63">
        <f>VLOOKUP($B146,'Tillförd energi'!$B$1:$AI$720,MATCH(X$2,'Tillförd energi'!$B$1:$AQ$1,0),FALSE)</f>
        <v>0</v>
      </c>
      <c r="Y146" s="63">
        <f>VLOOKUP($B146,'Tillförd energi'!$B$1:$AI$720,MATCH(Y$2,'Tillförd energi'!$B$1:$AQ$1,0),FALSE)</f>
        <v>0</v>
      </c>
      <c r="Z146" s="63">
        <f>VLOOKUP($B146,'Tillförd energi'!$B$1:$AI$720,MATCH(Z$2,'Tillförd energi'!$B$1:$AQ$1,0),FALSE)</f>
        <v>0</v>
      </c>
      <c r="AA146" s="63">
        <f>VLOOKUP($B146,'Tillförd energi'!$B$1:$AI$720,MATCH(AA$2,'Tillförd energi'!$B$1:$AQ$1,0),FALSE)</f>
        <v>0</v>
      </c>
      <c r="AB146" s="63">
        <f>VLOOKUP($B146,'Tillförd energi'!$B$1:$AI$720,MATCH(AB$2,'Tillförd energi'!$B$1:$AQ$1,0),FALSE)</f>
        <v>0</v>
      </c>
      <c r="AC146" s="63">
        <f>VLOOKUP($B146,'Tillförd energi'!$B$1:$AI$720,MATCH(AC$2,'Tillförd energi'!$B$1:$AQ$1,0),FALSE)</f>
        <v>16.75</v>
      </c>
      <c r="AD146" s="63">
        <f>VLOOKUP($B146,'Tillförd energi'!$B$1:$AI$720,MATCH(AD$2,'Tillförd energi'!$B$1:$AQ$1,0),FALSE)</f>
        <v>69.47</v>
      </c>
      <c r="AE146" s="63">
        <f>VLOOKUP($B146,'Tillförd energi'!$B$1:$AI$720,MATCH(AE$2,'Tillförd energi'!$B$1:$AQ$1,0),FALSE)</f>
        <v>0</v>
      </c>
      <c r="AF146" s="63">
        <f>VLOOKUP($B146,'Tillförd energi'!$B$1:$AI$720,MATCH(AF$2,'Tillförd energi'!$B$1:$AQ$1,0),FALSE)</f>
        <v>9.2893000000000008</v>
      </c>
      <c r="AG146" s="63">
        <f>IFERROR(VLOOKUP(B146,Miljö!$B$1:$AC$550,MATCH("Köpt mängd produktionsspecifik fjärrvärme:",Miljö!$B$1:$AC$1,0),FALSE)/1,0)</f>
        <v>23.1</v>
      </c>
      <c r="AI146" s="63">
        <f t="shared" si="12"/>
        <v>366.25373000000002</v>
      </c>
      <c r="AJ146" s="63">
        <f>IF(ISERROR(1/VLOOKUP($B146,Leveranser!$B$1:$S$500,MATCH("såld värme (gwh)",Leveranser!$B$1:$S$1,0),FALSE)),"",VLOOKUP($B146,Leveranser!$B$1:$S$500,MATCH("såld värme (gwh)",Leveranser!$B$1:$S$1,0),FALSE))</f>
        <v>247.2</v>
      </c>
      <c r="AM146" s="63" t="str">
        <f>IF(B146&lt;&gt;"",IF(VLOOKUP($B146,Totalt!$B$1:$AQ$554,MATCH("Kvalitetsgranskad:",Totalt!$B$1:$AQ$1,0),FALSE)="ja",VLOOKUP($B146,Miljö!$B$1:$AG$479,MATCH(AM$2,Miljö!$B$1:$AK$1,0),FALSE),""),"")</f>
        <v>Ja</v>
      </c>
      <c r="AN146" s="63" t="str">
        <f>IF(AM146="ja",VLOOKUP($B146,Miljö!$B$1:$J$479,MATCH("Typ av ursprungsspecificerad el   (Om inget värde anges används Nordisk residualmix, se inforuta) ()",Miljö!$B$1:$J$1,0),FALSE),IF(AM146="nej","Nordisk residualel",""))</f>
        <v>'Vattenkraft'</v>
      </c>
      <c r="AO146" s="63">
        <f>IF(AM146="","",VLOOKUP($B146,Miljö!$B$1:$J$479,MATCH("Fossilandel för ursprungspecificerad el ()",Miljö!$B$1:$J$1,0),FALSE))</f>
        <v>0</v>
      </c>
      <c r="AQ146" s="63">
        <f t="shared" si="13"/>
        <v>1</v>
      </c>
      <c r="AS146" s="63" t="str">
        <f t="shared" si="14"/>
        <v>Ja</v>
      </c>
      <c r="AT146" s="63">
        <f>IF(AS146="ja",VLOOKUP($B146,Miljö!$B$1:$P$500,MATCH("Fossil andel i procent (%)",Miljö!$B$1:$P$1,0),FALSE)/100,"")</f>
        <v>0</v>
      </c>
      <c r="AV146" s="63" t="str">
        <f t="shared" si="15"/>
        <v>Nej</v>
      </c>
      <c r="AW146" s="63" t="str">
        <f>IF(AV146="ja",VLOOKUP($B146,'Egen hetvattenprod'!$B$1:$AO$500,MATCH("Värmekälla till värmepumpar ()",'Egen hetvattenprod'!$B$1:$AO$1,0),FALSE),"")</f>
        <v/>
      </c>
      <c r="AY146" s="63" t="str">
        <f t="shared" si="16"/>
        <v>Ja</v>
      </c>
      <c r="AZ146" s="77">
        <f>IF($AY146="ja",(VLOOKUP($B146,'Egen hetvattenprod'!$B$1:$BX$550,MATCH(AZ$2,'Egen hetvattenprod'!$B$1:$BX$1,0),FALSE)+VLOOKUP($B146,Kraftvärmeprod!$B$1:$BX$550,MATCH(AZ$2,Kraftvärmeprod!$B$1:$BX$1,0),FALSE))/$AC146,"")</f>
        <v>0</v>
      </c>
      <c r="BA146" s="77">
        <f>IF($AY146="ja",(VLOOKUP($B146,'Egen hetvattenprod'!$B$1:$BX$550,MATCH(BA$2,'Egen hetvattenprod'!$B$1:$BX$1,0),FALSE)+VLOOKUP($B146,Kraftvärmeprod!$B$1:$BX$550,MATCH(BA$2,Kraftvärmeprod!$B$1:$BX$1,0),FALSE))/$AC146,"")</f>
        <v>1</v>
      </c>
      <c r="BB146" s="77">
        <f>IF($AY146="ja",(VLOOKUP($B146,'Egen hetvattenprod'!$B$1:$BX$550,MATCH(BB$2,'Egen hetvattenprod'!$B$1:$BX$1,0),FALSE)+VLOOKUP($B146,Kraftvärmeprod!$B$1:$BX$550,MATCH(BB$2,Kraftvärmeprod!$B$1:$BX$1,0),FALSE))/$AC146,"")</f>
        <v>0</v>
      </c>
      <c r="BC146" s="77">
        <f>IF($AY146="ja",(VLOOKUP($B146,'Egen hetvattenprod'!$B$1:$BX$550,MATCH(BC$2,'Egen hetvattenprod'!$B$1:$BX$1,0),FALSE)+VLOOKUP($B146,Kraftvärmeprod!$B$1:$BX$550,MATCH(BC$2,Kraftvärmeprod!$B$1:$BX$1,0),FALSE))/$AC146,"")</f>
        <v>0</v>
      </c>
      <c r="BD146" s="77">
        <f>IF($AY146="ja",(VLOOKUP($B146,'Egen hetvattenprod'!$B$1:$BX$550,MATCH(BD$2,'Egen hetvattenprod'!$B$1:$BX$1,0),FALSE)+VLOOKUP($B146,Kraftvärmeprod!$B$1:$BX$550,MATCH(BD$2,Kraftvärmeprod!$B$1:$BX$1,0),FALSE))/$AC146,"")</f>
        <v>0</v>
      </c>
      <c r="BF146" s="63" t="str">
        <f t="shared" si="17"/>
        <v>Ja</v>
      </c>
      <c r="BG146" s="63" t="str">
        <f>IF($BF146="ja",VLOOKUP($B146,'Egen hetvattenprod'!$B$1:$BX$550,MATCH("Andelen klimatgaser med fossilt ursprung för avfall ()",'Egen hetvattenprod'!$B$1:$BX$1,0),FALSE),"")</f>
        <v>ET</v>
      </c>
      <c r="BH146" s="63" t="str">
        <f>IF($BF146="ja",VLOOKUP($B146,Kraftvärmeprod!$B$1:$BX$550,MATCH("Andelen klimatgaser med fossilt ursprung för avfall ()",Kraftvärmeprod!$B$1:$BX$1,0),FALSE),"")</f>
        <v>ET</v>
      </c>
      <c r="BI146" s="63" t="str">
        <f>IF($BF146="ja",VLOOKUP($B146,'Egen hetvattenprod'!$B$1:$BX$550,MATCH("Avfall (GWh)",'Egen hetvattenprod'!$B$1:$BX$1,0),FALSE),"")</f>
        <v>ET</v>
      </c>
      <c r="BJ146" s="63">
        <f>IF($BF146="ja",VLOOKUP($B146,'Slutlig allokering kvv'!$B$1:$BX$550,MATCH("Avfall (GWh)",'Slutlig allokering kvv'!$B$1:$BX$1,0),FALSE),"")</f>
        <v>159.48699999999999</v>
      </c>
      <c r="BK146" s="63">
        <f>IF($BF146="ja",VLOOKUP($B146,'Köpt hetvatten'!$B$1:$BX$550,MATCH("Avfall i köpt hetvatten",'Köpt hetvatten'!$B$1:$BX$1,0),FALSE),"")</f>
        <v>0</v>
      </c>
      <c r="BL146" s="63" t="str">
        <f>IF($BF146="ja",VLOOKUP($B146,'Egen hetvattenprod'!$B$1:$BX$550,MATCH("Värde enligt ovan. (%)",'Egen hetvattenprod'!$B$1:$BX$1,0),FALSE),"")</f>
        <v>ET</v>
      </c>
      <c r="BM146" s="63" t="str">
        <f>IF($BF146="ja",VLOOKUP($B146,Kraftvärmeprod!$B$1:$BX$550,MATCH("Värde enligt ovan. (%)",Kraftvärmeprod!$B$1:$BX$1,0),FALSE),"")</f>
        <v>ET</v>
      </c>
    </row>
    <row r="147" spans="1:65" x14ac:dyDescent="0.45">
      <c r="A147" s="63" t="s">
        <v>480</v>
      </c>
      <c r="B147" s="63" t="s">
        <v>488</v>
      </c>
      <c r="C147" s="63">
        <f>VLOOKUP($B147,'Tillförd energi'!$B$1:$AI$720,MATCH(C$2,'Tillförd energi'!$B$1:$AQ$1,0),FALSE)</f>
        <v>0</v>
      </c>
      <c r="D147" s="63">
        <f>VLOOKUP($B147,'Tillförd energi'!$B$1:$AI$720,MATCH(D$2,'Tillförd energi'!$B$1:$AQ$1,0),FALSE)</f>
        <v>0.43</v>
      </c>
      <c r="E147" s="63">
        <f>VLOOKUP($B147,'Tillförd energi'!$B$1:$AI$720,MATCH(E$2,'Tillförd energi'!$B$1:$AQ$1,0),FALSE)</f>
        <v>0</v>
      </c>
      <c r="F147" s="63">
        <f>VLOOKUP($B147,'Tillförd energi'!$B$1:$AI$720,MATCH(F$2,'Tillförd energi'!$B$1:$AQ$1,0),FALSE)</f>
        <v>0</v>
      </c>
      <c r="G147" s="63">
        <f>VLOOKUP($B147,'Tillförd energi'!$B$1:$AI$720,MATCH(G$2,'Tillförd energi'!$B$1:$AQ$1,0),FALSE)</f>
        <v>0</v>
      </c>
      <c r="H147" s="63">
        <f>VLOOKUP($B147,'Tillförd energi'!$B$1:$AI$720,MATCH(H$2,'Tillförd energi'!$B$1:$AQ$1,0),FALSE)</f>
        <v>0</v>
      </c>
      <c r="I147" s="63">
        <f>VLOOKUP($B147,'Tillförd energi'!$B$1:$AI$720,MATCH(I$2,'Tillförd energi'!$B$1:$AQ$1,0),FALSE)</f>
        <v>0</v>
      </c>
      <c r="J147" s="63">
        <f>VLOOKUP($B147,'Tillförd energi'!$B$1:$AI$720,MATCH(J$2,'Tillförd energi'!$B$1:$AQ$1,0),FALSE)</f>
        <v>0</v>
      </c>
      <c r="K147" s="63">
        <f>VLOOKUP($B147,'Tillförd energi'!$B$1:$AI$720,MATCH(K$2,'Tillförd energi'!$B$1:$AQ$1,0),FALSE)</f>
        <v>0</v>
      </c>
      <c r="L147" s="63">
        <f>VLOOKUP($B147,'Tillförd energi'!$B$1:$AI$720,MATCH(L$2,'Tillförd energi'!$B$1:$AQ$1,0),FALSE)</f>
        <v>0</v>
      </c>
      <c r="M147" s="63">
        <f>VLOOKUP($B147,'Tillförd energi'!$B$1:$AI$720,MATCH(M$2,'Tillförd energi'!$B$1:$AQ$1,0),FALSE)</f>
        <v>0</v>
      </c>
      <c r="N147" s="63">
        <f>VLOOKUP($B147,'Tillförd energi'!$B$1:$AI$720,MATCH(N$2,'Tillförd energi'!$B$1:$AQ$1,0),FALSE)</f>
        <v>0</v>
      </c>
      <c r="O147" s="63">
        <f>VLOOKUP($B147,'Tillförd energi'!$B$1:$AI$720,MATCH(O$2,'Tillförd energi'!$B$1:$AQ$1,0),FALSE)</f>
        <v>0</v>
      </c>
      <c r="P147" s="63">
        <f>VLOOKUP($B147,'Tillförd energi'!$B$1:$AI$720,MATCH(P$2,'Tillförd energi'!$B$1:$AQ$1,0),FALSE)</f>
        <v>11.65</v>
      </c>
      <c r="Q147" s="63">
        <f>VLOOKUP($B147,'Tillförd energi'!$B$1:$AI$720,MATCH(Q$2,'Tillförd energi'!$B$1:$AQ$1,0),FALSE)</f>
        <v>0</v>
      </c>
      <c r="R147" s="63">
        <f>VLOOKUP($B147,'Tillförd energi'!$B$1:$AI$720,MATCH(R$2,'Tillförd energi'!$B$1:$AQ$1,0),FALSE)</f>
        <v>0</v>
      </c>
      <c r="S147" s="63">
        <f>VLOOKUP($B147,'Tillförd energi'!$B$1:$AI$720,MATCH(S$2,'Tillförd energi'!$B$1:$AQ$1,0),FALSE)</f>
        <v>0</v>
      </c>
      <c r="T147" s="63">
        <f>VLOOKUP($B147,'Tillförd energi'!$B$1:$AI$720,MATCH(T$2,'Tillförd energi'!$B$1:$AQ$1,0),FALSE)</f>
        <v>0</v>
      </c>
      <c r="U147" s="63">
        <f>VLOOKUP($B147,'Tillförd energi'!$B$1:$AI$720,MATCH(U$2,'Tillförd energi'!$B$1:$AQ$1,0),FALSE)</f>
        <v>0</v>
      </c>
      <c r="V147" s="63">
        <f>VLOOKUP($B147,'Tillförd energi'!$B$1:$AI$720,MATCH(V$2,'Tillförd energi'!$B$1:$AQ$1,0),FALSE)</f>
        <v>0</v>
      </c>
      <c r="W147" s="63">
        <f>VLOOKUP($B147,'Tillförd energi'!$B$1:$AI$720,MATCH(W$2,'Tillförd energi'!$B$1:$AQ$1,0),FALSE)</f>
        <v>0</v>
      </c>
      <c r="X147" s="63">
        <f>VLOOKUP($B147,'Tillförd energi'!$B$1:$AI$720,MATCH(X$2,'Tillförd energi'!$B$1:$AQ$1,0),FALSE)</f>
        <v>0</v>
      </c>
      <c r="Y147" s="63">
        <f>VLOOKUP($B147,'Tillförd energi'!$B$1:$AI$720,MATCH(Y$2,'Tillförd energi'!$B$1:$AQ$1,0),FALSE)</f>
        <v>0</v>
      </c>
      <c r="Z147" s="63">
        <f>VLOOKUP($B147,'Tillförd energi'!$B$1:$AI$720,MATCH(Z$2,'Tillförd energi'!$B$1:$AQ$1,0),FALSE)</f>
        <v>0</v>
      </c>
      <c r="AA147" s="63">
        <f>VLOOKUP($B147,'Tillförd energi'!$B$1:$AI$720,MATCH(AA$2,'Tillförd energi'!$B$1:$AQ$1,0),FALSE)</f>
        <v>0</v>
      </c>
      <c r="AB147" s="63">
        <f>VLOOKUP($B147,'Tillförd energi'!$B$1:$AI$720,MATCH(AB$2,'Tillförd energi'!$B$1:$AQ$1,0),FALSE)</f>
        <v>0</v>
      </c>
      <c r="AC147" s="63">
        <f>VLOOKUP($B147,'Tillförd energi'!$B$1:$AI$720,MATCH(AC$2,'Tillförd energi'!$B$1:$AQ$1,0),FALSE)</f>
        <v>0</v>
      </c>
      <c r="AD147" s="63">
        <f>VLOOKUP($B147,'Tillförd energi'!$B$1:$AI$720,MATCH(AD$2,'Tillförd energi'!$B$1:$AQ$1,0),FALSE)</f>
        <v>0</v>
      </c>
      <c r="AE147" s="63">
        <f>VLOOKUP($B147,'Tillförd energi'!$B$1:$AI$720,MATCH(AE$2,'Tillförd energi'!$B$1:$AQ$1,0),FALSE)</f>
        <v>0</v>
      </c>
      <c r="AF147" s="63">
        <f>VLOOKUP($B147,'Tillförd energi'!$B$1:$AI$720,MATCH(AF$2,'Tillförd energi'!$B$1:$AQ$1,0),FALSE)</f>
        <v>0.154</v>
      </c>
      <c r="AG147" s="63">
        <f>IFERROR(VLOOKUP(B147,Miljö!$B$1:$AC$550,MATCH("Köpt mängd produktionsspecifik fjärrvärme:",Miljö!$B$1:$AC$1,0),FALSE)/1,0)</f>
        <v>0</v>
      </c>
      <c r="AI147" s="63">
        <f t="shared" si="12"/>
        <v>12.234</v>
      </c>
      <c r="AJ147" s="63">
        <f>IF(ISERROR(1/VLOOKUP($B147,Leveranser!$B$1:$S$500,MATCH("såld värme (gwh)",Leveranser!$B$1:$S$1,0),FALSE)),"",VLOOKUP($B147,Leveranser!$B$1:$S$500,MATCH("såld värme (gwh)",Leveranser!$B$1:$S$1,0),FALSE))</f>
        <v>8.15</v>
      </c>
      <c r="AM147" s="63" t="str">
        <f>IF(B147&lt;&gt;"",IF(VLOOKUP($B147,Totalt!$B$1:$AQ$554,MATCH("Kvalitetsgranskad:",Totalt!$B$1:$AQ$1,0),FALSE)="ja",VLOOKUP($B147,Miljö!$B$1:$AG$479,MATCH(AM$2,Miljö!$B$1:$AK$1,0),FALSE),""),"")</f>
        <v>Ja</v>
      </c>
      <c r="AN147" s="63" t="str">
        <f>IF(AM147="ja",VLOOKUP($B147,Miljö!$B$1:$J$479,MATCH("Typ av ursprungsspecificerad el   (Om inget värde anges används Nordisk residualmix, se inforuta) ()",Miljö!$B$1:$J$1,0),FALSE),IF(AM147="nej","Nordisk residualel",""))</f>
        <v>'Vattenkraft'</v>
      </c>
      <c r="AO147" s="63">
        <f>IF(AM147="","",VLOOKUP($B147,Miljö!$B$1:$J$479,MATCH("Fossilandel för ursprungspecificerad el ()",Miljö!$B$1:$J$1,0),FALSE))</f>
        <v>0</v>
      </c>
      <c r="AQ147" s="63">
        <f t="shared" si="13"/>
        <v>1</v>
      </c>
      <c r="AS147" s="63" t="str">
        <f t="shared" si="14"/>
        <v>Nej</v>
      </c>
      <c r="AT147" s="63" t="str">
        <f>IF(AS147="ja",VLOOKUP($B147,Miljö!$B$1:$P$500,MATCH("Fossil andel i procent (%)",Miljö!$B$1:$P$1,0),FALSE)/100,"")</f>
        <v/>
      </c>
      <c r="AV147" s="63" t="str">
        <f t="shared" si="15"/>
        <v>Nej</v>
      </c>
      <c r="AW147" s="63" t="str">
        <f>IF(AV147="ja",VLOOKUP($B147,'Egen hetvattenprod'!$B$1:$AO$500,MATCH("Värmekälla till värmepumpar ()",'Egen hetvattenprod'!$B$1:$AO$1,0),FALSE),"")</f>
        <v/>
      </c>
      <c r="AY147" s="63" t="str">
        <f t="shared" si="16"/>
        <v>Nej</v>
      </c>
      <c r="AZ147" s="77" t="str">
        <f>IF($AY147="ja",(VLOOKUP($B147,'Egen hetvattenprod'!$B$1:$BX$550,MATCH(AZ$2,'Egen hetvattenprod'!$B$1:$BX$1,0),FALSE)+VLOOKUP($B147,Kraftvärmeprod!$B$1:$BX$550,MATCH(AZ$2,Kraftvärmeprod!$B$1:$BX$1,0),FALSE))/$AC147,"")</f>
        <v/>
      </c>
      <c r="BA147" s="77" t="str">
        <f>IF($AY147="ja",(VLOOKUP($B147,'Egen hetvattenprod'!$B$1:$BX$550,MATCH(BA$2,'Egen hetvattenprod'!$B$1:$BX$1,0),FALSE)+VLOOKUP($B147,Kraftvärmeprod!$B$1:$BX$550,MATCH(BA$2,Kraftvärmeprod!$B$1:$BX$1,0),FALSE))/$AC147,"")</f>
        <v/>
      </c>
      <c r="BB147" s="77" t="str">
        <f>IF($AY147="ja",(VLOOKUP($B147,'Egen hetvattenprod'!$B$1:$BX$550,MATCH(BB$2,'Egen hetvattenprod'!$B$1:$BX$1,0),FALSE)+VLOOKUP($B147,Kraftvärmeprod!$B$1:$BX$550,MATCH(BB$2,Kraftvärmeprod!$B$1:$BX$1,0),FALSE))/$AC147,"")</f>
        <v/>
      </c>
      <c r="BC147" s="77" t="str">
        <f>IF($AY147="ja",(VLOOKUP($B147,'Egen hetvattenprod'!$B$1:$BX$550,MATCH(BC$2,'Egen hetvattenprod'!$B$1:$BX$1,0),FALSE)+VLOOKUP($B147,Kraftvärmeprod!$B$1:$BX$550,MATCH(BC$2,Kraftvärmeprod!$B$1:$BX$1,0),FALSE))/$AC147,"")</f>
        <v/>
      </c>
      <c r="BD147" s="77" t="str">
        <f>IF($AY147="ja",(VLOOKUP($B147,'Egen hetvattenprod'!$B$1:$BX$550,MATCH(BD$2,'Egen hetvattenprod'!$B$1:$BX$1,0),FALSE)+VLOOKUP($B147,Kraftvärmeprod!$B$1:$BX$550,MATCH(BD$2,Kraftvärmeprod!$B$1:$BX$1,0),FALSE))/$AC147,"")</f>
        <v/>
      </c>
      <c r="BF147" s="63" t="str">
        <f t="shared" si="17"/>
        <v>Nej</v>
      </c>
      <c r="BG147" s="63" t="str">
        <f>IF($BF147="ja",VLOOKUP($B147,'Egen hetvattenprod'!$B$1:$BX$550,MATCH("Andelen klimatgaser med fossilt ursprung för avfall ()",'Egen hetvattenprod'!$B$1:$BX$1,0),FALSE),"")</f>
        <v/>
      </c>
      <c r="BH147" s="63" t="str">
        <f>IF($BF147="ja",VLOOKUP($B147,Kraftvärmeprod!$B$1:$BX$550,MATCH("Andelen klimatgaser med fossilt ursprung för avfall ()",Kraftvärmeprod!$B$1:$BX$1,0),FALSE),"")</f>
        <v/>
      </c>
      <c r="BI147" s="63" t="str">
        <f>IF($BF147="ja",VLOOKUP($B147,'Egen hetvattenprod'!$B$1:$BX$550,MATCH("Avfall (GWh)",'Egen hetvattenprod'!$B$1:$BX$1,0),FALSE),"")</f>
        <v/>
      </c>
      <c r="BJ147" s="63" t="str">
        <f>IF($BF147="ja",VLOOKUP($B147,'Slutlig allokering kvv'!$B$1:$BX$550,MATCH("Avfall (GWh)",'Slutlig allokering kvv'!$B$1:$BX$1,0),FALSE),"")</f>
        <v/>
      </c>
      <c r="BK147" s="63" t="str">
        <f>IF($BF147="ja",VLOOKUP($B147,'Köpt hetvatten'!$B$1:$BX$550,MATCH("Avfall i köpt hetvatten",'Köpt hetvatten'!$B$1:$BX$1,0),FALSE),"")</f>
        <v/>
      </c>
      <c r="BL147" s="63" t="str">
        <f>IF($BF147="ja",VLOOKUP($B147,'Egen hetvattenprod'!$B$1:$BX$550,MATCH("Värde enligt ovan. (%)",'Egen hetvattenprod'!$B$1:$BX$1,0),FALSE),"")</f>
        <v/>
      </c>
      <c r="BM147" s="63" t="str">
        <f>IF($BF147="ja",VLOOKUP($B147,Kraftvärmeprod!$B$1:$BX$550,MATCH("Värde enligt ovan. (%)",Kraftvärmeprod!$B$1:$BX$1,0),FALSE),"")</f>
        <v/>
      </c>
    </row>
    <row r="148" spans="1:65" x14ac:dyDescent="0.45">
      <c r="A148" s="63" t="s">
        <v>480</v>
      </c>
      <c r="B148" s="63" t="s">
        <v>487</v>
      </c>
      <c r="C148" s="63">
        <f>VLOOKUP($B148,'Tillförd energi'!$B$1:$AI$720,MATCH(C$2,'Tillförd energi'!$B$1:$AQ$1,0),FALSE)</f>
        <v>0</v>
      </c>
      <c r="D148" s="63">
        <f>VLOOKUP($B148,'Tillförd energi'!$B$1:$AI$720,MATCH(D$2,'Tillförd energi'!$B$1:$AQ$1,0),FALSE)</f>
        <v>0.41899999999999998</v>
      </c>
      <c r="E148" s="63">
        <f>VLOOKUP($B148,'Tillförd energi'!$B$1:$AI$720,MATCH(E$2,'Tillförd energi'!$B$1:$AQ$1,0),FALSE)</f>
        <v>0</v>
      </c>
      <c r="F148" s="63">
        <f>VLOOKUP($B148,'Tillförd energi'!$B$1:$AI$720,MATCH(F$2,'Tillförd energi'!$B$1:$AQ$1,0),FALSE)</f>
        <v>0</v>
      </c>
      <c r="G148" s="63">
        <f>VLOOKUP($B148,'Tillförd energi'!$B$1:$AI$720,MATCH(G$2,'Tillförd energi'!$B$1:$AQ$1,0),FALSE)</f>
        <v>0</v>
      </c>
      <c r="H148" s="63">
        <f>VLOOKUP($B148,'Tillförd energi'!$B$1:$AI$720,MATCH(H$2,'Tillförd energi'!$B$1:$AQ$1,0),FALSE)</f>
        <v>0</v>
      </c>
      <c r="I148" s="63">
        <f>VLOOKUP($B148,'Tillförd energi'!$B$1:$AI$720,MATCH(I$2,'Tillförd energi'!$B$1:$AQ$1,0),FALSE)</f>
        <v>0</v>
      </c>
      <c r="J148" s="63">
        <f>VLOOKUP($B148,'Tillförd energi'!$B$1:$AI$720,MATCH(J$2,'Tillförd energi'!$B$1:$AQ$1,0),FALSE)</f>
        <v>0</v>
      </c>
      <c r="K148" s="63">
        <f>VLOOKUP($B148,'Tillförd energi'!$B$1:$AI$720,MATCH(K$2,'Tillförd energi'!$B$1:$AQ$1,0),FALSE)</f>
        <v>0</v>
      </c>
      <c r="L148" s="63">
        <f>VLOOKUP($B148,'Tillförd energi'!$B$1:$AI$720,MATCH(L$2,'Tillförd energi'!$B$1:$AQ$1,0),FALSE)</f>
        <v>0</v>
      </c>
      <c r="M148" s="63">
        <f>VLOOKUP($B148,'Tillförd energi'!$B$1:$AI$720,MATCH(M$2,'Tillförd energi'!$B$1:$AQ$1,0),FALSE)</f>
        <v>0</v>
      </c>
      <c r="N148" s="63">
        <f>VLOOKUP($B148,'Tillförd energi'!$B$1:$AI$720,MATCH(N$2,'Tillförd energi'!$B$1:$AQ$1,0),FALSE)</f>
        <v>0</v>
      </c>
      <c r="O148" s="63">
        <f>VLOOKUP($B148,'Tillförd energi'!$B$1:$AI$720,MATCH(O$2,'Tillförd energi'!$B$1:$AQ$1,0),FALSE)</f>
        <v>0</v>
      </c>
      <c r="P148" s="63">
        <f>VLOOKUP($B148,'Tillförd energi'!$B$1:$AI$720,MATCH(P$2,'Tillförd energi'!$B$1:$AQ$1,0),FALSE)</f>
        <v>9.2629999999999999</v>
      </c>
      <c r="Q148" s="63">
        <f>VLOOKUP($B148,'Tillförd energi'!$B$1:$AI$720,MATCH(Q$2,'Tillförd energi'!$B$1:$AQ$1,0),FALSE)</f>
        <v>0</v>
      </c>
      <c r="R148" s="63">
        <f>VLOOKUP($B148,'Tillförd energi'!$B$1:$AI$720,MATCH(R$2,'Tillförd energi'!$B$1:$AQ$1,0),FALSE)</f>
        <v>0</v>
      </c>
      <c r="S148" s="63">
        <f>VLOOKUP($B148,'Tillförd energi'!$B$1:$AI$720,MATCH(S$2,'Tillförd energi'!$B$1:$AQ$1,0),FALSE)</f>
        <v>0</v>
      </c>
      <c r="T148" s="63">
        <f>VLOOKUP($B148,'Tillförd energi'!$B$1:$AI$720,MATCH(T$2,'Tillförd energi'!$B$1:$AQ$1,0),FALSE)</f>
        <v>0</v>
      </c>
      <c r="U148" s="63">
        <f>VLOOKUP($B148,'Tillförd energi'!$B$1:$AI$720,MATCH(U$2,'Tillförd energi'!$B$1:$AQ$1,0),FALSE)</f>
        <v>0</v>
      </c>
      <c r="V148" s="63">
        <f>VLOOKUP($B148,'Tillförd energi'!$B$1:$AI$720,MATCH(V$2,'Tillförd energi'!$B$1:$AQ$1,0),FALSE)</f>
        <v>0</v>
      </c>
      <c r="W148" s="63">
        <f>VLOOKUP($B148,'Tillförd energi'!$B$1:$AI$720,MATCH(W$2,'Tillförd energi'!$B$1:$AQ$1,0),FALSE)</f>
        <v>0</v>
      </c>
      <c r="X148" s="63">
        <f>VLOOKUP($B148,'Tillförd energi'!$B$1:$AI$720,MATCH(X$2,'Tillförd energi'!$B$1:$AQ$1,0),FALSE)</f>
        <v>0</v>
      </c>
      <c r="Y148" s="63">
        <f>VLOOKUP($B148,'Tillförd energi'!$B$1:$AI$720,MATCH(Y$2,'Tillförd energi'!$B$1:$AQ$1,0),FALSE)</f>
        <v>0</v>
      </c>
      <c r="Z148" s="63">
        <f>VLOOKUP($B148,'Tillförd energi'!$B$1:$AI$720,MATCH(Z$2,'Tillförd energi'!$B$1:$AQ$1,0),FALSE)</f>
        <v>0</v>
      </c>
      <c r="AA148" s="63">
        <f>VLOOKUP($B148,'Tillförd energi'!$B$1:$AI$720,MATCH(AA$2,'Tillförd energi'!$B$1:$AQ$1,0),FALSE)</f>
        <v>0</v>
      </c>
      <c r="AB148" s="63">
        <f>VLOOKUP($B148,'Tillförd energi'!$B$1:$AI$720,MATCH(AB$2,'Tillförd energi'!$B$1:$AQ$1,0),FALSE)</f>
        <v>0</v>
      </c>
      <c r="AC148" s="63">
        <f>VLOOKUP($B148,'Tillförd energi'!$B$1:$AI$720,MATCH(AC$2,'Tillförd energi'!$B$1:$AQ$1,0),FALSE)</f>
        <v>0</v>
      </c>
      <c r="AD148" s="63">
        <f>VLOOKUP($B148,'Tillförd energi'!$B$1:$AI$720,MATCH(AD$2,'Tillförd energi'!$B$1:$AQ$1,0),FALSE)</f>
        <v>0</v>
      </c>
      <c r="AE148" s="63">
        <f>VLOOKUP($B148,'Tillförd energi'!$B$1:$AI$720,MATCH(AE$2,'Tillförd energi'!$B$1:$AQ$1,0),FALSE)</f>
        <v>0</v>
      </c>
      <c r="AF148" s="63">
        <f>VLOOKUP($B148,'Tillförd energi'!$B$1:$AI$720,MATCH(AF$2,'Tillförd energi'!$B$1:$AQ$1,0),FALSE)</f>
        <v>9.2999999999999999E-2</v>
      </c>
      <c r="AG148" s="63">
        <f>IFERROR(VLOOKUP(B148,Miljö!$B$1:$AC$550,MATCH("Köpt mängd produktionsspecifik fjärrvärme:",Miljö!$B$1:$AC$1,0),FALSE)/1,0)</f>
        <v>0</v>
      </c>
      <c r="AI148" s="63">
        <f t="shared" si="12"/>
        <v>9.7750000000000004</v>
      </c>
      <c r="AJ148" s="63">
        <f>IF(ISERROR(1/VLOOKUP($B148,Leveranser!$B$1:$S$500,MATCH("såld värme (gwh)",Leveranser!$B$1:$S$1,0),FALSE)),"",VLOOKUP($B148,Leveranser!$B$1:$S$500,MATCH("såld värme (gwh)",Leveranser!$B$1:$S$1,0),FALSE))</f>
        <v>6.86</v>
      </c>
      <c r="AM148" s="63" t="str">
        <f>IF(B148&lt;&gt;"",IF(VLOOKUP($B148,Totalt!$B$1:$AQ$554,MATCH("Kvalitetsgranskad:",Totalt!$B$1:$AQ$1,0),FALSE)="ja",VLOOKUP($B148,Miljö!$B$1:$AG$479,MATCH(AM$2,Miljö!$B$1:$AK$1,0),FALSE),""),"")</f>
        <v>Ja</v>
      </c>
      <c r="AN148" s="63" t="str">
        <f>IF(AM148="ja",VLOOKUP($B148,Miljö!$B$1:$J$479,MATCH("Typ av ursprungsspecificerad el   (Om inget värde anges används Nordisk residualmix, se inforuta) ()",Miljö!$B$1:$J$1,0),FALSE),IF(AM148="nej","Nordisk residualel",""))</f>
        <v>'Vattenkraft'</v>
      </c>
      <c r="AO148" s="63">
        <f>IF(AM148="","",VLOOKUP($B148,Miljö!$B$1:$J$479,MATCH("Fossilandel för ursprungspecificerad el ()",Miljö!$B$1:$J$1,0),FALSE))</f>
        <v>0</v>
      </c>
      <c r="AQ148" s="63">
        <f t="shared" si="13"/>
        <v>1</v>
      </c>
      <c r="AS148" s="63" t="str">
        <f t="shared" si="14"/>
        <v>Nej</v>
      </c>
      <c r="AT148" s="63" t="str">
        <f>IF(AS148="ja",VLOOKUP($B148,Miljö!$B$1:$P$500,MATCH("Fossil andel i procent (%)",Miljö!$B$1:$P$1,0),FALSE)/100,"")</f>
        <v/>
      </c>
      <c r="AV148" s="63" t="str">
        <f t="shared" si="15"/>
        <v>Nej</v>
      </c>
      <c r="AW148" s="63" t="str">
        <f>IF(AV148="ja",VLOOKUP($B148,'Egen hetvattenprod'!$B$1:$AO$500,MATCH("Värmekälla till värmepumpar ()",'Egen hetvattenprod'!$B$1:$AO$1,0),FALSE),"")</f>
        <v/>
      </c>
      <c r="AY148" s="63" t="str">
        <f t="shared" si="16"/>
        <v>Nej</v>
      </c>
      <c r="AZ148" s="77" t="str">
        <f>IF($AY148="ja",(VLOOKUP($B148,'Egen hetvattenprod'!$B$1:$BX$550,MATCH(AZ$2,'Egen hetvattenprod'!$B$1:$BX$1,0),FALSE)+VLOOKUP($B148,Kraftvärmeprod!$B$1:$BX$550,MATCH(AZ$2,Kraftvärmeprod!$B$1:$BX$1,0),FALSE))/$AC148,"")</f>
        <v/>
      </c>
      <c r="BA148" s="77" t="str">
        <f>IF($AY148="ja",(VLOOKUP($B148,'Egen hetvattenprod'!$B$1:$BX$550,MATCH(BA$2,'Egen hetvattenprod'!$B$1:$BX$1,0),FALSE)+VLOOKUP($B148,Kraftvärmeprod!$B$1:$BX$550,MATCH(BA$2,Kraftvärmeprod!$B$1:$BX$1,0),FALSE))/$AC148,"")</f>
        <v/>
      </c>
      <c r="BB148" s="77" t="str">
        <f>IF($AY148="ja",(VLOOKUP($B148,'Egen hetvattenprod'!$B$1:$BX$550,MATCH(BB$2,'Egen hetvattenprod'!$B$1:$BX$1,0),FALSE)+VLOOKUP($B148,Kraftvärmeprod!$B$1:$BX$550,MATCH(BB$2,Kraftvärmeprod!$B$1:$BX$1,0),FALSE))/$AC148,"")</f>
        <v/>
      </c>
      <c r="BC148" s="77" t="str">
        <f>IF($AY148="ja",(VLOOKUP($B148,'Egen hetvattenprod'!$B$1:$BX$550,MATCH(BC$2,'Egen hetvattenprod'!$B$1:$BX$1,0),FALSE)+VLOOKUP($B148,Kraftvärmeprod!$B$1:$BX$550,MATCH(BC$2,Kraftvärmeprod!$B$1:$BX$1,0),FALSE))/$AC148,"")</f>
        <v/>
      </c>
      <c r="BD148" s="77" t="str">
        <f>IF($AY148="ja",(VLOOKUP($B148,'Egen hetvattenprod'!$B$1:$BX$550,MATCH(BD$2,'Egen hetvattenprod'!$B$1:$BX$1,0),FALSE)+VLOOKUP($B148,Kraftvärmeprod!$B$1:$BX$550,MATCH(BD$2,Kraftvärmeprod!$B$1:$BX$1,0),FALSE))/$AC148,"")</f>
        <v/>
      </c>
      <c r="BF148" s="63" t="str">
        <f t="shared" si="17"/>
        <v>Nej</v>
      </c>
      <c r="BG148" s="63" t="str">
        <f>IF($BF148="ja",VLOOKUP($B148,'Egen hetvattenprod'!$B$1:$BX$550,MATCH("Andelen klimatgaser med fossilt ursprung för avfall ()",'Egen hetvattenprod'!$B$1:$BX$1,0),FALSE),"")</f>
        <v/>
      </c>
      <c r="BH148" s="63" t="str">
        <f>IF($BF148="ja",VLOOKUP($B148,Kraftvärmeprod!$B$1:$BX$550,MATCH("Andelen klimatgaser med fossilt ursprung för avfall ()",Kraftvärmeprod!$B$1:$BX$1,0),FALSE),"")</f>
        <v/>
      </c>
      <c r="BI148" s="63" t="str">
        <f>IF($BF148="ja",VLOOKUP($B148,'Egen hetvattenprod'!$B$1:$BX$550,MATCH("Avfall (GWh)",'Egen hetvattenprod'!$B$1:$BX$1,0),FALSE),"")</f>
        <v/>
      </c>
      <c r="BJ148" s="63" t="str">
        <f>IF($BF148="ja",VLOOKUP($B148,'Slutlig allokering kvv'!$B$1:$BX$550,MATCH("Avfall (GWh)",'Slutlig allokering kvv'!$B$1:$BX$1,0),FALSE),"")</f>
        <v/>
      </c>
      <c r="BK148" s="63" t="str">
        <f>IF($BF148="ja",VLOOKUP($B148,'Köpt hetvatten'!$B$1:$BX$550,MATCH("Avfall i köpt hetvatten",'Köpt hetvatten'!$B$1:$BX$1,0),FALSE),"")</f>
        <v/>
      </c>
      <c r="BL148" s="63" t="str">
        <f>IF($BF148="ja",VLOOKUP($B148,'Egen hetvattenprod'!$B$1:$BX$550,MATCH("Värde enligt ovan. (%)",'Egen hetvattenprod'!$B$1:$BX$1,0),FALSE),"")</f>
        <v/>
      </c>
      <c r="BM148" s="63" t="str">
        <f>IF($BF148="ja",VLOOKUP($B148,Kraftvärmeprod!$B$1:$BX$550,MATCH("Värde enligt ovan. (%)",Kraftvärmeprod!$B$1:$BX$1,0),FALSE),"")</f>
        <v/>
      </c>
    </row>
    <row r="149" spans="1:65" x14ac:dyDescent="0.45">
      <c r="A149" s="63" t="s">
        <v>480</v>
      </c>
      <c r="B149" s="63" t="s">
        <v>486</v>
      </c>
      <c r="C149" s="63">
        <f>VLOOKUP($B149,'Tillförd energi'!$B$1:$AI$720,MATCH(C$2,'Tillförd energi'!$B$1:$AQ$1,0),FALSE)</f>
        <v>0</v>
      </c>
      <c r="D149" s="63">
        <f>VLOOKUP($B149,'Tillförd energi'!$B$1:$AI$720,MATCH(D$2,'Tillförd energi'!$B$1:$AQ$1,0),FALSE)</f>
        <v>0.158</v>
      </c>
      <c r="E149" s="63">
        <f>VLOOKUP($B149,'Tillförd energi'!$B$1:$AI$720,MATCH(E$2,'Tillförd energi'!$B$1:$AQ$1,0),FALSE)</f>
        <v>0</v>
      </c>
      <c r="F149" s="63">
        <f>VLOOKUP($B149,'Tillförd energi'!$B$1:$AI$720,MATCH(F$2,'Tillförd energi'!$B$1:$AQ$1,0),FALSE)</f>
        <v>0</v>
      </c>
      <c r="G149" s="63">
        <f>VLOOKUP($B149,'Tillförd energi'!$B$1:$AI$720,MATCH(G$2,'Tillförd energi'!$B$1:$AQ$1,0),FALSE)</f>
        <v>0</v>
      </c>
      <c r="H149" s="63">
        <f>VLOOKUP($B149,'Tillförd energi'!$B$1:$AI$720,MATCH(H$2,'Tillförd energi'!$B$1:$AQ$1,0),FALSE)</f>
        <v>0</v>
      </c>
      <c r="I149" s="63">
        <f>VLOOKUP($B149,'Tillförd energi'!$B$1:$AI$720,MATCH(I$2,'Tillförd energi'!$B$1:$AQ$1,0),FALSE)</f>
        <v>0</v>
      </c>
      <c r="J149" s="63">
        <f>VLOOKUP($B149,'Tillförd energi'!$B$1:$AI$720,MATCH(J$2,'Tillförd energi'!$B$1:$AQ$1,0),FALSE)</f>
        <v>0</v>
      </c>
      <c r="K149" s="63">
        <f>VLOOKUP($B149,'Tillförd energi'!$B$1:$AI$720,MATCH(K$2,'Tillförd energi'!$B$1:$AQ$1,0),FALSE)</f>
        <v>0</v>
      </c>
      <c r="L149" s="63">
        <f>VLOOKUP($B149,'Tillförd energi'!$B$1:$AI$720,MATCH(L$2,'Tillförd energi'!$B$1:$AQ$1,0),FALSE)</f>
        <v>0</v>
      </c>
      <c r="M149" s="63">
        <f>VLOOKUP($B149,'Tillförd energi'!$B$1:$AI$720,MATCH(M$2,'Tillförd energi'!$B$1:$AQ$1,0),FALSE)</f>
        <v>0</v>
      </c>
      <c r="N149" s="63">
        <f>VLOOKUP($B149,'Tillförd energi'!$B$1:$AI$720,MATCH(N$2,'Tillförd energi'!$B$1:$AQ$1,0),FALSE)</f>
        <v>0</v>
      </c>
      <c r="O149" s="63">
        <f>VLOOKUP($B149,'Tillförd energi'!$B$1:$AI$720,MATCH(O$2,'Tillförd energi'!$B$1:$AQ$1,0),FALSE)</f>
        <v>0</v>
      </c>
      <c r="P149" s="63">
        <f>VLOOKUP($B149,'Tillförd energi'!$B$1:$AI$720,MATCH(P$2,'Tillförd energi'!$B$1:$AQ$1,0),FALSE)</f>
        <v>15.981</v>
      </c>
      <c r="Q149" s="63">
        <f>VLOOKUP($B149,'Tillförd energi'!$B$1:$AI$720,MATCH(Q$2,'Tillförd energi'!$B$1:$AQ$1,0),FALSE)</f>
        <v>0</v>
      </c>
      <c r="R149" s="63">
        <f>VLOOKUP($B149,'Tillförd energi'!$B$1:$AI$720,MATCH(R$2,'Tillförd energi'!$B$1:$AQ$1,0),FALSE)</f>
        <v>0</v>
      </c>
      <c r="S149" s="63">
        <f>VLOOKUP($B149,'Tillförd energi'!$B$1:$AI$720,MATCH(S$2,'Tillförd energi'!$B$1:$AQ$1,0),FALSE)</f>
        <v>0</v>
      </c>
      <c r="T149" s="63">
        <f>VLOOKUP($B149,'Tillförd energi'!$B$1:$AI$720,MATCH(T$2,'Tillförd energi'!$B$1:$AQ$1,0),FALSE)</f>
        <v>0</v>
      </c>
      <c r="U149" s="63">
        <f>VLOOKUP($B149,'Tillförd energi'!$B$1:$AI$720,MATCH(U$2,'Tillförd energi'!$B$1:$AQ$1,0),FALSE)</f>
        <v>0</v>
      </c>
      <c r="V149" s="63">
        <f>VLOOKUP($B149,'Tillförd energi'!$B$1:$AI$720,MATCH(V$2,'Tillförd energi'!$B$1:$AQ$1,0),FALSE)</f>
        <v>0</v>
      </c>
      <c r="W149" s="63">
        <f>VLOOKUP($B149,'Tillförd energi'!$B$1:$AI$720,MATCH(W$2,'Tillförd energi'!$B$1:$AQ$1,0),FALSE)</f>
        <v>0</v>
      </c>
      <c r="X149" s="63">
        <f>VLOOKUP($B149,'Tillförd energi'!$B$1:$AI$720,MATCH(X$2,'Tillförd energi'!$B$1:$AQ$1,0),FALSE)</f>
        <v>0</v>
      </c>
      <c r="Y149" s="63">
        <f>VLOOKUP($B149,'Tillförd energi'!$B$1:$AI$720,MATCH(Y$2,'Tillförd energi'!$B$1:$AQ$1,0),FALSE)</f>
        <v>0</v>
      </c>
      <c r="Z149" s="63">
        <f>VLOOKUP($B149,'Tillförd energi'!$B$1:$AI$720,MATCH(Z$2,'Tillförd energi'!$B$1:$AQ$1,0),FALSE)</f>
        <v>0</v>
      </c>
      <c r="AA149" s="63">
        <f>VLOOKUP($B149,'Tillförd energi'!$B$1:$AI$720,MATCH(AA$2,'Tillförd energi'!$B$1:$AQ$1,0),FALSE)</f>
        <v>0</v>
      </c>
      <c r="AB149" s="63">
        <f>VLOOKUP($B149,'Tillförd energi'!$B$1:$AI$720,MATCH(AB$2,'Tillförd energi'!$B$1:$AQ$1,0),FALSE)</f>
        <v>0</v>
      </c>
      <c r="AC149" s="63">
        <f>VLOOKUP($B149,'Tillförd energi'!$B$1:$AI$720,MATCH(AC$2,'Tillförd energi'!$B$1:$AQ$1,0),FALSE)</f>
        <v>0</v>
      </c>
      <c r="AD149" s="63">
        <f>VLOOKUP($B149,'Tillförd energi'!$B$1:$AI$720,MATCH(AD$2,'Tillförd energi'!$B$1:$AQ$1,0),FALSE)</f>
        <v>0</v>
      </c>
      <c r="AE149" s="63">
        <f>VLOOKUP($B149,'Tillförd energi'!$B$1:$AI$720,MATCH(AE$2,'Tillförd energi'!$B$1:$AQ$1,0),FALSE)</f>
        <v>0</v>
      </c>
      <c r="AF149" s="63">
        <f>VLOOKUP($B149,'Tillförd energi'!$B$1:$AI$720,MATCH(AF$2,'Tillförd energi'!$B$1:$AQ$1,0),FALSE)</f>
        <v>0.24199999999999999</v>
      </c>
      <c r="AG149" s="63">
        <f>IFERROR(VLOOKUP(B149,Miljö!$B$1:$AC$550,MATCH("Köpt mängd produktionsspecifik fjärrvärme:",Miljö!$B$1:$AC$1,0),FALSE)/1,0)</f>
        <v>0</v>
      </c>
      <c r="AI149" s="63">
        <f t="shared" si="12"/>
        <v>16.381</v>
      </c>
      <c r="AJ149" s="63">
        <f>IF(ISERROR(1/VLOOKUP($B149,Leveranser!$B$1:$S$500,MATCH("såld värme (gwh)",Leveranser!$B$1:$S$1,0),FALSE)),"",VLOOKUP($B149,Leveranser!$B$1:$S$500,MATCH("såld värme (gwh)",Leveranser!$B$1:$S$1,0),FALSE))</f>
        <v>10.81</v>
      </c>
      <c r="AM149" s="63" t="str">
        <f>IF(B149&lt;&gt;"",IF(VLOOKUP($B149,Totalt!$B$1:$AQ$554,MATCH("Kvalitetsgranskad:",Totalt!$B$1:$AQ$1,0),FALSE)="ja",VLOOKUP($B149,Miljö!$B$1:$AG$479,MATCH(AM$2,Miljö!$B$1:$AK$1,0),FALSE),""),"")</f>
        <v>Ja</v>
      </c>
      <c r="AN149" s="63" t="str">
        <f>IF(AM149="ja",VLOOKUP($B149,Miljö!$B$1:$J$479,MATCH("Typ av ursprungsspecificerad el   (Om inget värde anges används Nordisk residualmix, se inforuta) ()",Miljö!$B$1:$J$1,0),FALSE),IF(AM149="nej","Nordisk residualel",""))</f>
        <v>'vattenkraft'</v>
      </c>
      <c r="AO149" s="63">
        <f>IF(AM149="","",VLOOKUP($B149,Miljö!$B$1:$J$479,MATCH("Fossilandel för ursprungspecificerad el ()",Miljö!$B$1:$J$1,0),FALSE))</f>
        <v>0</v>
      </c>
      <c r="AQ149" s="63">
        <f t="shared" si="13"/>
        <v>1</v>
      </c>
      <c r="AS149" s="63" t="str">
        <f t="shared" si="14"/>
        <v>Nej</v>
      </c>
      <c r="AT149" s="63" t="str">
        <f>IF(AS149="ja",VLOOKUP($B149,Miljö!$B$1:$P$500,MATCH("Fossil andel i procent (%)",Miljö!$B$1:$P$1,0),FALSE)/100,"")</f>
        <v/>
      </c>
      <c r="AV149" s="63" t="str">
        <f t="shared" si="15"/>
        <v>Nej</v>
      </c>
      <c r="AW149" s="63" t="str">
        <f>IF(AV149="ja",VLOOKUP($B149,'Egen hetvattenprod'!$B$1:$AO$500,MATCH("Värmekälla till värmepumpar ()",'Egen hetvattenprod'!$B$1:$AO$1,0),FALSE),"")</f>
        <v/>
      </c>
      <c r="AY149" s="63" t="str">
        <f t="shared" si="16"/>
        <v>Nej</v>
      </c>
      <c r="AZ149" s="77" t="str">
        <f>IF($AY149="ja",(VLOOKUP($B149,'Egen hetvattenprod'!$B$1:$BX$550,MATCH(AZ$2,'Egen hetvattenprod'!$B$1:$BX$1,0),FALSE)+VLOOKUP($B149,Kraftvärmeprod!$B$1:$BX$550,MATCH(AZ$2,Kraftvärmeprod!$B$1:$BX$1,0),FALSE))/$AC149,"")</f>
        <v/>
      </c>
      <c r="BA149" s="77" t="str">
        <f>IF($AY149="ja",(VLOOKUP($B149,'Egen hetvattenprod'!$B$1:$BX$550,MATCH(BA$2,'Egen hetvattenprod'!$B$1:$BX$1,0),FALSE)+VLOOKUP($B149,Kraftvärmeprod!$B$1:$BX$550,MATCH(BA$2,Kraftvärmeprod!$B$1:$BX$1,0),FALSE))/$AC149,"")</f>
        <v/>
      </c>
      <c r="BB149" s="77" t="str">
        <f>IF($AY149="ja",(VLOOKUP($B149,'Egen hetvattenprod'!$B$1:$BX$550,MATCH(BB$2,'Egen hetvattenprod'!$B$1:$BX$1,0),FALSE)+VLOOKUP($B149,Kraftvärmeprod!$B$1:$BX$550,MATCH(BB$2,Kraftvärmeprod!$B$1:$BX$1,0),FALSE))/$AC149,"")</f>
        <v/>
      </c>
      <c r="BC149" s="77" t="str">
        <f>IF($AY149="ja",(VLOOKUP($B149,'Egen hetvattenprod'!$B$1:$BX$550,MATCH(BC$2,'Egen hetvattenprod'!$B$1:$BX$1,0),FALSE)+VLOOKUP($B149,Kraftvärmeprod!$B$1:$BX$550,MATCH(BC$2,Kraftvärmeprod!$B$1:$BX$1,0),FALSE))/$AC149,"")</f>
        <v/>
      </c>
      <c r="BD149" s="77" t="str">
        <f>IF($AY149="ja",(VLOOKUP($B149,'Egen hetvattenprod'!$B$1:$BX$550,MATCH(BD$2,'Egen hetvattenprod'!$B$1:$BX$1,0),FALSE)+VLOOKUP($B149,Kraftvärmeprod!$B$1:$BX$550,MATCH(BD$2,Kraftvärmeprod!$B$1:$BX$1,0),FALSE))/$AC149,"")</f>
        <v/>
      </c>
      <c r="BF149" s="63" t="str">
        <f t="shared" si="17"/>
        <v>Nej</v>
      </c>
      <c r="BG149" s="63" t="str">
        <f>IF($BF149="ja",VLOOKUP($B149,'Egen hetvattenprod'!$B$1:$BX$550,MATCH("Andelen klimatgaser med fossilt ursprung för avfall ()",'Egen hetvattenprod'!$B$1:$BX$1,0),FALSE),"")</f>
        <v/>
      </c>
      <c r="BH149" s="63" t="str">
        <f>IF($BF149="ja",VLOOKUP($B149,Kraftvärmeprod!$B$1:$BX$550,MATCH("Andelen klimatgaser med fossilt ursprung för avfall ()",Kraftvärmeprod!$B$1:$BX$1,0),FALSE),"")</f>
        <v/>
      </c>
      <c r="BI149" s="63" t="str">
        <f>IF($BF149="ja",VLOOKUP($B149,'Egen hetvattenprod'!$B$1:$BX$550,MATCH("Avfall (GWh)",'Egen hetvattenprod'!$B$1:$BX$1,0),FALSE),"")</f>
        <v/>
      </c>
      <c r="BJ149" s="63" t="str">
        <f>IF($BF149="ja",VLOOKUP($B149,'Slutlig allokering kvv'!$B$1:$BX$550,MATCH("Avfall (GWh)",'Slutlig allokering kvv'!$B$1:$BX$1,0),FALSE),"")</f>
        <v/>
      </c>
      <c r="BK149" s="63" t="str">
        <f>IF($BF149="ja",VLOOKUP($B149,'Köpt hetvatten'!$B$1:$BX$550,MATCH("Avfall i köpt hetvatten",'Köpt hetvatten'!$B$1:$BX$1,0),FALSE),"")</f>
        <v/>
      </c>
      <c r="BL149" s="63" t="str">
        <f>IF($BF149="ja",VLOOKUP($B149,'Egen hetvattenprod'!$B$1:$BX$550,MATCH("Värde enligt ovan. (%)",'Egen hetvattenprod'!$B$1:$BX$1,0),FALSE),"")</f>
        <v/>
      </c>
      <c r="BM149" s="63" t="str">
        <f>IF($BF149="ja",VLOOKUP($B149,Kraftvärmeprod!$B$1:$BX$550,MATCH("Värde enligt ovan. (%)",Kraftvärmeprod!$B$1:$BX$1,0),FALSE),"")</f>
        <v/>
      </c>
    </row>
    <row r="150" spans="1:65" x14ac:dyDescent="0.45">
      <c r="A150" s="63" t="s">
        <v>480</v>
      </c>
      <c r="B150" s="63" t="s">
        <v>485</v>
      </c>
      <c r="C150" s="63">
        <f>VLOOKUP($B150,'Tillförd energi'!$B$1:$AI$720,MATCH(C$2,'Tillförd energi'!$B$1:$AQ$1,0),FALSE)</f>
        <v>0</v>
      </c>
      <c r="D150" s="63">
        <f>VLOOKUP($B150,'Tillförd energi'!$B$1:$AI$720,MATCH(D$2,'Tillförd energi'!$B$1:$AQ$1,0),FALSE)</f>
        <v>9.6000000000000002E-2</v>
      </c>
      <c r="E150" s="63">
        <f>VLOOKUP($B150,'Tillförd energi'!$B$1:$AI$720,MATCH(E$2,'Tillförd energi'!$B$1:$AQ$1,0),FALSE)</f>
        <v>0</v>
      </c>
      <c r="F150" s="63">
        <f>VLOOKUP($B150,'Tillförd energi'!$B$1:$AI$720,MATCH(F$2,'Tillförd energi'!$B$1:$AQ$1,0),FALSE)</f>
        <v>0</v>
      </c>
      <c r="G150" s="63">
        <f>VLOOKUP($B150,'Tillförd energi'!$B$1:$AI$720,MATCH(G$2,'Tillförd energi'!$B$1:$AQ$1,0),FALSE)</f>
        <v>0</v>
      </c>
      <c r="H150" s="63">
        <f>VLOOKUP($B150,'Tillförd energi'!$B$1:$AI$720,MATCH(H$2,'Tillförd energi'!$B$1:$AQ$1,0),FALSE)</f>
        <v>0</v>
      </c>
      <c r="I150" s="63">
        <f>VLOOKUP($B150,'Tillförd energi'!$B$1:$AI$720,MATCH(I$2,'Tillförd energi'!$B$1:$AQ$1,0),FALSE)</f>
        <v>0</v>
      </c>
      <c r="J150" s="63">
        <f>VLOOKUP($B150,'Tillförd energi'!$B$1:$AI$720,MATCH(J$2,'Tillförd energi'!$B$1:$AQ$1,0),FALSE)</f>
        <v>0</v>
      </c>
      <c r="K150" s="63">
        <f>VLOOKUP($B150,'Tillförd energi'!$B$1:$AI$720,MATCH(K$2,'Tillförd energi'!$B$1:$AQ$1,0),FALSE)</f>
        <v>0</v>
      </c>
      <c r="L150" s="63">
        <f>VLOOKUP($B150,'Tillförd energi'!$B$1:$AI$720,MATCH(L$2,'Tillförd energi'!$B$1:$AQ$1,0),FALSE)</f>
        <v>0</v>
      </c>
      <c r="M150" s="63">
        <f>VLOOKUP($B150,'Tillförd energi'!$B$1:$AI$720,MATCH(M$2,'Tillförd energi'!$B$1:$AQ$1,0),FALSE)</f>
        <v>0</v>
      </c>
      <c r="N150" s="63">
        <f>VLOOKUP($B150,'Tillförd energi'!$B$1:$AI$720,MATCH(N$2,'Tillförd energi'!$B$1:$AQ$1,0),FALSE)</f>
        <v>0</v>
      </c>
      <c r="O150" s="63">
        <f>VLOOKUP($B150,'Tillförd energi'!$B$1:$AI$720,MATCH(O$2,'Tillförd energi'!$B$1:$AQ$1,0),FALSE)</f>
        <v>0</v>
      </c>
      <c r="P150" s="63">
        <f>VLOOKUP($B150,'Tillförd energi'!$B$1:$AI$720,MATCH(P$2,'Tillförd energi'!$B$1:$AQ$1,0),FALSE)</f>
        <v>0</v>
      </c>
      <c r="Q150" s="63">
        <f>VLOOKUP($B150,'Tillförd energi'!$B$1:$AI$720,MATCH(Q$2,'Tillförd energi'!$B$1:$AQ$1,0),FALSE)</f>
        <v>0</v>
      </c>
      <c r="R150" s="63">
        <f>VLOOKUP($B150,'Tillförd energi'!$B$1:$AI$720,MATCH(R$2,'Tillförd energi'!$B$1:$AQ$1,0),FALSE)</f>
        <v>0.54800000000000004</v>
      </c>
      <c r="S150" s="63">
        <f>VLOOKUP($B150,'Tillförd energi'!$B$1:$AI$720,MATCH(S$2,'Tillförd energi'!$B$1:$AQ$1,0),FALSE)</f>
        <v>7.2430000000000003</v>
      </c>
      <c r="T150" s="63">
        <f>VLOOKUP($B150,'Tillförd energi'!$B$1:$AI$720,MATCH(T$2,'Tillförd energi'!$B$1:$AQ$1,0),FALSE)</f>
        <v>0</v>
      </c>
      <c r="U150" s="63">
        <f>VLOOKUP($B150,'Tillförd energi'!$B$1:$AI$720,MATCH(U$2,'Tillförd energi'!$B$1:$AQ$1,0),FALSE)</f>
        <v>0</v>
      </c>
      <c r="V150" s="63">
        <f>VLOOKUP($B150,'Tillförd energi'!$B$1:$AI$720,MATCH(V$2,'Tillförd energi'!$B$1:$AQ$1,0),FALSE)</f>
        <v>0</v>
      </c>
      <c r="W150" s="63">
        <f>VLOOKUP($B150,'Tillförd energi'!$B$1:$AI$720,MATCH(W$2,'Tillförd energi'!$B$1:$AQ$1,0),FALSE)</f>
        <v>0</v>
      </c>
      <c r="X150" s="63">
        <f>VLOOKUP($B150,'Tillförd energi'!$B$1:$AI$720,MATCH(X$2,'Tillförd energi'!$B$1:$AQ$1,0),FALSE)</f>
        <v>0</v>
      </c>
      <c r="Y150" s="63">
        <f>VLOOKUP($B150,'Tillförd energi'!$B$1:$AI$720,MATCH(Y$2,'Tillförd energi'!$B$1:$AQ$1,0),FALSE)</f>
        <v>0</v>
      </c>
      <c r="Z150" s="63">
        <f>VLOOKUP($B150,'Tillförd energi'!$B$1:$AI$720,MATCH(Z$2,'Tillförd energi'!$B$1:$AQ$1,0),FALSE)</f>
        <v>0</v>
      </c>
      <c r="AA150" s="63">
        <f>VLOOKUP($B150,'Tillförd energi'!$B$1:$AI$720,MATCH(AA$2,'Tillförd energi'!$B$1:$AQ$1,0),FALSE)</f>
        <v>0</v>
      </c>
      <c r="AB150" s="63">
        <f>VLOOKUP($B150,'Tillförd energi'!$B$1:$AI$720,MATCH(AB$2,'Tillförd energi'!$B$1:$AQ$1,0),FALSE)</f>
        <v>0</v>
      </c>
      <c r="AC150" s="63">
        <f>VLOOKUP($B150,'Tillförd energi'!$B$1:$AI$720,MATCH(AC$2,'Tillförd energi'!$B$1:$AQ$1,0),FALSE)</f>
        <v>0</v>
      </c>
      <c r="AD150" s="63">
        <f>VLOOKUP($B150,'Tillförd energi'!$B$1:$AI$720,MATCH(AD$2,'Tillförd energi'!$B$1:$AQ$1,0),FALSE)</f>
        <v>0</v>
      </c>
      <c r="AE150" s="63">
        <f>VLOOKUP($B150,'Tillförd energi'!$B$1:$AI$720,MATCH(AE$2,'Tillförd energi'!$B$1:$AQ$1,0),FALSE)</f>
        <v>0</v>
      </c>
      <c r="AF150" s="63">
        <f>VLOOKUP($B150,'Tillförd energi'!$B$1:$AI$720,MATCH(AF$2,'Tillförd energi'!$B$1:$AQ$1,0),FALSE)</f>
        <v>0.113</v>
      </c>
      <c r="AG150" s="63">
        <f>IFERROR(VLOOKUP(B150,Miljö!$B$1:$AC$550,MATCH("Köpt mängd produktionsspecifik fjärrvärme:",Miljö!$B$1:$AC$1,0),FALSE)/1,0)</f>
        <v>0</v>
      </c>
      <c r="AI150" s="63">
        <f t="shared" si="12"/>
        <v>8</v>
      </c>
      <c r="AJ150" s="63">
        <f>IF(ISERROR(1/VLOOKUP($B150,Leveranser!$B$1:$S$500,MATCH("såld värme (gwh)",Leveranser!$B$1:$S$1,0),FALSE)),"",VLOOKUP($B150,Leveranser!$B$1:$S$500,MATCH("såld värme (gwh)",Leveranser!$B$1:$S$1,0),FALSE))</f>
        <v>5.17</v>
      </c>
      <c r="AM150" s="63" t="str">
        <f>IF(B150&lt;&gt;"",IF(VLOOKUP($B150,Totalt!$B$1:$AQ$554,MATCH("Kvalitetsgranskad:",Totalt!$B$1:$AQ$1,0),FALSE)="ja",VLOOKUP($B150,Miljö!$B$1:$AG$479,MATCH(AM$2,Miljö!$B$1:$AK$1,0),FALSE),""),"")</f>
        <v>Ja</v>
      </c>
      <c r="AN150" s="63" t="str">
        <f>IF(AM150="ja",VLOOKUP($B150,Miljö!$B$1:$J$479,MATCH("Typ av ursprungsspecificerad el   (Om inget värde anges används Nordisk residualmix, se inforuta) ()",Miljö!$B$1:$J$1,0),FALSE),IF(AM150="nej","Nordisk residualel",""))</f>
        <v>'Vattenkraft'</v>
      </c>
      <c r="AO150" s="63">
        <f>IF(AM150="","",VLOOKUP($B150,Miljö!$B$1:$J$479,MATCH("Fossilandel för ursprungspecificerad el ()",Miljö!$B$1:$J$1,0),FALSE))</f>
        <v>0</v>
      </c>
      <c r="AQ150" s="63">
        <f t="shared" si="13"/>
        <v>1</v>
      </c>
      <c r="AS150" s="63" t="str">
        <f t="shared" si="14"/>
        <v>Nej</v>
      </c>
      <c r="AT150" s="63" t="str">
        <f>IF(AS150="ja",VLOOKUP($B150,Miljö!$B$1:$P$500,MATCH("Fossil andel i procent (%)",Miljö!$B$1:$P$1,0),FALSE)/100,"")</f>
        <v/>
      </c>
      <c r="AV150" s="63" t="str">
        <f t="shared" si="15"/>
        <v>Nej</v>
      </c>
      <c r="AW150" s="63" t="str">
        <f>IF(AV150="ja",VLOOKUP($B150,'Egen hetvattenprod'!$B$1:$AO$500,MATCH("Värmekälla till värmepumpar ()",'Egen hetvattenprod'!$B$1:$AO$1,0),FALSE),"")</f>
        <v/>
      </c>
      <c r="AY150" s="63" t="str">
        <f t="shared" si="16"/>
        <v>Nej</v>
      </c>
      <c r="AZ150" s="77" t="str">
        <f>IF($AY150="ja",(VLOOKUP($B150,'Egen hetvattenprod'!$B$1:$BX$550,MATCH(AZ$2,'Egen hetvattenprod'!$B$1:$BX$1,0),FALSE)+VLOOKUP($B150,Kraftvärmeprod!$B$1:$BX$550,MATCH(AZ$2,Kraftvärmeprod!$B$1:$BX$1,0),FALSE))/$AC150,"")</f>
        <v/>
      </c>
      <c r="BA150" s="77" t="str">
        <f>IF($AY150="ja",(VLOOKUP($B150,'Egen hetvattenprod'!$B$1:$BX$550,MATCH(BA$2,'Egen hetvattenprod'!$B$1:$BX$1,0),FALSE)+VLOOKUP($B150,Kraftvärmeprod!$B$1:$BX$550,MATCH(BA$2,Kraftvärmeprod!$B$1:$BX$1,0),FALSE))/$AC150,"")</f>
        <v/>
      </c>
      <c r="BB150" s="77" t="str">
        <f>IF($AY150="ja",(VLOOKUP($B150,'Egen hetvattenprod'!$B$1:$BX$550,MATCH(BB$2,'Egen hetvattenprod'!$B$1:$BX$1,0),FALSE)+VLOOKUP($B150,Kraftvärmeprod!$B$1:$BX$550,MATCH(BB$2,Kraftvärmeprod!$B$1:$BX$1,0),FALSE))/$AC150,"")</f>
        <v/>
      </c>
      <c r="BC150" s="77" t="str">
        <f>IF($AY150="ja",(VLOOKUP($B150,'Egen hetvattenprod'!$B$1:$BX$550,MATCH(BC$2,'Egen hetvattenprod'!$B$1:$BX$1,0),FALSE)+VLOOKUP($B150,Kraftvärmeprod!$B$1:$BX$550,MATCH(BC$2,Kraftvärmeprod!$B$1:$BX$1,0),FALSE))/$AC150,"")</f>
        <v/>
      </c>
      <c r="BD150" s="77" t="str">
        <f>IF($AY150="ja",(VLOOKUP($B150,'Egen hetvattenprod'!$B$1:$BX$550,MATCH(BD$2,'Egen hetvattenprod'!$B$1:$BX$1,0),FALSE)+VLOOKUP($B150,Kraftvärmeprod!$B$1:$BX$550,MATCH(BD$2,Kraftvärmeprod!$B$1:$BX$1,0),FALSE))/$AC150,"")</f>
        <v/>
      </c>
      <c r="BF150" s="63" t="str">
        <f t="shared" si="17"/>
        <v>Nej</v>
      </c>
      <c r="BG150" s="63" t="str">
        <f>IF($BF150="ja",VLOOKUP($B150,'Egen hetvattenprod'!$B$1:$BX$550,MATCH("Andelen klimatgaser med fossilt ursprung för avfall ()",'Egen hetvattenprod'!$B$1:$BX$1,0),FALSE),"")</f>
        <v/>
      </c>
      <c r="BH150" s="63" t="str">
        <f>IF($BF150="ja",VLOOKUP($B150,Kraftvärmeprod!$B$1:$BX$550,MATCH("Andelen klimatgaser med fossilt ursprung för avfall ()",Kraftvärmeprod!$B$1:$BX$1,0),FALSE),"")</f>
        <v/>
      </c>
      <c r="BI150" s="63" t="str">
        <f>IF($BF150="ja",VLOOKUP($B150,'Egen hetvattenprod'!$B$1:$BX$550,MATCH("Avfall (GWh)",'Egen hetvattenprod'!$B$1:$BX$1,0),FALSE),"")</f>
        <v/>
      </c>
      <c r="BJ150" s="63" t="str">
        <f>IF($BF150="ja",VLOOKUP($B150,'Slutlig allokering kvv'!$B$1:$BX$550,MATCH("Avfall (GWh)",'Slutlig allokering kvv'!$B$1:$BX$1,0),FALSE),"")</f>
        <v/>
      </c>
      <c r="BK150" s="63" t="str">
        <f>IF($BF150="ja",VLOOKUP($B150,'Köpt hetvatten'!$B$1:$BX$550,MATCH("Avfall i köpt hetvatten",'Köpt hetvatten'!$B$1:$BX$1,0),FALSE),"")</f>
        <v/>
      </c>
      <c r="BL150" s="63" t="str">
        <f>IF($BF150="ja",VLOOKUP($B150,'Egen hetvattenprod'!$B$1:$BX$550,MATCH("Värde enligt ovan. (%)",'Egen hetvattenprod'!$B$1:$BX$1,0),FALSE),"")</f>
        <v/>
      </c>
      <c r="BM150" s="63" t="str">
        <f>IF($BF150="ja",VLOOKUP($B150,Kraftvärmeprod!$B$1:$BX$550,MATCH("Värde enligt ovan. (%)",Kraftvärmeprod!$B$1:$BX$1,0),FALSE),"")</f>
        <v/>
      </c>
    </row>
    <row r="151" spans="1:65" x14ac:dyDescent="0.45">
      <c r="A151" s="63" t="s">
        <v>480</v>
      </c>
      <c r="B151" s="63" t="s">
        <v>484</v>
      </c>
      <c r="C151" s="63">
        <f>VLOOKUP($B151,'Tillförd energi'!$B$1:$AI$720,MATCH(C$2,'Tillförd energi'!$B$1:$AQ$1,0),FALSE)</f>
        <v>0</v>
      </c>
      <c r="D151" s="63">
        <f>VLOOKUP($B151,'Tillförd energi'!$B$1:$AI$720,MATCH(D$2,'Tillförd energi'!$B$1:$AQ$1,0),FALSE)</f>
        <v>0</v>
      </c>
      <c r="E151" s="63">
        <f>VLOOKUP($B151,'Tillförd energi'!$B$1:$AI$720,MATCH(E$2,'Tillförd energi'!$B$1:$AQ$1,0),FALSE)</f>
        <v>0</v>
      </c>
      <c r="F151" s="63">
        <f>VLOOKUP($B151,'Tillförd energi'!$B$1:$AI$720,MATCH(F$2,'Tillförd energi'!$B$1:$AQ$1,0),FALSE)</f>
        <v>0</v>
      </c>
      <c r="G151" s="63">
        <f>VLOOKUP($B151,'Tillförd energi'!$B$1:$AI$720,MATCH(G$2,'Tillförd energi'!$B$1:$AQ$1,0),FALSE)</f>
        <v>0</v>
      </c>
      <c r="H151" s="63">
        <f>VLOOKUP($B151,'Tillförd energi'!$B$1:$AI$720,MATCH(H$2,'Tillförd energi'!$B$1:$AQ$1,0),FALSE)</f>
        <v>0</v>
      </c>
      <c r="I151" s="63">
        <f>VLOOKUP($B151,'Tillförd energi'!$B$1:$AI$720,MATCH(I$2,'Tillförd energi'!$B$1:$AQ$1,0),FALSE)</f>
        <v>0</v>
      </c>
      <c r="J151" s="63">
        <f>VLOOKUP($B151,'Tillförd energi'!$B$1:$AI$720,MATCH(J$2,'Tillförd energi'!$B$1:$AQ$1,0),FALSE)</f>
        <v>0</v>
      </c>
      <c r="K151" s="63">
        <f>VLOOKUP($B151,'Tillförd energi'!$B$1:$AI$720,MATCH(K$2,'Tillförd energi'!$B$1:$AQ$1,0),FALSE)</f>
        <v>0</v>
      </c>
      <c r="L151" s="63">
        <f>VLOOKUP($B151,'Tillförd energi'!$B$1:$AI$720,MATCH(L$2,'Tillförd energi'!$B$1:$AQ$1,0),FALSE)</f>
        <v>0</v>
      </c>
      <c r="M151" s="63">
        <f>VLOOKUP($B151,'Tillförd energi'!$B$1:$AI$720,MATCH(M$2,'Tillförd energi'!$B$1:$AQ$1,0),FALSE)</f>
        <v>0</v>
      </c>
      <c r="N151" s="63">
        <f>VLOOKUP($B151,'Tillförd energi'!$B$1:$AI$720,MATCH(N$2,'Tillförd energi'!$B$1:$AQ$1,0),FALSE)</f>
        <v>0</v>
      </c>
      <c r="O151" s="63">
        <f>VLOOKUP($B151,'Tillförd energi'!$B$1:$AI$720,MATCH(O$2,'Tillförd energi'!$B$1:$AQ$1,0),FALSE)</f>
        <v>0</v>
      </c>
      <c r="P151" s="63">
        <f>VLOOKUP($B151,'Tillförd energi'!$B$1:$AI$720,MATCH(P$2,'Tillförd energi'!$B$1:$AQ$1,0),FALSE)</f>
        <v>0</v>
      </c>
      <c r="Q151" s="63">
        <f>VLOOKUP($B151,'Tillförd energi'!$B$1:$AI$720,MATCH(Q$2,'Tillförd energi'!$B$1:$AQ$1,0),FALSE)</f>
        <v>0</v>
      </c>
      <c r="R151" s="63">
        <f>VLOOKUP($B151,'Tillförd energi'!$B$1:$AI$720,MATCH(R$2,'Tillförd energi'!$B$1:$AQ$1,0),FALSE)</f>
        <v>0.35</v>
      </c>
      <c r="S151" s="63">
        <f>VLOOKUP($B151,'Tillförd energi'!$B$1:$AI$720,MATCH(S$2,'Tillförd energi'!$B$1:$AQ$1,0),FALSE)</f>
        <v>5.375</v>
      </c>
      <c r="T151" s="63">
        <f>VLOOKUP($B151,'Tillförd energi'!$B$1:$AI$720,MATCH(T$2,'Tillförd energi'!$B$1:$AQ$1,0),FALSE)</f>
        <v>0</v>
      </c>
      <c r="U151" s="63">
        <f>VLOOKUP($B151,'Tillförd energi'!$B$1:$AI$720,MATCH(U$2,'Tillförd energi'!$B$1:$AQ$1,0),FALSE)</f>
        <v>0</v>
      </c>
      <c r="V151" s="63">
        <f>VLOOKUP($B151,'Tillförd energi'!$B$1:$AI$720,MATCH(V$2,'Tillförd energi'!$B$1:$AQ$1,0),FALSE)</f>
        <v>0</v>
      </c>
      <c r="W151" s="63">
        <f>VLOOKUP($B151,'Tillförd energi'!$B$1:$AI$720,MATCH(W$2,'Tillförd energi'!$B$1:$AQ$1,0),FALSE)</f>
        <v>0</v>
      </c>
      <c r="X151" s="63">
        <f>VLOOKUP($B151,'Tillförd energi'!$B$1:$AI$720,MATCH(X$2,'Tillförd energi'!$B$1:$AQ$1,0),FALSE)</f>
        <v>7.4779999999999998</v>
      </c>
      <c r="Y151" s="63">
        <f>VLOOKUP($B151,'Tillförd energi'!$B$1:$AI$720,MATCH(Y$2,'Tillförd energi'!$B$1:$AQ$1,0),FALSE)</f>
        <v>0</v>
      </c>
      <c r="Z151" s="63">
        <f>VLOOKUP($B151,'Tillförd energi'!$B$1:$AI$720,MATCH(Z$2,'Tillförd energi'!$B$1:$AQ$1,0),FALSE)</f>
        <v>0</v>
      </c>
      <c r="AA151" s="63">
        <f>VLOOKUP($B151,'Tillförd energi'!$B$1:$AI$720,MATCH(AA$2,'Tillförd energi'!$B$1:$AQ$1,0),FALSE)</f>
        <v>0</v>
      </c>
      <c r="AB151" s="63">
        <f>VLOOKUP($B151,'Tillförd energi'!$B$1:$AI$720,MATCH(AB$2,'Tillförd energi'!$B$1:$AQ$1,0),FALSE)</f>
        <v>0</v>
      </c>
      <c r="AC151" s="63">
        <f>VLOOKUP($B151,'Tillförd energi'!$B$1:$AI$720,MATCH(AC$2,'Tillförd energi'!$B$1:$AQ$1,0),FALSE)</f>
        <v>0</v>
      </c>
      <c r="AD151" s="63">
        <f>VLOOKUP($B151,'Tillförd energi'!$B$1:$AI$720,MATCH(AD$2,'Tillförd energi'!$B$1:$AQ$1,0),FALSE)</f>
        <v>0</v>
      </c>
      <c r="AE151" s="63">
        <f>VLOOKUP($B151,'Tillförd energi'!$B$1:$AI$720,MATCH(AE$2,'Tillförd energi'!$B$1:$AQ$1,0),FALSE)</f>
        <v>0</v>
      </c>
      <c r="AF151" s="63">
        <f>VLOOKUP($B151,'Tillförd energi'!$B$1:$AI$720,MATCH(AF$2,'Tillförd energi'!$B$1:$AQ$1,0),FALSE)</f>
        <v>0.27900000000000003</v>
      </c>
      <c r="AG151" s="63">
        <f>IFERROR(VLOOKUP(B151,Miljö!$B$1:$AC$550,MATCH("Köpt mängd produktionsspecifik fjärrvärme:",Miljö!$B$1:$AC$1,0),FALSE)/1,0)</f>
        <v>0</v>
      </c>
      <c r="AI151" s="63">
        <f t="shared" si="12"/>
        <v>13.481999999999999</v>
      </c>
      <c r="AJ151" s="63">
        <f>IF(ISERROR(1/VLOOKUP($B151,Leveranser!$B$1:$S$500,MATCH("såld värme (gwh)",Leveranser!$B$1:$S$1,0),FALSE)),"",VLOOKUP($B151,Leveranser!$B$1:$S$500,MATCH("såld värme (gwh)",Leveranser!$B$1:$S$1,0),FALSE))</f>
        <v>11.59</v>
      </c>
      <c r="AM151" s="63" t="str">
        <f>IF(B151&lt;&gt;"",IF(VLOOKUP($B151,Totalt!$B$1:$AQ$554,MATCH("Kvalitetsgranskad:",Totalt!$B$1:$AQ$1,0),FALSE)="ja",VLOOKUP($B151,Miljö!$B$1:$AG$479,MATCH(AM$2,Miljö!$B$1:$AK$1,0),FALSE),""),"")</f>
        <v>Ja</v>
      </c>
      <c r="AN151" s="63" t="str">
        <f>IF(AM151="ja",VLOOKUP($B151,Miljö!$B$1:$J$479,MATCH("Typ av ursprungsspecificerad el   (Om inget värde anges används Nordisk residualmix, se inforuta) ()",Miljö!$B$1:$J$1,0),FALSE),IF(AM151="nej","Nordisk residualel",""))</f>
        <v>'Vattenkraft'</v>
      </c>
      <c r="AO151" s="63">
        <f>IF(AM151="","",VLOOKUP($B151,Miljö!$B$1:$J$479,MATCH("Fossilandel för ursprungspecificerad el ()",Miljö!$B$1:$J$1,0),FALSE))</f>
        <v>0</v>
      </c>
      <c r="AQ151" s="63">
        <f t="shared" si="13"/>
        <v>1</v>
      </c>
      <c r="AS151" s="63" t="str">
        <f t="shared" si="14"/>
        <v>Nej</v>
      </c>
      <c r="AT151" s="63" t="str">
        <f>IF(AS151="ja",VLOOKUP($B151,Miljö!$B$1:$P$500,MATCH("Fossil andel i procent (%)",Miljö!$B$1:$P$1,0),FALSE)/100,"")</f>
        <v/>
      </c>
      <c r="AV151" s="63" t="str">
        <f t="shared" si="15"/>
        <v>Nej</v>
      </c>
      <c r="AW151" s="63" t="str">
        <f>IF(AV151="ja",VLOOKUP($B151,'Egen hetvattenprod'!$B$1:$AO$500,MATCH("Värmekälla till värmepumpar ()",'Egen hetvattenprod'!$B$1:$AO$1,0),FALSE),"")</f>
        <v/>
      </c>
      <c r="AY151" s="63" t="str">
        <f t="shared" si="16"/>
        <v>Nej</v>
      </c>
      <c r="AZ151" s="77" t="str">
        <f>IF($AY151="ja",(VLOOKUP($B151,'Egen hetvattenprod'!$B$1:$BX$550,MATCH(AZ$2,'Egen hetvattenprod'!$B$1:$BX$1,0),FALSE)+VLOOKUP($B151,Kraftvärmeprod!$B$1:$BX$550,MATCH(AZ$2,Kraftvärmeprod!$B$1:$BX$1,0),FALSE))/$AC151,"")</f>
        <v/>
      </c>
      <c r="BA151" s="77" t="str">
        <f>IF($AY151="ja",(VLOOKUP($B151,'Egen hetvattenprod'!$B$1:$BX$550,MATCH(BA$2,'Egen hetvattenprod'!$B$1:$BX$1,0),FALSE)+VLOOKUP($B151,Kraftvärmeprod!$B$1:$BX$550,MATCH(BA$2,Kraftvärmeprod!$B$1:$BX$1,0),FALSE))/$AC151,"")</f>
        <v/>
      </c>
      <c r="BB151" s="77" t="str">
        <f>IF($AY151="ja",(VLOOKUP($B151,'Egen hetvattenprod'!$B$1:$BX$550,MATCH(BB$2,'Egen hetvattenprod'!$B$1:$BX$1,0),FALSE)+VLOOKUP($B151,Kraftvärmeprod!$B$1:$BX$550,MATCH(BB$2,Kraftvärmeprod!$B$1:$BX$1,0),FALSE))/$AC151,"")</f>
        <v/>
      </c>
      <c r="BC151" s="77" t="str">
        <f>IF($AY151="ja",(VLOOKUP($B151,'Egen hetvattenprod'!$B$1:$BX$550,MATCH(BC$2,'Egen hetvattenprod'!$B$1:$BX$1,0),FALSE)+VLOOKUP($B151,Kraftvärmeprod!$B$1:$BX$550,MATCH(BC$2,Kraftvärmeprod!$B$1:$BX$1,0),FALSE))/$AC151,"")</f>
        <v/>
      </c>
      <c r="BD151" s="77" t="str">
        <f>IF($AY151="ja",(VLOOKUP($B151,'Egen hetvattenprod'!$B$1:$BX$550,MATCH(BD$2,'Egen hetvattenprod'!$B$1:$BX$1,0),FALSE)+VLOOKUP($B151,Kraftvärmeprod!$B$1:$BX$550,MATCH(BD$2,Kraftvärmeprod!$B$1:$BX$1,0),FALSE))/$AC151,"")</f>
        <v/>
      </c>
      <c r="BF151" s="63" t="str">
        <f t="shared" si="17"/>
        <v>Nej</v>
      </c>
      <c r="BG151" s="63" t="str">
        <f>IF($BF151="ja",VLOOKUP($B151,'Egen hetvattenprod'!$B$1:$BX$550,MATCH("Andelen klimatgaser med fossilt ursprung för avfall ()",'Egen hetvattenprod'!$B$1:$BX$1,0),FALSE),"")</f>
        <v/>
      </c>
      <c r="BH151" s="63" t="str">
        <f>IF($BF151="ja",VLOOKUP($B151,Kraftvärmeprod!$B$1:$BX$550,MATCH("Andelen klimatgaser med fossilt ursprung för avfall ()",Kraftvärmeprod!$B$1:$BX$1,0),FALSE),"")</f>
        <v/>
      </c>
      <c r="BI151" s="63" t="str">
        <f>IF($BF151="ja",VLOOKUP($B151,'Egen hetvattenprod'!$B$1:$BX$550,MATCH("Avfall (GWh)",'Egen hetvattenprod'!$B$1:$BX$1,0),FALSE),"")</f>
        <v/>
      </c>
      <c r="BJ151" s="63" t="str">
        <f>IF($BF151="ja",VLOOKUP($B151,'Slutlig allokering kvv'!$B$1:$BX$550,MATCH("Avfall (GWh)",'Slutlig allokering kvv'!$B$1:$BX$1,0),FALSE),"")</f>
        <v/>
      </c>
      <c r="BK151" s="63" t="str">
        <f>IF($BF151="ja",VLOOKUP($B151,'Köpt hetvatten'!$B$1:$BX$550,MATCH("Avfall i köpt hetvatten",'Köpt hetvatten'!$B$1:$BX$1,0),FALSE),"")</f>
        <v/>
      </c>
      <c r="BL151" s="63" t="str">
        <f>IF($BF151="ja",VLOOKUP($B151,'Egen hetvattenprod'!$B$1:$BX$550,MATCH("Värde enligt ovan. (%)",'Egen hetvattenprod'!$B$1:$BX$1,0),FALSE),"")</f>
        <v/>
      </c>
      <c r="BM151" s="63" t="str">
        <f>IF($BF151="ja",VLOOKUP($B151,Kraftvärmeprod!$B$1:$BX$550,MATCH("Värde enligt ovan. (%)",Kraftvärmeprod!$B$1:$BX$1,0),FALSE),"")</f>
        <v/>
      </c>
    </row>
    <row r="152" spans="1:65" x14ac:dyDescent="0.45">
      <c r="A152" s="63" t="s">
        <v>480</v>
      </c>
      <c r="B152" s="63" t="s">
        <v>483</v>
      </c>
      <c r="C152" s="63">
        <f>VLOOKUP($B152,'Tillförd energi'!$B$1:$AI$720,MATCH(C$2,'Tillförd energi'!$B$1:$AQ$1,0),FALSE)</f>
        <v>0</v>
      </c>
      <c r="D152" s="63">
        <f>VLOOKUP($B152,'Tillförd energi'!$B$1:$AI$720,MATCH(D$2,'Tillförd energi'!$B$1:$AQ$1,0),FALSE)</f>
        <v>6.4</v>
      </c>
      <c r="E152" s="63">
        <f>VLOOKUP($B152,'Tillförd energi'!$B$1:$AI$720,MATCH(E$2,'Tillförd energi'!$B$1:$AQ$1,0),FALSE)</f>
        <v>0</v>
      </c>
      <c r="F152" s="63">
        <f>VLOOKUP($B152,'Tillförd energi'!$B$1:$AI$720,MATCH(F$2,'Tillförd energi'!$B$1:$AQ$1,0),FALSE)</f>
        <v>0</v>
      </c>
      <c r="G152" s="63">
        <f>VLOOKUP($B152,'Tillförd energi'!$B$1:$AI$720,MATCH(G$2,'Tillförd energi'!$B$1:$AQ$1,0),FALSE)</f>
        <v>0</v>
      </c>
      <c r="H152" s="63">
        <f>VLOOKUP($B152,'Tillförd energi'!$B$1:$AI$720,MATCH(H$2,'Tillförd energi'!$B$1:$AQ$1,0),FALSE)</f>
        <v>0</v>
      </c>
      <c r="I152" s="63">
        <f>VLOOKUP($B152,'Tillförd energi'!$B$1:$AI$720,MATCH(I$2,'Tillförd energi'!$B$1:$AQ$1,0),FALSE)</f>
        <v>0</v>
      </c>
      <c r="J152" s="63">
        <f>VLOOKUP($B152,'Tillförd energi'!$B$1:$AI$720,MATCH(J$2,'Tillförd energi'!$B$1:$AQ$1,0),FALSE)</f>
        <v>0</v>
      </c>
      <c r="K152" s="63">
        <f>VLOOKUP($B152,'Tillförd energi'!$B$1:$AI$720,MATCH(K$2,'Tillförd energi'!$B$1:$AQ$1,0),FALSE)</f>
        <v>0</v>
      </c>
      <c r="L152" s="63">
        <f>VLOOKUP($B152,'Tillförd energi'!$B$1:$AI$720,MATCH(L$2,'Tillförd energi'!$B$1:$AQ$1,0),FALSE)</f>
        <v>0</v>
      </c>
      <c r="M152" s="63">
        <f>VLOOKUP($B152,'Tillförd energi'!$B$1:$AI$720,MATCH(M$2,'Tillförd energi'!$B$1:$AQ$1,0),FALSE)</f>
        <v>0</v>
      </c>
      <c r="N152" s="63">
        <f>VLOOKUP($B152,'Tillförd energi'!$B$1:$AI$720,MATCH(N$2,'Tillförd energi'!$B$1:$AQ$1,0),FALSE)</f>
        <v>0</v>
      </c>
      <c r="O152" s="63">
        <f>VLOOKUP($B152,'Tillförd energi'!$B$1:$AI$720,MATCH(O$2,'Tillförd energi'!$B$1:$AQ$1,0),FALSE)</f>
        <v>0</v>
      </c>
      <c r="P152" s="63">
        <f>VLOOKUP($B152,'Tillförd energi'!$B$1:$AI$720,MATCH(P$2,'Tillförd energi'!$B$1:$AQ$1,0),FALSE)</f>
        <v>16.452000000000002</v>
      </c>
      <c r="Q152" s="63">
        <f>VLOOKUP($B152,'Tillförd energi'!$B$1:$AI$720,MATCH(Q$2,'Tillförd energi'!$B$1:$AQ$1,0),FALSE)</f>
        <v>0</v>
      </c>
      <c r="R152" s="63">
        <f>VLOOKUP($B152,'Tillförd energi'!$B$1:$AI$720,MATCH(R$2,'Tillförd energi'!$B$1:$AQ$1,0),FALSE)</f>
        <v>0</v>
      </c>
      <c r="S152" s="63">
        <f>VLOOKUP($B152,'Tillförd energi'!$B$1:$AI$720,MATCH(S$2,'Tillförd energi'!$B$1:$AQ$1,0),FALSE)</f>
        <v>0</v>
      </c>
      <c r="T152" s="63">
        <f>VLOOKUP($B152,'Tillförd energi'!$B$1:$AI$720,MATCH(T$2,'Tillförd energi'!$B$1:$AQ$1,0),FALSE)</f>
        <v>0</v>
      </c>
      <c r="U152" s="63">
        <f>VLOOKUP($B152,'Tillförd energi'!$B$1:$AI$720,MATCH(U$2,'Tillförd energi'!$B$1:$AQ$1,0),FALSE)</f>
        <v>0</v>
      </c>
      <c r="V152" s="63">
        <f>VLOOKUP($B152,'Tillförd energi'!$B$1:$AI$720,MATCH(V$2,'Tillförd energi'!$B$1:$AQ$1,0),FALSE)</f>
        <v>0</v>
      </c>
      <c r="W152" s="63">
        <f>VLOOKUP($B152,'Tillförd energi'!$B$1:$AI$720,MATCH(W$2,'Tillförd energi'!$B$1:$AQ$1,0),FALSE)</f>
        <v>0</v>
      </c>
      <c r="X152" s="63">
        <f>VLOOKUP($B152,'Tillförd energi'!$B$1:$AI$720,MATCH(X$2,'Tillförd energi'!$B$1:$AQ$1,0),FALSE)</f>
        <v>9.4280000000000008</v>
      </c>
      <c r="Y152" s="63">
        <f>VLOOKUP($B152,'Tillförd energi'!$B$1:$AI$720,MATCH(Y$2,'Tillförd energi'!$B$1:$AQ$1,0),FALSE)</f>
        <v>0</v>
      </c>
      <c r="Z152" s="63">
        <f>VLOOKUP($B152,'Tillförd energi'!$B$1:$AI$720,MATCH(Z$2,'Tillförd energi'!$B$1:$AQ$1,0),FALSE)</f>
        <v>0</v>
      </c>
      <c r="AA152" s="63">
        <f>VLOOKUP($B152,'Tillförd energi'!$B$1:$AI$720,MATCH(AA$2,'Tillförd energi'!$B$1:$AQ$1,0),FALSE)</f>
        <v>0</v>
      </c>
      <c r="AB152" s="63">
        <f>VLOOKUP($B152,'Tillförd energi'!$B$1:$AI$720,MATCH(AB$2,'Tillförd energi'!$B$1:$AQ$1,0),FALSE)</f>
        <v>0</v>
      </c>
      <c r="AC152" s="63">
        <f>VLOOKUP($B152,'Tillförd energi'!$B$1:$AI$720,MATCH(AC$2,'Tillförd energi'!$B$1:$AQ$1,0),FALSE)</f>
        <v>0</v>
      </c>
      <c r="AD152" s="63">
        <f>VLOOKUP($B152,'Tillförd energi'!$B$1:$AI$720,MATCH(AD$2,'Tillförd energi'!$B$1:$AQ$1,0),FALSE)</f>
        <v>0</v>
      </c>
      <c r="AE152" s="63">
        <f>VLOOKUP($B152,'Tillförd energi'!$B$1:$AI$720,MATCH(AE$2,'Tillförd energi'!$B$1:$AQ$1,0),FALSE)</f>
        <v>0</v>
      </c>
      <c r="AF152" s="63">
        <f>VLOOKUP($B152,'Tillförd energi'!$B$1:$AI$720,MATCH(AF$2,'Tillförd energi'!$B$1:$AQ$1,0),FALSE)</f>
        <v>0.504</v>
      </c>
      <c r="AG152" s="63">
        <f>IFERROR(VLOOKUP(B152,Miljö!$B$1:$AC$550,MATCH("Köpt mängd produktionsspecifik fjärrvärme:",Miljö!$B$1:$AC$1,0),FALSE)/1,0)</f>
        <v>0</v>
      </c>
      <c r="AI152" s="63">
        <f t="shared" si="12"/>
        <v>32.783999999999999</v>
      </c>
      <c r="AJ152" s="63">
        <f>IF(ISERROR(1/VLOOKUP($B152,Leveranser!$B$1:$S$500,MATCH("såld värme (gwh)",Leveranser!$B$1:$S$1,0),FALSE)),"",VLOOKUP($B152,Leveranser!$B$1:$S$500,MATCH("såld värme (gwh)",Leveranser!$B$1:$S$1,0),FALSE))</f>
        <v>27.08</v>
      </c>
      <c r="AM152" s="63" t="str">
        <f>IF(B152&lt;&gt;"",IF(VLOOKUP($B152,Totalt!$B$1:$AQ$554,MATCH("Kvalitetsgranskad:",Totalt!$B$1:$AQ$1,0),FALSE)="ja",VLOOKUP($B152,Miljö!$B$1:$AG$479,MATCH(AM$2,Miljö!$B$1:$AK$1,0),FALSE),""),"")</f>
        <v>Ja</v>
      </c>
      <c r="AN152" s="63" t="str">
        <f>IF(AM152="ja",VLOOKUP($B152,Miljö!$B$1:$J$479,MATCH("Typ av ursprungsspecificerad el   (Om inget värde anges används Nordisk residualmix, se inforuta) ()",Miljö!$B$1:$J$1,0),FALSE),IF(AM152="nej","Nordisk residualel",""))</f>
        <v>'Vattenkraft'</v>
      </c>
      <c r="AO152" s="63">
        <f>IF(AM152="","",VLOOKUP($B152,Miljö!$B$1:$J$479,MATCH("Fossilandel för ursprungspecificerad el ()",Miljö!$B$1:$J$1,0),FALSE))</f>
        <v>0</v>
      </c>
      <c r="AQ152" s="63">
        <f t="shared" si="13"/>
        <v>1</v>
      </c>
      <c r="AS152" s="63" t="str">
        <f t="shared" si="14"/>
        <v>Nej</v>
      </c>
      <c r="AT152" s="63" t="str">
        <f>IF(AS152="ja",VLOOKUP($B152,Miljö!$B$1:$P$500,MATCH("Fossil andel i procent (%)",Miljö!$B$1:$P$1,0),FALSE)/100,"")</f>
        <v/>
      </c>
      <c r="AV152" s="63" t="str">
        <f t="shared" si="15"/>
        <v>Nej</v>
      </c>
      <c r="AW152" s="63" t="str">
        <f>IF(AV152="ja",VLOOKUP($B152,'Egen hetvattenprod'!$B$1:$AO$500,MATCH("Värmekälla till värmepumpar ()",'Egen hetvattenprod'!$B$1:$AO$1,0),FALSE),"")</f>
        <v/>
      </c>
      <c r="AY152" s="63" t="str">
        <f t="shared" si="16"/>
        <v>Nej</v>
      </c>
      <c r="AZ152" s="77" t="str">
        <f>IF($AY152="ja",(VLOOKUP($B152,'Egen hetvattenprod'!$B$1:$BX$550,MATCH(AZ$2,'Egen hetvattenprod'!$B$1:$BX$1,0),FALSE)+VLOOKUP($B152,Kraftvärmeprod!$B$1:$BX$550,MATCH(AZ$2,Kraftvärmeprod!$B$1:$BX$1,0),FALSE))/$AC152,"")</f>
        <v/>
      </c>
      <c r="BA152" s="77" t="str">
        <f>IF($AY152="ja",(VLOOKUP($B152,'Egen hetvattenprod'!$B$1:$BX$550,MATCH(BA$2,'Egen hetvattenprod'!$B$1:$BX$1,0),FALSE)+VLOOKUP($B152,Kraftvärmeprod!$B$1:$BX$550,MATCH(BA$2,Kraftvärmeprod!$B$1:$BX$1,0),FALSE))/$AC152,"")</f>
        <v/>
      </c>
      <c r="BB152" s="77" t="str">
        <f>IF($AY152="ja",(VLOOKUP($B152,'Egen hetvattenprod'!$B$1:$BX$550,MATCH(BB$2,'Egen hetvattenprod'!$B$1:$BX$1,0),FALSE)+VLOOKUP($B152,Kraftvärmeprod!$B$1:$BX$550,MATCH(BB$2,Kraftvärmeprod!$B$1:$BX$1,0),FALSE))/$AC152,"")</f>
        <v/>
      </c>
      <c r="BC152" s="77" t="str">
        <f>IF($AY152="ja",(VLOOKUP($B152,'Egen hetvattenprod'!$B$1:$BX$550,MATCH(BC$2,'Egen hetvattenprod'!$B$1:$BX$1,0),FALSE)+VLOOKUP($B152,Kraftvärmeprod!$B$1:$BX$550,MATCH(BC$2,Kraftvärmeprod!$B$1:$BX$1,0),FALSE))/$AC152,"")</f>
        <v/>
      </c>
      <c r="BD152" s="77" t="str">
        <f>IF($AY152="ja",(VLOOKUP($B152,'Egen hetvattenprod'!$B$1:$BX$550,MATCH(BD$2,'Egen hetvattenprod'!$B$1:$BX$1,0),FALSE)+VLOOKUP($B152,Kraftvärmeprod!$B$1:$BX$550,MATCH(BD$2,Kraftvärmeprod!$B$1:$BX$1,0),FALSE))/$AC152,"")</f>
        <v/>
      </c>
      <c r="BF152" s="63" t="str">
        <f t="shared" si="17"/>
        <v>Nej</v>
      </c>
      <c r="BG152" s="63" t="str">
        <f>IF($BF152="ja",VLOOKUP($B152,'Egen hetvattenprod'!$B$1:$BX$550,MATCH("Andelen klimatgaser med fossilt ursprung för avfall ()",'Egen hetvattenprod'!$B$1:$BX$1,0),FALSE),"")</f>
        <v/>
      </c>
      <c r="BH152" s="63" t="str">
        <f>IF($BF152="ja",VLOOKUP($B152,Kraftvärmeprod!$B$1:$BX$550,MATCH("Andelen klimatgaser med fossilt ursprung för avfall ()",Kraftvärmeprod!$B$1:$BX$1,0),FALSE),"")</f>
        <v/>
      </c>
      <c r="BI152" s="63" t="str">
        <f>IF($BF152="ja",VLOOKUP($B152,'Egen hetvattenprod'!$B$1:$BX$550,MATCH("Avfall (GWh)",'Egen hetvattenprod'!$B$1:$BX$1,0),FALSE),"")</f>
        <v/>
      </c>
      <c r="BJ152" s="63" t="str">
        <f>IF($BF152="ja",VLOOKUP($B152,'Slutlig allokering kvv'!$B$1:$BX$550,MATCH("Avfall (GWh)",'Slutlig allokering kvv'!$B$1:$BX$1,0),FALSE),"")</f>
        <v/>
      </c>
      <c r="BK152" s="63" t="str">
        <f>IF($BF152="ja",VLOOKUP($B152,'Köpt hetvatten'!$B$1:$BX$550,MATCH("Avfall i köpt hetvatten",'Köpt hetvatten'!$B$1:$BX$1,0),FALSE),"")</f>
        <v/>
      </c>
      <c r="BL152" s="63" t="str">
        <f>IF($BF152="ja",VLOOKUP($B152,'Egen hetvattenprod'!$B$1:$BX$550,MATCH("Värde enligt ovan. (%)",'Egen hetvattenprod'!$B$1:$BX$1,0),FALSE),"")</f>
        <v/>
      </c>
      <c r="BM152" s="63" t="str">
        <f>IF($BF152="ja",VLOOKUP($B152,Kraftvärmeprod!$B$1:$BX$550,MATCH("Värde enligt ovan. (%)",Kraftvärmeprod!$B$1:$BX$1,0),FALSE),"")</f>
        <v/>
      </c>
    </row>
    <row r="153" spans="1:65" x14ac:dyDescent="0.45">
      <c r="A153" s="63" t="s">
        <v>480</v>
      </c>
      <c r="B153" s="63" t="s">
        <v>481</v>
      </c>
      <c r="C153" s="63">
        <f>VLOOKUP($B153,'Tillförd energi'!$B$1:$AI$720,MATCH(C$2,'Tillförd energi'!$B$1:$AQ$1,0),FALSE)</f>
        <v>0</v>
      </c>
      <c r="D153" s="63">
        <f>VLOOKUP($B153,'Tillförd energi'!$B$1:$AI$720,MATCH(D$2,'Tillförd energi'!$B$1:$AQ$1,0),FALSE)</f>
        <v>4.2000000000000003E-2</v>
      </c>
      <c r="E153" s="63">
        <f>VLOOKUP($B153,'Tillförd energi'!$B$1:$AI$720,MATCH(E$2,'Tillförd energi'!$B$1:$AQ$1,0),FALSE)</f>
        <v>0</v>
      </c>
      <c r="F153" s="63">
        <f>VLOOKUP($B153,'Tillförd energi'!$B$1:$AI$720,MATCH(F$2,'Tillförd energi'!$B$1:$AQ$1,0),FALSE)</f>
        <v>0</v>
      </c>
      <c r="G153" s="63">
        <f>VLOOKUP($B153,'Tillförd energi'!$B$1:$AI$720,MATCH(G$2,'Tillförd energi'!$B$1:$AQ$1,0),FALSE)</f>
        <v>0</v>
      </c>
      <c r="H153" s="63">
        <f>VLOOKUP($B153,'Tillförd energi'!$B$1:$AI$720,MATCH(H$2,'Tillförd energi'!$B$1:$AQ$1,0),FALSE)</f>
        <v>0</v>
      </c>
      <c r="I153" s="63">
        <f>VLOOKUP($B153,'Tillförd energi'!$B$1:$AI$720,MATCH(I$2,'Tillförd energi'!$B$1:$AQ$1,0),FALSE)</f>
        <v>0</v>
      </c>
      <c r="J153" s="63">
        <f>VLOOKUP($B153,'Tillförd energi'!$B$1:$AI$720,MATCH(J$2,'Tillförd energi'!$B$1:$AQ$1,0),FALSE)</f>
        <v>0</v>
      </c>
      <c r="K153" s="63">
        <f>VLOOKUP($B153,'Tillförd energi'!$B$1:$AI$720,MATCH(K$2,'Tillförd energi'!$B$1:$AQ$1,0),FALSE)</f>
        <v>0</v>
      </c>
      <c r="L153" s="63">
        <f>VLOOKUP($B153,'Tillförd energi'!$B$1:$AI$720,MATCH(L$2,'Tillförd energi'!$B$1:$AQ$1,0),FALSE)</f>
        <v>0</v>
      </c>
      <c r="M153" s="63">
        <f>VLOOKUP($B153,'Tillförd energi'!$B$1:$AI$720,MATCH(M$2,'Tillförd energi'!$B$1:$AQ$1,0),FALSE)</f>
        <v>0</v>
      </c>
      <c r="N153" s="63">
        <f>VLOOKUP($B153,'Tillförd energi'!$B$1:$AI$720,MATCH(N$2,'Tillförd energi'!$B$1:$AQ$1,0),FALSE)</f>
        <v>0</v>
      </c>
      <c r="O153" s="63">
        <f>VLOOKUP($B153,'Tillförd energi'!$B$1:$AI$720,MATCH(O$2,'Tillförd energi'!$B$1:$AQ$1,0),FALSE)</f>
        <v>0</v>
      </c>
      <c r="P153" s="63">
        <f>VLOOKUP($B153,'Tillförd energi'!$B$1:$AI$720,MATCH(P$2,'Tillförd energi'!$B$1:$AQ$1,0),FALSE)</f>
        <v>15.342000000000001</v>
      </c>
      <c r="Q153" s="63">
        <f>VLOOKUP($B153,'Tillförd energi'!$B$1:$AI$720,MATCH(Q$2,'Tillförd energi'!$B$1:$AQ$1,0),FALSE)</f>
        <v>0</v>
      </c>
      <c r="R153" s="63">
        <f>VLOOKUP($B153,'Tillförd energi'!$B$1:$AI$720,MATCH(R$2,'Tillförd energi'!$B$1:$AQ$1,0),FALSE)</f>
        <v>0</v>
      </c>
      <c r="S153" s="63">
        <f>VLOOKUP($B153,'Tillförd energi'!$B$1:$AI$720,MATCH(S$2,'Tillförd energi'!$B$1:$AQ$1,0),FALSE)</f>
        <v>0</v>
      </c>
      <c r="T153" s="63">
        <f>VLOOKUP($B153,'Tillförd energi'!$B$1:$AI$720,MATCH(T$2,'Tillförd energi'!$B$1:$AQ$1,0),FALSE)</f>
        <v>0</v>
      </c>
      <c r="U153" s="63">
        <f>VLOOKUP($B153,'Tillförd energi'!$B$1:$AI$720,MATCH(U$2,'Tillförd energi'!$B$1:$AQ$1,0),FALSE)</f>
        <v>0</v>
      </c>
      <c r="V153" s="63">
        <f>VLOOKUP($B153,'Tillförd energi'!$B$1:$AI$720,MATCH(V$2,'Tillförd energi'!$B$1:$AQ$1,0),FALSE)</f>
        <v>0</v>
      </c>
      <c r="W153" s="63">
        <f>VLOOKUP($B153,'Tillförd energi'!$B$1:$AI$720,MATCH(W$2,'Tillförd energi'!$B$1:$AQ$1,0),FALSE)</f>
        <v>0.60899999999999999</v>
      </c>
      <c r="X153" s="63">
        <f>VLOOKUP($B153,'Tillförd energi'!$B$1:$AI$720,MATCH(X$2,'Tillförd energi'!$B$1:$AQ$1,0),FALSE)</f>
        <v>0</v>
      </c>
      <c r="Y153" s="63">
        <f>VLOOKUP($B153,'Tillförd energi'!$B$1:$AI$720,MATCH(Y$2,'Tillförd energi'!$B$1:$AQ$1,0),FALSE)</f>
        <v>0</v>
      </c>
      <c r="Z153" s="63">
        <f>VLOOKUP($B153,'Tillförd energi'!$B$1:$AI$720,MATCH(Z$2,'Tillförd energi'!$B$1:$AQ$1,0),FALSE)</f>
        <v>0</v>
      </c>
      <c r="AA153" s="63">
        <f>VLOOKUP($B153,'Tillförd energi'!$B$1:$AI$720,MATCH(AA$2,'Tillförd energi'!$B$1:$AQ$1,0),FALSE)</f>
        <v>0</v>
      </c>
      <c r="AB153" s="63">
        <f>VLOOKUP($B153,'Tillförd energi'!$B$1:$AI$720,MATCH(AB$2,'Tillförd energi'!$B$1:$AQ$1,0),FALSE)</f>
        <v>0</v>
      </c>
      <c r="AC153" s="63">
        <f>VLOOKUP($B153,'Tillförd energi'!$B$1:$AI$720,MATCH(AC$2,'Tillförd energi'!$B$1:$AQ$1,0),FALSE)</f>
        <v>0</v>
      </c>
      <c r="AD153" s="63">
        <f>VLOOKUP($B153,'Tillförd energi'!$B$1:$AI$720,MATCH(AD$2,'Tillförd energi'!$B$1:$AQ$1,0),FALSE)</f>
        <v>0</v>
      </c>
      <c r="AE153" s="63">
        <f>VLOOKUP($B153,'Tillförd energi'!$B$1:$AI$720,MATCH(AE$2,'Tillförd energi'!$B$1:$AQ$1,0),FALSE)</f>
        <v>0</v>
      </c>
      <c r="AF153" s="63">
        <f>VLOOKUP($B153,'Tillförd energi'!$B$1:$AI$720,MATCH(AF$2,'Tillförd energi'!$B$1:$AQ$1,0),FALSE)</f>
        <v>0.224</v>
      </c>
      <c r="AG153" s="63">
        <f>IFERROR(VLOOKUP(B153,Miljö!$B$1:$AC$550,MATCH("Köpt mängd produktionsspecifik fjärrvärme:",Miljö!$B$1:$AC$1,0),FALSE)/1,0)</f>
        <v>0</v>
      </c>
      <c r="AI153" s="63">
        <f t="shared" si="12"/>
        <v>16.216999999999999</v>
      </c>
      <c r="AJ153" s="63">
        <f>IF(ISERROR(1/VLOOKUP($B153,Leveranser!$B$1:$S$500,MATCH("såld värme (gwh)",Leveranser!$B$1:$S$1,0),FALSE)),"",VLOOKUP($B153,Leveranser!$B$1:$S$500,MATCH("såld värme (gwh)",Leveranser!$B$1:$S$1,0),FALSE))</f>
        <v>11.24</v>
      </c>
      <c r="AM153" s="63" t="str">
        <f>IF(B153&lt;&gt;"",IF(VLOOKUP($B153,Totalt!$B$1:$AQ$554,MATCH("Kvalitetsgranskad:",Totalt!$B$1:$AQ$1,0),FALSE)="ja",VLOOKUP($B153,Miljö!$B$1:$AG$479,MATCH(AM$2,Miljö!$B$1:$AK$1,0),FALSE),""),"")</f>
        <v>Ja</v>
      </c>
      <c r="AN153" s="63" t="str">
        <f>IF(AM153="ja",VLOOKUP($B153,Miljö!$B$1:$J$479,MATCH("Typ av ursprungsspecificerad el   (Om inget värde anges används Nordisk residualmix, se inforuta) ()",Miljö!$B$1:$J$1,0),FALSE),IF(AM153="nej","Nordisk residualel",""))</f>
        <v>'Vattenkraft'</v>
      </c>
      <c r="AO153" s="63">
        <f>IF(AM153="","",VLOOKUP($B153,Miljö!$B$1:$J$479,MATCH("Fossilandel för ursprungspecificerad el ()",Miljö!$B$1:$J$1,0),FALSE))</f>
        <v>0</v>
      </c>
      <c r="AQ153" s="63">
        <f t="shared" si="13"/>
        <v>1</v>
      </c>
      <c r="AS153" s="63" t="str">
        <f t="shared" si="14"/>
        <v>Nej</v>
      </c>
      <c r="AT153" s="63" t="str">
        <f>IF(AS153="ja",VLOOKUP($B153,Miljö!$B$1:$P$500,MATCH("Fossil andel i procent (%)",Miljö!$B$1:$P$1,0),FALSE)/100,"")</f>
        <v/>
      </c>
      <c r="AV153" s="63" t="str">
        <f t="shared" si="15"/>
        <v>Nej</v>
      </c>
      <c r="AW153" s="63" t="str">
        <f>IF(AV153="ja",VLOOKUP($B153,'Egen hetvattenprod'!$B$1:$AO$500,MATCH("Värmekälla till värmepumpar ()",'Egen hetvattenprod'!$B$1:$AO$1,0),FALSE),"")</f>
        <v/>
      </c>
      <c r="AY153" s="63" t="str">
        <f t="shared" si="16"/>
        <v>Nej</v>
      </c>
      <c r="AZ153" s="77" t="str">
        <f>IF($AY153="ja",(VLOOKUP($B153,'Egen hetvattenprod'!$B$1:$BX$550,MATCH(AZ$2,'Egen hetvattenprod'!$B$1:$BX$1,0),FALSE)+VLOOKUP($B153,Kraftvärmeprod!$B$1:$BX$550,MATCH(AZ$2,Kraftvärmeprod!$B$1:$BX$1,0),FALSE))/$AC153,"")</f>
        <v/>
      </c>
      <c r="BA153" s="77" t="str">
        <f>IF($AY153="ja",(VLOOKUP($B153,'Egen hetvattenprod'!$B$1:$BX$550,MATCH(BA$2,'Egen hetvattenprod'!$B$1:$BX$1,0),FALSE)+VLOOKUP($B153,Kraftvärmeprod!$B$1:$BX$550,MATCH(BA$2,Kraftvärmeprod!$B$1:$BX$1,0),FALSE))/$AC153,"")</f>
        <v/>
      </c>
      <c r="BB153" s="77" t="str">
        <f>IF($AY153="ja",(VLOOKUP($B153,'Egen hetvattenprod'!$B$1:$BX$550,MATCH(BB$2,'Egen hetvattenprod'!$B$1:$BX$1,0),FALSE)+VLOOKUP($B153,Kraftvärmeprod!$B$1:$BX$550,MATCH(BB$2,Kraftvärmeprod!$B$1:$BX$1,0),FALSE))/$AC153,"")</f>
        <v/>
      </c>
      <c r="BC153" s="77" t="str">
        <f>IF($AY153="ja",(VLOOKUP($B153,'Egen hetvattenprod'!$B$1:$BX$550,MATCH(BC$2,'Egen hetvattenprod'!$B$1:$BX$1,0),FALSE)+VLOOKUP($B153,Kraftvärmeprod!$B$1:$BX$550,MATCH(BC$2,Kraftvärmeprod!$B$1:$BX$1,0),FALSE))/$AC153,"")</f>
        <v/>
      </c>
      <c r="BD153" s="77" t="str">
        <f>IF($AY153="ja",(VLOOKUP($B153,'Egen hetvattenprod'!$B$1:$BX$550,MATCH(BD$2,'Egen hetvattenprod'!$B$1:$BX$1,0),FALSE)+VLOOKUP($B153,Kraftvärmeprod!$B$1:$BX$550,MATCH(BD$2,Kraftvärmeprod!$B$1:$BX$1,0),FALSE))/$AC153,"")</f>
        <v/>
      </c>
      <c r="BF153" s="63" t="str">
        <f t="shared" si="17"/>
        <v>Nej</v>
      </c>
      <c r="BG153" s="63" t="str">
        <f>IF($BF153="ja",VLOOKUP($B153,'Egen hetvattenprod'!$B$1:$BX$550,MATCH("Andelen klimatgaser med fossilt ursprung för avfall ()",'Egen hetvattenprod'!$B$1:$BX$1,0),FALSE),"")</f>
        <v/>
      </c>
      <c r="BH153" s="63" t="str">
        <f>IF($BF153="ja",VLOOKUP($B153,Kraftvärmeprod!$B$1:$BX$550,MATCH("Andelen klimatgaser med fossilt ursprung för avfall ()",Kraftvärmeprod!$B$1:$BX$1,0),FALSE),"")</f>
        <v/>
      </c>
      <c r="BI153" s="63" t="str">
        <f>IF($BF153="ja",VLOOKUP($B153,'Egen hetvattenprod'!$B$1:$BX$550,MATCH("Avfall (GWh)",'Egen hetvattenprod'!$B$1:$BX$1,0),FALSE),"")</f>
        <v/>
      </c>
      <c r="BJ153" s="63" t="str">
        <f>IF($BF153="ja",VLOOKUP($B153,'Slutlig allokering kvv'!$B$1:$BX$550,MATCH("Avfall (GWh)",'Slutlig allokering kvv'!$B$1:$BX$1,0),FALSE),"")</f>
        <v/>
      </c>
      <c r="BK153" s="63" t="str">
        <f>IF($BF153="ja",VLOOKUP($B153,'Köpt hetvatten'!$B$1:$BX$550,MATCH("Avfall i köpt hetvatten",'Köpt hetvatten'!$B$1:$BX$1,0),FALSE),"")</f>
        <v/>
      </c>
      <c r="BL153" s="63" t="str">
        <f>IF($BF153="ja",VLOOKUP($B153,'Egen hetvattenprod'!$B$1:$BX$550,MATCH("Värde enligt ovan. (%)",'Egen hetvattenprod'!$B$1:$BX$1,0),FALSE),"")</f>
        <v/>
      </c>
      <c r="BM153" s="63" t="str">
        <f>IF($BF153="ja",VLOOKUP($B153,Kraftvärmeprod!$B$1:$BX$550,MATCH("Värde enligt ovan. (%)",Kraftvärmeprod!$B$1:$BX$1,0),FALSE),"")</f>
        <v/>
      </c>
    </row>
    <row r="154" spans="1:65" x14ac:dyDescent="0.45">
      <c r="A154" s="63" t="s">
        <v>480</v>
      </c>
      <c r="B154" s="63" t="s">
        <v>479</v>
      </c>
      <c r="C154" s="63">
        <f>VLOOKUP($B154,'Tillförd energi'!$B$1:$AI$720,MATCH(C$2,'Tillförd energi'!$B$1:$AQ$1,0),FALSE)</f>
        <v>0</v>
      </c>
      <c r="D154" s="63">
        <f>VLOOKUP($B154,'Tillförd energi'!$B$1:$AI$720,MATCH(D$2,'Tillförd energi'!$B$1:$AQ$1,0),FALSE)</f>
        <v>2.5000000000000001E-2</v>
      </c>
      <c r="E154" s="63">
        <f>VLOOKUP($B154,'Tillförd energi'!$B$1:$AI$720,MATCH(E$2,'Tillförd energi'!$B$1:$AQ$1,0),FALSE)</f>
        <v>0</v>
      </c>
      <c r="F154" s="63">
        <f>VLOOKUP($B154,'Tillförd energi'!$B$1:$AI$720,MATCH(F$2,'Tillförd energi'!$B$1:$AQ$1,0),FALSE)</f>
        <v>0</v>
      </c>
      <c r="G154" s="63">
        <f>VLOOKUP($B154,'Tillförd energi'!$B$1:$AI$720,MATCH(G$2,'Tillförd energi'!$B$1:$AQ$1,0),FALSE)</f>
        <v>0</v>
      </c>
      <c r="H154" s="63">
        <f>VLOOKUP($B154,'Tillförd energi'!$B$1:$AI$720,MATCH(H$2,'Tillförd energi'!$B$1:$AQ$1,0),FALSE)</f>
        <v>0</v>
      </c>
      <c r="I154" s="63">
        <f>VLOOKUP($B154,'Tillförd energi'!$B$1:$AI$720,MATCH(I$2,'Tillförd energi'!$B$1:$AQ$1,0),FALSE)</f>
        <v>0</v>
      </c>
      <c r="J154" s="63">
        <f>VLOOKUP($B154,'Tillförd energi'!$B$1:$AI$720,MATCH(J$2,'Tillförd energi'!$B$1:$AQ$1,0),FALSE)</f>
        <v>0</v>
      </c>
      <c r="K154" s="63">
        <f>VLOOKUP($B154,'Tillförd energi'!$B$1:$AI$720,MATCH(K$2,'Tillförd energi'!$B$1:$AQ$1,0),FALSE)</f>
        <v>0</v>
      </c>
      <c r="L154" s="63">
        <f>VLOOKUP($B154,'Tillförd energi'!$B$1:$AI$720,MATCH(L$2,'Tillförd energi'!$B$1:$AQ$1,0),FALSE)</f>
        <v>0</v>
      </c>
      <c r="M154" s="63">
        <f>VLOOKUP($B154,'Tillförd energi'!$B$1:$AI$720,MATCH(M$2,'Tillförd energi'!$B$1:$AQ$1,0),FALSE)</f>
        <v>0</v>
      </c>
      <c r="N154" s="63">
        <f>VLOOKUP($B154,'Tillförd energi'!$B$1:$AI$720,MATCH(N$2,'Tillförd energi'!$B$1:$AQ$1,0),FALSE)</f>
        <v>0</v>
      </c>
      <c r="O154" s="63">
        <f>VLOOKUP($B154,'Tillförd energi'!$B$1:$AI$720,MATCH(O$2,'Tillförd energi'!$B$1:$AQ$1,0),FALSE)</f>
        <v>0</v>
      </c>
      <c r="P154" s="63">
        <f>VLOOKUP($B154,'Tillförd energi'!$B$1:$AI$720,MATCH(P$2,'Tillförd energi'!$B$1:$AQ$1,0),FALSE)</f>
        <v>7.4329999999999998</v>
      </c>
      <c r="Q154" s="63">
        <f>VLOOKUP($B154,'Tillförd energi'!$B$1:$AI$720,MATCH(Q$2,'Tillförd energi'!$B$1:$AQ$1,0),FALSE)</f>
        <v>0</v>
      </c>
      <c r="R154" s="63">
        <f>VLOOKUP($B154,'Tillförd energi'!$B$1:$AI$720,MATCH(R$2,'Tillförd energi'!$B$1:$AQ$1,0),FALSE)</f>
        <v>0</v>
      </c>
      <c r="S154" s="63">
        <f>VLOOKUP($B154,'Tillförd energi'!$B$1:$AI$720,MATCH(S$2,'Tillförd energi'!$B$1:$AQ$1,0),FALSE)</f>
        <v>0</v>
      </c>
      <c r="T154" s="63">
        <f>VLOOKUP($B154,'Tillförd energi'!$B$1:$AI$720,MATCH(T$2,'Tillförd energi'!$B$1:$AQ$1,0),FALSE)</f>
        <v>0</v>
      </c>
      <c r="U154" s="63">
        <f>VLOOKUP($B154,'Tillförd energi'!$B$1:$AI$720,MATCH(U$2,'Tillförd energi'!$B$1:$AQ$1,0),FALSE)</f>
        <v>0</v>
      </c>
      <c r="V154" s="63">
        <f>VLOOKUP($B154,'Tillförd energi'!$B$1:$AI$720,MATCH(V$2,'Tillförd energi'!$B$1:$AQ$1,0),FALSE)</f>
        <v>0</v>
      </c>
      <c r="W154" s="63">
        <f>VLOOKUP($B154,'Tillförd energi'!$B$1:$AI$720,MATCH(W$2,'Tillförd energi'!$B$1:$AQ$1,0),FALSE)</f>
        <v>0</v>
      </c>
      <c r="X154" s="63">
        <f>VLOOKUP($B154,'Tillförd energi'!$B$1:$AI$720,MATCH(X$2,'Tillförd energi'!$B$1:$AQ$1,0),FALSE)</f>
        <v>0</v>
      </c>
      <c r="Y154" s="63">
        <f>VLOOKUP($B154,'Tillförd energi'!$B$1:$AI$720,MATCH(Y$2,'Tillförd energi'!$B$1:$AQ$1,0),FALSE)</f>
        <v>0</v>
      </c>
      <c r="Z154" s="63">
        <f>VLOOKUP($B154,'Tillförd energi'!$B$1:$AI$720,MATCH(Z$2,'Tillförd energi'!$B$1:$AQ$1,0),FALSE)</f>
        <v>0</v>
      </c>
      <c r="AA154" s="63">
        <f>VLOOKUP($B154,'Tillförd energi'!$B$1:$AI$720,MATCH(AA$2,'Tillförd energi'!$B$1:$AQ$1,0),FALSE)</f>
        <v>0</v>
      </c>
      <c r="AB154" s="63">
        <f>VLOOKUP($B154,'Tillförd energi'!$B$1:$AI$720,MATCH(AB$2,'Tillförd energi'!$B$1:$AQ$1,0),FALSE)</f>
        <v>0</v>
      </c>
      <c r="AC154" s="63">
        <f>VLOOKUP($B154,'Tillförd energi'!$B$1:$AI$720,MATCH(AC$2,'Tillförd energi'!$B$1:$AQ$1,0),FALSE)</f>
        <v>0</v>
      </c>
      <c r="AD154" s="63">
        <f>VLOOKUP($B154,'Tillförd energi'!$B$1:$AI$720,MATCH(AD$2,'Tillförd energi'!$B$1:$AQ$1,0),FALSE)</f>
        <v>0</v>
      </c>
      <c r="AE154" s="63">
        <f>VLOOKUP($B154,'Tillförd energi'!$B$1:$AI$720,MATCH(AE$2,'Tillförd energi'!$B$1:$AQ$1,0),FALSE)</f>
        <v>0</v>
      </c>
      <c r="AF154" s="63">
        <f>VLOOKUP($B154,'Tillförd energi'!$B$1:$AI$720,MATCH(AF$2,'Tillförd energi'!$B$1:$AQ$1,0),FALSE)</f>
        <v>0.13500000000000001</v>
      </c>
      <c r="AG154" s="63">
        <f>IFERROR(VLOOKUP(B154,Miljö!$B$1:$AC$550,MATCH("Köpt mängd produktionsspecifik fjärrvärme:",Miljö!$B$1:$AC$1,0),FALSE)/1,0)</f>
        <v>0</v>
      </c>
      <c r="AI154" s="63">
        <f t="shared" si="12"/>
        <v>7.593</v>
      </c>
      <c r="AJ154" s="63">
        <f>IF(ISERROR(1/VLOOKUP($B154,Leveranser!$B$1:$S$500,MATCH("såld värme (gwh)",Leveranser!$B$1:$S$1,0),FALSE)),"",VLOOKUP($B154,Leveranser!$B$1:$S$500,MATCH("såld värme (gwh)",Leveranser!$B$1:$S$1,0),FALSE))</f>
        <v>5.27</v>
      </c>
      <c r="AM154" s="63" t="str">
        <f>IF(B154&lt;&gt;"",IF(VLOOKUP($B154,Totalt!$B$1:$AQ$554,MATCH("Kvalitetsgranskad:",Totalt!$B$1:$AQ$1,0),FALSE)="ja",VLOOKUP($B154,Miljö!$B$1:$AG$479,MATCH(AM$2,Miljö!$B$1:$AK$1,0),FALSE),""),"")</f>
        <v>Ja</v>
      </c>
      <c r="AN154" s="63" t="str">
        <f>IF(AM154="ja",VLOOKUP($B154,Miljö!$B$1:$J$479,MATCH("Typ av ursprungsspecificerad el   (Om inget värde anges används Nordisk residualmix, se inforuta) ()",Miljö!$B$1:$J$1,0),FALSE),IF(AM154="nej","Nordisk residualel",""))</f>
        <v>'Vattenkraft'</v>
      </c>
      <c r="AO154" s="63">
        <f>IF(AM154="","",VLOOKUP($B154,Miljö!$B$1:$J$479,MATCH("Fossilandel för ursprungspecificerad el ()",Miljö!$B$1:$J$1,0),FALSE))</f>
        <v>0</v>
      </c>
      <c r="AQ154" s="63">
        <f t="shared" si="13"/>
        <v>1</v>
      </c>
      <c r="AS154" s="63" t="str">
        <f t="shared" si="14"/>
        <v>Nej</v>
      </c>
      <c r="AT154" s="63" t="str">
        <f>IF(AS154="ja",VLOOKUP($B154,Miljö!$B$1:$P$500,MATCH("Fossil andel i procent (%)",Miljö!$B$1:$P$1,0),FALSE)/100,"")</f>
        <v/>
      </c>
      <c r="AV154" s="63" t="str">
        <f t="shared" si="15"/>
        <v>Nej</v>
      </c>
      <c r="AW154" s="63" t="str">
        <f>IF(AV154="ja",VLOOKUP($B154,'Egen hetvattenprod'!$B$1:$AO$500,MATCH("Värmekälla till värmepumpar ()",'Egen hetvattenprod'!$B$1:$AO$1,0),FALSE),"")</f>
        <v/>
      </c>
      <c r="AY154" s="63" t="str">
        <f t="shared" si="16"/>
        <v>Nej</v>
      </c>
      <c r="AZ154" s="77" t="str">
        <f>IF($AY154="ja",(VLOOKUP($B154,'Egen hetvattenprod'!$B$1:$BX$550,MATCH(AZ$2,'Egen hetvattenprod'!$B$1:$BX$1,0),FALSE)+VLOOKUP($B154,Kraftvärmeprod!$B$1:$BX$550,MATCH(AZ$2,Kraftvärmeprod!$B$1:$BX$1,0),FALSE))/$AC154,"")</f>
        <v/>
      </c>
      <c r="BA154" s="77" t="str">
        <f>IF($AY154="ja",(VLOOKUP($B154,'Egen hetvattenprod'!$B$1:$BX$550,MATCH(BA$2,'Egen hetvattenprod'!$B$1:$BX$1,0),FALSE)+VLOOKUP($B154,Kraftvärmeprod!$B$1:$BX$550,MATCH(BA$2,Kraftvärmeprod!$B$1:$BX$1,0),FALSE))/$AC154,"")</f>
        <v/>
      </c>
      <c r="BB154" s="77" t="str">
        <f>IF($AY154="ja",(VLOOKUP($B154,'Egen hetvattenprod'!$B$1:$BX$550,MATCH(BB$2,'Egen hetvattenprod'!$B$1:$BX$1,0),FALSE)+VLOOKUP($B154,Kraftvärmeprod!$B$1:$BX$550,MATCH(BB$2,Kraftvärmeprod!$B$1:$BX$1,0),FALSE))/$AC154,"")</f>
        <v/>
      </c>
      <c r="BC154" s="77" t="str">
        <f>IF($AY154="ja",(VLOOKUP($B154,'Egen hetvattenprod'!$B$1:$BX$550,MATCH(BC$2,'Egen hetvattenprod'!$B$1:$BX$1,0),FALSE)+VLOOKUP($B154,Kraftvärmeprod!$B$1:$BX$550,MATCH(BC$2,Kraftvärmeprod!$B$1:$BX$1,0),FALSE))/$AC154,"")</f>
        <v/>
      </c>
      <c r="BD154" s="77" t="str">
        <f>IF($AY154="ja",(VLOOKUP($B154,'Egen hetvattenprod'!$B$1:$BX$550,MATCH(BD$2,'Egen hetvattenprod'!$B$1:$BX$1,0),FALSE)+VLOOKUP($B154,Kraftvärmeprod!$B$1:$BX$550,MATCH(BD$2,Kraftvärmeprod!$B$1:$BX$1,0),FALSE))/$AC154,"")</f>
        <v/>
      </c>
      <c r="BF154" s="63" t="str">
        <f t="shared" si="17"/>
        <v>Nej</v>
      </c>
      <c r="BG154" s="63" t="str">
        <f>IF($BF154="ja",VLOOKUP($B154,'Egen hetvattenprod'!$B$1:$BX$550,MATCH("Andelen klimatgaser med fossilt ursprung för avfall ()",'Egen hetvattenprod'!$B$1:$BX$1,0),FALSE),"")</f>
        <v/>
      </c>
      <c r="BH154" s="63" t="str">
        <f>IF($BF154="ja",VLOOKUP($B154,Kraftvärmeprod!$B$1:$BX$550,MATCH("Andelen klimatgaser med fossilt ursprung för avfall ()",Kraftvärmeprod!$B$1:$BX$1,0),FALSE),"")</f>
        <v/>
      </c>
      <c r="BI154" s="63" t="str">
        <f>IF($BF154="ja",VLOOKUP($B154,'Egen hetvattenprod'!$B$1:$BX$550,MATCH("Avfall (GWh)",'Egen hetvattenprod'!$B$1:$BX$1,0),FALSE),"")</f>
        <v/>
      </c>
      <c r="BJ154" s="63" t="str">
        <f>IF($BF154="ja",VLOOKUP($B154,'Slutlig allokering kvv'!$B$1:$BX$550,MATCH("Avfall (GWh)",'Slutlig allokering kvv'!$B$1:$BX$1,0),FALSE),"")</f>
        <v/>
      </c>
      <c r="BK154" s="63" t="str">
        <f>IF($BF154="ja",VLOOKUP($B154,'Köpt hetvatten'!$B$1:$BX$550,MATCH("Avfall i köpt hetvatten",'Köpt hetvatten'!$B$1:$BX$1,0),FALSE),"")</f>
        <v/>
      </c>
      <c r="BL154" s="63" t="str">
        <f>IF($BF154="ja",VLOOKUP($B154,'Egen hetvattenprod'!$B$1:$BX$550,MATCH("Värde enligt ovan. (%)",'Egen hetvattenprod'!$B$1:$BX$1,0),FALSE),"")</f>
        <v/>
      </c>
      <c r="BM154" s="63" t="str">
        <f>IF($BF154="ja",VLOOKUP($B154,Kraftvärmeprod!$B$1:$BX$550,MATCH("Värde enligt ovan. (%)",Kraftvärmeprod!$B$1:$BX$1,0),FALSE),"")</f>
        <v/>
      </c>
    </row>
    <row r="155" spans="1:65" x14ac:dyDescent="0.45">
      <c r="A155" s="63" t="s">
        <v>480</v>
      </c>
      <c r="B155" s="63" t="s">
        <v>482</v>
      </c>
      <c r="C155" s="63">
        <f>VLOOKUP($B155,'Tillförd energi'!$B$1:$AI$720,MATCH(C$2,'Tillförd energi'!$B$1:$AQ$1,0),FALSE)</f>
        <v>0</v>
      </c>
      <c r="D155" s="63">
        <f>VLOOKUP($B155,'Tillförd energi'!$B$1:$AI$720,MATCH(D$2,'Tillförd energi'!$B$1:$AQ$1,0),FALSE)</f>
        <v>0.10199999999999999</v>
      </c>
      <c r="E155" s="63">
        <f>VLOOKUP($B155,'Tillförd energi'!$B$1:$AI$720,MATCH(E$2,'Tillförd energi'!$B$1:$AQ$1,0),FALSE)</f>
        <v>0</v>
      </c>
      <c r="F155" s="63">
        <f>VLOOKUP($B155,'Tillförd energi'!$B$1:$AI$720,MATCH(F$2,'Tillförd energi'!$B$1:$AQ$1,0),FALSE)</f>
        <v>0</v>
      </c>
      <c r="G155" s="63">
        <f>VLOOKUP($B155,'Tillförd energi'!$B$1:$AI$720,MATCH(G$2,'Tillförd energi'!$B$1:$AQ$1,0),FALSE)</f>
        <v>0</v>
      </c>
      <c r="H155" s="63">
        <f>VLOOKUP($B155,'Tillförd energi'!$B$1:$AI$720,MATCH(H$2,'Tillförd energi'!$B$1:$AQ$1,0),FALSE)</f>
        <v>0</v>
      </c>
      <c r="I155" s="63">
        <f>VLOOKUP($B155,'Tillförd energi'!$B$1:$AI$720,MATCH(I$2,'Tillförd energi'!$B$1:$AQ$1,0),FALSE)</f>
        <v>0</v>
      </c>
      <c r="J155" s="63">
        <f>VLOOKUP($B155,'Tillförd energi'!$B$1:$AI$720,MATCH(J$2,'Tillförd energi'!$B$1:$AQ$1,0),FALSE)</f>
        <v>0</v>
      </c>
      <c r="K155" s="63">
        <f>VLOOKUP($B155,'Tillförd energi'!$B$1:$AI$720,MATCH(K$2,'Tillförd energi'!$B$1:$AQ$1,0),FALSE)</f>
        <v>0</v>
      </c>
      <c r="L155" s="63">
        <f>VLOOKUP($B155,'Tillförd energi'!$B$1:$AI$720,MATCH(L$2,'Tillförd energi'!$B$1:$AQ$1,0),FALSE)</f>
        <v>0</v>
      </c>
      <c r="M155" s="63">
        <f>VLOOKUP($B155,'Tillförd energi'!$B$1:$AI$720,MATCH(M$2,'Tillförd energi'!$B$1:$AQ$1,0),FALSE)</f>
        <v>0</v>
      </c>
      <c r="N155" s="63">
        <f>VLOOKUP($B155,'Tillförd energi'!$B$1:$AI$720,MATCH(N$2,'Tillförd energi'!$B$1:$AQ$1,0),FALSE)</f>
        <v>0</v>
      </c>
      <c r="O155" s="63">
        <f>VLOOKUP($B155,'Tillförd energi'!$B$1:$AI$720,MATCH(O$2,'Tillförd energi'!$B$1:$AQ$1,0),FALSE)</f>
        <v>0</v>
      </c>
      <c r="P155" s="63">
        <f>VLOOKUP($B155,'Tillförd energi'!$B$1:$AI$720,MATCH(P$2,'Tillförd energi'!$B$1:$AQ$1,0),FALSE)</f>
        <v>9.2789999999999999</v>
      </c>
      <c r="Q155" s="63">
        <f>VLOOKUP($B155,'Tillförd energi'!$B$1:$AI$720,MATCH(Q$2,'Tillförd energi'!$B$1:$AQ$1,0),FALSE)</f>
        <v>0</v>
      </c>
      <c r="R155" s="63">
        <f>VLOOKUP($B155,'Tillförd energi'!$B$1:$AI$720,MATCH(R$2,'Tillförd energi'!$B$1:$AQ$1,0),FALSE)</f>
        <v>0</v>
      </c>
      <c r="S155" s="63">
        <f>VLOOKUP($B155,'Tillförd energi'!$B$1:$AI$720,MATCH(S$2,'Tillförd energi'!$B$1:$AQ$1,0),FALSE)</f>
        <v>0</v>
      </c>
      <c r="T155" s="63">
        <f>VLOOKUP($B155,'Tillförd energi'!$B$1:$AI$720,MATCH(T$2,'Tillförd energi'!$B$1:$AQ$1,0),FALSE)</f>
        <v>0</v>
      </c>
      <c r="U155" s="63">
        <f>VLOOKUP($B155,'Tillförd energi'!$B$1:$AI$720,MATCH(U$2,'Tillförd energi'!$B$1:$AQ$1,0),FALSE)</f>
        <v>0</v>
      </c>
      <c r="V155" s="63">
        <f>VLOOKUP($B155,'Tillförd energi'!$B$1:$AI$720,MATCH(V$2,'Tillförd energi'!$B$1:$AQ$1,0),FALSE)</f>
        <v>0</v>
      </c>
      <c r="W155" s="63">
        <f>VLOOKUP($B155,'Tillförd energi'!$B$1:$AI$720,MATCH(W$2,'Tillförd energi'!$B$1:$AQ$1,0),FALSE)</f>
        <v>0</v>
      </c>
      <c r="X155" s="63">
        <f>VLOOKUP($B155,'Tillförd energi'!$B$1:$AI$720,MATCH(X$2,'Tillförd energi'!$B$1:$AQ$1,0),FALSE)</f>
        <v>0</v>
      </c>
      <c r="Y155" s="63">
        <f>VLOOKUP($B155,'Tillförd energi'!$B$1:$AI$720,MATCH(Y$2,'Tillförd energi'!$B$1:$AQ$1,0),FALSE)</f>
        <v>0</v>
      </c>
      <c r="Z155" s="63">
        <f>VLOOKUP($B155,'Tillförd energi'!$B$1:$AI$720,MATCH(Z$2,'Tillförd energi'!$B$1:$AQ$1,0),FALSE)</f>
        <v>0</v>
      </c>
      <c r="AA155" s="63">
        <f>VLOOKUP($B155,'Tillförd energi'!$B$1:$AI$720,MATCH(AA$2,'Tillförd energi'!$B$1:$AQ$1,0),FALSE)</f>
        <v>0</v>
      </c>
      <c r="AB155" s="63">
        <f>VLOOKUP($B155,'Tillförd energi'!$B$1:$AI$720,MATCH(AB$2,'Tillförd energi'!$B$1:$AQ$1,0),FALSE)</f>
        <v>0</v>
      </c>
      <c r="AC155" s="63">
        <f>VLOOKUP($B155,'Tillförd energi'!$B$1:$AI$720,MATCH(AC$2,'Tillförd energi'!$B$1:$AQ$1,0),FALSE)</f>
        <v>0</v>
      </c>
      <c r="AD155" s="63">
        <f>VLOOKUP($B155,'Tillförd energi'!$B$1:$AI$720,MATCH(AD$2,'Tillförd energi'!$B$1:$AQ$1,0),FALSE)</f>
        <v>0</v>
      </c>
      <c r="AE155" s="63">
        <f>VLOOKUP($B155,'Tillförd energi'!$B$1:$AI$720,MATCH(AE$2,'Tillförd energi'!$B$1:$AQ$1,0),FALSE)</f>
        <v>0</v>
      </c>
      <c r="AF155" s="63">
        <f>VLOOKUP($B155,'Tillförd energi'!$B$1:$AI$720,MATCH(AF$2,'Tillförd energi'!$B$1:$AQ$1,0),FALSE)</f>
        <v>0.17799999999999999</v>
      </c>
      <c r="AG155" s="63">
        <f>IFERROR(VLOOKUP(B155,Miljö!$B$1:$AC$550,MATCH("Köpt mängd produktionsspecifik fjärrvärme:",Miljö!$B$1:$AC$1,0),FALSE)/1,0)</f>
        <v>0</v>
      </c>
      <c r="AI155" s="63">
        <f t="shared" si="12"/>
        <v>9.5590000000000011</v>
      </c>
      <c r="AJ155" s="63">
        <f>IF(ISERROR(1/VLOOKUP($B155,Leveranser!$B$1:$S$500,MATCH("såld värme (gwh)",Leveranser!$B$1:$S$1,0),FALSE)),"",VLOOKUP($B155,Leveranser!$B$1:$S$500,MATCH("såld värme (gwh)",Leveranser!$B$1:$S$1,0),FALSE))</f>
        <v>7.13</v>
      </c>
      <c r="AM155" s="63" t="str">
        <f>IF(B155&lt;&gt;"",IF(VLOOKUP($B155,Totalt!$B$1:$AQ$554,MATCH("Kvalitetsgranskad:",Totalt!$B$1:$AQ$1,0),FALSE)="ja",VLOOKUP($B155,Miljö!$B$1:$AG$479,MATCH(AM$2,Miljö!$B$1:$AK$1,0),FALSE),""),"")</f>
        <v>Ja</v>
      </c>
      <c r="AN155" s="63" t="str">
        <f>IF(AM155="ja",VLOOKUP($B155,Miljö!$B$1:$J$479,MATCH("Typ av ursprungsspecificerad el   (Om inget värde anges används Nordisk residualmix, se inforuta) ()",Miljö!$B$1:$J$1,0),FALSE),IF(AM155="nej","Nordisk residualel",""))</f>
        <v>'Vattenkraft'</v>
      </c>
      <c r="AO155" s="63">
        <f>IF(AM155="","",VLOOKUP($B155,Miljö!$B$1:$J$479,MATCH("Fossilandel för ursprungspecificerad el ()",Miljö!$B$1:$J$1,0),FALSE))</f>
        <v>0</v>
      </c>
      <c r="AQ155" s="63">
        <f t="shared" si="13"/>
        <v>1</v>
      </c>
      <c r="AS155" s="63" t="str">
        <f t="shared" si="14"/>
        <v>Nej</v>
      </c>
      <c r="AT155" s="63" t="str">
        <f>IF(AS155="ja",VLOOKUP($B155,Miljö!$B$1:$P$500,MATCH("Fossil andel i procent (%)",Miljö!$B$1:$P$1,0),FALSE)/100,"")</f>
        <v/>
      </c>
      <c r="AV155" s="63" t="str">
        <f t="shared" si="15"/>
        <v>Nej</v>
      </c>
      <c r="AW155" s="63" t="str">
        <f>IF(AV155="ja",VLOOKUP($B155,'Egen hetvattenprod'!$B$1:$AO$500,MATCH("Värmekälla till värmepumpar ()",'Egen hetvattenprod'!$B$1:$AO$1,0),FALSE),"")</f>
        <v/>
      </c>
      <c r="AY155" s="63" t="str">
        <f t="shared" si="16"/>
        <v>Nej</v>
      </c>
      <c r="AZ155" s="77" t="str">
        <f>IF($AY155="ja",(VLOOKUP($B155,'Egen hetvattenprod'!$B$1:$BX$550,MATCH(AZ$2,'Egen hetvattenprod'!$B$1:$BX$1,0),FALSE)+VLOOKUP($B155,Kraftvärmeprod!$B$1:$BX$550,MATCH(AZ$2,Kraftvärmeprod!$B$1:$BX$1,0),FALSE))/$AC155,"")</f>
        <v/>
      </c>
      <c r="BA155" s="77" t="str">
        <f>IF($AY155="ja",(VLOOKUP($B155,'Egen hetvattenprod'!$B$1:$BX$550,MATCH(BA$2,'Egen hetvattenprod'!$B$1:$BX$1,0),FALSE)+VLOOKUP($B155,Kraftvärmeprod!$B$1:$BX$550,MATCH(BA$2,Kraftvärmeprod!$B$1:$BX$1,0),FALSE))/$AC155,"")</f>
        <v/>
      </c>
      <c r="BB155" s="77" t="str">
        <f>IF($AY155="ja",(VLOOKUP($B155,'Egen hetvattenprod'!$B$1:$BX$550,MATCH(BB$2,'Egen hetvattenprod'!$B$1:$BX$1,0),FALSE)+VLOOKUP($B155,Kraftvärmeprod!$B$1:$BX$550,MATCH(BB$2,Kraftvärmeprod!$B$1:$BX$1,0),FALSE))/$AC155,"")</f>
        <v/>
      </c>
      <c r="BC155" s="77" t="str">
        <f>IF($AY155="ja",(VLOOKUP($B155,'Egen hetvattenprod'!$B$1:$BX$550,MATCH(BC$2,'Egen hetvattenprod'!$B$1:$BX$1,0),FALSE)+VLOOKUP($B155,Kraftvärmeprod!$B$1:$BX$550,MATCH(BC$2,Kraftvärmeprod!$B$1:$BX$1,0),FALSE))/$AC155,"")</f>
        <v/>
      </c>
      <c r="BD155" s="77" t="str">
        <f>IF($AY155="ja",(VLOOKUP($B155,'Egen hetvattenprod'!$B$1:$BX$550,MATCH(BD$2,'Egen hetvattenprod'!$B$1:$BX$1,0),FALSE)+VLOOKUP($B155,Kraftvärmeprod!$B$1:$BX$550,MATCH(BD$2,Kraftvärmeprod!$B$1:$BX$1,0),FALSE))/$AC155,"")</f>
        <v/>
      </c>
      <c r="BF155" s="63" t="str">
        <f t="shared" si="17"/>
        <v>Nej</v>
      </c>
      <c r="BG155" s="63" t="str">
        <f>IF($BF155="ja",VLOOKUP($B155,'Egen hetvattenprod'!$B$1:$BX$550,MATCH("Andelen klimatgaser med fossilt ursprung för avfall ()",'Egen hetvattenprod'!$B$1:$BX$1,0),FALSE),"")</f>
        <v/>
      </c>
      <c r="BH155" s="63" t="str">
        <f>IF($BF155="ja",VLOOKUP($B155,Kraftvärmeprod!$B$1:$BX$550,MATCH("Andelen klimatgaser med fossilt ursprung för avfall ()",Kraftvärmeprod!$B$1:$BX$1,0),FALSE),"")</f>
        <v/>
      </c>
      <c r="BI155" s="63" t="str">
        <f>IF($BF155="ja",VLOOKUP($B155,'Egen hetvattenprod'!$B$1:$BX$550,MATCH("Avfall (GWh)",'Egen hetvattenprod'!$B$1:$BX$1,0),FALSE),"")</f>
        <v/>
      </c>
      <c r="BJ155" s="63" t="str">
        <f>IF($BF155="ja",VLOOKUP($B155,'Slutlig allokering kvv'!$B$1:$BX$550,MATCH("Avfall (GWh)",'Slutlig allokering kvv'!$B$1:$BX$1,0),FALSE),"")</f>
        <v/>
      </c>
      <c r="BK155" s="63" t="str">
        <f>IF($BF155="ja",VLOOKUP($B155,'Köpt hetvatten'!$B$1:$BX$550,MATCH("Avfall i köpt hetvatten",'Köpt hetvatten'!$B$1:$BX$1,0),FALSE),"")</f>
        <v/>
      </c>
      <c r="BL155" s="63" t="str">
        <f>IF($BF155="ja",VLOOKUP($B155,'Egen hetvattenprod'!$B$1:$BX$550,MATCH("Värde enligt ovan. (%)",'Egen hetvattenprod'!$B$1:$BX$1,0),FALSE),"")</f>
        <v/>
      </c>
      <c r="BM155" s="63" t="str">
        <f>IF($BF155="ja",VLOOKUP($B155,Kraftvärmeprod!$B$1:$BX$550,MATCH("Värde enligt ovan. (%)",Kraftvärmeprod!$B$1:$BX$1,0),FALSE),"")</f>
        <v/>
      </c>
    </row>
    <row r="156" spans="1:65" x14ac:dyDescent="0.45">
      <c r="A156" s="63" t="s">
        <v>478</v>
      </c>
      <c r="B156" s="63" t="s">
        <v>477</v>
      </c>
      <c r="C156" s="63">
        <f>VLOOKUP($B156,'Tillförd energi'!$B$1:$AI$720,MATCH(C$2,'Tillförd energi'!$B$1:$AQ$1,0),FALSE)</f>
        <v>0</v>
      </c>
      <c r="D156" s="63">
        <f>VLOOKUP($B156,'Tillförd energi'!$B$1:$AI$720,MATCH(D$2,'Tillförd energi'!$B$1:$AQ$1,0),FALSE)</f>
        <v>0.41976000000000002</v>
      </c>
      <c r="E156" s="63">
        <f>VLOOKUP($B156,'Tillförd energi'!$B$1:$AI$720,MATCH(E$2,'Tillförd energi'!$B$1:$AQ$1,0),FALSE)</f>
        <v>0</v>
      </c>
      <c r="F156" s="63">
        <f>VLOOKUP($B156,'Tillförd energi'!$B$1:$AI$720,MATCH(F$2,'Tillförd energi'!$B$1:$AQ$1,0),FALSE)</f>
        <v>0</v>
      </c>
      <c r="G156" s="63">
        <f>VLOOKUP($B156,'Tillförd energi'!$B$1:$AI$720,MATCH(G$2,'Tillförd energi'!$B$1:$AQ$1,0),FALSE)</f>
        <v>0</v>
      </c>
      <c r="H156" s="63">
        <f>VLOOKUP($B156,'Tillförd energi'!$B$1:$AI$720,MATCH(H$2,'Tillförd energi'!$B$1:$AQ$1,0),FALSE)</f>
        <v>0</v>
      </c>
      <c r="I156" s="63">
        <f>VLOOKUP($B156,'Tillförd energi'!$B$1:$AI$720,MATCH(I$2,'Tillförd energi'!$B$1:$AQ$1,0),FALSE)</f>
        <v>0</v>
      </c>
      <c r="J156" s="63">
        <f>VLOOKUP($B156,'Tillförd energi'!$B$1:$AI$720,MATCH(J$2,'Tillförd energi'!$B$1:$AQ$1,0),FALSE)</f>
        <v>0</v>
      </c>
      <c r="K156" s="63">
        <f>VLOOKUP($B156,'Tillförd energi'!$B$1:$AI$720,MATCH(K$2,'Tillförd energi'!$B$1:$AQ$1,0),FALSE)</f>
        <v>0</v>
      </c>
      <c r="L156" s="63">
        <f>VLOOKUP($B156,'Tillförd energi'!$B$1:$AI$720,MATCH(L$2,'Tillförd energi'!$B$1:$AQ$1,0),FALSE)</f>
        <v>0</v>
      </c>
      <c r="M156" s="63">
        <f>VLOOKUP($B156,'Tillförd energi'!$B$1:$AI$720,MATCH(M$2,'Tillförd energi'!$B$1:$AQ$1,0),FALSE)</f>
        <v>0</v>
      </c>
      <c r="N156" s="63">
        <f>VLOOKUP($B156,'Tillförd energi'!$B$1:$AI$720,MATCH(N$2,'Tillförd energi'!$B$1:$AQ$1,0),FALSE)</f>
        <v>0</v>
      </c>
      <c r="O156" s="63">
        <f>VLOOKUP($B156,'Tillförd energi'!$B$1:$AI$720,MATCH(O$2,'Tillförd energi'!$B$1:$AQ$1,0),FALSE)</f>
        <v>0</v>
      </c>
      <c r="P156" s="63">
        <f>VLOOKUP($B156,'Tillförd energi'!$B$1:$AI$720,MATCH(P$2,'Tillförd energi'!$B$1:$AQ$1,0),FALSE)</f>
        <v>0</v>
      </c>
      <c r="Q156" s="63">
        <f>VLOOKUP($B156,'Tillförd energi'!$B$1:$AI$720,MATCH(Q$2,'Tillförd energi'!$B$1:$AQ$1,0),FALSE)</f>
        <v>0</v>
      </c>
      <c r="R156" s="63">
        <f>VLOOKUP($B156,'Tillförd energi'!$B$1:$AI$720,MATCH(R$2,'Tillförd energi'!$B$1:$AQ$1,0),FALSE)</f>
        <v>3.6198199999999998</v>
      </c>
      <c r="S156" s="63">
        <f>VLOOKUP($B156,'Tillförd energi'!$B$1:$AI$720,MATCH(S$2,'Tillförd energi'!$B$1:$AQ$1,0),FALSE)</f>
        <v>33.264200000000002</v>
      </c>
      <c r="T156" s="63">
        <f>VLOOKUP($B156,'Tillförd energi'!$B$1:$AI$720,MATCH(T$2,'Tillförd energi'!$B$1:$AQ$1,0),FALSE)</f>
        <v>0</v>
      </c>
      <c r="U156" s="63">
        <f>VLOOKUP($B156,'Tillförd energi'!$B$1:$AI$720,MATCH(U$2,'Tillförd energi'!$B$1:$AQ$1,0),FALSE)</f>
        <v>0</v>
      </c>
      <c r="V156" s="63">
        <f>VLOOKUP($B156,'Tillförd energi'!$B$1:$AI$720,MATCH(V$2,'Tillförd energi'!$B$1:$AQ$1,0),FALSE)</f>
        <v>0</v>
      </c>
      <c r="W156" s="63">
        <f>VLOOKUP($B156,'Tillförd energi'!$B$1:$AI$720,MATCH(W$2,'Tillförd energi'!$B$1:$AQ$1,0),FALSE)</f>
        <v>0</v>
      </c>
      <c r="X156" s="63">
        <f>VLOOKUP($B156,'Tillförd energi'!$B$1:$AI$720,MATCH(X$2,'Tillförd energi'!$B$1:$AQ$1,0),FALSE)</f>
        <v>0</v>
      </c>
      <c r="Y156" s="63">
        <f>VLOOKUP($B156,'Tillförd energi'!$B$1:$AI$720,MATCH(Y$2,'Tillförd energi'!$B$1:$AQ$1,0),FALSE)</f>
        <v>0</v>
      </c>
      <c r="Z156" s="63">
        <f>VLOOKUP($B156,'Tillförd energi'!$B$1:$AI$720,MATCH(Z$2,'Tillförd energi'!$B$1:$AQ$1,0),FALSE)</f>
        <v>0</v>
      </c>
      <c r="AA156" s="63">
        <f>VLOOKUP($B156,'Tillförd energi'!$B$1:$AI$720,MATCH(AA$2,'Tillförd energi'!$B$1:$AQ$1,0),FALSE)</f>
        <v>0</v>
      </c>
      <c r="AB156" s="63">
        <f>VLOOKUP($B156,'Tillförd energi'!$B$1:$AI$720,MATCH(AB$2,'Tillförd energi'!$B$1:$AQ$1,0),FALSE)</f>
        <v>0</v>
      </c>
      <c r="AC156" s="63">
        <f>VLOOKUP($B156,'Tillförd energi'!$B$1:$AI$720,MATCH(AC$2,'Tillförd energi'!$B$1:$AQ$1,0),FALSE)</f>
        <v>0</v>
      </c>
      <c r="AD156" s="63">
        <f>VLOOKUP($B156,'Tillförd energi'!$B$1:$AI$720,MATCH(AD$2,'Tillförd energi'!$B$1:$AQ$1,0),FALSE)</f>
        <v>0</v>
      </c>
      <c r="AE156" s="63">
        <f>VLOOKUP($B156,'Tillförd energi'!$B$1:$AI$720,MATCH(AE$2,'Tillförd energi'!$B$1:$AQ$1,0),FALSE)</f>
        <v>0</v>
      </c>
      <c r="AF156" s="63">
        <f>VLOOKUP($B156,'Tillförd energi'!$B$1:$AI$720,MATCH(AF$2,'Tillförd energi'!$B$1:$AQ$1,0),FALSE)</f>
        <v>0.46800000000000003</v>
      </c>
      <c r="AG156" s="63">
        <f>IFERROR(VLOOKUP(B156,Miljö!$B$1:$AC$550,MATCH("Köpt mängd produktionsspecifik fjärrvärme:",Miljö!$B$1:$AC$1,0),FALSE)/1,0)</f>
        <v>0</v>
      </c>
      <c r="AI156" s="63">
        <f t="shared" si="12"/>
        <v>37.771780000000007</v>
      </c>
      <c r="AJ156" s="63">
        <f>IF(ISERROR(1/VLOOKUP($B156,Leveranser!$B$1:$S$500,MATCH("såld värme (gwh)",Leveranser!$B$1:$S$1,0),FALSE)),"",VLOOKUP($B156,Leveranser!$B$1:$S$500,MATCH("såld värme (gwh)",Leveranser!$B$1:$S$1,0),FALSE))</f>
        <v>26.231999999999999</v>
      </c>
      <c r="AM156" s="63" t="str">
        <f>IF(B156&lt;&gt;"",IF(VLOOKUP($B156,Totalt!$B$1:$AQ$554,MATCH("Kvalitetsgranskad:",Totalt!$B$1:$AQ$1,0),FALSE)="ja",VLOOKUP($B156,Miljö!$B$1:$AG$479,MATCH(AM$2,Miljö!$B$1:$AK$1,0),FALSE),""),"")</f>
        <v>Ja</v>
      </c>
      <c r="AN156" s="63" t="str">
        <f>IF(AM156="ja",VLOOKUP($B156,Miljö!$B$1:$J$479,MATCH("Typ av ursprungsspecificerad el   (Om inget värde anges används Nordisk residualmix, se inforuta) ()",Miljö!$B$1:$J$1,0),FALSE),IF(AM156="nej","Nordisk residualel",""))</f>
        <v>'100% Förnyelsebar'</v>
      </c>
      <c r="AO156" s="63">
        <f>IF(AM156="","",VLOOKUP($B156,Miljö!$B$1:$J$479,MATCH("Fossilandel för ursprungspecificerad el ()",Miljö!$B$1:$J$1,0),FALSE))</f>
        <v>0</v>
      </c>
      <c r="AQ156" s="63">
        <f t="shared" si="13"/>
        <v>1</v>
      </c>
      <c r="AS156" s="63" t="str">
        <f t="shared" si="14"/>
        <v>Nej</v>
      </c>
      <c r="AT156" s="63" t="str">
        <f>IF(AS156="ja",VLOOKUP($B156,Miljö!$B$1:$P$500,MATCH("Fossil andel i procent (%)",Miljö!$B$1:$P$1,0),FALSE)/100,"")</f>
        <v/>
      </c>
      <c r="AV156" s="63" t="str">
        <f t="shared" si="15"/>
        <v>Nej</v>
      </c>
      <c r="AW156" s="63" t="str">
        <f>IF(AV156="ja",VLOOKUP($B156,'Egen hetvattenprod'!$B$1:$AO$500,MATCH("Värmekälla till värmepumpar ()",'Egen hetvattenprod'!$B$1:$AO$1,0),FALSE),"")</f>
        <v/>
      </c>
      <c r="AY156" s="63" t="str">
        <f t="shared" si="16"/>
        <v>Nej</v>
      </c>
      <c r="AZ156" s="77" t="str">
        <f>IF($AY156="ja",(VLOOKUP($B156,'Egen hetvattenprod'!$B$1:$BX$550,MATCH(AZ$2,'Egen hetvattenprod'!$B$1:$BX$1,0),FALSE)+VLOOKUP($B156,Kraftvärmeprod!$B$1:$BX$550,MATCH(AZ$2,Kraftvärmeprod!$B$1:$BX$1,0),FALSE))/$AC156,"")</f>
        <v/>
      </c>
      <c r="BA156" s="77" t="str">
        <f>IF($AY156="ja",(VLOOKUP($B156,'Egen hetvattenprod'!$B$1:$BX$550,MATCH(BA$2,'Egen hetvattenprod'!$B$1:$BX$1,0),FALSE)+VLOOKUP($B156,Kraftvärmeprod!$B$1:$BX$550,MATCH(BA$2,Kraftvärmeprod!$B$1:$BX$1,0),FALSE))/$AC156,"")</f>
        <v/>
      </c>
      <c r="BB156" s="77" t="str">
        <f>IF($AY156="ja",(VLOOKUP($B156,'Egen hetvattenprod'!$B$1:$BX$550,MATCH(BB$2,'Egen hetvattenprod'!$B$1:$BX$1,0),FALSE)+VLOOKUP($B156,Kraftvärmeprod!$B$1:$BX$550,MATCH(BB$2,Kraftvärmeprod!$B$1:$BX$1,0),FALSE))/$AC156,"")</f>
        <v/>
      </c>
      <c r="BC156" s="77" t="str">
        <f>IF($AY156="ja",(VLOOKUP($B156,'Egen hetvattenprod'!$B$1:$BX$550,MATCH(BC$2,'Egen hetvattenprod'!$B$1:$BX$1,0),FALSE)+VLOOKUP($B156,Kraftvärmeprod!$B$1:$BX$550,MATCH(BC$2,Kraftvärmeprod!$B$1:$BX$1,0),FALSE))/$AC156,"")</f>
        <v/>
      </c>
      <c r="BD156" s="77" t="str">
        <f>IF($AY156="ja",(VLOOKUP($B156,'Egen hetvattenprod'!$B$1:$BX$550,MATCH(BD$2,'Egen hetvattenprod'!$B$1:$BX$1,0),FALSE)+VLOOKUP($B156,Kraftvärmeprod!$B$1:$BX$550,MATCH(BD$2,Kraftvärmeprod!$B$1:$BX$1,0),FALSE))/$AC156,"")</f>
        <v/>
      </c>
      <c r="BF156" s="63" t="str">
        <f t="shared" si="17"/>
        <v>Nej</v>
      </c>
      <c r="BG156" s="63" t="str">
        <f>IF($BF156="ja",VLOOKUP($B156,'Egen hetvattenprod'!$B$1:$BX$550,MATCH("Andelen klimatgaser med fossilt ursprung för avfall ()",'Egen hetvattenprod'!$B$1:$BX$1,0),FALSE),"")</f>
        <v/>
      </c>
      <c r="BH156" s="63" t="str">
        <f>IF($BF156="ja",VLOOKUP($B156,Kraftvärmeprod!$B$1:$BX$550,MATCH("Andelen klimatgaser med fossilt ursprung för avfall ()",Kraftvärmeprod!$B$1:$BX$1,0),FALSE),"")</f>
        <v/>
      </c>
      <c r="BI156" s="63" t="str">
        <f>IF($BF156="ja",VLOOKUP($B156,'Egen hetvattenprod'!$B$1:$BX$550,MATCH("Avfall (GWh)",'Egen hetvattenprod'!$B$1:$BX$1,0),FALSE),"")</f>
        <v/>
      </c>
      <c r="BJ156" s="63" t="str">
        <f>IF($BF156="ja",VLOOKUP($B156,'Slutlig allokering kvv'!$B$1:$BX$550,MATCH("Avfall (GWh)",'Slutlig allokering kvv'!$B$1:$BX$1,0),FALSE),"")</f>
        <v/>
      </c>
      <c r="BK156" s="63" t="str">
        <f>IF($BF156="ja",VLOOKUP($B156,'Köpt hetvatten'!$B$1:$BX$550,MATCH("Avfall i köpt hetvatten",'Köpt hetvatten'!$B$1:$BX$1,0),FALSE),"")</f>
        <v/>
      </c>
      <c r="BL156" s="63" t="str">
        <f>IF($BF156="ja",VLOOKUP($B156,'Egen hetvattenprod'!$B$1:$BX$550,MATCH("Värde enligt ovan. (%)",'Egen hetvattenprod'!$B$1:$BX$1,0),FALSE),"")</f>
        <v/>
      </c>
      <c r="BM156" s="63" t="str">
        <f>IF($BF156="ja",VLOOKUP($B156,Kraftvärmeprod!$B$1:$BX$550,MATCH("Värde enligt ovan. (%)",Kraftvärmeprod!$B$1:$BX$1,0),FALSE),"")</f>
        <v/>
      </c>
    </row>
    <row r="157" spans="1:65" x14ac:dyDescent="0.45">
      <c r="A157" s="63" t="s">
        <v>476</v>
      </c>
      <c r="B157" s="63" t="s">
        <v>89</v>
      </c>
      <c r="C157" s="63">
        <f>VLOOKUP($B157,'Tillförd energi'!$B$1:$AI$720,MATCH(C$2,'Tillförd energi'!$B$1:$AQ$1,0),FALSE)</f>
        <v>0</v>
      </c>
      <c r="D157" s="63">
        <f>VLOOKUP($B157,'Tillförd energi'!$B$1:$AI$720,MATCH(D$2,'Tillförd energi'!$B$1:$AQ$1,0),FALSE)</f>
        <v>0</v>
      </c>
      <c r="E157" s="63">
        <f>VLOOKUP($B157,'Tillförd energi'!$B$1:$AI$720,MATCH(E$2,'Tillförd energi'!$B$1:$AQ$1,0),FALSE)</f>
        <v>0</v>
      </c>
      <c r="F157" s="63">
        <f>VLOOKUP($B157,'Tillförd energi'!$B$1:$AI$720,MATCH(F$2,'Tillförd energi'!$B$1:$AQ$1,0),FALSE)</f>
        <v>0</v>
      </c>
      <c r="G157" s="63">
        <f>VLOOKUP($B157,'Tillförd energi'!$B$1:$AI$720,MATCH(G$2,'Tillförd energi'!$B$1:$AQ$1,0),FALSE)</f>
        <v>0</v>
      </c>
      <c r="H157" s="63">
        <f>VLOOKUP($B157,'Tillförd energi'!$B$1:$AI$720,MATCH(H$2,'Tillförd energi'!$B$1:$AQ$1,0),FALSE)</f>
        <v>0</v>
      </c>
      <c r="I157" s="63">
        <f>VLOOKUP($B157,'Tillförd energi'!$B$1:$AI$720,MATCH(I$2,'Tillförd energi'!$B$1:$AQ$1,0),FALSE)</f>
        <v>0</v>
      </c>
      <c r="J157" s="63">
        <f>VLOOKUP($B157,'Tillförd energi'!$B$1:$AI$720,MATCH(J$2,'Tillförd energi'!$B$1:$AQ$1,0),FALSE)</f>
        <v>0</v>
      </c>
      <c r="K157" s="63">
        <f>VLOOKUP($B157,'Tillförd energi'!$B$1:$AI$720,MATCH(K$2,'Tillförd energi'!$B$1:$AQ$1,0),FALSE)</f>
        <v>0</v>
      </c>
      <c r="L157" s="63">
        <f>VLOOKUP($B157,'Tillförd energi'!$B$1:$AI$720,MATCH(L$2,'Tillförd energi'!$B$1:$AQ$1,0),FALSE)</f>
        <v>0</v>
      </c>
      <c r="M157" s="63">
        <f>VLOOKUP($B157,'Tillförd energi'!$B$1:$AI$720,MATCH(M$2,'Tillförd energi'!$B$1:$AQ$1,0),FALSE)</f>
        <v>0</v>
      </c>
      <c r="N157" s="63">
        <f>VLOOKUP($B157,'Tillförd energi'!$B$1:$AI$720,MATCH(N$2,'Tillförd energi'!$B$1:$AQ$1,0),FALSE)</f>
        <v>0</v>
      </c>
      <c r="O157" s="63">
        <f>VLOOKUP($B157,'Tillförd energi'!$B$1:$AI$720,MATCH(O$2,'Tillförd energi'!$B$1:$AQ$1,0),FALSE)</f>
        <v>0</v>
      </c>
      <c r="P157" s="63">
        <f>VLOOKUP($B157,'Tillförd energi'!$B$1:$AI$720,MATCH(P$2,'Tillförd energi'!$B$1:$AQ$1,0),FALSE)</f>
        <v>0</v>
      </c>
      <c r="Q157" s="63">
        <f>VLOOKUP($B157,'Tillförd energi'!$B$1:$AI$720,MATCH(Q$2,'Tillförd energi'!$B$1:$AQ$1,0),FALSE)</f>
        <v>0</v>
      </c>
      <c r="R157" s="63">
        <f>VLOOKUP($B157,'Tillförd energi'!$B$1:$AI$720,MATCH(R$2,'Tillförd energi'!$B$1:$AQ$1,0),FALSE)</f>
        <v>0</v>
      </c>
      <c r="S157" s="63">
        <f>VLOOKUP($B157,'Tillförd energi'!$B$1:$AI$720,MATCH(S$2,'Tillförd energi'!$B$1:$AQ$1,0),FALSE)</f>
        <v>0</v>
      </c>
      <c r="T157" s="63">
        <f>VLOOKUP($B157,'Tillförd energi'!$B$1:$AI$720,MATCH(T$2,'Tillförd energi'!$B$1:$AQ$1,0),FALSE)</f>
        <v>0</v>
      </c>
      <c r="U157" s="63">
        <f>VLOOKUP($B157,'Tillförd energi'!$B$1:$AI$720,MATCH(U$2,'Tillförd energi'!$B$1:$AQ$1,0),FALSE)</f>
        <v>0</v>
      </c>
      <c r="V157" s="63">
        <f>VLOOKUP($B157,'Tillförd energi'!$B$1:$AI$720,MATCH(V$2,'Tillförd energi'!$B$1:$AQ$1,0),FALSE)</f>
        <v>0</v>
      </c>
      <c r="W157" s="63">
        <f>VLOOKUP($B157,'Tillförd energi'!$B$1:$AI$720,MATCH(W$2,'Tillförd energi'!$B$1:$AQ$1,0),FALSE)</f>
        <v>0</v>
      </c>
      <c r="X157" s="63">
        <f>VLOOKUP($B157,'Tillförd energi'!$B$1:$AI$720,MATCH(X$2,'Tillförd energi'!$B$1:$AQ$1,0),FALSE)</f>
        <v>0</v>
      </c>
      <c r="Y157" s="63">
        <f>VLOOKUP($B157,'Tillförd energi'!$B$1:$AI$720,MATCH(Y$2,'Tillförd energi'!$B$1:$AQ$1,0),FALSE)</f>
        <v>0</v>
      </c>
      <c r="Z157" s="63">
        <f>VLOOKUP($B157,'Tillförd energi'!$B$1:$AI$720,MATCH(Z$2,'Tillförd energi'!$B$1:$AQ$1,0),FALSE)</f>
        <v>0</v>
      </c>
      <c r="AA157" s="63">
        <f>VLOOKUP($B157,'Tillförd energi'!$B$1:$AI$720,MATCH(AA$2,'Tillförd energi'!$B$1:$AQ$1,0),FALSE)</f>
        <v>0</v>
      </c>
      <c r="AB157" s="63">
        <f>VLOOKUP($B157,'Tillförd energi'!$B$1:$AI$720,MATCH(AB$2,'Tillförd energi'!$B$1:$AQ$1,0),FALSE)</f>
        <v>0</v>
      </c>
      <c r="AC157" s="63">
        <f>VLOOKUP($B157,'Tillförd energi'!$B$1:$AI$720,MATCH(AC$2,'Tillförd energi'!$B$1:$AQ$1,0),FALSE)</f>
        <v>0</v>
      </c>
      <c r="AD157" s="63">
        <f>VLOOKUP($B157,'Tillförd energi'!$B$1:$AI$720,MATCH(AD$2,'Tillförd energi'!$B$1:$AQ$1,0),FALSE)</f>
        <v>0</v>
      </c>
      <c r="AE157" s="63">
        <f>VLOOKUP($B157,'Tillförd energi'!$B$1:$AI$720,MATCH(AE$2,'Tillförd energi'!$B$1:$AQ$1,0),FALSE)</f>
        <v>0</v>
      </c>
      <c r="AF157" s="63">
        <f>VLOOKUP($B157,'Tillförd energi'!$B$1:$AI$720,MATCH(AF$2,'Tillförd energi'!$B$1:$AQ$1,0),FALSE)</f>
        <v>0</v>
      </c>
      <c r="AG157" s="63">
        <f>IFERROR(VLOOKUP(B157,Miljö!$B$1:$AC$550,MATCH("Köpt mängd produktionsspecifik fjärrvärme:",Miljö!$B$1:$AC$1,0),FALSE)/1,0)</f>
        <v>0</v>
      </c>
      <c r="AI157" s="63">
        <f t="shared" si="12"/>
        <v>0</v>
      </c>
      <c r="AJ157" s="63" t="str">
        <f>IF(ISERROR(1/VLOOKUP($B157,Leveranser!$B$1:$S$500,MATCH("såld värme (gwh)",Leveranser!$B$1:$S$1,0),FALSE)),"",VLOOKUP($B157,Leveranser!$B$1:$S$500,MATCH("såld värme (gwh)",Leveranser!$B$1:$S$1,0),FALSE))</f>
        <v/>
      </c>
      <c r="AM157" s="63" t="str">
        <f>IF(B157&lt;&gt;"",IF(VLOOKUP($B157,Totalt!$B$1:$AQ$554,MATCH("Kvalitetsgranskad:",Totalt!$B$1:$AQ$1,0),FALSE)="ja",VLOOKUP($B157,Miljö!$B$1:$AG$479,MATCH(AM$2,Miljö!$B$1:$AK$1,0),FALSE),""),"")</f>
        <v/>
      </c>
      <c r="AN157" s="63" t="str">
        <f>IF(AM157="ja",VLOOKUP($B157,Miljö!$B$1:$J$479,MATCH("Typ av ursprungsspecificerad el   (Om inget värde anges används Nordisk residualmix, se inforuta) ()",Miljö!$B$1:$J$1,0),FALSE),IF(AM157="nej","Nordisk residualel",""))</f>
        <v/>
      </c>
      <c r="AO157" s="63" t="str">
        <f>IF(AM157="","",VLOOKUP($B157,Miljö!$B$1:$J$479,MATCH("Fossilandel för ursprungspecificerad el ()",Miljö!$B$1:$J$1,0),FALSE))</f>
        <v/>
      </c>
      <c r="AQ157" s="63" t="str">
        <f t="shared" si="13"/>
        <v/>
      </c>
      <c r="AS157" s="63" t="str">
        <f t="shared" si="14"/>
        <v>Nej</v>
      </c>
      <c r="AT157" s="63" t="str">
        <f>IF(AS157="ja",VLOOKUP($B157,Miljö!$B$1:$P$500,MATCH("Fossil andel i procent (%)",Miljö!$B$1:$P$1,0),FALSE)/100,"")</f>
        <v/>
      </c>
      <c r="AV157" s="63" t="str">
        <f t="shared" si="15"/>
        <v>Nej</v>
      </c>
      <c r="AW157" s="63" t="str">
        <f>IF(AV157="ja",VLOOKUP($B157,'Egen hetvattenprod'!$B$1:$AO$500,MATCH("Värmekälla till värmepumpar ()",'Egen hetvattenprod'!$B$1:$AO$1,0),FALSE),"")</f>
        <v/>
      </c>
      <c r="AY157" s="63" t="str">
        <f t="shared" si="16"/>
        <v>Nej</v>
      </c>
      <c r="AZ157" s="77" t="str">
        <f>IF($AY157="ja",(VLOOKUP($B157,'Egen hetvattenprod'!$B$1:$BX$550,MATCH(AZ$2,'Egen hetvattenprod'!$B$1:$BX$1,0),FALSE)+VLOOKUP($B157,Kraftvärmeprod!$B$1:$BX$550,MATCH(AZ$2,Kraftvärmeprod!$B$1:$BX$1,0),FALSE))/$AC157,"")</f>
        <v/>
      </c>
      <c r="BA157" s="77" t="str">
        <f>IF($AY157="ja",(VLOOKUP($B157,'Egen hetvattenprod'!$B$1:$BX$550,MATCH(BA$2,'Egen hetvattenprod'!$B$1:$BX$1,0),FALSE)+VLOOKUP($B157,Kraftvärmeprod!$B$1:$BX$550,MATCH(BA$2,Kraftvärmeprod!$B$1:$BX$1,0),FALSE))/$AC157,"")</f>
        <v/>
      </c>
      <c r="BB157" s="77" t="str">
        <f>IF($AY157="ja",(VLOOKUP($B157,'Egen hetvattenprod'!$B$1:$BX$550,MATCH(BB$2,'Egen hetvattenprod'!$B$1:$BX$1,0),FALSE)+VLOOKUP($B157,Kraftvärmeprod!$B$1:$BX$550,MATCH(BB$2,Kraftvärmeprod!$B$1:$BX$1,0),FALSE))/$AC157,"")</f>
        <v/>
      </c>
      <c r="BC157" s="77" t="str">
        <f>IF($AY157="ja",(VLOOKUP($B157,'Egen hetvattenprod'!$B$1:$BX$550,MATCH(BC$2,'Egen hetvattenprod'!$B$1:$BX$1,0),FALSE)+VLOOKUP($B157,Kraftvärmeprod!$B$1:$BX$550,MATCH(BC$2,Kraftvärmeprod!$B$1:$BX$1,0),FALSE))/$AC157,"")</f>
        <v/>
      </c>
      <c r="BD157" s="77" t="str">
        <f>IF($AY157="ja",(VLOOKUP($B157,'Egen hetvattenprod'!$B$1:$BX$550,MATCH(BD$2,'Egen hetvattenprod'!$B$1:$BX$1,0),FALSE)+VLOOKUP($B157,Kraftvärmeprod!$B$1:$BX$550,MATCH(BD$2,Kraftvärmeprod!$B$1:$BX$1,0),FALSE))/$AC157,"")</f>
        <v/>
      </c>
      <c r="BF157" s="63" t="str">
        <f t="shared" si="17"/>
        <v>Nej</v>
      </c>
      <c r="BG157" s="63" t="str">
        <f>IF($BF157="ja",VLOOKUP($B157,'Egen hetvattenprod'!$B$1:$BX$550,MATCH("Andelen klimatgaser med fossilt ursprung för avfall ()",'Egen hetvattenprod'!$B$1:$BX$1,0),FALSE),"")</f>
        <v/>
      </c>
      <c r="BH157" s="63" t="str">
        <f>IF($BF157="ja",VLOOKUP($B157,Kraftvärmeprod!$B$1:$BX$550,MATCH("Andelen klimatgaser med fossilt ursprung för avfall ()",Kraftvärmeprod!$B$1:$BX$1,0),FALSE),"")</f>
        <v/>
      </c>
      <c r="BI157" s="63" t="str">
        <f>IF($BF157="ja",VLOOKUP($B157,'Egen hetvattenprod'!$B$1:$BX$550,MATCH("Avfall (GWh)",'Egen hetvattenprod'!$B$1:$BX$1,0),FALSE),"")</f>
        <v/>
      </c>
      <c r="BJ157" s="63" t="str">
        <f>IF($BF157="ja",VLOOKUP($B157,'Slutlig allokering kvv'!$B$1:$BX$550,MATCH("Avfall (GWh)",'Slutlig allokering kvv'!$B$1:$BX$1,0),FALSE),"")</f>
        <v/>
      </c>
      <c r="BK157" s="63" t="str">
        <f>IF($BF157="ja",VLOOKUP($B157,'Köpt hetvatten'!$B$1:$BX$550,MATCH("Avfall i köpt hetvatten",'Köpt hetvatten'!$B$1:$BX$1,0),FALSE),"")</f>
        <v/>
      </c>
      <c r="BL157" s="63" t="str">
        <f>IF($BF157="ja",VLOOKUP($B157,'Egen hetvattenprod'!$B$1:$BX$550,MATCH("Värde enligt ovan. (%)",'Egen hetvattenprod'!$B$1:$BX$1,0),FALSE),"")</f>
        <v/>
      </c>
      <c r="BM157" s="63" t="str">
        <f>IF($BF157="ja",VLOOKUP($B157,Kraftvärmeprod!$B$1:$BX$550,MATCH("Värde enligt ovan. (%)",Kraftvärmeprod!$B$1:$BX$1,0),FALSE),"")</f>
        <v/>
      </c>
    </row>
    <row r="158" spans="1:65" x14ac:dyDescent="0.45">
      <c r="A158" s="63" t="s">
        <v>472</v>
      </c>
      <c r="B158" s="63" t="s">
        <v>475</v>
      </c>
      <c r="C158" s="63">
        <f>VLOOKUP($B158,'Tillförd energi'!$B$1:$AI$720,MATCH(C$2,'Tillförd energi'!$B$1:$AQ$1,0),FALSE)</f>
        <v>0</v>
      </c>
      <c r="D158" s="63">
        <f>VLOOKUP($B158,'Tillförd energi'!$B$1:$AI$720,MATCH(D$2,'Tillförd energi'!$B$1:$AQ$1,0),FALSE)</f>
        <v>0.51600000000000001</v>
      </c>
      <c r="E158" s="63">
        <f>VLOOKUP($B158,'Tillförd energi'!$B$1:$AI$720,MATCH(E$2,'Tillförd energi'!$B$1:$AQ$1,0),FALSE)</f>
        <v>0</v>
      </c>
      <c r="F158" s="63">
        <f>VLOOKUP($B158,'Tillförd energi'!$B$1:$AI$720,MATCH(F$2,'Tillförd energi'!$B$1:$AQ$1,0),FALSE)</f>
        <v>0</v>
      </c>
      <c r="G158" s="63">
        <f>VLOOKUP($B158,'Tillförd energi'!$B$1:$AI$720,MATCH(G$2,'Tillförd energi'!$B$1:$AQ$1,0),FALSE)</f>
        <v>0</v>
      </c>
      <c r="H158" s="63">
        <f>VLOOKUP($B158,'Tillförd energi'!$B$1:$AI$720,MATCH(H$2,'Tillförd energi'!$B$1:$AQ$1,0),FALSE)</f>
        <v>0</v>
      </c>
      <c r="I158" s="63">
        <f>VLOOKUP($B158,'Tillförd energi'!$B$1:$AI$720,MATCH(I$2,'Tillförd energi'!$B$1:$AQ$1,0),FALSE)</f>
        <v>0</v>
      </c>
      <c r="J158" s="63">
        <f>VLOOKUP($B158,'Tillförd energi'!$B$1:$AI$720,MATCH(J$2,'Tillförd energi'!$B$1:$AQ$1,0),FALSE)</f>
        <v>0</v>
      </c>
      <c r="K158" s="63">
        <f>VLOOKUP($B158,'Tillförd energi'!$B$1:$AI$720,MATCH(K$2,'Tillförd energi'!$B$1:$AQ$1,0),FALSE)</f>
        <v>0</v>
      </c>
      <c r="L158" s="63">
        <f>VLOOKUP($B158,'Tillförd energi'!$B$1:$AI$720,MATCH(L$2,'Tillförd energi'!$B$1:$AQ$1,0),FALSE)</f>
        <v>0</v>
      </c>
      <c r="M158" s="63">
        <f>VLOOKUP($B158,'Tillförd energi'!$B$1:$AI$720,MATCH(M$2,'Tillförd energi'!$B$1:$AQ$1,0),FALSE)</f>
        <v>0</v>
      </c>
      <c r="N158" s="63">
        <f>VLOOKUP($B158,'Tillförd energi'!$B$1:$AI$720,MATCH(N$2,'Tillförd energi'!$B$1:$AQ$1,0),FALSE)</f>
        <v>0</v>
      </c>
      <c r="O158" s="63">
        <f>VLOOKUP($B158,'Tillförd energi'!$B$1:$AI$720,MATCH(O$2,'Tillförd energi'!$B$1:$AQ$1,0),FALSE)</f>
        <v>0</v>
      </c>
      <c r="P158" s="63">
        <f>VLOOKUP($B158,'Tillförd energi'!$B$1:$AI$720,MATCH(P$2,'Tillförd energi'!$B$1:$AQ$1,0),FALSE)</f>
        <v>7.82</v>
      </c>
      <c r="Q158" s="63">
        <f>VLOOKUP($B158,'Tillförd energi'!$B$1:$AI$720,MATCH(Q$2,'Tillförd energi'!$B$1:$AQ$1,0),FALSE)</f>
        <v>0</v>
      </c>
      <c r="R158" s="63">
        <f>VLOOKUP($B158,'Tillförd energi'!$B$1:$AI$720,MATCH(R$2,'Tillförd energi'!$B$1:$AQ$1,0),FALSE)</f>
        <v>0</v>
      </c>
      <c r="S158" s="63">
        <f>VLOOKUP($B158,'Tillförd energi'!$B$1:$AI$720,MATCH(S$2,'Tillförd energi'!$B$1:$AQ$1,0),FALSE)</f>
        <v>0</v>
      </c>
      <c r="T158" s="63">
        <f>VLOOKUP($B158,'Tillförd energi'!$B$1:$AI$720,MATCH(T$2,'Tillförd energi'!$B$1:$AQ$1,0),FALSE)</f>
        <v>0</v>
      </c>
      <c r="U158" s="63">
        <f>VLOOKUP($B158,'Tillförd energi'!$B$1:$AI$720,MATCH(U$2,'Tillförd energi'!$B$1:$AQ$1,0),FALSE)</f>
        <v>0</v>
      </c>
      <c r="V158" s="63">
        <f>VLOOKUP($B158,'Tillförd energi'!$B$1:$AI$720,MATCH(V$2,'Tillförd energi'!$B$1:$AQ$1,0),FALSE)</f>
        <v>0</v>
      </c>
      <c r="W158" s="63">
        <f>VLOOKUP($B158,'Tillförd energi'!$B$1:$AI$720,MATCH(W$2,'Tillförd energi'!$B$1:$AQ$1,0),FALSE)</f>
        <v>0</v>
      </c>
      <c r="X158" s="63">
        <f>VLOOKUP($B158,'Tillförd energi'!$B$1:$AI$720,MATCH(X$2,'Tillförd energi'!$B$1:$AQ$1,0),FALSE)</f>
        <v>0</v>
      </c>
      <c r="Y158" s="63">
        <f>VLOOKUP($B158,'Tillförd energi'!$B$1:$AI$720,MATCH(Y$2,'Tillförd energi'!$B$1:$AQ$1,0),FALSE)</f>
        <v>0</v>
      </c>
      <c r="Z158" s="63">
        <f>VLOOKUP($B158,'Tillförd energi'!$B$1:$AI$720,MATCH(Z$2,'Tillförd energi'!$B$1:$AQ$1,0),FALSE)</f>
        <v>0</v>
      </c>
      <c r="AA158" s="63">
        <f>VLOOKUP($B158,'Tillförd energi'!$B$1:$AI$720,MATCH(AA$2,'Tillförd energi'!$B$1:$AQ$1,0),FALSE)</f>
        <v>0</v>
      </c>
      <c r="AB158" s="63">
        <f>VLOOKUP($B158,'Tillförd energi'!$B$1:$AI$720,MATCH(AB$2,'Tillförd energi'!$B$1:$AQ$1,0),FALSE)</f>
        <v>0</v>
      </c>
      <c r="AC158" s="63">
        <f>VLOOKUP($B158,'Tillförd energi'!$B$1:$AI$720,MATCH(AC$2,'Tillförd energi'!$B$1:$AQ$1,0),FALSE)</f>
        <v>0</v>
      </c>
      <c r="AD158" s="63">
        <f>VLOOKUP($B158,'Tillförd energi'!$B$1:$AI$720,MATCH(AD$2,'Tillförd energi'!$B$1:$AQ$1,0),FALSE)</f>
        <v>0</v>
      </c>
      <c r="AE158" s="63">
        <f>VLOOKUP($B158,'Tillförd energi'!$B$1:$AI$720,MATCH(AE$2,'Tillförd energi'!$B$1:$AQ$1,0),FALSE)</f>
        <v>0</v>
      </c>
      <c r="AF158" s="63">
        <f>VLOOKUP($B158,'Tillförd energi'!$B$1:$AI$720,MATCH(AF$2,'Tillförd energi'!$B$1:$AQ$1,0),FALSE)</f>
        <v>0.17199999999999999</v>
      </c>
      <c r="AG158" s="63">
        <f>IFERROR(VLOOKUP(B158,Miljö!$B$1:$AC$550,MATCH("Köpt mängd produktionsspecifik fjärrvärme:",Miljö!$B$1:$AC$1,0),FALSE)/1,0)</f>
        <v>0</v>
      </c>
      <c r="AI158" s="63">
        <f t="shared" si="12"/>
        <v>8.5080000000000009</v>
      </c>
      <c r="AJ158" s="63">
        <f>IF(ISERROR(1/VLOOKUP($B158,Leveranser!$B$1:$S$500,MATCH("såld värme (gwh)",Leveranser!$B$1:$S$1,0),FALSE)),"",VLOOKUP($B158,Leveranser!$B$1:$S$500,MATCH("såld värme (gwh)",Leveranser!$B$1:$S$1,0),FALSE))</f>
        <v>7.47</v>
      </c>
      <c r="AM158" s="63" t="str">
        <f>IF(B158&lt;&gt;"",IF(VLOOKUP($B158,Totalt!$B$1:$AQ$554,MATCH("Kvalitetsgranskad:",Totalt!$B$1:$AQ$1,0),FALSE)="ja",VLOOKUP($B158,Miljö!$B$1:$AG$479,MATCH(AM$2,Miljö!$B$1:$AK$1,0),FALSE),""),"")</f>
        <v>Ja</v>
      </c>
      <c r="AN158" s="63" t="str">
        <f>IF(AM158="ja",VLOOKUP($B158,Miljö!$B$1:$J$479,MATCH("Typ av ursprungsspecificerad el   (Om inget värde anges används Nordisk residualmix, se inforuta) ()",Miljö!$B$1:$J$1,0),FALSE),IF(AM158="nej","Nordisk residualel",""))</f>
        <v>'Vattenkraft'</v>
      </c>
      <c r="AO158" s="63">
        <f>IF(AM158="","",VLOOKUP($B158,Miljö!$B$1:$J$479,MATCH("Fossilandel för ursprungspecificerad el ()",Miljö!$B$1:$J$1,0),FALSE))</f>
        <v>0</v>
      </c>
      <c r="AQ158" s="63">
        <f t="shared" si="13"/>
        <v>1</v>
      </c>
      <c r="AS158" s="63" t="str">
        <f t="shared" si="14"/>
        <v>Nej</v>
      </c>
      <c r="AT158" s="63" t="str">
        <f>IF(AS158="ja",VLOOKUP($B158,Miljö!$B$1:$P$500,MATCH("Fossil andel i procent (%)",Miljö!$B$1:$P$1,0),FALSE)/100,"")</f>
        <v/>
      </c>
      <c r="AV158" s="63" t="str">
        <f t="shared" si="15"/>
        <v>Nej</v>
      </c>
      <c r="AW158" s="63" t="str">
        <f>IF(AV158="ja",VLOOKUP($B158,'Egen hetvattenprod'!$B$1:$AO$500,MATCH("Värmekälla till värmepumpar ()",'Egen hetvattenprod'!$B$1:$AO$1,0),FALSE),"")</f>
        <v/>
      </c>
      <c r="AY158" s="63" t="str">
        <f t="shared" si="16"/>
        <v>Nej</v>
      </c>
      <c r="AZ158" s="77" t="str">
        <f>IF($AY158="ja",(VLOOKUP($B158,'Egen hetvattenprod'!$B$1:$BX$550,MATCH(AZ$2,'Egen hetvattenprod'!$B$1:$BX$1,0),FALSE)+VLOOKUP($B158,Kraftvärmeprod!$B$1:$BX$550,MATCH(AZ$2,Kraftvärmeprod!$B$1:$BX$1,0),FALSE))/$AC158,"")</f>
        <v/>
      </c>
      <c r="BA158" s="77" t="str">
        <f>IF($AY158="ja",(VLOOKUP($B158,'Egen hetvattenprod'!$B$1:$BX$550,MATCH(BA$2,'Egen hetvattenprod'!$B$1:$BX$1,0),FALSE)+VLOOKUP($B158,Kraftvärmeprod!$B$1:$BX$550,MATCH(BA$2,Kraftvärmeprod!$B$1:$BX$1,0),FALSE))/$AC158,"")</f>
        <v/>
      </c>
      <c r="BB158" s="77" t="str">
        <f>IF($AY158="ja",(VLOOKUP($B158,'Egen hetvattenprod'!$B$1:$BX$550,MATCH(BB$2,'Egen hetvattenprod'!$B$1:$BX$1,0),FALSE)+VLOOKUP($B158,Kraftvärmeprod!$B$1:$BX$550,MATCH(BB$2,Kraftvärmeprod!$B$1:$BX$1,0),FALSE))/$AC158,"")</f>
        <v/>
      </c>
      <c r="BC158" s="77" t="str">
        <f>IF($AY158="ja",(VLOOKUP($B158,'Egen hetvattenprod'!$B$1:$BX$550,MATCH(BC$2,'Egen hetvattenprod'!$B$1:$BX$1,0),FALSE)+VLOOKUP($B158,Kraftvärmeprod!$B$1:$BX$550,MATCH(BC$2,Kraftvärmeprod!$B$1:$BX$1,0),FALSE))/$AC158,"")</f>
        <v/>
      </c>
      <c r="BD158" s="77" t="str">
        <f>IF($AY158="ja",(VLOOKUP($B158,'Egen hetvattenprod'!$B$1:$BX$550,MATCH(BD$2,'Egen hetvattenprod'!$B$1:$BX$1,0),FALSE)+VLOOKUP($B158,Kraftvärmeprod!$B$1:$BX$550,MATCH(BD$2,Kraftvärmeprod!$B$1:$BX$1,0),FALSE))/$AC158,"")</f>
        <v/>
      </c>
      <c r="BF158" s="63" t="str">
        <f t="shared" si="17"/>
        <v>Nej</v>
      </c>
      <c r="BG158" s="63" t="str">
        <f>IF($BF158="ja",VLOOKUP($B158,'Egen hetvattenprod'!$B$1:$BX$550,MATCH("Andelen klimatgaser med fossilt ursprung för avfall ()",'Egen hetvattenprod'!$B$1:$BX$1,0),FALSE),"")</f>
        <v/>
      </c>
      <c r="BH158" s="63" t="str">
        <f>IF($BF158="ja",VLOOKUP($B158,Kraftvärmeprod!$B$1:$BX$550,MATCH("Andelen klimatgaser med fossilt ursprung för avfall ()",Kraftvärmeprod!$B$1:$BX$1,0),FALSE),"")</f>
        <v/>
      </c>
      <c r="BI158" s="63" t="str">
        <f>IF($BF158="ja",VLOOKUP($B158,'Egen hetvattenprod'!$B$1:$BX$550,MATCH("Avfall (GWh)",'Egen hetvattenprod'!$B$1:$BX$1,0),FALSE),"")</f>
        <v/>
      </c>
      <c r="BJ158" s="63" t="str">
        <f>IF($BF158="ja",VLOOKUP($B158,'Slutlig allokering kvv'!$B$1:$BX$550,MATCH("Avfall (GWh)",'Slutlig allokering kvv'!$B$1:$BX$1,0),FALSE),"")</f>
        <v/>
      </c>
      <c r="BK158" s="63" t="str">
        <f>IF($BF158="ja",VLOOKUP($B158,'Köpt hetvatten'!$B$1:$BX$550,MATCH("Avfall i köpt hetvatten",'Köpt hetvatten'!$B$1:$BX$1,0),FALSE),"")</f>
        <v/>
      </c>
      <c r="BL158" s="63" t="str">
        <f>IF($BF158="ja",VLOOKUP($B158,'Egen hetvattenprod'!$B$1:$BX$550,MATCH("Värde enligt ovan. (%)",'Egen hetvattenprod'!$B$1:$BX$1,0),FALSE),"")</f>
        <v/>
      </c>
      <c r="BM158" s="63" t="str">
        <f>IF($BF158="ja",VLOOKUP($B158,Kraftvärmeprod!$B$1:$BX$550,MATCH("Värde enligt ovan. (%)",Kraftvärmeprod!$B$1:$BX$1,0),FALSE),"")</f>
        <v/>
      </c>
    </row>
    <row r="159" spans="1:65" x14ac:dyDescent="0.45">
      <c r="A159" s="63" t="s">
        <v>472</v>
      </c>
      <c r="B159" s="63" t="s">
        <v>474</v>
      </c>
      <c r="C159" s="63">
        <f>VLOOKUP($B159,'Tillförd energi'!$B$1:$AI$720,MATCH(C$2,'Tillförd energi'!$B$1:$AQ$1,0),FALSE)</f>
        <v>0</v>
      </c>
      <c r="D159" s="63">
        <f>VLOOKUP($B159,'Tillförd energi'!$B$1:$AI$720,MATCH(D$2,'Tillförd energi'!$B$1:$AQ$1,0),FALSE)</f>
        <v>0.23499999999999999</v>
      </c>
      <c r="E159" s="63">
        <f>VLOOKUP($B159,'Tillförd energi'!$B$1:$AI$720,MATCH(E$2,'Tillförd energi'!$B$1:$AQ$1,0),FALSE)</f>
        <v>0</v>
      </c>
      <c r="F159" s="63">
        <f>VLOOKUP($B159,'Tillförd energi'!$B$1:$AI$720,MATCH(F$2,'Tillförd energi'!$B$1:$AQ$1,0),FALSE)</f>
        <v>0</v>
      </c>
      <c r="G159" s="63">
        <f>VLOOKUP($B159,'Tillförd energi'!$B$1:$AI$720,MATCH(G$2,'Tillförd energi'!$B$1:$AQ$1,0),FALSE)</f>
        <v>0</v>
      </c>
      <c r="H159" s="63">
        <f>VLOOKUP($B159,'Tillförd energi'!$B$1:$AI$720,MATCH(H$2,'Tillförd energi'!$B$1:$AQ$1,0),FALSE)</f>
        <v>0</v>
      </c>
      <c r="I159" s="63">
        <f>VLOOKUP($B159,'Tillförd energi'!$B$1:$AI$720,MATCH(I$2,'Tillförd energi'!$B$1:$AQ$1,0),FALSE)</f>
        <v>0</v>
      </c>
      <c r="J159" s="63">
        <f>VLOOKUP($B159,'Tillförd energi'!$B$1:$AI$720,MATCH(J$2,'Tillförd energi'!$B$1:$AQ$1,0),FALSE)</f>
        <v>0</v>
      </c>
      <c r="K159" s="63">
        <f>VLOOKUP($B159,'Tillförd energi'!$B$1:$AI$720,MATCH(K$2,'Tillförd energi'!$B$1:$AQ$1,0),FALSE)</f>
        <v>0</v>
      </c>
      <c r="L159" s="63">
        <f>VLOOKUP($B159,'Tillförd energi'!$B$1:$AI$720,MATCH(L$2,'Tillförd energi'!$B$1:$AQ$1,0),FALSE)</f>
        <v>0</v>
      </c>
      <c r="M159" s="63">
        <f>VLOOKUP($B159,'Tillförd energi'!$B$1:$AI$720,MATCH(M$2,'Tillförd energi'!$B$1:$AQ$1,0),FALSE)</f>
        <v>0</v>
      </c>
      <c r="N159" s="63">
        <f>VLOOKUP($B159,'Tillförd energi'!$B$1:$AI$720,MATCH(N$2,'Tillförd energi'!$B$1:$AQ$1,0),FALSE)</f>
        <v>0</v>
      </c>
      <c r="O159" s="63">
        <f>VLOOKUP($B159,'Tillförd energi'!$B$1:$AI$720,MATCH(O$2,'Tillförd energi'!$B$1:$AQ$1,0),FALSE)</f>
        <v>0</v>
      </c>
      <c r="P159" s="63">
        <f>VLOOKUP($B159,'Tillförd energi'!$B$1:$AI$720,MATCH(P$2,'Tillförd energi'!$B$1:$AQ$1,0),FALSE)</f>
        <v>0</v>
      </c>
      <c r="Q159" s="63">
        <f>VLOOKUP($B159,'Tillförd energi'!$B$1:$AI$720,MATCH(Q$2,'Tillförd energi'!$B$1:$AQ$1,0),FALSE)</f>
        <v>0</v>
      </c>
      <c r="R159" s="63">
        <f>VLOOKUP($B159,'Tillförd energi'!$B$1:$AI$720,MATCH(R$2,'Tillförd energi'!$B$1:$AQ$1,0),FALSE)</f>
        <v>3.57</v>
      </c>
      <c r="S159" s="63">
        <f>VLOOKUP($B159,'Tillförd energi'!$B$1:$AI$720,MATCH(S$2,'Tillförd energi'!$B$1:$AQ$1,0),FALSE)</f>
        <v>8.31</v>
      </c>
      <c r="T159" s="63">
        <f>VLOOKUP($B159,'Tillförd energi'!$B$1:$AI$720,MATCH(T$2,'Tillförd energi'!$B$1:$AQ$1,0),FALSE)</f>
        <v>0</v>
      </c>
      <c r="U159" s="63">
        <f>VLOOKUP($B159,'Tillförd energi'!$B$1:$AI$720,MATCH(U$2,'Tillförd energi'!$B$1:$AQ$1,0),FALSE)</f>
        <v>0</v>
      </c>
      <c r="V159" s="63">
        <f>VLOOKUP($B159,'Tillförd energi'!$B$1:$AI$720,MATCH(V$2,'Tillförd energi'!$B$1:$AQ$1,0),FALSE)</f>
        <v>0</v>
      </c>
      <c r="W159" s="63">
        <f>VLOOKUP($B159,'Tillförd energi'!$B$1:$AI$720,MATCH(W$2,'Tillförd energi'!$B$1:$AQ$1,0),FALSE)</f>
        <v>0</v>
      </c>
      <c r="X159" s="63">
        <f>VLOOKUP($B159,'Tillförd energi'!$B$1:$AI$720,MATCH(X$2,'Tillförd energi'!$B$1:$AQ$1,0),FALSE)</f>
        <v>0</v>
      </c>
      <c r="Y159" s="63">
        <f>VLOOKUP($B159,'Tillförd energi'!$B$1:$AI$720,MATCH(Y$2,'Tillförd energi'!$B$1:$AQ$1,0),FALSE)</f>
        <v>0</v>
      </c>
      <c r="Z159" s="63">
        <f>VLOOKUP($B159,'Tillförd energi'!$B$1:$AI$720,MATCH(Z$2,'Tillförd energi'!$B$1:$AQ$1,0),FALSE)</f>
        <v>0</v>
      </c>
      <c r="AA159" s="63">
        <f>VLOOKUP($B159,'Tillförd energi'!$B$1:$AI$720,MATCH(AA$2,'Tillförd energi'!$B$1:$AQ$1,0),FALSE)</f>
        <v>0</v>
      </c>
      <c r="AB159" s="63">
        <f>VLOOKUP($B159,'Tillförd energi'!$B$1:$AI$720,MATCH(AB$2,'Tillförd energi'!$B$1:$AQ$1,0),FALSE)</f>
        <v>0</v>
      </c>
      <c r="AC159" s="63">
        <f>VLOOKUP($B159,'Tillförd energi'!$B$1:$AI$720,MATCH(AC$2,'Tillförd energi'!$B$1:$AQ$1,0),FALSE)</f>
        <v>0</v>
      </c>
      <c r="AD159" s="63">
        <f>VLOOKUP($B159,'Tillförd energi'!$B$1:$AI$720,MATCH(AD$2,'Tillförd energi'!$B$1:$AQ$1,0),FALSE)</f>
        <v>0</v>
      </c>
      <c r="AE159" s="63">
        <f>VLOOKUP($B159,'Tillförd energi'!$B$1:$AI$720,MATCH(AE$2,'Tillförd energi'!$B$1:$AQ$1,0),FALSE)</f>
        <v>0</v>
      </c>
      <c r="AF159" s="63">
        <f>VLOOKUP($B159,'Tillförd energi'!$B$1:$AI$720,MATCH(AF$2,'Tillförd energi'!$B$1:$AQ$1,0),FALSE)</f>
        <v>0.22600000000000001</v>
      </c>
      <c r="AG159" s="63">
        <f>IFERROR(VLOOKUP(B159,Miljö!$B$1:$AC$550,MATCH("Köpt mängd produktionsspecifik fjärrvärme:",Miljö!$B$1:$AC$1,0),FALSE)/1,0)</f>
        <v>0</v>
      </c>
      <c r="AI159" s="63">
        <f t="shared" si="12"/>
        <v>12.341000000000001</v>
      </c>
      <c r="AJ159" s="63">
        <f>IF(ISERROR(1/VLOOKUP($B159,Leveranser!$B$1:$S$500,MATCH("såld värme (gwh)",Leveranser!$B$1:$S$1,0),FALSE)),"",VLOOKUP($B159,Leveranser!$B$1:$S$500,MATCH("såld värme (gwh)",Leveranser!$B$1:$S$1,0),FALSE))</f>
        <v>10.64</v>
      </c>
      <c r="AM159" s="63" t="str">
        <f>IF(B159&lt;&gt;"",IF(VLOOKUP($B159,Totalt!$B$1:$AQ$554,MATCH("Kvalitetsgranskad:",Totalt!$B$1:$AQ$1,0),FALSE)="ja",VLOOKUP($B159,Miljö!$B$1:$AG$479,MATCH(AM$2,Miljö!$B$1:$AK$1,0),FALSE),""),"")</f>
        <v>Ja</v>
      </c>
      <c r="AN159" s="63" t="str">
        <f>IF(AM159="ja",VLOOKUP($B159,Miljö!$B$1:$J$479,MATCH("Typ av ursprungsspecificerad el   (Om inget värde anges används Nordisk residualmix, se inforuta) ()",Miljö!$B$1:$J$1,0),FALSE),IF(AM159="nej","Nordisk residualel",""))</f>
        <v>'Vattenkraft'</v>
      </c>
      <c r="AO159" s="63">
        <f>IF(AM159="","",VLOOKUP($B159,Miljö!$B$1:$J$479,MATCH("Fossilandel för ursprungspecificerad el ()",Miljö!$B$1:$J$1,0),FALSE))</f>
        <v>0</v>
      </c>
      <c r="AQ159" s="63">
        <f t="shared" si="13"/>
        <v>1</v>
      </c>
      <c r="AS159" s="63" t="str">
        <f t="shared" si="14"/>
        <v>Nej</v>
      </c>
      <c r="AT159" s="63" t="str">
        <f>IF(AS159="ja",VLOOKUP($B159,Miljö!$B$1:$P$500,MATCH("Fossil andel i procent (%)",Miljö!$B$1:$P$1,0),FALSE)/100,"")</f>
        <v/>
      </c>
      <c r="AV159" s="63" t="str">
        <f t="shared" si="15"/>
        <v>Nej</v>
      </c>
      <c r="AW159" s="63" t="str">
        <f>IF(AV159="ja",VLOOKUP($B159,'Egen hetvattenprod'!$B$1:$AO$500,MATCH("Värmekälla till värmepumpar ()",'Egen hetvattenprod'!$B$1:$AO$1,0),FALSE),"")</f>
        <v/>
      </c>
      <c r="AY159" s="63" t="str">
        <f t="shared" si="16"/>
        <v>Nej</v>
      </c>
      <c r="AZ159" s="77" t="str">
        <f>IF($AY159="ja",(VLOOKUP($B159,'Egen hetvattenprod'!$B$1:$BX$550,MATCH(AZ$2,'Egen hetvattenprod'!$B$1:$BX$1,0),FALSE)+VLOOKUP($B159,Kraftvärmeprod!$B$1:$BX$550,MATCH(AZ$2,Kraftvärmeprod!$B$1:$BX$1,0),FALSE))/$AC159,"")</f>
        <v/>
      </c>
      <c r="BA159" s="77" t="str">
        <f>IF($AY159="ja",(VLOOKUP($B159,'Egen hetvattenprod'!$B$1:$BX$550,MATCH(BA$2,'Egen hetvattenprod'!$B$1:$BX$1,0),FALSE)+VLOOKUP($B159,Kraftvärmeprod!$B$1:$BX$550,MATCH(BA$2,Kraftvärmeprod!$B$1:$BX$1,0),FALSE))/$AC159,"")</f>
        <v/>
      </c>
      <c r="BB159" s="77" t="str">
        <f>IF($AY159="ja",(VLOOKUP($B159,'Egen hetvattenprod'!$B$1:$BX$550,MATCH(BB$2,'Egen hetvattenprod'!$B$1:$BX$1,0),FALSE)+VLOOKUP($B159,Kraftvärmeprod!$B$1:$BX$550,MATCH(BB$2,Kraftvärmeprod!$B$1:$BX$1,0),FALSE))/$AC159,"")</f>
        <v/>
      </c>
      <c r="BC159" s="77" t="str">
        <f>IF($AY159="ja",(VLOOKUP($B159,'Egen hetvattenprod'!$B$1:$BX$550,MATCH(BC$2,'Egen hetvattenprod'!$B$1:$BX$1,0),FALSE)+VLOOKUP($B159,Kraftvärmeprod!$B$1:$BX$550,MATCH(BC$2,Kraftvärmeprod!$B$1:$BX$1,0),FALSE))/$AC159,"")</f>
        <v/>
      </c>
      <c r="BD159" s="77" t="str">
        <f>IF($AY159="ja",(VLOOKUP($B159,'Egen hetvattenprod'!$B$1:$BX$550,MATCH(BD$2,'Egen hetvattenprod'!$B$1:$BX$1,0),FALSE)+VLOOKUP($B159,Kraftvärmeprod!$B$1:$BX$550,MATCH(BD$2,Kraftvärmeprod!$B$1:$BX$1,0),FALSE))/$AC159,"")</f>
        <v/>
      </c>
      <c r="BF159" s="63" t="str">
        <f t="shared" si="17"/>
        <v>Nej</v>
      </c>
      <c r="BG159" s="63" t="str">
        <f>IF($BF159="ja",VLOOKUP($B159,'Egen hetvattenprod'!$B$1:$BX$550,MATCH("Andelen klimatgaser med fossilt ursprung för avfall ()",'Egen hetvattenprod'!$B$1:$BX$1,0),FALSE),"")</f>
        <v/>
      </c>
      <c r="BH159" s="63" t="str">
        <f>IF($BF159="ja",VLOOKUP($B159,Kraftvärmeprod!$B$1:$BX$550,MATCH("Andelen klimatgaser med fossilt ursprung för avfall ()",Kraftvärmeprod!$B$1:$BX$1,0),FALSE),"")</f>
        <v/>
      </c>
      <c r="BI159" s="63" t="str">
        <f>IF($BF159="ja",VLOOKUP($B159,'Egen hetvattenprod'!$B$1:$BX$550,MATCH("Avfall (GWh)",'Egen hetvattenprod'!$B$1:$BX$1,0),FALSE),"")</f>
        <v/>
      </c>
      <c r="BJ159" s="63" t="str">
        <f>IF($BF159="ja",VLOOKUP($B159,'Slutlig allokering kvv'!$B$1:$BX$550,MATCH("Avfall (GWh)",'Slutlig allokering kvv'!$B$1:$BX$1,0),FALSE),"")</f>
        <v/>
      </c>
      <c r="BK159" s="63" t="str">
        <f>IF($BF159="ja",VLOOKUP($B159,'Köpt hetvatten'!$B$1:$BX$550,MATCH("Avfall i köpt hetvatten",'Köpt hetvatten'!$B$1:$BX$1,0),FALSE),"")</f>
        <v/>
      </c>
      <c r="BL159" s="63" t="str">
        <f>IF($BF159="ja",VLOOKUP($B159,'Egen hetvattenprod'!$B$1:$BX$550,MATCH("Värde enligt ovan. (%)",'Egen hetvattenprod'!$B$1:$BX$1,0),FALSE),"")</f>
        <v/>
      </c>
      <c r="BM159" s="63" t="str">
        <f>IF($BF159="ja",VLOOKUP($B159,Kraftvärmeprod!$B$1:$BX$550,MATCH("Värde enligt ovan. (%)",Kraftvärmeprod!$B$1:$BX$1,0),FALSE),"")</f>
        <v/>
      </c>
    </row>
    <row r="160" spans="1:65" x14ac:dyDescent="0.45">
      <c r="A160" s="63" t="s">
        <v>472</v>
      </c>
      <c r="B160" s="63" t="s">
        <v>473</v>
      </c>
      <c r="C160" s="63">
        <f>VLOOKUP($B160,'Tillförd energi'!$B$1:$AI$720,MATCH(C$2,'Tillförd energi'!$B$1:$AQ$1,0),FALSE)</f>
        <v>0</v>
      </c>
      <c r="D160" s="63">
        <f>VLOOKUP($B160,'Tillförd energi'!$B$1:$AI$720,MATCH(D$2,'Tillförd energi'!$B$1:$AQ$1,0),FALSE)</f>
        <v>3.5000000000000001E-3</v>
      </c>
      <c r="E160" s="63">
        <f>VLOOKUP($B160,'Tillförd energi'!$B$1:$AI$720,MATCH(E$2,'Tillförd energi'!$B$1:$AQ$1,0),FALSE)</f>
        <v>0</v>
      </c>
      <c r="F160" s="63">
        <f>VLOOKUP($B160,'Tillförd energi'!$B$1:$AI$720,MATCH(F$2,'Tillförd energi'!$B$1:$AQ$1,0),FALSE)</f>
        <v>0</v>
      </c>
      <c r="G160" s="63">
        <f>VLOOKUP($B160,'Tillförd energi'!$B$1:$AI$720,MATCH(G$2,'Tillförd energi'!$B$1:$AQ$1,0),FALSE)</f>
        <v>0</v>
      </c>
      <c r="H160" s="63">
        <f>VLOOKUP($B160,'Tillförd energi'!$B$1:$AI$720,MATCH(H$2,'Tillförd energi'!$B$1:$AQ$1,0),FALSE)</f>
        <v>0</v>
      </c>
      <c r="I160" s="63">
        <f>VLOOKUP($B160,'Tillförd energi'!$B$1:$AI$720,MATCH(I$2,'Tillförd energi'!$B$1:$AQ$1,0),FALSE)</f>
        <v>0</v>
      </c>
      <c r="J160" s="63">
        <f>VLOOKUP($B160,'Tillförd energi'!$B$1:$AI$720,MATCH(J$2,'Tillförd energi'!$B$1:$AQ$1,0),FALSE)</f>
        <v>0</v>
      </c>
      <c r="K160" s="63">
        <f>VLOOKUP($B160,'Tillförd energi'!$B$1:$AI$720,MATCH(K$2,'Tillförd energi'!$B$1:$AQ$1,0),FALSE)</f>
        <v>0</v>
      </c>
      <c r="L160" s="63">
        <f>VLOOKUP($B160,'Tillförd energi'!$B$1:$AI$720,MATCH(L$2,'Tillförd energi'!$B$1:$AQ$1,0),FALSE)</f>
        <v>0</v>
      </c>
      <c r="M160" s="63">
        <f>VLOOKUP($B160,'Tillförd energi'!$B$1:$AI$720,MATCH(M$2,'Tillförd energi'!$B$1:$AQ$1,0),FALSE)</f>
        <v>0</v>
      </c>
      <c r="N160" s="63">
        <f>VLOOKUP($B160,'Tillförd energi'!$B$1:$AI$720,MATCH(N$2,'Tillförd energi'!$B$1:$AQ$1,0),FALSE)</f>
        <v>0</v>
      </c>
      <c r="O160" s="63">
        <f>VLOOKUP($B160,'Tillförd energi'!$B$1:$AI$720,MATCH(O$2,'Tillförd energi'!$B$1:$AQ$1,0),FALSE)</f>
        <v>0</v>
      </c>
      <c r="P160" s="63">
        <f>VLOOKUP($B160,'Tillförd energi'!$B$1:$AI$720,MATCH(P$2,'Tillförd energi'!$B$1:$AQ$1,0),FALSE)</f>
        <v>16.600000000000001</v>
      </c>
      <c r="Q160" s="63">
        <f>VLOOKUP($B160,'Tillförd energi'!$B$1:$AI$720,MATCH(Q$2,'Tillförd energi'!$B$1:$AQ$1,0),FALSE)</f>
        <v>0</v>
      </c>
      <c r="R160" s="63">
        <f>VLOOKUP($B160,'Tillförd energi'!$B$1:$AI$720,MATCH(R$2,'Tillförd energi'!$B$1:$AQ$1,0),FALSE)</f>
        <v>11.5</v>
      </c>
      <c r="S160" s="63">
        <f>VLOOKUP($B160,'Tillförd energi'!$B$1:$AI$720,MATCH(S$2,'Tillförd energi'!$B$1:$AQ$1,0),FALSE)</f>
        <v>0</v>
      </c>
      <c r="T160" s="63">
        <f>VLOOKUP($B160,'Tillförd energi'!$B$1:$AI$720,MATCH(T$2,'Tillförd energi'!$B$1:$AQ$1,0),FALSE)</f>
        <v>0</v>
      </c>
      <c r="U160" s="63">
        <f>VLOOKUP($B160,'Tillförd energi'!$B$1:$AI$720,MATCH(U$2,'Tillförd energi'!$B$1:$AQ$1,0),FALSE)</f>
        <v>1.36</v>
      </c>
      <c r="V160" s="63">
        <f>VLOOKUP($B160,'Tillförd energi'!$B$1:$AI$720,MATCH(V$2,'Tillförd energi'!$B$1:$AQ$1,0),FALSE)</f>
        <v>0</v>
      </c>
      <c r="W160" s="63">
        <f>VLOOKUP($B160,'Tillförd energi'!$B$1:$AI$720,MATCH(W$2,'Tillförd energi'!$B$1:$AQ$1,0),FALSE)</f>
        <v>0</v>
      </c>
      <c r="X160" s="63">
        <f>VLOOKUP($B160,'Tillförd energi'!$B$1:$AI$720,MATCH(X$2,'Tillförd energi'!$B$1:$AQ$1,0),FALSE)</f>
        <v>0</v>
      </c>
      <c r="Y160" s="63">
        <f>VLOOKUP($B160,'Tillförd energi'!$B$1:$AI$720,MATCH(Y$2,'Tillförd energi'!$B$1:$AQ$1,0),FALSE)</f>
        <v>0</v>
      </c>
      <c r="Z160" s="63">
        <f>VLOOKUP($B160,'Tillförd energi'!$B$1:$AI$720,MATCH(Z$2,'Tillförd energi'!$B$1:$AQ$1,0),FALSE)</f>
        <v>0</v>
      </c>
      <c r="AA160" s="63">
        <f>VLOOKUP($B160,'Tillförd energi'!$B$1:$AI$720,MATCH(AA$2,'Tillförd energi'!$B$1:$AQ$1,0),FALSE)</f>
        <v>0</v>
      </c>
      <c r="AB160" s="63">
        <f>VLOOKUP($B160,'Tillförd energi'!$B$1:$AI$720,MATCH(AB$2,'Tillförd energi'!$B$1:$AQ$1,0),FALSE)</f>
        <v>0</v>
      </c>
      <c r="AC160" s="63">
        <f>VLOOKUP($B160,'Tillförd energi'!$B$1:$AI$720,MATCH(AC$2,'Tillförd energi'!$B$1:$AQ$1,0),FALSE)</f>
        <v>3.04</v>
      </c>
      <c r="AD160" s="63">
        <f>VLOOKUP($B160,'Tillförd energi'!$B$1:$AI$720,MATCH(AD$2,'Tillförd energi'!$B$1:$AQ$1,0),FALSE)</f>
        <v>0</v>
      </c>
      <c r="AE160" s="63">
        <f>VLOOKUP($B160,'Tillförd energi'!$B$1:$AI$720,MATCH(AE$2,'Tillförd energi'!$B$1:$AQ$1,0),FALSE)</f>
        <v>0</v>
      </c>
      <c r="AF160" s="63">
        <f>VLOOKUP($B160,'Tillförd energi'!$B$1:$AI$720,MATCH(AF$2,'Tillförd energi'!$B$1:$AQ$1,0),FALSE)</f>
        <v>0.63</v>
      </c>
      <c r="AG160" s="63">
        <f>IFERROR(VLOOKUP(B160,Miljö!$B$1:$AC$550,MATCH("Köpt mängd produktionsspecifik fjärrvärme:",Miljö!$B$1:$AC$1,0),FALSE)/1,0)</f>
        <v>0</v>
      </c>
      <c r="AI160" s="63">
        <f t="shared" si="12"/>
        <v>33.133500000000005</v>
      </c>
      <c r="AJ160" s="63">
        <f>IF(ISERROR(1/VLOOKUP($B160,Leveranser!$B$1:$S$500,MATCH("såld värme (gwh)",Leveranser!$B$1:$S$1,0),FALSE)),"",VLOOKUP($B160,Leveranser!$B$1:$S$500,MATCH("såld värme (gwh)",Leveranser!$B$1:$S$1,0),FALSE))</f>
        <v>29.16</v>
      </c>
      <c r="AM160" s="63" t="str">
        <f>IF(B160&lt;&gt;"",IF(VLOOKUP($B160,Totalt!$B$1:$AQ$554,MATCH("Kvalitetsgranskad:",Totalt!$B$1:$AQ$1,0),FALSE)="ja",VLOOKUP($B160,Miljö!$B$1:$AG$479,MATCH(AM$2,Miljö!$B$1:$AK$1,0),FALSE),""),"")</f>
        <v>Ja</v>
      </c>
      <c r="AN160" s="63" t="str">
        <f>IF(AM160="ja",VLOOKUP($B160,Miljö!$B$1:$J$479,MATCH("Typ av ursprungsspecificerad el   (Om inget värde anges används Nordisk residualmix, se inforuta) ()",Miljö!$B$1:$J$1,0),FALSE),IF(AM160="nej","Nordisk residualel",""))</f>
        <v>'Vattenkraft'</v>
      </c>
      <c r="AO160" s="63">
        <f>IF(AM160="","",VLOOKUP($B160,Miljö!$B$1:$J$479,MATCH("Fossilandel för ursprungspecificerad el ()",Miljö!$B$1:$J$1,0),FALSE))</f>
        <v>0</v>
      </c>
      <c r="AQ160" s="63">
        <f t="shared" si="13"/>
        <v>1</v>
      </c>
      <c r="AS160" s="63" t="str">
        <f t="shared" si="14"/>
        <v>Nej</v>
      </c>
      <c r="AT160" s="63" t="str">
        <f>IF(AS160="ja",VLOOKUP($B160,Miljö!$B$1:$P$500,MATCH("Fossil andel i procent (%)",Miljö!$B$1:$P$1,0),FALSE)/100,"")</f>
        <v/>
      </c>
      <c r="AV160" s="63" t="str">
        <f t="shared" si="15"/>
        <v>Nej</v>
      </c>
      <c r="AW160" s="63" t="str">
        <f>IF(AV160="ja",VLOOKUP($B160,'Egen hetvattenprod'!$B$1:$AO$500,MATCH("Värmekälla till värmepumpar ()",'Egen hetvattenprod'!$B$1:$AO$1,0),FALSE),"")</f>
        <v/>
      </c>
      <c r="AY160" s="63" t="str">
        <f t="shared" si="16"/>
        <v>Ja</v>
      </c>
      <c r="AZ160" s="77">
        <f>IF($AY160="ja",(VLOOKUP($B160,'Egen hetvattenprod'!$B$1:$BX$550,MATCH(AZ$2,'Egen hetvattenprod'!$B$1:$BX$1,0),FALSE)+VLOOKUP($B160,Kraftvärmeprod!$B$1:$BX$550,MATCH(AZ$2,Kraftvärmeprod!$B$1:$BX$1,0),FALSE))/$AC160,"")</f>
        <v>1</v>
      </c>
      <c r="BA160" s="77">
        <f>IF($AY160="ja",(VLOOKUP($B160,'Egen hetvattenprod'!$B$1:$BX$550,MATCH(BA$2,'Egen hetvattenprod'!$B$1:$BX$1,0),FALSE)+VLOOKUP($B160,Kraftvärmeprod!$B$1:$BX$550,MATCH(BA$2,Kraftvärmeprod!$B$1:$BX$1,0),FALSE))/$AC160,"")</f>
        <v>0</v>
      </c>
      <c r="BB160" s="77">
        <f>IF($AY160="ja",(VLOOKUP($B160,'Egen hetvattenprod'!$B$1:$BX$550,MATCH(BB$2,'Egen hetvattenprod'!$B$1:$BX$1,0),FALSE)+VLOOKUP($B160,Kraftvärmeprod!$B$1:$BX$550,MATCH(BB$2,Kraftvärmeprod!$B$1:$BX$1,0),FALSE))/$AC160,"")</f>
        <v>0</v>
      </c>
      <c r="BC160" s="77">
        <f>IF($AY160="ja",(VLOOKUP($B160,'Egen hetvattenprod'!$B$1:$BX$550,MATCH(BC$2,'Egen hetvattenprod'!$B$1:$BX$1,0),FALSE)+VLOOKUP($B160,Kraftvärmeprod!$B$1:$BX$550,MATCH(BC$2,Kraftvärmeprod!$B$1:$BX$1,0),FALSE))/$AC160,"")</f>
        <v>0</v>
      </c>
      <c r="BD160" s="77">
        <f>IF($AY160="ja",(VLOOKUP($B160,'Egen hetvattenprod'!$B$1:$BX$550,MATCH(BD$2,'Egen hetvattenprod'!$B$1:$BX$1,0),FALSE)+VLOOKUP($B160,Kraftvärmeprod!$B$1:$BX$550,MATCH(BD$2,Kraftvärmeprod!$B$1:$BX$1,0),FALSE))/$AC160,"")</f>
        <v>0</v>
      </c>
      <c r="BF160" s="63" t="str">
        <f t="shared" si="17"/>
        <v>Nej</v>
      </c>
      <c r="BG160" s="63" t="str">
        <f>IF($BF160="ja",VLOOKUP($B160,'Egen hetvattenprod'!$B$1:$BX$550,MATCH("Andelen klimatgaser med fossilt ursprung för avfall ()",'Egen hetvattenprod'!$B$1:$BX$1,0),FALSE),"")</f>
        <v/>
      </c>
      <c r="BH160" s="63" t="str">
        <f>IF($BF160="ja",VLOOKUP($B160,Kraftvärmeprod!$B$1:$BX$550,MATCH("Andelen klimatgaser med fossilt ursprung för avfall ()",Kraftvärmeprod!$B$1:$BX$1,0),FALSE),"")</f>
        <v/>
      </c>
      <c r="BI160" s="63" t="str">
        <f>IF($BF160="ja",VLOOKUP($B160,'Egen hetvattenprod'!$B$1:$BX$550,MATCH("Avfall (GWh)",'Egen hetvattenprod'!$B$1:$BX$1,0),FALSE),"")</f>
        <v/>
      </c>
      <c r="BJ160" s="63" t="str">
        <f>IF($BF160="ja",VLOOKUP($B160,'Slutlig allokering kvv'!$B$1:$BX$550,MATCH("Avfall (GWh)",'Slutlig allokering kvv'!$B$1:$BX$1,0),FALSE),"")</f>
        <v/>
      </c>
      <c r="BK160" s="63" t="str">
        <f>IF($BF160="ja",VLOOKUP($B160,'Köpt hetvatten'!$B$1:$BX$550,MATCH("Avfall i köpt hetvatten",'Köpt hetvatten'!$B$1:$BX$1,0),FALSE),"")</f>
        <v/>
      </c>
      <c r="BL160" s="63" t="str">
        <f>IF($BF160="ja",VLOOKUP($B160,'Egen hetvattenprod'!$B$1:$BX$550,MATCH("Värde enligt ovan. (%)",'Egen hetvattenprod'!$B$1:$BX$1,0),FALSE),"")</f>
        <v/>
      </c>
      <c r="BM160" s="63" t="str">
        <f>IF($BF160="ja",VLOOKUP($B160,Kraftvärmeprod!$B$1:$BX$550,MATCH("Värde enligt ovan. (%)",Kraftvärmeprod!$B$1:$BX$1,0),FALSE),"")</f>
        <v/>
      </c>
    </row>
    <row r="161" spans="1:65" x14ac:dyDescent="0.45">
      <c r="A161" s="63" t="s">
        <v>472</v>
      </c>
      <c r="B161" s="63" t="s">
        <v>471</v>
      </c>
      <c r="C161" s="63">
        <f>VLOOKUP($B161,'Tillförd energi'!$B$1:$AI$720,MATCH(C$2,'Tillförd energi'!$B$1:$AQ$1,0),FALSE)</f>
        <v>0</v>
      </c>
      <c r="D161" s="63">
        <f>VLOOKUP($B161,'Tillförd energi'!$B$1:$AI$720,MATCH(D$2,'Tillförd energi'!$B$1:$AQ$1,0),FALSE)</f>
        <v>0.14299999999999999</v>
      </c>
      <c r="E161" s="63">
        <f>VLOOKUP($B161,'Tillförd energi'!$B$1:$AI$720,MATCH(E$2,'Tillförd energi'!$B$1:$AQ$1,0),FALSE)</f>
        <v>0</v>
      </c>
      <c r="F161" s="63">
        <f>VLOOKUP($B161,'Tillförd energi'!$B$1:$AI$720,MATCH(F$2,'Tillförd energi'!$B$1:$AQ$1,0),FALSE)</f>
        <v>0</v>
      </c>
      <c r="G161" s="63">
        <f>VLOOKUP($B161,'Tillförd energi'!$B$1:$AI$720,MATCH(G$2,'Tillförd energi'!$B$1:$AQ$1,0),FALSE)</f>
        <v>0</v>
      </c>
      <c r="H161" s="63">
        <f>VLOOKUP($B161,'Tillförd energi'!$B$1:$AI$720,MATCH(H$2,'Tillförd energi'!$B$1:$AQ$1,0),FALSE)</f>
        <v>0</v>
      </c>
      <c r="I161" s="63">
        <f>VLOOKUP($B161,'Tillförd energi'!$B$1:$AI$720,MATCH(I$2,'Tillförd energi'!$B$1:$AQ$1,0),FALSE)</f>
        <v>0</v>
      </c>
      <c r="J161" s="63">
        <f>VLOOKUP($B161,'Tillförd energi'!$B$1:$AI$720,MATCH(J$2,'Tillförd energi'!$B$1:$AQ$1,0),FALSE)</f>
        <v>0</v>
      </c>
      <c r="K161" s="63">
        <f>VLOOKUP($B161,'Tillförd energi'!$B$1:$AI$720,MATCH(K$2,'Tillförd energi'!$B$1:$AQ$1,0),FALSE)</f>
        <v>0</v>
      </c>
      <c r="L161" s="63">
        <f>VLOOKUP($B161,'Tillförd energi'!$B$1:$AI$720,MATCH(L$2,'Tillförd energi'!$B$1:$AQ$1,0),FALSE)</f>
        <v>0</v>
      </c>
      <c r="M161" s="63">
        <f>VLOOKUP($B161,'Tillförd energi'!$B$1:$AI$720,MATCH(M$2,'Tillförd energi'!$B$1:$AQ$1,0),FALSE)</f>
        <v>0</v>
      </c>
      <c r="N161" s="63">
        <f>VLOOKUP($B161,'Tillförd energi'!$B$1:$AI$720,MATCH(N$2,'Tillförd energi'!$B$1:$AQ$1,0),FALSE)</f>
        <v>0</v>
      </c>
      <c r="O161" s="63">
        <f>VLOOKUP($B161,'Tillförd energi'!$B$1:$AI$720,MATCH(O$2,'Tillförd energi'!$B$1:$AQ$1,0),FALSE)</f>
        <v>0</v>
      </c>
      <c r="P161" s="63">
        <f>VLOOKUP($B161,'Tillförd energi'!$B$1:$AI$720,MATCH(P$2,'Tillförd energi'!$B$1:$AQ$1,0),FALSE)</f>
        <v>0</v>
      </c>
      <c r="Q161" s="63">
        <f>VLOOKUP($B161,'Tillförd energi'!$B$1:$AI$720,MATCH(Q$2,'Tillförd energi'!$B$1:$AQ$1,0),FALSE)</f>
        <v>0</v>
      </c>
      <c r="R161" s="63">
        <f>VLOOKUP($B161,'Tillförd energi'!$B$1:$AI$720,MATCH(R$2,'Tillförd energi'!$B$1:$AQ$1,0),FALSE)</f>
        <v>3.37</v>
      </c>
      <c r="S161" s="63">
        <f>VLOOKUP($B161,'Tillförd energi'!$B$1:$AI$720,MATCH(S$2,'Tillförd energi'!$B$1:$AQ$1,0),FALSE)</f>
        <v>0</v>
      </c>
      <c r="T161" s="63">
        <f>VLOOKUP($B161,'Tillförd energi'!$B$1:$AI$720,MATCH(T$2,'Tillförd energi'!$B$1:$AQ$1,0),FALSE)</f>
        <v>0</v>
      </c>
      <c r="U161" s="63">
        <f>VLOOKUP($B161,'Tillförd energi'!$B$1:$AI$720,MATCH(U$2,'Tillförd energi'!$B$1:$AQ$1,0),FALSE)</f>
        <v>0</v>
      </c>
      <c r="V161" s="63">
        <f>VLOOKUP($B161,'Tillförd energi'!$B$1:$AI$720,MATCH(V$2,'Tillförd energi'!$B$1:$AQ$1,0),FALSE)</f>
        <v>0</v>
      </c>
      <c r="W161" s="63">
        <f>VLOOKUP($B161,'Tillförd energi'!$B$1:$AI$720,MATCH(W$2,'Tillförd energi'!$B$1:$AQ$1,0),FALSE)</f>
        <v>0</v>
      </c>
      <c r="X161" s="63">
        <f>VLOOKUP($B161,'Tillförd energi'!$B$1:$AI$720,MATCH(X$2,'Tillförd energi'!$B$1:$AQ$1,0),FALSE)</f>
        <v>0</v>
      </c>
      <c r="Y161" s="63">
        <f>VLOOKUP($B161,'Tillförd energi'!$B$1:$AI$720,MATCH(Y$2,'Tillförd energi'!$B$1:$AQ$1,0),FALSE)</f>
        <v>0</v>
      </c>
      <c r="Z161" s="63">
        <f>VLOOKUP($B161,'Tillförd energi'!$B$1:$AI$720,MATCH(Z$2,'Tillförd energi'!$B$1:$AQ$1,0),FALSE)</f>
        <v>0</v>
      </c>
      <c r="AA161" s="63">
        <f>VLOOKUP($B161,'Tillförd energi'!$B$1:$AI$720,MATCH(AA$2,'Tillförd energi'!$B$1:$AQ$1,0),FALSE)</f>
        <v>0</v>
      </c>
      <c r="AB161" s="63">
        <f>VLOOKUP($B161,'Tillförd energi'!$B$1:$AI$720,MATCH(AB$2,'Tillförd energi'!$B$1:$AQ$1,0),FALSE)</f>
        <v>0</v>
      </c>
      <c r="AC161" s="63">
        <f>VLOOKUP($B161,'Tillförd energi'!$B$1:$AI$720,MATCH(AC$2,'Tillförd energi'!$B$1:$AQ$1,0),FALSE)</f>
        <v>0</v>
      </c>
      <c r="AD161" s="63">
        <f>VLOOKUP($B161,'Tillförd energi'!$B$1:$AI$720,MATCH(AD$2,'Tillförd energi'!$B$1:$AQ$1,0),FALSE)</f>
        <v>0</v>
      </c>
      <c r="AE161" s="63">
        <f>VLOOKUP($B161,'Tillförd energi'!$B$1:$AI$720,MATCH(AE$2,'Tillförd energi'!$B$1:$AQ$1,0),FALSE)</f>
        <v>0</v>
      </c>
      <c r="AF161" s="63">
        <f>VLOOKUP($B161,'Tillförd energi'!$B$1:$AI$720,MATCH(AF$2,'Tillförd energi'!$B$1:$AQ$1,0),FALSE)</f>
        <v>3.2500000000000001E-2</v>
      </c>
      <c r="AG161" s="63">
        <f>IFERROR(VLOOKUP(B161,Miljö!$B$1:$AC$550,MATCH("Köpt mängd produktionsspecifik fjärrvärme:",Miljö!$B$1:$AC$1,0),FALSE)/1,0)</f>
        <v>0</v>
      </c>
      <c r="AI161" s="63">
        <f t="shared" si="12"/>
        <v>3.5455000000000001</v>
      </c>
      <c r="AJ161" s="63">
        <f>IF(ISERROR(1/VLOOKUP($B161,Leveranser!$B$1:$S$500,MATCH("såld värme (gwh)",Leveranser!$B$1:$S$1,0),FALSE)),"",VLOOKUP($B161,Leveranser!$B$1:$S$500,MATCH("såld värme (gwh)",Leveranser!$B$1:$S$1,0),FALSE))</f>
        <v>3.15</v>
      </c>
      <c r="AM161" s="63" t="str">
        <f>IF(B161&lt;&gt;"",IF(VLOOKUP($B161,Totalt!$B$1:$AQ$554,MATCH("Kvalitetsgranskad:",Totalt!$B$1:$AQ$1,0),FALSE)="ja",VLOOKUP($B161,Miljö!$B$1:$AG$479,MATCH(AM$2,Miljö!$B$1:$AK$1,0),FALSE),""),"")</f>
        <v>Ja</v>
      </c>
      <c r="AN161" s="63" t="str">
        <f>IF(AM161="ja",VLOOKUP($B161,Miljö!$B$1:$J$479,MATCH("Typ av ursprungsspecificerad el   (Om inget värde anges används Nordisk residualmix, se inforuta) ()",Miljö!$B$1:$J$1,0),FALSE),IF(AM161="nej","Nordisk residualel",""))</f>
        <v>'Vattenkraft'</v>
      </c>
      <c r="AO161" s="63">
        <f>IF(AM161="","",VLOOKUP($B161,Miljö!$B$1:$J$479,MATCH("Fossilandel för ursprungspecificerad el ()",Miljö!$B$1:$J$1,0),FALSE))</f>
        <v>0</v>
      </c>
      <c r="AQ161" s="63">
        <f t="shared" si="13"/>
        <v>1</v>
      </c>
      <c r="AS161" s="63" t="str">
        <f t="shared" si="14"/>
        <v>Nej</v>
      </c>
      <c r="AT161" s="63" t="str">
        <f>IF(AS161="ja",VLOOKUP($B161,Miljö!$B$1:$P$500,MATCH("Fossil andel i procent (%)",Miljö!$B$1:$P$1,0),FALSE)/100,"")</f>
        <v/>
      </c>
      <c r="AV161" s="63" t="str">
        <f t="shared" si="15"/>
        <v>Nej</v>
      </c>
      <c r="AW161" s="63" t="str">
        <f>IF(AV161="ja",VLOOKUP($B161,'Egen hetvattenprod'!$B$1:$AO$500,MATCH("Värmekälla till värmepumpar ()",'Egen hetvattenprod'!$B$1:$AO$1,0),FALSE),"")</f>
        <v/>
      </c>
      <c r="AY161" s="63" t="str">
        <f t="shared" si="16"/>
        <v>Nej</v>
      </c>
      <c r="AZ161" s="77" t="str">
        <f>IF($AY161="ja",(VLOOKUP($B161,'Egen hetvattenprod'!$B$1:$BX$550,MATCH(AZ$2,'Egen hetvattenprod'!$B$1:$BX$1,0),FALSE)+VLOOKUP($B161,Kraftvärmeprod!$B$1:$BX$550,MATCH(AZ$2,Kraftvärmeprod!$B$1:$BX$1,0),FALSE))/$AC161,"")</f>
        <v/>
      </c>
      <c r="BA161" s="77" t="str">
        <f>IF($AY161="ja",(VLOOKUP($B161,'Egen hetvattenprod'!$B$1:$BX$550,MATCH(BA$2,'Egen hetvattenprod'!$B$1:$BX$1,0),FALSE)+VLOOKUP($B161,Kraftvärmeprod!$B$1:$BX$550,MATCH(BA$2,Kraftvärmeprod!$B$1:$BX$1,0),FALSE))/$AC161,"")</f>
        <v/>
      </c>
      <c r="BB161" s="77" t="str">
        <f>IF($AY161="ja",(VLOOKUP($B161,'Egen hetvattenprod'!$B$1:$BX$550,MATCH(BB$2,'Egen hetvattenprod'!$B$1:$BX$1,0),FALSE)+VLOOKUP($B161,Kraftvärmeprod!$B$1:$BX$550,MATCH(BB$2,Kraftvärmeprod!$B$1:$BX$1,0),FALSE))/$AC161,"")</f>
        <v/>
      </c>
      <c r="BC161" s="77" t="str">
        <f>IF($AY161="ja",(VLOOKUP($B161,'Egen hetvattenprod'!$B$1:$BX$550,MATCH(BC$2,'Egen hetvattenprod'!$B$1:$BX$1,0),FALSE)+VLOOKUP($B161,Kraftvärmeprod!$B$1:$BX$550,MATCH(BC$2,Kraftvärmeprod!$B$1:$BX$1,0),FALSE))/$AC161,"")</f>
        <v/>
      </c>
      <c r="BD161" s="77" t="str">
        <f>IF($AY161="ja",(VLOOKUP($B161,'Egen hetvattenprod'!$B$1:$BX$550,MATCH(BD$2,'Egen hetvattenprod'!$B$1:$BX$1,0),FALSE)+VLOOKUP($B161,Kraftvärmeprod!$B$1:$BX$550,MATCH(BD$2,Kraftvärmeprod!$B$1:$BX$1,0),FALSE))/$AC161,"")</f>
        <v/>
      </c>
      <c r="BF161" s="63" t="str">
        <f t="shared" si="17"/>
        <v>Nej</v>
      </c>
      <c r="BG161" s="63" t="str">
        <f>IF($BF161="ja",VLOOKUP($B161,'Egen hetvattenprod'!$B$1:$BX$550,MATCH("Andelen klimatgaser med fossilt ursprung för avfall ()",'Egen hetvattenprod'!$B$1:$BX$1,0),FALSE),"")</f>
        <v/>
      </c>
      <c r="BH161" s="63" t="str">
        <f>IF($BF161="ja",VLOOKUP($B161,Kraftvärmeprod!$B$1:$BX$550,MATCH("Andelen klimatgaser med fossilt ursprung för avfall ()",Kraftvärmeprod!$B$1:$BX$1,0),FALSE),"")</f>
        <v/>
      </c>
      <c r="BI161" s="63" t="str">
        <f>IF($BF161="ja",VLOOKUP($B161,'Egen hetvattenprod'!$B$1:$BX$550,MATCH("Avfall (GWh)",'Egen hetvattenprod'!$B$1:$BX$1,0),FALSE),"")</f>
        <v/>
      </c>
      <c r="BJ161" s="63" t="str">
        <f>IF($BF161="ja",VLOOKUP($B161,'Slutlig allokering kvv'!$B$1:$BX$550,MATCH("Avfall (GWh)",'Slutlig allokering kvv'!$B$1:$BX$1,0),FALSE),"")</f>
        <v/>
      </c>
      <c r="BK161" s="63" t="str">
        <f>IF($BF161="ja",VLOOKUP($B161,'Köpt hetvatten'!$B$1:$BX$550,MATCH("Avfall i köpt hetvatten",'Köpt hetvatten'!$B$1:$BX$1,0),FALSE),"")</f>
        <v/>
      </c>
      <c r="BL161" s="63" t="str">
        <f>IF($BF161="ja",VLOOKUP($B161,'Egen hetvattenprod'!$B$1:$BX$550,MATCH("Värde enligt ovan. (%)",'Egen hetvattenprod'!$B$1:$BX$1,0),FALSE),"")</f>
        <v/>
      </c>
      <c r="BM161" s="63" t="str">
        <f>IF($BF161="ja",VLOOKUP($B161,Kraftvärmeprod!$B$1:$BX$550,MATCH("Värde enligt ovan. (%)",Kraftvärmeprod!$B$1:$BX$1,0),FALSE),"")</f>
        <v/>
      </c>
    </row>
    <row r="162" spans="1:65" x14ac:dyDescent="0.45">
      <c r="A162" s="63" t="s">
        <v>470</v>
      </c>
      <c r="B162" s="63" t="s">
        <v>469</v>
      </c>
      <c r="C162" s="63">
        <f>VLOOKUP($B162,'Tillförd energi'!$B$1:$AI$720,MATCH(C$2,'Tillförd energi'!$B$1:$AQ$1,0),FALSE)</f>
        <v>0</v>
      </c>
      <c r="D162" s="63">
        <f>VLOOKUP($B162,'Tillförd energi'!$B$1:$AI$720,MATCH(D$2,'Tillförd energi'!$B$1:$AQ$1,0),FALSE)</f>
        <v>12.195</v>
      </c>
      <c r="E162" s="63">
        <f>VLOOKUP($B162,'Tillförd energi'!$B$1:$AI$720,MATCH(E$2,'Tillförd energi'!$B$1:$AQ$1,0),FALSE)</f>
        <v>0</v>
      </c>
      <c r="F162" s="63">
        <f>VLOOKUP($B162,'Tillförd energi'!$B$1:$AI$720,MATCH(F$2,'Tillförd energi'!$B$1:$AQ$1,0),FALSE)</f>
        <v>0</v>
      </c>
      <c r="G162" s="63">
        <f>VLOOKUP($B162,'Tillförd energi'!$B$1:$AI$720,MATCH(G$2,'Tillförd energi'!$B$1:$AQ$1,0),FALSE)</f>
        <v>0</v>
      </c>
      <c r="H162" s="63">
        <f>VLOOKUP($B162,'Tillförd energi'!$B$1:$AI$720,MATCH(H$2,'Tillförd energi'!$B$1:$AQ$1,0),FALSE)</f>
        <v>0</v>
      </c>
      <c r="I162" s="63">
        <f>VLOOKUP($B162,'Tillförd energi'!$B$1:$AI$720,MATCH(I$2,'Tillförd energi'!$B$1:$AQ$1,0),FALSE)</f>
        <v>0</v>
      </c>
      <c r="J162" s="63">
        <f>VLOOKUP($B162,'Tillförd energi'!$B$1:$AI$720,MATCH(J$2,'Tillförd energi'!$B$1:$AQ$1,0),FALSE)</f>
        <v>0</v>
      </c>
      <c r="K162" s="63">
        <f>VLOOKUP($B162,'Tillförd energi'!$B$1:$AI$720,MATCH(K$2,'Tillförd energi'!$B$1:$AQ$1,0),FALSE)</f>
        <v>0</v>
      </c>
      <c r="L162" s="63">
        <f>VLOOKUP($B162,'Tillförd energi'!$B$1:$AI$720,MATCH(L$2,'Tillförd energi'!$B$1:$AQ$1,0),FALSE)</f>
        <v>0</v>
      </c>
      <c r="M162" s="63">
        <f>VLOOKUP($B162,'Tillförd energi'!$B$1:$AI$720,MATCH(M$2,'Tillförd energi'!$B$1:$AQ$1,0),FALSE)</f>
        <v>0</v>
      </c>
      <c r="N162" s="63">
        <f>VLOOKUP($B162,'Tillförd energi'!$B$1:$AI$720,MATCH(N$2,'Tillförd energi'!$B$1:$AQ$1,0),FALSE)</f>
        <v>0</v>
      </c>
      <c r="O162" s="63">
        <f>VLOOKUP($B162,'Tillförd energi'!$B$1:$AI$720,MATCH(O$2,'Tillförd energi'!$B$1:$AQ$1,0),FALSE)</f>
        <v>0</v>
      </c>
      <c r="P162" s="63">
        <f>VLOOKUP($B162,'Tillförd energi'!$B$1:$AI$720,MATCH(P$2,'Tillförd energi'!$B$1:$AQ$1,0),FALSE)</f>
        <v>0</v>
      </c>
      <c r="Q162" s="63">
        <f>VLOOKUP($B162,'Tillförd energi'!$B$1:$AI$720,MATCH(Q$2,'Tillförd energi'!$B$1:$AQ$1,0),FALSE)</f>
        <v>0</v>
      </c>
      <c r="R162" s="63">
        <f>VLOOKUP($B162,'Tillförd energi'!$B$1:$AI$720,MATCH(R$2,'Tillförd energi'!$B$1:$AQ$1,0),FALSE)</f>
        <v>0</v>
      </c>
      <c r="S162" s="63">
        <f>VLOOKUP($B162,'Tillförd energi'!$B$1:$AI$720,MATCH(S$2,'Tillförd energi'!$B$1:$AQ$1,0),FALSE)</f>
        <v>0</v>
      </c>
      <c r="T162" s="63">
        <f>VLOOKUP($B162,'Tillförd energi'!$B$1:$AI$720,MATCH(T$2,'Tillförd energi'!$B$1:$AQ$1,0),FALSE)</f>
        <v>0</v>
      </c>
      <c r="U162" s="63">
        <f>VLOOKUP($B162,'Tillförd energi'!$B$1:$AI$720,MATCH(U$2,'Tillförd energi'!$B$1:$AQ$1,0),FALSE)</f>
        <v>0</v>
      </c>
      <c r="V162" s="63">
        <f>VLOOKUP($B162,'Tillförd energi'!$B$1:$AI$720,MATCH(V$2,'Tillförd energi'!$B$1:$AQ$1,0),FALSE)</f>
        <v>0</v>
      </c>
      <c r="W162" s="63">
        <f>VLOOKUP($B162,'Tillförd energi'!$B$1:$AI$720,MATCH(W$2,'Tillförd energi'!$B$1:$AQ$1,0),FALSE)</f>
        <v>0</v>
      </c>
      <c r="X162" s="63">
        <f>VLOOKUP($B162,'Tillförd energi'!$B$1:$AI$720,MATCH(X$2,'Tillförd energi'!$B$1:$AQ$1,0),FALSE)</f>
        <v>0</v>
      </c>
      <c r="Y162" s="63">
        <f>VLOOKUP($B162,'Tillförd energi'!$B$1:$AI$720,MATCH(Y$2,'Tillförd energi'!$B$1:$AQ$1,0),FALSE)</f>
        <v>0</v>
      </c>
      <c r="Z162" s="63">
        <f>VLOOKUP($B162,'Tillförd energi'!$B$1:$AI$720,MATCH(Z$2,'Tillförd energi'!$B$1:$AQ$1,0),FALSE)</f>
        <v>0</v>
      </c>
      <c r="AA162" s="63">
        <f>VLOOKUP($B162,'Tillförd energi'!$B$1:$AI$720,MATCH(AA$2,'Tillförd energi'!$B$1:$AQ$1,0),FALSE)</f>
        <v>0</v>
      </c>
      <c r="AB162" s="63">
        <f>VLOOKUP($B162,'Tillförd energi'!$B$1:$AI$720,MATCH(AB$2,'Tillförd energi'!$B$1:$AQ$1,0),FALSE)</f>
        <v>0</v>
      </c>
      <c r="AC162" s="63">
        <f>VLOOKUP($B162,'Tillförd energi'!$B$1:$AI$720,MATCH(AC$2,'Tillförd energi'!$B$1:$AQ$1,0),FALSE)</f>
        <v>0</v>
      </c>
      <c r="AD162" s="63">
        <f>VLOOKUP($B162,'Tillförd energi'!$B$1:$AI$720,MATCH(AD$2,'Tillförd energi'!$B$1:$AQ$1,0),FALSE)</f>
        <v>42.735999999999997</v>
      </c>
      <c r="AE162" s="63">
        <f>VLOOKUP($B162,'Tillförd energi'!$B$1:$AI$720,MATCH(AE$2,'Tillförd energi'!$B$1:$AQ$1,0),FALSE)</f>
        <v>0</v>
      </c>
      <c r="AF162" s="63">
        <f>VLOOKUP($B162,'Tillförd energi'!$B$1:$AI$720,MATCH(AF$2,'Tillförd energi'!$B$1:$AQ$1,0),FALSE)</f>
        <v>1.26996</v>
      </c>
      <c r="AG162" s="63">
        <f>IFERROR(VLOOKUP(B162,Miljö!$B$1:$AC$550,MATCH("Köpt mängd produktionsspecifik fjärrvärme:",Miljö!$B$1:$AC$1,0),FALSE)/1,0)</f>
        <v>0</v>
      </c>
      <c r="AI162" s="63">
        <f t="shared" si="12"/>
        <v>56.200959999999995</v>
      </c>
      <c r="AJ162" s="63">
        <f>IF(ISERROR(1/VLOOKUP($B162,Leveranser!$B$1:$S$500,MATCH("såld värme (gwh)",Leveranser!$B$1:$S$1,0),FALSE)),"",VLOOKUP($B162,Leveranser!$B$1:$S$500,MATCH("såld värme (gwh)",Leveranser!$B$1:$S$1,0),FALSE))</f>
        <v>42.332000000000001</v>
      </c>
      <c r="AM162" s="63" t="str">
        <f>IF(B162&lt;&gt;"",IF(VLOOKUP($B162,Totalt!$B$1:$AQ$554,MATCH("Kvalitetsgranskad:",Totalt!$B$1:$AQ$1,0),FALSE)="ja",VLOOKUP($B162,Miljö!$B$1:$AG$479,MATCH(AM$2,Miljö!$B$1:$AK$1,0),FALSE),""),"")</f>
        <v>Ja</v>
      </c>
      <c r="AN162" s="63" t="str">
        <f>IF(AM162="ja",VLOOKUP($B162,Miljö!$B$1:$J$479,MATCH("Typ av ursprungsspecificerad el   (Om inget värde anges används Nordisk residualmix, se inforuta) ()",Miljö!$B$1:$J$1,0),FALSE),IF(AM162="nej","Nordisk residualel",""))</f>
        <v>-</v>
      </c>
      <c r="AO162" s="63">
        <f>IF(AM162="","",VLOOKUP($B162,Miljö!$B$1:$J$479,MATCH("Fossilandel för ursprungspecificerad el ()",Miljö!$B$1:$J$1,0),FALSE))</f>
        <v>0.35</v>
      </c>
      <c r="AQ162" s="63">
        <f t="shared" si="13"/>
        <v>0.65</v>
      </c>
      <c r="AS162" s="63" t="str">
        <f t="shared" si="14"/>
        <v>Nej</v>
      </c>
      <c r="AT162" s="63" t="str">
        <f>IF(AS162="ja",VLOOKUP($B162,Miljö!$B$1:$P$500,MATCH("Fossil andel i procent (%)",Miljö!$B$1:$P$1,0),FALSE)/100,"")</f>
        <v/>
      </c>
      <c r="AV162" s="63" t="str">
        <f t="shared" si="15"/>
        <v>Nej</v>
      </c>
      <c r="AW162" s="63" t="str">
        <f>IF(AV162="ja",VLOOKUP($B162,'Egen hetvattenprod'!$B$1:$AO$500,MATCH("Värmekälla till värmepumpar ()",'Egen hetvattenprod'!$B$1:$AO$1,0),FALSE),"")</f>
        <v/>
      </c>
      <c r="AY162" s="63" t="str">
        <f t="shared" si="16"/>
        <v>Nej</v>
      </c>
      <c r="AZ162" s="77" t="str">
        <f>IF($AY162="ja",(VLOOKUP($B162,'Egen hetvattenprod'!$B$1:$BX$550,MATCH(AZ$2,'Egen hetvattenprod'!$B$1:$BX$1,0),FALSE)+VLOOKUP($B162,Kraftvärmeprod!$B$1:$BX$550,MATCH(AZ$2,Kraftvärmeprod!$B$1:$BX$1,0),FALSE))/$AC162,"")</f>
        <v/>
      </c>
      <c r="BA162" s="77" t="str">
        <f>IF($AY162="ja",(VLOOKUP($B162,'Egen hetvattenprod'!$B$1:$BX$550,MATCH(BA$2,'Egen hetvattenprod'!$B$1:$BX$1,0),FALSE)+VLOOKUP($B162,Kraftvärmeprod!$B$1:$BX$550,MATCH(BA$2,Kraftvärmeprod!$B$1:$BX$1,0),FALSE))/$AC162,"")</f>
        <v/>
      </c>
      <c r="BB162" s="77" t="str">
        <f>IF($AY162="ja",(VLOOKUP($B162,'Egen hetvattenprod'!$B$1:$BX$550,MATCH(BB$2,'Egen hetvattenprod'!$B$1:$BX$1,0),FALSE)+VLOOKUP($B162,Kraftvärmeprod!$B$1:$BX$550,MATCH(BB$2,Kraftvärmeprod!$B$1:$BX$1,0),FALSE))/$AC162,"")</f>
        <v/>
      </c>
      <c r="BC162" s="77" t="str">
        <f>IF($AY162="ja",(VLOOKUP($B162,'Egen hetvattenprod'!$B$1:$BX$550,MATCH(BC$2,'Egen hetvattenprod'!$B$1:$BX$1,0),FALSE)+VLOOKUP($B162,Kraftvärmeprod!$B$1:$BX$550,MATCH(BC$2,Kraftvärmeprod!$B$1:$BX$1,0),FALSE))/$AC162,"")</f>
        <v/>
      </c>
      <c r="BD162" s="77" t="str">
        <f>IF($AY162="ja",(VLOOKUP($B162,'Egen hetvattenprod'!$B$1:$BX$550,MATCH(BD$2,'Egen hetvattenprod'!$B$1:$BX$1,0),FALSE)+VLOOKUP($B162,Kraftvärmeprod!$B$1:$BX$550,MATCH(BD$2,Kraftvärmeprod!$B$1:$BX$1,0),FALSE))/$AC162,"")</f>
        <v/>
      </c>
      <c r="BF162" s="63" t="str">
        <f t="shared" si="17"/>
        <v>Nej</v>
      </c>
      <c r="BG162" s="63" t="str">
        <f>IF($BF162="ja",VLOOKUP($B162,'Egen hetvattenprod'!$B$1:$BX$550,MATCH("Andelen klimatgaser med fossilt ursprung för avfall ()",'Egen hetvattenprod'!$B$1:$BX$1,0),FALSE),"")</f>
        <v/>
      </c>
      <c r="BH162" s="63" t="str">
        <f>IF($BF162="ja",VLOOKUP($B162,Kraftvärmeprod!$B$1:$BX$550,MATCH("Andelen klimatgaser med fossilt ursprung för avfall ()",Kraftvärmeprod!$B$1:$BX$1,0),FALSE),"")</f>
        <v/>
      </c>
      <c r="BI162" s="63" t="str">
        <f>IF($BF162="ja",VLOOKUP($B162,'Egen hetvattenprod'!$B$1:$BX$550,MATCH("Avfall (GWh)",'Egen hetvattenprod'!$B$1:$BX$1,0),FALSE),"")</f>
        <v/>
      </c>
      <c r="BJ162" s="63" t="str">
        <f>IF($BF162="ja",VLOOKUP($B162,'Slutlig allokering kvv'!$B$1:$BX$550,MATCH("Avfall (GWh)",'Slutlig allokering kvv'!$B$1:$BX$1,0),FALSE),"")</f>
        <v/>
      </c>
      <c r="BK162" s="63" t="str">
        <f>IF($BF162="ja",VLOOKUP($B162,'Köpt hetvatten'!$B$1:$BX$550,MATCH("Avfall i köpt hetvatten",'Köpt hetvatten'!$B$1:$BX$1,0),FALSE),"")</f>
        <v/>
      </c>
      <c r="BL162" s="63" t="str">
        <f>IF($BF162="ja",VLOOKUP($B162,'Egen hetvattenprod'!$B$1:$BX$550,MATCH("Värde enligt ovan. (%)",'Egen hetvattenprod'!$B$1:$BX$1,0),FALSE),"")</f>
        <v/>
      </c>
      <c r="BM162" s="63" t="str">
        <f>IF($BF162="ja",VLOOKUP($B162,Kraftvärmeprod!$B$1:$BX$550,MATCH("Värde enligt ovan. (%)",Kraftvärmeprod!$B$1:$BX$1,0),FALSE),"")</f>
        <v/>
      </c>
    </row>
    <row r="163" spans="1:65" x14ac:dyDescent="0.45">
      <c r="A163" s="63" t="s">
        <v>467</v>
      </c>
      <c r="B163" s="63" t="s">
        <v>466</v>
      </c>
      <c r="C163" s="63">
        <f>VLOOKUP($B163,'Tillförd energi'!$B$1:$AI$720,MATCH(C$2,'Tillförd energi'!$B$1:$AQ$1,0),FALSE)</f>
        <v>0</v>
      </c>
      <c r="D163" s="63">
        <f>VLOOKUP($B163,'Tillförd energi'!$B$1:$AI$720,MATCH(D$2,'Tillförd energi'!$B$1:$AQ$1,0),FALSE)</f>
        <v>2.8820000000000001</v>
      </c>
      <c r="E163" s="63">
        <f>VLOOKUP($B163,'Tillförd energi'!$B$1:$AI$720,MATCH(E$2,'Tillförd energi'!$B$1:$AQ$1,0),FALSE)</f>
        <v>0</v>
      </c>
      <c r="F163" s="63">
        <f>VLOOKUP($B163,'Tillförd energi'!$B$1:$AI$720,MATCH(F$2,'Tillförd energi'!$B$1:$AQ$1,0),FALSE)</f>
        <v>0</v>
      </c>
      <c r="G163" s="63">
        <f>VLOOKUP($B163,'Tillförd energi'!$B$1:$AI$720,MATCH(G$2,'Tillförd energi'!$B$1:$AQ$1,0),FALSE)</f>
        <v>0</v>
      </c>
      <c r="H163" s="63">
        <f>VLOOKUP($B163,'Tillförd energi'!$B$1:$AI$720,MATCH(H$2,'Tillförd energi'!$B$1:$AQ$1,0),FALSE)</f>
        <v>0</v>
      </c>
      <c r="I163" s="63">
        <f>VLOOKUP($B163,'Tillförd energi'!$B$1:$AI$720,MATCH(I$2,'Tillförd energi'!$B$1:$AQ$1,0),FALSE)</f>
        <v>291.471</v>
      </c>
      <c r="J163" s="63">
        <f>VLOOKUP($B163,'Tillförd energi'!$B$1:$AI$720,MATCH(J$2,'Tillförd energi'!$B$1:$AQ$1,0),FALSE)</f>
        <v>0</v>
      </c>
      <c r="K163" s="63">
        <f>VLOOKUP($B163,'Tillförd energi'!$B$1:$AI$720,MATCH(K$2,'Tillförd energi'!$B$1:$AQ$1,0),FALSE)</f>
        <v>0</v>
      </c>
      <c r="L163" s="63">
        <f>VLOOKUP($B163,'Tillförd energi'!$B$1:$AI$720,MATCH(L$2,'Tillförd energi'!$B$1:$AQ$1,0),FALSE)</f>
        <v>0</v>
      </c>
      <c r="M163" s="63">
        <f>VLOOKUP($B163,'Tillförd energi'!$B$1:$AI$720,MATCH(M$2,'Tillförd energi'!$B$1:$AQ$1,0),FALSE)</f>
        <v>0</v>
      </c>
      <c r="N163" s="63">
        <f>VLOOKUP($B163,'Tillförd energi'!$B$1:$AI$720,MATCH(N$2,'Tillförd energi'!$B$1:$AQ$1,0),FALSE)</f>
        <v>0</v>
      </c>
      <c r="O163" s="63">
        <f>VLOOKUP($B163,'Tillförd energi'!$B$1:$AI$720,MATCH(O$2,'Tillförd energi'!$B$1:$AQ$1,0),FALSE)</f>
        <v>0</v>
      </c>
      <c r="P163" s="63">
        <f>VLOOKUP($B163,'Tillförd energi'!$B$1:$AI$720,MATCH(P$2,'Tillförd energi'!$B$1:$AQ$1,0),FALSE)</f>
        <v>0</v>
      </c>
      <c r="Q163" s="63">
        <f>VLOOKUP($B163,'Tillförd energi'!$B$1:$AI$720,MATCH(Q$2,'Tillförd energi'!$B$1:$AQ$1,0),FALSE)</f>
        <v>0</v>
      </c>
      <c r="R163" s="63">
        <f>VLOOKUP($B163,'Tillförd energi'!$B$1:$AI$720,MATCH(R$2,'Tillförd energi'!$B$1:$AQ$1,0),FALSE)</f>
        <v>0</v>
      </c>
      <c r="S163" s="63">
        <f>VLOOKUP($B163,'Tillförd energi'!$B$1:$AI$720,MATCH(S$2,'Tillförd energi'!$B$1:$AQ$1,0),FALSE)</f>
        <v>0</v>
      </c>
      <c r="T163" s="63">
        <f>VLOOKUP($B163,'Tillförd energi'!$B$1:$AI$720,MATCH(T$2,'Tillförd energi'!$B$1:$AQ$1,0),FALSE)</f>
        <v>0</v>
      </c>
      <c r="U163" s="63">
        <f>VLOOKUP($B163,'Tillförd energi'!$B$1:$AI$720,MATCH(U$2,'Tillförd energi'!$B$1:$AQ$1,0),FALSE)</f>
        <v>0</v>
      </c>
      <c r="V163" s="63">
        <f>VLOOKUP($B163,'Tillförd energi'!$B$1:$AI$720,MATCH(V$2,'Tillförd energi'!$B$1:$AQ$1,0),FALSE)</f>
        <v>0</v>
      </c>
      <c r="W163" s="63">
        <f>VLOOKUP($B163,'Tillförd energi'!$B$1:$AI$720,MATCH(W$2,'Tillförd energi'!$B$1:$AQ$1,0),FALSE)</f>
        <v>2.9729999999999999</v>
      </c>
      <c r="X163" s="63">
        <f>VLOOKUP($B163,'Tillförd energi'!$B$1:$AI$720,MATCH(X$2,'Tillförd energi'!$B$1:$AQ$1,0),FALSE)</f>
        <v>0</v>
      </c>
      <c r="Y163" s="63">
        <f>VLOOKUP($B163,'Tillförd energi'!$B$1:$AI$720,MATCH(Y$2,'Tillförd energi'!$B$1:$AQ$1,0),FALSE)</f>
        <v>0</v>
      </c>
      <c r="Z163" s="63">
        <f>VLOOKUP($B163,'Tillförd energi'!$B$1:$AI$720,MATCH(Z$2,'Tillförd energi'!$B$1:$AQ$1,0),FALSE)</f>
        <v>0</v>
      </c>
      <c r="AA163" s="63">
        <f>VLOOKUP($B163,'Tillförd energi'!$B$1:$AI$720,MATCH(AA$2,'Tillförd energi'!$B$1:$AQ$1,0),FALSE)</f>
        <v>0</v>
      </c>
      <c r="AB163" s="63">
        <f>VLOOKUP($B163,'Tillförd energi'!$B$1:$AI$720,MATCH(AB$2,'Tillförd energi'!$B$1:$AQ$1,0),FALSE)</f>
        <v>0</v>
      </c>
      <c r="AC163" s="63">
        <f>VLOOKUP($B163,'Tillförd energi'!$B$1:$AI$720,MATCH(AC$2,'Tillförd energi'!$B$1:$AQ$1,0),FALSE)</f>
        <v>9.6460000000000008</v>
      </c>
      <c r="AD163" s="63">
        <f>VLOOKUP($B163,'Tillförd energi'!$B$1:$AI$720,MATCH(AD$2,'Tillförd energi'!$B$1:$AQ$1,0),FALSE)</f>
        <v>0</v>
      </c>
      <c r="AE163" s="63">
        <f>VLOOKUP($B163,'Tillförd energi'!$B$1:$AI$720,MATCH(AE$2,'Tillförd energi'!$B$1:$AQ$1,0),FALSE)</f>
        <v>0</v>
      </c>
      <c r="AF163" s="63">
        <f>VLOOKUP($B163,'Tillförd energi'!$B$1:$AI$720,MATCH(AF$2,'Tillförd energi'!$B$1:$AQ$1,0),FALSE)</f>
        <v>6.5277000000000003</v>
      </c>
      <c r="AG163" s="63">
        <f>IFERROR(VLOOKUP(B163,Miljö!$B$1:$AC$550,MATCH("Köpt mängd produktionsspecifik fjärrvärme:",Miljö!$B$1:$AC$1,0),FALSE)/1,0)</f>
        <v>0</v>
      </c>
      <c r="AI163" s="63">
        <f t="shared" si="12"/>
        <v>313.49970000000002</v>
      </c>
      <c r="AJ163" s="63">
        <f>IF(ISERROR(1/VLOOKUP($B163,Leveranser!$B$1:$S$500,MATCH("såld värme (gwh)",Leveranser!$B$1:$S$1,0),FALSE)),"",VLOOKUP($B163,Leveranser!$B$1:$S$500,MATCH("såld värme (gwh)",Leveranser!$B$1:$S$1,0),FALSE))</f>
        <v>217.59</v>
      </c>
      <c r="AM163" s="63" t="str">
        <f>IF(B163&lt;&gt;"",IF(VLOOKUP($B163,Totalt!$B$1:$AQ$554,MATCH("Kvalitetsgranskad:",Totalt!$B$1:$AQ$1,0),FALSE)="ja",VLOOKUP($B163,Miljö!$B$1:$AG$479,MATCH(AM$2,Miljö!$B$1:$AK$1,0),FALSE),""),"")</f>
        <v>Ja</v>
      </c>
      <c r="AN163" s="63" t="str">
        <f>IF(AM163="ja",VLOOKUP($B163,Miljö!$B$1:$J$479,MATCH("Typ av ursprungsspecificerad el   (Om inget värde anges används Nordisk residualmix, se inforuta) ()",Miljö!$B$1:$J$1,0),FALSE),IF(AM163="nej","Nordisk residualel",""))</f>
        <v>'Vattenkraft'</v>
      </c>
      <c r="AO163" s="63">
        <f>IF(AM163="","",VLOOKUP($B163,Miljö!$B$1:$J$479,MATCH("Fossilandel för ursprungspecificerad el ()",Miljö!$B$1:$J$1,0),FALSE))</f>
        <v>0</v>
      </c>
      <c r="AQ163" s="63">
        <f t="shared" si="13"/>
        <v>1</v>
      </c>
      <c r="AS163" s="63" t="str">
        <f t="shared" si="14"/>
        <v>Nej</v>
      </c>
      <c r="AT163" s="63" t="str">
        <f>IF(AS163="ja",VLOOKUP($B163,Miljö!$B$1:$P$500,MATCH("Fossil andel i procent (%)",Miljö!$B$1:$P$1,0),FALSE)/100,"")</f>
        <v/>
      </c>
      <c r="AV163" s="63" t="str">
        <f t="shared" si="15"/>
        <v>Nej</v>
      </c>
      <c r="AW163" s="63" t="str">
        <f>IF(AV163="ja",VLOOKUP($B163,'Egen hetvattenprod'!$B$1:$AO$500,MATCH("Värmekälla till värmepumpar ()",'Egen hetvattenprod'!$B$1:$AO$1,0),FALSE),"")</f>
        <v/>
      </c>
      <c r="AY163" s="63" t="str">
        <f t="shared" si="16"/>
        <v>Ja</v>
      </c>
      <c r="AZ163" s="77">
        <f>IF($AY163="ja",(VLOOKUP($B163,'Egen hetvattenprod'!$B$1:$BX$550,MATCH(AZ$2,'Egen hetvattenprod'!$B$1:$BX$1,0),FALSE)+VLOOKUP($B163,Kraftvärmeprod!$B$1:$BX$550,MATCH(AZ$2,Kraftvärmeprod!$B$1:$BX$1,0),FALSE))/$AC163,"")</f>
        <v>0</v>
      </c>
      <c r="BA163" s="77">
        <f>IF($AY163="ja",(VLOOKUP($B163,'Egen hetvattenprod'!$B$1:$BX$550,MATCH(BA$2,'Egen hetvattenprod'!$B$1:$BX$1,0),FALSE)+VLOOKUP($B163,Kraftvärmeprod!$B$1:$BX$550,MATCH(BA$2,Kraftvärmeprod!$B$1:$BX$1,0),FALSE))/$AC163,"")</f>
        <v>1</v>
      </c>
      <c r="BB163" s="77">
        <f>IF($AY163="ja",(VLOOKUP($B163,'Egen hetvattenprod'!$B$1:$BX$550,MATCH(BB$2,'Egen hetvattenprod'!$B$1:$BX$1,0),FALSE)+VLOOKUP($B163,Kraftvärmeprod!$B$1:$BX$550,MATCH(BB$2,Kraftvärmeprod!$B$1:$BX$1,0),FALSE))/$AC163,"")</f>
        <v>0</v>
      </c>
      <c r="BC163" s="77">
        <f>IF($AY163="ja",(VLOOKUP($B163,'Egen hetvattenprod'!$B$1:$BX$550,MATCH(BC$2,'Egen hetvattenprod'!$B$1:$BX$1,0),FALSE)+VLOOKUP($B163,Kraftvärmeprod!$B$1:$BX$550,MATCH(BC$2,Kraftvärmeprod!$B$1:$BX$1,0),FALSE))/$AC163,"")</f>
        <v>0</v>
      </c>
      <c r="BD163" s="77">
        <f>IF($AY163="ja",(VLOOKUP($B163,'Egen hetvattenprod'!$B$1:$BX$550,MATCH(BD$2,'Egen hetvattenprod'!$B$1:$BX$1,0),FALSE)+VLOOKUP($B163,Kraftvärmeprod!$B$1:$BX$550,MATCH(BD$2,Kraftvärmeprod!$B$1:$BX$1,0),FALSE))/$AC163,"")</f>
        <v>0</v>
      </c>
      <c r="BF163" s="63" t="str">
        <f t="shared" si="17"/>
        <v>Ja</v>
      </c>
      <c r="BG163" s="63" t="str">
        <f>IF($BF163="ja",VLOOKUP($B163,'Egen hetvattenprod'!$B$1:$BX$550,MATCH("Andelen klimatgaser med fossilt ursprung för avfall ()",'Egen hetvattenprod'!$B$1:$BX$1,0),FALSE),"")</f>
        <v>Schablon</v>
      </c>
      <c r="BH163" s="63" t="str">
        <f>IF($BF163="ja",VLOOKUP($B163,Kraftvärmeprod!$B$1:$BX$550,MATCH("Andelen klimatgaser med fossilt ursprung för avfall ()",Kraftvärmeprod!$B$1:$BX$1,0),FALSE),"")</f>
        <v>ET</v>
      </c>
      <c r="BI163" s="63">
        <f>IF($BF163="ja",VLOOKUP($B163,'Egen hetvattenprod'!$B$1:$BX$550,MATCH("Avfall (GWh)",'Egen hetvattenprod'!$B$1:$BX$1,0),FALSE),"")</f>
        <v>265.99700000000001</v>
      </c>
      <c r="BJ163" s="63">
        <f>IF($BF163="ja",VLOOKUP($B163,'Slutlig allokering kvv'!$B$1:$BX$550,MATCH("Avfall (GWh)",'Slutlig allokering kvv'!$B$1:$BX$1,0),FALSE),"")</f>
        <v>25.474299999999999</v>
      </c>
      <c r="BK163" s="63">
        <f>IF($BF163="ja",VLOOKUP($B163,'Köpt hetvatten'!$B$1:$BX$550,MATCH("Avfall i köpt hetvatten",'Köpt hetvatten'!$B$1:$BX$1,0),FALSE),"")</f>
        <v>0</v>
      </c>
      <c r="BL163" s="63">
        <f>IF($BF163="ja",VLOOKUP($B163,'Egen hetvattenprod'!$B$1:$BX$550,MATCH("Värde enligt ovan. (%)",'Egen hetvattenprod'!$B$1:$BX$1,0),FALSE),"")</f>
        <v>37.299999999999997</v>
      </c>
      <c r="BM163" s="63" t="str">
        <f>IF($BF163="ja",VLOOKUP($B163,Kraftvärmeprod!$B$1:$BX$550,MATCH("Värde enligt ovan. (%)",Kraftvärmeprod!$B$1:$BX$1,0),FALSE),"")</f>
        <v>ET</v>
      </c>
    </row>
    <row r="164" spans="1:65" x14ac:dyDescent="0.45">
      <c r="A164" s="63" t="s">
        <v>467</v>
      </c>
      <c r="B164" s="63" t="s">
        <v>468</v>
      </c>
      <c r="C164" s="63">
        <f>VLOOKUP($B164,'Tillförd energi'!$B$1:$AI$720,MATCH(C$2,'Tillförd energi'!$B$1:$AQ$1,0),FALSE)</f>
        <v>0</v>
      </c>
      <c r="D164" s="63">
        <f>VLOOKUP($B164,'Tillförd energi'!$B$1:$AI$720,MATCH(D$2,'Tillförd energi'!$B$1:$AQ$1,0),FALSE)</f>
        <v>0</v>
      </c>
      <c r="E164" s="63">
        <f>VLOOKUP($B164,'Tillförd energi'!$B$1:$AI$720,MATCH(E$2,'Tillförd energi'!$B$1:$AQ$1,0),FALSE)</f>
        <v>0</v>
      </c>
      <c r="F164" s="63">
        <f>VLOOKUP($B164,'Tillförd energi'!$B$1:$AI$720,MATCH(F$2,'Tillförd energi'!$B$1:$AQ$1,0),FALSE)</f>
        <v>0</v>
      </c>
      <c r="G164" s="63">
        <f>VLOOKUP($B164,'Tillförd energi'!$B$1:$AI$720,MATCH(G$2,'Tillförd energi'!$B$1:$AQ$1,0),FALSE)</f>
        <v>0</v>
      </c>
      <c r="H164" s="63">
        <f>VLOOKUP($B164,'Tillförd energi'!$B$1:$AI$720,MATCH(H$2,'Tillförd energi'!$B$1:$AQ$1,0),FALSE)</f>
        <v>0</v>
      </c>
      <c r="I164" s="63">
        <f>VLOOKUP($B164,'Tillförd energi'!$B$1:$AI$720,MATCH(I$2,'Tillförd energi'!$B$1:$AQ$1,0),FALSE)</f>
        <v>52.213000000000001</v>
      </c>
      <c r="J164" s="63">
        <f>VLOOKUP($B164,'Tillförd energi'!$B$1:$AI$720,MATCH(J$2,'Tillförd energi'!$B$1:$AQ$1,0),FALSE)</f>
        <v>0</v>
      </c>
      <c r="K164" s="63">
        <f>VLOOKUP($B164,'Tillförd energi'!$B$1:$AI$720,MATCH(K$2,'Tillförd energi'!$B$1:$AQ$1,0),FALSE)</f>
        <v>0</v>
      </c>
      <c r="L164" s="63">
        <f>VLOOKUP($B164,'Tillförd energi'!$B$1:$AI$720,MATCH(L$2,'Tillförd energi'!$B$1:$AQ$1,0),FALSE)</f>
        <v>0</v>
      </c>
      <c r="M164" s="63">
        <f>VLOOKUP($B164,'Tillförd energi'!$B$1:$AI$720,MATCH(M$2,'Tillförd energi'!$B$1:$AQ$1,0),FALSE)</f>
        <v>0</v>
      </c>
      <c r="N164" s="63">
        <f>VLOOKUP($B164,'Tillförd energi'!$B$1:$AI$720,MATCH(N$2,'Tillförd energi'!$B$1:$AQ$1,0),FALSE)</f>
        <v>0</v>
      </c>
      <c r="O164" s="63">
        <f>VLOOKUP($B164,'Tillförd energi'!$B$1:$AI$720,MATCH(O$2,'Tillförd energi'!$B$1:$AQ$1,0),FALSE)</f>
        <v>0</v>
      </c>
      <c r="P164" s="63">
        <f>VLOOKUP($B164,'Tillförd energi'!$B$1:$AI$720,MATCH(P$2,'Tillförd energi'!$B$1:$AQ$1,0),FALSE)</f>
        <v>0</v>
      </c>
      <c r="Q164" s="63">
        <f>VLOOKUP($B164,'Tillförd energi'!$B$1:$AI$720,MATCH(Q$2,'Tillförd energi'!$B$1:$AQ$1,0),FALSE)</f>
        <v>0</v>
      </c>
      <c r="R164" s="63">
        <f>VLOOKUP($B164,'Tillförd energi'!$B$1:$AI$720,MATCH(R$2,'Tillförd energi'!$B$1:$AQ$1,0),FALSE)</f>
        <v>0</v>
      </c>
      <c r="S164" s="63">
        <f>VLOOKUP($B164,'Tillförd energi'!$B$1:$AI$720,MATCH(S$2,'Tillförd energi'!$B$1:$AQ$1,0),FALSE)</f>
        <v>0</v>
      </c>
      <c r="T164" s="63">
        <f>VLOOKUP($B164,'Tillförd energi'!$B$1:$AI$720,MATCH(T$2,'Tillförd energi'!$B$1:$AQ$1,0),FALSE)</f>
        <v>0</v>
      </c>
      <c r="U164" s="63">
        <f>VLOOKUP($B164,'Tillförd energi'!$B$1:$AI$720,MATCH(U$2,'Tillförd energi'!$B$1:$AQ$1,0),FALSE)</f>
        <v>0</v>
      </c>
      <c r="V164" s="63">
        <f>VLOOKUP($B164,'Tillförd energi'!$B$1:$AI$720,MATCH(V$2,'Tillförd energi'!$B$1:$AQ$1,0),FALSE)</f>
        <v>0</v>
      </c>
      <c r="W164" s="63">
        <f>VLOOKUP($B164,'Tillförd energi'!$B$1:$AI$720,MATCH(W$2,'Tillförd energi'!$B$1:$AQ$1,0),FALSE)</f>
        <v>0</v>
      </c>
      <c r="X164" s="63">
        <f>VLOOKUP($B164,'Tillförd energi'!$B$1:$AI$720,MATCH(X$2,'Tillförd energi'!$B$1:$AQ$1,0),FALSE)</f>
        <v>0</v>
      </c>
      <c r="Y164" s="63">
        <f>VLOOKUP($B164,'Tillförd energi'!$B$1:$AI$720,MATCH(Y$2,'Tillförd energi'!$B$1:$AQ$1,0),FALSE)</f>
        <v>0</v>
      </c>
      <c r="Z164" s="63">
        <f>VLOOKUP($B164,'Tillförd energi'!$B$1:$AI$720,MATCH(Z$2,'Tillförd energi'!$B$1:$AQ$1,0),FALSE)</f>
        <v>0</v>
      </c>
      <c r="AA164" s="63">
        <f>VLOOKUP($B164,'Tillförd energi'!$B$1:$AI$720,MATCH(AA$2,'Tillförd energi'!$B$1:$AQ$1,0),FALSE)</f>
        <v>0</v>
      </c>
      <c r="AB164" s="63">
        <f>VLOOKUP($B164,'Tillförd energi'!$B$1:$AI$720,MATCH(AB$2,'Tillförd energi'!$B$1:$AQ$1,0),FALSE)</f>
        <v>0</v>
      </c>
      <c r="AC164" s="63">
        <f>VLOOKUP($B164,'Tillförd energi'!$B$1:$AI$720,MATCH(AC$2,'Tillförd energi'!$B$1:$AQ$1,0),FALSE)</f>
        <v>0</v>
      </c>
      <c r="AD164" s="63">
        <f>VLOOKUP($B164,'Tillförd energi'!$B$1:$AI$720,MATCH(AD$2,'Tillförd energi'!$B$1:$AQ$1,0),FALSE)</f>
        <v>11.393000000000001</v>
      </c>
      <c r="AE164" s="63">
        <f>VLOOKUP($B164,'Tillförd energi'!$B$1:$AI$720,MATCH(AE$2,'Tillförd energi'!$B$1:$AQ$1,0),FALSE)</f>
        <v>0</v>
      </c>
      <c r="AF164" s="63">
        <f>VLOOKUP($B164,'Tillförd energi'!$B$1:$AI$720,MATCH(AF$2,'Tillförd energi'!$B$1:$AQ$1,0),FALSE)</f>
        <v>27.361000000000001</v>
      </c>
      <c r="AG164" s="63">
        <f>IFERROR(VLOOKUP(B164,Miljö!$B$1:$AC$550,MATCH("Köpt mängd produktionsspecifik fjärrvärme:",Miljö!$B$1:$AC$1,0),FALSE)/1,0)</f>
        <v>0</v>
      </c>
      <c r="AI164" s="63">
        <f t="shared" si="12"/>
        <v>90.966999999999999</v>
      </c>
      <c r="AJ164" s="63">
        <f>IF(ISERROR(1/VLOOKUP($B164,Leveranser!$B$1:$S$500,MATCH("såld värme (gwh)",Leveranser!$B$1:$S$1,0),FALSE)),"",VLOOKUP($B164,Leveranser!$B$1:$S$500,MATCH("såld värme (gwh)",Leveranser!$B$1:$S$1,0),FALSE))</f>
        <v>75.165000000000006</v>
      </c>
      <c r="AM164" s="63" t="str">
        <f>IF(B164&lt;&gt;"",IF(VLOOKUP($B164,Totalt!$B$1:$AQ$554,MATCH("Kvalitetsgranskad:",Totalt!$B$1:$AQ$1,0),FALSE)="ja",VLOOKUP($B164,Miljö!$B$1:$AG$479,MATCH(AM$2,Miljö!$B$1:$AK$1,0),FALSE),""),"")</f>
        <v>Ja</v>
      </c>
      <c r="AN164" s="63" t="str">
        <f>IF(AM164="ja",VLOOKUP($B164,Miljö!$B$1:$J$479,MATCH("Typ av ursprungsspecificerad el   (Om inget värde anges används Nordisk residualmix, se inforuta) ()",Miljö!$B$1:$J$1,0),FALSE),IF(AM164="nej","Nordisk residualel",""))</f>
        <v>'Vattenkraft'</v>
      </c>
      <c r="AO164" s="63">
        <f>IF(AM164="","",VLOOKUP($B164,Miljö!$B$1:$J$479,MATCH("Fossilandel för ursprungspecificerad el ()",Miljö!$B$1:$J$1,0),FALSE))</f>
        <v>0</v>
      </c>
      <c r="AQ164" s="63">
        <f t="shared" si="13"/>
        <v>1</v>
      </c>
      <c r="AS164" s="63" t="str">
        <f t="shared" si="14"/>
        <v>Nej</v>
      </c>
      <c r="AT164" s="63" t="str">
        <f>IF(AS164="ja",VLOOKUP($B164,Miljö!$B$1:$P$500,MATCH("Fossil andel i procent (%)",Miljö!$B$1:$P$1,0),FALSE)/100,"")</f>
        <v/>
      </c>
      <c r="AV164" s="63" t="str">
        <f t="shared" si="15"/>
        <v>Nej</v>
      </c>
      <c r="AW164" s="63" t="str">
        <f>IF(AV164="ja",VLOOKUP($B164,'Egen hetvattenprod'!$B$1:$AO$500,MATCH("Värmekälla till värmepumpar ()",'Egen hetvattenprod'!$B$1:$AO$1,0),FALSE),"")</f>
        <v/>
      </c>
      <c r="AY164" s="63" t="str">
        <f t="shared" si="16"/>
        <v>Nej</v>
      </c>
      <c r="AZ164" s="77" t="str">
        <f>IF($AY164="ja",(VLOOKUP($B164,'Egen hetvattenprod'!$B$1:$BX$550,MATCH(AZ$2,'Egen hetvattenprod'!$B$1:$BX$1,0),FALSE)+VLOOKUP($B164,Kraftvärmeprod!$B$1:$BX$550,MATCH(AZ$2,Kraftvärmeprod!$B$1:$BX$1,0),FALSE))/$AC164,"")</f>
        <v/>
      </c>
      <c r="BA164" s="77" t="str">
        <f>IF($AY164="ja",(VLOOKUP($B164,'Egen hetvattenprod'!$B$1:$BX$550,MATCH(BA$2,'Egen hetvattenprod'!$B$1:$BX$1,0),FALSE)+VLOOKUP($B164,Kraftvärmeprod!$B$1:$BX$550,MATCH(BA$2,Kraftvärmeprod!$B$1:$BX$1,0),FALSE))/$AC164,"")</f>
        <v/>
      </c>
      <c r="BB164" s="77" t="str">
        <f>IF($AY164="ja",(VLOOKUP($B164,'Egen hetvattenprod'!$B$1:$BX$550,MATCH(BB$2,'Egen hetvattenprod'!$B$1:$BX$1,0),FALSE)+VLOOKUP($B164,Kraftvärmeprod!$B$1:$BX$550,MATCH(BB$2,Kraftvärmeprod!$B$1:$BX$1,0),FALSE))/$AC164,"")</f>
        <v/>
      </c>
      <c r="BC164" s="77" t="str">
        <f>IF($AY164="ja",(VLOOKUP($B164,'Egen hetvattenprod'!$B$1:$BX$550,MATCH(BC$2,'Egen hetvattenprod'!$B$1:$BX$1,0),FALSE)+VLOOKUP($B164,Kraftvärmeprod!$B$1:$BX$550,MATCH(BC$2,Kraftvärmeprod!$B$1:$BX$1,0),FALSE))/$AC164,"")</f>
        <v/>
      </c>
      <c r="BD164" s="77" t="str">
        <f>IF($AY164="ja",(VLOOKUP($B164,'Egen hetvattenprod'!$B$1:$BX$550,MATCH(BD$2,'Egen hetvattenprod'!$B$1:$BX$1,0),FALSE)+VLOOKUP($B164,Kraftvärmeprod!$B$1:$BX$550,MATCH(BD$2,Kraftvärmeprod!$B$1:$BX$1,0),FALSE))/$AC164,"")</f>
        <v/>
      </c>
      <c r="BF164" s="63" t="str">
        <f t="shared" si="17"/>
        <v>Ja</v>
      </c>
      <c r="BG164" s="63" t="str">
        <f>IF($BF164="ja",VLOOKUP($B164,'Egen hetvattenprod'!$B$1:$BX$550,MATCH("Andelen klimatgaser med fossilt ursprung för avfall ()",'Egen hetvattenprod'!$B$1:$BX$1,0),FALSE),"")</f>
        <v>ET</v>
      </c>
      <c r="BH164" s="63" t="str">
        <f>IF($BF164="ja",VLOOKUP($B164,Kraftvärmeprod!$B$1:$BX$550,MATCH("Andelen klimatgaser med fossilt ursprung för avfall ()",Kraftvärmeprod!$B$1:$BX$1,0),FALSE),"")</f>
        <v>Ingen redovisning</v>
      </c>
      <c r="BI164" s="63" t="str">
        <f>IF($BF164="ja",VLOOKUP($B164,'Egen hetvattenprod'!$B$1:$BX$550,MATCH("Avfall (GWh)",'Egen hetvattenprod'!$B$1:$BX$1,0),FALSE),"")</f>
        <v>ET</v>
      </c>
      <c r="BJ164" s="63">
        <f>IF($BF164="ja",VLOOKUP($B164,'Slutlig allokering kvv'!$B$1:$BX$550,MATCH("Avfall (GWh)",'Slutlig allokering kvv'!$B$1:$BX$1,0),FALSE),"")</f>
        <v>52.213000000000001</v>
      </c>
      <c r="BK164" s="63">
        <f>IF($BF164="ja",VLOOKUP($B164,'Köpt hetvatten'!$B$1:$BX$550,MATCH("Avfall i köpt hetvatten",'Köpt hetvatten'!$B$1:$BX$1,0),FALSE),"")</f>
        <v>0</v>
      </c>
      <c r="BL164" s="63" t="str">
        <f>IF($BF164="ja",VLOOKUP($B164,'Egen hetvattenprod'!$B$1:$BX$550,MATCH("Värde enligt ovan. (%)",'Egen hetvattenprod'!$B$1:$BX$1,0),FALSE),"")</f>
        <v>ET</v>
      </c>
      <c r="BM164" s="63" t="str">
        <f>IF($BF164="ja",VLOOKUP($B164,Kraftvärmeprod!$B$1:$BX$550,MATCH("Värde enligt ovan. (%)",Kraftvärmeprod!$B$1:$BX$1,0),FALSE),"")</f>
        <v>ET</v>
      </c>
    </row>
    <row r="165" spans="1:65" x14ac:dyDescent="0.45">
      <c r="A165" s="63" t="s">
        <v>465</v>
      </c>
      <c r="B165" s="63" t="s">
        <v>464</v>
      </c>
      <c r="C165" s="63">
        <f>VLOOKUP($B165,'Tillförd energi'!$B$1:$AI$720,MATCH(C$2,'Tillförd energi'!$B$1:$AQ$1,0),FALSE)</f>
        <v>0</v>
      </c>
      <c r="D165" s="63">
        <f>VLOOKUP($B165,'Tillförd energi'!$B$1:$AI$720,MATCH(D$2,'Tillförd energi'!$B$1:$AQ$1,0),FALSE)</f>
        <v>0.68</v>
      </c>
      <c r="E165" s="63">
        <f>VLOOKUP($B165,'Tillförd energi'!$B$1:$AI$720,MATCH(E$2,'Tillförd energi'!$B$1:$AQ$1,0),FALSE)</f>
        <v>0</v>
      </c>
      <c r="F165" s="63">
        <f>VLOOKUP($B165,'Tillförd energi'!$B$1:$AI$720,MATCH(F$2,'Tillförd energi'!$B$1:$AQ$1,0),FALSE)</f>
        <v>0</v>
      </c>
      <c r="G165" s="63">
        <f>VLOOKUP($B165,'Tillförd energi'!$B$1:$AI$720,MATCH(G$2,'Tillförd energi'!$B$1:$AQ$1,0),FALSE)</f>
        <v>0</v>
      </c>
      <c r="H165" s="63">
        <f>VLOOKUP($B165,'Tillförd energi'!$B$1:$AI$720,MATCH(H$2,'Tillförd energi'!$B$1:$AQ$1,0),FALSE)</f>
        <v>0</v>
      </c>
      <c r="I165" s="63">
        <f>VLOOKUP($B165,'Tillförd energi'!$B$1:$AI$720,MATCH(I$2,'Tillförd energi'!$B$1:$AQ$1,0),FALSE)</f>
        <v>0</v>
      </c>
      <c r="J165" s="63">
        <f>VLOOKUP($B165,'Tillförd energi'!$B$1:$AI$720,MATCH(J$2,'Tillförd energi'!$B$1:$AQ$1,0),FALSE)</f>
        <v>0</v>
      </c>
      <c r="K165" s="63">
        <f>VLOOKUP($B165,'Tillförd energi'!$B$1:$AI$720,MATCH(K$2,'Tillförd energi'!$B$1:$AQ$1,0),FALSE)</f>
        <v>0</v>
      </c>
      <c r="L165" s="63">
        <f>VLOOKUP($B165,'Tillförd energi'!$B$1:$AI$720,MATCH(L$2,'Tillförd energi'!$B$1:$AQ$1,0),FALSE)</f>
        <v>0</v>
      </c>
      <c r="M165" s="63">
        <f>VLOOKUP($B165,'Tillförd energi'!$B$1:$AI$720,MATCH(M$2,'Tillförd energi'!$B$1:$AQ$1,0),FALSE)</f>
        <v>0</v>
      </c>
      <c r="N165" s="63">
        <f>VLOOKUP($B165,'Tillförd energi'!$B$1:$AI$720,MATCH(N$2,'Tillförd energi'!$B$1:$AQ$1,0),FALSE)</f>
        <v>0</v>
      </c>
      <c r="O165" s="63">
        <f>VLOOKUP($B165,'Tillförd energi'!$B$1:$AI$720,MATCH(O$2,'Tillförd energi'!$B$1:$AQ$1,0),FALSE)</f>
        <v>0</v>
      </c>
      <c r="P165" s="63">
        <f>VLOOKUP($B165,'Tillförd energi'!$B$1:$AI$720,MATCH(P$2,'Tillförd energi'!$B$1:$AQ$1,0),FALSE)</f>
        <v>0</v>
      </c>
      <c r="Q165" s="63">
        <f>VLOOKUP($B165,'Tillförd energi'!$B$1:$AI$720,MATCH(Q$2,'Tillförd energi'!$B$1:$AQ$1,0),FALSE)</f>
        <v>15.003500000000001</v>
      </c>
      <c r="R165" s="63">
        <f>VLOOKUP($B165,'Tillförd energi'!$B$1:$AI$720,MATCH(R$2,'Tillförd energi'!$B$1:$AQ$1,0),FALSE)</f>
        <v>0</v>
      </c>
      <c r="S165" s="63">
        <f>VLOOKUP($B165,'Tillförd energi'!$B$1:$AI$720,MATCH(S$2,'Tillförd energi'!$B$1:$AQ$1,0),FALSE)</f>
        <v>0</v>
      </c>
      <c r="T165" s="63">
        <f>VLOOKUP($B165,'Tillförd energi'!$B$1:$AI$720,MATCH(T$2,'Tillförd energi'!$B$1:$AQ$1,0),FALSE)</f>
        <v>0</v>
      </c>
      <c r="U165" s="63">
        <f>VLOOKUP($B165,'Tillförd energi'!$B$1:$AI$720,MATCH(U$2,'Tillförd energi'!$B$1:$AQ$1,0),FALSE)</f>
        <v>0</v>
      </c>
      <c r="V165" s="63">
        <f>VLOOKUP($B165,'Tillförd energi'!$B$1:$AI$720,MATCH(V$2,'Tillförd energi'!$B$1:$AQ$1,0),FALSE)</f>
        <v>0</v>
      </c>
      <c r="W165" s="63">
        <f>VLOOKUP($B165,'Tillförd energi'!$B$1:$AI$720,MATCH(W$2,'Tillförd energi'!$B$1:$AQ$1,0),FALSE)</f>
        <v>0</v>
      </c>
      <c r="X165" s="63">
        <f>VLOOKUP($B165,'Tillförd energi'!$B$1:$AI$720,MATCH(X$2,'Tillförd energi'!$B$1:$AQ$1,0),FALSE)</f>
        <v>0</v>
      </c>
      <c r="Y165" s="63">
        <f>VLOOKUP($B165,'Tillförd energi'!$B$1:$AI$720,MATCH(Y$2,'Tillförd energi'!$B$1:$AQ$1,0),FALSE)</f>
        <v>0</v>
      </c>
      <c r="Z165" s="63">
        <f>VLOOKUP($B165,'Tillförd energi'!$B$1:$AI$720,MATCH(Z$2,'Tillförd energi'!$B$1:$AQ$1,0),FALSE)</f>
        <v>0</v>
      </c>
      <c r="AA165" s="63">
        <f>VLOOKUP($B165,'Tillförd energi'!$B$1:$AI$720,MATCH(AA$2,'Tillförd energi'!$B$1:$AQ$1,0),FALSE)</f>
        <v>0</v>
      </c>
      <c r="AB165" s="63">
        <f>VLOOKUP($B165,'Tillförd energi'!$B$1:$AI$720,MATCH(AB$2,'Tillförd energi'!$B$1:$AQ$1,0),FALSE)</f>
        <v>0</v>
      </c>
      <c r="AC165" s="63">
        <f>VLOOKUP($B165,'Tillförd energi'!$B$1:$AI$720,MATCH(AC$2,'Tillförd energi'!$B$1:$AQ$1,0),FALSE)</f>
        <v>0</v>
      </c>
      <c r="AD165" s="63">
        <f>VLOOKUP($B165,'Tillförd energi'!$B$1:$AI$720,MATCH(AD$2,'Tillförd energi'!$B$1:$AQ$1,0),FALSE)</f>
        <v>0</v>
      </c>
      <c r="AE165" s="63">
        <f>VLOOKUP($B165,'Tillförd energi'!$B$1:$AI$720,MATCH(AE$2,'Tillförd energi'!$B$1:$AQ$1,0),FALSE)</f>
        <v>0</v>
      </c>
      <c r="AF165" s="63">
        <f>VLOOKUP($B165,'Tillförd energi'!$B$1:$AI$720,MATCH(AF$2,'Tillförd energi'!$B$1:$AQ$1,0),FALSE)</f>
        <v>0.35555999999999999</v>
      </c>
      <c r="AG165" s="63">
        <f>IFERROR(VLOOKUP(B165,Miljö!$B$1:$AC$550,MATCH("Köpt mängd produktionsspecifik fjärrvärme:",Miljö!$B$1:$AC$1,0),FALSE)/1,0)</f>
        <v>0</v>
      </c>
      <c r="AI165" s="63">
        <f t="shared" si="12"/>
        <v>16.039059999999999</v>
      </c>
      <c r="AJ165" s="63">
        <f>IF(ISERROR(1/VLOOKUP($B165,Leveranser!$B$1:$S$500,MATCH("såld värme (gwh)",Leveranser!$B$1:$S$1,0),FALSE)),"",VLOOKUP($B165,Leveranser!$B$1:$S$500,MATCH("såld värme (gwh)",Leveranser!$B$1:$S$1,0),FALSE))</f>
        <v>11.852</v>
      </c>
      <c r="AM165" s="63" t="str">
        <f>IF(B165&lt;&gt;"",IF(VLOOKUP($B165,Totalt!$B$1:$AQ$554,MATCH("Kvalitetsgranskad:",Totalt!$B$1:$AQ$1,0),FALSE)="ja",VLOOKUP($B165,Miljö!$B$1:$AG$479,MATCH(AM$2,Miljö!$B$1:$AK$1,0),FALSE),""),"")</f>
        <v>Ja</v>
      </c>
      <c r="AN165" s="63" t="str">
        <f>IF(AM165="ja",VLOOKUP($B165,Miljö!$B$1:$J$479,MATCH("Typ av ursprungsspecificerad el   (Om inget värde anges används Nordisk residualmix, se inforuta) ()",Miljö!$B$1:$J$1,0),FALSE),IF(AM165="nej","Nordisk residualel",""))</f>
        <v>-</v>
      </c>
      <c r="AO165" s="63">
        <f>IF(AM165="","",VLOOKUP($B165,Miljö!$B$1:$J$479,MATCH("Fossilandel för ursprungspecificerad el ()",Miljö!$B$1:$J$1,0),FALSE))</f>
        <v>0.35</v>
      </c>
      <c r="AQ165" s="63">
        <f t="shared" si="13"/>
        <v>0.65</v>
      </c>
      <c r="AS165" s="63" t="str">
        <f t="shared" si="14"/>
        <v>Nej</v>
      </c>
      <c r="AT165" s="63" t="str">
        <f>IF(AS165="ja",VLOOKUP($B165,Miljö!$B$1:$P$500,MATCH("Fossil andel i procent (%)",Miljö!$B$1:$P$1,0),FALSE)/100,"")</f>
        <v/>
      </c>
      <c r="AV165" s="63" t="str">
        <f t="shared" si="15"/>
        <v>Nej</v>
      </c>
      <c r="AW165" s="63" t="str">
        <f>IF(AV165="ja",VLOOKUP($B165,'Egen hetvattenprod'!$B$1:$AO$500,MATCH("Värmekälla till värmepumpar ()",'Egen hetvattenprod'!$B$1:$AO$1,0),FALSE),"")</f>
        <v/>
      </c>
      <c r="AY165" s="63" t="str">
        <f t="shared" si="16"/>
        <v>Nej</v>
      </c>
      <c r="AZ165" s="77" t="str">
        <f>IF($AY165="ja",(VLOOKUP($B165,'Egen hetvattenprod'!$B$1:$BX$550,MATCH(AZ$2,'Egen hetvattenprod'!$B$1:$BX$1,0),FALSE)+VLOOKUP($B165,Kraftvärmeprod!$B$1:$BX$550,MATCH(AZ$2,Kraftvärmeprod!$B$1:$BX$1,0),FALSE))/$AC165,"")</f>
        <v/>
      </c>
      <c r="BA165" s="77" t="str">
        <f>IF($AY165="ja",(VLOOKUP($B165,'Egen hetvattenprod'!$B$1:$BX$550,MATCH(BA$2,'Egen hetvattenprod'!$B$1:$BX$1,0),FALSE)+VLOOKUP($B165,Kraftvärmeprod!$B$1:$BX$550,MATCH(BA$2,Kraftvärmeprod!$B$1:$BX$1,0),FALSE))/$AC165,"")</f>
        <v/>
      </c>
      <c r="BB165" s="77" t="str">
        <f>IF($AY165="ja",(VLOOKUP($B165,'Egen hetvattenprod'!$B$1:$BX$550,MATCH(BB$2,'Egen hetvattenprod'!$B$1:$BX$1,0),FALSE)+VLOOKUP($B165,Kraftvärmeprod!$B$1:$BX$550,MATCH(BB$2,Kraftvärmeprod!$B$1:$BX$1,0),FALSE))/$AC165,"")</f>
        <v/>
      </c>
      <c r="BC165" s="77" t="str">
        <f>IF($AY165="ja",(VLOOKUP($B165,'Egen hetvattenprod'!$B$1:$BX$550,MATCH(BC$2,'Egen hetvattenprod'!$B$1:$BX$1,0),FALSE)+VLOOKUP($B165,Kraftvärmeprod!$B$1:$BX$550,MATCH(BC$2,Kraftvärmeprod!$B$1:$BX$1,0),FALSE))/$AC165,"")</f>
        <v/>
      </c>
      <c r="BD165" s="77" t="str">
        <f>IF($AY165="ja",(VLOOKUP($B165,'Egen hetvattenprod'!$B$1:$BX$550,MATCH(BD$2,'Egen hetvattenprod'!$B$1:$BX$1,0),FALSE)+VLOOKUP($B165,Kraftvärmeprod!$B$1:$BX$550,MATCH(BD$2,Kraftvärmeprod!$B$1:$BX$1,0),FALSE))/$AC165,"")</f>
        <v/>
      </c>
      <c r="BF165" s="63" t="str">
        <f t="shared" si="17"/>
        <v>Nej</v>
      </c>
      <c r="BG165" s="63" t="str">
        <f>IF($BF165="ja",VLOOKUP($B165,'Egen hetvattenprod'!$B$1:$BX$550,MATCH("Andelen klimatgaser med fossilt ursprung för avfall ()",'Egen hetvattenprod'!$B$1:$BX$1,0),FALSE),"")</f>
        <v/>
      </c>
      <c r="BH165" s="63" t="str">
        <f>IF($BF165="ja",VLOOKUP($B165,Kraftvärmeprod!$B$1:$BX$550,MATCH("Andelen klimatgaser med fossilt ursprung för avfall ()",Kraftvärmeprod!$B$1:$BX$1,0),FALSE),"")</f>
        <v/>
      </c>
      <c r="BI165" s="63" t="str">
        <f>IF($BF165="ja",VLOOKUP($B165,'Egen hetvattenprod'!$B$1:$BX$550,MATCH("Avfall (GWh)",'Egen hetvattenprod'!$B$1:$BX$1,0),FALSE),"")</f>
        <v/>
      </c>
      <c r="BJ165" s="63" t="str">
        <f>IF($BF165="ja",VLOOKUP($B165,'Slutlig allokering kvv'!$B$1:$BX$550,MATCH("Avfall (GWh)",'Slutlig allokering kvv'!$B$1:$BX$1,0),FALSE),"")</f>
        <v/>
      </c>
      <c r="BK165" s="63" t="str">
        <f>IF($BF165="ja",VLOOKUP($B165,'Köpt hetvatten'!$B$1:$BX$550,MATCH("Avfall i köpt hetvatten",'Köpt hetvatten'!$B$1:$BX$1,0),FALSE),"")</f>
        <v/>
      </c>
      <c r="BL165" s="63" t="str">
        <f>IF($BF165="ja",VLOOKUP($B165,'Egen hetvattenprod'!$B$1:$BX$550,MATCH("Värde enligt ovan. (%)",'Egen hetvattenprod'!$B$1:$BX$1,0),FALSE),"")</f>
        <v/>
      </c>
      <c r="BM165" s="63" t="str">
        <f>IF($BF165="ja",VLOOKUP($B165,Kraftvärmeprod!$B$1:$BX$550,MATCH("Värde enligt ovan. (%)",Kraftvärmeprod!$B$1:$BX$1,0),FALSE),"")</f>
        <v/>
      </c>
    </row>
    <row r="166" spans="1:65" x14ac:dyDescent="0.45">
      <c r="A166" s="63" t="s">
        <v>459</v>
      </c>
      <c r="B166" s="63" t="s">
        <v>463</v>
      </c>
      <c r="C166" s="63">
        <f>VLOOKUP($B166,'Tillförd energi'!$B$1:$AI$720,MATCH(C$2,'Tillförd energi'!$B$1:$AQ$1,0),FALSE)</f>
        <v>0</v>
      </c>
      <c r="D166" s="63">
        <f>VLOOKUP($B166,'Tillförd energi'!$B$1:$AI$720,MATCH(D$2,'Tillförd energi'!$B$1:$AQ$1,0),FALSE)</f>
        <v>0.89100000000000001</v>
      </c>
      <c r="E166" s="63">
        <f>VLOOKUP($B166,'Tillförd energi'!$B$1:$AI$720,MATCH(E$2,'Tillförd energi'!$B$1:$AQ$1,0),FALSE)</f>
        <v>0</v>
      </c>
      <c r="F166" s="63">
        <f>VLOOKUP($B166,'Tillförd energi'!$B$1:$AI$720,MATCH(F$2,'Tillförd energi'!$B$1:$AQ$1,0),FALSE)</f>
        <v>0</v>
      </c>
      <c r="G166" s="63">
        <f>VLOOKUP($B166,'Tillförd energi'!$B$1:$AI$720,MATCH(G$2,'Tillförd energi'!$B$1:$AQ$1,0),FALSE)</f>
        <v>0</v>
      </c>
      <c r="H166" s="63">
        <f>VLOOKUP($B166,'Tillförd energi'!$B$1:$AI$720,MATCH(H$2,'Tillförd energi'!$B$1:$AQ$1,0),FALSE)</f>
        <v>0</v>
      </c>
      <c r="I166" s="63">
        <f>VLOOKUP($B166,'Tillförd energi'!$B$1:$AI$720,MATCH(I$2,'Tillförd energi'!$B$1:$AQ$1,0),FALSE)</f>
        <v>0</v>
      </c>
      <c r="J166" s="63">
        <f>VLOOKUP($B166,'Tillförd energi'!$B$1:$AI$720,MATCH(J$2,'Tillförd energi'!$B$1:$AQ$1,0),FALSE)</f>
        <v>0</v>
      </c>
      <c r="K166" s="63">
        <f>VLOOKUP($B166,'Tillförd energi'!$B$1:$AI$720,MATCH(K$2,'Tillförd energi'!$B$1:$AQ$1,0),FALSE)</f>
        <v>0</v>
      </c>
      <c r="L166" s="63">
        <f>VLOOKUP($B166,'Tillförd energi'!$B$1:$AI$720,MATCH(L$2,'Tillförd energi'!$B$1:$AQ$1,0),FALSE)</f>
        <v>0</v>
      </c>
      <c r="M166" s="63">
        <f>VLOOKUP($B166,'Tillförd energi'!$B$1:$AI$720,MATCH(M$2,'Tillförd energi'!$B$1:$AQ$1,0),FALSE)</f>
        <v>0</v>
      </c>
      <c r="N166" s="63">
        <f>VLOOKUP($B166,'Tillförd energi'!$B$1:$AI$720,MATCH(N$2,'Tillförd energi'!$B$1:$AQ$1,0),FALSE)</f>
        <v>0</v>
      </c>
      <c r="O166" s="63">
        <f>VLOOKUP($B166,'Tillförd energi'!$B$1:$AI$720,MATCH(O$2,'Tillförd energi'!$B$1:$AQ$1,0),FALSE)</f>
        <v>0</v>
      </c>
      <c r="P166" s="63">
        <f>VLOOKUP($B166,'Tillförd energi'!$B$1:$AI$720,MATCH(P$2,'Tillförd energi'!$B$1:$AQ$1,0),FALSE)</f>
        <v>0</v>
      </c>
      <c r="Q166" s="63">
        <f>VLOOKUP($B166,'Tillförd energi'!$B$1:$AI$720,MATCH(Q$2,'Tillförd energi'!$B$1:$AQ$1,0),FALSE)</f>
        <v>0.21176500000000001</v>
      </c>
      <c r="R166" s="63">
        <f>VLOOKUP($B166,'Tillförd energi'!$B$1:$AI$720,MATCH(R$2,'Tillförd energi'!$B$1:$AQ$1,0),FALSE)</f>
        <v>0</v>
      </c>
      <c r="S166" s="63">
        <f>VLOOKUP($B166,'Tillförd energi'!$B$1:$AI$720,MATCH(S$2,'Tillförd energi'!$B$1:$AQ$1,0),FALSE)</f>
        <v>0</v>
      </c>
      <c r="T166" s="63">
        <f>VLOOKUP($B166,'Tillförd energi'!$B$1:$AI$720,MATCH(T$2,'Tillförd energi'!$B$1:$AQ$1,0),FALSE)</f>
        <v>0</v>
      </c>
      <c r="U166" s="63">
        <f>VLOOKUP($B166,'Tillförd energi'!$B$1:$AI$720,MATCH(U$2,'Tillförd energi'!$B$1:$AQ$1,0),FALSE)</f>
        <v>0</v>
      </c>
      <c r="V166" s="63">
        <f>VLOOKUP($B166,'Tillförd energi'!$B$1:$AI$720,MATCH(V$2,'Tillförd energi'!$B$1:$AQ$1,0),FALSE)</f>
        <v>0</v>
      </c>
      <c r="W166" s="63">
        <f>VLOOKUP($B166,'Tillförd energi'!$B$1:$AI$720,MATCH(W$2,'Tillförd energi'!$B$1:$AQ$1,0),FALSE)</f>
        <v>0</v>
      </c>
      <c r="X166" s="63">
        <f>VLOOKUP($B166,'Tillförd energi'!$B$1:$AI$720,MATCH(X$2,'Tillförd energi'!$B$1:$AQ$1,0),FALSE)</f>
        <v>0</v>
      </c>
      <c r="Y166" s="63">
        <f>VLOOKUP($B166,'Tillförd energi'!$B$1:$AI$720,MATCH(Y$2,'Tillförd energi'!$B$1:$AQ$1,0),FALSE)</f>
        <v>0</v>
      </c>
      <c r="Z166" s="63">
        <f>VLOOKUP($B166,'Tillförd energi'!$B$1:$AI$720,MATCH(Z$2,'Tillförd energi'!$B$1:$AQ$1,0),FALSE)</f>
        <v>0</v>
      </c>
      <c r="AA166" s="63">
        <f>VLOOKUP($B166,'Tillförd energi'!$B$1:$AI$720,MATCH(AA$2,'Tillförd energi'!$B$1:$AQ$1,0),FALSE)</f>
        <v>0</v>
      </c>
      <c r="AB166" s="63">
        <f>VLOOKUP($B166,'Tillförd energi'!$B$1:$AI$720,MATCH(AB$2,'Tillförd energi'!$B$1:$AQ$1,0),FALSE)</f>
        <v>0</v>
      </c>
      <c r="AC166" s="63">
        <f>VLOOKUP($B166,'Tillförd energi'!$B$1:$AI$720,MATCH(AC$2,'Tillförd energi'!$B$1:$AQ$1,0),FALSE)</f>
        <v>0</v>
      </c>
      <c r="AD166" s="63">
        <f>VLOOKUP($B166,'Tillförd energi'!$B$1:$AI$720,MATCH(AD$2,'Tillförd energi'!$B$1:$AQ$1,0),FALSE)</f>
        <v>17.54</v>
      </c>
      <c r="AE166" s="63">
        <f>VLOOKUP($B166,'Tillförd energi'!$B$1:$AI$720,MATCH(AE$2,'Tillförd energi'!$B$1:$AQ$1,0),FALSE)</f>
        <v>0</v>
      </c>
      <c r="AF166" s="63">
        <f>VLOOKUP($B166,'Tillförd energi'!$B$1:$AI$720,MATCH(AF$2,'Tillförd energi'!$B$1:$AQ$1,0),FALSE)</f>
        <v>8.4000000000000005E-2</v>
      </c>
      <c r="AG166" s="63">
        <f>IFERROR(VLOOKUP(B166,Miljö!$B$1:$AC$550,MATCH("Köpt mängd produktionsspecifik fjärrvärme:",Miljö!$B$1:$AC$1,0),FALSE)/1,0)</f>
        <v>0</v>
      </c>
      <c r="AI166" s="63">
        <f t="shared" si="12"/>
        <v>18.726765</v>
      </c>
      <c r="AJ166" s="63">
        <f>IF(ISERROR(1/VLOOKUP($B166,Leveranser!$B$1:$S$500,MATCH("såld värme (gwh)",Leveranser!$B$1:$S$1,0),FALSE)),"",VLOOKUP($B166,Leveranser!$B$1:$S$500,MATCH("såld värme (gwh)",Leveranser!$B$1:$S$1,0),FALSE))</f>
        <v>14.1</v>
      </c>
      <c r="AM166" s="63" t="str">
        <f>IF(B166&lt;&gt;"",IF(VLOOKUP($B166,Totalt!$B$1:$AQ$554,MATCH("Kvalitetsgranskad:",Totalt!$B$1:$AQ$1,0),FALSE)="ja",VLOOKUP($B166,Miljö!$B$1:$AG$479,MATCH(AM$2,Miljö!$B$1:$AK$1,0),FALSE),""),"")</f>
        <v>Ja</v>
      </c>
      <c r="AN166" s="63" t="str">
        <f>IF(AM166="ja",VLOOKUP($B166,Miljö!$B$1:$J$479,MATCH("Typ av ursprungsspecificerad el   (Om inget värde anges används Nordisk residualmix, se inforuta) ()",Miljö!$B$1:$J$1,0),FALSE),IF(AM166="nej","Nordisk residualel",""))</f>
        <v>'Vattenkraft'</v>
      </c>
      <c r="AO166" s="63">
        <f>IF(AM166="","",VLOOKUP($B166,Miljö!$B$1:$J$479,MATCH("Fossilandel för ursprungspecificerad el ()",Miljö!$B$1:$J$1,0),FALSE))</f>
        <v>0</v>
      </c>
      <c r="AQ166" s="63">
        <f t="shared" si="13"/>
        <v>1</v>
      </c>
      <c r="AS166" s="63" t="str">
        <f t="shared" si="14"/>
        <v>Nej</v>
      </c>
      <c r="AT166" s="63" t="str">
        <f>IF(AS166="ja",VLOOKUP($B166,Miljö!$B$1:$P$500,MATCH("Fossil andel i procent (%)",Miljö!$B$1:$P$1,0),FALSE)/100,"")</f>
        <v/>
      </c>
      <c r="AV166" s="63" t="str">
        <f t="shared" si="15"/>
        <v>Nej</v>
      </c>
      <c r="AW166" s="63" t="str">
        <f>IF(AV166="ja",VLOOKUP($B166,'Egen hetvattenprod'!$B$1:$AO$500,MATCH("Värmekälla till värmepumpar ()",'Egen hetvattenprod'!$B$1:$AO$1,0),FALSE),"")</f>
        <v/>
      </c>
      <c r="AY166" s="63" t="str">
        <f t="shared" si="16"/>
        <v>Nej</v>
      </c>
      <c r="AZ166" s="77" t="str">
        <f>IF($AY166="ja",(VLOOKUP($B166,'Egen hetvattenprod'!$B$1:$BX$550,MATCH(AZ$2,'Egen hetvattenprod'!$B$1:$BX$1,0),FALSE)+VLOOKUP($B166,Kraftvärmeprod!$B$1:$BX$550,MATCH(AZ$2,Kraftvärmeprod!$B$1:$BX$1,0),FALSE))/$AC166,"")</f>
        <v/>
      </c>
      <c r="BA166" s="77" t="str">
        <f>IF($AY166="ja",(VLOOKUP($B166,'Egen hetvattenprod'!$B$1:$BX$550,MATCH(BA$2,'Egen hetvattenprod'!$B$1:$BX$1,0),FALSE)+VLOOKUP($B166,Kraftvärmeprod!$B$1:$BX$550,MATCH(BA$2,Kraftvärmeprod!$B$1:$BX$1,0),FALSE))/$AC166,"")</f>
        <v/>
      </c>
      <c r="BB166" s="77" t="str">
        <f>IF($AY166="ja",(VLOOKUP($B166,'Egen hetvattenprod'!$B$1:$BX$550,MATCH(BB$2,'Egen hetvattenprod'!$B$1:$BX$1,0),FALSE)+VLOOKUP($B166,Kraftvärmeprod!$B$1:$BX$550,MATCH(BB$2,Kraftvärmeprod!$B$1:$BX$1,0),FALSE))/$AC166,"")</f>
        <v/>
      </c>
      <c r="BC166" s="77" t="str">
        <f>IF($AY166="ja",(VLOOKUP($B166,'Egen hetvattenprod'!$B$1:$BX$550,MATCH(BC$2,'Egen hetvattenprod'!$B$1:$BX$1,0),FALSE)+VLOOKUP($B166,Kraftvärmeprod!$B$1:$BX$550,MATCH(BC$2,Kraftvärmeprod!$B$1:$BX$1,0),FALSE))/$AC166,"")</f>
        <v/>
      </c>
      <c r="BD166" s="77" t="str">
        <f>IF($AY166="ja",(VLOOKUP($B166,'Egen hetvattenprod'!$B$1:$BX$550,MATCH(BD$2,'Egen hetvattenprod'!$B$1:$BX$1,0),FALSE)+VLOOKUP($B166,Kraftvärmeprod!$B$1:$BX$550,MATCH(BD$2,Kraftvärmeprod!$B$1:$BX$1,0),FALSE))/$AC166,"")</f>
        <v/>
      </c>
      <c r="BF166" s="63" t="str">
        <f t="shared" si="17"/>
        <v>Nej</v>
      </c>
      <c r="BG166" s="63" t="str">
        <f>IF($BF166="ja",VLOOKUP($B166,'Egen hetvattenprod'!$B$1:$BX$550,MATCH("Andelen klimatgaser med fossilt ursprung för avfall ()",'Egen hetvattenprod'!$B$1:$BX$1,0),FALSE),"")</f>
        <v/>
      </c>
      <c r="BH166" s="63" t="str">
        <f>IF($BF166="ja",VLOOKUP($B166,Kraftvärmeprod!$B$1:$BX$550,MATCH("Andelen klimatgaser med fossilt ursprung för avfall ()",Kraftvärmeprod!$B$1:$BX$1,0),FALSE),"")</f>
        <v/>
      </c>
      <c r="BI166" s="63" t="str">
        <f>IF($BF166="ja",VLOOKUP($B166,'Egen hetvattenprod'!$B$1:$BX$550,MATCH("Avfall (GWh)",'Egen hetvattenprod'!$B$1:$BX$1,0),FALSE),"")</f>
        <v/>
      </c>
      <c r="BJ166" s="63" t="str">
        <f>IF($BF166="ja",VLOOKUP($B166,'Slutlig allokering kvv'!$B$1:$BX$550,MATCH("Avfall (GWh)",'Slutlig allokering kvv'!$B$1:$BX$1,0),FALSE),"")</f>
        <v/>
      </c>
      <c r="BK166" s="63" t="str">
        <f>IF($BF166="ja",VLOOKUP($B166,'Köpt hetvatten'!$B$1:$BX$550,MATCH("Avfall i köpt hetvatten",'Köpt hetvatten'!$B$1:$BX$1,0),FALSE),"")</f>
        <v/>
      </c>
      <c r="BL166" s="63" t="str">
        <f>IF($BF166="ja",VLOOKUP($B166,'Egen hetvattenprod'!$B$1:$BX$550,MATCH("Värde enligt ovan. (%)",'Egen hetvattenprod'!$B$1:$BX$1,0),FALSE),"")</f>
        <v/>
      </c>
      <c r="BM166" s="63" t="str">
        <f>IF($BF166="ja",VLOOKUP($B166,Kraftvärmeprod!$B$1:$BX$550,MATCH("Värde enligt ovan. (%)",Kraftvärmeprod!$B$1:$BX$1,0),FALSE),"")</f>
        <v/>
      </c>
    </row>
    <row r="167" spans="1:65" x14ac:dyDescent="0.45">
      <c r="A167" s="63" t="s">
        <v>459</v>
      </c>
      <c r="B167" s="63" t="s">
        <v>461</v>
      </c>
      <c r="C167" s="63">
        <f>VLOOKUP($B167,'Tillförd energi'!$B$1:$AI$720,MATCH(C$2,'Tillförd energi'!$B$1:$AQ$1,0),FALSE)</f>
        <v>0</v>
      </c>
      <c r="D167" s="63">
        <f>VLOOKUP($B167,'Tillförd energi'!$B$1:$AI$720,MATCH(D$2,'Tillförd energi'!$B$1:$AQ$1,0),FALSE)</f>
        <v>1.6419999999999999</v>
      </c>
      <c r="E167" s="63">
        <f>VLOOKUP($B167,'Tillförd energi'!$B$1:$AI$720,MATCH(E$2,'Tillförd energi'!$B$1:$AQ$1,0),FALSE)</f>
        <v>0</v>
      </c>
      <c r="F167" s="63">
        <f>VLOOKUP($B167,'Tillförd energi'!$B$1:$AI$720,MATCH(F$2,'Tillförd energi'!$B$1:$AQ$1,0),FALSE)</f>
        <v>0</v>
      </c>
      <c r="G167" s="63">
        <f>VLOOKUP($B167,'Tillförd energi'!$B$1:$AI$720,MATCH(G$2,'Tillförd energi'!$B$1:$AQ$1,0),FALSE)</f>
        <v>0</v>
      </c>
      <c r="H167" s="63">
        <f>VLOOKUP($B167,'Tillförd energi'!$B$1:$AI$720,MATCH(H$2,'Tillförd energi'!$B$1:$AQ$1,0),FALSE)</f>
        <v>0</v>
      </c>
      <c r="I167" s="63">
        <f>VLOOKUP($B167,'Tillförd energi'!$B$1:$AI$720,MATCH(I$2,'Tillförd energi'!$B$1:$AQ$1,0),FALSE)</f>
        <v>0</v>
      </c>
      <c r="J167" s="63">
        <f>VLOOKUP($B167,'Tillförd energi'!$B$1:$AI$720,MATCH(J$2,'Tillförd energi'!$B$1:$AQ$1,0),FALSE)</f>
        <v>0</v>
      </c>
      <c r="K167" s="63">
        <f>VLOOKUP($B167,'Tillförd energi'!$B$1:$AI$720,MATCH(K$2,'Tillförd energi'!$B$1:$AQ$1,0),FALSE)</f>
        <v>0</v>
      </c>
      <c r="L167" s="63">
        <f>VLOOKUP($B167,'Tillförd energi'!$B$1:$AI$720,MATCH(L$2,'Tillförd energi'!$B$1:$AQ$1,0),FALSE)</f>
        <v>0</v>
      </c>
      <c r="M167" s="63">
        <f>VLOOKUP($B167,'Tillförd energi'!$B$1:$AI$720,MATCH(M$2,'Tillförd energi'!$B$1:$AQ$1,0),FALSE)</f>
        <v>0</v>
      </c>
      <c r="N167" s="63">
        <f>VLOOKUP($B167,'Tillförd energi'!$B$1:$AI$720,MATCH(N$2,'Tillförd energi'!$B$1:$AQ$1,0),FALSE)</f>
        <v>0</v>
      </c>
      <c r="O167" s="63">
        <f>VLOOKUP($B167,'Tillförd energi'!$B$1:$AI$720,MATCH(O$2,'Tillförd energi'!$B$1:$AQ$1,0),FALSE)</f>
        <v>0</v>
      </c>
      <c r="P167" s="63">
        <f>VLOOKUP($B167,'Tillförd energi'!$B$1:$AI$720,MATCH(P$2,'Tillförd energi'!$B$1:$AQ$1,0),FALSE)</f>
        <v>0</v>
      </c>
      <c r="Q167" s="63">
        <f>VLOOKUP($B167,'Tillförd energi'!$B$1:$AI$720,MATCH(Q$2,'Tillförd energi'!$B$1:$AQ$1,0),FALSE)</f>
        <v>6.1176500000000003</v>
      </c>
      <c r="R167" s="63">
        <f>VLOOKUP($B167,'Tillförd energi'!$B$1:$AI$720,MATCH(R$2,'Tillförd energi'!$B$1:$AQ$1,0),FALSE)</f>
        <v>4.8070000000000004</v>
      </c>
      <c r="S167" s="63">
        <f>VLOOKUP($B167,'Tillförd energi'!$B$1:$AI$720,MATCH(S$2,'Tillförd energi'!$B$1:$AQ$1,0),FALSE)</f>
        <v>0</v>
      </c>
      <c r="T167" s="63">
        <f>VLOOKUP($B167,'Tillförd energi'!$B$1:$AI$720,MATCH(T$2,'Tillförd energi'!$B$1:$AQ$1,0),FALSE)</f>
        <v>0</v>
      </c>
      <c r="U167" s="63">
        <f>VLOOKUP($B167,'Tillförd energi'!$B$1:$AI$720,MATCH(U$2,'Tillförd energi'!$B$1:$AQ$1,0),FALSE)</f>
        <v>0</v>
      </c>
      <c r="V167" s="63">
        <f>VLOOKUP($B167,'Tillförd energi'!$B$1:$AI$720,MATCH(V$2,'Tillförd energi'!$B$1:$AQ$1,0),FALSE)</f>
        <v>0</v>
      </c>
      <c r="W167" s="63">
        <f>VLOOKUP($B167,'Tillförd energi'!$B$1:$AI$720,MATCH(W$2,'Tillförd energi'!$B$1:$AQ$1,0),FALSE)</f>
        <v>3.5009999999999999</v>
      </c>
      <c r="X167" s="63">
        <f>VLOOKUP($B167,'Tillförd energi'!$B$1:$AI$720,MATCH(X$2,'Tillförd energi'!$B$1:$AQ$1,0),FALSE)</f>
        <v>0</v>
      </c>
      <c r="Y167" s="63">
        <f>VLOOKUP($B167,'Tillförd energi'!$B$1:$AI$720,MATCH(Y$2,'Tillförd energi'!$B$1:$AQ$1,0),FALSE)</f>
        <v>0</v>
      </c>
      <c r="Z167" s="63">
        <f>VLOOKUP($B167,'Tillförd energi'!$B$1:$AI$720,MATCH(Z$2,'Tillförd energi'!$B$1:$AQ$1,0),FALSE)</f>
        <v>1.3979999999999999</v>
      </c>
      <c r="AA167" s="63">
        <f>VLOOKUP($B167,'Tillförd energi'!$B$1:$AI$720,MATCH(AA$2,'Tillförd energi'!$B$1:$AQ$1,0),FALSE)</f>
        <v>0</v>
      </c>
      <c r="AB167" s="63">
        <f>VLOOKUP($B167,'Tillförd energi'!$B$1:$AI$720,MATCH(AB$2,'Tillförd energi'!$B$1:$AQ$1,0),FALSE)</f>
        <v>0</v>
      </c>
      <c r="AC167" s="63">
        <f>VLOOKUP($B167,'Tillförd energi'!$B$1:$AI$720,MATCH(AC$2,'Tillförd energi'!$B$1:$AQ$1,0),FALSE)</f>
        <v>0</v>
      </c>
      <c r="AD167" s="63">
        <f>VLOOKUP($B167,'Tillförd energi'!$B$1:$AI$720,MATCH(AD$2,'Tillförd energi'!$B$1:$AQ$1,0),FALSE)</f>
        <v>77.8</v>
      </c>
      <c r="AE167" s="63">
        <f>VLOOKUP($B167,'Tillförd energi'!$B$1:$AI$720,MATCH(AE$2,'Tillförd energi'!$B$1:$AQ$1,0),FALSE)</f>
        <v>0</v>
      </c>
      <c r="AF167" s="63">
        <f>VLOOKUP($B167,'Tillförd energi'!$B$1:$AI$720,MATCH(AF$2,'Tillförd energi'!$B$1:$AQ$1,0),FALSE)</f>
        <v>1.63</v>
      </c>
      <c r="AG167" s="63">
        <f>IFERROR(VLOOKUP(B167,Miljö!$B$1:$AC$550,MATCH("Köpt mängd produktionsspecifik fjärrvärme:",Miljö!$B$1:$AC$1,0),FALSE)/1,0)</f>
        <v>0</v>
      </c>
      <c r="AI167" s="63">
        <f t="shared" si="12"/>
        <v>96.895649999999989</v>
      </c>
      <c r="AJ167" s="63">
        <f>IF(ISERROR(1/VLOOKUP($B167,Leveranser!$B$1:$S$500,MATCH("såld värme (gwh)",Leveranser!$B$1:$S$1,0),FALSE)),"",VLOOKUP($B167,Leveranser!$B$1:$S$500,MATCH("såld värme (gwh)",Leveranser!$B$1:$S$1,0),FALSE))</f>
        <v>83</v>
      </c>
      <c r="AM167" s="63" t="str">
        <f>IF(B167&lt;&gt;"",IF(VLOOKUP($B167,Totalt!$B$1:$AQ$554,MATCH("Kvalitetsgranskad:",Totalt!$B$1:$AQ$1,0),FALSE)="ja",VLOOKUP($B167,Miljö!$B$1:$AG$479,MATCH(AM$2,Miljö!$B$1:$AK$1,0),FALSE),""),"")</f>
        <v>Ja</v>
      </c>
      <c r="AN167" s="63" t="str">
        <f>IF(AM167="ja",VLOOKUP($B167,Miljö!$B$1:$J$479,MATCH("Typ av ursprungsspecificerad el   (Om inget värde anges används Nordisk residualmix, se inforuta) ()",Miljö!$B$1:$J$1,0),FALSE),IF(AM167="nej","Nordisk residualel",""))</f>
        <v>'Vattenkraft'</v>
      </c>
      <c r="AO167" s="63">
        <f>IF(AM167="","",VLOOKUP($B167,Miljö!$B$1:$J$479,MATCH("Fossilandel för ursprungspecificerad el ()",Miljö!$B$1:$J$1,0),FALSE))</f>
        <v>0</v>
      </c>
      <c r="AQ167" s="63">
        <f t="shared" si="13"/>
        <v>1</v>
      </c>
      <c r="AS167" s="63" t="str">
        <f t="shared" si="14"/>
        <v>Nej</v>
      </c>
      <c r="AT167" s="63" t="str">
        <f>IF(AS167="ja",VLOOKUP($B167,Miljö!$B$1:$P$500,MATCH("Fossil andel i procent (%)",Miljö!$B$1:$P$1,0),FALSE)/100,"")</f>
        <v/>
      </c>
      <c r="AV167" s="63" t="str">
        <f t="shared" si="15"/>
        <v>Nej</v>
      </c>
      <c r="AW167" s="63" t="str">
        <f>IF(AV167="ja",VLOOKUP($B167,'Egen hetvattenprod'!$B$1:$AO$500,MATCH("Värmekälla till värmepumpar ()",'Egen hetvattenprod'!$B$1:$AO$1,0),FALSE),"")</f>
        <v/>
      </c>
      <c r="AY167" s="63" t="str">
        <f t="shared" si="16"/>
        <v>Nej</v>
      </c>
      <c r="AZ167" s="77" t="str">
        <f>IF($AY167="ja",(VLOOKUP($B167,'Egen hetvattenprod'!$B$1:$BX$550,MATCH(AZ$2,'Egen hetvattenprod'!$B$1:$BX$1,0),FALSE)+VLOOKUP($B167,Kraftvärmeprod!$B$1:$BX$550,MATCH(AZ$2,Kraftvärmeprod!$B$1:$BX$1,0),FALSE))/$AC167,"")</f>
        <v/>
      </c>
      <c r="BA167" s="77" t="str">
        <f>IF($AY167="ja",(VLOOKUP($B167,'Egen hetvattenprod'!$B$1:$BX$550,MATCH(BA$2,'Egen hetvattenprod'!$B$1:$BX$1,0),FALSE)+VLOOKUP($B167,Kraftvärmeprod!$B$1:$BX$550,MATCH(BA$2,Kraftvärmeprod!$B$1:$BX$1,0),FALSE))/$AC167,"")</f>
        <v/>
      </c>
      <c r="BB167" s="77" t="str">
        <f>IF($AY167="ja",(VLOOKUP($B167,'Egen hetvattenprod'!$B$1:$BX$550,MATCH(BB$2,'Egen hetvattenprod'!$B$1:$BX$1,0),FALSE)+VLOOKUP($B167,Kraftvärmeprod!$B$1:$BX$550,MATCH(BB$2,Kraftvärmeprod!$B$1:$BX$1,0),FALSE))/$AC167,"")</f>
        <v/>
      </c>
      <c r="BC167" s="77" t="str">
        <f>IF($AY167="ja",(VLOOKUP($B167,'Egen hetvattenprod'!$B$1:$BX$550,MATCH(BC$2,'Egen hetvattenprod'!$B$1:$BX$1,0),FALSE)+VLOOKUP($B167,Kraftvärmeprod!$B$1:$BX$550,MATCH(BC$2,Kraftvärmeprod!$B$1:$BX$1,0),FALSE))/$AC167,"")</f>
        <v/>
      </c>
      <c r="BD167" s="77" t="str">
        <f>IF($AY167="ja",(VLOOKUP($B167,'Egen hetvattenprod'!$B$1:$BX$550,MATCH(BD$2,'Egen hetvattenprod'!$B$1:$BX$1,0),FALSE)+VLOOKUP($B167,Kraftvärmeprod!$B$1:$BX$550,MATCH(BD$2,Kraftvärmeprod!$B$1:$BX$1,0),FALSE))/$AC167,"")</f>
        <v/>
      </c>
      <c r="BF167" s="63" t="str">
        <f t="shared" si="17"/>
        <v>Nej</v>
      </c>
      <c r="BG167" s="63" t="str">
        <f>IF($BF167="ja",VLOOKUP($B167,'Egen hetvattenprod'!$B$1:$BX$550,MATCH("Andelen klimatgaser med fossilt ursprung för avfall ()",'Egen hetvattenprod'!$B$1:$BX$1,0),FALSE),"")</f>
        <v/>
      </c>
      <c r="BH167" s="63" t="str">
        <f>IF($BF167="ja",VLOOKUP($B167,Kraftvärmeprod!$B$1:$BX$550,MATCH("Andelen klimatgaser med fossilt ursprung för avfall ()",Kraftvärmeprod!$B$1:$BX$1,0),FALSE),"")</f>
        <v/>
      </c>
      <c r="BI167" s="63" t="str">
        <f>IF($BF167="ja",VLOOKUP($B167,'Egen hetvattenprod'!$B$1:$BX$550,MATCH("Avfall (GWh)",'Egen hetvattenprod'!$B$1:$BX$1,0),FALSE),"")</f>
        <v/>
      </c>
      <c r="BJ167" s="63" t="str">
        <f>IF($BF167="ja",VLOOKUP($B167,'Slutlig allokering kvv'!$B$1:$BX$550,MATCH("Avfall (GWh)",'Slutlig allokering kvv'!$B$1:$BX$1,0),FALSE),"")</f>
        <v/>
      </c>
      <c r="BK167" s="63" t="str">
        <f>IF($BF167="ja",VLOOKUP($B167,'Köpt hetvatten'!$B$1:$BX$550,MATCH("Avfall i köpt hetvatten",'Köpt hetvatten'!$B$1:$BX$1,0),FALSE),"")</f>
        <v/>
      </c>
      <c r="BL167" s="63" t="str">
        <f>IF($BF167="ja",VLOOKUP($B167,'Egen hetvattenprod'!$B$1:$BX$550,MATCH("Värde enligt ovan. (%)",'Egen hetvattenprod'!$B$1:$BX$1,0),FALSE),"")</f>
        <v/>
      </c>
      <c r="BM167" s="63" t="str">
        <f>IF($BF167="ja",VLOOKUP($B167,Kraftvärmeprod!$B$1:$BX$550,MATCH("Värde enligt ovan. (%)",Kraftvärmeprod!$B$1:$BX$1,0),FALSE),"")</f>
        <v/>
      </c>
    </row>
    <row r="168" spans="1:65" x14ac:dyDescent="0.45">
      <c r="A168" s="63" t="s">
        <v>459</v>
      </c>
      <c r="B168" s="63" t="s">
        <v>460</v>
      </c>
      <c r="C168" s="63">
        <f>VLOOKUP($B168,'Tillförd energi'!$B$1:$AI$720,MATCH(C$2,'Tillförd energi'!$B$1:$AQ$1,0),FALSE)</f>
        <v>0</v>
      </c>
      <c r="D168" s="63">
        <f>VLOOKUP($B168,'Tillförd energi'!$B$1:$AI$720,MATCH(D$2,'Tillförd energi'!$B$1:$AQ$1,0),FALSE)</f>
        <v>0</v>
      </c>
      <c r="E168" s="63">
        <f>VLOOKUP($B168,'Tillförd energi'!$B$1:$AI$720,MATCH(E$2,'Tillförd energi'!$B$1:$AQ$1,0),FALSE)</f>
        <v>0</v>
      </c>
      <c r="F168" s="63">
        <f>VLOOKUP($B168,'Tillförd energi'!$B$1:$AI$720,MATCH(F$2,'Tillförd energi'!$B$1:$AQ$1,0),FALSE)</f>
        <v>0</v>
      </c>
      <c r="G168" s="63">
        <f>VLOOKUP($B168,'Tillförd energi'!$B$1:$AI$720,MATCH(G$2,'Tillförd energi'!$B$1:$AQ$1,0),FALSE)</f>
        <v>0</v>
      </c>
      <c r="H168" s="63">
        <f>VLOOKUP($B168,'Tillförd energi'!$B$1:$AI$720,MATCH(H$2,'Tillförd energi'!$B$1:$AQ$1,0),FALSE)</f>
        <v>0</v>
      </c>
      <c r="I168" s="63">
        <f>VLOOKUP($B168,'Tillförd energi'!$B$1:$AI$720,MATCH(I$2,'Tillförd energi'!$B$1:$AQ$1,0),FALSE)</f>
        <v>0</v>
      </c>
      <c r="J168" s="63">
        <f>VLOOKUP($B168,'Tillförd energi'!$B$1:$AI$720,MATCH(J$2,'Tillförd energi'!$B$1:$AQ$1,0),FALSE)</f>
        <v>0</v>
      </c>
      <c r="K168" s="63">
        <f>VLOOKUP($B168,'Tillförd energi'!$B$1:$AI$720,MATCH(K$2,'Tillförd energi'!$B$1:$AQ$1,0),FALSE)</f>
        <v>0</v>
      </c>
      <c r="L168" s="63">
        <f>VLOOKUP($B168,'Tillförd energi'!$B$1:$AI$720,MATCH(L$2,'Tillförd energi'!$B$1:$AQ$1,0),FALSE)</f>
        <v>0</v>
      </c>
      <c r="M168" s="63">
        <f>VLOOKUP($B168,'Tillförd energi'!$B$1:$AI$720,MATCH(M$2,'Tillförd energi'!$B$1:$AQ$1,0),FALSE)</f>
        <v>0</v>
      </c>
      <c r="N168" s="63">
        <f>VLOOKUP($B168,'Tillförd energi'!$B$1:$AI$720,MATCH(N$2,'Tillförd energi'!$B$1:$AQ$1,0),FALSE)</f>
        <v>0</v>
      </c>
      <c r="O168" s="63">
        <f>VLOOKUP($B168,'Tillförd energi'!$B$1:$AI$720,MATCH(O$2,'Tillförd energi'!$B$1:$AQ$1,0),FALSE)</f>
        <v>0</v>
      </c>
      <c r="P168" s="63">
        <f>VLOOKUP($B168,'Tillförd energi'!$B$1:$AI$720,MATCH(P$2,'Tillförd energi'!$B$1:$AQ$1,0),FALSE)</f>
        <v>0</v>
      </c>
      <c r="Q168" s="63">
        <f>VLOOKUP($B168,'Tillförd energi'!$B$1:$AI$720,MATCH(Q$2,'Tillförd energi'!$B$1:$AQ$1,0),FALSE)</f>
        <v>0</v>
      </c>
      <c r="R168" s="63">
        <f>VLOOKUP($B168,'Tillförd energi'!$B$1:$AI$720,MATCH(R$2,'Tillförd energi'!$B$1:$AQ$1,0),FALSE)</f>
        <v>0</v>
      </c>
      <c r="S168" s="63">
        <f>VLOOKUP($B168,'Tillförd energi'!$B$1:$AI$720,MATCH(S$2,'Tillförd energi'!$B$1:$AQ$1,0),FALSE)</f>
        <v>0</v>
      </c>
      <c r="T168" s="63">
        <f>VLOOKUP($B168,'Tillförd energi'!$B$1:$AI$720,MATCH(T$2,'Tillförd energi'!$B$1:$AQ$1,0),FALSE)</f>
        <v>0</v>
      </c>
      <c r="U168" s="63">
        <f>VLOOKUP($B168,'Tillförd energi'!$B$1:$AI$720,MATCH(U$2,'Tillförd energi'!$B$1:$AQ$1,0),FALSE)</f>
        <v>0</v>
      </c>
      <c r="V168" s="63">
        <f>VLOOKUP($B168,'Tillförd energi'!$B$1:$AI$720,MATCH(V$2,'Tillförd energi'!$B$1:$AQ$1,0),FALSE)</f>
        <v>0</v>
      </c>
      <c r="W168" s="63">
        <f>VLOOKUP($B168,'Tillförd energi'!$B$1:$AI$720,MATCH(W$2,'Tillförd energi'!$B$1:$AQ$1,0),FALSE)</f>
        <v>0</v>
      </c>
      <c r="X168" s="63">
        <f>VLOOKUP($B168,'Tillförd energi'!$B$1:$AI$720,MATCH(X$2,'Tillförd energi'!$B$1:$AQ$1,0),FALSE)</f>
        <v>0</v>
      </c>
      <c r="Y168" s="63">
        <f>VLOOKUP($B168,'Tillförd energi'!$B$1:$AI$720,MATCH(Y$2,'Tillförd energi'!$B$1:$AQ$1,0),FALSE)</f>
        <v>0</v>
      </c>
      <c r="Z168" s="63">
        <f>VLOOKUP($B168,'Tillförd energi'!$B$1:$AI$720,MATCH(Z$2,'Tillförd energi'!$B$1:$AQ$1,0),FALSE)</f>
        <v>0</v>
      </c>
      <c r="AA168" s="63">
        <f>VLOOKUP($B168,'Tillförd energi'!$B$1:$AI$720,MATCH(AA$2,'Tillförd energi'!$B$1:$AQ$1,0),FALSE)</f>
        <v>0</v>
      </c>
      <c r="AB168" s="63">
        <f>VLOOKUP($B168,'Tillförd energi'!$B$1:$AI$720,MATCH(AB$2,'Tillförd energi'!$B$1:$AQ$1,0),FALSE)</f>
        <v>0</v>
      </c>
      <c r="AC168" s="63">
        <f>VLOOKUP($B168,'Tillförd energi'!$B$1:$AI$720,MATCH(AC$2,'Tillförd energi'!$B$1:$AQ$1,0),FALSE)</f>
        <v>0</v>
      </c>
      <c r="AD168" s="63">
        <f>VLOOKUP($B168,'Tillförd energi'!$B$1:$AI$720,MATCH(AD$2,'Tillförd energi'!$B$1:$AQ$1,0),FALSE)</f>
        <v>0</v>
      </c>
      <c r="AE168" s="63">
        <f>VLOOKUP($B168,'Tillförd energi'!$B$1:$AI$720,MATCH(AE$2,'Tillförd energi'!$B$1:$AQ$1,0),FALSE)</f>
        <v>0</v>
      </c>
      <c r="AF168" s="63">
        <f>VLOOKUP($B168,'Tillförd energi'!$B$1:$AI$720,MATCH(AF$2,'Tillförd energi'!$B$1:$AQ$1,0),FALSE)</f>
        <v>0</v>
      </c>
      <c r="AG168" s="63">
        <f>IFERROR(VLOOKUP(B168,Miljö!$B$1:$AC$550,MATCH("Köpt mängd produktionsspecifik fjärrvärme:",Miljö!$B$1:$AC$1,0),FALSE)/1,0)</f>
        <v>0</v>
      </c>
      <c r="AI168" s="63">
        <f t="shared" si="12"/>
        <v>0</v>
      </c>
      <c r="AJ168" s="63" t="str">
        <f>IF(ISERROR(1/VLOOKUP($B168,Leveranser!$B$1:$S$500,MATCH("såld värme (gwh)",Leveranser!$B$1:$S$1,0),FALSE)),"",VLOOKUP($B168,Leveranser!$B$1:$S$500,MATCH("såld värme (gwh)",Leveranser!$B$1:$S$1,0),FALSE))</f>
        <v/>
      </c>
      <c r="AM168" s="63" t="str">
        <f>IF(B168&lt;&gt;"",IF(VLOOKUP($B168,Totalt!$B$1:$AQ$554,MATCH("Kvalitetsgranskad:",Totalt!$B$1:$AQ$1,0),FALSE)="ja",VLOOKUP($B168,Miljö!$B$1:$AG$479,MATCH(AM$2,Miljö!$B$1:$AK$1,0),FALSE),""),"")</f>
        <v/>
      </c>
      <c r="AN168" s="63" t="str">
        <f>IF(AM168="ja",VLOOKUP($B168,Miljö!$B$1:$J$479,MATCH("Typ av ursprungsspecificerad el   (Om inget värde anges används Nordisk residualmix, se inforuta) ()",Miljö!$B$1:$J$1,0),FALSE),IF(AM168="nej","Nordisk residualel",""))</f>
        <v/>
      </c>
      <c r="AO168" s="63" t="str">
        <f>IF(AM168="","",VLOOKUP($B168,Miljö!$B$1:$J$479,MATCH("Fossilandel för ursprungspecificerad el ()",Miljö!$B$1:$J$1,0),FALSE))</f>
        <v/>
      </c>
      <c r="AQ168" s="63" t="str">
        <f t="shared" si="13"/>
        <v/>
      </c>
      <c r="AS168" s="63" t="str">
        <f t="shared" si="14"/>
        <v>Nej</v>
      </c>
      <c r="AT168" s="63" t="str">
        <f>IF(AS168="ja",VLOOKUP($B168,Miljö!$B$1:$P$500,MATCH("Fossil andel i procent (%)",Miljö!$B$1:$P$1,0),FALSE)/100,"")</f>
        <v/>
      </c>
      <c r="AV168" s="63" t="str">
        <f t="shared" si="15"/>
        <v>Nej</v>
      </c>
      <c r="AW168" s="63" t="str">
        <f>IF(AV168="ja",VLOOKUP($B168,'Egen hetvattenprod'!$B$1:$AO$500,MATCH("Värmekälla till värmepumpar ()",'Egen hetvattenprod'!$B$1:$AO$1,0),FALSE),"")</f>
        <v/>
      </c>
      <c r="AY168" s="63" t="str">
        <f t="shared" si="16"/>
        <v>Nej</v>
      </c>
      <c r="AZ168" s="77" t="str">
        <f>IF($AY168="ja",(VLOOKUP($B168,'Egen hetvattenprod'!$B$1:$BX$550,MATCH(AZ$2,'Egen hetvattenprod'!$B$1:$BX$1,0),FALSE)+VLOOKUP($B168,Kraftvärmeprod!$B$1:$BX$550,MATCH(AZ$2,Kraftvärmeprod!$B$1:$BX$1,0),FALSE))/$AC168,"")</f>
        <v/>
      </c>
      <c r="BA168" s="77" t="str">
        <f>IF($AY168="ja",(VLOOKUP($B168,'Egen hetvattenprod'!$B$1:$BX$550,MATCH(BA$2,'Egen hetvattenprod'!$B$1:$BX$1,0),FALSE)+VLOOKUP($B168,Kraftvärmeprod!$B$1:$BX$550,MATCH(BA$2,Kraftvärmeprod!$B$1:$BX$1,0),FALSE))/$AC168,"")</f>
        <v/>
      </c>
      <c r="BB168" s="77" t="str">
        <f>IF($AY168="ja",(VLOOKUP($B168,'Egen hetvattenprod'!$B$1:$BX$550,MATCH(BB$2,'Egen hetvattenprod'!$B$1:$BX$1,0),FALSE)+VLOOKUP($B168,Kraftvärmeprod!$B$1:$BX$550,MATCH(BB$2,Kraftvärmeprod!$B$1:$BX$1,0),FALSE))/$AC168,"")</f>
        <v/>
      </c>
      <c r="BC168" s="77" t="str">
        <f>IF($AY168="ja",(VLOOKUP($B168,'Egen hetvattenprod'!$B$1:$BX$550,MATCH(BC$2,'Egen hetvattenprod'!$B$1:$BX$1,0),FALSE)+VLOOKUP($B168,Kraftvärmeprod!$B$1:$BX$550,MATCH(BC$2,Kraftvärmeprod!$B$1:$BX$1,0),FALSE))/$AC168,"")</f>
        <v/>
      </c>
      <c r="BD168" s="77" t="str">
        <f>IF($AY168="ja",(VLOOKUP($B168,'Egen hetvattenprod'!$B$1:$BX$550,MATCH(BD$2,'Egen hetvattenprod'!$B$1:$BX$1,0),FALSE)+VLOOKUP($B168,Kraftvärmeprod!$B$1:$BX$550,MATCH(BD$2,Kraftvärmeprod!$B$1:$BX$1,0),FALSE))/$AC168,"")</f>
        <v/>
      </c>
      <c r="BF168" s="63" t="str">
        <f t="shared" si="17"/>
        <v>Nej</v>
      </c>
      <c r="BG168" s="63" t="str">
        <f>IF($BF168="ja",VLOOKUP($B168,'Egen hetvattenprod'!$B$1:$BX$550,MATCH("Andelen klimatgaser med fossilt ursprung för avfall ()",'Egen hetvattenprod'!$B$1:$BX$1,0),FALSE),"")</f>
        <v/>
      </c>
      <c r="BH168" s="63" t="str">
        <f>IF($BF168="ja",VLOOKUP($B168,Kraftvärmeprod!$B$1:$BX$550,MATCH("Andelen klimatgaser med fossilt ursprung för avfall ()",Kraftvärmeprod!$B$1:$BX$1,0),FALSE),"")</f>
        <v/>
      </c>
      <c r="BI168" s="63" t="str">
        <f>IF($BF168="ja",VLOOKUP($B168,'Egen hetvattenprod'!$B$1:$BX$550,MATCH("Avfall (GWh)",'Egen hetvattenprod'!$B$1:$BX$1,0),FALSE),"")</f>
        <v/>
      </c>
      <c r="BJ168" s="63" t="str">
        <f>IF($BF168="ja",VLOOKUP($B168,'Slutlig allokering kvv'!$B$1:$BX$550,MATCH("Avfall (GWh)",'Slutlig allokering kvv'!$B$1:$BX$1,0),FALSE),"")</f>
        <v/>
      </c>
      <c r="BK168" s="63" t="str">
        <f>IF($BF168="ja",VLOOKUP($B168,'Köpt hetvatten'!$B$1:$BX$550,MATCH("Avfall i köpt hetvatten",'Köpt hetvatten'!$B$1:$BX$1,0),FALSE),"")</f>
        <v/>
      </c>
      <c r="BL168" s="63" t="str">
        <f>IF($BF168="ja",VLOOKUP($B168,'Egen hetvattenprod'!$B$1:$BX$550,MATCH("Värde enligt ovan. (%)",'Egen hetvattenprod'!$B$1:$BX$1,0),FALSE),"")</f>
        <v/>
      </c>
      <c r="BM168" s="63" t="str">
        <f>IF($BF168="ja",VLOOKUP($B168,Kraftvärmeprod!$B$1:$BX$550,MATCH("Värde enligt ovan. (%)",Kraftvärmeprod!$B$1:$BX$1,0),FALSE),"")</f>
        <v/>
      </c>
    </row>
    <row r="169" spans="1:65" x14ac:dyDescent="0.45">
      <c r="A169" s="63" t="s">
        <v>459</v>
      </c>
      <c r="B169" s="63" t="s">
        <v>458</v>
      </c>
      <c r="C169" s="63">
        <f>VLOOKUP($B169,'Tillförd energi'!$B$1:$AI$720,MATCH(C$2,'Tillförd energi'!$B$1:$AQ$1,0),FALSE)</f>
        <v>0</v>
      </c>
      <c r="D169" s="63">
        <f>VLOOKUP($B169,'Tillförd energi'!$B$1:$AI$720,MATCH(D$2,'Tillförd energi'!$B$1:$AQ$1,0),FALSE)</f>
        <v>0.23</v>
      </c>
      <c r="E169" s="63">
        <f>VLOOKUP($B169,'Tillförd energi'!$B$1:$AI$720,MATCH(E$2,'Tillförd energi'!$B$1:$AQ$1,0),FALSE)</f>
        <v>0</v>
      </c>
      <c r="F169" s="63">
        <f>VLOOKUP($B169,'Tillförd energi'!$B$1:$AI$720,MATCH(F$2,'Tillförd energi'!$B$1:$AQ$1,0),FALSE)</f>
        <v>0</v>
      </c>
      <c r="G169" s="63">
        <f>VLOOKUP($B169,'Tillförd energi'!$B$1:$AI$720,MATCH(G$2,'Tillförd energi'!$B$1:$AQ$1,0),FALSE)</f>
        <v>0</v>
      </c>
      <c r="H169" s="63">
        <f>VLOOKUP($B169,'Tillförd energi'!$B$1:$AI$720,MATCH(H$2,'Tillförd energi'!$B$1:$AQ$1,0),FALSE)</f>
        <v>0</v>
      </c>
      <c r="I169" s="63">
        <f>VLOOKUP($B169,'Tillförd energi'!$B$1:$AI$720,MATCH(I$2,'Tillförd energi'!$B$1:$AQ$1,0),FALSE)</f>
        <v>0</v>
      </c>
      <c r="J169" s="63">
        <f>VLOOKUP($B169,'Tillförd energi'!$B$1:$AI$720,MATCH(J$2,'Tillförd energi'!$B$1:$AQ$1,0),FALSE)</f>
        <v>0</v>
      </c>
      <c r="K169" s="63">
        <f>VLOOKUP($B169,'Tillförd energi'!$B$1:$AI$720,MATCH(K$2,'Tillförd energi'!$B$1:$AQ$1,0),FALSE)</f>
        <v>0</v>
      </c>
      <c r="L169" s="63">
        <f>VLOOKUP($B169,'Tillförd energi'!$B$1:$AI$720,MATCH(L$2,'Tillförd energi'!$B$1:$AQ$1,0),FALSE)</f>
        <v>0</v>
      </c>
      <c r="M169" s="63">
        <f>VLOOKUP($B169,'Tillförd energi'!$B$1:$AI$720,MATCH(M$2,'Tillförd energi'!$B$1:$AQ$1,0),FALSE)</f>
        <v>0</v>
      </c>
      <c r="N169" s="63">
        <f>VLOOKUP($B169,'Tillförd energi'!$B$1:$AI$720,MATCH(N$2,'Tillförd energi'!$B$1:$AQ$1,0),FALSE)</f>
        <v>0</v>
      </c>
      <c r="O169" s="63">
        <f>VLOOKUP($B169,'Tillförd energi'!$B$1:$AI$720,MATCH(O$2,'Tillförd energi'!$B$1:$AQ$1,0),FALSE)</f>
        <v>0</v>
      </c>
      <c r="P169" s="63">
        <f>VLOOKUP($B169,'Tillförd energi'!$B$1:$AI$720,MATCH(P$2,'Tillförd energi'!$B$1:$AQ$1,0),FALSE)</f>
        <v>0</v>
      </c>
      <c r="Q169" s="63">
        <f>VLOOKUP($B169,'Tillförd energi'!$B$1:$AI$720,MATCH(Q$2,'Tillförd energi'!$B$1:$AQ$1,0),FALSE)</f>
        <v>0.29411799999999999</v>
      </c>
      <c r="R169" s="63">
        <f>VLOOKUP($B169,'Tillförd energi'!$B$1:$AI$720,MATCH(R$2,'Tillförd energi'!$B$1:$AQ$1,0),FALSE)</f>
        <v>0</v>
      </c>
      <c r="S169" s="63">
        <f>VLOOKUP($B169,'Tillförd energi'!$B$1:$AI$720,MATCH(S$2,'Tillförd energi'!$B$1:$AQ$1,0),FALSE)</f>
        <v>0</v>
      </c>
      <c r="T169" s="63">
        <f>VLOOKUP($B169,'Tillförd energi'!$B$1:$AI$720,MATCH(T$2,'Tillförd energi'!$B$1:$AQ$1,0),FALSE)</f>
        <v>0</v>
      </c>
      <c r="U169" s="63">
        <f>VLOOKUP($B169,'Tillförd energi'!$B$1:$AI$720,MATCH(U$2,'Tillförd energi'!$B$1:$AQ$1,0),FALSE)</f>
        <v>0</v>
      </c>
      <c r="V169" s="63">
        <f>VLOOKUP($B169,'Tillförd energi'!$B$1:$AI$720,MATCH(V$2,'Tillförd energi'!$B$1:$AQ$1,0),FALSE)</f>
        <v>0</v>
      </c>
      <c r="W169" s="63">
        <f>VLOOKUP($B169,'Tillförd energi'!$B$1:$AI$720,MATCH(W$2,'Tillförd energi'!$B$1:$AQ$1,0),FALSE)</f>
        <v>0.18</v>
      </c>
      <c r="X169" s="63">
        <f>VLOOKUP($B169,'Tillförd energi'!$B$1:$AI$720,MATCH(X$2,'Tillförd energi'!$B$1:$AQ$1,0),FALSE)</f>
        <v>0</v>
      </c>
      <c r="Y169" s="63">
        <f>VLOOKUP($B169,'Tillförd energi'!$B$1:$AI$720,MATCH(Y$2,'Tillförd energi'!$B$1:$AQ$1,0),FALSE)</f>
        <v>0</v>
      </c>
      <c r="Z169" s="63">
        <f>VLOOKUP($B169,'Tillförd energi'!$B$1:$AI$720,MATCH(Z$2,'Tillförd energi'!$B$1:$AQ$1,0),FALSE)</f>
        <v>0</v>
      </c>
      <c r="AA169" s="63">
        <f>VLOOKUP($B169,'Tillförd energi'!$B$1:$AI$720,MATCH(AA$2,'Tillförd energi'!$B$1:$AQ$1,0),FALSE)</f>
        <v>0</v>
      </c>
      <c r="AB169" s="63">
        <f>VLOOKUP($B169,'Tillförd energi'!$B$1:$AI$720,MATCH(AB$2,'Tillförd energi'!$B$1:$AQ$1,0),FALSE)</f>
        <v>0</v>
      </c>
      <c r="AC169" s="63">
        <f>VLOOKUP($B169,'Tillförd energi'!$B$1:$AI$720,MATCH(AC$2,'Tillförd energi'!$B$1:$AQ$1,0),FALSE)</f>
        <v>0</v>
      </c>
      <c r="AD169" s="63">
        <f>VLOOKUP($B169,'Tillförd energi'!$B$1:$AI$720,MATCH(AD$2,'Tillförd energi'!$B$1:$AQ$1,0),FALSE)</f>
        <v>3.71</v>
      </c>
      <c r="AE169" s="63">
        <f>VLOOKUP($B169,'Tillförd energi'!$B$1:$AI$720,MATCH(AE$2,'Tillförd energi'!$B$1:$AQ$1,0),FALSE)</f>
        <v>0</v>
      </c>
      <c r="AF169" s="63">
        <f>VLOOKUP($B169,'Tillförd energi'!$B$1:$AI$720,MATCH(AF$2,'Tillförd energi'!$B$1:$AQ$1,0),FALSE)</f>
        <v>3.1E-2</v>
      </c>
      <c r="AG169" s="63">
        <f>IFERROR(VLOOKUP(B169,Miljö!$B$1:$AC$550,MATCH("Köpt mängd produktionsspecifik fjärrvärme:",Miljö!$B$1:$AC$1,0),FALSE)/1,0)</f>
        <v>0</v>
      </c>
      <c r="AI169" s="63">
        <f t="shared" si="12"/>
        <v>4.4451179999999999</v>
      </c>
      <c r="AJ169" s="63">
        <f>IF(ISERROR(1/VLOOKUP($B169,Leveranser!$B$1:$S$500,MATCH("såld värme (gwh)",Leveranser!$B$1:$S$1,0),FALSE)),"",VLOOKUP($B169,Leveranser!$B$1:$S$500,MATCH("såld värme (gwh)",Leveranser!$B$1:$S$1,0),FALSE))</f>
        <v>3.8</v>
      </c>
      <c r="AM169" s="63" t="str">
        <f>IF(B169&lt;&gt;"",IF(VLOOKUP($B169,Totalt!$B$1:$AQ$554,MATCH("Kvalitetsgranskad:",Totalt!$B$1:$AQ$1,0),FALSE)="ja",VLOOKUP($B169,Miljö!$B$1:$AG$479,MATCH(AM$2,Miljö!$B$1:$AK$1,0),FALSE),""),"")</f>
        <v>Ja</v>
      </c>
      <c r="AN169" s="63" t="str">
        <f>IF(AM169="ja",VLOOKUP($B169,Miljö!$B$1:$J$479,MATCH("Typ av ursprungsspecificerad el   (Om inget värde anges används Nordisk residualmix, se inforuta) ()",Miljö!$B$1:$J$1,0),FALSE),IF(AM169="nej","Nordisk residualel",""))</f>
        <v>'Vattenkraft'</v>
      </c>
      <c r="AO169" s="63">
        <f>IF(AM169="","",VLOOKUP($B169,Miljö!$B$1:$J$479,MATCH("Fossilandel för ursprungspecificerad el ()",Miljö!$B$1:$J$1,0),FALSE))</f>
        <v>0</v>
      </c>
      <c r="AQ169" s="63">
        <f t="shared" si="13"/>
        <v>1</v>
      </c>
      <c r="AS169" s="63" t="str">
        <f t="shared" si="14"/>
        <v>Nej</v>
      </c>
      <c r="AT169" s="63" t="str">
        <f>IF(AS169="ja",VLOOKUP($B169,Miljö!$B$1:$P$500,MATCH("Fossil andel i procent (%)",Miljö!$B$1:$P$1,0),FALSE)/100,"")</f>
        <v/>
      </c>
      <c r="AV169" s="63" t="str">
        <f t="shared" si="15"/>
        <v>Nej</v>
      </c>
      <c r="AW169" s="63" t="str">
        <f>IF(AV169="ja",VLOOKUP($B169,'Egen hetvattenprod'!$B$1:$AO$500,MATCH("Värmekälla till värmepumpar ()",'Egen hetvattenprod'!$B$1:$AO$1,0),FALSE),"")</f>
        <v/>
      </c>
      <c r="AY169" s="63" t="str">
        <f t="shared" si="16"/>
        <v>Nej</v>
      </c>
      <c r="AZ169" s="77" t="str">
        <f>IF($AY169="ja",(VLOOKUP($B169,'Egen hetvattenprod'!$B$1:$BX$550,MATCH(AZ$2,'Egen hetvattenprod'!$B$1:$BX$1,0),FALSE)+VLOOKUP($B169,Kraftvärmeprod!$B$1:$BX$550,MATCH(AZ$2,Kraftvärmeprod!$B$1:$BX$1,0),FALSE))/$AC169,"")</f>
        <v/>
      </c>
      <c r="BA169" s="77" t="str">
        <f>IF($AY169="ja",(VLOOKUP($B169,'Egen hetvattenprod'!$B$1:$BX$550,MATCH(BA$2,'Egen hetvattenprod'!$B$1:$BX$1,0),FALSE)+VLOOKUP($B169,Kraftvärmeprod!$B$1:$BX$550,MATCH(BA$2,Kraftvärmeprod!$B$1:$BX$1,0),FALSE))/$AC169,"")</f>
        <v/>
      </c>
      <c r="BB169" s="77" t="str">
        <f>IF($AY169="ja",(VLOOKUP($B169,'Egen hetvattenprod'!$B$1:$BX$550,MATCH(BB$2,'Egen hetvattenprod'!$B$1:$BX$1,0),FALSE)+VLOOKUP($B169,Kraftvärmeprod!$B$1:$BX$550,MATCH(BB$2,Kraftvärmeprod!$B$1:$BX$1,0),FALSE))/$AC169,"")</f>
        <v/>
      </c>
      <c r="BC169" s="77" t="str">
        <f>IF($AY169="ja",(VLOOKUP($B169,'Egen hetvattenprod'!$B$1:$BX$550,MATCH(BC$2,'Egen hetvattenprod'!$B$1:$BX$1,0),FALSE)+VLOOKUP($B169,Kraftvärmeprod!$B$1:$BX$550,MATCH(BC$2,Kraftvärmeprod!$B$1:$BX$1,0),FALSE))/$AC169,"")</f>
        <v/>
      </c>
      <c r="BD169" s="77" t="str">
        <f>IF($AY169="ja",(VLOOKUP($B169,'Egen hetvattenprod'!$B$1:$BX$550,MATCH(BD$2,'Egen hetvattenprod'!$B$1:$BX$1,0),FALSE)+VLOOKUP($B169,Kraftvärmeprod!$B$1:$BX$550,MATCH(BD$2,Kraftvärmeprod!$B$1:$BX$1,0),FALSE))/$AC169,"")</f>
        <v/>
      </c>
      <c r="BF169" s="63" t="str">
        <f t="shared" si="17"/>
        <v>Nej</v>
      </c>
      <c r="BG169" s="63" t="str">
        <f>IF($BF169="ja",VLOOKUP($B169,'Egen hetvattenprod'!$B$1:$BX$550,MATCH("Andelen klimatgaser med fossilt ursprung för avfall ()",'Egen hetvattenprod'!$B$1:$BX$1,0),FALSE),"")</f>
        <v/>
      </c>
      <c r="BH169" s="63" t="str">
        <f>IF($BF169="ja",VLOOKUP($B169,Kraftvärmeprod!$B$1:$BX$550,MATCH("Andelen klimatgaser med fossilt ursprung för avfall ()",Kraftvärmeprod!$B$1:$BX$1,0),FALSE),"")</f>
        <v/>
      </c>
      <c r="BI169" s="63" t="str">
        <f>IF($BF169="ja",VLOOKUP($B169,'Egen hetvattenprod'!$B$1:$BX$550,MATCH("Avfall (GWh)",'Egen hetvattenprod'!$B$1:$BX$1,0),FALSE),"")</f>
        <v/>
      </c>
      <c r="BJ169" s="63" t="str">
        <f>IF($BF169="ja",VLOOKUP($B169,'Slutlig allokering kvv'!$B$1:$BX$550,MATCH("Avfall (GWh)",'Slutlig allokering kvv'!$B$1:$BX$1,0),FALSE),"")</f>
        <v/>
      </c>
      <c r="BK169" s="63" t="str">
        <f>IF($BF169="ja",VLOOKUP($B169,'Köpt hetvatten'!$B$1:$BX$550,MATCH("Avfall i köpt hetvatten",'Köpt hetvatten'!$B$1:$BX$1,0),FALSE),"")</f>
        <v/>
      </c>
      <c r="BL169" s="63" t="str">
        <f>IF($BF169="ja",VLOOKUP($B169,'Egen hetvattenprod'!$B$1:$BX$550,MATCH("Värde enligt ovan. (%)",'Egen hetvattenprod'!$B$1:$BX$1,0),FALSE),"")</f>
        <v/>
      </c>
      <c r="BM169" s="63" t="str">
        <f>IF($BF169="ja",VLOOKUP($B169,Kraftvärmeprod!$B$1:$BX$550,MATCH("Värde enligt ovan. (%)",Kraftvärmeprod!$B$1:$BX$1,0),FALSE),"")</f>
        <v/>
      </c>
    </row>
    <row r="170" spans="1:65" x14ac:dyDescent="0.45">
      <c r="A170" s="63" t="s">
        <v>459</v>
      </c>
      <c r="B170" s="63" t="s">
        <v>462</v>
      </c>
      <c r="C170" s="63">
        <f>VLOOKUP($B170,'Tillförd energi'!$B$1:$AI$720,MATCH(C$2,'Tillförd energi'!$B$1:$AQ$1,0),FALSE)</f>
        <v>0</v>
      </c>
      <c r="D170" s="63">
        <f>VLOOKUP($B170,'Tillförd energi'!$B$1:$AI$720,MATCH(D$2,'Tillförd energi'!$B$1:$AQ$1,0),FALSE)</f>
        <v>0</v>
      </c>
      <c r="E170" s="63">
        <f>VLOOKUP($B170,'Tillförd energi'!$B$1:$AI$720,MATCH(E$2,'Tillförd energi'!$B$1:$AQ$1,0),FALSE)</f>
        <v>0</v>
      </c>
      <c r="F170" s="63">
        <f>VLOOKUP($B170,'Tillförd energi'!$B$1:$AI$720,MATCH(F$2,'Tillförd energi'!$B$1:$AQ$1,0),FALSE)</f>
        <v>0</v>
      </c>
      <c r="G170" s="63">
        <f>VLOOKUP($B170,'Tillförd energi'!$B$1:$AI$720,MATCH(G$2,'Tillförd energi'!$B$1:$AQ$1,0),FALSE)</f>
        <v>0</v>
      </c>
      <c r="H170" s="63">
        <f>VLOOKUP($B170,'Tillförd energi'!$B$1:$AI$720,MATCH(H$2,'Tillförd energi'!$B$1:$AQ$1,0),FALSE)</f>
        <v>0</v>
      </c>
      <c r="I170" s="63">
        <f>VLOOKUP($B170,'Tillförd energi'!$B$1:$AI$720,MATCH(I$2,'Tillförd energi'!$B$1:$AQ$1,0),FALSE)</f>
        <v>0</v>
      </c>
      <c r="J170" s="63">
        <f>VLOOKUP($B170,'Tillförd energi'!$B$1:$AI$720,MATCH(J$2,'Tillförd energi'!$B$1:$AQ$1,0),FALSE)</f>
        <v>0</v>
      </c>
      <c r="K170" s="63">
        <f>VLOOKUP($B170,'Tillförd energi'!$B$1:$AI$720,MATCH(K$2,'Tillförd energi'!$B$1:$AQ$1,0),FALSE)</f>
        <v>0</v>
      </c>
      <c r="L170" s="63">
        <f>VLOOKUP($B170,'Tillförd energi'!$B$1:$AI$720,MATCH(L$2,'Tillförd energi'!$B$1:$AQ$1,0),FALSE)</f>
        <v>0</v>
      </c>
      <c r="M170" s="63">
        <f>VLOOKUP($B170,'Tillförd energi'!$B$1:$AI$720,MATCH(M$2,'Tillförd energi'!$B$1:$AQ$1,0),FALSE)</f>
        <v>0</v>
      </c>
      <c r="N170" s="63">
        <f>VLOOKUP($B170,'Tillförd energi'!$B$1:$AI$720,MATCH(N$2,'Tillförd energi'!$B$1:$AQ$1,0),FALSE)</f>
        <v>0</v>
      </c>
      <c r="O170" s="63">
        <f>VLOOKUP($B170,'Tillförd energi'!$B$1:$AI$720,MATCH(O$2,'Tillförd energi'!$B$1:$AQ$1,0),FALSE)</f>
        <v>0</v>
      </c>
      <c r="P170" s="63">
        <f>VLOOKUP($B170,'Tillförd energi'!$B$1:$AI$720,MATCH(P$2,'Tillförd energi'!$B$1:$AQ$1,0),FALSE)</f>
        <v>0</v>
      </c>
      <c r="Q170" s="63">
        <f>VLOOKUP($B170,'Tillförd energi'!$B$1:$AI$720,MATCH(Q$2,'Tillförd energi'!$B$1:$AQ$1,0),FALSE)</f>
        <v>0</v>
      </c>
      <c r="R170" s="63">
        <f>VLOOKUP($B170,'Tillförd energi'!$B$1:$AI$720,MATCH(R$2,'Tillförd energi'!$B$1:$AQ$1,0),FALSE)</f>
        <v>3.8250000000000002</v>
      </c>
      <c r="S170" s="63">
        <f>VLOOKUP($B170,'Tillförd energi'!$B$1:$AI$720,MATCH(S$2,'Tillförd energi'!$B$1:$AQ$1,0),FALSE)</f>
        <v>0</v>
      </c>
      <c r="T170" s="63">
        <f>VLOOKUP($B170,'Tillförd energi'!$B$1:$AI$720,MATCH(T$2,'Tillförd energi'!$B$1:$AQ$1,0),FALSE)</f>
        <v>0</v>
      </c>
      <c r="U170" s="63">
        <f>VLOOKUP($B170,'Tillförd energi'!$B$1:$AI$720,MATCH(U$2,'Tillförd energi'!$B$1:$AQ$1,0),FALSE)</f>
        <v>0</v>
      </c>
      <c r="V170" s="63">
        <f>VLOOKUP($B170,'Tillförd energi'!$B$1:$AI$720,MATCH(V$2,'Tillförd energi'!$B$1:$AQ$1,0),FALSE)</f>
        <v>0</v>
      </c>
      <c r="W170" s="63">
        <f>VLOOKUP($B170,'Tillförd energi'!$B$1:$AI$720,MATCH(W$2,'Tillförd energi'!$B$1:$AQ$1,0),FALSE)</f>
        <v>0</v>
      </c>
      <c r="X170" s="63">
        <f>VLOOKUP($B170,'Tillförd energi'!$B$1:$AI$720,MATCH(X$2,'Tillförd energi'!$B$1:$AQ$1,0),FALSE)</f>
        <v>0</v>
      </c>
      <c r="Y170" s="63">
        <f>VLOOKUP($B170,'Tillförd energi'!$B$1:$AI$720,MATCH(Y$2,'Tillförd energi'!$B$1:$AQ$1,0),FALSE)</f>
        <v>0</v>
      </c>
      <c r="Z170" s="63">
        <f>VLOOKUP($B170,'Tillförd energi'!$B$1:$AI$720,MATCH(Z$2,'Tillförd energi'!$B$1:$AQ$1,0),FALSE)</f>
        <v>0</v>
      </c>
      <c r="AA170" s="63">
        <f>VLOOKUP($B170,'Tillförd energi'!$B$1:$AI$720,MATCH(AA$2,'Tillförd energi'!$B$1:$AQ$1,0),FALSE)</f>
        <v>0</v>
      </c>
      <c r="AB170" s="63">
        <f>VLOOKUP($B170,'Tillförd energi'!$B$1:$AI$720,MATCH(AB$2,'Tillförd energi'!$B$1:$AQ$1,0),FALSE)</f>
        <v>0</v>
      </c>
      <c r="AC170" s="63">
        <f>VLOOKUP($B170,'Tillförd energi'!$B$1:$AI$720,MATCH(AC$2,'Tillförd energi'!$B$1:$AQ$1,0),FALSE)</f>
        <v>0</v>
      </c>
      <c r="AD170" s="63">
        <f>VLOOKUP($B170,'Tillförd energi'!$B$1:$AI$720,MATCH(AD$2,'Tillförd energi'!$B$1:$AQ$1,0),FALSE)</f>
        <v>1.3620000000000001</v>
      </c>
      <c r="AE170" s="63">
        <f>VLOOKUP($B170,'Tillförd energi'!$B$1:$AI$720,MATCH(AE$2,'Tillförd energi'!$B$1:$AQ$1,0),FALSE)</f>
        <v>0</v>
      </c>
      <c r="AF170" s="63">
        <f>VLOOKUP($B170,'Tillförd energi'!$B$1:$AI$720,MATCH(AF$2,'Tillförd energi'!$B$1:$AQ$1,0),FALSE)</f>
        <v>0.21</v>
      </c>
      <c r="AG170" s="63">
        <f>IFERROR(VLOOKUP(B170,Miljö!$B$1:$AC$550,MATCH("Köpt mängd produktionsspecifik fjärrvärme:",Miljö!$B$1:$AC$1,0),FALSE)/1,0)</f>
        <v>0</v>
      </c>
      <c r="AI170" s="63">
        <f t="shared" si="12"/>
        <v>5.3970000000000002</v>
      </c>
      <c r="AJ170" s="63">
        <f>IF(ISERROR(1/VLOOKUP($B170,Leveranser!$B$1:$S$500,MATCH("såld värme (gwh)",Leveranser!$B$1:$S$1,0),FALSE)),"",VLOOKUP($B170,Leveranser!$B$1:$S$500,MATCH("såld värme (gwh)",Leveranser!$B$1:$S$1,0),FALSE))</f>
        <v>4.7</v>
      </c>
      <c r="AM170" s="63" t="str">
        <f>IF(B170&lt;&gt;"",IF(VLOOKUP($B170,Totalt!$B$1:$AQ$554,MATCH("Kvalitetsgranskad:",Totalt!$B$1:$AQ$1,0),FALSE)="ja",VLOOKUP($B170,Miljö!$B$1:$AG$479,MATCH(AM$2,Miljö!$B$1:$AK$1,0),FALSE),""),"")</f>
        <v>Ja</v>
      </c>
      <c r="AN170" s="63" t="str">
        <f>IF(AM170="ja",VLOOKUP($B170,Miljö!$B$1:$J$479,MATCH("Typ av ursprungsspecificerad el   (Om inget värde anges används Nordisk residualmix, se inforuta) ()",Miljö!$B$1:$J$1,0),FALSE),IF(AM170="nej","Nordisk residualel",""))</f>
        <v>'Vattenkraft'</v>
      </c>
      <c r="AO170" s="63">
        <f>IF(AM170="","",VLOOKUP($B170,Miljö!$B$1:$J$479,MATCH("Fossilandel för ursprungspecificerad el ()",Miljö!$B$1:$J$1,0),FALSE))</f>
        <v>0</v>
      </c>
      <c r="AQ170" s="63">
        <f t="shared" si="13"/>
        <v>1</v>
      </c>
      <c r="AS170" s="63" t="str">
        <f t="shared" si="14"/>
        <v>Nej</v>
      </c>
      <c r="AT170" s="63" t="str">
        <f>IF(AS170="ja",VLOOKUP($B170,Miljö!$B$1:$P$500,MATCH("Fossil andel i procent (%)",Miljö!$B$1:$P$1,0),FALSE)/100,"")</f>
        <v/>
      </c>
      <c r="AV170" s="63" t="str">
        <f t="shared" si="15"/>
        <v>Nej</v>
      </c>
      <c r="AW170" s="63" t="str">
        <f>IF(AV170="ja",VLOOKUP($B170,'Egen hetvattenprod'!$B$1:$AO$500,MATCH("Värmekälla till värmepumpar ()",'Egen hetvattenprod'!$B$1:$AO$1,0),FALSE),"")</f>
        <v/>
      </c>
      <c r="AY170" s="63" t="str">
        <f t="shared" si="16"/>
        <v>Nej</v>
      </c>
      <c r="AZ170" s="77" t="str">
        <f>IF($AY170="ja",(VLOOKUP($B170,'Egen hetvattenprod'!$B$1:$BX$550,MATCH(AZ$2,'Egen hetvattenprod'!$B$1:$BX$1,0),FALSE)+VLOOKUP($B170,Kraftvärmeprod!$B$1:$BX$550,MATCH(AZ$2,Kraftvärmeprod!$B$1:$BX$1,0),FALSE))/$AC170,"")</f>
        <v/>
      </c>
      <c r="BA170" s="77" t="str">
        <f>IF($AY170="ja",(VLOOKUP($B170,'Egen hetvattenprod'!$B$1:$BX$550,MATCH(BA$2,'Egen hetvattenprod'!$B$1:$BX$1,0),FALSE)+VLOOKUP($B170,Kraftvärmeprod!$B$1:$BX$550,MATCH(BA$2,Kraftvärmeprod!$B$1:$BX$1,0),FALSE))/$AC170,"")</f>
        <v/>
      </c>
      <c r="BB170" s="77" t="str">
        <f>IF($AY170="ja",(VLOOKUP($B170,'Egen hetvattenprod'!$B$1:$BX$550,MATCH(BB$2,'Egen hetvattenprod'!$B$1:$BX$1,0),FALSE)+VLOOKUP($B170,Kraftvärmeprod!$B$1:$BX$550,MATCH(BB$2,Kraftvärmeprod!$B$1:$BX$1,0),FALSE))/$AC170,"")</f>
        <v/>
      </c>
      <c r="BC170" s="77" t="str">
        <f>IF($AY170="ja",(VLOOKUP($B170,'Egen hetvattenprod'!$B$1:$BX$550,MATCH(BC$2,'Egen hetvattenprod'!$B$1:$BX$1,0),FALSE)+VLOOKUP($B170,Kraftvärmeprod!$B$1:$BX$550,MATCH(BC$2,Kraftvärmeprod!$B$1:$BX$1,0),FALSE))/$AC170,"")</f>
        <v/>
      </c>
      <c r="BD170" s="77" t="str">
        <f>IF($AY170="ja",(VLOOKUP($B170,'Egen hetvattenprod'!$B$1:$BX$550,MATCH(BD$2,'Egen hetvattenprod'!$B$1:$BX$1,0),FALSE)+VLOOKUP($B170,Kraftvärmeprod!$B$1:$BX$550,MATCH(BD$2,Kraftvärmeprod!$B$1:$BX$1,0),FALSE))/$AC170,"")</f>
        <v/>
      </c>
      <c r="BF170" s="63" t="str">
        <f t="shared" si="17"/>
        <v>Nej</v>
      </c>
      <c r="BG170" s="63" t="str">
        <f>IF($BF170="ja",VLOOKUP($B170,'Egen hetvattenprod'!$B$1:$BX$550,MATCH("Andelen klimatgaser med fossilt ursprung för avfall ()",'Egen hetvattenprod'!$B$1:$BX$1,0),FALSE),"")</f>
        <v/>
      </c>
      <c r="BH170" s="63" t="str">
        <f>IF($BF170="ja",VLOOKUP($B170,Kraftvärmeprod!$B$1:$BX$550,MATCH("Andelen klimatgaser med fossilt ursprung för avfall ()",Kraftvärmeprod!$B$1:$BX$1,0),FALSE),"")</f>
        <v/>
      </c>
      <c r="BI170" s="63" t="str">
        <f>IF($BF170="ja",VLOOKUP($B170,'Egen hetvattenprod'!$B$1:$BX$550,MATCH("Avfall (GWh)",'Egen hetvattenprod'!$B$1:$BX$1,0),FALSE),"")</f>
        <v/>
      </c>
      <c r="BJ170" s="63" t="str">
        <f>IF($BF170="ja",VLOOKUP($B170,'Slutlig allokering kvv'!$B$1:$BX$550,MATCH("Avfall (GWh)",'Slutlig allokering kvv'!$B$1:$BX$1,0),FALSE),"")</f>
        <v/>
      </c>
      <c r="BK170" s="63" t="str">
        <f>IF($BF170="ja",VLOOKUP($B170,'Köpt hetvatten'!$B$1:$BX$550,MATCH("Avfall i köpt hetvatten",'Köpt hetvatten'!$B$1:$BX$1,0),FALSE),"")</f>
        <v/>
      </c>
      <c r="BL170" s="63" t="str">
        <f>IF($BF170="ja",VLOOKUP($B170,'Egen hetvattenprod'!$B$1:$BX$550,MATCH("Värde enligt ovan. (%)",'Egen hetvattenprod'!$B$1:$BX$1,0),FALSE),"")</f>
        <v/>
      </c>
      <c r="BM170" s="63" t="str">
        <f>IF($BF170="ja",VLOOKUP($B170,Kraftvärmeprod!$B$1:$BX$550,MATCH("Värde enligt ovan. (%)",Kraftvärmeprod!$B$1:$BX$1,0),FALSE),"")</f>
        <v/>
      </c>
    </row>
    <row r="171" spans="1:65" x14ac:dyDescent="0.45">
      <c r="A171" s="63" t="s">
        <v>457</v>
      </c>
      <c r="B171" s="63" t="s">
        <v>456</v>
      </c>
      <c r="C171" s="63">
        <f>VLOOKUP($B171,'Tillförd energi'!$B$1:$AI$720,MATCH(C$2,'Tillförd energi'!$B$1:$AQ$1,0),FALSE)</f>
        <v>0</v>
      </c>
      <c r="D171" s="63">
        <f>VLOOKUP($B171,'Tillförd energi'!$B$1:$AI$720,MATCH(D$2,'Tillförd energi'!$B$1:$AQ$1,0),FALSE)</f>
        <v>1.92</v>
      </c>
      <c r="E171" s="63">
        <f>VLOOKUP($B171,'Tillförd energi'!$B$1:$AI$720,MATCH(E$2,'Tillförd energi'!$B$1:$AQ$1,0),FALSE)</f>
        <v>0</v>
      </c>
      <c r="F171" s="63">
        <f>VLOOKUP($B171,'Tillförd energi'!$B$1:$AI$720,MATCH(F$2,'Tillförd energi'!$B$1:$AQ$1,0),FALSE)</f>
        <v>0</v>
      </c>
      <c r="G171" s="63">
        <f>VLOOKUP($B171,'Tillförd energi'!$B$1:$AI$720,MATCH(G$2,'Tillförd energi'!$B$1:$AQ$1,0),FALSE)</f>
        <v>0</v>
      </c>
      <c r="H171" s="63">
        <f>VLOOKUP($B171,'Tillförd energi'!$B$1:$AI$720,MATCH(H$2,'Tillförd energi'!$B$1:$AQ$1,0),FALSE)</f>
        <v>0</v>
      </c>
      <c r="I171" s="63">
        <f>VLOOKUP($B171,'Tillförd energi'!$B$1:$AI$720,MATCH(I$2,'Tillförd energi'!$B$1:$AQ$1,0),FALSE)</f>
        <v>113.57599999999999</v>
      </c>
      <c r="J171" s="63">
        <f>VLOOKUP($B171,'Tillförd energi'!$B$1:$AI$720,MATCH(J$2,'Tillförd energi'!$B$1:$AQ$1,0),FALSE)</f>
        <v>0</v>
      </c>
      <c r="K171" s="63">
        <f>VLOOKUP($B171,'Tillförd energi'!$B$1:$AI$720,MATCH(K$2,'Tillförd energi'!$B$1:$AQ$1,0),FALSE)</f>
        <v>0</v>
      </c>
      <c r="L171" s="63">
        <f>VLOOKUP($B171,'Tillförd energi'!$B$1:$AI$720,MATCH(L$2,'Tillförd energi'!$B$1:$AQ$1,0),FALSE)</f>
        <v>21.722899999999999</v>
      </c>
      <c r="M171" s="63">
        <f>VLOOKUP($B171,'Tillförd energi'!$B$1:$AI$720,MATCH(M$2,'Tillförd energi'!$B$1:$AQ$1,0),FALSE)</f>
        <v>0</v>
      </c>
      <c r="N171" s="63">
        <f>VLOOKUP($B171,'Tillförd energi'!$B$1:$AI$720,MATCH(N$2,'Tillförd energi'!$B$1:$AQ$1,0),FALSE)</f>
        <v>50.277200000000001</v>
      </c>
      <c r="O171" s="63">
        <f>VLOOKUP($B171,'Tillförd energi'!$B$1:$AI$720,MATCH(O$2,'Tillförd energi'!$B$1:$AQ$1,0),FALSE)</f>
        <v>0</v>
      </c>
      <c r="P171" s="63">
        <f>VLOOKUP($B171,'Tillförd energi'!$B$1:$AI$720,MATCH(P$2,'Tillförd energi'!$B$1:$AQ$1,0),FALSE)</f>
        <v>0</v>
      </c>
      <c r="Q171" s="63">
        <f>VLOOKUP($B171,'Tillförd energi'!$B$1:$AI$720,MATCH(Q$2,'Tillförd energi'!$B$1:$AQ$1,0),FALSE)</f>
        <v>0</v>
      </c>
      <c r="R171" s="63">
        <f>VLOOKUP($B171,'Tillförd energi'!$B$1:$AI$720,MATCH(R$2,'Tillförd energi'!$B$1:$AQ$1,0),FALSE)</f>
        <v>7.23</v>
      </c>
      <c r="S171" s="63">
        <f>VLOOKUP($B171,'Tillförd energi'!$B$1:$AI$720,MATCH(S$2,'Tillförd energi'!$B$1:$AQ$1,0),FALSE)</f>
        <v>0</v>
      </c>
      <c r="T171" s="63">
        <f>VLOOKUP($B171,'Tillförd energi'!$B$1:$AI$720,MATCH(T$2,'Tillförd energi'!$B$1:$AQ$1,0),FALSE)</f>
        <v>0</v>
      </c>
      <c r="U171" s="63">
        <f>VLOOKUP($B171,'Tillförd energi'!$B$1:$AI$720,MATCH(U$2,'Tillförd energi'!$B$1:$AQ$1,0),FALSE)</f>
        <v>0</v>
      </c>
      <c r="V171" s="63">
        <f>VLOOKUP($B171,'Tillförd energi'!$B$1:$AI$720,MATCH(V$2,'Tillförd energi'!$B$1:$AQ$1,0),FALSE)</f>
        <v>0</v>
      </c>
      <c r="W171" s="63">
        <f>VLOOKUP($B171,'Tillförd energi'!$B$1:$AI$720,MATCH(W$2,'Tillförd energi'!$B$1:$AQ$1,0),FALSE)</f>
        <v>0</v>
      </c>
      <c r="X171" s="63">
        <f>VLOOKUP($B171,'Tillförd energi'!$B$1:$AI$720,MATCH(X$2,'Tillförd energi'!$B$1:$AQ$1,0),FALSE)</f>
        <v>0</v>
      </c>
      <c r="Y171" s="63">
        <f>VLOOKUP($B171,'Tillförd energi'!$B$1:$AI$720,MATCH(Y$2,'Tillförd energi'!$B$1:$AQ$1,0),FALSE)</f>
        <v>0</v>
      </c>
      <c r="Z171" s="63">
        <f>VLOOKUP($B171,'Tillförd energi'!$B$1:$AI$720,MATCH(Z$2,'Tillförd energi'!$B$1:$AQ$1,0),FALSE)</f>
        <v>0</v>
      </c>
      <c r="AA171" s="63">
        <f>VLOOKUP($B171,'Tillförd energi'!$B$1:$AI$720,MATCH(AA$2,'Tillförd energi'!$B$1:$AQ$1,0),FALSE)</f>
        <v>0</v>
      </c>
      <c r="AB171" s="63">
        <f>VLOOKUP($B171,'Tillförd energi'!$B$1:$AI$720,MATCH(AB$2,'Tillförd energi'!$B$1:$AQ$1,0),FALSE)</f>
        <v>0</v>
      </c>
      <c r="AC171" s="63">
        <f>VLOOKUP($B171,'Tillförd energi'!$B$1:$AI$720,MATCH(AC$2,'Tillförd energi'!$B$1:$AQ$1,0),FALSE)</f>
        <v>0</v>
      </c>
      <c r="AD171" s="63">
        <f>VLOOKUP($B171,'Tillförd energi'!$B$1:$AI$720,MATCH(AD$2,'Tillförd energi'!$B$1:$AQ$1,0),FALSE)</f>
        <v>0</v>
      </c>
      <c r="AE171" s="63">
        <f>VLOOKUP($B171,'Tillförd energi'!$B$1:$AI$720,MATCH(AE$2,'Tillförd energi'!$B$1:$AQ$1,0),FALSE)</f>
        <v>0</v>
      </c>
      <c r="AF171" s="63">
        <f>VLOOKUP($B171,'Tillförd energi'!$B$1:$AI$720,MATCH(AF$2,'Tillförd energi'!$B$1:$AQ$1,0),FALSE)</f>
        <v>4.4370000000000003</v>
      </c>
      <c r="AG171" s="63">
        <f>IFERROR(VLOOKUP(B171,Miljö!$B$1:$AC$550,MATCH("Köpt mängd produktionsspecifik fjärrvärme:",Miljö!$B$1:$AC$1,0),FALSE)/1,0)</f>
        <v>0</v>
      </c>
      <c r="AI171" s="63">
        <f t="shared" si="12"/>
        <v>199.16309999999999</v>
      </c>
      <c r="AJ171" s="63">
        <f>IF(ISERROR(1/VLOOKUP($B171,Leveranser!$B$1:$S$500,MATCH("såld värme (gwh)",Leveranser!$B$1:$S$1,0),FALSE)),"",VLOOKUP($B171,Leveranser!$B$1:$S$500,MATCH("såld värme (gwh)",Leveranser!$B$1:$S$1,0),FALSE))</f>
        <v>147.9</v>
      </c>
      <c r="AM171" s="63" t="str">
        <f>IF(B171&lt;&gt;"",IF(VLOOKUP($B171,Totalt!$B$1:$AQ$554,MATCH("Kvalitetsgranskad:",Totalt!$B$1:$AQ$1,0),FALSE)="ja",VLOOKUP($B171,Miljö!$B$1:$AG$479,MATCH(AM$2,Miljö!$B$1:$AK$1,0),FALSE),""),"")</f>
        <v>Ja</v>
      </c>
      <c r="AN171" s="63" t="str">
        <f>IF(AM171="ja",VLOOKUP($B171,Miljö!$B$1:$J$479,MATCH("Typ av ursprungsspecificerad el   (Om inget värde anges används Nordisk residualmix, se inforuta) ()",Miljö!$B$1:$J$1,0),FALSE),IF(AM171="nej","Nordisk residualel",""))</f>
        <v>'Egen fossilfri'</v>
      </c>
      <c r="AO171" s="63">
        <f>IF(AM171="","",VLOOKUP($B171,Miljö!$B$1:$J$479,MATCH("Fossilandel för ursprungspecificerad el ()",Miljö!$B$1:$J$1,0),FALSE))</f>
        <v>0</v>
      </c>
      <c r="AQ171" s="63">
        <f t="shared" si="13"/>
        <v>1</v>
      </c>
      <c r="AS171" s="63" t="str">
        <f t="shared" si="14"/>
        <v>Nej</v>
      </c>
      <c r="AT171" s="63" t="str">
        <f>IF(AS171="ja",VLOOKUP($B171,Miljö!$B$1:$P$500,MATCH("Fossil andel i procent (%)",Miljö!$B$1:$P$1,0),FALSE)/100,"")</f>
        <v/>
      </c>
      <c r="AV171" s="63" t="str">
        <f t="shared" si="15"/>
        <v>Nej</v>
      </c>
      <c r="AW171" s="63" t="str">
        <f>IF(AV171="ja",VLOOKUP($B171,'Egen hetvattenprod'!$B$1:$AO$500,MATCH("Värmekälla till värmepumpar ()",'Egen hetvattenprod'!$B$1:$AO$1,0),FALSE),"")</f>
        <v/>
      </c>
      <c r="AY171" s="63" t="str">
        <f t="shared" si="16"/>
        <v>Nej</v>
      </c>
      <c r="AZ171" s="77" t="str">
        <f>IF($AY171="ja",(VLOOKUP($B171,'Egen hetvattenprod'!$B$1:$BX$550,MATCH(AZ$2,'Egen hetvattenprod'!$B$1:$BX$1,0),FALSE)+VLOOKUP($B171,Kraftvärmeprod!$B$1:$BX$550,MATCH(AZ$2,Kraftvärmeprod!$B$1:$BX$1,0),FALSE))/$AC171,"")</f>
        <v/>
      </c>
      <c r="BA171" s="77" t="str">
        <f>IF($AY171="ja",(VLOOKUP($B171,'Egen hetvattenprod'!$B$1:$BX$550,MATCH(BA$2,'Egen hetvattenprod'!$B$1:$BX$1,0),FALSE)+VLOOKUP($B171,Kraftvärmeprod!$B$1:$BX$550,MATCH(BA$2,Kraftvärmeprod!$B$1:$BX$1,0),FALSE))/$AC171,"")</f>
        <v/>
      </c>
      <c r="BB171" s="77" t="str">
        <f>IF($AY171="ja",(VLOOKUP($B171,'Egen hetvattenprod'!$B$1:$BX$550,MATCH(BB$2,'Egen hetvattenprod'!$B$1:$BX$1,0),FALSE)+VLOOKUP($B171,Kraftvärmeprod!$B$1:$BX$550,MATCH(BB$2,Kraftvärmeprod!$B$1:$BX$1,0),FALSE))/$AC171,"")</f>
        <v/>
      </c>
      <c r="BC171" s="77" t="str">
        <f>IF($AY171="ja",(VLOOKUP($B171,'Egen hetvattenprod'!$B$1:$BX$550,MATCH(BC$2,'Egen hetvattenprod'!$B$1:$BX$1,0),FALSE)+VLOOKUP($B171,Kraftvärmeprod!$B$1:$BX$550,MATCH(BC$2,Kraftvärmeprod!$B$1:$BX$1,0),FALSE))/$AC171,"")</f>
        <v/>
      </c>
      <c r="BD171" s="77" t="str">
        <f>IF($AY171="ja",(VLOOKUP($B171,'Egen hetvattenprod'!$B$1:$BX$550,MATCH(BD$2,'Egen hetvattenprod'!$B$1:$BX$1,0),FALSE)+VLOOKUP($B171,Kraftvärmeprod!$B$1:$BX$550,MATCH(BD$2,Kraftvärmeprod!$B$1:$BX$1,0),FALSE))/$AC171,"")</f>
        <v/>
      </c>
      <c r="BF171" s="63" t="str">
        <f t="shared" si="17"/>
        <v>Ja</v>
      </c>
      <c r="BG171" s="63" t="str">
        <f>IF($BF171="ja",VLOOKUP($B171,'Egen hetvattenprod'!$B$1:$BX$550,MATCH("Andelen klimatgaser med fossilt ursprung för avfall ()",'Egen hetvattenprod'!$B$1:$BX$1,0),FALSE),"")</f>
        <v>ET</v>
      </c>
      <c r="BH171" s="63" t="str">
        <f>IF($BF171="ja",VLOOKUP($B171,Kraftvärmeprod!$B$1:$BX$550,MATCH("Andelen klimatgaser med fossilt ursprung för avfall ()",Kraftvärmeprod!$B$1:$BX$1,0),FALSE),"")</f>
        <v>Schablon</v>
      </c>
      <c r="BI171" s="63" t="str">
        <f>IF($BF171="ja",VLOOKUP($B171,'Egen hetvattenprod'!$B$1:$BX$550,MATCH("Avfall (GWh)",'Egen hetvattenprod'!$B$1:$BX$1,0),FALSE),"")</f>
        <v>ET</v>
      </c>
      <c r="BJ171" s="63">
        <f>IF($BF171="ja",VLOOKUP($B171,'Slutlig allokering kvv'!$B$1:$BX$550,MATCH("Avfall (GWh)",'Slutlig allokering kvv'!$B$1:$BX$1,0),FALSE),"")</f>
        <v>113.57599999999999</v>
      </c>
      <c r="BK171" s="63">
        <f>IF($BF171="ja",VLOOKUP($B171,'Köpt hetvatten'!$B$1:$BX$550,MATCH("Avfall i köpt hetvatten",'Köpt hetvatten'!$B$1:$BX$1,0),FALSE),"")</f>
        <v>0</v>
      </c>
      <c r="BL171" s="63" t="str">
        <f>IF($BF171="ja",VLOOKUP($B171,'Egen hetvattenprod'!$B$1:$BX$550,MATCH("Värde enligt ovan. (%)",'Egen hetvattenprod'!$B$1:$BX$1,0),FALSE),"")</f>
        <v>ET</v>
      </c>
      <c r="BM171" s="63">
        <f>IF($BF171="ja",VLOOKUP($B171,Kraftvärmeprod!$B$1:$BX$550,MATCH("Värde enligt ovan. (%)",Kraftvärmeprod!$B$1:$BX$1,0),FALSE),"")</f>
        <v>37.299999999999997</v>
      </c>
    </row>
    <row r="172" spans="1:65" x14ac:dyDescent="0.45">
      <c r="A172" s="63" t="s">
        <v>453</v>
      </c>
      <c r="B172" s="63" t="s">
        <v>455</v>
      </c>
      <c r="C172" s="63">
        <f>VLOOKUP($B172,'Tillförd energi'!$B$1:$AI$720,MATCH(C$2,'Tillförd energi'!$B$1:$AQ$1,0),FALSE)</f>
        <v>0</v>
      </c>
      <c r="D172" s="63">
        <f>VLOOKUP($B172,'Tillförd energi'!$B$1:$AI$720,MATCH(D$2,'Tillförd energi'!$B$1:$AQ$1,0),FALSE)</f>
        <v>7.0000000000000007E-2</v>
      </c>
      <c r="E172" s="63">
        <f>VLOOKUP($B172,'Tillförd energi'!$B$1:$AI$720,MATCH(E$2,'Tillförd energi'!$B$1:$AQ$1,0),FALSE)</f>
        <v>0</v>
      </c>
      <c r="F172" s="63">
        <f>VLOOKUP($B172,'Tillförd energi'!$B$1:$AI$720,MATCH(F$2,'Tillförd energi'!$B$1:$AQ$1,0),FALSE)</f>
        <v>0</v>
      </c>
      <c r="G172" s="63">
        <f>VLOOKUP($B172,'Tillförd energi'!$B$1:$AI$720,MATCH(G$2,'Tillförd energi'!$B$1:$AQ$1,0),FALSE)</f>
        <v>0</v>
      </c>
      <c r="H172" s="63">
        <f>VLOOKUP($B172,'Tillförd energi'!$B$1:$AI$720,MATCH(H$2,'Tillförd energi'!$B$1:$AQ$1,0),FALSE)</f>
        <v>0</v>
      </c>
      <c r="I172" s="63">
        <f>VLOOKUP($B172,'Tillförd energi'!$B$1:$AI$720,MATCH(I$2,'Tillförd energi'!$B$1:$AQ$1,0),FALSE)</f>
        <v>0</v>
      </c>
      <c r="J172" s="63">
        <f>VLOOKUP($B172,'Tillförd energi'!$B$1:$AI$720,MATCH(J$2,'Tillförd energi'!$B$1:$AQ$1,0),FALSE)</f>
        <v>0</v>
      </c>
      <c r="K172" s="63">
        <f>VLOOKUP($B172,'Tillförd energi'!$B$1:$AI$720,MATCH(K$2,'Tillförd energi'!$B$1:$AQ$1,0),FALSE)</f>
        <v>0</v>
      </c>
      <c r="L172" s="63">
        <f>VLOOKUP($B172,'Tillförd energi'!$B$1:$AI$720,MATCH(L$2,'Tillförd energi'!$B$1:$AQ$1,0),FALSE)</f>
        <v>0</v>
      </c>
      <c r="M172" s="63">
        <f>VLOOKUP($B172,'Tillförd energi'!$B$1:$AI$720,MATCH(M$2,'Tillförd energi'!$B$1:$AQ$1,0),FALSE)</f>
        <v>0</v>
      </c>
      <c r="N172" s="63">
        <f>VLOOKUP($B172,'Tillförd energi'!$B$1:$AI$720,MATCH(N$2,'Tillförd energi'!$B$1:$AQ$1,0),FALSE)</f>
        <v>0</v>
      </c>
      <c r="O172" s="63">
        <f>VLOOKUP($B172,'Tillförd energi'!$B$1:$AI$720,MATCH(O$2,'Tillförd energi'!$B$1:$AQ$1,0),FALSE)</f>
        <v>0</v>
      </c>
      <c r="P172" s="63">
        <f>VLOOKUP($B172,'Tillförd energi'!$B$1:$AI$720,MATCH(P$2,'Tillförd energi'!$B$1:$AQ$1,0),FALSE)</f>
        <v>0</v>
      </c>
      <c r="Q172" s="63">
        <f>VLOOKUP($B172,'Tillförd energi'!$B$1:$AI$720,MATCH(Q$2,'Tillförd energi'!$B$1:$AQ$1,0),FALSE)</f>
        <v>9</v>
      </c>
      <c r="R172" s="63">
        <f>VLOOKUP($B172,'Tillförd energi'!$B$1:$AI$720,MATCH(R$2,'Tillförd energi'!$B$1:$AQ$1,0),FALSE)</f>
        <v>1.4</v>
      </c>
      <c r="S172" s="63">
        <f>VLOOKUP($B172,'Tillförd energi'!$B$1:$AI$720,MATCH(S$2,'Tillförd energi'!$B$1:$AQ$1,0),FALSE)</f>
        <v>0</v>
      </c>
      <c r="T172" s="63">
        <f>VLOOKUP($B172,'Tillförd energi'!$B$1:$AI$720,MATCH(T$2,'Tillförd energi'!$B$1:$AQ$1,0),FALSE)</f>
        <v>0</v>
      </c>
      <c r="U172" s="63">
        <f>VLOOKUP($B172,'Tillförd energi'!$B$1:$AI$720,MATCH(U$2,'Tillförd energi'!$B$1:$AQ$1,0),FALSE)</f>
        <v>0</v>
      </c>
      <c r="V172" s="63">
        <f>VLOOKUP($B172,'Tillförd energi'!$B$1:$AI$720,MATCH(V$2,'Tillförd energi'!$B$1:$AQ$1,0),FALSE)</f>
        <v>0</v>
      </c>
      <c r="W172" s="63">
        <f>VLOOKUP($B172,'Tillförd energi'!$B$1:$AI$720,MATCH(W$2,'Tillförd energi'!$B$1:$AQ$1,0),FALSE)</f>
        <v>0</v>
      </c>
      <c r="X172" s="63">
        <f>VLOOKUP($B172,'Tillförd energi'!$B$1:$AI$720,MATCH(X$2,'Tillförd energi'!$B$1:$AQ$1,0),FALSE)</f>
        <v>0</v>
      </c>
      <c r="Y172" s="63">
        <f>VLOOKUP($B172,'Tillförd energi'!$B$1:$AI$720,MATCH(Y$2,'Tillförd energi'!$B$1:$AQ$1,0),FALSE)</f>
        <v>0</v>
      </c>
      <c r="Z172" s="63">
        <f>VLOOKUP($B172,'Tillförd energi'!$B$1:$AI$720,MATCH(Z$2,'Tillförd energi'!$B$1:$AQ$1,0),FALSE)</f>
        <v>0</v>
      </c>
      <c r="AA172" s="63">
        <f>VLOOKUP($B172,'Tillförd energi'!$B$1:$AI$720,MATCH(AA$2,'Tillförd energi'!$B$1:$AQ$1,0),FALSE)</f>
        <v>0</v>
      </c>
      <c r="AB172" s="63">
        <f>VLOOKUP($B172,'Tillförd energi'!$B$1:$AI$720,MATCH(AB$2,'Tillförd energi'!$B$1:$AQ$1,0),FALSE)</f>
        <v>0</v>
      </c>
      <c r="AC172" s="63">
        <f>VLOOKUP($B172,'Tillförd energi'!$B$1:$AI$720,MATCH(AC$2,'Tillförd energi'!$B$1:$AQ$1,0),FALSE)</f>
        <v>0</v>
      </c>
      <c r="AD172" s="63">
        <f>VLOOKUP($B172,'Tillförd energi'!$B$1:$AI$720,MATCH(AD$2,'Tillförd energi'!$B$1:$AQ$1,0),FALSE)</f>
        <v>0</v>
      </c>
      <c r="AE172" s="63">
        <f>VLOOKUP($B172,'Tillförd energi'!$B$1:$AI$720,MATCH(AE$2,'Tillförd energi'!$B$1:$AQ$1,0),FALSE)</f>
        <v>0</v>
      </c>
      <c r="AF172" s="63">
        <f>VLOOKUP($B172,'Tillförd energi'!$B$1:$AI$720,MATCH(AF$2,'Tillförd energi'!$B$1:$AQ$1,0),FALSE)</f>
        <v>0.16300000000000001</v>
      </c>
      <c r="AG172" s="63">
        <f>IFERROR(VLOOKUP(B172,Miljö!$B$1:$AC$550,MATCH("Köpt mängd produktionsspecifik fjärrvärme:",Miljö!$B$1:$AC$1,0),FALSE)/1,0)</f>
        <v>0</v>
      </c>
      <c r="AI172" s="63">
        <f t="shared" si="12"/>
        <v>10.633000000000001</v>
      </c>
      <c r="AJ172" s="63">
        <f>IF(ISERROR(1/VLOOKUP($B172,Leveranser!$B$1:$S$500,MATCH("såld värme (gwh)",Leveranser!$B$1:$S$1,0),FALSE)),"",VLOOKUP($B172,Leveranser!$B$1:$S$500,MATCH("såld värme (gwh)",Leveranser!$B$1:$S$1,0),FALSE))</f>
        <v>8.1</v>
      </c>
      <c r="AM172" s="63" t="str">
        <f>IF(B172&lt;&gt;"",IF(VLOOKUP($B172,Totalt!$B$1:$AQ$554,MATCH("Kvalitetsgranskad:",Totalt!$B$1:$AQ$1,0),FALSE)="ja",VLOOKUP($B172,Miljö!$B$1:$AG$479,MATCH(AM$2,Miljö!$B$1:$AK$1,0),FALSE),""),"")</f>
        <v>Ja</v>
      </c>
      <c r="AN172" s="63" t="str">
        <f>IF(AM172="ja",VLOOKUP($B172,Miljö!$B$1:$J$479,MATCH("Typ av ursprungsspecificerad el   (Om inget värde anges används Nordisk residualmix, se inforuta) ()",Miljö!$B$1:$J$1,0),FALSE),IF(AM172="nej","Nordisk residualel",""))</f>
        <v>-</v>
      </c>
      <c r="AO172" s="63">
        <f>IF(AM172="","",VLOOKUP($B172,Miljö!$B$1:$J$479,MATCH("Fossilandel för ursprungspecificerad el ()",Miljö!$B$1:$J$1,0),FALSE))</f>
        <v>0.35</v>
      </c>
      <c r="AQ172" s="63">
        <f t="shared" si="13"/>
        <v>0.65</v>
      </c>
      <c r="AS172" s="63" t="str">
        <f t="shared" si="14"/>
        <v>Nej</v>
      </c>
      <c r="AT172" s="63" t="str">
        <f>IF(AS172="ja",VLOOKUP($B172,Miljö!$B$1:$P$500,MATCH("Fossil andel i procent (%)",Miljö!$B$1:$P$1,0),FALSE)/100,"")</f>
        <v/>
      </c>
      <c r="AV172" s="63" t="str">
        <f t="shared" si="15"/>
        <v>Nej</v>
      </c>
      <c r="AW172" s="63" t="str">
        <f>IF(AV172="ja",VLOOKUP($B172,'Egen hetvattenprod'!$B$1:$AO$500,MATCH("Värmekälla till värmepumpar ()",'Egen hetvattenprod'!$B$1:$AO$1,0),FALSE),"")</f>
        <v/>
      </c>
      <c r="AY172" s="63" t="str">
        <f t="shared" si="16"/>
        <v>Nej</v>
      </c>
      <c r="AZ172" s="77" t="str">
        <f>IF($AY172="ja",(VLOOKUP($B172,'Egen hetvattenprod'!$B$1:$BX$550,MATCH(AZ$2,'Egen hetvattenprod'!$B$1:$BX$1,0),FALSE)+VLOOKUP($B172,Kraftvärmeprod!$B$1:$BX$550,MATCH(AZ$2,Kraftvärmeprod!$B$1:$BX$1,0),FALSE))/$AC172,"")</f>
        <v/>
      </c>
      <c r="BA172" s="77" t="str">
        <f>IF($AY172="ja",(VLOOKUP($B172,'Egen hetvattenprod'!$B$1:$BX$550,MATCH(BA$2,'Egen hetvattenprod'!$B$1:$BX$1,0),FALSE)+VLOOKUP($B172,Kraftvärmeprod!$B$1:$BX$550,MATCH(BA$2,Kraftvärmeprod!$B$1:$BX$1,0),FALSE))/$AC172,"")</f>
        <v/>
      </c>
      <c r="BB172" s="77" t="str">
        <f>IF($AY172="ja",(VLOOKUP($B172,'Egen hetvattenprod'!$B$1:$BX$550,MATCH(BB$2,'Egen hetvattenprod'!$B$1:$BX$1,0),FALSE)+VLOOKUP($B172,Kraftvärmeprod!$B$1:$BX$550,MATCH(BB$2,Kraftvärmeprod!$B$1:$BX$1,0),FALSE))/$AC172,"")</f>
        <v/>
      </c>
      <c r="BC172" s="77" t="str">
        <f>IF($AY172="ja",(VLOOKUP($B172,'Egen hetvattenprod'!$B$1:$BX$550,MATCH(BC$2,'Egen hetvattenprod'!$B$1:$BX$1,0),FALSE)+VLOOKUP($B172,Kraftvärmeprod!$B$1:$BX$550,MATCH(BC$2,Kraftvärmeprod!$B$1:$BX$1,0),FALSE))/$AC172,"")</f>
        <v/>
      </c>
      <c r="BD172" s="77" t="str">
        <f>IF($AY172="ja",(VLOOKUP($B172,'Egen hetvattenprod'!$B$1:$BX$550,MATCH(BD$2,'Egen hetvattenprod'!$B$1:$BX$1,0),FALSE)+VLOOKUP($B172,Kraftvärmeprod!$B$1:$BX$550,MATCH(BD$2,Kraftvärmeprod!$B$1:$BX$1,0),FALSE))/$AC172,"")</f>
        <v/>
      </c>
      <c r="BF172" s="63" t="str">
        <f t="shared" si="17"/>
        <v>Nej</v>
      </c>
      <c r="BG172" s="63" t="str">
        <f>IF($BF172="ja",VLOOKUP($B172,'Egen hetvattenprod'!$B$1:$BX$550,MATCH("Andelen klimatgaser med fossilt ursprung för avfall ()",'Egen hetvattenprod'!$B$1:$BX$1,0),FALSE),"")</f>
        <v/>
      </c>
      <c r="BH172" s="63" t="str">
        <f>IF($BF172="ja",VLOOKUP($B172,Kraftvärmeprod!$B$1:$BX$550,MATCH("Andelen klimatgaser med fossilt ursprung för avfall ()",Kraftvärmeprod!$B$1:$BX$1,0),FALSE),"")</f>
        <v/>
      </c>
      <c r="BI172" s="63" t="str">
        <f>IF($BF172="ja",VLOOKUP($B172,'Egen hetvattenprod'!$B$1:$BX$550,MATCH("Avfall (GWh)",'Egen hetvattenprod'!$B$1:$BX$1,0),FALSE),"")</f>
        <v/>
      </c>
      <c r="BJ172" s="63" t="str">
        <f>IF($BF172="ja",VLOOKUP($B172,'Slutlig allokering kvv'!$B$1:$BX$550,MATCH("Avfall (GWh)",'Slutlig allokering kvv'!$B$1:$BX$1,0),FALSE),"")</f>
        <v/>
      </c>
      <c r="BK172" s="63" t="str">
        <f>IF($BF172="ja",VLOOKUP($B172,'Köpt hetvatten'!$B$1:$BX$550,MATCH("Avfall i köpt hetvatten",'Köpt hetvatten'!$B$1:$BX$1,0),FALSE),"")</f>
        <v/>
      </c>
      <c r="BL172" s="63" t="str">
        <f>IF($BF172="ja",VLOOKUP($B172,'Egen hetvattenprod'!$B$1:$BX$550,MATCH("Värde enligt ovan. (%)",'Egen hetvattenprod'!$B$1:$BX$1,0),FALSE),"")</f>
        <v/>
      </c>
      <c r="BM172" s="63" t="str">
        <f>IF($BF172="ja",VLOOKUP($B172,Kraftvärmeprod!$B$1:$BX$550,MATCH("Värde enligt ovan. (%)",Kraftvärmeprod!$B$1:$BX$1,0),FALSE),"")</f>
        <v/>
      </c>
    </row>
    <row r="173" spans="1:65" x14ac:dyDescent="0.45">
      <c r="A173" s="63" t="s">
        <v>453</v>
      </c>
      <c r="B173" s="63" t="s">
        <v>454</v>
      </c>
      <c r="C173" s="63">
        <f>VLOOKUP($B173,'Tillförd energi'!$B$1:$AI$720,MATCH(C$2,'Tillförd energi'!$B$1:$AQ$1,0),FALSE)</f>
        <v>0</v>
      </c>
      <c r="D173" s="63">
        <f>VLOOKUP($B173,'Tillförd energi'!$B$1:$AI$720,MATCH(D$2,'Tillförd energi'!$B$1:$AQ$1,0),FALSE)</f>
        <v>0.09</v>
      </c>
      <c r="E173" s="63">
        <f>VLOOKUP($B173,'Tillförd energi'!$B$1:$AI$720,MATCH(E$2,'Tillförd energi'!$B$1:$AQ$1,0),FALSE)</f>
        <v>0</v>
      </c>
      <c r="F173" s="63">
        <f>VLOOKUP($B173,'Tillförd energi'!$B$1:$AI$720,MATCH(F$2,'Tillförd energi'!$B$1:$AQ$1,0),FALSE)</f>
        <v>0</v>
      </c>
      <c r="G173" s="63">
        <f>VLOOKUP($B173,'Tillförd energi'!$B$1:$AI$720,MATCH(G$2,'Tillförd energi'!$B$1:$AQ$1,0),FALSE)</f>
        <v>0</v>
      </c>
      <c r="H173" s="63">
        <f>VLOOKUP($B173,'Tillförd energi'!$B$1:$AI$720,MATCH(H$2,'Tillförd energi'!$B$1:$AQ$1,0),FALSE)</f>
        <v>0</v>
      </c>
      <c r="I173" s="63">
        <f>VLOOKUP($B173,'Tillförd energi'!$B$1:$AI$720,MATCH(I$2,'Tillförd energi'!$B$1:$AQ$1,0),FALSE)</f>
        <v>0</v>
      </c>
      <c r="J173" s="63">
        <f>VLOOKUP($B173,'Tillförd energi'!$B$1:$AI$720,MATCH(J$2,'Tillförd energi'!$B$1:$AQ$1,0),FALSE)</f>
        <v>0</v>
      </c>
      <c r="K173" s="63">
        <f>VLOOKUP($B173,'Tillförd energi'!$B$1:$AI$720,MATCH(K$2,'Tillförd energi'!$B$1:$AQ$1,0),FALSE)</f>
        <v>0</v>
      </c>
      <c r="L173" s="63">
        <f>VLOOKUP($B173,'Tillförd energi'!$B$1:$AI$720,MATCH(L$2,'Tillförd energi'!$B$1:$AQ$1,0),FALSE)</f>
        <v>0</v>
      </c>
      <c r="M173" s="63">
        <f>VLOOKUP($B173,'Tillförd energi'!$B$1:$AI$720,MATCH(M$2,'Tillförd energi'!$B$1:$AQ$1,0),FALSE)</f>
        <v>0</v>
      </c>
      <c r="N173" s="63">
        <f>VLOOKUP($B173,'Tillförd energi'!$B$1:$AI$720,MATCH(N$2,'Tillförd energi'!$B$1:$AQ$1,0),FALSE)</f>
        <v>0</v>
      </c>
      <c r="O173" s="63">
        <f>VLOOKUP($B173,'Tillförd energi'!$B$1:$AI$720,MATCH(O$2,'Tillförd energi'!$B$1:$AQ$1,0),FALSE)</f>
        <v>0</v>
      </c>
      <c r="P173" s="63">
        <f>VLOOKUP($B173,'Tillförd energi'!$B$1:$AI$720,MATCH(P$2,'Tillförd energi'!$B$1:$AQ$1,0),FALSE)</f>
        <v>11</v>
      </c>
      <c r="Q173" s="63">
        <f>VLOOKUP($B173,'Tillförd energi'!$B$1:$AI$720,MATCH(Q$2,'Tillförd energi'!$B$1:$AQ$1,0),FALSE)</f>
        <v>0</v>
      </c>
      <c r="R173" s="63">
        <f>VLOOKUP($B173,'Tillförd energi'!$B$1:$AI$720,MATCH(R$2,'Tillförd energi'!$B$1:$AQ$1,0),FALSE)</f>
        <v>0.3</v>
      </c>
      <c r="S173" s="63">
        <f>VLOOKUP($B173,'Tillförd energi'!$B$1:$AI$720,MATCH(S$2,'Tillförd energi'!$B$1:$AQ$1,0),FALSE)</f>
        <v>0</v>
      </c>
      <c r="T173" s="63">
        <f>VLOOKUP($B173,'Tillförd energi'!$B$1:$AI$720,MATCH(T$2,'Tillförd energi'!$B$1:$AQ$1,0),FALSE)</f>
        <v>0</v>
      </c>
      <c r="U173" s="63">
        <f>VLOOKUP($B173,'Tillförd energi'!$B$1:$AI$720,MATCH(U$2,'Tillförd energi'!$B$1:$AQ$1,0),FALSE)</f>
        <v>0</v>
      </c>
      <c r="V173" s="63">
        <f>VLOOKUP($B173,'Tillförd energi'!$B$1:$AI$720,MATCH(V$2,'Tillförd energi'!$B$1:$AQ$1,0),FALSE)</f>
        <v>0</v>
      </c>
      <c r="W173" s="63">
        <f>VLOOKUP($B173,'Tillförd energi'!$B$1:$AI$720,MATCH(W$2,'Tillförd energi'!$B$1:$AQ$1,0),FALSE)</f>
        <v>0</v>
      </c>
      <c r="X173" s="63">
        <f>VLOOKUP($B173,'Tillförd energi'!$B$1:$AI$720,MATCH(X$2,'Tillförd energi'!$B$1:$AQ$1,0),FALSE)</f>
        <v>0</v>
      </c>
      <c r="Y173" s="63">
        <f>VLOOKUP($B173,'Tillförd energi'!$B$1:$AI$720,MATCH(Y$2,'Tillförd energi'!$B$1:$AQ$1,0),FALSE)</f>
        <v>0</v>
      </c>
      <c r="Z173" s="63">
        <f>VLOOKUP($B173,'Tillförd energi'!$B$1:$AI$720,MATCH(Z$2,'Tillförd energi'!$B$1:$AQ$1,0),FALSE)</f>
        <v>0</v>
      </c>
      <c r="AA173" s="63">
        <f>VLOOKUP($B173,'Tillförd energi'!$B$1:$AI$720,MATCH(AA$2,'Tillförd energi'!$B$1:$AQ$1,0),FALSE)</f>
        <v>0</v>
      </c>
      <c r="AB173" s="63">
        <f>VLOOKUP($B173,'Tillförd energi'!$B$1:$AI$720,MATCH(AB$2,'Tillförd energi'!$B$1:$AQ$1,0),FALSE)</f>
        <v>0</v>
      </c>
      <c r="AC173" s="63">
        <f>VLOOKUP($B173,'Tillförd energi'!$B$1:$AI$720,MATCH(AC$2,'Tillförd energi'!$B$1:$AQ$1,0),FALSE)</f>
        <v>1.6</v>
      </c>
      <c r="AD173" s="63">
        <f>VLOOKUP($B173,'Tillförd energi'!$B$1:$AI$720,MATCH(AD$2,'Tillförd energi'!$B$1:$AQ$1,0),FALSE)</f>
        <v>0</v>
      </c>
      <c r="AE173" s="63">
        <f>VLOOKUP($B173,'Tillförd energi'!$B$1:$AI$720,MATCH(AE$2,'Tillförd energi'!$B$1:$AQ$1,0),FALSE)</f>
        <v>0</v>
      </c>
      <c r="AF173" s="63">
        <f>VLOOKUP($B173,'Tillförd energi'!$B$1:$AI$720,MATCH(AF$2,'Tillförd energi'!$B$1:$AQ$1,0),FALSE)</f>
        <v>0.4</v>
      </c>
      <c r="AG173" s="63">
        <f>IFERROR(VLOOKUP(B173,Miljö!$B$1:$AC$550,MATCH("Köpt mängd produktionsspecifik fjärrvärme:",Miljö!$B$1:$AC$1,0),FALSE)/1,0)</f>
        <v>0</v>
      </c>
      <c r="AI173" s="63">
        <f t="shared" si="12"/>
        <v>13.39</v>
      </c>
      <c r="AJ173" s="63">
        <f>IF(ISERROR(1/VLOOKUP($B173,Leveranser!$B$1:$S$500,MATCH("såld värme (gwh)",Leveranser!$B$1:$S$1,0),FALSE)),"",VLOOKUP($B173,Leveranser!$B$1:$S$500,MATCH("såld värme (gwh)",Leveranser!$B$1:$S$1,0),FALSE))</f>
        <v>11.1</v>
      </c>
      <c r="AM173" s="63" t="str">
        <f>IF(B173&lt;&gt;"",IF(VLOOKUP($B173,Totalt!$B$1:$AQ$554,MATCH("Kvalitetsgranskad:",Totalt!$B$1:$AQ$1,0),FALSE)="ja",VLOOKUP($B173,Miljö!$B$1:$AG$479,MATCH(AM$2,Miljö!$B$1:$AK$1,0),FALSE),""),"")</f>
        <v>Ja</v>
      </c>
      <c r="AN173" s="63" t="str">
        <f>IF(AM173="ja",VLOOKUP($B173,Miljö!$B$1:$J$479,MATCH("Typ av ursprungsspecificerad el   (Om inget värde anges används Nordisk residualmix, se inforuta) ()",Miljö!$B$1:$J$1,0),FALSE),IF(AM173="nej","Nordisk residualel",""))</f>
        <v>'Vattenkraft'</v>
      </c>
      <c r="AO173" s="63">
        <f>IF(AM173="","",VLOOKUP($B173,Miljö!$B$1:$J$479,MATCH("Fossilandel för ursprungspecificerad el ()",Miljö!$B$1:$J$1,0),FALSE))</f>
        <v>0</v>
      </c>
      <c r="AQ173" s="63">
        <f t="shared" si="13"/>
        <v>1</v>
      </c>
      <c r="AS173" s="63" t="str">
        <f t="shared" si="14"/>
        <v>Nej</v>
      </c>
      <c r="AT173" s="63" t="str">
        <f>IF(AS173="ja",VLOOKUP($B173,Miljö!$B$1:$P$500,MATCH("Fossil andel i procent (%)",Miljö!$B$1:$P$1,0),FALSE)/100,"")</f>
        <v/>
      </c>
      <c r="AV173" s="63" t="str">
        <f t="shared" si="15"/>
        <v>Nej</v>
      </c>
      <c r="AW173" s="63" t="str">
        <f>IF(AV173="ja",VLOOKUP($B173,'Egen hetvattenprod'!$B$1:$AO$500,MATCH("Värmekälla till värmepumpar ()",'Egen hetvattenprod'!$B$1:$AO$1,0),FALSE),"")</f>
        <v/>
      </c>
      <c r="AY173" s="63" t="str">
        <f t="shared" si="16"/>
        <v>Ja</v>
      </c>
      <c r="AZ173" s="77">
        <f>IF($AY173="ja",(VLOOKUP($B173,'Egen hetvattenprod'!$B$1:$BX$550,MATCH(AZ$2,'Egen hetvattenprod'!$B$1:$BX$1,0),FALSE)+VLOOKUP($B173,Kraftvärmeprod!$B$1:$BX$550,MATCH(AZ$2,Kraftvärmeprod!$B$1:$BX$1,0),FALSE))/$AC173,"")</f>
        <v>1</v>
      </c>
      <c r="BA173" s="77">
        <f>IF($AY173="ja",(VLOOKUP($B173,'Egen hetvattenprod'!$B$1:$BX$550,MATCH(BA$2,'Egen hetvattenprod'!$B$1:$BX$1,0),FALSE)+VLOOKUP($B173,Kraftvärmeprod!$B$1:$BX$550,MATCH(BA$2,Kraftvärmeprod!$B$1:$BX$1,0),FALSE))/$AC173,"")</f>
        <v>0</v>
      </c>
      <c r="BB173" s="77">
        <f>IF($AY173="ja",(VLOOKUP($B173,'Egen hetvattenprod'!$B$1:$BX$550,MATCH(BB$2,'Egen hetvattenprod'!$B$1:$BX$1,0),FALSE)+VLOOKUP($B173,Kraftvärmeprod!$B$1:$BX$550,MATCH(BB$2,Kraftvärmeprod!$B$1:$BX$1,0),FALSE))/$AC173,"")</f>
        <v>0</v>
      </c>
      <c r="BC173" s="77">
        <f>IF($AY173="ja",(VLOOKUP($B173,'Egen hetvattenprod'!$B$1:$BX$550,MATCH(BC$2,'Egen hetvattenprod'!$B$1:$BX$1,0),FALSE)+VLOOKUP($B173,Kraftvärmeprod!$B$1:$BX$550,MATCH(BC$2,Kraftvärmeprod!$B$1:$BX$1,0),FALSE))/$AC173,"")</f>
        <v>0</v>
      </c>
      <c r="BD173" s="77">
        <f>IF($AY173="ja",(VLOOKUP($B173,'Egen hetvattenprod'!$B$1:$BX$550,MATCH(BD$2,'Egen hetvattenprod'!$B$1:$BX$1,0),FALSE)+VLOOKUP($B173,Kraftvärmeprod!$B$1:$BX$550,MATCH(BD$2,Kraftvärmeprod!$B$1:$BX$1,0),FALSE))/$AC173,"")</f>
        <v>0</v>
      </c>
      <c r="BF173" s="63" t="str">
        <f t="shared" si="17"/>
        <v>Nej</v>
      </c>
      <c r="BG173" s="63" t="str">
        <f>IF($BF173="ja",VLOOKUP($B173,'Egen hetvattenprod'!$B$1:$BX$550,MATCH("Andelen klimatgaser med fossilt ursprung för avfall ()",'Egen hetvattenprod'!$B$1:$BX$1,0),FALSE),"")</f>
        <v/>
      </c>
      <c r="BH173" s="63" t="str">
        <f>IF($BF173="ja",VLOOKUP($B173,Kraftvärmeprod!$B$1:$BX$550,MATCH("Andelen klimatgaser med fossilt ursprung för avfall ()",Kraftvärmeprod!$B$1:$BX$1,0),FALSE),"")</f>
        <v/>
      </c>
      <c r="BI173" s="63" t="str">
        <f>IF($BF173="ja",VLOOKUP($B173,'Egen hetvattenprod'!$B$1:$BX$550,MATCH("Avfall (GWh)",'Egen hetvattenprod'!$B$1:$BX$1,0),FALSE),"")</f>
        <v/>
      </c>
      <c r="BJ173" s="63" t="str">
        <f>IF($BF173="ja",VLOOKUP($B173,'Slutlig allokering kvv'!$B$1:$BX$550,MATCH("Avfall (GWh)",'Slutlig allokering kvv'!$B$1:$BX$1,0),FALSE),"")</f>
        <v/>
      </c>
      <c r="BK173" s="63" t="str">
        <f>IF($BF173="ja",VLOOKUP($B173,'Köpt hetvatten'!$B$1:$BX$550,MATCH("Avfall i köpt hetvatten",'Köpt hetvatten'!$B$1:$BX$1,0),FALSE),"")</f>
        <v/>
      </c>
      <c r="BL173" s="63" t="str">
        <f>IF($BF173="ja",VLOOKUP($B173,'Egen hetvattenprod'!$B$1:$BX$550,MATCH("Värde enligt ovan. (%)",'Egen hetvattenprod'!$B$1:$BX$1,0),FALSE),"")</f>
        <v/>
      </c>
      <c r="BM173" s="63" t="str">
        <f>IF($BF173="ja",VLOOKUP($B173,Kraftvärmeprod!$B$1:$BX$550,MATCH("Värde enligt ovan. (%)",Kraftvärmeprod!$B$1:$BX$1,0),FALSE),"")</f>
        <v/>
      </c>
    </row>
    <row r="174" spans="1:65" x14ac:dyDescent="0.45">
      <c r="A174" s="63" t="s">
        <v>453</v>
      </c>
      <c r="B174" s="63" t="s">
        <v>452</v>
      </c>
      <c r="C174" s="63">
        <f>VLOOKUP($B174,'Tillförd energi'!$B$1:$AI$720,MATCH(C$2,'Tillförd energi'!$B$1:$AQ$1,0),FALSE)</f>
        <v>0</v>
      </c>
      <c r="D174" s="63">
        <f>VLOOKUP($B174,'Tillförd energi'!$B$1:$AI$720,MATCH(D$2,'Tillförd energi'!$B$1:$AQ$1,0),FALSE)</f>
        <v>1.2999999999999999E-2</v>
      </c>
      <c r="E174" s="63">
        <f>VLOOKUP($B174,'Tillförd energi'!$B$1:$AI$720,MATCH(E$2,'Tillförd energi'!$B$1:$AQ$1,0),FALSE)</f>
        <v>0</v>
      </c>
      <c r="F174" s="63">
        <f>VLOOKUP($B174,'Tillförd energi'!$B$1:$AI$720,MATCH(F$2,'Tillförd energi'!$B$1:$AQ$1,0),FALSE)</f>
        <v>0</v>
      </c>
      <c r="G174" s="63">
        <f>VLOOKUP($B174,'Tillförd energi'!$B$1:$AI$720,MATCH(G$2,'Tillförd energi'!$B$1:$AQ$1,0),FALSE)</f>
        <v>0</v>
      </c>
      <c r="H174" s="63">
        <f>VLOOKUP($B174,'Tillförd energi'!$B$1:$AI$720,MATCH(H$2,'Tillförd energi'!$B$1:$AQ$1,0),FALSE)</f>
        <v>0</v>
      </c>
      <c r="I174" s="63">
        <f>VLOOKUP($B174,'Tillförd energi'!$B$1:$AI$720,MATCH(I$2,'Tillförd energi'!$B$1:$AQ$1,0),FALSE)</f>
        <v>0</v>
      </c>
      <c r="J174" s="63">
        <f>VLOOKUP($B174,'Tillförd energi'!$B$1:$AI$720,MATCH(J$2,'Tillförd energi'!$B$1:$AQ$1,0),FALSE)</f>
        <v>0</v>
      </c>
      <c r="K174" s="63">
        <f>VLOOKUP($B174,'Tillförd energi'!$B$1:$AI$720,MATCH(K$2,'Tillförd energi'!$B$1:$AQ$1,0),FALSE)</f>
        <v>0</v>
      </c>
      <c r="L174" s="63">
        <f>VLOOKUP($B174,'Tillförd energi'!$B$1:$AI$720,MATCH(L$2,'Tillförd energi'!$B$1:$AQ$1,0),FALSE)</f>
        <v>0</v>
      </c>
      <c r="M174" s="63">
        <f>VLOOKUP($B174,'Tillförd energi'!$B$1:$AI$720,MATCH(M$2,'Tillförd energi'!$B$1:$AQ$1,0),FALSE)</f>
        <v>5.2</v>
      </c>
      <c r="N174" s="63">
        <f>VLOOKUP($B174,'Tillförd energi'!$B$1:$AI$720,MATCH(N$2,'Tillförd energi'!$B$1:$AQ$1,0),FALSE)</f>
        <v>56.4</v>
      </c>
      <c r="O174" s="63">
        <f>VLOOKUP($B174,'Tillförd energi'!$B$1:$AI$720,MATCH(O$2,'Tillförd energi'!$B$1:$AQ$1,0),FALSE)</f>
        <v>0</v>
      </c>
      <c r="P174" s="63">
        <f>VLOOKUP($B174,'Tillförd energi'!$B$1:$AI$720,MATCH(P$2,'Tillförd energi'!$B$1:$AQ$1,0),FALSE)</f>
        <v>0</v>
      </c>
      <c r="Q174" s="63">
        <f>VLOOKUP($B174,'Tillförd energi'!$B$1:$AI$720,MATCH(Q$2,'Tillförd energi'!$B$1:$AQ$1,0),FALSE)</f>
        <v>0</v>
      </c>
      <c r="R174" s="63">
        <f>VLOOKUP($B174,'Tillförd energi'!$B$1:$AI$720,MATCH(R$2,'Tillförd energi'!$B$1:$AQ$1,0),FALSE)</f>
        <v>0</v>
      </c>
      <c r="S174" s="63">
        <f>VLOOKUP($B174,'Tillförd energi'!$B$1:$AI$720,MATCH(S$2,'Tillförd energi'!$B$1:$AQ$1,0),FALSE)</f>
        <v>0</v>
      </c>
      <c r="T174" s="63">
        <f>VLOOKUP($B174,'Tillförd energi'!$B$1:$AI$720,MATCH(T$2,'Tillförd energi'!$B$1:$AQ$1,0),FALSE)</f>
        <v>0</v>
      </c>
      <c r="U174" s="63">
        <f>VLOOKUP($B174,'Tillförd energi'!$B$1:$AI$720,MATCH(U$2,'Tillförd energi'!$B$1:$AQ$1,0),FALSE)</f>
        <v>0</v>
      </c>
      <c r="V174" s="63">
        <f>VLOOKUP($B174,'Tillförd energi'!$B$1:$AI$720,MATCH(V$2,'Tillförd energi'!$B$1:$AQ$1,0),FALSE)</f>
        <v>0</v>
      </c>
      <c r="W174" s="63">
        <f>VLOOKUP($B174,'Tillförd energi'!$B$1:$AI$720,MATCH(W$2,'Tillförd energi'!$B$1:$AQ$1,0),FALSE)</f>
        <v>0</v>
      </c>
      <c r="X174" s="63">
        <f>VLOOKUP($B174,'Tillförd energi'!$B$1:$AI$720,MATCH(X$2,'Tillförd energi'!$B$1:$AQ$1,0),FALSE)</f>
        <v>0</v>
      </c>
      <c r="Y174" s="63">
        <f>VLOOKUP($B174,'Tillförd energi'!$B$1:$AI$720,MATCH(Y$2,'Tillförd energi'!$B$1:$AQ$1,0),FALSE)</f>
        <v>0</v>
      </c>
      <c r="Z174" s="63">
        <f>VLOOKUP($B174,'Tillförd energi'!$B$1:$AI$720,MATCH(Z$2,'Tillförd energi'!$B$1:$AQ$1,0),FALSE)</f>
        <v>0</v>
      </c>
      <c r="AA174" s="63">
        <f>VLOOKUP($B174,'Tillförd energi'!$B$1:$AI$720,MATCH(AA$2,'Tillförd energi'!$B$1:$AQ$1,0),FALSE)</f>
        <v>0</v>
      </c>
      <c r="AB174" s="63">
        <f>VLOOKUP($B174,'Tillförd energi'!$B$1:$AI$720,MATCH(AB$2,'Tillförd energi'!$B$1:$AQ$1,0),FALSE)</f>
        <v>0</v>
      </c>
      <c r="AC174" s="63">
        <f>VLOOKUP($B174,'Tillförd energi'!$B$1:$AI$720,MATCH(AC$2,'Tillförd energi'!$B$1:$AQ$1,0),FALSE)</f>
        <v>12.1</v>
      </c>
      <c r="AD174" s="63">
        <f>VLOOKUP($B174,'Tillförd energi'!$B$1:$AI$720,MATCH(AD$2,'Tillförd energi'!$B$1:$AQ$1,0),FALSE)</f>
        <v>0</v>
      </c>
      <c r="AE174" s="63">
        <f>VLOOKUP($B174,'Tillförd energi'!$B$1:$AI$720,MATCH(AE$2,'Tillförd energi'!$B$1:$AQ$1,0),FALSE)</f>
        <v>0</v>
      </c>
      <c r="AF174" s="63">
        <f>VLOOKUP($B174,'Tillförd energi'!$B$1:$AI$720,MATCH(AF$2,'Tillförd energi'!$B$1:$AQ$1,0),FALSE)</f>
        <v>2.1</v>
      </c>
      <c r="AG174" s="63">
        <f>IFERROR(VLOOKUP(B174,Miljö!$B$1:$AC$550,MATCH("Köpt mängd produktionsspecifik fjärrvärme:",Miljö!$B$1:$AC$1,0),FALSE)/1,0)</f>
        <v>0</v>
      </c>
      <c r="AI174" s="63">
        <f t="shared" si="12"/>
        <v>75.812999999999988</v>
      </c>
      <c r="AJ174" s="63">
        <f>IF(ISERROR(1/VLOOKUP($B174,Leveranser!$B$1:$S$500,MATCH("såld värme (gwh)",Leveranser!$B$1:$S$1,0),FALSE)),"",VLOOKUP($B174,Leveranser!$B$1:$S$500,MATCH("såld värme (gwh)",Leveranser!$B$1:$S$1,0),FALSE))</f>
        <v>61.7</v>
      </c>
      <c r="AM174" s="63" t="str">
        <f>IF(B174&lt;&gt;"",IF(VLOOKUP($B174,Totalt!$B$1:$AQ$554,MATCH("Kvalitetsgranskad:",Totalt!$B$1:$AQ$1,0),FALSE)="ja",VLOOKUP($B174,Miljö!$B$1:$AG$479,MATCH(AM$2,Miljö!$B$1:$AK$1,0),FALSE),""),"")</f>
        <v>Ja</v>
      </c>
      <c r="AN174" s="63" t="str">
        <f>IF(AM174="ja",VLOOKUP($B174,Miljö!$B$1:$J$479,MATCH("Typ av ursprungsspecificerad el   (Om inget värde anges används Nordisk residualmix, se inforuta) ()",Miljö!$B$1:$J$1,0),FALSE),IF(AM174="nej","Nordisk residualel",""))</f>
        <v>'Vattenkraft'</v>
      </c>
      <c r="AO174" s="63">
        <f>IF(AM174="","",VLOOKUP($B174,Miljö!$B$1:$J$479,MATCH("Fossilandel för ursprungspecificerad el ()",Miljö!$B$1:$J$1,0),FALSE))</f>
        <v>0</v>
      </c>
      <c r="AQ174" s="63">
        <f t="shared" si="13"/>
        <v>1</v>
      </c>
      <c r="AS174" s="63" t="str">
        <f t="shared" si="14"/>
        <v>Nej</v>
      </c>
      <c r="AT174" s="63" t="str">
        <f>IF(AS174="ja",VLOOKUP($B174,Miljö!$B$1:$P$500,MATCH("Fossil andel i procent (%)",Miljö!$B$1:$P$1,0),FALSE)/100,"")</f>
        <v/>
      </c>
      <c r="AV174" s="63" t="str">
        <f t="shared" si="15"/>
        <v>Nej</v>
      </c>
      <c r="AW174" s="63" t="str">
        <f>IF(AV174="ja",VLOOKUP($B174,'Egen hetvattenprod'!$B$1:$AO$500,MATCH("Värmekälla till värmepumpar ()",'Egen hetvattenprod'!$B$1:$AO$1,0),FALSE),"")</f>
        <v/>
      </c>
      <c r="AY174" s="63" t="str">
        <f t="shared" si="16"/>
        <v>Ja</v>
      </c>
      <c r="AZ174" s="77">
        <f>IF($AY174="ja",(VLOOKUP($B174,'Egen hetvattenprod'!$B$1:$BX$550,MATCH(AZ$2,'Egen hetvattenprod'!$B$1:$BX$1,0),FALSE)+VLOOKUP($B174,Kraftvärmeprod!$B$1:$BX$550,MATCH(AZ$2,Kraftvärmeprod!$B$1:$BX$1,0),FALSE))/$AC174,"")</f>
        <v>1</v>
      </c>
      <c r="BA174" s="77">
        <f>IF($AY174="ja",(VLOOKUP($B174,'Egen hetvattenprod'!$B$1:$BX$550,MATCH(BA$2,'Egen hetvattenprod'!$B$1:$BX$1,0),FALSE)+VLOOKUP($B174,Kraftvärmeprod!$B$1:$BX$550,MATCH(BA$2,Kraftvärmeprod!$B$1:$BX$1,0),FALSE))/$AC174,"")</f>
        <v>0</v>
      </c>
      <c r="BB174" s="77">
        <f>IF($AY174="ja",(VLOOKUP($B174,'Egen hetvattenprod'!$B$1:$BX$550,MATCH(BB$2,'Egen hetvattenprod'!$B$1:$BX$1,0),FALSE)+VLOOKUP($B174,Kraftvärmeprod!$B$1:$BX$550,MATCH(BB$2,Kraftvärmeprod!$B$1:$BX$1,0),FALSE))/$AC174,"")</f>
        <v>0</v>
      </c>
      <c r="BC174" s="77">
        <f>IF($AY174="ja",(VLOOKUP($B174,'Egen hetvattenprod'!$B$1:$BX$550,MATCH(BC$2,'Egen hetvattenprod'!$B$1:$BX$1,0),FALSE)+VLOOKUP($B174,Kraftvärmeprod!$B$1:$BX$550,MATCH(BC$2,Kraftvärmeprod!$B$1:$BX$1,0),FALSE))/$AC174,"")</f>
        <v>0</v>
      </c>
      <c r="BD174" s="77">
        <f>IF($AY174="ja",(VLOOKUP($B174,'Egen hetvattenprod'!$B$1:$BX$550,MATCH(BD$2,'Egen hetvattenprod'!$B$1:$BX$1,0),FALSE)+VLOOKUP($B174,Kraftvärmeprod!$B$1:$BX$550,MATCH(BD$2,Kraftvärmeprod!$B$1:$BX$1,0),FALSE))/$AC174,"")</f>
        <v>0</v>
      </c>
      <c r="BF174" s="63" t="str">
        <f t="shared" si="17"/>
        <v>Nej</v>
      </c>
      <c r="BG174" s="63" t="str">
        <f>IF($BF174="ja",VLOOKUP($B174,'Egen hetvattenprod'!$B$1:$BX$550,MATCH("Andelen klimatgaser med fossilt ursprung för avfall ()",'Egen hetvattenprod'!$B$1:$BX$1,0),FALSE),"")</f>
        <v/>
      </c>
      <c r="BH174" s="63" t="str">
        <f>IF($BF174="ja",VLOOKUP($B174,Kraftvärmeprod!$B$1:$BX$550,MATCH("Andelen klimatgaser med fossilt ursprung för avfall ()",Kraftvärmeprod!$B$1:$BX$1,0),FALSE),"")</f>
        <v/>
      </c>
      <c r="BI174" s="63" t="str">
        <f>IF($BF174="ja",VLOOKUP($B174,'Egen hetvattenprod'!$B$1:$BX$550,MATCH("Avfall (GWh)",'Egen hetvattenprod'!$B$1:$BX$1,0),FALSE),"")</f>
        <v/>
      </c>
      <c r="BJ174" s="63" t="str">
        <f>IF($BF174="ja",VLOOKUP($B174,'Slutlig allokering kvv'!$B$1:$BX$550,MATCH("Avfall (GWh)",'Slutlig allokering kvv'!$B$1:$BX$1,0),FALSE),"")</f>
        <v/>
      </c>
      <c r="BK174" s="63" t="str">
        <f>IF($BF174="ja",VLOOKUP($B174,'Köpt hetvatten'!$B$1:$BX$550,MATCH("Avfall i köpt hetvatten",'Köpt hetvatten'!$B$1:$BX$1,0),FALSE),"")</f>
        <v/>
      </c>
      <c r="BL174" s="63" t="str">
        <f>IF($BF174="ja",VLOOKUP($B174,'Egen hetvattenprod'!$B$1:$BX$550,MATCH("Värde enligt ovan. (%)",'Egen hetvattenprod'!$B$1:$BX$1,0),FALSE),"")</f>
        <v/>
      </c>
      <c r="BM174" s="63" t="str">
        <f>IF($BF174="ja",VLOOKUP($B174,Kraftvärmeprod!$B$1:$BX$550,MATCH("Värde enligt ovan. (%)",Kraftvärmeprod!$B$1:$BX$1,0),FALSE),"")</f>
        <v/>
      </c>
    </row>
    <row r="175" spans="1:65" x14ac:dyDescent="0.45">
      <c r="A175" s="63" t="s">
        <v>449</v>
      </c>
      <c r="B175" s="63" t="s">
        <v>451</v>
      </c>
      <c r="C175" s="63">
        <f>VLOOKUP($B175,'Tillförd energi'!$B$1:$AI$720,MATCH(C$2,'Tillförd energi'!$B$1:$AQ$1,0),FALSE)</f>
        <v>0</v>
      </c>
      <c r="D175" s="63">
        <f>VLOOKUP($B175,'Tillförd energi'!$B$1:$AI$720,MATCH(D$2,'Tillförd energi'!$B$1:$AQ$1,0),FALSE)</f>
        <v>52.6</v>
      </c>
      <c r="E175" s="63">
        <f>VLOOKUP($B175,'Tillförd energi'!$B$1:$AI$720,MATCH(E$2,'Tillförd energi'!$B$1:$AQ$1,0),FALSE)</f>
        <v>0</v>
      </c>
      <c r="F175" s="63">
        <f>VLOOKUP($B175,'Tillförd energi'!$B$1:$AI$720,MATCH(F$2,'Tillförd energi'!$B$1:$AQ$1,0),FALSE)</f>
        <v>6.1</v>
      </c>
      <c r="G175" s="63">
        <f>VLOOKUP($B175,'Tillförd energi'!$B$1:$AI$720,MATCH(G$2,'Tillförd energi'!$B$1:$AQ$1,0),FALSE)</f>
        <v>0</v>
      </c>
      <c r="H175" s="63">
        <f>VLOOKUP($B175,'Tillförd energi'!$B$1:$AI$720,MATCH(H$2,'Tillförd energi'!$B$1:$AQ$1,0),FALSE)</f>
        <v>0</v>
      </c>
      <c r="I175" s="63">
        <f>VLOOKUP($B175,'Tillförd energi'!$B$1:$AI$720,MATCH(I$2,'Tillförd energi'!$B$1:$AQ$1,0),FALSE)</f>
        <v>0</v>
      </c>
      <c r="J175" s="63">
        <f>VLOOKUP($B175,'Tillförd energi'!$B$1:$AI$720,MATCH(J$2,'Tillförd energi'!$B$1:$AQ$1,0),FALSE)</f>
        <v>0</v>
      </c>
      <c r="K175" s="63">
        <f>VLOOKUP($B175,'Tillförd energi'!$B$1:$AI$720,MATCH(K$2,'Tillförd energi'!$B$1:$AQ$1,0),FALSE)</f>
        <v>15.7</v>
      </c>
      <c r="L175" s="63">
        <f>VLOOKUP($B175,'Tillförd energi'!$B$1:$AI$720,MATCH(L$2,'Tillförd energi'!$B$1:$AQ$1,0),FALSE)</f>
        <v>0</v>
      </c>
      <c r="M175" s="63">
        <f>VLOOKUP($B175,'Tillförd energi'!$B$1:$AI$720,MATCH(M$2,'Tillförd energi'!$B$1:$AQ$1,0),FALSE)</f>
        <v>0</v>
      </c>
      <c r="N175" s="63">
        <f>VLOOKUP($B175,'Tillförd energi'!$B$1:$AI$720,MATCH(N$2,'Tillförd energi'!$B$1:$AQ$1,0),FALSE)</f>
        <v>0</v>
      </c>
      <c r="O175" s="63">
        <f>VLOOKUP($B175,'Tillförd energi'!$B$1:$AI$720,MATCH(O$2,'Tillförd energi'!$B$1:$AQ$1,0),FALSE)</f>
        <v>0</v>
      </c>
      <c r="P175" s="63">
        <f>VLOOKUP($B175,'Tillförd energi'!$B$1:$AI$720,MATCH(P$2,'Tillförd energi'!$B$1:$AQ$1,0),FALSE)</f>
        <v>0</v>
      </c>
      <c r="Q175" s="63">
        <f>VLOOKUP($B175,'Tillförd energi'!$B$1:$AI$720,MATCH(Q$2,'Tillförd energi'!$B$1:$AQ$1,0),FALSE)</f>
        <v>0</v>
      </c>
      <c r="R175" s="63">
        <f>VLOOKUP($B175,'Tillförd energi'!$B$1:$AI$720,MATCH(R$2,'Tillförd energi'!$B$1:$AQ$1,0),FALSE)</f>
        <v>38.700000000000003</v>
      </c>
      <c r="S175" s="63">
        <f>VLOOKUP($B175,'Tillförd energi'!$B$1:$AI$720,MATCH(S$2,'Tillförd energi'!$B$1:$AQ$1,0),FALSE)</f>
        <v>0</v>
      </c>
      <c r="T175" s="63">
        <f>VLOOKUP($B175,'Tillförd energi'!$B$1:$AI$720,MATCH(T$2,'Tillförd energi'!$B$1:$AQ$1,0),FALSE)</f>
        <v>0</v>
      </c>
      <c r="U175" s="63">
        <f>VLOOKUP($B175,'Tillförd energi'!$B$1:$AI$720,MATCH(U$2,'Tillförd energi'!$B$1:$AQ$1,0),FALSE)</f>
        <v>0</v>
      </c>
      <c r="V175" s="63">
        <f>VLOOKUP($B175,'Tillförd energi'!$B$1:$AI$720,MATCH(V$2,'Tillförd energi'!$B$1:$AQ$1,0),FALSE)</f>
        <v>0</v>
      </c>
      <c r="W175" s="63">
        <f>VLOOKUP($B175,'Tillförd energi'!$B$1:$AI$720,MATCH(W$2,'Tillförd energi'!$B$1:$AQ$1,0),FALSE)</f>
        <v>8.3000000000000007</v>
      </c>
      <c r="X175" s="63">
        <f>VLOOKUP($B175,'Tillförd energi'!$B$1:$AI$720,MATCH(X$2,'Tillförd energi'!$B$1:$AQ$1,0),FALSE)</f>
        <v>0</v>
      </c>
      <c r="Y175" s="63">
        <f>VLOOKUP($B175,'Tillförd energi'!$B$1:$AI$720,MATCH(Y$2,'Tillförd energi'!$B$1:$AQ$1,0),FALSE)</f>
        <v>0</v>
      </c>
      <c r="Z175" s="63">
        <f>VLOOKUP($B175,'Tillförd energi'!$B$1:$AI$720,MATCH(Z$2,'Tillförd energi'!$B$1:$AQ$1,0),FALSE)</f>
        <v>16.100000000000001</v>
      </c>
      <c r="AA175" s="63">
        <f>VLOOKUP($B175,'Tillförd energi'!$B$1:$AI$720,MATCH(AA$2,'Tillförd energi'!$B$1:$AQ$1,0),FALSE)</f>
        <v>0</v>
      </c>
      <c r="AB175" s="63">
        <f>VLOOKUP($B175,'Tillförd energi'!$B$1:$AI$720,MATCH(AB$2,'Tillförd energi'!$B$1:$AQ$1,0),FALSE)</f>
        <v>0</v>
      </c>
      <c r="AC175" s="63">
        <f>VLOOKUP($B175,'Tillförd energi'!$B$1:$AI$720,MATCH(AC$2,'Tillförd energi'!$B$1:$AQ$1,0),FALSE)</f>
        <v>0</v>
      </c>
      <c r="AD175" s="63">
        <f>VLOOKUP($B175,'Tillförd energi'!$B$1:$AI$720,MATCH(AD$2,'Tillförd energi'!$B$1:$AQ$1,0),FALSE)</f>
        <v>746</v>
      </c>
      <c r="AE175" s="63">
        <f>VLOOKUP($B175,'Tillförd energi'!$B$1:$AI$720,MATCH(AE$2,'Tillförd energi'!$B$1:$AQ$1,0),FALSE)</f>
        <v>0</v>
      </c>
      <c r="AF175" s="63">
        <f>VLOOKUP($B175,'Tillförd energi'!$B$1:$AI$720,MATCH(AF$2,'Tillförd energi'!$B$1:$AQ$1,0),FALSE)</f>
        <v>30.4</v>
      </c>
      <c r="AG175" s="63">
        <f>IFERROR(VLOOKUP(B175,Miljö!$B$1:$AC$550,MATCH("Köpt mängd produktionsspecifik fjärrvärme:",Miljö!$B$1:$AC$1,0),FALSE)/1,0)</f>
        <v>0</v>
      </c>
      <c r="AI175" s="63">
        <f t="shared" si="12"/>
        <v>913.9</v>
      </c>
      <c r="AJ175" s="63">
        <f>IF(ISERROR(1/VLOOKUP($B175,Leveranser!$B$1:$S$500,MATCH("såld värme (gwh)",Leveranser!$B$1:$S$1,0),FALSE)),"",VLOOKUP($B175,Leveranser!$B$1:$S$500,MATCH("såld värme (gwh)",Leveranser!$B$1:$S$1,0),FALSE))</f>
        <v>820.2</v>
      </c>
      <c r="AM175" s="63" t="str">
        <f>IF(B175&lt;&gt;"",IF(VLOOKUP($B175,Totalt!$B$1:$AQ$554,MATCH("Kvalitetsgranskad:",Totalt!$B$1:$AQ$1,0),FALSE)="ja",VLOOKUP($B175,Miljö!$B$1:$AG$479,MATCH(AM$2,Miljö!$B$1:$AK$1,0),FALSE),""),"")</f>
        <v>Ja</v>
      </c>
      <c r="AN175" s="63" t="str">
        <f>IF(AM175="ja",VLOOKUP($B175,Miljö!$B$1:$J$479,MATCH("Typ av ursprungsspecificerad el   (Om inget värde anges används Nordisk residualmix, se inforuta) ()",Miljö!$B$1:$J$1,0),FALSE),IF(AM175="nej","Nordisk residualel",""))</f>
        <v>'VindEl+El från KVV'</v>
      </c>
      <c r="AO175" s="63">
        <f>IF(AM175="","",VLOOKUP($B175,Miljö!$B$1:$J$479,MATCH("Fossilandel för ursprungspecificerad el ()",Miljö!$B$1:$J$1,0),FALSE))</f>
        <v>2.4E-2</v>
      </c>
      <c r="AQ175" s="63">
        <f t="shared" si="13"/>
        <v>0.97599999999999998</v>
      </c>
      <c r="AS175" s="63" t="str">
        <f t="shared" si="14"/>
        <v>Nej</v>
      </c>
      <c r="AT175" s="63" t="str">
        <f>IF(AS175="ja",VLOOKUP($B175,Miljö!$B$1:$P$500,MATCH("Fossil andel i procent (%)",Miljö!$B$1:$P$1,0),FALSE)/100,"")</f>
        <v/>
      </c>
      <c r="AV175" s="63" t="str">
        <f t="shared" si="15"/>
        <v>Nej</v>
      </c>
      <c r="AW175" s="63" t="str">
        <f>IF(AV175="ja",VLOOKUP($B175,'Egen hetvattenprod'!$B$1:$AO$500,MATCH("Värmekälla till värmepumpar ()",'Egen hetvattenprod'!$B$1:$AO$1,0),FALSE),"")</f>
        <v/>
      </c>
      <c r="AY175" s="63" t="str">
        <f t="shared" si="16"/>
        <v>Nej</v>
      </c>
      <c r="AZ175" s="77" t="str">
        <f>IF($AY175="ja",(VLOOKUP($B175,'Egen hetvattenprod'!$B$1:$BX$550,MATCH(AZ$2,'Egen hetvattenprod'!$B$1:$BX$1,0),FALSE)+VLOOKUP($B175,Kraftvärmeprod!$B$1:$BX$550,MATCH(AZ$2,Kraftvärmeprod!$B$1:$BX$1,0),FALSE))/$AC175,"")</f>
        <v/>
      </c>
      <c r="BA175" s="77" t="str">
        <f>IF($AY175="ja",(VLOOKUP($B175,'Egen hetvattenprod'!$B$1:$BX$550,MATCH(BA$2,'Egen hetvattenprod'!$B$1:$BX$1,0),FALSE)+VLOOKUP($B175,Kraftvärmeprod!$B$1:$BX$550,MATCH(BA$2,Kraftvärmeprod!$B$1:$BX$1,0),FALSE))/$AC175,"")</f>
        <v/>
      </c>
      <c r="BB175" s="77" t="str">
        <f>IF($AY175="ja",(VLOOKUP($B175,'Egen hetvattenprod'!$B$1:$BX$550,MATCH(BB$2,'Egen hetvattenprod'!$B$1:$BX$1,0),FALSE)+VLOOKUP($B175,Kraftvärmeprod!$B$1:$BX$550,MATCH(BB$2,Kraftvärmeprod!$B$1:$BX$1,0),FALSE))/$AC175,"")</f>
        <v/>
      </c>
      <c r="BC175" s="77" t="str">
        <f>IF($AY175="ja",(VLOOKUP($B175,'Egen hetvattenprod'!$B$1:$BX$550,MATCH(BC$2,'Egen hetvattenprod'!$B$1:$BX$1,0),FALSE)+VLOOKUP($B175,Kraftvärmeprod!$B$1:$BX$550,MATCH(BC$2,Kraftvärmeprod!$B$1:$BX$1,0),FALSE))/$AC175,"")</f>
        <v/>
      </c>
      <c r="BD175" s="77" t="str">
        <f>IF($AY175="ja",(VLOOKUP($B175,'Egen hetvattenprod'!$B$1:$BX$550,MATCH(BD$2,'Egen hetvattenprod'!$B$1:$BX$1,0),FALSE)+VLOOKUP($B175,Kraftvärmeprod!$B$1:$BX$550,MATCH(BD$2,Kraftvärmeprod!$B$1:$BX$1,0),FALSE))/$AC175,"")</f>
        <v/>
      </c>
      <c r="BF175" s="63" t="str">
        <f t="shared" si="17"/>
        <v>Nej</v>
      </c>
      <c r="BG175" s="63" t="str">
        <f>IF($BF175="ja",VLOOKUP($B175,'Egen hetvattenprod'!$B$1:$BX$550,MATCH("Andelen klimatgaser med fossilt ursprung för avfall ()",'Egen hetvattenprod'!$B$1:$BX$1,0),FALSE),"")</f>
        <v/>
      </c>
      <c r="BH175" s="63" t="str">
        <f>IF($BF175="ja",VLOOKUP($B175,Kraftvärmeprod!$B$1:$BX$550,MATCH("Andelen klimatgaser med fossilt ursprung för avfall ()",Kraftvärmeprod!$B$1:$BX$1,0),FALSE),"")</f>
        <v/>
      </c>
      <c r="BI175" s="63" t="str">
        <f>IF($BF175="ja",VLOOKUP($B175,'Egen hetvattenprod'!$B$1:$BX$550,MATCH("Avfall (GWh)",'Egen hetvattenprod'!$B$1:$BX$1,0),FALSE),"")</f>
        <v/>
      </c>
      <c r="BJ175" s="63" t="str">
        <f>IF($BF175="ja",VLOOKUP($B175,'Slutlig allokering kvv'!$B$1:$BX$550,MATCH("Avfall (GWh)",'Slutlig allokering kvv'!$B$1:$BX$1,0),FALSE),"")</f>
        <v/>
      </c>
      <c r="BK175" s="63" t="str">
        <f>IF($BF175="ja",VLOOKUP($B175,'Köpt hetvatten'!$B$1:$BX$550,MATCH("Avfall i köpt hetvatten",'Köpt hetvatten'!$B$1:$BX$1,0),FALSE),"")</f>
        <v/>
      </c>
      <c r="BL175" s="63" t="str">
        <f>IF($BF175="ja",VLOOKUP($B175,'Egen hetvattenprod'!$B$1:$BX$550,MATCH("Värde enligt ovan. (%)",'Egen hetvattenprod'!$B$1:$BX$1,0),FALSE),"")</f>
        <v/>
      </c>
      <c r="BM175" s="63" t="str">
        <f>IF($BF175="ja",VLOOKUP($B175,Kraftvärmeprod!$B$1:$BX$550,MATCH("Värde enligt ovan. (%)",Kraftvärmeprod!$B$1:$BX$1,0),FALSE),"")</f>
        <v/>
      </c>
    </row>
    <row r="176" spans="1:65" x14ac:dyDescent="0.45">
      <c r="A176" s="63" t="s">
        <v>449</v>
      </c>
      <c r="B176" s="63" t="s">
        <v>448</v>
      </c>
      <c r="C176" s="63">
        <f>VLOOKUP($B176,'Tillförd energi'!$B$1:$AI$720,MATCH(C$2,'Tillförd energi'!$B$1:$AQ$1,0),FALSE)</f>
        <v>0</v>
      </c>
      <c r="D176" s="63">
        <f>VLOOKUP($B176,'Tillförd energi'!$B$1:$AI$720,MATCH(D$2,'Tillförd energi'!$B$1:$AQ$1,0),FALSE)</f>
        <v>2.8</v>
      </c>
      <c r="E176" s="63">
        <f>VLOOKUP($B176,'Tillförd energi'!$B$1:$AI$720,MATCH(E$2,'Tillförd energi'!$B$1:$AQ$1,0),FALSE)</f>
        <v>0</v>
      </c>
      <c r="F176" s="63">
        <f>VLOOKUP($B176,'Tillförd energi'!$B$1:$AI$720,MATCH(F$2,'Tillförd energi'!$B$1:$AQ$1,0),FALSE)</f>
        <v>0</v>
      </c>
      <c r="G176" s="63">
        <f>VLOOKUP($B176,'Tillförd energi'!$B$1:$AI$720,MATCH(G$2,'Tillförd energi'!$B$1:$AQ$1,0),FALSE)</f>
        <v>0</v>
      </c>
      <c r="H176" s="63">
        <f>VLOOKUP($B176,'Tillförd energi'!$B$1:$AI$720,MATCH(H$2,'Tillförd energi'!$B$1:$AQ$1,0),FALSE)</f>
        <v>0</v>
      </c>
      <c r="I176" s="63">
        <f>VLOOKUP($B176,'Tillförd energi'!$B$1:$AI$720,MATCH(I$2,'Tillförd energi'!$B$1:$AQ$1,0),FALSE)</f>
        <v>0</v>
      </c>
      <c r="J176" s="63">
        <f>VLOOKUP($B176,'Tillförd energi'!$B$1:$AI$720,MATCH(J$2,'Tillförd energi'!$B$1:$AQ$1,0),FALSE)</f>
        <v>0</v>
      </c>
      <c r="K176" s="63">
        <f>VLOOKUP($B176,'Tillförd energi'!$B$1:$AI$720,MATCH(K$2,'Tillförd energi'!$B$1:$AQ$1,0),FALSE)</f>
        <v>0</v>
      </c>
      <c r="L176" s="63">
        <f>VLOOKUP($B176,'Tillförd energi'!$B$1:$AI$720,MATCH(L$2,'Tillförd energi'!$B$1:$AQ$1,0),FALSE)</f>
        <v>0</v>
      </c>
      <c r="M176" s="63">
        <f>VLOOKUP($B176,'Tillförd energi'!$B$1:$AI$720,MATCH(M$2,'Tillförd energi'!$B$1:$AQ$1,0),FALSE)</f>
        <v>0</v>
      </c>
      <c r="N176" s="63">
        <f>VLOOKUP($B176,'Tillförd energi'!$B$1:$AI$720,MATCH(N$2,'Tillförd energi'!$B$1:$AQ$1,0),FALSE)</f>
        <v>1</v>
      </c>
      <c r="O176" s="63">
        <f>VLOOKUP($B176,'Tillförd energi'!$B$1:$AI$720,MATCH(O$2,'Tillförd energi'!$B$1:$AQ$1,0),FALSE)</f>
        <v>0</v>
      </c>
      <c r="P176" s="63">
        <f>VLOOKUP($B176,'Tillförd energi'!$B$1:$AI$720,MATCH(P$2,'Tillförd energi'!$B$1:$AQ$1,0),FALSE)</f>
        <v>13.6</v>
      </c>
      <c r="Q176" s="63">
        <f>VLOOKUP($B176,'Tillförd energi'!$B$1:$AI$720,MATCH(Q$2,'Tillförd energi'!$B$1:$AQ$1,0),FALSE)</f>
        <v>0</v>
      </c>
      <c r="R176" s="63">
        <f>VLOOKUP($B176,'Tillförd energi'!$B$1:$AI$720,MATCH(R$2,'Tillförd energi'!$B$1:$AQ$1,0),FALSE)</f>
        <v>13.5</v>
      </c>
      <c r="S176" s="63">
        <f>VLOOKUP($B176,'Tillförd energi'!$B$1:$AI$720,MATCH(S$2,'Tillförd energi'!$B$1:$AQ$1,0),FALSE)</f>
        <v>0</v>
      </c>
      <c r="T176" s="63">
        <f>VLOOKUP($B176,'Tillförd energi'!$B$1:$AI$720,MATCH(T$2,'Tillförd energi'!$B$1:$AQ$1,0),FALSE)</f>
        <v>0</v>
      </c>
      <c r="U176" s="63">
        <f>VLOOKUP($B176,'Tillförd energi'!$B$1:$AI$720,MATCH(U$2,'Tillförd energi'!$B$1:$AQ$1,0),FALSE)</f>
        <v>0</v>
      </c>
      <c r="V176" s="63">
        <f>VLOOKUP($B176,'Tillförd energi'!$B$1:$AI$720,MATCH(V$2,'Tillförd energi'!$B$1:$AQ$1,0),FALSE)</f>
        <v>0</v>
      </c>
      <c r="W176" s="63">
        <f>VLOOKUP($B176,'Tillförd energi'!$B$1:$AI$720,MATCH(W$2,'Tillförd energi'!$B$1:$AQ$1,0),FALSE)</f>
        <v>0</v>
      </c>
      <c r="X176" s="63">
        <f>VLOOKUP($B176,'Tillförd energi'!$B$1:$AI$720,MATCH(X$2,'Tillförd energi'!$B$1:$AQ$1,0),FALSE)</f>
        <v>0</v>
      </c>
      <c r="Y176" s="63">
        <f>VLOOKUP($B176,'Tillförd energi'!$B$1:$AI$720,MATCH(Y$2,'Tillförd energi'!$B$1:$AQ$1,0),FALSE)</f>
        <v>0</v>
      </c>
      <c r="Z176" s="63">
        <f>VLOOKUP($B176,'Tillförd energi'!$B$1:$AI$720,MATCH(Z$2,'Tillförd energi'!$B$1:$AQ$1,0),FALSE)</f>
        <v>0</v>
      </c>
      <c r="AA176" s="63">
        <f>VLOOKUP($B176,'Tillförd energi'!$B$1:$AI$720,MATCH(AA$2,'Tillförd energi'!$B$1:$AQ$1,0),FALSE)</f>
        <v>0</v>
      </c>
      <c r="AB176" s="63">
        <f>VLOOKUP($B176,'Tillförd energi'!$B$1:$AI$720,MATCH(AB$2,'Tillförd energi'!$B$1:$AQ$1,0),FALSE)</f>
        <v>0</v>
      </c>
      <c r="AC176" s="63">
        <f>VLOOKUP($B176,'Tillförd energi'!$B$1:$AI$720,MATCH(AC$2,'Tillförd energi'!$B$1:$AQ$1,0),FALSE)</f>
        <v>0</v>
      </c>
      <c r="AD176" s="63">
        <f>VLOOKUP($B176,'Tillförd energi'!$B$1:$AI$720,MATCH(AD$2,'Tillförd energi'!$B$1:$AQ$1,0),FALSE)</f>
        <v>0</v>
      </c>
      <c r="AE176" s="63">
        <f>VLOOKUP($B176,'Tillförd energi'!$B$1:$AI$720,MATCH(AE$2,'Tillförd energi'!$B$1:$AQ$1,0),FALSE)</f>
        <v>0</v>
      </c>
      <c r="AF176" s="63">
        <f>VLOOKUP($B176,'Tillförd energi'!$B$1:$AI$720,MATCH(AF$2,'Tillförd energi'!$B$1:$AQ$1,0),FALSE)</f>
        <v>0.52</v>
      </c>
      <c r="AG176" s="63">
        <f>IFERROR(VLOOKUP(B176,Miljö!$B$1:$AC$550,MATCH("Köpt mängd produktionsspecifik fjärrvärme:",Miljö!$B$1:$AC$1,0),FALSE)/1,0)</f>
        <v>0</v>
      </c>
      <c r="AI176" s="63">
        <f t="shared" si="12"/>
        <v>31.419999999999998</v>
      </c>
      <c r="AJ176" s="63">
        <f>IF(ISERROR(1/VLOOKUP($B176,Leveranser!$B$1:$S$500,MATCH("såld värme (gwh)",Leveranser!$B$1:$S$1,0),FALSE)),"",VLOOKUP($B176,Leveranser!$B$1:$S$500,MATCH("såld värme (gwh)",Leveranser!$B$1:$S$1,0),FALSE))</f>
        <v>22.2</v>
      </c>
      <c r="AM176" s="63" t="str">
        <f>IF(B176&lt;&gt;"",IF(VLOOKUP($B176,Totalt!$B$1:$AQ$554,MATCH("Kvalitetsgranskad:",Totalt!$B$1:$AQ$1,0),FALSE)="ja",VLOOKUP($B176,Miljö!$B$1:$AG$479,MATCH(AM$2,Miljö!$B$1:$AK$1,0),FALSE),""),"")</f>
        <v>Ja</v>
      </c>
      <c r="AN176" s="63" t="str">
        <f>IF(AM176="ja",VLOOKUP($B176,Miljö!$B$1:$J$479,MATCH("Typ av ursprungsspecificerad el   (Om inget värde anges används Nordisk residualmix, se inforuta) ()",Miljö!$B$1:$J$1,0),FALSE),IF(AM176="nej","Nordisk residualel",""))</f>
        <v>'Vindel'</v>
      </c>
      <c r="AO176" s="63">
        <f>IF(AM176="","",VLOOKUP($B176,Miljö!$B$1:$J$479,MATCH("Fossilandel för ursprungspecificerad el ()",Miljö!$B$1:$J$1,0),FALSE))</f>
        <v>0</v>
      </c>
      <c r="AQ176" s="63">
        <f t="shared" si="13"/>
        <v>1</v>
      </c>
      <c r="AS176" s="63" t="str">
        <f t="shared" si="14"/>
        <v>Nej</v>
      </c>
      <c r="AT176" s="63" t="str">
        <f>IF(AS176="ja",VLOOKUP($B176,Miljö!$B$1:$P$500,MATCH("Fossil andel i procent (%)",Miljö!$B$1:$P$1,0),FALSE)/100,"")</f>
        <v/>
      </c>
      <c r="AV176" s="63" t="str">
        <f t="shared" si="15"/>
        <v>Nej</v>
      </c>
      <c r="AW176" s="63" t="str">
        <f>IF(AV176="ja",VLOOKUP($B176,'Egen hetvattenprod'!$B$1:$AO$500,MATCH("Värmekälla till värmepumpar ()",'Egen hetvattenprod'!$B$1:$AO$1,0),FALSE),"")</f>
        <v/>
      </c>
      <c r="AY176" s="63" t="str">
        <f t="shared" si="16"/>
        <v>Nej</v>
      </c>
      <c r="AZ176" s="77" t="str">
        <f>IF($AY176="ja",(VLOOKUP($B176,'Egen hetvattenprod'!$B$1:$BX$550,MATCH(AZ$2,'Egen hetvattenprod'!$B$1:$BX$1,0),FALSE)+VLOOKUP($B176,Kraftvärmeprod!$B$1:$BX$550,MATCH(AZ$2,Kraftvärmeprod!$B$1:$BX$1,0),FALSE))/$AC176,"")</f>
        <v/>
      </c>
      <c r="BA176" s="77" t="str">
        <f>IF($AY176="ja",(VLOOKUP($B176,'Egen hetvattenprod'!$B$1:$BX$550,MATCH(BA$2,'Egen hetvattenprod'!$B$1:$BX$1,0),FALSE)+VLOOKUP($B176,Kraftvärmeprod!$B$1:$BX$550,MATCH(BA$2,Kraftvärmeprod!$B$1:$BX$1,0),FALSE))/$AC176,"")</f>
        <v/>
      </c>
      <c r="BB176" s="77" t="str">
        <f>IF($AY176="ja",(VLOOKUP($B176,'Egen hetvattenprod'!$B$1:$BX$550,MATCH(BB$2,'Egen hetvattenprod'!$B$1:$BX$1,0),FALSE)+VLOOKUP($B176,Kraftvärmeprod!$B$1:$BX$550,MATCH(BB$2,Kraftvärmeprod!$B$1:$BX$1,0),FALSE))/$AC176,"")</f>
        <v/>
      </c>
      <c r="BC176" s="77" t="str">
        <f>IF($AY176="ja",(VLOOKUP($B176,'Egen hetvattenprod'!$B$1:$BX$550,MATCH(BC$2,'Egen hetvattenprod'!$B$1:$BX$1,0),FALSE)+VLOOKUP($B176,Kraftvärmeprod!$B$1:$BX$550,MATCH(BC$2,Kraftvärmeprod!$B$1:$BX$1,0),FALSE))/$AC176,"")</f>
        <v/>
      </c>
      <c r="BD176" s="77" t="str">
        <f>IF($AY176="ja",(VLOOKUP($B176,'Egen hetvattenprod'!$B$1:$BX$550,MATCH(BD$2,'Egen hetvattenprod'!$B$1:$BX$1,0),FALSE)+VLOOKUP($B176,Kraftvärmeprod!$B$1:$BX$550,MATCH(BD$2,Kraftvärmeprod!$B$1:$BX$1,0),FALSE))/$AC176,"")</f>
        <v/>
      </c>
      <c r="BF176" s="63" t="str">
        <f t="shared" si="17"/>
        <v>Nej</v>
      </c>
      <c r="BG176" s="63" t="str">
        <f>IF($BF176="ja",VLOOKUP($B176,'Egen hetvattenprod'!$B$1:$BX$550,MATCH("Andelen klimatgaser med fossilt ursprung för avfall ()",'Egen hetvattenprod'!$B$1:$BX$1,0),FALSE),"")</f>
        <v/>
      </c>
      <c r="BH176" s="63" t="str">
        <f>IF($BF176="ja",VLOOKUP($B176,Kraftvärmeprod!$B$1:$BX$550,MATCH("Andelen klimatgaser med fossilt ursprung för avfall ()",Kraftvärmeprod!$B$1:$BX$1,0),FALSE),"")</f>
        <v/>
      </c>
      <c r="BI176" s="63" t="str">
        <f>IF($BF176="ja",VLOOKUP($B176,'Egen hetvattenprod'!$B$1:$BX$550,MATCH("Avfall (GWh)",'Egen hetvattenprod'!$B$1:$BX$1,0),FALSE),"")</f>
        <v/>
      </c>
      <c r="BJ176" s="63" t="str">
        <f>IF($BF176="ja",VLOOKUP($B176,'Slutlig allokering kvv'!$B$1:$BX$550,MATCH("Avfall (GWh)",'Slutlig allokering kvv'!$B$1:$BX$1,0),FALSE),"")</f>
        <v/>
      </c>
      <c r="BK176" s="63" t="str">
        <f>IF($BF176="ja",VLOOKUP($B176,'Köpt hetvatten'!$B$1:$BX$550,MATCH("Avfall i köpt hetvatten",'Köpt hetvatten'!$B$1:$BX$1,0),FALSE),"")</f>
        <v/>
      </c>
      <c r="BL176" s="63" t="str">
        <f>IF($BF176="ja",VLOOKUP($B176,'Egen hetvattenprod'!$B$1:$BX$550,MATCH("Värde enligt ovan. (%)",'Egen hetvattenprod'!$B$1:$BX$1,0),FALSE),"")</f>
        <v/>
      </c>
      <c r="BM176" s="63" t="str">
        <f>IF($BF176="ja",VLOOKUP($B176,Kraftvärmeprod!$B$1:$BX$550,MATCH("Värde enligt ovan. (%)",Kraftvärmeprod!$B$1:$BX$1,0),FALSE),"")</f>
        <v/>
      </c>
    </row>
    <row r="177" spans="1:65" x14ac:dyDescent="0.45">
      <c r="A177" s="63" t="s">
        <v>449</v>
      </c>
      <c r="B177" s="63" t="s">
        <v>450</v>
      </c>
      <c r="C177" s="63">
        <f>VLOOKUP($B177,'Tillförd energi'!$B$1:$AI$720,MATCH(C$2,'Tillförd energi'!$B$1:$AQ$1,0),FALSE)</f>
        <v>0</v>
      </c>
      <c r="D177" s="63">
        <f>VLOOKUP($B177,'Tillförd energi'!$B$1:$AI$720,MATCH(D$2,'Tillförd energi'!$B$1:$AQ$1,0),FALSE)</f>
        <v>0</v>
      </c>
      <c r="E177" s="63">
        <f>VLOOKUP($B177,'Tillförd energi'!$B$1:$AI$720,MATCH(E$2,'Tillförd energi'!$B$1:$AQ$1,0),FALSE)</f>
        <v>0</v>
      </c>
      <c r="F177" s="63">
        <f>VLOOKUP($B177,'Tillförd energi'!$B$1:$AI$720,MATCH(F$2,'Tillförd energi'!$B$1:$AQ$1,0),FALSE)</f>
        <v>0</v>
      </c>
      <c r="G177" s="63">
        <f>VLOOKUP($B177,'Tillförd energi'!$B$1:$AI$720,MATCH(G$2,'Tillförd energi'!$B$1:$AQ$1,0),FALSE)</f>
        <v>0</v>
      </c>
      <c r="H177" s="63">
        <f>VLOOKUP($B177,'Tillförd energi'!$B$1:$AI$720,MATCH(H$2,'Tillförd energi'!$B$1:$AQ$1,0),FALSE)</f>
        <v>0</v>
      </c>
      <c r="I177" s="63">
        <f>VLOOKUP($B177,'Tillförd energi'!$B$1:$AI$720,MATCH(I$2,'Tillförd energi'!$B$1:$AQ$1,0),FALSE)</f>
        <v>0</v>
      </c>
      <c r="J177" s="63">
        <f>VLOOKUP($B177,'Tillförd energi'!$B$1:$AI$720,MATCH(J$2,'Tillförd energi'!$B$1:$AQ$1,0),FALSE)</f>
        <v>0</v>
      </c>
      <c r="K177" s="63">
        <f>VLOOKUP($B177,'Tillförd energi'!$B$1:$AI$720,MATCH(K$2,'Tillförd energi'!$B$1:$AQ$1,0),FALSE)</f>
        <v>0</v>
      </c>
      <c r="L177" s="63">
        <f>VLOOKUP($B177,'Tillförd energi'!$B$1:$AI$720,MATCH(L$2,'Tillförd energi'!$B$1:$AQ$1,0),FALSE)</f>
        <v>0</v>
      </c>
      <c r="M177" s="63">
        <f>VLOOKUP($B177,'Tillförd energi'!$B$1:$AI$720,MATCH(M$2,'Tillförd energi'!$B$1:$AQ$1,0),FALSE)</f>
        <v>0</v>
      </c>
      <c r="N177" s="63">
        <f>VLOOKUP($B177,'Tillförd energi'!$B$1:$AI$720,MATCH(N$2,'Tillförd energi'!$B$1:$AQ$1,0),FALSE)</f>
        <v>0</v>
      </c>
      <c r="O177" s="63">
        <f>VLOOKUP($B177,'Tillförd energi'!$B$1:$AI$720,MATCH(O$2,'Tillförd energi'!$B$1:$AQ$1,0),FALSE)</f>
        <v>0</v>
      </c>
      <c r="P177" s="63">
        <f>VLOOKUP($B177,'Tillförd energi'!$B$1:$AI$720,MATCH(P$2,'Tillförd energi'!$B$1:$AQ$1,0),FALSE)</f>
        <v>0</v>
      </c>
      <c r="Q177" s="63">
        <f>VLOOKUP($B177,'Tillförd energi'!$B$1:$AI$720,MATCH(Q$2,'Tillförd energi'!$B$1:$AQ$1,0),FALSE)</f>
        <v>0</v>
      </c>
      <c r="R177" s="63">
        <f>VLOOKUP($B177,'Tillförd energi'!$B$1:$AI$720,MATCH(R$2,'Tillförd energi'!$B$1:$AQ$1,0),FALSE)</f>
        <v>0.37</v>
      </c>
      <c r="S177" s="63">
        <f>VLOOKUP($B177,'Tillförd energi'!$B$1:$AI$720,MATCH(S$2,'Tillförd energi'!$B$1:$AQ$1,0),FALSE)</f>
        <v>0</v>
      </c>
      <c r="T177" s="63">
        <f>VLOOKUP($B177,'Tillförd energi'!$B$1:$AI$720,MATCH(T$2,'Tillförd energi'!$B$1:$AQ$1,0),FALSE)</f>
        <v>0</v>
      </c>
      <c r="U177" s="63">
        <f>VLOOKUP($B177,'Tillförd energi'!$B$1:$AI$720,MATCH(U$2,'Tillförd energi'!$B$1:$AQ$1,0),FALSE)</f>
        <v>0</v>
      </c>
      <c r="V177" s="63">
        <f>VLOOKUP($B177,'Tillförd energi'!$B$1:$AI$720,MATCH(V$2,'Tillförd energi'!$B$1:$AQ$1,0),FALSE)</f>
        <v>0</v>
      </c>
      <c r="W177" s="63">
        <f>VLOOKUP($B177,'Tillförd energi'!$B$1:$AI$720,MATCH(W$2,'Tillförd energi'!$B$1:$AQ$1,0),FALSE)</f>
        <v>0.09</v>
      </c>
      <c r="X177" s="63">
        <f>VLOOKUP($B177,'Tillförd energi'!$B$1:$AI$720,MATCH(X$2,'Tillförd energi'!$B$1:$AQ$1,0),FALSE)</f>
        <v>0</v>
      </c>
      <c r="Y177" s="63">
        <f>VLOOKUP($B177,'Tillförd energi'!$B$1:$AI$720,MATCH(Y$2,'Tillförd energi'!$B$1:$AQ$1,0),FALSE)</f>
        <v>0</v>
      </c>
      <c r="Z177" s="63">
        <f>VLOOKUP($B177,'Tillförd energi'!$B$1:$AI$720,MATCH(Z$2,'Tillförd energi'!$B$1:$AQ$1,0),FALSE)</f>
        <v>0.15</v>
      </c>
      <c r="AA177" s="63">
        <f>VLOOKUP($B177,'Tillförd energi'!$B$1:$AI$720,MATCH(AA$2,'Tillförd energi'!$B$1:$AQ$1,0),FALSE)</f>
        <v>0</v>
      </c>
      <c r="AB177" s="63">
        <f>VLOOKUP($B177,'Tillförd energi'!$B$1:$AI$720,MATCH(AB$2,'Tillförd energi'!$B$1:$AQ$1,0),FALSE)</f>
        <v>0</v>
      </c>
      <c r="AC177" s="63">
        <f>VLOOKUP($B177,'Tillförd energi'!$B$1:$AI$720,MATCH(AC$2,'Tillförd energi'!$B$1:$AQ$1,0),FALSE)</f>
        <v>0</v>
      </c>
      <c r="AD177" s="63">
        <f>VLOOKUP($B177,'Tillförd energi'!$B$1:$AI$720,MATCH(AD$2,'Tillförd energi'!$B$1:$AQ$1,0),FALSE)</f>
        <v>6.86</v>
      </c>
      <c r="AE177" s="63">
        <f>VLOOKUP($B177,'Tillförd energi'!$B$1:$AI$720,MATCH(AE$2,'Tillförd energi'!$B$1:$AQ$1,0),FALSE)</f>
        <v>0</v>
      </c>
      <c r="AF177" s="63">
        <f>VLOOKUP($B177,'Tillförd energi'!$B$1:$AI$720,MATCH(AF$2,'Tillförd energi'!$B$1:$AQ$1,0),FALSE)</f>
        <v>0.25</v>
      </c>
      <c r="AG177" s="63">
        <f>IFERROR(VLOOKUP(B177,Miljö!$B$1:$AC$550,MATCH("Köpt mängd produktionsspecifik fjärrvärme:",Miljö!$B$1:$AC$1,0),FALSE)/1,0)</f>
        <v>0</v>
      </c>
      <c r="AI177" s="63">
        <f t="shared" si="12"/>
        <v>7.7200000000000006</v>
      </c>
      <c r="AJ177" s="63">
        <f>IF(ISERROR(1/VLOOKUP($B177,Leveranser!$B$1:$S$500,MATCH("såld värme (gwh)",Leveranser!$B$1:$S$1,0),FALSE)),"",VLOOKUP($B177,Leveranser!$B$1:$S$500,MATCH("såld värme (gwh)",Leveranser!$B$1:$S$1,0),FALSE))</f>
        <v>6.7</v>
      </c>
      <c r="AM177" s="63" t="str">
        <f>IF(B177&lt;&gt;"",IF(VLOOKUP($B177,Totalt!$B$1:$AQ$554,MATCH("Kvalitetsgranskad:",Totalt!$B$1:$AQ$1,0),FALSE)="ja",VLOOKUP($B177,Miljö!$B$1:$AG$479,MATCH(AM$2,Miljö!$B$1:$AK$1,0),FALSE),""),"")</f>
        <v>Ja</v>
      </c>
      <c r="AN177" s="63" t="str">
        <f>IF(AM177="ja",VLOOKUP($B177,Miljö!$B$1:$J$479,MATCH("Typ av ursprungsspecificerad el   (Om inget värde anges används Nordisk residualmix, se inforuta) ()",Miljö!$B$1:$J$1,0),FALSE),IF(AM177="nej","Nordisk residualel",""))</f>
        <v>'VindEl+El från KVV'</v>
      </c>
      <c r="AO177" s="63">
        <f>IF(AM177="","",VLOOKUP($B177,Miljö!$B$1:$J$479,MATCH("Fossilandel för ursprungspecificerad el ()",Miljö!$B$1:$J$1,0),FALSE))</f>
        <v>0</v>
      </c>
      <c r="AQ177" s="63">
        <f t="shared" si="13"/>
        <v>1</v>
      </c>
      <c r="AS177" s="63" t="str">
        <f t="shared" si="14"/>
        <v>Nej</v>
      </c>
      <c r="AT177" s="63" t="str">
        <f>IF(AS177="ja",VLOOKUP($B177,Miljö!$B$1:$P$500,MATCH("Fossil andel i procent (%)",Miljö!$B$1:$P$1,0),FALSE)/100,"")</f>
        <v/>
      </c>
      <c r="AV177" s="63" t="str">
        <f t="shared" si="15"/>
        <v>Nej</v>
      </c>
      <c r="AW177" s="63" t="str">
        <f>IF(AV177="ja",VLOOKUP($B177,'Egen hetvattenprod'!$B$1:$AO$500,MATCH("Värmekälla till värmepumpar ()",'Egen hetvattenprod'!$B$1:$AO$1,0),FALSE),"")</f>
        <v/>
      </c>
      <c r="AY177" s="63" t="str">
        <f t="shared" si="16"/>
        <v>Nej</v>
      </c>
      <c r="AZ177" s="77" t="str">
        <f>IF($AY177="ja",(VLOOKUP($B177,'Egen hetvattenprod'!$B$1:$BX$550,MATCH(AZ$2,'Egen hetvattenprod'!$B$1:$BX$1,0),FALSE)+VLOOKUP($B177,Kraftvärmeprod!$B$1:$BX$550,MATCH(AZ$2,Kraftvärmeprod!$B$1:$BX$1,0),FALSE))/$AC177,"")</f>
        <v/>
      </c>
      <c r="BA177" s="77" t="str">
        <f>IF($AY177="ja",(VLOOKUP($B177,'Egen hetvattenprod'!$B$1:$BX$550,MATCH(BA$2,'Egen hetvattenprod'!$B$1:$BX$1,0),FALSE)+VLOOKUP($B177,Kraftvärmeprod!$B$1:$BX$550,MATCH(BA$2,Kraftvärmeprod!$B$1:$BX$1,0),FALSE))/$AC177,"")</f>
        <v/>
      </c>
      <c r="BB177" s="77" t="str">
        <f>IF($AY177="ja",(VLOOKUP($B177,'Egen hetvattenprod'!$B$1:$BX$550,MATCH(BB$2,'Egen hetvattenprod'!$B$1:$BX$1,0),FALSE)+VLOOKUP($B177,Kraftvärmeprod!$B$1:$BX$550,MATCH(BB$2,Kraftvärmeprod!$B$1:$BX$1,0),FALSE))/$AC177,"")</f>
        <v/>
      </c>
      <c r="BC177" s="77" t="str">
        <f>IF($AY177="ja",(VLOOKUP($B177,'Egen hetvattenprod'!$B$1:$BX$550,MATCH(BC$2,'Egen hetvattenprod'!$B$1:$BX$1,0),FALSE)+VLOOKUP($B177,Kraftvärmeprod!$B$1:$BX$550,MATCH(BC$2,Kraftvärmeprod!$B$1:$BX$1,0),FALSE))/$AC177,"")</f>
        <v/>
      </c>
      <c r="BD177" s="77" t="str">
        <f>IF($AY177="ja",(VLOOKUP($B177,'Egen hetvattenprod'!$B$1:$BX$550,MATCH(BD$2,'Egen hetvattenprod'!$B$1:$BX$1,0),FALSE)+VLOOKUP($B177,Kraftvärmeprod!$B$1:$BX$550,MATCH(BD$2,Kraftvärmeprod!$B$1:$BX$1,0),FALSE))/$AC177,"")</f>
        <v/>
      </c>
      <c r="BF177" s="63" t="str">
        <f t="shared" si="17"/>
        <v>Nej</v>
      </c>
      <c r="BG177" s="63" t="str">
        <f>IF($BF177="ja",VLOOKUP($B177,'Egen hetvattenprod'!$B$1:$BX$550,MATCH("Andelen klimatgaser med fossilt ursprung för avfall ()",'Egen hetvattenprod'!$B$1:$BX$1,0),FALSE),"")</f>
        <v/>
      </c>
      <c r="BH177" s="63" t="str">
        <f>IF($BF177="ja",VLOOKUP($B177,Kraftvärmeprod!$B$1:$BX$550,MATCH("Andelen klimatgaser med fossilt ursprung för avfall ()",Kraftvärmeprod!$B$1:$BX$1,0),FALSE),"")</f>
        <v/>
      </c>
      <c r="BI177" s="63" t="str">
        <f>IF($BF177="ja",VLOOKUP($B177,'Egen hetvattenprod'!$B$1:$BX$550,MATCH("Avfall (GWh)",'Egen hetvattenprod'!$B$1:$BX$1,0),FALSE),"")</f>
        <v/>
      </c>
      <c r="BJ177" s="63" t="str">
        <f>IF($BF177="ja",VLOOKUP($B177,'Slutlig allokering kvv'!$B$1:$BX$550,MATCH("Avfall (GWh)",'Slutlig allokering kvv'!$B$1:$BX$1,0),FALSE),"")</f>
        <v/>
      </c>
      <c r="BK177" s="63" t="str">
        <f>IF($BF177="ja",VLOOKUP($B177,'Köpt hetvatten'!$B$1:$BX$550,MATCH("Avfall i köpt hetvatten",'Köpt hetvatten'!$B$1:$BX$1,0),FALSE),"")</f>
        <v/>
      </c>
      <c r="BL177" s="63" t="str">
        <f>IF($BF177="ja",VLOOKUP($B177,'Egen hetvattenprod'!$B$1:$BX$550,MATCH("Värde enligt ovan. (%)",'Egen hetvattenprod'!$B$1:$BX$1,0),FALSE),"")</f>
        <v/>
      </c>
      <c r="BM177" s="63" t="str">
        <f>IF($BF177="ja",VLOOKUP($B177,Kraftvärmeprod!$B$1:$BX$550,MATCH("Värde enligt ovan. (%)",Kraftvärmeprod!$B$1:$BX$1,0),FALSE),"")</f>
        <v/>
      </c>
    </row>
    <row r="178" spans="1:65" x14ac:dyDescent="0.45">
      <c r="A178" s="63" t="s">
        <v>447</v>
      </c>
      <c r="B178" s="63" t="s">
        <v>446</v>
      </c>
      <c r="C178" s="63">
        <f>VLOOKUP($B178,'Tillförd energi'!$B$1:$AI$720,MATCH(C$2,'Tillförd energi'!$B$1:$AQ$1,0),FALSE)</f>
        <v>0</v>
      </c>
      <c r="D178" s="63">
        <f>VLOOKUP($B178,'Tillförd energi'!$B$1:$AI$720,MATCH(D$2,'Tillförd energi'!$B$1:$AQ$1,0),FALSE)</f>
        <v>0.19</v>
      </c>
      <c r="E178" s="63">
        <f>VLOOKUP($B178,'Tillförd energi'!$B$1:$AI$720,MATCH(E$2,'Tillförd energi'!$B$1:$AQ$1,0),FALSE)</f>
        <v>0</v>
      </c>
      <c r="F178" s="63">
        <f>VLOOKUP($B178,'Tillförd energi'!$B$1:$AI$720,MATCH(F$2,'Tillförd energi'!$B$1:$AQ$1,0),FALSE)</f>
        <v>0</v>
      </c>
      <c r="G178" s="63">
        <f>VLOOKUP($B178,'Tillförd energi'!$B$1:$AI$720,MATCH(G$2,'Tillförd energi'!$B$1:$AQ$1,0),FALSE)</f>
        <v>0</v>
      </c>
      <c r="H178" s="63">
        <f>VLOOKUP($B178,'Tillförd energi'!$B$1:$AI$720,MATCH(H$2,'Tillförd energi'!$B$1:$AQ$1,0),FALSE)</f>
        <v>0</v>
      </c>
      <c r="I178" s="63">
        <f>VLOOKUP($B178,'Tillförd energi'!$B$1:$AI$720,MATCH(I$2,'Tillförd energi'!$B$1:$AQ$1,0),FALSE)</f>
        <v>0</v>
      </c>
      <c r="J178" s="63">
        <f>VLOOKUP($B178,'Tillförd energi'!$B$1:$AI$720,MATCH(J$2,'Tillförd energi'!$B$1:$AQ$1,0),FALSE)</f>
        <v>0</v>
      </c>
      <c r="K178" s="63">
        <f>VLOOKUP($B178,'Tillförd energi'!$B$1:$AI$720,MATCH(K$2,'Tillförd energi'!$B$1:$AQ$1,0),FALSE)</f>
        <v>0</v>
      </c>
      <c r="L178" s="63">
        <f>VLOOKUP($B178,'Tillförd energi'!$B$1:$AI$720,MATCH(L$2,'Tillförd energi'!$B$1:$AQ$1,0),FALSE)</f>
        <v>0</v>
      </c>
      <c r="M178" s="63">
        <f>VLOOKUP($B178,'Tillförd energi'!$B$1:$AI$720,MATCH(M$2,'Tillförd energi'!$B$1:$AQ$1,0),FALSE)</f>
        <v>0</v>
      </c>
      <c r="N178" s="63">
        <f>VLOOKUP($B178,'Tillförd energi'!$B$1:$AI$720,MATCH(N$2,'Tillförd energi'!$B$1:$AQ$1,0),FALSE)</f>
        <v>0</v>
      </c>
      <c r="O178" s="63">
        <f>VLOOKUP($B178,'Tillförd energi'!$B$1:$AI$720,MATCH(O$2,'Tillförd energi'!$B$1:$AQ$1,0),FALSE)</f>
        <v>0</v>
      </c>
      <c r="P178" s="63">
        <f>VLOOKUP($B178,'Tillförd energi'!$B$1:$AI$720,MATCH(P$2,'Tillförd energi'!$B$1:$AQ$1,0),FALSE)</f>
        <v>27</v>
      </c>
      <c r="Q178" s="63">
        <f>VLOOKUP($B178,'Tillförd energi'!$B$1:$AI$720,MATCH(Q$2,'Tillförd energi'!$B$1:$AQ$1,0),FALSE)</f>
        <v>0</v>
      </c>
      <c r="R178" s="63">
        <f>VLOOKUP($B178,'Tillförd energi'!$B$1:$AI$720,MATCH(R$2,'Tillförd energi'!$B$1:$AQ$1,0),FALSE)</f>
        <v>0</v>
      </c>
      <c r="S178" s="63">
        <f>VLOOKUP($B178,'Tillförd energi'!$B$1:$AI$720,MATCH(S$2,'Tillförd energi'!$B$1:$AQ$1,0),FALSE)</f>
        <v>0</v>
      </c>
      <c r="T178" s="63">
        <f>VLOOKUP($B178,'Tillförd energi'!$B$1:$AI$720,MATCH(T$2,'Tillförd energi'!$B$1:$AQ$1,0),FALSE)</f>
        <v>0</v>
      </c>
      <c r="U178" s="63">
        <f>VLOOKUP($B178,'Tillförd energi'!$B$1:$AI$720,MATCH(U$2,'Tillförd energi'!$B$1:$AQ$1,0),FALSE)</f>
        <v>0</v>
      </c>
      <c r="V178" s="63">
        <f>VLOOKUP($B178,'Tillförd energi'!$B$1:$AI$720,MATCH(V$2,'Tillförd energi'!$B$1:$AQ$1,0),FALSE)</f>
        <v>0</v>
      </c>
      <c r="W178" s="63">
        <f>VLOOKUP($B178,'Tillförd energi'!$B$1:$AI$720,MATCH(W$2,'Tillförd energi'!$B$1:$AQ$1,0),FALSE)</f>
        <v>0</v>
      </c>
      <c r="X178" s="63">
        <f>VLOOKUP($B178,'Tillförd energi'!$B$1:$AI$720,MATCH(X$2,'Tillförd energi'!$B$1:$AQ$1,0),FALSE)</f>
        <v>0</v>
      </c>
      <c r="Y178" s="63">
        <f>VLOOKUP($B178,'Tillförd energi'!$B$1:$AI$720,MATCH(Y$2,'Tillförd energi'!$B$1:$AQ$1,0),FALSE)</f>
        <v>0</v>
      </c>
      <c r="Z178" s="63">
        <f>VLOOKUP($B178,'Tillförd energi'!$B$1:$AI$720,MATCH(Z$2,'Tillförd energi'!$B$1:$AQ$1,0),FALSE)</f>
        <v>0</v>
      </c>
      <c r="AA178" s="63">
        <f>VLOOKUP($B178,'Tillförd energi'!$B$1:$AI$720,MATCH(AA$2,'Tillförd energi'!$B$1:$AQ$1,0),FALSE)</f>
        <v>0</v>
      </c>
      <c r="AB178" s="63">
        <f>VLOOKUP($B178,'Tillförd energi'!$B$1:$AI$720,MATCH(AB$2,'Tillförd energi'!$B$1:$AQ$1,0),FALSE)</f>
        <v>0</v>
      </c>
      <c r="AC178" s="63">
        <f>VLOOKUP($B178,'Tillförd energi'!$B$1:$AI$720,MATCH(AC$2,'Tillförd energi'!$B$1:$AQ$1,0),FALSE)</f>
        <v>4.3</v>
      </c>
      <c r="AD178" s="63">
        <f>VLOOKUP($B178,'Tillförd energi'!$B$1:$AI$720,MATCH(AD$2,'Tillförd energi'!$B$1:$AQ$1,0),FALSE)</f>
        <v>0</v>
      </c>
      <c r="AE178" s="63">
        <f>VLOOKUP($B178,'Tillförd energi'!$B$1:$AI$720,MATCH(AE$2,'Tillförd energi'!$B$1:$AQ$1,0),FALSE)</f>
        <v>0</v>
      </c>
      <c r="AF178" s="63">
        <f>VLOOKUP($B178,'Tillförd energi'!$B$1:$AI$720,MATCH(AF$2,'Tillförd energi'!$B$1:$AQ$1,0),FALSE)</f>
        <v>0.5</v>
      </c>
      <c r="AG178" s="63">
        <f>IFERROR(VLOOKUP(B178,Miljö!$B$1:$AC$550,MATCH("Köpt mängd produktionsspecifik fjärrvärme:",Miljö!$B$1:$AC$1,0),FALSE)/1,0)</f>
        <v>0</v>
      </c>
      <c r="AI178" s="63">
        <f t="shared" si="12"/>
        <v>31.990000000000002</v>
      </c>
      <c r="AJ178" s="63">
        <f>IF(ISERROR(1/VLOOKUP($B178,Leveranser!$B$1:$S$500,MATCH("såld värme (gwh)",Leveranser!$B$1:$S$1,0),FALSE)),"",VLOOKUP($B178,Leveranser!$B$1:$S$500,MATCH("såld värme (gwh)",Leveranser!$B$1:$S$1,0),FALSE))</f>
        <v>27</v>
      </c>
      <c r="AM178" s="63" t="str">
        <f>IF(B178&lt;&gt;"",IF(VLOOKUP($B178,Totalt!$B$1:$AQ$554,MATCH("Kvalitetsgranskad:",Totalt!$B$1:$AQ$1,0),FALSE)="ja",VLOOKUP($B178,Miljö!$B$1:$AG$479,MATCH(AM$2,Miljö!$B$1:$AK$1,0),FALSE),""),"")</f>
        <v>Ja</v>
      </c>
      <c r="AN178" s="63" t="str">
        <f>IF(AM178="ja",VLOOKUP($B178,Miljö!$B$1:$J$479,MATCH("Typ av ursprungsspecificerad el   (Om inget värde anges används Nordisk residualmix, se inforuta) ()",Miljö!$B$1:$J$1,0),FALSE),IF(AM178="nej","Nordisk residualel",""))</f>
        <v>'84% vatten 16% vind'</v>
      </c>
      <c r="AO178" s="63">
        <f>IF(AM178="","",VLOOKUP($B178,Miljö!$B$1:$J$479,MATCH("Fossilandel för ursprungspecificerad el ()",Miljö!$B$1:$J$1,0),FALSE))</f>
        <v>0</v>
      </c>
      <c r="AQ178" s="63">
        <f t="shared" si="13"/>
        <v>1</v>
      </c>
      <c r="AS178" s="63" t="str">
        <f t="shared" si="14"/>
        <v>Nej</v>
      </c>
      <c r="AT178" s="63" t="str">
        <f>IF(AS178="ja",VLOOKUP($B178,Miljö!$B$1:$P$500,MATCH("Fossil andel i procent (%)",Miljö!$B$1:$P$1,0),FALSE)/100,"")</f>
        <v/>
      </c>
      <c r="AV178" s="63" t="str">
        <f t="shared" si="15"/>
        <v>Nej</v>
      </c>
      <c r="AW178" s="63" t="str">
        <f>IF(AV178="ja",VLOOKUP($B178,'Egen hetvattenprod'!$B$1:$AO$500,MATCH("Värmekälla till värmepumpar ()",'Egen hetvattenprod'!$B$1:$AO$1,0),FALSE),"")</f>
        <v/>
      </c>
      <c r="AY178" s="63" t="str">
        <f t="shared" si="16"/>
        <v>Ja</v>
      </c>
      <c r="AZ178" s="77">
        <f>IF($AY178="ja",(VLOOKUP($B178,'Egen hetvattenprod'!$B$1:$BX$550,MATCH(AZ$2,'Egen hetvattenprod'!$B$1:$BX$1,0),FALSE)+VLOOKUP($B178,Kraftvärmeprod!$B$1:$BX$550,MATCH(AZ$2,Kraftvärmeprod!$B$1:$BX$1,0),FALSE))/$AC178,"")</f>
        <v>1</v>
      </c>
      <c r="BA178" s="77">
        <f>IF($AY178="ja",(VLOOKUP($B178,'Egen hetvattenprod'!$B$1:$BX$550,MATCH(BA$2,'Egen hetvattenprod'!$B$1:$BX$1,0),FALSE)+VLOOKUP($B178,Kraftvärmeprod!$B$1:$BX$550,MATCH(BA$2,Kraftvärmeprod!$B$1:$BX$1,0),FALSE))/$AC178,"")</f>
        <v>0</v>
      </c>
      <c r="BB178" s="77">
        <f>IF($AY178="ja",(VLOOKUP($B178,'Egen hetvattenprod'!$B$1:$BX$550,MATCH(BB$2,'Egen hetvattenprod'!$B$1:$BX$1,0),FALSE)+VLOOKUP($B178,Kraftvärmeprod!$B$1:$BX$550,MATCH(BB$2,Kraftvärmeprod!$B$1:$BX$1,0),FALSE))/$AC178,"")</f>
        <v>0</v>
      </c>
      <c r="BC178" s="77">
        <f>IF($AY178="ja",(VLOOKUP($B178,'Egen hetvattenprod'!$B$1:$BX$550,MATCH(BC$2,'Egen hetvattenprod'!$B$1:$BX$1,0),FALSE)+VLOOKUP($B178,Kraftvärmeprod!$B$1:$BX$550,MATCH(BC$2,Kraftvärmeprod!$B$1:$BX$1,0),FALSE))/$AC178,"")</f>
        <v>0</v>
      </c>
      <c r="BD178" s="77">
        <f>IF($AY178="ja",(VLOOKUP($B178,'Egen hetvattenprod'!$B$1:$BX$550,MATCH(BD$2,'Egen hetvattenprod'!$B$1:$BX$1,0),FALSE)+VLOOKUP($B178,Kraftvärmeprod!$B$1:$BX$550,MATCH(BD$2,Kraftvärmeprod!$B$1:$BX$1,0),FALSE))/$AC178,"")</f>
        <v>0</v>
      </c>
      <c r="BF178" s="63" t="str">
        <f t="shared" si="17"/>
        <v>Nej</v>
      </c>
      <c r="BG178" s="63" t="str">
        <f>IF($BF178="ja",VLOOKUP($B178,'Egen hetvattenprod'!$B$1:$BX$550,MATCH("Andelen klimatgaser med fossilt ursprung för avfall ()",'Egen hetvattenprod'!$B$1:$BX$1,0),FALSE),"")</f>
        <v/>
      </c>
      <c r="BH178" s="63" t="str">
        <f>IF($BF178="ja",VLOOKUP($B178,Kraftvärmeprod!$B$1:$BX$550,MATCH("Andelen klimatgaser med fossilt ursprung för avfall ()",Kraftvärmeprod!$B$1:$BX$1,0),FALSE),"")</f>
        <v/>
      </c>
      <c r="BI178" s="63" t="str">
        <f>IF($BF178="ja",VLOOKUP($B178,'Egen hetvattenprod'!$B$1:$BX$550,MATCH("Avfall (GWh)",'Egen hetvattenprod'!$B$1:$BX$1,0),FALSE),"")</f>
        <v/>
      </c>
      <c r="BJ178" s="63" t="str">
        <f>IF($BF178="ja",VLOOKUP($B178,'Slutlig allokering kvv'!$B$1:$BX$550,MATCH("Avfall (GWh)",'Slutlig allokering kvv'!$B$1:$BX$1,0),FALSE),"")</f>
        <v/>
      </c>
      <c r="BK178" s="63" t="str">
        <f>IF($BF178="ja",VLOOKUP($B178,'Köpt hetvatten'!$B$1:$BX$550,MATCH("Avfall i köpt hetvatten",'Köpt hetvatten'!$B$1:$BX$1,0),FALSE),"")</f>
        <v/>
      </c>
      <c r="BL178" s="63" t="str">
        <f>IF($BF178="ja",VLOOKUP($B178,'Egen hetvattenprod'!$B$1:$BX$550,MATCH("Värde enligt ovan. (%)",'Egen hetvattenprod'!$B$1:$BX$1,0),FALSE),"")</f>
        <v/>
      </c>
      <c r="BM178" s="63" t="str">
        <f>IF($BF178="ja",VLOOKUP($B178,Kraftvärmeprod!$B$1:$BX$550,MATCH("Värde enligt ovan. (%)",Kraftvärmeprod!$B$1:$BX$1,0),FALSE),"")</f>
        <v/>
      </c>
    </row>
    <row r="179" spans="1:65" x14ac:dyDescent="0.45">
      <c r="A179" s="63" t="s">
        <v>444</v>
      </c>
      <c r="B179" s="63" t="s">
        <v>443</v>
      </c>
      <c r="C179" s="63">
        <f>VLOOKUP($B179,'Tillförd energi'!$B$1:$AI$720,MATCH(C$2,'Tillförd energi'!$B$1:$AQ$1,0),FALSE)</f>
        <v>0</v>
      </c>
      <c r="D179" s="63">
        <f>VLOOKUP($B179,'Tillförd energi'!$B$1:$AI$720,MATCH(D$2,'Tillförd energi'!$B$1:$AQ$1,0),FALSE)</f>
        <v>0.04</v>
      </c>
      <c r="E179" s="63">
        <f>VLOOKUP($B179,'Tillförd energi'!$B$1:$AI$720,MATCH(E$2,'Tillförd energi'!$B$1:$AQ$1,0),FALSE)</f>
        <v>0</v>
      </c>
      <c r="F179" s="63">
        <f>VLOOKUP($B179,'Tillförd energi'!$B$1:$AI$720,MATCH(F$2,'Tillförd energi'!$B$1:$AQ$1,0),FALSE)</f>
        <v>0</v>
      </c>
      <c r="G179" s="63">
        <f>VLOOKUP($B179,'Tillförd energi'!$B$1:$AI$720,MATCH(G$2,'Tillförd energi'!$B$1:$AQ$1,0),FALSE)</f>
        <v>0</v>
      </c>
      <c r="H179" s="63">
        <f>VLOOKUP($B179,'Tillförd energi'!$B$1:$AI$720,MATCH(H$2,'Tillförd energi'!$B$1:$AQ$1,0),FALSE)</f>
        <v>0</v>
      </c>
      <c r="I179" s="63">
        <f>VLOOKUP($B179,'Tillförd energi'!$B$1:$AI$720,MATCH(I$2,'Tillförd energi'!$B$1:$AQ$1,0),FALSE)</f>
        <v>0</v>
      </c>
      <c r="J179" s="63">
        <f>VLOOKUP($B179,'Tillförd energi'!$B$1:$AI$720,MATCH(J$2,'Tillförd energi'!$B$1:$AQ$1,0),FALSE)</f>
        <v>0</v>
      </c>
      <c r="K179" s="63">
        <f>VLOOKUP($B179,'Tillförd energi'!$B$1:$AI$720,MATCH(K$2,'Tillförd energi'!$B$1:$AQ$1,0),FALSE)</f>
        <v>0</v>
      </c>
      <c r="L179" s="63">
        <f>VLOOKUP($B179,'Tillförd energi'!$B$1:$AI$720,MATCH(L$2,'Tillförd energi'!$B$1:$AQ$1,0),FALSE)</f>
        <v>0</v>
      </c>
      <c r="M179" s="63">
        <f>VLOOKUP($B179,'Tillförd energi'!$B$1:$AI$720,MATCH(M$2,'Tillförd energi'!$B$1:$AQ$1,0),FALSE)</f>
        <v>0</v>
      </c>
      <c r="N179" s="63">
        <f>VLOOKUP($B179,'Tillförd energi'!$B$1:$AI$720,MATCH(N$2,'Tillförd energi'!$B$1:$AQ$1,0),FALSE)</f>
        <v>0</v>
      </c>
      <c r="O179" s="63">
        <f>VLOOKUP($B179,'Tillförd energi'!$B$1:$AI$720,MATCH(O$2,'Tillförd energi'!$B$1:$AQ$1,0),FALSE)</f>
        <v>0</v>
      </c>
      <c r="P179" s="63">
        <f>VLOOKUP($B179,'Tillförd energi'!$B$1:$AI$720,MATCH(P$2,'Tillförd energi'!$B$1:$AQ$1,0),FALSE)</f>
        <v>0</v>
      </c>
      <c r="Q179" s="63">
        <f>VLOOKUP($B179,'Tillförd energi'!$B$1:$AI$720,MATCH(Q$2,'Tillförd energi'!$B$1:$AQ$1,0),FALSE)</f>
        <v>0</v>
      </c>
      <c r="R179" s="63">
        <f>VLOOKUP($B179,'Tillförd energi'!$B$1:$AI$720,MATCH(R$2,'Tillförd energi'!$B$1:$AQ$1,0),FALSE)</f>
        <v>0</v>
      </c>
      <c r="S179" s="63">
        <f>VLOOKUP($B179,'Tillförd energi'!$B$1:$AI$720,MATCH(S$2,'Tillförd energi'!$B$1:$AQ$1,0),FALSE)</f>
        <v>1.7</v>
      </c>
      <c r="T179" s="63">
        <f>VLOOKUP($B179,'Tillförd energi'!$B$1:$AI$720,MATCH(T$2,'Tillförd energi'!$B$1:$AQ$1,0),FALSE)</f>
        <v>0</v>
      </c>
      <c r="U179" s="63">
        <f>VLOOKUP($B179,'Tillförd energi'!$B$1:$AI$720,MATCH(U$2,'Tillförd energi'!$B$1:$AQ$1,0),FALSE)</f>
        <v>0</v>
      </c>
      <c r="V179" s="63">
        <f>VLOOKUP($B179,'Tillförd energi'!$B$1:$AI$720,MATCH(V$2,'Tillförd energi'!$B$1:$AQ$1,0),FALSE)</f>
        <v>0</v>
      </c>
      <c r="W179" s="63">
        <f>VLOOKUP($B179,'Tillförd energi'!$B$1:$AI$720,MATCH(W$2,'Tillförd energi'!$B$1:$AQ$1,0),FALSE)</f>
        <v>0</v>
      </c>
      <c r="X179" s="63">
        <f>VLOOKUP($B179,'Tillförd energi'!$B$1:$AI$720,MATCH(X$2,'Tillförd energi'!$B$1:$AQ$1,0),FALSE)</f>
        <v>0</v>
      </c>
      <c r="Y179" s="63">
        <f>VLOOKUP($B179,'Tillförd energi'!$B$1:$AI$720,MATCH(Y$2,'Tillförd energi'!$B$1:$AQ$1,0),FALSE)</f>
        <v>0</v>
      </c>
      <c r="Z179" s="63">
        <f>VLOOKUP($B179,'Tillförd energi'!$B$1:$AI$720,MATCH(Z$2,'Tillförd energi'!$B$1:$AQ$1,0),FALSE)</f>
        <v>0</v>
      </c>
      <c r="AA179" s="63">
        <f>VLOOKUP($B179,'Tillförd energi'!$B$1:$AI$720,MATCH(AA$2,'Tillförd energi'!$B$1:$AQ$1,0),FALSE)</f>
        <v>0</v>
      </c>
      <c r="AB179" s="63">
        <f>VLOOKUP($B179,'Tillförd energi'!$B$1:$AI$720,MATCH(AB$2,'Tillförd energi'!$B$1:$AQ$1,0),FALSE)</f>
        <v>0</v>
      </c>
      <c r="AC179" s="63">
        <f>VLOOKUP($B179,'Tillförd energi'!$B$1:$AI$720,MATCH(AC$2,'Tillförd energi'!$B$1:$AQ$1,0),FALSE)</f>
        <v>0</v>
      </c>
      <c r="AD179" s="63">
        <f>VLOOKUP($B179,'Tillförd energi'!$B$1:$AI$720,MATCH(AD$2,'Tillförd energi'!$B$1:$AQ$1,0),FALSE)</f>
        <v>0</v>
      </c>
      <c r="AE179" s="63">
        <f>VLOOKUP($B179,'Tillförd energi'!$B$1:$AI$720,MATCH(AE$2,'Tillförd energi'!$B$1:$AQ$1,0),FALSE)</f>
        <v>0</v>
      </c>
      <c r="AF179" s="63">
        <f>VLOOKUP($B179,'Tillförd energi'!$B$1:$AI$720,MATCH(AF$2,'Tillförd energi'!$B$1:$AQ$1,0),FALSE)</f>
        <v>0.04</v>
      </c>
      <c r="AG179" s="63">
        <f>IFERROR(VLOOKUP(B179,Miljö!$B$1:$AC$550,MATCH("Köpt mängd produktionsspecifik fjärrvärme:",Miljö!$B$1:$AC$1,0),FALSE)/1,0)</f>
        <v>0</v>
      </c>
      <c r="AI179" s="63">
        <f t="shared" si="12"/>
        <v>1.78</v>
      </c>
      <c r="AJ179" s="63">
        <f>IF(ISERROR(1/VLOOKUP($B179,Leveranser!$B$1:$S$500,MATCH("såld värme (gwh)",Leveranser!$B$1:$S$1,0),FALSE)),"",VLOOKUP($B179,Leveranser!$B$1:$S$500,MATCH("såld värme (gwh)",Leveranser!$B$1:$S$1,0),FALSE))</f>
        <v>1.2310000000000001</v>
      </c>
      <c r="AM179" s="63" t="str">
        <f>IF(B179&lt;&gt;"",IF(VLOOKUP($B179,Totalt!$B$1:$AQ$554,MATCH("Kvalitetsgranskad:",Totalt!$B$1:$AQ$1,0),FALSE)="ja",VLOOKUP($B179,Miljö!$B$1:$AG$479,MATCH(AM$2,Miljö!$B$1:$AK$1,0),FALSE),""),"")</f>
        <v>Ja</v>
      </c>
      <c r="AN179" s="63" t="str">
        <f>IF(AM179="ja",VLOOKUP($B179,Miljö!$B$1:$J$479,MATCH("Typ av ursprungsspecificerad el   (Om inget värde anges används Nordisk residualmix, se inforuta) ()",Miljö!$B$1:$J$1,0),FALSE),IF(AM179="nej","Nordisk residualel",""))</f>
        <v>'Bramiljöval'</v>
      </c>
      <c r="AO179" s="63">
        <f>IF(AM179="","",VLOOKUP($B179,Miljö!$B$1:$J$479,MATCH("Fossilandel för ursprungspecificerad el ()",Miljö!$B$1:$J$1,0),FALSE))</f>
        <v>0</v>
      </c>
      <c r="AQ179" s="63">
        <f t="shared" si="13"/>
        <v>1</v>
      </c>
      <c r="AS179" s="63" t="str">
        <f t="shared" si="14"/>
        <v>Nej</v>
      </c>
      <c r="AT179" s="63" t="str">
        <f>IF(AS179="ja",VLOOKUP($B179,Miljö!$B$1:$P$500,MATCH("Fossil andel i procent (%)",Miljö!$B$1:$P$1,0),FALSE)/100,"")</f>
        <v/>
      </c>
      <c r="AV179" s="63" t="str">
        <f t="shared" si="15"/>
        <v>Nej</v>
      </c>
      <c r="AW179" s="63" t="str">
        <f>IF(AV179="ja",VLOOKUP($B179,'Egen hetvattenprod'!$B$1:$AO$500,MATCH("Värmekälla till värmepumpar ()",'Egen hetvattenprod'!$B$1:$AO$1,0),FALSE),"")</f>
        <v/>
      </c>
      <c r="AY179" s="63" t="str">
        <f t="shared" si="16"/>
        <v>Nej</v>
      </c>
      <c r="AZ179" s="77" t="str">
        <f>IF($AY179="ja",(VLOOKUP($B179,'Egen hetvattenprod'!$B$1:$BX$550,MATCH(AZ$2,'Egen hetvattenprod'!$B$1:$BX$1,0),FALSE)+VLOOKUP($B179,Kraftvärmeprod!$B$1:$BX$550,MATCH(AZ$2,Kraftvärmeprod!$B$1:$BX$1,0),FALSE))/$AC179,"")</f>
        <v/>
      </c>
      <c r="BA179" s="77" t="str">
        <f>IF($AY179="ja",(VLOOKUP($B179,'Egen hetvattenprod'!$B$1:$BX$550,MATCH(BA$2,'Egen hetvattenprod'!$B$1:$BX$1,0),FALSE)+VLOOKUP($B179,Kraftvärmeprod!$B$1:$BX$550,MATCH(BA$2,Kraftvärmeprod!$B$1:$BX$1,0),FALSE))/$AC179,"")</f>
        <v/>
      </c>
      <c r="BB179" s="77" t="str">
        <f>IF($AY179="ja",(VLOOKUP($B179,'Egen hetvattenprod'!$B$1:$BX$550,MATCH(BB$2,'Egen hetvattenprod'!$B$1:$BX$1,0),FALSE)+VLOOKUP($B179,Kraftvärmeprod!$B$1:$BX$550,MATCH(BB$2,Kraftvärmeprod!$B$1:$BX$1,0),FALSE))/$AC179,"")</f>
        <v/>
      </c>
      <c r="BC179" s="77" t="str">
        <f>IF($AY179="ja",(VLOOKUP($B179,'Egen hetvattenprod'!$B$1:$BX$550,MATCH(BC$2,'Egen hetvattenprod'!$B$1:$BX$1,0),FALSE)+VLOOKUP($B179,Kraftvärmeprod!$B$1:$BX$550,MATCH(BC$2,Kraftvärmeprod!$B$1:$BX$1,0),FALSE))/$AC179,"")</f>
        <v/>
      </c>
      <c r="BD179" s="77" t="str">
        <f>IF($AY179="ja",(VLOOKUP($B179,'Egen hetvattenprod'!$B$1:$BX$550,MATCH(BD$2,'Egen hetvattenprod'!$B$1:$BX$1,0),FALSE)+VLOOKUP($B179,Kraftvärmeprod!$B$1:$BX$550,MATCH(BD$2,Kraftvärmeprod!$B$1:$BX$1,0),FALSE))/$AC179,"")</f>
        <v/>
      </c>
      <c r="BF179" s="63" t="str">
        <f t="shared" si="17"/>
        <v>Nej</v>
      </c>
      <c r="BG179" s="63" t="str">
        <f>IF($BF179="ja",VLOOKUP($B179,'Egen hetvattenprod'!$B$1:$BX$550,MATCH("Andelen klimatgaser med fossilt ursprung för avfall ()",'Egen hetvattenprod'!$B$1:$BX$1,0),FALSE),"")</f>
        <v/>
      </c>
      <c r="BH179" s="63" t="str">
        <f>IF($BF179="ja",VLOOKUP($B179,Kraftvärmeprod!$B$1:$BX$550,MATCH("Andelen klimatgaser med fossilt ursprung för avfall ()",Kraftvärmeprod!$B$1:$BX$1,0),FALSE),"")</f>
        <v/>
      </c>
      <c r="BI179" s="63" t="str">
        <f>IF($BF179="ja",VLOOKUP($B179,'Egen hetvattenprod'!$B$1:$BX$550,MATCH("Avfall (GWh)",'Egen hetvattenprod'!$B$1:$BX$1,0),FALSE),"")</f>
        <v/>
      </c>
      <c r="BJ179" s="63" t="str">
        <f>IF($BF179="ja",VLOOKUP($B179,'Slutlig allokering kvv'!$B$1:$BX$550,MATCH("Avfall (GWh)",'Slutlig allokering kvv'!$B$1:$BX$1,0),FALSE),"")</f>
        <v/>
      </c>
      <c r="BK179" s="63" t="str">
        <f>IF($BF179="ja",VLOOKUP($B179,'Köpt hetvatten'!$B$1:$BX$550,MATCH("Avfall i köpt hetvatten",'Köpt hetvatten'!$B$1:$BX$1,0),FALSE),"")</f>
        <v/>
      </c>
      <c r="BL179" s="63" t="str">
        <f>IF($BF179="ja",VLOOKUP($B179,'Egen hetvattenprod'!$B$1:$BX$550,MATCH("Värde enligt ovan. (%)",'Egen hetvattenprod'!$B$1:$BX$1,0),FALSE),"")</f>
        <v/>
      </c>
      <c r="BM179" s="63" t="str">
        <f>IF($BF179="ja",VLOOKUP($B179,Kraftvärmeprod!$B$1:$BX$550,MATCH("Värde enligt ovan. (%)",Kraftvärmeprod!$B$1:$BX$1,0),FALSE),"")</f>
        <v/>
      </c>
    </row>
    <row r="180" spans="1:65" x14ac:dyDescent="0.45">
      <c r="A180" s="63" t="s">
        <v>444</v>
      </c>
      <c r="B180" s="63" t="s">
        <v>445</v>
      </c>
      <c r="C180" s="63">
        <f>VLOOKUP($B180,'Tillförd energi'!$B$1:$AI$720,MATCH(C$2,'Tillförd energi'!$B$1:$AQ$1,0),FALSE)</f>
        <v>0</v>
      </c>
      <c r="D180" s="63">
        <f>VLOOKUP($B180,'Tillförd energi'!$B$1:$AI$720,MATCH(D$2,'Tillförd energi'!$B$1:$AQ$1,0),FALSE)</f>
        <v>1.89</v>
      </c>
      <c r="E180" s="63">
        <f>VLOOKUP($B180,'Tillförd energi'!$B$1:$AI$720,MATCH(E$2,'Tillförd energi'!$B$1:$AQ$1,0),FALSE)</f>
        <v>0</v>
      </c>
      <c r="F180" s="63">
        <f>VLOOKUP($B180,'Tillförd energi'!$B$1:$AI$720,MATCH(F$2,'Tillförd energi'!$B$1:$AQ$1,0),FALSE)</f>
        <v>0</v>
      </c>
      <c r="G180" s="63">
        <f>VLOOKUP($B180,'Tillförd energi'!$B$1:$AI$720,MATCH(G$2,'Tillförd energi'!$B$1:$AQ$1,0),FALSE)</f>
        <v>0</v>
      </c>
      <c r="H180" s="63">
        <f>VLOOKUP($B180,'Tillförd energi'!$B$1:$AI$720,MATCH(H$2,'Tillförd energi'!$B$1:$AQ$1,0),FALSE)</f>
        <v>0</v>
      </c>
      <c r="I180" s="63">
        <f>VLOOKUP($B180,'Tillförd energi'!$B$1:$AI$720,MATCH(I$2,'Tillförd energi'!$B$1:$AQ$1,0),FALSE)</f>
        <v>0</v>
      </c>
      <c r="J180" s="63">
        <f>VLOOKUP($B180,'Tillförd energi'!$B$1:$AI$720,MATCH(J$2,'Tillförd energi'!$B$1:$AQ$1,0),FALSE)</f>
        <v>0</v>
      </c>
      <c r="K180" s="63">
        <f>VLOOKUP($B180,'Tillförd energi'!$B$1:$AI$720,MATCH(K$2,'Tillförd energi'!$B$1:$AQ$1,0),FALSE)</f>
        <v>0</v>
      </c>
      <c r="L180" s="63">
        <f>VLOOKUP($B180,'Tillförd energi'!$B$1:$AI$720,MATCH(L$2,'Tillförd energi'!$B$1:$AQ$1,0),FALSE)</f>
        <v>0</v>
      </c>
      <c r="M180" s="63">
        <f>VLOOKUP($B180,'Tillförd energi'!$B$1:$AI$720,MATCH(M$2,'Tillförd energi'!$B$1:$AQ$1,0),FALSE)</f>
        <v>4.4967300000000003</v>
      </c>
      <c r="N180" s="63">
        <f>VLOOKUP($B180,'Tillförd energi'!$B$1:$AI$720,MATCH(N$2,'Tillförd energi'!$B$1:$AQ$1,0),FALSE)</f>
        <v>63.928699999999999</v>
      </c>
      <c r="O180" s="63">
        <f>VLOOKUP($B180,'Tillförd energi'!$B$1:$AI$720,MATCH(O$2,'Tillförd energi'!$B$1:$AQ$1,0),FALSE)</f>
        <v>0</v>
      </c>
      <c r="P180" s="63">
        <f>VLOOKUP($B180,'Tillförd energi'!$B$1:$AI$720,MATCH(P$2,'Tillförd energi'!$B$1:$AQ$1,0),FALSE)</f>
        <v>34.837600000000002</v>
      </c>
      <c r="Q180" s="63">
        <f>VLOOKUP($B180,'Tillförd energi'!$B$1:$AI$720,MATCH(Q$2,'Tillförd energi'!$B$1:$AQ$1,0),FALSE)</f>
        <v>0</v>
      </c>
      <c r="R180" s="63">
        <f>VLOOKUP($B180,'Tillförd energi'!$B$1:$AI$720,MATCH(R$2,'Tillförd energi'!$B$1:$AQ$1,0),FALSE)</f>
        <v>0</v>
      </c>
      <c r="S180" s="63">
        <f>VLOOKUP($B180,'Tillförd energi'!$B$1:$AI$720,MATCH(S$2,'Tillförd energi'!$B$1:$AQ$1,0),FALSE)</f>
        <v>5.65</v>
      </c>
      <c r="T180" s="63">
        <f>VLOOKUP($B180,'Tillförd energi'!$B$1:$AI$720,MATCH(T$2,'Tillförd energi'!$B$1:$AQ$1,0),FALSE)</f>
        <v>0</v>
      </c>
      <c r="U180" s="63">
        <f>VLOOKUP($B180,'Tillförd energi'!$B$1:$AI$720,MATCH(U$2,'Tillförd energi'!$B$1:$AQ$1,0),FALSE)</f>
        <v>0</v>
      </c>
      <c r="V180" s="63">
        <f>VLOOKUP($B180,'Tillförd energi'!$B$1:$AI$720,MATCH(V$2,'Tillförd energi'!$B$1:$AQ$1,0),FALSE)</f>
        <v>0</v>
      </c>
      <c r="W180" s="63">
        <f>VLOOKUP($B180,'Tillförd energi'!$B$1:$AI$720,MATCH(W$2,'Tillförd energi'!$B$1:$AQ$1,0),FALSE)</f>
        <v>0</v>
      </c>
      <c r="X180" s="63">
        <f>VLOOKUP($B180,'Tillförd energi'!$B$1:$AI$720,MATCH(X$2,'Tillförd energi'!$B$1:$AQ$1,0),FALSE)</f>
        <v>0</v>
      </c>
      <c r="Y180" s="63">
        <f>VLOOKUP($B180,'Tillförd energi'!$B$1:$AI$720,MATCH(Y$2,'Tillförd energi'!$B$1:$AQ$1,0),FALSE)</f>
        <v>0</v>
      </c>
      <c r="Z180" s="63">
        <f>VLOOKUP($B180,'Tillförd energi'!$B$1:$AI$720,MATCH(Z$2,'Tillförd energi'!$B$1:$AQ$1,0),FALSE)</f>
        <v>0</v>
      </c>
      <c r="AA180" s="63">
        <f>VLOOKUP($B180,'Tillförd energi'!$B$1:$AI$720,MATCH(AA$2,'Tillförd energi'!$B$1:$AQ$1,0),FALSE)</f>
        <v>0</v>
      </c>
      <c r="AB180" s="63">
        <f>VLOOKUP($B180,'Tillförd energi'!$B$1:$AI$720,MATCH(AB$2,'Tillförd energi'!$B$1:$AQ$1,0),FALSE)</f>
        <v>0</v>
      </c>
      <c r="AC180" s="63">
        <f>VLOOKUP($B180,'Tillförd energi'!$B$1:$AI$720,MATCH(AC$2,'Tillförd energi'!$B$1:$AQ$1,0),FALSE)</f>
        <v>18.21</v>
      </c>
      <c r="AD180" s="63">
        <f>VLOOKUP($B180,'Tillförd energi'!$B$1:$AI$720,MATCH(AD$2,'Tillförd energi'!$B$1:$AQ$1,0),FALSE)</f>
        <v>0</v>
      </c>
      <c r="AE180" s="63">
        <f>VLOOKUP($B180,'Tillförd energi'!$B$1:$AI$720,MATCH(AE$2,'Tillförd energi'!$B$1:$AQ$1,0),FALSE)</f>
        <v>0</v>
      </c>
      <c r="AF180" s="63">
        <f>VLOOKUP($B180,'Tillförd energi'!$B$1:$AI$720,MATCH(AF$2,'Tillförd energi'!$B$1:$AQ$1,0),FALSE)</f>
        <v>3.5525500000000001</v>
      </c>
      <c r="AG180" s="63">
        <f>IFERROR(VLOOKUP(B180,Miljö!$B$1:$AC$550,MATCH("Köpt mängd produktionsspecifik fjärrvärme:",Miljö!$B$1:$AC$1,0),FALSE)/1,0)</f>
        <v>0</v>
      </c>
      <c r="AI180" s="63">
        <f t="shared" si="12"/>
        <v>132.56558000000001</v>
      </c>
      <c r="AJ180" s="63">
        <f>IF(ISERROR(1/VLOOKUP($B180,Leveranser!$B$1:$S$500,MATCH("såld värme (gwh)",Leveranser!$B$1:$S$1,0),FALSE)),"",VLOOKUP($B180,Leveranser!$B$1:$S$500,MATCH("såld värme (gwh)",Leveranser!$B$1:$S$1,0),FALSE))</f>
        <v>90.04</v>
      </c>
      <c r="AM180" s="63" t="str">
        <f>IF(B180&lt;&gt;"",IF(VLOOKUP($B180,Totalt!$B$1:$AQ$554,MATCH("Kvalitetsgranskad:",Totalt!$B$1:$AQ$1,0),FALSE)="ja",VLOOKUP($B180,Miljö!$B$1:$AG$479,MATCH(AM$2,Miljö!$B$1:$AK$1,0),FALSE),""),"")</f>
        <v>Ja</v>
      </c>
      <c r="AN180" s="63" t="str">
        <f>IF(AM180="ja",VLOOKUP($B180,Miljö!$B$1:$J$479,MATCH("Typ av ursprungsspecificerad el   (Om inget värde anges används Nordisk residualmix, se inforuta) ()",Miljö!$B$1:$J$1,0),FALSE),IF(AM180="nej","Nordisk residualel",""))</f>
        <v>'Bra Miljöval'</v>
      </c>
      <c r="AO180" s="63">
        <f>IF(AM180="","",VLOOKUP($B180,Miljö!$B$1:$J$479,MATCH("Fossilandel för ursprungspecificerad el ()",Miljö!$B$1:$J$1,0),FALSE))</f>
        <v>0</v>
      </c>
      <c r="AQ180" s="63">
        <f t="shared" si="13"/>
        <v>1</v>
      </c>
      <c r="AS180" s="63" t="str">
        <f t="shared" si="14"/>
        <v>Nej</v>
      </c>
      <c r="AT180" s="63" t="str">
        <f>IF(AS180="ja",VLOOKUP($B180,Miljö!$B$1:$P$500,MATCH("Fossil andel i procent (%)",Miljö!$B$1:$P$1,0),FALSE)/100,"")</f>
        <v/>
      </c>
      <c r="AV180" s="63" t="str">
        <f t="shared" si="15"/>
        <v>Nej</v>
      </c>
      <c r="AW180" s="63" t="str">
        <f>IF(AV180="ja",VLOOKUP($B180,'Egen hetvattenprod'!$B$1:$AO$500,MATCH("Värmekälla till värmepumpar ()",'Egen hetvattenprod'!$B$1:$AO$1,0),FALSE),"")</f>
        <v/>
      </c>
      <c r="AY180" s="63" t="str">
        <f t="shared" si="16"/>
        <v>Ja</v>
      </c>
      <c r="AZ180" s="77">
        <f>IF($AY180="ja",(VLOOKUP($B180,'Egen hetvattenprod'!$B$1:$BX$550,MATCH(AZ$2,'Egen hetvattenprod'!$B$1:$BX$1,0),FALSE)+VLOOKUP($B180,Kraftvärmeprod!$B$1:$BX$550,MATCH(AZ$2,Kraftvärmeprod!$B$1:$BX$1,0),FALSE))/$AC180,"")</f>
        <v>1</v>
      </c>
      <c r="BA180" s="77">
        <f>IF($AY180="ja",(VLOOKUP($B180,'Egen hetvattenprod'!$B$1:$BX$550,MATCH(BA$2,'Egen hetvattenprod'!$B$1:$BX$1,0),FALSE)+VLOOKUP($B180,Kraftvärmeprod!$B$1:$BX$550,MATCH(BA$2,Kraftvärmeprod!$B$1:$BX$1,0),FALSE))/$AC180,"")</f>
        <v>0</v>
      </c>
      <c r="BB180" s="77">
        <f>IF($AY180="ja",(VLOOKUP($B180,'Egen hetvattenprod'!$B$1:$BX$550,MATCH(BB$2,'Egen hetvattenprod'!$B$1:$BX$1,0),FALSE)+VLOOKUP($B180,Kraftvärmeprod!$B$1:$BX$550,MATCH(BB$2,Kraftvärmeprod!$B$1:$BX$1,0),FALSE))/$AC180,"")</f>
        <v>0</v>
      </c>
      <c r="BC180" s="77">
        <f>IF($AY180="ja",(VLOOKUP($B180,'Egen hetvattenprod'!$B$1:$BX$550,MATCH(BC$2,'Egen hetvattenprod'!$B$1:$BX$1,0),FALSE)+VLOOKUP($B180,Kraftvärmeprod!$B$1:$BX$550,MATCH(BC$2,Kraftvärmeprod!$B$1:$BX$1,0),FALSE))/$AC180,"")</f>
        <v>0</v>
      </c>
      <c r="BD180" s="77">
        <f>IF($AY180="ja",(VLOOKUP($B180,'Egen hetvattenprod'!$B$1:$BX$550,MATCH(BD$2,'Egen hetvattenprod'!$B$1:$BX$1,0),FALSE)+VLOOKUP($B180,Kraftvärmeprod!$B$1:$BX$550,MATCH(BD$2,Kraftvärmeprod!$B$1:$BX$1,0),FALSE))/$AC180,"")</f>
        <v>0</v>
      </c>
      <c r="BF180" s="63" t="str">
        <f t="shared" si="17"/>
        <v>Nej</v>
      </c>
      <c r="BG180" s="63" t="str">
        <f>IF($BF180="ja",VLOOKUP($B180,'Egen hetvattenprod'!$B$1:$BX$550,MATCH("Andelen klimatgaser med fossilt ursprung för avfall ()",'Egen hetvattenprod'!$B$1:$BX$1,0),FALSE),"")</f>
        <v/>
      </c>
      <c r="BH180" s="63" t="str">
        <f>IF($BF180="ja",VLOOKUP($B180,Kraftvärmeprod!$B$1:$BX$550,MATCH("Andelen klimatgaser med fossilt ursprung för avfall ()",Kraftvärmeprod!$B$1:$BX$1,0),FALSE),"")</f>
        <v/>
      </c>
      <c r="BI180" s="63" t="str">
        <f>IF($BF180="ja",VLOOKUP($B180,'Egen hetvattenprod'!$B$1:$BX$550,MATCH("Avfall (GWh)",'Egen hetvattenprod'!$B$1:$BX$1,0),FALSE),"")</f>
        <v/>
      </c>
      <c r="BJ180" s="63" t="str">
        <f>IF($BF180="ja",VLOOKUP($B180,'Slutlig allokering kvv'!$B$1:$BX$550,MATCH("Avfall (GWh)",'Slutlig allokering kvv'!$B$1:$BX$1,0),FALSE),"")</f>
        <v/>
      </c>
      <c r="BK180" s="63" t="str">
        <f>IF($BF180="ja",VLOOKUP($B180,'Köpt hetvatten'!$B$1:$BX$550,MATCH("Avfall i köpt hetvatten",'Köpt hetvatten'!$B$1:$BX$1,0),FALSE),"")</f>
        <v/>
      </c>
      <c r="BL180" s="63" t="str">
        <f>IF($BF180="ja",VLOOKUP($B180,'Egen hetvattenprod'!$B$1:$BX$550,MATCH("Värde enligt ovan. (%)",'Egen hetvattenprod'!$B$1:$BX$1,0),FALSE),"")</f>
        <v/>
      </c>
      <c r="BM180" s="63" t="str">
        <f>IF($BF180="ja",VLOOKUP($B180,Kraftvärmeprod!$B$1:$BX$550,MATCH("Värde enligt ovan. (%)",Kraftvärmeprod!$B$1:$BX$1,0),FALSE),"")</f>
        <v/>
      </c>
    </row>
    <row r="181" spans="1:65" x14ac:dyDescent="0.45">
      <c r="A181" s="63" t="s">
        <v>442</v>
      </c>
      <c r="B181" s="63" t="s">
        <v>441</v>
      </c>
      <c r="C181" s="63">
        <f>VLOOKUP($B181,'Tillförd energi'!$B$1:$AI$720,MATCH(C$2,'Tillförd energi'!$B$1:$AQ$1,0),FALSE)</f>
        <v>0</v>
      </c>
      <c r="D181" s="63">
        <f>VLOOKUP($B181,'Tillförd energi'!$B$1:$AI$720,MATCH(D$2,'Tillförd energi'!$B$1:$AQ$1,0),FALSE)</f>
        <v>0.70295200000000002</v>
      </c>
      <c r="E181" s="63">
        <f>VLOOKUP($B181,'Tillförd energi'!$B$1:$AI$720,MATCH(E$2,'Tillförd energi'!$B$1:$AQ$1,0),FALSE)</f>
        <v>0</v>
      </c>
      <c r="F181" s="63">
        <f>VLOOKUP($B181,'Tillförd energi'!$B$1:$AI$720,MATCH(F$2,'Tillförd energi'!$B$1:$AQ$1,0),FALSE)</f>
        <v>0</v>
      </c>
      <c r="G181" s="63">
        <f>VLOOKUP($B181,'Tillförd energi'!$B$1:$AI$720,MATCH(G$2,'Tillförd energi'!$B$1:$AQ$1,0),FALSE)</f>
        <v>0</v>
      </c>
      <c r="H181" s="63">
        <f>VLOOKUP($B181,'Tillförd energi'!$B$1:$AI$720,MATCH(H$2,'Tillförd energi'!$B$1:$AQ$1,0),FALSE)</f>
        <v>0</v>
      </c>
      <c r="I181" s="63">
        <f>VLOOKUP($B181,'Tillförd energi'!$B$1:$AI$720,MATCH(I$2,'Tillförd energi'!$B$1:$AQ$1,0),FALSE)</f>
        <v>0</v>
      </c>
      <c r="J181" s="63">
        <f>VLOOKUP($B181,'Tillförd energi'!$B$1:$AI$720,MATCH(J$2,'Tillförd energi'!$B$1:$AQ$1,0),FALSE)</f>
        <v>0</v>
      </c>
      <c r="K181" s="63">
        <f>VLOOKUP($B181,'Tillförd energi'!$B$1:$AI$720,MATCH(K$2,'Tillförd energi'!$B$1:$AQ$1,0),FALSE)</f>
        <v>0</v>
      </c>
      <c r="L181" s="63">
        <f>VLOOKUP($B181,'Tillförd energi'!$B$1:$AI$720,MATCH(L$2,'Tillförd energi'!$B$1:$AQ$1,0),FALSE)</f>
        <v>0</v>
      </c>
      <c r="M181" s="63">
        <f>VLOOKUP($B181,'Tillförd energi'!$B$1:$AI$720,MATCH(M$2,'Tillförd energi'!$B$1:$AQ$1,0),FALSE)</f>
        <v>5.4</v>
      </c>
      <c r="N181" s="63">
        <f>VLOOKUP($B181,'Tillförd energi'!$B$1:$AI$720,MATCH(N$2,'Tillförd energi'!$B$1:$AQ$1,0),FALSE)</f>
        <v>87.22</v>
      </c>
      <c r="O181" s="63">
        <f>VLOOKUP($B181,'Tillförd energi'!$B$1:$AI$720,MATCH(O$2,'Tillförd energi'!$B$1:$AQ$1,0),FALSE)</f>
        <v>5.4</v>
      </c>
      <c r="P181" s="63">
        <f>VLOOKUP($B181,'Tillförd energi'!$B$1:$AI$720,MATCH(P$2,'Tillförd energi'!$B$1:$AQ$1,0),FALSE)</f>
        <v>14.7074</v>
      </c>
      <c r="Q181" s="63">
        <f>VLOOKUP($B181,'Tillförd energi'!$B$1:$AI$720,MATCH(Q$2,'Tillförd energi'!$B$1:$AQ$1,0),FALSE)</f>
        <v>9.1764700000000001</v>
      </c>
      <c r="R181" s="63">
        <f>VLOOKUP($B181,'Tillförd energi'!$B$1:$AI$720,MATCH(R$2,'Tillförd energi'!$B$1:$AQ$1,0),FALSE)</f>
        <v>0</v>
      </c>
      <c r="S181" s="63">
        <f>VLOOKUP($B181,'Tillförd energi'!$B$1:$AI$720,MATCH(S$2,'Tillförd energi'!$B$1:$AQ$1,0),FALSE)</f>
        <v>0</v>
      </c>
      <c r="T181" s="63">
        <f>VLOOKUP($B181,'Tillförd energi'!$B$1:$AI$720,MATCH(T$2,'Tillförd energi'!$B$1:$AQ$1,0),FALSE)</f>
        <v>0</v>
      </c>
      <c r="U181" s="63">
        <f>VLOOKUP($B181,'Tillförd energi'!$B$1:$AI$720,MATCH(U$2,'Tillförd energi'!$B$1:$AQ$1,0),FALSE)</f>
        <v>0</v>
      </c>
      <c r="V181" s="63">
        <f>VLOOKUP($B181,'Tillförd energi'!$B$1:$AI$720,MATCH(V$2,'Tillförd energi'!$B$1:$AQ$1,0),FALSE)</f>
        <v>0</v>
      </c>
      <c r="W181" s="63">
        <f>VLOOKUP($B181,'Tillförd energi'!$B$1:$AI$720,MATCH(W$2,'Tillförd energi'!$B$1:$AQ$1,0),FALSE)</f>
        <v>0</v>
      </c>
      <c r="X181" s="63">
        <f>VLOOKUP($B181,'Tillförd energi'!$B$1:$AI$720,MATCH(X$2,'Tillförd energi'!$B$1:$AQ$1,0),FALSE)</f>
        <v>0</v>
      </c>
      <c r="Y181" s="63">
        <f>VLOOKUP($B181,'Tillförd energi'!$B$1:$AI$720,MATCH(Y$2,'Tillförd energi'!$B$1:$AQ$1,0),FALSE)</f>
        <v>0</v>
      </c>
      <c r="Z181" s="63">
        <f>VLOOKUP($B181,'Tillförd energi'!$B$1:$AI$720,MATCH(Z$2,'Tillförd energi'!$B$1:$AQ$1,0),FALSE)</f>
        <v>0</v>
      </c>
      <c r="AA181" s="63">
        <f>VLOOKUP($B181,'Tillförd energi'!$B$1:$AI$720,MATCH(AA$2,'Tillförd energi'!$B$1:$AQ$1,0),FALSE)</f>
        <v>0</v>
      </c>
      <c r="AB181" s="63">
        <f>VLOOKUP($B181,'Tillförd energi'!$B$1:$AI$720,MATCH(AB$2,'Tillförd energi'!$B$1:$AQ$1,0),FALSE)</f>
        <v>0</v>
      </c>
      <c r="AC181" s="63">
        <f>VLOOKUP($B181,'Tillförd energi'!$B$1:$AI$720,MATCH(AC$2,'Tillförd energi'!$B$1:$AQ$1,0),FALSE)</f>
        <v>1.87</v>
      </c>
      <c r="AD181" s="63">
        <f>VLOOKUP($B181,'Tillförd energi'!$B$1:$AI$720,MATCH(AD$2,'Tillförd energi'!$B$1:$AQ$1,0),FALSE)</f>
        <v>0</v>
      </c>
      <c r="AE181" s="63">
        <f>VLOOKUP($B181,'Tillförd energi'!$B$1:$AI$720,MATCH(AE$2,'Tillförd energi'!$B$1:$AQ$1,0),FALSE)</f>
        <v>0</v>
      </c>
      <c r="AF181" s="63">
        <f>VLOOKUP($B181,'Tillförd energi'!$B$1:$AI$720,MATCH(AF$2,'Tillförd energi'!$B$1:$AQ$1,0),FALSE)</f>
        <v>4.7487899999999996</v>
      </c>
      <c r="AG181" s="63">
        <f>IFERROR(VLOOKUP(B181,Miljö!$B$1:$AC$550,MATCH("Köpt mängd produktionsspecifik fjärrvärme:",Miljö!$B$1:$AC$1,0),FALSE)/1,0)</f>
        <v>79</v>
      </c>
      <c r="AI181" s="63">
        <f t="shared" si="12"/>
        <v>208.22561200000001</v>
      </c>
      <c r="AJ181" s="63">
        <f>IF(ISERROR(1/VLOOKUP($B181,Leveranser!$B$1:$S$500,MATCH("såld värme (gwh)",Leveranser!$B$1:$S$1,0),FALSE)),"",VLOOKUP($B181,Leveranser!$B$1:$S$500,MATCH("såld värme (gwh)",Leveranser!$B$1:$S$1,0),FALSE))</f>
        <v>174.3</v>
      </c>
      <c r="AM181" s="63" t="str">
        <f>IF(B181&lt;&gt;"",IF(VLOOKUP($B181,Totalt!$B$1:$AQ$554,MATCH("Kvalitetsgranskad:",Totalt!$B$1:$AQ$1,0),FALSE)="ja",VLOOKUP($B181,Miljö!$B$1:$AG$479,MATCH(AM$2,Miljö!$B$1:$AK$1,0),FALSE),""),"")</f>
        <v>Ja</v>
      </c>
      <c r="AN181" s="63" t="str">
        <f>IF(AM181="ja",VLOOKUP($B181,Miljö!$B$1:$J$479,MATCH("Typ av ursprungsspecificerad el   (Om inget värde anges används Nordisk residualmix, se inforuta) ()",Miljö!$B$1:$J$1,0),FALSE),IF(AM181="nej","Nordisk residualel",""))</f>
        <v>'Biobränsle. egna ursprungsgarantier'</v>
      </c>
      <c r="AO181" s="63">
        <f>IF(AM181="","",VLOOKUP($B181,Miljö!$B$1:$J$479,MATCH("Fossilandel för ursprungspecificerad el ()",Miljö!$B$1:$J$1,0),FALSE))</f>
        <v>0</v>
      </c>
      <c r="AQ181" s="63">
        <f t="shared" si="13"/>
        <v>1</v>
      </c>
      <c r="AS181" s="63" t="str">
        <f t="shared" si="14"/>
        <v>Ja</v>
      </c>
      <c r="AT181" s="63">
        <f>IF(AS181="ja",VLOOKUP($B181,Miljö!$B$1:$P$500,MATCH("Fossil andel i procent (%)",Miljö!$B$1:$P$1,0),FALSE)/100,"")</f>
        <v>1.9E-2</v>
      </c>
      <c r="AV181" s="63" t="str">
        <f t="shared" si="15"/>
        <v>Nej</v>
      </c>
      <c r="AW181" s="63" t="str">
        <f>IF(AV181="ja",VLOOKUP($B181,'Egen hetvattenprod'!$B$1:$AO$500,MATCH("Värmekälla till värmepumpar ()",'Egen hetvattenprod'!$B$1:$AO$1,0),FALSE),"")</f>
        <v/>
      </c>
      <c r="AY181" s="63" t="str">
        <f t="shared" si="16"/>
        <v>Ja</v>
      </c>
      <c r="AZ181" s="77">
        <f>IF($AY181="ja",(VLOOKUP($B181,'Egen hetvattenprod'!$B$1:$BX$550,MATCH(AZ$2,'Egen hetvattenprod'!$B$1:$BX$1,0),FALSE)+VLOOKUP($B181,Kraftvärmeprod!$B$1:$BX$550,MATCH(AZ$2,Kraftvärmeprod!$B$1:$BX$1,0),FALSE))/$AC181,"")</f>
        <v>1</v>
      </c>
      <c r="BA181" s="77">
        <f>IF($AY181="ja",(VLOOKUP($B181,'Egen hetvattenprod'!$B$1:$BX$550,MATCH(BA$2,'Egen hetvattenprod'!$B$1:$BX$1,0),FALSE)+VLOOKUP($B181,Kraftvärmeprod!$B$1:$BX$550,MATCH(BA$2,Kraftvärmeprod!$B$1:$BX$1,0),FALSE))/$AC181,"")</f>
        <v>0</v>
      </c>
      <c r="BB181" s="77">
        <f>IF($AY181="ja",(VLOOKUP($B181,'Egen hetvattenprod'!$B$1:$BX$550,MATCH(BB$2,'Egen hetvattenprod'!$B$1:$BX$1,0),FALSE)+VLOOKUP($B181,Kraftvärmeprod!$B$1:$BX$550,MATCH(BB$2,Kraftvärmeprod!$B$1:$BX$1,0),FALSE))/$AC181,"")</f>
        <v>0</v>
      </c>
      <c r="BC181" s="77">
        <f>IF($AY181="ja",(VLOOKUP($B181,'Egen hetvattenprod'!$B$1:$BX$550,MATCH(BC$2,'Egen hetvattenprod'!$B$1:$BX$1,0),FALSE)+VLOOKUP($B181,Kraftvärmeprod!$B$1:$BX$550,MATCH(BC$2,Kraftvärmeprod!$B$1:$BX$1,0),FALSE))/$AC181,"")</f>
        <v>0</v>
      </c>
      <c r="BD181" s="77">
        <f>IF($AY181="ja",(VLOOKUP($B181,'Egen hetvattenprod'!$B$1:$BX$550,MATCH(BD$2,'Egen hetvattenprod'!$B$1:$BX$1,0),FALSE)+VLOOKUP($B181,Kraftvärmeprod!$B$1:$BX$550,MATCH(BD$2,Kraftvärmeprod!$B$1:$BX$1,0),FALSE))/$AC181,"")</f>
        <v>0</v>
      </c>
      <c r="BF181" s="63" t="str">
        <f t="shared" si="17"/>
        <v>Nej</v>
      </c>
      <c r="BG181" s="63" t="str">
        <f>IF($BF181="ja",VLOOKUP($B181,'Egen hetvattenprod'!$B$1:$BX$550,MATCH("Andelen klimatgaser med fossilt ursprung för avfall ()",'Egen hetvattenprod'!$B$1:$BX$1,0),FALSE),"")</f>
        <v/>
      </c>
      <c r="BH181" s="63" t="str">
        <f>IF($BF181="ja",VLOOKUP($B181,Kraftvärmeprod!$B$1:$BX$550,MATCH("Andelen klimatgaser med fossilt ursprung för avfall ()",Kraftvärmeprod!$B$1:$BX$1,0),FALSE),"")</f>
        <v/>
      </c>
      <c r="BI181" s="63" t="str">
        <f>IF($BF181="ja",VLOOKUP($B181,'Egen hetvattenprod'!$B$1:$BX$550,MATCH("Avfall (GWh)",'Egen hetvattenprod'!$B$1:$BX$1,0),FALSE),"")</f>
        <v/>
      </c>
      <c r="BJ181" s="63" t="str">
        <f>IF($BF181="ja",VLOOKUP($B181,'Slutlig allokering kvv'!$B$1:$BX$550,MATCH("Avfall (GWh)",'Slutlig allokering kvv'!$B$1:$BX$1,0),FALSE),"")</f>
        <v/>
      </c>
      <c r="BK181" s="63" t="str">
        <f>IF($BF181="ja",VLOOKUP($B181,'Köpt hetvatten'!$B$1:$BX$550,MATCH("Avfall i köpt hetvatten",'Köpt hetvatten'!$B$1:$BX$1,0),FALSE),"")</f>
        <v/>
      </c>
      <c r="BL181" s="63" t="str">
        <f>IF($BF181="ja",VLOOKUP($B181,'Egen hetvattenprod'!$B$1:$BX$550,MATCH("Värde enligt ovan. (%)",'Egen hetvattenprod'!$B$1:$BX$1,0),FALSE),"")</f>
        <v/>
      </c>
      <c r="BM181" s="63" t="str">
        <f>IF($BF181="ja",VLOOKUP($B181,Kraftvärmeprod!$B$1:$BX$550,MATCH("Värde enligt ovan. (%)",Kraftvärmeprod!$B$1:$BX$1,0),FALSE),"")</f>
        <v/>
      </c>
    </row>
    <row r="182" spans="1:65" x14ac:dyDescent="0.45">
      <c r="A182" s="63" t="s">
        <v>440</v>
      </c>
      <c r="B182" s="63" t="s">
        <v>439</v>
      </c>
      <c r="C182" s="63">
        <f>VLOOKUP($B182,'Tillförd energi'!$B$1:$AI$720,MATCH(C$2,'Tillförd energi'!$B$1:$AQ$1,0),FALSE)</f>
        <v>0</v>
      </c>
      <c r="D182" s="63">
        <f>VLOOKUP($B182,'Tillförd energi'!$B$1:$AI$720,MATCH(D$2,'Tillförd energi'!$B$1:$AQ$1,0),FALSE)</f>
        <v>0</v>
      </c>
      <c r="E182" s="63">
        <f>VLOOKUP($B182,'Tillförd energi'!$B$1:$AI$720,MATCH(E$2,'Tillförd energi'!$B$1:$AQ$1,0),FALSE)</f>
        <v>0</v>
      </c>
      <c r="F182" s="63">
        <f>VLOOKUP($B182,'Tillförd energi'!$B$1:$AI$720,MATCH(F$2,'Tillförd energi'!$B$1:$AQ$1,0),FALSE)</f>
        <v>0</v>
      </c>
      <c r="G182" s="63">
        <f>VLOOKUP($B182,'Tillförd energi'!$B$1:$AI$720,MATCH(G$2,'Tillförd energi'!$B$1:$AQ$1,0),FALSE)</f>
        <v>0</v>
      </c>
      <c r="H182" s="63">
        <f>VLOOKUP($B182,'Tillförd energi'!$B$1:$AI$720,MATCH(H$2,'Tillförd energi'!$B$1:$AQ$1,0),FALSE)</f>
        <v>0</v>
      </c>
      <c r="I182" s="63">
        <f>VLOOKUP($B182,'Tillförd energi'!$B$1:$AI$720,MATCH(I$2,'Tillförd energi'!$B$1:$AQ$1,0),FALSE)</f>
        <v>0</v>
      </c>
      <c r="J182" s="63">
        <f>VLOOKUP($B182,'Tillförd energi'!$B$1:$AI$720,MATCH(J$2,'Tillförd energi'!$B$1:$AQ$1,0),FALSE)</f>
        <v>0</v>
      </c>
      <c r="K182" s="63">
        <f>VLOOKUP($B182,'Tillförd energi'!$B$1:$AI$720,MATCH(K$2,'Tillförd energi'!$B$1:$AQ$1,0),FALSE)</f>
        <v>0</v>
      </c>
      <c r="L182" s="63">
        <f>VLOOKUP($B182,'Tillförd energi'!$B$1:$AI$720,MATCH(L$2,'Tillförd energi'!$B$1:$AQ$1,0),FALSE)</f>
        <v>0</v>
      </c>
      <c r="M182" s="63">
        <f>VLOOKUP($B182,'Tillförd energi'!$B$1:$AI$720,MATCH(M$2,'Tillförd energi'!$B$1:$AQ$1,0),FALSE)</f>
        <v>0</v>
      </c>
      <c r="N182" s="63">
        <f>VLOOKUP($B182,'Tillförd energi'!$B$1:$AI$720,MATCH(N$2,'Tillförd energi'!$B$1:$AQ$1,0),FALSE)</f>
        <v>0</v>
      </c>
      <c r="O182" s="63">
        <f>VLOOKUP($B182,'Tillförd energi'!$B$1:$AI$720,MATCH(O$2,'Tillförd energi'!$B$1:$AQ$1,0),FALSE)</f>
        <v>0</v>
      </c>
      <c r="P182" s="63">
        <f>VLOOKUP($B182,'Tillförd energi'!$B$1:$AI$720,MATCH(P$2,'Tillförd energi'!$B$1:$AQ$1,0),FALSE)</f>
        <v>0</v>
      </c>
      <c r="Q182" s="63">
        <f>VLOOKUP($B182,'Tillförd energi'!$B$1:$AI$720,MATCH(Q$2,'Tillförd energi'!$B$1:$AQ$1,0),FALSE)</f>
        <v>0</v>
      </c>
      <c r="R182" s="63">
        <f>VLOOKUP($B182,'Tillförd energi'!$B$1:$AI$720,MATCH(R$2,'Tillförd energi'!$B$1:$AQ$1,0),FALSE)</f>
        <v>0</v>
      </c>
      <c r="S182" s="63">
        <f>VLOOKUP($B182,'Tillförd energi'!$B$1:$AI$720,MATCH(S$2,'Tillförd energi'!$B$1:$AQ$1,0),FALSE)</f>
        <v>0</v>
      </c>
      <c r="T182" s="63">
        <f>VLOOKUP($B182,'Tillförd energi'!$B$1:$AI$720,MATCH(T$2,'Tillförd energi'!$B$1:$AQ$1,0),FALSE)</f>
        <v>0</v>
      </c>
      <c r="U182" s="63">
        <f>VLOOKUP($B182,'Tillförd energi'!$B$1:$AI$720,MATCH(U$2,'Tillförd energi'!$B$1:$AQ$1,0),FALSE)</f>
        <v>0</v>
      </c>
      <c r="V182" s="63">
        <f>VLOOKUP($B182,'Tillförd energi'!$B$1:$AI$720,MATCH(V$2,'Tillförd energi'!$B$1:$AQ$1,0),FALSE)</f>
        <v>0</v>
      </c>
      <c r="W182" s="63">
        <f>VLOOKUP($B182,'Tillförd energi'!$B$1:$AI$720,MATCH(W$2,'Tillförd energi'!$B$1:$AQ$1,0),FALSE)</f>
        <v>0</v>
      </c>
      <c r="X182" s="63">
        <f>VLOOKUP($B182,'Tillförd energi'!$B$1:$AI$720,MATCH(X$2,'Tillförd energi'!$B$1:$AQ$1,0),FALSE)</f>
        <v>0</v>
      </c>
      <c r="Y182" s="63">
        <f>VLOOKUP($B182,'Tillförd energi'!$B$1:$AI$720,MATCH(Y$2,'Tillförd energi'!$B$1:$AQ$1,0),FALSE)</f>
        <v>0</v>
      </c>
      <c r="Z182" s="63">
        <f>VLOOKUP($B182,'Tillförd energi'!$B$1:$AI$720,MATCH(Z$2,'Tillförd energi'!$B$1:$AQ$1,0),FALSE)</f>
        <v>0</v>
      </c>
      <c r="AA182" s="63">
        <f>VLOOKUP($B182,'Tillförd energi'!$B$1:$AI$720,MATCH(AA$2,'Tillförd energi'!$B$1:$AQ$1,0),FALSE)</f>
        <v>0</v>
      </c>
      <c r="AB182" s="63">
        <f>VLOOKUP($B182,'Tillförd energi'!$B$1:$AI$720,MATCH(AB$2,'Tillförd energi'!$B$1:$AQ$1,0),FALSE)</f>
        <v>0</v>
      </c>
      <c r="AC182" s="63">
        <f>VLOOKUP($B182,'Tillförd energi'!$B$1:$AI$720,MATCH(AC$2,'Tillförd energi'!$B$1:$AQ$1,0),FALSE)</f>
        <v>0</v>
      </c>
      <c r="AD182" s="63">
        <f>VLOOKUP($B182,'Tillförd energi'!$B$1:$AI$720,MATCH(AD$2,'Tillförd energi'!$B$1:$AQ$1,0),FALSE)</f>
        <v>0</v>
      </c>
      <c r="AE182" s="63">
        <f>VLOOKUP($B182,'Tillförd energi'!$B$1:$AI$720,MATCH(AE$2,'Tillförd energi'!$B$1:$AQ$1,0),FALSE)</f>
        <v>0</v>
      </c>
      <c r="AF182" s="63">
        <f>VLOOKUP($B182,'Tillförd energi'!$B$1:$AI$720,MATCH(AF$2,'Tillförd energi'!$B$1:$AQ$1,0),FALSE)</f>
        <v>0</v>
      </c>
      <c r="AG182" s="63">
        <f>IFERROR(VLOOKUP(B182,Miljö!$B$1:$AC$550,MATCH("Köpt mängd produktionsspecifik fjärrvärme:",Miljö!$B$1:$AC$1,0),FALSE)/1,0)</f>
        <v>0</v>
      </c>
      <c r="AI182" s="63">
        <f t="shared" si="12"/>
        <v>0</v>
      </c>
      <c r="AJ182" s="63" t="str">
        <f>IF(ISERROR(1/VLOOKUP($B182,Leveranser!$B$1:$S$500,MATCH("såld värme (gwh)",Leveranser!$B$1:$S$1,0),FALSE)),"",VLOOKUP($B182,Leveranser!$B$1:$S$500,MATCH("såld värme (gwh)",Leveranser!$B$1:$S$1,0),FALSE))</f>
        <v/>
      </c>
      <c r="AM182" s="63" t="str">
        <f>IF(B182&lt;&gt;"",IF(VLOOKUP($B182,Totalt!$B$1:$AQ$554,MATCH("Kvalitetsgranskad:",Totalt!$B$1:$AQ$1,0),FALSE)="ja",VLOOKUP($B182,Miljö!$B$1:$AG$479,MATCH(AM$2,Miljö!$B$1:$AK$1,0),FALSE),""),"")</f>
        <v/>
      </c>
      <c r="AN182" s="63" t="str">
        <f>IF(AM182="ja",VLOOKUP($B182,Miljö!$B$1:$J$479,MATCH("Typ av ursprungsspecificerad el   (Om inget värde anges används Nordisk residualmix, se inforuta) ()",Miljö!$B$1:$J$1,0),FALSE),IF(AM182="nej","Nordisk residualel",""))</f>
        <v/>
      </c>
      <c r="AO182" s="63" t="str">
        <f>IF(AM182="","",VLOOKUP($B182,Miljö!$B$1:$J$479,MATCH("Fossilandel för ursprungspecificerad el ()",Miljö!$B$1:$J$1,0),FALSE))</f>
        <v/>
      </c>
      <c r="AQ182" s="63" t="str">
        <f t="shared" si="13"/>
        <v/>
      </c>
      <c r="AS182" s="63" t="str">
        <f t="shared" si="14"/>
        <v>Nej</v>
      </c>
      <c r="AT182" s="63" t="str">
        <f>IF(AS182="ja",VLOOKUP($B182,Miljö!$B$1:$P$500,MATCH("Fossil andel i procent (%)",Miljö!$B$1:$P$1,0),FALSE)/100,"")</f>
        <v/>
      </c>
      <c r="AV182" s="63" t="str">
        <f t="shared" si="15"/>
        <v>Nej</v>
      </c>
      <c r="AW182" s="63" t="str">
        <f>IF(AV182="ja",VLOOKUP($B182,'Egen hetvattenprod'!$B$1:$AO$500,MATCH("Värmekälla till värmepumpar ()",'Egen hetvattenprod'!$B$1:$AO$1,0),FALSE),"")</f>
        <v/>
      </c>
      <c r="AY182" s="63" t="str">
        <f t="shared" si="16"/>
        <v>Nej</v>
      </c>
      <c r="AZ182" s="77" t="str">
        <f>IF($AY182="ja",(VLOOKUP($B182,'Egen hetvattenprod'!$B$1:$BX$550,MATCH(AZ$2,'Egen hetvattenprod'!$B$1:$BX$1,0),FALSE)+VLOOKUP($B182,Kraftvärmeprod!$B$1:$BX$550,MATCH(AZ$2,Kraftvärmeprod!$B$1:$BX$1,0),FALSE))/$AC182,"")</f>
        <v/>
      </c>
      <c r="BA182" s="77" t="str">
        <f>IF($AY182="ja",(VLOOKUP($B182,'Egen hetvattenprod'!$B$1:$BX$550,MATCH(BA$2,'Egen hetvattenprod'!$B$1:$BX$1,0),FALSE)+VLOOKUP($B182,Kraftvärmeprod!$B$1:$BX$550,MATCH(BA$2,Kraftvärmeprod!$B$1:$BX$1,0),FALSE))/$AC182,"")</f>
        <v/>
      </c>
      <c r="BB182" s="77" t="str">
        <f>IF($AY182="ja",(VLOOKUP($B182,'Egen hetvattenprod'!$B$1:$BX$550,MATCH(BB$2,'Egen hetvattenprod'!$B$1:$BX$1,0),FALSE)+VLOOKUP($B182,Kraftvärmeprod!$B$1:$BX$550,MATCH(BB$2,Kraftvärmeprod!$B$1:$BX$1,0),FALSE))/$AC182,"")</f>
        <v/>
      </c>
      <c r="BC182" s="77" t="str">
        <f>IF($AY182="ja",(VLOOKUP($B182,'Egen hetvattenprod'!$B$1:$BX$550,MATCH(BC$2,'Egen hetvattenprod'!$B$1:$BX$1,0),FALSE)+VLOOKUP($B182,Kraftvärmeprod!$B$1:$BX$550,MATCH(BC$2,Kraftvärmeprod!$B$1:$BX$1,0),FALSE))/$AC182,"")</f>
        <v/>
      </c>
      <c r="BD182" s="77" t="str">
        <f>IF($AY182="ja",(VLOOKUP($B182,'Egen hetvattenprod'!$B$1:$BX$550,MATCH(BD$2,'Egen hetvattenprod'!$B$1:$BX$1,0),FALSE)+VLOOKUP($B182,Kraftvärmeprod!$B$1:$BX$550,MATCH(BD$2,Kraftvärmeprod!$B$1:$BX$1,0),FALSE))/$AC182,"")</f>
        <v/>
      </c>
      <c r="BF182" s="63" t="str">
        <f t="shared" si="17"/>
        <v>Nej</v>
      </c>
      <c r="BG182" s="63" t="str">
        <f>IF($BF182="ja",VLOOKUP($B182,'Egen hetvattenprod'!$B$1:$BX$550,MATCH("Andelen klimatgaser med fossilt ursprung för avfall ()",'Egen hetvattenprod'!$B$1:$BX$1,0),FALSE),"")</f>
        <v/>
      </c>
      <c r="BH182" s="63" t="str">
        <f>IF($BF182="ja",VLOOKUP($B182,Kraftvärmeprod!$B$1:$BX$550,MATCH("Andelen klimatgaser med fossilt ursprung för avfall ()",Kraftvärmeprod!$B$1:$BX$1,0),FALSE),"")</f>
        <v/>
      </c>
      <c r="BI182" s="63" t="str">
        <f>IF($BF182="ja",VLOOKUP($B182,'Egen hetvattenprod'!$B$1:$BX$550,MATCH("Avfall (GWh)",'Egen hetvattenprod'!$B$1:$BX$1,0),FALSE),"")</f>
        <v/>
      </c>
      <c r="BJ182" s="63" t="str">
        <f>IF($BF182="ja",VLOOKUP($B182,'Slutlig allokering kvv'!$B$1:$BX$550,MATCH("Avfall (GWh)",'Slutlig allokering kvv'!$B$1:$BX$1,0),FALSE),"")</f>
        <v/>
      </c>
      <c r="BK182" s="63" t="str">
        <f>IF($BF182="ja",VLOOKUP($B182,'Köpt hetvatten'!$B$1:$BX$550,MATCH("Avfall i köpt hetvatten",'Köpt hetvatten'!$B$1:$BX$1,0),FALSE),"")</f>
        <v/>
      </c>
      <c r="BL182" s="63" t="str">
        <f>IF($BF182="ja",VLOOKUP($B182,'Egen hetvattenprod'!$B$1:$BX$550,MATCH("Värde enligt ovan. (%)",'Egen hetvattenprod'!$B$1:$BX$1,0),FALSE),"")</f>
        <v/>
      </c>
      <c r="BM182" s="63" t="str">
        <f>IF($BF182="ja",VLOOKUP($B182,Kraftvärmeprod!$B$1:$BX$550,MATCH("Värde enligt ovan. (%)",Kraftvärmeprod!$B$1:$BX$1,0),FALSE),"")</f>
        <v/>
      </c>
    </row>
    <row r="183" spans="1:65" x14ac:dyDescent="0.45">
      <c r="A183" s="63" t="s">
        <v>438</v>
      </c>
      <c r="B183" s="63" t="s">
        <v>437</v>
      </c>
      <c r="C183" s="63">
        <f>VLOOKUP($B183,'Tillförd energi'!$B$1:$AI$720,MATCH(C$2,'Tillförd energi'!$B$1:$AQ$1,0),FALSE)</f>
        <v>0</v>
      </c>
      <c r="D183" s="63">
        <f>VLOOKUP($B183,'Tillförd energi'!$B$1:$AI$720,MATCH(D$2,'Tillförd energi'!$B$1:$AQ$1,0),FALSE)</f>
        <v>0</v>
      </c>
      <c r="E183" s="63">
        <f>VLOOKUP($B183,'Tillförd energi'!$B$1:$AI$720,MATCH(E$2,'Tillförd energi'!$B$1:$AQ$1,0),FALSE)</f>
        <v>0</v>
      </c>
      <c r="F183" s="63">
        <f>VLOOKUP($B183,'Tillförd energi'!$B$1:$AI$720,MATCH(F$2,'Tillförd energi'!$B$1:$AQ$1,0),FALSE)</f>
        <v>0</v>
      </c>
      <c r="G183" s="63">
        <f>VLOOKUP($B183,'Tillförd energi'!$B$1:$AI$720,MATCH(G$2,'Tillförd energi'!$B$1:$AQ$1,0),FALSE)</f>
        <v>0</v>
      </c>
      <c r="H183" s="63">
        <f>VLOOKUP($B183,'Tillförd energi'!$B$1:$AI$720,MATCH(H$2,'Tillförd energi'!$B$1:$AQ$1,0),FALSE)</f>
        <v>0</v>
      </c>
      <c r="I183" s="63">
        <f>VLOOKUP($B183,'Tillförd energi'!$B$1:$AI$720,MATCH(I$2,'Tillförd energi'!$B$1:$AQ$1,0),FALSE)</f>
        <v>0</v>
      </c>
      <c r="J183" s="63">
        <f>VLOOKUP($B183,'Tillförd energi'!$B$1:$AI$720,MATCH(J$2,'Tillförd energi'!$B$1:$AQ$1,0),FALSE)</f>
        <v>0</v>
      </c>
      <c r="K183" s="63">
        <f>VLOOKUP($B183,'Tillförd energi'!$B$1:$AI$720,MATCH(K$2,'Tillförd energi'!$B$1:$AQ$1,0),FALSE)</f>
        <v>0</v>
      </c>
      <c r="L183" s="63">
        <f>VLOOKUP($B183,'Tillförd energi'!$B$1:$AI$720,MATCH(L$2,'Tillförd energi'!$B$1:$AQ$1,0),FALSE)</f>
        <v>0</v>
      </c>
      <c r="M183" s="63">
        <f>VLOOKUP($B183,'Tillförd energi'!$B$1:$AI$720,MATCH(M$2,'Tillförd energi'!$B$1:$AQ$1,0),FALSE)</f>
        <v>0</v>
      </c>
      <c r="N183" s="63">
        <f>VLOOKUP($B183,'Tillförd energi'!$B$1:$AI$720,MATCH(N$2,'Tillförd energi'!$B$1:$AQ$1,0),FALSE)</f>
        <v>0</v>
      </c>
      <c r="O183" s="63">
        <f>VLOOKUP($B183,'Tillförd energi'!$B$1:$AI$720,MATCH(O$2,'Tillförd energi'!$B$1:$AQ$1,0),FALSE)</f>
        <v>0</v>
      </c>
      <c r="P183" s="63">
        <f>VLOOKUP($B183,'Tillförd energi'!$B$1:$AI$720,MATCH(P$2,'Tillförd energi'!$B$1:$AQ$1,0),FALSE)</f>
        <v>0</v>
      </c>
      <c r="Q183" s="63">
        <f>VLOOKUP($B183,'Tillförd energi'!$B$1:$AI$720,MATCH(Q$2,'Tillförd energi'!$B$1:$AQ$1,0),FALSE)</f>
        <v>0</v>
      </c>
      <c r="R183" s="63">
        <f>VLOOKUP($B183,'Tillförd energi'!$B$1:$AI$720,MATCH(R$2,'Tillförd energi'!$B$1:$AQ$1,0),FALSE)</f>
        <v>0</v>
      </c>
      <c r="S183" s="63">
        <f>VLOOKUP($B183,'Tillförd energi'!$B$1:$AI$720,MATCH(S$2,'Tillförd energi'!$B$1:$AQ$1,0),FALSE)</f>
        <v>0</v>
      </c>
      <c r="T183" s="63">
        <f>VLOOKUP($B183,'Tillförd energi'!$B$1:$AI$720,MATCH(T$2,'Tillförd energi'!$B$1:$AQ$1,0),FALSE)</f>
        <v>0</v>
      </c>
      <c r="U183" s="63">
        <f>VLOOKUP($B183,'Tillförd energi'!$B$1:$AI$720,MATCH(U$2,'Tillförd energi'!$B$1:$AQ$1,0),FALSE)</f>
        <v>0</v>
      </c>
      <c r="V183" s="63">
        <f>VLOOKUP($B183,'Tillförd energi'!$B$1:$AI$720,MATCH(V$2,'Tillförd energi'!$B$1:$AQ$1,0),FALSE)</f>
        <v>0</v>
      </c>
      <c r="W183" s="63">
        <f>VLOOKUP($B183,'Tillförd energi'!$B$1:$AI$720,MATCH(W$2,'Tillförd energi'!$B$1:$AQ$1,0),FALSE)</f>
        <v>0</v>
      </c>
      <c r="X183" s="63">
        <f>VLOOKUP($B183,'Tillförd energi'!$B$1:$AI$720,MATCH(X$2,'Tillförd energi'!$B$1:$AQ$1,0),FALSE)</f>
        <v>0</v>
      </c>
      <c r="Y183" s="63">
        <f>VLOOKUP($B183,'Tillförd energi'!$B$1:$AI$720,MATCH(Y$2,'Tillförd energi'!$B$1:$AQ$1,0),FALSE)</f>
        <v>0</v>
      </c>
      <c r="Z183" s="63">
        <f>VLOOKUP($B183,'Tillförd energi'!$B$1:$AI$720,MATCH(Z$2,'Tillförd energi'!$B$1:$AQ$1,0),FALSE)</f>
        <v>0</v>
      </c>
      <c r="AA183" s="63">
        <f>VLOOKUP($B183,'Tillförd energi'!$B$1:$AI$720,MATCH(AA$2,'Tillförd energi'!$B$1:$AQ$1,0),FALSE)</f>
        <v>0</v>
      </c>
      <c r="AB183" s="63">
        <f>VLOOKUP($B183,'Tillförd energi'!$B$1:$AI$720,MATCH(AB$2,'Tillförd energi'!$B$1:$AQ$1,0),FALSE)</f>
        <v>0</v>
      </c>
      <c r="AC183" s="63">
        <f>VLOOKUP($B183,'Tillförd energi'!$B$1:$AI$720,MATCH(AC$2,'Tillförd energi'!$B$1:$AQ$1,0),FALSE)</f>
        <v>0</v>
      </c>
      <c r="AD183" s="63">
        <f>VLOOKUP($B183,'Tillförd energi'!$B$1:$AI$720,MATCH(AD$2,'Tillförd energi'!$B$1:$AQ$1,0),FALSE)</f>
        <v>0</v>
      </c>
      <c r="AE183" s="63">
        <f>VLOOKUP($B183,'Tillförd energi'!$B$1:$AI$720,MATCH(AE$2,'Tillförd energi'!$B$1:$AQ$1,0),FALSE)</f>
        <v>0</v>
      </c>
      <c r="AF183" s="63">
        <f>VLOOKUP($B183,'Tillförd energi'!$B$1:$AI$720,MATCH(AF$2,'Tillförd energi'!$B$1:$AQ$1,0),FALSE)</f>
        <v>0</v>
      </c>
      <c r="AG183" s="63">
        <f>IFERROR(VLOOKUP(B183,Miljö!$B$1:$AC$550,MATCH("Köpt mängd produktionsspecifik fjärrvärme:",Miljö!$B$1:$AC$1,0),FALSE)/1,0)</f>
        <v>0</v>
      </c>
      <c r="AI183" s="63">
        <f t="shared" si="12"/>
        <v>0</v>
      </c>
      <c r="AJ183" s="63" t="str">
        <f>IF(ISERROR(1/VLOOKUP($B183,Leveranser!$B$1:$S$500,MATCH("såld värme (gwh)",Leveranser!$B$1:$S$1,0),FALSE)),"",VLOOKUP($B183,Leveranser!$B$1:$S$500,MATCH("såld värme (gwh)",Leveranser!$B$1:$S$1,0),FALSE))</f>
        <v/>
      </c>
      <c r="AM183" s="63" t="str">
        <f>IF(B183&lt;&gt;"",IF(VLOOKUP($B183,Totalt!$B$1:$AQ$554,MATCH("Kvalitetsgranskad:",Totalt!$B$1:$AQ$1,0),FALSE)="ja",VLOOKUP($B183,Miljö!$B$1:$AG$479,MATCH(AM$2,Miljö!$B$1:$AK$1,0),FALSE),""),"")</f>
        <v/>
      </c>
      <c r="AN183" s="63" t="str">
        <f>IF(AM183="ja",VLOOKUP($B183,Miljö!$B$1:$J$479,MATCH("Typ av ursprungsspecificerad el   (Om inget värde anges används Nordisk residualmix, se inforuta) ()",Miljö!$B$1:$J$1,0),FALSE),IF(AM183="nej","Nordisk residualel",""))</f>
        <v/>
      </c>
      <c r="AO183" s="63" t="str">
        <f>IF(AM183="","",VLOOKUP($B183,Miljö!$B$1:$J$479,MATCH("Fossilandel för ursprungspecificerad el ()",Miljö!$B$1:$J$1,0),FALSE))</f>
        <v/>
      </c>
      <c r="AQ183" s="63" t="str">
        <f t="shared" si="13"/>
        <v/>
      </c>
      <c r="AS183" s="63" t="str">
        <f t="shared" si="14"/>
        <v>Nej</v>
      </c>
      <c r="AT183" s="63" t="str">
        <f>IF(AS183="ja",VLOOKUP($B183,Miljö!$B$1:$P$500,MATCH("Fossil andel i procent (%)",Miljö!$B$1:$P$1,0),FALSE)/100,"")</f>
        <v/>
      </c>
      <c r="AV183" s="63" t="str">
        <f t="shared" si="15"/>
        <v>Nej</v>
      </c>
      <c r="AW183" s="63" t="str">
        <f>IF(AV183="ja",VLOOKUP($B183,'Egen hetvattenprod'!$B$1:$AO$500,MATCH("Värmekälla till värmepumpar ()",'Egen hetvattenprod'!$B$1:$AO$1,0),FALSE),"")</f>
        <v/>
      </c>
      <c r="AY183" s="63" t="str">
        <f t="shared" si="16"/>
        <v>Nej</v>
      </c>
      <c r="AZ183" s="77" t="str">
        <f>IF($AY183="ja",(VLOOKUP($B183,'Egen hetvattenprod'!$B$1:$BX$550,MATCH(AZ$2,'Egen hetvattenprod'!$B$1:$BX$1,0),FALSE)+VLOOKUP($B183,Kraftvärmeprod!$B$1:$BX$550,MATCH(AZ$2,Kraftvärmeprod!$B$1:$BX$1,0),FALSE))/$AC183,"")</f>
        <v/>
      </c>
      <c r="BA183" s="77" t="str">
        <f>IF($AY183="ja",(VLOOKUP($B183,'Egen hetvattenprod'!$B$1:$BX$550,MATCH(BA$2,'Egen hetvattenprod'!$B$1:$BX$1,0),FALSE)+VLOOKUP($B183,Kraftvärmeprod!$B$1:$BX$550,MATCH(BA$2,Kraftvärmeprod!$B$1:$BX$1,0),FALSE))/$AC183,"")</f>
        <v/>
      </c>
      <c r="BB183" s="77" t="str">
        <f>IF($AY183="ja",(VLOOKUP($B183,'Egen hetvattenprod'!$B$1:$BX$550,MATCH(BB$2,'Egen hetvattenprod'!$B$1:$BX$1,0),FALSE)+VLOOKUP($B183,Kraftvärmeprod!$B$1:$BX$550,MATCH(BB$2,Kraftvärmeprod!$B$1:$BX$1,0),FALSE))/$AC183,"")</f>
        <v/>
      </c>
      <c r="BC183" s="77" t="str">
        <f>IF($AY183="ja",(VLOOKUP($B183,'Egen hetvattenprod'!$B$1:$BX$550,MATCH(BC$2,'Egen hetvattenprod'!$B$1:$BX$1,0),FALSE)+VLOOKUP($B183,Kraftvärmeprod!$B$1:$BX$550,MATCH(BC$2,Kraftvärmeprod!$B$1:$BX$1,0),FALSE))/$AC183,"")</f>
        <v/>
      </c>
      <c r="BD183" s="77" t="str">
        <f>IF($AY183="ja",(VLOOKUP($B183,'Egen hetvattenprod'!$B$1:$BX$550,MATCH(BD$2,'Egen hetvattenprod'!$B$1:$BX$1,0),FALSE)+VLOOKUP($B183,Kraftvärmeprod!$B$1:$BX$550,MATCH(BD$2,Kraftvärmeprod!$B$1:$BX$1,0),FALSE))/$AC183,"")</f>
        <v/>
      </c>
      <c r="BF183" s="63" t="str">
        <f t="shared" si="17"/>
        <v>Nej</v>
      </c>
      <c r="BG183" s="63" t="str">
        <f>IF($BF183="ja",VLOOKUP($B183,'Egen hetvattenprod'!$B$1:$BX$550,MATCH("Andelen klimatgaser med fossilt ursprung för avfall ()",'Egen hetvattenprod'!$B$1:$BX$1,0),FALSE),"")</f>
        <v/>
      </c>
      <c r="BH183" s="63" t="str">
        <f>IF($BF183="ja",VLOOKUP($B183,Kraftvärmeprod!$B$1:$BX$550,MATCH("Andelen klimatgaser med fossilt ursprung för avfall ()",Kraftvärmeprod!$B$1:$BX$1,0),FALSE),"")</f>
        <v/>
      </c>
      <c r="BI183" s="63" t="str">
        <f>IF($BF183="ja",VLOOKUP($B183,'Egen hetvattenprod'!$B$1:$BX$550,MATCH("Avfall (GWh)",'Egen hetvattenprod'!$B$1:$BX$1,0),FALSE),"")</f>
        <v/>
      </c>
      <c r="BJ183" s="63" t="str">
        <f>IF($BF183="ja",VLOOKUP($B183,'Slutlig allokering kvv'!$B$1:$BX$550,MATCH("Avfall (GWh)",'Slutlig allokering kvv'!$B$1:$BX$1,0),FALSE),"")</f>
        <v/>
      </c>
      <c r="BK183" s="63" t="str">
        <f>IF($BF183="ja",VLOOKUP($B183,'Köpt hetvatten'!$B$1:$BX$550,MATCH("Avfall i köpt hetvatten",'Köpt hetvatten'!$B$1:$BX$1,0),FALSE),"")</f>
        <v/>
      </c>
      <c r="BL183" s="63" t="str">
        <f>IF($BF183="ja",VLOOKUP($B183,'Egen hetvattenprod'!$B$1:$BX$550,MATCH("Värde enligt ovan. (%)",'Egen hetvattenprod'!$B$1:$BX$1,0),FALSE),"")</f>
        <v/>
      </c>
      <c r="BM183" s="63" t="str">
        <f>IF($BF183="ja",VLOOKUP($B183,Kraftvärmeprod!$B$1:$BX$550,MATCH("Värde enligt ovan. (%)",Kraftvärmeprod!$B$1:$BX$1,0),FALSE),"")</f>
        <v/>
      </c>
    </row>
    <row r="184" spans="1:65" x14ac:dyDescent="0.45">
      <c r="A184" s="63" t="s">
        <v>432</v>
      </c>
      <c r="B184" s="63" t="s">
        <v>436</v>
      </c>
      <c r="C184" s="63">
        <f>VLOOKUP($B184,'Tillförd energi'!$B$1:$AI$720,MATCH(C$2,'Tillförd energi'!$B$1:$AQ$1,0),FALSE)</f>
        <v>0</v>
      </c>
      <c r="D184" s="63">
        <f>VLOOKUP($B184,'Tillförd energi'!$B$1:$AI$720,MATCH(D$2,'Tillförd energi'!$B$1:$AQ$1,0),FALSE)</f>
        <v>0.71</v>
      </c>
      <c r="E184" s="63">
        <f>VLOOKUP($B184,'Tillförd energi'!$B$1:$AI$720,MATCH(E$2,'Tillförd energi'!$B$1:$AQ$1,0),FALSE)</f>
        <v>0</v>
      </c>
      <c r="F184" s="63">
        <f>VLOOKUP($B184,'Tillförd energi'!$B$1:$AI$720,MATCH(F$2,'Tillförd energi'!$B$1:$AQ$1,0),FALSE)</f>
        <v>0</v>
      </c>
      <c r="G184" s="63">
        <f>VLOOKUP($B184,'Tillförd energi'!$B$1:$AI$720,MATCH(G$2,'Tillförd energi'!$B$1:$AQ$1,0),FALSE)</f>
        <v>0</v>
      </c>
      <c r="H184" s="63">
        <f>VLOOKUP($B184,'Tillförd energi'!$B$1:$AI$720,MATCH(H$2,'Tillförd energi'!$B$1:$AQ$1,0),FALSE)</f>
        <v>0</v>
      </c>
      <c r="I184" s="63">
        <f>VLOOKUP($B184,'Tillförd energi'!$B$1:$AI$720,MATCH(I$2,'Tillförd energi'!$B$1:$AQ$1,0),FALSE)</f>
        <v>0</v>
      </c>
      <c r="J184" s="63">
        <f>VLOOKUP($B184,'Tillförd energi'!$B$1:$AI$720,MATCH(J$2,'Tillförd energi'!$B$1:$AQ$1,0),FALSE)</f>
        <v>0</v>
      </c>
      <c r="K184" s="63">
        <f>VLOOKUP($B184,'Tillförd energi'!$B$1:$AI$720,MATCH(K$2,'Tillförd energi'!$B$1:$AQ$1,0),FALSE)</f>
        <v>0</v>
      </c>
      <c r="L184" s="63">
        <f>VLOOKUP($B184,'Tillförd energi'!$B$1:$AI$720,MATCH(L$2,'Tillförd energi'!$B$1:$AQ$1,0),FALSE)</f>
        <v>30.7</v>
      </c>
      <c r="M184" s="63">
        <f>VLOOKUP($B184,'Tillförd energi'!$B$1:$AI$720,MATCH(M$2,'Tillförd energi'!$B$1:$AQ$1,0),FALSE)</f>
        <v>0</v>
      </c>
      <c r="N184" s="63">
        <f>VLOOKUP($B184,'Tillförd energi'!$B$1:$AI$720,MATCH(N$2,'Tillförd energi'!$B$1:$AQ$1,0),FALSE)</f>
        <v>2.4</v>
      </c>
      <c r="O184" s="63">
        <f>VLOOKUP($B184,'Tillförd energi'!$B$1:$AI$720,MATCH(O$2,'Tillförd energi'!$B$1:$AQ$1,0),FALSE)</f>
        <v>0</v>
      </c>
      <c r="P184" s="63">
        <f>VLOOKUP($B184,'Tillförd energi'!$B$1:$AI$720,MATCH(P$2,'Tillförd energi'!$B$1:$AQ$1,0),FALSE)</f>
        <v>0</v>
      </c>
      <c r="Q184" s="63">
        <f>VLOOKUP($B184,'Tillförd energi'!$B$1:$AI$720,MATCH(Q$2,'Tillförd energi'!$B$1:$AQ$1,0),FALSE)</f>
        <v>0</v>
      </c>
      <c r="R184" s="63">
        <f>VLOOKUP($B184,'Tillförd energi'!$B$1:$AI$720,MATCH(R$2,'Tillförd energi'!$B$1:$AQ$1,0),FALSE)</f>
        <v>9.91</v>
      </c>
      <c r="S184" s="63">
        <f>VLOOKUP($B184,'Tillförd energi'!$B$1:$AI$720,MATCH(S$2,'Tillförd energi'!$B$1:$AQ$1,0),FALSE)</f>
        <v>0</v>
      </c>
      <c r="T184" s="63">
        <f>VLOOKUP($B184,'Tillförd energi'!$B$1:$AI$720,MATCH(T$2,'Tillförd energi'!$B$1:$AQ$1,0),FALSE)</f>
        <v>0</v>
      </c>
      <c r="U184" s="63">
        <f>VLOOKUP($B184,'Tillförd energi'!$B$1:$AI$720,MATCH(U$2,'Tillförd energi'!$B$1:$AQ$1,0),FALSE)</f>
        <v>0</v>
      </c>
      <c r="V184" s="63">
        <f>VLOOKUP($B184,'Tillförd energi'!$B$1:$AI$720,MATCH(V$2,'Tillförd energi'!$B$1:$AQ$1,0),FALSE)</f>
        <v>0</v>
      </c>
      <c r="W184" s="63">
        <f>VLOOKUP($B184,'Tillförd energi'!$B$1:$AI$720,MATCH(W$2,'Tillförd energi'!$B$1:$AQ$1,0),FALSE)</f>
        <v>0</v>
      </c>
      <c r="X184" s="63">
        <f>VLOOKUP($B184,'Tillförd energi'!$B$1:$AI$720,MATCH(X$2,'Tillförd energi'!$B$1:$AQ$1,0),FALSE)</f>
        <v>0</v>
      </c>
      <c r="Y184" s="63">
        <f>VLOOKUP($B184,'Tillförd energi'!$B$1:$AI$720,MATCH(Y$2,'Tillförd energi'!$B$1:$AQ$1,0),FALSE)</f>
        <v>0</v>
      </c>
      <c r="Z184" s="63">
        <f>VLOOKUP($B184,'Tillförd energi'!$B$1:$AI$720,MATCH(Z$2,'Tillförd energi'!$B$1:$AQ$1,0),FALSE)</f>
        <v>0</v>
      </c>
      <c r="AA184" s="63">
        <f>VLOOKUP($B184,'Tillförd energi'!$B$1:$AI$720,MATCH(AA$2,'Tillförd energi'!$B$1:$AQ$1,0),FALSE)</f>
        <v>0</v>
      </c>
      <c r="AB184" s="63">
        <f>VLOOKUP($B184,'Tillförd energi'!$B$1:$AI$720,MATCH(AB$2,'Tillförd energi'!$B$1:$AQ$1,0),FALSE)</f>
        <v>0</v>
      </c>
      <c r="AC184" s="63">
        <f>VLOOKUP($B184,'Tillförd energi'!$B$1:$AI$720,MATCH(AC$2,'Tillförd energi'!$B$1:$AQ$1,0),FALSE)</f>
        <v>3.61</v>
      </c>
      <c r="AD184" s="63">
        <f>VLOOKUP($B184,'Tillförd energi'!$B$1:$AI$720,MATCH(AD$2,'Tillförd energi'!$B$1:$AQ$1,0),FALSE)</f>
        <v>0</v>
      </c>
      <c r="AE184" s="63">
        <f>VLOOKUP($B184,'Tillförd energi'!$B$1:$AI$720,MATCH(AE$2,'Tillförd energi'!$B$1:$AQ$1,0),FALSE)</f>
        <v>0</v>
      </c>
      <c r="AF184" s="63">
        <f>VLOOKUP($B184,'Tillförd energi'!$B$1:$AI$720,MATCH(AF$2,'Tillförd energi'!$B$1:$AQ$1,0),FALSE)</f>
        <v>0.95199999999999996</v>
      </c>
      <c r="AG184" s="63">
        <f>IFERROR(VLOOKUP(B184,Miljö!$B$1:$AC$550,MATCH("Köpt mängd produktionsspecifik fjärrvärme:",Miljö!$B$1:$AC$1,0),FALSE)/1,0)</f>
        <v>0</v>
      </c>
      <c r="AI184" s="63">
        <f t="shared" si="12"/>
        <v>48.281999999999996</v>
      </c>
      <c r="AJ184" s="63">
        <f>IF(ISERROR(1/VLOOKUP($B184,Leveranser!$B$1:$S$500,MATCH("såld värme (gwh)",Leveranser!$B$1:$S$1,0),FALSE)),"",VLOOKUP($B184,Leveranser!$B$1:$S$500,MATCH("såld värme (gwh)",Leveranser!$B$1:$S$1,0),FALSE))</f>
        <v>38.299999999999997</v>
      </c>
      <c r="AM184" s="63" t="str">
        <f>IF(B184&lt;&gt;"",IF(VLOOKUP($B184,Totalt!$B$1:$AQ$554,MATCH("Kvalitetsgranskad:",Totalt!$B$1:$AQ$1,0),FALSE)="ja",VLOOKUP($B184,Miljö!$B$1:$AG$479,MATCH(AM$2,Miljö!$B$1:$AK$1,0),FALSE),""),"")</f>
        <v>Ja</v>
      </c>
      <c r="AN184" s="63" t="str">
        <f>IF(AM184="ja",VLOOKUP($B184,Miljö!$B$1:$J$479,MATCH("Typ av ursprungsspecificerad el   (Om inget värde anges används Nordisk residualmix, se inforuta) ()",Miljö!$B$1:$J$1,0),FALSE),IF(AM184="nej","Nordisk residualel",""))</f>
        <v>'Ursprungsmärkt Vattenkraft'</v>
      </c>
      <c r="AO184" s="63">
        <f>IF(AM184="","",VLOOKUP($B184,Miljö!$B$1:$J$479,MATCH("Fossilandel för ursprungspecificerad el ()",Miljö!$B$1:$J$1,0),FALSE))</f>
        <v>0</v>
      </c>
      <c r="AQ184" s="63">
        <f t="shared" si="13"/>
        <v>1</v>
      </c>
      <c r="AS184" s="63" t="str">
        <f t="shared" si="14"/>
        <v>Nej</v>
      </c>
      <c r="AT184" s="63" t="str">
        <f>IF(AS184="ja",VLOOKUP($B184,Miljö!$B$1:$P$500,MATCH("Fossil andel i procent (%)",Miljö!$B$1:$P$1,0),FALSE)/100,"")</f>
        <v/>
      </c>
      <c r="AV184" s="63" t="str">
        <f t="shared" si="15"/>
        <v>Nej</v>
      </c>
      <c r="AW184" s="63" t="str">
        <f>IF(AV184="ja",VLOOKUP($B184,'Egen hetvattenprod'!$B$1:$AO$500,MATCH("Värmekälla till värmepumpar ()",'Egen hetvattenprod'!$B$1:$AO$1,0),FALSE),"")</f>
        <v/>
      </c>
      <c r="AY184" s="63" t="str">
        <f t="shared" si="16"/>
        <v>Ja</v>
      </c>
      <c r="AZ184" s="77">
        <f>IF($AY184="ja",(VLOOKUP($B184,'Egen hetvattenprod'!$B$1:$BX$550,MATCH(AZ$2,'Egen hetvattenprod'!$B$1:$BX$1,0),FALSE)+VLOOKUP($B184,Kraftvärmeprod!$B$1:$BX$550,MATCH(AZ$2,Kraftvärmeprod!$B$1:$BX$1,0),FALSE))/$AC184,"")</f>
        <v>1</v>
      </c>
      <c r="BA184" s="77">
        <f>IF($AY184="ja",(VLOOKUP($B184,'Egen hetvattenprod'!$B$1:$BX$550,MATCH(BA$2,'Egen hetvattenprod'!$B$1:$BX$1,0),FALSE)+VLOOKUP($B184,Kraftvärmeprod!$B$1:$BX$550,MATCH(BA$2,Kraftvärmeprod!$B$1:$BX$1,0),FALSE))/$AC184,"")</f>
        <v>0</v>
      </c>
      <c r="BB184" s="77">
        <f>IF($AY184="ja",(VLOOKUP($B184,'Egen hetvattenprod'!$B$1:$BX$550,MATCH(BB$2,'Egen hetvattenprod'!$B$1:$BX$1,0),FALSE)+VLOOKUP($B184,Kraftvärmeprod!$B$1:$BX$550,MATCH(BB$2,Kraftvärmeprod!$B$1:$BX$1,0),FALSE))/$AC184,"")</f>
        <v>0</v>
      </c>
      <c r="BC184" s="77">
        <f>IF($AY184="ja",(VLOOKUP($B184,'Egen hetvattenprod'!$B$1:$BX$550,MATCH(BC$2,'Egen hetvattenprod'!$B$1:$BX$1,0),FALSE)+VLOOKUP($B184,Kraftvärmeprod!$B$1:$BX$550,MATCH(BC$2,Kraftvärmeprod!$B$1:$BX$1,0),FALSE))/$AC184,"")</f>
        <v>0</v>
      </c>
      <c r="BD184" s="77">
        <f>IF($AY184="ja",(VLOOKUP($B184,'Egen hetvattenprod'!$B$1:$BX$550,MATCH(BD$2,'Egen hetvattenprod'!$B$1:$BX$1,0),FALSE)+VLOOKUP($B184,Kraftvärmeprod!$B$1:$BX$550,MATCH(BD$2,Kraftvärmeprod!$B$1:$BX$1,0),FALSE))/$AC184,"")</f>
        <v>0</v>
      </c>
      <c r="BF184" s="63" t="str">
        <f t="shared" si="17"/>
        <v>Nej</v>
      </c>
      <c r="BG184" s="63" t="str">
        <f>IF($BF184="ja",VLOOKUP($B184,'Egen hetvattenprod'!$B$1:$BX$550,MATCH("Andelen klimatgaser med fossilt ursprung för avfall ()",'Egen hetvattenprod'!$B$1:$BX$1,0),FALSE),"")</f>
        <v/>
      </c>
      <c r="BH184" s="63" t="str">
        <f>IF($BF184="ja",VLOOKUP($B184,Kraftvärmeprod!$B$1:$BX$550,MATCH("Andelen klimatgaser med fossilt ursprung för avfall ()",Kraftvärmeprod!$B$1:$BX$1,0),FALSE),"")</f>
        <v/>
      </c>
      <c r="BI184" s="63" t="str">
        <f>IF($BF184="ja",VLOOKUP($B184,'Egen hetvattenprod'!$B$1:$BX$550,MATCH("Avfall (GWh)",'Egen hetvattenprod'!$B$1:$BX$1,0),FALSE),"")</f>
        <v/>
      </c>
      <c r="BJ184" s="63" t="str">
        <f>IF($BF184="ja",VLOOKUP($B184,'Slutlig allokering kvv'!$B$1:$BX$550,MATCH("Avfall (GWh)",'Slutlig allokering kvv'!$B$1:$BX$1,0),FALSE),"")</f>
        <v/>
      </c>
      <c r="BK184" s="63" t="str">
        <f>IF($BF184="ja",VLOOKUP($B184,'Köpt hetvatten'!$B$1:$BX$550,MATCH("Avfall i köpt hetvatten",'Köpt hetvatten'!$B$1:$BX$1,0),FALSE),"")</f>
        <v/>
      </c>
      <c r="BL184" s="63" t="str">
        <f>IF($BF184="ja",VLOOKUP($B184,'Egen hetvattenprod'!$B$1:$BX$550,MATCH("Värde enligt ovan. (%)",'Egen hetvattenprod'!$B$1:$BX$1,0),FALSE),"")</f>
        <v/>
      </c>
      <c r="BM184" s="63" t="str">
        <f>IF($BF184="ja",VLOOKUP($B184,Kraftvärmeprod!$B$1:$BX$550,MATCH("Värde enligt ovan. (%)",Kraftvärmeprod!$B$1:$BX$1,0),FALSE),"")</f>
        <v/>
      </c>
    </row>
    <row r="185" spans="1:65" x14ac:dyDescent="0.45">
      <c r="A185" s="63" t="s">
        <v>432</v>
      </c>
      <c r="B185" s="63" t="s">
        <v>434</v>
      </c>
      <c r="C185" s="63">
        <f>VLOOKUP($B185,'Tillförd energi'!$B$1:$AI$720,MATCH(C$2,'Tillförd energi'!$B$1:$AQ$1,0),FALSE)</f>
        <v>68.81</v>
      </c>
      <c r="D185" s="63">
        <f>VLOOKUP($B185,'Tillförd energi'!$B$1:$AI$720,MATCH(D$2,'Tillförd energi'!$B$1:$AQ$1,0),FALSE)</f>
        <v>17.47</v>
      </c>
      <c r="E185" s="63">
        <f>VLOOKUP($B185,'Tillförd energi'!$B$1:$AI$720,MATCH(E$2,'Tillförd energi'!$B$1:$AQ$1,0),FALSE)</f>
        <v>0</v>
      </c>
      <c r="F185" s="63">
        <f>VLOOKUP($B185,'Tillförd energi'!$B$1:$AI$720,MATCH(F$2,'Tillförd energi'!$B$1:$AQ$1,0),FALSE)</f>
        <v>5.35</v>
      </c>
      <c r="G185" s="63">
        <f>VLOOKUP($B185,'Tillförd energi'!$B$1:$AI$720,MATCH(G$2,'Tillförd energi'!$B$1:$AQ$1,0),FALSE)</f>
        <v>0</v>
      </c>
      <c r="H185" s="63">
        <f>VLOOKUP($B185,'Tillförd energi'!$B$1:$AI$720,MATCH(H$2,'Tillförd energi'!$B$1:$AQ$1,0),FALSE)</f>
        <v>0</v>
      </c>
      <c r="I185" s="63">
        <f>VLOOKUP($B185,'Tillförd energi'!$B$1:$AI$720,MATCH(I$2,'Tillförd energi'!$B$1:$AQ$1,0),FALSE)</f>
        <v>523.25</v>
      </c>
      <c r="J185" s="63">
        <f>VLOOKUP($B185,'Tillförd energi'!$B$1:$AI$720,MATCH(J$2,'Tillförd energi'!$B$1:$AQ$1,0),FALSE)</f>
        <v>1.8235300000000001</v>
      </c>
      <c r="K185" s="63">
        <f>VLOOKUP($B185,'Tillförd energi'!$B$1:$AI$720,MATCH(K$2,'Tillförd energi'!$B$1:$AQ$1,0),FALSE)</f>
        <v>0</v>
      </c>
      <c r="L185" s="63">
        <f>VLOOKUP($B185,'Tillförd energi'!$B$1:$AI$720,MATCH(L$2,'Tillförd energi'!$B$1:$AQ$1,0),FALSE)</f>
        <v>116.98</v>
      </c>
      <c r="M185" s="63">
        <f>VLOOKUP($B185,'Tillförd energi'!$B$1:$AI$720,MATCH(M$2,'Tillförd energi'!$B$1:$AQ$1,0),FALSE)</f>
        <v>44.72</v>
      </c>
      <c r="N185" s="63">
        <f>VLOOKUP($B185,'Tillförd energi'!$B$1:$AI$720,MATCH(N$2,'Tillförd energi'!$B$1:$AQ$1,0),FALSE)</f>
        <v>80.52</v>
      </c>
      <c r="O185" s="63">
        <f>VLOOKUP($B185,'Tillförd energi'!$B$1:$AI$720,MATCH(O$2,'Tillförd energi'!$B$1:$AQ$1,0),FALSE)</f>
        <v>80.599999999999994</v>
      </c>
      <c r="P185" s="63">
        <f>VLOOKUP($B185,'Tillförd energi'!$B$1:$AI$720,MATCH(P$2,'Tillförd energi'!$B$1:$AQ$1,0),FALSE)</f>
        <v>116.12</v>
      </c>
      <c r="Q185" s="63">
        <f>VLOOKUP($B185,'Tillförd energi'!$B$1:$AI$720,MATCH(Q$2,'Tillförd energi'!$B$1:$AQ$1,0),FALSE)</f>
        <v>0</v>
      </c>
      <c r="R185" s="63">
        <f>VLOOKUP($B185,'Tillförd energi'!$B$1:$AI$720,MATCH(R$2,'Tillförd energi'!$B$1:$AQ$1,0),FALSE)</f>
        <v>0</v>
      </c>
      <c r="S185" s="63">
        <f>VLOOKUP($B185,'Tillförd energi'!$B$1:$AI$720,MATCH(S$2,'Tillförd energi'!$B$1:$AQ$1,0),FALSE)</f>
        <v>0</v>
      </c>
      <c r="T185" s="63">
        <f>VLOOKUP($B185,'Tillförd energi'!$B$1:$AI$720,MATCH(T$2,'Tillförd energi'!$B$1:$AQ$1,0),FALSE)</f>
        <v>0</v>
      </c>
      <c r="U185" s="63">
        <f>VLOOKUP($B185,'Tillförd energi'!$B$1:$AI$720,MATCH(U$2,'Tillförd energi'!$B$1:$AQ$1,0),FALSE)</f>
        <v>0</v>
      </c>
      <c r="V185" s="63">
        <f>VLOOKUP($B185,'Tillförd energi'!$B$1:$AI$720,MATCH(V$2,'Tillförd energi'!$B$1:$AQ$1,0),FALSE)</f>
        <v>11.82</v>
      </c>
      <c r="W185" s="63">
        <f>VLOOKUP($B185,'Tillförd energi'!$B$1:$AI$720,MATCH(W$2,'Tillförd energi'!$B$1:$AQ$1,0),FALSE)</f>
        <v>0</v>
      </c>
      <c r="X185" s="63">
        <f>VLOOKUP($B185,'Tillförd energi'!$B$1:$AI$720,MATCH(X$2,'Tillförd energi'!$B$1:$AQ$1,0),FALSE)</f>
        <v>3.74</v>
      </c>
      <c r="Y185" s="63">
        <f>VLOOKUP($B185,'Tillförd energi'!$B$1:$AI$720,MATCH(Y$2,'Tillförd energi'!$B$1:$AQ$1,0),FALSE)</f>
        <v>44.82</v>
      </c>
      <c r="Z185" s="63">
        <f>VLOOKUP($B185,'Tillförd energi'!$B$1:$AI$720,MATCH(Z$2,'Tillförd energi'!$B$1:$AQ$1,0),FALSE)</f>
        <v>0.99</v>
      </c>
      <c r="AA185" s="63">
        <f>VLOOKUP($B185,'Tillförd energi'!$B$1:$AI$720,MATCH(AA$2,'Tillförd energi'!$B$1:$AQ$1,0),FALSE)</f>
        <v>6.01</v>
      </c>
      <c r="AB185" s="63">
        <f>VLOOKUP($B185,'Tillförd energi'!$B$1:$AI$720,MATCH(AB$2,'Tillförd energi'!$B$1:$AQ$1,0),FALSE)</f>
        <v>17.13</v>
      </c>
      <c r="AC185" s="63">
        <f>VLOOKUP($B185,'Tillförd energi'!$B$1:$AI$720,MATCH(AC$2,'Tillförd energi'!$B$1:$AQ$1,0),FALSE)</f>
        <v>215.64</v>
      </c>
      <c r="AD185" s="63">
        <f>VLOOKUP($B185,'Tillförd energi'!$B$1:$AI$720,MATCH(AD$2,'Tillförd energi'!$B$1:$AQ$1,0),FALSE)</f>
        <v>0</v>
      </c>
      <c r="AE185" s="63">
        <f>VLOOKUP($B185,'Tillförd energi'!$B$1:$AI$720,MATCH(AE$2,'Tillförd energi'!$B$1:$AQ$1,0),FALSE)</f>
        <v>0</v>
      </c>
      <c r="AF185" s="63">
        <f>VLOOKUP($B185,'Tillförd energi'!$B$1:$AI$720,MATCH(AF$2,'Tillförd energi'!$B$1:$AQ$1,0),FALSE)</f>
        <v>61.78</v>
      </c>
      <c r="AG185" s="63">
        <f>IFERROR(VLOOKUP(B185,Miljö!$B$1:$AC$550,MATCH("Köpt mängd produktionsspecifik fjärrvärme:",Miljö!$B$1:$AC$1,0),FALSE)/1,0)</f>
        <v>0</v>
      </c>
      <c r="AI185" s="63">
        <f t="shared" si="12"/>
        <v>1417.5735299999999</v>
      </c>
      <c r="AJ185" s="63">
        <f>IF(ISERROR(1/VLOOKUP($B185,Leveranser!$B$1:$S$500,MATCH("såld värme (gwh)",Leveranser!$B$1:$S$1,0),FALSE)),"",VLOOKUP($B185,Leveranser!$B$1:$S$500,MATCH("såld värme (gwh)",Leveranser!$B$1:$S$1,0),FALSE))</f>
        <v>1437.5</v>
      </c>
      <c r="AM185" s="63" t="str">
        <f>IF(B185&lt;&gt;"",IF(VLOOKUP($B185,Totalt!$B$1:$AQ$554,MATCH("Kvalitetsgranskad:",Totalt!$B$1:$AQ$1,0),FALSE)="ja",VLOOKUP($B185,Miljö!$B$1:$AG$479,MATCH(AM$2,Miljö!$B$1:$AK$1,0),FALSE),""),"")</f>
        <v>Ja</v>
      </c>
      <c r="AN185" s="63" t="str">
        <f>IF(AM185="ja",VLOOKUP($B185,Miljö!$B$1:$J$479,MATCH("Typ av ursprungsspecificerad el   (Om inget värde anges används Nordisk residualmix, se inforuta) ()",Miljö!$B$1:$J$1,0),FALSE),IF(AM185="nej","Nordisk residualel",""))</f>
        <v>'Ursprungsmärkt egen BIO samt vatten'</v>
      </c>
      <c r="AO185" s="63">
        <f>IF(AM185="","",VLOOKUP($B185,Miljö!$B$1:$J$479,MATCH("Fossilandel för ursprungspecificerad el ()",Miljö!$B$1:$J$1,0),FALSE))</f>
        <v>0</v>
      </c>
      <c r="AQ185" s="63">
        <f t="shared" si="13"/>
        <v>1</v>
      </c>
      <c r="AS185" s="63" t="str">
        <f t="shared" si="14"/>
        <v>Nej</v>
      </c>
      <c r="AT185" s="63" t="str">
        <f>IF(AS185="ja",VLOOKUP($B185,Miljö!$B$1:$P$500,MATCH("Fossil andel i procent (%)",Miljö!$B$1:$P$1,0),FALSE)/100,"")</f>
        <v/>
      </c>
      <c r="AV185" s="63" t="str">
        <f t="shared" si="15"/>
        <v>Ja</v>
      </c>
      <c r="AW185" s="63" t="str">
        <f>IF(AV185="ja",VLOOKUP($B185,'Egen hetvattenprod'!$B$1:$AO$500,MATCH("Värmekälla till värmepumpar ()",'Egen hetvattenprod'!$B$1:$AO$1,0),FALSE),"")</f>
        <v>Renat avloppsvatten</v>
      </c>
      <c r="AY185" s="63" t="str">
        <f t="shared" si="16"/>
        <v>Ja</v>
      </c>
      <c r="AZ185" s="77">
        <f>IF($AY185="ja",(VLOOKUP($B185,'Egen hetvattenprod'!$B$1:$BX$550,MATCH(AZ$2,'Egen hetvattenprod'!$B$1:$BX$1,0),FALSE)+VLOOKUP($B185,Kraftvärmeprod!$B$1:$BX$550,MATCH(AZ$2,Kraftvärmeprod!$B$1:$BX$1,0),FALSE))/$AC185,"")</f>
        <v>0.38679999999999998</v>
      </c>
      <c r="BA185" s="77">
        <f>IF($AY185="ja",(VLOOKUP($B185,'Egen hetvattenprod'!$B$1:$BX$550,MATCH(BA$2,'Egen hetvattenprod'!$B$1:$BX$1,0),FALSE)+VLOOKUP($B185,Kraftvärmeprod!$B$1:$BX$550,MATCH(BA$2,Kraftvärmeprod!$B$1:$BX$1,0),FALSE))/$AC185,"")</f>
        <v>0.39529999999999993</v>
      </c>
      <c r="BB185" s="77">
        <f>IF($AY185="ja",(VLOOKUP($B185,'Egen hetvattenprod'!$B$1:$BX$550,MATCH(BB$2,'Egen hetvattenprod'!$B$1:$BX$1,0),FALSE)+VLOOKUP($B185,Kraftvärmeprod!$B$1:$BX$550,MATCH(BB$2,Kraftvärmeprod!$B$1:$BX$1,0),FALSE))/$AC185,"")</f>
        <v>0</v>
      </c>
      <c r="BC185" s="77">
        <f>IF($AY185="ja",(VLOOKUP($B185,'Egen hetvattenprod'!$B$1:$BX$550,MATCH(BC$2,'Egen hetvattenprod'!$B$1:$BX$1,0),FALSE)+VLOOKUP($B185,Kraftvärmeprod!$B$1:$BX$550,MATCH(BC$2,Kraftvärmeprod!$B$1:$BX$1,0),FALSE))/$AC185,"")</f>
        <v>0.21789999999999995</v>
      </c>
      <c r="BD185" s="77">
        <f>IF($AY185="ja",(VLOOKUP($B185,'Egen hetvattenprod'!$B$1:$BX$550,MATCH(BD$2,'Egen hetvattenprod'!$B$1:$BX$1,0),FALSE)+VLOOKUP($B185,Kraftvärmeprod!$B$1:$BX$550,MATCH(BD$2,Kraftvärmeprod!$B$1:$BX$1,0),FALSE))/$AC185,"")</f>
        <v>0</v>
      </c>
      <c r="BF185" s="63" t="str">
        <f t="shared" si="17"/>
        <v>Ja</v>
      </c>
      <c r="BG185" s="63" t="str">
        <f>IF($BF185="ja",VLOOKUP($B185,'Egen hetvattenprod'!$B$1:$BX$550,MATCH("Andelen klimatgaser med fossilt ursprung för avfall ()",'Egen hetvattenprod'!$B$1:$BX$1,0),FALSE),"")</f>
        <v>Mätvärde</v>
      </c>
      <c r="BH185" s="63" t="str">
        <f>IF($BF185="ja",VLOOKUP($B185,Kraftvärmeprod!$B$1:$BX$550,MATCH("Andelen klimatgaser med fossilt ursprung för avfall ()",Kraftvärmeprod!$B$1:$BX$1,0),FALSE),"")</f>
        <v>Mätvärde</v>
      </c>
      <c r="BI185" s="63">
        <f>IF($BF185="ja",VLOOKUP($B185,'Egen hetvattenprod'!$B$1:$BX$550,MATCH("Avfall (GWh)",'Egen hetvattenprod'!$B$1:$BX$1,0),FALSE),"")</f>
        <v>125.93</v>
      </c>
      <c r="BJ185" s="63">
        <f>IF($BF185="ja",VLOOKUP($B185,'Slutlig allokering kvv'!$B$1:$BX$550,MATCH("Avfall (GWh)",'Slutlig allokering kvv'!$B$1:$BX$1,0),FALSE),"")</f>
        <v>397.32</v>
      </c>
      <c r="BK185" s="63">
        <f>IF($BF185="ja",VLOOKUP($B185,'Köpt hetvatten'!$B$1:$BX$550,MATCH("Avfall i köpt hetvatten",'Köpt hetvatten'!$B$1:$BX$1,0),FALSE),"")</f>
        <v>0</v>
      </c>
      <c r="BL185" s="63">
        <f>IF($BF185="ja",VLOOKUP($B185,'Egen hetvattenprod'!$B$1:$BX$550,MATCH("Värde enligt ovan. (%)",'Egen hetvattenprod'!$B$1:$BX$1,0),FALSE),"")</f>
        <v>0.53600000000000003</v>
      </c>
      <c r="BM185" s="63">
        <f>IF($BF185="ja",VLOOKUP($B185,Kraftvärmeprod!$B$1:$BX$550,MATCH("Värde enligt ovan. (%)",Kraftvärmeprod!$B$1:$BX$1,0),FALSE),"")</f>
        <v>0.53600000000000003</v>
      </c>
    </row>
    <row r="186" spans="1:65" x14ac:dyDescent="0.45">
      <c r="A186" s="63" t="s">
        <v>432</v>
      </c>
      <c r="B186" s="63" t="s">
        <v>435</v>
      </c>
      <c r="C186" s="63">
        <f>VLOOKUP($B186,'Tillförd energi'!$B$1:$AI$720,MATCH(C$2,'Tillförd energi'!$B$1:$AQ$1,0),FALSE)</f>
        <v>0</v>
      </c>
      <c r="D186" s="63">
        <f>VLOOKUP($B186,'Tillförd energi'!$B$1:$AI$720,MATCH(D$2,'Tillförd energi'!$B$1:$AQ$1,0),FALSE)</f>
        <v>0</v>
      </c>
      <c r="E186" s="63">
        <f>VLOOKUP($B186,'Tillförd energi'!$B$1:$AI$720,MATCH(E$2,'Tillförd energi'!$B$1:$AQ$1,0),FALSE)</f>
        <v>0</v>
      </c>
      <c r="F186" s="63">
        <f>VLOOKUP($B186,'Tillförd energi'!$B$1:$AI$720,MATCH(F$2,'Tillförd energi'!$B$1:$AQ$1,0),FALSE)</f>
        <v>0</v>
      </c>
      <c r="G186" s="63">
        <f>VLOOKUP($B186,'Tillförd energi'!$B$1:$AI$720,MATCH(G$2,'Tillförd energi'!$B$1:$AQ$1,0),FALSE)</f>
        <v>0</v>
      </c>
      <c r="H186" s="63">
        <f>VLOOKUP($B186,'Tillförd energi'!$B$1:$AI$720,MATCH(H$2,'Tillförd energi'!$B$1:$AQ$1,0),FALSE)</f>
        <v>0</v>
      </c>
      <c r="I186" s="63">
        <f>VLOOKUP($B186,'Tillförd energi'!$B$1:$AI$720,MATCH(I$2,'Tillförd energi'!$B$1:$AQ$1,0),FALSE)</f>
        <v>0</v>
      </c>
      <c r="J186" s="63">
        <f>VLOOKUP($B186,'Tillförd energi'!$B$1:$AI$720,MATCH(J$2,'Tillförd energi'!$B$1:$AQ$1,0),FALSE)</f>
        <v>0</v>
      </c>
      <c r="K186" s="63">
        <f>VLOOKUP($B186,'Tillförd energi'!$B$1:$AI$720,MATCH(K$2,'Tillförd energi'!$B$1:$AQ$1,0),FALSE)</f>
        <v>0</v>
      </c>
      <c r="L186" s="63">
        <f>VLOOKUP($B186,'Tillförd energi'!$B$1:$AI$720,MATCH(L$2,'Tillförd energi'!$B$1:$AQ$1,0),FALSE)</f>
        <v>0</v>
      </c>
      <c r="M186" s="63">
        <f>VLOOKUP($B186,'Tillförd energi'!$B$1:$AI$720,MATCH(M$2,'Tillförd energi'!$B$1:$AQ$1,0),FALSE)</f>
        <v>0</v>
      </c>
      <c r="N186" s="63">
        <f>VLOOKUP($B186,'Tillförd energi'!$B$1:$AI$720,MATCH(N$2,'Tillförd energi'!$B$1:$AQ$1,0),FALSE)</f>
        <v>0</v>
      </c>
      <c r="O186" s="63">
        <f>VLOOKUP($B186,'Tillförd energi'!$B$1:$AI$720,MATCH(O$2,'Tillförd energi'!$B$1:$AQ$1,0),FALSE)</f>
        <v>0</v>
      </c>
      <c r="P186" s="63">
        <f>VLOOKUP($B186,'Tillförd energi'!$B$1:$AI$720,MATCH(P$2,'Tillförd energi'!$B$1:$AQ$1,0),FALSE)</f>
        <v>0</v>
      </c>
      <c r="Q186" s="63">
        <f>VLOOKUP($B186,'Tillförd energi'!$B$1:$AI$720,MATCH(Q$2,'Tillförd energi'!$B$1:$AQ$1,0),FALSE)</f>
        <v>0</v>
      </c>
      <c r="R186" s="63">
        <f>VLOOKUP($B186,'Tillförd energi'!$B$1:$AI$720,MATCH(R$2,'Tillförd energi'!$B$1:$AQ$1,0),FALSE)</f>
        <v>0</v>
      </c>
      <c r="S186" s="63">
        <f>VLOOKUP($B186,'Tillförd energi'!$B$1:$AI$720,MATCH(S$2,'Tillförd energi'!$B$1:$AQ$1,0),FALSE)</f>
        <v>0</v>
      </c>
      <c r="T186" s="63">
        <f>VLOOKUP($B186,'Tillförd energi'!$B$1:$AI$720,MATCH(T$2,'Tillförd energi'!$B$1:$AQ$1,0),FALSE)</f>
        <v>0</v>
      </c>
      <c r="U186" s="63">
        <f>VLOOKUP($B186,'Tillförd energi'!$B$1:$AI$720,MATCH(U$2,'Tillförd energi'!$B$1:$AQ$1,0),FALSE)</f>
        <v>0</v>
      </c>
      <c r="V186" s="63">
        <f>VLOOKUP($B186,'Tillförd energi'!$B$1:$AI$720,MATCH(V$2,'Tillförd energi'!$B$1:$AQ$1,0),FALSE)</f>
        <v>0</v>
      </c>
      <c r="W186" s="63">
        <f>VLOOKUP($B186,'Tillförd energi'!$B$1:$AI$720,MATCH(W$2,'Tillförd energi'!$B$1:$AQ$1,0),FALSE)</f>
        <v>0</v>
      </c>
      <c r="X186" s="63">
        <f>VLOOKUP($B186,'Tillförd energi'!$B$1:$AI$720,MATCH(X$2,'Tillförd energi'!$B$1:$AQ$1,0),FALSE)</f>
        <v>0</v>
      </c>
      <c r="Y186" s="63">
        <f>VLOOKUP($B186,'Tillförd energi'!$B$1:$AI$720,MATCH(Y$2,'Tillförd energi'!$B$1:$AQ$1,0),FALSE)</f>
        <v>0</v>
      </c>
      <c r="Z186" s="63">
        <f>VLOOKUP($B186,'Tillförd energi'!$B$1:$AI$720,MATCH(Z$2,'Tillförd energi'!$B$1:$AQ$1,0),FALSE)</f>
        <v>0</v>
      </c>
      <c r="AA186" s="63">
        <f>VLOOKUP($B186,'Tillförd energi'!$B$1:$AI$720,MATCH(AA$2,'Tillförd energi'!$B$1:$AQ$1,0),FALSE)</f>
        <v>0</v>
      </c>
      <c r="AB186" s="63">
        <f>VLOOKUP($B186,'Tillförd energi'!$B$1:$AI$720,MATCH(AB$2,'Tillförd energi'!$B$1:$AQ$1,0),FALSE)</f>
        <v>0</v>
      </c>
      <c r="AC186" s="63">
        <f>VLOOKUP($B186,'Tillförd energi'!$B$1:$AI$720,MATCH(AC$2,'Tillförd energi'!$B$1:$AQ$1,0),FALSE)</f>
        <v>0</v>
      </c>
      <c r="AD186" s="63">
        <f>VLOOKUP($B186,'Tillförd energi'!$B$1:$AI$720,MATCH(AD$2,'Tillförd energi'!$B$1:$AQ$1,0),FALSE)</f>
        <v>0</v>
      </c>
      <c r="AE186" s="63">
        <f>VLOOKUP($B186,'Tillförd energi'!$B$1:$AI$720,MATCH(AE$2,'Tillförd energi'!$B$1:$AQ$1,0),FALSE)</f>
        <v>0</v>
      </c>
      <c r="AF186" s="63">
        <f>VLOOKUP($B186,'Tillförd energi'!$B$1:$AI$720,MATCH(AF$2,'Tillförd energi'!$B$1:$AQ$1,0),FALSE)</f>
        <v>0</v>
      </c>
      <c r="AG186" s="63">
        <f>IFERROR(VLOOKUP(B186,Miljö!$B$1:$AC$550,MATCH("Köpt mängd produktionsspecifik fjärrvärme:",Miljö!$B$1:$AC$1,0),FALSE)/1,0)</f>
        <v>0</v>
      </c>
      <c r="AI186" s="63">
        <f t="shared" si="12"/>
        <v>0</v>
      </c>
      <c r="AJ186" s="63" t="str">
        <f>IF(ISERROR(1/VLOOKUP($B186,Leveranser!$B$1:$S$500,MATCH("såld värme (gwh)",Leveranser!$B$1:$S$1,0),FALSE)),"",VLOOKUP($B186,Leveranser!$B$1:$S$500,MATCH("såld värme (gwh)",Leveranser!$B$1:$S$1,0),FALSE))</f>
        <v/>
      </c>
      <c r="AM186" s="63" t="str">
        <f>IF(B186&lt;&gt;"",IF(VLOOKUP($B186,Totalt!$B$1:$AQ$554,MATCH("Kvalitetsgranskad:",Totalt!$B$1:$AQ$1,0),FALSE)="ja",VLOOKUP($B186,Miljö!$B$1:$AG$479,MATCH(AM$2,Miljö!$B$1:$AK$1,0),FALSE),""),"")</f>
        <v/>
      </c>
      <c r="AN186" s="63" t="str">
        <f>IF(AM186="ja",VLOOKUP($B186,Miljö!$B$1:$J$479,MATCH("Typ av ursprungsspecificerad el   (Om inget värde anges används Nordisk residualmix, se inforuta) ()",Miljö!$B$1:$J$1,0),FALSE),IF(AM186="nej","Nordisk residualel",""))</f>
        <v/>
      </c>
      <c r="AO186" s="63" t="str">
        <f>IF(AM186="","",VLOOKUP($B186,Miljö!$B$1:$J$479,MATCH("Fossilandel för ursprungspecificerad el ()",Miljö!$B$1:$J$1,0),FALSE))</f>
        <v/>
      </c>
      <c r="AQ186" s="63" t="str">
        <f t="shared" si="13"/>
        <v/>
      </c>
      <c r="AS186" s="63" t="str">
        <f t="shared" si="14"/>
        <v>Nej</v>
      </c>
      <c r="AT186" s="63" t="str">
        <f>IF(AS186="ja",VLOOKUP($B186,Miljö!$B$1:$P$500,MATCH("Fossil andel i procent (%)",Miljö!$B$1:$P$1,0),FALSE)/100,"")</f>
        <v/>
      </c>
      <c r="AV186" s="63" t="str">
        <f t="shared" si="15"/>
        <v>Nej</v>
      </c>
      <c r="AW186" s="63" t="str">
        <f>IF(AV186="ja",VLOOKUP($B186,'Egen hetvattenprod'!$B$1:$AO$500,MATCH("Värmekälla till värmepumpar ()",'Egen hetvattenprod'!$B$1:$AO$1,0),FALSE),"")</f>
        <v/>
      </c>
      <c r="AY186" s="63" t="str">
        <f t="shared" si="16"/>
        <v>Nej</v>
      </c>
      <c r="AZ186" s="77" t="str">
        <f>IF($AY186="ja",(VLOOKUP($B186,'Egen hetvattenprod'!$B$1:$BX$550,MATCH(AZ$2,'Egen hetvattenprod'!$B$1:$BX$1,0),FALSE)+VLOOKUP($B186,Kraftvärmeprod!$B$1:$BX$550,MATCH(AZ$2,Kraftvärmeprod!$B$1:$BX$1,0),FALSE))/$AC186,"")</f>
        <v/>
      </c>
      <c r="BA186" s="77" t="str">
        <f>IF($AY186="ja",(VLOOKUP($B186,'Egen hetvattenprod'!$B$1:$BX$550,MATCH(BA$2,'Egen hetvattenprod'!$B$1:$BX$1,0),FALSE)+VLOOKUP($B186,Kraftvärmeprod!$B$1:$BX$550,MATCH(BA$2,Kraftvärmeprod!$B$1:$BX$1,0),FALSE))/$AC186,"")</f>
        <v/>
      </c>
      <c r="BB186" s="77" t="str">
        <f>IF($AY186="ja",(VLOOKUP($B186,'Egen hetvattenprod'!$B$1:$BX$550,MATCH(BB$2,'Egen hetvattenprod'!$B$1:$BX$1,0),FALSE)+VLOOKUP($B186,Kraftvärmeprod!$B$1:$BX$550,MATCH(BB$2,Kraftvärmeprod!$B$1:$BX$1,0),FALSE))/$AC186,"")</f>
        <v/>
      </c>
      <c r="BC186" s="77" t="str">
        <f>IF($AY186="ja",(VLOOKUP($B186,'Egen hetvattenprod'!$B$1:$BX$550,MATCH(BC$2,'Egen hetvattenprod'!$B$1:$BX$1,0),FALSE)+VLOOKUP($B186,Kraftvärmeprod!$B$1:$BX$550,MATCH(BC$2,Kraftvärmeprod!$B$1:$BX$1,0),FALSE))/$AC186,"")</f>
        <v/>
      </c>
      <c r="BD186" s="77" t="str">
        <f>IF($AY186="ja",(VLOOKUP($B186,'Egen hetvattenprod'!$B$1:$BX$550,MATCH(BD$2,'Egen hetvattenprod'!$B$1:$BX$1,0),FALSE)+VLOOKUP($B186,Kraftvärmeprod!$B$1:$BX$550,MATCH(BD$2,Kraftvärmeprod!$B$1:$BX$1,0),FALSE))/$AC186,"")</f>
        <v/>
      </c>
      <c r="BF186" s="63" t="str">
        <f t="shared" si="17"/>
        <v>Nej</v>
      </c>
      <c r="BG186" s="63" t="str">
        <f>IF($BF186="ja",VLOOKUP($B186,'Egen hetvattenprod'!$B$1:$BX$550,MATCH("Andelen klimatgaser med fossilt ursprung för avfall ()",'Egen hetvattenprod'!$B$1:$BX$1,0),FALSE),"")</f>
        <v/>
      </c>
      <c r="BH186" s="63" t="str">
        <f>IF($BF186="ja",VLOOKUP($B186,Kraftvärmeprod!$B$1:$BX$550,MATCH("Andelen klimatgaser med fossilt ursprung för avfall ()",Kraftvärmeprod!$B$1:$BX$1,0),FALSE),"")</f>
        <v/>
      </c>
      <c r="BI186" s="63" t="str">
        <f>IF($BF186="ja",VLOOKUP($B186,'Egen hetvattenprod'!$B$1:$BX$550,MATCH("Avfall (GWh)",'Egen hetvattenprod'!$B$1:$BX$1,0),FALSE),"")</f>
        <v/>
      </c>
      <c r="BJ186" s="63" t="str">
        <f>IF($BF186="ja",VLOOKUP($B186,'Slutlig allokering kvv'!$B$1:$BX$550,MATCH("Avfall (GWh)",'Slutlig allokering kvv'!$B$1:$BX$1,0),FALSE),"")</f>
        <v/>
      </c>
      <c r="BK186" s="63" t="str">
        <f>IF($BF186="ja",VLOOKUP($B186,'Köpt hetvatten'!$B$1:$BX$550,MATCH("Avfall i köpt hetvatten",'Köpt hetvatten'!$B$1:$BX$1,0),FALSE),"")</f>
        <v/>
      </c>
      <c r="BL186" s="63" t="str">
        <f>IF($BF186="ja",VLOOKUP($B186,'Egen hetvattenprod'!$B$1:$BX$550,MATCH("Värde enligt ovan. (%)",'Egen hetvattenprod'!$B$1:$BX$1,0),FALSE),"")</f>
        <v/>
      </c>
      <c r="BM186" s="63" t="str">
        <f>IF($BF186="ja",VLOOKUP($B186,Kraftvärmeprod!$B$1:$BX$550,MATCH("Värde enligt ovan. (%)",Kraftvärmeprod!$B$1:$BX$1,0),FALSE),"")</f>
        <v/>
      </c>
    </row>
    <row r="187" spans="1:65" x14ac:dyDescent="0.45">
      <c r="A187" s="63" t="s">
        <v>432</v>
      </c>
      <c r="B187" s="63" t="s">
        <v>431</v>
      </c>
      <c r="C187" s="63">
        <f>VLOOKUP($B187,'Tillförd energi'!$B$1:$AI$720,MATCH(C$2,'Tillförd energi'!$B$1:$AQ$1,0),FALSE)</f>
        <v>1.66</v>
      </c>
      <c r="D187" s="63">
        <f>VLOOKUP($B187,'Tillförd energi'!$B$1:$AI$720,MATCH(D$2,'Tillförd energi'!$B$1:$AQ$1,0),FALSE)</f>
        <v>0.28599999999999998</v>
      </c>
      <c r="E187" s="63">
        <f>VLOOKUP($B187,'Tillförd energi'!$B$1:$AI$720,MATCH(E$2,'Tillförd energi'!$B$1:$AQ$1,0),FALSE)</f>
        <v>0</v>
      </c>
      <c r="F187" s="63">
        <f>VLOOKUP($B187,'Tillförd energi'!$B$1:$AI$720,MATCH(F$2,'Tillförd energi'!$B$1:$AQ$1,0),FALSE)</f>
        <v>7.8E-2</v>
      </c>
      <c r="G187" s="63">
        <f>VLOOKUP($B187,'Tillförd energi'!$B$1:$AI$720,MATCH(G$2,'Tillförd energi'!$B$1:$AQ$1,0),FALSE)</f>
        <v>0</v>
      </c>
      <c r="H187" s="63">
        <f>VLOOKUP($B187,'Tillförd energi'!$B$1:$AI$720,MATCH(H$2,'Tillförd energi'!$B$1:$AQ$1,0),FALSE)</f>
        <v>0</v>
      </c>
      <c r="I187" s="63">
        <f>VLOOKUP($B187,'Tillförd energi'!$B$1:$AI$720,MATCH(I$2,'Tillförd energi'!$B$1:$AQ$1,0),FALSE)</f>
        <v>16.39</v>
      </c>
      <c r="J187" s="63">
        <f>VLOOKUP($B187,'Tillförd energi'!$B$1:$AI$720,MATCH(J$2,'Tillförd energi'!$B$1:$AQ$1,0),FALSE)</f>
        <v>2.3529399999999999E-2</v>
      </c>
      <c r="K187" s="63">
        <f>VLOOKUP($B187,'Tillförd energi'!$B$1:$AI$720,MATCH(K$2,'Tillförd energi'!$B$1:$AQ$1,0),FALSE)</f>
        <v>0</v>
      </c>
      <c r="L187" s="63">
        <f>VLOOKUP($B187,'Tillförd energi'!$B$1:$AI$720,MATCH(L$2,'Tillförd energi'!$B$1:$AQ$1,0),FALSE)</f>
        <v>3.9769999999999999</v>
      </c>
      <c r="M187" s="63">
        <f>VLOOKUP($B187,'Tillförd energi'!$B$1:$AI$720,MATCH(M$2,'Tillförd energi'!$B$1:$AQ$1,0),FALSE)</f>
        <v>1.196</v>
      </c>
      <c r="N187" s="63">
        <f>VLOOKUP($B187,'Tillförd energi'!$B$1:$AI$720,MATCH(N$2,'Tillförd energi'!$B$1:$AQ$1,0),FALSE)</f>
        <v>2.1520000000000001</v>
      </c>
      <c r="O187" s="63">
        <f>VLOOKUP($B187,'Tillförd energi'!$B$1:$AI$720,MATCH(O$2,'Tillförd energi'!$B$1:$AQ$1,0),FALSE)</f>
        <v>2.1520000000000001</v>
      </c>
      <c r="P187" s="63">
        <f>VLOOKUP($B187,'Tillförd energi'!$B$1:$AI$720,MATCH(P$2,'Tillförd energi'!$B$1:$AQ$1,0),FALSE)</f>
        <v>3.1040000000000001</v>
      </c>
      <c r="Q187" s="63">
        <f>VLOOKUP($B187,'Tillförd energi'!$B$1:$AI$720,MATCH(Q$2,'Tillförd energi'!$B$1:$AQ$1,0),FALSE)</f>
        <v>0</v>
      </c>
      <c r="R187" s="63">
        <f>VLOOKUP($B187,'Tillförd energi'!$B$1:$AI$720,MATCH(R$2,'Tillförd energi'!$B$1:$AQ$1,0),FALSE)</f>
        <v>0</v>
      </c>
      <c r="S187" s="63">
        <f>VLOOKUP($B187,'Tillförd energi'!$B$1:$AI$720,MATCH(S$2,'Tillförd energi'!$B$1:$AQ$1,0),FALSE)</f>
        <v>0</v>
      </c>
      <c r="T187" s="63">
        <f>VLOOKUP($B187,'Tillförd energi'!$B$1:$AI$720,MATCH(T$2,'Tillförd energi'!$B$1:$AQ$1,0),FALSE)</f>
        <v>0</v>
      </c>
      <c r="U187" s="63">
        <f>VLOOKUP($B187,'Tillförd energi'!$B$1:$AI$720,MATCH(U$2,'Tillförd energi'!$B$1:$AQ$1,0),FALSE)</f>
        <v>0</v>
      </c>
      <c r="V187" s="63">
        <f>VLOOKUP($B187,'Tillförd energi'!$B$1:$AI$720,MATCH(V$2,'Tillförd energi'!$B$1:$AQ$1,0),FALSE)</f>
        <v>0.17699999999999999</v>
      </c>
      <c r="W187" s="63">
        <f>VLOOKUP($B187,'Tillförd energi'!$B$1:$AI$720,MATCH(W$2,'Tillförd energi'!$B$1:$AQ$1,0),FALSE)</f>
        <v>0</v>
      </c>
      <c r="X187" s="63">
        <f>VLOOKUP($B187,'Tillförd energi'!$B$1:$AI$720,MATCH(X$2,'Tillförd energi'!$B$1:$AQ$1,0),FALSE)</f>
        <v>0.1</v>
      </c>
      <c r="Y187" s="63">
        <f>VLOOKUP($B187,'Tillförd energi'!$B$1:$AI$720,MATCH(Y$2,'Tillförd energi'!$B$1:$AQ$1,0),FALSE)</f>
        <v>1.2949999999999999</v>
      </c>
      <c r="Z187" s="63">
        <f>VLOOKUP($B187,'Tillförd energi'!$B$1:$AI$720,MATCH(Z$2,'Tillförd energi'!$B$1:$AQ$1,0),FALSE)</f>
        <v>2.9000000000000001E-2</v>
      </c>
      <c r="AA187" s="63">
        <f>VLOOKUP($B187,'Tillförd energi'!$B$1:$AI$720,MATCH(AA$2,'Tillförd energi'!$B$1:$AQ$1,0),FALSE)</f>
        <v>0.17699999999999999</v>
      </c>
      <c r="AB187" s="63">
        <f>VLOOKUP($B187,'Tillförd energi'!$B$1:$AI$720,MATCH(AB$2,'Tillförd energi'!$B$1:$AQ$1,0),FALSE)</f>
        <v>0.32800000000000001</v>
      </c>
      <c r="AC187" s="63">
        <f>VLOOKUP($B187,'Tillförd energi'!$B$1:$AI$720,MATCH(AC$2,'Tillförd energi'!$B$1:$AQ$1,0),FALSE)</f>
        <v>6.11</v>
      </c>
      <c r="AD187" s="63">
        <f>VLOOKUP($B187,'Tillförd energi'!$B$1:$AI$720,MATCH(AD$2,'Tillförd energi'!$B$1:$AQ$1,0),FALSE)</f>
        <v>0</v>
      </c>
      <c r="AE187" s="63">
        <f>VLOOKUP($B187,'Tillförd energi'!$B$1:$AI$720,MATCH(AE$2,'Tillförd energi'!$B$1:$AQ$1,0),FALSE)</f>
        <v>0</v>
      </c>
      <c r="AF187" s="63">
        <f>VLOOKUP($B187,'Tillförd energi'!$B$1:$AI$720,MATCH(AF$2,'Tillförd energi'!$B$1:$AQ$1,0),FALSE)</f>
        <v>2.0049999999999999</v>
      </c>
      <c r="AG187" s="63">
        <f>IFERROR(VLOOKUP(B187,Miljö!$B$1:$AC$550,MATCH("Köpt mängd produktionsspecifik fjärrvärme:",Miljö!$B$1:$AC$1,0),FALSE)/1,0)</f>
        <v>0</v>
      </c>
      <c r="AI187" s="63">
        <f t="shared" si="12"/>
        <v>41.239529400000016</v>
      </c>
      <c r="AJ187" s="63">
        <f>IF(ISERROR(1/VLOOKUP($B187,Leveranser!$B$1:$S$500,MATCH("såld värme (gwh)",Leveranser!$B$1:$S$1,0),FALSE)),"",VLOOKUP($B187,Leveranser!$B$1:$S$500,MATCH("såld värme (gwh)",Leveranser!$B$1:$S$1,0),FALSE))</f>
        <v>45.137</v>
      </c>
      <c r="AM187" s="63" t="str">
        <f>IF(B187&lt;&gt;"",IF(VLOOKUP($B187,Totalt!$B$1:$AQ$554,MATCH("Kvalitetsgranskad:",Totalt!$B$1:$AQ$1,0),FALSE)="ja",VLOOKUP($B187,Miljö!$B$1:$AG$479,MATCH(AM$2,Miljö!$B$1:$AK$1,0),FALSE),""),"")</f>
        <v>Ja</v>
      </c>
      <c r="AN187" s="63" t="str">
        <f>IF(AM187="ja",VLOOKUP($B187,Miljö!$B$1:$J$479,MATCH("Typ av ursprungsspecificerad el   (Om inget värde anges används Nordisk residualmix, se inforuta) ()",Miljö!$B$1:$J$1,0),FALSE),IF(AM187="nej","Nordisk residualel",""))</f>
        <v>'Ursprungsmärkt egenproducerad BIO och Vattenkraft</v>
      </c>
      <c r="AO187" s="63">
        <f>IF(AM187="","",VLOOKUP($B187,Miljö!$B$1:$J$479,MATCH("Fossilandel för ursprungspecificerad el ()",Miljö!$B$1:$J$1,0),FALSE))</f>
        <v>0</v>
      </c>
      <c r="AQ187" s="63">
        <f t="shared" si="13"/>
        <v>1</v>
      </c>
      <c r="AS187" s="63" t="str">
        <f t="shared" si="14"/>
        <v>Nej</v>
      </c>
      <c r="AT187" s="63" t="str">
        <f>IF(AS187="ja",VLOOKUP($B187,Miljö!$B$1:$P$500,MATCH("Fossil andel i procent (%)",Miljö!$B$1:$P$1,0),FALSE)/100,"")</f>
        <v/>
      </c>
      <c r="AV187" s="63" t="str">
        <f t="shared" si="15"/>
        <v>Ja</v>
      </c>
      <c r="AW187" s="63" t="str">
        <f>IF(AV187="ja",VLOOKUP($B187,'Egen hetvattenprod'!$B$1:$AO$500,MATCH("Värmekälla till värmepumpar ()",'Egen hetvattenprod'!$B$1:$AO$1,0),FALSE),"")</f>
        <v>Renat avloppsvatten</v>
      </c>
      <c r="AY187" s="63" t="str">
        <f t="shared" si="16"/>
        <v>Ja</v>
      </c>
      <c r="AZ187" s="77">
        <f>IF($AY187="ja",(VLOOKUP($B187,'Egen hetvattenprod'!$B$1:$BX$550,MATCH(AZ$2,'Egen hetvattenprod'!$B$1:$BX$1,0),FALSE)+VLOOKUP($B187,Kraftvärmeprod!$B$1:$BX$550,MATCH(AZ$2,Kraftvärmeprod!$B$1:$BX$1,0),FALSE))/$AC187,"")</f>
        <v>0.39529999999999998</v>
      </c>
      <c r="BA187" s="77">
        <f>IF($AY187="ja",(VLOOKUP($B187,'Egen hetvattenprod'!$B$1:$BX$550,MATCH(BA$2,'Egen hetvattenprod'!$B$1:$BX$1,0),FALSE)+VLOOKUP($B187,Kraftvärmeprod!$B$1:$BX$550,MATCH(BA$2,Kraftvärmeprod!$B$1:$BX$1,0),FALSE))/$AC187,"")</f>
        <v>0.38679999999999992</v>
      </c>
      <c r="BB187" s="77">
        <f>IF($AY187="ja",(VLOOKUP($B187,'Egen hetvattenprod'!$B$1:$BX$550,MATCH(BB$2,'Egen hetvattenprod'!$B$1:$BX$1,0),FALSE)+VLOOKUP($B187,Kraftvärmeprod!$B$1:$BX$550,MATCH(BB$2,Kraftvärmeprod!$B$1:$BX$1,0),FALSE))/$AC187,"")</f>
        <v>0</v>
      </c>
      <c r="BC187" s="77">
        <f>IF($AY187="ja",(VLOOKUP($B187,'Egen hetvattenprod'!$B$1:$BX$550,MATCH(BC$2,'Egen hetvattenprod'!$B$1:$BX$1,0),FALSE)+VLOOKUP($B187,Kraftvärmeprod!$B$1:$BX$550,MATCH(BC$2,Kraftvärmeprod!$B$1:$BX$1,0),FALSE))/$AC187,"")</f>
        <v>0.21789999999999998</v>
      </c>
      <c r="BD187" s="77">
        <f>IF($AY187="ja",(VLOOKUP($B187,'Egen hetvattenprod'!$B$1:$BX$550,MATCH(BD$2,'Egen hetvattenprod'!$B$1:$BX$1,0),FALSE)+VLOOKUP($B187,Kraftvärmeprod!$B$1:$BX$550,MATCH(BD$2,Kraftvärmeprod!$B$1:$BX$1,0),FALSE))/$AC187,"")</f>
        <v>1.4536471680853112E-16</v>
      </c>
      <c r="BF187" s="63" t="str">
        <f t="shared" si="17"/>
        <v>Ja</v>
      </c>
      <c r="BG187" s="63" t="str">
        <f>IF($BF187="ja",VLOOKUP($B187,'Egen hetvattenprod'!$B$1:$BX$550,MATCH("Andelen klimatgaser med fossilt ursprung för avfall ()",'Egen hetvattenprod'!$B$1:$BX$1,0),FALSE),"")</f>
        <v>ET</v>
      </c>
      <c r="BH187" s="63" t="str">
        <f>IF($BF187="ja",VLOOKUP($B187,Kraftvärmeprod!$B$1:$BX$550,MATCH("Andelen klimatgaser med fossilt ursprung för avfall ()",Kraftvärmeprod!$B$1:$BX$1,0),FALSE),"")</f>
        <v>Mätvärde</v>
      </c>
      <c r="BI187" s="63" t="str">
        <f>IF($BF187="ja",VLOOKUP($B187,'Egen hetvattenprod'!$B$1:$BX$550,MATCH("Avfall (GWh)",'Egen hetvattenprod'!$B$1:$BX$1,0),FALSE),"")</f>
        <v>ET</v>
      </c>
      <c r="BJ187" s="63">
        <f>IF($BF187="ja",VLOOKUP($B187,'Slutlig allokering kvv'!$B$1:$BX$550,MATCH("Avfall (GWh)",'Slutlig allokering kvv'!$B$1:$BX$1,0),FALSE),"")</f>
        <v>16.39</v>
      </c>
      <c r="BK187" s="63">
        <f>IF($BF187="ja",VLOOKUP($B187,'Köpt hetvatten'!$B$1:$BX$550,MATCH("Avfall i köpt hetvatten",'Köpt hetvatten'!$B$1:$BX$1,0),FALSE),"")</f>
        <v>0</v>
      </c>
      <c r="BL187" s="63" t="str">
        <f>IF($BF187="ja",VLOOKUP($B187,'Egen hetvattenprod'!$B$1:$BX$550,MATCH("Värde enligt ovan. (%)",'Egen hetvattenprod'!$B$1:$BX$1,0),FALSE),"")</f>
        <v>ET</v>
      </c>
      <c r="BM187" s="63">
        <f>IF($BF187="ja",VLOOKUP($B187,Kraftvärmeprod!$B$1:$BX$550,MATCH("Värde enligt ovan. (%)",Kraftvärmeprod!$B$1:$BX$1,0),FALSE),"")</f>
        <v>0.53600000000000003</v>
      </c>
    </row>
    <row r="188" spans="1:65" x14ac:dyDescent="0.45">
      <c r="A188" s="63" t="s">
        <v>428</v>
      </c>
      <c r="B188" s="63" t="s">
        <v>430</v>
      </c>
      <c r="C188" s="63">
        <f>VLOOKUP($B188,'Tillförd energi'!$B$1:$AI$720,MATCH(C$2,'Tillförd energi'!$B$1:$AQ$1,0),FALSE)</f>
        <v>0</v>
      </c>
      <c r="D188" s="63">
        <f>VLOOKUP($B188,'Tillförd energi'!$B$1:$AI$720,MATCH(D$2,'Tillförd energi'!$B$1:$AQ$1,0),FALSE)</f>
        <v>0</v>
      </c>
      <c r="E188" s="63">
        <f>VLOOKUP($B188,'Tillförd energi'!$B$1:$AI$720,MATCH(E$2,'Tillförd energi'!$B$1:$AQ$1,0),FALSE)</f>
        <v>0</v>
      </c>
      <c r="F188" s="63">
        <f>VLOOKUP($B188,'Tillförd energi'!$B$1:$AI$720,MATCH(F$2,'Tillförd energi'!$B$1:$AQ$1,0),FALSE)</f>
        <v>0</v>
      </c>
      <c r="G188" s="63">
        <f>VLOOKUP($B188,'Tillförd energi'!$B$1:$AI$720,MATCH(G$2,'Tillförd energi'!$B$1:$AQ$1,0),FALSE)</f>
        <v>0</v>
      </c>
      <c r="H188" s="63">
        <f>VLOOKUP($B188,'Tillförd energi'!$B$1:$AI$720,MATCH(H$2,'Tillförd energi'!$B$1:$AQ$1,0),FALSE)</f>
        <v>0</v>
      </c>
      <c r="I188" s="63">
        <f>VLOOKUP($B188,'Tillförd energi'!$B$1:$AI$720,MATCH(I$2,'Tillförd energi'!$B$1:$AQ$1,0),FALSE)</f>
        <v>0</v>
      </c>
      <c r="J188" s="63">
        <f>VLOOKUP($B188,'Tillförd energi'!$B$1:$AI$720,MATCH(J$2,'Tillförd energi'!$B$1:$AQ$1,0),FALSE)</f>
        <v>0</v>
      </c>
      <c r="K188" s="63">
        <f>VLOOKUP($B188,'Tillförd energi'!$B$1:$AI$720,MATCH(K$2,'Tillförd energi'!$B$1:$AQ$1,0),FALSE)</f>
        <v>0</v>
      </c>
      <c r="L188" s="63">
        <f>VLOOKUP($B188,'Tillförd energi'!$B$1:$AI$720,MATCH(L$2,'Tillförd energi'!$B$1:$AQ$1,0),FALSE)</f>
        <v>88.352900000000005</v>
      </c>
      <c r="M188" s="63">
        <f>VLOOKUP($B188,'Tillförd energi'!$B$1:$AI$720,MATCH(M$2,'Tillförd energi'!$B$1:$AQ$1,0),FALSE)</f>
        <v>69.357699999999994</v>
      </c>
      <c r="N188" s="63">
        <f>VLOOKUP($B188,'Tillförd energi'!$B$1:$AI$720,MATCH(N$2,'Tillförd energi'!$B$1:$AQ$1,0),FALSE)</f>
        <v>23.678899999999999</v>
      </c>
      <c r="O188" s="63">
        <f>VLOOKUP($B188,'Tillförd energi'!$B$1:$AI$720,MATCH(O$2,'Tillförd energi'!$B$1:$AQ$1,0),FALSE)</f>
        <v>0</v>
      </c>
      <c r="P188" s="63">
        <f>VLOOKUP($B188,'Tillförd energi'!$B$1:$AI$720,MATCH(P$2,'Tillförd energi'!$B$1:$AQ$1,0),FALSE)</f>
        <v>7.0230800000000002</v>
      </c>
      <c r="Q188" s="63">
        <f>VLOOKUP($B188,'Tillförd energi'!$B$1:$AI$720,MATCH(Q$2,'Tillförd energi'!$B$1:$AQ$1,0),FALSE)</f>
        <v>0</v>
      </c>
      <c r="R188" s="63">
        <f>VLOOKUP($B188,'Tillförd energi'!$B$1:$AI$720,MATCH(R$2,'Tillförd energi'!$B$1:$AQ$1,0),FALSE)</f>
        <v>0</v>
      </c>
      <c r="S188" s="63">
        <f>VLOOKUP($B188,'Tillförd energi'!$B$1:$AI$720,MATCH(S$2,'Tillförd energi'!$B$1:$AQ$1,0),FALSE)</f>
        <v>0</v>
      </c>
      <c r="T188" s="63">
        <f>VLOOKUP($B188,'Tillförd energi'!$B$1:$AI$720,MATCH(T$2,'Tillförd energi'!$B$1:$AQ$1,0),FALSE)</f>
        <v>0</v>
      </c>
      <c r="U188" s="63">
        <f>VLOOKUP($B188,'Tillförd energi'!$B$1:$AI$720,MATCH(U$2,'Tillförd energi'!$B$1:$AQ$1,0),FALSE)</f>
        <v>0</v>
      </c>
      <c r="V188" s="63">
        <f>VLOOKUP($B188,'Tillförd energi'!$B$1:$AI$720,MATCH(V$2,'Tillförd energi'!$B$1:$AQ$1,0),FALSE)</f>
        <v>0</v>
      </c>
      <c r="W188" s="63">
        <f>VLOOKUP($B188,'Tillförd energi'!$B$1:$AI$720,MATCH(W$2,'Tillförd energi'!$B$1:$AQ$1,0),FALSE)</f>
        <v>0.74926999999999999</v>
      </c>
      <c r="X188" s="63">
        <f>VLOOKUP($B188,'Tillförd energi'!$B$1:$AI$720,MATCH(X$2,'Tillförd energi'!$B$1:$AQ$1,0),FALSE)</f>
        <v>0</v>
      </c>
      <c r="Y188" s="63">
        <f>VLOOKUP($B188,'Tillförd energi'!$B$1:$AI$720,MATCH(Y$2,'Tillförd energi'!$B$1:$AQ$1,0),FALSE)</f>
        <v>0</v>
      </c>
      <c r="Z188" s="63">
        <f>VLOOKUP($B188,'Tillförd energi'!$B$1:$AI$720,MATCH(Z$2,'Tillförd energi'!$B$1:$AQ$1,0),FALSE)</f>
        <v>0</v>
      </c>
      <c r="AA188" s="63">
        <f>VLOOKUP($B188,'Tillförd energi'!$B$1:$AI$720,MATCH(AA$2,'Tillförd energi'!$B$1:$AQ$1,0),FALSE)</f>
        <v>0</v>
      </c>
      <c r="AB188" s="63">
        <f>VLOOKUP($B188,'Tillförd energi'!$B$1:$AI$720,MATCH(AB$2,'Tillförd energi'!$B$1:$AQ$1,0),FALSE)</f>
        <v>0</v>
      </c>
      <c r="AC188" s="63">
        <f>VLOOKUP($B188,'Tillförd energi'!$B$1:$AI$720,MATCH(AC$2,'Tillförd energi'!$B$1:$AQ$1,0),FALSE)</f>
        <v>101.675</v>
      </c>
      <c r="AD188" s="63">
        <f>VLOOKUP($B188,'Tillförd energi'!$B$1:$AI$720,MATCH(AD$2,'Tillförd energi'!$B$1:$AQ$1,0),FALSE)</f>
        <v>0</v>
      </c>
      <c r="AE188" s="63">
        <f>VLOOKUP($B188,'Tillförd energi'!$B$1:$AI$720,MATCH(AE$2,'Tillförd energi'!$B$1:$AQ$1,0),FALSE)</f>
        <v>0</v>
      </c>
      <c r="AF188" s="63">
        <f>VLOOKUP($B188,'Tillförd energi'!$B$1:$AI$720,MATCH(AF$2,'Tillförd energi'!$B$1:$AQ$1,0),FALSE)</f>
        <v>8.9639100000000003</v>
      </c>
      <c r="AG188" s="63">
        <f>IFERROR(VLOOKUP(B188,Miljö!$B$1:$AC$550,MATCH("Köpt mängd produktionsspecifik fjärrvärme:",Miljö!$B$1:$AC$1,0),FALSE)/1,0)</f>
        <v>22.47</v>
      </c>
      <c r="AI188" s="63">
        <f t="shared" si="12"/>
        <v>322.27076</v>
      </c>
      <c r="AJ188" s="63">
        <f>IF(ISERROR(1/VLOOKUP($B188,Leveranser!$B$1:$S$500,MATCH("såld värme (gwh)",Leveranser!$B$1:$S$1,0),FALSE)),"",VLOOKUP($B188,Leveranser!$B$1:$S$500,MATCH("såld värme (gwh)",Leveranser!$B$1:$S$1,0),FALSE))</f>
        <v>322.67500000000001</v>
      </c>
      <c r="AM188" s="63" t="str">
        <f>IF(B188&lt;&gt;"",IF(VLOOKUP($B188,Totalt!$B$1:$AQ$554,MATCH("Kvalitetsgranskad:",Totalt!$B$1:$AQ$1,0),FALSE)="ja",VLOOKUP($B188,Miljö!$B$1:$AG$479,MATCH(AM$2,Miljö!$B$1:$AK$1,0),FALSE),""),"")</f>
        <v>Ja</v>
      </c>
      <c r="AN188" s="63" t="str">
        <f>IF(AM188="ja",VLOOKUP($B188,Miljö!$B$1:$J$479,MATCH("Typ av ursprungsspecificerad el   (Om inget värde anges används Nordisk residualmix, se inforuta) ()",Miljö!$B$1:$J$1,0),FALSE),IF(AM188="nej","Nordisk residualel",""))</f>
        <v>'Förnybar el från egen produktion'</v>
      </c>
      <c r="AO188" s="63">
        <f>IF(AM188="","",VLOOKUP($B188,Miljö!$B$1:$J$479,MATCH("Fossilandel för ursprungspecificerad el ()",Miljö!$B$1:$J$1,0),FALSE))</f>
        <v>0</v>
      </c>
      <c r="AQ188" s="63">
        <f t="shared" si="13"/>
        <v>1</v>
      </c>
      <c r="AS188" s="63" t="str">
        <f t="shared" si="14"/>
        <v>Ja</v>
      </c>
      <c r="AT188" s="63">
        <f>IF(AS188="ja",VLOOKUP($B188,Miljö!$B$1:$P$500,MATCH("Fossil andel i procent (%)",Miljö!$B$1:$P$1,0),FALSE)/100,"")</f>
        <v>1E-3</v>
      </c>
      <c r="AV188" s="63" t="str">
        <f t="shared" si="15"/>
        <v>Nej</v>
      </c>
      <c r="AW188" s="63" t="str">
        <f>IF(AV188="ja",VLOOKUP($B188,'Egen hetvattenprod'!$B$1:$AO$500,MATCH("Värmekälla till värmepumpar ()",'Egen hetvattenprod'!$B$1:$AO$1,0),FALSE),"")</f>
        <v/>
      </c>
      <c r="AY188" s="63" t="str">
        <f t="shared" si="16"/>
        <v>Ja</v>
      </c>
      <c r="AZ188" s="77">
        <f>IF($AY188="ja",(VLOOKUP($B188,'Egen hetvattenprod'!$B$1:$BX$550,MATCH(AZ$2,'Egen hetvattenprod'!$B$1:$BX$1,0),FALSE)+VLOOKUP($B188,Kraftvärmeprod!$B$1:$BX$550,MATCH(AZ$2,Kraftvärmeprod!$B$1:$BX$1,0),FALSE))/$AC188,"")</f>
        <v>1</v>
      </c>
      <c r="BA188" s="77">
        <f>IF($AY188="ja",(VLOOKUP($B188,'Egen hetvattenprod'!$B$1:$BX$550,MATCH(BA$2,'Egen hetvattenprod'!$B$1:$BX$1,0),FALSE)+VLOOKUP($B188,Kraftvärmeprod!$B$1:$BX$550,MATCH(BA$2,Kraftvärmeprod!$B$1:$BX$1,0),FALSE))/$AC188,"")</f>
        <v>0</v>
      </c>
      <c r="BB188" s="77">
        <f>IF($AY188="ja",(VLOOKUP($B188,'Egen hetvattenprod'!$B$1:$BX$550,MATCH(BB$2,'Egen hetvattenprod'!$B$1:$BX$1,0),FALSE)+VLOOKUP($B188,Kraftvärmeprod!$B$1:$BX$550,MATCH(BB$2,Kraftvärmeprod!$B$1:$BX$1,0),FALSE))/$AC188,"")</f>
        <v>0</v>
      </c>
      <c r="BC188" s="77">
        <f>IF($AY188="ja",(VLOOKUP($B188,'Egen hetvattenprod'!$B$1:$BX$550,MATCH(BC$2,'Egen hetvattenprod'!$B$1:$BX$1,0),FALSE)+VLOOKUP($B188,Kraftvärmeprod!$B$1:$BX$550,MATCH(BC$2,Kraftvärmeprod!$B$1:$BX$1,0),FALSE))/$AC188,"")</f>
        <v>0</v>
      </c>
      <c r="BD188" s="77">
        <f>IF($AY188="ja",(VLOOKUP($B188,'Egen hetvattenprod'!$B$1:$BX$550,MATCH(BD$2,'Egen hetvattenprod'!$B$1:$BX$1,0),FALSE)+VLOOKUP($B188,Kraftvärmeprod!$B$1:$BX$550,MATCH(BD$2,Kraftvärmeprod!$B$1:$BX$1,0),FALSE))/$AC188,"")</f>
        <v>0</v>
      </c>
      <c r="BF188" s="63" t="str">
        <f t="shared" si="17"/>
        <v>Nej</v>
      </c>
      <c r="BG188" s="63" t="str">
        <f>IF($BF188="ja",VLOOKUP($B188,'Egen hetvattenprod'!$B$1:$BX$550,MATCH("Andelen klimatgaser med fossilt ursprung för avfall ()",'Egen hetvattenprod'!$B$1:$BX$1,0),FALSE),"")</f>
        <v/>
      </c>
      <c r="BH188" s="63" t="str">
        <f>IF($BF188="ja",VLOOKUP($B188,Kraftvärmeprod!$B$1:$BX$550,MATCH("Andelen klimatgaser med fossilt ursprung för avfall ()",Kraftvärmeprod!$B$1:$BX$1,0),FALSE),"")</f>
        <v/>
      </c>
      <c r="BI188" s="63" t="str">
        <f>IF($BF188="ja",VLOOKUP($B188,'Egen hetvattenprod'!$B$1:$BX$550,MATCH("Avfall (GWh)",'Egen hetvattenprod'!$B$1:$BX$1,0),FALSE),"")</f>
        <v/>
      </c>
      <c r="BJ188" s="63" t="str">
        <f>IF($BF188="ja",VLOOKUP($B188,'Slutlig allokering kvv'!$B$1:$BX$550,MATCH("Avfall (GWh)",'Slutlig allokering kvv'!$B$1:$BX$1,0),FALSE),"")</f>
        <v/>
      </c>
      <c r="BK188" s="63" t="str">
        <f>IF($BF188="ja",VLOOKUP($B188,'Köpt hetvatten'!$B$1:$BX$550,MATCH("Avfall i köpt hetvatten",'Köpt hetvatten'!$B$1:$BX$1,0),FALSE),"")</f>
        <v/>
      </c>
      <c r="BL188" s="63" t="str">
        <f>IF($BF188="ja",VLOOKUP($B188,'Egen hetvattenprod'!$B$1:$BX$550,MATCH("Värde enligt ovan. (%)",'Egen hetvattenprod'!$B$1:$BX$1,0),FALSE),"")</f>
        <v/>
      </c>
      <c r="BM188" s="63" t="str">
        <f>IF($BF188="ja",VLOOKUP($B188,Kraftvärmeprod!$B$1:$BX$550,MATCH("Värde enligt ovan. (%)",Kraftvärmeprod!$B$1:$BX$1,0),FALSE),"")</f>
        <v/>
      </c>
    </row>
    <row r="189" spans="1:65" x14ac:dyDescent="0.45">
      <c r="A189" s="63" t="s">
        <v>428</v>
      </c>
      <c r="B189" s="63" t="s">
        <v>427</v>
      </c>
      <c r="C189" s="63">
        <f>VLOOKUP($B189,'Tillförd energi'!$B$1:$AI$720,MATCH(C$2,'Tillförd energi'!$B$1:$AQ$1,0),FALSE)</f>
        <v>0</v>
      </c>
      <c r="D189" s="63">
        <f>VLOOKUP($B189,'Tillförd energi'!$B$1:$AI$720,MATCH(D$2,'Tillförd energi'!$B$1:$AQ$1,0),FALSE)</f>
        <v>0</v>
      </c>
      <c r="E189" s="63">
        <f>VLOOKUP($B189,'Tillförd energi'!$B$1:$AI$720,MATCH(E$2,'Tillförd energi'!$B$1:$AQ$1,0),FALSE)</f>
        <v>0</v>
      </c>
      <c r="F189" s="63">
        <f>VLOOKUP($B189,'Tillförd energi'!$B$1:$AI$720,MATCH(F$2,'Tillförd energi'!$B$1:$AQ$1,0),FALSE)</f>
        <v>0</v>
      </c>
      <c r="G189" s="63">
        <f>VLOOKUP($B189,'Tillförd energi'!$B$1:$AI$720,MATCH(G$2,'Tillförd energi'!$B$1:$AQ$1,0),FALSE)</f>
        <v>0</v>
      </c>
      <c r="H189" s="63">
        <f>VLOOKUP($B189,'Tillförd energi'!$B$1:$AI$720,MATCH(H$2,'Tillförd energi'!$B$1:$AQ$1,0),FALSE)</f>
        <v>0</v>
      </c>
      <c r="I189" s="63">
        <f>VLOOKUP($B189,'Tillförd energi'!$B$1:$AI$720,MATCH(I$2,'Tillförd energi'!$B$1:$AQ$1,0),FALSE)</f>
        <v>0</v>
      </c>
      <c r="J189" s="63">
        <f>VLOOKUP($B189,'Tillförd energi'!$B$1:$AI$720,MATCH(J$2,'Tillförd energi'!$B$1:$AQ$1,0),FALSE)</f>
        <v>0</v>
      </c>
      <c r="K189" s="63">
        <f>VLOOKUP($B189,'Tillförd energi'!$B$1:$AI$720,MATCH(K$2,'Tillförd energi'!$B$1:$AQ$1,0),FALSE)</f>
        <v>0</v>
      </c>
      <c r="L189" s="63">
        <f>VLOOKUP($B189,'Tillförd energi'!$B$1:$AI$720,MATCH(L$2,'Tillförd energi'!$B$1:$AQ$1,0),FALSE)</f>
        <v>0</v>
      </c>
      <c r="M189" s="63">
        <f>VLOOKUP($B189,'Tillförd energi'!$B$1:$AI$720,MATCH(M$2,'Tillförd energi'!$B$1:$AQ$1,0),FALSE)</f>
        <v>0</v>
      </c>
      <c r="N189" s="63">
        <f>VLOOKUP($B189,'Tillförd energi'!$B$1:$AI$720,MATCH(N$2,'Tillförd energi'!$B$1:$AQ$1,0),FALSE)</f>
        <v>0</v>
      </c>
      <c r="O189" s="63">
        <f>VLOOKUP($B189,'Tillförd energi'!$B$1:$AI$720,MATCH(O$2,'Tillförd energi'!$B$1:$AQ$1,0),FALSE)</f>
        <v>0</v>
      </c>
      <c r="P189" s="63">
        <f>VLOOKUP($B189,'Tillförd energi'!$B$1:$AI$720,MATCH(P$2,'Tillförd energi'!$B$1:$AQ$1,0),FALSE)</f>
        <v>0</v>
      </c>
      <c r="Q189" s="63">
        <f>VLOOKUP($B189,'Tillförd energi'!$B$1:$AI$720,MATCH(Q$2,'Tillförd energi'!$B$1:$AQ$1,0),FALSE)</f>
        <v>0</v>
      </c>
      <c r="R189" s="63">
        <f>VLOOKUP($B189,'Tillförd energi'!$B$1:$AI$720,MATCH(R$2,'Tillförd energi'!$B$1:$AQ$1,0),FALSE)</f>
        <v>0</v>
      </c>
      <c r="S189" s="63">
        <f>VLOOKUP($B189,'Tillförd energi'!$B$1:$AI$720,MATCH(S$2,'Tillförd energi'!$B$1:$AQ$1,0),FALSE)</f>
        <v>0</v>
      </c>
      <c r="T189" s="63">
        <f>VLOOKUP($B189,'Tillförd energi'!$B$1:$AI$720,MATCH(T$2,'Tillförd energi'!$B$1:$AQ$1,0),FALSE)</f>
        <v>0</v>
      </c>
      <c r="U189" s="63">
        <f>VLOOKUP($B189,'Tillförd energi'!$B$1:$AI$720,MATCH(U$2,'Tillförd energi'!$B$1:$AQ$1,0),FALSE)</f>
        <v>0</v>
      </c>
      <c r="V189" s="63">
        <f>VLOOKUP($B189,'Tillförd energi'!$B$1:$AI$720,MATCH(V$2,'Tillförd energi'!$B$1:$AQ$1,0),FALSE)</f>
        <v>0</v>
      </c>
      <c r="W189" s="63">
        <f>VLOOKUP($B189,'Tillförd energi'!$B$1:$AI$720,MATCH(W$2,'Tillförd energi'!$B$1:$AQ$1,0),FALSE)</f>
        <v>0</v>
      </c>
      <c r="X189" s="63">
        <f>VLOOKUP($B189,'Tillförd energi'!$B$1:$AI$720,MATCH(X$2,'Tillförd energi'!$B$1:$AQ$1,0),FALSE)</f>
        <v>0</v>
      </c>
      <c r="Y189" s="63">
        <f>VLOOKUP($B189,'Tillförd energi'!$B$1:$AI$720,MATCH(Y$2,'Tillförd energi'!$B$1:$AQ$1,0),FALSE)</f>
        <v>0</v>
      </c>
      <c r="Z189" s="63">
        <f>VLOOKUP($B189,'Tillförd energi'!$B$1:$AI$720,MATCH(Z$2,'Tillförd energi'!$B$1:$AQ$1,0),FALSE)</f>
        <v>0</v>
      </c>
      <c r="AA189" s="63">
        <f>VLOOKUP($B189,'Tillförd energi'!$B$1:$AI$720,MATCH(AA$2,'Tillförd energi'!$B$1:$AQ$1,0),FALSE)</f>
        <v>0</v>
      </c>
      <c r="AB189" s="63">
        <f>VLOOKUP($B189,'Tillförd energi'!$B$1:$AI$720,MATCH(AB$2,'Tillförd energi'!$B$1:$AQ$1,0),FALSE)</f>
        <v>0</v>
      </c>
      <c r="AC189" s="63">
        <f>VLOOKUP($B189,'Tillförd energi'!$B$1:$AI$720,MATCH(AC$2,'Tillförd energi'!$B$1:$AQ$1,0),FALSE)</f>
        <v>0</v>
      </c>
      <c r="AD189" s="63">
        <f>VLOOKUP($B189,'Tillförd energi'!$B$1:$AI$720,MATCH(AD$2,'Tillförd energi'!$B$1:$AQ$1,0),FALSE)</f>
        <v>0</v>
      </c>
      <c r="AE189" s="63">
        <f>VLOOKUP($B189,'Tillförd energi'!$B$1:$AI$720,MATCH(AE$2,'Tillförd energi'!$B$1:$AQ$1,0),FALSE)</f>
        <v>0</v>
      </c>
      <c r="AF189" s="63">
        <f>VLOOKUP($B189,'Tillförd energi'!$B$1:$AI$720,MATCH(AF$2,'Tillförd energi'!$B$1:$AQ$1,0),FALSE)</f>
        <v>0</v>
      </c>
      <c r="AG189" s="63">
        <f>IFERROR(VLOOKUP(B189,Miljö!$B$1:$AC$550,MATCH("Köpt mängd produktionsspecifik fjärrvärme:",Miljö!$B$1:$AC$1,0),FALSE)/1,0)</f>
        <v>0</v>
      </c>
      <c r="AI189" s="63">
        <f t="shared" si="12"/>
        <v>0</v>
      </c>
      <c r="AJ189" s="63" t="str">
        <f>IF(ISERROR(1/VLOOKUP($B189,Leveranser!$B$1:$S$500,MATCH("såld värme (gwh)",Leveranser!$B$1:$S$1,0),FALSE)),"",VLOOKUP($B189,Leveranser!$B$1:$S$500,MATCH("såld värme (gwh)",Leveranser!$B$1:$S$1,0),FALSE))</f>
        <v/>
      </c>
      <c r="AM189" s="63" t="str">
        <f>IF(B189&lt;&gt;"",IF(VLOOKUP($B189,Totalt!$B$1:$AQ$554,MATCH("Kvalitetsgranskad:",Totalt!$B$1:$AQ$1,0),FALSE)="ja",VLOOKUP($B189,Miljö!$B$1:$AG$479,MATCH(AM$2,Miljö!$B$1:$AK$1,0),FALSE),""),"")</f>
        <v/>
      </c>
      <c r="AN189" s="63" t="str">
        <f>IF(AM189="ja",VLOOKUP($B189,Miljö!$B$1:$J$479,MATCH("Typ av ursprungsspecificerad el   (Om inget värde anges används Nordisk residualmix, se inforuta) ()",Miljö!$B$1:$J$1,0),FALSE),IF(AM189="nej","Nordisk residualel",""))</f>
        <v/>
      </c>
      <c r="AO189" s="63" t="str">
        <f>IF(AM189="","",VLOOKUP($B189,Miljö!$B$1:$J$479,MATCH("Fossilandel för ursprungspecificerad el ()",Miljö!$B$1:$J$1,0),FALSE))</f>
        <v/>
      </c>
      <c r="AQ189" s="63" t="str">
        <f t="shared" si="13"/>
        <v/>
      </c>
      <c r="AS189" s="63" t="str">
        <f t="shared" si="14"/>
        <v>Nej</v>
      </c>
      <c r="AT189" s="63" t="str">
        <f>IF(AS189="ja",VLOOKUP($B189,Miljö!$B$1:$P$500,MATCH("Fossil andel i procent (%)",Miljö!$B$1:$P$1,0),FALSE)/100,"")</f>
        <v/>
      </c>
      <c r="AV189" s="63" t="str">
        <f t="shared" si="15"/>
        <v>Nej</v>
      </c>
      <c r="AW189" s="63" t="str">
        <f>IF(AV189="ja",VLOOKUP($B189,'Egen hetvattenprod'!$B$1:$AO$500,MATCH("Värmekälla till värmepumpar ()",'Egen hetvattenprod'!$B$1:$AO$1,0),FALSE),"")</f>
        <v/>
      </c>
      <c r="AY189" s="63" t="str">
        <f t="shared" si="16"/>
        <v>Nej</v>
      </c>
      <c r="AZ189" s="77" t="str">
        <f>IF($AY189="ja",(VLOOKUP($B189,'Egen hetvattenprod'!$B$1:$BX$550,MATCH(AZ$2,'Egen hetvattenprod'!$B$1:$BX$1,0),FALSE)+VLOOKUP($B189,Kraftvärmeprod!$B$1:$BX$550,MATCH(AZ$2,Kraftvärmeprod!$B$1:$BX$1,0),FALSE))/$AC189,"")</f>
        <v/>
      </c>
      <c r="BA189" s="77" t="str">
        <f>IF($AY189="ja",(VLOOKUP($B189,'Egen hetvattenprod'!$B$1:$BX$550,MATCH(BA$2,'Egen hetvattenprod'!$B$1:$BX$1,0),FALSE)+VLOOKUP($B189,Kraftvärmeprod!$B$1:$BX$550,MATCH(BA$2,Kraftvärmeprod!$B$1:$BX$1,0),FALSE))/$AC189,"")</f>
        <v/>
      </c>
      <c r="BB189" s="77" t="str">
        <f>IF($AY189="ja",(VLOOKUP($B189,'Egen hetvattenprod'!$B$1:$BX$550,MATCH(BB$2,'Egen hetvattenprod'!$B$1:$BX$1,0),FALSE)+VLOOKUP($B189,Kraftvärmeprod!$B$1:$BX$550,MATCH(BB$2,Kraftvärmeprod!$B$1:$BX$1,0),FALSE))/$AC189,"")</f>
        <v/>
      </c>
      <c r="BC189" s="77" t="str">
        <f>IF($AY189="ja",(VLOOKUP($B189,'Egen hetvattenprod'!$B$1:$BX$550,MATCH(BC$2,'Egen hetvattenprod'!$B$1:$BX$1,0),FALSE)+VLOOKUP($B189,Kraftvärmeprod!$B$1:$BX$550,MATCH(BC$2,Kraftvärmeprod!$B$1:$BX$1,0),FALSE))/$AC189,"")</f>
        <v/>
      </c>
      <c r="BD189" s="77" t="str">
        <f>IF($AY189="ja",(VLOOKUP($B189,'Egen hetvattenprod'!$B$1:$BX$550,MATCH(BD$2,'Egen hetvattenprod'!$B$1:$BX$1,0),FALSE)+VLOOKUP($B189,Kraftvärmeprod!$B$1:$BX$550,MATCH(BD$2,Kraftvärmeprod!$B$1:$BX$1,0),FALSE))/$AC189,"")</f>
        <v/>
      </c>
      <c r="BF189" s="63" t="str">
        <f t="shared" si="17"/>
        <v>Nej</v>
      </c>
      <c r="BG189" s="63" t="str">
        <f>IF($BF189="ja",VLOOKUP($B189,'Egen hetvattenprod'!$B$1:$BX$550,MATCH("Andelen klimatgaser med fossilt ursprung för avfall ()",'Egen hetvattenprod'!$B$1:$BX$1,0),FALSE),"")</f>
        <v/>
      </c>
      <c r="BH189" s="63" t="str">
        <f>IF($BF189="ja",VLOOKUP($B189,Kraftvärmeprod!$B$1:$BX$550,MATCH("Andelen klimatgaser med fossilt ursprung för avfall ()",Kraftvärmeprod!$B$1:$BX$1,0),FALSE),"")</f>
        <v/>
      </c>
      <c r="BI189" s="63" t="str">
        <f>IF($BF189="ja",VLOOKUP($B189,'Egen hetvattenprod'!$B$1:$BX$550,MATCH("Avfall (GWh)",'Egen hetvattenprod'!$B$1:$BX$1,0),FALSE),"")</f>
        <v/>
      </c>
      <c r="BJ189" s="63" t="str">
        <f>IF($BF189="ja",VLOOKUP($B189,'Slutlig allokering kvv'!$B$1:$BX$550,MATCH("Avfall (GWh)",'Slutlig allokering kvv'!$B$1:$BX$1,0),FALSE),"")</f>
        <v/>
      </c>
      <c r="BK189" s="63" t="str">
        <f>IF($BF189="ja",VLOOKUP($B189,'Köpt hetvatten'!$B$1:$BX$550,MATCH("Avfall i köpt hetvatten",'Köpt hetvatten'!$B$1:$BX$1,0),FALSE),"")</f>
        <v/>
      </c>
      <c r="BL189" s="63" t="str">
        <f>IF($BF189="ja",VLOOKUP($B189,'Egen hetvattenprod'!$B$1:$BX$550,MATCH("Värde enligt ovan. (%)",'Egen hetvattenprod'!$B$1:$BX$1,0),FALSE),"")</f>
        <v/>
      </c>
      <c r="BM189" s="63" t="str">
        <f>IF($BF189="ja",VLOOKUP($B189,Kraftvärmeprod!$B$1:$BX$550,MATCH("Värde enligt ovan. (%)",Kraftvärmeprod!$B$1:$BX$1,0),FALSE),"")</f>
        <v/>
      </c>
    </row>
    <row r="190" spans="1:65" x14ac:dyDescent="0.45">
      <c r="A190" s="63" t="s">
        <v>428</v>
      </c>
      <c r="B190" s="63" t="s">
        <v>429</v>
      </c>
      <c r="C190" s="63">
        <f>VLOOKUP($B190,'Tillförd energi'!$B$1:$AI$720,MATCH(C$2,'Tillförd energi'!$B$1:$AQ$1,0),FALSE)</f>
        <v>0</v>
      </c>
      <c r="D190" s="63">
        <f>VLOOKUP($B190,'Tillförd energi'!$B$1:$AI$720,MATCH(D$2,'Tillförd energi'!$B$1:$AQ$1,0),FALSE)</f>
        <v>0</v>
      </c>
      <c r="E190" s="63">
        <f>VLOOKUP($B190,'Tillförd energi'!$B$1:$AI$720,MATCH(E$2,'Tillförd energi'!$B$1:$AQ$1,0),FALSE)</f>
        <v>0</v>
      </c>
      <c r="F190" s="63">
        <f>VLOOKUP($B190,'Tillförd energi'!$B$1:$AI$720,MATCH(F$2,'Tillförd energi'!$B$1:$AQ$1,0),FALSE)</f>
        <v>0</v>
      </c>
      <c r="G190" s="63">
        <f>VLOOKUP($B190,'Tillförd energi'!$B$1:$AI$720,MATCH(G$2,'Tillförd energi'!$B$1:$AQ$1,0),FALSE)</f>
        <v>0</v>
      </c>
      <c r="H190" s="63">
        <f>VLOOKUP($B190,'Tillförd energi'!$B$1:$AI$720,MATCH(H$2,'Tillförd energi'!$B$1:$AQ$1,0),FALSE)</f>
        <v>0</v>
      </c>
      <c r="I190" s="63">
        <f>VLOOKUP($B190,'Tillförd energi'!$B$1:$AI$720,MATCH(I$2,'Tillförd energi'!$B$1:$AQ$1,0),FALSE)</f>
        <v>0</v>
      </c>
      <c r="J190" s="63">
        <f>VLOOKUP($B190,'Tillförd energi'!$B$1:$AI$720,MATCH(J$2,'Tillförd energi'!$B$1:$AQ$1,0),FALSE)</f>
        <v>0</v>
      </c>
      <c r="K190" s="63">
        <f>VLOOKUP($B190,'Tillförd energi'!$B$1:$AI$720,MATCH(K$2,'Tillförd energi'!$B$1:$AQ$1,0),FALSE)</f>
        <v>0</v>
      </c>
      <c r="L190" s="63">
        <f>VLOOKUP($B190,'Tillförd energi'!$B$1:$AI$720,MATCH(L$2,'Tillförd energi'!$B$1:$AQ$1,0),FALSE)</f>
        <v>0</v>
      </c>
      <c r="M190" s="63">
        <f>VLOOKUP($B190,'Tillförd energi'!$B$1:$AI$720,MATCH(M$2,'Tillförd energi'!$B$1:$AQ$1,0),FALSE)</f>
        <v>0</v>
      </c>
      <c r="N190" s="63">
        <f>VLOOKUP($B190,'Tillförd energi'!$B$1:$AI$720,MATCH(N$2,'Tillförd energi'!$B$1:$AQ$1,0),FALSE)</f>
        <v>36.668700000000001</v>
      </c>
      <c r="O190" s="63">
        <f>VLOOKUP($B190,'Tillförd energi'!$B$1:$AI$720,MATCH(O$2,'Tillförd energi'!$B$1:$AQ$1,0),FALSE)</f>
        <v>0</v>
      </c>
      <c r="P190" s="63">
        <f>VLOOKUP($B190,'Tillförd energi'!$B$1:$AI$720,MATCH(P$2,'Tillförd energi'!$B$1:$AQ$1,0),FALSE)</f>
        <v>0</v>
      </c>
      <c r="Q190" s="63">
        <f>VLOOKUP($B190,'Tillförd energi'!$B$1:$AI$720,MATCH(Q$2,'Tillförd energi'!$B$1:$AQ$1,0),FALSE)</f>
        <v>0</v>
      </c>
      <c r="R190" s="63">
        <f>VLOOKUP($B190,'Tillförd energi'!$B$1:$AI$720,MATCH(R$2,'Tillförd energi'!$B$1:$AQ$1,0),FALSE)</f>
        <v>0</v>
      </c>
      <c r="S190" s="63">
        <f>VLOOKUP($B190,'Tillförd energi'!$B$1:$AI$720,MATCH(S$2,'Tillförd energi'!$B$1:$AQ$1,0),FALSE)</f>
        <v>0</v>
      </c>
      <c r="T190" s="63">
        <f>VLOOKUP($B190,'Tillförd energi'!$B$1:$AI$720,MATCH(T$2,'Tillförd energi'!$B$1:$AQ$1,0),FALSE)</f>
        <v>0</v>
      </c>
      <c r="U190" s="63">
        <f>VLOOKUP($B190,'Tillförd energi'!$B$1:$AI$720,MATCH(U$2,'Tillförd energi'!$B$1:$AQ$1,0),FALSE)</f>
        <v>0</v>
      </c>
      <c r="V190" s="63">
        <f>VLOOKUP($B190,'Tillförd energi'!$B$1:$AI$720,MATCH(V$2,'Tillförd energi'!$B$1:$AQ$1,0),FALSE)</f>
        <v>0</v>
      </c>
      <c r="W190" s="63">
        <f>VLOOKUP($B190,'Tillförd energi'!$B$1:$AI$720,MATCH(W$2,'Tillförd energi'!$B$1:$AQ$1,0),FALSE)</f>
        <v>0</v>
      </c>
      <c r="X190" s="63">
        <f>VLOOKUP($B190,'Tillförd energi'!$B$1:$AI$720,MATCH(X$2,'Tillförd energi'!$B$1:$AQ$1,0),FALSE)</f>
        <v>0</v>
      </c>
      <c r="Y190" s="63">
        <f>VLOOKUP($B190,'Tillförd energi'!$B$1:$AI$720,MATCH(Y$2,'Tillförd energi'!$B$1:$AQ$1,0),FALSE)</f>
        <v>0</v>
      </c>
      <c r="Z190" s="63">
        <f>VLOOKUP($B190,'Tillförd energi'!$B$1:$AI$720,MATCH(Z$2,'Tillförd energi'!$B$1:$AQ$1,0),FALSE)</f>
        <v>0</v>
      </c>
      <c r="AA190" s="63">
        <f>VLOOKUP($B190,'Tillförd energi'!$B$1:$AI$720,MATCH(AA$2,'Tillförd energi'!$B$1:$AQ$1,0),FALSE)</f>
        <v>0</v>
      </c>
      <c r="AB190" s="63">
        <f>VLOOKUP($B190,'Tillförd energi'!$B$1:$AI$720,MATCH(AB$2,'Tillförd energi'!$B$1:$AQ$1,0),FALSE)</f>
        <v>0</v>
      </c>
      <c r="AC190" s="63">
        <f>VLOOKUP($B190,'Tillförd energi'!$B$1:$AI$720,MATCH(AC$2,'Tillförd energi'!$B$1:$AQ$1,0),FALSE)</f>
        <v>20.283999999999999</v>
      </c>
      <c r="AD190" s="63">
        <f>VLOOKUP($B190,'Tillförd energi'!$B$1:$AI$720,MATCH(AD$2,'Tillförd energi'!$B$1:$AQ$1,0),FALSE)</f>
        <v>0</v>
      </c>
      <c r="AE190" s="63">
        <f>VLOOKUP($B190,'Tillförd energi'!$B$1:$AI$720,MATCH(AE$2,'Tillförd energi'!$B$1:$AQ$1,0),FALSE)</f>
        <v>0</v>
      </c>
      <c r="AF190" s="63">
        <f>VLOOKUP($B190,'Tillförd energi'!$B$1:$AI$720,MATCH(AF$2,'Tillförd energi'!$B$1:$AQ$1,0),FALSE)</f>
        <v>1.4557500000000001</v>
      </c>
      <c r="AG190" s="63">
        <f>IFERROR(VLOOKUP(B190,Miljö!$B$1:$AC$550,MATCH("Köpt mängd produktionsspecifik fjärrvärme:",Miljö!$B$1:$AC$1,0),FALSE)/1,0)</f>
        <v>0</v>
      </c>
      <c r="AI190" s="63">
        <f t="shared" si="12"/>
        <v>58.408450000000002</v>
      </c>
      <c r="AJ190" s="63">
        <f>IF(ISERROR(1/VLOOKUP($B190,Leveranser!$B$1:$S$500,MATCH("såld värme (gwh)",Leveranser!$B$1:$S$1,0),FALSE)),"",VLOOKUP($B190,Leveranser!$B$1:$S$500,MATCH("såld värme (gwh)",Leveranser!$B$1:$S$1,0),FALSE))</f>
        <v>60.075000000000003</v>
      </c>
      <c r="AM190" s="63" t="str">
        <f>IF(B190&lt;&gt;"",IF(VLOOKUP($B190,Totalt!$B$1:$AQ$554,MATCH("Kvalitetsgranskad:",Totalt!$B$1:$AQ$1,0),FALSE)="ja",VLOOKUP($B190,Miljö!$B$1:$AG$479,MATCH(AM$2,Miljö!$B$1:$AK$1,0),FALSE),""),"")</f>
        <v>Ja</v>
      </c>
      <c r="AN190" s="63" t="str">
        <f>IF(AM190="ja",VLOOKUP($B190,Miljö!$B$1:$J$479,MATCH("Typ av ursprungsspecificerad el   (Om inget värde anges används Nordisk residualmix, se inforuta) ()",Miljö!$B$1:$J$1,0),FALSE),IF(AM190="nej","Nordisk residualel",""))</f>
        <v>'Förnybar el från egen produktion'</v>
      </c>
      <c r="AO190" s="63">
        <f>IF(AM190="","",VLOOKUP($B190,Miljö!$B$1:$J$479,MATCH("Fossilandel för ursprungspecificerad el ()",Miljö!$B$1:$J$1,0),FALSE))</f>
        <v>0</v>
      </c>
      <c r="AQ190" s="63">
        <f t="shared" si="13"/>
        <v>1</v>
      </c>
      <c r="AS190" s="63" t="str">
        <f t="shared" si="14"/>
        <v>Nej</v>
      </c>
      <c r="AT190" s="63" t="str">
        <f>IF(AS190="ja",VLOOKUP($B190,Miljö!$B$1:$P$500,MATCH("Fossil andel i procent (%)",Miljö!$B$1:$P$1,0),FALSE)/100,"")</f>
        <v/>
      </c>
      <c r="AV190" s="63" t="str">
        <f t="shared" si="15"/>
        <v>Nej</v>
      </c>
      <c r="AW190" s="63" t="str">
        <f>IF(AV190="ja",VLOOKUP($B190,'Egen hetvattenprod'!$B$1:$AO$500,MATCH("Värmekälla till värmepumpar ()",'Egen hetvattenprod'!$B$1:$AO$1,0),FALSE),"")</f>
        <v/>
      </c>
      <c r="AY190" s="63" t="str">
        <f t="shared" si="16"/>
        <v>Ja</v>
      </c>
      <c r="AZ190" s="77">
        <f>IF($AY190="ja",(VLOOKUP($B190,'Egen hetvattenprod'!$B$1:$BX$550,MATCH(AZ$2,'Egen hetvattenprod'!$B$1:$BX$1,0),FALSE)+VLOOKUP($B190,Kraftvärmeprod!$B$1:$BX$550,MATCH(AZ$2,Kraftvärmeprod!$B$1:$BX$1,0),FALSE))/$AC190,"")</f>
        <v>1</v>
      </c>
      <c r="BA190" s="77">
        <f>IF($AY190="ja",(VLOOKUP($B190,'Egen hetvattenprod'!$B$1:$BX$550,MATCH(BA$2,'Egen hetvattenprod'!$B$1:$BX$1,0),FALSE)+VLOOKUP($B190,Kraftvärmeprod!$B$1:$BX$550,MATCH(BA$2,Kraftvärmeprod!$B$1:$BX$1,0),FALSE))/$AC190,"")</f>
        <v>0</v>
      </c>
      <c r="BB190" s="77">
        <f>IF($AY190="ja",(VLOOKUP($B190,'Egen hetvattenprod'!$B$1:$BX$550,MATCH(BB$2,'Egen hetvattenprod'!$B$1:$BX$1,0),FALSE)+VLOOKUP($B190,Kraftvärmeprod!$B$1:$BX$550,MATCH(BB$2,Kraftvärmeprod!$B$1:$BX$1,0),FALSE))/$AC190,"")</f>
        <v>0</v>
      </c>
      <c r="BC190" s="77">
        <f>IF($AY190="ja",(VLOOKUP($B190,'Egen hetvattenprod'!$B$1:$BX$550,MATCH(BC$2,'Egen hetvattenprod'!$B$1:$BX$1,0),FALSE)+VLOOKUP($B190,Kraftvärmeprod!$B$1:$BX$550,MATCH(BC$2,Kraftvärmeprod!$B$1:$BX$1,0),FALSE))/$AC190,"")</f>
        <v>0</v>
      </c>
      <c r="BD190" s="77">
        <f>IF($AY190="ja",(VLOOKUP($B190,'Egen hetvattenprod'!$B$1:$BX$550,MATCH(BD$2,'Egen hetvattenprod'!$B$1:$BX$1,0),FALSE)+VLOOKUP($B190,Kraftvärmeprod!$B$1:$BX$550,MATCH(BD$2,Kraftvärmeprod!$B$1:$BX$1,0),FALSE))/$AC190,"")</f>
        <v>0</v>
      </c>
      <c r="BF190" s="63" t="str">
        <f t="shared" si="17"/>
        <v>Nej</v>
      </c>
      <c r="BG190" s="63" t="str">
        <f>IF($BF190="ja",VLOOKUP($B190,'Egen hetvattenprod'!$B$1:$BX$550,MATCH("Andelen klimatgaser med fossilt ursprung för avfall ()",'Egen hetvattenprod'!$B$1:$BX$1,0),FALSE),"")</f>
        <v/>
      </c>
      <c r="BH190" s="63" t="str">
        <f>IF($BF190="ja",VLOOKUP($B190,Kraftvärmeprod!$B$1:$BX$550,MATCH("Andelen klimatgaser med fossilt ursprung för avfall ()",Kraftvärmeprod!$B$1:$BX$1,0),FALSE),"")</f>
        <v/>
      </c>
      <c r="BI190" s="63" t="str">
        <f>IF($BF190="ja",VLOOKUP($B190,'Egen hetvattenprod'!$B$1:$BX$550,MATCH("Avfall (GWh)",'Egen hetvattenprod'!$B$1:$BX$1,0),FALSE),"")</f>
        <v/>
      </c>
      <c r="BJ190" s="63" t="str">
        <f>IF($BF190="ja",VLOOKUP($B190,'Slutlig allokering kvv'!$B$1:$BX$550,MATCH("Avfall (GWh)",'Slutlig allokering kvv'!$B$1:$BX$1,0),FALSE),"")</f>
        <v/>
      </c>
      <c r="BK190" s="63" t="str">
        <f>IF($BF190="ja",VLOOKUP($B190,'Köpt hetvatten'!$B$1:$BX$550,MATCH("Avfall i köpt hetvatten",'Köpt hetvatten'!$B$1:$BX$1,0),FALSE),"")</f>
        <v/>
      </c>
      <c r="BL190" s="63" t="str">
        <f>IF($BF190="ja",VLOOKUP($B190,'Egen hetvattenprod'!$B$1:$BX$550,MATCH("Värde enligt ovan. (%)",'Egen hetvattenprod'!$B$1:$BX$1,0),FALSE),"")</f>
        <v/>
      </c>
      <c r="BM190" s="63" t="str">
        <f>IF($BF190="ja",VLOOKUP($B190,Kraftvärmeprod!$B$1:$BX$550,MATCH("Värde enligt ovan. (%)",Kraftvärmeprod!$B$1:$BX$1,0),FALSE),"")</f>
        <v/>
      </c>
    </row>
    <row r="191" spans="1:65" x14ac:dyDescent="0.45">
      <c r="A191" s="63" t="s">
        <v>418</v>
      </c>
      <c r="B191" s="63" t="s">
        <v>424</v>
      </c>
      <c r="C191" s="63">
        <f>VLOOKUP($B191,'Tillförd energi'!$B$1:$AI$720,MATCH(C$2,'Tillförd energi'!$B$1:$AQ$1,0),FALSE)</f>
        <v>0</v>
      </c>
      <c r="D191" s="63">
        <f>VLOOKUP($B191,'Tillförd energi'!$B$1:$AI$720,MATCH(D$2,'Tillförd energi'!$B$1:$AQ$1,0),FALSE)</f>
        <v>0.312</v>
      </c>
      <c r="E191" s="63">
        <f>VLOOKUP($B191,'Tillförd energi'!$B$1:$AI$720,MATCH(E$2,'Tillförd energi'!$B$1:$AQ$1,0),FALSE)</f>
        <v>0</v>
      </c>
      <c r="F191" s="63">
        <f>VLOOKUP($B191,'Tillförd energi'!$B$1:$AI$720,MATCH(F$2,'Tillförd energi'!$B$1:$AQ$1,0),FALSE)</f>
        <v>0</v>
      </c>
      <c r="G191" s="63">
        <f>VLOOKUP($B191,'Tillförd energi'!$B$1:$AI$720,MATCH(G$2,'Tillförd energi'!$B$1:$AQ$1,0),FALSE)</f>
        <v>0.63100000000000001</v>
      </c>
      <c r="H191" s="63">
        <f>VLOOKUP($B191,'Tillförd energi'!$B$1:$AI$720,MATCH(H$2,'Tillförd energi'!$B$1:$AQ$1,0),FALSE)</f>
        <v>0</v>
      </c>
      <c r="I191" s="63">
        <f>VLOOKUP($B191,'Tillförd energi'!$B$1:$AI$720,MATCH(I$2,'Tillförd energi'!$B$1:$AQ$1,0),FALSE)</f>
        <v>0</v>
      </c>
      <c r="J191" s="63">
        <f>VLOOKUP($B191,'Tillförd energi'!$B$1:$AI$720,MATCH(J$2,'Tillförd energi'!$B$1:$AQ$1,0),FALSE)</f>
        <v>0</v>
      </c>
      <c r="K191" s="63">
        <f>VLOOKUP($B191,'Tillförd energi'!$B$1:$AI$720,MATCH(K$2,'Tillförd energi'!$B$1:$AQ$1,0),FALSE)</f>
        <v>0</v>
      </c>
      <c r="L191" s="63">
        <f>VLOOKUP($B191,'Tillförd energi'!$B$1:$AI$720,MATCH(L$2,'Tillförd energi'!$B$1:$AQ$1,0),FALSE)</f>
        <v>0</v>
      </c>
      <c r="M191" s="63">
        <f>VLOOKUP($B191,'Tillförd energi'!$B$1:$AI$720,MATCH(M$2,'Tillförd energi'!$B$1:$AQ$1,0),FALSE)</f>
        <v>0</v>
      </c>
      <c r="N191" s="63">
        <f>VLOOKUP($B191,'Tillförd energi'!$B$1:$AI$720,MATCH(N$2,'Tillförd energi'!$B$1:$AQ$1,0),FALSE)</f>
        <v>0</v>
      </c>
      <c r="O191" s="63">
        <f>VLOOKUP($B191,'Tillförd energi'!$B$1:$AI$720,MATCH(O$2,'Tillförd energi'!$B$1:$AQ$1,0),FALSE)</f>
        <v>0</v>
      </c>
      <c r="P191" s="63">
        <f>VLOOKUP($B191,'Tillförd energi'!$B$1:$AI$720,MATCH(P$2,'Tillförd energi'!$B$1:$AQ$1,0),FALSE)</f>
        <v>24.561</v>
      </c>
      <c r="Q191" s="63">
        <f>VLOOKUP($B191,'Tillförd energi'!$B$1:$AI$720,MATCH(Q$2,'Tillförd energi'!$B$1:$AQ$1,0),FALSE)</f>
        <v>0</v>
      </c>
      <c r="R191" s="63">
        <f>VLOOKUP($B191,'Tillförd energi'!$B$1:$AI$720,MATCH(R$2,'Tillförd energi'!$B$1:$AQ$1,0),FALSE)</f>
        <v>0.69399999999999995</v>
      </c>
      <c r="S191" s="63">
        <f>VLOOKUP($B191,'Tillförd energi'!$B$1:$AI$720,MATCH(S$2,'Tillförd energi'!$B$1:$AQ$1,0),FALSE)</f>
        <v>0</v>
      </c>
      <c r="T191" s="63">
        <f>VLOOKUP($B191,'Tillförd energi'!$B$1:$AI$720,MATCH(T$2,'Tillförd energi'!$B$1:$AQ$1,0),FALSE)</f>
        <v>0</v>
      </c>
      <c r="U191" s="63">
        <f>VLOOKUP($B191,'Tillförd energi'!$B$1:$AI$720,MATCH(U$2,'Tillförd energi'!$B$1:$AQ$1,0),FALSE)</f>
        <v>0</v>
      </c>
      <c r="V191" s="63">
        <f>VLOOKUP($B191,'Tillförd energi'!$B$1:$AI$720,MATCH(V$2,'Tillförd energi'!$B$1:$AQ$1,0),FALSE)</f>
        <v>0</v>
      </c>
      <c r="W191" s="63">
        <f>VLOOKUP($B191,'Tillförd energi'!$B$1:$AI$720,MATCH(W$2,'Tillförd energi'!$B$1:$AQ$1,0),FALSE)</f>
        <v>0</v>
      </c>
      <c r="X191" s="63">
        <f>VLOOKUP($B191,'Tillförd energi'!$B$1:$AI$720,MATCH(X$2,'Tillförd energi'!$B$1:$AQ$1,0),FALSE)</f>
        <v>0</v>
      </c>
      <c r="Y191" s="63">
        <f>VLOOKUP($B191,'Tillförd energi'!$B$1:$AI$720,MATCH(Y$2,'Tillförd energi'!$B$1:$AQ$1,0),FALSE)</f>
        <v>0</v>
      </c>
      <c r="Z191" s="63">
        <f>VLOOKUP($B191,'Tillförd energi'!$B$1:$AI$720,MATCH(Z$2,'Tillförd energi'!$B$1:$AQ$1,0),FALSE)</f>
        <v>0</v>
      </c>
      <c r="AA191" s="63">
        <f>VLOOKUP($B191,'Tillförd energi'!$B$1:$AI$720,MATCH(AA$2,'Tillförd energi'!$B$1:$AQ$1,0),FALSE)</f>
        <v>0</v>
      </c>
      <c r="AB191" s="63">
        <f>VLOOKUP($B191,'Tillförd energi'!$B$1:$AI$720,MATCH(AB$2,'Tillförd energi'!$B$1:$AQ$1,0),FALSE)</f>
        <v>0</v>
      </c>
      <c r="AC191" s="63">
        <f>VLOOKUP($B191,'Tillförd energi'!$B$1:$AI$720,MATCH(AC$2,'Tillförd energi'!$B$1:$AQ$1,0),FALSE)</f>
        <v>0</v>
      </c>
      <c r="AD191" s="63">
        <f>VLOOKUP($B191,'Tillförd energi'!$B$1:$AI$720,MATCH(AD$2,'Tillförd energi'!$B$1:$AQ$1,0),FALSE)</f>
        <v>1.361</v>
      </c>
      <c r="AE191" s="63">
        <f>VLOOKUP($B191,'Tillförd energi'!$B$1:$AI$720,MATCH(AE$2,'Tillförd energi'!$B$1:$AQ$1,0),FALSE)</f>
        <v>0</v>
      </c>
      <c r="AF191" s="63">
        <f>VLOOKUP($B191,'Tillförd energi'!$B$1:$AI$720,MATCH(AF$2,'Tillförd energi'!$B$1:$AQ$1,0),FALSE)</f>
        <v>0.71299999999999997</v>
      </c>
      <c r="AG191" s="63">
        <f>IFERROR(VLOOKUP(B191,Miljö!$B$1:$AC$550,MATCH("Köpt mängd produktionsspecifik fjärrvärme:",Miljö!$B$1:$AC$1,0),FALSE)/1,0)</f>
        <v>0</v>
      </c>
      <c r="AI191" s="63">
        <f t="shared" si="12"/>
        <v>28.272000000000002</v>
      </c>
      <c r="AJ191" s="63">
        <f>IF(ISERROR(1/VLOOKUP($B191,Leveranser!$B$1:$S$500,MATCH("såld värme (gwh)",Leveranser!$B$1:$S$1,0),FALSE)),"",VLOOKUP($B191,Leveranser!$B$1:$S$500,MATCH("såld värme (gwh)",Leveranser!$B$1:$S$1,0),FALSE))</f>
        <v>21.033999999999999</v>
      </c>
      <c r="AM191" s="63" t="str">
        <f>IF(B191&lt;&gt;"",IF(VLOOKUP($B191,Totalt!$B$1:$AQ$554,MATCH("Kvalitetsgranskad:",Totalt!$B$1:$AQ$1,0),FALSE)="ja",VLOOKUP($B191,Miljö!$B$1:$AG$479,MATCH(AM$2,Miljö!$B$1:$AK$1,0),FALSE),""),"")</f>
        <v>Ja</v>
      </c>
      <c r="AN191" s="63" t="str">
        <f>IF(AM191="ja",VLOOKUP($B191,Miljö!$B$1:$J$479,MATCH("Typ av ursprungsspecificerad el   (Om inget värde anges används Nordisk residualmix, se inforuta) ()",Miljö!$B$1:$J$1,0),FALSE),IF(AM191="nej","Nordisk residualel",""))</f>
        <v>'Ursprungsmärtkt vattenkraft'</v>
      </c>
      <c r="AO191" s="63">
        <f>IF(AM191="","",VLOOKUP($B191,Miljö!$B$1:$J$479,MATCH("Fossilandel för ursprungspecificerad el ()",Miljö!$B$1:$J$1,0),FALSE))</f>
        <v>0</v>
      </c>
      <c r="AQ191" s="63">
        <f t="shared" si="13"/>
        <v>1</v>
      </c>
      <c r="AS191" s="63" t="str">
        <f t="shared" si="14"/>
        <v>Nej</v>
      </c>
      <c r="AT191" s="63" t="str">
        <f>IF(AS191="ja",VLOOKUP($B191,Miljö!$B$1:$P$500,MATCH("Fossil andel i procent (%)",Miljö!$B$1:$P$1,0),FALSE)/100,"")</f>
        <v/>
      </c>
      <c r="AV191" s="63" t="str">
        <f t="shared" si="15"/>
        <v>Nej</v>
      </c>
      <c r="AW191" s="63" t="str">
        <f>IF(AV191="ja",VLOOKUP($B191,'Egen hetvattenprod'!$B$1:$AO$500,MATCH("Värmekälla till värmepumpar ()",'Egen hetvattenprod'!$B$1:$AO$1,0),FALSE),"")</f>
        <v/>
      </c>
      <c r="AY191" s="63" t="str">
        <f t="shared" si="16"/>
        <v>Nej</v>
      </c>
      <c r="AZ191" s="77" t="str">
        <f>IF($AY191="ja",(VLOOKUP($B191,'Egen hetvattenprod'!$B$1:$BX$550,MATCH(AZ$2,'Egen hetvattenprod'!$B$1:$BX$1,0),FALSE)+VLOOKUP($B191,Kraftvärmeprod!$B$1:$BX$550,MATCH(AZ$2,Kraftvärmeprod!$B$1:$BX$1,0),FALSE))/$AC191,"")</f>
        <v/>
      </c>
      <c r="BA191" s="77" t="str">
        <f>IF($AY191="ja",(VLOOKUP($B191,'Egen hetvattenprod'!$B$1:$BX$550,MATCH(BA$2,'Egen hetvattenprod'!$B$1:$BX$1,0),FALSE)+VLOOKUP($B191,Kraftvärmeprod!$B$1:$BX$550,MATCH(BA$2,Kraftvärmeprod!$B$1:$BX$1,0),FALSE))/$AC191,"")</f>
        <v/>
      </c>
      <c r="BB191" s="77" t="str">
        <f>IF($AY191="ja",(VLOOKUP($B191,'Egen hetvattenprod'!$B$1:$BX$550,MATCH(BB$2,'Egen hetvattenprod'!$B$1:$BX$1,0),FALSE)+VLOOKUP($B191,Kraftvärmeprod!$B$1:$BX$550,MATCH(BB$2,Kraftvärmeprod!$B$1:$BX$1,0),FALSE))/$AC191,"")</f>
        <v/>
      </c>
      <c r="BC191" s="77" t="str">
        <f>IF($AY191="ja",(VLOOKUP($B191,'Egen hetvattenprod'!$B$1:$BX$550,MATCH(BC$2,'Egen hetvattenprod'!$B$1:$BX$1,0),FALSE)+VLOOKUP($B191,Kraftvärmeprod!$B$1:$BX$550,MATCH(BC$2,Kraftvärmeprod!$B$1:$BX$1,0),FALSE))/$AC191,"")</f>
        <v/>
      </c>
      <c r="BD191" s="77" t="str">
        <f>IF($AY191="ja",(VLOOKUP($B191,'Egen hetvattenprod'!$B$1:$BX$550,MATCH(BD$2,'Egen hetvattenprod'!$B$1:$BX$1,0),FALSE)+VLOOKUP($B191,Kraftvärmeprod!$B$1:$BX$550,MATCH(BD$2,Kraftvärmeprod!$B$1:$BX$1,0),FALSE))/$AC191,"")</f>
        <v/>
      </c>
      <c r="BF191" s="63" t="str">
        <f t="shared" si="17"/>
        <v>Nej</v>
      </c>
      <c r="BG191" s="63" t="str">
        <f>IF($BF191="ja",VLOOKUP($B191,'Egen hetvattenprod'!$B$1:$BX$550,MATCH("Andelen klimatgaser med fossilt ursprung för avfall ()",'Egen hetvattenprod'!$B$1:$BX$1,0),FALSE),"")</f>
        <v/>
      </c>
      <c r="BH191" s="63" t="str">
        <f>IF($BF191="ja",VLOOKUP($B191,Kraftvärmeprod!$B$1:$BX$550,MATCH("Andelen klimatgaser med fossilt ursprung för avfall ()",Kraftvärmeprod!$B$1:$BX$1,0),FALSE),"")</f>
        <v/>
      </c>
      <c r="BI191" s="63" t="str">
        <f>IF($BF191="ja",VLOOKUP($B191,'Egen hetvattenprod'!$B$1:$BX$550,MATCH("Avfall (GWh)",'Egen hetvattenprod'!$B$1:$BX$1,0),FALSE),"")</f>
        <v/>
      </c>
      <c r="BJ191" s="63" t="str">
        <f>IF($BF191="ja",VLOOKUP($B191,'Slutlig allokering kvv'!$B$1:$BX$550,MATCH("Avfall (GWh)",'Slutlig allokering kvv'!$B$1:$BX$1,0),FALSE),"")</f>
        <v/>
      </c>
      <c r="BK191" s="63" t="str">
        <f>IF($BF191="ja",VLOOKUP($B191,'Köpt hetvatten'!$B$1:$BX$550,MATCH("Avfall i köpt hetvatten",'Köpt hetvatten'!$B$1:$BX$1,0),FALSE),"")</f>
        <v/>
      </c>
      <c r="BL191" s="63" t="str">
        <f>IF($BF191="ja",VLOOKUP($B191,'Egen hetvattenprod'!$B$1:$BX$550,MATCH("Värde enligt ovan. (%)",'Egen hetvattenprod'!$B$1:$BX$1,0),FALSE),"")</f>
        <v/>
      </c>
      <c r="BM191" s="63" t="str">
        <f>IF($BF191="ja",VLOOKUP($B191,Kraftvärmeprod!$B$1:$BX$550,MATCH("Värde enligt ovan. (%)",Kraftvärmeprod!$B$1:$BX$1,0),FALSE),"")</f>
        <v/>
      </c>
    </row>
    <row r="192" spans="1:65" x14ac:dyDescent="0.45">
      <c r="A192" s="63" t="s">
        <v>418</v>
      </c>
      <c r="B192" s="63" t="s">
        <v>97</v>
      </c>
      <c r="C192" s="63">
        <f>VLOOKUP($B192,'Tillförd energi'!$B$1:$AI$720,MATCH(C$2,'Tillförd energi'!$B$1:$AQ$1,0),FALSE)</f>
        <v>0</v>
      </c>
      <c r="D192" s="63">
        <f>VLOOKUP($B192,'Tillförd energi'!$B$1:$AI$720,MATCH(D$2,'Tillförd energi'!$B$1:$AQ$1,0),FALSE)</f>
        <v>5.8999999999999997E-2</v>
      </c>
      <c r="E192" s="63">
        <f>VLOOKUP($B192,'Tillförd energi'!$B$1:$AI$720,MATCH(E$2,'Tillförd energi'!$B$1:$AQ$1,0),FALSE)</f>
        <v>0</v>
      </c>
      <c r="F192" s="63">
        <f>VLOOKUP($B192,'Tillförd energi'!$B$1:$AI$720,MATCH(F$2,'Tillförd energi'!$B$1:$AQ$1,0),FALSE)</f>
        <v>0</v>
      </c>
      <c r="G192" s="63">
        <f>VLOOKUP($B192,'Tillförd energi'!$B$1:$AI$720,MATCH(G$2,'Tillförd energi'!$B$1:$AQ$1,0),FALSE)</f>
        <v>0</v>
      </c>
      <c r="H192" s="63">
        <f>VLOOKUP($B192,'Tillförd energi'!$B$1:$AI$720,MATCH(H$2,'Tillförd energi'!$B$1:$AQ$1,0),FALSE)</f>
        <v>0</v>
      </c>
      <c r="I192" s="63">
        <f>VLOOKUP($B192,'Tillförd energi'!$B$1:$AI$720,MATCH(I$2,'Tillförd energi'!$B$1:$AQ$1,0),FALSE)</f>
        <v>0</v>
      </c>
      <c r="J192" s="63">
        <f>VLOOKUP($B192,'Tillförd energi'!$B$1:$AI$720,MATCH(J$2,'Tillförd energi'!$B$1:$AQ$1,0),FALSE)</f>
        <v>0</v>
      </c>
      <c r="K192" s="63">
        <f>VLOOKUP($B192,'Tillförd energi'!$B$1:$AI$720,MATCH(K$2,'Tillförd energi'!$B$1:$AQ$1,0),FALSE)</f>
        <v>0</v>
      </c>
      <c r="L192" s="63">
        <f>VLOOKUP($B192,'Tillförd energi'!$B$1:$AI$720,MATCH(L$2,'Tillförd energi'!$B$1:$AQ$1,0),FALSE)</f>
        <v>0</v>
      </c>
      <c r="M192" s="63">
        <f>VLOOKUP($B192,'Tillförd energi'!$B$1:$AI$720,MATCH(M$2,'Tillförd energi'!$B$1:$AQ$1,0),FALSE)</f>
        <v>0</v>
      </c>
      <c r="N192" s="63">
        <f>VLOOKUP($B192,'Tillförd energi'!$B$1:$AI$720,MATCH(N$2,'Tillförd energi'!$B$1:$AQ$1,0),FALSE)</f>
        <v>0</v>
      </c>
      <c r="O192" s="63">
        <f>VLOOKUP($B192,'Tillförd energi'!$B$1:$AI$720,MATCH(O$2,'Tillförd energi'!$B$1:$AQ$1,0),FALSE)</f>
        <v>0</v>
      </c>
      <c r="P192" s="63">
        <f>VLOOKUP($B192,'Tillförd energi'!$B$1:$AI$720,MATCH(P$2,'Tillförd energi'!$B$1:$AQ$1,0),FALSE)</f>
        <v>37.481999999999999</v>
      </c>
      <c r="Q192" s="63">
        <f>VLOOKUP($B192,'Tillförd energi'!$B$1:$AI$720,MATCH(Q$2,'Tillförd energi'!$B$1:$AQ$1,0),FALSE)</f>
        <v>0</v>
      </c>
      <c r="R192" s="63">
        <f>VLOOKUP($B192,'Tillförd energi'!$B$1:$AI$720,MATCH(R$2,'Tillförd energi'!$B$1:$AQ$1,0),FALSE)</f>
        <v>0</v>
      </c>
      <c r="S192" s="63">
        <f>VLOOKUP($B192,'Tillförd energi'!$B$1:$AI$720,MATCH(S$2,'Tillförd energi'!$B$1:$AQ$1,0),FALSE)</f>
        <v>0</v>
      </c>
      <c r="T192" s="63">
        <f>VLOOKUP($B192,'Tillförd energi'!$B$1:$AI$720,MATCH(T$2,'Tillförd energi'!$B$1:$AQ$1,0),FALSE)</f>
        <v>0</v>
      </c>
      <c r="U192" s="63">
        <f>VLOOKUP($B192,'Tillförd energi'!$B$1:$AI$720,MATCH(U$2,'Tillförd energi'!$B$1:$AQ$1,0),FALSE)</f>
        <v>0</v>
      </c>
      <c r="V192" s="63">
        <f>VLOOKUP($B192,'Tillförd energi'!$B$1:$AI$720,MATCH(V$2,'Tillförd energi'!$B$1:$AQ$1,0),FALSE)</f>
        <v>0</v>
      </c>
      <c r="W192" s="63">
        <f>VLOOKUP($B192,'Tillförd energi'!$B$1:$AI$720,MATCH(W$2,'Tillförd energi'!$B$1:$AQ$1,0),FALSE)</f>
        <v>0</v>
      </c>
      <c r="X192" s="63">
        <f>VLOOKUP($B192,'Tillförd energi'!$B$1:$AI$720,MATCH(X$2,'Tillförd energi'!$B$1:$AQ$1,0),FALSE)</f>
        <v>0</v>
      </c>
      <c r="Y192" s="63">
        <f>VLOOKUP($B192,'Tillförd energi'!$B$1:$AI$720,MATCH(Y$2,'Tillförd energi'!$B$1:$AQ$1,0),FALSE)</f>
        <v>0</v>
      </c>
      <c r="Z192" s="63">
        <f>VLOOKUP($B192,'Tillförd energi'!$B$1:$AI$720,MATCH(Z$2,'Tillförd energi'!$B$1:$AQ$1,0),FALSE)</f>
        <v>0</v>
      </c>
      <c r="AA192" s="63">
        <f>VLOOKUP($B192,'Tillförd energi'!$B$1:$AI$720,MATCH(AA$2,'Tillförd energi'!$B$1:$AQ$1,0),FALSE)</f>
        <v>0</v>
      </c>
      <c r="AB192" s="63">
        <f>VLOOKUP($B192,'Tillförd energi'!$B$1:$AI$720,MATCH(AB$2,'Tillförd energi'!$B$1:$AQ$1,0),FALSE)</f>
        <v>0</v>
      </c>
      <c r="AC192" s="63">
        <f>VLOOKUP($B192,'Tillförd energi'!$B$1:$AI$720,MATCH(AC$2,'Tillförd energi'!$B$1:$AQ$1,0),FALSE)</f>
        <v>0</v>
      </c>
      <c r="AD192" s="63">
        <f>VLOOKUP($B192,'Tillförd energi'!$B$1:$AI$720,MATCH(AD$2,'Tillförd energi'!$B$1:$AQ$1,0),FALSE)</f>
        <v>0</v>
      </c>
      <c r="AE192" s="63">
        <f>VLOOKUP($B192,'Tillförd energi'!$B$1:$AI$720,MATCH(AE$2,'Tillförd energi'!$B$1:$AQ$1,0),FALSE)</f>
        <v>0</v>
      </c>
      <c r="AF192" s="63">
        <f>VLOOKUP($B192,'Tillförd energi'!$B$1:$AI$720,MATCH(AF$2,'Tillförd energi'!$B$1:$AQ$1,0),FALSE)</f>
        <v>0.64300000000000002</v>
      </c>
      <c r="AG192" s="63">
        <f>IFERROR(VLOOKUP(B192,Miljö!$B$1:$AC$550,MATCH("Köpt mängd produktionsspecifik fjärrvärme:",Miljö!$B$1:$AC$1,0),FALSE)/1,0)</f>
        <v>0</v>
      </c>
      <c r="AI192" s="63">
        <f t="shared" si="12"/>
        <v>38.183999999999997</v>
      </c>
      <c r="AJ192" s="63">
        <f>IF(ISERROR(1/VLOOKUP($B192,Leveranser!$B$1:$S$500,MATCH("såld värme (gwh)",Leveranser!$B$1:$S$1,0),FALSE)),"",VLOOKUP($B192,Leveranser!$B$1:$S$500,MATCH("såld värme (gwh)",Leveranser!$B$1:$S$1,0),FALSE))</f>
        <v>31.111999999999998</v>
      </c>
      <c r="AM192" s="63" t="str">
        <f>IF(B192&lt;&gt;"",IF(VLOOKUP($B192,Totalt!$B$1:$AQ$554,MATCH("Kvalitetsgranskad:",Totalt!$B$1:$AQ$1,0),FALSE)="ja",VLOOKUP($B192,Miljö!$B$1:$AG$479,MATCH(AM$2,Miljö!$B$1:$AK$1,0),FALSE),""),"")</f>
        <v>Ja</v>
      </c>
      <c r="AN192" s="63" t="str">
        <f>IF(AM192="ja",VLOOKUP($B192,Miljö!$B$1:$J$479,MATCH("Typ av ursprungsspecificerad el   (Om inget värde anges används Nordisk residualmix, se inforuta) ()",Miljö!$B$1:$J$1,0),FALSE),IF(AM192="nej","Nordisk residualel",""))</f>
        <v>'Ursprungsmärkt vattenkraft'</v>
      </c>
      <c r="AO192" s="63">
        <f>IF(AM192="","",VLOOKUP($B192,Miljö!$B$1:$J$479,MATCH("Fossilandel för ursprungspecificerad el ()",Miljö!$B$1:$J$1,0),FALSE))</f>
        <v>0</v>
      </c>
      <c r="AQ192" s="63">
        <f t="shared" si="13"/>
        <v>1</v>
      </c>
      <c r="AS192" s="63" t="str">
        <f t="shared" si="14"/>
        <v>Nej</v>
      </c>
      <c r="AT192" s="63" t="str">
        <f>IF(AS192="ja",VLOOKUP($B192,Miljö!$B$1:$P$500,MATCH("Fossil andel i procent (%)",Miljö!$B$1:$P$1,0),FALSE)/100,"")</f>
        <v/>
      </c>
      <c r="AV192" s="63" t="str">
        <f t="shared" si="15"/>
        <v>Nej</v>
      </c>
      <c r="AW192" s="63" t="str">
        <f>IF(AV192="ja",VLOOKUP($B192,'Egen hetvattenprod'!$B$1:$AO$500,MATCH("Värmekälla till värmepumpar ()",'Egen hetvattenprod'!$B$1:$AO$1,0),FALSE),"")</f>
        <v/>
      </c>
      <c r="AY192" s="63" t="str">
        <f t="shared" si="16"/>
        <v>Nej</v>
      </c>
      <c r="AZ192" s="77" t="str">
        <f>IF($AY192="ja",(VLOOKUP($B192,'Egen hetvattenprod'!$B$1:$BX$550,MATCH(AZ$2,'Egen hetvattenprod'!$B$1:$BX$1,0),FALSE)+VLOOKUP($B192,Kraftvärmeprod!$B$1:$BX$550,MATCH(AZ$2,Kraftvärmeprod!$B$1:$BX$1,0),FALSE))/$AC192,"")</f>
        <v/>
      </c>
      <c r="BA192" s="77" t="str">
        <f>IF($AY192="ja",(VLOOKUP($B192,'Egen hetvattenprod'!$B$1:$BX$550,MATCH(BA$2,'Egen hetvattenprod'!$B$1:$BX$1,0),FALSE)+VLOOKUP($B192,Kraftvärmeprod!$B$1:$BX$550,MATCH(BA$2,Kraftvärmeprod!$B$1:$BX$1,0),FALSE))/$AC192,"")</f>
        <v/>
      </c>
      <c r="BB192" s="77" t="str">
        <f>IF($AY192="ja",(VLOOKUP($B192,'Egen hetvattenprod'!$B$1:$BX$550,MATCH(BB$2,'Egen hetvattenprod'!$B$1:$BX$1,0),FALSE)+VLOOKUP($B192,Kraftvärmeprod!$B$1:$BX$550,MATCH(BB$2,Kraftvärmeprod!$B$1:$BX$1,0),FALSE))/$AC192,"")</f>
        <v/>
      </c>
      <c r="BC192" s="77" t="str">
        <f>IF($AY192="ja",(VLOOKUP($B192,'Egen hetvattenprod'!$B$1:$BX$550,MATCH(BC$2,'Egen hetvattenprod'!$B$1:$BX$1,0),FALSE)+VLOOKUP($B192,Kraftvärmeprod!$B$1:$BX$550,MATCH(BC$2,Kraftvärmeprod!$B$1:$BX$1,0),FALSE))/$AC192,"")</f>
        <v/>
      </c>
      <c r="BD192" s="77" t="str">
        <f>IF($AY192="ja",(VLOOKUP($B192,'Egen hetvattenprod'!$B$1:$BX$550,MATCH(BD$2,'Egen hetvattenprod'!$B$1:$BX$1,0),FALSE)+VLOOKUP($B192,Kraftvärmeprod!$B$1:$BX$550,MATCH(BD$2,Kraftvärmeprod!$B$1:$BX$1,0),FALSE))/$AC192,"")</f>
        <v/>
      </c>
      <c r="BF192" s="63" t="str">
        <f t="shared" si="17"/>
        <v>Nej</v>
      </c>
      <c r="BG192" s="63" t="str">
        <f>IF($BF192="ja",VLOOKUP($B192,'Egen hetvattenprod'!$B$1:$BX$550,MATCH("Andelen klimatgaser med fossilt ursprung för avfall ()",'Egen hetvattenprod'!$B$1:$BX$1,0),FALSE),"")</f>
        <v/>
      </c>
      <c r="BH192" s="63" t="str">
        <f>IF($BF192="ja",VLOOKUP($B192,Kraftvärmeprod!$B$1:$BX$550,MATCH("Andelen klimatgaser med fossilt ursprung för avfall ()",Kraftvärmeprod!$B$1:$BX$1,0),FALSE),"")</f>
        <v/>
      </c>
      <c r="BI192" s="63" t="str">
        <f>IF($BF192="ja",VLOOKUP($B192,'Egen hetvattenprod'!$B$1:$BX$550,MATCH("Avfall (GWh)",'Egen hetvattenprod'!$B$1:$BX$1,0),FALSE),"")</f>
        <v/>
      </c>
      <c r="BJ192" s="63" t="str">
        <f>IF($BF192="ja",VLOOKUP($B192,'Slutlig allokering kvv'!$B$1:$BX$550,MATCH("Avfall (GWh)",'Slutlig allokering kvv'!$B$1:$BX$1,0),FALSE),"")</f>
        <v/>
      </c>
      <c r="BK192" s="63" t="str">
        <f>IF($BF192="ja",VLOOKUP($B192,'Köpt hetvatten'!$B$1:$BX$550,MATCH("Avfall i köpt hetvatten",'Köpt hetvatten'!$B$1:$BX$1,0),FALSE),"")</f>
        <v/>
      </c>
      <c r="BL192" s="63" t="str">
        <f>IF($BF192="ja",VLOOKUP($B192,'Egen hetvattenprod'!$B$1:$BX$550,MATCH("Värde enligt ovan. (%)",'Egen hetvattenprod'!$B$1:$BX$1,0),FALSE),"")</f>
        <v/>
      </c>
      <c r="BM192" s="63" t="str">
        <f>IF($BF192="ja",VLOOKUP($B192,Kraftvärmeprod!$B$1:$BX$550,MATCH("Värde enligt ovan. (%)",Kraftvärmeprod!$B$1:$BX$1,0),FALSE),"")</f>
        <v/>
      </c>
    </row>
    <row r="193" spans="1:65" x14ac:dyDescent="0.45">
      <c r="A193" s="63" t="s">
        <v>418</v>
      </c>
      <c r="B193" s="63" t="s">
        <v>99</v>
      </c>
      <c r="C193" s="63">
        <f>VLOOKUP($B193,'Tillförd energi'!$B$1:$AI$720,MATCH(C$2,'Tillförd energi'!$B$1:$AQ$1,0),FALSE)</f>
        <v>0</v>
      </c>
      <c r="D193" s="63">
        <f>VLOOKUP($B193,'Tillförd energi'!$B$1:$AI$720,MATCH(D$2,'Tillförd energi'!$B$1:$AQ$1,0),FALSE)</f>
        <v>0.79700000000000004</v>
      </c>
      <c r="E193" s="63">
        <f>VLOOKUP($B193,'Tillförd energi'!$B$1:$AI$720,MATCH(E$2,'Tillförd energi'!$B$1:$AQ$1,0),FALSE)</f>
        <v>0</v>
      </c>
      <c r="F193" s="63">
        <f>VLOOKUP($B193,'Tillförd energi'!$B$1:$AI$720,MATCH(F$2,'Tillförd energi'!$B$1:$AQ$1,0),FALSE)</f>
        <v>0</v>
      </c>
      <c r="G193" s="63">
        <f>VLOOKUP($B193,'Tillförd energi'!$B$1:$AI$720,MATCH(G$2,'Tillförd energi'!$B$1:$AQ$1,0),FALSE)</f>
        <v>0</v>
      </c>
      <c r="H193" s="63">
        <f>VLOOKUP($B193,'Tillförd energi'!$B$1:$AI$720,MATCH(H$2,'Tillförd energi'!$B$1:$AQ$1,0),FALSE)</f>
        <v>0</v>
      </c>
      <c r="I193" s="63">
        <f>VLOOKUP($B193,'Tillförd energi'!$B$1:$AI$720,MATCH(I$2,'Tillförd energi'!$B$1:$AQ$1,0),FALSE)</f>
        <v>0</v>
      </c>
      <c r="J193" s="63">
        <f>VLOOKUP($B193,'Tillförd energi'!$B$1:$AI$720,MATCH(J$2,'Tillförd energi'!$B$1:$AQ$1,0),FALSE)</f>
        <v>0</v>
      </c>
      <c r="K193" s="63">
        <f>VLOOKUP($B193,'Tillförd energi'!$B$1:$AI$720,MATCH(K$2,'Tillförd energi'!$B$1:$AQ$1,0),FALSE)</f>
        <v>0</v>
      </c>
      <c r="L193" s="63">
        <f>VLOOKUP($B193,'Tillförd energi'!$B$1:$AI$720,MATCH(L$2,'Tillförd energi'!$B$1:$AQ$1,0),FALSE)</f>
        <v>0</v>
      </c>
      <c r="M193" s="63">
        <f>VLOOKUP($B193,'Tillförd energi'!$B$1:$AI$720,MATCH(M$2,'Tillförd energi'!$B$1:$AQ$1,0),FALSE)</f>
        <v>0</v>
      </c>
      <c r="N193" s="63">
        <f>VLOOKUP($B193,'Tillförd energi'!$B$1:$AI$720,MATCH(N$2,'Tillförd energi'!$B$1:$AQ$1,0),FALSE)</f>
        <v>0</v>
      </c>
      <c r="O193" s="63">
        <f>VLOOKUP($B193,'Tillförd energi'!$B$1:$AI$720,MATCH(O$2,'Tillförd energi'!$B$1:$AQ$1,0),FALSE)</f>
        <v>0</v>
      </c>
      <c r="P193" s="63">
        <f>VLOOKUP($B193,'Tillförd energi'!$B$1:$AI$720,MATCH(P$2,'Tillförd energi'!$B$1:$AQ$1,0),FALSE)</f>
        <v>35.567999999999998</v>
      </c>
      <c r="Q193" s="63">
        <f>VLOOKUP($B193,'Tillförd energi'!$B$1:$AI$720,MATCH(Q$2,'Tillförd energi'!$B$1:$AQ$1,0),FALSE)</f>
        <v>0</v>
      </c>
      <c r="R193" s="63">
        <f>VLOOKUP($B193,'Tillförd energi'!$B$1:$AI$720,MATCH(R$2,'Tillförd energi'!$B$1:$AQ$1,0),FALSE)</f>
        <v>6.5679999999999996</v>
      </c>
      <c r="S193" s="63">
        <f>VLOOKUP($B193,'Tillförd energi'!$B$1:$AI$720,MATCH(S$2,'Tillförd energi'!$B$1:$AQ$1,0),FALSE)</f>
        <v>0</v>
      </c>
      <c r="T193" s="63">
        <f>VLOOKUP($B193,'Tillförd energi'!$B$1:$AI$720,MATCH(T$2,'Tillförd energi'!$B$1:$AQ$1,0),FALSE)</f>
        <v>0</v>
      </c>
      <c r="U193" s="63">
        <f>VLOOKUP($B193,'Tillförd energi'!$B$1:$AI$720,MATCH(U$2,'Tillförd energi'!$B$1:$AQ$1,0),FALSE)</f>
        <v>0</v>
      </c>
      <c r="V193" s="63">
        <f>VLOOKUP($B193,'Tillförd energi'!$B$1:$AI$720,MATCH(V$2,'Tillförd energi'!$B$1:$AQ$1,0),FALSE)</f>
        <v>0</v>
      </c>
      <c r="W193" s="63">
        <f>VLOOKUP($B193,'Tillförd energi'!$B$1:$AI$720,MATCH(W$2,'Tillförd energi'!$B$1:$AQ$1,0),FALSE)</f>
        <v>0</v>
      </c>
      <c r="X193" s="63">
        <f>VLOOKUP($B193,'Tillförd energi'!$B$1:$AI$720,MATCH(X$2,'Tillförd energi'!$B$1:$AQ$1,0),FALSE)</f>
        <v>0</v>
      </c>
      <c r="Y193" s="63">
        <f>VLOOKUP($B193,'Tillförd energi'!$B$1:$AI$720,MATCH(Y$2,'Tillförd energi'!$B$1:$AQ$1,0),FALSE)</f>
        <v>9.2349999999999994</v>
      </c>
      <c r="Z193" s="63">
        <f>VLOOKUP($B193,'Tillförd energi'!$B$1:$AI$720,MATCH(Z$2,'Tillförd energi'!$B$1:$AQ$1,0),FALSE)</f>
        <v>0</v>
      </c>
      <c r="AA193" s="63">
        <f>VLOOKUP($B193,'Tillförd energi'!$B$1:$AI$720,MATCH(AA$2,'Tillförd energi'!$B$1:$AQ$1,0),FALSE)</f>
        <v>0</v>
      </c>
      <c r="AB193" s="63">
        <f>VLOOKUP($B193,'Tillförd energi'!$B$1:$AI$720,MATCH(AB$2,'Tillförd energi'!$B$1:$AQ$1,0),FALSE)</f>
        <v>0</v>
      </c>
      <c r="AC193" s="63">
        <f>VLOOKUP($B193,'Tillförd energi'!$B$1:$AI$720,MATCH(AC$2,'Tillförd energi'!$B$1:$AQ$1,0),FALSE)</f>
        <v>0</v>
      </c>
      <c r="AD193" s="63">
        <f>VLOOKUP($B193,'Tillförd energi'!$B$1:$AI$720,MATCH(AD$2,'Tillförd energi'!$B$1:$AQ$1,0),FALSE)</f>
        <v>0.25600000000000001</v>
      </c>
      <c r="AE193" s="63">
        <f>VLOOKUP($B193,'Tillförd energi'!$B$1:$AI$720,MATCH(AE$2,'Tillförd energi'!$B$1:$AQ$1,0),FALSE)</f>
        <v>0</v>
      </c>
      <c r="AF193" s="63">
        <f>VLOOKUP($B193,'Tillförd energi'!$B$1:$AI$720,MATCH(AF$2,'Tillförd energi'!$B$1:$AQ$1,0),FALSE)</f>
        <v>1.4239999999999999</v>
      </c>
      <c r="AG193" s="63">
        <f>IFERROR(VLOOKUP(B193,Miljö!$B$1:$AC$550,MATCH("Köpt mängd produktionsspecifik fjärrvärme:",Miljö!$B$1:$AC$1,0),FALSE)/1,0)</f>
        <v>0</v>
      </c>
      <c r="AI193" s="63">
        <f t="shared" si="12"/>
        <v>53.847999999999992</v>
      </c>
      <c r="AJ193" s="63">
        <f>IF(ISERROR(1/VLOOKUP($B193,Leveranser!$B$1:$S$500,MATCH("såld värme (gwh)",Leveranser!$B$1:$S$1,0),FALSE)),"",VLOOKUP($B193,Leveranser!$B$1:$S$500,MATCH("såld värme (gwh)",Leveranser!$B$1:$S$1,0),FALSE))</f>
        <v>44.042000000000002</v>
      </c>
      <c r="AM193" s="63" t="str">
        <f>IF(B193&lt;&gt;"",IF(VLOOKUP($B193,Totalt!$B$1:$AQ$554,MATCH("Kvalitetsgranskad:",Totalt!$B$1:$AQ$1,0),FALSE)="ja",VLOOKUP($B193,Miljö!$B$1:$AG$479,MATCH(AM$2,Miljö!$B$1:$AK$1,0),FALSE),""),"")</f>
        <v>Ja</v>
      </c>
      <c r="AN193" s="63" t="str">
        <f>IF(AM193="ja",VLOOKUP($B193,Miljö!$B$1:$J$479,MATCH("Typ av ursprungsspecificerad el   (Om inget värde anges används Nordisk residualmix, se inforuta) ()",Miljö!$B$1:$J$1,0),FALSE),IF(AM193="nej","Nordisk residualel",""))</f>
        <v>'Ursprungsmärkt Vattenkraft'</v>
      </c>
      <c r="AO193" s="63">
        <f>IF(AM193="","",VLOOKUP($B193,Miljö!$B$1:$J$479,MATCH("Fossilandel för ursprungspecificerad el ()",Miljö!$B$1:$J$1,0),FALSE))</f>
        <v>0</v>
      </c>
      <c r="AQ193" s="63">
        <f t="shared" si="13"/>
        <v>1</v>
      </c>
      <c r="AS193" s="63" t="str">
        <f t="shared" si="14"/>
        <v>Nej</v>
      </c>
      <c r="AT193" s="63" t="str">
        <f>IF(AS193="ja",VLOOKUP($B193,Miljö!$B$1:$P$500,MATCH("Fossil andel i procent (%)",Miljö!$B$1:$P$1,0),FALSE)/100,"")</f>
        <v/>
      </c>
      <c r="AV193" s="63" t="str">
        <f t="shared" si="15"/>
        <v>Nej</v>
      </c>
      <c r="AW193" s="63" t="str">
        <f>IF(AV193="ja",VLOOKUP($B193,'Egen hetvattenprod'!$B$1:$AO$500,MATCH("Värmekälla till värmepumpar ()",'Egen hetvattenprod'!$B$1:$AO$1,0),FALSE),"")</f>
        <v/>
      </c>
      <c r="AY193" s="63" t="str">
        <f t="shared" si="16"/>
        <v>Nej</v>
      </c>
      <c r="AZ193" s="77" t="str">
        <f>IF($AY193="ja",(VLOOKUP($B193,'Egen hetvattenprod'!$B$1:$BX$550,MATCH(AZ$2,'Egen hetvattenprod'!$B$1:$BX$1,0),FALSE)+VLOOKUP($B193,Kraftvärmeprod!$B$1:$BX$550,MATCH(AZ$2,Kraftvärmeprod!$B$1:$BX$1,0),FALSE))/$AC193,"")</f>
        <v/>
      </c>
      <c r="BA193" s="77" t="str">
        <f>IF($AY193="ja",(VLOOKUP($B193,'Egen hetvattenprod'!$B$1:$BX$550,MATCH(BA$2,'Egen hetvattenprod'!$B$1:$BX$1,0),FALSE)+VLOOKUP($B193,Kraftvärmeprod!$B$1:$BX$550,MATCH(BA$2,Kraftvärmeprod!$B$1:$BX$1,0),FALSE))/$AC193,"")</f>
        <v/>
      </c>
      <c r="BB193" s="77" t="str">
        <f>IF($AY193="ja",(VLOOKUP($B193,'Egen hetvattenprod'!$B$1:$BX$550,MATCH(BB$2,'Egen hetvattenprod'!$B$1:$BX$1,0),FALSE)+VLOOKUP($B193,Kraftvärmeprod!$B$1:$BX$550,MATCH(BB$2,Kraftvärmeprod!$B$1:$BX$1,0),FALSE))/$AC193,"")</f>
        <v/>
      </c>
      <c r="BC193" s="77" t="str">
        <f>IF($AY193="ja",(VLOOKUP($B193,'Egen hetvattenprod'!$B$1:$BX$550,MATCH(BC$2,'Egen hetvattenprod'!$B$1:$BX$1,0),FALSE)+VLOOKUP($B193,Kraftvärmeprod!$B$1:$BX$550,MATCH(BC$2,Kraftvärmeprod!$B$1:$BX$1,0),FALSE))/$AC193,"")</f>
        <v/>
      </c>
      <c r="BD193" s="77" t="str">
        <f>IF($AY193="ja",(VLOOKUP($B193,'Egen hetvattenprod'!$B$1:$BX$550,MATCH(BD$2,'Egen hetvattenprod'!$B$1:$BX$1,0),FALSE)+VLOOKUP($B193,Kraftvärmeprod!$B$1:$BX$550,MATCH(BD$2,Kraftvärmeprod!$B$1:$BX$1,0),FALSE))/$AC193,"")</f>
        <v/>
      </c>
      <c r="BF193" s="63" t="str">
        <f t="shared" si="17"/>
        <v>Nej</v>
      </c>
      <c r="BG193" s="63" t="str">
        <f>IF($BF193="ja",VLOOKUP($B193,'Egen hetvattenprod'!$B$1:$BX$550,MATCH("Andelen klimatgaser med fossilt ursprung för avfall ()",'Egen hetvattenprod'!$B$1:$BX$1,0),FALSE),"")</f>
        <v/>
      </c>
      <c r="BH193" s="63" t="str">
        <f>IF($BF193="ja",VLOOKUP($B193,Kraftvärmeprod!$B$1:$BX$550,MATCH("Andelen klimatgaser med fossilt ursprung för avfall ()",Kraftvärmeprod!$B$1:$BX$1,0),FALSE),"")</f>
        <v/>
      </c>
      <c r="BI193" s="63" t="str">
        <f>IF($BF193="ja",VLOOKUP($B193,'Egen hetvattenprod'!$B$1:$BX$550,MATCH("Avfall (GWh)",'Egen hetvattenprod'!$B$1:$BX$1,0),FALSE),"")</f>
        <v/>
      </c>
      <c r="BJ193" s="63" t="str">
        <f>IF($BF193="ja",VLOOKUP($B193,'Slutlig allokering kvv'!$B$1:$BX$550,MATCH("Avfall (GWh)",'Slutlig allokering kvv'!$B$1:$BX$1,0),FALSE),"")</f>
        <v/>
      </c>
      <c r="BK193" s="63" t="str">
        <f>IF($BF193="ja",VLOOKUP($B193,'Köpt hetvatten'!$B$1:$BX$550,MATCH("Avfall i köpt hetvatten",'Köpt hetvatten'!$B$1:$BX$1,0),FALSE),"")</f>
        <v/>
      </c>
      <c r="BL193" s="63" t="str">
        <f>IF($BF193="ja",VLOOKUP($B193,'Egen hetvattenprod'!$B$1:$BX$550,MATCH("Värde enligt ovan. (%)",'Egen hetvattenprod'!$B$1:$BX$1,0),FALSE),"")</f>
        <v/>
      </c>
      <c r="BM193" s="63" t="str">
        <f>IF($BF193="ja",VLOOKUP($B193,Kraftvärmeprod!$B$1:$BX$550,MATCH("Värde enligt ovan. (%)",Kraftvärmeprod!$B$1:$BX$1,0),FALSE),"")</f>
        <v/>
      </c>
    </row>
    <row r="194" spans="1:65" x14ac:dyDescent="0.45">
      <c r="A194" s="63" t="s">
        <v>418</v>
      </c>
      <c r="B194" s="63" t="s">
        <v>101</v>
      </c>
      <c r="C194" s="63">
        <f>VLOOKUP($B194,'Tillförd energi'!$B$1:$AI$720,MATCH(C$2,'Tillförd energi'!$B$1:$AQ$1,0),FALSE)</f>
        <v>0</v>
      </c>
      <c r="D194" s="63">
        <f>VLOOKUP($B194,'Tillförd energi'!$B$1:$AI$720,MATCH(D$2,'Tillförd energi'!$B$1:$AQ$1,0),FALSE)</f>
        <v>2.5999999999999999E-2</v>
      </c>
      <c r="E194" s="63">
        <f>VLOOKUP($B194,'Tillförd energi'!$B$1:$AI$720,MATCH(E$2,'Tillförd energi'!$B$1:$AQ$1,0),FALSE)</f>
        <v>0</v>
      </c>
      <c r="F194" s="63">
        <f>VLOOKUP($B194,'Tillförd energi'!$B$1:$AI$720,MATCH(F$2,'Tillförd energi'!$B$1:$AQ$1,0),FALSE)</f>
        <v>0</v>
      </c>
      <c r="G194" s="63">
        <f>VLOOKUP($B194,'Tillförd energi'!$B$1:$AI$720,MATCH(G$2,'Tillförd energi'!$B$1:$AQ$1,0),FALSE)</f>
        <v>0</v>
      </c>
      <c r="H194" s="63">
        <f>VLOOKUP($B194,'Tillförd energi'!$B$1:$AI$720,MATCH(H$2,'Tillförd energi'!$B$1:$AQ$1,0),FALSE)</f>
        <v>0</v>
      </c>
      <c r="I194" s="63">
        <f>VLOOKUP($B194,'Tillförd energi'!$B$1:$AI$720,MATCH(I$2,'Tillförd energi'!$B$1:$AQ$1,0),FALSE)</f>
        <v>0</v>
      </c>
      <c r="J194" s="63">
        <f>VLOOKUP($B194,'Tillförd energi'!$B$1:$AI$720,MATCH(J$2,'Tillförd energi'!$B$1:$AQ$1,0),FALSE)</f>
        <v>0</v>
      </c>
      <c r="K194" s="63">
        <f>VLOOKUP($B194,'Tillförd energi'!$B$1:$AI$720,MATCH(K$2,'Tillförd energi'!$B$1:$AQ$1,0),FALSE)</f>
        <v>0</v>
      </c>
      <c r="L194" s="63">
        <f>VLOOKUP($B194,'Tillförd energi'!$B$1:$AI$720,MATCH(L$2,'Tillförd energi'!$B$1:$AQ$1,0),FALSE)</f>
        <v>0</v>
      </c>
      <c r="M194" s="63">
        <f>VLOOKUP($B194,'Tillförd energi'!$B$1:$AI$720,MATCH(M$2,'Tillförd energi'!$B$1:$AQ$1,0),FALSE)</f>
        <v>0</v>
      </c>
      <c r="N194" s="63">
        <f>VLOOKUP($B194,'Tillförd energi'!$B$1:$AI$720,MATCH(N$2,'Tillförd energi'!$B$1:$AQ$1,0),FALSE)</f>
        <v>0</v>
      </c>
      <c r="O194" s="63">
        <f>VLOOKUP($B194,'Tillförd energi'!$B$1:$AI$720,MATCH(O$2,'Tillförd energi'!$B$1:$AQ$1,0),FALSE)</f>
        <v>0</v>
      </c>
      <c r="P194" s="63">
        <f>VLOOKUP($B194,'Tillförd energi'!$B$1:$AI$720,MATCH(P$2,'Tillförd energi'!$B$1:$AQ$1,0),FALSE)</f>
        <v>0</v>
      </c>
      <c r="Q194" s="63">
        <f>VLOOKUP($B194,'Tillförd energi'!$B$1:$AI$720,MATCH(Q$2,'Tillförd energi'!$B$1:$AQ$1,0),FALSE)</f>
        <v>0</v>
      </c>
      <c r="R194" s="63">
        <f>VLOOKUP($B194,'Tillförd energi'!$B$1:$AI$720,MATCH(R$2,'Tillförd energi'!$B$1:$AQ$1,0),FALSE)</f>
        <v>10.589</v>
      </c>
      <c r="S194" s="63">
        <f>VLOOKUP($B194,'Tillförd energi'!$B$1:$AI$720,MATCH(S$2,'Tillförd energi'!$B$1:$AQ$1,0),FALSE)</f>
        <v>0</v>
      </c>
      <c r="T194" s="63">
        <f>VLOOKUP($B194,'Tillförd energi'!$B$1:$AI$720,MATCH(T$2,'Tillförd energi'!$B$1:$AQ$1,0),FALSE)</f>
        <v>0</v>
      </c>
      <c r="U194" s="63">
        <f>VLOOKUP($B194,'Tillförd energi'!$B$1:$AI$720,MATCH(U$2,'Tillförd energi'!$B$1:$AQ$1,0),FALSE)</f>
        <v>0</v>
      </c>
      <c r="V194" s="63">
        <f>VLOOKUP($B194,'Tillförd energi'!$B$1:$AI$720,MATCH(V$2,'Tillförd energi'!$B$1:$AQ$1,0),FALSE)</f>
        <v>0</v>
      </c>
      <c r="W194" s="63">
        <f>VLOOKUP($B194,'Tillförd energi'!$B$1:$AI$720,MATCH(W$2,'Tillförd energi'!$B$1:$AQ$1,0),FALSE)</f>
        <v>0</v>
      </c>
      <c r="X194" s="63">
        <f>VLOOKUP($B194,'Tillförd energi'!$B$1:$AI$720,MATCH(X$2,'Tillförd energi'!$B$1:$AQ$1,0),FALSE)</f>
        <v>0</v>
      </c>
      <c r="Y194" s="63">
        <f>VLOOKUP($B194,'Tillförd energi'!$B$1:$AI$720,MATCH(Y$2,'Tillförd energi'!$B$1:$AQ$1,0),FALSE)</f>
        <v>0</v>
      </c>
      <c r="Z194" s="63">
        <f>VLOOKUP($B194,'Tillförd energi'!$B$1:$AI$720,MATCH(Z$2,'Tillförd energi'!$B$1:$AQ$1,0),FALSE)</f>
        <v>0</v>
      </c>
      <c r="AA194" s="63">
        <f>VLOOKUP($B194,'Tillförd energi'!$B$1:$AI$720,MATCH(AA$2,'Tillförd energi'!$B$1:$AQ$1,0),FALSE)</f>
        <v>0</v>
      </c>
      <c r="AB194" s="63">
        <f>VLOOKUP($B194,'Tillförd energi'!$B$1:$AI$720,MATCH(AB$2,'Tillförd energi'!$B$1:$AQ$1,0),FALSE)</f>
        <v>0</v>
      </c>
      <c r="AC194" s="63">
        <f>VLOOKUP($B194,'Tillförd energi'!$B$1:$AI$720,MATCH(AC$2,'Tillförd energi'!$B$1:$AQ$1,0),FALSE)</f>
        <v>0</v>
      </c>
      <c r="AD194" s="63">
        <f>VLOOKUP($B194,'Tillförd energi'!$B$1:$AI$720,MATCH(AD$2,'Tillförd energi'!$B$1:$AQ$1,0),FALSE)</f>
        <v>0</v>
      </c>
      <c r="AE194" s="63">
        <f>VLOOKUP($B194,'Tillförd energi'!$B$1:$AI$720,MATCH(AE$2,'Tillförd energi'!$B$1:$AQ$1,0),FALSE)</f>
        <v>0</v>
      </c>
      <c r="AF194" s="63">
        <f>VLOOKUP($B194,'Tillförd energi'!$B$1:$AI$720,MATCH(AF$2,'Tillförd energi'!$B$1:$AQ$1,0),FALSE)</f>
        <v>0.11799999999999999</v>
      </c>
      <c r="AG194" s="63">
        <f>IFERROR(VLOOKUP(B194,Miljö!$B$1:$AC$550,MATCH("Köpt mängd produktionsspecifik fjärrvärme:",Miljö!$B$1:$AC$1,0),FALSE)/1,0)</f>
        <v>0</v>
      </c>
      <c r="AI194" s="63">
        <f t="shared" si="12"/>
        <v>10.733000000000001</v>
      </c>
      <c r="AJ194" s="63">
        <f>IF(ISERROR(1/VLOOKUP($B194,Leveranser!$B$1:$S$500,MATCH("såld värme (gwh)",Leveranser!$B$1:$S$1,0),FALSE)),"",VLOOKUP($B194,Leveranser!$B$1:$S$500,MATCH("såld värme (gwh)",Leveranser!$B$1:$S$1,0),FALSE))</f>
        <v>8.3810000000000002</v>
      </c>
      <c r="AM194" s="63" t="str">
        <f>IF(B194&lt;&gt;"",IF(VLOOKUP($B194,Totalt!$B$1:$AQ$554,MATCH("Kvalitetsgranskad:",Totalt!$B$1:$AQ$1,0),FALSE)="ja",VLOOKUP($B194,Miljö!$B$1:$AG$479,MATCH(AM$2,Miljö!$B$1:$AK$1,0),FALSE),""),"")</f>
        <v>Ja</v>
      </c>
      <c r="AN194" s="63" t="str">
        <f>IF(AM194="ja",VLOOKUP($B194,Miljö!$B$1:$J$479,MATCH("Typ av ursprungsspecificerad el   (Om inget värde anges används Nordisk residualmix, se inforuta) ()",Miljö!$B$1:$J$1,0),FALSE),IF(AM194="nej","Nordisk residualel",""))</f>
        <v>'Ursprungsmärkt vattenkraft'</v>
      </c>
      <c r="AO194" s="63">
        <f>IF(AM194="","",VLOOKUP($B194,Miljö!$B$1:$J$479,MATCH("Fossilandel för ursprungspecificerad el ()",Miljö!$B$1:$J$1,0),FALSE))</f>
        <v>0</v>
      </c>
      <c r="AQ194" s="63">
        <f t="shared" si="13"/>
        <v>1</v>
      </c>
      <c r="AS194" s="63" t="str">
        <f t="shared" si="14"/>
        <v>Nej</v>
      </c>
      <c r="AT194" s="63" t="str">
        <f>IF(AS194="ja",VLOOKUP($B194,Miljö!$B$1:$P$500,MATCH("Fossil andel i procent (%)",Miljö!$B$1:$P$1,0),FALSE)/100,"")</f>
        <v/>
      </c>
      <c r="AV194" s="63" t="str">
        <f t="shared" si="15"/>
        <v>Nej</v>
      </c>
      <c r="AW194" s="63" t="str">
        <f>IF(AV194="ja",VLOOKUP($B194,'Egen hetvattenprod'!$B$1:$AO$500,MATCH("Värmekälla till värmepumpar ()",'Egen hetvattenprod'!$B$1:$AO$1,0),FALSE),"")</f>
        <v/>
      </c>
      <c r="AY194" s="63" t="str">
        <f t="shared" si="16"/>
        <v>Nej</v>
      </c>
      <c r="AZ194" s="77" t="str">
        <f>IF($AY194="ja",(VLOOKUP($B194,'Egen hetvattenprod'!$B$1:$BX$550,MATCH(AZ$2,'Egen hetvattenprod'!$B$1:$BX$1,0),FALSE)+VLOOKUP($B194,Kraftvärmeprod!$B$1:$BX$550,MATCH(AZ$2,Kraftvärmeprod!$B$1:$BX$1,0),FALSE))/$AC194,"")</f>
        <v/>
      </c>
      <c r="BA194" s="77" t="str">
        <f>IF($AY194="ja",(VLOOKUP($B194,'Egen hetvattenprod'!$B$1:$BX$550,MATCH(BA$2,'Egen hetvattenprod'!$B$1:$BX$1,0),FALSE)+VLOOKUP($B194,Kraftvärmeprod!$B$1:$BX$550,MATCH(BA$2,Kraftvärmeprod!$B$1:$BX$1,0),FALSE))/$AC194,"")</f>
        <v/>
      </c>
      <c r="BB194" s="77" t="str">
        <f>IF($AY194="ja",(VLOOKUP($B194,'Egen hetvattenprod'!$B$1:$BX$550,MATCH(BB$2,'Egen hetvattenprod'!$B$1:$BX$1,0),FALSE)+VLOOKUP($B194,Kraftvärmeprod!$B$1:$BX$550,MATCH(BB$2,Kraftvärmeprod!$B$1:$BX$1,0),FALSE))/$AC194,"")</f>
        <v/>
      </c>
      <c r="BC194" s="77" t="str">
        <f>IF($AY194="ja",(VLOOKUP($B194,'Egen hetvattenprod'!$B$1:$BX$550,MATCH(BC$2,'Egen hetvattenprod'!$B$1:$BX$1,0),FALSE)+VLOOKUP($B194,Kraftvärmeprod!$B$1:$BX$550,MATCH(BC$2,Kraftvärmeprod!$B$1:$BX$1,0),FALSE))/$AC194,"")</f>
        <v/>
      </c>
      <c r="BD194" s="77" t="str">
        <f>IF($AY194="ja",(VLOOKUP($B194,'Egen hetvattenprod'!$B$1:$BX$550,MATCH(BD$2,'Egen hetvattenprod'!$B$1:$BX$1,0),FALSE)+VLOOKUP($B194,Kraftvärmeprod!$B$1:$BX$550,MATCH(BD$2,Kraftvärmeprod!$B$1:$BX$1,0),FALSE))/$AC194,"")</f>
        <v/>
      </c>
      <c r="BF194" s="63" t="str">
        <f t="shared" si="17"/>
        <v>Nej</v>
      </c>
      <c r="BG194" s="63" t="str">
        <f>IF($BF194="ja",VLOOKUP($B194,'Egen hetvattenprod'!$B$1:$BX$550,MATCH("Andelen klimatgaser med fossilt ursprung för avfall ()",'Egen hetvattenprod'!$B$1:$BX$1,0),FALSE),"")</f>
        <v/>
      </c>
      <c r="BH194" s="63" t="str">
        <f>IF($BF194="ja",VLOOKUP($B194,Kraftvärmeprod!$B$1:$BX$550,MATCH("Andelen klimatgaser med fossilt ursprung för avfall ()",Kraftvärmeprod!$B$1:$BX$1,0),FALSE),"")</f>
        <v/>
      </c>
      <c r="BI194" s="63" t="str">
        <f>IF($BF194="ja",VLOOKUP($B194,'Egen hetvattenprod'!$B$1:$BX$550,MATCH("Avfall (GWh)",'Egen hetvattenprod'!$B$1:$BX$1,0),FALSE),"")</f>
        <v/>
      </c>
      <c r="BJ194" s="63" t="str">
        <f>IF($BF194="ja",VLOOKUP($B194,'Slutlig allokering kvv'!$B$1:$BX$550,MATCH("Avfall (GWh)",'Slutlig allokering kvv'!$B$1:$BX$1,0),FALSE),"")</f>
        <v/>
      </c>
      <c r="BK194" s="63" t="str">
        <f>IF($BF194="ja",VLOOKUP($B194,'Köpt hetvatten'!$B$1:$BX$550,MATCH("Avfall i köpt hetvatten",'Köpt hetvatten'!$B$1:$BX$1,0),FALSE),"")</f>
        <v/>
      </c>
      <c r="BL194" s="63" t="str">
        <f>IF($BF194="ja",VLOOKUP($B194,'Egen hetvattenprod'!$B$1:$BX$550,MATCH("Värde enligt ovan. (%)",'Egen hetvattenprod'!$B$1:$BX$1,0),FALSE),"")</f>
        <v/>
      </c>
      <c r="BM194" s="63" t="str">
        <f>IF($BF194="ja",VLOOKUP($B194,Kraftvärmeprod!$B$1:$BX$550,MATCH("Värde enligt ovan. (%)",Kraftvärmeprod!$B$1:$BX$1,0),FALSE),"")</f>
        <v/>
      </c>
    </row>
    <row r="195" spans="1:65" x14ac:dyDescent="0.45">
      <c r="A195" s="63" t="s">
        <v>418</v>
      </c>
      <c r="B195" s="63" t="s">
        <v>103</v>
      </c>
      <c r="C195" s="63">
        <f>VLOOKUP($B195,'Tillförd energi'!$B$1:$AI$720,MATCH(C$2,'Tillförd energi'!$B$1:$AQ$1,0),FALSE)</f>
        <v>0</v>
      </c>
      <c r="D195" s="63">
        <f>VLOOKUP($B195,'Tillförd energi'!$B$1:$AI$720,MATCH(D$2,'Tillförd energi'!$B$1:$AQ$1,0),FALSE)</f>
        <v>0.222</v>
      </c>
      <c r="E195" s="63">
        <f>VLOOKUP($B195,'Tillförd energi'!$B$1:$AI$720,MATCH(E$2,'Tillförd energi'!$B$1:$AQ$1,0),FALSE)</f>
        <v>0</v>
      </c>
      <c r="F195" s="63">
        <f>VLOOKUP($B195,'Tillförd energi'!$B$1:$AI$720,MATCH(F$2,'Tillförd energi'!$B$1:$AQ$1,0),FALSE)</f>
        <v>0</v>
      </c>
      <c r="G195" s="63">
        <f>VLOOKUP($B195,'Tillförd energi'!$B$1:$AI$720,MATCH(G$2,'Tillförd energi'!$B$1:$AQ$1,0),FALSE)</f>
        <v>0</v>
      </c>
      <c r="H195" s="63">
        <f>VLOOKUP($B195,'Tillförd energi'!$B$1:$AI$720,MATCH(H$2,'Tillförd energi'!$B$1:$AQ$1,0),FALSE)</f>
        <v>0</v>
      </c>
      <c r="I195" s="63">
        <f>VLOOKUP($B195,'Tillförd energi'!$B$1:$AI$720,MATCH(I$2,'Tillförd energi'!$B$1:$AQ$1,0),FALSE)</f>
        <v>0</v>
      </c>
      <c r="J195" s="63">
        <f>VLOOKUP($B195,'Tillförd energi'!$B$1:$AI$720,MATCH(J$2,'Tillförd energi'!$B$1:$AQ$1,0),FALSE)</f>
        <v>0</v>
      </c>
      <c r="K195" s="63">
        <f>VLOOKUP($B195,'Tillförd energi'!$B$1:$AI$720,MATCH(K$2,'Tillförd energi'!$B$1:$AQ$1,0),FALSE)</f>
        <v>0</v>
      </c>
      <c r="L195" s="63">
        <f>VLOOKUP($B195,'Tillförd energi'!$B$1:$AI$720,MATCH(L$2,'Tillförd energi'!$B$1:$AQ$1,0),FALSE)</f>
        <v>0</v>
      </c>
      <c r="M195" s="63">
        <f>VLOOKUP($B195,'Tillförd energi'!$B$1:$AI$720,MATCH(M$2,'Tillförd energi'!$B$1:$AQ$1,0),FALSE)</f>
        <v>0</v>
      </c>
      <c r="N195" s="63">
        <f>VLOOKUP($B195,'Tillförd energi'!$B$1:$AI$720,MATCH(N$2,'Tillförd energi'!$B$1:$AQ$1,0),FALSE)</f>
        <v>0</v>
      </c>
      <c r="O195" s="63">
        <f>VLOOKUP($B195,'Tillförd energi'!$B$1:$AI$720,MATCH(O$2,'Tillförd energi'!$B$1:$AQ$1,0),FALSE)</f>
        <v>56.718000000000004</v>
      </c>
      <c r="P195" s="63">
        <f>VLOOKUP($B195,'Tillförd energi'!$B$1:$AI$720,MATCH(P$2,'Tillförd energi'!$B$1:$AQ$1,0),FALSE)</f>
        <v>0</v>
      </c>
      <c r="Q195" s="63">
        <f>VLOOKUP($B195,'Tillförd energi'!$B$1:$AI$720,MATCH(Q$2,'Tillförd energi'!$B$1:$AQ$1,0),FALSE)</f>
        <v>0</v>
      </c>
      <c r="R195" s="63">
        <f>VLOOKUP($B195,'Tillförd energi'!$B$1:$AI$720,MATCH(R$2,'Tillförd energi'!$B$1:$AQ$1,0),FALSE)</f>
        <v>0</v>
      </c>
      <c r="S195" s="63">
        <f>VLOOKUP($B195,'Tillförd energi'!$B$1:$AI$720,MATCH(S$2,'Tillförd energi'!$B$1:$AQ$1,0),FALSE)</f>
        <v>11.776</v>
      </c>
      <c r="T195" s="63">
        <f>VLOOKUP($B195,'Tillförd energi'!$B$1:$AI$720,MATCH(T$2,'Tillförd energi'!$B$1:$AQ$1,0),FALSE)</f>
        <v>0</v>
      </c>
      <c r="U195" s="63">
        <f>VLOOKUP($B195,'Tillförd energi'!$B$1:$AI$720,MATCH(U$2,'Tillförd energi'!$B$1:$AQ$1,0),FALSE)</f>
        <v>0</v>
      </c>
      <c r="V195" s="63">
        <f>VLOOKUP($B195,'Tillförd energi'!$B$1:$AI$720,MATCH(V$2,'Tillförd energi'!$B$1:$AQ$1,0),FALSE)</f>
        <v>0</v>
      </c>
      <c r="W195" s="63">
        <f>VLOOKUP($B195,'Tillförd energi'!$B$1:$AI$720,MATCH(W$2,'Tillförd energi'!$B$1:$AQ$1,0),FALSE)</f>
        <v>0</v>
      </c>
      <c r="X195" s="63">
        <f>VLOOKUP($B195,'Tillförd energi'!$B$1:$AI$720,MATCH(X$2,'Tillförd energi'!$B$1:$AQ$1,0),FALSE)</f>
        <v>0</v>
      </c>
      <c r="Y195" s="63">
        <f>VLOOKUP($B195,'Tillförd energi'!$B$1:$AI$720,MATCH(Y$2,'Tillförd energi'!$B$1:$AQ$1,0),FALSE)</f>
        <v>0</v>
      </c>
      <c r="Z195" s="63">
        <f>VLOOKUP($B195,'Tillförd energi'!$B$1:$AI$720,MATCH(Z$2,'Tillförd energi'!$B$1:$AQ$1,0),FALSE)</f>
        <v>0</v>
      </c>
      <c r="AA195" s="63">
        <f>VLOOKUP($B195,'Tillförd energi'!$B$1:$AI$720,MATCH(AA$2,'Tillförd energi'!$B$1:$AQ$1,0),FALSE)</f>
        <v>0</v>
      </c>
      <c r="AB195" s="63">
        <f>VLOOKUP($B195,'Tillförd energi'!$B$1:$AI$720,MATCH(AB$2,'Tillförd energi'!$B$1:$AQ$1,0),FALSE)</f>
        <v>0</v>
      </c>
      <c r="AC195" s="63">
        <f>VLOOKUP($B195,'Tillförd energi'!$B$1:$AI$720,MATCH(AC$2,'Tillförd energi'!$B$1:$AQ$1,0),FALSE)</f>
        <v>0</v>
      </c>
      <c r="AD195" s="63">
        <f>VLOOKUP($B195,'Tillförd energi'!$B$1:$AI$720,MATCH(AD$2,'Tillförd energi'!$B$1:$AQ$1,0),FALSE)</f>
        <v>0</v>
      </c>
      <c r="AE195" s="63">
        <f>VLOOKUP($B195,'Tillförd energi'!$B$1:$AI$720,MATCH(AE$2,'Tillförd energi'!$B$1:$AQ$1,0),FALSE)</f>
        <v>0</v>
      </c>
      <c r="AF195" s="63">
        <f>VLOOKUP($B195,'Tillförd energi'!$B$1:$AI$720,MATCH(AF$2,'Tillförd energi'!$B$1:$AQ$1,0),FALSE)</f>
        <v>1.141</v>
      </c>
      <c r="AG195" s="63">
        <f>IFERROR(VLOOKUP(B195,Miljö!$B$1:$AC$550,MATCH("Köpt mängd produktionsspecifik fjärrvärme:",Miljö!$B$1:$AC$1,0),FALSE)/1,0)</f>
        <v>0</v>
      </c>
      <c r="AI195" s="63">
        <f t="shared" si="12"/>
        <v>69.857000000000014</v>
      </c>
      <c r="AJ195" s="63">
        <f>IF(ISERROR(1/VLOOKUP($B195,Leveranser!$B$1:$S$500,MATCH("såld värme (gwh)",Leveranser!$B$1:$S$1,0),FALSE)),"",VLOOKUP($B195,Leveranser!$B$1:$S$500,MATCH("såld värme (gwh)",Leveranser!$B$1:$S$1,0),FALSE))</f>
        <v>57.284999999999997</v>
      </c>
      <c r="AM195" s="63" t="str">
        <f>IF(B195&lt;&gt;"",IF(VLOOKUP($B195,Totalt!$B$1:$AQ$554,MATCH("Kvalitetsgranskad:",Totalt!$B$1:$AQ$1,0),FALSE)="ja",VLOOKUP($B195,Miljö!$B$1:$AG$479,MATCH(AM$2,Miljö!$B$1:$AK$1,0),FALSE),""),"")</f>
        <v>Ja</v>
      </c>
      <c r="AN195" s="63" t="str">
        <f>IF(AM195="ja",VLOOKUP($B195,Miljö!$B$1:$J$479,MATCH("Typ av ursprungsspecificerad el   (Om inget värde anges används Nordisk residualmix, se inforuta) ()",Miljö!$B$1:$J$1,0),FALSE),IF(AM195="nej","Nordisk residualel",""))</f>
        <v>'Ursprungsmärkt vattenkraft'</v>
      </c>
      <c r="AO195" s="63">
        <f>IF(AM195="","",VLOOKUP($B195,Miljö!$B$1:$J$479,MATCH("Fossilandel för ursprungspecificerad el ()",Miljö!$B$1:$J$1,0),FALSE))</f>
        <v>0</v>
      </c>
      <c r="AQ195" s="63">
        <f t="shared" si="13"/>
        <v>1</v>
      </c>
      <c r="AS195" s="63" t="str">
        <f t="shared" si="14"/>
        <v>Nej</v>
      </c>
      <c r="AT195" s="63" t="str">
        <f>IF(AS195="ja",VLOOKUP($B195,Miljö!$B$1:$P$500,MATCH("Fossil andel i procent (%)",Miljö!$B$1:$P$1,0),FALSE)/100,"")</f>
        <v/>
      </c>
      <c r="AV195" s="63" t="str">
        <f t="shared" si="15"/>
        <v>Nej</v>
      </c>
      <c r="AW195" s="63" t="str">
        <f>IF(AV195="ja",VLOOKUP($B195,'Egen hetvattenprod'!$B$1:$AO$500,MATCH("Värmekälla till värmepumpar ()",'Egen hetvattenprod'!$B$1:$AO$1,0),FALSE),"")</f>
        <v/>
      </c>
      <c r="AY195" s="63" t="str">
        <f t="shared" si="16"/>
        <v>Nej</v>
      </c>
      <c r="AZ195" s="77" t="str">
        <f>IF($AY195="ja",(VLOOKUP($B195,'Egen hetvattenprod'!$B$1:$BX$550,MATCH(AZ$2,'Egen hetvattenprod'!$B$1:$BX$1,0),FALSE)+VLOOKUP($B195,Kraftvärmeprod!$B$1:$BX$550,MATCH(AZ$2,Kraftvärmeprod!$B$1:$BX$1,0),FALSE))/$AC195,"")</f>
        <v/>
      </c>
      <c r="BA195" s="77" t="str">
        <f>IF($AY195="ja",(VLOOKUP($B195,'Egen hetvattenprod'!$B$1:$BX$550,MATCH(BA$2,'Egen hetvattenprod'!$B$1:$BX$1,0),FALSE)+VLOOKUP($B195,Kraftvärmeprod!$B$1:$BX$550,MATCH(BA$2,Kraftvärmeprod!$B$1:$BX$1,0),FALSE))/$AC195,"")</f>
        <v/>
      </c>
      <c r="BB195" s="77" t="str">
        <f>IF($AY195="ja",(VLOOKUP($B195,'Egen hetvattenprod'!$B$1:$BX$550,MATCH(BB$2,'Egen hetvattenprod'!$B$1:$BX$1,0),FALSE)+VLOOKUP($B195,Kraftvärmeprod!$B$1:$BX$550,MATCH(BB$2,Kraftvärmeprod!$B$1:$BX$1,0),FALSE))/$AC195,"")</f>
        <v/>
      </c>
      <c r="BC195" s="77" t="str">
        <f>IF($AY195="ja",(VLOOKUP($B195,'Egen hetvattenprod'!$B$1:$BX$550,MATCH(BC$2,'Egen hetvattenprod'!$B$1:$BX$1,0),FALSE)+VLOOKUP($B195,Kraftvärmeprod!$B$1:$BX$550,MATCH(BC$2,Kraftvärmeprod!$B$1:$BX$1,0),FALSE))/$AC195,"")</f>
        <v/>
      </c>
      <c r="BD195" s="77" t="str">
        <f>IF($AY195="ja",(VLOOKUP($B195,'Egen hetvattenprod'!$B$1:$BX$550,MATCH(BD$2,'Egen hetvattenprod'!$B$1:$BX$1,0),FALSE)+VLOOKUP($B195,Kraftvärmeprod!$B$1:$BX$550,MATCH(BD$2,Kraftvärmeprod!$B$1:$BX$1,0),FALSE))/$AC195,"")</f>
        <v/>
      </c>
      <c r="BF195" s="63" t="str">
        <f t="shared" si="17"/>
        <v>Nej</v>
      </c>
      <c r="BG195" s="63" t="str">
        <f>IF($BF195="ja",VLOOKUP($B195,'Egen hetvattenprod'!$B$1:$BX$550,MATCH("Andelen klimatgaser med fossilt ursprung för avfall ()",'Egen hetvattenprod'!$B$1:$BX$1,0),FALSE),"")</f>
        <v/>
      </c>
      <c r="BH195" s="63" t="str">
        <f>IF($BF195="ja",VLOOKUP($B195,Kraftvärmeprod!$B$1:$BX$550,MATCH("Andelen klimatgaser med fossilt ursprung för avfall ()",Kraftvärmeprod!$B$1:$BX$1,0),FALSE),"")</f>
        <v/>
      </c>
      <c r="BI195" s="63" t="str">
        <f>IF($BF195="ja",VLOOKUP($B195,'Egen hetvattenprod'!$B$1:$BX$550,MATCH("Avfall (GWh)",'Egen hetvattenprod'!$B$1:$BX$1,0),FALSE),"")</f>
        <v/>
      </c>
      <c r="BJ195" s="63" t="str">
        <f>IF($BF195="ja",VLOOKUP($B195,'Slutlig allokering kvv'!$B$1:$BX$550,MATCH("Avfall (GWh)",'Slutlig allokering kvv'!$B$1:$BX$1,0),FALSE),"")</f>
        <v/>
      </c>
      <c r="BK195" s="63" t="str">
        <f>IF($BF195="ja",VLOOKUP($B195,'Köpt hetvatten'!$B$1:$BX$550,MATCH("Avfall i köpt hetvatten",'Köpt hetvatten'!$B$1:$BX$1,0),FALSE),"")</f>
        <v/>
      </c>
      <c r="BL195" s="63" t="str">
        <f>IF($BF195="ja",VLOOKUP($B195,'Egen hetvattenprod'!$B$1:$BX$550,MATCH("Värde enligt ovan. (%)",'Egen hetvattenprod'!$B$1:$BX$1,0),FALSE),"")</f>
        <v/>
      </c>
      <c r="BM195" s="63" t="str">
        <f>IF($BF195="ja",VLOOKUP($B195,Kraftvärmeprod!$B$1:$BX$550,MATCH("Värde enligt ovan. (%)",Kraftvärmeprod!$B$1:$BX$1,0),FALSE),"")</f>
        <v/>
      </c>
    </row>
    <row r="196" spans="1:65" x14ac:dyDescent="0.45">
      <c r="A196" s="63" t="s">
        <v>418</v>
      </c>
      <c r="B196" s="63" t="s">
        <v>105</v>
      </c>
      <c r="C196" s="63">
        <f>VLOOKUP($B196,'Tillförd energi'!$B$1:$AI$720,MATCH(C$2,'Tillförd energi'!$B$1:$AQ$1,0),FALSE)</f>
        <v>0</v>
      </c>
      <c r="D196" s="63">
        <f>VLOOKUP($B196,'Tillförd energi'!$B$1:$AI$720,MATCH(D$2,'Tillförd energi'!$B$1:$AQ$1,0),FALSE)</f>
        <v>2.5999999999999999E-2</v>
      </c>
      <c r="E196" s="63">
        <f>VLOOKUP($B196,'Tillförd energi'!$B$1:$AI$720,MATCH(E$2,'Tillförd energi'!$B$1:$AQ$1,0),FALSE)</f>
        <v>0</v>
      </c>
      <c r="F196" s="63">
        <f>VLOOKUP($B196,'Tillförd energi'!$B$1:$AI$720,MATCH(F$2,'Tillförd energi'!$B$1:$AQ$1,0),FALSE)</f>
        <v>0</v>
      </c>
      <c r="G196" s="63">
        <f>VLOOKUP($B196,'Tillförd energi'!$B$1:$AI$720,MATCH(G$2,'Tillförd energi'!$B$1:$AQ$1,0),FALSE)</f>
        <v>0</v>
      </c>
      <c r="H196" s="63">
        <f>VLOOKUP($B196,'Tillförd energi'!$B$1:$AI$720,MATCH(H$2,'Tillförd energi'!$B$1:$AQ$1,0),FALSE)</f>
        <v>0</v>
      </c>
      <c r="I196" s="63">
        <f>VLOOKUP($B196,'Tillförd energi'!$B$1:$AI$720,MATCH(I$2,'Tillförd energi'!$B$1:$AQ$1,0),FALSE)</f>
        <v>0</v>
      </c>
      <c r="J196" s="63">
        <f>VLOOKUP($B196,'Tillförd energi'!$B$1:$AI$720,MATCH(J$2,'Tillförd energi'!$B$1:$AQ$1,0),FALSE)</f>
        <v>0</v>
      </c>
      <c r="K196" s="63">
        <f>VLOOKUP($B196,'Tillförd energi'!$B$1:$AI$720,MATCH(K$2,'Tillförd energi'!$B$1:$AQ$1,0),FALSE)</f>
        <v>0</v>
      </c>
      <c r="L196" s="63">
        <f>VLOOKUP($B196,'Tillförd energi'!$B$1:$AI$720,MATCH(L$2,'Tillförd energi'!$B$1:$AQ$1,0),FALSE)</f>
        <v>0</v>
      </c>
      <c r="M196" s="63">
        <f>VLOOKUP($B196,'Tillförd energi'!$B$1:$AI$720,MATCH(M$2,'Tillförd energi'!$B$1:$AQ$1,0),FALSE)</f>
        <v>0</v>
      </c>
      <c r="N196" s="63">
        <f>VLOOKUP($B196,'Tillförd energi'!$B$1:$AI$720,MATCH(N$2,'Tillförd energi'!$B$1:$AQ$1,0),FALSE)</f>
        <v>0</v>
      </c>
      <c r="O196" s="63">
        <f>VLOOKUP($B196,'Tillförd energi'!$B$1:$AI$720,MATCH(O$2,'Tillförd energi'!$B$1:$AQ$1,0),FALSE)</f>
        <v>0</v>
      </c>
      <c r="P196" s="63">
        <f>VLOOKUP($B196,'Tillförd energi'!$B$1:$AI$720,MATCH(P$2,'Tillförd energi'!$B$1:$AQ$1,0),FALSE)</f>
        <v>2.2109999999999999</v>
      </c>
      <c r="Q196" s="63">
        <f>VLOOKUP($B196,'Tillförd energi'!$B$1:$AI$720,MATCH(Q$2,'Tillförd energi'!$B$1:$AQ$1,0),FALSE)</f>
        <v>0</v>
      </c>
      <c r="R196" s="63">
        <f>VLOOKUP($B196,'Tillförd energi'!$B$1:$AI$720,MATCH(R$2,'Tillförd energi'!$B$1:$AQ$1,0),FALSE)</f>
        <v>0</v>
      </c>
      <c r="S196" s="63">
        <f>VLOOKUP($B196,'Tillförd energi'!$B$1:$AI$720,MATCH(S$2,'Tillförd energi'!$B$1:$AQ$1,0),FALSE)</f>
        <v>12.089</v>
      </c>
      <c r="T196" s="63">
        <f>VLOOKUP($B196,'Tillförd energi'!$B$1:$AI$720,MATCH(T$2,'Tillförd energi'!$B$1:$AQ$1,0),FALSE)</f>
        <v>0</v>
      </c>
      <c r="U196" s="63">
        <f>VLOOKUP($B196,'Tillförd energi'!$B$1:$AI$720,MATCH(U$2,'Tillförd energi'!$B$1:$AQ$1,0),FALSE)</f>
        <v>0</v>
      </c>
      <c r="V196" s="63">
        <f>VLOOKUP($B196,'Tillförd energi'!$B$1:$AI$720,MATCH(V$2,'Tillförd energi'!$B$1:$AQ$1,0),FALSE)</f>
        <v>0</v>
      </c>
      <c r="W196" s="63">
        <f>VLOOKUP($B196,'Tillförd energi'!$B$1:$AI$720,MATCH(W$2,'Tillförd energi'!$B$1:$AQ$1,0),FALSE)</f>
        <v>0</v>
      </c>
      <c r="X196" s="63">
        <f>VLOOKUP($B196,'Tillförd energi'!$B$1:$AI$720,MATCH(X$2,'Tillförd energi'!$B$1:$AQ$1,0),FALSE)</f>
        <v>0</v>
      </c>
      <c r="Y196" s="63">
        <f>VLOOKUP($B196,'Tillförd energi'!$B$1:$AI$720,MATCH(Y$2,'Tillförd energi'!$B$1:$AQ$1,0),FALSE)</f>
        <v>0</v>
      </c>
      <c r="Z196" s="63">
        <f>VLOOKUP($B196,'Tillförd energi'!$B$1:$AI$720,MATCH(Z$2,'Tillförd energi'!$B$1:$AQ$1,0),FALSE)</f>
        <v>0</v>
      </c>
      <c r="AA196" s="63">
        <f>VLOOKUP($B196,'Tillförd energi'!$B$1:$AI$720,MATCH(AA$2,'Tillförd energi'!$B$1:$AQ$1,0),FALSE)</f>
        <v>0</v>
      </c>
      <c r="AB196" s="63">
        <f>VLOOKUP($B196,'Tillförd energi'!$B$1:$AI$720,MATCH(AB$2,'Tillförd energi'!$B$1:$AQ$1,0),FALSE)</f>
        <v>0</v>
      </c>
      <c r="AC196" s="63">
        <f>VLOOKUP($B196,'Tillförd energi'!$B$1:$AI$720,MATCH(AC$2,'Tillförd energi'!$B$1:$AQ$1,0),FALSE)</f>
        <v>0</v>
      </c>
      <c r="AD196" s="63">
        <f>VLOOKUP($B196,'Tillförd energi'!$B$1:$AI$720,MATCH(AD$2,'Tillförd energi'!$B$1:$AQ$1,0),FALSE)</f>
        <v>0</v>
      </c>
      <c r="AE196" s="63">
        <f>VLOOKUP($B196,'Tillförd energi'!$B$1:$AI$720,MATCH(AE$2,'Tillförd energi'!$B$1:$AQ$1,0),FALSE)</f>
        <v>0</v>
      </c>
      <c r="AF196" s="63">
        <f>VLOOKUP($B196,'Tillförd energi'!$B$1:$AI$720,MATCH(AF$2,'Tillförd energi'!$B$1:$AQ$1,0),FALSE)</f>
        <v>0.316</v>
      </c>
      <c r="AG196" s="63">
        <f>IFERROR(VLOOKUP(B196,Miljö!$B$1:$AC$550,MATCH("Köpt mängd produktionsspecifik fjärrvärme:",Miljö!$B$1:$AC$1,0),FALSE)/1,0)</f>
        <v>0</v>
      </c>
      <c r="AI196" s="63">
        <f t="shared" ref="AI196:AI259" si="18">IF(B196&lt;&gt;"",SUM(C196:AG196),"")</f>
        <v>14.642000000000001</v>
      </c>
      <c r="AJ196" s="63">
        <f>IF(ISERROR(1/VLOOKUP($B196,Leveranser!$B$1:$S$500,MATCH("såld värme (gwh)",Leveranser!$B$1:$S$1,0),FALSE)),"",VLOOKUP($B196,Leveranser!$B$1:$S$500,MATCH("såld värme (gwh)",Leveranser!$B$1:$S$1,0),FALSE))</f>
        <v>12.760999999999999</v>
      </c>
      <c r="AM196" s="63" t="str">
        <f>IF(B196&lt;&gt;"",IF(VLOOKUP($B196,Totalt!$B$1:$AQ$554,MATCH("Kvalitetsgranskad:",Totalt!$B$1:$AQ$1,0),FALSE)="ja",VLOOKUP($B196,Miljö!$B$1:$AG$479,MATCH(AM$2,Miljö!$B$1:$AK$1,0),FALSE),""),"")</f>
        <v>Ja</v>
      </c>
      <c r="AN196" s="63" t="str">
        <f>IF(AM196="ja",VLOOKUP($B196,Miljö!$B$1:$J$479,MATCH("Typ av ursprungsspecificerad el   (Om inget värde anges används Nordisk residualmix, se inforuta) ()",Miljö!$B$1:$J$1,0),FALSE),IF(AM196="nej","Nordisk residualel",""))</f>
        <v>'Ursprungsmärkt Vattenkraft'</v>
      </c>
      <c r="AO196" s="63">
        <f>IF(AM196="","",VLOOKUP($B196,Miljö!$B$1:$J$479,MATCH("Fossilandel för ursprungspecificerad el ()",Miljö!$B$1:$J$1,0),FALSE))</f>
        <v>0</v>
      </c>
      <c r="AQ196" s="63">
        <f t="shared" ref="AQ196:AQ259" si="19">IF(AM196="","",1-AO196-AP196)</f>
        <v>1</v>
      </c>
      <c r="AS196" s="63" t="str">
        <f t="shared" ref="AS196:AS259" si="20">IF(B196&lt;&gt;"",IF(AND(AG196&gt;0,AG196&lt;&gt;""),"Ja","Nej"),"")</f>
        <v>Nej</v>
      </c>
      <c r="AT196" s="63" t="str">
        <f>IF(AS196="ja",VLOOKUP($B196,Miljö!$B$1:$P$500,MATCH("Fossil andel i procent (%)",Miljö!$B$1:$P$1,0),FALSE)/100,"")</f>
        <v/>
      </c>
      <c r="AV196" s="63" t="str">
        <f t="shared" ref="AV196:AV259" si="21">IF(B196&lt;&gt;"",IF(AND(AB196&gt;0,AB196&lt;&gt;""),"Ja","Nej"),"")</f>
        <v>Nej</v>
      </c>
      <c r="AW196" s="63" t="str">
        <f>IF(AV196="ja",VLOOKUP($B196,'Egen hetvattenprod'!$B$1:$AO$500,MATCH("Värmekälla till värmepumpar ()",'Egen hetvattenprod'!$B$1:$AO$1,0),FALSE),"")</f>
        <v/>
      </c>
      <c r="AY196" s="63" t="str">
        <f t="shared" ref="AY196:AY259" si="22">IF(B196&lt;&gt;"",IF(AND(AC196&gt;0,AC196&lt;&gt;""),"Ja","Nej"),"")</f>
        <v>Nej</v>
      </c>
      <c r="AZ196" s="77" t="str">
        <f>IF($AY196="ja",(VLOOKUP($B196,'Egen hetvattenprod'!$B$1:$BX$550,MATCH(AZ$2,'Egen hetvattenprod'!$B$1:$BX$1,0),FALSE)+VLOOKUP($B196,Kraftvärmeprod!$B$1:$BX$550,MATCH(AZ$2,Kraftvärmeprod!$B$1:$BX$1,0),FALSE))/$AC196,"")</f>
        <v/>
      </c>
      <c r="BA196" s="77" t="str">
        <f>IF($AY196="ja",(VLOOKUP($B196,'Egen hetvattenprod'!$B$1:$BX$550,MATCH(BA$2,'Egen hetvattenprod'!$B$1:$BX$1,0),FALSE)+VLOOKUP($B196,Kraftvärmeprod!$B$1:$BX$550,MATCH(BA$2,Kraftvärmeprod!$B$1:$BX$1,0),FALSE))/$AC196,"")</f>
        <v/>
      </c>
      <c r="BB196" s="77" t="str">
        <f>IF($AY196="ja",(VLOOKUP($B196,'Egen hetvattenprod'!$B$1:$BX$550,MATCH(BB$2,'Egen hetvattenprod'!$B$1:$BX$1,0),FALSE)+VLOOKUP($B196,Kraftvärmeprod!$B$1:$BX$550,MATCH(BB$2,Kraftvärmeprod!$B$1:$BX$1,0),FALSE))/$AC196,"")</f>
        <v/>
      </c>
      <c r="BC196" s="77" t="str">
        <f>IF($AY196="ja",(VLOOKUP($B196,'Egen hetvattenprod'!$B$1:$BX$550,MATCH(BC$2,'Egen hetvattenprod'!$B$1:$BX$1,0),FALSE)+VLOOKUP($B196,Kraftvärmeprod!$B$1:$BX$550,MATCH(BC$2,Kraftvärmeprod!$B$1:$BX$1,0),FALSE))/$AC196,"")</f>
        <v/>
      </c>
      <c r="BD196" s="77" t="str">
        <f>IF($AY196="ja",(VLOOKUP($B196,'Egen hetvattenprod'!$B$1:$BX$550,MATCH(BD$2,'Egen hetvattenprod'!$B$1:$BX$1,0),FALSE)+VLOOKUP($B196,Kraftvärmeprod!$B$1:$BX$550,MATCH(BD$2,Kraftvärmeprod!$B$1:$BX$1,0),FALSE))/$AC196,"")</f>
        <v/>
      </c>
      <c r="BF196" s="63" t="str">
        <f t="shared" ref="BF196:BF259" si="23">IF(B196&lt;&gt;"",IF(AND(I196&gt;0,I196&lt;&gt;""),"Ja","Nej"),"")</f>
        <v>Nej</v>
      </c>
      <c r="BG196" s="63" t="str">
        <f>IF($BF196="ja",VLOOKUP($B196,'Egen hetvattenprod'!$B$1:$BX$550,MATCH("Andelen klimatgaser med fossilt ursprung för avfall ()",'Egen hetvattenprod'!$B$1:$BX$1,0),FALSE),"")</f>
        <v/>
      </c>
      <c r="BH196" s="63" t="str">
        <f>IF($BF196="ja",VLOOKUP($B196,Kraftvärmeprod!$B$1:$BX$550,MATCH("Andelen klimatgaser med fossilt ursprung för avfall ()",Kraftvärmeprod!$B$1:$BX$1,0),FALSE),"")</f>
        <v/>
      </c>
      <c r="BI196" s="63" t="str">
        <f>IF($BF196="ja",VLOOKUP($B196,'Egen hetvattenprod'!$B$1:$BX$550,MATCH("Avfall (GWh)",'Egen hetvattenprod'!$B$1:$BX$1,0),FALSE),"")</f>
        <v/>
      </c>
      <c r="BJ196" s="63" t="str">
        <f>IF($BF196="ja",VLOOKUP($B196,'Slutlig allokering kvv'!$B$1:$BX$550,MATCH("Avfall (GWh)",'Slutlig allokering kvv'!$B$1:$BX$1,0),FALSE),"")</f>
        <v/>
      </c>
      <c r="BK196" s="63" t="str">
        <f>IF($BF196="ja",VLOOKUP($B196,'Köpt hetvatten'!$B$1:$BX$550,MATCH("Avfall i köpt hetvatten",'Köpt hetvatten'!$B$1:$BX$1,0),FALSE),"")</f>
        <v/>
      </c>
      <c r="BL196" s="63" t="str">
        <f>IF($BF196="ja",VLOOKUP($B196,'Egen hetvattenprod'!$B$1:$BX$550,MATCH("Värde enligt ovan. (%)",'Egen hetvattenprod'!$B$1:$BX$1,0),FALSE),"")</f>
        <v/>
      </c>
      <c r="BM196" s="63" t="str">
        <f>IF($BF196="ja",VLOOKUP($B196,Kraftvärmeprod!$B$1:$BX$550,MATCH("Värde enligt ovan. (%)",Kraftvärmeprod!$B$1:$BX$1,0),FALSE),"")</f>
        <v/>
      </c>
    </row>
    <row r="197" spans="1:65" x14ac:dyDescent="0.45">
      <c r="A197" s="63" t="s">
        <v>418</v>
      </c>
      <c r="B197" s="63" t="s">
        <v>107</v>
      </c>
      <c r="C197" s="63">
        <f>VLOOKUP($B197,'Tillförd energi'!$B$1:$AI$720,MATCH(C$2,'Tillförd energi'!$B$1:$AQ$1,0),FALSE)</f>
        <v>0</v>
      </c>
      <c r="D197" s="63">
        <f>VLOOKUP($B197,'Tillförd energi'!$B$1:$AI$720,MATCH(D$2,'Tillförd energi'!$B$1:$AQ$1,0),FALSE)</f>
        <v>1.1744399999999999</v>
      </c>
      <c r="E197" s="63">
        <f>VLOOKUP($B197,'Tillförd energi'!$B$1:$AI$720,MATCH(E$2,'Tillförd energi'!$B$1:$AQ$1,0),FALSE)</f>
        <v>0</v>
      </c>
      <c r="F197" s="63">
        <f>VLOOKUP($B197,'Tillförd energi'!$B$1:$AI$720,MATCH(F$2,'Tillförd energi'!$B$1:$AQ$1,0),FALSE)</f>
        <v>0</v>
      </c>
      <c r="G197" s="63">
        <f>VLOOKUP($B197,'Tillförd energi'!$B$1:$AI$720,MATCH(G$2,'Tillförd energi'!$B$1:$AQ$1,0),FALSE)</f>
        <v>0</v>
      </c>
      <c r="H197" s="63">
        <f>VLOOKUP($B197,'Tillförd energi'!$B$1:$AI$720,MATCH(H$2,'Tillförd energi'!$B$1:$AQ$1,0),FALSE)</f>
        <v>0</v>
      </c>
      <c r="I197" s="63">
        <f>VLOOKUP($B197,'Tillförd energi'!$B$1:$AI$720,MATCH(I$2,'Tillförd energi'!$B$1:$AQ$1,0),FALSE)</f>
        <v>0</v>
      </c>
      <c r="J197" s="63">
        <f>VLOOKUP($B197,'Tillförd energi'!$B$1:$AI$720,MATCH(J$2,'Tillförd energi'!$B$1:$AQ$1,0),FALSE)</f>
        <v>0</v>
      </c>
      <c r="K197" s="63">
        <f>VLOOKUP($B197,'Tillförd energi'!$B$1:$AI$720,MATCH(K$2,'Tillförd energi'!$B$1:$AQ$1,0),FALSE)</f>
        <v>0</v>
      </c>
      <c r="L197" s="63">
        <f>VLOOKUP($B197,'Tillförd energi'!$B$1:$AI$720,MATCH(L$2,'Tillförd energi'!$B$1:$AQ$1,0),FALSE)</f>
        <v>0</v>
      </c>
      <c r="M197" s="63">
        <f>VLOOKUP($B197,'Tillförd energi'!$B$1:$AI$720,MATCH(M$2,'Tillförd energi'!$B$1:$AQ$1,0),FALSE)</f>
        <v>0</v>
      </c>
      <c r="N197" s="63">
        <f>VLOOKUP($B197,'Tillförd energi'!$B$1:$AI$720,MATCH(N$2,'Tillförd energi'!$B$1:$AQ$1,0),FALSE)</f>
        <v>0</v>
      </c>
      <c r="O197" s="63">
        <f>VLOOKUP($B197,'Tillförd energi'!$B$1:$AI$720,MATCH(O$2,'Tillförd energi'!$B$1:$AQ$1,0),FALSE)</f>
        <v>0</v>
      </c>
      <c r="P197" s="63">
        <f>VLOOKUP($B197,'Tillförd energi'!$B$1:$AI$720,MATCH(P$2,'Tillförd energi'!$B$1:$AQ$1,0),FALSE)</f>
        <v>0</v>
      </c>
      <c r="Q197" s="63">
        <f>VLOOKUP($B197,'Tillförd energi'!$B$1:$AI$720,MATCH(Q$2,'Tillförd energi'!$B$1:$AQ$1,0),FALSE)</f>
        <v>14.5</v>
      </c>
      <c r="R197" s="63">
        <f>VLOOKUP($B197,'Tillförd energi'!$B$1:$AI$720,MATCH(R$2,'Tillförd energi'!$B$1:$AQ$1,0),FALSE)</f>
        <v>4.8600000000000003</v>
      </c>
      <c r="S197" s="63">
        <f>VLOOKUP($B197,'Tillförd energi'!$B$1:$AI$720,MATCH(S$2,'Tillförd energi'!$B$1:$AQ$1,0),FALSE)</f>
        <v>0</v>
      </c>
      <c r="T197" s="63">
        <f>VLOOKUP($B197,'Tillförd energi'!$B$1:$AI$720,MATCH(T$2,'Tillförd energi'!$B$1:$AQ$1,0),FALSE)</f>
        <v>0</v>
      </c>
      <c r="U197" s="63">
        <f>VLOOKUP($B197,'Tillförd energi'!$B$1:$AI$720,MATCH(U$2,'Tillförd energi'!$B$1:$AQ$1,0),FALSE)</f>
        <v>0</v>
      </c>
      <c r="V197" s="63">
        <f>VLOOKUP($B197,'Tillförd energi'!$B$1:$AI$720,MATCH(V$2,'Tillförd energi'!$B$1:$AQ$1,0),FALSE)</f>
        <v>0</v>
      </c>
      <c r="W197" s="63">
        <f>VLOOKUP($B197,'Tillförd energi'!$B$1:$AI$720,MATCH(W$2,'Tillförd energi'!$B$1:$AQ$1,0),FALSE)</f>
        <v>0</v>
      </c>
      <c r="X197" s="63">
        <f>VLOOKUP($B197,'Tillförd energi'!$B$1:$AI$720,MATCH(X$2,'Tillförd energi'!$B$1:$AQ$1,0),FALSE)</f>
        <v>0</v>
      </c>
      <c r="Y197" s="63">
        <f>VLOOKUP($B197,'Tillförd energi'!$B$1:$AI$720,MATCH(Y$2,'Tillförd energi'!$B$1:$AQ$1,0),FALSE)</f>
        <v>0</v>
      </c>
      <c r="Z197" s="63">
        <f>VLOOKUP($B197,'Tillförd energi'!$B$1:$AI$720,MATCH(Z$2,'Tillförd energi'!$B$1:$AQ$1,0),FALSE)</f>
        <v>0</v>
      </c>
      <c r="AA197" s="63">
        <f>VLOOKUP($B197,'Tillförd energi'!$B$1:$AI$720,MATCH(AA$2,'Tillförd energi'!$B$1:$AQ$1,0),FALSE)</f>
        <v>0</v>
      </c>
      <c r="AB197" s="63">
        <f>VLOOKUP($B197,'Tillförd energi'!$B$1:$AI$720,MATCH(AB$2,'Tillförd energi'!$B$1:$AQ$1,0),FALSE)</f>
        <v>0</v>
      </c>
      <c r="AC197" s="63">
        <f>VLOOKUP($B197,'Tillförd energi'!$B$1:$AI$720,MATCH(AC$2,'Tillförd energi'!$B$1:$AQ$1,0),FALSE)</f>
        <v>0</v>
      </c>
      <c r="AD197" s="63">
        <f>VLOOKUP($B197,'Tillförd energi'!$B$1:$AI$720,MATCH(AD$2,'Tillförd energi'!$B$1:$AQ$1,0),FALSE)</f>
        <v>0</v>
      </c>
      <c r="AE197" s="63">
        <f>VLOOKUP($B197,'Tillförd energi'!$B$1:$AI$720,MATCH(AE$2,'Tillförd energi'!$B$1:$AQ$1,0),FALSE)</f>
        <v>0</v>
      </c>
      <c r="AF197" s="63">
        <f>VLOOKUP($B197,'Tillförd energi'!$B$1:$AI$720,MATCH(AF$2,'Tillförd energi'!$B$1:$AQ$1,0),FALSE)</f>
        <v>0.108</v>
      </c>
      <c r="AG197" s="63">
        <f>IFERROR(VLOOKUP(B197,Miljö!$B$1:$AC$550,MATCH("Köpt mängd produktionsspecifik fjärrvärme:",Miljö!$B$1:$AC$1,0),FALSE)/1,0)</f>
        <v>0</v>
      </c>
      <c r="AI197" s="63">
        <f t="shared" si="18"/>
        <v>20.642440000000001</v>
      </c>
      <c r="AJ197" s="63">
        <f>IF(ISERROR(1/VLOOKUP($B197,Leveranser!$B$1:$S$500,MATCH("såld värme (gwh)",Leveranser!$B$1:$S$1,0),FALSE)),"",VLOOKUP($B197,Leveranser!$B$1:$S$500,MATCH("såld värme (gwh)",Leveranser!$B$1:$S$1,0),FALSE))</f>
        <v>16.138999999999999</v>
      </c>
      <c r="AM197" s="63" t="str">
        <f>IF(B197&lt;&gt;"",IF(VLOOKUP($B197,Totalt!$B$1:$AQ$554,MATCH("Kvalitetsgranskad:",Totalt!$B$1:$AQ$1,0),FALSE)="ja",VLOOKUP($B197,Miljö!$B$1:$AG$479,MATCH(AM$2,Miljö!$B$1:$AK$1,0),FALSE),""),"")</f>
        <v>Ja</v>
      </c>
      <c r="AN197" s="63" t="str">
        <f>IF(AM197="ja",VLOOKUP($B197,Miljö!$B$1:$J$479,MATCH("Typ av ursprungsspecificerad el   (Om inget värde anges används Nordisk residualmix, se inforuta) ()",Miljö!$B$1:$J$1,0),FALSE),IF(AM197="nej","Nordisk residualel",""))</f>
        <v>'Ursprungsmärkt Vattenkraft'</v>
      </c>
      <c r="AO197" s="63">
        <f>IF(AM197="","",VLOOKUP($B197,Miljö!$B$1:$J$479,MATCH("Fossilandel för ursprungspecificerad el ()",Miljö!$B$1:$J$1,0),FALSE))</f>
        <v>0</v>
      </c>
      <c r="AQ197" s="63">
        <f t="shared" si="19"/>
        <v>1</v>
      </c>
      <c r="AS197" s="63" t="str">
        <f t="shared" si="20"/>
        <v>Nej</v>
      </c>
      <c r="AT197" s="63" t="str">
        <f>IF(AS197="ja",VLOOKUP($B197,Miljö!$B$1:$P$500,MATCH("Fossil andel i procent (%)",Miljö!$B$1:$P$1,0),FALSE)/100,"")</f>
        <v/>
      </c>
      <c r="AV197" s="63" t="str">
        <f t="shared" si="21"/>
        <v>Nej</v>
      </c>
      <c r="AW197" s="63" t="str">
        <f>IF(AV197="ja",VLOOKUP($B197,'Egen hetvattenprod'!$B$1:$AO$500,MATCH("Värmekälla till värmepumpar ()",'Egen hetvattenprod'!$B$1:$AO$1,0),FALSE),"")</f>
        <v/>
      </c>
      <c r="AY197" s="63" t="str">
        <f t="shared" si="22"/>
        <v>Nej</v>
      </c>
      <c r="AZ197" s="77" t="str">
        <f>IF($AY197="ja",(VLOOKUP($B197,'Egen hetvattenprod'!$B$1:$BX$550,MATCH(AZ$2,'Egen hetvattenprod'!$B$1:$BX$1,0),FALSE)+VLOOKUP($B197,Kraftvärmeprod!$B$1:$BX$550,MATCH(AZ$2,Kraftvärmeprod!$B$1:$BX$1,0),FALSE))/$AC197,"")</f>
        <v/>
      </c>
      <c r="BA197" s="77" t="str">
        <f>IF($AY197="ja",(VLOOKUP($B197,'Egen hetvattenprod'!$B$1:$BX$550,MATCH(BA$2,'Egen hetvattenprod'!$B$1:$BX$1,0),FALSE)+VLOOKUP($B197,Kraftvärmeprod!$B$1:$BX$550,MATCH(BA$2,Kraftvärmeprod!$B$1:$BX$1,0),FALSE))/$AC197,"")</f>
        <v/>
      </c>
      <c r="BB197" s="77" t="str">
        <f>IF($AY197="ja",(VLOOKUP($B197,'Egen hetvattenprod'!$B$1:$BX$550,MATCH(BB$2,'Egen hetvattenprod'!$B$1:$BX$1,0),FALSE)+VLOOKUP($B197,Kraftvärmeprod!$B$1:$BX$550,MATCH(BB$2,Kraftvärmeprod!$B$1:$BX$1,0),FALSE))/$AC197,"")</f>
        <v/>
      </c>
      <c r="BC197" s="77" t="str">
        <f>IF($AY197="ja",(VLOOKUP($B197,'Egen hetvattenprod'!$B$1:$BX$550,MATCH(BC$2,'Egen hetvattenprod'!$B$1:$BX$1,0),FALSE)+VLOOKUP($B197,Kraftvärmeprod!$B$1:$BX$550,MATCH(BC$2,Kraftvärmeprod!$B$1:$BX$1,0),FALSE))/$AC197,"")</f>
        <v/>
      </c>
      <c r="BD197" s="77" t="str">
        <f>IF($AY197="ja",(VLOOKUP($B197,'Egen hetvattenprod'!$B$1:$BX$550,MATCH(BD$2,'Egen hetvattenprod'!$B$1:$BX$1,0),FALSE)+VLOOKUP($B197,Kraftvärmeprod!$B$1:$BX$550,MATCH(BD$2,Kraftvärmeprod!$B$1:$BX$1,0),FALSE))/$AC197,"")</f>
        <v/>
      </c>
      <c r="BF197" s="63" t="str">
        <f t="shared" si="23"/>
        <v>Nej</v>
      </c>
      <c r="BG197" s="63" t="str">
        <f>IF($BF197="ja",VLOOKUP($B197,'Egen hetvattenprod'!$B$1:$BX$550,MATCH("Andelen klimatgaser med fossilt ursprung för avfall ()",'Egen hetvattenprod'!$B$1:$BX$1,0),FALSE),"")</f>
        <v/>
      </c>
      <c r="BH197" s="63" t="str">
        <f>IF($BF197="ja",VLOOKUP($B197,Kraftvärmeprod!$B$1:$BX$550,MATCH("Andelen klimatgaser med fossilt ursprung för avfall ()",Kraftvärmeprod!$B$1:$BX$1,0),FALSE),"")</f>
        <v/>
      </c>
      <c r="BI197" s="63" t="str">
        <f>IF($BF197="ja",VLOOKUP($B197,'Egen hetvattenprod'!$B$1:$BX$550,MATCH("Avfall (GWh)",'Egen hetvattenprod'!$B$1:$BX$1,0),FALSE),"")</f>
        <v/>
      </c>
      <c r="BJ197" s="63" t="str">
        <f>IF($BF197="ja",VLOOKUP($B197,'Slutlig allokering kvv'!$B$1:$BX$550,MATCH("Avfall (GWh)",'Slutlig allokering kvv'!$B$1:$BX$1,0),FALSE),"")</f>
        <v/>
      </c>
      <c r="BK197" s="63" t="str">
        <f>IF($BF197="ja",VLOOKUP($B197,'Köpt hetvatten'!$B$1:$BX$550,MATCH("Avfall i köpt hetvatten",'Köpt hetvatten'!$B$1:$BX$1,0),FALSE),"")</f>
        <v/>
      </c>
      <c r="BL197" s="63" t="str">
        <f>IF($BF197="ja",VLOOKUP($B197,'Egen hetvattenprod'!$B$1:$BX$550,MATCH("Värde enligt ovan. (%)",'Egen hetvattenprod'!$B$1:$BX$1,0),FALSE),"")</f>
        <v/>
      </c>
      <c r="BM197" s="63" t="str">
        <f>IF($BF197="ja",VLOOKUP($B197,Kraftvärmeprod!$B$1:$BX$550,MATCH("Värde enligt ovan. (%)",Kraftvärmeprod!$B$1:$BX$1,0),FALSE),"")</f>
        <v/>
      </c>
    </row>
    <row r="198" spans="1:65" x14ac:dyDescent="0.45">
      <c r="A198" s="63" t="s">
        <v>418</v>
      </c>
      <c r="B198" s="63" t="s">
        <v>109</v>
      </c>
      <c r="C198" s="63">
        <f>VLOOKUP($B198,'Tillförd energi'!$B$1:$AI$720,MATCH(C$2,'Tillförd energi'!$B$1:$AQ$1,0),FALSE)</f>
        <v>0</v>
      </c>
      <c r="D198" s="63">
        <f>VLOOKUP($B198,'Tillförd energi'!$B$1:$AI$720,MATCH(D$2,'Tillförd energi'!$B$1:$AQ$1,0),FALSE)</f>
        <v>0.221</v>
      </c>
      <c r="E198" s="63">
        <f>VLOOKUP($B198,'Tillförd energi'!$B$1:$AI$720,MATCH(E$2,'Tillförd energi'!$B$1:$AQ$1,0),FALSE)</f>
        <v>0</v>
      </c>
      <c r="F198" s="63">
        <f>VLOOKUP($B198,'Tillförd energi'!$B$1:$AI$720,MATCH(F$2,'Tillförd energi'!$B$1:$AQ$1,0),FALSE)</f>
        <v>0</v>
      </c>
      <c r="G198" s="63">
        <f>VLOOKUP($B198,'Tillförd energi'!$B$1:$AI$720,MATCH(G$2,'Tillförd energi'!$B$1:$AQ$1,0),FALSE)</f>
        <v>0</v>
      </c>
      <c r="H198" s="63">
        <f>VLOOKUP($B198,'Tillförd energi'!$B$1:$AI$720,MATCH(H$2,'Tillförd energi'!$B$1:$AQ$1,0),FALSE)</f>
        <v>0</v>
      </c>
      <c r="I198" s="63">
        <f>VLOOKUP($B198,'Tillförd energi'!$B$1:$AI$720,MATCH(I$2,'Tillförd energi'!$B$1:$AQ$1,0),FALSE)</f>
        <v>0</v>
      </c>
      <c r="J198" s="63">
        <f>VLOOKUP($B198,'Tillförd energi'!$B$1:$AI$720,MATCH(J$2,'Tillförd energi'!$B$1:$AQ$1,0),FALSE)</f>
        <v>0</v>
      </c>
      <c r="K198" s="63">
        <f>VLOOKUP($B198,'Tillförd energi'!$B$1:$AI$720,MATCH(K$2,'Tillförd energi'!$B$1:$AQ$1,0),FALSE)</f>
        <v>0</v>
      </c>
      <c r="L198" s="63">
        <f>VLOOKUP($B198,'Tillförd energi'!$B$1:$AI$720,MATCH(L$2,'Tillförd energi'!$B$1:$AQ$1,0),FALSE)</f>
        <v>0</v>
      </c>
      <c r="M198" s="63">
        <f>VLOOKUP($B198,'Tillförd energi'!$B$1:$AI$720,MATCH(M$2,'Tillförd energi'!$B$1:$AQ$1,0),FALSE)</f>
        <v>0</v>
      </c>
      <c r="N198" s="63">
        <f>VLOOKUP($B198,'Tillförd energi'!$B$1:$AI$720,MATCH(N$2,'Tillförd energi'!$B$1:$AQ$1,0),FALSE)</f>
        <v>0</v>
      </c>
      <c r="O198" s="63">
        <f>VLOOKUP($B198,'Tillförd energi'!$B$1:$AI$720,MATCH(O$2,'Tillförd energi'!$B$1:$AQ$1,0),FALSE)</f>
        <v>0</v>
      </c>
      <c r="P198" s="63">
        <f>VLOOKUP($B198,'Tillförd energi'!$B$1:$AI$720,MATCH(P$2,'Tillförd energi'!$B$1:$AQ$1,0),FALSE)</f>
        <v>0</v>
      </c>
      <c r="Q198" s="63">
        <f>VLOOKUP($B198,'Tillförd energi'!$B$1:$AI$720,MATCH(Q$2,'Tillförd energi'!$B$1:$AQ$1,0),FALSE)</f>
        <v>0</v>
      </c>
      <c r="R198" s="63">
        <f>VLOOKUP($B198,'Tillförd energi'!$B$1:$AI$720,MATCH(R$2,'Tillförd energi'!$B$1:$AQ$1,0),FALSE)</f>
        <v>8.843</v>
      </c>
      <c r="S198" s="63">
        <f>VLOOKUP($B198,'Tillförd energi'!$B$1:$AI$720,MATCH(S$2,'Tillförd energi'!$B$1:$AQ$1,0),FALSE)</f>
        <v>0</v>
      </c>
      <c r="T198" s="63">
        <f>VLOOKUP($B198,'Tillförd energi'!$B$1:$AI$720,MATCH(T$2,'Tillförd energi'!$B$1:$AQ$1,0),FALSE)</f>
        <v>0</v>
      </c>
      <c r="U198" s="63">
        <f>VLOOKUP($B198,'Tillförd energi'!$B$1:$AI$720,MATCH(U$2,'Tillförd energi'!$B$1:$AQ$1,0),FALSE)</f>
        <v>0</v>
      </c>
      <c r="V198" s="63">
        <f>VLOOKUP($B198,'Tillförd energi'!$B$1:$AI$720,MATCH(V$2,'Tillförd energi'!$B$1:$AQ$1,0),FALSE)</f>
        <v>0</v>
      </c>
      <c r="W198" s="63">
        <f>VLOOKUP($B198,'Tillförd energi'!$B$1:$AI$720,MATCH(W$2,'Tillförd energi'!$B$1:$AQ$1,0),FALSE)</f>
        <v>0</v>
      </c>
      <c r="X198" s="63">
        <f>VLOOKUP($B198,'Tillförd energi'!$B$1:$AI$720,MATCH(X$2,'Tillförd energi'!$B$1:$AQ$1,0),FALSE)</f>
        <v>0</v>
      </c>
      <c r="Y198" s="63">
        <f>VLOOKUP($B198,'Tillförd energi'!$B$1:$AI$720,MATCH(Y$2,'Tillförd energi'!$B$1:$AQ$1,0),FALSE)</f>
        <v>0</v>
      </c>
      <c r="Z198" s="63">
        <f>VLOOKUP($B198,'Tillförd energi'!$B$1:$AI$720,MATCH(Z$2,'Tillförd energi'!$B$1:$AQ$1,0),FALSE)</f>
        <v>0.107</v>
      </c>
      <c r="AA198" s="63">
        <f>VLOOKUP($B198,'Tillförd energi'!$B$1:$AI$720,MATCH(AA$2,'Tillförd energi'!$B$1:$AQ$1,0),FALSE)</f>
        <v>0</v>
      </c>
      <c r="AB198" s="63">
        <f>VLOOKUP($B198,'Tillförd energi'!$B$1:$AI$720,MATCH(AB$2,'Tillförd energi'!$B$1:$AQ$1,0),FALSE)</f>
        <v>0</v>
      </c>
      <c r="AC198" s="63">
        <f>VLOOKUP($B198,'Tillförd energi'!$B$1:$AI$720,MATCH(AC$2,'Tillförd energi'!$B$1:$AQ$1,0),FALSE)</f>
        <v>0</v>
      </c>
      <c r="AD198" s="63">
        <f>VLOOKUP($B198,'Tillförd energi'!$B$1:$AI$720,MATCH(AD$2,'Tillförd energi'!$B$1:$AQ$1,0),FALSE)</f>
        <v>0</v>
      </c>
      <c r="AE198" s="63">
        <f>VLOOKUP($B198,'Tillförd energi'!$B$1:$AI$720,MATCH(AE$2,'Tillförd energi'!$B$1:$AQ$1,0),FALSE)</f>
        <v>0</v>
      </c>
      <c r="AF198" s="63">
        <f>VLOOKUP($B198,'Tillförd energi'!$B$1:$AI$720,MATCH(AF$2,'Tillförd energi'!$B$1:$AQ$1,0),FALSE)</f>
        <v>2.3E-2</v>
      </c>
      <c r="AG198" s="63">
        <f>IFERROR(VLOOKUP(B198,Miljö!$B$1:$AC$550,MATCH("Köpt mängd produktionsspecifik fjärrvärme:",Miljö!$B$1:$AC$1,0),FALSE)/1,0)</f>
        <v>0</v>
      </c>
      <c r="AI198" s="63">
        <f t="shared" si="18"/>
        <v>9.1939999999999991</v>
      </c>
      <c r="AJ198" s="63">
        <f>IF(ISERROR(1/VLOOKUP($B198,Leveranser!$B$1:$S$500,MATCH("såld värme (gwh)",Leveranser!$B$1:$S$1,0),FALSE)),"",VLOOKUP($B198,Leveranser!$B$1:$S$500,MATCH("såld värme (gwh)",Leveranser!$B$1:$S$1,0),FALSE))</f>
        <v>7.5659999999999998</v>
      </c>
      <c r="AM198" s="63" t="str">
        <f>IF(B198&lt;&gt;"",IF(VLOOKUP($B198,Totalt!$B$1:$AQ$554,MATCH("Kvalitetsgranskad:",Totalt!$B$1:$AQ$1,0),FALSE)="ja",VLOOKUP($B198,Miljö!$B$1:$AG$479,MATCH(AM$2,Miljö!$B$1:$AK$1,0),FALSE),""),"")</f>
        <v>Ja</v>
      </c>
      <c r="AN198" s="63" t="str">
        <f>IF(AM198="ja",VLOOKUP($B198,Miljö!$B$1:$J$479,MATCH("Typ av ursprungsspecificerad el   (Om inget värde anges används Nordisk residualmix, se inforuta) ()",Miljö!$B$1:$J$1,0),FALSE),IF(AM198="nej","Nordisk residualel",""))</f>
        <v>'Ursprungsmärkt Vattenkraft'</v>
      </c>
      <c r="AO198" s="63">
        <f>IF(AM198="","",VLOOKUP($B198,Miljö!$B$1:$J$479,MATCH("Fossilandel för ursprungspecificerad el ()",Miljö!$B$1:$J$1,0),FALSE))</f>
        <v>0</v>
      </c>
      <c r="AQ198" s="63">
        <f t="shared" si="19"/>
        <v>1</v>
      </c>
      <c r="AS198" s="63" t="str">
        <f t="shared" si="20"/>
        <v>Nej</v>
      </c>
      <c r="AT198" s="63" t="str">
        <f>IF(AS198="ja",VLOOKUP($B198,Miljö!$B$1:$P$500,MATCH("Fossil andel i procent (%)",Miljö!$B$1:$P$1,0),FALSE)/100,"")</f>
        <v/>
      </c>
      <c r="AV198" s="63" t="str">
        <f t="shared" si="21"/>
        <v>Nej</v>
      </c>
      <c r="AW198" s="63" t="str">
        <f>IF(AV198="ja",VLOOKUP($B198,'Egen hetvattenprod'!$B$1:$AO$500,MATCH("Värmekälla till värmepumpar ()",'Egen hetvattenprod'!$B$1:$AO$1,0),FALSE),"")</f>
        <v/>
      </c>
      <c r="AY198" s="63" t="str">
        <f t="shared" si="22"/>
        <v>Nej</v>
      </c>
      <c r="AZ198" s="77" t="str">
        <f>IF($AY198="ja",(VLOOKUP($B198,'Egen hetvattenprod'!$B$1:$BX$550,MATCH(AZ$2,'Egen hetvattenprod'!$B$1:$BX$1,0),FALSE)+VLOOKUP($B198,Kraftvärmeprod!$B$1:$BX$550,MATCH(AZ$2,Kraftvärmeprod!$B$1:$BX$1,0),FALSE))/$AC198,"")</f>
        <v/>
      </c>
      <c r="BA198" s="77" t="str">
        <f>IF($AY198="ja",(VLOOKUP($B198,'Egen hetvattenprod'!$B$1:$BX$550,MATCH(BA$2,'Egen hetvattenprod'!$B$1:$BX$1,0),FALSE)+VLOOKUP($B198,Kraftvärmeprod!$B$1:$BX$550,MATCH(BA$2,Kraftvärmeprod!$B$1:$BX$1,0),FALSE))/$AC198,"")</f>
        <v/>
      </c>
      <c r="BB198" s="77" t="str">
        <f>IF($AY198="ja",(VLOOKUP($B198,'Egen hetvattenprod'!$B$1:$BX$550,MATCH(BB$2,'Egen hetvattenprod'!$B$1:$BX$1,0),FALSE)+VLOOKUP($B198,Kraftvärmeprod!$B$1:$BX$550,MATCH(BB$2,Kraftvärmeprod!$B$1:$BX$1,0),FALSE))/$AC198,"")</f>
        <v/>
      </c>
      <c r="BC198" s="77" t="str">
        <f>IF($AY198="ja",(VLOOKUP($B198,'Egen hetvattenprod'!$B$1:$BX$550,MATCH(BC$2,'Egen hetvattenprod'!$B$1:$BX$1,0),FALSE)+VLOOKUP($B198,Kraftvärmeprod!$B$1:$BX$550,MATCH(BC$2,Kraftvärmeprod!$B$1:$BX$1,0),FALSE))/$AC198,"")</f>
        <v/>
      </c>
      <c r="BD198" s="77" t="str">
        <f>IF($AY198="ja",(VLOOKUP($B198,'Egen hetvattenprod'!$B$1:$BX$550,MATCH(BD$2,'Egen hetvattenprod'!$B$1:$BX$1,0),FALSE)+VLOOKUP($B198,Kraftvärmeprod!$B$1:$BX$550,MATCH(BD$2,Kraftvärmeprod!$B$1:$BX$1,0),FALSE))/$AC198,"")</f>
        <v/>
      </c>
      <c r="BF198" s="63" t="str">
        <f t="shared" si="23"/>
        <v>Nej</v>
      </c>
      <c r="BG198" s="63" t="str">
        <f>IF($BF198="ja",VLOOKUP($B198,'Egen hetvattenprod'!$B$1:$BX$550,MATCH("Andelen klimatgaser med fossilt ursprung för avfall ()",'Egen hetvattenprod'!$B$1:$BX$1,0),FALSE),"")</f>
        <v/>
      </c>
      <c r="BH198" s="63" t="str">
        <f>IF($BF198="ja",VLOOKUP($B198,Kraftvärmeprod!$B$1:$BX$550,MATCH("Andelen klimatgaser med fossilt ursprung för avfall ()",Kraftvärmeprod!$B$1:$BX$1,0),FALSE),"")</f>
        <v/>
      </c>
      <c r="BI198" s="63" t="str">
        <f>IF($BF198="ja",VLOOKUP($B198,'Egen hetvattenprod'!$B$1:$BX$550,MATCH("Avfall (GWh)",'Egen hetvattenprod'!$B$1:$BX$1,0),FALSE),"")</f>
        <v/>
      </c>
      <c r="BJ198" s="63" t="str">
        <f>IF($BF198="ja",VLOOKUP($B198,'Slutlig allokering kvv'!$B$1:$BX$550,MATCH("Avfall (GWh)",'Slutlig allokering kvv'!$B$1:$BX$1,0),FALSE),"")</f>
        <v/>
      </c>
      <c r="BK198" s="63" t="str">
        <f>IF($BF198="ja",VLOOKUP($B198,'Köpt hetvatten'!$B$1:$BX$550,MATCH("Avfall i köpt hetvatten",'Köpt hetvatten'!$B$1:$BX$1,0),FALSE),"")</f>
        <v/>
      </c>
      <c r="BL198" s="63" t="str">
        <f>IF($BF198="ja",VLOOKUP($B198,'Egen hetvattenprod'!$B$1:$BX$550,MATCH("Värde enligt ovan. (%)",'Egen hetvattenprod'!$B$1:$BX$1,0),FALSE),"")</f>
        <v/>
      </c>
      <c r="BM198" s="63" t="str">
        <f>IF($BF198="ja",VLOOKUP($B198,Kraftvärmeprod!$B$1:$BX$550,MATCH("Värde enligt ovan. (%)",Kraftvärmeprod!$B$1:$BX$1,0),FALSE),"")</f>
        <v/>
      </c>
    </row>
    <row r="199" spans="1:65" x14ac:dyDescent="0.45">
      <c r="A199" s="63" t="s">
        <v>418</v>
      </c>
      <c r="B199" s="63" t="s">
        <v>420</v>
      </c>
      <c r="C199" s="63">
        <f>VLOOKUP($B199,'Tillförd energi'!$B$1:$AI$720,MATCH(C$2,'Tillförd energi'!$B$1:$AQ$1,0),FALSE)</f>
        <v>0</v>
      </c>
      <c r="D199" s="63">
        <f>VLOOKUP($B199,'Tillförd energi'!$B$1:$AI$720,MATCH(D$2,'Tillförd energi'!$B$1:$AQ$1,0),FALSE)</f>
        <v>0.60299999999999998</v>
      </c>
      <c r="E199" s="63">
        <f>VLOOKUP($B199,'Tillförd energi'!$B$1:$AI$720,MATCH(E$2,'Tillförd energi'!$B$1:$AQ$1,0),FALSE)</f>
        <v>0</v>
      </c>
      <c r="F199" s="63">
        <f>VLOOKUP($B199,'Tillförd energi'!$B$1:$AI$720,MATCH(F$2,'Tillförd energi'!$B$1:$AQ$1,0),FALSE)</f>
        <v>0</v>
      </c>
      <c r="G199" s="63">
        <f>VLOOKUP($B199,'Tillförd energi'!$B$1:$AI$720,MATCH(G$2,'Tillförd energi'!$B$1:$AQ$1,0),FALSE)</f>
        <v>0</v>
      </c>
      <c r="H199" s="63">
        <f>VLOOKUP($B199,'Tillförd energi'!$B$1:$AI$720,MATCH(H$2,'Tillförd energi'!$B$1:$AQ$1,0),FALSE)</f>
        <v>0</v>
      </c>
      <c r="I199" s="63">
        <f>VLOOKUP($B199,'Tillförd energi'!$B$1:$AI$720,MATCH(I$2,'Tillförd energi'!$B$1:$AQ$1,0),FALSE)</f>
        <v>0</v>
      </c>
      <c r="J199" s="63">
        <f>VLOOKUP($B199,'Tillförd energi'!$B$1:$AI$720,MATCH(J$2,'Tillförd energi'!$B$1:$AQ$1,0),FALSE)</f>
        <v>0</v>
      </c>
      <c r="K199" s="63">
        <f>VLOOKUP($B199,'Tillförd energi'!$B$1:$AI$720,MATCH(K$2,'Tillförd energi'!$B$1:$AQ$1,0),FALSE)</f>
        <v>0</v>
      </c>
      <c r="L199" s="63">
        <f>VLOOKUP($B199,'Tillförd energi'!$B$1:$AI$720,MATCH(L$2,'Tillförd energi'!$B$1:$AQ$1,0),FALSE)</f>
        <v>0</v>
      </c>
      <c r="M199" s="63">
        <f>VLOOKUP($B199,'Tillförd energi'!$B$1:$AI$720,MATCH(M$2,'Tillförd energi'!$B$1:$AQ$1,0),FALSE)</f>
        <v>0</v>
      </c>
      <c r="N199" s="63">
        <f>VLOOKUP($B199,'Tillförd energi'!$B$1:$AI$720,MATCH(N$2,'Tillförd energi'!$B$1:$AQ$1,0),FALSE)</f>
        <v>0</v>
      </c>
      <c r="O199" s="63">
        <f>VLOOKUP($B199,'Tillförd energi'!$B$1:$AI$720,MATCH(O$2,'Tillförd energi'!$B$1:$AQ$1,0),FALSE)</f>
        <v>0</v>
      </c>
      <c r="P199" s="63">
        <f>VLOOKUP($B199,'Tillförd energi'!$B$1:$AI$720,MATCH(P$2,'Tillförd energi'!$B$1:$AQ$1,0),FALSE)</f>
        <v>34.351999999999997</v>
      </c>
      <c r="Q199" s="63">
        <f>VLOOKUP($B199,'Tillförd energi'!$B$1:$AI$720,MATCH(Q$2,'Tillförd energi'!$B$1:$AQ$1,0),FALSE)</f>
        <v>0</v>
      </c>
      <c r="R199" s="63">
        <f>VLOOKUP($B199,'Tillförd energi'!$B$1:$AI$720,MATCH(R$2,'Tillförd energi'!$B$1:$AQ$1,0),FALSE)</f>
        <v>0</v>
      </c>
      <c r="S199" s="63">
        <f>VLOOKUP($B199,'Tillförd energi'!$B$1:$AI$720,MATCH(S$2,'Tillförd energi'!$B$1:$AQ$1,0),FALSE)</f>
        <v>0</v>
      </c>
      <c r="T199" s="63">
        <f>VLOOKUP($B199,'Tillförd energi'!$B$1:$AI$720,MATCH(T$2,'Tillförd energi'!$B$1:$AQ$1,0),FALSE)</f>
        <v>0</v>
      </c>
      <c r="U199" s="63">
        <f>VLOOKUP($B199,'Tillförd energi'!$B$1:$AI$720,MATCH(U$2,'Tillförd energi'!$B$1:$AQ$1,0),FALSE)</f>
        <v>0</v>
      </c>
      <c r="V199" s="63">
        <f>VLOOKUP($B199,'Tillförd energi'!$B$1:$AI$720,MATCH(V$2,'Tillförd energi'!$B$1:$AQ$1,0),FALSE)</f>
        <v>0</v>
      </c>
      <c r="W199" s="63">
        <f>VLOOKUP($B199,'Tillförd energi'!$B$1:$AI$720,MATCH(W$2,'Tillförd energi'!$B$1:$AQ$1,0),FALSE)</f>
        <v>0</v>
      </c>
      <c r="X199" s="63">
        <f>VLOOKUP($B199,'Tillförd energi'!$B$1:$AI$720,MATCH(X$2,'Tillförd energi'!$B$1:$AQ$1,0),FALSE)</f>
        <v>0</v>
      </c>
      <c r="Y199" s="63">
        <f>VLOOKUP($B199,'Tillförd energi'!$B$1:$AI$720,MATCH(Y$2,'Tillförd energi'!$B$1:$AQ$1,0),FALSE)</f>
        <v>0</v>
      </c>
      <c r="Z199" s="63">
        <f>VLOOKUP($B199,'Tillförd energi'!$B$1:$AI$720,MATCH(Z$2,'Tillförd energi'!$B$1:$AQ$1,0),FALSE)</f>
        <v>0</v>
      </c>
      <c r="AA199" s="63">
        <f>VLOOKUP($B199,'Tillförd energi'!$B$1:$AI$720,MATCH(AA$2,'Tillförd energi'!$B$1:$AQ$1,0),FALSE)</f>
        <v>0</v>
      </c>
      <c r="AB199" s="63">
        <f>VLOOKUP($B199,'Tillförd energi'!$B$1:$AI$720,MATCH(AB$2,'Tillförd energi'!$B$1:$AQ$1,0),FALSE)</f>
        <v>0</v>
      </c>
      <c r="AC199" s="63">
        <f>VLOOKUP($B199,'Tillförd energi'!$B$1:$AI$720,MATCH(AC$2,'Tillförd energi'!$B$1:$AQ$1,0),FALSE)</f>
        <v>0</v>
      </c>
      <c r="AD199" s="63">
        <f>VLOOKUP($B199,'Tillförd energi'!$B$1:$AI$720,MATCH(AD$2,'Tillförd energi'!$B$1:$AQ$1,0),FALSE)</f>
        <v>0</v>
      </c>
      <c r="AE199" s="63">
        <f>VLOOKUP($B199,'Tillförd energi'!$B$1:$AI$720,MATCH(AE$2,'Tillförd energi'!$B$1:$AQ$1,0),FALSE)</f>
        <v>0</v>
      </c>
      <c r="AF199" s="63">
        <f>VLOOKUP($B199,'Tillförd energi'!$B$1:$AI$720,MATCH(AF$2,'Tillförd energi'!$B$1:$AQ$1,0),FALSE)</f>
        <v>1.698</v>
      </c>
      <c r="AG199" s="63">
        <f>IFERROR(VLOOKUP(B199,Miljö!$B$1:$AC$550,MATCH("Köpt mängd produktionsspecifik fjärrvärme:",Miljö!$B$1:$AC$1,0),FALSE)/1,0)</f>
        <v>0</v>
      </c>
      <c r="AI199" s="63">
        <f t="shared" si="18"/>
        <v>36.652999999999999</v>
      </c>
      <c r="AJ199" s="63">
        <f>IF(ISERROR(1/VLOOKUP($B199,Leveranser!$B$1:$S$500,MATCH("såld värme (gwh)",Leveranser!$B$1:$S$1,0),FALSE)),"",VLOOKUP($B199,Leveranser!$B$1:$S$500,MATCH("såld värme (gwh)",Leveranser!$B$1:$S$1,0),FALSE))</f>
        <v>37.774999999999999</v>
      </c>
      <c r="AM199" s="63" t="str">
        <f>IF(B199&lt;&gt;"",IF(VLOOKUP($B199,Totalt!$B$1:$AQ$554,MATCH("Kvalitetsgranskad:",Totalt!$B$1:$AQ$1,0),FALSE)="ja",VLOOKUP($B199,Miljö!$B$1:$AG$479,MATCH(AM$2,Miljö!$B$1:$AK$1,0),FALSE),""),"")</f>
        <v>Ja</v>
      </c>
      <c r="AN199" s="63" t="str">
        <f>IF(AM199="ja",VLOOKUP($B199,Miljö!$B$1:$J$479,MATCH("Typ av ursprungsspecificerad el   (Om inget värde anges används Nordisk residualmix, se inforuta) ()",Miljö!$B$1:$J$1,0),FALSE),IF(AM199="nej","Nordisk residualel",""))</f>
        <v>'Ursprungsmärkt Vattenkraft'</v>
      </c>
      <c r="AO199" s="63">
        <f>IF(AM199="","",VLOOKUP($B199,Miljö!$B$1:$J$479,MATCH("Fossilandel för ursprungspecificerad el ()",Miljö!$B$1:$J$1,0),FALSE))</f>
        <v>0</v>
      </c>
      <c r="AQ199" s="63">
        <f t="shared" si="19"/>
        <v>1</v>
      </c>
      <c r="AS199" s="63" t="str">
        <f t="shared" si="20"/>
        <v>Nej</v>
      </c>
      <c r="AT199" s="63" t="str">
        <f>IF(AS199="ja",VLOOKUP($B199,Miljö!$B$1:$P$500,MATCH("Fossil andel i procent (%)",Miljö!$B$1:$P$1,0),FALSE)/100,"")</f>
        <v/>
      </c>
      <c r="AV199" s="63" t="str">
        <f t="shared" si="21"/>
        <v>Nej</v>
      </c>
      <c r="AW199" s="63" t="str">
        <f>IF(AV199="ja",VLOOKUP($B199,'Egen hetvattenprod'!$B$1:$AO$500,MATCH("Värmekälla till värmepumpar ()",'Egen hetvattenprod'!$B$1:$AO$1,0),FALSE),"")</f>
        <v/>
      </c>
      <c r="AY199" s="63" t="str">
        <f t="shared" si="22"/>
        <v>Nej</v>
      </c>
      <c r="AZ199" s="77" t="str">
        <f>IF($AY199="ja",(VLOOKUP($B199,'Egen hetvattenprod'!$B$1:$BX$550,MATCH(AZ$2,'Egen hetvattenprod'!$B$1:$BX$1,0),FALSE)+VLOOKUP($B199,Kraftvärmeprod!$B$1:$BX$550,MATCH(AZ$2,Kraftvärmeprod!$B$1:$BX$1,0),FALSE))/$AC199,"")</f>
        <v/>
      </c>
      <c r="BA199" s="77" t="str">
        <f>IF($AY199="ja",(VLOOKUP($B199,'Egen hetvattenprod'!$B$1:$BX$550,MATCH(BA$2,'Egen hetvattenprod'!$B$1:$BX$1,0),FALSE)+VLOOKUP($B199,Kraftvärmeprod!$B$1:$BX$550,MATCH(BA$2,Kraftvärmeprod!$B$1:$BX$1,0),FALSE))/$AC199,"")</f>
        <v/>
      </c>
      <c r="BB199" s="77" t="str">
        <f>IF($AY199="ja",(VLOOKUP($B199,'Egen hetvattenprod'!$B$1:$BX$550,MATCH(BB$2,'Egen hetvattenprod'!$B$1:$BX$1,0),FALSE)+VLOOKUP($B199,Kraftvärmeprod!$B$1:$BX$550,MATCH(BB$2,Kraftvärmeprod!$B$1:$BX$1,0),FALSE))/$AC199,"")</f>
        <v/>
      </c>
      <c r="BC199" s="77" t="str">
        <f>IF($AY199="ja",(VLOOKUP($B199,'Egen hetvattenprod'!$B$1:$BX$550,MATCH(BC$2,'Egen hetvattenprod'!$B$1:$BX$1,0),FALSE)+VLOOKUP($B199,Kraftvärmeprod!$B$1:$BX$550,MATCH(BC$2,Kraftvärmeprod!$B$1:$BX$1,0),FALSE))/$AC199,"")</f>
        <v/>
      </c>
      <c r="BD199" s="77" t="str">
        <f>IF($AY199="ja",(VLOOKUP($B199,'Egen hetvattenprod'!$B$1:$BX$550,MATCH(BD$2,'Egen hetvattenprod'!$B$1:$BX$1,0),FALSE)+VLOOKUP($B199,Kraftvärmeprod!$B$1:$BX$550,MATCH(BD$2,Kraftvärmeprod!$B$1:$BX$1,0),FALSE))/$AC199,"")</f>
        <v/>
      </c>
      <c r="BF199" s="63" t="str">
        <f t="shared" si="23"/>
        <v>Nej</v>
      </c>
      <c r="BG199" s="63" t="str">
        <f>IF($BF199="ja",VLOOKUP($B199,'Egen hetvattenprod'!$B$1:$BX$550,MATCH("Andelen klimatgaser med fossilt ursprung för avfall ()",'Egen hetvattenprod'!$B$1:$BX$1,0),FALSE),"")</f>
        <v/>
      </c>
      <c r="BH199" s="63" t="str">
        <f>IF($BF199="ja",VLOOKUP($B199,Kraftvärmeprod!$B$1:$BX$550,MATCH("Andelen klimatgaser med fossilt ursprung för avfall ()",Kraftvärmeprod!$B$1:$BX$1,0),FALSE),"")</f>
        <v/>
      </c>
      <c r="BI199" s="63" t="str">
        <f>IF($BF199="ja",VLOOKUP($B199,'Egen hetvattenprod'!$B$1:$BX$550,MATCH("Avfall (GWh)",'Egen hetvattenprod'!$B$1:$BX$1,0),FALSE),"")</f>
        <v/>
      </c>
      <c r="BJ199" s="63" t="str">
        <f>IF($BF199="ja",VLOOKUP($B199,'Slutlig allokering kvv'!$B$1:$BX$550,MATCH("Avfall (GWh)",'Slutlig allokering kvv'!$B$1:$BX$1,0),FALSE),"")</f>
        <v/>
      </c>
      <c r="BK199" s="63" t="str">
        <f>IF($BF199="ja",VLOOKUP($B199,'Köpt hetvatten'!$B$1:$BX$550,MATCH("Avfall i köpt hetvatten",'Köpt hetvatten'!$B$1:$BX$1,0),FALSE),"")</f>
        <v/>
      </c>
      <c r="BL199" s="63" t="str">
        <f>IF($BF199="ja",VLOOKUP($B199,'Egen hetvattenprod'!$B$1:$BX$550,MATCH("Värde enligt ovan. (%)",'Egen hetvattenprod'!$B$1:$BX$1,0),FALSE),"")</f>
        <v/>
      </c>
      <c r="BM199" s="63" t="str">
        <f>IF($BF199="ja",VLOOKUP($B199,Kraftvärmeprod!$B$1:$BX$550,MATCH("Värde enligt ovan. (%)",Kraftvärmeprod!$B$1:$BX$1,0),FALSE),"")</f>
        <v/>
      </c>
    </row>
    <row r="200" spans="1:65" x14ac:dyDescent="0.45">
      <c r="A200" s="63" t="s">
        <v>418</v>
      </c>
      <c r="B200" s="63" t="s">
        <v>421</v>
      </c>
      <c r="C200" s="63">
        <f>VLOOKUP($B200,'Tillförd energi'!$B$1:$AI$720,MATCH(C$2,'Tillförd energi'!$B$1:$AQ$1,0),FALSE)</f>
        <v>0</v>
      </c>
      <c r="D200" s="63">
        <f>VLOOKUP($B200,'Tillförd energi'!$B$1:$AI$720,MATCH(D$2,'Tillförd energi'!$B$1:$AQ$1,0),FALSE)</f>
        <v>6.2E-2</v>
      </c>
      <c r="E200" s="63">
        <f>VLOOKUP($B200,'Tillförd energi'!$B$1:$AI$720,MATCH(E$2,'Tillförd energi'!$B$1:$AQ$1,0),FALSE)</f>
        <v>0</v>
      </c>
      <c r="F200" s="63">
        <f>VLOOKUP($B200,'Tillförd energi'!$B$1:$AI$720,MATCH(F$2,'Tillförd energi'!$B$1:$AQ$1,0),FALSE)</f>
        <v>0</v>
      </c>
      <c r="G200" s="63">
        <f>VLOOKUP($B200,'Tillförd energi'!$B$1:$AI$720,MATCH(G$2,'Tillförd energi'!$B$1:$AQ$1,0),FALSE)</f>
        <v>0</v>
      </c>
      <c r="H200" s="63">
        <f>VLOOKUP($B200,'Tillförd energi'!$B$1:$AI$720,MATCH(H$2,'Tillförd energi'!$B$1:$AQ$1,0),FALSE)</f>
        <v>0</v>
      </c>
      <c r="I200" s="63">
        <f>VLOOKUP($B200,'Tillförd energi'!$B$1:$AI$720,MATCH(I$2,'Tillförd energi'!$B$1:$AQ$1,0),FALSE)</f>
        <v>0</v>
      </c>
      <c r="J200" s="63">
        <f>VLOOKUP($B200,'Tillförd energi'!$B$1:$AI$720,MATCH(J$2,'Tillförd energi'!$B$1:$AQ$1,0),FALSE)</f>
        <v>0</v>
      </c>
      <c r="K200" s="63">
        <f>VLOOKUP($B200,'Tillförd energi'!$B$1:$AI$720,MATCH(K$2,'Tillförd energi'!$B$1:$AQ$1,0),FALSE)</f>
        <v>0</v>
      </c>
      <c r="L200" s="63">
        <f>VLOOKUP($B200,'Tillförd energi'!$B$1:$AI$720,MATCH(L$2,'Tillförd energi'!$B$1:$AQ$1,0),FALSE)</f>
        <v>0</v>
      </c>
      <c r="M200" s="63">
        <f>VLOOKUP($B200,'Tillförd energi'!$B$1:$AI$720,MATCH(M$2,'Tillförd energi'!$B$1:$AQ$1,0),FALSE)</f>
        <v>0</v>
      </c>
      <c r="N200" s="63">
        <f>VLOOKUP($B200,'Tillförd energi'!$B$1:$AI$720,MATCH(N$2,'Tillförd energi'!$B$1:$AQ$1,0),FALSE)</f>
        <v>0</v>
      </c>
      <c r="O200" s="63">
        <f>VLOOKUP($B200,'Tillförd energi'!$B$1:$AI$720,MATCH(O$2,'Tillförd energi'!$B$1:$AQ$1,0),FALSE)</f>
        <v>0</v>
      </c>
      <c r="P200" s="63">
        <f>VLOOKUP($B200,'Tillförd energi'!$B$1:$AI$720,MATCH(P$2,'Tillförd energi'!$B$1:$AQ$1,0),FALSE)</f>
        <v>0</v>
      </c>
      <c r="Q200" s="63">
        <f>VLOOKUP($B200,'Tillförd energi'!$B$1:$AI$720,MATCH(Q$2,'Tillförd energi'!$B$1:$AQ$1,0),FALSE)</f>
        <v>0</v>
      </c>
      <c r="R200" s="63">
        <f>VLOOKUP($B200,'Tillförd energi'!$B$1:$AI$720,MATCH(R$2,'Tillförd energi'!$B$1:$AQ$1,0),FALSE)</f>
        <v>7.96</v>
      </c>
      <c r="S200" s="63">
        <f>VLOOKUP($B200,'Tillförd energi'!$B$1:$AI$720,MATCH(S$2,'Tillförd energi'!$B$1:$AQ$1,0),FALSE)</f>
        <v>0</v>
      </c>
      <c r="T200" s="63">
        <f>VLOOKUP($B200,'Tillförd energi'!$B$1:$AI$720,MATCH(T$2,'Tillförd energi'!$B$1:$AQ$1,0),FALSE)</f>
        <v>0</v>
      </c>
      <c r="U200" s="63">
        <f>VLOOKUP($B200,'Tillförd energi'!$B$1:$AI$720,MATCH(U$2,'Tillförd energi'!$B$1:$AQ$1,0),FALSE)</f>
        <v>0</v>
      </c>
      <c r="V200" s="63">
        <f>VLOOKUP($B200,'Tillförd energi'!$B$1:$AI$720,MATCH(V$2,'Tillförd energi'!$B$1:$AQ$1,0),FALSE)</f>
        <v>0</v>
      </c>
      <c r="W200" s="63">
        <f>VLOOKUP($B200,'Tillförd energi'!$B$1:$AI$720,MATCH(W$2,'Tillförd energi'!$B$1:$AQ$1,0),FALSE)</f>
        <v>0</v>
      </c>
      <c r="X200" s="63">
        <f>VLOOKUP($B200,'Tillförd energi'!$B$1:$AI$720,MATCH(X$2,'Tillförd energi'!$B$1:$AQ$1,0),FALSE)</f>
        <v>0</v>
      </c>
      <c r="Y200" s="63">
        <f>VLOOKUP($B200,'Tillförd energi'!$B$1:$AI$720,MATCH(Y$2,'Tillförd energi'!$B$1:$AQ$1,0),FALSE)</f>
        <v>0</v>
      </c>
      <c r="Z200" s="63">
        <f>VLOOKUP($B200,'Tillförd energi'!$B$1:$AI$720,MATCH(Z$2,'Tillförd energi'!$B$1:$AQ$1,0),FALSE)</f>
        <v>0</v>
      </c>
      <c r="AA200" s="63">
        <f>VLOOKUP($B200,'Tillförd energi'!$B$1:$AI$720,MATCH(AA$2,'Tillförd energi'!$B$1:$AQ$1,0),FALSE)</f>
        <v>0</v>
      </c>
      <c r="AB200" s="63">
        <f>VLOOKUP($B200,'Tillförd energi'!$B$1:$AI$720,MATCH(AB$2,'Tillförd energi'!$B$1:$AQ$1,0),FALSE)</f>
        <v>0</v>
      </c>
      <c r="AC200" s="63">
        <f>VLOOKUP($B200,'Tillförd energi'!$B$1:$AI$720,MATCH(AC$2,'Tillförd energi'!$B$1:$AQ$1,0),FALSE)</f>
        <v>0</v>
      </c>
      <c r="AD200" s="63">
        <f>VLOOKUP($B200,'Tillförd energi'!$B$1:$AI$720,MATCH(AD$2,'Tillförd energi'!$B$1:$AQ$1,0),FALSE)</f>
        <v>0</v>
      </c>
      <c r="AE200" s="63">
        <f>VLOOKUP($B200,'Tillförd energi'!$B$1:$AI$720,MATCH(AE$2,'Tillförd energi'!$B$1:$AQ$1,0),FALSE)</f>
        <v>0</v>
      </c>
      <c r="AF200" s="63">
        <f>VLOOKUP($B200,'Tillförd energi'!$B$1:$AI$720,MATCH(AF$2,'Tillförd energi'!$B$1:$AQ$1,0),FALSE)</f>
        <v>0.114</v>
      </c>
      <c r="AG200" s="63">
        <f>IFERROR(VLOOKUP(B200,Miljö!$B$1:$AC$550,MATCH("Köpt mängd produktionsspecifik fjärrvärme:",Miljö!$B$1:$AC$1,0),FALSE)/1,0)</f>
        <v>0</v>
      </c>
      <c r="AI200" s="63">
        <f t="shared" si="18"/>
        <v>8.136000000000001</v>
      </c>
      <c r="AJ200" s="63">
        <f>IF(ISERROR(1/VLOOKUP($B200,Leveranser!$B$1:$S$500,MATCH("såld värme (gwh)",Leveranser!$B$1:$S$1,0),FALSE)),"",VLOOKUP($B200,Leveranser!$B$1:$S$500,MATCH("såld värme (gwh)",Leveranser!$B$1:$S$1,0),FALSE))</f>
        <v>6.3410000000000002</v>
      </c>
      <c r="AM200" s="63" t="str">
        <f>IF(B200&lt;&gt;"",IF(VLOOKUP($B200,Totalt!$B$1:$AQ$554,MATCH("Kvalitetsgranskad:",Totalt!$B$1:$AQ$1,0),FALSE)="ja",VLOOKUP($B200,Miljö!$B$1:$AG$479,MATCH(AM$2,Miljö!$B$1:$AK$1,0),FALSE),""),"")</f>
        <v>Ja</v>
      </c>
      <c r="AN200" s="63" t="str">
        <f>IF(AM200="ja",VLOOKUP($B200,Miljö!$B$1:$J$479,MATCH("Typ av ursprungsspecificerad el   (Om inget värde anges används Nordisk residualmix, se inforuta) ()",Miljö!$B$1:$J$1,0),FALSE),IF(AM200="nej","Nordisk residualel",""))</f>
        <v>'Ursprungsmärkt vattenkraft'</v>
      </c>
      <c r="AO200" s="63">
        <f>IF(AM200="","",VLOOKUP($B200,Miljö!$B$1:$J$479,MATCH("Fossilandel för ursprungspecificerad el ()",Miljö!$B$1:$J$1,0),FALSE))</f>
        <v>0</v>
      </c>
      <c r="AQ200" s="63">
        <f t="shared" si="19"/>
        <v>1</v>
      </c>
      <c r="AS200" s="63" t="str">
        <f t="shared" si="20"/>
        <v>Nej</v>
      </c>
      <c r="AT200" s="63" t="str">
        <f>IF(AS200="ja",VLOOKUP($B200,Miljö!$B$1:$P$500,MATCH("Fossil andel i procent (%)",Miljö!$B$1:$P$1,0),FALSE)/100,"")</f>
        <v/>
      </c>
      <c r="AV200" s="63" t="str">
        <f t="shared" si="21"/>
        <v>Nej</v>
      </c>
      <c r="AW200" s="63" t="str">
        <f>IF(AV200="ja",VLOOKUP($B200,'Egen hetvattenprod'!$B$1:$AO$500,MATCH("Värmekälla till värmepumpar ()",'Egen hetvattenprod'!$B$1:$AO$1,0),FALSE),"")</f>
        <v/>
      </c>
      <c r="AY200" s="63" t="str">
        <f t="shared" si="22"/>
        <v>Nej</v>
      </c>
      <c r="AZ200" s="77" t="str">
        <f>IF($AY200="ja",(VLOOKUP($B200,'Egen hetvattenprod'!$B$1:$BX$550,MATCH(AZ$2,'Egen hetvattenprod'!$B$1:$BX$1,0),FALSE)+VLOOKUP($B200,Kraftvärmeprod!$B$1:$BX$550,MATCH(AZ$2,Kraftvärmeprod!$B$1:$BX$1,0),FALSE))/$AC200,"")</f>
        <v/>
      </c>
      <c r="BA200" s="77" t="str">
        <f>IF($AY200="ja",(VLOOKUP($B200,'Egen hetvattenprod'!$B$1:$BX$550,MATCH(BA$2,'Egen hetvattenprod'!$B$1:$BX$1,0),FALSE)+VLOOKUP($B200,Kraftvärmeprod!$B$1:$BX$550,MATCH(BA$2,Kraftvärmeprod!$B$1:$BX$1,0),FALSE))/$AC200,"")</f>
        <v/>
      </c>
      <c r="BB200" s="77" t="str">
        <f>IF($AY200="ja",(VLOOKUP($B200,'Egen hetvattenprod'!$B$1:$BX$550,MATCH(BB$2,'Egen hetvattenprod'!$B$1:$BX$1,0),FALSE)+VLOOKUP($B200,Kraftvärmeprod!$B$1:$BX$550,MATCH(BB$2,Kraftvärmeprod!$B$1:$BX$1,0),FALSE))/$AC200,"")</f>
        <v/>
      </c>
      <c r="BC200" s="77" t="str">
        <f>IF($AY200="ja",(VLOOKUP($B200,'Egen hetvattenprod'!$B$1:$BX$550,MATCH(BC$2,'Egen hetvattenprod'!$B$1:$BX$1,0),FALSE)+VLOOKUP($B200,Kraftvärmeprod!$B$1:$BX$550,MATCH(BC$2,Kraftvärmeprod!$B$1:$BX$1,0),FALSE))/$AC200,"")</f>
        <v/>
      </c>
      <c r="BD200" s="77" t="str">
        <f>IF($AY200="ja",(VLOOKUP($B200,'Egen hetvattenprod'!$B$1:$BX$550,MATCH(BD$2,'Egen hetvattenprod'!$B$1:$BX$1,0),FALSE)+VLOOKUP($B200,Kraftvärmeprod!$B$1:$BX$550,MATCH(BD$2,Kraftvärmeprod!$B$1:$BX$1,0),FALSE))/$AC200,"")</f>
        <v/>
      </c>
      <c r="BF200" s="63" t="str">
        <f t="shared" si="23"/>
        <v>Nej</v>
      </c>
      <c r="BG200" s="63" t="str">
        <f>IF($BF200="ja",VLOOKUP($B200,'Egen hetvattenprod'!$B$1:$BX$550,MATCH("Andelen klimatgaser med fossilt ursprung för avfall ()",'Egen hetvattenprod'!$B$1:$BX$1,0),FALSE),"")</f>
        <v/>
      </c>
      <c r="BH200" s="63" t="str">
        <f>IF($BF200="ja",VLOOKUP($B200,Kraftvärmeprod!$B$1:$BX$550,MATCH("Andelen klimatgaser med fossilt ursprung för avfall ()",Kraftvärmeprod!$B$1:$BX$1,0),FALSE),"")</f>
        <v/>
      </c>
      <c r="BI200" s="63" t="str">
        <f>IF($BF200="ja",VLOOKUP($B200,'Egen hetvattenprod'!$B$1:$BX$550,MATCH("Avfall (GWh)",'Egen hetvattenprod'!$B$1:$BX$1,0),FALSE),"")</f>
        <v/>
      </c>
      <c r="BJ200" s="63" t="str">
        <f>IF($BF200="ja",VLOOKUP($B200,'Slutlig allokering kvv'!$B$1:$BX$550,MATCH("Avfall (GWh)",'Slutlig allokering kvv'!$B$1:$BX$1,0),FALSE),"")</f>
        <v/>
      </c>
      <c r="BK200" s="63" t="str">
        <f>IF($BF200="ja",VLOOKUP($B200,'Köpt hetvatten'!$B$1:$BX$550,MATCH("Avfall i köpt hetvatten",'Köpt hetvatten'!$B$1:$BX$1,0),FALSE),"")</f>
        <v/>
      </c>
      <c r="BL200" s="63" t="str">
        <f>IF($BF200="ja",VLOOKUP($B200,'Egen hetvattenprod'!$B$1:$BX$550,MATCH("Värde enligt ovan. (%)",'Egen hetvattenprod'!$B$1:$BX$1,0),FALSE),"")</f>
        <v/>
      </c>
      <c r="BM200" s="63" t="str">
        <f>IF($BF200="ja",VLOOKUP($B200,Kraftvärmeprod!$B$1:$BX$550,MATCH("Värde enligt ovan. (%)",Kraftvärmeprod!$B$1:$BX$1,0),FALSE),"")</f>
        <v/>
      </c>
    </row>
    <row r="201" spans="1:65" x14ac:dyDescent="0.45">
      <c r="A201" s="63" t="s">
        <v>418</v>
      </c>
      <c r="B201" s="63" t="s">
        <v>426</v>
      </c>
      <c r="C201" s="63">
        <f>VLOOKUP($B201,'Tillförd energi'!$B$1:$AI$720,MATCH(C$2,'Tillförd energi'!$B$1:$AQ$1,0),FALSE)</f>
        <v>0</v>
      </c>
      <c r="D201" s="63">
        <f>VLOOKUP($B201,'Tillförd energi'!$B$1:$AI$720,MATCH(D$2,'Tillförd energi'!$B$1:$AQ$1,0),FALSE)</f>
        <v>3.5999999999999997E-2</v>
      </c>
      <c r="E201" s="63">
        <f>VLOOKUP($B201,'Tillförd energi'!$B$1:$AI$720,MATCH(E$2,'Tillförd energi'!$B$1:$AQ$1,0),FALSE)</f>
        <v>0</v>
      </c>
      <c r="F201" s="63">
        <f>VLOOKUP($B201,'Tillförd energi'!$B$1:$AI$720,MATCH(F$2,'Tillförd energi'!$B$1:$AQ$1,0),FALSE)</f>
        <v>0</v>
      </c>
      <c r="G201" s="63">
        <f>VLOOKUP($B201,'Tillförd energi'!$B$1:$AI$720,MATCH(G$2,'Tillförd energi'!$B$1:$AQ$1,0),FALSE)</f>
        <v>0</v>
      </c>
      <c r="H201" s="63">
        <f>VLOOKUP($B201,'Tillförd energi'!$B$1:$AI$720,MATCH(H$2,'Tillförd energi'!$B$1:$AQ$1,0),FALSE)</f>
        <v>0</v>
      </c>
      <c r="I201" s="63">
        <f>VLOOKUP($B201,'Tillförd energi'!$B$1:$AI$720,MATCH(I$2,'Tillförd energi'!$B$1:$AQ$1,0),FALSE)</f>
        <v>0</v>
      </c>
      <c r="J201" s="63">
        <f>VLOOKUP($B201,'Tillförd energi'!$B$1:$AI$720,MATCH(J$2,'Tillförd energi'!$B$1:$AQ$1,0),FALSE)</f>
        <v>0</v>
      </c>
      <c r="K201" s="63">
        <f>VLOOKUP($B201,'Tillförd energi'!$B$1:$AI$720,MATCH(K$2,'Tillförd energi'!$B$1:$AQ$1,0),FALSE)</f>
        <v>0</v>
      </c>
      <c r="L201" s="63">
        <f>VLOOKUP($B201,'Tillförd energi'!$B$1:$AI$720,MATCH(L$2,'Tillförd energi'!$B$1:$AQ$1,0),FALSE)</f>
        <v>0</v>
      </c>
      <c r="M201" s="63">
        <f>VLOOKUP($B201,'Tillförd energi'!$B$1:$AI$720,MATCH(M$2,'Tillförd energi'!$B$1:$AQ$1,0),FALSE)</f>
        <v>0</v>
      </c>
      <c r="N201" s="63">
        <f>VLOOKUP($B201,'Tillförd energi'!$B$1:$AI$720,MATCH(N$2,'Tillförd energi'!$B$1:$AQ$1,0),FALSE)</f>
        <v>0</v>
      </c>
      <c r="O201" s="63">
        <f>VLOOKUP($B201,'Tillförd energi'!$B$1:$AI$720,MATCH(O$2,'Tillförd energi'!$B$1:$AQ$1,0),FALSE)</f>
        <v>0</v>
      </c>
      <c r="P201" s="63">
        <f>VLOOKUP($B201,'Tillförd energi'!$B$1:$AI$720,MATCH(P$2,'Tillförd energi'!$B$1:$AQ$1,0),FALSE)</f>
        <v>0</v>
      </c>
      <c r="Q201" s="63">
        <f>VLOOKUP($B201,'Tillförd energi'!$B$1:$AI$720,MATCH(Q$2,'Tillförd energi'!$B$1:$AQ$1,0),FALSE)</f>
        <v>0</v>
      </c>
      <c r="R201" s="63">
        <f>VLOOKUP($B201,'Tillförd energi'!$B$1:$AI$720,MATCH(R$2,'Tillförd energi'!$B$1:$AQ$1,0),FALSE)</f>
        <v>3.347</v>
      </c>
      <c r="S201" s="63">
        <f>VLOOKUP($B201,'Tillförd energi'!$B$1:$AI$720,MATCH(S$2,'Tillförd energi'!$B$1:$AQ$1,0),FALSE)</f>
        <v>0</v>
      </c>
      <c r="T201" s="63">
        <f>VLOOKUP($B201,'Tillförd energi'!$B$1:$AI$720,MATCH(T$2,'Tillförd energi'!$B$1:$AQ$1,0),FALSE)</f>
        <v>0</v>
      </c>
      <c r="U201" s="63">
        <f>VLOOKUP($B201,'Tillförd energi'!$B$1:$AI$720,MATCH(U$2,'Tillförd energi'!$B$1:$AQ$1,0),FALSE)</f>
        <v>0</v>
      </c>
      <c r="V201" s="63">
        <f>VLOOKUP($B201,'Tillförd energi'!$B$1:$AI$720,MATCH(V$2,'Tillförd energi'!$B$1:$AQ$1,0),FALSE)</f>
        <v>0</v>
      </c>
      <c r="W201" s="63">
        <f>VLOOKUP($B201,'Tillförd energi'!$B$1:$AI$720,MATCH(W$2,'Tillförd energi'!$B$1:$AQ$1,0),FALSE)</f>
        <v>0</v>
      </c>
      <c r="X201" s="63">
        <f>VLOOKUP($B201,'Tillförd energi'!$B$1:$AI$720,MATCH(X$2,'Tillförd energi'!$B$1:$AQ$1,0),FALSE)</f>
        <v>0</v>
      </c>
      <c r="Y201" s="63">
        <f>VLOOKUP($B201,'Tillförd energi'!$B$1:$AI$720,MATCH(Y$2,'Tillförd energi'!$B$1:$AQ$1,0),FALSE)</f>
        <v>0</v>
      </c>
      <c r="Z201" s="63">
        <f>VLOOKUP($B201,'Tillförd energi'!$B$1:$AI$720,MATCH(Z$2,'Tillförd energi'!$B$1:$AQ$1,0),FALSE)</f>
        <v>0</v>
      </c>
      <c r="AA201" s="63">
        <f>VLOOKUP($B201,'Tillförd energi'!$B$1:$AI$720,MATCH(AA$2,'Tillförd energi'!$B$1:$AQ$1,0),FALSE)</f>
        <v>0</v>
      </c>
      <c r="AB201" s="63">
        <f>VLOOKUP($B201,'Tillförd energi'!$B$1:$AI$720,MATCH(AB$2,'Tillförd energi'!$B$1:$AQ$1,0),FALSE)</f>
        <v>0</v>
      </c>
      <c r="AC201" s="63">
        <f>VLOOKUP($B201,'Tillförd energi'!$B$1:$AI$720,MATCH(AC$2,'Tillförd energi'!$B$1:$AQ$1,0),FALSE)</f>
        <v>0</v>
      </c>
      <c r="AD201" s="63">
        <f>VLOOKUP($B201,'Tillförd energi'!$B$1:$AI$720,MATCH(AD$2,'Tillförd energi'!$B$1:$AQ$1,0),FALSE)</f>
        <v>0</v>
      </c>
      <c r="AE201" s="63">
        <f>VLOOKUP($B201,'Tillförd energi'!$B$1:$AI$720,MATCH(AE$2,'Tillförd energi'!$B$1:$AQ$1,0),FALSE)</f>
        <v>0</v>
      </c>
      <c r="AF201" s="63">
        <f>VLOOKUP($B201,'Tillförd energi'!$B$1:$AI$720,MATCH(AF$2,'Tillförd energi'!$B$1:$AQ$1,0),FALSE)</f>
        <v>6.7000000000000004E-2</v>
      </c>
      <c r="AG201" s="63">
        <f>IFERROR(VLOOKUP(B201,Miljö!$B$1:$AC$550,MATCH("Köpt mängd produktionsspecifik fjärrvärme:",Miljö!$B$1:$AC$1,0),FALSE)/1,0)</f>
        <v>0</v>
      </c>
      <c r="AI201" s="63">
        <f t="shared" si="18"/>
        <v>3.45</v>
      </c>
      <c r="AJ201" s="63">
        <f>IF(ISERROR(1/VLOOKUP($B201,Leveranser!$B$1:$S$500,MATCH("såld värme (gwh)",Leveranser!$B$1:$S$1,0),FALSE)),"",VLOOKUP($B201,Leveranser!$B$1:$S$500,MATCH("såld värme (gwh)",Leveranser!$B$1:$S$1,0),FALSE))</f>
        <v>2.7909999999999999</v>
      </c>
      <c r="AM201" s="63" t="str">
        <f>IF(B201&lt;&gt;"",IF(VLOOKUP($B201,Totalt!$B$1:$AQ$554,MATCH("Kvalitetsgranskad:",Totalt!$B$1:$AQ$1,0),FALSE)="ja",VLOOKUP($B201,Miljö!$B$1:$AG$479,MATCH(AM$2,Miljö!$B$1:$AK$1,0),FALSE),""),"")</f>
        <v>Ja</v>
      </c>
      <c r="AN201" s="63" t="str">
        <f>IF(AM201="ja",VLOOKUP($B201,Miljö!$B$1:$J$479,MATCH("Typ av ursprungsspecificerad el   (Om inget värde anges används Nordisk residualmix, se inforuta) ()",Miljö!$B$1:$J$1,0),FALSE),IF(AM201="nej","Nordisk residualel",""))</f>
        <v>'Ursprungsmärkt Vattenkraft'</v>
      </c>
      <c r="AO201" s="63">
        <f>IF(AM201="","",VLOOKUP($B201,Miljö!$B$1:$J$479,MATCH("Fossilandel för ursprungspecificerad el ()",Miljö!$B$1:$J$1,0),FALSE))</f>
        <v>0</v>
      </c>
      <c r="AQ201" s="63">
        <f t="shared" si="19"/>
        <v>1</v>
      </c>
      <c r="AS201" s="63" t="str">
        <f t="shared" si="20"/>
        <v>Nej</v>
      </c>
      <c r="AT201" s="63" t="str">
        <f>IF(AS201="ja",VLOOKUP($B201,Miljö!$B$1:$P$500,MATCH("Fossil andel i procent (%)",Miljö!$B$1:$P$1,0),FALSE)/100,"")</f>
        <v/>
      </c>
      <c r="AV201" s="63" t="str">
        <f t="shared" si="21"/>
        <v>Nej</v>
      </c>
      <c r="AW201" s="63" t="str">
        <f>IF(AV201="ja",VLOOKUP($B201,'Egen hetvattenprod'!$B$1:$AO$500,MATCH("Värmekälla till värmepumpar ()",'Egen hetvattenprod'!$B$1:$AO$1,0),FALSE),"")</f>
        <v/>
      </c>
      <c r="AY201" s="63" t="str">
        <f t="shared" si="22"/>
        <v>Nej</v>
      </c>
      <c r="AZ201" s="77" t="str">
        <f>IF($AY201="ja",(VLOOKUP($B201,'Egen hetvattenprod'!$B$1:$BX$550,MATCH(AZ$2,'Egen hetvattenprod'!$B$1:$BX$1,0),FALSE)+VLOOKUP($B201,Kraftvärmeprod!$B$1:$BX$550,MATCH(AZ$2,Kraftvärmeprod!$B$1:$BX$1,0),FALSE))/$AC201,"")</f>
        <v/>
      </c>
      <c r="BA201" s="77" t="str">
        <f>IF($AY201="ja",(VLOOKUP($B201,'Egen hetvattenprod'!$B$1:$BX$550,MATCH(BA$2,'Egen hetvattenprod'!$B$1:$BX$1,0),FALSE)+VLOOKUP($B201,Kraftvärmeprod!$B$1:$BX$550,MATCH(BA$2,Kraftvärmeprod!$B$1:$BX$1,0),FALSE))/$AC201,"")</f>
        <v/>
      </c>
      <c r="BB201" s="77" t="str">
        <f>IF($AY201="ja",(VLOOKUP($B201,'Egen hetvattenprod'!$B$1:$BX$550,MATCH(BB$2,'Egen hetvattenprod'!$B$1:$BX$1,0),FALSE)+VLOOKUP($B201,Kraftvärmeprod!$B$1:$BX$550,MATCH(BB$2,Kraftvärmeprod!$B$1:$BX$1,0),FALSE))/$AC201,"")</f>
        <v/>
      </c>
      <c r="BC201" s="77" t="str">
        <f>IF($AY201="ja",(VLOOKUP($B201,'Egen hetvattenprod'!$B$1:$BX$550,MATCH(BC$2,'Egen hetvattenprod'!$B$1:$BX$1,0),FALSE)+VLOOKUP($B201,Kraftvärmeprod!$B$1:$BX$550,MATCH(BC$2,Kraftvärmeprod!$B$1:$BX$1,0),FALSE))/$AC201,"")</f>
        <v/>
      </c>
      <c r="BD201" s="77" t="str">
        <f>IF($AY201="ja",(VLOOKUP($B201,'Egen hetvattenprod'!$B$1:$BX$550,MATCH(BD$2,'Egen hetvattenprod'!$B$1:$BX$1,0),FALSE)+VLOOKUP($B201,Kraftvärmeprod!$B$1:$BX$550,MATCH(BD$2,Kraftvärmeprod!$B$1:$BX$1,0),FALSE))/$AC201,"")</f>
        <v/>
      </c>
      <c r="BF201" s="63" t="str">
        <f t="shared" si="23"/>
        <v>Nej</v>
      </c>
      <c r="BG201" s="63" t="str">
        <f>IF($BF201="ja",VLOOKUP($B201,'Egen hetvattenprod'!$B$1:$BX$550,MATCH("Andelen klimatgaser med fossilt ursprung för avfall ()",'Egen hetvattenprod'!$B$1:$BX$1,0),FALSE),"")</f>
        <v/>
      </c>
      <c r="BH201" s="63" t="str">
        <f>IF($BF201="ja",VLOOKUP($B201,Kraftvärmeprod!$B$1:$BX$550,MATCH("Andelen klimatgaser med fossilt ursprung för avfall ()",Kraftvärmeprod!$B$1:$BX$1,0),FALSE),"")</f>
        <v/>
      </c>
      <c r="BI201" s="63" t="str">
        <f>IF($BF201="ja",VLOOKUP($B201,'Egen hetvattenprod'!$B$1:$BX$550,MATCH("Avfall (GWh)",'Egen hetvattenprod'!$B$1:$BX$1,0),FALSE),"")</f>
        <v/>
      </c>
      <c r="BJ201" s="63" t="str">
        <f>IF($BF201="ja",VLOOKUP($B201,'Slutlig allokering kvv'!$B$1:$BX$550,MATCH("Avfall (GWh)",'Slutlig allokering kvv'!$B$1:$BX$1,0),FALSE),"")</f>
        <v/>
      </c>
      <c r="BK201" s="63" t="str">
        <f>IF($BF201="ja",VLOOKUP($B201,'Köpt hetvatten'!$B$1:$BX$550,MATCH("Avfall i köpt hetvatten",'Köpt hetvatten'!$B$1:$BX$1,0),FALSE),"")</f>
        <v/>
      </c>
      <c r="BL201" s="63" t="str">
        <f>IF($BF201="ja",VLOOKUP($B201,'Egen hetvattenprod'!$B$1:$BX$550,MATCH("Värde enligt ovan. (%)",'Egen hetvattenprod'!$B$1:$BX$1,0),FALSE),"")</f>
        <v/>
      </c>
      <c r="BM201" s="63" t="str">
        <f>IF($BF201="ja",VLOOKUP($B201,Kraftvärmeprod!$B$1:$BX$550,MATCH("Värde enligt ovan. (%)",Kraftvärmeprod!$B$1:$BX$1,0),FALSE),"")</f>
        <v/>
      </c>
    </row>
    <row r="202" spans="1:65" x14ac:dyDescent="0.45">
      <c r="A202" s="63" t="s">
        <v>418</v>
      </c>
      <c r="B202" s="63" t="s">
        <v>419</v>
      </c>
      <c r="C202" s="63">
        <f>VLOOKUP($B202,'Tillförd energi'!$B$1:$AI$720,MATCH(C$2,'Tillförd energi'!$B$1:$AQ$1,0),FALSE)</f>
        <v>0</v>
      </c>
      <c r="D202" s="63">
        <f>VLOOKUP($B202,'Tillförd energi'!$B$1:$AI$720,MATCH(D$2,'Tillförd energi'!$B$1:$AQ$1,0),FALSE)</f>
        <v>0.43</v>
      </c>
      <c r="E202" s="63">
        <f>VLOOKUP($B202,'Tillförd energi'!$B$1:$AI$720,MATCH(E$2,'Tillförd energi'!$B$1:$AQ$1,0),FALSE)</f>
        <v>0</v>
      </c>
      <c r="F202" s="63">
        <f>VLOOKUP($B202,'Tillförd energi'!$B$1:$AI$720,MATCH(F$2,'Tillförd energi'!$B$1:$AQ$1,0),FALSE)</f>
        <v>0</v>
      </c>
      <c r="G202" s="63">
        <f>VLOOKUP($B202,'Tillförd energi'!$B$1:$AI$720,MATCH(G$2,'Tillförd energi'!$B$1:$AQ$1,0),FALSE)</f>
        <v>0</v>
      </c>
      <c r="H202" s="63">
        <f>VLOOKUP($B202,'Tillförd energi'!$B$1:$AI$720,MATCH(H$2,'Tillförd energi'!$B$1:$AQ$1,0),FALSE)</f>
        <v>0</v>
      </c>
      <c r="I202" s="63">
        <f>VLOOKUP($B202,'Tillförd energi'!$B$1:$AI$720,MATCH(I$2,'Tillförd energi'!$B$1:$AQ$1,0),FALSE)</f>
        <v>0</v>
      </c>
      <c r="J202" s="63">
        <f>VLOOKUP($B202,'Tillförd energi'!$B$1:$AI$720,MATCH(J$2,'Tillförd energi'!$B$1:$AQ$1,0),FALSE)</f>
        <v>0</v>
      </c>
      <c r="K202" s="63">
        <f>VLOOKUP($B202,'Tillförd energi'!$B$1:$AI$720,MATCH(K$2,'Tillförd energi'!$B$1:$AQ$1,0),FALSE)</f>
        <v>0</v>
      </c>
      <c r="L202" s="63">
        <f>VLOOKUP($B202,'Tillförd energi'!$B$1:$AI$720,MATCH(L$2,'Tillförd energi'!$B$1:$AQ$1,0),FALSE)</f>
        <v>0</v>
      </c>
      <c r="M202" s="63">
        <f>VLOOKUP($B202,'Tillförd energi'!$B$1:$AI$720,MATCH(M$2,'Tillförd energi'!$B$1:$AQ$1,0),FALSE)</f>
        <v>0</v>
      </c>
      <c r="N202" s="63">
        <f>VLOOKUP($B202,'Tillförd energi'!$B$1:$AI$720,MATCH(N$2,'Tillförd energi'!$B$1:$AQ$1,0),FALSE)</f>
        <v>0</v>
      </c>
      <c r="O202" s="63">
        <f>VLOOKUP($B202,'Tillförd energi'!$B$1:$AI$720,MATCH(O$2,'Tillförd energi'!$B$1:$AQ$1,0),FALSE)</f>
        <v>0</v>
      </c>
      <c r="P202" s="63">
        <f>VLOOKUP($B202,'Tillförd energi'!$B$1:$AI$720,MATCH(P$2,'Tillförd energi'!$B$1:$AQ$1,0),FALSE)</f>
        <v>11.118</v>
      </c>
      <c r="Q202" s="63">
        <f>VLOOKUP($B202,'Tillförd energi'!$B$1:$AI$720,MATCH(Q$2,'Tillförd energi'!$B$1:$AQ$1,0),FALSE)</f>
        <v>0</v>
      </c>
      <c r="R202" s="63">
        <f>VLOOKUP($B202,'Tillförd energi'!$B$1:$AI$720,MATCH(R$2,'Tillförd energi'!$B$1:$AQ$1,0),FALSE)</f>
        <v>0</v>
      </c>
      <c r="S202" s="63">
        <f>VLOOKUP($B202,'Tillförd energi'!$B$1:$AI$720,MATCH(S$2,'Tillförd energi'!$B$1:$AQ$1,0),FALSE)</f>
        <v>0</v>
      </c>
      <c r="T202" s="63">
        <f>VLOOKUP($B202,'Tillförd energi'!$B$1:$AI$720,MATCH(T$2,'Tillförd energi'!$B$1:$AQ$1,0),FALSE)</f>
        <v>0</v>
      </c>
      <c r="U202" s="63">
        <f>VLOOKUP($B202,'Tillförd energi'!$B$1:$AI$720,MATCH(U$2,'Tillförd energi'!$B$1:$AQ$1,0),FALSE)</f>
        <v>0</v>
      </c>
      <c r="V202" s="63">
        <f>VLOOKUP($B202,'Tillförd energi'!$B$1:$AI$720,MATCH(V$2,'Tillförd energi'!$B$1:$AQ$1,0),FALSE)</f>
        <v>0</v>
      </c>
      <c r="W202" s="63">
        <f>VLOOKUP($B202,'Tillförd energi'!$B$1:$AI$720,MATCH(W$2,'Tillförd energi'!$B$1:$AQ$1,0),FALSE)</f>
        <v>0</v>
      </c>
      <c r="X202" s="63">
        <f>VLOOKUP($B202,'Tillförd energi'!$B$1:$AI$720,MATCH(X$2,'Tillförd energi'!$B$1:$AQ$1,0),FALSE)</f>
        <v>0</v>
      </c>
      <c r="Y202" s="63">
        <f>VLOOKUP($B202,'Tillförd energi'!$B$1:$AI$720,MATCH(Y$2,'Tillförd energi'!$B$1:$AQ$1,0),FALSE)</f>
        <v>0</v>
      </c>
      <c r="Z202" s="63">
        <f>VLOOKUP($B202,'Tillförd energi'!$B$1:$AI$720,MATCH(Z$2,'Tillförd energi'!$B$1:$AQ$1,0),FALSE)</f>
        <v>0</v>
      </c>
      <c r="AA202" s="63">
        <f>VLOOKUP($B202,'Tillförd energi'!$B$1:$AI$720,MATCH(AA$2,'Tillförd energi'!$B$1:$AQ$1,0),FALSE)</f>
        <v>0</v>
      </c>
      <c r="AB202" s="63">
        <f>VLOOKUP($B202,'Tillförd energi'!$B$1:$AI$720,MATCH(AB$2,'Tillförd energi'!$B$1:$AQ$1,0),FALSE)</f>
        <v>0</v>
      </c>
      <c r="AC202" s="63">
        <f>VLOOKUP($B202,'Tillförd energi'!$B$1:$AI$720,MATCH(AC$2,'Tillförd energi'!$B$1:$AQ$1,0),FALSE)</f>
        <v>0</v>
      </c>
      <c r="AD202" s="63">
        <f>VLOOKUP($B202,'Tillförd energi'!$B$1:$AI$720,MATCH(AD$2,'Tillförd energi'!$B$1:$AQ$1,0),FALSE)</f>
        <v>0</v>
      </c>
      <c r="AE202" s="63">
        <f>VLOOKUP($B202,'Tillförd energi'!$B$1:$AI$720,MATCH(AE$2,'Tillförd energi'!$B$1:$AQ$1,0),FALSE)</f>
        <v>0</v>
      </c>
      <c r="AF202" s="63">
        <f>VLOOKUP($B202,'Tillförd energi'!$B$1:$AI$720,MATCH(AF$2,'Tillförd energi'!$B$1:$AQ$1,0),FALSE)</f>
        <v>0.21199999999999999</v>
      </c>
      <c r="AG202" s="63">
        <f>IFERROR(VLOOKUP(B202,Miljö!$B$1:$AC$550,MATCH("Köpt mängd produktionsspecifik fjärrvärme:",Miljö!$B$1:$AC$1,0),FALSE)/1,0)</f>
        <v>0</v>
      </c>
      <c r="AI202" s="63">
        <f t="shared" si="18"/>
        <v>11.76</v>
      </c>
      <c r="AJ202" s="63">
        <f>IF(ISERROR(1/VLOOKUP($B202,Leveranser!$B$1:$S$500,MATCH("såld värme (gwh)",Leveranser!$B$1:$S$1,0),FALSE)),"",VLOOKUP($B202,Leveranser!$B$1:$S$500,MATCH("såld värme (gwh)",Leveranser!$B$1:$S$1,0),FALSE))</f>
        <v>7.28</v>
      </c>
      <c r="AM202" s="63" t="str">
        <f>IF(B202&lt;&gt;"",IF(VLOOKUP($B202,Totalt!$B$1:$AQ$554,MATCH("Kvalitetsgranskad:",Totalt!$B$1:$AQ$1,0),FALSE)="ja",VLOOKUP($B202,Miljö!$B$1:$AG$479,MATCH(AM$2,Miljö!$B$1:$AK$1,0),FALSE),""),"")</f>
        <v>Ja</v>
      </c>
      <c r="AN202" s="63" t="str">
        <f>IF(AM202="ja",VLOOKUP($B202,Miljö!$B$1:$J$479,MATCH("Typ av ursprungsspecificerad el   (Om inget värde anges används Nordisk residualmix, se inforuta) ()",Miljö!$B$1:$J$1,0),FALSE),IF(AM202="nej","Nordisk residualel",""))</f>
        <v>'Ursprungsmärkt Vattenkraft'</v>
      </c>
      <c r="AO202" s="63">
        <f>IF(AM202="","",VLOOKUP($B202,Miljö!$B$1:$J$479,MATCH("Fossilandel för ursprungspecificerad el ()",Miljö!$B$1:$J$1,0),FALSE))</f>
        <v>0</v>
      </c>
      <c r="AQ202" s="63">
        <f t="shared" si="19"/>
        <v>1</v>
      </c>
      <c r="AS202" s="63" t="str">
        <f t="shared" si="20"/>
        <v>Nej</v>
      </c>
      <c r="AT202" s="63" t="str">
        <f>IF(AS202="ja",VLOOKUP($B202,Miljö!$B$1:$P$500,MATCH("Fossil andel i procent (%)",Miljö!$B$1:$P$1,0),FALSE)/100,"")</f>
        <v/>
      </c>
      <c r="AV202" s="63" t="str">
        <f t="shared" si="21"/>
        <v>Nej</v>
      </c>
      <c r="AW202" s="63" t="str">
        <f>IF(AV202="ja",VLOOKUP($B202,'Egen hetvattenprod'!$B$1:$AO$500,MATCH("Värmekälla till värmepumpar ()",'Egen hetvattenprod'!$B$1:$AO$1,0),FALSE),"")</f>
        <v/>
      </c>
      <c r="AY202" s="63" t="str">
        <f t="shared" si="22"/>
        <v>Nej</v>
      </c>
      <c r="AZ202" s="77" t="str">
        <f>IF($AY202="ja",(VLOOKUP($B202,'Egen hetvattenprod'!$B$1:$BX$550,MATCH(AZ$2,'Egen hetvattenprod'!$B$1:$BX$1,0),FALSE)+VLOOKUP($B202,Kraftvärmeprod!$B$1:$BX$550,MATCH(AZ$2,Kraftvärmeprod!$B$1:$BX$1,0),FALSE))/$AC202,"")</f>
        <v/>
      </c>
      <c r="BA202" s="77" t="str">
        <f>IF($AY202="ja",(VLOOKUP($B202,'Egen hetvattenprod'!$B$1:$BX$550,MATCH(BA$2,'Egen hetvattenprod'!$B$1:$BX$1,0),FALSE)+VLOOKUP($B202,Kraftvärmeprod!$B$1:$BX$550,MATCH(BA$2,Kraftvärmeprod!$B$1:$BX$1,0),FALSE))/$AC202,"")</f>
        <v/>
      </c>
      <c r="BB202" s="77" t="str">
        <f>IF($AY202="ja",(VLOOKUP($B202,'Egen hetvattenprod'!$B$1:$BX$550,MATCH(BB$2,'Egen hetvattenprod'!$B$1:$BX$1,0),FALSE)+VLOOKUP($B202,Kraftvärmeprod!$B$1:$BX$550,MATCH(BB$2,Kraftvärmeprod!$B$1:$BX$1,0),FALSE))/$AC202,"")</f>
        <v/>
      </c>
      <c r="BC202" s="77" t="str">
        <f>IF($AY202="ja",(VLOOKUP($B202,'Egen hetvattenprod'!$B$1:$BX$550,MATCH(BC$2,'Egen hetvattenprod'!$B$1:$BX$1,0),FALSE)+VLOOKUP($B202,Kraftvärmeprod!$B$1:$BX$550,MATCH(BC$2,Kraftvärmeprod!$B$1:$BX$1,0),FALSE))/$AC202,"")</f>
        <v/>
      </c>
      <c r="BD202" s="77" t="str">
        <f>IF($AY202="ja",(VLOOKUP($B202,'Egen hetvattenprod'!$B$1:$BX$550,MATCH(BD$2,'Egen hetvattenprod'!$B$1:$BX$1,0),FALSE)+VLOOKUP($B202,Kraftvärmeprod!$B$1:$BX$550,MATCH(BD$2,Kraftvärmeprod!$B$1:$BX$1,0),FALSE))/$AC202,"")</f>
        <v/>
      </c>
      <c r="BF202" s="63" t="str">
        <f t="shared" si="23"/>
        <v>Nej</v>
      </c>
      <c r="BG202" s="63" t="str">
        <f>IF($BF202="ja",VLOOKUP($B202,'Egen hetvattenprod'!$B$1:$BX$550,MATCH("Andelen klimatgaser med fossilt ursprung för avfall ()",'Egen hetvattenprod'!$B$1:$BX$1,0),FALSE),"")</f>
        <v/>
      </c>
      <c r="BH202" s="63" t="str">
        <f>IF($BF202="ja",VLOOKUP($B202,Kraftvärmeprod!$B$1:$BX$550,MATCH("Andelen klimatgaser med fossilt ursprung för avfall ()",Kraftvärmeprod!$B$1:$BX$1,0),FALSE),"")</f>
        <v/>
      </c>
      <c r="BI202" s="63" t="str">
        <f>IF($BF202="ja",VLOOKUP($B202,'Egen hetvattenprod'!$B$1:$BX$550,MATCH("Avfall (GWh)",'Egen hetvattenprod'!$B$1:$BX$1,0),FALSE),"")</f>
        <v/>
      </c>
      <c r="BJ202" s="63" t="str">
        <f>IF($BF202="ja",VLOOKUP($B202,'Slutlig allokering kvv'!$B$1:$BX$550,MATCH("Avfall (GWh)",'Slutlig allokering kvv'!$B$1:$BX$1,0),FALSE),"")</f>
        <v/>
      </c>
      <c r="BK202" s="63" t="str">
        <f>IF($BF202="ja",VLOOKUP($B202,'Köpt hetvatten'!$B$1:$BX$550,MATCH("Avfall i köpt hetvatten",'Köpt hetvatten'!$B$1:$BX$1,0),FALSE),"")</f>
        <v/>
      </c>
      <c r="BL202" s="63" t="str">
        <f>IF($BF202="ja",VLOOKUP($B202,'Egen hetvattenprod'!$B$1:$BX$550,MATCH("Värde enligt ovan. (%)",'Egen hetvattenprod'!$B$1:$BX$1,0),FALSE),"")</f>
        <v/>
      </c>
      <c r="BM202" s="63" t="str">
        <f>IF($BF202="ja",VLOOKUP($B202,Kraftvärmeprod!$B$1:$BX$550,MATCH("Värde enligt ovan. (%)",Kraftvärmeprod!$B$1:$BX$1,0),FALSE),"")</f>
        <v/>
      </c>
    </row>
    <row r="203" spans="1:65" x14ac:dyDescent="0.45">
      <c r="A203" s="63" t="s">
        <v>418</v>
      </c>
      <c r="B203" s="63" t="s">
        <v>423</v>
      </c>
      <c r="C203" s="63">
        <f>VLOOKUP($B203,'Tillförd energi'!$B$1:$AI$720,MATCH(C$2,'Tillförd energi'!$B$1:$AQ$1,0),FALSE)</f>
        <v>0</v>
      </c>
      <c r="D203" s="63">
        <f>VLOOKUP($B203,'Tillförd energi'!$B$1:$AI$720,MATCH(D$2,'Tillförd energi'!$B$1:$AQ$1,0),FALSE)</f>
        <v>0.54100000000000004</v>
      </c>
      <c r="E203" s="63">
        <f>VLOOKUP($B203,'Tillförd energi'!$B$1:$AI$720,MATCH(E$2,'Tillförd energi'!$B$1:$AQ$1,0),FALSE)</f>
        <v>0</v>
      </c>
      <c r="F203" s="63">
        <f>VLOOKUP($B203,'Tillförd energi'!$B$1:$AI$720,MATCH(F$2,'Tillförd energi'!$B$1:$AQ$1,0),FALSE)</f>
        <v>0</v>
      </c>
      <c r="G203" s="63">
        <f>VLOOKUP($B203,'Tillförd energi'!$B$1:$AI$720,MATCH(G$2,'Tillförd energi'!$B$1:$AQ$1,0),FALSE)</f>
        <v>0</v>
      </c>
      <c r="H203" s="63">
        <f>VLOOKUP($B203,'Tillförd energi'!$B$1:$AI$720,MATCH(H$2,'Tillförd energi'!$B$1:$AQ$1,0),FALSE)</f>
        <v>0</v>
      </c>
      <c r="I203" s="63">
        <f>VLOOKUP($B203,'Tillförd energi'!$B$1:$AI$720,MATCH(I$2,'Tillförd energi'!$B$1:$AQ$1,0),FALSE)</f>
        <v>0</v>
      </c>
      <c r="J203" s="63">
        <f>VLOOKUP($B203,'Tillförd energi'!$B$1:$AI$720,MATCH(J$2,'Tillförd energi'!$B$1:$AQ$1,0),FALSE)</f>
        <v>0</v>
      </c>
      <c r="K203" s="63">
        <f>VLOOKUP($B203,'Tillförd energi'!$B$1:$AI$720,MATCH(K$2,'Tillförd energi'!$B$1:$AQ$1,0),FALSE)</f>
        <v>0</v>
      </c>
      <c r="L203" s="63">
        <f>VLOOKUP($B203,'Tillförd energi'!$B$1:$AI$720,MATCH(L$2,'Tillförd energi'!$B$1:$AQ$1,0),FALSE)</f>
        <v>0</v>
      </c>
      <c r="M203" s="63">
        <f>VLOOKUP($B203,'Tillförd energi'!$B$1:$AI$720,MATCH(M$2,'Tillförd energi'!$B$1:$AQ$1,0),FALSE)</f>
        <v>0</v>
      </c>
      <c r="N203" s="63">
        <f>VLOOKUP($B203,'Tillförd energi'!$B$1:$AI$720,MATCH(N$2,'Tillförd energi'!$B$1:$AQ$1,0),FALSE)</f>
        <v>0</v>
      </c>
      <c r="O203" s="63">
        <f>VLOOKUP($B203,'Tillförd energi'!$B$1:$AI$720,MATCH(O$2,'Tillförd energi'!$B$1:$AQ$1,0),FALSE)</f>
        <v>0</v>
      </c>
      <c r="P203" s="63">
        <f>VLOOKUP($B203,'Tillförd energi'!$B$1:$AI$720,MATCH(P$2,'Tillförd energi'!$B$1:$AQ$1,0),FALSE)</f>
        <v>20.814</v>
      </c>
      <c r="Q203" s="63">
        <f>VLOOKUP($B203,'Tillförd energi'!$B$1:$AI$720,MATCH(Q$2,'Tillförd energi'!$B$1:$AQ$1,0),FALSE)</f>
        <v>0</v>
      </c>
      <c r="R203" s="63">
        <f>VLOOKUP($B203,'Tillförd energi'!$B$1:$AI$720,MATCH(R$2,'Tillförd energi'!$B$1:$AQ$1,0),FALSE)</f>
        <v>0</v>
      </c>
      <c r="S203" s="63">
        <f>VLOOKUP($B203,'Tillförd energi'!$B$1:$AI$720,MATCH(S$2,'Tillförd energi'!$B$1:$AQ$1,0),FALSE)</f>
        <v>0</v>
      </c>
      <c r="T203" s="63">
        <f>VLOOKUP($B203,'Tillförd energi'!$B$1:$AI$720,MATCH(T$2,'Tillförd energi'!$B$1:$AQ$1,0),FALSE)</f>
        <v>0</v>
      </c>
      <c r="U203" s="63">
        <f>VLOOKUP($B203,'Tillförd energi'!$B$1:$AI$720,MATCH(U$2,'Tillförd energi'!$B$1:$AQ$1,0),FALSE)</f>
        <v>0</v>
      </c>
      <c r="V203" s="63">
        <f>VLOOKUP($B203,'Tillförd energi'!$B$1:$AI$720,MATCH(V$2,'Tillförd energi'!$B$1:$AQ$1,0),FALSE)</f>
        <v>0</v>
      </c>
      <c r="W203" s="63">
        <f>VLOOKUP($B203,'Tillförd energi'!$B$1:$AI$720,MATCH(W$2,'Tillförd energi'!$B$1:$AQ$1,0),FALSE)</f>
        <v>0</v>
      </c>
      <c r="X203" s="63">
        <f>VLOOKUP($B203,'Tillförd energi'!$B$1:$AI$720,MATCH(X$2,'Tillförd energi'!$B$1:$AQ$1,0),FALSE)</f>
        <v>0</v>
      </c>
      <c r="Y203" s="63">
        <f>VLOOKUP($B203,'Tillförd energi'!$B$1:$AI$720,MATCH(Y$2,'Tillförd energi'!$B$1:$AQ$1,0),FALSE)</f>
        <v>0</v>
      </c>
      <c r="Z203" s="63">
        <f>VLOOKUP($B203,'Tillförd energi'!$B$1:$AI$720,MATCH(Z$2,'Tillförd energi'!$B$1:$AQ$1,0),FALSE)</f>
        <v>0</v>
      </c>
      <c r="AA203" s="63">
        <f>VLOOKUP($B203,'Tillförd energi'!$B$1:$AI$720,MATCH(AA$2,'Tillförd energi'!$B$1:$AQ$1,0),FALSE)</f>
        <v>0</v>
      </c>
      <c r="AB203" s="63">
        <f>VLOOKUP($B203,'Tillförd energi'!$B$1:$AI$720,MATCH(AB$2,'Tillförd energi'!$B$1:$AQ$1,0),FALSE)</f>
        <v>0</v>
      </c>
      <c r="AC203" s="63">
        <f>VLOOKUP($B203,'Tillförd energi'!$B$1:$AI$720,MATCH(AC$2,'Tillförd energi'!$B$1:$AQ$1,0),FALSE)</f>
        <v>0</v>
      </c>
      <c r="AD203" s="63">
        <f>VLOOKUP($B203,'Tillförd energi'!$B$1:$AI$720,MATCH(AD$2,'Tillförd energi'!$B$1:$AQ$1,0),FALSE)</f>
        <v>0</v>
      </c>
      <c r="AE203" s="63">
        <f>VLOOKUP($B203,'Tillförd energi'!$B$1:$AI$720,MATCH(AE$2,'Tillförd energi'!$B$1:$AQ$1,0),FALSE)</f>
        <v>0</v>
      </c>
      <c r="AF203" s="63">
        <f>VLOOKUP($B203,'Tillförd energi'!$B$1:$AI$720,MATCH(AF$2,'Tillförd energi'!$B$1:$AQ$1,0),FALSE)</f>
        <v>0.23899999999999999</v>
      </c>
      <c r="AG203" s="63">
        <f>IFERROR(VLOOKUP(B203,Miljö!$B$1:$AC$550,MATCH("Köpt mängd produktionsspecifik fjärrvärme:",Miljö!$B$1:$AC$1,0),FALSE)/1,0)</f>
        <v>0</v>
      </c>
      <c r="AI203" s="63">
        <f t="shared" si="18"/>
        <v>21.594000000000001</v>
      </c>
      <c r="AJ203" s="63">
        <f>IF(ISERROR(1/VLOOKUP($B203,Leveranser!$B$1:$S$500,MATCH("såld värme (gwh)",Leveranser!$B$1:$S$1,0),FALSE)),"",VLOOKUP($B203,Leveranser!$B$1:$S$500,MATCH("såld värme (gwh)",Leveranser!$B$1:$S$1,0),FALSE))</f>
        <v>15.481999999999999</v>
      </c>
      <c r="AM203" s="63" t="str">
        <f>IF(B203&lt;&gt;"",IF(VLOOKUP($B203,Totalt!$B$1:$AQ$554,MATCH("Kvalitetsgranskad:",Totalt!$B$1:$AQ$1,0),FALSE)="ja",VLOOKUP($B203,Miljö!$B$1:$AG$479,MATCH(AM$2,Miljö!$B$1:$AK$1,0),FALSE),""),"")</f>
        <v>Ja</v>
      </c>
      <c r="AN203" s="63" t="str">
        <f>IF(AM203="ja",VLOOKUP($B203,Miljö!$B$1:$J$479,MATCH("Typ av ursprungsspecificerad el   (Om inget värde anges används Nordisk residualmix, se inforuta) ()",Miljö!$B$1:$J$1,0),FALSE),IF(AM203="nej","Nordisk residualel",""))</f>
        <v>'Ursprungsmärkt Vattenkraft'</v>
      </c>
      <c r="AO203" s="63">
        <f>IF(AM203="","",VLOOKUP($B203,Miljö!$B$1:$J$479,MATCH("Fossilandel för ursprungspecificerad el ()",Miljö!$B$1:$J$1,0),FALSE))</f>
        <v>0</v>
      </c>
      <c r="AQ203" s="63">
        <f t="shared" si="19"/>
        <v>1</v>
      </c>
      <c r="AS203" s="63" t="str">
        <f t="shared" si="20"/>
        <v>Nej</v>
      </c>
      <c r="AT203" s="63" t="str">
        <f>IF(AS203="ja",VLOOKUP($B203,Miljö!$B$1:$P$500,MATCH("Fossil andel i procent (%)",Miljö!$B$1:$P$1,0),FALSE)/100,"")</f>
        <v/>
      </c>
      <c r="AV203" s="63" t="str">
        <f t="shared" si="21"/>
        <v>Nej</v>
      </c>
      <c r="AW203" s="63" t="str">
        <f>IF(AV203="ja",VLOOKUP($B203,'Egen hetvattenprod'!$B$1:$AO$500,MATCH("Värmekälla till värmepumpar ()",'Egen hetvattenprod'!$B$1:$AO$1,0),FALSE),"")</f>
        <v/>
      </c>
      <c r="AY203" s="63" t="str">
        <f t="shared" si="22"/>
        <v>Nej</v>
      </c>
      <c r="AZ203" s="77" t="str">
        <f>IF($AY203="ja",(VLOOKUP($B203,'Egen hetvattenprod'!$B$1:$BX$550,MATCH(AZ$2,'Egen hetvattenprod'!$B$1:$BX$1,0),FALSE)+VLOOKUP($B203,Kraftvärmeprod!$B$1:$BX$550,MATCH(AZ$2,Kraftvärmeprod!$B$1:$BX$1,0),FALSE))/$AC203,"")</f>
        <v/>
      </c>
      <c r="BA203" s="77" t="str">
        <f>IF($AY203="ja",(VLOOKUP($B203,'Egen hetvattenprod'!$B$1:$BX$550,MATCH(BA$2,'Egen hetvattenprod'!$B$1:$BX$1,0),FALSE)+VLOOKUP($B203,Kraftvärmeprod!$B$1:$BX$550,MATCH(BA$2,Kraftvärmeprod!$B$1:$BX$1,0),FALSE))/$AC203,"")</f>
        <v/>
      </c>
      <c r="BB203" s="77" t="str">
        <f>IF($AY203="ja",(VLOOKUP($B203,'Egen hetvattenprod'!$B$1:$BX$550,MATCH(BB$2,'Egen hetvattenprod'!$B$1:$BX$1,0),FALSE)+VLOOKUP($B203,Kraftvärmeprod!$B$1:$BX$550,MATCH(BB$2,Kraftvärmeprod!$B$1:$BX$1,0),FALSE))/$AC203,"")</f>
        <v/>
      </c>
      <c r="BC203" s="77" t="str">
        <f>IF($AY203="ja",(VLOOKUP($B203,'Egen hetvattenprod'!$B$1:$BX$550,MATCH(BC$2,'Egen hetvattenprod'!$B$1:$BX$1,0),FALSE)+VLOOKUP($B203,Kraftvärmeprod!$B$1:$BX$550,MATCH(BC$2,Kraftvärmeprod!$B$1:$BX$1,0),FALSE))/$AC203,"")</f>
        <v/>
      </c>
      <c r="BD203" s="77" t="str">
        <f>IF($AY203="ja",(VLOOKUP($B203,'Egen hetvattenprod'!$B$1:$BX$550,MATCH(BD$2,'Egen hetvattenprod'!$B$1:$BX$1,0),FALSE)+VLOOKUP($B203,Kraftvärmeprod!$B$1:$BX$550,MATCH(BD$2,Kraftvärmeprod!$B$1:$BX$1,0),FALSE))/$AC203,"")</f>
        <v/>
      </c>
      <c r="BF203" s="63" t="str">
        <f t="shared" si="23"/>
        <v>Nej</v>
      </c>
      <c r="BG203" s="63" t="str">
        <f>IF($BF203="ja",VLOOKUP($B203,'Egen hetvattenprod'!$B$1:$BX$550,MATCH("Andelen klimatgaser med fossilt ursprung för avfall ()",'Egen hetvattenprod'!$B$1:$BX$1,0),FALSE),"")</f>
        <v/>
      </c>
      <c r="BH203" s="63" t="str">
        <f>IF($BF203="ja",VLOOKUP($B203,Kraftvärmeprod!$B$1:$BX$550,MATCH("Andelen klimatgaser med fossilt ursprung för avfall ()",Kraftvärmeprod!$B$1:$BX$1,0),FALSE),"")</f>
        <v/>
      </c>
      <c r="BI203" s="63" t="str">
        <f>IF($BF203="ja",VLOOKUP($B203,'Egen hetvattenprod'!$B$1:$BX$550,MATCH("Avfall (GWh)",'Egen hetvattenprod'!$B$1:$BX$1,0),FALSE),"")</f>
        <v/>
      </c>
      <c r="BJ203" s="63" t="str">
        <f>IF($BF203="ja",VLOOKUP($B203,'Slutlig allokering kvv'!$B$1:$BX$550,MATCH("Avfall (GWh)",'Slutlig allokering kvv'!$B$1:$BX$1,0),FALSE),"")</f>
        <v/>
      </c>
      <c r="BK203" s="63" t="str">
        <f>IF($BF203="ja",VLOOKUP($B203,'Köpt hetvatten'!$B$1:$BX$550,MATCH("Avfall i köpt hetvatten",'Köpt hetvatten'!$B$1:$BX$1,0),FALSE),"")</f>
        <v/>
      </c>
      <c r="BL203" s="63" t="str">
        <f>IF($BF203="ja",VLOOKUP($B203,'Egen hetvattenprod'!$B$1:$BX$550,MATCH("Värde enligt ovan. (%)",'Egen hetvattenprod'!$B$1:$BX$1,0),FALSE),"")</f>
        <v/>
      </c>
      <c r="BM203" s="63" t="str">
        <f>IF($BF203="ja",VLOOKUP($B203,Kraftvärmeprod!$B$1:$BX$550,MATCH("Värde enligt ovan. (%)",Kraftvärmeprod!$B$1:$BX$1,0),FALSE),"")</f>
        <v/>
      </c>
    </row>
    <row r="204" spans="1:65" x14ac:dyDescent="0.45">
      <c r="A204" s="63" t="s">
        <v>418</v>
      </c>
      <c r="B204" s="63" t="s">
        <v>422</v>
      </c>
      <c r="C204" s="63">
        <f>VLOOKUP($B204,'Tillförd energi'!$B$1:$AI$720,MATCH(C$2,'Tillförd energi'!$B$1:$AQ$1,0),FALSE)</f>
        <v>0</v>
      </c>
      <c r="D204" s="63">
        <f>VLOOKUP($B204,'Tillförd energi'!$B$1:$AI$720,MATCH(D$2,'Tillförd energi'!$B$1:$AQ$1,0),FALSE)</f>
        <v>0</v>
      </c>
      <c r="E204" s="63">
        <f>VLOOKUP($B204,'Tillförd energi'!$B$1:$AI$720,MATCH(E$2,'Tillförd energi'!$B$1:$AQ$1,0),FALSE)</f>
        <v>0</v>
      </c>
      <c r="F204" s="63">
        <f>VLOOKUP($B204,'Tillförd energi'!$B$1:$AI$720,MATCH(F$2,'Tillförd energi'!$B$1:$AQ$1,0),FALSE)</f>
        <v>0</v>
      </c>
      <c r="G204" s="63">
        <f>VLOOKUP($B204,'Tillförd energi'!$B$1:$AI$720,MATCH(G$2,'Tillförd energi'!$B$1:$AQ$1,0),FALSE)</f>
        <v>0</v>
      </c>
      <c r="H204" s="63">
        <f>VLOOKUP($B204,'Tillförd energi'!$B$1:$AI$720,MATCH(H$2,'Tillförd energi'!$B$1:$AQ$1,0),FALSE)</f>
        <v>0</v>
      </c>
      <c r="I204" s="63">
        <f>VLOOKUP($B204,'Tillförd energi'!$B$1:$AI$720,MATCH(I$2,'Tillförd energi'!$B$1:$AQ$1,0),FALSE)</f>
        <v>0</v>
      </c>
      <c r="J204" s="63">
        <f>VLOOKUP($B204,'Tillförd energi'!$B$1:$AI$720,MATCH(J$2,'Tillförd energi'!$B$1:$AQ$1,0),FALSE)</f>
        <v>0</v>
      </c>
      <c r="K204" s="63">
        <f>VLOOKUP($B204,'Tillförd energi'!$B$1:$AI$720,MATCH(K$2,'Tillförd energi'!$B$1:$AQ$1,0),FALSE)</f>
        <v>0</v>
      </c>
      <c r="L204" s="63">
        <f>VLOOKUP($B204,'Tillförd energi'!$B$1:$AI$720,MATCH(L$2,'Tillförd energi'!$B$1:$AQ$1,0),FALSE)</f>
        <v>0</v>
      </c>
      <c r="M204" s="63">
        <f>VLOOKUP($B204,'Tillförd energi'!$B$1:$AI$720,MATCH(M$2,'Tillförd energi'!$B$1:$AQ$1,0),FALSE)</f>
        <v>0</v>
      </c>
      <c r="N204" s="63">
        <f>VLOOKUP($B204,'Tillförd energi'!$B$1:$AI$720,MATCH(N$2,'Tillförd energi'!$B$1:$AQ$1,0),FALSE)</f>
        <v>0</v>
      </c>
      <c r="O204" s="63">
        <f>VLOOKUP($B204,'Tillförd energi'!$B$1:$AI$720,MATCH(O$2,'Tillförd energi'!$B$1:$AQ$1,0),FALSE)</f>
        <v>0</v>
      </c>
      <c r="P204" s="63">
        <f>VLOOKUP($B204,'Tillförd energi'!$B$1:$AI$720,MATCH(P$2,'Tillförd energi'!$B$1:$AQ$1,0),FALSE)</f>
        <v>0</v>
      </c>
      <c r="Q204" s="63">
        <f>VLOOKUP($B204,'Tillförd energi'!$B$1:$AI$720,MATCH(Q$2,'Tillförd energi'!$B$1:$AQ$1,0),FALSE)</f>
        <v>0</v>
      </c>
      <c r="R204" s="63">
        <f>VLOOKUP($B204,'Tillförd energi'!$B$1:$AI$720,MATCH(R$2,'Tillförd energi'!$B$1:$AQ$1,0),FALSE)</f>
        <v>3.9340000000000002</v>
      </c>
      <c r="S204" s="63">
        <f>VLOOKUP($B204,'Tillförd energi'!$B$1:$AI$720,MATCH(S$2,'Tillförd energi'!$B$1:$AQ$1,0),FALSE)</f>
        <v>0</v>
      </c>
      <c r="T204" s="63">
        <f>VLOOKUP($B204,'Tillförd energi'!$B$1:$AI$720,MATCH(T$2,'Tillförd energi'!$B$1:$AQ$1,0),FALSE)</f>
        <v>0</v>
      </c>
      <c r="U204" s="63">
        <f>VLOOKUP($B204,'Tillförd energi'!$B$1:$AI$720,MATCH(U$2,'Tillförd energi'!$B$1:$AQ$1,0),FALSE)</f>
        <v>0</v>
      </c>
      <c r="V204" s="63">
        <f>VLOOKUP($B204,'Tillförd energi'!$B$1:$AI$720,MATCH(V$2,'Tillförd energi'!$B$1:$AQ$1,0),FALSE)</f>
        <v>0</v>
      </c>
      <c r="W204" s="63">
        <f>VLOOKUP($B204,'Tillförd energi'!$B$1:$AI$720,MATCH(W$2,'Tillförd energi'!$B$1:$AQ$1,0),FALSE)</f>
        <v>0</v>
      </c>
      <c r="X204" s="63">
        <f>VLOOKUP($B204,'Tillförd energi'!$B$1:$AI$720,MATCH(X$2,'Tillförd energi'!$B$1:$AQ$1,0),FALSE)</f>
        <v>0</v>
      </c>
      <c r="Y204" s="63">
        <f>VLOOKUP($B204,'Tillförd energi'!$B$1:$AI$720,MATCH(Y$2,'Tillförd energi'!$B$1:$AQ$1,0),FALSE)</f>
        <v>0</v>
      </c>
      <c r="Z204" s="63">
        <f>VLOOKUP($B204,'Tillförd energi'!$B$1:$AI$720,MATCH(Z$2,'Tillförd energi'!$B$1:$AQ$1,0),FALSE)</f>
        <v>0</v>
      </c>
      <c r="AA204" s="63">
        <f>VLOOKUP($B204,'Tillförd energi'!$B$1:$AI$720,MATCH(AA$2,'Tillförd energi'!$B$1:$AQ$1,0),FALSE)</f>
        <v>0</v>
      </c>
      <c r="AB204" s="63">
        <f>VLOOKUP($B204,'Tillförd energi'!$B$1:$AI$720,MATCH(AB$2,'Tillförd energi'!$B$1:$AQ$1,0),FALSE)</f>
        <v>0</v>
      </c>
      <c r="AC204" s="63">
        <f>VLOOKUP($B204,'Tillförd energi'!$B$1:$AI$720,MATCH(AC$2,'Tillförd energi'!$B$1:$AQ$1,0),FALSE)</f>
        <v>0</v>
      </c>
      <c r="AD204" s="63">
        <f>VLOOKUP($B204,'Tillförd energi'!$B$1:$AI$720,MATCH(AD$2,'Tillförd energi'!$B$1:$AQ$1,0),FALSE)</f>
        <v>0</v>
      </c>
      <c r="AE204" s="63">
        <f>VLOOKUP($B204,'Tillförd energi'!$B$1:$AI$720,MATCH(AE$2,'Tillförd energi'!$B$1:$AQ$1,0),FALSE)</f>
        <v>0</v>
      </c>
      <c r="AF204" s="63">
        <f>VLOOKUP($B204,'Tillförd energi'!$B$1:$AI$720,MATCH(AF$2,'Tillförd energi'!$B$1:$AQ$1,0),FALSE)</f>
        <v>1.0999999999999999E-2</v>
      </c>
      <c r="AG204" s="63">
        <f>IFERROR(VLOOKUP(B204,Miljö!$B$1:$AC$550,MATCH("Köpt mängd produktionsspecifik fjärrvärme:",Miljö!$B$1:$AC$1,0),FALSE)/1,0)</f>
        <v>0</v>
      </c>
      <c r="AI204" s="63">
        <f t="shared" si="18"/>
        <v>3.9450000000000003</v>
      </c>
      <c r="AJ204" s="63">
        <f>IF(ISERROR(1/VLOOKUP($B204,Leveranser!$B$1:$S$500,MATCH("såld värme (gwh)",Leveranser!$B$1:$S$1,0),FALSE)),"",VLOOKUP($B204,Leveranser!$B$1:$S$500,MATCH("såld värme (gwh)",Leveranser!$B$1:$S$1,0),FALSE))</f>
        <v>2.839</v>
      </c>
      <c r="AM204" s="63" t="str">
        <f>IF(B204&lt;&gt;"",IF(VLOOKUP($B204,Totalt!$B$1:$AQ$554,MATCH("Kvalitetsgranskad:",Totalt!$B$1:$AQ$1,0),FALSE)="ja",VLOOKUP($B204,Miljö!$B$1:$AG$479,MATCH(AM$2,Miljö!$B$1:$AK$1,0),FALSE),""),"")</f>
        <v>Ja</v>
      </c>
      <c r="AN204" s="63" t="str">
        <f>IF(AM204="ja",VLOOKUP($B204,Miljö!$B$1:$J$479,MATCH("Typ av ursprungsspecificerad el   (Om inget värde anges används Nordisk residualmix, se inforuta) ()",Miljö!$B$1:$J$1,0),FALSE),IF(AM204="nej","Nordisk residualel",""))</f>
        <v>'Ursprungsmärkt Vattenkraft'</v>
      </c>
      <c r="AO204" s="63">
        <f>IF(AM204="","",VLOOKUP($B204,Miljö!$B$1:$J$479,MATCH("Fossilandel för ursprungspecificerad el ()",Miljö!$B$1:$J$1,0),FALSE))</f>
        <v>0</v>
      </c>
      <c r="AQ204" s="63">
        <f t="shared" si="19"/>
        <v>1</v>
      </c>
      <c r="AS204" s="63" t="str">
        <f t="shared" si="20"/>
        <v>Nej</v>
      </c>
      <c r="AT204" s="63" t="str">
        <f>IF(AS204="ja",VLOOKUP($B204,Miljö!$B$1:$P$500,MATCH("Fossil andel i procent (%)",Miljö!$B$1:$P$1,0),FALSE)/100,"")</f>
        <v/>
      </c>
      <c r="AV204" s="63" t="str">
        <f t="shared" si="21"/>
        <v>Nej</v>
      </c>
      <c r="AW204" s="63" t="str">
        <f>IF(AV204="ja",VLOOKUP($B204,'Egen hetvattenprod'!$B$1:$AO$500,MATCH("Värmekälla till värmepumpar ()",'Egen hetvattenprod'!$B$1:$AO$1,0),FALSE),"")</f>
        <v/>
      </c>
      <c r="AY204" s="63" t="str">
        <f t="shared" si="22"/>
        <v>Nej</v>
      </c>
      <c r="AZ204" s="77" t="str">
        <f>IF($AY204="ja",(VLOOKUP($B204,'Egen hetvattenprod'!$B$1:$BX$550,MATCH(AZ$2,'Egen hetvattenprod'!$B$1:$BX$1,0),FALSE)+VLOOKUP($B204,Kraftvärmeprod!$B$1:$BX$550,MATCH(AZ$2,Kraftvärmeprod!$B$1:$BX$1,0),FALSE))/$AC204,"")</f>
        <v/>
      </c>
      <c r="BA204" s="77" t="str">
        <f>IF($AY204="ja",(VLOOKUP($B204,'Egen hetvattenprod'!$B$1:$BX$550,MATCH(BA$2,'Egen hetvattenprod'!$B$1:$BX$1,0),FALSE)+VLOOKUP($B204,Kraftvärmeprod!$B$1:$BX$550,MATCH(BA$2,Kraftvärmeprod!$B$1:$BX$1,0),FALSE))/$AC204,"")</f>
        <v/>
      </c>
      <c r="BB204" s="77" t="str">
        <f>IF($AY204="ja",(VLOOKUP($B204,'Egen hetvattenprod'!$B$1:$BX$550,MATCH(BB$2,'Egen hetvattenprod'!$B$1:$BX$1,0),FALSE)+VLOOKUP($B204,Kraftvärmeprod!$B$1:$BX$550,MATCH(BB$2,Kraftvärmeprod!$B$1:$BX$1,0),FALSE))/$AC204,"")</f>
        <v/>
      </c>
      <c r="BC204" s="77" t="str">
        <f>IF($AY204="ja",(VLOOKUP($B204,'Egen hetvattenprod'!$B$1:$BX$550,MATCH(BC$2,'Egen hetvattenprod'!$B$1:$BX$1,0),FALSE)+VLOOKUP($B204,Kraftvärmeprod!$B$1:$BX$550,MATCH(BC$2,Kraftvärmeprod!$B$1:$BX$1,0),FALSE))/$AC204,"")</f>
        <v/>
      </c>
      <c r="BD204" s="77" t="str">
        <f>IF($AY204="ja",(VLOOKUP($B204,'Egen hetvattenprod'!$B$1:$BX$550,MATCH(BD$2,'Egen hetvattenprod'!$B$1:$BX$1,0),FALSE)+VLOOKUP($B204,Kraftvärmeprod!$B$1:$BX$550,MATCH(BD$2,Kraftvärmeprod!$B$1:$BX$1,0),FALSE))/$AC204,"")</f>
        <v/>
      </c>
      <c r="BF204" s="63" t="str">
        <f t="shared" si="23"/>
        <v>Nej</v>
      </c>
      <c r="BG204" s="63" t="str">
        <f>IF($BF204="ja",VLOOKUP($B204,'Egen hetvattenprod'!$B$1:$BX$550,MATCH("Andelen klimatgaser med fossilt ursprung för avfall ()",'Egen hetvattenprod'!$B$1:$BX$1,0),FALSE),"")</f>
        <v/>
      </c>
      <c r="BH204" s="63" t="str">
        <f>IF($BF204="ja",VLOOKUP($B204,Kraftvärmeprod!$B$1:$BX$550,MATCH("Andelen klimatgaser med fossilt ursprung för avfall ()",Kraftvärmeprod!$B$1:$BX$1,0),FALSE),"")</f>
        <v/>
      </c>
      <c r="BI204" s="63" t="str">
        <f>IF($BF204="ja",VLOOKUP($B204,'Egen hetvattenprod'!$B$1:$BX$550,MATCH("Avfall (GWh)",'Egen hetvattenprod'!$B$1:$BX$1,0),FALSE),"")</f>
        <v/>
      </c>
      <c r="BJ204" s="63" t="str">
        <f>IF($BF204="ja",VLOOKUP($B204,'Slutlig allokering kvv'!$B$1:$BX$550,MATCH("Avfall (GWh)",'Slutlig allokering kvv'!$B$1:$BX$1,0),FALSE),"")</f>
        <v/>
      </c>
      <c r="BK204" s="63" t="str">
        <f>IF($BF204="ja",VLOOKUP($B204,'Köpt hetvatten'!$B$1:$BX$550,MATCH("Avfall i köpt hetvatten",'Köpt hetvatten'!$B$1:$BX$1,0),FALSE),"")</f>
        <v/>
      </c>
      <c r="BL204" s="63" t="str">
        <f>IF($BF204="ja",VLOOKUP($B204,'Egen hetvattenprod'!$B$1:$BX$550,MATCH("Värde enligt ovan. (%)",'Egen hetvattenprod'!$B$1:$BX$1,0),FALSE),"")</f>
        <v/>
      </c>
      <c r="BM204" s="63" t="str">
        <f>IF($BF204="ja",VLOOKUP($B204,Kraftvärmeprod!$B$1:$BX$550,MATCH("Värde enligt ovan. (%)",Kraftvärmeprod!$B$1:$BX$1,0),FALSE),"")</f>
        <v/>
      </c>
    </row>
    <row r="205" spans="1:65" x14ac:dyDescent="0.45">
      <c r="A205" s="63" t="s">
        <v>418</v>
      </c>
      <c r="B205" s="63" t="s">
        <v>1183</v>
      </c>
      <c r="C205" s="63">
        <f>VLOOKUP($B205,'Tillförd energi'!$B$1:$AI$720,MATCH(C$2,'Tillförd energi'!$B$1:$AQ$1,0),FALSE)</f>
        <v>0</v>
      </c>
      <c r="D205" s="63">
        <f>VLOOKUP($B205,'Tillförd energi'!$B$1:$AI$720,MATCH(D$2,'Tillförd energi'!$B$1:$AQ$1,0),FALSE)</f>
        <v>0.19800000000000001</v>
      </c>
      <c r="E205" s="63">
        <f>VLOOKUP($B205,'Tillförd energi'!$B$1:$AI$720,MATCH(E$2,'Tillförd energi'!$B$1:$AQ$1,0),FALSE)</f>
        <v>0</v>
      </c>
      <c r="F205" s="63">
        <f>VLOOKUP($B205,'Tillförd energi'!$B$1:$AI$720,MATCH(F$2,'Tillförd energi'!$B$1:$AQ$1,0),FALSE)</f>
        <v>0</v>
      </c>
      <c r="G205" s="63">
        <f>VLOOKUP($B205,'Tillförd energi'!$B$1:$AI$720,MATCH(G$2,'Tillförd energi'!$B$1:$AQ$1,0),FALSE)</f>
        <v>0</v>
      </c>
      <c r="H205" s="63">
        <f>VLOOKUP($B205,'Tillförd energi'!$B$1:$AI$720,MATCH(H$2,'Tillförd energi'!$B$1:$AQ$1,0),FALSE)</f>
        <v>0</v>
      </c>
      <c r="I205" s="63">
        <f>VLOOKUP($B205,'Tillförd energi'!$B$1:$AI$720,MATCH(I$2,'Tillförd energi'!$B$1:$AQ$1,0),FALSE)</f>
        <v>0</v>
      </c>
      <c r="J205" s="63">
        <f>VLOOKUP($B205,'Tillförd energi'!$B$1:$AI$720,MATCH(J$2,'Tillförd energi'!$B$1:$AQ$1,0),FALSE)</f>
        <v>0</v>
      </c>
      <c r="K205" s="63">
        <f>VLOOKUP($B205,'Tillförd energi'!$B$1:$AI$720,MATCH(K$2,'Tillförd energi'!$B$1:$AQ$1,0),FALSE)</f>
        <v>0</v>
      </c>
      <c r="L205" s="63">
        <f>VLOOKUP($B205,'Tillförd energi'!$B$1:$AI$720,MATCH(L$2,'Tillförd energi'!$B$1:$AQ$1,0),FALSE)</f>
        <v>0</v>
      </c>
      <c r="M205" s="63">
        <f>VLOOKUP($B205,'Tillförd energi'!$B$1:$AI$720,MATCH(M$2,'Tillförd energi'!$B$1:$AQ$1,0),FALSE)</f>
        <v>0</v>
      </c>
      <c r="N205" s="63">
        <f>VLOOKUP($B205,'Tillförd energi'!$B$1:$AI$720,MATCH(N$2,'Tillförd energi'!$B$1:$AQ$1,0),FALSE)</f>
        <v>0</v>
      </c>
      <c r="O205" s="63">
        <f>VLOOKUP($B205,'Tillförd energi'!$B$1:$AI$720,MATCH(O$2,'Tillförd energi'!$B$1:$AQ$1,0),FALSE)</f>
        <v>0</v>
      </c>
      <c r="P205" s="63">
        <f>VLOOKUP($B205,'Tillförd energi'!$B$1:$AI$720,MATCH(P$2,'Tillförd energi'!$B$1:$AQ$1,0),FALSE)</f>
        <v>0</v>
      </c>
      <c r="Q205" s="63">
        <f>VLOOKUP($B205,'Tillförd energi'!$B$1:$AI$720,MATCH(Q$2,'Tillförd energi'!$B$1:$AQ$1,0),FALSE)</f>
        <v>0</v>
      </c>
      <c r="R205" s="63">
        <f>VLOOKUP($B205,'Tillförd energi'!$B$1:$AI$720,MATCH(R$2,'Tillförd energi'!$B$1:$AQ$1,0),FALSE)</f>
        <v>4.5259999999999998</v>
      </c>
      <c r="S205" s="63">
        <f>VLOOKUP($B205,'Tillförd energi'!$B$1:$AI$720,MATCH(S$2,'Tillförd energi'!$B$1:$AQ$1,0),FALSE)</f>
        <v>0</v>
      </c>
      <c r="T205" s="63">
        <f>VLOOKUP($B205,'Tillförd energi'!$B$1:$AI$720,MATCH(T$2,'Tillförd energi'!$B$1:$AQ$1,0),FALSE)</f>
        <v>0</v>
      </c>
      <c r="U205" s="63">
        <f>VLOOKUP($B205,'Tillförd energi'!$B$1:$AI$720,MATCH(U$2,'Tillförd energi'!$B$1:$AQ$1,0),FALSE)</f>
        <v>0</v>
      </c>
      <c r="V205" s="63">
        <f>VLOOKUP($B205,'Tillförd energi'!$B$1:$AI$720,MATCH(V$2,'Tillförd energi'!$B$1:$AQ$1,0),FALSE)</f>
        <v>0</v>
      </c>
      <c r="W205" s="63">
        <f>VLOOKUP($B205,'Tillförd energi'!$B$1:$AI$720,MATCH(W$2,'Tillförd energi'!$B$1:$AQ$1,0),FALSE)</f>
        <v>0</v>
      </c>
      <c r="X205" s="63">
        <f>VLOOKUP($B205,'Tillförd energi'!$B$1:$AI$720,MATCH(X$2,'Tillförd energi'!$B$1:$AQ$1,0),FALSE)</f>
        <v>0</v>
      </c>
      <c r="Y205" s="63">
        <f>VLOOKUP($B205,'Tillförd energi'!$B$1:$AI$720,MATCH(Y$2,'Tillförd energi'!$B$1:$AQ$1,0),FALSE)</f>
        <v>0</v>
      </c>
      <c r="Z205" s="63">
        <f>VLOOKUP($B205,'Tillförd energi'!$B$1:$AI$720,MATCH(Z$2,'Tillförd energi'!$B$1:$AQ$1,0),FALSE)</f>
        <v>0</v>
      </c>
      <c r="AA205" s="63">
        <f>VLOOKUP($B205,'Tillförd energi'!$B$1:$AI$720,MATCH(AA$2,'Tillförd energi'!$B$1:$AQ$1,0),FALSE)</f>
        <v>0</v>
      </c>
      <c r="AB205" s="63">
        <f>VLOOKUP($B205,'Tillförd energi'!$B$1:$AI$720,MATCH(AB$2,'Tillförd energi'!$B$1:$AQ$1,0),FALSE)</f>
        <v>0</v>
      </c>
      <c r="AC205" s="63">
        <f>VLOOKUP($B205,'Tillförd energi'!$B$1:$AI$720,MATCH(AC$2,'Tillförd energi'!$B$1:$AQ$1,0),FALSE)</f>
        <v>0</v>
      </c>
      <c r="AD205" s="63">
        <f>VLOOKUP($B205,'Tillförd energi'!$B$1:$AI$720,MATCH(AD$2,'Tillförd energi'!$B$1:$AQ$1,0),FALSE)</f>
        <v>0</v>
      </c>
      <c r="AE205" s="63">
        <f>VLOOKUP($B205,'Tillförd energi'!$B$1:$AI$720,MATCH(AE$2,'Tillförd energi'!$B$1:$AQ$1,0),FALSE)</f>
        <v>0</v>
      </c>
      <c r="AF205" s="63">
        <f>VLOOKUP($B205,'Tillförd energi'!$B$1:$AI$720,MATCH(AF$2,'Tillförd energi'!$B$1:$AQ$1,0),FALSE)</f>
        <v>9.9479999999999999E-2</v>
      </c>
      <c r="AG205" s="63">
        <f>IFERROR(VLOOKUP(B205,Miljö!$B$1:$AC$550,MATCH("Köpt mängd produktionsspecifik fjärrvärme:",Miljö!$B$1:$AC$1,0),FALSE)/1,0)</f>
        <v>0</v>
      </c>
      <c r="AI205" s="63">
        <f t="shared" si="18"/>
        <v>4.82348</v>
      </c>
      <c r="AJ205" s="63">
        <f>IF(ISERROR(1/VLOOKUP($B205,Leveranser!$B$1:$S$500,MATCH("såld värme (gwh)",Leveranser!$B$1:$S$1,0),FALSE)),"",VLOOKUP($B205,Leveranser!$B$1:$S$500,MATCH("såld värme (gwh)",Leveranser!$B$1:$S$1,0),FALSE))</f>
        <v>3.3159999999999998</v>
      </c>
      <c r="AM205" s="63" t="str">
        <f>IF(B205&lt;&gt;"",IF(VLOOKUP($B205,Totalt!$B$1:$AQ$554,MATCH("Kvalitetsgranskad:",Totalt!$B$1:$AQ$1,0),FALSE)="ja",VLOOKUP($B205,Miljö!$B$1:$AG$479,MATCH(AM$2,Miljö!$B$1:$AK$1,0),FALSE),""),"")</f>
        <v>Ja</v>
      </c>
      <c r="AN205" s="63" t="str">
        <f>IF(AM205="ja",VLOOKUP($B205,Miljö!$B$1:$J$479,MATCH("Typ av ursprungsspecificerad el   (Om inget värde anges används Nordisk residualmix, se inforuta) ()",Miljö!$B$1:$J$1,0),FALSE),IF(AM205="nej","Nordisk residualel",""))</f>
        <v>'Ursprungsmärkt Vattenkraft'</v>
      </c>
      <c r="AO205" s="63">
        <f>IF(AM205="","",VLOOKUP($B205,Miljö!$B$1:$J$479,MATCH("Fossilandel för ursprungspecificerad el ()",Miljö!$B$1:$J$1,0),FALSE))</f>
        <v>0</v>
      </c>
      <c r="AQ205" s="63">
        <f t="shared" si="19"/>
        <v>1</v>
      </c>
      <c r="AS205" s="63" t="str">
        <f t="shared" si="20"/>
        <v>Nej</v>
      </c>
      <c r="AT205" s="63" t="str">
        <f>IF(AS205="ja",VLOOKUP($B205,Miljö!$B$1:$P$500,MATCH("Fossil andel i procent (%)",Miljö!$B$1:$P$1,0),FALSE)/100,"")</f>
        <v/>
      </c>
      <c r="AV205" s="63" t="str">
        <f t="shared" si="21"/>
        <v>Nej</v>
      </c>
      <c r="AW205" s="63" t="str">
        <f>IF(AV205="ja",VLOOKUP($B205,'Egen hetvattenprod'!$B$1:$AO$500,MATCH("Värmekälla till värmepumpar ()",'Egen hetvattenprod'!$B$1:$AO$1,0),FALSE),"")</f>
        <v/>
      </c>
      <c r="AY205" s="63" t="str">
        <f t="shared" si="22"/>
        <v>Nej</v>
      </c>
      <c r="AZ205" s="77" t="str">
        <f>IF($AY205="ja",(VLOOKUP($B205,'Egen hetvattenprod'!$B$1:$BX$550,MATCH(AZ$2,'Egen hetvattenprod'!$B$1:$BX$1,0),FALSE)+VLOOKUP($B205,Kraftvärmeprod!$B$1:$BX$550,MATCH(AZ$2,Kraftvärmeprod!$B$1:$BX$1,0),FALSE))/$AC205,"")</f>
        <v/>
      </c>
      <c r="BA205" s="77" t="str">
        <f>IF($AY205="ja",(VLOOKUP($B205,'Egen hetvattenprod'!$B$1:$BX$550,MATCH(BA$2,'Egen hetvattenprod'!$B$1:$BX$1,0),FALSE)+VLOOKUP($B205,Kraftvärmeprod!$B$1:$BX$550,MATCH(BA$2,Kraftvärmeprod!$B$1:$BX$1,0),FALSE))/$AC205,"")</f>
        <v/>
      </c>
      <c r="BB205" s="77" t="str">
        <f>IF($AY205="ja",(VLOOKUP($B205,'Egen hetvattenprod'!$B$1:$BX$550,MATCH(BB$2,'Egen hetvattenprod'!$B$1:$BX$1,0),FALSE)+VLOOKUP($B205,Kraftvärmeprod!$B$1:$BX$550,MATCH(BB$2,Kraftvärmeprod!$B$1:$BX$1,0),FALSE))/$AC205,"")</f>
        <v/>
      </c>
      <c r="BC205" s="77" t="str">
        <f>IF($AY205="ja",(VLOOKUP($B205,'Egen hetvattenprod'!$B$1:$BX$550,MATCH(BC$2,'Egen hetvattenprod'!$B$1:$BX$1,0),FALSE)+VLOOKUP($B205,Kraftvärmeprod!$B$1:$BX$550,MATCH(BC$2,Kraftvärmeprod!$B$1:$BX$1,0),FALSE))/$AC205,"")</f>
        <v/>
      </c>
      <c r="BD205" s="77" t="str">
        <f>IF($AY205="ja",(VLOOKUP($B205,'Egen hetvattenprod'!$B$1:$BX$550,MATCH(BD$2,'Egen hetvattenprod'!$B$1:$BX$1,0),FALSE)+VLOOKUP($B205,Kraftvärmeprod!$B$1:$BX$550,MATCH(BD$2,Kraftvärmeprod!$B$1:$BX$1,0),FALSE))/$AC205,"")</f>
        <v/>
      </c>
      <c r="BF205" s="63" t="str">
        <f t="shared" si="23"/>
        <v>Nej</v>
      </c>
      <c r="BG205" s="63" t="str">
        <f>IF($BF205="ja",VLOOKUP($B205,'Egen hetvattenprod'!$B$1:$BX$550,MATCH("Andelen klimatgaser med fossilt ursprung för avfall ()",'Egen hetvattenprod'!$B$1:$BX$1,0),FALSE),"")</f>
        <v/>
      </c>
      <c r="BH205" s="63" t="str">
        <f>IF($BF205="ja",VLOOKUP($B205,Kraftvärmeprod!$B$1:$BX$550,MATCH("Andelen klimatgaser med fossilt ursprung för avfall ()",Kraftvärmeprod!$B$1:$BX$1,0),FALSE),"")</f>
        <v/>
      </c>
      <c r="BI205" s="63" t="str">
        <f>IF($BF205="ja",VLOOKUP($B205,'Egen hetvattenprod'!$B$1:$BX$550,MATCH("Avfall (GWh)",'Egen hetvattenprod'!$B$1:$BX$1,0),FALSE),"")</f>
        <v/>
      </c>
      <c r="BJ205" s="63" t="str">
        <f>IF($BF205="ja",VLOOKUP($B205,'Slutlig allokering kvv'!$B$1:$BX$550,MATCH("Avfall (GWh)",'Slutlig allokering kvv'!$B$1:$BX$1,0),FALSE),"")</f>
        <v/>
      </c>
      <c r="BK205" s="63" t="str">
        <f>IF($BF205="ja",VLOOKUP($B205,'Köpt hetvatten'!$B$1:$BX$550,MATCH("Avfall i köpt hetvatten",'Köpt hetvatten'!$B$1:$BX$1,0),FALSE),"")</f>
        <v/>
      </c>
      <c r="BL205" s="63" t="str">
        <f>IF($BF205="ja",VLOOKUP($B205,'Egen hetvattenprod'!$B$1:$BX$550,MATCH("Värde enligt ovan. (%)",'Egen hetvattenprod'!$B$1:$BX$1,0),FALSE),"")</f>
        <v/>
      </c>
      <c r="BM205" s="63" t="str">
        <f>IF($BF205="ja",VLOOKUP($B205,Kraftvärmeprod!$B$1:$BX$550,MATCH("Värde enligt ovan. (%)",Kraftvärmeprod!$B$1:$BX$1,0),FALSE),"")</f>
        <v/>
      </c>
    </row>
    <row r="206" spans="1:65" x14ac:dyDescent="0.45">
      <c r="A206" s="63" t="s">
        <v>418</v>
      </c>
      <c r="B206" s="63" t="s">
        <v>1181</v>
      </c>
      <c r="C206" s="63">
        <f>VLOOKUP($B206,'Tillförd energi'!$B$1:$AI$720,MATCH(C$2,'Tillförd energi'!$B$1:$AQ$1,0),FALSE)</f>
        <v>0</v>
      </c>
      <c r="D206" s="63">
        <f>VLOOKUP($B206,'Tillförd energi'!$B$1:$AI$720,MATCH(D$2,'Tillförd energi'!$B$1:$AQ$1,0),FALSE)</f>
        <v>1.0999999999999999E-2</v>
      </c>
      <c r="E206" s="63">
        <f>VLOOKUP($B206,'Tillförd energi'!$B$1:$AI$720,MATCH(E$2,'Tillförd energi'!$B$1:$AQ$1,0),FALSE)</f>
        <v>0</v>
      </c>
      <c r="F206" s="63">
        <f>VLOOKUP($B206,'Tillförd energi'!$B$1:$AI$720,MATCH(F$2,'Tillförd energi'!$B$1:$AQ$1,0),FALSE)</f>
        <v>0</v>
      </c>
      <c r="G206" s="63">
        <f>VLOOKUP($B206,'Tillförd energi'!$B$1:$AI$720,MATCH(G$2,'Tillförd energi'!$B$1:$AQ$1,0),FALSE)</f>
        <v>0</v>
      </c>
      <c r="H206" s="63">
        <f>VLOOKUP($B206,'Tillförd energi'!$B$1:$AI$720,MATCH(H$2,'Tillförd energi'!$B$1:$AQ$1,0),FALSE)</f>
        <v>0</v>
      </c>
      <c r="I206" s="63">
        <f>VLOOKUP($B206,'Tillförd energi'!$B$1:$AI$720,MATCH(I$2,'Tillförd energi'!$B$1:$AQ$1,0),FALSE)</f>
        <v>0</v>
      </c>
      <c r="J206" s="63">
        <f>VLOOKUP($B206,'Tillförd energi'!$B$1:$AI$720,MATCH(J$2,'Tillförd energi'!$B$1:$AQ$1,0),FALSE)</f>
        <v>0</v>
      </c>
      <c r="K206" s="63">
        <f>VLOOKUP($B206,'Tillförd energi'!$B$1:$AI$720,MATCH(K$2,'Tillförd energi'!$B$1:$AQ$1,0),FALSE)</f>
        <v>0</v>
      </c>
      <c r="L206" s="63">
        <f>VLOOKUP($B206,'Tillförd energi'!$B$1:$AI$720,MATCH(L$2,'Tillförd energi'!$B$1:$AQ$1,0),FALSE)</f>
        <v>0</v>
      </c>
      <c r="M206" s="63">
        <f>VLOOKUP($B206,'Tillförd energi'!$B$1:$AI$720,MATCH(M$2,'Tillförd energi'!$B$1:$AQ$1,0),FALSE)</f>
        <v>0</v>
      </c>
      <c r="N206" s="63">
        <f>VLOOKUP($B206,'Tillförd energi'!$B$1:$AI$720,MATCH(N$2,'Tillförd energi'!$B$1:$AQ$1,0),FALSE)</f>
        <v>0</v>
      </c>
      <c r="O206" s="63">
        <f>VLOOKUP($B206,'Tillförd energi'!$B$1:$AI$720,MATCH(O$2,'Tillförd energi'!$B$1:$AQ$1,0),FALSE)</f>
        <v>0</v>
      </c>
      <c r="P206" s="63">
        <f>VLOOKUP($B206,'Tillförd energi'!$B$1:$AI$720,MATCH(P$2,'Tillförd energi'!$B$1:$AQ$1,0),FALSE)</f>
        <v>0</v>
      </c>
      <c r="Q206" s="63">
        <f>VLOOKUP($B206,'Tillförd energi'!$B$1:$AI$720,MATCH(Q$2,'Tillförd energi'!$B$1:$AQ$1,0),FALSE)</f>
        <v>0</v>
      </c>
      <c r="R206" s="63">
        <f>VLOOKUP($B206,'Tillförd energi'!$B$1:$AI$720,MATCH(R$2,'Tillförd energi'!$B$1:$AQ$1,0),FALSE)</f>
        <v>0.91900000000000004</v>
      </c>
      <c r="S206" s="63">
        <f>VLOOKUP($B206,'Tillförd energi'!$B$1:$AI$720,MATCH(S$2,'Tillförd energi'!$B$1:$AQ$1,0),FALSE)</f>
        <v>0</v>
      </c>
      <c r="T206" s="63">
        <f>VLOOKUP($B206,'Tillförd energi'!$B$1:$AI$720,MATCH(T$2,'Tillförd energi'!$B$1:$AQ$1,0),FALSE)</f>
        <v>0</v>
      </c>
      <c r="U206" s="63">
        <f>VLOOKUP($B206,'Tillförd energi'!$B$1:$AI$720,MATCH(U$2,'Tillförd energi'!$B$1:$AQ$1,0),FALSE)</f>
        <v>0</v>
      </c>
      <c r="V206" s="63">
        <f>VLOOKUP($B206,'Tillförd energi'!$B$1:$AI$720,MATCH(V$2,'Tillförd energi'!$B$1:$AQ$1,0),FALSE)</f>
        <v>0</v>
      </c>
      <c r="W206" s="63">
        <f>VLOOKUP($B206,'Tillförd energi'!$B$1:$AI$720,MATCH(W$2,'Tillförd energi'!$B$1:$AQ$1,0),FALSE)</f>
        <v>0</v>
      </c>
      <c r="X206" s="63">
        <f>VLOOKUP($B206,'Tillförd energi'!$B$1:$AI$720,MATCH(X$2,'Tillförd energi'!$B$1:$AQ$1,0),FALSE)</f>
        <v>0</v>
      </c>
      <c r="Y206" s="63">
        <f>VLOOKUP($B206,'Tillförd energi'!$B$1:$AI$720,MATCH(Y$2,'Tillförd energi'!$B$1:$AQ$1,0),FALSE)</f>
        <v>0</v>
      </c>
      <c r="Z206" s="63">
        <f>VLOOKUP($B206,'Tillförd energi'!$B$1:$AI$720,MATCH(Z$2,'Tillförd energi'!$B$1:$AQ$1,0),FALSE)</f>
        <v>0</v>
      </c>
      <c r="AA206" s="63">
        <f>VLOOKUP($B206,'Tillförd energi'!$B$1:$AI$720,MATCH(AA$2,'Tillförd energi'!$B$1:$AQ$1,0),FALSE)</f>
        <v>0</v>
      </c>
      <c r="AB206" s="63">
        <f>VLOOKUP($B206,'Tillförd energi'!$B$1:$AI$720,MATCH(AB$2,'Tillförd energi'!$B$1:$AQ$1,0),FALSE)</f>
        <v>0</v>
      </c>
      <c r="AC206" s="63">
        <f>VLOOKUP($B206,'Tillförd energi'!$B$1:$AI$720,MATCH(AC$2,'Tillförd energi'!$B$1:$AQ$1,0),FALSE)</f>
        <v>0</v>
      </c>
      <c r="AD206" s="63">
        <f>VLOOKUP($B206,'Tillförd energi'!$B$1:$AI$720,MATCH(AD$2,'Tillförd energi'!$B$1:$AQ$1,0),FALSE)</f>
        <v>0</v>
      </c>
      <c r="AE206" s="63">
        <f>VLOOKUP($B206,'Tillförd energi'!$B$1:$AI$720,MATCH(AE$2,'Tillförd energi'!$B$1:$AQ$1,0),FALSE)</f>
        <v>0</v>
      </c>
      <c r="AF206" s="63">
        <f>VLOOKUP($B206,'Tillförd energi'!$B$1:$AI$720,MATCH(AF$2,'Tillförd energi'!$B$1:$AQ$1,0),FALSE)</f>
        <v>7.0000000000000007E-2</v>
      </c>
      <c r="AG206" s="63">
        <f>IFERROR(VLOOKUP(B206,Miljö!$B$1:$AC$550,MATCH("Köpt mängd produktionsspecifik fjärrvärme:",Miljö!$B$1:$AC$1,0),FALSE)/1,0)</f>
        <v>0</v>
      </c>
      <c r="AI206" s="63">
        <f t="shared" si="18"/>
        <v>1</v>
      </c>
      <c r="AJ206" s="63">
        <f>IF(ISERROR(1/VLOOKUP($B206,Leveranser!$B$1:$S$500,MATCH("såld värme (gwh)",Leveranser!$B$1:$S$1,0),FALSE)),"",VLOOKUP($B206,Leveranser!$B$1:$S$500,MATCH("såld värme (gwh)",Leveranser!$B$1:$S$1,0),FALSE))</f>
        <v>0.70899999999999996</v>
      </c>
      <c r="AM206" s="63" t="str">
        <f>IF(B206&lt;&gt;"",IF(VLOOKUP($B206,Totalt!$B$1:$AQ$554,MATCH("Kvalitetsgranskad:",Totalt!$B$1:$AQ$1,0),FALSE)="ja",VLOOKUP($B206,Miljö!$B$1:$AG$479,MATCH(AM$2,Miljö!$B$1:$AK$1,0),FALSE),""),"")</f>
        <v>Ja</v>
      </c>
      <c r="AN206" s="63" t="str">
        <f>IF(AM206="ja",VLOOKUP($B206,Miljö!$B$1:$J$479,MATCH("Typ av ursprungsspecificerad el   (Om inget värde anges används Nordisk residualmix, se inforuta) ()",Miljö!$B$1:$J$1,0),FALSE),IF(AM206="nej","Nordisk residualel",""))</f>
        <v>'Ursprungsmärkt vattenkraft'</v>
      </c>
      <c r="AO206" s="63">
        <f>IF(AM206="","",VLOOKUP($B206,Miljö!$B$1:$J$479,MATCH("Fossilandel för ursprungspecificerad el ()",Miljö!$B$1:$J$1,0),FALSE))</f>
        <v>0</v>
      </c>
      <c r="AQ206" s="63">
        <f t="shared" si="19"/>
        <v>1</v>
      </c>
      <c r="AS206" s="63" t="str">
        <f t="shared" si="20"/>
        <v>Nej</v>
      </c>
      <c r="AT206" s="63" t="str">
        <f>IF(AS206="ja",VLOOKUP($B206,Miljö!$B$1:$P$500,MATCH("Fossil andel i procent (%)",Miljö!$B$1:$P$1,0),FALSE)/100,"")</f>
        <v/>
      </c>
      <c r="AV206" s="63" t="str">
        <f t="shared" si="21"/>
        <v>Nej</v>
      </c>
      <c r="AW206" s="63" t="str">
        <f>IF(AV206="ja",VLOOKUP($B206,'Egen hetvattenprod'!$B$1:$AO$500,MATCH("Värmekälla till värmepumpar ()",'Egen hetvattenprod'!$B$1:$AO$1,0),FALSE),"")</f>
        <v/>
      </c>
      <c r="AY206" s="63" t="str">
        <f t="shared" si="22"/>
        <v>Nej</v>
      </c>
      <c r="AZ206" s="77" t="str">
        <f>IF($AY206="ja",(VLOOKUP($B206,'Egen hetvattenprod'!$B$1:$BX$550,MATCH(AZ$2,'Egen hetvattenprod'!$B$1:$BX$1,0),FALSE)+VLOOKUP($B206,Kraftvärmeprod!$B$1:$BX$550,MATCH(AZ$2,Kraftvärmeprod!$B$1:$BX$1,0),FALSE))/$AC206,"")</f>
        <v/>
      </c>
      <c r="BA206" s="77" t="str">
        <f>IF($AY206="ja",(VLOOKUP($B206,'Egen hetvattenprod'!$B$1:$BX$550,MATCH(BA$2,'Egen hetvattenprod'!$B$1:$BX$1,0),FALSE)+VLOOKUP($B206,Kraftvärmeprod!$B$1:$BX$550,MATCH(BA$2,Kraftvärmeprod!$B$1:$BX$1,0),FALSE))/$AC206,"")</f>
        <v/>
      </c>
      <c r="BB206" s="77" t="str">
        <f>IF($AY206="ja",(VLOOKUP($B206,'Egen hetvattenprod'!$B$1:$BX$550,MATCH(BB$2,'Egen hetvattenprod'!$B$1:$BX$1,0),FALSE)+VLOOKUP($B206,Kraftvärmeprod!$B$1:$BX$550,MATCH(BB$2,Kraftvärmeprod!$B$1:$BX$1,0),FALSE))/$AC206,"")</f>
        <v/>
      </c>
      <c r="BC206" s="77" t="str">
        <f>IF($AY206="ja",(VLOOKUP($B206,'Egen hetvattenprod'!$B$1:$BX$550,MATCH(BC$2,'Egen hetvattenprod'!$B$1:$BX$1,0),FALSE)+VLOOKUP($B206,Kraftvärmeprod!$B$1:$BX$550,MATCH(BC$2,Kraftvärmeprod!$B$1:$BX$1,0),FALSE))/$AC206,"")</f>
        <v/>
      </c>
      <c r="BD206" s="77" t="str">
        <f>IF($AY206="ja",(VLOOKUP($B206,'Egen hetvattenprod'!$B$1:$BX$550,MATCH(BD$2,'Egen hetvattenprod'!$B$1:$BX$1,0),FALSE)+VLOOKUP($B206,Kraftvärmeprod!$B$1:$BX$550,MATCH(BD$2,Kraftvärmeprod!$B$1:$BX$1,0),FALSE))/$AC206,"")</f>
        <v/>
      </c>
      <c r="BF206" s="63" t="str">
        <f t="shared" si="23"/>
        <v>Nej</v>
      </c>
      <c r="BG206" s="63" t="str">
        <f>IF($BF206="ja",VLOOKUP($B206,'Egen hetvattenprod'!$B$1:$BX$550,MATCH("Andelen klimatgaser med fossilt ursprung för avfall ()",'Egen hetvattenprod'!$B$1:$BX$1,0),FALSE),"")</f>
        <v/>
      </c>
      <c r="BH206" s="63" t="str">
        <f>IF($BF206="ja",VLOOKUP($B206,Kraftvärmeprod!$B$1:$BX$550,MATCH("Andelen klimatgaser med fossilt ursprung för avfall ()",Kraftvärmeprod!$B$1:$BX$1,0),FALSE),"")</f>
        <v/>
      </c>
      <c r="BI206" s="63" t="str">
        <f>IF($BF206="ja",VLOOKUP($B206,'Egen hetvattenprod'!$B$1:$BX$550,MATCH("Avfall (GWh)",'Egen hetvattenprod'!$B$1:$BX$1,0),FALSE),"")</f>
        <v/>
      </c>
      <c r="BJ206" s="63" t="str">
        <f>IF($BF206="ja",VLOOKUP($B206,'Slutlig allokering kvv'!$B$1:$BX$550,MATCH("Avfall (GWh)",'Slutlig allokering kvv'!$B$1:$BX$1,0),FALSE),"")</f>
        <v/>
      </c>
      <c r="BK206" s="63" t="str">
        <f>IF($BF206="ja",VLOOKUP($B206,'Köpt hetvatten'!$B$1:$BX$550,MATCH("Avfall i köpt hetvatten",'Köpt hetvatten'!$B$1:$BX$1,0),FALSE),"")</f>
        <v/>
      </c>
      <c r="BL206" s="63" t="str">
        <f>IF($BF206="ja",VLOOKUP($B206,'Egen hetvattenprod'!$B$1:$BX$550,MATCH("Värde enligt ovan. (%)",'Egen hetvattenprod'!$B$1:$BX$1,0),FALSE),"")</f>
        <v/>
      </c>
      <c r="BM206" s="63" t="str">
        <f>IF($BF206="ja",VLOOKUP($B206,Kraftvärmeprod!$B$1:$BX$550,MATCH("Värde enligt ovan. (%)",Kraftvärmeprod!$B$1:$BX$1,0),FALSE),"")</f>
        <v/>
      </c>
    </row>
    <row r="207" spans="1:65" x14ac:dyDescent="0.45">
      <c r="A207" s="63" t="s">
        <v>416</v>
      </c>
      <c r="B207" s="63" t="s">
        <v>417</v>
      </c>
      <c r="C207" s="63">
        <f>VLOOKUP($B207,'Tillförd energi'!$B$1:$AI$720,MATCH(C$2,'Tillförd energi'!$B$1:$AQ$1,0),FALSE)</f>
        <v>0</v>
      </c>
      <c r="D207" s="63">
        <f>VLOOKUP($B207,'Tillförd energi'!$B$1:$AI$720,MATCH(D$2,'Tillförd energi'!$B$1:$AQ$1,0),FALSE)</f>
        <v>0</v>
      </c>
      <c r="E207" s="63">
        <f>VLOOKUP($B207,'Tillförd energi'!$B$1:$AI$720,MATCH(E$2,'Tillförd energi'!$B$1:$AQ$1,0),FALSE)</f>
        <v>0</v>
      </c>
      <c r="F207" s="63">
        <f>VLOOKUP($B207,'Tillförd energi'!$B$1:$AI$720,MATCH(F$2,'Tillförd energi'!$B$1:$AQ$1,0),FALSE)</f>
        <v>0</v>
      </c>
      <c r="G207" s="63">
        <f>VLOOKUP($B207,'Tillförd energi'!$B$1:$AI$720,MATCH(G$2,'Tillförd energi'!$B$1:$AQ$1,0),FALSE)</f>
        <v>0</v>
      </c>
      <c r="H207" s="63">
        <f>VLOOKUP($B207,'Tillförd energi'!$B$1:$AI$720,MATCH(H$2,'Tillförd energi'!$B$1:$AQ$1,0),FALSE)</f>
        <v>0</v>
      </c>
      <c r="I207" s="63">
        <f>VLOOKUP($B207,'Tillförd energi'!$B$1:$AI$720,MATCH(I$2,'Tillförd energi'!$B$1:$AQ$1,0),FALSE)</f>
        <v>0</v>
      </c>
      <c r="J207" s="63">
        <f>VLOOKUP($B207,'Tillförd energi'!$B$1:$AI$720,MATCH(J$2,'Tillförd energi'!$B$1:$AQ$1,0),FALSE)</f>
        <v>0</v>
      </c>
      <c r="K207" s="63">
        <f>VLOOKUP($B207,'Tillförd energi'!$B$1:$AI$720,MATCH(K$2,'Tillförd energi'!$B$1:$AQ$1,0),FALSE)</f>
        <v>0</v>
      </c>
      <c r="L207" s="63">
        <f>VLOOKUP($B207,'Tillförd energi'!$B$1:$AI$720,MATCH(L$2,'Tillförd energi'!$B$1:$AQ$1,0),FALSE)</f>
        <v>0</v>
      </c>
      <c r="M207" s="63">
        <f>VLOOKUP($B207,'Tillförd energi'!$B$1:$AI$720,MATCH(M$2,'Tillförd energi'!$B$1:$AQ$1,0),FALSE)</f>
        <v>0</v>
      </c>
      <c r="N207" s="63">
        <f>VLOOKUP($B207,'Tillförd energi'!$B$1:$AI$720,MATCH(N$2,'Tillförd energi'!$B$1:$AQ$1,0),FALSE)</f>
        <v>0</v>
      </c>
      <c r="O207" s="63">
        <f>VLOOKUP($B207,'Tillförd energi'!$B$1:$AI$720,MATCH(O$2,'Tillförd energi'!$B$1:$AQ$1,0),FALSE)</f>
        <v>0</v>
      </c>
      <c r="P207" s="63">
        <f>VLOOKUP($B207,'Tillförd energi'!$B$1:$AI$720,MATCH(P$2,'Tillförd energi'!$B$1:$AQ$1,0),FALSE)</f>
        <v>0</v>
      </c>
      <c r="Q207" s="63">
        <f>VLOOKUP($B207,'Tillförd energi'!$B$1:$AI$720,MATCH(Q$2,'Tillförd energi'!$B$1:$AQ$1,0),FALSE)</f>
        <v>5.5305900000000001</v>
      </c>
      <c r="R207" s="63">
        <f>VLOOKUP($B207,'Tillförd energi'!$B$1:$AI$720,MATCH(R$2,'Tillförd energi'!$B$1:$AQ$1,0),FALSE)</f>
        <v>0</v>
      </c>
      <c r="S207" s="63">
        <f>VLOOKUP($B207,'Tillförd energi'!$B$1:$AI$720,MATCH(S$2,'Tillförd energi'!$B$1:$AQ$1,0),FALSE)</f>
        <v>0</v>
      </c>
      <c r="T207" s="63">
        <f>VLOOKUP($B207,'Tillförd energi'!$B$1:$AI$720,MATCH(T$2,'Tillförd energi'!$B$1:$AQ$1,0),FALSE)</f>
        <v>0</v>
      </c>
      <c r="U207" s="63">
        <f>VLOOKUP($B207,'Tillförd energi'!$B$1:$AI$720,MATCH(U$2,'Tillförd energi'!$B$1:$AQ$1,0),FALSE)</f>
        <v>0</v>
      </c>
      <c r="V207" s="63">
        <f>VLOOKUP($B207,'Tillförd energi'!$B$1:$AI$720,MATCH(V$2,'Tillförd energi'!$B$1:$AQ$1,0),FALSE)</f>
        <v>0</v>
      </c>
      <c r="W207" s="63">
        <f>VLOOKUP($B207,'Tillförd energi'!$B$1:$AI$720,MATCH(W$2,'Tillförd energi'!$B$1:$AQ$1,0),FALSE)</f>
        <v>0</v>
      </c>
      <c r="X207" s="63">
        <f>VLOOKUP($B207,'Tillförd energi'!$B$1:$AI$720,MATCH(X$2,'Tillförd energi'!$B$1:$AQ$1,0),FALSE)</f>
        <v>0</v>
      </c>
      <c r="Y207" s="63">
        <f>VLOOKUP($B207,'Tillförd energi'!$B$1:$AI$720,MATCH(Y$2,'Tillförd energi'!$B$1:$AQ$1,0),FALSE)</f>
        <v>0</v>
      </c>
      <c r="Z207" s="63">
        <f>VLOOKUP($B207,'Tillförd energi'!$B$1:$AI$720,MATCH(Z$2,'Tillförd energi'!$B$1:$AQ$1,0),FALSE)</f>
        <v>0</v>
      </c>
      <c r="AA207" s="63">
        <f>VLOOKUP($B207,'Tillförd energi'!$B$1:$AI$720,MATCH(AA$2,'Tillförd energi'!$B$1:$AQ$1,0),FALSE)</f>
        <v>0</v>
      </c>
      <c r="AB207" s="63">
        <f>VLOOKUP($B207,'Tillförd energi'!$B$1:$AI$720,MATCH(AB$2,'Tillförd energi'!$B$1:$AQ$1,0),FALSE)</f>
        <v>0</v>
      </c>
      <c r="AC207" s="63">
        <f>VLOOKUP($B207,'Tillförd energi'!$B$1:$AI$720,MATCH(AC$2,'Tillförd energi'!$B$1:$AQ$1,0),FALSE)</f>
        <v>0</v>
      </c>
      <c r="AD207" s="63">
        <f>VLOOKUP($B207,'Tillförd energi'!$B$1:$AI$720,MATCH(AD$2,'Tillförd energi'!$B$1:$AQ$1,0),FALSE)</f>
        <v>0</v>
      </c>
      <c r="AE207" s="63">
        <f>VLOOKUP($B207,'Tillförd energi'!$B$1:$AI$720,MATCH(AE$2,'Tillförd energi'!$B$1:$AQ$1,0),FALSE)</f>
        <v>0</v>
      </c>
      <c r="AF207" s="63">
        <f>VLOOKUP($B207,'Tillförd energi'!$B$1:$AI$720,MATCH(AF$2,'Tillförd energi'!$B$1:$AQ$1,0),FALSE)</f>
        <v>0.11550000000000001</v>
      </c>
      <c r="AG207" s="63">
        <f>IFERROR(VLOOKUP(B207,Miljö!$B$1:$AC$550,MATCH("Köpt mängd produktionsspecifik fjärrvärme:",Miljö!$B$1:$AC$1,0),FALSE)/1,0)</f>
        <v>0</v>
      </c>
      <c r="AI207" s="63">
        <f t="shared" si="18"/>
        <v>5.6460900000000001</v>
      </c>
      <c r="AJ207" s="63">
        <f>IF(ISERROR(1/VLOOKUP($B207,Leveranser!$B$1:$S$500,MATCH("såld värme (gwh)",Leveranser!$B$1:$S$1,0),FALSE)),"",VLOOKUP($B207,Leveranser!$B$1:$S$500,MATCH("såld värme (gwh)",Leveranser!$B$1:$S$1,0),FALSE))</f>
        <v>3.85</v>
      </c>
      <c r="AM207" s="63" t="str">
        <f>IF(B207&lt;&gt;"",IF(VLOOKUP($B207,Totalt!$B$1:$AQ$554,MATCH("Kvalitetsgranskad:",Totalt!$B$1:$AQ$1,0),FALSE)="ja",VLOOKUP($B207,Miljö!$B$1:$AG$479,MATCH(AM$2,Miljö!$B$1:$AK$1,0),FALSE),""),"")</f>
        <v>Ja</v>
      </c>
      <c r="AN207" s="63" t="str">
        <f>IF(AM207="ja",VLOOKUP($B207,Miljö!$B$1:$J$479,MATCH("Typ av ursprungsspecificerad el   (Om inget värde anges används Nordisk residualmix, se inforuta) ()",Miljö!$B$1:$J$1,0),FALSE),IF(AM207="nej","Nordisk residualel",""))</f>
        <v>'-'</v>
      </c>
      <c r="AO207" s="63">
        <f>IF(AM207="","",VLOOKUP($B207,Miljö!$B$1:$J$479,MATCH("Fossilandel för ursprungspecificerad el ()",Miljö!$B$1:$J$1,0),FALSE))</f>
        <v>0.35</v>
      </c>
      <c r="AQ207" s="63">
        <f t="shared" si="19"/>
        <v>0.65</v>
      </c>
      <c r="AS207" s="63" t="str">
        <f t="shared" si="20"/>
        <v>Nej</v>
      </c>
      <c r="AT207" s="63" t="str">
        <f>IF(AS207="ja",VLOOKUP($B207,Miljö!$B$1:$P$500,MATCH("Fossil andel i procent (%)",Miljö!$B$1:$P$1,0),FALSE)/100,"")</f>
        <v/>
      </c>
      <c r="AV207" s="63" t="str">
        <f t="shared" si="21"/>
        <v>Nej</v>
      </c>
      <c r="AW207" s="63" t="str">
        <f>IF(AV207="ja",VLOOKUP($B207,'Egen hetvattenprod'!$B$1:$AO$500,MATCH("Värmekälla till värmepumpar ()",'Egen hetvattenprod'!$B$1:$AO$1,0),FALSE),"")</f>
        <v/>
      </c>
      <c r="AY207" s="63" t="str">
        <f t="shared" si="22"/>
        <v>Nej</v>
      </c>
      <c r="AZ207" s="77" t="str">
        <f>IF($AY207="ja",(VLOOKUP($B207,'Egen hetvattenprod'!$B$1:$BX$550,MATCH(AZ$2,'Egen hetvattenprod'!$B$1:$BX$1,0),FALSE)+VLOOKUP($B207,Kraftvärmeprod!$B$1:$BX$550,MATCH(AZ$2,Kraftvärmeprod!$B$1:$BX$1,0),FALSE))/$AC207,"")</f>
        <v/>
      </c>
      <c r="BA207" s="77" t="str">
        <f>IF($AY207="ja",(VLOOKUP($B207,'Egen hetvattenprod'!$B$1:$BX$550,MATCH(BA$2,'Egen hetvattenprod'!$B$1:$BX$1,0),FALSE)+VLOOKUP($B207,Kraftvärmeprod!$B$1:$BX$550,MATCH(BA$2,Kraftvärmeprod!$B$1:$BX$1,0),FALSE))/$AC207,"")</f>
        <v/>
      </c>
      <c r="BB207" s="77" t="str">
        <f>IF($AY207="ja",(VLOOKUP($B207,'Egen hetvattenprod'!$B$1:$BX$550,MATCH(BB$2,'Egen hetvattenprod'!$B$1:$BX$1,0),FALSE)+VLOOKUP($B207,Kraftvärmeprod!$B$1:$BX$550,MATCH(BB$2,Kraftvärmeprod!$B$1:$BX$1,0),FALSE))/$AC207,"")</f>
        <v/>
      </c>
      <c r="BC207" s="77" t="str">
        <f>IF($AY207="ja",(VLOOKUP($B207,'Egen hetvattenprod'!$B$1:$BX$550,MATCH(BC$2,'Egen hetvattenprod'!$B$1:$BX$1,0),FALSE)+VLOOKUP($B207,Kraftvärmeprod!$B$1:$BX$550,MATCH(BC$2,Kraftvärmeprod!$B$1:$BX$1,0),FALSE))/$AC207,"")</f>
        <v/>
      </c>
      <c r="BD207" s="77" t="str">
        <f>IF($AY207="ja",(VLOOKUP($B207,'Egen hetvattenprod'!$B$1:$BX$550,MATCH(BD$2,'Egen hetvattenprod'!$B$1:$BX$1,0),FALSE)+VLOOKUP($B207,Kraftvärmeprod!$B$1:$BX$550,MATCH(BD$2,Kraftvärmeprod!$B$1:$BX$1,0),FALSE))/$AC207,"")</f>
        <v/>
      </c>
      <c r="BF207" s="63" t="str">
        <f t="shared" si="23"/>
        <v>Nej</v>
      </c>
      <c r="BG207" s="63" t="str">
        <f>IF($BF207="ja",VLOOKUP($B207,'Egen hetvattenprod'!$B$1:$BX$550,MATCH("Andelen klimatgaser med fossilt ursprung för avfall ()",'Egen hetvattenprod'!$B$1:$BX$1,0),FALSE),"")</f>
        <v/>
      </c>
      <c r="BH207" s="63" t="str">
        <f>IF($BF207="ja",VLOOKUP($B207,Kraftvärmeprod!$B$1:$BX$550,MATCH("Andelen klimatgaser med fossilt ursprung för avfall ()",Kraftvärmeprod!$B$1:$BX$1,0),FALSE),"")</f>
        <v/>
      </c>
      <c r="BI207" s="63" t="str">
        <f>IF($BF207="ja",VLOOKUP($B207,'Egen hetvattenprod'!$B$1:$BX$550,MATCH("Avfall (GWh)",'Egen hetvattenprod'!$B$1:$BX$1,0),FALSE),"")</f>
        <v/>
      </c>
      <c r="BJ207" s="63" t="str">
        <f>IF($BF207="ja",VLOOKUP($B207,'Slutlig allokering kvv'!$B$1:$BX$550,MATCH("Avfall (GWh)",'Slutlig allokering kvv'!$B$1:$BX$1,0),FALSE),"")</f>
        <v/>
      </c>
      <c r="BK207" s="63" t="str">
        <f>IF($BF207="ja",VLOOKUP($B207,'Köpt hetvatten'!$B$1:$BX$550,MATCH("Avfall i köpt hetvatten",'Köpt hetvatten'!$B$1:$BX$1,0),FALSE),"")</f>
        <v/>
      </c>
      <c r="BL207" s="63" t="str">
        <f>IF($BF207="ja",VLOOKUP($B207,'Egen hetvattenprod'!$B$1:$BX$550,MATCH("Värde enligt ovan. (%)",'Egen hetvattenprod'!$B$1:$BX$1,0),FALSE),"")</f>
        <v/>
      </c>
      <c r="BM207" s="63" t="str">
        <f>IF($BF207="ja",VLOOKUP($B207,Kraftvärmeprod!$B$1:$BX$550,MATCH("Värde enligt ovan. (%)",Kraftvärmeprod!$B$1:$BX$1,0),FALSE),"")</f>
        <v/>
      </c>
    </row>
    <row r="208" spans="1:65" x14ac:dyDescent="0.45">
      <c r="A208" s="63" t="s">
        <v>416</v>
      </c>
      <c r="B208" s="63" t="s">
        <v>415</v>
      </c>
      <c r="C208" s="63">
        <f>VLOOKUP($B208,'Tillförd energi'!$B$1:$AI$720,MATCH(C$2,'Tillförd energi'!$B$1:$AQ$1,0),FALSE)</f>
        <v>0</v>
      </c>
      <c r="D208" s="63">
        <f>VLOOKUP($B208,'Tillförd energi'!$B$1:$AI$720,MATCH(D$2,'Tillförd energi'!$B$1:$AQ$1,0),FALSE)</f>
        <v>0.375</v>
      </c>
      <c r="E208" s="63">
        <f>VLOOKUP($B208,'Tillförd energi'!$B$1:$AI$720,MATCH(E$2,'Tillförd energi'!$B$1:$AQ$1,0),FALSE)</f>
        <v>0</v>
      </c>
      <c r="F208" s="63">
        <f>VLOOKUP($B208,'Tillförd energi'!$B$1:$AI$720,MATCH(F$2,'Tillförd energi'!$B$1:$AQ$1,0),FALSE)</f>
        <v>0</v>
      </c>
      <c r="G208" s="63">
        <f>VLOOKUP($B208,'Tillförd energi'!$B$1:$AI$720,MATCH(G$2,'Tillförd energi'!$B$1:$AQ$1,0),FALSE)</f>
        <v>0</v>
      </c>
      <c r="H208" s="63">
        <f>VLOOKUP($B208,'Tillförd energi'!$B$1:$AI$720,MATCH(H$2,'Tillförd energi'!$B$1:$AQ$1,0),FALSE)</f>
        <v>0</v>
      </c>
      <c r="I208" s="63">
        <f>VLOOKUP($B208,'Tillförd energi'!$B$1:$AI$720,MATCH(I$2,'Tillförd energi'!$B$1:$AQ$1,0),FALSE)</f>
        <v>0</v>
      </c>
      <c r="J208" s="63">
        <f>VLOOKUP($B208,'Tillförd energi'!$B$1:$AI$720,MATCH(J$2,'Tillförd energi'!$B$1:$AQ$1,0),FALSE)</f>
        <v>0</v>
      </c>
      <c r="K208" s="63">
        <f>VLOOKUP($B208,'Tillförd energi'!$B$1:$AI$720,MATCH(K$2,'Tillförd energi'!$B$1:$AQ$1,0),FALSE)</f>
        <v>0</v>
      </c>
      <c r="L208" s="63">
        <f>VLOOKUP($B208,'Tillförd energi'!$B$1:$AI$720,MATCH(L$2,'Tillförd energi'!$B$1:$AQ$1,0),FALSE)</f>
        <v>0</v>
      </c>
      <c r="M208" s="63">
        <f>VLOOKUP($B208,'Tillförd energi'!$B$1:$AI$720,MATCH(M$2,'Tillförd energi'!$B$1:$AQ$1,0),FALSE)</f>
        <v>0</v>
      </c>
      <c r="N208" s="63">
        <f>VLOOKUP($B208,'Tillförd energi'!$B$1:$AI$720,MATCH(N$2,'Tillförd energi'!$B$1:$AQ$1,0),FALSE)</f>
        <v>60.152000000000001</v>
      </c>
      <c r="O208" s="63">
        <f>VLOOKUP($B208,'Tillförd energi'!$B$1:$AI$720,MATCH(O$2,'Tillförd energi'!$B$1:$AQ$1,0),FALSE)</f>
        <v>0</v>
      </c>
      <c r="P208" s="63">
        <f>VLOOKUP($B208,'Tillförd energi'!$B$1:$AI$720,MATCH(P$2,'Tillförd energi'!$B$1:$AQ$1,0),FALSE)</f>
        <v>0</v>
      </c>
      <c r="Q208" s="63">
        <f>VLOOKUP($B208,'Tillförd energi'!$B$1:$AI$720,MATCH(Q$2,'Tillförd energi'!$B$1:$AQ$1,0),FALSE)</f>
        <v>0</v>
      </c>
      <c r="R208" s="63">
        <f>VLOOKUP($B208,'Tillförd energi'!$B$1:$AI$720,MATCH(R$2,'Tillförd energi'!$B$1:$AQ$1,0),FALSE)</f>
        <v>7.0000000000000007E-2</v>
      </c>
      <c r="S208" s="63">
        <f>VLOOKUP($B208,'Tillförd energi'!$B$1:$AI$720,MATCH(S$2,'Tillförd energi'!$B$1:$AQ$1,0),FALSE)</f>
        <v>0</v>
      </c>
      <c r="T208" s="63">
        <f>VLOOKUP($B208,'Tillförd energi'!$B$1:$AI$720,MATCH(T$2,'Tillförd energi'!$B$1:$AQ$1,0),FALSE)</f>
        <v>0</v>
      </c>
      <c r="U208" s="63">
        <f>VLOOKUP($B208,'Tillförd energi'!$B$1:$AI$720,MATCH(U$2,'Tillförd energi'!$B$1:$AQ$1,0),FALSE)</f>
        <v>0</v>
      </c>
      <c r="V208" s="63">
        <f>VLOOKUP($B208,'Tillförd energi'!$B$1:$AI$720,MATCH(V$2,'Tillförd energi'!$B$1:$AQ$1,0),FALSE)</f>
        <v>0</v>
      </c>
      <c r="W208" s="63">
        <f>VLOOKUP($B208,'Tillförd energi'!$B$1:$AI$720,MATCH(W$2,'Tillförd energi'!$B$1:$AQ$1,0),FALSE)</f>
        <v>0</v>
      </c>
      <c r="X208" s="63">
        <f>VLOOKUP($B208,'Tillförd energi'!$B$1:$AI$720,MATCH(X$2,'Tillförd energi'!$B$1:$AQ$1,0),FALSE)</f>
        <v>0</v>
      </c>
      <c r="Y208" s="63">
        <f>VLOOKUP($B208,'Tillförd energi'!$B$1:$AI$720,MATCH(Y$2,'Tillförd energi'!$B$1:$AQ$1,0),FALSE)</f>
        <v>0</v>
      </c>
      <c r="Z208" s="63">
        <f>VLOOKUP($B208,'Tillförd energi'!$B$1:$AI$720,MATCH(Z$2,'Tillförd energi'!$B$1:$AQ$1,0),FALSE)</f>
        <v>0</v>
      </c>
      <c r="AA208" s="63">
        <f>VLOOKUP($B208,'Tillförd energi'!$B$1:$AI$720,MATCH(AA$2,'Tillförd energi'!$B$1:$AQ$1,0),FALSE)</f>
        <v>0</v>
      </c>
      <c r="AB208" s="63">
        <f>VLOOKUP($B208,'Tillförd energi'!$B$1:$AI$720,MATCH(AB$2,'Tillförd energi'!$B$1:$AQ$1,0),FALSE)</f>
        <v>0</v>
      </c>
      <c r="AC208" s="63">
        <f>VLOOKUP($B208,'Tillförd energi'!$B$1:$AI$720,MATCH(AC$2,'Tillförd energi'!$B$1:$AQ$1,0),FALSE)</f>
        <v>0</v>
      </c>
      <c r="AD208" s="63">
        <f>VLOOKUP($B208,'Tillförd energi'!$B$1:$AI$720,MATCH(AD$2,'Tillförd energi'!$B$1:$AQ$1,0),FALSE)</f>
        <v>0</v>
      </c>
      <c r="AE208" s="63">
        <f>VLOOKUP($B208,'Tillförd energi'!$B$1:$AI$720,MATCH(AE$2,'Tillförd energi'!$B$1:$AQ$1,0),FALSE)</f>
        <v>0</v>
      </c>
      <c r="AF208" s="63">
        <f>VLOOKUP($B208,'Tillförd energi'!$B$1:$AI$720,MATCH(AF$2,'Tillförd energi'!$B$1:$AQ$1,0),FALSE)</f>
        <v>1.32162</v>
      </c>
      <c r="AG208" s="63">
        <f>IFERROR(VLOOKUP(B208,Miljö!$B$1:$AC$550,MATCH("Köpt mängd produktionsspecifik fjärrvärme:",Miljö!$B$1:$AC$1,0),FALSE)/1,0)</f>
        <v>0</v>
      </c>
      <c r="AI208" s="63">
        <f t="shared" si="18"/>
        <v>61.918620000000004</v>
      </c>
      <c r="AJ208" s="63">
        <f>IF(ISERROR(1/VLOOKUP($B208,Leveranser!$B$1:$S$500,MATCH("såld värme (gwh)",Leveranser!$B$1:$S$1,0),FALSE)),"",VLOOKUP($B208,Leveranser!$B$1:$S$500,MATCH("såld värme (gwh)",Leveranser!$B$1:$S$1,0),FALSE))</f>
        <v>44.054000000000002</v>
      </c>
      <c r="AM208" s="63" t="str">
        <f>IF(B208&lt;&gt;"",IF(VLOOKUP($B208,Totalt!$B$1:$AQ$554,MATCH("Kvalitetsgranskad:",Totalt!$B$1:$AQ$1,0),FALSE)="ja",VLOOKUP($B208,Miljö!$B$1:$AG$479,MATCH(AM$2,Miljö!$B$1:$AK$1,0),FALSE),""),"")</f>
        <v>Ja</v>
      </c>
      <c r="AN208" s="63" t="str">
        <f>IF(AM208="ja",VLOOKUP($B208,Miljö!$B$1:$J$479,MATCH("Typ av ursprungsspecificerad el   (Om inget värde anges används Nordisk residualmix, se inforuta) ()",Miljö!$B$1:$J$1,0),FALSE),IF(AM208="nej","Nordisk residualel",""))</f>
        <v>'-'</v>
      </c>
      <c r="AO208" s="63">
        <f>IF(AM208="","",VLOOKUP($B208,Miljö!$B$1:$J$479,MATCH("Fossilandel för ursprungspecificerad el ()",Miljö!$B$1:$J$1,0),FALSE))</f>
        <v>0.35</v>
      </c>
      <c r="AQ208" s="63">
        <f t="shared" si="19"/>
        <v>0.65</v>
      </c>
      <c r="AS208" s="63" t="str">
        <f t="shared" si="20"/>
        <v>Nej</v>
      </c>
      <c r="AT208" s="63" t="str">
        <f>IF(AS208="ja",VLOOKUP($B208,Miljö!$B$1:$P$500,MATCH("Fossil andel i procent (%)",Miljö!$B$1:$P$1,0),FALSE)/100,"")</f>
        <v/>
      </c>
      <c r="AV208" s="63" t="str">
        <f t="shared" si="21"/>
        <v>Nej</v>
      </c>
      <c r="AW208" s="63" t="str">
        <f>IF(AV208="ja",VLOOKUP($B208,'Egen hetvattenprod'!$B$1:$AO$500,MATCH("Värmekälla till värmepumpar ()",'Egen hetvattenprod'!$B$1:$AO$1,0),FALSE),"")</f>
        <v/>
      </c>
      <c r="AY208" s="63" t="str">
        <f t="shared" si="22"/>
        <v>Nej</v>
      </c>
      <c r="AZ208" s="77" t="str">
        <f>IF($AY208="ja",(VLOOKUP($B208,'Egen hetvattenprod'!$B$1:$BX$550,MATCH(AZ$2,'Egen hetvattenprod'!$B$1:$BX$1,0),FALSE)+VLOOKUP($B208,Kraftvärmeprod!$B$1:$BX$550,MATCH(AZ$2,Kraftvärmeprod!$B$1:$BX$1,0),FALSE))/$AC208,"")</f>
        <v/>
      </c>
      <c r="BA208" s="77" t="str">
        <f>IF($AY208="ja",(VLOOKUP($B208,'Egen hetvattenprod'!$B$1:$BX$550,MATCH(BA$2,'Egen hetvattenprod'!$B$1:$BX$1,0),FALSE)+VLOOKUP($B208,Kraftvärmeprod!$B$1:$BX$550,MATCH(BA$2,Kraftvärmeprod!$B$1:$BX$1,0),FALSE))/$AC208,"")</f>
        <v/>
      </c>
      <c r="BB208" s="77" t="str">
        <f>IF($AY208="ja",(VLOOKUP($B208,'Egen hetvattenprod'!$B$1:$BX$550,MATCH(BB$2,'Egen hetvattenprod'!$B$1:$BX$1,0),FALSE)+VLOOKUP($B208,Kraftvärmeprod!$B$1:$BX$550,MATCH(BB$2,Kraftvärmeprod!$B$1:$BX$1,0),FALSE))/$AC208,"")</f>
        <v/>
      </c>
      <c r="BC208" s="77" t="str">
        <f>IF($AY208="ja",(VLOOKUP($B208,'Egen hetvattenprod'!$B$1:$BX$550,MATCH(BC$2,'Egen hetvattenprod'!$B$1:$BX$1,0),FALSE)+VLOOKUP($B208,Kraftvärmeprod!$B$1:$BX$550,MATCH(BC$2,Kraftvärmeprod!$B$1:$BX$1,0),FALSE))/$AC208,"")</f>
        <v/>
      </c>
      <c r="BD208" s="77" t="str">
        <f>IF($AY208="ja",(VLOOKUP($B208,'Egen hetvattenprod'!$B$1:$BX$550,MATCH(BD$2,'Egen hetvattenprod'!$B$1:$BX$1,0),FALSE)+VLOOKUP($B208,Kraftvärmeprod!$B$1:$BX$550,MATCH(BD$2,Kraftvärmeprod!$B$1:$BX$1,0),FALSE))/$AC208,"")</f>
        <v/>
      </c>
      <c r="BF208" s="63" t="str">
        <f t="shared" si="23"/>
        <v>Nej</v>
      </c>
      <c r="BG208" s="63" t="str">
        <f>IF($BF208="ja",VLOOKUP($B208,'Egen hetvattenprod'!$B$1:$BX$550,MATCH("Andelen klimatgaser med fossilt ursprung för avfall ()",'Egen hetvattenprod'!$B$1:$BX$1,0),FALSE),"")</f>
        <v/>
      </c>
      <c r="BH208" s="63" t="str">
        <f>IF($BF208="ja",VLOOKUP($B208,Kraftvärmeprod!$B$1:$BX$550,MATCH("Andelen klimatgaser med fossilt ursprung för avfall ()",Kraftvärmeprod!$B$1:$BX$1,0),FALSE),"")</f>
        <v/>
      </c>
      <c r="BI208" s="63" t="str">
        <f>IF($BF208="ja",VLOOKUP($B208,'Egen hetvattenprod'!$B$1:$BX$550,MATCH("Avfall (GWh)",'Egen hetvattenprod'!$B$1:$BX$1,0),FALSE),"")</f>
        <v/>
      </c>
      <c r="BJ208" s="63" t="str">
        <f>IF($BF208="ja",VLOOKUP($B208,'Slutlig allokering kvv'!$B$1:$BX$550,MATCH("Avfall (GWh)",'Slutlig allokering kvv'!$B$1:$BX$1,0),FALSE),"")</f>
        <v/>
      </c>
      <c r="BK208" s="63" t="str">
        <f>IF($BF208="ja",VLOOKUP($B208,'Köpt hetvatten'!$B$1:$BX$550,MATCH("Avfall i köpt hetvatten",'Köpt hetvatten'!$B$1:$BX$1,0),FALSE),"")</f>
        <v/>
      </c>
      <c r="BL208" s="63" t="str">
        <f>IF($BF208="ja",VLOOKUP($B208,'Egen hetvattenprod'!$B$1:$BX$550,MATCH("Värde enligt ovan. (%)",'Egen hetvattenprod'!$B$1:$BX$1,0),FALSE),"")</f>
        <v/>
      </c>
      <c r="BM208" s="63" t="str">
        <f>IF($BF208="ja",VLOOKUP($B208,Kraftvärmeprod!$B$1:$BX$550,MATCH("Värde enligt ovan. (%)",Kraftvärmeprod!$B$1:$BX$1,0),FALSE),"")</f>
        <v/>
      </c>
    </row>
    <row r="209" spans="1:65" x14ac:dyDescent="0.45">
      <c r="A209" s="63" t="s">
        <v>413</v>
      </c>
      <c r="B209" s="63" t="s">
        <v>414</v>
      </c>
      <c r="C209" s="63">
        <f>VLOOKUP($B209,'Tillförd energi'!$B$1:$AI$720,MATCH(C$2,'Tillförd energi'!$B$1:$AQ$1,0),FALSE)</f>
        <v>0</v>
      </c>
      <c r="D209" s="63">
        <f>VLOOKUP($B209,'Tillförd energi'!$B$1:$AI$720,MATCH(D$2,'Tillförd energi'!$B$1:$AQ$1,0),FALSE)</f>
        <v>0.16</v>
      </c>
      <c r="E209" s="63">
        <f>VLOOKUP($B209,'Tillförd energi'!$B$1:$AI$720,MATCH(E$2,'Tillförd energi'!$B$1:$AQ$1,0),FALSE)</f>
        <v>0</v>
      </c>
      <c r="F209" s="63">
        <f>VLOOKUP($B209,'Tillförd energi'!$B$1:$AI$720,MATCH(F$2,'Tillförd energi'!$B$1:$AQ$1,0),FALSE)</f>
        <v>0</v>
      </c>
      <c r="G209" s="63">
        <f>VLOOKUP($B209,'Tillförd energi'!$B$1:$AI$720,MATCH(G$2,'Tillförd energi'!$B$1:$AQ$1,0),FALSE)</f>
        <v>0</v>
      </c>
      <c r="H209" s="63">
        <f>VLOOKUP($B209,'Tillförd energi'!$B$1:$AI$720,MATCH(H$2,'Tillförd energi'!$B$1:$AQ$1,0),FALSE)</f>
        <v>0</v>
      </c>
      <c r="I209" s="63">
        <f>VLOOKUP($B209,'Tillförd energi'!$B$1:$AI$720,MATCH(I$2,'Tillförd energi'!$B$1:$AQ$1,0),FALSE)</f>
        <v>0</v>
      </c>
      <c r="J209" s="63">
        <f>VLOOKUP($B209,'Tillförd energi'!$B$1:$AI$720,MATCH(J$2,'Tillförd energi'!$B$1:$AQ$1,0),FALSE)</f>
        <v>0</v>
      </c>
      <c r="K209" s="63">
        <f>VLOOKUP($B209,'Tillförd energi'!$B$1:$AI$720,MATCH(K$2,'Tillförd energi'!$B$1:$AQ$1,0),FALSE)</f>
        <v>0</v>
      </c>
      <c r="L209" s="63">
        <f>VLOOKUP($B209,'Tillförd energi'!$B$1:$AI$720,MATCH(L$2,'Tillförd energi'!$B$1:$AQ$1,0),FALSE)</f>
        <v>0</v>
      </c>
      <c r="M209" s="63">
        <f>VLOOKUP($B209,'Tillförd energi'!$B$1:$AI$720,MATCH(M$2,'Tillförd energi'!$B$1:$AQ$1,0),FALSE)</f>
        <v>0</v>
      </c>
      <c r="N209" s="63">
        <f>VLOOKUP($B209,'Tillförd energi'!$B$1:$AI$720,MATCH(N$2,'Tillförd energi'!$B$1:$AQ$1,0),FALSE)</f>
        <v>3</v>
      </c>
      <c r="O209" s="63">
        <f>VLOOKUP($B209,'Tillförd energi'!$B$1:$AI$720,MATCH(O$2,'Tillförd energi'!$B$1:$AQ$1,0),FALSE)</f>
        <v>0</v>
      </c>
      <c r="P209" s="63">
        <f>VLOOKUP($B209,'Tillförd energi'!$B$1:$AI$720,MATCH(P$2,'Tillförd energi'!$B$1:$AQ$1,0),FALSE)</f>
        <v>2.4</v>
      </c>
      <c r="Q209" s="63">
        <f>VLOOKUP($B209,'Tillförd energi'!$B$1:$AI$720,MATCH(Q$2,'Tillförd energi'!$B$1:$AQ$1,0),FALSE)</f>
        <v>0</v>
      </c>
      <c r="R209" s="63">
        <f>VLOOKUP($B209,'Tillförd energi'!$B$1:$AI$720,MATCH(R$2,'Tillförd energi'!$B$1:$AQ$1,0),FALSE)</f>
        <v>0</v>
      </c>
      <c r="S209" s="63">
        <f>VLOOKUP($B209,'Tillförd energi'!$B$1:$AI$720,MATCH(S$2,'Tillförd energi'!$B$1:$AQ$1,0),FALSE)</f>
        <v>0</v>
      </c>
      <c r="T209" s="63">
        <f>VLOOKUP($B209,'Tillförd energi'!$B$1:$AI$720,MATCH(T$2,'Tillförd energi'!$B$1:$AQ$1,0),FALSE)</f>
        <v>0</v>
      </c>
      <c r="U209" s="63">
        <f>VLOOKUP($B209,'Tillförd energi'!$B$1:$AI$720,MATCH(U$2,'Tillförd energi'!$B$1:$AQ$1,0),FALSE)</f>
        <v>0</v>
      </c>
      <c r="V209" s="63">
        <f>VLOOKUP($B209,'Tillförd energi'!$B$1:$AI$720,MATCH(V$2,'Tillförd energi'!$B$1:$AQ$1,0),FALSE)</f>
        <v>0</v>
      </c>
      <c r="W209" s="63">
        <f>VLOOKUP($B209,'Tillförd energi'!$B$1:$AI$720,MATCH(W$2,'Tillförd energi'!$B$1:$AQ$1,0),FALSE)</f>
        <v>0</v>
      </c>
      <c r="X209" s="63">
        <f>VLOOKUP($B209,'Tillförd energi'!$B$1:$AI$720,MATCH(X$2,'Tillförd energi'!$B$1:$AQ$1,0),FALSE)</f>
        <v>0</v>
      </c>
      <c r="Y209" s="63">
        <f>VLOOKUP($B209,'Tillförd energi'!$B$1:$AI$720,MATCH(Y$2,'Tillförd energi'!$B$1:$AQ$1,0),FALSE)</f>
        <v>0</v>
      </c>
      <c r="Z209" s="63">
        <f>VLOOKUP($B209,'Tillförd energi'!$B$1:$AI$720,MATCH(Z$2,'Tillförd energi'!$B$1:$AQ$1,0),FALSE)</f>
        <v>0</v>
      </c>
      <c r="AA209" s="63">
        <f>VLOOKUP($B209,'Tillförd energi'!$B$1:$AI$720,MATCH(AA$2,'Tillförd energi'!$B$1:$AQ$1,0),FALSE)</f>
        <v>0</v>
      </c>
      <c r="AB209" s="63">
        <f>VLOOKUP($B209,'Tillförd energi'!$B$1:$AI$720,MATCH(AB$2,'Tillförd energi'!$B$1:$AQ$1,0),FALSE)</f>
        <v>0</v>
      </c>
      <c r="AC209" s="63">
        <f>VLOOKUP($B209,'Tillförd energi'!$B$1:$AI$720,MATCH(AC$2,'Tillförd energi'!$B$1:$AQ$1,0),FALSE)</f>
        <v>0</v>
      </c>
      <c r="AD209" s="63">
        <f>VLOOKUP($B209,'Tillförd energi'!$B$1:$AI$720,MATCH(AD$2,'Tillförd energi'!$B$1:$AQ$1,0),FALSE)</f>
        <v>0</v>
      </c>
      <c r="AE209" s="63">
        <f>VLOOKUP($B209,'Tillförd energi'!$B$1:$AI$720,MATCH(AE$2,'Tillförd energi'!$B$1:$AQ$1,0),FALSE)</f>
        <v>0</v>
      </c>
      <c r="AF209" s="63">
        <f>VLOOKUP($B209,'Tillförd energi'!$B$1:$AI$720,MATCH(AF$2,'Tillförd energi'!$B$1:$AQ$1,0),FALSE)</f>
        <v>0.12441000000000001</v>
      </c>
      <c r="AG209" s="63">
        <f>IFERROR(VLOOKUP(B209,Miljö!$B$1:$AC$550,MATCH("Köpt mängd produktionsspecifik fjärrvärme:",Miljö!$B$1:$AC$1,0),FALSE)/1,0)</f>
        <v>0</v>
      </c>
      <c r="AI209" s="63">
        <f t="shared" si="18"/>
        <v>5.6844100000000006</v>
      </c>
      <c r="AJ209" s="63">
        <f>IF(ISERROR(1/VLOOKUP($B209,Leveranser!$B$1:$S$500,MATCH("såld värme (gwh)",Leveranser!$B$1:$S$1,0),FALSE)),"",VLOOKUP($B209,Leveranser!$B$1:$S$500,MATCH("såld värme (gwh)",Leveranser!$B$1:$S$1,0),FALSE))</f>
        <v>4.1470000000000002</v>
      </c>
      <c r="AM209" s="63" t="str">
        <f>IF(B209&lt;&gt;"",IF(VLOOKUP($B209,Totalt!$B$1:$AQ$554,MATCH("Kvalitetsgranskad:",Totalt!$B$1:$AQ$1,0),FALSE)="ja",VLOOKUP($B209,Miljö!$B$1:$AG$479,MATCH(AM$2,Miljö!$B$1:$AK$1,0),FALSE),""),"")</f>
        <v>Ja</v>
      </c>
      <c r="AN209" s="63" t="str">
        <f>IF(AM209="ja",VLOOKUP($B209,Miljö!$B$1:$J$479,MATCH("Typ av ursprungsspecificerad el   (Om inget värde anges används Nordisk residualmix, se inforuta) ()",Miljö!$B$1:$J$1,0),FALSE),IF(AM209="nej","Nordisk residualel",""))</f>
        <v>'-'</v>
      </c>
      <c r="AO209" s="63">
        <f>IF(AM209="","",VLOOKUP($B209,Miljö!$B$1:$J$479,MATCH("Fossilandel för ursprungspecificerad el ()",Miljö!$B$1:$J$1,0),FALSE))</f>
        <v>0.35</v>
      </c>
      <c r="AQ209" s="63">
        <f t="shared" si="19"/>
        <v>0.65</v>
      </c>
      <c r="AS209" s="63" t="str">
        <f t="shared" si="20"/>
        <v>Nej</v>
      </c>
      <c r="AT209" s="63" t="str">
        <f>IF(AS209="ja",VLOOKUP($B209,Miljö!$B$1:$P$500,MATCH("Fossil andel i procent (%)",Miljö!$B$1:$P$1,0),FALSE)/100,"")</f>
        <v/>
      </c>
      <c r="AV209" s="63" t="str">
        <f t="shared" si="21"/>
        <v>Nej</v>
      </c>
      <c r="AW209" s="63" t="str">
        <f>IF(AV209="ja",VLOOKUP($B209,'Egen hetvattenprod'!$B$1:$AO$500,MATCH("Värmekälla till värmepumpar ()",'Egen hetvattenprod'!$B$1:$AO$1,0),FALSE),"")</f>
        <v/>
      </c>
      <c r="AY209" s="63" t="str">
        <f t="shared" si="22"/>
        <v>Nej</v>
      </c>
      <c r="AZ209" s="77" t="str">
        <f>IF($AY209="ja",(VLOOKUP($B209,'Egen hetvattenprod'!$B$1:$BX$550,MATCH(AZ$2,'Egen hetvattenprod'!$B$1:$BX$1,0),FALSE)+VLOOKUP($B209,Kraftvärmeprod!$B$1:$BX$550,MATCH(AZ$2,Kraftvärmeprod!$B$1:$BX$1,0),FALSE))/$AC209,"")</f>
        <v/>
      </c>
      <c r="BA209" s="77" t="str">
        <f>IF($AY209="ja",(VLOOKUP($B209,'Egen hetvattenprod'!$B$1:$BX$550,MATCH(BA$2,'Egen hetvattenprod'!$B$1:$BX$1,0),FALSE)+VLOOKUP($B209,Kraftvärmeprod!$B$1:$BX$550,MATCH(BA$2,Kraftvärmeprod!$B$1:$BX$1,0),FALSE))/$AC209,"")</f>
        <v/>
      </c>
      <c r="BB209" s="77" t="str">
        <f>IF($AY209="ja",(VLOOKUP($B209,'Egen hetvattenprod'!$B$1:$BX$550,MATCH(BB$2,'Egen hetvattenprod'!$B$1:$BX$1,0),FALSE)+VLOOKUP($B209,Kraftvärmeprod!$B$1:$BX$550,MATCH(BB$2,Kraftvärmeprod!$B$1:$BX$1,0),FALSE))/$AC209,"")</f>
        <v/>
      </c>
      <c r="BC209" s="77" t="str">
        <f>IF($AY209="ja",(VLOOKUP($B209,'Egen hetvattenprod'!$B$1:$BX$550,MATCH(BC$2,'Egen hetvattenprod'!$B$1:$BX$1,0),FALSE)+VLOOKUP($B209,Kraftvärmeprod!$B$1:$BX$550,MATCH(BC$2,Kraftvärmeprod!$B$1:$BX$1,0),FALSE))/$AC209,"")</f>
        <v/>
      </c>
      <c r="BD209" s="77" t="str">
        <f>IF($AY209="ja",(VLOOKUP($B209,'Egen hetvattenprod'!$B$1:$BX$550,MATCH(BD$2,'Egen hetvattenprod'!$B$1:$BX$1,0),FALSE)+VLOOKUP($B209,Kraftvärmeprod!$B$1:$BX$550,MATCH(BD$2,Kraftvärmeprod!$B$1:$BX$1,0),FALSE))/$AC209,"")</f>
        <v/>
      </c>
      <c r="BF209" s="63" t="str">
        <f t="shared" si="23"/>
        <v>Nej</v>
      </c>
      <c r="BG209" s="63" t="str">
        <f>IF($BF209="ja",VLOOKUP($B209,'Egen hetvattenprod'!$B$1:$BX$550,MATCH("Andelen klimatgaser med fossilt ursprung för avfall ()",'Egen hetvattenprod'!$B$1:$BX$1,0),FALSE),"")</f>
        <v/>
      </c>
      <c r="BH209" s="63" t="str">
        <f>IF($BF209="ja",VLOOKUP($B209,Kraftvärmeprod!$B$1:$BX$550,MATCH("Andelen klimatgaser med fossilt ursprung för avfall ()",Kraftvärmeprod!$B$1:$BX$1,0),FALSE),"")</f>
        <v/>
      </c>
      <c r="BI209" s="63" t="str">
        <f>IF($BF209="ja",VLOOKUP($B209,'Egen hetvattenprod'!$B$1:$BX$550,MATCH("Avfall (GWh)",'Egen hetvattenprod'!$B$1:$BX$1,0),FALSE),"")</f>
        <v/>
      </c>
      <c r="BJ209" s="63" t="str">
        <f>IF($BF209="ja",VLOOKUP($B209,'Slutlig allokering kvv'!$B$1:$BX$550,MATCH("Avfall (GWh)",'Slutlig allokering kvv'!$B$1:$BX$1,0),FALSE),"")</f>
        <v/>
      </c>
      <c r="BK209" s="63" t="str">
        <f>IF($BF209="ja",VLOOKUP($B209,'Köpt hetvatten'!$B$1:$BX$550,MATCH("Avfall i köpt hetvatten",'Köpt hetvatten'!$B$1:$BX$1,0),FALSE),"")</f>
        <v/>
      </c>
      <c r="BL209" s="63" t="str">
        <f>IF($BF209="ja",VLOOKUP($B209,'Egen hetvattenprod'!$B$1:$BX$550,MATCH("Värde enligt ovan. (%)",'Egen hetvattenprod'!$B$1:$BX$1,0),FALSE),"")</f>
        <v/>
      </c>
      <c r="BM209" s="63" t="str">
        <f>IF($BF209="ja",VLOOKUP($B209,Kraftvärmeprod!$B$1:$BX$550,MATCH("Värde enligt ovan. (%)",Kraftvärmeprod!$B$1:$BX$1,0),FALSE),"")</f>
        <v/>
      </c>
    </row>
    <row r="210" spans="1:65" x14ac:dyDescent="0.45">
      <c r="A210" s="63" t="s">
        <v>413</v>
      </c>
      <c r="B210" s="63" t="s">
        <v>412</v>
      </c>
      <c r="C210" s="63">
        <f>VLOOKUP($B210,'Tillförd energi'!$B$1:$AI$720,MATCH(C$2,'Tillförd energi'!$B$1:$AQ$1,0),FALSE)</f>
        <v>0</v>
      </c>
      <c r="D210" s="63">
        <f>VLOOKUP($B210,'Tillförd energi'!$B$1:$AI$720,MATCH(D$2,'Tillförd energi'!$B$1:$AQ$1,0),FALSE)</f>
        <v>2.1448399999999999</v>
      </c>
      <c r="E210" s="63">
        <f>VLOOKUP($B210,'Tillförd energi'!$B$1:$AI$720,MATCH(E$2,'Tillförd energi'!$B$1:$AQ$1,0),FALSE)</f>
        <v>0</v>
      </c>
      <c r="F210" s="63">
        <f>VLOOKUP($B210,'Tillförd energi'!$B$1:$AI$720,MATCH(F$2,'Tillförd energi'!$B$1:$AQ$1,0),FALSE)</f>
        <v>0</v>
      </c>
      <c r="G210" s="63">
        <f>VLOOKUP($B210,'Tillförd energi'!$B$1:$AI$720,MATCH(G$2,'Tillförd energi'!$B$1:$AQ$1,0),FALSE)</f>
        <v>0</v>
      </c>
      <c r="H210" s="63">
        <f>VLOOKUP($B210,'Tillförd energi'!$B$1:$AI$720,MATCH(H$2,'Tillförd energi'!$B$1:$AQ$1,0),FALSE)</f>
        <v>0</v>
      </c>
      <c r="I210" s="63">
        <f>VLOOKUP($B210,'Tillförd energi'!$B$1:$AI$720,MATCH(I$2,'Tillförd energi'!$B$1:$AQ$1,0),FALSE)</f>
        <v>0</v>
      </c>
      <c r="J210" s="63">
        <f>VLOOKUP($B210,'Tillförd energi'!$B$1:$AI$720,MATCH(J$2,'Tillförd energi'!$B$1:$AQ$1,0),FALSE)</f>
        <v>0.5</v>
      </c>
      <c r="K210" s="63">
        <f>VLOOKUP($B210,'Tillförd energi'!$B$1:$AI$720,MATCH(K$2,'Tillförd energi'!$B$1:$AQ$1,0),FALSE)</f>
        <v>0</v>
      </c>
      <c r="L210" s="63">
        <f>VLOOKUP($B210,'Tillförd energi'!$B$1:$AI$720,MATCH(L$2,'Tillförd energi'!$B$1:$AQ$1,0),FALSE)</f>
        <v>84.189700000000002</v>
      </c>
      <c r="M210" s="63">
        <f>VLOOKUP($B210,'Tillförd energi'!$B$1:$AI$720,MATCH(M$2,'Tillförd energi'!$B$1:$AQ$1,0),FALSE)</f>
        <v>9.4037500000000005</v>
      </c>
      <c r="N210" s="63">
        <f>VLOOKUP($B210,'Tillförd energi'!$B$1:$AI$720,MATCH(N$2,'Tillförd energi'!$B$1:$AQ$1,0),FALSE)</f>
        <v>10.068300000000001</v>
      </c>
      <c r="O210" s="63">
        <f>VLOOKUP($B210,'Tillförd energi'!$B$1:$AI$720,MATCH(O$2,'Tillförd energi'!$B$1:$AQ$1,0),FALSE)</f>
        <v>0</v>
      </c>
      <c r="P210" s="63">
        <f>VLOOKUP($B210,'Tillförd energi'!$B$1:$AI$720,MATCH(P$2,'Tillförd energi'!$B$1:$AQ$1,0),FALSE)</f>
        <v>34.807499999999997</v>
      </c>
      <c r="Q210" s="63">
        <f>VLOOKUP($B210,'Tillförd energi'!$B$1:$AI$720,MATCH(Q$2,'Tillförd energi'!$B$1:$AQ$1,0),FALSE)</f>
        <v>2.9411800000000001</v>
      </c>
      <c r="R210" s="63">
        <f>VLOOKUP($B210,'Tillförd energi'!$B$1:$AI$720,MATCH(R$2,'Tillförd energi'!$B$1:$AQ$1,0),FALSE)</f>
        <v>0</v>
      </c>
      <c r="S210" s="63">
        <f>VLOOKUP($B210,'Tillförd energi'!$B$1:$AI$720,MATCH(S$2,'Tillförd energi'!$B$1:$AQ$1,0),FALSE)</f>
        <v>0</v>
      </c>
      <c r="T210" s="63">
        <f>VLOOKUP($B210,'Tillförd energi'!$B$1:$AI$720,MATCH(T$2,'Tillförd energi'!$B$1:$AQ$1,0),FALSE)</f>
        <v>0</v>
      </c>
      <c r="U210" s="63">
        <f>VLOOKUP($B210,'Tillförd energi'!$B$1:$AI$720,MATCH(U$2,'Tillförd energi'!$B$1:$AQ$1,0),FALSE)</f>
        <v>0</v>
      </c>
      <c r="V210" s="63">
        <f>VLOOKUP($B210,'Tillförd energi'!$B$1:$AI$720,MATCH(V$2,'Tillförd energi'!$B$1:$AQ$1,0),FALSE)</f>
        <v>0</v>
      </c>
      <c r="W210" s="63">
        <f>VLOOKUP($B210,'Tillförd energi'!$B$1:$AI$720,MATCH(W$2,'Tillförd energi'!$B$1:$AQ$1,0),FALSE)</f>
        <v>0</v>
      </c>
      <c r="X210" s="63">
        <f>VLOOKUP($B210,'Tillförd energi'!$B$1:$AI$720,MATCH(X$2,'Tillförd energi'!$B$1:$AQ$1,0),FALSE)</f>
        <v>0</v>
      </c>
      <c r="Y210" s="63">
        <f>VLOOKUP($B210,'Tillförd energi'!$B$1:$AI$720,MATCH(Y$2,'Tillförd energi'!$B$1:$AQ$1,0),FALSE)</f>
        <v>0</v>
      </c>
      <c r="Z210" s="63">
        <f>VLOOKUP($B210,'Tillförd energi'!$B$1:$AI$720,MATCH(Z$2,'Tillförd energi'!$B$1:$AQ$1,0),FALSE)</f>
        <v>0</v>
      </c>
      <c r="AA210" s="63">
        <f>VLOOKUP($B210,'Tillförd energi'!$B$1:$AI$720,MATCH(AA$2,'Tillförd energi'!$B$1:$AQ$1,0),FALSE)</f>
        <v>0</v>
      </c>
      <c r="AB210" s="63">
        <f>VLOOKUP($B210,'Tillförd energi'!$B$1:$AI$720,MATCH(AB$2,'Tillförd energi'!$B$1:$AQ$1,0),FALSE)</f>
        <v>0</v>
      </c>
      <c r="AC210" s="63">
        <f>VLOOKUP($B210,'Tillförd energi'!$B$1:$AI$720,MATCH(AC$2,'Tillförd energi'!$B$1:$AQ$1,0),FALSE)</f>
        <v>19.8</v>
      </c>
      <c r="AD210" s="63">
        <f>VLOOKUP($B210,'Tillförd energi'!$B$1:$AI$720,MATCH(AD$2,'Tillförd energi'!$B$1:$AQ$1,0),FALSE)</f>
        <v>0</v>
      </c>
      <c r="AE210" s="63">
        <f>VLOOKUP($B210,'Tillförd energi'!$B$1:$AI$720,MATCH(AE$2,'Tillförd energi'!$B$1:$AQ$1,0),FALSE)</f>
        <v>0</v>
      </c>
      <c r="AF210" s="63">
        <f>VLOOKUP($B210,'Tillförd energi'!$B$1:$AI$720,MATCH(AF$2,'Tillförd energi'!$B$1:$AQ$1,0),FALSE)</f>
        <v>3.7205400000000002</v>
      </c>
      <c r="AG210" s="63">
        <f>IFERROR(VLOOKUP(B210,Miljö!$B$1:$AC$550,MATCH("Köpt mängd produktionsspecifik fjärrvärme:",Miljö!$B$1:$AC$1,0),FALSE)/1,0)</f>
        <v>0</v>
      </c>
      <c r="AI210" s="63">
        <f t="shared" si="18"/>
        <v>167.57581000000002</v>
      </c>
      <c r="AJ210" s="63">
        <f>IF(ISERROR(1/VLOOKUP($B210,Leveranser!$B$1:$S$500,MATCH("såld värme (gwh)",Leveranser!$B$1:$S$1,0),FALSE)),"",VLOOKUP($B210,Leveranser!$B$1:$S$500,MATCH("såld värme (gwh)",Leveranser!$B$1:$S$1,0),FALSE))</f>
        <v>124.018</v>
      </c>
      <c r="AM210" s="63" t="str">
        <f>IF(B210&lt;&gt;"",IF(VLOOKUP($B210,Totalt!$B$1:$AQ$554,MATCH("Kvalitetsgranskad:",Totalt!$B$1:$AQ$1,0),FALSE)="ja",VLOOKUP($B210,Miljö!$B$1:$AG$479,MATCH(AM$2,Miljö!$B$1:$AK$1,0),FALSE),""),"")</f>
        <v>Ja</v>
      </c>
      <c r="AN210" s="63" t="str">
        <f>IF(AM210="ja",VLOOKUP($B210,Miljö!$B$1:$J$479,MATCH("Typ av ursprungsspecificerad el   (Om inget värde anges används Nordisk residualmix, se inforuta) ()",Miljö!$B$1:$J$1,0),FALSE),IF(AM210="nej","Nordisk residualel",""))</f>
        <v>'-'</v>
      </c>
      <c r="AO210" s="63">
        <f>IF(AM210="","",VLOOKUP($B210,Miljö!$B$1:$J$479,MATCH("Fossilandel för ursprungspecificerad el ()",Miljö!$B$1:$J$1,0),FALSE))</f>
        <v>0.35</v>
      </c>
      <c r="AQ210" s="63">
        <f t="shared" si="19"/>
        <v>0.65</v>
      </c>
      <c r="AS210" s="63" t="str">
        <f t="shared" si="20"/>
        <v>Nej</v>
      </c>
      <c r="AT210" s="63" t="str">
        <f>IF(AS210="ja",VLOOKUP($B210,Miljö!$B$1:$P$500,MATCH("Fossil andel i procent (%)",Miljö!$B$1:$P$1,0),FALSE)/100,"")</f>
        <v/>
      </c>
      <c r="AV210" s="63" t="str">
        <f t="shared" si="21"/>
        <v>Nej</v>
      </c>
      <c r="AW210" s="63" t="str">
        <f>IF(AV210="ja",VLOOKUP($B210,'Egen hetvattenprod'!$B$1:$AO$500,MATCH("Värmekälla till värmepumpar ()",'Egen hetvattenprod'!$B$1:$AO$1,0),FALSE),"")</f>
        <v/>
      </c>
      <c r="AY210" s="63" t="str">
        <f t="shared" si="22"/>
        <v>Ja</v>
      </c>
      <c r="AZ210" s="77">
        <f>IF($AY210="ja",(VLOOKUP($B210,'Egen hetvattenprod'!$B$1:$BX$550,MATCH(AZ$2,'Egen hetvattenprod'!$B$1:$BX$1,0),FALSE)+VLOOKUP($B210,Kraftvärmeprod!$B$1:$BX$550,MATCH(AZ$2,Kraftvärmeprod!$B$1:$BX$1,0),FALSE))/$AC210,"")</f>
        <v>1</v>
      </c>
      <c r="BA210" s="77">
        <f>IF($AY210="ja",(VLOOKUP($B210,'Egen hetvattenprod'!$B$1:$BX$550,MATCH(BA$2,'Egen hetvattenprod'!$B$1:$BX$1,0),FALSE)+VLOOKUP($B210,Kraftvärmeprod!$B$1:$BX$550,MATCH(BA$2,Kraftvärmeprod!$B$1:$BX$1,0),FALSE))/$AC210,"")</f>
        <v>0</v>
      </c>
      <c r="BB210" s="77">
        <f>IF($AY210="ja",(VLOOKUP($B210,'Egen hetvattenprod'!$B$1:$BX$550,MATCH(BB$2,'Egen hetvattenprod'!$B$1:$BX$1,0),FALSE)+VLOOKUP($B210,Kraftvärmeprod!$B$1:$BX$550,MATCH(BB$2,Kraftvärmeprod!$B$1:$BX$1,0),FALSE))/$AC210,"")</f>
        <v>0</v>
      </c>
      <c r="BC210" s="77">
        <f>IF($AY210="ja",(VLOOKUP($B210,'Egen hetvattenprod'!$B$1:$BX$550,MATCH(BC$2,'Egen hetvattenprod'!$B$1:$BX$1,0),FALSE)+VLOOKUP($B210,Kraftvärmeprod!$B$1:$BX$550,MATCH(BC$2,Kraftvärmeprod!$B$1:$BX$1,0),FALSE))/$AC210,"")</f>
        <v>0</v>
      </c>
      <c r="BD210" s="77">
        <f>IF($AY210="ja",(VLOOKUP($B210,'Egen hetvattenprod'!$B$1:$BX$550,MATCH(BD$2,'Egen hetvattenprod'!$B$1:$BX$1,0),FALSE)+VLOOKUP($B210,Kraftvärmeprod!$B$1:$BX$550,MATCH(BD$2,Kraftvärmeprod!$B$1:$BX$1,0),FALSE))/$AC210,"")</f>
        <v>0</v>
      </c>
      <c r="BF210" s="63" t="str">
        <f t="shared" si="23"/>
        <v>Nej</v>
      </c>
      <c r="BG210" s="63" t="str">
        <f>IF($BF210="ja",VLOOKUP($B210,'Egen hetvattenprod'!$B$1:$BX$550,MATCH("Andelen klimatgaser med fossilt ursprung för avfall ()",'Egen hetvattenprod'!$B$1:$BX$1,0),FALSE),"")</f>
        <v/>
      </c>
      <c r="BH210" s="63" t="str">
        <f>IF($BF210="ja",VLOOKUP($B210,Kraftvärmeprod!$B$1:$BX$550,MATCH("Andelen klimatgaser med fossilt ursprung för avfall ()",Kraftvärmeprod!$B$1:$BX$1,0),FALSE),"")</f>
        <v/>
      </c>
      <c r="BI210" s="63" t="str">
        <f>IF($BF210="ja",VLOOKUP($B210,'Egen hetvattenprod'!$B$1:$BX$550,MATCH("Avfall (GWh)",'Egen hetvattenprod'!$B$1:$BX$1,0),FALSE),"")</f>
        <v/>
      </c>
      <c r="BJ210" s="63" t="str">
        <f>IF($BF210="ja",VLOOKUP($B210,'Slutlig allokering kvv'!$B$1:$BX$550,MATCH("Avfall (GWh)",'Slutlig allokering kvv'!$B$1:$BX$1,0),FALSE),"")</f>
        <v/>
      </c>
      <c r="BK210" s="63" t="str">
        <f>IF($BF210="ja",VLOOKUP($B210,'Köpt hetvatten'!$B$1:$BX$550,MATCH("Avfall i köpt hetvatten",'Köpt hetvatten'!$B$1:$BX$1,0),FALSE),"")</f>
        <v/>
      </c>
      <c r="BL210" s="63" t="str">
        <f>IF($BF210="ja",VLOOKUP($B210,'Egen hetvattenprod'!$B$1:$BX$550,MATCH("Värde enligt ovan. (%)",'Egen hetvattenprod'!$B$1:$BX$1,0),FALSE),"")</f>
        <v/>
      </c>
      <c r="BM210" s="63" t="str">
        <f>IF($BF210="ja",VLOOKUP($B210,Kraftvärmeprod!$B$1:$BX$550,MATCH("Värde enligt ovan. (%)",Kraftvärmeprod!$B$1:$BX$1,0),FALSE),"")</f>
        <v/>
      </c>
    </row>
    <row r="211" spans="1:65" x14ac:dyDescent="0.45">
      <c r="A211" s="63" t="s">
        <v>411</v>
      </c>
      <c r="B211" s="63" t="s">
        <v>410</v>
      </c>
      <c r="C211" s="63">
        <f>VLOOKUP($B211,'Tillförd energi'!$B$1:$AI$720,MATCH(C$2,'Tillförd energi'!$B$1:$AQ$1,0),FALSE)</f>
        <v>0</v>
      </c>
      <c r="D211" s="63">
        <f>VLOOKUP($B211,'Tillförd energi'!$B$1:$AI$720,MATCH(D$2,'Tillförd energi'!$B$1:$AQ$1,0),FALSE)</f>
        <v>1.3</v>
      </c>
      <c r="E211" s="63">
        <f>VLOOKUP($B211,'Tillförd energi'!$B$1:$AI$720,MATCH(E$2,'Tillförd energi'!$B$1:$AQ$1,0),FALSE)</f>
        <v>0</v>
      </c>
      <c r="F211" s="63">
        <f>VLOOKUP($B211,'Tillförd energi'!$B$1:$AI$720,MATCH(F$2,'Tillförd energi'!$B$1:$AQ$1,0),FALSE)</f>
        <v>0</v>
      </c>
      <c r="G211" s="63">
        <f>VLOOKUP($B211,'Tillförd energi'!$B$1:$AI$720,MATCH(G$2,'Tillförd energi'!$B$1:$AQ$1,0),FALSE)</f>
        <v>0</v>
      </c>
      <c r="H211" s="63">
        <f>VLOOKUP($B211,'Tillförd energi'!$B$1:$AI$720,MATCH(H$2,'Tillförd energi'!$B$1:$AQ$1,0),FALSE)</f>
        <v>0</v>
      </c>
      <c r="I211" s="63">
        <f>VLOOKUP($B211,'Tillförd energi'!$B$1:$AI$720,MATCH(I$2,'Tillförd energi'!$B$1:$AQ$1,0),FALSE)</f>
        <v>0</v>
      </c>
      <c r="J211" s="63">
        <f>VLOOKUP($B211,'Tillförd energi'!$B$1:$AI$720,MATCH(J$2,'Tillförd energi'!$B$1:$AQ$1,0),FALSE)</f>
        <v>0</v>
      </c>
      <c r="K211" s="63">
        <f>VLOOKUP($B211,'Tillförd energi'!$B$1:$AI$720,MATCH(K$2,'Tillförd energi'!$B$1:$AQ$1,0),FALSE)</f>
        <v>0</v>
      </c>
      <c r="L211" s="63">
        <f>VLOOKUP($B211,'Tillförd energi'!$B$1:$AI$720,MATCH(L$2,'Tillförd energi'!$B$1:$AQ$1,0),FALSE)</f>
        <v>0</v>
      </c>
      <c r="M211" s="63">
        <f>VLOOKUP($B211,'Tillförd energi'!$B$1:$AI$720,MATCH(M$2,'Tillförd energi'!$B$1:$AQ$1,0),FALSE)</f>
        <v>0</v>
      </c>
      <c r="N211" s="63">
        <f>VLOOKUP($B211,'Tillförd energi'!$B$1:$AI$720,MATCH(N$2,'Tillförd energi'!$B$1:$AQ$1,0),FALSE)</f>
        <v>0</v>
      </c>
      <c r="O211" s="63">
        <f>VLOOKUP($B211,'Tillförd energi'!$B$1:$AI$720,MATCH(O$2,'Tillförd energi'!$B$1:$AQ$1,0),FALSE)</f>
        <v>0</v>
      </c>
      <c r="P211" s="63">
        <f>VLOOKUP($B211,'Tillförd energi'!$B$1:$AI$720,MATCH(P$2,'Tillförd energi'!$B$1:$AQ$1,0),FALSE)</f>
        <v>15.8</v>
      </c>
      <c r="Q211" s="63">
        <f>VLOOKUP($B211,'Tillförd energi'!$B$1:$AI$720,MATCH(Q$2,'Tillförd energi'!$B$1:$AQ$1,0),FALSE)</f>
        <v>0</v>
      </c>
      <c r="R211" s="63">
        <f>VLOOKUP($B211,'Tillförd energi'!$B$1:$AI$720,MATCH(R$2,'Tillförd energi'!$B$1:$AQ$1,0),FALSE)</f>
        <v>0.5</v>
      </c>
      <c r="S211" s="63">
        <f>VLOOKUP($B211,'Tillförd energi'!$B$1:$AI$720,MATCH(S$2,'Tillförd energi'!$B$1:$AQ$1,0),FALSE)</f>
        <v>0</v>
      </c>
      <c r="T211" s="63">
        <f>VLOOKUP($B211,'Tillförd energi'!$B$1:$AI$720,MATCH(T$2,'Tillförd energi'!$B$1:$AQ$1,0),FALSE)</f>
        <v>0</v>
      </c>
      <c r="U211" s="63">
        <f>VLOOKUP($B211,'Tillförd energi'!$B$1:$AI$720,MATCH(U$2,'Tillförd energi'!$B$1:$AQ$1,0),FALSE)</f>
        <v>0</v>
      </c>
      <c r="V211" s="63">
        <f>VLOOKUP($B211,'Tillförd energi'!$B$1:$AI$720,MATCH(V$2,'Tillförd energi'!$B$1:$AQ$1,0),FALSE)</f>
        <v>0</v>
      </c>
      <c r="W211" s="63">
        <f>VLOOKUP($B211,'Tillförd energi'!$B$1:$AI$720,MATCH(W$2,'Tillförd energi'!$B$1:$AQ$1,0),FALSE)</f>
        <v>0</v>
      </c>
      <c r="X211" s="63">
        <f>VLOOKUP($B211,'Tillförd energi'!$B$1:$AI$720,MATCH(X$2,'Tillförd energi'!$B$1:$AQ$1,0),FALSE)</f>
        <v>0</v>
      </c>
      <c r="Y211" s="63">
        <f>VLOOKUP($B211,'Tillförd energi'!$B$1:$AI$720,MATCH(Y$2,'Tillförd energi'!$B$1:$AQ$1,0),FALSE)</f>
        <v>0</v>
      </c>
      <c r="Z211" s="63">
        <f>VLOOKUP($B211,'Tillförd energi'!$B$1:$AI$720,MATCH(Z$2,'Tillförd energi'!$B$1:$AQ$1,0),FALSE)</f>
        <v>0</v>
      </c>
      <c r="AA211" s="63">
        <f>VLOOKUP($B211,'Tillförd energi'!$B$1:$AI$720,MATCH(AA$2,'Tillförd energi'!$B$1:$AQ$1,0),FALSE)</f>
        <v>0</v>
      </c>
      <c r="AB211" s="63">
        <f>VLOOKUP($B211,'Tillförd energi'!$B$1:$AI$720,MATCH(AB$2,'Tillförd energi'!$B$1:$AQ$1,0),FALSE)</f>
        <v>0</v>
      </c>
      <c r="AC211" s="63">
        <f>VLOOKUP($B211,'Tillförd energi'!$B$1:$AI$720,MATCH(AC$2,'Tillförd energi'!$B$1:$AQ$1,0),FALSE)</f>
        <v>0</v>
      </c>
      <c r="AD211" s="63">
        <f>VLOOKUP($B211,'Tillförd energi'!$B$1:$AI$720,MATCH(AD$2,'Tillförd energi'!$B$1:$AQ$1,0),FALSE)</f>
        <v>0</v>
      </c>
      <c r="AE211" s="63">
        <f>VLOOKUP($B211,'Tillförd energi'!$B$1:$AI$720,MATCH(AE$2,'Tillförd energi'!$B$1:$AQ$1,0),FALSE)</f>
        <v>0</v>
      </c>
      <c r="AF211" s="63">
        <f>VLOOKUP($B211,'Tillförd energi'!$B$1:$AI$720,MATCH(AF$2,'Tillförd energi'!$B$1:$AQ$1,0),FALSE)</f>
        <v>0.42899999999999999</v>
      </c>
      <c r="AG211" s="63">
        <f>IFERROR(VLOOKUP(B211,Miljö!$B$1:$AC$550,MATCH("Köpt mängd produktionsspecifik fjärrvärme:",Miljö!$B$1:$AC$1,0),FALSE)/1,0)</f>
        <v>0</v>
      </c>
      <c r="AI211" s="63">
        <f t="shared" si="18"/>
        <v>18.029</v>
      </c>
      <c r="AJ211" s="63">
        <f>IF(ISERROR(1/VLOOKUP($B211,Leveranser!$B$1:$S$500,MATCH("såld värme (gwh)",Leveranser!$B$1:$S$1,0),FALSE)),"",VLOOKUP($B211,Leveranser!$B$1:$S$500,MATCH("såld värme (gwh)",Leveranser!$B$1:$S$1,0),FALSE))</f>
        <v>14.3</v>
      </c>
      <c r="AM211" s="63" t="str">
        <f>IF(B211&lt;&gt;"",IF(VLOOKUP($B211,Totalt!$B$1:$AQ$554,MATCH("Kvalitetsgranskad:",Totalt!$B$1:$AQ$1,0),FALSE)="ja",VLOOKUP($B211,Miljö!$B$1:$AG$479,MATCH(AM$2,Miljö!$B$1:$AK$1,0),FALSE),""),"")</f>
        <v>Ja</v>
      </c>
      <c r="AN211" s="63" t="str">
        <f>IF(AM211="ja",VLOOKUP($B211,Miljö!$B$1:$J$479,MATCH("Typ av ursprungsspecificerad el   (Om inget värde anges används Nordisk residualmix, se inforuta) ()",Miljö!$B$1:$J$1,0),FALSE),IF(AM211="nej","Nordisk residualel",""))</f>
        <v>-</v>
      </c>
      <c r="AO211" s="63">
        <f>IF(AM211="","",VLOOKUP($B211,Miljö!$B$1:$J$479,MATCH("Fossilandel för ursprungspecificerad el ()",Miljö!$B$1:$J$1,0),FALSE))</f>
        <v>0.35</v>
      </c>
      <c r="AQ211" s="63">
        <f t="shared" si="19"/>
        <v>0.65</v>
      </c>
      <c r="AS211" s="63" t="str">
        <f t="shared" si="20"/>
        <v>Nej</v>
      </c>
      <c r="AT211" s="63" t="str">
        <f>IF(AS211="ja",VLOOKUP($B211,Miljö!$B$1:$P$500,MATCH("Fossil andel i procent (%)",Miljö!$B$1:$P$1,0),FALSE)/100,"")</f>
        <v/>
      </c>
      <c r="AV211" s="63" t="str">
        <f t="shared" si="21"/>
        <v>Nej</v>
      </c>
      <c r="AW211" s="63" t="str">
        <f>IF(AV211="ja",VLOOKUP($B211,'Egen hetvattenprod'!$B$1:$AO$500,MATCH("Värmekälla till värmepumpar ()",'Egen hetvattenprod'!$B$1:$AO$1,0),FALSE),"")</f>
        <v/>
      </c>
      <c r="AY211" s="63" t="str">
        <f t="shared" si="22"/>
        <v>Nej</v>
      </c>
      <c r="AZ211" s="77" t="str">
        <f>IF($AY211="ja",(VLOOKUP($B211,'Egen hetvattenprod'!$B$1:$BX$550,MATCH(AZ$2,'Egen hetvattenprod'!$B$1:$BX$1,0),FALSE)+VLOOKUP($B211,Kraftvärmeprod!$B$1:$BX$550,MATCH(AZ$2,Kraftvärmeprod!$B$1:$BX$1,0),FALSE))/$AC211,"")</f>
        <v/>
      </c>
      <c r="BA211" s="77" t="str">
        <f>IF($AY211="ja",(VLOOKUP($B211,'Egen hetvattenprod'!$B$1:$BX$550,MATCH(BA$2,'Egen hetvattenprod'!$B$1:$BX$1,0),FALSE)+VLOOKUP($B211,Kraftvärmeprod!$B$1:$BX$550,MATCH(BA$2,Kraftvärmeprod!$B$1:$BX$1,0),FALSE))/$AC211,"")</f>
        <v/>
      </c>
      <c r="BB211" s="77" t="str">
        <f>IF($AY211="ja",(VLOOKUP($B211,'Egen hetvattenprod'!$B$1:$BX$550,MATCH(BB$2,'Egen hetvattenprod'!$B$1:$BX$1,0),FALSE)+VLOOKUP($B211,Kraftvärmeprod!$B$1:$BX$550,MATCH(BB$2,Kraftvärmeprod!$B$1:$BX$1,0),FALSE))/$AC211,"")</f>
        <v/>
      </c>
      <c r="BC211" s="77" t="str">
        <f>IF($AY211="ja",(VLOOKUP($B211,'Egen hetvattenprod'!$B$1:$BX$550,MATCH(BC$2,'Egen hetvattenprod'!$B$1:$BX$1,0),FALSE)+VLOOKUP($B211,Kraftvärmeprod!$B$1:$BX$550,MATCH(BC$2,Kraftvärmeprod!$B$1:$BX$1,0),FALSE))/$AC211,"")</f>
        <v/>
      </c>
      <c r="BD211" s="77" t="str">
        <f>IF($AY211="ja",(VLOOKUP($B211,'Egen hetvattenprod'!$B$1:$BX$550,MATCH(BD$2,'Egen hetvattenprod'!$B$1:$BX$1,0),FALSE)+VLOOKUP($B211,Kraftvärmeprod!$B$1:$BX$550,MATCH(BD$2,Kraftvärmeprod!$B$1:$BX$1,0),FALSE))/$AC211,"")</f>
        <v/>
      </c>
      <c r="BF211" s="63" t="str">
        <f t="shared" si="23"/>
        <v>Nej</v>
      </c>
      <c r="BG211" s="63" t="str">
        <f>IF($BF211="ja",VLOOKUP($B211,'Egen hetvattenprod'!$B$1:$BX$550,MATCH("Andelen klimatgaser med fossilt ursprung för avfall ()",'Egen hetvattenprod'!$B$1:$BX$1,0),FALSE),"")</f>
        <v/>
      </c>
      <c r="BH211" s="63" t="str">
        <f>IF($BF211="ja",VLOOKUP($B211,Kraftvärmeprod!$B$1:$BX$550,MATCH("Andelen klimatgaser med fossilt ursprung för avfall ()",Kraftvärmeprod!$B$1:$BX$1,0),FALSE),"")</f>
        <v/>
      </c>
      <c r="BI211" s="63" t="str">
        <f>IF($BF211="ja",VLOOKUP($B211,'Egen hetvattenprod'!$B$1:$BX$550,MATCH("Avfall (GWh)",'Egen hetvattenprod'!$B$1:$BX$1,0),FALSE),"")</f>
        <v/>
      </c>
      <c r="BJ211" s="63" t="str">
        <f>IF($BF211="ja",VLOOKUP($B211,'Slutlig allokering kvv'!$B$1:$BX$550,MATCH("Avfall (GWh)",'Slutlig allokering kvv'!$B$1:$BX$1,0),FALSE),"")</f>
        <v/>
      </c>
      <c r="BK211" s="63" t="str">
        <f>IF($BF211="ja",VLOOKUP($B211,'Köpt hetvatten'!$B$1:$BX$550,MATCH("Avfall i köpt hetvatten",'Köpt hetvatten'!$B$1:$BX$1,0),FALSE),"")</f>
        <v/>
      </c>
      <c r="BL211" s="63" t="str">
        <f>IF($BF211="ja",VLOOKUP($B211,'Egen hetvattenprod'!$B$1:$BX$550,MATCH("Värde enligt ovan. (%)",'Egen hetvattenprod'!$B$1:$BX$1,0),FALSE),"")</f>
        <v/>
      </c>
      <c r="BM211" s="63" t="str">
        <f>IF($BF211="ja",VLOOKUP($B211,Kraftvärmeprod!$B$1:$BX$550,MATCH("Värde enligt ovan. (%)",Kraftvärmeprod!$B$1:$BX$1,0),FALSE),"")</f>
        <v/>
      </c>
    </row>
    <row r="212" spans="1:65" x14ac:dyDescent="0.45">
      <c r="A212" s="63" t="s">
        <v>111</v>
      </c>
      <c r="B212" s="63" t="s">
        <v>409</v>
      </c>
      <c r="C212" s="63">
        <f>VLOOKUP($B212,'Tillförd energi'!$B$1:$AI$720,MATCH(C$2,'Tillförd energi'!$B$1:$AQ$1,0),FALSE)</f>
        <v>0</v>
      </c>
      <c r="D212" s="63">
        <f>VLOOKUP($B212,'Tillförd energi'!$B$1:$AI$720,MATCH(D$2,'Tillförd energi'!$B$1:$AQ$1,0),FALSE)</f>
        <v>0.45300000000000001</v>
      </c>
      <c r="E212" s="63">
        <f>VLOOKUP($B212,'Tillförd energi'!$B$1:$AI$720,MATCH(E$2,'Tillförd energi'!$B$1:$AQ$1,0),FALSE)</f>
        <v>0</v>
      </c>
      <c r="F212" s="63">
        <f>VLOOKUP($B212,'Tillförd energi'!$B$1:$AI$720,MATCH(F$2,'Tillförd energi'!$B$1:$AQ$1,0),FALSE)</f>
        <v>1.5049999999999999</v>
      </c>
      <c r="G212" s="63">
        <f>VLOOKUP($B212,'Tillförd energi'!$B$1:$AI$720,MATCH(G$2,'Tillförd energi'!$B$1:$AQ$1,0),FALSE)</f>
        <v>0</v>
      </c>
      <c r="H212" s="63">
        <f>VLOOKUP($B212,'Tillförd energi'!$B$1:$AI$720,MATCH(H$2,'Tillförd energi'!$B$1:$AQ$1,0),FALSE)</f>
        <v>0</v>
      </c>
      <c r="I212" s="63">
        <f>VLOOKUP($B212,'Tillförd energi'!$B$1:$AI$720,MATCH(I$2,'Tillförd energi'!$B$1:$AQ$1,0),FALSE)</f>
        <v>0</v>
      </c>
      <c r="J212" s="63">
        <f>VLOOKUP($B212,'Tillförd energi'!$B$1:$AI$720,MATCH(J$2,'Tillförd energi'!$B$1:$AQ$1,0),FALSE)</f>
        <v>0</v>
      </c>
      <c r="K212" s="63">
        <f>VLOOKUP($B212,'Tillförd energi'!$B$1:$AI$720,MATCH(K$2,'Tillförd energi'!$B$1:$AQ$1,0),FALSE)</f>
        <v>0</v>
      </c>
      <c r="L212" s="63">
        <f>VLOOKUP($B212,'Tillförd energi'!$B$1:$AI$720,MATCH(L$2,'Tillförd energi'!$B$1:$AQ$1,0),FALSE)</f>
        <v>0</v>
      </c>
      <c r="M212" s="63">
        <f>VLOOKUP($B212,'Tillförd energi'!$B$1:$AI$720,MATCH(M$2,'Tillförd energi'!$B$1:$AQ$1,0),FALSE)</f>
        <v>0</v>
      </c>
      <c r="N212" s="63">
        <f>VLOOKUP($B212,'Tillförd energi'!$B$1:$AI$720,MATCH(N$2,'Tillförd energi'!$B$1:$AQ$1,0),FALSE)</f>
        <v>0</v>
      </c>
      <c r="O212" s="63">
        <f>VLOOKUP($B212,'Tillförd energi'!$B$1:$AI$720,MATCH(O$2,'Tillförd energi'!$B$1:$AQ$1,0),FALSE)</f>
        <v>0</v>
      </c>
      <c r="P212" s="63">
        <f>VLOOKUP($B212,'Tillförd energi'!$B$1:$AI$720,MATCH(P$2,'Tillförd energi'!$B$1:$AQ$1,0),FALSE)</f>
        <v>0</v>
      </c>
      <c r="Q212" s="63">
        <f>VLOOKUP($B212,'Tillförd energi'!$B$1:$AI$720,MATCH(Q$2,'Tillförd energi'!$B$1:$AQ$1,0),FALSE)</f>
        <v>0</v>
      </c>
      <c r="R212" s="63">
        <f>VLOOKUP($B212,'Tillförd energi'!$B$1:$AI$720,MATCH(R$2,'Tillförd energi'!$B$1:$AQ$1,0),FALSE)</f>
        <v>0</v>
      </c>
      <c r="S212" s="63">
        <f>VLOOKUP($B212,'Tillförd energi'!$B$1:$AI$720,MATCH(S$2,'Tillförd energi'!$B$1:$AQ$1,0),FALSE)</f>
        <v>0</v>
      </c>
      <c r="T212" s="63">
        <f>VLOOKUP($B212,'Tillförd energi'!$B$1:$AI$720,MATCH(T$2,'Tillförd energi'!$B$1:$AQ$1,0),FALSE)</f>
        <v>159.28299999999999</v>
      </c>
      <c r="U212" s="63">
        <f>VLOOKUP($B212,'Tillförd energi'!$B$1:$AI$720,MATCH(U$2,'Tillförd energi'!$B$1:$AQ$1,0),FALSE)</f>
        <v>0</v>
      </c>
      <c r="V212" s="63">
        <f>VLOOKUP($B212,'Tillförd energi'!$B$1:$AI$720,MATCH(V$2,'Tillförd energi'!$B$1:$AQ$1,0),FALSE)</f>
        <v>1.964</v>
      </c>
      <c r="W212" s="63">
        <f>VLOOKUP($B212,'Tillförd energi'!$B$1:$AI$720,MATCH(W$2,'Tillförd energi'!$B$1:$AQ$1,0),FALSE)</f>
        <v>1.589</v>
      </c>
      <c r="X212" s="63">
        <f>VLOOKUP($B212,'Tillförd energi'!$B$1:$AI$720,MATCH(X$2,'Tillförd energi'!$B$1:$AQ$1,0),FALSE)</f>
        <v>0</v>
      </c>
      <c r="Y212" s="63">
        <f>VLOOKUP($B212,'Tillförd energi'!$B$1:$AI$720,MATCH(Y$2,'Tillförd energi'!$B$1:$AQ$1,0),FALSE)</f>
        <v>0</v>
      </c>
      <c r="Z212" s="63">
        <f>VLOOKUP($B212,'Tillförd energi'!$B$1:$AI$720,MATCH(Z$2,'Tillförd energi'!$B$1:$AQ$1,0),FALSE)</f>
        <v>0</v>
      </c>
      <c r="AA212" s="63">
        <f>VLOOKUP($B212,'Tillförd energi'!$B$1:$AI$720,MATCH(AA$2,'Tillförd energi'!$B$1:$AQ$1,0),FALSE)</f>
        <v>125.33</v>
      </c>
      <c r="AB212" s="63">
        <f>VLOOKUP($B212,'Tillförd energi'!$B$1:$AI$720,MATCH(AB$2,'Tillförd energi'!$B$1:$AQ$1,0),FALSE)</f>
        <v>250.32900000000001</v>
      </c>
      <c r="AC212" s="63">
        <f>VLOOKUP($B212,'Tillförd energi'!$B$1:$AI$720,MATCH(AC$2,'Tillförd energi'!$B$1:$AQ$1,0),FALSE)</f>
        <v>0</v>
      </c>
      <c r="AD212" s="63">
        <f>VLOOKUP($B212,'Tillförd energi'!$B$1:$AI$720,MATCH(AD$2,'Tillförd energi'!$B$1:$AQ$1,0),FALSE)</f>
        <v>7.0000000000000007E-2</v>
      </c>
      <c r="AE212" s="63">
        <f>VLOOKUP($B212,'Tillförd energi'!$B$1:$AI$720,MATCH(AE$2,'Tillförd energi'!$B$1:$AQ$1,0),FALSE)</f>
        <v>0</v>
      </c>
      <c r="AF212" s="63">
        <f>VLOOKUP($B212,'Tillförd energi'!$B$1:$AI$720,MATCH(AF$2,'Tillförd energi'!$B$1:$AQ$1,0),FALSE)</f>
        <v>13.669</v>
      </c>
      <c r="AG212" s="63">
        <f>IFERROR(VLOOKUP(B212,Miljö!$B$1:$AC$550,MATCH("Köpt mängd produktionsspecifik fjärrvärme:",Miljö!$B$1:$AC$1,0),FALSE)/1,0)</f>
        <v>508.536</v>
      </c>
      <c r="AI212" s="63">
        <f t="shared" si="18"/>
        <v>1062.7280000000001</v>
      </c>
      <c r="AJ212" s="63">
        <f>IF(ISERROR(1/VLOOKUP($B212,Leveranser!$B$1:$S$500,MATCH("såld värme (gwh)",Leveranser!$B$1:$S$1,0),FALSE)),"",VLOOKUP($B212,Leveranser!$B$1:$S$500,MATCH("såld värme (gwh)",Leveranser!$B$1:$S$1,0),FALSE))</f>
        <v>981</v>
      </c>
      <c r="AM212" s="63" t="str">
        <f>IF(B212&lt;&gt;"",IF(VLOOKUP($B212,Totalt!$B$1:$AQ$554,MATCH("Kvalitetsgranskad:",Totalt!$B$1:$AQ$1,0),FALSE)="ja",VLOOKUP($B212,Miljö!$B$1:$AG$479,MATCH(AM$2,Miljö!$B$1:$AK$1,0),FALSE),""),"")</f>
        <v>Ja</v>
      </c>
      <c r="AN212" s="63" t="str">
        <f>IF(AM212="ja",VLOOKUP($B212,Miljö!$B$1:$J$479,MATCH("Typ av ursprungsspecificerad el   (Om inget värde anges används Nordisk residualmix, se inforuta) ()",Miljö!$B$1:$J$1,0),FALSE),IF(AM212="nej","Nordisk residualel",""))</f>
        <v>'Bra Miljöval El'</v>
      </c>
      <c r="AO212" s="63">
        <f>IF(AM212="","",VLOOKUP($B212,Miljö!$B$1:$J$479,MATCH("Fossilandel för ursprungspecificerad el ()",Miljö!$B$1:$J$1,0),FALSE))</f>
        <v>0</v>
      </c>
      <c r="AQ212" s="63">
        <f t="shared" si="19"/>
        <v>1</v>
      </c>
      <c r="AS212" s="63" t="str">
        <f t="shared" si="20"/>
        <v>Ja</v>
      </c>
      <c r="AT212" s="63">
        <f>IF(AS212="ja",VLOOKUP($B212,Miljö!$B$1:$P$500,MATCH("Fossil andel i procent (%)",Miljö!$B$1:$P$1,0),FALSE)/100,"")</f>
        <v>0</v>
      </c>
      <c r="AV212" s="63" t="str">
        <f t="shared" si="21"/>
        <v>Ja</v>
      </c>
      <c r="AW212" s="63" t="str">
        <f>IF(AV212="ja",VLOOKUP($B212,'Egen hetvattenprod'!$B$1:$AO$500,MATCH("Värmekälla till värmepumpar ()",'Egen hetvattenprod'!$B$1:$AO$1,0),FALSE),"")</f>
        <v>Renat avloppsvatten</v>
      </c>
      <c r="AY212" s="63" t="str">
        <f t="shared" si="22"/>
        <v>Nej</v>
      </c>
      <c r="AZ212" s="77" t="str">
        <f>IF($AY212="ja",(VLOOKUP($B212,'Egen hetvattenprod'!$B$1:$BX$550,MATCH(AZ$2,'Egen hetvattenprod'!$B$1:$BX$1,0),FALSE)+VLOOKUP($B212,Kraftvärmeprod!$B$1:$BX$550,MATCH(AZ$2,Kraftvärmeprod!$B$1:$BX$1,0),FALSE))/$AC212,"")</f>
        <v/>
      </c>
      <c r="BA212" s="77" t="str">
        <f>IF($AY212="ja",(VLOOKUP($B212,'Egen hetvattenprod'!$B$1:$BX$550,MATCH(BA$2,'Egen hetvattenprod'!$B$1:$BX$1,0),FALSE)+VLOOKUP($B212,Kraftvärmeprod!$B$1:$BX$550,MATCH(BA$2,Kraftvärmeprod!$B$1:$BX$1,0),FALSE))/$AC212,"")</f>
        <v/>
      </c>
      <c r="BB212" s="77" t="str">
        <f>IF($AY212="ja",(VLOOKUP($B212,'Egen hetvattenprod'!$B$1:$BX$550,MATCH(BB$2,'Egen hetvattenprod'!$B$1:$BX$1,0),FALSE)+VLOOKUP($B212,Kraftvärmeprod!$B$1:$BX$550,MATCH(BB$2,Kraftvärmeprod!$B$1:$BX$1,0),FALSE))/$AC212,"")</f>
        <v/>
      </c>
      <c r="BC212" s="77" t="str">
        <f>IF($AY212="ja",(VLOOKUP($B212,'Egen hetvattenprod'!$B$1:$BX$550,MATCH(BC$2,'Egen hetvattenprod'!$B$1:$BX$1,0),FALSE)+VLOOKUP($B212,Kraftvärmeprod!$B$1:$BX$550,MATCH(BC$2,Kraftvärmeprod!$B$1:$BX$1,0),FALSE))/$AC212,"")</f>
        <v/>
      </c>
      <c r="BD212" s="77" t="str">
        <f>IF($AY212="ja",(VLOOKUP($B212,'Egen hetvattenprod'!$B$1:$BX$550,MATCH(BD$2,'Egen hetvattenprod'!$B$1:$BX$1,0),FALSE)+VLOOKUP($B212,Kraftvärmeprod!$B$1:$BX$550,MATCH(BD$2,Kraftvärmeprod!$B$1:$BX$1,0),FALSE))/$AC212,"")</f>
        <v/>
      </c>
      <c r="BF212" s="63" t="str">
        <f t="shared" si="23"/>
        <v>Nej</v>
      </c>
      <c r="BG212" s="63" t="str">
        <f>IF($BF212="ja",VLOOKUP($B212,'Egen hetvattenprod'!$B$1:$BX$550,MATCH("Andelen klimatgaser med fossilt ursprung för avfall ()",'Egen hetvattenprod'!$B$1:$BX$1,0),FALSE),"")</f>
        <v/>
      </c>
      <c r="BH212" s="63" t="str">
        <f>IF($BF212="ja",VLOOKUP($B212,Kraftvärmeprod!$B$1:$BX$550,MATCH("Andelen klimatgaser med fossilt ursprung för avfall ()",Kraftvärmeprod!$B$1:$BX$1,0),FALSE),"")</f>
        <v/>
      </c>
      <c r="BI212" s="63" t="str">
        <f>IF($BF212="ja",VLOOKUP($B212,'Egen hetvattenprod'!$B$1:$BX$550,MATCH("Avfall (GWh)",'Egen hetvattenprod'!$B$1:$BX$1,0),FALSE),"")</f>
        <v/>
      </c>
      <c r="BJ212" s="63" t="str">
        <f>IF($BF212="ja",VLOOKUP($B212,'Slutlig allokering kvv'!$B$1:$BX$550,MATCH("Avfall (GWh)",'Slutlig allokering kvv'!$B$1:$BX$1,0),FALSE),"")</f>
        <v/>
      </c>
      <c r="BK212" s="63" t="str">
        <f>IF($BF212="ja",VLOOKUP($B212,'Köpt hetvatten'!$B$1:$BX$550,MATCH("Avfall i köpt hetvatten",'Köpt hetvatten'!$B$1:$BX$1,0),FALSE),"")</f>
        <v/>
      </c>
      <c r="BL212" s="63" t="str">
        <f>IF($BF212="ja",VLOOKUP($B212,'Egen hetvattenprod'!$B$1:$BX$550,MATCH("Värde enligt ovan. (%)",'Egen hetvattenprod'!$B$1:$BX$1,0),FALSE),"")</f>
        <v/>
      </c>
      <c r="BM212" s="63" t="str">
        <f>IF($BF212="ja",VLOOKUP($B212,Kraftvärmeprod!$B$1:$BX$550,MATCH("Värde enligt ovan. (%)",Kraftvärmeprod!$B$1:$BX$1,0),FALSE),"")</f>
        <v/>
      </c>
    </row>
    <row r="213" spans="1:65" x14ac:dyDescent="0.45">
      <c r="A213" s="63" t="s">
        <v>406</v>
      </c>
      <c r="B213" s="63" t="s">
        <v>408</v>
      </c>
      <c r="C213" s="63">
        <f>VLOOKUP($B213,'Tillförd energi'!$B$1:$AI$720,MATCH(C$2,'Tillförd energi'!$B$1:$AQ$1,0),FALSE)</f>
        <v>0</v>
      </c>
      <c r="D213" s="63">
        <f>VLOOKUP($B213,'Tillförd energi'!$B$1:$AI$720,MATCH(D$2,'Tillförd energi'!$B$1:$AQ$1,0),FALSE)</f>
        <v>6.0000000000000001E-3</v>
      </c>
      <c r="E213" s="63">
        <f>VLOOKUP($B213,'Tillförd energi'!$B$1:$AI$720,MATCH(E$2,'Tillförd energi'!$B$1:$AQ$1,0),FALSE)</f>
        <v>0</v>
      </c>
      <c r="F213" s="63">
        <f>VLOOKUP($B213,'Tillförd energi'!$B$1:$AI$720,MATCH(F$2,'Tillförd energi'!$B$1:$AQ$1,0),FALSE)</f>
        <v>0</v>
      </c>
      <c r="G213" s="63">
        <f>VLOOKUP($B213,'Tillförd energi'!$B$1:$AI$720,MATCH(G$2,'Tillförd energi'!$B$1:$AQ$1,0),FALSE)</f>
        <v>0</v>
      </c>
      <c r="H213" s="63">
        <f>VLOOKUP($B213,'Tillförd energi'!$B$1:$AI$720,MATCH(H$2,'Tillförd energi'!$B$1:$AQ$1,0),FALSE)</f>
        <v>0</v>
      </c>
      <c r="I213" s="63">
        <f>VLOOKUP($B213,'Tillförd energi'!$B$1:$AI$720,MATCH(I$2,'Tillförd energi'!$B$1:$AQ$1,0),FALSE)</f>
        <v>0</v>
      </c>
      <c r="J213" s="63">
        <f>VLOOKUP($B213,'Tillförd energi'!$B$1:$AI$720,MATCH(J$2,'Tillförd energi'!$B$1:$AQ$1,0),FALSE)</f>
        <v>0</v>
      </c>
      <c r="K213" s="63">
        <f>VLOOKUP($B213,'Tillförd energi'!$B$1:$AI$720,MATCH(K$2,'Tillförd energi'!$B$1:$AQ$1,0),FALSE)</f>
        <v>0</v>
      </c>
      <c r="L213" s="63">
        <f>VLOOKUP($B213,'Tillförd energi'!$B$1:$AI$720,MATCH(L$2,'Tillförd energi'!$B$1:$AQ$1,0),FALSE)</f>
        <v>0</v>
      </c>
      <c r="M213" s="63">
        <f>VLOOKUP($B213,'Tillförd energi'!$B$1:$AI$720,MATCH(M$2,'Tillförd energi'!$B$1:$AQ$1,0),FALSE)</f>
        <v>0</v>
      </c>
      <c r="N213" s="63">
        <f>VLOOKUP($B213,'Tillförd energi'!$B$1:$AI$720,MATCH(N$2,'Tillförd energi'!$B$1:$AQ$1,0),FALSE)</f>
        <v>0</v>
      </c>
      <c r="O213" s="63">
        <f>VLOOKUP($B213,'Tillförd energi'!$B$1:$AI$720,MATCH(O$2,'Tillförd energi'!$B$1:$AQ$1,0),FALSE)</f>
        <v>0</v>
      </c>
      <c r="P213" s="63">
        <f>VLOOKUP($B213,'Tillförd energi'!$B$1:$AI$720,MATCH(P$2,'Tillförd energi'!$B$1:$AQ$1,0),FALSE)</f>
        <v>0</v>
      </c>
      <c r="Q213" s="63">
        <f>VLOOKUP($B213,'Tillförd energi'!$B$1:$AI$720,MATCH(Q$2,'Tillförd energi'!$B$1:$AQ$1,0),FALSE)</f>
        <v>0</v>
      </c>
      <c r="R213" s="63">
        <f>VLOOKUP($B213,'Tillförd energi'!$B$1:$AI$720,MATCH(R$2,'Tillförd energi'!$B$1:$AQ$1,0),FALSE)</f>
        <v>13.103</v>
      </c>
      <c r="S213" s="63">
        <f>VLOOKUP($B213,'Tillförd energi'!$B$1:$AI$720,MATCH(S$2,'Tillförd energi'!$B$1:$AQ$1,0),FALSE)</f>
        <v>0</v>
      </c>
      <c r="T213" s="63">
        <f>VLOOKUP($B213,'Tillförd energi'!$B$1:$AI$720,MATCH(T$2,'Tillförd energi'!$B$1:$AQ$1,0),FALSE)</f>
        <v>0</v>
      </c>
      <c r="U213" s="63">
        <f>VLOOKUP($B213,'Tillförd energi'!$B$1:$AI$720,MATCH(U$2,'Tillförd energi'!$B$1:$AQ$1,0),FALSE)</f>
        <v>0</v>
      </c>
      <c r="V213" s="63">
        <f>VLOOKUP($B213,'Tillförd energi'!$B$1:$AI$720,MATCH(V$2,'Tillförd energi'!$B$1:$AQ$1,0),FALSE)</f>
        <v>0</v>
      </c>
      <c r="W213" s="63">
        <f>VLOOKUP($B213,'Tillförd energi'!$B$1:$AI$720,MATCH(W$2,'Tillförd energi'!$B$1:$AQ$1,0),FALSE)</f>
        <v>0</v>
      </c>
      <c r="X213" s="63">
        <f>VLOOKUP($B213,'Tillförd energi'!$B$1:$AI$720,MATCH(X$2,'Tillförd energi'!$B$1:$AQ$1,0),FALSE)</f>
        <v>0</v>
      </c>
      <c r="Y213" s="63">
        <f>VLOOKUP($B213,'Tillförd energi'!$B$1:$AI$720,MATCH(Y$2,'Tillförd energi'!$B$1:$AQ$1,0),FALSE)</f>
        <v>0</v>
      </c>
      <c r="Z213" s="63">
        <f>VLOOKUP($B213,'Tillförd energi'!$B$1:$AI$720,MATCH(Z$2,'Tillförd energi'!$B$1:$AQ$1,0),FALSE)</f>
        <v>0</v>
      </c>
      <c r="AA213" s="63">
        <f>VLOOKUP($B213,'Tillförd energi'!$B$1:$AI$720,MATCH(AA$2,'Tillförd energi'!$B$1:$AQ$1,0),FALSE)</f>
        <v>0</v>
      </c>
      <c r="AB213" s="63">
        <f>VLOOKUP($B213,'Tillförd energi'!$B$1:$AI$720,MATCH(AB$2,'Tillförd energi'!$B$1:$AQ$1,0),FALSE)</f>
        <v>0</v>
      </c>
      <c r="AC213" s="63">
        <f>VLOOKUP($B213,'Tillförd energi'!$B$1:$AI$720,MATCH(AC$2,'Tillförd energi'!$B$1:$AQ$1,0),FALSE)</f>
        <v>0</v>
      </c>
      <c r="AD213" s="63">
        <f>VLOOKUP($B213,'Tillförd energi'!$B$1:$AI$720,MATCH(AD$2,'Tillförd energi'!$B$1:$AQ$1,0),FALSE)</f>
        <v>7.0490000000000004</v>
      </c>
      <c r="AE213" s="63">
        <f>VLOOKUP($B213,'Tillförd energi'!$B$1:$AI$720,MATCH(AE$2,'Tillförd energi'!$B$1:$AQ$1,0),FALSE)</f>
        <v>0</v>
      </c>
      <c r="AF213" s="63">
        <f>VLOOKUP($B213,'Tillförd energi'!$B$1:$AI$720,MATCH(AF$2,'Tillförd energi'!$B$1:$AQ$1,0),FALSE)</f>
        <v>0.5</v>
      </c>
      <c r="AG213" s="63">
        <f>IFERROR(VLOOKUP(B213,Miljö!$B$1:$AC$550,MATCH("Köpt mängd produktionsspecifik fjärrvärme:",Miljö!$B$1:$AC$1,0),FALSE)/1,0)</f>
        <v>0</v>
      </c>
      <c r="AI213" s="63">
        <f t="shared" si="18"/>
        <v>20.658000000000001</v>
      </c>
      <c r="AJ213" s="63">
        <f>IF(ISERROR(1/VLOOKUP($B213,Leveranser!$B$1:$S$500,MATCH("såld värme (gwh)",Leveranser!$B$1:$S$1,0),FALSE)),"",VLOOKUP($B213,Leveranser!$B$1:$S$500,MATCH("såld värme (gwh)",Leveranser!$B$1:$S$1,0),FALSE))</f>
        <v>16.670000000000002</v>
      </c>
      <c r="AM213" s="63" t="str">
        <f>IF(B213&lt;&gt;"",IF(VLOOKUP($B213,Totalt!$B$1:$AQ$554,MATCH("Kvalitetsgranskad:",Totalt!$B$1:$AQ$1,0),FALSE)="ja",VLOOKUP($B213,Miljö!$B$1:$AG$479,MATCH(AM$2,Miljö!$B$1:$AK$1,0),FALSE),""),"")</f>
        <v>Ja</v>
      </c>
      <c r="AN213" s="63" t="str">
        <f>IF(AM213="ja",VLOOKUP($B213,Miljö!$B$1:$J$479,MATCH("Typ av ursprungsspecificerad el   (Om inget värde anges används Nordisk residualmix, se inforuta) ()",Miljö!$B$1:$J$1,0),FALSE),IF(AM213="nej","Nordisk residualel",""))</f>
        <v>'Vattenfall EPD 100%'</v>
      </c>
      <c r="AO213" s="63">
        <f>IF(AM213="","",VLOOKUP($B213,Miljö!$B$1:$J$479,MATCH("Fossilandel för ursprungspecificerad el ()",Miljö!$B$1:$J$1,0),FALSE))</f>
        <v>0</v>
      </c>
      <c r="AQ213" s="63">
        <f t="shared" si="19"/>
        <v>1</v>
      </c>
      <c r="AS213" s="63" t="str">
        <f t="shared" si="20"/>
        <v>Nej</v>
      </c>
      <c r="AT213" s="63" t="str">
        <f>IF(AS213="ja",VLOOKUP($B213,Miljö!$B$1:$P$500,MATCH("Fossil andel i procent (%)",Miljö!$B$1:$P$1,0),FALSE)/100,"")</f>
        <v/>
      </c>
      <c r="AV213" s="63" t="str">
        <f t="shared" si="21"/>
        <v>Nej</v>
      </c>
      <c r="AW213" s="63" t="str">
        <f>IF(AV213="ja",VLOOKUP($B213,'Egen hetvattenprod'!$B$1:$AO$500,MATCH("Värmekälla till värmepumpar ()",'Egen hetvattenprod'!$B$1:$AO$1,0),FALSE),"")</f>
        <v/>
      </c>
      <c r="AY213" s="63" t="str">
        <f t="shared" si="22"/>
        <v>Nej</v>
      </c>
      <c r="AZ213" s="77" t="str">
        <f>IF($AY213="ja",(VLOOKUP($B213,'Egen hetvattenprod'!$B$1:$BX$550,MATCH(AZ$2,'Egen hetvattenprod'!$B$1:$BX$1,0),FALSE)+VLOOKUP($B213,Kraftvärmeprod!$B$1:$BX$550,MATCH(AZ$2,Kraftvärmeprod!$B$1:$BX$1,0),FALSE))/$AC213,"")</f>
        <v/>
      </c>
      <c r="BA213" s="77" t="str">
        <f>IF($AY213="ja",(VLOOKUP($B213,'Egen hetvattenprod'!$B$1:$BX$550,MATCH(BA$2,'Egen hetvattenprod'!$B$1:$BX$1,0),FALSE)+VLOOKUP($B213,Kraftvärmeprod!$B$1:$BX$550,MATCH(BA$2,Kraftvärmeprod!$B$1:$BX$1,0),FALSE))/$AC213,"")</f>
        <v/>
      </c>
      <c r="BB213" s="77" t="str">
        <f>IF($AY213="ja",(VLOOKUP($B213,'Egen hetvattenprod'!$B$1:$BX$550,MATCH(BB$2,'Egen hetvattenprod'!$B$1:$BX$1,0),FALSE)+VLOOKUP($B213,Kraftvärmeprod!$B$1:$BX$550,MATCH(BB$2,Kraftvärmeprod!$B$1:$BX$1,0),FALSE))/$AC213,"")</f>
        <v/>
      </c>
      <c r="BC213" s="77" t="str">
        <f>IF($AY213="ja",(VLOOKUP($B213,'Egen hetvattenprod'!$B$1:$BX$550,MATCH(BC$2,'Egen hetvattenprod'!$B$1:$BX$1,0),FALSE)+VLOOKUP($B213,Kraftvärmeprod!$B$1:$BX$550,MATCH(BC$2,Kraftvärmeprod!$B$1:$BX$1,0),FALSE))/$AC213,"")</f>
        <v/>
      </c>
      <c r="BD213" s="77" t="str">
        <f>IF($AY213="ja",(VLOOKUP($B213,'Egen hetvattenprod'!$B$1:$BX$550,MATCH(BD$2,'Egen hetvattenprod'!$B$1:$BX$1,0),FALSE)+VLOOKUP($B213,Kraftvärmeprod!$B$1:$BX$550,MATCH(BD$2,Kraftvärmeprod!$B$1:$BX$1,0),FALSE))/$AC213,"")</f>
        <v/>
      </c>
      <c r="BF213" s="63" t="str">
        <f t="shared" si="23"/>
        <v>Nej</v>
      </c>
      <c r="BG213" s="63" t="str">
        <f>IF($BF213="ja",VLOOKUP($B213,'Egen hetvattenprod'!$B$1:$BX$550,MATCH("Andelen klimatgaser med fossilt ursprung för avfall ()",'Egen hetvattenprod'!$B$1:$BX$1,0),FALSE),"")</f>
        <v/>
      </c>
      <c r="BH213" s="63" t="str">
        <f>IF($BF213="ja",VLOOKUP($B213,Kraftvärmeprod!$B$1:$BX$550,MATCH("Andelen klimatgaser med fossilt ursprung för avfall ()",Kraftvärmeprod!$B$1:$BX$1,0),FALSE),"")</f>
        <v/>
      </c>
      <c r="BI213" s="63" t="str">
        <f>IF($BF213="ja",VLOOKUP($B213,'Egen hetvattenprod'!$B$1:$BX$550,MATCH("Avfall (GWh)",'Egen hetvattenprod'!$B$1:$BX$1,0),FALSE),"")</f>
        <v/>
      </c>
      <c r="BJ213" s="63" t="str">
        <f>IF($BF213="ja",VLOOKUP($B213,'Slutlig allokering kvv'!$B$1:$BX$550,MATCH("Avfall (GWh)",'Slutlig allokering kvv'!$B$1:$BX$1,0),FALSE),"")</f>
        <v/>
      </c>
      <c r="BK213" s="63" t="str">
        <f>IF($BF213="ja",VLOOKUP($B213,'Köpt hetvatten'!$B$1:$BX$550,MATCH("Avfall i köpt hetvatten",'Köpt hetvatten'!$B$1:$BX$1,0),FALSE),"")</f>
        <v/>
      </c>
      <c r="BL213" s="63" t="str">
        <f>IF($BF213="ja",VLOOKUP($B213,'Egen hetvattenprod'!$B$1:$BX$550,MATCH("Värde enligt ovan. (%)",'Egen hetvattenprod'!$B$1:$BX$1,0),FALSE),"")</f>
        <v/>
      </c>
      <c r="BM213" s="63" t="str">
        <f>IF($BF213="ja",VLOOKUP($B213,Kraftvärmeprod!$B$1:$BX$550,MATCH("Värde enligt ovan. (%)",Kraftvärmeprod!$B$1:$BX$1,0),FALSE),"")</f>
        <v/>
      </c>
    </row>
    <row r="214" spans="1:65" x14ac:dyDescent="0.45">
      <c r="A214" s="63" t="s">
        <v>406</v>
      </c>
      <c r="B214" s="63" t="s">
        <v>407</v>
      </c>
      <c r="C214" s="63">
        <f>VLOOKUP($B214,'Tillförd energi'!$B$1:$AI$720,MATCH(C$2,'Tillförd energi'!$B$1:$AQ$1,0),FALSE)</f>
        <v>0</v>
      </c>
      <c r="D214" s="63">
        <f>VLOOKUP($B214,'Tillförd energi'!$B$1:$AI$720,MATCH(D$2,'Tillförd energi'!$B$1:$AQ$1,0),FALSE)</f>
        <v>4.2000000000000003E-2</v>
      </c>
      <c r="E214" s="63">
        <f>VLOOKUP($B214,'Tillförd energi'!$B$1:$AI$720,MATCH(E$2,'Tillförd energi'!$B$1:$AQ$1,0),FALSE)</f>
        <v>0</v>
      </c>
      <c r="F214" s="63">
        <f>VLOOKUP($B214,'Tillförd energi'!$B$1:$AI$720,MATCH(F$2,'Tillförd energi'!$B$1:$AQ$1,0),FALSE)</f>
        <v>0</v>
      </c>
      <c r="G214" s="63">
        <f>VLOOKUP($B214,'Tillförd energi'!$B$1:$AI$720,MATCH(G$2,'Tillförd energi'!$B$1:$AQ$1,0),FALSE)</f>
        <v>0</v>
      </c>
      <c r="H214" s="63">
        <f>VLOOKUP($B214,'Tillförd energi'!$B$1:$AI$720,MATCH(H$2,'Tillförd energi'!$B$1:$AQ$1,0),FALSE)</f>
        <v>0</v>
      </c>
      <c r="I214" s="63">
        <f>VLOOKUP($B214,'Tillförd energi'!$B$1:$AI$720,MATCH(I$2,'Tillförd energi'!$B$1:$AQ$1,0),FALSE)</f>
        <v>0</v>
      </c>
      <c r="J214" s="63">
        <f>VLOOKUP($B214,'Tillförd energi'!$B$1:$AI$720,MATCH(J$2,'Tillförd energi'!$B$1:$AQ$1,0),FALSE)</f>
        <v>0</v>
      </c>
      <c r="K214" s="63">
        <f>VLOOKUP($B214,'Tillförd energi'!$B$1:$AI$720,MATCH(K$2,'Tillförd energi'!$B$1:$AQ$1,0),FALSE)</f>
        <v>0</v>
      </c>
      <c r="L214" s="63">
        <f>VLOOKUP($B214,'Tillförd energi'!$B$1:$AI$720,MATCH(L$2,'Tillförd energi'!$B$1:$AQ$1,0),FALSE)</f>
        <v>0</v>
      </c>
      <c r="M214" s="63">
        <f>VLOOKUP($B214,'Tillförd energi'!$B$1:$AI$720,MATCH(M$2,'Tillförd energi'!$B$1:$AQ$1,0),FALSE)</f>
        <v>0</v>
      </c>
      <c r="N214" s="63">
        <f>VLOOKUP($B214,'Tillförd energi'!$B$1:$AI$720,MATCH(N$2,'Tillförd energi'!$B$1:$AQ$1,0),FALSE)</f>
        <v>116.191</v>
      </c>
      <c r="O214" s="63">
        <f>VLOOKUP($B214,'Tillförd energi'!$B$1:$AI$720,MATCH(O$2,'Tillförd energi'!$B$1:$AQ$1,0),FALSE)</f>
        <v>0</v>
      </c>
      <c r="P214" s="63">
        <f>VLOOKUP($B214,'Tillförd energi'!$B$1:$AI$720,MATCH(P$2,'Tillförd energi'!$B$1:$AQ$1,0),FALSE)</f>
        <v>3.8638300000000001</v>
      </c>
      <c r="Q214" s="63">
        <f>VLOOKUP($B214,'Tillförd energi'!$B$1:$AI$720,MATCH(Q$2,'Tillförd energi'!$B$1:$AQ$1,0),FALSE)</f>
        <v>0</v>
      </c>
      <c r="R214" s="63">
        <f>VLOOKUP($B214,'Tillförd energi'!$B$1:$AI$720,MATCH(R$2,'Tillförd energi'!$B$1:$AQ$1,0),FALSE)</f>
        <v>0</v>
      </c>
      <c r="S214" s="63">
        <f>VLOOKUP($B214,'Tillförd energi'!$B$1:$AI$720,MATCH(S$2,'Tillförd energi'!$B$1:$AQ$1,0),FALSE)</f>
        <v>0</v>
      </c>
      <c r="T214" s="63">
        <f>VLOOKUP($B214,'Tillförd energi'!$B$1:$AI$720,MATCH(T$2,'Tillförd energi'!$B$1:$AQ$1,0),FALSE)</f>
        <v>0</v>
      </c>
      <c r="U214" s="63">
        <f>VLOOKUP($B214,'Tillförd energi'!$B$1:$AI$720,MATCH(U$2,'Tillförd energi'!$B$1:$AQ$1,0),FALSE)</f>
        <v>0</v>
      </c>
      <c r="V214" s="63">
        <f>VLOOKUP($B214,'Tillförd energi'!$B$1:$AI$720,MATCH(V$2,'Tillförd energi'!$B$1:$AQ$1,0),FALSE)</f>
        <v>0</v>
      </c>
      <c r="W214" s="63">
        <f>VLOOKUP($B214,'Tillförd energi'!$B$1:$AI$720,MATCH(W$2,'Tillförd energi'!$B$1:$AQ$1,0),FALSE)</f>
        <v>0</v>
      </c>
      <c r="X214" s="63">
        <f>VLOOKUP($B214,'Tillförd energi'!$B$1:$AI$720,MATCH(X$2,'Tillförd energi'!$B$1:$AQ$1,0),FALSE)</f>
        <v>0</v>
      </c>
      <c r="Y214" s="63">
        <f>VLOOKUP($B214,'Tillförd energi'!$B$1:$AI$720,MATCH(Y$2,'Tillförd energi'!$B$1:$AQ$1,0),FALSE)</f>
        <v>0</v>
      </c>
      <c r="Z214" s="63">
        <f>VLOOKUP($B214,'Tillförd energi'!$B$1:$AI$720,MATCH(Z$2,'Tillförd energi'!$B$1:$AQ$1,0),FALSE)</f>
        <v>0.65200000000000002</v>
      </c>
      <c r="AA214" s="63">
        <f>VLOOKUP($B214,'Tillförd energi'!$B$1:$AI$720,MATCH(AA$2,'Tillförd energi'!$B$1:$AQ$1,0),FALSE)</f>
        <v>0</v>
      </c>
      <c r="AB214" s="63">
        <f>VLOOKUP($B214,'Tillförd energi'!$B$1:$AI$720,MATCH(AB$2,'Tillförd energi'!$B$1:$AQ$1,0),FALSE)</f>
        <v>0</v>
      </c>
      <c r="AC214" s="63">
        <f>VLOOKUP($B214,'Tillförd energi'!$B$1:$AI$720,MATCH(AC$2,'Tillförd energi'!$B$1:$AQ$1,0),FALSE)</f>
        <v>28.945</v>
      </c>
      <c r="AD214" s="63">
        <f>VLOOKUP($B214,'Tillförd energi'!$B$1:$AI$720,MATCH(AD$2,'Tillförd energi'!$B$1:$AQ$1,0),FALSE)</f>
        <v>0</v>
      </c>
      <c r="AE214" s="63">
        <f>VLOOKUP($B214,'Tillförd energi'!$B$1:$AI$720,MATCH(AE$2,'Tillförd energi'!$B$1:$AQ$1,0),FALSE)</f>
        <v>0</v>
      </c>
      <c r="AF214" s="63">
        <f>VLOOKUP($B214,'Tillförd energi'!$B$1:$AI$720,MATCH(AF$2,'Tillförd energi'!$B$1:$AQ$1,0),FALSE)</f>
        <v>5.3180500000000004</v>
      </c>
      <c r="AG214" s="63">
        <f>IFERROR(VLOOKUP(B214,Miljö!$B$1:$AC$550,MATCH("Köpt mängd produktionsspecifik fjärrvärme:",Miljö!$B$1:$AC$1,0),FALSE)/1,0)</f>
        <v>0</v>
      </c>
      <c r="AI214" s="63">
        <f t="shared" si="18"/>
        <v>155.01188000000002</v>
      </c>
      <c r="AJ214" s="63">
        <f>IF(ISERROR(1/VLOOKUP($B214,Leveranser!$B$1:$S$500,MATCH("såld värme (gwh)",Leveranser!$B$1:$S$1,0),FALSE)),"",VLOOKUP($B214,Leveranser!$B$1:$S$500,MATCH("såld värme (gwh)",Leveranser!$B$1:$S$1,0),FALSE))</f>
        <v>119.46599999999999</v>
      </c>
      <c r="AM214" s="63" t="str">
        <f>IF(B214&lt;&gt;"",IF(VLOOKUP($B214,Totalt!$B$1:$AQ$554,MATCH("Kvalitetsgranskad:",Totalt!$B$1:$AQ$1,0),FALSE)="ja",VLOOKUP($B214,Miljö!$B$1:$AG$479,MATCH(AM$2,Miljö!$B$1:$AK$1,0),FALSE),""),"")</f>
        <v>Ja</v>
      </c>
      <c r="AN214" s="63" t="str">
        <f>IF(AM214="ja",VLOOKUP($B214,Miljö!$B$1:$J$479,MATCH("Typ av ursprungsspecificerad el   (Om inget värde anges används Nordisk residualmix, se inforuta) ()",Miljö!$B$1:$J$1,0),FALSE),IF(AM214="nej","Nordisk residualel",""))</f>
        <v>'Vattenfall EPD 100%'</v>
      </c>
      <c r="AO214" s="63">
        <f>IF(AM214="","",VLOOKUP($B214,Miljö!$B$1:$J$479,MATCH("Fossilandel för ursprungspecificerad el ()",Miljö!$B$1:$J$1,0),FALSE))</f>
        <v>0</v>
      </c>
      <c r="AQ214" s="63">
        <f t="shared" si="19"/>
        <v>1</v>
      </c>
      <c r="AS214" s="63" t="str">
        <f t="shared" si="20"/>
        <v>Nej</v>
      </c>
      <c r="AT214" s="63" t="str">
        <f>IF(AS214="ja",VLOOKUP($B214,Miljö!$B$1:$P$500,MATCH("Fossil andel i procent (%)",Miljö!$B$1:$P$1,0),FALSE)/100,"")</f>
        <v/>
      </c>
      <c r="AV214" s="63" t="str">
        <f t="shared" si="21"/>
        <v>Nej</v>
      </c>
      <c r="AW214" s="63" t="str">
        <f>IF(AV214="ja",VLOOKUP($B214,'Egen hetvattenprod'!$B$1:$AO$500,MATCH("Värmekälla till värmepumpar ()",'Egen hetvattenprod'!$B$1:$AO$1,0),FALSE),"")</f>
        <v/>
      </c>
      <c r="AY214" s="63" t="str">
        <f t="shared" si="22"/>
        <v>Ja</v>
      </c>
      <c r="AZ214" s="77">
        <f>IF($AY214="ja",(VLOOKUP($B214,'Egen hetvattenprod'!$B$1:$BX$550,MATCH(AZ$2,'Egen hetvattenprod'!$B$1:$BX$1,0),FALSE)+VLOOKUP($B214,Kraftvärmeprod!$B$1:$BX$550,MATCH(AZ$2,Kraftvärmeprod!$B$1:$BX$1,0),FALSE))/$AC214,"")</f>
        <v>1</v>
      </c>
      <c r="BA214" s="77">
        <f>IF($AY214="ja",(VLOOKUP($B214,'Egen hetvattenprod'!$B$1:$BX$550,MATCH(BA$2,'Egen hetvattenprod'!$B$1:$BX$1,0),FALSE)+VLOOKUP($B214,Kraftvärmeprod!$B$1:$BX$550,MATCH(BA$2,Kraftvärmeprod!$B$1:$BX$1,0),FALSE))/$AC214,"")</f>
        <v>0</v>
      </c>
      <c r="BB214" s="77">
        <f>IF($AY214="ja",(VLOOKUP($B214,'Egen hetvattenprod'!$B$1:$BX$550,MATCH(BB$2,'Egen hetvattenprod'!$B$1:$BX$1,0),FALSE)+VLOOKUP($B214,Kraftvärmeprod!$B$1:$BX$550,MATCH(BB$2,Kraftvärmeprod!$B$1:$BX$1,0),FALSE))/$AC214,"")</f>
        <v>0</v>
      </c>
      <c r="BC214" s="77">
        <f>IF($AY214="ja",(VLOOKUP($B214,'Egen hetvattenprod'!$B$1:$BX$550,MATCH(BC$2,'Egen hetvattenprod'!$B$1:$BX$1,0),FALSE)+VLOOKUP($B214,Kraftvärmeprod!$B$1:$BX$550,MATCH(BC$2,Kraftvärmeprod!$B$1:$BX$1,0),FALSE))/$AC214,"")</f>
        <v>0</v>
      </c>
      <c r="BD214" s="77">
        <f>IF($AY214="ja",(VLOOKUP($B214,'Egen hetvattenprod'!$B$1:$BX$550,MATCH(BD$2,'Egen hetvattenprod'!$B$1:$BX$1,0),FALSE)+VLOOKUP($B214,Kraftvärmeprod!$B$1:$BX$550,MATCH(BD$2,Kraftvärmeprod!$B$1:$BX$1,0),FALSE))/$AC214,"")</f>
        <v>0</v>
      </c>
      <c r="BF214" s="63" t="str">
        <f t="shared" si="23"/>
        <v>Nej</v>
      </c>
      <c r="BG214" s="63" t="str">
        <f>IF($BF214="ja",VLOOKUP($B214,'Egen hetvattenprod'!$B$1:$BX$550,MATCH("Andelen klimatgaser med fossilt ursprung för avfall ()",'Egen hetvattenprod'!$B$1:$BX$1,0),FALSE),"")</f>
        <v/>
      </c>
      <c r="BH214" s="63" t="str">
        <f>IF($BF214="ja",VLOOKUP($B214,Kraftvärmeprod!$B$1:$BX$550,MATCH("Andelen klimatgaser med fossilt ursprung för avfall ()",Kraftvärmeprod!$B$1:$BX$1,0),FALSE),"")</f>
        <v/>
      </c>
      <c r="BI214" s="63" t="str">
        <f>IF($BF214="ja",VLOOKUP($B214,'Egen hetvattenprod'!$B$1:$BX$550,MATCH("Avfall (GWh)",'Egen hetvattenprod'!$B$1:$BX$1,0),FALSE),"")</f>
        <v/>
      </c>
      <c r="BJ214" s="63" t="str">
        <f>IF($BF214="ja",VLOOKUP($B214,'Slutlig allokering kvv'!$B$1:$BX$550,MATCH("Avfall (GWh)",'Slutlig allokering kvv'!$B$1:$BX$1,0),FALSE),"")</f>
        <v/>
      </c>
      <c r="BK214" s="63" t="str">
        <f>IF($BF214="ja",VLOOKUP($B214,'Köpt hetvatten'!$B$1:$BX$550,MATCH("Avfall i köpt hetvatten",'Köpt hetvatten'!$B$1:$BX$1,0),FALSE),"")</f>
        <v/>
      </c>
      <c r="BL214" s="63" t="str">
        <f>IF($BF214="ja",VLOOKUP($B214,'Egen hetvattenprod'!$B$1:$BX$550,MATCH("Värde enligt ovan. (%)",'Egen hetvattenprod'!$B$1:$BX$1,0),FALSE),"")</f>
        <v/>
      </c>
      <c r="BM214" s="63" t="str">
        <f>IF($BF214="ja",VLOOKUP($B214,Kraftvärmeprod!$B$1:$BX$550,MATCH("Värde enligt ovan. (%)",Kraftvärmeprod!$B$1:$BX$1,0),FALSE),"")</f>
        <v/>
      </c>
    </row>
    <row r="215" spans="1:65" x14ac:dyDescent="0.45">
      <c r="A215" s="63" t="s">
        <v>406</v>
      </c>
      <c r="B215" s="63" t="s">
        <v>405</v>
      </c>
      <c r="C215" s="63">
        <f>VLOOKUP($B215,'Tillförd energi'!$B$1:$AI$720,MATCH(C$2,'Tillförd energi'!$B$1:$AQ$1,0),FALSE)</f>
        <v>0</v>
      </c>
      <c r="D215" s="63">
        <f>VLOOKUP($B215,'Tillförd energi'!$B$1:$AI$720,MATCH(D$2,'Tillförd energi'!$B$1:$AQ$1,0),FALSE)</f>
        <v>0.628</v>
      </c>
      <c r="E215" s="63">
        <f>VLOOKUP($B215,'Tillförd energi'!$B$1:$AI$720,MATCH(E$2,'Tillförd energi'!$B$1:$AQ$1,0),FALSE)</f>
        <v>0</v>
      </c>
      <c r="F215" s="63">
        <f>VLOOKUP($B215,'Tillförd energi'!$B$1:$AI$720,MATCH(F$2,'Tillförd energi'!$B$1:$AQ$1,0),FALSE)</f>
        <v>0</v>
      </c>
      <c r="G215" s="63">
        <f>VLOOKUP($B215,'Tillförd energi'!$B$1:$AI$720,MATCH(G$2,'Tillförd energi'!$B$1:$AQ$1,0),FALSE)</f>
        <v>0</v>
      </c>
      <c r="H215" s="63">
        <f>VLOOKUP($B215,'Tillförd energi'!$B$1:$AI$720,MATCH(H$2,'Tillförd energi'!$B$1:$AQ$1,0),FALSE)</f>
        <v>0</v>
      </c>
      <c r="I215" s="63">
        <f>VLOOKUP($B215,'Tillförd energi'!$B$1:$AI$720,MATCH(I$2,'Tillförd energi'!$B$1:$AQ$1,0),FALSE)</f>
        <v>0</v>
      </c>
      <c r="J215" s="63">
        <f>VLOOKUP($B215,'Tillförd energi'!$B$1:$AI$720,MATCH(J$2,'Tillförd energi'!$B$1:$AQ$1,0),FALSE)</f>
        <v>0</v>
      </c>
      <c r="K215" s="63">
        <f>VLOOKUP($B215,'Tillförd energi'!$B$1:$AI$720,MATCH(K$2,'Tillförd energi'!$B$1:$AQ$1,0),FALSE)</f>
        <v>0</v>
      </c>
      <c r="L215" s="63">
        <f>VLOOKUP($B215,'Tillförd energi'!$B$1:$AI$720,MATCH(L$2,'Tillförd energi'!$B$1:$AQ$1,0),FALSE)</f>
        <v>0</v>
      </c>
      <c r="M215" s="63">
        <f>VLOOKUP($B215,'Tillförd energi'!$B$1:$AI$720,MATCH(M$2,'Tillförd energi'!$B$1:$AQ$1,0),FALSE)</f>
        <v>0</v>
      </c>
      <c r="N215" s="63">
        <f>VLOOKUP($B215,'Tillförd energi'!$B$1:$AI$720,MATCH(N$2,'Tillförd energi'!$B$1:$AQ$1,0),FALSE)</f>
        <v>0</v>
      </c>
      <c r="O215" s="63">
        <f>VLOOKUP($B215,'Tillförd energi'!$B$1:$AI$720,MATCH(O$2,'Tillförd energi'!$B$1:$AQ$1,0),FALSE)</f>
        <v>0</v>
      </c>
      <c r="P215" s="63">
        <f>VLOOKUP($B215,'Tillförd energi'!$B$1:$AI$720,MATCH(P$2,'Tillförd energi'!$B$1:$AQ$1,0),FALSE)</f>
        <v>19.079000000000001</v>
      </c>
      <c r="Q215" s="63">
        <f>VLOOKUP($B215,'Tillförd energi'!$B$1:$AI$720,MATCH(Q$2,'Tillförd energi'!$B$1:$AQ$1,0),FALSE)</f>
        <v>0</v>
      </c>
      <c r="R215" s="63">
        <f>VLOOKUP($B215,'Tillförd energi'!$B$1:$AI$720,MATCH(R$2,'Tillförd energi'!$B$1:$AQ$1,0),FALSE)</f>
        <v>0</v>
      </c>
      <c r="S215" s="63">
        <f>VLOOKUP($B215,'Tillförd energi'!$B$1:$AI$720,MATCH(S$2,'Tillförd energi'!$B$1:$AQ$1,0),FALSE)</f>
        <v>0</v>
      </c>
      <c r="T215" s="63">
        <f>VLOOKUP($B215,'Tillförd energi'!$B$1:$AI$720,MATCH(T$2,'Tillförd energi'!$B$1:$AQ$1,0),FALSE)</f>
        <v>0</v>
      </c>
      <c r="U215" s="63">
        <f>VLOOKUP($B215,'Tillförd energi'!$B$1:$AI$720,MATCH(U$2,'Tillförd energi'!$B$1:$AQ$1,0),FALSE)</f>
        <v>0</v>
      </c>
      <c r="V215" s="63">
        <f>VLOOKUP($B215,'Tillförd energi'!$B$1:$AI$720,MATCH(V$2,'Tillförd energi'!$B$1:$AQ$1,0),FALSE)</f>
        <v>0</v>
      </c>
      <c r="W215" s="63">
        <f>VLOOKUP($B215,'Tillförd energi'!$B$1:$AI$720,MATCH(W$2,'Tillförd energi'!$B$1:$AQ$1,0),FALSE)</f>
        <v>1.425</v>
      </c>
      <c r="X215" s="63">
        <f>VLOOKUP($B215,'Tillförd energi'!$B$1:$AI$720,MATCH(X$2,'Tillförd energi'!$B$1:$AQ$1,0),FALSE)</f>
        <v>0</v>
      </c>
      <c r="Y215" s="63">
        <f>VLOOKUP($B215,'Tillförd energi'!$B$1:$AI$720,MATCH(Y$2,'Tillförd energi'!$B$1:$AQ$1,0),FALSE)</f>
        <v>0</v>
      </c>
      <c r="Z215" s="63">
        <f>VLOOKUP($B215,'Tillförd energi'!$B$1:$AI$720,MATCH(Z$2,'Tillförd energi'!$B$1:$AQ$1,0),FALSE)</f>
        <v>0</v>
      </c>
      <c r="AA215" s="63">
        <f>VLOOKUP($B215,'Tillförd energi'!$B$1:$AI$720,MATCH(AA$2,'Tillförd energi'!$B$1:$AQ$1,0),FALSE)</f>
        <v>0</v>
      </c>
      <c r="AB215" s="63">
        <f>VLOOKUP($B215,'Tillförd energi'!$B$1:$AI$720,MATCH(AB$2,'Tillförd energi'!$B$1:$AQ$1,0),FALSE)</f>
        <v>0</v>
      </c>
      <c r="AC215" s="63">
        <f>VLOOKUP($B215,'Tillförd energi'!$B$1:$AI$720,MATCH(AC$2,'Tillförd energi'!$B$1:$AQ$1,0),FALSE)</f>
        <v>2.8490000000000002</v>
      </c>
      <c r="AD215" s="63">
        <f>VLOOKUP($B215,'Tillförd energi'!$B$1:$AI$720,MATCH(AD$2,'Tillförd energi'!$B$1:$AQ$1,0),FALSE)</f>
        <v>0</v>
      </c>
      <c r="AE215" s="63">
        <f>VLOOKUP($B215,'Tillförd energi'!$B$1:$AI$720,MATCH(AE$2,'Tillförd energi'!$B$1:$AQ$1,0),FALSE)</f>
        <v>0</v>
      </c>
      <c r="AF215" s="63">
        <f>VLOOKUP($B215,'Tillförd energi'!$B$1:$AI$720,MATCH(AF$2,'Tillförd energi'!$B$1:$AQ$1,0),FALSE)</f>
        <v>0.497</v>
      </c>
      <c r="AG215" s="63">
        <f>IFERROR(VLOOKUP(B215,Miljö!$B$1:$AC$550,MATCH("Köpt mängd produktionsspecifik fjärrvärme:",Miljö!$B$1:$AC$1,0),FALSE)/1,0)</f>
        <v>0</v>
      </c>
      <c r="AI215" s="63">
        <f t="shared" si="18"/>
        <v>24.478000000000002</v>
      </c>
      <c r="AJ215" s="63">
        <f>IF(ISERROR(1/VLOOKUP($B215,Leveranser!$B$1:$S$500,MATCH("såld värme (gwh)",Leveranser!$B$1:$S$1,0),FALSE)),"",VLOOKUP($B215,Leveranser!$B$1:$S$500,MATCH("såld värme (gwh)",Leveranser!$B$1:$S$1,0),FALSE))</f>
        <v>16.859000000000002</v>
      </c>
      <c r="AM215" s="63" t="str">
        <f>IF(B215&lt;&gt;"",IF(VLOOKUP($B215,Totalt!$B$1:$AQ$554,MATCH("Kvalitetsgranskad:",Totalt!$B$1:$AQ$1,0),FALSE)="ja",VLOOKUP($B215,Miljö!$B$1:$AG$479,MATCH(AM$2,Miljö!$B$1:$AK$1,0),FALSE),""),"")</f>
        <v>Ja</v>
      </c>
      <c r="AN215" s="63" t="str">
        <f>IF(AM215="ja",VLOOKUP($B215,Miljö!$B$1:$J$479,MATCH("Typ av ursprungsspecificerad el   (Om inget värde anges används Nordisk residualmix, se inforuta) ()",Miljö!$B$1:$J$1,0),FALSE),IF(AM215="nej","Nordisk residualel",""))</f>
        <v>'Vattenfall EPD 100%'</v>
      </c>
      <c r="AO215" s="63">
        <f>IF(AM215="","",VLOOKUP($B215,Miljö!$B$1:$J$479,MATCH("Fossilandel för ursprungspecificerad el ()",Miljö!$B$1:$J$1,0),FALSE))</f>
        <v>0</v>
      </c>
      <c r="AQ215" s="63">
        <f t="shared" si="19"/>
        <v>1</v>
      </c>
      <c r="AS215" s="63" t="str">
        <f t="shared" si="20"/>
        <v>Nej</v>
      </c>
      <c r="AT215" s="63" t="str">
        <f>IF(AS215="ja",VLOOKUP($B215,Miljö!$B$1:$P$500,MATCH("Fossil andel i procent (%)",Miljö!$B$1:$P$1,0),FALSE)/100,"")</f>
        <v/>
      </c>
      <c r="AV215" s="63" t="str">
        <f t="shared" si="21"/>
        <v>Nej</v>
      </c>
      <c r="AW215" s="63" t="str">
        <f>IF(AV215="ja",VLOOKUP($B215,'Egen hetvattenprod'!$B$1:$AO$500,MATCH("Värmekälla till värmepumpar ()",'Egen hetvattenprod'!$B$1:$AO$1,0),FALSE),"")</f>
        <v/>
      </c>
      <c r="AY215" s="63" t="str">
        <f t="shared" si="22"/>
        <v>Ja</v>
      </c>
      <c r="AZ215" s="77">
        <f>IF($AY215="ja",(VLOOKUP($B215,'Egen hetvattenprod'!$B$1:$BX$550,MATCH(AZ$2,'Egen hetvattenprod'!$B$1:$BX$1,0),FALSE)+VLOOKUP($B215,Kraftvärmeprod!$B$1:$BX$550,MATCH(AZ$2,Kraftvärmeprod!$B$1:$BX$1,0),FALSE))/$AC215,"")</f>
        <v>1</v>
      </c>
      <c r="BA215" s="77">
        <f>IF($AY215="ja",(VLOOKUP($B215,'Egen hetvattenprod'!$B$1:$BX$550,MATCH(BA$2,'Egen hetvattenprod'!$B$1:$BX$1,0),FALSE)+VLOOKUP($B215,Kraftvärmeprod!$B$1:$BX$550,MATCH(BA$2,Kraftvärmeprod!$B$1:$BX$1,0),FALSE))/$AC215,"")</f>
        <v>0</v>
      </c>
      <c r="BB215" s="77">
        <f>IF($AY215="ja",(VLOOKUP($B215,'Egen hetvattenprod'!$B$1:$BX$550,MATCH(BB$2,'Egen hetvattenprod'!$B$1:$BX$1,0),FALSE)+VLOOKUP($B215,Kraftvärmeprod!$B$1:$BX$550,MATCH(BB$2,Kraftvärmeprod!$B$1:$BX$1,0),FALSE))/$AC215,"")</f>
        <v>0</v>
      </c>
      <c r="BC215" s="77">
        <f>IF($AY215="ja",(VLOOKUP($B215,'Egen hetvattenprod'!$B$1:$BX$550,MATCH(BC$2,'Egen hetvattenprod'!$B$1:$BX$1,0),FALSE)+VLOOKUP($B215,Kraftvärmeprod!$B$1:$BX$550,MATCH(BC$2,Kraftvärmeprod!$B$1:$BX$1,0),FALSE))/$AC215,"")</f>
        <v>0</v>
      </c>
      <c r="BD215" s="77">
        <f>IF($AY215="ja",(VLOOKUP($B215,'Egen hetvattenprod'!$B$1:$BX$550,MATCH(BD$2,'Egen hetvattenprod'!$B$1:$BX$1,0),FALSE)+VLOOKUP($B215,Kraftvärmeprod!$B$1:$BX$550,MATCH(BD$2,Kraftvärmeprod!$B$1:$BX$1,0),FALSE))/$AC215,"")</f>
        <v>0</v>
      </c>
      <c r="BF215" s="63" t="str">
        <f t="shared" si="23"/>
        <v>Nej</v>
      </c>
      <c r="BG215" s="63" t="str">
        <f>IF($BF215="ja",VLOOKUP($B215,'Egen hetvattenprod'!$B$1:$BX$550,MATCH("Andelen klimatgaser med fossilt ursprung för avfall ()",'Egen hetvattenprod'!$B$1:$BX$1,0),FALSE),"")</f>
        <v/>
      </c>
      <c r="BH215" s="63" t="str">
        <f>IF($BF215="ja",VLOOKUP($B215,Kraftvärmeprod!$B$1:$BX$550,MATCH("Andelen klimatgaser med fossilt ursprung för avfall ()",Kraftvärmeprod!$B$1:$BX$1,0),FALSE),"")</f>
        <v/>
      </c>
      <c r="BI215" s="63" t="str">
        <f>IF($BF215="ja",VLOOKUP($B215,'Egen hetvattenprod'!$B$1:$BX$550,MATCH("Avfall (GWh)",'Egen hetvattenprod'!$B$1:$BX$1,0),FALSE),"")</f>
        <v/>
      </c>
      <c r="BJ215" s="63" t="str">
        <f>IF($BF215="ja",VLOOKUP($B215,'Slutlig allokering kvv'!$B$1:$BX$550,MATCH("Avfall (GWh)",'Slutlig allokering kvv'!$B$1:$BX$1,0),FALSE),"")</f>
        <v/>
      </c>
      <c r="BK215" s="63" t="str">
        <f>IF($BF215="ja",VLOOKUP($B215,'Köpt hetvatten'!$B$1:$BX$550,MATCH("Avfall i köpt hetvatten",'Köpt hetvatten'!$B$1:$BX$1,0),FALSE),"")</f>
        <v/>
      </c>
      <c r="BL215" s="63" t="str">
        <f>IF($BF215="ja",VLOOKUP($B215,'Egen hetvattenprod'!$B$1:$BX$550,MATCH("Värde enligt ovan. (%)",'Egen hetvattenprod'!$B$1:$BX$1,0),FALSE),"")</f>
        <v/>
      </c>
      <c r="BM215" s="63" t="str">
        <f>IF($BF215="ja",VLOOKUP($B215,Kraftvärmeprod!$B$1:$BX$550,MATCH("Värde enligt ovan. (%)",Kraftvärmeprod!$B$1:$BX$1,0),FALSE),"")</f>
        <v/>
      </c>
    </row>
    <row r="216" spans="1:65" x14ac:dyDescent="0.45">
      <c r="A216" s="63" t="s">
        <v>404</v>
      </c>
      <c r="B216" s="63" t="s">
        <v>403</v>
      </c>
      <c r="C216" s="63">
        <f>VLOOKUP($B216,'Tillförd energi'!$B$1:$AI$720,MATCH(C$2,'Tillförd energi'!$B$1:$AQ$1,0),FALSE)</f>
        <v>0</v>
      </c>
      <c r="D216" s="63">
        <f>VLOOKUP($B216,'Tillförd energi'!$B$1:$AI$720,MATCH(D$2,'Tillförd energi'!$B$1:$AQ$1,0),FALSE)</f>
        <v>0</v>
      </c>
      <c r="E216" s="63">
        <f>VLOOKUP($B216,'Tillförd energi'!$B$1:$AI$720,MATCH(E$2,'Tillförd energi'!$B$1:$AQ$1,0),FALSE)</f>
        <v>0</v>
      </c>
      <c r="F216" s="63">
        <f>VLOOKUP($B216,'Tillförd energi'!$B$1:$AI$720,MATCH(F$2,'Tillförd energi'!$B$1:$AQ$1,0),FALSE)</f>
        <v>0</v>
      </c>
      <c r="G216" s="63">
        <f>VLOOKUP($B216,'Tillförd energi'!$B$1:$AI$720,MATCH(G$2,'Tillförd energi'!$B$1:$AQ$1,0),FALSE)</f>
        <v>0</v>
      </c>
      <c r="H216" s="63">
        <f>VLOOKUP($B216,'Tillförd energi'!$B$1:$AI$720,MATCH(H$2,'Tillförd energi'!$B$1:$AQ$1,0),FALSE)</f>
        <v>0</v>
      </c>
      <c r="I216" s="63">
        <f>VLOOKUP($B216,'Tillförd energi'!$B$1:$AI$720,MATCH(I$2,'Tillförd energi'!$B$1:$AQ$1,0),FALSE)</f>
        <v>0</v>
      </c>
      <c r="J216" s="63">
        <f>VLOOKUP($B216,'Tillförd energi'!$B$1:$AI$720,MATCH(J$2,'Tillförd energi'!$B$1:$AQ$1,0),FALSE)</f>
        <v>0</v>
      </c>
      <c r="K216" s="63">
        <f>VLOOKUP($B216,'Tillförd energi'!$B$1:$AI$720,MATCH(K$2,'Tillförd energi'!$B$1:$AQ$1,0),FALSE)</f>
        <v>0</v>
      </c>
      <c r="L216" s="63">
        <f>VLOOKUP($B216,'Tillförd energi'!$B$1:$AI$720,MATCH(L$2,'Tillförd energi'!$B$1:$AQ$1,0),FALSE)</f>
        <v>0</v>
      </c>
      <c r="M216" s="63">
        <f>VLOOKUP($B216,'Tillförd energi'!$B$1:$AI$720,MATCH(M$2,'Tillförd energi'!$B$1:$AQ$1,0),FALSE)</f>
        <v>1.5</v>
      </c>
      <c r="N216" s="63">
        <f>VLOOKUP($B216,'Tillförd energi'!$B$1:$AI$720,MATCH(N$2,'Tillförd energi'!$B$1:$AQ$1,0),FALSE)</f>
        <v>0</v>
      </c>
      <c r="O216" s="63">
        <f>VLOOKUP($B216,'Tillförd energi'!$B$1:$AI$720,MATCH(O$2,'Tillförd energi'!$B$1:$AQ$1,0),FALSE)</f>
        <v>0</v>
      </c>
      <c r="P216" s="63">
        <f>VLOOKUP($B216,'Tillförd energi'!$B$1:$AI$720,MATCH(P$2,'Tillförd energi'!$B$1:$AQ$1,0),FALSE)</f>
        <v>8.6999999999999993</v>
      </c>
      <c r="Q216" s="63">
        <f>VLOOKUP($B216,'Tillförd energi'!$B$1:$AI$720,MATCH(Q$2,'Tillförd energi'!$B$1:$AQ$1,0),FALSE)</f>
        <v>0</v>
      </c>
      <c r="R216" s="63">
        <f>VLOOKUP($B216,'Tillförd energi'!$B$1:$AI$720,MATCH(R$2,'Tillförd energi'!$B$1:$AQ$1,0),FALSE)</f>
        <v>1.3</v>
      </c>
      <c r="S216" s="63">
        <f>VLOOKUP($B216,'Tillförd energi'!$B$1:$AI$720,MATCH(S$2,'Tillförd energi'!$B$1:$AQ$1,0),FALSE)</f>
        <v>0</v>
      </c>
      <c r="T216" s="63">
        <f>VLOOKUP($B216,'Tillförd energi'!$B$1:$AI$720,MATCH(T$2,'Tillförd energi'!$B$1:$AQ$1,0),FALSE)</f>
        <v>0</v>
      </c>
      <c r="U216" s="63">
        <f>VLOOKUP($B216,'Tillförd energi'!$B$1:$AI$720,MATCH(U$2,'Tillförd energi'!$B$1:$AQ$1,0),FALSE)</f>
        <v>0</v>
      </c>
      <c r="V216" s="63">
        <f>VLOOKUP($B216,'Tillförd energi'!$B$1:$AI$720,MATCH(V$2,'Tillförd energi'!$B$1:$AQ$1,0),FALSE)</f>
        <v>0</v>
      </c>
      <c r="W216" s="63">
        <f>VLOOKUP($B216,'Tillförd energi'!$B$1:$AI$720,MATCH(W$2,'Tillförd energi'!$B$1:$AQ$1,0),FALSE)</f>
        <v>0</v>
      </c>
      <c r="X216" s="63">
        <f>VLOOKUP($B216,'Tillförd energi'!$B$1:$AI$720,MATCH(X$2,'Tillförd energi'!$B$1:$AQ$1,0),FALSE)</f>
        <v>0</v>
      </c>
      <c r="Y216" s="63">
        <f>VLOOKUP($B216,'Tillförd energi'!$B$1:$AI$720,MATCH(Y$2,'Tillförd energi'!$B$1:$AQ$1,0),FALSE)</f>
        <v>0</v>
      </c>
      <c r="Z216" s="63">
        <f>VLOOKUP($B216,'Tillförd energi'!$B$1:$AI$720,MATCH(Z$2,'Tillförd energi'!$B$1:$AQ$1,0),FALSE)</f>
        <v>0</v>
      </c>
      <c r="AA216" s="63">
        <f>VLOOKUP($B216,'Tillförd energi'!$B$1:$AI$720,MATCH(AA$2,'Tillförd energi'!$B$1:$AQ$1,0),FALSE)</f>
        <v>0</v>
      </c>
      <c r="AB216" s="63">
        <f>VLOOKUP($B216,'Tillförd energi'!$B$1:$AI$720,MATCH(AB$2,'Tillförd energi'!$B$1:$AQ$1,0),FALSE)</f>
        <v>0</v>
      </c>
      <c r="AC216" s="63">
        <f>VLOOKUP($B216,'Tillförd energi'!$B$1:$AI$720,MATCH(AC$2,'Tillförd energi'!$B$1:$AQ$1,0),FALSE)</f>
        <v>0</v>
      </c>
      <c r="AD216" s="63">
        <f>VLOOKUP($B216,'Tillförd energi'!$B$1:$AI$720,MATCH(AD$2,'Tillförd energi'!$B$1:$AQ$1,0),FALSE)</f>
        <v>0</v>
      </c>
      <c r="AE216" s="63">
        <f>VLOOKUP($B216,'Tillförd energi'!$B$1:$AI$720,MATCH(AE$2,'Tillförd energi'!$B$1:$AQ$1,0),FALSE)</f>
        <v>0</v>
      </c>
      <c r="AF216" s="63">
        <f>VLOOKUP($B216,'Tillförd energi'!$B$1:$AI$720,MATCH(AF$2,'Tillförd energi'!$B$1:$AQ$1,0),FALSE)</f>
        <v>0.23880000000000001</v>
      </c>
      <c r="AG216" s="63">
        <f>IFERROR(VLOOKUP(B216,Miljö!$B$1:$AC$550,MATCH("Köpt mängd produktionsspecifik fjärrvärme:",Miljö!$B$1:$AC$1,0),FALSE)/1,0)</f>
        <v>0</v>
      </c>
      <c r="AI216" s="63">
        <f t="shared" si="18"/>
        <v>11.738799999999999</v>
      </c>
      <c r="AJ216" s="63">
        <f>IF(ISERROR(1/VLOOKUP($B216,Leveranser!$B$1:$S$500,MATCH("såld värme (gwh)",Leveranser!$B$1:$S$1,0),FALSE)),"",VLOOKUP($B216,Leveranser!$B$1:$S$500,MATCH("såld värme (gwh)",Leveranser!$B$1:$S$1,0),FALSE))</f>
        <v>7.96</v>
      </c>
      <c r="AM216" s="63" t="str">
        <f>IF(B216&lt;&gt;"",IF(VLOOKUP($B216,Totalt!$B$1:$AQ$554,MATCH("Kvalitetsgranskad:",Totalt!$B$1:$AQ$1,0),FALSE)="ja",VLOOKUP($B216,Miljö!$B$1:$AG$479,MATCH(AM$2,Miljö!$B$1:$AK$1,0),FALSE),""),"")</f>
        <v>Ja</v>
      </c>
      <c r="AN216" s="63" t="str">
        <f>IF(AM216="ja",VLOOKUP($B216,Miljö!$B$1:$J$479,MATCH("Typ av ursprungsspecificerad el   (Om inget värde anges används Nordisk residualmix, se inforuta) ()",Miljö!$B$1:$J$1,0),FALSE),IF(AM216="nej","Nordisk residualel",""))</f>
        <v>'Vattenkraft'</v>
      </c>
      <c r="AO216" s="63">
        <f>IF(AM216="","",VLOOKUP($B216,Miljö!$B$1:$J$479,MATCH("Fossilandel för ursprungspecificerad el ()",Miljö!$B$1:$J$1,0),FALSE))</f>
        <v>0</v>
      </c>
      <c r="AQ216" s="63">
        <f t="shared" si="19"/>
        <v>1</v>
      </c>
      <c r="AS216" s="63" t="str">
        <f t="shared" si="20"/>
        <v>Nej</v>
      </c>
      <c r="AT216" s="63" t="str">
        <f>IF(AS216="ja",VLOOKUP($B216,Miljö!$B$1:$P$500,MATCH("Fossil andel i procent (%)",Miljö!$B$1:$P$1,0),FALSE)/100,"")</f>
        <v/>
      </c>
      <c r="AV216" s="63" t="str">
        <f t="shared" si="21"/>
        <v>Nej</v>
      </c>
      <c r="AW216" s="63" t="str">
        <f>IF(AV216="ja",VLOOKUP($B216,'Egen hetvattenprod'!$B$1:$AO$500,MATCH("Värmekälla till värmepumpar ()",'Egen hetvattenprod'!$B$1:$AO$1,0),FALSE),"")</f>
        <v/>
      </c>
      <c r="AY216" s="63" t="str">
        <f t="shared" si="22"/>
        <v>Nej</v>
      </c>
      <c r="AZ216" s="77" t="str">
        <f>IF($AY216="ja",(VLOOKUP($B216,'Egen hetvattenprod'!$B$1:$BX$550,MATCH(AZ$2,'Egen hetvattenprod'!$B$1:$BX$1,0),FALSE)+VLOOKUP($B216,Kraftvärmeprod!$B$1:$BX$550,MATCH(AZ$2,Kraftvärmeprod!$B$1:$BX$1,0),FALSE))/$AC216,"")</f>
        <v/>
      </c>
      <c r="BA216" s="77" t="str">
        <f>IF($AY216="ja",(VLOOKUP($B216,'Egen hetvattenprod'!$B$1:$BX$550,MATCH(BA$2,'Egen hetvattenprod'!$B$1:$BX$1,0),FALSE)+VLOOKUP($B216,Kraftvärmeprod!$B$1:$BX$550,MATCH(BA$2,Kraftvärmeprod!$B$1:$BX$1,0),FALSE))/$AC216,"")</f>
        <v/>
      </c>
      <c r="BB216" s="77" t="str">
        <f>IF($AY216="ja",(VLOOKUP($B216,'Egen hetvattenprod'!$B$1:$BX$550,MATCH(BB$2,'Egen hetvattenprod'!$B$1:$BX$1,0),FALSE)+VLOOKUP($B216,Kraftvärmeprod!$B$1:$BX$550,MATCH(BB$2,Kraftvärmeprod!$B$1:$BX$1,0),FALSE))/$AC216,"")</f>
        <v/>
      </c>
      <c r="BC216" s="77" t="str">
        <f>IF($AY216="ja",(VLOOKUP($B216,'Egen hetvattenprod'!$B$1:$BX$550,MATCH(BC$2,'Egen hetvattenprod'!$B$1:$BX$1,0),FALSE)+VLOOKUP($B216,Kraftvärmeprod!$B$1:$BX$550,MATCH(BC$2,Kraftvärmeprod!$B$1:$BX$1,0),FALSE))/$AC216,"")</f>
        <v/>
      </c>
      <c r="BD216" s="77" t="str">
        <f>IF($AY216="ja",(VLOOKUP($B216,'Egen hetvattenprod'!$B$1:$BX$550,MATCH(BD$2,'Egen hetvattenprod'!$B$1:$BX$1,0),FALSE)+VLOOKUP($B216,Kraftvärmeprod!$B$1:$BX$550,MATCH(BD$2,Kraftvärmeprod!$B$1:$BX$1,0),FALSE))/$AC216,"")</f>
        <v/>
      </c>
      <c r="BF216" s="63" t="str">
        <f t="shared" si="23"/>
        <v>Nej</v>
      </c>
      <c r="BG216" s="63" t="str">
        <f>IF($BF216="ja",VLOOKUP($B216,'Egen hetvattenprod'!$B$1:$BX$550,MATCH("Andelen klimatgaser med fossilt ursprung för avfall ()",'Egen hetvattenprod'!$B$1:$BX$1,0),FALSE),"")</f>
        <v/>
      </c>
      <c r="BH216" s="63" t="str">
        <f>IF($BF216="ja",VLOOKUP($B216,Kraftvärmeprod!$B$1:$BX$550,MATCH("Andelen klimatgaser med fossilt ursprung för avfall ()",Kraftvärmeprod!$B$1:$BX$1,0),FALSE),"")</f>
        <v/>
      </c>
      <c r="BI216" s="63" t="str">
        <f>IF($BF216="ja",VLOOKUP($B216,'Egen hetvattenprod'!$B$1:$BX$550,MATCH("Avfall (GWh)",'Egen hetvattenprod'!$B$1:$BX$1,0),FALSE),"")</f>
        <v/>
      </c>
      <c r="BJ216" s="63" t="str">
        <f>IF($BF216="ja",VLOOKUP($B216,'Slutlig allokering kvv'!$B$1:$BX$550,MATCH("Avfall (GWh)",'Slutlig allokering kvv'!$B$1:$BX$1,0),FALSE),"")</f>
        <v/>
      </c>
      <c r="BK216" s="63" t="str">
        <f>IF($BF216="ja",VLOOKUP($B216,'Köpt hetvatten'!$B$1:$BX$550,MATCH("Avfall i köpt hetvatten",'Köpt hetvatten'!$B$1:$BX$1,0),FALSE),"")</f>
        <v/>
      </c>
      <c r="BL216" s="63" t="str">
        <f>IF($BF216="ja",VLOOKUP($B216,'Egen hetvattenprod'!$B$1:$BX$550,MATCH("Värde enligt ovan. (%)",'Egen hetvattenprod'!$B$1:$BX$1,0),FALSE),"")</f>
        <v/>
      </c>
      <c r="BM216" s="63" t="str">
        <f>IF($BF216="ja",VLOOKUP($B216,Kraftvärmeprod!$B$1:$BX$550,MATCH("Värde enligt ovan. (%)",Kraftvärmeprod!$B$1:$BX$1,0),FALSE),"")</f>
        <v/>
      </c>
    </row>
    <row r="217" spans="1:65" x14ac:dyDescent="0.45">
      <c r="A217" s="63" t="s">
        <v>402</v>
      </c>
      <c r="B217" s="63" t="s">
        <v>401</v>
      </c>
      <c r="C217" s="63">
        <f>VLOOKUP($B217,'Tillförd energi'!$B$1:$AI$720,MATCH(C$2,'Tillförd energi'!$B$1:$AQ$1,0),FALSE)</f>
        <v>0</v>
      </c>
      <c r="D217" s="63">
        <f>VLOOKUP($B217,'Tillförd energi'!$B$1:$AI$720,MATCH(D$2,'Tillförd energi'!$B$1:$AQ$1,0),FALSE)</f>
        <v>3.9588999999999999</v>
      </c>
      <c r="E217" s="63">
        <f>VLOOKUP($B217,'Tillförd energi'!$B$1:$AI$720,MATCH(E$2,'Tillförd energi'!$B$1:$AQ$1,0),FALSE)</f>
        <v>0</v>
      </c>
      <c r="F217" s="63">
        <f>VLOOKUP($B217,'Tillförd energi'!$B$1:$AI$720,MATCH(F$2,'Tillförd energi'!$B$1:$AQ$1,0),FALSE)</f>
        <v>0</v>
      </c>
      <c r="G217" s="63">
        <f>VLOOKUP($B217,'Tillförd energi'!$B$1:$AI$720,MATCH(G$2,'Tillförd energi'!$B$1:$AQ$1,0),FALSE)</f>
        <v>0</v>
      </c>
      <c r="H217" s="63">
        <f>VLOOKUP($B217,'Tillförd energi'!$B$1:$AI$720,MATCH(H$2,'Tillförd energi'!$B$1:$AQ$1,0),FALSE)</f>
        <v>0</v>
      </c>
      <c r="I217" s="63">
        <f>VLOOKUP($B217,'Tillförd energi'!$B$1:$AI$720,MATCH(I$2,'Tillförd energi'!$B$1:$AQ$1,0),FALSE)</f>
        <v>123.10299999999999</v>
      </c>
      <c r="J217" s="63">
        <f>VLOOKUP($B217,'Tillförd energi'!$B$1:$AI$720,MATCH(J$2,'Tillförd energi'!$B$1:$AQ$1,0),FALSE)</f>
        <v>0</v>
      </c>
      <c r="K217" s="63">
        <f>VLOOKUP($B217,'Tillförd energi'!$B$1:$AI$720,MATCH(K$2,'Tillförd energi'!$B$1:$AQ$1,0),FALSE)</f>
        <v>0</v>
      </c>
      <c r="L217" s="63">
        <f>VLOOKUP($B217,'Tillförd energi'!$B$1:$AI$720,MATCH(L$2,'Tillförd energi'!$B$1:$AQ$1,0),FALSE)</f>
        <v>0</v>
      </c>
      <c r="M217" s="63">
        <f>VLOOKUP($B217,'Tillförd energi'!$B$1:$AI$720,MATCH(M$2,'Tillförd energi'!$B$1:$AQ$1,0),FALSE)</f>
        <v>0</v>
      </c>
      <c r="N217" s="63">
        <f>VLOOKUP($B217,'Tillförd energi'!$B$1:$AI$720,MATCH(N$2,'Tillförd energi'!$B$1:$AQ$1,0),FALSE)</f>
        <v>0</v>
      </c>
      <c r="O217" s="63">
        <f>VLOOKUP($B217,'Tillförd energi'!$B$1:$AI$720,MATCH(O$2,'Tillförd energi'!$B$1:$AQ$1,0),FALSE)</f>
        <v>43.548400000000001</v>
      </c>
      <c r="P217" s="63">
        <f>VLOOKUP($B217,'Tillförd energi'!$B$1:$AI$720,MATCH(P$2,'Tillförd energi'!$B$1:$AQ$1,0),FALSE)</f>
        <v>0</v>
      </c>
      <c r="Q217" s="63">
        <f>VLOOKUP($B217,'Tillförd energi'!$B$1:$AI$720,MATCH(Q$2,'Tillförd energi'!$B$1:$AQ$1,0),FALSE)</f>
        <v>0</v>
      </c>
      <c r="R217" s="63">
        <f>VLOOKUP($B217,'Tillförd energi'!$B$1:$AI$720,MATCH(R$2,'Tillförd energi'!$B$1:$AQ$1,0),FALSE)</f>
        <v>0</v>
      </c>
      <c r="S217" s="63">
        <f>VLOOKUP($B217,'Tillförd energi'!$B$1:$AI$720,MATCH(S$2,'Tillförd energi'!$B$1:$AQ$1,0),FALSE)</f>
        <v>0</v>
      </c>
      <c r="T217" s="63">
        <f>VLOOKUP($B217,'Tillförd energi'!$B$1:$AI$720,MATCH(T$2,'Tillförd energi'!$B$1:$AQ$1,0),FALSE)</f>
        <v>0</v>
      </c>
      <c r="U217" s="63">
        <f>VLOOKUP($B217,'Tillförd energi'!$B$1:$AI$720,MATCH(U$2,'Tillförd energi'!$B$1:$AQ$1,0),FALSE)</f>
        <v>0</v>
      </c>
      <c r="V217" s="63">
        <f>VLOOKUP($B217,'Tillförd energi'!$B$1:$AI$720,MATCH(V$2,'Tillförd energi'!$B$1:$AQ$1,0),FALSE)</f>
        <v>0</v>
      </c>
      <c r="W217" s="63">
        <f>VLOOKUP($B217,'Tillförd energi'!$B$1:$AI$720,MATCH(W$2,'Tillförd energi'!$B$1:$AQ$1,0),FALSE)</f>
        <v>0</v>
      </c>
      <c r="X217" s="63">
        <f>VLOOKUP($B217,'Tillförd energi'!$B$1:$AI$720,MATCH(X$2,'Tillförd energi'!$B$1:$AQ$1,0),FALSE)</f>
        <v>0</v>
      </c>
      <c r="Y217" s="63">
        <f>VLOOKUP($B217,'Tillförd energi'!$B$1:$AI$720,MATCH(Y$2,'Tillförd energi'!$B$1:$AQ$1,0),FALSE)</f>
        <v>0</v>
      </c>
      <c r="Z217" s="63">
        <f>VLOOKUP($B217,'Tillförd energi'!$B$1:$AI$720,MATCH(Z$2,'Tillförd energi'!$B$1:$AQ$1,0),FALSE)</f>
        <v>0</v>
      </c>
      <c r="AA217" s="63">
        <f>VLOOKUP($B217,'Tillförd energi'!$B$1:$AI$720,MATCH(AA$2,'Tillförd energi'!$B$1:$AQ$1,0),FALSE)</f>
        <v>0</v>
      </c>
      <c r="AB217" s="63">
        <f>VLOOKUP($B217,'Tillförd energi'!$B$1:$AI$720,MATCH(AB$2,'Tillförd energi'!$B$1:$AQ$1,0),FALSE)</f>
        <v>0</v>
      </c>
      <c r="AC217" s="63">
        <f>VLOOKUP($B217,'Tillförd energi'!$B$1:$AI$720,MATCH(AC$2,'Tillförd energi'!$B$1:$AQ$1,0),FALSE)</f>
        <v>0</v>
      </c>
      <c r="AD217" s="63">
        <f>VLOOKUP($B217,'Tillförd energi'!$B$1:$AI$720,MATCH(AD$2,'Tillförd energi'!$B$1:$AQ$1,0),FALSE)</f>
        <v>0</v>
      </c>
      <c r="AE217" s="63">
        <f>VLOOKUP($B217,'Tillförd energi'!$B$1:$AI$720,MATCH(AE$2,'Tillförd energi'!$B$1:$AQ$1,0),FALSE)</f>
        <v>0</v>
      </c>
      <c r="AF217" s="63">
        <f>VLOOKUP($B217,'Tillförd energi'!$B$1:$AI$720,MATCH(AF$2,'Tillförd energi'!$B$1:$AQ$1,0),FALSE)</f>
        <v>7.10379</v>
      </c>
      <c r="AG217" s="63">
        <f>IFERROR(VLOOKUP(B217,Miljö!$B$1:$AC$550,MATCH("Köpt mängd produktionsspecifik fjärrvärme:",Miljö!$B$1:$AC$1,0),FALSE)/1,0)</f>
        <v>0</v>
      </c>
      <c r="AI217" s="63">
        <f t="shared" si="18"/>
        <v>177.71409</v>
      </c>
      <c r="AJ217" s="63">
        <f>IF(ISERROR(1/VLOOKUP($B217,Leveranser!$B$1:$S$500,MATCH("såld värme (gwh)",Leveranser!$B$1:$S$1,0),FALSE)),"",VLOOKUP($B217,Leveranser!$B$1:$S$500,MATCH("såld värme (gwh)",Leveranser!$B$1:$S$1,0),FALSE))</f>
        <v>123.5</v>
      </c>
      <c r="AM217" s="63" t="str">
        <f>IF(B217&lt;&gt;"",IF(VLOOKUP($B217,Totalt!$B$1:$AQ$554,MATCH("Kvalitetsgranskad:",Totalt!$B$1:$AQ$1,0),FALSE)="ja",VLOOKUP($B217,Miljö!$B$1:$AG$479,MATCH(AM$2,Miljö!$B$1:$AK$1,0),FALSE),""),"")</f>
        <v>Ja</v>
      </c>
      <c r="AN217" s="63" t="str">
        <f>IF(AM217="ja",VLOOKUP($B217,Miljö!$B$1:$J$479,MATCH("Typ av ursprungsspecificerad el   (Om inget värde anges används Nordisk residualmix, se inforuta) ()",Miljö!$B$1:$J$1,0),FALSE),IF(AM217="nej","Nordisk residualel",""))</f>
        <v>'Biobränsle'</v>
      </c>
      <c r="AO217" s="63">
        <f>IF(AM217="","",VLOOKUP($B217,Miljö!$B$1:$J$479,MATCH("Fossilandel för ursprungspecificerad el ()",Miljö!$B$1:$J$1,0),FALSE))</f>
        <v>0</v>
      </c>
      <c r="AQ217" s="63">
        <f t="shared" si="19"/>
        <v>1</v>
      </c>
      <c r="AS217" s="63" t="str">
        <f t="shared" si="20"/>
        <v>Nej</v>
      </c>
      <c r="AT217" s="63" t="str">
        <f>IF(AS217="ja",VLOOKUP($B217,Miljö!$B$1:$P$500,MATCH("Fossil andel i procent (%)",Miljö!$B$1:$P$1,0),FALSE)/100,"")</f>
        <v/>
      </c>
      <c r="AV217" s="63" t="str">
        <f t="shared" si="21"/>
        <v>Nej</v>
      </c>
      <c r="AW217" s="63" t="str">
        <f>IF(AV217="ja",VLOOKUP($B217,'Egen hetvattenprod'!$B$1:$AO$500,MATCH("Värmekälla till värmepumpar ()",'Egen hetvattenprod'!$B$1:$AO$1,0),FALSE),"")</f>
        <v/>
      </c>
      <c r="AY217" s="63" t="str">
        <f t="shared" si="22"/>
        <v>Nej</v>
      </c>
      <c r="AZ217" s="77" t="str">
        <f>IF($AY217="ja",(VLOOKUP($B217,'Egen hetvattenprod'!$B$1:$BX$550,MATCH(AZ$2,'Egen hetvattenprod'!$B$1:$BX$1,0),FALSE)+VLOOKUP($B217,Kraftvärmeprod!$B$1:$BX$550,MATCH(AZ$2,Kraftvärmeprod!$B$1:$BX$1,0),FALSE))/$AC217,"")</f>
        <v/>
      </c>
      <c r="BA217" s="77" t="str">
        <f>IF($AY217="ja",(VLOOKUP($B217,'Egen hetvattenprod'!$B$1:$BX$550,MATCH(BA$2,'Egen hetvattenprod'!$B$1:$BX$1,0),FALSE)+VLOOKUP($B217,Kraftvärmeprod!$B$1:$BX$550,MATCH(BA$2,Kraftvärmeprod!$B$1:$BX$1,0),FALSE))/$AC217,"")</f>
        <v/>
      </c>
      <c r="BB217" s="77" t="str">
        <f>IF($AY217="ja",(VLOOKUP($B217,'Egen hetvattenprod'!$B$1:$BX$550,MATCH(BB$2,'Egen hetvattenprod'!$B$1:$BX$1,0),FALSE)+VLOOKUP($B217,Kraftvärmeprod!$B$1:$BX$550,MATCH(BB$2,Kraftvärmeprod!$B$1:$BX$1,0),FALSE))/$AC217,"")</f>
        <v/>
      </c>
      <c r="BC217" s="77" t="str">
        <f>IF($AY217="ja",(VLOOKUP($B217,'Egen hetvattenprod'!$B$1:$BX$550,MATCH(BC$2,'Egen hetvattenprod'!$B$1:$BX$1,0),FALSE)+VLOOKUP($B217,Kraftvärmeprod!$B$1:$BX$550,MATCH(BC$2,Kraftvärmeprod!$B$1:$BX$1,0),FALSE))/$AC217,"")</f>
        <v/>
      </c>
      <c r="BD217" s="77" t="str">
        <f>IF($AY217="ja",(VLOOKUP($B217,'Egen hetvattenprod'!$B$1:$BX$550,MATCH(BD$2,'Egen hetvattenprod'!$B$1:$BX$1,0),FALSE)+VLOOKUP($B217,Kraftvärmeprod!$B$1:$BX$550,MATCH(BD$2,Kraftvärmeprod!$B$1:$BX$1,0),FALSE))/$AC217,"")</f>
        <v/>
      </c>
      <c r="BF217" s="63" t="str">
        <f t="shared" si="23"/>
        <v>Ja</v>
      </c>
      <c r="BG217" s="63" t="str">
        <f>IF($BF217="ja",VLOOKUP($B217,'Egen hetvattenprod'!$B$1:$BX$550,MATCH("Andelen klimatgaser med fossilt ursprung för avfall ()",'Egen hetvattenprod'!$B$1:$BX$1,0),FALSE),"")</f>
        <v>ET</v>
      </c>
      <c r="BH217" s="63" t="str">
        <f>IF($BF217="ja",VLOOKUP($B217,Kraftvärmeprod!$B$1:$BX$550,MATCH("Andelen klimatgaser med fossilt ursprung för avfall ()",Kraftvärmeprod!$B$1:$BX$1,0),FALSE),"")</f>
        <v>Schablon</v>
      </c>
      <c r="BI217" s="63" t="str">
        <f>IF($BF217="ja",VLOOKUP($B217,'Egen hetvattenprod'!$B$1:$BX$550,MATCH("Avfall (GWh)",'Egen hetvattenprod'!$B$1:$BX$1,0),FALSE),"")</f>
        <v>ET</v>
      </c>
      <c r="BJ217" s="63">
        <f>IF($BF217="ja",VLOOKUP($B217,'Slutlig allokering kvv'!$B$1:$BX$550,MATCH("Avfall (GWh)",'Slutlig allokering kvv'!$B$1:$BX$1,0),FALSE),"")</f>
        <v>123.10299999999999</v>
      </c>
      <c r="BK217" s="63">
        <f>IF($BF217="ja",VLOOKUP($B217,'Köpt hetvatten'!$B$1:$BX$550,MATCH("Avfall i köpt hetvatten",'Köpt hetvatten'!$B$1:$BX$1,0),FALSE),"")</f>
        <v>0</v>
      </c>
      <c r="BL217" s="63" t="str">
        <f>IF($BF217="ja",VLOOKUP($B217,'Egen hetvattenprod'!$B$1:$BX$550,MATCH("Värde enligt ovan. (%)",'Egen hetvattenprod'!$B$1:$BX$1,0),FALSE),"")</f>
        <v>ET</v>
      </c>
      <c r="BM217" s="63">
        <f>IF($BF217="ja",VLOOKUP($B217,Kraftvärmeprod!$B$1:$BX$550,MATCH("Värde enligt ovan. (%)",Kraftvärmeprod!$B$1:$BX$1,0),FALSE),"")</f>
        <v>37.299999999999997</v>
      </c>
    </row>
    <row r="218" spans="1:65" x14ac:dyDescent="0.45">
      <c r="A218" s="63" t="s">
        <v>398</v>
      </c>
      <c r="B218" s="63" t="s">
        <v>400</v>
      </c>
      <c r="C218" s="63">
        <f>VLOOKUP($B218,'Tillförd energi'!$B$1:$AI$720,MATCH(C$2,'Tillförd energi'!$B$1:$AQ$1,0),FALSE)</f>
        <v>0</v>
      </c>
      <c r="D218" s="63">
        <f>VLOOKUP($B218,'Tillförd energi'!$B$1:$AI$720,MATCH(D$2,'Tillförd energi'!$B$1:$AQ$1,0),FALSE)</f>
        <v>7.9000000000000001E-2</v>
      </c>
      <c r="E218" s="63">
        <f>VLOOKUP($B218,'Tillförd energi'!$B$1:$AI$720,MATCH(E$2,'Tillförd energi'!$B$1:$AQ$1,0),FALSE)</f>
        <v>0</v>
      </c>
      <c r="F218" s="63">
        <f>VLOOKUP($B218,'Tillförd energi'!$B$1:$AI$720,MATCH(F$2,'Tillförd energi'!$B$1:$AQ$1,0),FALSE)</f>
        <v>0</v>
      </c>
      <c r="G218" s="63">
        <f>VLOOKUP($B218,'Tillförd energi'!$B$1:$AI$720,MATCH(G$2,'Tillförd energi'!$B$1:$AQ$1,0),FALSE)</f>
        <v>0</v>
      </c>
      <c r="H218" s="63">
        <f>VLOOKUP($B218,'Tillförd energi'!$B$1:$AI$720,MATCH(H$2,'Tillförd energi'!$B$1:$AQ$1,0),FALSE)</f>
        <v>0</v>
      </c>
      <c r="I218" s="63">
        <f>VLOOKUP($B218,'Tillförd energi'!$B$1:$AI$720,MATCH(I$2,'Tillförd energi'!$B$1:$AQ$1,0),FALSE)</f>
        <v>0</v>
      </c>
      <c r="J218" s="63">
        <f>VLOOKUP($B218,'Tillförd energi'!$B$1:$AI$720,MATCH(J$2,'Tillförd energi'!$B$1:$AQ$1,0),FALSE)</f>
        <v>0</v>
      </c>
      <c r="K218" s="63">
        <f>VLOOKUP($B218,'Tillförd energi'!$B$1:$AI$720,MATCH(K$2,'Tillförd energi'!$B$1:$AQ$1,0),FALSE)</f>
        <v>0</v>
      </c>
      <c r="L218" s="63">
        <f>VLOOKUP($B218,'Tillförd energi'!$B$1:$AI$720,MATCH(L$2,'Tillförd energi'!$B$1:$AQ$1,0),FALSE)</f>
        <v>0</v>
      </c>
      <c r="M218" s="63">
        <f>VLOOKUP($B218,'Tillförd energi'!$B$1:$AI$720,MATCH(M$2,'Tillförd energi'!$B$1:$AQ$1,0),FALSE)</f>
        <v>0</v>
      </c>
      <c r="N218" s="63">
        <f>VLOOKUP($B218,'Tillförd energi'!$B$1:$AI$720,MATCH(N$2,'Tillförd energi'!$B$1:$AQ$1,0),FALSE)</f>
        <v>0</v>
      </c>
      <c r="O218" s="63">
        <f>VLOOKUP($B218,'Tillförd energi'!$B$1:$AI$720,MATCH(O$2,'Tillförd energi'!$B$1:$AQ$1,0),FALSE)</f>
        <v>0</v>
      </c>
      <c r="P218" s="63">
        <f>VLOOKUP($B218,'Tillförd energi'!$B$1:$AI$720,MATCH(P$2,'Tillförd energi'!$B$1:$AQ$1,0),FALSE)</f>
        <v>0</v>
      </c>
      <c r="Q218" s="63">
        <f>VLOOKUP($B218,'Tillförd energi'!$B$1:$AI$720,MATCH(Q$2,'Tillförd energi'!$B$1:$AQ$1,0),FALSE)</f>
        <v>0</v>
      </c>
      <c r="R218" s="63">
        <f>VLOOKUP($B218,'Tillförd energi'!$B$1:$AI$720,MATCH(R$2,'Tillförd energi'!$B$1:$AQ$1,0),FALSE)</f>
        <v>2.2229999999999999</v>
      </c>
      <c r="S218" s="63">
        <f>VLOOKUP($B218,'Tillförd energi'!$B$1:$AI$720,MATCH(S$2,'Tillförd energi'!$B$1:$AQ$1,0),FALSE)</f>
        <v>0</v>
      </c>
      <c r="T218" s="63">
        <f>VLOOKUP($B218,'Tillförd energi'!$B$1:$AI$720,MATCH(T$2,'Tillförd energi'!$B$1:$AQ$1,0),FALSE)</f>
        <v>0</v>
      </c>
      <c r="U218" s="63">
        <f>VLOOKUP($B218,'Tillförd energi'!$B$1:$AI$720,MATCH(U$2,'Tillförd energi'!$B$1:$AQ$1,0),FALSE)</f>
        <v>0</v>
      </c>
      <c r="V218" s="63">
        <f>VLOOKUP($B218,'Tillförd energi'!$B$1:$AI$720,MATCH(V$2,'Tillförd energi'!$B$1:$AQ$1,0),FALSE)</f>
        <v>0</v>
      </c>
      <c r="W218" s="63">
        <f>VLOOKUP($B218,'Tillförd energi'!$B$1:$AI$720,MATCH(W$2,'Tillförd energi'!$B$1:$AQ$1,0),FALSE)</f>
        <v>0</v>
      </c>
      <c r="X218" s="63">
        <f>VLOOKUP($B218,'Tillförd energi'!$B$1:$AI$720,MATCH(X$2,'Tillförd energi'!$B$1:$AQ$1,0),FALSE)</f>
        <v>0</v>
      </c>
      <c r="Y218" s="63">
        <f>VLOOKUP($B218,'Tillförd energi'!$B$1:$AI$720,MATCH(Y$2,'Tillförd energi'!$B$1:$AQ$1,0),FALSE)</f>
        <v>0</v>
      </c>
      <c r="Z218" s="63">
        <f>VLOOKUP($B218,'Tillförd energi'!$B$1:$AI$720,MATCH(Z$2,'Tillförd energi'!$B$1:$AQ$1,0),FALSE)</f>
        <v>0</v>
      </c>
      <c r="AA218" s="63">
        <f>VLOOKUP($B218,'Tillförd energi'!$B$1:$AI$720,MATCH(AA$2,'Tillförd energi'!$B$1:$AQ$1,0),FALSE)</f>
        <v>0</v>
      </c>
      <c r="AB218" s="63">
        <f>VLOOKUP($B218,'Tillförd energi'!$B$1:$AI$720,MATCH(AB$2,'Tillförd energi'!$B$1:$AQ$1,0),FALSE)</f>
        <v>0</v>
      </c>
      <c r="AC218" s="63">
        <f>VLOOKUP($B218,'Tillförd energi'!$B$1:$AI$720,MATCH(AC$2,'Tillförd energi'!$B$1:$AQ$1,0),FALSE)</f>
        <v>0</v>
      </c>
      <c r="AD218" s="63">
        <f>VLOOKUP($B218,'Tillförd energi'!$B$1:$AI$720,MATCH(AD$2,'Tillförd energi'!$B$1:$AQ$1,0),FALSE)</f>
        <v>0</v>
      </c>
      <c r="AE218" s="63">
        <f>VLOOKUP($B218,'Tillförd energi'!$B$1:$AI$720,MATCH(AE$2,'Tillförd energi'!$B$1:$AQ$1,0),FALSE)</f>
        <v>0</v>
      </c>
      <c r="AF218" s="63">
        <f>VLOOKUP($B218,'Tillförd energi'!$B$1:$AI$720,MATCH(AF$2,'Tillförd energi'!$B$1:$AQ$1,0),FALSE)</f>
        <v>2.9000000000000001E-2</v>
      </c>
      <c r="AG218" s="63">
        <f>IFERROR(VLOOKUP(B218,Miljö!$B$1:$AC$550,MATCH("Köpt mängd produktionsspecifik fjärrvärme:",Miljö!$B$1:$AC$1,0),FALSE)/1,0)</f>
        <v>0</v>
      </c>
      <c r="AI218" s="63">
        <f t="shared" si="18"/>
        <v>2.331</v>
      </c>
      <c r="AJ218" s="63">
        <f>IF(ISERROR(1/VLOOKUP($B218,Leveranser!$B$1:$S$500,MATCH("såld värme (gwh)",Leveranser!$B$1:$S$1,0),FALSE)),"",VLOOKUP($B218,Leveranser!$B$1:$S$500,MATCH("såld värme (gwh)",Leveranser!$B$1:$S$1,0),FALSE))</f>
        <v>1.6</v>
      </c>
      <c r="AM218" s="63" t="str">
        <f>IF(B218&lt;&gt;"",IF(VLOOKUP($B218,Totalt!$B$1:$AQ$554,MATCH("Kvalitetsgranskad:",Totalt!$B$1:$AQ$1,0),FALSE)="ja",VLOOKUP($B218,Miljö!$B$1:$AG$479,MATCH(AM$2,Miljö!$B$1:$AK$1,0),FALSE),""),"")</f>
        <v>Ja</v>
      </c>
      <c r="AN218" s="63" t="str">
        <f>IF(AM218="ja",VLOOKUP($B218,Miljö!$B$1:$J$479,MATCH("Typ av ursprungsspecificerad el   (Om inget värde anges används Nordisk residualmix, se inforuta) ()",Miljö!$B$1:$J$1,0),FALSE),IF(AM218="nej","Nordisk residualel",""))</f>
        <v>'Bixia Miljömärkt'</v>
      </c>
      <c r="AO218" s="63">
        <f>IF(AM218="","",VLOOKUP($B218,Miljö!$B$1:$J$479,MATCH("Fossilandel för ursprungspecificerad el ()",Miljö!$B$1:$J$1,0),FALSE))</f>
        <v>0</v>
      </c>
      <c r="AQ218" s="63">
        <f t="shared" si="19"/>
        <v>1</v>
      </c>
      <c r="AS218" s="63" t="str">
        <f t="shared" si="20"/>
        <v>Nej</v>
      </c>
      <c r="AT218" s="63" t="str">
        <f>IF(AS218="ja",VLOOKUP($B218,Miljö!$B$1:$P$500,MATCH("Fossil andel i procent (%)",Miljö!$B$1:$P$1,0),FALSE)/100,"")</f>
        <v/>
      </c>
      <c r="AV218" s="63" t="str">
        <f t="shared" si="21"/>
        <v>Nej</v>
      </c>
      <c r="AW218" s="63" t="str">
        <f>IF(AV218="ja",VLOOKUP($B218,'Egen hetvattenprod'!$B$1:$AO$500,MATCH("Värmekälla till värmepumpar ()",'Egen hetvattenprod'!$B$1:$AO$1,0),FALSE),"")</f>
        <v/>
      </c>
      <c r="AY218" s="63" t="str">
        <f t="shared" si="22"/>
        <v>Nej</v>
      </c>
      <c r="AZ218" s="77" t="str">
        <f>IF($AY218="ja",(VLOOKUP($B218,'Egen hetvattenprod'!$B$1:$BX$550,MATCH(AZ$2,'Egen hetvattenprod'!$B$1:$BX$1,0),FALSE)+VLOOKUP($B218,Kraftvärmeprod!$B$1:$BX$550,MATCH(AZ$2,Kraftvärmeprod!$B$1:$BX$1,0),FALSE))/$AC218,"")</f>
        <v/>
      </c>
      <c r="BA218" s="77" t="str">
        <f>IF($AY218="ja",(VLOOKUP($B218,'Egen hetvattenprod'!$B$1:$BX$550,MATCH(BA$2,'Egen hetvattenprod'!$B$1:$BX$1,0),FALSE)+VLOOKUP($B218,Kraftvärmeprod!$B$1:$BX$550,MATCH(BA$2,Kraftvärmeprod!$B$1:$BX$1,0),FALSE))/$AC218,"")</f>
        <v/>
      </c>
      <c r="BB218" s="77" t="str">
        <f>IF($AY218="ja",(VLOOKUP($B218,'Egen hetvattenprod'!$B$1:$BX$550,MATCH(BB$2,'Egen hetvattenprod'!$B$1:$BX$1,0),FALSE)+VLOOKUP($B218,Kraftvärmeprod!$B$1:$BX$550,MATCH(BB$2,Kraftvärmeprod!$B$1:$BX$1,0),FALSE))/$AC218,"")</f>
        <v/>
      </c>
      <c r="BC218" s="77" t="str">
        <f>IF($AY218="ja",(VLOOKUP($B218,'Egen hetvattenprod'!$B$1:$BX$550,MATCH(BC$2,'Egen hetvattenprod'!$B$1:$BX$1,0),FALSE)+VLOOKUP($B218,Kraftvärmeprod!$B$1:$BX$550,MATCH(BC$2,Kraftvärmeprod!$B$1:$BX$1,0),FALSE))/$AC218,"")</f>
        <v/>
      </c>
      <c r="BD218" s="77" t="str">
        <f>IF($AY218="ja",(VLOOKUP($B218,'Egen hetvattenprod'!$B$1:$BX$550,MATCH(BD$2,'Egen hetvattenprod'!$B$1:$BX$1,0),FALSE)+VLOOKUP($B218,Kraftvärmeprod!$B$1:$BX$550,MATCH(BD$2,Kraftvärmeprod!$B$1:$BX$1,0),FALSE))/$AC218,"")</f>
        <v/>
      </c>
      <c r="BF218" s="63" t="str">
        <f t="shared" si="23"/>
        <v>Nej</v>
      </c>
      <c r="BG218" s="63" t="str">
        <f>IF($BF218="ja",VLOOKUP($B218,'Egen hetvattenprod'!$B$1:$BX$550,MATCH("Andelen klimatgaser med fossilt ursprung för avfall ()",'Egen hetvattenprod'!$B$1:$BX$1,0),FALSE),"")</f>
        <v/>
      </c>
      <c r="BH218" s="63" t="str">
        <f>IF($BF218="ja",VLOOKUP($B218,Kraftvärmeprod!$B$1:$BX$550,MATCH("Andelen klimatgaser med fossilt ursprung för avfall ()",Kraftvärmeprod!$B$1:$BX$1,0),FALSE),"")</f>
        <v/>
      </c>
      <c r="BI218" s="63" t="str">
        <f>IF($BF218="ja",VLOOKUP($B218,'Egen hetvattenprod'!$B$1:$BX$550,MATCH("Avfall (GWh)",'Egen hetvattenprod'!$B$1:$BX$1,0),FALSE),"")</f>
        <v/>
      </c>
      <c r="BJ218" s="63" t="str">
        <f>IF($BF218="ja",VLOOKUP($B218,'Slutlig allokering kvv'!$B$1:$BX$550,MATCH("Avfall (GWh)",'Slutlig allokering kvv'!$B$1:$BX$1,0),FALSE),"")</f>
        <v/>
      </c>
      <c r="BK218" s="63" t="str">
        <f>IF($BF218="ja",VLOOKUP($B218,'Köpt hetvatten'!$B$1:$BX$550,MATCH("Avfall i köpt hetvatten",'Köpt hetvatten'!$B$1:$BX$1,0),FALSE),"")</f>
        <v/>
      </c>
      <c r="BL218" s="63" t="str">
        <f>IF($BF218="ja",VLOOKUP($B218,'Egen hetvattenprod'!$B$1:$BX$550,MATCH("Värde enligt ovan. (%)",'Egen hetvattenprod'!$B$1:$BX$1,0),FALSE),"")</f>
        <v/>
      </c>
      <c r="BM218" s="63" t="str">
        <f>IF($BF218="ja",VLOOKUP($B218,Kraftvärmeprod!$B$1:$BX$550,MATCH("Värde enligt ovan. (%)",Kraftvärmeprod!$B$1:$BX$1,0),FALSE),"")</f>
        <v/>
      </c>
    </row>
    <row r="219" spans="1:65" x14ac:dyDescent="0.45">
      <c r="A219" s="63" t="s">
        <v>398</v>
      </c>
      <c r="B219" s="63" t="s">
        <v>399</v>
      </c>
      <c r="C219" s="63">
        <f>VLOOKUP($B219,'Tillförd energi'!$B$1:$AI$720,MATCH(C$2,'Tillförd energi'!$B$1:$AQ$1,0),FALSE)</f>
        <v>0</v>
      </c>
      <c r="D219" s="63">
        <f>VLOOKUP($B219,'Tillförd energi'!$B$1:$AI$720,MATCH(D$2,'Tillförd energi'!$B$1:$AQ$1,0),FALSE)</f>
        <v>0.41099999999999998</v>
      </c>
      <c r="E219" s="63">
        <f>VLOOKUP($B219,'Tillförd energi'!$B$1:$AI$720,MATCH(E$2,'Tillförd energi'!$B$1:$AQ$1,0),FALSE)</f>
        <v>0</v>
      </c>
      <c r="F219" s="63">
        <f>VLOOKUP($B219,'Tillförd energi'!$B$1:$AI$720,MATCH(F$2,'Tillförd energi'!$B$1:$AQ$1,0),FALSE)</f>
        <v>0</v>
      </c>
      <c r="G219" s="63">
        <f>VLOOKUP($B219,'Tillförd energi'!$B$1:$AI$720,MATCH(G$2,'Tillförd energi'!$B$1:$AQ$1,0),FALSE)</f>
        <v>0</v>
      </c>
      <c r="H219" s="63">
        <f>VLOOKUP($B219,'Tillförd energi'!$B$1:$AI$720,MATCH(H$2,'Tillförd energi'!$B$1:$AQ$1,0),FALSE)</f>
        <v>0</v>
      </c>
      <c r="I219" s="63">
        <f>VLOOKUP($B219,'Tillförd energi'!$B$1:$AI$720,MATCH(I$2,'Tillförd energi'!$B$1:$AQ$1,0),FALSE)</f>
        <v>0</v>
      </c>
      <c r="J219" s="63">
        <f>VLOOKUP($B219,'Tillförd energi'!$B$1:$AI$720,MATCH(J$2,'Tillförd energi'!$B$1:$AQ$1,0),FALSE)</f>
        <v>0</v>
      </c>
      <c r="K219" s="63">
        <f>VLOOKUP($B219,'Tillförd energi'!$B$1:$AI$720,MATCH(K$2,'Tillförd energi'!$B$1:$AQ$1,0),FALSE)</f>
        <v>0</v>
      </c>
      <c r="L219" s="63">
        <f>VLOOKUP($B219,'Tillförd energi'!$B$1:$AI$720,MATCH(L$2,'Tillförd energi'!$B$1:$AQ$1,0),FALSE)</f>
        <v>0</v>
      </c>
      <c r="M219" s="63">
        <f>VLOOKUP($B219,'Tillförd energi'!$B$1:$AI$720,MATCH(M$2,'Tillförd energi'!$B$1:$AQ$1,0),FALSE)</f>
        <v>0</v>
      </c>
      <c r="N219" s="63">
        <f>VLOOKUP($B219,'Tillförd energi'!$B$1:$AI$720,MATCH(N$2,'Tillförd energi'!$B$1:$AQ$1,0),FALSE)</f>
        <v>0</v>
      </c>
      <c r="O219" s="63">
        <f>VLOOKUP($B219,'Tillförd energi'!$B$1:$AI$720,MATCH(O$2,'Tillförd energi'!$B$1:$AQ$1,0),FALSE)</f>
        <v>0</v>
      </c>
      <c r="P219" s="63">
        <f>VLOOKUP($B219,'Tillförd energi'!$B$1:$AI$720,MATCH(P$2,'Tillförd energi'!$B$1:$AQ$1,0),FALSE)</f>
        <v>12.47</v>
      </c>
      <c r="Q219" s="63">
        <f>VLOOKUP($B219,'Tillförd energi'!$B$1:$AI$720,MATCH(Q$2,'Tillförd energi'!$B$1:$AQ$1,0),FALSE)</f>
        <v>0</v>
      </c>
      <c r="R219" s="63">
        <f>VLOOKUP($B219,'Tillförd energi'!$B$1:$AI$720,MATCH(R$2,'Tillförd energi'!$B$1:$AQ$1,0),FALSE)</f>
        <v>0</v>
      </c>
      <c r="S219" s="63">
        <f>VLOOKUP($B219,'Tillförd energi'!$B$1:$AI$720,MATCH(S$2,'Tillförd energi'!$B$1:$AQ$1,0),FALSE)</f>
        <v>0</v>
      </c>
      <c r="T219" s="63">
        <f>VLOOKUP($B219,'Tillförd energi'!$B$1:$AI$720,MATCH(T$2,'Tillförd energi'!$B$1:$AQ$1,0),FALSE)</f>
        <v>0</v>
      </c>
      <c r="U219" s="63">
        <f>VLOOKUP($B219,'Tillförd energi'!$B$1:$AI$720,MATCH(U$2,'Tillförd energi'!$B$1:$AQ$1,0),FALSE)</f>
        <v>0</v>
      </c>
      <c r="V219" s="63">
        <f>VLOOKUP($B219,'Tillförd energi'!$B$1:$AI$720,MATCH(V$2,'Tillförd energi'!$B$1:$AQ$1,0),FALSE)</f>
        <v>0</v>
      </c>
      <c r="W219" s="63">
        <f>VLOOKUP($B219,'Tillförd energi'!$B$1:$AI$720,MATCH(W$2,'Tillförd energi'!$B$1:$AQ$1,0),FALSE)</f>
        <v>1.6</v>
      </c>
      <c r="X219" s="63">
        <f>VLOOKUP($B219,'Tillförd energi'!$B$1:$AI$720,MATCH(X$2,'Tillförd energi'!$B$1:$AQ$1,0),FALSE)</f>
        <v>0</v>
      </c>
      <c r="Y219" s="63">
        <f>VLOOKUP($B219,'Tillförd energi'!$B$1:$AI$720,MATCH(Y$2,'Tillförd energi'!$B$1:$AQ$1,0),FALSE)</f>
        <v>0</v>
      </c>
      <c r="Z219" s="63">
        <f>VLOOKUP($B219,'Tillförd energi'!$B$1:$AI$720,MATCH(Z$2,'Tillförd energi'!$B$1:$AQ$1,0),FALSE)</f>
        <v>0</v>
      </c>
      <c r="AA219" s="63">
        <f>VLOOKUP($B219,'Tillförd energi'!$B$1:$AI$720,MATCH(AA$2,'Tillförd energi'!$B$1:$AQ$1,0),FALSE)</f>
        <v>0</v>
      </c>
      <c r="AB219" s="63">
        <f>VLOOKUP($B219,'Tillförd energi'!$B$1:$AI$720,MATCH(AB$2,'Tillförd energi'!$B$1:$AQ$1,0),FALSE)</f>
        <v>0</v>
      </c>
      <c r="AC219" s="63">
        <f>VLOOKUP($B219,'Tillförd energi'!$B$1:$AI$720,MATCH(AC$2,'Tillförd energi'!$B$1:$AQ$1,0),FALSE)</f>
        <v>1.21</v>
      </c>
      <c r="AD219" s="63">
        <f>VLOOKUP($B219,'Tillförd energi'!$B$1:$AI$720,MATCH(AD$2,'Tillförd energi'!$B$1:$AQ$1,0),FALSE)</f>
        <v>0</v>
      </c>
      <c r="AE219" s="63">
        <f>VLOOKUP($B219,'Tillförd energi'!$B$1:$AI$720,MATCH(AE$2,'Tillförd energi'!$B$1:$AQ$1,0),FALSE)</f>
        <v>0</v>
      </c>
      <c r="AF219" s="63">
        <f>VLOOKUP($B219,'Tillförd energi'!$B$1:$AI$720,MATCH(AF$2,'Tillförd energi'!$B$1:$AQ$1,0),FALSE)</f>
        <v>0.24399999999999999</v>
      </c>
      <c r="AG219" s="63">
        <f>IFERROR(VLOOKUP(B219,Miljö!$B$1:$AC$550,MATCH("Köpt mängd produktionsspecifik fjärrvärme:",Miljö!$B$1:$AC$1,0),FALSE)/1,0)</f>
        <v>0</v>
      </c>
      <c r="AI219" s="63">
        <f t="shared" si="18"/>
        <v>15.934999999999999</v>
      </c>
      <c r="AJ219" s="63">
        <f>IF(ISERROR(1/VLOOKUP($B219,Leveranser!$B$1:$S$500,MATCH("såld värme (gwh)",Leveranser!$B$1:$S$1,0),FALSE)),"",VLOOKUP($B219,Leveranser!$B$1:$S$500,MATCH("såld värme (gwh)",Leveranser!$B$1:$S$1,0),FALSE))</f>
        <v>10.36</v>
      </c>
      <c r="AM219" s="63" t="str">
        <f>IF(B219&lt;&gt;"",IF(VLOOKUP($B219,Totalt!$B$1:$AQ$554,MATCH("Kvalitetsgranskad:",Totalt!$B$1:$AQ$1,0),FALSE)="ja",VLOOKUP($B219,Miljö!$B$1:$AG$479,MATCH(AM$2,Miljö!$B$1:$AK$1,0),FALSE),""),"")</f>
        <v>Ja</v>
      </c>
      <c r="AN219" s="63" t="str">
        <f>IF(AM219="ja",VLOOKUP($B219,Miljö!$B$1:$J$479,MATCH("Typ av ursprungsspecificerad el   (Om inget värde anges används Nordisk residualmix, se inforuta) ()",Miljö!$B$1:$J$1,0),FALSE),IF(AM219="nej","Nordisk residualel",""))</f>
        <v>'Bixia Miljömärkt'</v>
      </c>
      <c r="AO219" s="63">
        <f>IF(AM219="","",VLOOKUP($B219,Miljö!$B$1:$J$479,MATCH("Fossilandel för ursprungspecificerad el ()",Miljö!$B$1:$J$1,0),FALSE))</f>
        <v>0</v>
      </c>
      <c r="AQ219" s="63">
        <f t="shared" si="19"/>
        <v>1</v>
      </c>
      <c r="AS219" s="63" t="str">
        <f t="shared" si="20"/>
        <v>Nej</v>
      </c>
      <c r="AT219" s="63" t="str">
        <f>IF(AS219="ja",VLOOKUP($B219,Miljö!$B$1:$P$500,MATCH("Fossil andel i procent (%)",Miljö!$B$1:$P$1,0),FALSE)/100,"")</f>
        <v/>
      </c>
      <c r="AV219" s="63" t="str">
        <f t="shared" si="21"/>
        <v>Nej</v>
      </c>
      <c r="AW219" s="63" t="str">
        <f>IF(AV219="ja",VLOOKUP($B219,'Egen hetvattenprod'!$B$1:$AO$500,MATCH("Värmekälla till värmepumpar ()",'Egen hetvattenprod'!$B$1:$AO$1,0),FALSE),"")</f>
        <v/>
      </c>
      <c r="AY219" s="63" t="str">
        <f t="shared" si="22"/>
        <v>Ja</v>
      </c>
      <c r="AZ219" s="77">
        <f>IF($AY219="ja",(VLOOKUP($B219,'Egen hetvattenprod'!$B$1:$BX$550,MATCH(AZ$2,'Egen hetvattenprod'!$B$1:$BX$1,0),FALSE)+VLOOKUP($B219,Kraftvärmeprod!$B$1:$BX$550,MATCH(AZ$2,Kraftvärmeprod!$B$1:$BX$1,0),FALSE))/$AC219,"")</f>
        <v>1</v>
      </c>
      <c r="BA219" s="77">
        <f>IF($AY219="ja",(VLOOKUP($B219,'Egen hetvattenprod'!$B$1:$BX$550,MATCH(BA$2,'Egen hetvattenprod'!$B$1:$BX$1,0),FALSE)+VLOOKUP($B219,Kraftvärmeprod!$B$1:$BX$550,MATCH(BA$2,Kraftvärmeprod!$B$1:$BX$1,0),FALSE))/$AC219,"")</f>
        <v>0</v>
      </c>
      <c r="BB219" s="77">
        <f>IF($AY219="ja",(VLOOKUP($B219,'Egen hetvattenprod'!$B$1:$BX$550,MATCH(BB$2,'Egen hetvattenprod'!$B$1:$BX$1,0),FALSE)+VLOOKUP($B219,Kraftvärmeprod!$B$1:$BX$550,MATCH(BB$2,Kraftvärmeprod!$B$1:$BX$1,0),FALSE))/$AC219,"")</f>
        <v>0</v>
      </c>
      <c r="BC219" s="77">
        <f>IF($AY219="ja",(VLOOKUP($B219,'Egen hetvattenprod'!$B$1:$BX$550,MATCH(BC$2,'Egen hetvattenprod'!$B$1:$BX$1,0),FALSE)+VLOOKUP($B219,Kraftvärmeprod!$B$1:$BX$550,MATCH(BC$2,Kraftvärmeprod!$B$1:$BX$1,0),FALSE))/$AC219,"")</f>
        <v>0</v>
      </c>
      <c r="BD219" s="77">
        <f>IF($AY219="ja",(VLOOKUP($B219,'Egen hetvattenprod'!$B$1:$BX$550,MATCH(BD$2,'Egen hetvattenprod'!$B$1:$BX$1,0),FALSE)+VLOOKUP($B219,Kraftvärmeprod!$B$1:$BX$550,MATCH(BD$2,Kraftvärmeprod!$B$1:$BX$1,0),FALSE))/$AC219,"")</f>
        <v>0</v>
      </c>
      <c r="BF219" s="63" t="str">
        <f t="shared" si="23"/>
        <v>Nej</v>
      </c>
      <c r="BG219" s="63" t="str">
        <f>IF($BF219="ja",VLOOKUP($B219,'Egen hetvattenprod'!$B$1:$BX$550,MATCH("Andelen klimatgaser med fossilt ursprung för avfall ()",'Egen hetvattenprod'!$B$1:$BX$1,0),FALSE),"")</f>
        <v/>
      </c>
      <c r="BH219" s="63" t="str">
        <f>IF($BF219="ja",VLOOKUP($B219,Kraftvärmeprod!$B$1:$BX$550,MATCH("Andelen klimatgaser med fossilt ursprung för avfall ()",Kraftvärmeprod!$B$1:$BX$1,0),FALSE),"")</f>
        <v/>
      </c>
      <c r="BI219" s="63" t="str">
        <f>IF($BF219="ja",VLOOKUP($B219,'Egen hetvattenprod'!$B$1:$BX$550,MATCH("Avfall (GWh)",'Egen hetvattenprod'!$B$1:$BX$1,0),FALSE),"")</f>
        <v/>
      </c>
      <c r="BJ219" s="63" t="str">
        <f>IF($BF219="ja",VLOOKUP($B219,'Slutlig allokering kvv'!$B$1:$BX$550,MATCH("Avfall (GWh)",'Slutlig allokering kvv'!$B$1:$BX$1,0),FALSE),"")</f>
        <v/>
      </c>
      <c r="BK219" s="63" t="str">
        <f>IF($BF219="ja",VLOOKUP($B219,'Köpt hetvatten'!$B$1:$BX$550,MATCH("Avfall i köpt hetvatten",'Köpt hetvatten'!$B$1:$BX$1,0),FALSE),"")</f>
        <v/>
      </c>
      <c r="BL219" s="63" t="str">
        <f>IF($BF219="ja",VLOOKUP($B219,'Egen hetvattenprod'!$B$1:$BX$550,MATCH("Värde enligt ovan. (%)",'Egen hetvattenprod'!$B$1:$BX$1,0),FALSE),"")</f>
        <v/>
      </c>
      <c r="BM219" s="63" t="str">
        <f>IF($BF219="ja",VLOOKUP($B219,Kraftvärmeprod!$B$1:$BX$550,MATCH("Värde enligt ovan. (%)",Kraftvärmeprod!$B$1:$BX$1,0),FALSE),"")</f>
        <v/>
      </c>
    </row>
    <row r="220" spans="1:65" x14ac:dyDescent="0.45">
      <c r="A220" s="63" t="s">
        <v>398</v>
      </c>
      <c r="B220" s="63" t="s">
        <v>397</v>
      </c>
      <c r="C220" s="63">
        <f>VLOOKUP($B220,'Tillförd energi'!$B$1:$AI$720,MATCH(C$2,'Tillförd energi'!$B$1:$AQ$1,0),FALSE)</f>
        <v>0</v>
      </c>
      <c r="D220" s="63">
        <f>VLOOKUP($B220,'Tillförd energi'!$B$1:$AI$720,MATCH(D$2,'Tillförd energi'!$B$1:$AQ$1,0),FALSE)</f>
        <v>5.85</v>
      </c>
      <c r="E220" s="63">
        <f>VLOOKUP($B220,'Tillförd energi'!$B$1:$AI$720,MATCH(E$2,'Tillförd energi'!$B$1:$AQ$1,0),FALSE)</f>
        <v>0</v>
      </c>
      <c r="F220" s="63">
        <f>VLOOKUP($B220,'Tillförd energi'!$B$1:$AI$720,MATCH(F$2,'Tillförd energi'!$B$1:$AQ$1,0),FALSE)</f>
        <v>0</v>
      </c>
      <c r="G220" s="63">
        <f>VLOOKUP($B220,'Tillförd energi'!$B$1:$AI$720,MATCH(G$2,'Tillförd energi'!$B$1:$AQ$1,0),FALSE)</f>
        <v>0</v>
      </c>
      <c r="H220" s="63">
        <f>VLOOKUP($B220,'Tillförd energi'!$B$1:$AI$720,MATCH(H$2,'Tillförd energi'!$B$1:$AQ$1,0),FALSE)</f>
        <v>0</v>
      </c>
      <c r="I220" s="63">
        <f>VLOOKUP($B220,'Tillförd energi'!$B$1:$AI$720,MATCH(I$2,'Tillförd energi'!$B$1:$AQ$1,0),FALSE)</f>
        <v>0</v>
      </c>
      <c r="J220" s="63">
        <f>VLOOKUP($B220,'Tillförd energi'!$B$1:$AI$720,MATCH(J$2,'Tillförd energi'!$B$1:$AQ$1,0),FALSE)</f>
        <v>0</v>
      </c>
      <c r="K220" s="63">
        <f>VLOOKUP($B220,'Tillförd energi'!$B$1:$AI$720,MATCH(K$2,'Tillförd energi'!$B$1:$AQ$1,0),FALSE)</f>
        <v>0</v>
      </c>
      <c r="L220" s="63">
        <f>VLOOKUP($B220,'Tillförd energi'!$B$1:$AI$720,MATCH(L$2,'Tillförd energi'!$B$1:$AQ$1,0),FALSE)</f>
        <v>0</v>
      </c>
      <c r="M220" s="63">
        <f>VLOOKUP($B220,'Tillförd energi'!$B$1:$AI$720,MATCH(M$2,'Tillförd energi'!$B$1:$AQ$1,0),FALSE)</f>
        <v>0</v>
      </c>
      <c r="N220" s="63">
        <f>VLOOKUP($B220,'Tillförd energi'!$B$1:$AI$720,MATCH(N$2,'Tillförd energi'!$B$1:$AQ$1,0),FALSE)</f>
        <v>121.02500000000001</v>
      </c>
      <c r="O220" s="63">
        <f>VLOOKUP($B220,'Tillförd energi'!$B$1:$AI$720,MATCH(O$2,'Tillförd energi'!$B$1:$AQ$1,0),FALSE)</f>
        <v>0</v>
      </c>
      <c r="P220" s="63">
        <f>VLOOKUP($B220,'Tillförd energi'!$B$1:$AI$720,MATCH(P$2,'Tillförd energi'!$B$1:$AQ$1,0),FALSE)</f>
        <v>0</v>
      </c>
      <c r="Q220" s="63">
        <f>VLOOKUP($B220,'Tillförd energi'!$B$1:$AI$720,MATCH(Q$2,'Tillförd energi'!$B$1:$AQ$1,0),FALSE)</f>
        <v>0</v>
      </c>
      <c r="R220" s="63">
        <f>VLOOKUP($B220,'Tillförd energi'!$B$1:$AI$720,MATCH(R$2,'Tillförd energi'!$B$1:$AQ$1,0),FALSE)</f>
        <v>0</v>
      </c>
      <c r="S220" s="63">
        <f>VLOOKUP($B220,'Tillförd energi'!$B$1:$AI$720,MATCH(S$2,'Tillförd energi'!$B$1:$AQ$1,0),FALSE)</f>
        <v>0</v>
      </c>
      <c r="T220" s="63">
        <f>VLOOKUP($B220,'Tillförd energi'!$B$1:$AI$720,MATCH(T$2,'Tillförd energi'!$B$1:$AQ$1,0),FALSE)</f>
        <v>0</v>
      </c>
      <c r="U220" s="63">
        <f>VLOOKUP($B220,'Tillförd energi'!$B$1:$AI$720,MATCH(U$2,'Tillförd energi'!$B$1:$AQ$1,0),FALSE)</f>
        <v>0</v>
      </c>
      <c r="V220" s="63">
        <f>VLOOKUP($B220,'Tillförd energi'!$B$1:$AI$720,MATCH(V$2,'Tillförd energi'!$B$1:$AQ$1,0),FALSE)</f>
        <v>0</v>
      </c>
      <c r="W220" s="63">
        <f>VLOOKUP($B220,'Tillförd energi'!$B$1:$AI$720,MATCH(W$2,'Tillförd energi'!$B$1:$AQ$1,0),FALSE)</f>
        <v>0</v>
      </c>
      <c r="X220" s="63">
        <f>VLOOKUP($B220,'Tillförd energi'!$B$1:$AI$720,MATCH(X$2,'Tillförd energi'!$B$1:$AQ$1,0),FALSE)</f>
        <v>0</v>
      </c>
      <c r="Y220" s="63">
        <f>VLOOKUP($B220,'Tillförd energi'!$B$1:$AI$720,MATCH(Y$2,'Tillförd energi'!$B$1:$AQ$1,0),FALSE)</f>
        <v>0</v>
      </c>
      <c r="Z220" s="63">
        <f>VLOOKUP($B220,'Tillförd energi'!$B$1:$AI$720,MATCH(Z$2,'Tillförd energi'!$B$1:$AQ$1,0),FALSE)</f>
        <v>0</v>
      </c>
      <c r="AA220" s="63">
        <f>VLOOKUP($B220,'Tillförd energi'!$B$1:$AI$720,MATCH(AA$2,'Tillförd energi'!$B$1:$AQ$1,0),FALSE)</f>
        <v>0</v>
      </c>
      <c r="AB220" s="63">
        <f>VLOOKUP($B220,'Tillförd energi'!$B$1:$AI$720,MATCH(AB$2,'Tillförd energi'!$B$1:$AQ$1,0),FALSE)</f>
        <v>0</v>
      </c>
      <c r="AC220" s="63">
        <f>VLOOKUP($B220,'Tillförd energi'!$B$1:$AI$720,MATCH(AC$2,'Tillförd energi'!$B$1:$AQ$1,0),FALSE)</f>
        <v>30.93</v>
      </c>
      <c r="AD220" s="63">
        <f>VLOOKUP($B220,'Tillförd energi'!$B$1:$AI$720,MATCH(AD$2,'Tillförd energi'!$B$1:$AQ$1,0),FALSE)</f>
        <v>0</v>
      </c>
      <c r="AE220" s="63">
        <f>VLOOKUP($B220,'Tillförd energi'!$B$1:$AI$720,MATCH(AE$2,'Tillförd energi'!$B$1:$AQ$1,0),FALSE)</f>
        <v>0</v>
      </c>
      <c r="AF220" s="63">
        <f>VLOOKUP($B220,'Tillförd energi'!$B$1:$AI$720,MATCH(AF$2,'Tillförd energi'!$B$1:$AQ$1,0),FALSE)</f>
        <v>4.08392</v>
      </c>
      <c r="AG220" s="63">
        <f>IFERROR(VLOOKUP(B220,Miljö!$B$1:$AC$550,MATCH("Köpt mängd produktionsspecifik fjärrvärme:",Miljö!$B$1:$AC$1,0),FALSE)/1,0)</f>
        <v>0</v>
      </c>
      <c r="AI220" s="63">
        <f t="shared" si="18"/>
        <v>161.88892000000001</v>
      </c>
      <c r="AJ220" s="63">
        <f>IF(ISERROR(1/VLOOKUP($B220,Leveranser!$B$1:$S$500,MATCH("såld värme (gwh)",Leveranser!$B$1:$S$1,0),FALSE)),"",VLOOKUP($B220,Leveranser!$B$1:$S$500,MATCH("såld värme (gwh)",Leveranser!$B$1:$S$1,0),FALSE))</f>
        <v>145.30000000000001</v>
      </c>
      <c r="AM220" s="63" t="str">
        <f>IF(B220&lt;&gt;"",IF(VLOOKUP($B220,Totalt!$B$1:$AQ$554,MATCH("Kvalitetsgranskad:",Totalt!$B$1:$AQ$1,0),FALSE)="ja",VLOOKUP($B220,Miljö!$B$1:$AG$479,MATCH(AM$2,Miljö!$B$1:$AK$1,0),FALSE),""),"")</f>
        <v>Ja</v>
      </c>
      <c r="AN220" s="63" t="str">
        <f>IF(AM220="ja",VLOOKUP($B220,Miljö!$B$1:$J$479,MATCH("Typ av ursprungsspecificerad el   (Om inget värde anges används Nordisk residualmix, se inforuta) ()",Miljö!$B$1:$J$1,0),FALSE),IF(AM220="nej","Nordisk residualel",""))</f>
        <v>'Bixia Miljömärkt'</v>
      </c>
      <c r="AO220" s="63">
        <f>IF(AM220="","",VLOOKUP($B220,Miljö!$B$1:$J$479,MATCH("Fossilandel för ursprungspecificerad el ()",Miljö!$B$1:$J$1,0),FALSE))</f>
        <v>0</v>
      </c>
      <c r="AQ220" s="63">
        <f t="shared" si="19"/>
        <v>1</v>
      </c>
      <c r="AS220" s="63" t="str">
        <f t="shared" si="20"/>
        <v>Nej</v>
      </c>
      <c r="AT220" s="63" t="str">
        <f>IF(AS220="ja",VLOOKUP($B220,Miljö!$B$1:$P$500,MATCH("Fossil andel i procent (%)",Miljö!$B$1:$P$1,0),FALSE)/100,"")</f>
        <v/>
      </c>
      <c r="AV220" s="63" t="str">
        <f t="shared" si="21"/>
        <v>Nej</v>
      </c>
      <c r="AW220" s="63" t="str">
        <f>IF(AV220="ja",VLOOKUP($B220,'Egen hetvattenprod'!$B$1:$AO$500,MATCH("Värmekälla till värmepumpar ()",'Egen hetvattenprod'!$B$1:$AO$1,0),FALSE),"")</f>
        <v/>
      </c>
      <c r="AY220" s="63" t="str">
        <f t="shared" si="22"/>
        <v>Ja</v>
      </c>
      <c r="AZ220" s="77">
        <f>IF($AY220="ja",(VLOOKUP($B220,'Egen hetvattenprod'!$B$1:$BX$550,MATCH(AZ$2,'Egen hetvattenprod'!$B$1:$BX$1,0),FALSE)+VLOOKUP($B220,Kraftvärmeprod!$B$1:$BX$550,MATCH(AZ$2,Kraftvärmeprod!$B$1:$BX$1,0),FALSE))/$AC220,"")</f>
        <v>0.24248302618816683</v>
      </c>
      <c r="BA220" s="77">
        <f>IF($AY220="ja",(VLOOKUP($B220,'Egen hetvattenprod'!$B$1:$BX$550,MATCH(BA$2,'Egen hetvattenprod'!$B$1:$BX$1,0),FALSE)+VLOOKUP($B220,Kraftvärmeprod!$B$1:$BX$550,MATCH(BA$2,Kraftvärmeprod!$B$1:$BX$1,0),FALSE))/$AC220,"")</f>
        <v>0</v>
      </c>
      <c r="BB220" s="77">
        <f>IF($AY220="ja",(VLOOKUP($B220,'Egen hetvattenprod'!$B$1:$BX$550,MATCH(BB$2,'Egen hetvattenprod'!$B$1:$BX$1,0),FALSE)+VLOOKUP($B220,Kraftvärmeprod!$B$1:$BX$550,MATCH(BB$2,Kraftvärmeprod!$B$1:$BX$1,0),FALSE))/$AC220,"")</f>
        <v>0</v>
      </c>
      <c r="BC220" s="77">
        <f>IF($AY220="ja",(VLOOKUP($B220,'Egen hetvattenprod'!$B$1:$BX$550,MATCH(BC$2,'Egen hetvattenprod'!$B$1:$BX$1,0),FALSE)+VLOOKUP($B220,Kraftvärmeprod!$B$1:$BX$550,MATCH(BC$2,Kraftvärmeprod!$B$1:$BX$1,0),FALSE))/$AC220,"")</f>
        <v>0</v>
      </c>
      <c r="BD220" s="77">
        <f>IF($AY220="ja",(VLOOKUP($B220,'Egen hetvattenprod'!$B$1:$BX$550,MATCH(BD$2,'Egen hetvattenprod'!$B$1:$BX$1,0),FALSE)+VLOOKUP($B220,Kraftvärmeprod!$B$1:$BX$550,MATCH(BD$2,Kraftvärmeprod!$B$1:$BX$1,0),FALSE))/$AC220,"")</f>
        <v>0.75751697381183314</v>
      </c>
      <c r="BF220" s="63" t="str">
        <f t="shared" si="23"/>
        <v>Nej</v>
      </c>
      <c r="BG220" s="63" t="str">
        <f>IF($BF220="ja",VLOOKUP($B220,'Egen hetvattenprod'!$B$1:$BX$550,MATCH("Andelen klimatgaser med fossilt ursprung för avfall ()",'Egen hetvattenprod'!$B$1:$BX$1,0),FALSE),"")</f>
        <v/>
      </c>
      <c r="BH220" s="63" t="str">
        <f>IF($BF220="ja",VLOOKUP($B220,Kraftvärmeprod!$B$1:$BX$550,MATCH("Andelen klimatgaser med fossilt ursprung för avfall ()",Kraftvärmeprod!$B$1:$BX$1,0),FALSE),"")</f>
        <v/>
      </c>
      <c r="BI220" s="63" t="str">
        <f>IF($BF220="ja",VLOOKUP($B220,'Egen hetvattenprod'!$B$1:$BX$550,MATCH("Avfall (GWh)",'Egen hetvattenprod'!$B$1:$BX$1,0),FALSE),"")</f>
        <v/>
      </c>
      <c r="BJ220" s="63" t="str">
        <f>IF($BF220="ja",VLOOKUP($B220,'Slutlig allokering kvv'!$B$1:$BX$550,MATCH("Avfall (GWh)",'Slutlig allokering kvv'!$B$1:$BX$1,0),FALSE),"")</f>
        <v/>
      </c>
      <c r="BK220" s="63" t="str">
        <f>IF($BF220="ja",VLOOKUP($B220,'Köpt hetvatten'!$B$1:$BX$550,MATCH("Avfall i köpt hetvatten",'Köpt hetvatten'!$B$1:$BX$1,0),FALSE),"")</f>
        <v/>
      </c>
      <c r="BL220" s="63" t="str">
        <f>IF($BF220="ja",VLOOKUP($B220,'Egen hetvattenprod'!$B$1:$BX$550,MATCH("Värde enligt ovan. (%)",'Egen hetvattenprod'!$B$1:$BX$1,0),FALSE),"")</f>
        <v/>
      </c>
      <c r="BM220" s="63" t="str">
        <f>IF($BF220="ja",VLOOKUP($B220,Kraftvärmeprod!$B$1:$BX$550,MATCH("Värde enligt ovan. (%)",Kraftvärmeprod!$B$1:$BX$1,0),FALSE),"")</f>
        <v/>
      </c>
    </row>
    <row r="221" spans="1:65" x14ac:dyDescent="0.45">
      <c r="A221" s="63" t="s">
        <v>396</v>
      </c>
      <c r="B221" s="63" t="s">
        <v>395</v>
      </c>
      <c r="C221" s="63">
        <f>VLOOKUP($B221,'Tillförd energi'!$B$1:$AI$720,MATCH(C$2,'Tillförd energi'!$B$1:$AQ$1,0),FALSE)</f>
        <v>0</v>
      </c>
      <c r="D221" s="63">
        <f>VLOOKUP($B221,'Tillförd energi'!$B$1:$AI$720,MATCH(D$2,'Tillförd energi'!$B$1:$AQ$1,0),FALSE)</f>
        <v>0</v>
      </c>
      <c r="E221" s="63">
        <f>VLOOKUP($B221,'Tillförd energi'!$B$1:$AI$720,MATCH(E$2,'Tillförd energi'!$B$1:$AQ$1,0),FALSE)</f>
        <v>0</v>
      </c>
      <c r="F221" s="63">
        <f>VLOOKUP($B221,'Tillförd energi'!$B$1:$AI$720,MATCH(F$2,'Tillförd energi'!$B$1:$AQ$1,0),FALSE)</f>
        <v>0</v>
      </c>
      <c r="G221" s="63">
        <f>VLOOKUP($B221,'Tillförd energi'!$B$1:$AI$720,MATCH(G$2,'Tillförd energi'!$B$1:$AQ$1,0),FALSE)</f>
        <v>0</v>
      </c>
      <c r="H221" s="63">
        <f>VLOOKUP($B221,'Tillförd energi'!$B$1:$AI$720,MATCH(H$2,'Tillförd energi'!$B$1:$AQ$1,0),FALSE)</f>
        <v>1.27</v>
      </c>
      <c r="I221" s="63">
        <f>VLOOKUP($B221,'Tillförd energi'!$B$1:$AI$720,MATCH(I$2,'Tillförd energi'!$B$1:$AQ$1,0),FALSE)</f>
        <v>0</v>
      </c>
      <c r="J221" s="63">
        <f>VLOOKUP($B221,'Tillförd energi'!$B$1:$AI$720,MATCH(J$2,'Tillförd energi'!$B$1:$AQ$1,0),FALSE)</f>
        <v>0</v>
      </c>
      <c r="K221" s="63">
        <f>VLOOKUP($B221,'Tillförd energi'!$B$1:$AI$720,MATCH(K$2,'Tillförd energi'!$B$1:$AQ$1,0),FALSE)</f>
        <v>0</v>
      </c>
      <c r="L221" s="63">
        <f>VLOOKUP($B221,'Tillförd energi'!$B$1:$AI$720,MATCH(L$2,'Tillförd energi'!$B$1:$AQ$1,0),FALSE)</f>
        <v>0</v>
      </c>
      <c r="M221" s="63">
        <f>VLOOKUP($B221,'Tillförd energi'!$B$1:$AI$720,MATCH(M$2,'Tillförd energi'!$B$1:$AQ$1,0),FALSE)</f>
        <v>3.05</v>
      </c>
      <c r="N221" s="63">
        <f>VLOOKUP($B221,'Tillförd energi'!$B$1:$AI$720,MATCH(N$2,'Tillförd energi'!$B$1:$AQ$1,0),FALSE)</f>
        <v>46.14</v>
      </c>
      <c r="O221" s="63">
        <f>VLOOKUP($B221,'Tillförd energi'!$B$1:$AI$720,MATCH(O$2,'Tillförd energi'!$B$1:$AQ$1,0),FALSE)</f>
        <v>0</v>
      </c>
      <c r="P221" s="63">
        <f>VLOOKUP($B221,'Tillförd energi'!$B$1:$AI$720,MATCH(P$2,'Tillförd energi'!$B$1:$AQ$1,0),FALSE)</f>
        <v>1.71</v>
      </c>
      <c r="Q221" s="63">
        <f>VLOOKUP($B221,'Tillförd energi'!$B$1:$AI$720,MATCH(Q$2,'Tillförd energi'!$B$1:$AQ$1,0),FALSE)</f>
        <v>0</v>
      </c>
      <c r="R221" s="63">
        <f>VLOOKUP($B221,'Tillförd energi'!$B$1:$AI$720,MATCH(R$2,'Tillförd energi'!$B$1:$AQ$1,0),FALSE)</f>
        <v>5.46</v>
      </c>
      <c r="S221" s="63">
        <f>VLOOKUP($B221,'Tillförd energi'!$B$1:$AI$720,MATCH(S$2,'Tillförd energi'!$B$1:$AQ$1,0),FALSE)</f>
        <v>0</v>
      </c>
      <c r="T221" s="63">
        <f>VLOOKUP($B221,'Tillförd energi'!$B$1:$AI$720,MATCH(T$2,'Tillförd energi'!$B$1:$AQ$1,0),FALSE)</f>
        <v>0</v>
      </c>
      <c r="U221" s="63">
        <f>VLOOKUP($B221,'Tillförd energi'!$B$1:$AI$720,MATCH(U$2,'Tillförd energi'!$B$1:$AQ$1,0),FALSE)</f>
        <v>0</v>
      </c>
      <c r="V221" s="63">
        <f>VLOOKUP($B221,'Tillförd energi'!$B$1:$AI$720,MATCH(V$2,'Tillförd energi'!$B$1:$AQ$1,0),FALSE)</f>
        <v>0</v>
      </c>
      <c r="W221" s="63">
        <f>VLOOKUP($B221,'Tillförd energi'!$B$1:$AI$720,MATCH(W$2,'Tillförd energi'!$B$1:$AQ$1,0),FALSE)</f>
        <v>2.16</v>
      </c>
      <c r="X221" s="63">
        <f>VLOOKUP($B221,'Tillförd energi'!$B$1:$AI$720,MATCH(X$2,'Tillförd energi'!$B$1:$AQ$1,0),FALSE)</f>
        <v>0</v>
      </c>
      <c r="Y221" s="63">
        <f>VLOOKUP($B221,'Tillförd energi'!$B$1:$AI$720,MATCH(Y$2,'Tillförd energi'!$B$1:$AQ$1,0),FALSE)</f>
        <v>0</v>
      </c>
      <c r="Z221" s="63">
        <f>VLOOKUP($B221,'Tillförd energi'!$B$1:$AI$720,MATCH(Z$2,'Tillförd energi'!$B$1:$AQ$1,0),FALSE)</f>
        <v>0</v>
      </c>
      <c r="AA221" s="63">
        <f>VLOOKUP($B221,'Tillförd energi'!$B$1:$AI$720,MATCH(AA$2,'Tillförd energi'!$B$1:$AQ$1,0),FALSE)</f>
        <v>0</v>
      </c>
      <c r="AB221" s="63">
        <f>VLOOKUP($B221,'Tillförd energi'!$B$1:$AI$720,MATCH(AB$2,'Tillförd energi'!$B$1:$AQ$1,0),FALSE)</f>
        <v>0</v>
      </c>
      <c r="AC221" s="63">
        <f>VLOOKUP($B221,'Tillförd energi'!$B$1:$AI$720,MATCH(AC$2,'Tillförd energi'!$B$1:$AQ$1,0),FALSE)</f>
        <v>3.95</v>
      </c>
      <c r="AD221" s="63">
        <f>VLOOKUP($B221,'Tillförd energi'!$B$1:$AI$720,MATCH(AD$2,'Tillförd energi'!$B$1:$AQ$1,0),FALSE)</f>
        <v>0</v>
      </c>
      <c r="AE221" s="63">
        <f>VLOOKUP($B221,'Tillförd energi'!$B$1:$AI$720,MATCH(AE$2,'Tillförd energi'!$B$1:$AQ$1,0),FALSE)</f>
        <v>0</v>
      </c>
      <c r="AF221" s="63">
        <f>VLOOKUP($B221,'Tillförd energi'!$B$1:$AI$720,MATCH(AF$2,'Tillförd energi'!$B$1:$AQ$1,0),FALSE)</f>
        <v>1.2170000000000001</v>
      </c>
      <c r="AG221" s="63">
        <f>IFERROR(VLOOKUP(B221,Miljö!$B$1:$AC$550,MATCH("Köpt mängd produktionsspecifik fjärrvärme:",Miljö!$B$1:$AC$1,0),FALSE)/1,0)</f>
        <v>0</v>
      </c>
      <c r="AI221" s="63">
        <f t="shared" si="18"/>
        <v>64.957000000000008</v>
      </c>
      <c r="AJ221" s="63">
        <f>IF(ISERROR(1/VLOOKUP($B221,Leveranser!$B$1:$S$500,MATCH("såld värme (gwh)",Leveranser!$B$1:$S$1,0),FALSE)),"",VLOOKUP($B221,Leveranser!$B$1:$S$500,MATCH("såld värme (gwh)",Leveranser!$B$1:$S$1,0),FALSE))</f>
        <v>45.4</v>
      </c>
      <c r="AM221" s="63" t="str">
        <f>IF(B221&lt;&gt;"",IF(VLOOKUP($B221,Totalt!$B$1:$AQ$554,MATCH("Kvalitetsgranskad:",Totalt!$B$1:$AQ$1,0),FALSE)="ja",VLOOKUP($B221,Miljö!$B$1:$AG$479,MATCH(AM$2,Miljö!$B$1:$AK$1,0),FALSE),""),"")</f>
        <v>Ja</v>
      </c>
      <c r="AN221" s="63" t="str">
        <f>IF(AM221="ja",VLOOKUP($B221,Miljö!$B$1:$J$479,MATCH("Typ av ursprungsspecificerad el   (Om inget värde anges används Nordisk residualmix, se inforuta) ()",Miljö!$B$1:$J$1,0),FALSE),IF(AM221="nej","Nordisk residualel",""))</f>
        <v>''Vattenkraft. Vindkraft. biobränsle och solkraft'</v>
      </c>
      <c r="AO221" s="63">
        <f>IF(AM221="","",VLOOKUP($B221,Miljö!$B$1:$J$479,MATCH("Fossilandel för ursprungspecificerad el ()",Miljö!$B$1:$J$1,0),FALSE))</f>
        <v>0</v>
      </c>
      <c r="AQ221" s="63">
        <f t="shared" si="19"/>
        <v>1</v>
      </c>
      <c r="AS221" s="63" t="str">
        <f t="shared" si="20"/>
        <v>Nej</v>
      </c>
      <c r="AT221" s="63" t="str">
        <f>IF(AS221="ja",VLOOKUP($B221,Miljö!$B$1:$P$500,MATCH("Fossil andel i procent (%)",Miljö!$B$1:$P$1,0),FALSE)/100,"")</f>
        <v/>
      </c>
      <c r="AV221" s="63" t="str">
        <f t="shared" si="21"/>
        <v>Nej</v>
      </c>
      <c r="AW221" s="63" t="str">
        <f>IF(AV221="ja",VLOOKUP($B221,'Egen hetvattenprod'!$B$1:$AO$500,MATCH("Värmekälla till värmepumpar ()",'Egen hetvattenprod'!$B$1:$AO$1,0),FALSE),"")</f>
        <v/>
      </c>
      <c r="AY221" s="63" t="str">
        <f t="shared" si="22"/>
        <v>Ja</v>
      </c>
      <c r="AZ221" s="77">
        <f>IF($AY221="ja",(VLOOKUP($B221,'Egen hetvattenprod'!$B$1:$BX$550,MATCH(AZ$2,'Egen hetvattenprod'!$B$1:$BX$1,0),FALSE)+VLOOKUP($B221,Kraftvärmeprod!$B$1:$BX$550,MATCH(AZ$2,Kraftvärmeprod!$B$1:$BX$1,0),FALSE))/$AC221,"")</f>
        <v>1</v>
      </c>
      <c r="BA221" s="77">
        <f>IF($AY221="ja",(VLOOKUP($B221,'Egen hetvattenprod'!$B$1:$BX$550,MATCH(BA$2,'Egen hetvattenprod'!$B$1:$BX$1,0),FALSE)+VLOOKUP($B221,Kraftvärmeprod!$B$1:$BX$550,MATCH(BA$2,Kraftvärmeprod!$B$1:$BX$1,0),FALSE))/$AC221,"")</f>
        <v>0</v>
      </c>
      <c r="BB221" s="77">
        <f>IF($AY221="ja",(VLOOKUP($B221,'Egen hetvattenprod'!$B$1:$BX$550,MATCH(BB$2,'Egen hetvattenprod'!$B$1:$BX$1,0),FALSE)+VLOOKUP($B221,Kraftvärmeprod!$B$1:$BX$550,MATCH(BB$2,Kraftvärmeprod!$B$1:$BX$1,0),FALSE))/$AC221,"")</f>
        <v>0</v>
      </c>
      <c r="BC221" s="77">
        <f>IF($AY221="ja",(VLOOKUP($B221,'Egen hetvattenprod'!$B$1:$BX$550,MATCH(BC$2,'Egen hetvattenprod'!$B$1:$BX$1,0),FALSE)+VLOOKUP($B221,Kraftvärmeprod!$B$1:$BX$550,MATCH(BC$2,Kraftvärmeprod!$B$1:$BX$1,0),FALSE))/$AC221,"")</f>
        <v>0</v>
      </c>
      <c r="BD221" s="77">
        <f>IF($AY221="ja",(VLOOKUP($B221,'Egen hetvattenprod'!$B$1:$BX$550,MATCH(BD$2,'Egen hetvattenprod'!$B$1:$BX$1,0),FALSE)+VLOOKUP($B221,Kraftvärmeprod!$B$1:$BX$550,MATCH(BD$2,Kraftvärmeprod!$B$1:$BX$1,0),FALSE))/$AC221,"")</f>
        <v>0</v>
      </c>
      <c r="BF221" s="63" t="str">
        <f t="shared" si="23"/>
        <v>Nej</v>
      </c>
      <c r="BG221" s="63" t="str">
        <f>IF($BF221="ja",VLOOKUP($B221,'Egen hetvattenprod'!$B$1:$BX$550,MATCH("Andelen klimatgaser med fossilt ursprung för avfall ()",'Egen hetvattenprod'!$B$1:$BX$1,0),FALSE),"")</f>
        <v/>
      </c>
      <c r="BH221" s="63" t="str">
        <f>IF($BF221="ja",VLOOKUP($B221,Kraftvärmeprod!$B$1:$BX$550,MATCH("Andelen klimatgaser med fossilt ursprung för avfall ()",Kraftvärmeprod!$B$1:$BX$1,0),FALSE),"")</f>
        <v/>
      </c>
      <c r="BI221" s="63" t="str">
        <f>IF($BF221="ja",VLOOKUP($B221,'Egen hetvattenprod'!$B$1:$BX$550,MATCH("Avfall (GWh)",'Egen hetvattenprod'!$B$1:$BX$1,0),FALSE),"")</f>
        <v/>
      </c>
      <c r="BJ221" s="63" t="str">
        <f>IF($BF221="ja",VLOOKUP($B221,'Slutlig allokering kvv'!$B$1:$BX$550,MATCH("Avfall (GWh)",'Slutlig allokering kvv'!$B$1:$BX$1,0),FALSE),"")</f>
        <v/>
      </c>
      <c r="BK221" s="63" t="str">
        <f>IF($BF221="ja",VLOOKUP($B221,'Köpt hetvatten'!$B$1:$BX$550,MATCH("Avfall i köpt hetvatten",'Köpt hetvatten'!$B$1:$BX$1,0),FALSE),"")</f>
        <v/>
      </c>
      <c r="BL221" s="63" t="str">
        <f>IF($BF221="ja",VLOOKUP($B221,'Egen hetvattenprod'!$B$1:$BX$550,MATCH("Värde enligt ovan. (%)",'Egen hetvattenprod'!$B$1:$BX$1,0),FALSE),"")</f>
        <v/>
      </c>
      <c r="BM221" s="63" t="str">
        <f>IF($BF221="ja",VLOOKUP($B221,Kraftvärmeprod!$B$1:$BX$550,MATCH("Värde enligt ovan. (%)",Kraftvärmeprod!$B$1:$BX$1,0),FALSE),"")</f>
        <v/>
      </c>
    </row>
    <row r="222" spans="1:65" x14ac:dyDescent="0.45">
      <c r="A222" s="63" t="s">
        <v>393</v>
      </c>
      <c r="B222" s="63" t="s">
        <v>392</v>
      </c>
      <c r="C222" s="63">
        <f>VLOOKUP($B222,'Tillförd energi'!$B$1:$AI$720,MATCH(C$2,'Tillförd energi'!$B$1:$AQ$1,0),FALSE)</f>
        <v>0</v>
      </c>
      <c r="D222" s="63">
        <f>VLOOKUP($B222,'Tillförd energi'!$B$1:$AI$720,MATCH(D$2,'Tillförd energi'!$B$1:$AQ$1,0),FALSE)</f>
        <v>0</v>
      </c>
      <c r="E222" s="63">
        <f>VLOOKUP($B222,'Tillförd energi'!$B$1:$AI$720,MATCH(E$2,'Tillförd energi'!$B$1:$AQ$1,0),FALSE)</f>
        <v>0</v>
      </c>
      <c r="F222" s="63">
        <f>VLOOKUP($B222,'Tillförd energi'!$B$1:$AI$720,MATCH(F$2,'Tillförd energi'!$B$1:$AQ$1,0),FALSE)</f>
        <v>0</v>
      </c>
      <c r="G222" s="63">
        <f>VLOOKUP($B222,'Tillförd energi'!$B$1:$AI$720,MATCH(G$2,'Tillförd energi'!$B$1:$AQ$1,0),FALSE)</f>
        <v>0</v>
      </c>
      <c r="H222" s="63">
        <f>VLOOKUP($B222,'Tillförd energi'!$B$1:$AI$720,MATCH(H$2,'Tillförd energi'!$B$1:$AQ$1,0),FALSE)</f>
        <v>0</v>
      </c>
      <c r="I222" s="63">
        <f>VLOOKUP($B222,'Tillförd energi'!$B$1:$AI$720,MATCH(I$2,'Tillförd energi'!$B$1:$AQ$1,0),FALSE)</f>
        <v>0</v>
      </c>
      <c r="J222" s="63">
        <f>VLOOKUP($B222,'Tillförd energi'!$B$1:$AI$720,MATCH(J$2,'Tillförd energi'!$B$1:$AQ$1,0),FALSE)</f>
        <v>0</v>
      </c>
      <c r="K222" s="63">
        <f>VLOOKUP($B222,'Tillförd energi'!$B$1:$AI$720,MATCH(K$2,'Tillförd energi'!$B$1:$AQ$1,0),FALSE)</f>
        <v>0</v>
      </c>
      <c r="L222" s="63">
        <f>VLOOKUP($B222,'Tillförd energi'!$B$1:$AI$720,MATCH(L$2,'Tillförd energi'!$B$1:$AQ$1,0),FALSE)</f>
        <v>0</v>
      </c>
      <c r="M222" s="63">
        <f>VLOOKUP($B222,'Tillförd energi'!$B$1:$AI$720,MATCH(M$2,'Tillförd energi'!$B$1:$AQ$1,0),FALSE)</f>
        <v>0</v>
      </c>
      <c r="N222" s="63">
        <f>VLOOKUP($B222,'Tillförd energi'!$B$1:$AI$720,MATCH(N$2,'Tillförd energi'!$B$1:$AQ$1,0),FALSE)</f>
        <v>0</v>
      </c>
      <c r="O222" s="63">
        <f>VLOOKUP($B222,'Tillförd energi'!$B$1:$AI$720,MATCH(O$2,'Tillförd energi'!$B$1:$AQ$1,0),FALSE)</f>
        <v>0</v>
      </c>
      <c r="P222" s="63">
        <f>VLOOKUP($B222,'Tillförd energi'!$B$1:$AI$720,MATCH(P$2,'Tillförd energi'!$B$1:$AQ$1,0),FALSE)</f>
        <v>0</v>
      </c>
      <c r="Q222" s="63">
        <f>VLOOKUP($B222,'Tillförd energi'!$B$1:$AI$720,MATCH(Q$2,'Tillförd energi'!$B$1:$AQ$1,0),FALSE)</f>
        <v>0</v>
      </c>
      <c r="R222" s="63">
        <f>VLOOKUP($B222,'Tillförd energi'!$B$1:$AI$720,MATCH(R$2,'Tillförd energi'!$B$1:$AQ$1,0),FALSE)</f>
        <v>0</v>
      </c>
      <c r="S222" s="63">
        <f>VLOOKUP($B222,'Tillförd energi'!$B$1:$AI$720,MATCH(S$2,'Tillförd energi'!$B$1:$AQ$1,0),FALSE)</f>
        <v>0</v>
      </c>
      <c r="T222" s="63">
        <f>VLOOKUP($B222,'Tillförd energi'!$B$1:$AI$720,MATCH(T$2,'Tillförd energi'!$B$1:$AQ$1,0),FALSE)</f>
        <v>0</v>
      </c>
      <c r="U222" s="63">
        <f>VLOOKUP($B222,'Tillförd energi'!$B$1:$AI$720,MATCH(U$2,'Tillförd energi'!$B$1:$AQ$1,0),FALSE)</f>
        <v>0</v>
      </c>
      <c r="V222" s="63">
        <f>VLOOKUP($B222,'Tillförd energi'!$B$1:$AI$720,MATCH(V$2,'Tillförd energi'!$B$1:$AQ$1,0),FALSE)</f>
        <v>0</v>
      </c>
      <c r="W222" s="63">
        <f>VLOOKUP($B222,'Tillförd energi'!$B$1:$AI$720,MATCH(W$2,'Tillförd energi'!$B$1:$AQ$1,0),FALSE)</f>
        <v>0</v>
      </c>
      <c r="X222" s="63">
        <f>VLOOKUP($B222,'Tillförd energi'!$B$1:$AI$720,MATCH(X$2,'Tillförd energi'!$B$1:$AQ$1,0),FALSE)</f>
        <v>0</v>
      </c>
      <c r="Y222" s="63">
        <f>VLOOKUP($B222,'Tillförd energi'!$B$1:$AI$720,MATCH(Y$2,'Tillförd energi'!$B$1:$AQ$1,0),FALSE)</f>
        <v>0</v>
      </c>
      <c r="Z222" s="63">
        <f>VLOOKUP($B222,'Tillförd energi'!$B$1:$AI$720,MATCH(Z$2,'Tillförd energi'!$B$1:$AQ$1,0),FALSE)</f>
        <v>0</v>
      </c>
      <c r="AA222" s="63">
        <f>VLOOKUP($B222,'Tillförd energi'!$B$1:$AI$720,MATCH(AA$2,'Tillförd energi'!$B$1:$AQ$1,0),FALSE)</f>
        <v>0</v>
      </c>
      <c r="AB222" s="63">
        <f>VLOOKUP($B222,'Tillförd energi'!$B$1:$AI$720,MATCH(AB$2,'Tillförd energi'!$B$1:$AQ$1,0),FALSE)</f>
        <v>0</v>
      </c>
      <c r="AC222" s="63">
        <f>VLOOKUP($B222,'Tillförd energi'!$B$1:$AI$720,MATCH(AC$2,'Tillförd energi'!$B$1:$AQ$1,0),FALSE)</f>
        <v>0</v>
      </c>
      <c r="AD222" s="63">
        <f>VLOOKUP($B222,'Tillförd energi'!$B$1:$AI$720,MATCH(AD$2,'Tillförd energi'!$B$1:$AQ$1,0),FALSE)</f>
        <v>0</v>
      </c>
      <c r="AE222" s="63">
        <f>VLOOKUP($B222,'Tillförd energi'!$B$1:$AI$720,MATCH(AE$2,'Tillförd energi'!$B$1:$AQ$1,0),FALSE)</f>
        <v>0</v>
      </c>
      <c r="AF222" s="63">
        <f>VLOOKUP($B222,'Tillförd energi'!$B$1:$AI$720,MATCH(AF$2,'Tillförd energi'!$B$1:$AQ$1,0),FALSE)</f>
        <v>0</v>
      </c>
      <c r="AG222" s="63">
        <f>IFERROR(VLOOKUP(B222,Miljö!$B$1:$AC$550,MATCH("Köpt mängd produktionsspecifik fjärrvärme:",Miljö!$B$1:$AC$1,0),FALSE)/1,0)</f>
        <v>0</v>
      </c>
      <c r="AI222" s="63">
        <f t="shared" si="18"/>
        <v>0</v>
      </c>
      <c r="AJ222" s="63" t="str">
        <f>IF(ISERROR(1/VLOOKUP($B222,Leveranser!$B$1:$S$500,MATCH("såld värme (gwh)",Leveranser!$B$1:$S$1,0),FALSE)),"",VLOOKUP($B222,Leveranser!$B$1:$S$500,MATCH("såld värme (gwh)",Leveranser!$B$1:$S$1,0),FALSE))</f>
        <v/>
      </c>
      <c r="AM222" s="63" t="str">
        <f>IF(B222&lt;&gt;"",IF(VLOOKUP($B222,Totalt!$B$1:$AQ$554,MATCH("Kvalitetsgranskad:",Totalt!$B$1:$AQ$1,0),FALSE)="ja",VLOOKUP($B222,Miljö!$B$1:$AG$479,MATCH(AM$2,Miljö!$B$1:$AK$1,0),FALSE),""),"")</f>
        <v/>
      </c>
      <c r="AN222" s="63" t="str">
        <f>IF(AM222="ja",VLOOKUP($B222,Miljö!$B$1:$J$479,MATCH("Typ av ursprungsspecificerad el   (Om inget värde anges används Nordisk residualmix, se inforuta) ()",Miljö!$B$1:$J$1,0),FALSE),IF(AM222="nej","Nordisk residualel",""))</f>
        <v/>
      </c>
      <c r="AO222" s="63" t="str">
        <f>IF(AM222="","",VLOOKUP($B222,Miljö!$B$1:$J$479,MATCH("Fossilandel för ursprungspecificerad el ()",Miljö!$B$1:$J$1,0),FALSE))</f>
        <v/>
      </c>
      <c r="AQ222" s="63" t="str">
        <f t="shared" si="19"/>
        <v/>
      </c>
      <c r="AS222" s="63" t="str">
        <f t="shared" si="20"/>
        <v>Nej</v>
      </c>
      <c r="AT222" s="63" t="str">
        <f>IF(AS222="ja",VLOOKUP($B222,Miljö!$B$1:$P$500,MATCH("Fossil andel i procent (%)",Miljö!$B$1:$P$1,0),FALSE)/100,"")</f>
        <v/>
      </c>
      <c r="AV222" s="63" t="str">
        <f t="shared" si="21"/>
        <v>Nej</v>
      </c>
      <c r="AW222" s="63" t="str">
        <f>IF(AV222="ja",VLOOKUP($B222,'Egen hetvattenprod'!$B$1:$AO$500,MATCH("Värmekälla till värmepumpar ()",'Egen hetvattenprod'!$B$1:$AO$1,0),FALSE),"")</f>
        <v/>
      </c>
      <c r="AY222" s="63" t="str">
        <f t="shared" si="22"/>
        <v>Nej</v>
      </c>
      <c r="AZ222" s="77" t="str">
        <f>IF($AY222="ja",(VLOOKUP($B222,'Egen hetvattenprod'!$B$1:$BX$550,MATCH(AZ$2,'Egen hetvattenprod'!$B$1:$BX$1,0),FALSE)+VLOOKUP($B222,Kraftvärmeprod!$B$1:$BX$550,MATCH(AZ$2,Kraftvärmeprod!$B$1:$BX$1,0),FALSE))/$AC222,"")</f>
        <v/>
      </c>
      <c r="BA222" s="77" t="str">
        <f>IF($AY222="ja",(VLOOKUP($B222,'Egen hetvattenprod'!$B$1:$BX$550,MATCH(BA$2,'Egen hetvattenprod'!$B$1:$BX$1,0),FALSE)+VLOOKUP($B222,Kraftvärmeprod!$B$1:$BX$550,MATCH(BA$2,Kraftvärmeprod!$B$1:$BX$1,0),FALSE))/$AC222,"")</f>
        <v/>
      </c>
      <c r="BB222" s="77" t="str">
        <f>IF($AY222="ja",(VLOOKUP($B222,'Egen hetvattenprod'!$B$1:$BX$550,MATCH(BB$2,'Egen hetvattenprod'!$B$1:$BX$1,0),FALSE)+VLOOKUP($B222,Kraftvärmeprod!$B$1:$BX$550,MATCH(BB$2,Kraftvärmeprod!$B$1:$BX$1,0),FALSE))/$AC222,"")</f>
        <v/>
      </c>
      <c r="BC222" s="77" t="str">
        <f>IF($AY222="ja",(VLOOKUP($B222,'Egen hetvattenprod'!$B$1:$BX$550,MATCH(BC$2,'Egen hetvattenprod'!$B$1:$BX$1,0),FALSE)+VLOOKUP($B222,Kraftvärmeprod!$B$1:$BX$550,MATCH(BC$2,Kraftvärmeprod!$B$1:$BX$1,0),FALSE))/$AC222,"")</f>
        <v/>
      </c>
      <c r="BD222" s="77" t="str">
        <f>IF($AY222="ja",(VLOOKUP($B222,'Egen hetvattenprod'!$B$1:$BX$550,MATCH(BD$2,'Egen hetvattenprod'!$B$1:$BX$1,0),FALSE)+VLOOKUP($B222,Kraftvärmeprod!$B$1:$BX$550,MATCH(BD$2,Kraftvärmeprod!$B$1:$BX$1,0),FALSE))/$AC222,"")</f>
        <v/>
      </c>
      <c r="BF222" s="63" t="str">
        <f t="shared" si="23"/>
        <v>Nej</v>
      </c>
      <c r="BG222" s="63" t="str">
        <f>IF($BF222="ja",VLOOKUP($B222,'Egen hetvattenprod'!$B$1:$BX$550,MATCH("Andelen klimatgaser med fossilt ursprung för avfall ()",'Egen hetvattenprod'!$B$1:$BX$1,0),FALSE),"")</f>
        <v/>
      </c>
      <c r="BH222" s="63" t="str">
        <f>IF($BF222="ja",VLOOKUP($B222,Kraftvärmeprod!$B$1:$BX$550,MATCH("Andelen klimatgaser med fossilt ursprung för avfall ()",Kraftvärmeprod!$B$1:$BX$1,0),FALSE),"")</f>
        <v/>
      </c>
      <c r="BI222" s="63" t="str">
        <f>IF($BF222="ja",VLOOKUP($B222,'Egen hetvattenprod'!$B$1:$BX$550,MATCH("Avfall (GWh)",'Egen hetvattenprod'!$B$1:$BX$1,0),FALSE),"")</f>
        <v/>
      </c>
      <c r="BJ222" s="63" t="str">
        <f>IF($BF222="ja",VLOOKUP($B222,'Slutlig allokering kvv'!$B$1:$BX$550,MATCH("Avfall (GWh)",'Slutlig allokering kvv'!$B$1:$BX$1,0),FALSE),"")</f>
        <v/>
      </c>
      <c r="BK222" s="63" t="str">
        <f>IF($BF222="ja",VLOOKUP($B222,'Köpt hetvatten'!$B$1:$BX$550,MATCH("Avfall i köpt hetvatten",'Köpt hetvatten'!$B$1:$BX$1,0),FALSE),"")</f>
        <v/>
      </c>
      <c r="BL222" s="63" t="str">
        <f>IF($BF222="ja",VLOOKUP($B222,'Egen hetvattenprod'!$B$1:$BX$550,MATCH("Värde enligt ovan. (%)",'Egen hetvattenprod'!$B$1:$BX$1,0),FALSE),"")</f>
        <v/>
      </c>
      <c r="BM222" s="63" t="str">
        <f>IF($BF222="ja",VLOOKUP($B222,Kraftvärmeprod!$B$1:$BX$550,MATCH("Värde enligt ovan. (%)",Kraftvärmeprod!$B$1:$BX$1,0),FALSE),"")</f>
        <v/>
      </c>
    </row>
    <row r="223" spans="1:65" x14ac:dyDescent="0.45">
      <c r="A223" s="63" t="s">
        <v>393</v>
      </c>
      <c r="B223" s="63" t="s">
        <v>394</v>
      </c>
      <c r="C223" s="63">
        <f>VLOOKUP($B223,'Tillförd energi'!$B$1:$AI$720,MATCH(C$2,'Tillförd energi'!$B$1:$AQ$1,0),FALSE)</f>
        <v>0</v>
      </c>
      <c r="D223" s="63">
        <f>VLOOKUP($B223,'Tillförd energi'!$B$1:$AI$720,MATCH(D$2,'Tillförd energi'!$B$1:$AQ$1,0),FALSE)</f>
        <v>0</v>
      </c>
      <c r="E223" s="63">
        <f>VLOOKUP($B223,'Tillförd energi'!$B$1:$AI$720,MATCH(E$2,'Tillförd energi'!$B$1:$AQ$1,0),FALSE)</f>
        <v>0</v>
      </c>
      <c r="F223" s="63">
        <f>VLOOKUP($B223,'Tillförd energi'!$B$1:$AI$720,MATCH(F$2,'Tillförd energi'!$B$1:$AQ$1,0),FALSE)</f>
        <v>0</v>
      </c>
      <c r="G223" s="63">
        <f>VLOOKUP($B223,'Tillförd energi'!$B$1:$AI$720,MATCH(G$2,'Tillförd energi'!$B$1:$AQ$1,0),FALSE)</f>
        <v>0</v>
      </c>
      <c r="H223" s="63">
        <f>VLOOKUP($B223,'Tillförd energi'!$B$1:$AI$720,MATCH(H$2,'Tillförd energi'!$B$1:$AQ$1,0),FALSE)</f>
        <v>0</v>
      </c>
      <c r="I223" s="63">
        <f>VLOOKUP($B223,'Tillförd energi'!$B$1:$AI$720,MATCH(I$2,'Tillförd energi'!$B$1:$AQ$1,0),FALSE)</f>
        <v>0</v>
      </c>
      <c r="J223" s="63">
        <f>VLOOKUP($B223,'Tillförd energi'!$B$1:$AI$720,MATCH(J$2,'Tillförd energi'!$B$1:$AQ$1,0),FALSE)</f>
        <v>0</v>
      </c>
      <c r="K223" s="63">
        <f>VLOOKUP($B223,'Tillförd energi'!$B$1:$AI$720,MATCH(K$2,'Tillförd energi'!$B$1:$AQ$1,0),FALSE)</f>
        <v>0</v>
      </c>
      <c r="L223" s="63">
        <f>VLOOKUP($B223,'Tillförd energi'!$B$1:$AI$720,MATCH(L$2,'Tillförd energi'!$B$1:$AQ$1,0),FALSE)</f>
        <v>0</v>
      </c>
      <c r="M223" s="63">
        <f>VLOOKUP($B223,'Tillförd energi'!$B$1:$AI$720,MATCH(M$2,'Tillförd energi'!$B$1:$AQ$1,0),FALSE)</f>
        <v>0</v>
      </c>
      <c r="N223" s="63">
        <f>VLOOKUP($B223,'Tillförd energi'!$B$1:$AI$720,MATCH(N$2,'Tillförd energi'!$B$1:$AQ$1,0),FALSE)</f>
        <v>0</v>
      </c>
      <c r="O223" s="63">
        <f>VLOOKUP($B223,'Tillförd energi'!$B$1:$AI$720,MATCH(O$2,'Tillförd energi'!$B$1:$AQ$1,0),FALSE)</f>
        <v>0</v>
      </c>
      <c r="P223" s="63">
        <f>VLOOKUP($B223,'Tillförd energi'!$B$1:$AI$720,MATCH(P$2,'Tillförd energi'!$B$1:$AQ$1,0),FALSE)</f>
        <v>0</v>
      </c>
      <c r="Q223" s="63">
        <f>VLOOKUP($B223,'Tillförd energi'!$B$1:$AI$720,MATCH(Q$2,'Tillförd energi'!$B$1:$AQ$1,0),FALSE)</f>
        <v>0</v>
      </c>
      <c r="R223" s="63">
        <f>VLOOKUP($B223,'Tillförd energi'!$B$1:$AI$720,MATCH(R$2,'Tillförd energi'!$B$1:$AQ$1,0),FALSE)</f>
        <v>0</v>
      </c>
      <c r="S223" s="63">
        <f>VLOOKUP($B223,'Tillförd energi'!$B$1:$AI$720,MATCH(S$2,'Tillförd energi'!$B$1:$AQ$1,0),FALSE)</f>
        <v>0</v>
      </c>
      <c r="T223" s="63">
        <f>VLOOKUP($B223,'Tillförd energi'!$B$1:$AI$720,MATCH(T$2,'Tillförd energi'!$B$1:$AQ$1,0),FALSE)</f>
        <v>0</v>
      </c>
      <c r="U223" s="63">
        <f>VLOOKUP($B223,'Tillförd energi'!$B$1:$AI$720,MATCH(U$2,'Tillförd energi'!$B$1:$AQ$1,0),FALSE)</f>
        <v>0</v>
      </c>
      <c r="V223" s="63">
        <f>VLOOKUP($B223,'Tillförd energi'!$B$1:$AI$720,MATCH(V$2,'Tillförd energi'!$B$1:$AQ$1,0),FALSE)</f>
        <v>0</v>
      </c>
      <c r="W223" s="63">
        <f>VLOOKUP($B223,'Tillförd energi'!$B$1:$AI$720,MATCH(W$2,'Tillförd energi'!$B$1:$AQ$1,0),FALSE)</f>
        <v>0</v>
      </c>
      <c r="X223" s="63">
        <f>VLOOKUP($B223,'Tillförd energi'!$B$1:$AI$720,MATCH(X$2,'Tillförd energi'!$B$1:$AQ$1,0),FALSE)</f>
        <v>0</v>
      </c>
      <c r="Y223" s="63">
        <f>VLOOKUP($B223,'Tillförd energi'!$B$1:$AI$720,MATCH(Y$2,'Tillförd energi'!$B$1:$AQ$1,0),FALSE)</f>
        <v>0</v>
      </c>
      <c r="Z223" s="63">
        <f>VLOOKUP($B223,'Tillförd energi'!$B$1:$AI$720,MATCH(Z$2,'Tillförd energi'!$B$1:$AQ$1,0),FALSE)</f>
        <v>0</v>
      </c>
      <c r="AA223" s="63">
        <f>VLOOKUP($B223,'Tillförd energi'!$B$1:$AI$720,MATCH(AA$2,'Tillförd energi'!$B$1:$AQ$1,0),FALSE)</f>
        <v>0</v>
      </c>
      <c r="AB223" s="63">
        <f>VLOOKUP($B223,'Tillförd energi'!$B$1:$AI$720,MATCH(AB$2,'Tillförd energi'!$B$1:$AQ$1,0),FALSE)</f>
        <v>0</v>
      </c>
      <c r="AC223" s="63">
        <f>VLOOKUP($B223,'Tillförd energi'!$B$1:$AI$720,MATCH(AC$2,'Tillförd energi'!$B$1:$AQ$1,0),FALSE)</f>
        <v>0</v>
      </c>
      <c r="AD223" s="63">
        <f>VLOOKUP($B223,'Tillförd energi'!$B$1:$AI$720,MATCH(AD$2,'Tillförd energi'!$B$1:$AQ$1,0),FALSE)</f>
        <v>0</v>
      </c>
      <c r="AE223" s="63">
        <f>VLOOKUP($B223,'Tillförd energi'!$B$1:$AI$720,MATCH(AE$2,'Tillförd energi'!$B$1:$AQ$1,0),FALSE)</f>
        <v>0</v>
      </c>
      <c r="AF223" s="63">
        <f>VLOOKUP($B223,'Tillförd energi'!$B$1:$AI$720,MATCH(AF$2,'Tillförd energi'!$B$1:$AQ$1,0),FALSE)</f>
        <v>0</v>
      </c>
      <c r="AG223" s="63">
        <f>IFERROR(VLOOKUP(B223,Miljö!$B$1:$AC$550,MATCH("Köpt mängd produktionsspecifik fjärrvärme:",Miljö!$B$1:$AC$1,0),FALSE)/1,0)</f>
        <v>0</v>
      </c>
      <c r="AI223" s="63">
        <f t="shared" si="18"/>
        <v>0</v>
      </c>
      <c r="AJ223" s="63" t="str">
        <f>IF(ISERROR(1/VLOOKUP($B223,Leveranser!$B$1:$S$500,MATCH("såld värme (gwh)",Leveranser!$B$1:$S$1,0),FALSE)),"",VLOOKUP($B223,Leveranser!$B$1:$S$500,MATCH("såld värme (gwh)",Leveranser!$B$1:$S$1,0),FALSE))</f>
        <v/>
      </c>
      <c r="AM223" s="63" t="str">
        <f>IF(B223&lt;&gt;"",IF(VLOOKUP($B223,Totalt!$B$1:$AQ$554,MATCH("Kvalitetsgranskad:",Totalt!$B$1:$AQ$1,0),FALSE)="ja",VLOOKUP($B223,Miljö!$B$1:$AG$479,MATCH(AM$2,Miljö!$B$1:$AK$1,0),FALSE),""),"")</f>
        <v/>
      </c>
      <c r="AN223" s="63" t="str">
        <f>IF(AM223="ja",VLOOKUP($B223,Miljö!$B$1:$J$479,MATCH("Typ av ursprungsspecificerad el   (Om inget värde anges används Nordisk residualmix, se inforuta) ()",Miljö!$B$1:$J$1,0),FALSE),IF(AM223="nej","Nordisk residualel",""))</f>
        <v/>
      </c>
      <c r="AO223" s="63" t="str">
        <f>IF(AM223="","",VLOOKUP($B223,Miljö!$B$1:$J$479,MATCH("Fossilandel för ursprungspecificerad el ()",Miljö!$B$1:$J$1,0),FALSE))</f>
        <v/>
      </c>
      <c r="AQ223" s="63" t="str">
        <f t="shared" si="19"/>
        <v/>
      </c>
      <c r="AS223" s="63" t="str">
        <f t="shared" si="20"/>
        <v>Nej</v>
      </c>
      <c r="AT223" s="63" t="str">
        <f>IF(AS223="ja",VLOOKUP($B223,Miljö!$B$1:$P$500,MATCH("Fossil andel i procent (%)",Miljö!$B$1:$P$1,0),FALSE)/100,"")</f>
        <v/>
      </c>
      <c r="AV223" s="63" t="str">
        <f t="shared" si="21"/>
        <v>Nej</v>
      </c>
      <c r="AW223" s="63" t="str">
        <f>IF(AV223="ja",VLOOKUP($B223,'Egen hetvattenprod'!$B$1:$AO$500,MATCH("Värmekälla till värmepumpar ()",'Egen hetvattenprod'!$B$1:$AO$1,0),FALSE),"")</f>
        <v/>
      </c>
      <c r="AY223" s="63" t="str">
        <f t="shared" si="22"/>
        <v>Nej</v>
      </c>
      <c r="AZ223" s="77" t="str">
        <f>IF($AY223="ja",(VLOOKUP($B223,'Egen hetvattenprod'!$B$1:$BX$550,MATCH(AZ$2,'Egen hetvattenprod'!$B$1:$BX$1,0),FALSE)+VLOOKUP($B223,Kraftvärmeprod!$B$1:$BX$550,MATCH(AZ$2,Kraftvärmeprod!$B$1:$BX$1,0),FALSE))/$AC223,"")</f>
        <v/>
      </c>
      <c r="BA223" s="77" t="str">
        <f>IF($AY223="ja",(VLOOKUP($B223,'Egen hetvattenprod'!$B$1:$BX$550,MATCH(BA$2,'Egen hetvattenprod'!$B$1:$BX$1,0),FALSE)+VLOOKUP($B223,Kraftvärmeprod!$B$1:$BX$550,MATCH(BA$2,Kraftvärmeprod!$B$1:$BX$1,0),FALSE))/$AC223,"")</f>
        <v/>
      </c>
      <c r="BB223" s="77" t="str">
        <f>IF($AY223="ja",(VLOOKUP($B223,'Egen hetvattenprod'!$B$1:$BX$550,MATCH(BB$2,'Egen hetvattenprod'!$B$1:$BX$1,0),FALSE)+VLOOKUP($B223,Kraftvärmeprod!$B$1:$BX$550,MATCH(BB$2,Kraftvärmeprod!$B$1:$BX$1,0),FALSE))/$AC223,"")</f>
        <v/>
      </c>
      <c r="BC223" s="77" t="str">
        <f>IF($AY223="ja",(VLOOKUP($B223,'Egen hetvattenprod'!$B$1:$BX$550,MATCH(BC$2,'Egen hetvattenprod'!$B$1:$BX$1,0),FALSE)+VLOOKUP($B223,Kraftvärmeprod!$B$1:$BX$550,MATCH(BC$2,Kraftvärmeprod!$B$1:$BX$1,0),FALSE))/$AC223,"")</f>
        <v/>
      </c>
      <c r="BD223" s="77" t="str">
        <f>IF($AY223="ja",(VLOOKUP($B223,'Egen hetvattenprod'!$B$1:$BX$550,MATCH(BD$2,'Egen hetvattenprod'!$B$1:$BX$1,0),FALSE)+VLOOKUP($B223,Kraftvärmeprod!$B$1:$BX$550,MATCH(BD$2,Kraftvärmeprod!$B$1:$BX$1,0),FALSE))/$AC223,"")</f>
        <v/>
      </c>
      <c r="BF223" s="63" t="str">
        <f t="shared" si="23"/>
        <v>Nej</v>
      </c>
      <c r="BG223" s="63" t="str">
        <f>IF($BF223="ja",VLOOKUP($B223,'Egen hetvattenprod'!$B$1:$BX$550,MATCH("Andelen klimatgaser med fossilt ursprung för avfall ()",'Egen hetvattenprod'!$B$1:$BX$1,0),FALSE),"")</f>
        <v/>
      </c>
      <c r="BH223" s="63" t="str">
        <f>IF($BF223="ja",VLOOKUP($B223,Kraftvärmeprod!$B$1:$BX$550,MATCH("Andelen klimatgaser med fossilt ursprung för avfall ()",Kraftvärmeprod!$B$1:$BX$1,0),FALSE),"")</f>
        <v/>
      </c>
      <c r="BI223" s="63" t="str">
        <f>IF($BF223="ja",VLOOKUP($B223,'Egen hetvattenprod'!$B$1:$BX$550,MATCH("Avfall (GWh)",'Egen hetvattenprod'!$B$1:$BX$1,0),FALSE),"")</f>
        <v/>
      </c>
      <c r="BJ223" s="63" t="str">
        <f>IF($BF223="ja",VLOOKUP($B223,'Slutlig allokering kvv'!$B$1:$BX$550,MATCH("Avfall (GWh)",'Slutlig allokering kvv'!$B$1:$BX$1,0),FALSE),"")</f>
        <v/>
      </c>
      <c r="BK223" s="63" t="str">
        <f>IF($BF223="ja",VLOOKUP($B223,'Köpt hetvatten'!$B$1:$BX$550,MATCH("Avfall i köpt hetvatten",'Köpt hetvatten'!$B$1:$BX$1,0),FALSE),"")</f>
        <v/>
      </c>
      <c r="BL223" s="63" t="str">
        <f>IF($BF223="ja",VLOOKUP($B223,'Egen hetvattenprod'!$B$1:$BX$550,MATCH("Värde enligt ovan. (%)",'Egen hetvattenprod'!$B$1:$BX$1,0),FALSE),"")</f>
        <v/>
      </c>
      <c r="BM223" s="63" t="str">
        <f>IF($BF223="ja",VLOOKUP($B223,Kraftvärmeprod!$B$1:$BX$550,MATCH("Värde enligt ovan. (%)",Kraftvärmeprod!$B$1:$BX$1,0),FALSE),"")</f>
        <v/>
      </c>
    </row>
    <row r="224" spans="1:65" x14ac:dyDescent="0.45">
      <c r="A224" s="63" t="s">
        <v>391</v>
      </c>
      <c r="B224" s="63" t="s">
        <v>390</v>
      </c>
      <c r="C224" s="63">
        <f>VLOOKUP($B224,'Tillförd energi'!$B$1:$AI$720,MATCH(C$2,'Tillförd energi'!$B$1:$AQ$1,0),FALSE)</f>
        <v>0</v>
      </c>
      <c r="D224" s="63">
        <f>VLOOKUP($B224,'Tillförd energi'!$B$1:$AI$720,MATCH(D$2,'Tillförd energi'!$B$1:$AQ$1,0),FALSE)</f>
        <v>0.5</v>
      </c>
      <c r="E224" s="63">
        <f>VLOOKUP($B224,'Tillförd energi'!$B$1:$AI$720,MATCH(E$2,'Tillförd energi'!$B$1:$AQ$1,0),FALSE)</f>
        <v>0</v>
      </c>
      <c r="F224" s="63">
        <f>VLOOKUP($B224,'Tillförd energi'!$B$1:$AI$720,MATCH(F$2,'Tillförd energi'!$B$1:$AQ$1,0),FALSE)</f>
        <v>0</v>
      </c>
      <c r="G224" s="63">
        <f>VLOOKUP($B224,'Tillförd energi'!$B$1:$AI$720,MATCH(G$2,'Tillförd energi'!$B$1:$AQ$1,0),FALSE)</f>
        <v>0</v>
      </c>
      <c r="H224" s="63">
        <f>VLOOKUP($B224,'Tillförd energi'!$B$1:$AI$720,MATCH(H$2,'Tillförd energi'!$B$1:$AQ$1,0),FALSE)</f>
        <v>0</v>
      </c>
      <c r="I224" s="63">
        <f>VLOOKUP($B224,'Tillförd energi'!$B$1:$AI$720,MATCH(I$2,'Tillförd energi'!$B$1:$AQ$1,0),FALSE)</f>
        <v>0</v>
      </c>
      <c r="J224" s="63">
        <f>VLOOKUP($B224,'Tillförd energi'!$B$1:$AI$720,MATCH(J$2,'Tillförd energi'!$B$1:$AQ$1,0),FALSE)</f>
        <v>0</v>
      </c>
      <c r="K224" s="63">
        <f>VLOOKUP($B224,'Tillförd energi'!$B$1:$AI$720,MATCH(K$2,'Tillförd energi'!$B$1:$AQ$1,0),FALSE)</f>
        <v>0</v>
      </c>
      <c r="L224" s="63">
        <f>VLOOKUP($B224,'Tillförd energi'!$B$1:$AI$720,MATCH(L$2,'Tillförd energi'!$B$1:$AQ$1,0),FALSE)</f>
        <v>0</v>
      </c>
      <c r="M224" s="63">
        <f>VLOOKUP($B224,'Tillförd energi'!$B$1:$AI$720,MATCH(M$2,'Tillförd energi'!$B$1:$AQ$1,0),FALSE)</f>
        <v>49.055</v>
      </c>
      <c r="N224" s="63">
        <f>VLOOKUP($B224,'Tillförd energi'!$B$1:$AI$720,MATCH(N$2,'Tillförd energi'!$B$1:$AQ$1,0),FALSE)</f>
        <v>35.239199999999997</v>
      </c>
      <c r="O224" s="63">
        <f>VLOOKUP($B224,'Tillförd energi'!$B$1:$AI$720,MATCH(O$2,'Tillförd energi'!$B$1:$AQ$1,0),FALSE)</f>
        <v>11.5288</v>
      </c>
      <c r="P224" s="63">
        <f>VLOOKUP($B224,'Tillförd energi'!$B$1:$AI$720,MATCH(P$2,'Tillförd energi'!$B$1:$AQ$1,0),FALSE)</f>
        <v>29.0275</v>
      </c>
      <c r="Q224" s="63">
        <f>VLOOKUP($B224,'Tillförd energi'!$B$1:$AI$720,MATCH(Q$2,'Tillförd energi'!$B$1:$AQ$1,0),FALSE)</f>
        <v>0</v>
      </c>
      <c r="R224" s="63">
        <f>VLOOKUP($B224,'Tillförd energi'!$B$1:$AI$720,MATCH(R$2,'Tillförd energi'!$B$1:$AQ$1,0),FALSE)</f>
        <v>6.7</v>
      </c>
      <c r="S224" s="63">
        <f>VLOOKUP($B224,'Tillförd energi'!$B$1:$AI$720,MATCH(S$2,'Tillförd energi'!$B$1:$AQ$1,0),FALSE)</f>
        <v>0</v>
      </c>
      <c r="T224" s="63">
        <f>VLOOKUP($B224,'Tillförd energi'!$B$1:$AI$720,MATCH(T$2,'Tillförd energi'!$B$1:$AQ$1,0),FALSE)</f>
        <v>0</v>
      </c>
      <c r="U224" s="63">
        <f>VLOOKUP($B224,'Tillförd energi'!$B$1:$AI$720,MATCH(U$2,'Tillförd energi'!$B$1:$AQ$1,0),FALSE)</f>
        <v>0</v>
      </c>
      <c r="V224" s="63">
        <f>VLOOKUP($B224,'Tillförd energi'!$B$1:$AI$720,MATCH(V$2,'Tillförd energi'!$B$1:$AQ$1,0),FALSE)</f>
        <v>0</v>
      </c>
      <c r="W224" s="63">
        <f>VLOOKUP($B224,'Tillförd energi'!$B$1:$AI$720,MATCH(W$2,'Tillförd energi'!$B$1:$AQ$1,0),FALSE)</f>
        <v>2.2999999999999998</v>
      </c>
      <c r="X224" s="63">
        <f>VLOOKUP($B224,'Tillförd energi'!$B$1:$AI$720,MATCH(X$2,'Tillförd energi'!$B$1:$AQ$1,0),FALSE)</f>
        <v>0</v>
      </c>
      <c r="Y224" s="63">
        <f>VLOOKUP($B224,'Tillförd energi'!$B$1:$AI$720,MATCH(Y$2,'Tillförd energi'!$B$1:$AQ$1,0),FALSE)</f>
        <v>0</v>
      </c>
      <c r="Z224" s="63">
        <f>VLOOKUP($B224,'Tillförd energi'!$B$1:$AI$720,MATCH(Z$2,'Tillförd energi'!$B$1:$AQ$1,0),FALSE)</f>
        <v>0</v>
      </c>
      <c r="AA224" s="63">
        <f>VLOOKUP($B224,'Tillförd energi'!$B$1:$AI$720,MATCH(AA$2,'Tillförd energi'!$B$1:$AQ$1,0),FALSE)</f>
        <v>0</v>
      </c>
      <c r="AB224" s="63">
        <f>VLOOKUP($B224,'Tillförd energi'!$B$1:$AI$720,MATCH(AB$2,'Tillförd energi'!$B$1:$AQ$1,0),FALSE)</f>
        <v>0</v>
      </c>
      <c r="AC224" s="63">
        <f>VLOOKUP($B224,'Tillförd energi'!$B$1:$AI$720,MATCH(AC$2,'Tillförd energi'!$B$1:$AQ$1,0),FALSE)</f>
        <v>32</v>
      </c>
      <c r="AD224" s="63">
        <f>VLOOKUP($B224,'Tillförd energi'!$B$1:$AI$720,MATCH(AD$2,'Tillförd energi'!$B$1:$AQ$1,0),FALSE)</f>
        <v>0.4</v>
      </c>
      <c r="AE224" s="63">
        <f>VLOOKUP($B224,'Tillförd energi'!$B$1:$AI$720,MATCH(AE$2,'Tillförd energi'!$B$1:$AQ$1,0),FALSE)</f>
        <v>0</v>
      </c>
      <c r="AF224" s="63">
        <f>VLOOKUP($B224,'Tillförd energi'!$B$1:$AI$720,MATCH(AF$2,'Tillförd energi'!$B$1:$AQ$1,0),FALSE)</f>
        <v>3.3291300000000001</v>
      </c>
      <c r="AG224" s="63">
        <f>IFERROR(VLOOKUP(B224,Miljö!$B$1:$AC$550,MATCH("Köpt mängd produktionsspecifik fjärrvärme:",Miljö!$B$1:$AC$1,0),FALSE)/1,0)</f>
        <v>0</v>
      </c>
      <c r="AI224" s="63">
        <f t="shared" si="18"/>
        <v>170.07963000000001</v>
      </c>
      <c r="AJ224" s="63">
        <f>IF(ISERROR(1/VLOOKUP($B224,Leveranser!$B$1:$S$500,MATCH("såld värme (gwh)",Leveranser!$B$1:$S$1,0),FALSE)),"",VLOOKUP($B224,Leveranser!$B$1:$S$500,MATCH("såld värme (gwh)",Leveranser!$B$1:$S$1,0),FALSE))</f>
        <v>146.30000000000001</v>
      </c>
      <c r="AM224" s="63" t="str">
        <f>IF(B224&lt;&gt;"",IF(VLOOKUP($B224,Totalt!$B$1:$AQ$554,MATCH("Kvalitetsgranskad:",Totalt!$B$1:$AQ$1,0),FALSE)="ja",VLOOKUP($B224,Miljö!$B$1:$AG$479,MATCH(AM$2,Miljö!$B$1:$AK$1,0),FALSE),""),"")</f>
        <v>Ja</v>
      </c>
      <c r="AN224" s="63" t="str">
        <f>IF(AM224="ja",VLOOKUP($B224,Miljö!$B$1:$J$479,MATCH("Typ av ursprungsspecificerad el   (Om inget värde anges används Nordisk residualmix, se inforuta) ()",Miljö!$B$1:$J$1,0),FALSE),IF(AM224="nej","Nordisk residualel",""))</f>
        <v>'Vattenkraft/kärnkraft'</v>
      </c>
      <c r="AO224" s="63">
        <f>IF(AM224="","",VLOOKUP($B224,Miljö!$B$1:$J$479,MATCH("Fossilandel för ursprungspecificerad el ()",Miljö!$B$1:$J$1,0),FALSE))</f>
        <v>0</v>
      </c>
      <c r="AQ224" s="63">
        <f t="shared" si="19"/>
        <v>1</v>
      </c>
      <c r="AS224" s="63" t="str">
        <f t="shared" si="20"/>
        <v>Nej</v>
      </c>
      <c r="AT224" s="63" t="str">
        <f>IF(AS224="ja",VLOOKUP($B224,Miljö!$B$1:$P$500,MATCH("Fossil andel i procent (%)",Miljö!$B$1:$P$1,0),FALSE)/100,"")</f>
        <v/>
      </c>
      <c r="AV224" s="63" t="str">
        <f t="shared" si="21"/>
        <v>Nej</v>
      </c>
      <c r="AW224" s="63" t="str">
        <f>IF(AV224="ja",VLOOKUP($B224,'Egen hetvattenprod'!$B$1:$AO$500,MATCH("Värmekälla till värmepumpar ()",'Egen hetvattenprod'!$B$1:$AO$1,0),FALSE),"")</f>
        <v/>
      </c>
      <c r="AY224" s="63" t="str">
        <f t="shared" si="22"/>
        <v>Ja</v>
      </c>
      <c r="AZ224" s="77">
        <f>IF($AY224="ja",(VLOOKUP($B224,'Egen hetvattenprod'!$B$1:$BX$550,MATCH(AZ$2,'Egen hetvattenprod'!$B$1:$BX$1,0),FALSE)+VLOOKUP($B224,Kraftvärmeprod!$B$1:$BX$550,MATCH(AZ$2,Kraftvärmeprod!$B$1:$BX$1,0),FALSE))/$AC224,"")</f>
        <v>1</v>
      </c>
      <c r="BA224" s="77">
        <f>IF($AY224="ja",(VLOOKUP($B224,'Egen hetvattenprod'!$B$1:$BX$550,MATCH(BA$2,'Egen hetvattenprod'!$B$1:$BX$1,0),FALSE)+VLOOKUP($B224,Kraftvärmeprod!$B$1:$BX$550,MATCH(BA$2,Kraftvärmeprod!$B$1:$BX$1,0),FALSE))/$AC224,"")</f>
        <v>0</v>
      </c>
      <c r="BB224" s="77">
        <f>IF($AY224="ja",(VLOOKUP($B224,'Egen hetvattenprod'!$B$1:$BX$550,MATCH(BB$2,'Egen hetvattenprod'!$B$1:$BX$1,0),FALSE)+VLOOKUP($B224,Kraftvärmeprod!$B$1:$BX$550,MATCH(BB$2,Kraftvärmeprod!$B$1:$BX$1,0),FALSE))/$AC224,"")</f>
        <v>0</v>
      </c>
      <c r="BC224" s="77">
        <f>IF($AY224="ja",(VLOOKUP($B224,'Egen hetvattenprod'!$B$1:$BX$550,MATCH(BC$2,'Egen hetvattenprod'!$B$1:$BX$1,0),FALSE)+VLOOKUP($B224,Kraftvärmeprod!$B$1:$BX$550,MATCH(BC$2,Kraftvärmeprod!$B$1:$BX$1,0),FALSE))/$AC224,"")</f>
        <v>0</v>
      </c>
      <c r="BD224" s="77">
        <f>IF($AY224="ja",(VLOOKUP($B224,'Egen hetvattenprod'!$B$1:$BX$550,MATCH(BD$2,'Egen hetvattenprod'!$B$1:$BX$1,0),FALSE)+VLOOKUP($B224,Kraftvärmeprod!$B$1:$BX$550,MATCH(BD$2,Kraftvärmeprod!$B$1:$BX$1,0),FALSE))/$AC224,"")</f>
        <v>0</v>
      </c>
      <c r="BF224" s="63" t="str">
        <f t="shared" si="23"/>
        <v>Nej</v>
      </c>
      <c r="BG224" s="63" t="str">
        <f>IF($BF224="ja",VLOOKUP($B224,'Egen hetvattenprod'!$B$1:$BX$550,MATCH("Andelen klimatgaser med fossilt ursprung för avfall ()",'Egen hetvattenprod'!$B$1:$BX$1,0),FALSE),"")</f>
        <v/>
      </c>
      <c r="BH224" s="63" t="str">
        <f>IF($BF224="ja",VLOOKUP($B224,Kraftvärmeprod!$B$1:$BX$550,MATCH("Andelen klimatgaser med fossilt ursprung för avfall ()",Kraftvärmeprod!$B$1:$BX$1,0),FALSE),"")</f>
        <v/>
      </c>
      <c r="BI224" s="63" t="str">
        <f>IF($BF224="ja",VLOOKUP($B224,'Egen hetvattenprod'!$B$1:$BX$550,MATCH("Avfall (GWh)",'Egen hetvattenprod'!$B$1:$BX$1,0),FALSE),"")</f>
        <v/>
      </c>
      <c r="BJ224" s="63" t="str">
        <f>IF($BF224="ja",VLOOKUP($B224,'Slutlig allokering kvv'!$B$1:$BX$550,MATCH("Avfall (GWh)",'Slutlig allokering kvv'!$B$1:$BX$1,0),FALSE),"")</f>
        <v/>
      </c>
      <c r="BK224" s="63" t="str">
        <f>IF($BF224="ja",VLOOKUP($B224,'Köpt hetvatten'!$B$1:$BX$550,MATCH("Avfall i köpt hetvatten",'Köpt hetvatten'!$B$1:$BX$1,0),FALSE),"")</f>
        <v/>
      </c>
      <c r="BL224" s="63" t="str">
        <f>IF($BF224="ja",VLOOKUP($B224,'Egen hetvattenprod'!$B$1:$BX$550,MATCH("Värde enligt ovan. (%)",'Egen hetvattenprod'!$B$1:$BX$1,0),FALSE),"")</f>
        <v/>
      </c>
      <c r="BM224" s="63" t="str">
        <f>IF($BF224="ja",VLOOKUP($B224,Kraftvärmeprod!$B$1:$BX$550,MATCH("Värde enligt ovan. (%)",Kraftvärmeprod!$B$1:$BX$1,0),FALSE),"")</f>
        <v/>
      </c>
    </row>
    <row r="225" spans="1:65" x14ac:dyDescent="0.45">
      <c r="A225" s="63" t="s">
        <v>389</v>
      </c>
      <c r="B225" s="63" t="s">
        <v>388</v>
      </c>
      <c r="C225" s="63">
        <f>VLOOKUP($B225,'Tillförd energi'!$B$1:$AI$720,MATCH(C$2,'Tillförd energi'!$B$1:$AQ$1,0),FALSE)</f>
        <v>0</v>
      </c>
      <c r="D225" s="63">
        <f>VLOOKUP($B225,'Tillförd energi'!$B$1:$AI$720,MATCH(D$2,'Tillförd energi'!$B$1:$AQ$1,0),FALSE)</f>
        <v>1.55E-2</v>
      </c>
      <c r="E225" s="63">
        <f>VLOOKUP($B225,'Tillförd energi'!$B$1:$AI$720,MATCH(E$2,'Tillförd energi'!$B$1:$AQ$1,0),FALSE)</f>
        <v>0</v>
      </c>
      <c r="F225" s="63">
        <f>VLOOKUP($B225,'Tillförd energi'!$B$1:$AI$720,MATCH(F$2,'Tillförd energi'!$B$1:$AQ$1,0),FALSE)</f>
        <v>0</v>
      </c>
      <c r="G225" s="63">
        <f>VLOOKUP($B225,'Tillförd energi'!$B$1:$AI$720,MATCH(G$2,'Tillförd energi'!$B$1:$AQ$1,0),FALSE)</f>
        <v>0</v>
      </c>
      <c r="H225" s="63">
        <f>VLOOKUP($B225,'Tillförd energi'!$B$1:$AI$720,MATCH(H$2,'Tillförd energi'!$B$1:$AQ$1,0),FALSE)</f>
        <v>0</v>
      </c>
      <c r="I225" s="63">
        <f>VLOOKUP($B225,'Tillförd energi'!$B$1:$AI$720,MATCH(I$2,'Tillförd energi'!$B$1:$AQ$1,0),FALSE)</f>
        <v>0</v>
      </c>
      <c r="J225" s="63">
        <f>VLOOKUP($B225,'Tillförd energi'!$B$1:$AI$720,MATCH(J$2,'Tillförd energi'!$B$1:$AQ$1,0),FALSE)</f>
        <v>0</v>
      </c>
      <c r="K225" s="63">
        <f>VLOOKUP($B225,'Tillförd energi'!$B$1:$AI$720,MATCH(K$2,'Tillförd energi'!$B$1:$AQ$1,0),FALSE)</f>
        <v>0</v>
      </c>
      <c r="L225" s="63">
        <f>VLOOKUP($B225,'Tillförd energi'!$B$1:$AI$720,MATCH(L$2,'Tillförd energi'!$B$1:$AQ$1,0),FALSE)</f>
        <v>0</v>
      </c>
      <c r="M225" s="63">
        <f>VLOOKUP($B225,'Tillförd energi'!$B$1:$AI$720,MATCH(M$2,'Tillförd energi'!$B$1:$AQ$1,0),FALSE)</f>
        <v>0</v>
      </c>
      <c r="N225" s="63">
        <f>VLOOKUP($B225,'Tillförd energi'!$B$1:$AI$720,MATCH(N$2,'Tillförd energi'!$B$1:$AQ$1,0),FALSE)</f>
        <v>0</v>
      </c>
      <c r="O225" s="63">
        <f>VLOOKUP($B225,'Tillförd energi'!$B$1:$AI$720,MATCH(O$2,'Tillförd energi'!$B$1:$AQ$1,0),FALSE)</f>
        <v>0</v>
      </c>
      <c r="P225" s="63">
        <f>VLOOKUP($B225,'Tillförd energi'!$B$1:$AI$720,MATCH(P$2,'Tillförd energi'!$B$1:$AQ$1,0),FALSE)</f>
        <v>0</v>
      </c>
      <c r="Q225" s="63">
        <f>VLOOKUP($B225,'Tillförd energi'!$B$1:$AI$720,MATCH(Q$2,'Tillförd energi'!$B$1:$AQ$1,0),FALSE)</f>
        <v>0</v>
      </c>
      <c r="R225" s="63">
        <f>VLOOKUP($B225,'Tillförd energi'!$B$1:$AI$720,MATCH(R$2,'Tillförd energi'!$B$1:$AQ$1,0),FALSE)</f>
        <v>0</v>
      </c>
      <c r="S225" s="63">
        <f>VLOOKUP($B225,'Tillförd energi'!$B$1:$AI$720,MATCH(S$2,'Tillförd energi'!$B$1:$AQ$1,0),FALSE)</f>
        <v>0</v>
      </c>
      <c r="T225" s="63">
        <f>VLOOKUP($B225,'Tillförd energi'!$B$1:$AI$720,MATCH(T$2,'Tillförd energi'!$B$1:$AQ$1,0),FALSE)</f>
        <v>0</v>
      </c>
      <c r="U225" s="63">
        <f>VLOOKUP($B225,'Tillförd energi'!$B$1:$AI$720,MATCH(U$2,'Tillförd energi'!$B$1:$AQ$1,0),FALSE)</f>
        <v>0</v>
      </c>
      <c r="V225" s="63">
        <f>VLOOKUP($B225,'Tillförd energi'!$B$1:$AI$720,MATCH(V$2,'Tillförd energi'!$B$1:$AQ$1,0),FALSE)</f>
        <v>0</v>
      </c>
      <c r="W225" s="63">
        <f>VLOOKUP($B225,'Tillförd energi'!$B$1:$AI$720,MATCH(W$2,'Tillförd energi'!$B$1:$AQ$1,0),FALSE)</f>
        <v>0</v>
      </c>
      <c r="X225" s="63">
        <f>VLOOKUP($B225,'Tillförd energi'!$B$1:$AI$720,MATCH(X$2,'Tillförd energi'!$B$1:$AQ$1,0),FALSE)</f>
        <v>0</v>
      </c>
      <c r="Y225" s="63">
        <f>VLOOKUP($B225,'Tillförd energi'!$B$1:$AI$720,MATCH(Y$2,'Tillförd energi'!$B$1:$AQ$1,0),FALSE)</f>
        <v>0</v>
      </c>
      <c r="Z225" s="63">
        <f>VLOOKUP($B225,'Tillförd energi'!$B$1:$AI$720,MATCH(Z$2,'Tillförd energi'!$B$1:$AQ$1,0),FALSE)</f>
        <v>0</v>
      </c>
      <c r="AA225" s="63">
        <f>VLOOKUP($B225,'Tillförd energi'!$B$1:$AI$720,MATCH(AA$2,'Tillförd energi'!$B$1:$AQ$1,0),FALSE)</f>
        <v>0</v>
      </c>
      <c r="AB225" s="63">
        <f>VLOOKUP($B225,'Tillförd energi'!$B$1:$AI$720,MATCH(AB$2,'Tillförd energi'!$B$1:$AQ$1,0),FALSE)</f>
        <v>0</v>
      </c>
      <c r="AC225" s="63">
        <f>VLOOKUP($B225,'Tillförd energi'!$B$1:$AI$720,MATCH(AC$2,'Tillförd energi'!$B$1:$AQ$1,0),FALSE)</f>
        <v>0</v>
      </c>
      <c r="AD225" s="63">
        <f>VLOOKUP($B225,'Tillförd energi'!$B$1:$AI$720,MATCH(AD$2,'Tillförd energi'!$B$1:$AQ$1,0),FALSE)</f>
        <v>96.8</v>
      </c>
      <c r="AE225" s="63">
        <f>VLOOKUP($B225,'Tillförd energi'!$B$1:$AI$720,MATCH(AE$2,'Tillförd energi'!$B$1:$AQ$1,0),FALSE)</f>
        <v>0</v>
      </c>
      <c r="AF225" s="63">
        <f>VLOOKUP($B225,'Tillförd energi'!$B$1:$AI$720,MATCH(AF$2,'Tillförd energi'!$B$1:$AQ$1,0),FALSE)</f>
        <v>2.4209999999999998</v>
      </c>
      <c r="AG225" s="63">
        <f>IFERROR(VLOOKUP(B225,Miljö!$B$1:$AC$550,MATCH("Köpt mängd produktionsspecifik fjärrvärme:",Miljö!$B$1:$AC$1,0),FALSE)/1,0)</f>
        <v>0</v>
      </c>
      <c r="AI225" s="63">
        <f t="shared" si="18"/>
        <v>99.236500000000007</v>
      </c>
      <c r="AJ225" s="63">
        <f>IF(ISERROR(1/VLOOKUP($B225,Leveranser!$B$1:$S$500,MATCH("såld värme (gwh)",Leveranser!$B$1:$S$1,0),FALSE)),"",VLOOKUP($B225,Leveranser!$B$1:$S$500,MATCH("såld värme (gwh)",Leveranser!$B$1:$S$1,0),FALSE))</f>
        <v>80.7</v>
      </c>
      <c r="AM225" s="63" t="str">
        <f>IF(B225&lt;&gt;"",IF(VLOOKUP($B225,Totalt!$B$1:$AQ$554,MATCH("Kvalitetsgranskad:",Totalt!$B$1:$AQ$1,0),FALSE)="ja",VLOOKUP($B225,Miljö!$B$1:$AG$479,MATCH(AM$2,Miljö!$B$1:$AK$1,0),FALSE),""),"")</f>
        <v>Ja</v>
      </c>
      <c r="AN225" s="63" t="str">
        <f>IF(AM225="ja",VLOOKUP($B225,Miljö!$B$1:$J$479,MATCH("Typ av ursprungsspecificerad el   (Om inget värde anges används Nordisk residualmix, se inforuta) ()",Miljö!$B$1:$J$1,0),FALSE),IF(AM225="nej","Nordisk residualel",""))</f>
        <v>-</v>
      </c>
      <c r="AO225" s="63">
        <f>IF(AM225="","",VLOOKUP($B225,Miljö!$B$1:$J$479,MATCH("Fossilandel för ursprungspecificerad el ()",Miljö!$B$1:$J$1,0),FALSE))</f>
        <v>0.35</v>
      </c>
      <c r="AQ225" s="63">
        <f t="shared" si="19"/>
        <v>0.65</v>
      </c>
      <c r="AS225" s="63" t="str">
        <f t="shared" si="20"/>
        <v>Nej</v>
      </c>
      <c r="AT225" s="63" t="str">
        <f>IF(AS225="ja",VLOOKUP($B225,Miljö!$B$1:$P$500,MATCH("Fossil andel i procent (%)",Miljö!$B$1:$P$1,0),FALSE)/100,"")</f>
        <v/>
      </c>
      <c r="AV225" s="63" t="str">
        <f t="shared" si="21"/>
        <v>Nej</v>
      </c>
      <c r="AW225" s="63" t="str">
        <f>IF(AV225="ja",VLOOKUP($B225,'Egen hetvattenprod'!$B$1:$AO$500,MATCH("Värmekälla till värmepumpar ()",'Egen hetvattenprod'!$B$1:$AO$1,0),FALSE),"")</f>
        <v/>
      </c>
      <c r="AY225" s="63" t="str">
        <f t="shared" si="22"/>
        <v>Nej</v>
      </c>
      <c r="AZ225" s="77" t="str">
        <f>IF($AY225="ja",(VLOOKUP($B225,'Egen hetvattenprod'!$B$1:$BX$550,MATCH(AZ$2,'Egen hetvattenprod'!$B$1:$BX$1,0),FALSE)+VLOOKUP($B225,Kraftvärmeprod!$B$1:$BX$550,MATCH(AZ$2,Kraftvärmeprod!$B$1:$BX$1,0),FALSE))/$AC225,"")</f>
        <v/>
      </c>
      <c r="BA225" s="77" t="str">
        <f>IF($AY225="ja",(VLOOKUP($B225,'Egen hetvattenprod'!$B$1:$BX$550,MATCH(BA$2,'Egen hetvattenprod'!$B$1:$BX$1,0),FALSE)+VLOOKUP($B225,Kraftvärmeprod!$B$1:$BX$550,MATCH(BA$2,Kraftvärmeprod!$B$1:$BX$1,0),FALSE))/$AC225,"")</f>
        <v/>
      </c>
      <c r="BB225" s="77" t="str">
        <f>IF($AY225="ja",(VLOOKUP($B225,'Egen hetvattenprod'!$B$1:$BX$550,MATCH(BB$2,'Egen hetvattenprod'!$B$1:$BX$1,0),FALSE)+VLOOKUP($B225,Kraftvärmeprod!$B$1:$BX$550,MATCH(BB$2,Kraftvärmeprod!$B$1:$BX$1,0),FALSE))/$AC225,"")</f>
        <v/>
      </c>
      <c r="BC225" s="77" t="str">
        <f>IF($AY225="ja",(VLOOKUP($B225,'Egen hetvattenprod'!$B$1:$BX$550,MATCH(BC$2,'Egen hetvattenprod'!$B$1:$BX$1,0),FALSE)+VLOOKUP($B225,Kraftvärmeprod!$B$1:$BX$550,MATCH(BC$2,Kraftvärmeprod!$B$1:$BX$1,0),FALSE))/$AC225,"")</f>
        <v/>
      </c>
      <c r="BD225" s="77" t="str">
        <f>IF($AY225="ja",(VLOOKUP($B225,'Egen hetvattenprod'!$B$1:$BX$550,MATCH(BD$2,'Egen hetvattenprod'!$B$1:$BX$1,0),FALSE)+VLOOKUP($B225,Kraftvärmeprod!$B$1:$BX$550,MATCH(BD$2,Kraftvärmeprod!$B$1:$BX$1,0),FALSE))/$AC225,"")</f>
        <v/>
      </c>
      <c r="BF225" s="63" t="str">
        <f t="shared" si="23"/>
        <v>Nej</v>
      </c>
      <c r="BG225" s="63" t="str">
        <f>IF($BF225="ja",VLOOKUP($B225,'Egen hetvattenprod'!$B$1:$BX$550,MATCH("Andelen klimatgaser med fossilt ursprung för avfall ()",'Egen hetvattenprod'!$B$1:$BX$1,0),FALSE),"")</f>
        <v/>
      </c>
      <c r="BH225" s="63" t="str">
        <f>IF($BF225="ja",VLOOKUP($B225,Kraftvärmeprod!$B$1:$BX$550,MATCH("Andelen klimatgaser med fossilt ursprung för avfall ()",Kraftvärmeprod!$B$1:$BX$1,0),FALSE),"")</f>
        <v/>
      </c>
      <c r="BI225" s="63" t="str">
        <f>IF($BF225="ja",VLOOKUP($B225,'Egen hetvattenprod'!$B$1:$BX$550,MATCH("Avfall (GWh)",'Egen hetvattenprod'!$B$1:$BX$1,0),FALSE),"")</f>
        <v/>
      </c>
      <c r="BJ225" s="63" t="str">
        <f>IF($BF225="ja",VLOOKUP($B225,'Slutlig allokering kvv'!$B$1:$BX$550,MATCH("Avfall (GWh)",'Slutlig allokering kvv'!$B$1:$BX$1,0),FALSE),"")</f>
        <v/>
      </c>
      <c r="BK225" s="63" t="str">
        <f>IF($BF225="ja",VLOOKUP($B225,'Köpt hetvatten'!$B$1:$BX$550,MATCH("Avfall i köpt hetvatten",'Köpt hetvatten'!$B$1:$BX$1,0),FALSE),"")</f>
        <v/>
      </c>
      <c r="BL225" s="63" t="str">
        <f>IF($BF225="ja",VLOOKUP($B225,'Egen hetvattenprod'!$B$1:$BX$550,MATCH("Värde enligt ovan. (%)",'Egen hetvattenprod'!$B$1:$BX$1,0),FALSE),"")</f>
        <v/>
      </c>
      <c r="BM225" s="63" t="str">
        <f>IF($BF225="ja",VLOOKUP($B225,Kraftvärmeprod!$B$1:$BX$550,MATCH("Värde enligt ovan. (%)",Kraftvärmeprod!$B$1:$BX$1,0),FALSE),"")</f>
        <v/>
      </c>
    </row>
    <row r="226" spans="1:65" x14ac:dyDescent="0.45">
      <c r="A226" s="63" t="s">
        <v>387</v>
      </c>
      <c r="B226" s="63" t="s">
        <v>114</v>
      </c>
      <c r="C226" s="63">
        <f>VLOOKUP($B226,'Tillförd energi'!$B$1:$AI$720,MATCH(C$2,'Tillförd energi'!$B$1:$AQ$1,0),FALSE)</f>
        <v>0</v>
      </c>
      <c r="D226" s="63">
        <f>VLOOKUP($B226,'Tillförd energi'!$B$1:$AI$720,MATCH(D$2,'Tillförd energi'!$B$1:$AQ$1,0),FALSE)</f>
        <v>1.1499999999999999</v>
      </c>
      <c r="E226" s="63">
        <f>VLOOKUP($B226,'Tillförd energi'!$B$1:$AI$720,MATCH(E$2,'Tillförd energi'!$B$1:$AQ$1,0),FALSE)</f>
        <v>0</v>
      </c>
      <c r="F226" s="63">
        <f>VLOOKUP($B226,'Tillförd energi'!$B$1:$AI$720,MATCH(F$2,'Tillförd energi'!$B$1:$AQ$1,0),FALSE)</f>
        <v>0</v>
      </c>
      <c r="G226" s="63">
        <f>VLOOKUP($B226,'Tillförd energi'!$B$1:$AI$720,MATCH(G$2,'Tillförd energi'!$B$1:$AQ$1,0),FALSE)</f>
        <v>0</v>
      </c>
      <c r="H226" s="63">
        <f>VLOOKUP($B226,'Tillförd energi'!$B$1:$AI$720,MATCH(H$2,'Tillförd energi'!$B$1:$AQ$1,0),FALSE)</f>
        <v>0</v>
      </c>
      <c r="I226" s="63">
        <f>VLOOKUP($B226,'Tillförd energi'!$B$1:$AI$720,MATCH(I$2,'Tillförd energi'!$B$1:$AQ$1,0),FALSE)</f>
        <v>0</v>
      </c>
      <c r="J226" s="63">
        <f>VLOOKUP($B226,'Tillförd energi'!$B$1:$AI$720,MATCH(J$2,'Tillförd energi'!$B$1:$AQ$1,0),FALSE)</f>
        <v>0</v>
      </c>
      <c r="K226" s="63">
        <f>VLOOKUP($B226,'Tillförd energi'!$B$1:$AI$720,MATCH(K$2,'Tillförd energi'!$B$1:$AQ$1,0),FALSE)</f>
        <v>0</v>
      </c>
      <c r="L226" s="63">
        <f>VLOOKUP($B226,'Tillförd energi'!$B$1:$AI$720,MATCH(L$2,'Tillförd energi'!$B$1:$AQ$1,0),FALSE)</f>
        <v>0</v>
      </c>
      <c r="M226" s="63">
        <f>VLOOKUP($B226,'Tillförd energi'!$B$1:$AI$720,MATCH(M$2,'Tillförd energi'!$B$1:$AQ$1,0),FALSE)</f>
        <v>13.6</v>
      </c>
      <c r="N226" s="63">
        <f>VLOOKUP($B226,'Tillförd energi'!$B$1:$AI$720,MATCH(N$2,'Tillförd energi'!$B$1:$AQ$1,0),FALSE)</f>
        <v>0</v>
      </c>
      <c r="O226" s="63">
        <f>VLOOKUP($B226,'Tillförd energi'!$B$1:$AI$720,MATCH(O$2,'Tillförd energi'!$B$1:$AQ$1,0),FALSE)</f>
        <v>0</v>
      </c>
      <c r="P226" s="63">
        <f>VLOOKUP($B226,'Tillförd energi'!$B$1:$AI$720,MATCH(P$2,'Tillförd energi'!$B$1:$AQ$1,0),FALSE)</f>
        <v>13.6</v>
      </c>
      <c r="Q226" s="63">
        <f>VLOOKUP($B226,'Tillförd energi'!$B$1:$AI$720,MATCH(Q$2,'Tillförd energi'!$B$1:$AQ$1,0),FALSE)</f>
        <v>0</v>
      </c>
      <c r="R226" s="63">
        <f>VLOOKUP($B226,'Tillförd energi'!$B$1:$AI$720,MATCH(R$2,'Tillförd energi'!$B$1:$AQ$1,0),FALSE)</f>
        <v>5.2</v>
      </c>
      <c r="S226" s="63">
        <f>VLOOKUP($B226,'Tillförd energi'!$B$1:$AI$720,MATCH(S$2,'Tillförd energi'!$B$1:$AQ$1,0),FALSE)</f>
        <v>0</v>
      </c>
      <c r="T226" s="63">
        <f>VLOOKUP($B226,'Tillförd energi'!$B$1:$AI$720,MATCH(T$2,'Tillförd energi'!$B$1:$AQ$1,0),FALSE)</f>
        <v>0</v>
      </c>
      <c r="U226" s="63">
        <f>VLOOKUP($B226,'Tillförd energi'!$B$1:$AI$720,MATCH(U$2,'Tillförd energi'!$B$1:$AQ$1,0),FALSE)</f>
        <v>0</v>
      </c>
      <c r="V226" s="63">
        <f>VLOOKUP($B226,'Tillförd energi'!$B$1:$AI$720,MATCH(V$2,'Tillförd energi'!$B$1:$AQ$1,0),FALSE)</f>
        <v>0</v>
      </c>
      <c r="W226" s="63">
        <f>VLOOKUP($B226,'Tillförd energi'!$B$1:$AI$720,MATCH(W$2,'Tillförd energi'!$B$1:$AQ$1,0),FALSE)</f>
        <v>0</v>
      </c>
      <c r="X226" s="63">
        <f>VLOOKUP($B226,'Tillförd energi'!$B$1:$AI$720,MATCH(X$2,'Tillförd energi'!$B$1:$AQ$1,0),FALSE)</f>
        <v>0</v>
      </c>
      <c r="Y226" s="63">
        <f>VLOOKUP($B226,'Tillförd energi'!$B$1:$AI$720,MATCH(Y$2,'Tillförd energi'!$B$1:$AQ$1,0),FALSE)</f>
        <v>0</v>
      </c>
      <c r="Z226" s="63">
        <f>VLOOKUP($B226,'Tillförd energi'!$B$1:$AI$720,MATCH(Z$2,'Tillförd energi'!$B$1:$AQ$1,0),FALSE)</f>
        <v>0</v>
      </c>
      <c r="AA226" s="63">
        <f>VLOOKUP($B226,'Tillförd energi'!$B$1:$AI$720,MATCH(AA$2,'Tillförd energi'!$B$1:$AQ$1,0),FALSE)</f>
        <v>0</v>
      </c>
      <c r="AB226" s="63">
        <f>VLOOKUP($B226,'Tillförd energi'!$B$1:$AI$720,MATCH(AB$2,'Tillförd energi'!$B$1:$AQ$1,0),FALSE)</f>
        <v>0</v>
      </c>
      <c r="AC226" s="63">
        <f>VLOOKUP($B226,'Tillförd energi'!$B$1:$AI$720,MATCH(AC$2,'Tillförd energi'!$B$1:$AQ$1,0),FALSE)</f>
        <v>0</v>
      </c>
      <c r="AD226" s="63">
        <f>VLOOKUP($B226,'Tillförd energi'!$B$1:$AI$720,MATCH(AD$2,'Tillförd energi'!$B$1:$AQ$1,0),FALSE)</f>
        <v>0</v>
      </c>
      <c r="AE226" s="63">
        <f>VLOOKUP($B226,'Tillförd energi'!$B$1:$AI$720,MATCH(AE$2,'Tillförd energi'!$B$1:$AQ$1,0),FALSE)</f>
        <v>0</v>
      </c>
      <c r="AF226" s="63">
        <f>VLOOKUP($B226,'Tillförd energi'!$B$1:$AI$720,MATCH(AF$2,'Tillförd energi'!$B$1:$AQ$1,0),FALSE)</f>
        <v>0.25800000000000001</v>
      </c>
      <c r="AG226" s="63">
        <f>IFERROR(VLOOKUP(B226,Miljö!$B$1:$AC$550,MATCH("Köpt mängd produktionsspecifik fjärrvärme:",Miljö!$B$1:$AC$1,0),FALSE)/1,0)</f>
        <v>0</v>
      </c>
      <c r="AI226" s="63">
        <f t="shared" si="18"/>
        <v>33.808000000000007</v>
      </c>
      <c r="AJ226" s="63">
        <f>IF(ISERROR(1/VLOOKUP($B226,Leveranser!$B$1:$S$500,MATCH("såld värme (gwh)",Leveranser!$B$1:$S$1,0),FALSE)),"",VLOOKUP($B226,Leveranser!$B$1:$S$500,MATCH("såld värme (gwh)",Leveranser!$B$1:$S$1,0),FALSE))</f>
        <v>24.82</v>
      </c>
      <c r="AM226" s="63" t="str">
        <f>IF(B226&lt;&gt;"",IF(VLOOKUP($B226,Totalt!$B$1:$AQ$554,MATCH("Kvalitetsgranskad:",Totalt!$B$1:$AQ$1,0),FALSE)="ja",VLOOKUP($B226,Miljö!$B$1:$AG$479,MATCH(AM$2,Miljö!$B$1:$AK$1,0),FALSE),""),"")</f>
        <v>Ja</v>
      </c>
      <c r="AN226" s="63" t="str">
        <f>IF(AM226="ja",VLOOKUP($B226,Miljö!$B$1:$J$479,MATCH("Typ av ursprungsspecificerad el   (Om inget värde anges används Nordisk residualmix, se inforuta) ()",Miljö!$B$1:$J$1,0),FALSE),IF(AM226="nej","Nordisk residualel",""))</f>
        <v>-</v>
      </c>
      <c r="AO226" s="63">
        <f>IF(AM226="","",VLOOKUP($B226,Miljö!$B$1:$J$479,MATCH("Fossilandel för ursprungspecificerad el ()",Miljö!$B$1:$J$1,0),FALSE))</f>
        <v>0.35</v>
      </c>
      <c r="AQ226" s="63">
        <f t="shared" si="19"/>
        <v>0.65</v>
      </c>
      <c r="AS226" s="63" t="str">
        <f t="shared" si="20"/>
        <v>Nej</v>
      </c>
      <c r="AT226" s="63" t="str">
        <f>IF(AS226="ja",VLOOKUP($B226,Miljö!$B$1:$P$500,MATCH("Fossil andel i procent (%)",Miljö!$B$1:$P$1,0),FALSE)/100,"")</f>
        <v/>
      </c>
      <c r="AV226" s="63" t="str">
        <f t="shared" si="21"/>
        <v>Nej</v>
      </c>
      <c r="AW226" s="63" t="str">
        <f>IF(AV226="ja",VLOOKUP($B226,'Egen hetvattenprod'!$B$1:$AO$500,MATCH("Värmekälla till värmepumpar ()",'Egen hetvattenprod'!$B$1:$AO$1,0),FALSE),"")</f>
        <v/>
      </c>
      <c r="AY226" s="63" t="str">
        <f t="shared" si="22"/>
        <v>Nej</v>
      </c>
      <c r="AZ226" s="77" t="str">
        <f>IF($AY226="ja",(VLOOKUP($B226,'Egen hetvattenprod'!$B$1:$BX$550,MATCH(AZ$2,'Egen hetvattenprod'!$B$1:$BX$1,0),FALSE)+VLOOKUP($B226,Kraftvärmeprod!$B$1:$BX$550,MATCH(AZ$2,Kraftvärmeprod!$B$1:$BX$1,0),FALSE))/$AC226,"")</f>
        <v/>
      </c>
      <c r="BA226" s="77" t="str">
        <f>IF($AY226="ja",(VLOOKUP($B226,'Egen hetvattenprod'!$B$1:$BX$550,MATCH(BA$2,'Egen hetvattenprod'!$B$1:$BX$1,0),FALSE)+VLOOKUP($B226,Kraftvärmeprod!$B$1:$BX$550,MATCH(BA$2,Kraftvärmeprod!$B$1:$BX$1,0),FALSE))/$AC226,"")</f>
        <v/>
      </c>
      <c r="BB226" s="77" t="str">
        <f>IF($AY226="ja",(VLOOKUP($B226,'Egen hetvattenprod'!$B$1:$BX$550,MATCH(BB$2,'Egen hetvattenprod'!$B$1:$BX$1,0),FALSE)+VLOOKUP($B226,Kraftvärmeprod!$B$1:$BX$550,MATCH(BB$2,Kraftvärmeprod!$B$1:$BX$1,0),FALSE))/$AC226,"")</f>
        <v/>
      </c>
      <c r="BC226" s="77" t="str">
        <f>IF($AY226="ja",(VLOOKUP($B226,'Egen hetvattenprod'!$B$1:$BX$550,MATCH(BC$2,'Egen hetvattenprod'!$B$1:$BX$1,0),FALSE)+VLOOKUP($B226,Kraftvärmeprod!$B$1:$BX$550,MATCH(BC$2,Kraftvärmeprod!$B$1:$BX$1,0),FALSE))/$AC226,"")</f>
        <v/>
      </c>
      <c r="BD226" s="77" t="str">
        <f>IF($AY226="ja",(VLOOKUP($B226,'Egen hetvattenprod'!$B$1:$BX$550,MATCH(BD$2,'Egen hetvattenprod'!$B$1:$BX$1,0),FALSE)+VLOOKUP($B226,Kraftvärmeprod!$B$1:$BX$550,MATCH(BD$2,Kraftvärmeprod!$B$1:$BX$1,0),FALSE))/$AC226,"")</f>
        <v/>
      </c>
      <c r="BF226" s="63" t="str">
        <f t="shared" si="23"/>
        <v>Nej</v>
      </c>
      <c r="BG226" s="63" t="str">
        <f>IF($BF226="ja",VLOOKUP($B226,'Egen hetvattenprod'!$B$1:$BX$550,MATCH("Andelen klimatgaser med fossilt ursprung för avfall ()",'Egen hetvattenprod'!$B$1:$BX$1,0),FALSE),"")</f>
        <v/>
      </c>
      <c r="BH226" s="63" t="str">
        <f>IF($BF226="ja",VLOOKUP($B226,Kraftvärmeprod!$B$1:$BX$550,MATCH("Andelen klimatgaser med fossilt ursprung för avfall ()",Kraftvärmeprod!$B$1:$BX$1,0),FALSE),"")</f>
        <v/>
      </c>
      <c r="BI226" s="63" t="str">
        <f>IF($BF226="ja",VLOOKUP($B226,'Egen hetvattenprod'!$B$1:$BX$550,MATCH("Avfall (GWh)",'Egen hetvattenprod'!$B$1:$BX$1,0),FALSE),"")</f>
        <v/>
      </c>
      <c r="BJ226" s="63" t="str">
        <f>IF($BF226="ja",VLOOKUP($B226,'Slutlig allokering kvv'!$B$1:$BX$550,MATCH("Avfall (GWh)",'Slutlig allokering kvv'!$B$1:$BX$1,0),FALSE),"")</f>
        <v/>
      </c>
      <c r="BK226" s="63" t="str">
        <f>IF($BF226="ja",VLOOKUP($B226,'Köpt hetvatten'!$B$1:$BX$550,MATCH("Avfall i köpt hetvatten",'Köpt hetvatten'!$B$1:$BX$1,0),FALSE),"")</f>
        <v/>
      </c>
      <c r="BL226" s="63" t="str">
        <f>IF($BF226="ja",VLOOKUP($B226,'Egen hetvattenprod'!$B$1:$BX$550,MATCH("Värde enligt ovan. (%)",'Egen hetvattenprod'!$B$1:$BX$1,0),FALSE),"")</f>
        <v/>
      </c>
      <c r="BM226" s="63" t="str">
        <f>IF($BF226="ja",VLOOKUP($B226,Kraftvärmeprod!$B$1:$BX$550,MATCH("Värde enligt ovan. (%)",Kraftvärmeprod!$B$1:$BX$1,0),FALSE),"")</f>
        <v/>
      </c>
    </row>
    <row r="227" spans="1:65" x14ac:dyDescent="0.45">
      <c r="A227" s="63" t="s">
        <v>386</v>
      </c>
      <c r="B227" s="63" t="s">
        <v>385</v>
      </c>
      <c r="C227" s="63">
        <f>VLOOKUP($B227,'Tillförd energi'!$B$1:$AI$720,MATCH(C$2,'Tillförd energi'!$B$1:$AQ$1,0),FALSE)</f>
        <v>0</v>
      </c>
      <c r="D227" s="63">
        <f>VLOOKUP($B227,'Tillförd energi'!$B$1:$AI$720,MATCH(D$2,'Tillförd energi'!$B$1:$AQ$1,0),FALSE)</f>
        <v>0</v>
      </c>
      <c r="E227" s="63">
        <f>VLOOKUP($B227,'Tillförd energi'!$B$1:$AI$720,MATCH(E$2,'Tillförd energi'!$B$1:$AQ$1,0),FALSE)</f>
        <v>0</v>
      </c>
      <c r="F227" s="63">
        <f>VLOOKUP($B227,'Tillförd energi'!$B$1:$AI$720,MATCH(F$2,'Tillförd energi'!$B$1:$AQ$1,0),FALSE)</f>
        <v>0</v>
      </c>
      <c r="G227" s="63">
        <f>VLOOKUP($B227,'Tillförd energi'!$B$1:$AI$720,MATCH(G$2,'Tillförd energi'!$B$1:$AQ$1,0),FALSE)</f>
        <v>0</v>
      </c>
      <c r="H227" s="63">
        <f>VLOOKUP($B227,'Tillförd energi'!$B$1:$AI$720,MATCH(H$2,'Tillförd energi'!$B$1:$AQ$1,0),FALSE)</f>
        <v>0</v>
      </c>
      <c r="I227" s="63">
        <f>VLOOKUP($B227,'Tillförd energi'!$B$1:$AI$720,MATCH(I$2,'Tillförd energi'!$B$1:$AQ$1,0),FALSE)</f>
        <v>0</v>
      </c>
      <c r="J227" s="63">
        <f>VLOOKUP($B227,'Tillförd energi'!$B$1:$AI$720,MATCH(J$2,'Tillförd energi'!$B$1:$AQ$1,0),FALSE)</f>
        <v>0</v>
      </c>
      <c r="K227" s="63">
        <f>VLOOKUP($B227,'Tillförd energi'!$B$1:$AI$720,MATCH(K$2,'Tillförd energi'!$B$1:$AQ$1,0),FALSE)</f>
        <v>0</v>
      </c>
      <c r="L227" s="63">
        <f>VLOOKUP($B227,'Tillförd energi'!$B$1:$AI$720,MATCH(L$2,'Tillförd energi'!$B$1:$AQ$1,0),FALSE)</f>
        <v>0</v>
      </c>
      <c r="M227" s="63">
        <f>VLOOKUP($B227,'Tillförd energi'!$B$1:$AI$720,MATCH(M$2,'Tillförd energi'!$B$1:$AQ$1,0),FALSE)</f>
        <v>0</v>
      </c>
      <c r="N227" s="63">
        <f>VLOOKUP($B227,'Tillförd energi'!$B$1:$AI$720,MATCH(N$2,'Tillförd energi'!$B$1:$AQ$1,0),FALSE)</f>
        <v>0</v>
      </c>
      <c r="O227" s="63">
        <f>VLOOKUP($B227,'Tillförd energi'!$B$1:$AI$720,MATCH(O$2,'Tillförd energi'!$B$1:$AQ$1,0),FALSE)</f>
        <v>0</v>
      </c>
      <c r="P227" s="63">
        <f>VLOOKUP($B227,'Tillförd energi'!$B$1:$AI$720,MATCH(P$2,'Tillförd energi'!$B$1:$AQ$1,0),FALSE)</f>
        <v>0</v>
      </c>
      <c r="Q227" s="63">
        <f>VLOOKUP($B227,'Tillförd energi'!$B$1:$AI$720,MATCH(Q$2,'Tillförd energi'!$B$1:$AQ$1,0),FALSE)</f>
        <v>0</v>
      </c>
      <c r="R227" s="63">
        <f>VLOOKUP($B227,'Tillförd energi'!$B$1:$AI$720,MATCH(R$2,'Tillförd energi'!$B$1:$AQ$1,0),FALSE)</f>
        <v>0</v>
      </c>
      <c r="S227" s="63">
        <f>VLOOKUP($B227,'Tillförd energi'!$B$1:$AI$720,MATCH(S$2,'Tillförd energi'!$B$1:$AQ$1,0),FALSE)</f>
        <v>0</v>
      </c>
      <c r="T227" s="63">
        <f>VLOOKUP($B227,'Tillförd energi'!$B$1:$AI$720,MATCH(T$2,'Tillförd energi'!$B$1:$AQ$1,0),FALSE)</f>
        <v>0</v>
      </c>
      <c r="U227" s="63">
        <f>VLOOKUP($B227,'Tillförd energi'!$B$1:$AI$720,MATCH(U$2,'Tillförd energi'!$B$1:$AQ$1,0),FALSE)</f>
        <v>0</v>
      </c>
      <c r="V227" s="63">
        <f>VLOOKUP($B227,'Tillförd energi'!$B$1:$AI$720,MATCH(V$2,'Tillförd energi'!$B$1:$AQ$1,0),FALSE)</f>
        <v>0</v>
      </c>
      <c r="W227" s="63">
        <f>VLOOKUP($B227,'Tillförd energi'!$B$1:$AI$720,MATCH(W$2,'Tillförd energi'!$B$1:$AQ$1,0),FALSE)</f>
        <v>0</v>
      </c>
      <c r="X227" s="63">
        <f>VLOOKUP($B227,'Tillförd energi'!$B$1:$AI$720,MATCH(X$2,'Tillförd energi'!$B$1:$AQ$1,0),FALSE)</f>
        <v>0</v>
      </c>
      <c r="Y227" s="63">
        <f>VLOOKUP($B227,'Tillförd energi'!$B$1:$AI$720,MATCH(Y$2,'Tillförd energi'!$B$1:$AQ$1,0),FALSE)</f>
        <v>0</v>
      </c>
      <c r="Z227" s="63">
        <f>VLOOKUP($B227,'Tillförd energi'!$B$1:$AI$720,MATCH(Z$2,'Tillförd energi'!$B$1:$AQ$1,0),FALSE)</f>
        <v>0</v>
      </c>
      <c r="AA227" s="63">
        <f>VLOOKUP($B227,'Tillförd energi'!$B$1:$AI$720,MATCH(AA$2,'Tillförd energi'!$B$1:$AQ$1,0),FALSE)</f>
        <v>0</v>
      </c>
      <c r="AB227" s="63">
        <f>VLOOKUP($B227,'Tillförd energi'!$B$1:$AI$720,MATCH(AB$2,'Tillförd energi'!$B$1:$AQ$1,0),FALSE)</f>
        <v>0</v>
      </c>
      <c r="AC227" s="63">
        <f>VLOOKUP($B227,'Tillförd energi'!$B$1:$AI$720,MATCH(AC$2,'Tillförd energi'!$B$1:$AQ$1,0),FALSE)</f>
        <v>0</v>
      </c>
      <c r="AD227" s="63">
        <f>VLOOKUP($B227,'Tillförd energi'!$B$1:$AI$720,MATCH(AD$2,'Tillförd energi'!$B$1:$AQ$1,0),FALSE)</f>
        <v>0</v>
      </c>
      <c r="AE227" s="63">
        <f>VLOOKUP($B227,'Tillförd energi'!$B$1:$AI$720,MATCH(AE$2,'Tillförd energi'!$B$1:$AQ$1,0),FALSE)</f>
        <v>0</v>
      </c>
      <c r="AF227" s="63">
        <f>VLOOKUP($B227,'Tillförd energi'!$B$1:$AI$720,MATCH(AF$2,'Tillförd energi'!$B$1:$AQ$1,0),FALSE)</f>
        <v>1E-8</v>
      </c>
      <c r="AG227" s="63">
        <f>IFERROR(VLOOKUP(B227,Miljö!$B$1:$AC$550,MATCH("Köpt mängd produktionsspecifik fjärrvärme:",Miljö!$B$1:$AC$1,0),FALSE)/1,0)</f>
        <v>164.59</v>
      </c>
      <c r="AI227" s="63">
        <f t="shared" si="18"/>
        <v>164.59000001000001</v>
      </c>
      <c r="AJ227" s="63">
        <f>IF(ISERROR(1/VLOOKUP($B227,Leveranser!$B$1:$S$500,MATCH("såld värme (gwh)",Leveranser!$B$1:$S$1,0),FALSE)),"",VLOOKUP($B227,Leveranser!$B$1:$S$500,MATCH("såld värme (gwh)",Leveranser!$B$1:$S$1,0),FALSE))</f>
        <v>151</v>
      </c>
      <c r="AM227" s="63" t="str">
        <f>IF(B227&lt;&gt;"",IF(VLOOKUP($B227,Totalt!$B$1:$AQ$554,MATCH("Kvalitetsgranskad:",Totalt!$B$1:$AQ$1,0),FALSE)="ja",VLOOKUP($B227,Miljö!$B$1:$AG$479,MATCH(AM$2,Miljö!$B$1:$AK$1,0),FALSE),""),"")</f>
        <v>Ja</v>
      </c>
      <c r="AN227" s="63" t="str">
        <f>IF(AM227="ja",VLOOKUP($B227,Miljö!$B$1:$J$479,MATCH("Typ av ursprungsspecificerad el   (Om inget värde anges används Nordisk residualmix, se inforuta) ()",Miljö!$B$1:$J$1,0),FALSE),IF(AM227="nej","Nordisk residualel",""))</f>
        <v>'Bra miljöval'</v>
      </c>
      <c r="AO227" s="63">
        <f>IF(AM227="","",VLOOKUP($B227,Miljö!$B$1:$J$479,MATCH("Fossilandel för ursprungspecificerad el ()",Miljö!$B$1:$J$1,0),FALSE))</f>
        <v>0</v>
      </c>
      <c r="AQ227" s="63">
        <f t="shared" si="19"/>
        <v>1</v>
      </c>
      <c r="AS227" s="63" t="str">
        <f t="shared" si="20"/>
        <v>Ja</v>
      </c>
      <c r="AT227" s="63">
        <f>IF(AS227="ja",VLOOKUP($B227,Miljö!$B$1:$P$500,MATCH("Fossil andel i procent (%)",Miljö!$B$1:$P$1,0),FALSE)/100,"")</f>
        <v>0.115</v>
      </c>
      <c r="AV227" s="63" t="str">
        <f t="shared" si="21"/>
        <v>Nej</v>
      </c>
      <c r="AW227" s="63" t="str">
        <f>IF(AV227="ja",VLOOKUP($B227,'Egen hetvattenprod'!$B$1:$AO$500,MATCH("Värmekälla till värmepumpar ()",'Egen hetvattenprod'!$B$1:$AO$1,0),FALSE),"")</f>
        <v/>
      </c>
      <c r="AY227" s="63" t="str">
        <f t="shared" si="22"/>
        <v>Nej</v>
      </c>
      <c r="AZ227" s="77" t="str">
        <f>IF($AY227="ja",(VLOOKUP($B227,'Egen hetvattenprod'!$B$1:$BX$550,MATCH(AZ$2,'Egen hetvattenprod'!$B$1:$BX$1,0),FALSE)+VLOOKUP($B227,Kraftvärmeprod!$B$1:$BX$550,MATCH(AZ$2,Kraftvärmeprod!$B$1:$BX$1,0),FALSE))/$AC227,"")</f>
        <v/>
      </c>
      <c r="BA227" s="77" t="str">
        <f>IF($AY227="ja",(VLOOKUP($B227,'Egen hetvattenprod'!$B$1:$BX$550,MATCH(BA$2,'Egen hetvattenprod'!$B$1:$BX$1,0),FALSE)+VLOOKUP($B227,Kraftvärmeprod!$B$1:$BX$550,MATCH(BA$2,Kraftvärmeprod!$B$1:$BX$1,0),FALSE))/$AC227,"")</f>
        <v/>
      </c>
      <c r="BB227" s="77" t="str">
        <f>IF($AY227="ja",(VLOOKUP($B227,'Egen hetvattenprod'!$B$1:$BX$550,MATCH(BB$2,'Egen hetvattenprod'!$B$1:$BX$1,0),FALSE)+VLOOKUP($B227,Kraftvärmeprod!$B$1:$BX$550,MATCH(BB$2,Kraftvärmeprod!$B$1:$BX$1,0),FALSE))/$AC227,"")</f>
        <v/>
      </c>
      <c r="BC227" s="77" t="str">
        <f>IF($AY227="ja",(VLOOKUP($B227,'Egen hetvattenprod'!$B$1:$BX$550,MATCH(BC$2,'Egen hetvattenprod'!$B$1:$BX$1,0),FALSE)+VLOOKUP($B227,Kraftvärmeprod!$B$1:$BX$550,MATCH(BC$2,Kraftvärmeprod!$B$1:$BX$1,0),FALSE))/$AC227,"")</f>
        <v/>
      </c>
      <c r="BD227" s="77" t="str">
        <f>IF($AY227="ja",(VLOOKUP($B227,'Egen hetvattenprod'!$B$1:$BX$550,MATCH(BD$2,'Egen hetvattenprod'!$B$1:$BX$1,0),FALSE)+VLOOKUP($B227,Kraftvärmeprod!$B$1:$BX$550,MATCH(BD$2,Kraftvärmeprod!$B$1:$BX$1,0),FALSE))/$AC227,"")</f>
        <v/>
      </c>
      <c r="BF227" s="63" t="str">
        <f t="shared" si="23"/>
        <v>Nej</v>
      </c>
      <c r="BG227" s="63" t="str">
        <f>IF($BF227="ja",VLOOKUP($B227,'Egen hetvattenprod'!$B$1:$BX$550,MATCH("Andelen klimatgaser med fossilt ursprung för avfall ()",'Egen hetvattenprod'!$B$1:$BX$1,0),FALSE),"")</f>
        <v/>
      </c>
      <c r="BH227" s="63" t="str">
        <f>IF($BF227="ja",VLOOKUP($B227,Kraftvärmeprod!$B$1:$BX$550,MATCH("Andelen klimatgaser med fossilt ursprung för avfall ()",Kraftvärmeprod!$B$1:$BX$1,0),FALSE),"")</f>
        <v/>
      </c>
      <c r="BI227" s="63" t="str">
        <f>IF($BF227="ja",VLOOKUP($B227,'Egen hetvattenprod'!$B$1:$BX$550,MATCH("Avfall (GWh)",'Egen hetvattenprod'!$B$1:$BX$1,0),FALSE),"")</f>
        <v/>
      </c>
      <c r="BJ227" s="63" t="str">
        <f>IF($BF227="ja",VLOOKUP($B227,'Slutlig allokering kvv'!$B$1:$BX$550,MATCH("Avfall (GWh)",'Slutlig allokering kvv'!$B$1:$BX$1,0),FALSE),"")</f>
        <v/>
      </c>
      <c r="BK227" s="63" t="str">
        <f>IF($BF227="ja",VLOOKUP($B227,'Köpt hetvatten'!$B$1:$BX$550,MATCH("Avfall i köpt hetvatten",'Köpt hetvatten'!$B$1:$BX$1,0),FALSE),"")</f>
        <v/>
      </c>
      <c r="BL227" s="63" t="str">
        <f>IF($BF227="ja",VLOOKUP($B227,'Egen hetvattenprod'!$B$1:$BX$550,MATCH("Värde enligt ovan. (%)",'Egen hetvattenprod'!$B$1:$BX$1,0),FALSE),"")</f>
        <v/>
      </c>
      <c r="BM227" s="63" t="str">
        <f>IF($BF227="ja",VLOOKUP($B227,Kraftvärmeprod!$B$1:$BX$550,MATCH("Värde enligt ovan. (%)",Kraftvärmeprod!$B$1:$BX$1,0),FALSE),"")</f>
        <v/>
      </c>
    </row>
    <row r="228" spans="1:65" x14ac:dyDescent="0.45">
      <c r="A228" s="63" t="s">
        <v>4</v>
      </c>
      <c r="B228" s="63" t="s">
        <v>5</v>
      </c>
      <c r="C228" s="63">
        <f>VLOOKUP($B228,'Tillförd energi'!$B$1:$AI$720,MATCH(C$2,'Tillförd energi'!$B$1:$AQ$1,0),FALSE)</f>
        <v>0</v>
      </c>
      <c r="D228" s="63">
        <f>VLOOKUP($B228,'Tillförd energi'!$B$1:$AI$720,MATCH(D$2,'Tillförd energi'!$B$1:$AQ$1,0),FALSE)</f>
        <v>0</v>
      </c>
      <c r="E228" s="63">
        <f>VLOOKUP($B228,'Tillförd energi'!$B$1:$AI$720,MATCH(E$2,'Tillförd energi'!$B$1:$AQ$1,0),FALSE)</f>
        <v>0</v>
      </c>
      <c r="F228" s="63">
        <f>VLOOKUP($B228,'Tillförd energi'!$B$1:$AI$720,MATCH(F$2,'Tillförd energi'!$B$1:$AQ$1,0),FALSE)</f>
        <v>0</v>
      </c>
      <c r="G228" s="63">
        <f>VLOOKUP($B228,'Tillförd energi'!$B$1:$AI$720,MATCH(G$2,'Tillförd energi'!$B$1:$AQ$1,0),FALSE)</f>
        <v>0</v>
      </c>
      <c r="H228" s="63">
        <f>VLOOKUP($B228,'Tillförd energi'!$B$1:$AI$720,MATCH(H$2,'Tillförd energi'!$B$1:$AQ$1,0),FALSE)</f>
        <v>0</v>
      </c>
      <c r="I228" s="63">
        <f>VLOOKUP($B228,'Tillförd energi'!$B$1:$AI$720,MATCH(I$2,'Tillförd energi'!$B$1:$AQ$1,0),FALSE)</f>
        <v>0</v>
      </c>
      <c r="J228" s="63">
        <f>VLOOKUP($B228,'Tillförd energi'!$B$1:$AI$720,MATCH(J$2,'Tillförd energi'!$B$1:$AQ$1,0),FALSE)</f>
        <v>0</v>
      </c>
      <c r="K228" s="63">
        <f>VLOOKUP($B228,'Tillförd energi'!$B$1:$AI$720,MATCH(K$2,'Tillförd energi'!$B$1:$AQ$1,0),FALSE)</f>
        <v>0</v>
      </c>
      <c r="L228" s="63">
        <f>VLOOKUP($B228,'Tillförd energi'!$B$1:$AI$720,MATCH(L$2,'Tillförd energi'!$B$1:$AQ$1,0),FALSE)</f>
        <v>0</v>
      </c>
      <c r="M228" s="63">
        <f>VLOOKUP($B228,'Tillförd energi'!$B$1:$AI$720,MATCH(M$2,'Tillförd energi'!$B$1:$AQ$1,0),FALSE)</f>
        <v>0</v>
      </c>
      <c r="N228" s="63">
        <f>VLOOKUP($B228,'Tillförd energi'!$B$1:$AI$720,MATCH(N$2,'Tillförd energi'!$B$1:$AQ$1,0),FALSE)</f>
        <v>0</v>
      </c>
      <c r="O228" s="63">
        <f>VLOOKUP($B228,'Tillförd energi'!$B$1:$AI$720,MATCH(O$2,'Tillförd energi'!$B$1:$AQ$1,0),FALSE)</f>
        <v>0</v>
      </c>
      <c r="P228" s="63">
        <f>VLOOKUP($B228,'Tillförd energi'!$B$1:$AI$720,MATCH(P$2,'Tillförd energi'!$B$1:$AQ$1,0),FALSE)</f>
        <v>0</v>
      </c>
      <c r="Q228" s="63">
        <f>VLOOKUP($B228,'Tillförd energi'!$B$1:$AI$720,MATCH(Q$2,'Tillförd energi'!$B$1:$AQ$1,0),FALSE)</f>
        <v>0</v>
      </c>
      <c r="R228" s="63">
        <f>VLOOKUP($B228,'Tillförd energi'!$B$1:$AI$720,MATCH(R$2,'Tillförd energi'!$B$1:$AQ$1,0),FALSE)</f>
        <v>0</v>
      </c>
      <c r="S228" s="63">
        <f>VLOOKUP($B228,'Tillförd energi'!$B$1:$AI$720,MATCH(S$2,'Tillförd energi'!$B$1:$AQ$1,0),FALSE)</f>
        <v>0</v>
      </c>
      <c r="T228" s="63">
        <f>VLOOKUP($B228,'Tillförd energi'!$B$1:$AI$720,MATCH(T$2,'Tillförd energi'!$B$1:$AQ$1,0),FALSE)</f>
        <v>0</v>
      </c>
      <c r="U228" s="63">
        <f>VLOOKUP($B228,'Tillförd energi'!$B$1:$AI$720,MATCH(U$2,'Tillförd energi'!$B$1:$AQ$1,0),FALSE)</f>
        <v>0</v>
      </c>
      <c r="V228" s="63">
        <f>VLOOKUP($B228,'Tillförd energi'!$B$1:$AI$720,MATCH(V$2,'Tillförd energi'!$B$1:$AQ$1,0),FALSE)</f>
        <v>0</v>
      </c>
      <c r="W228" s="63">
        <f>VLOOKUP($B228,'Tillförd energi'!$B$1:$AI$720,MATCH(W$2,'Tillförd energi'!$B$1:$AQ$1,0),FALSE)</f>
        <v>0</v>
      </c>
      <c r="X228" s="63">
        <f>VLOOKUP($B228,'Tillförd energi'!$B$1:$AI$720,MATCH(X$2,'Tillförd energi'!$B$1:$AQ$1,0),FALSE)</f>
        <v>0</v>
      </c>
      <c r="Y228" s="63">
        <f>VLOOKUP($B228,'Tillförd energi'!$B$1:$AI$720,MATCH(Y$2,'Tillförd energi'!$B$1:$AQ$1,0),FALSE)</f>
        <v>0</v>
      </c>
      <c r="Z228" s="63">
        <f>VLOOKUP($B228,'Tillförd energi'!$B$1:$AI$720,MATCH(Z$2,'Tillförd energi'!$B$1:$AQ$1,0),FALSE)</f>
        <v>0</v>
      </c>
      <c r="AA228" s="63">
        <f>VLOOKUP($B228,'Tillförd energi'!$B$1:$AI$720,MATCH(AA$2,'Tillförd energi'!$B$1:$AQ$1,0),FALSE)</f>
        <v>0</v>
      </c>
      <c r="AB228" s="63">
        <f>VLOOKUP($B228,'Tillförd energi'!$B$1:$AI$720,MATCH(AB$2,'Tillförd energi'!$B$1:$AQ$1,0),FALSE)</f>
        <v>0</v>
      </c>
      <c r="AC228" s="63">
        <f>VLOOKUP($B228,'Tillförd energi'!$B$1:$AI$720,MATCH(AC$2,'Tillförd energi'!$B$1:$AQ$1,0),FALSE)</f>
        <v>0</v>
      </c>
      <c r="AD228" s="63">
        <f>VLOOKUP($B228,'Tillförd energi'!$B$1:$AI$720,MATCH(AD$2,'Tillförd energi'!$B$1:$AQ$1,0),FALSE)</f>
        <v>0</v>
      </c>
      <c r="AE228" s="63">
        <f>VLOOKUP($B228,'Tillförd energi'!$B$1:$AI$720,MATCH(AE$2,'Tillförd energi'!$B$1:$AQ$1,0),FALSE)</f>
        <v>0</v>
      </c>
      <c r="AF228" s="63">
        <f>VLOOKUP($B228,'Tillförd energi'!$B$1:$AI$720,MATCH(AF$2,'Tillförd energi'!$B$1:$AQ$1,0),FALSE)</f>
        <v>0</v>
      </c>
      <c r="AG228" s="63">
        <f>IFERROR(VLOOKUP(B228,Miljö!$B$1:$AC$550,MATCH("Köpt mängd produktionsspecifik fjärrvärme:",Miljö!$B$1:$AC$1,0),FALSE)/1,0)</f>
        <v>0</v>
      </c>
      <c r="AI228" s="63">
        <f t="shared" si="18"/>
        <v>0</v>
      </c>
      <c r="AJ228" s="63" t="str">
        <f>IF(ISERROR(1/VLOOKUP($B228,Leveranser!$B$1:$S$500,MATCH("såld värme (gwh)",Leveranser!$B$1:$S$1,0),FALSE)),"",VLOOKUP($B228,Leveranser!$B$1:$S$500,MATCH("såld värme (gwh)",Leveranser!$B$1:$S$1,0),FALSE))</f>
        <v/>
      </c>
      <c r="AM228" s="63" t="str">
        <f>IF(B228&lt;&gt;"",IF(VLOOKUP($B228,Totalt!$B$1:$AQ$554,MATCH("Kvalitetsgranskad:",Totalt!$B$1:$AQ$1,0),FALSE)="ja",VLOOKUP($B228,Miljö!$B$1:$AG$479,MATCH(AM$2,Miljö!$B$1:$AK$1,0),FALSE),""),"")</f>
        <v/>
      </c>
      <c r="AN228" s="63" t="str">
        <f>IF(AM228="ja",VLOOKUP($B228,Miljö!$B$1:$J$479,MATCH("Typ av ursprungsspecificerad el   (Om inget värde anges används Nordisk residualmix, se inforuta) ()",Miljö!$B$1:$J$1,0),FALSE),IF(AM228="nej","Nordisk residualel",""))</f>
        <v/>
      </c>
      <c r="AO228" s="63" t="str">
        <f>IF(AM228="","",VLOOKUP($B228,Miljö!$B$1:$J$479,MATCH("Fossilandel för ursprungspecificerad el ()",Miljö!$B$1:$J$1,0),FALSE))</f>
        <v/>
      </c>
      <c r="AQ228" s="63" t="str">
        <f t="shared" si="19"/>
        <v/>
      </c>
      <c r="AS228" s="63" t="str">
        <f t="shared" si="20"/>
        <v>Nej</v>
      </c>
      <c r="AT228" s="63" t="str">
        <f>IF(AS228="ja",VLOOKUP($B228,Miljö!$B$1:$P$500,MATCH("Fossil andel i procent (%)",Miljö!$B$1:$P$1,0),FALSE)/100,"")</f>
        <v/>
      </c>
      <c r="AV228" s="63" t="str">
        <f t="shared" si="21"/>
        <v>Nej</v>
      </c>
      <c r="AW228" s="63" t="str">
        <f>IF(AV228="ja",VLOOKUP($B228,'Egen hetvattenprod'!$B$1:$AO$500,MATCH("Värmekälla till värmepumpar ()",'Egen hetvattenprod'!$B$1:$AO$1,0),FALSE),"")</f>
        <v/>
      </c>
      <c r="AY228" s="63" t="str">
        <f t="shared" si="22"/>
        <v>Nej</v>
      </c>
      <c r="AZ228" s="77" t="str">
        <f>IF($AY228="ja",(VLOOKUP($B228,'Egen hetvattenprod'!$B$1:$BX$550,MATCH(AZ$2,'Egen hetvattenprod'!$B$1:$BX$1,0),FALSE)+VLOOKUP($B228,Kraftvärmeprod!$B$1:$BX$550,MATCH(AZ$2,Kraftvärmeprod!$B$1:$BX$1,0),FALSE))/$AC228,"")</f>
        <v/>
      </c>
      <c r="BA228" s="77" t="str">
        <f>IF($AY228="ja",(VLOOKUP($B228,'Egen hetvattenprod'!$B$1:$BX$550,MATCH(BA$2,'Egen hetvattenprod'!$B$1:$BX$1,0),FALSE)+VLOOKUP($B228,Kraftvärmeprod!$B$1:$BX$550,MATCH(BA$2,Kraftvärmeprod!$B$1:$BX$1,0),FALSE))/$AC228,"")</f>
        <v/>
      </c>
      <c r="BB228" s="77" t="str">
        <f>IF($AY228="ja",(VLOOKUP($B228,'Egen hetvattenprod'!$B$1:$BX$550,MATCH(BB$2,'Egen hetvattenprod'!$B$1:$BX$1,0),FALSE)+VLOOKUP($B228,Kraftvärmeprod!$B$1:$BX$550,MATCH(BB$2,Kraftvärmeprod!$B$1:$BX$1,0),FALSE))/$AC228,"")</f>
        <v/>
      </c>
      <c r="BC228" s="77" t="str">
        <f>IF($AY228="ja",(VLOOKUP($B228,'Egen hetvattenprod'!$B$1:$BX$550,MATCH(BC$2,'Egen hetvattenprod'!$B$1:$BX$1,0),FALSE)+VLOOKUP($B228,Kraftvärmeprod!$B$1:$BX$550,MATCH(BC$2,Kraftvärmeprod!$B$1:$BX$1,0),FALSE))/$AC228,"")</f>
        <v/>
      </c>
      <c r="BD228" s="77" t="str">
        <f>IF($AY228="ja",(VLOOKUP($B228,'Egen hetvattenprod'!$B$1:$BX$550,MATCH(BD$2,'Egen hetvattenprod'!$B$1:$BX$1,0),FALSE)+VLOOKUP($B228,Kraftvärmeprod!$B$1:$BX$550,MATCH(BD$2,Kraftvärmeprod!$B$1:$BX$1,0),FALSE))/$AC228,"")</f>
        <v/>
      </c>
      <c r="BF228" s="63" t="str">
        <f t="shared" si="23"/>
        <v>Nej</v>
      </c>
      <c r="BG228" s="63" t="str">
        <f>IF($BF228="ja",VLOOKUP($B228,'Egen hetvattenprod'!$B$1:$BX$550,MATCH("Andelen klimatgaser med fossilt ursprung för avfall ()",'Egen hetvattenprod'!$B$1:$BX$1,0),FALSE),"")</f>
        <v/>
      </c>
      <c r="BH228" s="63" t="str">
        <f>IF($BF228="ja",VLOOKUP($B228,Kraftvärmeprod!$B$1:$BX$550,MATCH("Andelen klimatgaser med fossilt ursprung för avfall ()",Kraftvärmeprod!$B$1:$BX$1,0),FALSE),"")</f>
        <v/>
      </c>
      <c r="BI228" s="63" t="str">
        <f>IF($BF228="ja",VLOOKUP($B228,'Egen hetvattenprod'!$B$1:$BX$550,MATCH("Avfall (GWh)",'Egen hetvattenprod'!$B$1:$BX$1,0),FALSE),"")</f>
        <v/>
      </c>
      <c r="BJ228" s="63" t="str">
        <f>IF($BF228="ja",VLOOKUP($B228,'Slutlig allokering kvv'!$B$1:$BX$550,MATCH("Avfall (GWh)",'Slutlig allokering kvv'!$B$1:$BX$1,0),FALSE),"")</f>
        <v/>
      </c>
      <c r="BK228" s="63" t="str">
        <f>IF($BF228="ja",VLOOKUP($B228,'Köpt hetvatten'!$B$1:$BX$550,MATCH("Avfall i köpt hetvatten",'Köpt hetvatten'!$B$1:$BX$1,0),FALSE),"")</f>
        <v/>
      </c>
      <c r="BL228" s="63" t="str">
        <f>IF($BF228="ja",VLOOKUP($B228,'Egen hetvattenprod'!$B$1:$BX$550,MATCH("Värde enligt ovan. (%)",'Egen hetvattenprod'!$B$1:$BX$1,0),FALSE),"")</f>
        <v/>
      </c>
      <c r="BM228" s="63" t="str">
        <f>IF($BF228="ja",VLOOKUP($B228,Kraftvärmeprod!$B$1:$BX$550,MATCH("Värde enligt ovan. (%)",Kraftvärmeprod!$B$1:$BX$1,0),FALSE),"")</f>
        <v/>
      </c>
    </row>
    <row r="229" spans="1:65" x14ac:dyDescent="0.45">
      <c r="A229" s="63" t="s">
        <v>4</v>
      </c>
      <c r="B229" s="63" t="s">
        <v>382</v>
      </c>
      <c r="C229" s="63">
        <f>VLOOKUP($B229,'Tillförd energi'!$B$1:$AI$720,MATCH(C$2,'Tillförd energi'!$B$1:$AQ$1,0),FALSE)</f>
        <v>0</v>
      </c>
      <c r="D229" s="63">
        <f>VLOOKUP($B229,'Tillförd energi'!$B$1:$AI$720,MATCH(D$2,'Tillförd energi'!$B$1:$AQ$1,0),FALSE)</f>
        <v>0</v>
      </c>
      <c r="E229" s="63">
        <f>VLOOKUP($B229,'Tillförd energi'!$B$1:$AI$720,MATCH(E$2,'Tillförd energi'!$B$1:$AQ$1,0),FALSE)</f>
        <v>0</v>
      </c>
      <c r="F229" s="63">
        <f>VLOOKUP($B229,'Tillförd energi'!$B$1:$AI$720,MATCH(F$2,'Tillförd energi'!$B$1:$AQ$1,0),FALSE)</f>
        <v>0</v>
      </c>
      <c r="G229" s="63">
        <f>VLOOKUP($B229,'Tillförd energi'!$B$1:$AI$720,MATCH(G$2,'Tillförd energi'!$B$1:$AQ$1,0),FALSE)</f>
        <v>0</v>
      </c>
      <c r="H229" s="63">
        <f>VLOOKUP($B229,'Tillförd energi'!$B$1:$AI$720,MATCH(H$2,'Tillförd energi'!$B$1:$AQ$1,0),FALSE)</f>
        <v>0</v>
      </c>
      <c r="I229" s="63">
        <f>VLOOKUP($B229,'Tillförd energi'!$B$1:$AI$720,MATCH(I$2,'Tillförd energi'!$B$1:$AQ$1,0),FALSE)</f>
        <v>0</v>
      </c>
      <c r="J229" s="63">
        <f>VLOOKUP($B229,'Tillförd energi'!$B$1:$AI$720,MATCH(J$2,'Tillförd energi'!$B$1:$AQ$1,0),FALSE)</f>
        <v>0</v>
      </c>
      <c r="K229" s="63">
        <f>VLOOKUP($B229,'Tillförd energi'!$B$1:$AI$720,MATCH(K$2,'Tillförd energi'!$B$1:$AQ$1,0),FALSE)</f>
        <v>0</v>
      </c>
      <c r="L229" s="63">
        <f>VLOOKUP($B229,'Tillförd energi'!$B$1:$AI$720,MATCH(L$2,'Tillförd energi'!$B$1:$AQ$1,0),FALSE)</f>
        <v>0</v>
      </c>
      <c r="M229" s="63">
        <f>VLOOKUP($B229,'Tillförd energi'!$B$1:$AI$720,MATCH(M$2,'Tillförd energi'!$B$1:$AQ$1,0),FALSE)</f>
        <v>0</v>
      </c>
      <c r="N229" s="63">
        <f>VLOOKUP($B229,'Tillförd energi'!$B$1:$AI$720,MATCH(N$2,'Tillförd energi'!$B$1:$AQ$1,0),FALSE)</f>
        <v>0</v>
      </c>
      <c r="O229" s="63">
        <f>VLOOKUP($B229,'Tillförd energi'!$B$1:$AI$720,MATCH(O$2,'Tillförd energi'!$B$1:$AQ$1,0),FALSE)</f>
        <v>0</v>
      </c>
      <c r="P229" s="63">
        <f>VLOOKUP($B229,'Tillförd energi'!$B$1:$AI$720,MATCH(P$2,'Tillförd energi'!$B$1:$AQ$1,0),FALSE)</f>
        <v>0</v>
      </c>
      <c r="Q229" s="63">
        <f>VLOOKUP($B229,'Tillförd energi'!$B$1:$AI$720,MATCH(Q$2,'Tillförd energi'!$B$1:$AQ$1,0),FALSE)</f>
        <v>0</v>
      </c>
      <c r="R229" s="63">
        <f>VLOOKUP($B229,'Tillförd energi'!$B$1:$AI$720,MATCH(R$2,'Tillförd energi'!$B$1:$AQ$1,0),FALSE)</f>
        <v>0</v>
      </c>
      <c r="S229" s="63">
        <f>VLOOKUP($B229,'Tillförd energi'!$B$1:$AI$720,MATCH(S$2,'Tillförd energi'!$B$1:$AQ$1,0),FALSE)</f>
        <v>0</v>
      </c>
      <c r="T229" s="63">
        <f>VLOOKUP($B229,'Tillförd energi'!$B$1:$AI$720,MATCH(T$2,'Tillförd energi'!$B$1:$AQ$1,0),FALSE)</f>
        <v>0</v>
      </c>
      <c r="U229" s="63">
        <f>VLOOKUP($B229,'Tillförd energi'!$B$1:$AI$720,MATCH(U$2,'Tillförd energi'!$B$1:$AQ$1,0),FALSE)</f>
        <v>0</v>
      </c>
      <c r="V229" s="63">
        <f>VLOOKUP($B229,'Tillförd energi'!$B$1:$AI$720,MATCH(V$2,'Tillförd energi'!$B$1:$AQ$1,0),FALSE)</f>
        <v>0</v>
      </c>
      <c r="W229" s="63">
        <f>VLOOKUP($B229,'Tillförd energi'!$B$1:$AI$720,MATCH(W$2,'Tillförd energi'!$B$1:$AQ$1,0),FALSE)</f>
        <v>0</v>
      </c>
      <c r="X229" s="63">
        <f>VLOOKUP($B229,'Tillförd energi'!$B$1:$AI$720,MATCH(X$2,'Tillförd energi'!$B$1:$AQ$1,0),FALSE)</f>
        <v>0</v>
      </c>
      <c r="Y229" s="63">
        <f>VLOOKUP($B229,'Tillförd energi'!$B$1:$AI$720,MATCH(Y$2,'Tillförd energi'!$B$1:$AQ$1,0),FALSE)</f>
        <v>0</v>
      </c>
      <c r="Z229" s="63">
        <f>VLOOKUP($B229,'Tillförd energi'!$B$1:$AI$720,MATCH(Z$2,'Tillförd energi'!$B$1:$AQ$1,0),FALSE)</f>
        <v>0</v>
      </c>
      <c r="AA229" s="63">
        <f>VLOOKUP($B229,'Tillförd energi'!$B$1:$AI$720,MATCH(AA$2,'Tillförd energi'!$B$1:$AQ$1,0),FALSE)</f>
        <v>0</v>
      </c>
      <c r="AB229" s="63">
        <f>VLOOKUP($B229,'Tillförd energi'!$B$1:$AI$720,MATCH(AB$2,'Tillförd energi'!$B$1:$AQ$1,0),FALSE)</f>
        <v>0</v>
      </c>
      <c r="AC229" s="63">
        <f>VLOOKUP($B229,'Tillförd energi'!$B$1:$AI$720,MATCH(AC$2,'Tillförd energi'!$B$1:$AQ$1,0),FALSE)</f>
        <v>0</v>
      </c>
      <c r="AD229" s="63">
        <f>VLOOKUP($B229,'Tillförd energi'!$B$1:$AI$720,MATCH(AD$2,'Tillförd energi'!$B$1:$AQ$1,0),FALSE)</f>
        <v>0</v>
      </c>
      <c r="AE229" s="63">
        <f>VLOOKUP($B229,'Tillförd energi'!$B$1:$AI$720,MATCH(AE$2,'Tillförd energi'!$B$1:$AQ$1,0),FALSE)</f>
        <v>0</v>
      </c>
      <c r="AF229" s="63">
        <f>VLOOKUP($B229,'Tillförd energi'!$B$1:$AI$720,MATCH(AF$2,'Tillförd energi'!$B$1:$AQ$1,0),FALSE)</f>
        <v>0</v>
      </c>
      <c r="AG229" s="63">
        <f>IFERROR(VLOOKUP(B229,Miljö!$B$1:$AC$550,MATCH("Köpt mängd produktionsspecifik fjärrvärme:",Miljö!$B$1:$AC$1,0),FALSE)/1,0)</f>
        <v>0</v>
      </c>
      <c r="AI229" s="63">
        <f t="shared" si="18"/>
        <v>0</v>
      </c>
      <c r="AJ229" s="63" t="str">
        <f>IF(ISERROR(1/VLOOKUP($B229,Leveranser!$B$1:$S$500,MATCH("såld värme (gwh)",Leveranser!$B$1:$S$1,0),FALSE)),"",VLOOKUP($B229,Leveranser!$B$1:$S$500,MATCH("såld värme (gwh)",Leveranser!$B$1:$S$1,0),FALSE))</f>
        <v/>
      </c>
      <c r="AM229" s="63" t="str">
        <f>IF(B229&lt;&gt;"",IF(VLOOKUP($B229,Totalt!$B$1:$AQ$554,MATCH("Kvalitetsgranskad:",Totalt!$B$1:$AQ$1,0),FALSE)="ja",VLOOKUP($B229,Miljö!$B$1:$AG$479,MATCH(AM$2,Miljö!$B$1:$AK$1,0),FALSE),""),"")</f>
        <v/>
      </c>
      <c r="AN229" s="63" t="str">
        <f>IF(AM229="ja",VLOOKUP($B229,Miljö!$B$1:$J$479,MATCH("Typ av ursprungsspecificerad el   (Om inget värde anges används Nordisk residualmix, se inforuta) ()",Miljö!$B$1:$J$1,0),FALSE),IF(AM229="nej","Nordisk residualel",""))</f>
        <v/>
      </c>
      <c r="AO229" s="63" t="str">
        <f>IF(AM229="","",VLOOKUP($B229,Miljö!$B$1:$J$479,MATCH("Fossilandel för ursprungspecificerad el ()",Miljö!$B$1:$J$1,0),FALSE))</f>
        <v/>
      </c>
      <c r="AQ229" s="63" t="str">
        <f t="shared" si="19"/>
        <v/>
      </c>
      <c r="AS229" s="63" t="str">
        <f t="shared" si="20"/>
        <v>Nej</v>
      </c>
      <c r="AT229" s="63" t="str">
        <f>IF(AS229="ja",VLOOKUP($B229,Miljö!$B$1:$P$500,MATCH("Fossil andel i procent (%)",Miljö!$B$1:$P$1,0),FALSE)/100,"")</f>
        <v/>
      </c>
      <c r="AV229" s="63" t="str">
        <f t="shared" si="21"/>
        <v>Nej</v>
      </c>
      <c r="AW229" s="63" t="str">
        <f>IF(AV229="ja",VLOOKUP($B229,'Egen hetvattenprod'!$B$1:$AO$500,MATCH("Värmekälla till värmepumpar ()",'Egen hetvattenprod'!$B$1:$AO$1,0),FALSE),"")</f>
        <v/>
      </c>
      <c r="AY229" s="63" t="str">
        <f t="shared" si="22"/>
        <v>Nej</v>
      </c>
      <c r="AZ229" s="77" t="str">
        <f>IF($AY229="ja",(VLOOKUP($B229,'Egen hetvattenprod'!$B$1:$BX$550,MATCH(AZ$2,'Egen hetvattenprod'!$B$1:$BX$1,0),FALSE)+VLOOKUP($B229,Kraftvärmeprod!$B$1:$BX$550,MATCH(AZ$2,Kraftvärmeprod!$B$1:$BX$1,0),FALSE))/$AC229,"")</f>
        <v/>
      </c>
      <c r="BA229" s="77" t="str">
        <f>IF($AY229="ja",(VLOOKUP($B229,'Egen hetvattenprod'!$B$1:$BX$550,MATCH(BA$2,'Egen hetvattenprod'!$B$1:$BX$1,0),FALSE)+VLOOKUP($B229,Kraftvärmeprod!$B$1:$BX$550,MATCH(BA$2,Kraftvärmeprod!$B$1:$BX$1,0),FALSE))/$AC229,"")</f>
        <v/>
      </c>
      <c r="BB229" s="77" t="str">
        <f>IF($AY229="ja",(VLOOKUP($B229,'Egen hetvattenprod'!$B$1:$BX$550,MATCH(BB$2,'Egen hetvattenprod'!$B$1:$BX$1,0),FALSE)+VLOOKUP($B229,Kraftvärmeprod!$B$1:$BX$550,MATCH(BB$2,Kraftvärmeprod!$B$1:$BX$1,0),FALSE))/$AC229,"")</f>
        <v/>
      </c>
      <c r="BC229" s="77" t="str">
        <f>IF($AY229="ja",(VLOOKUP($B229,'Egen hetvattenprod'!$B$1:$BX$550,MATCH(BC$2,'Egen hetvattenprod'!$B$1:$BX$1,0),FALSE)+VLOOKUP($B229,Kraftvärmeprod!$B$1:$BX$550,MATCH(BC$2,Kraftvärmeprod!$B$1:$BX$1,0),FALSE))/$AC229,"")</f>
        <v/>
      </c>
      <c r="BD229" s="77" t="str">
        <f>IF($AY229="ja",(VLOOKUP($B229,'Egen hetvattenprod'!$B$1:$BX$550,MATCH(BD$2,'Egen hetvattenprod'!$B$1:$BX$1,0),FALSE)+VLOOKUP($B229,Kraftvärmeprod!$B$1:$BX$550,MATCH(BD$2,Kraftvärmeprod!$B$1:$BX$1,0),FALSE))/$AC229,"")</f>
        <v/>
      </c>
      <c r="BF229" s="63" t="str">
        <f t="shared" si="23"/>
        <v>Nej</v>
      </c>
      <c r="BG229" s="63" t="str">
        <f>IF($BF229="ja",VLOOKUP($B229,'Egen hetvattenprod'!$B$1:$BX$550,MATCH("Andelen klimatgaser med fossilt ursprung för avfall ()",'Egen hetvattenprod'!$B$1:$BX$1,0),FALSE),"")</f>
        <v/>
      </c>
      <c r="BH229" s="63" t="str">
        <f>IF($BF229="ja",VLOOKUP($B229,Kraftvärmeprod!$B$1:$BX$550,MATCH("Andelen klimatgaser med fossilt ursprung för avfall ()",Kraftvärmeprod!$B$1:$BX$1,0),FALSE),"")</f>
        <v/>
      </c>
      <c r="BI229" s="63" t="str">
        <f>IF($BF229="ja",VLOOKUP($B229,'Egen hetvattenprod'!$B$1:$BX$550,MATCH("Avfall (GWh)",'Egen hetvattenprod'!$B$1:$BX$1,0),FALSE),"")</f>
        <v/>
      </c>
      <c r="BJ229" s="63" t="str">
        <f>IF($BF229="ja",VLOOKUP($B229,'Slutlig allokering kvv'!$B$1:$BX$550,MATCH("Avfall (GWh)",'Slutlig allokering kvv'!$B$1:$BX$1,0),FALSE),"")</f>
        <v/>
      </c>
      <c r="BK229" s="63" t="str">
        <f>IF($BF229="ja",VLOOKUP($B229,'Köpt hetvatten'!$B$1:$BX$550,MATCH("Avfall i köpt hetvatten",'Köpt hetvatten'!$B$1:$BX$1,0),FALSE),"")</f>
        <v/>
      </c>
      <c r="BL229" s="63" t="str">
        <f>IF($BF229="ja",VLOOKUP($B229,'Egen hetvattenprod'!$B$1:$BX$550,MATCH("Värde enligt ovan. (%)",'Egen hetvattenprod'!$B$1:$BX$1,0),FALSE),"")</f>
        <v/>
      </c>
      <c r="BM229" s="63" t="str">
        <f>IF($BF229="ja",VLOOKUP($B229,Kraftvärmeprod!$B$1:$BX$550,MATCH("Värde enligt ovan. (%)",Kraftvärmeprod!$B$1:$BX$1,0),FALSE),"")</f>
        <v/>
      </c>
    </row>
    <row r="230" spans="1:65" x14ac:dyDescent="0.45">
      <c r="A230" s="63" t="s">
        <v>4</v>
      </c>
      <c r="B230" s="63" t="s">
        <v>383</v>
      </c>
      <c r="C230" s="63">
        <f>VLOOKUP($B230,'Tillförd energi'!$B$1:$AI$720,MATCH(C$2,'Tillförd energi'!$B$1:$AQ$1,0),FALSE)</f>
        <v>0</v>
      </c>
      <c r="D230" s="63">
        <f>VLOOKUP($B230,'Tillförd energi'!$B$1:$AI$720,MATCH(D$2,'Tillförd energi'!$B$1:$AQ$1,0),FALSE)</f>
        <v>0</v>
      </c>
      <c r="E230" s="63">
        <f>VLOOKUP($B230,'Tillförd energi'!$B$1:$AI$720,MATCH(E$2,'Tillförd energi'!$B$1:$AQ$1,0),FALSE)</f>
        <v>0</v>
      </c>
      <c r="F230" s="63">
        <f>VLOOKUP($B230,'Tillförd energi'!$B$1:$AI$720,MATCH(F$2,'Tillförd energi'!$B$1:$AQ$1,0),FALSE)</f>
        <v>0</v>
      </c>
      <c r="G230" s="63">
        <f>VLOOKUP($B230,'Tillförd energi'!$B$1:$AI$720,MATCH(G$2,'Tillförd energi'!$B$1:$AQ$1,0),FALSE)</f>
        <v>0</v>
      </c>
      <c r="H230" s="63">
        <f>VLOOKUP($B230,'Tillförd energi'!$B$1:$AI$720,MATCH(H$2,'Tillförd energi'!$B$1:$AQ$1,0),FALSE)</f>
        <v>0</v>
      </c>
      <c r="I230" s="63">
        <f>VLOOKUP($B230,'Tillförd energi'!$B$1:$AI$720,MATCH(I$2,'Tillförd energi'!$B$1:$AQ$1,0),FALSE)</f>
        <v>0</v>
      </c>
      <c r="J230" s="63">
        <f>VLOOKUP($B230,'Tillförd energi'!$B$1:$AI$720,MATCH(J$2,'Tillförd energi'!$B$1:$AQ$1,0),FALSE)</f>
        <v>0</v>
      </c>
      <c r="K230" s="63">
        <f>VLOOKUP($B230,'Tillförd energi'!$B$1:$AI$720,MATCH(K$2,'Tillförd energi'!$B$1:$AQ$1,0),FALSE)</f>
        <v>0</v>
      </c>
      <c r="L230" s="63">
        <f>VLOOKUP($B230,'Tillförd energi'!$B$1:$AI$720,MATCH(L$2,'Tillförd energi'!$B$1:$AQ$1,0),FALSE)</f>
        <v>0</v>
      </c>
      <c r="M230" s="63">
        <f>VLOOKUP($B230,'Tillförd energi'!$B$1:$AI$720,MATCH(M$2,'Tillförd energi'!$B$1:$AQ$1,0),FALSE)</f>
        <v>0</v>
      </c>
      <c r="N230" s="63">
        <f>VLOOKUP($B230,'Tillförd energi'!$B$1:$AI$720,MATCH(N$2,'Tillförd energi'!$B$1:$AQ$1,0),FALSE)</f>
        <v>0</v>
      </c>
      <c r="O230" s="63">
        <f>VLOOKUP($B230,'Tillförd energi'!$B$1:$AI$720,MATCH(O$2,'Tillförd energi'!$B$1:$AQ$1,0),FALSE)</f>
        <v>0</v>
      </c>
      <c r="P230" s="63">
        <f>VLOOKUP($B230,'Tillförd energi'!$B$1:$AI$720,MATCH(P$2,'Tillförd energi'!$B$1:$AQ$1,0),FALSE)</f>
        <v>0</v>
      </c>
      <c r="Q230" s="63">
        <f>VLOOKUP($B230,'Tillförd energi'!$B$1:$AI$720,MATCH(Q$2,'Tillförd energi'!$B$1:$AQ$1,0),FALSE)</f>
        <v>0</v>
      </c>
      <c r="R230" s="63">
        <f>VLOOKUP($B230,'Tillförd energi'!$B$1:$AI$720,MATCH(R$2,'Tillförd energi'!$B$1:$AQ$1,0),FALSE)</f>
        <v>0</v>
      </c>
      <c r="S230" s="63">
        <f>VLOOKUP($B230,'Tillförd energi'!$B$1:$AI$720,MATCH(S$2,'Tillförd energi'!$B$1:$AQ$1,0),FALSE)</f>
        <v>0</v>
      </c>
      <c r="T230" s="63">
        <f>VLOOKUP($B230,'Tillförd energi'!$B$1:$AI$720,MATCH(T$2,'Tillförd energi'!$B$1:$AQ$1,0),FALSE)</f>
        <v>0</v>
      </c>
      <c r="U230" s="63">
        <f>VLOOKUP($B230,'Tillförd energi'!$B$1:$AI$720,MATCH(U$2,'Tillförd energi'!$B$1:$AQ$1,0),FALSE)</f>
        <v>0</v>
      </c>
      <c r="V230" s="63">
        <f>VLOOKUP($B230,'Tillförd energi'!$B$1:$AI$720,MATCH(V$2,'Tillförd energi'!$B$1:$AQ$1,0),FALSE)</f>
        <v>0</v>
      </c>
      <c r="W230" s="63">
        <f>VLOOKUP($B230,'Tillförd energi'!$B$1:$AI$720,MATCH(W$2,'Tillförd energi'!$B$1:$AQ$1,0),FALSE)</f>
        <v>0</v>
      </c>
      <c r="X230" s="63">
        <f>VLOOKUP($B230,'Tillförd energi'!$B$1:$AI$720,MATCH(X$2,'Tillförd energi'!$B$1:$AQ$1,0),FALSE)</f>
        <v>0</v>
      </c>
      <c r="Y230" s="63">
        <f>VLOOKUP($B230,'Tillförd energi'!$B$1:$AI$720,MATCH(Y$2,'Tillförd energi'!$B$1:$AQ$1,0),FALSE)</f>
        <v>0</v>
      </c>
      <c r="Z230" s="63">
        <f>VLOOKUP($B230,'Tillförd energi'!$B$1:$AI$720,MATCH(Z$2,'Tillförd energi'!$B$1:$AQ$1,0),FALSE)</f>
        <v>0</v>
      </c>
      <c r="AA230" s="63">
        <f>VLOOKUP($B230,'Tillförd energi'!$B$1:$AI$720,MATCH(AA$2,'Tillförd energi'!$B$1:$AQ$1,0),FALSE)</f>
        <v>0</v>
      </c>
      <c r="AB230" s="63">
        <f>VLOOKUP($B230,'Tillförd energi'!$B$1:$AI$720,MATCH(AB$2,'Tillförd energi'!$B$1:$AQ$1,0),FALSE)</f>
        <v>0</v>
      </c>
      <c r="AC230" s="63">
        <f>VLOOKUP($B230,'Tillförd energi'!$B$1:$AI$720,MATCH(AC$2,'Tillförd energi'!$B$1:$AQ$1,0),FALSE)</f>
        <v>0</v>
      </c>
      <c r="AD230" s="63">
        <f>VLOOKUP($B230,'Tillförd energi'!$B$1:$AI$720,MATCH(AD$2,'Tillförd energi'!$B$1:$AQ$1,0),FALSE)</f>
        <v>0</v>
      </c>
      <c r="AE230" s="63">
        <f>VLOOKUP($B230,'Tillförd energi'!$B$1:$AI$720,MATCH(AE$2,'Tillförd energi'!$B$1:$AQ$1,0),FALSE)</f>
        <v>0</v>
      </c>
      <c r="AF230" s="63">
        <f>VLOOKUP($B230,'Tillförd energi'!$B$1:$AI$720,MATCH(AF$2,'Tillförd energi'!$B$1:$AQ$1,0),FALSE)</f>
        <v>0</v>
      </c>
      <c r="AG230" s="63">
        <f>IFERROR(VLOOKUP(B230,Miljö!$B$1:$AC$550,MATCH("Köpt mängd produktionsspecifik fjärrvärme:",Miljö!$B$1:$AC$1,0),FALSE)/1,0)</f>
        <v>0</v>
      </c>
      <c r="AI230" s="63">
        <f t="shared" si="18"/>
        <v>0</v>
      </c>
      <c r="AJ230" s="63" t="str">
        <f>IF(ISERROR(1/VLOOKUP($B230,Leveranser!$B$1:$S$500,MATCH("såld värme (gwh)",Leveranser!$B$1:$S$1,0),FALSE)),"",VLOOKUP($B230,Leveranser!$B$1:$S$500,MATCH("såld värme (gwh)",Leveranser!$B$1:$S$1,0),FALSE))</f>
        <v/>
      </c>
      <c r="AM230" s="63" t="str">
        <f>IF(B230&lt;&gt;"",IF(VLOOKUP($B230,Totalt!$B$1:$AQ$554,MATCH("Kvalitetsgranskad:",Totalt!$B$1:$AQ$1,0),FALSE)="ja",VLOOKUP($B230,Miljö!$B$1:$AG$479,MATCH(AM$2,Miljö!$B$1:$AK$1,0),FALSE),""),"")</f>
        <v/>
      </c>
      <c r="AN230" s="63" t="str">
        <f>IF(AM230="ja",VLOOKUP($B230,Miljö!$B$1:$J$479,MATCH("Typ av ursprungsspecificerad el   (Om inget värde anges används Nordisk residualmix, se inforuta) ()",Miljö!$B$1:$J$1,0),FALSE),IF(AM230="nej","Nordisk residualel",""))</f>
        <v/>
      </c>
      <c r="AO230" s="63" t="str">
        <f>IF(AM230="","",VLOOKUP($B230,Miljö!$B$1:$J$479,MATCH("Fossilandel för ursprungspecificerad el ()",Miljö!$B$1:$J$1,0),FALSE))</f>
        <v/>
      </c>
      <c r="AQ230" s="63" t="str">
        <f t="shared" si="19"/>
        <v/>
      </c>
      <c r="AS230" s="63" t="str">
        <f t="shared" si="20"/>
        <v>Nej</v>
      </c>
      <c r="AT230" s="63" t="str">
        <f>IF(AS230="ja",VLOOKUP($B230,Miljö!$B$1:$P$500,MATCH("Fossil andel i procent (%)",Miljö!$B$1:$P$1,0),FALSE)/100,"")</f>
        <v/>
      </c>
      <c r="AV230" s="63" t="str">
        <f t="shared" si="21"/>
        <v>Nej</v>
      </c>
      <c r="AW230" s="63" t="str">
        <f>IF(AV230="ja",VLOOKUP($B230,'Egen hetvattenprod'!$B$1:$AO$500,MATCH("Värmekälla till värmepumpar ()",'Egen hetvattenprod'!$B$1:$AO$1,0),FALSE),"")</f>
        <v/>
      </c>
      <c r="AY230" s="63" t="str">
        <f t="shared" si="22"/>
        <v>Nej</v>
      </c>
      <c r="AZ230" s="77" t="str">
        <f>IF($AY230="ja",(VLOOKUP($B230,'Egen hetvattenprod'!$B$1:$BX$550,MATCH(AZ$2,'Egen hetvattenprod'!$B$1:$BX$1,0),FALSE)+VLOOKUP($B230,Kraftvärmeprod!$B$1:$BX$550,MATCH(AZ$2,Kraftvärmeprod!$B$1:$BX$1,0),FALSE))/$AC230,"")</f>
        <v/>
      </c>
      <c r="BA230" s="77" t="str">
        <f>IF($AY230="ja",(VLOOKUP($B230,'Egen hetvattenprod'!$B$1:$BX$550,MATCH(BA$2,'Egen hetvattenprod'!$B$1:$BX$1,0),FALSE)+VLOOKUP($B230,Kraftvärmeprod!$B$1:$BX$550,MATCH(BA$2,Kraftvärmeprod!$B$1:$BX$1,0),FALSE))/$AC230,"")</f>
        <v/>
      </c>
      <c r="BB230" s="77" t="str">
        <f>IF($AY230="ja",(VLOOKUP($B230,'Egen hetvattenprod'!$B$1:$BX$550,MATCH(BB$2,'Egen hetvattenprod'!$B$1:$BX$1,0),FALSE)+VLOOKUP($B230,Kraftvärmeprod!$B$1:$BX$550,MATCH(BB$2,Kraftvärmeprod!$B$1:$BX$1,0),FALSE))/$AC230,"")</f>
        <v/>
      </c>
      <c r="BC230" s="77" t="str">
        <f>IF($AY230="ja",(VLOOKUP($B230,'Egen hetvattenprod'!$B$1:$BX$550,MATCH(BC$2,'Egen hetvattenprod'!$B$1:$BX$1,0),FALSE)+VLOOKUP($B230,Kraftvärmeprod!$B$1:$BX$550,MATCH(BC$2,Kraftvärmeprod!$B$1:$BX$1,0),FALSE))/$AC230,"")</f>
        <v/>
      </c>
      <c r="BD230" s="77" t="str">
        <f>IF($AY230="ja",(VLOOKUP($B230,'Egen hetvattenprod'!$B$1:$BX$550,MATCH(BD$2,'Egen hetvattenprod'!$B$1:$BX$1,0),FALSE)+VLOOKUP($B230,Kraftvärmeprod!$B$1:$BX$550,MATCH(BD$2,Kraftvärmeprod!$B$1:$BX$1,0),FALSE))/$AC230,"")</f>
        <v/>
      </c>
      <c r="BF230" s="63" t="str">
        <f t="shared" si="23"/>
        <v>Nej</v>
      </c>
      <c r="BG230" s="63" t="str">
        <f>IF($BF230="ja",VLOOKUP($B230,'Egen hetvattenprod'!$B$1:$BX$550,MATCH("Andelen klimatgaser med fossilt ursprung för avfall ()",'Egen hetvattenprod'!$B$1:$BX$1,0),FALSE),"")</f>
        <v/>
      </c>
      <c r="BH230" s="63" t="str">
        <f>IF($BF230="ja",VLOOKUP($B230,Kraftvärmeprod!$B$1:$BX$550,MATCH("Andelen klimatgaser med fossilt ursprung för avfall ()",Kraftvärmeprod!$B$1:$BX$1,0),FALSE),"")</f>
        <v/>
      </c>
      <c r="BI230" s="63" t="str">
        <f>IF($BF230="ja",VLOOKUP($B230,'Egen hetvattenprod'!$B$1:$BX$550,MATCH("Avfall (GWh)",'Egen hetvattenprod'!$B$1:$BX$1,0),FALSE),"")</f>
        <v/>
      </c>
      <c r="BJ230" s="63" t="str">
        <f>IF($BF230="ja",VLOOKUP($B230,'Slutlig allokering kvv'!$B$1:$BX$550,MATCH("Avfall (GWh)",'Slutlig allokering kvv'!$B$1:$BX$1,0),FALSE),"")</f>
        <v/>
      </c>
      <c r="BK230" s="63" t="str">
        <f>IF($BF230="ja",VLOOKUP($B230,'Köpt hetvatten'!$B$1:$BX$550,MATCH("Avfall i köpt hetvatten",'Köpt hetvatten'!$B$1:$BX$1,0),FALSE),"")</f>
        <v/>
      </c>
      <c r="BL230" s="63" t="str">
        <f>IF($BF230="ja",VLOOKUP($B230,'Egen hetvattenprod'!$B$1:$BX$550,MATCH("Värde enligt ovan. (%)",'Egen hetvattenprod'!$B$1:$BX$1,0),FALSE),"")</f>
        <v/>
      </c>
      <c r="BM230" s="63" t="str">
        <f>IF($BF230="ja",VLOOKUP($B230,Kraftvärmeprod!$B$1:$BX$550,MATCH("Värde enligt ovan. (%)",Kraftvärmeprod!$B$1:$BX$1,0),FALSE),"")</f>
        <v/>
      </c>
    </row>
    <row r="231" spans="1:65" x14ac:dyDescent="0.45">
      <c r="A231" s="63" t="s">
        <v>381</v>
      </c>
      <c r="B231" s="63" t="s">
        <v>380</v>
      </c>
      <c r="C231" s="63">
        <f>VLOOKUP($B231,'Tillförd energi'!$B$1:$AI$720,MATCH(C$2,'Tillförd energi'!$B$1:$AQ$1,0),FALSE)</f>
        <v>0</v>
      </c>
      <c r="D231" s="63">
        <f>VLOOKUP($B231,'Tillförd energi'!$B$1:$AI$720,MATCH(D$2,'Tillförd energi'!$B$1:$AQ$1,0),FALSE)</f>
        <v>0.02</v>
      </c>
      <c r="E231" s="63">
        <f>VLOOKUP($B231,'Tillförd energi'!$B$1:$AI$720,MATCH(E$2,'Tillförd energi'!$B$1:$AQ$1,0),FALSE)</f>
        <v>0</v>
      </c>
      <c r="F231" s="63">
        <f>VLOOKUP($B231,'Tillförd energi'!$B$1:$AI$720,MATCH(F$2,'Tillförd energi'!$B$1:$AQ$1,0),FALSE)</f>
        <v>0</v>
      </c>
      <c r="G231" s="63">
        <f>VLOOKUP($B231,'Tillförd energi'!$B$1:$AI$720,MATCH(G$2,'Tillförd energi'!$B$1:$AQ$1,0),FALSE)</f>
        <v>0</v>
      </c>
      <c r="H231" s="63">
        <f>VLOOKUP($B231,'Tillförd energi'!$B$1:$AI$720,MATCH(H$2,'Tillförd energi'!$B$1:$AQ$1,0),FALSE)</f>
        <v>0</v>
      </c>
      <c r="I231" s="63">
        <f>VLOOKUP($B231,'Tillförd energi'!$B$1:$AI$720,MATCH(I$2,'Tillförd energi'!$B$1:$AQ$1,0),FALSE)</f>
        <v>0</v>
      </c>
      <c r="J231" s="63">
        <f>VLOOKUP($B231,'Tillförd energi'!$B$1:$AI$720,MATCH(J$2,'Tillförd energi'!$B$1:$AQ$1,0),FALSE)</f>
        <v>0</v>
      </c>
      <c r="K231" s="63">
        <f>VLOOKUP($B231,'Tillförd energi'!$B$1:$AI$720,MATCH(K$2,'Tillförd energi'!$B$1:$AQ$1,0),FALSE)</f>
        <v>0</v>
      </c>
      <c r="L231" s="63">
        <f>VLOOKUP($B231,'Tillförd energi'!$B$1:$AI$720,MATCH(L$2,'Tillförd energi'!$B$1:$AQ$1,0),FALSE)</f>
        <v>0</v>
      </c>
      <c r="M231" s="63">
        <f>VLOOKUP($B231,'Tillförd energi'!$B$1:$AI$720,MATCH(M$2,'Tillförd energi'!$B$1:$AQ$1,0),FALSE)</f>
        <v>8.59</v>
      </c>
      <c r="N231" s="63">
        <f>VLOOKUP($B231,'Tillförd energi'!$B$1:$AI$720,MATCH(N$2,'Tillförd energi'!$B$1:$AQ$1,0),FALSE)</f>
        <v>0.85299999999999998</v>
      </c>
      <c r="O231" s="63">
        <f>VLOOKUP($B231,'Tillförd energi'!$B$1:$AI$720,MATCH(O$2,'Tillförd energi'!$B$1:$AQ$1,0),FALSE)</f>
        <v>18.704000000000001</v>
      </c>
      <c r="P231" s="63">
        <f>VLOOKUP($B231,'Tillförd energi'!$B$1:$AI$720,MATCH(P$2,'Tillförd energi'!$B$1:$AQ$1,0),FALSE)</f>
        <v>4.4980000000000002</v>
      </c>
      <c r="Q231" s="63">
        <f>VLOOKUP($B231,'Tillförd energi'!$B$1:$AI$720,MATCH(Q$2,'Tillförd energi'!$B$1:$AQ$1,0),FALSE)</f>
        <v>16.760999999999999</v>
      </c>
      <c r="R231" s="63">
        <f>VLOOKUP($B231,'Tillförd energi'!$B$1:$AI$720,MATCH(R$2,'Tillförd energi'!$B$1:$AQ$1,0),FALSE)</f>
        <v>0</v>
      </c>
      <c r="S231" s="63">
        <f>VLOOKUP($B231,'Tillförd energi'!$B$1:$AI$720,MATCH(S$2,'Tillförd energi'!$B$1:$AQ$1,0),FALSE)</f>
        <v>0</v>
      </c>
      <c r="T231" s="63">
        <f>VLOOKUP($B231,'Tillförd energi'!$B$1:$AI$720,MATCH(T$2,'Tillförd energi'!$B$1:$AQ$1,0),FALSE)</f>
        <v>0</v>
      </c>
      <c r="U231" s="63">
        <f>VLOOKUP($B231,'Tillförd energi'!$B$1:$AI$720,MATCH(U$2,'Tillförd energi'!$B$1:$AQ$1,0),FALSE)</f>
        <v>0</v>
      </c>
      <c r="V231" s="63">
        <f>VLOOKUP($B231,'Tillförd energi'!$B$1:$AI$720,MATCH(V$2,'Tillförd energi'!$B$1:$AQ$1,0),FALSE)</f>
        <v>0</v>
      </c>
      <c r="W231" s="63">
        <f>VLOOKUP($B231,'Tillförd energi'!$B$1:$AI$720,MATCH(W$2,'Tillförd energi'!$B$1:$AQ$1,0),FALSE)</f>
        <v>0</v>
      </c>
      <c r="X231" s="63">
        <f>VLOOKUP($B231,'Tillförd energi'!$B$1:$AI$720,MATCH(X$2,'Tillförd energi'!$B$1:$AQ$1,0),FALSE)</f>
        <v>0</v>
      </c>
      <c r="Y231" s="63">
        <f>VLOOKUP($B231,'Tillförd energi'!$B$1:$AI$720,MATCH(Y$2,'Tillförd energi'!$B$1:$AQ$1,0),FALSE)</f>
        <v>0</v>
      </c>
      <c r="Z231" s="63">
        <f>VLOOKUP($B231,'Tillförd energi'!$B$1:$AI$720,MATCH(Z$2,'Tillförd energi'!$B$1:$AQ$1,0),FALSE)</f>
        <v>0</v>
      </c>
      <c r="AA231" s="63">
        <f>VLOOKUP($B231,'Tillförd energi'!$B$1:$AI$720,MATCH(AA$2,'Tillförd energi'!$B$1:$AQ$1,0),FALSE)</f>
        <v>0</v>
      </c>
      <c r="AB231" s="63">
        <f>VLOOKUP($B231,'Tillförd energi'!$B$1:$AI$720,MATCH(AB$2,'Tillförd energi'!$B$1:$AQ$1,0),FALSE)</f>
        <v>0</v>
      </c>
      <c r="AC231" s="63">
        <f>VLOOKUP($B231,'Tillförd energi'!$B$1:$AI$720,MATCH(AC$2,'Tillförd energi'!$B$1:$AQ$1,0),FALSE)</f>
        <v>9.0609999999999999</v>
      </c>
      <c r="AD231" s="63">
        <f>VLOOKUP($B231,'Tillförd energi'!$B$1:$AI$720,MATCH(AD$2,'Tillförd energi'!$B$1:$AQ$1,0),FALSE)</f>
        <v>0</v>
      </c>
      <c r="AE231" s="63">
        <f>VLOOKUP($B231,'Tillförd energi'!$B$1:$AI$720,MATCH(AE$2,'Tillförd energi'!$B$1:$AQ$1,0),FALSE)</f>
        <v>0</v>
      </c>
      <c r="AF231" s="63">
        <f>VLOOKUP($B231,'Tillförd energi'!$B$1:$AI$720,MATCH(AF$2,'Tillförd energi'!$B$1:$AQ$1,0),FALSE)</f>
        <v>1.0289999999999999</v>
      </c>
      <c r="AG231" s="63">
        <f>IFERROR(VLOOKUP(B231,Miljö!$B$1:$AC$550,MATCH("Köpt mängd produktionsspecifik fjärrvärme:",Miljö!$B$1:$AC$1,0),FALSE)/1,0)</f>
        <v>0</v>
      </c>
      <c r="AI231" s="63">
        <f t="shared" si="18"/>
        <v>59.516000000000005</v>
      </c>
      <c r="AJ231" s="63">
        <f>IF(ISERROR(1/VLOOKUP($B231,Leveranser!$B$1:$S$500,MATCH("såld värme (gwh)",Leveranser!$B$1:$S$1,0),FALSE)),"",VLOOKUP($B231,Leveranser!$B$1:$S$500,MATCH("såld värme (gwh)",Leveranser!$B$1:$S$1,0),FALSE))</f>
        <v>44.9</v>
      </c>
      <c r="AM231" s="63" t="str">
        <f>IF(B231&lt;&gt;"",IF(VLOOKUP($B231,Totalt!$B$1:$AQ$554,MATCH("Kvalitetsgranskad:",Totalt!$B$1:$AQ$1,0),FALSE)="ja",VLOOKUP($B231,Miljö!$B$1:$AG$479,MATCH(AM$2,Miljö!$B$1:$AK$1,0),FALSE),""),"")</f>
        <v>Ja</v>
      </c>
      <c r="AN231" s="63" t="str">
        <f>IF(AM231="ja",VLOOKUP($B231,Miljö!$B$1:$J$479,MATCH("Typ av ursprungsspecificerad el   (Om inget värde anges används Nordisk residualmix, se inforuta) ()",Miljö!$B$1:$J$1,0),FALSE),IF(AM231="nej","Nordisk residualel",""))</f>
        <v>''Vindkraft''</v>
      </c>
      <c r="AO231" s="63">
        <f>IF(AM231="","",VLOOKUP($B231,Miljö!$B$1:$J$479,MATCH("Fossilandel för ursprungspecificerad el ()",Miljö!$B$1:$J$1,0),FALSE))</f>
        <v>0</v>
      </c>
      <c r="AQ231" s="63">
        <f t="shared" si="19"/>
        <v>1</v>
      </c>
      <c r="AS231" s="63" t="str">
        <f t="shared" si="20"/>
        <v>Nej</v>
      </c>
      <c r="AT231" s="63" t="str">
        <f>IF(AS231="ja",VLOOKUP($B231,Miljö!$B$1:$P$500,MATCH("Fossil andel i procent (%)",Miljö!$B$1:$P$1,0),FALSE)/100,"")</f>
        <v/>
      </c>
      <c r="AV231" s="63" t="str">
        <f t="shared" si="21"/>
        <v>Nej</v>
      </c>
      <c r="AW231" s="63" t="str">
        <f>IF(AV231="ja",VLOOKUP($B231,'Egen hetvattenprod'!$B$1:$AO$500,MATCH("Värmekälla till värmepumpar ()",'Egen hetvattenprod'!$B$1:$AO$1,0),FALSE),"")</f>
        <v/>
      </c>
      <c r="AY231" s="63" t="str">
        <f t="shared" si="22"/>
        <v>Ja</v>
      </c>
      <c r="AZ231" s="77">
        <f>IF($AY231="ja",(VLOOKUP($B231,'Egen hetvattenprod'!$B$1:$BX$550,MATCH(AZ$2,'Egen hetvattenprod'!$B$1:$BX$1,0),FALSE)+VLOOKUP($B231,Kraftvärmeprod!$B$1:$BX$550,MATCH(AZ$2,Kraftvärmeprod!$B$1:$BX$1,0),FALSE))/$AC231,"")</f>
        <v>1</v>
      </c>
      <c r="BA231" s="77">
        <f>IF($AY231="ja",(VLOOKUP($B231,'Egen hetvattenprod'!$B$1:$BX$550,MATCH(BA$2,'Egen hetvattenprod'!$B$1:$BX$1,0),FALSE)+VLOOKUP($B231,Kraftvärmeprod!$B$1:$BX$550,MATCH(BA$2,Kraftvärmeprod!$B$1:$BX$1,0),FALSE))/$AC231,"")</f>
        <v>0</v>
      </c>
      <c r="BB231" s="77">
        <f>IF($AY231="ja",(VLOOKUP($B231,'Egen hetvattenprod'!$B$1:$BX$550,MATCH(BB$2,'Egen hetvattenprod'!$B$1:$BX$1,0),FALSE)+VLOOKUP($B231,Kraftvärmeprod!$B$1:$BX$550,MATCH(BB$2,Kraftvärmeprod!$B$1:$BX$1,0),FALSE))/$AC231,"")</f>
        <v>0</v>
      </c>
      <c r="BC231" s="77">
        <f>IF($AY231="ja",(VLOOKUP($B231,'Egen hetvattenprod'!$B$1:$BX$550,MATCH(BC$2,'Egen hetvattenprod'!$B$1:$BX$1,0),FALSE)+VLOOKUP($B231,Kraftvärmeprod!$B$1:$BX$550,MATCH(BC$2,Kraftvärmeprod!$B$1:$BX$1,0),FALSE))/$AC231,"")</f>
        <v>0</v>
      </c>
      <c r="BD231" s="77">
        <f>IF($AY231="ja",(VLOOKUP($B231,'Egen hetvattenprod'!$B$1:$BX$550,MATCH(BD$2,'Egen hetvattenprod'!$B$1:$BX$1,0),FALSE)+VLOOKUP($B231,Kraftvärmeprod!$B$1:$BX$550,MATCH(BD$2,Kraftvärmeprod!$B$1:$BX$1,0),FALSE))/$AC231,"")</f>
        <v>0</v>
      </c>
      <c r="BF231" s="63" t="str">
        <f t="shared" si="23"/>
        <v>Nej</v>
      </c>
      <c r="BG231" s="63" t="str">
        <f>IF($BF231="ja",VLOOKUP($B231,'Egen hetvattenprod'!$B$1:$BX$550,MATCH("Andelen klimatgaser med fossilt ursprung för avfall ()",'Egen hetvattenprod'!$B$1:$BX$1,0),FALSE),"")</f>
        <v/>
      </c>
      <c r="BH231" s="63" t="str">
        <f>IF($BF231="ja",VLOOKUP($B231,Kraftvärmeprod!$B$1:$BX$550,MATCH("Andelen klimatgaser med fossilt ursprung för avfall ()",Kraftvärmeprod!$B$1:$BX$1,0),FALSE),"")</f>
        <v/>
      </c>
      <c r="BI231" s="63" t="str">
        <f>IF($BF231="ja",VLOOKUP($B231,'Egen hetvattenprod'!$B$1:$BX$550,MATCH("Avfall (GWh)",'Egen hetvattenprod'!$B$1:$BX$1,0),FALSE),"")</f>
        <v/>
      </c>
      <c r="BJ231" s="63" t="str">
        <f>IF($BF231="ja",VLOOKUP($B231,'Slutlig allokering kvv'!$B$1:$BX$550,MATCH("Avfall (GWh)",'Slutlig allokering kvv'!$B$1:$BX$1,0),FALSE),"")</f>
        <v/>
      </c>
      <c r="BK231" s="63" t="str">
        <f>IF($BF231="ja",VLOOKUP($B231,'Köpt hetvatten'!$B$1:$BX$550,MATCH("Avfall i köpt hetvatten",'Köpt hetvatten'!$B$1:$BX$1,0),FALSE),"")</f>
        <v/>
      </c>
      <c r="BL231" s="63" t="str">
        <f>IF($BF231="ja",VLOOKUP($B231,'Egen hetvattenprod'!$B$1:$BX$550,MATCH("Värde enligt ovan. (%)",'Egen hetvattenprod'!$B$1:$BX$1,0),FALSE),"")</f>
        <v/>
      </c>
      <c r="BM231" s="63" t="str">
        <f>IF($BF231="ja",VLOOKUP($B231,Kraftvärmeprod!$B$1:$BX$550,MATCH("Värde enligt ovan. (%)",Kraftvärmeprod!$B$1:$BX$1,0),FALSE),"")</f>
        <v/>
      </c>
    </row>
    <row r="232" spans="1:65" x14ac:dyDescent="0.45">
      <c r="A232" s="63" t="s">
        <v>376</v>
      </c>
      <c r="B232" s="63" t="s">
        <v>379</v>
      </c>
      <c r="C232" s="63">
        <f>VLOOKUP($B232,'Tillförd energi'!$B$1:$AI$720,MATCH(C$2,'Tillförd energi'!$B$1:$AQ$1,0),FALSE)</f>
        <v>0</v>
      </c>
      <c r="D232" s="63">
        <f>VLOOKUP($B232,'Tillförd energi'!$B$1:$AI$720,MATCH(D$2,'Tillförd energi'!$B$1:$AQ$1,0),FALSE)</f>
        <v>1.4999999999999999E-2</v>
      </c>
      <c r="E232" s="63">
        <f>VLOOKUP($B232,'Tillförd energi'!$B$1:$AI$720,MATCH(E$2,'Tillförd energi'!$B$1:$AQ$1,0),FALSE)</f>
        <v>0</v>
      </c>
      <c r="F232" s="63">
        <f>VLOOKUP($B232,'Tillförd energi'!$B$1:$AI$720,MATCH(F$2,'Tillförd energi'!$B$1:$AQ$1,0),FALSE)</f>
        <v>0</v>
      </c>
      <c r="G232" s="63">
        <f>VLOOKUP($B232,'Tillförd energi'!$B$1:$AI$720,MATCH(G$2,'Tillförd energi'!$B$1:$AQ$1,0),FALSE)</f>
        <v>0</v>
      </c>
      <c r="H232" s="63">
        <f>VLOOKUP($B232,'Tillförd energi'!$B$1:$AI$720,MATCH(H$2,'Tillförd energi'!$B$1:$AQ$1,0),FALSE)</f>
        <v>0</v>
      </c>
      <c r="I232" s="63">
        <f>VLOOKUP($B232,'Tillförd energi'!$B$1:$AI$720,MATCH(I$2,'Tillförd energi'!$B$1:$AQ$1,0),FALSE)</f>
        <v>0</v>
      </c>
      <c r="J232" s="63">
        <f>VLOOKUP($B232,'Tillförd energi'!$B$1:$AI$720,MATCH(J$2,'Tillförd energi'!$B$1:$AQ$1,0),FALSE)</f>
        <v>0</v>
      </c>
      <c r="K232" s="63">
        <f>VLOOKUP($B232,'Tillförd energi'!$B$1:$AI$720,MATCH(K$2,'Tillförd energi'!$B$1:$AQ$1,0),FALSE)</f>
        <v>0</v>
      </c>
      <c r="L232" s="63">
        <f>VLOOKUP($B232,'Tillförd energi'!$B$1:$AI$720,MATCH(L$2,'Tillförd energi'!$B$1:$AQ$1,0),FALSE)</f>
        <v>0</v>
      </c>
      <c r="M232" s="63">
        <f>VLOOKUP($B232,'Tillförd energi'!$B$1:$AI$720,MATCH(M$2,'Tillförd energi'!$B$1:$AQ$1,0),FALSE)</f>
        <v>0</v>
      </c>
      <c r="N232" s="63">
        <f>VLOOKUP($B232,'Tillförd energi'!$B$1:$AI$720,MATCH(N$2,'Tillförd energi'!$B$1:$AQ$1,0),FALSE)</f>
        <v>0</v>
      </c>
      <c r="O232" s="63">
        <f>VLOOKUP($B232,'Tillförd energi'!$B$1:$AI$720,MATCH(O$2,'Tillförd energi'!$B$1:$AQ$1,0),FALSE)</f>
        <v>0</v>
      </c>
      <c r="P232" s="63">
        <f>VLOOKUP($B232,'Tillförd energi'!$B$1:$AI$720,MATCH(P$2,'Tillförd energi'!$B$1:$AQ$1,0),FALSE)</f>
        <v>0</v>
      </c>
      <c r="Q232" s="63">
        <f>VLOOKUP($B232,'Tillförd energi'!$B$1:$AI$720,MATCH(Q$2,'Tillförd energi'!$B$1:$AQ$1,0),FALSE)</f>
        <v>0</v>
      </c>
      <c r="R232" s="63">
        <f>VLOOKUP($B232,'Tillförd energi'!$B$1:$AI$720,MATCH(R$2,'Tillförd energi'!$B$1:$AQ$1,0),FALSE)</f>
        <v>7.69</v>
      </c>
      <c r="S232" s="63">
        <f>VLOOKUP($B232,'Tillförd energi'!$B$1:$AI$720,MATCH(S$2,'Tillförd energi'!$B$1:$AQ$1,0),FALSE)</f>
        <v>0</v>
      </c>
      <c r="T232" s="63">
        <f>VLOOKUP($B232,'Tillförd energi'!$B$1:$AI$720,MATCH(T$2,'Tillförd energi'!$B$1:$AQ$1,0),FALSE)</f>
        <v>0</v>
      </c>
      <c r="U232" s="63">
        <f>VLOOKUP($B232,'Tillförd energi'!$B$1:$AI$720,MATCH(U$2,'Tillförd energi'!$B$1:$AQ$1,0),FALSE)</f>
        <v>0</v>
      </c>
      <c r="V232" s="63">
        <f>VLOOKUP($B232,'Tillförd energi'!$B$1:$AI$720,MATCH(V$2,'Tillförd energi'!$B$1:$AQ$1,0),FALSE)</f>
        <v>0</v>
      </c>
      <c r="W232" s="63">
        <f>VLOOKUP($B232,'Tillförd energi'!$B$1:$AI$720,MATCH(W$2,'Tillförd energi'!$B$1:$AQ$1,0),FALSE)</f>
        <v>0</v>
      </c>
      <c r="X232" s="63">
        <f>VLOOKUP($B232,'Tillförd energi'!$B$1:$AI$720,MATCH(X$2,'Tillförd energi'!$B$1:$AQ$1,0),FALSE)</f>
        <v>0</v>
      </c>
      <c r="Y232" s="63">
        <f>VLOOKUP($B232,'Tillförd energi'!$B$1:$AI$720,MATCH(Y$2,'Tillförd energi'!$B$1:$AQ$1,0),FALSE)</f>
        <v>0</v>
      </c>
      <c r="Z232" s="63">
        <f>VLOOKUP($B232,'Tillförd energi'!$B$1:$AI$720,MATCH(Z$2,'Tillförd energi'!$B$1:$AQ$1,0),FALSE)</f>
        <v>0</v>
      </c>
      <c r="AA232" s="63">
        <f>VLOOKUP($B232,'Tillförd energi'!$B$1:$AI$720,MATCH(AA$2,'Tillförd energi'!$B$1:$AQ$1,0),FALSE)</f>
        <v>0</v>
      </c>
      <c r="AB232" s="63">
        <f>VLOOKUP($B232,'Tillförd energi'!$B$1:$AI$720,MATCH(AB$2,'Tillförd energi'!$B$1:$AQ$1,0),FALSE)</f>
        <v>0</v>
      </c>
      <c r="AC232" s="63">
        <f>VLOOKUP($B232,'Tillförd energi'!$B$1:$AI$720,MATCH(AC$2,'Tillförd energi'!$B$1:$AQ$1,0),FALSE)</f>
        <v>0</v>
      </c>
      <c r="AD232" s="63">
        <f>VLOOKUP($B232,'Tillförd energi'!$B$1:$AI$720,MATCH(AD$2,'Tillförd energi'!$B$1:$AQ$1,0),FALSE)</f>
        <v>0</v>
      </c>
      <c r="AE232" s="63">
        <f>VLOOKUP($B232,'Tillförd energi'!$B$1:$AI$720,MATCH(AE$2,'Tillförd energi'!$B$1:$AQ$1,0),FALSE)</f>
        <v>0</v>
      </c>
      <c r="AF232" s="63">
        <f>VLOOKUP($B232,'Tillförd energi'!$B$1:$AI$720,MATCH(AF$2,'Tillförd energi'!$B$1:$AQ$1,0),FALSE)</f>
        <v>0.6</v>
      </c>
      <c r="AG232" s="63">
        <f>IFERROR(VLOOKUP(B232,Miljö!$B$1:$AC$550,MATCH("Köpt mängd produktionsspecifik fjärrvärme:",Miljö!$B$1:$AC$1,0),FALSE)/1,0)</f>
        <v>0</v>
      </c>
      <c r="AI232" s="63">
        <f t="shared" si="18"/>
        <v>8.3049999999999997</v>
      </c>
      <c r="AJ232" s="63">
        <f>IF(ISERROR(1/VLOOKUP($B232,Leveranser!$B$1:$S$500,MATCH("såld värme (gwh)",Leveranser!$B$1:$S$1,0),FALSE)),"",VLOOKUP($B232,Leveranser!$B$1:$S$500,MATCH("såld värme (gwh)",Leveranser!$B$1:$S$1,0),FALSE))</f>
        <v>6.26</v>
      </c>
      <c r="AM232" s="63" t="str">
        <f>IF(B232&lt;&gt;"",IF(VLOOKUP($B232,Totalt!$B$1:$AQ$554,MATCH("Kvalitetsgranskad:",Totalt!$B$1:$AQ$1,0),FALSE)="ja",VLOOKUP($B232,Miljö!$B$1:$AG$479,MATCH(AM$2,Miljö!$B$1:$AK$1,0),FALSE),""),"")</f>
        <v>Ja</v>
      </c>
      <c r="AN232" s="63" t="str">
        <f>IF(AM232="ja",VLOOKUP($B232,Miljö!$B$1:$J$479,MATCH("Typ av ursprungsspecificerad el   (Om inget värde anges används Nordisk residualmix, se inforuta) ()",Miljö!$B$1:$J$1,0),FALSE),IF(AM232="nej","Nordisk residualel",""))</f>
        <v>'100% förnybart'</v>
      </c>
      <c r="AO232" s="63">
        <f>IF(AM232="","",VLOOKUP($B232,Miljö!$B$1:$J$479,MATCH("Fossilandel för ursprungspecificerad el ()",Miljö!$B$1:$J$1,0),FALSE))</f>
        <v>0</v>
      </c>
      <c r="AQ232" s="63">
        <f t="shared" si="19"/>
        <v>1</v>
      </c>
      <c r="AS232" s="63" t="str">
        <f t="shared" si="20"/>
        <v>Nej</v>
      </c>
      <c r="AT232" s="63" t="str">
        <f>IF(AS232="ja",VLOOKUP($B232,Miljö!$B$1:$P$500,MATCH("Fossil andel i procent (%)",Miljö!$B$1:$P$1,0),FALSE)/100,"")</f>
        <v/>
      </c>
      <c r="AV232" s="63" t="str">
        <f t="shared" si="21"/>
        <v>Nej</v>
      </c>
      <c r="AW232" s="63" t="str">
        <f>IF(AV232="ja",VLOOKUP($B232,'Egen hetvattenprod'!$B$1:$AO$500,MATCH("Värmekälla till värmepumpar ()",'Egen hetvattenprod'!$B$1:$AO$1,0),FALSE),"")</f>
        <v/>
      </c>
      <c r="AY232" s="63" t="str">
        <f t="shared" si="22"/>
        <v>Nej</v>
      </c>
      <c r="AZ232" s="77" t="str">
        <f>IF($AY232="ja",(VLOOKUP($B232,'Egen hetvattenprod'!$B$1:$BX$550,MATCH(AZ$2,'Egen hetvattenprod'!$B$1:$BX$1,0),FALSE)+VLOOKUP($B232,Kraftvärmeprod!$B$1:$BX$550,MATCH(AZ$2,Kraftvärmeprod!$B$1:$BX$1,0),FALSE))/$AC232,"")</f>
        <v/>
      </c>
      <c r="BA232" s="77" t="str">
        <f>IF($AY232="ja",(VLOOKUP($B232,'Egen hetvattenprod'!$B$1:$BX$550,MATCH(BA$2,'Egen hetvattenprod'!$B$1:$BX$1,0),FALSE)+VLOOKUP($B232,Kraftvärmeprod!$B$1:$BX$550,MATCH(BA$2,Kraftvärmeprod!$B$1:$BX$1,0),FALSE))/$AC232,"")</f>
        <v/>
      </c>
      <c r="BB232" s="77" t="str">
        <f>IF($AY232="ja",(VLOOKUP($B232,'Egen hetvattenprod'!$B$1:$BX$550,MATCH(BB$2,'Egen hetvattenprod'!$B$1:$BX$1,0),FALSE)+VLOOKUP($B232,Kraftvärmeprod!$B$1:$BX$550,MATCH(BB$2,Kraftvärmeprod!$B$1:$BX$1,0),FALSE))/$AC232,"")</f>
        <v/>
      </c>
      <c r="BC232" s="77" t="str">
        <f>IF($AY232="ja",(VLOOKUP($B232,'Egen hetvattenprod'!$B$1:$BX$550,MATCH(BC$2,'Egen hetvattenprod'!$B$1:$BX$1,0),FALSE)+VLOOKUP($B232,Kraftvärmeprod!$B$1:$BX$550,MATCH(BC$2,Kraftvärmeprod!$B$1:$BX$1,0),FALSE))/$AC232,"")</f>
        <v/>
      </c>
      <c r="BD232" s="77" t="str">
        <f>IF($AY232="ja",(VLOOKUP($B232,'Egen hetvattenprod'!$B$1:$BX$550,MATCH(BD$2,'Egen hetvattenprod'!$B$1:$BX$1,0),FALSE)+VLOOKUP($B232,Kraftvärmeprod!$B$1:$BX$550,MATCH(BD$2,Kraftvärmeprod!$B$1:$BX$1,0),FALSE))/$AC232,"")</f>
        <v/>
      </c>
      <c r="BF232" s="63" t="str">
        <f t="shared" si="23"/>
        <v>Nej</v>
      </c>
      <c r="BG232" s="63" t="str">
        <f>IF($BF232="ja",VLOOKUP($B232,'Egen hetvattenprod'!$B$1:$BX$550,MATCH("Andelen klimatgaser med fossilt ursprung för avfall ()",'Egen hetvattenprod'!$B$1:$BX$1,0),FALSE),"")</f>
        <v/>
      </c>
      <c r="BH232" s="63" t="str">
        <f>IF($BF232="ja",VLOOKUP($B232,Kraftvärmeprod!$B$1:$BX$550,MATCH("Andelen klimatgaser med fossilt ursprung för avfall ()",Kraftvärmeprod!$B$1:$BX$1,0),FALSE),"")</f>
        <v/>
      </c>
      <c r="BI232" s="63" t="str">
        <f>IF($BF232="ja",VLOOKUP($B232,'Egen hetvattenprod'!$B$1:$BX$550,MATCH("Avfall (GWh)",'Egen hetvattenprod'!$B$1:$BX$1,0),FALSE),"")</f>
        <v/>
      </c>
      <c r="BJ232" s="63" t="str">
        <f>IF($BF232="ja",VLOOKUP($B232,'Slutlig allokering kvv'!$B$1:$BX$550,MATCH("Avfall (GWh)",'Slutlig allokering kvv'!$B$1:$BX$1,0),FALSE),"")</f>
        <v/>
      </c>
      <c r="BK232" s="63" t="str">
        <f>IF($BF232="ja",VLOOKUP($B232,'Köpt hetvatten'!$B$1:$BX$550,MATCH("Avfall i köpt hetvatten",'Köpt hetvatten'!$B$1:$BX$1,0),FALSE),"")</f>
        <v/>
      </c>
      <c r="BL232" s="63" t="str">
        <f>IF($BF232="ja",VLOOKUP($B232,'Egen hetvattenprod'!$B$1:$BX$550,MATCH("Värde enligt ovan. (%)",'Egen hetvattenprod'!$B$1:$BX$1,0),FALSE),"")</f>
        <v/>
      </c>
      <c r="BM232" s="63" t="str">
        <f>IF($BF232="ja",VLOOKUP($B232,Kraftvärmeprod!$B$1:$BX$550,MATCH("Värde enligt ovan. (%)",Kraftvärmeprod!$B$1:$BX$1,0),FALSE),"")</f>
        <v/>
      </c>
    </row>
    <row r="233" spans="1:65" x14ac:dyDescent="0.45">
      <c r="A233" s="63" t="s">
        <v>376</v>
      </c>
      <c r="B233" s="63" t="s">
        <v>378</v>
      </c>
      <c r="C233" s="63">
        <f>VLOOKUP($B233,'Tillförd energi'!$B$1:$AI$720,MATCH(C$2,'Tillförd energi'!$B$1:$AQ$1,0),FALSE)</f>
        <v>0</v>
      </c>
      <c r="D233" s="63">
        <f>VLOOKUP($B233,'Tillförd energi'!$B$1:$AI$720,MATCH(D$2,'Tillförd energi'!$B$1:$AQ$1,0),FALSE)</f>
        <v>2.2799999999999998</v>
      </c>
      <c r="E233" s="63">
        <f>VLOOKUP($B233,'Tillförd energi'!$B$1:$AI$720,MATCH(E$2,'Tillförd energi'!$B$1:$AQ$1,0),FALSE)</f>
        <v>0</v>
      </c>
      <c r="F233" s="63">
        <f>VLOOKUP($B233,'Tillförd energi'!$B$1:$AI$720,MATCH(F$2,'Tillförd energi'!$B$1:$AQ$1,0),FALSE)</f>
        <v>0</v>
      </c>
      <c r="G233" s="63">
        <f>VLOOKUP($B233,'Tillförd energi'!$B$1:$AI$720,MATCH(G$2,'Tillförd energi'!$B$1:$AQ$1,0),FALSE)</f>
        <v>0</v>
      </c>
      <c r="H233" s="63">
        <f>VLOOKUP($B233,'Tillförd energi'!$B$1:$AI$720,MATCH(H$2,'Tillförd energi'!$B$1:$AQ$1,0),FALSE)</f>
        <v>1.63</v>
      </c>
      <c r="I233" s="63">
        <f>VLOOKUP($B233,'Tillförd energi'!$B$1:$AI$720,MATCH(I$2,'Tillförd energi'!$B$1:$AQ$1,0),FALSE)</f>
        <v>0</v>
      </c>
      <c r="J233" s="63">
        <f>VLOOKUP($B233,'Tillförd energi'!$B$1:$AI$720,MATCH(J$2,'Tillförd energi'!$B$1:$AQ$1,0),FALSE)</f>
        <v>0</v>
      </c>
      <c r="K233" s="63">
        <f>VLOOKUP($B233,'Tillförd energi'!$B$1:$AI$720,MATCH(K$2,'Tillförd energi'!$B$1:$AQ$1,0),FALSE)</f>
        <v>0</v>
      </c>
      <c r="L233" s="63">
        <f>VLOOKUP($B233,'Tillförd energi'!$B$1:$AI$720,MATCH(L$2,'Tillförd energi'!$B$1:$AQ$1,0),FALSE)</f>
        <v>0</v>
      </c>
      <c r="M233" s="63">
        <f>VLOOKUP($B233,'Tillförd energi'!$B$1:$AI$720,MATCH(M$2,'Tillförd energi'!$B$1:$AQ$1,0),FALSE)</f>
        <v>0</v>
      </c>
      <c r="N233" s="63">
        <f>VLOOKUP($B233,'Tillförd energi'!$B$1:$AI$720,MATCH(N$2,'Tillförd energi'!$B$1:$AQ$1,0),FALSE)</f>
        <v>0</v>
      </c>
      <c r="O233" s="63">
        <f>VLOOKUP($B233,'Tillförd energi'!$B$1:$AI$720,MATCH(O$2,'Tillförd energi'!$B$1:$AQ$1,0),FALSE)</f>
        <v>0</v>
      </c>
      <c r="P233" s="63">
        <f>VLOOKUP($B233,'Tillförd energi'!$B$1:$AI$720,MATCH(P$2,'Tillförd energi'!$B$1:$AQ$1,0),FALSE)</f>
        <v>0</v>
      </c>
      <c r="Q233" s="63">
        <f>VLOOKUP($B233,'Tillförd energi'!$B$1:$AI$720,MATCH(Q$2,'Tillförd energi'!$B$1:$AQ$1,0),FALSE)</f>
        <v>0</v>
      </c>
      <c r="R233" s="63">
        <f>VLOOKUP($B233,'Tillförd energi'!$B$1:$AI$720,MATCH(R$2,'Tillförd energi'!$B$1:$AQ$1,0),FALSE)</f>
        <v>0</v>
      </c>
      <c r="S233" s="63">
        <f>VLOOKUP($B233,'Tillförd energi'!$B$1:$AI$720,MATCH(S$2,'Tillförd energi'!$B$1:$AQ$1,0),FALSE)</f>
        <v>0</v>
      </c>
      <c r="T233" s="63">
        <f>VLOOKUP($B233,'Tillförd energi'!$B$1:$AI$720,MATCH(T$2,'Tillförd energi'!$B$1:$AQ$1,0),FALSE)</f>
        <v>0</v>
      </c>
      <c r="U233" s="63">
        <f>VLOOKUP($B233,'Tillförd energi'!$B$1:$AI$720,MATCH(U$2,'Tillförd energi'!$B$1:$AQ$1,0),FALSE)</f>
        <v>0</v>
      </c>
      <c r="V233" s="63">
        <f>VLOOKUP($B233,'Tillförd energi'!$B$1:$AI$720,MATCH(V$2,'Tillförd energi'!$B$1:$AQ$1,0),FALSE)</f>
        <v>0</v>
      </c>
      <c r="W233" s="63">
        <f>VLOOKUP($B233,'Tillförd energi'!$B$1:$AI$720,MATCH(W$2,'Tillförd energi'!$B$1:$AQ$1,0),FALSE)</f>
        <v>0</v>
      </c>
      <c r="X233" s="63">
        <f>VLOOKUP($B233,'Tillförd energi'!$B$1:$AI$720,MATCH(X$2,'Tillförd energi'!$B$1:$AQ$1,0),FALSE)</f>
        <v>0</v>
      </c>
      <c r="Y233" s="63">
        <f>VLOOKUP($B233,'Tillförd energi'!$B$1:$AI$720,MATCH(Y$2,'Tillförd energi'!$B$1:$AQ$1,0),FALSE)</f>
        <v>0</v>
      </c>
      <c r="Z233" s="63">
        <f>VLOOKUP($B233,'Tillförd energi'!$B$1:$AI$720,MATCH(Z$2,'Tillförd energi'!$B$1:$AQ$1,0),FALSE)</f>
        <v>0</v>
      </c>
      <c r="AA233" s="63">
        <f>VLOOKUP($B233,'Tillförd energi'!$B$1:$AI$720,MATCH(AA$2,'Tillförd energi'!$B$1:$AQ$1,0),FALSE)</f>
        <v>0</v>
      </c>
      <c r="AB233" s="63">
        <f>VLOOKUP($B233,'Tillförd energi'!$B$1:$AI$720,MATCH(AB$2,'Tillförd energi'!$B$1:$AQ$1,0),FALSE)</f>
        <v>0</v>
      </c>
      <c r="AC233" s="63">
        <f>VLOOKUP($B233,'Tillförd energi'!$B$1:$AI$720,MATCH(AC$2,'Tillförd energi'!$B$1:$AQ$1,0),FALSE)</f>
        <v>0</v>
      </c>
      <c r="AD233" s="63">
        <f>VLOOKUP($B233,'Tillförd energi'!$B$1:$AI$720,MATCH(AD$2,'Tillförd energi'!$B$1:$AQ$1,0),FALSE)</f>
        <v>300</v>
      </c>
      <c r="AE233" s="63">
        <f>VLOOKUP($B233,'Tillförd energi'!$B$1:$AI$720,MATCH(AE$2,'Tillförd energi'!$B$1:$AQ$1,0),FALSE)</f>
        <v>0</v>
      </c>
      <c r="AF233" s="63">
        <f>VLOOKUP($B233,'Tillförd energi'!$B$1:$AI$720,MATCH(AF$2,'Tillförd energi'!$B$1:$AQ$1,0),FALSE)</f>
        <v>2</v>
      </c>
      <c r="AG233" s="63">
        <f>IFERROR(VLOOKUP(B233,Miljö!$B$1:$AC$550,MATCH("Köpt mängd produktionsspecifik fjärrvärme:",Miljö!$B$1:$AC$1,0),FALSE)/1,0)</f>
        <v>0</v>
      </c>
      <c r="AI233" s="63">
        <f t="shared" si="18"/>
        <v>305.91000000000003</v>
      </c>
      <c r="AJ233" s="63">
        <f>IF(ISERROR(1/VLOOKUP($B233,Leveranser!$B$1:$S$500,MATCH("såld värme (gwh)",Leveranser!$B$1:$S$1,0),FALSE)),"",VLOOKUP($B233,Leveranser!$B$1:$S$500,MATCH("såld värme (gwh)",Leveranser!$B$1:$S$1,0),FALSE))</f>
        <v>255.83</v>
      </c>
      <c r="AM233" s="63" t="str">
        <f>IF(B233&lt;&gt;"",IF(VLOOKUP($B233,Totalt!$B$1:$AQ$554,MATCH("Kvalitetsgranskad:",Totalt!$B$1:$AQ$1,0),FALSE)="ja",VLOOKUP($B233,Miljö!$B$1:$AG$479,MATCH(AM$2,Miljö!$B$1:$AK$1,0),FALSE),""),"")</f>
        <v>Ja</v>
      </c>
      <c r="AN233" s="63" t="str">
        <f>IF(AM233="ja",VLOOKUP($B233,Miljö!$B$1:$J$479,MATCH("Typ av ursprungsspecificerad el   (Om inget värde anges används Nordisk residualmix, se inforuta) ()",Miljö!$B$1:$J$1,0),FALSE),IF(AM233="nej","Nordisk residualel",""))</f>
        <v>'100% förnybar'</v>
      </c>
      <c r="AO233" s="63">
        <f>IF(AM233="","",VLOOKUP($B233,Miljö!$B$1:$J$479,MATCH("Fossilandel för ursprungspecificerad el ()",Miljö!$B$1:$J$1,0),FALSE))</f>
        <v>0</v>
      </c>
      <c r="AQ233" s="63">
        <f t="shared" si="19"/>
        <v>1</v>
      </c>
      <c r="AS233" s="63" t="str">
        <f t="shared" si="20"/>
        <v>Nej</v>
      </c>
      <c r="AT233" s="63" t="str">
        <f>IF(AS233="ja",VLOOKUP($B233,Miljö!$B$1:$P$500,MATCH("Fossil andel i procent (%)",Miljö!$B$1:$P$1,0),FALSE)/100,"")</f>
        <v/>
      </c>
      <c r="AV233" s="63" t="str">
        <f t="shared" si="21"/>
        <v>Nej</v>
      </c>
      <c r="AW233" s="63" t="str">
        <f>IF(AV233="ja",VLOOKUP($B233,'Egen hetvattenprod'!$B$1:$AO$500,MATCH("Värmekälla till värmepumpar ()",'Egen hetvattenprod'!$B$1:$AO$1,0),FALSE),"")</f>
        <v/>
      </c>
      <c r="AY233" s="63" t="str">
        <f t="shared" si="22"/>
        <v>Nej</v>
      </c>
      <c r="AZ233" s="77" t="str">
        <f>IF($AY233="ja",(VLOOKUP($B233,'Egen hetvattenprod'!$B$1:$BX$550,MATCH(AZ$2,'Egen hetvattenprod'!$B$1:$BX$1,0),FALSE)+VLOOKUP($B233,Kraftvärmeprod!$B$1:$BX$550,MATCH(AZ$2,Kraftvärmeprod!$B$1:$BX$1,0),FALSE))/$AC233,"")</f>
        <v/>
      </c>
      <c r="BA233" s="77" t="str">
        <f>IF($AY233="ja",(VLOOKUP($B233,'Egen hetvattenprod'!$B$1:$BX$550,MATCH(BA$2,'Egen hetvattenprod'!$B$1:$BX$1,0),FALSE)+VLOOKUP($B233,Kraftvärmeprod!$B$1:$BX$550,MATCH(BA$2,Kraftvärmeprod!$B$1:$BX$1,0),FALSE))/$AC233,"")</f>
        <v/>
      </c>
      <c r="BB233" s="77" t="str">
        <f>IF($AY233="ja",(VLOOKUP($B233,'Egen hetvattenprod'!$B$1:$BX$550,MATCH(BB$2,'Egen hetvattenprod'!$B$1:$BX$1,0),FALSE)+VLOOKUP($B233,Kraftvärmeprod!$B$1:$BX$550,MATCH(BB$2,Kraftvärmeprod!$B$1:$BX$1,0),FALSE))/$AC233,"")</f>
        <v/>
      </c>
      <c r="BC233" s="77" t="str">
        <f>IF($AY233="ja",(VLOOKUP($B233,'Egen hetvattenprod'!$B$1:$BX$550,MATCH(BC$2,'Egen hetvattenprod'!$B$1:$BX$1,0),FALSE)+VLOOKUP($B233,Kraftvärmeprod!$B$1:$BX$550,MATCH(BC$2,Kraftvärmeprod!$B$1:$BX$1,0),FALSE))/$AC233,"")</f>
        <v/>
      </c>
      <c r="BD233" s="77" t="str">
        <f>IF($AY233="ja",(VLOOKUP($B233,'Egen hetvattenprod'!$B$1:$BX$550,MATCH(BD$2,'Egen hetvattenprod'!$B$1:$BX$1,0),FALSE)+VLOOKUP($B233,Kraftvärmeprod!$B$1:$BX$550,MATCH(BD$2,Kraftvärmeprod!$B$1:$BX$1,0),FALSE))/$AC233,"")</f>
        <v/>
      </c>
      <c r="BF233" s="63" t="str">
        <f t="shared" si="23"/>
        <v>Nej</v>
      </c>
      <c r="BG233" s="63" t="str">
        <f>IF($BF233="ja",VLOOKUP($B233,'Egen hetvattenprod'!$B$1:$BX$550,MATCH("Andelen klimatgaser med fossilt ursprung för avfall ()",'Egen hetvattenprod'!$B$1:$BX$1,0),FALSE),"")</f>
        <v/>
      </c>
      <c r="BH233" s="63" t="str">
        <f>IF($BF233="ja",VLOOKUP($B233,Kraftvärmeprod!$B$1:$BX$550,MATCH("Andelen klimatgaser med fossilt ursprung för avfall ()",Kraftvärmeprod!$B$1:$BX$1,0),FALSE),"")</f>
        <v/>
      </c>
      <c r="BI233" s="63" t="str">
        <f>IF($BF233="ja",VLOOKUP($B233,'Egen hetvattenprod'!$B$1:$BX$550,MATCH("Avfall (GWh)",'Egen hetvattenprod'!$B$1:$BX$1,0),FALSE),"")</f>
        <v/>
      </c>
      <c r="BJ233" s="63" t="str">
        <f>IF($BF233="ja",VLOOKUP($B233,'Slutlig allokering kvv'!$B$1:$BX$550,MATCH("Avfall (GWh)",'Slutlig allokering kvv'!$B$1:$BX$1,0),FALSE),"")</f>
        <v/>
      </c>
      <c r="BK233" s="63" t="str">
        <f>IF($BF233="ja",VLOOKUP($B233,'Köpt hetvatten'!$B$1:$BX$550,MATCH("Avfall i köpt hetvatten",'Köpt hetvatten'!$B$1:$BX$1,0),FALSE),"")</f>
        <v/>
      </c>
      <c r="BL233" s="63" t="str">
        <f>IF($BF233="ja",VLOOKUP($B233,'Egen hetvattenprod'!$B$1:$BX$550,MATCH("Värde enligt ovan. (%)",'Egen hetvattenprod'!$B$1:$BX$1,0),FALSE),"")</f>
        <v/>
      </c>
      <c r="BM233" s="63" t="str">
        <f>IF($BF233="ja",VLOOKUP($B233,Kraftvärmeprod!$B$1:$BX$550,MATCH("Värde enligt ovan. (%)",Kraftvärmeprod!$B$1:$BX$1,0),FALSE),"")</f>
        <v/>
      </c>
    </row>
    <row r="234" spans="1:65" x14ac:dyDescent="0.45">
      <c r="A234" s="63" t="s">
        <v>376</v>
      </c>
      <c r="B234" s="63" t="s">
        <v>377</v>
      </c>
      <c r="C234" s="63">
        <f>VLOOKUP($B234,'Tillförd energi'!$B$1:$AI$720,MATCH(C$2,'Tillförd energi'!$B$1:$AQ$1,0),FALSE)</f>
        <v>0</v>
      </c>
      <c r="D234" s="63">
        <f>VLOOKUP($B234,'Tillförd energi'!$B$1:$AI$720,MATCH(D$2,'Tillförd energi'!$B$1:$AQ$1,0),FALSE)</f>
        <v>0</v>
      </c>
      <c r="E234" s="63">
        <f>VLOOKUP($B234,'Tillförd energi'!$B$1:$AI$720,MATCH(E$2,'Tillförd energi'!$B$1:$AQ$1,0),FALSE)</f>
        <v>0</v>
      </c>
      <c r="F234" s="63">
        <f>VLOOKUP($B234,'Tillförd energi'!$B$1:$AI$720,MATCH(F$2,'Tillförd energi'!$B$1:$AQ$1,0),FALSE)</f>
        <v>0</v>
      </c>
      <c r="G234" s="63">
        <f>VLOOKUP($B234,'Tillförd energi'!$B$1:$AI$720,MATCH(G$2,'Tillförd energi'!$B$1:$AQ$1,0),FALSE)</f>
        <v>0</v>
      </c>
      <c r="H234" s="63">
        <f>VLOOKUP($B234,'Tillförd energi'!$B$1:$AI$720,MATCH(H$2,'Tillförd energi'!$B$1:$AQ$1,0),FALSE)</f>
        <v>0</v>
      </c>
      <c r="I234" s="63">
        <f>VLOOKUP($B234,'Tillförd energi'!$B$1:$AI$720,MATCH(I$2,'Tillförd energi'!$B$1:$AQ$1,0),FALSE)</f>
        <v>0</v>
      </c>
      <c r="J234" s="63">
        <f>VLOOKUP($B234,'Tillförd energi'!$B$1:$AI$720,MATCH(J$2,'Tillförd energi'!$B$1:$AQ$1,0),FALSE)</f>
        <v>0</v>
      </c>
      <c r="K234" s="63">
        <f>VLOOKUP($B234,'Tillförd energi'!$B$1:$AI$720,MATCH(K$2,'Tillförd energi'!$B$1:$AQ$1,0),FALSE)</f>
        <v>0</v>
      </c>
      <c r="L234" s="63">
        <f>VLOOKUP($B234,'Tillförd energi'!$B$1:$AI$720,MATCH(L$2,'Tillförd energi'!$B$1:$AQ$1,0),FALSE)</f>
        <v>0</v>
      </c>
      <c r="M234" s="63">
        <f>VLOOKUP($B234,'Tillförd energi'!$B$1:$AI$720,MATCH(M$2,'Tillförd energi'!$B$1:$AQ$1,0),FALSE)</f>
        <v>0</v>
      </c>
      <c r="N234" s="63">
        <f>VLOOKUP($B234,'Tillförd energi'!$B$1:$AI$720,MATCH(N$2,'Tillförd energi'!$B$1:$AQ$1,0),FALSE)</f>
        <v>0</v>
      </c>
      <c r="O234" s="63">
        <f>VLOOKUP($B234,'Tillförd energi'!$B$1:$AI$720,MATCH(O$2,'Tillförd energi'!$B$1:$AQ$1,0),FALSE)</f>
        <v>0</v>
      </c>
      <c r="P234" s="63">
        <f>VLOOKUP($B234,'Tillförd energi'!$B$1:$AI$720,MATCH(P$2,'Tillförd energi'!$B$1:$AQ$1,0),FALSE)</f>
        <v>0</v>
      </c>
      <c r="Q234" s="63">
        <f>VLOOKUP($B234,'Tillförd energi'!$B$1:$AI$720,MATCH(Q$2,'Tillförd energi'!$B$1:$AQ$1,0),FALSE)</f>
        <v>2.0470600000000001</v>
      </c>
      <c r="R234" s="63">
        <f>VLOOKUP($B234,'Tillförd energi'!$B$1:$AI$720,MATCH(R$2,'Tillförd energi'!$B$1:$AQ$1,0),FALSE)</f>
        <v>0</v>
      </c>
      <c r="S234" s="63">
        <f>VLOOKUP($B234,'Tillförd energi'!$B$1:$AI$720,MATCH(S$2,'Tillförd energi'!$B$1:$AQ$1,0),FALSE)</f>
        <v>0</v>
      </c>
      <c r="T234" s="63">
        <f>VLOOKUP($B234,'Tillförd energi'!$B$1:$AI$720,MATCH(T$2,'Tillförd energi'!$B$1:$AQ$1,0),FALSE)</f>
        <v>0</v>
      </c>
      <c r="U234" s="63">
        <f>VLOOKUP($B234,'Tillförd energi'!$B$1:$AI$720,MATCH(U$2,'Tillförd energi'!$B$1:$AQ$1,0),FALSE)</f>
        <v>0</v>
      </c>
      <c r="V234" s="63">
        <f>VLOOKUP($B234,'Tillförd energi'!$B$1:$AI$720,MATCH(V$2,'Tillförd energi'!$B$1:$AQ$1,0),FALSE)</f>
        <v>0</v>
      </c>
      <c r="W234" s="63">
        <f>VLOOKUP($B234,'Tillförd energi'!$B$1:$AI$720,MATCH(W$2,'Tillförd energi'!$B$1:$AQ$1,0),FALSE)</f>
        <v>0</v>
      </c>
      <c r="X234" s="63">
        <f>VLOOKUP($B234,'Tillförd energi'!$B$1:$AI$720,MATCH(X$2,'Tillförd energi'!$B$1:$AQ$1,0),FALSE)</f>
        <v>0</v>
      </c>
      <c r="Y234" s="63">
        <f>VLOOKUP($B234,'Tillförd energi'!$B$1:$AI$720,MATCH(Y$2,'Tillförd energi'!$B$1:$AQ$1,0),FALSE)</f>
        <v>0</v>
      </c>
      <c r="Z234" s="63">
        <f>VLOOKUP($B234,'Tillförd energi'!$B$1:$AI$720,MATCH(Z$2,'Tillförd energi'!$B$1:$AQ$1,0),FALSE)</f>
        <v>0</v>
      </c>
      <c r="AA234" s="63">
        <f>VLOOKUP($B234,'Tillförd energi'!$B$1:$AI$720,MATCH(AA$2,'Tillförd energi'!$B$1:$AQ$1,0),FALSE)</f>
        <v>0</v>
      </c>
      <c r="AB234" s="63">
        <f>VLOOKUP($B234,'Tillförd energi'!$B$1:$AI$720,MATCH(AB$2,'Tillförd energi'!$B$1:$AQ$1,0),FALSE)</f>
        <v>0</v>
      </c>
      <c r="AC234" s="63">
        <f>VLOOKUP($B234,'Tillförd energi'!$B$1:$AI$720,MATCH(AC$2,'Tillförd energi'!$B$1:$AQ$1,0),FALSE)</f>
        <v>0</v>
      </c>
      <c r="AD234" s="63">
        <f>VLOOKUP($B234,'Tillförd energi'!$B$1:$AI$720,MATCH(AD$2,'Tillförd energi'!$B$1:$AQ$1,0),FALSE)</f>
        <v>0</v>
      </c>
      <c r="AE234" s="63">
        <f>VLOOKUP($B234,'Tillförd energi'!$B$1:$AI$720,MATCH(AE$2,'Tillförd energi'!$B$1:$AQ$1,0),FALSE)</f>
        <v>0</v>
      </c>
      <c r="AF234" s="63">
        <f>VLOOKUP($B234,'Tillförd energi'!$B$1:$AI$720,MATCH(AF$2,'Tillförd energi'!$B$1:$AQ$1,0),FALSE)</f>
        <v>4.53E-2</v>
      </c>
      <c r="AG234" s="63">
        <f>IFERROR(VLOOKUP(B234,Miljö!$B$1:$AC$550,MATCH("Köpt mängd produktionsspecifik fjärrvärme:",Miljö!$B$1:$AC$1,0),FALSE)/1,0)</f>
        <v>0</v>
      </c>
      <c r="AI234" s="63">
        <f t="shared" si="18"/>
        <v>2.0923600000000002</v>
      </c>
      <c r="AJ234" s="63">
        <f>IF(ISERROR(1/VLOOKUP($B234,Leveranser!$B$1:$S$500,MATCH("såld värme (gwh)",Leveranser!$B$1:$S$1,0),FALSE)),"",VLOOKUP($B234,Leveranser!$B$1:$S$500,MATCH("såld värme (gwh)",Leveranser!$B$1:$S$1,0),FALSE))</f>
        <v>1.51</v>
      </c>
      <c r="AM234" s="63" t="str">
        <f>IF(B234&lt;&gt;"",IF(VLOOKUP($B234,Totalt!$B$1:$AQ$554,MATCH("Kvalitetsgranskad:",Totalt!$B$1:$AQ$1,0),FALSE)="ja",VLOOKUP($B234,Miljö!$B$1:$AG$479,MATCH(AM$2,Miljö!$B$1:$AK$1,0),FALSE),""),"")</f>
        <v>Ja</v>
      </c>
      <c r="AN234" s="63" t="str">
        <f>IF(AM234="ja",VLOOKUP($B234,Miljö!$B$1:$J$479,MATCH("Typ av ursprungsspecificerad el   (Om inget värde anges används Nordisk residualmix, se inforuta) ()",Miljö!$B$1:$J$1,0),FALSE),IF(AM234="nej","Nordisk residualel",""))</f>
        <v>'100%förnybar'</v>
      </c>
      <c r="AO234" s="63">
        <f>IF(AM234="","",VLOOKUP($B234,Miljö!$B$1:$J$479,MATCH("Fossilandel för ursprungspecificerad el ()",Miljö!$B$1:$J$1,0),FALSE))</f>
        <v>0</v>
      </c>
      <c r="AQ234" s="63">
        <f t="shared" si="19"/>
        <v>1</v>
      </c>
      <c r="AS234" s="63" t="str">
        <f t="shared" si="20"/>
        <v>Nej</v>
      </c>
      <c r="AT234" s="63" t="str">
        <f>IF(AS234="ja",VLOOKUP($B234,Miljö!$B$1:$P$500,MATCH("Fossil andel i procent (%)",Miljö!$B$1:$P$1,0),FALSE)/100,"")</f>
        <v/>
      </c>
      <c r="AV234" s="63" t="str">
        <f t="shared" si="21"/>
        <v>Nej</v>
      </c>
      <c r="AW234" s="63" t="str">
        <f>IF(AV234="ja",VLOOKUP($B234,'Egen hetvattenprod'!$B$1:$AO$500,MATCH("Värmekälla till värmepumpar ()",'Egen hetvattenprod'!$B$1:$AO$1,0),FALSE),"")</f>
        <v/>
      </c>
      <c r="AY234" s="63" t="str">
        <f t="shared" si="22"/>
        <v>Nej</v>
      </c>
      <c r="AZ234" s="77" t="str">
        <f>IF($AY234="ja",(VLOOKUP($B234,'Egen hetvattenprod'!$B$1:$BX$550,MATCH(AZ$2,'Egen hetvattenprod'!$B$1:$BX$1,0),FALSE)+VLOOKUP($B234,Kraftvärmeprod!$B$1:$BX$550,MATCH(AZ$2,Kraftvärmeprod!$B$1:$BX$1,0),FALSE))/$AC234,"")</f>
        <v/>
      </c>
      <c r="BA234" s="77" t="str">
        <f>IF($AY234="ja",(VLOOKUP($B234,'Egen hetvattenprod'!$B$1:$BX$550,MATCH(BA$2,'Egen hetvattenprod'!$B$1:$BX$1,0),FALSE)+VLOOKUP($B234,Kraftvärmeprod!$B$1:$BX$550,MATCH(BA$2,Kraftvärmeprod!$B$1:$BX$1,0),FALSE))/$AC234,"")</f>
        <v/>
      </c>
      <c r="BB234" s="77" t="str">
        <f>IF($AY234="ja",(VLOOKUP($B234,'Egen hetvattenprod'!$B$1:$BX$550,MATCH(BB$2,'Egen hetvattenprod'!$B$1:$BX$1,0),FALSE)+VLOOKUP($B234,Kraftvärmeprod!$B$1:$BX$550,MATCH(BB$2,Kraftvärmeprod!$B$1:$BX$1,0),FALSE))/$AC234,"")</f>
        <v/>
      </c>
      <c r="BC234" s="77" t="str">
        <f>IF($AY234="ja",(VLOOKUP($B234,'Egen hetvattenprod'!$B$1:$BX$550,MATCH(BC$2,'Egen hetvattenprod'!$B$1:$BX$1,0),FALSE)+VLOOKUP($B234,Kraftvärmeprod!$B$1:$BX$550,MATCH(BC$2,Kraftvärmeprod!$B$1:$BX$1,0),FALSE))/$AC234,"")</f>
        <v/>
      </c>
      <c r="BD234" s="77" t="str">
        <f>IF($AY234="ja",(VLOOKUP($B234,'Egen hetvattenprod'!$B$1:$BX$550,MATCH(BD$2,'Egen hetvattenprod'!$B$1:$BX$1,0),FALSE)+VLOOKUP($B234,Kraftvärmeprod!$B$1:$BX$550,MATCH(BD$2,Kraftvärmeprod!$B$1:$BX$1,0),FALSE))/$AC234,"")</f>
        <v/>
      </c>
      <c r="BF234" s="63" t="str">
        <f t="shared" si="23"/>
        <v>Nej</v>
      </c>
      <c r="BG234" s="63" t="str">
        <f>IF($BF234="ja",VLOOKUP($B234,'Egen hetvattenprod'!$B$1:$BX$550,MATCH("Andelen klimatgaser med fossilt ursprung för avfall ()",'Egen hetvattenprod'!$B$1:$BX$1,0),FALSE),"")</f>
        <v/>
      </c>
      <c r="BH234" s="63" t="str">
        <f>IF($BF234="ja",VLOOKUP($B234,Kraftvärmeprod!$B$1:$BX$550,MATCH("Andelen klimatgaser med fossilt ursprung för avfall ()",Kraftvärmeprod!$B$1:$BX$1,0),FALSE),"")</f>
        <v/>
      </c>
      <c r="BI234" s="63" t="str">
        <f>IF($BF234="ja",VLOOKUP($B234,'Egen hetvattenprod'!$B$1:$BX$550,MATCH("Avfall (GWh)",'Egen hetvattenprod'!$B$1:$BX$1,0),FALSE),"")</f>
        <v/>
      </c>
      <c r="BJ234" s="63" t="str">
        <f>IF($BF234="ja",VLOOKUP($B234,'Slutlig allokering kvv'!$B$1:$BX$550,MATCH("Avfall (GWh)",'Slutlig allokering kvv'!$B$1:$BX$1,0),FALSE),"")</f>
        <v/>
      </c>
      <c r="BK234" s="63" t="str">
        <f>IF($BF234="ja",VLOOKUP($B234,'Köpt hetvatten'!$B$1:$BX$550,MATCH("Avfall i köpt hetvatten",'Köpt hetvatten'!$B$1:$BX$1,0),FALSE),"")</f>
        <v/>
      </c>
      <c r="BL234" s="63" t="str">
        <f>IF($BF234="ja",VLOOKUP($B234,'Egen hetvattenprod'!$B$1:$BX$550,MATCH("Värde enligt ovan. (%)",'Egen hetvattenprod'!$B$1:$BX$1,0),FALSE),"")</f>
        <v/>
      </c>
      <c r="BM234" s="63" t="str">
        <f>IF($BF234="ja",VLOOKUP($B234,Kraftvärmeprod!$B$1:$BX$550,MATCH("Värde enligt ovan. (%)",Kraftvärmeprod!$B$1:$BX$1,0),FALSE),"")</f>
        <v/>
      </c>
    </row>
    <row r="235" spans="1:65" x14ac:dyDescent="0.45">
      <c r="A235" s="63" t="s">
        <v>376</v>
      </c>
      <c r="B235" s="63" t="s">
        <v>375</v>
      </c>
      <c r="C235" s="63">
        <f>VLOOKUP($B235,'Tillförd energi'!$B$1:$AI$720,MATCH(C$2,'Tillförd energi'!$B$1:$AQ$1,0),FALSE)</f>
        <v>0</v>
      </c>
      <c r="D235" s="63">
        <f>VLOOKUP($B235,'Tillförd energi'!$B$1:$AI$720,MATCH(D$2,'Tillförd energi'!$B$1:$AQ$1,0),FALSE)</f>
        <v>8.4000000000000005E-2</v>
      </c>
      <c r="E235" s="63">
        <f>VLOOKUP($B235,'Tillförd energi'!$B$1:$AI$720,MATCH(E$2,'Tillförd energi'!$B$1:$AQ$1,0),FALSE)</f>
        <v>0</v>
      </c>
      <c r="F235" s="63">
        <f>VLOOKUP($B235,'Tillförd energi'!$B$1:$AI$720,MATCH(F$2,'Tillförd energi'!$B$1:$AQ$1,0),FALSE)</f>
        <v>0</v>
      </c>
      <c r="G235" s="63">
        <f>VLOOKUP($B235,'Tillförd energi'!$B$1:$AI$720,MATCH(G$2,'Tillförd energi'!$B$1:$AQ$1,0),FALSE)</f>
        <v>0</v>
      </c>
      <c r="H235" s="63">
        <f>VLOOKUP($B235,'Tillförd energi'!$B$1:$AI$720,MATCH(H$2,'Tillförd energi'!$B$1:$AQ$1,0),FALSE)</f>
        <v>0</v>
      </c>
      <c r="I235" s="63">
        <f>VLOOKUP($B235,'Tillförd energi'!$B$1:$AI$720,MATCH(I$2,'Tillförd energi'!$B$1:$AQ$1,0),FALSE)</f>
        <v>0</v>
      </c>
      <c r="J235" s="63">
        <f>VLOOKUP($B235,'Tillförd energi'!$B$1:$AI$720,MATCH(J$2,'Tillförd energi'!$B$1:$AQ$1,0),FALSE)</f>
        <v>0</v>
      </c>
      <c r="K235" s="63">
        <f>VLOOKUP($B235,'Tillförd energi'!$B$1:$AI$720,MATCH(K$2,'Tillförd energi'!$B$1:$AQ$1,0),FALSE)</f>
        <v>0</v>
      </c>
      <c r="L235" s="63">
        <f>VLOOKUP($B235,'Tillförd energi'!$B$1:$AI$720,MATCH(L$2,'Tillförd energi'!$B$1:$AQ$1,0),FALSE)</f>
        <v>0</v>
      </c>
      <c r="M235" s="63">
        <f>VLOOKUP($B235,'Tillförd energi'!$B$1:$AI$720,MATCH(M$2,'Tillförd energi'!$B$1:$AQ$1,0),FALSE)</f>
        <v>0</v>
      </c>
      <c r="N235" s="63">
        <f>VLOOKUP($B235,'Tillförd energi'!$B$1:$AI$720,MATCH(N$2,'Tillförd energi'!$B$1:$AQ$1,0),FALSE)</f>
        <v>0</v>
      </c>
      <c r="O235" s="63">
        <f>VLOOKUP($B235,'Tillförd energi'!$B$1:$AI$720,MATCH(O$2,'Tillförd energi'!$B$1:$AQ$1,0),FALSE)</f>
        <v>0</v>
      </c>
      <c r="P235" s="63">
        <f>VLOOKUP($B235,'Tillförd energi'!$B$1:$AI$720,MATCH(P$2,'Tillförd energi'!$B$1:$AQ$1,0),FALSE)</f>
        <v>0</v>
      </c>
      <c r="Q235" s="63">
        <f>VLOOKUP($B235,'Tillförd energi'!$B$1:$AI$720,MATCH(Q$2,'Tillförd energi'!$B$1:$AQ$1,0),FALSE)</f>
        <v>0</v>
      </c>
      <c r="R235" s="63">
        <f>VLOOKUP($B235,'Tillförd energi'!$B$1:$AI$720,MATCH(R$2,'Tillförd energi'!$B$1:$AQ$1,0),FALSE)</f>
        <v>2.351</v>
      </c>
      <c r="S235" s="63">
        <f>VLOOKUP($B235,'Tillförd energi'!$B$1:$AI$720,MATCH(S$2,'Tillförd energi'!$B$1:$AQ$1,0),FALSE)</f>
        <v>0</v>
      </c>
      <c r="T235" s="63">
        <f>VLOOKUP($B235,'Tillförd energi'!$B$1:$AI$720,MATCH(T$2,'Tillförd energi'!$B$1:$AQ$1,0),FALSE)</f>
        <v>0</v>
      </c>
      <c r="U235" s="63">
        <f>VLOOKUP($B235,'Tillförd energi'!$B$1:$AI$720,MATCH(U$2,'Tillförd energi'!$B$1:$AQ$1,0),FALSE)</f>
        <v>0</v>
      </c>
      <c r="V235" s="63">
        <f>VLOOKUP($B235,'Tillförd energi'!$B$1:$AI$720,MATCH(V$2,'Tillförd energi'!$B$1:$AQ$1,0),FALSE)</f>
        <v>0</v>
      </c>
      <c r="W235" s="63">
        <f>VLOOKUP($B235,'Tillförd energi'!$B$1:$AI$720,MATCH(W$2,'Tillförd energi'!$B$1:$AQ$1,0),FALSE)</f>
        <v>0</v>
      </c>
      <c r="X235" s="63">
        <f>VLOOKUP($B235,'Tillförd energi'!$B$1:$AI$720,MATCH(X$2,'Tillförd energi'!$B$1:$AQ$1,0),FALSE)</f>
        <v>0</v>
      </c>
      <c r="Y235" s="63">
        <f>VLOOKUP($B235,'Tillförd energi'!$B$1:$AI$720,MATCH(Y$2,'Tillförd energi'!$B$1:$AQ$1,0),FALSE)</f>
        <v>0</v>
      </c>
      <c r="Z235" s="63">
        <f>VLOOKUP($B235,'Tillförd energi'!$B$1:$AI$720,MATCH(Z$2,'Tillförd energi'!$B$1:$AQ$1,0),FALSE)</f>
        <v>6.8000000000000005E-2</v>
      </c>
      <c r="AA235" s="63">
        <f>VLOOKUP($B235,'Tillförd energi'!$B$1:$AI$720,MATCH(AA$2,'Tillförd energi'!$B$1:$AQ$1,0),FALSE)</f>
        <v>0</v>
      </c>
      <c r="AB235" s="63">
        <f>VLOOKUP($B235,'Tillförd energi'!$B$1:$AI$720,MATCH(AB$2,'Tillförd energi'!$B$1:$AQ$1,0),FALSE)</f>
        <v>0</v>
      </c>
      <c r="AC235" s="63">
        <f>VLOOKUP($B235,'Tillförd energi'!$B$1:$AI$720,MATCH(AC$2,'Tillförd energi'!$B$1:$AQ$1,0),FALSE)</f>
        <v>0</v>
      </c>
      <c r="AD235" s="63">
        <f>VLOOKUP($B235,'Tillförd energi'!$B$1:$AI$720,MATCH(AD$2,'Tillförd energi'!$B$1:$AQ$1,0),FALSE)</f>
        <v>0</v>
      </c>
      <c r="AE235" s="63">
        <f>VLOOKUP($B235,'Tillförd energi'!$B$1:$AI$720,MATCH(AE$2,'Tillförd energi'!$B$1:$AQ$1,0),FALSE)</f>
        <v>0</v>
      </c>
      <c r="AF235" s="63">
        <f>VLOOKUP($B235,'Tillförd energi'!$B$1:$AI$720,MATCH(AF$2,'Tillförd energi'!$B$1:$AQ$1,0),FALSE)</f>
        <v>0.3</v>
      </c>
      <c r="AG235" s="63">
        <f>IFERROR(VLOOKUP(B235,Miljö!$B$1:$AC$550,MATCH("Köpt mängd produktionsspecifik fjärrvärme:",Miljö!$B$1:$AC$1,0),FALSE)/1,0)</f>
        <v>0</v>
      </c>
      <c r="AI235" s="63">
        <f t="shared" si="18"/>
        <v>2.8029999999999999</v>
      </c>
      <c r="AJ235" s="63">
        <f>IF(ISERROR(1/VLOOKUP($B235,Leveranser!$B$1:$S$500,MATCH("såld värme (gwh)",Leveranser!$B$1:$S$1,0),FALSE)),"",VLOOKUP($B235,Leveranser!$B$1:$S$500,MATCH("såld värme (gwh)",Leveranser!$B$1:$S$1,0),FALSE))</f>
        <v>2.0699999999999998</v>
      </c>
      <c r="AM235" s="63" t="str">
        <f>IF(B235&lt;&gt;"",IF(VLOOKUP($B235,Totalt!$B$1:$AQ$554,MATCH("Kvalitetsgranskad:",Totalt!$B$1:$AQ$1,0),FALSE)="ja",VLOOKUP($B235,Miljö!$B$1:$AG$479,MATCH(AM$2,Miljö!$B$1:$AK$1,0),FALSE),""),"")</f>
        <v>Ja</v>
      </c>
      <c r="AN235" s="63" t="str">
        <f>IF(AM235="ja",VLOOKUP($B235,Miljö!$B$1:$J$479,MATCH("Typ av ursprungsspecificerad el   (Om inget värde anges används Nordisk residualmix, se inforuta) ()",Miljö!$B$1:$J$1,0),FALSE),IF(AM235="nej","Nordisk residualel",""))</f>
        <v>'100% förnybart'</v>
      </c>
      <c r="AO235" s="63">
        <f>IF(AM235="","",VLOOKUP($B235,Miljö!$B$1:$J$479,MATCH("Fossilandel för ursprungspecificerad el ()",Miljö!$B$1:$J$1,0),FALSE))</f>
        <v>0</v>
      </c>
      <c r="AQ235" s="63">
        <f t="shared" si="19"/>
        <v>1</v>
      </c>
      <c r="AS235" s="63" t="str">
        <f t="shared" si="20"/>
        <v>Nej</v>
      </c>
      <c r="AT235" s="63" t="str">
        <f>IF(AS235="ja",VLOOKUP($B235,Miljö!$B$1:$P$500,MATCH("Fossil andel i procent (%)",Miljö!$B$1:$P$1,0),FALSE)/100,"")</f>
        <v/>
      </c>
      <c r="AV235" s="63" t="str">
        <f t="shared" si="21"/>
        <v>Nej</v>
      </c>
      <c r="AW235" s="63" t="str">
        <f>IF(AV235="ja",VLOOKUP($B235,'Egen hetvattenprod'!$B$1:$AO$500,MATCH("Värmekälla till värmepumpar ()",'Egen hetvattenprod'!$B$1:$AO$1,0),FALSE),"")</f>
        <v/>
      </c>
      <c r="AY235" s="63" t="str">
        <f t="shared" si="22"/>
        <v>Nej</v>
      </c>
      <c r="AZ235" s="77" t="str">
        <f>IF($AY235="ja",(VLOOKUP($B235,'Egen hetvattenprod'!$B$1:$BX$550,MATCH(AZ$2,'Egen hetvattenprod'!$B$1:$BX$1,0),FALSE)+VLOOKUP($B235,Kraftvärmeprod!$B$1:$BX$550,MATCH(AZ$2,Kraftvärmeprod!$B$1:$BX$1,0),FALSE))/$AC235,"")</f>
        <v/>
      </c>
      <c r="BA235" s="77" t="str">
        <f>IF($AY235="ja",(VLOOKUP($B235,'Egen hetvattenprod'!$B$1:$BX$550,MATCH(BA$2,'Egen hetvattenprod'!$B$1:$BX$1,0),FALSE)+VLOOKUP($B235,Kraftvärmeprod!$B$1:$BX$550,MATCH(BA$2,Kraftvärmeprod!$B$1:$BX$1,0),FALSE))/$AC235,"")</f>
        <v/>
      </c>
      <c r="BB235" s="77" t="str">
        <f>IF($AY235="ja",(VLOOKUP($B235,'Egen hetvattenprod'!$B$1:$BX$550,MATCH(BB$2,'Egen hetvattenprod'!$B$1:$BX$1,0),FALSE)+VLOOKUP($B235,Kraftvärmeprod!$B$1:$BX$550,MATCH(BB$2,Kraftvärmeprod!$B$1:$BX$1,0),FALSE))/$AC235,"")</f>
        <v/>
      </c>
      <c r="BC235" s="77" t="str">
        <f>IF($AY235="ja",(VLOOKUP($B235,'Egen hetvattenprod'!$B$1:$BX$550,MATCH(BC$2,'Egen hetvattenprod'!$B$1:$BX$1,0),FALSE)+VLOOKUP($B235,Kraftvärmeprod!$B$1:$BX$550,MATCH(BC$2,Kraftvärmeprod!$B$1:$BX$1,0),FALSE))/$AC235,"")</f>
        <v/>
      </c>
      <c r="BD235" s="77" t="str">
        <f>IF($AY235="ja",(VLOOKUP($B235,'Egen hetvattenprod'!$B$1:$BX$550,MATCH(BD$2,'Egen hetvattenprod'!$B$1:$BX$1,0),FALSE)+VLOOKUP($B235,Kraftvärmeprod!$B$1:$BX$550,MATCH(BD$2,Kraftvärmeprod!$B$1:$BX$1,0),FALSE))/$AC235,"")</f>
        <v/>
      </c>
      <c r="BF235" s="63" t="str">
        <f t="shared" si="23"/>
        <v>Nej</v>
      </c>
      <c r="BG235" s="63" t="str">
        <f>IF($BF235="ja",VLOOKUP($B235,'Egen hetvattenprod'!$B$1:$BX$550,MATCH("Andelen klimatgaser med fossilt ursprung för avfall ()",'Egen hetvattenprod'!$B$1:$BX$1,0),FALSE),"")</f>
        <v/>
      </c>
      <c r="BH235" s="63" t="str">
        <f>IF($BF235="ja",VLOOKUP($B235,Kraftvärmeprod!$B$1:$BX$550,MATCH("Andelen klimatgaser med fossilt ursprung för avfall ()",Kraftvärmeprod!$B$1:$BX$1,0),FALSE),"")</f>
        <v/>
      </c>
      <c r="BI235" s="63" t="str">
        <f>IF($BF235="ja",VLOOKUP($B235,'Egen hetvattenprod'!$B$1:$BX$550,MATCH("Avfall (GWh)",'Egen hetvattenprod'!$B$1:$BX$1,0),FALSE),"")</f>
        <v/>
      </c>
      <c r="BJ235" s="63" t="str">
        <f>IF($BF235="ja",VLOOKUP($B235,'Slutlig allokering kvv'!$B$1:$BX$550,MATCH("Avfall (GWh)",'Slutlig allokering kvv'!$B$1:$BX$1,0),FALSE),"")</f>
        <v/>
      </c>
      <c r="BK235" s="63" t="str">
        <f>IF($BF235="ja",VLOOKUP($B235,'Köpt hetvatten'!$B$1:$BX$550,MATCH("Avfall i köpt hetvatten",'Köpt hetvatten'!$B$1:$BX$1,0),FALSE),"")</f>
        <v/>
      </c>
      <c r="BL235" s="63" t="str">
        <f>IF($BF235="ja",VLOOKUP($B235,'Egen hetvattenprod'!$B$1:$BX$550,MATCH("Värde enligt ovan. (%)",'Egen hetvattenprod'!$B$1:$BX$1,0),FALSE),"")</f>
        <v/>
      </c>
      <c r="BM235" s="63" t="str">
        <f>IF($BF235="ja",VLOOKUP($B235,Kraftvärmeprod!$B$1:$BX$550,MATCH("Värde enligt ovan. (%)",Kraftvärmeprod!$B$1:$BX$1,0),FALSE),"")</f>
        <v/>
      </c>
    </row>
    <row r="236" spans="1:65" x14ac:dyDescent="0.45">
      <c r="A236" s="63" t="s">
        <v>374</v>
      </c>
      <c r="B236" s="63" t="s">
        <v>373</v>
      </c>
      <c r="C236" s="63">
        <f>VLOOKUP($B236,'Tillförd energi'!$B$1:$AI$720,MATCH(C$2,'Tillförd energi'!$B$1:$AQ$1,0),FALSE)</f>
        <v>0</v>
      </c>
      <c r="D236" s="63">
        <f>VLOOKUP($B236,'Tillförd energi'!$B$1:$AI$720,MATCH(D$2,'Tillförd energi'!$B$1:$AQ$1,0),FALSE)</f>
        <v>0</v>
      </c>
      <c r="E236" s="63">
        <f>VLOOKUP($B236,'Tillförd energi'!$B$1:$AI$720,MATCH(E$2,'Tillförd energi'!$B$1:$AQ$1,0),FALSE)</f>
        <v>0</v>
      </c>
      <c r="F236" s="63">
        <f>VLOOKUP($B236,'Tillförd energi'!$B$1:$AI$720,MATCH(F$2,'Tillförd energi'!$B$1:$AQ$1,0),FALSE)</f>
        <v>0</v>
      </c>
      <c r="G236" s="63">
        <f>VLOOKUP($B236,'Tillförd energi'!$B$1:$AI$720,MATCH(G$2,'Tillförd energi'!$B$1:$AQ$1,0),FALSE)</f>
        <v>0</v>
      </c>
      <c r="H236" s="63">
        <f>VLOOKUP($B236,'Tillförd energi'!$B$1:$AI$720,MATCH(H$2,'Tillförd energi'!$B$1:$AQ$1,0),FALSE)</f>
        <v>0</v>
      </c>
      <c r="I236" s="63">
        <f>VLOOKUP($B236,'Tillförd energi'!$B$1:$AI$720,MATCH(I$2,'Tillförd energi'!$B$1:$AQ$1,0),FALSE)</f>
        <v>0</v>
      </c>
      <c r="J236" s="63">
        <f>VLOOKUP($B236,'Tillförd energi'!$B$1:$AI$720,MATCH(J$2,'Tillförd energi'!$B$1:$AQ$1,0),FALSE)</f>
        <v>0</v>
      </c>
      <c r="K236" s="63">
        <f>VLOOKUP($B236,'Tillförd energi'!$B$1:$AI$720,MATCH(K$2,'Tillförd energi'!$B$1:$AQ$1,0),FALSE)</f>
        <v>0</v>
      </c>
      <c r="L236" s="63">
        <f>VLOOKUP($B236,'Tillförd energi'!$B$1:$AI$720,MATCH(L$2,'Tillförd energi'!$B$1:$AQ$1,0),FALSE)</f>
        <v>0</v>
      </c>
      <c r="M236" s="63">
        <f>VLOOKUP($B236,'Tillförd energi'!$B$1:$AI$720,MATCH(M$2,'Tillförd energi'!$B$1:$AQ$1,0),FALSE)</f>
        <v>0</v>
      </c>
      <c r="N236" s="63">
        <f>VLOOKUP($B236,'Tillförd energi'!$B$1:$AI$720,MATCH(N$2,'Tillförd energi'!$B$1:$AQ$1,0),FALSE)</f>
        <v>0</v>
      </c>
      <c r="O236" s="63">
        <f>VLOOKUP($B236,'Tillförd energi'!$B$1:$AI$720,MATCH(O$2,'Tillförd energi'!$B$1:$AQ$1,0),FALSE)</f>
        <v>0</v>
      </c>
      <c r="P236" s="63">
        <f>VLOOKUP($B236,'Tillförd energi'!$B$1:$AI$720,MATCH(P$2,'Tillförd energi'!$B$1:$AQ$1,0),FALSE)</f>
        <v>0</v>
      </c>
      <c r="Q236" s="63">
        <f>VLOOKUP($B236,'Tillförd energi'!$B$1:$AI$720,MATCH(Q$2,'Tillförd energi'!$B$1:$AQ$1,0),FALSE)</f>
        <v>0</v>
      </c>
      <c r="R236" s="63">
        <f>VLOOKUP($B236,'Tillförd energi'!$B$1:$AI$720,MATCH(R$2,'Tillförd energi'!$B$1:$AQ$1,0),FALSE)</f>
        <v>0</v>
      </c>
      <c r="S236" s="63">
        <f>VLOOKUP($B236,'Tillförd energi'!$B$1:$AI$720,MATCH(S$2,'Tillförd energi'!$B$1:$AQ$1,0),FALSE)</f>
        <v>0</v>
      </c>
      <c r="T236" s="63">
        <f>VLOOKUP($B236,'Tillförd energi'!$B$1:$AI$720,MATCH(T$2,'Tillförd energi'!$B$1:$AQ$1,0),FALSE)</f>
        <v>0</v>
      </c>
      <c r="U236" s="63">
        <f>VLOOKUP($B236,'Tillförd energi'!$B$1:$AI$720,MATCH(U$2,'Tillförd energi'!$B$1:$AQ$1,0),FALSE)</f>
        <v>0</v>
      </c>
      <c r="V236" s="63">
        <f>VLOOKUP($B236,'Tillförd energi'!$B$1:$AI$720,MATCH(V$2,'Tillförd energi'!$B$1:$AQ$1,0),FALSE)</f>
        <v>0</v>
      </c>
      <c r="W236" s="63">
        <f>VLOOKUP($B236,'Tillförd energi'!$B$1:$AI$720,MATCH(W$2,'Tillförd energi'!$B$1:$AQ$1,0),FALSE)</f>
        <v>0</v>
      </c>
      <c r="X236" s="63">
        <f>VLOOKUP($B236,'Tillförd energi'!$B$1:$AI$720,MATCH(X$2,'Tillförd energi'!$B$1:$AQ$1,0),FALSE)</f>
        <v>0</v>
      </c>
      <c r="Y236" s="63">
        <f>VLOOKUP($B236,'Tillförd energi'!$B$1:$AI$720,MATCH(Y$2,'Tillförd energi'!$B$1:$AQ$1,0),FALSE)</f>
        <v>0</v>
      </c>
      <c r="Z236" s="63">
        <f>VLOOKUP($B236,'Tillförd energi'!$B$1:$AI$720,MATCH(Z$2,'Tillförd energi'!$B$1:$AQ$1,0),FALSE)</f>
        <v>0</v>
      </c>
      <c r="AA236" s="63">
        <f>VLOOKUP($B236,'Tillförd energi'!$B$1:$AI$720,MATCH(AA$2,'Tillförd energi'!$B$1:$AQ$1,0),FALSE)</f>
        <v>0</v>
      </c>
      <c r="AB236" s="63">
        <f>VLOOKUP($B236,'Tillförd energi'!$B$1:$AI$720,MATCH(AB$2,'Tillförd energi'!$B$1:$AQ$1,0),FALSE)</f>
        <v>0</v>
      </c>
      <c r="AC236" s="63">
        <f>VLOOKUP($B236,'Tillförd energi'!$B$1:$AI$720,MATCH(AC$2,'Tillförd energi'!$B$1:$AQ$1,0),FALSE)</f>
        <v>0</v>
      </c>
      <c r="AD236" s="63">
        <f>VLOOKUP($B236,'Tillförd energi'!$B$1:$AI$720,MATCH(AD$2,'Tillförd energi'!$B$1:$AQ$1,0),FALSE)</f>
        <v>0</v>
      </c>
      <c r="AE236" s="63">
        <f>VLOOKUP($B236,'Tillförd energi'!$B$1:$AI$720,MATCH(AE$2,'Tillförd energi'!$B$1:$AQ$1,0),FALSE)</f>
        <v>0</v>
      </c>
      <c r="AF236" s="63">
        <f>VLOOKUP($B236,'Tillförd energi'!$B$1:$AI$720,MATCH(AF$2,'Tillförd energi'!$B$1:$AQ$1,0),FALSE)</f>
        <v>0</v>
      </c>
      <c r="AG236" s="63">
        <f>IFERROR(VLOOKUP(B236,Miljö!$B$1:$AC$550,MATCH("Köpt mängd produktionsspecifik fjärrvärme:",Miljö!$B$1:$AC$1,0),FALSE)/1,0)</f>
        <v>0</v>
      </c>
      <c r="AI236" s="63">
        <f t="shared" si="18"/>
        <v>0</v>
      </c>
      <c r="AJ236" s="63" t="str">
        <f>IF(ISERROR(1/VLOOKUP($B236,Leveranser!$B$1:$S$500,MATCH("såld värme (gwh)",Leveranser!$B$1:$S$1,0),FALSE)),"",VLOOKUP($B236,Leveranser!$B$1:$S$500,MATCH("såld värme (gwh)",Leveranser!$B$1:$S$1,0),FALSE))</f>
        <v/>
      </c>
      <c r="AM236" s="63" t="str">
        <f>IF(B236&lt;&gt;"",IF(VLOOKUP($B236,Totalt!$B$1:$AQ$554,MATCH("Kvalitetsgranskad:",Totalt!$B$1:$AQ$1,0),FALSE)="ja",VLOOKUP($B236,Miljö!$B$1:$AG$479,MATCH(AM$2,Miljö!$B$1:$AK$1,0),FALSE),""),"")</f>
        <v/>
      </c>
      <c r="AN236" s="63" t="str">
        <f>IF(AM236="ja",VLOOKUP($B236,Miljö!$B$1:$J$479,MATCH("Typ av ursprungsspecificerad el   (Om inget värde anges används Nordisk residualmix, se inforuta) ()",Miljö!$B$1:$J$1,0),FALSE),IF(AM236="nej","Nordisk residualel",""))</f>
        <v/>
      </c>
      <c r="AO236" s="63" t="str">
        <f>IF(AM236="","",VLOOKUP($B236,Miljö!$B$1:$J$479,MATCH("Fossilandel för ursprungspecificerad el ()",Miljö!$B$1:$J$1,0),FALSE))</f>
        <v/>
      </c>
      <c r="AQ236" s="63" t="str">
        <f t="shared" si="19"/>
        <v/>
      </c>
      <c r="AS236" s="63" t="str">
        <f t="shared" si="20"/>
        <v>Nej</v>
      </c>
      <c r="AT236" s="63" t="str">
        <f>IF(AS236="ja",VLOOKUP($B236,Miljö!$B$1:$P$500,MATCH("Fossil andel i procent (%)",Miljö!$B$1:$P$1,0),FALSE)/100,"")</f>
        <v/>
      </c>
      <c r="AV236" s="63" t="str">
        <f t="shared" si="21"/>
        <v>Nej</v>
      </c>
      <c r="AW236" s="63" t="str">
        <f>IF(AV236="ja",VLOOKUP($B236,'Egen hetvattenprod'!$B$1:$AO$500,MATCH("Värmekälla till värmepumpar ()",'Egen hetvattenprod'!$B$1:$AO$1,0),FALSE),"")</f>
        <v/>
      </c>
      <c r="AY236" s="63" t="str">
        <f t="shared" si="22"/>
        <v>Nej</v>
      </c>
      <c r="AZ236" s="77" t="str">
        <f>IF($AY236="ja",(VLOOKUP($B236,'Egen hetvattenprod'!$B$1:$BX$550,MATCH(AZ$2,'Egen hetvattenprod'!$B$1:$BX$1,0),FALSE)+VLOOKUP($B236,Kraftvärmeprod!$B$1:$BX$550,MATCH(AZ$2,Kraftvärmeprod!$B$1:$BX$1,0),FALSE))/$AC236,"")</f>
        <v/>
      </c>
      <c r="BA236" s="77" t="str">
        <f>IF($AY236="ja",(VLOOKUP($B236,'Egen hetvattenprod'!$B$1:$BX$550,MATCH(BA$2,'Egen hetvattenprod'!$B$1:$BX$1,0),FALSE)+VLOOKUP($B236,Kraftvärmeprod!$B$1:$BX$550,MATCH(BA$2,Kraftvärmeprod!$B$1:$BX$1,0),FALSE))/$AC236,"")</f>
        <v/>
      </c>
      <c r="BB236" s="77" t="str">
        <f>IF($AY236="ja",(VLOOKUP($B236,'Egen hetvattenprod'!$B$1:$BX$550,MATCH(BB$2,'Egen hetvattenprod'!$B$1:$BX$1,0),FALSE)+VLOOKUP($B236,Kraftvärmeprod!$B$1:$BX$550,MATCH(BB$2,Kraftvärmeprod!$B$1:$BX$1,0),FALSE))/$AC236,"")</f>
        <v/>
      </c>
      <c r="BC236" s="77" t="str">
        <f>IF($AY236="ja",(VLOOKUP($B236,'Egen hetvattenprod'!$B$1:$BX$550,MATCH(BC$2,'Egen hetvattenprod'!$B$1:$BX$1,0),FALSE)+VLOOKUP($B236,Kraftvärmeprod!$B$1:$BX$550,MATCH(BC$2,Kraftvärmeprod!$B$1:$BX$1,0),FALSE))/$AC236,"")</f>
        <v/>
      </c>
      <c r="BD236" s="77" t="str">
        <f>IF($AY236="ja",(VLOOKUP($B236,'Egen hetvattenprod'!$B$1:$BX$550,MATCH(BD$2,'Egen hetvattenprod'!$B$1:$BX$1,0),FALSE)+VLOOKUP($B236,Kraftvärmeprod!$B$1:$BX$550,MATCH(BD$2,Kraftvärmeprod!$B$1:$BX$1,0),FALSE))/$AC236,"")</f>
        <v/>
      </c>
      <c r="BF236" s="63" t="str">
        <f t="shared" si="23"/>
        <v>Nej</v>
      </c>
      <c r="BG236" s="63" t="str">
        <f>IF($BF236="ja",VLOOKUP($B236,'Egen hetvattenprod'!$B$1:$BX$550,MATCH("Andelen klimatgaser med fossilt ursprung för avfall ()",'Egen hetvattenprod'!$B$1:$BX$1,0),FALSE),"")</f>
        <v/>
      </c>
      <c r="BH236" s="63" t="str">
        <f>IF($BF236="ja",VLOOKUP($B236,Kraftvärmeprod!$B$1:$BX$550,MATCH("Andelen klimatgaser med fossilt ursprung för avfall ()",Kraftvärmeprod!$B$1:$BX$1,0),FALSE),"")</f>
        <v/>
      </c>
      <c r="BI236" s="63" t="str">
        <f>IF($BF236="ja",VLOOKUP($B236,'Egen hetvattenprod'!$B$1:$BX$550,MATCH("Avfall (GWh)",'Egen hetvattenprod'!$B$1:$BX$1,0),FALSE),"")</f>
        <v/>
      </c>
      <c r="BJ236" s="63" t="str">
        <f>IF($BF236="ja",VLOOKUP($B236,'Slutlig allokering kvv'!$B$1:$BX$550,MATCH("Avfall (GWh)",'Slutlig allokering kvv'!$B$1:$BX$1,0),FALSE),"")</f>
        <v/>
      </c>
      <c r="BK236" s="63" t="str">
        <f>IF($BF236="ja",VLOOKUP($B236,'Köpt hetvatten'!$B$1:$BX$550,MATCH("Avfall i köpt hetvatten",'Köpt hetvatten'!$B$1:$BX$1,0),FALSE),"")</f>
        <v/>
      </c>
      <c r="BL236" s="63" t="str">
        <f>IF($BF236="ja",VLOOKUP($B236,'Egen hetvattenprod'!$B$1:$BX$550,MATCH("Värde enligt ovan. (%)",'Egen hetvattenprod'!$B$1:$BX$1,0),FALSE),"")</f>
        <v/>
      </c>
      <c r="BM236" s="63" t="str">
        <f>IF($BF236="ja",VLOOKUP($B236,Kraftvärmeprod!$B$1:$BX$550,MATCH("Värde enligt ovan. (%)",Kraftvärmeprod!$B$1:$BX$1,0),FALSE),"")</f>
        <v/>
      </c>
    </row>
    <row r="237" spans="1:65" x14ac:dyDescent="0.45">
      <c r="A237" s="63" t="s">
        <v>371</v>
      </c>
      <c r="B237" s="63" t="s">
        <v>372</v>
      </c>
      <c r="C237" s="63">
        <f>VLOOKUP($B237,'Tillförd energi'!$B$1:$AI$720,MATCH(C$2,'Tillförd energi'!$B$1:$AQ$1,0),FALSE)</f>
        <v>0</v>
      </c>
      <c r="D237" s="63">
        <f>VLOOKUP($B237,'Tillförd energi'!$B$1:$AI$720,MATCH(D$2,'Tillförd energi'!$B$1:$AQ$1,0),FALSE)</f>
        <v>0.1</v>
      </c>
      <c r="E237" s="63">
        <f>VLOOKUP($B237,'Tillförd energi'!$B$1:$AI$720,MATCH(E$2,'Tillförd energi'!$B$1:$AQ$1,0),FALSE)</f>
        <v>0</v>
      </c>
      <c r="F237" s="63">
        <f>VLOOKUP($B237,'Tillförd energi'!$B$1:$AI$720,MATCH(F$2,'Tillförd energi'!$B$1:$AQ$1,0),FALSE)</f>
        <v>0</v>
      </c>
      <c r="G237" s="63">
        <f>VLOOKUP($B237,'Tillförd energi'!$B$1:$AI$720,MATCH(G$2,'Tillförd energi'!$B$1:$AQ$1,0),FALSE)</f>
        <v>0</v>
      </c>
      <c r="H237" s="63">
        <f>VLOOKUP($B237,'Tillförd energi'!$B$1:$AI$720,MATCH(H$2,'Tillförd energi'!$B$1:$AQ$1,0),FALSE)</f>
        <v>0</v>
      </c>
      <c r="I237" s="63">
        <f>VLOOKUP($B237,'Tillförd energi'!$B$1:$AI$720,MATCH(I$2,'Tillförd energi'!$B$1:$AQ$1,0),FALSE)</f>
        <v>0</v>
      </c>
      <c r="J237" s="63">
        <f>VLOOKUP($B237,'Tillförd energi'!$B$1:$AI$720,MATCH(J$2,'Tillförd energi'!$B$1:$AQ$1,0),FALSE)</f>
        <v>0</v>
      </c>
      <c r="K237" s="63">
        <f>VLOOKUP($B237,'Tillförd energi'!$B$1:$AI$720,MATCH(K$2,'Tillförd energi'!$B$1:$AQ$1,0),FALSE)</f>
        <v>0</v>
      </c>
      <c r="L237" s="63">
        <f>VLOOKUP($B237,'Tillförd energi'!$B$1:$AI$720,MATCH(L$2,'Tillförd energi'!$B$1:$AQ$1,0),FALSE)</f>
        <v>0</v>
      </c>
      <c r="M237" s="63">
        <f>VLOOKUP($B237,'Tillförd energi'!$B$1:$AI$720,MATCH(M$2,'Tillförd energi'!$B$1:$AQ$1,0),FALSE)</f>
        <v>7</v>
      </c>
      <c r="N237" s="63">
        <f>VLOOKUP($B237,'Tillförd energi'!$B$1:$AI$720,MATCH(N$2,'Tillförd energi'!$B$1:$AQ$1,0),FALSE)</f>
        <v>5.3</v>
      </c>
      <c r="O237" s="63">
        <f>VLOOKUP($B237,'Tillförd energi'!$B$1:$AI$720,MATCH(O$2,'Tillförd energi'!$B$1:$AQ$1,0),FALSE)</f>
        <v>0</v>
      </c>
      <c r="P237" s="63">
        <f>VLOOKUP($B237,'Tillförd energi'!$B$1:$AI$720,MATCH(P$2,'Tillförd energi'!$B$1:$AQ$1,0),FALSE)</f>
        <v>5.3</v>
      </c>
      <c r="Q237" s="63">
        <f>VLOOKUP($B237,'Tillförd energi'!$B$1:$AI$720,MATCH(Q$2,'Tillförd energi'!$B$1:$AQ$1,0),FALSE)</f>
        <v>0</v>
      </c>
      <c r="R237" s="63">
        <f>VLOOKUP($B237,'Tillförd energi'!$B$1:$AI$720,MATCH(R$2,'Tillförd energi'!$B$1:$AQ$1,0),FALSE)</f>
        <v>1.7</v>
      </c>
      <c r="S237" s="63">
        <f>VLOOKUP($B237,'Tillförd energi'!$B$1:$AI$720,MATCH(S$2,'Tillförd energi'!$B$1:$AQ$1,0),FALSE)</f>
        <v>0</v>
      </c>
      <c r="T237" s="63">
        <f>VLOOKUP($B237,'Tillförd energi'!$B$1:$AI$720,MATCH(T$2,'Tillförd energi'!$B$1:$AQ$1,0),FALSE)</f>
        <v>0</v>
      </c>
      <c r="U237" s="63">
        <f>VLOOKUP($B237,'Tillförd energi'!$B$1:$AI$720,MATCH(U$2,'Tillförd energi'!$B$1:$AQ$1,0),FALSE)</f>
        <v>0</v>
      </c>
      <c r="V237" s="63">
        <f>VLOOKUP($B237,'Tillförd energi'!$B$1:$AI$720,MATCH(V$2,'Tillförd energi'!$B$1:$AQ$1,0),FALSE)</f>
        <v>0</v>
      </c>
      <c r="W237" s="63">
        <f>VLOOKUP($B237,'Tillförd energi'!$B$1:$AI$720,MATCH(W$2,'Tillförd energi'!$B$1:$AQ$1,0),FALSE)</f>
        <v>0</v>
      </c>
      <c r="X237" s="63">
        <f>VLOOKUP($B237,'Tillförd energi'!$B$1:$AI$720,MATCH(X$2,'Tillförd energi'!$B$1:$AQ$1,0),FALSE)</f>
        <v>0</v>
      </c>
      <c r="Y237" s="63">
        <f>VLOOKUP($B237,'Tillförd energi'!$B$1:$AI$720,MATCH(Y$2,'Tillförd energi'!$B$1:$AQ$1,0),FALSE)</f>
        <v>0</v>
      </c>
      <c r="Z237" s="63">
        <f>VLOOKUP($B237,'Tillförd energi'!$B$1:$AI$720,MATCH(Z$2,'Tillförd energi'!$B$1:$AQ$1,0),FALSE)</f>
        <v>0</v>
      </c>
      <c r="AA237" s="63">
        <f>VLOOKUP($B237,'Tillförd energi'!$B$1:$AI$720,MATCH(AA$2,'Tillförd energi'!$B$1:$AQ$1,0),FALSE)</f>
        <v>0</v>
      </c>
      <c r="AB237" s="63">
        <f>VLOOKUP($B237,'Tillförd energi'!$B$1:$AI$720,MATCH(AB$2,'Tillförd energi'!$B$1:$AQ$1,0),FALSE)</f>
        <v>0</v>
      </c>
      <c r="AC237" s="63">
        <f>VLOOKUP($B237,'Tillförd energi'!$B$1:$AI$720,MATCH(AC$2,'Tillförd energi'!$B$1:$AQ$1,0),FALSE)</f>
        <v>0</v>
      </c>
      <c r="AD237" s="63">
        <f>VLOOKUP($B237,'Tillförd energi'!$B$1:$AI$720,MATCH(AD$2,'Tillförd energi'!$B$1:$AQ$1,0),FALSE)</f>
        <v>0</v>
      </c>
      <c r="AE237" s="63">
        <f>VLOOKUP($B237,'Tillförd energi'!$B$1:$AI$720,MATCH(AE$2,'Tillförd energi'!$B$1:$AQ$1,0),FALSE)</f>
        <v>0</v>
      </c>
      <c r="AF237" s="63">
        <f>VLOOKUP($B237,'Tillförd energi'!$B$1:$AI$720,MATCH(AF$2,'Tillförd energi'!$B$1:$AQ$1,0),FALSE)</f>
        <v>0.42</v>
      </c>
      <c r="AG237" s="63">
        <f>IFERROR(VLOOKUP(B237,Miljö!$B$1:$AC$550,MATCH("Köpt mängd produktionsspecifik fjärrvärme:",Miljö!$B$1:$AC$1,0),FALSE)/1,0)</f>
        <v>0</v>
      </c>
      <c r="AI237" s="63">
        <f t="shared" si="18"/>
        <v>19.82</v>
      </c>
      <c r="AJ237" s="63">
        <f>IF(ISERROR(1/VLOOKUP($B237,Leveranser!$B$1:$S$500,MATCH("såld värme (gwh)",Leveranser!$B$1:$S$1,0),FALSE)),"",VLOOKUP($B237,Leveranser!$B$1:$S$500,MATCH("såld värme (gwh)",Leveranser!$B$1:$S$1,0),FALSE))</f>
        <v>13.4</v>
      </c>
      <c r="AM237" s="63" t="str">
        <f>IF(B237&lt;&gt;"",IF(VLOOKUP($B237,Totalt!$B$1:$AQ$554,MATCH("Kvalitetsgranskad:",Totalt!$B$1:$AQ$1,0),FALSE)="ja",VLOOKUP($B237,Miljö!$B$1:$AG$479,MATCH(AM$2,Miljö!$B$1:$AK$1,0),FALSE),""),"")</f>
        <v>Ja</v>
      </c>
      <c r="AN237" s="63" t="str">
        <f>IF(AM237="ja",VLOOKUP($B237,Miljö!$B$1:$J$479,MATCH("Typ av ursprungsspecificerad el   (Om inget värde anges används Nordisk residualmix, se inforuta) ()",Miljö!$B$1:$J$1,0),FALSE),IF(AM237="nej","Nordisk residualel",""))</f>
        <v>'Bra Miljöval'</v>
      </c>
      <c r="AO237" s="63">
        <f>IF(AM237="","",VLOOKUP($B237,Miljö!$B$1:$J$479,MATCH("Fossilandel för ursprungspecificerad el ()",Miljö!$B$1:$J$1,0),FALSE))</f>
        <v>0</v>
      </c>
      <c r="AQ237" s="63">
        <f t="shared" si="19"/>
        <v>1</v>
      </c>
      <c r="AS237" s="63" t="str">
        <f t="shared" si="20"/>
        <v>Nej</v>
      </c>
      <c r="AT237" s="63" t="str">
        <f>IF(AS237="ja",VLOOKUP($B237,Miljö!$B$1:$P$500,MATCH("Fossil andel i procent (%)",Miljö!$B$1:$P$1,0),FALSE)/100,"")</f>
        <v/>
      </c>
      <c r="AV237" s="63" t="str">
        <f t="shared" si="21"/>
        <v>Nej</v>
      </c>
      <c r="AW237" s="63" t="str">
        <f>IF(AV237="ja",VLOOKUP($B237,'Egen hetvattenprod'!$B$1:$AO$500,MATCH("Värmekälla till värmepumpar ()",'Egen hetvattenprod'!$B$1:$AO$1,0),FALSE),"")</f>
        <v/>
      </c>
      <c r="AY237" s="63" t="str">
        <f t="shared" si="22"/>
        <v>Nej</v>
      </c>
      <c r="AZ237" s="77" t="str">
        <f>IF($AY237="ja",(VLOOKUP($B237,'Egen hetvattenprod'!$B$1:$BX$550,MATCH(AZ$2,'Egen hetvattenprod'!$B$1:$BX$1,0),FALSE)+VLOOKUP($B237,Kraftvärmeprod!$B$1:$BX$550,MATCH(AZ$2,Kraftvärmeprod!$B$1:$BX$1,0),FALSE))/$AC237,"")</f>
        <v/>
      </c>
      <c r="BA237" s="77" t="str">
        <f>IF($AY237="ja",(VLOOKUP($B237,'Egen hetvattenprod'!$B$1:$BX$550,MATCH(BA$2,'Egen hetvattenprod'!$B$1:$BX$1,0),FALSE)+VLOOKUP($B237,Kraftvärmeprod!$B$1:$BX$550,MATCH(BA$2,Kraftvärmeprod!$B$1:$BX$1,0),FALSE))/$AC237,"")</f>
        <v/>
      </c>
      <c r="BB237" s="77" t="str">
        <f>IF($AY237="ja",(VLOOKUP($B237,'Egen hetvattenprod'!$B$1:$BX$550,MATCH(BB$2,'Egen hetvattenprod'!$B$1:$BX$1,0),FALSE)+VLOOKUP($B237,Kraftvärmeprod!$B$1:$BX$550,MATCH(BB$2,Kraftvärmeprod!$B$1:$BX$1,0),FALSE))/$AC237,"")</f>
        <v/>
      </c>
      <c r="BC237" s="77" t="str">
        <f>IF($AY237="ja",(VLOOKUP($B237,'Egen hetvattenprod'!$B$1:$BX$550,MATCH(BC$2,'Egen hetvattenprod'!$B$1:$BX$1,0),FALSE)+VLOOKUP($B237,Kraftvärmeprod!$B$1:$BX$550,MATCH(BC$2,Kraftvärmeprod!$B$1:$BX$1,0),FALSE))/$AC237,"")</f>
        <v/>
      </c>
      <c r="BD237" s="77" t="str">
        <f>IF($AY237="ja",(VLOOKUP($B237,'Egen hetvattenprod'!$B$1:$BX$550,MATCH(BD$2,'Egen hetvattenprod'!$B$1:$BX$1,0),FALSE)+VLOOKUP($B237,Kraftvärmeprod!$B$1:$BX$550,MATCH(BD$2,Kraftvärmeprod!$B$1:$BX$1,0),FALSE))/$AC237,"")</f>
        <v/>
      </c>
      <c r="BF237" s="63" t="str">
        <f t="shared" si="23"/>
        <v>Nej</v>
      </c>
      <c r="BG237" s="63" t="str">
        <f>IF($BF237="ja",VLOOKUP($B237,'Egen hetvattenprod'!$B$1:$BX$550,MATCH("Andelen klimatgaser med fossilt ursprung för avfall ()",'Egen hetvattenprod'!$B$1:$BX$1,0),FALSE),"")</f>
        <v/>
      </c>
      <c r="BH237" s="63" t="str">
        <f>IF($BF237="ja",VLOOKUP($B237,Kraftvärmeprod!$B$1:$BX$550,MATCH("Andelen klimatgaser med fossilt ursprung för avfall ()",Kraftvärmeprod!$B$1:$BX$1,0),FALSE),"")</f>
        <v/>
      </c>
      <c r="BI237" s="63" t="str">
        <f>IF($BF237="ja",VLOOKUP($B237,'Egen hetvattenprod'!$B$1:$BX$550,MATCH("Avfall (GWh)",'Egen hetvattenprod'!$B$1:$BX$1,0),FALSE),"")</f>
        <v/>
      </c>
      <c r="BJ237" s="63" t="str">
        <f>IF($BF237="ja",VLOOKUP($B237,'Slutlig allokering kvv'!$B$1:$BX$550,MATCH("Avfall (GWh)",'Slutlig allokering kvv'!$B$1:$BX$1,0),FALSE),"")</f>
        <v/>
      </c>
      <c r="BK237" s="63" t="str">
        <f>IF($BF237="ja",VLOOKUP($B237,'Köpt hetvatten'!$B$1:$BX$550,MATCH("Avfall i köpt hetvatten",'Köpt hetvatten'!$B$1:$BX$1,0),FALSE),"")</f>
        <v/>
      </c>
      <c r="BL237" s="63" t="str">
        <f>IF($BF237="ja",VLOOKUP($B237,'Egen hetvattenprod'!$B$1:$BX$550,MATCH("Värde enligt ovan. (%)",'Egen hetvattenprod'!$B$1:$BX$1,0),FALSE),"")</f>
        <v/>
      </c>
      <c r="BM237" s="63" t="str">
        <f>IF($BF237="ja",VLOOKUP($B237,Kraftvärmeprod!$B$1:$BX$550,MATCH("Värde enligt ovan. (%)",Kraftvärmeprod!$B$1:$BX$1,0),FALSE),"")</f>
        <v/>
      </c>
    </row>
    <row r="238" spans="1:65" x14ac:dyDescent="0.45">
      <c r="A238" s="63" t="s">
        <v>371</v>
      </c>
      <c r="B238" s="63" t="s">
        <v>370</v>
      </c>
      <c r="C238" s="63">
        <f>VLOOKUP($B238,'Tillförd energi'!$B$1:$AI$720,MATCH(C$2,'Tillförd energi'!$B$1:$AQ$1,0),FALSE)</f>
        <v>0</v>
      </c>
      <c r="D238" s="63">
        <f>VLOOKUP($B238,'Tillförd energi'!$B$1:$AI$720,MATCH(D$2,'Tillförd energi'!$B$1:$AQ$1,0),FALSE)</f>
        <v>1.4</v>
      </c>
      <c r="E238" s="63">
        <f>VLOOKUP($B238,'Tillförd energi'!$B$1:$AI$720,MATCH(E$2,'Tillförd energi'!$B$1:$AQ$1,0),FALSE)</f>
        <v>0</v>
      </c>
      <c r="F238" s="63">
        <f>VLOOKUP($B238,'Tillförd energi'!$B$1:$AI$720,MATCH(F$2,'Tillförd energi'!$B$1:$AQ$1,0),FALSE)</f>
        <v>0</v>
      </c>
      <c r="G238" s="63">
        <f>VLOOKUP($B238,'Tillförd energi'!$B$1:$AI$720,MATCH(G$2,'Tillförd energi'!$B$1:$AQ$1,0),FALSE)</f>
        <v>0</v>
      </c>
      <c r="H238" s="63">
        <f>VLOOKUP($B238,'Tillförd energi'!$B$1:$AI$720,MATCH(H$2,'Tillförd energi'!$B$1:$AQ$1,0),FALSE)</f>
        <v>0</v>
      </c>
      <c r="I238" s="63">
        <f>VLOOKUP($B238,'Tillförd energi'!$B$1:$AI$720,MATCH(I$2,'Tillförd energi'!$B$1:$AQ$1,0),FALSE)</f>
        <v>0</v>
      </c>
      <c r="J238" s="63">
        <f>VLOOKUP($B238,'Tillförd energi'!$B$1:$AI$720,MATCH(J$2,'Tillförd energi'!$B$1:$AQ$1,0),FALSE)</f>
        <v>0</v>
      </c>
      <c r="K238" s="63">
        <f>VLOOKUP($B238,'Tillförd energi'!$B$1:$AI$720,MATCH(K$2,'Tillförd energi'!$B$1:$AQ$1,0),FALSE)</f>
        <v>0</v>
      </c>
      <c r="L238" s="63">
        <f>VLOOKUP($B238,'Tillförd energi'!$B$1:$AI$720,MATCH(L$2,'Tillförd energi'!$B$1:$AQ$1,0),FALSE)</f>
        <v>0</v>
      </c>
      <c r="M238" s="63">
        <f>VLOOKUP($B238,'Tillförd energi'!$B$1:$AI$720,MATCH(M$2,'Tillförd energi'!$B$1:$AQ$1,0),FALSE)</f>
        <v>31.7363</v>
      </c>
      <c r="N238" s="63">
        <f>VLOOKUP($B238,'Tillförd energi'!$B$1:$AI$720,MATCH(N$2,'Tillförd energi'!$B$1:$AQ$1,0),FALSE)</f>
        <v>23.773199999999999</v>
      </c>
      <c r="O238" s="63">
        <f>VLOOKUP($B238,'Tillförd energi'!$B$1:$AI$720,MATCH(O$2,'Tillförd energi'!$B$1:$AQ$1,0),FALSE)</f>
        <v>0</v>
      </c>
      <c r="P238" s="63">
        <f>VLOOKUP($B238,'Tillförd energi'!$B$1:$AI$720,MATCH(P$2,'Tillförd energi'!$B$1:$AQ$1,0),FALSE)</f>
        <v>23.773199999999999</v>
      </c>
      <c r="Q238" s="63">
        <f>VLOOKUP($B238,'Tillförd energi'!$B$1:$AI$720,MATCH(Q$2,'Tillförd energi'!$B$1:$AQ$1,0),FALSE)</f>
        <v>0</v>
      </c>
      <c r="R238" s="63">
        <f>VLOOKUP($B238,'Tillförd energi'!$B$1:$AI$720,MATCH(R$2,'Tillförd energi'!$B$1:$AQ$1,0),FALSE)</f>
        <v>1.1000000000000001</v>
      </c>
      <c r="S238" s="63">
        <f>VLOOKUP($B238,'Tillförd energi'!$B$1:$AI$720,MATCH(S$2,'Tillförd energi'!$B$1:$AQ$1,0),FALSE)</f>
        <v>34.6</v>
      </c>
      <c r="T238" s="63">
        <f>VLOOKUP($B238,'Tillförd energi'!$B$1:$AI$720,MATCH(T$2,'Tillförd energi'!$B$1:$AQ$1,0),FALSE)</f>
        <v>0</v>
      </c>
      <c r="U238" s="63">
        <f>VLOOKUP($B238,'Tillförd energi'!$B$1:$AI$720,MATCH(U$2,'Tillförd energi'!$B$1:$AQ$1,0),FALSE)</f>
        <v>0</v>
      </c>
      <c r="V238" s="63">
        <f>VLOOKUP($B238,'Tillförd energi'!$B$1:$AI$720,MATCH(V$2,'Tillförd energi'!$B$1:$AQ$1,0),FALSE)</f>
        <v>0</v>
      </c>
      <c r="W238" s="63">
        <f>VLOOKUP($B238,'Tillförd energi'!$B$1:$AI$720,MATCH(W$2,'Tillförd energi'!$B$1:$AQ$1,0),FALSE)</f>
        <v>0</v>
      </c>
      <c r="X238" s="63">
        <f>VLOOKUP($B238,'Tillförd energi'!$B$1:$AI$720,MATCH(X$2,'Tillförd energi'!$B$1:$AQ$1,0),FALSE)</f>
        <v>0</v>
      </c>
      <c r="Y238" s="63">
        <f>VLOOKUP($B238,'Tillförd energi'!$B$1:$AI$720,MATCH(Y$2,'Tillförd energi'!$B$1:$AQ$1,0),FALSE)</f>
        <v>0</v>
      </c>
      <c r="Z238" s="63">
        <f>VLOOKUP($B238,'Tillförd energi'!$B$1:$AI$720,MATCH(Z$2,'Tillförd energi'!$B$1:$AQ$1,0),FALSE)</f>
        <v>0</v>
      </c>
      <c r="AA238" s="63">
        <f>VLOOKUP($B238,'Tillförd energi'!$B$1:$AI$720,MATCH(AA$2,'Tillförd energi'!$B$1:$AQ$1,0),FALSE)</f>
        <v>0</v>
      </c>
      <c r="AB238" s="63">
        <f>VLOOKUP($B238,'Tillförd energi'!$B$1:$AI$720,MATCH(AB$2,'Tillförd energi'!$B$1:$AQ$1,0),FALSE)</f>
        <v>0</v>
      </c>
      <c r="AC238" s="63">
        <f>VLOOKUP($B238,'Tillförd energi'!$B$1:$AI$720,MATCH(AC$2,'Tillförd energi'!$B$1:$AQ$1,0),FALSE)</f>
        <v>5.0999999999999996</v>
      </c>
      <c r="AD238" s="63">
        <f>VLOOKUP($B238,'Tillförd energi'!$B$1:$AI$720,MATCH(AD$2,'Tillförd energi'!$B$1:$AQ$1,0),FALSE)</f>
        <v>0</v>
      </c>
      <c r="AE238" s="63">
        <f>VLOOKUP($B238,'Tillförd energi'!$B$1:$AI$720,MATCH(AE$2,'Tillförd energi'!$B$1:$AQ$1,0),FALSE)</f>
        <v>0</v>
      </c>
      <c r="AF238" s="63">
        <f>VLOOKUP($B238,'Tillförd energi'!$B$1:$AI$720,MATCH(AF$2,'Tillförd energi'!$B$1:$AQ$1,0),FALSE)</f>
        <v>2.7705500000000001</v>
      </c>
      <c r="AG238" s="63">
        <f>IFERROR(VLOOKUP(B238,Miljö!$B$1:$AC$550,MATCH("Köpt mängd produktionsspecifik fjärrvärme:",Miljö!$B$1:$AC$1,0),FALSE)/1,0)</f>
        <v>0</v>
      </c>
      <c r="AI238" s="63">
        <f t="shared" si="18"/>
        <v>124.25324999999999</v>
      </c>
      <c r="AJ238" s="63">
        <f>IF(ISERROR(1/VLOOKUP($B238,Leveranser!$B$1:$S$500,MATCH("såld värme (gwh)",Leveranser!$B$1:$S$1,0),FALSE)),"",VLOOKUP($B238,Leveranser!$B$1:$S$500,MATCH("såld värme (gwh)",Leveranser!$B$1:$S$1,0),FALSE))</f>
        <v>99.5</v>
      </c>
      <c r="AM238" s="63" t="str">
        <f>IF(B238&lt;&gt;"",IF(VLOOKUP($B238,Totalt!$B$1:$AQ$554,MATCH("Kvalitetsgranskad:",Totalt!$B$1:$AQ$1,0),FALSE)="ja",VLOOKUP($B238,Miljö!$B$1:$AG$479,MATCH(AM$2,Miljö!$B$1:$AK$1,0),FALSE),""),"")</f>
        <v>Ja</v>
      </c>
      <c r="AN238" s="63" t="str">
        <f>IF(AM238="ja",VLOOKUP($B238,Miljö!$B$1:$J$479,MATCH("Typ av ursprungsspecificerad el   (Om inget värde anges används Nordisk residualmix, se inforuta) ()",Miljö!$B$1:$J$1,0),FALSE),IF(AM238="nej","Nordisk residualel",""))</f>
        <v>'Bra Miljöval'</v>
      </c>
      <c r="AO238" s="63">
        <f>IF(AM238="","",VLOOKUP($B238,Miljö!$B$1:$J$479,MATCH("Fossilandel för ursprungspecificerad el ()",Miljö!$B$1:$J$1,0),FALSE))</f>
        <v>0</v>
      </c>
      <c r="AQ238" s="63">
        <f t="shared" si="19"/>
        <v>1</v>
      </c>
      <c r="AS238" s="63" t="str">
        <f t="shared" si="20"/>
        <v>Nej</v>
      </c>
      <c r="AT238" s="63" t="str">
        <f>IF(AS238="ja",VLOOKUP($B238,Miljö!$B$1:$P$500,MATCH("Fossil andel i procent (%)",Miljö!$B$1:$P$1,0),FALSE)/100,"")</f>
        <v/>
      </c>
      <c r="AV238" s="63" t="str">
        <f t="shared" si="21"/>
        <v>Nej</v>
      </c>
      <c r="AW238" s="63" t="str">
        <f>IF(AV238="ja",VLOOKUP($B238,'Egen hetvattenprod'!$B$1:$AO$500,MATCH("Värmekälla till värmepumpar ()",'Egen hetvattenprod'!$B$1:$AO$1,0),FALSE),"")</f>
        <v/>
      </c>
      <c r="AY238" s="63" t="str">
        <f t="shared" si="22"/>
        <v>Ja</v>
      </c>
      <c r="AZ238" s="77">
        <f>IF($AY238="ja",(VLOOKUP($B238,'Egen hetvattenprod'!$B$1:$BX$550,MATCH(AZ$2,'Egen hetvattenprod'!$B$1:$BX$1,0),FALSE)+VLOOKUP($B238,Kraftvärmeprod!$B$1:$BX$550,MATCH(AZ$2,Kraftvärmeprod!$B$1:$BX$1,0),FALSE))/$AC238,"")</f>
        <v>1</v>
      </c>
      <c r="BA238" s="77">
        <f>IF($AY238="ja",(VLOOKUP($B238,'Egen hetvattenprod'!$B$1:$BX$550,MATCH(BA$2,'Egen hetvattenprod'!$B$1:$BX$1,0),FALSE)+VLOOKUP($B238,Kraftvärmeprod!$B$1:$BX$550,MATCH(BA$2,Kraftvärmeprod!$B$1:$BX$1,0),FALSE))/$AC238,"")</f>
        <v>0</v>
      </c>
      <c r="BB238" s="77">
        <f>IF($AY238="ja",(VLOOKUP($B238,'Egen hetvattenprod'!$B$1:$BX$550,MATCH(BB$2,'Egen hetvattenprod'!$B$1:$BX$1,0),FALSE)+VLOOKUP($B238,Kraftvärmeprod!$B$1:$BX$550,MATCH(BB$2,Kraftvärmeprod!$B$1:$BX$1,0),FALSE))/$AC238,"")</f>
        <v>0</v>
      </c>
      <c r="BC238" s="77">
        <f>IF($AY238="ja",(VLOOKUP($B238,'Egen hetvattenprod'!$B$1:$BX$550,MATCH(BC$2,'Egen hetvattenprod'!$B$1:$BX$1,0),FALSE)+VLOOKUP($B238,Kraftvärmeprod!$B$1:$BX$550,MATCH(BC$2,Kraftvärmeprod!$B$1:$BX$1,0),FALSE))/$AC238,"")</f>
        <v>0</v>
      </c>
      <c r="BD238" s="77">
        <f>IF($AY238="ja",(VLOOKUP($B238,'Egen hetvattenprod'!$B$1:$BX$550,MATCH(BD$2,'Egen hetvattenprod'!$B$1:$BX$1,0),FALSE)+VLOOKUP($B238,Kraftvärmeprod!$B$1:$BX$550,MATCH(BD$2,Kraftvärmeprod!$B$1:$BX$1,0),FALSE))/$AC238,"")</f>
        <v>0</v>
      </c>
      <c r="BF238" s="63" t="str">
        <f t="shared" si="23"/>
        <v>Nej</v>
      </c>
      <c r="BG238" s="63" t="str">
        <f>IF($BF238="ja",VLOOKUP($B238,'Egen hetvattenprod'!$B$1:$BX$550,MATCH("Andelen klimatgaser med fossilt ursprung för avfall ()",'Egen hetvattenprod'!$B$1:$BX$1,0),FALSE),"")</f>
        <v/>
      </c>
      <c r="BH238" s="63" t="str">
        <f>IF($BF238="ja",VLOOKUP($B238,Kraftvärmeprod!$B$1:$BX$550,MATCH("Andelen klimatgaser med fossilt ursprung för avfall ()",Kraftvärmeprod!$B$1:$BX$1,0),FALSE),"")</f>
        <v/>
      </c>
      <c r="BI238" s="63" t="str">
        <f>IF($BF238="ja",VLOOKUP($B238,'Egen hetvattenprod'!$B$1:$BX$550,MATCH("Avfall (GWh)",'Egen hetvattenprod'!$B$1:$BX$1,0),FALSE),"")</f>
        <v/>
      </c>
      <c r="BJ238" s="63" t="str">
        <f>IF($BF238="ja",VLOOKUP($B238,'Slutlig allokering kvv'!$B$1:$BX$550,MATCH("Avfall (GWh)",'Slutlig allokering kvv'!$B$1:$BX$1,0),FALSE),"")</f>
        <v/>
      </c>
      <c r="BK238" s="63" t="str">
        <f>IF($BF238="ja",VLOOKUP($B238,'Köpt hetvatten'!$B$1:$BX$550,MATCH("Avfall i köpt hetvatten",'Köpt hetvatten'!$B$1:$BX$1,0),FALSE),"")</f>
        <v/>
      </c>
      <c r="BL238" s="63" t="str">
        <f>IF($BF238="ja",VLOOKUP($B238,'Egen hetvattenprod'!$B$1:$BX$550,MATCH("Värde enligt ovan. (%)",'Egen hetvattenprod'!$B$1:$BX$1,0),FALSE),"")</f>
        <v/>
      </c>
      <c r="BM238" s="63" t="str">
        <f>IF($BF238="ja",VLOOKUP($B238,Kraftvärmeprod!$B$1:$BX$550,MATCH("Värde enligt ovan. (%)",Kraftvärmeprod!$B$1:$BX$1,0),FALSE),"")</f>
        <v/>
      </c>
    </row>
    <row r="239" spans="1:65" x14ac:dyDescent="0.45">
      <c r="A239" s="63" t="s">
        <v>369</v>
      </c>
      <c r="B239" s="63" t="s">
        <v>368</v>
      </c>
      <c r="C239" s="63">
        <f>VLOOKUP($B239,'Tillförd energi'!$B$1:$AI$720,MATCH(C$2,'Tillförd energi'!$B$1:$AQ$1,0),FALSE)</f>
        <v>0</v>
      </c>
      <c r="D239" s="63">
        <f>VLOOKUP($B239,'Tillförd energi'!$B$1:$AI$720,MATCH(D$2,'Tillförd energi'!$B$1:$AQ$1,0),FALSE)</f>
        <v>0</v>
      </c>
      <c r="E239" s="63">
        <f>VLOOKUP($B239,'Tillförd energi'!$B$1:$AI$720,MATCH(E$2,'Tillförd energi'!$B$1:$AQ$1,0),FALSE)</f>
        <v>0</v>
      </c>
      <c r="F239" s="63">
        <f>VLOOKUP($B239,'Tillförd energi'!$B$1:$AI$720,MATCH(F$2,'Tillförd energi'!$B$1:$AQ$1,0),FALSE)</f>
        <v>0.4</v>
      </c>
      <c r="G239" s="63">
        <f>VLOOKUP($B239,'Tillförd energi'!$B$1:$AI$720,MATCH(G$2,'Tillförd energi'!$B$1:$AQ$1,0),FALSE)</f>
        <v>0</v>
      </c>
      <c r="H239" s="63">
        <f>VLOOKUP($B239,'Tillförd energi'!$B$1:$AI$720,MATCH(H$2,'Tillförd energi'!$B$1:$AQ$1,0),FALSE)</f>
        <v>0</v>
      </c>
      <c r="I239" s="63">
        <f>VLOOKUP($B239,'Tillförd energi'!$B$1:$AI$720,MATCH(I$2,'Tillförd energi'!$B$1:$AQ$1,0),FALSE)</f>
        <v>0</v>
      </c>
      <c r="J239" s="63">
        <f>VLOOKUP($B239,'Tillförd energi'!$B$1:$AI$720,MATCH(J$2,'Tillförd energi'!$B$1:$AQ$1,0),FALSE)</f>
        <v>0</v>
      </c>
      <c r="K239" s="63">
        <f>VLOOKUP($B239,'Tillförd energi'!$B$1:$AI$720,MATCH(K$2,'Tillförd energi'!$B$1:$AQ$1,0),FALSE)</f>
        <v>0</v>
      </c>
      <c r="L239" s="63">
        <f>VLOOKUP($B239,'Tillförd energi'!$B$1:$AI$720,MATCH(L$2,'Tillförd energi'!$B$1:$AQ$1,0),FALSE)</f>
        <v>0</v>
      </c>
      <c r="M239" s="63">
        <f>VLOOKUP($B239,'Tillförd energi'!$B$1:$AI$720,MATCH(M$2,'Tillförd energi'!$B$1:$AQ$1,0),FALSE)</f>
        <v>23.3</v>
      </c>
      <c r="N239" s="63">
        <f>VLOOKUP($B239,'Tillförd energi'!$B$1:$AI$720,MATCH(N$2,'Tillförd energi'!$B$1:$AQ$1,0),FALSE)</f>
        <v>8.5</v>
      </c>
      <c r="O239" s="63">
        <f>VLOOKUP($B239,'Tillförd energi'!$B$1:$AI$720,MATCH(O$2,'Tillförd energi'!$B$1:$AQ$1,0),FALSE)</f>
        <v>3.3</v>
      </c>
      <c r="P239" s="63">
        <f>VLOOKUP($B239,'Tillförd energi'!$B$1:$AI$720,MATCH(P$2,'Tillförd energi'!$B$1:$AQ$1,0),FALSE)</f>
        <v>18.8</v>
      </c>
      <c r="Q239" s="63">
        <f>VLOOKUP($B239,'Tillförd energi'!$B$1:$AI$720,MATCH(Q$2,'Tillförd energi'!$B$1:$AQ$1,0),FALSE)</f>
        <v>0</v>
      </c>
      <c r="R239" s="63">
        <f>VLOOKUP($B239,'Tillförd energi'!$B$1:$AI$720,MATCH(R$2,'Tillförd energi'!$B$1:$AQ$1,0),FALSE)</f>
        <v>0</v>
      </c>
      <c r="S239" s="63">
        <f>VLOOKUP($B239,'Tillförd energi'!$B$1:$AI$720,MATCH(S$2,'Tillförd energi'!$B$1:$AQ$1,0),FALSE)</f>
        <v>0</v>
      </c>
      <c r="T239" s="63">
        <f>VLOOKUP($B239,'Tillförd energi'!$B$1:$AI$720,MATCH(T$2,'Tillförd energi'!$B$1:$AQ$1,0),FALSE)</f>
        <v>0</v>
      </c>
      <c r="U239" s="63">
        <f>VLOOKUP($B239,'Tillförd energi'!$B$1:$AI$720,MATCH(U$2,'Tillförd energi'!$B$1:$AQ$1,0),FALSE)</f>
        <v>0</v>
      </c>
      <c r="V239" s="63">
        <f>VLOOKUP($B239,'Tillförd energi'!$B$1:$AI$720,MATCH(V$2,'Tillförd energi'!$B$1:$AQ$1,0),FALSE)</f>
        <v>0</v>
      </c>
      <c r="W239" s="63">
        <f>VLOOKUP($B239,'Tillförd energi'!$B$1:$AI$720,MATCH(W$2,'Tillförd energi'!$B$1:$AQ$1,0),FALSE)</f>
        <v>0</v>
      </c>
      <c r="X239" s="63">
        <f>VLOOKUP($B239,'Tillförd energi'!$B$1:$AI$720,MATCH(X$2,'Tillförd energi'!$B$1:$AQ$1,0),FALSE)</f>
        <v>0</v>
      </c>
      <c r="Y239" s="63">
        <f>VLOOKUP($B239,'Tillförd energi'!$B$1:$AI$720,MATCH(Y$2,'Tillförd energi'!$B$1:$AQ$1,0),FALSE)</f>
        <v>0</v>
      </c>
      <c r="Z239" s="63">
        <f>VLOOKUP($B239,'Tillförd energi'!$B$1:$AI$720,MATCH(Z$2,'Tillförd energi'!$B$1:$AQ$1,0),FALSE)</f>
        <v>0</v>
      </c>
      <c r="AA239" s="63">
        <f>VLOOKUP($B239,'Tillförd energi'!$B$1:$AI$720,MATCH(AA$2,'Tillförd energi'!$B$1:$AQ$1,0),FALSE)</f>
        <v>0</v>
      </c>
      <c r="AB239" s="63">
        <f>VLOOKUP($B239,'Tillförd energi'!$B$1:$AI$720,MATCH(AB$2,'Tillförd energi'!$B$1:$AQ$1,0),FALSE)</f>
        <v>0</v>
      </c>
      <c r="AC239" s="63">
        <f>VLOOKUP($B239,'Tillförd energi'!$B$1:$AI$720,MATCH(AC$2,'Tillförd energi'!$B$1:$AQ$1,0),FALSE)</f>
        <v>8.6999999999999993</v>
      </c>
      <c r="AD239" s="63">
        <f>VLOOKUP($B239,'Tillförd energi'!$B$1:$AI$720,MATCH(AD$2,'Tillförd energi'!$B$1:$AQ$1,0),FALSE)</f>
        <v>0</v>
      </c>
      <c r="AE239" s="63">
        <f>VLOOKUP($B239,'Tillförd energi'!$B$1:$AI$720,MATCH(AE$2,'Tillförd energi'!$B$1:$AQ$1,0),FALSE)</f>
        <v>0</v>
      </c>
      <c r="AF239" s="63">
        <f>VLOOKUP($B239,'Tillförd energi'!$B$1:$AI$720,MATCH(AF$2,'Tillförd energi'!$B$1:$AQ$1,0),FALSE)</f>
        <v>1.6</v>
      </c>
      <c r="AG239" s="63">
        <f>IFERROR(VLOOKUP(B239,Miljö!$B$1:$AC$550,MATCH("Köpt mängd produktionsspecifik fjärrvärme:",Miljö!$B$1:$AC$1,0),FALSE)/1,0)</f>
        <v>0</v>
      </c>
      <c r="AI239" s="63">
        <f t="shared" si="18"/>
        <v>64.599999999999994</v>
      </c>
      <c r="AJ239" s="63">
        <f>IF(ISERROR(1/VLOOKUP($B239,Leveranser!$B$1:$S$500,MATCH("såld värme (gwh)",Leveranser!$B$1:$S$1,0),FALSE)),"",VLOOKUP($B239,Leveranser!$B$1:$S$500,MATCH("såld värme (gwh)",Leveranser!$B$1:$S$1,0),FALSE))</f>
        <v>44.7</v>
      </c>
      <c r="AM239" s="63" t="str">
        <f>IF(B239&lt;&gt;"",IF(VLOOKUP($B239,Totalt!$B$1:$AQ$554,MATCH("Kvalitetsgranskad:",Totalt!$B$1:$AQ$1,0),FALSE)="ja",VLOOKUP($B239,Miljö!$B$1:$AG$479,MATCH(AM$2,Miljö!$B$1:$AK$1,0),FALSE),""),"")</f>
        <v>Ja</v>
      </c>
      <c r="AN239" s="63" t="str">
        <f>IF(AM239="ja",VLOOKUP($B239,Miljö!$B$1:$J$479,MATCH("Typ av ursprungsspecificerad el   (Om inget värde anges används Nordisk residualmix, se inforuta) ()",Miljö!$B$1:$J$1,0),FALSE),IF(AM239="nej","Nordisk residualel",""))</f>
        <v>-</v>
      </c>
      <c r="AO239" s="63">
        <f>IF(AM239="","",VLOOKUP($B239,Miljö!$B$1:$J$479,MATCH("Fossilandel för ursprungspecificerad el ()",Miljö!$B$1:$J$1,0),FALSE))</f>
        <v>0.35</v>
      </c>
      <c r="AQ239" s="63">
        <f t="shared" si="19"/>
        <v>0.65</v>
      </c>
      <c r="AS239" s="63" t="str">
        <f t="shared" si="20"/>
        <v>Nej</v>
      </c>
      <c r="AT239" s="63" t="str">
        <f>IF(AS239="ja",VLOOKUP($B239,Miljö!$B$1:$P$500,MATCH("Fossil andel i procent (%)",Miljö!$B$1:$P$1,0),FALSE)/100,"")</f>
        <v/>
      </c>
      <c r="AV239" s="63" t="str">
        <f t="shared" si="21"/>
        <v>Nej</v>
      </c>
      <c r="AW239" s="63" t="str">
        <f>IF(AV239="ja",VLOOKUP($B239,'Egen hetvattenprod'!$B$1:$AO$500,MATCH("Värmekälla till värmepumpar ()",'Egen hetvattenprod'!$B$1:$AO$1,0),FALSE),"")</f>
        <v/>
      </c>
      <c r="AY239" s="63" t="str">
        <f t="shared" si="22"/>
        <v>Ja</v>
      </c>
      <c r="AZ239" s="77">
        <f>IF($AY239="ja",(VLOOKUP($B239,'Egen hetvattenprod'!$B$1:$BX$550,MATCH(AZ$2,'Egen hetvattenprod'!$B$1:$BX$1,0),FALSE)+VLOOKUP($B239,Kraftvärmeprod!$B$1:$BX$550,MATCH(AZ$2,Kraftvärmeprod!$B$1:$BX$1,0),FALSE))/$AC239,"")</f>
        <v>1</v>
      </c>
      <c r="BA239" s="77">
        <f>IF($AY239="ja",(VLOOKUP($B239,'Egen hetvattenprod'!$B$1:$BX$550,MATCH(BA$2,'Egen hetvattenprod'!$B$1:$BX$1,0),FALSE)+VLOOKUP($B239,Kraftvärmeprod!$B$1:$BX$550,MATCH(BA$2,Kraftvärmeprod!$B$1:$BX$1,0),FALSE))/$AC239,"")</f>
        <v>0</v>
      </c>
      <c r="BB239" s="77">
        <f>IF($AY239="ja",(VLOOKUP($B239,'Egen hetvattenprod'!$B$1:$BX$550,MATCH(BB$2,'Egen hetvattenprod'!$B$1:$BX$1,0),FALSE)+VLOOKUP($B239,Kraftvärmeprod!$B$1:$BX$550,MATCH(BB$2,Kraftvärmeprod!$B$1:$BX$1,0),FALSE))/$AC239,"")</f>
        <v>0</v>
      </c>
      <c r="BC239" s="77">
        <f>IF($AY239="ja",(VLOOKUP($B239,'Egen hetvattenprod'!$B$1:$BX$550,MATCH(BC$2,'Egen hetvattenprod'!$B$1:$BX$1,0),FALSE)+VLOOKUP($B239,Kraftvärmeprod!$B$1:$BX$550,MATCH(BC$2,Kraftvärmeprod!$B$1:$BX$1,0),FALSE))/$AC239,"")</f>
        <v>0</v>
      </c>
      <c r="BD239" s="77">
        <f>IF($AY239="ja",(VLOOKUP($B239,'Egen hetvattenprod'!$B$1:$BX$550,MATCH(BD$2,'Egen hetvattenprod'!$B$1:$BX$1,0),FALSE)+VLOOKUP($B239,Kraftvärmeprod!$B$1:$BX$550,MATCH(BD$2,Kraftvärmeprod!$B$1:$BX$1,0),FALSE))/$AC239,"")</f>
        <v>0</v>
      </c>
      <c r="BF239" s="63" t="str">
        <f t="shared" si="23"/>
        <v>Nej</v>
      </c>
      <c r="BG239" s="63" t="str">
        <f>IF($BF239="ja",VLOOKUP($B239,'Egen hetvattenprod'!$B$1:$BX$550,MATCH("Andelen klimatgaser med fossilt ursprung för avfall ()",'Egen hetvattenprod'!$B$1:$BX$1,0),FALSE),"")</f>
        <v/>
      </c>
      <c r="BH239" s="63" t="str">
        <f>IF($BF239="ja",VLOOKUP($B239,Kraftvärmeprod!$B$1:$BX$550,MATCH("Andelen klimatgaser med fossilt ursprung för avfall ()",Kraftvärmeprod!$B$1:$BX$1,0),FALSE),"")</f>
        <v/>
      </c>
      <c r="BI239" s="63" t="str">
        <f>IF($BF239="ja",VLOOKUP($B239,'Egen hetvattenprod'!$B$1:$BX$550,MATCH("Avfall (GWh)",'Egen hetvattenprod'!$B$1:$BX$1,0),FALSE),"")</f>
        <v/>
      </c>
      <c r="BJ239" s="63" t="str">
        <f>IF($BF239="ja",VLOOKUP($B239,'Slutlig allokering kvv'!$B$1:$BX$550,MATCH("Avfall (GWh)",'Slutlig allokering kvv'!$B$1:$BX$1,0),FALSE),"")</f>
        <v/>
      </c>
      <c r="BK239" s="63" t="str">
        <f>IF($BF239="ja",VLOOKUP($B239,'Köpt hetvatten'!$B$1:$BX$550,MATCH("Avfall i köpt hetvatten",'Köpt hetvatten'!$B$1:$BX$1,0),FALSE),"")</f>
        <v/>
      </c>
      <c r="BL239" s="63" t="str">
        <f>IF($BF239="ja",VLOOKUP($B239,'Egen hetvattenprod'!$B$1:$BX$550,MATCH("Värde enligt ovan. (%)",'Egen hetvattenprod'!$B$1:$BX$1,0),FALSE),"")</f>
        <v/>
      </c>
      <c r="BM239" s="63" t="str">
        <f>IF($BF239="ja",VLOOKUP($B239,Kraftvärmeprod!$B$1:$BX$550,MATCH("Värde enligt ovan. (%)",Kraftvärmeprod!$B$1:$BX$1,0),FALSE),"")</f>
        <v/>
      </c>
    </row>
    <row r="240" spans="1:65" x14ac:dyDescent="0.45">
      <c r="A240" s="63" t="s">
        <v>367</v>
      </c>
      <c r="B240" s="63" t="s">
        <v>366</v>
      </c>
      <c r="C240" s="63">
        <f>VLOOKUP($B240,'Tillförd energi'!$B$1:$AI$720,MATCH(C$2,'Tillförd energi'!$B$1:$AQ$1,0),FALSE)</f>
        <v>0</v>
      </c>
      <c r="D240" s="63">
        <f>VLOOKUP($B240,'Tillförd energi'!$B$1:$AI$720,MATCH(D$2,'Tillförd energi'!$B$1:$AQ$1,0),FALSE)</f>
        <v>0</v>
      </c>
      <c r="E240" s="63">
        <f>VLOOKUP($B240,'Tillförd energi'!$B$1:$AI$720,MATCH(E$2,'Tillförd energi'!$B$1:$AQ$1,0),FALSE)</f>
        <v>0</v>
      </c>
      <c r="F240" s="63">
        <f>VLOOKUP($B240,'Tillförd energi'!$B$1:$AI$720,MATCH(F$2,'Tillförd energi'!$B$1:$AQ$1,0),FALSE)</f>
        <v>0</v>
      </c>
      <c r="G240" s="63">
        <f>VLOOKUP($B240,'Tillförd energi'!$B$1:$AI$720,MATCH(G$2,'Tillförd energi'!$B$1:$AQ$1,0),FALSE)</f>
        <v>0</v>
      </c>
      <c r="H240" s="63">
        <f>VLOOKUP($B240,'Tillförd energi'!$B$1:$AI$720,MATCH(H$2,'Tillförd energi'!$B$1:$AQ$1,0),FALSE)</f>
        <v>0</v>
      </c>
      <c r="I240" s="63">
        <f>VLOOKUP($B240,'Tillförd energi'!$B$1:$AI$720,MATCH(I$2,'Tillförd energi'!$B$1:$AQ$1,0),FALSE)</f>
        <v>0</v>
      </c>
      <c r="J240" s="63">
        <f>VLOOKUP($B240,'Tillförd energi'!$B$1:$AI$720,MATCH(J$2,'Tillförd energi'!$B$1:$AQ$1,0),FALSE)</f>
        <v>2.0811999999999999</v>
      </c>
      <c r="K240" s="63">
        <f>VLOOKUP($B240,'Tillförd energi'!$B$1:$AI$720,MATCH(K$2,'Tillförd energi'!$B$1:$AQ$1,0),FALSE)</f>
        <v>0</v>
      </c>
      <c r="L240" s="63">
        <f>VLOOKUP($B240,'Tillförd energi'!$B$1:$AI$720,MATCH(L$2,'Tillförd energi'!$B$1:$AQ$1,0),FALSE)</f>
        <v>3.1898300000000002</v>
      </c>
      <c r="M240" s="63">
        <f>VLOOKUP($B240,'Tillförd energi'!$B$1:$AI$720,MATCH(M$2,'Tillförd energi'!$B$1:$AQ$1,0),FALSE)</f>
        <v>0</v>
      </c>
      <c r="N240" s="63">
        <f>VLOOKUP($B240,'Tillförd energi'!$B$1:$AI$720,MATCH(N$2,'Tillförd energi'!$B$1:$AQ$1,0),FALSE)</f>
        <v>34.091799999999999</v>
      </c>
      <c r="O240" s="63">
        <f>VLOOKUP($B240,'Tillförd energi'!$B$1:$AI$720,MATCH(O$2,'Tillförd energi'!$B$1:$AQ$1,0),FALSE)</f>
        <v>9.8944899999999993</v>
      </c>
      <c r="P240" s="63">
        <f>VLOOKUP($B240,'Tillförd energi'!$B$1:$AI$720,MATCH(P$2,'Tillförd energi'!$B$1:$AQ$1,0),FALSE)</f>
        <v>35.645400000000002</v>
      </c>
      <c r="Q240" s="63">
        <f>VLOOKUP($B240,'Tillförd energi'!$B$1:$AI$720,MATCH(Q$2,'Tillförd energi'!$B$1:$AQ$1,0),FALSE)</f>
        <v>12.294499999999999</v>
      </c>
      <c r="R240" s="63">
        <f>VLOOKUP($B240,'Tillförd energi'!$B$1:$AI$720,MATCH(R$2,'Tillförd energi'!$B$1:$AQ$1,0),FALSE)</f>
        <v>56.333500000000001</v>
      </c>
      <c r="S240" s="63">
        <f>VLOOKUP($B240,'Tillförd energi'!$B$1:$AI$720,MATCH(S$2,'Tillförd energi'!$B$1:$AQ$1,0),FALSE)</f>
        <v>0</v>
      </c>
      <c r="T240" s="63">
        <f>VLOOKUP($B240,'Tillförd energi'!$B$1:$AI$720,MATCH(T$2,'Tillförd energi'!$B$1:$AQ$1,0),FALSE)</f>
        <v>0</v>
      </c>
      <c r="U240" s="63">
        <f>VLOOKUP($B240,'Tillförd energi'!$B$1:$AI$720,MATCH(U$2,'Tillförd energi'!$B$1:$AQ$1,0),FALSE)</f>
        <v>0</v>
      </c>
      <c r="V240" s="63">
        <f>VLOOKUP($B240,'Tillförd energi'!$B$1:$AI$720,MATCH(V$2,'Tillförd energi'!$B$1:$AQ$1,0),FALSE)</f>
        <v>0</v>
      </c>
      <c r="W240" s="63">
        <f>VLOOKUP($B240,'Tillförd energi'!$B$1:$AI$720,MATCH(W$2,'Tillförd energi'!$B$1:$AQ$1,0),FALSE)</f>
        <v>6.0784700000000003</v>
      </c>
      <c r="X240" s="63">
        <f>VLOOKUP($B240,'Tillförd energi'!$B$1:$AI$720,MATCH(X$2,'Tillförd energi'!$B$1:$AQ$1,0),FALSE)</f>
        <v>0</v>
      </c>
      <c r="Y240" s="63">
        <f>VLOOKUP($B240,'Tillförd energi'!$B$1:$AI$720,MATCH(Y$2,'Tillförd energi'!$B$1:$AQ$1,0),FALSE)</f>
        <v>0</v>
      </c>
      <c r="Z240" s="63">
        <f>VLOOKUP($B240,'Tillförd energi'!$B$1:$AI$720,MATCH(Z$2,'Tillförd energi'!$B$1:$AQ$1,0),FALSE)</f>
        <v>0.17779</v>
      </c>
      <c r="AA240" s="63">
        <f>VLOOKUP($B240,'Tillförd energi'!$B$1:$AI$720,MATCH(AA$2,'Tillförd energi'!$B$1:$AQ$1,0),FALSE)</f>
        <v>0</v>
      </c>
      <c r="AB240" s="63">
        <f>VLOOKUP($B240,'Tillförd energi'!$B$1:$AI$720,MATCH(AB$2,'Tillförd energi'!$B$1:$AQ$1,0),FALSE)</f>
        <v>0</v>
      </c>
      <c r="AC240" s="63">
        <f>VLOOKUP($B240,'Tillförd energi'!$B$1:$AI$720,MATCH(AC$2,'Tillförd energi'!$B$1:$AQ$1,0),FALSE)</f>
        <v>11.9251</v>
      </c>
      <c r="AD240" s="63">
        <f>VLOOKUP($B240,'Tillförd energi'!$B$1:$AI$720,MATCH(AD$2,'Tillförd energi'!$B$1:$AQ$1,0),FALSE)</f>
        <v>0</v>
      </c>
      <c r="AE240" s="63">
        <f>VLOOKUP($B240,'Tillförd energi'!$B$1:$AI$720,MATCH(AE$2,'Tillförd energi'!$B$1:$AQ$1,0),FALSE)</f>
        <v>0</v>
      </c>
      <c r="AF240" s="63">
        <f>VLOOKUP($B240,'Tillförd energi'!$B$1:$AI$720,MATCH(AF$2,'Tillförd energi'!$B$1:$AQ$1,0),FALSE)</f>
        <v>3.12012</v>
      </c>
      <c r="AG240" s="63">
        <f>IFERROR(VLOOKUP(B240,Miljö!$B$1:$AC$550,MATCH("Köpt mängd produktionsspecifik fjärrvärme:",Miljö!$B$1:$AC$1,0),FALSE)/1,0)</f>
        <v>0</v>
      </c>
      <c r="AI240" s="63">
        <f t="shared" si="18"/>
        <v>174.8322</v>
      </c>
      <c r="AJ240" s="63">
        <f>IF(ISERROR(1/VLOOKUP($B240,Leveranser!$B$1:$S$500,MATCH("såld värme (gwh)",Leveranser!$B$1:$S$1,0),FALSE)),"",VLOOKUP($B240,Leveranser!$B$1:$S$500,MATCH("såld värme (gwh)",Leveranser!$B$1:$S$1,0),FALSE))</f>
        <v>143.65</v>
      </c>
      <c r="AM240" s="63" t="str">
        <f>IF(B240&lt;&gt;"",IF(VLOOKUP($B240,Totalt!$B$1:$AQ$554,MATCH("Kvalitetsgranskad:",Totalt!$B$1:$AQ$1,0),FALSE)="ja",VLOOKUP($B240,Miljö!$B$1:$AG$479,MATCH(AM$2,Miljö!$B$1:$AK$1,0),FALSE),""),"")</f>
        <v>Ja</v>
      </c>
      <c r="AN240" s="63" t="str">
        <f>IF(AM240="ja",VLOOKUP($B240,Miljö!$B$1:$J$479,MATCH("Typ av ursprungsspecificerad el   (Om inget värde anges används Nordisk residualmix, se inforuta) ()",Miljö!$B$1:$J$1,0),FALSE),IF(AM240="nej","Nordisk residualel",""))</f>
        <v>'Förnybart'</v>
      </c>
      <c r="AO240" s="63">
        <f>IF(AM240="","",VLOOKUP($B240,Miljö!$B$1:$J$479,MATCH("Fossilandel för ursprungspecificerad el ()",Miljö!$B$1:$J$1,0),FALSE))</f>
        <v>0</v>
      </c>
      <c r="AQ240" s="63">
        <f t="shared" si="19"/>
        <v>1</v>
      </c>
      <c r="AS240" s="63" t="str">
        <f t="shared" si="20"/>
        <v>Nej</v>
      </c>
      <c r="AT240" s="63" t="str">
        <f>IF(AS240="ja",VLOOKUP($B240,Miljö!$B$1:$P$500,MATCH("Fossil andel i procent (%)",Miljö!$B$1:$P$1,0),FALSE)/100,"")</f>
        <v/>
      </c>
      <c r="AV240" s="63" t="str">
        <f t="shared" si="21"/>
        <v>Nej</v>
      </c>
      <c r="AW240" s="63" t="str">
        <f>IF(AV240="ja",VLOOKUP($B240,'Egen hetvattenprod'!$B$1:$AO$500,MATCH("Värmekälla till värmepumpar ()",'Egen hetvattenprod'!$B$1:$AO$1,0),FALSE),"")</f>
        <v/>
      </c>
      <c r="AY240" s="63" t="str">
        <f t="shared" si="22"/>
        <v>Ja</v>
      </c>
      <c r="AZ240" s="77">
        <f>IF($AY240="ja",(VLOOKUP($B240,'Egen hetvattenprod'!$B$1:$BX$550,MATCH(AZ$2,'Egen hetvattenprod'!$B$1:$BX$1,0),FALSE)+VLOOKUP($B240,Kraftvärmeprod!$B$1:$BX$550,MATCH(AZ$2,Kraftvärmeprod!$B$1:$BX$1,0),FALSE))/$AC240,"")</f>
        <v>0.99999698115739077</v>
      </c>
      <c r="BA240" s="77">
        <f>IF($AY240="ja",(VLOOKUP($B240,'Egen hetvattenprod'!$B$1:$BX$550,MATCH(BA$2,'Egen hetvattenprod'!$B$1:$BX$1,0),FALSE)+VLOOKUP($B240,Kraftvärmeprod!$B$1:$BX$550,MATCH(BA$2,Kraftvärmeprod!$B$1:$BX$1,0),FALSE))/$AC240,"")</f>
        <v>0</v>
      </c>
      <c r="BB240" s="77">
        <f>IF($AY240="ja",(VLOOKUP($B240,'Egen hetvattenprod'!$B$1:$BX$550,MATCH(BB$2,'Egen hetvattenprod'!$B$1:$BX$1,0),FALSE)+VLOOKUP($B240,Kraftvärmeprod!$B$1:$BX$550,MATCH(BB$2,Kraftvärmeprod!$B$1:$BX$1,0),FALSE))/$AC240,"")</f>
        <v>0</v>
      </c>
      <c r="BC240" s="77">
        <f>IF($AY240="ja",(VLOOKUP($B240,'Egen hetvattenprod'!$B$1:$BX$550,MATCH(BC$2,'Egen hetvattenprod'!$B$1:$BX$1,0),FALSE)+VLOOKUP($B240,Kraftvärmeprod!$B$1:$BX$550,MATCH(BC$2,Kraftvärmeprod!$B$1:$BX$1,0),FALSE))/$AC240,"")</f>
        <v>0</v>
      </c>
      <c r="BD240" s="77">
        <f>IF($AY240="ja",(VLOOKUP($B240,'Egen hetvattenprod'!$B$1:$BX$550,MATCH(BD$2,'Egen hetvattenprod'!$B$1:$BX$1,0),FALSE)+VLOOKUP($B240,Kraftvärmeprod!$B$1:$BX$550,MATCH(BD$2,Kraftvärmeprod!$B$1:$BX$1,0),FALSE))/$AC240,"")</f>
        <v>0</v>
      </c>
      <c r="BF240" s="63" t="str">
        <f t="shared" si="23"/>
        <v>Nej</v>
      </c>
      <c r="BG240" s="63" t="str">
        <f>IF($BF240="ja",VLOOKUP($B240,'Egen hetvattenprod'!$B$1:$BX$550,MATCH("Andelen klimatgaser med fossilt ursprung för avfall ()",'Egen hetvattenprod'!$B$1:$BX$1,0),FALSE),"")</f>
        <v/>
      </c>
      <c r="BH240" s="63" t="str">
        <f>IF($BF240="ja",VLOOKUP($B240,Kraftvärmeprod!$B$1:$BX$550,MATCH("Andelen klimatgaser med fossilt ursprung för avfall ()",Kraftvärmeprod!$B$1:$BX$1,0),FALSE),"")</f>
        <v/>
      </c>
      <c r="BI240" s="63" t="str">
        <f>IF($BF240="ja",VLOOKUP($B240,'Egen hetvattenprod'!$B$1:$BX$550,MATCH("Avfall (GWh)",'Egen hetvattenprod'!$B$1:$BX$1,0),FALSE),"")</f>
        <v/>
      </c>
      <c r="BJ240" s="63" t="str">
        <f>IF($BF240="ja",VLOOKUP($B240,'Slutlig allokering kvv'!$B$1:$BX$550,MATCH("Avfall (GWh)",'Slutlig allokering kvv'!$B$1:$BX$1,0),FALSE),"")</f>
        <v/>
      </c>
      <c r="BK240" s="63" t="str">
        <f>IF($BF240="ja",VLOOKUP($B240,'Köpt hetvatten'!$B$1:$BX$550,MATCH("Avfall i köpt hetvatten",'Köpt hetvatten'!$B$1:$BX$1,0),FALSE),"")</f>
        <v/>
      </c>
      <c r="BL240" s="63" t="str">
        <f>IF($BF240="ja",VLOOKUP($B240,'Egen hetvattenprod'!$B$1:$BX$550,MATCH("Värde enligt ovan. (%)",'Egen hetvattenprod'!$B$1:$BX$1,0),FALSE),"")</f>
        <v/>
      </c>
      <c r="BM240" s="63" t="str">
        <f>IF($BF240="ja",VLOOKUP($B240,Kraftvärmeprod!$B$1:$BX$550,MATCH("Värde enligt ovan. (%)",Kraftvärmeprod!$B$1:$BX$1,0),FALSE),"")</f>
        <v/>
      </c>
    </row>
    <row r="241" spans="1:65" x14ac:dyDescent="0.45">
      <c r="A241" s="63" t="s">
        <v>364</v>
      </c>
      <c r="B241" s="63" t="s">
        <v>363</v>
      </c>
      <c r="C241" s="63">
        <f>VLOOKUP($B241,'Tillförd energi'!$B$1:$AI$720,MATCH(C$2,'Tillförd energi'!$B$1:$AQ$1,0),FALSE)</f>
        <v>0</v>
      </c>
      <c r="D241" s="63">
        <f>VLOOKUP($B241,'Tillförd energi'!$B$1:$AI$720,MATCH(D$2,'Tillförd energi'!$B$1:$AQ$1,0),FALSE)</f>
        <v>2.61</v>
      </c>
      <c r="E241" s="63">
        <f>VLOOKUP($B241,'Tillförd energi'!$B$1:$AI$720,MATCH(E$2,'Tillförd energi'!$B$1:$AQ$1,0),FALSE)</f>
        <v>0</v>
      </c>
      <c r="F241" s="63">
        <f>VLOOKUP($B241,'Tillförd energi'!$B$1:$AI$720,MATCH(F$2,'Tillförd energi'!$B$1:$AQ$1,0),FALSE)</f>
        <v>0</v>
      </c>
      <c r="G241" s="63">
        <f>VLOOKUP($B241,'Tillförd energi'!$B$1:$AI$720,MATCH(G$2,'Tillförd energi'!$B$1:$AQ$1,0),FALSE)</f>
        <v>0</v>
      </c>
      <c r="H241" s="63">
        <f>VLOOKUP($B241,'Tillförd energi'!$B$1:$AI$720,MATCH(H$2,'Tillförd energi'!$B$1:$AQ$1,0),FALSE)</f>
        <v>2.9420000000000002</v>
      </c>
      <c r="I241" s="63">
        <f>VLOOKUP($B241,'Tillförd energi'!$B$1:$AI$720,MATCH(I$2,'Tillförd energi'!$B$1:$AQ$1,0),FALSE)</f>
        <v>0</v>
      </c>
      <c r="J241" s="63">
        <f>VLOOKUP($B241,'Tillförd energi'!$B$1:$AI$720,MATCH(J$2,'Tillförd energi'!$B$1:$AQ$1,0),FALSE)</f>
        <v>0</v>
      </c>
      <c r="K241" s="63">
        <f>VLOOKUP($B241,'Tillförd energi'!$B$1:$AI$720,MATCH(K$2,'Tillförd energi'!$B$1:$AQ$1,0),FALSE)</f>
        <v>0</v>
      </c>
      <c r="L241" s="63">
        <f>VLOOKUP($B241,'Tillförd energi'!$B$1:$AI$720,MATCH(L$2,'Tillförd energi'!$B$1:$AQ$1,0),FALSE)</f>
        <v>36.795999999999999</v>
      </c>
      <c r="M241" s="63">
        <f>VLOOKUP($B241,'Tillförd energi'!$B$1:$AI$720,MATCH(M$2,'Tillförd energi'!$B$1:$AQ$1,0),FALSE)</f>
        <v>0</v>
      </c>
      <c r="N241" s="63">
        <f>VLOOKUP($B241,'Tillförd energi'!$B$1:$AI$720,MATCH(N$2,'Tillförd energi'!$B$1:$AQ$1,0),FALSE)</f>
        <v>0</v>
      </c>
      <c r="O241" s="63">
        <f>VLOOKUP($B241,'Tillförd energi'!$B$1:$AI$720,MATCH(O$2,'Tillförd energi'!$B$1:$AQ$1,0),FALSE)</f>
        <v>55.164999999999999</v>
      </c>
      <c r="P241" s="63">
        <f>VLOOKUP($B241,'Tillförd energi'!$B$1:$AI$720,MATCH(P$2,'Tillförd energi'!$B$1:$AQ$1,0),FALSE)</f>
        <v>0</v>
      </c>
      <c r="Q241" s="63">
        <f>VLOOKUP($B241,'Tillförd energi'!$B$1:$AI$720,MATCH(Q$2,'Tillförd energi'!$B$1:$AQ$1,0),FALSE)</f>
        <v>1.127</v>
      </c>
      <c r="R241" s="63">
        <f>VLOOKUP($B241,'Tillförd energi'!$B$1:$AI$720,MATCH(R$2,'Tillförd energi'!$B$1:$AQ$1,0),FALSE)</f>
        <v>54.445999999999998</v>
      </c>
      <c r="S241" s="63">
        <f>VLOOKUP($B241,'Tillförd energi'!$B$1:$AI$720,MATCH(S$2,'Tillförd energi'!$B$1:$AQ$1,0),FALSE)</f>
        <v>0</v>
      </c>
      <c r="T241" s="63">
        <f>VLOOKUP($B241,'Tillförd energi'!$B$1:$AI$720,MATCH(T$2,'Tillförd energi'!$B$1:$AQ$1,0),FALSE)</f>
        <v>0</v>
      </c>
      <c r="U241" s="63">
        <f>VLOOKUP($B241,'Tillförd energi'!$B$1:$AI$720,MATCH(U$2,'Tillförd energi'!$B$1:$AQ$1,0),FALSE)</f>
        <v>0</v>
      </c>
      <c r="V241" s="63">
        <f>VLOOKUP($B241,'Tillförd energi'!$B$1:$AI$720,MATCH(V$2,'Tillförd energi'!$B$1:$AQ$1,0),FALSE)</f>
        <v>0</v>
      </c>
      <c r="W241" s="63">
        <f>VLOOKUP($B241,'Tillförd energi'!$B$1:$AI$720,MATCH(W$2,'Tillförd energi'!$B$1:$AQ$1,0),FALSE)</f>
        <v>0</v>
      </c>
      <c r="X241" s="63">
        <f>VLOOKUP($B241,'Tillförd energi'!$B$1:$AI$720,MATCH(X$2,'Tillförd energi'!$B$1:$AQ$1,0),FALSE)</f>
        <v>0</v>
      </c>
      <c r="Y241" s="63">
        <f>VLOOKUP($B241,'Tillförd energi'!$B$1:$AI$720,MATCH(Y$2,'Tillförd energi'!$B$1:$AQ$1,0),FALSE)</f>
        <v>94.739000000000004</v>
      </c>
      <c r="Z241" s="63">
        <f>VLOOKUP($B241,'Tillförd energi'!$B$1:$AI$720,MATCH(Z$2,'Tillförd energi'!$B$1:$AQ$1,0),FALSE)</f>
        <v>0</v>
      </c>
      <c r="AA241" s="63">
        <f>VLOOKUP($B241,'Tillförd energi'!$B$1:$AI$720,MATCH(AA$2,'Tillförd energi'!$B$1:$AQ$1,0),FALSE)</f>
        <v>0</v>
      </c>
      <c r="AB241" s="63">
        <f>VLOOKUP($B241,'Tillförd energi'!$B$1:$AI$720,MATCH(AB$2,'Tillförd energi'!$B$1:$AQ$1,0),FALSE)</f>
        <v>0</v>
      </c>
      <c r="AC241" s="63">
        <f>VLOOKUP($B241,'Tillförd energi'!$B$1:$AI$720,MATCH(AC$2,'Tillförd energi'!$B$1:$AQ$1,0),FALSE)</f>
        <v>24.63</v>
      </c>
      <c r="AD241" s="63">
        <f>VLOOKUP($B241,'Tillförd energi'!$B$1:$AI$720,MATCH(AD$2,'Tillförd energi'!$B$1:$AQ$1,0),FALSE)</f>
        <v>0</v>
      </c>
      <c r="AE241" s="63">
        <f>VLOOKUP($B241,'Tillförd energi'!$B$1:$AI$720,MATCH(AE$2,'Tillförd energi'!$B$1:$AQ$1,0),FALSE)</f>
        <v>0</v>
      </c>
      <c r="AF241" s="63">
        <f>VLOOKUP($B241,'Tillförd energi'!$B$1:$AI$720,MATCH(AF$2,'Tillförd energi'!$B$1:$AQ$1,0),FALSE)</f>
        <v>8.2230000000000008</v>
      </c>
      <c r="AG241" s="63">
        <f>IFERROR(VLOOKUP(B241,Miljö!$B$1:$AC$550,MATCH("Köpt mängd produktionsspecifik fjärrvärme:",Miljö!$B$1:$AC$1,0),FALSE)/1,0)</f>
        <v>0</v>
      </c>
      <c r="AI241" s="63">
        <f t="shared" si="18"/>
        <v>280.67800000000005</v>
      </c>
      <c r="AJ241" s="63">
        <f>IF(ISERROR(1/VLOOKUP($B241,Leveranser!$B$1:$S$500,MATCH("såld värme (gwh)",Leveranser!$B$1:$S$1,0),FALSE)),"",VLOOKUP($B241,Leveranser!$B$1:$S$500,MATCH("såld värme (gwh)",Leveranser!$B$1:$S$1,0),FALSE))</f>
        <v>224.6</v>
      </c>
      <c r="AM241" s="63" t="str">
        <f>IF(B241&lt;&gt;"",IF(VLOOKUP($B241,Totalt!$B$1:$AQ$554,MATCH("Kvalitetsgranskad:",Totalt!$B$1:$AQ$1,0),FALSE)="ja",VLOOKUP($B241,Miljö!$B$1:$AG$479,MATCH(AM$2,Miljö!$B$1:$AK$1,0),FALSE),""),"")</f>
        <v>Ja</v>
      </c>
      <c r="AN241" s="63" t="str">
        <f>IF(AM241="ja",VLOOKUP($B241,Miljö!$B$1:$J$479,MATCH("Typ av ursprungsspecificerad el   (Om inget värde anges används Nordisk residualmix, se inforuta) ()",Miljö!$B$1:$J$1,0),FALSE),IF(AM241="nej","Nordisk residualel",""))</f>
        <v>'Nordisk residualmix'</v>
      </c>
      <c r="AO241" s="63">
        <f>IF(AM241="","",VLOOKUP($B241,Miljö!$B$1:$J$479,MATCH("Fossilandel för ursprungspecificerad el ()",Miljö!$B$1:$J$1,0),FALSE))</f>
        <v>0.35</v>
      </c>
      <c r="AQ241" s="63">
        <f t="shared" si="19"/>
        <v>0.65</v>
      </c>
      <c r="AS241" s="63" t="str">
        <f t="shared" si="20"/>
        <v>Nej</v>
      </c>
      <c r="AT241" s="63" t="str">
        <f>IF(AS241="ja",VLOOKUP($B241,Miljö!$B$1:$P$500,MATCH("Fossil andel i procent (%)",Miljö!$B$1:$P$1,0),FALSE)/100,"")</f>
        <v/>
      </c>
      <c r="AV241" s="63" t="str">
        <f t="shared" si="21"/>
        <v>Nej</v>
      </c>
      <c r="AW241" s="63" t="str">
        <f>IF(AV241="ja",VLOOKUP($B241,'Egen hetvattenprod'!$B$1:$AO$500,MATCH("Värmekälla till värmepumpar ()",'Egen hetvattenprod'!$B$1:$AO$1,0),FALSE),"")</f>
        <v/>
      </c>
      <c r="AY241" s="63" t="str">
        <f t="shared" si="22"/>
        <v>Ja</v>
      </c>
      <c r="AZ241" s="77">
        <f>IF($AY241="ja",(VLOOKUP($B241,'Egen hetvattenprod'!$B$1:$BX$550,MATCH(AZ$2,'Egen hetvattenprod'!$B$1:$BX$1,0),FALSE)+VLOOKUP($B241,Kraftvärmeprod!$B$1:$BX$550,MATCH(AZ$2,Kraftvärmeprod!$B$1:$BX$1,0),FALSE))/$AC241,"")</f>
        <v>0.51</v>
      </c>
      <c r="BA241" s="77">
        <f>IF($AY241="ja",(VLOOKUP($B241,'Egen hetvattenprod'!$B$1:$BX$550,MATCH(BA$2,'Egen hetvattenprod'!$B$1:$BX$1,0),FALSE)+VLOOKUP($B241,Kraftvärmeprod!$B$1:$BX$550,MATCH(BA$2,Kraftvärmeprod!$B$1:$BX$1,0),FALSE))/$AC241,"")</f>
        <v>0</v>
      </c>
      <c r="BB241" s="77">
        <f>IF($AY241="ja",(VLOOKUP($B241,'Egen hetvattenprod'!$B$1:$BX$550,MATCH(BB$2,'Egen hetvattenprod'!$B$1:$BX$1,0),FALSE)+VLOOKUP($B241,Kraftvärmeprod!$B$1:$BX$550,MATCH(BB$2,Kraftvärmeprod!$B$1:$BX$1,0),FALSE))/$AC241,"")</f>
        <v>0.01</v>
      </c>
      <c r="BC241" s="77">
        <f>IF($AY241="ja",(VLOOKUP($B241,'Egen hetvattenprod'!$B$1:$BX$550,MATCH(BC$2,'Egen hetvattenprod'!$B$1:$BX$1,0),FALSE)+VLOOKUP($B241,Kraftvärmeprod!$B$1:$BX$550,MATCH(BC$2,Kraftvärmeprod!$B$1:$BX$1,0),FALSE))/$AC241,"")</f>
        <v>0.47999999999999993</v>
      </c>
      <c r="BD241" s="77">
        <f>IF($AY241="ja",(VLOOKUP($B241,'Egen hetvattenprod'!$B$1:$BX$550,MATCH(BD$2,'Egen hetvattenprod'!$B$1:$BX$1,0),FALSE)+VLOOKUP($B241,Kraftvärmeprod!$B$1:$BX$550,MATCH(BD$2,Kraftvärmeprod!$B$1:$BX$1,0),FALSE))/$AC241,"")</f>
        <v>1.4424334871297202E-16</v>
      </c>
      <c r="BF241" s="63" t="str">
        <f t="shared" si="23"/>
        <v>Nej</v>
      </c>
      <c r="BG241" s="63" t="str">
        <f>IF($BF241="ja",VLOOKUP($B241,'Egen hetvattenprod'!$B$1:$BX$550,MATCH("Andelen klimatgaser med fossilt ursprung för avfall ()",'Egen hetvattenprod'!$B$1:$BX$1,0),FALSE),"")</f>
        <v/>
      </c>
      <c r="BH241" s="63" t="str">
        <f>IF($BF241="ja",VLOOKUP($B241,Kraftvärmeprod!$B$1:$BX$550,MATCH("Andelen klimatgaser med fossilt ursprung för avfall ()",Kraftvärmeprod!$B$1:$BX$1,0),FALSE),"")</f>
        <v/>
      </c>
      <c r="BI241" s="63" t="str">
        <f>IF($BF241="ja",VLOOKUP($B241,'Egen hetvattenprod'!$B$1:$BX$550,MATCH("Avfall (GWh)",'Egen hetvattenprod'!$B$1:$BX$1,0),FALSE),"")</f>
        <v/>
      </c>
      <c r="BJ241" s="63" t="str">
        <f>IF($BF241="ja",VLOOKUP($B241,'Slutlig allokering kvv'!$B$1:$BX$550,MATCH("Avfall (GWh)",'Slutlig allokering kvv'!$B$1:$BX$1,0),FALSE),"")</f>
        <v/>
      </c>
      <c r="BK241" s="63" t="str">
        <f>IF($BF241="ja",VLOOKUP($B241,'Köpt hetvatten'!$B$1:$BX$550,MATCH("Avfall i köpt hetvatten",'Köpt hetvatten'!$B$1:$BX$1,0),FALSE),"")</f>
        <v/>
      </c>
      <c r="BL241" s="63" t="str">
        <f>IF($BF241="ja",VLOOKUP($B241,'Egen hetvattenprod'!$B$1:$BX$550,MATCH("Värde enligt ovan. (%)",'Egen hetvattenprod'!$B$1:$BX$1,0),FALSE),"")</f>
        <v/>
      </c>
      <c r="BM241" s="63" t="str">
        <f>IF($BF241="ja",VLOOKUP($B241,Kraftvärmeprod!$B$1:$BX$550,MATCH("Värde enligt ovan. (%)",Kraftvärmeprod!$B$1:$BX$1,0),FALSE),"")</f>
        <v/>
      </c>
    </row>
    <row r="242" spans="1:65" x14ac:dyDescent="0.45">
      <c r="A242" s="63" t="s">
        <v>362</v>
      </c>
      <c r="B242" s="63" t="s">
        <v>361</v>
      </c>
      <c r="C242" s="63">
        <f>VLOOKUP($B242,'Tillförd energi'!$B$1:$AI$720,MATCH(C$2,'Tillförd energi'!$B$1:$AQ$1,0),FALSE)</f>
        <v>0</v>
      </c>
      <c r="D242" s="63">
        <f>VLOOKUP($B242,'Tillförd energi'!$B$1:$AI$720,MATCH(D$2,'Tillförd energi'!$B$1:$AQ$1,0),FALSE)</f>
        <v>4.53</v>
      </c>
      <c r="E242" s="63">
        <f>VLOOKUP($B242,'Tillförd energi'!$B$1:$AI$720,MATCH(E$2,'Tillförd energi'!$B$1:$AQ$1,0),FALSE)</f>
        <v>0</v>
      </c>
      <c r="F242" s="63">
        <f>VLOOKUP($B242,'Tillförd energi'!$B$1:$AI$720,MATCH(F$2,'Tillförd energi'!$B$1:$AQ$1,0),FALSE)</f>
        <v>0</v>
      </c>
      <c r="G242" s="63">
        <f>VLOOKUP($B242,'Tillförd energi'!$B$1:$AI$720,MATCH(G$2,'Tillförd energi'!$B$1:$AQ$1,0),FALSE)</f>
        <v>0</v>
      </c>
      <c r="H242" s="63">
        <f>VLOOKUP($B242,'Tillförd energi'!$B$1:$AI$720,MATCH(H$2,'Tillförd energi'!$B$1:$AQ$1,0),FALSE)</f>
        <v>0</v>
      </c>
      <c r="I242" s="63">
        <f>VLOOKUP($B242,'Tillförd energi'!$B$1:$AI$720,MATCH(I$2,'Tillförd energi'!$B$1:$AQ$1,0),FALSE)</f>
        <v>0</v>
      </c>
      <c r="J242" s="63">
        <f>VLOOKUP($B242,'Tillförd energi'!$B$1:$AI$720,MATCH(J$2,'Tillförd energi'!$B$1:$AQ$1,0),FALSE)</f>
        <v>0</v>
      </c>
      <c r="K242" s="63">
        <f>VLOOKUP($B242,'Tillförd energi'!$B$1:$AI$720,MATCH(K$2,'Tillförd energi'!$B$1:$AQ$1,0),FALSE)</f>
        <v>0</v>
      </c>
      <c r="L242" s="63">
        <f>VLOOKUP($B242,'Tillförd energi'!$B$1:$AI$720,MATCH(L$2,'Tillförd energi'!$B$1:$AQ$1,0),FALSE)</f>
        <v>107.268</v>
      </c>
      <c r="M242" s="63">
        <f>VLOOKUP($B242,'Tillförd energi'!$B$1:$AI$720,MATCH(M$2,'Tillförd energi'!$B$1:$AQ$1,0),FALSE)</f>
        <v>3.0924700000000001</v>
      </c>
      <c r="N242" s="63">
        <f>VLOOKUP($B242,'Tillförd energi'!$B$1:$AI$720,MATCH(N$2,'Tillförd energi'!$B$1:$AQ$1,0),FALSE)</f>
        <v>16.459499999999998</v>
      </c>
      <c r="O242" s="63">
        <f>VLOOKUP($B242,'Tillförd energi'!$B$1:$AI$720,MATCH(O$2,'Tillförd energi'!$B$1:$AQ$1,0),FALSE)</f>
        <v>0</v>
      </c>
      <c r="P242" s="63">
        <f>VLOOKUP($B242,'Tillförd energi'!$B$1:$AI$720,MATCH(P$2,'Tillförd energi'!$B$1:$AQ$1,0),FALSE)</f>
        <v>0</v>
      </c>
      <c r="Q242" s="63">
        <f>VLOOKUP($B242,'Tillförd energi'!$B$1:$AI$720,MATCH(Q$2,'Tillförd energi'!$B$1:$AQ$1,0),FALSE)</f>
        <v>12.8988</v>
      </c>
      <c r="R242" s="63">
        <f>VLOOKUP($B242,'Tillförd energi'!$B$1:$AI$720,MATCH(R$2,'Tillförd energi'!$B$1:$AQ$1,0),FALSE)</f>
        <v>16.452999999999999</v>
      </c>
      <c r="S242" s="63">
        <f>VLOOKUP($B242,'Tillförd energi'!$B$1:$AI$720,MATCH(S$2,'Tillförd energi'!$B$1:$AQ$1,0),FALSE)</f>
        <v>0</v>
      </c>
      <c r="T242" s="63">
        <f>VLOOKUP($B242,'Tillförd energi'!$B$1:$AI$720,MATCH(T$2,'Tillförd energi'!$B$1:$AQ$1,0),FALSE)</f>
        <v>0</v>
      </c>
      <c r="U242" s="63">
        <f>VLOOKUP($B242,'Tillförd energi'!$B$1:$AI$720,MATCH(U$2,'Tillförd energi'!$B$1:$AQ$1,0),FALSE)</f>
        <v>0</v>
      </c>
      <c r="V242" s="63">
        <f>VLOOKUP($B242,'Tillförd energi'!$B$1:$AI$720,MATCH(V$2,'Tillförd energi'!$B$1:$AQ$1,0),FALSE)</f>
        <v>0</v>
      </c>
      <c r="W242" s="63">
        <f>VLOOKUP($B242,'Tillförd energi'!$B$1:$AI$720,MATCH(W$2,'Tillförd energi'!$B$1:$AQ$1,0),FALSE)</f>
        <v>0</v>
      </c>
      <c r="X242" s="63">
        <f>VLOOKUP($B242,'Tillförd energi'!$B$1:$AI$720,MATCH(X$2,'Tillförd energi'!$B$1:$AQ$1,0),FALSE)</f>
        <v>0</v>
      </c>
      <c r="Y242" s="63">
        <f>VLOOKUP($B242,'Tillförd energi'!$B$1:$AI$720,MATCH(Y$2,'Tillförd energi'!$B$1:$AQ$1,0),FALSE)</f>
        <v>0</v>
      </c>
      <c r="Z242" s="63">
        <f>VLOOKUP($B242,'Tillförd energi'!$B$1:$AI$720,MATCH(Z$2,'Tillförd energi'!$B$1:$AQ$1,0),FALSE)</f>
        <v>0</v>
      </c>
      <c r="AA242" s="63">
        <f>VLOOKUP($B242,'Tillförd energi'!$B$1:$AI$720,MATCH(AA$2,'Tillförd energi'!$B$1:$AQ$1,0),FALSE)</f>
        <v>0</v>
      </c>
      <c r="AB242" s="63">
        <f>VLOOKUP($B242,'Tillförd energi'!$B$1:$AI$720,MATCH(AB$2,'Tillförd energi'!$B$1:$AQ$1,0),FALSE)</f>
        <v>0</v>
      </c>
      <c r="AC242" s="63">
        <f>VLOOKUP($B242,'Tillförd energi'!$B$1:$AI$720,MATCH(AC$2,'Tillförd energi'!$B$1:$AQ$1,0),FALSE)</f>
        <v>19.131</v>
      </c>
      <c r="AD242" s="63">
        <f>VLOOKUP($B242,'Tillförd energi'!$B$1:$AI$720,MATCH(AD$2,'Tillförd energi'!$B$1:$AQ$1,0),FALSE)</f>
        <v>0</v>
      </c>
      <c r="AE242" s="63">
        <f>VLOOKUP($B242,'Tillförd energi'!$B$1:$AI$720,MATCH(AE$2,'Tillförd energi'!$B$1:$AQ$1,0),FALSE)</f>
        <v>0</v>
      </c>
      <c r="AF242" s="63">
        <f>VLOOKUP($B242,'Tillförd energi'!$B$1:$AI$720,MATCH(AF$2,'Tillförd energi'!$B$1:$AQ$1,0),FALSE)</f>
        <v>4.3133499999999998</v>
      </c>
      <c r="AG242" s="63">
        <f>IFERROR(VLOOKUP(B242,Miljö!$B$1:$AC$550,MATCH("Köpt mängd produktionsspecifik fjärrvärme:",Miljö!$B$1:$AC$1,0),FALSE)/1,0)</f>
        <v>0</v>
      </c>
      <c r="AI242" s="63">
        <f t="shared" si="18"/>
        <v>184.14612</v>
      </c>
      <c r="AJ242" s="63">
        <f>IF(ISERROR(1/VLOOKUP($B242,Leveranser!$B$1:$S$500,MATCH("såld värme (gwh)",Leveranser!$B$1:$S$1,0),FALSE)),"",VLOOKUP($B242,Leveranser!$B$1:$S$500,MATCH("såld värme (gwh)",Leveranser!$B$1:$S$1,0),FALSE))</f>
        <v>149.303</v>
      </c>
      <c r="AM242" s="63" t="str">
        <f>IF(B242&lt;&gt;"",IF(VLOOKUP($B242,Totalt!$B$1:$AQ$554,MATCH("Kvalitetsgranskad:",Totalt!$B$1:$AQ$1,0),FALSE)="ja",VLOOKUP($B242,Miljö!$B$1:$AG$479,MATCH(AM$2,Miljö!$B$1:$AK$1,0),FALSE),""),"")</f>
        <v>Ja</v>
      </c>
      <c r="AN242" s="63" t="str">
        <f>IF(AM242="ja",VLOOKUP($B242,Miljö!$B$1:$J$479,MATCH("Typ av ursprungsspecificerad el   (Om inget värde anges används Nordisk residualmix, se inforuta) ()",Miljö!$B$1:$J$1,0),FALSE),IF(AM242="nej","Nordisk residualel",""))</f>
        <v>'Eskilstuna Bioel'</v>
      </c>
      <c r="AO242" s="63">
        <f>IF(AM242="","",VLOOKUP($B242,Miljö!$B$1:$J$479,MATCH("Fossilandel för ursprungspecificerad el ()",Miljö!$B$1:$J$1,0),FALSE))</f>
        <v>0</v>
      </c>
      <c r="AQ242" s="63">
        <f t="shared" si="19"/>
        <v>1</v>
      </c>
      <c r="AS242" s="63" t="str">
        <f t="shared" si="20"/>
        <v>Nej</v>
      </c>
      <c r="AT242" s="63" t="str">
        <f>IF(AS242="ja",VLOOKUP($B242,Miljö!$B$1:$P$500,MATCH("Fossil andel i procent (%)",Miljö!$B$1:$P$1,0),FALSE)/100,"")</f>
        <v/>
      </c>
      <c r="AV242" s="63" t="str">
        <f t="shared" si="21"/>
        <v>Nej</v>
      </c>
      <c r="AW242" s="63" t="str">
        <f>IF(AV242="ja",VLOOKUP($B242,'Egen hetvattenprod'!$B$1:$AO$500,MATCH("Värmekälla till värmepumpar ()",'Egen hetvattenprod'!$B$1:$AO$1,0),FALSE),"")</f>
        <v/>
      </c>
      <c r="AY242" s="63" t="str">
        <f t="shared" si="22"/>
        <v>Ja</v>
      </c>
      <c r="AZ242" s="77">
        <f>IF($AY242="ja",(VLOOKUP($B242,'Egen hetvattenprod'!$B$1:$BX$550,MATCH(AZ$2,'Egen hetvattenprod'!$B$1:$BX$1,0),FALSE)+VLOOKUP($B242,Kraftvärmeprod!$B$1:$BX$550,MATCH(AZ$2,Kraftvärmeprod!$B$1:$BX$1,0),FALSE))/$AC242,"")</f>
        <v>1</v>
      </c>
      <c r="BA242" s="77">
        <f>IF($AY242="ja",(VLOOKUP($B242,'Egen hetvattenprod'!$B$1:$BX$550,MATCH(BA$2,'Egen hetvattenprod'!$B$1:$BX$1,0),FALSE)+VLOOKUP($B242,Kraftvärmeprod!$B$1:$BX$550,MATCH(BA$2,Kraftvärmeprod!$B$1:$BX$1,0),FALSE))/$AC242,"")</f>
        <v>0</v>
      </c>
      <c r="BB242" s="77">
        <f>IF($AY242="ja",(VLOOKUP($B242,'Egen hetvattenprod'!$B$1:$BX$550,MATCH(BB$2,'Egen hetvattenprod'!$B$1:$BX$1,0),FALSE)+VLOOKUP($B242,Kraftvärmeprod!$B$1:$BX$550,MATCH(BB$2,Kraftvärmeprod!$B$1:$BX$1,0),FALSE))/$AC242,"")</f>
        <v>0</v>
      </c>
      <c r="BC242" s="77">
        <f>IF($AY242="ja",(VLOOKUP($B242,'Egen hetvattenprod'!$B$1:$BX$550,MATCH(BC$2,'Egen hetvattenprod'!$B$1:$BX$1,0),FALSE)+VLOOKUP($B242,Kraftvärmeprod!$B$1:$BX$550,MATCH(BC$2,Kraftvärmeprod!$B$1:$BX$1,0),FALSE))/$AC242,"")</f>
        <v>0</v>
      </c>
      <c r="BD242" s="77">
        <f>IF($AY242="ja",(VLOOKUP($B242,'Egen hetvattenprod'!$B$1:$BX$550,MATCH(BD$2,'Egen hetvattenprod'!$B$1:$BX$1,0),FALSE)+VLOOKUP($B242,Kraftvärmeprod!$B$1:$BX$550,MATCH(BD$2,Kraftvärmeprod!$B$1:$BX$1,0),FALSE))/$AC242,"")</f>
        <v>0</v>
      </c>
      <c r="BF242" s="63" t="str">
        <f t="shared" si="23"/>
        <v>Nej</v>
      </c>
      <c r="BG242" s="63" t="str">
        <f>IF($BF242="ja",VLOOKUP($B242,'Egen hetvattenprod'!$B$1:$BX$550,MATCH("Andelen klimatgaser med fossilt ursprung för avfall ()",'Egen hetvattenprod'!$B$1:$BX$1,0),FALSE),"")</f>
        <v/>
      </c>
      <c r="BH242" s="63" t="str">
        <f>IF($BF242="ja",VLOOKUP($B242,Kraftvärmeprod!$B$1:$BX$550,MATCH("Andelen klimatgaser med fossilt ursprung för avfall ()",Kraftvärmeprod!$B$1:$BX$1,0),FALSE),"")</f>
        <v/>
      </c>
      <c r="BI242" s="63" t="str">
        <f>IF($BF242="ja",VLOOKUP($B242,'Egen hetvattenprod'!$B$1:$BX$550,MATCH("Avfall (GWh)",'Egen hetvattenprod'!$B$1:$BX$1,0),FALSE),"")</f>
        <v/>
      </c>
      <c r="BJ242" s="63" t="str">
        <f>IF($BF242="ja",VLOOKUP($B242,'Slutlig allokering kvv'!$B$1:$BX$550,MATCH("Avfall (GWh)",'Slutlig allokering kvv'!$B$1:$BX$1,0),FALSE),"")</f>
        <v/>
      </c>
      <c r="BK242" s="63" t="str">
        <f>IF($BF242="ja",VLOOKUP($B242,'Köpt hetvatten'!$B$1:$BX$550,MATCH("Avfall i köpt hetvatten",'Köpt hetvatten'!$B$1:$BX$1,0),FALSE),"")</f>
        <v/>
      </c>
      <c r="BL242" s="63" t="str">
        <f>IF($BF242="ja",VLOOKUP($B242,'Egen hetvattenprod'!$B$1:$BX$550,MATCH("Värde enligt ovan. (%)",'Egen hetvattenprod'!$B$1:$BX$1,0),FALSE),"")</f>
        <v/>
      </c>
      <c r="BM242" s="63" t="str">
        <f>IF($BF242="ja",VLOOKUP($B242,Kraftvärmeprod!$B$1:$BX$550,MATCH("Värde enligt ovan. (%)",Kraftvärmeprod!$B$1:$BX$1,0),FALSE),"")</f>
        <v/>
      </c>
    </row>
    <row r="243" spans="1:65" x14ac:dyDescent="0.45">
      <c r="A243" s="63" t="s">
        <v>360</v>
      </c>
      <c r="B243" s="63" t="s">
        <v>359</v>
      </c>
      <c r="C243" s="63">
        <f>VLOOKUP($B243,'Tillförd energi'!$B$1:$AI$720,MATCH(C$2,'Tillförd energi'!$B$1:$AQ$1,0),FALSE)</f>
        <v>0</v>
      </c>
      <c r="D243" s="63">
        <f>VLOOKUP($B243,'Tillförd energi'!$B$1:$AI$720,MATCH(D$2,'Tillförd energi'!$B$1:$AQ$1,0),FALSE)</f>
        <v>0.5</v>
      </c>
      <c r="E243" s="63">
        <f>VLOOKUP($B243,'Tillförd energi'!$B$1:$AI$720,MATCH(E$2,'Tillförd energi'!$B$1:$AQ$1,0),FALSE)</f>
        <v>0</v>
      </c>
      <c r="F243" s="63">
        <f>VLOOKUP($B243,'Tillförd energi'!$B$1:$AI$720,MATCH(F$2,'Tillförd energi'!$B$1:$AQ$1,0),FALSE)</f>
        <v>0</v>
      </c>
      <c r="G243" s="63">
        <f>VLOOKUP($B243,'Tillförd energi'!$B$1:$AI$720,MATCH(G$2,'Tillförd energi'!$B$1:$AQ$1,0),FALSE)</f>
        <v>0</v>
      </c>
      <c r="H243" s="63">
        <f>VLOOKUP($B243,'Tillförd energi'!$B$1:$AI$720,MATCH(H$2,'Tillförd energi'!$B$1:$AQ$1,0),FALSE)</f>
        <v>0</v>
      </c>
      <c r="I243" s="63">
        <f>VLOOKUP($B243,'Tillförd energi'!$B$1:$AI$720,MATCH(I$2,'Tillförd energi'!$B$1:$AQ$1,0),FALSE)</f>
        <v>0</v>
      </c>
      <c r="J243" s="63">
        <f>VLOOKUP($B243,'Tillförd energi'!$B$1:$AI$720,MATCH(J$2,'Tillförd energi'!$B$1:$AQ$1,0),FALSE)</f>
        <v>0.15</v>
      </c>
      <c r="K243" s="63">
        <f>VLOOKUP($B243,'Tillförd energi'!$B$1:$AI$720,MATCH(K$2,'Tillförd energi'!$B$1:$AQ$1,0),FALSE)</f>
        <v>0</v>
      </c>
      <c r="L243" s="63">
        <f>VLOOKUP($B243,'Tillförd energi'!$B$1:$AI$720,MATCH(L$2,'Tillförd energi'!$B$1:$AQ$1,0),FALSE)</f>
        <v>10.4</v>
      </c>
      <c r="M243" s="63">
        <f>VLOOKUP($B243,'Tillförd energi'!$B$1:$AI$720,MATCH(M$2,'Tillförd energi'!$B$1:$AQ$1,0),FALSE)</f>
        <v>23</v>
      </c>
      <c r="N243" s="63">
        <f>VLOOKUP($B243,'Tillförd energi'!$B$1:$AI$720,MATCH(N$2,'Tillförd energi'!$B$1:$AQ$1,0),FALSE)</f>
        <v>78.7</v>
      </c>
      <c r="O243" s="63">
        <f>VLOOKUP($B243,'Tillförd energi'!$B$1:$AI$720,MATCH(O$2,'Tillförd energi'!$B$1:$AQ$1,0),FALSE)</f>
        <v>0</v>
      </c>
      <c r="P243" s="63">
        <f>VLOOKUP($B243,'Tillförd energi'!$B$1:$AI$720,MATCH(P$2,'Tillförd energi'!$B$1:$AQ$1,0),FALSE)</f>
        <v>0</v>
      </c>
      <c r="Q243" s="63">
        <f>VLOOKUP($B243,'Tillförd energi'!$B$1:$AI$720,MATCH(Q$2,'Tillförd energi'!$B$1:$AQ$1,0),FALSE)</f>
        <v>0</v>
      </c>
      <c r="R243" s="63">
        <f>VLOOKUP($B243,'Tillförd energi'!$B$1:$AI$720,MATCH(R$2,'Tillförd energi'!$B$1:$AQ$1,0),FALSE)</f>
        <v>0</v>
      </c>
      <c r="S243" s="63">
        <f>VLOOKUP($B243,'Tillförd energi'!$B$1:$AI$720,MATCH(S$2,'Tillförd energi'!$B$1:$AQ$1,0),FALSE)</f>
        <v>0</v>
      </c>
      <c r="T243" s="63">
        <f>VLOOKUP($B243,'Tillförd energi'!$B$1:$AI$720,MATCH(T$2,'Tillförd energi'!$B$1:$AQ$1,0),FALSE)</f>
        <v>0</v>
      </c>
      <c r="U243" s="63">
        <f>VLOOKUP($B243,'Tillförd energi'!$B$1:$AI$720,MATCH(U$2,'Tillförd energi'!$B$1:$AQ$1,0),FALSE)</f>
        <v>0</v>
      </c>
      <c r="V243" s="63">
        <f>VLOOKUP($B243,'Tillförd energi'!$B$1:$AI$720,MATCH(V$2,'Tillförd energi'!$B$1:$AQ$1,0),FALSE)</f>
        <v>0</v>
      </c>
      <c r="W243" s="63">
        <f>VLOOKUP($B243,'Tillförd energi'!$B$1:$AI$720,MATCH(W$2,'Tillförd energi'!$B$1:$AQ$1,0),FALSE)</f>
        <v>0</v>
      </c>
      <c r="X243" s="63">
        <f>VLOOKUP($B243,'Tillförd energi'!$B$1:$AI$720,MATCH(X$2,'Tillförd energi'!$B$1:$AQ$1,0),FALSE)</f>
        <v>0</v>
      </c>
      <c r="Y243" s="63">
        <f>VLOOKUP($B243,'Tillförd energi'!$B$1:$AI$720,MATCH(Y$2,'Tillförd energi'!$B$1:$AQ$1,0),FALSE)</f>
        <v>0</v>
      </c>
      <c r="Z243" s="63">
        <f>VLOOKUP($B243,'Tillförd energi'!$B$1:$AI$720,MATCH(Z$2,'Tillförd energi'!$B$1:$AQ$1,0),FALSE)</f>
        <v>0</v>
      </c>
      <c r="AA243" s="63">
        <f>VLOOKUP($B243,'Tillförd energi'!$B$1:$AI$720,MATCH(AA$2,'Tillförd energi'!$B$1:$AQ$1,0),FALSE)</f>
        <v>0</v>
      </c>
      <c r="AB243" s="63">
        <f>VLOOKUP($B243,'Tillförd energi'!$B$1:$AI$720,MATCH(AB$2,'Tillförd energi'!$B$1:$AQ$1,0),FALSE)</f>
        <v>0</v>
      </c>
      <c r="AC243" s="63">
        <f>VLOOKUP($B243,'Tillförd energi'!$B$1:$AI$720,MATCH(AC$2,'Tillförd energi'!$B$1:$AQ$1,0),FALSE)</f>
        <v>12.9</v>
      </c>
      <c r="AD243" s="63">
        <f>VLOOKUP($B243,'Tillförd energi'!$B$1:$AI$720,MATCH(AD$2,'Tillförd energi'!$B$1:$AQ$1,0),FALSE)</f>
        <v>0.15</v>
      </c>
      <c r="AE243" s="63">
        <f>VLOOKUP($B243,'Tillförd energi'!$B$1:$AI$720,MATCH(AE$2,'Tillförd energi'!$B$1:$AQ$1,0),FALSE)</f>
        <v>0</v>
      </c>
      <c r="AF243" s="63">
        <f>VLOOKUP($B243,'Tillförd energi'!$B$1:$AI$720,MATCH(AF$2,'Tillförd energi'!$B$1:$AQ$1,0),FALSE)</f>
        <v>1.91</v>
      </c>
      <c r="AG243" s="63">
        <f>IFERROR(VLOOKUP(B243,Miljö!$B$1:$AC$550,MATCH("Köpt mängd produktionsspecifik fjärrvärme:",Miljö!$B$1:$AC$1,0),FALSE)/1,0)</f>
        <v>0</v>
      </c>
      <c r="AI243" s="63">
        <f t="shared" si="18"/>
        <v>127.71000000000001</v>
      </c>
      <c r="AJ243" s="63">
        <f>IF(ISERROR(1/VLOOKUP($B243,Leveranser!$B$1:$S$500,MATCH("såld värme (gwh)",Leveranser!$B$1:$S$1,0),FALSE)),"",VLOOKUP($B243,Leveranser!$B$1:$S$500,MATCH("såld värme (gwh)",Leveranser!$B$1:$S$1,0),FALSE))</f>
        <v>87.8</v>
      </c>
      <c r="AM243" s="63" t="str">
        <f>IF(B243&lt;&gt;"",IF(VLOOKUP($B243,Totalt!$B$1:$AQ$554,MATCH("Kvalitetsgranskad:",Totalt!$B$1:$AQ$1,0),FALSE)="ja",VLOOKUP($B243,Miljö!$B$1:$AG$479,MATCH(AM$2,Miljö!$B$1:$AK$1,0),FALSE),""),"")</f>
        <v>Ja</v>
      </c>
      <c r="AN243" s="63" t="str">
        <f>IF(AM243="ja",VLOOKUP($B243,Miljö!$B$1:$J$479,MATCH("Typ av ursprungsspecificerad el   (Om inget värde anges används Nordisk residualmix, se inforuta) ()",Miljö!$B$1:$J$1,0),FALSE),IF(AM243="nej","Nordisk residualel",""))</f>
        <v>-</v>
      </c>
      <c r="AO243" s="63">
        <f>IF(AM243="","",VLOOKUP($B243,Miljö!$B$1:$J$479,MATCH("Fossilandel för ursprungspecificerad el ()",Miljö!$B$1:$J$1,0),FALSE))</f>
        <v>0.35</v>
      </c>
      <c r="AQ243" s="63">
        <f t="shared" si="19"/>
        <v>0.65</v>
      </c>
      <c r="AS243" s="63" t="str">
        <f t="shared" si="20"/>
        <v>Nej</v>
      </c>
      <c r="AT243" s="63" t="str">
        <f>IF(AS243="ja",VLOOKUP($B243,Miljö!$B$1:$P$500,MATCH("Fossil andel i procent (%)",Miljö!$B$1:$P$1,0),FALSE)/100,"")</f>
        <v/>
      </c>
      <c r="AV243" s="63" t="str">
        <f t="shared" si="21"/>
        <v>Nej</v>
      </c>
      <c r="AW243" s="63" t="str">
        <f>IF(AV243="ja",VLOOKUP($B243,'Egen hetvattenprod'!$B$1:$AO$500,MATCH("Värmekälla till värmepumpar ()",'Egen hetvattenprod'!$B$1:$AO$1,0),FALSE),"")</f>
        <v/>
      </c>
      <c r="AY243" s="63" t="str">
        <f t="shared" si="22"/>
        <v>Ja</v>
      </c>
      <c r="AZ243" s="77">
        <f>IF($AY243="ja",(VLOOKUP($B243,'Egen hetvattenprod'!$B$1:$BX$550,MATCH(AZ$2,'Egen hetvattenprod'!$B$1:$BX$1,0),FALSE)+VLOOKUP($B243,Kraftvärmeprod!$B$1:$BX$550,MATCH(AZ$2,Kraftvärmeprod!$B$1:$BX$1,0),FALSE))/$AC243,"")</f>
        <v>1</v>
      </c>
      <c r="BA243" s="77">
        <f>IF($AY243="ja",(VLOOKUP($B243,'Egen hetvattenprod'!$B$1:$BX$550,MATCH(BA$2,'Egen hetvattenprod'!$B$1:$BX$1,0),FALSE)+VLOOKUP($B243,Kraftvärmeprod!$B$1:$BX$550,MATCH(BA$2,Kraftvärmeprod!$B$1:$BX$1,0),FALSE))/$AC243,"")</f>
        <v>0</v>
      </c>
      <c r="BB243" s="77">
        <f>IF($AY243="ja",(VLOOKUP($B243,'Egen hetvattenprod'!$B$1:$BX$550,MATCH(BB$2,'Egen hetvattenprod'!$B$1:$BX$1,0),FALSE)+VLOOKUP($B243,Kraftvärmeprod!$B$1:$BX$550,MATCH(BB$2,Kraftvärmeprod!$B$1:$BX$1,0),FALSE))/$AC243,"")</f>
        <v>0</v>
      </c>
      <c r="BC243" s="77">
        <f>IF($AY243="ja",(VLOOKUP($B243,'Egen hetvattenprod'!$B$1:$BX$550,MATCH(BC$2,'Egen hetvattenprod'!$B$1:$BX$1,0),FALSE)+VLOOKUP($B243,Kraftvärmeprod!$B$1:$BX$550,MATCH(BC$2,Kraftvärmeprod!$B$1:$BX$1,0),FALSE))/$AC243,"")</f>
        <v>0</v>
      </c>
      <c r="BD243" s="77">
        <f>IF($AY243="ja",(VLOOKUP($B243,'Egen hetvattenprod'!$B$1:$BX$550,MATCH(BD$2,'Egen hetvattenprod'!$B$1:$BX$1,0),FALSE)+VLOOKUP($B243,Kraftvärmeprod!$B$1:$BX$550,MATCH(BD$2,Kraftvärmeprod!$B$1:$BX$1,0),FALSE))/$AC243,"")</f>
        <v>0</v>
      </c>
      <c r="BF243" s="63" t="str">
        <f t="shared" si="23"/>
        <v>Nej</v>
      </c>
      <c r="BG243" s="63" t="str">
        <f>IF($BF243="ja",VLOOKUP($B243,'Egen hetvattenprod'!$B$1:$BX$550,MATCH("Andelen klimatgaser med fossilt ursprung för avfall ()",'Egen hetvattenprod'!$B$1:$BX$1,0),FALSE),"")</f>
        <v/>
      </c>
      <c r="BH243" s="63" t="str">
        <f>IF($BF243="ja",VLOOKUP($B243,Kraftvärmeprod!$B$1:$BX$550,MATCH("Andelen klimatgaser med fossilt ursprung för avfall ()",Kraftvärmeprod!$B$1:$BX$1,0),FALSE),"")</f>
        <v/>
      </c>
      <c r="BI243" s="63" t="str">
        <f>IF($BF243="ja",VLOOKUP($B243,'Egen hetvattenprod'!$B$1:$BX$550,MATCH("Avfall (GWh)",'Egen hetvattenprod'!$B$1:$BX$1,0),FALSE),"")</f>
        <v/>
      </c>
      <c r="BJ243" s="63" t="str">
        <f>IF($BF243="ja",VLOOKUP($B243,'Slutlig allokering kvv'!$B$1:$BX$550,MATCH("Avfall (GWh)",'Slutlig allokering kvv'!$B$1:$BX$1,0),FALSE),"")</f>
        <v/>
      </c>
      <c r="BK243" s="63" t="str">
        <f>IF($BF243="ja",VLOOKUP($B243,'Köpt hetvatten'!$B$1:$BX$550,MATCH("Avfall i köpt hetvatten",'Köpt hetvatten'!$B$1:$BX$1,0),FALSE),"")</f>
        <v/>
      </c>
      <c r="BL243" s="63" t="str">
        <f>IF($BF243="ja",VLOOKUP($B243,'Egen hetvattenprod'!$B$1:$BX$550,MATCH("Värde enligt ovan. (%)",'Egen hetvattenprod'!$B$1:$BX$1,0),FALSE),"")</f>
        <v/>
      </c>
      <c r="BM243" s="63" t="str">
        <f>IF($BF243="ja",VLOOKUP($B243,Kraftvärmeprod!$B$1:$BX$550,MATCH("Värde enligt ovan. (%)",Kraftvärmeprod!$B$1:$BX$1,0),FALSE),"")</f>
        <v/>
      </c>
    </row>
    <row r="244" spans="1:65" x14ac:dyDescent="0.45">
      <c r="A244" s="63" t="s">
        <v>342</v>
      </c>
      <c r="B244" s="63" t="s">
        <v>358</v>
      </c>
      <c r="C244" s="63">
        <f>VLOOKUP($B244,'Tillförd energi'!$B$1:$AI$720,MATCH(C$2,'Tillförd energi'!$B$1:$AQ$1,0),FALSE)</f>
        <v>0</v>
      </c>
      <c r="D244" s="63">
        <f>VLOOKUP($B244,'Tillförd energi'!$B$1:$AI$720,MATCH(D$2,'Tillförd energi'!$B$1:$AQ$1,0),FALSE)</f>
        <v>0.26700000000000002</v>
      </c>
      <c r="E244" s="63">
        <f>VLOOKUP($B244,'Tillförd energi'!$B$1:$AI$720,MATCH(E$2,'Tillförd energi'!$B$1:$AQ$1,0),FALSE)</f>
        <v>0</v>
      </c>
      <c r="F244" s="63">
        <f>VLOOKUP($B244,'Tillförd energi'!$B$1:$AI$720,MATCH(F$2,'Tillförd energi'!$B$1:$AQ$1,0),FALSE)</f>
        <v>0</v>
      </c>
      <c r="G244" s="63">
        <f>VLOOKUP($B244,'Tillförd energi'!$B$1:$AI$720,MATCH(G$2,'Tillförd energi'!$B$1:$AQ$1,0),FALSE)</f>
        <v>0</v>
      </c>
      <c r="H244" s="63">
        <f>VLOOKUP($B244,'Tillförd energi'!$B$1:$AI$720,MATCH(H$2,'Tillförd energi'!$B$1:$AQ$1,0),FALSE)</f>
        <v>0</v>
      </c>
      <c r="I244" s="63">
        <f>VLOOKUP($B244,'Tillförd energi'!$B$1:$AI$720,MATCH(I$2,'Tillförd energi'!$B$1:$AQ$1,0),FALSE)</f>
        <v>0</v>
      </c>
      <c r="J244" s="63">
        <f>VLOOKUP($B244,'Tillförd energi'!$B$1:$AI$720,MATCH(J$2,'Tillförd energi'!$B$1:$AQ$1,0),FALSE)</f>
        <v>0</v>
      </c>
      <c r="K244" s="63">
        <f>VLOOKUP($B244,'Tillförd energi'!$B$1:$AI$720,MATCH(K$2,'Tillförd energi'!$B$1:$AQ$1,0),FALSE)</f>
        <v>0</v>
      </c>
      <c r="L244" s="63">
        <f>VLOOKUP($B244,'Tillförd energi'!$B$1:$AI$720,MATCH(L$2,'Tillförd energi'!$B$1:$AQ$1,0),FALSE)</f>
        <v>0</v>
      </c>
      <c r="M244" s="63">
        <f>VLOOKUP($B244,'Tillförd energi'!$B$1:$AI$720,MATCH(M$2,'Tillförd energi'!$B$1:$AQ$1,0),FALSE)</f>
        <v>0</v>
      </c>
      <c r="N244" s="63">
        <f>VLOOKUP($B244,'Tillförd energi'!$B$1:$AI$720,MATCH(N$2,'Tillförd energi'!$B$1:$AQ$1,0),FALSE)</f>
        <v>0</v>
      </c>
      <c r="O244" s="63">
        <f>VLOOKUP($B244,'Tillförd energi'!$B$1:$AI$720,MATCH(O$2,'Tillförd energi'!$B$1:$AQ$1,0),FALSE)</f>
        <v>0</v>
      </c>
      <c r="P244" s="63">
        <f>VLOOKUP($B244,'Tillförd energi'!$B$1:$AI$720,MATCH(P$2,'Tillförd energi'!$B$1:$AQ$1,0),FALSE)</f>
        <v>0</v>
      </c>
      <c r="Q244" s="63">
        <f>VLOOKUP($B244,'Tillförd energi'!$B$1:$AI$720,MATCH(Q$2,'Tillförd energi'!$B$1:$AQ$1,0),FALSE)</f>
        <v>0</v>
      </c>
      <c r="R244" s="63">
        <f>VLOOKUP($B244,'Tillförd energi'!$B$1:$AI$720,MATCH(R$2,'Tillförd energi'!$B$1:$AQ$1,0),FALSE)</f>
        <v>9.5220000000000002</v>
      </c>
      <c r="S244" s="63">
        <f>VLOOKUP($B244,'Tillförd energi'!$B$1:$AI$720,MATCH(S$2,'Tillförd energi'!$B$1:$AQ$1,0),FALSE)</f>
        <v>0</v>
      </c>
      <c r="T244" s="63">
        <f>VLOOKUP($B244,'Tillförd energi'!$B$1:$AI$720,MATCH(T$2,'Tillförd energi'!$B$1:$AQ$1,0),FALSE)</f>
        <v>0</v>
      </c>
      <c r="U244" s="63">
        <f>VLOOKUP($B244,'Tillförd energi'!$B$1:$AI$720,MATCH(U$2,'Tillförd energi'!$B$1:$AQ$1,0),FALSE)</f>
        <v>0</v>
      </c>
      <c r="V244" s="63">
        <f>VLOOKUP($B244,'Tillförd energi'!$B$1:$AI$720,MATCH(V$2,'Tillförd energi'!$B$1:$AQ$1,0),FALSE)</f>
        <v>0</v>
      </c>
      <c r="W244" s="63">
        <f>VLOOKUP($B244,'Tillförd energi'!$B$1:$AI$720,MATCH(W$2,'Tillförd energi'!$B$1:$AQ$1,0),FALSE)</f>
        <v>0</v>
      </c>
      <c r="X244" s="63">
        <f>VLOOKUP($B244,'Tillförd energi'!$B$1:$AI$720,MATCH(X$2,'Tillförd energi'!$B$1:$AQ$1,0),FALSE)</f>
        <v>0</v>
      </c>
      <c r="Y244" s="63">
        <f>VLOOKUP($B244,'Tillförd energi'!$B$1:$AI$720,MATCH(Y$2,'Tillförd energi'!$B$1:$AQ$1,0),FALSE)</f>
        <v>0</v>
      </c>
      <c r="Z244" s="63">
        <f>VLOOKUP($B244,'Tillförd energi'!$B$1:$AI$720,MATCH(Z$2,'Tillförd energi'!$B$1:$AQ$1,0),FALSE)</f>
        <v>0</v>
      </c>
      <c r="AA244" s="63">
        <f>VLOOKUP($B244,'Tillförd energi'!$B$1:$AI$720,MATCH(AA$2,'Tillförd energi'!$B$1:$AQ$1,0),FALSE)</f>
        <v>0</v>
      </c>
      <c r="AB244" s="63">
        <f>VLOOKUP($B244,'Tillförd energi'!$B$1:$AI$720,MATCH(AB$2,'Tillförd energi'!$B$1:$AQ$1,0),FALSE)</f>
        <v>0</v>
      </c>
      <c r="AC244" s="63">
        <f>VLOOKUP($B244,'Tillförd energi'!$B$1:$AI$720,MATCH(AC$2,'Tillförd energi'!$B$1:$AQ$1,0),FALSE)</f>
        <v>0</v>
      </c>
      <c r="AD244" s="63">
        <f>VLOOKUP($B244,'Tillförd energi'!$B$1:$AI$720,MATCH(AD$2,'Tillförd energi'!$B$1:$AQ$1,0),FALSE)</f>
        <v>0</v>
      </c>
      <c r="AE244" s="63">
        <f>VLOOKUP($B244,'Tillförd energi'!$B$1:$AI$720,MATCH(AE$2,'Tillförd energi'!$B$1:$AQ$1,0),FALSE)</f>
        <v>0</v>
      </c>
      <c r="AF244" s="63">
        <f>VLOOKUP($B244,'Tillförd energi'!$B$1:$AI$720,MATCH(AF$2,'Tillförd energi'!$B$1:$AQ$1,0),FALSE)</f>
        <v>0.12</v>
      </c>
      <c r="AG244" s="63">
        <f>IFERROR(VLOOKUP(B244,Miljö!$B$1:$AC$550,MATCH("Köpt mängd produktionsspecifik fjärrvärme:",Miljö!$B$1:$AC$1,0),FALSE)/1,0)</f>
        <v>0</v>
      </c>
      <c r="AI244" s="63">
        <f t="shared" si="18"/>
        <v>9.9089999999999989</v>
      </c>
      <c r="AJ244" s="63">
        <f>IF(ISERROR(1/VLOOKUP($B244,Leveranser!$B$1:$S$500,MATCH("såld värme (gwh)",Leveranser!$B$1:$S$1,0),FALSE)),"",VLOOKUP($B244,Leveranser!$B$1:$S$500,MATCH("såld värme (gwh)",Leveranser!$B$1:$S$1,0),FALSE))</f>
        <v>7.8650000000000002</v>
      </c>
      <c r="AM244" s="63" t="str">
        <f>IF(B244&lt;&gt;"",IF(VLOOKUP($B244,Totalt!$B$1:$AQ$554,MATCH("Kvalitetsgranskad:",Totalt!$B$1:$AQ$1,0),FALSE)="ja",VLOOKUP($B244,Miljö!$B$1:$AG$479,MATCH(AM$2,Miljö!$B$1:$AK$1,0),FALSE),""),"")</f>
        <v>Ja</v>
      </c>
      <c r="AN244" s="63" t="str">
        <f>IF(AM244="ja",VLOOKUP($B244,Miljö!$B$1:$J$479,MATCH("Typ av ursprungsspecificerad el   (Om inget värde anges används Nordisk residualmix, se inforuta) ()",Miljö!$B$1:$J$1,0),FALSE),IF(AM244="nej","Nordisk residualel",""))</f>
        <v>-</v>
      </c>
      <c r="AO244" s="63">
        <f>IF(AM244="","",VLOOKUP($B244,Miljö!$B$1:$J$479,MATCH("Fossilandel för ursprungspecificerad el ()",Miljö!$B$1:$J$1,0),FALSE))</f>
        <v>0</v>
      </c>
      <c r="AQ244" s="63">
        <f t="shared" si="19"/>
        <v>1</v>
      </c>
      <c r="AS244" s="63" t="str">
        <f t="shared" si="20"/>
        <v>Nej</v>
      </c>
      <c r="AT244" s="63" t="str">
        <f>IF(AS244="ja",VLOOKUP($B244,Miljö!$B$1:$P$500,MATCH("Fossil andel i procent (%)",Miljö!$B$1:$P$1,0),FALSE)/100,"")</f>
        <v/>
      </c>
      <c r="AV244" s="63" t="str">
        <f t="shared" si="21"/>
        <v>Nej</v>
      </c>
      <c r="AW244" s="63" t="str">
        <f>IF(AV244="ja",VLOOKUP($B244,'Egen hetvattenprod'!$B$1:$AO$500,MATCH("Värmekälla till värmepumpar ()",'Egen hetvattenprod'!$B$1:$AO$1,0),FALSE),"")</f>
        <v/>
      </c>
      <c r="AY244" s="63" t="str">
        <f t="shared" si="22"/>
        <v>Nej</v>
      </c>
      <c r="AZ244" s="77" t="str">
        <f>IF($AY244="ja",(VLOOKUP($B244,'Egen hetvattenprod'!$B$1:$BX$550,MATCH(AZ$2,'Egen hetvattenprod'!$B$1:$BX$1,0),FALSE)+VLOOKUP($B244,Kraftvärmeprod!$B$1:$BX$550,MATCH(AZ$2,Kraftvärmeprod!$B$1:$BX$1,0),FALSE))/$AC244,"")</f>
        <v/>
      </c>
      <c r="BA244" s="77" t="str">
        <f>IF($AY244="ja",(VLOOKUP($B244,'Egen hetvattenprod'!$B$1:$BX$550,MATCH(BA$2,'Egen hetvattenprod'!$B$1:$BX$1,0),FALSE)+VLOOKUP($B244,Kraftvärmeprod!$B$1:$BX$550,MATCH(BA$2,Kraftvärmeprod!$B$1:$BX$1,0),FALSE))/$AC244,"")</f>
        <v/>
      </c>
      <c r="BB244" s="77" t="str">
        <f>IF($AY244="ja",(VLOOKUP($B244,'Egen hetvattenprod'!$B$1:$BX$550,MATCH(BB$2,'Egen hetvattenprod'!$B$1:$BX$1,0),FALSE)+VLOOKUP($B244,Kraftvärmeprod!$B$1:$BX$550,MATCH(BB$2,Kraftvärmeprod!$B$1:$BX$1,0),FALSE))/$AC244,"")</f>
        <v/>
      </c>
      <c r="BC244" s="77" t="str">
        <f>IF($AY244="ja",(VLOOKUP($B244,'Egen hetvattenprod'!$B$1:$BX$550,MATCH(BC$2,'Egen hetvattenprod'!$B$1:$BX$1,0),FALSE)+VLOOKUP($B244,Kraftvärmeprod!$B$1:$BX$550,MATCH(BC$2,Kraftvärmeprod!$B$1:$BX$1,0),FALSE))/$AC244,"")</f>
        <v/>
      </c>
      <c r="BD244" s="77" t="str">
        <f>IF($AY244="ja",(VLOOKUP($B244,'Egen hetvattenprod'!$B$1:$BX$550,MATCH(BD$2,'Egen hetvattenprod'!$B$1:$BX$1,0),FALSE)+VLOOKUP($B244,Kraftvärmeprod!$B$1:$BX$550,MATCH(BD$2,Kraftvärmeprod!$B$1:$BX$1,0),FALSE))/$AC244,"")</f>
        <v/>
      </c>
      <c r="BF244" s="63" t="str">
        <f t="shared" si="23"/>
        <v>Nej</v>
      </c>
      <c r="BG244" s="63" t="str">
        <f>IF($BF244="ja",VLOOKUP($B244,'Egen hetvattenprod'!$B$1:$BX$550,MATCH("Andelen klimatgaser med fossilt ursprung för avfall ()",'Egen hetvattenprod'!$B$1:$BX$1,0),FALSE),"")</f>
        <v/>
      </c>
      <c r="BH244" s="63" t="str">
        <f>IF($BF244="ja",VLOOKUP($B244,Kraftvärmeprod!$B$1:$BX$550,MATCH("Andelen klimatgaser med fossilt ursprung för avfall ()",Kraftvärmeprod!$B$1:$BX$1,0),FALSE),"")</f>
        <v/>
      </c>
      <c r="BI244" s="63" t="str">
        <f>IF($BF244="ja",VLOOKUP($B244,'Egen hetvattenprod'!$B$1:$BX$550,MATCH("Avfall (GWh)",'Egen hetvattenprod'!$B$1:$BX$1,0),FALSE),"")</f>
        <v/>
      </c>
      <c r="BJ244" s="63" t="str">
        <f>IF($BF244="ja",VLOOKUP($B244,'Slutlig allokering kvv'!$B$1:$BX$550,MATCH("Avfall (GWh)",'Slutlig allokering kvv'!$B$1:$BX$1,0),FALSE),"")</f>
        <v/>
      </c>
      <c r="BK244" s="63" t="str">
        <f>IF($BF244="ja",VLOOKUP($B244,'Köpt hetvatten'!$B$1:$BX$550,MATCH("Avfall i köpt hetvatten",'Köpt hetvatten'!$B$1:$BX$1,0),FALSE),"")</f>
        <v/>
      </c>
      <c r="BL244" s="63" t="str">
        <f>IF($BF244="ja",VLOOKUP($B244,'Egen hetvattenprod'!$B$1:$BX$550,MATCH("Värde enligt ovan. (%)",'Egen hetvattenprod'!$B$1:$BX$1,0),FALSE),"")</f>
        <v/>
      </c>
      <c r="BM244" s="63" t="str">
        <f>IF($BF244="ja",VLOOKUP($B244,Kraftvärmeprod!$B$1:$BX$550,MATCH("Värde enligt ovan. (%)",Kraftvärmeprod!$B$1:$BX$1,0),FALSE),"")</f>
        <v/>
      </c>
    </row>
    <row r="245" spans="1:65" x14ac:dyDescent="0.45">
      <c r="A245" s="63" t="s">
        <v>342</v>
      </c>
      <c r="B245" s="63" t="s">
        <v>357</v>
      </c>
      <c r="C245" s="63">
        <f>VLOOKUP($B245,'Tillförd energi'!$B$1:$AI$720,MATCH(C$2,'Tillförd energi'!$B$1:$AQ$1,0),FALSE)</f>
        <v>0</v>
      </c>
      <c r="D245" s="63">
        <f>VLOOKUP($B245,'Tillförd energi'!$B$1:$AI$720,MATCH(D$2,'Tillförd energi'!$B$1:$AQ$1,0),FALSE)</f>
        <v>0.1</v>
      </c>
      <c r="E245" s="63">
        <f>VLOOKUP($B245,'Tillförd energi'!$B$1:$AI$720,MATCH(E$2,'Tillförd energi'!$B$1:$AQ$1,0),FALSE)</f>
        <v>0</v>
      </c>
      <c r="F245" s="63">
        <f>VLOOKUP($B245,'Tillförd energi'!$B$1:$AI$720,MATCH(F$2,'Tillförd energi'!$B$1:$AQ$1,0),FALSE)</f>
        <v>0</v>
      </c>
      <c r="G245" s="63">
        <f>VLOOKUP($B245,'Tillförd energi'!$B$1:$AI$720,MATCH(G$2,'Tillförd energi'!$B$1:$AQ$1,0),FALSE)</f>
        <v>0</v>
      </c>
      <c r="H245" s="63">
        <f>VLOOKUP($B245,'Tillförd energi'!$B$1:$AI$720,MATCH(H$2,'Tillförd energi'!$B$1:$AQ$1,0),FALSE)</f>
        <v>0</v>
      </c>
      <c r="I245" s="63">
        <f>VLOOKUP($B245,'Tillförd energi'!$B$1:$AI$720,MATCH(I$2,'Tillförd energi'!$B$1:$AQ$1,0),FALSE)</f>
        <v>0</v>
      </c>
      <c r="J245" s="63">
        <f>VLOOKUP($B245,'Tillförd energi'!$B$1:$AI$720,MATCH(J$2,'Tillförd energi'!$B$1:$AQ$1,0),FALSE)</f>
        <v>0</v>
      </c>
      <c r="K245" s="63">
        <f>VLOOKUP($B245,'Tillförd energi'!$B$1:$AI$720,MATCH(K$2,'Tillförd energi'!$B$1:$AQ$1,0),FALSE)</f>
        <v>0</v>
      </c>
      <c r="L245" s="63">
        <f>VLOOKUP($B245,'Tillförd energi'!$B$1:$AI$720,MATCH(L$2,'Tillförd energi'!$B$1:$AQ$1,0),FALSE)</f>
        <v>0</v>
      </c>
      <c r="M245" s="63">
        <f>VLOOKUP($B245,'Tillförd energi'!$B$1:$AI$720,MATCH(M$2,'Tillförd energi'!$B$1:$AQ$1,0),FALSE)</f>
        <v>0</v>
      </c>
      <c r="N245" s="63">
        <f>VLOOKUP($B245,'Tillförd energi'!$B$1:$AI$720,MATCH(N$2,'Tillförd energi'!$B$1:$AQ$1,0),FALSE)</f>
        <v>0</v>
      </c>
      <c r="O245" s="63">
        <f>VLOOKUP($B245,'Tillförd energi'!$B$1:$AI$720,MATCH(O$2,'Tillförd energi'!$B$1:$AQ$1,0),FALSE)</f>
        <v>0</v>
      </c>
      <c r="P245" s="63">
        <f>VLOOKUP($B245,'Tillförd energi'!$B$1:$AI$720,MATCH(P$2,'Tillförd energi'!$B$1:$AQ$1,0),FALSE)</f>
        <v>0</v>
      </c>
      <c r="Q245" s="63">
        <f>VLOOKUP($B245,'Tillförd energi'!$B$1:$AI$720,MATCH(Q$2,'Tillförd energi'!$B$1:$AQ$1,0),FALSE)</f>
        <v>0</v>
      </c>
      <c r="R245" s="63">
        <f>VLOOKUP($B245,'Tillförd energi'!$B$1:$AI$720,MATCH(R$2,'Tillförd energi'!$B$1:$AQ$1,0),FALSE)</f>
        <v>9.8260000000000005</v>
      </c>
      <c r="S245" s="63">
        <f>VLOOKUP($B245,'Tillförd energi'!$B$1:$AI$720,MATCH(S$2,'Tillförd energi'!$B$1:$AQ$1,0),FALSE)</f>
        <v>0</v>
      </c>
      <c r="T245" s="63">
        <f>VLOOKUP($B245,'Tillförd energi'!$B$1:$AI$720,MATCH(T$2,'Tillförd energi'!$B$1:$AQ$1,0),FALSE)</f>
        <v>0</v>
      </c>
      <c r="U245" s="63">
        <f>VLOOKUP($B245,'Tillförd energi'!$B$1:$AI$720,MATCH(U$2,'Tillförd energi'!$B$1:$AQ$1,0),FALSE)</f>
        <v>0</v>
      </c>
      <c r="V245" s="63">
        <f>VLOOKUP($B245,'Tillförd energi'!$B$1:$AI$720,MATCH(V$2,'Tillförd energi'!$B$1:$AQ$1,0),FALSE)</f>
        <v>0</v>
      </c>
      <c r="W245" s="63">
        <f>VLOOKUP($B245,'Tillförd energi'!$B$1:$AI$720,MATCH(W$2,'Tillförd energi'!$B$1:$AQ$1,0),FALSE)</f>
        <v>0</v>
      </c>
      <c r="X245" s="63">
        <f>VLOOKUP($B245,'Tillförd energi'!$B$1:$AI$720,MATCH(X$2,'Tillförd energi'!$B$1:$AQ$1,0),FALSE)</f>
        <v>0</v>
      </c>
      <c r="Y245" s="63">
        <f>VLOOKUP($B245,'Tillförd energi'!$B$1:$AI$720,MATCH(Y$2,'Tillförd energi'!$B$1:$AQ$1,0),FALSE)</f>
        <v>0</v>
      </c>
      <c r="Z245" s="63">
        <f>VLOOKUP($B245,'Tillförd energi'!$B$1:$AI$720,MATCH(Z$2,'Tillförd energi'!$B$1:$AQ$1,0),FALSE)</f>
        <v>0</v>
      </c>
      <c r="AA245" s="63">
        <f>VLOOKUP($B245,'Tillförd energi'!$B$1:$AI$720,MATCH(AA$2,'Tillförd energi'!$B$1:$AQ$1,0),FALSE)</f>
        <v>0</v>
      </c>
      <c r="AB245" s="63">
        <f>VLOOKUP($B245,'Tillförd energi'!$B$1:$AI$720,MATCH(AB$2,'Tillförd energi'!$B$1:$AQ$1,0),FALSE)</f>
        <v>0</v>
      </c>
      <c r="AC245" s="63">
        <f>VLOOKUP($B245,'Tillförd energi'!$B$1:$AI$720,MATCH(AC$2,'Tillförd energi'!$B$1:$AQ$1,0),FALSE)</f>
        <v>0</v>
      </c>
      <c r="AD245" s="63">
        <f>VLOOKUP($B245,'Tillförd energi'!$B$1:$AI$720,MATCH(AD$2,'Tillförd energi'!$B$1:$AQ$1,0),FALSE)</f>
        <v>0</v>
      </c>
      <c r="AE245" s="63">
        <f>VLOOKUP($B245,'Tillförd energi'!$B$1:$AI$720,MATCH(AE$2,'Tillförd energi'!$B$1:$AQ$1,0),FALSE)</f>
        <v>0</v>
      </c>
      <c r="AF245" s="63">
        <f>VLOOKUP($B245,'Tillförd energi'!$B$1:$AI$720,MATCH(AF$2,'Tillförd energi'!$B$1:$AQ$1,0),FALSE)</f>
        <v>0.107</v>
      </c>
      <c r="AG245" s="63">
        <f>IFERROR(VLOOKUP(B245,Miljö!$B$1:$AC$550,MATCH("Köpt mängd produktionsspecifik fjärrvärme:",Miljö!$B$1:$AC$1,0),FALSE)/1,0)</f>
        <v>0</v>
      </c>
      <c r="AI245" s="63">
        <f t="shared" si="18"/>
        <v>10.032999999999999</v>
      </c>
      <c r="AJ245" s="63">
        <f>IF(ISERROR(1/VLOOKUP($B245,Leveranser!$B$1:$S$500,MATCH("såld värme (gwh)",Leveranser!$B$1:$S$1,0),FALSE)),"",VLOOKUP($B245,Leveranser!$B$1:$S$500,MATCH("såld värme (gwh)",Leveranser!$B$1:$S$1,0),FALSE))</f>
        <v>8.0250000000000004</v>
      </c>
      <c r="AM245" s="63" t="str">
        <f>IF(B245&lt;&gt;"",IF(VLOOKUP($B245,Totalt!$B$1:$AQ$554,MATCH("Kvalitetsgranskad:",Totalt!$B$1:$AQ$1,0),FALSE)="ja",VLOOKUP($B245,Miljö!$B$1:$AG$479,MATCH(AM$2,Miljö!$B$1:$AK$1,0),FALSE),""),"")</f>
        <v>Ja</v>
      </c>
      <c r="AN245" s="63" t="str">
        <f>IF(AM245="ja",VLOOKUP($B245,Miljö!$B$1:$J$479,MATCH("Typ av ursprungsspecificerad el   (Om inget värde anges används Nordisk residualmix, se inforuta) ()",Miljö!$B$1:$J$1,0),FALSE),IF(AM245="nej","Nordisk residualel",""))</f>
        <v>-</v>
      </c>
      <c r="AO245" s="63">
        <f>IF(AM245="","",VLOOKUP($B245,Miljö!$B$1:$J$479,MATCH("Fossilandel för ursprungspecificerad el ()",Miljö!$B$1:$J$1,0),FALSE))</f>
        <v>0</v>
      </c>
      <c r="AQ245" s="63">
        <f t="shared" si="19"/>
        <v>1</v>
      </c>
      <c r="AS245" s="63" t="str">
        <f t="shared" si="20"/>
        <v>Nej</v>
      </c>
      <c r="AT245" s="63" t="str">
        <f>IF(AS245="ja",VLOOKUP($B245,Miljö!$B$1:$P$500,MATCH("Fossil andel i procent (%)",Miljö!$B$1:$P$1,0),FALSE)/100,"")</f>
        <v/>
      </c>
      <c r="AV245" s="63" t="str">
        <f t="shared" si="21"/>
        <v>Nej</v>
      </c>
      <c r="AW245" s="63" t="str">
        <f>IF(AV245="ja",VLOOKUP($B245,'Egen hetvattenprod'!$B$1:$AO$500,MATCH("Värmekälla till värmepumpar ()",'Egen hetvattenprod'!$B$1:$AO$1,0),FALSE),"")</f>
        <v/>
      </c>
      <c r="AY245" s="63" t="str">
        <f t="shared" si="22"/>
        <v>Nej</v>
      </c>
      <c r="AZ245" s="77" t="str">
        <f>IF($AY245="ja",(VLOOKUP($B245,'Egen hetvattenprod'!$B$1:$BX$550,MATCH(AZ$2,'Egen hetvattenprod'!$B$1:$BX$1,0),FALSE)+VLOOKUP($B245,Kraftvärmeprod!$B$1:$BX$550,MATCH(AZ$2,Kraftvärmeprod!$B$1:$BX$1,0),FALSE))/$AC245,"")</f>
        <v/>
      </c>
      <c r="BA245" s="77" t="str">
        <f>IF($AY245="ja",(VLOOKUP($B245,'Egen hetvattenprod'!$B$1:$BX$550,MATCH(BA$2,'Egen hetvattenprod'!$B$1:$BX$1,0),FALSE)+VLOOKUP($B245,Kraftvärmeprod!$B$1:$BX$550,MATCH(BA$2,Kraftvärmeprod!$B$1:$BX$1,0),FALSE))/$AC245,"")</f>
        <v/>
      </c>
      <c r="BB245" s="77" t="str">
        <f>IF($AY245="ja",(VLOOKUP($B245,'Egen hetvattenprod'!$B$1:$BX$550,MATCH(BB$2,'Egen hetvattenprod'!$B$1:$BX$1,0),FALSE)+VLOOKUP($B245,Kraftvärmeprod!$B$1:$BX$550,MATCH(BB$2,Kraftvärmeprod!$B$1:$BX$1,0),FALSE))/$AC245,"")</f>
        <v/>
      </c>
      <c r="BC245" s="77" t="str">
        <f>IF($AY245="ja",(VLOOKUP($B245,'Egen hetvattenprod'!$B$1:$BX$550,MATCH(BC$2,'Egen hetvattenprod'!$B$1:$BX$1,0),FALSE)+VLOOKUP($B245,Kraftvärmeprod!$B$1:$BX$550,MATCH(BC$2,Kraftvärmeprod!$B$1:$BX$1,0),FALSE))/$AC245,"")</f>
        <v/>
      </c>
      <c r="BD245" s="77" t="str">
        <f>IF($AY245="ja",(VLOOKUP($B245,'Egen hetvattenprod'!$B$1:$BX$550,MATCH(BD$2,'Egen hetvattenprod'!$B$1:$BX$1,0),FALSE)+VLOOKUP($B245,Kraftvärmeprod!$B$1:$BX$550,MATCH(BD$2,Kraftvärmeprod!$B$1:$BX$1,0),FALSE))/$AC245,"")</f>
        <v/>
      </c>
      <c r="BF245" s="63" t="str">
        <f t="shared" si="23"/>
        <v>Nej</v>
      </c>
      <c r="BG245" s="63" t="str">
        <f>IF($BF245="ja",VLOOKUP($B245,'Egen hetvattenprod'!$B$1:$BX$550,MATCH("Andelen klimatgaser med fossilt ursprung för avfall ()",'Egen hetvattenprod'!$B$1:$BX$1,0),FALSE),"")</f>
        <v/>
      </c>
      <c r="BH245" s="63" t="str">
        <f>IF($BF245="ja",VLOOKUP($B245,Kraftvärmeprod!$B$1:$BX$550,MATCH("Andelen klimatgaser med fossilt ursprung för avfall ()",Kraftvärmeprod!$B$1:$BX$1,0),FALSE),"")</f>
        <v/>
      </c>
      <c r="BI245" s="63" t="str">
        <f>IF($BF245="ja",VLOOKUP($B245,'Egen hetvattenprod'!$B$1:$BX$550,MATCH("Avfall (GWh)",'Egen hetvattenprod'!$B$1:$BX$1,0),FALSE),"")</f>
        <v/>
      </c>
      <c r="BJ245" s="63" t="str">
        <f>IF($BF245="ja",VLOOKUP($B245,'Slutlig allokering kvv'!$B$1:$BX$550,MATCH("Avfall (GWh)",'Slutlig allokering kvv'!$B$1:$BX$1,0),FALSE),"")</f>
        <v/>
      </c>
      <c r="BK245" s="63" t="str">
        <f>IF($BF245="ja",VLOOKUP($B245,'Köpt hetvatten'!$B$1:$BX$550,MATCH("Avfall i köpt hetvatten",'Köpt hetvatten'!$B$1:$BX$1,0),FALSE),"")</f>
        <v/>
      </c>
      <c r="BL245" s="63" t="str">
        <f>IF($BF245="ja",VLOOKUP($B245,'Egen hetvattenprod'!$B$1:$BX$550,MATCH("Värde enligt ovan. (%)",'Egen hetvattenprod'!$B$1:$BX$1,0),FALSE),"")</f>
        <v/>
      </c>
      <c r="BM245" s="63" t="str">
        <f>IF($BF245="ja",VLOOKUP($B245,Kraftvärmeprod!$B$1:$BX$550,MATCH("Värde enligt ovan. (%)",Kraftvärmeprod!$B$1:$BX$1,0),FALSE),"")</f>
        <v/>
      </c>
    </row>
    <row r="246" spans="1:65" x14ac:dyDescent="0.45">
      <c r="A246" s="63" t="s">
        <v>342</v>
      </c>
      <c r="B246" s="63" t="s">
        <v>356</v>
      </c>
      <c r="C246" s="63">
        <f>VLOOKUP($B246,'Tillförd energi'!$B$1:$AI$720,MATCH(C$2,'Tillförd energi'!$B$1:$AQ$1,0),FALSE)</f>
        <v>0</v>
      </c>
      <c r="D246" s="63">
        <f>VLOOKUP($B246,'Tillförd energi'!$B$1:$AI$720,MATCH(D$2,'Tillförd energi'!$B$1:$AQ$1,0),FALSE)</f>
        <v>0.20100000000000001</v>
      </c>
      <c r="E246" s="63">
        <f>VLOOKUP($B246,'Tillförd energi'!$B$1:$AI$720,MATCH(E$2,'Tillförd energi'!$B$1:$AQ$1,0),FALSE)</f>
        <v>0</v>
      </c>
      <c r="F246" s="63">
        <f>VLOOKUP($B246,'Tillförd energi'!$B$1:$AI$720,MATCH(F$2,'Tillförd energi'!$B$1:$AQ$1,0),FALSE)</f>
        <v>0</v>
      </c>
      <c r="G246" s="63">
        <f>VLOOKUP($B246,'Tillförd energi'!$B$1:$AI$720,MATCH(G$2,'Tillförd energi'!$B$1:$AQ$1,0),FALSE)</f>
        <v>0</v>
      </c>
      <c r="H246" s="63">
        <f>VLOOKUP($B246,'Tillförd energi'!$B$1:$AI$720,MATCH(H$2,'Tillförd energi'!$B$1:$AQ$1,0),FALSE)</f>
        <v>0</v>
      </c>
      <c r="I246" s="63">
        <f>VLOOKUP($B246,'Tillförd energi'!$B$1:$AI$720,MATCH(I$2,'Tillförd energi'!$B$1:$AQ$1,0),FALSE)</f>
        <v>0</v>
      </c>
      <c r="J246" s="63">
        <f>VLOOKUP($B246,'Tillförd energi'!$B$1:$AI$720,MATCH(J$2,'Tillförd energi'!$B$1:$AQ$1,0),FALSE)</f>
        <v>0</v>
      </c>
      <c r="K246" s="63">
        <f>VLOOKUP($B246,'Tillförd energi'!$B$1:$AI$720,MATCH(K$2,'Tillförd energi'!$B$1:$AQ$1,0),FALSE)</f>
        <v>0</v>
      </c>
      <c r="L246" s="63">
        <f>VLOOKUP($B246,'Tillförd energi'!$B$1:$AI$720,MATCH(L$2,'Tillförd energi'!$B$1:$AQ$1,0),FALSE)</f>
        <v>0</v>
      </c>
      <c r="M246" s="63">
        <f>VLOOKUP($B246,'Tillförd energi'!$B$1:$AI$720,MATCH(M$2,'Tillförd energi'!$B$1:$AQ$1,0),FALSE)</f>
        <v>7.9619999999999997</v>
      </c>
      <c r="N246" s="63">
        <f>VLOOKUP($B246,'Tillförd energi'!$B$1:$AI$720,MATCH(N$2,'Tillförd energi'!$B$1:$AQ$1,0),FALSE)</f>
        <v>0</v>
      </c>
      <c r="O246" s="63">
        <f>VLOOKUP($B246,'Tillförd energi'!$B$1:$AI$720,MATCH(O$2,'Tillförd energi'!$B$1:$AQ$1,0),FALSE)</f>
        <v>7.9619999999999997</v>
      </c>
      <c r="P246" s="63">
        <f>VLOOKUP($B246,'Tillförd energi'!$B$1:$AI$720,MATCH(P$2,'Tillförd energi'!$B$1:$AQ$1,0),FALSE)</f>
        <v>0</v>
      </c>
      <c r="Q246" s="63">
        <f>VLOOKUP($B246,'Tillförd energi'!$B$1:$AI$720,MATCH(Q$2,'Tillförd energi'!$B$1:$AQ$1,0),FALSE)</f>
        <v>0</v>
      </c>
      <c r="R246" s="63">
        <f>VLOOKUP($B246,'Tillförd energi'!$B$1:$AI$720,MATCH(R$2,'Tillförd energi'!$B$1:$AQ$1,0),FALSE)</f>
        <v>6.4020000000000001</v>
      </c>
      <c r="S246" s="63">
        <f>VLOOKUP($B246,'Tillförd energi'!$B$1:$AI$720,MATCH(S$2,'Tillförd energi'!$B$1:$AQ$1,0),FALSE)</f>
        <v>0</v>
      </c>
      <c r="T246" s="63">
        <f>VLOOKUP($B246,'Tillförd energi'!$B$1:$AI$720,MATCH(T$2,'Tillförd energi'!$B$1:$AQ$1,0),FALSE)</f>
        <v>0</v>
      </c>
      <c r="U246" s="63">
        <f>VLOOKUP($B246,'Tillförd energi'!$B$1:$AI$720,MATCH(U$2,'Tillförd energi'!$B$1:$AQ$1,0),FALSE)</f>
        <v>0</v>
      </c>
      <c r="V246" s="63">
        <f>VLOOKUP($B246,'Tillförd energi'!$B$1:$AI$720,MATCH(V$2,'Tillförd energi'!$B$1:$AQ$1,0),FALSE)</f>
        <v>0</v>
      </c>
      <c r="W246" s="63">
        <f>VLOOKUP($B246,'Tillförd energi'!$B$1:$AI$720,MATCH(W$2,'Tillförd energi'!$B$1:$AQ$1,0),FALSE)</f>
        <v>0</v>
      </c>
      <c r="X246" s="63">
        <f>VLOOKUP($B246,'Tillförd energi'!$B$1:$AI$720,MATCH(X$2,'Tillförd energi'!$B$1:$AQ$1,0),FALSE)</f>
        <v>0</v>
      </c>
      <c r="Y246" s="63">
        <f>VLOOKUP($B246,'Tillförd energi'!$B$1:$AI$720,MATCH(Y$2,'Tillförd energi'!$B$1:$AQ$1,0),FALSE)</f>
        <v>0</v>
      </c>
      <c r="Z246" s="63">
        <f>VLOOKUP($B246,'Tillförd energi'!$B$1:$AI$720,MATCH(Z$2,'Tillförd energi'!$B$1:$AQ$1,0),FALSE)</f>
        <v>0</v>
      </c>
      <c r="AA246" s="63">
        <f>VLOOKUP($B246,'Tillförd energi'!$B$1:$AI$720,MATCH(AA$2,'Tillförd energi'!$B$1:$AQ$1,0),FALSE)</f>
        <v>0</v>
      </c>
      <c r="AB246" s="63">
        <f>VLOOKUP($B246,'Tillförd energi'!$B$1:$AI$720,MATCH(AB$2,'Tillförd energi'!$B$1:$AQ$1,0),FALSE)</f>
        <v>0</v>
      </c>
      <c r="AC246" s="63">
        <f>VLOOKUP($B246,'Tillförd energi'!$B$1:$AI$720,MATCH(AC$2,'Tillförd energi'!$B$1:$AQ$1,0),FALSE)</f>
        <v>0</v>
      </c>
      <c r="AD246" s="63">
        <f>VLOOKUP($B246,'Tillförd energi'!$B$1:$AI$720,MATCH(AD$2,'Tillförd energi'!$B$1:$AQ$1,0),FALSE)</f>
        <v>0</v>
      </c>
      <c r="AE246" s="63">
        <f>VLOOKUP($B246,'Tillförd energi'!$B$1:$AI$720,MATCH(AE$2,'Tillförd energi'!$B$1:$AQ$1,0),FALSE)</f>
        <v>0</v>
      </c>
      <c r="AF246" s="63">
        <f>VLOOKUP($B246,'Tillförd energi'!$B$1:$AI$720,MATCH(AF$2,'Tillförd energi'!$B$1:$AQ$1,0),FALSE)</f>
        <v>0.36199999999999999</v>
      </c>
      <c r="AG246" s="63">
        <f>IFERROR(VLOOKUP(B246,Miljö!$B$1:$AC$550,MATCH("Köpt mängd produktionsspecifik fjärrvärme:",Miljö!$B$1:$AC$1,0),FALSE)/1,0)</f>
        <v>0</v>
      </c>
      <c r="AI246" s="63">
        <f t="shared" si="18"/>
        <v>22.888999999999999</v>
      </c>
      <c r="AJ246" s="63">
        <f>IF(ISERROR(1/VLOOKUP($B246,Leveranser!$B$1:$S$500,MATCH("såld värme (gwh)",Leveranser!$B$1:$S$1,0),FALSE)),"",VLOOKUP($B246,Leveranser!$B$1:$S$500,MATCH("såld värme (gwh)",Leveranser!$B$1:$S$1,0),FALSE))</f>
        <v>15.529</v>
      </c>
      <c r="AM246" s="63" t="str">
        <f>IF(B246&lt;&gt;"",IF(VLOOKUP($B246,Totalt!$B$1:$AQ$554,MATCH("Kvalitetsgranskad:",Totalt!$B$1:$AQ$1,0),FALSE)="ja",VLOOKUP($B246,Miljö!$B$1:$AG$479,MATCH(AM$2,Miljö!$B$1:$AK$1,0),FALSE),""),"")</f>
        <v>Ja</v>
      </c>
      <c r="AN246" s="63" t="str">
        <f>IF(AM246="ja",VLOOKUP($B246,Miljö!$B$1:$J$479,MATCH("Typ av ursprungsspecificerad el   (Om inget värde anges används Nordisk residualmix, se inforuta) ()",Miljö!$B$1:$J$1,0),FALSE),IF(AM246="nej","Nordisk residualel",""))</f>
        <v>'vatten.vind.bio'</v>
      </c>
      <c r="AO246" s="63">
        <f>IF(AM246="","",VLOOKUP($B246,Miljö!$B$1:$J$479,MATCH("Fossilandel för ursprungspecificerad el ()",Miljö!$B$1:$J$1,0),FALSE))</f>
        <v>0</v>
      </c>
      <c r="AQ246" s="63">
        <f t="shared" si="19"/>
        <v>1</v>
      </c>
      <c r="AS246" s="63" t="str">
        <f t="shared" si="20"/>
        <v>Nej</v>
      </c>
      <c r="AT246" s="63" t="str">
        <f>IF(AS246="ja",VLOOKUP($B246,Miljö!$B$1:$P$500,MATCH("Fossil andel i procent (%)",Miljö!$B$1:$P$1,0),FALSE)/100,"")</f>
        <v/>
      </c>
      <c r="AV246" s="63" t="str">
        <f t="shared" si="21"/>
        <v>Nej</v>
      </c>
      <c r="AW246" s="63" t="str">
        <f>IF(AV246="ja",VLOOKUP($B246,'Egen hetvattenprod'!$B$1:$AO$500,MATCH("Värmekälla till värmepumpar ()",'Egen hetvattenprod'!$B$1:$AO$1,0),FALSE),"")</f>
        <v/>
      </c>
      <c r="AY246" s="63" t="str">
        <f t="shared" si="22"/>
        <v>Nej</v>
      </c>
      <c r="AZ246" s="77" t="str">
        <f>IF($AY246="ja",(VLOOKUP($B246,'Egen hetvattenprod'!$B$1:$BX$550,MATCH(AZ$2,'Egen hetvattenprod'!$B$1:$BX$1,0),FALSE)+VLOOKUP($B246,Kraftvärmeprod!$B$1:$BX$550,MATCH(AZ$2,Kraftvärmeprod!$B$1:$BX$1,0),FALSE))/$AC246,"")</f>
        <v/>
      </c>
      <c r="BA246" s="77" t="str">
        <f>IF($AY246="ja",(VLOOKUP($B246,'Egen hetvattenprod'!$B$1:$BX$550,MATCH(BA$2,'Egen hetvattenprod'!$B$1:$BX$1,0),FALSE)+VLOOKUP($B246,Kraftvärmeprod!$B$1:$BX$550,MATCH(BA$2,Kraftvärmeprod!$B$1:$BX$1,0),FALSE))/$AC246,"")</f>
        <v/>
      </c>
      <c r="BB246" s="77" t="str">
        <f>IF($AY246="ja",(VLOOKUP($B246,'Egen hetvattenprod'!$B$1:$BX$550,MATCH(BB$2,'Egen hetvattenprod'!$B$1:$BX$1,0),FALSE)+VLOOKUP($B246,Kraftvärmeprod!$B$1:$BX$550,MATCH(BB$2,Kraftvärmeprod!$B$1:$BX$1,0),FALSE))/$AC246,"")</f>
        <v/>
      </c>
      <c r="BC246" s="77" t="str">
        <f>IF($AY246="ja",(VLOOKUP($B246,'Egen hetvattenprod'!$B$1:$BX$550,MATCH(BC$2,'Egen hetvattenprod'!$B$1:$BX$1,0),FALSE)+VLOOKUP($B246,Kraftvärmeprod!$B$1:$BX$550,MATCH(BC$2,Kraftvärmeprod!$B$1:$BX$1,0),FALSE))/$AC246,"")</f>
        <v/>
      </c>
      <c r="BD246" s="77" t="str">
        <f>IF($AY246="ja",(VLOOKUP($B246,'Egen hetvattenprod'!$B$1:$BX$550,MATCH(BD$2,'Egen hetvattenprod'!$B$1:$BX$1,0),FALSE)+VLOOKUP($B246,Kraftvärmeprod!$B$1:$BX$550,MATCH(BD$2,Kraftvärmeprod!$B$1:$BX$1,0),FALSE))/$AC246,"")</f>
        <v/>
      </c>
      <c r="BF246" s="63" t="str">
        <f t="shared" si="23"/>
        <v>Nej</v>
      </c>
      <c r="BG246" s="63" t="str">
        <f>IF($BF246="ja",VLOOKUP($B246,'Egen hetvattenprod'!$B$1:$BX$550,MATCH("Andelen klimatgaser med fossilt ursprung för avfall ()",'Egen hetvattenprod'!$B$1:$BX$1,0),FALSE),"")</f>
        <v/>
      </c>
      <c r="BH246" s="63" t="str">
        <f>IF($BF246="ja",VLOOKUP($B246,Kraftvärmeprod!$B$1:$BX$550,MATCH("Andelen klimatgaser med fossilt ursprung för avfall ()",Kraftvärmeprod!$B$1:$BX$1,0),FALSE),"")</f>
        <v/>
      </c>
      <c r="BI246" s="63" t="str">
        <f>IF($BF246="ja",VLOOKUP($B246,'Egen hetvattenprod'!$B$1:$BX$550,MATCH("Avfall (GWh)",'Egen hetvattenprod'!$B$1:$BX$1,0),FALSE),"")</f>
        <v/>
      </c>
      <c r="BJ246" s="63" t="str">
        <f>IF($BF246="ja",VLOOKUP($B246,'Slutlig allokering kvv'!$B$1:$BX$550,MATCH("Avfall (GWh)",'Slutlig allokering kvv'!$B$1:$BX$1,0),FALSE),"")</f>
        <v/>
      </c>
      <c r="BK246" s="63" t="str">
        <f>IF($BF246="ja",VLOOKUP($B246,'Köpt hetvatten'!$B$1:$BX$550,MATCH("Avfall i köpt hetvatten",'Köpt hetvatten'!$B$1:$BX$1,0),FALSE),"")</f>
        <v/>
      </c>
      <c r="BL246" s="63" t="str">
        <f>IF($BF246="ja",VLOOKUP($B246,'Egen hetvattenprod'!$B$1:$BX$550,MATCH("Värde enligt ovan. (%)",'Egen hetvattenprod'!$B$1:$BX$1,0),FALSE),"")</f>
        <v/>
      </c>
      <c r="BM246" s="63" t="str">
        <f>IF($BF246="ja",VLOOKUP($B246,Kraftvärmeprod!$B$1:$BX$550,MATCH("Värde enligt ovan. (%)",Kraftvärmeprod!$B$1:$BX$1,0),FALSE),"")</f>
        <v/>
      </c>
    </row>
    <row r="247" spans="1:65" x14ac:dyDescent="0.45">
      <c r="A247" s="63" t="s">
        <v>342</v>
      </c>
      <c r="B247" s="63" t="s">
        <v>355</v>
      </c>
      <c r="C247" s="63">
        <f>VLOOKUP($B247,'Tillförd energi'!$B$1:$AI$720,MATCH(C$2,'Tillförd energi'!$B$1:$AQ$1,0),FALSE)</f>
        <v>0</v>
      </c>
      <c r="D247" s="63">
        <f>VLOOKUP($B247,'Tillförd energi'!$B$1:$AI$720,MATCH(D$2,'Tillförd energi'!$B$1:$AQ$1,0),FALSE)</f>
        <v>0.183</v>
      </c>
      <c r="E247" s="63">
        <f>VLOOKUP($B247,'Tillförd energi'!$B$1:$AI$720,MATCH(E$2,'Tillförd energi'!$B$1:$AQ$1,0),FALSE)</f>
        <v>0</v>
      </c>
      <c r="F247" s="63">
        <f>VLOOKUP($B247,'Tillförd energi'!$B$1:$AI$720,MATCH(F$2,'Tillförd energi'!$B$1:$AQ$1,0),FALSE)</f>
        <v>0</v>
      </c>
      <c r="G247" s="63">
        <f>VLOOKUP($B247,'Tillförd energi'!$B$1:$AI$720,MATCH(G$2,'Tillförd energi'!$B$1:$AQ$1,0),FALSE)</f>
        <v>0</v>
      </c>
      <c r="H247" s="63">
        <f>VLOOKUP($B247,'Tillförd energi'!$B$1:$AI$720,MATCH(H$2,'Tillförd energi'!$B$1:$AQ$1,0),FALSE)</f>
        <v>0</v>
      </c>
      <c r="I247" s="63">
        <f>VLOOKUP($B247,'Tillförd energi'!$B$1:$AI$720,MATCH(I$2,'Tillförd energi'!$B$1:$AQ$1,0),FALSE)</f>
        <v>0</v>
      </c>
      <c r="J247" s="63">
        <f>VLOOKUP($B247,'Tillförd energi'!$B$1:$AI$720,MATCH(J$2,'Tillförd energi'!$B$1:$AQ$1,0),FALSE)</f>
        <v>0</v>
      </c>
      <c r="K247" s="63">
        <f>VLOOKUP($B247,'Tillförd energi'!$B$1:$AI$720,MATCH(K$2,'Tillförd energi'!$B$1:$AQ$1,0),FALSE)</f>
        <v>0</v>
      </c>
      <c r="L247" s="63">
        <f>VLOOKUP($B247,'Tillförd energi'!$B$1:$AI$720,MATCH(L$2,'Tillförd energi'!$B$1:$AQ$1,0),FALSE)</f>
        <v>0</v>
      </c>
      <c r="M247" s="63">
        <f>VLOOKUP($B247,'Tillförd energi'!$B$1:$AI$720,MATCH(M$2,'Tillförd energi'!$B$1:$AQ$1,0),FALSE)</f>
        <v>0</v>
      </c>
      <c r="N247" s="63">
        <f>VLOOKUP($B247,'Tillförd energi'!$B$1:$AI$720,MATCH(N$2,'Tillförd energi'!$B$1:$AQ$1,0),FALSE)</f>
        <v>0</v>
      </c>
      <c r="O247" s="63">
        <f>VLOOKUP($B247,'Tillförd energi'!$B$1:$AI$720,MATCH(O$2,'Tillförd energi'!$B$1:$AQ$1,0),FALSE)</f>
        <v>0</v>
      </c>
      <c r="P247" s="63">
        <f>VLOOKUP($B247,'Tillförd energi'!$B$1:$AI$720,MATCH(P$2,'Tillförd energi'!$B$1:$AQ$1,0),FALSE)</f>
        <v>0</v>
      </c>
      <c r="Q247" s="63">
        <f>VLOOKUP($B247,'Tillförd energi'!$B$1:$AI$720,MATCH(Q$2,'Tillförd energi'!$B$1:$AQ$1,0),FALSE)</f>
        <v>0</v>
      </c>
      <c r="R247" s="63">
        <f>VLOOKUP($B247,'Tillförd energi'!$B$1:$AI$720,MATCH(R$2,'Tillförd energi'!$B$1:$AQ$1,0),FALSE)</f>
        <v>12.526999999999999</v>
      </c>
      <c r="S247" s="63">
        <f>VLOOKUP($B247,'Tillförd energi'!$B$1:$AI$720,MATCH(S$2,'Tillförd energi'!$B$1:$AQ$1,0),FALSE)</f>
        <v>0</v>
      </c>
      <c r="T247" s="63">
        <f>VLOOKUP($B247,'Tillförd energi'!$B$1:$AI$720,MATCH(T$2,'Tillförd energi'!$B$1:$AQ$1,0),FALSE)</f>
        <v>0</v>
      </c>
      <c r="U247" s="63">
        <f>VLOOKUP($B247,'Tillförd energi'!$B$1:$AI$720,MATCH(U$2,'Tillförd energi'!$B$1:$AQ$1,0),FALSE)</f>
        <v>0</v>
      </c>
      <c r="V247" s="63">
        <f>VLOOKUP($B247,'Tillförd energi'!$B$1:$AI$720,MATCH(V$2,'Tillförd energi'!$B$1:$AQ$1,0),FALSE)</f>
        <v>0</v>
      </c>
      <c r="W247" s="63">
        <f>VLOOKUP($B247,'Tillförd energi'!$B$1:$AI$720,MATCH(W$2,'Tillförd energi'!$B$1:$AQ$1,0),FALSE)</f>
        <v>0</v>
      </c>
      <c r="X247" s="63">
        <f>VLOOKUP($B247,'Tillförd energi'!$B$1:$AI$720,MATCH(X$2,'Tillförd energi'!$B$1:$AQ$1,0),FALSE)</f>
        <v>0</v>
      </c>
      <c r="Y247" s="63">
        <f>VLOOKUP($B247,'Tillförd energi'!$B$1:$AI$720,MATCH(Y$2,'Tillförd energi'!$B$1:$AQ$1,0),FALSE)</f>
        <v>0</v>
      </c>
      <c r="Z247" s="63">
        <f>VLOOKUP($B247,'Tillförd energi'!$B$1:$AI$720,MATCH(Z$2,'Tillförd energi'!$B$1:$AQ$1,0),FALSE)</f>
        <v>0</v>
      </c>
      <c r="AA247" s="63">
        <f>VLOOKUP($B247,'Tillförd energi'!$B$1:$AI$720,MATCH(AA$2,'Tillförd energi'!$B$1:$AQ$1,0),FALSE)</f>
        <v>0</v>
      </c>
      <c r="AB247" s="63">
        <f>VLOOKUP($B247,'Tillförd energi'!$B$1:$AI$720,MATCH(AB$2,'Tillförd energi'!$B$1:$AQ$1,0),FALSE)</f>
        <v>0</v>
      </c>
      <c r="AC247" s="63">
        <f>VLOOKUP($B247,'Tillförd energi'!$B$1:$AI$720,MATCH(AC$2,'Tillförd energi'!$B$1:$AQ$1,0),FALSE)</f>
        <v>0</v>
      </c>
      <c r="AD247" s="63">
        <f>VLOOKUP($B247,'Tillförd energi'!$B$1:$AI$720,MATCH(AD$2,'Tillförd energi'!$B$1:$AQ$1,0),FALSE)</f>
        <v>0</v>
      </c>
      <c r="AE247" s="63">
        <f>VLOOKUP($B247,'Tillförd energi'!$B$1:$AI$720,MATCH(AE$2,'Tillförd energi'!$B$1:$AQ$1,0),FALSE)</f>
        <v>0</v>
      </c>
      <c r="AF247" s="63">
        <f>VLOOKUP($B247,'Tillförd energi'!$B$1:$AI$720,MATCH(AF$2,'Tillförd energi'!$B$1:$AQ$1,0),FALSE)</f>
        <v>0.11799999999999999</v>
      </c>
      <c r="AG247" s="63">
        <f>IFERROR(VLOOKUP(B247,Miljö!$B$1:$AC$550,MATCH("Köpt mängd produktionsspecifik fjärrvärme:",Miljö!$B$1:$AC$1,0),FALSE)/1,0)</f>
        <v>0</v>
      </c>
      <c r="AI247" s="63">
        <f t="shared" si="18"/>
        <v>12.827999999999999</v>
      </c>
      <c r="AJ247" s="63">
        <f>IF(ISERROR(1/VLOOKUP($B247,Leveranser!$B$1:$S$500,MATCH("såld värme (gwh)",Leveranser!$B$1:$S$1,0),FALSE)),"",VLOOKUP($B247,Leveranser!$B$1:$S$500,MATCH("såld värme (gwh)",Leveranser!$B$1:$S$1,0),FALSE))</f>
        <v>10.827</v>
      </c>
      <c r="AM247" s="63" t="str">
        <f>IF(B247&lt;&gt;"",IF(VLOOKUP($B247,Totalt!$B$1:$AQ$554,MATCH("Kvalitetsgranskad:",Totalt!$B$1:$AQ$1,0),FALSE)="ja",VLOOKUP($B247,Miljö!$B$1:$AG$479,MATCH(AM$2,Miljö!$B$1:$AK$1,0),FALSE),""),"")</f>
        <v>Ja</v>
      </c>
      <c r="AN247" s="63" t="str">
        <f>IF(AM247="ja",VLOOKUP($B247,Miljö!$B$1:$J$479,MATCH("Typ av ursprungsspecificerad el   (Om inget värde anges används Nordisk residualmix, se inforuta) ()",Miljö!$B$1:$J$1,0),FALSE),IF(AM247="nej","Nordisk residualel",""))</f>
        <v>'vatten.vind.bio'</v>
      </c>
      <c r="AO247" s="63">
        <f>IF(AM247="","",VLOOKUP($B247,Miljö!$B$1:$J$479,MATCH("Fossilandel för ursprungspecificerad el ()",Miljö!$B$1:$J$1,0),FALSE))</f>
        <v>0</v>
      </c>
      <c r="AQ247" s="63">
        <f t="shared" si="19"/>
        <v>1</v>
      </c>
      <c r="AS247" s="63" t="str">
        <f t="shared" si="20"/>
        <v>Nej</v>
      </c>
      <c r="AT247" s="63" t="str">
        <f>IF(AS247="ja",VLOOKUP($B247,Miljö!$B$1:$P$500,MATCH("Fossil andel i procent (%)",Miljö!$B$1:$P$1,0),FALSE)/100,"")</f>
        <v/>
      </c>
      <c r="AV247" s="63" t="str">
        <f t="shared" si="21"/>
        <v>Nej</v>
      </c>
      <c r="AW247" s="63" t="str">
        <f>IF(AV247="ja",VLOOKUP($B247,'Egen hetvattenprod'!$B$1:$AO$500,MATCH("Värmekälla till värmepumpar ()",'Egen hetvattenprod'!$B$1:$AO$1,0),FALSE),"")</f>
        <v/>
      </c>
      <c r="AY247" s="63" t="str">
        <f t="shared" si="22"/>
        <v>Nej</v>
      </c>
      <c r="AZ247" s="77" t="str">
        <f>IF($AY247="ja",(VLOOKUP($B247,'Egen hetvattenprod'!$B$1:$BX$550,MATCH(AZ$2,'Egen hetvattenprod'!$B$1:$BX$1,0),FALSE)+VLOOKUP($B247,Kraftvärmeprod!$B$1:$BX$550,MATCH(AZ$2,Kraftvärmeprod!$B$1:$BX$1,0),FALSE))/$AC247,"")</f>
        <v/>
      </c>
      <c r="BA247" s="77" t="str">
        <f>IF($AY247="ja",(VLOOKUP($B247,'Egen hetvattenprod'!$B$1:$BX$550,MATCH(BA$2,'Egen hetvattenprod'!$B$1:$BX$1,0),FALSE)+VLOOKUP($B247,Kraftvärmeprod!$B$1:$BX$550,MATCH(BA$2,Kraftvärmeprod!$B$1:$BX$1,0),FALSE))/$AC247,"")</f>
        <v/>
      </c>
      <c r="BB247" s="77" t="str">
        <f>IF($AY247="ja",(VLOOKUP($B247,'Egen hetvattenprod'!$B$1:$BX$550,MATCH(BB$2,'Egen hetvattenprod'!$B$1:$BX$1,0),FALSE)+VLOOKUP($B247,Kraftvärmeprod!$B$1:$BX$550,MATCH(BB$2,Kraftvärmeprod!$B$1:$BX$1,0),FALSE))/$AC247,"")</f>
        <v/>
      </c>
      <c r="BC247" s="77" t="str">
        <f>IF($AY247="ja",(VLOOKUP($B247,'Egen hetvattenprod'!$B$1:$BX$550,MATCH(BC$2,'Egen hetvattenprod'!$B$1:$BX$1,0),FALSE)+VLOOKUP($B247,Kraftvärmeprod!$B$1:$BX$550,MATCH(BC$2,Kraftvärmeprod!$B$1:$BX$1,0),FALSE))/$AC247,"")</f>
        <v/>
      </c>
      <c r="BD247" s="77" t="str">
        <f>IF($AY247="ja",(VLOOKUP($B247,'Egen hetvattenprod'!$B$1:$BX$550,MATCH(BD$2,'Egen hetvattenprod'!$B$1:$BX$1,0),FALSE)+VLOOKUP($B247,Kraftvärmeprod!$B$1:$BX$550,MATCH(BD$2,Kraftvärmeprod!$B$1:$BX$1,0),FALSE))/$AC247,"")</f>
        <v/>
      </c>
      <c r="BF247" s="63" t="str">
        <f t="shared" si="23"/>
        <v>Nej</v>
      </c>
      <c r="BG247" s="63" t="str">
        <f>IF($BF247="ja",VLOOKUP($B247,'Egen hetvattenprod'!$B$1:$BX$550,MATCH("Andelen klimatgaser med fossilt ursprung för avfall ()",'Egen hetvattenprod'!$B$1:$BX$1,0),FALSE),"")</f>
        <v/>
      </c>
      <c r="BH247" s="63" t="str">
        <f>IF($BF247="ja",VLOOKUP($B247,Kraftvärmeprod!$B$1:$BX$550,MATCH("Andelen klimatgaser med fossilt ursprung för avfall ()",Kraftvärmeprod!$B$1:$BX$1,0),FALSE),"")</f>
        <v/>
      </c>
      <c r="BI247" s="63" t="str">
        <f>IF($BF247="ja",VLOOKUP($B247,'Egen hetvattenprod'!$B$1:$BX$550,MATCH("Avfall (GWh)",'Egen hetvattenprod'!$B$1:$BX$1,0),FALSE),"")</f>
        <v/>
      </c>
      <c r="BJ247" s="63" t="str">
        <f>IF($BF247="ja",VLOOKUP($B247,'Slutlig allokering kvv'!$B$1:$BX$550,MATCH("Avfall (GWh)",'Slutlig allokering kvv'!$B$1:$BX$1,0),FALSE),"")</f>
        <v/>
      </c>
      <c r="BK247" s="63" t="str">
        <f>IF($BF247="ja",VLOOKUP($B247,'Köpt hetvatten'!$B$1:$BX$550,MATCH("Avfall i köpt hetvatten",'Köpt hetvatten'!$B$1:$BX$1,0),FALSE),"")</f>
        <v/>
      </c>
      <c r="BL247" s="63" t="str">
        <f>IF($BF247="ja",VLOOKUP($B247,'Egen hetvattenprod'!$B$1:$BX$550,MATCH("Värde enligt ovan. (%)",'Egen hetvattenprod'!$B$1:$BX$1,0),FALSE),"")</f>
        <v/>
      </c>
      <c r="BM247" s="63" t="str">
        <f>IF($BF247="ja",VLOOKUP($B247,Kraftvärmeprod!$B$1:$BX$550,MATCH("Värde enligt ovan. (%)",Kraftvärmeprod!$B$1:$BX$1,0),FALSE),"")</f>
        <v/>
      </c>
    </row>
    <row r="248" spans="1:65" x14ac:dyDescent="0.45">
      <c r="A248" s="63" t="s">
        <v>342</v>
      </c>
      <c r="B248" s="63" t="s">
        <v>354</v>
      </c>
      <c r="C248" s="63">
        <f>VLOOKUP($B248,'Tillförd energi'!$B$1:$AI$720,MATCH(C$2,'Tillförd energi'!$B$1:$AQ$1,0),FALSE)</f>
        <v>0</v>
      </c>
      <c r="D248" s="63">
        <f>VLOOKUP($B248,'Tillförd energi'!$B$1:$AI$720,MATCH(D$2,'Tillförd energi'!$B$1:$AQ$1,0),FALSE)</f>
        <v>3.2000000000000001E-2</v>
      </c>
      <c r="E248" s="63">
        <f>VLOOKUP($B248,'Tillförd energi'!$B$1:$AI$720,MATCH(E$2,'Tillförd energi'!$B$1:$AQ$1,0),FALSE)</f>
        <v>0</v>
      </c>
      <c r="F248" s="63">
        <f>VLOOKUP($B248,'Tillförd energi'!$B$1:$AI$720,MATCH(F$2,'Tillförd energi'!$B$1:$AQ$1,0),FALSE)</f>
        <v>0</v>
      </c>
      <c r="G248" s="63">
        <f>VLOOKUP($B248,'Tillförd energi'!$B$1:$AI$720,MATCH(G$2,'Tillförd energi'!$B$1:$AQ$1,0),FALSE)</f>
        <v>0</v>
      </c>
      <c r="H248" s="63">
        <f>VLOOKUP($B248,'Tillförd energi'!$B$1:$AI$720,MATCH(H$2,'Tillförd energi'!$B$1:$AQ$1,0),FALSE)</f>
        <v>0</v>
      </c>
      <c r="I248" s="63">
        <f>VLOOKUP($B248,'Tillförd energi'!$B$1:$AI$720,MATCH(I$2,'Tillförd energi'!$B$1:$AQ$1,0),FALSE)</f>
        <v>0</v>
      </c>
      <c r="J248" s="63">
        <f>VLOOKUP($B248,'Tillförd energi'!$B$1:$AI$720,MATCH(J$2,'Tillförd energi'!$B$1:$AQ$1,0),FALSE)</f>
        <v>0</v>
      </c>
      <c r="K248" s="63">
        <f>VLOOKUP($B248,'Tillförd energi'!$B$1:$AI$720,MATCH(K$2,'Tillförd energi'!$B$1:$AQ$1,0),FALSE)</f>
        <v>0</v>
      </c>
      <c r="L248" s="63">
        <f>VLOOKUP($B248,'Tillförd energi'!$B$1:$AI$720,MATCH(L$2,'Tillförd energi'!$B$1:$AQ$1,0),FALSE)</f>
        <v>0</v>
      </c>
      <c r="M248" s="63">
        <f>VLOOKUP($B248,'Tillförd energi'!$B$1:$AI$720,MATCH(M$2,'Tillförd energi'!$B$1:$AQ$1,0),FALSE)</f>
        <v>0</v>
      </c>
      <c r="N248" s="63">
        <f>VLOOKUP($B248,'Tillförd energi'!$B$1:$AI$720,MATCH(N$2,'Tillförd energi'!$B$1:$AQ$1,0),FALSE)</f>
        <v>0</v>
      </c>
      <c r="O248" s="63">
        <f>VLOOKUP($B248,'Tillförd energi'!$B$1:$AI$720,MATCH(O$2,'Tillförd energi'!$B$1:$AQ$1,0),FALSE)</f>
        <v>0</v>
      </c>
      <c r="P248" s="63">
        <f>VLOOKUP($B248,'Tillförd energi'!$B$1:$AI$720,MATCH(P$2,'Tillförd energi'!$B$1:$AQ$1,0),FALSE)</f>
        <v>0</v>
      </c>
      <c r="Q248" s="63">
        <f>VLOOKUP($B248,'Tillförd energi'!$B$1:$AI$720,MATCH(Q$2,'Tillförd energi'!$B$1:$AQ$1,0),FALSE)</f>
        <v>0</v>
      </c>
      <c r="R248" s="63">
        <f>VLOOKUP($B248,'Tillförd energi'!$B$1:$AI$720,MATCH(R$2,'Tillförd energi'!$B$1:$AQ$1,0),FALSE)</f>
        <v>7.9080000000000004</v>
      </c>
      <c r="S248" s="63">
        <f>VLOOKUP($B248,'Tillförd energi'!$B$1:$AI$720,MATCH(S$2,'Tillförd energi'!$B$1:$AQ$1,0),FALSE)</f>
        <v>0</v>
      </c>
      <c r="T248" s="63">
        <f>VLOOKUP($B248,'Tillförd energi'!$B$1:$AI$720,MATCH(T$2,'Tillförd energi'!$B$1:$AQ$1,0),FALSE)</f>
        <v>0</v>
      </c>
      <c r="U248" s="63">
        <f>VLOOKUP($B248,'Tillförd energi'!$B$1:$AI$720,MATCH(U$2,'Tillförd energi'!$B$1:$AQ$1,0),FALSE)</f>
        <v>0</v>
      </c>
      <c r="V248" s="63">
        <f>VLOOKUP($B248,'Tillförd energi'!$B$1:$AI$720,MATCH(V$2,'Tillförd energi'!$B$1:$AQ$1,0),FALSE)</f>
        <v>0</v>
      </c>
      <c r="W248" s="63">
        <f>VLOOKUP($B248,'Tillförd energi'!$B$1:$AI$720,MATCH(W$2,'Tillförd energi'!$B$1:$AQ$1,0),FALSE)</f>
        <v>0</v>
      </c>
      <c r="X248" s="63">
        <f>VLOOKUP($B248,'Tillförd energi'!$B$1:$AI$720,MATCH(X$2,'Tillförd energi'!$B$1:$AQ$1,0),FALSE)</f>
        <v>0</v>
      </c>
      <c r="Y248" s="63">
        <f>VLOOKUP($B248,'Tillförd energi'!$B$1:$AI$720,MATCH(Y$2,'Tillförd energi'!$B$1:$AQ$1,0),FALSE)</f>
        <v>0</v>
      </c>
      <c r="Z248" s="63">
        <f>VLOOKUP($B248,'Tillförd energi'!$B$1:$AI$720,MATCH(Z$2,'Tillförd energi'!$B$1:$AQ$1,0),FALSE)</f>
        <v>0</v>
      </c>
      <c r="AA248" s="63">
        <f>VLOOKUP($B248,'Tillförd energi'!$B$1:$AI$720,MATCH(AA$2,'Tillförd energi'!$B$1:$AQ$1,0),FALSE)</f>
        <v>0</v>
      </c>
      <c r="AB248" s="63">
        <f>VLOOKUP($B248,'Tillförd energi'!$B$1:$AI$720,MATCH(AB$2,'Tillförd energi'!$B$1:$AQ$1,0),FALSE)</f>
        <v>0</v>
      </c>
      <c r="AC248" s="63">
        <f>VLOOKUP($B248,'Tillförd energi'!$B$1:$AI$720,MATCH(AC$2,'Tillförd energi'!$B$1:$AQ$1,0),FALSE)</f>
        <v>0</v>
      </c>
      <c r="AD248" s="63">
        <f>VLOOKUP($B248,'Tillförd energi'!$B$1:$AI$720,MATCH(AD$2,'Tillförd energi'!$B$1:$AQ$1,0),FALSE)</f>
        <v>0</v>
      </c>
      <c r="AE248" s="63">
        <f>VLOOKUP($B248,'Tillförd energi'!$B$1:$AI$720,MATCH(AE$2,'Tillförd energi'!$B$1:$AQ$1,0),FALSE)</f>
        <v>0</v>
      </c>
      <c r="AF248" s="63">
        <f>VLOOKUP($B248,'Tillförd energi'!$B$1:$AI$720,MATCH(AF$2,'Tillförd energi'!$B$1:$AQ$1,0),FALSE)</f>
        <v>9.6000000000000002E-2</v>
      </c>
      <c r="AG248" s="63">
        <f>IFERROR(VLOOKUP(B248,Miljö!$B$1:$AC$550,MATCH("Köpt mängd produktionsspecifik fjärrvärme:",Miljö!$B$1:$AC$1,0),FALSE)/1,0)</f>
        <v>0</v>
      </c>
      <c r="AI248" s="63">
        <f t="shared" si="18"/>
        <v>8.0359999999999996</v>
      </c>
      <c r="AJ248" s="63">
        <f>IF(ISERROR(1/VLOOKUP($B248,Leveranser!$B$1:$S$500,MATCH("såld värme (gwh)",Leveranser!$B$1:$S$1,0),FALSE)),"",VLOOKUP($B248,Leveranser!$B$1:$S$500,MATCH("såld värme (gwh)",Leveranser!$B$1:$S$1,0),FALSE))</f>
        <v>6.3159999999999998</v>
      </c>
      <c r="AM248" s="63" t="str">
        <f>IF(B248&lt;&gt;"",IF(VLOOKUP($B248,Totalt!$B$1:$AQ$554,MATCH("Kvalitetsgranskad:",Totalt!$B$1:$AQ$1,0),FALSE)="ja",VLOOKUP($B248,Miljö!$B$1:$AG$479,MATCH(AM$2,Miljö!$B$1:$AK$1,0),FALSE),""),"")</f>
        <v>Ja</v>
      </c>
      <c r="AN248" s="63" t="str">
        <f>IF(AM248="ja",VLOOKUP($B248,Miljö!$B$1:$J$479,MATCH("Typ av ursprungsspecificerad el   (Om inget värde anges används Nordisk residualmix, se inforuta) ()",Miljö!$B$1:$J$1,0),FALSE),IF(AM248="nej","Nordisk residualel",""))</f>
        <v>'vatten. vind. bio'</v>
      </c>
      <c r="AO248" s="63">
        <f>IF(AM248="","",VLOOKUP($B248,Miljö!$B$1:$J$479,MATCH("Fossilandel för ursprungspecificerad el ()",Miljö!$B$1:$J$1,0),FALSE))</f>
        <v>0</v>
      </c>
      <c r="AQ248" s="63">
        <f t="shared" si="19"/>
        <v>1</v>
      </c>
      <c r="AS248" s="63" t="str">
        <f t="shared" si="20"/>
        <v>Nej</v>
      </c>
      <c r="AT248" s="63" t="str">
        <f>IF(AS248="ja",VLOOKUP($B248,Miljö!$B$1:$P$500,MATCH("Fossil andel i procent (%)",Miljö!$B$1:$P$1,0),FALSE)/100,"")</f>
        <v/>
      </c>
      <c r="AV248" s="63" t="str">
        <f t="shared" si="21"/>
        <v>Nej</v>
      </c>
      <c r="AW248" s="63" t="str">
        <f>IF(AV248="ja",VLOOKUP($B248,'Egen hetvattenprod'!$B$1:$AO$500,MATCH("Värmekälla till värmepumpar ()",'Egen hetvattenprod'!$B$1:$AO$1,0),FALSE),"")</f>
        <v/>
      </c>
      <c r="AY248" s="63" t="str">
        <f t="shared" si="22"/>
        <v>Nej</v>
      </c>
      <c r="AZ248" s="77" t="str">
        <f>IF($AY248="ja",(VLOOKUP($B248,'Egen hetvattenprod'!$B$1:$BX$550,MATCH(AZ$2,'Egen hetvattenprod'!$B$1:$BX$1,0),FALSE)+VLOOKUP($B248,Kraftvärmeprod!$B$1:$BX$550,MATCH(AZ$2,Kraftvärmeprod!$B$1:$BX$1,0),FALSE))/$AC248,"")</f>
        <v/>
      </c>
      <c r="BA248" s="77" t="str">
        <f>IF($AY248="ja",(VLOOKUP($B248,'Egen hetvattenprod'!$B$1:$BX$550,MATCH(BA$2,'Egen hetvattenprod'!$B$1:$BX$1,0),FALSE)+VLOOKUP($B248,Kraftvärmeprod!$B$1:$BX$550,MATCH(BA$2,Kraftvärmeprod!$B$1:$BX$1,0),FALSE))/$AC248,"")</f>
        <v/>
      </c>
      <c r="BB248" s="77" t="str">
        <f>IF($AY248="ja",(VLOOKUP($B248,'Egen hetvattenprod'!$B$1:$BX$550,MATCH(BB$2,'Egen hetvattenprod'!$B$1:$BX$1,0),FALSE)+VLOOKUP($B248,Kraftvärmeprod!$B$1:$BX$550,MATCH(BB$2,Kraftvärmeprod!$B$1:$BX$1,0),FALSE))/$AC248,"")</f>
        <v/>
      </c>
      <c r="BC248" s="77" t="str">
        <f>IF($AY248="ja",(VLOOKUP($B248,'Egen hetvattenprod'!$B$1:$BX$550,MATCH(BC$2,'Egen hetvattenprod'!$B$1:$BX$1,0),FALSE)+VLOOKUP($B248,Kraftvärmeprod!$B$1:$BX$550,MATCH(BC$2,Kraftvärmeprod!$B$1:$BX$1,0),FALSE))/$AC248,"")</f>
        <v/>
      </c>
      <c r="BD248" s="77" t="str">
        <f>IF($AY248="ja",(VLOOKUP($B248,'Egen hetvattenprod'!$B$1:$BX$550,MATCH(BD$2,'Egen hetvattenprod'!$B$1:$BX$1,0),FALSE)+VLOOKUP($B248,Kraftvärmeprod!$B$1:$BX$550,MATCH(BD$2,Kraftvärmeprod!$B$1:$BX$1,0),FALSE))/$AC248,"")</f>
        <v/>
      </c>
      <c r="BF248" s="63" t="str">
        <f t="shared" si="23"/>
        <v>Nej</v>
      </c>
      <c r="BG248" s="63" t="str">
        <f>IF($BF248="ja",VLOOKUP($B248,'Egen hetvattenprod'!$B$1:$BX$550,MATCH("Andelen klimatgaser med fossilt ursprung för avfall ()",'Egen hetvattenprod'!$B$1:$BX$1,0),FALSE),"")</f>
        <v/>
      </c>
      <c r="BH248" s="63" t="str">
        <f>IF($BF248="ja",VLOOKUP($B248,Kraftvärmeprod!$B$1:$BX$550,MATCH("Andelen klimatgaser med fossilt ursprung för avfall ()",Kraftvärmeprod!$B$1:$BX$1,0),FALSE),"")</f>
        <v/>
      </c>
      <c r="BI248" s="63" t="str">
        <f>IF($BF248="ja",VLOOKUP($B248,'Egen hetvattenprod'!$B$1:$BX$550,MATCH("Avfall (GWh)",'Egen hetvattenprod'!$B$1:$BX$1,0),FALSE),"")</f>
        <v/>
      </c>
      <c r="BJ248" s="63" t="str">
        <f>IF($BF248="ja",VLOOKUP($B248,'Slutlig allokering kvv'!$B$1:$BX$550,MATCH("Avfall (GWh)",'Slutlig allokering kvv'!$B$1:$BX$1,0),FALSE),"")</f>
        <v/>
      </c>
      <c r="BK248" s="63" t="str">
        <f>IF($BF248="ja",VLOOKUP($B248,'Köpt hetvatten'!$B$1:$BX$550,MATCH("Avfall i köpt hetvatten",'Köpt hetvatten'!$B$1:$BX$1,0),FALSE),"")</f>
        <v/>
      </c>
      <c r="BL248" s="63" t="str">
        <f>IF($BF248="ja",VLOOKUP($B248,'Egen hetvattenprod'!$B$1:$BX$550,MATCH("Värde enligt ovan. (%)",'Egen hetvattenprod'!$B$1:$BX$1,0),FALSE),"")</f>
        <v/>
      </c>
      <c r="BM248" s="63" t="str">
        <f>IF($BF248="ja",VLOOKUP($B248,Kraftvärmeprod!$B$1:$BX$550,MATCH("Värde enligt ovan. (%)",Kraftvärmeprod!$B$1:$BX$1,0),FALSE),"")</f>
        <v/>
      </c>
    </row>
    <row r="249" spans="1:65" x14ac:dyDescent="0.45">
      <c r="A249" s="63" t="s">
        <v>342</v>
      </c>
      <c r="B249" s="63" t="s">
        <v>353</v>
      </c>
      <c r="C249" s="63">
        <f>VLOOKUP($B249,'Tillförd energi'!$B$1:$AI$720,MATCH(C$2,'Tillförd energi'!$B$1:$AQ$1,0),FALSE)</f>
        <v>0</v>
      </c>
      <c r="D249" s="63">
        <f>VLOOKUP($B249,'Tillförd energi'!$B$1:$AI$720,MATCH(D$2,'Tillförd energi'!$B$1:$AQ$1,0),FALSE)</f>
        <v>1.4E-2</v>
      </c>
      <c r="E249" s="63">
        <f>VLOOKUP($B249,'Tillförd energi'!$B$1:$AI$720,MATCH(E$2,'Tillförd energi'!$B$1:$AQ$1,0),FALSE)</f>
        <v>0</v>
      </c>
      <c r="F249" s="63">
        <f>VLOOKUP($B249,'Tillförd energi'!$B$1:$AI$720,MATCH(F$2,'Tillförd energi'!$B$1:$AQ$1,0),FALSE)</f>
        <v>0</v>
      </c>
      <c r="G249" s="63">
        <f>VLOOKUP($B249,'Tillförd energi'!$B$1:$AI$720,MATCH(G$2,'Tillförd energi'!$B$1:$AQ$1,0),FALSE)</f>
        <v>0</v>
      </c>
      <c r="H249" s="63">
        <f>VLOOKUP($B249,'Tillförd energi'!$B$1:$AI$720,MATCH(H$2,'Tillförd energi'!$B$1:$AQ$1,0),FALSE)</f>
        <v>0</v>
      </c>
      <c r="I249" s="63">
        <f>VLOOKUP($B249,'Tillförd energi'!$B$1:$AI$720,MATCH(I$2,'Tillförd energi'!$B$1:$AQ$1,0),FALSE)</f>
        <v>0</v>
      </c>
      <c r="J249" s="63">
        <f>VLOOKUP($B249,'Tillförd energi'!$B$1:$AI$720,MATCH(J$2,'Tillförd energi'!$B$1:$AQ$1,0),FALSE)</f>
        <v>0</v>
      </c>
      <c r="K249" s="63">
        <f>VLOOKUP($B249,'Tillförd energi'!$B$1:$AI$720,MATCH(K$2,'Tillförd energi'!$B$1:$AQ$1,0),FALSE)</f>
        <v>0</v>
      </c>
      <c r="L249" s="63">
        <f>VLOOKUP($B249,'Tillförd energi'!$B$1:$AI$720,MATCH(L$2,'Tillförd energi'!$B$1:$AQ$1,0),FALSE)</f>
        <v>0</v>
      </c>
      <c r="M249" s="63">
        <f>VLOOKUP($B249,'Tillförd energi'!$B$1:$AI$720,MATCH(M$2,'Tillförd energi'!$B$1:$AQ$1,0),FALSE)</f>
        <v>0</v>
      </c>
      <c r="N249" s="63">
        <f>VLOOKUP($B249,'Tillförd energi'!$B$1:$AI$720,MATCH(N$2,'Tillförd energi'!$B$1:$AQ$1,0),FALSE)</f>
        <v>0</v>
      </c>
      <c r="O249" s="63">
        <f>VLOOKUP($B249,'Tillförd energi'!$B$1:$AI$720,MATCH(O$2,'Tillförd energi'!$B$1:$AQ$1,0),FALSE)</f>
        <v>0</v>
      </c>
      <c r="P249" s="63">
        <f>VLOOKUP($B249,'Tillförd energi'!$B$1:$AI$720,MATCH(P$2,'Tillförd energi'!$B$1:$AQ$1,0),FALSE)</f>
        <v>0</v>
      </c>
      <c r="Q249" s="63">
        <f>VLOOKUP($B249,'Tillförd energi'!$B$1:$AI$720,MATCH(Q$2,'Tillförd energi'!$B$1:$AQ$1,0),FALSE)</f>
        <v>0</v>
      </c>
      <c r="R249" s="63">
        <f>VLOOKUP($B249,'Tillförd energi'!$B$1:$AI$720,MATCH(R$2,'Tillförd energi'!$B$1:$AQ$1,0),FALSE)</f>
        <v>7.3109999999999999</v>
      </c>
      <c r="S249" s="63">
        <f>VLOOKUP($B249,'Tillförd energi'!$B$1:$AI$720,MATCH(S$2,'Tillförd energi'!$B$1:$AQ$1,0),FALSE)</f>
        <v>0</v>
      </c>
      <c r="T249" s="63">
        <f>VLOOKUP($B249,'Tillförd energi'!$B$1:$AI$720,MATCH(T$2,'Tillförd energi'!$B$1:$AQ$1,0),FALSE)</f>
        <v>0</v>
      </c>
      <c r="U249" s="63">
        <f>VLOOKUP($B249,'Tillförd energi'!$B$1:$AI$720,MATCH(U$2,'Tillförd energi'!$B$1:$AQ$1,0),FALSE)</f>
        <v>0</v>
      </c>
      <c r="V249" s="63">
        <f>VLOOKUP($B249,'Tillförd energi'!$B$1:$AI$720,MATCH(V$2,'Tillförd energi'!$B$1:$AQ$1,0),FALSE)</f>
        <v>0</v>
      </c>
      <c r="W249" s="63">
        <f>VLOOKUP($B249,'Tillförd energi'!$B$1:$AI$720,MATCH(W$2,'Tillförd energi'!$B$1:$AQ$1,0),FALSE)</f>
        <v>0</v>
      </c>
      <c r="X249" s="63">
        <f>VLOOKUP($B249,'Tillförd energi'!$B$1:$AI$720,MATCH(X$2,'Tillförd energi'!$B$1:$AQ$1,0),FALSE)</f>
        <v>0</v>
      </c>
      <c r="Y249" s="63">
        <f>VLOOKUP($B249,'Tillförd energi'!$B$1:$AI$720,MATCH(Y$2,'Tillförd energi'!$B$1:$AQ$1,0),FALSE)</f>
        <v>0</v>
      </c>
      <c r="Z249" s="63">
        <f>VLOOKUP($B249,'Tillförd energi'!$B$1:$AI$720,MATCH(Z$2,'Tillförd energi'!$B$1:$AQ$1,0),FALSE)</f>
        <v>0</v>
      </c>
      <c r="AA249" s="63">
        <f>VLOOKUP($B249,'Tillförd energi'!$B$1:$AI$720,MATCH(AA$2,'Tillförd energi'!$B$1:$AQ$1,0),FALSE)</f>
        <v>0</v>
      </c>
      <c r="AB249" s="63">
        <f>VLOOKUP($B249,'Tillförd energi'!$B$1:$AI$720,MATCH(AB$2,'Tillförd energi'!$B$1:$AQ$1,0),FALSE)</f>
        <v>0</v>
      </c>
      <c r="AC249" s="63">
        <f>VLOOKUP($B249,'Tillförd energi'!$B$1:$AI$720,MATCH(AC$2,'Tillförd energi'!$B$1:$AQ$1,0),FALSE)</f>
        <v>0</v>
      </c>
      <c r="AD249" s="63">
        <f>VLOOKUP($B249,'Tillförd energi'!$B$1:$AI$720,MATCH(AD$2,'Tillförd energi'!$B$1:$AQ$1,0),FALSE)</f>
        <v>0</v>
      </c>
      <c r="AE249" s="63">
        <f>VLOOKUP($B249,'Tillförd energi'!$B$1:$AI$720,MATCH(AE$2,'Tillförd energi'!$B$1:$AQ$1,0),FALSE)</f>
        <v>0</v>
      </c>
      <c r="AF249" s="63">
        <f>VLOOKUP($B249,'Tillförd energi'!$B$1:$AI$720,MATCH(AF$2,'Tillförd energi'!$B$1:$AQ$1,0),FALSE)</f>
        <v>7.1999999999999995E-2</v>
      </c>
      <c r="AG249" s="63">
        <f>IFERROR(VLOOKUP(B249,Miljö!$B$1:$AC$550,MATCH("Köpt mängd produktionsspecifik fjärrvärme:",Miljö!$B$1:$AC$1,0),FALSE)/1,0)</f>
        <v>0</v>
      </c>
      <c r="AI249" s="63">
        <f t="shared" si="18"/>
        <v>7.3970000000000002</v>
      </c>
      <c r="AJ249" s="63">
        <f>IF(ISERROR(1/VLOOKUP($B249,Leveranser!$B$1:$S$500,MATCH("såld värme (gwh)",Leveranser!$B$1:$S$1,0),FALSE)),"",VLOOKUP($B249,Leveranser!$B$1:$S$500,MATCH("såld värme (gwh)",Leveranser!$B$1:$S$1,0),FALSE))</f>
        <v>5.4980000000000002</v>
      </c>
      <c r="AM249" s="63" t="str">
        <f>IF(B249&lt;&gt;"",IF(VLOOKUP($B249,Totalt!$B$1:$AQ$554,MATCH("Kvalitetsgranskad:",Totalt!$B$1:$AQ$1,0),FALSE)="ja",VLOOKUP($B249,Miljö!$B$1:$AG$479,MATCH(AM$2,Miljö!$B$1:$AK$1,0),FALSE),""),"")</f>
        <v>Ja</v>
      </c>
      <c r="AN249" s="63" t="str">
        <f>IF(AM249="ja",VLOOKUP($B249,Miljö!$B$1:$J$479,MATCH("Typ av ursprungsspecificerad el   (Om inget värde anges används Nordisk residualmix, se inforuta) ()",Miljö!$B$1:$J$1,0),FALSE),IF(AM249="nej","Nordisk residualel",""))</f>
        <v>'vattten. vind. bio'</v>
      </c>
      <c r="AO249" s="63">
        <f>IF(AM249="","",VLOOKUP($B249,Miljö!$B$1:$J$479,MATCH("Fossilandel för ursprungspecificerad el ()",Miljö!$B$1:$J$1,0),FALSE))</f>
        <v>0</v>
      </c>
      <c r="AQ249" s="63">
        <f t="shared" si="19"/>
        <v>1</v>
      </c>
      <c r="AS249" s="63" t="str">
        <f t="shared" si="20"/>
        <v>Nej</v>
      </c>
      <c r="AT249" s="63" t="str">
        <f>IF(AS249="ja",VLOOKUP($B249,Miljö!$B$1:$P$500,MATCH("Fossil andel i procent (%)",Miljö!$B$1:$P$1,0),FALSE)/100,"")</f>
        <v/>
      </c>
      <c r="AV249" s="63" t="str">
        <f t="shared" si="21"/>
        <v>Nej</v>
      </c>
      <c r="AW249" s="63" t="str">
        <f>IF(AV249="ja",VLOOKUP($B249,'Egen hetvattenprod'!$B$1:$AO$500,MATCH("Värmekälla till värmepumpar ()",'Egen hetvattenprod'!$B$1:$AO$1,0),FALSE),"")</f>
        <v/>
      </c>
      <c r="AY249" s="63" t="str">
        <f t="shared" si="22"/>
        <v>Nej</v>
      </c>
      <c r="AZ249" s="77" t="str">
        <f>IF($AY249="ja",(VLOOKUP($B249,'Egen hetvattenprod'!$B$1:$BX$550,MATCH(AZ$2,'Egen hetvattenprod'!$B$1:$BX$1,0),FALSE)+VLOOKUP($B249,Kraftvärmeprod!$B$1:$BX$550,MATCH(AZ$2,Kraftvärmeprod!$B$1:$BX$1,0),FALSE))/$AC249,"")</f>
        <v/>
      </c>
      <c r="BA249" s="77" t="str">
        <f>IF($AY249="ja",(VLOOKUP($B249,'Egen hetvattenprod'!$B$1:$BX$550,MATCH(BA$2,'Egen hetvattenprod'!$B$1:$BX$1,0),FALSE)+VLOOKUP($B249,Kraftvärmeprod!$B$1:$BX$550,MATCH(BA$2,Kraftvärmeprod!$B$1:$BX$1,0),FALSE))/$AC249,"")</f>
        <v/>
      </c>
      <c r="BB249" s="77" t="str">
        <f>IF($AY249="ja",(VLOOKUP($B249,'Egen hetvattenprod'!$B$1:$BX$550,MATCH(BB$2,'Egen hetvattenprod'!$B$1:$BX$1,0),FALSE)+VLOOKUP($B249,Kraftvärmeprod!$B$1:$BX$550,MATCH(BB$2,Kraftvärmeprod!$B$1:$BX$1,0),FALSE))/$AC249,"")</f>
        <v/>
      </c>
      <c r="BC249" s="77" t="str">
        <f>IF($AY249="ja",(VLOOKUP($B249,'Egen hetvattenprod'!$B$1:$BX$550,MATCH(BC$2,'Egen hetvattenprod'!$B$1:$BX$1,0),FALSE)+VLOOKUP($B249,Kraftvärmeprod!$B$1:$BX$550,MATCH(BC$2,Kraftvärmeprod!$B$1:$BX$1,0),FALSE))/$AC249,"")</f>
        <v/>
      </c>
      <c r="BD249" s="77" t="str">
        <f>IF($AY249="ja",(VLOOKUP($B249,'Egen hetvattenprod'!$B$1:$BX$550,MATCH(BD$2,'Egen hetvattenprod'!$B$1:$BX$1,0),FALSE)+VLOOKUP($B249,Kraftvärmeprod!$B$1:$BX$550,MATCH(BD$2,Kraftvärmeprod!$B$1:$BX$1,0),FALSE))/$AC249,"")</f>
        <v/>
      </c>
      <c r="BF249" s="63" t="str">
        <f t="shared" si="23"/>
        <v>Nej</v>
      </c>
      <c r="BG249" s="63" t="str">
        <f>IF($BF249="ja",VLOOKUP($B249,'Egen hetvattenprod'!$B$1:$BX$550,MATCH("Andelen klimatgaser med fossilt ursprung för avfall ()",'Egen hetvattenprod'!$B$1:$BX$1,0),FALSE),"")</f>
        <v/>
      </c>
      <c r="BH249" s="63" t="str">
        <f>IF($BF249="ja",VLOOKUP($B249,Kraftvärmeprod!$B$1:$BX$550,MATCH("Andelen klimatgaser med fossilt ursprung för avfall ()",Kraftvärmeprod!$B$1:$BX$1,0),FALSE),"")</f>
        <v/>
      </c>
      <c r="BI249" s="63" t="str">
        <f>IF($BF249="ja",VLOOKUP($B249,'Egen hetvattenprod'!$B$1:$BX$550,MATCH("Avfall (GWh)",'Egen hetvattenprod'!$B$1:$BX$1,0),FALSE),"")</f>
        <v/>
      </c>
      <c r="BJ249" s="63" t="str">
        <f>IF($BF249="ja",VLOOKUP($B249,'Slutlig allokering kvv'!$B$1:$BX$550,MATCH("Avfall (GWh)",'Slutlig allokering kvv'!$B$1:$BX$1,0),FALSE),"")</f>
        <v/>
      </c>
      <c r="BK249" s="63" t="str">
        <f>IF($BF249="ja",VLOOKUP($B249,'Köpt hetvatten'!$B$1:$BX$550,MATCH("Avfall i köpt hetvatten",'Köpt hetvatten'!$B$1:$BX$1,0),FALSE),"")</f>
        <v/>
      </c>
      <c r="BL249" s="63" t="str">
        <f>IF($BF249="ja",VLOOKUP($B249,'Egen hetvattenprod'!$B$1:$BX$550,MATCH("Värde enligt ovan. (%)",'Egen hetvattenprod'!$B$1:$BX$1,0),FALSE),"")</f>
        <v/>
      </c>
      <c r="BM249" s="63" t="str">
        <f>IF($BF249="ja",VLOOKUP($B249,Kraftvärmeprod!$B$1:$BX$550,MATCH("Värde enligt ovan. (%)",Kraftvärmeprod!$B$1:$BX$1,0),FALSE),"")</f>
        <v/>
      </c>
    </row>
    <row r="250" spans="1:65" x14ac:dyDescent="0.45">
      <c r="A250" s="63" t="s">
        <v>342</v>
      </c>
      <c r="B250" s="63" t="s">
        <v>352</v>
      </c>
      <c r="C250" s="63">
        <f>VLOOKUP($B250,'Tillförd energi'!$B$1:$AI$720,MATCH(C$2,'Tillförd energi'!$B$1:$AQ$1,0),FALSE)</f>
        <v>0</v>
      </c>
      <c r="D250" s="63">
        <f>VLOOKUP($B250,'Tillförd energi'!$B$1:$AI$720,MATCH(D$2,'Tillförd energi'!$B$1:$AQ$1,0),FALSE)</f>
        <v>6.6000000000000003E-2</v>
      </c>
      <c r="E250" s="63">
        <f>VLOOKUP($B250,'Tillförd energi'!$B$1:$AI$720,MATCH(E$2,'Tillförd energi'!$B$1:$AQ$1,0),FALSE)</f>
        <v>0</v>
      </c>
      <c r="F250" s="63">
        <f>VLOOKUP($B250,'Tillförd energi'!$B$1:$AI$720,MATCH(F$2,'Tillförd energi'!$B$1:$AQ$1,0),FALSE)</f>
        <v>0</v>
      </c>
      <c r="G250" s="63">
        <f>VLOOKUP($B250,'Tillförd energi'!$B$1:$AI$720,MATCH(G$2,'Tillförd energi'!$B$1:$AQ$1,0),FALSE)</f>
        <v>0</v>
      </c>
      <c r="H250" s="63">
        <f>VLOOKUP($B250,'Tillförd energi'!$B$1:$AI$720,MATCH(H$2,'Tillförd energi'!$B$1:$AQ$1,0),FALSE)</f>
        <v>0</v>
      </c>
      <c r="I250" s="63">
        <f>VLOOKUP($B250,'Tillförd energi'!$B$1:$AI$720,MATCH(I$2,'Tillförd energi'!$B$1:$AQ$1,0),FALSE)</f>
        <v>0</v>
      </c>
      <c r="J250" s="63">
        <f>VLOOKUP($B250,'Tillförd energi'!$B$1:$AI$720,MATCH(J$2,'Tillförd energi'!$B$1:$AQ$1,0),FALSE)</f>
        <v>0</v>
      </c>
      <c r="K250" s="63">
        <f>VLOOKUP($B250,'Tillförd energi'!$B$1:$AI$720,MATCH(K$2,'Tillförd energi'!$B$1:$AQ$1,0),FALSE)</f>
        <v>0</v>
      </c>
      <c r="L250" s="63">
        <f>VLOOKUP($B250,'Tillförd energi'!$B$1:$AI$720,MATCH(L$2,'Tillförd energi'!$B$1:$AQ$1,0),FALSE)</f>
        <v>0</v>
      </c>
      <c r="M250" s="63">
        <f>VLOOKUP($B250,'Tillförd energi'!$B$1:$AI$720,MATCH(M$2,'Tillförd energi'!$B$1:$AQ$1,0),FALSE)</f>
        <v>0</v>
      </c>
      <c r="N250" s="63">
        <f>VLOOKUP($B250,'Tillförd energi'!$B$1:$AI$720,MATCH(N$2,'Tillförd energi'!$B$1:$AQ$1,0),FALSE)</f>
        <v>0</v>
      </c>
      <c r="O250" s="63">
        <f>VLOOKUP($B250,'Tillförd energi'!$B$1:$AI$720,MATCH(O$2,'Tillförd energi'!$B$1:$AQ$1,0),FALSE)</f>
        <v>0</v>
      </c>
      <c r="P250" s="63">
        <f>VLOOKUP($B250,'Tillförd energi'!$B$1:$AI$720,MATCH(P$2,'Tillförd energi'!$B$1:$AQ$1,0),FALSE)</f>
        <v>0</v>
      </c>
      <c r="Q250" s="63">
        <f>VLOOKUP($B250,'Tillförd energi'!$B$1:$AI$720,MATCH(Q$2,'Tillförd energi'!$B$1:$AQ$1,0),FALSE)</f>
        <v>0</v>
      </c>
      <c r="R250" s="63">
        <f>VLOOKUP($B250,'Tillförd energi'!$B$1:$AI$720,MATCH(R$2,'Tillförd energi'!$B$1:$AQ$1,0),FALSE)</f>
        <v>3.58</v>
      </c>
      <c r="S250" s="63">
        <f>VLOOKUP($B250,'Tillförd energi'!$B$1:$AI$720,MATCH(S$2,'Tillförd energi'!$B$1:$AQ$1,0),FALSE)</f>
        <v>0</v>
      </c>
      <c r="T250" s="63">
        <f>VLOOKUP($B250,'Tillförd energi'!$B$1:$AI$720,MATCH(T$2,'Tillförd energi'!$B$1:$AQ$1,0),FALSE)</f>
        <v>0</v>
      </c>
      <c r="U250" s="63">
        <f>VLOOKUP($B250,'Tillförd energi'!$B$1:$AI$720,MATCH(U$2,'Tillförd energi'!$B$1:$AQ$1,0),FALSE)</f>
        <v>0</v>
      </c>
      <c r="V250" s="63">
        <f>VLOOKUP($B250,'Tillförd energi'!$B$1:$AI$720,MATCH(V$2,'Tillförd energi'!$B$1:$AQ$1,0),FALSE)</f>
        <v>0</v>
      </c>
      <c r="W250" s="63">
        <f>VLOOKUP($B250,'Tillförd energi'!$B$1:$AI$720,MATCH(W$2,'Tillförd energi'!$B$1:$AQ$1,0),FALSE)</f>
        <v>0</v>
      </c>
      <c r="X250" s="63">
        <f>VLOOKUP($B250,'Tillförd energi'!$B$1:$AI$720,MATCH(X$2,'Tillförd energi'!$B$1:$AQ$1,0),FALSE)</f>
        <v>0</v>
      </c>
      <c r="Y250" s="63">
        <f>VLOOKUP($B250,'Tillförd energi'!$B$1:$AI$720,MATCH(Y$2,'Tillförd energi'!$B$1:$AQ$1,0),FALSE)</f>
        <v>0</v>
      </c>
      <c r="Z250" s="63">
        <f>VLOOKUP($B250,'Tillförd energi'!$B$1:$AI$720,MATCH(Z$2,'Tillförd energi'!$B$1:$AQ$1,0),FALSE)</f>
        <v>0</v>
      </c>
      <c r="AA250" s="63">
        <f>VLOOKUP($B250,'Tillförd energi'!$B$1:$AI$720,MATCH(AA$2,'Tillförd energi'!$B$1:$AQ$1,0),FALSE)</f>
        <v>0</v>
      </c>
      <c r="AB250" s="63">
        <f>VLOOKUP($B250,'Tillförd energi'!$B$1:$AI$720,MATCH(AB$2,'Tillförd energi'!$B$1:$AQ$1,0),FALSE)</f>
        <v>0</v>
      </c>
      <c r="AC250" s="63">
        <f>VLOOKUP($B250,'Tillförd energi'!$B$1:$AI$720,MATCH(AC$2,'Tillförd energi'!$B$1:$AQ$1,0),FALSE)</f>
        <v>0</v>
      </c>
      <c r="AD250" s="63">
        <f>VLOOKUP($B250,'Tillförd energi'!$B$1:$AI$720,MATCH(AD$2,'Tillförd energi'!$B$1:$AQ$1,0),FALSE)</f>
        <v>0</v>
      </c>
      <c r="AE250" s="63">
        <f>VLOOKUP($B250,'Tillförd energi'!$B$1:$AI$720,MATCH(AE$2,'Tillförd energi'!$B$1:$AQ$1,0),FALSE)</f>
        <v>0</v>
      </c>
      <c r="AF250" s="63">
        <f>VLOOKUP($B250,'Tillförd energi'!$B$1:$AI$720,MATCH(AF$2,'Tillförd energi'!$B$1:$AQ$1,0),FALSE)</f>
        <v>4.1000000000000002E-2</v>
      </c>
      <c r="AG250" s="63">
        <f>IFERROR(VLOOKUP(B250,Miljö!$B$1:$AC$550,MATCH("Köpt mängd produktionsspecifik fjärrvärme:",Miljö!$B$1:$AC$1,0),FALSE)/1,0)</f>
        <v>0</v>
      </c>
      <c r="AI250" s="63">
        <f t="shared" si="18"/>
        <v>3.6869999999999998</v>
      </c>
      <c r="AJ250" s="63">
        <f>IF(ISERROR(1/VLOOKUP($B250,Leveranser!$B$1:$S$500,MATCH("såld värme (gwh)",Leveranser!$B$1:$S$1,0),FALSE)),"",VLOOKUP($B250,Leveranser!$B$1:$S$500,MATCH("såld värme (gwh)",Leveranser!$B$1:$S$1,0),FALSE))</f>
        <v>2.863</v>
      </c>
      <c r="AM250" s="63" t="str">
        <f>IF(B250&lt;&gt;"",IF(VLOOKUP($B250,Totalt!$B$1:$AQ$554,MATCH("Kvalitetsgranskad:",Totalt!$B$1:$AQ$1,0),FALSE)="ja",VLOOKUP($B250,Miljö!$B$1:$AG$479,MATCH(AM$2,Miljö!$B$1:$AK$1,0),FALSE),""),"")</f>
        <v>Ja</v>
      </c>
      <c r="AN250" s="63" t="str">
        <f>IF(AM250="ja",VLOOKUP($B250,Miljö!$B$1:$J$479,MATCH("Typ av ursprungsspecificerad el   (Om inget värde anges används Nordisk residualmix, se inforuta) ()",Miljö!$B$1:$J$1,0),FALSE),IF(AM250="nej","Nordisk residualel",""))</f>
        <v>'vatten.vind. bios'</v>
      </c>
      <c r="AO250" s="63">
        <f>IF(AM250="","",VLOOKUP($B250,Miljö!$B$1:$J$479,MATCH("Fossilandel för ursprungspecificerad el ()",Miljö!$B$1:$J$1,0),FALSE))</f>
        <v>0</v>
      </c>
      <c r="AQ250" s="63">
        <f t="shared" si="19"/>
        <v>1</v>
      </c>
      <c r="AS250" s="63" t="str">
        <f t="shared" si="20"/>
        <v>Nej</v>
      </c>
      <c r="AT250" s="63" t="str">
        <f>IF(AS250="ja",VLOOKUP($B250,Miljö!$B$1:$P$500,MATCH("Fossil andel i procent (%)",Miljö!$B$1:$P$1,0),FALSE)/100,"")</f>
        <v/>
      </c>
      <c r="AV250" s="63" t="str">
        <f t="shared" si="21"/>
        <v>Nej</v>
      </c>
      <c r="AW250" s="63" t="str">
        <f>IF(AV250="ja",VLOOKUP($B250,'Egen hetvattenprod'!$B$1:$AO$500,MATCH("Värmekälla till värmepumpar ()",'Egen hetvattenprod'!$B$1:$AO$1,0),FALSE),"")</f>
        <v/>
      </c>
      <c r="AY250" s="63" t="str">
        <f t="shared" si="22"/>
        <v>Nej</v>
      </c>
      <c r="AZ250" s="77" t="str">
        <f>IF($AY250="ja",(VLOOKUP($B250,'Egen hetvattenprod'!$B$1:$BX$550,MATCH(AZ$2,'Egen hetvattenprod'!$B$1:$BX$1,0),FALSE)+VLOOKUP($B250,Kraftvärmeprod!$B$1:$BX$550,MATCH(AZ$2,Kraftvärmeprod!$B$1:$BX$1,0),FALSE))/$AC250,"")</f>
        <v/>
      </c>
      <c r="BA250" s="77" t="str">
        <f>IF($AY250="ja",(VLOOKUP($B250,'Egen hetvattenprod'!$B$1:$BX$550,MATCH(BA$2,'Egen hetvattenprod'!$B$1:$BX$1,0),FALSE)+VLOOKUP($B250,Kraftvärmeprod!$B$1:$BX$550,MATCH(BA$2,Kraftvärmeprod!$B$1:$BX$1,0),FALSE))/$AC250,"")</f>
        <v/>
      </c>
      <c r="BB250" s="77" t="str">
        <f>IF($AY250="ja",(VLOOKUP($B250,'Egen hetvattenprod'!$B$1:$BX$550,MATCH(BB$2,'Egen hetvattenprod'!$B$1:$BX$1,0),FALSE)+VLOOKUP($B250,Kraftvärmeprod!$B$1:$BX$550,MATCH(BB$2,Kraftvärmeprod!$B$1:$BX$1,0),FALSE))/$AC250,"")</f>
        <v/>
      </c>
      <c r="BC250" s="77" t="str">
        <f>IF($AY250="ja",(VLOOKUP($B250,'Egen hetvattenprod'!$B$1:$BX$550,MATCH(BC$2,'Egen hetvattenprod'!$B$1:$BX$1,0),FALSE)+VLOOKUP($B250,Kraftvärmeprod!$B$1:$BX$550,MATCH(BC$2,Kraftvärmeprod!$B$1:$BX$1,0),FALSE))/$AC250,"")</f>
        <v/>
      </c>
      <c r="BD250" s="77" t="str">
        <f>IF($AY250="ja",(VLOOKUP($B250,'Egen hetvattenprod'!$B$1:$BX$550,MATCH(BD$2,'Egen hetvattenprod'!$B$1:$BX$1,0),FALSE)+VLOOKUP($B250,Kraftvärmeprod!$B$1:$BX$550,MATCH(BD$2,Kraftvärmeprod!$B$1:$BX$1,0),FALSE))/$AC250,"")</f>
        <v/>
      </c>
      <c r="BF250" s="63" t="str">
        <f t="shared" si="23"/>
        <v>Nej</v>
      </c>
      <c r="BG250" s="63" t="str">
        <f>IF($BF250="ja",VLOOKUP($B250,'Egen hetvattenprod'!$B$1:$BX$550,MATCH("Andelen klimatgaser med fossilt ursprung för avfall ()",'Egen hetvattenprod'!$B$1:$BX$1,0),FALSE),"")</f>
        <v/>
      </c>
      <c r="BH250" s="63" t="str">
        <f>IF($BF250="ja",VLOOKUP($B250,Kraftvärmeprod!$B$1:$BX$550,MATCH("Andelen klimatgaser med fossilt ursprung för avfall ()",Kraftvärmeprod!$B$1:$BX$1,0),FALSE),"")</f>
        <v/>
      </c>
      <c r="BI250" s="63" t="str">
        <f>IF($BF250="ja",VLOOKUP($B250,'Egen hetvattenprod'!$B$1:$BX$550,MATCH("Avfall (GWh)",'Egen hetvattenprod'!$B$1:$BX$1,0),FALSE),"")</f>
        <v/>
      </c>
      <c r="BJ250" s="63" t="str">
        <f>IF($BF250="ja",VLOOKUP($B250,'Slutlig allokering kvv'!$B$1:$BX$550,MATCH("Avfall (GWh)",'Slutlig allokering kvv'!$B$1:$BX$1,0),FALSE),"")</f>
        <v/>
      </c>
      <c r="BK250" s="63" t="str">
        <f>IF($BF250="ja",VLOOKUP($B250,'Köpt hetvatten'!$B$1:$BX$550,MATCH("Avfall i köpt hetvatten",'Köpt hetvatten'!$B$1:$BX$1,0),FALSE),"")</f>
        <v/>
      </c>
      <c r="BL250" s="63" t="str">
        <f>IF($BF250="ja",VLOOKUP($B250,'Egen hetvattenprod'!$B$1:$BX$550,MATCH("Värde enligt ovan. (%)",'Egen hetvattenprod'!$B$1:$BX$1,0),FALSE),"")</f>
        <v/>
      </c>
      <c r="BM250" s="63" t="str">
        <f>IF($BF250="ja",VLOOKUP($B250,Kraftvärmeprod!$B$1:$BX$550,MATCH("Värde enligt ovan. (%)",Kraftvärmeprod!$B$1:$BX$1,0),FALSE),"")</f>
        <v/>
      </c>
    </row>
    <row r="251" spans="1:65" x14ac:dyDescent="0.45">
      <c r="A251" s="63" t="s">
        <v>342</v>
      </c>
      <c r="B251" s="63" t="s">
        <v>351</v>
      </c>
      <c r="C251" s="63">
        <f>VLOOKUP($B251,'Tillförd energi'!$B$1:$AI$720,MATCH(C$2,'Tillförd energi'!$B$1:$AQ$1,0),FALSE)</f>
        <v>0</v>
      </c>
      <c r="D251" s="63">
        <f>VLOOKUP($B251,'Tillförd energi'!$B$1:$AI$720,MATCH(D$2,'Tillförd energi'!$B$1:$AQ$1,0),FALSE)</f>
        <v>0</v>
      </c>
      <c r="E251" s="63">
        <f>VLOOKUP($B251,'Tillförd energi'!$B$1:$AI$720,MATCH(E$2,'Tillförd energi'!$B$1:$AQ$1,0),FALSE)</f>
        <v>0</v>
      </c>
      <c r="F251" s="63">
        <f>VLOOKUP($B251,'Tillförd energi'!$B$1:$AI$720,MATCH(F$2,'Tillförd energi'!$B$1:$AQ$1,0),FALSE)</f>
        <v>0</v>
      </c>
      <c r="G251" s="63">
        <f>VLOOKUP($B251,'Tillförd energi'!$B$1:$AI$720,MATCH(G$2,'Tillförd energi'!$B$1:$AQ$1,0),FALSE)</f>
        <v>0</v>
      </c>
      <c r="H251" s="63">
        <f>VLOOKUP($B251,'Tillförd energi'!$B$1:$AI$720,MATCH(H$2,'Tillförd energi'!$B$1:$AQ$1,0),FALSE)</f>
        <v>0</v>
      </c>
      <c r="I251" s="63">
        <f>VLOOKUP($B251,'Tillförd energi'!$B$1:$AI$720,MATCH(I$2,'Tillförd energi'!$B$1:$AQ$1,0),FALSE)</f>
        <v>0</v>
      </c>
      <c r="J251" s="63">
        <f>VLOOKUP($B251,'Tillförd energi'!$B$1:$AI$720,MATCH(J$2,'Tillförd energi'!$B$1:$AQ$1,0),FALSE)</f>
        <v>0</v>
      </c>
      <c r="K251" s="63">
        <f>VLOOKUP($B251,'Tillförd energi'!$B$1:$AI$720,MATCH(K$2,'Tillförd energi'!$B$1:$AQ$1,0),FALSE)</f>
        <v>0</v>
      </c>
      <c r="L251" s="63">
        <f>VLOOKUP($B251,'Tillförd energi'!$B$1:$AI$720,MATCH(L$2,'Tillförd energi'!$B$1:$AQ$1,0),FALSE)</f>
        <v>0</v>
      </c>
      <c r="M251" s="63">
        <f>VLOOKUP($B251,'Tillförd energi'!$B$1:$AI$720,MATCH(M$2,'Tillförd energi'!$B$1:$AQ$1,0),FALSE)</f>
        <v>28.494199999999999</v>
      </c>
      <c r="N251" s="63">
        <f>VLOOKUP($B251,'Tillförd energi'!$B$1:$AI$720,MATCH(N$2,'Tillförd energi'!$B$1:$AQ$1,0),FALSE)</f>
        <v>8.4982100000000003</v>
      </c>
      <c r="O251" s="63">
        <f>VLOOKUP($B251,'Tillförd energi'!$B$1:$AI$720,MATCH(O$2,'Tillförd energi'!$B$1:$AQ$1,0),FALSE)</f>
        <v>24.796600000000002</v>
      </c>
      <c r="P251" s="63">
        <f>VLOOKUP($B251,'Tillförd energi'!$B$1:$AI$720,MATCH(P$2,'Tillförd energi'!$B$1:$AQ$1,0),FALSE)</f>
        <v>5.9289800000000001</v>
      </c>
      <c r="Q251" s="63">
        <f>VLOOKUP($B251,'Tillförd energi'!$B$1:$AI$720,MATCH(Q$2,'Tillförd energi'!$B$1:$AQ$1,0),FALSE)</f>
        <v>21.3142</v>
      </c>
      <c r="R251" s="63">
        <f>VLOOKUP($B251,'Tillförd energi'!$B$1:$AI$720,MATCH(R$2,'Tillförd energi'!$B$1:$AQ$1,0),FALSE)</f>
        <v>0</v>
      </c>
      <c r="S251" s="63">
        <f>VLOOKUP($B251,'Tillförd energi'!$B$1:$AI$720,MATCH(S$2,'Tillförd energi'!$B$1:$AQ$1,0),FALSE)</f>
        <v>0</v>
      </c>
      <c r="T251" s="63">
        <f>VLOOKUP($B251,'Tillförd energi'!$B$1:$AI$720,MATCH(T$2,'Tillförd energi'!$B$1:$AQ$1,0),FALSE)</f>
        <v>0</v>
      </c>
      <c r="U251" s="63">
        <f>VLOOKUP($B251,'Tillförd energi'!$B$1:$AI$720,MATCH(U$2,'Tillförd energi'!$B$1:$AQ$1,0),FALSE)</f>
        <v>0</v>
      </c>
      <c r="V251" s="63">
        <f>VLOOKUP($B251,'Tillförd energi'!$B$1:$AI$720,MATCH(V$2,'Tillförd energi'!$B$1:$AQ$1,0),FALSE)</f>
        <v>0</v>
      </c>
      <c r="W251" s="63">
        <f>VLOOKUP($B251,'Tillförd energi'!$B$1:$AI$720,MATCH(W$2,'Tillförd energi'!$B$1:$AQ$1,0),FALSE)</f>
        <v>0</v>
      </c>
      <c r="X251" s="63">
        <f>VLOOKUP($B251,'Tillförd energi'!$B$1:$AI$720,MATCH(X$2,'Tillförd energi'!$B$1:$AQ$1,0),FALSE)</f>
        <v>0</v>
      </c>
      <c r="Y251" s="63">
        <f>VLOOKUP($B251,'Tillförd energi'!$B$1:$AI$720,MATCH(Y$2,'Tillförd energi'!$B$1:$AQ$1,0),FALSE)</f>
        <v>26.1204</v>
      </c>
      <c r="Z251" s="63">
        <f>VLOOKUP($B251,'Tillförd energi'!$B$1:$AI$720,MATCH(Z$2,'Tillförd energi'!$B$1:$AQ$1,0),FALSE)</f>
        <v>0</v>
      </c>
      <c r="AA251" s="63">
        <f>VLOOKUP($B251,'Tillförd energi'!$B$1:$AI$720,MATCH(AA$2,'Tillförd energi'!$B$1:$AQ$1,0),FALSE)</f>
        <v>0</v>
      </c>
      <c r="AB251" s="63">
        <f>VLOOKUP($B251,'Tillförd energi'!$B$1:$AI$720,MATCH(AB$2,'Tillförd energi'!$B$1:$AQ$1,0),FALSE)</f>
        <v>0</v>
      </c>
      <c r="AC251" s="63">
        <f>VLOOKUP($B251,'Tillförd energi'!$B$1:$AI$720,MATCH(AC$2,'Tillförd energi'!$B$1:$AQ$1,0),FALSE)</f>
        <v>0</v>
      </c>
      <c r="AD251" s="63">
        <f>VLOOKUP($B251,'Tillförd energi'!$B$1:$AI$720,MATCH(AD$2,'Tillförd energi'!$B$1:$AQ$1,0),FALSE)</f>
        <v>0</v>
      </c>
      <c r="AE251" s="63">
        <f>VLOOKUP($B251,'Tillförd energi'!$B$1:$AI$720,MATCH(AE$2,'Tillförd energi'!$B$1:$AQ$1,0),FALSE)</f>
        <v>0</v>
      </c>
      <c r="AF251" s="63">
        <f>VLOOKUP($B251,'Tillförd energi'!$B$1:$AI$720,MATCH(AF$2,'Tillförd energi'!$B$1:$AQ$1,0),FALSE)</f>
        <v>3.9985300000000001</v>
      </c>
      <c r="AG251" s="63">
        <f>IFERROR(VLOOKUP(B251,Miljö!$B$1:$AC$550,MATCH("Köpt mängd produktionsspecifik fjärrvärme:",Miljö!$B$1:$AC$1,0),FALSE)/1,0)</f>
        <v>0</v>
      </c>
      <c r="AI251" s="63">
        <f t="shared" si="18"/>
        <v>119.15112000000001</v>
      </c>
      <c r="AJ251" s="63">
        <f>IF(ISERROR(1/VLOOKUP($B251,Leveranser!$B$1:$S$500,MATCH("såld värme (gwh)",Leveranser!$B$1:$S$1,0),FALSE)),"",VLOOKUP($B251,Leveranser!$B$1:$S$500,MATCH("såld värme (gwh)",Leveranser!$B$1:$S$1,0),FALSE))</f>
        <v>106.455</v>
      </c>
      <c r="AM251" s="63" t="str">
        <f>IF(B251&lt;&gt;"",IF(VLOOKUP($B251,Totalt!$B$1:$AQ$554,MATCH("Kvalitetsgranskad:",Totalt!$B$1:$AQ$1,0),FALSE)="ja",VLOOKUP($B251,Miljö!$B$1:$AG$479,MATCH(AM$2,Miljö!$B$1:$AK$1,0),FALSE),""),"")</f>
        <v>Ja</v>
      </c>
      <c r="AN251" s="63" t="str">
        <f>IF(AM251="ja",VLOOKUP($B251,Miljö!$B$1:$J$479,MATCH("Typ av ursprungsspecificerad el   (Om inget värde anges används Nordisk residualmix, se inforuta) ()",Miljö!$B$1:$J$1,0),FALSE),IF(AM251="nej","Nordisk residualel",""))</f>
        <v>'vatten. vind bio'</v>
      </c>
      <c r="AO251" s="63">
        <f>IF(AM251="","",VLOOKUP($B251,Miljö!$B$1:$J$479,MATCH("Fossilandel för ursprungspecificerad el ()",Miljö!$B$1:$J$1,0),FALSE))</f>
        <v>0</v>
      </c>
      <c r="AQ251" s="63">
        <f t="shared" si="19"/>
        <v>1</v>
      </c>
      <c r="AS251" s="63" t="str">
        <f t="shared" si="20"/>
        <v>Nej</v>
      </c>
      <c r="AT251" s="63" t="str">
        <f>IF(AS251="ja",VLOOKUP($B251,Miljö!$B$1:$P$500,MATCH("Fossil andel i procent (%)",Miljö!$B$1:$P$1,0),FALSE)/100,"")</f>
        <v/>
      </c>
      <c r="AV251" s="63" t="str">
        <f t="shared" si="21"/>
        <v>Nej</v>
      </c>
      <c r="AW251" s="63" t="str">
        <f>IF(AV251="ja",VLOOKUP($B251,'Egen hetvattenprod'!$B$1:$AO$500,MATCH("Värmekälla till värmepumpar ()",'Egen hetvattenprod'!$B$1:$AO$1,0),FALSE),"")</f>
        <v/>
      </c>
      <c r="AY251" s="63" t="str">
        <f t="shared" si="22"/>
        <v>Nej</v>
      </c>
      <c r="AZ251" s="77" t="str">
        <f>IF($AY251="ja",(VLOOKUP($B251,'Egen hetvattenprod'!$B$1:$BX$550,MATCH(AZ$2,'Egen hetvattenprod'!$B$1:$BX$1,0),FALSE)+VLOOKUP($B251,Kraftvärmeprod!$B$1:$BX$550,MATCH(AZ$2,Kraftvärmeprod!$B$1:$BX$1,0),FALSE))/$AC251,"")</f>
        <v/>
      </c>
      <c r="BA251" s="77" t="str">
        <f>IF($AY251="ja",(VLOOKUP($B251,'Egen hetvattenprod'!$B$1:$BX$550,MATCH(BA$2,'Egen hetvattenprod'!$B$1:$BX$1,0),FALSE)+VLOOKUP($B251,Kraftvärmeprod!$B$1:$BX$550,MATCH(BA$2,Kraftvärmeprod!$B$1:$BX$1,0),FALSE))/$AC251,"")</f>
        <v/>
      </c>
      <c r="BB251" s="77" t="str">
        <f>IF($AY251="ja",(VLOOKUP($B251,'Egen hetvattenprod'!$B$1:$BX$550,MATCH(BB$2,'Egen hetvattenprod'!$B$1:$BX$1,0),FALSE)+VLOOKUP($B251,Kraftvärmeprod!$B$1:$BX$550,MATCH(BB$2,Kraftvärmeprod!$B$1:$BX$1,0),FALSE))/$AC251,"")</f>
        <v/>
      </c>
      <c r="BC251" s="77" t="str">
        <f>IF($AY251="ja",(VLOOKUP($B251,'Egen hetvattenprod'!$B$1:$BX$550,MATCH(BC$2,'Egen hetvattenprod'!$B$1:$BX$1,0),FALSE)+VLOOKUP($B251,Kraftvärmeprod!$B$1:$BX$550,MATCH(BC$2,Kraftvärmeprod!$B$1:$BX$1,0),FALSE))/$AC251,"")</f>
        <v/>
      </c>
      <c r="BD251" s="77" t="str">
        <f>IF($AY251="ja",(VLOOKUP($B251,'Egen hetvattenprod'!$B$1:$BX$550,MATCH(BD$2,'Egen hetvattenprod'!$B$1:$BX$1,0),FALSE)+VLOOKUP($B251,Kraftvärmeprod!$B$1:$BX$550,MATCH(BD$2,Kraftvärmeprod!$B$1:$BX$1,0),FALSE))/$AC251,"")</f>
        <v/>
      </c>
      <c r="BF251" s="63" t="str">
        <f t="shared" si="23"/>
        <v>Nej</v>
      </c>
      <c r="BG251" s="63" t="str">
        <f>IF($BF251="ja",VLOOKUP($B251,'Egen hetvattenprod'!$B$1:$BX$550,MATCH("Andelen klimatgaser med fossilt ursprung för avfall ()",'Egen hetvattenprod'!$B$1:$BX$1,0),FALSE),"")</f>
        <v/>
      </c>
      <c r="BH251" s="63" t="str">
        <f>IF($BF251="ja",VLOOKUP($B251,Kraftvärmeprod!$B$1:$BX$550,MATCH("Andelen klimatgaser med fossilt ursprung för avfall ()",Kraftvärmeprod!$B$1:$BX$1,0),FALSE),"")</f>
        <v/>
      </c>
      <c r="BI251" s="63" t="str">
        <f>IF($BF251="ja",VLOOKUP($B251,'Egen hetvattenprod'!$B$1:$BX$550,MATCH("Avfall (GWh)",'Egen hetvattenprod'!$B$1:$BX$1,0),FALSE),"")</f>
        <v/>
      </c>
      <c r="BJ251" s="63" t="str">
        <f>IF($BF251="ja",VLOOKUP($B251,'Slutlig allokering kvv'!$B$1:$BX$550,MATCH("Avfall (GWh)",'Slutlig allokering kvv'!$B$1:$BX$1,0),FALSE),"")</f>
        <v/>
      </c>
      <c r="BK251" s="63" t="str">
        <f>IF($BF251="ja",VLOOKUP($B251,'Köpt hetvatten'!$B$1:$BX$550,MATCH("Avfall i köpt hetvatten",'Köpt hetvatten'!$B$1:$BX$1,0),FALSE),"")</f>
        <v/>
      </c>
      <c r="BL251" s="63" t="str">
        <f>IF($BF251="ja",VLOOKUP($B251,'Egen hetvattenprod'!$B$1:$BX$550,MATCH("Värde enligt ovan. (%)",'Egen hetvattenprod'!$B$1:$BX$1,0),FALSE),"")</f>
        <v/>
      </c>
      <c r="BM251" s="63" t="str">
        <f>IF($BF251="ja",VLOOKUP($B251,Kraftvärmeprod!$B$1:$BX$550,MATCH("Värde enligt ovan. (%)",Kraftvärmeprod!$B$1:$BX$1,0),FALSE),"")</f>
        <v/>
      </c>
    </row>
    <row r="252" spans="1:65" x14ac:dyDescent="0.45">
      <c r="A252" s="63" t="s">
        <v>342</v>
      </c>
      <c r="B252" s="63" t="s">
        <v>350</v>
      </c>
      <c r="C252" s="63">
        <f>VLOOKUP($B252,'Tillförd energi'!$B$1:$AI$720,MATCH(C$2,'Tillförd energi'!$B$1:$AQ$1,0),FALSE)</f>
        <v>0</v>
      </c>
      <c r="D252" s="63">
        <f>VLOOKUP($B252,'Tillförd energi'!$B$1:$AI$720,MATCH(D$2,'Tillförd energi'!$B$1:$AQ$1,0),FALSE)</f>
        <v>8.7999999999999995E-2</v>
      </c>
      <c r="E252" s="63">
        <f>VLOOKUP($B252,'Tillförd energi'!$B$1:$AI$720,MATCH(E$2,'Tillförd energi'!$B$1:$AQ$1,0),FALSE)</f>
        <v>0</v>
      </c>
      <c r="F252" s="63">
        <f>VLOOKUP($B252,'Tillförd energi'!$B$1:$AI$720,MATCH(F$2,'Tillförd energi'!$B$1:$AQ$1,0),FALSE)</f>
        <v>0</v>
      </c>
      <c r="G252" s="63">
        <f>VLOOKUP($B252,'Tillförd energi'!$B$1:$AI$720,MATCH(G$2,'Tillförd energi'!$B$1:$AQ$1,0),FALSE)</f>
        <v>0</v>
      </c>
      <c r="H252" s="63">
        <f>VLOOKUP($B252,'Tillförd energi'!$B$1:$AI$720,MATCH(H$2,'Tillförd energi'!$B$1:$AQ$1,0),FALSE)</f>
        <v>0</v>
      </c>
      <c r="I252" s="63">
        <f>VLOOKUP($B252,'Tillförd energi'!$B$1:$AI$720,MATCH(I$2,'Tillförd energi'!$B$1:$AQ$1,0),FALSE)</f>
        <v>0</v>
      </c>
      <c r="J252" s="63">
        <f>VLOOKUP($B252,'Tillförd energi'!$B$1:$AI$720,MATCH(J$2,'Tillförd energi'!$B$1:$AQ$1,0),FALSE)</f>
        <v>0</v>
      </c>
      <c r="K252" s="63">
        <f>VLOOKUP($B252,'Tillförd energi'!$B$1:$AI$720,MATCH(K$2,'Tillförd energi'!$B$1:$AQ$1,0),FALSE)</f>
        <v>0</v>
      </c>
      <c r="L252" s="63">
        <f>VLOOKUP($B252,'Tillförd energi'!$B$1:$AI$720,MATCH(L$2,'Tillförd energi'!$B$1:$AQ$1,0),FALSE)</f>
        <v>0</v>
      </c>
      <c r="M252" s="63">
        <f>VLOOKUP($B252,'Tillförd energi'!$B$1:$AI$720,MATCH(M$2,'Tillförd energi'!$B$1:$AQ$1,0),FALSE)</f>
        <v>0</v>
      </c>
      <c r="N252" s="63">
        <f>VLOOKUP($B252,'Tillförd energi'!$B$1:$AI$720,MATCH(N$2,'Tillförd energi'!$B$1:$AQ$1,0),FALSE)</f>
        <v>0</v>
      </c>
      <c r="O252" s="63">
        <f>VLOOKUP($B252,'Tillförd energi'!$B$1:$AI$720,MATCH(O$2,'Tillförd energi'!$B$1:$AQ$1,0),FALSE)</f>
        <v>0</v>
      </c>
      <c r="P252" s="63">
        <f>VLOOKUP($B252,'Tillförd energi'!$B$1:$AI$720,MATCH(P$2,'Tillförd energi'!$B$1:$AQ$1,0),FALSE)</f>
        <v>0</v>
      </c>
      <c r="Q252" s="63">
        <f>VLOOKUP($B252,'Tillförd energi'!$B$1:$AI$720,MATCH(Q$2,'Tillförd energi'!$B$1:$AQ$1,0),FALSE)</f>
        <v>0</v>
      </c>
      <c r="R252" s="63">
        <f>VLOOKUP($B252,'Tillförd energi'!$B$1:$AI$720,MATCH(R$2,'Tillförd energi'!$B$1:$AQ$1,0),FALSE)</f>
        <v>4.2300000000000004</v>
      </c>
      <c r="S252" s="63">
        <f>VLOOKUP($B252,'Tillförd energi'!$B$1:$AI$720,MATCH(S$2,'Tillförd energi'!$B$1:$AQ$1,0),FALSE)</f>
        <v>0</v>
      </c>
      <c r="T252" s="63">
        <f>VLOOKUP($B252,'Tillförd energi'!$B$1:$AI$720,MATCH(T$2,'Tillförd energi'!$B$1:$AQ$1,0),FALSE)</f>
        <v>0</v>
      </c>
      <c r="U252" s="63">
        <f>VLOOKUP($B252,'Tillförd energi'!$B$1:$AI$720,MATCH(U$2,'Tillförd energi'!$B$1:$AQ$1,0),FALSE)</f>
        <v>0</v>
      </c>
      <c r="V252" s="63">
        <f>VLOOKUP($B252,'Tillförd energi'!$B$1:$AI$720,MATCH(V$2,'Tillförd energi'!$B$1:$AQ$1,0),FALSE)</f>
        <v>0</v>
      </c>
      <c r="W252" s="63">
        <f>VLOOKUP($B252,'Tillförd energi'!$B$1:$AI$720,MATCH(W$2,'Tillförd energi'!$B$1:$AQ$1,0),FALSE)</f>
        <v>0</v>
      </c>
      <c r="X252" s="63">
        <f>VLOOKUP($B252,'Tillförd energi'!$B$1:$AI$720,MATCH(X$2,'Tillförd energi'!$B$1:$AQ$1,0),FALSE)</f>
        <v>0</v>
      </c>
      <c r="Y252" s="63">
        <f>VLOOKUP($B252,'Tillförd energi'!$B$1:$AI$720,MATCH(Y$2,'Tillförd energi'!$B$1:$AQ$1,0),FALSE)</f>
        <v>0</v>
      </c>
      <c r="Z252" s="63">
        <f>VLOOKUP($B252,'Tillförd energi'!$B$1:$AI$720,MATCH(Z$2,'Tillförd energi'!$B$1:$AQ$1,0),FALSE)</f>
        <v>0</v>
      </c>
      <c r="AA252" s="63">
        <f>VLOOKUP($B252,'Tillförd energi'!$B$1:$AI$720,MATCH(AA$2,'Tillförd energi'!$B$1:$AQ$1,0),FALSE)</f>
        <v>0</v>
      </c>
      <c r="AB252" s="63">
        <f>VLOOKUP($B252,'Tillförd energi'!$B$1:$AI$720,MATCH(AB$2,'Tillförd energi'!$B$1:$AQ$1,0),FALSE)</f>
        <v>0</v>
      </c>
      <c r="AC252" s="63">
        <f>VLOOKUP($B252,'Tillförd energi'!$B$1:$AI$720,MATCH(AC$2,'Tillförd energi'!$B$1:$AQ$1,0),FALSE)</f>
        <v>0</v>
      </c>
      <c r="AD252" s="63">
        <f>VLOOKUP($B252,'Tillförd energi'!$B$1:$AI$720,MATCH(AD$2,'Tillförd energi'!$B$1:$AQ$1,0),FALSE)</f>
        <v>0</v>
      </c>
      <c r="AE252" s="63">
        <f>VLOOKUP($B252,'Tillförd energi'!$B$1:$AI$720,MATCH(AE$2,'Tillförd energi'!$B$1:$AQ$1,0),FALSE)</f>
        <v>0</v>
      </c>
      <c r="AF252" s="63">
        <f>VLOOKUP($B252,'Tillförd energi'!$B$1:$AI$720,MATCH(AF$2,'Tillförd energi'!$B$1:$AQ$1,0),FALSE)</f>
        <v>5.2999999999999999E-2</v>
      </c>
      <c r="AG252" s="63">
        <f>IFERROR(VLOOKUP(B252,Miljö!$B$1:$AC$550,MATCH("Köpt mängd produktionsspecifik fjärrvärme:",Miljö!$B$1:$AC$1,0),FALSE)/1,0)</f>
        <v>0</v>
      </c>
      <c r="AI252" s="63">
        <f t="shared" si="18"/>
        <v>4.3710000000000004</v>
      </c>
      <c r="AJ252" s="63">
        <f>IF(ISERROR(1/VLOOKUP($B252,Leveranser!$B$1:$S$500,MATCH("såld värme (gwh)",Leveranser!$B$1:$S$1,0),FALSE)),"",VLOOKUP($B252,Leveranser!$B$1:$S$500,MATCH("såld värme (gwh)",Leveranser!$B$1:$S$1,0),FALSE))</f>
        <v>3.3250000000000002</v>
      </c>
      <c r="AM252" s="63" t="str">
        <f>IF(B252&lt;&gt;"",IF(VLOOKUP($B252,Totalt!$B$1:$AQ$554,MATCH("Kvalitetsgranskad:",Totalt!$B$1:$AQ$1,0),FALSE)="ja",VLOOKUP($B252,Miljö!$B$1:$AG$479,MATCH(AM$2,Miljö!$B$1:$AK$1,0),FALSE),""),"")</f>
        <v>Ja</v>
      </c>
      <c r="AN252" s="63" t="str">
        <f>IF(AM252="ja",VLOOKUP($B252,Miljö!$B$1:$J$479,MATCH("Typ av ursprungsspecificerad el   (Om inget värde anges används Nordisk residualmix, se inforuta) ()",Miljö!$B$1:$J$1,0),FALSE),IF(AM252="nej","Nordisk residualel",""))</f>
        <v>'vatten. vind. bio'</v>
      </c>
      <c r="AO252" s="63">
        <f>IF(AM252="","",VLOOKUP($B252,Miljö!$B$1:$J$479,MATCH("Fossilandel för ursprungspecificerad el ()",Miljö!$B$1:$J$1,0),FALSE))</f>
        <v>0</v>
      </c>
      <c r="AQ252" s="63">
        <f t="shared" si="19"/>
        <v>1</v>
      </c>
      <c r="AS252" s="63" t="str">
        <f t="shared" si="20"/>
        <v>Nej</v>
      </c>
      <c r="AT252" s="63" t="str">
        <f>IF(AS252="ja",VLOOKUP($B252,Miljö!$B$1:$P$500,MATCH("Fossil andel i procent (%)",Miljö!$B$1:$P$1,0),FALSE)/100,"")</f>
        <v/>
      </c>
      <c r="AV252" s="63" t="str">
        <f t="shared" si="21"/>
        <v>Nej</v>
      </c>
      <c r="AW252" s="63" t="str">
        <f>IF(AV252="ja",VLOOKUP($B252,'Egen hetvattenprod'!$B$1:$AO$500,MATCH("Värmekälla till värmepumpar ()",'Egen hetvattenprod'!$B$1:$AO$1,0),FALSE),"")</f>
        <v/>
      </c>
      <c r="AY252" s="63" t="str">
        <f t="shared" si="22"/>
        <v>Nej</v>
      </c>
      <c r="AZ252" s="77" t="str">
        <f>IF($AY252="ja",(VLOOKUP($B252,'Egen hetvattenprod'!$B$1:$BX$550,MATCH(AZ$2,'Egen hetvattenprod'!$B$1:$BX$1,0),FALSE)+VLOOKUP($B252,Kraftvärmeprod!$B$1:$BX$550,MATCH(AZ$2,Kraftvärmeprod!$B$1:$BX$1,0),FALSE))/$AC252,"")</f>
        <v/>
      </c>
      <c r="BA252" s="77" t="str">
        <f>IF($AY252="ja",(VLOOKUP($B252,'Egen hetvattenprod'!$B$1:$BX$550,MATCH(BA$2,'Egen hetvattenprod'!$B$1:$BX$1,0),FALSE)+VLOOKUP($B252,Kraftvärmeprod!$B$1:$BX$550,MATCH(BA$2,Kraftvärmeprod!$B$1:$BX$1,0),FALSE))/$AC252,"")</f>
        <v/>
      </c>
      <c r="BB252" s="77" t="str">
        <f>IF($AY252="ja",(VLOOKUP($B252,'Egen hetvattenprod'!$B$1:$BX$550,MATCH(BB$2,'Egen hetvattenprod'!$B$1:$BX$1,0),FALSE)+VLOOKUP($B252,Kraftvärmeprod!$B$1:$BX$550,MATCH(BB$2,Kraftvärmeprod!$B$1:$BX$1,0),FALSE))/$AC252,"")</f>
        <v/>
      </c>
      <c r="BC252" s="77" t="str">
        <f>IF($AY252="ja",(VLOOKUP($B252,'Egen hetvattenprod'!$B$1:$BX$550,MATCH(BC$2,'Egen hetvattenprod'!$B$1:$BX$1,0),FALSE)+VLOOKUP($B252,Kraftvärmeprod!$B$1:$BX$550,MATCH(BC$2,Kraftvärmeprod!$B$1:$BX$1,0),FALSE))/$AC252,"")</f>
        <v/>
      </c>
      <c r="BD252" s="77" t="str">
        <f>IF($AY252="ja",(VLOOKUP($B252,'Egen hetvattenprod'!$B$1:$BX$550,MATCH(BD$2,'Egen hetvattenprod'!$B$1:$BX$1,0),FALSE)+VLOOKUP($B252,Kraftvärmeprod!$B$1:$BX$550,MATCH(BD$2,Kraftvärmeprod!$B$1:$BX$1,0),FALSE))/$AC252,"")</f>
        <v/>
      </c>
      <c r="BF252" s="63" t="str">
        <f t="shared" si="23"/>
        <v>Nej</v>
      </c>
      <c r="BG252" s="63" t="str">
        <f>IF($BF252="ja",VLOOKUP($B252,'Egen hetvattenprod'!$B$1:$BX$550,MATCH("Andelen klimatgaser med fossilt ursprung för avfall ()",'Egen hetvattenprod'!$B$1:$BX$1,0),FALSE),"")</f>
        <v/>
      </c>
      <c r="BH252" s="63" t="str">
        <f>IF($BF252="ja",VLOOKUP($B252,Kraftvärmeprod!$B$1:$BX$550,MATCH("Andelen klimatgaser med fossilt ursprung för avfall ()",Kraftvärmeprod!$B$1:$BX$1,0),FALSE),"")</f>
        <v/>
      </c>
      <c r="BI252" s="63" t="str">
        <f>IF($BF252="ja",VLOOKUP($B252,'Egen hetvattenprod'!$B$1:$BX$550,MATCH("Avfall (GWh)",'Egen hetvattenprod'!$B$1:$BX$1,0),FALSE),"")</f>
        <v/>
      </c>
      <c r="BJ252" s="63" t="str">
        <f>IF($BF252="ja",VLOOKUP($B252,'Slutlig allokering kvv'!$B$1:$BX$550,MATCH("Avfall (GWh)",'Slutlig allokering kvv'!$B$1:$BX$1,0),FALSE),"")</f>
        <v/>
      </c>
      <c r="BK252" s="63" t="str">
        <f>IF($BF252="ja",VLOOKUP($B252,'Köpt hetvatten'!$B$1:$BX$550,MATCH("Avfall i köpt hetvatten",'Köpt hetvatten'!$B$1:$BX$1,0),FALSE),"")</f>
        <v/>
      </c>
      <c r="BL252" s="63" t="str">
        <f>IF($BF252="ja",VLOOKUP($B252,'Egen hetvattenprod'!$B$1:$BX$550,MATCH("Värde enligt ovan. (%)",'Egen hetvattenprod'!$B$1:$BX$1,0),FALSE),"")</f>
        <v/>
      </c>
      <c r="BM252" s="63" t="str">
        <f>IF($BF252="ja",VLOOKUP($B252,Kraftvärmeprod!$B$1:$BX$550,MATCH("Värde enligt ovan. (%)",Kraftvärmeprod!$B$1:$BX$1,0),FALSE),"")</f>
        <v/>
      </c>
    </row>
    <row r="253" spans="1:65" x14ac:dyDescent="0.45">
      <c r="A253" s="63" t="s">
        <v>342</v>
      </c>
      <c r="B253" s="63" t="s">
        <v>349</v>
      </c>
      <c r="C253" s="63">
        <f>VLOOKUP($B253,'Tillförd energi'!$B$1:$AI$720,MATCH(C$2,'Tillförd energi'!$B$1:$AQ$1,0),FALSE)</f>
        <v>0</v>
      </c>
      <c r="D253" s="63">
        <f>VLOOKUP($B253,'Tillförd energi'!$B$1:$AI$720,MATCH(D$2,'Tillförd energi'!$B$1:$AQ$1,0),FALSE)</f>
        <v>0.79460399999999998</v>
      </c>
      <c r="E253" s="63">
        <f>VLOOKUP($B253,'Tillförd energi'!$B$1:$AI$720,MATCH(E$2,'Tillförd energi'!$B$1:$AQ$1,0),FALSE)</f>
        <v>0</v>
      </c>
      <c r="F253" s="63">
        <f>VLOOKUP($B253,'Tillförd energi'!$B$1:$AI$720,MATCH(F$2,'Tillförd energi'!$B$1:$AQ$1,0),FALSE)</f>
        <v>0</v>
      </c>
      <c r="G253" s="63">
        <f>VLOOKUP($B253,'Tillförd energi'!$B$1:$AI$720,MATCH(G$2,'Tillförd energi'!$B$1:$AQ$1,0),FALSE)</f>
        <v>0</v>
      </c>
      <c r="H253" s="63">
        <f>VLOOKUP($B253,'Tillförd energi'!$B$1:$AI$720,MATCH(H$2,'Tillförd energi'!$B$1:$AQ$1,0),FALSE)</f>
        <v>0</v>
      </c>
      <c r="I253" s="63">
        <f>VLOOKUP($B253,'Tillförd energi'!$B$1:$AI$720,MATCH(I$2,'Tillförd energi'!$B$1:$AQ$1,0),FALSE)</f>
        <v>0</v>
      </c>
      <c r="J253" s="63">
        <f>VLOOKUP($B253,'Tillförd energi'!$B$1:$AI$720,MATCH(J$2,'Tillförd energi'!$B$1:$AQ$1,0),FALSE)</f>
        <v>0</v>
      </c>
      <c r="K253" s="63">
        <f>VLOOKUP($B253,'Tillförd energi'!$B$1:$AI$720,MATCH(K$2,'Tillförd energi'!$B$1:$AQ$1,0),FALSE)</f>
        <v>0</v>
      </c>
      <c r="L253" s="63">
        <f>VLOOKUP($B253,'Tillförd energi'!$B$1:$AI$720,MATCH(L$2,'Tillförd energi'!$B$1:$AQ$1,0),FALSE)</f>
        <v>0</v>
      </c>
      <c r="M253" s="63">
        <f>VLOOKUP($B253,'Tillförd energi'!$B$1:$AI$720,MATCH(M$2,'Tillförd energi'!$B$1:$AQ$1,0),FALSE)</f>
        <v>0</v>
      </c>
      <c r="N253" s="63">
        <f>VLOOKUP($B253,'Tillförd energi'!$B$1:$AI$720,MATCH(N$2,'Tillförd energi'!$B$1:$AQ$1,0),FALSE)</f>
        <v>0</v>
      </c>
      <c r="O253" s="63">
        <f>VLOOKUP($B253,'Tillförd energi'!$B$1:$AI$720,MATCH(O$2,'Tillförd energi'!$B$1:$AQ$1,0),FALSE)</f>
        <v>68.524500000000003</v>
      </c>
      <c r="P253" s="63">
        <f>VLOOKUP($B253,'Tillförd energi'!$B$1:$AI$720,MATCH(P$2,'Tillförd energi'!$B$1:$AQ$1,0),FALSE)</f>
        <v>0</v>
      </c>
      <c r="Q253" s="63">
        <f>VLOOKUP($B253,'Tillförd energi'!$B$1:$AI$720,MATCH(Q$2,'Tillförd energi'!$B$1:$AQ$1,0),FALSE)</f>
        <v>0</v>
      </c>
      <c r="R253" s="63">
        <f>VLOOKUP($B253,'Tillförd energi'!$B$1:$AI$720,MATCH(R$2,'Tillförd energi'!$B$1:$AQ$1,0),FALSE)</f>
        <v>7.7969999999999997</v>
      </c>
      <c r="S253" s="63">
        <f>VLOOKUP($B253,'Tillförd energi'!$B$1:$AI$720,MATCH(S$2,'Tillförd energi'!$B$1:$AQ$1,0),FALSE)</f>
        <v>0</v>
      </c>
      <c r="T253" s="63">
        <f>VLOOKUP($B253,'Tillförd energi'!$B$1:$AI$720,MATCH(T$2,'Tillförd energi'!$B$1:$AQ$1,0),FALSE)</f>
        <v>0</v>
      </c>
      <c r="U253" s="63">
        <f>VLOOKUP($B253,'Tillförd energi'!$B$1:$AI$720,MATCH(U$2,'Tillförd energi'!$B$1:$AQ$1,0),FALSE)</f>
        <v>0</v>
      </c>
      <c r="V253" s="63">
        <f>VLOOKUP($B253,'Tillförd energi'!$B$1:$AI$720,MATCH(V$2,'Tillförd energi'!$B$1:$AQ$1,0),FALSE)</f>
        <v>0</v>
      </c>
      <c r="W253" s="63">
        <f>VLOOKUP($B253,'Tillförd energi'!$B$1:$AI$720,MATCH(W$2,'Tillförd energi'!$B$1:$AQ$1,0),FALSE)</f>
        <v>0</v>
      </c>
      <c r="X253" s="63">
        <f>VLOOKUP($B253,'Tillförd energi'!$B$1:$AI$720,MATCH(X$2,'Tillförd energi'!$B$1:$AQ$1,0),FALSE)</f>
        <v>0</v>
      </c>
      <c r="Y253" s="63">
        <f>VLOOKUP($B253,'Tillförd energi'!$B$1:$AI$720,MATCH(Y$2,'Tillförd energi'!$B$1:$AQ$1,0),FALSE)</f>
        <v>0</v>
      </c>
      <c r="Z253" s="63">
        <f>VLOOKUP($B253,'Tillförd energi'!$B$1:$AI$720,MATCH(Z$2,'Tillförd energi'!$B$1:$AQ$1,0),FALSE)</f>
        <v>0</v>
      </c>
      <c r="AA253" s="63">
        <f>VLOOKUP($B253,'Tillförd energi'!$B$1:$AI$720,MATCH(AA$2,'Tillförd energi'!$B$1:$AQ$1,0),FALSE)</f>
        <v>0</v>
      </c>
      <c r="AB253" s="63">
        <f>VLOOKUP($B253,'Tillförd energi'!$B$1:$AI$720,MATCH(AB$2,'Tillförd energi'!$B$1:$AQ$1,0),FALSE)</f>
        <v>0</v>
      </c>
      <c r="AC253" s="63">
        <f>VLOOKUP($B253,'Tillförd energi'!$B$1:$AI$720,MATCH(AC$2,'Tillförd energi'!$B$1:$AQ$1,0),FALSE)</f>
        <v>0</v>
      </c>
      <c r="AD253" s="63">
        <f>VLOOKUP($B253,'Tillförd energi'!$B$1:$AI$720,MATCH(AD$2,'Tillförd energi'!$B$1:$AQ$1,0),FALSE)</f>
        <v>0</v>
      </c>
      <c r="AE253" s="63">
        <f>VLOOKUP($B253,'Tillförd energi'!$B$1:$AI$720,MATCH(AE$2,'Tillförd energi'!$B$1:$AQ$1,0),FALSE)</f>
        <v>0</v>
      </c>
      <c r="AF253" s="63">
        <f>VLOOKUP($B253,'Tillförd energi'!$B$1:$AI$720,MATCH(AF$2,'Tillförd energi'!$B$1:$AQ$1,0),FALSE)</f>
        <v>2.8837999999999999</v>
      </c>
      <c r="AG253" s="63">
        <f>IFERROR(VLOOKUP(B253,Miljö!$B$1:$AC$550,MATCH("Köpt mängd produktionsspecifik fjärrvärme:",Miljö!$B$1:$AC$1,0),FALSE)/1,0)</f>
        <v>0</v>
      </c>
      <c r="AI253" s="63">
        <f t="shared" si="18"/>
        <v>79.999904000000001</v>
      </c>
      <c r="AJ253" s="63">
        <f>IF(ISERROR(1/VLOOKUP($B253,Leveranser!$B$1:$S$500,MATCH("såld värme (gwh)",Leveranser!$B$1:$S$1,0),FALSE)),"",VLOOKUP($B253,Leveranser!$B$1:$S$500,MATCH("såld värme (gwh)",Leveranser!$B$1:$S$1,0),FALSE))</f>
        <v>84.712000000000003</v>
      </c>
      <c r="AM253" s="63" t="str">
        <f>IF(B253&lt;&gt;"",IF(VLOOKUP($B253,Totalt!$B$1:$AQ$554,MATCH("Kvalitetsgranskad:",Totalt!$B$1:$AQ$1,0),FALSE)="ja",VLOOKUP($B253,Miljö!$B$1:$AG$479,MATCH(AM$2,Miljö!$B$1:$AK$1,0),FALSE),""),"")</f>
        <v>Ja</v>
      </c>
      <c r="AN253" s="63" t="str">
        <f>IF(AM253="ja",VLOOKUP($B253,Miljö!$B$1:$J$479,MATCH("Typ av ursprungsspecificerad el   (Om inget värde anges används Nordisk residualmix, se inforuta) ()",Miljö!$B$1:$J$1,0),FALSE),IF(AM253="nej","Nordisk residualel",""))</f>
        <v>'vatten. vind. bio. '</v>
      </c>
      <c r="AO253" s="63">
        <f>IF(AM253="","",VLOOKUP($B253,Miljö!$B$1:$J$479,MATCH("Fossilandel för ursprungspecificerad el ()",Miljö!$B$1:$J$1,0),FALSE))</f>
        <v>0</v>
      </c>
      <c r="AQ253" s="63">
        <f t="shared" si="19"/>
        <v>1</v>
      </c>
      <c r="AS253" s="63" t="str">
        <f t="shared" si="20"/>
        <v>Nej</v>
      </c>
      <c r="AT253" s="63" t="str">
        <f>IF(AS253="ja",VLOOKUP($B253,Miljö!$B$1:$P$500,MATCH("Fossil andel i procent (%)",Miljö!$B$1:$P$1,0),FALSE)/100,"")</f>
        <v/>
      </c>
      <c r="AV253" s="63" t="str">
        <f t="shared" si="21"/>
        <v>Nej</v>
      </c>
      <c r="AW253" s="63" t="str">
        <f>IF(AV253="ja",VLOOKUP($B253,'Egen hetvattenprod'!$B$1:$AO$500,MATCH("Värmekälla till värmepumpar ()",'Egen hetvattenprod'!$B$1:$AO$1,0),FALSE),"")</f>
        <v/>
      </c>
      <c r="AY253" s="63" t="str">
        <f t="shared" si="22"/>
        <v>Nej</v>
      </c>
      <c r="AZ253" s="77" t="str">
        <f>IF($AY253="ja",(VLOOKUP($B253,'Egen hetvattenprod'!$B$1:$BX$550,MATCH(AZ$2,'Egen hetvattenprod'!$B$1:$BX$1,0),FALSE)+VLOOKUP($B253,Kraftvärmeprod!$B$1:$BX$550,MATCH(AZ$2,Kraftvärmeprod!$B$1:$BX$1,0),FALSE))/$AC253,"")</f>
        <v/>
      </c>
      <c r="BA253" s="77" t="str">
        <f>IF($AY253="ja",(VLOOKUP($B253,'Egen hetvattenprod'!$B$1:$BX$550,MATCH(BA$2,'Egen hetvattenprod'!$B$1:$BX$1,0),FALSE)+VLOOKUP($B253,Kraftvärmeprod!$B$1:$BX$550,MATCH(BA$2,Kraftvärmeprod!$B$1:$BX$1,0),FALSE))/$AC253,"")</f>
        <v/>
      </c>
      <c r="BB253" s="77" t="str">
        <f>IF($AY253="ja",(VLOOKUP($B253,'Egen hetvattenprod'!$B$1:$BX$550,MATCH(BB$2,'Egen hetvattenprod'!$B$1:$BX$1,0),FALSE)+VLOOKUP($B253,Kraftvärmeprod!$B$1:$BX$550,MATCH(BB$2,Kraftvärmeprod!$B$1:$BX$1,0),FALSE))/$AC253,"")</f>
        <v/>
      </c>
      <c r="BC253" s="77" t="str">
        <f>IF($AY253="ja",(VLOOKUP($B253,'Egen hetvattenprod'!$B$1:$BX$550,MATCH(BC$2,'Egen hetvattenprod'!$B$1:$BX$1,0),FALSE)+VLOOKUP($B253,Kraftvärmeprod!$B$1:$BX$550,MATCH(BC$2,Kraftvärmeprod!$B$1:$BX$1,0),FALSE))/$AC253,"")</f>
        <v/>
      </c>
      <c r="BD253" s="77" t="str">
        <f>IF($AY253="ja",(VLOOKUP($B253,'Egen hetvattenprod'!$B$1:$BX$550,MATCH(BD$2,'Egen hetvattenprod'!$B$1:$BX$1,0),FALSE)+VLOOKUP($B253,Kraftvärmeprod!$B$1:$BX$550,MATCH(BD$2,Kraftvärmeprod!$B$1:$BX$1,0),FALSE))/$AC253,"")</f>
        <v/>
      </c>
      <c r="BF253" s="63" t="str">
        <f t="shared" si="23"/>
        <v>Nej</v>
      </c>
      <c r="BG253" s="63" t="str">
        <f>IF($BF253="ja",VLOOKUP($B253,'Egen hetvattenprod'!$B$1:$BX$550,MATCH("Andelen klimatgaser med fossilt ursprung för avfall ()",'Egen hetvattenprod'!$B$1:$BX$1,0),FALSE),"")</f>
        <v/>
      </c>
      <c r="BH253" s="63" t="str">
        <f>IF($BF253="ja",VLOOKUP($B253,Kraftvärmeprod!$B$1:$BX$550,MATCH("Andelen klimatgaser med fossilt ursprung för avfall ()",Kraftvärmeprod!$B$1:$BX$1,0),FALSE),"")</f>
        <v/>
      </c>
      <c r="BI253" s="63" t="str">
        <f>IF($BF253="ja",VLOOKUP($B253,'Egen hetvattenprod'!$B$1:$BX$550,MATCH("Avfall (GWh)",'Egen hetvattenprod'!$B$1:$BX$1,0),FALSE),"")</f>
        <v/>
      </c>
      <c r="BJ253" s="63" t="str">
        <f>IF($BF253="ja",VLOOKUP($B253,'Slutlig allokering kvv'!$B$1:$BX$550,MATCH("Avfall (GWh)",'Slutlig allokering kvv'!$B$1:$BX$1,0),FALSE),"")</f>
        <v/>
      </c>
      <c r="BK253" s="63" t="str">
        <f>IF($BF253="ja",VLOOKUP($B253,'Köpt hetvatten'!$B$1:$BX$550,MATCH("Avfall i köpt hetvatten",'Köpt hetvatten'!$B$1:$BX$1,0),FALSE),"")</f>
        <v/>
      </c>
      <c r="BL253" s="63" t="str">
        <f>IF($BF253="ja",VLOOKUP($B253,'Egen hetvattenprod'!$B$1:$BX$550,MATCH("Värde enligt ovan. (%)",'Egen hetvattenprod'!$B$1:$BX$1,0),FALSE),"")</f>
        <v/>
      </c>
      <c r="BM253" s="63" t="str">
        <f>IF($BF253="ja",VLOOKUP($B253,Kraftvärmeprod!$B$1:$BX$550,MATCH("Värde enligt ovan. (%)",Kraftvärmeprod!$B$1:$BX$1,0),FALSE),"")</f>
        <v/>
      </c>
    </row>
    <row r="254" spans="1:65" x14ac:dyDescent="0.45">
      <c r="A254" s="63" t="s">
        <v>342</v>
      </c>
      <c r="B254" s="63" t="s">
        <v>348</v>
      </c>
      <c r="C254" s="63">
        <f>VLOOKUP($B254,'Tillförd energi'!$B$1:$AI$720,MATCH(C$2,'Tillförd energi'!$B$1:$AQ$1,0),FALSE)</f>
        <v>0</v>
      </c>
      <c r="D254" s="63">
        <f>VLOOKUP($B254,'Tillförd energi'!$B$1:$AI$720,MATCH(D$2,'Tillförd energi'!$B$1:$AQ$1,0),FALSE)</f>
        <v>0.35799999999999998</v>
      </c>
      <c r="E254" s="63">
        <f>VLOOKUP($B254,'Tillförd energi'!$B$1:$AI$720,MATCH(E$2,'Tillförd energi'!$B$1:$AQ$1,0),FALSE)</f>
        <v>0</v>
      </c>
      <c r="F254" s="63">
        <f>VLOOKUP($B254,'Tillförd energi'!$B$1:$AI$720,MATCH(F$2,'Tillförd energi'!$B$1:$AQ$1,0),FALSE)</f>
        <v>0</v>
      </c>
      <c r="G254" s="63">
        <f>VLOOKUP($B254,'Tillförd energi'!$B$1:$AI$720,MATCH(G$2,'Tillförd energi'!$B$1:$AQ$1,0),FALSE)</f>
        <v>0</v>
      </c>
      <c r="H254" s="63">
        <f>VLOOKUP($B254,'Tillförd energi'!$B$1:$AI$720,MATCH(H$2,'Tillförd energi'!$B$1:$AQ$1,0),FALSE)</f>
        <v>0</v>
      </c>
      <c r="I254" s="63">
        <f>VLOOKUP($B254,'Tillförd energi'!$B$1:$AI$720,MATCH(I$2,'Tillförd energi'!$B$1:$AQ$1,0),FALSE)</f>
        <v>0</v>
      </c>
      <c r="J254" s="63">
        <f>VLOOKUP($B254,'Tillförd energi'!$B$1:$AI$720,MATCH(J$2,'Tillförd energi'!$B$1:$AQ$1,0),FALSE)</f>
        <v>0</v>
      </c>
      <c r="K254" s="63">
        <f>VLOOKUP($B254,'Tillförd energi'!$B$1:$AI$720,MATCH(K$2,'Tillförd energi'!$B$1:$AQ$1,0),FALSE)</f>
        <v>0</v>
      </c>
      <c r="L254" s="63">
        <f>VLOOKUP($B254,'Tillförd energi'!$B$1:$AI$720,MATCH(L$2,'Tillförd energi'!$B$1:$AQ$1,0),FALSE)</f>
        <v>0</v>
      </c>
      <c r="M254" s="63">
        <f>VLOOKUP($B254,'Tillförd energi'!$B$1:$AI$720,MATCH(M$2,'Tillförd energi'!$B$1:$AQ$1,0),FALSE)</f>
        <v>0</v>
      </c>
      <c r="N254" s="63">
        <f>VLOOKUP($B254,'Tillförd energi'!$B$1:$AI$720,MATCH(N$2,'Tillförd energi'!$B$1:$AQ$1,0),FALSE)</f>
        <v>0</v>
      </c>
      <c r="O254" s="63">
        <f>VLOOKUP($B254,'Tillförd energi'!$B$1:$AI$720,MATCH(O$2,'Tillförd energi'!$B$1:$AQ$1,0),FALSE)</f>
        <v>0</v>
      </c>
      <c r="P254" s="63">
        <f>VLOOKUP($B254,'Tillförd energi'!$B$1:$AI$720,MATCH(P$2,'Tillförd energi'!$B$1:$AQ$1,0),FALSE)</f>
        <v>0</v>
      </c>
      <c r="Q254" s="63">
        <f>VLOOKUP($B254,'Tillförd energi'!$B$1:$AI$720,MATCH(Q$2,'Tillförd energi'!$B$1:$AQ$1,0),FALSE)</f>
        <v>0</v>
      </c>
      <c r="R254" s="63">
        <f>VLOOKUP($B254,'Tillförd energi'!$B$1:$AI$720,MATCH(R$2,'Tillförd energi'!$B$1:$AQ$1,0),FALSE)</f>
        <v>8.6869999999999994</v>
      </c>
      <c r="S254" s="63">
        <f>VLOOKUP($B254,'Tillförd energi'!$B$1:$AI$720,MATCH(S$2,'Tillförd energi'!$B$1:$AQ$1,0),FALSE)</f>
        <v>0</v>
      </c>
      <c r="T254" s="63">
        <f>VLOOKUP($B254,'Tillförd energi'!$B$1:$AI$720,MATCH(T$2,'Tillförd energi'!$B$1:$AQ$1,0),FALSE)</f>
        <v>0</v>
      </c>
      <c r="U254" s="63">
        <f>VLOOKUP($B254,'Tillförd energi'!$B$1:$AI$720,MATCH(U$2,'Tillförd energi'!$B$1:$AQ$1,0),FALSE)</f>
        <v>0</v>
      </c>
      <c r="V254" s="63">
        <f>VLOOKUP($B254,'Tillförd energi'!$B$1:$AI$720,MATCH(V$2,'Tillförd energi'!$B$1:$AQ$1,0),FALSE)</f>
        <v>0</v>
      </c>
      <c r="W254" s="63">
        <f>VLOOKUP($B254,'Tillförd energi'!$B$1:$AI$720,MATCH(W$2,'Tillförd energi'!$B$1:$AQ$1,0),FALSE)</f>
        <v>0</v>
      </c>
      <c r="X254" s="63">
        <f>VLOOKUP($B254,'Tillförd energi'!$B$1:$AI$720,MATCH(X$2,'Tillförd energi'!$B$1:$AQ$1,0),FALSE)</f>
        <v>0</v>
      </c>
      <c r="Y254" s="63">
        <f>VLOOKUP($B254,'Tillförd energi'!$B$1:$AI$720,MATCH(Y$2,'Tillförd energi'!$B$1:$AQ$1,0),FALSE)</f>
        <v>0</v>
      </c>
      <c r="Z254" s="63">
        <f>VLOOKUP($B254,'Tillförd energi'!$B$1:$AI$720,MATCH(Z$2,'Tillförd energi'!$B$1:$AQ$1,0),FALSE)</f>
        <v>0</v>
      </c>
      <c r="AA254" s="63">
        <f>VLOOKUP($B254,'Tillförd energi'!$B$1:$AI$720,MATCH(AA$2,'Tillförd energi'!$B$1:$AQ$1,0),FALSE)</f>
        <v>0</v>
      </c>
      <c r="AB254" s="63">
        <f>VLOOKUP($B254,'Tillförd energi'!$B$1:$AI$720,MATCH(AB$2,'Tillförd energi'!$B$1:$AQ$1,0),FALSE)</f>
        <v>0</v>
      </c>
      <c r="AC254" s="63">
        <f>VLOOKUP($B254,'Tillförd energi'!$B$1:$AI$720,MATCH(AC$2,'Tillförd energi'!$B$1:$AQ$1,0),FALSE)</f>
        <v>0</v>
      </c>
      <c r="AD254" s="63">
        <f>VLOOKUP($B254,'Tillförd energi'!$B$1:$AI$720,MATCH(AD$2,'Tillförd energi'!$B$1:$AQ$1,0),FALSE)</f>
        <v>7.431</v>
      </c>
      <c r="AE254" s="63">
        <f>VLOOKUP($B254,'Tillförd energi'!$B$1:$AI$720,MATCH(AE$2,'Tillförd energi'!$B$1:$AQ$1,0),FALSE)</f>
        <v>0</v>
      </c>
      <c r="AF254" s="63">
        <f>VLOOKUP($B254,'Tillförd energi'!$B$1:$AI$720,MATCH(AF$2,'Tillförd energi'!$B$1:$AQ$1,0),FALSE)</f>
        <v>0.13900000000000001</v>
      </c>
      <c r="AG254" s="63">
        <f>IFERROR(VLOOKUP(B254,Miljö!$B$1:$AC$550,MATCH("Köpt mängd produktionsspecifik fjärrvärme:",Miljö!$B$1:$AC$1,0),FALSE)/1,0)</f>
        <v>0</v>
      </c>
      <c r="AI254" s="63">
        <f t="shared" si="18"/>
        <v>16.614999999999998</v>
      </c>
      <c r="AJ254" s="63">
        <f>IF(ISERROR(1/VLOOKUP($B254,Leveranser!$B$1:$S$500,MATCH("såld värme (gwh)",Leveranser!$B$1:$S$1,0),FALSE)),"",VLOOKUP($B254,Leveranser!$B$1:$S$500,MATCH("såld värme (gwh)",Leveranser!$B$1:$S$1,0),FALSE))</f>
        <v>13.79</v>
      </c>
      <c r="AM254" s="63" t="str">
        <f>IF(B254&lt;&gt;"",IF(VLOOKUP($B254,Totalt!$B$1:$AQ$554,MATCH("Kvalitetsgranskad:",Totalt!$B$1:$AQ$1,0),FALSE)="ja",VLOOKUP($B254,Miljö!$B$1:$AG$479,MATCH(AM$2,Miljö!$B$1:$AK$1,0),FALSE),""),"")</f>
        <v>Ja</v>
      </c>
      <c r="AN254" s="63" t="str">
        <f>IF(AM254="ja",VLOOKUP($B254,Miljö!$B$1:$J$479,MATCH("Typ av ursprungsspecificerad el   (Om inget värde anges används Nordisk residualmix, se inforuta) ()",Miljö!$B$1:$J$1,0),FALSE),IF(AM254="nej","Nordisk residualel",""))</f>
        <v>'vatten.vind. bio'</v>
      </c>
      <c r="AO254" s="63">
        <f>IF(AM254="","",VLOOKUP($B254,Miljö!$B$1:$J$479,MATCH("Fossilandel för ursprungspecificerad el ()",Miljö!$B$1:$J$1,0),FALSE))</f>
        <v>0</v>
      </c>
      <c r="AQ254" s="63">
        <f t="shared" si="19"/>
        <v>1</v>
      </c>
      <c r="AS254" s="63" t="str">
        <f t="shared" si="20"/>
        <v>Nej</v>
      </c>
      <c r="AT254" s="63" t="str">
        <f>IF(AS254="ja",VLOOKUP($B254,Miljö!$B$1:$P$500,MATCH("Fossil andel i procent (%)",Miljö!$B$1:$P$1,0),FALSE)/100,"")</f>
        <v/>
      </c>
      <c r="AV254" s="63" t="str">
        <f t="shared" si="21"/>
        <v>Nej</v>
      </c>
      <c r="AW254" s="63" t="str">
        <f>IF(AV254="ja",VLOOKUP($B254,'Egen hetvattenprod'!$B$1:$AO$500,MATCH("Värmekälla till värmepumpar ()",'Egen hetvattenprod'!$B$1:$AO$1,0),FALSE),"")</f>
        <v/>
      </c>
      <c r="AY254" s="63" t="str">
        <f t="shared" si="22"/>
        <v>Nej</v>
      </c>
      <c r="AZ254" s="77" t="str">
        <f>IF($AY254="ja",(VLOOKUP($B254,'Egen hetvattenprod'!$B$1:$BX$550,MATCH(AZ$2,'Egen hetvattenprod'!$B$1:$BX$1,0),FALSE)+VLOOKUP($B254,Kraftvärmeprod!$B$1:$BX$550,MATCH(AZ$2,Kraftvärmeprod!$B$1:$BX$1,0),FALSE))/$AC254,"")</f>
        <v/>
      </c>
      <c r="BA254" s="77" t="str">
        <f>IF($AY254="ja",(VLOOKUP($B254,'Egen hetvattenprod'!$B$1:$BX$550,MATCH(BA$2,'Egen hetvattenprod'!$B$1:$BX$1,0),FALSE)+VLOOKUP($B254,Kraftvärmeprod!$B$1:$BX$550,MATCH(BA$2,Kraftvärmeprod!$B$1:$BX$1,0),FALSE))/$AC254,"")</f>
        <v/>
      </c>
      <c r="BB254" s="77" t="str">
        <f>IF($AY254="ja",(VLOOKUP($B254,'Egen hetvattenprod'!$B$1:$BX$550,MATCH(BB$2,'Egen hetvattenprod'!$B$1:$BX$1,0),FALSE)+VLOOKUP($B254,Kraftvärmeprod!$B$1:$BX$550,MATCH(BB$2,Kraftvärmeprod!$B$1:$BX$1,0),FALSE))/$AC254,"")</f>
        <v/>
      </c>
      <c r="BC254" s="77" t="str">
        <f>IF($AY254="ja",(VLOOKUP($B254,'Egen hetvattenprod'!$B$1:$BX$550,MATCH(BC$2,'Egen hetvattenprod'!$B$1:$BX$1,0),FALSE)+VLOOKUP($B254,Kraftvärmeprod!$B$1:$BX$550,MATCH(BC$2,Kraftvärmeprod!$B$1:$BX$1,0),FALSE))/$AC254,"")</f>
        <v/>
      </c>
      <c r="BD254" s="77" t="str">
        <f>IF($AY254="ja",(VLOOKUP($B254,'Egen hetvattenprod'!$B$1:$BX$550,MATCH(BD$2,'Egen hetvattenprod'!$B$1:$BX$1,0),FALSE)+VLOOKUP($B254,Kraftvärmeprod!$B$1:$BX$550,MATCH(BD$2,Kraftvärmeprod!$B$1:$BX$1,0),FALSE))/$AC254,"")</f>
        <v/>
      </c>
      <c r="BF254" s="63" t="str">
        <f t="shared" si="23"/>
        <v>Nej</v>
      </c>
      <c r="BG254" s="63" t="str">
        <f>IF($BF254="ja",VLOOKUP($B254,'Egen hetvattenprod'!$B$1:$BX$550,MATCH("Andelen klimatgaser med fossilt ursprung för avfall ()",'Egen hetvattenprod'!$B$1:$BX$1,0),FALSE),"")</f>
        <v/>
      </c>
      <c r="BH254" s="63" t="str">
        <f>IF($BF254="ja",VLOOKUP($B254,Kraftvärmeprod!$B$1:$BX$550,MATCH("Andelen klimatgaser med fossilt ursprung för avfall ()",Kraftvärmeprod!$B$1:$BX$1,0),FALSE),"")</f>
        <v/>
      </c>
      <c r="BI254" s="63" t="str">
        <f>IF($BF254="ja",VLOOKUP($B254,'Egen hetvattenprod'!$B$1:$BX$550,MATCH("Avfall (GWh)",'Egen hetvattenprod'!$B$1:$BX$1,0),FALSE),"")</f>
        <v/>
      </c>
      <c r="BJ254" s="63" t="str">
        <f>IF($BF254="ja",VLOOKUP($B254,'Slutlig allokering kvv'!$B$1:$BX$550,MATCH("Avfall (GWh)",'Slutlig allokering kvv'!$B$1:$BX$1,0),FALSE),"")</f>
        <v/>
      </c>
      <c r="BK254" s="63" t="str">
        <f>IF($BF254="ja",VLOOKUP($B254,'Köpt hetvatten'!$B$1:$BX$550,MATCH("Avfall i köpt hetvatten",'Köpt hetvatten'!$B$1:$BX$1,0),FALSE),"")</f>
        <v/>
      </c>
      <c r="BL254" s="63" t="str">
        <f>IF($BF254="ja",VLOOKUP($B254,'Egen hetvattenprod'!$B$1:$BX$550,MATCH("Värde enligt ovan. (%)",'Egen hetvattenprod'!$B$1:$BX$1,0),FALSE),"")</f>
        <v/>
      </c>
      <c r="BM254" s="63" t="str">
        <f>IF($BF254="ja",VLOOKUP($B254,Kraftvärmeprod!$B$1:$BX$550,MATCH("Värde enligt ovan. (%)",Kraftvärmeprod!$B$1:$BX$1,0),FALSE),"")</f>
        <v/>
      </c>
    </row>
    <row r="255" spans="1:65" x14ac:dyDescent="0.45">
      <c r="A255" s="63" t="s">
        <v>342</v>
      </c>
      <c r="B255" s="63" t="s">
        <v>347</v>
      </c>
      <c r="C255" s="63">
        <f>VLOOKUP($B255,'Tillförd energi'!$B$1:$AI$720,MATCH(C$2,'Tillförd energi'!$B$1:$AQ$1,0),FALSE)</f>
        <v>0</v>
      </c>
      <c r="D255" s="63">
        <f>VLOOKUP($B255,'Tillförd energi'!$B$1:$AI$720,MATCH(D$2,'Tillförd energi'!$B$1:$AQ$1,0),FALSE)</f>
        <v>0.30599999999999999</v>
      </c>
      <c r="E255" s="63">
        <f>VLOOKUP($B255,'Tillförd energi'!$B$1:$AI$720,MATCH(E$2,'Tillförd energi'!$B$1:$AQ$1,0),FALSE)</f>
        <v>0</v>
      </c>
      <c r="F255" s="63">
        <f>VLOOKUP($B255,'Tillförd energi'!$B$1:$AI$720,MATCH(F$2,'Tillförd energi'!$B$1:$AQ$1,0),FALSE)</f>
        <v>0</v>
      </c>
      <c r="G255" s="63">
        <f>VLOOKUP($B255,'Tillförd energi'!$B$1:$AI$720,MATCH(G$2,'Tillförd energi'!$B$1:$AQ$1,0),FALSE)</f>
        <v>0</v>
      </c>
      <c r="H255" s="63">
        <f>VLOOKUP($B255,'Tillförd energi'!$B$1:$AI$720,MATCH(H$2,'Tillförd energi'!$B$1:$AQ$1,0),FALSE)</f>
        <v>0</v>
      </c>
      <c r="I255" s="63">
        <f>VLOOKUP($B255,'Tillförd energi'!$B$1:$AI$720,MATCH(I$2,'Tillförd energi'!$B$1:$AQ$1,0),FALSE)</f>
        <v>0</v>
      </c>
      <c r="J255" s="63">
        <f>VLOOKUP($B255,'Tillförd energi'!$B$1:$AI$720,MATCH(J$2,'Tillförd energi'!$B$1:$AQ$1,0),FALSE)</f>
        <v>0</v>
      </c>
      <c r="K255" s="63">
        <f>VLOOKUP($B255,'Tillförd energi'!$B$1:$AI$720,MATCH(K$2,'Tillförd energi'!$B$1:$AQ$1,0),FALSE)</f>
        <v>0</v>
      </c>
      <c r="L255" s="63">
        <f>VLOOKUP($B255,'Tillförd energi'!$B$1:$AI$720,MATCH(L$2,'Tillförd energi'!$B$1:$AQ$1,0),FALSE)</f>
        <v>0</v>
      </c>
      <c r="M255" s="63">
        <f>VLOOKUP($B255,'Tillförd energi'!$B$1:$AI$720,MATCH(M$2,'Tillförd energi'!$B$1:$AQ$1,0),FALSE)</f>
        <v>0</v>
      </c>
      <c r="N255" s="63">
        <f>VLOOKUP($B255,'Tillförd energi'!$B$1:$AI$720,MATCH(N$2,'Tillförd energi'!$B$1:$AQ$1,0),FALSE)</f>
        <v>0</v>
      </c>
      <c r="O255" s="63">
        <f>VLOOKUP($B255,'Tillförd energi'!$B$1:$AI$720,MATCH(O$2,'Tillförd energi'!$B$1:$AQ$1,0),FALSE)</f>
        <v>0</v>
      </c>
      <c r="P255" s="63">
        <f>VLOOKUP($B255,'Tillförd energi'!$B$1:$AI$720,MATCH(P$2,'Tillförd energi'!$B$1:$AQ$1,0),FALSE)</f>
        <v>0</v>
      </c>
      <c r="Q255" s="63">
        <f>VLOOKUP($B255,'Tillförd energi'!$B$1:$AI$720,MATCH(Q$2,'Tillförd energi'!$B$1:$AQ$1,0),FALSE)</f>
        <v>0</v>
      </c>
      <c r="R255" s="63">
        <f>VLOOKUP($B255,'Tillförd energi'!$B$1:$AI$720,MATCH(R$2,'Tillförd energi'!$B$1:$AQ$1,0),FALSE)</f>
        <v>11.318</v>
      </c>
      <c r="S255" s="63">
        <f>VLOOKUP($B255,'Tillförd energi'!$B$1:$AI$720,MATCH(S$2,'Tillförd energi'!$B$1:$AQ$1,0),FALSE)</f>
        <v>0</v>
      </c>
      <c r="T255" s="63">
        <f>VLOOKUP($B255,'Tillförd energi'!$B$1:$AI$720,MATCH(T$2,'Tillförd energi'!$B$1:$AQ$1,0),FALSE)</f>
        <v>0</v>
      </c>
      <c r="U255" s="63">
        <f>VLOOKUP($B255,'Tillförd energi'!$B$1:$AI$720,MATCH(U$2,'Tillförd energi'!$B$1:$AQ$1,0),FALSE)</f>
        <v>0</v>
      </c>
      <c r="V255" s="63">
        <f>VLOOKUP($B255,'Tillförd energi'!$B$1:$AI$720,MATCH(V$2,'Tillförd energi'!$B$1:$AQ$1,0),FALSE)</f>
        <v>0</v>
      </c>
      <c r="W255" s="63">
        <f>VLOOKUP($B255,'Tillförd energi'!$B$1:$AI$720,MATCH(W$2,'Tillförd energi'!$B$1:$AQ$1,0),FALSE)</f>
        <v>0</v>
      </c>
      <c r="X255" s="63">
        <f>VLOOKUP($B255,'Tillförd energi'!$B$1:$AI$720,MATCH(X$2,'Tillförd energi'!$B$1:$AQ$1,0),FALSE)</f>
        <v>0</v>
      </c>
      <c r="Y255" s="63">
        <f>VLOOKUP($B255,'Tillförd energi'!$B$1:$AI$720,MATCH(Y$2,'Tillförd energi'!$B$1:$AQ$1,0),FALSE)</f>
        <v>0</v>
      </c>
      <c r="Z255" s="63">
        <f>VLOOKUP($B255,'Tillförd energi'!$B$1:$AI$720,MATCH(Z$2,'Tillförd energi'!$B$1:$AQ$1,0),FALSE)</f>
        <v>0</v>
      </c>
      <c r="AA255" s="63">
        <f>VLOOKUP($B255,'Tillförd energi'!$B$1:$AI$720,MATCH(AA$2,'Tillförd energi'!$B$1:$AQ$1,0),FALSE)</f>
        <v>0</v>
      </c>
      <c r="AB255" s="63">
        <f>VLOOKUP($B255,'Tillförd energi'!$B$1:$AI$720,MATCH(AB$2,'Tillförd energi'!$B$1:$AQ$1,0),FALSE)</f>
        <v>0</v>
      </c>
      <c r="AC255" s="63">
        <f>VLOOKUP($B255,'Tillförd energi'!$B$1:$AI$720,MATCH(AC$2,'Tillförd energi'!$B$1:$AQ$1,0),FALSE)</f>
        <v>0</v>
      </c>
      <c r="AD255" s="63">
        <f>VLOOKUP($B255,'Tillförd energi'!$B$1:$AI$720,MATCH(AD$2,'Tillförd energi'!$B$1:$AQ$1,0),FALSE)</f>
        <v>0</v>
      </c>
      <c r="AE255" s="63">
        <f>VLOOKUP($B255,'Tillförd energi'!$B$1:$AI$720,MATCH(AE$2,'Tillförd energi'!$B$1:$AQ$1,0),FALSE)</f>
        <v>0</v>
      </c>
      <c r="AF255" s="63">
        <f>VLOOKUP($B255,'Tillförd energi'!$B$1:$AI$720,MATCH(AF$2,'Tillförd energi'!$B$1:$AQ$1,0),FALSE)</f>
        <v>0.115</v>
      </c>
      <c r="AG255" s="63">
        <f>IFERROR(VLOOKUP(B255,Miljö!$B$1:$AC$550,MATCH("Köpt mängd produktionsspecifik fjärrvärme:",Miljö!$B$1:$AC$1,0),FALSE)/1,0)</f>
        <v>0</v>
      </c>
      <c r="AI255" s="63">
        <f t="shared" si="18"/>
        <v>11.738999999999999</v>
      </c>
      <c r="AJ255" s="63">
        <f>IF(ISERROR(1/VLOOKUP($B255,Leveranser!$B$1:$S$500,MATCH("såld värme (gwh)",Leveranser!$B$1:$S$1,0),FALSE)),"",VLOOKUP($B255,Leveranser!$B$1:$S$500,MATCH("såld värme (gwh)",Leveranser!$B$1:$S$1,0),FALSE))</f>
        <v>9.3279999999999994</v>
      </c>
      <c r="AM255" s="63" t="str">
        <f>IF(B255&lt;&gt;"",IF(VLOOKUP($B255,Totalt!$B$1:$AQ$554,MATCH("Kvalitetsgranskad:",Totalt!$B$1:$AQ$1,0),FALSE)="ja",VLOOKUP($B255,Miljö!$B$1:$AG$479,MATCH(AM$2,Miljö!$B$1:$AK$1,0),FALSE),""),"")</f>
        <v>Ja</v>
      </c>
      <c r="AN255" s="63" t="str">
        <f>IF(AM255="ja",VLOOKUP($B255,Miljö!$B$1:$J$479,MATCH("Typ av ursprungsspecificerad el   (Om inget värde anges används Nordisk residualmix, se inforuta) ()",Miljö!$B$1:$J$1,0),FALSE),IF(AM255="nej","Nordisk residualel",""))</f>
        <v>'vatten. vind. bio'</v>
      </c>
      <c r="AO255" s="63">
        <f>IF(AM255="","",VLOOKUP($B255,Miljö!$B$1:$J$479,MATCH("Fossilandel för ursprungspecificerad el ()",Miljö!$B$1:$J$1,0),FALSE))</f>
        <v>0</v>
      </c>
      <c r="AQ255" s="63">
        <f t="shared" si="19"/>
        <v>1</v>
      </c>
      <c r="AS255" s="63" t="str">
        <f t="shared" si="20"/>
        <v>Nej</v>
      </c>
      <c r="AT255" s="63" t="str">
        <f>IF(AS255="ja",VLOOKUP($B255,Miljö!$B$1:$P$500,MATCH("Fossil andel i procent (%)",Miljö!$B$1:$P$1,0),FALSE)/100,"")</f>
        <v/>
      </c>
      <c r="AV255" s="63" t="str">
        <f t="shared" si="21"/>
        <v>Nej</v>
      </c>
      <c r="AW255" s="63" t="str">
        <f>IF(AV255="ja",VLOOKUP($B255,'Egen hetvattenprod'!$B$1:$AO$500,MATCH("Värmekälla till värmepumpar ()",'Egen hetvattenprod'!$B$1:$AO$1,0),FALSE),"")</f>
        <v/>
      </c>
      <c r="AY255" s="63" t="str">
        <f t="shared" si="22"/>
        <v>Nej</v>
      </c>
      <c r="AZ255" s="77" t="str">
        <f>IF($AY255="ja",(VLOOKUP($B255,'Egen hetvattenprod'!$B$1:$BX$550,MATCH(AZ$2,'Egen hetvattenprod'!$B$1:$BX$1,0),FALSE)+VLOOKUP($B255,Kraftvärmeprod!$B$1:$BX$550,MATCH(AZ$2,Kraftvärmeprod!$B$1:$BX$1,0),FALSE))/$AC255,"")</f>
        <v/>
      </c>
      <c r="BA255" s="77" t="str">
        <f>IF($AY255="ja",(VLOOKUP($B255,'Egen hetvattenprod'!$B$1:$BX$550,MATCH(BA$2,'Egen hetvattenprod'!$B$1:$BX$1,0),FALSE)+VLOOKUP($B255,Kraftvärmeprod!$B$1:$BX$550,MATCH(BA$2,Kraftvärmeprod!$B$1:$BX$1,0),FALSE))/$AC255,"")</f>
        <v/>
      </c>
      <c r="BB255" s="77" t="str">
        <f>IF($AY255="ja",(VLOOKUP($B255,'Egen hetvattenprod'!$B$1:$BX$550,MATCH(BB$2,'Egen hetvattenprod'!$B$1:$BX$1,0),FALSE)+VLOOKUP($B255,Kraftvärmeprod!$B$1:$BX$550,MATCH(BB$2,Kraftvärmeprod!$B$1:$BX$1,0),FALSE))/$AC255,"")</f>
        <v/>
      </c>
      <c r="BC255" s="77" t="str">
        <f>IF($AY255="ja",(VLOOKUP($B255,'Egen hetvattenprod'!$B$1:$BX$550,MATCH(BC$2,'Egen hetvattenprod'!$B$1:$BX$1,0),FALSE)+VLOOKUP($B255,Kraftvärmeprod!$B$1:$BX$550,MATCH(BC$2,Kraftvärmeprod!$B$1:$BX$1,0),FALSE))/$AC255,"")</f>
        <v/>
      </c>
      <c r="BD255" s="77" t="str">
        <f>IF($AY255="ja",(VLOOKUP($B255,'Egen hetvattenprod'!$B$1:$BX$550,MATCH(BD$2,'Egen hetvattenprod'!$B$1:$BX$1,0),FALSE)+VLOOKUP($B255,Kraftvärmeprod!$B$1:$BX$550,MATCH(BD$2,Kraftvärmeprod!$B$1:$BX$1,0),FALSE))/$AC255,"")</f>
        <v/>
      </c>
      <c r="BF255" s="63" t="str">
        <f t="shared" si="23"/>
        <v>Nej</v>
      </c>
      <c r="BG255" s="63" t="str">
        <f>IF($BF255="ja",VLOOKUP($B255,'Egen hetvattenprod'!$B$1:$BX$550,MATCH("Andelen klimatgaser med fossilt ursprung för avfall ()",'Egen hetvattenprod'!$B$1:$BX$1,0),FALSE),"")</f>
        <v/>
      </c>
      <c r="BH255" s="63" t="str">
        <f>IF($BF255="ja",VLOOKUP($B255,Kraftvärmeprod!$B$1:$BX$550,MATCH("Andelen klimatgaser med fossilt ursprung för avfall ()",Kraftvärmeprod!$B$1:$BX$1,0),FALSE),"")</f>
        <v/>
      </c>
      <c r="BI255" s="63" t="str">
        <f>IF($BF255="ja",VLOOKUP($B255,'Egen hetvattenprod'!$B$1:$BX$550,MATCH("Avfall (GWh)",'Egen hetvattenprod'!$B$1:$BX$1,0),FALSE),"")</f>
        <v/>
      </c>
      <c r="BJ255" s="63" t="str">
        <f>IF($BF255="ja",VLOOKUP($B255,'Slutlig allokering kvv'!$B$1:$BX$550,MATCH("Avfall (GWh)",'Slutlig allokering kvv'!$B$1:$BX$1,0),FALSE),"")</f>
        <v/>
      </c>
      <c r="BK255" s="63" t="str">
        <f>IF($BF255="ja",VLOOKUP($B255,'Köpt hetvatten'!$B$1:$BX$550,MATCH("Avfall i köpt hetvatten",'Köpt hetvatten'!$B$1:$BX$1,0),FALSE),"")</f>
        <v/>
      </c>
      <c r="BL255" s="63" t="str">
        <f>IF($BF255="ja",VLOOKUP($B255,'Egen hetvattenprod'!$B$1:$BX$550,MATCH("Värde enligt ovan. (%)",'Egen hetvattenprod'!$B$1:$BX$1,0),FALSE),"")</f>
        <v/>
      </c>
      <c r="BM255" s="63" t="str">
        <f>IF($BF255="ja",VLOOKUP($B255,Kraftvärmeprod!$B$1:$BX$550,MATCH("Värde enligt ovan. (%)",Kraftvärmeprod!$B$1:$BX$1,0),FALSE),"")</f>
        <v/>
      </c>
    </row>
    <row r="256" spans="1:65" x14ac:dyDescent="0.45">
      <c r="A256" s="63" t="s">
        <v>342</v>
      </c>
      <c r="B256" s="63" t="s">
        <v>346</v>
      </c>
      <c r="C256" s="63">
        <f>VLOOKUP($B256,'Tillförd energi'!$B$1:$AI$720,MATCH(C$2,'Tillförd energi'!$B$1:$AQ$1,0),FALSE)</f>
        <v>0</v>
      </c>
      <c r="D256" s="63">
        <f>VLOOKUP($B256,'Tillförd energi'!$B$1:$AI$720,MATCH(D$2,'Tillförd energi'!$B$1:$AQ$1,0),FALSE)</f>
        <v>6.0591200000000001</v>
      </c>
      <c r="E256" s="63">
        <f>VLOOKUP($B256,'Tillförd energi'!$B$1:$AI$720,MATCH(E$2,'Tillförd energi'!$B$1:$AQ$1,0),FALSE)</f>
        <v>0</v>
      </c>
      <c r="F256" s="63">
        <f>VLOOKUP($B256,'Tillförd energi'!$B$1:$AI$720,MATCH(F$2,'Tillförd energi'!$B$1:$AQ$1,0),FALSE)</f>
        <v>0</v>
      </c>
      <c r="G256" s="63">
        <f>VLOOKUP($B256,'Tillförd energi'!$B$1:$AI$720,MATCH(G$2,'Tillförd energi'!$B$1:$AQ$1,0),FALSE)</f>
        <v>0</v>
      </c>
      <c r="H256" s="63">
        <f>VLOOKUP($B256,'Tillförd energi'!$B$1:$AI$720,MATCH(H$2,'Tillförd energi'!$B$1:$AQ$1,0),FALSE)</f>
        <v>0</v>
      </c>
      <c r="I256" s="63">
        <f>VLOOKUP($B256,'Tillförd energi'!$B$1:$AI$720,MATCH(I$2,'Tillförd energi'!$B$1:$AQ$1,0),FALSE)</f>
        <v>0</v>
      </c>
      <c r="J256" s="63">
        <f>VLOOKUP($B256,'Tillförd energi'!$B$1:$AI$720,MATCH(J$2,'Tillförd energi'!$B$1:$AQ$1,0),FALSE)</f>
        <v>0</v>
      </c>
      <c r="K256" s="63">
        <f>VLOOKUP($B256,'Tillförd energi'!$B$1:$AI$720,MATCH(K$2,'Tillförd energi'!$B$1:$AQ$1,0),FALSE)</f>
        <v>0</v>
      </c>
      <c r="L256" s="63">
        <f>VLOOKUP($B256,'Tillförd energi'!$B$1:$AI$720,MATCH(L$2,'Tillförd energi'!$B$1:$AQ$1,0),FALSE)</f>
        <v>0</v>
      </c>
      <c r="M256" s="63">
        <f>VLOOKUP($B256,'Tillförd energi'!$B$1:$AI$720,MATCH(M$2,'Tillförd energi'!$B$1:$AQ$1,0),FALSE)</f>
        <v>61.474699999999999</v>
      </c>
      <c r="N256" s="63">
        <f>VLOOKUP($B256,'Tillförd energi'!$B$1:$AI$720,MATCH(N$2,'Tillförd energi'!$B$1:$AQ$1,0),FALSE)</f>
        <v>36.374600000000001</v>
      </c>
      <c r="O256" s="63">
        <f>VLOOKUP($B256,'Tillförd energi'!$B$1:$AI$720,MATCH(O$2,'Tillförd energi'!$B$1:$AQ$1,0),FALSE)</f>
        <v>67.943299999999994</v>
      </c>
      <c r="P256" s="63">
        <f>VLOOKUP($B256,'Tillförd energi'!$B$1:$AI$720,MATCH(P$2,'Tillförd energi'!$B$1:$AQ$1,0),FALSE)</f>
        <v>11.4466</v>
      </c>
      <c r="Q256" s="63">
        <f>VLOOKUP($B256,'Tillförd energi'!$B$1:$AI$720,MATCH(Q$2,'Tillförd energi'!$B$1:$AQ$1,0),FALSE)</f>
        <v>48.057000000000002</v>
      </c>
      <c r="R256" s="63">
        <f>VLOOKUP($B256,'Tillförd energi'!$B$1:$AI$720,MATCH(R$2,'Tillförd energi'!$B$1:$AQ$1,0),FALSE)</f>
        <v>0</v>
      </c>
      <c r="S256" s="63">
        <f>VLOOKUP($B256,'Tillförd energi'!$B$1:$AI$720,MATCH(S$2,'Tillförd energi'!$B$1:$AQ$1,0),FALSE)</f>
        <v>0</v>
      </c>
      <c r="T256" s="63">
        <f>VLOOKUP($B256,'Tillförd energi'!$B$1:$AI$720,MATCH(T$2,'Tillförd energi'!$B$1:$AQ$1,0),FALSE)</f>
        <v>0</v>
      </c>
      <c r="U256" s="63">
        <f>VLOOKUP($B256,'Tillförd energi'!$B$1:$AI$720,MATCH(U$2,'Tillförd energi'!$B$1:$AQ$1,0),FALSE)</f>
        <v>0</v>
      </c>
      <c r="V256" s="63">
        <f>VLOOKUP($B256,'Tillförd energi'!$B$1:$AI$720,MATCH(V$2,'Tillförd energi'!$B$1:$AQ$1,0),FALSE)</f>
        <v>0</v>
      </c>
      <c r="W256" s="63">
        <f>VLOOKUP($B256,'Tillförd energi'!$B$1:$AI$720,MATCH(W$2,'Tillförd energi'!$B$1:$AQ$1,0),FALSE)</f>
        <v>0</v>
      </c>
      <c r="X256" s="63">
        <f>VLOOKUP($B256,'Tillförd energi'!$B$1:$AI$720,MATCH(X$2,'Tillförd energi'!$B$1:$AQ$1,0),FALSE)</f>
        <v>0</v>
      </c>
      <c r="Y256" s="63">
        <f>VLOOKUP($B256,'Tillförd energi'!$B$1:$AI$720,MATCH(Y$2,'Tillförd energi'!$B$1:$AQ$1,0),FALSE)</f>
        <v>35.515799999999999</v>
      </c>
      <c r="Z256" s="63">
        <f>VLOOKUP($B256,'Tillförd energi'!$B$1:$AI$720,MATCH(Z$2,'Tillförd energi'!$B$1:$AQ$1,0),FALSE)</f>
        <v>0</v>
      </c>
      <c r="AA256" s="63">
        <f>VLOOKUP($B256,'Tillförd energi'!$B$1:$AI$720,MATCH(AA$2,'Tillförd energi'!$B$1:$AQ$1,0),FALSE)</f>
        <v>0</v>
      </c>
      <c r="AB256" s="63">
        <f>VLOOKUP($B256,'Tillförd energi'!$B$1:$AI$720,MATCH(AB$2,'Tillförd energi'!$B$1:$AQ$1,0),FALSE)</f>
        <v>0</v>
      </c>
      <c r="AC256" s="63">
        <f>VLOOKUP($B256,'Tillförd energi'!$B$1:$AI$720,MATCH(AC$2,'Tillförd energi'!$B$1:$AQ$1,0),FALSE)</f>
        <v>72.900000000000006</v>
      </c>
      <c r="AD256" s="63">
        <f>VLOOKUP($B256,'Tillförd energi'!$B$1:$AI$720,MATCH(AD$2,'Tillförd energi'!$B$1:$AQ$1,0),FALSE)</f>
        <v>0</v>
      </c>
      <c r="AE256" s="63">
        <f>VLOOKUP($B256,'Tillförd energi'!$B$1:$AI$720,MATCH(AE$2,'Tillförd energi'!$B$1:$AQ$1,0),FALSE)</f>
        <v>0</v>
      </c>
      <c r="AF256" s="63">
        <f>VLOOKUP($B256,'Tillförd energi'!$B$1:$AI$720,MATCH(AF$2,'Tillförd energi'!$B$1:$AQ$1,0),FALSE)</f>
        <v>13.180199999999999</v>
      </c>
      <c r="AG256" s="63">
        <f>IFERROR(VLOOKUP(B256,Miljö!$B$1:$AC$550,MATCH("Köpt mängd produktionsspecifik fjärrvärme:",Miljö!$B$1:$AC$1,0),FALSE)/1,0)</f>
        <v>0</v>
      </c>
      <c r="AI256" s="63">
        <f t="shared" si="18"/>
        <v>352.95132000000001</v>
      </c>
      <c r="AJ256" s="63">
        <f>IF(ISERROR(1/VLOOKUP($B256,Leveranser!$B$1:$S$500,MATCH("såld värme (gwh)",Leveranser!$B$1:$S$1,0),FALSE)),"",VLOOKUP($B256,Leveranser!$B$1:$S$500,MATCH("såld värme (gwh)",Leveranser!$B$1:$S$1,0),FALSE))</f>
        <v>352.221</v>
      </c>
      <c r="AM256" s="63" t="str">
        <f>IF(B256&lt;&gt;"",IF(VLOOKUP($B256,Totalt!$B$1:$AQ$554,MATCH("Kvalitetsgranskad:",Totalt!$B$1:$AQ$1,0),FALSE)="ja",VLOOKUP($B256,Miljö!$B$1:$AG$479,MATCH(AM$2,Miljö!$B$1:$AK$1,0),FALSE),""),"")</f>
        <v>Ja</v>
      </c>
      <c r="AN256" s="63" t="str">
        <f>IF(AM256="ja",VLOOKUP($B256,Miljö!$B$1:$J$479,MATCH("Typ av ursprungsspecificerad el   (Om inget värde anges används Nordisk residualmix, se inforuta) ()",Miljö!$B$1:$J$1,0),FALSE),IF(AM256="nej","Nordisk residualel",""))</f>
        <v>'vatten.vind.bio'</v>
      </c>
      <c r="AO256" s="63">
        <f>IF(AM256="","",VLOOKUP($B256,Miljö!$B$1:$J$479,MATCH("Fossilandel för ursprungspecificerad el ()",Miljö!$B$1:$J$1,0),FALSE))</f>
        <v>0</v>
      </c>
      <c r="AQ256" s="63">
        <f t="shared" si="19"/>
        <v>1</v>
      </c>
      <c r="AS256" s="63" t="str">
        <f t="shared" si="20"/>
        <v>Nej</v>
      </c>
      <c r="AT256" s="63" t="str">
        <f>IF(AS256="ja",VLOOKUP($B256,Miljö!$B$1:$P$500,MATCH("Fossil andel i procent (%)",Miljö!$B$1:$P$1,0),FALSE)/100,"")</f>
        <v/>
      </c>
      <c r="AV256" s="63" t="str">
        <f t="shared" si="21"/>
        <v>Nej</v>
      </c>
      <c r="AW256" s="63" t="str">
        <f>IF(AV256="ja",VLOOKUP($B256,'Egen hetvattenprod'!$B$1:$AO$500,MATCH("Värmekälla till värmepumpar ()",'Egen hetvattenprod'!$B$1:$AO$1,0),FALSE),"")</f>
        <v/>
      </c>
      <c r="AY256" s="63" t="str">
        <f t="shared" si="22"/>
        <v>Ja</v>
      </c>
      <c r="AZ256" s="77">
        <f>IF($AY256="ja",(VLOOKUP($B256,'Egen hetvattenprod'!$B$1:$BX$550,MATCH(AZ$2,'Egen hetvattenprod'!$B$1:$BX$1,0),FALSE)+VLOOKUP($B256,Kraftvärmeprod!$B$1:$BX$550,MATCH(AZ$2,Kraftvärmeprod!$B$1:$BX$1,0),FALSE))/$AC256,"")</f>
        <v>0.87999999999999989</v>
      </c>
      <c r="BA256" s="77">
        <f>IF($AY256="ja",(VLOOKUP($B256,'Egen hetvattenprod'!$B$1:$BX$550,MATCH(BA$2,'Egen hetvattenprod'!$B$1:$BX$1,0),FALSE)+VLOOKUP($B256,Kraftvärmeprod!$B$1:$BX$550,MATCH(BA$2,Kraftvärmeprod!$B$1:$BX$1,0),FALSE))/$AC256,"")</f>
        <v>0</v>
      </c>
      <c r="BB256" s="77">
        <f>IF($AY256="ja",(VLOOKUP($B256,'Egen hetvattenprod'!$B$1:$BX$550,MATCH(BB$2,'Egen hetvattenprod'!$B$1:$BX$1,0),FALSE)+VLOOKUP($B256,Kraftvärmeprod!$B$1:$BX$550,MATCH(BB$2,Kraftvärmeprod!$B$1:$BX$1,0),FALSE))/$AC256,"")</f>
        <v>0</v>
      </c>
      <c r="BC256" s="77">
        <f>IF($AY256="ja",(VLOOKUP($B256,'Egen hetvattenprod'!$B$1:$BX$550,MATCH(BC$2,'Egen hetvattenprod'!$B$1:$BX$1,0),FALSE)+VLOOKUP($B256,Kraftvärmeprod!$B$1:$BX$550,MATCH(BC$2,Kraftvärmeprod!$B$1:$BX$1,0),FALSE))/$AC256,"")</f>
        <v>0.12000000000000001</v>
      </c>
      <c r="BD256" s="77">
        <f>IF($AY256="ja",(VLOOKUP($B256,'Egen hetvattenprod'!$B$1:$BX$550,MATCH(BD$2,'Egen hetvattenprod'!$B$1:$BX$1,0),FALSE)+VLOOKUP($B256,Kraftvärmeprod!$B$1:$BX$550,MATCH(BD$2,Kraftvärmeprod!$B$1:$BX$1,0),FALSE))/$AC256,"")</f>
        <v>0</v>
      </c>
      <c r="BF256" s="63" t="str">
        <f t="shared" si="23"/>
        <v>Nej</v>
      </c>
      <c r="BG256" s="63" t="str">
        <f>IF($BF256="ja",VLOOKUP($B256,'Egen hetvattenprod'!$B$1:$BX$550,MATCH("Andelen klimatgaser med fossilt ursprung för avfall ()",'Egen hetvattenprod'!$B$1:$BX$1,0),FALSE),"")</f>
        <v/>
      </c>
      <c r="BH256" s="63" t="str">
        <f>IF($BF256="ja",VLOOKUP($B256,Kraftvärmeprod!$B$1:$BX$550,MATCH("Andelen klimatgaser med fossilt ursprung för avfall ()",Kraftvärmeprod!$B$1:$BX$1,0),FALSE),"")</f>
        <v/>
      </c>
      <c r="BI256" s="63" t="str">
        <f>IF($BF256="ja",VLOOKUP($B256,'Egen hetvattenprod'!$B$1:$BX$550,MATCH("Avfall (GWh)",'Egen hetvattenprod'!$B$1:$BX$1,0),FALSE),"")</f>
        <v/>
      </c>
      <c r="BJ256" s="63" t="str">
        <f>IF($BF256="ja",VLOOKUP($B256,'Slutlig allokering kvv'!$B$1:$BX$550,MATCH("Avfall (GWh)",'Slutlig allokering kvv'!$B$1:$BX$1,0),FALSE),"")</f>
        <v/>
      </c>
      <c r="BK256" s="63" t="str">
        <f>IF($BF256="ja",VLOOKUP($B256,'Köpt hetvatten'!$B$1:$BX$550,MATCH("Avfall i köpt hetvatten",'Köpt hetvatten'!$B$1:$BX$1,0),FALSE),"")</f>
        <v/>
      </c>
      <c r="BL256" s="63" t="str">
        <f>IF($BF256="ja",VLOOKUP($B256,'Egen hetvattenprod'!$B$1:$BX$550,MATCH("Värde enligt ovan. (%)",'Egen hetvattenprod'!$B$1:$BX$1,0),FALSE),"")</f>
        <v/>
      </c>
      <c r="BM256" s="63" t="str">
        <f>IF($BF256="ja",VLOOKUP($B256,Kraftvärmeprod!$B$1:$BX$550,MATCH("Värde enligt ovan. (%)",Kraftvärmeprod!$B$1:$BX$1,0),FALSE),"")</f>
        <v/>
      </c>
    </row>
    <row r="257" spans="1:65" x14ac:dyDescent="0.45">
      <c r="A257" s="63" t="s">
        <v>342</v>
      </c>
      <c r="B257" s="63" t="s">
        <v>345</v>
      </c>
      <c r="C257" s="63">
        <f>VLOOKUP($B257,'Tillförd energi'!$B$1:$AI$720,MATCH(C$2,'Tillförd energi'!$B$1:$AQ$1,0),FALSE)</f>
        <v>0</v>
      </c>
      <c r="D257" s="63">
        <f>VLOOKUP($B257,'Tillförd energi'!$B$1:$AI$720,MATCH(D$2,'Tillförd energi'!$B$1:$AQ$1,0),FALSE)</f>
        <v>1.63</v>
      </c>
      <c r="E257" s="63">
        <f>VLOOKUP($B257,'Tillförd energi'!$B$1:$AI$720,MATCH(E$2,'Tillförd energi'!$B$1:$AQ$1,0),FALSE)</f>
        <v>0</v>
      </c>
      <c r="F257" s="63">
        <f>VLOOKUP($B257,'Tillförd energi'!$B$1:$AI$720,MATCH(F$2,'Tillförd energi'!$B$1:$AQ$1,0),FALSE)</f>
        <v>0</v>
      </c>
      <c r="G257" s="63">
        <f>VLOOKUP($B257,'Tillförd energi'!$B$1:$AI$720,MATCH(G$2,'Tillförd energi'!$B$1:$AQ$1,0),FALSE)</f>
        <v>0</v>
      </c>
      <c r="H257" s="63">
        <f>VLOOKUP($B257,'Tillförd energi'!$B$1:$AI$720,MATCH(H$2,'Tillförd energi'!$B$1:$AQ$1,0),FALSE)</f>
        <v>0</v>
      </c>
      <c r="I257" s="63">
        <f>VLOOKUP($B257,'Tillförd energi'!$B$1:$AI$720,MATCH(I$2,'Tillförd energi'!$B$1:$AQ$1,0),FALSE)</f>
        <v>0</v>
      </c>
      <c r="J257" s="63">
        <f>VLOOKUP($B257,'Tillförd energi'!$B$1:$AI$720,MATCH(J$2,'Tillförd energi'!$B$1:$AQ$1,0),FALSE)</f>
        <v>0</v>
      </c>
      <c r="K257" s="63">
        <f>VLOOKUP($B257,'Tillförd energi'!$B$1:$AI$720,MATCH(K$2,'Tillförd energi'!$B$1:$AQ$1,0),FALSE)</f>
        <v>0</v>
      </c>
      <c r="L257" s="63">
        <f>VLOOKUP($B257,'Tillförd energi'!$B$1:$AI$720,MATCH(L$2,'Tillförd energi'!$B$1:$AQ$1,0),FALSE)</f>
        <v>0</v>
      </c>
      <c r="M257" s="63">
        <f>VLOOKUP($B257,'Tillförd energi'!$B$1:$AI$720,MATCH(M$2,'Tillförd energi'!$B$1:$AQ$1,0),FALSE)</f>
        <v>0</v>
      </c>
      <c r="N257" s="63">
        <f>VLOOKUP($B257,'Tillförd energi'!$B$1:$AI$720,MATCH(N$2,'Tillförd energi'!$B$1:$AQ$1,0),FALSE)</f>
        <v>0</v>
      </c>
      <c r="O257" s="63">
        <f>VLOOKUP($B257,'Tillförd energi'!$B$1:$AI$720,MATCH(O$2,'Tillförd energi'!$B$1:$AQ$1,0),FALSE)</f>
        <v>0</v>
      </c>
      <c r="P257" s="63">
        <f>VLOOKUP($B257,'Tillförd energi'!$B$1:$AI$720,MATCH(P$2,'Tillförd energi'!$B$1:$AQ$1,0),FALSE)</f>
        <v>0</v>
      </c>
      <c r="Q257" s="63">
        <f>VLOOKUP($B257,'Tillförd energi'!$B$1:$AI$720,MATCH(Q$2,'Tillförd energi'!$B$1:$AQ$1,0),FALSE)</f>
        <v>0</v>
      </c>
      <c r="R257" s="63">
        <f>VLOOKUP($B257,'Tillförd energi'!$B$1:$AI$720,MATCH(R$2,'Tillförd energi'!$B$1:$AQ$1,0),FALSE)</f>
        <v>42.929000000000002</v>
      </c>
      <c r="S257" s="63">
        <f>VLOOKUP($B257,'Tillförd energi'!$B$1:$AI$720,MATCH(S$2,'Tillförd energi'!$B$1:$AQ$1,0),FALSE)</f>
        <v>0</v>
      </c>
      <c r="T257" s="63">
        <f>VLOOKUP($B257,'Tillförd energi'!$B$1:$AI$720,MATCH(T$2,'Tillförd energi'!$B$1:$AQ$1,0),FALSE)</f>
        <v>0</v>
      </c>
      <c r="U257" s="63">
        <f>VLOOKUP($B257,'Tillförd energi'!$B$1:$AI$720,MATCH(U$2,'Tillförd energi'!$B$1:$AQ$1,0),FALSE)</f>
        <v>0</v>
      </c>
      <c r="V257" s="63">
        <f>VLOOKUP($B257,'Tillförd energi'!$B$1:$AI$720,MATCH(V$2,'Tillförd energi'!$B$1:$AQ$1,0),FALSE)</f>
        <v>0</v>
      </c>
      <c r="W257" s="63">
        <f>VLOOKUP($B257,'Tillförd energi'!$B$1:$AI$720,MATCH(W$2,'Tillförd energi'!$B$1:$AQ$1,0),FALSE)</f>
        <v>0</v>
      </c>
      <c r="X257" s="63">
        <f>VLOOKUP($B257,'Tillförd energi'!$B$1:$AI$720,MATCH(X$2,'Tillförd energi'!$B$1:$AQ$1,0),FALSE)</f>
        <v>0</v>
      </c>
      <c r="Y257" s="63">
        <f>VLOOKUP($B257,'Tillförd energi'!$B$1:$AI$720,MATCH(Y$2,'Tillförd energi'!$B$1:$AQ$1,0),FALSE)</f>
        <v>0</v>
      </c>
      <c r="Z257" s="63">
        <f>VLOOKUP($B257,'Tillförd energi'!$B$1:$AI$720,MATCH(Z$2,'Tillförd energi'!$B$1:$AQ$1,0),FALSE)</f>
        <v>0</v>
      </c>
      <c r="AA257" s="63">
        <f>VLOOKUP($B257,'Tillförd energi'!$B$1:$AI$720,MATCH(AA$2,'Tillförd energi'!$B$1:$AQ$1,0),FALSE)</f>
        <v>0</v>
      </c>
      <c r="AB257" s="63">
        <f>VLOOKUP($B257,'Tillförd energi'!$B$1:$AI$720,MATCH(AB$2,'Tillförd energi'!$B$1:$AQ$1,0),FALSE)</f>
        <v>0</v>
      </c>
      <c r="AC257" s="63">
        <f>VLOOKUP($B257,'Tillförd energi'!$B$1:$AI$720,MATCH(AC$2,'Tillförd energi'!$B$1:$AQ$1,0),FALSE)</f>
        <v>0</v>
      </c>
      <c r="AD257" s="63">
        <f>VLOOKUP($B257,'Tillförd energi'!$B$1:$AI$720,MATCH(AD$2,'Tillförd energi'!$B$1:$AQ$1,0),FALSE)</f>
        <v>0</v>
      </c>
      <c r="AE257" s="63">
        <f>VLOOKUP($B257,'Tillförd energi'!$B$1:$AI$720,MATCH(AE$2,'Tillförd energi'!$B$1:$AQ$1,0),FALSE)</f>
        <v>0</v>
      </c>
      <c r="AF257" s="63">
        <f>VLOOKUP($B257,'Tillförd energi'!$B$1:$AI$720,MATCH(AF$2,'Tillförd energi'!$B$1:$AQ$1,0),FALSE)</f>
        <v>0.71099999999999997</v>
      </c>
      <c r="AG257" s="63">
        <f>IFERROR(VLOOKUP(B257,Miljö!$B$1:$AC$550,MATCH("Köpt mängd produktionsspecifik fjärrvärme:",Miljö!$B$1:$AC$1,0),FALSE)/1,0)</f>
        <v>0</v>
      </c>
      <c r="AI257" s="63">
        <f t="shared" si="18"/>
        <v>45.27</v>
      </c>
      <c r="AJ257" s="63">
        <f>IF(ISERROR(1/VLOOKUP($B257,Leveranser!$B$1:$S$500,MATCH("såld värme (gwh)",Leveranser!$B$1:$S$1,0),FALSE)),"",VLOOKUP($B257,Leveranser!$B$1:$S$500,MATCH("såld värme (gwh)",Leveranser!$B$1:$S$1,0),FALSE))</f>
        <v>31.312999999999999</v>
      </c>
      <c r="AM257" s="63" t="str">
        <f>IF(B257&lt;&gt;"",IF(VLOOKUP($B257,Totalt!$B$1:$AQ$554,MATCH("Kvalitetsgranskad:",Totalt!$B$1:$AQ$1,0),FALSE)="ja",VLOOKUP($B257,Miljö!$B$1:$AG$479,MATCH(AM$2,Miljö!$B$1:$AK$1,0),FALSE),""),"")</f>
        <v>Ja</v>
      </c>
      <c r="AN257" s="63" t="str">
        <f>IF(AM257="ja",VLOOKUP($B257,Miljö!$B$1:$J$479,MATCH("Typ av ursprungsspecificerad el   (Om inget värde anges används Nordisk residualmix, se inforuta) ()",Miljö!$B$1:$J$1,0),FALSE),IF(AM257="nej","Nordisk residualel",""))</f>
        <v>'vatten. vind. bio'</v>
      </c>
      <c r="AO257" s="63">
        <f>IF(AM257="","",VLOOKUP($B257,Miljö!$B$1:$J$479,MATCH("Fossilandel för ursprungspecificerad el ()",Miljö!$B$1:$J$1,0),FALSE))</f>
        <v>0</v>
      </c>
      <c r="AQ257" s="63">
        <f t="shared" si="19"/>
        <v>1</v>
      </c>
      <c r="AS257" s="63" t="str">
        <f t="shared" si="20"/>
        <v>Nej</v>
      </c>
      <c r="AT257" s="63" t="str">
        <f>IF(AS257="ja",VLOOKUP($B257,Miljö!$B$1:$P$500,MATCH("Fossil andel i procent (%)",Miljö!$B$1:$P$1,0),FALSE)/100,"")</f>
        <v/>
      </c>
      <c r="AV257" s="63" t="str">
        <f t="shared" si="21"/>
        <v>Nej</v>
      </c>
      <c r="AW257" s="63" t="str">
        <f>IF(AV257="ja",VLOOKUP($B257,'Egen hetvattenprod'!$B$1:$AO$500,MATCH("Värmekälla till värmepumpar ()",'Egen hetvattenprod'!$B$1:$AO$1,0),FALSE),"")</f>
        <v/>
      </c>
      <c r="AY257" s="63" t="str">
        <f t="shared" si="22"/>
        <v>Nej</v>
      </c>
      <c r="AZ257" s="77" t="str">
        <f>IF($AY257="ja",(VLOOKUP($B257,'Egen hetvattenprod'!$B$1:$BX$550,MATCH(AZ$2,'Egen hetvattenprod'!$B$1:$BX$1,0),FALSE)+VLOOKUP($B257,Kraftvärmeprod!$B$1:$BX$550,MATCH(AZ$2,Kraftvärmeprod!$B$1:$BX$1,0),FALSE))/$AC257,"")</f>
        <v/>
      </c>
      <c r="BA257" s="77" t="str">
        <f>IF($AY257="ja",(VLOOKUP($B257,'Egen hetvattenprod'!$B$1:$BX$550,MATCH(BA$2,'Egen hetvattenprod'!$B$1:$BX$1,0),FALSE)+VLOOKUP($B257,Kraftvärmeprod!$B$1:$BX$550,MATCH(BA$2,Kraftvärmeprod!$B$1:$BX$1,0),FALSE))/$AC257,"")</f>
        <v/>
      </c>
      <c r="BB257" s="77" t="str">
        <f>IF($AY257="ja",(VLOOKUP($B257,'Egen hetvattenprod'!$B$1:$BX$550,MATCH(BB$2,'Egen hetvattenprod'!$B$1:$BX$1,0),FALSE)+VLOOKUP($B257,Kraftvärmeprod!$B$1:$BX$550,MATCH(BB$2,Kraftvärmeprod!$B$1:$BX$1,0),FALSE))/$AC257,"")</f>
        <v/>
      </c>
      <c r="BC257" s="77" t="str">
        <f>IF($AY257="ja",(VLOOKUP($B257,'Egen hetvattenprod'!$B$1:$BX$550,MATCH(BC$2,'Egen hetvattenprod'!$B$1:$BX$1,0),FALSE)+VLOOKUP($B257,Kraftvärmeprod!$B$1:$BX$550,MATCH(BC$2,Kraftvärmeprod!$B$1:$BX$1,0),FALSE))/$AC257,"")</f>
        <v/>
      </c>
      <c r="BD257" s="77" t="str">
        <f>IF($AY257="ja",(VLOOKUP($B257,'Egen hetvattenprod'!$B$1:$BX$550,MATCH(BD$2,'Egen hetvattenprod'!$B$1:$BX$1,0),FALSE)+VLOOKUP($B257,Kraftvärmeprod!$B$1:$BX$550,MATCH(BD$2,Kraftvärmeprod!$B$1:$BX$1,0),FALSE))/$AC257,"")</f>
        <v/>
      </c>
      <c r="BF257" s="63" t="str">
        <f t="shared" si="23"/>
        <v>Nej</v>
      </c>
      <c r="BG257" s="63" t="str">
        <f>IF($BF257="ja",VLOOKUP($B257,'Egen hetvattenprod'!$B$1:$BX$550,MATCH("Andelen klimatgaser med fossilt ursprung för avfall ()",'Egen hetvattenprod'!$B$1:$BX$1,0),FALSE),"")</f>
        <v/>
      </c>
      <c r="BH257" s="63" t="str">
        <f>IF($BF257="ja",VLOOKUP($B257,Kraftvärmeprod!$B$1:$BX$550,MATCH("Andelen klimatgaser med fossilt ursprung för avfall ()",Kraftvärmeprod!$B$1:$BX$1,0),FALSE),"")</f>
        <v/>
      </c>
      <c r="BI257" s="63" t="str">
        <f>IF($BF257="ja",VLOOKUP($B257,'Egen hetvattenprod'!$B$1:$BX$550,MATCH("Avfall (GWh)",'Egen hetvattenprod'!$B$1:$BX$1,0),FALSE),"")</f>
        <v/>
      </c>
      <c r="BJ257" s="63" t="str">
        <f>IF($BF257="ja",VLOOKUP($B257,'Slutlig allokering kvv'!$B$1:$BX$550,MATCH("Avfall (GWh)",'Slutlig allokering kvv'!$B$1:$BX$1,0),FALSE),"")</f>
        <v/>
      </c>
      <c r="BK257" s="63" t="str">
        <f>IF($BF257="ja",VLOOKUP($B257,'Köpt hetvatten'!$B$1:$BX$550,MATCH("Avfall i köpt hetvatten",'Köpt hetvatten'!$B$1:$BX$1,0),FALSE),"")</f>
        <v/>
      </c>
      <c r="BL257" s="63" t="str">
        <f>IF($BF257="ja",VLOOKUP($B257,'Egen hetvattenprod'!$B$1:$BX$550,MATCH("Värde enligt ovan. (%)",'Egen hetvattenprod'!$B$1:$BX$1,0),FALSE),"")</f>
        <v/>
      </c>
      <c r="BM257" s="63" t="str">
        <f>IF($BF257="ja",VLOOKUP($B257,Kraftvärmeprod!$B$1:$BX$550,MATCH("Värde enligt ovan. (%)",Kraftvärmeprod!$B$1:$BX$1,0),FALSE),"")</f>
        <v/>
      </c>
    </row>
    <row r="258" spans="1:65" x14ac:dyDescent="0.45">
      <c r="A258" s="63" t="s">
        <v>342</v>
      </c>
      <c r="B258" s="63" t="s">
        <v>344</v>
      </c>
      <c r="C258" s="63">
        <f>VLOOKUP($B258,'Tillförd energi'!$B$1:$AI$720,MATCH(C$2,'Tillförd energi'!$B$1:$AQ$1,0),FALSE)</f>
        <v>0</v>
      </c>
      <c r="D258" s="63">
        <f>VLOOKUP($B258,'Tillförd energi'!$B$1:$AI$720,MATCH(D$2,'Tillförd energi'!$B$1:$AQ$1,0),FALSE)</f>
        <v>0</v>
      </c>
      <c r="E258" s="63">
        <f>VLOOKUP($B258,'Tillförd energi'!$B$1:$AI$720,MATCH(E$2,'Tillförd energi'!$B$1:$AQ$1,0),FALSE)</f>
        <v>0</v>
      </c>
      <c r="F258" s="63">
        <f>VLOOKUP($B258,'Tillförd energi'!$B$1:$AI$720,MATCH(F$2,'Tillförd energi'!$B$1:$AQ$1,0),FALSE)</f>
        <v>0</v>
      </c>
      <c r="G258" s="63">
        <f>VLOOKUP($B258,'Tillförd energi'!$B$1:$AI$720,MATCH(G$2,'Tillförd energi'!$B$1:$AQ$1,0),FALSE)</f>
        <v>0</v>
      </c>
      <c r="H258" s="63">
        <f>VLOOKUP($B258,'Tillförd energi'!$B$1:$AI$720,MATCH(H$2,'Tillförd energi'!$B$1:$AQ$1,0),FALSE)</f>
        <v>0</v>
      </c>
      <c r="I258" s="63">
        <f>VLOOKUP($B258,'Tillförd energi'!$B$1:$AI$720,MATCH(I$2,'Tillförd energi'!$B$1:$AQ$1,0),FALSE)</f>
        <v>0</v>
      </c>
      <c r="J258" s="63">
        <f>VLOOKUP($B258,'Tillförd energi'!$B$1:$AI$720,MATCH(J$2,'Tillförd energi'!$B$1:$AQ$1,0),FALSE)</f>
        <v>0</v>
      </c>
      <c r="K258" s="63">
        <f>VLOOKUP($B258,'Tillförd energi'!$B$1:$AI$720,MATCH(K$2,'Tillförd energi'!$B$1:$AQ$1,0),FALSE)</f>
        <v>0</v>
      </c>
      <c r="L258" s="63">
        <f>VLOOKUP($B258,'Tillförd energi'!$B$1:$AI$720,MATCH(L$2,'Tillförd energi'!$B$1:$AQ$1,0),FALSE)</f>
        <v>0</v>
      </c>
      <c r="M258" s="63">
        <f>VLOOKUP($B258,'Tillförd energi'!$B$1:$AI$720,MATCH(M$2,'Tillförd energi'!$B$1:$AQ$1,0),FALSE)</f>
        <v>0</v>
      </c>
      <c r="N258" s="63">
        <f>VLOOKUP($B258,'Tillförd energi'!$B$1:$AI$720,MATCH(N$2,'Tillförd energi'!$B$1:$AQ$1,0),FALSE)</f>
        <v>0</v>
      </c>
      <c r="O258" s="63">
        <f>VLOOKUP($B258,'Tillförd energi'!$B$1:$AI$720,MATCH(O$2,'Tillförd energi'!$B$1:$AQ$1,0),FALSE)</f>
        <v>0</v>
      </c>
      <c r="P258" s="63">
        <f>VLOOKUP($B258,'Tillförd energi'!$B$1:$AI$720,MATCH(P$2,'Tillförd energi'!$B$1:$AQ$1,0),FALSE)</f>
        <v>0</v>
      </c>
      <c r="Q258" s="63">
        <f>VLOOKUP($B258,'Tillförd energi'!$B$1:$AI$720,MATCH(Q$2,'Tillförd energi'!$B$1:$AQ$1,0),FALSE)</f>
        <v>0</v>
      </c>
      <c r="R258" s="63">
        <f>VLOOKUP($B258,'Tillförd energi'!$B$1:$AI$720,MATCH(R$2,'Tillförd energi'!$B$1:$AQ$1,0),FALSE)</f>
        <v>0</v>
      </c>
      <c r="S258" s="63">
        <f>VLOOKUP($B258,'Tillförd energi'!$B$1:$AI$720,MATCH(S$2,'Tillförd energi'!$B$1:$AQ$1,0),FALSE)</f>
        <v>0</v>
      </c>
      <c r="T258" s="63">
        <f>VLOOKUP($B258,'Tillförd energi'!$B$1:$AI$720,MATCH(T$2,'Tillförd energi'!$B$1:$AQ$1,0),FALSE)</f>
        <v>0</v>
      </c>
      <c r="U258" s="63">
        <f>VLOOKUP($B258,'Tillförd energi'!$B$1:$AI$720,MATCH(U$2,'Tillförd energi'!$B$1:$AQ$1,0),FALSE)</f>
        <v>0</v>
      </c>
      <c r="V258" s="63">
        <f>VLOOKUP($B258,'Tillförd energi'!$B$1:$AI$720,MATCH(V$2,'Tillförd energi'!$B$1:$AQ$1,0),FALSE)</f>
        <v>0</v>
      </c>
      <c r="W258" s="63">
        <f>VLOOKUP($B258,'Tillförd energi'!$B$1:$AI$720,MATCH(W$2,'Tillförd energi'!$B$1:$AQ$1,0),FALSE)</f>
        <v>0</v>
      </c>
      <c r="X258" s="63">
        <f>VLOOKUP($B258,'Tillförd energi'!$B$1:$AI$720,MATCH(X$2,'Tillförd energi'!$B$1:$AQ$1,0),FALSE)</f>
        <v>0</v>
      </c>
      <c r="Y258" s="63">
        <f>VLOOKUP($B258,'Tillförd energi'!$B$1:$AI$720,MATCH(Y$2,'Tillförd energi'!$B$1:$AQ$1,0),FALSE)</f>
        <v>0</v>
      </c>
      <c r="Z258" s="63">
        <f>VLOOKUP($B258,'Tillförd energi'!$B$1:$AI$720,MATCH(Z$2,'Tillförd energi'!$B$1:$AQ$1,0),FALSE)</f>
        <v>0</v>
      </c>
      <c r="AA258" s="63">
        <f>VLOOKUP($B258,'Tillförd energi'!$B$1:$AI$720,MATCH(AA$2,'Tillförd energi'!$B$1:$AQ$1,0),FALSE)</f>
        <v>0</v>
      </c>
      <c r="AB258" s="63">
        <f>VLOOKUP($B258,'Tillförd energi'!$B$1:$AI$720,MATCH(AB$2,'Tillförd energi'!$B$1:$AQ$1,0),FALSE)</f>
        <v>0</v>
      </c>
      <c r="AC258" s="63">
        <f>VLOOKUP($B258,'Tillförd energi'!$B$1:$AI$720,MATCH(AC$2,'Tillförd energi'!$B$1:$AQ$1,0),FALSE)</f>
        <v>0</v>
      </c>
      <c r="AD258" s="63">
        <f>VLOOKUP($B258,'Tillförd energi'!$B$1:$AI$720,MATCH(AD$2,'Tillförd energi'!$B$1:$AQ$1,0),FALSE)</f>
        <v>38.652999999999999</v>
      </c>
      <c r="AE258" s="63">
        <f>VLOOKUP($B258,'Tillförd energi'!$B$1:$AI$720,MATCH(AE$2,'Tillförd energi'!$B$1:$AQ$1,0),FALSE)</f>
        <v>0</v>
      </c>
      <c r="AF258" s="63">
        <f>VLOOKUP($B258,'Tillförd energi'!$B$1:$AI$720,MATCH(AF$2,'Tillförd energi'!$B$1:$AQ$1,0),FALSE)</f>
        <v>0.97319999999999995</v>
      </c>
      <c r="AG258" s="63">
        <f>IFERROR(VLOOKUP(B258,Miljö!$B$1:$AC$550,MATCH("Köpt mängd produktionsspecifik fjärrvärme:",Miljö!$B$1:$AC$1,0),FALSE)/1,0)</f>
        <v>0</v>
      </c>
      <c r="AI258" s="63">
        <f t="shared" si="18"/>
        <v>39.626199999999997</v>
      </c>
      <c r="AJ258" s="63">
        <f>IF(ISERROR(1/VLOOKUP($B258,Leveranser!$B$1:$S$500,MATCH("såld värme (gwh)",Leveranser!$B$1:$S$1,0),FALSE)),"",VLOOKUP($B258,Leveranser!$B$1:$S$500,MATCH("såld värme (gwh)",Leveranser!$B$1:$S$1,0),FALSE))</f>
        <v>32.44</v>
      </c>
      <c r="AM258" s="63" t="str">
        <f>IF(B258&lt;&gt;"",IF(VLOOKUP($B258,Totalt!$B$1:$AQ$554,MATCH("Kvalitetsgranskad:",Totalt!$B$1:$AQ$1,0),FALSE)="ja",VLOOKUP($B258,Miljö!$B$1:$AG$479,MATCH(AM$2,Miljö!$B$1:$AK$1,0),FALSE),""),"")</f>
        <v>Ja</v>
      </c>
      <c r="AN258" s="63" t="str">
        <f>IF(AM258="ja",VLOOKUP($B258,Miljö!$B$1:$J$479,MATCH("Typ av ursprungsspecificerad el   (Om inget värde anges används Nordisk residualmix, se inforuta) ()",Miljö!$B$1:$J$1,0),FALSE),IF(AM258="nej","Nordisk residualel",""))</f>
        <v>'vatten. vind. bio'</v>
      </c>
      <c r="AO258" s="63">
        <f>IF(AM258="","",VLOOKUP($B258,Miljö!$B$1:$J$479,MATCH("Fossilandel för ursprungspecificerad el ()",Miljö!$B$1:$J$1,0),FALSE))</f>
        <v>0</v>
      </c>
      <c r="AQ258" s="63">
        <f t="shared" si="19"/>
        <v>1</v>
      </c>
      <c r="AS258" s="63" t="str">
        <f t="shared" si="20"/>
        <v>Nej</v>
      </c>
      <c r="AT258" s="63" t="str">
        <f>IF(AS258="ja",VLOOKUP($B258,Miljö!$B$1:$P$500,MATCH("Fossil andel i procent (%)",Miljö!$B$1:$P$1,0),FALSE)/100,"")</f>
        <v/>
      </c>
      <c r="AV258" s="63" t="str">
        <f t="shared" si="21"/>
        <v>Nej</v>
      </c>
      <c r="AW258" s="63" t="str">
        <f>IF(AV258="ja",VLOOKUP($B258,'Egen hetvattenprod'!$B$1:$AO$500,MATCH("Värmekälla till värmepumpar ()",'Egen hetvattenprod'!$B$1:$AO$1,0),FALSE),"")</f>
        <v/>
      </c>
      <c r="AY258" s="63" t="str">
        <f t="shared" si="22"/>
        <v>Nej</v>
      </c>
      <c r="AZ258" s="77" t="str">
        <f>IF($AY258="ja",(VLOOKUP($B258,'Egen hetvattenprod'!$B$1:$BX$550,MATCH(AZ$2,'Egen hetvattenprod'!$B$1:$BX$1,0),FALSE)+VLOOKUP($B258,Kraftvärmeprod!$B$1:$BX$550,MATCH(AZ$2,Kraftvärmeprod!$B$1:$BX$1,0),FALSE))/$AC258,"")</f>
        <v/>
      </c>
      <c r="BA258" s="77" t="str">
        <f>IF($AY258="ja",(VLOOKUP($B258,'Egen hetvattenprod'!$B$1:$BX$550,MATCH(BA$2,'Egen hetvattenprod'!$B$1:$BX$1,0),FALSE)+VLOOKUP($B258,Kraftvärmeprod!$B$1:$BX$550,MATCH(BA$2,Kraftvärmeprod!$B$1:$BX$1,0),FALSE))/$AC258,"")</f>
        <v/>
      </c>
      <c r="BB258" s="77" t="str">
        <f>IF($AY258="ja",(VLOOKUP($B258,'Egen hetvattenprod'!$B$1:$BX$550,MATCH(BB$2,'Egen hetvattenprod'!$B$1:$BX$1,0),FALSE)+VLOOKUP($B258,Kraftvärmeprod!$B$1:$BX$550,MATCH(BB$2,Kraftvärmeprod!$B$1:$BX$1,0),FALSE))/$AC258,"")</f>
        <v/>
      </c>
      <c r="BC258" s="77" t="str">
        <f>IF($AY258="ja",(VLOOKUP($B258,'Egen hetvattenprod'!$B$1:$BX$550,MATCH(BC$2,'Egen hetvattenprod'!$B$1:$BX$1,0),FALSE)+VLOOKUP($B258,Kraftvärmeprod!$B$1:$BX$550,MATCH(BC$2,Kraftvärmeprod!$B$1:$BX$1,0),FALSE))/$AC258,"")</f>
        <v/>
      </c>
      <c r="BD258" s="77" t="str">
        <f>IF($AY258="ja",(VLOOKUP($B258,'Egen hetvattenprod'!$B$1:$BX$550,MATCH(BD$2,'Egen hetvattenprod'!$B$1:$BX$1,0),FALSE)+VLOOKUP($B258,Kraftvärmeprod!$B$1:$BX$550,MATCH(BD$2,Kraftvärmeprod!$B$1:$BX$1,0),FALSE))/$AC258,"")</f>
        <v/>
      </c>
      <c r="BF258" s="63" t="str">
        <f t="shared" si="23"/>
        <v>Nej</v>
      </c>
      <c r="BG258" s="63" t="str">
        <f>IF($BF258="ja",VLOOKUP($B258,'Egen hetvattenprod'!$B$1:$BX$550,MATCH("Andelen klimatgaser med fossilt ursprung för avfall ()",'Egen hetvattenprod'!$B$1:$BX$1,0),FALSE),"")</f>
        <v/>
      </c>
      <c r="BH258" s="63" t="str">
        <f>IF($BF258="ja",VLOOKUP($B258,Kraftvärmeprod!$B$1:$BX$550,MATCH("Andelen klimatgaser med fossilt ursprung för avfall ()",Kraftvärmeprod!$B$1:$BX$1,0),FALSE),"")</f>
        <v/>
      </c>
      <c r="BI258" s="63" t="str">
        <f>IF($BF258="ja",VLOOKUP($B258,'Egen hetvattenprod'!$B$1:$BX$550,MATCH("Avfall (GWh)",'Egen hetvattenprod'!$B$1:$BX$1,0),FALSE),"")</f>
        <v/>
      </c>
      <c r="BJ258" s="63" t="str">
        <f>IF($BF258="ja",VLOOKUP($B258,'Slutlig allokering kvv'!$B$1:$BX$550,MATCH("Avfall (GWh)",'Slutlig allokering kvv'!$B$1:$BX$1,0),FALSE),"")</f>
        <v/>
      </c>
      <c r="BK258" s="63" t="str">
        <f>IF($BF258="ja",VLOOKUP($B258,'Köpt hetvatten'!$B$1:$BX$550,MATCH("Avfall i köpt hetvatten",'Köpt hetvatten'!$B$1:$BX$1,0),FALSE),"")</f>
        <v/>
      </c>
      <c r="BL258" s="63" t="str">
        <f>IF($BF258="ja",VLOOKUP($B258,'Egen hetvattenprod'!$B$1:$BX$550,MATCH("Värde enligt ovan. (%)",'Egen hetvattenprod'!$B$1:$BX$1,0),FALSE),"")</f>
        <v/>
      </c>
      <c r="BM258" s="63" t="str">
        <f>IF($BF258="ja",VLOOKUP($B258,Kraftvärmeprod!$B$1:$BX$550,MATCH("Värde enligt ovan. (%)",Kraftvärmeprod!$B$1:$BX$1,0),FALSE),"")</f>
        <v/>
      </c>
    </row>
    <row r="259" spans="1:65" x14ac:dyDescent="0.45">
      <c r="A259" s="63" t="s">
        <v>342</v>
      </c>
      <c r="B259" s="63" t="s">
        <v>343</v>
      </c>
      <c r="C259" s="63">
        <f>VLOOKUP($B259,'Tillförd energi'!$B$1:$AI$720,MATCH(C$2,'Tillförd energi'!$B$1:$AQ$1,0),FALSE)</f>
        <v>0</v>
      </c>
      <c r="D259" s="63">
        <f>VLOOKUP($B259,'Tillförd energi'!$B$1:$AI$720,MATCH(D$2,'Tillförd energi'!$B$1:$AQ$1,0),FALSE)</f>
        <v>0.56100000000000005</v>
      </c>
      <c r="E259" s="63">
        <f>VLOOKUP($B259,'Tillförd energi'!$B$1:$AI$720,MATCH(E$2,'Tillförd energi'!$B$1:$AQ$1,0),FALSE)</f>
        <v>0</v>
      </c>
      <c r="F259" s="63">
        <f>VLOOKUP($B259,'Tillförd energi'!$B$1:$AI$720,MATCH(F$2,'Tillförd energi'!$B$1:$AQ$1,0),FALSE)</f>
        <v>0</v>
      </c>
      <c r="G259" s="63">
        <f>VLOOKUP($B259,'Tillförd energi'!$B$1:$AI$720,MATCH(G$2,'Tillförd energi'!$B$1:$AQ$1,0),FALSE)</f>
        <v>0</v>
      </c>
      <c r="H259" s="63">
        <f>VLOOKUP($B259,'Tillförd energi'!$B$1:$AI$720,MATCH(H$2,'Tillförd energi'!$B$1:$AQ$1,0),FALSE)</f>
        <v>0</v>
      </c>
      <c r="I259" s="63">
        <f>VLOOKUP($B259,'Tillförd energi'!$B$1:$AI$720,MATCH(I$2,'Tillförd energi'!$B$1:$AQ$1,0),FALSE)</f>
        <v>0</v>
      </c>
      <c r="J259" s="63">
        <f>VLOOKUP($B259,'Tillförd energi'!$B$1:$AI$720,MATCH(J$2,'Tillförd energi'!$B$1:$AQ$1,0),FALSE)</f>
        <v>0</v>
      </c>
      <c r="K259" s="63">
        <f>VLOOKUP($B259,'Tillförd energi'!$B$1:$AI$720,MATCH(K$2,'Tillförd energi'!$B$1:$AQ$1,0),FALSE)</f>
        <v>0</v>
      </c>
      <c r="L259" s="63">
        <f>VLOOKUP($B259,'Tillförd energi'!$B$1:$AI$720,MATCH(L$2,'Tillförd energi'!$B$1:$AQ$1,0),FALSE)</f>
        <v>0</v>
      </c>
      <c r="M259" s="63">
        <f>VLOOKUP($B259,'Tillförd energi'!$B$1:$AI$720,MATCH(M$2,'Tillförd energi'!$B$1:$AQ$1,0),FALSE)</f>
        <v>0</v>
      </c>
      <c r="N259" s="63">
        <f>VLOOKUP($B259,'Tillförd energi'!$B$1:$AI$720,MATCH(N$2,'Tillförd energi'!$B$1:$AQ$1,0),FALSE)</f>
        <v>0</v>
      </c>
      <c r="O259" s="63">
        <f>VLOOKUP($B259,'Tillförd energi'!$B$1:$AI$720,MATCH(O$2,'Tillförd energi'!$B$1:$AQ$1,0),FALSE)</f>
        <v>0</v>
      </c>
      <c r="P259" s="63">
        <f>VLOOKUP($B259,'Tillförd energi'!$B$1:$AI$720,MATCH(P$2,'Tillförd energi'!$B$1:$AQ$1,0),FALSE)</f>
        <v>0</v>
      </c>
      <c r="Q259" s="63">
        <f>VLOOKUP($B259,'Tillförd energi'!$B$1:$AI$720,MATCH(Q$2,'Tillförd energi'!$B$1:$AQ$1,0),FALSE)</f>
        <v>0</v>
      </c>
      <c r="R259" s="63">
        <f>VLOOKUP($B259,'Tillförd energi'!$B$1:$AI$720,MATCH(R$2,'Tillförd energi'!$B$1:$AQ$1,0),FALSE)</f>
        <v>20.992000000000001</v>
      </c>
      <c r="S259" s="63">
        <f>VLOOKUP($B259,'Tillförd energi'!$B$1:$AI$720,MATCH(S$2,'Tillförd energi'!$B$1:$AQ$1,0),FALSE)</f>
        <v>0</v>
      </c>
      <c r="T259" s="63">
        <f>VLOOKUP($B259,'Tillförd energi'!$B$1:$AI$720,MATCH(T$2,'Tillförd energi'!$B$1:$AQ$1,0),FALSE)</f>
        <v>0</v>
      </c>
      <c r="U259" s="63">
        <f>VLOOKUP($B259,'Tillförd energi'!$B$1:$AI$720,MATCH(U$2,'Tillförd energi'!$B$1:$AQ$1,0),FALSE)</f>
        <v>0</v>
      </c>
      <c r="V259" s="63">
        <f>VLOOKUP($B259,'Tillförd energi'!$B$1:$AI$720,MATCH(V$2,'Tillförd energi'!$B$1:$AQ$1,0),FALSE)</f>
        <v>0</v>
      </c>
      <c r="W259" s="63">
        <f>VLOOKUP($B259,'Tillförd energi'!$B$1:$AI$720,MATCH(W$2,'Tillförd energi'!$B$1:$AQ$1,0),FALSE)</f>
        <v>0</v>
      </c>
      <c r="X259" s="63">
        <f>VLOOKUP($B259,'Tillförd energi'!$B$1:$AI$720,MATCH(X$2,'Tillförd energi'!$B$1:$AQ$1,0),FALSE)</f>
        <v>0</v>
      </c>
      <c r="Y259" s="63">
        <f>VLOOKUP($B259,'Tillförd energi'!$B$1:$AI$720,MATCH(Y$2,'Tillförd energi'!$B$1:$AQ$1,0),FALSE)</f>
        <v>0</v>
      </c>
      <c r="Z259" s="63">
        <f>VLOOKUP($B259,'Tillförd energi'!$B$1:$AI$720,MATCH(Z$2,'Tillförd energi'!$B$1:$AQ$1,0),FALSE)</f>
        <v>0</v>
      </c>
      <c r="AA259" s="63">
        <f>VLOOKUP($B259,'Tillförd energi'!$B$1:$AI$720,MATCH(AA$2,'Tillförd energi'!$B$1:$AQ$1,0),FALSE)</f>
        <v>0</v>
      </c>
      <c r="AB259" s="63">
        <f>VLOOKUP($B259,'Tillförd energi'!$B$1:$AI$720,MATCH(AB$2,'Tillförd energi'!$B$1:$AQ$1,0),FALSE)</f>
        <v>0</v>
      </c>
      <c r="AC259" s="63">
        <f>VLOOKUP($B259,'Tillförd energi'!$B$1:$AI$720,MATCH(AC$2,'Tillförd energi'!$B$1:$AQ$1,0),FALSE)</f>
        <v>0</v>
      </c>
      <c r="AD259" s="63">
        <f>VLOOKUP($B259,'Tillförd energi'!$B$1:$AI$720,MATCH(AD$2,'Tillförd energi'!$B$1:$AQ$1,0),FALSE)</f>
        <v>0</v>
      </c>
      <c r="AE259" s="63">
        <f>VLOOKUP($B259,'Tillförd energi'!$B$1:$AI$720,MATCH(AE$2,'Tillförd energi'!$B$1:$AQ$1,0),FALSE)</f>
        <v>0</v>
      </c>
      <c r="AF259" s="63">
        <f>VLOOKUP($B259,'Tillförd energi'!$B$1:$AI$720,MATCH(AF$2,'Tillförd energi'!$B$1:$AQ$1,0),FALSE)</f>
        <v>0.152</v>
      </c>
      <c r="AG259" s="63">
        <f>IFERROR(VLOOKUP(B259,Miljö!$B$1:$AC$550,MATCH("Köpt mängd produktionsspecifik fjärrvärme:",Miljö!$B$1:$AC$1,0),FALSE)/1,0)</f>
        <v>0</v>
      </c>
      <c r="AI259" s="63">
        <f t="shared" si="18"/>
        <v>21.705000000000002</v>
      </c>
      <c r="AJ259" s="63">
        <f>IF(ISERROR(1/VLOOKUP($B259,Leveranser!$B$1:$S$500,MATCH("såld värme (gwh)",Leveranser!$B$1:$S$1,0),FALSE)),"",VLOOKUP($B259,Leveranser!$B$1:$S$500,MATCH("såld värme (gwh)",Leveranser!$B$1:$S$1,0),FALSE))</f>
        <v>14.087</v>
      </c>
      <c r="AM259" s="63" t="str">
        <f>IF(B259&lt;&gt;"",IF(VLOOKUP($B259,Totalt!$B$1:$AQ$554,MATCH("Kvalitetsgranskad:",Totalt!$B$1:$AQ$1,0),FALSE)="ja",VLOOKUP($B259,Miljö!$B$1:$AG$479,MATCH(AM$2,Miljö!$B$1:$AK$1,0),FALSE),""),"")</f>
        <v>Ja</v>
      </c>
      <c r="AN259" s="63" t="str">
        <f>IF(AM259="ja",VLOOKUP($B259,Miljö!$B$1:$J$479,MATCH("Typ av ursprungsspecificerad el   (Om inget värde anges används Nordisk residualmix, se inforuta) ()",Miljö!$B$1:$J$1,0),FALSE),IF(AM259="nej","Nordisk residualel",""))</f>
        <v>'vatten. vind. bio'</v>
      </c>
      <c r="AO259" s="63">
        <f>IF(AM259="","",VLOOKUP($B259,Miljö!$B$1:$J$479,MATCH("Fossilandel för ursprungspecificerad el ()",Miljö!$B$1:$J$1,0),FALSE))</f>
        <v>0</v>
      </c>
      <c r="AQ259" s="63">
        <f t="shared" si="19"/>
        <v>1</v>
      </c>
      <c r="AS259" s="63" t="str">
        <f t="shared" si="20"/>
        <v>Nej</v>
      </c>
      <c r="AT259" s="63" t="str">
        <f>IF(AS259="ja",VLOOKUP($B259,Miljö!$B$1:$P$500,MATCH("Fossil andel i procent (%)",Miljö!$B$1:$P$1,0),FALSE)/100,"")</f>
        <v/>
      </c>
      <c r="AV259" s="63" t="str">
        <f t="shared" si="21"/>
        <v>Nej</v>
      </c>
      <c r="AW259" s="63" t="str">
        <f>IF(AV259="ja",VLOOKUP($B259,'Egen hetvattenprod'!$B$1:$AO$500,MATCH("Värmekälla till värmepumpar ()",'Egen hetvattenprod'!$B$1:$AO$1,0),FALSE),"")</f>
        <v/>
      </c>
      <c r="AY259" s="63" t="str">
        <f t="shared" si="22"/>
        <v>Nej</v>
      </c>
      <c r="AZ259" s="77" t="str">
        <f>IF($AY259="ja",(VLOOKUP($B259,'Egen hetvattenprod'!$B$1:$BX$550,MATCH(AZ$2,'Egen hetvattenprod'!$B$1:$BX$1,0),FALSE)+VLOOKUP($B259,Kraftvärmeprod!$B$1:$BX$550,MATCH(AZ$2,Kraftvärmeprod!$B$1:$BX$1,0),FALSE))/$AC259,"")</f>
        <v/>
      </c>
      <c r="BA259" s="77" t="str">
        <f>IF($AY259="ja",(VLOOKUP($B259,'Egen hetvattenprod'!$B$1:$BX$550,MATCH(BA$2,'Egen hetvattenprod'!$B$1:$BX$1,0),FALSE)+VLOOKUP($B259,Kraftvärmeprod!$B$1:$BX$550,MATCH(BA$2,Kraftvärmeprod!$B$1:$BX$1,0),FALSE))/$AC259,"")</f>
        <v/>
      </c>
      <c r="BB259" s="77" t="str">
        <f>IF($AY259="ja",(VLOOKUP($B259,'Egen hetvattenprod'!$B$1:$BX$550,MATCH(BB$2,'Egen hetvattenprod'!$B$1:$BX$1,0),FALSE)+VLOOKUP($B259,Kraftvärmeprod!$B$1:$BX$550,MATCH(BB$2,Kraftvärmeprod!$B$1:$BX$1,0),FALSE))/$AC259,"")</f>
        <v/>
      </c>
      <c r="BC259" s="77" t="str">
        <f>IF($AY259="ja",(VLOOKUP($B259,'Egen hetvattenprod'!$B$1:$BX$550,MATCH(BC$2,'Egen hetvattenprod'!$B$1:$BX$1,0),FALSE)+VLOOKUP($B259,Kraftvärmeprod!$B$1:$BX$550,MATCH(BC$2,Kraftvärmeprod!$B$1:$BX$1,0),FALSE))/$AC259,"")</f>
        <v/>
      </c>
      <c r="BD259" s="77" t="str">
        <f>IF($AY259="ja",(VLOOKUP($B259,'Egen hetvattenprod'!$B$1:$BX$550,MATCH(BD$2,'Egen hetvattenprod'!$B$1:$BX$1,0),FALSE)+VLOOKUP($B259,Kraftvärmeprod!$B$1:$BX$550,MATCH(BD$2,Kraftvärmeprod!$B$1:$BX$1,0),FALSE))/$AC259,"")</f>
        <v/>
      </c>
      <c r="BF259" s="63" t="str">
        <f t="shared" si="23"/>
        <v>Nej</v>
      </c>
      <c r="BG259" s="63" t="str">
        <f>IF($BF259="ja",VLOOKUP($B259,'Egen hetvattenprod'!$B$1:$BX$550,MATCH("Andelen klimatgaser med fossilt ursprung för avfall ()",'Egen hetvattenprod'!$B$1:$BX$1,0),FALSE),"")</f>
        <v/>
      </c>
      <c r="BH259" s="63" t="str">
        <f>IF($BF259="ja",VLOOKUP($B259,Kraftvärmeprod!$B$1:$BX$550,MATCH("Andelen klimatgaser med fossilt ursprung för avfall ()",Kraftvärmeprod!$B$1:$BX$1,0),FALSE),"")</f>
        <v/>
      </c>
      <c r="BI259" s="63" t="str">
        <f>IF($BF259="ja",VLOOKUP($B259,'Egen hetvattenprod'!$B$1:$BX$550,MATCH("Avfall (GWh)",'Egen hetvattenprod'!$B$1:$BX$1,0),FALSE),"")</f>
        <v/>
      </c>
      <c r="BJ259" s="63" t="str">
        <f>IF($BF259="ja",VLOOKUP($B259,'Slutlig allokering kvv'!$B$1:$BX$550,MATCH("Avfall (GWh)",'Slutlig allokering kvv'!$B$1:$BX$1,0),FALSE),"")</f>
        <v/>
      </c>
      <c r="BK259" s="63" t="str">
        <f>IF($BF259="ja",VLOOKUP($B259,'Köpt hetvatten'!$B$1:$BX$550,MATCH("Avfall i köpt hetvatten",'Köpt hetvatten'!$B$1:$BX$1,0),FALSE),"")</f>
        <v/>
      </c>
      <c r="BL259" s="63" t="str">
        <f>IF($BF259="ja",VLOOKUP($B259,'Egen hetvattenprod'!$B$1:$BX$550,MATCH("Värde enligt ovan. (%)",'Egen hetvattenprod'!$B$1:$BX$1,0),FALSE),"")</f>
        <v/>
      </c>
      <c r="BM259" s="63" t="str">
        <f>IF($BF259="ja",VLOOKUP($B259,Kraftvärmeprod!$B$1:$BX$550,MATCH("Värde enligt ovan. (%)",Kraftvärmeprod!$B$1:$BX$1,0),FALSE),"")</f>
        <v/>
      </c>
    </row>
    <row r="260" spans="1:65" x14ac:dyDescent="0.45">
      <c r="A260" s="63" t="s">
        <v>342</v>
      </c>
      <c r="B260" s="63" t="s">
        <v>341</v>
      </c>
      <c r="C260" s="63">
        <f>VLOOKUP($B260,'Tillförd energi'!$B$1:$AI$720,MATCH(C$2,'Tillförd energi'!$B$1:$AQ$1,0),FALSE)</f>
        <v>0</v>
      </c>
      <c r="D260" s="63">
        <f>VLOOKUP($B260,'Tillförd energi'!$B$1:$AI$720,MATCH(D$2,'Tillförd energi'!$B$1:$AQ$1,0),FALSE)</f>
        <v>2.8000000000000001E-2</v>
      </c>
      <c r="E260" s="63">
        <f>VLOOKUP($B260,'Tillförd energi'!$B$1:$AI$720,MATCH(E$2,'Tillförd energi'!$B$1:$AQ$1,0),FALSE)</f>
        <v>0</v>
      </c>
      <c r="F260" s="63">
        <f>VLOOKUP($B260,'Tillförd energi'!$B$1:$AI$720,MATCH(F$2,'Tillförd energi'!$B$1:$AQ$1,0),FALSE)</f>
        <v>0</v>
      </c>
      <c r="G260" s="63">
        <f>VLOOKUP($B260,'Tillförd energi'!$B$1:$AI$720,MATCH(G$2,'Tillförd energi'!$B$1:$AQ$1,0),FALSE)</f>
        <v>0</v>
      </c>
      <c r="H260" s="63">
        <f>VLOOKUP($B260,'Tillförd energi'!$B$1:$AI$720,MATCH(H$2,'Tillförd energi'!$B$1:$AQ$1,0),FALSE)</f>
        <v>0</v>
      </c>
      <c r="I260" s="63">
        <f>VLOOKUP($B260,'Tillförd energi'!$B$1:$AI$720,MATCH(I$2,'Tillförd energi'!$B$1:$AQ$1,0),FALSE)</f>
        <v>0</v>
      </c>
      <c r="J260" s="63">
        <f>VLOOKUP($B260,'Tillförd energi'!$B$1:$AI$720,MATCH(J$2,'Tillförd energi'!$B$1:$AQ$1,0),FALSE)</f>
        <v>0</v>
      </c>
      <c r="K260" s="63">
        <f>VLOOKUP($B260,'Tillförd energi'!$B$1:$AI$720,MATCH(K$2,'Tillförd energi'!$B$1:$AQ$1,0),FALSE)</f>
        <v>0</v>
      </c>
      <c r="L260" s="63">
        <f>VLOOKUP($B260,'Tillförd energi'!$B$1:$AI$720,MATCH(L$2,'Tillförd energi'!$B$1:$AQ$1,0),FALSE)</f>
        <v>0</v>
      </c>
      <c r="M260" s="63">
        <f>VLOOKUP($B260,'Tillförd energi'!$B$1:$AI$720,MATCH(M$2,'Tillförd energi'!$B$1:$AQ$1,0),FALSE)</f>
        <v>0</v>
      </c>
      <c r="N260" s="63">
        <f>VLOOKUP($B260,'Tillförd energi'!$B$1:$AI$720,MATCH(N$2,'Tillförd energi'!$B$1:$AQ$1,0),FALSE)</f>
        <v>0</v>
      </c>
      <c r="O260" s="63">
        <f>VLOOKUP($B260,'Tillförd energi'!$B$1:$AI$720,MATCH(O$2,'Tillförd energi'!$B$1:$AQ$1,0),FALSE)</f>
        <v>0</v>
      </c>
      <c r="P260" s="63">
        <f>VLOOKUP($B260,'Tillförd energi'!$B$1:$AI$720,MATCH(P$2,'Tillförd energi'!$B$1:$AQ$1,0),FALSE)</f>
        <v>0</v>
      </c>
      <c r="Q260" s="63">
        <f>VLOOKUP($B260,'Tillförd energi'!$B$1:$AI$720,MATCH(Q$2,'Tillförd energi'!$B$1:$AQ$1,0),FALSE)</f>
        <v>0</v>
      </c>
      <c r="R260" s="63">
        <f>VLOOKUP($B260,'Tillförd energi'!$B$1:$AI$720,MATCH(R$2,'Tillförd energi'!$B$1:$AQ$1,0),FALSE)</f>
        <v>4.1760000000000002</v>
      </c>
      <c r="S260" s="63">
        <f>VLOOKUP($B260,'Tillförd energi'!$B$1:$AI$720,MATCH(S$2,'Tillförd energi'!$B$1:$AQ$1,0),FALSE)</f>
        <v>0</v>
      </c>
      <c r="T260" s="63">
        <f>VLOOKUP($B260,'Tillförd energi'!$B$1:$AI$720,MATCH(T$2,'Tillförd energi'!$B$1:$AQ$1,0),FALSE)</f>
        <v>0</v>
      </c>
      <c r="U260" s="63">
        <f>VLOOKUP($B260,'Tillförd energi'!$B$1:$AI$720,MATCH(U$2,'Tillförd energi'!$B$1:$AQ$1,0),FALSE)</f>
        <v>0</v>
      </c>
      <c r="V260" s="63">
        <f>VLOOKUP($B260,'Tillförd energi'!$B$1:$AI$720,MATCH(V$2,'Tillförd energi'!$B$1:$AQ$1,0),FALSE)</f>
        <v>0</v>
      </c>
      <c r="W260" s="63">
        <f>VLOOKUP($B260,'Tillförd energi'!$B$1:$AI$720,MATCH(W$2,'Tillförd energi'!$B$1:$AQ$1,0),FALSE)</f>
        <v>0</v>
      </c>
      <c r="X260" s="63">
        <f>VLOOKUP($B260,'Tillförd energi'!$B$1:$AI$720,MATCH(X$2,'Tillförd energi'!$B$1:$AQ$1,0),FALSE)</f>
        <v>0</v>
      </c>
      <c r="Y260" s="63">
        <f>VLOOKUP($B260,'Tillförd energi'!$B$1:$AI$720,MATCH(Y$2,'Tillförd energi'!$B$1:$AQ$1,0),FALSE)</f>
        <v>0</v>
      </c>
      <c r="Z260" s="63">
        <f>VLOOKUP($B260,'Tillförd energi'!$B$1:$AI$720,MATCH(Z$2,'Tillförd energi'!$B$1:$AQ$1,0),FALSE)</f>
        <v>0</v>
      </c>
      <c r="AA260" s="63">
        <f>VLOOKUP($B260,'Tillförd energi'!$B$1:$AI$720,MATCH(AA$2,'Tillförd energi'!$B$1:$AQ$1,0),FALSE)</f>
        <v>0</v>
      </c>
      <c r="AB260" s="63">
        <f>VLOOKUP($B260,'Tillförd energi'!$B$1:$AI$720,MATCH(AB$2,'Tillförd energi'!$B$1:$AQ$1,0),FALSE)</f>
        <v>0</v>
      </c>
      <c r="AC260" s="63">
        <f>VLOOKUP($B260,'Tillförd energi'!$B$1:$AI$720,MATCH(AC$2,'Tillförd energi'!$B$1:$AQ$1,0),FALSE)</f>
        <v>0</v>
      </c>
      <c r="AD260" s="63">
        <f>VLOOKUP($B260,'Tillförd energi'!$B$1:$AI$720,MATCH(AD$2,'Tillförd energi'!$B$1:$AQ$1,0),FALSE)</f>
        <v>0</v>
      </c>
      <c r="AE260" s="63">
        <f>VLOOKUP($B260,'Tillförd energi'!$B$1:$AI$720,MATCH(AE$2,'Tillförd energi'!$B$1:$AQ$1,0),FALSE)</f>
        <v>0</v>
      </c>
      <c r="AF260" s="63">
        <f>VLOOKUP($B260,'Tillförd energi'!$B$1:$AI$720,MATCH(AF$2,'Tillförd energi'!$B$1:$AQ$1,0),FALSE)</f>
        <v>4.9000000000000002E-2</v>
      </c>
      <c r="AG260" s="63">
        <f>IFERROR(VLOOKUP(B260,Miljö!$B$1:$AC$550,MATCH("Köpt mängd produktionsspecifik fjärrvärme:",Miljö!$B$1:$AC$1,0),FALSE)/1,0)</f>
        <v>0</v>
      </c>
      <c r="AI260" s="63">
        <f t="shared" ref="AI260:AI323" si="24">IF(B260&lt;&gt;"",SUM(C260:AG260),"")</f>
        <v>4.2530000000000001</v>
      </c>
      <c r="AJ260" s="63">
        <f>IF(ISERROR(1/VLOOKUP($B260,Leveranser!$B$1:$S$500,MATCH("såld värme (gwh)",Leveranser!$B$1:$S$1,0),FALSE)),"",VLOOKUP($B260,Leveranser!$B$1:$S$500,MATCH("såld värme (gwh)",Leveranser!$B$1:$S$1,0),FALSE))</f>
        <v>2.7869999999999999</v>
      </c>
      <c r="AM260" s="63" t="str">
        <f>IF(B260&lt;&gt;"",IF(VLOOKUP($B260,Totalt!$B$1:$AQ$554,MATCH("Kvalitetsgranskad:",Totalt!$B$1:$AQ$1,0),FALSE)="ja",VLOOKUP($B260,Miljö!$B$1:$AG$479,MATCH(AM$2,Miljö!$B$1:$AK$1,0),FALSE),""),"")</f>
        <v>Ja</v>
      </c>
      <c r="AN260" s="63" t="str">
        <f>IF(AM260="ja",VLOOKUP($B260,Miljö!$B$1:$J$479,MATCH("Typ av ursprungsspecificerad el   (Om inget värde anges används Nordisk residualmix, se inforuta) ()",Miljö!$B$1:$J$1,0),FALSE),IF(AM260="nej","Nordisk residualel",""))</f>
        <v>'vatten. vind. bio'</v>
      </c>
      <c r="AO260" s="63">
        <f>IF(AM260="","",VLOOKUP($B260,Miljö!$B$1:$J$479,MATCH("Fossilandel för ursprungspecificerad el ()",Miljö!$B$1:$J$1,0),FALSE))</f>
        <v>0</v>
      </c>
      <c r="AQ260" s="63">
        <f t="shared" ref="AQ260:AQ323" si="25">IF(AM260="","",1-AO260-AP260)</f>
        <v>1</v>
      </c>
      <c r="AS260" s="63" t="str">
        <f t="shared" ref="AS260:AS323" si="26">IF(B260&lt;&gt;"",IF(AND(AG260&gt;0,AG260&lt;&gt;""),"Ja","Nej"),"")</f>
        <v>Nej</v>
      </c>
      <c r="AT260" s="63" t="str">
        <f>IF(AS260="ja",VLOOKUP($B260,Miljö!$B$1:$P$500,MATCH("Fossil andel i procent (%)",Miljö!$B$1:$P$1,0),FALSE)/100,"")</f>
        <v/>
      </c>
      <c r="AV260" s="63" t="str">
        <f t="shared" ref="AV260:AV323" si="27">IF(B260&lt;&gt;"",IF(AND(AB260&gt;0,AB260&lt;&gt;""),"Ja","Nej"),"")</f>
        <v>Nej</v>
      </c>
      <c r="AW260" s="63" t="str">
        <f>IF(AV260="ja",VLOOKUP($B260,'Egen hetvattenprod'!$B$1:$AO$500,MATCH("Värmekälla till värmepumpar ()",'Egen hetvattenprod'!$B$1:$AO$1,0),FALSE),"")</f>
        <v/>
      </c>
      <c r="AY260" s="63" t="str">
        <f t="shared" ref="AY260:AY323" si="28">IF(B260&lt;&gt;"",IF(AND(AC260&gt;0,AC260&lt;&gt;""),"Ja","Nej"),"")</f>
        <v>Nej</v>
      </c>
      <c r="AZ260" s="77" t="str">
        <f>IF($AY260="ja",(VLOOKUP($B260,'Egen hetvattenprod'!$B$1:$BX$550,MATCH(AZ$2,'Egen hetvattenprod'!$B$1:$BX$1,0),FALSE)+VLOOKUP($B260,Kraftvärmeprod!$B$1:$BX$550,MATCH(AZ$2,Kraftvärmeprod!$B$1:$BX$1,0),FALSE))/$AC260,"")</f>
        <v/>
      </c>
      <c r="BA260" s="77" t="str">
        <f>IF($AY260="ja",(VLOOKUP($B260,'Egen hetvattenprod'!$B$1:$BX$550,MATCH(BA$2,'Egen hetvattenprod'!$B$1:$BX$1,0),FALSE)+VLOOKUP($B260,Kraftvärmeprod!$B$1:$BX$550,MATCH(BA$2,Kraftvärmeprod!$B$1:$BX$1,0),FALSE))/$AC260,"")</f>
        <v/>
      </c>
      <c r="BB260" s="77" t="str">
        <f>IF($AY260="ja",(VLOOKUP($B260,'Egen hetvattenprod'!$B$1:$BX$550,MATCH(BB$2,'Egen hetvattenprod'!$B$1:$BX$1,0),FALSE)+VLOOKUP($B260,Kraftvärmeprod!$B$1:$BX$550,MATCH(BB$2,Kraftvärmeprod!$B$1:$BX$1,0),FALSE))/$AC260,"")</f>
        <v/>
      </c>
      <c r="BC260" s="77" t="str">
        <f>IF($AY260="ja",(VLOOKUP($B260,'Egen hetvattenprod'!$B$1:$BX$550,MATCH(BC$2,'Egen hetvattenprod'!$B$1:$BX$1,0),FALSE)+VLOOKUP($B260,Kraftvärmeprod!$B$1:$BX$550,MATCH(BC$2,Kraftvärmeprod!$B$1:$BX$1,0),FALSE))/$AC260,"")</f>
        <v/>
      </c>
      <c r="BD260" s="77" t="str">
        <f>IF($AY260="ja",(VLOOKUP($B260,'Egen hetvattenprod'!$B$1:$BX$550,MATCH(BD$2,'Egen hetvattenprod'!$B$1:$BX$1,0),FALSE)+VLOOKUP($B260,Kraftvärmeprod!$B$1:$BX$550,MATCH(BD$2,Kraftvärmeprod!$B$1:$BX$1,0),FALSE))/$AC260,"")</f>
        <v/>
      </c>
      <c r="BF260" s="63" t="str">
        <f t="shared" ref="BF260:BF323" si="29">IF(B260&lt;&gt;"",IF(AND(I260&gt;0,I260&lt;&gt;""),"Ja","Nej"),"")</f>
        <v>Nej</v>
      </c>
      <c r="BG260" s="63" t="str">
        <f>IF($BF260="ja",VLOOKUP($B260,'Egen hetvattenprod'!$B$1:$BX$550,MATCH("Andelen klimatgaser med fossilt ursprung för avfall ()",'Egen hetvattenprod'!$B$1:$BX$1,0),FALSE),"")</f>
        <v/>
      </c>
      <c r="BH260" s="63" t="str">
        <f>IF($BF260="ja",VLOOKUP($B260,Kraftvärmeprod!$B$1:$BX$550,MATCH("Andelen klimatgaser med fossilt ursprung för avfall ()",Kraftvärmeprod!$B$1:$BX$1,0),FALSE),"")</f>
        <v/>
      </c>
      <c r="BI260" s="63" t="str">
        <f>IF($BF260="ja",VLOOKUP($B260,'Egen hetvattenprod'!$B$1:$BX$550,MATCH("Avfall (GWh)",'Egen hetvattenprod'!$B$1:$BX$1,0),FALSE),"")</f>
        <v/>
      </c>
      <c r="BJ260" s="63" t="str">
        <f>IF($BF260="ja",VLOOKUP($B260,'Slutlig allokering kvv'!$B$1:$BX$550,MATCH("Avfall (GWh)",'Slutlig allokering kvv'!$B$1:$BX$1,0),FALSE),"")</f>
        <v/>
      </c>
      <c r="BK260" s="63" t="str">
        <f>IF($BF260="ja",VLOOKUP($B260,'Köpt hetvatten'!$B$1:$BX$550,MATCH("Avfall i köpt hetvatten",'Köpt hetvatten'!$B$1:$BX$1,0),FALSE),"")</f>
        <v/>
      </c>
      <c r="BL260" s="63" t="str">
        <f>IF($BF260="ja",VLOOKUP($B260,'Egen hetvattenprod'!$B$1:$BX$550,MATCH("Värde enligt ovan. (%)",'Egen hetvattenprod'!$B$1:$BX$1,0),FALSE),"")</f>
        <v/>
      </c>
      <c r="BM260" s="63" t="str">
        <f>IF($BF260="ja",VLOOKUP($B260,Kraftvärmeprod!$B$1:$BX$550,MATCH("Värde enligt ovan. (%)",Kraftvärmeprod!$B$1:$BX$1,0),FALSE),"")</f>
        <v/>
      </c>
    </row>
    <row r="261" spans="1:65" x14ac:dyDescent="0.45">
      <c r="A261" s="63" t="s">
        <v>336</v>
      </c>
      <c r="B261" s="63" t="s">
        <v>340</v>
      </c>
      <c r="C261" s="63">
        <f>VLOOKUP($B261,'Tillförd energi'!$B$1:$AI$720,MATCH(C$2,'Tillförd energi'!$B$1:$AQ$1,0),FALSE)</f>
        <v>0</v>
      </c>
      <c r="D261" s="63">
        <f>VLOOKUP($B261,'Tillförd energi'!$B$1:$AI$720,MATCH(D$2,'Tillförd energi'!$B$1:$AQ$1,0),FALSE)</f>
        <v>6.7000000000000004E-2</v>
      </c>
      <c r="E261" s="63">
        <f>VLOOKUP($B261,'Tillförd energi'!$B$1:$AI$720,MATCH(E$2,'Tillförd energi'!$B$1:$AQ$1,0),FALSE)</f>
        <v>0</v>
      </c>
      <c r="F261" s="63">
        <f>VLOOKUP($B261,'Tillförd energi'!$B$1:$AI$720,MATCH(F$2,'Tillförd energi'!$B$1:$AQ$1,0),FALSE)</f>
        <v>0</v>
      </c>
      <c r="G261" s="63">
        <f>VLOOKUP($B261,'Tillförd energi'!$B$1:$AI$720,MATCH(G$2,'Tillförd energi'!$B$1:$AQ$1,0),FALSE)</f>
        <v>0</v>
      </c>
      <c r="H261" s="63">
        <f>VLOOKUP($B261,'Tillförd energi'!$B$1:$AI$720,MATCH(H$2,'Tillförd energi'!$B$1:$AQ$1,0),FALSE)</f>
        <v>0</v>
      </c>
      <c r="I261" s="63">
        <f>VLOOKUP($B261,'Tillförd energi'!$B$1:$AI$720,MATCH(I$2,'Tillförd energi'!$B$1:$AQ$1,0),FALSE)</f>
        <v>0</v>
      </c>
      <c r="J261" s="63">
        <f>VLOOKUP($B261,'Tillförd energi'!$B$1:$AI$720,MATCH(J$2,'Tillförd energi'!$B$1:$AQ$1,0),FALSE)</f>
        <v>0</v>
      </c>
      <c r="K261" s="63">
        <f>VLOOKUP($B261,'Tillförd energi'!$B$1:$AI$720,MATCH(K$2,'Tillförd energi'!$B$1:$AQ$1,0),FALSE)</f>
        <v>0</v>
      </c>
      <c r="L261" s="63">
        <f>VLOOKUP($B261,'Tillförd energi'!$B$1:$AI$720,MATCH(L$2,'Tillförd energi'!$B$1:$AQ$1,0),FALSE)</f>
        <v>0</v>
      </c>
      <c r="M261" s="63">
        <f>VLOOKUP($B261,'Tillförd energi'!$B$1:$AI$720,MATCH(M$2,'Tillförd energi'!$B$1:$AQ$1,0),FALSE)</f>
        <v>0</v>
      </c>
      <c r="N261" s="63">
        <f>VLOOKUP($B261,'Tillförd energi'!$B$1:$AI$720,MATCH(N$2,'Tillförd energi'!$B$1:$AQ$1,0),FALSE)</f>
        <v>0</v>
      </c>
      <c r="O261" s="63">
        <f>VLOOKUP($B261,'Tillförd energi'!$B$1:$AI$720,MATCH(O$2,'Tillförd energi'!$B$1:$AQ$1,0),FALSE)</f>
        <v>0</v>
      </c>
      <c r="P261" s="63">
        <f>VLOOKUP($B261,'Tillförd energi'!$B$1:$AI$720,MATCH(P$2,'Tillförd energi'!$B$1:$AQ$1,0),FALSE)</f>
        <v>0</v>
      </c>
      <c r="Q261" s="63">
        <f>VLOOKUP($B261,'Tillförd energi'!$B$1:$AI$720,MATCH(Q$2,'Tillförd energi'!$B$1:$AQ$1,0),FALSE)</f>
        <v>0</v>
      </c>
      <c r="R261" s="63">
        <f>VLOOKUP($B261,'Tillförd energi'!$B$1:$AI$720,MATCH(R$2,'Tillförd energi'!$B$1:$AQ$1,0),FALSE)</f>
        <v>0</v>
      </c>
      <c r="S261" s="63">
        <f>VLOOKUP($B261,'Tillförd energi'!$B$1:$AI$720,MATCH(S$2,'Tillförd energi'!$B$1:$AQ$1,0),FALSE)</f>
        <v>12.295</v>
      </c>
      <c r="T261" s="63">
        <f>VLOOKUP($B261,'Tillförd energi'!$B$1:$AI$720,MATCH(T$2,'Tillförd energi'!$B$1:$AQ$1,0),FALSE)</f>
        <v>0</v>
      </c>
      <c r="U261" s="63">
        <f>VLOOKUP($B261,'Tillförd energi'!$B$1:$AI$720,MATCH(U$2,'Tillförd energi'!$B$1:$AQ$1,0),FALSE)</f>
        <v>0</v>
      </c>
      <c r="V261" s="63">
        <f>VLOOKUP($B261,'Tillförd energi'!$B$1:$AI$720,MATCH(V$2,'Tillförd energi'!$B$1:$AQ$1,0),FALSE)</f>
        <v>0</v>
      </c>
      <c r="W261" s="63">
        <f>VLOOKUP($B261,'Tillförd energi'!$B$1:$AI$720,MATCH(W$2,'Tillförd energi'!$B$1:$AQ$1,0),FALSE)</f>
        <v>0</v>
      </c>
      <c r="X261" s="63">
        <f>VLOOKUP($B261,'Tillförd energi'!$B$1:$AI$720,MATCH(X$2,'Tillförd energi'!$B$1:$AQ$1,0),FALSE)</f>
        <v>0</v>
      </c>
      <c r="Y261" s="63">
        <f>VLOOKUP($B261,'Tillförd energi'!$B$1:$AI$720,MATCH(Y$2,'Tillförd energi'!$B$1:$AQ$1,0),FALSE)</f>
        <v>0</v>
      </c>
      <c r="Z261" s="63">
        <f>VLOOKUP($B261,'Tillförd energi'!$B$1:$AI$720,MATCH(Z$2,'Tillförd energi'!$B$1:$AQ$1,0),FALSE)</f>
        <v>0</v>
      </c>
      <c r="AA261" s="63">
        <f>VLOOKUP($B261,'Tillförd energi'!$B$1:$AI$720,MATCH(AA$2,'Tillförd energi'!$B$1:$AQ$1,0),FALSE)</f>
        <v>0</v>
      </c>
      <c r="AB261" s="63">
        <f>VLOOKUP($B261,'Tillförd energi'!$B$1:$AI$720,MATCH(AB$2,'Tillförd energi'!$B$1:$AQ$1,0),FALSE)</f>
        <v>0</v>
      </c>
      <c r="AC261" s="63">
        <f>VLOOKUP($B261,'Tillförd energi'!$B$1:$AI$720,MATCH(AC$2,'Tillförd energi'!$B$1:$AQ$1,0),FALSE)</f>
        <v>0</v>
      </c>
      <c r="AD261" s="63">
        <f>VLOOKUP($B261,'Tillförd energi'!$B$1:$AI$720,MATCH(AD$2,'Tillförd energi'!$B$1:$AQ$1,0),FALSE)</f>
        <v>0</v>
      </c>
      <c r="AE261" s="63">
        <f>VLOOKUP($B261,'Tillförd energi'!$B$1:$AI$720,MATCH(AE$2,'Tillförd energi'!$B$1:$AQ$1,0),FALSE)</f>
        <v>0</v>
      </c>
      <c r="AF261" s="63">
        <f>VLOOKUP($B261,'Tillförd energi'!$B$1:$AI$720,MATCH(AF$2,'Tillförd energi'!$B$1:$AQ$1,0),FALSE)</f>
        <v>0.1</v>
      </c>
      <c r="AG261" s="63">
        <f>IFERROR(VLOOKUP(B261,Miljö!$B$1:$AC$550,MATCH("Köpt mängd produktionsspecifik fjärrvärme:",Miljö!$B$1:$AC$1,0),FALSE)/1,0)</f>
        <v>0</v>
      </c>
      <c r="AI261" s="63">
        <f t="shared" si="24"/>
        <v>12.462</v>
      </c>
      <c r="AJ261" s="63">
        <f>IF(ISERROR(1/VLOOKUP($B261,Leveranser!$B$1:$S$500,MATCH("såld värme (gwh)",Leveranser!$B$1:$S$1,0),FALSE)),"",VLOOKUP($B261,Leveranser!$B$1:$S$500,MATCH("såld värme (gwh)",Leveranser!$B$1:$S$1,0),FALSE))</f>
        <v>9.5350000000000001</v>
      </c>
      <c r="AM261" s="63" t="str">
        <f>IF(B261&lt;&gt;"",IF(VLOOKUP($B261,Totalt!$B$1:$AQ$554,MATCH("Kvalitetsgranskad:",Totalt!$B$1:$AQ$1,0),FALSE)="ja",VLOOKUP($B261,Miljö!$B$1:$AG$479,MATCH(AM$2,Miljö!$B$1:$AK$1,0),FALSE),""),"")</f>
        <v>Ja</v>
      </c>
      <c r="AN261" s="63" t="str">
        <f>IF(AM261="ja",VLOOKUP($B261,Miljö!$B$1:$J$479,MATCH("Typ av ursprungsspecificerad el   (Om inget värde anges används Nordisk residualmix, se inforuta) ()",Miljö!$B$1:$J$1,0),FALSE),IF(AM261="nej","Nordisk residualel",""))</f>
        <v>'vattenproducerad el'</v>
      </c>
      <c r="AO261" s="63">
        <f>IF(AM261="","",VLOOKUP($B261,Miljö!$B$1:$J$479,MATCH("Fossilandel för ursprungspecificerad el ()",Miljö!$B$1:$J$1,0),FALSE))</f>
        <v>0</v>
      </c>
      <c r="AQ261" s="63">
        <f t="shared" si="25"/>
        <v>1</v>
      </c>
      <c r="AS261" s="63" t="str">
        <f t="shared" si="26"/>
        <v>Nej</v>
      </c>
      <c r="AT261" s="63" t="str">
        <f>IF(AS261="ja",VLOOKUP($B261,Miljö!$B$1:$P$500,MATCH("Fossil andel i procent (%)",Miljö!$B$1:$P$1,0),FALSE)/100,"")</f>
        <v/>
      </c>
      <c r="AV261" s="63" t="str">
        <f t="shared" si="27"/>
        <v>Nej</v>
      </c>
      <c r="AW261" s="63" t="str">
        <f>IF(AV261="ja",VLOOKUP($B261,'Egen hetvattenprod'!$B$1:$AO$500,MATCH("Värmekälla till värmepumpar ()",'Egen hetvattenprod'!$B$1:$AO$1,0),FALSE),"")</f>
        <v/>
      </c>
      <c r="AY261" s="63" t="str">
        <f t="shared" si="28"/>
        <v>Nej</v>
      </c>
      <c r="AZ261" s="77" t="str">
        <f>IF($AY261="ja",(VLOOKUP($B261,'Egen hetvattenprod'!$B$1:$BX$550,MATCH(AZ$2,'Egen hetvattenprod'!$B$1:$BX$1,0),FALSE)+VLOOKUP($B261,Kraftvärmeprod!$B$1:$BX$550,MATCH(AZ$2,Kraftvärmeprod!$B$1:$BX$1,0),FALSE))/$AC261,"")</f>
        <v/>
      </c>
      <c r="BA261" s="77" t="str">
        <f>IF($AY261="ja",(VLOOKUP($B261,'Egen hetvattenprod'!$B$1:$BX$550,MATCH(BA$2,'Egen hetvattenprod'!$B$1:$BX$1,0),FALSE)+VLOOKUP($B261,Kraftvärmeprod!$B$1:$BX$550,MATCH(BA$2,Kraftvärmeprod!$B$1:$BX$1,0),FALSE))/$AC261,"")</f>
        <v/>
      </c>
      <c r="BB261" s="77" t="str">
        <f>IF($AY261="ja",(VLOOKUP($B261,'Egen hetvattenprod'!$B$1:$BX$550,MATCH(BB$2,'Egen hetvattenprod'!$B$1:$BX$1,0),FALSE)+VLOOKUP($B261,Kraftvärmeprod!$B$1:$BX$550,MATCH(BB$2,Kraftvärmeprod!$B$1:$BX$1,0),FALSE))/$AC261,"")</f>
        <v/>
      </c>
      <c r="BC261" s="77" t="str">
        <f>IF($AY261="ja",(VLOOKUP($B261,'Egen hetvattenprod'!$B$1:$BX$550,MATCH(BC$2,'Egen hetvattenprod'!$B$1:$BX$1,0),FALSE)+VLOOKUP($B261,Kraftvärmeprod!$B$1:$BX$550,MATCH(BC$2,Kraftvärmeprod!$B$1:$BX$1,0),FALSE))/$AC261,"")</f>
        <v/>
      </c>
      <c r="BD261" s="77" t="str">
        <f>IF($AY261="ja",(VLOOKUP($B261,'Egen hetvattenprod'!$B$1:$BX$550,MATCH(BD$2,'Egen hetvattenprod'!$B$1:$BX$1,0),FALSE)+VLOOKUP($B261,Kraftvärmeprod!$B$1:$BX$550,MATCH(BD$2,Kraftvärmeprod!$B$1:$BX$1,0),FALSE))/$AC261,"")</f>
        <v/>
      </c>
      <c r="BF261" s="63" t="str">
        <f t="shared" si="29"/>
        <v>Nej</v>
      </c>
      <c r="BG261" s="63" t="str">
        <f>IF($BF261="ja",VLOOKUP($B261,'Egen hetvattenprod'!$B$1:$BX$550,MATCH("Andelen klimatgaser med fossilt ursprung för avfall ()",'Egen hetvattenprod'!$B$1:$BX$1,0),FALSE),"")</f>
        <v/>
      </c>
      <c r="BH261" s="63" t="str">
        <f>IF($BF261="ja",VLOOKUP($B261,Kraftvärmeprod!$B$1:$BX$550,MATCH("Andelen klimatgaser med fossilt ursprung för avfall ()",Kraftvärmeprod!$B$1:$BX$1,0),FALSE),"")</f>
        <v/>
      </c>
      <c r="BI261" s="63" t="str">
        <f>IF($BF261="ja",VLOOKUP($B261,'Egen hetvattenprod'!$B$1:$BX$550,MATCH("Avfall (GWh)",'Egen hetvattenprod'!$B$1:$BX$1,0),FALSE),"")</f>
        <v/>
      </c>
      <c r="BJ261" s="63" t="str">
        <f>IF($BF261="ja",VLOOKUP($B261,'Slutlig allokering kvv'!$B$1:$BX$550,MATCH("Avfall (GWh)",'Slutlig allokering kvv'!$B$1:$BX$1,0),FALSE),"")</f>
        <v/>
      </c>
      <c r="BK261" s="63" t="str">
        <f>IF($BF261="ja",VLOOKUP($B261,'Köpt hetvatten'!$B$1:$BX$550,MATCH("Avfall i köpt hetvatten",'Köpt hetvatten'!$B$1:$BX$1,0),FALSE),"")</f>
        <v/>
      </c>
      <c r="BL261" s="63" t="str">
        <f>IF($BF261="ja",VLOOKUP($B261,'Egen hetvattenprod'!$B$1:$BX$550,MATCH("Värde enligt ovan. (%)",'Egen hetvattenprod'!$B$1:$BX$1,0),FALSE),"")</f>
        <v/>
      </c>
      <c r="BM261" s="63" t="str">
        <f>IF($BF261="ja",VLOOKUP($B261,Kraftvärmeprod!$B$1:$BX$550,MATCH("Värde enligt ovan. (%)",Kraftvärmeprod!$B$1:$BX$1,0),FALSE),"")</f>
        <v/>
      </c>
    </row>
    <row r="262" spans="1:65" x14ac:dyDescent="0.45">
      <c r="A262" s="63" t="s">
        <v>336</v>
      </c>
      <c r="B262" s="63" t="s">
        <v>339</v>
      </c>
      <c r="C262" s="63">
        <f>VLOOKUP($B262,'Tillförd energi'!$B$1:$AI$720,MATCH(C$2,'Tillförd energi'!$B$1:$AQ$1,0),FALSE)</f>
        <v>0</v>
      </c>
      <c r="D262" s="63">
        <f>VLOOKUP($B262,'Tillförd energi'!$B$1:$AI$720,MATCH(D$2,'Tillförd energi'!$B$1:$AQ$1,0),FALSE)</f>
        <v>1.33392</v>
      </c>
      <c r="E262" s="63">
        <f>VLOOKUP($B262,'Tillförd energi'!$B$1:$AI$720,MATCH(E$2,'Tillförd energi'!$B$1:$AQ$1,0),FALSE)</f>
        <v>0.51500000000000001</v>
      </c>
      <c r="F262" s="63">
        <f>VLOOKUP($B262,'Tillförd energi'!$B$1:$AI$720,MATCH(F$2,'Tillförd energi'!$B$1:$AQ$1,0),FALSE)</f>
        <v>0</v>
      </c>
      <c r="G262" s="63">
        <f>VLOOKUP($B262,'Tillförd energi'!$B$1:$AI$720,MATCH(G$2,'Tillförd energi'!$B$1:$AQ$1,0),FALSE)</f>
        <v>0</v>
      </c>
      <c r="H262" s="63">
        <f>VLOOKUP($B262,'Tillförd energi'!$B$1:$AI$720,MATCH(H$2,'Tillförd energi'!$B$1:$AQ$1,0),FALSE)</f>
        <v>0</v>
      </c>
      <c r="I262" s="63">
        <f>VLOOKUP($B262,'Tillförd energi'!$B$1:$AI$720,MATCH(I$2,'Tillförd energi'!$B$1:$AQ$1,0),FALSE)</f>
        <v>136.541</v>
      </c>
      <c r="J262" s="63">
        <f>VLOOKUP($B262,'Tillförd energi'!$B$1:$AI$720,MATCH(J$2,'Tillförd energi'!$B$1:$AQ$1,0),FALSE)</f>
        <v>0</v>
      </c>
      <c r="K262" s="63">
        <f>VLOOKUP($B262,'Tillförd energi'!$B$1:$AI$720,MATCH(K$2,'Tillförd energi'!$B$1:$AQ$1,0),FALSE)</f>
        <v>0</v>
      </c>
      <c r="L262" s="63">
        <f>VLOOKUP($B262,'Tillförd energi'!$B$1:$AI$720,MATCH(L$2,'Tillförd energi'!$B$1:$AQ$1,0),FALSE)</f>
        <v>0</v>
      </c>
      <c r="M262" s="63">
        <f>VLOOKUP($B262,'Tillförd energi'!$B$1:$AI$720,MATCH(M$2,'Tillförd energi'!$B$1:$AQ$1,0),FALSE)</f>
        <v>0</v>
      </c>
      <c r="N262" s="63">
        <f>VLOOKUP($B262,'Tillförd energi'!$B$1:$AI$720,MATCH(N$2,'Tillförd energi'!$B$1:$AQ$1,0),FALSE)</f>
        <v>143.18100000000001</v>
      </c>
      <c r="O262" s="63">
        <f>VLOOKUP($B262,'Tillförd energi'!$B$1:$AI$720,MATCH(O$2,'Tillförd energi'!$B$1:$AQ$1,0),FALSE)</f>
        <v>0</v>
      </c>
      <c r="P262" s="63">
        <f>VLOOKUP($B262,'Tillförd energi'!$B$1:$AI$720,MATCH(P$2,'Tillförd energi'!$B$1:$AQ$1,0),FALSE)</f>
        <v>76.430000000000007</v>
      </c>
      <c r="Q262" s="63">
        <f>VLOOKUP($B262,'Tillförd energi'!$B$1:$AI$720,MATCH(Q$2,'Tillförd energi'!$B$1:$AQ$1,0),FALSE)</f>
        <v>0</v>
      </c>
      <c r="R262" s="63">
        <f>VLOOKUP($B262,'Tillförd energi'!$B$1:$AI$720,MATCH(R$2,'Tillförd energi'!$B$1:$AQ$1,0),FALSE)</f>
        <v>0</v>
      </c>
      <c r="S262" s="63">
        <f>VLOOKUP($B262,'Tillförd energi'!$B$1:$AI$720,MATCH(S$2,'Tillförd energi'!$B$1:$AQ$1,0),FALSE)</f>
        <v>0</v>
      </c>
      <c r="T262" s="63">
        <f>VLOOKUP($B262,'Tillförd energi'!$B$1:$AI$720,MATCH(T$2,'Tillförd energi'!$B$1:$AQ$1,0),FALSE)</f>
        <v>0</v>
      </c>
      <c r="U262" s="63">
        <f>VLOOKUP($B262,'Tillförd energi'!$B$1:$AI$720,MATCH(U$2,'Tillförd energi'!$B$1:$AQ$1,0),FALSE)</f>
        <v>0</v>
      </c>
      <c r="V262" s="63">
        <f>VLOOKUP($B262,'Tillförd energi'!$B$1:$AI$720,MATCH(V$2,'Tillförd energi'!$B$1:$AQ$1,0),FALSE)</f>
        <v>0</v>
      </c>
      <c r="W262" s="63">
        <f>VLOOKUP($B262,'Tillförd energi'!$B$1:$AI$720,MATCH(W$2,'Tillförd energi'!$B$1:$AQ$1,0),FALSE)</f>
        <v>6.2910000000000004</v>
      </c>
      <c r="X262" s="63">
        <f>VLOOKUP($B262,'Tillförd energi'!$B$1:$AI$720,MATCH(X$2,'Tillförd energi'!$B$1:$AQ$1,0),FALSE)</f>
        <v>0</v>
      </c>
      <c r="Y262" s="63">
        <f>VLOOKUP($B262,'Tillförd energi'!$B$1:$AI$720,MATCH(Y$2,'Tillförd energi'!$B$1:$AQ$1,0),FALSE)</f>
        <v>0</v>
      </c>
      <c r="Z262" s="63">
        <f>VLOOKUP($B262,'Tillförd energi'!$B$1:$AI$720,MATCH(Z$2,'Tillförd energi'!$B$1:$AQ$1,0),FALSE)</f>
        <v>0</v>
      </c>
      <c r="AA262" s="63">
        <f>VLOOKUP($B262,'Tillförd energi'!$B$1:$AI$720,MATCH(AA$2,'Tillförd energi'!$B$1:$AQ$1,0),FALSE)</f>
        <v>0</v>
      </c>
      <c r="AB262" s="63">
        <f>VLOOKUP($B262,'Tillförd energi'!$B$1:$AI$720,MATCH(AB$2,'Tillförd energi'!$B$1:$AQ$1,0),FALSE)</f>
        <v>0</v>
      </c>
      <c r="AC262" s="63">
        <f>VLOOKUP($B262,'Tillförd energi'!$B$1:$AI$720,MATCH(AC$2,'Tillförd energi'!$B$1:$AQ$1,0),FALSE)</f>
        <v>56.097000000000001</v>
      </c>
      <c r="AD262" s="63">
        <f>VLOOKUP($B262,'Tillförd energi'!$B$1:$AI$720,MATCH(AD$2,'Tillförd energi'!$B$1:$AQ$1,0),FALSE)</f>
        <v>5.6959999999999997</v>
      </c>
      <c r="AE262" s="63">
        <f>VLOOKUP($B262,'Tillförd energi'!$B$1:$AI$720,MATCH(AE$2,'Tillförd energi'!$B$1:$AQ$1,0),FALSE)</f>
        <v>0</v>
      </c>
      <c r="AF262" s="63">
        <f>VLOOKUP($B262,'Tillförd energi'!$B$1:$AI$720,MATCH(AF$2,'Tillförd energi'!$B$1:$AQ$1,0),FALSE)</f>
        <v>13.4148</v>
      </c>
      <c r="AG262" s="63">
        <f>IFERROR(VLOOKUP(B262,Miljö!$B$1:$AC$550,MATCH("Köpt mängd produktionsspecifik fjärrvärme:",Miljö!$B$1:$AC$1,0),FALSE)/1,0)</f>
        <v>0</v>
      </c>
      <c r="AI262" s="63">
        <f t="shared" si="24"/>
        <v>439.49972000000002</v>
      </c>
      <c r="AJ262" s="63">
        <f>IF(ISERROR(1/VLOOKUP($B262,Leveranser!$B$1:$S$500,MATCH("såld värme (gwh)",Leveranser!$B$1:$S$1,0),FALSE)),"",VLOOKUP($B262,Leveranser!$B$1:$S$500,MATCH("såld värme (gwh)",Leveranser!$B$1:$S$1,0),FALSE))</f>
        <v>336.66699999999997</v>
      </c>
      <c r="AM262" s="63" t="str">
        <f>IF(B262&lt;&gt;"",IF(VLOOKUP($B262,Totalt!$B$1:$AQ$554,MATCH("Kvalitetsgranskad:",Totalt!$B$1:$AQ$1,0),FALSE)="ja",VLOOKUP($B262,Miljö!$B$1:$AG$479,MATCH(AM$2,Miljö!$B$1:$AK$1,0),FALSE),""),"")</f>
        <v>Ja</v>
      </c>
      <c r="AN262" s="63" t="str">
        <f>IF(AM262="ja",VLOOKUP($B262,Miljö!$B$1:$J$479,MATCH("Typ av ursprungsspecificerad el   (Om inget värde anges används Nordisk residualmix, se inforuta) ()",Miljö!$B$1:$J$1,0),FALSE),IF(AM262="nej","Nordisk residualel",""))</f>
        <v>'vattenproducerad el'</v>
      </c>
      <c r="AO262" s="63">
        <f>IF(AM262="","",VLOOKUP($B262,Miljö!$B$1:$J$479,MATCH("Fossilandel för ursprungspecificerad el ()",Miljö!$B$1:$J$1,0),FALSE))</f>
        <v>0</v>
      </c>
      <c r="AQ262" s="63">
        <f t="shared" si="25"/>
        <v>1</v>
      </c>
      <c r="AS262" s="63" t="str">
        <f t="shared" si="26"/>
        <v>Nej</v>
      </c>
      <c r="AT262" s="63" t="str">
        <f>IF(AS262="ja",VLOOKUP($B262,Miljö!$B$1:$P$500,MATCH("Fossil andel i procent (%)",Miljö!$B$1:$P$1,0),FALSE)/100,"")</f>
        <v/>
      </c>
      <c r="AV262" s="63" t="str">
        <f t="shared" si="27"/>
        <v>Nej</v>
      </c>
      <c r="AW262" s="63" t="str">
        <f>IF(AV262="ja",VLOOKUP($B262,'Egen hetvattenprod'!$B$1:$AO$500,MATCH("Värmekälla till värmepumpar ()",'Egen hetvattenprod'!$B$1:$AO$1,0),FALSE),"")</f>
        <v/>
      </c>
      <c r="AY262" s="63" t="str">
        <f t="shared" si="28"/>
        <v>Ja</v>
      </c>
      <c r="AZ262" s="77">
        <f>IF($AY262="ja",(VLOOKUP($B262,'Egen hetvattenprod'!$B$1:$BX$550,MATCH(AZ$2,'Egen hetvattenprod'!$B$1:$BX$1,0),FALSE)+VLOOKUP($B262,Kraftvärmeprod!$B$1:$BX$550,MATCH(AZ$2,Kraftvärmeprod!$B$1:$BX$1,0),FALSE))/$AC262,"")</f>
        <v>0.77249407276681448</v>
      </c>
      <c r="BA262" s="77">
        <f>IF($AY262="ja",(VLOOKUP($B262,'Egen hetvattenprod'!$B$1:$BX$550,MATCH(BA$2,'Egen hetvattenprod'!$B$1:$BX$1,0),FALSE)+VLOOKUP($B262,Kraftvärmeprod!$B$1:$BX$550,MATCH(BA$2,Kraftvärmeprod!$B$1:$BX$1,0),FALSE))/$AC262,"")</f>
        <v>0.22750592723318538</v>
      </c>
      <c r="BB262" s="77">
        <f>IF($AY262="ja",(VLOOKUP($B262,'Egen hetvattenprod'!$B$1:$BX$550,MATCH(BB$2,'Egen hetvattenprod'!$B$1:$BX$1,0),FALSE)+VLOOKUP($B262,Kraftvärmeprod!$B$1:$BX$550,MATCH(BB$2,Kraftvärmeprod!$B$1:$BX$1,0),FALSE))/$AC262,"")</f>
        <v>0</v>
      </c>
      <c r="BC262" s="77">
        <f>IF($AY262="ja",(VLOOKUP($B262,'Egen hetvattenprod'!$B$1:$BX$550,MATCH(BC$2,'Egen hetvattenprod'!$B$1:$BX$1,0),FALSE)+VLOOKUP($B262,Kraftvärmeprod!$B$1:$BX$550,MATCH(BC$2,Kraftvärmeprod!$B$1:$BX$1,0),FALSE))/$AC262,"")</f>
        <v>0</v>
      </c>
      <c r="BD262" s="77">
        <f>IF($AY262="ja",(VLOOKUP($B262,'Egen hetvattenprod'!$B$1:$BX$550,MATCH(BD$2,'Egen hetvattenprod'!$B$1:$BX$1,0),FALSE)+VLOOKUP($B262,Kraftvärmeprod!$B$1:$BX$550,MATCH(BD$2,Kraftvärmeprod!$B$1:$BX$1,0),FALSE))/$AC262,"")</f>
        <v>0</v>
      </c>
      <c r="BF262" s="63" t="str">
        <f t="shared" si="29"/>
        <v>Ja</v>
      </c>
      <c r="BG262" s="63" t="str">
        <f>IF($BF262="ja",VLOOKUP($B262,'Egen hetvattenprod'!$B$1:$BX$550,MATCH("Andelen klimatgaser med fossilt ursprung för avfall ()",'Egen hetvattenprod'!$B$1:$BX$1,0),FALSE),"")</f>
        <v>ET</v>
      </c>
      <c r="BH262" s="63" t="str">
        <f>IF($BF262="ja",VLOOKUP($B262,Kraftvärmeprod!$B$1:$BX$550,MATCH("Andelen klimatgaser med fossilt ursprung för avfall ()",Kraftvärmeprod!$B$1:$BX$1,0),FALSE),"")</f>
        <v>Schablon</v>
      </c>
      <c r="BI262" s="63" t="str">
        <f>IF($BF262="ja",VLOOKUP($B262,'Egen hetvattenprod'!$B$1:$BX$550,MATCH("Avfall (GWh)",'Egen hetvattenprod'!$B$1:$BX$1,0),FALSE),"")</f>
        <v>ET</v>
      </c>
      <c r="BJ262" s="63">
        <f>IF($BF262="ja",VLOOKUP($B262,'Slutlig allokering kvv'!$B$1:$BX$550,MATCH("Avfall (GWh)",'Slutlig allokering kvv'!$B$1:$BX$1,0),FALSE),"")</f>
        <v>136.541</v>
      </c>
      <c r="BK262" s="63">
        <f>IF($BF262="ja",VLOOKUP($B262,'Köpt hetvatten'!$B$1:$BX$550,MATCH("Avfall i köpt hetvatten",'Köpt hetvatten'!$B$1:$BX$1,0),FALSE),"")</f>
        <v>0</v>
      </c>
      <c r="BL262" s="63" t="str">
        <f>IF($BF262="ja",VLOOKUP($B262,'Egen hetvattenprod'!$B$1:$BX$550,MATCH("Värde enligt ovan. (%)",'Egen hetvattenprod'!$B$1:$BX$1,0),FALSE),"")</f>
        <v>ET</v>
      </c>
      <c r="BM262" s="63">
        <f>IF($BF262="ja",VLOOKUP($B262,Kraftvärmeprod!$B$1:$BX$550,MATCH("Värde enligt ovan. (%)",Kraftvärmeprod!$B$1:$BX$1,0),FALSE),"")</f>
        <v>37.299999999999997</v>
      </c>
    </row>
    <row r="263" spans="1:65" x14ac:dyDescent="0.45">
      <c r="A263" s="63" t="s">
        <v>336</v>
      </c>
      <c r="B263" s="63" t="s">
        <v>338</v>
      </c>
      <c r="C263" s="63">
        <f>VLOOKUP($B263,'Tillförd energi'!$B$1:$AI$720,MATCH(C$2,'Tillförd energi'!$B$1:$AQ$1,0),FALSE)</f>
        <v>0</v>
      </c>
      <c r="D263" s="63">
        <f>VLOOKUP($B263,'Tillförd energi'!$B$1:$AI$720,MATCH(D$2,'Tillförd energi'!$B$1:$AQ$1,0),FALSE)</f>
        <v>0.1</v>
      </c>
      <c r="E263" s="63">
        <f>VLOOKUP($B263,'Tillförd energi'!$B$1:$AI$720,MATCH(E$2,'Tillförd energi'!$B$1:$AQ$1,0),FALSE)</f>
        <v>0</v>
      </c>
      <c r="F263" s="63">
        <f>VLOOKUP($B263,'Tillförd energi'!$B$1:$AI$720,MATCH(F$2,'Tillförd energi'!$B$1:$AQ$1,0),FALSE)</f>
        <v>0</v>
      </c>
      <c r="G263" s="63">
        <f>VLOOKUP($B263,'Tillförd energi'!$B$1:$AI$720,MATCH(G$2,'Tillförd energi'!$B$1:$AQ$1,0),FALSE)</f>
        <v>0</v>
      </c>
      <c r="H263" s="63">
        <f>VLOOKUP($B263,'Tillförd energi'!$B$1:$AI$720,MATCH(H$2,'Tillförd energi'!$B$1:$AQ$1,0),FALSE)</f>
        <v>0</v>
      </c>
      <c r="I263" s="63">
        <f>VLOOKUP($B263,'Tillförd energi'!$B$1:$AI$720,MATCH(I$2,'Tillförd energi'!$B$1:$AQ$1,0),FALSE)</f>
        <v>0</v>
      </c>
      <c r="J263" s="63">
        <f>VLOOKUP($B263,'Tillförd energi'!$B$1:$AI$720,MATCH(J$2,'Tillförd energi'!$B$1:$AQ$1,0),FALSE)</f>
        <v>0</v>
      </c>
      <c r="K263" s="63">
        <f>VLOOKUP($B263,'Tillförd energi'!$B$1:$AI$720,MATCH(K$2,'Tillförd energi'!$B$1:$AQ$1,0),FALSE)</f>
        <v>0</v>
      </c>
      <c r="L263" s="63">
        <f>VLOOKUP($B263,'Tillförd energi'!$B$1:$AI$720,MATCH(L$2,'Tillförd energi'!$B$1:$AQ$1,0),FALSE)</f>
        <v>0</v>
      </c>
      <c r="M263" s="63">
        <f>VLOOKUP($B263,'Tillförd energi'!$B$1:$AI$720,MATCH(M$2,'Tillförd energi'!$B$1:$AQ$1,0),FALSE)</f>
        <v>0</v>
      </c>
      <c r="N263" s="63">
        <f>VLOOKUP($B263,'Tillförd energi'!$B$1:$AI$720,MATCH(N$2,'Tillförd energi'!$B$1:$AQ$1,0),FALSE)</f>
        <v>0</v>
      </c>
      <c r="O263" s="63">
        <f>VLOOKUP($B263,'Tillförd energi'!$B$1:$AI$720,MATCH(O$2,'Tillförd energi'!$B$1:$AQ$1,0),FALSE)</f>
        <v>0</v>
      </c>
      <c r="P263" s="63">
        <f>VLOOKUP($B263,'Tillförd energi'!$B$1:$AI$720,MATCH(P$2,'Tillförd energi'!$B$1:$AQ$1,0),FALSE)</f>
        <v>0</v>
      </c>
      <c r="Q263" s="63">
        <f>VLOOKUP($B263,'Tillförd energi'!$B$1:$AI$720,MATCH(Q$2,'Tillförd energi'!$B$1:$AQ$1,0),FALSE)</f>
        <v>0</v>
      </c>
      <c r="R263" s="63">
        <f>VLOOKUP($B263,'Tillförd energi'!$B$1:$AI$720,MATCH(R$2,'Tillförd energi'!$B$1:$AQ$1,0),FALSE)</f>
        <v>5.34</v>
      </c>
      <c r="S263" s="63">
        <f>VLOOKUP($B263,'Tillförd energi'!$B$1:$AI$720,MATCH(S$2,'Tillförd energi'!$B$1:$AQ$1,0),FALSE)</f>
        <v>0</v>
      </c>
      <c r="T263" s="63">
        <f>VLOOKUP($B263,'Tillförd energi'!$B$1:$AI$720,MATCH(T$2,'Tillförd energi'!$B$1:$AQ$1,0),FALSE)</f>
        <v>0</v>
      </c>
      <c r="U263" s="63">
        <f>VLOOKUP($B263,'Tillförd energi'!$B$1:$AI$720,MATCH(U$2,'Tillförd energi'!$B$1:$AQ$1,0),FALSE)</f>
        <v>0</v>
      </c>
      <c r="V263" s="63">
        <f>VLOOKUP($B263,'Tillförd energi'!$B$1:$AI$720,MATCH(V$2,'Tillförd energi'!$B$1:$AQ$1,0),FALSE)</f>
        <v>0</v>
      </c>
      <c r="W263" s="63">
        <f>VLOOKUP($B263,'Tillförd energi'!$B$1:$AI$720,MATCH(W$2,'Tillförd energi'!$B$1:$AQ$1,0),FALSE)</f>
        <v>0</v>
      </c>
      <c r="X263" s="63">
        <f>VLOOKUP($B263,'Tillförd energi'!$B$1:$AI$720,MATCH(X$2,'Tillförd energi'!$B$1:$AQ$1,0),FALSE)</f>
        <v>0</v>
      </c>
      <c r="Y263" s="63">
        <f>VLOOKUP($B263,'Tillförd energi'!$B$1:$AI$720,MATCH(Y$2,'Tillförd energi'!$B$1:$AQ$1,0),FALSE)</f>
        <v>0</v>
      </c>
      <c r="Z263" s="63">
        <f>VLOOKUP($B263,'Tillförd energi'!$B$1:$AI$720,MATCH(Z$2,'Tillförd energi'!$B$1:$AQ$1,0),FALSE)</f>
        <v>0</v>
      </c>
      <c r="AA263" s="63">
        <f>VLOOKUP($B263,'Tillförd energi'!$B$1:$AI$720,MATCH(AA$2,'Tillförd energi'!$B$1:$AQ$1,0),FALSE)</f>
        <v>0</v>
      </c>
      <c r="AB263" s="63">
        <f>VLOOKUP($B263,'Tillförd energi'!$B$1:$AI$720,MATCH(AB$2,'Tillförd energi'!$B$1:$AQ$1,0),FALSE)</f>
        <v>0</v>
      </c>
      <c r="AC263" s="63">
        <f>VLOOKUP($B263,'Tillförd energi'!$B$1:$AI$720,MATCH(AC$2,'Tillförd energi'!$B$1:$AQ$1,0),FALSE)</f>
        <v>0</v>
      </c>
      <c r="AD263" s="63">
        <f>VLOOKUP($B263,'Tillförd energi'!$B$1:$AI$720,MATCH(AD$2,'Tillförd energi'!$B$1:$AQ$1,0),FALSE)</f>
        <v>0</v>
      </c>
      <c r="AE263" s="63">
        <f>VLOOKUP($B263,'Tillförd energi'!$B$1:$AI$720,MATCH(AE$2,'Tillförd energi'!$B$1:$AQ$1,0),FALSE)</f>
        <v>0</v>
      </c>
      <c r="AF263" s="63">
        <f>VLOOKUP($B263,'Tillförd energi'!$B$1:$AI$720,MATCH(AF$2,'Tillförd energi'!$B$1:$AQ$1,0),FALSE)</f>
        <v>5.1200000000000002E-2</v>
      </c>
      <c r="AG263" s="63">
        <f>IFERROR(VLOOKUP(B263,Miljö!$B$1:$AC$550,MATCH("Köpt mängd produktionsspecifik fjärrvärme:",Miljö!$B$1:$AC$1,0),FALSE)/1,0)</f>
        <v>0</v>
      </c>
      <c r="AI263" s="63">
        <f t="shared" si="24"/>
        <v>5.4911999999999992</v>
      </c>
      <c r="AJ263" s="63">
        <f>IF(ISERROR(1/VLOOKUP($B263,Leveranser!$B$1:$S$500,MATCH("såld värme (gwh)",Leveranser!$B$1:$S$1,0),FALSE)),"",VLOOKUP($B263,Leveranser!$B$1:$S$500,MATCH("såld värme (gwh)",Leveranser!$B$1:$S$1,0),FALSE))</f>
        <v>4.3879999999999999</v>
      </c>
      <c r="AM263" s="63" t="str">
        <f>IF(B263&lt;&gt;"",IF(VLOOKUP($B263,Totalt!$B$1:$AQ$554,MATCH("Kvalitetsgranskad:",Totalt!$B$1:$AQ$1,0),FALSE)="ja",VLOOKUP($B263,Miljö!$B$1:$AG$479,MATCH(AM$2,Miljö!$B$1:$AK$1,0),FALSE),""),"")</f>
        <v>Ja</v>
      </c>
      <c r="AN263" s="63" t="str">
        <f>IF(AM263="ja",VLOOKUP($B263,Miljö!$B$1:$J$479,MATCH("Typ av ursprungsspecificerad el   (Om inget värde anges används Nordisk residualmix, se inforuta) ()",Miljö!$B$1:$J$1,0),FALSE),IF(AM263="nej","Nordisk residualel",""))</f>
        <v>'vattenproducerad el'</v>
      </c>
      <c r="AO263" s="63">
        <f>IF(AM263="","",VLOOKUP($B263,Miljö!$B$1:$J$479,MATCH("Fossilandel för ursprungspecificerad el ()",Miljö!$B$1:$J$1,0),FALSE))</f>
        <v>0</v>
      </c>
      <c r="AQ263" s="63">
        <f t="shared" si="25"/>
        <v>1</v>
      </c>
      <c r="AS263" s="63" t="str">
        <f t="shared" si="26"/>
        <v>Nej</v>
      </c>
      <c r="AT263" s="63" t="str">
        <f>IF(AS263="ja",VLOOKUP($B263,Miljö!$B$1:$P$500,MATCH("Fossil andel i procent (%)",Miljö!$B$1:$P$1,0),FALSE)/100,"")</f>
        <v/>
      </c>
      <c r="AV263" s="63" t="str">
        <f t="shared" si="27"/>
        <v>Nej</v>
      </c>
      <c r="AW263" s="63" t="str">
        <f>IF(AV263="ja",VLOOKUP($B263,'Egen hetvattenprod'!$B$1:$AO$500,MATCH("Värmekälla till värmepumpar ()",'Egen hetvattenprod'!$B$1:$AO$1,0),FALSE),"")</f>
        <v/>
      </c>
      <c r="AY263" s="63" t="str">
        <f t="shared" si="28"/>
        <v>Nej</v>
      </c>
      <c r="AZ263" s="77" t="str">
        <f>IF($AY263="ja",(VLOOKUP($B263,'Egen hetvattenprod'!$B$1:$BX$550,MATCH(AZ$2,'Egen hetvattenprod'!$B$1:$BX$1,0),FALSE)+VLOOKUP($B263,Kraftvärmeprod!$B$1:$BX$550,MATCH(AZ$2,Kraftvärmeprod!$B$1:$BX$1,0),FALSE))/$AC263,"")</f>
        <v/>
      </c>
      <c r="BA263" s="77" t="str">
        <f>IF($AY263="ja",(VLOOKUP($B263,'Egen hetvattenprod'!$B$1:$BX$550,MATCH(BA$2,'Egen hetvattenprod'!$B$1:$BX$1,0),FALSE)+VLOOKUP($B263,Kraftvärmeprod!$B$1:$BX$550,MATCH(BA$2,Kraftvärmeprod!$B$1:$BX$1,0),FALSE))/$AC263,"")</f>
        <v/>
      </c>
      <c r="BB263" s="77" t="str">
        <f>IF($AY263="ja",(VLOOKUP($B263,'Egen hetvattenprod'!$B$1:$BX$550,MATCH(BB$2,'Egen hetvattenprod'!$B$1:$BX$1,0),FALSE)+VLOOKUP($B263,Kraftvärmeprod!$B$1:$BX$550,MATCH(BB$2,Kraftvärmeprod!$B$1:$BX$1,0),FALSE))/$AC263,"")</f>
        <v/>
      </c>
      <c r="BC263" s="77" t="str">
        <f>IF($AY263="ja",(VLOOKUP($B263,'Egen hetvattenprod'!$B$1:$BX$550,MATCH(BC$2,'Egen hetvattenprod'!$B$1:$BX$1,0),FALSE)+VLOOKUP($B263,Kraftvärmeprod!$B$1:$BX$550,MATCH(BC$2,Kraftvärmeprod!$B$1:$BX$1,0),FALSE))/$AC263,"")</f>
        <v/>
      </c>
      <c r="BD263" s="77" t="str">
        <f>IF($AY263="ja",(VLOOKUP($B263,'Egen hetvattenprod'!$B$1:$BX$550,MATCH(BD$2,'Egen hetvattenprod'!$B$1:$BX$1,0),FALSE)+VLOOKUP($B263,Kraftvärmeprod!$B$1:$BX$550,MATCH(BD$2,Kraftvärmeprod!$B$1:$BX$1,0),FALSE))/$AC263,"")</f>
        <v/>
      </c>
      <c r="BF263" s="63" t="str">
        <f t="shared" si="29"/>
        <v>Nej</v>
      </c>
      <c r="BG263" s="63" t="str">
        <f>IF($BF263="ja",VLOOKUP($B263,'Egen hetvattenprod'!$B$1:$BX$550,MATCH("Andelen klimatgaser med fossilt ursprung för avfall ()",'Egen hetvattenprod'!$B$1:$BX$1,0),FALSE),"")</f>
        <v/>
      </c>
      <c r="BH263" s="63" t="str">
        <f>IF($BF263="ja",VLOOKUP($B263,Kraftvärmeprod!$B$1:$BX$550,MATCH("Andelen klimatgaser med fossilt ursprung för avfall ()",Kraftvärmeprod!$B$1:$BX$1,0),FALSE),"")</f>
        <v/>
      </c>
      <c r="BI263" s="63" t="str">
        <f>IF($BF263="ja",VLOOKUP($B263,'Egen hetvattenprod'!$B$1:$BX$550,MATCH("Avfall (GWh)",'Egen hetvattenprod'!$B$1:$BX$1,0),FALSE),"")</f>
        <v/>
      </c>
      <c r="BJ263" s="63" t="str">
        <f>IF($BF263="ja",VLOOKUP($B263,'Slutlig allokering kvv'!$B$1:$BX$550,MATCH("Avfall (GWh)",'Slutlig allokering kvv'!$B$1:$BX$1,0),FALSE),"")</f>
        <v/>
      </c>
      <c r="BK263" s="63" t="str">
        <f>IF($BF263="ja",VLOOKUP($B263,'Köpt hetvatten'!$B$1:$BX$550,MATCH("Avfall i köpt hetvatten",'Köpt hetvatten'!$B$1:$BX$1,0),FALSE),"")</f>
        <v/>
      </c>
      <c r="BL263" s="63" t="str">
        <f>IF($BF263="ja",VLOOKUP($B263,'Egen hetvattenprod'!$B$1:$BX$550,MATCH("Värde enligt ovan. (%)",'Egen hetvattenprod'!$B$1:$BX$1,0),FALSE),"")</f>
        <v/>
      </c>
      <c r="BM263" s="63" t="str">
        <f>IF($BF263="ja",VLOOKUP($B263,Kraftvärmeprod!$B$1:$BX$550,MATCH("Värde enligt ovan. (%)",Kraftvärmeprod!$B$1:$BX$1,0),FALSE),"")</f>
        <v/>
      </c>
    </row>
    <row r="264" spans="1:65" x14ac:dyDescent="0.45">
      <c r="A264" s="63" t="s">
        <v>336</v>
      </c>
      <c r="B264" s="63" t="s">
        <v>335</v>
      </c>
      <c r="C264" s="63">
        <f>VLOOKUP($B264,'Tillförd energi'!$B$1:$AI$720,MATCH(C$2,'Tillförd energi'!$B$1:$AQ$1,0),FALSE)</f>
        <v>0</v>
      </c>
      <c r="D264" s="63">
        <f>VLOOKUP($B264,'Tillförd energi'!$B$1:$AI$720,MATCH(D$2,'Tillförd energi'!$B$1:$AQ$1,0),FALSE)</f>
        <v>6.7500000000000004E-2</v>
      </c>
      <c r="E264" s="63">
        <f>VLOOKUP($B264,'Tillförd energi'!$B$1:$AI$720,MATCH(E$2,'Tillförd energi'!$B$1:$AQ$1,0),FALSE)</f>
        <v>0</v>
      </c>
      <c r="F264" s="63">
        <f>VLOOKUP($B264,'Tillförd energi'!$B$1:$AI$720,MATCH(F$2,'Tillförd energi'!$B$1:$AQ$1,0),FALSE)</f>
        <v>0</v>
      </c>
      <c r="G264" s="63">
        <f>VLOOKUP($B264,'Tillförd energi'!$B$1:$AI$720,MATCH(G$2,'Tillförd energi'!$B$1:$AQ$1,0),FALSE)</f>
        <v>0</v>
      </c>
      <c r="H264" s="63">
        <f>VLOOKUP($B264,'Tillförd energi'!$B$1:$AI$720,MATCH(H$2,'Tillförd energi'!$B$1:$AQ$1,0),FALSE)</f>
        <v>0</v>
      </c>
      <c r="I264" s="63">
        <f>VLOOKUP($B264,'Tillförd energi'!$B$1:$AI$720,MATCH(I$2,'Tillförd energi'!$B$1:$AQ$1,0),FALSE)</f>
        <v>0</v>
      </c>
      <c r="J264" s="63">
        <f>VLOOKUP($B264,'Tillförd energi'!$B$1:$AI$720,MATCH(J$2,'Tillförd energi'!$B$1:$AQ$1,0),FALSE)</f>
        <v>0</v>
      </c>
      <c r="K264" s="63">
        <f>VLOOKUP($B264,'Tillförd energi'!$B$1:$AI$720,MATCH(K$2,'Tillförd energi'!$B$1:$AQ$1,0),FALSE)</f>
        <v>0</v>
      </c>
      <c r="L264" s="63">
        <f>VLOOKUP($B264,'Tillförd energi'!$B$1:$AI$720,MATCH(L$2,'Tillförd energi'!$B$1:$AQ$1,0),FALSE)</f>
        <v>0</v>
      </c>
      <c r="M264" s="63">
        <f>VLOOKUP($B264,'Tillförd energi'!$B$1:$AI$720,MATCH(M$2,'Tillförd energi'!$B$1:$AQ$1,0),FALSE)</f>
        <v>0</v>
      </c>
      <c r="N264" s="63">
        <f>VLOOKUP($B264,'Tillförd energi'!$B$1:$AI$720,MATCH(N$2,'Tillförd energi'!$B$1:$AQ$1,0),FALSE)</f>
        <v>0</v>
      </c>
      <c r="O264" s="63">
        <f>VLOOKUP($B264,'Tillförd energi'!$B$1:$AI$720,MATCH(O$2,'Tillförd energi'!$B$1:$AQ$1,0),FALSE)</f>
        <v>0</v>
      </c>
      <c r="P264" s="63">
        <f>VLOOKUP($B264,'Tillförd energi'!$B$1:$AI$720,MATCH(P$2,'Tillförd energi'!$B$1:$AQ$1,0),FALSE)</f>
        <v>0</v>
      </c>
      <c r="Q264" s="63">
        <f>VLOOKUP($B264,'Tillförd energi'!$B$1:$AI$720,MATCH(Q$2,'Tillförd energi'!$B$1:$AQ$1,0),FALSE)</f>
        <v>0</v>
      </c>
      <c r="R264" s="63">
        <f>VLOOKUP($B264,'Tillförd energi'!$B$1:$AI$720,MATCH(R$2,'Tillförd energi'!$B$1:$AQ$1,0),FALSE)</f>
        <v>3.83</v>
      </c>
      <c r="S264" s="63">
        <f>VLOOKUP($B264,'Tillförd energi'!$B$1:$AI$720,MATCH(S$2,'Tillförd energi'!$B$1:$AQ$1,0),FALSE)</f>
        <v>0</v>
      </c>
      <c r="T264" s="63">
        <f>VLOOKUP($B264,'Tillförd energi'!$B$1:$AI$720,MATCH(T$2,'Tillförd energi'!$B$1:$AQ$1,0),FALSE)</f>
        <v>0</v>
      </c>
      <c r="U264" s="63">
        <f>VLOOKUP($B264,'Tillförd energi'!$B$1:$AI$720,MATCH(U$2,'Tillförd energi'!$B$1:$AQ$1,0),FALSE)</f>
        <v>0</v>
      </c>
      <c r="V264" s="63">
        <f>VLOOKUP($B264,'Tillförd energi'!$B$1:$AI$720,MATCH(V$2,'Tillförd energi'!$B$1:$AQ$1,0),FALSE)</f>
        <v>0</v>
      </c>
      <c r="W264" s="63">
        <f>VLOOKUP($B264,'Tillförd energi'!$B$1:$AI$720,MATCH(W$2,'Tillförd energi'!$B$1:$AQ$1,0),FALSE)</f>
        <v>0</v>
      </c>
      <c r="X264" s="63">
        <f>VLOOKUP($B264,'Tillförd energi'!$B$1:$AI$720,MATCH(X$2,'Tillförd energi'!$B$1:$AQ$1,0),FALSE)</f>
        <v>0</v>
      </c>
      <c r="Y264" s="63">
        <f>VLOOKUP($B264,'Tillförd energi'!$B$1:$AI$720,MATCH(Y$2,'Tillförd energi'!$B$1:$AQ$1,0),FALSE)</f>
        <v>0</v>
      </c>
      <c r="Z264" s="63">
        <f>VLOOKUP($B264,'Tillförd energi'!$B$1:$AI$720,MATCH(Z$2,'Tillförd energi'!$B$1:$AQ$1,0),FALSE)</f>
        <v>0</v>
      </c>
      <c r="AA264" s="63">
        <f>VLOOKUP($B264,'Tillförd energi'!$B$1:$AI$720,MATCH(AA$2,'Tillförd energi'!$B$1:$AQ$1,0),FALSE)</f>
        <v>0</v>
      </c>
      <c r="AB264" s="63">
        <f>VLOOKUP($B264,'Tillförd energi'!$B$1:$AI$720,MATCH(AB$2,'Tillförd energi'!$B$1:$AQ$1,0),FALSE)</f>
        <v>0</v>
      </c>
      <c r="AC264" s="63">
        <f>VLOOKUP($B264,'Tillförd energi'!$B$1:$AI$720,MATCH(AC$2,'Tillförd energi'!$B$1:$AQ$1,0),FALSE)</f>
        <v>0</v>
      </c>
      <c r="AD264" s="63">
        <f>VLOOKUP($B264,'Tillförd energi'!$B$1:$AI$720,MATCH(AD$2,'Tillförd energi'!$B$1:$AQ$1,0),FALSE)</f>
        <v>0</v>
      </c>
      <c r="AE264" s="63">
        <f>VLOOKUP($B264,'Tillförd energi'!$B$1:$AI$720,MATCH(AE$2,'Tillförd energi'!$B$1:$AQ$1,0),FALSE)</f>
        <v>0</v>
      </c>
      <c r="AF264" s="63">
        <f>VLOOKUP($B264,'Tillförd energi'!$B$1:$AI$720,MATCH(AF$2,'Tillförd energi'!$B$1:$AQ$1,0),FALSE)</f>
        <v>5.2499999999999998E-2</v>
      </c>
      <c r="AG264" s="63">
        <f>IFERROR(VLOOKUP(B264,Miljö!$B$1:$AC$550,MATCH("Köpt mängd produktionsspecifik fjärrvärme:",Miljö!$B$1:$AC$1,0),FALSE)/1,0)</f>
        <v>0</v>
      </c>
      <c r="AI264" s="63">
        <f t="shared" si="24"/>
        <v>3.95</v>
      </c>
      <c r="AJ264" s="63">
        <f>IF(ISERROR(1/VLOOKUP($B264,Leveranser!$B$1:$S$500,MATCH("såld värme (gwh)",Leveranser!$B$1:$S$1,0),FALSE)),"",VLOOKUP($B264,Leveranser!$B$1:$S$500,MATCH("såld värme (gwh)",Leveranser!$B$1:$S$1,0),FALSE))</f>
        <v>3.0329999999999999</v>
      </c>
      <c r="AM264" s="63" t="str">
        <f>IF(B264&lt;&gt;"",IF(VLOOKUP($B264,Totalt!$B$1:$AQ$554,MATCH("Kvalitetsgranskad:",Totalt!$B$1:$AQ$1,0),FALSE)="ja",VLOOKUP($B264,Miljö!$B$1:$AG$479,MATCH(AM$2,Miljö!$B$1:$AK$1,0),FALSE),""),"")</f>
        <v>Ja</v>
      </c>
      <c r="AN264" s="63" t="str">
        <f>IF(AM264="ja",VLOOKUP($B264,Miljö!$B$1:$J$479,MATCH("Typ av ursprungsspecificerad el   (Om inget värde anges används Nordisk residualmix, se inforuta) ()",Miljö!$B$1:$J$1,0),FALSE),IF(AM264="nej","Nordisk residualel",""))</f>
        <v>'vattenproducerad el'</v>
      </c>
      <c r="AO264" s="63">
        <f>IF(AM264="","",VLOOKUP($B264,Miljö!$B$1:$J$479,MATCH("Fossilandel för ursprungspecificerad el ()",Miljö!$B$1:$J$1,0),FALSE))</f>
        <v>0</v>
      </c>
      <c r="AQ264" s="63">
        <f t="shared" si="25"/>
        <v>1</v>
      </c>
      <c r="AS264" s="63" t="str">
        <f t="shared" si="26"/>
        <v>Nej</v>
      </c>
      <c r="AT264" s="63" t="str">
        <f>IF(AS264="ja",VLOOKUP($B264,Miljö!$B$1:$P$500,MATCH("Fossil andel i procent (%)",Miljö!$B$1:$P$1,0),FALSE)/100,"")</f>
        <v/>
      </c>
      <c r="AV264" s="63" t="str">
        <f t="shared" si="27"/>
        <v>Nej</v>
      </c>
      <c r="AW264" s="63" t="str">
        <f>IF(AV264="ja",VLOOKUP($B264,'Egen hetvattenprod'!$B$1:$AO$500,MATCH("Värmekälla till värmepumpar ()",'Egen hetvattenprod'!$B$1:$AO$1,0),FALSE),"")</f>
        <v/>
      </c>
      <c r="AY264" s="63" t="str">
        <f t="shared" si="28"/>
        <v>Nej</v>
      </c>
      <c r="AZ264" s="77" t="str">
        <f>IF($AY264="ja",(VLOOKUP($B264,'Egen hetvattenprod'!$B$1:$BX$550,MATCH(AZ$2,'Egen hetvattenprod'!$B$1:$BX$1,0),FALSE)+VLOOKUP($B264,Kraftvärmeprod!$B$1:$BX$550,MATCH(AZ$2,Kraftvärmeprod!$B$1:$BX$1,0),FALSE))/$AC264,"")</f>
        <v/>
      </c>
      <c r="BA264" s="77" t="str">
        <f>IF($AY264="ja",(VLOOKUP($B264,'Egen hetvattenprod'!$B$1:$BX$550,MATCH(BA$2,'Egen hetvattenprod'!$B$1:$BX$1,0),FALSE)+VLOOKUP($B264,Kraftvärmeprod!$B$1:$BX$550,MATCH(BA$2,Kraftvärmeprod!$B$1:$BX$1,0),FALSE))/$AC264,"")</f>
        <v/>
      </c>
      <c r="BB264" s="77" t="str">
        <f>IF($AY264="ja",(VLOOKUP($B264,'Egen hetvattenprod'!$B$1:$BX$550,MATCH(BB$2,'Egen hetvattenprod'!$B$1:$BX$1,0),FALSE)+VLOOKUP($B264,Kraftvärmeprod!$B$1:$BX$550,MATCH(BB$2,Kraftvärmeprod!$B$1:$BX$1,0),FALSE))/$AC264,"")</f>
        <v/>
      </c>
      <c r="BC264" s="77" t="str">
        <f>IF($AY264="ja",(VLOOKUP($B264,'Egen hetvattenprod'!$B$1:$BX$550,MATCH(BC$2,'Egen hetvattenprod'!$B$1:$BX$1,0),FALSE)+VLOOKUP($B264,Kraftvärmeprod!$B$1:$BX$550,MATCH(BC$2,Kraftvärmeprod!$B$1:$BX$1,0),FALSE))/$AC264,"")</f>
        <v/>
      </c>
      <c r="BD264" s="77" t="str">
        <f>IF($AY264="ja",(VLOOKUP($B264,'Egen hetvattenprod'!$B$1:$BX$550,MATCH(BD$2,'Egen hetvattenprod'!$B$1:$BX$1,0),FALSE)+VLOOKUP($B264,Kraftvärmeprod!$B$1:$BX$550,MATCH(BD$2,Kraftvärmeprod!$B$1:$BX$1,0),FALSE))/$AC264,"")</f>
        <v/>
      </c>
      <c r="BF264" s="63" t="str">
        <f t="shared" si="29"/>
        <v>Nej</v>
      </c>
      <c r="BG264" s="63" t="str">
        <f>IF($BF264="ja",VLOOKUP($B264,'Egen hetvattenprod'!$B$1:$BX$550,MATCH("Andelen klimatgaser med fossilt ursprung för avfall ()",'Egen hetvattenprod'!$B$1:$BX$1,0),FALSE),"")</f>
        <v/>
      </c>
      <c r="BH264" s="63" t="str">
        <f>IF($BF264="ja",VLOOKUP($B264,Kraftvärmeprod!$B$1:$BX$550,MATCH("Andelen klimatgaser med fossilt ursprung för avfall ()",Kraftvärmeprod!$B$1:$BX$1,0),FALSE),"")</f>
        <v/>
      </c>
      <c r="BI264" s="63" t="str">
        <f>IF($BF264="ja",VLOOKUP($B264,'Egen hetvattenprod'!$B$1:$BX$550,MATCH("Avfall (GWh)",'Egen hetvattenprod'!$B$1:$BX$1,0),FALSE),"")</f>
        <v/>
      </c>
      <c r="BJ264" s="63" t="str">
        <f>IF($BF264="ja",VLOOKUP($B264,'Slutlig allokering kvv'!$B$1:$BX$550,MATCH("Avfall (GWh)",'Slutlig allokering kvv'!$B$1:$BX$1,0),FALSE),"")</f>
        <v/>
      </c>
      <c r="BK264" s="63" t="str">
        <f>IF($BF264="ja",VLOOKUP($B264,'Köpt hetvatten'!$B$1:$BX$550,MATCH("Avfall i köpt hetvatten",'Köpt hetvatten'!$B$1:$BX$1,0),FALSE),"")</f>
        <v/>
      </c>
      <c r="BL264" s="63" t="str">
        <f>IF($BF264="ja",VLOOKUP($B264,'Egen hetvattenprod'!$B$1:$BX$550,MATCH("Värde enligt ovan. (%)",'Egen hetvattenprod'!$B$1:$BX$1,0),FALSE),"")</f>
        <v/>
      </c>
      <c r="BM264" s="63" t="str">
        <f>IF($BF264="ja",VLOOKUP($B264,Kraftvärmeprod!$B$1:$BX$550,MATCH("Värde enligt ovan. (%)",Kraftvärmeprod!$B$1:$BX$1,0),FALSE),"")</f>
        <v/>
      </c>
    </row>
    <row r="265" spans="1:65" x14ac:dyDescent="0.45">
      <c r="A265" s="63" t="s">
        <v>336</v>
      </c>
      <c r="B265" s="63" t="s">
        <v>337</v>
      </c>
      <c r="C265" s="63">
        <f>VLOOKUP($B265,'Tillförd energi'!$B$1:$AI$720,MATCH(C$2,'Tillförd energi'!$B$1:$AQ$1,0),FALSE)</f>
        <v>0</v>
      </c>
      <c r="D265" s="63">
        <f>VLOOKUP($B265,'Tillförd energi'!$B$1:$AI$720,MATCH(D$2,'Tillförd energi'!$B$1:$AQ$1,0),FALSE)</f>
        <v>3.2800000000000003E-2</v>
      </c>
      <c r="E265" s="63">
        <f>VLOOKUP($B265,'Tillförd energi'!$B$1:$AI$720,MATCH(E$2,'Tillförd energi'!$B$1:$AQ$1,0),FALSE)</f>
        <v>0</v>
      </c>
      <c r="F265" s="63">
        <f>VLOOKUP($B265,'Tillförd energi'!$B$1:$AI$720,MATCH(F$2,'Tillförd energi'!$B$1:$AQ$1,0),FALSE)</f>
        <v>0</v>
      </c>
      <c r="G265" s="63">
        <f>VLOOKUP($B265,'Tillförd energi'!$B$1:$AI$720,MATCH(G$2,'Tillförd energi'!$B$1:$AQ$1,0),FALSE)</f>
        <v>0</v>
      </c>
      <c r="H265" s="63">
        <f>VLOOKUP($B265,'Tillförd energi'!$B$1:$AI$720,MATCH(H$2,'Tillförd energi'!$B$1:$AQ$1,0),FALSE)</f>
        <v>0</v>
      </c>
      <c r="I265" s="63">
        <f>VLOOKUP($B265,'Tillförd energi'!$B$1:$AI$720,MATCH(I$2,'Tillförd energi'!$B$1:$AQ$1,0),FALSE)</f>
        <v>0</v>
      </c>
      <c r="J265" s="63">
        <f>VLOOKUP($B265,'Tillförd energi'!$B$1:$AI$720,MATCH(J$2,'Tillförd energi'!$B$1:$AQ$1,0),FALSE)</f>
        <v>0</v>
      </c>
      <c r="K265" s="63">
        <f>VLOOKUP($B265,'Tillförd energi'!$B$1:$AI$720,MATCH(K$2,'Tillförd energi'!$B$1:$AQ$1,0),FALSE)</f>
        <v>0</v>
      </c>
      <c r="L265" s="63">
        <f>VLOOKUP($B265,'Tillförd energi'!$B$1:$AI$720,MATCH(L$2,'Tillförd energi'!$B$1:$AQ$1,0),FALSE)</f>
        <v>0</v>
      </c>
      <c r="M265" s="63">
        <f>VLOOKUP($B265,'Tillförd energi'!$B$1:$AI$720,MATCH(M$2,'Tillförd energi'!$B$1:$AQ$1,0),FALSE)</f>
        <v>0</v>
      </c>
      <c r="N265" s="63">
        <f>VLOOKUP($B265,'Tillförd energi'!$B$1:$AI$720,MATCH(N$2,'Tillförd energi'!$B$1:$AQ$1,0),FALSE)</f>
        <v>0</v>
      </c>
      <c r="O265" s="63">
        <f>VLOOKUP($B265,'Tillförd energi'!$B$1:$AI$720,MATCH(O$2,'Tillförd energi'!$B$1:$AQ$1,0),FALSE)</f>
        <v>0</v>
      </c>
      <c r="P265" s="63">
        <f>VLOOKUP($B265,'Tillförd energi'!$B$1:$AI$720,MATCH(P$2,'Tillförd energi'!$B$1:$AQ$1,0),FALSE)</f>
        <v>0</v>
      </c>
      <c r="Q265" s="63">
        <f>VLOOKUP($B265,'Tillförd energi'!$B$1:$AI$720,MATCH(Q$2,'Tillförd energi'!$B$1:$AQ$1,0),FALSE)</f>
        <v>0</v>
      </c>
      <c r="R265" s="63">
        <f>VLOOKUP($B265,'Tillförd energi'!$B$1:$AI$720,MATCH(R$2,'Tillförd energi'!$B$1:$AQ$1,0),FALSE)</f>
        <v>2.4359999999999999</v>
      </c>
      <c r="S265" s="63">
        <f>VLOOKUP($B265,'Tillförd energi'!$B$1:$AI$720,MATCH(S$2,'Tillförd energi'!$B$1:$AQ$1,0),FALSE)</f>
        <v>0</v>
      </c>
      <c r="T265" s="63">
        <f>VLOOKUP($B265,'Tillförd energi'!$B$1:$AI$720,MATCH(T$2,'Tillförd energi'!$B$1:$AQ$1,0),FALSE)</f>
        <v>0</v>
      </c>
      <c r="U265" s="63">
        <f>VLOOKUP($B265,'Tillförd energi'!$B$1:$AI$720,MATCH(U$2,'Tillförd energi'!$B$1:$AQ$1,0),FALSE)</f>
        <v>0</v>
      </c>
      <c r="V265" s="63">
        <f>VLOOKUP($B265,'Tillförd energi'!$B$1:$AI$720,MATCH(V$2,'Tillförd energi'!$B$1:$AQ$1,0),FALSE)</f>
        <v>0</v>
      </c>
      <c r="W265" s="63">
        <f>VLOOKUP($B265,'Tillförd energi'!$B$1:$AI$720,MATCH(W$2,'Tillförd energi'!$B$1:$AQ$1,0),FALSE)</f>
        <v>0</v>
      </c>
      <c r="X265" s="63">
        <f>VLOOKUP($B265,'Tillförd energi'!$B$1:$AI$720,MATCH(X$2,'Tillförd energi'!$B$1:$AQ$1,0),FALSE)</f>
        <v>0</v>
      </c>
      <c r="Y265" s="63">
        <f>VLOOKUP($B265,'Tillförd energi'!$B$1:$AI$720,MATCH(Y$2,'Tillförd energi'!$B$1:$AQ$1,0),FALSE)</f>
        <v>0</v>
      </c>
      <c r="Z265" s="63">
        <f>VLOOKUP($B265,'Tillförd energi'!$B$1:$AI$720,MATCH(Z$2,'Tillförd energi'!$B$1:$AQ$1,0),FALSE)</f>
        <v>0</v>
      </c>
      <c r="AA265" s="63">
        <f>VLOOKUP($B265,'Tillförd energi'!$B$1:$AI$720,MATCH(AA$2,'Tillförd energi'!$B$1:$AQ$1,0),FALSE)</f>
        <v>0</v>
      </c>
      <c r="AB265" s="63">
        <f>VLOOKUP($B265,'Tillförd energi'!$B$1:$AI$720,MATCH(AB$2,'Tillförd energi'!$B$1:$AQ$1,0),FALSE)</f>
        <v>0</v>
      </c>
      <c r="AC265" s="63">
        <f>VLOOKUP($B265,'Tillförd energi'!$B$1:$AI$720,MATCH(AC$2,'Tillförd energi'!$B$1:$AQ$1,0),FALSE)</f>
        <v>0</v>
      </c>
      <c r="AD265" s="63">
        <f>VLOOKUP($B265,'Tillförd energi'!$B$1:$AI$720,MATCH(AD$2,'Tillförd energi'!$B$1:$AQ$1,0),FALSE)</f>
        <v>0</v>
      </c>
      <c r="AE265" s="63">
        <f>VLOOKUP($B265,'Tillförd energi'!$B$1:$AI$720,MATCH(AE$2,'Tillförd energi'!$B$1:$AQ$1,0),FALSE)</f>
        <v>0</v>
      </c>
      <c r="AF265" s="63">
        <f>VLOOKUP($B265,'Tillförd energi'!$B$1:$AI$720,MATCH(AF$2,'Tillförd energi'!$B$1:$AQ$1,0),FALSE)</f>
        <v>2.2700000000000001E-2</v>
      </c>
      <c r="AG265" s="63">
        <f>IFERROR(VLOOKUP(B265,Miljö!$B$1:$AC$550,MATCH("Köpt mängd produktionsspecifik fjärrvärme:",Miljö!$B$1:$AC$1,0),FALSE)/1,0)</f>
        <v>0</v>
      </c>
      <c r="AI265" s="63">
        <f t="shared" si="24"/>
        <v>2.4914999999999998</v>
      </c>
      <c r="AJ265" s="63">
        <f>IF(ISERROR(1/VLOOKUP($B265,Leveranser!$B$1:$S$500,MATCH("såld värme (gwh)",Leveranser!$B$1:$S$1,0),FALSE)),"",VLOOKUP($B265,Leveranser!$B$1:$S$500,MATCH("såld värme (gwh)",Leveranser!$B$1:$S$1,0),FALSE))</f>
        <v>1.988</v>
      </c>
      <c r="AM265" s="63" t="str">
        <f>IF(B265&lt;&gt;"",IF(VLOOKUP($B265,Totalt!$B$1:$AQ$554,MATCH("Kvalitetsgranskad:",Totalt!$B$1:$AQ$1,0),FALSE)="ja",VLOOKUP($B265,Miljö!$B$1:$AG$479,MATCH(AM$2,Miljö!$B$1:$AK$1,0),FALSE),""),"")</f>
        <v>Ja</v>
      </c>
      <c r="AN265" s="63" t="str">
        <f>IF(AM265="ja",VLOOKUP($B265,Miljö!$B$1:$J$479,MATCH("Typ av ursprungsspecificerad el   (Om inget värde anges används Nordisk residualmix, se inforuta) ()",Miljö!$B$1:$J$1,0),FALSE),IF(AM265="nej","Nordisk residualel",""))</f>
        <v>'vattenproducerad el'</v>
      </c>
      <c r="AO265" s="63">
        <f>IF(AM265="","",VLOOKUP($B265,Miljö!$B$1:$J$479,MATCH("Fossilandel för ursprungspecificerad el ()",Miljö!$B$1:$J$1,0),FALSE))</f>
        <v>0</v>
      </c>
      <c r="AQ265" s="63">
        <f t="shared" si="25"/>
        <v>1</v>
      </c>
      <c r="AS265" s="63" t="str">
        <f t="shared" si="26"/>
        <v>Nej</v>
      </c>
      <c r="AT265" s="63" t="str">
        <f>IF(AS265="ja",VLOOKUP($B265,Miljö!$B$1:$P$500,MATCH("Fossil andel i procent (%)",Miljö!$B$1:$P$1,0),FALSE)/100,"")</f>
        <v/>
      </c>
      <c r="AV265" s="63" t="str">
        <f t="shared" si="27"/>
        <v>Nej</v>
      </c>
      <c r="AW265" s="63" t="str">
        <f>IF(AV265="ja",VLOOKUP($B265,'Egen hetvattenprod'!$B$1:$AO$500,MATCH("Värmekälla till värmepumpar ()",'Egen hetvattenprod'!$B$1:$AO$1,0),FALSE),"")</f>
        <v/>
      </c>
      <c r="AY265" s="63" t="str">
        <f t="shared" si="28"/>
        <v>Nej</v>
      </c>
      <c r="AZ265" s="77" t="str">
        <f>IF($AY265="ja",(VLOOKUP($B265,'Egen hetvattenprod'!$B$1:$BX$550,MATCH(AZ$2,'Egen hetvattenprod'!$B$1:$BX$1,0),FALSE)+VLOOKUP($B265,Kraftvärmeprod!$B$1:$BX$550,MATCH(AZ$2,Kraftvärmeprod!$B$1:$BX$1,0),FALSE))/$AC265,"")</f>
        <v/>
      </c>
      <c r="BA265" s="77" t="str">
        <f>IF($AY265="ja",(VLOOKUP($B265,'Egen hetvattenprod'!$B$1:$BX$550,MATCH(BA$2,'Egen hetvattenprod'!$B$1:$BX$1,0),FALSE)+VLOOKUP($B265,Kraftvärmeprod!$B$1:$BX$550,MATCH(BA$2,Kraftvärmeprod!$B$1:$BX$1,0),FALSE))/$AC265,"")</f>
        <v/>
      </c>
      <c r="BB265" s="77" t="str">
        <f>IF($AY265="ja",(VLOOKUP($B265,'Egen hetvattenprod'!$B$1:$BX$550,MATCH(BB$2,'Egen hetvattenprod'!$B$1:$BX$1,0),FALSE)+VLOOKUP($B265,Kraftvärmeprod!$B$1:$BX$550,MATCH(BB$2,Kraftvärmeprod!$B$1:$BX$1,0),FALSE))/$AC265,"")</f>
        <v/>
      </c>
      <c r="BC265" s="77" t="str">
        <f>IF($AY265="ja",(VLOOKUP($B265,'Egen hetvattenprod'!$B$1:$BX$550,MATCH(BC$2,'Egen hetvattenprod'!$B$1:$BX$1,0),FALSE)+VLOOKUP($B265,Kraftvärmeprod!$B$1:$BX$550,MATCH(BC$2,Kraftvärmeprod!$B$1:$BX$1,0),FALSE))/$AC265,"")</f>
        <v/>
      </c>
      <c r="BD265" s="77" t="str">
        <f>IF($AY265="ja",(VLOOKUP($B265,'Egen hetvattenprod'!$B$1:$BX$550,MATCH(BD$2,'Egen hetvattenprod'!$B$1:$BX$1,0),FALSE)+VLOOKUP($B265,Kraftvärmeprod!$B$1:$BX$550,MATCH(BD$2,Kraftvärmeprod!$B$1:$BX$1,0),FALSE))/$AC265,"")</f>
        <v/>
      </c>
      <c r="BF265" s="63" t="str">
        <f t="shared" si="29"/>
        <v>Nej</v>
      </c>
      <c r="BG265" s="63" t="str">
        <f>IF($BF265="ja",VLOOKUP($B265,'Egen hetvattenprod'!$B$1:$BX$550,MATCH("Andelen klimatgaser med fossilt ursprung för avfall ()",'Egen hetvattenprod'!$B$1:$BX$1,0),FALSE),"")</f>
        <v/>
      </c>
      <c r="BH265" s="63" t="str">
        <f>IF($BF265="ja",VLOOKUP($B265,Kraftvärmeprod!$B$1:$BX$550,MATCH("Andelen klimatgaser med fossilt ursprung för avfall ()",Kraftvärmeprod!$B$1:$BX$1,0),FALSE),"")</f>
        <v/>
      </c>
      <c r="BI265" s="63" t="str">
        <f>IF($BF265="ja",VLOOKUP($B265,'Egen hetvattenprod'!$B$1:$BX$550,MATCH("Avfall (GWh)",'Egen hetvattenprod'!$B$1:$BX$1,0),FALSE),"")</f>
        <v/>
      </c>
      <c r="BJ265" s="63" t="str">
        <f>IF($BF265="ja",VLOOKUP($B265,'Slutlig allokering kvv'!$B$1:$BX$550,MATCH("Avfall (GWh)",'Slutlig allokering kvv'!$B$1:$BX$1,0),FALSE),"")</f>
        <v/>
      </c>
      <c r="BK265" s="63" t="str">
        <f>IF($BF265="ja",VLOOKUP($B265,'Köpt hetvatten'!$B$1:$BX$550,MATCH("Avfall i köpt hetvatten",'Köpt hetvatten'!$B$1:$BX$1,0),FALSE),"")</f>
        <v/>
      </c>
      <c r="BL265" s="63" t="str">
        <f>IF($BF265="ja",VLOOKUP($B265,'Egen hetvattenprod'!$B$1:$BX$550,MATCH("Värde enligt ovan. (%)",'Egen hetvattenprod'!$B$1:$BX$1,0),FALSE),"")</f>
        <v/>
      </c>
      <c r="BM265" s="63" t="str">
        <f>IF($BF265="ja",VLOOKUP($B265,Kraftvärmeprod!$B$1:$BX$550,MATCH("Värde enligt ovan. (%)",Kraftvärmeprod!$B$1:$BX$1,0),FALSE),"")</f>
        <v/>
      </c>
    </row>
    <row r="266" spans="1:65" x14ac:dyDescent="0.45">
      <c r="A266" s="63" t="s">
        <v>333</v>
      </c>
      <c r="B266" s="63" t="s">
        <v>334</v>
      </c>
      <c r="C266" s="63">
        <f>VLOOKUP($B266,'Tillförd energi'!$B$1:$AI$720,MATCH(C$2,'Tillförd energi'!$B$1:$AQ$1,0),FALSE)</f>
        <v>0</v>
      </c>
      <c r="D266" s="63">
        <f>VLOOKUP($B266,'Tillförd energi'!$B$1:$AI$720,MATCH(D$2,'Tillförd energi'!$B$1:$AQ$1,0),FALSE)</f>
        <v>0.17100000000000001</v>
      </c>
      <c r="E266" s="63">
        <f>VLOOKUP($B266,'Tillförd energi'!$B$1:$AI$720,MATCH(E$2,'Tillförd energi'!$B$1:$AQ$1,0),FALSE)</f>
        <v>0</v>
      </c>
      <c r="F266" s="63">
        <f>VLOOKUP($B266,'Tillförd energi'!$B$1:$AI$720,MATCH(F$2,'Tillförd energi'!$B$1:$AQ$1,0),FALSE)</f>
        <v>0</v>
      </c>
      <c r="G266" s="63">
        <f>VLOOKUP($B266,'Tillförd energi'!$B$1:$AI$720,MATCH(G$2,'Tillförd energi'!$B$1:$AQ$1,0),FALSE)</f>
        <v>0</v>
      </c>
      <c r="H266" s="63">
        <f>VLOOKUP($B266,'Tillförd energi'!$B$1:$AI$720,MATCH(H$2,'Tillförd energi'!$B$1:$AQ$1,0),FALSE)</f>
        <v>0</v>
      </c>
      <c r="I266" s="63">
        <f>VLOOKUP($B266,'Tillförd energi'!$B$1:$AI$720,MATCH(I$2,'Tillförd energi'!$B$1:$AQ$1,0),FALSE)</f>
        <v>0</v>
      </c>
      <c r="J266" s="63">
        <f>VLOOKUP($B266,'Tillförd energi'!$B$1:$AI$720,MATCH(J$2,'Tillförd energi'!$B$1:$AQ$1,0),FALSE)</f>
        <v>0</v>
      </c>
      <c r="K266" s="63">
        <f>VLOOKUP($B266,'Tillförd energi'!$B$1:$AI$720,MATCH(K$2,'Tillförd energi'!$B$1:$AQ$1,0),FALSE)</f>
        <v>0</v>
      </c>
      <c r="L266" s="63">
        <f>VLOOKUP($B266,'Tillförd energi'!$B$1:$AI$720,MATCH(L$2,'Tillförd energi'!$B$1:$AQ$1,0),FALSE)</f>
        <v>0</v>
      </c>
      <c r="M266" s="63">
        <f>VLOOKUP($B266,'Tillförd energi'!$B$1:$AI$720,MATCH(M$2,'Tillförd energi'!$B$1:$AQ$1,0),FALSE)</f>
        <v>0</v>
      </c>
      <c r="N266" s="63">
        <f>VLOOKUP($B266,'Tillförd energi'!$B$1:$AI$720,MATCH(N$2,'Tillförd energi'!$B$1:$AQ$1,0),FALSE)</f>
        <v>0</v>
      </c>
      <c r="O266" s="63">
        <f>VLOOKUP($B266,'Tillförd energi'!$B$1:$AI$720,MATCH(O$2,'Tillförd energi'!$B$1:$AQ$1,0),FALSE)</f>
        <v>0</v>
      </c>
      <c r="P266" s="63">
        <f>VLOOKUP($B266,'Tillförd energi'!$B$1:$AI$720,MATCH(P$2,'Tillförd energi'!$B$1:$AQ$1,0),FALSE)</f>
        <v>0</v>
      </c>
      <c r="Q266" s="63">
        <f>VLOOKUP($B266,'Tillförd energi'!$B$1:$AI$720,MATCH(Q$2,'Tillförd energi'!$B$1:$AQ$1,0),FALSE)</f>
        <v>0</v>
      </c>
      <c r="R266" s="63">
        <f>VLOOKUP($B266,'Tillförd energi'!$B$1:$AI$720,MATCH(R$2,'Tillförd energi'!$B$1:$AQ$1,0),FALSE)</f>
        <v>18.629000000000001</v>
      </c>
      <c r="S266" s="63">
        <f>VLOOKUP($B266,'Tillförd energi'!$B$1:$AI$720,MATCH(S$2,'Tillförd energi'!$B$1:$AQ$1,0),FALSE)</f>
        <v>0</v>
      </c>
      <c r="T266" s="63">
        <f>VLOOKUP($B266,'Tillförd energi'!$B$1:$AI$720,MATCH(T$2,'Tillförd energi'!$B$1:$AQ$1,0),FALSE)</f>
        <v>0</v>
      </c>
      <c r="U266" s="63">
        <f>VLOOKUP($B266,'Tillförd energi'!$B$1:$AI$720,MATCH(U$2,'Tillförd energi'!$B$1:$AQ$1,0),FALSE)</f>
        <v>0</v>
      </c>
      <c r="V266" s="63">
        <f>VLOOKUP($B266,'Tillförd energi'!$B$1:$AI$720,MATCH(V$2,'Tillförd energi'!$B$1:$AQ$1,0),FALSE)</f>
        <v>0</v>
      </c>
      <c r="W266" s="63">
        <f>VLOOKUP($B266,'Tillförd energi'!$B$1:$AI$720,MATCH(W$2,'Tillförd energi'!$B$1:$AQ$1,0),FALSE)</f>
        <v>0</v>
      </c>
      <c r="X266" s="63">
        <f>VLOOKUP($B266,'Tillförd energi'!$B$1:$AI$720,MATCH(X$2,'Tillförd energi'!$B$1:$AQ$1,0),FALSE)</f>
        <v>0</v>
      </c>
      <c r="Y266" s="63">
        <f>VLOOKUP($B266,'Tillförd energi'!$B$1:$AI$720,MATCH(Y$2,'Tillförd energi'!$B$1:$AQ$1,0),FALSE)</f>
        <v>0</v>
      </c>
      <c r="Z266" s="63">
        <f>VLOOKUP($B266,'Tillförd energi'!$B$1:$AI$720,MATCH(Z$2,'Tillförd energi'!$B$1:$AQ$1,0),FALSE)</f>
        <v>0</v>
      </c>
      <c r="AA266" s="63">
        <f>VLOOKUP($B266,'Tillförd energi'!$B$1:$AI$720,MATCH(AA$2,'Tillförd energi'!$B$1:$AQ$1,0),FALSE)</f>
        <v>0</v>
      </c>
      <c r="AB266" s="63">
        <f>VLOOKUP($B266,'Tillförd energi'!$B$1:$AI$720,MATCH(AB$2,'Tillförd energi'!$B$1:$AQ$1,0),FALSE)</f>
        <v>0</v>
      </c>
      <c r="AC266" s="63">
        <f>VLOOKUP($B266,'Tillförd energi'!$B$1:$AI$720,MATCH(AC$2,'Tillförd energi'!$B$1:$AQ$1,0),FALSE)</f>
        <v>0</v>
      </c>
      <c r="AD266" s="63">
        <f>VLOOKUP($B266,'Tillförd energi'!$B$1:$AI$720,MATCH(AD$2,'Tillförd energi'!$B$1:$AQ$1,0),FALSE)</f>
        <v>24.907</v>
      </c>
      <c r="AE266" s="63">
        <f>VLOOKUP($B266,'Tillförd energi'!$B$1:$AI$720,MATCH(AE$2,'Tillförd energi'!$B$1:$AQ$1,0),FALSE)</f>
        <v>0</v>
      </c>
      <c r="AF266" s="63">
        <f>VLOOKUP($B266,'Tillförd energi'!$B$1:$AI$720,MATCH(AF$2,'Tillförd energi'!$B$1:$AQ$1,0),FALSE)</f>
        <v>0.9</v>
      </c>
      <c r="AG266" s="63">
        <f>IFERROR(VLOOKUP(B266,Miljö!$B$1:$AC$550,MATCH("Köpt mängd produktionsspecifik fjärrvärme:",Miljö!$B$1:$AC$1,0),FALSE)/1,0)</f>
        <v>0</v>
      </c>
      <c r="AI266" s="63">
        <f t="shared" si="24"/>
        <v>44.606999999999999</v>
      </c>
      <c r="AJ266" s="63">
        <f>IF(ISERROR(1/VLOOKUP($B266,Leveranser!$B$1:$S$500,MATCH("såld värme (gwh)",Leveranser!$B$1:$S$1,0),FALSE)),"",VLOOKUP($B266,Leveranser!$B$1:$S$500,MATCH("såld värme (gwh)",Leveranser!$B$1:$S$1,0),FALSE))</f>
        <v>42.633000000000003</v>
      </c>
      <c r="AM266" s="63" t="str">
        <f>IF(B266&lt;&gt;"",IF(VLOOKUP($B266,Totalt!$B$1:$AQ$554,MATCH("Kvalitetsgranskad:",Totalt!$B$1:$AQ$1,0),FALSE)="ja",VLOOKUP($B266,Miljö!$B$1:$AG$479,MATCH(AM$2,Miljö!$B$1:$AK$1,0),FALSE),""),"")</f>
        <v>Ja</v>
      </c>
      <c r="AN266" s="63" t="str">
        <f>IF(AM266="ja",VLOOKUP($B266,Miljö!$B$1:$J$479,MATCH("Typ av ursprungsspecificerad el   (Om inget värde anges används Nordisk residualmix, se inforuta) ()",Miljö!$B$1:$J$1,0),FALSE),IF(AM266="nej","Nordisk residualel",""))</f>
        <v>-</v>
      </c>
      <c r="AO266" s="63">
        <f>IF(AM266="","",VLOOKUP($B266,Miljö!$B$1:$J$479,MATCH("Fossilandel för ursprungspecificerad el ()",Miljö!$B$1:$J$1,0),FALSE))</f>
        <v>0.35</v>
      </c>
      <c r="AQ266" s="63">
        <f t="shared" si="25"/>
        <v>0.65</v>
      </c>
      <c r="AS266" s="63" t="str">
        <f t="shared" si="26"/>
        <v>Nej</v>
      </c>
      <c r="AT266" s="63" t="str">
        <f>IF(AS266="ja",VLOOKUP($B266,Miljö!$B$1:$P$500,MATCH("Fossil andel i procent (%)",Miljö!$B$1:$P$1,0),FALSE)/100,"")</f>
        <v/>
      </c>
      <c r="AV266" s="63" t="str">
        <f t="shared" si="27"/>
        <v>Nej</v>
      </c>
      <c r="AW266" s="63" t="str">
        <f>IF(AV266="ja",VLOOKUP($B266,'Egen hetvattenprod'!$B$1:$AO$500,MATCH("Värmekälla till värmepumpar ()",'Egen hetvattenprod'!$B$1:$AO$1,0),FALSE),"")</f>
        <v/>
      </c>
      <c r="AY266" s="63" t="str">
        <f t="shared" si="28"/>
        <v>Nej</v>
      </c>
      <c r="AZ266" s="77" t="str">
        <f>IF($AY266="ja",(VLOOKUP($B266,'Egen hetvattenprod'!$B$1:$BX$550,MATCH(AZ$2,'Egen hetvattenprod'!$B$1:$BX$1,0),FALSE)+VLOOKUP($B266,Kraftvärmeprod!$B$1:$BX$550,MATCH(AZ$2,Kraftvärmeprod!$B$1:$BX$1,0),FALSE))/$AC266,"")</f>
        <v/>
      </c>
      <c r="BA266" s="77" t="str">
        <f>IF($AY266="ja",(VLOOKUP($B266,'Egen hetvattenprod'!$B$1:$BX$550,MATCH(BA$2,'Egen hetvattenprod'!$B$1:$BX$1,0),FALSE)+VLOOKUP($B266,Kraftvärmeprod!$B$1:$BX$550,MATCH(BA$2,Kraftvärmeprod!$B$1:$BX$1,0),FALSE))/$AC266,"")</f>
        <v/>
      </c>
      <c r="BB266" s="77" t="str">
        <f>IF($AY266="ja",(VLOOKUP($B266,'Egen hetvattenprod'!$B$1:$BX$550,MATCH(BB$2,'Egen hetvattenprod'!$B$1:$BX$1,0),FALSE)+VLOOKUP($B266,Kraftvärmeprod!$B$1:$BX$550,MATCH(BB$2,Kraftvärmeprod!$B$1:$BX$1,0),FALSE))/$AC266,"")</f>
        <v/>
      </c>
      <c r="BC266" s="77" t="str">
        <f>IF($AY266="ja",(VLOOKUP($B266,'Egen hetvattenprod'!$B$1:$BX$550,MATCH(BC$2,'Egen hetvattenprod'!$B$1:$BX$1,0),FALSE)+VLOOKUP($B266,Kraftvärmeprod!$B$1:$BX$550,MATCH(BC$2,Kraftvärmeprod!$B$1:$BX$1,0),FALSE))/$AC266,"")</f>
        <v/>
      </c>
      <c r="BD266" s="77" t="str">
        <f>IF($AY266="ja",(VLOOKUP($B266,'Egen hetvattenprod'!$B$1:$BX$550,MATCH(BD$2,'Egen hetvattenprod'!$B$1:$BX$1,0),FALSE)+VLOOKUP($B266,Kraftvärmeprod!$B$1:$BX$550,MATCH(BD$2,Kraftvärmeprod!$B$1:$BX$1,0),FALSE))/$AC266,"")</f>
        <v/>
      </c>
      <c r="BF266" s="63" t="str">
        <f t="shared" si="29"/>
        <v>Nej</v>
      </c>
      <c r="BG266" s="63" t="str">
        <f>IF($BF266="ja",VLOOKUP($B266,'Egen hetvattenprod'!$B$1:$BX$550,MATCH("Andelen klimatgaser med fossilt ursprung för avfall ()",'Egen hetvattenprod'!$B$1:$BX$1,0),FALSE),"")</f>
        <v/>
      </c>
      <c r="BH266" s="63" t="str">
        <f>IF($BF266="ja",VLOOKUP($B266,Kraftvärmeprod!$B$1:$BX$550,MATCH("Andelen klimatgaser med fossilt ursprung för avfall ()",Kraftvärmeprod!$B$1:$BX$1,0),FALSE),"")</f>
        <v/>
      </c>
      <c r="BI266" s="63" t="str">
        <f>IF($BF266="ja",VLOOKUP($B266,'Egen hetvattenprod'!$B$1:$BX$550,MATCH("Avfall (GWh)",'Egen hetvattenprod'!$B$1:$BX$1,0),FALSE),"")</f>
        <v/>
      </c>
      <c r="BJ266" s="63" t="str">
        <f>IF($BF266="ja",VLOOKUP($B266,'Slutlig allokering kvv'!$B$1:$BX$550,MATCH("Avfall (GWh)",'Slutlig allokering kvv'!$B$1:$BX$1,0),FALSE),"")</f>
        <v/>
      </c>
      <c r="BK266" s="63" t="str">
        <f>IF($BF266="ja",VLOOKUP($B266,'Köpt hetvatten'!$B$1:$BX$550,MATCH("Avfall i köpt hetvatten",'Köpt hetvatten'!$B$1:$BX$1,0),FALSE),"")</f>
        <v/>
      </c>
      <c r="BL266" s="63" t="str">
        <f>IF($BF266="ja",VLOOKUP($B266,'Egen hetvattenprod'!$B$1:$BX$550,MATCH("Värde enligt ovan. (%)",'Egen hetvattenprod'!$B$1:$BX$1,0),FALSE),"")</f>
        <v/>
      </c>
      <c r="BM266" s="63" t="str">
        <f>IF($BF266="ja",VLOOKUP($B266,Kraftvärmeprod!$B$1:$BX$550,MATCH("Värde enligt ovan. (%)",Kraftvärmeprod!$B$1:$BX$1,0),FALSE),"")</f>
        <v/>
      </c>
    </row>
    <row r="267" spans="1:65" x14ac:dyDescent="0.45">
      <c r="A267" s="63" t="s">
        <v>333</v>
      </c>
      <c r="B267" s="63" t="s">
        <v>332</v>
      </c>
      <c r="C267" s="63">
        <f>VLOOKUP($B267,'Tillförd energi'!$B$1:$AI$720,MATCH(C$2,'Tillförd energi'!$B$1:$AQ$1,0),FALSE)</f>
        <v>0</v>
      </c>
      <c r="D267" s="63">
        <f>VLOOKUP($B267,'Tillförd energi'!$B$1:$AI$720,MATCH(D$2,'Tillförd energi'!$B$1:$AQ$1,0),FALSE)</f>
        <v>5.7000000000000002E-2</v>
      </c>
      <c r="E267" s="63">
        <f>VLOOKUP($B267,'Tillförd energi'!$B$1:$AI$720,MATCH(E$2,'Tillförd energi'!$B$1:$AQ$1,0),FALSE)</f>
        <v>0</v>
      </c>
      <c r="F267" s="63">
        <f>VLOOKUP($B267,'Tillförd energi'!$B$1:$AI$720,MATCH(F$2,'Tillförd energi'!$B$1:$AQ$1,0),FALSE)</f>
        <v>0</v>
      </c>
      <c r="G267" s="63">
        <f>VLOOKUP($B267,'Tillförd energi'!$B$1:$AI$720,MATCH(G$2,'Tillförd energi'!$B$1:$AQ$1,0),FALSE)</f>
        <v>0</v>
      </c>
      <c r="H267" s="63">
        <f>VLOOKUP($B267,'Tillförd energi'!$B$1:$AI$720,MATCH(H$2,'Tillförd energi'!$B$1:$AQ$1,0),FALSE)</f>
        <v>0</v>
      </c>
      <c r="I267" s="63">
        <f>VLOOKUP($B267,'Tillförd energi'!$B$1:$AI$720,MATCH(I$2,'Tillförd energi'!$B$1:$AQ$1,0),FALSE)</f>
        <v>0</v>
      </c>
      <c r="J267" s="63">
        <f>VLOOKUP($B267,'Tillförd energi'!$B$1:$AI$720,MATCH(J$2,'Tillförd energi'!$B$1:$AQ$1,0),FALSE)</f>
        <v>0</v>
      </c>
      <c r="K267" s="63">
        <f>VLOOKUP($B267,'Tillförd energi'!$B$1:$AI$720,MATCH(K$2,'Tillförd energi'!$B$1:$AQ$1,0),FALSE)</f>
        <v>0</v>
      </c>
      <c r="L267" s="63">
        <f>VLOOKUP($B267,'Tillförd energi'!$B$1:$AI$720,MATCH(L$2,'Tillförd energi'!$B$1:$AQ$1,0),FALSE)</f>
        <v>0</v>
      </c>
      <c r="M267" s="63">
        <f>VLOOKUP($B267,'Tillförd energi'!$B$1:$AI$720,MATCH(M$2,'Tillförd energi'!$B$1:$AQ$1,0),FALSE)</f>
        <v>0</v>
      </c>
      <c r="N267" s="63">
        <f>VLOOKUP($B267,'Tillförd energi'!$B$1:$AI$720,MATCH(N$2,'Tillförd energi'!$B$1:$AQ$1,0),FALSE)</f>
        <v>0</v>
      </c>
      <c r="O267" s="63">
        <f>VLOOKUP($B267,'Tillförd energi'!$B$1:$AI$720,MATCH(O$2,'Tillförd energi'!$B$1:$AQ$1,0),FALSE)</f>
        <v>0</v>
      </c>
      <c r="P267" s="63">
        <f>VLOOKUP($B267,'Tillförd energi'!$B$1:$AI$720,MATCH(P$2,'Tillförd energi'!$B$1:$AQ$1,0),FALSE)</f>
        <v>0</v>
      </c>
      <c r="Q267" s="63">
        <f>VLOOKUP($B267,'Tillförd energi'!$B$1:$AI$720,MATCH(Q$2,'Tillförd energi'!$B$1:$AQ$1,0),FALSE)</f>
        <v>5.3882399999999997</v>
      </c>
      <c r="R267" s="63">
        <f>VLOOKUP($B267,'Tillförd energi'!$B$1:$AI$720,MATCH(R$2,'Tillförd energi'!$B$1:$AQ$1,0),FALSE)</f>
        <v>0</v>
      </c>
      <c r="S267" s="63">
        <f>VLOOKUP($B267,'Tillförd energi'!$B$1:$AI$720,MATCH(S$2,'Tillförd energi'!$B$1:$AQ$1,0),FALSE)</f>
        <v>0</v>
      </c>
      <c r="T267" s="63">
        <f>VLOOKUP($B267,'Tillförd energi'!$B$1:$AI$720,MATCH(T$2,'Tillförd energi'!$B$1:$AQ$1,0),FALSE)</f>
        <v>0</v>
      </c>
      <c r="U267" s="63">
        <f>VLOOKUP($B267,'Tillförd energi'!$B$1:$AI$720,MATCH(U$2,'Tillförd energi'!$B$1:$AQ$1,0),FALSE)</f>
        <v>0</v>
      </c>
      <c r="V267" s="63">
        <f>VLOOKUP($B267,'Tillförd energi'!$B$1:$AI$720,MATCH(V$2,'Tillförd energi'!$B$1:$AQ$1,0),FALSE)</f>
        <v>0</v>
      </c>
      <c r="W267" s="63">
        <f>VLOOKUP($B267,'Tillförd energi'!$B$1:$AI$720,MATCH(W$2,'Tillförd energi'!$B$1:$AQ$1,0),FALSE)</f>
        <v>0</v>
      </c>
      <c r="X267" s="63">
        <f>VLOOKUP($B267,'Tillförd energi'!$B$1:$AI$720,MATCH(X$2,'Tillförd energi'!$B$1:$AQ$1,0),FALSE)</f>
        <v>0</v>
      </c>
      <c r="Y267" s="63">
        <f>VLOOKUP($B267,'Tillförd energi'!$B$1:$AI$720,MATCH(Y$2,'Tillförd energi'!$B$1:$AQ$1,0),FALSE)</f>
        <v>0</v>
      </c>
      <c r="Z267" s="63">
        <f>VLOOKUP($B267,'Tillförd energi'!$B$1:$AI$720,MATCH(Z$2,'Tillförd energi'!$B$1:$AQ$1,0),FALSE)</f>
        <v>0</v>
      </c>
      <c r="AA267" s="63">
        <f>VLOOKUP($B267,'Tillförd energi'!$B$1:$AI$720,MATCH(AA$2,'Tillförd energi'!$B$1:$AQ$1,0),FALSE)</f>
        <v>0</v>
      </c>
      <c r="AB267" s="63">
        <f>VLOOKUP($B267,'Tillförd energi'!$B$1:$AI$720,MATCH(AB$2,'Tillförd energi'!$B$1:$AQ$1,0),FALSE)</f>
        <v>0</v>
      </c>
      <c r="AC267" s="63">
        <f>VLOOKUP($B267,'Tillförd energi'!$B$1:$AI$720,MATCH(AC$2,'Tillförd energi'!$B$1:$AQ$1,0),FALSE)</f>
        <v>0</v>
      </c>
      <c r="AD267" s="63">
        <f>VLOOKUP($B267,'Tillförd energi'!$B$1:$AI$720,MATCH(AD$2,'Tillförd energi'!$B$1:$AQ$1,0),FALSE)</f>
        <v>0</v>
      </c>
      <c r="AE267" s="63">
        <f>VLOOKUP($B267,'Tillförd energi'!$B$1:$AI$720,MATCH(AE$2,'Tillförd energi'!$B$1:$AQ$1,0),FALSE)</f>
        <v>0</v>
      </c>
      <c r="AF267" s="63">
        <f>VLOOKUP($B267,'Tillförd energi'!$B$1:$AI$720,MATCH(AF$2,'Tillförd energi'!$B$1:$AQ$1,0),FALSE)</f>
        <v>0.1</v>
      </c>
      <c r="AG267" s="63">
        <f>IFERROR(VLOOKUP(B267,Miljö!$B$1:$AC$550,MATCH("Köpt mängd produktionsspecifik fjärrvärme:",Miljö!$B$1:$AC$1,0),FALSE)/1,0)</f>
        <v>0</v>
      </c>
      <c r="AI267" s="63">
        <f t="shared" si="24"/>
        <v>5.5452399999999997</v>
      </c>
      <c r="AJ267" s="63">
        <f>IF(ISERROR(1/VLOOKUP($B267,Leveranser!$B$1:$S$500,MATCH("såld värme (gwh)",Leveranser!$B$1:$S$1,0),FALSE)),"",VLOOKUP($B267,Leveranser!$B$1:$S$500,MATCH("såld värme (gwh)",Leveranser!$B$1:$S$1,0),FALSE))</f>
        <v>4.0339999999999998</v>
      </c>
      <c r="AM267" s="63" t="str">
        <f>IF(B267&lt;&gt;"",IF(VLOOKUP($B267,Totalt!$B$1:$AQ$554,MATCH("Kvalitetsgranskad:",Totalt!$B$1:$AQ$1,0),FALSE)="ja",VLOOKUP($B267,Miljö!$B$1:$AG$479,MATCH(AM$2,Miljö!$B$1:$AK$1,0),FALSE),""),"")</f>
        <v>Ja</v>
      </c>
      <c r="AN267" s="63" t="str">
        <f>IF(AM267="ja",VLOOKUP($B267,Miljö!$B$1:$J$479,MATCH("Typ av ursprungsspecificerad el   (Om inget värde anges används Nordisk residualmix, se inforuta) ()",Miljö!$B$1:$J$1,0),FALSE),IF(AM267="nej","Nordisk residualel",""))</f>
        <v>-</v>
      </c>
      <c r="AO267" s="63">
        <f>IF(AM267="","",VLOOKUP($B267,Miljö!$B$1:$J$479,MATCH("Fossilandel för ursprungspecificerad el ()",Miljö!$B$1:$J$1,0),FALSE))</f>
        <v>0.35</v>
      </c>
      <c r="AQ267" s="63">
        <f t="shared" si="25"/>
        <v>0.65</v>
      </c>
      <c r="AS267" s="63" t="str">
        <f t="shared" si="26"/>
        <v>Nej</v>
      </c>
      <c r="AT267" s="63" t="str">
        <f>IF(AS267="ja",VLOOKUP($B267,Miljö!$B$1:$P$500,MATCH("Fossil andel i procent (%)",Miljö!$B$1:$P$1,0),FALSE)/100,"")</f>
        <v/>
      </c>
      <c r="AV267" s="63" t="str">
        <f t="shared" si="27"/>
        <v>Nej</v>
      </c>
      <c r="AW267" s="63" t="str">
        <f>IF(AV267="ja",VLOOKUP($B267,'Egen hetvattenprod'!$B$1:$AO$500,MATCH("Värmekälla till värmepumpar ()",'Egen hetvattenprod'!$B$1:$AO$1,0),FALSE),"")</f>
        <v/>
      </c>
      <c r="AY267" s="63" t="str">
        <f t="shared" si="28"/>
        <v>Nej</v>
      </c>
      <c r="AZ267" s="77" t="str">
        <f>IF($AY267="ja",(VLOOKUP($B267,'Egen hetvattenprod'!$B$1:$BX$550,MATCH(AZ$2,'Egen hetvattenprod'!$B$1:$BX$1,0),FALSE)+VLOOKUP($B267,Kraftvärmeprod!$B$1:$BX$550,MATCH(AZ$2,Kraftvärmeprod!$B$1:$BX$1,0),FALSE))/$AC267,"")</f>
        <v/>
      </c>
      <c r="BA267" s="77" t="str">
        <f>IF($AY267="ja",(VLOOKUP($B267,'Egen hetvattenprod'!$B$1:$BX$550,MATCH(BA$2,'Egen hetvattenprod'!$B$1:$BX$1,0),FALSE)+VLOOKUP($B267,Kraftvärmeprod!$B$1:$BX$550,MATCH(BA$2,Kraftvärmeprod!$B$1:$BX$1,0),FALSE))/$AC267,"")</f>
        <v/>
      </c>
      <c r="BB267" s="77" t="str">
        <f>IF($AY267="ja",(VLOOKUP($B267,'Egen hetvattenprod'!$B$1:$BX$550,MATCH(BB$2,'Egen hetvattenprod'!$B$1:$BX$1,0),FALSE)+VLOOKUP($B267,Kraftvärmeprod!$B$1:$BX$550,MATCH(BB$2,Kraftvärmeprod!$B$1:$BX$1,0),FALSE))/$AC267,"")</f>
        <v/>
      </c>
      <c r="BC267" s="77" t="str">
        <f>IF($AY267="ja",(VLOOKUP($B267,'Egen hetvattenprod'!$B$1:$BX$550,MATCH(BC$2,'Egen hetvattenprod'!$B$1:$BX$1,0),FALSE)+VLOOKUP($B267,Kraftvärmeprod!$B$1:$BX$550,MATCH(BC$2,Kraftvärmeprod!$B$1:$BX$1,0),FALSE))/$AC267,"")</f>
        <v/>
      </c>
      <c r="BD267" s="77" t="str">
        <f>IF($AY267="ja",(VLOOKUP($B267,'Egen hetvattenprod'!$B$1:$BX$550,MATCH(BD$2,'Egen hetvattenprod'!$B$1:$BX$1,0),FALSE)+VLOOKUP($B267,Kraftvärmeprod!$B$1:$BX$550,MATCH(BD$2,Kraftvärmeprod!$B$1:$BX$1,0),FALSE))/$AC267,"")</f>
        <v/>
      </c>
      <c r="BF267" s="63" t="str">
        <f t="shared" si="29"/>
        <v>Nej</v>
      </c>
      <c r="BG267" s="63" t="str">
        <f>IF($BF267="ja",VLOOKUP($B267,'Egen hetvattenprod'!$B$1:$BX$550,MATCH("Andelen klimatgaser med fossilt ursprung för avfall ()",'Egen hetvattenprod'!$B$1:$BX$1,0),FALSE),"")</f>
        <v/>
      </c>
      <c r="BH267" s="63" t="str">
        <f>IF($BF267="ja",VLOOKUP($B267,Kraftvärmeprod!$B$1:$BX$550,MATCH("Andelen klimatgaser med fossilt ursprung för avfall ()",Kraftvärmeprod!$B$1:$BX$1,0),FALSE),"")</f>
        <v/>
      </c>
      <c r="BI267" s="63" t="str">
        <f>IF($BF267="ja",VLOOKUP($B267,'Egen hetvattenprod'!$B$1:$BX$550,MATCH("Avfall (GWh)",'Egen hetvattenprod'!$B$1:$BX$1,0),FALSE),"")</f>
        <v/>
      </c>
      <c r="BJ267" s="63" t="str">
        <f>IF($BF267="ja",VLOOKUP($B267,'Slutlig allokering kvv'!$B$1:$BX$550,MATCH("Avfall (GWh)",'Slutlig allokering kvv'!$B$1:$BX$1,0),FALSE),"")</f>
        <v/>
      </c>
      <c r="BK267" s="63" t="str">
        <f>IF($BF267="ja",VLOOKUP($B267,'Köpt hetvatten'!$B$1:$BX$550,MATCH("Avfall i köpt hetvatten",'Köpt hetvatten'!$B$1:$BX$1,0),FALSE),"")</f>
        <v/>
      </c>
      <c r="BL267" s="63" t="str">
        <f>IF($BF267="ja",VLOOKUP($B267,'Egen hetvattenprod'!$B$1:$BX$550,MATCH("Värde enligt ovan. (%)",'Egen hetvattenprod'!$B$1:$BX$1,0),FALSE),"")</f>
        <v/>
      </c>
      <c r="BM267" s="63" t="str">
        <f>IF($BF267="ja",VLOOKUP($B267,Kraftvärmeprod!$B$1:$BX$550,MATCH("Värde enligt ovan. (%)",Kraftvärmeprod!$B$1:$BX$1,0),FALSE),"")</f>
        <v/>
      </c>
    </row>
    <row r="268" spans="1:65" x14ac:dyDescent="0.45">
      <c r="A268" s="63" t="s">
        <v>331</v>
      </c>
      <c r="B268" s="63" t="s">
        <v>330</v>
      </c>
      <c r="C268" s="63">
        <f>VLOOKUP($B268,'Tillförd energi'!$B$1:$AI$720,MATCH(C$2,'Tillförd energi'!$B$1:$AQ$1,0),FALSE)</f>
        <v>0</v>
      </c>
      <c r="D268" s="63">
        <f>VLOOKUP($B268,'Tillförd energi'!$B$1:$AI$720,MATCH(D$2,'Tillförd energi'!$B$1:$AQ$1,0),FALSE)</f>
        <v>0</v>
      </c>
      <c r="E268" s="63">
        <f>VLOOKUP($B268,'Tillförd energi'!$B$1:$AI$720,MATCH(E$2,'Tillförd energi'!$B$1:$AQ$1,0),FALSE)</f>
        <v>0</v>
      </c>
      <c r="F268" s="63">
        <f>VLOOKUP($B268,'Tillförd energi'!$B$1:$AI$720,MATCH(F$2,'Tillförd energi'!$B$1:$AQ$1,0),FALSE)</f>
        <v>0</v>
      </c>
      <c r="G268" s="63">
        <f>VLOOKUP($B268,'Tillförd energi'!$B$1:$AI$720,MATCH(G$2,'Tillförd energi'!$B$1:$AQ$1,0),FALSE)</f>
        <v>0</v>
      </c>
      <c r="H268" s="63">
        <f>VLOOKUP($B268,'Tillförd energi'!$B$1:$AI$720,MATCH(H$2,'Tillförd energi'!$B$1:$AQ$1,0),FALSE)</f>
        <v>0</v>
      </c>
      <c r="I268" s="63">
        <f>VLOOKUP($B268,'Tillförd energi'!$B$1:$AI$720,MATCH(I$2,'Tillförd energi'!$B$1:$AQ$1,0),FALSE)</f>
        <v>0</v>
      </c>
      <c r="J268" s="63">
        <f>VLOOKUP($B268,'Tillförd energi'!$B$1:$AI$720,MATCH(J$2,'Tillförd energi'!$B$1:$AQ$1,0),FALSE)</f>
        <v>0</v>
      </c>
      <c r="K268" s="63">
        <f>VLOOKUP($B268,'Tillförd energi'!$B$1:$AI$720,MATCH(K$2,'Tillförd energi'!$B$1:$AQ$1,0),FALSE)</f>
        <v>0</v>
      </c>
      <c r="L268" s="63">
        <f>VLOOKUP($B268,'Tillförd energi'!$B$1:$AI$720,MATCH(L$2,'Tillförd energi'!$B$1:$AQ$1,0),FALSE)</f>
        <v>0</v>
      </c>
      <c r="M268" s="63">
        <f>VLOOKUP($B268,'Tillförd energi'!$B$1:$AI$720,MATCH(M$2,'Tillförd energi'!$B$1:$AQ$1,0),FALSE)</f>
        <v>0</v>
      </c>
      <c r="N268" s="63">
        <f>VLOOKUP($B268,'Tillförd energi'!$B$1:$AI$720,MATCH(N$2,'Tillförd energi'!$B$1:$AQ$1,0),FALSE)</f>
        <v>0</v>
      </c>
      <c r="O268" s="63">
        <f>VLOOKUP($B268,'Tillförd energi'!$B$1:$AI$720,MATCH(O$2,'Tillförd energi'!$B$1:$AQ$1,0),FALSE)</f>
        <v>0</v>
      </c>
      <c r="P268" s="63">
        <f>VLOOKUP($B268,'Tillförd energi'!$B$1:$AI$720,MATCH(P$2,'Tillförd energi'!$B$1:$AQ$1,0),FALSE)</f>
        <v>0</v>
      </c>
      <c r="Q268" s="63">
        <f>VLOOKUP($B268,'Tillförd energi'!$B$1:$AI$720,MATCH(Q$2,'Tillförd energi'!$B$1:$AQ$1,0),FALSE)</f>
        <v>0</v>
      </c>
      <c r="R268" s="63">
        <f>VLOOKUP($B268,'Tillförd energi'!$B$1:$AI$720,MATCH(R$2,'Tillförd energi'!$B$1:$AQ$1,0),FALSE)</f>
        <v>0</v>
      </c>
      <c r="S268" s="63">
        <f>VLOOKUP($B268,'Tillförd energi'!$B$1:$AI$720,MATCH(S$2,'Tillförd energi'!$B$1:$AQ$1,0),FALSE)</f>
        <v>0</v>
      </c>
      <c r="T268" s="63">
        <f>VLOOKUP($B268,'Tillförd energi'!$B$1:$AI$720,MATCH(T$2,'Tillförd energi'!$B$1:$AQ$1,0),FALSE)</f>
        <v>0</v>
      </c>
      <c r="U268" s="63">
        <f>VLOOKUP($B268,'Tillförd energi'!$B$1:$AI$720,MATCH(U$2,'Tillförd energi'!$B$1:$AQ$1,0),FALSE)</f>
        <v>0</v>
      </c>
      <c r="V268" s="63">
        <f>VLOOKUP($B268,'Tillförd energi'!$B$1:$AI$720,MATCH(V$2,'Tillförd energi'!$B$1:$AQ$1,0),FALSE)</f>
        <v>0</v>
      </c>
      <c r="W268" s="63">
        <f>VLOOKUP($B268,'Tillförd energi'!$B$1:$AI$720,MATCH(W$2,'Tillförd energi'!$B$1:$AQ$1,0),FALSE)</f>
        <v>0</v>
      </c>
      <c r="X268" s="63">
        <f>VLOOKUP($B268,'Tillförd energi'!$B$1:$AI$720,MATCH(X$2,'Tillförd energi'!$B$1:$AQ$1,0),FALSE)</f>
        <v>0</v>
      </c>
      <c r="Y268" s="63">
        <f>VLOOKUP($B268,'Tillförd energi'!$B$1:$AI$720,MATCH(Y$2,'Tillförd energi'!$B$1:$AQ$1,0),FALSE)</f>
        <v>0</v>
      </c>
      <c r="Z268" s="63">
        <f>VLOOKUP($B268,'Tillförd energi'!$B$1:$AI$720,MATCH(Z$2,'Tillförd energi'!$B$1:$AQ$1,0),FALSE)</f>
        <v>0</v>
      </c>
      <c r="AA268" s="63">
        <f>VLOOKUP($B268,'Tillförd energi'!$B$1:$AI$720,MATCH(AA$2,'Tillförd energi'!$B$1:$AQ$1,0),FALSE)</f>
        <v>0.72199999999999998</v>
      </c>
      <c r="AB268" s="63">
        <f>VLOOKUP($B268,'Tillförd energi'!$B$1:$AI$720,MATCH(AB$2,'Tillförd energi'!$B$1:$AQ$1,0),FALSE)</f>
        <v>1.5780000000000001</v>
      </c>
      <c r="AC268" s="63">
        <f>VLOOKUP($B268,'Tillförd energi'!$B$1:$AI$720,MATCH(AC$2,'Tillförd energi'!$B$1:$AQ$1,0),FALSE)</f>
        <v>0</v>
      </c>
      <c r="AD268" s="63">
        <f>VLOOKUP($B268,'Tillförd energi'!$B$1:$AI$720,MATCH(AD$2,'Tillförd energi'!$B$1:$AQ$1,0),FALSE)</f>
        <v>0</v>
      </c>
      <c r="AE268" s="63">
        <f>VLOOKUP($B268,'Tillförd energi'!$B$1:$AI$720,MATCH(AE$2,'Tillförd energi'!$B$1:$AQ$1,0),FALSE)</f>
        <v>0</v>
      </c>
      <c r="AF268" s="63">
        <f>VLOOKUP($B268,'Tillförd energi'!$B$1:$AI$720,MATCH(AF$2,'Tillförd energi'!$B$1:$AQ$1,0),FALSE)</f>
        <v>0.19</v>
      </c>
      <c r="AG268" s="63">
        <f>IFERROR(VLOOKUP(B268,Miljö!$B$1:$AC$550,MATCH("Köpt mängd produktionsspecifik fjärrvärme:",Miljö!$B$1:$AC$1,0),FALSE)/1,0)</f>
        <v>325.81200000000001</v>
      </c>
      <c r="AI268" s="63">
        <f t="shared" si="24"/>
        <v>328.30200000000002</v>
      </c>
      <c r="AJ268" s="63">
        <f>IF(ISERROR(1/VLOOKUP($B268,Leveranser!$B$1:$S$500,MATCH("såld värme (gwh)",Leveranser!$B$1:$S$1,0),FALSE)),"",VLOOKUP($B268,Leveranser!$B$1:$S$500,MATCH("såld värme (gwh)",Leveranser!$B$1:$S$1,0),FALSE))</f>
        <v>295</v>
      </c>
      <c r="AM268" s="63" t="str">
        <f>IF(B268&lt;&gt;"",IF(VLOOKUP($B268,Totalt!$B$1:$AQ$554,MATCH("Kvalitetsgranskad:",Totalt!$B$1:$AQ$1,0),FALSE)="ja",VLOOKUP($B268,Miljö!$B$1:$AG$479,MATCH(AM$2,Miljö!$B$1:$AK$1,0),FALSE),""),"")</f>
        <v>Ja</v>
      </c>
      <c r="AN268" s="63" t="str">
        <f>IF(AM268="ja",VLOOKUP($B268,Miljö!$B$1:$J$479,MATCH("Typ av ursprungsspecificerad el   (Om inget värde anges används Nordisk residualmix, se inforuta) ()",Miljö!$B$1:$J$1,0),FALSE),IF(AM268="nej","Nordisk residualel",""))</f>
        <v>'Vindkraft'</v>
      </c>
      <c r="AO268" s="63">
        <f>IF(AM268="","",VLOOKUP($B268,Miljö!$B$1:$J$479,MATCH("Fossilandel för ursprungspecificerad el ()",Miljö!$B$1:$J$1,0),FALSE))</f>
        <v>0</v>
      </c>
      <c r="AQ268" s="63">
        <f t="shared" si="25"/>
        <v>1</v>
      </c>
      <c r="AS268" s="63" t="str">
        <f t="shared" si="26"/>
        <v>Ja</v>
      </c>
      <c r="AT268" s="63">
        <f>IF(AS268="ja",VLOOKUP($B268,Miljö!$B$1:$P$500,MATCH("Fossil andel i procent (%)",Miljö!$B$1:$P$1,0),FALSE)/100,"")</f>
        <v>0</v>
      </c>
      <c r="AV268" s="63" t="str">
        <f t="shared" si="27"/>
        <v>Ja</v>
      </c>
      <c r="AW268" s="63" t="str">
        <f>IF(AV268="ja",VLOOKUP($B268,'Egen hetvattenprod'!$B$1:$AO$500,MATCH("Värmekälla till värmepumpar ()",'Egen hetvattenprod'!$B$1:$AO$1,0),FALSE),"")</f>
        <v>ET</v>
      </c>
      <c r="AY268" s="63" t="str">
        <f t="shared" si="28"/>
        <v>Nej</v>
      </c>
      <c r="AZ268" s="77" t="str">
        <f>IF($AY268="ja",(VLOOKUP($B268,'Egen hetvattenprod'!$B$1:$BX$550,MATCH(AZ$2,'Egen hetvattenprod'!$B$1:$BX$1,0),FALSE)+VLOOKUP($B268,Kraftvärmeprod!$B$1:$BX$550,MATCH(AZ$2,Kraftvärmeprod!$B$1:$BX$1,0),FALSE))/$AC268,"")</f>
        <v/>
      </c>
      <c r="BA268" s="77" t="str">
        <f>IF($AY268="ja",(VLOOKUP($B268,'Egen hetvattenprod'!$B$1:$BX$550,MATCH(BA$2,'Egen hetvattenprod'!$B$1:$BX$1,0),FALSE)+VLOOKUP($B268,Kraftvärmeprod!$B$1:$BX$550,MATCH(BA$2,Kraftvärmeprod!$B$1:$BX$1,0),FALSE))/$AC268,"")</f>
        <v/>
      </c>
      <c r="BB268" s="77" t="str">
        <f>IF($AY268="ja",(VLOOKUP($B268,'Egen hetvattenprod'!$B$1:$BX$550,MATCH(BB$2,'Egen hetvattenprod'!$B$1:$BX$1,0),FALSE)+VLOOKUP($B268,Kraftvärmeprod!$B$1:$BX$550,MATCH(BB$2,Kraftvärmeprod!$B$1:$BX$1,0),FALSE))/$AC268,"")</f>
        <v/>
      </c>
      <c r="BC268" s="77" t="str">
        <f>IF($AY268="ja",(VLOOKUP($B268,'Egen hetvattenprod'!$B$1:$BX$550,MATCH(BC$2,'Egen hetvattenprod'!$B$1:$BX$1,0),FALSE)+VLOOKUP($B268,Kraftvärmeprod!$B$1:$BX$550,MATCH(BC$2,Kraftvärmeprod!$B$1:$BX$1,0),FALSE))/$AC268,"")</f>
        <v/>
      </c>
      <c r="BD268" s="77" t="str">
        <f>IF($AY268="ja",(VLOOKUP($B268,'Egen hetvattenprod'!$B$1:$BX$550,MATCH(BD$2,'Egen hetvattenprod'!$B$1:$BX$1,0),FALSE)+VLOOKUP($B268,Kraftvärmeprod!$B$1:$BX$550,MATCH(BD$2,Kraftvärmeprod!$B$1:$BX$1,0),FALSE))/$AC268,"")</f>
        <v/>
      </c>
      <c r="BF268" s="63" t="str">
        <f t="shared" si="29"/>
        <v>Nej</v>
      </c>
      <c r="BG268" s="63" t="str">
        <f>IF($BF268="ja",VLOOKUP($B268,'Egen hetvattenprod'!$B$1:$BX$550,MATCH("Andelen klimatgaser med fossilt ursprung för avfall ()",'Egen hetvattenprod'!$B$1:$BX$1,0),FALSE),"")</f>
        <v/>
      </c>
      <c r="BH268" s="63" t="str">
        <f>IF($BF268="ja",VLOOKUP($B268,Kraftvärmeprod!$B$1:$BX$550,MATCH("Andelen klimatgaser med fossilt ursprung för avfall ()",Kraftvärmeprod!$B$1:$BX$1,0),FALSE),"")</f>
        <v/>
      </c>
      <c r="BI268" s="63" t="str">
        <f>IF($BF268="ja",VLOOKUP($B268,'Egen hetvattenprod'!$B$1:$BX$550,MATCH("Avfall (GWh)",'Egen hetvattenprod'!$B$1:$BX$1,0),FALSE),"")</f>
        <v/>
      </c>
      <c r="BJ268" s="63" t="str">
        <f>IF($BF268="ja",VLOOKUP($B268,'Slutlig allokering kvv'!$B$1:$BX$550,MATCH("Avfall (GWh)",'Slutlig allokering kvv'!$B$1:$BX$1,0),FALSE),"")</f>
        <v/>
      </c>
      <c r="BK268" s="63" t="str">
        <f>IF($BF268="ja",VLOOKUP($B268,'Köpt hetvatten'!$B$1:$BX$550,MATCH("Avfall i köpt hetvatten",'Köpt hetvatten'!$B$1:$BX$1,0),FALSE),"")</f>
        <v/>
      </c>
      <c r="BL268" s="63" t="str">
        <f>IF($BF268="ja",VLOOKUP($B268,'Egen hetvattenprod'!$B$1:$BX$550,MATCH("Värde enligt ovan. (%)",'Egen hetvattenprod'!$B$1:$BX$1,0),FALSE),"")</f>
        <v/>
      </c>
      <c r="BM268" s="63" t="str">
        <f>IF($BF268="ja",VLOOKUP($B268,Kraftvärmeprod!$B$1:$BX$550,MATCH("Värde enligt ovan. (%)",Kraftvärmeprod!$B$1:$BX$1,0),FALSE),"")</f>
        <v/>
      </c>
    </row>
    <row r="269" spans="1:65" x14ac:dyDescent="0.45">
      <c r="A269" s="63" t="s">
        <v>329</v>
      </c>
      <c r="B269" s="63" t="s">
        <v>328</v>
      </c>
      <c r="C269" s="63">
        <f>VLOOKUP($B269,'Tillförd energi'!$B$1:$AI$720,MATCH(C$2,'Tillförd energi'!$B$1:$AQ$1,0),FALSE)</f>
        <v>0</v>
      </c>
      <c r="D269" s="63">
        <f>VLOOKUP($B269,'Tillförd energi'!$B$1:$AI$720,MATCH(D$2,'Tillförd energi'!$B$1:$AQ$1,0),FALSE)</f>
        <v>0</v>
      </c>
      <c r="E269" s="63">
        <f>VLOOKUP($B269,'Tillförd energi'!$B$1:$AI$720,MATCH(E$2,'Tillförd energi'!$B$1:$AQ$1,0),FALSE)</f>
        <v>0</v>
      </c>
      <c r="F269" s="63">
        <f>VLOOKUP($B269,'Tillförd energi'!$B$1:$AI$720,MATCH(F$2,'Tillförd energi'!$B$1:$AQ$1,0),FALSE)</f>
        <v>0</v>
      </c>
      <c r="G269" s="63">
        <f>VLOOKUP($B269,'Tillförd energi'!$B$1:$AI$720,MATCH(G$2,'Tillförd energi'!$B$1:$AQ$1,0),FALSE)</f>
        <v>0</v>
      </c>
      <c r="H269" s="63">
        <f>VLOOKUP($B269,'Tillförd energi'!$B$1:$AI$720,MATCH(H$2,'Tillförd energi'!$B$1:$AQ$1,0),FALSE)</f>
        <v>0</v>
      </c>
      <c r="I269" s="63">
        <f>VLOOKUP($B269,'Tillförd energi'!$B$1:$AI$720,MATCH(I$2,'Tillförd energi'!$B$1:$AQ$1,0),FALSE)</f>
        <v>0</v>
      </c>
      <c r="J269" s="63">
        <f>VLOOKUP($B269,'Tillförd energi'!$B$1:$AI$720,MATCH(J$2,'Tillförd energi'!$B$1:$AQ$1,0),FALSE)</f>
        <v>0</v>
      </c>
      <c r="K269" s="63">
        <f>VLOOKUP($B269,'Tillförd energi'!$B$1:$AI$720,MATCH(K$2,'Tillförd energi'!$B$1:$AQ$1,0),FALSE)</f>
        <v>0</v>
      </c>
      <c r="L269" s="63">
        <f>VLOOKUP($B269,'Tillförd energi'!$B$1:$AI$720,MATCH(L$2,'Tillförd energi'!$B$1:$AQ$1,0),FALSE)</f>
        <v>0</v>
      </c>
      <c r="M269" s="63">
        <f>VLOOKUP($B269,'Tillförd energi'!$B$1:$AI$720,MATCH(M$2,'Tillförd energi'!$B$1:$AQ$1,0),FALSE)</f>
        <v>0</v>
      </c>
      <c r="N269" s="63">
        <f>VLOOKUP($B269,'Tillförd energi'!$B$1:$AI$720,MATCH(N$2,'Tillförd energi'!$B$1:$AQ$1,0),FALSE)</f>
        <v>0</v>
      </c>
      <c r="O269" s="63">
        <f>VLOOKUP($B269,'Tillförd energi'!$B$1:$AI$720,MATCH(O$2,'Tillförd energi'!$B$1:$AQ$1,0),FALSE)</f>
        <v>0</v>
      </c>
      <c r="P269" s="63">
        <f>VLOOKUP($B269,'Tillförd energi'!$B$1:$AI$720,MATCH(P$2,'Tillförd energi'!$B$1:$AQ$1,0),FALSE)</f>
        <v>0</v>
      </c>
      <c r="Q269" s="63">
        <f>VLOOKUP($B269,'Tillförd energi'!$B$1:$AI$720,MATCH(Q$2,'Tillförd energi'!$B$1:$AQ$1,0),FALSE)</f>
        <v>0</v>
      </c>
      <c r="R269" s="63">
        <f>VLOOKUP($B269,'Tillförd energi'!$B$1:$AI$720,MATCH(R$2,'Tillförd energi'!$B$1:$AQ$1,0),FALSE)</f>
        <v>0</v>
      </c>
      <c r="S269" s="63">
        <f>VLOOKUP($B269,'Tillförd energi'!$B$1:$AI$720,MATCH(S$2,'Tillförd energi'!$B$1:$AQ$1,0),FALSE)</f>
        <v>0</v>
      </c>
      <c r="T269" s="63">
        <f>VLOOKUP($B269,'Tillförd energi'!$B$1:$AI$720,MATCH(T$2,'Tillförd energi'!$B$1:$AQ$1,0),FALSE)</f>
        <v>0</v>
      </c>
      <c r="U269" s="63">
        <f>VLOOKUP($B269,'Tillförd energi'!$B$1:$AI$720,MATCH(U$2,'Tillförd energi'!$B$1:$AQ$1,0),FALSE)</f>
        <v>0</v>
      </c>
      <c r="V269" s="63">
        <f>VLOOKUP($B269,'Tillförd energi'!$B$1:$AI$720,MATCH(V$2,'Tillförd energi'!$B$1:$AQ$1,0),FALSE)</f>
        <v>0</v>
      </c>
      <c r="W269" s="63">
        <f>VLOOKUP($B269,'Tillförd energi'!$B$1:$AI$720,MATCH(W$2,'Tillförd energi'!$B$1:$AQ$1,0),FALSE)</f>
        <v>0</v>
      </c>
      <c r="X269" s="63">
        <f>VLOOKUP($B269,'Tillförd energi'!$B$1:$AI$720,MATCH(X$2,'Tillförd energi'!$B$1:$AQ$1,0),FALSE)</f>
        <v>0</v>
      </c>
      <c r="Y269" s="63">
        <f>VLOOKUP($B269,'Tillförd energi'!$B$1:$AI$720,MATCH(Y$2,'Tillförd energi'!$B$1:$AQ$1,0),FALSE)</f>
        <v>0</v>
      </c>
      <c r="Z269" s="63">
        <f>VLOOKUP($B269,'Tillförd energi'!$B$1:$AI$720,MATCH(Z$2,'Tillförd energi'!$B$1:$AQ$1,0),FALSE)</f>
        <v>0</v>
      </c>
      <c r="AA269" s="63">
        <f>VLOOKUP($B269,'Tillförd energi'!$B$1:$AI$720,MATCH(AA$2,'Tillförd energi'!$B$1:$AQ$1,0),FALSE)</f>
        <v>0</v>
      </c>
      <c r="AB269" s="63">
        <f>VLOOKUP($B269,'Tillförd energi'!$B$1:$AI$720,MATCH(AB$2,'Tillförd energi'!$B$1:$AQ$1,0),FALSE)</f>
        <v>0</v>
      </c>
      <c r="AC269" s="63">
        <f>VLOOKUP($B269,'Tillförd energi'!$B$1:$AI$720,MATCH(AC$2,'Tillförd energi'!$B$1:$AQ$1,0),FALSE)</f>
        <v>0</v>
      </c>
      <c r="AD269" s="63">
        <f>VLOOKUP($B269,'Tillförd energi'!$B$1:$AI$720,MATCH(AD$2,'Tillförd energi'!$B$1:$AQ$1,0),FALSE)</f>
        <v>0</v>
      </c>
      <c r="AE269" s="63">
        <f>VLOOKUP($B269,'Tillförd energi'!$B$1:$AI$720,MATCH(AE$2,'Tillförd energi'!$B$1:$AQ$1,0),FALSE)</f>
        <v>0</v>
      </c>
      <c r="AF269" s="63">
        <f>VLOOKUP($B269,'Tillförd energi'!$B$1:$AI$720,MATCH(AF$2,'Tillförd energi'!$B$1:$AQ$1,0),FALSE)</f>
        <v>0</v>
      </c>
      <c r="AG269" s="63">
        <f>IFERROR(VLOOKUP(B269,Miljö!$B$1:$AC$550,MATCH("Köpt mängd produktionsspecifik fjärrvärme:",Miljö!$B$1:$AC$1,0),FALSE)/1,0)</f>
        <v>0</v>
      </c>
      <c r="AI269" s="63">
        <f t="shared" si="24"/>
        <v>0</v>
      </c>
      <c r="AJ269" s="63" t="str">
        <f>IF(ISERROR(1/VLOOKUP($B269,Leveranser!$B$1:$S$500,MATCH("såld värme (gwh)",Leveranser!$B$1:$S$1,0),FALSE)),"",VLOOKUP($B269,Leveranser!$B$1:$S$500,MATCH("såld värme (gwh)",Leveranser!$B$1:$S$1,0),FALSE))</f>
        <v/>
      </c>
      <c r="AM269" s="63" t="str">
        <f>IF(B269&lt;&gt;"",IF(VLOOKUP($B269,Totalt!$B$1:$AQ$554,MATCH("Kvalitetsgranskad:",Totalt!$B$1:$AQ$1,0),FALSE)="ja",VLOOKUP($B269,Miljö!$B$1:$AG$479,MATCH(AM$2,Miljö!$B$1:$AK$1,0),FALSE),""),"")</f>
        <v/>
      </c>
      <c r="AN269" s="63" t="str">
        <f>IF(AM269="ja",VLOOKUP($B269,Miljö!$B$1:$J$479,MATCH("Typ av ursprungsspecificerad el   (Om inget värde anges används Nordisk residualmix, se inforuta) ()",Miljö!$B$1:$J$1,0),FALSE),IF(AM269="nej","Nordisk residualel",""))</f>
        <v/>
      </c>
      <c r="AO269" s="63" t="str">
        <f>IF(AM269="","",VLOOKUP($B269,Miljö!$B$1:$J$479,MATCH("Fossilandel för ursprungspecificerad el ()",Miljö!$B$1:$J$1,0),FALSE))</f>
        <v/>
      </c>
      <c r="AQ269" s="63" t="str">
        <f t="shared" si="25"/>
        <v/>
      </c>
      <c r="AS269" s="63" t="str">
        <f t="shared" si="26"/>
        <v>Nej</v>
      </c>
      <c r="AT269" s="63" t="str">
        <f>IF(AS269="ja",VLOOKUP($B269,Miljö!$B$1:$P$500,MATCH("Fossil andel i procent (%)",Miljö!$B$1:$P$1,0),FALSE)/100,"")</f>
        <v/>
      </c>
      <c r="AV269" s="63" t="str">
        <f t="shared" si="27"/>
        <v>Nej</v>
      </c>
      <c r="AW269" s="63" t="str">
        <f>IF(AV269="ja",VLOOKUP($B269,'Egen hetvattenprod'!$B$1:$AO$500,MATCH("Värmekälla till värmepumpar ()",'Egen hetvattenprod'!$B$1:$AO$1,0),FALSE),"")</f>
        <v/>
      </c>
      <c r="AY269" s="63" t="str">
        <f t="shared" si="28"/>
        <v>Nej</v>
      </c>
      <c r="AZ269" s="77" t="str">
        <f>IF($AY269="ja",(VLOOKUP($B269,'Egen hetvattenprod'!$B$1:$BX$550,MATCH(AZ$2,'Egen hetvattenprod'!$B$1:$BX$1,0),FALSE)+VLOOKUP($B269,Kraftvärmeprod!$B$1:$BX$550,MATCH(AZ$2,Kraftvärmeprod!$B$1:$BX$1,0),FALSE))/$AC269,"")</f>
        <v/>
      </c>
      <c r="BA269" s="77" t="str">
        <f>IF($AY269="ja",(VLOOKUP($B269,'Egen hetvattenprod'!$B$1:$BX$550,MATCH(BA$2,'Egen hetvattenprod'!$B$1:$BX$1,0),FALSE)+VLOOKUP($B269,Kraftvärmeprod!$B$1:$BX$550,MATCH(BA$2,Kraftvärmeprod!$B$1:$BX$1,0),FALSE))/$AC269,"")</f>
        <v/>
      </c>
      <c r="BB269" s="77" t="str">
        <f>IF($AY269="ja",(VLOOKUP($B269,'Egen hetvattenprod'!$B$1:$BX$550,MATCH(BB$2,'Egen hetvattenprod'!$B$1:$BX$1,0),FALSE)+VLOOKUP($B269,Kraftvärmeprod!$B$1:$BX$550,MATCH(BB$2,Kraftvärmeprod!$B$1:$BX$1,0),FALSE))/$AC269,"")</f>
        <v/>
      </c>
      <c r="BC269" s="77" t="str">
        <f>IF($AY269="ja",(VLOOKUP($B269,'Egen hetvattenprod'!$B$1:$BX$550,MATCH(BC$2,'Egen hetvattenprod'!$B$1:$BX$1,0),FALSE)+VLOOKUP($B269,Kraftvärmeprod!$B$1:$BX$550,MATCH(BC$2,Kraftvärmeprod!$B$1:$BX$1,0),FALSE))/$AC269,"")</f>
        <v/>
      </c>
      <c r="BD269" s="77" t="str">
        <f>IF($AY269="ja",(VLOOKUP($B269,'Egen hetvattenprod'!$B$1:$BX$550,MATCH(BD$2,'Egen hetvattenprod'!$B$1:$BX$1,0),FALSE)+VLOOKUP($B269,Kraftvärmeprod!$B$1:$BX$550,MATCH(BD$2,Kraftvärmeprod!$B$1:$BX$1,0),FALSE))/$AC269,"")</f>
        <v/>
      </c>
      <c r="BF269" s="63" t="str">
        <f t="shared" si="29"/>
        <v>Nej</v>
      </c>
      <c r="BG269" s="63" t="str">
        <f>IF($BF269="ja",VLOOKUP($B269,'Egen hetvattenprod'!$B$1:$BX$550,MATCH("Andelen klimatgaser med fossilt ursprung för avfall ()",'Egen hetvattenprod'!$B$1:$BX$1,0),FALSE),"")</f>
        <v/>
      </c>
      <c r="BH269" s="63" t="str">
        <f>IF($BF269="ja",VLOOKUP($B269,Kraftvärmeprod!$B$1:$BX$550,MATCH("Andelen klimatgaser med fossilt ursprung för avfall ()",Kraftvärmeprod!$B$1:$BX$1,0),FALSE),"")</f>
        <v/>
      </c>
      <c r="BI269" s="63" t="str">
        <f>IF($BF269="ja",VLOOKUP($B269,'Egen hetvattenprod'!$B$1:$BX$550,MATCH("Avfall (GWh)",'Egen hetvattenprod'!$B$1:$BX$1,0),FALSE),"")</f>
        <v/>
      </c>
      <c r="BJ269" s="63" t="str">
        <f>IF($BF269="ja",VLOOKUP($B269,'Slutlig allokering kvv'!$B$1:$BX$550,MATCH("Avfall (GWh)",'Slutlig allokering kvv'!$B$1:$BX$1,0),FALSE),"")</f>
        <v/>
      </c>
      <c r="BK269" s="63" t="str">
        <f>IF($BF269="ja",VLOOKUP($B269,'Köpt hetvatten'!$B$1:$BX$550,MATCH("Avfall i köpt hetvatten",'Köpt hetvatten'!$B$1:$BX$1,0),FALSE),"")</f>
        <v/>
      </c>
      <c r="BL269" s="63" t="str">
        <f>IF($BF269="ja",VLOOKUP($B269,'Egen hetvattenprod'!$B$1:$BX$550,MATCH("Värde enligt ovan. (%)",'Egen hetvattenprod'!$B$1:$BX$1,0),FALSE),"")</f>
        <v/>
      </c>
      <c r="BM269" s="63" t="str">
        <f>IF($BF269="ja",VLOOKUP($B269,Kraftvärmeprod!$B$1:$BX$550,MATCH("Värde enligt ovan. (%)",Kraftvärmeprod!$B$1:$BX$1,0),FALSE),"")</f>
        <v/>
      </c>
    </row>
    <row r="270" spans="1:65" x14ac:dyDescent="0.45">
      <c r="A270" s="63" t="s">
        <v>324</v>
      </c>
      <c r="B270" s="63" t="s">
        <v>327</v>
      </c>
      <c r="C270" s="63">
        <f>VLOOKUP($B270,'Tillförd energi'!$B$1:$AI$720,MATCH(C$2,'Tillförd energi'!$B$1:$AQ$1,0),FALSE)</f>
        <v>0</v>
      </c>
      <c r="D270" s="63">
        <f>VLOOKUP($B270,'Tillförd energi'!$B$1:$AI$720,MATCH(D$2,'Tillförd energi'!$B$1:$AQ$1,0),FALSE)</f>
        <v>0</v>
      </c>
      <c r="E270" s="63">
        <f>VLOOKUP($B270,'Tillförd energi'!$B$1:$AI$720,MATCH(E$2,'Tillförd energi'!$B$1:$AQ$1,0),FALSE)</f>
        <v>0</v>
      </c>
      <c r="F270" s="63">
        <f>VLOOKUP($B270,'Tillförd energi'!$B$1:$AI$720,MATCH(F$2,'Tillförd energi'!$B$1:$AQ$1,0),FALSE)</f>
        <v>0</v>
      </c>
      <c r="G270" s="63">
        <f>VLOOKUP($B270,'Tillförd energi'!$B$1:$AI$720,MATCH(G$2,'Tillförd energi'!$B$1:$AQ$1,0),FALSE)</f>
        <v>0</v>
      </c>
      <c r="H270" s="63">
        <f>VLOOKUP($B270,'Tillförd energi'!$B$1:$AI$720,MATCH(H$2,'Tillförd energi'!$B$1:$AQ$1,0),FALSE)</f>
        <v>0</v>
      </c>
      <c r="I270" s="63">
        <f>VLOOKUP($B270,'Tillförd energi'!$B$1:$AI$720,MATCH(I$2,'Tillförd energi'!$B$1:$AQ$1,0),FALSE)</f>
        <v>0</v>
      </c>
      <c r="J270" s="63">
        <f>VLOOKUP($B270,'Tillförd energi'!$B$1:$AI$720,MATCH(J$2,'Tillförd energi'!$B$1:$AQ$1,0),FALSE)</f>
        <v>0</v>
      </c>
      <c r="K270" s="63">
        <f>VLOOKUP($B270,'Tillförd energi'!$B$1:$AI$720,MATCH(K$2,'Tillförd energi'!$B$1:$AQ$1,0),FALSE)</f>
        <v>0</v>
      </c>
      <c r="L270" s="63">
        <f>VLOOKUP($B270,'Tillförd energi'!$B$1:$AI$720,MATCH(L$2,'Tillförd energi'!$B$1:$AQ$1,0),FALSE)</f>
        <v>0</v>
      </c>
      <c r="M270" s="63">
        <f>VLOOKUP($B270,'Tillförd energi'!$B$1:$AI$720,MATCH(M$2,'Tillförd energi'!$B$1:$AQ$1,0),FALSE)</f>
        <v>22.47</v>
      </c>
      <c r="N270" s="63">
        <f>VLOOKUP($B270,'Tillförd energi'!$B$1:$AI$720,MATCH(N$2,'Tillförd energi'!$B$1:$AQ$1,0),FALSE)</f>
        <v>32.46</v>
      </c>
      <c r="O270" s="63">
        <f>VLOOKUP($B270,'Tillförd energi'!$B$1:$AI$720,MATCH(O$2,'Tillförd energi'!$B$1:$AQ$1,0),FALSE)</f>
        <v>56.18</v>
      </c>
      <c r="P270" s="63">
        <f>VLOOKUP($B270,'Tillförd energi'!$B$1:$AI$720,MATCH(P$2,'Tillförd energi'!$B$1:$AQ$1,0),FALSE)</f>
        <v>13.73</v>
      </c>
      <c r="Q270" s="63">
        <f>VLOOKUP($B270,'Tillförd energi'!$B$1:$AI$720,MATCH(Q$2,'Tillförd energi'!$B$1:$AQ$1,0),FALSE)</f>
        <v>0</v>
      </c>
      <c r="R270" s="63">
        <f>VLOOKUP($B270,'Tillförd energi'!$B$1:$AI$720,MATCH(R$2,'Tillförd energi'!$B$1:$AQ$1,0),FALSE)</f>
        <v>0</v>
      </c>
      <c r="S270" s="63">
        <f>VLOOKUP($B270,'Tillförd energi'!$B$1:$AI$720,MATCH(S$2,'Tillförd energi'!$B$1:$AQ$1,0),FALSE)</f>
        <v>0</v>
      </c>
      <c r="T270" s="63">
        <f>VLOOKUP($B270,'Tillförd energi'!$B$1:$AI$720,MATCH(T$2,'Tillförd energi'!$B$1:$AQ$1,0),FALSE)</f>
        <v>0</v>
      </c>
      <c r="U270" s="63">
        <f>VLOOKUP($B270,'Tillförd energi'!$B$1:$AI$720,MATCH(U$2,'Tillförd energi'!$B$1:$AQ$1,0),FALSE)</f>
        <v>0</v>
      </c>
      <c r="V270" s="63">
        <f>VLOOKUP($B270,'Tillförd energi'!$B$1:$AI$720,MATCH(V$2,'Tillförd energi'!$B$1:$AQ$1,0),FALSE)</f>
        <v>0</v>
      </c>
      <c r="W270" s="63">
        <f>VLOOKUP($B270,'Tillförd energi'!$B$1:$AI$720,MATCH(W$2,'Tillförd energi'!$B$1:$AQ$1,0),FALSE)</f>
        <v>0.97</v>
      </c>
      <c r="X270" s="63">
        <f>VLOOKUP($B270,'Tillförd energi'!$B$1:$AI$720,MATCH(X$2,'Tillförd energi'!$B$1:$AQ$1,0),FALSE)</f>
        <v>0</v>
      </c>
      <c r="Y270" s="63">
        <f>VLOOKUP($B270,'Tillförd energi'!$B$1:$AI$720,MATCH(Y$2,'Tillförd energi'!$B$1:$AQ$1,0),FALSE)</f>
        <v>0</v>
      </c>
      <c r="Z270" s="63">
        <f>VLOOKUP($B270,'Tillförd energi'!$B$1:$AI$720,MATCH(Z$2,'Tillförd energi'!$B$1:$AQ$1,0),FALSE)</f>
        <v>0</v>
      </c>
      <c r="AA270" s="63">
        <f>VLOOKUP($B270,'Tillförd energi'!$B$1:$AI$720,MATCH(AA$2,'Tillförd energi'!$B$1:$AQ$1,0),FALSE)</f>
        <v>0</v>
      </c>
      <c r="AB270" s="63">
        <f>VLOOKUP($B270,'Tillförd energi'!$B$1:$AI$720,MATCH(AB$2,'Tillförd energi'!$B$1:$AQ$1,0),FALSE)</f>
        <v>0</v>
      </c>
      <c r="AC270" s="63">
        <f>VLOOKUP($B270,'Tillförd energi'!$B$1:$AI$720,MATCH(AC$2,'Tillförd energi'!$B$1:$AQ$1,0),FALSE)</f>
        <v>27.77</v>
      </c>
      <c r="AD270" s="63">
        <f>VLOOKUP($B270,'Tillförd energi'!$B$1:$AI$720,MATCH(AD$2,'Tillförd energi'!$B$1:$AQ$1,0),FALSE)</f>
        <v>0</v>
      </c>
      <c r="AE270" s="63">
        <f>VLOOKUP($B270,'Tillförd energi'!$B$1:$AI$720,MATCH(AE$2,'Tillförd energi'!$B$1:$AQ$1,0),FALSE)</f>
        <v>0</v>
      </c>
      <c r="AF270" s="63">
        <f>VLOOKUP($B270,'Tillförd energi'!$B$1:$AI$720,MATCH(AF$2,'Tillförd energi'!$B$1:$AQ$1,0),FALSE)</f>
        <v>3.87</v>
      </c>
      <c r="AG270" s="63">
        <f>IFERROR(VLOOKUP(B270,Miljö!$B$1:$AC$550,MATCH("Köpt mängd produktionsspecifik fjärrvärme:",Miljö!$B$1:$AC$1,0),FALSE)/1,0)</f>
        <v>0</v>
      </c>
      <c r="AI270" s="63">
        <f t="shared" si="24"/>
        <v>157.45000000000002</v>
      </c>
      <c r="AJ270" s="63">
        <f>IF(ISERROR(1/VLOOKUP($B270,Leveranser!$B$1:$S$500,MATCH("såld värme (gwh)",Leveranser!$B$1:$S$1,0),FALSE)),"",VLOOKUP($B270,Leveranser!$B$1:$S$500,MATCH("såld värme (gwh)",Leveranser!$B$1:$S$1,0),FALSE))</f>
        <v>115.01</v>
      </c>
      <c r="AM270" s="63" t="str">
        <f>IF(B270&lt;&gt;"",IF(VLOOKUP($B270,Totalt!$B$1:$AQ$554,MATCH("Kvalitetsgranskad:",Totalt!$B$1:$AQ$1,0),FALSE)="ja",VLOOKUP($B270,Miljö!$B$1:$AG$479,MATCH(AM$2,Miljö!$B$1:$AK$1,0),FALSE),""),"")</f>
        <v>Ja</v>
      </c>
      <c r="AN270" s="63" t="str">
        <f>IF(AM270="ja",VLOOKUP($B270,Miljö!$B$1:$J$479,MATCH("Typ av ursprungsspecificerad el   (Om inget värde anges används Nordisk residualmix, se inforuta) ()",Miljö!$B$1:$J$1,0),FALSE),IF(AM270="nej","Nordisk residualel",""))</f>
        <v>'100% vattenkraft'</v>
      </c>
      <c r="AO270" s="63">
        <f>IF(AM270="","",VLOOKUP($B270,Miljö!$B$1:$J$479,MATCH("Fossilandel för ursprungspecificerad el ()",Miljö!$B$1:$J$1,0),FALSE))</f>
        <v>0</v>
      </c>
      <c r="AQ270" s="63">
        <f t="shared" si="25"/>
        <v>1</v>
      </c>
      <c r="AS270" s="63" t="str">
        <f t="shared" si="26"/>
        <v>Nej</v>
      </c>
      <c r="AT270" s="63" t="str">
        <f>IF(AS270="ja",VLOOKUP($B270,Miljö!$B$1:$P$500,MATCH("Fossil andel i procent (%)",Miljö!$B$1:$P$1,0),FALSE)/100,"")</f>
        <v/>
      </c>
      <c r="AV270" s="63" t="str">
        <f t="shared" si="27"/>
        <v>Nej</v>
      </c>
      <c r="AW270" s="63" t="str">
        <f>IF(AV270="ja",VLOOKUP($B270,'Egen hetvattenprod'!$B$1:$AO$500,MATCH("Värmekälla till värmepumpar ()",'Egen hetvattenprod'!$B$1:$AO$1,0),FALSE),"")</f>
        <v/>
      </c>
      <c r="AY270" s="63" t="str">
        <f t="shared" si="28"/>
        <v>Ja</v>
      </c>
      <c r="AZ270" s="77">
        <f>IF($AY270="ja",(VLOOKUP($B270,'Egen hetvattenprod'!$B$1:$BX$550,MATCH(AZ$2,'Egen hetvattenprod'!$B$1:$BX$1,0),FALSE)+VLOOKUP($B270,Kraftvärmeprod!$B$1:$BX$550,MATCH(AZ$2,Kraftvärmeprod!$B$1:$BX$1,0),FALSE))/$AC270,"")</f>
        <v>1</v>
      </c>
      <c r="BA270" s="77">
        <f>IF($AY270="ja",(VLOOKUP($B270,'Egen hetvattenprod'!$B$1:$BX$550,MATCH(BA$2,'Egen hetvattenprod'!$B$1:$BX$1,0),FALSE)+VLOOKUP($B270,Kraftvärmeprod!$B$1:$BX$550,MATCH(BA$2,Kraftvärmeprod!$B$1:$BX$1,0),FALSE))/$AC270,"")</f>
        <v>0</v>
      </c>
      <c r="BB270" s="77">
        <f>IF($AY270="ja",(VLOOKUP($B270,'Egen hetvattenprod'!$B$1:$BX$550,MATCH(BB$2,'Egen hetvattenprod'!$B$1:$BX$1,0),FALSE)+VLOOKUP($B270,Kraftvärmeprod!$B$1:$BX$550,MATCH(BB$2,Kraftvärmeprod!$B$1:$BX$1,0),FALSE))/$AC270,"")</f>
        <v>0</v>
      </c>
      <c r="BC270" s="77">
        <f>IF($AY270="ja",(VLOOKUP($B270,'Egen hetvattenprod'!$B$1:$BX$550,MATCH(BC$2,'Egen hetvattenprod'!$B$1:$BX$1,0),FALSE)+VLOOKUP($B270,Kraftvärmeprod!$B$1:$BX$550,MATCH(BC$2,Kraftvärmeprod!$B$1:$BX$1,0),FALSE))/$AC270,"")</f>
        <v>0</v>
      </c>
      <c r="BD270" s="77">
        <f>IF($AY270="ja",(VLOOKUP($B270,'Egen hetvattenprod'!$B$1:$BX$550,MATCH(BD$2,'Egen hetvattenprod'!$B$1:$BX$1,0),FALSE)+VLOOKUP($B270,Kraftvärmeprod!$B$1:$BX$550,MATCH(BD$2,Kraftvärmeprod!$B$1:$BX$1,0),FALSE))/$AC270,"")</f>
        <v>0</v>
      </c>
      <c r="BF270" s="63" t="str">
        <f t="shared" si="29"/>
        <v>Nej</v>
      </c>
      <c r="BG270" s="63" t="str">
        <f>IF($BF270="ja",VLOOKUP($B270,'Egen hetvattenprod'!$B$1:$BX$550,MATCH("Andelen klimatgaser med fossilt ursprung för avfall ()",'Egen hetvattenprod'!$B$1:$BX$1,0),FALSE),"")</f>
        <v/>
      </c>
      <c r="BH270" s="63" t="str">
        <f>IF($BF270="ja",VLOOKUP($B270,Kraftvärmeprod!$B$1:$BX$550,MATCH("Andelen klimatgaser med fossilt ursprung för avfall ()",Kraftvärmeprod!$B$1:$BX$1,0),FALSE),"")</f>
        <v/>
      </c>
      <c r="BI270" s="63" t="str">
        <f>IF($BF270="ja",VLOOKUP($B270,'Egen hetvattenprod'!$B$1:$BX$550,MATCH("Avfall (GWh)",'Egen hetvattenprod'!$B$1:$BX$1,0),FALSE),"")</f>
        <v/>
      </c>
      <c r="BJ270" s="63" t="str">
        <f>IF($BF270="ja",VLOOKUP($B270,'Slutlig allokering kvv'!$B$1:$BX$550,MATCH("Avfall (GWh)",'Slutlig allokering kvv'!$B$1:$BX$1,0),FALSE),"")</f>
        <v/>
      </c>
      <c r="BK270" s="63" t="str">
        <f>IF($BF270="ja",VLOOKUP($B270,'Köpt hetvatten'!$B$1:$BX$550,MATCH("Avfall i köpt hetvatten",'Köpt hetvatten'!$B$1:$BX$1,0),FALSE),"")</f>
        <v/>
      </c>
      <c r="BL270" s="63" t="str">
        <f>IF($BF270="ja",VLOOKUP($B270,'Egen hetvattenprod'!$B$1:$BX$550,MATCH("Värde enligt ovan. (%)",'Egen hetvattenprod'!$B$1:$BX$1,0),FALSE),"")</f>
        <v/>
      </c>
      <c r="BM270" s="63" t="str">
        <f>IF($BF270="ja",VLOOKUP($B270,Kraftvärmeprod!$B$1:$BX$550,MATCH("Värde enligt ovan. (%)",Kraftvärmeprod!$B$1:$BX$1,0),FALSE),"")</f>
        <v/>
      </c>
    </row>
    <row r="271" spans="1:65" x14ac:dyDescent="0.45">
      <c r="A271" s="63" t="s">
        <v>324</v>
      </c>
      <c r="B271" s="63" t="s">
        <v>326</v>
      </c>
      <c r="C271" s="63">
        <f>VLOOKUP($B271,'Tillförd energi'!$B$1:$AI$720,MATCH(C$2,'Tillförd energi'!$B$1:$AQ$1,0),FALSE)</f>
        <v>0</v>
      </c>
      <c r="D271" s="63">
        <f>VLOOKUP($B271,'Tillförd energi'!$B$1:$AI$720,MATCH(D$2,'Tillförd energi'!$B$1:$AQ$1,0),FALSE)</f>
        <v>0</v>
      </c>
      <c r="E271" s="63">
        <f>VLOOKUP($B271,'Tillförd energi'!$B$1:$AI$720,MATCH(E$2,'Tillförd energi'!$B$1:$AQ$1,0),FALSE)</f>
        <v>0</v>
      </c>
      <c r="F271" s="63">
        <f>VLOOKUP($B271,'Tillförd energi'!$B$1:$AI$720,MATCH(F$2,'Tillförd energi'!$B$1:$AQ$1,0),FALSE)</f>
        <v>0</v>
      </c>
      <c r="G271" s="63">
        <f>VLOOKUP($B271,'Tillförd energi'!$B$1:$AI$720,MATCH(G$2,'Tillförd energi'!$B$1:$AQ$1,0),FALSE)</f>
        <v>0</v>
      </c>
      <c r="H271" s="63">
        <f>VLOOKUP($B271,'Tillförd energi'!$B$1:$AI$720,MATCH(H$2,'Tillförd energi'!$B$1:$AQ$1,0),FALSE)</f>
        <v>0</v>
      </c>
      <c r="I271" s="63">
        <f>VLOOKUP($B271,'Tillförd energi'!$B$1:$AI$720,MATCH(I$2,'Tillförd energi'!$B$1:$AQ$1,0),FALSE)</f>
        <v>0</v>
      </c>
      <c r="J271" s="63">
        <f>VLOOKUP($B271,'Tillförd energi'!$B$1:$AI$720,MATCH(J$2,'Tillförd energi'!$B$1:$AQ$1,0),FALSE)</f>
        <v>0</v>
      </c>
      <c r="K271" s="63">
        <f>VLOOKUP($B271,'Tillförd energi'!$B$1:$AI$720,MATCH(K$2,'Tillförd energi'!$B$1:$AQ$1,0),FALSE)</f>
        <v>0</v>
      </c>
      <c r="L271" s="63">
        <f>VLOOKUP($B271,'Tillförd energi'!$B$1:$AI$720,MATCH(L$2,'Tillförd energi'!$B$1:$AQ$1,0),FALSE)</f>
        <v>0</v>
      </c>
      <c r="M271" s="63">
        <f>VLOOKUP($B271,'Tillförd energi'!$B$1:$AI$720,MATCH(M$2,'Tillförd energi'!$B$1:$AQ$1,0),FALSE)</f>
        <v>2.98</v>
      </c>
      <c r="N271" s="63">
        <f>VLOOKUP($B271,'Tillförd energi'!$B$1:$AI$720,MATCH(N$2,'Tillförd energi'!$B$1:$AQ$1,0),FALSE)</f>
        <v>21.85</v>
      </c>
      <c r="O271" s="63">
        <f>VLOOKUP($B271,'Tillförd energi'!$B$1:$AI$720,MATCH(O$2,'Tillförd energi'!$B$1:$AQ$1,0),FALSE)</f>
        <v>0</v>
      </c>
      <c r="P271" s="63">
        <f>VLOOKUP($B271,'Tillförd energi'!$B$1:$AI$720,MATCH(P$2,'Tillförd energi'!$B$1:$AQ$1,0),FALSE)</f>
        <v>0</v>
      </c>
      <c r="Q271" s="63">
        <f>VLOOKUP($B271,'Tillförd energi'!$B$1:$AI$720,MATCH(Q$2,'Tillförd energi'!$B$1:$AQ$1,0),FALSE)</f>
        <v>0</v>
      </c>
      <c r="R271" s="63">
        <f>VLOOKUP($B271,'Tillförd energi'!$B$1:$AI$720,MATCH(R$2,'Tillförd energi'!$B$1:$AQ$1,0),FALSE)</f>
        <v>0</v>
      </c>
      <c r="S271" s="63">
        <f>VLOOKUP($B271,'Tillförd energi'!$B$1:$AI$720,MATCH(S$2,'Tillförd energi'!$B$1:$AQ$1,0),FALSE)</f>
        <v>0</v>
      </c>
      <c r="T271" s="63">
        <f>VLOOKUP($B271,'Tillförd energi'!$B$1:$AI$720,MATCH(T$2,'Tillförd energi'!$B$1:$AQ$1,0),FALSE)</f>
        <v>0</v>
      </c>
      <c r="U271" s="63">
        <f>VLOOKUP($B271,'Tillförd energi'!$B$1:$AI$720,MATCH(U$2,'Tillförd energi'!$B$1:$AQ$1,0),FALSE)</f>
        <v>0</v>
      </c>
      <c r="V271" s="63">
        <f>VLOOKUP($B271,'Tillförd energi'!$B$1:$AI$720,MATCH(V$2,'Tillförd energi'!$B$1:$AQ$1,0),FALSE)</f>
        <v>0</v>
      </c>
      <c r="W271" s="63">
        <f>VLOOKUP($B271,'Tillförd energi'!$B$1:$AI$720,MATCH(W$2,'Tillförd energi'!$B$1:$AQ$1,0),FALSE)</f>
        <v>0.85</v>
      </c>
      <c r="X271" s="63">
        <f>VLOOKUP($B271,'Tillförd energi'!$B$1:$AI$720,MATCH(X$2,'Tillförd energi'!$B$1:$AQ$1,0),FALSE)</f>
        <v>0</v>
      </c>
      <c r="Y271" s="63">
        <f>VLOOKUP($B271,'Tillförd energi'!$B$1:$AI$720,MATCH(Y$2,'Tillförd energi'!$B$1:$AQ$1,0),FALSE)</f>
        <v>0</v>
      </c>
      <c r="Z271" s="63">
        <f>VLOOKUP($B271,'Tillförd energi'!$B$1:$AI$720,MATCH(Z$2,'Tillförd energi'!$B$1:$AQ$1,0),FALSE)</f>
        <v>0</v>
      </c>
      <c r="AA271" s="63">
        <f>VLOOKUP($B271,'Tillförd energi'!$B$1:$AI$720,MATCH(AA$2,'Tillförd energi'!$B$1:$AQ$1,0),FALSE)</f>
        <v>0</v>
      </c>
      <c r="AB271" s="63">
        <f>VLOOKUP($B271,'Tillförd energi'!$B$1:$AI$720,MATCH(AB$2,'Tillförd energi'!$B$1:$AQ$1,0),FALSE)</f>
        <v>0</v>
      </c>
      <c r="AC271" s="63">
        <f>VLOOKUP($B271,'Tillförd energi'!$B$1:$AI$720,MATCH(AC$2,'Tillförd energi'!$B$1:$AQ$1,0),FALSE)</f>
        <v>3.82</v>
      </c>
      <c r="AD271" s="63">
        <f>VLOOKUP($B271,'Tillförd energi'!$B$1:$AI$720,MATCH(AD$2,'Tillförd energi'!$B$1:$AQ$1,0),FALSE)</f>
        <v>0</v>
      </c>
      <c r="AE271" s="63">
        <f>VLOOKUP($B271,'Tillförd energi'!$B$1:$AI$720,MATCH(AE$2,'Tillförd energi'!$B$1:$AQ$1,0),FALSE)</f>
        <v>0</v>
      </c>
      <c r="AF271" s="63">
        <f>VLOOKUP($B271,'Tillförd energi'!$B$1:$AI$720,MATCH(AF$2,'Tillförd energi'!$B$1:$AQ$1,0),FALSE)</f>
        <v>0.83</v>
      </c>
      <c r="AG271" s="63">
        <f>IFERROR(VLOOKUP(B271,Miljö!$B$1:$AC$550,MATCH("Köpt mängd produktionsspecifik fjärrvärme:",Miljö!$B$1:$AC$1,0),FALSE)/1,0)</f>
        <v>0</v>
      </c>
      <c r="AI271" s="63">
        <f t="shared" si="24"/>
        <v>30.330000000000002</v>
      </c>
      <c r="AJ271" s="63">
        <f>IF(ISERROR(1/VLOOKUP($B271,Leveranser!$B$1:$S$500,MATCH("såld värme (gwh)",Leveranser!$B$1:$S$1,0),FALSE)),"",VLOOKUP($B271,Leveranser!$B$1:$S$500,MATCH("såld värme (gwh)",Leveranser!$B$1:$S$1,0),FALSE))</f>
        <v>21.78</v>
      </c>
      <c r="AM271" s="63" t="str">
        <f>IF(B271&lt;&gt;"",IF(VLOOKUP($B271,Totalt!$B$1:$AQ$554,MATCH("Kvalitetsgranskad:",Totalt!$B$1:$AQ$1,0),FALSE)="ja",VLOOKUP($B271,Miljö!$B$1:$AG$479,MATCH(AM$2,Miljö!$B$1:$AK$1,0),FALSE),""),"")</f>
        <v>Ja</v>
      </c>
      <c r="AN271" s="63" t="str">
        <f>IF(AM271="ja",VLOOKUP($B271,Miljö!$B$1:$J$479,MATCH("Typ av ursprungsspecificerad el   (Om inget värde anges används Nordisk residualmix, se inforuta) ()",Miljö!$B$1:$J$1,0),FALSE),IF(AM271="nej","Nordisk residualel",""))</f>
        <v>'100% vattenkraft'</v>
      </c>
      <c r="AO271" s="63">
        <f>IF(AM271="","",VLOOKUP($B271,Miljö!$B$1:$J$479,MATCH("Fossilandel för ursprungspecificerad el ()",Miljö!$B$1:$J$1,0),FALSE))</f>
        <v>0</v>
      </c>
      <c r="AQ271" s="63">
        <f t="shared" si="25"/>
        <v>1</v>
      </c>
      <c r="AS271" s="63" t="str">
        <f t="shared" si="26"/>
        <v>Nej</v>
      </c>
      <c r="AT271" s="63" t="str">
        <f>IF(AS271="ja",VLOOKUP($B271,Miljö!$B$1:$P$500,MATCH("Fossil andel i procent (%)",Miljö!$B$1:$P$1,0),FALSE)/100,"")</f>
        <v/>
      </c>
      <c r="AV271" s="63" t="str">
        <f t="shared" si="27"/>
        <v>Nej</v>
      </c>
      <c r="AW271" s="63" t="str">
        <f>IF(AV271="ja",VLOOKUP($B271,'Egen hetvattenprod'!$B$1:$AO$500,MATCH("Värmekälla till värmepumpar ()",'Egen hetvattenprod'!$B$1:$AO$1,0),FALSE),"")</f>
        <v/>
      </c>
      <c r="AY271" s="63" t="str">
        <f t="shared" si="28"/>
        <v>Ja</v>
      </c>
      <c r="AZ271" s="77">
        <f>IF($AY271="ja",(VLOOKUP($B271,'Egen hetvattenprod'!$B$1:$BX$550,MATCH(AZ$2,'Egen hetvattenprod'!$B$1:$BX$1,0),FALSE)+VLOOKUP($B271,Kraftvärmeprod!$B$1:$BX$550,MATCH(AZ$2,Kraftvärmeprod!$B$1:$BX$1,0),FALSE))/$AC271,"")</f>
        <v>1</v>
      </c>
      <c r="BA271" s="77">
        <f>IF($AY271="ja",(VLOOKUP($B271,'Egen hetvattenprod'!$B$1:$BX$550,MATCH(BA$2,'Egen hetvattenprod'!$B$1:$BX$1,0),FALSE)+VLOOKUP($B271,Kraftvärmeprod!$B$1:$BX$550,MATCH(BA$2,Kraftvärmeprod!$B$1:$BX$1,0),FALSE))/$AC271,"")</f>
        <v>0</v>
      </c>
      <c r="BB271" s="77">
        <f>IF($AY271="ja",(VLOOKUP($B271,'Egen hetvattenprod'!$B$1:$BX$550,MATCH(BB$2,'Egen hetvattenprod'!$B$1:$BX$1,0),FALSE)+VLOOKUP($B271,Kraftvärmeprod!$B$1:$BX$550,MATCH(BB$2,Kraftvärmeprod!$B$1:$BX$1,0),FALSE))/$AC271,"")</f>
        <v>0</v>
      </c>
      <c r="BC271" s="77">
        <f>IF($AY271="ja",(VLOOKUP($B271,'Egen hetvattenprod'!$B$1:$BX$550,MATCH(BC$2,'Egen hetvattenprod'!$B$1:$BX$1,0),FALSE)+VLOOKUP($B271,Kraftvärmeprod!$B$1:$BX$550,MATCH(BC$2,Kraftvärmeprod!$B$1:$BX$1,0),FALSE))/$AC271,"")</f>
        <v>0</v>
      </c>
      <c r="BD271" s="77">
        <f>IF($AY271="ja",(VLOOKUP($B271,'Egen hetvattenprod'!$B$1:$BX$550,MATCH(BD$2,'Egen hetvattenprod'!$B$1:$BX$1,0),FALSE)+VLOOKUP($B271,Kraftvärmeprod!$B$1:$BX$550,MATCH(BD$2,Kraftvärmeprod!$B$1:$BX$1,0),FALSE))/$AC271,"")</f>
        <v>0</v>
      </c>
      <c r="BF271" s="63" t="str">
        <f t="shared" si="29"/>
        <v>Nej</v>
      </c>
      <c r="BG271" s="63" t="str">
        <f>IF($BF271="ja",VLOOKUP($B271,'Egen hetvattenprod'!$B$1:$BX$550,MATCH("Andelen klimatgaser med fossilt ursprung för avfall ()",'Egen hetvattenprod'!$B$1:$BX$1,0),FALSE),"")</f>
        <v/>
      </c>
      <c r="BH271" s="63" t="str">
        <f>IF($BF271="ja",VLOOKUP($B271,Kraftvärmeprod!$B$1:$BX$550,MATCH("Andelen klimatgaser med fossilt ursprung för avfall ()",Kraftvärmeprod!$B$1:$BX$1,0),FALSE),"")</f>
        <v/>
      </c>
      <c r="BI271" s="63" t="str">
        <f>IF($BF271="ja",VLOOKUP($B271,'Egen hetvattenprod'!$B$1:$BX$550,MATCH("Avfall (GWh)",'Egen hetvattenprod'!$B$1:$BX$1,0),FALSE),"")</f>
        <v/>
      </c>
      <c r="BJ271" s="63" t="str">
        <f>IF($BF271="ja",VLOOKUP($B271,'Slutlig allokering kvv'!$B$1:$BX$550,MATCH("Avfall (GWh)",'Slutlig allokering kvv'!$B$1:$BX$1,0),FALSE),"")</f>
        <v/>
      </c>
      <c r="BK271" s="63" t="str">
        <f>IF($BF271="ja",VLOOKUP($B271,'Köpt hetvatten'!$B$1:$BX$550,MATCH("Avfall i köpt hetvatten",'Köpt hetvatten'!$B$1:$BX$1,0),FALSE),"")</f>
        <v/>
      </c>
      <c r="BL271" s="63" t="str">
        <f>IF($BF271="ja",VLOOKUP($B271,'Egen hetvattenprod'!$B$1:$BX$550,MATCH("Värde enligt ovan. (%)",'Egen hetvattenprod'!$B$1:$BX$1,0),FALSE),"")</f>
        <v/>
      </c>
      <c r="BM271" s="63" t="str">
        <f>IF($BF271="ja",VLOOKUP($B271,Kraftvärmeprod!$B$1:$BX$550,MATCH("Värde enligt ovan. (%)",Kraftvärmeprod!$B$1:$BX$1,0),FALSE),"")</f>
        <v/>
      </c>
    </row>
    <row r="272" spans="1:65" x14ac:dyDescent="0.45">
      <c r="A272" s="63" t="s">
        <v>324</v>
      </c>
      <c r="B272" s="63" t="s">
        <v>325</v>
      </c>
      <c r="C272" s="63">
        <f>VLOOKUP($B272,'Tillförd energi'!$B$1:$AI$720,MATCH(C$2,'Tillförd energi'!$B$1:$AQ$1,0),FALSE)</f>
        <v>0</v>
      </c>
      <c r="D272" s="63">
        <f>VLOOKUP($B272,'Tillförd energi'!$B$1:$AI$720,MATCH(D$2,'Tillförd energi'!$B$1:$AQ$1,0),FALSE)</f>
        <v>0</v>
      </c>
      <c r="E272" s="63">
        <f>VLOOKUP($B272,'Tillförd energi'!$B$1:$AI$720,MATCH(E$2,'Tillförd energi'!$B$1:$AQ$1,0),FALSE)</f>
        <v>0</v>
      </c>
      <c r="F272" s="63">
        <f>VLOOKUP($B272,'Tillförd energi'!$B$1:$AI$720,MATCH(F$2,'Tillförd energi'!$B$1:$AQ$1,0),FALSE)</f>
        <v>0</v>
      </c>
      <c r="G272" s="63">
        <f>VLOOKUP($B272,'Tillförd energi'!$B$1:$AI$720,MATCH(G$2,'Tillförd energi'!$B$1:$AQ$1,0),FALSE)</f>
        <v>0</v>
      </c>
      <c r="H272" s="63">
        <f>VLOOKUP($B272,'Tillförd energi'!$B$1:$AI$720,MATCH(H$2,'Tillförd energi'!$B$1:$AQ$1,0),FALSE)</f>
        <v>0</v>
      </c>
      <c r="I272" s="63">
        <f>VLOOKUP($B272,'Tillförd energi'!$B$1:$AI$720,MATCH(I$2,'Tillförd energi'!$B$1:$AQ$1,0),FALSE)</f>
        <v>0</v>
      </c>
      <c r="J272" s="63">
        <f>VLOOKUP($B272,'Tillförd energi'!$B$1:$AI$720,MATCH(J$2,'Tillförd energi'!$B$1:$AQ$1,0),FALSE)</f>
        <v>0</v>
      </c>
      <c r="K272" s="63">
        <f>VLOOKUP($B272,'Tillförd energi'!$B$1:$AI$720,MATCH(K$2,'Tillförd energi'!$B$1:$AQ$1,0),FALSE)</f>
        <v>0</v>
      </c>
      <c r="L272" s="63">
        <f>VLOOKUP($B272,'Tillförd energi'!$B$1:$AI$720,MATCH(L$2,'Tillförd energi'!$B$1:$AQ$1,0),FALSE)</f>
        <v>0</v>
      </c>
      <c r="M272" s="63">
        <f>VLOOKUP($B272,'Tillförd energi'!$B$1:$AI$720,MATCH(M$2,'Tillförd energi'!$B$1:$AQ$1,0),FALSE)</f>
        <v>0</v>
      </c>
      <c r="N272" s="63">
        <f>VLOOKUP($B272,'Tillförd energi'!$B$1:$AI$720,MATCH(N$2,'Tillförd energi'!$B$1:$AQ$1,0),FALSE)</f>
        <v>0.23</v>
      </c>
      <c r="O272" s="63">
        <f>VLOOKUP($B272,'Tillförd energi'!$B$1:$AI$720,MATCH(O$2,'Tillförd energi'!$B$1:$AQ$1,0),FALSE)</f>
        <v>0</v>
      </c>
      <c r="P272" s="63">
        <f>VLOOKUP($B272,'Tillförd energi'!$B$1:$AI$720,MATCH(P$2,'Tillförd energi'!$B$1:$AQ$1,0),FALSE)</f>
        <v>11.13</v>
      </c>
      <c r="Q272" s="63">
        <f>VLOOKUP($B272,'Tillförd energi'!$B$1:$AI$720,MATCH(Q$2,'Tillförd energi'!$B$1:$AQ$1,0),FALSE)</f>
        <v>0</v>
      </c>
      <c r="R272" s="63">
        <f>VLOOKUP($B272,'Tillförd energi'!$B$1:$AI$720,MATCH(R$2,'Tillförd energi'!$B$1:$AQ$1,0),FALSE)</f>
        <v>0</v>
      </c>
      <c r="S272" s="63">
        <f>VLOOKUP($B272,'Tillförd energi'!$B$1:$AI$720,MATCH(S$2,'Tillförd energi'!$B$1:$AQ$1,0),FALSE)</f>
        <v>0</v>
      </c>
      <c r="T272" s="63">
        <f>VLOOKUP($B272,'Tillförd energi'!$B$1:$AI$720,MATCH(T$2,'Tillförd energi'!$B$1:$AQ$1,0),FALSE)</f>
        <v>0</v>
      </c>
      <c r="U272" s="63">
        <f>VLOOKUP($B272,'Tillförd energi'!$B$1:$AI$720,MATCH(U$2,'Tillförd energi'!$B$1:$AQ$1,0),FALSE)</f>
        <v>0</v>
      </c>
      <c r="V272" s="63">
        <f>VLOOKUP($B272,'Tillförd energi'!$B$1:$AI$720,MATCH(V$2,'Tillförd energi'!$B$1:$AQ$1,0),FALSE)</f>
        <v>0</v>
      </c>
      <c r="W272" s="63">
        <f>VLOOKUP($B272,'Tillförd energi'!$B$1:$AI$720,MATCH(W$2,'Tillförd energi'!$B$1:$AQ$1,0),FALSE)</f>
        <v>0.49</v>
      </c>
      <c r="X272" s="63">
        <f>VLOOKUP($B272,'Tillförd energi'!$B$1:$AI$720,MATCH(X$2,'Tillförd energi'!$B$1:$AQ$1,0),FALSE)</f>
        <v>0</v>
      </c>
      <c r="Y272" s="63">
        <f>VLOOKUP($B272,'Tillförd energi'!$B$1:$AI$720,MATCH(Y$2,'Tillförd energi'!$B$1:$AQ$1,0),FALSE)</f>
        <v>0</v>
      </c>
      <c r="Z272" s="63">
        <f>VLOOKUP($B272,'Tillförd energi'!$B$1:$AI$720,MATCH(Z$2,'Tillförd energi'!$B$1:$AQ$1,0),FALSE)</f>
        <v>0</v>
      </c>
      <c r="AA272" s="63">
        <f>VLOOKUP($B272,'Tillförd energi'!$B$1:$AI$720,MATCH(AA$2,'Tillförd energi'!$B$1:$AQ$1,0),FALSE)</f>
        <v>0</v>
      </c>
      <c r="AB272" s="63">
        <f>VLOOKUP($B272,'Tillförd energi'!$B$1:$AI$720,MATCH(AB$2,'Tillförd energi'!$B$1:$AQ$1,0),FALSE)</f>
        <v>0</v>
      </c>
      <c r="AC272" s="63">
        <f>VLOOKUP($B272,'Tillförd energi'!$B$1:$AI$720,MATCH(AC$2,'Tillförd energi'!$B$1:$AQ$1,0),FALSE)</f>
        <v>1.24</v>
      </c>
      <c r="AD272" s="63">
        <f>VLOOKUP($B272,'Tillförd energi'!$B$1:$AI$720,MATCH(AD$2,'Tillförd energi'!$B$1:$AQ$1,0),FALSE)</f>
        <v>0</v>
      </c>
      <c r="AE272" s="63">
        <f>VLOOKUP($B272,'Tillförd energi'!$B$1:$AI$720,MATCH(AE$2,'Tillförd energi'!$B$1:$AQ$1,0),FALSE)</f>
        <v>0</v>
      </c>
      <c r="AF272" s="63">
        <f>VLOOKUP($B272,'Tillförd energi'!$B$1:$AI$720,MATCH(AF$2,'Tillförd energi'!$B$1:$AQ$1,0),FALSE)</f>
        <v>0.27</v>
      </c>
      <c r="AG272" s="63">
        <f>IFERROR(VLOOKUP(B272,Miljö!$B$1:$AC$550,MATCH("Köpt mängd produktionsspecifik fjärrvärme:",Miljö!$B$1:$AC$1,0),FALSE)/1,0)</f>
        <v>0</v>
      </c>
      <c r="AI272" s="63">
        <f t="shared" si="24"/>
        <v>13.360000000000001</v>
      </c>
      <c r="AJ272" s="63">
        <f>IF(ISERROR(1/VLOOKUP($B272,Leveranser!$B$1:$S$500,MATCH("såld värme (gwh)",Leveranser!$B$1:$S$1,0),FALSE)),"",VLOOKUP($B272,Leveranser!$B$1:$S$500,MATCH("såld värme (gwh)",Leveranser!$B$1:$S$1,0),FALSE))</f>
        <v>9.43</v>
      </c>
      <c r="AM272" s="63" t="str">
        <f>IF(B272&lt;&gt;"",IF(VLOOKUP($B272,Totalt!$B$1:$AQ$554,MATCH("Kvalitetsgranskad:",Totalt!$B$1:$AQ$1,0),FALSE)="ja",VLOOKUP($B272,Miljö!$B$1:$AG$479,MATCH(AM$2,Miljö!$B$1:$AK$1,0),FALSE),""),"")</f>
        <v>Ja</v>
      </c>
      <c r="AN272" s="63" t="str">
        <f>IF(AM272="ja",VLOOKUP($B272,Miljö!$B$1:$J$479,MATCH("Typ av ursprungsspecificerad el   (Om inget värde anges används Nordisk residualmix, se inforuta) ()",Miljö!$B$1:$J$1,0),FALSE),IF(AM272="nej","Nordisk residualel",""))</f>
        <v>'100% vattenkraft'</v>
      </c>
      <c r="AO272" s="63">
        <f>IF(AM272="","",VLOOKUP($B272,Miljö!$B$1:$J$479,MATCH("Fossilandel för ursprungspecificerad el ()",Miljö!$B$1:$J$1,0),FALSE))</f>
        <v>0</v>
      </c>
      <c r="AQ272" s="63">
        <f t="shared" si="25"/>
        <v>1</v>
      </c>
      <c r="AS272" s="63" t="str">
        <f t="shared" si="26"/>
        <v>Nej</v>
      </c>
      <c r="AT272" s="63" t="str">
        <f>IF(AS272="ja",VLOOKUP($B272,Miljö!$B$1:$P$500,MATCH("Fossil andel i procent (%)",Miljö!$B$1:$P$1,0),FALSE)/100,"")</f>
        <v/>
      </c>
      <c r="AV272" s="63" t="str">
        <f t="shared" si="27"/>
        <v>Nej</v>
      </c>
      <c r="AW272" s="63" t="str">
        <f>IF(AV272="ja",VLOOKUP($B272,'Egen hetvattenprod'!$B$1:$AO$500,MATCH("Värmekälla till värmepumpar ()",'Egen hetvattenprod'!$B$1:$AO$1,0),FALSE),"")</f>
        <v/>
      </c>
      <c r="AY272" s="63" t="str">
        <f t="shared" si="28"/>
        <v>Ja</v>
      </c>
      <c r="AZ272" s="77">
        <f>IF($AY272="ja",(VLOOKUP($B272,'Egen hetvattenprod'!$B$1:$BX$550,MATCH(AZ$2,'Egen hetvattenprod'!$B$1:$BX$1,0),FALSE)+VLOOKUP($B272,Kraftvärmeprod!$B$1:$BX$550,MATCH(AZ$2,Kraftvärmeprod!$B$1:$BX$1,0),FALSE))/$AC272,"")</f>
        <v>1</v>
      </c>
      <c r="BA272" s="77">
        <f>IF($AY272="ja",(VLOOKUP($B272,'Egen hetvattenprod'!$B$1:$BX$550,MATCH(BA$2,'Egen hetvattenprod'!$B$1:$BX$1,0),FALSE)+VLOOKUP($B272,Kraftvärmeprod!$B$1:$BX$550,MATCH(BA$2,Kraftvärmeprod!$B$1:$BX$1,0),FALSE))/$AC272,"")</f>
        <v>0</v>
      </c>
      <c r="BB272" s="77">
        <f>IF($AY272="ja",(VLOOKUP($B272,'Egen hetvattenprod'!$B$1:$BX$550,MATCH(BB$2,'Egen hetvattenprod'!$B$1:$BX$1,0),FALSE)+VLOOKUP($B272,Kraftvärmeprod!$B$1:$BX$550,MATCH(BB$2,Kraftvärmeprod!$B$1:$BX$1,0),FALSE))/$AC272,"")</f>
        <v>0</v>
      </c>
      <c r="BC272" s="77">
        <f>IF($AY272="ja",(VLOOKUP($B272,'Egen hetvattenprod'!$B$1:$BX$550,MATCH(BC$2,'Egen hetvattenprod'!$B$1:$BX$1,0),FALSE)+VLOOKUP($B272,Kraftvärmeprod!$B$1:$BX$550,MATCH(BC$2,Kraftvärmeprod!$B$1:$BX$1,0),FALSE))/$AC272,"")</f>
        <v>0</v>
      </c>
      <c r="BD272" s="77">
        <f>IF($AY272="ja",(VLOOKUP($B272,'Egen hetvattenprod'!$B$1:$BX$550,MATCH(BD$2,'Egen hetvattenprod'!$B$1:$BX$1,0),FALSE)+VLOOKUP($B272,Kraftvärmeprod!$B$1:$BX$550,MATCH(BD$2,Kraftvärmeprod!$B$1:$BX$1,0),FALSE))/$AC272,"")</f>
        <v>0</v>
      </c>
      <c r="BF272" s="63" t="str">
        <f t="shared" si="29"/>
        <v>Nej</v>
      </c>
      <c r="BG272" s="63" t="str">
        <f>IF($BF272="ja",VLOOKUP($B272,'Egen hetvattenprod'!$B$1:$BX$550,MATCH("Andelen klimatgaser med fossilt ursprung för avfall ()",'Egen hetvattenprod'!$B$1:$BX$1,0),FALSE),"")</f>
        <v/>
      </c>
      <c r="BH272" s="63" t="str">
        <f>IF($BF272="ja",VLOOKUP($B272,Kraftvärmeprod!$B$1:$BX$550,MATCH("Andelen klimatgaser med fossilt ursprung för avfall ()",Kraftvärmeprod!$B$1:$BX$1,0),FALSE),"")</f>
        <v/>
      </c>
      <c r="BI272" s="63" t="str">
        <f>IF($BF272="ja",VLOOKUP($B272,'Egen hetvattenprod'!$B$1:$BX$550,MATCH("Avfall (GWh)",'Egen hetvattenprod'!$B$1:$BX$1,0),FALSE),"")</f>
        <v/>
      </c>
      <c r="BJ272" s="63" t="str">
        <f>IF($BF272="ja",VLOOKUP($B272,'Slutlig allokering kvv'!$B$1:$BX$550,MATCH("Avfall (GWh)",'Slutlig allokering kvv'!$B$1:$BX$1,0),FALSE),"")</f>
        <v/>
      </c>
      <c r="BK272" s="63" t="str">
        <f>IF($BF272="ja",VLOOKUP($B272,'Köpt hetvatten'!$B$1:$BX$550,MATCH("Avfall i köpt hetvatten",'Köpt hetvatten'!$B$1:$BX$1,0),FALSE),"")</f>
        <v/>
      </c>
      <c r="BL272" s="63" t="str">
        <f>IF($BF272="ja",VLOOKUP($B272,'Egen hetvattenprod'!$B$1:$BX$550,MATCH("Värde enligt ovan. (%)",'Egen hetvattenprod'!$B$1:$BX$1,0),FALSE),"")</f>
        <v/>
      </c>
      <c r="BM272" s="63" t="str">
        <f>IF($BF272="ja",VLOOKUP($B272,Kraftvärmeprod!$B$1:$BX$550,MATCH("Värde enligt ovan. (%)",Kraftvärmeprod!$B$1:$BX$1,0),FALSE),"")</f>
        <v/>
      </c>
    </row>
    <row r="273" spans="1:65" x14ac:dyDescent="0.45">
      <c r="A273" s="63" t="s">
        <v>324</v>
      </c>
      <c r="B273" s="63" t="s">
        <v>323</v>
      </c>
      <c r="C273" s="63">
        <f>VLOOKUP($B273,'Tillförd energi'!$B$1:$AI$720,MATCH(C$2,'Tillförd energi'!$B$1:$AQ$1,0),FALSE)</f>
        <v>0</v>
      </c>
      <c r="D273" s="63">
        <f>VLOOKUP($B273,'Tillförd energi'!$B$1:$AI$720,MATCH(D$2,'Tillförd energi'!$B$1:$AQ$1,0),FALSE)</f>
        <v>8.5999999999999993E-2</v>
      </c>
      <c r="E273" s="63">
        <f>VLOOKUP($B273,'Tillförd energi'!$B$1:$AI$720,MATCH(E$2,'Tillförd energi'!$B$1:$AQ$1,0),FALSE)</f>
        <v>0</v>
      </c>
      <c r="F273" s="63">
        <f>VLOOKUP($B273,'Tillförd energi'!$B$1:$AI$720,MATCH(F$2,'Tillförd energi'!$B$1:$AQ$1,0),FALSE)</f>
        <v>0</v>
      </c>
      <c r="G273" s="63">
        <f>VLOOKUP($B273,'Tillförd energi'!$B$1:$AI$720,MATCH(G$2,'Tillförd energi'!$B$1:$AQ$1,0),FALSE)</f>
        <v>0</v>
      </c>
      <c r="H273" s="63">
        <f>VLOOKUP($B273,'Tillförd energi'!$B$1:$AI$720,MATCH(H$2,'Tillförd energi'!$B$1:$AQ$1,0),FALSE)</f>
        <v>0</v>
      </c>
      <c r="I273" s="63">
        <f>VLOOKUP($B273,'Tillförd energi'!$B$1:$AI$720,MATCH(I$2,'Tillförd energi'!$B$1:$AQ$1,0),FALSE)</f>
        <v>0</v>
      </c>
      <c r="J273" s="63">
        <f>VLOOKUP($B273,'Tillförd energi'!$B$1:$AI$720,MATCH(J$2,'Tillförd energi'!$B$1:$AQ$1,0),FALSE)</f>
        <v>0</v>
      </c>
      <c r="K273" s="63">
        <f>VLOOKUP($B273,'Tillförd energi'!$B$1:$AI$720,MATCH(K$2,'Tillförd energi'!$B$1:$AQ$1,0),FALSE)</f>
        <v>0</v>
      </c>
      <c r="L273" s="63">
        <f>VLOOKUP($B273,'Tillförd energi'!$B$1:$AI$720,MATCH(L$2,'Tillförd energi'!$B$1:$AQ$1,0),FALSE)</f>
        <v>0</v>
      </c>
      <c r="M273" s="63">
        <f>VLOOKUP($B273,'Tillförd energi'!$B$1:$AI$720,MATCH(M$2,'Tillförd energi'!$B$1:$AQ$1,0),FALSE)</f>
        <v>10.68</v>
      </c>
      <c r="N273" s="63">
        <f>VLOOKUP($B273,'Tillförd energi'!$B$1:$AI$720,MATCH(N$2,'Tillförd energi'!$B$1:$AQ$1,0),FALSE)</f>
        <v>2.13</v>
      </c>
      <c r="O273" s="63">
        <f>VLOOKUP($B273,'Tillförd energi'!$B$1:$AI$720,MATCH(O$2,'Tillförd energi'!$B$1:$AQ$1,0),FALSE)</f>
        <v>0</v>
      </c>
      <c r="P273" s="63">
        <f>VLOOKUP($B273,'Tillförd energi'!$B$1:$AI$720,MATCH(P$2,'Tillförd energi'!$B$1:$AQ$1,0),FALSE)</f>
        <v>29.9</v>
      </c>
      <c r="Q273" s="63">
        <f>VLOOKUP($B273,'Tillförd energi'!$B$1:$AI$720,MATCH(Q$2,'Tillförd energi'!$B$1:$AQ$1,0),FALSE)</f>
        <v>0</v>
      </c>
      <c r="R273" s="63">
        <f>VLOOKUP($B273,'Tillförd energi'!$B$1:$AI$720,MATCH(R$2,'Tillförd energi'!$B$1:$AQ$1,0),FALSE)</f>
        <v>0</v>
      </c>
      <c r="S273" s="63">
        <f>VLOOKUP($B273,'Tillförd energi'!$B$1:$AI$720,MATCH(S$2,'Tillförd energi'!$B$1:$AQ$1,0),FALSE)</f>
        <v>0</v>
      </c>
      <c r="T273" s="63">
        <f>VLOOKUP($B273,'Tillförd energi'!$B$1:$AI$720,MATCH(T$2,'Tillförd energi'!$B$1:$AQ$1,0),FALSE)</f>
        <v>0</v>
      </c>
      <c r="U273" s="63">
        <f>VLOOKUP($B273,'Tillförd energi'!$B$1:$AI$720,MATCH(U$2,'Tillförd energi'!$B$1:$AQ$1,0),FALSE)</f>
        <v>0</v>
      </c>
      <c r="V273" s="63">
        <f>VLOOKUP($B273,'Tillförd energi'!$B$1:$AI$720,MATCH(V$2,'Tillförd energi'!$B$1:$AQ$1,0),FALSE)</f>
        <v>0</v>
      </c>
      <c r="W273" s="63">
        <f>VLOOKUP($B273,'Tillförd energi'!$B$1:$AI$720,MATCH(W$2,'Tillförd energi'!$B$1:$AQ$1,0),FALSE)</f>
        <v>2.98</v>
      </c>
      <c r="X273" s="63">
        <f>VLOOKUP($B273,'Tillförd energi'!$B$1:$AI$720,MATCH(X$2,'Tillförd energi'!$B$1:$AQ$1,0),FALSE)</f>
        <v>0</v>
      </c>
      <c r="Y273" s="63">
        <f>VLOOKUP($B273,'Tillförd energi'!$B$1:$AI$720,MATCH(Y$2,'Tillförd energi'!$B$1:$AQ$1,0),FALSE)</f>
        <v>0</v>
      </c>
      <c r="Z273" s="63">
        <f>VLOOKUP($B273,'Tillförd energi'!$B$1:$AI$720,MATCH(Z$2,'Tillförd energi'!$B$1:$AQ$1,0),FALSE)</f>
        <v>0</v>
      </c>
      <c r="AA273" s="63">
        <f>VLOOKUP($B273,'Tillförd energi'!$B$1:$AI$720,MATCH(AA$2,'Tillförd energi'!$B$1:$AQ$1,0),FALSE)</f>
        <v>0</v>
      </c>
      <c r="AB273" s="63">
        <f>VLOOKUP($B273,'Tillförd energi'!$B$1:$AI$720,MATCH(AB$2,'Tillförd energi'!$B$1:$AQ$1,0),FALSE)</f>
        <v>0</v>
      </c>
      <c r="AC273" s="63">
        <f>VLOOKUP($B273,'Tillförd energi'!$B$1:$AI$720,MATCH(AC$2,'Tillförd energi'!$B$1:$AQ$1,0),FALSE)</f>
        <v>6.51</v>
      </c>
      <c r="AD273" s="63">
        <f>VLOOKUP($B273,'Tillförd energi'!$B$1:$AI$720,MATCH(AD$2,'Tillförd energi'!$B$1:$AQ$1,0),FALSE)</f>
        <v>0</v>
      </c>
      <c r="AE273" s="63">
        <f>VLOOKUP($B273,'Tillförd energi'!$B$1:$AI$720,MATCH(AE$2,'Tillförd energi'!$B$1:$AQ$1,0),FALSE)</f>
        <v>0</v>
      </c>
      <c r="AF273" s="63">
        <f>VLOOKUP($B273,'Tillförd energi'!$B$1:$AI$720,MATCH(AF$2,'Tillförd energi'!$B$1:$AQ$1,0),FALSE)</f>
        <v>1.03</v>
      </c>
      <c r="AG273" s="63">
        <f>IFERROR(VLOOKUP(B273,Miljö!$B$1:$AC$550,MATCH("Köpt mängd produktionsspecifik fjärrvärme:",Miljö!$B$1:$AC$1,0),FALSE)/1,0)</f>
        <v>0</v>
      </c>
      <c r="AI273" s="63">
        <f t="shared" si="24"/>
        <v>53.315999999999995</v>
      </c>
      <c r="AJ273" s="63">
        <f>IF(ISERROR(1/VLOOKUP($B273,Leveranser!$B$1:$S$500,MATCH("såld värme (gwh)",Leveranser!$B$1:$S$1,0),FALSE)),"",VLOOKUP($B273,Leveranser!$B$1:$S$500,MATCH("såld värme (gwh)",Leveranser!$B$1:$S$1,0),FALSE))</f>
        <v>42.05</v>
      </c>
      <c r="AM273" s="63" t="str">
        <f>IF(B273&lt;&gt;"",IF(VLOOKUP($B273,Totalt!$B$1:$AQ$554,MATCH("Kvalitetsgranskad:",Totalt!$B$1:$AQ$1,0),FALSE)="ja",VLOOKUP($B273,Miljö!$B$1:$AG$479,MATCH(AM$2,Miljö!$B$1:$AK$1,0),FALSE),""),"")</f>
        <v>Ja</v>
      </c>
      <c r="AN273" s="63" t="str">
        <f>IF(AM273="ja",VLOOKUP($B273,Miljö!$B$1:$J$479,MATCH("Typ av ursprungsspecificerad el   (Om inget värde anges används Nordisk residualmix, se inforuta) ()",Miljö!$B$1:$J$1,0),FALSE),IF(AM273="nej","Nordisk residualel",""))</f>
        <v>'100% vattenkraft'</v>
      </c>
      <c r="AO273" s="63">
        <f>IF(AM273="","",VLOOKUP($B273,Miljö!$B$1:$J$479,MATCH("Fossilandel för ursprungspecificerad el ()",Miljö!$B$1:$J$1,0),FALSE))</f>
        <v>0</v>
      </c>
      <c r="AQ273" s="63">
        <f t="shared" si="25"/>
        <v>1</v>
      </c>
      <c r="AS273" s="63" t="str">
        <f t="shared" si="26"/>
        <v>Nej</v>
      </c>
      <c r="AT273" s="63" t="str">
        <f>IF(AS273="ja",VLOOKUP($B273,Miljö!$B$1:$P$500,MATCH("Fossil andel i procent (%)",Miljö!$B$1:$P$1,0),FALSE)/100,"")</f>
        <v/>
      </c>
      <c r="AV273" s="63" t="str">
        <f t="shared" si="27"/>
        <v>Nej</v>
      </c>
      <c r="AW273" s="63" t="str">
        <f>IF(AV273="ja",VLOOKUP($B273,'Egen hetvattenprod'!$B$1:$AO$500,MATCH("Värmekälla till värmepumpar ()",'Egen hetvattenprod'!$B$1:$AO$1,0),FALSE),"")</f>
        <v/>
      </c>
      <c r="AY273" s="63" t="str">
        <f t="shared" si="28"/>
        <v>Ja</v>
      </c>
      <c r="AZ273" s="77">
        <f>IF($AY273="ja",(VLOOKUP($B273,'Egen hetvattenprod'!$B$1:$BX$550,MATCH(AZ$2,'Egen hetvattenprod'!$B$1:$BX$1,0),FALSE)+VLOOKUP($B273,Kraftvärmeprod!$B$1:$BX$550,MATCH(AZ$2,Kraftvärmeprod!$B$1:$BX$1,0),FALSE))/$AC273,"")</f>
        <v>1</v>
      </c>
      <c r="BA273" s="77">
        <f>IF($AY273="ja",(VLOOKUP($B273,'Egen hetvattenprod'!$B$1:$BX$550,MATCH(BA$2,'Egen hetvattenprod'!$B$1:$BX$1,0),FALSE)+VLOOKUP($B273,Kraftvärmeprod!$B$1:$BX$550,MATCH(BA$2,Kraftvärmeprod!$B$1:$BX$1,0),FALSE))/$AC273,"")</f>
        <v>0</v>
      </c>
      <c r="BB273" s="77">
        <f>IF($AY273="ja",(VLOOKUP($B273,'Egen hetvattenprod'!$B$1:$BX$550,MATCH(BB$2,'Egen hetvattenprod'!$B$1:$BX$1,0),FALSE)+VLOOKUP($B273,Kraftvärmeprod!$B$1:$BX$550,MATCH(BB$2,Kraftvärmeprod!$B$1:$BX$1,0),FALSE))/$AC273,"")</f>
        <v>0</v>
      </c>
      <c r="BC273" s="77">
        <f>IF($AY273="ja",(VLOOKUP($B273,'Egen hetvattenprod'!$B$1:$BX$550,MATCH(BC$2,'Egen hetvattenprod'!$B$1:$BX$1,0),FALSE)+VLOOKUP($B273,Kraftvärmeprod!$B$1:$BX$550,MATCH(BC$2,Kraftvärmeprod!$B$1:$BX$1,0),FALSE))/$AC273,"")</f>
        <v>0</v>
      </c>
      <c r="BD273" s="77">
        <f>IF($AY273="ja",(VLOOKUP($B273,'Egen hetvattenprod'!$B$1:$BX$550,MATCH(BD$2,'Egen hetvattenprod'!$B$1:$BX$1,0),FALSE)+VLOOKUP($B273,Kraftvärmeprod!$B$1:$BX$550,MATCH(BD$2,Kraftvärmeprod!$B$1:$BX$1,0),FALSE))/$AC273,"")</f>
        <v>0</v>
      </c>
      <c r="BF273" s="63" t="str">
        <f t="shared" si="29"/>
        <v>Nej</v>
      </c>
      <c r="BG273" s="63" t="str">
        <f>IF($BF273="ja",VLOOKUP($B273,'Egen hetvattenprod'!$B$1:$BX$550,MATCH("Andelen klimatgaser med fossilt ursprung för avfall ()",'Egen hetvattenprod'!$B$1:$BX$1,0),FALSE),"")</f>
        <v/>
      </c>
      <c r="BH273" s="63" t="str">
        <f>IF($BF273="ja",VLOOKUP($B273,Kraftvärmeprod!$B$1:$BX$550,MATCH("Andelen klimatgaser med fossilt ursprung för avfall ()",Kraftvärmeprod!$B$1:$BX$1,0),FALSE),"")</f>
        <v/>
      </c>
      <c r="BI273" s="63" t="str">
        <f>IF($BF273="ja",VLOOKUP($B273,'Egen hetvattenprod'!$B$1:$BX$550,MATCH("Avfall (GWh)",'Egen hetvattenprod'!$B$1:$BX$1,0),FALSE),"")</f>
        <v/>
      </c>
      <c r="BJ273" s="63" t="str">
        <f>IF($BF273="ja",VLOOKUP($B273,'Slutlig allokering kvv'!$B$1:$BX$550,MATCH("Avfall (GWh)",'Slutlig allokering kvv'!$B$1:$BX$1,0),FALSE),"")</f>
        <v/>
      </c>
      <c r="BK273" s="63" t="str">
        <f>IF($BF273="ja",VLOOKUP($B273,'Köpt hetvatten'!$B$1:$BX$550,MATCH("Avfall i köpt hetvatten",'Köpt hetvatten'!$B$1:$BX$1,0),FALSE),"")</f>
        <v/>
      </c>
      <c r="BL273" s="63" t="str">
        <f>IF($BF273="ja",VLOOKUP($B273,'Egen hetvattenprod'!$B$1:$BX$550,MATCH("Värde enligt ovan. (%)",'Egen hetvattenprod'!$B$1:$BX$1,0),FALSE),"")</f>
        <v/>
      </c>
      <c r="BM273" s="63" t="str">
        <f>IF($BF273="ja",VLOOKUP($B273,Kraftvärmeprod!$B$1:$BX$550,MATCH("Värde enligt ovan. (%)",Kraftvärmeprod!$B$1:$BX$1,0),FALSE),"")</f>
        <v/>
      </c>
    </row>
    <row r="274" spans="1:65" x14ac:dyDescent="0.45">
      <c r="A274" s="63" t="s">
        <v>321</v>
      </c>
      <c r="B274" s="63" t="s">
        <v>322</v>
      </c>
      <c r="C274" s="63">
        <f>VLOOKUP($B274,'Tillförd energi'!$B$1:$AI$720,MATCH(C$2,'Tillförd energi'!$B$1:$AQ$1,0),FALSE)</f>
        <v>0</v>
      </c>
      <c r="D274" s="63">
        <f>VLOOKUP($B274,'Tillförd energi'!$B$1:$AI$720,MATCH(D$2,'Tillförd energi'!$B$1:$AQ$1,0),FALSE)</f>
        <v>3.8600000000000002E-2</v>
      </c>
      <c r="E274" s="63">
        <f>VLOOKUP($B274,'Tillförd energi'!$B$1:$AI$720,MATCH(E$2,'Tillförd energi'!$B$1:$AQ$1,0),FALSE)</f>
        <v>0</v>
      </c>
      <c r="F274" s="63">
        <f>VLOOKUP($B274,'Tillförd energi'!$B$1:$AI$720,MATCH(F$2,'Tillförd energi'!$B$1:$AQ$1,0),FALSE)</f>
        <v>0</v>
      </c>
      <c r="G274" s="63">
        <f>VLOOKUP($B274,'Tillförd energi'!$B$1:$AI$720,MATCH(G$2,'Tillförd energi'!$B$1:$AQ$1,0),FALSE)</f>
        <v>0</v>
      </c>
      <c r="H274" s="63">
        <f>VLOOKUP($B274,'Tillförd energi'!$B$1:$AI$720,MATCH(H$2,'Tillförd energi'!$B$1:$AQ$1,0),FALSE)</f>
        <v>0</v>
      </c>
      <c r="I274" s="63">
        <f>VLOOKUP($B274,'Tillförd energi'!$B$1:$AI$720,MATCH(I$2,'Tillförd energi'!$B$1:$AQ$1,0),FALSE)</f>
        <v>0</v>
      </c>
      <c r="J274" s="63">
        <f>VLOOKUP($B274,'Tillförd energi'!$B$1:$AI$720,MATCH(J$2,'Tillförd energi'!$B$1:$AQ$1,0),FALSE)</f>
        <v>2.984</v>
      </c>
      <c r="K274" s="63">
        <f>VLOOKUP($B274,'Tillförd energi'!$B$1:$AI$720,MATCH(K$2,'Tillförd energi'!$B$1:$AQ$1,0),FALSE)</f>
        <v>0</v>
      </c>
      <c r="L274" s="63">
        <f>VLOOKUP($B274,'Tillförd energi'!$B$1:$AI$720,MATCH(L$2,'Tillförd energi'!$B$1:$AQ$1,0),FALSE)</f>
        <v>0</v>
      </c>
      <c r="M274" s="63">
        <f>VLOOKUP($B274,'Tillförd energi'!$B$1:$AI$720,MATCH(M$2,'Tillförd energi'!$B$1:$AQ$1,0),FALSE)</f>
        <v>0</v>
      </c>
      <c r="N274" s="63">
        <f>VLOOKUP($B274,'Tillförd energi'!$B$1:$AI$720,MATCH(N$2,'Tillförd energi'!$B$1:$AQ$1,0),FALSE)</f>
        <v>0</v>
      </c>
      <c r="O274" s="63">
        <f>VLOOKUP($B274,'Tillförd energi'!$B$1:$AI$720,MATCH(O$2,'Tillförd energi'!$B$1:$AQ$1,0),FALSE)</f>
        <v>0</v>
      </c>
      <c r="P274" s="63">
        <f>VLOOKUP($B274,'Tillförd energi'!$B$1:$AI$720,MATCH(P$2,'Tillförd energi'!$B$1:$AQ$1,0),FALSE)</f>
        <v>0</v>
      </c>
      <c r="Q274" s="63">
        <f>VLOOKUP($B274,'Tillförd energi'!$B$1:$AI$720,MATCH(Q$2,'Tillförd energi'!$B$1:$AQ$1,0),FALSE)</f>
        <v>0</v>
      </c>
      <c r="R274" s="63">
        <f>VLOOKUP($B274,'Tillförd energi'!$B$1:$AI$720,MATCH(R$2,'Tillförd energi'!$B$1:$AQ$1,0),FALSE)</f>
        <v>0</v>
      </c>
      <c r="S274" s="63">
        <f>VLOOKUP($B274,'Tillförd energi'!$B$1:$AI$720,MATCH(S$2,'Tillförd energi'!$B$1:$AQ$1,0),FALSE)</f>
        <v>0</v>
      </c>
      <c r="T274" s="63">
        <f>VLOOKUP($B274,'Tillförd energi'!$B$1:$AI$720,MATCH(T$2,'Tillförd energi'!$B$1:$AQ$1,0),FALSE)</f>
        <v>0</v>
      </c>
      <c r="U274" s="63">
        <f>VLOOKUP($B274,'Tillförd energi'!$B$1:$AI$720,MATCH(U$2,'Tillförd energi'!$B$1:$AQ$1,0),FALSE)</f>
        <v>0</v>
      </c>
      <c r="V274" s="63">
        <f>VLOOKUP($B274,'Tillförd energi'!$B$1:$AI$720,MATCH(V$2,'Tillförd energi'!$B$1:$AQ$1,0),FALSE)</f>
        <v>0</v>
      </c>
      <c r="W274" s="63">
        <f>VLOOKUP($B274,'Tillförd energi'!$B$1:$AI$720,MATCH(W$2,'Tillförd energi'!$B$1:$AQ$1,0),FALSE)</f>
        <v>0</v>
      </c>
      <c r="X274" s="63">
        <f>VLOOKUP($B274,'Tillförd energi'!$B$1:$AI$720,MATCH(X$2,'Tillförd energi'!$B$1:$AQ$1,0),FALSE)</f>
        <v>0</v>
      </c>
      <c r="Y274" s="63">
        <f>VLOOKUP($B274,'Tillförd energi'!$B$1:$AI$720,MATCH(Y$2,'Tillförd energi'!$B$1:$AQ$1,0),FALSE)</f>
        <v>0</v>
      </c>
      <c r="Z274" s="63">
        <f>VLOOKUP($B274,'Tillförd energi'!$B$1:$AI$720,MATCH(Z$2,'Tillförd energi'!$B$1:$AQ$1,0),FALSE)</f>
        <v>0</v>
      </c>
      <c r="AA274" s="63">
        <f>VLOOKUP($B274,'Tillförd energi'!$B$1:$AI$720,MATCH(AA$2,'Tillförd energi'!$B$1:$AQ$1,0),FALSE)</f>
        <v>0</v>
      </c>
      <c r="AB274" s="63">
        <f>VLOOKUP($B274,'Tillförd energi'!$B$1:$AI$720,MATCH(AB$2,'Tillförd energi'!$B$1:$AQ$1,0),FALSE)</f>
        <v>0</v>
      </c>
      <c r="AC274" s="63">
        <f>VLOOKUP($B274,'Tillförd energi'!$B$1:$AI$720,MATCH(AC$2,'Tillförd energi'!$B$1:$AQ$1,0),FALSE)</f>
        <v>0</v>
      </c>
      <c r="AD274" s="63">
        <f>VLOOKUP($B274,'Tillförd energi'!$B$1:$AI$720,MATCH(AD$2,'Tillförd energi'!$B$1:$AQ$1,0),FALSE)</f>
        <v>89.26</v>
      </c>
      <c r="AE274" s="63">
        <f>VLOOKUP($B274,'Tillförd energi'!$B$1:$AI$720,MATCH(AE$2,'Tillförd energi'!$B$1:$AQ$1,0),FALSE)</f>
        <v>0</v>
      </c>
      <c r="AF274" s="63">
        <f>VLOOKUP($B274,'Tillförd energi'!$B$1:$AI$720,MATCH(AF$2,'Tillförd energi'!$B$1:$AQ$1,0),FALSE)</f>
        <v>1</v>
      </c>
      <c r="AG274" s="63">
        <f>IFERROR(VLOOKUP(B274,Miljö!$B$1:$AC$550,MATCH("Köpt mängd produktionsspecifik fjärrvärme:",Miljö!$B$1:$AC$1,0),FALSE)/1,0)</f>
        <v>0</v>
      </c>
      <c r="AI274" s="63">
        <f t="shared" si="24"/>
        <v>93.282600000000002</v>
      </c>
      <c r="AJ274" s="63">
        <f>IF(ISERROR(1/VLOOKUP($B274,Leveranser!$B$1:$S$500,MATCH("såld värme (gwh)",Leveranser!$B$1:$S$1,0),FALSE)),"",VLOOKUP($B274,Leveranser!$B$1:$S$500,MATCH("såld värme (gwh)",Leveranser!$B$1:$S$1,0),FALSE))</f>
        <v>75.400000000000006</v>
      </c>
      <c r="AM274" s="63" t="str">
        <f>IF(B274&lt;&gt;"",IF(VLOOKUP($B274,Totalt!$B$1:$AQ$554,MATCH("Kvalitetsgranskad:",Totalt!$B$1:$AQ$1,0),FALSE)="ja",VLOOKUP($B274,Miljö!$B$1:$AG$479,MATCH(AM$2,Miljö!$B$1:$AK$1,0),FALSE),""),"")</f>
        <v>Ja</v>
      </c>
      <c r="AN274" s="63" t="str">
        <f>IF(AM274="ja",VLOOKUP($B274,Miljö!$B$1:$J$479,MATCH("Typ av ursprungsspecificerad el   (Om inget värde anges används Nordisk residualmix, se inforuta) ()",Miljö!$B$1:$J$1,0),FALSE),IF(AM274="nej","Nordisk residualel",""))</f>
        <v>'Förnybart'</v>
      </c>
      <c r="AO274" s="63">
        <f>IF(AM274="","",VLOOKUP($B274,Miljö!$B$1:$J$479,MATCH("Fossilandel för ursprungspecificerad el ()",Miljö!$B$1:$J$1,0),FALSE))</f>
        <v>0</v>
      </c>
      <c r="AQ274" s="63">
        <f t="shared" si="25"/>
        <v>1</v>
      </c>
      <c r="AS274" s="63" t="str">
        <f t="shared" si="26"/>
        <v>Nej</v>
      </c>
      <c r="AT274" s="63" t="str">
        <f>IF(AS274="ja",VLOOKUP($B274,Miljö!$B$1:$P$500,MATCH("Fossil andel i procent (%)",Miljö!$B$1:$P$1,0),FALSE)/100,"")</f>
        <v/>
      </c>
      <c r="AV274" s="63" t="str">
        <f t="shared" si="27"/>
        <v>Nej</v>
      </c>
      <c r="AW274" s="63" t="str">
        <f>IF(AV274="ja",VLOOKUP($B274,'Egen hetvattenprod'!$B$1:$AO$500,MATCH("Värmekälla till värmepumpar ()",'Egen hetvattenprod'!$B$1:$AO$1,0),FALSE),"")</f>
        <v/>
      </c>
      <c r="AY274" s="63" t="str">
        <f t="shared" si="28"/>
        <v>Nej</v>
      </c>
      <c r="AZ274" s="77" t="str">
        <f>IF($AY274="ja",(VLOOKUP($B274,'Egen hetvattenprod'!$B$1:$BX$550,MATCH(AZ$2,'Egen hetvattenprod'!$B$1:$BX$1,0),FALSE)+VLOOKUP($B274,Kraftvärmeprod!$B$1:$BX$550,MATCH(AZ$2,Kraftvärmeprod!$B$1:$BX$1,0),FALSE))/$AC274,"")</f>
        <v/>
      </c>
      <c r="BA274" s="77" t="str">
        <f>IF($AY274="ja",(VLOOKUP($B274,'Egen hetvattenprod'!$B$1:$BX$550,MATCH(BA$2,'Egen hetvattenprod'!$B$1:$BX$1,0),FALSE)+VLOOKUP($B274,Kraftvärmeprod!$B$1:$BX$550,MATCH(BA$2,Kraftvärmeprod!$B$1:$BX$1,0),FALSE))/$AC274,"")</f>
        <v/>
      </c>
      <c r="BB274" s="77" t="str">
        <f>IF($AY274="ja",(VLOOKUP($B274,'Egen hetvattenprod'!$B$1:$BX$550,MATCH(BB$2,'Egen hetvattenprod'!$B$1:$BX$1,0),FALSE)+VLOOKUP($B274,Kraftvärmeprod!$B$1:$BX$550,MATCH(BB$2,Kraftvärmeprod!$B$1:$BX$1,0),FALSE))/$AC274,"")</f>
        <v/>
      </c>
      <c r="BC274" s="77" t="str">
        <f>IF($AY274="ja",(VLOOKUP($B274,'Egen hetvattenprod'!$B$1:$BX$550,MATCH(BC$2,'Egen hetvattenprod'!$B$1:$BX$1,0),FALSE)+VLOOKUP($B274,Kraftvärmeprod!$B$1:$BX$550,MATCH(BC$2,Kraftvärmeprod!$B$1:$BX$1,0),FALSE))/$AC274,"")</f>
        <v/>
      </c>
      <c r="BD274" s="77" t="str">
        <f>IF($AY274="ja",(VLOOKUP($B274,'Egen hetvattenprod'!$B$1:$BX$550,MATCH(BD$2,'Egen hetvattenprod'!$B$1:$BX$1,0),FALSE)+VLOOKUP($B274,Kraftvärmeprod!$B$1:$BX$550,MATCH(BD$2,Kraftvärmeprod!$B$1:$BX$1,0),FALSE))/$AC274,"")</f>
        <v/>
      </c>
      <c r="BF274" s="63" t="str">
        <f t="shared" si="29"/>
        <v>Nej</v>
      </c>
      <c r="BG274" s="63" t="str">
        <f>IF($BF274="ja",VLOOKUP($B274,'Egen hetvattenprod'!$B$1:$BX$550,MATCH("Andelen klimatgaser med fossilt ursprung för avfall ()",'Egen hetvattenprod'!$B$1:$BX$1,0),FALSE),"")</f>
        <v/>
      </c>
      <c r="BH274" s="63" t="str">
        <f>IF($BF274="ja",VLOOKUP($B274,Kraftvärmeprod!$B$1:$BX$550,MATCH("Andelen klimatgaser med fossilt ursprung för avfall ()",Kraftvärmeprod!$B$1:$BX$1,0),FALSE),"")</f>
        <v/>
      </c>
      <c r="BI274" s="63" t="str">
        <f>IF($BF274="ja",VLOOKUP($B274,'Egen hetvattenprod'!$B$1:$BX$550,MATCH("Avfall (GWh)",'Egen hetvattenprod'!$B$1:$BX$1,0),FALSE),"")</f>
        <v/>
      </c>
      <c r="BJ274" s="63" t="str">
        <f>IF($BF274="ja",VLOOKUP($B274,'Slutlig allokering kvv'!$B$1:$BX$550,MATCH("Avfall (GWh)",'Slutlig allokering kvv'!$B$1:$BX$1,0),FALSE),"")</f>
        <v/>
      </c>
      <c r="BK274" s="63" t="str">
        <f>IF($BF274="ja",VLOOKUP($B274,'Köpt hetvatten'!$B$1:$BX$550,MATCH("Avfall i köpt hetvatten",'Köpt hetvatten'!$B$1:$BX$1,0),FALSE),"")</f>
        <v/>
      </c>
      <c r="BL274" s="63" t="str">
        <f>IF($BF274="ja",VLOOKUP($B274,'Egen hetvattenprod'!$B$1:$BX$550,MATCH("Värde enligt ovan. (%)",'Egen hetvattenprod'!$B$1:$BX$1,0),FALSE),"")</f>
        <v/>
      </c>
      <c r="BM274" s="63" t="str">
        <f>IF($BF274="ja",VLOOKUP($B274,Kraftvärmeprod!$B$1:$BX$550,MATCH("Värde enligt ovan. (%)",Kraftvärmeprod!$B$1:$BX$1,0),FALSE),"")</f>
        <v/>
      </c>
    </row>
    <row r="275" spans="1:65" x14ac:dyDescent="0.45">
      <c r="A275" s="63" t="s">
        <v>321</v>
      </c>
      <c r="B275" s="63" t="s">
        <v>320</v>
      </c>
      <c r="C275" s="63">
        <f>VLOOKUP($B275,'Tillförd energi'!$B$1:$AI$720,MATCH(C$2,'Tillförd energi'!$B$1:$AQ$1,0),FALSE)</f>
        <v>0</v>
      </c>
      <c r="D275" s="63">
        <f>VLOOKUP($B275,'Tillförd energi'!$B$1:$AI$720,MATCH(D$2,'Tillförd energi'!$B$1:$AQ$1,0),FALSE)</f>
        <v>9.4000000000000004E-3</v>
      </c>
      <c r="E275" s="63">
        <f>VLOOKUP($B275,'Tillförd energi'!$B$1:$AI$720,MATCH(E$2,'Tillförd energi'!$B$1:$AQ$1,0),FALSE)</f>
        <v>0</v>
      </c>
      <c r="F275" s="63">
        <f>VLOOKUP($B275,'Tillförd energi'!$B$1:$AI$720,MATCH(F$2,'Tillförd energi'!$B$1:$AQ$1,0),FALSE)</f>
        <v>0</v>
      </c>
      <c r="G275" s="63">
        <f>VLOOKUP($B275,'Tillförd energi'!$B$1:$AI$720,MATCH(G$2,'Tillförd energi'!$B$1:$AQ$1,0),FALSE)</f>
        <v>0</v>
      </c>
      <c r="H275" s="63">
        <f>VLOOKUP($B275,'Tillförd energi'!$B$1:$AI$720,MATCH(H$2,'Tillförd energi'!$B$1:$AQ$1,0),FALSE)</f>
        <v>0</v>
      </c>
      <c r="I275" s="63">
        <f>VLOOKUP($B275,'Tillförd energi'!$B$1:$AI$720,MATCH(I$2,'Tillförd energi'!$B$1:$AQ$1,0),FALSE)</f>
        <v>0</v>
      </c>
      <c r="J275" s="63">
        <f>VLOOKUP($B275,'Tillförd energi'!$B$1:$AI$720,MATCH(J$2,'Tillförd energi'!$B$1:$AQ$1,0),FALSE)</f>
        <v>0</v>
      </c>
      <c r="K275" s="63">
        <f>VLOOKUP($B275,'Tillförd energi'!$B$1:$AI$720,MATCH(K$2,'Tillförd energi'!$B$1:$AQ$1,0),FALSE)</f>
        <v>0</v>
      </c>
      <c r="L275" s="63">
        <f>VLOOKUP($B275,'Tillförd energi'!$B$1:$AI$720,MATCH(L$2,'Tillförd energi'!$B$1:$AQ$1,0),FALSE)</f>
        <v>0</v>
      </c>
      <c r="M275" s="63">
        <f>VLOOKUP($B275,'Tillförd energi'!$B$1:$AI$720,MATCH(M$2,'Tillförd energi'!$B$1:$AQ$1,0),FALSE)</f>
        <v>0</v>
      </c>
      <c r="N275" s="63">
        <f>VLOOKUP($B275,'Tillförd energi'!$B$1:$AI$720,MATCH(N$2,'Tillförd energi'!$B$1:$AQ$1,0),FALSE)</f>
        <v>0</v>
      </c>
      <c r="O275" s="63">
        <f>VLOOKUP($B275,'Tillförd energi'!$B$1:$AI$720,MATCH(O$2,'Tillförd energi'!$B$1:$AQ$1,0),FALSE)</f>
        <v>0</v>
      </c>
      <c r="P275" s="63">
        <f>VLOOKUP($B275,'Tillförd energi'!$B$1:$AI$720,MATCH(P$2,'Tillförd energi'!$B$1:$AQ$1,0),FALSE)</f>
        <v>0</v>
      </c>
      <c r="Q275" s="63">
        <f>VLOOKUP($B275,'Tillförd energi'!$B$1:$AI$720,MATCH(Q$2,'Tillförd energi'!$B$1:$AQ$1,0),FALSE)</f>
        <v>0</v>
      </c>
      <c r="R275" s="63">
        <f>VLOOKUP($B275,'Tillförd energi'!$B$1:$AI$720,MATCH(R$2,'Tillförd energi'!$B$1:$AQ$1,0),FALSE)</f>
        <v>0.93049999999999999</v>
      </c>
      <c r="S275" s="63">
        <f>VLOOKUP($B275,'Tillförd energi'!$B$1:$AI$720,MATCH(S$2,'Tillförd energi'!$B$1:$AQ$1,0),FALSE)</f>
        <v>0</v>
      </c>
      <c r="T275" s="63">
        <f>VLOOKUP($B275,'Tillförd energi'!$B$1:$AI$720,MATCH(T$2,'Tillförd energi'!$B$1:$AQ$1,0),FALSE)</f>
        <v>0</v>
      </c>
      <c r="U275" s="63">
        <f>VLOOKUP($B275,'Tillförd energi'!$B$1:$AI$720,MATCH(U$2,'Tillförd energi'!$B$1:$AQ$1,0),FALSE)</f>
        <v>0</v>
      </c>
      <c r="V275" s="63">
        <f>VLOOKUP($B275,'Tillförd energi'!$B$1:$AI$720,MATCH(V$2,'Tillförd energi'!$B$1:$AQ$1,0),FALSE)</f>
        <v>0</v>
      </c>
      <c r="W275" s="63">
        <f>VLOOKUP($B275,'Tillförd energi'!$B$1:$AI$720,MATCH(W$2,'Tillförd energi'!$B$1:$AQ$1,0),FALSE)</f>
        <v>0</v>
      </c>
      <c r="X275" s="63">
        <f>VLOOKUP($B275,'Tillförd energi'!$B$1:$AI$720,MATCH(X$2,'Tillförd energi'!$B$1:$AQ$1,0),FALSE)</f>
        <v>0</v>
      </c>
      <c r="Y275" s="63">
        <f>VLOOKUP($B275,'Tillförd energi'!$B$1:$AI$720,MATCH(Y$2,'Tillförd energi'!$B$1:$AQ$1,0),FALSE)</f>
        <v>0</v>
      </c>
      <c r="Z275" s="63">
        <f>VLOOKUP($B275,'Tillförd energi'!$B$1:$AI$720,MATCH(Z$2,'Tillförd energi'!$B$1:$AQ$1,0),FALSE)</f>
        <v>0</v>
      </c>
      <c r="AA275" s="63">
        <f>VLOOKUP($B275,'Tillförd energi'!$B$1:$AI$720,MATCH(AA$2,'Tillförd energi'!$B$1:$AQ$1,0),FALSE)</f>
        <v>0</v>
      </c>
      <c r="AB275" s="63">
        <f>VLOOKUP($B275,'Tillförd energi'!$B$1:$AI$720,MATCH(AB$2,'Tillförd energi'!$B$1:$AQ$1,0),FALSE)</f>
        <v>0</v>
      </c>
      <c r="AC275" s="63">
        <f>VLOOKUP($B275,'Tillförd energi'!$B$1:$AI$720,MATCH(AC$2,'Tillförd energi'!$B$1:$AQ$1,0),FALSE)</f>
        <v>0</v>
      </c>
      <c r="AD275" s="63">
        <f>VLOOKUP($B275,'Tillförd energi'!$B$1:$AI$720,MATCH(AD$2,'Tillförd energi'!$B$1:$AQ$1,0),FALSE)</f>
        <v>0</v>
      </c>
      <c r="AE275" s="63">
        <f>VLOOKUP($B275,'Tillförd energi'!$B$1:$AI$720,MATCH(AE$2,'Tillförd energi'!$B$1:$AQ$1,0),FALSE)</f>
        <v>0</v>
      </c>
      <c r="AF275" s="63">
        <f>VLOOKUP($B275,'Tillförd energi'!$B$1:$AI$720,MATCH(AF$2,'Tillförd energi'!$B$1:$AQ$1,0),FALSE)</f>
        <v>2.0500000000000001E-2</v>
      </c>
      <c r="AG275" s="63">
        <f>IFERROR(VLOOKUP(B275,Miljö!$B$1:$AC$550,MATCH("Köpt mängd produktionsspecifik fjärrvärme:",Miljö!$B$1:$AC$1,0),FALSE)/1,0)</f>
        <v>0</v>
      </c>
      <c r="AI275" s="63">
        <f t="shared" si="24"/>
        <v>0.96039999999999992</v>
      </c>
      <c r="AJ275" s="63">
        <f>IF(ISERROR(1/VLOOKUP($B275,Leveranser!$B$1:$S$500,MATCH("såld värme (gwh)",Leveranser!$B$1:$S$1,0),FALSE)),"",VLOOKUP($B275,Leveranser!$B$1:$S$500,MATCH("såld värme (gwh)",Leveranser!$B$1:$S$1,0),FALSE))</f>
        <v>0.94</v>
      </c>
      <c r="AM275" s="63" t="str">
        <f>IF(B275&lt;&gt;"",IF(VLOOKUP($B275,Totalt!$B$1:$AQ$554,MATCH("Kvalitetsgranskad:",Totalt!$B$1:$AQ$1,0),FALSE)="ja",VLOOKUP($B275,Miljö!$B$1:$AG$479,MATCH(AM$2,Miljö!$B$1:$AK$1,0),FALSE),""),"")</f>
        <v>Ja</v>
      </c>
      <c r="AN275" s="63" t="str">
        <f>IF(AM275="ja",VLOOKUP($B275,Miljö!$B$1:$J$479,MATCH("Typ av ursprungsspecificerad el   (Om inget värde anges används Nordisk residualmix, se inforuta) ()",Miljö!$B$1:$J$1,0),FALSE),IF(AM275="nej","Nordisk residualel",""))</f>
        <v>'Förnybart'</v>
      </c>
      <c r="AO275" s="63">
        <f>IF(AM275="","",VLOOKUP($B275,Miljö!$B$1:$J$479,MATCH("Fossilandel för ursprungspecificerad el ()",Miljö!$B$1:$J$1,0),FALSE))</f>
        <v>0</v>
      </c>
      <c r="AQ275" s="63">
        <f t="shared" si="25"/>
        <v>1</v>
      </c>
      <c r="AS275" s="63" t="str">
        <f t="shared" si="26"/>
        <v>Nej</v>
      </c>
      <c r="AT275" s="63" t="str">
        <f>IF(AS275="ja",VLOOKUP($B275,Miljö!$B$1:$P$500,MATCH("Fossil andel i procent (%)",Miljö!$B$1:$P$1,0),FALSE)/100,"")</f>
        <v/>
      </c>
      <c r="AV275" s="63" t="str">
        <f t="shared" si="27"/>
        <v>Nej</v>
      </c>
      <c r="AW275" s="63" t="str">
        <f>IF(AV275="ja",VLOOKUP($B275,'Egen hetvattenprod'!$B$1:$AO$500,MATCH("Värmekälla till värmepumpar ()",'Egen hetvattenprod'!$B$1:$AO$1,0),FALSE),"")</f>
        <v/>
      </c>
      <c r="AY275" s="63" t="str">
        <f t="shared" si="28"/>
        <v>Nej</v>
      </c>
      <c r="AZ275" s="77" t="str">
        <f>IF($AY275="ja",(VLOOKUP($B275,'Egen hetvattenprod'!$B$1:$BX$550,MATCH(AZ$2,'Egen hetvattenprod'!$B$1:$BX$1,0),FALSE)+VLOOKUP($B275,Kraftvärmeprod!$B$1:$BX$550,MATCH(AZ$2,Kraftvärmeprod!$B$1:$BX$1,0),FALSE))/$AC275,"")</f>
        <v/>
      </c>
      <c r="BA275" s="77" t="str">
        <f>IF($AY275="ja",(VLOOKUP($B275,'Egen hetvattenprod'!$B$1:$BX$550,MATCH(BA$2,'Egen hetvattenprod'!$B$1:$BX$1,0),FALSE)+VLOOKUP($B275,Kraftvärmeprod!$B$1:$BX$550,MATCH(BA$2,Kraftvärmeprod!$B$1:$BX$1,0),FALSE))/$AC275,"")</f>
        <v/>
      </c>
      <c r="BB275" s="77" t="str">
        <f>IF($AY275="ja",(VLOOKUP($B275,'Egen hetvattenprod'!$B$1:$BX$550,MATCH(BB$2,'Egen hetvattenprod'!$B$1:$BX$1,0),FALSE)+VLOOKUP($B275,Kraftvärmeprod!$B$1:$BX$550,MATCH(BB$2,Kraftvärmeprod!$B$1:$BX$1,0),FALSE))/$AC275,"")</f>
        <v/>
      </c>
      <c r="BC275" s="77" t="str">
        <f>IF($AY275="ja",(VLOOKUP($B275,'Egen hetvattenprod'!$B$1:$BX$550,MATCH(BC$2,'Egen hetvattenprod'!$B$1:$BX$1,0),FALSE)+VLOOKUP($B275,Kraftvärmeprod!$B$1:$BX$550,MATCH(BC$2,Kraftvärmeprod!$B$1:$BX$1,0),FALSE))/$AC275,"")</f>
        <v/>
      </c>
      <c r="BD275" s="77" t="str">
        <f>IF($AY275="ja",(VLOOKUP($B275,'Egen hetvattenprod'!$B$1:$BX$550,MATCH(BD$2,'Egen hetvattenprod'!$B$1:$BX$1,0),FALSE)+VLOOKUP($B275,Kraftvärmeprod!$B$1:$BX$550,MATCH(BD$2,Kraftvärmeprod!$B$1:$BX$1,0),FALSE))/$AC275,"")</f>
        <v/>
      </c>
      <c r="BF275" s="63" t="str">
        <f t="shared" si="29"/>
        <v>Nej</v>
      </c>
      <c r="BG275" s="63" t="str">
        <f>IF($BF275="ja",VLOOKUP($B275,'Egen hetvattenprod'!$B$1:$BX$550,MATCH("Andelen klimatgaser med fossilt ursprung för avfall ()",'Egen hetvattenprod'!$B$1:$BX$1,0),FALSE),"")</f>
        <v/>
      </c>
      <c r="BH275" s="63" t="str">
        <f>IF($BF275="ja",VLOOKUP($B275,Kraftvärmeprod!$B$1:$BX$550,MATCH("Andelen klimatgaser med fossilt ursprung för avfall ()",Kraftvärmeprod!$B$1:$BX$1,0),FALSE),"")</f>
        <v/>
      </c>
      <c r="BI275" s="63" t="str">
        <f>IF($BF275="ja",VLOOKUP($B275,'Egen hetvattenprod'!$B$1:$BX$550,MATCH("Avfall (GWh)",'Egen hetvattenprod'!$B$1:$BX$1,0),FALSE),"")</f>
        <v/>
      </c>
      <c r="BJ275" s="63" t="str">
        <f>IF($BF275="ja",VLOOKUP($B275,'Slutlig allokering kvv'!$B$1:$BX$550,MATCH("Avfall (GWh)",'Slutlig allokering kvv'!$B$1:$BX$1,0),FALSE),"")</f>
        <v/>
      </c>
      <c r="BK275" s="63" t="str">
        <f>IF($BF275="ja",VLOOKUP($B275,'Köpt hetvatten'!$B$1:$BX$550,MATCH("Avfall i köpt hetvatten",'Köpt hetvatten'!$B$1:$BX$1,0),FALSE),"")</f>
        <v/>
      </c>
      <c r="BL275" s="63" t="str">
        <f>IF($BF275="ja",VLOOKUP($B275,'Egen hetvattenprod'!$B$1:$BX$550,MATCH("Värde enligt ovan. (%)",'Egen hetvattenprod'!$B$1:$BX$1,0),FALSE),"")</f>
        <v/>
      </c>
      <c r="BM275" s="63" t="str">
        <f>IF($BF275="ja",VLOOKUP($B275,Kraftvärmeprod!$B$1:$BX$550,MATCH("Värde enligt ovan. (%)",Kraftvärmeprod!$B$1:$BX$1,0),FALSE),"")</f>
        <v/>
      </c>
    </row>
    <row r="276" spans="1:65" x14ac:dyDescent="0.45">
      <c r="A276" s="63" t="s">
        <v>312</v>
      </c>
      <c r="B276" s="63" t="s">
        <v>313</v>
      </c>
      <c r="C276" s="63">
        <f>VLOOKUP($B276,'Tillförd energi'!$B$1:$AI$720,MATCH(C$2,'Tillförd energi'!$B$1:$AQ$1,0),FALSE)</f>
        <v>0</v>
      </c>
      <c r="D276" s="63">
        <f>VLOOKUP($B276,'Tillförd energi'!$B$1:$AI$720,MATCH(D$2,'Tillförd energi'!$B$1:$AQ$1,0),FALSE)</f>
        <v>0</v>
      </c>
      <c r="E276" s="63">
        <f>VLOOKUP($B276,'Tillförd energi'!$B$1:$AI$720,MATCH(E$2,'Tillförd energi'!$B$1:$AQ$1,0),FALSE)</f>
        <v>0</v>
      </c>
      <c r="F276" s="63">
        <f>VLOOKUP($B276,'Tillförd energi'!$B$1:$AI$720,MATCH(F$2,'Tillförd energi'!$B$1:$AQ$1,0),FALSE)</f>
        <v>0</v>
      </c>
      <c r="G276" s="63">
        <f>VLOOKUP($B276,'Tillförd energi'!$B$1:$AI$720,MATCH(G$2,'Tillförd energi'!$B$1:$AQ$1,0),FALSE)</f>
        <v>0</v>
      </c>
      <c r="H276" s="63">
        <f>VLOOKUP($B276,'Tillförd energi'!$B$1:$AI$720,MATCH(H$2,'Tillförd energi'!$B$1:$AQ$1,0),FALSE)</f>
        <v>0</v>
      </c>
      <c r="I276" s="63">
        <f>VLOOKUP($B276,'Tillförd energi'!$B$1:$AI$720,MATCH(I$2,'Tillförd energi'!$B$1:$AQ$1,0),FALSE)</f>
        <v>0</v>
      </c>
      <c r="J276" s="63">
        <f>VLOOKUP($B276,'Tillförd energi'!$B$1:$AI$720,MATCH(J$2,'Tillförd energi'!$B$1:$AQ$1,0),FALSE)</f>
        <v>0</v>
      </c>
      <c r="K276" s="63">
        <f>VLOOKUP($B276,'Tillförd energi'!$B$1:$AI$720,MATCH(K$2,'Tillförd energi'!$B$1:$AQ$1,0),FALSE)</f>
        <v>0</v>
      </c>
      <c r="L276" s="63">
        <f>VLOOKUP($B276,'Tillförd energi'!$B$1:$AI$720,MATCH(L$2,'Tillförd energi'!$B$1:$AQ$1,0),FALSE)</f>
        <v>0</v>
      </c>
      <c r="M276" s="63">
        <f>VLOOKUP($B276,'Tillförd energi'!$B$1:$AI$720,MATCH(M$2,'Tillförd energi'!$B$1:$AQ$1,0),FALSE)</f>
        <v>0</v>
      </c>
      <c r="N276" s="63">
        <f>VLOOKUP($B276,'Tillförd energi'!$B$1:$AI$720,MATCH(N$2,'Tillförd energi'!$B$1:$AQ$1,0),FALSE)</f>
        <v>0</v>
      </c>
      <c r="O276" s="63">
        <f>VLOOKUP($B276,'Tillförd energi'!$B$1:$AI$720,MATCH(O$2,'Tillförd energi'!$B$1:$AQ$1,0),FALSE)</f>
        <v>0</v>
      </c>
      <c r="P276" s="63">
        <f>VLOOKUP($B276,'Tillförd energi'!$B$1:$AI$720,MATCH(P$2,'Tillförd energi'!$B$1:$AQ$1,0),FALSE)</f>
        <v>0</v>
      </c>
      <c r="Q276" s="63">
        <f>VLOOKUP($B276,'Tillförd energi'!$B$1:$AI$720,MATCH(Q$2,'Tillförd energi'!$B$1:$AQ$1,0),FALSE)</f>
        <v>0</v>
      </c>
      <c r="R276" s="63">
        <f>VLOOKUP($B276,'Tillförd energi'!$B$1:$AI$720,MATCH(R$2,'Tillförd energi'!$B$1:$AQ$1,0),FALSE)</f>
        <v>25.222000000000001</v>
      </c>
      <c r="S276" s="63">
        <f>VLOOKUP($B276,'Tillförd energi'!$B$1:$AI$720,MATCH(S$2,'Tillförd energi'!$B$1:$AQ$1,0),FALSE)</f>
        <v>0</v>
      </c>
      <c r="T276" s="63">
        <f>VLOOKUP($B276,'Tillförd energi'!$B$1:$AI$720,MATCH(T$2,'Tillförd energi'!$B$1:$AQ$1,0),FALSE)</f>
        <v>0</v>
      </c>
      <c r="U276" s="63">
        <f>VLOOKUP($B276,'Tillförd energi'!$B$1:$AI$720,MATCH(U$2,'Tillförd energi'!$B$1:$AQ$1,0),FALSE)</f>
        <v>0</v>
      </c>
      <c r="V276" s="63">
        <f>VLOOKUP($B276,'Tillförd energi'!$B$1:$AI$720,MATCH(V$2,'Tillförd energi'!$B$1:$AQ$1,0),FALSE)</f>
        <v>0</v>
      </c>
      <c r="W276" s="63">
        <f>VLOOKUP($B276,'Tillförd energi'!$B$1:$AI$720,MATCH(W$2,'Tillförd energi'!$B$1:$AQ$1,0),FALSE)</f>
        <v>21.925999999999998</v>
      </c>
      <c r="X276" s="63">
        <f>VLOOKUP($B276,'Tillförd energi'!$B$1:$AI$720,MATCH(X$2,'Tillförd energi'!$B$1:$AQ$1,0),FALSE)</f>
        <v>0</v>
      </c>
      <c r="Y276" s="63">
        <f>VLOOKUP($B276,'Tillförd energi'!$B$1:$AI$720,MATCH(Y$2,'Tillförd energi'!$B$1:$AQ$1,0),FALSE)</f>
        <v>0</v>
      </c>
      <c r="Z276" s="63">
        <f>VLOOKUP($B276,'Tillförd energi'!$B$1:$AI$720,MATCH(Z$2,'Tillförd energi'!$B$1:$AQ$1,0),FALSE)</f>
        <v>4.8470000000000004</v>
      </c>
      <c r="AA276" s="63">
        <f>VLOOKUP($B276,'Tillförd energi'!$B$1:$AI$720,MATCH(AA$2,'Tillförd energi'!$B$1:$AQ$1,0),FALSE)</f>
        <v>7.9450000000000003</v>
      </c>
      <c r="AB276" s="63">
        <f>VLOOKUP($B276,'Tillförd energi'!$B$1:$AI$720,MATCH(AB$2,'Tillförd energi'!$B$1:$AQ$1,0),FALSE)</f>
        <v>9.6660000000000004</v>
      </c>
      <c r="AC276" s="63">
        <f>VLOOKUP($B276,'Tillförd energi'!$B$1:$AI$720,MATCH(AC$2,'Tillförd energi'!$B$1:$AQ$1,0),FALSE)</f>
        <v>0</v>
      </c>
      <c r="AD276" s="63">
        <f>VLOOKUP($B276,'Tillförd energi'!$B$1:$AI$720,MATCH(AD$2,'Tillförd energi'!$B$1:$AQ$1,0),FALSE)</f>
        <v>0</v>
      </c>
      <c r="AE276" s="63">
        <f>VLOOKUP($B276,'Tillförd energi'!$B$1:$AI$720,MATCH(AE$2,'Tillförd energi'!$B$1:$AQ$1,0),FALSE)</f>
        <v>0</v>
      </c>
      <c r="AF276" s="63">
        <f>VLOOKUP($B276,'Tillförd energi'!$B$1:$AI$720,MATCH(AF$2,'Tillförd energi'!$B$1:$AQ$1,0),FALSE)</f>
        <v>0.751</v>
      </c>
      <c r="AG276" s="63">
        <f>IFERROR(VLOOKUP(B276,Miljö!$B$1:$AC$550,MATCH("Köpt mängd produktionsspecifik fjärrvärme:",Miljö!$B$1:$AC$1,0),FALSE)/1,0)</f>
        <v>0</v>
      </c>
      <c r="AI276" s="63">
        <f t="shared" si="24"/>
        <v>70.356999999999999</v>
      </c>
      <c r="AJ276" s="63">
        <f>IF(ISERROR(1/VLOOKUP($B276,Leveranser!$B$1:$S$500,MATCH("såld värme (gwh)",Leveranser!$B$1:$S$1,0),FALSE)),"",VLOOKUP($B276,Leveranser!$B$1:$S$500,MATCH("såld värme (gwh)",Leveranser!$B$1:$S$1,0),FALSE))</f>
        <v>61.47</v>
      </c>
      <c r="AM276" s="63" t="str">
        <f>IF(B276&lt;&gt;"",IF(VLOOKUP($B276,Totalt!$B$1:$AQ$554,MATCH("Kvalitetsgranskad:",Totalt!$B$1:$AQ$1,0),FALSE)="ja",VLOOKUP($B276,Miljö!$B$1:$AG$479,MATCH(AM$2,Miljö!$B$1:$AK$1,0),FALSE),""),"")</f>
        <v>Ja</v>
      </c>
      <c r="AN276" s="63" t="str">
        <f>IF(AM276="ja",VLOOKUP($B276,Miljö!$B$1:$J$479,MATCH("Typ av ursprungsspecificerad el   (Om inget värde anges används Nordisk residualmix, se inforuta) ()",Miljö!$B$1:$J$1,0),FALSE),IF(AM276="nej","Nordisk residualel",""))</f>
        <v>-</v>
      </c>
      <c r="AO276" s="63">
        <f>IF(AM276="","",VLOOKUP($B276,Miljö!$B$1:$J$479,MATCH("Fossilandel för ursprungspecificerad el ()",Miljö!$B$1:$J$1,0),FALSE))</f>
        <v>0.35</v>
      </c>
      <c r="AQ276" s="63">
        <f t="shared" si="25"/>
        <v>0.65</v>
      </c>
      <c r="AS276" s="63" t="str">
        <f t="shared" si="26"/>
        <v>Nej</v>
      </c>
      <c r="AT276" s="63" t="str">
        <f>IF(AS276="ja",VLOOKUP($B276,Miljö!$B$1:$P$500,MATCH("Fossil andel i procent (%)",Miljö!$B$1:$P$1,0),FALSE)/100,"")</f>
        <v/>
      </c>
      <c r="AV276" s="63" t="str">
        <f t="shared" si="27"/>
        <v>Ja</v>
      </c>
      <c r="AW276" s="63" t="str">
        <f>IF(AV276="ja",VLOOKUP($B276,'Egen hetvattenprod'!$B$1:$AO$500,MATCH("Värmekälla till värmepumpar ()",'Egen hetvattenprod'!$B$1:$AO$1,0),FALSE),"")</f>
        <v>Renat avloppsvatten</v>
      </c>
      <c r="AY276" s="63" t="str">
        <f t="shared" si="28"/>
        <v>Nej</v>
      </c>
      <c r="AZ276" s="77" t="str">
        <f>IF($AY276="ja",(VLOOKUP($B276,'Egen hetvattenprod'!$B$1:$BX$550,MATCH(AZ$2,'Egen hetvattenprod'!$B$1:$BX$1,0),FALSE)+VLOOKUP($B276,Kraftvärmeprod!$B$1:$BX$550,MATCH(AZ$2,Kraftvärmeprod!$B$1:$BX$1,0),FALSE))/$AC276,"")</f>
        <v/>
      </c>
      <c r="BA276" s="77" t="str">
        <f>IF($AY276="ja",(VLOOKUP($B276,'Egen hetvattenprod'!$B$1:$BX$550,MATCH(BA$2,'Egen hetvattenprod'!$B$1:$BX$1,0),FALSE)+VLOOKUP($B276,Kraftvärmeprod!$B$1:$BX$550,MATCH(BA$2,Kraftvärmeprod!$B$1:$BX$1,0),FALSE))/$AC276,"")</f>
        <v/>
      </c>
      <c r="BB276" s="77" t="str">
        <f>IF($AY276="ja",(VLOOKUP($B276,'Egen hetvattenprod'!$B$1:$BX$550,MATCH(BB$2,'Egen hetvattenprod'!$B$1:$BX$1,0),FALSE)+VLOOKUP($B276,Kraftvärmeprod!$B$1:$BX$550,MATCH(BB$2,Kraftvärmeprod!$B$1:$BX$1,0),FALSE))/$AC276,"")</f>
        <v/>
      </c>
      <c r="BC276" s="77" t="str">
        <f>IF($AY276="ja",(VLOOKUP($B276,'Egen hetvattenprod'!$B$1:$BX$550,MATCH(BC$2,'Egen hetvattenprod'!$B$1:$BX$1,0),FALSE)+VLOOKUP($B276,Kraftvärmeprod!$B$1:$BX$550,MATCH(BC$2,Kraftvärmeprod!$B$1:$BX$1,0),FALSE))/$AC276,"")</f>
        <v/>
      </c>
      <c r="BD276" s="77" t="str">
        <f>IF($AY276="ja",(VLOOKUP($B276,'Egen hetvattenprod'!$B$1:$BX$550,MATCH(BD$2,'Egen hetvattenprod'!$B$1:$BX$1,0),FALSE)+VLOOKUP($B276,Kraftvärmeprod!$B$1:$BX$550,MATCH(BD$2,Kraftvärmeprod!$B$1:$BX$1,0),FALSE))/$AC276,"")</f>
        <v/>
      </c>
      <c r="BF276" s="63" t="str">
        <f t="shared" si="29"/>
        <v>Nej</v>
      </c>
      <c r="BG276" s="63" t="str">
        <f>IF($BF276="ja",VLOOKUP($B276,'Egen hetvattenprod'!$B$1:$BX$550,MATCH("Andelen klimatgaser med fossilt ursprung för avfall ()",'Egen hetvattenprod'!$B$1:$BX$1,0),FALSE),"")</f>
        <v/>
      </c>
      <c r="BH276" s="63" t="str">
        <f>IF($BF276="ja",VLOOKUP($B276,Kraftvärmeprod!$B$1:$BX$550,MATCH("Andelen klimatgaser med fossilt ursprung för avfall ()",Kraftvärmeprod!$B$1:$BX$1,0),FALSE),"")</f>
        <v/>
      </c>
      <c r="BI276" s="63" t="str">
        <f>IF($BF276="ja",VLOOKUP($B276,'Egen hetvattenprod'!$B$1:$BX$550,MATCH("Avfall (GWh)",'Egen hetvattenprod'!$B$1:$BX$1,0),FALSE),"")</f>
        <v/>
      </c>
      <c r="BJ276" s="63" t="str">
        <f>IF($BF276="ja",VLOOKUP($B276,'Slutlig allokering kvv'!$B$1:$BX$550,MATCH("Avfall (GWh)",'Slutlig allokering kvv'!$B$1:$BX$1,0),FALSE),"")</f>
        <v/>
      </c>
      <c r="BK276" s="63" t="str">
        <f>IF($BF276="ja",VLOOKUP($B276,'Köpt hetvatten'!$B$1:$BX$550,MATCH("Avfall i köpt hetvatten",'Köpt hetvatten'!$B$1:$BX$1,0),FALSE),"")</f>
        <v/>
      </c>
      <c r="BL276" s="63" t="str">
        <f>IF($BF276="ja",VLOOKUP($B276,'Egen hetvattenprod'!$B$1:$BX$550,MATCH("Värde enligt ovan. (%)",'Egen hetvattenprod'!$B$1:$BX$1,0),FALSE),"")</f>
        <v/>
      </c>
      <c r="BM276" s="63" t="str">
        <f>IF($BF276="ja",VLOOKUP($B276,Kraftvärmeprod!$B$1:$BX$550,MATCH("Värde enligt ovan. (%)",Kraftvärmeprod!$B$1:$BX$1,0),FALSE),"")</f>
        <v/>
      </c>
    </row>
    <row r="277" spans="1:65" x14ac:dyDescent="0.45">
      <c r="A277" s="63" t="s">
        <v>312</v>
      </c>
      <c r="B277" s="63" t="s">
        <v>112</v>
      </c>
      <c r="C277" s="63">
        <f>VLOOKUP($B277,'Tillförd energi'!$B$1:$AI$720,MATCH(C$2,'Tillförd energi'!$B$1:$AQ$1,0),FALSE)</f>
        <v>371.791</v>
      </c>
      <c r="D277" s="63">
        <f>VLOOKUP($B277,'Tillförd energi'!$B$1:$AI$720,MATCH(D$2,'Tillförd energi'!$B$1:$AQ$1,0),FALSE)</f>
        <v>111.928</v>
      </c>
      <c r="E277" s="63">
        <f>VLOOKUP($B277,'Tillförd energi'!$B$1:$AI$720,MATCH(E$2,'Tillförd energi'!$B$1:$AQ$1,0),FALSE)</f>
        <v>0</v>
      </c>
      <c r="F277" s="63">
        <f>VLOOKUP($B277,'Tillförd energi'!$B$1:$AI$720,MATCH(F$2,'Tillförd energi'!$B$1:$AQ$1,0),FALSE)</f>
        <v>30.698</v>
      </c>
      <c r="G277" s="63">
        <f>VLOOKUP($B277,'Tillförd energi'!$B$1:$AI$720,MATCH(G$2,'Tillförd energi'!$B$1:$AQ$1,0),FALSE)</f>
        <v>0</v>
      </c>
      <c r="H277" s="63">
        <f>VLOOKUP($B277,'Tillförd energi'!$B$1:$AI$720,MATCH(H$2,'Tillförd energi'!$B$1:$AQ$1,0),FALSE)</f>
        <v>0</v>
      </c>
      <c r="I277" s="63">
        <f>VLOOKUP($B277,'Tillförd energi'!$B$1:$AI$720,MATCH(I$2,'Tillförd energi'!$B$1:$AQ$1,0),FALSE)</f>
        <v>2048.04</v>
      </c>
      <c r="J277" s="63">
        <f>VLOOKUP($B277,'Tillförd energi'!$B$1:$AI$720,MATCH(J$2,'Tillförd energi'!$B$1:$AQ$1,0),FALSE)</f>
        <v>0</v>
      </c>
      <c r="K277" s="63">
        <f>VLOOKUP($B277,'Tillförd energi'!$B$1:$AI$720,MATCH(K$2,'Tillförd energi'!$B$1:$AQ$1,0),FALSE)</f>
        <v>0</v>
      </c>
      <c r="L277" s="63">
        <f>VLOOKUP($B277,'Tillförd energi'!$B$1:$AI$720,MATCH(L$2,'Tillförd energi'!$B$1:$AQ$1,0),FALSE)</f>
        <v>207.66300000000001</v>
      </c>
      <c r="M277" s="63">
        <f>VLOOKUP($B277,'Tillförd energi'!$B$1:$AI$720,MATCH(M$2,'Tillförd energi'!$B$1:$AQ$1,0),FALSE)</f>
        <v>0</v>
      </c>
      <c r="N277" s="63">
        <f>VLOOKUP($B277,'Tillförd energi'!$B$1:$AI$720,MATCH(N$2,'Tillförd energi'!$B$1:$AQ$1,0),FALSE)</f>
        <v>1288.6199999999999</v>
      </c>
      <c r="O277" s="63">
        <f>VLOOKUP($B277,'Tillförd energi'!$B$1:$AI$720,MATCH(O$2,'Tillförd energi'!$B$1:$AQ$1,0),FALSE)</f>
        <v>0</v>
      </c>
      <c r="P277" s="63">
        <f>VLOOKUP($B277,'Tillförd energi'!$B$1:$AI$720,MATCH(P$2,'Tillförd energi'!$B$1:$AQ$1,0),FALSE)</f>
        <v>0</v>
      </c>
      <c r="Q277" s="63">
        <f>VLOOKUP($B277,'Tillförd energi'!$B$1:$AI$720,MATCH(Q$2,'Tillförd energi'!$B$1:$AQ$1,0),FALSE)</f>
        <v>14.712999999999999</v>
      </c>
      <c r="R277" s="63">
        <f>VLOOKUP($B277,'Tillförd energi'!$B$1:$AI$720,MATCH(R$2,'Tillförd energi'!$B$1:$AQ$1,0),FALSE)</f>
        <v>408.36399999999998</v>
      </c>
      <c r="S277" s="63">
        <f>VLOOKUP($B277,'Tillförd energi'!$B$1:$AI$720,MATCH(S$2,'Tillförd energi'!$B$1:$AQ$1,0),FALSE)</f>
        <v>0</v>
      </c>
      <c r="T277" s="63">
        <f>VLOOKUP($B277,'Tillförd energi'!$B$1:$AI$720,MATCH(T$2,'Tillförd energi'!$B$1:$AQ$1,0),FALSE)</f>
        <v>0</v>
      </c>
      <c r="U277" s="63">
        <f>VLOOKUP($B277,'Tillförd energi'!$B$1:$AI$720,MATCH(U$2,'Tillförd energi'!$B$1:$AQ$1,0),FALSE)</f>
        <v>0</v>
      </c>
      <c r="V277" s="63">
        <f>VLOOKUP($B277,'Tillförd energi'!$B$1:$AI$720,MATCH(V$2,'Tillförd energi'!$B$1:$AQ$1,0),FALSE)</f>
        <v>57.862000000000002</v>
      </c>
      <c r="W277" s="63">
        <f>VLOOKUP($B277,'Tillförd energi'!$B$1:$AI$720,MATCH(W$2,'Tillförd energi'!$B$1:$AQ$1,0),FALSE)</f>
        <v>360.12599999999998</v>
      </c>
      <c r="X277" s="63">
        <f>VLOOKUP($B277,'Tillförd energi'!$B$1:$AI$720,MATCH(X$2,'Tillförd energi'!$B$1:$AQ$1,0),FALSE)</f>
        <v>0</v>
      </c>
      <c r="Y277" s="63">
        <f>VLOOKUP($B277,'Tillförd energi'!$B$1:$AI$720,MATCH(Y$2,'Tillförd energi'!$B$1:$AQ$1,0),FALSE)</f>
        <v>0</v>
      </c>
      <c r="Z277" s="63">
        <f>VLOOKUP($B277,'Tillförd energi'!$B$1:$AI$720,MATCH(Z$2,'Tillförd energi'!$B$1:$AQ$1,0),FALSE)</f>
        <v>23.577000000000002</v>
      </c>
      <c r="AA277" s="63">
        <f>VLOOKUP($B277,'Tillförd energi'!$B$1:$AI$720,MATCH(AA$2,'Tillförd energi'!$B$1:$AQ$1,0),FALSE)</f>
        <v>566.95000000000005</v>
      </c>
      <c r="AB277" s="63">
        <f>VLOOKUP($B277,'Tillförd energi'!$B$1:$AI$720,MATCH(AB$2,'Tillförd energi'!$B$1:$AQ$1,0),FALSE)</f>
        <v>1174.71</v>
      </c>
      <c r="AC277" s="63">
        <f>VLOOKUP($B277,'Tillförd energi'!$B$1:$AI$720,MATCH(AC$2,'Tillförd energi'!$B$1:$AQ$1,0),FALSE)</f>
        <v>1087.71</v>
      </c>
      <c r="AD277" s="63">
        <f>VLOOKUP($B277,'Tillförd energi'!$B$1:$AI$720,MATCH(AD$2,'Tillförd energi'!$B$1:$AQ$1,0),FALSE)</f>
        <v>0</v>
      </c>
      <c r="AE277" s="63">
        <f>VLOOKUP($B277,'Tillförd energi'!$B$1:$AI$720,MATCH(AE$2,'Tillförd energi'!$B$1:$AQ$1,0),FALSE)</f>
        <v>0</v>
      </c>
      <c r="AF277" s="63">
        <f>VLOOKUP($B277,'Tillförd energi'!$B$1:$AI$720,MATCH(AF$2,'Tillförd energi'!$B$1:$AQ$1,0),FALSE)</f>
        <v>251.97</v>
      </c>
      <c r="AG277" s="63">
        <f>IFERROR(VLOOKUP(B277,Miljö!$B$1:$AC$550,MATCH("Köpt mängd produktionsspecifik fjärrvärme:",Miljö!$B$1:$AC$1,0),FALSE)/1,0)</f>
        <v>0</v>
      </c>
      <c r="AI277" s="63">
        <f t="shared" si="24"/>
        <v>8004.7220000000007</v>
      </c>
      <c r="AJ277" s="63">
        <f>IF(ISERROR(1/VLOOKUP($B277,Leveranser!$B$1:$S$500,MATCH("såld värme (gwh)",Leveranser!$B$1:$S$1,0),FALSE)),"",VLOOKUP($B277,Leveranser!$B$1:$S$500,MATCH("såld värme (gwh)",Leveranser!$B$1:$S$1,0),FALSE))</f>
        <v>8032.2060000000001</v>
      </c>
      <c r="AM277" s="63" t="str">
        <f>IF(B277&lt;&gt;"",IF(VLOOKUP($B277,Totalt!$B$1:$AQ$554,MATCH("Kvalitetsgranskad:",Totalt!$B$1:$AQ$1,0),FALSE)="ja",VLOOKUP($B277,Miljö!$B$1:$AG$479,MATCH(AM$2,Miljö!$B$1:$AK$1,0),FALSE),""),"")</f>
        <v>Ja</v>
      </c>
      <c r="AN277" s="63" t="str">
        <f>IF(AM277="ja",VLOOKUP($B277,Miljö!$B$1:$J$479,MATCH("Typ av ursprungsspecificerad el   (Om inget värde anges används Nordisk residualmix, se inforuta) ()",Miljö!$B$1:$J$1,0),FALSE),IF(AM277="nej","Nordisk residualel",""))</f>
        <v>'Mix BIo. vattenkraft'</v>
      </c>
      <c r="AO277" s="63">
        <f>IF(AM277="","",VLOOKUP($B277,Miljö!$B$1:$J$479,MATCH("Fossilandel för ursprungspecificerad el ()",Miljö!$B$1:$J$1,0),FALSE))</f>
        <v>0</v>
      </c>
      <c r="AQ277" s="63">
        <f t="shared" si="25"/>
        <v>1</v>
      </c>
      <c r="AS277" s="63" t="str">
        <f t="shared" si="26"/>
        <v>Nej</v>
      </c>
      <c r="AT277" s="63" t="str">
        <f>IF(AS277="ja",VLOOKUP($B277,Miljö!$B$1:$P$500,MATCH("Fossil andel i procent (%)",Miljö!$B$1:$P$1,0),FALSE)/100,"")</f>
        <v/>
      </c>
      <c r="AV277" s="63" t="str">
        <f t="shared" si="27"/>
        <v>Ja</v>
      </c>
      <c r="AW277" s="63" t="str">
        <f>IF(AV277="ja",VLOOKUP($B277,'Egen hetvattenprod'!$B$1:$AO$500,MATCH("Värmekälla till värmepumpar ()",'Egen hetvattenprod'!$B$1:$AO$1,0),FALSE),"")</f>
        <v>Renat avloppsvatten</v>
      </c>
      <c r="AY277" s="63" t="str">
        <f t="shared" si="28"/>
        <v>Ja</v>
      </c>
      <c r="AZ277" s="77">
        <f>IF($AY277="ja",(VLOOKUP($B277,'Egen hetvattenprod'!$B$1:$BX$550,MATCH(AZ$2,'Egen hetvattenprod'!$B$1:$BX$1,0),FALSE)+VLOOKUP($B277,Kraftvärmeprod!$B$1:$BX$550,MATCH(AZ$2,Kraftvärmeprod!$B$1:$BX$1,0),FALSE))/$AC277,"")</f>
        <v>0.53920038879848486</v>
      </c>
      <c r="BA277" s="77">
        <f>IF($AY277="ja",(VLOOKUP($B277,'Egen hetvattenprod'!$B$1:$BX$550,MATCH(BA$2,'Egen hetvattenprod'!$B$1:$BX$1,0),FALSE)+VLOOKUP($B277,Kraftvärmeprod!$B$1:$BX$550,MATCH(BA$2,Kraftvärmeprod!$B$1:$BX$1,0),FALSE))/$AC277,"")</f>
        <v>0.37259577277031564</v>
      </c>
      <c r="BB277" s="77">
        <f>IF($AY277="ja",(VLOOKUP($B277,'Egen hetvattenprod'!$B$1:$BX$550,MATCH(BB$2,'Egen hetvattenprod'!$B$1:$BX$1,0),FALSE)+VLOOKUP($B277,Kraftvärmeprod!$B$1:$BX$550,MATCH(BB$2,Kraftvärmeprod!$B$1:$BX$1,0),FALSE))/$AC277,"")</f>
        <v>8.8207515881990606E-2</v>
      </c>
      <c r="BC277" s="77">
        <f>IF($AY277="ja",(VLOOKUP($B277,'Egen hetvattenprod'!$B$1:$BX$550,MATCH(BC$2,'Egen hetvattenprod'!$B$1:$BX$1,0),FALSE)+VLOOKUP($B277,Kraftvärmeprod!$B$1:$BX$550,MATCH(BC$2,Kraftvärmeprod!$B$1:$BX$1,0),FALSE))/$AC277,"")</f>
        <v>0</v>
      </c>
      <c r="BD277" s="77">
        <f>IF($AY277="ja",(VLOOKUP($B277,'Egen hetvattenprod'!$B$1:$BX$550,MATCH(BD$2,'Egen hetvattenprod'!$B$1:$BX$1,0),FALSE)+VLOOKUP($B277,Kraftvärmeprod!$B$1:$BX$550,MATCH(BD$2,Kraftvärmeprod!$B$1:$BX$1,0),FALSE))/$AC277,"")</f>
        <v>0</v>
      </c>
      <c r="BF277" s="63" t="str">
        <f t="shared" si="29"/>
        <v>Ja</v>
      </c>
      <c r="BG277" s="63" t="str">
        <f>IF($BF277="ja",VLOOKUP($B277,'Egen hetvattenprod'!$B$1:$BX$550,MATCH("Andelen klimatgaser med fossilt ursprung för avfall ()",'Egen hetvattenprod'!$B$1:$BX$1,0),FALSE),"")</f>
        <v>Schablon</v>
      </c>
      <c r="BH277" s="63" t="str">
        <f>IF($BF277="ja",VLOOKUP($B277,Kraftvärmeprod!$B$1:$BX$550,MATCH("Andelen klimatgaser med fossilt ursprung för avfall ()",Kraftvärmeprod!$B$1:$BX$1,0),FALSE),"")</f>
        <v>Schablon</v>
      </c>
      <c r="BI277" s="63">
        <f>IF($BF277="ja",VLOOKUP($B277,'Egen hetvattenprod'!$B$1:$BX$550,MATCH("Avfall (GWh)",'Egen hetvattenprod'!$B$1:$BX$1,0),FALSE),"")</f>
        <v>1134.627</v>
      </c>
      <c r="BJ277" s="63">
        <f>IF($BF277="ja",VLOOKUP($B277,'Slutlig allokering kvv'!$B$1:$BX$550,MATCH("Avfall (GWh)",'Slutlig allokering kvv'!$B$1:$BX$1,0),FALSE),"")</f>
        <v>913.41</v>
      </c>
      <c r="BK277" s="63">
        <f>IF($BF277="ja",VLOOKUP($B277,'Köpt hetvatten'!$B$1:$BX$550,MATCH("Avfall i köpt hetvatten",'Köpt hetvatten'!$B$1:$BX$1,0),FALSE),"")</f>
        <v>0</v>
      </c>
      <c r="BL277" s="63">
        <f>IF($BF277="ja",VLOOKUP($B277,'Egen hetvattenprod'!$B$1:$BX$550,MATCH("Värde enligt ovan. (%)",'Egen hetvattenprod'!$B$1:$BX$1,0),FALSE),"")</f>
        <v>37</v>
      </c>
      <c r="BM277" s="63">
        <f>IF($BF277="ja",VLOOKUP($B277,Kraftvärmeprod!$B$1:$BX$550,MATCH("Värde enligt ovan. (%)",Kraftvärmeprod!$B$1:$BX$1,0),FALSE),"")</f>
        <v>37</v>
      </c>
    </row>
    <row r="278" spans="1:65" x14ac:dyDescent="0.45">
      <c r="A278" s="63" t="s">
        <v>312</v>
      </c>
      <c r="B278" s="63" t="s">
        <v>319</v>
      </c>
      <c r="C278" s="63">
        <f>VLOOKUP($B278,'Tillförd energi'!$B$1:$AI$720,MATCH(C$2,'Tillförd energi'!$B$1:$AQ$1,0),FALSE)</f>
        <v>0</v>
      </c>
      <c r="D278" s="63">
        <f>VLOOKUP($B278,'Tillförd energi'!$B$1:$AI$720,MATCH(D$2,'Tillförd energi'!$B$1:$AQ$1,0),FALSE)</f>
        <v>0</v>
      </c>
      <c r="E278" s="63">
        <f>VLOOKUP($B278,'Tillförd energi'!$B$1:$AI$720,MATCH(E$2,'Tillförd energi'!$B$1:$AQ$1,0),FALSE)</f>
        <v>0</v>
      </c>
      <c r="F278" s="63">
        <f>VLOOKUP($B278,'Tillförd energi'!$B$1:$AI$720,MATCH(F$2,'Tillförd energi'!$B$1:$AQ$1,0),FALSE)</f>
        <v>0</v>
      </c>
      <c r="G278" s="63">
        <f>VLOOKUP($B278,'Tillförd energi'!$B$1:$AI$720,MATCH(G$2,'Tillförd energi'!$B$1:$AQ$1,0),FALSE)</f>
        <v>0</v>
      </c>
      <c r="H278" s="63">
        <f>VLOOKUP($B278,'Tillförd energi'!$B$1:$AI$720,MATCH(H$2,'Tillförd energi'!$B$1:$AQ$1,0),FALSE)</f>
        <v>0</v>
      </c>
      <c r="I278" s="63">
        <f>VLOOKUP($B278,'Tillförd energi'!$B$1:$AI$720,MATCH(I$2,'Tillförd energi'!$B$1:$AQ$1,0),FALSE)</f>
        <v>0</v>
      </c>
      <c r="J278" s="63">
        <f>VLOOKUP($B278,'Tillförd energi'!$B$1:$AI$720,MATCH(J$2,'Tillförd energi'!$B$1:$AQ$1,0),FALSE)</f>
        <v>0</v>
      </c>
      <c r="K278" s="63">
        <f>VLOOKUP($B278,'Tillförd energi'!$B$1:$AI$720,MATCH(K$2,'Tillförd energi'!$B$1:$AQ$1,0),FALSE)</f>
        <v>0</v>
      </c>
      <c r="L278" s="63">
        <f>VLOOKUP($B278,'Tillförd energi'!$B$1:$AI$720,MATCH(L$2,'Tillförd energi'!$B$1:$AQ$1,0),FALSE)</f>
        <v>0</v>
      </c>
      <c r="M278" s="63">
        <f>VLOOKUP($B278,'Tillförd energi'!$B$1:$AI$720,MATCH(M$2,'Tillförd energi'!$B$1:$AQ$1,0),FALSE)</f>
        <v>0</v>
      </c>
      <c r="N278" s="63">
        <f>VLOOKUP($B278,'Tillförd energi'!$B$1:$AI$720,MATCH(N$2,'Tillförd energi'!$B$1:$AQ$1,0),FALSE)</f>
        <v>0</v>
      </c>
      <c r="O278" s="63">
        <f>VLOOKUP($B278,'Tillförd energi'!$B$1:$AI$720,MATCH(O$2,'Tillförd energi'!$B$1:$AQ$1,0),FALSE)</f>
        <v>0</v>
      </c>
      <c r="P278" s="63">
        <f>VLOOKUP($B278,'Tillförd energi'!$B$1:$AI$720,MATCH(P$2,'Tillförd energi'!$B$1:$AQ$1,0),FALSE)</f>
        <v>0</v>
      </c>
      <c r="Q278" s="63">
        <f>VLOOKUP($B278,'Tillförd energi'!$B$1:$AI$720,MATCH(Q$2,'Tillförd energi'!$B$1:$AQ$1,0),FALSE)</f>
        <v>0</v>
      </c>
      <c r="R278" s="63">
        <f>VLOOKUP($B278,'Tillförd energi'!$B$1:$AI$720,MATCH(R$2,'Tillförd energi'!$B$1:$AQ$1,0),FALSE)</f>
        <v>0</v>
      </c>
      <c r="S278" s="63">
        <f>VLOOKUP($B278,'Tillförd energi'!$B$1:$AI$720,MATCH(S$2,'Tillförd energi'!$B$1:$AQ$1,0),FALSE)</f>
        <v>0</v>
      </c>
      <c r="T278" s="63">
        <f>VLOOKUP($B278,'Tillförd energi'!$B$1:$AI$720,MATCH(T$2,'Tillförd energi'!$B$1:$AQ$1,0),FALSE)</f>
        <v>0</v>
      </c>
      <c r="U278" s="63">
        <f>VLOOKUP($B278,'Tillförd energi'!$B$1:$AI$720,MATCH(U$2,'Tillförd energi'!$B$1:$AQ$1,0),FALSE)</f>
        <v>0</v>
      </c>
      <c r="V278" s="63">
        <f>VLOOKUP($B278,'Tillförd energi'!$B$1:$AI$720,MATCH(V$2,'Tillförd energi'!$B$1:$AQ$1,0),FALSE)</f>
        <v>0</v>
      </c>
      <c r="W278" s="63">
        <f>VLOOKUP($B278,'Tillförd energi'!$B$1:$AI$720,MATCH(W$2,'Tillförd energi'!$B$1:$AQ$1,0),FALSE)</f>
        <v>0</v>
      </c>
      <c r="X278" s="63">
        <f>VLOOKUP($B278,'Tillförd energi'!$B$1:$AI$720,MATCH(X$2,'Tillförd energi'!$B$1:$AQ$1,0),FALSE)</f>
        <v>0</v>
      </c>
      <c r="Y278" s="63">
        <f>VLOOKUP($B278,'Tillförd energi'!$B$1:$AI$720,MATCH(Y$2,'Tillförd energi'!$B$1:$AQ$1,0),FALSE)</f>
        <v>0</v>
      </c>
      <c r="Z278" s="63">
        <f>VLOOKUP($B278,'Tillförd energi'!$B$1:$AI$720,MATCH(Z$2,'Tillförd energi'!$B$1:$AQ$1,0),FALSE)</f>
        <v>0</v>
      </c>
      <c r="AA278" s="63">
        <f>VLOOKUP($B278,'Tillförd energi'!$B$1:$AI$720,MATCH(AA$2,'Tillförd energi'!$B$1:$AQ$1,0),FALSE)</f>
        <v>0</v>
      </c>
      <c r="AB278" s="63">
        <f>VLOOKUP($B278,'Tillförd energi'!$B$1:$AI$720,MATCH(AB$2,'Tillförd energi'!$B$1:$AQ$1,0),FALSE)</f>
        <v>0</v>
      </c>
      <c r="AC278" s="63">
        <f>VLOOKUP($B278,'Tillförd energi'!$B$1:$AI$720,MATCH(AC$2,'Tillförd energi'!$B$1:$AQ$1,0),FALSE)</f>
        <v>0</v>
      </c>
      <c r="AD278" s="63">
        <f>VLOOKUP($B278,'Tillförd energi'!$B$1:$AI$720,MATCH(AD$2,'Tillförd energi'!$B$1:$AQ$1,0),FALSE)</f>
        <v>0</v>
      </c>
      <c r="AE278" s="63">
        <f>VLOOKUP($B278,'Tillförd energi'!$B$1:$AI$720,MATCH(AE$2,'Tillförd energi'!$B$1:$AQ$1,0),FALSE)</f>
        <v>0</v>
      </c>
      <c r="AF278" s="63">
        <f>VLOOKUP($B278,'Tillförd energi'!$B$1:$AI$720,MATCH(AF$2,'Tillförd energi'!$B$1:$AQ$1,0),FALSE)</f>
        <v>0</v>
      </c>
      <c r="AG278" s="63">
        <f>IFERROR(VLOOKUP(B278,Miljö!$B$1:$AC$550,MATCH("Köpt mängd produktionsspecifik fjärrvärme:",Miljö!$B$1:$AC$1,0),FALSE)/1,0)</f>
        <v>0</v>
      </c>
      <c r="AI278" s="63">
        <f t="shared" si="24"/>
        <v>0</v>
      </c>
      <c r="AJ278" s="63" t="str">
        <f>IF(ISERROR(1/VLOOKUP($B278,Leveranser!$B$1:$S$500,MATCH("såld värme (gwh)",Leveranser!$B$1:$S$1,0),FALSE)),"",VLOOKUP($B278,Leveranser!$B$1:$S$500,MATCH("såld värme (gwh)",Leveranser!$B$1:$S$1,0),FALSE))</f>
        <v/>
      </c>
      <c r="AM278" s="63" t="str">
        <f>IF(B278&lt;&gt;"",IF(VLOOKUP($B278,Totalt!$B$1:$AQ$554,MATCH("Kvalitetsgranskad:",Totalt!$B$1:$AQ$1,0),FALSE)="ja",VLOOKUP($B278,Miljö!$B$1:$AG$479,MATCH(AM$2,Miljö!$B$1:$AK$1,0),FALSE),""),"")</f>
        <v/>
      </c>
      <c r="AN278" s="63" t="str">
        <f>IF(AM278="ja",VLOOKUP($B278,Miljö!$B$1:$J$479,MATCH("Typ av ursprungsspecificerad el   (Om inget värde anges används Nordisk residualmix, se inforuta) ()",Miljö!$B$1:$J$1,0),FALSE),IF(AM278="nej","Nordisk residualel",""))</f>
        <v/>
      </c>
      <c r="AO278" s="63" t="str">
        <f>IF(AM278="","",VLOOKUP($B278,Miljö!$B$1:$J$479,MATCH("Fossilandel för ursprungspecificerad el ()",Miljö!$B$1:$J$1,0),FALSE))</f>
        <v/>
      </c>
      <c r="AQ278" s="63" t="str">
        <f t="shared" si="25"/>
        <v/>
      </c>
      <c r="AS278" s="63" t="str">
        <f t="shared" si="26"/>
        <v>Nej</v>
      </c>
      <c r="AT278" s="63" t="str">
        <f>IF(AS278="ja",VLOOKUP($B278,Miljö!$B$1:$P$500,MATCH("Fossil andel i procent (%)",Miljö!$B$1:$P$1,0),FALSE)/100,"")</f>
        <v/>
      </c>
      <c r="AV278" s="63" t="str">
        <f t="shared" si="27"/>
        <v>Nej</v>
      </c>
      <c r="AW278" s="63" t="str">
        <f>IF(AV278="ja",VLOOKUP($B278,'Egen hetvattenprod'!$B$1:$AO$500,MATCH("Värmekälla till värmepumpar ()",'Egen hetvattenprod'!$B$1:$AO$1,0),FALSE),"")</f>
        <v/>
      </c>
      <c r="AY278" s="63" t="str">
        <f t="shared" si="28"/>
        <v>Nej</v>
      </c>
      <c r="AZ278" s="77" t="str">
        <f>IF($AY278="ja",(VLOOKUP($B278,'Egen hetvattenprod'!$B$1:$BX$550,MATCH(AZ$2,'Egen hetvattenprod'!$B$1:$BX$1,0),FALSE)+VLOOKUP($B278,Kraftvärmeprod!$B$1:$BX$550,MATCH(AZ$2,Kraftvärmeprod!$B$1:$BX$1,0),FALSE))/$AC278,"")</f>
        <v/>
      </c>
      <c r="BA278" s="77" t="str">
        <f>IF($AY278="ja",(VLOOKUP($B278,'Egen hetvattenprod'!$B$1:$BX$550,MATCH(BA$2,'Egen hetvattenprod'!$B$1:$BX$1,0),FALSE)+VLOOKUP($B278,Kraftvärmeprod!$B$1:$BX$550,MATCH(BA$2,Kraftvärmeprod!$B$1:$BX$1,0),FALSE))/$AC278,"")</f>
        <v/>
      </c>
      <c r="BB278" s="77" t="str">
        <f>IF($AY278="ja",(VLOOKUP($B278,'Egen hetvattenprod'!$B$1:$BX$550,MATCH(BB$2,'Egen hetvattenprod'!$B$1:$BX$1,0),FALSE)+VLOOKUP($B278,Kraftvärmeprod!$B$1:$BX$550,MATCH(BB$2,Kraftvärmeprod!$B$1:$BX$1,0),FALSE))/$AC278,"")</f>
        <v/>
      </c>
      <c r="BC278" s="77" t="str">
        <f>IF($AY278="ja",(VLOOKUP($B278,'Egen hetvattenprod'!$B$1:$BX$550,MATCH(BC$2,'Egen hetvattenprod'!$B$1:$BX$1,0),FALSE)+VLOOKUP($B278,Kraftvärmeprod!$B$1:$BX$550,MATCH(BC$2,Kraftvärmeprod!$B$1:$BX$1,0),FALSE))/$AC278,"")</f>
        <v/>
      </c>
      <c r="BD278" s="77" t="str">
        <f>IF($AY278="ja",(VLOOKUP($B278,'Egen hetvattenprod'!$B$1:$BX$550,MATCH(BD$2,'Egen hetvattenprod'!$B$1:$BX$1,0),FALSE)+VLOOKUP($B278,Kraftvärmeprod!$B$1:$BX$550,MATCH(BD$2,Kraftvärmeprod!$B$1:$BX$1,0),FALSE))/$AC278,"")</f>
        <v/>
      </c>
      <c r="BF278" s="63" t="str">
        <f t="shared" si="29"/>
        <v>Nej</v>
      </c>
      <c r="BG278" s="63" t="str">
        <f>IF($BF278="ja",VLOOKUP($B278,'Egen hetvattenprod'!$B$1:$BX$550,MATCH("Andelen klimatgaser med fossilt ursprung för avfall ()",'Egen hetvattenprod'!$B$1:$BX$1,0),FALSE),"")</f>
        <v/>
      </c>
      <c r="BH278" s="63" t="str">
        <f>IF($BF278="ja",VLOOKUP($B278,Kraftvärmeprod!$B$1:$BX$550,MATCH("Andelen klimatgaser med fossilt ursprung för avfall ()",Kraftvärmeprod!$B$1:$BX$1,0),FALSE),"")</f>
        <v/>
      </c>
      <c r="BI278" s="63" t="str">
        <f>IF($BF278="ja",VLOOKUP($B278,'Egen hetvattenprod'!$B$1:$BX$550,MATCH("Avfall (GWh)",'Egen hetvattenprod'!$B$1:$BX$1,0),FALSE),"")</f>
        <v/>
      </c>
      <c r="BJ278" s="63" t="str">
        <f>IF($BF278="ja",VLOOKUP($B278,'Slutlig allokering kvv'!$B$1:$BX$550,MATCH("Avfall (GWh)",'Slutlig allokering kvv'!$B$1:$BX$1,0),FALSE),"")</f>
        <v/>
      </c>
      <c r="BK278" s="63" t="str">
        <f>IF($BF278="ja",VLOOKUP($B278,'Köpt hetvatten'!$B$1:$BX$550,MATCH("Avfall i köpt hetvatten",'Köpt hetvatten'!$B$1:$BX$1,0),FALSE),"")</f>
        <v/>
      </c>
      <c r="BL278" s="63" t="str">
        <f>IF($BF278="ja",VLOOKUP($B278,'Egen hetvattenprod'!$B$1:$BX$550,MATCH("Värde enligt ovan. (%)",'Egen hetvattenprod'!$B$1:$BX$1,0),FALSE),"")</f>
        <v/>
      </c>
      <c r="BM278" s="63" t="str">
        <f>IF($BF278="ja",VLOOKUP($B278,Kraftvärmeprod!$B$1:$BX$550,MATCH("Värde enligt ovan. (%)",Kraftvärmeprod!$B$1:$BX$1,0),FALSE),"")</f>
        <v/>
      </c>
    </row>
    <row r="279" spans="1:65" x14ac:dyDescent="0.45">
      <c r="A279" s="63" t="s">
        <v>312</v>
      </c>
      <c r="B279" s="63" t="s">
        <v>318</v>
      </c>
      <c r="C279" s="63">
        <f>VLOOKUP($B279,'Tillförd energi'!$B$1:$AI$720,MATCH(C$2,'Tillförd energi'!$B$1:$AQ$1,0),FALSE)</f>
        <v>0</v>
      </c>
      <c r="D279" s="63">
        <f>VLOOKUP($B279,'Tillförd energi'!$B$1:$AI$720,MATCH(D$2,'Tillförd energi'!$B$1:$AQ$1,0),FALSE)</f>
        <v>0</v>
      </c>
      <c r="E279" s="63">
        <f>VLOOKUP($B279,'Tillförd energi'!$B$1:$AI$720,MATCH(E$2,'Tillförd energi'!$B$1:$AQ$1,0),FALSE)</f>
        <v>0</v>
      </c>
      <c r="F279" s="63">
        <f>VLOOKUP($B279,'Tillförd energi'!$B$1:$AI$720,MATCH(F$2,'Tillförd energi'!$B$1:$AQ$1,0),FALSE)</f>
        <v>0</v>
      </c>
      <c r="G279" s="63">
        <f>VLOOKUP($B279,'Tillförd energi'!$B$1:$AI$720,MATCH(G$2,'Tillförd energi'!$B$1:$AQ$1,0),FALSE)</f>
        <v>0</v>
      </c>
      <c r="H279" s="63">
        <f>VLOOKUP($B279,'Tillförd energi'!$B$1:$AI$720,MATCH(H$2,'Tillförd energi'!$B$1:$AQ$1,0),FALSE)</f>
        <v>0</v>
      </c>
      <c r="I279" s="63">
        <f>VLOOKUP($B279,'Tillförd energi'!$B$1:$AI$720,MATCH(I$2,'Tillförd energi'!$B$1:$AQ$1,0),FALSE)</f>
        <v>0</v>
      </c>
      <c r="J279" s="63">
        <f>VLOOKUP($B279,'Tillförd energi'!$B$1:$AI$720,MATCH(J$2,'Tillförd energi'!$B$1:$AQ$1,0),FALSE)</f>
        <v>0</v>
      </c>
      <c r="K279" s="63">
        <f>VLOOKUP($B279,'Tillförd energi'!$B$1:$AI$720,MATCH(K$2,'Tillförd energi'!$B$1:$AQ$1,0),FALSE)</f>
        <v>0</v>
      </c>
      <c r="L279" s="63">
        <f>VLOOKUP($B279,'Tillförd energi'!$B$1:$AI$720,MATCH(L$2,'Tillförd energi'!$B$1:$AQ$1,0),FALSE)</f>
        <v>0</v>
      </c>
      <c r="M279" s="63">
        <f>VLOOKUP($B279,'Tillförd energi'!$B$1:$AI$720,MATCH(M$2,'Tillförd energi'!$B$1:$AQ$1,0),FALSE)</f>
        <v>0</v>
      </c>
      <c r="N279" s="63">
        <f>VLOOKUP($B279,'Tillförd energi'!$B$1:$AI$720,MATCH(N$2,'Tillförd energi'!$B$1:$AQ$1,0),FALSE)</f>
        <v>0</v>
      </c>
      <c r="O279" s="63">
        <f>VLOOKUP($B279,'Tillförd energi'!$B$1:$AI$720,MATCH(O$2,'Tillförd energi'!$B$1:$AQ$1,0),FALSE)</f>
        <v>0</v>
      </c>
      <c r="P279" s="63">
        <f>VLOOKUP($B279,'Tillförd energi'!$B$1:$AI$720,MATCH(P$2,'Tillförd energi'!$B$1:$AQ$1,0),FALSE)</f>
        <v>0</v>
      </c>
      <c r="Q279" s="63">
        <f>VLOOKUP($B279,'Tillförd energi'!$B$1:$AI$720,MATCH(Q$2,'Tillförd energi'!$B$1:$AQ$1,0),FALSE)</f>
        <v>0</v>
      </c>
      <c r="R279" s="63">
        <f>VLOOKUP($B279,'Tillförd energi'!$B$1:$AI$720,MATCH(R$2,'Tillförd energi'!$B$1:$AQ$1,0),FALSE)</f>
        <v>0</v>
      </c>
      <c r="S279" s="63">
        <f>VLOOKUP($B279,'Tillförd energi'!$B$1:$AI$720,MATCH(S$2,'Tillförd energi'!$B$1:$AQ$1,0),FALSE)</f>
        <v>0</v>
      </c>
      <c r="T279" s="63">
        <f>VLOOKUP($B279,'Tillförd energi'!$B$1:$AI$720,MATCH(T$2,'Tillförd energi'!$B$1:$AQ$1,0),FALSE)</f>
        <v>0</v>
      </c>
      <c r="U279" s="63">
        <f>VLOOKUP($B279,'Tillförd energi'!$B$1:$AI$720,MATCH(U$2,'Tillförd energi'!$B$1:$AQ$1,0),FALSE)</f>
        <v>0</v>
      </c>
      <c r="V279" s="63">
        <f>VLOOKUP($B279,'Tillförd energi'!$B$1:$AI$720,MATCH(V$2,'Tillförd energi'!$B$1:$AQ$1,0),FALSE)</f>
        <v>0</v>
      </c>
      <c r="W279" s="63">
        <f>VLOOKUP($B279,'Tillförd energi'!$B$1:$AI$720,MATCH(W$2,'Tillförd energi'!$B$1:$AQ$1,0),FALSE)</f>
        <v>0</v>
      </c>
      <c r="X279" s="63">
        <f>VLOOKUP($B279,'Tillförd energi'!$B$1:$AI$720,MATCH(X$2,'Tillförd energi'!$B$1:$AQ$1,0),FALSE)</f>
        <v>0</v>
      </c>
      <c r="Y279" s="63">
        <f>VLOOKUP($B279,'Tillförd energi'!$B$1:$AI$720,MATCH(Y$2,'Tillförd energi'!$B$1:$AQ$1,0),FALSE)</f>
        <v>0</v>
      </c>
      <c r="Z279" s="63">
        <f>VLOOKUP($B279,'Tillförd energi'!$B$1:$AI$720,MATCH(Z$2,'Tillförd energi'!$B$1:$AQ$1,0),FALSE)</f>
        <v>0</v>
      </c>
      <c r="AA279" s="63">
        <f>VLOOKUP($B279,'Tillförd energi'!$B$1:$AI$720,MATCH(AA$2,'Tillförd energi'!$B$1:$AQ$1,0),FALSE)</f>
        <v>0</v>
      </c>
      <c r="AB279" s="63">
        <f>VLOOKUP($B279,'Tillförd energi'!$B$1:$AI$720,MATCH(AB$2,'Tillförd energi'!$B$1:$AQ$1,0),FALSE)</f>
        <v>0</v>
      </c>
      <c r="AC279" s="63">
        <f>VLOOKUP($B279,'Tillförd energi'!$B$1:$AI$720,MATCH(AC$2,'Tillförd energi'!$B$1:$AQ$1,0),FALSE)</f>
        <v>0</v>
      </c>
      <c r="AD279" s="63">
        <f>VLOOKUP($B279,'Tillförd energi'!$B$1:$AI$720,MATCH(AD$2,'Tillförd energi'!$B$1:$AQ$1,0),FALSE)</f>
        <v>0</v>
      </c>
      <c r="AE279" s="63">
        <f>VLOOKUP($B279,'Tillförd energi'!$B$1:$AI$720,MATCH(AE$2,'Tillförd energi'!$B$1:$AQ$1,0),FALSE)</f>
        <v>0</v>
      </c>
      <c r="AF279" s="63">
        <f>VLOOKUP($B279,'Tillförd energi'!$B$1:$AI$720,MATCH(AF$2,'Tillförd energi'!$B$1:$AQ$1,0),FALSE)</f>
        <v>0</v>
      </c>
      <c r="AG279" s="63">
        <f>IFERROR(VLOOKUP(B279,Miljö!$B$1:$AC$550,MATCH("Köpt mängd produktionsspecifik fjärrvärme:",Miljö!$B$1:$AC$1,0),FALSE)/1,0)</f>
        <v>0</v>
      </c>
      <c r="AI279" s="63">
        <f t="shared" si="24"/>
        <v>0</v>
      </c>
      <c r="AJ279" s="63" t="str">
        <f>IF(ISERROR(1/VLOOKUP($B279,Leveranser!$B$1:$S$500,MATCH("såld värme (gwh)",Leveranser!$B$1:$S$1,0),FALSE)),"",VLOOKUP($B279,Leveranser!$B$1:$S$500,MATCH("såld värme (gwh)",Leveranser!$B$1:$S$1,0),FALSE))</f>
        <v/>
      </c>
      <c r="AM279" s="63" t="str">
        <f>IF(B279&lt;&gt;"",IF(VLOOKUP($B279,Totalt!$B$1:$AQ$554,MATCH("Kvalitetsgranskad:",Totalt!$B$1:$AQ$1,0),FALSE)="ja",VLOOKUP($B279,Miljö!$B$1:$AG$479,MATCH(AM$2,Miljö!$B$1:$AK$1,0),FALSE),""),"")</f>
        <v/>
      </c>
      <c r="AN279" s="63" t="str">
        <f>IF(AM279="ja",VLOOKUP($B279,Miljö!$B$1:$J$479,MATCH("Typ av ursprungsspecificerad el   (Om inget värde anges används Nordisk residualmix, se inforuta) ()",Miljö!$B$1:$J$1,0),FALSE),IF(AM279="nej","Nordisk residualel",""))</f>
        <v/>
      </c>
      <c r="AO279" s="63" t="str">
        <f>IF(AM279="","",VLOOKUP($B279,Miljö!$B$1:$J$479,MATCH("Fossilandel för ursprungspecificerad el ()",Miljö!$B$1:$J$1,0),FALSE))</f>
        <v/>
      </c>
      <c r="AQ279" s="63" t="str">
        <f t="shared" si="25"/>
        <v/>
      </c>
      <c r="AS279" s="63" t="str">
        <f t="shared" si="26"/>
        <v>Nej</v>
      </c>
      <c r="AT279" s="63" t="str">
        <f>IF(AS279="ja",VLOOKUP($B279,Miljö!$B$1:$P$500,MATCH("Fossil andel i procent (%)",Miljö!$B$1:$P$1,0),FALSE)/100,"")</f>
        <v/>
      </c>
      <c r="AV279" s="63" t="str">
        <f t="shared" si="27"/>
        <v>Nej</v>
      </c>
      <c r="AW279" s="63" t="str">
        <f>IF(AV279="ja",VLOOKUP($B279,'Egen hetvattenprod'!$B$1:$AO$500,MATCH("Värmekälla till värmepumpar ()",'Egen hetvattenprod'!$B$1:$AO$1,0),FALSE),"")</f>
        <v/>
      </c>
      <c r="AY279" s="63" t="str">
        <f t="shared" si="28"/>
        <v>Nej</v>
      </c>
      <c r="AZ279" s="77" t="str">
        <f>IF($AY279="ja",(VLOOKUP($B279,'Egen hetvattenprod'!$B$1:$BX$550,MATCH(AZ$2,'Egen hetvattenprod'!$B$1:$BX$1,0),FALSE)+VLOOKUP($B279,Kraftvärmeprod!$B$1:$BX$550,MATCH(AZ$2,Kraftvärmeprod!$B$1:$BX$1,0),FALSE))/$AC279,"")</f>
        <v/>
      </c>
      <c r="BA279" s="77" t="str">
        <f>IF($AY279="ja",(VLOOKUP($B279,'Egen hetvattenprod'!$B$1:$BX$550,MATCH(BA$2,'Egen hetvattenprod'!$B$1:$BX$1,0),FALSE)+VLOOKUP($B279,Kraftvärmeprod!$B$1:$BX$550,MATCH(BA$2,Kraftvärmeprod!$B$1:$BX$1,0),FALSE))/$AC279,"")</f>
        <v/>
      </c>
      <c r="BB279" s="77" t="str">
        <f>IF($AY279="ja",(VLOOKUP($B279,'Egen hetvattenprod'!$B$1:$BX$550,MATCH(BB$2,'Egen hetvattenprod'!$B$1:$BX$1,0),FALSE)+VLOOKUP($B279,Kraftvärmeprod!$B$1:$BX$550,MATCH(BB$2,Kraftvärmeprod!$B$1:$BX$1,0),FALSE))/$AC279,"")</f>
        <v/>
      </c>
      <c r="BC279" s="77" t="str">
        <f>IF($AY279="ja",(VLOOKUP($B279,'Egen hetvattenprod'!$B$1:$BX$550,MATCH(BC$2,'Egen hetvattenprod'!$B$1:$BX$1,0),FALSE)+VLOOKUP($B279,Kraftvärmeprod!$B$1:$BX$550,MATCH(BC$2,Kraftvärmeprod!$B$1:$BX$1,0),FALSE))/$AC279,"")</f>
        <v/>
      </c>
      <c r="BD279" s="77" t="str">
        <f>IF($AY279="ja",(VLOOKUP($B279,'Egen hetvattenprod'!$B$1:$BX$550,MATCH(BD$2,'Egen hetvattenprod'!$B$1:$BX$1,0),FALSE)+VLOOKUP($B279,Kraftvärmeprod!$B$1:$BX$550,MATCH(BD$2,Kraftvärmeprod!$B$1:$BX$1,0),FALSE))/$AC279,"")</f>
        <v/>
      </c>
      <c r="BF279" s="63" t="str">
        <f t="shared" si="29"/>
        <v>Nej</v>
      </c>
      <c r="BG279" s="63" t="str">
        <f>IF($BF279="ja",VLOOKUP($B279,'Egen hetvattenprod'!$B$1:$BX$550,MATCH("Andelen klimatgaser med fossilt ursprung för avfall ()",'Egen hetvattenprod'!$B$1:$BX$1,0),FALSE),"")</f>
        <v/>
      </c>
      <c r="BH279" s="63" t="str">
        <f>IF($BF279="ja",VLOOKUP($B279,Kraftvärmeprod!$B$1:$BX$550,MATCH("Andelen klimatgaser med fossilt ursprung för avfall ()",Kraftvärmeprod!$B$1:$BX$1,0),FALSE),"")</f>
        <v/>
      </c>
      <c r="BI279" s="63" t="str">
        <f>IF($BF279="ja",VLOOKUP($B279,'Egen hetvattenprod'!$B$1:$BX$550,MATCH("Avfall (GWh)",'Egen hetvattenprod'!$B$1:$BX$1,0),FALSE),"")</f>
        <v/>
      </c>
      <c r="BJ279" s="63" t="str">
        <f>IF($BF279="ja",VLOOKUP($B279,'Slutlig allokering kvv'!$B$1:$BX$550,MATCH("Avfall (GWh)",'Slutlig allokering kvv'!$B$1:$BX$1,0),FALSE),"")</f>
        <v/>
      </c>
      <c r="BK279" s="63" t="str">
        <f>IF($BF279="ja",VLOOKUP($B279,'Köpt hetvatten'!$B$1:$BX$550,MATCH("Avfall i köpt hetvatten",'Köpt hetvatten'!$B$1:$BX$1,0),FALSE),"")</f>
        <v/>
      </c>
      <c r="BL279" s="63" t="str">
        <f>IF($BF279="ja",VLOOKUP($B279,'Egen hetvattenprod'!$B$1:$BX$550,MATCH("Värde enligt ovan. (%)",'Egen hetvattenprod'!$B$1:$BX$1,0),FALSE),"")</f>
        <v/>
      </c>
      <c r="BM279" s="63" t="str">
        <f>IF($BF279="ja",VLOOKUP($B279,Kraftvärmeprod!$B$1:$BX$550,MATCH("Värde enligt ovan. (%)",Kraftvärmeprod!$B$1:$BX$1,0),FALSE),"")</f>
        <v/>
      </c>
    </row>
    <row r="280" spans="1:65" x14ac:dyDescent="0.45">
      <c r="A280" s="63" t="s">
        <v>312</v>
      </c>
      <c r="B280" s="63" t="s">
        <v>311</v>
      </c>
      <c r="C280" s="63">
        <f>VLOOKUP($B280,'Tillförd energi'!$B$1:$AI$720,MATCH(C$2,'Tillförd energi'!$B$1:$AQ$1,0),FALSE)</f>
        <v>0</v>
      </c>
      <c r="D280" s="63">
        <f>VLOOKUP($B280,'Tillförd energi'!$B$1:$AI$720,MATCH(D$2,'Tillförd energi'!$B$1:$AQ$1,0),FALSE)</f>
        <v>0</v>
      </c>
      <c r="E280" s="63">
        <f>VLOOKUP($B280,'Tillförd energi'!$B$1:$AI$720,MATCH(E$2,'Tillförd energi'!$B$1:$AQ$1,0),FALSE)</f>
        <v>0</v>
      </c>
      <c r="F280" s="63">
        <f>VLOOKUP($B280,'Tillförd energi'!$B$1:$AI$720,MATCH(F$2,'Tillförd energi'!$B$1:$AQ$1,0),FALSE)</f>
        <v>0</v>
      </c>
      <c r="G280" s="63">
        <f>VLOOKUP($B280,'Tillförd energi'!$B$1:$AI$720,MATCH(G$2,'Tillförd energi'!$B$1:$AQ$1,0),FALSE)</f>
        <v>0</v>
      </c>
      <c r="H280" s="63">
        <f>VLOOKUP($B280,'Tillförd energi'!$B$1:$AI$720,MATCH(H$2,'Tillförd energi'!$B$1:$AQ$1,0),FALSE)</f>
        <v>0</v>
      </c>
      <c r="I280" s="63">
        <f>VLOOKUP($B280,'Tillförd energi'!$B$1:$AI$720,MATCH(I$2,'Tillförd energi'!$B$1:$AQ$1,0),FALSE)</f>
        <v>0</v>
      </c>
      <c r="J280" s="63">
        <f>VLOOKUP($B280,'Tillförd energi'!$B$1:$AI$720,MATCH(J$2,'Tillförd energi'!$B$1:$AQ$1,0),FALSE)</f>
        <v>0</v>
      </c>
      <c r="K280" s="63">
        <f>VLOOKUP($B280,'Tillförd energi'!$B$1:$AI$720,MATCH(K$2,'Tillförd energi'!$B$1:$AQ$1,0),FALSE)</f>
        <v>0</v>
      </c>
      <c r="L280" s="63">
        <f>VLOOKUP($B280,'Tillförd energi'!$B$1:$AI$720,MATCH(L$2,'Tillförd energi'!$B$1:$AQ$1,0),FALSE)</f>
        <v>0</v>
      </c>
      <c r="M280" s="63">
        <f>VLOOKUP($B280,'Tillförd energi'!$B$1:$AI$720,MATCH(M$2,'Tillförd energi'!$B$1:$AQ$1,0),FALSE)</f>
        <v>0</v>
      </c>
      <c r="N280" s="63">
        <f>VLOOKUP($B280,'Tillförd energi'!$B$1:$AI$720,MATCH(N$2,'Tillförd energi'!$B$1:$AQ$1,0),FALSE)</f>
        <v>0</v>
      </c>
      <c r="O280" s="63">
        <f>VLOOKUP($B280,'Tillförd energi'!$B$1:$AI$720,MATCH(O$2,'Tillförd energi'!$B$1:$AQ$1,0),FALSE)</f>
        <v>0</v>
      </c>
      <c r="P280" s="63">
        <f>VLOOKUP($B280,'Tillförd energi'!$B$1:$AI$720,MATCH(P$2,'Tillförd energi'!$B$1:$AQ$1,0),FALSE)</f>
        <v>0</v>
      </c>
      <c r="Q280" s="63">
        <f>VLOOKUP($B280,'Tillförd energi'!$B$1:$AI$720,MATCH(Q$2,'Tillförd energi'!$B$1:$AQ$1,0),FALSE)</f>
        <v>0</v>
      </c>
      <c r="R280" s="63">
        <f>VLOOKUP($B280,'Tillförd energi'!$B$1:$AI$720,MATCH(R$2,'Tillförd energi'!$B$1:$AQ$1,0),FALSE)</f>
        <v>0</v>
      </c>
      <c r="S280" s="63">
        <f>VLOOKUP($B280,'Tillförd energi'!$B$1:$AI$720,MATCH(S$2,'Tillförd energi'!$B$1:$AQ$1,0),FALSE)</f>
        <v>0</v>
      </c>
      <c r="T280" s="63">
        <f>VLOOKUP($B280,'Tillförd energi'!$B$1:$AI$720,MATCH(T$2,'Tillförd energi'!$B$1:$AQ$1,0),FALSE)</f>
        <v>0</v>
      </c>
      <c r="U280" s="63">
        <f>VLOOKUP($B280,'Tillförd energi'!$B$1:$AI$720,MATCH(U$2,'Tillförd energi'!$B$1:$AQ$1,0),FALSE)</f>
        <v>0</v>
      </c>
      <c r="V280" s="63">
        <f>VLOOKUP($B280,'Tillförd energi'!$B$1:$AI$720,MATCH(V$2,'Tillförd energi'!$B$1:$AQ$1,0),FALSE)</f>
        <v>0</v>
      </c>
      <c r="W280" s="63">
        <f>VLOOKUP($B280,'Tillförd energi'!$B$1:$AI$720,MATCH(W$2,'Tillförd energi'!$B$1:$AQ$1,0),FALSE)</f>
        <v>0</v>
      </c>
      <c r="X280" s="63">
        <f>VLOOKUP($B280,'Tillförd energi'!$B$1:$AI$720,MATCH(X$2,'Tillförd energi'!$B$1:$AQ$1,0),FALSE)</f>
        <v>0</v>
      </c>
      <c r="Y280" s="63">
        <f>VLOOKUP($B280,'Tillförd energi'!$B$1:$AI$720,MATCH(Y$2,'Tillförd energi'!$B$1:$AQ$1,0),FALSE)</f>
        <v>0</v>
      </c>
      <c r="Z280" s="63">
        <f>VLOOKUP($B280,'Tillförd energi'!$B$1:$AI$720,MATCH(Z$2,'Tillförd energi'!$B$1:$AQ$1,0),FALSE)</f>
        <v>0</v>
      </c>
      <c r="AA280" s="63">
        <f>VLOOKUP($B280,'Tillförd energi'!$B$1:$AI$720,MATCH(AA$2,'Tillförd energi'!$B$1:$AQ$1,0),FALSE)</f>
        <v>0</v>
      </c>
      <c r="AB280" s="63">
        <f>VLOOKUP($B280,'Tillförd energi'!$B$1:$AI$720,MATCH(AB$2,'Tillförd energi'!$B$1:$AQ$1,0),FALSE)</f>
        <v>0</v>
      </c>
      <c r="AC280" s="63">
        <f>VLOOKUP($B280,'Tillförd energi'!$B$1:$AI$720,MATCH(AC$2,'Tillförd energi'!$B$1:$AQ$1,0),FALSE)</f>
        <v>0</v>
      </c>
      <c r="AD280" s="63">
        <f>VLOOKUP($B280,'Tillförd energi'!$B$1:$AI$720,MATCH(AD$2,'Tillförd energi'!$B$1:$AQ$1,0),FALSE)</f>
        <v>0</v>
      </c>
      <c r="AE280" s="63">
        <f>VLOOKUP($B280,'Tillförd energi'!$B$1:$AI$720,MATCH(AE$2,'Tillförd energi'!$B$1:$AQ$1,0),FALSE)</f>
        <v>0</v>
      </c>
      <c r="AF280" s="63">
        <f>VLOOKUP($B280,'Tillförd energi'!$B$1:$AI$720,MATCH(AF$2,'Tillförd energi'!$B$1:$AQ$1,0),FALSE)</f>
        <v>0</v>
      </c>
      <c r="AG280" s="63">
        <f>IFERROR(VLOOKUP(B280,Miljö!$B$1:$AC$550,MATCH("Köpt mängd produktionsspecifik fjärrvärme:",Miljö!$B$1:$AC$1,0),FALSE)/1,0)</f>
        <v>0</v>
      </c>
      <c r="AI280" s="63">
        <f t="shared" si="24"/>
        <v>0</v>
      </c>
      <c r="AJ280" s="63" t="str">
        <f>IF(ISERROR(1/VLOOKUP($B280,Leveranser!$B$1:$S$500,MATCH("såld värme (gwh)",Leveranser!$B$1:$S$1,0),FALSE)),"",VLOOKUP($B280,Leveranser!$B$1:$S$500,MATCH("såld värme (gwh)",Leveranser!$B$1:$S$1,0),FALSE))</f>
        <v/>
      </c>
      <c r="AM280" s="63" t="str">
        <f>IF(B280&lt;&gt;"",IF(VLOOKUP($B280,Totalt!$B$1:$AQ$554,MATCH("Kvalitetsgranskad:",Totalt!$B$1:$AQ$1,0),FALSE)="ja",VLOOKUP($B280,Miljö!$B$1:$AG$479,MATCH(AM$2,Miljö!$B$1:$AK$1,0),FALSE),""),"")</f>
        <v/>
      </c>
      <c r="AN280" s="63" t="str">
        <f>IF(AM280="ja",VLOOKUP($B280,Miljö!$B$1:$J$479,MATCH("Typ av ursprungsspecificerad el   (Om inget värde anges används Nordisk residualmix, se inforuta) ()",Miljö!$B$1:$J$1,0),FALSE),IF(AM280="nej","Nordisk residualel",""))</f>
        <v/>
      </c>
      <c r="AO280" s="63" t="str">
        <f>IF(AM280="","",VLOOKUP($B280,Miljö!$B$1:$J$479,MATCH("Fossilandel för ursprungspecificerad el ()",Miljö!$B$1:$J$1,0),FALSE))</f>
        <v/>
      </c>
      <c r="AQ280" s="63" t="str">
        <f t="shared" si="25"/>
        <v/>
      </c>
      <c r="AS280" s="63" t="str">
        <f t="shared" si="26"/>
        <v>Nej</v>
      </c>
      <c r="AT280" s="63" t="str">
        <f>IF(AS280="ja",VLOOKUP($B280,Miljö!$B$1:$P$500,MATCH("Fossil andel i procent (%)",Miljö!$B$1:$P$1,0),FALSE)/100,"")</f>
        <v/>
      </c>
      <c r="AV280" s="63" t="str">
        <f t="shared" si="27"/>
        <v>Nej</v>
      </c>
      <c r="AW280" s="63" t="str">
        <f>IF(AV280="ja",VLOOKUP($B280,'Egen hetvattenprod'!$B$1:$AO$500,MATCH("Värmekälla till värmepumpar ()",'Egen hetvattenprod'!$B$1:$AO$1,0),FALSE),"")</f>
        <v/>
      </c>
      <c r="AY280" s="63" t="str">
        <f t="shared" si="28"/>
        <v>Nej</v>
      </c>
      <c r="AZ280" s="77" t="str">
        <f>IF($AY280="ja",(VLOOKUP($B280,'Egen hetvattenprod'!$B$1:$BX$550,MATCH(AZ$2,'Egen hetvattenprod'!$B$1:$BX$1,0),FALSE)+VLOOKUP($B280,Kraftvärmeprod!$B$1:$BX$550,MATCH(AZ$2,Kraftvärmeprod!$B$1:$BX$1,0),FALSE))/$AC280,"")</f>
        <v/>
      </c>
      <c r="BA280" s="77" t="str">
        <f>IF($AY280="ja",(VLOOKUP($B280,'Egen hetvattenprod'!$B$1:$BX$550,MATCH(BA$2,'Egen hetvattenprod'!$B$1:$BX$1,0),FALSE)+VLOOKUP($B280,Kraftvärmeprod!$B$1:$BX$550,MATCH(BA$2,Kraftvärmeprod!$B$1:$BX$1,0),FALSE))/$AC280,"")</f>
        <v/>
      </c>
      <c r="BB280" s="77" t="str">
        <f>IF($AY280="ja",(VLOOKUP($B280,'Egen hetvattenprod'!$B$1:$BX$550,MATCH(BB$2,'Egen hetvattenprod'!$B$1:$BX$1,0),FALSE)+VLOOKUP($B280,Kraftvärmeprod!$B$1:$BX$550,MATCH(BB$2,Kraftvärmeprod!$B$1:$BX$1,0),FALSE))/$AC280,"")</f>
        <v/>
      </c>
      <c r="BC280" s="77" t="str">
        <f>IF($AY280="ja",(VLOOKUP($B280,'Egen hetvattenprod'!$B$1:$BX$550,MATCH(BC$2,'Egen hetvattenprod'!$B$1:$BX$1,0),FALSE)+VLOOKUP($B280,Kraftvärmeprod!$B$1:$BX$550,MATCH(BC$2,Kraftvärmeprod!$B$1:$BX$1,0),FALSE))/$AC280,"")</f>
        <v/>
      </c>
      <c r="BD280" s="77" t="str">
        <f>IF($AY280="ja",(VLOOKUP($B280,'Egen hetvattenprod'!$B$1:$BX$550,MATCH(BD$2,'Egen hetvattenprod'!$B$1:$BX$1,0),FALSE)+VLOOKUP($B280,Kraftvärmeprod!$B$1:$BX$550,MATCH(BD$2,Kraftvärmeprod!$B$1:$BX$1,0),FALSE))/$AC280,"")</f>
        <v/>
      </c>
      <c r="BF280" s="63" t="str">
        <f t="shared" si="29"/>
        <v>Nej</v>
      </c>
      <c r="BG280" s="63" t="str">
        <f>IF($BF280="ja",VLOOKUP($B280,'Egen hetvattenprod'!$B$1:$BX$550,MATCH("Andelen klimatgaser med fossilt ursprung för avfall ()",'Egen hetvattenprod'!$B$1:$BX$1,0),FALSE),"")</f>
        <v/>
      </c>
      <c r="BH280" s="63" t="str">
        <f>IF($BF280="ja",VLOOKUP($B280,Kraftvärmeprod!$B$1:$BX$550,MATCH("Andelen klimatgaser med fossilt ursprung för avfall ()",Kraftvärmeprod!$B$1:$BX$1,0),FALSE),"")</f>
        <v/>
      </c>
      <c r="BI280" s="63" t="str">
        <f>IF($BF280="ja",VLOOKUP($B280,'Egen hetvattenprod'!$B$1:$BX$550,MATCH("Avfall (GWh)",'Egen hetvattenprod'!$B$1:$BX$1,0),FALSE),"")</f>
        <v/>
      </c>
      <c r="BJ280" s="63" t="str">
        <f>IF($BF280="ja",VLOOKUP($B280,'Slutlig allokering kvv'!$B$1:$BX$550,MATCH("Avfall (GWh)",'Slutlig allokering kvv'!$B$1:$BX$1,0),FALSE),"")</f>
        <v/>
      </c>
      <c r="BK280" s="63" t="str">
        <f>IF($BF280="ja",VLOOKUP($B280,'Köpt hetvatten'!$B$1:$BX$550,MATCH("Avfall i köpt hetvatten",'Köpt hetvatten'!$B$1:$BX$1,0),FALSE),"")</f>
        <v/>
      </c>
      <c r="BL280" s="63" t="str">
        <f>IF($BF280="ja",VLOOKUP($B280,'Egen hetvattenprod'!$B$1:$BX$550,MATCH("Värde enligt ovan. (%)",'Egen hetvattenprod'!$B$1:$BX$1,0),FALSE),"")</f>
        <v/>
      </c>
      <c r="BM280" s="63" t="str">
        <f>IF($BF280="ja",VLOOKUP($B280,Kraftvärmeprod!$B$1:$BX$550,MATCH("Värde enligt ovan. (%)",Kraftvärmeprod!$B$1:$BX$1,0),FALSE),"")</f>
        <v/>
      </c>
    </row>
    <row r="281" spans="1:65" x14ac:dyDescent="0.45">
      <c r="A281" s="63" t="s">
        <v>312</v>
      </c>
      <c r="B281" s="63" t="s">
        <v>317</v>
      </c>
      <c r="C281" s="63">
        <f>VLOOKUP($B281,'Tillförd energi'!$B$1:$AI$720,MATCH(C$2,'Tillförd energi'!$B$1:$AQ$1,0),FALSE)</f>
        <v>0</v>
      </c>
      <c r="D281" s="63">
        <f>VLOOKUP($B281,'Tillförd energi'!$B$1:$AI$720,MATCH(D$2,'Tillförd energi'!$B$1:$AQ$1,0),FALSE)</f>
        <v>0</v>
      </c>
      <c r="E281" s="63">
        <f>VLOOKUP($B281,'Tillförd energi'!$B$1:$AI$720,MATCH(E$2,'Tillförd energi'!$B$1:$AQ$1,0),FALSE)</f>
        <v>0</v>
      </c>
      <c r="F281" s="63">
        <f>VLOOKUP($B281,'Tillförd energi'!$B$1:$AI$720,MATCH(F$2,'Tillförd energi'!$B$1:$AQ$1,0),FALSE)</f>
        <v>0</v>
      </c>
      <c r="G281" s="63">
        <f>VLOOKUP($B281,'Tillförd energi'!$B$1:$AI$720,MATCH(G$2,'Tillförd energi'!$B$1:$AQ$1,0),FALSE)</f>
        <v>0</v>
      </c>
      <c r="H281" s="63">
        <f>VLOOKUP($B281,'Tillförd energi'!$B$1:$AI$720,MATCH(H$2,'Tillförd energi'!$B$1:$AQ$1,0),FALSE)</f>
        <v>0</v>
      </c>
      <c r="I281" s="63">
        <f>VLOOKUP($B281,'Tillförd energi'!$B$1:$AI$720,MATCH(I$2,'Tillförd energi'!$B$1:$AQ$1,0),FALSE)</f>
        <v>0</v>
      </c>
      <c r="J281" s="63">
        <f>VLOOKUP($B281,'Tillförd energi'!$B$1:$AI$720,MATCH(J$2,'Tillförd energi'!$B$1:$AQ$1,0),FALSE)</f>
        <v>0</v>
      </c>
      <c r="K281" s="63">
        <f>VLOOKUP($B281,'Tillförd energi'!$B$1:$AI$720,MATCH(K$2,'Tillförd energi'!$B$1:$AQ$1,0),FALSE)</f>
        <v>0</v>
      </c>
      <c r="L281" s="63">
        <f>VLOOKUP($B281,'Tillförd energi'!$B$1:$AI$720,MATCH(L$2,'Tillförd energi'!$B$1:$AQ$1,0),FALSE)</f>
        <v>0</v>
      </c>
      <c r="M281" s="63">
        <f>VLOOKUP($B281,'Tillförd energi'!$B$1:$AI$720,MATCH(M$2,'Tillförd energi'!$B$1:$AQ$1,0),FALSE)</f>
        <v>0</v>
      </c>
      <c r="N281" s="63">
        <f>VLOOKUP($B281,'Tillförd energi'!$B$1:$AI$720,MATCH(N$2,'Tillförd energi'!$B$1:$AQ$1,0),FALSE)</f>
        <v>0</v>
      </c>
      <c r="O281" s="63">
        <f>VLOOKUP($B281,'Tillförd energi'!$B$1:$AI$720,MATCH(O$2,'Tillförd energi'!$B$1:$AQ$1,0),FALSE)</f>
        <v>0</v>
      </c>
      <c r="P281" s="63">
        <f>VLOOKUP($B281,'Tillförd energi'!$B$1:$AI$720,MATCH(P$2,'Tillförd energi'!$B$1:$AQ$1,0),FALSE)</f>
        <v>0</v>
      </c>
      <c r="Q281" s="63">
        <f>VLOOKUP($B281,'Tillförd energi'!$B$1:$AI$720,MATCH(Q$2,'Tillförd energi'!$B$1:$AQ$1,0),FALSE)</f>
        <v>0</v>
      </c>
      <c r="R281" s="63">
        <f>VLOOKUP($B281,'Tillförd energi'!$B$1:$AI$720,MATCH(R$2,'Tillförd energi'!$B$1:$AQ$1,0),FALSE)</f>
        <v>0</v>
      </c>
      <c r="S281" s="63">
        <f>VLOOKUP($B281,'Tillförd energi'!$B$1:$AI$720,MATCH(S$2,'Tillförd energi'!$B$1:$AQ$1,0),FALSE)</f>
        <v>0</v>
      </c>
      <c r="T281" s="63">
        <f>VLOOKUP($B281,'Tillförd energi'!$B$1:$AI$720,MATCH(T$2,'Tillförd energi'!$B$1:$AQ$1,0),FALSE)</f>
        <v>0</v>
      </c>
      <c r="U281" s="63">
        <f>VLOOKUP($B281,'Tillförd energi'!$B$1:$AI$720,MATCH(U$2,'Tillförd energi'!$B$1:$AQ$1,0),FALSE)</f>
        <v>0</v>
      </c>
      <c r="V281" s="63">
        <f>VLOOKUP($B281,'Tillförd energi'!$B$1:$AI$720,MATCH(V$2,'Tillförd energi'!$B$1:$AQ$1,0),FALSE)</f>
        <v>0</v>
      </c>
      <c r="W281" s="63">
        <f>VLOOKUP($B281,'Tillförd energi'!$B$1:$AI$720,MATCH(W$2,'Tillförd energi'!$B$1:$AQ$1,0),FALSE)</f>
        <v>0</v>
      </c>
      <c r="X281" s="63">
        <f>VLOOKUP($B281,'Tillförd energi'!$B$1:$AI$720,MATCH(X$2,'Tillförd energi'!$B$1:$AQ$1,0),FALSE)</f>
        <v>0</v>
      </c>
      <c r="Y281" s="63">
        <f>VLOOKUP($B281,'Tillförd energi'!$B$1:$AI$720,MATCH(Y$2,'Tillförd energi'!$B$1:$AQ$1,0),FALSE)</f>
        <v>0</v>
      </c>
      <c r="Z281" s="63">
        <f>VLOOKUP($B281,'Tillförd energi'!$B$1:$AI$720,MATCH(Z$2,'Tillförd energi'!$B$1:$AQ$1,0),FALSE)</f>
        <v>0</v>
      </c>
      <c r="AA281" s="63">
        <f>VLOOKUP($B281,'Tillförd energi'!$B$1:$AI$720,MATCH(AA$2,'Tillförd energi'!$B$1:$AQ$1,0),FALSE)</f>
        <v>0</v>
      </c>
      <c r="AB281" s="63">
        <f>VLOOKUP($B281,'Tillförd energi'!$B$1:$AI$720,MATCH(AB$2,'Tillförd energi'!$B$1:$AQ$1,0),FALSE)</f>
        <v>0</v>
      </c>
      <c r="AC281" s="63">
        <f>VLOOKUP($B281,'Tillförd energi'!$B$1:$AI$720,MATCH(AC$2,'Tillförd energi'!$B$1:$AQ$1,0),FALSE)</f>
        <v>0</v>
      </c>
      <c r="AD281" s="63">
        <f>VLOOKUP($B281,'Tillförd energi'!$B$1:$AI$720,MATCH(AD$2,'Tillförd energi'!$B$1:$AQ$1,0),FALSE)</f>
        <v>0</v>
      </c>
      <c r="AE281" s="63">
        <f>VLOOKUP($B281,'Tillförd energi'!$B$1:$AI$720,MATCH(AE$2,'Tillförd energi'!$B$1:$AQ$1,0),FALSE)</f>
        <v>0</v>
      </c>
      <c r="AF281" s="63">
        <f>VLOOKUP($B281,'Tillförd energi'!$B$1:$AI$720,MATCH(AF$2,'Tillförd energi'!$B$1:$AQ$1,0),FALSE)</f>
        <v>0</v>
      </c>
      <c r="AG281" s="63">
        <f>IFERROR(VLOOKUP(B281,Miljö!$B$1:$AC$550,MATCH("Köpt mängd produktionsspecifik fjärrvärme:",Miljö!$B$1:$AC$1,0),FALSE)/1,0)</f>
        <v>0</v>
      </c>
      <c r="AI281" s="63">
        <f t="shared" si="24"/>
        <v>0</v>
      </c>
      <c r="AJ281" s="63" t="str">
        <f>IF(ISERROR(1/VLOOKUP($B281,Leveranser!$B$1:$S$500,MATCH("såld värme (gwh)",Leveranser!$B$1:$S$1,0),FALSE)),"",VLOOKUP($B281,Leveranser!$B$1:$S$500,MATCH("såld värme (gwh)",Leveranser!$B$1:$S$1,0),FALSE))</f>
        <v/>
      </c>
      <c r="AM281" s="63" t="str">
        <f>IF(B281&lt;&gt;"",IF(VLOOKUP($B281,Totalt!$B$1:$AQ$554,MATCH("Kvalitetsgranskad:",Totalt!$B$1:$AQ$1,0),FALSE)="ja",VLOOKUP($B281,Miljö!$B$1:$AG$479,MATCH(AM$2,Miljö!$B$1:$AK$1,0),FALSE),""),"")</f>
        <v/>
      </c>
      <c r="AN281" s="63" t="str">
        <f>IF(AM281="ja",VLOOKUP($B281,Miljö!$B$1:$J$479,MATCH("Typ av ursprungsspecificerad el   (Om inget värde anges används Nordisk residualmix, se inforuta) ()",Miljö!$B$1:$J$1,0),FALSE),IF(AM281="nej","Nordisk residualel",""))</f>
        <v/>
      </c>
      <c r="AO281" s="63" t="str">
        <f>IF(AM281="","",VLOOKUP($B281,Miljö!$B$1:$J$479,MATCH("Fossilandel för ursprungspecificerad el ()",Miljö!$B$1:$J$1,0),FALSE))</f>
        <v/>
      </c>
      <c r="AQ281" s="63" t="str">
        <f t="shared" si="25"/>
        <v/>
      </c>
      <c r="AS281" s="63" t="str">
        <f t="shared" si="26"/>
        <v>Nej</v>
      </c>
      <c r="AT281" s="63" t="str">
        <f>IF(AS281="ja",VLOOKUP($B281,Miljö!$B$1:$P$500,MATCH("Fossil andel i procent (%)",Miljö!$B$1:$P$1,0),FALSE)/100,"")</f>
        <v/>
      </c>
      <c r="AV281" s="63" t="str">
        <f t="shared" si="27"/>
        <v>Nej</v>
      </c>
      <c r="AW281" s="63" t="str">
        <f>IF(AV281="ja",VLOOKUP($B281,'Egen hetvattenprod'!$B$1:$AO$500,MATCH("Värmekälla till värmepumpar ()",'Egen hetvattenprod'!$B$1:$AO$1,0),FALSE),"")</f>
        <v/>
      </c>
      <c r="AY281" s="63" t="str">
        <f t="shared" si="28"/>
        <v>Nej</v>
      </c>
      <c r="AZ281" s="77" t="str">
        <f>IF($AY281="ja",(VLOOKUP($B281,'Egen hetvattenprod'!$B$1:$BX$550,MATCH(AZ$2,'Egen hetvattenprod'!$B$1:$BX$1,0),FALSE)+VLOOKUP($B281,Kraftvärmeprod!$B$1:$BX$550,MATCH(AZ$2,Kraftvärmeprod!$B$1:$BX$1,0),FALSE))/$AC281,"")</f>
        <v/>
      </c>
      <c r="BA281" s="77" t="str">
        <f>IF($AY281="ja",(VLOOKUP($B281,'Egen hetvattenprod'!$B$1:$BX$550,MATCH(BA$2,'Egen hetvattenprod'!$B$1:$BX$1,0),FALSE)+VLOOKUP($B281,Kraftvärmeprod!$B$1:$BX$550,MATCH(BA$2,Kraftvärmeprod!$B$1:$BX$1,0),FALSE))/$AC281,"")</f>
        <v/>
      </c>
      <c r="BB281" s="77" t="str">
        <f>IF($AY281="ja",(VLOOKUP($B281,'Egen hetvattenprod'!$B$1:$BX$550,MATCH(BB$2,'Egen hetvattenprod'!$B$1:$BX$1,0),FALSE)+VLOOKUP($B281,Kraftvärmeprod!$B$1:$BX$550,MATCH(BB$2,Kraftvärmeprod!$B$1:$BX$1,0),FALSE))/$AC281,"")</f>
        <v/>
      </c>
      <c r="BC281" s="77" t="str">
        <f>IF($AY281="ja",(VLOOKUP($B281,'Egen hetvattenprod'!$B$1:$BX$550,MATCH(BC$2,'Egen hetvattenprod'!$B$1:$BX$1,0),FALSE)+VLOOKUP($B281,Kraftvärmeprod!$B$1:$BX$550,MATCH(BC$2,Kraftvärmeprod!$B$1:$BX$1,0),FALSE))/$AC281,"")</f>
        <v/>
      </c>
      <c r="BD281" s="77" t="str">
        <f>IF($AY281="ja",(VLOOKUP($B281,'Egen hetvattenprod'!$B$1:$BX$550,MATCH(BD$2,'Egen hetvattenprod'!$B$1:$BX$1,0),FALSE)+VLOOKUP($B281,Kraftvärmeprod!$B$1:$BX$550,MATCH(BD$2,Kraftvärmeprod!$B$1:$BX$1,0),FALSE))/$AC281,"")</f>
        <v/>
      </c>
      <c r="BF281" s="63" t="str">
        <f t="shared" si="29"/>
        <v>Nej</v>
      </c>
      <c r="BG281" s="63" t="str">
        <f>IF($BF281="ja",VLOOKUP($B281,'Egen hetvattenprod'!$B$1:$BX$550,MATCH("Andelen klimatgaser med fossilt ursprung för avfall ()",'Egen hetvattenprod'!$B$1:$BX$1,0),FALSE),"")</f>
        <v/>
      </c>
      <c r="BH281" s="63" t="str">
        <f>IF($BF281="ja",VLOOKUP($B281,Kraftvärmeprod!$B$1:$BX$550,MATCH("Andelen klimatgaser med fossilt ursprung för avfall ()",Kraftvärmeprod!$B$1:$BX$1,0),FALSE),"")</f>
        <v/>
      </c>
      <c r="BI281" s="63" t="str">
        <f>IF($BF281="ja",VLOOKUP($B281,'Egen hetvattenprod'!$B$1:$BX$550,MATCH("Avfall (GWh)",'Egen hetvattenprod'!$B$1:$BX$1,0),FALSE),"")</f>
        <v/>
      </c>
      <c r="BJ281" s="63" t="str">
        <f>IF($BF281="ja",VLOOKUP($B281,'Slutlig allokering kvv'!$B$1:$BX$550,MATCH("Avfall (GWh)",'Slutlig allokering kvv'!$B$1:$BX$1,0),FALSE),"")</f>
        <v/>
      </c>
      <c r="BK281" s="63" t="str">
        <f>IF($BF281="ja",VLOOKUP($B281,'Köpt hetvatten'!$B$1:$BX$550,MATCH("Avfall i köpt hetvatten",'Köpt hetvatten'!$B$1:$BX$1,0),FALSE),"")</f>
        <v/>
      </c>
      <c r="BL281" s="63" t="str">
        <f>IF($BF281="ja",VLOOKUP($B281,'Egen hetvattenprod'!$B$1:$BX$550,MATCH("Värde enligt ovan. (%)",'Egen hetvattenprod'!$B$1:$BX$1,0),FALSE),"")</f>
        <v/>
      </c>
      <c r="BM281" s="63" t="str">
        <f>IF($BF281="ja",VLOOKUP($B281,Kraftvärmeprod!$B$1:$BX$550,MATCH("Värde enligt ovan. (%)",Kraftvärmeprod!$B$1:$BX$1,0),FALSE),"")</f>
        <v/>
      </c>
    </row>
    <row r="282" spans="1:65" x14ac:dyDescent="0.45">
      <c r="A282" s="63" t="s">
        <v>312</v>
      </c>
      <c r="B282" s="63" t="s">
        <v>314</v>
      </c>
      <c r="C282" s="63">
        <f>VLOOKUP($B282,'Tillförd energi'!$B$1:$AI$720,MATCH(C$2,'Tillförd energi'!$B$1:$AQ$1,0),FALSE)</f>
        <v>0</v>
      </c>
      <c r="D282" s="63">
        <f>VLOOKUP($B282,'Tillförd energi'!$B$1:$AI$720,MATCH(D$2,'Tillförd energi'!$B$1:$AQ$1,0),FALSE)</f>
        <v>0</v>
      </c>
      <c r="E282" s="63">
        <f>VLOOKUP($B282,'Tillförd energi'!$B$1:$AI$720,MATCH(E$2,'Tillförd energi'!$B$1:$AQ$1,0),FALSE)</f>
        <v>0</v>
      </c>
      <c r="F282" s="63">
        <f>VLOOKUP($B282,'Tillförd energi'!$B$1:$AI$720,MATCH(F$2,'Tillförd energi'!$B$1:$AQ$1,0),FALSE)</f>
        <v>0</v>
      </c>
      <c r="G282" s="63">
        <f>VLOOKUP($B282,'Tillförd energi'!$B$1:$AI$720,MATCH(G$2,'Tillförd energi'!$B$1:$AQ$1,0),FALSE)</f>
        <v>0</v>
      </c>
      <c r="H282" s="63">
        <f>VLOOKUP($B282,'Tillförd energi'!$B$1:$AI$720,MATCH(H$2,'Tillförd energi'!$B$1:$AQ$1,0),FALSE)</f>
        <v>0</v>
      </c>
      <c r="I282" s="63">
        <f>VLOOKUP($B282,'Tillförd energi'!$B$1:$AI$720,MATCH(I$2,'Tillförd energi'!$B$1:$AQ$1,0),FALSE)</f>
        <v>0</v>
      </c>
      <c r="J282" s="63">
        <f>VLOOKUP($B282,'Tillförd energi'!$B$1:$AI$720,MATCH(J$2,'Tillförd energi'!$B$1:$AQ$1,0),FALSE)</f>
        <v>0</v>
      </c>
      <c r="K282" s="63">
        <f>VLOOKUP($B282,'Tillförd energi'!$B$1:$AI$720,MATCH(K$2,'Tillförd energi'!$B$1:$AQ$1,0),FALSE)</f>
        <v>0</v>
      </c>
      <c r="L282" s="63">
        <f>VLOOKUP($B282,'Tillförd energi'!$B$1:$AI$720,MATCH(L$2,'Tillförd energi'!$B$1:$AQ$1,0),FALSE)</f>
        <v>0</v>
      </c>
      <c r="M282" s="63">
        <f>VLOOKUP($B282,'Tillförd energi'!$B$1:$AI$720,MATCH(M$2,'Tillförd energi'!$B$1:$AQ$1,0),FALSE)</f>
        <v>0</v>
      </c>
      <c r="N282" s="63">
        <f>VLOOKUP($B282,'Tillförd energi'!$B$1:$AI$720,MATCH(N$2,'Tillförd energi'!$B$1:$AQ$1,0),FALSE)</f>
        <v>0</v>
      </c>
      <c r="O282" s="63">
        <f>VLOOKUP($B282,'Tillförd energi'!$B$1:$AI$720,MATCH(O$2,'Tillförd energi'!$B$1:$AQ$1,0),FALSE)</f>
        <v>0</v>
      </c>
      <c r="P282" s="63">
        <f>VLOOKUP($B282,'Tillförd energi'!$B$1:$AI$720,MATCH(P$2,'Tillförd energi'!$B$1:$AQ$1,0),FALSE)</f>
        <v>0</v>
      </c>
      <c r="Q282" s="63">
        <f>VLOOKUP($B282,'Tillförd energi'!$B$1:$AI$720,MATCH(Q$2,'Tillförd energi'!$B$1:$AQ$1,0),FALSE)</f>
        <v>0</v>
      </c>
      <c r="R282" s="63">
        <f>VLOOKUP($B282,'Tillförd energi'!$B$1:$AI$720,MATCH(R$2,'Tillförd energi'!$B$1:$AQ$1,0),FALSE)</f>
        <v>0</v>
      </c>
      <c r="S282" s="63">
        <f>VLOOKUP($B282,'Tillförd energi'!$B$1:$AI$720,MATCH(S$2,'Tillförd energi'!$B$1:$AQ$1,0),FALSE)</f>
        <v>0</v>
      </c>
      <c r="T282" s="63">
        <f>VLOOKUP($B282,'Tillförd energi'!$B$1:$AI$720,MATCH(T$2,'Tillförd energi'!$B$1:$AQ$1,0),FALSE)</f>
        <v>0</v>
      </c>
      <c r="U282" s="63">
        <f>VLOOKUP($B282,'Tillförd energi'!$B$1:$AI$720,MATCH(U$2,'Tillförd energi'!$B$1:$AQ$1,0),FALSE)</f>
        <v>0</v>
      </c>
      <c r="V282" s="63">
        <f>VLOOKUP($B282,'Tillförd energi'!$B$1:$AI$720,MATCH(V$2,'Tillförd energi'!$B$1:$AQ$1,0),FALSE)</f>
        <v>0</v>
      </c>
      <c r="W282" s="63">
        <f>VLOOKUP($B282,'Tillförd energi'!$B$1:$AI$720,MATCH(W$2,'Tillförd energi'!$B$1:$AQ$1,0),FALSE)</f>
        <v>0</v>
      </c>
      <c r="X282" s="63">
        <f>VLOOKUP($B282,'Tillförd energi'!$B$1:$AI$720,MATCH(X$2,'Tillförd energi'!$B$1:$AQ$1,0),FALSE)</f>
        <v>0</v>
      </c>
      <c r="Y282" s="63">
        <f>VLOOKUP($B282,'Tillförd energi'!$B$1:$AI$720,MATCH(Y$2,'Tillförd energi'!$B$1:$AQ$1,0),FALSE)</f>
        <v>0</v>
      </c>
      <c r="Z282" s="63">
        <f>VLOOKUP($B282,'Tillförd energi'!$B$1:$AI$720,MATCH(Z$2,'Tillförd energi'!$B$1:$AQ$1,0),FALSE)</f>
        <v>0</v>
      </c>
      <c r="AA282" s="63">
        <f>VLOOKUP($B282,'Tillförd energi'!$B$1:$AI$720,MATCH(AA$2,'Tillförd energi'!$B$1:$AQ$1,0),FALSE)</f>
        <v>0</v>
      </c>
      <c r="AB282" s="63">
        <f>VLOOKUP($B282,'Tillförd energi'!$B$1:$AI$720,MATCH(AB$2,'Tillförd energi'!$B$1:$AQ$1,0),FALSE)</f>
        <v>0</v>
      </c>
      <c r="AC282" s="63">
        <f>VLOOKUP($B282,'Tillförd energi'!$B$1:$AI$720,MATCH(AC$2,'Tillförd energi'!$B$1:$AQ$1,0),FALSE)</f>
        <v>0</v>
      </c>
      <c r="AD282" s="63">
        <f>VLOOKUP($B282,'Tillförd energi'!$B$1:$AI$720,MATCH(AD$2,'Tillförd energi'!$B$1:$AQ$1,0),FALSE)</f>
        <v>0</v>
      </c>
      <c r="AE282" s="63">
        <f>VLOOKUP($B282,'Tillförd energi'!$B$1:$AI$720,MATCH(AE$2,'Tillförd energi'!$B$1:$AQ$1,0),FALSE)</f>
        <v>0</v>
      </c>
      <c r="AF282" s="63">
        <f>VLOOKUP($B282,'Tillförd energi'!$B$1:$AI$720,MATCH(AF$2,'Tillförd energi'!$B$1:$AQ$1,0),FALSE)</f>
        <v>0</v>
      </c>
      <c r="AG282" s="63">
        <f>IFERROR(VLOOKUP(B282,Miljö!$B$1:$AC$550,MATCH("Köpt mängd produktionsspecifik fjärrvärme:",Miljö!$B$1:$AC$1,0),FALSE)/1,0)</f>
        <v>0</v>
      </c>
      <c r="AI282" s="63">
        <f t="shared" si="24"/>
        <v>0</v>
      </c>
      <c r="AJ282" s="63" t="str">
        <f>IF(ISERROR(1/VLOOKUP($B282,Leveranser!$B$1:$S$500,MATCH("såld värme (gwh)",Leveranser!$B$1:$S$1,0),FALSE)),"",VLOOKUP($B282,Leveranser!$B$1:$S$500,MATCH("såld värme (gwh)",Leveranser!$B$1:$S$1,0),FALSE))</f>
        <v/>
      </c>
      <c r="AM282" s="63" t="str">
        <f>IF(B282&lt;&gt;"",IF(VLOOKUP($B282,Totalt!$B$1:$AQ$554,MATCH("Kvalitetsgranskad:",Totalt!$B$1:$AQ$1,0),FALSE)="ja",VLOOKUP($B282,Miljö!$B$1:$AG$479,MATCH(AM$2,Miljö!$B$1:$AK$1,0),FALSE),""),"")</f>
        <v/>
      </c>
      <c r="AN282" s="63" t="str">
        <f>IF(AM282="ja",VLOOKUP($B282,Miljö!$B$1:$J$479,MATCH("Typ av ursprungsspecificerad el   (Om inget värde anges används Nordisk residualmix, se inforuta) ()",Miljö!$B$1:$J$1,0),FALSE),IF(AM282="nej","Nordisk residualel",""))</f>
        <v/>
      </c>
      <c r="AO282" s="63" t="str">
        <f>IF(AM282="","",VLOOKUP($B282,Miljö!$B$1:$J$479,MATCH("Fossilandel för ursprungspecificerad el ()",Miljö!$B$1:$J$1,0),FALSE))</f>
        <v/>
      </c>
      <c r="AQ282" s="63" t="str">
        <f t="shared" si="25"/>
        <v/>
      </c>
      <c r="AS282" s="63" t="str">
        <f t="shared" si="26"/>
        <v>Nej</v>
      </c>
      <c r="AT282" s="63" t="str">
        <f>IF(AS282="ja",VLOOKUP($B282,Miljö!$B$1:$P$500,MATCH("Fossil andel i procent (%)",Miljö!$B$1:$P$1,0),FALSE)/100,"")</f>
        <v/>
      </c>
      <c r="AV282" s="63" t="str">
        <f t="shared" si="27"/>
        <v>Nej</v>
      </c>
      <c r="AW282" s="63" t="str">
        <f>IF(AV282="ja",VLOOKUP($B282,'Egen hetvattenprod'!$B$1:$AO$500,MATCH("Värmekälla till värmepumpar ()",'Egen hetvattenprod'!$B$1:$AO$1,0),FALSE),"")</f>
        <v/>
      </c>
      <c r="AY282" s="63" t="str">
        <f t="shared" si="28"/>
        <v>Nej</v>
      </c>
      <c r="AZ282" s="77" t="str">
        <f>IF($AY282="ja",(VLOOKUP($B282,'Egen hetvattenprod'!$B$1:$BX$550,MATCH(AZ$2,'Egen hetvattenprod'!$B$1:$BX$1,0),FALSE)+VLOOKUP($B282,Kraftvärmeprod!$B$1:$BX$550,MATCH(AZ$2,Kraftvärmeprod!$B$1:$BX$1,0),FALSE))/$AC282,"")</f>
        <v/>
      </c>
      <c r="BA282" s="77" t="str">
        <f>IF($AY282="ja",(VLOOKUP($B282,'Egen hetvattenprod'!$B$1:$BX$550,MATCH(BA$2,'Egen hetvattenprod'!$B$1:$BX$1,0),FALSE)+VLOOKUP($B282,Kraftvärmeprod!$B$1:$BX$550,MATCH(BA$2,Kraftvärmeprod!$B$1:$BX$1,0),FALSE))/$AC282,"")</f>
        <v/>
      </c>
      <c r="BB282" s="77" t="str">
        <f>IF($AY282="ja",(VLOOKUP($B282,'Egen hetvattenprod'!$B$1:$BX$550,MATCH(BB$2,'Egen hetvattenprod'!$B$1:$BX$1,0),FALSE)+VLOOKUP($B282,Kraftvärmeprod!$B$1:$BX$550,MATCH(BB$2,Kraftvärmeprod!$B$1:$BX$1,0),FALSE))/$AC282,"")</f>
        <v/>
      </c>
      <c r="BC282" s="77" t="str">
        <f>IF($AY282="ja",(VLOOKUP($B282,'Egen hetvattenprod'!$B$1:$BX$550,MATCH(BC$2,'Egen hetvattenprod'!$B$1:$BX$1,0),FALSE)+VLOOKUP($B282,Kraftvärmeprod!$B$1:$BX$550,MATCH(BC$2,Kraftvärmeprod!$B$1:$BX$1,0),FALSE))/$AC282,"")</f>
        <v/>
      </c>
      <c r="BD282" s="77" t="str">
        <f>IF($AY282="ja",(VLOOKUP($B282,'Egen hetvattenprod'!$B$1:$BX$550,MATCH(BD$2,'Egen hetvattenprod'!$B$1:$BX$1,0),FALSE)+VLOOKUP($B282,Kraftvärmeprod!$B$1:$BX$550,MATCH(BD$2,Kraftvärmeprod!$B$1:$BX$1,0),FALSE))/$AC282,"")</f>
        <v/>
      </c>
      <c r="BF282" s="63" t="str">
        <f t="shared" si="29"/>
        <v>Nej</v>
      </c>
      <c r="BG282" s="63" t="str">
        <f>IF($BF282="ja",VLOOKUP($B282,'Egen hetvattenprod'!$B$1:$BX$550,MATCH("Andelen klimatgaser med fossilt ursprung för avfall ()",'Egen hetvattenprod'!$B$1:$BX$1,0),FALSE),"")</f>
        <v/>
      </c>
      <c r="BH282" s="63" t="str">
        <f>IF($BF282="ja",VLOOKUP($B282,Kraftvärmeprod!$B$1:$BX$550,MATCH("Andelen klimatgaser med fossilt ursprung för avfall ()",Kraftvärmeprod!$B$1:$BX$1,0),FALSE),"")</f>
        <v/>
      </c>
      <c r="BI282" s="63" t="str">
        <f>IF($BF282="ja",VLOOKUP($B282,'Egen hetvattenprod'!$B$1:$BX$550,MATCH("Avfall (GWh)",'Egen hetvattenprod'!$B$1:$BX$1,0),FALSE),"")</f>
        <v/>
      </c>
      <c r="BJ282" s="63" t="str">
        <f>IF($BF282="ja",VLOOKUP($B282,'Slutlig allokering kvv'!$B$1:$BX$550,MATCH("Avfall (GWh)",'Slutlig allokering kvv'!$B$1:$BX$1,0),FALSE),"")</f>
        <v/>
      </c>
      <c r="BK282" s="63" t="str">
        <f>IF($BF282="ja",VLOOKUP($B282,'Köpt hetvatten'!$B$1:$BX$550,MATCH("Avfall i köpt hetvatten",'Köpt hetvatten'!$B$1:$BX$1,0),FALSE),"")</f>
        <v/>
      </c>
      <c r="BL282" s="63" t="str">
        <f>IF($BF282="ja",VLOOKUP($B282,'Egen hetvattenprod'!$B$1:$BX$550,MATCH("Värde enligt ovan. (%)",'Egen hetvattenprod'!$B$1:$BX$1,0),FALSE),"")</f>
        <v/>
      </c>
      <c r="BM282" s="63" t="str">
        <f>IF($BF282="ja",VLOOKUP($B282,Kraftvärmeprod!$B$1:$BX$550,MATCH("Värde enligt ovan. (%)",Kraftvärmeprod!$B$1:$BX$1,0),FALSE),"")</f>
        <v/>
      </c>
    </row>
    <row r="283" spans="1:65" x14ac:dyDescent="0.45">
      <c r="A283" s="63" t="s">
        <v>312</v>
      </c>
      <c r="B283" s="63" t="s">
        <v>316</v>
      </c>
      <c r="C283" s="63">
        <f>VLOOKUP($B283,'Tillförd energi'!$B$1:$AI$720,MATCH(C$2,'Tillförd energi'!$B$1:$AQ$1,0),FALSE)</f>
        <v>0</v>
      </c>
      <c r="D283" s="63">
        <f>VLOOKUP($B283,'Tillförd energi'!$B$1:$AI$720,MATCH(D$2,'Tillförd energi'!$B$1:$AQ$1,0),FALSE)</f>
        <v>0</v>
      </c>
      <c r="E283" s="63">
        <f>VLOOKUP($B283,'Tillförd energi'!$B$1:$AI$720,MATCH(E$2,'Tillförd energi'!$B$1:$AQ$1,0),FALSE)</f>
        <v>0</v>
      </c>
      <c r="F283" s="63">
        <f>VLOOKUP($B283,'Tillförd energi'!$B$1:$AI$720,MATCH(F$2,'Tillförd energi'!$B$1:$AQ$1,0),FALSE)</f>
        <v>0</v>
      </c>
      <c r="G283" s="63">
        <f>VLOOKUP($B283,'Tillförd energi'!$B$1:$AI$720,MATCH(G$2,'Tillförd energi'!$B$1:$AQ$1,0),FALSE)</f>
        <v>0</v>
      </c>
      <c r="H283" s="63">
        <f>VLOOKUP($B283,'Tillförd energi'!$B$1:$AI$720,MATCH(H$2,'Tillförd energi'!$B$1:$AQ$1,0),FALSE)</f>
        <v>0</v>
      </c>
      <c r="I283" s="63">
        <f>VLOOKUP($B283,'Tillförd energi'!$B$1:$AI$720,MATCH(I$2,'Tillförd energi'!$B$1:$AQ$1,0),FALSE)</f>
        <v>0</v>
      </c>
      <c r="J283" s="63">
        <f>VLOOKUP($B283,'Tillförd energi'!$B$1:$AI$720,MATCH(J$2,'Tillförd energi'!$B$1:$AQ$1,0),FALSE)</f>
        <v>0</v>
      </c>
      <c r="K283" s="63">
        <f>VLOOKUP($B283,'Tillförd energi'!$B$1:$AI$720,MATCH(K$2,'Tillförd energi'!$B$1:$AQ$1,0),FALSE)</f>
        <v>0</v>
      </c>
      <c r="L283" s="63">
        <f>VLOOKUP($B283,'Tillförd energi'!$B$1:$AI$720,MATCH(L$2,'Tillförd energi'!$B$1:$AQ$1,0),FALSE)</f>
        <v>0</v>
      </c>
      <c r="M283" s="63">
        <f>VLOOKUP($B283,'Tillförd energi'!$B$1:$AI$720,MATCH(M$2,'Tillförd energi'!$B$1:$AQ$1,0),FALSE)</f>
        <v>0</v>
      </c>
      <c r="N283" s="63">
        <f>VLOOKUP($B283,'Tillförd energi'!$B$1:$AI$720,MATCH(N$2,'Tillförd energi'!$B$1:$AQ$1,0),FALSE)</f>
        <v>0</v>
      </c>
      <c r="O283" s="63">
        <f>VLOOKUP($B283,'Tillförd energi'!$B$1:$AI$720,MATCH(O$2,'Tillförd energi'!$B$1:$AQ$1,0),FALSE)</f>
        <v>0</v>
      </c>
      <c r="P283" s="63">
        <f>VLOOKUP($B283,'Tillförd energi'!$B$1:$AI$720,MATCH(P$2,'Tillförd energi'!$B$1:$AQ$1,0),FALSE)</f>
        <v>0</v>
      </c>
      <c r="Q283" s="63">
        <f>VLOOKUP($B283,'Tillförd energi'!$B$1:$AI$720,MATCH(Q$2,'Tillförd energi'!$B$1:$AQ$1,0),FALSE)</f>
        <v>0</v>
      </c>
      <c r="R283" s="63">
        <f>VLOOKUP($B283,'Tillförd energi'!$B$1:$AI$720,MATCH(R$2,'Tillförd energi'!$B$1:$AQ$1,0),FALSE)</f>
        <v>0</v>
      </c>
      <c r="S283" s="63">
        <f>VLOOKUP($B283,'Tillförd energi'!$B$1:$AI$720,MATCH(S$2,'Tillförd energi'!$B$1:$AQ$1,0),FALSE)</f>
        <v>0</v>
      </c>
      <c r="T283" s="63">
        <f>VLOOKUP($B283,'Tillförd energi'!$B$1:$AI$720,MATCH(T$2,'Tillförd energi'!$B$1:$AQ$1,0),FALSE)</f>
        <v>0</v>
      </c>
      <c r="U283" s="63">
        <f>VLOOKUP($B283,'Tillförd energi'!$B$1:$AI$720,MATCH(U$2,'Tillförd energi'!$B$1:$AQ$1,0),FALSE)</f>
        <v>0</v>
      </c>
      <c r="V283" s="63">
        <f>VLOOKUP($B283,'Tillförd energi'!$B$1:$AI$720,MATCH(V$2,'Tillförd energi'!$B$1:$AQ$1,0),FALSE)</f>
        <v>0</v>
      </c>
      <c r="W283" s="63">
        <f>VLOOKUP($B283,'Tillförd energi'!$B$1:$AI$720,MATCH(W$2,'Tillförd energi'!$B$1:$AQ$1,0),FALSE)</f>
        <v>0</v>
      </c>
      <c r="X283" s="63">
        <f>VLOOKUP($B283,'Tillförd energi'!$B$1:$AI$720,MATCH(X$2,'Tillförd energi'!$B$1:$AQ$1,0),FALSE)</f>
        <v>0</v>
      </c>
      <c r="Y283" s="63">
        <f>VLOOKUP($B283,'Tillförd energi'!$B$1:$AI$720,MATCH(Y$2,'Tillförd energi'!$B$1:$AQ$1,0),FALSE)</f>
        <v>0</v>
      </c>
      <c r="Z283" s="63">
        <f>VLOOKUP($B283,'Tillförd energi'!$B$1:$AI$720,MATCH(Z$2,'Tillförd energi'!$B$1:$AQ$1,0),FALSE)</f>
        <v>0</v>
      </c>
      <c r="AA283" s="63">
        <f>VLOOKUP($B283,'Tillförd energi'!$B$1:$AI$720,MATCH(AA$2,'Tillförd energi'!$B$1:$AQ$1,0),FALSE)</f>
        <v>0</v>
      </c>
      <c r="AB283" s="63">
        <f>VLOOKUP($B283,'Tillförd energi'!$B$1:$AI$720,MATCH(AB$2,'Tillförd energi'!$B$1:$AQ$1,0),FALSE)</f>
        <v>0</v>
      </c>
      <c r="AC283" s="63">
        <f>VLOOKUP($B283,'Tillförd energi'!$B$1:$AI$720,MATCH(AC$2,'Tillförd energi'!$B$1:$AQ$1,0),FALSE)</f>
        <v>0</v>
      </c>
      <c r="AD283" s="63">
        <f>VLOOKUP($B283,'Tillförd energi'!$B$1:$AI$720,MATCH(AD$2,'Tillförd energi'!$B$1:$AQ$1,0),FALSE)</f>
        <v>0</v>
      </c>
      <c r="AE283" s="63">
        <f>VLOOKUP($B283,'Tillförd energi'!$B$1:$AI$720,MATCH(AE$2,'Tillförd energi'!$B$1:$AQ$1,0),FALSE)</f>
        <v>0</v>
      </c>
      <c r="AF283" s="63">
        <f>VLOOKUP($B283,'Tillförd energi'!$B$1:$AI$720,MATCH(AF$2,'Tillförd energi'!$B$1:$AQ$1,0),FALSE)</f>
        <v>0</v>
      </c>
      <c r="AG283" s="63">
        <f>IFERROR(VLOOKUP(B283,Miljö!$B$1:$AC$550,MATCH("Köpt mängd produktionsspecifik fjärrvärme:",Miljö!$B$1:$AC$1,0),FALSE)/1,0)</f>
        <v>0</v>
      </c>
      <c r="AI283" s="63">
        <f t="shared" si="24"/>
        <v>0</v>
      </c>
      <c r="AJ283" s="63" t="str">
        <f>IF(ISERROR(1/VLOOKUP($B283,Leveranser!$B$1:$S$500,MATCH("såld värme (gwh)",Leveranser!$B$1:$S$1,0),FALSE)),"",VLOOKUP($B283,Leveranser!$B$1:$S$500,MATCH("såld värme (gwh)",Leveranser!$B$1:$S$1,0),FALSE))</f>
        <v/>
      </c>
      <c r="AM283" s="63" t="str">
        <f>IF(B283&lt;&gt;"",IF(VLOOKUP($B283,Totalt!$B$1:$AQ$554,MATCH("Kvalitetsgranskad:",Totalt!$B$1:$AQ$1,0),FALSE)="ja",VLOOKUP($B283,Miljö!$B$1:$AG$479,MATCH(AM$2,Miljö!$B$1:$AK$1,0),FALSE),""),"")</f>
        <v/>
      </c>
      <c r="AN283" s="63" t="str">
        <f>IF(AM283="ja",VLOOKUP($B283,Miljö!$B$1:$J$479,MATCH("Typ av ursprungsspecificerad el   (Om inget värde anges används Nordisk residualmix, se inforuta) ()",Miljö!$B$1:$J$1,0),FALSE),IF(AM283="nej","Nordisk residualel",""))</f>
        <v/>
      </c>
      <c r="AO283" s="63" t="str">
        <f>IF(AM283="","",VLOOKUP($B283,Miljö!$B$1:$J$479,MATCH("Fossilandel för ursprungspecificerad el ()",Miljö!$B$1:$J$1,0),FALSE))</f>
        <v/>
      </c>
      <c r="AQ283" s="63" t="str">
        <f t="shared" si="25"/>
        <v/>
      </c>
      <c r="AS283" s="63" t="str">
        <f t="shared" si="26"/>
        <v>Nej</v>
      </c>
      <c r="AT283" s="63" t="str">
        <f>IF(AS283="ja",VLOOKUP($B283,Miljö!$B$1:$P$500,MATCH("Fossil andel i procent (%)",Miljö!$B$1:$P$1,0),FALSE)/100,"")</f>
        <v/>
      </c>
      <c r="AV283" s="63" t="str">
        <f t="shared" si="27"/>
        <v>Nej</v>
      </c>
      <c r="AW283" s="63" t="str">
        <f>IF(AV283="ja",VLOOKUP($B283,'Egen hetvattenprod'!$B$1:$AO$500,MATCH("Värmekälla till värmepumpar ()",'Egen hetvattenprod'!$B$1:$AO$1,0),FALSE),"")</f>
        <v/>
      </c>
      <c r="AY283" s="63" t="str">
        <f t="shared" si="28"/>
        <v>Nej</v>
      </c>
      <c r="AZ283" s="77" t="str">
        <f>IF($AY283="ja",(VLOOKUP($B283,'Egen hetvattenprod'!$B$1:$BX$550,MATCH(AZ$2,'Egen hetvattenprod'!$B$1:$BX$1,0),FALSE)+VLOOKUP($B283,Kraftvärmeprod!$B$1:$BX$550,MATCH(AZ$2,Kraftvärmeprod!$B$1:$BX$1,0),FALSE))/$AC283,"")</f>
        <v/>
      </c>
      <c r="BA283" s="77" t="str">
        <f>IF($AY283="ja",(VLOOKUP($B283,'Egen hetvattenprod'!$B$1:$BX$550,MATCH(BA$2,'Egen hetvattenprod'!$B$1:$BX$1,0),FALSE)+VLOOKUP($B283,Kraftvärmeprod!$B$1:$BX$550,MATCH(BA$2,Kraftvärmeprod!$B$1:$BX$1,0),FALSE))/$AC283,"")</f>
        <v/>
      </c>
      <c r="BB283" s="77" t="str">
        <f>IF($AY283="ja",(VLOOKUP($B283,'Egen hetvattenprod'!$B$1:$BX$550,MATCH(BB$2,'Egen hetvattenprod'!$B$1:$BX$1,0),FALSE)+VLOOKUP($B283,Kraftvärmeprod!$B$1:$BX$550,MATCH(BB$2,Kraftvärmeprod!$B$1:$BX$1,0),FALSE))/$AC283,"")</f>
        <v/>
      </c>
      <c r="BC283" s="77" t="str">
        <f>IF($AY283="ja",(VLOOKUP($B283,'Egen hetvattenprod'!$B$1:$BX$550,MATCH(BC$2,'Egen hetvattenprod'!$B$1:$BX$1,0),FALSE)+VLOOKUP($B283,Kraftvärmeprod!$B$1:$BX$550,MATCH(BC$2,Kraftvärmeprod!$B$1:$BX$1,0),FALSE))/$AC283,"")</f>
        <v/>
      </c>
      <c r="BD283" s="77" t="str">
        <f>IF($AY283="ja",(VLOOKUP($B283,'Egen hetvattenprod'!$B$1:$BX$550,MATCH(BD$2,'Egen hetvattenprod'!$B$1:$BX$1,0),FALSE)+VLOOKUP($B283,Kraftvärmeprod!$B$1:$BX$550,MATCH(BD$2,Kraftvärmeprod!$B$1:$BX$1,0),FALSE))/$AC283,"")</f>
        <v/>
      </c>
      <c r="BF283" s="63" t="str">
        <f t="shared" si="29"/>
        <v>Nej</v>
      </c>
      <c r="BG283" s="63" t="str">
        <f>IF($BF283="ja",VLOOKUP($B283,'Egen hetvattenprod'!$B$1:$BX$550,MATCH("Andelen klimatgaser med fossilt ursprung för avfall ()",'Egen hetvattenprod'!$B$1:$BX$1,0),FALSE),"")</f>
        <v/>
      </c>
      <c r="BH283" s="63" t="str">
        <f>IF($BF283="ja",VLOOKUP($B283,Kraftvärmeprod!$B$1:$BX$550,MATCH("Andelen klimatgaser med fossilt ursprung för avfall ()",Kraftvärmeprod!$B$1:$BX$1,0),FALSE),"")</f>
        <v/>
      </c>
      <c r="BI283" s="63" t="str">
        <f>IF($BF283="ja",VLOOKUP($B283,'Egen hetvattenprod'!$B$1:$BX$550,MATCH("Avfall (GWh)",'Egen hetvattenprod'!$B$1:$BX$1,0),FALSE),"")</f>
        <v/>
      </c>
      <c r="BJ283" s="63" t="str">
        <f>IF($BF283="ja",VLOOKUP($B283,'Slutlig allokering kvv'!$B$1:$BX$550,MATCH("Avfall (GWh)",'Slutlig allokering kvv'!$B$1:$BX$1,0),FALSE),"")</f>
        <v/>
      </c>
      <c r="BK283" s="63" t="str">
        <f>IF($BF283="ja",VLOOKUP($B283,'Köpt hetvatten'!$B$1:$BX$550,MATCH("Avfall i köpt hetvatten",'Köpt hetvatten'!$B$1:$BX$1,0),FALSE),"")</f>
        <v/>
      </c>
      <c r="BL283" s="63" t="str">
        <f>IF($BF283="ja",VLOOKUP($B283,'Egen hetvattenprod'!$B$1:$BX$550,MATCH("Värde enligt ovan. (%)",'Egen hetvattenprod'!$B$1:$BX$1,0),FALSE),"")</f>
        <v/>
      </c>
      <c r="BM283" s="63" t="str">
        <f>IF($BF283="ja",VLOOKUP($B283,Kraftvärmeprod!$B$1:$BX$550,MATCH("Värde enligt ovan. (%)",Kraftvärmeprod!$B$1:$BX$1,0),FALSE),"")</f>
        <v/>
      </c>
    </row>
    <row r="284" spans="1:65" x14ac:dyDescent="0.45">
      <c r="A284" s="63" t="s">
        <v>312</v>
      </c>
      <c r="B284" s="63" t="s">
        <v>315</v>
      </c>
      <c r="C284" s="63">
        <f>VLOOKUP($B284,'Tillförd energi'!$B$1:$AI$720,MATCH(C$2,'Tillförd energi'!$B$1:$AQ$1,0),FALSE)</f>
        <v>0</v>
      </c>
      <c r="D284" s="63">
        <f>VLOOKUP($B284,'Tillförd energi'!$B$1:$AI$720,MATCH(D$2,'Tillförd energi'!$B$1:$AQ$1,0),FALSE)</f>
        <v>0</v>
      </c>
      <c r="E284" s="63">
        <f>VLOOKUP($B284,'Tillförd energi'!$B$1:$AI$720,MATCH(E$2,'Tillförd energi'!$B$1:$AQ$1,0),FALSE)</f>
        <v>0</v>
      </c>
      <c r="F284" s="63">
        <f>VLOOKUP($B284,'Tillförd energi'!$B$1:$AI$720,MATCH(F$2,'Tillförd energi'!$B$1:$AQ$1,0),FALSE)</f>
        <v>0</v>
      </c>
      <c r="G284" s="63">
        <f>VLOOKUP($B284,'Tillförd energi'!$B$1:$AI$720,MATCH(G$2,'Tillförd energi'!$B$1:$AQ$1,0),FALSE)</f>
        <v>0</v>
      </c>
      <c r="H284" s="63">
        <f>VLOOKUP($B284,'Tillförd energi'!$B$1:$AI$720,MATCH(H$2,'Tillförd energi'!$B$1:$AQ$1,0),FALSE)</f>
        <v>0</v>
      </c>
      <c r="I284" s="63">
        <f>VLOOKUP($B284,'Tillförd energi'!$B$1:$AI$720,MATCH(I$2,'Tillförd energi'!$B$1:$AQ$1,0),FALSE)</f>
        <v>0</v>
      </c>
      <c r="J284" s="63">
        <f>VLOOKUP($B284,'Tillförd energi'!$B$1:$AI$720,MATCH(J$2,'Tillförd energi'!$B$1:$AQ$1,0),FALSE)</f>
        <v>0</v>
      </c>
      <c r="K284" s="63">
        <f>VLOOKUP($B284,'Tillförd energi'!$B$1:$AI$720,MATCH(K$2,'Tillförd energi'!$B$1:$AQ$1,0),FALSE)</f>
        <v>0</v>
      </c>
      <c r="L284" s="63">
        <f>VLOOKUP($B284,'Tillförd energi'!$B$1:$AI$720,MATCH(L$2,'Tillförd energi'!$B$1:$AQ$1,0),FALSE)</f>
        <v>0</v>
      </c>
      <c r="M284" s="63">
        <f>VLOOKUP($B284,'Tillförd energi'!$B$1:$AI$720,MATCH(M$2,'Tillförd energi'!$B$1:$AQ$1,0),FALSE)</f>
        <v>0</v>
      </c>
      <c r="N284" s="63">
        <f>VLOOKUP($B284,'Tillförd energi'!$B$1:$AI$720,MATCH(N$2,'Tillförd energi'!$B$1:$AQ$1,0),FALSE)</f>
        <v>0</v>
      </c>
      <c r="O284" s="63">
        <f>VLOOKUP($B284,'Tillförd energi'!$B$1:$AI$720,MATCH(O$2,'Tillförd energi'!$B$1:$AQ$1,0),FALSE)</f>
        <v>0</v>
      </c>
      <c r="P284" s="63">
        <f>VLOOKUP($B284,'Tillförd energi'!$B$1:$AI$720,MATCH(P$2,'Tillförd energi'!$B$1:$AQ$1,0),FALSE)</f>
        <v>0</v>
      </c>
      <c r="Q284" s="63">
        <f>VLOOKUP($B284,'Tillförd energi'!$B$1:$AI$720,MATCH(Q$2,'Tillförd energi'!$B$1:$AQ$1,0),FALSE)</f>
        <v>0</v>
      </c>
      <c r="R284" s="63">
        <f>VLOOKUP($B284,'Tillförd energi'!$B$1:$AI$720,MATCH(R$2,'Tillförd energi'!$B$1:$AQ$1,0),FALSE)</f>
        <v>0</v>
      </c>
      <c r="S284" s="63">
        <f>VLOOKUP($B284,'Tillförd energi'!$B$1:$AI$720,MATCH(S$2,'Tillförd energi'!$B$1:$AQ$1,0),FALSE)</f>
        <v>0</v>
      </c>
      <c r="T284" s="63">
        <f>VLOOKUP($B284,'Tillförd energi'!$B$1:$AI$720,MATCH(T$2,'Tillförd energi'!$B$1:$AQ$1,0),FALSE)</f>
        <v>0</v>
      </c>
      <c r="U284" s="63">
        <f>VLOOKUP($B284,'Tillförd energi'!$B$1:$AI$720,MATCH(U$2,'Tillförd energi'!$B$1:$AQ$1,0),FALSE)</f>
        <v>0</v>
      </c>
      <c r="V284" s="63">
        <f>VLOOKUP($B284,'Tillförd energi'!$B$1:$AI$720,MATCH(V$2,'Tillförd energi'!$B$1:$AQ$1,0),FALSE)</f>
        <v>0</v>
      </c>
      <c r="W284" s="63">
        <f>VLOOKUP($B284,'Tillförd energi'!$B$1:$AI$720,MATCH(W$2,'Tillförd energi'!$B$1:$AQ$1,0),FALSE)</f>
        <v>0</v>
      </c>
      <c r="X284" s="63">
        <f>VLOOKUP($B284,'Tillförd energi'!$B$1:$AI$720,MATCH(X$2,'Tillförd energi'!$B$1:$AQ$1,0),FALSE)</f>
        <v>0</v>
      </c>
      <c r="Y284" s="63">
        <f>VLOOKUP($B284,'Tillförd energi'!$B$1:$AI$720,MATCH(Y$2,'Tillförd energi'!$B$1:$AQ$1,0),FALSE)</f>
        <v>0</v>
      </c>
      <c r="Z284" s="63">
        <f>VLOOKUP($B284,'Tillförd energi'!$B$1:$AI$720,MATCH(Z$2,'Tillförd energi'!$B$1:$AQ$1,0),FALSE)</f>
        <v>0</v>
      </c>
      <c r="AA284" s="63">
        <f>VLOOKUP($B284,'Tillförd energi'!$B$1:$AI$720,MATCH(AA$2,'Tillförd energi'!$B$1:$AQ$1,0),FALSE)</f>
        <v>0</v>
      </c>
      <c r="AB284" s="63">
        <f>VLOOKUP($B284,'Tillförd energi'!$B$1:$AI$720,MATCH(AB$2,'Tillförd energi'!$B$1:$AQ$1,0),FALSE)</f>
        <v>0</v>
      </c>
      <c r="AC284" s="63">
        <f>VLOOKUP($B284,'Tillförd energi'!$B$1:$AI$720,MATCH(AC$2,'Tillförd energi'!$B$1:$AQ$1,0),FALSE)</f>
        <v>0</v>
      </c>
      <c r="AD284" s="63">
        <f>VLOOKUP($B284,'Tillförd energi'!$B$1:$AI$720,MATCH(AD$2,'Tillförd energi'!$B$1:$AQ$1,0),FALSE)</f>
        <v>0</v>
      </c>
      <c r="AE284" s="63">
        <f>VLOOKUP($B284,'Tillförd energi'!$B$1:$AI$720,MATCH(AE$2,'Tillförd energi'!$B$1:$AQ$1,0),FALSE)</f>
        <v>0</v>
      </c>
      <c r="AF284" s="63">
        <f>VLOOKUP($B284,'Tillförd energi'!$B$1:$AI$720,MATCH(AF$2,'Tillförd energi'!$B$1:$AQ$1,0),FALSE)</f>
        <v>0</v>
      </c>
      <c r="AG284" s="63">
        <f>IFERROR(VLOOKUP(B284,Miljö!$B$1:$AC$550,MATCH("Köpt mängd produktionsspecifik fjärrvärme:",Miljö!$B$1:$AC$1,0),FALSE)/1,0)</f>
        <v>0</v>
      </c>
      <c r="AI284" s="63">
        <f t="shared" si="24"/>
        <v>0</v>
      </c>
      <c r="AJ284" s="63" t="str">
        <f>IF(ISERROR(1/VLOOKUP($B284,Leveranser!$B$1:$S$500,MATCH("såld värme (gwh)",Leveranser!$B$1:$S$1,0),FALSE)),"",VLOOKUP($B284,Leveranser!$B$1:$S$500,MATCH("såld värme (gwh)",Leveranser!$B$1:$S$1,0),FALSE))</f>
        <v/>
      </c>
      <c r="AM284" s="63" t="str">
        <f>IF(B284&lt;&gt;"",IF(VLOOKUP($B284,Totalt!$B$1:$AQ$554,MATCH("Kvalitetsgranskad:",Totalt!$B$1:$AQ$1,0),FALSE)="ja",VLOOKUP($B284,Miljö!$B$1:$AG$479,MATCH(AM$2,Miljö!$B$1:$AK$1,0),FALSE),""),"")</f>
        <v/>
      </c>
      <c r="AN284" s="63" t="str">
        <f>IF(AM284="ja",VLOOKUP($B284,Miljö!$B$1:$J$479,MATCH("Typ av ursprungsspecificerad el   (Om inget värde anges används Nordisk residualmix, se inforuta) ()",Miljö!$B$1:$J$1,0),FALSE),IF(AM284="nej","Nordisk residualel",""))</f>
        <v/>
      </c>
      <c r="AO284" s="63" t="str">
        <f>IF(AM284="","",VLOOKUP($B284,Miljö!$B$1:$J$479,MATCH("Fossilandel för ursprungspecificerad el ()",Miljö!$B$1:$J$1,0),FALSE))</f>
        <v/>
      </c>
      <c r="AQ284" s="63" t="str">
        <f t="shared" si="25"/>
        <v/>
      </c>
      <c r="AS284" s="63" t="str">
        <f t="shared" si="26"/>
        <v>Nej</v>
      </c>
      <c r="AT284" s="63" t="str">
        <f>IF(AS284="ja",VLOOKUP($B284,Miljö!$B$1:$P$500,MATCH("Fossil andel i procent (%)",Miljö!$B$1:$P$1,0),FALSE)/100,"")</f>
        <v/>
      </c>
      <c r="AV284" s="63" t="str">
        <f t="shared" si="27"/>
        <v>Nej</v>
      </c>
      <c r="AW284" s="63" t="str">
        <f>IF(AV284="ja",VLOOKUP($B284,'Egen hetvattenprod'!$B$1:$AO$500,MATCH("Värmekälla till värmepumpar ()",'Egen hetvattenprod'!$B$1:$AO$1,0),FALSE),"")</f>
        <v/>
      </c>
      <c r="AY284" s="63" t="str">
        <f t="shared" si="28"/>
        <v>Nej</v>
      </c>
      <c r="AZ284" s="77" t="str">
        <f>IF($AY284="ja",(VLOOKUP($B284,'Egen hetvattenprod'!$B$1:$BX$550,MATCH(AZ$2,'Egen hetvattenprod'!$B$1:$BX$1,0),FALSE)+VLOOKUP($B284,Kraftvärmeprod!$B$1:$BX$550,MATCH(AZ$2,Kraftvärmeprod!$B$1:$BX$1,0),FALSE))/$AC284,"")</f>
        <v/>
      </c>
      <c r="BA284" s="77" t="str">
        <f>IF($AY284="ja",(VLOOKUP($B284,'Egen hetvattenprod'!$B$1:$BX$550,MATCH(BA$2,'Egen hetvattenprod'!$B$1:$BX$1,0),FALSE)+VLOOKUP($B284,Kraftvärmeprod!$B$1:$BX$550,MATCH(BA$2,Kraftvärmeprod!$B$1:$BX$1,0),FALSE))/$AC284,"")</f>
        <v/>
      </c>
      <c r="BB284" s="77" t="str">
        <f>IF($AY284="ja",(VLOOKUP($B284,'Egen hetvattenprod'!$B$1:$BX$550,MATCH(BB$2,'Egen hetvattenprod'!$B$1:$BX$1,0),FALSE)+VLOOKUP($B284,Kraftvärmeprod!$B$1:$BX$550,MATCH(BB$2,Kraftvärmeprod!$B$1:$BX$1,0),FALSE))/$AC284,"")</f>
        <v/>
      </c>
      <c r="BC284" s="77" t="str">
        <f>IF($AY284="ja",(VLOOKUP($B284,'Egen hetvattenprod'!$B$1:$BX$550,MATCH(BC$2,'Egen hetvattenprod'!$B$1:$BX$1,0),FALSE)+VLOOKUP($B284,Kraftvärmeprod!$B$1:$BX$550,MATCH(BC$2,Kraftvärmeprod!$B$1:$BX$1,0),FALSE))/$AC284,"")</f>
        <v/>
      </c>
      <c r="BD284" s="77" t="str">
        <f>IF($AY284="ja",(VLOOKUP($B284,'Egen hetvattenprod'!$B$1:$BX$550,MATCH(BD$2,'Egen hetvattenprod'!$B$1:$BX$1,0),FALSE)+VLOOKUP($B284,Kraftvärmeprod!$B$1:$BX$550,MATCH(BD$2,Kraftvärmeprod!$B$1:$BX$1,0),FALSE))/$AC284,"")</f>
        <v/>
      </c>
      <c r="BF284" s="63" t="str">
        <f t="shared" si="29"/>
        <v>Nej</v>
      </c>
      <c r="BG284" s="63" t="str">
        <f>IF($BF284="ja",VLOOKUP($B284,'Egen hetvattenprod'!$B$1:$BX$550,MATCH("Andelen klimatgaser med fossilt ursprung för avfall ()",'Egen hetvattenprod'!$B$1:$BX$1,0),FALSE),"")</f>
        <v/>
      </c>
      <c r="BH284" s="63" t="str">
        <f>IF($BF284="ja",VLOOKUP($B284,Kraftvärmeprod!$B$1:$BX$550,MATCH("Andelen klimatgaser med fossilt ursprung för avfall ()",Kraftvärmeprod!$B$1:$BX$1,0),FALSE),"")</f>
        <v/>
      </c>
      <c r="BI284" s="63" t="str">
        <f>IF($BF284="ja",VLOOKUP($B284,'Egen hetvattenprod'!$B$1:$BX$550,MATCH("Avfall (GWh)",'Egen hetvattenprod'!$B$1:$BX$1,0),FALSE),"")</f>
        <v/>
      </c>
      <c r="BJ284" s="63" t="str">
        <f>IF($BF284="ja",VLOOKUP($B284,'Slutlig allokering kvv'!$B$1:$BX$550,MATCH("Avfall (GWh)",'Slutlig allokering kvv'!$B$1:$BX$1,0),FALSE),"")</f>
        <v/>
      </c>
      <c r="BK284" s="63" t="str">
        <f>IF($BF284="ja",VLOOKUP($B284,'Köpt hetvatten'!$B$1:$BX$550,MATCH("Avfall i köpt hetvatten",'Köpt hetvatten'!$B$1:$BX$1,0),FALSE),"")</f>
        <v/>
      </c>
      <c r="BL284" s="63" t="str">
        <f>IF($BF284="ja",VLOOKUP($B284,'Egen hetvattenprod'!$B$1:$BX$550,MATCH("Värde enligt ovan. (%)",'Egen hetvattenprod'!$B$1:$BX$1,0),FALSE),"")</f>
        <v/>
      </c>
      <c r="BM284" s="63" t="str">
        <f>IF($BF284="ja",VLOOKUP($B284,Kraftvärmeprod!$B$1:$BX$550,MATCH("Värde enligt ovan. (%)",Kraftvärmeprod!$B$1:$BX$1,0),FALSE),"")</f>
        <v/>
      </c>
    </row>
    <row r="285" spans="1:65" x14ac:dyDescent="0.45">
      <c r="A285" s="63" t="s">
        <v>305</v>
      </c>
      <c r="B285" s="63" t="s">
        <v>310</v>
      </c>
      <c r="C285" s="63">
        <f>VLOOKUP($B285,'Tillförd energi'!$B$1:$AI$720,MATCH(C$2,'Tillförd energi'!$B$1:$AQ$1,0),FALSE)</f>
        <v>0</v>
      </c>
      <c r="D285" s="63">
        <f>VLOOKUP($B285,'Tillförd energi'!$B$1:$AI$720,MATCH(D$2,'Tillförd energi'!$B$1:$AQ$1,0),FALSE)</f>
        <v>0.39200000000000002</v>
      </c>
      <c r="E285" s="63">
        <f>VLOOKUP($B285,'Tillförd energi'!$B$1:$AI$720,MATCH(E$2,'Tillförd energi'!$B$1:$AQ$1,0),FALSE)</f>
        <v>0</v>
      </c>
      <c r="F285" s="63">
        <f>VLOOKUP($B285,'Tillförd energi'!$B$1:$AI$720,MATCH(F$2,'Tillförd energi'!$B$1:$AQ$1,0),FALSE)</f>
        <v>3.851</v>
      </c>
      <c r="G285" s="63">
        <f>VLOOKUP($B285,'Tillförd energi'!$B$1:$AI$720,MATCH(G$2,'Tillförd energi'!$B$1:$AQ$1,0),FALSE)</f>
        <v>0</v>
      </c>
      <c r="H285" s="63">
        <f>VLOOKUP($B285,'Tillförd energi'!$B$1:$AI$720,MATCH(H$2,'Tillförd energi'!$B$1:$AQ$1,0),FALSE)</f>
        <v>0</v>
      </c>
      <c r="I285" s="63">
        <f>VLOOKUP($B285,'Tillförd energi'!$B$1:$AI$720,MATCH(I$2,'Tillförd energi'!$B$1:$AQ$1,0),FALSE)</f>
        <v>0</v>
      </c>
      <c r="J285" s="63">
        <f>VLOOKUP($B285,'Tillförd energi'!$B$1:$AI$720,MATCH(J$2,'Tillförd energi'!$B$1:$AQ$1,0),FALSE)</f>
        <v>0</v>
      </c>
      <c r="K285" s="63">
        <f>VLOOKUP($B285,'Tillförd energi'!$B$1:$AI$720,MATCH(K$2,'Tillförd energi'!$B$1:$AQ$1,0),FALSE)</f>
        <v>0</v>
      </c>
      <c r="L285" s="63">
        <f>VLOOKUP($B285,'Tillförd energi'!$B$1:$AI$720,MATCH(L$2,'Tillförd energi'!$B$1:$AQ$1,0),FALSE)</f>
        <v>0</v>
      </c>
      <c r="M285" s="63">
        <f>VLOOKUP($B285,'Tillförd energi'!$B$1:$AI$720,MATCH(M$2,'Tillförd energi'!$B$1:$AQ$1,0),FALSE)</f>
        <v>0</v>
      </c>
      <c r="N285" s="63">
        <f>VLOOKUP($B285,'Tillförd energi'!$B$1:$AI$720,MATCH(N$2,'Tillförd energi'!$B$1:$AQ$1,0),FALSE)</f>
        <v>0</v>
      </c>
      <c r="O285" s="63">
        <f>VLOOKUP($B285,'Tillförd energi'!$B$1:$AI$720,MATCH(O$2,'Tillförd energi'!$B$1:$AQ$1,0),FALSE)</f>
        <v>20.599</v>
      </c>
      <c r="P285" s="63">
        <f>VLOOKUP($B285,'Tillförd energi'!$B$1:$AI$720,MATCH(P$2,'Tillförd energi'!$B$1:$AQ$1,0),FALSE)</f>
        <v>0</v>
      </c>
      <c r="Q285" s="63">
        <f>VLOOKUP($B285,'Tillförd energi'!$B$1:$AI$720,MATCH(Q$2,'Tillförd energi'!$B$1:$AQ$1,0),FALSE)</f>
        <v>0</v>
      </c>
      <c r="R285" s="63">
        <f>VLOOKUP($B285,'Tillförd energi'!$B$1:$AI$720,MATCH(R$2,'Tillförd energi'!$B$1:$AQ$1,0),FALSE)</f>
        <v>0</v>
      </c>
      <c r="S285" s="63">
        <f>VLOOKUP($B285,'Tillförd energi'!$B$1:$AI$720,MATCH(S$2,'Tillförd energi'!$B$1:$AQ$1,0),FALSE)</f>
        <v>0</v>
      </c>
      <c r="T285" s="63">
        <f>VLOOKUP($B285,'Tillförd energi'!$B$1:$AI$720,MATCH(T$2,'Tillförd energi'!$B$1:$AQ$1,0),FALSE)</f>
        <v>0</v>
      </c>
      <c r="U285" s="63">
        <f>VLOOKUP($B285,'Tillförd energi'!$B$1:$AI$720,MATCH(U$2,'Tillförd energi'!$B$1:$AQ$1,0),FALSE)</f>
        <v>0</v>
      </c>
      <c r="V285" s="63">
        <f>VLOOKUP($B285,'Tillförd energi'!$B$1:$AI$720,MATCH(V$2,'Tillförd energi'!$B$1:$AQ$1,0),FALSE)</f>
        <v>0</v>
      </c>
      <c r="W285" s="63">
        <f>VLOOKUP($B285,'Tillförd energi'!$B$1:$AI$720,MATCH(W$2,'Tillförd energi'!$B$1:$AQ$1,0),FALSE)</f>
        <v>0</v>
      </c>
      <c r="X285" s="63">
        <f>VLOOKUP($B285,'Tillförd energi'!$B$1:$AI$720,MATCH(X$2,'Tillförd energi'!$B$1:$AQ$1,0),FALSE)</f>
        <v>0</v>
      </c>
      <c r="Y285" s="63">
        <f>VLOOKUP($B285,'Tillförd energi'!$B$1:$AI$720,MATCH(Y$2,'Tillförd energi'!$B$1:$AQ$1,0),FALSE)</f>
        <v>0</v>
      </c>
      <c r="Z285" s="63">
        <f>VLOOKUP($B285,'Tillförd energi'!$B$1:$AI$720,MATCH(Z$2,'Tillförd energi'!$B$1:$AQ$1,0),FALSE)</f>
        <v>0</v>
      </c>
      <c r="AA285" s="63">
        <f>VLOOKUP($B285,'Tillförd energi'!$B$1:$AI$720,MATCH(AA$2,'Tillförd energi'!$B$1:$AQ$1,0),FALSE)</f>
        <v>0</v>
      </c>
      <c r="AB285" s="63">
        <f>VLOOKUP($B285,'Tillförd energi'!$B$1:$AI$720,MATCH(AB$2,'Tillförd energi'!$B$1:$AQ$1,0),FALSE)</f>
        <v>0</v>
      </c>
      <c r="AC285" s="63">
        <f>VLOOKUP($B285,'Tillförd energi'!$B$1:$AI$720,MATCH(AC$2,'Tillförd energi'!$B$1:$AQ$1,0),FALSE)</f>
        <v>3.6930000000000001</v>
      </c>
      <c r="AD285" s="63">
        <f>VLOOKUP($B285,'Tillförd energi'!$B$1:$AI$720,MATCH(AD$2,'Tillförd energi'!$B$1:$AQ$1,0),FALSE)</f>
        <v>0</v>
      </c>
      <c r="AE285" s="63">
        <f>VLOOKUP($B285,'Tillförd energi'!$B$1:$AI$720,MATCH(AE$2,'Tillförd energi'!$B$1:$AQ$1,0),FALSE)</f>
        <v>0</v>
      </c>
      <c r="AF285" s="63">
        <f>VLOOKUP($B285,'Tillförd energi'!$B$1:$AI$720,MATCH(AF$2,'Tillförd energi'!$B$1:$AQ$1,0),FALSE)</f>
        <v>0.76200000000000001</v>
      </c>
      <c r="AG285" s="63">
        <f>IFERROR(VLOOKUP(B285,Miljö!$B$1:$AC$550,MATCH("Köpt mängd produktionsspecifik fjärrvärme:",Miljö!$B$1:$AC$1,0),FALSE)/1,0)</f>
        <v>0</v>
      </c>
      <c r="AI285" s="63">
        <f t="shared" si="24"/>
        <v>29.297000000000001</v>
      </c>
      <c r="AJ285" s="63">
        <f>IF(ISERROR(1/VLOOKUP($B285,Leveranser!$B$1:$S$500,MATCH("såld värme (gwh)",Leveranser!$B$1:$S$1,0),FALSE)),"",VLOOKUP($B285,Leveranser!$B$1:$S$500,MATCH("såld värme (gwh)",Leveranser!$B$1:$S$1,0),FALSE))</f>
        <v>20.495999999999999</v>
      </c>
      <c r="AM285" s="63" t="str">
        <f>IF(B285&lt;&gt;"",IF(VLOOKUP($B285,Totalt!$B$1:$AQ$554,MATCH("Kvalitetsgranskad:",Totalt!$B$1:$AQ$1,0),FALSE)="ja",VLOOKUP($B285,Miljö!$B$1:$AG$479,MATCH(AM$2,Miljö!$B$1:$AK$1,0),FALSE),""),"")</f>
        <v>Ja</v>
      </c>
      <c r="AN285" s="63" t="str">
        <f>IF(AM285="ja",VLOOKUP($B285,Miljö!$B$1:$J$479,MATCH("Typ av ursprungsspecificerad el   (Om inget värde anges används Nordisk residualmix, se inforuta) ()",Miljö!$B$1:$J$1,0),FALSE),IF(AM285="nej","Nordisk residualel",""))</f>
        <v>-</v>
      </c>
      <c r="AO285" s="63">
        <f>IF(AM285="","",VLOOKUP($B285,Miljö!$B$1:$J$479,MATCH("Fossilandel för ursprungspecificerad el ()",Miljö!$B$1:$J$1,0),FALSE))</f>
        <v>0.35</v>
      </c>
      <c r="AQ285" s="63">
        <f t="shared" si="25"/>
        <v>0.65</v>
      </c>
      <c r="AS285" s="63" t="str">
        <f t="shared" si="26"/>
        <v>Nej</v>
      </c>
      <c r="AT285" s="63" t="str">
        <f>IF(AS285="ja",VLOOKUP($B285,Miljö!$B$1:$P$500,MATCH("Fossil andel i procent (%)",Miljö!$B$1:$P$1,0),FALSE)/100,"")</f>
        <v/>
      </c>
      <c r="AV285" s="63" t="str">
        <f t="shared" si="27"/>
        <v>Nej</v>
      </c>
      <c r="AW285" s="63" t="str">
        <f>IF(AV285="ja",VLOOKUP($B285,'Egen hetvattenprod'!$B$1:$AO$500,MATCH("Värmekälla till värmepumpar ()",'Egen hetvattenprod'!$B$1:$AO$1,0),FALSE),"")</f>
        <v/>
      </c>
      <c r="AY285" s="63" t="str">
        <f t="shared" si="28"/>
        <v>Ja</v>
      </c>
      <c r="AZ285" s="77">
        <f>IF($AY285="ja",(VLOOKUP($B285,'Egen hetvattenprod'!$B$1:$BX$550,MATCH(AZ$2,'Egen hetvattenprod'!$B$1:$BX$1,0),FALSE)+VLOOKUP($B285,Kraftvärmeprod!$B$1:$BX$550,MATCH(AZ$2,Kraftvärmeprod!$B$1:$BX$1,0),FALSE))/$AC285,"")</f>
        <v>1</v>
      </c>
      <c r="BA285" s="77">
        <f>IF($AY285="ja",(VLOOKUP($B285,'Egen hetvattenprod'!$B$1:$BX$550,MATCH(BA$2,'Egen hetvattenprod'!$B$1:$BX$1,0),FALSE)+VLOOKUP($B285,Kraftvärmeprod!$B$1:$BX$550,MATCH(BA$2,Kraftvärmeprod!$B$1:$BX$1,0),FALSE))/$AC285,"")</f>
        <v>0</v>
      </c>
      <c r="BB285" s="77">
        <f>IF($AY285="ja",(VLOOKUP($B285,'Egen hetvattenprod'!$B$1:$BX$550,MATCH(BB$2,'Egen hetvattenprod'!$B$1:$BX$1,0),FALSE)+VLOOKUP($B285,Kraftvärmeprod!$B$1:$BX$550,MATCH(BB$2,Kraftvärmeprod!$B$1:$BX$1,0),FALSE))/$AC285,"")</f>
        <v>0</v>
      </c>
      <c r="BC285" s="77">
        <f>IF($AY285="ja",(VLOOKUP($B285,'Egen hetvattenprod'!$B$1:$BX$550,MATCH(BC$2,'Egen hetvattenprod'!$B$1:$BX$1,0),FALSE)+VLOOKUP($B285,Kraftvärmeprod!$B$1:$BX$550,MATCH(BC$2,Kraftvärmeprod!$B$1:$BX$1,0),FALSE))/$AC285,"")</f>
        <v>0</v>
      </c>
      <c r="BD285" s="77">
        <f>IF($AY285="ja",(VLOOKUP($B285,'Egen hetvattenprod'!$B$1:$BX$550,MATCH(BD$2,'Egen hetvattenprod'!$B$1:$BX$1,0),FALSE)+VLOOKUP($B285,Kraftvärmeprod!$B$1:$BX$550,MATCH(BD$2,Kraftvärmeprod!$B$1:$BX$1,0),FALSE))/$AC285,"")</f>
        <v>0</v>
      </c>
      <c r="BF285" s="63" t="str">
        <f t="shared" si="29"/>
        <v>Nej</v>
      </c>
      <c r="BG285" s="63" t="str">
        <f>IF($BF285="ja",VLOOKUP($B285,'Egen hetvattenprod'!$B$1:$BX$550,MATCH("Andelen klimatgaser med fossilt ursprung för avfall ()",'Egen hetvattenprod'!$B$1:$BX$1,0),FALSE),"")</f>
        <v/>
      </c>
      <c r="BH285" s="63" t="str">
        <f>IF($BF285="ja",VLOOKUP($B285,Kraftvärmeprod!$B$1:$BX$550,MATCH("Andelen klimatgaser med fossilt ursprung för avfall ()",Kraftvärmeprod!$B$1:$BX$1,0),FALSE),"")</f>
        <v/>
      </c>
      <c r="BI285" s="63" t="str">
        <f>IF($BF285="ja",VLOOKUP($B285,'Egen hetvattenprod'!$B$1:$BX$550,MATCH("Avfall (GWh)",'Egen hetvattenprod'!$B$1:$BX$1,0),FALSE),"")</f>
        <v/>
      </c>
      <c r="BJ285" s="63" t="str">
        <f>IF($BF285="ja",VLOOKUP($B285,'Slutlig allokering kvv'!$B$1:$BX$550,MATCH("Avfall (GWh)",'Slutlig allokering kvv'!$B$1:$BX$1,0),FALSE),"")</f>
        <v/>
      </c>
      <c r="BK285" s="63" t="str">
        <f>IF($BF285="ja",VLOOKUP($B285,'Köpt hetvatten'!$B$1:$BX$550,MATCH("Avfall i köpt hetvatten",'Köpt hetvatten'!$B$1:$BX$1,0),FALSE),"")</f>
        <v/>
      </c>
      <c r="BL285" s="63" t="str">
        <f>IF($BF285="ja",VLOOKUP($B285,'Egen hetvattenprod'!$B$1:$BX$550,MATCH("Värde enligt ovan. (%)",'Egen hetvattenprod'!$B$1:$BX$1,0),FALSE),"")</f>
        <v/>
      </c>
      <c r="BM285" s="63" t="str">
        <f>IF($BF285="ja",VLOOKUP($B285,Kraftvärmeprod!$B$1:$BX$550,MATCH("Värde enligt ovan. (%)",Kraftvärmeprod!$B$1:$BX$1,0),FALSE),"")</f>
        <v/>
      </c>
    </row>
    <row r="286" spans="1:65" x14ac:dyDescent="0.45">
      <c r="A286" s="63" t="s">
        <v>305</v>
      </c>
      <c r="B286" s="63" t="s">
        <v>309</v>
      </c>
      <c r="C286" s="63">
        <f>VLOOKUP($B286,'Tillförd energi'!$B$1:$AI$720,MATCH(C$2,'Tillförd energi'!$B$1:$AQ$1,0),FALSE)</f>
        <v>0</v>
      </c>
      <c r="D286" s="63">
        <f>VLOOKUP($B286,'Tillförd energi'!$B$1:$AI$720,MATCH(D$2,'Tillförd energi'!$B$1:$AQ$1,0),FALSE)</f>
        <v>0.39200000000000002</v>
      </c>
      <c r="E286" s="63">
        <f>VLOOKUP($B286,'Tillförd energi'!$B$1:$AI$720,MATCH(E$2,'Tillförd energi'!$B$1:$AQ$1,0),FALSE)</f>
        <v>0</v>
      </c>
      <c r="F286" s="63">
        <f>VLOOKUP($B286,'Tillförd energi'!$B$1:$AI$720,MATCH(F$2,'Tillförd energi'!$B$1:$AQ$1,0),FALSE)</f>
        <v>0</v>
      </c>
      <c r="G286" s="63">
        <f>VLOOKUP($B286,'Tillförd energi'!$B$1:$AI$720,MATCH(G$2,'Tillförd energi'!$B$1:$AQ$1,0),FALSE)</f>
        <v>0</v>
      </c>
      <c r="H286" s="63">
        <f>VLOOKUP($B286,'Tillförd energi'!$B$1:$AI$720,MATCH(H$2,'Tillförd energi'!$B$1:$AQ$1,0),FALSE)</f>
        <v>0</v>
      </c>
      <c r="I286" s="63">
        <f>VLOOKUP($B286,'Tillförd energi'!$B$1:$AI$720,MATCH(I$2,'Tillförd energi'!$B$1:$AQ$1,0),FALSE)</f>
        <v>0</v>
      </c>
      <c r="J286" s="63">
        <f>VLOOKUP($B286,'Tillförd energi'!$B$1:$AI$720,MATCH(J$2,'Tillförd energi'!$B$1:$AQ$1,0),FALSE)</f>
        <v>0</v>
      </c>
      <c r="K286" s="63">
        <f>VLOOKUP($B286,'Tillförd energi'!$B$1:$AI$720,MATCH(K$2,'Tillförd energi'!$B$1:$AQ$1,0),FALSE)</f>
        <v>0</v>
      </c>
      <c r="L286" s="63">
        <f>VLOOKUP($B286,'Tillförd energi'!$B$1:$AI$720,MATCH(L$2,'Tillförd energi'!$B$1:$AQ$1,0),FALSE)</f>
        <v>0</v>
      </c>
      <c r="M286" s="63">
        <f>VLOOKUP($B286,'Tillförd energi'!$B$1:$AI$720,MATCH(M$2,'Tillförd energi'!$B$1:$AQ$1,0),FALSE)</f>
        <v>0</v>
      </c>
      <c r="N286" s="63">
        <f>VLOOKUP($B286,'Tillförd energi'!$B$1:$AI$720,MATCH(N$2,'Tillförd energi'!$B$1:$AQ$1,0),FALSE)</f>
        <v>0</v>
      </c>
      <c r="O286" s="63">
        <f>VLOOKUP($B286,'Tillförd energi'!$B$1:$AI$720,MATCH(O$2,'Tillförd energi'!$B$1:$AQ$1,0),FALSE)</f>
        <v>0</v>
      </c>
      <c r="P286" s="63">
        <f>VLOOKUP($B286,'Tillförd energi'!$B$1:$AI$720,MATCH(P$2,'Tillförd energi'!$B$1:$AQ$1,0),FALSE)</f>
        <v>15.272</v>
      </c>
      <c r="Q286" s="63">
        <f>VLOOKUP($B286,'Tillförd energi'!$B$1:$AI$720,MATCH(Q$2,'Tillförd energi'!$B$1:$AQ$1,0),FALSE)</f>
        <v>0</v>
      </c>
      <c r="R286" s="63">
        <f>VLOOKUP($B286,'Tillförd energi'!$B$1:$AI$720,MATCH(R$2,'Tillförd energi'!$B$1:$AQ$1,0),FALSE)</f>
        <v>0</v>
      </c>
      <c r="S286" s="63">
        <f>VLOOKUP($B286,'Tillförd energi'!$B$1:$AI$720,MATCH(S$2,'Tillförd energi'!$B$1:$AQ$1,0),FALSE)</f>
        <v>0</v>
      </c>
      <c r="T286" s="63">
        <f>VLOOKUP($B286,'Tillförd energi'!$B$1:$AI$720,MATCH(T$2,'Tillförd energi'!$B$1:$AQ$1,0),FALSE)</f>
        <v>0</v>
      </c>
      <c r="U286" s="63">
        <f>VLOOKUP($B286,'Tillförd energi'!$B$1:$AI$720,MATCH(U$2,'Tillförd energi'!$B$1:$AQ$1,0),FALSE)</f>
        <v>0</v>
      </c>
      <c r="V286" s="63">
        <f>VLOOKUP($B286,'Tillförd energi'!$B$1:$AI$720,MATCH(V$2,'Tillförd energi'!$B$1:$AQ$1,0),FALSE)</f>
        <v>0.36</v>
      </c>
      <c r="W286" s="63">
        <f>VLOOKUP($B286,'Tillförd energi'!$B$1:$AI$720,MATCH(W$2,'Tillförd energi'!$B$1:$AQ$1,0),FALSE)</f>
        <v>0</v>
      </c>
      <c r="X286" s="63">
        <f>VLOOKUP($B286,'Tillförd energi'!$B$1:$AI$720,MATCH(X$2,'Tillförd energi'!$B$1:$AQ$1,0),FALSE)</f>
        <v>0</v>
      </c>
      <c r="Y286" s="63">
        <f>VLOOKUP($B286,'Tillförd energi'!$B$1:$AI$720,MATCH(Y$2,'Tillförd energi'!$B$1:$AQ$1,0),FALSE)</f>
        <v>0</v>
      </c>
      <c r="Z286" s="63">
        <f>VLOOKUP($B286,'Tillförd energi'!$B$1:$AI$720,MATCH(Z$2,'Tillförd energi'!$B$1:$AQ$1,0),FALSE)</f>
        <v>0</v>
      </c>
      <c r="AA286" s="63">
        <f>VLOOKUP($B286,'Tillförd energi'!$B$1:$AI$720,MATCH(AA$2,'Tillförd energi'!$B$1:$AQ$1,0),FALSE)</f>
        <v>0</v>
      </c>
      <c r="AB286" s="63">
        <f>VLOOKUP($B286,'Tillförd energi'!$B$1:$AI$720,MATCH(AB$2,'Tillförd energi'!$B$1:$AQ$1,0),FALSE)</f>
        <v>0</v>
      </c>
      <c r="AC286" s="63">
        <f>VLOOKUP($B286,'Tillförd energi'!$B$1:$AI$720,MATCH(AC$2,'Tillförd energi'!$B$1:$AQ$1,0),FALSE)</f>
        <v>1.575</v>
      </c>
      <c r="AD286" s="63">
        <f>VLOOKUP($B286,'Tillförd energi'!$B$1:$AI$720,MATCH(AD$2,'Tillförd energi'!$B$1:$AQ$1,0),FALSE)</f>
        <v>0</v>
      </c>
      <c r="AE286" s="63">
        <f>VLOOKUP($B286,'Tillförd energi'!$B$1:$AI$720,MATCH(AE$2,'Tillförd energi'!$B$1:$AQ$1,0),FALSE)</f>
        <v>0</v>
      </c>
      <c r="AF286" s="63">
        <f>VLOOKUP($B286,'Tillförd energi'!$B$1:$AI$720,MATCH(AF$2,'Tillförd energi'!$B$1:$AQ$1,0),FALSE)</f>
        <v>0.52800000000000002</v>
      </c>
      <c r="AG286" s="63">
        <f>IFERROR(VLOOKUP(B286,Miljö!$B$1:$AC$550,MATCH("Köpt mängd produktionsspecifik fjärrvärme:",Miljö!$B$1:$AC$1,0),FALSE)/1,0)</f>
        <v>0</v>
      </c>
      <c r="AI286" s="63">
        <f t="shared" si="24"/>
        <v>18.126999999999999</v>
      </c>
      <c r="AJ286" s="63">
        <f>IF(ISERROR(1/VLOOKUP($B286,Leveranser!$B$1:$S$500,MATCH("såld värme (gwh)",Leveranser!$B$1:$S$1,0),FALSE)),"",VLOOKUP($B286,Leveranser!$B$1:$S$500,MATCH("såld värme (gwh)",Leveranser!$B$1:$S$1,0),FALSE))</f>
        <v>15.109</v>
      </c>
      <c r="AM286" s="63" t="str">
        <f>IF(B286&lt;&gt;"",IF(VLOOKUP($B286,Totalt!$B$1:$AQ$554,MATCH("Kvalitetsgranskad:",Totalt!$B$1:$AQ$1,0),FALSE)="ja",VLOOKUP($B286,Miljö!$B$1:$AG$479,MATCH(AM$2,Miljö!$B$1:$AK$1,0),FALSE),""),"")</f>
        <v>Ja</v>
      </c>
      <c r="AN286" s="63" t="str">
        <f>IF(AM286="ja",VLOOKUP($B286,Miljö!$B$1:$J$479,MATCH("Typ av ursprungsspecificerad el   (Om inget värde anges används Nordisk residualmix, se inforuta) ()",Miljö!$B$1:$J$1,0),FALSE),IF(AM286="nej","Nordisk residualel",""))</f>
        <v>-</v>
      </c>
      <c r="AO286" s="63">
        <f>IF(AM286="","",VLOOKUP($B286,Miljö!$B$1:$J$479,MATCH("Fossilandel för ursprungspecificerad el ()",Miljö!$B$1:$J$1,0),FALSE))</f>
        <v>0.35</v>
      </c>
      <c r="AQ286" s="63">
        <f t="shared" si="25"/>
        <v>0.65</v>
      </c>
      <c r="AS286" s="63" t="str">
        <f t="shared" si="26"/>
        <v>Nej</v>
      </c>
      <c r="AT286" s="63" t="str">
        <f>IF(AS286="ja",VLOOKUP($B286,Miljö!$B$1:$P$500,MATCH("Fossil andel i procent (%)",Miljö!$B$1:$P$1,0),FALSE)/100,"")</f>
        <v/>
      </c>
      <c r="AV286" s="63" t="str">
        <f t="shared" si="27"/>
        <v>Nej</v>
      </c>
      <c r="AW286" s="63" t="str">
        <f>IF(AV286="ja",VLOOKUP($B286,'Egen hetvattenprod'!$B$1:$AO$500,MATCH("Värmekälla till värmepumpar ()",'Egen hetvattenprod'!$B$1:$AO$1,0),FALSE),"")</f>
        <v/>
      </c>
      <c r="AY286" s="63" t="str">
        <f t="shared" si="28"/>
        <v>Ja</v>
      </c>
      <c r="AZ286" s="77">
        <f>IF($AY286="ja",(VLOOKUP($B286,'Egen hetvattenprod'!$B$1:$BX$550,MATCH(AZ$2,'Egen hetvattenprod'!$B$1:$BX$1,0),FALSE)+VLOOKUP($B286,Kraftvärmeprod!$B$1:$BX$550,MATCH(AZ$2,Kraftvärmeprod!$B$1:$BX$1,0),FALSE))/$AC286,"")</f>
        <v>1</v>
      </c>
      <c r="BA286" s="77">
        <f>IF($AY286="ja",(VLOOKUP($B286,'Egen hetvattenprod'!$B$1:$BX$550,MATCH(BA$2,'Egen hetvattenprod'!$B$1:$BX$1,0),FALSE)+VLOOKUP($B286,Kraftvärmeprod!$B$1:$BX$550,MATCH(BA$2,Kraftvärmeprod!$B$1:$BX$1,0),FALSE))/$AC286,"")</f>
        <v>0</v>
      </c>
      <c r="BB286" s="77">
        <f>IF($AY286="ja",(VLOOKUP($B286,'Egen hetvattenprod'!$B$1:$BX$550,MATCH(BB$2,'Egen hetvattenprod'!$B$1:$BX$1,0),FALSE)+VLOOKUP($B286,Kraftvärmeprod!$B$1:$BX$550,MATCH(BB$2,Kraftvärmeprod!$B$1:$BX$1,0),FALSE))/$AC286,"")</f>
        <v>0</v>
      </c>
      <c r="BC286" s="77">
        <f>IF($AY286="ja",(VLOOKUP($B286,'Egen hetvattenprod'!$B$1:$BX$550,MATCH(BC$2,'Egen hetvattenprod'!$B$1:$BX$1,0),FALSE)+VLOOKUP($B286,Kraftvärmeprod!$B$1:$BX$550,MATCH(BC$2,Kraftvärmeprod!$B$1:$BX$1,0),FALSE))/$AC286,"")</f>
        <v>0</v>
      </c>
      <c r="BD286" s="77">
        <f>IF($AY286="ja",(VLOOKUP($B286,'Egen hetvattenprod'!$B$1:$BX$550,MATCH(BD$2,'Egen hetvattenprod'!$B$1:$BX$1,0),FALSE)+VLOOKUP($B286,Kraftvärmeprod!$B$1:$BX$550,MATCH(BD$2,Kraftvärmeprod!$B$1:$BX$1,0),FALSE))/$AC286,"")</f>
        <v>0</v>
      </c>
      <c r="BF286" s="63" t="str">
        <f t="shared" si="29"/>
        <v>Nej</v>
      </c>
      <c r="BG286" s="63" t="str">
        <f>IF($BF286="ja",VLOOKUP($B286,'Egen hetvattenprod'!$B$1:$BX$550,MATCH("Andelen klimatgaser med fossilt ursprung för avfall ()",'Egen hetvattenprod'!$B$1:$BX$1,0),FALSE),"")</f>
        <v/>
      </c>
      <c r="BH286" s="63" t="str">
        <f>IF($BF286="ja",VLOOKUP($B286,Kraftvärmeprod!$B$1:$BX$550,MATCH("Andelen klimatgaser med fossilt ursprung för avfall ()",Kraftvärmeprod!$B$1:$BX$1,0),FALSE),"")</f>
        <v/>
      </c>
      <c r="BI286" s="63" t="str">
        <f>IF($BF286="ja",VLOOKUP($B286,'Egen hetvattenprod'!$B$1:$BX$550,MATCH("Avfall (GWh)",'Egen hetvattenprod'!$B$1:$BX$1,0),FALSE),"")</f>
        <v/>
      </c>
      <c r="BJ286" s="63" t="str">
        <f>IF($BF286="ja",VLOOKUP($B286,'Slutlig allokering kvv'!$B$1:$BX$550,MATCH("Avfall (GWh)",'Slutlig allokering kvv'!$B$1:$BX$1,0),FALSE),"")</f>
        <v/>
      </c>
      <c r="BK286" s="63" t="str">
        <f>IF($BF286="ja",VLOOKUP($B286,'Köpt hetvatten'!$B$1:$BX$550,MATCH("Avfall i köpt hetvatten",'Köpt hetvatten'!$B$1:$BX$1,0),FALSE),"")</f>
        <v/>
      </c>
      <c r="BL286" s="63" t="str">
        <f>IF($BF286="ja",VLOOKUP($B286,'Egen hetvattenprod'!$B$1:$BX$550,MATCH("Värde enligt ovan. (%)",'Egen hetvattenprod'!$B$1:$BX$1,0),FALSE),"")</f>
        <v/>
      </c>
      <c r="BM286" s="63" t="str">
        <f>IF($BF286="ja",VLOOKUP($B286,Kraftvärmeprod!$B$1:$BX$550,MATCH("Värde enligt ovan. (%)",Kraftvärmeprod!$B$1:$BX$1,0),FALSE),"")</f>
        <v/>
      </c>
    </row>
    <row r="287" spans="1:65" x14ac:dyDescent="0.45">
      <c r="A287" s="63" t="s">
        <v>305</v>
      </c>
      <c r="B287" s="63" t="s">
        <v>308</v>
      </c>
      <c r="C287" s="63">
        <f>VLOOKUP($B287,'Tillförd energi'!$B$1:$AI$720,MATCH(C$2,'Tillförd energi'!$B$1:$AQ$1,0),FALSE)</f>
        <v>0</v>
      </c>
      <c r="D287" s="63">
        <f>VLOOKUP($B287,'Tillförd energi'!$B$1:$AI$720,MATCH(D$2,'Tillförd energi'!$B$1:$AQ$1,0),FALSE)</f>
        <v>1.2250000000000001</v>
      </c>
      <c r="E287" s="63">
        <f>VLOOKUP($B287,'Tillförd energi'!$B$1:$AI$720,MATCH(E$2,'Tillförd energi'!$B$1:$AQ$1,0),FALSE)</f>
        <v>0</v>
      </c>
      <c r="F287" s="63">
        <f>VLOOKUP($B287,'Tillförd energi'!$B$1:$AI$720,MATCH(F$2,'Tillförd energi'!$B$1:$AQ$1,0),FALSE)</f>
        <v>1.151</v>
      </c>
      <c r="G287" s="63">
        <f>VLOOKUP($B287,'Tillförd energi'!$B$1:$AI$720,MATCH(G$2,'Tillförd energi'!$B$1:$AQ$1,0),FALSE)</f>
        <v>0</v>
      </c>
      <c r="H287" s="63">
        <f>VLOOKUP($B287,'Tillförd energi'!$B$1:$AI$720,MATCH(H$2,'Tillförd energi'!$B$1:$AQ$1,0),FALSE)</f>
        <v>0</v>
      </c>
      <c r="I287" s="63">
        <f>VLOOKUP($B287,'Tillförd energi'!$B$1:$AI$720,MATCH(I$2,'Tillförd energi'!$B$1:$AQ$1,0),FALSE)</f>
        <v>300.36</v>
      </c>
      <c r="J287" s="63">
        <f>VLOOKUP($B287,'Tillförd energi'!$B$1:$AI$720,MATCH(J$2,'Tillförd energi'!$B$1:$AQ$1,0),FALSE)</f>
        <v>0</v>
      </c>
      <c r="K287" s="63">
        <f>VLOOKUP($B287,'Tillförd energi'!$B$1:$AI$720,MATCH(K$2,'Tillförd energi'!$B$1:$AQ$1,0),FALSE)</f>
        <v>0</v>
      </c>
      <c r="L287" s="63">
        <f>VLOOKUP($B287,'Tillförd energi'!$B$1:$AI$720,MATCH(L$2,'Tillförd energi'!$B$1:$AQ$1,0),FALSE)</f>
        <v>0</v>
      </c>
      <c r="M287" s="63">
        <f>VLOOKUP($B287,'Tillförd energi'!$B$1:$AI$720,MATCH(M$2,'Tillförd energi'!$B$1:$AQ$1,0),FALSE)</f>
        <v>0</v>
      </c>
      <c r="N287" s="63">
        <f>VLOOKUP($B287,'Tillförd energi'!$B$1:$AI$720,MATCH(N$2,'Tillförd energi'!$B$1:$AQ$1,0),FALSE)</f>
        <v>0</v>
      </c>
      <c r="O287" s="63">
        <f>VLOOKUP($B287,'Tillförd energi'!$B$1:$AI$720,MATCH(O$2,'Tillförd energi'!$B$1:$AQ$1,0),FALSE)</f>
        <v>0</v>
      </c>
      <c r="P287" s="63">
        <f>VLOOKUP($B287,'Tillförd energi'!$B$1:$AI$720,MATCH(P$2,'Tillförd energi'!$B$1:$AQ$1,0),FALSE)</f>
        <v>0</v>
      </c>
      <c r="Q287" s="63">
        <f>VLOOKUP($B287,'Tillförd energi'!$B$1:$AI$720,MATCH(Q$2,'Tillförd energi'!$B$1:$AQ$1,0),FALSE)</f>
        <v>1.3111299999999999</v>
      </c>
      <c r="R287" s="63">
        <f>VLOOKUP($B287,'Tillförd energi'!$B$1:$AI$720,MATCH(R$2,'Tillförd energi'!$B$1:$AQ$1,0),FALSE)</f>
        <v>119.79900000000001</v>
      </c>
      <c r="S287" s="63">
        <f>VLOOKUP($B287,'Tillförd energi'!$B$1:$AI$720,MATCH(S$2,'Tillförd energi'!$B$1:$AQ$1,0),FALSE)</f>
        <v>0</v>
      </c>
      <c r="T287" s="63">
        <f>VLOOKUP($B287,'Tillförd energi'!$B$1:$AI$720,MATCH(T$2,'Tillförd energi'!$B$1:$AQ$1,0),FALSE)</f>
        <v>0</v>
      </c>
      <c r="U287" s="63">
        <f>VLOOKUP($B287,'Tillförd energi'!$B$1:$AI$720,MATCH(U$2,'Tillförd energi'!$B$1:$AQ$1,0),FALSE)</f>
        <v>0</v>
      </c>
      <c r="V287" s="63">
        <f>VLOOKUP($B287,'Tillförd energi'!$B$1:$AI$720,MATCH(V$2,'Tillförd energi'!$B$1:$AQ$1,0),FALSE)</f>
        <v>1.998</v>
      </c>
      <c r="W287" s="63">
        <f>VLOOKUP($B287,'Tillförd energi'!$B$1:$AI$720,MATCH(W$2,'Tillförd energi'!$B$1:$AQ$1,0),FALSE)</f>
        <v>0</v>
      </c>
      <c r="X287" s="63">
        <f>VLOOKUP($B287,'Tillförd energi'!$B$1:$AI$720,MATCH(X$2,'Tillförd energi'!$B$1:$AQ$1,0),FALSE)</f>
        <v>0</v>
      </c>
      <c r="Y287" s="63">
        <f>VLOOKUP($B287,'Tillförd energi'!$B$1:$AI$720,MATCH(Y$2,'Tillförd energi'!$B$1:$AQ$1,0),FALSE)</f>
        <v>0</v>
      </c>
      <c r="Z287" s="63">
        <f>VLOOKUP($B287,'Tillförd energi'!$B$1:$AI$720,MATCH(Z$2,'Tillförd energi'!$B$1:$AQ$1,0),FALSE)</f>
        <v>3.2970000000000002</v>
      </c>
      <c r="AA287" s="63">
        <f>VLOOKUP($B287,'Tillförd energi'!$B$1:$AI$720,MATCH(AA$2,'Tillförd energi'!$B$1:$AQ$1,0),FALSE)</f>
        <v>0</v>
      </c>
      <c r="AB287" s="63">
        <f>VLOOKUP($B287,'Tillförd energi'!$B$1:$AI$720,MATCH(AB$2,'Tillförd energi'!$B$1:$AQ$1,0),FALSE)</f>
        <v>0</v>
      </c>
      <c r="AC287" s="63">
        <f>VLOOKUP($B287,'Tillförd energi'!$B$1:$AI$720,MATCH(AC$2,'Tillförd energi'!$B$1:$AQ$1,0),FALSE)</f>
        <v>44.762999999999998</v>
      </c>
      <c r="AD287" s="63">
        <f>VLOOKUP($B287,'Tillförd energi'!$B$1:$AI$720,MATCH(AD$2,'Tillförd energi'!$B$1:$AQ$1,0),FALSE)</f>
        <v>195.68100000000001</v>
      </c>
      <c r="AE287" s="63">
        <f>VLOOKUP($B287,'Tillförd energi'!$B$1:$AI$720,MATCH(AE$2,'Tillförd energi'!$B$1:$AQ$1,0),FALSE)</f>
        <v>0</v>
      </c>
      <c r="AF287" s="63">
        <f>VLOOKUP($B287,'Tillförd energi'!$B$1:$AI$720,MATCH(AF$2,'Tillförd energi'!$B$1:$AQ$1,0),FALSE)</f>
        <v>17.493300000000001</v>
      </c>
      <c r="AG287" s="63">
        <f>IFERROR(VLOOKUP(B287,Miljö!$B$1:$AC$550,MATCH("Köpt mängd produktionsspecifik fjärrvärme:",Miljö!$B$1:$AC$1,0),FALSE)/1,0)</f>
        <v>0</v>
      </c>
      <c r="AI287" s="63">
        <f t="shared" si="24"/>
        <v>687.07843000000003</v>
      </c>
      <c r="AJ287" s="63">
        <f>IF(ISERROR(1/VLOOKUP($B287,Leveranser!$B$1:$S$500,MATCH("såld värme (gwh)",Leveranser!$B$1:$S$1,0),FALSE)),"",VLOOKUP($B287,Leveranser!$B$1:$S$500,MATCH("såld värme (gwh)",Leveranser!$B$1:$S$1,0),FALSE))</f>
        <v>540.76199999999994</v>
      </c>
      <c r="AM287" s="63" t="str">
        <f>IF(B287&lt;&gt;"",IF(VLOOKUP($B287,Totalt!$B$1:$AQ$554,MATCH("Kvalitetsgranskad:",Totalt!$B$1:$AQ$1,0),FALSE)="ja",VLOOKUP($B287,Miljö!$B$1:$AG$479,MATCH(AM$2,Miljö!$B$1:$AK$1,0),FALSE),""),"")</f>
        <v>Ja</v>
      </c>
      <c r="AN287" s="63" t="str">
        <f>IF(AM287="ja",VLOOKUP($B287,Miljö!$B$1:$J$479,MATCH("Typ av ursprungsspecificerad el   (Om inget värde anges används Nordisk residualmix, se inforuta) ()",Miljö!$B$1:$J$1,0),FALSE),IF(AM287="nej","Nordisk residualel",""))</f>
        <v>-</v>
      </c>
      <c r="AO287" s="63">
        <f>IF(AM287="","",VLOOKUP($B287,Miljö!$B$1:$J$479,MATCH("Fossilandel för ursprungspecificerad el ()",Miljö!$B$1:$J$1,0),FALSE))</f>
        <v>0.35</v>
      </c>
      <c r="AQ287" s="63">
        <f t="shared" si="25"/>
        <v>0.65</v>
      </c>
      <c r="AS287" s="63" t="str">
        <f t="shared" si="26"/>
        <v>Nej</v>
      </c>
      <c r="AT287" s="63" t="str">
        <f>IF(AS287="ja",VLOOKUP($B287,Miljö!$B$1:$P$500,MATCH("Fossil andel i procent (%)",Miljö!$B$1:$P$1,0),FALSE)/100,"")</f>
        <v/>
      </c>
      <c r="AV287" s="63" t="str">
        <f t="shared" si="27"/>
        <v>Nej</v>
      </c>
      <c r="AW287" s="63" t="str">
        <f>IF(AV287="ja",VLOOKUP($B287,'Egen hetvattenprod'!$B$1:$AO$500,MATCH("Värmekälla till värmepumpar ()",'Egen hetvattenprod'!$B$1:$AO$1,0),FALSE),"")</f>
        <v/>
      </c>
      <c r="AY287" s="63" t="str">
        <f t="shared" si="28"/>
        <v>Ja</v>
      </c>
      <c r="AZ287" s="77">
        <f>IF($AY287="ja",(VLOOKUP($B287,'Egen hetvattenprod'!$B$1:$BX$550,MATCH(AZ$2,'Egen hetvattenprod'!$B$1:$BX$1,0),FALSE)+VLOOKUP($B287,Kraftvärmeprod!$B$1:$BX$550,MATCH(AZ$2,Kraftvärmeprod!$B$1:$BX$1,0),FALSE))/$AC287,"")</f>
        <v>0.02</v>
      </c>
      <c r="BA287" s="77">
        <f>IF($AY287="ja",(VLOOKUP($B287,'Egen hetvattenprod'!$B$1:$BX$550,MATCH(BA$2,'Egen hetvattenprod'!$B$1:$BX$1,0),FALSE)+VLOOKUP($B287,Kraftvärmeprod!$B$1:$BX$550,MATCH(BA$2,Kraftvärmeprod!$B$1:$BX$1,0),FALSE))/$AC287,"")</f>
        <v>0.98</v>
      </c>
      <c r="BB287" s="77">
        <f>IF($AY287="ja",(VLOOKUP($B287,'Egen hetvattenprod'!$B$1:$BX$550,MATCH(BB$2,'Egen hetvattenprod'!$B$1:$BX$1,0),FALSE)+VLOOKUP($B287,Kraftvärmeprod!$B$1:$BX$550,MATCH(BB$2,Kraftvärmeprod!$B$1:$BX$1,0),FALSE))/$AC287,"")</f>
        <v>0</v>
      </c>
      <c r="BC287" s="77">
        <f>IF($AY287="ja",(VLOOKUP($B287,'Egen hetvattenprod'!$B$1:$BX$550,MATCH(BC$2,'Egen hetvattenprod'!$B$1:$BX$1,0),FALSE)+VLOOKUP($B287,Kraftvärmeprod!$B$1:$BX$550,MATCH(BC$2,Kraftvärmeprod!$B$1:$BX$1,0),FALSE))/$AC287,"")</f>
        <v>0</v>
      </c>
      <c r="BD287" s="77">
        <f>IF($AY287="ja",(VLOOKUP($B287,'Egen hetvattenprod'!$B$1:$BX$550,MATCH(BD$2,'Egen hetvattenprod'!$B$1:$BX$1,0),FALSE)+VLOOKUP($B287,Kraftvärmeprod!$B$1:$BX$550,MATCH(BD$2,Kraftvärmeprod!$B$1:$BX$1,0),FALSE))/$AC287,"")</f>
        <v>0</v>
      </c>
      <c r="BF287" s="63" t="str">
        <f t="shared" si="29"/>
        <v>Ja</v>
      </c>
      <c r="BG287" s="63" t="str">
        <f>IF($BF287="ja",VLOOKUP($B287,'Egen hetvattenprod'!$B$1:$BX$550,MATCH("Andelen klimatgaser med fossilt ursprung för avfall ()",'Egen hetvattenprod'!$B$1:$BX$1,0),FALSE),"")</f>
        <v>Ingen redovisning</v>
      </c>
      <c r="BH287" s="63" t="str">
        <f>IF($BF287="ja",VLOOKUP($B287,Kraftvärmeprod!$B$1:$BX$550,MATCH("Andelen klimatgaser med fossilt ursprung för avfall ()",Kraftvärmeprod!$B$1:$BX$1,0),FALSE),"")</f>
        <v>Schablon</v>
      </c>
      <c r="BI287" s="63">
        <f>IF($BF287="ja",VLOOKUP($B287,'Egen hetvattenprod'!$B$1:$BX$550,MATCH("Avfall (GWh)",'Egen hetvattenprod'!$B$1:$BX$1,0),FALSE),"")</f>
        <v>131.108</v>
      </c>
      <c r="BJ287" s="63">
        <f>IF($BF287="ja",VLOOKUP($B287,'Slutlig allokering kvv'!$B$1:$BX$550,MATCH("Avfall (GWh)",'Slutlig allokering kvv'!$B$1:$BX$1,0),FALSE),"")</f>
        <v>169.25200000000001</v>
      </c>
      <c r="BK287" s="63">
        <f>IF($BF287="ja",VLOOKUP($B287,'Köpt hetvatten'!$B$1:$BX$550,MATCH("Avfall i köpt hetvatten",'Köpt hetvatten'!$B$1:$BX$1,0),FALSE),"")</f>
        <v>0</v>
      </c>
      <c r="BL287" s="63" t="str">
        <f>IF($BF287="ja",VLOOKUP($B287,'Egen hetvattenprod'!$B$1:$BX$550,MATCH("Värde enligt ovan. (%)",'Egen hetvattenprod'!$B$1:$BX$1,0),FALSE),"")</f>
        <v>ET</v>
      </c>
      <c r="BM287" s="63">
        <f>IF($BF287="ja",VLOOKUP($B287,Kraftvärmeprod!$B$1:$BX$550,MATCH("Värde enligt ovan. (%)",Kraftvärmeprod!$B$1:$BX$1,0),FALSE),"")</f>
        <v>37.299999999999997</v>
      </c>
    </row>
    <row r="288" spans="1:65" x14ac:dyDescent="0.45">
      <c r="A288" s="63" t="s">
        <v>305</v>
      </c>
      <c r="B288" s="63" t="s">
        <v>304</v>
      </c>
      <c r="C288" s="63">
        <f>VLOOKUP($B288,'Tillförd energi'!$B$1:$AI$720,MATCH(C$2,'Tillförd energi'!$B$1:$AQ$1,0),FALSE)</f>
        <v>0</v>
      </c>
      <c r="D288" s="63">
        <f>VLOOKUP($B288,'Tillförd energi'!$B$1:$AI$720,MATCH(D$2,'Tillförd energi'!$B$1:$AQ$1,0),FALSE)</f>
        <v>0.754</v>
      </c>
      <c r="E288" s="63">
        <f>VLOOKUP($B288,'Tillförd energi'!$B$1:$AI$720,MATCH(E$2,'Tillförd energi'!$B$1:$AQ$1,0),FALSE)</f>
        <v>0</v>
      </c>
      <c r="F288" s="63">
        <f>VLOOKUP($B288,'Tillförd energi'!$B$1:$AI$720,MATCH(F$2,'Tillförd energi'!$B$1:$AQ$1,0),FALSE)</f>
        <v>0</v>
      </c>
      <c r="G288" s="63">
        <f>VLOOKUP($B288,'Tillförd energi'!$B$1:$AI$720,MATCH(G$2,'Tillförd energi'!$B$1:$AQ$1,0),FALSE)</f>
        <v>0</v>
      </c>
      <c r="H288" s="63">
        <f>VLOOKUP($B288,'Tillförd energi'!$B$1:$AI$720,MATCH(H$2,'Tillförd energi'!$B$1:$AQ$1,0),FALSE)</f>
        <v>0</v>
      </c>
      <c r="I288" s="63">
        <f>VLOOKUP($B288,'Tillförd energi'!$B$1:$AI$720,MATCH(I$2,'Tillförd energi'!$B$1:$AQ$1,0),FALSE)</f>
        <v>0</v>
      </c>
      <c r="J288" s="63">
        <f>VLOOKUP($B288,'Tillförd energi'!$B$1:$AI$720,MATCH(J$2,'Tillförd energi'!$B$1:$AQ$1,0),FALSE)</f>
        <v>0</v>
      </c>
      <c r="K288" s="63">
        <f>VLOOKUP($B288,'Tillförd energi'!$B$1:$AI$720,MATCH(K$2,'Tillförd energi'!$B$1:$AQ$1,0),FALSE)</f>
        <v>0</v>
      </c>
      <c r="L288" s="63">
        <f>VLOOKUP($B288,'Tillförd energi'!$B$1:$AI$720,MATCH(L$2,'Tillförd energi'!$B$1:$AQ$1,0),FALSE)</f>
        <v>0</v>
      </c>
      <c r="M288" s="63">
        <f>VLOOKUP($B288,'Tillförd energi'!$B$1:$AI$720,MATCH(M$2,'Tillförd energi'!$B$1:$AQ$1,0),FALSE)</f>
        <v>0</v>
      </c>
      <c r="N288" s="63">
        <f>VLOOKUP($B288,'Tillförd energi'!$B$1:$AI$720,MATCH(N$2,'Tillförd energi'!$B$1:$AQ$1,0),FALSE)</f>
        <v>0</v>
      </c>
      <c r="O288" s="63">
        <f>VLOOKUP($B288,'Tillförd energi'!$B$1:$AI$720,MATCH(O$2,'Tillförd energi'!$B$1:$AQ$1,0),FALSE)</f>
        <v>0</v>
      </c>
      <c r="P288" s="63">
        <f>VLOOKUP($B288,'Tillförd energi'!$B$1:$AI$720,MATCH(P$2,'Tillförd energi'!$B$1:$AQ$1,0),FALSE)</f>
        <v>0</v>
      </c>
      <c r="Q288" s="63">
        <f>VLOOKUP($B288,'Tillförd energi'!$B$1:$AI$720,MATCH(Q$2,'Tillförd energi'!$B$1:$AQ$1,0),FALSE)</f>
        <v>0</v>
      </c>
      <c r="R288" s="63">
        <f>VLOOKUP($B288,'Tillförd energi'!$B$1:$AI$720,MATCH(R$2,'Tillförd energi'!$B$1:$AQ$1,0),FALSE)</f>
        <v>7.99</v>
      </c>
      <c r="S288" s="63">
        <f>VLOOKUP($B288,'Tillförd energi'!$B$1:$AI$720,MATCH(S$2,'Tillförd energi'!$B$1:$AQ$1,0),FALSE)</f>
        <v>0</v>
      </c>
      <c r="T288" s="63">
        <f>VLOOKUP($B288,'Tillförd energi'!$B$1:$AI$720,MATCH(T$2,'Tillförd energi'!$B$1:$AQ$1,0),FALSE)</f>
        <v>0</v>
      </c>
      <c r="U288" s="63">
        <f>VLOOKUP($B288,'Tillförd energi'!$B$1:$AI$720,MATCH(U$2,'Tillförd energi'!$B$1:$AQ$1,0),FALSE)</f>
        <v>0</v>
      </c>
      <c r="V288" s="63">
        <f>VLOOKUP($B288,'Tillförd energi'!$B$1:$AI$720,MATCH(V$2,'Tillförd energi'!$B$1:$AQ$1,0),FALSE)</f>
        <v>0</v>
      </c>
      <c r="W288" s="63">
        <f>VLOOKUP($B288,'Tillförd energi'!$B$1:$AI$720,MATCH(W$2,'Tillförd energi'!$B$1:$AQ$1,0),FALSE)</f>
        <v>0</v>
      </c>
      <c r="X288" s="63">
        <f>VLOOKUP($B288,'Tillförd energi'!$B$1:$AI$720,MATCH(X$2,'Tillförd energi'!$B$1:$AQ$1,0),FALSE)</f>
        <v>0</v>
      </c>
      <c r="Y288" s="63">
        <f>VLOOKUP($B288,'Tillförd energi'!$B$1:$AI$720,MATCH(Y$2,'Tillförd energi'!$B$1:$AQ$1,0),FALSE)</f>
        <v>0</v>
      </c>
      <c r="Z288" s="63">
        <f>VLOOKUP($B288,'Tillförd energi'!$B$1:$AI$720,MATCH(Z$2,'Tillförd energi'!$B$1:$AQ$1,0),FALSE)</f>
        <v>0</v>
      </c>
      <c r="AA288" s="63">
        <f>VLOOKUP($B288,'Tillförd energi'!$B$1:$AI$720,MATCH(AA$2,'Tillförd energi'!$B$1:$AQ$1,0),FALSE)</f>
        <v>0</v>
      </c>
      <c r="AB288" s="63">
        <f>VLOOKUP($B288,'Tillförd energi'!$B$1:$AI$720,MATCH(AB$2,'Tillförd energi'!$B$1:$AQ$1,0),FALSE)</f>
        <v>0</v>
      </c>
      <c r="AC288" s="63">
        <f>VLOOKUP($B288,'Tillförd energi'!$B$1:$AI$720,MATCH(AC$2,'Tillförd energi'!$B$1:$AQ$1,0),FALSE)</f>
        <v>0</v>
      </c>
      <c r="AD288" s="63">
        <f>VLOOKUP($B288,'Tillförd energi'!$B$1:$AI$720,MATCH(AD$2,'Tillförd energi'!$B$1:$AQ$1,0),FALSE)</f>
        <v>0</v>
      </c>
      <c r="AE288" s="63">
        <f>VLOOKUP($B288,'Tillförd energi'!$B$1:$AI$720,MATCH(AE$2,'Tillförd energi'!$B$1:$AQ$1,0),FALSE)</f>
        <v>0</v>
      </c>
      <c r="AF288" s="63">
        <f>VLOOKUP($B288,'Tillförd energi'!$B$1:$AI$720,MATCH(AF$2,'Tillförd energi'!$B$1:$AQ$1,0),FALSE)</f>
        <v>0.1</v>
      </c>
      <c r="AG288" s="63">
        <f>IFERROR(VLOOKUP(B288,Miljö!$B$1:$AC$550,MATCH("Köpt mängd produktionsspecifik fjärrvärme:",Miljö!$B$1:$AC$1,0),FALSE)/1,0)</f>
        <v>0</v>
      </c>
      <c r="AI288" s="63">
        <f t="shared" si="24"/>
        <v>8.8439999999999994</v>
      </c>
      <c r="AJ288" s="63">
        <f>IF(ISERROR(1/VLOOKUP($B288,Leveranser!$B$1:$S$500,MATCH("såld värme (gwh)",Leveranser!$B$1:$S$1,0),FALSE)),"",VLOOKUP($B288,Leveranser!$B$1:$S$500,MATCH("såld värme (gwh)",Leveranser!$B$1:$S$1,0),FALSE))</f>
        <v>6.4119999999999999</v>
      </c>
      <c r="AM288" s="63" t="str">
        <f>IF(B288&lt;&gt;"",IF(VLOOKUP($B288,Totalt!$B$1:$AQ$554,MATCH("Kvalitetsgranskad:",Totalt!$B$1:$AQ$1,0),FALSE)="ja",VLOOKUP($B288,Miljö!$B$1:$AG$479,MATCH(AM$2,Miljö!$B$1:$AK$1,0),FALSE),""),"")</f>
        <v>Ja</v>
      </c>
      <c r="AN288" s="63" t="str">
        <f>IF(AM288="ja",VLOOKUP($B288,Miljö!$B$1:$J$479,MATCH("Typ av ursprungsspecificerad el   (Om inget värde anges används Nordisk residualmix, se inforuta) ()",Miljö!$B$1:$J$1,0),FALSE),IF(AM288="nej","Nordisk residualel",""))</f>
        <v>'förnyelsebar'</v>
      </c>
      <c r="AO288" s="63">
        <f>IF(AM288="","",VLOOKUP($B288,Miljö!$B$1:$J$479,MATCH("Fossilandel för ursprungspecificerad el ()",Miljö!$B$1:$J$1,0),FALSE))</f>
        <v>0</v>
      </c>
      <c r="AQ288" s="63">
        <f t="shared" si="25"/>
        <v>1</v>
      </c>
      <c r="AS288" s="63" t="str">
        <f t="shared" si="26"/>
        <v>Nej</v>
      </c>
      <c r="AT288" s="63" t="str">
        <f>IF(AS288="ja",VLOOKUP($B288,Miljö!$B$1:$P$500,MATCH("Fossil andel i procent (%)",Miljö!$B$1:$P$1,0),FALSE)/100,"")</f>
        <v/>
      </c>
      <c r="AV288" s="63" t="str">
        <f t="shared" si="27"/>
        <v>Nej</v>
      </c>
      <c r="AW288" s="63" t="str">
        <f>IF(AV288="ja",VLOOKUP($B288,'Egen hetvattenprod'!$B$1:$AO$500,MATCH("Värmekälla till värmepumpar ()",'Egen hetvattenprod'!$B$1:$AO$1,0),FALSE),"")</f>
        <v/>
      </c>
      <c r="AY288" s="63" t="str">
        <f t="shared" si="28"/>
        <v>Nej</v>
      </c>
      <c r="AZ288" s="77" t="str">
        <f>IF($AY288="ja",(VLOOKUP($B288,'Egen hetvattenprod'!$B$1:$BX$550,MATCH(AZ$2,'Egen hetvattenprod'!$B$1:$BX$1,0),FALSE)+VLOOKUP($B288,Kraftvärmeprod!$B$1:$BX$550,MATCH(AZ$2,Kraftvärmeprod!$B$1:$BX$1,0),FALSE))/$AC288,"")</f>
        <v/>
      </c>
      <c r="BA288" s="77" t="str">
        <f>IF($AY288="ja",(VLOOKUP($B288,'Egen hetvattenprod'!$B$1:$BX$550,MATCH(BA$2,'Egen hetvattenprod'!$B$1:$BX$1,0),FALSE)+VLOOKUP($B288,Kraftvärmeprod!$B$1:$BX$550,MATCH(BA$2,Kraftvärmeprod!$B$1:$BX$1,0),FALSE))/$AC288,"")</f>
        <v/>
      </c>
      <c r="BB288" s="77" t="str">
        <f>IF($AY288="ja",(VLOOKUP($B288,'Egen hetvattenprod'!$B$1:$BX$550,MATCH(BB$2,'Egen hetvattenprod'!$B$1:$BX$1,0),FALSE)+VLOOKUP($B288,Kraftvärmeprod!$B$1:$BX$550,MATCH(BB$2,Kraftvärmeprod!$B$1:$BX$1,0),FALSE))/$AC288,"")</f>
        <v/>
      </c>
      <c r="BC288" s="77" t="str">
        <f>IF($AY288="ja",(VLOOKUP($B288,'Egen hetvattenprod'!$B$1:$BX$550,MATCH(BC$2,'Egen hetvattenprod'!$B$1:$BX$1,0),FALSE)+VLOOKUP($B288,Kraftvärmeprod!$B$1:$BX$550,MATCH(BC$2,Kraftvärmeprod!$B$1:$BX$1,0),FALSE))/$AC288,"")</f>
        <v/>
      </c>
      <c r="BD288" s="77" t="str">
        <f>IF($AY288="ja",(VLOOKUP($B288,'Egen hetvattenprod'!$B$1:$BX$550,MATCH(BD$2,'Egen hetvattenprod'!$B$1:$BX$1,0),FALSE)+VLOOKUP($B288,Kraftvärmeprod!$B$1:$BX$550,MATCH(BD$2,Kraftvärmeprod!$B$1:$BX$1,0),FALSE))/$AC288,"")</f>
        <v/>
      </c>
      <c r="BF288" s="63" t="str">
        <f t="shared" si="29"/>
        <v>Nej</v>
      </c>
      <c r="BG288" s="63" t="str">
        <f>IF($BF288="ja",VLOOKUP($B288,'Egen hetvattenprod'!$B$1:$BX$550,MATCH("Andelen klimatgaser med fossilt ursprung för avfall ()",'Egen hetvattenprod'!$B$1:$BX$1,0),FALSE),"")</f>
        <v/>
      </c>
      <c r="BH288" s="63" t="str">
        <f>IF($BF288="ja",VLOOKUP($B288,Kraftvärmeprod!$B$1:$BX$550,MATCH("Andelen klimatgaser med fossilt ursprung för avfall ()",Kraftvärmeprod!$B$1:$BX$1,0),FALSE),"")</f>
        <v/>
      </c>
      <c r="BI288" s="63" t="str">
        <f>IF($BF288="ja",VLOOKUP($B288,'Egen hetvattenprod'!$B$1:$BX$550,MATCH("Avfall (GWh)",'Egen hetvattenprod'!$B$1:$BX$1,0),FALSE),"")</f>
        <v/>
      </c>
      <c r="BJ288" s="63" t="str">
        <f>IF($BF288="ja",VLOOKUP($B288,'Slutlig allokering kvv'!$B$1:$BX$550,MATCH("Avfall (GWh)",'Slutlig allokering kvv'!$B$1:$BX$1,0),FALSE),"")</f>
        <v/>
      </c>
      <c r="BK288" s="63" t="str">
        <f>IF($BF288="ja",VLOOKUP($B288,'Köpt hetvatten'!$B$1:$BX$550,MATCH("Avfall i köpt hetvatten",'Köpt hetvatten'!$B$1:$BX$1,0),FALSE),"")</f>
        <v/>
      </c>
      <c r="BL288" s="63" t="str">
        <f>IF($BF288="ja",VLOOKUP($B288,'Egen hetvattenprod'!$B$1:$BX$550,MATCH("Värde enligt ovan. (%)",'Egen hetvattenprod'!$B$1:$BX$1,0),FALSE),"")</f>
        <v/>
      </c>
      <c r="BM288" s="63" t="str">
        <f>IF($BF288="ja",VLOOKUP($B288,Kraftvärmeprod!$B$1:$BX$550,MATCH("Värde enligt ovan. (%)",Kraftvärmeprod!$B$1:$BX$1,0),FALSE),"")</f>
        <v/>
      </c>
    </row>
    <row r="289" spans="1:65" x14ac:dyDescent="0.45">
      <c r="A289" s="63" t="s">
        <v>305</v>
      </c>
      <c r="B289" s="63" t="s">
        <v>306</v>
      </c>
      <c r="C289" s="63">
        <f>VLOOKUP($B289,'Tillförd energi'!$B$1:$AI$720,MATCH(C$2,'Tillförd energi'!$B$1:$AQ$1,0),FALSE)</f>
        <v>0</v>
      </c>
      <c r="D289" s="63">
        <f>VLOOKUP($B289,'Tillförd energi'!$B$1:$AI$720,MATCH(D$2,'Tillförd energi'!$B$1:$AQ$1,0),FALSE)</f>
        <v>0.184</v>
      </c>
      <c r="E289" s="63">
        <f>VLOOKUP($B289,'Tillförd energi'!$B$1:$AI$720,MATCH(E$2,'Tillförd energi'!$B$1:$AQ$1,0),FALSE)</f>
        <v>0</v>
      </c>
      <c r="F289" s="63">
        <f>VLOOKUP($B289,'Tillförd energi'!$B$1:$AI$720,MATCH(F$2,'Tillförd energi'!$B$1:$AQ$1,0),FALSE)</f>
        <v>1.1180000000000001</v>
      </c>
      <c r="G289" s="63">
        <f>VLOOKUP($B289,'Tillförd energi'!$B$1:$AI$720,MATCH(G$2,'Tillförd energi'!$B$1:$AQ$1,0),FALSE)</f>
        <v>0</v>
      </c>
      <c r="H289" s="63">
        <f>VLOOKUP($B289,'Tillförd energi'!$B$1:$AI$720,MATCH(H$2,'Tillförd energi'!$B$1:$AQ$1,0),FALSE)</f>
        <v>0</v>
      </c>
      <c r="I289" s="63">
        <f>VLOOKUP($B289,'Tillförd energi'!$B$1:$AI$720,MATCH(I$2,'Tillförd energi'!$B$1:$AQ$1,0),FALSE)</f>
        <v>119.622</v>
      </c>
      <c r="J289" s="63">
        <f>VLOOKUP($B289,'Tillförd energi'!$B$1:$AI$720,MATCH(J$2,'Tillförd energi'!$B$1:$AQ$1,0),FALSE)</f>
        <v>0</v>
      </c>
      <c r="K289" s="63">
        <f>VLOOKUP($B289,'Tillförd energi'!$B$1:$AI$720,MATCH(K$2,'Tillförd energi'!$B$1:$AQ$1,0),FALSE)</f>
        <v>0</v>
      </c>
      <c r="L289" s="63">
        <f>VLOOKUP($B289,'Tillförd energi'!$B$1:$AI$720,MATCH(L$2,'Tillförd energi'!$B$1:$AQ$1,0),FALSE)</f>
        <v>0</v>
      </c>
      <c r="M289" s="63">
        <f>VLOOKUP($B289,'Tillförd energi'!$B$1:$AI$720,MATCH(M$2,'Tillförd energi'!$B$1:$AQ$1,0),FALSE)</f>
        <v>0</v>
      </c>
      <c r="N289" s="63">
        <f>VLOOKUP($B289,'Tillförd energi'!$B$1:$AI$720,MATCH(N$2,'Tillförd energi'!$B$1:$AQ$1,0),FALSE)</f>
        <v>0</v>
      </c>
      <c r="O289" s="63">
        <f>VLOOKUP($B289,'Tillförd energi'!$B$1:$AI$720,MATCH(O$2,'Tillförd energi'!$B$1:$AQ$1,0),FALSE)</f>
        <v>0</v>
      </c>
      <c r="P289" s="63">
        <f>VLOOKUP($B289,'Tillförd energi'!$B$1:$AI$720,MATCH(P$2,'Tillförd energi'!$B$1:$AQ$1,0),FALSE)</f>
        <v>0</v>
      </c>
      <c r="Q289" s="63">
        <f>VLOOKUP($B289,'Tillförd energi'!$B$1:$AI$720,MATCH(Q$2,'Tillförd energi'!$B$1:$AQ$1,0),FALSE)</f>
        <v>0</v>
      </c>
      <c r="R289" s="63">
        <f>VLOOKUP($B289,'Tillförd energi'!$B$1:$AI$720,MATCH(R$2,'Tillförd energi'!$B$1:$AQ$1,0),FALSE)</f>
        <v>0</v>
      </c>
      <c r="S289" s="63">
        <f>VLOOKUP($B289,'Tillförd energi'!$B$1:$AI$720,MATCH(S$2,'Tillförd energi'!$B$1:$AQ$1,0),FALSE)</f>
        <v>0</v>
      </c>
      <c r="T289" s="63">
        <f>VLOOKUP($B289,'Tillförd energi'!$B$1:$AI$720,MATCH(T$2,'Tillförd energi'!$B$1:$AQ$1,0),FALSE)</f>
        <v>0</v>
      </c>
      <c r="U289" s="63">
        <f>VLOOKUP($B289,'Tillförd energi'!$B$1:$AI$720,MATCH(U$2,'Tillförd energi'!$B$1:$AQ$1,0),FALSE)</f>
        <v>7.2999999999999995E-2</v>
      </c>
      <c r="V289" s="63">
        <f>VLOOKUP($B289,'Tillförd energi'!$B$1:$AI$720,MATCH(V$2,'Tillförd energi'!$B$1:$AQ$1,0),FALSE)</f>
        <v>0</v>
      </c>
      <c r="W289" s="63">
        <f>VLOOKUP($B289,'Tillförd energi'!$B$1:$AI$720,MATCH(W$2,'Tillförd energi'!$B$1:$AQ$1,0),FALSE)</f>
        <v>0</v>
      </c>
      <c r="X289" s="63">
        <f>VLOOKUP($B289,'Tillförd energi'!$B$1:$AI$720,MATCH(X$2,'Tillförd energi'!$B$1:$AQ$1,0),FALSE)</f>
        <v>0</v>
      </c>
      <c r="Y289" s="63">
        <f>VLOOKUP($B289,'Tillförd energi'!$B$1:$AI$720,MATCH(Y$2,'Tillförd energi'!$B$1:$AQ$1,0),FALSE)</f>
        <v>0</v>
      </c>
      <c r="Z289" s="63">
        <f>VLOOKUP($B289,'Tillförd energi'!$B$1:$AI$720,MATCH(Z$2,'Tillförd energi'!$B$1:$AQ$1,0),FALSE)</f>
        <v>32.424999999999997</v>
      </c>
      <c r="AA289" s="63">
        <f>VLOOKUP($B289,'Tillförd energi'!$B$1:$AI$720,MATCH(AA$2,'Tillförd energi'!$B$1:$AQ$1,0),FALSE)</f>
        <v>0</v>
      </c>
      <c r="AB289" s="63">
        <f>VLOOKUP($B289,'Tillförd energi'!$B$1:$AI$720,MATCH(AB$2,'Tillförd energi'!$B$1:$AQ$1,0),FALSE)</f>
        <v>0</v>
      </c>
      <c r="AC289" s="63">
        <f>VLOOKUP($B289,'Tillförd energi'!$B$1:$AI$720,MATCH(AC$2,'Tillförd energi'!$B$1:$AQ$1,0),FALSE)</f>
        <v>0</v>
      </c>
      <c r="AD289" s="63">
        <f>VLOOKUP($B289,'Tillförd energi'!$B$1:$AI$720,MATCH(AD$2,'Tillförd energi'!$B$1:$AQ$1,0),FALSE)</f>
        <v>0</v>
      </c>
      <c r="AE289" s="63">
        <f>VLOOKUP($B289,'Tillförd energi'!$B$1:$AI$720,MATCH(AE$2,'Tillförd energi'!$B$1:$AQ$1,0),FALSE)</f>
        <v>0</v>
      </c>
      <c r="AF289" s="63">
        <f>VLOOKUP($B289,'Tillförd energi'!$B$1:$AI$720,MATCH(AF$2,'Tillförd energi'!$B$1:$AQ$1,0),FALSE)</f>
        <v>2.6126</v>
      </c>
      <c r="AG289" s="63">
        <f>IFERROR(VLOOKUP(B289,Miljö!$B$1:$AC$550,MATCH("Köpt mängd produktionsspecifik fjärrvärme:",Miljö!$B$1:$AC$1,0),FALSE)/1,0)</f>
        <v>0</v>
      </c>
      <c r="AI289" s="63">
        <f t="shared" si="24"/>
        <v>156.03459999999998</v>
      </c>
      <c r="AJ289" s="63">
        <f>IF(ISERROR(1/VLOOKUP($B289,Leveranser!$B$1:$S$500,MATCH("såld värme (gwh)",Leveranser!$B$1:$S$1,0),FALSE)),"",VLOOKUP($B289,Leveranser!$B$1:$S$500,MATCH("såld värme (gwh)",Leveranser!$B$1:$S$1,0),FALSE))</f>
        <v>131.49600000000001</v>
      </c>
      <c r="AM289" s="63" t="str">
        <f>IF(B289&lt;&gt;"",IF(VLOOKUP($B289,Totalt!$B$1:$AQ$554,MATCH("Kvalitetsgranskad:",Totalt!$B$1:$AQ$1,0),FALSE)="ja",VLOOKUP($B289,Miljö!$B$1:$AG$479,MATCH(AM$2,Miljö!$B$1:$AK$1,0),FALSE),""),"")</f>
        <v>Ja</v>
      </c>
      <c r="AN289" s="63" t="str">
        <f>IF(AM289="ja",VLOOKUP($B289,Miljö!$B$1:$J$479,MATCH("Typ av ursprungsspecificerad el   (Om inget värde anges används Nordisk residualmix, se inforuta) ()",Miljö!$B$1:$J$1,0),FALSE),IF(AM289="nej","Nordisk residualel",""))</f>
        <v>-</v>
      </c>
      <c r="AO289" s="63">
        <f>IF(AM289="","",VLOOKUP($B289,Miljö!$B$1:$J$479,MATCH("Fossilandel för ursprungspecificerad el ()",Miljö!$B$1:$J$1,0),FALSE))</f>
        <v>0.35</v>
      </c>
      <c r="AQ289" s="63">
        <f t="shared" si="25"/>
        <v>0.65</v>
      </c>
      <c r="AS289" s="63" t="str">
        <f t="shared" si="26"/>
        <v>Nej</v>
      </c>
      <c r="AT289" s="63" t="str">
        <f>IF(AS289="ja",VLOOKUP($B289,Miljö!$B$1:$P$500,MATCH("Fossil andel i procent (%)",Miljö!$B$1:$P$1,0),FALSE)/100,"")</f>
        <v/>
      </c>
      <c r="AV289" s="63" t="str">
        <f t="shared" si="27"/>
        <v>Nej</v>
      </c>
      <c r="AW289" s="63" t="str">
        <f>IF(AV289="ja",VLOOKUP($B289,'Egen hetvattenprod'!$B$1:$AO$500,MATCH("Värmekälla till värmepumpar ()",'Egen hetvattenprod'!$B$1:$AO$1,0),FALSE),"")</f>
        <v/>
      </c>
      <c r="AY289" s="63" t="str">
        <f t="shared" si="28"/>
        <v>Nej</v>
      </c>
      <c r="AZ289" s="77" t="str">
        <f>IF($AY289="ja",(VLOOKUP($B289,'Egen hetvattenprod'!$B$1:$BX$550,MATCH(AZ$2,'Egen hetvattenprod'!$B$1:$BX$1,0),FALSE)+VLOOKUP($B289,Kraftvärmeprod!$B$1:$BX$550,MATCH(AZ$2,Kraftvärmeprod!$B$1:$BX$1,0),FALSE))/$AC289,"")</f>
        <v/>
      </c>
      <c r="BA289" s="77" t="str">
        <f>IF($AY289="ja",(VLOOKUP($B289,'Egen hetvattenprod'!$B$1:$BX$550,MATCH(BA$2,'Egen hetvattenprod'!$B$1:$BX$1,0),FALSE)+VLOOKUP($B289,Kraftvärmeprod!$B$1:$BX$550,MATCH(BA$2,Kraftvärmeprod!$B$1:$BX$1,0),FALSE))/$AC289,"")</f>
        <v/>
      </c>
      <c r="BB289" s="77" t="str">
        <f>IF($AY289="ja",(VLOOKUP($B289,'Egen hetvattenprod'!$B$1:$BX$550,MATCH(BB$2,'Egen hetvattenprod'!$B$1:$BX$1,0),FALSE)+VLOOKUP($B289,Kraftvärmeprod!$B$1:$BX$550,MATCH(BB$2,Kraftvärmeprod!$B$1:$BX$1,0),FALSE))/$AC289,"")</f>
        <v/>
      </c>
      <c r="BC289" s="77" t="str">
        <f>IF($AY289="ja",(VLOOKUP($B289,'Egen hetvattenprod'!$B$1:$BX$550,MATCH(BC$2,'Egen hetvattenprod'!$B$1:$BX$1,0),FALSE)+VLOOKUP($B289,Kraftvärmeprod!$B$1:$BX$550,MATCH(BC$2,Kraftvärmeprod!$B$1:$BX$1,0),FALSE))/$AC289,"")</f>
        <v/>
      </c>
      <c r="BD289" s="77" t="str">
        <f>IF($AY289="ja",(VLOOKUP($B289,'Egen hetvattenprod'!$B$1:$BX$550,MATCH(BD$2,'Egen hetvattenprod'!$B$1:$BX$1,0),FALSE)+VLOOKUP($B289,Kraftvärmeprod!$B$1:$BX$550,MATCH(BD$2,Kraftvärmeprod!$B$1:$BX$1,0),FALSE))/$AC289,"")</f>
        <v/>
      </c>
      <c r="BF289" s="63" t="str">
        <f t="shared" si="29"/>
        <v>Ja</v>
      </c>
      <c r="BG289" s="63" t="str">
        <f>IF($BF289="ja",VLOOKUP($B289,'Egen hetvattenprod'!$B$1:$BX$550,MATCH("Andelen klimatgaser med fossilt ursprung för avfall ()",'Egen hetvattenprod'!$B$1:$BX$1,0),FALSE),"")</f>
        <v>Schablon</v>
      </c>
      <c r="BH289" s="63" t="str">
        <f>IF($BF289="ja",VLOOKUP($B289,Kraftvärmeprod!$B$1:$BX$550,MATCH("Andelen klimatgaser med fossilt ursprung för avfall ()",Kraftvärmeprod!$B$1:$BX$1,0),FALSE),"")</f>
        <v>Schablon</v>
      </c>
      <c r="BI289" s="63">
        <f>IF($BF289="ja",VLOOKUP($B289,'Egen hetvattenprod'!$B$1:$BX$550,MATCH("Avfall (GWh)",'Egen hetvattenprod'!$B$1:$BX$1,0),FALSE),"")</f>
        <v>98.436999999999998</v>
      </c>
      <c r="BJ289" s="63">
        <f>IF($BF289="ja",VLOOKUP($B289,'Slutlig allokering kvv'!$B$1:$BX$550,MATCH("Avfall (GWh)",'Slutlig allokering kvv'!$B$1:$BX$1,0),FALSE),"")</f>
        <v>21.185300000000002</v>
      </c>
      <c r="BK289" s="63">
        <f>IF($BF289="ja",VLOOKUP($B289,'Köpt hetvatten'!$B$1:$BX$550,MATCH("Avfall i köpt hetvatten",'Köpt hetvatten'!$B$1:$BX$1,0),FALSE),"")</f>
        <v>0</v>
      </c>
      <c r="BL289" s="63">
        <f>IF($BF289="ja",VLOOKUP($B289,'Egen hetvattenprod'!$B$1:$BX$550,MATCH("Värde enligt ovan. (%)",'Egen hetvattenprod'!$B$1:$BX$1,0),FALSE),"")</f>
        <v>37.299999999999997</v>
      </c>
      <c r="BM289" s="63">
        <f>IF($BF289="ja",VLOOKUP($B289,Kraftvärmeprod!$B$1:$BX$550,MATCH("Värde enligt ovan. (%)",Kraftvärmeprod!$B$1:$BX$1,0),FALSE),"")</f>
        <v>37.299999999999997</v>
      </c>
    </row>
    <row r="290" spans="1:65" x14ac:dyDescent="0.45">
      <c r="A290" s="63" t="s">
        <v>305</v>
      </c>
      <c r="B290" s="63" t="s">
        <v>307</v>
      </c>
      <c r="C290" s="63">
        <f>VLOOKUP($B290,'Tillförd energi'!$B$1:$AI$720,MATCH(C$2,'Tillförd energi'!$B$1:$AQ$1,0),FALSE)</f>
        <v>0</v>
      </c>
      <c r="D290" s="63">
        <f>VLOOKUP($B290,'Tillförd energi'!$B$1:$AI$720,MATCH(D$2,'Tillförd energi'!$B$1:$AQ$1,0),FALSE)</f>
        <v>0</v>
      </c>
      <c r="E290" s="63">
        <f>VLOOKUP($B290,'Tillförd energi'!$B$1:$AI$720,MATCH(E$2,'Tillförd energi'!$B$1:$AQ$1,0),FALSE)</f>
        <v>0</v>
      </c>
      <c r="F290" s="63">
        <f>VLOOKUP($B290,'Tillförd energi'!$B$1:$AI$720,MATCH(F$2,'Tillförd energi'!$B$1:$AQ$1,0),FALSE)</f>
        <v>0</v>
      </c>
      <c r="G290" s="63">
        <f>VLOOKUP($B290,'Tillförd energi'!$B$1:$AI$720,MATCH(G$2,'Tillförd energi'!$B$1:$AQ$1,0),FALSE)</f>
        <v>0</v>
      </c>
      <c r="H290" s="63">
        <f>VLOOKUP($B290,'Tillförd energi'!$B$1:$AI$720,MATCH(H$2,'Tillförd energi'!$B$1:$AQ$1,0),FALSE)</f>
        <v>0</v>
      </c>
      <c r="I290" s="63">
        <f>VLOOKUP($B290,'Tillförd energi'!$B$1:$AI$720,MATCH(I$2,'Tillförd energi'!$B$1:$AQ$1,0),FALSE)</f>
        <v>0</v>
      </c>
      <c r="J290" s="63">
        <f>VLOOKUP($B290,'Tillförd energi'!$B$1:$AI$720,MATCH(J$2,'Tillförd energi'!$B$1:$AQ$1,0),FALSE)</f>
        <v>0</v>
      </c>
      <c r="K290" s="63">
        <f>VLOOKUP($B290,'Tillförd energi'!$B$1:$AI$720,MATCH(K$2,'Tillförd energi'!$B$1:$AQ$1,0),FALSE)</f>
        <v>0</v>
      </c>
      <c r="L290" s="63">
        <f>VLOOKUP($B290,'Tillförd energi'!$B$1:$AI$720,MATCH(L$2,'Tillförd energi'!$B$1:$AQ$1,0),FALSE)</f>
        <v>0</v>
      </c>
      <c r="M290" s="63">
        <f>VLOOKUP($B290,'Tillförd energi'!$B$1:$AI$720,MATCH(M$2,'Tillförd energi'!$B$1:$AQ$1,0),FALSE)</f>
        <v>0</v>
      </c>
      <c r="N290" s="63">
        <f>VLOOKUP($B290,'Tillförd energi'!$B$1:$AI$720,MATCH(N$2,'Tillförd energi'!$B$1:$AQ$1,0),FALSE)</f>
        <v>0</v>
      </c>
      <c r="O290" s="63">
        <f>VLOOKUP($B290,'Tillförd energi'!$B$1:$AI$720,MATCH(O$2,'Tillförd energi'!$B$1:$AQ$1,0),FALSE)</f>
        <v>0</v>
      </c>
      <c r="P290" s="63">
        <f>VLOOKUP($B290,'Tillförd energi'!$B$1:$AI$720,MATCH(P$2,'Tillförd energi'!$B$1:$AQ$1,0),FALSE)</f>
        <v>0</v>
      </c>
      <c r="Q290" s="63">
        <f>VLOOKUP($B290,'Tillförd energi'!$B$1:$AI$720,MATCH(Q$2,'Tillförd energi'!$B$1:$AQ$1,0),FALSE)</f>
        <v>0</v>
      </c>
      <c r="R290" s="63">
        <f>VLOOKUP($B290,'Tillförd energi'!$B$1:$AI$720,MATCH(R$2,'Tillförd energi'!$B$1:$AQ$1,0),FALSE)</f>
        <v>0</v>
      </c>
      <c r="S290" s="63">
        <f>VLOOKUP($B290,'Tillförd energi'!$B$1:$AI$720,MATCH(S$2,'Tillförd energi'!$B$1:$AQ$1,0),FALSE)</f>
        <v>0</v>
      </c>
      <c r="T290" s="63">
        <f>VLOOKUP($B290,'Tillförd energi'!$B$1:$AI$720,MATCH(T$2,'Tillförd energi'!$B$1:$AQ$1,0),FALSE)</f>
        <v>0</v>
      </c>
      <c r="U290" s="63">
        <f>VLOOKUP($B290,'Tillförd energi'!$B$1:$AI$720,MATCH(U$2,'Tillförd energi'!$B$1:$AQ$1,0),FALSE)</f>
        <v>0</v>
      </c>
      <c r="V290" s="63">
        <f>VLOOKUP($B290,'Tillförd energi'!$B$1:$AI$720,MATCH(V$2,'Tillförd energi'!$B$1:$AQ$1,0),FALSE)</f>
        <v>0</v>
      </c>
      <c r="W290" s="63">
        <f>VLOOKUP($B290,'Tillförd energi'!$B$1:$AI$720,MATCH(W$2,'Tillförd energi'!$B$1:$AQ$1,0),FALSE)</f>
        <v>0</v>
      </c>
      <c r="X290" s="63">
        <f>VLOOKUP($B290,'Tillförd energi'!$B$1:$AI$720,MATCH(X$2,'Tillförd energi'!$B$1:$AQ$1,0),FALSE)</f>
        <v>0</v>
      </c>
      <c r="Y290" s="63">
        <f>VLOOKUP($B290,'Tillförd energi'!$B$1:$AI$720,MATCH(Y$2,'Tillförd energi'!$B$1:$AQ$1,0),FALSE)</f>
        <v>0</v>
      </c>
      <c r="Z290" s="63">
        <f>VLOOKUP($B290,'Tillförd energi'!$B$1:$AI$720,MATCH(Z$2,'Tillförd energi'!$B$1:$AQ$1,0),FALSE)</f>
        <v>0</v>
      </c>
      <c r="AA290" s="63">
        <f>VLOOKUP($B290,'Tillförd energi'!$B$1:$AI$720,MATCH(AA$2,'Tillförd energi'!$B$1:$AQ$1,0),FALSE)</f>
        <v>0</v>
      </c>
      <c r="AB290" s="63">
        <f>VLOOKUP($B290,'Tillförd energi'!$B$1:$AI$720,MATCH(AB$2,'Tillförd energi'!$B$1:$AQ$1,0),FALSE)</f>
        <v>0</v>
      </c>
      <c r="AC290" s="63">
        <f>VLOOKUP($B290,'Tillförd energi'!$B$1:$AI$720,MATCH(AC$2,'Tillförd energi'!$B$1:$AQ$1,0),FALSE)</f>
        <v>0</v>
      </c>
      <c r="AD290" s="63">
        <f>VLOOKUP($B290,'Tillförd energi'!$B$1:$AI$720,MATCH(AD$2,'Tillförd energi'!$B$1:$AQ$1,0),FALSE)</f>
        <v>0</v>
      </c>
      <c r="AE290" s="63">
        <f>VLOOKUP($B290,'Tillförd energi'!$B$1:$AI$720,MATCH(AE$2,'Tillförd energi'!$B$1:$AQ$1,0),FALSE)</f>
        <v>0</v>
      </c>
      <c r="AF290" s="63">
        <f>VLOOKUP($B290,'Tillförd energi'!$B$1:$AI$720,MATCH(AF$2,'Tillförd energi'!$B$1:$AQ$1,0),FALSE)</f>
        <v>0</v>
      </c>
      <c r="AG290" s="63">
        <f>IFERROR(VLOOKUP(B290,Miljö!$B$1:$AC$550,MATCH("Köpt mängd produktionsspecifik fjärrvärme:",Miljö!$B$1:$AC$1,0),FALSE)/1,0)</f>
        <v>0</v>
      </c>
      <c r="AI290" s="63">
        <f t="shared" si="24"/>
        <v>0</v>
      </c>
      <c r="AJ290" s="63" t="str">
        <f>IF(ISERROR(1/VLOOKUP($B290,Leveranser!$B$1:$S$500,MATCH("såld värme (gwh)",Leveranser!$B$1:$S$1,0),FALSE)),"",VLOOKUP($B290,Leveranser!$B$1:$S$500,MATCH("såld värme (gwh)",Leveranser!$B$1:$S$1,0),FALSE))</f>
        <v/>
      </c>
      <c r="AM290" s="63" t="str">
        <f>IF(B290&lt;&gt;"",IF(VLOOKUP($B290,Totalt!$B$1:$AQ$554,MATCH("Kvalitetsgranskad:",Totalt!$B$1:$AQ$1,0),FALSE)="ja",VLOOKUP($B290,Miljö!$B$1:$AG$479,MATCH(AM$2,Miljö!$B$1:$AK$1,0),FALSE),""),"")</f>
        <v/>
      </c>
      <c r="AN290" s="63" t="str">
        <f>IF(AM290="ja",VLOOKUP($B290,Miljö!$B$1:$J$479,MATCH("Typ av ursprungsspecificerad el   (Om inget värde anges används Nordisk residualmix, se inforuta) ()",Miljö!$B$1:$J$1,0),FALSE),IF(AM290="nej","Nordisk residualel",""))</f>
        <v/>
      </c>
      <c r="AO290" s="63" t="str">
        <f>IF(AM290="","",VLOOKUP($B290,Miljö!$B$1:$J$479,MATCH("Fossilandel för ursprungspecificerad el ()",Miljö!$B$1:$J$1,0),FALSE))</f>
        <v/>
      </c>
      <c r="AQ290" s="63" t="str">
        <f t="shared" si="25"/>
        <v/>
      </c>
      <c r="AS290" s="63" t="str">
        <f t="shared" si="26"/>
        <v>Nej</v>
      </c>
      <c r="AT290" s="63" t="str">
        <f>IF(AS290="ja",VLOOKUP($B290,Miljö!$B$1:$P$500,MATCH("Fossil andel i procent (%)",Miljö!$B$1:$P$1,0),FALSE)/100,"")</f>
        <v/>
      </c>
      <c r="AV290" s="63" t="str">
        <f t="shared" si="27"/>
        <v>Nej</v>
      </c>
      <c r="AW290" s="63" t="str">
        <f>IF(AV290="ja",VLOOKUP($B290,'Egen hetvattenprod'!$B$1:$AO$500,MATCH("Värmekälla till värmepumpar ()",'Egen hetvattenprod'!$B$1:$AO$1,0),FALSE),"")</f>
        <v/>
      </c>
      <c r="AY290" s="63" t="str">
        <f t="shared" si="28"/>
        <v>Nej</v>
      </c>
      <c r="AZ290" s="77" t="str">
        <f>IF($AY290="ja",(VLOOKUP($B290,'Egen hetvattenprod'!$B$1:$BX$550,MATCH(AZ$2,'Egen hetvattenprod'!$B$1:$BX$1,0),FALSE)+VLOOKUP($B290,Kraftvärmeprod!$B$1:$BX$550,MATCH(AZ$2,Kraftvärmeprod!$B$1:$BX$1,0),FALSE))/$AC290,"")</f>
        <v/>
      </c>
      <c r="BA290" s="77" t="str">
        <f>IF($AY290="ja",(VLOOKUP($B290,'Egen hetvattenprod'!$B$1:$BX$550,MATCH(BA$2,'Egen hetvattenprod'!$B$1:$BX$1,0),FALSE)+VLOOKUP($B290,Kraftvärmeprod!$B$1:$BX$550,MATCH(BA$2,Kraftvärmeprod!$B$1:$BX$1,0),FALSE))/$AC290,"")</f>
        <v/>
      </c>
      <c r="BB290" s="77" t="str">
        <f>IF($AY290="ja",(VLOOKUP($B290,'Egen hetvattenprod'!$B$1:$BX$550,MATCH(BB$2,'Egen hetvattenprod'!$B$1:$BX$1,0),FALSE)+VLOOKUP($B290,Kraftvärmeprod!$B$1:$BX$550,MATCH(BB$2,Kraftvärmeprod!$B$1:$BX$1,0),FALSE))/$AC290,"")</f>
        <v/>
      </c>
      <c r="BC290" s="77" t="str">
        <f>IF($AY290="ja",(VLOOKUP($B290,'Egen hetvattenprod'!$B$1:$BX$550,MATCH(BC$2,'Egen hetvattenprod'!$B$1:$BX$1,0),FALSE)+VLOOKUP($B290,Kraftvärmeprod!$B$1:$BX$550,MATCH(BC$2,Kraftvärmeprod!$B$1:$BX$1,0),FALSE))/$AC290,"")</f>
        <v/>
      </c>
      <c r="BD290" s="77" t="str">
        <f>IF($AY290="ja",(VLOOKUP($B290,'Egen hetvattenprod'!$B$1:$BX$550,MATCH(BD$2,'Egen hetvattenprod'!$B$1:$BX$1,0),FALSE)+VLOOKUP($B290,Kraftvärmeprod!$B$1:$BX$550,MATCH(BD$2,Kraftvärmeprod!$B$1:$BX$1,0),FALSE))/$AC290,"")</f>
        <v/>
      </c>
      <c r="BF290" s="63" t="str">
        <f t="shared" si="29"/>
        <v>Nej</v>
      </c>
      <c r="BG290" s="63" t="str">
        <f>IF($BF290="ja",VLOOKUP($B290,'Egen hetvattenprod'!$B$1:$BX$550,MATCH("Andelen klimatgaser med fossilt ursprung för avfall ()",'Egen hetvattenprod'!$B$1:$BX$1,0),FALSE),"")</f>
        <v/>
      </c>
      <c r="BH290" s="63" t="str">
        <f>IF($BF290="ja",VLOOKUP($B290,Kraftvärmeprod!$B$1:$BX$550,MATCH("Andelen klimatgaser med fossilt ursprung för avfall ()",Kraftvärmeprod!$B$1:$BX$1,0),FALSE),"")</f>
        <v/>
      </c>
      <c r="BI290" s="63" t="str">
        <f>IF($BF290="ja",VLOOKUP($B290,'Egen hetvattenprod'!$B$1:$BX$550,MATCH("Avfall (GWh)",'Egen hetvattenprod'!$B$1:$BX$1,0),FALSE),"")</f>
        <v/>
      </c>
      <c r="BJ290" s="63" t="str">
        <f>IF($BF290="ja",VLOOKUP($B290,'Slutlig allokering kvv'!$B$1:$BX$550,MATCH("Avfall (GWh)",'Slutlig allokering kvv'!$B$1:$BX$1,0),FALSE),"")</f>
        <v/>
      </c>
      <c r="BK290" s="63" t="str">
        <f>IF($BF290="ja",VLOOKUP($B290,'Köpt hetvatten'!$B$1:$BX$550,MATCH("Avfall i köpt hetvatten",'Köpt hetvatten'!$B$1:$BX$1,0),FALSE),"")</f>
        <v/>
      </c>
      <c r="BL290" s="63" t="str">
        <f>IF($BF290="ja",VLOOKUP($B290,'Egen hetvattenprod'!$B$1:$BX$550,MATCH("Värde enligt ovan. (%)",'Egen hetvattenprod'!$B$1:$BX$1,0),FALSE),"")</f>
        <v/>
      </c>
      <c r="BM290" s="63" t="str">
        <f>IF($BF290="ja",VLOOKUP($B290,Kraftvärmeprod!$B$1:$BX$550,MATCH("Värde enligt ovan. (%)",Kraftvärmeprod!$B$1:$BX$1,0),FALSE),"")</f>
        <v/>
      </c>
    </row>
    <row r="291" spans="1:65" x14ac:dyDescent="0.45">
      <c r="A291" s="63" t="s">
        <v>299</v>
      </c>
      <c r="B291" s="63" t="s">
        <v>302</v>
      </c>
      <c r="C291" s="63">
        <f>VLOOKUP($B291,'Tillförd energi'!$B$1:$AI$720,MATCH(C$2,'Tillförd energi'!$B$1:$AQ$1,0),FALSE)</f>
        <v>0</v>
      </c>
      <c r="D291" s="63">
        <f>VLOOKUP($B291,'Tillförd energi'!$B$1:$AI$720,MATCH(D$2,'Tillförd energi'!$B$1:$AQ$1,0),FALSE)</f>
        <v>0.14199999999999999</v>
      </c>
      <c r="E291" s="63">
        <f>VLOOKUP($B291,'Tillförd energi'!$B$1:$AI$720,MATCH(E$2,'Tillförd energi'!$B$1:$AQ$1,0),FALSE)</f>
        <v>0</v>
      </c>
      <c r="F291" s="63">
        <f>VLOOKUP($B291,'Tillförd energi'!$B$1:$AI$720,MATCH(F$2,'Tillförd energi'!$B$1:$AQ$1,0),FALSE)</f>
        <v>0</v>
      </c>
      <c r="G291" s="63">
        <f>VLOOKUP($B291,'Tillförd energi'!$B$1:$AI$720,MATCH(G$2,'Tillförd energi'!$B$1:$AQ$1,0),FALSE)</f>
        <v>0</v>
      </c>
      <c r="H291" s="63">
        <f>VLOOKUP($B291,'Tillförd energi'!$B$1:$AI$720,MATCH(H$2,'Tillförd energi'!$B$1:$AQ$1,0),FALSE)</f>
        <v>0</v>
      </c>
      <c r="I291" s="63">
        <f>VLOOKUP($B291,'Tillförd energi'!$B$1:$AI$720,MATCH(I$2,'Tillförd energi'!$B$1:$AQ$1,0),FALSE)</f>
        <v>0</v>
      </c>
      <c r="J291" s="63">
        <f>VLOOKUP($B291,'Tillförd energi'!$B$1:$AI$720,MATCH(J$2,'Tillförd energi'!$B$1:$AQ$1,0),FALSE)</f>
        <v>0</v>
      </c>
      <c r="K291" s="63">
        <f>VLOOKUP($B291,'Tillförd energi'!$B$1:$AI$720,MATCH(K$2,'Tillförd energi'!$B$1:$AQ$1,0),FALSE)</f>
        <v>0</v>
      </c>
      <c r="L291" s="63">
        <f>VLOOKUP($B291,'Tillförd energi'!$B$1:$AI$720,MATCH(L$2,'Tillförd energi'!$B$1:$AQ$1,0),FALSE)</f>
        <v>0</v>
      </c>
      <c r="M291" s="63">
        <f>VLOOKUP($B291,'Tillförd energi'!$B$1:$AI$720,MATCH(M$2,'Tillförd energi'!$B$1:$AQ$1,0),FALSE)</f>
        <v>0</v>
      </c>
      <c r="N291" s="63">
        <f>VLOOKUP($B291,'Tillförd energi'!$B$1:$AI$720,MATCH(N$2,'Tillförd energi'!$B$1:$AQ$1,0),FALSE)</f>
        <v>0</v>
      </c>
      <c r="O291" s="63">
        <f>VLOOKUP($B291,'Tillförd energi'!$B$1:$AI$720,MATCH(O$2,'Tillförd energi'!$B$1:$AQ$1,0),FALSE)</f>
        <v>0</v>
      </c>
      <c r="P291" s="63">
        <f>VLOOKUP($B291,'Tillförd energi'!$B$1:$AI$720,MATCH(P$2,'Tillförd energi'!$B$1:$AQ$1,0),FALSE)</f>
        <v>0</v>
      </c>
      <c r="Q291" s="63">
        <f>VLOOKUP($B291,'Tillförd energi'!$B$1:$AI$720,MATCH(Q$2,'Tillförd energi'!$B$1:$AQ$1,0),FALSE)</f>
        <v>11.6671</v>
      </c>
      <c r="R291" s="63">
        <f>VLOOKUP($B291,'Tillförd energi'!$B$1:$AI$720,MATCH(R$2,'Tillförd energi'!$B$1:$AQ$1,0),FALSE)</f>
        <v>0</v>
      </c>
      <c r="S291" s="63">
        <f>VLOOKUP($B291,'Tillförd energi'!$B$1:$AI$720,MATCH(S$2,'Tillförd energi'!$B$1:$AQ$1,0),FALSE)</f>
        <v>0</v>
      </c>
      <c r="T291" s="63">
        <f>VLOOKUP($B291,'Tillförd energi'!$B$1:$AI$720,MATCH(T$2,'Tillförd energi'!$B$1:$AQ$1,0),FALSE)</f>
        <v>0</v>
      </c>
      <c r="U291" s="63">
        <f>VLOOKUP($B291,'Tillförd energi'!$B$1:$AI$720,MATCH(U$2,'Tillförd energi'!$B$1:$AQ$1,0),FALSE)</f>
        <v>0</v>
      </c>
      <c r="V291" s="63">
        <f>VLOOKUP($B291,'Tillförd energi'!$B$1:$AI$720,MATCH(V$2,'Tillförd energi'!$B$1:$AQ$1,0),FALSE)</f>
        <v>0</v>
      </c>
      <c r="W291" s="63">
        <f>VLOOKUP($B291,'Tillförd energi'!$B$1:$AI$720,MATCH(W$2,'Tillförd energi'!$B$1:$AQ$1,0),FALSE)</f>
        <v>1.4</v>
      </c>
      <c r="X291" s="63">
        <f>VLOOKUP($B291,'Tillförd energi'!$B$1:$AI$720,MATCH(X$2,'Tillförd energi'!$B$1:$AQ$1,0),FALSE)</f>
        <v>0</v>
      </c>
      <c r="Y291" s="63">
        <f>VLOOKUP($B291,'Tillförd energi'!$B$1:$AI$720,MATCH(Y$2,'Tillförd energi'!$B$1:$AQ$1,0),FALSE)</f>
        <v>0</v>
      </c>
      <c r="Z291" s="63">
        <f>VLOOKUP($B291,'Tillförd energi'!$B$1:$AI$720,MATCH(Z$2,'Tillförd energi'!$B$1:$AQ$1,0),FALSE)</f>
        <v>0</v>
      </c>
      <c r="AA291" s="63">
        <f>VLOOKUP($B291,'Tillförd energi'!$B$1:$AI$720,MATCH(AA$2,'Tillförd energi'!$B$1:$AQ$1,0),FALSE)</f>
        <v>0</v>
      </c>
      <c r="AB291" s="63">
        <f>VLOOKUP($B291,'Tillförd energi'!$B$1:$AI$720,MATCH(AB$2,'Tillförd energi'!$B$1:$AQ$1,0),FALSE)</f>
        <v>0</v>
      </c>
      <c r="AC291" s="63">
        <f>VLOOKUP($B291,'Tillförd energi'!$B$1:$AI$720,MATCH(AC$2,'Tillförd energi'!$B$1:$AQ$1,0),FALSE)</f>
        <v>0</v>
      </c>
      <c r="AD291" s="63">
        <f>VLOOKUP($B291,'Tillförd energi'!$B$1:$AI$720,MATCH(AD$2,'Tillförd energi'!$B$1:$AQ$1,0),FALSE)</f>
        <v>0</v>
      </c>
      <c r="AE291" s="63">
        <f>VLOOKUP($B291,'Tillförd energi'!$B$1:$AI$720,MATCH(AE$2,'Tillförd energi'!$B$1:$AQ$1,0),FALSE)</f>
        <v>0</v>
      </c>
      <c r="AF291" s="63">
        <f>VLOOKUP($B291,'Tillförd energi'!$B$1:$AI$720,MATCH(AF$2,'Tillförd energi'!$B$1:$AQ$1,0),FALSE)</f>
        <v>3.1085000000000002E-2</v>
      </c>
      <c r="AG291" s="63">
        <f>IFERROR(VLOOKUP(B291,Miljö!$B$1:$AC$550,MATCH("Köpt mängd produktionsspecifik fjärrvärme:",Miljö!$B$1:$AC$1,0),FALSE)/1,0)</f>
        <v>0</v>
      </c>
      <c r="AI291" s="63">
        <f t="shared" si="24"/>
        <v>13.240184999999999</v>
      </c>
      <c r="AJ291" s="63">
        <f>IF(ISERROR(1/VLOOKUP($B291,Leveranser!$B$1:$S$500,MATCH("såld värme (gwh)",Leveranser!$B$1:$S$1,0),FALSE)),"",VLOOKUP($B291,Leveranser!$B$1:$S$500,MATCH("såld värme (gwh)",Leveranser!$B$1:$S$1,0),FALSE))</f>
        <v>9.32</v>
      </c>
      <c r="AM291" s="63" t="str">
        <f>IF(B291&lt;&gt;"",IF(VLOOKUP($B291,Totalt!$B$1:$AQ$554,MATCH("Kvalitetsgranskad:",Totalt!$B$1:$AQ$1,0),FALSE)="ja",VLOOKUP($B291,Miljö!$B$1:$AG$479,MATCH(AM$2,Miljö!$B$1:$AK$1,0),FALSE),""),"")</f>
        <v>Ja</v>
      </c>
      <c r="AN291" s="63" t="str">
        <f>IF(AM291="ja",VLOOKUP($B291,Miljö!$B$1:$J$479,MATCH("Typ av ursprungsspecificerad el   (Om inget värde anges används Nordisk residualmix, se inforuta) ()",Miljö!$B$1:$J$1,0),FALSE),IF(AM291="nej","Nordisk residualel",""))</f>
        <v>'Vind vatten bio'</v>
      </c>
      <c r="AO291" s="63">
        <f>IF(AM291="","",VLOOKUP($B291,Miljö!$B$1:$J$479,MATCH("Fossilandel för ursprungspecificerad el ()",Miljö!$B$1:$J$1,0),FALSE))</f>
        <v>0</v>
      </c>
      <c r="AQ291" s="63">
        <f t="shared" si="25"/>
        <v>1</v>
      </c>
      <c r="AS291" s="63" t="str">
        <f t="shared" si="26"/>
        <v>Nej</v>
      </c>
      <c r="AT291" s="63" t="str">
        <f>IF(AS291="ja",VLOOKUP($B291,Miljö!$B$1:$P$500,MATCH("Fossil andel i procent (%)",Miljö!$B$1:$P$1,0),FALSE)/100,"")</f>
        <v/>
      </c>
      <c r="AV291" s="63" t="str">
        <f t="shared" si="27"/>
        <v>Nej</v>
      </c>
      <c r="AW291" s="63" t="str">
        <f>IF(AV291="ja",VLOOKUP($B291,'Egen hetvattenprod'!$B$1:$AO$500,MATCH("Värmekälla till värmepumpar ()",'Egen hetvattenprod'!$B$1:$AO$1,0),FALSE),"")</f>
        <v/>
      </c>
      <c r="AY291" s="63" t="str">
        <f t="shared" si="28"/>
        <v>Nej</v>
      </c>
      <c r="AZ291" s="77" t="str">
        <f>IF($AY291="ja",(VLOOKUP($B291,'Egen hetvattenprod'!$B$1:$BX$550,MATCH(AZ$2,'Egen hetvattenprod'!$B$1:$BX$1,0),FALSE)+VLOOKUP($B291,Kraftvärmeprod!$B$1:$BX$550,MATCH(AZ$2,Kraftvärmeprod!$B$1:$BX$1,0),FALSE))/$AC291,"")</f>
        <v/>
      </c>
      <c r="BA291" s="77" t="str">
        <f>IF($AY291="ja",(VLOOKUP($B291,'Egen hetvattenprod'!$B$1:$BX$550,MATCH(BA$2,'Egen hetvattenprod'!$B$1:$BX$1,0),FALSE)+VLOOKUP($B291,Kraftvärmeprod!$B$1:$BX$550,MATCH(BA$2,Kraftvärmeprod!$B$1:$BX$1,0),FALSE))/$AC291,"")</f>
        <v/>
      </c>
      <c r="BB291" s="77" t="str">
        <f>IF($AY291="ja",(VLOOKUP($B291,'Egen hetvattenprod'!$B$1:$BX$550,MATCH(BB$2,'Egen hetvattenprod'!$B$1:$BX$1,0),FALSE)+VLOOKUP($B291,Kraftvärmeprod!$B$1:$BX$550,MATCH(BB$2,Kraftvärmeprod!$B$1:$BX$1,0),FALSE))/$AC291,"")</f>
        <v/>
      </c>
      <c r="BC291" s="77" t="str">
        <f>IF($AY291="ja",(VLOOKUP($B291,'Egen hetvattenprod'!$B$1:$BX$550,MATCH(BC$2,'Egen hetvattenprod'!$B$1:$BX$1,0),FALSE)+VLOOKUP($B291,Kraftvärmeprod!$B$1:$BX$550,MATCH(BC$2,Kraftvärmeprod!$B$1:$BX$1,0),FALSE))/$AC291,"")</f>
        <v/>
      </c>
      <c r="BD291" s="77" t="str">
        <f>IF($AY291="ja",(VLOOKUP($B291,'Egen hetvattenprod'!$B$1:$BX$550,MATCH(BD$2,'Egen hetvattenprod'!$B$1:$BX$1,0),FALSE)+VLOOKUP($B291,Kraftvärmeprod!$B$1:$BX$550,MATCH(BD$2,Kraftvärmeprod!$B$1:$BX$1,0),FALSE))/$AC291,"")</f>
        <v/>
      </c>
      <c r="BF291" s="63" t="str">
        <f t="shared" si="29"/>
        <v>Nej</v>
      </c>
      <c r="BG291" s="63" t="str">
        <f>IF($BF291="ja",VLOOKUP($B291,'Egen hetvattenprod'!$B$1:$BX$550,MATCH("Andelen klimatgaser med fossilt ursprung för avfall ()",'Egen hetvattenprod'!$B$1:$BX$1,0),FALSE),"")</f>
        <v/>
      </c>
      <c r="BH291" s="63" t="str">
        <f>IF($BF291="ja",VLOOKUP($B291,Kraftvärmeprod!$B$1:$BX$550,MATCH("Andelen klimatgaser med fossilt ursprung för avfall ()",Kraftvärmeprod!$B$1:$BX$1,0),FALSE),"")</f>
        <v/>
      </c>
      <c r="BI291" s="63" t="str">
        <f>IF($BF291="ja",VLOOKUP($B291,'Egen hetvattenprod'!$B$1:$BX$550,MATCH("Avfall (GWh)",'Egen hetvattenprod'!$B$1:$BX$1,0),FALSE),"")</f>
        <v/>
      </c>
      <c r="BJ291" s="63" t="str">
        <f>IF($BF291="ja",VLOOKUP($B291,'Slutlig allokering kvv'!$B$1:$BX$550,MATCH("Avfall (GWh)",'Slutlig allokering kvv'!$B$1:$BX$1,0),FALSE),"")</f>
        <v/>
      </c>
      <c r="BK291" s="63" t="str">
        <f>IF($BF291="ja",VLOOKUP($B291,'Köpt hetvatten'!$B$1:$BX$550,MATCH("Avfall i köpt hetvatten",'Köpt hetvatten'!$B$1:$BX$1,0),FALSE),"")</f>
        <v/>
      </c>
      <c r="BL291" s="63" t="str">
        <f>IF($BF291="ja",VLOOKUP($B291,'Egen hetvattenprod'!$B$1:$BX$550,MATCH("Värde enligt ovan. (%)",'Egen hetvattenprod'!$B$1:$BX$1,0),FALSE),"")</f>
        <v/>
      </c>
      <c r="BM291" s="63" t="str">
        <f>IF($BF291="ja",VLOOKUP($B291,Kraftvärmeprod!$B$1:$BX$550,MATCH("Värde enligt ovan. (%)",Kraftvärmeprod!$B$1:$BX$1,0),FALSE),"")</f>
        <v/>
      </c>
    </row>
    <row r="292" spans="1:65" x14ac:dyDescent="0.45">
      <c r="A292" s="63" t="s">
        <v>299</v>
      </c>
      <c r="B292" s="63" t="s">
        <v>298</v>
      </c>
      <c r="C292" s="63">
        <f>VLOOKUP($B292,'Tillförd energi'!$B$1:$AI$720,MATCH(C$2,'Tillförd energi'!$B$1:$AQ$1,0),FALSE)</f>
        <v>0</v>
      </c>
      <c r="D292" s="63">
        <f>VLOOKUP($B292,'Tillförd energi'!$B$1:$AI$720,MATCH(D$2,'Tillförd energi'!$B$1:$AQ$1,0),FALSE)</f>
        <v>0.31068600000000002</v>
      </c>
      <c r="E292" s="63">
        <f>VLOOKUP($B292,'Tillförd energi'!$B$1:$AI$720,MATCH(E$2,'Tillförd energi'!$B$1:$AQ$1,0),FALSE)</f>
        <v>0</v>
      </c>
      <c r="F292" s="63">
        <f>VLOOKUP($B292,'Tillförd energi'!$B$1:$AI$720,MATCH(F$2,'Tillförd energi'!$B$1:$AQ$1,0),FALSE)</f>
        <v>0</v>
      </c>
      <c r="G292" s="63">
        <f>VLOOKUP($B292,'Tillförd energi'!$B$1:$AI$720,MATCH(G$2,'Tillförd energi'!$B$1:$AQ$1,0),FALSE)</f>
        <v>0</v>
      </c>
      <c r="H292" s="63">
        <f>VLOOKUP($B292,'Tillförd energi'!$B$1:$AI$720,MATCH(H$2,'Tillförd energi'!$B$1:$AQ$1,0),FALSE)</f>
        <v>0</v>
      </c>
      <c r="I292" s="63">
        <f>VLOOKUP($B292,'Tillförd energi'!$B$1:$AI$720,MATCH(I$2,'Tillförd energi'!$B$1:$AQ$1,0),FALSE)</f>
        <v>0</v>
      </c>
      <c r="J292" s="63">
        <f>VLOOKUP($B292,'Tillförd energi'!$B$1:$AI$720,MATCH(J$2,'Tillförd energi'!$B$1:$AQ$1,0),FALSE)</f>
        <v>0</v>
      </c>
      <c r="K292" s="63">
        <f>VLOOKUP($B292,'Tillförd energi'!$B$1:$AI$720,MATCH(K$2,'Tillförd energi'!$B$1:$AQ$1,0),FALSE)</f>
        <v>0</v>
      </c>
      <c r="L292" s="63">
        <f>VLOOKUP($B292,'Tillförd energi'!$B$1:$AI$720,MATCH(L$2,'Tillförd energi'!$B$1:$AQ$1,0),FALSE)</f>
        <v>11.8148</v>
      </c>
      <c r="M292" s="63">
        <f>VLOOKUP($B292,'Tillförd energi'!$B$1:$AI$720,MATCH(M$2,'Tillförd energi'!$B$1:$AQ$1,0),FALSE)</f>
        <v>27.424600000000002</v>
      </c>
      <c r="N292" s="63">
        <f>VLOOKUP($B292,'Tillförd energi'!$B$1:$AI$720,MATCH(N$2,'Tillförd energi'!$B$1:$AQ$1,0),FALSE)</f>
        <v>38.172600000000003</v>
      </c>
      <c r="O292" s="63">
        <f>VLOOKUP($B292,'Tillförd energi'!$B$1:$AI$720,MATCH(O$2,'Tillförd energi'!$B$1:$AQ$1,0),FALSE)</f>
        <v>0</v>
      </c>
      <c r="P292" s="63">
        <f>VLOOKUP($B292,'Tillförd energi'!$B$1:$AI$720,MATCH(P$2,'Tillförd energi'!$B$1:$AQ$1,0),FALSE)</f>
        <v>10.0044</v>
      </c>
      <c r="Q292" s="63">
        <f>VLOOKUP($B292,'Tillförd energi'!$B$1:$AI$720,MATCH(Q$2,'Tillförd energi'!$B$1:$AQ$1,0),FALSE)</f>
        <v>4.84429</v>
      </c>
      <c r="R292" s="63">
        <f>VLOOKUP($B292,'Tillförd energi'!$B$1:$AI$720,MATCH(R$2,'Tillförd energi'!$B$1:$AQ$1,0),FALSE)</f>
        <v>20.141999999999999</v>
      </c>
      <c r="S292" s="63">
        <f>VLOOKUP($B292,'Tillförd energi'!$B$1:$AI$720,MATCH(S$2,'Tillförd energi'!$B$1:$AQ$1,0),FALSE)</f>
        <v>0</v>
      </c>
      <c r="T292" s="63">
        <f>VLOOKUP($B292,'Tillförd energi'!$B$1:$AI$720,MATCH(T$2,'Tillförd energi'!$B$1:$AQ$1,0),FALSE)</f>
        <v>0</v>
      </c>
      <c r="U292" s="63">
        <f>VLOOKUP($B292,'Tillförd energi'!$B$1:$AI$720,MATCH(U$2,'Tillförd energi'!$B$1:$AQ$1,0),FALSE)</f>
        <v>0</v>
      </c>
      <c r="V292" s="63">
        <f>VLOOKUP($B292,'Tillförd energi'!$B$1:$AI$720,MATCH(V$2,'Tillförd energi'!$B$1:$AQ$1,0),FALSE)</f>
        <v>0</v>
      </c>
      <c r="W292" s="63">
        <f>VLOOKUP($B292,'Tillförd energi'!$B$1:$AI$720,MATCH(W$2,'Tillförd energi'!$B$1:$AQ$1,0),FALSE)</f>
        <v>0</v>
      </c>
      <c r="X292" s="63">
        <f>VLOOKUP($B292,'Tillförd energi'!$B$1:$AI$720,MATCH(X$2,'Tillförd energi'!$B$1:$AQ$1,0),FALSE)</f>
        <v>0</v>
      </c>
      <c r="Y292" s="63">
        <f>VLOOKUP($B292,'Tillförd energi'!$B$1:$AI$720,MATCH(Y$2,'Tillförd energi'!$B$1:$AQ$1,0),FALSE)</f>
        <v>0</v>
      </c>
      <c r="Z292" s="63">
        <f>VLOOKUP($B292,'Tillförd energi'!$B$1:$AI$720,MATCH(Z$2,'Tillförd energi'!$B$1:$AQ$1,0),FALSE)</f>
        <v>0</v>
      </c>
      <c r="AA292" s="63">
        <f>VLOOKUP($B292,'Tillförd energi'!$B$1:$AI$720,MATCH(AA$2,'Tillförd energi'!$B$1:$AQ$1,0),FALSE)</f>
        <v>0</v>
      </c>
      <c r="AB292" s="63">
        <f>VLOOKUP($B292,'Tillförd energi'!$B$1:$AI$720,MATCH(AB$2,'Tillförd energi'!$B$1:$AQ$1,0),FALSE)</f>
        <v>0</v>
      </c>
      <c r="AC292" s="63">
        <f>VLOOKUP($B292,'Tillförd energi'!$B$1:$AI$720,MATCH(AC$2,'Tillförd energi'!$B$1:$AQ$1,0),FALSE)</f>
        <v>24.303000000000001</v>
      </c>
      <c r="AD292" s="63">
        <f>VLOOKUP($B292,'Tillförd energi'!$B$1:$AI$720,MATCH(AD$2,'Tillförd energi'!$B$1:$AQ$1,0),FALSE)</f>
        <v>0</v>
      </c>
      <c r="AE292" s="63">
        <f>VLOOKUP($B292,'Tillförd energi'!$B$1:$AI$720,MATCH(AE$2,'Tillförd energi'!$B$1:$AQ$1,0),FALSE)</f>
        <v>0</v>
      </c>
      <c r="AF292" s="63">
        <f>VLOOKUP($B292,'Tillförd energi'!$B$1:$AI$720,MATCH(AF$2,'Tillförd energi'!$B$1:$AQ$1,0),FALSE)</f>
        <v>5.3545400000000001</v>
      </c>
      <c r="AG292" s="63">
        <f>IFERROR(VLOOKUP(B292,Miljö!$B$1:$AC$550,MATCH("Köpt mängd produktionsspecifik fjärrvärme:",Miljö!$B$1:$AC$1,0),FALSE)/1,0)</f>
        <v>0</v>
      </c>
      <c r="AI292" s="63">
        <f t="shared" si="24"/>
        <v>142.37091600000002</v>
      </c>
      <c r="AJ292" s="63">
        <f>IF(ISERROR(1/VLOOKUP($B292,Leveranser!$B$1:$S$500,MATCH("såld värme (gwh)",Leveranser!$B$1:$S$1,0),FALSE)),"",VLOOKUP($B292,Leveranser!$B$1:$S$500,MATCH("såld värme (gwh)",Leveranser!$B$1:$S$1,0),FALSE))</f>
        <v>123.666</v>
      </c>
      <c r="AM292" s="63" t="str">
        <f>IF(B292&lt;&gt;"",IF(VLOOKUP($B292,Totalt!$B$1:$AQ$554,MATCH("Kvalitetsgranskad:",Totalt!$B$1:$AQ$1,0),FALSE)="ja",VLOOKUP($B292,Miljö!$B$1:$AG$479,MATCH(AM$2,Miljö!$B$1:$AK$1,0),FALSE),""),"")</f>
        <v>Ja</v>
      </c>
      <c r="AN292" s="63" t="str">
        <f>IF(AM292="ja",VLOOKUP($B292,Miljö!$B$1:$J$479,MATCH("Typ av ursprungsspecificerad el   (Om inget värde anges används Nordisk residualmix, se inforuta) ()",Miljö!$B$1:$J$1,0),FALSE),IF(AM292="nej","Nordisk residualel",""))</f>
        <v>'Vind vatten bio'</v>
      </c>
      <c r="AO292" s="63">
        <f>IF(AM292="","",VLOOKUP($B292,Miljö!$B$1:$J$479,MATCH("Fossilandel för ursprungspecificerad el ()",Miljö!$B$1:$J$1,0),FALSE))</f>
        <v>0</v>
      </c>
      <c r="AQ292" s="63">
        <f t="shared" si="25"/>
        <v>1</v>
      </c>
      <c r="AS292" s="63" t="str">
        <f t="shared" si="26"/>
        <v>Nej</v>
      </c>
      <c r="AT292" s="63" t="str">
        <f>IF(AS292="ja",VLOOKUP($B292,Miljö!$B$1:$P$500,MATCH("Fossil andel i procent (%)",Miljö!$B$1:$P$1,0),FALSE)/100,"")</f>
        <v/>
      </c>
      <c r="AV292" s="63" t="str">
        <f t="shared" si="27"/>
        <v>Nej</v>
      </c>
      <c r="AW292" s="63" t="str">
        <f>IF(AV292="ja",VLOOKUP($B292,'Egen hetvattenprod'!$B$1:$AO$500,MATCH("Värmekälla till värmepumpar ()",'Egen hetvattenprod'!$B$1:$AO$1,0),FALSE),"")</f>
        <v/>
      </c>
      <c r="AY292" s="63" t="str">
        <f t="shared" si="28"/>
        <v>Ja</v>
      </c>
      <c r="AZ292" s="77">
        <f>IF($AY292="ja",(VLOOKUP($B292,'Egen hetvattenprod'!$B$1:$BX$550,MATCH(AZ$2,'Egen hetvattenprod'!$B$1:$BX$1,0),FALSE)+VLOOKUP($B292,Kraftvärmeprod!$B$1:$BX$550,MATCH(AZ$2,Kraftvärmeprod!$B$1:$BX$1,0),FALSE))/$AC292,"")</f>
        <v>1</v>
      </c>
      <c r="BA292" s="77">
        <f>IF($AY292="ja",(VLOOKUP($B292,'Egen hetvattenprod'!$B$1:$BX$550,MATCH(BA$2,'Egen hetvattenprod'!$B$1:$BX$1,0),FALSE)+VLOOKUP($B292,Kraftvärmeprod!$B$1:$BX$550,MATCH(BA$2,Kraftvärmeprod!$B$1:$BX$1,0),FALSE))/$AC292,"")</f>
        <v>0</v>
      </c>
      <c r="BB292" s="77">
        <f>IF($AY292="ja",(VLOOKUP($B292,'Egen hetvattenprod'!$B$1:$BX$550,MATCH(BB$2,'Egen hetvattenprod'!$B$1:$BX$1,0),FALSE)+VLOOKUP($B292,Kraftvärmeprod!$B$1:$BX$550,MATCH(BB$2,Kraftvärmeprod!$B$1:$BX$1,0),FALSE))/$AC292,"")</f>
        <v>0</v>
      </c>
      <c r="BC292" s="77">
        <f>IF($AY292="ja",(VLOOKUP($B292,'Egen hetvattenprod'!$B$1:$BX$550,MATCH(BC$2,'Egen hetvattenprod'!$B$1:$BX$1,0),FALSE)+VLOOKUP($B292,Kraftvärmeprod!$B$1:$BX$550,MATCH(BC$2,Kraftvärmeprod!$B$1:$BX$1,0),FALSE))/$AC292,"")</f>
        <v>0</v>
      </c>
      <c r="BD292" s="77">
        <f>IF($AY292="ja",(VLOOKUP($B292,'Egen hetvattenprod'!$B$1:$BX$550,MATCH(BD$2,'Egen hetvattenprod'!$B$1:$BX$1,0),FALSE)+VLOOKUP($B292,Kraftvärmeprod!$B$1:$BX$550,MATCH(BD$2,Kraftvärmeprod!$B$1:$BX$1,0),FALSE))/$AC292,"")</f>
        <v>0</v>
      </c>
      <c r="BF292" s="63" t="str">
        <f t="shared" si="29"/>
        <v>Nej</v>
      </c>
      <c r="BG292" s="63" t="str">
        <f>IF($BF292="ja",VLOOKUP($B292,'Egen hetvattenprod'!$B$1:$BX$550,MATCH("Andelen klimatgaser med fossilt ursprung för avfall ()",'Egen hetvattenprod'!$B$1:$BX$1,0),FALSE),"")</f>
        <v/>
      </c>
      <c r="BH292" s="63" t="str">
        <f>IF($BF292="ja",VLOOKUP($B292,Kraftvärmeprod!$B$1:$BX$550,MATCH("Andelen klimatgaser med fossilt ursprung för avfall ()",Kraftvärmeprod!$B$1:$BX$1,0),FALSE),"")</f>
        <v/>
      </c>
      <c r="BI292" s="63" t="str">
        <f>IF($BF292="ja",VLOOKUP($B292,'Egen hetvattenprod'!$B$1:$BX$550,MATCH("Avfall (GWh)",'Egen hetvattenprod'!$B$1:$BX$1,0),FALSE),"")</f>
        <v/>
      </c>
      <c r="BJ292" s="63" t="str">
        <f>IF($BF292="ja",VLOOKUP($B292,'Slutlig allokering kvv'!$B$1:$BX$550,MATCH("Avfall (GWh)",'Slutlig allokering kvv'!$B$1:$BX$1,0),FALSE),"")</f>
        <v/>
      </c>
      <c r="BK292" s="63" t="str">
        <f>IF($BF292="ja",VLOOKUP($B292,'Köpt hetvatten'!$B$1:$BX$550,MATCH("Avfall i köpt hetvatten",'Köpt hetvatten'!$B$1:$BX$1,0),FALSE),"")</f>
        <v/>
      </c>
      <c r="BL292" s="63" t="str">
        <f>IF($BF292="ja",VLOOKUP($B292,'Egen hetvattenprod'!$B$1:$BX$550,MATCH("Värde enligt ovan. (%)",'Egen hetvattenprod'!$B$1:$BX$1,0),FALSE),"")</f>
        <v/>
      </c>
      <c r="BM292" s="63" t="str">
        <f>IF($BF292="ja",VLOOKUP($B292,Kraftvärmeprod!$B$1:$BX$550,MATCH("Värde enligt ovan. (%)",Kraftvärmeprod!$B$1:$BX$1,0),FALSE),"")</f>
        <v/>
      </c>
    </row>
    <row r="293" spans="1:65" x14ac:dyDescent="0.45">
      <c r="A293" s="63" t="s">
        <v>299</v>
      </c>
      <c r="B293" s="63" t="s">
        <v>300</v>
      </c>
      <c r="C293" s="63">
        <f>VLOOKUP($B293,'Tillförd energi'!$B$1:$AI$720,MATCH(C$2,'Tillförd energi'!$B$1:$AQ$1,0),FALSE)</f>
        <v>0</v>
      </c>
      <c r="D293" s="63">
        <f>VLOOKUP($B293,'Tillförd energi'!$B$1:$AI$720,MATCH(D$2,'Tillförd energi'!$B$1:$AQ$1,0),FALSE)</f>
        <v>5.5E-2</v>
      </c>
      <c r="E293" s="63">
        <f>VLOOKUP($B293,'Tillförd energi'!$B$1:$AI$720,MATCH(E$2,'Tillförd energi'!$B$1:$AQ$1,0),FALSE)</f>
        <v>0</v>
      </c>
      <c r="F293" s="63">
        <f>VLOOKUP($B293,'Tillförd energi'!$B$1:$AI$720,MATCH(F$2,'Tillförd energi'!$B$1:$AQ$1,0),FALSE)</f>
        <v>0</v>
      </c>
      <c r="G293" s="63">
        <f>VLOOKUP($B293,'Tillförd energi'!$B$1:$AI$720,MATCH(G$2,'Tillförd energi'!$B$1:$AQ$1,0),FALSE)</f>
        <v>0</v>
      </c>
      <c r="H293" s="63">
        <f>VLOOKUP($B293,'Tillförd energi'!$B$1:$AI$720,MATCH(H$2,'Tillförd energi'!$B$1:$AQ$1,0),FALSE)</f>
        <v>0</v>
      </c>
      <c r="I293" s="63">
        <f>VLOOKUP($B293,'Tillförd energi'!$B$1:$AI$720,MATCH(I$2,'Tillförd energi'!$B$1:$AQ$1,0),FALSE)</f>
        <v>0</v>
      </c>
      <c r="J293" s="63">
        <f>VLOOKUP($B293,'Tillförd energi'!$B$1:$AI$720,MATCH(J$2,'Tillförd energi'!$B$1:$AQ$1,0),FALSE)</f>
        <v>0</v>
      </c>
      <c r="K293" s="63">
        <f>VLOOKUP($B293,'Tillförd energi'!$B$1:$AI$720,MATCH(K$2,'Tillförd energi'!$B$1:$AQ$1,0),FALSE)</f>
        <v>0</v>
      </c>
      <c r="L293" s="63">
        <f>VLOOKUP($B293,'Tillförd energi'!$B$1:$AI$720,MATCH(L$2,'Tillförd energi'!$B$1:$AQ$1,0),FALSE)</f>
        <v>0</v>
      </c>
      <c r="M293" s="63">
        <f>VLOOKUP($B293,'Tillförd energi'!$B$1:$AI$720,MATCH(M$2,'Tillförd energi'!$B$1:$AQ$1,0),FALSE)</f>
        <v>0</v>
      </c>
      <c r="N293" s="63">
        <f>VLOOKUP($B293,'Tillförd energi'!$B$1:$AI$720,MATCH(N$2,'Tillförd energi'!$B$1:$AQ$1,0),FALSE)</f>
        <v>0</v>
      </c>
      <c r="O293" s="63">
        <f>VLOOKUP($B293,'Tillförd energi'!$B$1:$AI$720,MATCH(O$2,'Tillförd energi'!$B$1:$AQ$1,0),FALSE)</f>
        <v>0</v>
      </c>
      <c r="P293" s="63">
        <f>VLOOKUP($B293,'Tillförd energi'!$B$1:$AI$720,MATCH(P$2,'Tillförd energi'!$B$1:$AQ$1,0),FALSE)</f>
        <v>0</v>
      </c>
      <c r="Q293" s="63">
        <f>VLOOKUP($B293,'Tillförd energi'!$B$1:$AI$720,MATCH(Q$2,'Tillförd energi'!$B$1:$AQ$1,0),FALSE)</f>
        <v>0</v>
      </c>
      <c r="R293" s="63">
        <f>VLOOKUP($B293,'Tillförd energi'!$B$1:$AI$720,MATCH(R$2,'Tillförd energi'!$B$1:$AQ$1,0),FALSE)</f>
        <v>3.9380000000000002</v>
      </c>
      <c r="S293" s="63">
        <f>VLOOKUP($B293,'Tillförd energi'!$B$1:$AI$720,MATCH(S$2,'Tillförd energi'!$B$1:$AQ$1,0),FALSE)</f>
        <v>0</v>
      </c>
      <c r="T293" s="63">
        <f>VLOOKUP($B293,'Tillförd energi'!$B$1:$AI$720,MATCH(T$2,'Tillförd energi'!$B$1:$AQ$1,0),FALSE)</f>
        <v>0</v>
      </c>
      <c r="U293" s="63">
        <f>VLOOKUP($B293,'Tillförd energi'!$B$1:$AI$720,MATCH(U$2,'Tillförd energi'!$B$1:$AQ$1,0),FALSE)</f>
        <v>0</v>
      </c>
      <c r="V293" s="63">
        <f>VLOOKUP($B293,'Tillförd energi'!$B$1:$AI$720,MATCH(V$2,'Tillförd energi'!$B$1:$AQ$1,0),FALSE)</f>
        <v>0</v>
      </c>
      <c r="W293" s="63">
        <f>VLOOKUP($B293,'Tillförd energi'!$B$1:$AI$720,MATCH(W$2,'Tillförd energi'!$B$1:$AQ$1,0),FALSE)</f>
        <v>0</v>
      </c>
      <c r="X293" s="63">
        <f>VLOOKUP($B293,'Tillförd energi'!$B$1:$AI$720,MATCH(X$2,'Tillförd energi'!$B$1:$AQ$1,0),FALSE)</f>
        <v>0</v>
      </c>
      <c r="Y293" s="63">
        <f>VLOOKUP($B293,'Tillförd energi'!$B$1:$AI$720,MATCH(Y$2,'Tillförd energi'!$B$1:$AQ$1,0),FALSE)</f>
        <v>0</v>
      </c>
      <c r="Z293" s="63">
        <f>VLOOKUP($B293,'Tillförd energi'!$B$1:$AI$720,MATCH(Z$2,'Tillförd energi'!$B$1:$AQ$1,0),FALSE)</f>
        <v>0</v>
      </c>
      <c r="AA293" s="63">
        <f>VLOOKUP($B293,'Tillförd energi'!$B$1:$AI$720,MATCH(AA$2,'Tillförd energi'!$B$1:$AQ$1,0),FALSE)</f>
        <v>0</v>
      </c>
      <c r="AB293" s="63">
        <f>VLOOKUP($B293,'Tillförd energi'!$B$1:$AI$720,MATCH(AB$2,'Tillförd energi'!$B$1:$AQ$1,0),FALSE)</f>
        <v>0</v>
      </c>
      <c r="AC293" s="63">
        <f>VLOOKUP($B293,'Tillförd energi'!$B$1:$AI$720,MATCH(AC$2,'Tillförd energi'!$B$1:$AQ$1,0),FALSE)</f>
        <v>0</v>
      </c>
      <c r="AD293" s="63">
        <f>VLOOKUP($B293,'Tillförd energi'!$B$1:$AI$720,MATCH(AD$2,'Tillförd energi'!$B$1:$AQ$1,0),FALSE)</f>
        <v>0</v>
      </c>
      <c r="AE293" s="63">
        <f>VLOOKUP($B293,'Tillförd energi'!$B$1:$AI$720,MATCH(AE$2,'Tillförd energi'!$B$1:$AQ$1,0),FALSE)</f>
        <v>0</v>
      </c>
      <c r="AF293" s="63">
        <f>VLOOKUP($B293,'Tillförd energi'!$B$1:$AI$720,MATCH(AF$2,'Tillförd energi'!$B$1:$AQ$1,0),FALSE)</f>
        <v>5.7000000000000002E-2</v>
      </c>
      <c r="AG293" s="63">
        <f>IFERROR(VLOOKUP(B293,Miljö!$B$1:$AC$550,MATCH("Köpt mängd produktionsspecifik fjärrvärme:",Miljö!$B$1:$AC$1,0),FALSE)/1,0)</f>
        <v>0</v>
      </c>
      <c r="AI293" s="63">
        <f t="shared" si="24"/>
        <v>4.0500000000000007</v>
      </c>
      <c r="AJ293" s="63">
        <f>IF(ISERROR(1/VLOOKUP($B293,Leveranser!$B$1:$S$500,MATCH("såld värme (gwh)",Leveranser!$B$1:$S$1,0),FALSE)),"",VLOOKUP($B293,Leveranser!$B$1:$S$500,MATCH("såld värme (gwh)",Leveranser!$B$1:$S$1,0),FALSE))</f>
        <v>3.0680000000000001</v>
      </c>
      <c r="AM293" s="63" t="str">
        <f>IF(B293&lt;&gt;"",IF(VLOOKUP($B293,Totalt!$B$1:$AQ$554,MATCH("Kvalitetsgranskad:",Totalt!$B$1:$AQ$1,0),FALSE)="ja",VLOOKUP($B293,Miljö!$B$1:$AG$479,MATCH(AM$2,Miljö!$B$1:$AK$1,0),FALSE),""),"")</f>
        <v>Ja</v>
      </c>
      <c r="AN293" s="63" t="str">
        <f>IF(AM293="ja",VLOOKUP($B293,Miljö!$B$1:$J$479,MATCH("Typ av ursprungsspecificerad el   (Om inget värde anges används Nordisk residualmix, se inforuta) ()",Miljö!$B$1:$J$1,0),FALSE),IF(AM293="nej","Nordisk residualel",""))</f>
        <v>'Vind vatten bio'</v>
      </c>
      <c r="AO293" s="63">
        <f>IF(AM293="","",VLOOKUP($B293,Miljö!$B$1:$J$479,MATCH("Fossilandel för ursprungspecificerad el ()",Miljö!$B$1:$J$1,0),FALSE))</f>
        <v>0</v>
      </c>
      <c r="AQ293" s="63">
        <f t="shared" si="25"/>
        <v>1</v>
      </c>
      <c r="AS293" s="63" t="str">
        <f t="shared" si="26"/>
        <v>Nej</v>
      </c>
      <c r="AT293" s="63" t="str">
        <f>IF(AS293="ja",VLOOKUP($B293,Miljö!$B$1:$P$500,MATCH("Fossil andel i procent (%)",Miljö!$B$1:$P$1,0),FALSE)/100,"")</f>
        <v/>
      </c>
      <c r="AV293" s="63" t="str">
        <f t="shared" si="27"/>
        <v>Nej</v>
      </c>
      <c r="AW293" s="63" t="str">
        <f>IF(AV293="ja",VLOOKUP($B293,'Egen hetvattenprod'!$B$1:$AO$500,MATCH("Värmekälla till värmepumpar ()",'Egen hetvattenprod'!$B$1:$AO$1,0),FALSE),"")</f>
        <v/>
      </c>
      <c r="AY293" s="63" t="str">
        <f t="shared" si="28"/>
        <v>Nej</v>
      </c>
      <c r="AZ293" s="77" t="str">
        <f>IF($AY293="ja",(VLOOKUP($B293,'Egen hetvattenprod'!$B$1:$BX$550,MATCH(AZ$2,'Egen hetvattenprod'!$B$1:$BX$1,0),FALSE)+VLOOKUP($B293,Kraftvärmeprod!$B$1:$BX$550,MATCH(AZ$2,Kraftvärmeprod!$B$1:$BX$1,0),FALSE))/$AC293,"")</f>
        <v/>
      </c>
      <c r="BA293" s="77" t="str">
        <f>IF($AY293="ja",(VLOOKUP($B293,'Egen hetvattenprod'!$B$1:$BX$550,MATCH(BA$2,'Egen hetvattenprod'!$B$1:$BX$1,0),FALSE)+VLOOKUP($B293,Kraftvärmeprod!$B$1:$BX$550,MATCH(BA$2,Kraftvärmeprod!$B$1:$BX$1,0),FALSE))/$AC293,"")</f>
        <v/>
      </c>
      <c r="BB293" s="77" t="str">
        <f>IF($AY293="ja",(VLOOKUP($B293,'Egen hetvattenprod'!$B$1:$BX$550,MATCH(BB$2,'Egen hetvattenprod'!$B$1:$BX$1,0),FALSE)+VLOOKUP($B293,Kraftvärmeprod!$B$1:$BX$550,MATCH(BB$2,Kraftvärmeprod!$B$1:$BX$1,0),FALSE))/$AC293,"")</f>
        <v/>
      </c>
      <c r="BC293" s="77" t="str">
        <f>IF($AY293="ja",(VLOOKUP($B293,'Egen hetvattenprod'!$B$1:$BX$550,MATCH(BC$2,'Egen hetvattenprod'!$B$1:$BX$1,0),FALSE)+VLOOKUP($B293,Kraftvärmeprod!$B$1:$BX$550,MATCH(BC$2,Kraftvärmeprod!$B$1:$BX$1,0),FALSE))/$AC293,"")</f>
        <v/>
      </c>
      <c r="BD293" s="77" t="str">
        <f>IF($AY293="ja",(VLOOKUP($B293,'Egen hetvattenprod'!$B$1:$BX$550,MATCH(BD$2,'Egen hetvattenprod'!$B$1:$BX$1,0),FALSE)+VLOOKUP($B293,Kraftvärmeprod!$B$1:$BX$550,MATCH(BD$2,Kraftvärmeprod!$B$1:$BX$1,0),FALSE))/$AC293,"")</f>
        <v/>
      </c>
      <c r="BF293" s="63" t="str">
        <f t="shared" si="29"/>
        <v>Nej</v>
      </c>
      <c r="BG293" s="63" t="str">
        <f>IF($BF293="ja",VLOOKUP($B293,'Egen hetvattenprod'!$B$1:$BX$550,MATCH("Andelen klimatgaser med fossilt ursprung för avfall ()",'Egen hetvattenprod'!$B$1:$BX$1,0),FALSE),"")</f>
        <v/>
      </c>
      <c r="BH293" s="63" t="str">
        <f>IF($BF293="ja",VLOOKUP($B293,Kraftvärmeprod!$B$1:$BX$550,MATCH("Andelen klimatgaser med fossilt ursprung för avfall ()",Kraftvärmeprod!$B$1:$BX$1,0),FALSE),"")</f>
        <v/>
      </c>
      <c r="BI293" s="63" t="str">
        <f>IF($BF293="ja",VLOOKUP($B293,'Egen hetvattenprod'!$B$1:$BX$550,MATCH("Avfall (GWh)",'Egen hetvattenprod'!$B$1:$BX$1,0),FALSE),"")</f>
        <v/>
      </c>
      <c r="BJ293" s="63" t="str">
        <f>IF($BF293="ja",VLOOKUP($B293,'Slutlig allokering kvv'!$B$1:$BX$550,MATCH("Avfall (GWh)",'Slutlig allokering kvv'!$B$1:$BX$1,0),FALSE),"")</f>
        <v/>
      </c>
      <c r="BK293" s="63" t="str">
        <f>IF($BF293="ja",VLOOKUP($B293,'Köpt hetvatten'!$B$1:$BX$550,MATCH("Avfall i köpt hetvatten",'Köpt hetvatten'!$B$1:$BX$1,0),FALSE),"")</f>
        <v/>
      </c>
      <c r="BL293" s="63" t="str">
        <f>IF($BF293="ja",VLOOKUP($B293,'Egen hetvattenprod'!$B$1:$BX$550,MATCH("Värde enligt ovan. (%)",'Egen hetvattenprod'!$B$1:$BX$1,0),FALSE),"")</f>
        <v/>
      </c>
      <c r="BM293" s="63" t="str">
        <f>IF($BF293="ja",VLOOKUP($B293,Kraftvärmeprod!$B$1:$BX$550,MATCH("Värde enligt ovan. (%)",Kraftvärmeprod!$B$1:$BX$1,0),FALSE),"")</f>
        <v/>
      </c>
    </row>
    <row r="294" spans="1:65" x14ac:dyDescent="0.45">
      <c r="A294" s="63" t="s">
        <v>299</v>
      </c>
      <c r="B294" s="63" t="s">
        <v>301</v>
      </c>
      <c r="C294" s="63">
        <f>VLOOKUP($B294,'Tillförd energi'!$B$1:$AI$720,MATCH(C$2,'Tillförd energi'!$B$1:$AQ$1,0),FALSE)</f>
        <v>0</v>
      </c>
      <c r="D294" s="63">
        <f>VLOOKUP($B294,'Tillförd energi'!$B$1:$AI$720,MATCH(D$2,'Tillförd energi'!$B$1:$AQ$1,0),FALSE)</f>
        <v>0</v>
      </c>
      <c r="E294" s="63">
        <f>VLOOKUP($B294,'Tillförd energi'!$B$1:$AI$720,MATCH(E$2,'Tillförd energi'!$B$1:$AQ$1,0),FALSE)</f>
        <v>0</v>
      </c>
      <c r="F294" s="63">
        <f>VLOOKUP($B294,'Tillförd energi'!$B$1:$AI$720,MATCH(F$2,'Tillförd energi'!$B$1:$AQ$1,0),FALSE)</f>
        <v>0</v>
      </c>
      <c r="G294" s="63">
        <f>VLOOKUP($B294,'Tillförd energi'!$B$1:$AI$720,MATCH(G$2,'Tillförd energi'!$B$1:$AQ$1,0),FALSE)</f>
        <v>0</v>
      </c>
      <c r="H294" s="63">
        <f>VLOOKUP($B294,'Tillförd energi'!$B$1:$AI$720,MATCH(H$2,'Tillförd energi'!$B$1:$AQ$1,0),FALSE)</f>
        <v>0</v>
      </c>
      <c r="I294" s="63">
        <f>VLOOKUP($B294,'Tillförd energi'!$B$1:$AI$720,MATCH(I$2,'Tillförd energi'!$B$1:$AQ$1,0),FALSE)</f>
        <v>0</v>
      </c>
      <c r="J294" s="63">
        <f>VLOOKUP($B294,'Tillförd energi'!$B$1:$AI$720,MATCH(J$2,'Tillförd energi'!$B$1:$AQ$1,0),FALSE)</f>
        <v>0</v>
      </c>
      <c r="K294" s="63">
        <f>VLOOKUP($B294,'Tillförd energi'!$B$1:$AI$720,MATCH(K$2,'Tillförd energi'!$B$1:$AQ$1,0),FALSE)</f>
        <v>0</v>
      </c>
      <c r="L294" s="63">
        <f>VLOOKUP($B294,'Tillförd energi'!$B$1:$AI$720,MATCH(L$2,'Tillförd energi'!$B$1:$AQ$1,0),FALSE)</f>
        <v>0</v>
      </c>
      <c r="M294" s="63">
        <f>VLOOKUP($B294,'Tillförd energi'!$B$1:$AI$720,MATCH(M$2,'Tillförd energi'!$B$1:$AQ$1,0),FALSE)</f>
        <v>0</v>
      </c>
      <c r="N294" s="63">
        <f>VLOOKUP($B294,'Tillförd energi'!$B$1:$AI$720,MATCH(N$2,'Tillförd energi'!$B$1:$AQ$1,0),FALSE)</f>
        <v>0</v>
      </c>
      <c r="O294" s="63">
        <f>VLOOKUP($B294,'Tillförd energi'!$B$1:$AI$720,MATCH(O$2,'Tillförd energi'!$B$1:$AQ$1,0),FALSE)</f>
        <v>0</v>
      </c>
      <c r="P294" s="63">
        <f>VLOOKUP($B294,'Tillförd energi'!$B$1:$AI$720,MATCH(P$2,'Tillförd energi'!$B$1:$AQ$1,0),FALSE)</f>
        <v>0</v>
      </c>
      <c r="Q294" s="63">
        <f>VLOOKUP($B294,'Tillförd energi'!$B$1:$AI$720,MATCH(Q$2,'Tillförd energi'!$B$1:$AQ$1,0),FALSE)</f>
        <v>0</v>
      </c>
      <c r="R294" s="63">
        <f>VLOOKUP($B294,'Tillförd energi'!$B$1:$AI$720,MATCH(R$2,'Tillförd energi'!$B$1:$AQ$1,0),FALSE)</f>
        <v>0</v>
      </c>
      <c r="S294" s="63">
        <f>VLOOKUP($B294,'Tillförd energi'!$B$1:$AI$720,MATCH(S$2,'Tillförd energi'!$B$1:$AQ$1,0),FALSE)</f>
        <v>0</v>
      </c>
      <c r="T294" s="63">
        <f>VLOOKUP($B294,'Tillförd energi'!$B$1:$AI$720,MATCH(T$2,'Tillförd energi'!$B$1:$AQ$1,0),FALSE)</f>
        <v>0</v>
      </c>
      <c r="U294" s="63">
        <f>VLOOKUP($B294,'Tillförd energi'!$B$1:$AI$720,MATCH(U$2,'Tillförd energi'!$B$1:$AQ$1,0),FALSE)</f>
        <v>0</v>
      </c>
      <c r="V294" s="63">
        <f>VLOOKUP($B294,'Tillförd energi'!$B$1:$AI$720,MATCH(V$2,'Tillförd energi'!$B$1:$AQ$1,0),FALSE)</f>
        <v>0</v>
      </c>
      <c r="W294" s="63">
        <f>VLOOKUP($B294,'Tillförd energi'!$B$1:$AI$720,MATCH(W$2,'Tillförd energi'!$B$1:$AQ$1,0),FALSE)</f>
        <v>0</v>
      </c>
      <c r="X294" s="63">
        <f>VLOOKUP($B294,'Tillförd energi'!$B$1:$AI$720,MATCH(X$2,'Tillförd energi'!$B$1:$AQ$1,0),FALSE)</f>
        <v>0</v>
      </c>
      <c r="Y294" s="63">
        <f>VLOOKUP($B294,'Tillförd energi'!$B$1:$AI$720,MATCH(Y$2,'Tillförd energi'!$B$1:$AQ$1,0),FALSE)</f>
        <v>0</v>
      </c>
      <c r="Z294" s="63">
        <f>VLOOKUP($B294,'Tillförd energi'!$B$1:$AI$720,MATCH(Z$2,'Tillförd energi'!$B$1:$AQ$1,0),FALSE)</f>
        <v>0</v>
      </c>
      <c r="AA294" s="63">
        <f>VLOOKUP($B294,'Tillförd energi'!$B$1:$AI$720,MATCH(AA$2,'Tillförd energi'!$B$1:$AQ$1,0),FALSE)</f>
        <v>0</v>
      </c>
      <c r="AB294" s="63">
        <f>VLOOKUP($B294,'Tillförd energi'!$B$1:$AI$720,MATCH(AB$2,'Tillförd energi'!$B$1:$AQ$1,0),FALSE)</f>
        <v>0</v>
      </c>
      <c r="AC294" s="63">
        <f>VLOOKUP($B294,'Tillförd energi'!$B$1:$AI$720,MATCH(AC$2,'Tillförd energi'!$B$1:$AQ$1,0),FALSE)</f>
        <v>0</v>
      </c>
      <c r="AD294" s="63">
        <f>VLOOKUP($B294,'Tillförd energi'!$B$1:$AI$720,MATCH(AD$2,'Tillförd energi'!$B$1:$AQ$1,0),FALSE)</f>
        <v>0</v>
      </c>
      <c r="AE294" s="63">
        <f>VLOOKUP($B294,'Tillförd energi'!$B$1:$AI$720,MATCH(AE$2,'Tillförd energi'!$B$1:$AQ$1,0),FALSE)</f>
        <v>0</v>
      </c>
      <c r="AF294" s="63">
        <f>VLOOKUP($B294,'Tillförd energi'!$B$1:$AI$720,MATCH(AF$2,'Tillförd energi'!$B$1:$AQ$1,0),FALSE)</f>
        <v>0</v>
      </c>
      <c r="AG294" s="63">
        <f>IFERROR(VLOOKUP(B294,Miljö!$B$1:$AC$550,MATCH("Köpt mängd produktionsspecifik fjärrvärme:",Miljö!$B$1:$AC$1,0),FALSE)/1,0)</f>
        <v>0</v>
      </c>
      <c r="AI294" s="63">
        <f t="shared" si="24"/>
        <v>0</v>
      </c>
      <c r="AJ294" s="63" t="str">
        <f>IF(ISERROR(1/VLOOKUP($B294,Leveranser!$B$1:$S$500,MATCH("såld värme (gwh)",Leveranser!$B$1:$S$1,0),FALSE)),"",VLOOKUP($B294,Leveranser!$B$1:$S$500,MATCH("såld värme (gwh)",Leveranser!$B$1:$S$1,0),FALSE))</f>
        <v/>
      </c>
      <c r="AM294" s="63" t="str">
        <f>IF(B294&lt;&gt;"",IF(VLOOKUP($B294,Totalt!$B$1:$AQ$554,MATCH("Kvalitetsgranskad:",Totalt!$B$1:$AQ$1,0),FALSE)="ja",VLOOKUP($B294,Miljö!$B$1:$AG$479,MATCH(AM$2,Miljö!$B$1:$AK$1,0),FALSE),""),"")</f>
        <v/>
      </c>
      <c r="AN294" s="63" t="str">
        <f>IF(AM294="ja",VLOOKUP($B294,Miljö!$B$1:$J$479,MATCH("Typ av ursprungsspecificerad el   (Om inget värde anges används Nordisk residualmix, se inforuta) ()",Miljö!$B$1:$J$1,0),FALSE),IF(AM294="nej","Nordisk residualel",""))</f>
        <v/>
      </c>
      <c r="AO294" s="63" t="str">
        <f>IF(AM294="","",VLOOKUP($B294,Miljö!$B$1:$J$479,MATCH("Fossilandel för ursprungspecificerad el ()",Miljö!$B$1:$J$1,0),FALSE))</f>
        <v/>
      </c>
      <c r="AQ294" s="63" t="str">
        <f t="shared" si="25"/>
        <v/>
      </c>
      <c r="AS294" s="63" t="str">
        <f t="shared" si="26"/>
        <v>Nej</v>
      </c>
      <c r="AT294" s="63" t="str">
        <f>IF(AS294="ja",VLOOKUP($B294,Miljö!$B$1:$P$500,MATCH("Fossil andel i procent (%)",Miljö!$B$1:$P$1,0),FALSE)/100,"")</f>
        <v/>
      </c>
      <c r="AV294" s="63" t="str">
        <f t="shared" si="27"/>
        <v>Nej</v>
      </c>
      <c r="AW294" s="63" t="str">
        <f>IF(AV294="ja",VLOOKUP($B294,'Egen hetvattenprod'!$B$1:$AO$500,MATCH("Värmekälla till värmepumpar ()",'Egen hetvattenprod'!$B$1:$AO$1,0),FALSE),"")</f>
        <v/>
      </c>
      <c r="AY294" s="63" t="str">
        <f t="shared" si="28"/>
        <v>Nej</v>
      </c>
      <c r="AZ294" s="77" t="str">
        <f>IF($AY294="ja",(VLOOKUP($B294,'Egen hetvattenprod'!$B$1:$BX$550,MATCH(AZ$2,'Egen hetvattenprod'!$B$1:$BX$1,0),FALSE)+VLOOKUP($B294,Kraftvärmeprod!$B$1:$BX$550,MATCH(AZ$2,Kraftvärmeprod!$B$1:$BX$1,0),FALSE))/$AC294,"")</f>
        <v/>
      </c>
      <c r="BA294" s="77" t="str">
        <f>IF($AY294="ja",(VLOOKUP($B294,'Egen hetvattenprod'!$B$1:$BX$550,MATCH(BA$2,'Egen hetvattenprod'!$B$1:$BX$1,0),FALSE)+VLOOKUP($B294,Kraftvärmeprod!$B$1:$BX$550,MATCH(BA$2,Kraftvärmeprod!$B$1:$BX$1,0),FALSE))/$AC294,"")</f>
        <v/>
      </c>
      <c r="BB294" s="77" t="str">
        <f>IF($AY294="ja",(VLOOKUP($B294,'Egen hetvattenprod'!$B$1:$BX$550,MATCH(BB$2,'Egen hetvattenprod'!$B$1:$BX$1,0),FALSE)+VLOOKUP($B294,Kraftvärmeprod!$B$1:$BX$550,MATCH(BB$2,Kraftvärmeprod!$B$1:$BX$1,0),FALSE))/$AC294,"")</f>
        <v/>
      </c>
      <c r="BC294" s="77" t="str">
        <f>IF($AY294="ja",(VLOOKUP($B294,'Egen hetvattenprod'!$B$1:$BX$550,MATCH(BC$2,'Egen hetvattenprod'!$B$1:$BX$1,0),FALSE)+VLOOKUP($B294,Kraftvärmeprod!$B$1:$BX$550,MATCH(BC$2,Kraftvärmeprod!$B$1:$BX$1,0),FALSE))/$AC294,"")</f>
        <v/>
      </c>
      <c r="BD294" s="77" t="str">
        <f>IF($AY294="ja",(VLOOKUP($B294,'Egen hetvattenprod'!$B$1:$BX$550,MATCH(BD$2,'Egen hetvattenprod'!$B$1:$BX$1,0),FALSE)+VLOOKUP($B294,Kraftvärmeprod!$B$1:$BX$550,MATCH(BD$2,Kraftvärmeprod!$B$1:$BX$1,0),FALSE))/$AC294,"")</f>
        <v/>
      </c>
      <c r="BF294" s="63" t="str">
        <f t="shared" si="29"/>
        <v>Nej</v>
      </c>
      <c r="BG294" s="63" t="str">
        <f>IF($BF294="ja",VLOOKUP($B294,'Egen hetvattenprod'!$B$1:$BX$550,MATCH("Andelen klimatgaser med fossilt ursprung för avfall ()",'Egen hetvattenprod'!$B$1:$BX$1,0),FALSE),"")</f>
        <v/>
      </c>
      <c r="BH294" s="63" t="str">
        <f>IF($BF294="ja",VLOOKUP($B294,Kraftvärmeprod!$B$1:$BX$550,MATCH("Andelen klimatgaser med fossilt ursprung för avfall ()",Kraftvärmeprod!$B$1:$BX$1,0),FALSE),"")</f>
        <v/>
      </c>
      <c r="BI294" s="63" t="str">
        <f>IF($BF294="ja",VLOOKUP($B294,'Egen hetvattenprod'!$B$1:$BX$550,MATCH("Avfall (GWh)",'Egen hetvattenprod'!$B$1:$BX$1,0),FALSE),"")</f>
        <v/>
      </c>
      <c r="BJ294" s="63" t="str">
        <f>IF($BF294="ja",VLOOKUP($B294,'Slutlig allokering kvv'!$B$1:$BX$550,MATCH("Avfall (GWh)",'Slutlig allokering kvv'!$B$1:$BX$1,0),FALSE),"")</f>
        <v/>
      </c>
      <c r="BK294" s="63" t="str">
        <f>IF($BF294="ja",VLOOKUP($B294,'Köpt hetvatten'!$B$1:$BX$550,MATCH("Avfall i köpt hetvatten",'Köpt hetvatten'!$B$1:$BX$1,0),FALSE),"")</f>
        <v/>
      </c>
      <c r="BL294" s="63" t="str">
        <f>IF($BF294="ja",VLOOKUP($B294,'Egen hetvattenprod'!$B$1:$BX$550,MATCH("Värde enligt ovan. (%)",'Egen hetvattenprod'!$B$1:$BX$1,0),FALSE),"")</f>
        <v/>
      </c>
      <c r="BM294" s="63" t="str">
        <f>IF($BF294="ja",VLOOKUP($B294,Kraftvärmeprod!$B$1:$BX$550,MATCH("Värde enligt ovan. (%)",Kraftvärmeprod!$B$1:$BX$1,0),FALSE),"")</f>
        <v/>
      </c>
    </row>
    <row r="295" spans="1:65" x14ac:dyDescent="0.45">
      <c r="A295" s="63" t="s">
        <v>297</v>
      </c>
      <c r="B295" s="63" t="s">
        <v>296</v>
      </c>
      <c r="C295" s="63">
        <f>VLOOKUP($B295,'Tillförd energi'!$B$1:$AI$720,MATCH(C$2,'Tillförd energi'!$B$1:$AQ$1,0),FALSE)</f>
        <v>0</v>
      </c>
      <c r="D295" s="63">
        <f>VLOOKUP($B295,'Tillförd energi'!$B$1:$AI$720,MATCH(D$2,'Tillförd energi'!$B$1:$AQ$1,0),FALSE)</f>
        <v>3.0971899999999999</v>
      </c>
      <c r="E295" s="63">
        <f>VLOOKUP($B295,'Tillförd energi'!$B$1:$AI$720,MATCH(E$2,'Tillförd energi'!$B$1:$AQ$1,0),FALSE)</f>
        <v>0</v>
      </c>
      <c r="F295" s="63">
        <f>VLOOKUP($B295,'Tillförd energi'!$B$1:$AI$720,MATCH(F$2,'Tillförd energi'!$B$1:$AQ$1,0),FALSE)</f>
        <v>1.5529999999999999</v>
      </c>
      <c r="G295" s="63">
        <f>VLOOKUP($B295,'Tillförd energi'!$B$1:$AI$720,MATCH(G$2,'Tillförd energi'!$B$1:$AQ$1,0),FALSE)</f>
        <v>0</v>
      </c>
      <c r="H295" s="63">
        <f>VLOOKUP($B295,'Tillförd energi'!$B$1:$AI$720,MATCH(H$2,'Tillförd energi'!$B$1:$AQ$1,0),FALSE)</f>
        <v>0</v>
      </c>
      <c r="I295" s="63">
        <f>VLOOKUP($B295,'Tillförd energi'!$B$1:$AI$720,MATCH(I$2,'Tillförd energi'!$B$1:$AQ$1,0),FALSE)</f>
        <v>137.31100000000001</v>
      </c>
      <c r="J295" s="63">
        <f>VLOOKUP($B295,'Tillförd energi'!$B$1:$AI$720,MATCH(J$2,'Tillförd energi'!$B$1:$AQ$1,0),FALSE)</f>
        <v>3.347</v>
      </c>
      <c r="K295" s="63">
        <f>VLOOKUP($B295,'Tillförd energi'!$B$1:$AI$720,MATCH(K$2,'Tillförd energi'!$B$1:$AQ$1,0),FALSE)</f>
        <v>0</v>
      </c>
      <c r="L295" s="63">
        <f>VLOOKUP($B295,'Tillförd energi'!$B$1:$AI$720,MATCH(L$2,'Tillförd energi'!$B$1:$AQ$1,0),FALSE)</f>
        <v>367.392</v>
      </c>
      <c r="M295" s="63">
        <f>VLOOKUP($B295,'Tillförd energi'!$B$1:$AI$720,MATCH(M$2,'Tillförd energi'!$B$1:$AQ$1,0),FALSE)</f>
        <v>2.44809E-2</v>
      </c>
      <c r="N295" s="63">
        <f>VLOOKUP($B295,'Tillförd energi'!$B$1:$AI$720,MATCH(N$2,'Tillförd energi'!$B$1:$AQ$1,0),FALSE)</f>
        <v>8.7888999999999999</v>
      </c>
      <c r="O295" s="63">
        <f>VLOOKUP($B295,'Tillförd energi'!$B$1:$AI$720,MATCH(O$2,'Tillförd energi'!$B$1:$AQ$1,0),FALSE)</f>
        <v>70.4255</v>
      </c>
      <c r="P295" s="63">
        <f>VLOOKUP($B295,'Tillförd energi'!$B$1:$AI$720,MATCH(P$2,'Tillförd energi'!$B$1:$AQ$1,0),FALSE)</f>
        <v>37.186500000000002</v>
      </c>
      <c r="Q295" s="63">
        <f>VLOOKUP($B295,'Tillförd energi'!$B$1:$AI$720,MATCH(Q$2,'Tillförd energi'!$B$1:$AQ$1,0),FALSE)</f>
        <v>0.86062399999999994</v>
      </c>
      <c r="R295" s="63">
        <f>VLOOKUP($B295,'Tillförd energi'!$B$1:$AI$720,MATCH(R$2,'Tillförd energi'!$B$1:$AQ$1,0),FALSE)</f>
        <v>16.081</v>
      </c>
      <c r="S295" s="63">
        <f>VLOOKUP($B295,'Tillförd energi'!$B$1:$AI$720,MATCH(S$2,'Tillförd energi'!$B$1:$AQ$1,0),FALSE)</f>
        <v>0</v>
      </c>
      <c r="T295" s="63">
        <f>VLOOKUP($B295,'Tillförd energi'!$B$1:$AI$720,MATCH(T$2,'Tillförd energi'!$B$1:$AQ$1,0),FALSE)</f>
        <v>0</v>
      </c>
      <c r="U295" s="63">
        <f>VLOOKUP($B295,'Tillförd energi'!$B$1:$AI$720,MATCH(U$2,'Tillförd energi'!$B$1:$AQ$1,0),FALSE)</f>
        <v>0</v>
      </c>
      <c r="V295" s="63">
        <f>VLOOKUP($B295,'Tillförd energi'!$B$1:$AI$720,MATCH(V$2,'Tillförd energi'!$B$1:$AQ$1,0),FALSE)</f>
        <v>30.718</v>
      </c>
      <c r="W295" s="63">
        <f>VLOOKUP($B295,'Tillförd energi'!$B$1:$AI$720,MATCH(W$2,'Tillförd energi'!$B$1:$AQ$1,0),FALSE)</f>
        <v>1.3979999999999999</v>
      </c>
      <c r="X295" s="63">
        <f>VLOOKUP($B295,'Tillförd energi'!$B$1:$AI$720,MATCH(X$2,'Tillförd energi'!$B$1:$AQ$1,0),FALSE)</f>
        <v>0</v>
      </c>
      <c r="Y295" s="63">
        <f>VLOOKUP($B295,'Tillförd energi'!$B$1:$AI$720,MATCH(Y$2,'Tillförd energi'!$B$1:$AQ$1,0),FALSE)</f>
        <v>0</v>
      </c>
      <c r="Z295" s="63">
        <f>VLOOKUP($B295,'Tillförd energi'!$B$1:$AI$720,MATCH(Z$2,'Tillförd energi'!$B$1:$AQ$1,0),FALSE)</f>
        <v>0</v>
      </c>
      <c r="AA295" s="63">
        <f>VLOOKUP($B295,'Tillförd energi'!$B$1:$AI$720,MATCH(AA$2,'Tillförd energi'!$B$1:$AQ$1,0),FALSE)</f>
        <v>3.33</v>
      </c>
      <c r="AB295" s="63">
        <f>VLOOKUP($B295,'Tillförd energi'!$B$1:$AI$720,MATCH(AB$2,'Tillförd energi'!$B$1:$AQ$1,0),FALSE)</f>
        <v>4.1150000000000002</v>
      </c>
      <c r="AC295" s="63">
        <f>VLOOKUP($B295,'Tillförd energi'!$B$1:$AI$720,MATCH(AC$2,'Tillförd energi'!$B$1:$AQ$1,0),FALSE)</f>
        <v>181.30799999999999</v>
      </c>
      <c r="AD295" s="63">
        <f>VLOOKUP($B295,'Tillförd energi'!$B$1:$AI$720,MATCH(AD$2,'Tillförd energi'!$B$1:$AQ$1,0),FALSE)</f>
        <v>0</v>
      </c>
      <c r="AE295" s="63">
        <f>VLOOKUP($B295,'Tillförd energi'!$B$1:$AI$720,MATCH(AE$2,'Tillförd energi'!$B$1:$AQ$1,0),FALSE)</f>
        <v>0</v>
      </c>
      <c r="AF295" s="63">
        <f>VLOOKUP($B295,'Tillförd energi'!$B$1:$AI$720,MATCH(AF$2,'Tillförd energi'!$B$1:$AQ$1,0),FALSE)</f>
        <v>35.059899999999999</v>
      </c>
      <c r="AG295" s="63">
        <f>IFERROR(VLOOKUP(B295,Miljö!$B$1:$AC$550,MATCH("Köpt mängd produktionsspecifik fjärrvärme:",Miljö!$B$1:$AC$1,0),FALSE)/1,0)</f>
        <v>102.14100000000001</v>
      </c>
      <c r="AI295" s="63">
        <f t="shared" si="24"/>
        <v>1004.1370949</v>
      </c>
      <c r="AJ295" s="63">
        <f>IF(ISERROR(1/VLOOKUP($B295,Leveranser!$B$1:$S$500,MATCH("såld värme (gwh)",Leveranser!$B$1:$S$1,0),FALSE)),"",VLOOKUP($B295,Leveranser!$B$1:$S$500,MATCH("såld värme (gwh)",Leveranser!$B$1:$S$1,0),FALSE))</f>
        <v>958.56399999999996</v>
      </c>
      <c r="AM295" s="63" t="str">
        <f>IF(B295&lt;&gt;"",IF(VLOOKUP($B295,Totalt!$B$1:$AQ$554,MATCH("Kvalitetsgranskad:",Totalt!$B$1:$AQ$1,0),FALSE)="ja",VLOOKUP($B295,Miljö!$B$1:$AG$479,MATCH(AM$2,Miljö!$B$1:$AK$1,0),FALSE),""),"")</f>
        <v>Ja</v>
      </c>
      <c r="AN295" s="63" t="str">
        <f>IF(AM295="ja",VLOOKUP($B295,Miljö!$B$1:$J$479,MATCH("Typ av ursprungsspecificerad el   (Om inget värde anges används Nordisk residualmix, se inforuta) ()",Miljö!$B$1:$J$1,0),FALSE),IF(AM295="nej","Nordisk residualel",""))</f>
        <v>'Biokraft'</v>
      </c>
      <c r="AO295" s="63">
        <f>IF(AM295="","",VLOOKUP($B295,Miljö!$B$1:$J$479,MATCH("Fossilandel för ursprungspecificerad el ()",Miljö!$B$1:$J$1,0),FALSE))</f>
        <v>0</v>
      </c>
      <c r="AQ295" s="63">
        <f t="shared" si="25"/>
        <v>1</v>
      </c>
      <c r="AS295" s="63" t="str">
        <f t="shared" si="26"/>
        <v>Ja</v>
      </c>
      <c r="AT295" s="63">
        <f>IF(AS295="ja",VLOOKUP($B295,Miljö!$B$1:$P$500,MATCH("Fossil andel i procent (%)",Miljö!$B$1:$P$1,0),FALSE)/100,"")</f>
        <v>5.5300000000000002E-2</v>
      </c>
      <c r="AV295" s="63" t="str">
        <f t="shared" si="27"/>
        <v>Ja</v>
      </c>
      <c r="AW295" s="63" t="str">
        <f>IF(AV295="ja",VLOOKUP($B295,'Egen hetvattenprod'!$B$1:$AO$500,MATCH("Värmekälla till värmepumpar ()",'Egen hetvattenprod'!$B$1:$AO$1,0),FALSE),"")</f>
        <v>Renat avloppsvatten</v>
      </c>
      <c r="AY295" s="63" t="str">
        <f t="shared" si="28"/>
        <v>Ja</v>
      </c>
      <c r="AZ295" s="77">
        <f>IF($AY295="ja",(VLOOKUP($B295,'Egen hetvattenprod'!$B$1:$BX$550,MATCH(AZ$2,'Egen hetvattenprod'!$B$1:$BX$1,0),FALSE)+VLOOKUP($B295,Kraftvärmeprod!$B$1:$BX$550,MATCH(AZ$2,Kraftvärmeprod!$B$1:$BX$1,0),FALSE))/$AC295,"")</f>
        <v>0.93479133628962874</v>
      </c>
      <c r="BA295" s="77">
        <f>IF($AY295="ja",(VLOOKUP($B295,'Egen hetvattenprod'!$B$1:$BX$550,MATCH(BA$2,'Egen hetvattenprod'!$B$1:$BX$1,0),FALSE)+VLOOKUP($B295,Kraftvärmeprod!$B$1:$BX$550,MATCH(BA$2,Kraftvärmeprod!$B$1:$BX$1,0),FALSE))/$AC295,"")</f>
        <v>6.276245284267655E-2</v>
      </c>
      <c r="BB295" s="77">
        <f>IF($AY295="ja",(VLOOKUP($B295,'Egen hetvattenprod'!$B$1:$BX$550,MATCH(BB$2,'Egen hetvattenprod'!$B$1:$BX$1,0),FALSE)+VLOOKUP($B295,Kraftvärmeprod!$B$1:$BX$550,MATCH(BB$2,Kraftvärmeprod!$B$1:$BX$1,0),FALSE))/$AC295,"")</f>
        <v>2.4462108676947514E-3</v>
      </c>
      <c r="BC295" s="77">
        <f>IF($AY295="ja",(VLOOKUP($B295,'Egen hetvattenprod'!$B$1:$BX$550,MATCH(BC$2,'Egen hetvattenprod'!$B$1:$BX$1,0),FALSE)+VLOOKUP($B295,Kraftvärmeprod!$B$1:$BX$550,MATCH(BC$2,Kraftvärmeprod!$B$1:$BX$1,0),FALSE))/$AC295,"")</f>
        <v>0</v>
      </c>
      <c r="BD295" s="77">
        <f>IF($AY295="ja",(VLOOKUP($B295,'Egen hetvattenprod'!$B$1:$BX$550,MATCH(BD$2,'Egen hetvattenprod'!$B$1:$BX$1,0),FALSE)+VLOOKUP($B295,Kraftvärmeprod!$B$1:$BX$550,MATCH(BD$2,Kraftvärmeprod!$B$1:$BX$1,0),FALSE))/$AC295,"")</f>
        <v>0</v>
      </c>
      <c r="BF295" s="63" t="str">
        <f t="shared" si="29"/>
        <v>Ja</v>
      </c>
      <c r="BG295" s="63" t="str">
        <f>IF($BF295="ja",VLOOKUP($B295,'Egen hetvattenprod'!$B$1:$BX$550,MATCH("Andelen klimatgaser med fossilt ursprung för avfall ()",'Egen hetvattenprod'!$B$1:$BX$1,0),FALSE),"")</f>
        <v>Mätvärde</v>
      </c>
      <c r="BH295" s="63" t="str">
        <f>IF($BF295="ja",VLOOKUP($B295,Kraftvärmeprod!$B$1:$BX$550,MATCH("Andelen klimatgaser med fossilt ursprung för avfall ()",Kraftvärmeprod!$B$1:$BX$1,0),FALSE),"")</f>
        <v>Mätvärde</v>
      </c>
      <c r="BI295" s="63">
        <f>IF($BF295="ja",VLOOKUP($B295,'Egen hetvattenprod'!$B$1:$BX$550,MATCH("Avfall (GWh)",'Egen hetvattenprod'!$B$1:$BX$1,0),FALSE),"")</f>
        <v>118.52</v>
      </c>
      <c r="BJ295" s="63">
        <f>IF($BF295="ja",VLOOKUP($B295,'Slutlig allokering kvv'!$B$1:$BX$550,MATCH("Avfall (GWh)",'Slutlig allokering kvv'!$B$1:$BX$1,0),FALSE),"")</f>
        <v>18.791399999999999</v>
      </c>
      <c r="BK295" s="63">
        <f>IF($BF295="ja",VLOOKUP($B295,'Köpt hetvatten'!$B$1:$BX$550,MATCH("Avfall i köpt hetvatten",'Köpt hetvatten'!$B$1:$BX$1,0),FALSE),"")</f>
        <v>0</v>
      </c>
      <c r="BL295" s="63">
        <f>IF($BF295="ja",VLOOKUP($B295,'Egen hetvattenprod'!$B$1:$BX$550,MATCH("Värde enligt ovan. (%)",'Egen hetvattenprod'!$B$1:$BX$1,0),FALSE),"")</f>
        <v>47.816000000000003</v>
      </c>
      <c r="BM295" s="63">
        <f>IF($BF295="ja",VLOOKUP($B295,Kraftvärmeprod!$B$1:$BX$550,MATCH("Värde enligt ovan. (%)",Kraftvärmeprod!$B$1:$BX$1,0),FALSE),"")</f>
        <v>47.816000000000003</v>
      </c>
    </row>
    <row r="296" spans="1:65" x14ac:dyDescent="0.45">
      <c r="A296" s="63" t="s">
        <v>295</v>
      </c>
      <c r="B296" s="63" t="s">
        <v>127</v>
      </c>
      <c r="C296" s="63">
        <f>VLOOKUP($B296,'Tillförd energi'!$B$1:$AI$720,MATCH(C$2,'Tillförd energi'!$B$1:$AQ$1,0),FALSE)</f>
        <v>0</v>
      </c>
      <c r="D296" s="63">
        <f>VLOOKUP($B296,'Tillförd energi'!$B$1:$AI$720,MATCH(D$2,'Tillförd energi'!$B$1:$AQ$1,0),FALSE)</f>
        <v>3.8</v>
      </c>
      <c r="E296" s="63">
        <f>VLOOKUP($B296,'Tillförd energi'!$B$1:$AI$720,MATCH(E$2,'Tillförd energi'!$B$1:$AQ$1,0),FALSE)</f>
        <v>0</v>
      </c>
      <c r="F296" s="63">
        <f>VLOOKUP($B296,'Tillförd energi'!$B$1:$AI$720,MATCH(F$2,'Tillförd energi'!$B$1:$AQ$1,0),FALSE)</f>
        <v>0</v>
      </c>
      <c r="G296" s="63">
        <f>VLOOKUP($B296,'Tillförd energi'!$B$1:$AI$720,MATCH(G$2,'Tillförd energi'!$B$1:$AQ$1,0),FALSE)</f>
        <v>0</v>
      </c>
      <c r="H296" s="63">
        <f>VLOOKUP($B296,'Tillförd energi'!$B$1:$AI$720,MATCH(H$2,'Tillförd energi'!$B$1:$AQ$1,0),FALSE)</f>
        <v>0</v>
      </c>
      <c r="I296" s="63">
        <f>VLOOKUP($B296,'Tillförd energi'!$B$1:$AI$720,MATCH(I$2,'Tillförd energi'!$B$1:$AQ$1,0),FALSE)</f>
        <v>0</v>
      </c>
      <c r="J296" s="63">
        <f>VLOOKUP($B296,'Tillförd energi'!$B$1:$AI$720,MATCH(J$2,'Tillförd energi'!$B$1:$AQ$1,0),FALSE)</f>
        <v>0</v>
      </c>
      <c r="K296" s="63">
        <f>VLOOKUP($B296,'Tillförd energi'!$B$1:$AI$720,MATCH(K$2,'Tillförd energi'!$B$1:$AQ$1,0),FALSE)</f>
        <v>0</v>
      </c>
      <c r="L296" s="63">
        <f>VLOOKUP($B296,'Tillförd energi'!$B$1:$AI$720,MATCH(L$2,'Tillförd energi'!$B$1:$AQ$1,0),FALSE)</f>
        <v>0</v>
      </c>
      <c r="M296" s="63">
        <f>VLOOKUP($B296,'Tillförd energi'!$B$1:$AI$720,MATCH(M$2,'Tillförd energi'!$B$1:$AQ$1,0),FALSE)</f>
        <v>0</v>
      </c>
      <c r="N296" s="63">
        <f>VLOOKUP($B296,'Tillförd energi'!$B$1:$AI$720,MATCH(N$2,'Tillförd energi'!$B$1:$AQ$1,0),FALSE)</f>
        <v>0</v>
      </c>
      <c r="O296" s="63">
        <f>VLOOKUP($B296,'Tillförd energi'!$B$1:$AI$720,MATCH(O$2,'Tillförd energi'!$B$1:$AQ$1,0),FALSE)</f>
        <v>0</v>
      </c>
      <c r="P296" s="63">
        <f>VLOOKUP($B296,'Tillförd energi'!$B$1:$AI$720,MATCH(P$2,'Tillförd energi'!$B$1:$AQ$1,0),FALSE)</f>
        <v>0</v>
      </c>
      <c r="Q296" s="63">
        <f>VLOOKUP($B296,'Tillförd energi'!$B$1:$AI$720,MATCH(Q$2,'Tillförd energi'!$B$1:$AQ$1,0),FALSE)</f>
        <v>0</v>
      </c>
      <c r="R296" s="63">
        <f>VLOOKUP($B296,'Tillförd energi'!$B$1:$AI$720,MATCH(R$2,'Tillförd energi'!$B$1:$AQ$1,0),FALSE)</f>
        <v>0</v>
      </c>
      <c r="S296" s="63">
        <f>VLOOKUP($B296,'Tillförd energi'!$B$1:$AI$720,MATCH(S$2,'Tillförd energi'!$B$1:$AQ$1,0),FALSE)</f>
        <v>0</v>
      </c>
      <c r="T296" s="63">
        <f>VLOOKUP($B296,'Tillförd energi'!$B$1:$AI$720,MATCH(T$2,'Tillförd energi'!$B$1:$AQ$1,0),FALSE)</f>
        <v>0</v>
      </c>
      <c r="U296" s="63">
        <f>VLOOKUP($B296,'Tillförd energi'!$B$1:$AI$720,MATCH(U$2,'Tillförd energi'!$B$1:$AQ$1,0),FALSE)</f>
        <v>0</v>
      </c>
      <c r="V296" s="63">
        <f>VLOOKUP($B296,'Tillförd energi'!$B$1:$AI$720,MATCH(V$2,'Tillförd energi'!$B$1:$AQ$1,0),FALSE)</f>
        <v>0</v>
      </c>
      <c r="W296" s="63">
        <f>VLOOKUP($B296,'Tillförd energi'!$B$1:$AI$720,MATCH(W$2,'Tillförd energi'!$B$1:$AQ$1,0),FALSE)</f>
        <v>0</v>
      </c>
      <c r="X296" s="63">
        <f>VLOOKUP($B296,'Tillförd energi'!$B$1:$AI$720,MATCH(X$2,'Tillförd energi'!$B$1:$AQ$1,0),FALSE)</f>
        <v>0</v>
      </c>
      <c r="Y296" s="63">
        <f>VLOOKUP($B296,'Tillförd energi'!$B$1:$AI$720,MATCH(Y$2,'Tillförd energi'!$B$1:$AQ$1,0),FALSE)</f>
        <v>0</v>
      </c>
      <c r="Z296" s="63">
        <f>VLOOKUP($B296,'Tillförd energi'!$B$1:$AI$720,MATCH(Z$2,'Tillförd energi'!$B$1:$AQ$1,0),FALSE)</f>
        <v>0</v>
      </c>
      <c r="AA296" s="63">
        <f>VLOOKUP($B296,'Tillförd energi'!$B$1:$AI$720,MATCH(AA$2,'Tillförd energi'!$B$1:$AQ$1,0),FALSE)</f>
        <v>0</v>
      </c>
      <c r="AB296" s="63">
        <f>VLOOKUP($B296,'Tillförd energi'!$B$1:$AI$720,MATCH(AB$2,'Tillförd energi'!$B$1:$AQ$1,0),FALSE)</f>
        <v>0</v>
      </c>
      <c r="AC296" s="63">
        <f>VLOOKUP($B296,'Tillförd energi'!$B$1:$AI$720,MATCH(AC$2,'Tillförd energi'!$B$1:$AQ$1,0),FALSE)</f>
        <v>0</v>
      </c>
      <c r="AD296" s="63">
        <f>VLOOKUP($B296,'Tillförd energi'!$B$1:$AI$720,MATCH(AD$2,'Tillförd energi'!$B$1:$AQ$1,0),FALSE)</f>
        <v>51</v>
      </c>
      <c r="AE296" s="63">
        <f>VLOOKUP($B296,'Tillförd energi'!$B$1:$AI$720,MATCH(AE$2,'Tillförd energi'!$B$1:$AQ$1,0),FALSE)</f>
        <v>0</v>
      </c>
      <c r="AF296" s="63">
        <f>VLOOKUP($B296,'Tillförd energi'!$B$1:$AI$720,MATCH(AF$2,'Tillförd energi'!$B$1:$AQ$1,0),FALSE)</f>
        <v>1.38</v>
      </c>
      <c r="AG296" s="63">
        <f>IFERROR(VLOOKUP(B296,Miljö!$B$1:$AC$550,MATCH("Köpt mängd produktionsspecifik fjärrvärme:",Miljö!$B$1:$AC$1,0),FALSE)/1,0)</f>
        <v>0</v>
      </c>
      <c r="AI296" s="63">
        <f t="shared" si="24"/>
        <v>56.18</v>
      </c>
      <c r="AJ296" s="63">
        <f>IF(ISERROR(1/VLOOKUP($B296,Leveranser!$B$1:$S$500,MATCH("såld värme (gwh)",Leveranser!$B$1:$S$1,0),FALSE)),"",VLOOKUP($B296,Leveranser!$B$1:$S$500,MATCH("såld värme (gwh)",Leveranser!$B$1:$S$1,0),FALSE))</f>
        <v>46</v>
      </c>
      <c r="AM296" s="63" t="str">
        <f>IF(B296&lt;&gt;"",IF(VLOOKUP($B296,Totalt!$B$1:$AQ$554,MATCH("Kvalitetsgranskad:",Totalt!$B$1:$AQ$1,0),FALSE)="ja",VLOOKUP($B296,Miljö!$B$1:$AG$479,MATCH(AM$2,Miljö!$B$1:$AK$1,0),FALSE),""),"")</f>
        <v>Ja</v>
      </c>
      <c r="AN296" s="63" t="str">
        <f>IF(AM296="ja",VLOOKUP($B296,Miljö!$B$1:$J$479,MATCH("Typ av ursprungsspecificerad el   (Om inget värde anges används Nordisk residualmix, se inforuta) ()",Miljö!$B$1:$J$1,0),FALSE),IF(AM296="nej","Nordisk residualel",""))</f>
        <v>-</v>
      </c>
      <c r="AO296" s="63">
        <f>IF(AM296="","",VLOOKUP($B296,Miljö!$B$1:$J$479,MATCH("Fossilandel för ursprungspecificerad el ()",Miljö!$B$1:$J$1,0),FALSE))</f>
        <v>0.35</v>
      </c>
      <c r="AQ296" s="63">
        <f t="shared" si="25"/>
        <v>0.65</v>
      </c>
      <c r="AS296" s="63" t="str">
        <f t="shared" si="26"/>
        <v>Nej</v>
      </c>
      <c r="AT296" s="63" t="str">
        <f>IF(AS296="ja",VLOOKUP($B296,Miljö!$B$1:$P$500,MATCH("Fossil andel i procent (%)",Miljö!$B$1:$P$1,0),FALSE)/100,"")</f>
        <v/>
      </c>
      <c r="AV296" s="63" t="str">
        <f t="shared" si="27"/>
        <v>Nej</v>
      </c>
      <c r="AW296" s="63" t="str">
        <f>IF(AV296="ja",VLOOKUP($B296,'Egen hetvattenprod'!$B$1:$AO$500,MATCH("Värmekälla till värmepumpar ()",'Egen hetvattenprod'!$B$1:$AO$1,0),FALSE),"")</f>
        <v/>
      </c>
      <c r="AY296" s="63" t="str">
        <f t="shared" si="28"/>
        <v>Nej</v>
      </c>
      <c r="AZ296" s="77" t="str">
        <f>IF($AY296="ja",(VLOOKUP($B296,'Egen hetvattenprod'!$B$1:$BX$550,MATCH(AZ$2,'Egen hetvattenprod'!$B$1:$BX$1,0),FALSE)+VLOOKUP($B296,Kraftvärmeprod!$B$1:$BX$550,MATCH(AZ$2,Kraftvärmeprod!$B$1:$BX$1,0),FALSE))/$AC296,"")</f>
        <v/>
      </c>
      <c r="BA296" s="77" t="str">
        <f>IF($AY296="ja",(VLOOKUP($B296,'Egen hetvattenprod'!$B$1:$BX$550,MATCH(BA$2,'Egen hetvattenprod'!$B$1:$BX$1,0),FALSE)+VLOOKUP($B296,Kraftvärmeprod!$B$1:$BX$550,MATCH(BA$2,Kraftvärmeprod!$B$1:$BX$1,0),FALSE))/$AC296,"")</f>
        <v/>
      </c>
      <c r="BB296" s="77" t="str">
        <f>IF($AY296="ja",(VLOOKUP($B296,'Egen hetvattenprod'!$B$1:$BX$550,MATCH(BB$2,'Egen hetvattenprod'!$B$1:$BX$1,0),FALSE)+VLOOKUP($B296,Kraftvärmeprod!$B$1:$BX$550,MATCH(BB$2,Kraftvärmeprod!$B$1:$BX$1,0),FALSE))/$AC296,"")</f>
        <v/>
      </c>
      <c r="BC296" s="77" t="str">
        <f>IF($AY296="ja",(VLOOKUP($B296,'Egen hetvattenprod'!$B$1:$BX$550,MATCH(BC$2,'Egen hetvattenprod'!$B$1:$BX$1,0),FALSE)+VLOOKUP($B296,Kraftvärmeprod!$B$1:$BX$550,MATCH(BC$2,Kraftvärmeprod!$B$1:$BX$1,0),FALSE))/$AC296,"")</f>
        <v/>
      </c>
      <c r="BD296" s="77" t="str">
        <f>IF($AY296="ja",(VLOOKUP($B296,'Egen hetvattenprod'!$B$1:$BX$550,MATCH(BD$2,'Egen hetvattenprod'!$B$1:$BX$1,0),FALSE)+VLOOKUP($B296,Kraftvärmeprod!$B$1:$BX$550,MATCH(BD$2,Kraftvärmeprod!$B$1:$BX$1,0),FALSE))/$AC296,"")</f>
        <v/>
      </c>
      <c r="BF296" s="63" t="str">
        <f t="shared" si="29"/>
        <v>Nej</v>
      </c>
      <c r="BG296" s="63" t="str">
        <f>IF($BF296="ja",VLOOKUP($B296,'Egen hetvattenprod'!$B$1:$BX$550,MATCH("Andelen klimatgaser med fossilt ursprung för avfall ()",'Egen hetvattenprod'!$B$1:$BX$1,0),FALSE),"")</f>
        <v/>
      </c>
      <c r="BH296" s="63" t="str">
        <f>IF($BF296="ja",VLOOKUP($B296,Kraftvärmeprod!$B$1:$BX$550,MATCH("Andelen klimatgaser med fossilt ursprung för avfall ()",Kraftvärmeprod!$B$1:$BX$1,0),FALSE),"")</f>
        <v/>
      </c>
      <c r="BI296" s="63" t="str">
        <f>IF($BF296="ja",VLOOKUP($B296,'Egen hetvattenprod'!$B$1:$BX$550,MATCH("Avfall (GWh)",'Egen hetvattenprod'!$B$1:$BX$1,0),FALSE),"")</f>
        <v/>
      </c>
      <c r="BJ296" s="63" t="str">
        <f>IF($BF296="ja",VLOOKUP($B296,'Slutlig allokering kvv'!$B$1:$BX$550,MATCH("Avfall (GWh)",'Slutlig allokering kvv'!$B$1:$BX$1,0),FALSE),"")</f>
        <v/>
      </c>
      <c r="BK296" s="63" t="str">
        <f>IF($BF296="ja",VLOOKUP($B296,'Köpt hetvatten'!$B$1:$BX$550,MATCH("Avfall i köpt hetvatten",'Köpt hetvatten'!$B$1:$BX$1,0),FALSE),"")</f>
        <v/>
      </c>
      <c r="BL296" s="63" t="str">
        <f>IF($BF296="ja",VLOOKUP($B296,'Egen hetvattenprod'!$B$1:$BX$550,MATCH("Värde enligt ovan. (%)",'Egen hetvattenprod'!$B$1:$BX$1,0),FALSE),"")</f>
        <v/>
      </c>
      <c r="BM296" s="63" t="str">
        <f>IF($BF296="ja",VLOOKUP($B296,Kraftvärmeprod!$B$1:$BX$550,MATCH("Värde enligt ovan. (%)",Kraftvärmeprod!$B$1:$BX$1,0),FALSE),"")</f>
        <v/>
      </c>
    </row>
    <row r="297" spans="1:65" x14ac:dyDescent="0.45">
      <c r="A297" s="63" t="s">
        <v>289</v>
      </c>
      <c r="B297" s="63" t="s">
        <v>294</v>
      </c>
      <c r="C297" s="63">
        <f>VLOOKUP($B297,'Tillförd energi'!$B$1:$AI$720,MATCH(C$2,'Tillförd energi'!$B$1:$AQ$1,0),FALSE)</f>
        <v>0</v>
      </c>
      <c r="D297" s="63">
        <f>VLOOKUP($B297,'Tillförd energi'!$B$1:$AI$720,MATCH(D$2,'Tillförd energi'!$B$1:$AQ$1,0),FALSE)</f>
        <v>0</v>
      </c>
      <c r="E297" s="63">
        <f>VLOOKUP($B297,'Tillförd energi'!$B$1:$AI$720,MATCH(E$2,'Tillförd energi'!$B$1:$AQ$1,0),FALSE)</f>
        <v>0</v>
      </c>
      <c r="F297" s="63">
        <f>VLOOKUP($B297,'Tillförd energi'!$B$1:$AI$720,MATCH(F$2,'Tillförd energi'!$B$1:$AQ$1,0),FALSE)</f>
        <v>0</v>
      </c>
      <c r="G297" s="63">
        <f>VLOOKUP($B297,'Tillförd energi'!$B$1:$AI$720,MATCH(G$2,'Tillförd energi'!$B$1:$AQ$1,0),FALSE)</f>
        <v>0</v>
      </c>
      <c r="H297" s="63">
        <f>VLOOKUP($B297,'Tillförd energi'!$B$1:$AI$720,MATCH(H$2,'Tillförd energi'!$B$1:$AQ$1,0),FALSE)</f>
        <v>0</v>
      </c>
      <c r="I297" s="63">
        <f>VLOOKUP($B297,'Tillförd energi'!$B$1:$AI$720,MATCH(I$2,'Tillförd energi'!$B$1:$AQ$1,0),FALSE)</f>
        <v>0</v>
      </c>
      <c r="J297" s="63">
        <f>VLOOKUP($B297,'Tillförd energi'!$B$1:$AI$720,MATCH(J$2,'Tillförd energi'!$B$1:$AQ$1,0),FALSE)</f>
        <v>0</v>
      </c>
      <c r="K297" s="63">
        <f>VLOOKUP($B297,'Tillförd energi'!$B$1:$AI$720,MATCH(K$2,'Tillförd energi'!$B$1:$AQ$1,0),FALSE)</f>
        <v>0</v>
      </c>
      <c r="L297" s="63">
        <f>VLOOKUP($B297,'Tillförd energi'!$B$1:$AI$720,MATCH(L$2,'Tillförd energi'!$B$1:$AQ$1,0),FALSE)</f>
        <v>0</v>
      </c>
      <c r="M297" s="63">
        <f>VLOOKUP($B297,'Tillförd energi'!$B$1:$AI$720,MATCH(M$2,'Tillförd energi'!$B$1:$AQ$1,0),FALSE)</f>
        <v>0</v>
      </c>
      <c r="N297" s="63">
        <f>VLOOKUP($B297,'Tillförd energi'!$B$1:$AI$720,MATCH(N$2,'Tillförd energi'!$B$1:$AQ$1,0),FALSE)</f>
        <v>13.456</v>
      </c>
      <c r="O297" s="63">
        <f>VLOOKUP($B297,'Tillförd energi'!$B$1:$AI$720,MATCH(O$2,'Tillförd energi'!$B$1:$AQ$1,0),FALSE)</f>
        <v>0</v>
      </c>
      <c r="P297" s="63">
        <f>VLOOKUP($B297,'Tillförd energi'!$B$1:$AI$720,MATCH(P$2,'Tillförd energi'!$B$1:$AQ$1,0),FALSE)</f>
        <v>0</v>
      </c>
      <c r="Q297" s="63">
        <f>VLOOKUP($B297,'Tillförd energi'!$B$1:$AI$720,MATCH(Q$2,'Tillförd energi'!$B$1:$AQ$1,0),FALSE)</f>
        <v>0</v>
      </c>
      <c r="R297" s="63">
        <f>VLOOKUP($B297,'Tillförd energi'!$B$1:$AI$720,MATCH(R$2,'Tillförd energi'!$B$1:$AQ$1,0),FALSE)</f>
        <v>0</v>
      </c>
      <c r="S297" s="63">
        <f>VLOOKUP($B297,'Tillförd energi'!$B$1:$AI$720,MATCH(S$2,'Tillförd energi'!$B$1:$AQ$1,0),FALSE)</f>
        <v>0</v>
      </c>
      <c r="T297" s="63">
        <f>VLOOKUP($B297,'Tillförd energi'!$B$1:$AI$720,MATCH(T$2,'Tillförd energi'!$B$1:$AQ$1,0),FALSE)</f>
        <v>0</v>
      </c>
      <c r="U297" s="63">
        <f>VLOOKUP($B297,'Tillförd energi'!$B$1:$AI$720,MATCH(U$2,'Tillförd energi'!$B$1:$AQ$1,0),FALSE)</f>
        <v>0</v>
      </c>
      <c r="V297" s="63">
        <f>VLOOKUP($B297,'Tillförd energi'!$B$1:$AI$720,MATCH(V$2,'Tillförd energi'!$B$1:$AQ$1,0),FALSE)</f>
        <v>0</v>
      </c>
      <c r="W297" s="63">
        <f>VLOOKUP($B297,'Tillförd energi'!$B$1:$AI$720,MATCH(W$2,'Tillförd energi'!$B$1:$AQ$1,0),FALSE)</f>
        <v>0.95</v>
      </c>
      <c r="X297" s="63">
        <f>VLOOKUP($B297,'Tillförd energi'!$B$1:$AI$720,MATCH(X$2,'Tillförd energi'!$B$1:$AQ$1,0),FALSE)</f>
        <v>0</v>
      </c>
      <c r="Y297" s="63">
        <f>VLOOKUP($B297,'Tillförd energi'!$B$1:$AI$720,MATCH(Y$2,'Tillförd energi'!$B$1:$AQ$1,0),FALSE)</f>
        <v>0</v>
      </c>
      <c r="Z297" s="63">
        <f>VLOOKUP($B297,'Tillförd energi'!$B$1:$AI$720,MATCH(Z$2,'Tillförd energi'!$B$1:$AQ$1,0),FALSE)</f>
        <v>0</v>
      </c>
      <c r="AA297" s="63">
        <f>VLOOKUP($B297,'Tillförd energi'!$B$1:$AI$720,MATCH(AA$2,'Tillförd energi'!$B$1:$AQ$1,0),FALSE)</f>
        <v>0</v>
      </c>
      <c r="AB297" s="63">
        <f>VLOOKUP($B297,'Tillförd energi'!$B$1:$AI$720,MATCH(AB$2,'Tillförd energi'!$B$1:$AQ$1,0),FALSE)</f>
        <v>0</v>
      </c>
      <c r="AC297" s="63">
        <f>VLOOKUP($B297,'Tillförd energi'!$B$1:$AI$720,MATCH(AC$2,'Tillförd energi'!$B$1:$AQ$1,0),FALSE)</f>
        <v>0</v>
      </c>
      <c r="AD297" s="63">
        <f>VLOOKUP($B297,'Tillförd energi'!$B$1:$AI$720,MATCH(AD$2,'Tillförd energi'!$B$1:$AQ$1,0),FALSE)</f>
        <v>0</v>
      </c>
      <c r="AE297" s="63">
        <f>VLOOKUP($B297,'Tillförd energi'!$B$1:$AI$720,MATCH(AE$2,'Tillförd energi'!$B$1:$AQ$1,0),FALSE)</f>
        <v>0</v>
      </c>
      <c r="AF297" s="63">
        <f>VLOOKUP($B297,'Tillförd energi'!$B$1:$AI$720,MATCH(AF$2,'Tillförd energi'!$B$1:$AQ$1,0),FALSE)</f>
        <v>0.40300000000000002</v>
      </c>
      <c r="AG297" s="63">
        <f>IFERROR(VLOOKUP(B297,Miljö!$B$1:$AC$550,MATCH("Köpt mängd produktionsspecifik fjärrvärme:",Miljö!$B$1:$AC$1,0),FALSE)/1,0)</f>
        <v>0</v>
      </c>
      <c r="AI297" s="63">
        <f t="shared" si="24"/>
        <v>14.808999999999999</v>
      </c>
      <c r="AJ297" s="63">
        <f>IF(ISERROR(1/VLOOKUP($B297,Leveranser!$B$1:$S$500,MATCH("såld värme (gwh)",Leveranser!$B$1:$S$1,0),FALSE)),"",VLOOKUP($B297,Leveranser!$B$1:$S$500,MATCH("såld värme (gwh)",Leveranser!$B$1:$S$1,0),FALSE))</f>
        <v>10.795999999999999</v>
      </c>
      <c r="AM297" s="63" t="str">
        <f>IF(B297&lt;&gt;"",IF(VLOOKUP($B297,Totalt!$B$1:$AQ$554,MATCH("Kvalitetsgranskad:",Totalt!$B$1:$AQ$1,0),FALSE)="ja",VLOOKUP($B297,Miljö!$B$1:$AG$479,MATCH(AM$2,Miljö!$B$1:$AK$1,0),FALSE),""),"")</f>
        <v>Ja</v>
      </c>
      <c r="AN297" s="63" t="str">
        <f>IF(AM297="ja",VLOOKUP($B297,Miljö!$B$1:$J$479,MATCH("Typ av ursprungsspecificerad el   (Om inget värde anges används Nordisk residualmix, se inforuta) ()",Miljö!$B$1:$J$1,0),FALSE),IF(AM297="nej","Nordisk residualel",""))</f>
        <v>'Biobränsle'</v>
      </c>
      <c r="AO297" s="63">
        <f>IF(AM297="","",VLOOKUP($B297,Miljö!$B$1:$J$479,MATCH("Fossilandel för ursprungspecificerad el ()",Miljö!$B$1:$J$1,0),FALSE))</f>
        <v>0</v>
      </c>
      <c r="AQ297" s="63">
        <f t="shared" si="25"/>
        <v>1</v>
      </c>
      <c r="AS297" s="63" t="str">
        <f t="shared" si="26"/>
        <v>Nej</v>
      </c>
      <c r="AT297" s="63" t="str">
        <f>IF(AS297="ja",VLOOKUP($B297,Miljö!$B$1:$P$500,MATCH("Fossil andel i procent (%)",Miljö!$B$1:$P$1,0),FALSE)/100,"")</f>
        <v/>
      </c>
      <c r="AV297" s="63" t="str">
        <f t="shared" si="27"/>
        <v>Nej</v>
      </c>
      <c r="AW297" s="63" t="str">
        <f>IF(AV297="ja",VLOOKUP($B297,'Egen hetvattenprod'!$B$1:$AO$500,MATCH("Värmekälla till värmepumpar ()",'Egen hetvattenprod'!$B$1:$AO$1,0),FALSE),"")</f>
        <v/>
      </c>
      <c r="AY297" s="63" t="str">
        <f t="shared" si="28"/>
        <v>Nej</v>
      </c>
      <c r="AZ297" s="77" t="str">
        <f>IF($AY297="ja",(VLOOKUP($B297,'Egen hetvattenprod'!$B$1:$BX$550,MATCH(AZ$2,'Egen hetvattenprod'!$B$1:$BX$1,0),FALSE)+VLOOKUP($B297,Kraftvärmeprod!$B$1:$BX$550,MATCH(AZ$2,Kraftvärmeprod!$B$1:$BX$1,0),FALSE))/$AC297,"")</f>
        <v/>
      </c>
      <c r="BA297" s="77" t="str">
        <f>IF($AY297="ja",(VLOOKUP($B297,'Egen hetvattenprod'!$B$1:$BX$550,MATCH(BA$2,'Egen hetvattenprod'!$B$1:$BX$1,0),FALSE)+VLOOKUP($B297,Kraftvärmeprod!$B$1:$BX$550,MATCH(BA$2,Kraftvärmeprod!$B$1:$BX$1,0),FALSE))/$AC297,"")</f>
        <v/>
      </c>
      <c r="BB297" s="77" t="str">
        <f>IF($AY297="ja",(VLOOKUP($B297,'Egen hetvattenprod'!$B$1:$BX$550,MATCH(BB$2,'Egen hetvattenprod'!$B$1:$BX$1,0),FALSE)+VLOOKUP($B297,Kraftvärmeprod!$B$1:$BX$550,MATCH(BB$2,Kraftvärmeprod!$B$1:$BX$1,0),FALSE))/$AC297,"")</f>
        <v/>
      </c>
      <c r="BC297" s="77" t="str">
        <f>IF($AY297="ja",(VLOOKUP($B297,'Egen hetvattenprod'!$B$1:$BX$550,MATCH(BC$2,'Egen hetvattenprod'!$B$1:$BX$1,0),FALSE)+VLOOKUP($B297,Kraftvärmeprod!$B$1:$BX$550,MATCH(BC$2,Kraftvärmeprod!$B$1:$BX$1,0),FALSE))/$AC297,"")</f>
        <v/>
      </c>
      <c r="BD297" s="77" t="str">
        <f>IF($AY297="ja",(VLOOKUP($B297,'Egen hetvattenprod'!$B$1:$BX$550,MATCH(BD$2,'Egen hetvattenprod'!$B$1:$BX$1,0),FALSE)+VLOOKUP($B297,Kraftvärmeprod!$B$1:$BX$550,MATCH(BD$2,Kraftvärmeprod!$B$1:$BX$1,0),FALSE))/$AC297,"")</f>
        <v/>
      </c>
      <c r="BF297" s="63" t="str">
        <f t="shared" si="29"/>
        <v>Nej</v>
      </c>
      <c r="BG297" s="63" t="str">
        <f>IF($BF297="ja",VLOOKUP($B297,'Egen hetvattenprod'!$B$1:$BX$550,MATCH("Andelen klimatgaser med fossilt ursprung för avfall ()",'Egen hetvattenprod'!$B$1:$BX$1,0),FALSE),"")</f>
        <v/>
      </c>
      <c r="BH297" s="63" t="str">
        <f>IF($BF297="ja",VLOOKUP($B297,Kraftvärmeprod!$B$1:$BX$550,MATCH("Andelen klimatgaser med fossilt ursprung för avfall ()",Kraftvärmeprod!$B$1:$BX$1,0),FALSE),"")</f>
        <v/>
      </c>
      <c r="BI297" s="63" t="str">
        <f>IF($BF297="ja",VLOOKUP($B297,'Egen hetvattenprod'!$B$1:$BX$550,MATCH("Avfall (GWh)",'Egen hetvattenprod'!$B$1:$BX$1,0),FALSE),"")</f>
        <v/>
      </c>
      <c r="BJ297" s="63" t="str">
        <f>IF($BF297="ja",VLOOKUP($B297,'Slutlig allokering kvv'!$B$1:$BX$550,MATCH("Avfall (GWh)",'Slutlig allokering kvv'!$B$1:$BX$1,0),FALSE),"")</f>
        <v/>
      </c>
      <c r="BK297" s="63" t="str">
        <f>IF($BF297="ja",VLOOKUP($B297,'Köpt hetvatten'!$B$1:$BX$550,MATCH("Avfall i köpt hetvatten",'Köpt hetvatten'!$B$1:$BX$1,0),FALSE),"")</f>
        <v/>
      </c>
      <c r="BL297" s="63" t="str">
        <f>IF($BF297="ja",VLOOKUP($B297,'Egen hetvattenprod'!$B$1:$BX$550,MATCH("Värde enligt ovan. (%)",'Egen hetvattenprod'!$B$1:$BX$1,0),FALSE),"")</f>
        <v/>
      </c>
      <c r="BM297" s="63" t="str">
        <f>IF($BF297="ja",VLOOKUP($B297,Kraftvärmeprod!$B$1:$BX$550,MATCH("Värde enligt ovan. (%)",Kraftvärmeprod!$B$1:$BX$1,0),FALSE),"")</f>
        <v/>
      </c>
    </row>
    <row r="298" spans="1:65" x14ac:dyDescent="0.45">
      <c r="A298" s="63" t="s">
        <v>289</v>
      </c>
      <c r="B298" s="63" t="s">
        <v>292</v>
      </c>
      <c r="C298" s="63">
        <f>VLOOKUP($B298,'Tillförd energi'!$B$1:$AI$720,MATCH(C$2,'Tillförd energi'!$B$1:$AQ$1,0),FALSE)</f>
        <v>0</v>
      </c>
      <c r="D298" s="63">
        <f>VLOOKUP($B298,'Tillförd energi'!$B$1:$AI$720,MATCH(D$2,'Tillförd energi'!$B$1:$AQ$1,0),FALSE)</f>
        <v>0.87</v>
      </c>
      <c r="E298" s="63">
        <f>VLOOKUP($B298,'Tillförd energi'!$B$1:$AI$720,MATCH(E$2,'Tillförd energi'!$B$1:$AQ$1,0),FALSE)</f>
        <v>0</v>
      </c>
      <c r="F298" s="63">
        <f>VLOOKUP($B298,'Tillförd energi'!$B$1:$AI$720,MATCH(F$2,'Tillförd energi'!$B$1:$AQ$1,0),FALSE)</f>
        <v>0</v>
      </c>
      <c r="G298" s="63">
        <f>VLOOKUP($B298,'Tillförd energi'!$B$1:$AI$720,MATCH(G$2,'Tillförd energi'!$B$1:$AQ$1,0),FALSE)</f>
        <v>0</v>
      </c>
      <c r="H298" s="63">
        <f>VLOOKUP($B298,'Tillförd energi'!$B$1:$AI$720,MATCH(H$2,'Tillförd energi'!$B$1:$AQ$1,0),FALSE)</f>
        <v>0</v>
      </c>
      <c r="I298" s="63">
        <f>VLOOKUP($B298,'Tillförd energi'!$B$1:$AI$720,MATCH(I$2,'Tillförd energi'!$B$1:$AQ$1,0),FALSE)</f>
        <v>0</v>
      </c>
      <c r="J298" s="63">
        <f>VLOOKUP($B298,'Tillförd energi'!$B$1:$AI$720,MATCH(J$2,'Tillförd energi'!$B$1:$AQ$1,0),FALSE)</f>
        <v>0</v>
      </c>
      <c r="K298" s="63">
        <f>VLOOKUP($B298,'Tillförd energi'!$B$1:$AI$720,MATCH(K$2,'Tillförd energi'!$B$1:$AQ$1,0),FALSE)</f>
        <v>0</v>
      </c>
      <c r="L298" s="63">
        <f>VLOOKUP($B298,'Tillförd energi'!$B$1:$AI$720,MATCH(L$2,'Tillförd energi'!$B$1:$AQ$1,0),FALSE)</f>
        <v>0</v>
      </c>
      <c r="M298" s="63">
        <f>VLOOKUP($B298,'Tillförd energi'!$B$1:$AI$720,MATCH(M$2,'Tillförd energi'!$B$1:$AQ$1,0),FALSE)</f>
        <v>0</v>
      </c>
      <c r="N298" s="63">
        <f>VLOOKUP($B298,'Tillförd energi'!$B$1:$AI$720,MATCH(N$2,'Tillförd energi'!$B$1:$AQ$1,0),FALSE)</f>
        <v>0</v>
      </c>
      <c r="O298" s="63">
        <f>VLOOKUP($B298,'Tillförd energi'!$B$1:$AI$720,MATCH(O$2,'Tillförd energi'!$B$1:$AQ$1,0),FALSE)</f>
        <v>0</v>
      </c>
      <c r="P298" s="63">
        <f>VLOOKUP($B298,'Tillförd energi'!$B$1:$AI$720,MATCH(P$2,'Tillförd energi'!$B$1:$AQ$1,0),FALSE)</f>
        <v>0</v>
      </c>
      <c r="Q298" s="63">
        <f>VLOOKUP($B298,'Tillförd energi'!$B$1:$AI$720,MATCH(Q$2,'Tillförd energi'!$B$1:$AQ$1,0),FALSE)</f>
        <v>23.874099999999999</v>
      </c>
      <c r="R298" s="63">
        <f>VLOOKUP($B298,'Tillförd energi'!$B$1:$AI$720,MATCH(R$2,'Tillförd energi'!$B$1:$AQ$1,0),FALSE)</f>
        <v>0</v>
      </c>
      <c r="S298" s="63">
        <f>VLOOKUP($B298,'Tillförd energi'!$B$1:$AI$720,MATCH(S$2,'Tillförd energi'!$B$1:$AQ$1,0),FALSE)</f>
        <v>0</v>
      </c>
      <c r="T298" s="63">
        <f>VLOOKUP($B298,'Tillförd energi'!$B$1:$AI$720,MATCH(T$2,'Tillförd energi'!$B$1:$AQ$1,0),FALSE)</f>
        <v>0</v>
      </c>
      <c r="U298" s="63">
        <f>VLOOKUP($B298,'Tillförd energi'!$B$1:$AI$720,MATCH(U$2,'Tillförd energi'!$B$1:$AQ$1,0),FALSE)</f>
        <v>0</v>
      </c>
      <c r="V298" s="63">
        <f>VLOOKUP($B298,'Tillförd energi'!$B$1:$AI$720,MATCH(V$2,'Tillförd energi'!$B$1:$AQ$1,0),FALSE)</f>
        <v>0</v>
      </c>
      <c r="W298" s="63">
        <f>VLOOKUP($B298,'Tillförd energi'!$B$1:$AI$720,MATCH(W$2,'Tillförd energi'!$B$1:$AQ$1,0),FALSE)</f>
        <v>0</v>
      </c>
      <c r="X298" s="63">
        <f>VLOOKUP($B298,'Tillförd energi'!$B$1:$AI$720,MATCH(X$2,'Tillförd energi'!$B$1:$AQ$1,0),FALSE)</f>
        <v>0</v>
      </c>
      <c r="Y298" s="63">
        <f>VLOOKUP($B298,'Tillförd energi'!$B$1:$AI$720,MATCH(Y$2,'Tillförd energi'!$B$1:$AQ$1,0),FALSE)</f>
        <v>0</v>
      </c>
      <c r="Z298" s="63">
        <f>VLOOKUP($B298,'Tillförd energi'!$B$1:$AI$720,MATCH(Z$2,'Tillförd energi'!$B$1:$AQ$1,0),FALSE)</f>
        <v>0</v>
      </c>
      <c r="AA298" s="63">
        <f>VLOOKUP($B298,'Tillförd energi'!$B$1:$AI$720,MATCH(AA$2,'Tillförd energi'!$B$1:$AQ$1,0),FALSE)</f>
        <v>0</v>
      </c>
      <c r="AB298" s="63">
        <f>VLOOKUP($B298,'Tillförd energi'!$B$1:$AI$720,MATCH(AB$2,'Tillförd energi'!$B$1:$AQ$1,0),FALSE)</f>
        <v>0</v>
      </c>
      <c r="AC298" s="63">
        <f>VLOOKUP($B298,'Tillförd energi'!$B$1:$AI$720,MATCH(AC$2,'Tillförd energi'!$B$1:$AQ$1,0),FALSE)</f>
        <v>0</v>
      </c>
      <c r="AD298" s="63">
        <f>VLOOKUP($B298,'Tillförd energi'!$B$1:$AI$720,MATCH(AD$2,'Tillförd energi'!$B$1:$AQ$1,0),FALSE)</f>
        <v>0</v>
      </c>
      <c r="AE298" s="63">
        <f>VLOOKUP($B298,'Tillförd energi'!$B$1:$AI$720,MATCH(AE$2,'Tillförd energi'!$B$1:$AQ$1,0),FALSE)</f>
        <v>0</v>
      </c>
      <c r="AF298" s="63">
        <f>VLOOKUP($B298,'Tillförd energi'!$B$1:$AI$720,MATCH(AF$2,'Tillförd energi'!$B$1:$AQ$1,0),FALSE)</f>
        <v>3.0000000000000001E-3</v>
      </c>
      <c r="AG298" s="63">
        <f>IFERROR(VLOOKUP(B298,Miljö!$B$1:$AC$550,MATCH("Köpt mängd produktionsspecifik fjärrvärme:",Miljö!$B$1:$AC$1,0),FALSE)/1,0)</f>
        <v>0</v>
      </c>
      <c r="AI298" s="63">
        <f t="shared" si="24"/>
        <v>24.7471</v>
      </c>
      <c r="AJ298" s="63">
        <f>IF(ISERROR(1/VLOOKUP($B298,Leveranser!$B$1:$S$500,MATCH("såld värme (gwh)",Leveranser!$B$1:$S$1,0),FALSE)),"",VLOOKUP($B298,Leveranser!$B$1:$S$500,MATCH("såld värme (gwh)",Leveranser!$B$1:$S$1,0),FALSE))</f>
        <v>17.611000000000001</v>
      </c>
      <c r="AM298" s="63" t="str">
        <f>IF(B298&lt;&gt;"",IF(VLOOKUP($B298,Totalt!$B$1:$AQ$554,MATCH("Kvalitetsgranskad:",Totalt!$B$1:$AQ$1,0),FALSE)="ja",VLOOKUP($B298,Miljö!$B$1:$AG$479,MATCH(AM$2,Miljö!$B$1:$AK$1,0),FALSE),""),"")</f>
        <v>Ja</v>
      </c>
      <c r="AN298" s="63" t="str">
        <f>IF(AM298="ja",VLOOKUP($B298,Miljö!$B$1:$J$479,MATCH("Typ av ursprungsspecificerad el   (Om inget värde anges används Nordisk residualmix, se inforuta) ()",Miljö!$B$1:$J$1,0),FALSE),IF(AM298="nej","Nordisk residualel",""))</f>
        <v>'Biobränsle'</v>
      </c>
      <c r="AO298" s="63">
        <f>IF(AM298="","",VLOOKUP($B298,Miljö!$B$1:$J$479,MATCH("Fossilandel för ursprungspecificerad el ()",Miljö!$B$1:$J$1,0),FALSE))</f>
        <v>0</v>
      </c>
      <c r="AQ298" s="63">
        <f t="shared" si="25"/>
        <v>1</v>
      </c>
      <c r="AS298" s="63" t="str">
        <f t="shared" si="26"/>
        <v>Nej</v>
      </c>
      <c r="AT298" s="63" t="str">
        <f>IF(AS298="ja",VLOOKUP($B298,Miljö!$B$1:$P$500,MATCH("Fossil andel i procent (%)",Miljö!$B$1:$P$1,0),FALSE)/100,"")</f>
        <v/>
      </c>
      <c r="AV298" s="63" t="str">
        <f t="shared" si="27"/>
        <v>Nej</v>
      </c>
      <c r="AW298" s="63" t="str">
        <f>IF(AV298="ja",VLOOKUP($B298,'Egen hetvattenprod'!$B$1:$AO$500,MATCH("Värmekälla till värmepumpar ()",'Egen hetvattenprod'!$B$1:$AO$1,0),FALSE),"")</f>
        <v/>
      </c>
      <c r="AY298" s="63" t="str">
        <f t="shared" si="28"/>
        <v>Nej</v>
      </c>
      <c r="AZ298" s="77" t="str">
        <f>IF($AY298="ja",(VLOOKUP($B298,'Egen hetvattenprod'!$B$1:$BX$550,MATCH(AZ$2,'Egen hetvattenprod'!$B$1:$BX$1,0),FALSE)+VLOOKUP($B298,Kraftvärmeprod!$B$1:$BX$550,MATCH(AZ$2,Kraftvärmeprod!$B$1:$BX$1,0),FALSE))/$AC298,"")</f>
        <v/>
      </c>
      <c r="BA298" s="77" t="str">
        <f>IF($AY298="ja",(VLOOKUP($B298,'Egen hetvattenprod'!$B$1:$BX$550,MATCH(BA$2,'Egen hetvattenprod'!$B$1:$BX$1,0),FALSE)+VLOOKUP($B298,Kraftvärmeprod!$B$1:$BX$550,MATCH(BA$2,Kraftvärmeprod!$B$1:$BX$1,0),FALSE))/$AC298,"")</f>
        <v/>
      </c>
      <c r="BB298" s="77" t="str">
        <f>IF($AY298="ja",(VLOOKUP($B298,'Egen hetvattenprod'!$B$1:$BX$550,MATCH(BB$2,'Egen hetvattenprod'!$B$1:$BX$1,0),FALSE)+VLOOKUP($B298,Kraftvärmeprod!$B$1:$BX$550,MATCH(BB$2,Kraftvärmeprod!$B$1:$BX$1,0),FALSE))/$AC298,"")</f>
        <v/>
      </c>
      <c r="BC298" s="77" t="str">
        <f>IF($AY298="ja",(VLOOKUP($B298,'Egen hetvattenprod'!$B$1:$BX$550,MATCH(BC$2,'Egen hetvattenprod'!$B$1:$BX$1,0),FALSE)+VLOOKUP($B298,Kraftvärmeprod!$B$1:$BX$550,MATCH(BC$2,Kraftvärmeprod!$B$1:$BX$1,0),FALSE))/$AC298,"")</f>
        <v/>
      </c>
      <c r="BD298" s="77" t="str">
        <f>IF($AY298="ja",(VLOOKUP($B298,'Egen hetvattenprod'!$B$1:$BX$550,MATCH(BD$2,'Egen hetvattenprod'!$B$1:$BX$1,0),FALSE)+VLOOKUP($B298,Kraftvärmeprod!$B$1:$BX$550,MATCH(BD$2,Kraftvärmeprod!$B$1:$BX$1,0),FALSE))/$AC298,"")</f>
        <v/>
      </c>
      <c r="BF298" s="63" t="str">
        <f t="shared" si="29"/>
        <v>Nej</v>
      </c>
      <c r="BG298" s="63" t="str">
        <f>IF($BF298="ja",VLOOKUP($B298,'Egen hetvattenprod'!$B$1:$BX$550,MATCH("Andelen klimatgaser med fossilt ursprung för avfall ()",'Egen hetvattenprod'!$B$1:$BX$1,0),FALSE),"")</f>
        <v/>
      </c>
      <c r="BH298" s="63" t="str">
        <f>IF($BF298="ja",VLOOKUP($B298,Kraftvärmeprod!$B$1:$BX$550,MATCH("Andelen klimatgaser med fossilt ursprung för avfall ()",Kraftvärmeprod!$B$1:$BX$1,0),FALSE),"")</f>
        <v/>
      </c>
      <c r="BI298" s="63" t="str">
        <f>IF($BF298="ja",VLOOKUP($B298,'Egen hetvattenprod'!$B$1:$BX$550,MATCH("Avfall (GWh)",'Egen hetvattenprod'!$B$1:$BX$1,0),FALSE),"")</f>
        <v/>
      </c>
      <c r="BJ298" s="63" t="str">
        <f>IF($BF298="ja",VLOOKUP($B298,'Slutlig allokering kvv'!$B$1:$BX$550,MATCH("Avfall (GWh)",'Slutlig allokering kvv'!$B$1:$BX$1,0),FALSE),"")</f>
        <v/>
      </c>
      <c r="BK298" s="63" t="str">
        <f>IF($BF298="ja",VLOOKUP($B298,'Köpt hetvatten'!$B$1:$BX$550,MATCH("Avfall i köpt hetvatten",'Köpt hetvatten'!$B$1:$BX$1,0),FALSE),"")</f>
        <v/>
      </c>
      <c r="BL298" s="63" t="str">
        <f>IF($BF298="ja",VLOOKUP($B298,'Egen hetvattenprod'!$B$1:$BX$550,MATCH("Värde enligt ovan. (%)",'Egen hetvattenprod'!$B$1:$BX$1,0),FALSE),"")</f>
        <v/>
      </c>
      <c r="BM298" s="63" t="str">
        <f>IF($BF298="ja",VLOOKUP($B298,Kraftvärmeprod!$B$1:$BX$550,MATCH("Värde enligt ovan. (%)",Kraftvärmeprod!$B$1:$BX$1,0),FALSE),"")</f>
        <v/>
      </c>
    </row>
    <row r="299" spans="1:65" x14ac:dyDescent="0.45">
      <c r="A299" s="63" t="s">
        <v>289</v>
      </c>
      <c r="B299" s="63" t="s">
        <v>291</v>
      </c>
      <c r="C299" s="63">
        <f>VLOOKUP($B299,'Tillförd energi'!$B$1:$AI$720,MATCH(C$2,'Tillförd energi'!$B$1:$AQ$1,0),FALSE)</f>
        <v>1</v>
      </c>
      <c r="D299" s="63">
        <f>VLOOKUP($B299,'Tillförd energi'!$B$1:$AI$720,MATCH(D$2,'Tillförd energi'!$B$1:$AQ$1,0),FALSE)</f>
        <v>1.1000000000000001</v>
      </c>
      <c r="E299" s="63">
        <f>VLOOKUP($B299,'Tillförd energi'!$B$1:$AI$720,MATCH(E$2,'Tillförd energi'!$B$1:$AQ$1,0),FALSE)</f>
        <v>0</v>
      </c>
      <c r="F299" s="63">
        <f>VLOOKUP($B299,'Tillförd energi'!$B$1:$AI$720,MATCH(F$2,'Tillförd energi'!$B$1:$AQ$1,0),FALSE)</f>
        <v>5.8</v>
      </c>
      <c r="G299" s="63">
        <f>VLOOKUP($B299,'Tillförd energi'!$B$1:$AI$720,MATCH(G$2,'Tillförd energi'!$B$1:$AQ$1,0),FALSE)</f>
        <v>0</v>
      </c>
      <c r="H299" s="63">
        <f>VLOOKUP($B299,'Tillförd energi'!$B$1:$AI$720,MATCH(H$2,'Tillförd energi'!$B$1:$AQ$1,0),FALSE)</f>
        <v>1</v>
      </c>
      <c r="I299" s="63">
        <f>VLOOKUP($B299,'Tillförd energi'!$B$1:$AI$720,MATCH(I$2,'Tillförd energi'!$B$1:$AQ$1,0),FALSE)</f>
        <v>931.9</v>
      </c>
      <c r="J299" s="63">
        <f>VLOOKUP($B299,'Tillförd energi'!$B$1:$AI$720,MATCH(J$2,'Tillförd energi'!$B$1:$AQ$1,0),FALSE)</f>
        <v>0</v>
      </c>
      <c r="K299" s="63">
        <f>VLOOKUP($B299,'Tillförd energi'!$B$1:$AI$720,MATCH(K$2,'Tillförd energi'!$B$1:$AQ$1,0),FALSE)</f>
        <v>0</v>
      </c>
      <c r="L299" s="63">
        <f>VLOOKUP($B299,'Tillförd energi'!$B$1:$AI$720,MATCH(L$2,'Tillförd energi'!$B$1:$AQ$1,0),FALSE)</f>
        <v>208.6</v>
      </c>
      <c r="M299" s="63">
        <f>VLOOKUP($B299,'Tillförd energi'!$B$1:$AI$720,MATCH(M$2,'Tillförd energi'!$B$1:$AQ$1,0),FALSE)</f>
        <v>0.717221</v>
      </c>
      <c r="N299" s="63">
        <f>VLOOKUP($B299,'Tillförd energi'!$B$1:$AI$720,MATCH(N$2,'Tillförd energi'!$B$1:$AQ$1,0),FALSE)</f>
        <v>21</v>
      </c>
      <c r="O299" s="63">
        <f>VLOOKUP($B299,'Tillförd energi'!$B$1:$AI$720,MATCH(O$2,'Tillförd energi'!$B$1:$AQ$1,0),FALSE)</f>
        <v>0</v>
      </c>
      <c r="P299" s="63">
        <f>VLOOKUP($B299,'Tillförd energi'!$B$1:$AI$720,MATCH(P$2,'Tillförd energi'!$B$1:$AQ$1,0),FALSE)</f>
        <v>8.3000000000000007</v>
      </c>
      <c r="Q299" s="63">
        <f>VLOOKUP($B299,'Tillförd energi'!$B$1:$AI$720,MATCH(Q$2,'Tillförd energi'!$B$1:$AQ$1,0),FALSE)</f>
        <v>13</v>
      </c>
      <c r="R299" s="63">
        <f>VLOOKUP($B299,'Tillförd energi'!$B$1:$AI$720,MATCH(R$2,'Tillförd energi'!$B$1:$AQ$1,0),FALSE)</f>
        <v>0</v>
      </c>
      <c r="S299" s="63">
        <f>VLOOKUP($B299,'Tillförd energi'!$B$1:$AI$720,MATCH(S$2,'Tillförd energi'!$B$1:$AQ$1,0),FALSE)</f>
        <v>0</v>
      </c>
      <c r="T299" s="63">
        <f>VLOOKUP($B299,'Tillförd energi'!$B$1:$AI$720,MATCH(T$2,'Tillförd energi'!$B$1:$AQ$1,0),FALSE)</f>
        <v>0</v>
      </c>
      <c r="U299" s="63">
        <f>VLOOKUP($B299,'Tillförd energi'!$B$1:$AI$720,MATCH(U$2,'Tillförd energi'!$B$1:$AQ$1,0),FALSE)</f>
        <v>0</v>
      </c>
      <c r="V299" s="63">
        <f>VLOOKUP($B299,'Tillförd energi'!$B$1:$AI$720,MATCH(V$2,'Tillförd energi'!$B$1:$AQ$1,0),FALSE)</f>
        <v>0</v>
      </c>
      <c r="W299" s="63">
        <f>VLOOKUP($B299,'Tillförd energi'!$B$1:$AI$720,MATCH(W$2,'Tillförd energi'!$B$1:$AQ$1,0),FALSE)</f>
        <v>0.54700000000000004</v>
      </c>
      <c r="X299" s="63">
        <f>VLOOKUP($B299,'Tillförd energi'!$B$1:$AI$720,MATCH(X$2,'Tillförd energi'!$B$1:$AQ$1,0),FALSE)</f>
        <v>0</v>
      </c>
      <c r="Y299" s="63">
        <f>VLOOKUP($B299,'Tillförd energi'!$B$1:$AI$720,MATCH(Y$2,'Tillförd energi'!$B$1:$AQ$1,0),FALSE)</f>
        <v>0</v>
      </c>
      <c r="Z299" s="63">
        <f>VLOOKUP($B299,'Tillförd energi'!$B$1:$AI$720,MATCH(Z$2,'Tillförd energi'!$B$1:$AQ$1,0),FALSE)</f>
        <v>0</v>
      </c>
      <c r="AA299" s="63">
        <f>VLOOKUP($B299,'Tillförd energi'!$B$1:$AI$720,MATCH(AA$2,'Tillförd energi'!$B$1:$AQ$1,0),FALSE)</f>
        <v>0</v>
      </c>
      <c r="AB299" s="63">
        <f>VLOOKUP($B299,'Tillförd energi'!$B$1:$AI$720,MATCH(AB$2,'Tillförd energi'!$B$1:$AQ$1,0),FALSE)</f>
        <v>0</v>
      </c>
      <c r="AC299" s="63">
        <f>VLOOKUP($B299,'Tillförd energi'!$B$1:$AI$720,MATCH(AC$2,'Tillförd energi'!$B$1:$AQ$1,0),FALSE)</f>
        <v>192.3</v>
      </c>
      <c r="AD299" s="63">
        <f>VLOOKUP($B299,'Tillförd energi'!$B$1:$AI$720,MATCH(AD$2,'Tillförd energi'!$B$1:$AQ$1,0),FALSE)</f>
        <v>0</v>
      </c>
      <c r="AE299" s="63">
        <f>VLOOKUP($B299,'Tillförd energi'!$B$1:$AI$720,MATCH(AE$2,'Tillförd energi'!$B$1:$AQ$1,0),FALSE)</f>
        <v>0</v>
      </c>
      <c r="AF299" s="63">
        <f>VLOOKUP($B299,'Tillförd energi'!$B$1:$AI$720,MATCH(AF$2,'Tillförd energi'!$B$1:$AQ$1,0),FALSE)</f>
        <v>43.162999999999997</v>
      </c>
      <c r="AG299" s="63">
        <f>IFERROR(VLOOKUP(B299,Miljö!$B$1:$AC$550,MATCH("Köpt mängd produktionsspecifik fjärrvärme:",Miljö!$B$1:$AC$1,0),FALSE)/1,0)</f>
        <v>0</v>
      </c>
      <c r="AI299" s="63">
        <f t="shared" si="24"/>
        <v>1428.4272209999999</v>
      </c>
      <c r="AJ299" s="63">
        <f>IF(ISERROR(1/VLOOKUP($B299,Leveranser!$B$1:$S$500,MATCH("såld värme (gwh)",Leveranser!$B$1:$S$1,0),FALSE)),"",VLOOKUP($B299,Leveranser!$B$1:$S$500,MATCH("såld värme (gwh)",Leveranser!$B$1:$S$1,0),FALSE))</f>
        <v>1278.665</v>
      </c>
      <c r="AM299" s="63" t="str">
        <f>IF(B299&lt;&gt;"",IF(VLOOKUP($B299,Totalt!$B$1:$AQ$554,MATCH("Kvalitetsgranskad:",Totalt!$B$1:$AQ$1,0),FALSE)="ja",VLOOKUP($B299,Miljö!$B$1:$AG$479,MATCH(AM$2,Miljö!$B$1:$AK$1,0),FALSE),""),"")</f>
        <v>Ja</v>
      </c>
      <c r="AN299" s="63" t="str">
        <f>IF(AM299="ja",VLOOKUP($B299,Miljö!$B$1:$J$479,MATCH("Typ av ursprungsspecificerad el   (Om inget värde anges används Nordisk residualmix, se inforuta) ()",Miljö!$B$1:$J$1,0),FALSE),IF(AM299="nej","Nordisk residualel",""))</f>
        <v>'Vattenkraft'</v>
      </c>
      <c r="AO299" s="63">
        <f>IF(AM299="","",VLOOKUP($B299,Miljö!$B$1:$J$479,MATCH("Fossilandel för ursprungspecificerad el ()",Miljö!$B$1:$J$1,0),FALSE))</f>
        <v>0</v>
      </c>
      <c r="AQ299" s="63">
        <f t="shared" si="25"/>
        <v>1</v>
      </c>
      <c r="AS299" s="63" t="str">
        <f t="shared" si="26"/>
        <v>Nej</v>
      </c>
      <c r="AT299" s="63" t="str">
        <f>IF(AS299="ja",VLOOKUP($B299,Miljö!$B$1:$P$500,MATCH("Fossil andel i procent (%)",Miljö!$B$1:$P$1,0),FALSE)/100,"")</f>
        <v/>
      </c>
      <c r="AV299" s="63" t="str">
        <f t="shared" si="27"/>
        <v>Nej</v>
      </c>
      <c r="AW299" s="63" t="str">
        <f>IF(AV299="ja",VLOOKUP($B299,'Egen hetvattenprod'!$B$1:$AO$500,MATCH("Värmekälla till värmepumpar ()",'Egen hetvattenprod'!$B$1:$AO$1,0),FALSE),"")</f>
        <v/>
      </c>
      <c r="AY299" s="63" t="str">
        <f t="shared" si="28"/>
        <v>Ja</v>
      </c>
      <c r="AZ299" s="77">
        <f>IF($AY299="ja",(VLOOKUP($B299,'Egen hetvattenprod'!$B$1:$BX$550,MATCH(AZ$2,'Egen hetvattenprod'!$B$1:$BX$1,0),FALSE)+VLOOKUP($B299,Kraftvärmeprod!$B$1:$BX$550,MATCH(AZ$2,Kraftvärmeprod!$B$1:$BX$1,0),FALSE))/$AC299,"")</f>
        <v>0.17999999999999997</v>
      </c>
      <c r="BA299" s="77">
        <f>IF($AY299="ja",(VLOOKUP($B299,'Egen hetvattenprod'!$B$1:$BX$550,MATCH(BA$2,'Egen hetvattenprod'!$B$1:$BX$1,0),FALSE)+VLOOKUP($B299,Kraftvärmeprod!$B$1:$BX$550,MATCH(BA$2,Kraftvärmeprod!$B$1:$BX$1,0),FALSE))/$AC299,"")</f>
        <v>0.81000000000000016</v>
      </c>
      <c r="BB299" s="77">
        <f>IF($AY299="ja",(VLOOKUP($B299,'Egen hetvattenprod'!$B$1:$BX$550,MATCH(BB$2,'Egen hetvattenprod'!$B$1:$BX$1,0),FALSE)+VLOOKUP($B299,Kraftvärmeprod!$B$1:$BX$550,MATCH(BB$2,Kraftvärmeprod!$B$1:$BX$1,0),FALSE))/$AC299,"")</f>
        <v>0</v>
      </c>
      <c r="BC299" s="77">
        <f>IF($AY299="ja",(VLOOKUP($B299,'Egen hetvattenprod'!$B$1:$BX$550,MATCH(BC$2,'Egen hetvattenprod'!$B$1:$BX$1,0),FALSE)+VLOOKUP($B299,Kraftvärmeprod!$B$1:$BX$550,MATCH(BC$2,Kraftvärmeprod!$B$1:$BX$1,0),FALSE))/$AC299,"")</f>
        <v>0</v>
      </c>
      <c r="BD299" s="77">
        <f>IF($AY299="ja",(VLOOKUP($B299,'Egen hetvattenprod'!$B$1:$BX$550,MATCH(BD$2,'Egen hetvattenprod'!$B$1:$BX$1,0),FALSE)+VLOOKUP($B299,Kraftvärmeprod!$B$1:$BX$550,MATCH(BD$2,Kraftvärmeprod!$B$1:$BX$1,0),FALSE))/$AC299,"")</f>
        <v>9.9999999999998614E-3</v>
      </c>
      <c r="BF299" s="63" t="str">
        <f t="shared" si="29"/>
        <v>Ja</v>
      </c>
      <c r="BG299" s="63" t="str">
        <f>IF($BF299="ja",VLOOKUP($B299,'Egen hetvattenprod'!$B$1:$BX$550,MATCH("Andelen klimatgaser med fossilt ursprung för avfall ()",'Egen hetvattenprod'!$B$1:$BX$1,0),FALSE),"")</f>
        <v>Mätvärde</v>
      </c>
      <c r="BH299" s="63" t="str">
        <f>IF($BF299="ja",VLOOKUP($B299,Kraftvärmeprod!$B$1:$BX$550,MATCH("Andelen klimatgaser med fossilt ursprung för avfall ()",Kraftvärmeprod!$B$1:$BX$1,0),FALSE),"")</f>
        <v>Mätvärde</v>
      </c>
      <c r="BI299" s="63">
        <f>IF($BF299="ja",VLOOKUP($B299,'Egen hetvattenprod'!$B$1:$BX$550,MATCH("Avfall (GWh)",'Egen hetvattenprod'!$B$1:$BX$1,0),FALSE),"")</f>
        <v>178.6</v>
      </c>
      <c r="BJ299" s="63">
        <f>IF($BF299="ja",VLOOKUP($B299,'Slutlig allokering kvv'!$B$1:$BX$550,MATCH("Avfall (GWh)",'Slutlig allokering kvv'!$B$1:$BX$1,0),FALSE),"")</f>
        <v>753.3</v>
      </c>
      <c r="BK299" s="63">
        <f>IF($BF299="ja",VLOOKUP($B299,'Köpt hetvatten'!$B$1:$BX$550,MATCH("Avfall i köpt hetvatten",'Köpt hetvatten'!$B$1:$BX$1,0),FALSE),"")</f>
        <v>0</v>
      </c>
      <c r="BL299" s="63">
        <f>IF($BF299="ja",VLOOKUP($B299,'Egen hetvattenprod'!$B$1:$BX$550,MATCH("Värde enligt ovan. (%)",'Egen hetvattenprod'!$B$1:$BX$1,0),FALSE),"")</f>
        <v>42</v>
      </c>
      <c r="BM299" s="63">
        <f>IF($BF299="ja",VLOOKUP($B299,Kraftvärmeprod!$B$1:$BX$550,MATCH("Värde enligt ovan. (%)",Kraftvärmeprod!$B$1:$BX$1,0),FALSE),"")</f>
        <v>42</v>
      </c>
    </row>
    <row r="300" spans="1:65" x14ac:dyDescent="0.45">
      <c r="A300" s="63" t="s">
        <v>289</v>
      </c>
      <c r="B300" s="63" t="s">
        <v>290</v>
      </c>
      <c r="C300" s="63">
        <f>VLOOKUP($B300,'Tillförd energi'!$B$1:$AI$720,MATCH(C$2,'Tillförd energi'!$B$1:$AQ$1,0),FALSE)</f>
        <v>0</v>
      </c>
      <c r="D300" s="63">
        <f>VLOOKUP($B300,'Tillförd energi'!$B$1:$AI$720,MATCH(D$2,'Tillförd energi'!$B$1:$AQ$1,0),FALSE)</f>
        <v>0.39</v>
      </c>
      <c r="E300" s="63">
        <f>VLOOKUP($B300,'Tillförd energi'!$B$1:$AI$720,MATCH(E$2,'Tillförd energi'!$B$1:$AQ$1,0),FALSE)</f>
        <v>0</v>
      </c>
      <c r="F300" s="63">
        <f>VLOOKUP($B300,'Tillförd energi'!$B$1:$AI$720,MATCH(F$2,'Tillförd energi'!$B$1:$AQ$1,0),FALSE)</f>
        <v>3.3611800000000001</v>
      </c>
      <c r="G300" s="63">
        <f>VLOOKUP($B300,'Tillförd energi'!$B$1:$AI$720,MATCH(G$2,'Tillförd energi'!$B$1:$AQ$1,0),FALSE)</f>
        <v>0</v>
      </c>
      <c r="H300" s="63">
        <f>VLOOKUP($B300,'Tillförd energi'!$B$1:$AI$720,MATCH(H$2,'Tillförd energi'!$B$1:$AQ$1,0),FALSE)</f>
        <v>0</v>
      </c>
      <c r="I300" s="63">
        <f>VLOOKUP($B300,'Tillförd energi'!$B$1:$AI$720,MATCH(I$2,'Tillförd energi'!$B$1:$AQ$1,0),FALSE)</f>
        <v>0</v>
      </c>
      <c r="J300" s="63">
        <f>VLOOKUP($B300,'Tillförd energi'!$B$1:$AI$720,MATCH(J$2,'Tillförd energi'!$B$1:$AQ$1,0),FALSE)</f>
        <v>0</v>
      </c>
      <c r="K300" s="63">
        <f>VLOOKUP($B300,'Tillförd energi'!$B$1:$AI$720,MATCH(K$2,'Tillförd energi'!$B$1:$AQ$1,0),FALSE)</f>
        <v>0</v>
      </c>
      <c r="L300" s="63">
        <f>VLOOKUP($B300,'Tillförd energi'!$B$1:$AI$720,MATCH(L$2,'Tillförd energi'!$B$1:$AQ$1,0),FALSE)</f>
        <v>0</v>
      </c>
      <c r="M300" s="63">
        <f>VLOOKUP($B300,'Tillförd energi'!$B$1:$AI$720,MATCH(M$2,'Tillförd energi'!$B$1:$AQ$1,0),FALSE)</f>
        <v>0</v>
      </c>
      <c r="N300" s="63">
        <f>VLOOKUP($B300,'Tillförd energi'!$B$1:$AI$720,MATCH(N$2,'Tillförd energi'!$B$1:$AQ$1,0),FALSE)</f>
        <v>0</v>
      </c>
      <c r="O300" s="63">
        <f>VLOOKUP($B300,'Tillförd energi'!$B$1:$AI$720,MATCH(O$2,'Tillförd energi'!$B$1:$AQ$1,0),FALSE)</f>
        <v>0</v>
      </c>
      <c r="P300" s="63">
        <f>VLOOKUP($B300,'Tillförd energi'!$B$1:$AI$720,MATCH(P$2,'Tillförd energi'!$B$1:$AQ$1,0),FALSE)</f>
        <v>0</v>
      </c>
      <c r="Q300" s="63">
        <f>VLOOKUP($B300,'Tillförd energi'!$B$1:$AI$720,MATCH(Q$2,'Tillförd energi'!$B$1:$AQ$1,0),FALSE)</f>
        <v>10.083500000000001</v>
      </c>
      <c r="R300" s="63">
        <f>VLOOKUP($B300,'Tillförd energi'!$B$1:$AI$720,MATCH(R$2,'Tillförd energi'!$B$1:$AQ$1,0),FALSE)</f>
        <v>0</v>
      </c>
      <c r="S300" s="63">
        <f>VLOOKUP($B300,'Tillförd energi'!$B$1:$AI$720,MATCH(S$2,'Tillförd energi'!$B$1:$AQ$1,0),FALSE)</f>
        <v>0</v>
      </c>
      <c r="T300" s="63">
        <f>VLOOKUP($B300,'Tillförd energi'!$B$1:$AI$720,MATCH(T$2,'Tillförd energi'!$B$1:$AQ$1,0),FALSE)</f>
        <v>0</v>
      </c>
      <c r="U300" s="63">
        <f>VLOOKUP($B300,'Tillförd energi'!$B$1:$AI$720,MATCH(U$2,'Tillförd energi'!$B$1:$AQ$1,0),FALSE)</f>
        <v>0</v>
      </c>
      <c r="V300" s="63">
        <f>VLOOKUP($B300,'Tillförd energi'!$B$1:$AI$720,MATCH(V$2,'Tillförd energi'!$B$1:$AQ$1,0),FALSE)</f>
        <v>0</v>
      </c>
      <c r="W300" s="63">
        <f>VLOOKUP($B300,'Tillförd energi'!$B$1:$AI$720,MATCH(W$2,'Tillförd energi'!$B$1:$AQ$1,0),FALSE)</f>
        <v>0</v>
      </c>
      <c r="X300" s="63">
        <f>VLOOKUP($B300,'Tillförd energi'!$B$1:$AI$720,MATCH(X$2,'Tillförd energi'!$B$1:$AQ$1,0),FALSE)</f>
        <v>0</v>
      </c>
      <c r="Y300" s="63">
        <f>VLOOKUP($B300,'Tillförd energi'!$B$1:$AI$720,MATCH(Y$2,'Tillförd energi'!$B$1:$AQ$1,0),FALSE)</f>
        <v>0</v>
      </c>
      <c r="Z300" s="63">
        <f>VLOOKUP($B300,'Tillförd energi'!$B$1:$AI$720,MATCH(Z$2,'Tillförd energi'!$B$1:$AQ$1,0),FALSE)</f>
        <v>0</v>
      </c>
      <c r="AA300" s="63">
        <f>VLOOKUP($B300,'Tillförd energi'!$B$1:$AI$720,MATCH(AA$2,'Tillförd energi'!$B$1:$AQ$1,0),FALSE)</f>
        <v>0</v>
      </c>
      <c r="AB300" s="63">
        <f>VLOOKUP($B300,'Tillförd energi'!$B$1:$AI$720,MATCH(AB$2,'Tillförd energi'!$B$1:$AQ$1,0),FALSE)</f>
        <v>0</v>
      </c>
      <c r="AC300" s="63">
        <f>VLOOKUP($B300,'Tillförd energi'!$B$1:$AI$720,MATCH(AC$2,'Tillförd energi'!$B$1:$AQ$1,0),FALSE)</f>
        <v>0</v>
      </c>
      <c r="AD300" s="63">
        <f>VLOOKUP($B300,'Tillförd energi'!$B$1:$AI$720,MATCH(AD$2,'Tillförd energi'!$B$1:$AQ$1,0),FALSE)</f>
        <v>9.859</v>
      </c>
      <c r="AE300" s="63">
        <f>VLOOKUP($B300,'Tillförd energi'!$B$1:$AI$720,MATCH(AE$2,'Tillförd energi'!$B$1:$AQ$1,0),FALSE)</f>
        <v>0</v>
      </c>
      <c r="AF300" s="63">
        <f>VLOOKUP($B300,'Tillförd energi'!$B$1:$AI$720,MATCH(AF$2,'Tillförd energi'!$B$1:$AQ$1,0),FALSE)</f>
        <v>0.39</v>
      </c>
      <c r="AG300" s="63">
        <f>IFERROR(VLOOKUP(B300,Miljö!$B$1:$AC$550,MATCH("Köpt mängd produktionsspecifik fjärrvärme:",Miljö!$B$1:$AC$1,0),FALSE)/1,0)</f>
        <v>0</v>
      </c>
      <c r="AI300" s="63">
        <f t="shared" si="24"/>
        <v>24.083680000000001</v>
      </c>
      <c r="AJ300" s="63">
        <f>IF(ISERROR(1/VLOOKUP($B300,Leveranser!$B$1:$S$500,MATCH("såld värme (gwh)",Leveranser!$B$1:$S$1,0),FALSE)),"",VLOOKUP($B300,Leveranser!$B$1:$S$500,MATCH("såld värme (gwh)",Leveranser!$B$1:$S$1,0),FALSE))</f>
        <v>17.236000000000001</v>
      </c>
      <c r="AM300" s="63" t="str">
        <f>IF(B300&lt;&gt;"",IF(VLOOKUP($B300,Totalt!$B$1:$AQ$554,MATCH("Kvalitetsgranskad:",Totalt!$B$1:$AQ$1,0),FALSE)="ja",VLOOKUP($B300,Miljö!$B$1:$AG$479,MATCH(AM$2,Miljö!$B$1:$AK$1,0),FALSE),""),"")</f>
        <v>Ja</v>
      </c>
      <c r="AN300" s="63" t="str">
        <f>IF(AM300="ja",VLOOKUP($B300,Miljö!$B$1:$J$479,MATCH("Typ av ursprungsspecificerad el   (Om inget värde anges används Nordisk residualmix, se inforuta) ()",Miljö!$B$1:$J$1,0),FALSE),IF(AM300="nej","Nordisk residualel",""))</f>
        <v>'-'</v>
      </c>
      <c r="AO300" s="63">
        <f>IF(AM300="","",VLOOKUP($B300,Miljö!$B$1:$J$479,MATCH("Fossilandel för ursprungspecificerad el ()",Miljö!$B$1:$J$1,0),FALSE))</f>
        <v>0.35</v>
      </c>
      <c r="AQ300" s="63">
        <f t="shared" si="25"/>
        <v>0.65</v>
      </c>
      <c r="AS300" s="63" t="str">
        <f t="shared" si="26"/>
        <v>Nej</v>
      </c>
      <c r="AT300" s="63" t="str">
        <f>IF(AS300="ja",VLOOKUP($B300,Miljö!$B$1:$P$500,MATCH("Fossil andel i procent (%)",Miljö!$B$1:$P$1,0),FALSE)/100,"")</f>
        <v/>
      </c>
      <c r="AV300" s="63" t="str">
        <f t="shared" si="27"/>
        <v>Nej</v>
      </c>
      <c r="AW300" s="63" t="str">
        <f>IF(AV300="ja",VLOOKUP($B300,'Egen hetvattenprod'!$B$1:$AO$500,MATCH("Värmekälla till värmepumpar ()",'Egen hetvattenprod'!$B$1:$AO$1,0),FALSE),"")</f>
        <v/>
      </c>
      <c r="AY300" s="63" t="str">
        <f t="shared" si="28"/>
        <v>Nej</v>
      </c>
      <c r="AZ300" s="77" t="str">
        <f>IF($AY300="ja",(VLOOKUP($B300,'Egen hetvattenprod'!$B$1:$BX$550,MATCH(AZ$2,'Egen hetvattenprod'!$B$1:$BX$1,0),FALSE)+VLOOKUP($B300,Kraftvärmeprod!$B$1:$BX$550,MATCH(AZ$2,Kraftvärmeprod!$B$1:$BX$1,0),FALSE))/$AC300,"")</f>
        <v/>
      </c>
      <c r="BA300" s="77" t="str">
        <f>IF($AY300="ja",(VLOOKUP($B300,'Egen hetvattenprod'!$B$1:$BX$550,MATCH(BA$2,'Egen hetvattenprod'!$B$1:$BX$1,0),FALSE)+VLOOKUP($B300,Kraftvärmeprod!$B$1:$BX$550,MATCH(BA$2,Kraftvärmeprod!$B$1:$BX$1,0),FALSE))/$AC300,"")</f>
        <v/>
      </c>
      <c r="BB300" s="77" t="str">
        <f>IF($AY300="ja",(VLOOKUP($B300,'Egen hetvattenprod'!$B$1:$BX$550,MATCH(BB$2,'Egen hetvattenprod'!$B$1:$BX$1,0),FALSE)+VLOOKUP($B300,Kraftvärmeprod!$B$1:$BX$550,MATCH(BB$2,Kraftvärmeprod!$B$1:$BX$1,0),FALSE))/$AC300,"")</f>
        <v/>
      </c>
      <c r="BC300" s="77" t="str">
        <f>IF($AY300="ja",(VLOOKUP($B300,'Egen hetvattenprod'!$B$1:$BX$550,MATCH(BC$2,'Egen hetvattenprod'!$B$1:$BX$1,0),FALSE)+VLOOKUP($B300,Kraftvärmeprod!$B$1:$BX$550,MATCH(BC$2,Kraftvärmeprod!$B$1:$BX$1,0),FALSE))/$AC300,"")</f>
        <v/>
      </c>
      <c r="BD300" s="77" t="str">
        <f>IF($AY300="ja",(VLOOKUP($B300,'Egen hetvattenprod'!$B$1:$BX$550,MATCH(BD$2,'Egen hetvattenprod'!$B$1:$BX$1,0),FALSE)+VLOOKUP($B300,Kraftvärmeprod!$B$1:$BX$550,MATCH(BD$2,Kraftvärmeprod!$B$1:$BX$1,0),FALSE))/$AC300,"")</f>
        <v/>
      </c>
      <c r="BF300" s="63" t="str">
        <f t="shared" si="29"/>
        <v>Nej</v>
      </c>
      <c r="BG300" s="63" t="str">
        <f>IF($BF300="ja",VLOOKUP($B300,'Egen hetvattenprod'!$B$1:$BX$550,MATCH("Andelen klimatgaser med fossilt ursprung för avfall ()",'Egen hetvattenprod'!$B$1:$BX$1,0),FALSE),"")</f>
        <v/>
      </c>
      <c r="BH300" s="63" t="str">
        <f>IF($BF300="ja",VLOOKUP($B300,Kraftvärmeprod!$B$1:$BX$550,MATCH("Andelen klimatgaser med fossilt ursprung för avfall ()",Kraftvärmeprod!$B$1:$BX$1,0),FALSE),"")</f>
        <v/>
      </c>
      <c r="BI300" s="63" t="str">
        <f>IF($BF300="ja",VLOOKUP($B300,'Egen hetvattenprod'!$B$1:$BX$550,MATCH("Avfall (GWh)",'Egen hetvattenprod'!$B$1:$BX$1,0),FALSE),"")</f>
        <v/>
      </c>
      <c r="BJ300" s="63" t="str">
        <f>IF($BF300="ja",VLOOKUP($B300,'Slutlig allokering kvv'!$B$1:$BX$550,MATCH("Avfall (GWh)",'Slutlig allokering kvv'!$B$1:$BX$1,0),FALSE),"")</f>
        <v/>
      </c>
      <c r="BK300" s="63" t="str">
        <f>IF($BF300="ja",VLOOKUP($B300,'Köpt hetvatten'!$B$1:$BX$550,MATCH("Avfall i köpt hetvatten",'Köpt hetvatten'!$B$1:$BX$1,0),FALSE),"")</f>
        <v/>
      </c>
      <c r="BL300" s="63" t="str">
        <f>IF($BF300="ja",VLOOKUP($B300,'Egen hetvattenprod'!$B$1:$BX$550,MATCH("Värde enligt ovan. (%)",'Egen hetvattenprod'!$B$1:$BX$1,0),FALSE),"")</f>
        <v/>
      </c>
      <c r="BM300" s="63" t="str">
        <f>IF($BF300="ja",VLOOKUP($B300,Kraftvärmeprod!$B$1:$BX$550,MATCH("Värde enligt ovan. (%)",Kraftvärmeprod!$B$1:$BX$1,0),FALSE),"")</f>
        <v/>
      </c>
    </row>
    <row r="301" spans="1:65" x14ac:dyDescent="0.45">
      <c r="A301" s="63" t="s">
        <v>289</v>
      </c>
      <c r="B301" s="63" t="s">
        <v>288</v>
      </c>
      <c r="C301" s="63">
        <f>VLOOKUP($B301,'Tillförd energi'!$B$1:$AI$720,MATCH(C$2,'Tillförd energi'!$B$1:$AQ$1,0),FALSE)</f>
        <v>0</v>
      </c>
      <c r="D301" s="63">
        <f>VLOOKUP($B301,'Tillförd energi'!$B$1:$AI$720,MATCH(D$2,'Tillförd energi'!$B$1:$AQ$1,0),FALSE)</f>
        <v>0.21</v>
      </c>
      <c r="E301" s="63">
        <f>VLOOKUP($B301,'Tillförd energi'!$B$1:$AI$720,MATCH(E$2,'Tillförd energi'!$B$1:$AQ$1,0),FALSE)</f>
        <v>0</v>
      </c>
      <c r="F301" s="63">
        <f>VLOOKUP($B301,'Tillförd energi'!$B$1:$AI$720,MATCH(F$2,'Tillförd energi'!$B$1:$AQ$1,0),FALSE)</f>
        <v>0</v>
      </c>
      <c r="G301" s="63">
        <f>VLOOKUP($B301,'Tillförd energi'!$B$1:$AI$720,MATCH(G$2,'Tillförd energi'!$B$1:$AQ$1,0),FALSE)</f>
        <v>0</v>
      </c>
      <c r="H301" s="63">
        <f>VLOOKUP($B301,'Tillförd energi'!$B$1:$AI$720,MATCH(H$2,'Tillförd energi'!$B$1:$AQ$1,0),FALSE)</f>
        <v>0</v>
      </c>
      <c r="I301" s="63">
        <f>VLOOKUP($B301,'Tillförd energi'!$B$1:$AI$720,MATCH(I$2,'Tillförd energi'!$B$1:$AQ$1,0),FALSE)</f>
        <v>0</v>
      </c>
      <c r="J301" s="63">
        <f>VLOOKUP($B301,'Tillförd energi'!$B$1:$AI$720,MATCH(J$2,'Tillförd energi'!$B$1:$AQ$1,0),FALSE)</f>
        <v>0</v>
      </c>
      <c r="K301" s="63">
        <f>VLOOKUP($B301,'Tillförd energi'!$B$1:$AI$720,MATCH(K$2,'Tillförd energi'!$B$1:$AQ$1,0),FALSE)</f>
        <v>0</v>
      </c>
      <c r="L301" s="63">
        <f>VLOOKUP($B301,'Tillförd energi'!$B$1:$AI$720,MATCH(L$2,'Tillförd energi'!$B$1:$AQ$1,0),FALSE)</f>
        <v>0</v>
      </c>
      <c r="M301" s="63">
        <f>VLOOKUP($B301,'Tillförd energi'!$B$1:$AI$720,MATCH(M$2,'Tillförd energi'!$B$1:$AQ$1,0),FALSE)</f>
        <v>0</v>
      </c>
      <c r="N301" s="63">
        <f>VLOOKUP($B301,'Tillförd energi'!$B$1:$AI$720,MATCH(N$2,'Tillförd energi'!$B$1:$AQ$1,0),FALSE)</f>
        <v>19.382999999999999</v>
      </c>
      <c r="O301" s="63">
        <f>VLOOKUP($B301,'Tillförd energi'!$B$1:$AI$720,MATCH(O$2,'Tillförd energi'!$B$1:$AQ$1,0),FALSE)</f>
        <v>0</v>
      </c>
      <c r="P301" s="63">
        <f>VLOOKUP($B301,'Tillförd energi'!$B$1:$AI$720,MATCH(P$2,'Tillförd energi'!$B$1:$AQ$1,0),FALSE)</f>
        <v>0</v>
      </c>
      <c r="Q301" s="63">
        <f>VLOOKUP($B301,'Tillförd energi'!$B$1:$AI$720,MATCH(Q$2,'Tillförd energi'!$B$1:$AQ$1,0),FALSE)</f>
        <v>4.5305900000000001</v>
      </c>
      <c r="R301" s="63">
        <f>VLOOKUP($B301,'Tillförd energi'!$B$1:$AI$720,MATCH(R$2,'Tillförd energi'!$B$1:$AQ$1,0),FALSE)</f>
        <v>0</v>
      </c>
      <c r="S301" s="63">
        <f>VLOOKUP($B301,'Tillförd energi'!$B$1:$AI$720,MATCH(S$2,'Tillförd energi'!$B$1:$AQ$1,0),FALSE)</f>
        <v>0</v>
      </c>
      <c r="T301" s="63">
        <f>VLOOKUP($B301,'Tillförd energi'!$B$1:$AI$720,MATCH(T$2,'Tillförd energi'!$B$1:$AQ$1,0),FALSE)</f>
        <v>0</v>
      </c>
      <c r="U301" s="63">
        <f>VLOOKUP($B301,'Tillförd energi'!$B$1:$AI$720,MATCH(U$2,'Tillförd energi'!$B$1:$AQ$1,0),FALSE)</f>
        <v>0</v>
      </c>
      <c r="V301" s="63">
        <f>VLOOKUP($B301,'Tillförd energi'!$B$1:$AI$720,MATCH(V$2,'Tillförd energi'!$B$1:$AQ$1,0),FALSE)</f>
        <v>0</v>
      </c>
      <c r="W301" s="63">
        <f>VLOOKUP($B301,'Tillförd energi'!$B$1:$AI$720,MATCH(W$2,'Tillförd energi'!$B$1:$AQ$1,0),FALSE)</f>
        <v>0</v>
      </c>
      <c r="X301" s="63">
        <f>VLOOKUP($B301,'Tillförd energi'!$B$1:$AI$720,MATCH(X$2,'Tillförd energi'!$B$1:$AQ$1,0),FALSE)</f>
        <v>0</v>
      </c>
      <c r="Y301" s="63">
        <f>VLOOKUP($B301,'Tillförd energi'!$B$1:$AI$720,MATCH(Y$2,'Tillförd energi'!$B$1:$AQ$1,0),FALSE)</f>
        <v>0</v>
      </c>
      <c r="Z301" s="63">
        <f>VLOOKUP($B301,'Tillförd energi'!$B$1:$AI$720,MATCH(Z$2,'Tillförd energi'!$B$1:$AQ$1,0),FALSE)</f>
        <v>0</v>
      </c>
      <c r="AA301" s="63">
        <f>VLOOKUP($B301,'Tillförd energi'!$B$1:$AI$720,MATCH(AA$2,'Tillförd energi'!$B$1:$AQ$1,0),FALSE)</f>
        <v>0</v>
      </c>
      <c r="AB301" s="63">
        <f>VLOOKUP($B301,'Tillförd energi'!$B$1:$AI$720,MATCH(AB$2,'Tillförd energi'!$B$1:$AQ$1,0),FALSE)</f>
        <v>0</v>
      </c>
      <c r="AC301" s="63">
        <f>VLOOKUP($B301,'Tillförd energi'!$B$1:$AI$720,MATCH(AC$2,'Tillförd energi'!$B$1:$AQ$1,0),FALSE)</f>
        <v>4.7039999999999997</v>
      </c>
      <c r="AD301" s="63">
        <f>VLOOKUP($B301,'Tillförd energi'!$B$1:$AI$720,MATCH(AD$2,'Tillförd energi'!$B$1:$AQ$1,0),FALSE)</f>
        <v>0</v>
      </c>
      <c r="AE301" s="63">
        <f>VLOOKUP($B301,'Tillförd energi'!$B$1:$AI$720,MATCH(AE$2,'Tillförd energi'!$B$1:$AQ$1,0),FALSE)</f>
        <v>0</v>
      </c>
      <c r="AF301" s="63">
        <f>VLOOKUP($B301,'Tillförd energi'!$B$1:$AI$720,MATCH(AF$2,'Tillförd energi'!$B$1:$AQ$1,0),FALSE)</f>
        <v>0.59499999999999997</v>
      </c>
      <c r="AG301" s="63">
        <f>IFERROR(VLOOKUP(B301,Miljö!$B$1:$AC$550,MATCH("Köpt mängd produktionsspecifik fjärrvärme:",Miljö!$B$1:$AC$1,0),FALSE)/1,0)</f>
        <v>0</v>
      </c>
      <c r="AI301" s="63">
        <f t="shared" si="24"/>
        <v>29.42259</v>
      </c>
      <c r="AJ301" s="63">
        <f>IF(ISERROR(1/VLOOKUP($B301,Leveranser!$B$1:$S$500,MATCH("såld värme (gwh)",Leveranser!$B$1:$S$1,0),FALSE)),"",VLOOKUP($B301,Leveranser!$B$1:$S$500,MATCH("såld värme (gwh)",Leveranser!$B$1:$S$1,0),FALSE))</f>
        <v>30.116</v>
      </c>
      <c r="AM301" s="63" t="str">
        <f>IF(B301&lt;&gt;"",IF(VLOOKUP($B301,Totalt!$B$1:$AQ$554,MATCH("Kvalitetsgranskad:",Totalt!$B$1:$AQ$1,0),FALSE)="ja",VLOOKUP($B301,Miljö!$B$1:$AG$479,MATCH(AM$2,Miljö!$B$1:$AK$1,0),FALSE),""),"")</f>
        <v>Ja</v>
      </c>
      <c r="AN301" s="63" t="str">
        <f>IF(AM301="ja",VLOOKUP($B301,Miljö!$B$1:$J$479,MATCH("Typ av ursprungsspecificerad el   (Om inget värde anges används Nordisk residualmix, se inforuta) ()",Miljö!$B$1:$J$1,0),FALSE),IF(AM301="nej","Nordisk residualel",""))</f>
        <v>'-'</v>
      </c>
      <c r="AO301" s="63">
        <f>IF(AM301="","",VLOOKUP($B301,Miljö!$B$1:$J$479,MATCH("Fossilandel för ursprungspecificerad el ()",Miljö!$B$1:$J$1,0),FALSE))</f>
        <v>0.35</v>
      </c>
      <c r="AQ301" s="63">
        <f t="shared" si="25"/>
        <v>0.65</v>
      </c>
      <c r="AS301" s="63" t="str">
        <f t="shared" si="26"/>
        <v>Nej</v>
      </c>
      <c r="AT301" s="63" t="str">
        <f>IF(AS301="ja",VLOOKUP($B301,Miljö!$B$1:$P$500,MATCH("Fossil andel i procent (%)",Miljö!$B$1:$P$1,0),FALSE)/100,"")</f>
        <v/>
      </c>
      <c r="AV301" s="63" t="str">
        <f t="shared" si="27"/>
        <v>Nej</v>
      </c>
      <c r="AW301" s="63" t="str">
        <f>IF(AV301="ja",VLOOKUP($B301,'Egen hetvattenprod'!$B$1:$AO$500,MATCH("Värmekälla till värmepumpar ()",'Egen hetvattenprod'!$B$1:$AO$1,0),FALSE),"")</f>
        <v/>
      </c>
      <c r="AY301" s="63" t="str">
        <f t="shared" si="28"/>
        <v>Ja</v>
      </c>
      <c r="AZ301" s="77">
        <f>IF($AY301="ja",(VLOOKUP($B301,'Egen hetvattenprod'!$B$1:$BX$550,MATCH(AZ$2,'Egen hetvattenprod'!$B$1:$BX$1,0),FALSE)+VLOOKUP($B301,Kraftvärmeprod!$B$1:$BX$550,MATCH(AZ$2,Kraftvärmeprod!$B$1:$BX$1,0),FALSE))/$AC301,"")</f>
        <v>1</v>
      </c>
      <c r="BA301" s="77">
        <f>IF($AY301="ja",(VLOOKUP($B301,'Egen hetvattenprod'!$B$1:$BX$550,MATCH(BA$2,'Egen hetvattenprod'!$B$1:$BX$1,0),FALSE)+VLOOKUP($B301,Kraftvärmeprod!$B$1:$BX$550,MATCH(BA$2,Kraftvärmeprod!$B$1:$BX$1,0),FALSE))/$AC301,"")</f>
        <v>0</v>
      </c>
      <c r="BB301" s="77">
        <f>IF($AY301="ja",(VLOOKUP($B301,'Egen hetvattenprod'!$B$1:$BX$550,MATCH(BB$2,'Egen hetvattenprod'!$B$1:$BX$1,0),FALSE)+VLOOKUP($B301,Kraftvärmeprod!$B$1:$BX$550,MATCH(BB$2,Kraftvärmeprod!$B$1:$BX$1,0),FALSE))/$AC301,"")</f>
        <v>0</v>
      </c>
      <c r="BC301" s="77">
        <f>IF($AY301="ja",(VLOOKUP($B301,'Egen hetvattenprod'!$B$1:$BX$550,MATCH(BC$2,'Egen hetvattenprod'!$B$1:$BX$1,0),FALSE)+VLOOKUP($B301,Kraftvärmeprod!$B$1:$BX$550,MATCH(BC$2,Kraftvärmeprod!$B$1:$BX$1,0),FALSE))/$AC301,"")</f>
        <v>0</v>
      </c>
      <c r="BD301" s="77">
        <f>IF($AY301="ja",(VLOOKUP($B301,'Egen hetvattenprod'!$B$1:$BX$550,MATCH(BD$2,'Egen hetvattenprod'!$B$1:$BX$1,0),FALSE)+VLOOKUP($B301,Kraftvärmeprod!$B$1:$BX$550,MATCH(BD$2,Kraftvärmeprod!$B$1:$BX$1,0),FALSE))/$AC301,"")</f>
        <v>0</v>
      </c>
      <c r="BF301" s="63" t="str">
        <f t="shared" si="29"/>
        <v>Nej</v>
      </c>
      <c r="BG301" s="63" t="str">
        <f>IF($BF301="ja",VLOOKUP($B301,'Egen hetvattenprod'!$B$1:$BX$550,MATCH("Andelen klimatgaser med fossilt ursprung för avfall ()",'Egen hetvattenprod'!$B$1:$BX$1,0),FALSE),"")</f>
        <v/>
      </c>
      <c r="BH301" s="63" t="str">
        <f>IF($BF301="ja",VLOOKUP($B301,Kraftvärmeprod!$B$1:$BX$550,MATCH("Andelen klimatgaser med fossilt ursprung för avfall ()",Kraftvärmeprod!$B$1:$BX$1,0),FALSE),"")</f>
        <v/>
      </c>
      <c r="BI301" s="63" t="str">
        <f>IF($BF301="ja",VLOOKUP($B301,'Egen hetvattenprod'!$B$1:$BX$550,MATCH("Avfall (GWh)",'Egen hetvattenprod'!$B$1:$BX$1,0),FALSE),"")</f>
        <v/>
      </c>
      <c r="BJ301" s="63" t="str">
        <f>IF($BF301="ja",VLOOKUP($B301,'Slutlig allokering kvv'!$B$1:$BX$550,MATCH("Avfall (GWh)",'Slutlig allokering kvv'!$B$1:$BX$1,0),FALSE),"")</f>
        <v/>
      </c>
      <c r="BK301" s="63" t="str">
        <f>IF($BF301="ja",VLOOKUP($B301,'Köpt hetvatten'!$B$1:$BX$550,MATCH("Avfall i köpt hetvatten",'Köpt hetvatten'!$B$1:$BX$1,0),FALSE),"")</f>
        <v/>
      </c>
      <c r="BL301" s="63" t="str">
        <f>IF($BF301="ja",VLOOKUP($B301,'Egen hetvattenprod'!$B$1:$BX$550,MATCH("Värde enligt ovan. (%)",'Egen hetvattenprod'!$B$1:$BX$1,0),FALSE),"")</f>
        <v/>
      </c>
      <c r="BM301" s="63" t="str">
        <f>IF($BF301="ja",VLOOKUP($B301,Kraftvärmeprod!$B$1:$BX$550,MATCH("Värde enligt ovan. (%)",Kraftvärmeprod!$B$1:$BX$1,0),FALSE),"")</f>
        <v/>
      </c>
    </row>
    <row r="302" spans="1:65" x14ac:dyDescent="0.45">
      <c r="A302" s="63" t="s">
        <v>289</v>
      </c>
      <c r="B302" s="63" t="s">
        <v>293</v>
      </c>
      <c r="C302" s="63">
        <f>VLOOKUP($B302,'Tillförd energi'!$B$1:$AI$720,MATCH(C$2,'Tillförd energi'!$B$1:$AQ$1,0),FALSE)</f>
        <v>0</v>
      </c>
      <c r="D302" s="63">
        <f>VLOOKUP($B302,'Tillförd energi'!$B$1:$AI$720,MATCH(D$2,'Tillförd energi'!$B$1:$AQ$1,0),FALSE)</f>
        <v>3.6999999999999998E-2</v>
      </c>
      <c r="E302" s="63">
        <f>VLOOKUP($B302,'Tillförd energi'!$B$1:$AI$720,MATCH(E$2,'Tillförd energi'!$B$1:$AQ$1,0),FALSE)</f>
        <v>0</v>
      </c>
      <c r="F302" s="63">
        <f>VLOOKUP($B302,'Tillförd energi'!$B$1:$AI$720,MATCH(F$2,'Tillförd energi'!$B$1:$AQ$1,0),FALSE)</f>
        <v>0.39900000000000002</v>
      </c>
      <c r="G302" s="63">
        <f>VLOOKUP($B302,'Tillförd energi'!$B$1:$AI$720,MATCH(G$2,'Tillförd energi'!$B$1:$AQ$1,0),FALSE)</f>
        <v>0</v>
      </c>
      <c r="H302" s="63">
        <f>VLOOKUP($B302,'Tillförd energi'!$B$1:$AI$720,MATCH(H$2,'Tillförd energi'!$B$1:$AQ$1,0),FALSE)</f>
        <v>0</v>
      </c>
      <c r="I302" s="63">
        <f>VLOOKUP($B302,'Tillförd energi'!$B$1:$AI$720,MATCH(I$2,'Tillförd energi'!$B$1:$AQ$1,0),FALSE)</f>
        <v>0</v>
      </c>
      <c r="J302" s="63">
        <f>VLOOKUP($B302,'Tillförd energi'!$B$1:$AI$720,MATCH(J$2,'Tillförd energi'!$B$1:$AQ$1,0),FALSE)</f>
        <v>0</v>
      </c>
      <c r="K302" s="63">
        <f>VLOOKUP($B302,'Tillförd energi'!$B$1:$AI$720,MATCH(K$2,'Tillförd energi'!$B$1:$AQ$1,0),FALSE)</f>
        <v>0</v>
      </c>
      <c r="L302" s="63">
        <f>VLOOKUP($B302,'Tillförd energi'!$B$1:$AI$720,MATCH(L$2,'Tillförd energi'!$B$1:$AQ$1,0),FALSE)</f>
        <v>131.273</v>
      </c>
      <c r="M302" s="63">
        <f>VLOOKUP($B302,'Tillförd energi'!$B$1:$AI$720,MATCH(M$2,'Tillförd energi'!$B$1:$AQ$1,0),FALSE)</f>
        <v>0</v>
      </c>
      <c r="N302" s="63">
        <f>VLOOKUP($B302,'Tillförd energi'!$B$1:$AI$720,MATCH(N$2,'Tillförd energi'!$B$1:$AQ$1,0),FALSE)</f>
        <v>26.687000000000001</v>
      </c>
      <c r="O302" s="63">
        <f>VLOOKUP($B302,'Tillförd energi'!$B$1:$AI$720,MATCH(O$2,'Tillförd energi'!$B$1:$AQ$1,0),FALSE)</f>
        <v>0</v>
      </c>
      <c r="P302" s="63">
        <f>VLOOKUP($B302,'Tillförd energi'!$B$1:$AI$720,MATCH(P$2,'Tillförd energi'!$B$1:$AQ$1,0),FALSE)</f>
        <v>0</v>
      </c>
      <c r="Q302" s="63">
        <f>VLOOKUP($B302,'Tillförd energi'!$B$1:$AI$720,MATCH(Q$2,'Tillförd energi'!$B$1:$AQ$1,0),FALSE)</f>
        <v>0</v>
      </c>
      <c r="R302" s="63">
        <f>VLOOKUP($B302,'Tillförd energi'!$B$1:$AI$720,MATCH(R$2,'Tillförd energi'!$B$1:$AQ$1,0),FALSE)</f>
        <v>13.7</v>
      </c>
      <c r="S302" s="63">
        <f>VLOOKUP($B302,'Tillförd energi'!$B$1:$AI$720,MATCH(S$2,'Tillförd energi'!$B$1:$AQ$1,0),FALSE)</f>
        <v>0</v>
      </c>
      <c r="T302" s="63">
        <f>VLOOKUP($B302,'Tillförd energi'!$B$1:$AI$720,MATCH(T$2,'Tillförd energi'!$B$1:$AQ$1,0),FALSE)</f>
        <v>0</v>
      </c>
      <c r="U302" s="63">
        <f>VLOOKUP($B302,'Tillförd energi'!$B$1:$AI$720,MATCH(U$2,'Tillförd energi'!$B$1:$AQ$1,0),FALSE)</f>
        <v>0</v>
      </c>
      <c r="V302" s="63">
        <f>VLOOKUP($B302,'Tillförd energi'!$B$1:$AI$720,MATCH(V$2,'Tillförd energi'!$B$1:$AQ$1,0),FALSE)</f>
        <v>0</v>
      </c>
      <c r="W302" s="63">
        <f>VLOOKUP($B302,'Tillförd energi'!$B$1:$AI$720,MATCH(W$2,'Tillförd energi'!$B$1:$AQ$1,0),FALSE)</f>
        <v>3.0678800000000002</v>
      </c>
      <c r="X302" s="63">
        <f>VLOOKUP($B302,'Tillförd energi'!$B$1:$AI$720,MATCH(X$2,'Tillförd energi'!$B$1:$AQ$1,0),FALSE)</f>
        <v>0</v>
      </c>
      <c r="Y302" s="63">
        <f>VLOOKUP($B302,'Tillförd energi'!$B$1:$AI$720,MATCH(Y$2,'Tillförd energi'!$B$1:$AQ$1,0),FALSE)</f>
        <v>0</v>
      </c>
      <c r="Z302" s="63">
        <f>VLOOKUP($B302,'Tillförd energi'!$B$1:$AI$720,MATCH(Z$2,'Tillförd energi'!$B$1:$AQ$1,0),FALSE)</f>
        <v>0</v>
      </c>
      <c r="AA302" s="63">
        <f>VLOOKUP($B302,'Tillförd energi'!$B$1:$AI$720,MATCH(AA$2,'Tillförd energi'!$B$1:$AQ$1,0),FALSE)</f>
        <v>0</v>
      </c>
      <c r="AB302" s="63">
        <f>VLOOKUP($B302,'Tillförd energi'!$B$1:$AI$720,MATCH(AB$2,'Tillförd energi'!$B$1:$AQ$1,0),FALSE)</f>
        <v>0</v>
      </c>
      <c r="AC302" s="63">
        <f>VLOOKUP($B302,'Tillförd energi'!$B$1:$AI$720,MATCH(AC$2,'Tillförd energi'!$B$1:$AQ$1,0),FALSE)</f>
        <v>9.5410000000000004</v>
      </c>
      <c r="AD302" s="63">
        <f>VLOOKUP($B302,'Tillförd energi'!$B$1:$AI$720,MATCH(AD$2,'Tillförd energi'!$B$1:$AQ$1,0),FALSE)</f>
        <v>0</v>
      </c>
      <c r="AE302" s="63">
        <f>VLOOKUP($B302,'Tillförd energi'!$B$1:$AI$720,MATCH(AE$2,'Tillförd energi'!$B$1:$AQ$1,0),FALSE)</f>
        <v>0</v>
      </c>
      <c r="AF302" s="63">
        <f>VLOOKUP($B302,'Tillförd energi'!$B$1:$AI$720,MATCH(AF$2,'Tillförd energi'!$B$1:$AQ$1,0),FALSE)</f>
        <v>5.0794499999999996</v>
      </c>
      <c r="AG302" s="63">
        <f>IFERROR(VLOOKUP(B302,Miljö!$B$1:$AC$550,MATCH("Köpt mängd produktionsspecifik fjärrvärme:",Miljö!$B$1:$AC$1,0),FALSE)/1,0)</f>
        <v>0</v>
      </c>
      <c r="AI302" s="63">
        <f t="shared" si="24"/>
        <v>189.78433000000001</v>
      </c>
      <c r="AJ302" s="63">
        <f>IF(ISERROR(1/VLOOKUP($B302,Leveranser!$B$1:$S$500,MATCH("såld värme (gwh)",Leveranser!$B$1:$S$1,0),FALSE)),"",VLOOKUP($B302,Leveranser!$B$1:$S$500,MATCH("såld värme (gwh)",Leveranser!$B$1:$S$1,0),FALSE))</f>
        <v>165.10300000000001</v>
      </c>
      <c r="AM302" s="63" t="str">
        <f>IF(B302&lt;&gt;"",IF(VLOOKUP($B302,Totalt!$B$1:$AQ$554,MATCH("Kvalitetsgranskad:",Totalt!$B$1:$AQ$1,0),FALSE)="ja",VLOOKUP($B302,Miljö!$B$1:$AG$479,MATCH(AM$2,Miljö!$B$1:$AK$1,0),FALSE),""),"")</f>
        <v>Ja</v>
      </c>
      <c r="AN302" s="63" t="str">
        <f>IF(AM302="ja",VLOOKUP($B302,Miljö!$B$1:$J$479,MATCH("Typ av ursprungsspecificerad el   (Om inget värde anges används Nordisk residualmix, se inforuta) ()",Miljö!$B$1:$J$1,0),FALSE),IF(AM302="nej","Nordisk residualel",""))</f>
        <v>'Biobränsle'</v>
      </c>
      <c r="AO302" s="63">
        <f>IF(AM302="","",VLOOKUP($B302,Miljö!$B$1:$J$479,MATCH("Fossilandel för ursprungspecificerad el ()",Miljö!$B$1:$J$1,0),FALSE))</f>
        <v>0</v>
      </c>
      <c r="AQ302" s="63">
        <f t="shared" si="25"/>
        <v>1</v>
      </c>
      <c r="AS302" s="63" t="str">
        <f t="shared" si="26"/>
        <v>Nej</v>
      </c>
      <c r="AT302" s="63" t="str">
        <f>IF(AS302="ja",VLOOKUP($B302,Miljö!$B$1:$P$500,MATCH("Fossil andel i procent (%)",Miljö!$B$1:$P$1,0),FALSE)/100,"")</f>
        <v/>
      </c>
      <c r="AV302" s="63" t="str">
        <f t="shared" si="27"/>
        <v>Nej</v>
      </c>
      <c r="AW302" s="63" t="str">
        <f>IF(AV302="ja",VLOOKUP($B302,'Egen hetvattenprod'!$B$1:$AO$500,MATCH("Värmekälla till värmepumpar ()",'Egen hetvattenprod'!$B$1:$AO$1,0),FALSE),"")</f>
        <v/>
      </c>
      <c r="AY302" s="63" t="str">
        <f t="shared" si="28"/>
        <v>Ja</v>
      </c>
      <c r="AZ302" s="77">
        <f>IF($AY302="ja",(VLOOKUP($B302,'Egen hetvattenprod'!$B$1:$BX$550,MATCH(AZ$2,'Egen hetvattenprod'!$B$1:$BX$1,0),FALSE)+VLOOKUP($B302,Kraftvärmeprod!$B$1:$BX$550,MATCH(AZ$2,Kraftvärmeprod!$B$1:$BX$1,0),FALSE))/$AC302,"")</f>
        <v>1</v>
      </c>
      <c r="BA302" s="77">
        <f>IF($AY302="ja",(VLOOKUP($B302,'Egen hetvattenprod'!$B$1:$BX$550,MATCH(BA$2,'Egen hetvattenprod'!$B$1:$BX$1,0),FALSE)+VLOOKUP($B302,Kraftvärmeprod!$B$1:$BX$550,MATCH(BA$2,Kraftvärmeprod!$B$1:$BX$1,0),FALSE))/$AC302,"")</f>
        <v>0</v>
      </c>
      <c r="BB302" s="77">
        <f>IF($AY302="ja",(VLOOKUP($B302,'Egen hetvattenprod'!$B$1:$BX$550,MATCH(BB$2,'Egen hetvattenprod'!$B$1:$BX$1,0),FALSE)+VLOOKUP($B302,Kraftvärmeprod!$B$1:$BX$550,MATCH(BB$2,Kraftvärmeprod!$B$1:$BX$1,0),FALSE))/$AC302,"")</f>
        <v>0</v>
      </c>
      <c r="BC302" s="77">
        <f>IF($AY302="ja",(VLOOKUP($B302,'Egen hetvattenprod'!$B$1:$BX$550,MATCH(BC$2,'Egen hetvattenprod'!$B$1:$BX$1,0),FALSE)+VLOOKUP($B302,Kraftvärmeprod!$B$1:$BX$550,MATCH(BC$2,Kraftvärmeprod!$B$1:$BX$1,0),FALSE))/$AC302,"")</f>
        <v>0</v>
      </c>
      <c r="BD302" s="77">
        <f>IF($AY302="ja",(VLOOKUP($B302,'Egen hetvattenprod'!$B$1:$BX$550,MATCH(BD$2,'Egen hetvattenprod'!$B$1:$BX$1,0),FALSE)+VLOOKUP($B302,Kraftvärmeprod!$B$1:$BX$550,MATCH(BD$2,Kraftvärmeprod!$B$1:$BX$1,0),FALSE))/$AC302,"")</f>
        <v>0</v>
      </c>
      <c r="BF302" s="63" t="str">
        <f t="shared" si="29"/>
        <v>Nej</v>
      </c>
      <c r="BG302" s="63" t="str">
        <f>IF($BF302="ja",VLOOKUP($B302,'Egen hetvattenprod'!$B$1:$BX$550,MATCH("Andelen klimatgaser med fossilt ursprung för avfall ()",'Egen hetvattenprod'!$B$1:$BX$1,0),FALSE),"")</f>
        <v/>
      </c>
      <c r="BH302" s="63" t="str">
        <f>IF($BF302="ja",VLOOKUP($B302,Kraftvärmeprod!$B$1:$BX$550,MATCH("Andelen klimatgaser med fossilt ursprung för avfall ()",Kraftvärmeprod!$B$1:$BX$1,0),FALSE),"")</f>
        <v/>
      </c>
      <c r="BI302" s="63" t="str">
        <f>IF($BF302="ja",VLOOKUP($B302,'Egen hetvattenprod'!$B$1:$BX$550,MATCH("Avfall (GWh)",'Egen hetvattenprod'!$B$1:$BX$1,0),FALSE),"")</f>
        <v/>
      </c>
      <c r="BJ302" s="63" t="str">
        <f>IF($BF302="ja",VLOOKUP($B302,'Slutlig allokering kvv'!$B$1:$BX$550,MATCH("Avfall (GWh)",'Slutlig allokering kvv'!$B$1:$BX$1,0),FALSE),"")</f>
        <v/>
      </c>
      <c r="BK302" s="63" t="str">
        <f>IF($BF302="ja",VLOOKUP($B302,'Köpt hetvatten'!$B$1:$BX$550,MATCH("Avfall i köpt hetvatten",'Köpt hetvatten'!$B$1:$BX$1,0),FALSE),"")</f>
        <v/>
      </c>
      <c r="BL302" s="63" t="str">
        <f>IF($BF302="ja",VLOOKUP($B302,'Egen hetvattenprod'!$B$1:$BX$550,MATCH("Värde enligt ovan. (%)",'Egen hetvattenprod'!$B$1:$BX$1,0),FALSE),"")</f>
        <v/>
      </c>
      <c r="BM302" s="63" t="str">
        <f>IF($BF302="ja",VLOOKUP($B302,Kraftvärmeprod!$B$1:$BX$550,MATCH("Värde enligt ovan. (%)",Kraftvärmeprod!$B$1:$BX$1,0),FALSE),"")</f>
        <v/>
      </c>
    </row>
    <row r="303" spans="1:65" x14ac:dyDescent="0.45">
      <c r="A303" s="63" t="s">
        <v>286</v>
      </c>
      <c r="B303" s="63" t="s">
        <v>287</v>
      </c>
      <c r="C303" s="63">
        <f>VLOOKUP($B303,'Tillförd energi'!$B$1:$AI$720,MATCH(C$2,'Tillförd energi'!$B$1:$AQ$1,0),FALSE)</f>
        <v>0</v>
      </c>
      <c r="D303" s="63">
        <f>VLOOKUP($B303,'Tillförd energi'!$B$1:$AI$720,MATCH(D$2,'Tillförd energi'!$B$1:$AQ$1,0),FALSE)</f>
        <v>0</v>
      </c>
      <c r="E303" s="63">
        <f>VLOOKUP($B303,'Tillförd energi'!$B$1:$AI$720,MATCH(E$2,'Tillförd energi'!$B$1:$AQ$1,0),FALSE)</f>
        <v>0</v>
      </c>
      <c r="F303" s="63">
        <f>VLOOKUP($B303,'Tillförd energi'!$B$1:$AI$720,MATCH(F$2,'Tillförd energi'!$B$1:$AQ$1,0),FALSE)</f>
        <v>0</v>
      </c>
      <c r="G303" s="63">
        <f>VLOOKUP($B303,'Tillförd energi'!$B$1:$AI$720,MATCH(G$2,'Tillförd energi'!$B$1:$AQ$1,0),FALSE)</f>
        <v>0</v>
      </c>
      <c r="H303" s="63">
        <f>VLOOKUP($B303,'Tillförd energi'!$B$1:$AI$720,MATCH(H$2,'Tillförd energi'!$B$1:$AQ$1,0),FALSE)</f>
        <v>0</v>
      </c>
      <c r="I303" s="63">
        <f>VLOOKUP($B303,'Tillförd energi'!$B$1:$AI$720,MATCH(I$2,'Tillförd energi'!$B$1:$AQ$1,0),FALSE)</f>
        <v>0</v>
      </c>
      <c r="J303" s="63">
        <f>VLOOKUP($B303,'Tillförd energi'!$B$1:$AI$720,MATCH(J$2,'Tillförd energi'!$B$1:$AQ$1,0),FALSE)</f>
        <v>1.2470000000000001</v>
      </c>
      <c r="K303" s="63">
        <f>VLOOKUP($B303,'Tillförd energi'!$B$1:$AI$720,MATCH(K$2,'Tillförd energi'!$B$1:$AQ$1,0),FALSE)</f>
        <v>0</v>
      </c>
      <c r="L303" s="63">
        <f>VLOOKUP($B303,'Tillförd energi'!$B$1:$AI$720,MATCH(L$2,'Tillförd energi'!$B$1:$AQ$1,0),FALSE)</f>
        <v>0</v>
      </c>
      <c r="M303" s="63">
        <f>VLOOKUP($B303,'Tillförd energi'!$B$1:$AI$720,MATCH(M$2,'Tillförd energi'!$B$1:$AQ$1,0),FALSE)</f>
        <v>0</v>
      </c>
      <c r="N303" s="63">
        <f>VLOOKUP($B303,'Tillförd energi'!$B$1:$AI$720,MATCH(N$2,'Tillförd energi'!$B$1:$AQ$1,0),FALSE)</f>
        <v>0</v>
      </c>
      <c r="O303" s="63">
        <f>VLOOKUP($B303,'Tillförd energi'!$B$1:$AI$720,MATCH(O$2,'Tillförd energi'!$B$1:$AQ$1,0),FALSE)</f>
        <v>0</v>
      </c>
      <c r="P303" s="63">
        <f>VLOOKUP($B303,'Tillförd energi'!$B$1:$AI$720,MATCH(P$2,'Tillförd energi'!$B$1:$AQ$1,0),FALSE)</f>
        <v>0</v>
      </c>
      <c r="Q303" s="63">
        <f>VLOOKUP($B303,'Tillförd energi'!$B$1:$AI$720,MATCH(Q$2,'Tillförd energi'!$B$1:$AQ$1,0),FALSE)</f>
        <v>0</v>
      </c>
      <c r="R303" s="63">
        <f>VLOOKUP($B303,'Tillförd energi'!$B$1:$AI$720,MATCH(R$2,'Tillförd energi'!$B$1:$AQ$1,0),FALSE)</f>
        <v>0.82099999999999995</v>
      </c>
      <c r="S303" s="63">
        <f>VLOOKUP($B303,'Tillförd energi'!$B$1:$AI$720,MATCH(S$2,'Tillförd energi'!$B$1:$AQ$1,0),FALSE)</f>
        <v>0</v>
      </c>
      <c r="T303" s="63">
        <f>VLOOKUP($B303,'Tillförd energi'!$B$1:$AI$720,MATCH(T$2,'Tillförd energi'!$B$1:$AQ$1,0),FALSE)</f>
        <v>0</v>
      </c>
      <c r="U303" s="63">
        <f>VLOOKUP($B303,'Tillförd energi'!$B$1:$AI$720,MATCH(U$2,'Tillförd energi'!$B$1:$AQ$1,0),FALSE)</f>
        <v>0</v>
      </c>
      <c r="V303" s="63">
        <f>VLOOKUP($B303,'Tillförd energi'!$B$1:$AI$720,MATCH(V$2,'Tillförd energi'!$B$1:$AQ$1,0),FALSE)</f>
        <v>0</v>
      </c>
      <c r="W303" s="63">
        <f>VLOOKUP($B303,'Tillförd energi'!$B$1:$AI$720,MATCH(W$2,'Tillförd energi'!$B$1:$AQ$1,0),FALSE)</f>
        <v>7.4139999999999997</v>
      </c>
      <c r="X303" s="63">
        <f>VLOOKUP($B303,'Tillförd energi'!$B$1:$AI$720,MATCH(X$2,'Tillförd energi'!$B$1:$AQ$1,0),FALSE)</f>
        <v>0</v>
      </c>
      <c r="Y303" s="63">
        <f>VLOOKUP($B303,'Tillförd energi'!$B$1:$AI$720,MATCH(Y$2,'Tillförd energi'!$B$1:$AQ$1,0),FALSE)</f>
        <v>0</v>
      </c>
      <c r="Z303" s="63">
        <f>VLOOKUP($B303,'Tillförd energi'!$B$1:$AI$720,MATCH(Z$2,'Tillförd energi'!$B$1:$AQ$1,0),FALSE)</f>
        <v>0</v>
      </c>
      <c r="AA303" s="63">
        <f>VLOOKUP($B303,'Tillförd energi'!$B$1:$AI$720,MATCH(AA$2,'Tillförd energi'!$B$1:$AQ$1,0),FALSE)</f>
        <v>0</v>
      </c>
      <c r="AB303" s="63">
        <f>VLOOKUP($B303,'Tillförd energi'!$B$1:$AI$720,MATCH(AB$2,'Tillförd energi'!$B$1:$AQ$1,0),FALSE)</f>
        <v>0</v>
      </c>
      <c r="AC303" s="63">
        <f>VLOOKUP($B303,'Tillförd energi'!$B$1:$AI$720,MATCH(AC$2,'Tillförd energi'!$B$1:$AQ$1,0),FALSE)</f>
        <v>0</v>
      </c>
      <c r="AD303" s="63">
        <f>VLOOKUP($B303,'Tillförd energi'!$B$1:$AI$720,MATCH(AD$2,'Tillförd energi'!$B$1:$AQ$1,0),FALSE)</f>
        <v>36.5</v>
      </c>
      <c r="AE303" s="63">
        <f>VLOOKUP($B303,'Tillförd energi'!$B$1:$AI$720,MATCH(AE$2,'Tillförd energi'!$B$1:$AQ$1,0),FALSE)</f>
        <v>0</v>
      </c>
      <c r="AF303" s="63">
        <f>VLOOKUP($B303,'Tillförd energi'!$B$1:$AI$720,MATCH(AF$2,'Tillförd energi'!$B$1:$AQ$1,0),FALSE)</f>
        <v>2.2000000000000002</v>
      </c>
      <c r="AG303" s="63">
        <f>IFERROR(VLOOKUP(B303,Miljö!$B$1:$AC$550,MATCH("Köpt mängd produktionsspecifik fjärrvärme:",Miljö!$B$1:$AC$1,0),FALSE)/1,0)</f>
        <v>0</v>
      </c>
      <c r="AI303" s="63">
        <f t="shared" si="24"/>
        <v>48.182000000000002</v>
      </c>
      <c r="AJ303" s="63">
        <f>IF(ISERROR(1/VLOOKUP($B303,Leveranser!$B$1:$S$500,MATCH("såld värme (gwh)",Leveranser!$B$1:$S$1,0),FALSE)),"",VLOOKUP($B303,Leveranser!$B$1:$S$500,MATCH("såld värme (gwh)",Leveranser!$B$1:$S$1,0),FALSE))</f>
        <v>42.49</v>
      </c>
      <c r="AM303" s="63" t="str">
        <f>IF(B303&lt;&gt;"",IF(VLOOKUP($B303,Totalt!$B$1:$AQ$554,MATCH("Kvalitetsgranskad:",Totalt!$B$1:$AQ$1,0),FALSE)="ja",VLOOKUP($B303,Miljö!$B$1:$AG$479,MATCH(AM$2,Miljö!$B$1:$AK$1,0),FALSE),""),"")</f>
        <v>Ja</v>
      </c>
      <c r="AN303" s="63" t="str">
        <f>IF(AM303="ja",VLOOKUP($B303,Miljö!$B$1:$J$479,MATCH("Typ av ursprungsspecificerad el   (Om inget värde anges används Nordisk residualmix, se inforuta) ()",Miljö!$B$1:$J$1,0),FALSE),IF(AM303="nej","Nordisk residualel",""))</f>
        <v>'Vind och vatten'</v>
      </c>
      <c r="AO303" s="63">
        <f>IF(AM303="","",VLOOKUP($B303,Miljö!$B$1:$J$479,MATCH("Fossilandel för ursprungspecificerad el ()",Miljö!$B$1:$J$1,0),FALSE))</f>
        <v>0</v>
      </c>
      <c r="AQ303" s="63">
        <f t="shared" si="25"/>
        <v>1</v>
      </c>
      <c r="AS303" s="63" t="str">
        <f t="shared" si="26"/>
        <v>Nej</v>
      </c>
      <c r="AT303" s="63" t="str">
        <f>IF(AS303="ja",VLOOKUP($B303,Miljö!$B$1:$P$500,MATCH("Fossil andel i procent (%)",Miljö!$B$1:$P$1,0),FALSE)/100,"")</f>
        <v/>
      </c>
      <c r="AV303" s="63" t="str">
        <f t="shared" si="27"/>
        <v>Nej</v>
      </c>
      <c r="AW303" s="63" t="str">
        <f>IF(AV303="ja",VLOOKUP($B303,'Egen hetvattenprod'!$B$1:$AO$500,MATCH("Värmekälla till värmepumpar ()",'Egen hetvattenprod'!$B$1:$AO$1,0),FALSE),"")</f>
        <v/>
      </c>
      <c r="AY303" s="63" t="str">
        <f t="shared" si="28"/>
        <v>Nej</v>
      </c>
      <c r="AZ303" s="77" t="str">
        <f>IF($AY303="ja",(VLOOKUP($B303,'Egen hetvattenprod'!$B$1:$BX$550,MATCH(AZ$2,'Egen hetvattenprod'!$B$1:$BX$1,0),FALSE)+VLOOKUP($B303,Kraftvärmeprod!$B$1:$BX$550,MATCH(AZ$2,Kraftvärmeprod!$B$1:$BX$1,0),FALSE))/$AC303,"")</f>
        <v/>
      </c>
      <c r="BA303" s="77" t="str">
        <f>IF($AY303="ja",(VLOOKUP($B303,'Egen hetvattenprod'!$B$1:$BX$550,MATCH(BA$2,'Egen hetvattenprod'!$B$1:$BX$1,0),FALSE)+VLOOKUP($B303,Kraftvärmeprod!$B$1:$BX$550,MATCH(BA$2,Kraftvärmeprod!$B$1:$BX$1,0),FALSE))/$AC303,"")</f>
        <v/>
      </c>
      <c r="BB303" s="77" t="str">
        <f>IF($AY303="ja",(VLOOKUP($B303,'Egen hetvattenprod'!$B$1:$BX$550,MATCH(BB$2,'Egen hetvattenprod'!$B$1:$BX$1,0),FALSE)+VLOOKUP($B303,Kraftvärmeprod!$B$1:$BX$550,MATCH(BB$2,Kraftvärmeprod!$B$1:$BX$1,0),FALSE))/$AC303,"")</f>
        <v/>
      </c>
      <c r="BC303" s="77" t="str">
        <f>IF($AY303="ja",(VLOOKUP($B303,'Egen hetvattenprod'!$B$1:$BX$550,MATCH(BC$2,'Egen hetvattenprod'!$B$1:$BX$1,0),FALSE)+VLOOKUP($B303,Kraftvärmeprod!$B$1:$BX$550,MATCH(BC$2,Kraftvärmeprod!$B$1:$BX$1,0),FALSE))/$AC303,"")</f>
        <v/>
      </c>
      <c r="BD303" s="77" t="str">
        <f>IF($AY303="ja",(VLOOKUP($B303,'Egen hetvattenprod'!$B$1:$BX$550,MATCH(BD$2,'Egen hetvattenprod'!$B$1:$BX$1,0),FALSE)+VLOOKUP($B303,Kraftvärmeprod!$B$1:$BX$550,MATCH(BD$2,Kraftvärmeprod!$B$1:$BX$1,0),FALSE))/$AC303,"")</f>
        <v/>
      </c>
      <c r="BF303" s="63" t="str">
        <f t="shared" si="29"/>
        <v>Nej</v>
      </c>
      <c r="BG303" s="63" t="str">
        <f>IF($BF303="ja",VLOOKUP($B303,'Egen hetvattenprod'!$B$1:$BX$550,MATCH("Andelen klimatgaser med fossilt ursprung för avfall ()",'Egen hetvattenprod'!$B$1:$BX$1,0),FALSE),"")</f>
        <v/>
      </c>
      <c r="BH303" s="63" t="str">
        <f>IF($BF303="ja",VLOOKUP($B303,Kraftvärmeprod!$B$1:$BX$550,MATCH("Andelen klimatgaser med fossilt ursprung för avfall ()",Kraftvärmeprod!$B$1:$BX$1,0),FALSE),"")</f>
        <v/>
      </c>
      <c r="BI303" s="63" t="str">
        <f>IF($BF303="ja",VLOOKUP($B303,'Egen hetvattenprod'!$B$1:$BX$550,MATCH("Avfall (GWh)",'Egen hetvattenprod'!$B$1:$BX$1,0),FALSE),"")</f>
        <v/>
      </c>
      <c r="BJ303" s="63" t="str">
        <f>IF($BF303="ja",VLOOKUP($B303,'Slutlig allokering kvv'!$B$1:$BX$550,MATCH("Avfall (GWh)",'Slutlig allokering kvv'!$B$1:$BX$1,0),FALSE),"")</f>
        <v/>
      </c>
      <c r="BK303" s="63" t="str">
        <f>IF($BF303="ja",VLOOKUP($B303,'Köpt hetvatten'!$B$1:$BX$550,MATCH("Avfall i köpt hetvatten",'Köpt hetvatten'!$B$1:$BX$1,0),FALSE),"")</f>
        <v/>
      </c>
      <c r="BL303" s="63" t="str">
        <f>IF($BF303="ja",VLOOKUP($B303,'Egen hetvattenprod'!$B$1:$BX$550,MATCH("Värde enligt ovan. (%)",'Egen hetvattenprod'!$B$1:$BX$1,0),FALSE),"")</f>
        <v/>
      </c>
      <c r="BM303" s="63" t="str">
        <f>IF($BF303="ja",VLOOKUP($B303,Kraftvärmeprod!$B$1:$BX$550,MATCH("Värde enligt ovan. (%)",Kraftvärmeprod!$B$1:$BX$1,0),FALSE),"")</f>
        <v/>
      </c>
    </row>
    <row r="304" spans="1:65" x14ac:dyDescent="0.45">
      <c r="A304" s="63" t="s">
        <v>286</v>
      </c>
      <c r="B304" s="63" t="s">
        <v>285</v>
      </c>
      <c r="C304" s="63">
        <f>VLOOKUP($B304,'Tillförd energi'!$B$1:$AI$720,MATCH(C$2,'Tillförd energi'!$B$1:$AQ$1,0),FALSE)</f>
        <v>0</v>
      </c>
      <c r="D304" s="63">
        <f>VLOOKUP($B304,'Tillförd energi'!$B$1:$AI$720,MATCH(D$2,'Tillförd energi'!$B$1:$AQ$1,0),FALSE)</f>
        <v>2.57538</v>
      </c>
      <c r="E304" s="63">
        <f>VLOOKUP($B304,'Tillförd energi'!$B$1:$AI$720,MATCH(E$2,'Tillförd energi'!$B$1:$AQ$1,0),FALSE)</f>
        <v>0</v>
      </c>
      <c r="F304" s="63">
        <f>VLOOKUP($B304,'Tillförd energi'!$B$1:$AI$720,MATCH(F$2,'Tillförd energi'!$B$1:$AQ$1,0),FALSE)</f>
        <v>1.3169999999999999</v>
      </c>
      <c r="G304" s="63">
        <f>VLOOKUP($B304,'Tillförd energi'!$B$1:$AI$720,MATCH(G$2,'Tillförd energi'!$B$1:$AQ$1,0),FALSE)</f>
        <v>0</v>
      </c>
      <c r="H304" s="63">
        <f>VLOOKUP($B304,'Tillförd energi'!$B$1:$AI$720,MATCH(H$2,'Tillförd energi'!$B$1:$AQ$1,0),FALSE)</f>
        <v>0</v>
      </c>
      <c r="I304" s="63">
        <f>VLOOKUP($B304,'Tillförd energi'!$B$1:$AI$720,MATCH(I$2,'Tillförd energi'!$B$1:$AQ$1,0),FALSE)</f>
        <v>111.87</v>
      </c>
      <c r="J304" s="63">
        <f>VLOOKUP($B304,'Tillförd energi'!$B$1:$AI$720,MATCH(J$2,'Tillförd energi'!$B$1:$AQ$1,0),FALSE)</f>
        <v>0</v>
      </c>
      <c r="K304" s="63">
        <f>VLOOKUP($B304,'Tillförd energi'!$B$1:$AI$720,MATCH(K$2,'Tillförd energi'!$B$1:$AQ$1,0),FALSE)</f>
        <v>0</v>
      </c>
      <c r="L304" s="63">
        <f>VLOOKUP($B304,'Tillförd energi'!$B$1:$AI$720,MATCH(L$2,'Tillförd energi'!$B$1:$AQ$1,0),FALSE)</f>
        <v>307.84800000000001</v>
      </c>
      <c r="M304" s="63">
        <f>VLOOKUP($B304,'Tillförd energi'!$B$1:$AI$720,MATCH(M$2,'Tillförd energi'!$B$1:$AQ$1,0),FALSE)</f>
        <v>1.7429299999999998E-2</v>
      </c>
      <c r="N304" s="63">
        <f>VLOOKUP($B304,'Tillförd energi'!$B$1:$AI$720,MATCH(N$2,'Tillförd energi'!$B$1:$AQ$1,0),FALSE)</f>
        <v>7.0063599999999999</v>
      </c>
      <c r="O304" s="63">
        <f>VLOOKUP($B304,'Tillförd energi'!$B$1:$AI$720,MATCH(O$2,'Tillförd energi'!$B$1:$AQ$1,0),FALSE)</f>
        <v>58.2804</v>
      </c>
      <c r="P304" s="63">
        <f>VLOOKUP($B304,'Tillförd energi'!$B$1:$AI$720,MATCH(P$2,'Tillförd energi'!$B$1:$AQ$1,0),FALSE)</f>
        <v>30.769100000000002</v>
      </c>
      <c r="Q304" s="63">
        <f>VLOOKUP($B304,'Tillförd energi'!$B$1:$AI$720,MATCH(Q$2,'Tillförd energi'!$B$1:$AQ$1,0),FALSE)</f>
        <v>0.71024399999999999</v>
      </c>
      <c r="R304" s="63">
        <f>VLOOKUP($B304,'Tillförd energi'!$B$1:$AI$720,MATCH(R$2,'Tillförd energi'!$B$1:$AQ$1,0),FALSE)</f>
        <v>13.11</v>
      </c>
      <c r="S304" s="63">
        <f>VLOOKUP($B304,'Tillförd energi'!$B$1:$AI$720,MATCH(S$2,'Tillförd energi'!$B$1:$AQ$1,0),FALSE)</f>
        <v>0</v>
      </c>
      <c r="T304" s="63">
        <f>VLOOKUP($B304,'Tillförd energi'!$B$1:$AI$720,MATCH(T$2,'Tillförd energi'!$B$1:$AQ$1,0),FALSE)</f>
        <v>0</v>
      </c>
      <c r="U304" s="63">
        <f>VLOOKUP($B304,'Tillförd energi'!$B$1:$AI$720,MATCH(U$2,'Tillförd energi'!$B$1:$AQ$1,0),FALSE)</f>
        <v>0</v>
      </c>
      <c r="V304" s="63">
        <f>VLOOKUP($B304,'Tillförd energi'!$B$1:$AI$720,MATCH(V$2,'Tillförd energi'!$B$1:$AQ$1,0),FALSE)</f>
        <v>5.6609999999999996</v>
      </c>
      <c r="W304" s="63">
        <f>VLOOKUP($B304,'Tillförd energi'!$B$1:$AI$720,MATCH(W$2,'Tillförd energi'!$B$1:$AQ$1,0),FALSE)</f>
        <v>0</v>
      </c>
      <c r="X304" s="63">
        <f>VLOOKUP($B304,'Tillförd energi'!$B$1:$AI$720,MATCH(X$2,'Tillförd energi'!$B$1:$AQ$1,0),FALSE)</f>
        <v>0</v>
      </c>
      <c r="Y304" s="63">
        <f>VLOOKUP($B304,'Tillförd energi'!$B$1:$AI$720,MATCH(Y$2,'Tillförd energi'!$B$1:$AQ$1,0),FALSE)</f>
        <v>0</v>
      </c>
      <c r="Z304" s="63">
        <f>VLOOKUP($B304,'Tillförd energi'!$B$1:$AI$720,MATCH(Z$2,'Tillförd energi'!$B$1:$AQ$1,0),FALSE)</f>
        <v>2.988</v>
      </c>
      <c r="AA304" s="63">
        <f>VLOOKUP($B304,'Tillförd energi'!$B$1:$AI$720,MATCH(AA$2,'Tillförd energi'!$B$1:$AQ$1,0),FALSE)</f>
        <v>0</v>
      </c>
      <c r="AB304" s="63">
        <f>VLOOKUP($B304,'Tillförd energi'!$B$1:$AI$720,MATCH(AB$2,'Tillförd energi'!$B$1:$AQ$1,0),FALSE)</f>
        <v>0</v>
      </c>
      <c r="AC304" s="63">
        <f>VLOOKUP($B304,'Tillförd energi'!$B$1:$AI$720,MATCH(AC$2,'Tillförd energi'!$B$1:$AQ$1,0),FALSE)</f>
        <v>148.64699999999999</v>
      </c>
      <c r="AD304" s="63">
        <f>VLOOKUP($B304,'Tillförd energi'!$B$1:$AI$720,MATCH(AD$2,'Tillförd energi'!$B$1:$AQ$1,0),FALSE)</f>
        <v>0</v>
      </c>
      <c r="AE304" s="63">
        <f>VLOOKUP($B304,'Tillförd energi'!$B$1:$AI$720,MATCH(AE$2,'Tillförd energi'!$B$1:$AQ$1,0),FALSE)</f>
        <v>0</v>
      </c>
      <c r="AF304" s="63">
        <f>VLOOKUP($B304,'Tillförd energi'!$B$1:$AI$720,MATCH(AF$2,'Tillförd energi'!$B$1:$AQ$1,0),FALSE)</f>
        <v>30.961099999999998</v>
      </c>
      <c r="AG304" s="63">
        <f>IFERROR(VLOOKUP(B304,Miljö!$B$1:$AC$550,MATCH("Köpt mängd produktionsspecifik fjärrvärme:",Miljö!$B$1:$AC$1,0),FALSE)/1,0)</f>
        <v>9.2100000000000009</v>
      </c>
      <c r="AI304" s="63">
        <f t="shared" si="24"/>
        <v>730.9710133000001</v>
      </c>
      <c r="AJ304" s="63">
        <f>IF(ISERROR(1/VLOOKUP($B304,Leveranser!$B$1:$S$500,MATCH("såld värme (gwh)",Leveranser!$B$1:$S$1,0),FALSE)),"",VLOOKUP($B304,Leveranser!$B$1:$S$500,MATCH("såld värme (gwh)",Leveranser!$B$1:$S$1,0),FALSE))</f>
        <v>668</v>
      </c>
      <c r="AM304" s="63" t="str">
        <f>IF(B304&lt;&gt;"",IF(VLOOKUP($B304,Totalt!$B$1:$AQ$554,MATCH("Kvalitetsgranskad:",Totalt!$B$1:$AQ$1,0),FALSE)="ja",VLOOKUP($B304,Miljö!$B$1:$AG$479,MATCH(AM$2,Miljö!$B$1:$AK$1,0),FALSE),""),"")</f>
        <v>Ja</v>
      </c>
      <c r="AN304" s="63" t="str">
        <f>IF(AM304="ja",VLOOKUP($B304,Miljö!$B$1:$J$479,MATCH("Typ av ursprungsspecificerad el   (Om inget värde anges används Nordisk residualmix, se inforuta) ()",Miljö!$B$1:$J$1,0),FALSE),IF(AM304="nej","Nordisk residualel",""))</f>
        <v>'Biokraft'</v>
      </c>
      <c r="AO304" s="63">
        <f>IF(AM304="","",VLOOKUP($B304,Miljö!$B$1:$J$479,MATCH("Fossilandel för ursprungspecificerad el ()",Miljö!$B$1:$J$1,0),FALSE))</f>
        <v>0</v>
      </c>
      <c r="AQ304" s="63">
        <f t="shared" si="25"/>
        <v>1</v>
      </c>
      <c r="AS304" s="63" t="str">
        <f t="shared" si="26"/>
        <v>Ja</v>
      </c>
      <c r="AT304" s="63">
        <f>IF(AS304="ja",VLOOKUP($B304,Miljö!$B$1:$P$500,MATCH("Fossil andel i procent (%)",Miljö!$B$1:$P$1,0),FALSE)/100,"")</f>
        <v>0.01</v>
      </c>
      <c r="AV304" s="63" t="str">
        <f t="shared" si="27"/>
        <v>Nej</v>
      </c>
      <c r="AW304" s="63" t="str">
        <f>IF(AV304="ja",VLOOKUP($B304,'Egen hetvattenprod'!$B$1:$AO$500,MATCH("Värmekälla till värmepumpar ()",'Egen hetvattenprod'!$B$1:$AO$1,0),FALSE),"")</f>
        <v/>
      </c>
      <c r="AY304" s="63" t="str">
        <f t="shared" si="28"/>
        <v>Ja</v>
      </c>
      <c r="AZ304" s="77">
        <f>IF($AY304="ja",(VLOOKUP($B304,'Egen hetvattenprod'!$B$1:$BX$550,MATCH(AZ$2,'Egen hetvattenprod'!$B$1:$BX$1,0),FALSE)+VLOOKUP($B304,Kraftvärmeprod!$B$1:$BX$550,MATCH(AZ$2,Kraftvärmeprod!$B$1:$BX$1,0),FALSE))/$AC304,"")</f>
        <v>0.93458345476195293</v>
      </c>
      <c r="BA304" s="77">
        <f>IF($AY304="ja",(VLOOKUP($B304,'Egen hetvattenprod'!$B$1:$BX$550,MATCH(BA$2,'Egen hetvattenprod'!$B$1:$BX$1,0),FALSE)+VLOOKUP($B304,Kraftvärmeprod!$B$1:$BX$550,MATCH(BA$2,Kraftvärmeprod!$B$1:$BX$1,0),FALSE))/$AC304,"")</f>
        <v>6.2958131681096832E-2</v>
      </c>
      <c r="BB304" s="77">
        <f>IF($AY304="ja",(VLOOKUP($B304,'Egen hetvattenprod'!$B$1:$BX$550,MATCH(BB$2,'Egen hetvattenprod'!$B$1:$BX$1,0),FALSE)+VLOOKUP($B304,Kraftvärmeprod!$B$1:$BX$550,MATCH(BB$2,Kraftvärmeprod!$B$1:$BX$1,0),FALSE))/$AC304,"")</f>
        <v>2.4584135569503591E-3</v>
      </c>
      <c r="BC304" s="77">
        <f>IF($AY304="ja",(VLOOKUP($B304,'Egen hetvattenprod'!$B$1:$BX$550,MATCH(BC$2,'Egen hetvattenprod'!$B$1:$BX$1,0),FALSE)+VLOOKUP($B304,Kraftvärmeprod!$B$1:$BX$550,MATCH(BC$2,Kraftvärmeprod!$B$1:$BX$1,0),FALSE))/$AC304,"")</f>
        <v>0</v>
      </c>
      <c r="BD304" s="77">
        <f>IF($AY304="ja",(VLOOKUP($B304,'Egen hetvattenprod'!$B$1:$BX$550,MATCH(BD$2,'Egen hetvattenprod'!$B$1:$BX$1,0),FALSE)+VLOOKUP($B304,Kraftvärmeprod!$B$1:$BX$550,MATCH(BD$2,Kraftvärmeprod!$B$1:$BX$1,0),FALSE))/$AC304,"")</f>
        <v>0</v>
      </c>
      <c r="BF304" s="63" t="str">
        <f t="shared" si="29"/>
        <v>Ja</v>
      </c>
      <c r="BG304" s="63" t="str">
        <f>IF($BF304="ja",VLOOKUP($B304,'Egen hetvattenprod'!$B$1:$BX$550,MATCH("Andelen klimatgaser med fossilt ursprung för avfall ()",'Egen hetvattenprod'!$B$1:$BX$1,0),FALSE),"")</f>
        <v>Mätvärde</v>
      </c>
      <c r="BH304" s="63" t="str">
        <f>IF($BF304="ja",VLOOKUP($B304,Kraftvärmeprod!$B$1:$BX$550,MATCH("Andelen klimatgaser med fossilt ursprung för avfall ()",Kraftvärmeprod!$B$1:$BX$1,0),FALSE),"")</f>
        <v>Mätvärde</v>
      </c>
      <c r="BI304" s="63">
        <f>IF($BF304="ja",VLOOKUP($B304,'Egen hetvattenprod'!$B$1:$BX$550,MATCH("Avfall (GWh)",'Egen hetvattenprod'!$B$1:$BX$1,0),FALSE),"")</f>
        <v>96.307000000000002</v>
      </c>
      <c r="BJ304" s="63">
        <f>IF($BF304="ja",VLOOKUP($B304,'Slutlig allokering kvv'!$B$1:$BX$550,MATCH("Avfall (GWh)",'Slutlig allokering kvv'!$B$1:$BX$1,0),FALSE),"")</f>
        <v>15.563000000000001</v>
      </c>
      <c r="BK304" s="63">
        <f>IF($BF304="ja",VLOOKUP($B304,'Köpt hetvatten'!$B$1:$BX$550,MATCH("Avfall i köpt hetvatten",'Köpt hetvatten'!$B$1:$BX$1,0),FALSE),"")</f>
        <v>0</v>
      </c>
      <c r="BL304" s="63">
        <f>IF($BF304="ja",VLOOKUP($B304,'Egen hetvattenprod'!$B$1:$BX$550,MATCH("Värde enligt ovan. (%)",'Egen hetvattenprod'!$B$1:$BX$1,0),FALSE),"")</f>
        <v>47.816000000000003</v>
      </c>
      <c r="BM304" s="63">
        <f>IF($BF304="ja",VLOOKUP($B304,Kraftvärmeprod!$B$1:$BX$550,MATCH("Värde enligt ovan. (%)",Kraftvärmeprod!$B$1:$BX$1,0),FALSE),"")</f>
        <v>47.816000000000003</v>
      </c>
    </row>
    <row r="305" spans="1:65" x14ac:dyDescent="0.45">
      <c r="A305" s="63" t="s">
        <v>284</v>
      </c>
      <c r="B305" s="63" t="s">
        <v>283</v>
      </c>
      <c r="C305" s="63">
        <f>VLOOKUP($B305,'Tillförd energi'!$B$1:$AI$720,MATCH(C$2,'Tillförd energi'!$B$1:$AQ$1,0),FALSE)</f>
        <v>0</v>
      </c>
      <c r="D305" s="63">
        <f>VLOOKUP($B305,'Tillförd energi'!$B$1:$AI$720,MATCH(D$2,'Tillförd energi'!$B$1:$AQ$1,0),FALSE)</f>
        <v>0.123679</v>
      </c>
      <c r="E305" s="63">
        <f>VLOOKUP($B305,'Tillförd energi'!$B$1:$AI$720,MATCH(E$2,'Tillförd energi'!$B$1:$AQ$1,0),FALSE)</f>
        <v>0</v>
      </c>
      <c r="F305" s="63">
        <f>VLOOKUP($B305,'Tillförd energi'!$B$1:$AI$720,MATCH(F$2,'Tillförd energi'!$B$1:$AQ$1,0),FALSE)</f>
        <v>0</v>
      </c>
      <c r="G305" s="63">
        <f>VLOOKUP($B305,'Tillförd energi'!$B$1:$AI$720,MATCH(G$2,'Tillförd energi'!$B$1:$AQ$1,0),FALSE)</f>
        <v>0</v>
      </c>
      <c r="H305" s="63">
        <f>VLOOKUP($B305,'Tillförd energi'!$B$1:$AI$720,MATCH(H$2,'Tillförd energi'!$B$1:$AQ$1,0),FALSE)</f>
        <v>0</v>
      </c>
      <c r="I305" s="63">
        <f>VLOOKUP($B305,'Tillförd energi'!$B$1:$AI$720,MATCH(I$2,'Tillförd energi'!$B$1:$AQ$1,0),FALSE)</f>
        <v>0</v>
      </c>
      <c r="J305" s="63">
        <f>VLOOKUP($B305,'Tillförd energi'!$B$1:$AI$720,MATCH(J$2,'Tillförd energi'!$B$1:$AQ$1,0),FALSE)</f>
        <v>0</v>
      </c>
      <c r="K305" s="63">
        <f>VLOOKUP($B305,'Tillförd energi'!$B$1:$AI$720,MATCH(K$2,'Tillförd energi'!$B$1:$AQ$1,0),FALSE)</f>
        <v>0</v>
      </c>
      <c r="L305" s="63">
        <f>VLOOKUP($B305,'Tillförd energi'!$B$1:$AI$720,MATCH(L$2,'Tillförd energi'!$B$1:$AQ$1,0),FALSE)</f>
        <v>41.577399999999997</v>
      </c>
      <c r="M305" s="63">
        <f>VLOOKUP($B305,'Tillförd energi'!$B$1:$AI$720,MATCH(M$2,'Tillförd energi'!$B$1:$AQ$1,0),FALSE)</f>
        <v>0</v>
      </c>
      <c r="N305" s="63">
        <f>VLOOKUP($B305,'Tillförd energi'!$B$1:$AI$720,MATCH(N$2,'Tillförd energi'!$B$1:$AQ$1,0),FALSE)</f>
        <v>1.73681</v>
      </c>
      <c r="O305" s="63">
        <f>VLOOKUP($B305,'Tillförd energi'!$B$1:$AI$720,MATCH(O$2,'Tillförd energi'!$B$1:$AQ$1,0),FALSE)</f>
        <v>0</v>
      </c>
      <c r="P305" s="63">
        <f>VLOOKUP($B305,'Tillförd energi'!$B$1:$AI$720,MATCH(P$2,'Tillförd energi'!$B$1:$AQ$1,0),FALSE)</f>
        <v>0</v>
      </c>
      <c r="Q305" s="63">
        <f>VLOOKUP($B305,'Tillförd energi'!$B$1:$AI$720,MATCH(Q$2,'Tillförd energi'!$B$1:$AQ$1,0),FALSE)</f>
        <v>0</v>
      </c>
      <c r="R305" s="63">
        <f>VLOOKUP($B305,'Tillförd energi'!$B$1:$AI$720,MATCH(R$2,'Tillförd energi'!$B$1:$AQ$1,0),FALSE)</f>
        <v>1.4999999999999999E-2</v>
      </c>
      <c r="S305" s="63">
        <f>VLOOKUP($B305,'Tillförd energi'!$B$1:$AI$720,MATCH(S$2,'Tillförd energi'!$B$1:$AQ$1,0),FALSE)</f>
        <v>0</v>
      </c>
      <c r="T305" s="63">
        <f>VLOOKUP($B305,'Tillförd energi'!$B$1:$AI$720,MATCH(T$2,'Tillförd energi'!$B$1:$AQ$1,0),FALSE)</f>
        <v>0</v>
      </c>
      <c r="U305" s="63">
        <f>VLOOKUP($B305,'Tillförd energi'!$B$1:$AI$720,MATCH(U$2,'Tillförd energi'!$B$1:$AQ$1,0),FALSE)</f>
        <v>8.9761900000000008</v>
      </c>
      <c r="V305" s="63">
        <f>VLOOKUP($B305,'Tillförd energi'!$B$1:$AI$720,MATCH(V$2,'Tillförd energi'!$B$1:$AQ$1,0),FALSE)</f>
        <v>0</v>
      </c>
      <c r="W305" s="63">
        <f>VLOOKUP($B305,'Tillförd energi'!$B$1:$AI$720,MATCH(W$2,'Tillförd energi'!$B$1:$AQ$1,0),FALSE)</f>
        <v>0</v>
      </c>
      <c r="X305" s="63">
        <f>VLOOKUP($B305,'Tillförd energi'!$B$1:$AI$720,MATCH(X$2,'Tillförd energi'!$B$1:$AQ$1,0),FALSE)</f>
        <v>0</v>
      </c>
      <c r="Y305" s="63">
        <f>VLOOKUP($B305,'Tillförd energi'!$B$1:$AI$720,MATCH(Y$2,'Tillförd energi'!$B$1:$AQ$1,0),FALSE)</f>
        <v>0</v>
      </c>
      <c r="Z305" s="63">
        <f>VLOOKUP($B305,'Tillförd energi'!$B$1:$AI$720,MATCH(Z$2,'Tillförd energi'!$B$1:$AQ$1,0),FALSE)</f>
        <v>0</v>
      </c>
      <c r="AA305" s="63">
        <f>VLOOKUP($B305,'Tillförd energi'!$B$1:$AI$720,MATCH(AA$2,'Tillförd energi'!$B$1:$AQ$1,0),FALSE)</f>
        <v>0</v>
      </c>
      <c r="AB305" s="63">
        <f>VLOOKUP($B305,'Tillförd energi'!$B$1:$AI$720,MATCH(AB$2,'Tillförd energi'!$B$1:$AQ$1,0),FALSE)</f>
        <v>0</v>
      </c>
      <c r="AC305" s="63">
        <f>VLOOKUP($B305,'Tillförd energi'!$B$1:$AI$720,MATCH(AC$2,'Tillförd energi'!$B$1:$AQ$1,0),FALSE)</f>
        <v>0</v>
      </c>
      <c r="AD305" s="63">
        <f>VLOOKUP($B305,'Tillförd energi'!$B$1:$AI$720,MATCH(AD$2,'Tillförd energi'!$B$1:$AQ$1,0),FALSE)</f>
        <v>0</v>
      </c>
      <c r="AE305" s="63">
        <f>VLOOKUP($B305,'Tillförd energi'!$B$1:$AI$720,MATCH(AE$2,'Tillförd energi'!$B$1:$AQ$1,0),FALSE)</f>
        <v>0</v>
      </c>
      <c r="AF305" s="63">
        <f>VLOOKUP($B305,'Tillförd energi'!$B$1:$AI$720,MATCH(AF$2,'Tillförd energi'!$B$1:$AQ$1,0),FALSE)</f>
        <v>1.59066</v>
      </c>
      <c r="AG305" s="63">
        <f>IFERROR(VLOOKUP(B305,Miljö!$B$1:$AC$550,MATCH("Köpt mängd produktionsspecifik fjärrvärme:",Miljö!$B$1:$AC$1,0),FALSE)/1,0)</f>
        <v>0</v>
      </c>
      <c r="AI305" s="63">
        <f t="shared" si="24"/>
        <v>54.019739000000001</v>
      </c>
      <c r="AJ305" s="63">
        <f>IF(ISERROR(1/VLOOKUP($B305,Leveranser!$B$1:$S$500,MATCH("såld värme (gwh)",Leveranser!$B$1:$S$1,0),FALSE)),"",VLOOKUP($B305,Leveranser!$B$1:$S$500,MATCH("såld värme (gwh)",Leveranser!$B$1:$S$1,0),FALSE))</f>
        <v>52.332999999999998</v>
      </c>
      <c r="AM305" s="63" t="str">
        <f>IF(B305&lt;&gt;"",IF(VLOOKUP($B305,Totalt!$B$1:$AQ$554,MATCH("Kvalitetsgranskad:",Totalt!$B$1:$AQ$1,0),FALSE)="ja",VLOOKUP($B305,Miljö!$B$1:$AG$479,MATCH(AM$2,Miljö!$B$1:$AK$1,0),FALSE),""),"")</f>
        <v>Ja</v>
      </c>
      <c r="AN305" s="63" t="str">
        <f>IF(AM305="ja",VLOOKUP($B305,Miljö!$B$1:$J$479,MATCH("Typ av ursprungsspecificerad el   (Om inget värde anges används Nordisk residualmix, se inforuta) ()",Miljö!$B$1:$J$1,0),FALSE),IF(AM305="nej","Nordisk residualel",""))</f>
        <v>'vattenkraft'</v>
      </c>
      <c r="AO305" s="63">
        <f>IF(AM305="","",VLOOKUP($B305,Miljö!$B$1:$J$479,MATCH("Fossilandel för ursprungspecificerad el ()",Miljö!$B$1:$J$1,0),FALSE))</f>
        <v>0</v>
      </c>
      <c r="AQ305" s="63">
        <f t="shared" si="25"/>
        <v>1</v>
      </c>
      <c r="AS305" s="63" t="str">
        <f t="shared" si="26"/>
        <v>Nej</v>
      </c>
      <c r="AT305" s="63" t="str">
        <f>IF(AS305="ja",VLOOKUP($B305,Miljö!$B$1:$P$500,MATCH("Fossil andel i procent (%)",Miljö!$B$1:$P$1,0),FALSE)/100,"")</f>
        <v/>
      </c>
      <c r="AV305" s="63" t="str">
        <f t="shared" si="27"/>
        <v>Nej</v>
      </c>
      <c r="AW305" s="63" t="str">
        <f>IF(AV305="ja",VLOOKUP($B305,'Egen hetvattenprod'!$B$1:$AO$500,MATCH("Värmekälla till värmepumpar ()",'Egen hetvattenprod'!$B$1:$AO$1,0),FALSE),"")</f>
        <v/>
      </c>
      <c r="AY305" s="63" t="str">
        <f t="shared" si="28"/>
        <v>Nej</v>
      </c>
      <c r="AZ305" s="77" t="str">
        <f>IF($AY305="ja",(VLOOKUP($B305,'Egen hetvattenprod'!$B$1:$BX$550,MATCH(AZ$2,'Egen hetvattenprod'!$B$1:$BX$1,0),FALSE)+VLOOKUP($B305,Kraftvärmeprod!$B$1:$BX$550,MATCH(AZ$2,Kraftvärmeprod!$B$1:$BX$1,0),FALSE))/$AC305,"")</f>
        <v/>
      </c>
      <c r="BA305" s="77" t="str">
        <f>IF($AY305="ja",(VLOOKUP($B305,'Egen hetvattenprod'!$B$1:$BX$550,MATCH(BA$2,'Egen hetvattenprod'!$B$1:$BX$1,0),FALSE)+VLOOKUP($B305,Kraftvärmeprod!$B$1:$BX$550,MATCH(BA$2,Kraftvärmeprod!$B$1:$BX$1,0),FALSE))/$AC305,"")</f>
        <v/>
      </c>
      <c r="BB305" s="77" t="str">
        <f>IF($AY305="ja",(VLOOKUP($B305,'Egen hetvattenprod'!$B$1:$BX$550,MATCH(BB$2,'Egen hetvattenprod'!$B$1:$BX$1,0),FALSE)+VLOOKUP($B305,Kraftvärmeprod!$B$1:$BX$550,MATCH(BB$2,Kraftvärmeprod!$B$1:$BX$1,0),FALSE))/$AC305,"")</f>
        <v/>
      </c>
      <c r="BC305" s="77" t="str">
        <f>IF($AY305="ja",(VLOOKUP($B305,'Egen hetvattenprod'!$B$1:$BX$550,MATCH(BC$2,'Egen hetvattenprod'!$B$1:$BX$1,0),FALSE)+VLOOKUP($B305,Kraftvärmeprod!$B$1:$BX$550,MATCH(BC$2,Kraftvärmeprod!$B$1:$BX$1,0),FALSE))/$AC305,"")</f>
        <v/>
      </c>
      <c r="BD305" s="77" t="str">
        <f>IF($AY305="ja",(VLOOKUP($B305,'Egen hetvattenprod'!$B$1:$BX$550,MATCH(BD$2,'Egen hetvattenprod'!$B$1:$BX$1,0),FALSE)+VLOOKUP($B305,Kraftvärmeprod!$B$1:$BX$550,MATCH(BD$2,Kraftvärmeprod!$B$1:$BX$1,0),FALSE))/$AC305,"")</f>
        <v/>
      </c>
      <c r="BF305" s="63" t="str">
        <f t="shared" si="29"/>
        <v>Nej</v>
      </c>
      <c r="BG305" s="63" t="str">
        <f>IF($BF305="ja",VLOOKUP($B305,'Egen hetvattenprod'!$B$1:$BX$550,MATCH("Andelen klimatgaser med fossilt ursprung för avfall ()",'Egen hetvattenprod'!$B$1:$BX$1,0),FALSE),"")</f>
        <v/>
      </c>
      <c r="BH305" s="63" t="str">
        <f>IF($BF305="ja",VLOOKUP($B305,Kraftvärmeprod!$B$1:$BX$550,MATCH("Andelen klimatgaser med fossilt ursprung för avfall ()",Kraftvärmeprod!$B$1:$BX$1,0),FALSE),"")</f>
        <v/>
      </c>
      <c r="BI305" s="63" t="str">
        <f>IF($BF305="ja",VLOOKUP($B305,'Egen hetvattenprod'!$B$1:$BX$550,MATCH("Avfall (GWh)",'Egen hetvattenprod'!$B$1:$BX$1,0),FALSE),"")</f>
        <v/>
      </c>
      <c r="BJ305" s="63" t="str">
        <f>IF($BF305="ja",VLOOKUP($B305,'Slutlig allokering kvv'!$B$1:$BX$550,MATCH("Avfall (GWh)",'Slutlig allokering kvv'!$B$1:$BX$1,0),FALSE),"")</f>
        <v/>
      </c>
      <c r="BK305" s="63" t="str">
        <f>IF($BF305="ja",VLOOKUP($B305,'Köpt hetvatten'!$B$1:$BX$550,MATCH("Avfall i köpt hetvatten",'Köpt hetvatten'!$B$1:$BX$1,0),FALSE),"")</f>
        <v/>
      </c>
      <c r="BL305" s="63" t="str">
        <f>IF($BF305="ja",VLOOKUP($B305,'Egen hetvattenprod'!$B$1:$BX$550,MATCH("Värde enligt ovan. (%)",'Egen hetvattenprod'!$B$1:$BX$1,0),FALSE),"")</f>
        <v/>
      </c>
      <c r="BM305" s="63" t="str">
        <f>IF($BF305="ja",VLOOKUP($B305,Kraftvärmeprod!$B$1:$BX$550,MATCH("Värde enligt ovan. (%)",Kraftvärmeprod!$B$1:$BX$1,0),FALSE),"")</f>
        <v/>
      </c>
    </row>
    <row r="306" spans="1:65" x14ac:dyDescent="0.45">
      <c r="A306" s="63" t="s">
        <v>280</v>
      </c>
      <c r="B306" s="63" t="s">
        <v>281</v>
      </c>
      <c r="C306" s="63">
        <f>VLOOKUP($B306,'Tillförd energi'!$B$1:$AI$720,MATCH(C$2,'Tillförd energi'!$B$1:$AQ$1,0),FALSE)</f>
        <v>0</v>
      </c>
      <c r="D306" s="63">
        <f>VLOOKUP($B306,'Tillförd energi'!$B$1:$AI$720,MATCH(D$2,'Tillförd energi'!$B$1:$AQ$1,0),FALSE)</f>
        <v>0.26500000000000001</v>
      </c>
      <c r="E306" s="63">
        <f>VLOOKUP($B306,'Tillförd energi'!$B$1:$AI$720,MATCH(E$2,'Tillförd energi'!$B$1:$AQ$1,0),FALSE)</f>
        <v>0</v>
      </c>
      <c r="F306" s="63">
        <f>VLOOKUP($B306,'Tillförd energi'!$B$1:$AI$720,MATCH(F$2,'Tillförd energi'!$B$1:$AQ$1,0),FALSE)</f>
        <v>0</v>
      </c>
      <c r="G306" s="63">
        <f>VLOOKUP($B306,'Tillförd energi'!$B$1:$AI$720,MATCH(G$2,'Tillförd energi'!$B$1:$AQ$1,0),FALSE)</f>
        <v>0</v>
      </c>
      <c r="H306" s="63">
        <f>VLOOKUP($B306,'Tillförd energi'!$B$1:$AI$720,MATCH(H$2,'Tillförd energi'!$B$1:$AQ$1,0),FALSE)</f>
        <v>0</v>
      </c>
      <c r="I306" s="63">
        <f>VLOOKUP($B306,'Tillförd energi'!$B$1:$AI$720,MATCH(I$2,'Tillförd energi'!$B$1:$AQ$1,0),FALSE)</f>
        <v>0</v>
      </c>
      <c r="J306" s="63">
        <f>VLOOKUP($B306,'Tillförd energi'!$B$1:$AI$720,MATCH(J$2,'Tillförd energi'!$B$1:$AQ$1,0),FALSE)</f>
        <v>0</v>
      </c>
      <c r="K306" s="63">
        <f>VLOOKUP($B306,'Tillförd energi'!$B$1:$AI$720,MATCH(K$2,'Tillförd energi'!$B$1:$AQ$1,0),FALSE)</f>
        <v>0</v>
      </c>
      <c r="L306" s="63">
        <f>VLOOKUP($B306,'Tillförd energi'!$B$1:$AI$720,MATCH(L$2,'Tillförd energi'!$B$1:$AQ$1,0),FALSE)</f>
        <v>0</v>
      </c>
      <c r="M306" s="63">
        <f>VLOOKUP($B306,'Tillförd energi'!$B$1:$AI$720,MATCH(M$2,'Tillförd energi'!$B$1:$AQ$1,0),FALSE)</f>
        <v>0</v>
      </c>
      <c r="N306" s="63">
        <f>VLOOKUP($B306,'Tillförd energi'!$B$1:$AI$720,MATCH(N$2,'Tillförd energi'!$B$1:$AQ$1,0),FALSE)</f>
        <v>47.2</v>
      </c>
      <c r="O306" s="63">
        <f>VLOOKUP($B306,'Tillförd energi'!$B$1:$AI$720,MATCH(O$2,'Tillförd energi'!$B$1:$AQ$1,0),FALSE)</f>
        <v>0</v>
      </c>
      <c r="P306" s="63">
        <f>VLOOKUP($B306,'Tillförd energi'!$B$1:$AI$720,MATCH(P$2,'Tillförd energi'!$B$1:$AQ$1,0),FALSE)</f>
        <v>0</v>
      </c>
      <c r="Q306" s="63">
        <f>VLOOKUP($B306,'Tillförd energi'!$B$1:$AI$720,MATCH(Q$2,'Tillförd energi'!$B$1:$AQ$1,0),FALSE)</f>
        <v>0</v>
      </c>
      <c r="R306" s="63">
        <f>VLOOKUP($B306,'Tillförd energi'!$B$1:$AI$720,MATCH(R$2,'Tillförd energi'!$B$1:$AQ$1,0),FALSE)</f>
        <v>13.991</v>
      </c>
      <c r="S306" s="63">
        <f>VLOOKUP($B306,'Tillförd energi'!$B$1:$AI$720,MATCH(S$2,'Tillförd energi'!$B$1:$AQ$1,0),FALSE)</f>
        <v>0</v>
      </c>
      <c r="T306" s="63">
        <f>VLOOKUP($B306,'Tillförd energi'!$B$1:$AI$720,MATCH(T$2,'Tillförd energi'!$B$1:$AQ$1,0),FALSE)</f>
        <v>0</v>
      </c>
      <c r="U306" s="63">
        <f>VLOOKUP($B306,'Tillförd energi'!$B$1:$AI$720,MATCH(U$2,'Tillförd energi'!$B$1:$AQ$1,0),FALSE)</f>
        <v>0</v>
      </c>
      <c r="V306" s="63">
        <f>VLOOKUP($B306,'Tillförd energi'!$B$1:$AI$720,MATCH(V$2,'Tillförd energi'!$B$1:$AQ$1,0),FALSE)</f>
        <v>0</v>
      </c>
      <c r="W306" s="63">
        <f>VLOOKUP($B306,'Tillförd energi'!$B$1:$AI$720,MATCH(W$2,'Tillförd energi'!$B$1:$AQ$1,0),FALSE)</f>
        <v>0</v>
      </c>
      <c r="X306" s="63">
        <f>VLOOKUP($B306,'Tillförd energi'!$B$1:$AI$720,MATCH(X$2,'Tillförd energi'!$B$1:$AQ$1,0),FALSE)</f>
        <v>0</v>
      </c>
      <c r="Y306" s="63">
        <f>VLOOKUP($B306,'Tillförd energi'!$B$1:$AI$720,MATCH(Y$2,'Tillförd energi'!$B$1:$AQ$1,0),FALSE)</f>
        <v>0</v>
      </c>
      <c r="Z306" s="63">
        <f>VLOOKUP($B306,'Tillförd energi'!$B$1:$AI$720,MATCH(Z$2,'Tillförd energi'!$B$1:$AQ$1,0),FALSE)</f>
        <v>0</v>
      </c>
      <c r="AA306" s="63">
        <f>VLOOKUP($B306,'Tillförd energi'!$B$1:$AI$720,MATCH(AA$2,'Tillförd energi'!$B$1:$AQ$1,0),FALSE)</f>
        <v>0</v>
      </c>
      <c r="AB306" s="63">
        <f>VLOOKUP($B306,'Tillförd energi'!$B$1:$AI$720,MATCH(AB$2,'Tillförd energi'!$B$1:$AQ$1,0),FALSE)</f>
        <v>0</v>
      </c>
      <c r="AC306" s="63">
        <f>VLOOKUP($B306,'Tillförd energi'!$B$1:$AI$720,MATCH(AC$2,'Tillförd energi'!$B$1:$AQ$1,0),FALSE)</f>
        <v>5.0010000000000003</v>
      </c>
      <c r="AD306" s="63">
        <f>VLOOKUP($B306,'Tillförd energi'!$B$1:$AI$720,MATCH(AD$2,'Tillförd energi'!$B$1:$AQ$1,0),FALSE)</f>
        <v>0</v>
      </c>
      <c r="AE306" s="63">
        <f>VLOOKUP($B306,'Tillförd energi'!$B$1:$AI$720,MATCH(AE$2,'Tillförd energi'!$B$1:$AQ$1,0),FALSE)</f>
        <v>0</v>
      </c>
      <c r="AF306" s="63">
        <f>VLOOKUP($B306,'Tillförd energi'!$B$1:$AI$720,MATCH(AF$2,'Tillförd energi'!$B$1:$AQ$1,0),FALSE)</f>
        <v>1.1779999999999999</v>
      </c>
      <c r="AG306" s="63">
        <f>IFERROR(VLOOKUP(B306,Miljö!$B$1:$AC$550,MATCH("Köpt mängd produktionsspecifik fjärrvärme:",Miljö!$B$1:$AC$1,0),FALSE)/1,0)</f>
        <v>0</v>
      </c>
      <c r="AI306" s="63">
        <f t="shared" si="24"/>
        <v>67.635000000000005</v>
      </c>
      <c r="AJ306" s="63">
        <f>IF(ISERROR(1/VLOOKUP($B306,Leveranser!$B$1:$S$500,MATCH("såld värme (gwh)",Leveranser!$B$1:$S$1,0),FALSE)),"",VLOOKUP($B306,Leveranser!$B$1:$S$500,MATCH("såld värme (gwh)",Leveranser!$B$1:$S$1,0),FALSE))</f>
        <v>46.96</v>
      </c>
      <c r="AM306" s="63" t="str">
        <f>IF(B306&lt;&gt;"",IF(VLOOKUP($B306,Totalt!$B$1:$AQ$554,MATCH("Kvalitetsgranskad:",Totalt!$B$1:$AQ$1,0),FALSE)="ja",VLOOKUP($B306,Miljö!$B$1:$AG$479,MATCH(AM$2,Miljö!$B$1:$AK$1,0),FALSE),""),"")</f>
        <v>Ja</v>
      </c>
      <c r="AN306" s="63" t="str">
        <f>IF(AM306="ja",VLOOKUP($B306,Miljö!$B$1:$J$479,MATCH("Typ av ursprungsspecificerad el   (Om inget värde anges används Nordisk residualmix, se inforuta) ()",Miljö!$B$1:$J$1,0),FALSE),IF(AM306="nej","Nordisk residualel",""))</f>
        <v>'Vattenkraft'</v>
      </c>
      <c r="AO306" s="63">
        <f>IF(AM306="","",VLOOKUP($B306,Miljö!$B$1:$J$479,MATCH("Fossilandel för ursprungspecificerad el ()",Miljö!$B$1:$J$1,0),FALSE))</f>
        <v>0</v>
      </c>
      <c r="AQ306" s="63">
        <f t="shared" si="25"/>
        <v>1</v>
      </c>
      <c r="AS306" s="63" t="str">
        <f t="shared" si="26"/>
        <v>Nej</v>
      </c>
      <c r="AT306" s="63" t="str">
        <f>IF(AS306="ja",VLOOKUP($B306,Miljö!$B$1:$P$500,MATCH("Fossil andel i procent (%)",Miljö!$B$1:$P$1,0),FALSE)/100,"")</f>
        <v/>
      </c>
      <c r="AV306" s="63" t="str">
        <f t="shared" si="27"/>
        <v>Nej</v>
      </c>
      <c r="AW306" s="63" t="str">
        <f>IF(AV306="ja",VLOOKUP($B306,'Egen hetvattenprod'!$B$1:$AO$500,MATCH("Värmekälla till värmepumpar ()",'Egen hetvattenprod'!$B$1:$AO$1,0),FALSE),"")</f>
        <v/>
      </c>
      <c r="AY306" s="63" t="str">
        <f t="shared" si="28"/>
        <v>Ja</v>
      </c>
      <c r="AZ306" s="77">
        <f>IF($AY306="ja",(VLOOKUP($B306,'Egen hetvattenprod'!$B$1:$BX$550,MATCH(AZ$2,'Egen hetvattenprod'!$B$1:$BX$1,0),FALSE)+VLOOKUP($B306,Kraftvärmeprod!$B$1:$BX$550,MATCH(AZ$2,Kraftvärmeprod!$B$1:$BX$1,0),FALSE))/$AC306,"")</f>
        <v>1</v>
      </c>
      <c r="BA306" s="77">
        <f>IF($AY306="ja",(VLOOKUP($B306,'Egen hetvattenprod'!$B$1:$BX$550,MATCH(BA$2,'Egen hetvattenprod'!$B$1:$BX$1,0),FALSE)+VLOOKUP($B306,Kraftvärmeprod!$B$1:$BX$550,MATCH(BA$2,Kraftvärmeprod!$B$1:$BX$1,0),FALSE))/$AC306,"")</f>
        <v>0</v>
      </c>
      <c r="BB306" s="77">
        <f>IF($AY306="ja",(VLOOKUP($B306,'Egen hetvattenprod'!$B$1:$BX$550,MATCH(BB$2,'Egen hetvattenprod'!$B$1:$BX$1,0),FALSE)+VLOOKUP($B306,Kraftvärmeprod!$B$1:$BX$550,MATCH(BB$2,Kraftvärmeprod!$B$1:$BX$1,0),FALSE))/$AC306,"")</f>
        <v>0</v>
      </c>
      <c r="BC306" s="77">
        <f>IF($AY306="ja",(VLOOKUP($B306,'Egen hetvattenprod'!$B$1:$BX$550,MATCH(BC$2,'Egen hetvattenprod'!$B$1:$BX$1,0),FALSE)+VLOOKUP($B306,Kraftvärmeprod!$B$1:$BX$550,MATCH(BC$2,Kraftvärmeprod!$B$1:$BX$1,0),FALSE))/$AC306,"")</f>
        <v>0</v>
      </c>
      <c r="BD306" s="77">
        <f>IF($AY306="ja",(VLOOKUP($B306,'Egen hetvattenprod'!$B$1:$BX$550,MATCH(BD$2,'Egen hetvattenprod'!$B$1:$BX$1,0),FALSE)+VLOOKUP($B306,Kraftvärmeprod!$B$1:$BX$550,MATCH(BD$2,Kraftvärmeprod!$B$1:$BX$1,0),FALSE))/$AC306,"")</f>
        <v>0</v>
      </c>
      <c r="BF306" s="63" t="str">
        <f t="shared" si="29"/>
        <v>Nej</v>
      </c>
      <c r="BG306" s="63" t="str">
        <f>IF($BF306="ja",VLOOKUP($B306,'Egen hetvattenprod'!$B$1:$BX$550,MATCH("Andelen klimatgaser med fossilt ursprung för avfall ()",'Egen hetvattenprod'!$B$1:$BX$1,0),FALSE),"")</f>
        <v/>
      </c>
      <c r="BH306" s="63" t="str">
        <f>IF($BF306="ja",VLOOKUP($B306,Kraftvärmeprod!$B$1:$BX$550,MATCH("Andelen klimatgaser med fossilt ursprung för avfall ()",Kraftvärmeprod!$B$1:$BX$1,0),FALSE),"")</f>
        <v/>
      </c>
      <c r="BI306" s="63" t="str">
        <f>IF($BF306="ja",VLOOKUP($B306,'Egen hetvattenprod'!$B$1:$BX$550,MATCH("Avfall (GWh)",'Egen hetvattenprod'!$B$1:$BX$1,0),FALSE),"")</f>
        <v/>
      </c>
      <c r="BJ306" s="63" t="str">
        <f>IF($BF306="ja",VLOOKUP($B306,'Slutlig allokering kvv'!$B$1:$BX$550,MATCH("Avfall (GWh)",'Slutlig allokering kvv'!$B$1:$BX$1,0),FALSE),"")</f>
        <v/>
      </c>
      <c r="BK306" s="63" t="str">
        <f>IF($BF306="ja",VLOOKUP($B306,'Köpt hetvatten'!$B$1:$BX$550,MATCH("Avfall i köpt hetvatten",'Köpt hetvatten'!$B$1:$BX$1,0),FALSE),"")</f>
        <v/>
      </c>
      <c r="BL306" s="63" t="str">
        <f>IF($BF306="ja",VLOOKUP($B306,'Egen hetvattenprod'!$B$1:$BX$550,MATCH("Värde enligt ovan. (%)",'Egen hetvattenprod'!$B$1:$BX$1,0),FALSE),"")</f>
        <v/>
      </c>
      <c r="BM306" s="63" t="str">
        <f>IF($BF306="ja",VLOOKUP($B306,Kraftvärmeprod!$B$1:$BX$550,MATCH("Värde enligt ovan. (%)",Kraftvärmeprod!$B$1:$BX$1,0),FALSE),"")</f>
        <v/>
      </c>
    </row>
    <row r="307" spans="1:65" x14ac:dyDescent="0.45">
      <c r="A307" s="63" t="s">
        <v>280</v>
      </c>
      <c r="B307" s="63" t="s">
        <v>279</v>
      </c>
      <c r="C307" s="63">
        <f>VLOOKUP($B307,'Tillförd energi'!$B$1:$AI$720,MATCH(C$2,'Tillförd energi'!$B$1:$AQ$1,0),FALSE)</f>
        <v>0</v>
      </c>
      <c r="D307" s="63">
        <f>VLOOKUP($B307,'Tillförd energi'!$B$1:$AI$720,MATCH(D$2,'Tillförd energi'!$B$1:$AQ$1,0),FALSE)</f>
        <v>0</v>
      </c>
      <c r="E307" s="63">
        <f>VLOOKUP($B307,'Tillförd energi'!$B$1:$AI$720,MATCH(E$2,'Tillförd energi'!$B$1:$AQ$1,0),FALSE)</f>
        <v>0</v>
      </c>
      <c r="F307" s="63">
        <f>VLOOKUP($B307,'Tillförd energi'!$B$1:$AI$720,MATCH(F$2,'Tillförd energi'!$B$1:$AQ$1,0),FALSE)</f>
        <v>0</v>
      </c>
      <c r="G307" s="63">
        <f>VLOOKUP($B307,'Tillförd energi'!$B$1:$AI$720,MATCH(G$2,'Tillförd energi'!$B$1:$AQ$1,0),FALSE)</f>
        <v>0</v>
      </c>
      <c r="H307" s="63">
        <f>VLOOKUP($B307,'Tillförd energi'!$B$1:$AI$720,MATCH(H$2,'Tillförd energi'!$B$1:$AQ$1,0),FALSE)</f>
        <v>0</v>
      </c>
      <c r="I307" s="63">
        <f>VLOOKUP($B307,'Tillförd energi'!$B$1:$AI$720,MATCH(I$2,'Tillförd energi'!$B$1:$AQ$1,0),FALSE)</f>
        <v>0</v>
      </c>
      <c r="J307" s="63">
        <f>VLOOKUP($B307,'Tillförd energi'!$B$1:$AI$720,MATCH(J$2,'Tillförd energi'!$B$1:$AQ$1,0),FALSE)</f>
        <v>0</v>
      </c>
      <c r="K307" s="63">
        <f>VLOOKUP($B307,'Tillförd energi'!$B$1:$AI$720,MATCH(K$2,'Tillförd energi'!$B$1:$AQ$1,0),FALSE)</f>
        <v>0</v>
      </c>
      <c r="L307" s="63">
        <f>VLOOKUP($B307,'Tillförd energi'!$B$1:$AI$720,MATCH(L$2,'Tillförd energi'!$B$1:$AQ$1,0),FALSE)</f>
        <v>0</v>
      </c>
      <c r="M307" s="63">
        <f>VLOOKUP($B307,'Tillförd energi'!$B$1:$AI$720,MATCH(M$2,'Tillförd energi'!$B$1:$AQ$1,0),FALSE)</f>
        <v>0</v>
      </c>
      <c r="N307" s="63">
        <f>VLOOKUP($B307,'Tillförd energi'!$B$1:$AI$720,MATCH(N$2,'Tillförd energi'!$B$1:$AQ$1,0),FALSE)</f>
        <v>0</v>
      </c>
      <c r="O307" s="63">
        <f>VLOOKUP($B307,'Tillförd energi'!$B$1:$AI$720,MATCH(O$2,'Tillförd energi'!$B$1:$AQ$1,0),FALSE)</f>
        <v>0</v>
      </c>
      <c r="P307" s="63">
        <f>VLOOKUP($B307,'Tillförd energi'!$B$1:$AI$720,MATCH(P$2,'Tillförd energi'!$B$1:$AQ$1,0),FALSE)</f>
        <v>0</v>
      </c>
      <c r="Q307" s="63">
        <f>VLOOKUP($B307,'Tillförd energi'!$B$1:$AI$720,MATCH(Q$2,'Tillförd energi'!$B$1:$AQ$1,0),FALSE)</f>
        <v>0</v>
      </c>
      <c r="R307" s="63">
        <f>VLOOKUP($B307,'Tillförd energi'!$B$1:$AI$720,MATCH(R$2,'Tillförd energi'!$B$1:$AQ$1,0),FALSE)</f>
        <v>0</v>
      </c>
      <c r="S307" s="63">
        <f>VLOOKUP($B307,'Tillförd energi'!$B$1:$AI$720,MATCH(S$2,'Tillförd energi'!$B$1:$AQ$1,0),FALSE)</f>
        <v>7.4569999999999999</v>
      </c>
      <c r="T307" s="63">
        <f>VLOOKUP($B307,'Tillförd energi'!$B$1:$AI$720,MATCH(T$2,'Tillförd energi'!$B$1:$AQ$1,0),FALSE)</f>
        <v>0</v>
      </c>
      <c r="U307" s="63">
        <f>VLOOKUP($B307,'Tillförd energi'!$B$1:$AI$720,MATCH(U$2,'Tillförd energi'!$B$1:$AQ$1,0),FALSE)</f>
        <v>0</v>
      </c>
      <c r="V307" s="63">
        <f>VLOOKUP($B307,'Tillförd energi'!$B$1:$AI$720,MATCH(V$2,'Tillförd energi'!$B$1:$AQ$1,0),FALSE)</f>
        <v>0</v>
      </c>
      <c r="W307" s="63">
        <f>VLOOKUP($B307,'Tillförd energi'!$B$1:$AI$720,MATCH(W$2,'Tillförd energi'!$B$1:$AQ$1,0),FALSE)</f>
        <v>0</v>
      </c>
      <c r="X307" s="63">
        <f>VLOOKUP($B307,'Tillförd energi'!$B$1:$AI$720,MATCH(X$2,'Tillförd energi'!$B$1:$AQ$1,0),FALSE)</f>
        <v>0</v>
      </c>
      <c r="Y307" s="63">
        <f>VLOOKUP($B307,'Tillförd energi'!$B$1:$AI$720,MATCH(Y$2,'Tillförd energi'!$B$1:$AQ$1,0),FALSE)</f>
        <v>0</v>
      </c>
      <c r="Z307" s="63">
        <f>VLOOKUP($B307,'Tillförd energi'!$B$1:$AI$720,MATCH(Z$2,'Tillförd energi'!$B$1:$AQ$1,0),FALSE)</f>
        <v>0.81699999999999995</v>
      </c>
      <c r="AA307" s="63">
        <f>VLOOKUP($B307,'Tillförd energi'!$B$1:$AI$720,MATCH(AA$2,'Tillförd energi'!$B$1:$AQ$1,0),FALSE)</f>
        <v>0</v>
      </c>
      <c r="AB307" s="63">
        <f>VLOOKUP($B307,'Tillförd energi'!$B$1:$AI$720,MATCH(AB$2,'Tillförd energi'!$B$1:$AQ$1,0),FALSE)</f>
        <v>0</v>
      </c>
      <c r="AC307" s="63">
        <f>VLOOKUP($B307,'Tillförd energi'!$B$1:$AI$720,MATCH(AC$2,'Tillförd energi'!$B$1:$AQ$1,0),FALSE)</f>
        <v>0</v>
      </c>
      <c r="AD307" s="63">
        <f>VLOOKUP($B307,'Tillförd energi'!$B$1:$AI$720,MATCH(AD$2,'Tillförd energi'!$B$1:$AQ$1,0),FALSE)</f>
        <v>0</v>
      </c>
      <c r="AE307" s="63">
        <f>VLOOKUP($B307,'Tillförd energi'!$B$1:$AI$720,MATCH(AE$2,'Tillförd energi'!$B$1:$AQ$1,0),FALSE)</f>
        <v>0</v>
      </c>
      <c r="AF307" s="63">
        <f>VLOOKUP($B307,'Tillförd energi'!$B$1:$AI$720,MATCH(AF$2,'Tillförd energi'!$B$1:$AQ$1,0),FALSE)</f>
        <v>0.152</v>
      </c>
      <c r="AG307" s="63">
        <f>IFERROR(VLOOKUP(B307,Miljö!$B$1:$AC$550,MATCH("Köpt mängd produktionsspecifik fjärrvärme:",Miljö!$B$1:$AC$1,0),FALSE)/1,0)</f>
        <v>0</v>
      </c>
      <c r="AI307" s="63">
        <f t="shared" si="24"/>
        <v>8.4259999999999984</v>
      </c>
      <c r="AJ307" s="63">
        <f>IF(ISERROR(1/VLOOKUP($B307,Leveranser!$B$1:$S$500,MATCH("såld värme (gwh)",Leveranser!$B$1:$S$1,0),FALSE)),"",VLOOKUP($B307,Leveranser!$B$1:$S$500,MATCH("såld värme (gwh)",Leveranser!$B$1:$S$1,0),FALSE))</f>
        <v>7.24</v>
      </c>
      <c r="AM307" s="63" t="str">
        <f>IF(B307&lt;&gt;"",IF(VLOOKUP($B307,Totalt!$B$1:$AQ$554,MATCH("Kvalitetsgranskad:",Totalt!$B$1:$AQ$1,0),FALSE)="ja",VLOOKUP($B307,Miljö!$B$1:$AG$479,MATCH(AM$2,Miljö!$B$1:$AK$1,0),FALSE),""),"")</f>
        <v>Ja</v>
      </c>
      <c r="AN307" s="63" t="str">
        <f>IF(AM307="ja",VLOOKUP($B307,Miljö!$B$1:$J$479,MATCH("Typ av ursprungsspecificerad el   (Om inget värde anges används Nordisk residualmix, se inforuta) ()",Miljö!$B$1:$J$1,0),FALSE),IF(AM307="nej","Nordisk residualel",""))</f>
        <v>'Vattenkraft'</v>
      </c>
      <c r="AO307" s="63">
        <f>IF(AM307="","",VLOOKUP($B307,Miljö!$B$1:$J$479,MATCH("Fossilandel för ursprungspecificerad el ()",Miljö!$B$1:$J$1,0),FALSE))</f>
        <v>0</v>
      </c>
      <c r="AQ307" s="63">
        <f t="shared" si="25"/>
        <v>1</v>
      </c>
      <c r="AS307" s="63" t="str">
        <f t="shared" si="26"/>
        <v>Nej</v>
      </c>
      <c r="AT307" s="63" t="str">
        <f>IF(AS307="ja",VLOOKUP($B307,Miljö!$B$1:$P$500,MATCH("Fossil andel i procent (%)",Miljö!$B$1:$P$1,0),FALSE)/100,"")</f>
        <v/>
      </c>
      <c r="AV307" s="63" t="str">
        <f t="shared" si="27"/>
        <v>Nej</v>
      </c>
      <c r="AW307" s="63" t="str">
        <f>IF(AV307="ja",VLOOKUP($B307,'Egen hetvattenprod'!$B$1:$AO$500,MATCH("Värmekälla till värmepumpar ()",'Egen hetvattenprod'!$B$1:$AO$1,0),FALSE),"")</f>
        <v/>
      </c>
      <c r="AY307" s="63" t="str">
        <f t="shared" si="28"/>
        <v>Nej</v>
      </c>
      <c r="AZ307" s="77" t="str">
        <f>IF($AY307="ja",(VLOOKUP($B307,'Egen hetvattenprod'!$B$1:$BX$550,MATCH(AZ$2,'Egen hetvattenprod'!$B$1:$BX$1,0),FALSE)+VLOOKUP($B307,Kraftvärmeprod!$B$1:$BX$550,MATCH(AZ$2,Kraftvärmeprod!$B$1:$BX$1,0),FALSE))/$AC307,"")</f>
        <v/>
      </c>
      <c r="BA307" s="77" t="str">
        <f>IF($AY307="ja",(VLOOKUP($B307,'Egen hetvattenprod'!$B$1:$BX$550,MATCH(BA$2,'Egen hetvattenprod'!$B$1:$BX$1,0),FALSE)+VLOOKUP($B307,Kraftvärmeprod!$B$1:$BX$550,MATCH(BA$2,Kraftvärmeprod!$B$1:$BX$1,0),FALSE))/$AC307,"")</f>
        <v/>
      </c>
      <c r="BB307" s="77" t="str">
        <f>IF($AY307="ja",(VLOOKUP($B307,'Egen hetvattenprod'!$B$1:$BX$550,MATCH(BB$2,'Egen hetvattenprod'!$B$1:$BX$1,0),FALSE)+VLOOKUP($B307,Kraftvärmeprod!$B$1:$BX$550,MATCH(BB$2,Kraftvärmeprod!$B$1:$BX$1,0),FALSE))/$AC307,"")</f>
        <v/>
      </c>
      <c r="BC307" s="77" t="str">
        <f>IF($AY307="ja",(VLOOKUP($B307,'Egen hetvattenprod'!$B$1:$BX$550,MATCH(BC$2,'Egen hetvattenprod'!$B$1:$BX$1,0),FALSE)+VLOOKUP($B307,Kraftvärmeprod!$B$1:$BX$550,MATCH(BC$2,Kraftvärmeprod!$B$1:$BX$1,0),FALSE))/$AC307,"")</f>
        <v/>
      </c>
      <c r="BD307" s="77" t="str">
        <f>IF($AY307="ja",(VLOOKUP($B307,'Egen hetvattenprod'!$B$1:$BX$550,MATCH(BD$2,'Egen hetvattenprod'!$B$1:$BX$1,0),FALSE)+VLOOKUP($B307,Kraftvärmeprod!$B$1:$BX$550,MATCH(BD$2,Kraftvärmeprod!$B$1:$BX$1,0),FALSE))/$AC307,"")</f>
        <v/>
      </c>
      <c r="BF307" s="63" t="str">
        <f t="shared" si="29"/>
        <v>Nej</v>
      </c>
      <c r="BG307" s="63" t="str">
        <f>IF($BF307="ja",VLOOKUP($B307,'Egen hetvattenprod'!$B$1:$BX$550,MATCH("Andelen klimatgaser med fossilt ursprung för avfall ()",'Egen hetvattenprod'!$B$1:$BX$1,0),FALSE),"")</f>
        <v/>
      </c>
      <c r="BH307" s="63" t="str">
        <f>IF($BF307="ja",VLOOKUP($B307,Kraftvärmeprod!$B$1:$BX$550,MATCH("Andelen klimatgaser med fossilt ursprung för avfall ()",Kraftvärmeprod!$B$1:$BX$1,0),FALSE),"")</f>
        <v/>
      </c>
      <c r="BI307" s="63" t="str">
        <f>IF($BF307="ja",VLOOKUP($B307,'Egen hetvattenprod'!$B$1:$BX$550,MATCH("Avfall (GWh)",'Egen hetvattenprod'!$B$1:$BX$1,0),FALSE),"")</f>
        <v/>
      </c>
      <c r="BJ307" s="63" t="str">
        <f>IF($BF307="ja",VLOOKUP($B307,'Slutlig allokering kvv'!$B$1:$BX$550,MATCH("Avfall (GWh)",'Slutlig allokering kvv'!$B$1:$BX$1,0),FALSE),"")</f>
        <v/>
      </c>
      <c r="BK307" s="63" t="str">
        <f>IF($BF307="ja",VLOOKUP($B307,'Köpt hetvatten'!$B$1:$BX$550,MATCH("Avfall i köpt hetvatten",'Köpt hetvatten'!$B$1:$BX$1,0),FALSE),"")</f>
        <v/>
      </c>
      <c r="BL307" s="63" t="str">
        <f>IF($BF307="ja",VLOOKUP($B307,'Egen hetvattenprod'!$B$1:$BX$550,MATCH("Värde enligt ovan. (%)",'Egen hetvattenprod'!$B$1:$BX$1,0),FALSE),"")</f>
        <v/>
      </c>
      <c r="BM307" s="63" t="str">
        <f>IF($BF307="ja",VLOOKUP($B307,Kraftvärmeprod!$B$1:$BX$550,MATCH("Värde enligt ovan. (%)",Kraftvärmeprod!$B$1:$BX$1,0),FALSE),"")</f>
        <v/>
      </c>
    </row>
    <row r="308" spans="1:65" x14ac:dyDescent="0.45">
      <c r="A308" s="63" t="s">
        <v>280</v>
      </c>
      <c r="B308" s="63" t="s">
        <v>282</v>
      </c>
      <c r="C308" s="63">
        <f>VLOOKUP($B308,'Tillförd energi'!$B$1:$AI$720,MATCH(C$2,'Tillförd energi'!$B$1:$AQ$1,0),FALSE)</f>
        <v>0</v>
      </c>
      <c r="D308" s="63">
        <f>VLOOKUP($B308,'Tillförd energi'!$B$1:$AI$720,MATCH(D$2,'Tillförd energi'!$B$1:$AQ$1,0),FALSE)</f>
        <v>9.7000000000000003E-2</v>
      </c>
      <c r="E308" s="63">
        <f>VLOOKUP($B308,'Tillförd energi'!$B$1:$AI$720,MATCH(E$2,'Tillförd energi'!$B$1:$AQ$1,0),FALSE)</f>
        <v>0</v>
      </c>
      <c r="F308" s="63">
        <f>VLOOKUP($B308,'Tillförd energi'!$B$1:$AI$720,MATCH(F$2,'Tillförd energi'!$B$1:$AQ$1,0),FALSE)</f>
        <v>0</v>
      </c>
      <c r="G308" s="63">
        <f>VLOOKUP($B308,'Tillförd energi'!$B$1:$AI$720,MATCH(G$2,'Tillförd energi'!$B$1:$AQ$1,0),FALSE)</f>
        <v>0</v>
      </c>
      <c r="H308" s="63">
        <f>VLOOKUP($B308,'Tillförd energi'!$B$1:$AI$720,MATCH(H$2,'Tillförd energi'!$B$1:$AQ$1,0),FALSE)</f>
        <v>0</v>
      </c>
      <c r="I308" s="63">
        <f>VLOOKUP($B308,'Tillförd energi'!$B$1:$AI$720,MATCH(I$2,'Tillförd energi'!$B$1:$AQ$1,0),FALSE)</f>
        <v>0</v>
      </c>
      <c r="J308" s="63">
        <f>VLOOKUP($B308,'Tillförd energi'!$B$1:$AI$720,MATCH(J$2,'Tillförd energi'!$B$1:$AQ$1,0),FALSE)</f>
        <v>0</v>
      </c>
      <c r="K308" s="63">
        <f>VLOOKUP($B308,'Tillförd energi'!$B$1:$AI$720,MATCH(K$2,'Tillförd energi'!$B$1:$AQ$1,0),FALSE)</f>
        <v>0</v>
      </c>
      <c r="L308" s="63">
        <f>VLOOKUP($B308,'Tillförd energi'!$B$1:$AI$720,MATCH(L$2,'Tillförd energi'!$B$1:$AQ$1,0),FALSE)</f>
        <v>0</v>
      </c>
      <c r="M308" s="63">
        <f>VLOOKUP($B308,'Tillförd energi'!$B$1:$AI$720,MATCH(M$2,'Tillförd energi'!$B$1:$AQ$1,0),FALSE)</f>
        <v>0</v>
      </c>
      <c r="N308" s="63">
        <f>VLOOKUP($B308,'Tillförd energi'!$B$1:$AI$720,MATCH(N$2,'Tillförd energi'!$B$1:$AQ$1,0),FALSE)</f>
        <v>0</v>
      </c>
      <c r="O308" s="63">
        <f>VLOOKUP($B308,'Tillförd energi'!$B$1:$AI$720,MATCH(O$2,'Tillförd energi'!$B$1:$AQ$1,0),FALSE)</f>
        <v>0</v>
      </c>
      <c r="P308" s="63">
        <f>VLOOKUP($B308,'Tillförd energi'!$B$1:$AI$720,MATCH(P$2,'Tillförd energi'!$B$1:$AQ$1,0),FALSE)</f>
        <v>0</v>
      </c>
      <c r="Q308" s="63">
        <f>VLOOKUP($B308,'Tillförd energi'!$B$1:$AI$720,MATCH(Q$2,'Tillförd energi'!$B$1:$AQ$1,0),FALSE)</f>
        <v>0</v>
      </c>
      <c r="R308" s="63">
        <f>VLOOKUP($B308,'Tillförd energi'!$B$1:$AI$720,MATCH(R$2,'Tillförd energi'!$B$1:$AQ$1,0),FALSE)</f>
        <v>4.25</v>
      </c>
      <c r="S308" s="63">
        <f>VLOOKUP($B308,'Tillförd energi'!$B$1:$AI$720,MATCH(S$2,'Tillförd energi'!$B$1:$AQ$1,0),FALSE)</f>
        <v>0</v>
      </c>
      <c r="T308" s="63">
        <f>VLOOKUP($B308,'Tillförd energi'!$B$1:$AI$720,MATCH(T$2,'Tillförd energi'!$B$1:$AQ$1,0),FALSE)</f>
        <v>0</v>
      </c>
      <c r="U308" s="63">
        <f>VLOOKUP($B308,'Tillförd energi'!$B$1:$AI$720,MATCH(U$2,'Tillförd energi'!$B$1:$AQ$1,0),FALSE)</f>
        <v>0</v>
      </c>
      <c r="V308" s="63">
        <f>VLOOKUP($B308,'Tillförd energi'!$B$1:$AI$720,MATCH(V$2,'Tillförd energi'!$B$1:$AQ$1,0),FALSE)</f>
        <v>0</v>
      </c>
      <c r="W308" s="63">
        <f>VLOOKUP($B308,'Tillförd energi'!$B$1:$AI$720,MATCH(W$2,'Tillförd energi'!$B$1:$AQ$1,0),FALSE)</f>
        <v>0</v>
      </c>
      <c r="X308" s="63">
        <f>VLOOKUP($B308,'Tillförd energi'!$B$1:$AI$720,MATCH(X$2,'Tillförd energi'!$B$1:$AQ$1,0),FALSE)</f>
        <v>0</v>
      </c>
      <c r="Y308" s="63">
        <f>VLOOKUP($B308,'Tillförd energi'!$B$1:$AI$720,MATCH(Y$2,'Tillförd energi'!$B$1:$AQ$1,0),FALSE)</f>
        <v>0</v>
      </c>
      <c r="Z308" s="63">
        <f>VLOOKUP($B308,'Tillförd energi'!$B$1:$AI$720,MATCH(Z$2,'Tillförd energi'!$B$1:$AQ$1,0),FALSE)</f>
        <v>0</v>
      </c>
      <c r="AA308" s="63">
        <f>VLOOKUP($B308,'Tillförd energi'!$B$1:$AI$720,MATCH(AA$2,'Tillförd energi'!$B$1:$AQ$1,0),FALSE)</f>
        <v>0</v>
      </c>
      <c r="AB308" s="63">
        <f>VLOOKUP($B308,'Tillförd energi'!$B$1:$AI$720,MATCH(AB$2,'Tillförd energi'!$B$1:$AQ$1,0),FALSE)</f>
        <v>0</v>
      </c>
      <c r="AC308" s="63">
        <f>VLOOKUP($B308,'Tillförd energi'!$B$1:$AI$720,MATCH(AC$2,'Tillförd energi'!$B$1:$AQ$1,0),FALSE)</f>
        <v>0</v>
      </c>
      <c r="AD308" s="63">
        <f>VLOOKUP($B308,'Tillförd energi'!$B$1:$AI$720,MATCH(AD$2,'Tillförd energi'!$B$1:$AQ$1,0),FALSE)</f>
        <v>0</v>
      </c>
      <c r="AE308" s="63">
        <f>VLOOKUP($B308,'Tillförd energi'!$B$1:$AI$720,MATCH(AE$2,'Tillförd energi'!$B$1:$AQ$1,0),FALSE)</f>
        <v>0</v>
      </c>
      <c r="AF308" s="63">
        <f>VLOOKUP($B308,'Tillförd energi'!$B$1:$AI$720,MATCH(AF$2,'Tillförd energi'!$B$1:$AQ$1,0),FALSE)</f>
        <v>7.8200000000000006E-2</v>
      </c>
      <c r="AG308" s="63">
        <f>IFERROR(VLOOKUP(B308,Miljö!$B$1:$AC$550,MATCH("Köpt mängd produktionsspecifik fjärrvärme:",Miljö!$B$1:$AC$1,0),FALSE)/1,0)</f>
        <v>0</v>
      </c>
      <c r="AI308" s="63">
        <f t="shared" si="24"/>
        <v>4.4252000000000002</v>
      </c>
      <c r="AJ308" s="63">
        <f>IF(ISERROR(1/VLOOKUP($B308,Leveranser!$B$1:$S$500,MATCH("såld värme (gwh)",Leveranser!$B$1:$S$1,0),FALSE)),"",VLOOKUP($B308,Leveranser!$B$1:$S$500,MATCH("såld värme (gwh)",Leveranser!$B$1:$S$1,0),FALSE))</f>
        <v>4.03</v>
      </c>
      <c r="AM308" s="63" t="str">
        <f>IF(B308&lt;&gt;"",IF(VLOOKUP($B308,Totalt!$B$1:$AQ$554,MATCH("Kvalitetsgranskad:",Totalt!$B$1:$AQ$1,0),FALSE)="ja",VLOOKUP($B308,Miljö!$B$1:$AG$479,MATCH(AM$2,Miljö!$B$1:$AK$1,0),FALSE),""),"")</f>
        <v>Ja</v>
      </c>
      <c r="AN308" s="63" t="str">
        <f>IF(AM308="ja",VLOOKUP($B308,Miljö!$B$1:$J$479,MATCH("Typ av ursprungsspecificerad el   (Om inget värde anges används Nordisk residualmix, se inforuta) ()",Miljö!$B$1:$J$1,0),FALSE),IF(AM308="nej","Nordisk residualel",""))</f>
        <v>'Vattenkraft'</v>
      </c>
      <c r="AO308" s="63">
        <f>IF(AM308="","",VLOOKUP($B308,Miljö!$B$1:$J$479,MATCH("Fossilandel för ursprungspecificerad el ()",Miljö!$B$1:$J$1,0),FALSE))</f>
        <v>0</v>
      </c>
      <c r="AQ308" s="63">
        <f t="shared" si="25"/>
        <v>1</v>
      </c>
      <c r="AS308" s="63" t="str">
        <f t="shared" si="26"/>
        <v>Nej</v>
      </c>
      <c r="AT308" s="63" t="str">
        <f>IF(AS308="ja",VLOOKUP($B308,Miljö!$B$1:$P$500,MATCH("Fossil andel i procent (%)",Miljö!$B$1:$P$1,0),FALSE)/100,"")</f>
        <v/>
      </c>
      <c r="AV308" s="63" t="str">
        <f t="shared" si="27"/>
        <v>Nej</v>
      </c>
      <c r="AW308" s="63" t="str">
        <f>IF(AV308="ja",VLOOKUP($B308,'Egen hetvattenprod'!$B$1:$AO$500,MATCH("Värmekälla till värmepumpar ()",'Egen hetvattenprod'!$B$1:$AO$1,0),FALSE),"")</f>
        <v/>
      </c>
      <c r="AY308" s="63" t="str">
        <f t="shared" si="28"/>
        <v>Nej</v>
      </c>
      <c r="AZ308" s="77" t="str">
        <f>IF($AY308="ja",(VLOOKUP($B308,'Egen hetvattenprod'!$B$1:$BX$550,MATCH(AZ$2,'Egen hetvattenprod'!$B$1:$BX$1,0),FALSE)+VLOOKUP($B308,Kraftvärmeprod!$B$1:$BX$550,MATCH(AZ$2,Kraftvärmeprod!$B$1:$BX$1,0),FALSE))/$AC308,"")</f>
        <v/>
      </c>
      <c r="BA308" s="77" t="str">
        <f>IF($AY308="ja",(VLOOKUP($B308,'Egen hetvattenprod'!$B$1:$BX$550,MATCH(BA$2,'Egen hetvattenprod'!$B$1:$BX$1,0),FALSE)+VLOOKUP($B308,Kraftvärmeprod!$B$1:$BX$550,MATCH(BA$2,Kraftvärmeprod!$B$1:$BX$1,0),FALSE))/$AC308,"")</f>
        <v/>
      </c>
      <c r="BB308" s="77" t="str">
        <f>IF($AY308="ja",(VLOOKUP($B308,'Egen hetvattenprod'!$B$1:$BX$550,MATCH(BB$2,'Egen hetvattenprod'!$B$1:$BX$1,0),FALSE)+VLOOKUP($B308,Kraftvärmeprod!$B$1:$BX$550,MATCH(BB$2,Kraftvärmeprod!$B$1:$BX$1,0),FALSE))/$AC308,"")</f>
        <v/>
      </c>
      <c r="BC308" s="77" t="str">
        <f>IF($AY308="ja",(VLOOKUP($B308,'Egen hetvattenprod'!$B$1:$BX$550,MATCH(BC$2,'Egen hetvattenprod'!$B$1:$BX$1,0),FALSE)+VLOOKUP($B308,Kraftvärmeprod!$B$1:$BX$550,MATCH(BC$2,Kraftvärmeprod!$B$1:$BX$1,0),FALSE))/$AC308,"")</f>
        <v/>
      </c>
      <c r="BD308" s="77" t="str">
        <f>IF($AY308="ja",(VLOOKUP($B308,'Egen hetvattenprod'!$B$1:$BX$550,MATCH(BD$2,'Egen hetvattenprod'!$B$1:$BX$1,0),FALSE)+VLOOKUP($B308,Kraftvärmeprod!$B$1:$BX$550,MATCH(BD$2,Kraftvärmeprod!$B$1:$BX$1,0),FALSE))/$AC308,"")</f>
        <v/>
      </c>
      <c r="BF308" s="63" t="str">
        <f t="shared" si="29"/>
        <v>Nej</v>
      </c>
      <c r="BG308" s="63" t="str">
        <f>IF($BF308="ja",VLOOKUP($B308,'Egen hetvattenprod'!$B$1:$BX$550,MATCH("Andelen klimatgaser med fossilt ursprung för avfall ()",'Egen hetvattenprod'!$B$1:$BX$1,0),FALSE),"")</f>
        <v/>
      </c>
      <c r="BH308" s="63" t="str">
        <f>IF($BF308="ja",VLOOKUP($B308,Kraftvärmeprod!$B$1:$BX$550,MATCH("Andelen klimatgaser med fossilt ursprung för avfall ()",Kraftvärmeprod!$B$1:$BX$1,0),FALSE),"")</f>
        <v/>
      </c>
      <c r="BI308" s="63" t="str">
        <f>IF($BF308="ja",VLOOKUP($B308,'Egen hetvattenprod'!$B$1:$BX$550,MATCH("Avfall (GWh)",'Egen hetvattenprod'!$B$1:$BX$1,0),FALSE),"")</f>
        <v/>
      </c>
      <c r="BJ308" s="63" t="str">
        <f>IF($BF308="ja",VLOOKUP($B308,'Slutlig allokering kvv'!$B$1:$BX$550,MATCH("Avfall (GWh)",'Slutlig allokering kvv'!$B$1:$BX$1,0),FALSE),"")</f>
        <v/>
      </c>
      <c r="BK308" s="63" t="str">
        <f>IF($BF308="ja",VLOOKUP($B308,'Köpt hetvatten'!$B$1:$BX$550,MATCH("Avfall i köpt hetvatten",'Köpt hetvatten'!$B$1:$BX$1,0),FALSE),"")</f>
        <v/>
      </c>
      <c r="BL308" s="63" t="str">
        <f>IF($BF308="ja",VLOOKUP($B308,'Egen hetvattenprod'!$B$1:$BX$550,MATCH("Värde enligt ovan. (%)",'Egen hetvattenprod'!$B$1:$BX$1,0),FALSE),"")</f>
        <v/>
      </c>
      <c r="BM308" s="63" t="str">
        <f>IF($BF308="ja",VLOOKUP($B308,Kraftvärmeprod!$B$1:$BX$550,MATCH("Värde enligt ovan. (%)",Kraftvärmeprod!$B$1:$BX$1,0),FALSE),"")</f>
        <v/>
      </c>
    </row>
    <row r="309" spans="1:65" x14ac:dyDescent="0.45">
      <c r="A309" s="63" t="s">
        <v>278</v>
      </c>
      <c r="B309" s="63" t="s">
        <v>278</v>
      </c>
      <c r="C309" s="63">
        <f>VLOOKUP($B309,'Tillförd energi'!$B$1:$AI$720,MATCH(C$2,'Tillförd energi'!$B$1:$AQ$1,0),FALSE)</f>
        <v>0</v>
      </c>
      <c r="D309" s="63">
        <f>VLOOKUP($B309,'Tillförd energi'!$B$1:$AI$720,MATCH(D$2,'Tillförd energi'!$B$1:$AQ$1,0),FALSE)</f>
        <v>0</v>
      </c>
      <c r="E309" s="63">
        <f>VLOOKUP($B309,'Tillförd energi'!$B$1:$AI$720,MATCH(E$2,'Tillförd energi'!$B$1:$AQ$1,0),FALSE)</f>
        <v>0</v>
      </c>
      <c r="F309" s="63">
        <f>VLOOKUP($B309,'Tillförd energi'!$B$1:$AI$720,MATCH(F$2,'Tillförd energi'!$B$1:$AQ$1,0),FALSE)</f>
        <v>0</v>
      </c>
      <c r="G309" s="63">
        <f>VLOOKUP($B309,'Tillförd energi'!$B$1:$AI$720,MATCH(G$2,'Tillförd energi'!$B$1:$AQ$1,0),FALSE)</f>
        <v>0</v>
      </c>
      <c r="H309" s="63">
        <f>VLOOKUP($B309,'Tillförd energi'!$B$1:$AI$720,MATCH(H$2,'Tillförd energi'!$B$1:$AQ$1,0),FALSE)</f>
        <v>0</v>
      </c>
      <c r="I309" s="63">
        <f>VLOOKUP($B309,'Tillförd energi'!$B$1:$AI$720,MATCH(I$2,'Tillförd energi'!$B$1:$AQ$1,0),FALSE)</f>
        <v>0</v>
      </c>
      <c r="J309" s="63">
        <f>VLOOKUP($B309,'Tillförd energi'!$B$1:$AI$720,MATCH(J$2,'Tillförd energi'!$B$1:$AQ$1,0),FALSE)</f>
        <v>0</v>
      </c>
      <c r="K309" s="63">
        <f>VLOOKUP($B309,'Tillförd energi'!$B$1:$AI$720,MATCH(K$2,'Tillförd energi'!$B$1:$AQ$1,0),FALSE)</f>
        <v>0</v>
      </c>
      <c r="L309" s="63">
        <f>VLOOKUP($B309,'Tillförd energi'!$B$1:$AI$720,MATCH(L$2,'Tillförd energi'!$B$1:$AQ$1,0),FALSE)</f>
        <v>0</v>
      </c>
      <c r="M309" s="63">
        <f>VLOOKUP($B309,'Tillförd energi'!$B$1:$AI$720,MATCH(M$2,'Tillförd energi'!$B$1:$AQ$1,0),FALSE)</f>
        <v>0</v>
      </c>
      <c r="N309" s="63">
        <f>VLOOKUP($B309,'Tillförd energi'!$B$1:$AI$720,MATCH(N$2,'Tillförd energi'!$B$1:$AQ$1,0),FALSE)</f>
        <v>0</v>
      </c>
      <c r="O309" s="63">
        <f>VLOOKUP($B309,'Tillförd energi'!$B$1:$AI$720,MATCH(O$2,'Tillförd energi'!$B$1:$AQ$1,0),FALSE)</f>
        <v>0</v>
      </c>
      <c r="P309" s="63">
        <f>VLOOKUP($B309,'Tillförd energi'!$B$1:$AI$720,MATCH(P$2,'Tillförd energi'!$B$1:$AQ$1,0),FALSE)</f>
        <v>0</v>
      </c>
      <c r="Q309" s="63">
        <f>VLOOKUP($B309,'Tillförd energi'!$B$1:$AI$720,MATCH(Q$2,'Tillförd energi'!$B$1:$AQ$1,0),FALSE)</f>
        <v>0</v>
      </c>
      <c r="R309" s="63">
        <f>VLOOKUP($B309,'Tillförd energi'!$B$1:$AI$720,MATCH(R$2,'Tillförd energi'!$B$1:$AQ$1,0),FALSE)</f>
        <v>0</v>
      </c>
      <c r="S309" s="63">
        <f>VLOOKUP($B309,'Tillförd energi'!$B$1:$AI$720,MATCH(S$2,'Tillförd energi'!$B$1:$AQ$1,0),FALSE)</f>
        <v>0</v>
      </c>
      <c r="T309" s="63">
        <f>VLOOKUP($B309,'Tillförd energi'!$B$1:$AI$720,MATCH(T$2,'Tillförd energi'!$B$1:$AQ$1,0),FALSE)</f>
        <v>0</v>
      </c>
      <c r="U309" s="63">
        <f>VLOOKUP($B309,'Tillförd energi'!$B$1:$AI$720,MATCH(U$2,'Tillförd energi'!$B$1:$AQ$1,0),FALSE)</f>
        <v>0</v>
      </c>
      <c r="V309" s="63">
        <f>VLOOKUP($B309,'Tillförd energi'!$B$1:$AI$720,MATCH(V$2,'Tillförd energi'!$B$1:$AQ$1,0),FALSE)</f>
        <v>0</v>
      </c>
      <c r="W309" s="63">
        <f>VLOOKUP($B309,'Tillförd energi'!$B$1:$AI$720,MATCH(W$2,'Tillförd energi'!$B$1:$AQ$1,0),FALSE)</f>
        <v>0</v>
      </c>
      <c r="X309" s="63">
        <f>VLOOKUP($B309,'Tillförd energi'!$B$1:$AI$720,MATCH(X$2,'Tillförd energi'!$B$1:$AQ$1,0),FALSE)</f>
        <v>0</v>
      </c>
      <c r="Y309" s="63">
        <f>VLOOKUP($B309,'Tillförd energi'!$B$1:$AI$720,MATCH(Y$2,'Tillförd energi'!$B$1:$AQ$1,0),FALSE)</f>
        <v>0</v>
      </c>
      <c r="Z309" s="63">
        <f>VLOOKUP($B309,'Tillförd energi'!$B$1:$AI$720,MATCH(Z$2,'Tillförd energi'!$B$1:$AQ$1,0),FALSE)</f>
        <v>0</v>
      </c>
      <c r="AA309" s="63">
        <f>VLOOKUP($B309,'Tillförd energi'!$B$1:$AI$720,MATCH(AA$2,'Tillförd energi'!$B$1:$AQ$1,0),FALSE)</f>
        <v>0</v>
      </c>
      <c r="AB309" s="63">
        <f>VLOOKUP($B309,'Tillförd energi'!$B$1:$AI$720,MATCH(AB$2,'Tillförd energi'!$B$1:$AQ$1,0),FALSE)</f>
        <v>0</v>
      </c>
      <c r="AC309" s="63">
        <f>VLOOKUP($B309,'Tillförd energi'!$B$1:$AI$720,MATCH(AC$2,'Tillförd energi'!$B$1:$AQ$1,0),FALSE)</f>
        <v>0</v>
      </c>
      <c r="AD309" s="63">
        <f>VLOOKUP($B309,'Tillförd energi'!$B$1:$AI$720,MATCH(AD$2,'Tillförd energi'!$B$1:$AQ$1,0),FALSE)</f>
        <v>0</v>
      </c>
      <c r="AE309" s="63">
        <f>VLOOKUP($B309,'Tillförd energi'!$B$1:$AI$720,MATCH(AE$2,'Tillförd energi'!$B$1:$AQ$1,0),FALSE)</f>
        <v>0</v>
      </c>
      <c r="AF309" s="63">
        <f>VLOOKUP($B309,'Tillförd energi'!$B$1:$AI$720,MATCH(AF$2,'Tillförd energi'!$B$1:$AQ$1,0),FALSE)</f>
        <v>0</v>
      </c>
      <c r="AG309" s="63">
        <f>IFERROR(VLOOKUP(B309,Miljö!$B$1:$AC$550,MATCH("Köpt mängd produktionsspecifik fjärrvärme:",Miljö!$B$1:$AC$1,0),FALSE)/1,0)</f>
        <v>0</v>
      </c>
      <c r="AI309" s="63">
        <f t="shared" si="24"/>
        <v>0</v>
      </c>
      <c r="AJ309" s="63" t="str">
        <f>IF(ISERROR(1/VLOOKUP($B309,Leveranser!$B$1:$S$500,MATCH("såld värme (gwh)",Leveranser!$B$1:$S$1,0),FALSE)),"",VLOOKUP($B309,Leveranser!$B$1:$S$500,MATCH("såld värme (gwh)",Leveranser!$B$1:$S$1,0),FALSE))</f>
        <v/>
      </c>
      <c r="AM309" s="63" t="str">
        <f>IF(B309&lt;&gt;"",IF(VLOOKUP($B309,Totalt!$B$1:$AQ$554,MATCH("Kvalitetsgranskad:",Totalt!$B$1:$AQ$1,0),FALSE)="ja",VLOOKUP($B309,Miljö!$B$1:$AG$479,MATCH(AM$2,Miljö!$B$1:$AK$1,0),FALSE),""),"")</f>
        <v/>
      </c>
      <c r="AN309" s="63" t="str">
        <f>IF(AM309="ja",VLOOKUP($B309,Miljö!$B$1:$J$479,MATCH("Typ av ursprungsspecificerad el   (Om inget värde anges används Nordisk residualmix, se inforuta) ()",Miljö!$B$1:$J$1,0),FALSE),IF(AM309="nej","Nordisk residualel",""))</f>
        <v/>
      </c>
      <c r="AO309" s="63" t="str">
        <f>IF(AM309="","",VLOOKUP($B309,Miljö!$B$1:$J$479,MATCH("Fossilandel för ursprungspecificerad el ()",Miljö!$B$1:$J$1,0),FALSE))</f>
        <v/>
      </c>
      <c r="AQ309" s="63" t="str">
        <f t="shared" si="25"/>
        <v/>
      </c>
      <c r="AS309" s="63" t="str">
        <f t="shared" si="26"/>
        <v>Nej</v>
      </c>
      <c r="AT309" s="63" t="str">
        <f>IF(AS309="ja",VLOOKUP($B309,Miljö!$B$1:$P$500,MATCH("Fossil andel i procent (%)",Miljö!$B$1:$P$1,0),FALSE)/100,"")</f>
        <v/>
      </c>
      <c r="AV309" s="63" t="str">
        <f t="shared" si="27"/>
        <v>Nej</v>
      </c>
      <c r="AW309" s="63" t="str">
        <f>IF(AV309="ja",VLOOKUP($B309,'Egen hetvattenprod'!$B$1:$AO$500,MATCH("Värmekälla till värmepumpar ()",'Egen hetvattenprod'!$B$1:$AO$1,0),FALSE),"")</f>
        <v/>
      </c>
      <c r="AY309" s="63" t="str">
        <f t="shared" si="28"/>
        <v>Nej</v>
      </c>
      <c r="AZ309" s="77" t="str">
        <f>IF($AY309="ja",(VLOOKUP($B309,'Egen hetvattenprod'!$B$1:$BX$550,MATCH(AZ$2,'Egen hetvattenprod'!$B$1:$BX$1,0),FALSE)+VLOOKUP($B309,Kraftvärmeprod!$B$1:$BX$550,MATCH(AZ$2,Kraftvärmeprod!$B$1:$BX$1,0),FALSE))/$AC309,"")</f>
        <v/>
      </c>
      <c r="BA309" s="77" t="str">
        <f>IF($AY309="ja",(VLOOKUP($B309,'Egen hetvattenprod'!$B$1:$BX$550,MATCH(BA$2,'Egen hetvattenprod'!$B$1:$BX$1,0),FALSE)+VLOOKUP($B309,Kraftvärmeprod!$B$1:$BX$550,MATCH(BA$2,Kraftvärmeprod!$B$1:$BX$1,0),FALSE))/$AC309,"")</f>
        <v/>
      </c>
      <c r="BB309" s="77" t="str">
        <f>IF($AY309="ja",(VLOOKUP($B309,'Egen hetvattenprod'!$B$1:$BX$550,MATCH(BB$2,'Egen hetvattenprod'!$B$1:$BX$1,0),FALSE)+VLOOKUP($B309,Kraftvärmeprod!$B$1:$BX$550,MATCH(BB$2,Kraftvärmeprod!$B$1:$BX$1,0),FALSE))/$AC309,"")</f>
        <v/>
      </c>
      <c r="BC309" s="77" t="str">
        <f>IF($AY309="ja",(VLOOKUP($B309,'Egen hetvattenprod'!$B$1:$BX$550,MATCH(BC$2,'Egen hetvattenprod'!$B$1:$BX$1,0),FALSE)+VLOOKUP($B309,Kraftvärmeprod!$B$1:$BX$550,MATCH(BC$2,Kraftvärmeprod!$B$1:$BX$1,0),FALSE))/$AC309,"")</f>
        <v/>
      </c>
      <c r="BD309" s="77" t="str">
        <f>IF($AY309="ja",(VLOOKUP($B309,'Egen hetvattenprod'!$B$1:$BX$550,MATCH(BD$2,'Egen hetvattenprod'!$B$1:$BX$1,0),FALSE)+VLOOKUP($B309,Kraftvärmeprod!$B$1:$BX$550,MATCH(BD$2,Kraftvärmeprod!$B$1:$BX$1,0),FALSE))/$AC309,"")</f>
        <v/>
      </c>
      <c r="BF309" s="63" t="str">
        <f t="shared" si="29"/>
        <v>Nej</v>
      </c>
      <c r="BG309" s="63" t="str">
        <f>IF($BF309="ja",VLOOKUP($B309,'Egen hetvattenprod'!$B$1:$BX$550,MATCH("Andelen klimatgaser med fossilt ursprung för avfall ()",'Egen hetvattenprod'!$B$1:$BX$1,0),FALSE),"")</f>
        <v/>
      </c>
      <c r="BH309" s="63" t="str">
        <f>IF($BF309="ja",VLOOKUP($B309,Kraftvärmeprod!$B$1:$BX$550,MATCH("Andelen klimatgaser med fossilt ursprung för avfall ()",Kraftvärmeprod!$B$1:$BX$1,0),FALSE),"")</f>
        <v/>
      </c>
      <c r="BI309" s="63" t="str">
        <f>IF($BF309="ja",VLOOKUP($B309,'Egen hetvattenprod'!$B$1:$BX$550,MATCH("Avfall (GWh)",'Egen hetvattenprod'!$B$1:$BX$1,0),FALSE),"")</f>
        <v/>
      </c>
      <c r="BJ309" s="63" t="str">
        <f>IF($BF309="ja",VLOOKUP($B309,'Slutlig allokering kvv'!$B$1:$BX$550,MATCH("Avfall (GWh)",'Slutlig allokering kvv'!$B$1:$BX$1,0),FALSE),"")</f>
        <v/>
      </c>
      <c r="BK309" s="63" t="str">
        <f>IF($BF309="ja",VLOOKUP($B309,'Köpt hetvatten'!$B$1:$BX$550,MATCH("Avfall i köpt hetvatten",'Köpt hetvatten'!$B$1:$BX$1,0),FALSE),"")</f>
        <v/>
      </c>
      <c r="BL309" s="63" t="str">
        <f>IF($BF309="ja",VLOOKUP($B309,'Egen hetvattenprod'!$B$1:$BX$550,MATCH("Värde enligt ovan. (%)",'Egen hetvattenprod'!$B$1:$BX$1,0),FALSE),"")</f>
        <v/>
      </c>
      <c r="BM309" s="63" t="str">
        <f>IF($BF309="ja",VLOOKUP($B309,Kraftvärmeprod!$B$1:$BX$550,MATCH("Värde enligt ovan. (%)",Kraftvärmeprod!$B$1:$BX$1,0),FALSE),"")</f>
        <v/>
      </c>
    </row>
    <row r="310" spans="1:65" x14ac:dyDescent="0.45">
      <c r="A310" s="63" t="s">
        <v>277</v>
      </c>
      <c r="B310" s="63" t="s">
        <v>130</v>
      </c>
      <c r="C310" s="63">
        <f>VLOOKUP($B310,'Tillförd energi'!$B$1:$AI$720,MATCH(C$2,'Tillförd energi'!$B$1:$AQ$1,0),FALSE)</f>
        <v>0</v>
      </c>
      <c r="D310" s="63">
        <f>VLOOKUP($B310,'Tillförd energi'!$B$1:$AI$720,MATCH(D$2,'Tillförd energi'!$B$1:$AQ$1,0),FALSE)</f>
        <v>0</v>
      </c>
      <c r="E310" s="63">
        <f>VLOOKUP($B310,'Tillförd energi'!$B$1:$AI$720,MATCH(E$2,'Tillförd energi'!$B$1:$AQ$1,0),FALSE)</f>
        <v>0</v>
      </c>
      <c r="F310" s="63">
        <f>VLOOKUP($B310,'Tillförd energi'!$B$1:$AI$720,MATCH(F$2,'Tillförd energi'!$B$1:$AQ$1,0),FALSE)</f>
        <v>0</v>
      </c>
      <c r="G310" s="63">
        <f>VLOOKUP($B310,'Tillförd energi'!$B$1:$AI$720,MATCH(G$2,'Tillförd energi'!$B$1:$AQ$1,0),FALSE)</f>
        <v>0</v>
      </c>
      <c r="H310" s="63">
        <f>VLOOKUP($B310,'Tillförd energi'!$B$1:$AI$720,MATCH(H$2,'Tillförd energi'!$B$1:$AQ$1,0),FALSE)</f>
        <v>0</v>
      </c>
      <c r="I310" s="63">
        <f>VLOOKUP($B310,'Tillförd energi'!$B$1:$AI$720,MATCH(I$2,'Tillförd energi'!$B$1:$AQ$1,0),FALSE)</f>
        <v>0</v>
      </c>
      <c r="J310" s="63">
        <f>VLOOKUP($B310,'Tillförd energi'!$B$1:$AI$720,MATCH(J$2,'Tillförd energi'!$B$1:$AQ$1,0),FALSE)</f>
        <v>0</v>
      </c>
      <c r="K310" s="63">
        <f>VLOOKUP($B310,'Tillförd energi'!$B$1:$AI$720,MATCH(K$2,'Tillförd energi'!$B$1:$AQ$1,0),FALSE)</f>
        <v>0</v>
      </c>
      <c r="L310" s="63">
        <f>VLOOKUP($B310,'Tillförd energi'!$B$1:$AI$720,MATCH(L$2,'Tillförd energi'!$B$1:$AQ$1,0),FALSE)</f>
        <v>0</v>
      </c>
      <c r="M310" s="63">
        <f>VLOOKUP($B310,'Tillförd energi'!$B$1:$AI$720,MATCH(M$2,'Tillförd energi'!$B$1:$AQ$1,0),FALSE)</f>
        <v>0</v>
      </c>
      <c r="N310" s="63">
        <f>VLOOKUP($B310,'Tillförd energi'!$B$1:$AI$720,MATCH(N$2,'Tillförd energi'!$B$1:$AQ$1,0),FALSE)</f>
        <v>0</v>
      </c>
      <c r="O310" s="63">
        <f>VLOOKUP($B310,'Tillförd energi'!$B$1:$AI$720,MATCH(O$2,'Tillförd energi'!$B$1:$AQ$1,0),FALSE)</f>
        <v>0</v>
      </c>
      <c r="P310" s="63">
        <f>VLOOKUP($B310,'Tillförd energi'!$B$1:$AI$720,MATCH(P$2,'Tillförd energi'!$B$1:$AQ$1,0),FALSE)</f>
        <v>0</v>
      </c>
      <c r="Q310" s="63">
        <f>VLOOKUP($B310,'Tillförd energi'!$B$1:$AI$720,MATCH(Q$2,'Tillförd energi'!$B$1:$AQ$1,0),FALSE)</f>
        <v>19</v>
      </c>
      <c r="R310" s="63">
        <f>VLOOKUP($B310,'Tillförd energi'!$B$1:$AI$720,MATCH(R$2,'Tillförd energi'!$B$1:$AQ$1,0),FALSE)</f>
        <v>0</v>
      </c>
      <c r="S310" s="63">
        <f>VLOOKUP($B310,'Tillförd energi'!$B$1:$AI$720,MATCH(S$2,'Tillförd energi'!$B$1:$AQ$1,0),FALSE)</f>
        <v>0</v>
      </c>
      <c r="T310" s="63">
        <f>VLOOKUP($B310,'Tillförd energi'!$B$1:$AI$720,MATCH(T$2,'Tillförd energi'!$B$1:$AQ$1,0),FALSE)</f>
        <v>0</v>
      </c>
      <c r="U310" s="63">
        <f>VLOOKUP($B310,'Tillförd energi'!$B$1:$AI$720,MATCH(U$2,'Tillförd energi'!$B$1:$AQ$1,0),FALSE)</f>
        <v>0</v>
      </c>
      <c r="V310" s="63">
        <f>VLOOKUP($B310,'Tillförd energi'!$B$1:$AI$720,MATCH(V$2,'Tillförd energi'!$B$1:$AQ$1,0),FALSE)</f>
        <v>0</v>
      </c>
      <c r="W310" s="63">
        <f>VLOOKUP($B310,'Tillförd energi'!$B$1:$AI$720,MATCH(W$2,'Tillförd energi'!$B$1:$AQ$1,0),FALSE)</f>
        <v>0</v>
      </c>
      <c r="X310" s="63">
        <f>VLOOKUP($B310,'Tillförd energi'!$B$1:$AI$720,MATCH(X$2,'Tillförd energi'!$B$1:$AQ$1,0),FALSE)</f>
        <v>0</v>
      </c>
      <c r="Y310" s="63">
        <f>VLOOKUP($B310,'Tillförd energi'!$B$1:$AI$720,MATCH(Y$2,'Tillförd energi'!$B$1:$AQ$1,0),FALSE)</f>
        <v>0</v>
      </c>
      <c r="Z310" s="63">
        <f>VLOOKUP($B310,'Tillförd energi'!$B$1:$AI$720,MATCH(Z$2,'Tillförd energi'!$B$1:$AQ$1,0),FALSE)</f>
        <v>0</v>
      </c>
      <c r="AA310" s="63">
        <f>VLOOKUP($B310,'Tillförd energi'!$B$1:$AI$720,MATCH(AA$2,'Tillförd energi'!$B$1:$AQ$1,0),FALSE)</f>
        <v>0</v>
      </c>
      <c r="AB310" s="63">
        <f>VLOOKUP($B310,'Tillförd energi'!$B$1:$AI$720,MATCH(AB$2,'Tillförd energi'!$B$1:$AQ$1,0),FALSE)</f>
        <v>0</v>
      </c>
      <c r="AC310" s="63">
        <f>VLOOKUP($B310,'Tillförd energi'!$B$1:$AI$720,MATCH(AC$2,'Tillförd energi'!$B$1:$AQ$1,0),FALSE)</f>
        <v>0</v>
      </c>
      <c r="AD310" s="63">
        <f>VLOOKUP($B310,'Tillförd energi'!$B$1:$AI$720,MATCH(AD$2,'Tillförd energi'!$B$1:$AQ$1,0),FALSE)</f>
        <v>0</v>
      </c>
      <c r="AE310" s="63">
        <f>VLOOKUP($B310,'Tillförd energi'!$B$1:$AI$720,MATCH(AE$2,'Tillförd energi'!$B$1:$AQ$1,0),FALSE)</f>
        <v>0</v>
      </c>
      <c r="AF310" s="63">
        <f>VLOOKUP($B310,'Tillförd energi'!$B$1:$AI$720,MATCH(AF$2,'Tillförd energi'!$B$1:$AQ$1,0),FALSE)</f>
        <v>0.39387</v>
      </c>
      <c r="AG310" s="63">
        <f>IFERROR(VLOOKUP(B310,Miljö!$B$1:$AC$550,MATCH("Köpt mängd produktionsspecifik fjärrvärme:",Miljö!$B$1:$AC$1,0),FALSE)/1,0)</f>
        <v>0</v>
      </c>
      <c r="AI310" s="63">
        <f t="shared" si="24"/>
        <v>19.39387</v>
      </c>
      <c r="AJ310" s="63">
        <f>IF(ISERROR(1/VLOOKUP($B310,Leveranser!$B$1:$S$500,MATCH("såld värme (gwh)",Leveranser!$B$1:$S$1,0),FALSE)),"",VLOOKUP($B310,Leveranser!$B$1:$S$500,MATCH("såld värme (gwh)",Leveranser!$B$1:$S$1,0),FALSE))</f>
        <v>13.129</v>
      </c>
      <c r="AM310" s="63" t="str">
        <f>IF(B310&lt;&gt;"",IF(VLOOKUP($B310,Totalt!$B$1:$AQ$554,MATCH("Kvalitetsgranskad:",Totalt!$B$1:$AQ$1,0),FALSE)="ja",VLOOKUP($B310,Miljö!$B$1:$AG$479,MATCH(AM$2,Miljö!$B$1:$AK$1,0),FALSE),""),"")</f>
        <v>Ja</v>
      </c>
      <c r="AN310" s="63" t="str">
        <f>IF(AM310="ja",VLOOKUP($B310,Miljö!$B$1:$J$479,MATCH("Typ av ursprungsspecificerad el   (Om inget värde anges används Nordisk residualmix, se inforuta) ()",Miljö!$B$1:$J$1,0),FALSE),IF(AM310="nej","Nordisk residualel",""))</f>
        <v>-</v>
      </c>
      <c r="AO310" s="63">
        <f>IF(AM310="","",VLOOKUP($B310,Miljö!$B$1:$J$479,MATCH("Fossilandel för ursprungspecificerad el ()",Miljö!$B$1:$J$1,0),FALSE))</f>
        <v>0.35</v>
      </c>
      <c r="AQ310" s="63">
        <f t="shared" si="25"/>
        <v>0.65</v>
      </c>
      <c r="AS310" s="63" t="str">
        <f t="shared" si="26"/>
        <v>Nej</v>
      </c>
      <c r="AT310" s="63" t="str">
        <f>IF(AS310="ja",VLOOKUP($B310,Miljö!$B$1:$P$500,MATCH("Fossil andel i procent (%)",Miljö!$B$1:$P$1,0),FALSE)/100,"")</f>
        <v/>
      </c>
      <c r="AV310" s="63" t="str">
        <f t="shared" si="27"/>
        <v>Nej</v>
      </c>
      <c r="AW310" s="63" t="str">
        <f>IF(AV310="ja",VLOOKUP($B310,'Egen hetvattenprod'!$B$1:$AO$500,MATCH("Värmekälla till värmepumpar ()",'Egen hetvattenprod'!$B$1:$AO$1,0),FALSE),"")</f>
        <v/>
      </c>
      <c r="AY310" s="63" t="str">
        <f t="shared" si="28"/>
        <v>Nej</v>
      </c>
      <c r="AZ310" s="77" t="str">
        <f>IF($AY310="ja",(VLOOKUP($B310,'Egen hetvattenprod'!$B$1:$BX$550,MATCH(AZ$2,'Egen hetvattenprod'!$B$1:$BX$1,0),FALSE)+VLOOKUP($B310,Kraftvärmeprod!$B$1:$BX$550,MATCH(AZ$2,Kraftvärmeprod!$B$1:$BX$1,0),FALSE))/$AC310,"")</f>
        <v/>
      </c>
      <c r="BA310" s="77" t="str">
        <f>IF($AY310="ja",(VLOOKUP($B310,'Egen hetvattenprod'!$B$1:$BX$550,MATCH(BA$2,'Egen hetvattenprod'!$B$1:$BX$1,0),FALSE)+VLOOKUP($B310,Kraftvärmeprod!$B$1:$BX$550,MATCH(BA$2,Kraftvärmeprod!$B$1:$BX$1,0),FALSE))/$AC310,"")</f>
        <v/>
      </c>
      <c r="BB310" s="77" t="str">
        <f>IF($AY310="ja",(VLOOKUP($B310,'Egen hetvattenprod'!$B$1:$BX$550,MATCH(BB$2,'Egen hetvattenprod'!$B$1:$BX$1,0),FALSE)+VLOOKUP($B310,Kraftvärmeprod!$B$1:$BX$550,MATCH(BB$2,Kraftvärmeprod!$B$1:$BX$1,0),FALSE))/$AC310,"")</f>
        <v/>
      </c>
      <c r="BC310" s="77" t="str">
        <f>IF($AY310="ja",(VLOOKUP($B310,'Egen hetvattenprod'!$B$1:$BX$550,MATCH(BC$2,'Egen hetvattenprod'!$B$1:$BX$1,0),FALSE)+VLOOKUP($B310,Kraftvärmeprod!$B$1:$BX$550,MATCH(BC$2,Kraftvärmeprod!$B$1:$BX$1,0),FALSE))/$AC310,"")</f>
        <v/>
      </c>
      <c r="BD310" s="77" t="str">
        <f>IF($AY310="ja",(VLOOKUP($B310,'Egen hetvattenprod'!$B$1:$BX$550,MATCH(BD$2,'Egen hetvattenprod'!$B$1:$BX$1,0),FALSE)+VLOOKUP($B310,Kraftvärmeprod!$B$1:$BX$550,MATCH(BD$2,Kraftvärmeprod!$B$1:$BX$1,0),FALSE))/$AC310,"")</f>
        <v/>
      </c>
      <c r="BF310" s="63" t="str">
        <f t="shared" si="29"/>
        <v>Nej</v>
      </c>
      <c r="BG310" s="63" t="str">
        <f>IF($BF310="ja",VLOOKUP($B310,'Egen hetvattenprod'!$B$1:$BX$550,MATCH("Andelen klimatgaser med fossilt ursprung för avfall ()",'Egen hetvattenprod'!$B$1:$BX$1,0),FALSE),"")</f>
        <v/>
      </c>
      <c r="BH310" s="63" t="str">
        <f>IF($BF310="ja",VLOOKUP($B310,Kraftvärmeprod!$B$1:$BX$550,MATCH("Andelen klimatgaser med fossilt ursprung för avfall ()",Kraftvärmeprod!$B$1:$BX$1,0),FALSE),"")</f>
        <v/>
      </c>
      <c r="BI310" s="63" t="str">
        <f>IF($BF310="ja",VLOOKUP($B310,'Egen hetvattenprod'!$B$1:$BX$550,MATCH("Avfall (GWh)",'Egen hetvattenprod'!$B$1:$BX$1,0),FALSE),"")</f>
        <v/>
      </c>
      <c r="BJ310" s="63" t="str">
        <f>IF($BF310="ja",VLOOKUP($B310,'Slutlig allokering kvv'!$B$1:$BX$550,MATCH("Avfall (GWh)",'Slutlig allokering kvv'!$B$1:$BX$1,0),FALSE),"")</f>
        <v/>
      </c>
      <c r="BK310" s="63" t="str">
        <f>IF($BF310="ja",VLOOKUP($B310,'Köpt hetvatten'!$B$1:$BX$550,MATCH("Avfall i köpt hetvatten",'Köpt hetvatten'!$B$1:$BX$1,0),FALSE),"")</f>
        <v/>
      </c>
      <c r="BL310" s="63" t="str">
        <f>IF($BF310="ja",VLOOKUP($B310,'Egen hetvattenprod'!$B$1:$BX$550,MATCH("Värde enligt ovan. (%)",'Egen hetvattenprod'!$B$1:$BX$1,0),FALSE),"")</f>
        <v/>
      </c>
      <c r="BM310" s="63" t="str">
        <f>IF($BF310="ja",VLOOKUP($B310,Kraftvärmeprod!$B$1:$BX$550,MATCH("Värde enligt ovan. (%)",Kraftvärmeprod!$B$1:$BX$1,0),FALSE),"")</f>
        <v/>
      </c>
    </row>
    <row r="311" spans="1:65" x14ac:dyDescent="0.45">
      <c r="A311" s="63" t="s">
        <v>276</v>
      </c>
      <c r="B311" s="63" t="s">
        <v>275</v>
      </c>
      <c r="C311" s="63">
        <f>VLOOKUP($B311,'Tillförd energi'!$B$1:$AI$720,MATCH(C$2,'Tillförd energi'!$B$1:$AQ$1,0),FALSE)</f>
        <v>0</v>
      </c>
      <c r="D311" s="63">
        <f>VLOOKUP($B311,'Tillförd energi'!$B$1:$AI$720,MATCH(D$2,'Tillförd energi'!$B$1:$AQ$1,0),FALSE)</f>
        <v>0.59699999999999998</v>
      </c>
      <c r="E311" s="63">
        <f>VLOOKUP($B311,'Tillförd energi'!$B$1:$AI$720,MATCH(E$2,'Tillförd energi'!$B$1:$AQ$1,0),FALSE)</f>
        <v>0</v>
      </c>
      <c r="F311" s="63">
        <f>VLOOKUP($B311,'Tillförd energi'!$B$1:$AI$720,MATCH(F$2,'Tillförd energi'!$B$1:$AQ$1,0),FALSE)</f>
        <v>0</v>
      </c>
      <c r="G311" s="63">
        <f>VLOOKUP($B311,'Tillförd energi'!$B$1:$AI$720,MATCH(G$2,'Tillförd energi'!$B$1:$AQ$1,0),FALSE)</f>
        <v>0</v>
      </c>
      <c r="H311" s="63">
        <f>VLOOKUP($B311,'Tillförd energi'!$B$1:$AI$720,MATCH(H$2,'Tillförd energi'!$B$1:$AQ$1,0),FALSE)</f>
        <v>0</v>
      </c>
      <c r="I311" s="63">
        <f>VLOOKUP($B311,'Tillförd energi'!$B$1:$AI$720,MATCH(I$2,'Tillförd energi'!$B$1:$AQ$1,0),FALSE)</f>
        <v>0</v>
      </c>
      <c r="J311" s="63">
        <f>VLOOKUP($B311,'Tillförd energi'!$B$1:$AI$720,MATCH(J$2,'Tillförd energi'!$B$1:$AQ$1,0),FALSE)</f>
        <v>0</v>
      </c>
      <c r="K311" s="63">
        <f>VLOOKUP($B311,'Tillförd energi'!$B$1:$AI$720,MATCH(K$2,'Tillförd energi'!$B$1:$AQ$1,0),FALSE)</f>
        <v>0</v>
      </c>
      <c r="L311" s="63">
        <f>VLOOKUP($B311,'Tillförd energi'!$B$1:$AI$720,MATCH(L$2,'Tillförd energi'!$B$1:$AQ$1,0),FALSE)</f>
        <v>0</v>
      </c>
      <c r="M311" s="63">
        <f>VLOOKUP($B311,'Tillförd energi'!$B$1:$AI$720,MATCH(M$2,'Tillförd energi'!$B$1:$AQ$1,0),FALSE)</f>
        <v>17.639700000000001</v>
      </c>
      <c r="N311" s="63">
        <f>VLOOKUP($B311,'Tillförd energi'!$B$1:$AI$720,MATCH(N$2,'Tillförd energi'!$B$1:$AQ$1,0),FALSE)</f>
        <v>90.789900000000003</v>
      </c>
      <c r="O311" s="63">
        <f>VLOOKUP($B311,'Tillförd energi'!$B$1:$AI$720,MATCH(O$2,'Tillförd energi'!$B$1:$AQ$1,0),FALSE)</f>
        <v>4.3205600000000004</v>
      </c>
      <c r="P311" s="63">
        <f>VLOOKUP($B311,'Tillförd energi'!$B$1:$AI$720,MATCH(P$2,'Tillförd energi'!$B$1:$AQ$1,0),FALSE)</f>
        <v>0</v>
      </c>
      <c r="Q311" s="63">
        <f>VLOOKUP($B311,'Tillförd energi'!$B$1:$AI$720,MATCH(Q$2,'Tillförd energi'!$B$1:$AQ$1,0),FALSE)</f>
        <v>0</v>
      </c>
      <c r="R311" s="63">
        <f>VLOOKUP($B311,'Tillförd energi'!$B$1:$AI$720,MATCH(R$2,'Tillförd energi'!$B$1:$AQ$1,0),FALSE)</f>
        <v>0</v>
      </c>
      <c r="S311" s="63">
        <f>VLOOKUP($B311,'Tillförd energi'!$B$1:$AI$720,MATCH(S$2,'Tillförd energi'!$B$1:$AQ$1,0),FALSE)</f>
        <v>0</v>
      </c>
      <c r="T311" s="63">
        <f>VLOOKUP($B311,'Tillförd energi'!$B$1:$AI$720,MATCH(T$2,'Tillförd energi'!$B$1:$AQ$1,0),FALSE)</f>
        <v>0</v>
      </c>
      <c r="U311" s="63">
        <f>VLOOKUP($B311,'Tillförd energi'!$B$1:$AI$720,MATCH(U$2,'Tillförd energi'!$B$1:$AQ$1,0),FALSE)</f>
        <v>0</v>
      </c>
      <c r="V311" s="63">
        <f>VLOOKUP($B311,'Tillförd energi'!$B$1:$AI$720,MATCH(V$2,'Tillförd energi'!$B$1:$AQ$1,0),FALSE)</f>
        <v>0</v>
      </c>
      <c r="W311" s="63">
        <f>VLOOKUP($B311,'Tillförd energi'!$B$1:$AI$720,MATCH(W$2,'Tillförd energi'!$B$1:$AQ$1,0),FALSE)</f>
        <v>0</v>
      </c>
      <c r="X311" s="63">
        <f>VLOOKUP($B311,'Tillförd energi'!$B$1:$AI$720,MATCH(X$2,'Tillförd energi'!$B$1:$AQ$1,0),FALSE)</f>
        <v>0</v>
      </c>
      <c r="Y311" s="63">
        <f>VLOOKUP($B311,'Tillförd energi'!$B$1:$AI$720,MATCH(Y$2,'Tillförd energi'!$B$1:$AQ$1,0),FALSE)</f>
        <v>0</v>
      </c>
      <c r="Z311" s="63">
        <f>VLOOKUP($B311,'Tillförd energi'!$B$1:$AI$720,MATCH(Z$2,'Tillförd energi'!$B$1:$AQ$1,0),FALSE)</f>
        <v>0</v>
      </c>
      <c r="AA311" s="63">
        <f>VLOOKUP($B311,'Tillförd energi'!$B$1:$AI$720,MATCH(AA$2,'Tillförd energi'!$B$1:$AQ$1,0),FALSE)</f>
        <v>0</v>
      </c>
      <c r="AB311" s="63">
        <f>VLOOKUP($B311,'Tillförd energi'!$B$1:$AI$720,MATCH(AB$2,'Tillförd energi'!$B$1:$AQ$1,0),FALSE)</f>
        <v>0</v>
      </c>
      <c r="AC311" s="63">
        <f>VLOOKUP($B311,'Tillförd energi'!$B$1:$AI$720,MATCH(AC$2,'Tillförd energi'!$B$1:$AQ$1,0),FALSE)</f>
        <v>25.3</v>
      </c>
      <c r="AD311" s="63">
        <f>VLOOKUP($B311,'Tillförd energi'!$B$1:$AI$720,MATCH(AD$2,'Tillförd energi'!$B$1:$AQ$1,0),FALSE)</f>
        <v>0</v>
      </c>
      <c r="AE311" s="63">
        <f>VLOOKUP($B311,'Tillförd energi'!$B$1:$AI$720,MATCH(AE$2,'Tillförd energi'!$B$1:$AQ$1,0),FALSE)</f>
        <v>0</v>
      </c>
      <c r="AF311" s="63">
        <f>VLOOKUP($B311,'Tillförd energi'!$B$1:$AI$720,MATCH(AF$2,'Tillförd energi'!$B$1:$AQ$1,0),FALSE)</f>
        <v>5</v>
      </c>
      <c r="AG311" s="63">
        <f>IFERROR(VLOOKUP(B311,Miljö!$B$1:$AC$550,MATCH("Köpt mängd produktionsspecifik fjärrvärme:",Miljö!$B$1:$AC$1,0),FALSE)/1,0)</f>
        <v>0</v>
      </c>
      <c r="AI311" s="63">
        <f t="shared" si="24"/>
        <v>143.64716000000001</v>
      </c>
      <c r="AJ311" s="63">
        <f>IF(ISERROR(1/VLOOKUP($B311,Leveranser!$B$1:$S$500,MATCH("såld värme (gwh)",Leveranser!$B$1:$S$1,0),FALSE)),"",VLOOKUP($B311,Leveranser!$B$1:$S$500,MATCH("såld värme (gwh)",Leveranser!$B$1:$S$1,0),FALSE))</f>
        <v>122</v>
      </c>
      <c r="AM311" s="63" t="str">
        <f>IF(B311&lt;&gt;"",IF(VLOOKUP($B311,Totalt!$B$1:$AQ$554,MATCH("Kvalitetsgranskad:",Totalt!$B$1:$AQ$1,0),FALSE)="ja",VLOOKUP($B311,Miljö!$B$1:$AG$479,MATCH(AM$2,Miljö!$B$1:$AK$1,0),FALSE),""),"")</f>
        <v>Ja</v>
      </c>
      <c r="AN311" s="63" t="str">
        <f>IF(AM311="ja",VLOOKUP($B311,Miljö!$B$1:$J$479,MATCH("Typ av ursprungsspecificerad el   (Om inget värde anges används Nordisk residualmix, se inforuta) ()",Miljö!$B$1:$J$1,0),FALSE),IF(AM311="nej","Nordisk residualel",""))</f>
        <v>'Vattenkraft'</v>
      </c>
      <c r="AO311" s="63">
        <f>IF(AM311="","",VLOOKUP($B311,Miljö!$B$1:$J$479,MATCH("Fossilandel för ursprungspecificerad el ()",Miljö!$B$1:$J$1,0),FALSE))</f>
        <v>0</v>
      </c>
      <c r="AQ311" s="63">
        <f t="shared" si="25"/>
        <v>1</v>
      </c>
      <c r="AS311" s="63" t="str">
        <f t="shared" si="26"/>
        <v>Nej</v>
      </c>
      <c r="AT311" s="63" t="str">
        <f>IF(AS311="ja",VLOOKUP($B311,Miljö!$B$1:$P$500,MATCH("Fossil andel i procent (%)",Miljö!$B$1:$P$1,0),FALSE)/100,"")</f>
        <v/>
      </c>
      <c r="AV311" s="63" t="str">
        <f t="shared" si="27"/>
        <v>Nej</v>
      </c>
      <c r="AW311" s="63" t="str">
        <f>IF(AV311="ja",VLOOKUP($B311,'Egen hetvattenprod'!$B$1:$AO$500,MATCH("Värmekälla till värmepumpar ()",'Egen hetvattenprod'!$B$1:$AO$1,0),FALSE),"")</f>
        <v/>
      </c>
      <c r="AY311" s="63" t="str">
        <f t="shared" si="28"/>
        <v>Ja</v>
      </c>
      <c r="AZ311" s="77">
        <f>IF($AY311="ja",(VLOOKUP($B311,'Egen hetvattenprod'!$B$1:$BX$550,MATCH(AZ$2,'Egen hetvattenprod'!$B$1:$BX$1,0),FALSE)+VLOOKUP($B311,Kraftvärmeprod!$B$1:$BX$550,MATCH(AZ$2,Kraftvärmeprod!$B$1:$BX$1,0),FALSE))/$AC311,"")</f>
        <v>1</v>
      </c>
      <c r="BA311" s="77">
        <f>IF($AY311="ja",(VLOOKUP($B311,'Egen hetvattenprod'!$B$1:$BX$550,MATCH(BA$2,'Egen hetvattenprod'!$B$1:$BX$1,0),FALSE)+VLOOKUP($B311,Kraftvärmeprod!$B$1:$BX$550,MATCH(BA$2,Kraftvärmeprod!$B$1:$BX$1,0),FALSE))/$AC311,"")</f>
        <v>0</v>
      </c>
      <c r="BB311" s="77">
        <f>IF($AY311="ja",(VLOOKUP($B311,'Egen hetvattenprod'!$B$1:$BX$550,MATCH(BB$2,'Egen hetvattenprod'!$B$1:$BX$1,0),FALSE)+VLOOKUP($B311,Kraftvärmeprod!$B$1:$BX$550,MATCH(BB$2,Kraftvärmeprod!$B$1:$BX$1,0),FALSE))/$AC311,"")</f>
        <v>0</v>
      </c>
      <c r="BC311" s="77">
        <f>IF($AY311="ja",(VLOOKUP($B311,'Egen hetvattenprod'!$B$1:$BX$550,MATCH(BC$2,'Egen hetvattenprod'!$B$1:$BX$1,0),FALSE)+VLOOKUP($B311,Kraftvärmeprod!$B$1:$BX$550,MATCH(BC$2,Kraftvärmeprod!$B$1:$BX$1,0),FALSE))/$AC311,"")</f>
        <v>0</v>
      </c>
      <c r="BD311" s="77">
        <f>IF($AY311="ja",(VLOOKUP($B311,'Egen hetvattenprod'!$B$1:$BX$550,MATCH(BD$2,'Egen hetvattenprod'!$B$1:$BX$1,0),FALSE)+VLOOKUP($B311,Kraftvärmeprod!$B$1:$BX$550,MATCH(BD$2,Kraftvärmeprod!$B$1:$BX$1,0),FALSE))/$AC311,"")</f>
        <v>0</v>
      </c>
      <c r="BF311" s="63" t="str">
        <f t="shared" si="29"/>
        <v>Nej</v>
      </c>
      <c r="BG311" s="63" t="str">
        <f>IF($BF311="ja",VLOOKUP($B311,'Egen hetvattenprod'!$B$1:$BX$550,MATCH("Andelen klimatgaser med fossilt ursprung för avfall ()",'Egen hetvattenprod'!$B$1:$BX$1,0),FALSE),"")</f>
        <v/>
      </c>
      <c r="BH311" s="63" t="str">
        <f>IF($BF311="ja",VLOOKUP($B311,Kraftvärmeprod!$B$1:$BX$550,MATCH("Andelen klimatgaser med fossilt ursprung för avfall ()",Kraftvärmeprod!$B$1:$BX$1,0),FALSE),"")</f>
        <v/>
      </c>
      <c r="BI311" s="63" t="str">
        <f>IF($BF311="ja",VLOOKUP($B311,'Egen hetvattenprod'!$B$1:$BX$550,MATCH("Avfall (GWh)",'Egen hetvattenprod'!$B$1:$BX$1,0),FALSE),"")</f>
        <v/>
      </c>
      <c r="BJ311" s="63" t="str">
        <f>IF($BF311="ja",VLOOKUP($B311,'Slutlig allokering kvv'!$B$1:$BX$550,MATCH("Avfall (GWh)",'Slutlig allokering kvv'!$B$1:$BX$1,0),FALSE),"")</f>
        <v/>
      </c>
      <c r="BK311" s="63" t="str">
        <f>IF($BF311="ja",VLOOKUP($B311,'Köpt hetvatten'!$B$1:$BX$550,MATCH("Avfall i köpt hetvatten",'Köpt hetvatten'!$B$1:$BX$1,0),FALSE),"")</f>
        <v/>
      </c>
      <c r="BL311" s="63" t="str">
        <f>IF($BF311="ja",VLOOKUP($B311,'Egen hetvattenprod'!$B$1:$BX$550,MATCH("Värde enligt ovan. (%)",'Egen hetvattenprod'!$B$1:$BX$1,0),FALSE),"")</f>
        <v/>
      </c>
      <c r="BM311" s="63" t="str">
        <f>IF($BF311="ja",VLOOKUP($B311,Kraftvärmeprod!$B$1:$BX$550,MATCH("Värde enligt ovan. (%)",Kraftvärmeprod!$B$1:$BX$1,0),FALSE),"")</f>
        <v/>
      </c>
    </row>
    <row r="312" spans="1:65" x14ac:dyDescent="0.45">
      <c r="A312" s="63" t="s">
        <v>273</v>
      </c>
      <c r="B312" s="63" t="s">
        <v>272</v>
      </c>
      <c r="C312" s="63">
        <f>VLOOKUP($B312,'Tillförd energi'!$B$1:$AI$720,MATCH(C$2,'Tillförd energi'!$B$1:$AQ$1,0),FALSE)</f>
        <v>0</v>
      </c>
      <c r="D312" s="63">
        <f>VLOOKUP($B312,'Tillförd energi'!$B$1:$AI$720,MATCH(D$2,'Tillförd energi'!$B$1:$AQ$1,0),FALSE)</f>
        <v>0.11</v>
      </c>
      <c r="E312" s="63">
        <f>VLOOKUP($B312,'Tillförd energi'!$B$1:$AI$720,MATCH(E$2,'Tillförd energi'!$B$1:$AQ$1,0),FALSE)</f>
        <v>0</v>
      </c>
      <c r="F312" s="63">
        <f>VLOOKUP($B312,'Tillförd energi'!$B$1:$AI$720,MATCH(F$2,'Tillförd energi'!$B$1:$AQ$1,0),FALSE)</f>
        <v>0</v>
      </c>
      <c r="G312" s="63">
        <f>VLOOKUP($B312,'Tillförd energi'!$B$1:$AI$720,MATCH(G$2,'Tillförd energi'!$B$1:$AQ$1,0),FALSE)</f>
        <v>1.5</v>
      </c>
      <c r="H312" s="63">
        <f>VLOOKUP($B312,'Tillförd energi'!$B$1:$AI$720,MATCH(H$2,'Tillförd energi'!$B$1:$AQ$1,0),FALSE)</f>
        <v>0</v>
      </c>
      <c r="I312" s="63">
        <f>VLOOKUP($B312,'Tillförd energi'!$B$1:$AI$720,MATCH(I$2,'Tillförd energi'!$B$1:$AQ$1,0),FALSE)</f>
        <v>0</v>
      </c>
      <c r="J312" s="63">
        <f>VLOOKUP($B312,'Tillförd energi'!$B$1:$AI$720,MATCH(J$2,'Tillförd energi'!$B$1:$AQ$1,0),FALSE)</f>
        <v>3.7</v>
      </c>
      <c r="K312" s="63">
        <f>VLOOKUP($B312,'Tillförd energi'!$B$1:$AI$720,MATCH(K$2,'Tillförd energi'!$B$1:$AQ$1,0),FALSE)</f>
        <v>0</v>
      </c>
      <c r="L312" s="63">
        <f>VLOOKUP($B312,'Tillförd energi'!$B$1:$AI$720,MATCH(L$2,'Tillförd energi'!$B$1:$AQ$1,0),FALSE)</f>
        <v>0</v>
      </c>
      <c r="M312" s="63">
        <f>VLOOKUP($B312,'Tillförd energi'!$B$1:$AI$720,MATCH(M$2,'Tillförd energi'!$B$1:$AQ$1,0),FALSE)</f>
        <v>11.3</v>
      </c>
      <c r="N312" s="63">
        <f>VLOOKUP($B312,'Tillförd energi'!$B$1:$AI$720,MATCH(N$2,'Tillförd energi'!$B$1:$AQ$1,0),FALSE)</f>
        <v>20.2</v>
      </c>
      <c r="O312" s="63">
        <f>VLOOKUP($B312,'Tillförd energi'!$B$1:$AI$720,MATCH(O$2,'Tillförd energi'!$B$1:$AQ$1,0),FALSE)</f>
        <v>0</v>
      </c>
      <c r="P312" s="63">
        <f>VLOOKUP($B312,'Tillförd energi'!$B$1:$AI$720,MATCH(P$2,'Tillförd energi'!$B$1:$AQ$1,0),FALSE)</f>
        <v>48.5</v>
      </c>
      <c r="Q312" s="63">
        <f>VLOOKUP($B312,'Tillförd energi'!$B$1:$AI$720,MATCH(Q$2,'Tillförd energi'!$B$1:$AQ$1,0),FALSE)</f>
        <v>0</v>
      </c>
      <c r="R312" s="63">
        <f>VLOOKUP($B312,'Tillförd energi'!$B$1:$AI$720,MATCH(R$2,'Tillförd energi'!$B$1:$AQ$1,0),FALSE)</f>
        <v>21.069400000000002</v>
      </c>
      <c r="S312" s="63">
        <f>VLOOKUP($B312,'Tillförd energi'!$B$1:$AI$720,MATCH(S$2,'Tillförd energi'!$B$1:$AQ$1,0),FALSE)</f>
        <v>0</v>
      </c>
      <c r="T312" s="63">
        <f>VLOOKUP($B312,'Tillförd energi'!$B$1:$AI$720,MATCH(T$2,'Tillförd energi'!$B$1:$AQ$1,0),FALSE)</f>
        <v>0</v>
      </c>
      <c r="U312" s="63">
        <f>VLOOKUP($B312,'Tillförd energi'!$B$1:$AI$720,MATCH(U$2,'Tillförd energi'!$B$1:$AQ$1,0),FALSE)</f>
        <v>0</v>
      </c>
      <c r="V312" s="63">
        <f>VLOOKUP($B312,'Tillförd energi'!$B$1:$AI$720,MATCH(V$2,'Tillförd energi'!$B$1:$AQ$1,0),FALSE)</f>
        <v>0</v>
      </c>
      <c r="W312" s="63">
        <f>VLOOKUP($B312,'Tillförd energi'!$B$1:$AI$720,MATCH(W$2,'Tillförd energi'!$B$1:$AQ$1,0),FALSE)</f>
        <v>0</v>
      </c>
      <c r="X312" s="63">
        <f>VLOOKUP($B312,'Tillförd energi'!$B$1:$AI$720,MATCH(X$2,'Tillförd energi'!$B$1:$AQ$1,0),FALSE)</f>
        <v>0</v>
      </c>
      <c r="Y312" s="63">
        <f>VLOOKUP($B312,'Tillförd energi'!$B$1:$AI$720,MATCH(Y$2,'Tillförd energi'!$B$1:$AQ$1,0),FALSE)</f>
        <v>0</v>
      </c>
      <c r="Z312" s="63">
        <f>VLOOKUP($B312,'Tillförd energi'!$B$1:$AI$720,MATCH(Z$2,'Tillförd energi'!$B$1:$AQ$1,0),FALSE)</f>
        <v>0</v>
      </c>
      <c r="AA312" s="63">
        <f>VLOOKUP($B312,'Tillförd energi'!$B$1:$AI$720,MATCH(AA$2,'Tillförd energi'!$B$1:$AQ$1,0),FALSE)</f>
        <v>0</v>
      </c>
      <c r="AB312" s="63">
        <f>VLOOKUP($B312,'Tillförd energi'!$B$1:$AI$720,MATCH(AB$2,'Tillförd energi'!$B$1:$AQ$1,0),FALSE)</f>
        <v>0</v>
      </c>
      <c r="AC312" s="63">
        <f>VLOOKUP($B312,'Tillförd energi'!$B$1:$AI$720,MATCH(AC$2,'Tillförd energi'!$B$1:$AQ$1,0),FALSE)</f>
        <v>15.06</v>
      </c>
      <c r="AD312" s="63">
        <f>VLOOKUP($B312,'Tillförd energi'!$B$1:$AI$720,MATCH(AD$2,'Tillförd energi'!$B$1:$AQ$1,0),FALSE)</f>
        <v>0</v>
      </c>
      <c r="AE312" s="63">
        <f>VLOOKUP($B312,'Tillförd energi'!$B$1:$AI$720,MATCH(AE$2,'Tillförd energi'!$B$1:$AQ$1,0),FALSE)</f>
        <v>0</v>
      </c>
      <c r="AF312" s="63">
        <f>VLOOKUP($B312,'Tillförd energi'!$B$1:$AI$720,MATCH(AF$2,'Tillförd energi'!$B$1:$AQ$1,0),FALSE)</f>
        <v>2.2109999999999999</v>
      </c>
      <c r="AG312" s="63">
        <f>IFERROR(VLOOKUP(B312,Miljö!$B$1:$AC$550,MATCH("Köpt mängd produktionsspecifik fjärrvärme:",Miljö!$B$1:$AC$1,0),FALSE)/1,0)</f>
        <v>0</v>
      </c>
      <c r="AI312" s="63">
        <f t="shared" si="24"/>
        <v>123.6504</v>
      </c>
      <c r="AJ312" s="63">
        <f>IF(ISERROR(1/VLOOKUP($B312,Leveranser!$B$1:$S$500,MATCH("såld värme (gwh)",Leveranser!$B$1:$S$1,0),FALSE)),"",VLOOKUP($B312,Leveranser!$B$1:$S$500,MATCH("såld värme (gwh)",Leveranser!$B$1:$S$1,0),FALSE))</f>
        <v>90.1</v>
      </c>
      <c r="AM312" s="63" t="str">
        <f>IF(B312&lt;&gt;"",IF(VLOOKUP($B312,Totalt!$B$1:$AQ$554,MATCH("Kvalitetsgranskad:",Totalt!$B$1:$AQ$1,0),FALSE)="ja",VLOOKUP($B312,Miljö!$B$1:$AG$479,MATCH(AM$2,Miljö!$B$1:$AK$1,0),FALSE),""),"")</f>
        <v>Ja</v>
      </c>
      <c r="AN312" s="63" t="str">
        <f>IF(AM312="ja",VLOOKUP($B312,Miljö!$B$1:$J$479,MATCH("Typ av ursprungsspecificerad el   (Om inget värde anges används Nordisk residualmix, se inforuta) ()",Miljö!$B$1:$J$1,0),FALSE),IF(AM312="nej","Nordisk residualel",""))</f>
        <v>'Vattenkraft'</v>
      </c>
      <c r="AO312" s="63">
        <f>IF(AM312="","",VLOOKUP($B312,Miljö!$B$1:$J$479,MATCH("Fossilandel för ursprungspecificerad el ()",Miljö!$B$1:$J$1,0),FALSE))</f>
        <v>0</v>
      </c>
      <c r="AQ312" s="63">
        <f t="shared" si="25"/>
        <v>1</v>
      </c>
      <c r="AS312" s="63" t="str">
        <f t="shared" si="26"/>
        <v>Nej</v>
      </c>
      <c r="AT312" s="63" t="str">
        <f>IF(AS312="ja",VLOOKUP($B312,Miljö!$B$1:$P$500,MATCH("Fossil andel i procent (%)",Miljö!$B$1:$P$1,0),FALSE)/100,"")</f>
        <v/>
      </c>
      <c r="AV312" s="63" t="str">
        <f t="shared" si="27"/>
        <v>Nej</v>
      </c>
      <c r="AW312" s="63" t="str">
        <f>IF(AV312="ja",VLOOKUP($B312,'Egen hetvattenprod'!$B$1:$AO$500,MATCH("Värmekälla till värmepumpar ()",'Egen hetvattenprod'!$B$1:$AO$1,0),FALSE),"")</f>
        <v/>
      </c>
      <c r="AY312" s="63" t="str">
        <f t="shared" si="28"/>
        <v>Ja</v>
      </c>
      <c r="AZ312" s="77">
        <f>IF($AY312="ja",(VLOOKUP($B312,'Egen hetvattenprod'!$B$1:$BX$550,MATCH(AZ$2,'Egen hetvattenprod'!$B$1:$BX$1,0),FALSE)+VLOOKUP($B312,Kraftvärmeprod!$B$1:$BX$550,MATCH(AZ$2,Kraftvärmeprod!$B$1:$BX$1,0),FALSE))/$AC312,"")</f>
        <v>1</v>
      </c>
      <c r="BA312" s="77">
        <f>IF($AY312="ja",(VLOOKUP($B312,'Egen hetvattenprod'!$B$1:$BX$550,MATCH(BA$2,'Egen hetvattenprod'!$B$1:$BX$1,0),FALSE)+VLOOKUP($B312,Kraftvärmeprod!$B$1:$BX$550,MATCH(BA$2,Kraftvärmeprod!$B$1:$BX$1,0),FALSE))/$AC312,"")</f>
        <v>0</v>
      </c>
      <c r="BB312" s="77">
        <f>IF($AY312="ja",(VLOOKUP($B312,'Egen hetvattenprod'!$B$1:$BX$550,MATCH(BB$2,'Egen hetvattenprod'!$B$1:$BX$1,0),FALSE)+VLOOKUP($B312,Kraftvärmeprod!$B$1:$BX$550,MATCH(BB$2,Kraftvärmeprod!$B$1:$BX$1,0),FALSE))/$AC312,"")</f>
        <v>0</v>
      </c>
      <c r="BC312" s="77">
        <f>IF($AY312="ja",(VLOOKUP($B312,'Egen hetvattenprod'!$B$1:$BX$550,MATCH(BC$2,'Egen hetvattenprod'!$B$1:$BX$1,0),FALSE)+VLOOKUP($B312,Kraftvärmeprod!$B$1:$BX$550,MATCH(BC$2,Kraftvärmeprod!$B$1:$BX$1,0),FALSE))/$AC312,"")</f>
        <v>0</v>
      </c>
      <c r="BD312" s="77">
        <f>IF($AY312="ja",(VLOOKUP($B312,'Egen hetvattenprod'!$B$1:$BX$550,MATCH(BD$2,'Egen hetvattenprod'!$B$1:$BX$1,0),FALSE)+VLOOKUP($B312,Kraftvärmeprod!$B$1:$BX$550,MATCH(BD$2,Kraftvärmeprod!$B$1:$BX$1,0),FALSE))/$AC312,"")</f>
        <v>0</v>
      </c>
      <c r="BF312" s="63" t="str">
        <f t="shared" si="29"/>
        <v>Nej</v>
      </c>
      <c r="BG312" s="63" t="str">
        <f>IF($BF312="ja",VLOOKUP($B312,'Egen hetvattenprod'!$B$1:$BX$550,MATCH("Andelen klimatgaser med fossilt ursprung för avfall ()",'Egen hetvattenprod'!$B$1:$BX$1,0),FALSE),"")</f>
        <v/>
      </c>
      <c r="BH312" s="63" t="str">
        <f>IF($BF312="ja",VLOOKUP($B312,Kraftvärmeprod!$B$1:$BX$550,MATCH("Andelen klimatgaser med fossilt ursprung för avfall ()",Kraftvärmeprod!$B$1:$BX$1,0),FALSE),"")</f>
        <v/>
      </c>
      <c r="BI312" s="63" t="str">
        <f>IF($BF312="ja",VLOOKUP($B312,'Egen hetvattenprod'!$B$1:$BX$550,MATCH("Avfall (GWh)",'Egen hetvattenprod'!$B$1:$BX$1,0),FALSE),"")</f>
        <v/>
      </c>
      <c r="BJ312" s="63" t="str">
        <f>IF($BF312="ja",VLOOKUP($B312,'Slutlig allokering kvv'!$B$1:$BX$550,MATCH("Avfall (GWh)",'Slutlig allokering kvv'!$B$1:$BX$1,0),FALSE),"")</f>
        <v/>
      </c>
      <c r="BK312" s="63" t="str">
        <f>IF($BF312="ja",VLOOKUP($B312,'Köpt hetvatten'!$B$1:$BX$550,MATCH("Avfall i köpt hetvatten",'Köpt hetvatten'!$B$1:$BX$1,0),FALSE),"")</f>
        <v/>
      </c>
      <c r="BL312" s="63" t="str">
        <f>IF($BF312="ja",VLOOKUP($B312,'Egen hetvattenprod'!$B$1:$BX$550,MATCH("Värde enligt ovan. (%)",'Egen hetvattenprod'!$B$1:$BX$1,0),FALSE),"")</f>
        <v/>
      </c>
      <c r="BM312" s="63" t="str">
        <f>IF($BF312="ja",VLOOKUP($B312,Kraftvärmeprod!$B$1:$BX$550,MATCH("Värde enligt ovan. (%)",Kraftvärmeprod!$B$1:$BX$1,0),FALSE),"")</f>
        <v/>
      </c>
    </row>
    <row r="313" spans="1:65" x14ac:dyDescent="0.45">
      <c r="A313" s="63" t="s">
        <v>271</v>
      </c>
      <c r="B313" s="63" t="s">
        <v>270</v>
      </c>
      <c r="C313" s="63">
        <f>VLOOKUP($B313,'Tillförd energi'!$B$1:$AI$720,MATCH(C$2,'Tillförd energi'!$B$1:$AQ$1,0),FALSE)</f>
        <v>0</v>
      </c>
      <c r="D313" s="63">
        <f>VLOOKUP($B313,'Tillförd energi'!$B$1:$AI$720,MATCH(D$2,'Tillförd energi'!$B$1:$AQ$1,0),FALSE)</f>
        <v>0.14000000000000001</v>
      </c>
      <c r="E313" s="63">
        <f>VLOOKUP($B313,'Tillförd energi'!$B$1:$AI$720,MATCH(E$2,'Tillförd energi'!$B$1:$AQ$1,0),FALSE)</f>
        <v>0</v>
      </c>
      <c r="F313" s="63">
        <f>VLOOKUP($B313,'Tillförd energi'!$B$1:$AI$720,MATCH(F$2,'Tillförd energi'!$B$1:$AQ$1,0),FALSE)</f>
        <v>0</v>
      </c>
      <c r="G313" s="63">
        <f>VLOOKUP($B313,'Tillförd energi'!$B$1:$AI$720,MATCH(G$2,'Tillförd energi'!$B$1:$AQ$1,0),FALSE)</f>
        <v>0</v>
      </c>
      <c r="H313" s="63">
        <f>VLOOKUP($B313,'Tillförd energi'!$B$1:$AI$720,MATCH(H$2,'Tillförd energi'!$B$1:$AQ$1,0),FALSE)</f>
        <v>0</v>
      </c>
      <c r="I313" s="63">
        <f>VLOOKUP($B313,'Tillförd energi'!$B$1:$AI$720,MATCH(I$2,'Tillförd energi'!$B$1:$AQ$1,0),FALSE)</f>
        <v>0</v>
      </c>
      <c r="J313" s="63">
        <f>VLOOKUP($B313,'Tillförd energi'!$B$1:$AI$720,MATCH(J$2,'Tillförd energi'!$B$1:$AQ$1,0),FALSE)</f>
        <v>0</v>
      </c>
      <c r="K313" s="63">
        <f>VLOOKUP($B313,'Tillförd energi'!$B$1:$AI$720,MATCH(K$2,'Tillförd energi'!$B$1:$AQ$1,0),FALSE)</f>
        <v>0</v>
      </c>
      <c r="L313" s="63">
        <f>VLOOKUP($B313,'Tillförd energi'!$B$1:$AI$720,MATCH(L$2,'Tillförd energi'!$B$1:$AQ$1,0),FALSE)</f>
        <v>0</v>
      </c>
      <c r="M313" s="63">
        <f>VLOOKUP($B313,'Tillförd energi'!$B$1:$AI$720,MATCH(M$2,'Tillförd energi'!$B$1:$AQ$1,0),FALSE)</f>
        <v>0</v>
      </c>
      <c r="N313" s="63">
        <f>VLOOKUP($B313,'Tillförd energi'!$B$1:$AI$720,MATCH(N$2,'Tillförd energi'!$B$1:$AQ$1,0),FALSE)</f>
        <v>269.46499999999997</v>
      </c>
      <c r="O313" s="63">
        <f>VLOOKUP($B313,'Tillförd energi'!$B$1:$AI$720,MATCH(O$2,'Tillförd energi'!$B$1:$AQ$1,0),FALSE)</f>
        <v>0</v>
      </c>
      <c r="P313" s="63">
        <f>VLOOKUP($B313,'Tillförd energi'!$B$1:$AI$720,MATCH(P$2,'Tillförd energi'!$B$1:$AQ$1,0),FALSE)</f>
        <v>0</v>
      </c>
      <c r="Q313" s="63">
        <f>VLOOKUP($B313,'Tillförd energi'!$B$1:$AI$720,MATCH(Q$2,'Tillförd energi'!$B$1:$AQ$1,0),FALSE)</f>
        <v>0</v>
      </c>
      <c r="R313" s="63">
        <f>VLOOKUP($B313,'Tillförd energi'!$B$1:$AI$720,MATCH(R$2,'Tillförd energi'!$B$1:$AQ$1,0),FALSE)</f>
        <v>0</v>
      </c>
      <c r="S313" s="63">
        <f>VLOOKUP($B313,'Tillförd energi'!$B$1:$AI$720,MATCH(S$2,'Tillförd energi'!$B$1:$AQ$1,0),FALSE)</f>
        <v>0</v>
      </c>
      <c r="T313" s="63">
        <f>VLOOKUP($B313,'Tillförd energi'!$B$1:$AI$720,MATCH(T$2,'Tillförd energi'!$B$1:$AQ$1,0),FALSE)</f>
        <v>0</v>
      </c>
      <c r="U313" s="63">
        <f>VLOOKUP($B313,'Tillförd energi'!$B$1:$AI$720,MATCH(U$2,'Tillförd energi'!$B$1:$AQ$1,0),FALSE)</f>
        <v>0</v>
      </c>
      <c r="V313" s="63">
        <f>VLOOKUP($B313,'Tillförd energi'!$B$1:$AI$720,MATCH(V$2,'Tillförd energi'!$B$1:$AQ$1,0),FALSE)</f>
        <v>0</v>
      </c>
      <c r="W313" s="63">
        <f>VLOOKUP($B313,'Tillförd energi'!$B$1:$AI$720,MATCH(W$2,'Tillförd energi'!$B$1:$AQ$1,0),FALSE)</f>
        <v>24.3</v>
      </c>
      <c r="X313" s="63">
        <f>VLOOKUP($B313,'Tillförd energi'!$B$1:$AI$720,MATCH(X$2,'Tillförd energi'!$B$1:$AQ$1,0),FALSE)</f>
        <v>0</v>
      </c>
      <c r="Y313" s="63">
        <f>VLOOKUP($B313,'Tillförd energi'!$B$1:$AI$720,MATCH(Y$2,'Tillförd energi'!$B$1:$AQ$1,0),FALSE)</f>
        <v>0</v>
      </c>
      <c r="Z313" s="63">
        <f>VLOOKUP($B313,'Tillförd energi'!$B$1:$AI$720,MATCH(Z$2,'Tillförd energi'!$B$1:$AQ$1,0),FALSE)</f>
        <v>0</v>
      </c>
      <c r="AA313" s="63">
        <f>VLOOKUP($B313,'Tillförd energi'!$B$1:$AI$720,MATCH(AA$2,'Tillförd energi'!$B$1:$AQ$1,0),FALSE)</f>
        <v>0</v>
      </c>
      <c r="AB313" s="63">
        <f>VLOOKUP($B313,'Tillförd energi'!$B$1:$AI$720,MATCH(AB$2,'Tillförd energi'!$B$1:$AQ$1,0),FALSE)</f>
        <v>0</v>
      </c>
      <c r="AC313" s="63">
        <f>VLOOKUP($B313,'Tillförd energi'!$B$1:$AI$720,MATCH(AC$2,'Tillförd energi'!$B$1:$AQ$1,0),FALSE)</f>
        <v>51.8</v>
      </c>
      <c r="AD313" s="63">
        <f>VLOOKUP($B313,'Tillförd energi'!$B$1:$AI$720,MATCH(AD$2,'Tillförd energi'!$B$1:$AQ$1,0),FALSE)</f>
        <v>0</v>
      </c>
      <c r="AE313" s="63">
        <f>VLOOKUP($B313,'Tillförd energi'!$B$1:$AI$720,MATCH(AE$2,'Tillförd energi'!$B$1:$AQ$1,0),FALSE)</f>
        <v>0</v>
      </c>
      <c r="AF313" s="63">
        <f>VLOOKUP($B313,'Tillförd energi'!$B$1:$AI$720,MATCH(AF$2,'Tillförd energi'!$B$1:$AQ$1,0),FALSE)</f>
        <v>6.6936799999999996</v>
      </c>
      <c r="AG313" s="63">
        <f>IFERROR(VLOOKUP(B313,Miljö!$B$1:$AC$550,MATCH("Köpt mängd produktionsspecifik fjärrvärme:",Miljö!$B$1:$AC$1,0),FALSE)/1,0)</f>
        <v>66.2</v>
      </c>
      <c r="AI313" s="63">
        <f t="shared" si="24"/>
        <v>418.59867999999994</v>
      </c>
      <c r="AJ313" s="63">
        <f>IF(ISERROR(1/VLOOKUP($B313,Leveranser!$B$1:$S$500,MATCH("såld värme (gwh)",Leveranser!$B$1:$S$1,0),FALSE)),"",VLOOKUP($B313,Leveranser!$B$1:$S$500,MATCH("såld värme (gwh)",Leveranser!$B$1:$S$1,0),FALSE))</f>
        <v>335.2</v>
      </c>
      <c r="AM313" s="63" t="str">
        <f>IF(B313&lt;&gt;"",IF(VLOOKUP($B313,Totalt!$B$1:$AQ$554,MATCH("Kvalitetsgranskad:",Totalt!$B$1:$AQ$1,0),FALSE)="ja",VLOOKUP($B313,Miljö!$B$1:$AG$479,MATCH(AM$2,Miljö!$B$1:$AK$1,0),FALSE),""),"")</f>
        <v>Ja</v>
      </c>
      <c r="AN313" s="63" t="str">
        <f>IF(AM313="ja",VLOOKUP($B313,Miljö!$B$1:$J$479,MATCH("Typ av ursprungsspecificerad el   (Om inget värde anges används Nordisk residualmix, se inforuta) ()",Miljö!$B$1:$J$1,0),FALSE),IF(AM313="nej","Nordisk residualel",""))</f>
        <v>''''El producerad i eget biokraftvärmeverk''''</v>
      </c>
      <c r="AO313" s="63">
        <f>IF(AM313="","",VLOOKUP($B313,Miljö!$B$1:$J$479,MATCH("Fossilandel för ursprungspecificerad el ()",Miljö!$B$1:$J$1,0),FALSE))</f>
        <v>0</v>
      </c>
      <c r="AQ313" s="63">
        <f t="shared" si="25"/>
        <v>1</v>
      </c>
      <c r="AS313" s="63" t="str">
        <f t="shared" si="26"/>
        <v>Ja</v>
      </c>
      <c r="AT313" s="63">
        <f>IF(AS313="ja",VLOOKUP($B313,Miljö!$B$1:$P$500,MATCH("Fossil andel i procent (%)",Miljö!$B$1:$P$1,0),FALSE)/100,"")</f>
        <v>0</v>
      </c>
      <c r="AV313" s="63" t="str">
        <f t="shared" si="27"/>
        <v>Nej</v>
      </c>
      <c r="AW313" s="63" t="str">
        <f>IF(AV313="ja",VLOOKUP($B313,'Egen hetvattenprod'!$B$1:$AO$500,MATCH("Värmekälla till värmepumpar ()",'Egen hetvattenprod'!$B$1:$AO$1,0),FALSE),"")</f>
        <v/>
      </c>
      <c r="AY313" s="63" t="str">
        <f t="shared" si="28"/>
        <v>Ja</v>
      </c>
      <c r="AZ313" s="77">
        <f>IF($AY313="ja",(VLOOKUP($B313,'Egen hetvattenprod'!$B$1:$BX$550,MATCH(AZ$2,'Egen hetvattenprod'!$B$1:$BX$1,0),FALSE)+VLOOKUP($B313,Kraftvärmeprod!$B$1:$BX$550,MATCH(AZ$2,Kraftvärmeprod!$B$1:$BX$1,0),FALSE))/$AC313,"")</f>
        <v>1.0000000000000002</v>
      </c>
      <c r="BA313" s="77">
        <f>IF($AY313="ja",(VLOOKUP($B313,'Egen hetvattenprod'!$B$1:$BX$550,MATCH(BA$2,'Egen hetvattenprod'!$B$1:$BX$1,0),FALSE)+VLOOKUP($B313,Kraftvärmeprod!$B$1:$BX$550,MATCH(BA$2,Kraftvärmeprod!$B$1:$BX$1,0),FALSE))/$AC313,"")</f>
        <v>0</v>
      </c>
      <c r="BB313" s="77">
        <f>IF($AY313="ja",(VLOOKUP($B313,'Egen hetvattenprod'!$B$1:$BX$550,MATCH(BB$2,'Egen hetvattenprod'!$B$1:$BX$1,0),FALSE)+VLOOKUP($B313,Kraftvärmeprod!$B$1:$BX$550,MATCH(BB$2,Kraftvärmeprod!$B$1:$BX$1,0),FALSE))/$AC313,"")</f>
        <v>0</v>
      </c>
      <c r="BC313" s="77">
        <f>IF($AY313="ja",(VLOOKUP($B313,'Egen hetvattenprod'!$B$1:$BX$550,MATCH(BC$2,'Egen hetvattenprod'!$B$1:$BX$1,0),FALSE)+VLOOKUP($B313,Kraftvärmeprod!$B$1:$BX$550,MATCH(BC$2,Kraftvärmeprod!$B$1:$BX$1,0),FALSE))/$AC313,"")</f>
        <v>0</v>
      </c>
      <c r="BD313" s="77">
        <f>IF($AY313="ja",(VLOOKUP($B313,'Egen hetvattenprod'!$B$1:$BX$550,MATCH(BD$2,'Egen hetvattenprod'!$B$1:$BX$1,0),FALSE)+VLOOKUP($B313,Kraftvärmeprod!$B$1:$BX$550,MATCH(BD$2,Kraftvärmeprod!$B$1:$BX$1,0),FALSE))/$AC313,"")</f>
        <v>0</v>
      </c>
      <c r="BF313" s="63" t="str">
        <f t="shared" si="29"/>
        <v>Nej</v>
      </c>
      <c r="BG313" s="63" t="str">
        <f>IF($BF313="ja",VLOOKUP($B313,'Egen hetvattenprod'!$B$1:$BX$550,MATCH("Andelen klimatgaser med fossilt ursprung för avfall ()",'Egen hetvattenprod'!$B$1:$BX$1,0),FALSE),"")</f>
        <v/>
      </c>
      <c r="BH313" s="63" t="str">
        <f>IF($BF313="ja",VLOOKUP($B313,Kraftvärmeprod!$B$1:$BX$550,MATCH("Andelen klimatgaser med fossilt ursprung för avfall ()",Kraftvärmeprod!$B$1:$BX$1,0),FALSE),"")</f>
        <v/>
      </c>
      <c r="BI313" s="63" t="str">
        <f>IF($BF313="ja",VLOOKUP($B313,'Egen hetvattenprod'!$B$1:$BX$550,MATCH("Avfall (GWh)",'Egen hetvattenprod'!$B$1:$BX$1,0),FALSE),"")</f>
        <v/>
      </c>
      <c r="BJ313" s="63" t="str">
        <f>IF($BF313="ja",VLOOKUP($B313,'Slutlig allokering kvv'!$B$1:$BX$550,MATCH("Avfall (GWh)",'Slutlig allokering kvv'!$B$1:$BX$1,0),FALSE),"")</f>
        <v/>
      </c>
      <c r="BK313" s="63" t="str">
        <f>IF($BF313="ja",VLOOKUP($B313,'Köpt hetvatten'!$B$1:$BX$550,MATCH("Avfall i köpt hetvatten",'Köpt hetvatten'!$B$1:$BX$1,0),FALSE),"")</f>
        <v/>
      </c>
      <c r="BL313" s="63" t="str">
        <f>IF($BF313="ja",VLOOKUP($B313,'Egen hetvattenprod'!$B$1:$BX$550,MATCH("Värde enligt ovan. (%)",'Egen hetvattenprod'!$B$1:$BX$1,0),FALSE),"")</f>
        <v/>
      </c>
      <c r="BM313" s="63" t="str">
        <f>IF($BF313="ja",VLOOKUP($B313,Kraftvärmeprod!$B$1:$BX$550,MATCH("Värde enligt ovan. (%)",Kraftvärmeprod!$B$1:$BX$1,0),FALSE),"")</f>
        <v/>
      </c>
    </row>
    <row r="314" spans="1:65" x14ac:dyDescent="0.45">
      <c r="A314" s="63" t="s">
        <v>267</v>
      </c>
      <c r="B314" s="63" t="s">
        <v>269</v>
      </c>
      <c r="C314" s="63">
        <f>VLOOKUP($B314,'Tillförd energi'!$B$1:$AI$720,MATCH(C$2,'Tillförd energi'!$B$1:$AQ$1,0),FALSE)</f>
        <v>0</v>
      </c>
      <c r="D314" s="63">
        <f>VLOOKUP($B314,'Tillförd energi'!$B$1:$AI$720,MATCH(D$2,'Tillförd energi'!$B$1:$AQ$1,0),FALSE)</f>
        <v>0</v>
      </c>
      <c r="E314" s="63">
        <f>VLOOKUP($B314,'Tillförd energi'!$B$1:$AI$720,MATCH(E$2,'Tillförd energi'!$B$1:$AQ$1,0),FALSE)</f>
        <v>0</v>
      </c>
      <c r="F314" s="63">
        <f>VLOOKUP($B314,'Tillförd energi'!$B$1:$AI$720,MATCH(F$2,'Tillförd energi'!$B$1:$AQ$1,0),FALSE)</f>
        <v>0</v>
      </c>
      <c r="G314" s="63">
        <f>VLOOKUP($B314,'Tillförd energi'!$B$1:$AI$720,MATCH(G$2,'Tillförd energi'!$B$1:$AQ$1,0),FALSE)</f>
        <v>0</v>
      </c>
      <c r="H314" s="63">
        <f>VLOOKUP($B314,'Tillförd energi'!$B$1:$AI$720,MATCH(H$2,'Tillförd energi'!$B$1:$AQ$1,0),FALSE)</f>
        <v>0</v>
      </c>
      <c r="I314" s="63">
        <f>VLOOKUP($B314,'Tillförd energi'!$B$1:$AI$720,MATCH(I$2,'Tillförd energi'!$B$1:$AQ$1,0),FALSE)</f>
        <v>0</v>
      </c>
      <c r="J314" s="63">
        <f>VLOOKUP($B314,'Tillförd energi'!$B$1:$AI$720,MATCH(J$2,'Tillförd energi'!$B$1:$AQ$1,0),FALSE)</f>
        <v>0</v>
      </c>
      <c r="K314" s="63">
        <f>VLOOKUP($B314,'Tillförd energi'!$B$1:$AI$720,MATCH(K$2,'Tillförd energi'!$B$1:$AQ$1,0),FALSE)</f>
        <v>0</v>
      </c>
      <c r="L314" s="63">
        <f>VLOOKUP($B314,'Tillförd energi'!$B$1:$AI$720,MATCH(L$2,'Tillförd energi'!$B$1:$AQ$1,0),FALSE)</f>
        <v>0</v>
      </c>
      <c r="M314" s="63">
        <f>VLOOKUP($B314,'Tillförd energi'!$B$1:$AI$720,MATCH(M$2,'Tillförd energi'!$B$1:$AQ$1,0),FALSE)</f>
        <v>0</v>
      </c>
      <c r="N314" s="63">
        <f>VLOOKUP($B314,'Tillförd energi'!$B$1:$AI$720,MATCH(N$2,'Tillförd energi'!$B$1:$AQ$1,0),FALSE)</f>
        <v>0</v>
      </c>
      <c r="O314" s="63">
        <f>VLOOKUP($B314,'Tillförd energi'!$B$1:$AI$720,MATCH(O$2,'Tillförd energi'!$B$1:$AQ$1,0),FALSE)</f>
        <v>0</v>
      </c>
      <c r="P314" s="63">
        <f>VLOOKUP($B314,'Tillförd energi'!$B$1:$AI$720,MATCH(P$2,'Tillförd energi'!$B$1:$AQ$1,0),FALSE)</f>
        <v>0</v>
      </c>
      <c r="Q314" s="63">
        <f>VLOOKUP($B314,'Tillförd energi'!$B$1:$AI$720,MATCH(Q$2,'Tillförd energi'!$B$1:$AQ$1,0),FALSE)</f>
        <v>0</v>
      </c>
      <c r="R314" s="63">
        <f>VLOOKUP($B314,'Tillförd energi'!$B$1:$AI$720,MATCH(R$2,'Tillförd energi'!$B$1:$AQ$1,0),FALSE)</f>
        <v>5.4550000000000001</v>
      </c>
      <c r="S314" s="63">
        <f>VLOOKUP($B314,'Tillförd energi'!$B$1:$AI$720,MATCH(S$2,'Tillförd energi'!$B$1:$AQ$1,0),FALSE)</f>
        <v>0</v>
      </c>
      <c r="T314" s="63">
        <f>VLOOKUP($B314,'Tillförd energi'!$B$1:$AI$720,MATCH(T$2,'Tillförd energi'!$B$1:$AQ$1,0),FALSE)</f>
        <v>0</v>
      </c>
      <c r="U314" s="63">
        <f>VLOOKUP($B314,'Tillförd energi'!$B$1:$AI$720,MATCH(U$2,'Tillförd energi'!$B$1:$AQ$1,0),FALSE)</f>
        <v>0</v>
      </c>
      <c r="V314" s="63">
        <f>VLOOKUP($B314,'Tillförd energi'!$B$1:$AI$720,MATCH(V$2,'Tillförd energi'!$B$1:$AQ$1,0),FALSE)</f>
        <v>0</v>
      </c>
      <c r="W314" s="63">
        <f>VLOOKUP($B314,'Tillförd energi'!$B$1:$AI$720,MATCH(W$2,'Tillförd energi'!$B$1:$AQ$1,0),FALSE)</f>
        <v>0.14799999999999999</v>
      </c>
      <c r="X314" s="63">
        <f>VLOOKUP($B314,'Tillförd energi'!$B$1:$AI$720,MATCH(X$2,'Tillförd energi'!$B$1:$AQ$1,0),FALSE)</f>
        <v>0</v>
      </c>
      <c r="Y314" s="63">
        <f>VLOOKUP($B314,'Tillförd energi'!$B$1:$AI$720,MATCH(Y$2,'Tillförd energi'!$B$1:$AQ$1,0),FALSE)</f>
        <v>0</v>
      </c>
      <c r="Z314" s="63">
        <f>VLOOKUP($B314,'Tillförd energi'!$B$1:$AI$720,MATCH(Z$2,'Tillförd energi'!$B$1:$AQ$1,0),FALSE)</f>
        <v>0</v>
      </c>
      <c r="AA314" s="63">
        <f>VLOOKUP($B314,'Tillförd energi'!$B$1:$AI$720,MATCH(AA$2,'Tillförd energi'!$B$1:$AQ$1,0),FALSE)</f>
        <v>0</v>
      </c>
      <c r="AB314" s="63">
        <f>VLOOKUP($B314,'Tillförd energi'!$B$1:$AI$720,MATCH(AB$2,'Tillförd energi'!$B$1:$AQ$1,0),FALSE)</f>
        <v>0</v>
      </c>
      <c r="AC314" s="63">
        <f>VLOOKUP($B314,'Tillförd energi'!$B$1:$AI$720,MATCH(AC$2,'Tillförd energi'!$B$1:$AQ$1,0),FALSE)</f>
        <v>0</v>
      </c>
      <c r="AD314" s="63">
        <f>VLOOKUP($B314,'Tillförd energi'!$B$1:$AI$720,MATCH(AD$2,'Tillförd energi'!$B$1:$AQ$1,0),FALSE)</f>
        <v>0</v>
      </c>
      <c r="AE314" s="63">
        <f>VLOOKUP($B314,'Tillförd energi'!$B$1:$AI$720,MATCH(AE$2,'Tillförd energi'!$B$1:$AQ$1,0),FALSE)</f>
        <v>0</v>
      </c>
      <c r="AF314" s="63">
        <f>VLOOKUP($B314,'Tillförd energi'!$B$1:$AI$720,MATCH(AF$2,'Tillförd energi'!$B$1:$AQ$1,0),FALSE)</f>
        <v>9.6939999999999998E-2</v>
      </c>
      <c r="AG314" s="63">
        <f>IFERROR(VLOOKUP(B314,Miljö!$B$1:$AC$550,MATCH("Köpt mängd produktionsspecifik fjärrvärme:",Miljö!$B$1:$AC$1,0),FALSE)/1,0)</f>
        <v>0</v>
      </c>
      <c r="AI314" s="63">
        <f t="shared" si="24"/>
        <v>5.6999399999999998</v>
      </c>
      <c r="AJ314" s="63">
        <f>IF(ISERROR(1/VLOOKUP($B314,Leveranser!$B$1:$S$500,MATCH("såld värme (gwh)",Leveranser!$B$1:$S$1,0),FALSE)),"",VLOOKUP($B314,Leveranser!$B$1:$S$500,MATCH("såld värme (gwh)",Leveranser!$B$1:$S$1,0),FALSE))</f>
        <v>4.3470000000000004</v>
      </c>
      <c r="AM314" s="63" t="str">
        <f>IF(B314&lt;&gt;"",IF(VLOOKUP($B314,Totalt!$B$1:$AQ$554,MATCH("Kvalitetsgranskad:",Totalt!$B$1:$AQ$1,0),FALSE)="ja",VLOOKUP($B314,Miljö!$B$1:$AG$479,MATCH(AM$2,Miljö!$B$1:$AK$1,0),FALSE),""),"")</f>
        <v>Ja</v>
      </c>
      <c r="AN314" s="63" t="str">
        <f>IF(AM314="ja",VLOOKUP($B314,Miljö!$B$1:$J$479,MATCH("Typ av ursprungsspecificerad el   (Om inget värde anges används Nordisk residualmix, se inforuta) ()",Miljö!$B$1:$J$1,0),FALSE),IF(AM314="nej","Nordisk residualel",""))</f>
        <v>'Nordisk residualmix'</v>
      </c>
      <c r="AO314" s="63">
        <f>IF(AM314="","",VLOOKUP($B314,Miljö!$B$1:$J$479,MATCH("Fossilandel för ursprungspecificerad el ()",Miljö!$B$1:$J$1,0),FALSE))</f>
        <v>0.35</v>
      </c>
      <c r="AQ314" s="63">
        <f t="shared" si="25"/>
        <v>0.65</v>
      </c>
      <c r="AS314" s="63" t="str">
        <f t="shared" si="26"/>
        <v>Nej</v>
      </c>
      <c r="AT314" s="63" t="str">
        <f>IF(AS314="ja",VLOOKUP($B314,Miljö!$B$1:$P$500,MATCH("Fossil andel i procent (%)",Miljö!$B$1:$P$1,0),FALSE)/100,"")</f>
        <v/>
      </c>
      <c r="AV314" s="63" t="str">
        <f t="shared" si="27"/>
        <v>Nej</v>
      </c>
      <c r="AW314" s="63" t="str">
        <f>IF(AV314="ja",VLOOKUP($B314,'Egen hetvattenprod'!$B$1:$AO$500,MATCH("Värmekälla till värmepumpar ()",'Egen hetvattenprod'!$B$1:$AO$1,0),FALSE),"")</f>
        <v/>
      </c>
      <c r="AY314" s="63" t="str">
        <f t="shared" si="28"/>
        <v>Nej</v>
      </c>
      <c r="AZ314" s="77" t="str">
        <f>IF($AY314="ja",(VLOOKUP($B314,'Egen hetvattenprod'!$B$1:$BX$550,MATCH(AZ$2,'Egen hetvattenprod'!$B$1:$BX$1,0),FALSE)+VLOOKUP($B314,Kraftvärmeprod!$B$1:$BX$550,MATCH(AZ$2,Kraftvärmeprod!$B$1:$BX$1,0),FALSE))/$AC314,"")</f>
        <v/>
      </c>
      <c r="BA314" s="77" t="str">
        <f>IF($AY314="ja",(VLOOKUP($B314,'Egen hetvattenprod'!$B$1:$BX$550,MATCH(BA$2,'Egen hetvattenprod'!$B$1:$BX$1,0),FALSE)+VLOOKUP($B314,Kraftvärmeprod!$B$1:$BX$550,MATCH(BA$2,Kraftvärmeprod!$B$1:$BX$1,0),FALSE))/$AC314,"")</f>
        <v/>
      </c>
      <c r="BB314" s="77" t="str">
        <f>IF($AY314="ja",(VLOOKUP($B314,'Egen hetvattenprod'!$B$1:$BX$550,MATCH(BB$2,'Egen hetvattenprod'!$B$1:$BX$1,0),FALSE)+VLOOKUP($B314,Kraftvärmeprod!$B$1:$BX$550,MATCH(BB$2,Kraftvärmeprod!$B$1:$BX$1,0),FALSE))/$AC314,"")</f>
        <v/>
      </c>
      <c r="BC314" s="77" t="str">
        <f>IF($AY314="ja",(VLOOKUP($B314,'Egen hetvattenprod'!$B$1:$BX$550,MATCH(BC$2,'Egen hetvattenprod'!$B$1:$BX$1,0),FALSE)+VLOOKUP($B314,Kraftvärmeprod!$B$1:$BX$550,MATCH(BC$2,Kraftvärmeprod!$B$1:$BX$1,0),FALSE))/$AC314,"")</f>
        <v/>
      </c>
      <c r="BD314" s="77" t="str">
        <f>IF($AY314="ja",(VLOOKUP($B314,'Egen hetvattenprod'!$B$1:$BX$550,MATCH(BD$2,'Egen hetvattenprod'!$B$1:$BX$1,0),FALSE)+VLOOKUP($B314,Kraftvärmeprod!$B$1:$BX$550,MATCH(BD$2,Kraftvärmeprod!$B$1:$BX$1,0),FALSE))/$AC314,"")</f>
        <v/>
      </c>
      <c r="BF314" s="63" t="str">
        <f t="shared" si="29"/>
        <v>Nej</v>
      </c>
      <c r="BG314" s="63" t="str">
        <f>IF($BF314="ja",VLOOKUP($B314,'Egen hetvattenprod'!$B$1:$BX$550,MATCH("Andelen klimatgaser med fossilt ursprung för avfall ()",'Egen hetvattenprod'!$B$1:$BX$1,0),FALSE),"")</f>
        <v/>
      </c>
      <c r="BH314" s="63" t="str">
        <f>IF($BF314="ja",VLOOKUP($B314,Kraftvärmeprod!$B$1:$BX$550,MATCH("Andelen klimatgaser med fossilt ursprung för avfall ()",Kraftvärmeprod!$B$1:$BX$1,0),FALSE),"")</f>
        <v/>
      </c>
      <c r="BI314" s="63" t="str">
        <f>IF($BF314="ja",VLOOKUP($B314,'Egen hetvattenprod'!$B$1:$BX$550,MATCH("Avfall (GWh)",'Egen hetvattenprod'!$B$1:$BX$1,0),FALSE),"")</f>
        <v/>
      </c>
      <c r="BJ314" s="63" t="str">
        <f>IF($BF314="ja",VLOOKUP($B314,'Slutlig allokering kvv'!$B$1:$BX$550,MATCH("Avfall (GWh)",'Slutlig allokering kvv'!$B$1:$BX$1,0),FALSE),"")</f>
        <v/>
      </c>
      <c r="BK314" s="63" t="str">
        <f>IF($BF314="ja",VLOOKUP($B314,'Köpt hetvatten'!$B$1:$BX$550,MATCH("Avfall i köpt hetvatten",'Köpt hetvatten'!$B$1:$BX$1,0),FALSE),"")</f>
        <v/>
      </c>
      <c r="BL314" s="63" t="str">
        <f>IF($BF314="ja",VLOOKUP($B314,'Egen hetvattenprod'!$B$1:$BX$550,MATCH("Värde enligt ovan. (%)",'Egen hetvattenprod'!$B$1:$BX$1,0),FALSE),"")</f>
        <v/>
      </c>
      <c r="BM314" s="63" t="str">
        <f>IF($BF314="ja",VLOOKUP($B314,Kraftvärmeprod!$B$1:$BX$550,MATCH("Värde enligt ovan. (%)",Kraftvärmeprod!$B$1:$BX$1,0),FALSE),"")</f>
        <v/>
      </c>
    </row>
    <row r="315" spans="1:65" x14ac:dyDescent="0.45">
      <c r="A315" s="63" t="s">
        <v>267</v>
      </c>
      <c r="B315" s="63" t="s">
        <v>268</v>
      </c>
      <c r="C315" s="63">
        <f>VLOOKUP($B315,'Tillförd energi'!$B$1:$AI$720,MATCH(C$2,'Tillförd energi'!$B$1:$AQ$1,0),FALSE)</f>
        <v>0</v>
      </c>
      <c r="D315" s="63">
        <f>VLOOKUP($B315,'Tillförd energi'!$B$1:$AI$720,MATCH(D$2,'Tillförd energi'!$B$1:$AQ$1,0),FALSE)</f>
        <v>0</v>
      </c>
      <c r="E315" s="63">
        <f>VLOOKUP($B315,'Tillförd energi'!$B$1:$AI$720,MATCH(E$2,'Tillförd energi'!$B$1:$AQ$1,0),FALSE)</f>
        <v>0</v>
      </c>
      <c r="F315" s="63">
        <f>VLOOKUP($B315,'Tillförd energi'!$B$1:$AI$720,MATCH(F$2,'Tillförd energi'!$B$1:$AQ$1,0),FALSE)</f>
        <v>0</v>
      </c>
      <c r="G315" s="63">
        <f>VLOOKUP($B315,'Tillförd energi'!$B$1:$AI$720,MATCH(G$2,'Tillförd energi'!$B$1:$AQ$1,0),FALSE)</f>
        <v>0</v>
      </c>
      <c r="H315" s="63">
        <f>VLOOKUP($B315,'Tillförd energi'!$B$1:$AI$720,MATCH(H$2,'Tillförd energi'!$B$1:$AQ$1,0),FALSE)</f>
        <v>0</v>
      </c>
      <c r="I315" s="63">
        <f>VLOOKUP($B315,'Tillförd energi'!$B$1:$AI$720,MATCH(I$2,'Tillförd energi'!$B$1:$AQ$1,0),FALSE)</f>
        <v>0</v>
      </c>
      <c r="J315" s="63">
        <f>VLOOKUP($B315,'Tillförd energi'!$B$1:$AI$720,MATCH(J$2,'Tillförd energi'!$B$1:$AQ$1,0),FALSE)</f>
        <v>0</v>
      </c>
      <c r="K315" s="63">
        <f>VLOOKUP($B315,'Tillförd energi'!$B$1:$AI$720,MATCH(K$2,'Tillförd energi'!$B$1:$AQ$1,0),FALSE)</f>
        <v>0</v>
      </c>
      <c r="L315" s="63">
        <f>VLOOKUP($B315,'Tillförd energi'!$B$1:$AI$720,MATCH(L$2,'Tillförd energi'!$B$1:$AQ$1,0),FALSE)</f>
        <v>0</v>
      </c>
      <c r="M315" s="63">
        <f>VLOOKUP($B315,'Tillförd energi'!$B$1:$AI$720,MATCH(M$2,'Tillförd energi'!$B$1:$AQ$1,0),FALSE)</f>
        <v>0</v>
      </c>
      <c r="N315" s="63">
        <f>VLOOKUP($B315,'Tillförd energi'!$B$1:$AI$720,MATCH(N$2,'Tillförd energi'!$B$1:$AQ$1,0),FALSE)</f>
        <v>0</v>
      </c>
      <c r="O315" s="63">
        <f>VLOOKUP($B315,'Tillförd energi'!$B$1:$AI$720,MATCH(O$2,'Tillförd energi'!$B$1:$AQ$1,0),FALSE)</f>
        <v>0</v>
      </c>
      <c r="P315" s="63">
        <f>VLOOKUP($B315,'Tillförd energi'!$B$1:$AI$720,MATCH(P$2,'Tillförd energi'!$B$1:$AQ$1,0),FALSE)</f>
        <v>2.5179999999999998</v>
      </c>
      <c r="Q315" s="63">
        <f>VLOOKUP($B315,'Tillförd energi'!$B$1:$AI$720,MATCH(Q$2,'Tillförd energi'!$B$1:$AQ$1,0),FALSE)</f>
        <v>0</v>
      </c>
      <c r="R315" s="63">
        <f>VLOOKUP($B315,'Tillförd energi'!$B$1:$AI$720,MATCH(R$2,'Tillförd energi'!$B$1:$AQ$1,0),FALSE)</f>
        <v>6.02</v>
      </c>
      <c r="S315" s="63">
        <f>VLOOKUP($B315,'Tillförd energi'!$B$1:$AI$720,MATCH(S$2,'Tillförd energi'!$B$1:$AQ$1,0),FALSE)</f>
        <v>0</v>
      </c>
      <c r="T315" s="63">
        <f>VLOOKUP($B315,'Tillförd energi'!$B$1:$AI$720,MATCH(T$2,'Tillförd energi'!$B$1:$AQ$1,0),FALSE)</f>
        <v>0</v>
      </c>
      <c r="U315" s="63">
        <f>VLOOKUP($B315,'Tillförd energi'!$B$1:$AI$720,MATCH(U$2,'Tillförd energi'!$B$1:$AQ$1,0),FALSE)</f>
        <v>0</v>
      </c>
      <c r="V315" s="63">
        <f>VLOOKUP($B315,'Tillförd energi'!$B$1:$AI$720,MATCH(V$2,'Tillförd energi'!$B$1:$AQ$1,0),FALSE)</f>
        <v>0</v>
      </c>
      <c r="W315" s="63">
        <f>VLOOKUP($B315,'Tillförd energi'!$B$1:$AI$720,MATCH(W$2,'Tillförd energi'!$B$1:$AQ$1,0),FALSE)</f>
        <v>0.188</v>
      </c>
      <c r="X315" s="63">
        <f>VLOOKUP($B315,'Tillförd energi'!$B$1:$AI$720,MATCH(X$2,'Tillförd energi'!$B$1:$AQ$1,0),FALSE)</f>
        <v>0</v>
      </c>
      <c r="Y315" s="63">
        <f>VLOOKUP($B315,'Tillförd energi'!$B$1:$AI$720,MATCH(Y$2,'Tillförd energi'!$B$1:$AQ$1,0),FALSE)</f>
        <v>0</v>
      </c>
      <c r="Z315" s="63">
        <f>VLOOKUP($B315,'Tillförd energi'!$B$1:$AI$720,MATCH(Z$2,'Tillförd energi'!$B$1:$AQ$1,0),FALSE)</f>
        <v>0</v>
      </c>
      <c r="AA315" s="63">
        <f>VLOOKUP($B315,'Tillförd energi'!$B$1:$AI$720,MATCH(AA$2,'Tillförd energi'!$B$1:$AQ$1,0),FALSE)</f>
        <v>0</v>
      </c>
      <c r="AB315" s="63">
        <f>VLOOKUP($B315,'Tillförd energi'!$B$1:$AI$720,MATCH(AB$2,'Tillförd energi'!$B$1:$AQ$1,0),FALSE)</f>
        <v>0</v>
      </c>
      <c r="AC315" s="63">
        <f>VLOOKUP($B315,'Tillförd energi'!$B$1:$AI$720,MATCH(AC$2,'Tillförd energi'!$B$1:$AQ$1,0),FALSE)</f>
        <v>0</v>
      </c>
      <c r="AD315" s="63">
        <f>VLOOKUP($B315,'Tillförd energi'!$B$1:$AI$720,MATCH(AD$2,'Tillförd energi'!$B$1:$AQ$1,0),FALSE)</f>
        <v>0</v>
      </c>
      <c r="AE315" s="63">
        <f>VLOOKUP($B315,'Tillförd energi'!$B$1:$AI$720,MATCH(AE$2,'Tillförd energi'!$B$1:$AQ$1,0),FALSE)</f>
        <v>0</v>
      </c>
      <c r="AF315" s="63">
        <f>VLOOKUP($B315,'Tillförd energi'!$B$1:$AI$720,MATCH(AF$2,'Tillförd energi'!$B$1:$AQ$1,0),FALSE)</f>
        <v>0.12959000000000001</v>
      </c>
      <c r="AG315" s="63">
        <f>IFERROR(VLOOKUP(B315,Miljö!$B$1:$AC$550,MATCH("Köpt mängd produktionsspecifik fjärrvärme:",Miljö!$B$1:$AC$1,0),FALSE)/1,0)</f>
        <v>0</v>
      </c>
      <c r="AI315" s="63">
        <f t="shared" si="24"/>
        <v>8.8555900000000012</v>
      </c>
      <c r="AJ315" s="63">
        <f>IF(ISERROR(1/VLOOKUP($B315,Leveranser!$B$1:$S$500,MATCH("såld värme (gwh)",Leveranser!$B$1:$S$1,0),FALSE)),"",VLOOKUP($B315,Leveranser!$B$1:$S$500,MATCH("såld värme (gwh)",Leveranser!$B$1:$S$1,0),FALSE))</f>
        <v>6.7720000000000002</v>
      </c>
      <c r="AM315" s="63" t="str">
        <f>IF(B315&lt;&gt;"",IF(VLOOKUP($B315,Totalt!$B$1:$AQ$554,MATCH("Kvalitetsgranskad:",Totalt!$B$1:$AQ$1,0),FALSE)="ja",VLOOKUP($B315,Miljö!$B$1:$AG$479,MATCH(AM$2,Miljö!$B$1:$AK$1,0),FALSE),""),"")</f>
        <v>Ja</v>
      </c>
      <c r="AN315" s="63" t="str">
        <f>IF(AM315="ja",VLOOKUP($B315,Miljö!$B$1:$J$479,MATCH("Typ av ursprungsspecificerad el   (Om inget värde anges används Nordisk residualmix, se inforuta) ()",Miljö!$B$1:$J$1,0),FALSE),IF(AM315="nej","Nordisk residualel",""))</f>
        <v>'Nordisk Residualmix'</v>
      </c>
      <c r="AO315" s="63">
        <f>IF(AM315="","",VLOOKUP($B315,Miljö!$B$1:$J$479,MATCH("Fossilandel för ursprungspecificerad el ()",Miljö!$B$1:$J$1,0),FALSE))</f>
        <v>0.35</v>
      </c>
      <c r="AQ315" s="63">
        <f t="shared" si="25"/>
        <v>0.65</v>
      </c>
      <c r="AS315" s="63" t="str">
        <f t="shared" si="26"/>
        <v>Nej</v>
      </c>
      <c r="AT315" s="63" t="str">
        <f>IF(AS315="ja",VLOOKUP($B315,Miljö!$B$1:$P$500,MATCH("Fossil andel i procent (%)",Miljö!$B$1:$P$1,0),FALSE)/100,"")</f>
        <v/>
      </c>
      <c r="AV315" s="63" t="str">
        <f t="shared" si="27"/>
        <v>Nej</v>
      </c>
      <c r="AW315" s="63" t="str">
        <f>IF(AV315="ja",VLOOKUP($B315,'Egen hetvattenprod'!$B$1:$AO$500,MATCH("Värmekälla till värmepumpar ()",'Egen hetvattenprod'!$B$1:$AO$1,0),FALSE),"")</f>
        <v/>
      </c>
      <c r="AY315" s="63" t="str">
        <f t="shared" si="28"/>
        <v>Nej</v>
      </c>
      <c r="AZ315" s="77" t="str">
        <f>IF($AY315="ja",(VLOOKUP($B315,'Egen hetvattenprod'!$B$1:$BX$550,MATCH(AZ$2,'Egen hetvattenprod'!$B$1:$BX$1,0),FALSE)+VLOOKUP($B315,Kraftvärmeprod!$B$1:$BX$550,MATCH(AZ$2,Kraftvärmeprod!$B$1:$BX$1,0),FALSE))/$AC315,"")</f>
        <v/>
      </c>
      <c r="BA315" s="77" t="str">
        <f>IF($AY315="ja",(VLOOKUP($B315,'Egen hetvattenprod'!$B$1:$BX$550,MATCH(BA$2,'Egen hetvattenprod'!$B$1:$BX$1,0),FALSE)+VLOOKUP($B315,Kraftvärmeprod!$B$1:$BX$550,MATCH(BA$2,Kraftvärmeprod!$B$1:$BX$1,0),FALSE))/$AC315,"")</f>
        <v/>
      </c>
      <c r="BB315" s="77" t="str">
        <f>IF($AY315="ja",(VLOOKUP($B315,'Egen hetvattenprod'!$B$1:$BX$550,MATCH(BB$2,'Egen hetvattenprod'!$B$1:$BX$1,0),FALSE)+VLOOKUP($B315,Kraftvärmeprod!$B$1:$BX$550,MATCH(BB$2,Kraftvärmeprod!$B$1:$BX$1,0),FALSE))/$AC315,"")</f>
        <v/>
      </c>
      <c r="BC315" s="77" t="str">
        <f>IF($AY315="ja",(VLOOKUP($B315,'Egen hetvattenprod'!$B$1:$BX$550,MATCH(BC$2,'Egen hetvattenprod'!$B$1:$BX$1,0),FALSE)+VLOOKUP($B315,Kraftvärmeprod!$B$1:$BX$550,MATCH(BC$2,Kraftvärmeprod!$B$1:$BX$1,0),FALSE))/$AC315,"")</f>
        <v/>
      </c>
      <c r="BD315" s="77" t="str">
        <f>IF($AY315="ja",(VLOOKUP($B315,'Egen hetvattenprod'!$B$1:$BX$550,MATCH(BD$2,'Egen hetvattenprod'!$B$1:$BX$1,0),FALSE)+VLOOKUP($B315,Kraftvärmeprod!$B$1:$BX$550,MATCH(BD$2,Kraftvärmeprod!$B$1:$BX$1,0),FALSE))/$AC315,"")</f>
        <v/>
      </c>
      <c r="BF315" s="63" t="str">
        <f t="shared" si="29"/>
        <v>Nej</v>
      </c>
      <c r="BG315" s="63" t="str">
        <f>IF($BF315="ja",VLOOKUP($B315,'Egen hetvattenprod'!$B$1:$BX$550,MATCH("Andelen klimatgaser med fossilt ursprung för avfall ()",'Egen hetvattenprod'!$B$1:$BX$1,0),FALSE),"")</f>
        <v/>
      </c>
      <c r="BH315" s="63" t="str">
        <f>IF($BF315="ja",VLOOKUP($B315,Kraftvärmeprod!$B$1:$BX$550,MATCH("Andelen klimatgaser med fossilt ursprung för avfall ()",Kraftvärmeprod!$B$1:$BX$1,0),FALSE),"")</f>
        <v/>
      </c>
      <c r="BI315" s="63" t="str">
        <f>IF($BF315="ja",VLOOKUP($B315,'Egen hetvattenprod'!$B$1:$BX$550,MATCH("Avfall (GWh)",'Egen hetvattenprod'!$B$1:$BX$1,0),FALSE),"")</f>
        <v/>
      </c>
      <c r="BJ315" s="63" t="str">
        <f>IF($BF315="ja",VLOOKUP($B315,'Slutlig allokering kvv'!$B$1:$BX$550,MATCH("Avfall (GWh)",'Slutlig allokering kvv'!$B$1:$BX$1,0),FALSE),"")</f>
        <v/>
      </c>
      <c r="BK315" s="63" t="str">
        <f>IF($BF315="ja",VLOOKUP($B315,'Köpt hetvatten'!$B$1:$BX$550,MATCH("Avfall i köpt hetvatten",'Köpt hetvatten'!$B$1:$BX$1,0),FALSE),"")</f>
        <v/>
      </c>
      <c r="BL315" s="63" t="str">
        <f>IF($BF315="ja",VLOOKUP($B315,'Egen hetvattenprod'!$B$1:$BX$550,MATCH("Värde enligt ovan. (%)",'Egen hetvattenprod'!$B$1:$BX$1,0),FALSE),"")</f>
        <v/>
      </c>
      <c r="BM315" s="63" t="str">
        <f>IF($BF315="ja",VLOOKUP($B315,Kraftvärmeprod!$B$1:$BX$550,MATCH("Värde enligt ovan. (%)",Kraftvärmeprod!$B$1:$BX$1,0),FALSE),"")</f>
        <v/>
      </c>
    </row>
    <row r="316" spans="1:65" x14ac:dyDescent="0.45">
      <c r="A316" s="63" t="s">
        <v>267</v>
      </c>
      <c r="B316" s="63" t="s">
        <v>266</v>
      </c>
      <c r="C316" s="63">
        <f>VLOOKUP($B316,'Tillförd energi'!$B$1:$AI$720,MATCH(C$2,'Tillförd energi'!$B$1:$AQ$1,0),FALSE)</f>
        <v>0</v>
      </c>
      <c r="D316" s="63">
        <f>VLOOKUP($B316,'Tillförd energi'!$B$1:$AI$720,MATCH(D$2,'Tillförd energi'!$B$1:$AQ$1,0),FALSE)</f>
        <v>0.62356299999999998</v>
      </c>
      <c r="E316" s="63">
        <f>VLOOKUP($B316,'Tillförd energi'!$B$1:$AI$720,MATCH(E$2,'Tillförd energi'!$B$1:$AQ$1,0),FALSE)</f>
        <v>0</v>
      </c>
      <c r="F316" s="63">
        <f>VLOOKUP($B316,'Tillförd energi'!$B$1:$AI$720,MATCH(F$2,'Tillförd energi'!$B$1:$AQ$1,0),FALSE)</f>
        <v>0</v>
      </c>
      <c r="G316" s="63">
        <f>VLOOKUP($B316,'Tillförd energi'!$B$1:$AI$720,MATCH(G$2,'Tillförd energi'!$B$1:$AQ$1,0),FALSE)</f>
        <v>0</v>
      </c>
      <c r="H316" s="63">
        <f>VLOOKUP($B316,'Tillförd energi'!$B$1:$AI$720,MATCH(H$2,'Tillförd energi'!$B$1:$AQ$1,0),FALSE)</f>
        <v>0</v>
      </c>
      <c r="I316" s="63">
        <f>VLOOKUP($B316,'Tillförd energi'!$B$1:$AI$720,MATCH(I$2,'Tillförd energi'!$B$1:$AQ$1,0),FALSE)</f>
        <v>174.381</v>
      </c>
      <c r="J316" s="63">
        <f>VLOOKUP($B316,'Tillförd energi'!$B$1:$AI$720,MATCH(J$2,'Tillförd energi'!$B$1:$AQ$1,0),FALSE)</f>
        <v>0</v>
      </c>
      <c r="K316" s="63">
        <f>VLOOKUP($B316,'Tillförd energi'!$B$1:$AI$720,MATCH(K$2,'Tillförd energi'!$B$1:$AQ$1,0),FALSE)</f>
        <v>0</v>
      </c>
      <c r="L316" s="63">
        <f>VLOOKUP($B316,'Tillförd energi'!$B$1:$AI$720,MATCH(L$2,'Tillförd energi'!$B$1:$AQ$1,0),FALSE)</f>
        <v>6.585</v>
      </c>
      <c r="M316" s="63">
        <f>VLOOKUP($B316,'Tillförd energi'!$B$1:$AI$720,MATCH(M$2,'Tillförd energi'!$B$1:$AQ$1,0),FALSE)</f>
        <v>0</v>
      </c>
      <c r="N316" s="63">
        <f>VLOOKUP($B316,'Tillförd energi'!$B$1:$AI$720,MATCH(N$2,'Tillförd energi'!$B$1:$AQ$1,0),FALSE)</f>
        <v>0</v>
      </c>
      <c r="O316" s="63">
        <f>VLOOKUP($B316,'Tillförd energi'!$B$1:$AI$720,MATCH(O$2,'Tillförd energi'!$B$1:$AQ$1,0),FALSE)</f>
        <v>0</v>
      </c>
      <c r="P316" s="63">
        <f>VLOOKUP($B316,'Tillförd energi'!$B$1:$AI$720,MATCH(P$2,'Tillförd energi'!$B$1:$AQ$1,0),FALSE)</f>
        <v>57.58</v>
      </c>
      <c r="Q316" s="63">
        <f>VLOOKUP($B316,'Tillförd energi'!$B$1:$AI$720,MATCH(Q$2,'Tillförd energi'!$B$1:$AQ$1,0),FALSE)</f>
        <v>0</v>
      </c>
      <c r="R316" s="63">
        <f>VLOOKUP($B316,'Tillförd energi'!$B$1:$AI$720,MATCH(R$2,'Tillförd energi'!$B$1:$AQ$1,0),FALSE)</f>
        <v>0</v>
      </c>
      <c r="S316" s="63">
        <f>VLOOKUP($B316,'Tillförd energi'!$B$1:$AI$720,MATCH(S$2,'Tillförd energi'!$B$1:$AQ$1,0),FALSE)</f>
        <v>0</v>
      </c>
      <c r="T316" s="63">
        <f>VLOOKUP($B316,'Tillförd energi'!$B$1:$AI$720,MATCH(T$2,'Tillförd energi'!$B$1:$AQ$1,0),FALSE)</f>
        <v>0</v>
      </c>
      <c r="U316" s="63">
        <f>VLOOKUP($B316,'Tillförd energi'!$B$1:$AI$720,MATCH(U$2,'Tillförd energi'!$B$1:$AQ$1,0),FALSE)</f>
        <v>0</v>
      </c>
      <c r="V316" s="63">
        <f>VLOOKUP($B316,'Tillförd energi'!$B$1:$AI$720,MATCH(V$2,'Tillförd energi'!$B$1:$AQ$1,0),FALSE)</f>
        <v>0</v>
      </c>
      <c r="W316" s="63">
        <f>VLOOKUP($B316,'Tillförd energi'!$B$1:$AI$720,MATCH(W$2,'Tillförd energi'!$B$1:$AQ$1,0),FALSE)</f>
        <v>0.13600000000000001</v>
      </c>
      <c r="X316" s="63">
        <f>VLOOKUP($B316,'Tillförd energi'!$B$1:$AI$720,MATCH(X$2,'Tillförd energi'!$B$1:$AQ$1,0),FALSE)</f>
        <v>0</v>
      </c>
      <c r="Y316" s="63">
        <f>VLOOKUP($B316,'Tillförd energi'!$B$1:$AI$720,MATCH(Y$2,'Tillförd energi'!$B$1:$AQ$1,0),FALSE)</f>
        <v>18.506</v>
      </c>
      <c r="Z316" s="63">
        <f>VLOOKUP($B316,'Tillförd energi'!$B$1:$AI$720,MATCH(Z$2,'Tillförd energi'!$B$1:$AQ$1,0),FALSE)</f>
        <v>0</v>
      </c>
      <c r="AA316" s="63">
        <f>VLOOKUP($B316,'Tillförd energi'!$B$1:$AI$720,MATCH(AA$2,'Tillförd energi'!$B$1:$AQ$1,0),FALSE)</f>
        <v>0</v>
      </c>
      <c r="AB316" s="63">
        <f>VLOOKUP($B316,'Tillförd energi'!$B$1:$AI$720,MATCH(AB$2,'Tillförd energi'!$B$1:$AQ$1,0),FALSE)</f>
        <v>0</v>
      </c>
      <c r="AC316" s="63">
        <f>VLOOKUP($B316,'Tillförd energi'!$B$1:$AI$720,MATCH(AC$2,'Tillförd energi'!$B$1:$AQ$1,0),FALSE)</f>
        <v>62.756999999999998</v>
      </c>
      <c r="AD316" s="63">
        <f>VLOOKUP($B316,'Tillförd energi'!$B$1:$AI$720,MATCH(AD$2,'Tillförd energi'!$B$1:$AQ$1,0),FALSE)</f>
        <v>0</v>
      </c>
      <c r="AE316" s="63">
        <f>VLOOKUP($B316,'Tillförd energi'!$B$1:$AI$720,MATCH(AE$2,'Tillförd energi'!$B$1:$AQ$1,0),FALSE)</f>
        <v>0</v>
      </c>
      <c r="AF316" s="63">
        <f>VLOOKUP($B316,'Tillförd energi'!$B$1:$AI$720,MATCH(AF$2,'Tillförd energi'!$B$1:$AQ$1,0),FALSE)</f>
        <v>10.8666</v>
      </c>
      <c r="AG316" s="63">
        <f>IFERROR(VLOOKUP(B316,Miljö!$B$1:$AC$550,MATCH("Köpt mängd produktionsspecifik fjärrvärme:",Miljö!$B$1:$AC$1,0),FALSE)/1,0)</f>
        <v>0</v>
      </c>
      <c r="AI316" s="63">
        <f t="shared" si="24"/>
        <v>331.43516299999999</v>
      </c>
      <c r="AJ316" s="63">
        <f>IF(ISERROR(1/VLOOKUP($B316,Leveranser!$B$1:$S$500,MATCH("såld värme (gwh)",Leveranser!$B$1:$S$1,0),FALSE)),"",VLOOKUP($B316,Leveranser!$B$1:$S$500,MATCH("såld värme (gwh)",Leveranser!$B$1:$S$1,0),FALSE))</f>
        <v>304</v>
      </c>
      <c r="AM316" s="63" t="str">
        <f>IF(B316&lt;&gt;"",IF(VLOOKUP($B316,Totalt!$B$1:$AQ$554,MATCH("Kvalitetsgranskad:",Totalt!$B$1:$AQ$1,0),FALSE)="ja",VLOOKUP($B316,Miljö!$B$1:$AG$479,MATCH(AM$2,Miljö!$B$1:$AK$1,0),FALSE),""),"")</f>
        <v>Ja</v>
      </c>
      <c r="AN316" s="63" t="str">
        <f>IF(AM316="ja",VLOOKUP($B316,Miljö!$B$1:$J$479,MATCH("Typ av ursprungsspecificerad el   (Om inget värde anges används Nordisk residualmix, se inforuta) ()",Miljö!$B$1:$J$1,0),FALSE),IF(AM316="nej","Nordisk residualel",""))</f>
        <v>'Nordisk Residualmix'</v>
      </c>
      <c r="AO316" s="63">
        <f>IF(AM316="","",VLOOKUP($B316,Miljö!$B$1:$J$479,MATCH("Fossilandel för ursprungspecificerad el ()",Miljö!$B$1:$J$1,0),FALSE))</f>
        <v>0.35</v>
      </c>
      <c r="AQ316" s="63">
        <f t="shared" si="25"/>
        <v>0.65</v>
      </c>
      <c r="AS316" s="63" t="str">
        <f t="shared" si="26"/>
        <v>Nej</v>
      </c>
      <c r="AT316" s="63" t="str">
        <f>IF(AS316="ja",VLOOKUP($B316,Miljö!$B$1:$P$500,MATCH("Fossil andel i procent (%)",Miljö!$B$1:$P$1,0),FALSE)/100,"")</f>
        <v/>
      </c>
      <c r="AV316" s="63" t="str">
        <f t="shared" si="27"/>
        <v>Nej</v>
      </c>
      <c r="AW316" s="63" t="str">
        <f>IF(AV316="ja",VLOOKUP($B316,'Egen hetvattenprod'!$B$1:$AO$500,MATCH("Värmekälla till värmepumpar ()",'Egen hetvattenprod'!$B$1:$AO$1,0),FALSE),"")</f>
        <v/>
      </c>
      <c r="AY316" s="63" t="str">
        <f t="shared" si="28"/>
        <v>Ja</v>
      </c>
      <c r="AZ316" s="77">
        <f>IF($AY316="ja",(VLOOKUP($B316,'Egen hetvattenprod'!$B$1:$BX$550,MATCH(AZ$2,'Egen hetvattenprod'!$B$1:$BX$1,0),FALSE)+VLOOKUP($B316,Kraftvärmeprod!$B$1:$BX$550,MATCH(AZ$2,Kraftvärmeprod!$B$1:$BX$1,0),FALSE))/$AC316,"")</f>
        <v>0.23237057220708449</v>
      </c>
      <c r="BA316" s="77">
        <f>IF($AY316="ja",(VLOOKUP($B316,'Egen hetvattenprod'!$B$1:$BX$550,MATCH(BA$2,'Egen hetvattenprod'!$B$1:$BX$1,0),FALSE)+VLOOKUP($B316,Kraftvärmeprod!$B$1:$BX$550,MATCH(BA$2,Kraftvärmeprod!$B$1:$BX$1,0),FALSE))/$AC316,"")</f>
        <v>0.70208900999091739</v>
      </c>
      <c r="BB316" s="77">
        <f>IF($AY316="ja",(VLOOKUP($B316,'Egen hetvattenprod'!$B$1:$BX$550,MATCH(BB$2,'Egen hetvattenprod'!$B$1:$BX$1,0),FALSE)+VLOOKUP($B316,Kraftvärmeprod!$B$1:$BX$550,MATCH(BB$2,Kraftvärmeprod!$B$1:$BX$1,0),FALSE))/$AC316,"")</f>
        <v>0</v>
      </c>
      <c r="BC316" s="77">
        <f>IF($AY316="ja",(VLOOKUP($B316,'Egen hetvattenprod'!$B$1:$BX$550,MATCH(BC$2,'Egen hetvattenprod'!$B$1:$BX$1,0),FALSE)+VLOOKUP($B316,Kraftvärmeprod!$B$1:$BX$550,MATCH(BC$2,Kraftvärmeprod!$B$1:$BX$1,0),FALSE))/$AC316,"")</f>
        <v>6.5540417801998194E-2</v>
      </c>
      <c r="BD316" s="77">
        <f>IF($AY316="ja",(VLOOKUP($B316,'Egen hetvattenprod'!$B$1:$BX$550,MATCH(BD$2,'Egen hetvattenprod'!$B$1:$BX$1,0),FALSE)+VLOOKUP($B316,Kraftvärmeprod!$B$1:$BX$550,MATCH(BD$2,Kraftvärmeprod!$B$1:$BX$1,0),FALSE))/$AC316,"")</f>
        <v>0</v>
      </c>
      <c r="BF316" s="63" t="str">
        <f t="shared" si="29"/>
        <v>Ja</v>
      </c>
      <c r="BG316" s="63" t="str">
        <f>IF($BF316="ja",VLOOKUP($B316,'Egen hetvattenprod'!$B$1:$BX$550,MATCH("Andelen klimatgaser med fossilt ursprung för avfall ()",'Egen hetvattenprod'!$B$1:$BX$1,0),FALSE),"")</f>
        <v>Ingen redovisning</v>
      </c>
      <c r="BH316" s="63" t="str">
        <f>IF($BF316="ja",VLOOKUP($B316,Kraftvärmeprod!$B$1:$BX$550,MATCH("Andelen klimatgaser med fossilt ursprung för avfall ()",Kraftvärmeprod!$B$1:$BX$1,0),FALSE),"")</f>
        <v>Schablon</v>
      </c>
      <c r="BI316" s="63" t="str">
        <f>IF($BF316="ja",VLOOKUP($B316,'Egen hetvattenprod'!$B$1:$BX$550,MATCH("Avfall (GWh)",'Egen hetvattenprod'!$B$1:$BX$1,0),FALSE),"")</f>
        <v>ET</v>
      </c>
      <c r="BJ316" s="63">
        <f>IF($BF316="ja",VLOOKUP($B316,'Slutlig allokering kvv'!$B$1:$BX$550,MATCH("Avfall (GWh)",'Slutlig allokering kvv'!$B$1:$BX$1,0),FALSE),"")</f>
        <v>174.381</v>
      </c>
      <c r="BK316" s="63">
        <f>IF($BF316="ja",VLOOKUP($B316,'Köpt hetvatten'!$B$1:$BX$550,MATCH("Avfall i köpt hetvatten",'Köpt hetvatten'!$B$1:$BX$1,0),FALSE),"")</f>
        <v>0</v>
      </c>
      <c r="BL316" s="63" t="str">
        <f>IF($BF316="ja",VLOOKUP($B316,'Egen hetvattenprod'!$B$1:$BX$550,MATCH("Värde enligt ovan. (%)",'Egen hetvattenprod'!$B$1:$BX$1,0),FALSE),"")</f>
        <v>ET</v>
      </c>
      <c r="BM316" s="63">
        <f>IF($BF316="ja",VLOOKUP($B316,Kraftvärmeprod!$B$1:$BX$550,MATCH("Värde enligt ovan. (%)",Kraftvärmeprod!$B$1:$BX$1,0),FALSE),"")</f>
        <v>37.299999999999997</v>
      </c>
    </row>
    <row r="317" spans="1:65" x14ac:dyDescent="0.45">
      <c r="A317" s="63" t="s">
        <v>263</v>
      </c>
      <c r="B317" s="63" t="s">
        <v>265</v>
      </c>
      <c r="C317" s="63">
        <f>VLOOKUP($B317,'Tillförd energi'!$B$1:$AI$720,MATCH(C$2,'Tillförd energi'!$B$1:$AQ$1,0),FALSE)</f>
        <v>0</v>
      </c>
      <c r="D317" s="63">
        <f>VLOOKUP($B317,'Tillförd energi'!$B$1:$AI$720,MATCH(D$2,'Tillförd energi'!$B$1:$AQ$1,0),FALSE)</f>
        <v>5.0900000000000001E-2</v>
      </c>
      <c r="E317" s="63">
        <f>VLOOKUP($B317,'Tillförd energi'!$B$1:$AI$720,MATCH(E$2,'Tillförd energi'!$B$1:$AQ$1,0),FALSE)</f>
        <v>0</v>
      </c>
      <c r="F317" s="63">
        <f>VLOOKUP($B317,'Tillförd energi'!$B$1:$AI$720,MATCH(F$2,'Tillförd energi'!$B$1:$AQ$1,0),FALSE)</f>
        <v>0</v>
      </c>
      <c r="G317" s="63">
        <f>VLOOKUP($B317,'Tillförd energi'!$B$1:$AI$720,MATCH(G$2,'Tillförd energi'!$B$1:$AQ$1,0),FALSE)</f>
        <v>0</v>
      </c>
      <c r="H317" s="63">
        <f>VLOOKUP($B317,'Tillförd energi'!$B$1:$AI$720,MATCH(H$2,'Tillförd energi'!$B$1:$AQ$1,0),FALSE)</f>
        <v>0</v>
      </c>
      <c r="I317" s="63">
        <f>VLOOKUP($B317,'Tillförd energi'!$B$1:$AI$720,MATCH(I$2,'Tillförd energi'!$B$1:$AQ$1,0),FALSE)</f>
        <v>0</v>
      </c>
      <c r="J317" s="63">
        <f>VLOOKUP($B317,'Tillförd energi'!$B$1:$AI$720,MATCH(J$2,'Tillförd energi'!$B$1:$AQ$1,0),FALSE)</f>
        <v>0</v>
      </c>
      <c r="K317" s="63">
        <f>VLOOKUP($B317,'Tillförd energi'!$B$1:$AI$720,MATCH(K$2,'Tillförd energi'!$B$1:$AQ$1,0),FALSE)</f>
        <v>0</v>
      </c>
      <c r="L317" s="63">
        <f>VLOOKUP($B317,'Tillförd energi'!$B$1:$AI$720,MATCH(L$2,'Tillförd energi'!$B$1:$AQ$1,0),FALSE)</f>
        <v>0</v>
      </c>
      <c r="M317" s="63">
        <f>VLOOKUP($B317,'Tillförd energi'!$B$1:$AI$720,MATCH(M$2,'Tillförd energi'!$B$1:$AQ$1,0),FALSE)</f>
        <v>0</v>
      </c>
      <c r="N317" s="63">
        <f>VLOOKUP($B317,'Tillförd energi'!$B$1:$AI$720,MATCH(N$2,'Tillförd energi'!$B$1:$AQ$1,0),FALSE)</f>
        <v>0</v>
      </c>
      <c r="O317" s="63">
        <f>VLOOKUP($B317,'Tillförd energi'!$B$1:$AI$720,MATCH(O$2,'Tillförd energi'!$B$1:$AQ$1,0),FALSE)</f>
        <v>0</v>
      </c>
      <c r="P317" s="63">
        <f>VLOOKUP($B317,'Tillförd energi'!$B$1:$AI$720,MATCH(P$2,'Tillförd energi'!$B$1:$AQ$1,0),FALSE)</f>
        <v>0</v>
      </c>
      <c r="Q317" s="63">
        <f>VLOOKUP($B317,'Tillförd energi'!$B$1:$AI$720,MATCH(Q$2,'Tillförd energi'!$B$1:$AQ$1,0),FALSE)</f>
        <v>0</v>
      </c>
      <c r="R317" s="63">
        <f>VLOOKUP($B317,'Tillförd energi'!$B$1:$AI$720,MATCH(R$2,'Tillförd energi'!$B$1:$AQ$1,0),FALSE)</f>
        <v>2.52</v>
      </c>
      <c r="S317" s="63">
        <f>VLOOKUP($B317,'Tillförd energi'!$B$1:$AI$720,MATCH(S$2,'Tillförd energi'!$B$1:$AQ$1,0),FALSE)</f>
        <v>0</v>
      </c>
      <c r="T317" s="63">
        <f>VLOOKUP($B317,'Tillförd energi'!$B$1:$AI$720,MATCH(T$2,'Tillförd energi'!$B$1:$AQ$1,0),FALSE)</f>
        <v>0</v>
      </c>
      <c r="U317" s="63">
        <f>VLOOKUP($B317,'Tillförd energi'!$B$1:$AI$720,MATCH(U$2,'Tillförd energi'!$B$1:$AQ$1,0),FALSE)</f>
        <v>0</v>
      </c>
      <c r="V317" s="63">
        <f>VLOOKUP($B317,'Tillförd energi'!$B$1:$AI$720,MATCH(V$2,'Tillförd energi'!$B$1:$AQ$1,0),FALSE)</f>
        <v>0</v>
      </c>
      <c r="W317" s="63">
        <f>VLOOKUP($B317,'Tillförd energi'!$B$1:$AI$720,MATCH(W$2,'Tillförd energi'!$B$1:$AQ$1,0),FALSE)</f>
        <v>0</v>
      </c>
      <c r="X317" s="63">
        <f>VLOOKUP($B317,'Tillförd energi'!$B$1:$AI$720,MATCH(X$2,'Tillförd energi'!$B$1:$AQ$1,0),FALSE)</f>
        <v>0</v>
      </c>
      <c r="Y317" s="63">
        <f>VLOOKUP($B317,'Tillförd energi'!$B$1:$AI$720,MATCH(Y$2,'Tillförd energi'!$B$1:$AQ$1,0),FALSE)</f>
        <v>0</v>
      </c>
      <c r="Z317" s="63">
        <f>VLOOKUP($B317,'Tillförd energi'!$B$1:$AI$720,MATCH(Z$2,'Tillförd energi'!$B$1:$AQ$1,0),FALSE)</f>
        <v>0</v>
      </c>
      <c r="AA317" s="63">
        <f>VLOOKUP($B317,'Tillförd energi'!$B$1:$AI$720,MATCH(AA$2,'Tillförd energi'!$B$1:$AQ$1,0),FALSE)</f>
        <v>0</v>
      </c>
      <c r="AB317" s="63">
        <f>VLOOKUP($B317,'Tillförd energi'!$B$1:$AI$720,MATCH(AB$2,'Tillförd energi'!$B$1:$AQ$1,0),FALSE)</f>
        <v>0</v>
      </c>
      <c r="AC317" s="63">
        <f>VLOOKUP($B317,'Tillförd energi'!$B$1:$AI$720,MATCH(AC$2,'Tillförd energi'!$B$1:$AQ$1,0),FALSE)</f>
        <v>0</v>
      </c>
      <c r="AD317" s="63">
        <f>VLOOKUP($B317,'Tillförd energi'!$B$1:$AI$720,MATCH(AD$2,'Tillförd energi'!$B$1:$AQ$1,0),FALSE)</f>
        <v>0</v>
      </c>
      <c r="AE317" s="63">
        <f>VLOOKUP($B317,'Tillförd energi'!$B$1:$AI$720,MATCH(AE$2,'Tillförd energi'!$B$1:$AQ$1,0),FALSE)</f>
        <v>0</v>
      </c>
      <c r="AF317" s="63">
        <f>VLOOKUP($B317,'Tillförd energi'!$B$1:$AI$720,MATCH(AF$2,'Tillförd energi'!$B$1:$AQ$1,0),FALSE)</f>
        <v>3.0943999999999999E-2</v>
      </c>
      <c r="AG317" s="63">
        <f>IFERROR(VLOOKUP(B317,Miljö!$B$1:$AC$550,MATCH("Köpt mängd produktionsspecifik fjärrvärme:",Miljö!$B$1:$AC$1,0),FALSE)/1,0)</f>
        <v>0</v>
      </c>
      <c r="AI317" s="63">
        <f t="shared" si="24"/>
        <v>2.6018439999999998</v>
      </c>
      <c r="AJ317" s="63">
        <f>IF(ISERROR(1/VLOOKUP($B317,Leveranser!$B$1:$S$500,MATCH("såld värme (gwh)",Leveranser!$B$1:$S$1,0),FALSE)),"",VLOOKUP($B317,Leveranser!$B$1:$S$500,MATCH("såld värme (gwh)",Leveranser!$B$1:$S$1,0),FALSE))</f>
        <v>2.1240000000000001</v>
      </c>
      <c r="AM317" s="63" t="str">
        <f>IF(B317&lt;&gt;"",IF(VLOOKUP($B317,Totalt!$B$1:$AQ$554,MATCH("Kvalitetsgranskad:",Totalt!$B$1:$AQ$1,0),FALSE)="ja",VLOOKUP($B317,Miljö!$B$1:$AG$479,MATCH(AM$2,Miljö!$B$1:$AK$1,0),FALSE),""),"")</f>
        <v>Ja</v>
      </c>
      <c r="AN317" s="63" t="str">
        <f>IF(AM317="ja",VLOOKUP($B317,Miljö!$B$1:$J$479,MATCH("Typ av ursprungsspecificerad el   (Om inget värde anges används Nordisk residualmix, se inforuta) ()",Miljö!$B$1:$J$1,0),FALSE),IF(AM317="nej","Nordisk residualel",""))</f>
        <v>-</v>
      </c>
      <c r="AO317" s="63">
        <f>IF(AM317="","",VLOOKUP($B317,Miljö!$B$1:$J$479,MATCH("Fossilandel för ursprungspecificerad el ()",Miljö!$B$1:$J$1,0),FALSE))</f>
        <v>0.35</v>
      </c>
      <c r="AQ317" s="63">
        <f t="shared" si="25"/>
        <v>0.65</v>
      </c>
      <c r="AS317" s="63" t="str">
        <f t="shared" si="26"/>
        <v>Nej</v>
      </c>
      <c r="AT317" s="63" t="str">
        <f>IF(AS317="ja",VLOOKUP($B317,Miljö!$B$1:$P$500,MATCH("Fossil andel i procent (%)",Miljö!$B$1:$P$1,0),FALSE)/100,"")</f>
        <v/>
      </c>
      <c r="AV317" s="63" t="str">
        <f t="shared" si="27"/>
        <v>Nej</v>
      </c>
      <c r="AW317" s="63" t="str">
        <f>IF(AV317="ja",VLOOKUP($B317,'Egen hetvattenprod'!$B$1:$AO$500,MATCH("Värmekälla till värmepumpar ()",'Egen hetvattenprod'!$B$1:$AO$1,0),FALSE),"")</f>
        <v/>
      </c>
      <c r="AY317" s="63" t="str">
        <f t="shared" si="28"/>
        <v>Nej</v>
      </c>
      <c r="AZ317" s="77" t="str">
        <f>IF($AY317="ja",(VLOOKUP($B317,'Egen hetvattenprod'!$B$1:$BX$550,MATCH(AZ$2,'Egen hetvattenprod'!$B$1:$BX$1,0),FALSE)+VLOOKUP($B317,Kraftvärmeprod!$B$1:$BX$550,MATCH(AZ$2,Kraftvärmeprod!$B$1:$BX$1,0),FALSE))/$AC317,"")</f>
        <v/>
      </c>
      <c r="BA317" s="77" t="str">
        <f>IF($AY317="ja",(VLOOKUP($B317,'Egen hetvattenprod'!$B$1:$BX$550,MATCH(BA$2,'Egen hetvattenprod'!$B$1:$BX$1,0),FALSE)+VLOOKUP($B317,Kraftvärmeprod!$B$1:$BX$550,MATCH(BA$2,Kraftvärmeprod!$B$1:$BX$1,0),FALSE))/$AC317,"")</f>
        <v/>
      </c>
      <c r="BB317" s="77" t="str">
        <f>IF($AY317="ja",(VLOOKUP($B317,'Egen hetvattenprod'!$B$1:$BX$550,MATCH(BB$2,'Egen hetvattenprod'!$B$1:$BX$1,0),FALSE)+VLOOKUP($B317,Kraftvärmeprod!$B$1:$BX$550,MATCH(BB$2,Kraftvärmeprod!$B$1:$BX$1,0),FALSE))/$AC317,"")</f>
        <v/>
      </c>
      <c r="BC317" s="77" t="str">
        <f>IF($AY317="ja",(VLOOKUP($B317,'Egen hetvattenprod'!$B$1:$BX$550,MATCH(BC$2,'Egen hetvattenprod'!$B$1:$BX$1,0),FALSE)+VLOOKUP($B317,Kraftvärmeprod!$B$1:$BX$550,MATCH(BC$2,Kraftvärmeprod!$B$1:$BX$1,0),FALSE))/$AC317,"")</f>
        <v/>
      </c>
      <c r="BD317" s="77" t="str">
        <f>IF($AY317="ja",(VLOOKUP($B317,'Egen hetvattenprod'!$B$1:$BX$550,MATCH(BD$2,'Egen hetvattenprod'!$B$1:$BX$1,0),FALSE)+VLOOKUP($B317,Kraftvärmeprod!$B$1:$BX$550,MATCH(BD$2,Kraftvärmeprod!$B$1:$BX$1,0),FALSE))/$AC317,"")</f>
        <v/>
      </c>
      <c r="BF317" s="63" t="str">
        <f t="shared" si="29"/>
        <v>Nej</v>
      </c>
      <c r="BG317" s="63" t="str">
        <f>IF($BF317="ja",VLOOKUP($B317,'Egen hetvattenprod'!$B$1:$BX$550,MATCH("Andelen klimatgaser med fossilt ursprung för avfall ()",'Egen hetvattenprod'!$B$1:$BX$1,0),FALSE),"")</f>
        <v/>
      </c>
      <c r="BH317" s="63" t="str">
        <f>IF($BF317="ja",VLOOKUP($B317,Kraftvärmeprod!$B$1:$BX$550,MATCH("Andelen klimatgaser med fossilt ursprung för avfall ()",Kraftvärmeprod!$B$1:$BX$1,0),FALSE),"")</f>
        <v/>
      </c>
      <c r="BI317" s="63" t="str">
        <f>IF($BF317="ja",VLOOKUP($B317,'Egen hetvattenprod'!$B$1:$BX$550,MATCH("Avfall (GWh)",'Egen hetvattenprod'!$B$1:$BX$1,0),FALSE),"")</f>
        <v/>
      </c>
      <c r="BJ317" s="63" t="str">
        <f>IF($BF317="ja",VLOOKUP($B317,'Slutlig allokering kvv'!$B$1:$BX$550,MATCH("Avfall (GWh)",'Slutlig allokering kvv'!$B$1:$BX$1,0),FALSE),"")</f>
        <v/>
      </c>
      <c r="BK317" s="63" t="str">
        <f>IF($BF317="ja",VLOOKUP($B317,'Köpt hetvatten'!$B$1:$BX$550,MATCH("Avfall i köpt hetvatten",'Köpt hetvatten'!$B$1:$BX$1,0),FALSE),"")</f>
        <v/>
      </c>
      <c r="BL317" s="63" t="str">
        <f>IF($BF317="ja",VLOOKUP($B317,'Egen hetvattenprod'!$B$1:$BX$550,MATCH("Värde enligt ovan. (%)",'Egen hetvattenprod'!$B$1:$BX$1,0),FALSE),"")</f>
        <v/>
      </c>
      <c r="BM317" s="63" t="str">
        <f>IF($BF317="ja",VLOOKUP($B317,Kraftvärmeprod!$B$1:$BX$550,MATCH("Värde enligt ovan. (%)",Kraftvärmeprod!$B$1:$BX$1,0),FALSE),"")</f>
        <v/>
      </c>
    </row>
    <row r="318" spans="1:65" x14ac:dyDescent="0.45">
      <c r="A318" s="63" t="s">
        <v>263</v>
      </c>
      <c r="B318" s="63" t="s">
        <v>262</v>
      </c>
      <c r="C318" s="63">
        <f>VLOOKUP($B318,'Tillförd energi'!$B$1:$AI$720,MATCH(C$2,'Tillförd energi'!$B$1:$AQ$1,0),FALSE)</f>
        <v>0</v>
      </c>
      <c r="D318" s="63">
        <f>VLOOKUP($B318,'Tillförd energi'!$B$1:$AI$720,MATCH(D$2,'Tillförd energi'!$B$1:$AQ$1,0),FALSE)</f>
        <v>0.45192599999999999</v>
      </c>
      <c r="E318" s="63">
        <f>VLOOKUP($B318,'Tillförd energi'!$B$1:$AI$720,MATCH(E$2,'Tillförd energi'!$B$1:$AQ$1,0),FALSE)</f>
        <v>0</v>
      </c>
      <c r="F318" s="63">
        <f>VLOOKUP($B318,'Tillförd energi'!$B$1:$AI$720,MATCH(F$2,'Tillförd energi'!$B$1:$AQ$1,0),FALSE)</f>
        <v>0</v>
      </c>
      <c r="G318" s="63">
        <f>VLOOKUP($B318,'Tillförd energi'!$B$1:$AI$720,MATCH(G$2,'Tillförd energi'!$B$1:$AQ$1,0),FALSE)</f>
        <v>0</v>
      </c>
      <c r="H318" s="63">
        <f>VLOOKUP($B318,'Tillförd energi'!$B$1:$AI$720,MATCH(H$2,'Tillförd energi'!$B$1:$AQ$1,0),FALSE)</f>
        <v>0</v>
      </c>
      <c r="I318" s="63">
        <f>VLOOKUP($B318,'Tillförd energi'!$B$1:$AI$720,MATCH(I$2,'Tillförd energi'!$B$1:$AQ$1,0),FALSE)</f>
        <v>0</v>
      </c>
      <c r="J318" s="63">
        <f>VLOOKUP($B318,'Tillförd energi'!$B$1:$AI$720,MATCH(J$2,'Tillförd energi'!$B$1:$AQ$1,0),FALSE)</f>
        <v>0</v>
      </c>
      <c r="K318" s="63">
        <f>VLOOKUP($B318,'Tillförd energi'!$B$1:$AI$720,MATCH(K$2,'Tillförd energi'!$B$1:$AQ$1,0),FALSE)</f>
        <v>0</v>
      </c>
      <c r="L318" s="63">
        <f>VLOOKUP($B318,'Tillförd energi'!$B$1:$AI$720,MATCH(L$2,'Tillförd energi'!$B$1:$AQ$1,0),FALSE)</f>
        <v>0</v>
      </c>
      <c r="M318" s="63">
        <f>VLOOKUP($B318,'Tillförd energi'!$B$1:$AI$720,MATCH(M$2,'Tillförd energi'!$B$1:$AQ$1,0),FALSE)</f>
        <v>0</v>
      </c>
      <c r="N318" s="63">
        <f>VLOOKUP($B318,'Tillförd energi'!$B$1:$AI$720,MATCH(N$2,'Tillförd energi'!$B$1:$AQ$1,0),FALSE)</f>
        <v>0</v>
      </c>
      <c r="O318" s="63">
        <f>VLOOKUP($B318,'Tillförd energi'!$B$1:$AI$720,MATCH(O$2,'Tillförd energi'!$B$1:$AQ$1,0),FALSE)</f>
        <v>0</v>
      </c>
      <c r="P318" s="63">
        <f>VLOOKUP($B318,'Tillförd energi'!$B$1:$AI$720,MATCH(P$2,'Tillförd energi'!$B$1:$AQ$1,0),FALSE)</f>
        <v>0</v>
      </c>
      <c r="Q318" s="63">
        <f>VLOOKUP($B318,'Tillförd energi'!$B$1:$AI$720,MATCH(Q$2,'Tillförd energi'!$B$1:$AQ$1,0),FALSE)</f>
        <v>19.010000000000002</v>
      </c>
      <c r="R318" s="63">
        <f>VLOOKUP($B318,'Tillförd energi'!$B$1:$AI$720,MATCH(R$2,'Tillförd energi'!$B$1:$AQ$1,0),FALSE)</f>
        <v>2.5049999999999999</v>
      </c>
      <c r="S318" s="63">
        <f>VLOOKUP($B318,'Tillförd energi'!$B$1:$AI$720,MATCH(S$2,'Tillförd energi'!$B$1:$AQ$1,0),FALSE)</f>
        <v>0</v>
      </c>
      <c r="T318" s="63">
        <f>VLOOKUP($B318,'Tillförd energi'!$B$1:$AI$720,MATCH(T$2,'Tillförd energi'!$B$1:$AQ$1,0),FALSE)</f>
        <v>0</v>
      </c>
      <c r="U318" s="63">
        <f>VLOOKUP($B318,'Tillförd energi'!$B$1:$AI$720,MATCH(U$2,'Tillförd energi'!$B$1:$AQ$1,0),FALSE)</f>
        <v>0</v>
      </c>
      <c r="V318" s="63">
        <f>VLOOKUP($B318,'Tillförd energi'!$B$1:$AI$720,MATCH(V$2,'Tillförd energi'!$B$1:$AQ$1,0),FALSE)</f>
        <v>0</v>
      </c>
      <c r="W318" s="63">
        <f>VLOOKUP($B318,'Tillförd energi'!$B$1:$AI$720,MATCH(W$2,'Tillförd energi'!$B$1:$AQ$1,0),FALSE)</f>
        <v>0</v>
      </c>
      <c r="X318" s="63">
        <f>VLOOKUP($B318,'Tillförd energi'!$B$1:$AI$720,MATCH(X$2,'Tillförd energi'!$B$1:$AQ$1,0),FALSE)</f>
        <v>0</v>
      </c>
      <c r="Y318" s="63">
        <f>VLOOKUP($B318,'Tillförd energi'!$B$1:$AI$720,MATCH(Y$2,'Tillförd energi'!$B$1:$AQ$1,0),FALSE)</f>
        <v>0</v>
      </c>
      <c r="Z318" s="63">
        <f>VLOOKUP($B318,'Tillförd energi'!$B$1:$AI$720,MATCH(Z$2,'Tillförd energi'!$B$1:$AQ$1,0),FALSE)</f>
        <v>0</v>
      </c>
      <c r="AA318" s="63">
        <f>VLOOKUP($B318,'Tillförd energi'!$B$1:$AI$720,MATCH(AA$2,'Tillförd energi'!$B$1:$AQ$1,0),FALSE)</f>
        <v>0</v>
      </c>
      <c r="AB318" s="63">
        <f>VLOOKUP($B318,'Tillförd energi'!$B$1:$AI$720,MATCH(AB$2,'Tillförd energi'!$B$1:$AQ$1,0),FALSE)</f>
        <v>0</v>
      </c>
      <c r="AC318" s="63">
        <f>VLOOKUP($B318,'Tillförd energi'!$B$1:$AI$720,MATCH(AC$2,'Tillförd energi'!$B$1:$AQ$1,0),FALSE)</f>
        <v>0</v>
      </c>
      <c r="AD318" s="63">
        <f>VLOOKUP($B318,'Tillförd energi'!$B$1:$AI$720,MATCH(AD$2,'Tillförd energi'!$B$1:$AQ$1,0),FALSE)</f>
        <v>34.9</v>
      </c>
      <c r="AE318" s="63">
        <f>VLOOKUP($B318,'Tillförd energi'!$B$1:$AI$720,MATCH(AE$2,'Tillförd energi'!$B$1:$AQ$1,0),FALSE)</f>
        <v>0</v>
      </c>
      <c r="AF318" s="63">
        <f>VLOOKUP($B318,'Tillförd energi'!$B$1:$AI$720,MATCH(AF$2,'Tillförd energi'!$B$1:$AQ$1,0),FALSE)</f>
        <v>0.56674000000000002</v>
      </c>
      <c r="AG318" s="63">
        <f>IFERROR(VLOOKUP(B318,Miljö!$B$1:$AC$550,MATCH("Köpt mängd produktionsspecifik fjärrvärme:",Miljö!$B$1:$AC$1,0),FALSE)/1,0)</f>
        <v>0</v>
      </c>
      <c r="AI318" s="63">
        <f t="shared" si="24"/>
        <v>57.433666000000002</v>
      </c>
      <c r="AJ318" s="63">
        <f>IF(ISERROR(1/VLOOKUP($B318,Leveranser!$B$1:$S$500,MATCH("såld värme (gwh)",Leveranser!$B$1:$S$1,0),FALSE)),"",VLOOKUP($B318,Leveranser!$B$1:$S$500,MATCH("såld värme (gwh)",Leveranser!$B$1:$S$1,0),FALSE))</f>
        <v>47.084000000000003</v>
      </c>
      <c r="AM318" s="63" t="str">
        <f>IF(B318&lt;&gt;"",IF(VLOOKUP($B318,Totalt!$B$1:$AQ$554,MATCH("Kvalitetsgranskad:",Totalt!$B$1:$AQ$1,0),FALSE)="ja",VLOOKUP($B318,Miljö!$B$1:$AG$479,MATCH(AM$2,Miljö!$B$1:$AK$1,0),FALSE),""),"")</f>
        <v>Ja</v>
      </c>
      <c r="AN318" s="63" t="str">
        <f>IF(AM318="ja",VLOOKUP($B318,Miljö!$B$1:$J$479,MATCH("Typ av ursprungsspecificerad el   (Om inget värde anges används Nordisk residualmix, se inforuta) ()",Miljö!$B$1:$J$1,0),FALSE),IF(AM318="nej","Nordisk residualel",""))</f>
        <v>-</v>
      </c>
      <c r="AO318" s="63">
        <f>IF(AM318="","",VLOOKUP($B318,Miljö!$B$1:$J$479,MATCH("Fossilandel för ursprungspecificerad el ()",Miljö!$B$1:$J$1,0),FALSE))</f>
        <v>0.35</v>
      </c>
      <c r="AQ318" s="63">
        <f t="shared" si="25"/>
        <v>0.65</v>
      </c>
      <c r="AS318" s="63" t="str">
        <f t="shared" si="26"/>
        <v>Nej</v>
      </c>
      <c r="AT318" s="63" t="str">
        <f>IF(AS318="ja",VLOOKUP($B318,Miljö!$B$1:$P$500,MATCH("Fossil andel i procent (%)",Miljö!$B$1:$P$1,0),FALSE)/100,"")</f>
        <v/>
      </c>
      <c r="AV318" s="63" t="str">
        <f t="shared" si="27"/>
        <v>Nej</v>
      </c>
      <c r="AW318" s="63" t="str">
        <f>IF(AV318="ja",VLOOKUP($B318,'Egen hetvattenprod'!$B$1:$AO$500,MATCH("Värmekälla till värmepumpar ()",'Egen hetvattenprod'!$B$1:$AO$1,0),FALSE),"")</f>
        <v/>
      </c>
      <c r="AY318" s="63" t="str">
        <f t="shared" si="28"/>
        <v>Nej</v>
      </c>
      <c r="AZ318" s="77" t="str">
        <f>IF($AY318="ja",(VLOOKUP($B318,'Egen hetvattenprod'!$B$1:$BX$550,MATCH(AZ$2,'Egen hetvattenprod'!$B$1:$BX$1,0),FALSE)+VLOOKUP($B318,Kraftvärmeprod!$B$1:$BX$550,MATCH(AZ$2,Kraftvärmeprod!$B$1:$BX$1,0),FALSE))/$AC318,"")</f>
        <v/>
      </c>
      <c r="BA318" s="77" t="str">
        <f>IF($AY318="ja",(VLOOKUP($B318,'Egen hetvattenprod'!$B$1:$BX$550,MATCH(BA$2,'Egen hetvattenprod'!$B$1:$BX$1,0),FALSE)+VLOOKUP($B318,Kraftvärmeprod!$B$1:$BX$550,MATCH(BA$2,Kraftvärmeprod!$B$1:$BX$1,0),FALSE))/$AC318,"")</f>
        <v/>
      </c>
      <c r="BB318" s="77" t="str">
        <f>IF($AY318="ja",(VLOOKUP($B318,'Egen hetvattenprod'!$B$1:$BX$550,MATCH(BB$2,'Egen hetvattenprod'!$B$1:$BX$1,0),FALSE)+VLOOKUP($B318,Kraftvärmeprod!$B$1:$BX$550,MATCH(BB$2,Kraftvärmeprod!$B$1:$BX$1,0),FALSE))/$AC318,"")</f>
        <v/>
      </c>
      <c r="BC318" s="77" t="str">
        <f>IF($AY318="ja",(VLOOKUP($B318,'Egen hetvattenprod'!$B$1:$BX$550,MATCH(BC$2,'Egen hetvattenprod'!$B$1:$BX$1,0),FALSE)+VLOOKUP($B318,Kraftvärmeprod!$B$1:$BX$550,MATCH(BC$2,Kraftvärmeprod!$B$1:$BX$1,0),FALSE))/$AC318,"")</f>
        <v/>
      </c>
      <c r="BD318" s="77" t="str">
        <f>IF($AY318="ja",(VLOOKUP($B318,'Egen hetvattenprod'!$B$1:$BX$550,MATCH(BD$2,'Egen hetvattenprod'!$B$1:$BX$1,0),FALSE)+VLOOKUP($B318,Kraftvärmeprod!$B$1:$BX$550,MATCH(BD$2,Kraftvärmeprod!$B$1:$BX$1,0),FALSE))/$AC318,"")</f>
        <v/>
      </c>
      <c r="BF318" s="63" t="str">
        <f t="shared" si="29"/>
        <v>Nej</v>
      </c>
      <c r="BG318" s="63" t="str">
        <f>IF($BF318="ja",VLOOKUP($B318,'Egen hetvattenprod'!$B$1:$BX$550,MATCH("Andelen klimatgaser med fossilt ursprung för avfall ()",'Egen hetvattenprod'!$B$1:$BX$1,0),FALSE),"")</f>
        <v/>
      </c>
      <c r="BH318" s="63" t="str">
        <f>IF($BF318="ja",VLOOKUP($B318,Kraftvärmeprod!$B$1:$BX$550,MATCH("Andelen klimatgaser med fossilt ursprung för avfall ()",Kraftvärmeprod!$B$1:$BX$1,0),FALSE),"")</f>
        <v/>
      </c>
      <c r="BI318" s="63" t="str">
        <f>IF($BF318="ja",VLOOKUP($B318,'Egen hetvattenprod'!$B$1:$BX$550,MATCH("Avfall (GWh)",'Egen hetvattenprod'!$B$1:$BX$1,0),FALSE),"")</f>
        <v/>
      </c>
      <c r="BJ318" s="63" t="str">
        <f>IF($BF318="ja",VLOOKUP($B318,'Slutlig allokering kvv'!$B$1:$BX$550,MATCH("Avfall (GWh)",'Slutlig allokering kvv'!$B$1:$BX$1,0),FALSE),"")</f>
        <v/>
      </c>
      <c r="BK318" s="63" t="str">
        <f>IF($BF318="ja",VLOOKUP($B318,'Köpt hetvatten'!$B$1:$BX$550,MATCH("Avfall i köpt hetvatten",'Köpt hetvatten'!$B$1:$BX$1,0),FALSE),"")</f>
        <v/>
      </c>
      <c r="BL318" s="63" t="str">
        <f>IF($BF318="ja",VLOOKUP($B318,'Egen hetvattenprod'!$B$1:$BX$550,MATCH("Värde enligt ovan. (%)",'Egen hetvattenprod'!$B$1:$BX$1,0),FALSE),"")</f>
        <v/>
      </c>
      <c r="BM318" s="63" t="str">
        <f>IF($BF318="ja",VLOOKUP($B318,Kraftvärmeprod!$B$1:$BX$550,MATCH("Värde enligt ovan. (%)",Kraftvärmeprod!$B$1:$BX$1,0),FALSE),"")</f>
        <v/>
      </c>
    </row>
    <row r="319" spans="1:65" x14ac:dyDescent="0.45">
      <c r="A319" s="63" t="s">
        <v>263</v>
      </c>
      <c r="B319" s="63" t="s">
        <v>264</v>
      </c>
      <c r="C319" s="63">
        <f>VLOOKUP($B319,'Tillförd energi'!$B$1:$AI$720,MATCH(C$2,'Tillförd energi'!$B$1:$AQ$1,0),FALSE)</f>
        <v>0</v>
      </c>
      <c r="D319" s="63">
        <f>VLOOKUP($B319,'Tillförd energi'!$B$1:$AI$720,MATCH(D$2,'Tillförd energi'!$B$1:$AQ$1,0),FALSE)</f>
        <v>0</v>
      </c>
      <c r="E319" s="63">
        <f>VLOOKUP($B319,'Tillförd energi'!$B$1:$AI$720,MATCH(E$2,'Tillförd energi'!$B$1:$AQ$1,0),FALSE)</f>
        <v>0</v>
      </c>
      <c r="F319" s="63">
        <f>VLOOKUP($B319,'Tillförd energi'!$B$1:$AI$720,MATCH(F$2,'Tillförd energi'!$B$1:$AQ$1,0),FALSE)</f>
        <v>0</v>
      </c>
      <c r="G319" s="63">
        <f>VLOOKUP($B319,'Tillförd energi'!$B$1:$AI$720,MATCH(G$2,'Tillförd energi'!$B$1:$AQ$1,0),FALSE)</f>
        <v>0</v>
      </c>
      <c r="H319" s="63">
        <f>VLOOKUP($B319,'Tillförd energi'!$B$1:$AI$720,MATCH(H$2,'Tillförd energi'!$B$1:$AQ$1,0),FALSE)</f>
        <v>0</v>
      </c>
      <c r="I319" s="63">
        <f>VLOOKUP($B319,'Tillförd energi'!$B$1:$AI$720,MATCH(I$2,'Tillförd energi'!$B$1:$AQ$1,0),FALSE)</f>
        <v>0</v>
      </c>
      <c r="J319" s="63">
        <f>VLOOKUP($B319,'Tillförd energi'!$B$1:$AI$720,MATCH(J$2,'Tillförd energi'!$B$1:$AQ$1,0),FALSE)</f>
        <v>0</v>
      </c>
      <c r="K319" s="63">
        <f>VLOOKUP($B319,'Tillförd energi'!$B$1:$AI$720,MATCH(K$2,'Tillförd energi'!$B$1:$AQ$1,0),FALSE)</f>
        <v>0</v>
      </c>
      <c r="L319" s="63">
        <f>VLOOKUP($B319,'Tillförd energi'!$B$1:$AI$720,MATCH(L$2,'Tillförd energi'!$B$1:$AQ$1,0),FALSE)</f>
        <v>0</v>
      </c>
      <c r="M319" s="63">
        <f>VLOOKUP($B319,'Tillförd energi'!$B$1:$AI$720,MATCH(M$2,'Tillförd energi'!$B$1:$AQ$1,0),FALSE)</f>
        <v>0</v>
      </c>
      <c r="N319" s="63">
        <f>VLOOKUP($B319,'Tillförd energi'!$B$1:$AI$720,MATCH(N$2,'Tillförd energi'!$B$1:$AQ$1,0),FALSE)</f>
        <v>0</v>
      </c>
      <c r="O319" s="63">
        <f>VLOOKUP($B319,'Tillförd energi'!$B$1:$AI$720,MATCH(O$2,'Tillförd energi'!$B$1:$AQ$1,0),FALSE)</f>
        <v>0</v>
      </c>
      <c r="P319" s="63">
        <f>VLOOKUP($B319,'Tillförd energi'!$B$1:$AI$720,MATCH(P$2,'Tillförd energi'!$B$1:$AQ$1,0),FALSE)</f>
        <v>0</v>
      </c>
      <c r="Q319" s="63">
        <f>VLOOKUP($B319,'Tillförd energi'!$B$1:$AI$720,MATCH(Q$2,'Tillförd energi'!$B$1:$AQ$1,0),FALSE)</f>
        <v>0</v>
      </c>
      <c r="R319" s="63">
        <f>VLOOKUP($B319,'Tillförd energi'!$B$1:$AI$720,MATCH(R$2,'Tillförd energi'!$B$1:$AQ$1,0),FALSE)</f>
        <v>0.88917800000000002</v>
      </c>
      <c r="S319" s="63">
        <f>VLOOKUP($B319,'Tillförd energi'!$B$1:$AI$720,MATCH(S$2,'Tillförd energi'!$B$1:$AQ$1,0),FALSE)</f>
        <v>0</v>
      </c>
      <c r="T319" s="63">
        <f>VLOOKUP($B319,'Tillförd energi'!$B$1:$AI$720,MATCH(T$2,'Tillförd energi'!$B$1:$AQ$1,0),FALSE)</f>
        <v>0</v>
      </c>
      <c r="U319" s="63">
        <f>VLOOKUP($B319,'Tillförd energi'!$B$1:$AI$720,MATCH(U$2,'Tillförd energi'!$B$1:$AQ$1,0),FALSE)</f>
        <v>0</v>
      </c>
      <c r="V319" s="63">
        <f>VLOOKUP($B319,'Tillförd energi'!$B$1:$AI$720,MATCH(V$2,'Tillförd energi'!$B$1:$AQ$1,0),FALSE)</f>
        <v>0</v>
      </c>
      <c r="W319" s="63">
        <f>VLOOKUP($B319,'Tillförd energi'!$B$1:$AI$720,MATCH(W$2,'Tillförd energi'!$B$1:$AQ$1,0),FALSE)</f>
        <v>0</v>
      </c>
      <c r="X319" s="63">
        <f>VLOOKUP($B319,'Tillförd energi'!$B$1:$AI$720,MATCH(X$2,'Tillförd energi'!$B$1:$AQ$1,0),FALSE)</f>
        <v>0</v>
      </c>
      <c r="Y319" s="63">
        <f>VLOOKUP($B319,'Tillförd energi'!$B$1:$AI$720,MATCH(Y$2,'Tillförd energi'!$B$1:$AQ$1,0),FALSE)</f>
        <v>0</v>
      </c>
      <c r="Z319" s="63">
        <f>VLOOKUP($B319,'Tillförd energi'!$B$1:$AI$720,MATCH(Z$2,'Tillförd energi'!$B$1:$AQ$1,0),FALSE)</f>
        <v>6.0999999999999997E-4</v>
      </c>
      <c r="AA319" s="63">
        <f>VLOOKUP($B319,'Tillförd energi'!$B$1:$AI$720,MATCH(AA$2,'Tillförd energi'!$B$1:$AQ$1,0),FALSE)</f>
        <v>0</v>
      </c>
      <c r="AB319" s="63">
        <f>VLOOKUP($B319,'Tillförd energi'!$B$1:$AI$720,MATCH(AB$2,'Tillförd energi'!$B$1:$AQ$1,0),FALSE)</f>
        <v>0</v>
      </c>
      <c r="AC319" s="63">
        <f>VLOOKUP($B319,'Tillförd energi'!$B$1:$AI$720,MATCH(AC$2,'Tillförd energi'!$B$1:$AQ$1,0),FALSE)</f>
        <v>0</v>
      </c>
      <c r="AD319" s="63">
        <f>VLOOKUP($B319,'Tillförd energi'!$B$1:$AI$720,MATCH(AD$2,'Tillförd energi'!$B$1:$AQ$1,0),FALSE)</f>
        <v>0</v>
      </c>
      <c r="AE319" s="63">
        <f>VLOOKUP($B319,'Tillförd energi'!$B$1:$AI$720,MATCH(AE$2,'Tillförd energi'!$B$1:$AQ$1,0),FALSE)</f>
        <v>0</v>
      </c>
      <c r="AF319" s="63">
        <f>VLOOKUP($B319,'Tillförd energi'!$B$1:$AI$720,MATCH(AF$2,'Tillförd energi'!$B$1:$AQ$1,0),FALSE)</f>
        <v>1.0394E-2</v>
      </c>
      <c r="AG319" s="63">
        <f>IFERROR(VLOOKUP(B319,Miljö!$B$1:$AC$550,MATCH("Köpt mängd produktionsspecifik fjärrvärme:",Miljö!$B$1:$AC$1,0),FALSE)/1,0)</f>
        <v>0</v>
      </c>
      <c r="AI319" s="63">
        <f t="shared" si="24"/>
        <v>0.90018200000000004</v>
      </c>
      <c r="AJ319" s="63">
        <f>IF(ISERROR(1/VLOOKUP($B319,Leveranser!$B$1:$S$500,MATCH("såld värme (gwh)",Leveranser!$B$1:$S$1,0),FALSE)),"",VLOOKUP($B319,Leveranser!$B$1:$S$500,MATCH("såld värme (gwh)",Leveranser!$B$1:$S$1,0),FALSE))</f>
        <v>0.78800000000000003</v>
      </c>
      <c r="AM319" s="63" t="str">
        <f>IF(B319&lt;&gt;"",IF(VLOOKUP($B319,Totalt!$B$1:$AQ$554,MATCH("Kvalitetsgranskad:",Totalt!$B$1:$AQ$1,0),FALSE)="ja",VLOOKUP($B319,Miljö!$B$1:$AG$479,MATCH(AM$2,Miljö!$B$1:$AK$1,0),FALSE),""),"")</f>
        <v>Ja</v>
      </c>
      <c r="AN319" s="63" t="str">
        <f>IF(AM319="ja",VLOOKUP($B319,Miljö!$B$1:$J$479,MATCH("Typ av ursprungsspecificerad el   (Om inget värde anges används Nordisk residualmix, se inforuta) ()",Miljö!$B$1:$J$1,0),FALSE),IF(AM319="nej","Nordisk residualel",""))</f>
        <v>-</v>
      </c>
      <c r="AO319" s="63">
        <f>IF(AM319="","",VLOOKUP($B319,Miljö!$B$1:$J$479,MATCH("Fossilandel för ursprungspecificerad el ()",Miljö!$B$1:$J$1,0),FALSE))</f>
        <v>0.35</v>
      </c>
      <c r="AQ319" s="63">
        <f t="shared" si="25"/>
        <v>0.65</v>
      </c>
      <c r="AS319" s="63" t="str">
        <f t="shared" si="26"/>
        <v>Nej</v>
      </c>
      <c r="AT319" s="63" t="str">
        <f>IF(AS319="ja",VLOOKUP($B319,Miljö!$B$1:$P$500,MATCH("Fossil andel i procent (%)",Miljö!$B$1:$P$1,0),FALSE)/100,"")</f>
        <v/>
      </c>
      <c r="AV319" s="63" t="str">
        <f t="shared" si="27"/>
        <v>Nej</v>
      </c>
      <c r="AW319" s="63" t="str">
        <f>IF(AV319="ja",VLOOKUP($B319,'Egen hetvattenprod'!$B$1:$AO$500,MATCH("Värmekälla till värmepumpar ()",'Egen hetvattenprod'!$B$1:$AO$1,0),FALSE),"")</f>
        <v/>
      </c>
      <c r="AY319" s="63" t="str">
        <f t="shared" si="28"/>
        <v>Nej</v>
      </c>
      <c r="AZ319" s="77" t="str">
        <f>IF($AY319="ja",(VLOOKUP($B319,'Egen hetvattenprod'!$B$1:$BX$550,MATCH(AZ$2,'Egen hetvattenprod'!$B$1:$BX$1,0),FALSE)+VLOOKUP($B319,Kraftvärmeprod!$B$1:$BX$550,MATCH(AZ$2,Kraftvärmeprod!$B$1:$BX$1,0),FALSE))/$AC319,"")</f>
        <v/>
      </c>
      <c r="BA319" s="77" t="str">
        <f>IF($AY319="ja",(VLOOKUP($B319,'Egen hetvattenprod'!$B$1:$BX$550,MATCH(BA$2,'Egen hetvattenprod'!$B$1:$BX$1,0),FALSE)+VLOOKUP($B319,Kraftvärmeprod!$B$1:$BX$550,MATCH(BA$2,Kraftvärmeprod!$B$1:$BX$1,0),FALSE))/$AC319,"")</f>
        <v/>
      </c>
      <c r="BB319" s="77" t="str">
        <f>IF($AY319="ja",(VLOOKUP($B319,'Egen hetvattenprod'!$B$1:$BX$550,MATCH(BB$2,'Egen hetvattenprod'!$B$1:$BX$1,0),FALSE)+VLOOKUP($B319,Kraftvärmeprod!$B$1:$BX$550,MATCH(BB$2,Kraftvärmeprod!$B$1:$BX$1,0),FALSE))/$AC319,"")</f>
        <v/>
      </c>
      <c r="BC319" s="77" t="str">
        <f>IF($AY319="ja",(VLOOKUP($B319,'Egen hetvattenprod'!$B$1:$BX$550,MATCH(BC$2,'Egen hetvattenprod'!$B$1:$BX$1,0),FALSE)+VLOOKUP($B319,Kraftvärmeprod!$B$1:$BX$550,MATCH(BC$2,Kraftvärmeprod!$B$1:$BX$1,0),FALSE))/$AC319,"")</f>
        <v/>
      </c>
      <c r="BD319" s="77" t="str">
        <f>IF($AY319="ja",(VLOOKUP($B319,'Egen hetvattenprod'!$B$1:$BX$550,MATCH(BD$2,'Egen hetvattenprod'!$B$1:$BX$1,0),FALSE)+VLOOKUP($B319,Kraftvärmeprod!$B$1:$BX$550,MATCH(BD$2,Kraftvärmeprod!$B$1:$BX$1,0),FALSE))/$AC319,"")</f>
        <v/>
      </c>
      <c r="BF319" s="63" t="str">
        <f t="shared" si="29"/>
        <v>Nej</v>
      </c>
      <c r="BG319" s="63" t="str">
        <f>IF($BF319="ja",VLOOKUP($B319,'Egen hetvattenprod'!$B$1:$BX$550,MATCH("Andelen klimatgaser med fossilt ursprung för avfall ()",'Egen hetvattenprod'!$B$1:$BX$1,0),FALSE),"")</f>
        <v/>
      </c>
      <c r="BH319" s="63" t="str">
        <f>IF($BF319="ja",VLOOKUP($B319,Kraftvärmeprod!$B$1:$BX$550,MATCH("Andelen klimatgaser med fossilt ursprung för avfall ()",Kraftvärmeprod!$B$1:$BX$1,0),FALSE),"")</f>
        <v/>
      </c>
      <c r="BI319" s="63" t="str">
        <f>IF($BF319="ja",VLOOKUP($B319,'Egen hetvattenprod'!$B$1:$BX$550,MATCH("Avfall (GWh)",'Egen hetvattenprod'!$B$1:$BX$1,0),FALSE),"")</f>
        <v/>
      </c>
      <c r="BJ319" s="63" t="str">
        <f>IF($BF319="ja",VLOOKUP($B319,'Slutlig allokering kvv'!$B$1:$BX$550,MATCH("Avfall (GWh)",'Slutlig allokering kvv'!$B$1:$BX$1,0),FALSE),"")</f>
        <v/>
      </c>
      <c r="BK319" s="63" t="str">
        <f>IF($BF319="ja",VLOOKUP($B319,'Köpt hetvatten'!$B$1:$BX$550,MATCH("Avfall i köpt hetvatten",'Köpt hetvatten'!$B$1:$BX$1,0),FALSE),"")</f>
        <v/>
      </c>
      <c r="BL319" s="63" t="str">
        <f>IF($BF319="ja",VLOOKUP($B319,'Egen hetvattenprod'!$B$1:$BX$550,MATCH("Värde enligt ovan. (%)",'Egen hetvattenprod'!$B$1:$BX$1,0),FALSE),"")</f>
        <v/>
      </c>
      <c r="BM319" s="63" t="str">
        <f>IF($BF319="ja",VLOOKUP($B319,Kraftvärmeprod!$B$1:$BX$550,MATCH("Värde enligt ovan. (%)",Kraftvärmeprod!$B$1:$BX$1,0),FALSE),"")</f>
        <v/>
      </c>
    </row>
    <row r="320" spans="1:65" x14ac:dyDescent="0.45">
      <c r="A320" s="63" t="s">
        <v>258</v>
      </c>
      <c r="B320" s="63" t="s">
        <v>261</v>
      </c>
      <c r="C320" s="63">
        <f>VLOOKUP($B320,'Tillförd energi'!$B$1:$AI$720,MATCH(C$2,'Tillförd energi'!$B$1:$AQ$1,0),FALSE)</f>
        <v>0</v>
      </c>
      <c r="D320" s="63">
        <f>VLOOKUP($B320,'Tillförd energi'!$B$1:$AI$720,MATCH(D$2,'Tillförd energi'!$B$1:$AQ$1,0),FALSE)</f>
        <v>1.71</v>
      </c>
      <c r="E320" s="63">
        <f>VLOOKUP($B320,'Tillförd energi'!$B$1:$AI$720,MATCH(E$2,'Tillförd energi'!$B$1:$AQ$1,0),FALSE)</f>
        <v>0</v>
      </c>
      <c r="F320" s="63">
        <f>VLOOKUP($B320,'Tillförd energi'!$B$1:$AI$720,MATCH(F$2,'Tillförd energi'!$B$1:$AQ$1,0),FALSE)</f>
        <v>0</v>
      </c>
      <c r="G320" s="63">
        <f>VLOOKUP($B320,'Tillförd energi'!$B$1:$AI$720,MATCH(G$2,'Tillförd energi'!$B$1:$AQ$1,0),FALSE)</f>
        <v>0</v>
      </c>
      <c r="H320" s="63">
        <f>VLOOKUP($B320,'Tillförd energi'!$B$1:$AI$720,MATCH(H$2,'Tillförd energi'!$B$1:$AQ$1,0),FALSE)</f>
        <v>0</v>
      </c>
      <c r="I320" s="63">
        <f>VLOOKUP($B320,'Tillförd energi'!$B$1:$AI$720,MATCH(I$2,'Tillförd energi'!$B$1:$AQ$1,0),FALSE)</f>
        <v>0</v>
      </c>
      <c r="J320" s="63">
        <f>VLOOKUP($B320,'Tillförd energi'!$B$1:$AI$720,MATCH(J$2,'Tillförd energi'!$B$1:$AQ$1,0),FALSE)</f>
        <v>0</v>
      </c>
      <c r="K320" s="63">
        <f>VLOOKUP($B320,'Tillförd energi'!$B$1:$AI$720,MATCH(K$2,'Tillförd energi'!$B$1:$AQ$1,0),FALSE)</f>
        <v>0</v>
      </c>
      <c r="L320" s="63">
        <f>VLOOKUP($B320,'Tillförd energi'!$B$1:$AI$720,MATCH(L$2,'Tillförd energi'!$B$1:$AQ$1,0),FALSE)</f>
        <v>0</v>
      </c>
      <c r="M320" s="63">
        <f>VLOOKUP($B320,'Tillförd energi'!$B$1:$AI$720,MATCH(M$2,'Tillförd energi'!$B$1:$AQ$1,0),FALSE)</f>
        <v>0</v>
      </c>
      <c r="N320" s="63">
        <f>VLOOKUP($B320,'Tillförd energi'!$B$1:$AI$720,MATCH(N$2,'Tillförd energi'!$B$1:$AQ$1,0),FALSE)</f>
        <v>0</v>
      </c>
      <c r="O320" s="63">
        <f>VLOOKUP($B320,'Tillförd energi'!$B$1:$AI$720,MATCH(O$2,'Tillförd energi'!$B$1:$AQ$1,0),FALSE)</f>
        <v>0</v>
      </c>
      <c r="P320" s="63">
        <f>VLOOKUP($B320,'Tillförd energi'!$B$1:$AI$720,MATCH(P$2,'Tillförd energi'!$B$1:$AQ$1,0),FALSE)</f>
        <v>0</v>
      </c>
      <c r="Q320" s="63">
        <f>VLOOKUP($B320,'Tillförd energi'!$B$1:$AI$720,MATCH(Q$2,'Tillförd energi'!$B$1:$AQ$1,0),FALSE)</f>
        <v>0</v>
      </c>
      <c r="R320" s="63">
        <f>VLOOKUP($B320,'Tillförd energi'!$B$1:$AI$720,MATCH(R$2,'Tillförd energi'!$B$1:$AQ$1,0),FALSE)</f>
        <v>7.7</v>
      </c>
      <c r="S320" s="63">
        <f>VLOOKUP($B320,'Tillförd energi'!$B$1:$AI$720,MATCH(S$2,'Tillförd energi'!$B$1:$AQ$1,0),FALSE)</f>
        <v>0</v>
      </c>
      <c r="T320" s="63">
        <f>VLOOKUP($B320,'Tillförd energi'!$B$1:$AI$720,MATCH(T$2,'Tillförd energi'!$B$1:$AQ$1,0),FALSE)</f>
        <v>0</v>
      </c>
      <c r="U320" s="63">
        <f>VLOOKUP($B320,'Tillförd energi'!$B$1:$AI$720,MATCH(U$2,'Tillförd energi'!$B$1:$AQ$1,0),FALSE)</f>
        <v>0</v>
      </c>
      <c r="V320" s="63">
        <f>VLOOKUP($B320,'Tillförd energi'!$B$1:$AI$720,MATCH(V$2,'Tillförd energi'!$B$1:$AQ$1,0),FALSE)</f>
        <v>0</v>
      </c>
      <c r="W320" s="63">
        <f>VLOOKUP($B320,'Tillförd energi'!$B$1:$AI$720,MATCH(W$2,'Tillförd energi'!$B$1:$AQ$1,0),FALSE)</f>
        <v>0</v>
      </c>
      <c r="X320" s="63">
        <f>VLOOKUP($B320,'Tillförd energi'!$B$1:$AI$720,MATCH(X$2,'Tillförd energi'!$B$1:$AQ$1,0),FALSE)</f>
        <v>0</v>
      </c>
      <c r="Y320" s="63">
        <f>VLOOKUP($B320,'Tillförd energi'!$B$1:$AI$720,MATCH(Y$2,'Tillförd energi'!$B$1:$AQ$1,0),FALSE)</f>
        <v>0</v>
      </c>
      <c r="Z320" s="63">
        <f>VLOOKUP($B320,'Tillförd energi'!$B$1:$AI$720,MATCH(Z$2,'Tillförd energi'!$B$1:$AQ$1,0),FALSE)</f>
        <v>0</v>
      </c>
      <c r="AA320" s="63">
        <f>VLOOKUP($B320,'Tillförd energi'!$B$1:$AI$720,MATCH(AA$2,'Tillförd energi'!$B$1:$AQ$1,0),FALSE)</f>
        <v>0</v>
      </c>
      <c r="AB320" s="63">
        <f>VLOOKUP($B320,'Tillförd energi'!$B$1:$AI$720,MATCH(AB$2,'Tillförd energi'!$B$1:$AQ$1,0),FALSE)</f>
        <v>0</v>
      </c>
      <c r="AC320" s="63">
        <f>VLOOKUP($B320,'Tillförd energi'!$B$1:$AI$720,MATCH(AC$2,'Tillförd energi'!$B$1:$AQ$1,0),FALSE)</f>
        <v>0</v>
      </c>
      <c r="AD320" s="63">
        <f>VLOOKUP($B320,'Tillförd energi'!$B$1:$AI$720,MATCH(AD$2,'Tillförd energi'!$B$1:$AQ$1,0),FALSE)</f>
        <v>0</v>
      </c>
      <c r="AE320" s="63">
        <f>VLOOKUP($B320,'Tillförd energi'!$B$1:$AI$720,MATCH(AE$2,'Tillförd energi'!$B$1:$AQ$1,0),FALSE)</f>
        <v>0</v>
      </c>
      <c r="AF320" s="63">
        <f>VLOOKUP($B320,'Tillförd energi'!$B$1:$AI$720,MATCH(AF$2,'Tillförd energi'!$B$1:$AQ$1,0),FALSE)</f>
        <v>0.16600000000000001</v>
      </c>
      <c r="AG320" s="63">
        <f>IFERROR(VLOOKUP(B320,Miljö!$B$1:$AC$550,MATCH("Köpt mängd produktionsspecifik fjärrvärme:",Miljö!$B$1:$AC$1,0),FALSE)/1,0)</f>
        <v>0</v>
      </c>
      <c r="AI320" s="63">
        <f t="shared" si="24"/>
        <v>9.5760000000000005</v>
      </c>
      <c r="AJ320" s="63">
        <f>IF(ISERROR(1/VLOOKUP($B320,Leveranser!$B$1:$S$500,MATCH("såld värme (gwh)",Leveranser!$B$1:$S$1,0),FALSE)),"",VLOOKUP($B320,Leveranser!$B$1:$S$500,MATCH("såld värme (gwh)",Leveranser!$B$1:$S$1,0),FALSE))</f>
        <v>7.46</v>
      </c>
      <c r="AM320" s="63" t="str">
        <f>IF(B320&lt;&gt;"",IF(VLOOKUP($B320,Totalt!$B$1:$AQ$554,MATCH("Kvalitetsgranskad:",Totalt!$B$1:$AQ$1,0),FALSE)="ja",VLOOKUP($B320,Miljö!$B$1:$AG$479,MATCH(AM$2,Miljö!$B$1:$AK$1,0),FALSE),""),"")</f>
        <v>Ja</v>
      </c>
      <c r="AN320" s="63" t="str">
        <f>IF(AM320="ja",VLOOKUP($B320,Miljö!$B$1:$J$479,MATCH("Typ av ursprungsspecificerad el   (Om inget värde anges används Nordisk residualmix, se inforuta) ()",Miljö!$B$1:$J$1,0),FALSE),IF(AM320="nej","Nordisk residualel",""))</f>
        <v>'sol. vind. vatten. bio'</v>
      </c>
      <c r="AO320" s="63">
        <f>IF(AM320="","",VLOOKUP($B320,Miljö!$B$1:$J$479,MATCH("Fossilandel för ursprungspecificerad el ()",Miljö!$B$1:$J$1,0),FALSE))</f>
        <v>0</v>
      </c>
      <c r="AQ320" s="63">
        <f t="shared" si="25"/>
        <v>1</v>
      </c>
      <c r="AS320" s="63" t="str">
        <f t="shared" si="26"/>
        <v>Nej</v>
      </c>
      <c r="AT320" s="63" t="str">
        <f>IF(AS320="ja",VLOOKUP($B320,Miljö!$B$1:$P$500,MATCH("Fossil andel i procent (%)",Miljö!$B$1:$P$1,0),FALSE)/100,"")</f>
        <v/>
      </c>
      <c r="AV320" s="63" t="str">
        <f t="shared" si="27"/>
        <v>Nej</v>
      </c>
      <c r="AW320" s="63" t="str">
        <f>IF(AV320="ja",VLOOKUP($B320,'Egen hetvattenprod'!$B$1:$AO$500,MATCH("Värmekälla till värmepumpar ()",'Egen hetvattenprod'!$B$1:$AO$1,0),FALSE),"")</f>
        <v/>
      </c>
      <c r="AY320" s="63" t="str">
        <f t="shared" si="28"/>
        <v>Nej</v>
      </c>
      <c r="AZ320" s="77" t="str">
        <f>IF($AY320="ja",(VLOOKUP($B320,'Egen hetvattenprod'!$B$1:$BX$550,MATCH(AZ$2,'Egen hetvattenprod'!$B$1:$BX$1,0),FALSE)+VLOOKUP($B320,Kraftvärmeprod!$B$1:$BX$550,MATCH(AZ$2,Kraftvärmeprod!$B$1:$BX$1,0),FALSE))/$AC320,"")</f>
        <v/>
      </c>
      <c r="BA320" s="77" t="str">
        <f>IF($AY320="ja",(VLOOKUP($B320,'Egen hetvattenprod'!$B$1:$BX$550,MATCH(BA$2,'Egen hetvattenprod'!$B$1:$BX$1,0),FALSE)+VLOOKUP($B320,Kraftvärmeprod!$B$1:$BX$550,MATCH(BA$2,Kraftvärmeprod!$B$1:$BX$1,0),FALSE))/$AC320,"")</f>
        <v/>
      </c>
      <c r="BB320" s="77" t="str">
        <f>IF($AY320="ja",(VLOOKUP($B320,'Egen hetvattenprod'!$B$1:$BX$550,MATCH(BB$2,'Egen hetvattenprod'!$B$1:$BX$1,0),FALSE)+VLOOKUP($B320,Kraftvärmeprod!$B$1:$BX$550,MATCH(BB$2,Kraftvärmeprod!$B$1:$BX$1,0),FALSE))/$AC320,"")</f>
        <v/>
      </c>
      <c r="BC320" s="77" t="str">
        <f>IF($AY320="ja",(VLOOKUP($B320,'Egen hetvattenprod'!$B$1:$BX$550,MATCH(BC$2,'Egen hetvattenprod'!$B$1:$BX$1,0),FALSE)+VLOOKUP($B320,Kraftvärmeprod!$B$1:$BX$550,MATCH(BC$2,Kraftvärmeprod!$B$1:$BX$1,0),FALSE))/$AC320,"")</f>
        <v/>
      </c>
      <c r="BD320" s="77" t="str">
        <f>IF($AY320="ja",(VLOOKUP($B320,'Egen hetvattenprod'!$B$1:$BX$550,MATCH(BD$2,'Egen hetvattenprod'!$B$1:$BX$1,0),FALSE)+VLOOKUP($B320,Kraftvärmeprod!$B$1:$BX$550,MATCH(BD$2,Kraftvärmeprod!$B$1:$BX$1,0),FALSE))/$AC320,"")</f>
        <v/>
      </c>
      <c r="BF320" s="63" t="str">
        <f t="shared" si="29"/>
        <v>Nej</v>
      </c>
      <c r="BG320" s="63" t="str">
        <f>IF($BF320="ja",VLOOKUP($B320,'Egen hetvattenprod'!$B$1:$BX$550,MATCH("Andelen klimatgaser med fossilt ursprung för avfall ()",'Egen hetvattenprod'!$B$1:$BX$1,0),FALSE),"")</f>
        <v/>
      </c>
      <c r="BH320" s="63" t="str">
        <f>IF($BF320="ja",VLOOKUP($B320,Kraftvärmeprod!$B$1:$BX$550,MATCH("Andelen klimatgaser med fossilt ursprung för avfall ()",Kraftvärmeprod!$B$1:$BX$1,0),FALSE),"")</f>
        <v/>
      </c>
      <c r="BI320" s="63" t="str">
        <f>IF($BF320="ja",VLOOKUP($B320,'Egen hetvattenprod'!$B$1:$BX$550,MATCH("Avfall (GWh)",'Egen hetvattenprod'!$B$1:$BX$1,0),FALSE),"")</f>
        <v/>
      </c>
      <c r="BJ320" s="63" t="str">
        <f>IF($BF320="ja",VLOOKUP($B320,'Slutlig allokering kvv'!$B$1:$BX$550,MATCH("Avfall (GWh)",'Slutlig allokering kvv'!$B$1:$BX$1,0),FALSE),"")</f>
        <v/>
      </c>
      <c r="BK320" s="63" t="str">
        <f>IF($BF320="ja",VLOOKUP($B320,'Köpt hetvatten'!$B$1:$BX$550,MATCH("Avfall i köpt hetvatten",'Köpt hetvatten'!$B$1:$BX$1,0),FALSE),"")</f>
        <v/>
      </c>
      <c r="BL320" s="63" t="str">
        <f>IF($BF320="ja",VLOOKUP($B320,'Egen hetvattenprod'!$B$1:$BX$550,MATCH("Värde enligt ovan. (%)",'Egen hetvattenprod'!$B$1:$BX$1,0),FALSE),"")</f>
        <v/>
      </c>
      <c r="BM320" s="63" t="str">
        <f>IF($BF320="ja",VLOOKUP($B320,Kraftvärmeprod!$B$1:$BX$550,MATCH("Värde enligt ovan. (%)",Kraftvärmeprod!$B$1:$BX$1,0),FALSE),"")</f>
        <v/>
      </c>
    </row>
    <row r="321" spans="1:65" x14ac:dyDescent="0.45">
      <c r="A321" s="63" t="s">
        <v>258</v>
      </c>
      <c r="B321" s="63" t="s">
        <v>260</v>
      </c>
      <c r="C321" s="63">
        <f>VLOOKUP($B321,'Tillförd energi'!$B$1:$AI$720,MATCH(C$2,'Tillförd energi'!$B$1:$AQ$1,0),FALSE)</f>
        <v>0</v>
      </c>
      <c r="D321" s="63">
        <f>VLOOKUP($B321,'Tillförd energi'!$B$1:$AI$720,MATCH(D$2,'Tillförd energi'!$B$1:$AQ$1,0),FALSE)</f>
        <v>2.4E-2</v>
      </c>
      <c r="E321" s="63">
        <f>VLOOKUP($B321,'Tillförd energi'!$B$1:$AI$720,MATCH(E$2,'Tillförd energi'!$B$1:$AQ$1,0),FALSE)</f>
        <v>0</v>
      </c>
      <c r="F321" s="63">
        <f>VLOOKUP($B321,'Tillförd energi'!$B$1:$AI$720,MATCH(F$2,'Tillförd energi'!$B$1:$AQ$1,0),FALSE)</f>
        <v>0</v>
      </c>
      <c r="G321" s="63">
        <f>VLOOKUP($B321,'Tillförd energi'!$B$1:$AI$720,MATCH(G$2,'Tillförd energi'!$B$1:$AQ$1,0),FALSE)</f>
        <v>0</v>
      </c>
      <c r="H321" s="63">
        <f>VLOOKUP($B321,'Tillförd energi'!$B$1:$AI$720,MATCH(H$2,'Tillförd energi'!$B$1:$AQ$1,0),FALSE)</f>
        <v>0</v>
      </c>
      <c r="I321" s="63">
        <f>VLOOKUP($B321,'Tillförd energi'!$B$1:$AI$720,MATCH(I$2,'Tillförd energi'!$B$1:$AQ$1,0),FALSE)</f>
        <v>0</v>
      </c>
      <c r="J321" s="63">
        <f>VLOOKUP($B321,'Tillförd energi'!$B$1:$AI$720,MATCH(J$2,'Tillförd energi'!$B$1:$AQ$1,0),FALSE)</f>
        <v>0</v>
      </c>
      <c r="K321" s="63">
        <f>VLOOKUP($B321,'Tillförd energi'!$B$1:$AI$720,MATCH(K$2,'Tillförd energi'!$B$1:$AQ$1,0),FALSE)</f>
        <v>0</v>
      </c>
      <c r="L321" s="63">
        <f>VLOOKUP($B321,'Tillförd energi'!$B$1:$AI$720,MATCH(L$2,'Tillförd energi'!$B$1:$AQ$1,0),FALSE)</f>
        <v>0</v>
      </c>
      <c r="M321" s="63">
        <f>VLOOKUP($B321,'Tillförd energi'!$B$1:$AI$720,MATCH(M$2,'Tillförd energi'!$B$1:$AQ$1,0),FALSE)</f>
        <v>0</v>
      </c>
      <c r="N321" s="63">
        <f>VLOOKUP($B321,'Tillförd energi'!$B$1:$AI$720,MATCH(N$2,'Tillförd energi'!$B$1:$AQ$1,0),FALSE)</f>
        <v>0</v>
      </c>
      <c r="O321" s="63">
        <f>VLOOKUP($B321,'Tillförd energi'!$B$1:$AI$720,MATCH(O$2,'Tillförd energi'!$B$1:$AQ$1,0),FALSE)</f>
        <v>0</v>
      </c>
      <c r="P321" s="63">
        <f>VLOOKUP($B321,'Tillförd energi'!$B$1:$AI$720,MATCH(P$2,'Tillförd energi'!$B$1:$AQ$1,0),FALSE)</f>
        <v>0</v>
      </c>
      <c r="Q321" s="63">
        <f>VLOOKUP($B321,'Tillförd energi'!$B$1:$AI$720,MATCH(Q$2,'Tillförd energi'!$B$1:$AQ$1,0),FALSE)</f>
        <v>0</v>
      </c>
      <c r="R321" s="63">
        <f>VLOOKUP($B321,'Tillförd energi'!$B$1:$AI$720,MATCH(R$2,'Tillförd energi'!$B$1:$AQ$1,0),FALSE)</f>
        <v>10.5</v>
      </c>
      <c r="S321" s="63">
        <f>VLOOKUP($B321,'Tillförd energi'!$B$1:$AI$720,MATCH(S$2,'Tillförd energi'!$B$1:$AQ$1,0),FALSE)</f>
        <v>0</v>
      </c>
      <c r="T321" s="63">
        <f>VLOOKUP($B321,'Tillförd energi'!$B$1:$AI$720,MATCH(T$2,'Tillförd energi'!$B$1:$AQ$1,0),FALSE)</f>
        <v>0</v>
      </c>
      <c r="U321" s="63">
        <f>VLOOKUP($B321,'Tillförd energi'!$B$1:$AI$720,MATCH(U$2,'Tillförd energi'!$B$1:$AQ$1,0),FALSE)</f>
        <v>0</v>
      </c>
      <c r="V321" s="63">
        <f>VLOOKUP($B321,'Tillförd energi'!$B$1:$AI$720,MATCH(V$2,'Tillförd energi'!$B$1:$AQ$1,0),FALSE)</f>
        <v>0</v>
      </c>
      <c r="W321" s="63">
        <f>VLOOKUP($B321,'Tillförd energi'!$B$1:$AI$720,MATCH(W$2,'Tillförd energi'!$B$1:$AQ$1,0),FALSE)</f>
        <v>0</v>
      </c>
      <c r="X321" s="63">
        <f>VLOOKUP($B321,'Tillförd energi'!$B$1:$AI$720,MATCH(X$2,'Tillförd energi'!$B$1:$AQ$1,0),FALSE)</f>
        <v>0</v>
      </c>
      <c r="Y321" s="63">
        <f>VLOOKUP($B321,'Tillförd energi'!$B$1:$AI$720,MATCH(Y$2,'Tillförd energi'!$B$1:$AQ$1,0),FALSE)</f>
        <v>0</v>
      </c>
      <c r="Z321" s="63">
        <f>VLOOKUP($B321,'Tillförd energi'!$B$1:$AI$720,MATCH(Z$2,'Tillförd energi'!$B$1:$AQ$1,0),FALSE)</f>
        <v>0</v>
      </c>
      <c r="AA321" s="63">
        <f>VLOOKUP($B321,'Tillförd energi'!$B$1:$AI$720,MATCH(AA$2,'Tillförd energi'!$B$1:$AQ$1,0),FALSE)</f>
        <v>0</v>
      </c>
      <c r="AB321" s="63">
        <f>VLOOKUP($B321,'Tillförd energi'!$B$1:$AI$720,MATCH(AB$2,'Tillförd energi'!$B$1:$AQ$1,0),FALSE)</f>
        <v>0</v>
      </c>
      <c r="AC321" s="63">
        <f>VLOOKUP($B321,'Tillförd energi'!$B$1:$AI$720,MATCH(AC$2,'Tillförd energi'!$B$1:$AQ$1,0),FALSE)</f>
        <v>0</v>
      </c>
      <c r="AD321" s="63">
        <f>VLOOKUP($B321,'Tillförd energi'!$B$1:$AI$720,MATCH(AD$2,'Tillförd energi'!$B$1:$AQ$1,0),FALSE)</f>
        <v>0</v>
      </c>
      <c r="AE321" s="63">
        <f>VLOOKUP($B321,'Tillförd energi'!$B$1:$AI$720,MATCH(AE$2,'Tillförd energi'!$B$1:$AQ$1,0),FALSE)</f>
        <v>0</v>
      </c>
      <c r="AF321" s="63">
        <f>VLOOKUP($B321,'Tillförd energi'!$B$1:$AI$720,MATCH(AF$2,'Tillförd energi'!$B$1:$AQ$1,0),FALSE)</f>
        <v>0.17</v>
      </c>
      <c r="AG321" s="63">
        <f>IFERROR(VLOOKUP(B321,Miljö!$B$1:$AC$550,MATCH("Köpt mängd produktionsspecifik fjärrvärme:",Miljö!$B$1:$AC$1,0),FALSE)/1,0)</f>
        <v>0</v>
      </c>
      <c r="AI321" s="63">
        <f t="shared" si="24"/>
        <v>10.693999999999999</v>
      </c>
      <c r="AJ321" s="63">
        <f>IF(ISERROR(1/VLOOKUP($B321,Leveranser!$B$1:$S$500,MATCH("såld värme (gwh)",Leveranser!$B$1:$S$1,0),FALSE)),"",VLOOKUP($B321,Leveranser!$B$1:$S$500,MATCH("såld värme (gwh)",Leveranser!$B$1:$S$1,0),FALSE))</f>
        <v>7.38</v>
      </c>
      <c r="AM321" s="63" t="str">
        <f>IF(B321&lt;&gt;"",IF(VLOOKUP($B321,Totalt!$B$1:$AQ$554,MATCH("Kvalitetsgranskad:",Totalt!$B$1:$AQ$1,0),FALSE)="ja",VLOOKUP($B321,Miljö!$B$1:$AG$479,MATCH(AM$2,Miljö!$B$1:$AK$1,0),FALSE),""),"")</f>
        <v>Ja</v>
      </c>
      <c r="AN321" s="63" t="str">
        <f>IF(AM321="ja",VLOOKUP($B321,Miljö!$B$1:$J$479,MATCH("Typ av ursprungsspecificerad el   (Om inget värde anges används Nordisk residualmix, se inforuta) ()",Miljö!$B$1:$J$1,0),FALSE),IF(AM321="nej","Nordisk residualel",""))</f>
        <v>'sol. vind. vatten. bio'</v>
      </c>
      <c r="AO321" s="63">
        <f>IF(AM321="","",VLOOKUP($B321,Miljö!$B$1:$J$479,MATCH("Fossilandel för ursprungspecificerad el ()",Miljö!$B$1:$J$1,0),FALSE))</f>
        <v>0</v>
      </c>
      <c r="AQ321" s="63">
        <f t="shared" si="25"/>
        <v>1</v>
      </c>
      <c r="AS321" s="63" t="str">
        <f t="shared" si="26"/>
        <v>Nej</v>
      </c>
      <c r="AT321" s="63" t="str">
        <f>IF(AS321="ja",VLOOKUP($B321,Miljö!$B$1:$P$500,MATCH("Fossil andel i procent (%)",Miljö!$B$1:$P$1,0),FALSE)/100,"")</f>
        <v/>
      </c>
      <c r="AV321" s="63" t="str">
        <f t="shared" si="27"/>
        <v>Nej</v>
      </c>
      <c r="AW321" s="63" t="str">
        <f>IF(AV321="ja",VLOOKUP($B321,'Egen hetvattenprod'!$B$1:$AO$500,MATCH("Värmekälla till värmepumpar ()",'Egen hetvattenprod'!$B$1:$AO$1,0),FALSE),"")</f>
        <v/>
      </c>
      <c r="AY321" s="63" t="str">
        <f t="shared" si="28"/>
        <v>Nej</v>
      </c>
      <c r="AZ321" s="77" t="str">
        <f>IF($AY321="ja",(VLOOKUP($B321,'Egen hetvattenprod'!$B$1:$BX$550,MATCH(AZ$2,'Egen hetvattenprod'!$B$1:$BX$1,0),FALSE)+VLOOKUP($B321,Kraftvärmeprod!$B$1:$BX$550,MATCH(AZ$2,Kraftvärmeprod!$B$1:$BX$1,0),FALSE))/$AC321,"")</f>
        <v/>
      </c>
      <c r="BA321" s="77" t="str">
        <f>IF($AY321="ja",(VLOOKUP($B321,'Egen hetvattenprod'!$B$1:$BX$550,MATCH(BA$2,'Egen hetvattenprod'!$B$1:$BX$1,0),FALSE)+VLOOKUP($B321,Kraftvärmeprod!$B$1:$BX$550,MATCH(BA$2,Kraftvärmeprod!$B$1:$BX$1,0),FALSE))/$AC321,"")</f>
        <v/>
      </c>
      <c r="BB321" s="77" t="str">
        <f>IF($AY321="ja",(VLOOKUP($B321,'Egen hetvattenprod'!$B$1:$BX$550,MATCH(BB$2,'Egen hetvattenprod'!$B$1:$BX$1,0),FALSE)+VLOOKUP($B321,Kraftvärmeprod!$B$1:$BX$550,MATCH(BB$2,Kraftvärmeprod!$B$1:$BX$1,0),FALSE))/$AC321,"")</f>
        <v/>
      </c>
      <c r="BC321" s="77" t="str">
        <f>IF($AY321="ja",(VLOOKUP($B321,'Egen hetvattenprod'!$B$1:$BX$550,MATCH(BC$2,'Egen hetvattenprod'!$B$1:$BX$1,0),FALSE)+VLOOKUP($B321,Kraftvärmeprod!$B$1:$BX$550,MATCH(BC$2,Kraftvärmeprod!$B$1:$BX$1,0),FALSE))/$AC321,"")</f>
        <v/>
      </c>
      <c r="BD321" s="77" t="str">
        <f>IF($AY321="ja",(VLOOKUP($B321,'Egen hetvattenprod'!$B$1:$BX$550,MATCH(BD$2,'Egen hetvattenprod'!$B$1:$BX$1,0),FALSE)+VLOOKUP($B321,Kraftvärmeprod!$B$1:$BX$550,MATCH(BD$2,Kraftvärmeprod!$B$1:$BX$1,0),FALSE))/$AC321,"")</f>
        <v/>
      </c>
      <c r="BF321" s="63" t="str">
        <f t="shared" si="29"/>
        <v>Nej</v>
      </c>
      <c r="BG321" s="63" t="str">
        <f>IF($BF321="ja",VLOOKUP($B321,'Egen hetvattenprod'!$B$1:$BX$550,MATCH("Andelen klimatgaser med fossilt ursprung för avfall ()",'Egen hetvattenprod'!$B$1:$BX$1,0),FALSE),"")</f>
        <v/>
      </c>
      <c r="BH321" s="63" t="str">
        <f>IF($BF321="ja",VLOOKUP($B321,Kraftvärmeprod!$B$1:$BX$550,MATCH("Andelen klimatgaser med fossilt ursprung för avfall ()",Kraftvärmeprod!$B$1:$BX$1,0),FALSE),"")</f>
        <v/>
      </c>
      <c r="BI321" s="63" t="str">
        <f>IF($BF321="ja",VLOOKUP($B321,'Egen hetvattenprod'!$B$1:$BX$550,MATCH("Avfall (GWh)",'Egen hetvattenprod'!$B$1:$BX$1,0),FALSE),"")</f>
        <v/>
      </c>
      <c r="BJ321" s="63" t="str">
        <f>IF($BF321="ja",VLOOKUP($B321,'Slutlig allokering kvv'!$B$1:$BX$550,MATCH("Avfall (GWh)",'Slutlig allokering kvv'!$B$1:$BX$1,0),FALSE),"")</f>
        <v/>
      </c>
      <c r="BK321" s="63" t="str">
        <f>IF($BF321="ja",VLOOKUP($B321,'Köpt hetvatten'!$B$1:$BX$550,MATCH("Avfall i köpt hetvatten",'Köpt hetvatten'!$B$1:$BX$1,0),FALSE),"")</f>
        <v/>
      </c>
      <c r="BL321" s="63" t="str">
        <f>IF($BF321="ja",VLOOKUP($B321,'Egen hetvattenprod'!$B$1:$BX$550,MATCH("Värde enligt ovan. (%)",'Egen hetvattenprod'!$B$1:$BX$1,0),FALSE),"")</f>
        <v/>
      </c>
      <c r="BM321" s="63" t="str">
        <f>IF($BF321="ja",VLOOKUP($B321,Kraftvärmeprod!$B$1:$BX$550,MATCH("Värde enligt ovan. (%)",Kraftvärmeprod!$B$1:$BX$1,0),FALSE),"")</f>
        <v/>
      </c>
    </row>
    <row r="322" spans="1:65" x14ac:dyDescent="0.45">
      <c r="A322" s="63" t="s">
        <v>258</v>
      </c>
      <c r="B322" s="63" t="s">
        <v>259</v>
      </c>
      <c r="C322" s="63">
        <f>VLOOKUP($B322,'Tillförd energi'!$B$1:$AI$720,MATCH(C$2,'Tillförd energi'!$B$1:$AQ$1,0),FALSE)</f>
        <v>0</v>
      </c>
      <c r="D322" s="63">
        <f>VLOOKUP($B322,'Tillförd energi'!$B$1:$AI$720,MATCH(D$2,'Tillförd energi'!$B$1:$AQ$1,0),FALSE)</f>
        <v>0.25</v>
      </c>
      <c r="E322" s="63">
        <f>VLOOKUP($B322,'Tillförd energi'!$B$1:$AI$720,MATCH(E$2,'Tillförd energi'!$B$1:$AQ$1,0),FALSE)</f>
        <v>0</v>
      </c>
      <c r="F322" s="63">
        <f>VLOOKUP($B322,'Tillförd energi'!$B$1:$AI$720,MATCH(F$2,'Tillförd energi'!$B$1:$AQ$1,0),FALSE)</f>
        <v>0</v>
      </c>
      <c r="G322" s="63">
        <f>VLOOKUP($B322,'Tillförd energi'!$B$1:$AI$720,MATCH(G$2,'Tillförd energi'!$B$1:$AQ$1,0),FALSE)</f>
        <v>0</v>
      </c>
      <c r="H322" s="63">
        <f>VLOOKUP($B322,'Tillförd energi'!$B$1:$AI$720,MATCH(H$2,'Tillförd energi'!$B$1:$AQ$1,0),FALSE)</f>
        <v>0</v>
      </c>
      <c r="I322" s="63">
        <f>VLOOKUP($B322,'Tillförd energi'!$B$1:$AI$720,MATCH(I$2,'Tillförd energi'!$B$1:$AQ$1,0),FALSE)</f>
        <v>0</v>
      </c>
      <c r="J322" s="63">
        <f>VLOOKUP($B322,'Tillförd energi'!$B$1:$AI$720,MATCH(J$2,'Tillförd energi'!$B$1:$AQ$1,0),FALSE)</f>
        <v>0</v>
      </c>
      <c r="K322" s="63">
        <f>VLOOKUP($B322,'Tillförd energi'!$B$1:$AI$720,MATCH(K$2,'Tillförd energi'!$B$1:$AQ$1,0),FALSE)</f>
        <v>0</v>
      </c>
      <c r="L322" s="63">
        <f>VLOOKUP($B322,'Tillförd energi'!$B$1:$AI$720,MATCH(L$2,'Tillförd energi'!$B$1:$AQ$1,0),FALSE)</f>
        <v>0</v>
      </c>
      <c r="M322" s="63">
        <f>VLOOKUP($B322,'Tillförd energi'!$B$1:$AI$720,MATCH(M$2,'Tillförd energi'!$B$1:$AQ$1,0),FALSE)</f>
        <v>0</v>
      </c>
      <c r="N322" s="63">
        <f>VLOOKUP($B322,'Tillförd energi'!$B$1:$AI$720,MATCH(N$2,'Tillförd energi'!$B$1:$AQ$1,0),FALSE)</f>
        <v>0</v>
      </c>
      <c r="O322" s="63">
        <f>VLOOKUP($B322,'Tillförd energi'!$B$1:$AI$720,MATCH(O$2,'Tillförd energi'!$B$1:$AQ$1,0),FALSE)</f>
        <v>0</v>
      </c>
      <c r="P322" s="63">
        <f>VLOOKUP($B322,'Tillförd energi'!$B$1:$AI$720,MATCH(P$2,'Tillförd energi'!$B$1:$AQ$1,0),FALSE)</f>
        <v>0</v>
      </c>
      <c r="Q322" s="63">
        <f>VLOOKUP($B322,'Tillförd energi'!$B$1:$AI$720,MATCH(Q$2,'Tillförd energi'!$B$1:$AQ$1,0),FALSE)</f>
        <v>11.2941</v>
      </c>
      <c r="R322" s="63">
        <f>VLOOKUP($B322,'Tillförd energi'!$B$1:$AI$720,MATCH(R$2,'Tillförd energi'!$B$1:$AQ$1,0),FALSE)</f>
        <v>0</v>
      </c>
      <c r="S322" s="63">
        <f>VLOOKUP($B322,'Tillförd energi'!$B$1:$AI$720,MATCH(S$2,'Tillförd energi'!$B$1:$AQ$1,0),FALSE)</f>
        <v>0</v>
      </c>
      <c r="T322" s="63">
        <f>VLOOKUP($B322,'Tillförd energi'!$B$1:$AI$720,MATCH(T$2,'Tillförd energi'!$B$1:$AQ$1,0),FALSE)</f>
        <v>0</v>
      </c>
      <c r="U322" s="63">
        <f>VLOOKUP($B322,'Tillförd energi'!$B$1:$AI$720,MATCH(U$2,'Tillförd energi'!$B$1:$AQ$1,0),FALSE)</f>
        <v>0</v>
      </c>
      <c r="V322" s="63">
        <f>VLOOKUP($B322,'Tillförd energi'!$B$1:$AI$720,MATCH(V$2,'Tillförd energi'!$B$1:$AQ$1,0),FALSE)</f>
        <v>0</v>
      </c>
      <c r="W322" s="63">
        <f>VLOOKUP($B322,'Tillförd energi'!$B$1:$AI$720,MATCH(W$2,'Tillförd energi'!$B$1:$AQ$1,0),FALSE)</f>
        <v>0</v>
      </c>
      <c r="X322" s="63">
        <f>VLOOKUP($B322,'Tillförd energi'!$B$1:$AI$720,MATCH(X$2,'Tillförd energi'!$B$1:$AQ$1,0),FALSE)</f>
        <v>0</v>
      </c>
      <c r="Y322" s="63">
        <f>VLOOKUP($B322,'Tillförd energi'!$B$1:$AI$720,MATCH(Y$2,'Tillförd energi'!$B$1:$AQ$1,0),FALSE)</f>
        <v>0</v>
      </c>
      <c r="Z322" s="63">
        <f>VLOOKUP($B322,'Tillförd energi'!$B$1:$AI$720,MATCH(Z$2,'Tillförd energi'!$B$1:$AQ$1,0),FALSE)</f>
        <v>0</v>
      </c>
      <c r="AA322" s="63">
        <f>VLOOKUP($B322,'Tillförd energi'!$B$1:$AI$720,MATCH(AA$2,'Tillförd energi'!$B$1:$AQ$1,0),FALSE)</f>
        <v>0</v>
      </c>
      <c r="AB322" s="63">
        <f>VLOOKUP($B322,'Tillförd energi'!$B$1:$AI$720,MATCH(AB$2,'Tillförd energi'!$B$1:$AQ$1,0),FALSE)</f>
        <v>0</v>
      </c>
      <c r="AC322" s="63">
        <f>VLOOKUP($B322,'Tillförd energi'!$B$1:$AI$720,MATCH(AC$2,'Tillförd energi'!$B$1:$AQ$1,0),FALSE)</f>
        <v>0</v>
      </c>
      <c r="AD322" s="63">
        <f>VLOOKUP($B322,'Tillförd energi'!$B$1:$AI$720,MATCH(AD$2,'Tillförd energi'!$B$1:$AQ$1,0),FALSE)</f>
        <v>0</v>
      </c>
      <c r="AE322" s="63">
        <f>VLOOKUP($B322,'Tillförd energi'!$B$1:$AI$720,MATCH(AE$2,'Tillförd energi'!$B$1:$AQ$1,0),FALSE)</f>
        <v>0</v>
      </c>
      <c r="AF322" s="63">
        <f>VLOOKUP($B322,'Tillförd energi'!$B$1:$AI$720,MATCH(AF$2,'Tillförd energi'!$B$1:$AQ$1,0),FALSE)</f>
        <v>3.1E-2</v>
      </c>
      <c r="AG322" s="63">
        <f>IFERROR(VLOOKUP(B322,Miljö!$B$1:$AC$550,MATCH("Köpt mängd produktionsspecifik fjärrvärme:",Miljö!$B$1:$AC$1,0),FALSE)/1,0)</f>
        <v>0</v>
      </c>
      <c r="AI322" s="63">
        <f t="shared" si="24"/>
        <v>11.575100000000001</v>
      </c>
      <c r="AJ322" s="63">
        <f>IF(ISERROR(1/VLOOKUP($B322,Leveranser!$B$1:$S$500,MATCH("såld värme (gwh)",Leveranser!$B$1:$S$1,0),FALSE)),"",VLOOKUP($B322,Leveranser!$B$1:$S$500,MATCH("såld värme (gwh)",Leveranser!$B$1:$S$1,0),FALSE))</f>
        <v>7.92</v>
      </c>
      <c r="AM322" s="63" t="str">
        <f>IF(B322&lt;&gt;"",IF(VLOOKUP($B322,Totalt!$B$1:$AQ$554,MATCH("Kvalitetsgranskad:",Totalt!$B$1:$AQ$1,0),FALSE)="ja",VLOOKUP($B322,Miljö!$B$1:$AG$479,MATCH(AM$2,Miljö!$B$1:$AK$1,0),FALSE),""),"")</f>
        <v>Ja</v>
      </c>
      <c r="AN322" s="63" t="str">
        <f>IF(AM322="ja",VLOOKUP($B322,Miljö!$B$1:$J$479,MATCH("Typ av ursprungsspecificerad el   (Om inget värde anges används Nordisk residualmix, se inforuta) ()",Miljö!$B$1:$J$1,0),FALSE),IF(AM322="nej","Nordisk residualel",""))</f>
        <v>'sol. vind. vatten. bio'</v>
      </c>
      <c r="AO322" s="63">
        <f>IF(AM322="","",VLOOKUP($B322,Miljö!$B$1:$J$479,MATCH("Fossilandel för ursprungspecificerad el ()",Miljö!$B$1:$J$1,0),FALSE))</f>
        <v>0</v>
      </c>
      <c r="AQ322" s="63">
        <f t="shared" si="25"/>
        <v>1</v>
      </c>
      <c r="AS322" s="63" t="str">
        <f t="shared" si="26"/>
        <v>Nej</v>
      </c>
      <c r="AT322" s="63" t="str">
        <f>IF(AS322="ja",VLOOKUP($B322,Miljö!$B$1:$P$500,MATCH("Fossil andel i procent (%)",Miljö!$B$1:$P$1,0),FALSE)/100,"")</f>
        <v/>
      </c>
      <c r="AV322" s="63" t="str">
        <f t="shared" si="27"/>
        <v>Nej</v>
      </c>
      <c r="AW322" s="63" t="str">
        <f>IF(AV322="ja",VLOOKUP($B322,'Egen hetvattenprod'!$B$1:$AO$500,MATCH("Värmekälla till värmepumpar ()",'Egen hetvattenprod'!$B$1:$AO$1,0),FALSE),"")</f>
        <v/>
      </c>
      <c r="AY322" s="63" t="str">
        <f t="shared" si="28"/>
        <v>Nej</v>
      </c>
      <c r="AZ322" s="77" t="str">
        <f>IF($AY322="ja",(VLOOKUP($B322,'Egen hetvattenprod'!$B$1:$BX$550,MATCH(AZ$2,'Egen hetvattenprod'!$B$1:$BX$1,0),FALSE)+VLOOKUP($B322,Kraftvärmeprod!$B$1:$BX$550,MATCH(AZ$2,Kraftvärmeprod!$B$1:$BX$1,0),FALSE))/$AC322,"")</f>
        <v/>
      </c>
      <c r="BA322" s="77" t="str">
        <f>IF($AY322="ja",(VLOOKUP($B322,'Egen hetvattenprod'!$B$1:$BX$550,MATCH(BA$2,'Egen hetvattenprod'!$B$1:$BX$1,0),FALSE)+VLOOKUP($B322,Kraftvärmeprod!$B$1:$BX$550,MATCH(BA$2,Kraftvärmeprod!$B$1:$BX$1,0),FALSE))/$AC322,"")</f>
        <v/>
      </c>
      <c r="BB322" s="77" t="str">
        <f>IF($AY322="ja",(VLOOKUP($B322,'Egen hetvattenprod'!$B$1:$BX$550,MATCH(BB$2,'Egen hetvattenprod'!$B$1:$BX$1,0),FALSE)+VLOOKUP($B322,Kraftvärmeprod!$B$1:$BX$550,MATCH(BB$2,Kraftvärmeprod!$B$1:$BX$1,0),FALSE))/$AC322,"")</f>
        <v/>
      </c>
      <c r="BC322" s="77" t="str">
        <f>IF($AY322="ja",(VLOOKUP($B322,'Egen hetvattenprod'!$B$1:$BX$550,MATCH(BC$2,'Egen hetvattenprod'!$B$1:$BX$1,0),FALSE)+VLOOKUP($B322,Kraftvärmeprod!$B$1:$BX$550,MATCH(BC$2,Kraftvärmeprod!$B$1:$BX$1,0),FALSE))/$AC322,"")</f>
        <v/>
      </c>
      <c r="BD322" s="77" t="str">
        <f>IF($AY322="ja",(VLOOKUP($B322,'Egen hetvattenprod'!$B$1:$BX$550,MATCH(BD$2,'Egen hetvattenprod'!$B$1:$BX$1,0),FALSE)+VLOOKUP($B322,Kraftvärmeprod!$B$1:$BX$550,MATCH(BD$2,Kraftvärmeprod!$B$1:$BX$1,0),FALSE))/$AC322,"")</f>
        <v/>
      </c>
      <c r="BF322" s="63" t="str">
        <f t="shared" si="29"/>
        <v>Nej</v>
      </c>
      <c r="BG322" s="63" t="str">
        <f>IF($BF322="ja",VLOOKUP($B322,'Egen hetvattenprod'!$B$1:$BX$550,MATCH("Andelen klimatgaser med fossilt ursprung för avfall ()",'Egen hetvattenprod'!$B$1:$BX$1,0),FALSE),"")</f>
        <v/>
      </c>
      <c r="BH322" s="63" t="str">
        <f>IF($BF322="ja",VLOOKUP($B322,Kraftvärmeprod!$B$1:$BX$550,MATCH("Andelen klimatgaser med fossilt ursprung för avfall ()",Kraftvärmeprod!$B$1:$BX$1,0),FALSE),"")</f>
        <v/>
      </c>
      <c r="BI322" s="63" t="str">
        <f>IF($BF322="ja",VLOOKUP($B322,'Egen hetvattenprod'!$B$1:$BX$550,MATCH("Avfall (GWh)",'Egen hetvattenprod'!$B$1:$BX$1,0),FALSE),"")</f>
        <v/>
      </c>
      <c r="BJ322" s="63" t="str">
        <f>IF($BF322="ja",VLOOKUP($B322,'Slutlig allokering kvv'!$B$1:$BX$550,MATCH("Avfall (GWh)",'Slutlig allokering kvv'!$B$1:$BX$1,0),FALSE),"")</f>
        <v/>
      </c>
      <c r="BK322" s="63" t="str">
        <f>IF($BF322="ja",VLOOKUP($B322,'Köpt hetvatten'!$B$1:$BX$550,MATCH("Avfall i köpt hetvatten",'Köpt hetvatten'!$B$1:$BX$1,0),FALSE),"")</f>
        <v/>
      </c>
      <c r="BL322" s="63" t="str">
        <f>IF($BF322="ja",VLOOKUP($B322,'Egen hetvattenprod'!$B$1:$BX$550,MATCH("Värde enligt ovan. (%)",'Egen hetvattenprod'!$B$1:$BX$1,0),FALSE),"")</f>
        <v/>
      </c>
      <c r="BM322" s="63" t="str">
        <f>IF($BF322="ja",VLOOKUP($B322,Kraftvärmeprod!$B$1:$BX$550,MATCH("Värde enligt ovan. (%)",Kraftvärmeprod!$B$1:$BX$1,0),FALSE),"")</f>
        <v/>
      </c>
    </row>
    <row r="323" spans="1:65" x14ac:dyDescent="0.45">
      <c r="A323" s="63" t="s">
        <v>258</v>
      </c>
      <c r="B323" s="63" t="s">
        <v>257</v>
      </c>
      <c r="C323" s="63">
        <f>VLOOKUP($B323,'Tillförd energi'!$B$1:$AI$720,MATCH(C$2,'Tillförd energi'!$B$1:$AQ$1,0),FALSE)</f>
        <v>0</v>
      </c>
      <c r="D323" s="63">
        <f>VLOOKUP($B323,'Tillförd energi'!$B$1:$AI$720,MATCH(D$2,'Tillförd energi'!$B$1:$AQ$1,0),FALSE)</f>
        <v>16.5</v>
      </c>
      <c r="E323" s="63">
        <f>VLOOKUP($B323,'Tillförd energi'!$B$1:$AI$720,MATCH(E$2,'Tillförd energi'!$B$1:$AQ$1,0),FALSE)</f>
        <v>0</v>
      </c>
      <c r="F323" s="63">
        <f>VLOOKUP($B323,'Tillförd energi'!$B$1:$AI$720,MATCH(F$2,'Tillförd energi'!$B$1:$AQ$1,0),FALSE)</f>
        <v>0</v>
      </c>
      <c r="G323" s="63">
        <f>VLOOKUP($B323,'Tillförd energi'!$B$1:$AI$720,MATCH(G$2,'Tillförd energi'!$B$1:$AQ$1,0),FALSE)</f>
        <v>0</v>
      </c>
      <c r="H323" s="63">
        <f>VLOOKUP($B323,'Tillförd energi'!$B$1:$AI$720,MATCH(H$2,'Tillförd energi'!$B$1:$AQ$1,0),FALSE)</f>
        <v>0</v>
      </c>
      <c r="I323" s="63">
        <f>VLOOKUP($B323,'Tillförd energi'!$B$1:$AI$720,MATCH(I$2,'Tillförd energi'!$B$1:$AQ$1,0),FALSE)</f>
        <v>259.7</v>
      </c>
      <c r="J323" s="63">
        <f>VLOOKUP($B323,'Tillförd energi'!$B$1:$AI$720,MATCH(J$2,'Tillförd energi'!$B$1:$AQ$1,0),FALSE)</f>
        <v>0</v>
      </c>
      <c r="K323" s="63">
        <f>VLOOKUP($B323,'Tillförd energi'!$B$1:$AI$720,MATCH(K$2,'Tillförd energi'!$B$1:$AQ$1,0),FALSE)</f>
        <v>0</v>
      </c>
      <c r="L323" s="63">
        <f>VLOOKUP($B323,'Tillförd energi'!$B$1:$AI$720,MATCH(L$2,'Tillförd energi'!$B$1:$AQ$1,0),FALSE)</f>
        <v>65.5</v>
      </c>
      <c r="M323" s="63">
        <f>VLOOKUP($B323,'Tillförd energi'!$B$1:$AI$720,MATCH(M$2,'Tillförd energi'!$B$1:$AQ$1,0),FALSE)</f>
        <v>130.19999999999999</v>
      </c>
      <c r="N323" s="63">
        <f>VLOOKUP($B323,'Tillförd energi'!$B$1:$AI$720,MATCH(N$2,'Tillförd energi'!$B$1:$AQ$1,0),FALSE)</f>
        <v>9.3000000000000007</v>
      </c>
      <c r="O323" s="63">
        <f>VLOOKUP($B323,'Tillförd energi'!$B$1:$AI$720,MATCH(O$2,'Tillförd energi'!$B$1:$AQ$1,0),FALSE)</f>
        <v>53.9</v>
      </c>
      <c r="P323" s="63">
        <f>VLOOKUP($B323,'Tillförd energi'!$B$1:$AI$720,MATCH(P$2,'Tillförd energi'!$B$1:$AQ$1,0),FALSE)</f>
        <v>80.8</v>
      </c>
      <c r="Q323" s="63">
        <f>VLOOKUP($B323,'Tillförd energi'!$B$1:$AI$720,MATCH(Q$2,'Tillförd energi'!$B$1:$AQ$1,0),FALSE)</f>
        <v>32.799999999999997</v>
      </c>
      <c r="R323" s="63">
        <f>VLOOKUP($B323,'Tillförd energi'!$B$1:$AI$720,MATCH(R$2,'Tillförd energi'!$B$1:$AQ$1,0),FALSE)</f>
        <v>21.9</v>
      </c>
      <c r="S323" s="63">
        <f>VLOOKUP($B323,'Tillförd energi'!$B$1:$AI$720,MATCH(S$2,'Tillförd energi'!$B$1:$AQ$1,0),FALSE)</f>
        <v>0</v>
      </c>
      <c r="T323" s="63">
        <f>VLOOKUP($B323,'Tillförd energi'!$B$1:$AI$720,MATCH(T$2,'Tillförd energi'!$B$1:$AQ$1,0),FALSE)</f>
        <v>0</v>
      </c>
      <c r="U323" s="63">
        <f>VLOOKUP($B323,'Tillförd energi'!$B$1:$AI$720,MATCH(U$2,'Tillförd energi'!$B$1:$AQ$1,0),FALSE)</f>
        <v>0</v>
      </c>
      <c r="V323" s="63">
        <f>VLOOKUP($B323,'Tillförd energi'!$B$1:$AI$720,MATCH(V$2,'Tillförd energi'!$B$1:$AQ$1,0),FALSE)</f>
        <v>0</v>
      </c>
      <c r="W323" s="63">
        <f>VLOOKUP($B323,'Tillförd energi'!$B$1:$AI$720,MATCH(W$2,'Tillförd energi'!$B$1:$AQ$1,0),FALSE)</f>
        <v>14.3</v>
      </c>
      <c r="X323" s="63">
        <f>VLOOKUP($B323,'Tillförd energi'!$B$1:$AI$720,MATCH(X$2,'Tillförd energi'!$B$1:$AQ$1,0),FALSE)</f>
        <v>0</v>
      </c>
      <c r="Y323" s="63">
        <f>VLOOKUP($B323,'Tillförd energi'!$B$1:$AI$720,MATCH(Y$2,'Tillförd energi'!$B$1:$AQ$1,0),FALSE)</f>
        <v>6.5</v>
      </c>
      <c r="Z323" s="63">
        <f>VLOOKUP($B323,'Tillförd energi'!$B$1:$AI$720,MATCH(Z$2,'Tillförd energi'!$B$1:$AQ$1,0),FALSE)</f>
        <v>4.2</v>
      </c>
      <c r="AA323" s="63">
        <f>VLOOKUP($B323,'Tillförd energi'!$B$1:$AI$720,MATCH(AA$2,'Tillförd energi'!$B$1:$AQ$1,0),FALSE)</f>
        <v>14</v>
      </c>
      <c r="AB323" s="63">
        <f>VLOOKUP($B323,'Tillförd energi'!$B$1:$AI$720,MATCH(AB$2,'Tillförd energi'!$B$1:$AQ$1,0),FALSE)</f>
        <v>25.635300000000001</v>
      </c>
      <c r="AC323" s="63">
        <f>VLOOKUP($B323,'Tillförd energi'!$B$1:$AI$720,MATCH(AC$2,'Tillförd energi'!$B$1:$AQ$1,0),FALSE)</f>
        <v>187.1</v>
      </c>
      <c r="AD323" s="63">
        <f>VLOOKUP($B323,'Tillförd energi'!$B$1:$AI$720,MATCH(AD$2,'Tillförd energi'!$B$1:$AQ$1,0),FALSE)</f>
        <v>0</v>
      </c>
      <c r="AE323" s="63">
        <f>VLOOKUP($B323,'Tillförd energi'!$B$1:$AI$720,MATCH(AE$2,'Tillförd energi'!$B$1:$AQ$1,0),FALSE)</f>
        <v>0.47529399999999999</v>
      </c>
      <c r="AF323" s="63">
        <f>VLOOKUP($B323,'Tillförd energi'!$B$1:$AI$720,MATCH(AF$2,'Tillförd energi'!$B$1:$AQ$1,0),FALSE)</f>
        <v>34.648000000000003</v>
      </c>
      <c r="AG323" s="63">
        <f>IFERROR(VLOOKUP(B323,Miljö!$B$1:$AC$550,MATCH("Köpt mängd produktionsspecifik fjärrvärme:",Miljö!$B$1:$AC$1,0),FALSE)/1,0)</f>
        <v>0</v>
      </c>
      <c r="AI323" s="63">
        <f t="shared" si="24"/>
        <v>957.45859399999995</v>
      </c>
      <c r="AJ323" s="63">
        <f>IF(ISERROR(1/VLOOKUP($B323,Leveranser!$B$1:$S$500,MATCH("såld värme (gwh)",Leveranser!$B$1:$S$1,0),FALSE)),"",VLOOKUP($B323,Leveranser!$B$1:$S$500,MATCH("såld värme (gwh)",Leveranser!$B$1:$S$1,0),FALSE))</f>
        <v>873.8</v>
      </c>
      <c r="AM323" s="63" t="str">
        <f>IF(B323&lt;&gt;"",IF(VLOOKUP($B323,Totalt!$B$1:$AQ$554,MATCH("Kvalitetsgranskad:",Totalt!$B$1:$AQ$1,0),FALSE)="ja",VLOOKUP($B323,Miljö!$B$1:$AG$479,MATCH(AM$2,Miljö!$B$1:$AK$1,0),FALSE),""),"")</f>
        <v>Ja</v>
      </c>
      <c r="AN323" s="63" t="str">
        <f>IF(AM323="ja",VLOOKUP($B323,Miljö!$B$1:$J$479,MATCH("Typ av ursprungsspecificerad el   (Om inget värde anges används Nordisk residualmix, se inforuta) ()",Miljö!$B$1:$J$1,0),FALSE),IF(AM323="nej","Nordisk residualel",""))</f>
        <v>'sol. vind. vatten. bio'</v>
      </c>
      <c r="AO323" s="63">
        <f>IF(AM323="","",VLOOKUP($B323,Miljö!$B$1:$J$479,MATCH("Fossilandel för ursprungspecificerad el ()",Miljö!$B$1:$J$1,0),FALSE))</f>
        <v>0</v>
      </c>
      <c r="AQ323" s="63">
        <f t="shared" si="25"/>
        <v>1</v>
      </c>
      <c r="AS323" s="63" t="str">
        <f t="shared" si="26"/>
        <v>Nej</v>
      </c>
      <c r="AT323" s="63" t="str">
        <f>IF(AS323="ja",VLOOKUP($B323,Miljö!$B$1:$P$500,MATCH("Fossil andel i procent (%)",Miljö!$B$1:$P$1,0),FALSE)/100,"")</f>
        <v/>
      </c>
      <c r="AV323" s="63" t="str">
        <f t="shared" si="27"/>
        <v>Ja</v>
      </c>
      <c r="AW323" s="63" t="str">
        <f>IF(AV323="ja",VLOOKUP($B323,'Egen hetvattenprod'!$B$1:$AO$500,MATCH("Värmekälla till värmepumpar ()",'Egen hetvattenprod'!$B$1:$AO$1,0),FALSE),"")</f>
        <v>Lågtempererad spillvärme</v>
      </c>
      <c r="AY323" s="63" t="str">
        <f t="shared" si="28"/>
        <v>Ja</v>
      </c>
      <c r="AZ323" s="77">
        <f>IF($AY323="ja",(VLOOKUP($B323,'Egen hetvattenprod'!$B$1:$BX$550,MATCH(AZ$2,'Egen hetvattenprod'!$B$1:$BX$1,0),FALSE)+VLOOKUP($B323,Kraftvärmeprod!$B$1:$BX$550,MATCH(AZ$2,Kraftvärmeprod!$B$1:$BX$1,0),FALSE))/$AC323,"")</f>
        <v>0.73299999999999998</v>
      </c>
      <c r="BA323" s="77">
        <f>IF($AY323="ja",(VLOOKUP($B323,'Egen hetvattenprod'!$B$1:$BX$550,MATCH(BA$2,'Egen hetvattenprod'!$B$1:$BX$1,0),FALSE)+VLOOKUP($B323,Kraftvärmeprod!$B$1:$BX$550,MATCH(BA$2,Kraftvärmeprod!$B$1:$BX$1,0),FALSE))/$AC323,"")</f>
        <v>0.24500000000000002</v>
      </c>
      <c r="BB323" s="77">
        <f>IF($AY323="ja",(VLOOKUP($B323,'Egen hetvattenprod'!$B$1:$BX$550,MATCH(BB$2,'Egen hetvattenprod'!$B$1:$BX$1,0),FALSE)+VLOOKUP($B323,Kraftvärmeprod!$B$1:$BX$550,MATCH(BB$2,Kraftvärmeprod!$B$1:$BX$1,0),FALSE))/$AC323,"")</f>
        <v>5.0000000000000001E-3</v>
      </c>
      <c r="BC323" s="77">
        <f>IF($AY323="ja",(VLOOKUP($B323,'Egen hetvattenprod'!$B$1:$BX$550,MATCH(BC$2,'Egen hetvattenprod'!$B$1:$BX$1,0),FALSE)+VLOOKUP($B323,Kraftvärmeprod!$B$1:$BX$550,MATCH(BC$2,Kraftvärmeprod!$B$1:$BX$1,0),FALSE))/$AC323,"")</f>
        <v>1.7000000000000001E-2</v>
      </c>
      <c r="BD323" s="77">
        <f>IF($AY323="ja",(VLOOKUP($B323,'Egen hetvattenprod'!$B$1:$BX$550,MATCH(BD$2,'Egen hetvattenprod'!$B$1:$BX$1,0),FALSE)+VLOOKUP($B323,Kraftvärmeprod!$B$1:$BX$550,MATCH(BD$2,Kraftvärmeprod!$B$1:$BX$1,0),FALSE))/$AC323,"")</f>
        <v>1.5190651753289155E-16</v>
      </c>
      <c r="BF323" s="63" t="str">
        <f t="shared" si="29"/>
        <v>Ja</v>
      </c>
      <c r="BG323" s="63" t="str">
        <f>IF($BF323="ja",VLOOKUP($B323,'Egen hetvattenprod'!$B$1:$BX$550,MATCH("Andelen klimatgaser med fossilt ursprung för avfall ()",'Egen hetvattenprod'!$B$1:$BX$1,0),FALSE),"")</f>
        <v>Ingen redovisning</v>
      </c>
      <c r="BH323" s="63" t="str">
        <f>IF($BF323="ja",VLOOKUP($B323,Kraftvärmeprod!$B$1:$BX$550,MATCH("Andelen klimatgaser med fossilt ursprung för avfall ()",Kraftvärmeprod!$B$1:$BX$1,0),FALSE),"")</f>
        <v>Mätvärde</v>
      </c>
      <c r="BI323" s="63" t="str">
        <f>IF($BF323="ja",VLOOKUP($B323,'Egen hetvattenprod'!$B$1:$BX$550,MATCH("Avfall (GWh)",'Egen hetvattenprod'!$B$1:$BX$1,0),FALSE),"")</f>
        <v>ET</v>
      </c>
      <c r="BJ323" s="63">
        <f>IF($BF323="ja",VLOOKUP($B323,'Slutlig allokering kvv'!$B$1:$BX$550,MATCH("Avfall (GWh)",'Slutlig allokering kvv'!$B$1:$BX$1,0),FALSE),"")</f>
        <v>259.7</v>
      </c>
      <c r="BK323" s="63">
        <f>IF($BF323="ja",VLOOKUP($B323,'Köpt hetvatten'!$B$1:$BX$550,MATCH("Avfall i köpt hetvatten",'Köpt hetvatten'!$B$1:$BX$1,0),FALSE),"")</f>
        <v>0</v>
      </c>
      <c r="BL323" s="63" t="str">
        <f>IF($BF323="ja",VLOOKUP($B323,'Egen hetvattenprod'!$B$1:$BX$550,MATCH("Värde enligt ovan. (%)",'Egen hetvattenprod'!$B$1:$BX$1,0),FALSE),"")</f>
        <v>ET</v>
      </c>
      <c r="BM323" s="63">
        <f>IF($BF323="ja",VLOOKUP($B323,Kraftvärmeprod!$B$1:$BX$550,MATCH("Värde enligt ovan. (%)",Kraftvärmeprod!$B$1:$BX$1,0),FALSE),"")</f>
        <v>38.299999999999997</v>
      </c>
    </row>
    <row r="324" spans="1:65" x14ac:dyDescent="0.45">
      <c r="A324" s="63" t="s">
        <v>255</v>
      </c>
      <c r="B324" s="63" t="s">
        <v>256</v>
      </c>
      <c r="C324" s="63">
        <f>VLOOKUP($B324,'Tillförd energi'!$B$1:$AI$720,MATCH(C$2,'Tillförd energi'!$B$1:$AQ$1,0),FALSE)</f>
        <v>0</v>
      </c>
      <c r="D324" s="63">
        <f>VLOOKUP($B324,'Tillförd energi'!$B$1:$AI$720,MATCH(D$2,'Tillförd energi'!$B$1:$AQ$1,0),FALSE)</f>
        <v>0.45600000000000002</v>
      </c>
      <c r="E324" s="63">
        <f>VLOOKUP($B324,'Tillförd energi'!$B$1:$AI$720,MATCH(E$2,'Tillförd energi'!$B$1:$AQ$1,0),FALSE)</f>
        <v>0</v>
      </c>
      <c r="F324" s="63">
        <f>VLOOKUP($B324,'Tillförd energi'!$B$1:$AI$720,MATCH(F$2,'Tillförd energi'!$B$1:$AQ$1,0),FALSE)</f>
        <v>0</v>
      </c>
      <c r="G324" s="63">
        <f>VLOOKUP($B324,'Tillförd energi'!$B$1:$AI$720,MATCH(G$2,'Tillförd energi'!$B$1:$AQ$1,0),FALSE)</f>
        <v>0</v>
      </c>
      <c r="H324" s="63">
        <f>VLOOKUP($B324,'Tillförd energi'!$B$1:$AI$720,MATCH(H$2,'Tillförd energi'!$B$1:$AQ$1,0),FALSE)</f>
        <v>0</v>
      </c>
      <c r="I324" s="63">
        <f>VLOOKUP($B324,'Tillförd energi'!$B$1:$AI$720,MATCH(I$2,'Tillförd energi'!$B$1:$AQ$1,0),FALSE)</f>
        <v>0</v>
      </c>
      <c r="J324" s="63">
        <f>VLOOKUP($B324,'Tillförd energi'!$B$1:$AI$720,MATCH(J$2,'Tillförd energi'!$B$1:$AQ$1,0),FALSE)</f>
        <v>0</v>
      </c>
      <c r="K324" s="63">
        <f>VLOOKUP($B324,'Tillförd energi'!$B$1:$AI$720,MATCH(K$2,'Tillförd energi'!$B$1:$AQ$1,0),FALSE)</f>
        <v>0</v>
      </c>
      <c r="L324" s="63">
        <f>VLOOKUP($B324,'Tillförd energi'!$B$1:$AI$720,MATCH(L$2,'Tillförd energi'!$B$1:$AQ$1,0),FALSE)</f>
        <v>0</v>
      </c>
      <c r="M324" s="63">
        <f>VLOOKUP($B324,'Tillförd energi'!$B$1:$AI$720,MATCH(M$2,'Tillförd energi'!$B$1:$AQ$1,0),FALSE)</f>
        <v>0</v>
      </c>
      <c r="N324" s="63">
        <f>VLOOKUP($B324,'Tillförd energi'!$B$1:$AI$720,MATCH(N$2,'Tillförd energi'!$B$1:$AQ$1,0),FALSE)</f>
        <v>9.2270000000000003</v>
      </c>
      <c r="O324" s="63">
        <f>VLOOKUP($B324,'Tillförd energi'!$B$1:$AI$720,MATCH(O$2,'Tillförd energi'!$B$1:$AQ$1,0),FALSE)</f>
        <v>0</v>
      </c>
      <c r="P324" s="63">
        <f>VLOOKUP($B324,'Tillförd energi'!$B$1:$AI$720,MATCH(P$2,'Tillförd energi'!$B$1:$AQ$1,0),FALSE)</f>
        <v>3.8170000000000002</v>
      </c>
      <c r="Q324" s="63">
        <f>VLOOKUP($B324,'Tillförd energi'!$B$1:$AI$720,MATCH(Q$2,'Tillförd energi'!$B$1:$AQ$1,0),FALSE)</f>
        <v>8.2810000000000006</v>
      </c>
      <c r="R324" s="63">
        <f>VLOOKUP($B324,'Tillförd energi'!$B$1:$AI$720,MATCH(R$2,'Tillförd energi'!$B$1:$AQ$1,0),FALSE)</f>
        <v>7.657</v>
      </c>
      <c r="S324" s="63">
        <f>VLOOKUP($B324,'Tillförd energi'!$B$1:$AI$720,MATCH(S$2,'Tillförd energi'!$B$1:$AQ$1,0),FALSE)</f>
        <v>0</v>
      </c>
      <c r="T324" s="63">
        <f>VLOOKUP($B324,'Tillförd energi'!$B$1:$AI$720,MATCH(T$2,'Tillförd energi'!$B$1:$AQ$1,0),FALSE)</f>
        <v>0</v>
      </c>
      <c r="U324" s="63">
        <f>VLOOKUP($B324,'Tillförd energi'!$B$1:$AI$720,MATCH(U$2,'Tillförd energi'!$B$1:$AQ$1,0),FALSE)</f>
        <v>0</v>
      </c>
      <c r="V324" s="63">
        <f>VLOOKUP($B324,'Tillförd energi'!$B$1:$AI$720,MATCH(V$2,'Tillförd energi'!$B$1:$AQ$1,0),FALSE)</f>
        <v>0</v>
      </c>
      <c r="W324" s="63">
        <f>VLOOKUP($B324,'Tillförd energi'!$B$1:$AI$720,MATCH(W$2,'Tillförd energi'!$B$1:$AQ$1,0),FALSE)</f>
        <v>0</v>
      </c>
      <c r="X324" s="63">
        <f>VLOOKUP($B324,'Tillförd energi'!$B$1:$AI$720,MATCH(X$2,'Tillförd energi'!$B$1:$AQ$1,0),FALSE)</f>
        <v>0</v>
      </c>
      <c r="Y324" s="63">
        <f>VLOOKUP($B324,'Tillförd energi'!$B$1:$AI$720,MATCH(Y$2,'Tillförd energi'!$B$1:$AQ$1,0),FALSE)</f>
        <v>0</v>
      </c>
      <c r="Z324" s="63">
        <f>VLOOKUP($B324,'Tillförd energi'!$B$1:$AI$720,MATCH(Z$2,'Tillförd energi'!$B$1:$AQ$1,0),FALSE)</f>
        <v>0</v>
      </c>
      <c r="AA324" s="63">
        <f>VLOOKUP($B324,'Tillförd energi'!$B$1:$AI$720,MATCH(AA$2,'Tillförd energi'!$B$1:$AQ$1,0),FALSE)</f>
        <v>0</v>
      </c>
      <c r="AB324" s="63">
        <f>VLOOKUP($B324,'Tillförd energi'!$B$1:$AI$720,MATCH(AB$2,'Tillförd energi'!$B$1:$AQ$1,0),FALSE)</f>
        <v>0</v>
      </c>
      <c r="AC324" s="63">
        <f>VLOOKUP($B324,'Tillförd energi'!$B$1:$AI$720,MATCH(AC$2,'Tillförd energi'!$B$1:$AQ$1,0),FALSE)</f>
        <v>2.2320000000000002</v>
      </c>
      <c r="AD324" s="63">
        <f>VLOOKUP($B324,'Tillförd energi'!$B$1:$AI$720,MATCH(AD$2,'Tillförd energi'!$B$1:$AQ$1,0),FALSE)</f>
        <v>0</v>
      </c>
      <c r="AE324" s="63">
        <f>VLOOKUP($B324,'Tillförd energi'!$B$1:$AI$720,MATCH(AE$2,'Tillförd energi'!$B$1:$AQ$1,0),FALSE)</f>
        <v>0</v>
      </c>
      <c r="AF324" s="63">
        <f>VLOOKUP($B324,'Tillförd energi'!$B$1:$AI$720,MATCH(AF$2,'Tillförd energi'!$B$1:$AQ$1,0),FALSE)</f>
        <v>0.57599999999999996</v>
      </c>
      <c r="AG324" s="63">
        <f>IFERROR(VLOOKUP(B324,Miljö!$B$1:$AC$550,MATCH("Köpt mängd produktionsspecifik fjärrvärme:",Miljö!$B$1:$AC$1,0),FALSE)/1,0)</f>
        <v>0</v>
      </c>
      <c r="AI324" s="63">
        <f t="shared" ref="AI324:AI387" si="30">IF(B324&lt;&gt;"",SUM(C324:AG324),"")</f>
        <v>32.245999999999995</v>
      </c>
      <c r="AJ324" s="63">
        <f>IF(ISERROR(1/VLOOKUP($B324,Leveranser!$B$1:$S$500,MATCH("såld värme (gwh)",Leveranser!$B$1:$S$1,0),FALSE)),"",VLOOKUP($B324,Leveranser!$B$1:$S$500,MATCH("såld värme (gwh)",Leveranser!$B$1:$S$1,0),FALSE))</f>
        <v>21.449000000000002</v>
      </c>
      <c r="AM324" s="63" t="str">
        <f>IF(B324&lt;&gt;"",IF(VLOOKUP($B324,Totalt!$B$1:$AQ$554,MATCH("Kvalitetsgranskad:",Totalt!$B$1:$AQ$1,0),FALSE)="ja",VLOOKUP($B324,Miljö!$B$1:$AG$479,MATCH(AM$2,Miljö!$B$1:$AK$1,0),FALSE),""),"")</f>
        <v>Ja</v>
      </c>
      <c r="AN324" s="63" t="str">
        <f>IF(AM324="ja",VLOOKUP($B324,Miljö!$B$1:$J$479,MATCH("Typ av ursprungsspecificerad el   (Om inget värde anges används Nordisk residualmix, se inforuta) ()",Miljö!$B$1:$J$1,0),FALSE),IF(AM324="nej","Nordisk residualel",""))</f>
        <v>'vatten'</v>
      </c>
      <c r="AO324" s="63">
        <f>IF(AM324="","",VLOOKUP($B324,Miljö!$B$1:$J$479,MATCH("Fossilandel för ursprungspecificerad el ()",Miljö!$B$1:$J$1,0),FALSE))</f>
        <v>0</v>
      </c>
      <c r="AQ324" s="63">
        <f t="shared" ref="AQ324:AQ387" si="31">IF(AM324="","",1-AO324-AP324)</f>
        <v>1</v>
      </c>
      <c r="AS324" s="63" t="str">
        <f t="shared" ref="AS324:AS387" si="32">IF(B324&lt;&gt;"",IF(AND(AG324&gt;0,AG324&lt;&gt;""),"Ja","Nej"),"")</f>
        <v>Nej</v>
      </c>
      <c r="AT324" s="63" t="str">
        <f>IF(AS324="ja",VLOOKUP($B324,Miljö!$B$1:$P$500,MATCH("Fossil andel i procent (%)",Miljö!$B$1:$P$1,0),FALSE)/100,"")</f>
        <v/>
      </c>
      <c r="AV324" s="63" t="str">
        <f t="shared" ref="AV324:AV387" si="33">IF(B324&lt;&gt;"",IF(AND(AB324&gt;0,AB324&lt;&gt;""),"Ja","Nej"),"")</f>
        <v>Nej</v>
      </c>
      <c r="AW324" s="63" t="str">
        <f>IF(AV324="ja",VLOOKUP($B324,'Egen hetvattenprod'!$B$1:$AO$500,MATCH("Värmekälla till värmepumpar ()",'Egen hetvattenprod'!$B$1:$AO$1,0),FALSE),"")</f>
        <v/>
      </c>
      <c r="AY324" s="63" t="str">
        <f t="shared" ref="AY324:AY387" si="34">IF(B324&lt;&gt;"",IF(AND(AC324&gt;0,AC324&lt;&gt;""),"Ja","Nej"),"")</f>
        <v>Ja</v>
      </c>
      <c r="AZ324" s="77">
        <f>IF($AY324="ja",(VLOOKUP($B324,'Egen hetvattenprod'!$B$1:$BX$550,MATCH(AZ$2,'Egen hetvattenprod'!$B$1:$BX$1,0),FALSE)+VLOOKUP($B324,Kraftvärmeprod!$B$1:$BX$550,MATCH(AZ$2,Kraftvärmeprod!$B$1:$BX$1,0),FALSE))/$AC324,"")</f>
        <v>1</v>
      </c>
      <c r="BA324" s="77">
        <f>IF($AY324="ja",(VLOOKUP($B324,'Egen hetvattenprod'!$B$1:$BX$550,MATCH(BA$2,'Egen hetvattenprod'!$B$1:$BX$1,0),FALSE)+VLOOKUP($B324,Kraftvärmeprod!$B$1:$BX$550,MATCH(BA$2,Kraftvärmeprod!$B$1:$BX$1,0),FALSE))/$AC324,"")</f>
        <v>0</v>
      </c>
      <c r="BB324" s="77">
        <f>IF($AY324="ja",(VLOOKUP($B324,'Egen hetvattenprod'!$B$1:$BX$550,MATCH(BB$2,'Egen hetvattenprod'!$B$1:$BX$1,0),FALSE)+VLOOKUP($B324,Kraftvärmeprod!$B$1:$BX$550,MATCH(BB$2,Kraftvärmeprod!$B$1:$BX$1,0),FALSE))/$AC324,"")</f>
        <v>0</v>
      </c>
      <c r="BC324" s="77">
        <f>IF($AY324="ja",(VLOOKUP($B324,'Egen hetvattenprod'!$B$1:$BX$550,MATCH(BC$2,'Egen hetvattenprod'!$B$1:$BX$1,0),FALSE)+VLOOKUP($B324,Kraftvärmeprod!$B$1:$BX$550,MATCH(BC$2,Kraftvärmeprod!$B$1:$BX$1,0),FALSE))/$AC324,"")</f>
        <v>0</v>
      </c>
      <c r="BD324" s="77">
        <f>IF($AY324="ja",(VLOOKUP($B324,'Egen hetvattenprod'!$B$1:$BX$550,MATCH(BD$2,'Egen hetvattenprod'!$B$1:$BX$1,0),FALSE)+VLOOKUP($B324,Kraftvärmeprod!$B$1:$BX$550,MATCH(BD$2,Kraftvärmeprod!$B$1:$BX$1,0),FALSE))/$AC324,"")</f>
        <v>0</v>
      </c>
      <c r="BF324" s="63" t="str">
        <f t="shared" ref="BF324:BF387" si="35">IF(B324&lt;&gt;"",IF(AND(I324&gt;0,I324&lt;&gt;""),"Ja","Nej"),"")</f>
        <v>Nej</v>
      </c>
      <c r="BG324" s="63" t="str">
        <f>IF($BF324="ja",VLOOKUP($B324,'Egen hetvattenprod'!$B$1:$BX$550,MATCH("Andelen klimatgaser med fossilt ursprung för avfall ()",'Egen hetvattenprod'!$B$1:$BX$1,0),FALSE),"")</f>
        <v/>
      </c>
      <c r="BH324" s="63" t="str">
        <f>IF($BF324="ja",VLOOKUP($B324,Kraftvärmeprod!$B$1:$BX$550,MATCH("Andelen klimatgaser med fossilt ursprung för avfall ()",Kraftvärmeprod!$B$1:$BX$1,0),FALSE),"")</f>
        <v/>
      </c>
      <c r="BI324" s="63" t="str">
        <f>IF($BF324="ja",VLOOKUP($B324,'Egen hetvattenprod'!$B$1:$BX$550,MATCH("Avfall (GWh)",'Egen hetvattenprod'!$B$1:$BX$1,0),FALSE),"")</f>
        <v/>
      </c>
      <c r="BJ324" s="63" t="str">
        <f>IF($BF324="ja",VLOOKUP($B324,'Slutlig allokering kvv'!$B$1:$BX$550,MATCH("Avfall (GWh)",'Slutlig allokering kvv'!$B$1:$BX$1,0),FALSE),"")</f>
        <v/>
      </c>
      <c r="BK324" s="63" t="str">
        <f>IF($BF324="ja",VLOOKUP($B324,'Köpt hetvatten'!$B$1:$BX$550,MATCH("Avfall i köpt hetvatten",'Köpt hetvatten'!$B$1:$BX$1,0),FALSE),"")</f>
        <v/>
      </c>
      <c r="BL324" s="63" t="str">
        <f>IF($BF324="ja",VLOOKUP($B324,'Egen hetvattenprod'!$B$1:$BX$550,MATCH("Värde enligt ovan. (%)",'Egen hetvattenprod'!$B$1:$BX$1,0),FALSE),"")</f>
        <v/>
      </c>
      <c r="BM324" s="63" t="str">
        <f>IF($BF324="ja",VLOOKUP($B324,Kraftvärmeprod!$B$1:$BX$550,MATCH("Värde enligt ovan. (%)",Kraftvärmeprod!$B$1:$BX$1,0),FALSE),"")</f>
        <v/>
      </c>
    </row>
    <row r="325" spans="1:65" x14ac:dyDescent="0.45">
      <c r="A325" s="63" t="s">
        <v>255</v>
      </c>
      <c r="B325" s="63" t="s">
        <v>254</v>
      </c>
      <c r="C325" s="63">
        <f>VLOOKUP($B325,'Tillförd energi'!$B$1:$AI$720,MATCH(C$2,'Tillförd energi'!$B$1:$AQ$1,0),FALSE)</f>
        <v>0</v>
      </c>
      <c r="D325" s="63">
        <f>VLOOKUP($B325,'Tillförd energi'!$B$1:$AI$720,MATCH(D$2,'Tillförd energi'!$B$1:$AQ$1,0),FALSE)</f>
        <v>0.45700000000000002</v>
      </c>
      <c r="E325" s="63">
        <f>VLOOKUP($B325,'Tillförd energi'!$B$1:$AI$720,MATCH(E$2,'Tillförd energi'!$B$1:$AQ$1,0),FALSE)</f>
        <v>0</v>
      </c>
      <c r="F325" s="63">
        <f>VLOOKUP($B325,'Tillförd energi'!$B$1:$AI$720,MATCH(F$2,'Tillförd energi'!$B$1:$AQ$1,0),FALSE)</f>
        <v>0</v>
      </c>
      <c r="G325" s="63">
        <f>VLOOKUP($B325,'Tillförd energi'!$B$1:$AI$720,MATCH(G$2,'Tillförd energi'!$B$1:$AQ$1,0),FALSE)</f>
        <v>0</v>
      </c>
      <c r="H325" s="63">
        <f>VLOOKUP($B325,'Tillförd energi'!$B$1:$AI$720,MATCH(H$2,'Tillförd energi'!$B$1:$AQ$1,0),FALSE)</f>
        <v>0</v>
      </c>
      <c r="I325" s="63">
        <f>VLOOKUP($B325,'Tillförd energi'!$B$1:$AI$720,MATCH(I$2,'Tillförd energi'!$B$1:$AQ$1,0),FALSE)</f>
        <v>0</v>
      </c>
      <c r="J325" s="63">
        <f>VLOOKUP($B325,'Tillförd energi'!$B$1:$AI$720,MATCH(J$2,'Tillförd energi'!$B$1:$AQ$1,0),FALSE)</f>
        <v>0</v>
      </c>
      <c r="K325" s="63">
        <f>VLOOKUP($B325,'Tillförd energi'!$B$1:$AI$720,MATCH(K$2,'Tillförd energi'!$B$1:$AQ$1,0),FALSE)</f>
        <v>0</v>
      </c>
      <c r="L325" s="63">
        <f>VLOOKUP($B325,'Tillförd energi'!$B$1:$AI$720,MATCH(L$2,'Tillförd energi'!$B$1:$AQ$1,0),FALSE)</f>
        <v>0</v>
      </c>
      <c r="M325" s="63">
        <f>VLOOKUP($B325,'Tillförd energi'!$B$1:$AI$720,MATCH(M$2,'Tillförd energi'!$B$1:$AQ$1,0),FALSE)</f>
        <v>0.17199999999999999</v>
      </c>
      <c r="N325" s="63">
        <f>VLOOKUP($B325,'Tillförd energi'!$B$1:$AI$720,MATCH(N$2,'Tillförd energi'!$B$1:$AQ$1,0),FALSE)</f>
        <v>15.103999999999999</v>
      </c>
      <c r="O325" s="63">
        <f>VLOOKUP($B325,'Tillförd energi'!$B$1:$AI$720,MATCH(O$2,'Tillförd energi'!$B$1:$AQ$1,0),FALSE)</f>
        <v>0</v>
      </c>
      <c r="P325" s="63">
        <f>VLOOKUP($B325,'Tillförd energi'!$B$1:$AI$720,MATCH(P$2,'Tillförd energi'!$B$1:$AQ$1,0),FALSE)</f>
        <v>5.7380000000000004</v>
      </c>
      <c r="Q325" s="63">
        <f>VLOOKUP($B325,'Tillförd energi'!$B$1:$AI$720,MATCH(Q$2,'Tillförd energi'!$B$1:$AQ$1,0),FALSE)</f>
        <v>12.736000000000001</v>
      </c>
      <c r="R325" s="63">
        <f>VLOOKUP($B325,'Tillförd energi'!$B$1:$AI$720,MATCH(R$2,'Tillförd energi'!$B$1:$AQ$1,0),FALSE)</f>
        <v>0</v>
      </c>
      <c r="S325" s="63">
        <f>VLOOKUP($B325,'Tillförd energi'!$B$1:$AI$720,MATCH(S$2,'Tillförd energi'!$B$1:$AQ$1,0),FALSE)</f>
        <v>0</v>
      </c>
      <c r="T325" s="63">
        <f>VLOOKUP($B325,'Tillförd energi'!$B$1:$AI$720,MATCH(T$2,'Tillförd energi'!$B$1:$AQ$1,0),FALSE)</f>
        <v>0</v>
      </c>
      <c r="U325" s="63">
        <f>VLOOKUP($B325,'Tillförd energi'!$B$1:$AI$720,MATCH(U$2,'Tillförd energi'!$B$1:$AQ$1,0),FALSE)</f>
        <v>0</v>
      </c>
      <c r="V325" s="63">
        <f>VLOOKUP($B325,'Tillförd energi'!$B$1:$AI$720,MATCH(V$2,'Tillförd energi'!$B$1:$AQ$1,0),FALSE)</f>
        <v>0</v>
      </c>
      <c r="W325" s="63">
        <f>VLOOKUP($B325,'Tillförd energi'!$B$1:$AI$720,MATCH(W$2,'Tillförd energi'!$B$1:$AQ$1,0),FALSE)</f>
        <v>0</v>
      </c>
      <c r="X325" s="63">
        <f>VLOOKUP($B325,'Tillförd energi'!$B$1:$AI$720,MATCH(X$2,'Tillförd energi'!$B$1:$AQ$1,0),FALSE)</f>
        <v>0</v>
      </c>
      <c r="Y325" s="63">
        <f>VLOOKUP($B325,'Tillförd energi'!$B$1:$AI$720,MATCH(Y$2,'Tillförd energi'!$B$1:$AQ$1,0),FALSE)</f>
        <v>0</v>
      </c>
      <c r="Z325" s="63">
        <f>VLOOKUP($B325,'Tillförd energi'!$B$1:$AI$720,MATCH(Z$2,'Tillförd energi'!$B$1:$AQ$1,0),FALSE)</f>
        <v>0</v>
      </c>
      <c r="AA325" s="63">
        <f>VLOOKUP($B325,'Tillförd energi'!$B$1:$AI$720,MATCH(AA$2,'Tillförd energi'!$B$1:$AQ$1,0),FALSE)</f>
        <v>0</v>
      </c>
      <c r="AB325" s="63">
        <f>VLOOKUP($B325,'Tillförd energi'!$B$1:$AI$720,MATCH(AB$2,'Tillförd energi'!$B$1:$AQ$1,0),FALSE)</f>
        <v>0</v>
      </c>
      <c r="AC325" s="63">
        <f>VLOOKUP($B325,'Tillförd energi'!$B$1:$AI$720,MATCH(AC$2,'Tillförd energi'!$B$1:$AQ$1,0),FALSE)</f>
        <v>3.78</v>
      </c>
      <c r="AD325" s="63">
        <f>VLOOKUP($B325,'Tillförd energi'!$B$1:$AI$720,MATCH(AD$2,'Tillförd energi'!$B$1:$AQ$1,0),FALSE)</f>
        <v>0</v>
      </c>
      <c r="AE325" s="63">
        <f>VLOOKUP($B325,'Tillförd energi'!$B$1:$AI$720,MATCH(AE$2,'Tillförd energi'!$B$1:$AQ$1,0),FALSE)</f>
        <v>0</v>
      </c>
      <c r="AF325" s="63">
        <f>VLOOKUP($B325,'Tillförd energi'!$B$1:$AI$720,MATCH(AF$2,'Tillförd energi'!$B$1:$AQ$1,0),FALSE)</f>
        <v>0.871</v>
      </c>
      <c r="AG325" s="63">
        <f>IFERROR(VLOOKUP(B325,Miljö!$B$1:$AC$550,MATCH("Köpt mängd produktionsspecifik fjärrvärme:",Miljö!$B$1:$AC$1,0),FALSE)/1,0)</f>
        <v>0</v>
      </c>
      <c r="AI325" s="63">
        <f t="shared" si="30"/>
        <v>38.858000000000004</v>
      </c>
      <c r="AJ325" s="63">
        <f>IF(ISERROR(1/VLOOKUP($B325,Leveranser!$B$1:$S$500,MATCH("såld värme (gwh)",Leveranser!$B$1:$S$1,0),FALSE)),"",VLOOKUP($B325,Leveranser!$B$1:$S$500,MATCH("såld värme (gwh)",Leveranser!$B$1:$S$1,0),FALSE))</f>
        <v>28.105</v>
      </c>
      <c r="AM325" s="63" t="str">
        <f>IF(B325&lt;&gt;"",IF(VLOOKUP($B325,Totalt!$B$1:$AQ$554,MATCH("Kvalitetsgranskad:",Totalt!$B$1:$AQ$1,0),FALSE)="ja",VLOOKUP($B325,Miljö!$B$1:$AG$479,MATCH(AM$2,Miljö!$B$1:$AK$1,0),FALSE),""),"")</f>
        <v>Ja</v>
      </c>
      <c r="AN325" s="63" t="str">
        <f>IF(AM325="ja",VLOOKUP($B325,Miljö!$B$1:$J$479,MATCH("Typ av ursprungsspecificerad el   (Om inget värde anges används Nordisk residualmix, se inforuta) ()",Miljö!$B$1:$J$1,0),FALSE),IF(AM325="nej","Nordisk residualel",""))</f>
        <v>'vatten'</v>
      </c>
      <c r="AO325" s="63">
        <f>IF(AM325="","",VLOOKUP($B325,Miljö!$B$1:$J$479,MATCH("Fossilandel för ursprungspecificerad el ()",Miljö!$B$1:$J$1,0),FALSE))</f>
        <v>0</v>
      </c>
      <c r="AQ325" s="63">
        <f t="shared" si="31"/>
        <v>1</v>
      </c>
      <c r="AS325" s="63" t="str">
        <f t="shared" si="32"/>
        <v>Nej</v>
      </c>
      <c r="AT325" s="63" t="str">
        <f>IF(AS325="ja",VLOOKUP($B325,Miljö!$B$1:$P$500,MATCH("Fossil andel i procent (%)",Miljö!$B$1:$P$1,0),FALSE)/100,"")</f>
        <v/>
      </c>
      <c r="AV325" s="63" t="str">
        <f t="shared" si="33"/>
        <v>Nej</v>
      </c>
      <c r="AW325" s="63" t="str">
        <f>IF(AV325="ja",VLOOKUP($B325,'Egen hetvattenprod'!$B$1:$AO$500,MATCH("Värmekälla till värmepumpar ()",'Egen hetvattenprod'!$B$1:$AO$1,0),FALSE),"")</f>
        <v/>
      </c>
      <c r="AY325" s="63" t="str">
        <f t="shared" si="34"/>
        <v>Ja</v>
      </c>
      <c r="AZ325" s="77">
        <f>IF($AY325="ja",(VLOOKUP($B325,'Egen hetvattenprod'!$B$1:$BX$550,MATCH(AZ$2,'Egen hetvattenprod'!$B$1:$BX$1,0),FALSE)+VLOOKUP($B325,Kraftvärmeprod!$B$1:$BX$550,MATCH(AZ$2,Kraftvärmeprod!$B$1:$BX$1,0),FALSE))/$AC325,"")</f>
        <v>1</v>
      </c>
      <c r="BA325" s="77">
        <f>IF($AY325="ja",(VLOOKUP($B325,'Egen hetvattenprod'!$B$1:$BX$550,MATCH(BA$2,'Egen hetvattenprod'!$B$1:$BX$1,0),FALSE)+VLOOKUP($B325,Kraftvärmeprod!$B$1:$BX$550,MATCH(BA$2,Kraftvärmeprod!$B$1:$BX$1,0),FALSE))/$AC325,"")</f>
        <v>0</v>
      </c>
      <c r="BB325" s="77">
        <f>IF($AY325="ja",(VLOOKUP($B325,'Egen hetvattenprod'!$B$1:$BX$550,MATCH(BB$2,'Egen hetvattenprod'!$B$1:$BX$1,0),FALSE)+VLOOKUP($B325,Kraftvärmeprod!$B$1:$BX$550,MATCH(BB$2,Kraftvärmeprod!$B$1:$BX$1,0),FALSE))/$AC325,"")</f>
        <v>0</v>
      </c>
      <c r="BC325" s="77">
        <f>IF($AY325="ja",(VLOOKUP($B325,'Egen hetvattenprod'!$B$1:$BX$550,MATCH(BC$2,'Egen hetvattenprod'!$B$1:$BX$1,0),FALSE)+VLOOKUP($B325,Kraftvärmeprod!$B$1:$BX$550,MATCH(BC$2,Kraftvärmeprod!$B$1:$BX$1,0),FALSE))/$AC325,"")</f>
        <v>0</v>
      </c>
      <c r="BD325" s="77">
        <f>IF($AY325="ja",(VLOOKUP($B325,'Egen hetvattenprod'!$B$1:$BX$550,MATCH(BD$2,'Egen hetvattenprod'!$B$1:$BX$1,0),FALSE)+VLOOKUP($B325,Kraftvärmeprod!$B$1:$BX$550,MATCH(BD$2,Kraftvärmeprod!$B$1:$BX$1,0),FALSE))/$AC325,"")</f>
        <v>0</v>
      </c>
      <c r="BF325" s="63" t="str">
        <f t="shared" si="35"/>
        <v>Nej</v>
      </c>
      <c r="BG325" s="63" t="str">
        <f>IF($BF325="ja",VLOOKUP($B325,'Egen hetvattenprod'!$B$1:$BX$550,MATCH("Andelen klimatgaser med fossilt ursprung för avfall ()",'Egen hetvattenprod'!$B$1:$BX$1,0),FALSE),"")</f>
        <v/>
      </c>
      <c r="BH325" s="63" t="str">
        <f>IF($BF325="ja",VLOOKUP($B325,Kraftvärmeprod!$B$1:$BX$550,MATCH("Andelen klimatgaser med fossilt ursprung för avfall ()",Kraftvärmeprod!$B$1:$BX$1,0),FALSE),"")</f>
        <v/>
      </c>
      <c r="BI325" s="63" t="str">
        <f>IF($BF325="ja",VLOOKUP($B325,'Egen hetvattenprod'!$B$1:$BX$550,MATCH("Avfall (GWh)",'Egen hetvattenprod'!$B$1:$BX$1,0),FALSE),"")</f>
        <v/>
      </c>
      <c r="BJ325" s="63" t="str">
        <f>IF($BF325="ja",VLOOKUP($B325,'Slutlig allokering kvv'!$B$1:$BX$550,MATCH("Avfall (GWh)",'Slutlig allokering kvv'!$B$1:$BX$1,0),FALSE),"")</f>
        <v/>
      </c>
      <c r="BK325" s="63" t="str">
        <f>IF($BF325="ja",VLOOKUP($B325,'Köpt hetvatten'!$B$1:$BX$550,MATCH("Avfall i köpt hetvatten",'Köpt hetvatten'!$B$1:$BX$1,0),FALSE),"")</f>
        <v/>
      </c>
      <c r="BL325" s="63" t="str">
        <f>IF($BF325="ja",VLOOKUP($B325,'Egen hetvattenprod'!$B$1:$BX$550,MATCH("Värde enligt ovan. (%)",'Egen hetvattenprod'!$B$1:$BX$1,0),FALSE),"")</f>
        <v/>
      </c>
      <c r="BM325" s="63" t="str">
        <f>IF($BF325="ja",VLOOKUP($B325,Kraftvärmeprod!$B$1:$BX$550,MATCH("Värde enligt ovan. (%)",Kraftvärmeprod!$B$1:$BX$1,0),FALSE),"")</f>
        <v/>
      </c>
    </row>
    <row r="326" spans="1:65" x14ac:dyDescent="0.45">
      <c r="A326" s="63" t="s">
        <v>253</v>
      </c>
      <c r="B326" s="63" t="s">
        <v>252</v>
      </c>
      <c r="C326" s="63">
        <f>VLOOKUP($B326,'Tillförd energi'!$B$1:$AI$720,MATCH(C$2,'Tillförd energi'!$B$1:$AQ$1,0),FALSE)</f>
        <v>0</v>
      </c>
      <c r="D326" s="63">
        <f>VLOOKUP($B326,'Tillförd energi'!$B$1:$AI$720,MATCH(D$2,'Tillförd energi'!$B$1:$AQ$1,0),FALSE)</f>
        <v>2.9000000000000001E-2</v>
      </c>
      <c r="E326" s="63">
        <f>VLOOKUP($B326,'Tillförd energi'!$B$1:$AI$720,MATCH(E$2,'Tillförd energi'!$B$1:$AQ$1,0),FALSE)</f>
        <v>0</v>
      </c>
      <c r="F326" s="63">
        <f>VLOOKUP($B326,'Tillförd energi'!$B$1:$AI$720,MATCH(F$2,'Tillförd energi'!$B$1:$AQ$1,0),FALSE)</f>
        <v>0</v>
      </c>
      <c r="G326" s="63">
        <f>VLOOKUP($B326,'Tillförd energi'!$B$1:$AI$720,MATCH(G$2,'Tillförd energi'!$B$1:$AQ$1,0),FALSE)</f>
        <v>0</v>
      </c>
      <c r="H326" s="63">
        <f>VLOOKUP($B326,'Tillförd energi'!$B$1:$AI$720,MATCH(H$2,'Tillförd energi'!$B$1:$AQ$1,0),FALSE)</f>
        <v>0</v>
      </c>
      <c r="I326" s="63">
        <f>VLOOKUP($B326,'Tillförd energi'!$B$1:$AI$720,MATCH(I$2,'Tillförd energi'!$B$1:$AQ$1,0),FALSE)</f>
        <v>0</v>
      </c>
      <c r="J326" s="63">
        <f>VLOOKUP($B326,'Tillförd energi'!$B$1:$AI$720,MATCH(J$2,'Tillförd energi'!$B$1:$AQ$1,0),FALSE)</f>
        <v>0</v>
      </c>
      <c r="K326" s="63">
        <f>VLOOKUP($B326,'Tillförd energi'!$B$1:$AI$720,MATCH(K$2,'Tillförd energi'!$B$1:$AQ$1,0),FALSE)</f>
        <v>0</v>
      </c>
      <c r="L326" s="63">
        <f>VLOOKUP($B326,'Tillförd energi'!$B$1:$AI$720,MATCH(L$2,'Tillförd energi'!$B$1:$AQ$1,0),FALSE)</f>
        <v>0</v>
      </c>
      <c r="M326" s="63">
        <f>VLOOKUP($B326,'Tillförd energi'!$B$1:$AI$720,MATCH(M$2,'Tillförd energi'!$B$1:$AQ$1,0),FALSE)</f>
        <v>8.8940000000000001</v>
      </c>
      <c r="N326" s="63">
        <f>VLOOKUP($B326,'Tillförd energi'!$B$1:$AI$720,MATCH(N$2,'Tillförd energi'!$B$1:$AQ$1,0),FALSE)</f>
        <v>7.6449999999999996</v>
      </c>
      <c r="O326" s="63">
        <f>VLOOKUP($B326,'Tillförd energi'!$B$1:$AI$720,MATCH(O$2,'Tillförd energi'!$B$1:$AQ$1,0),FALSE)</f>
        <v>5.798</v>
      </c>
      <c r="P326" s="63">
        <f>VLOOKUP($B326,'Tillförd energi'!$B$1:$AI$720,MATCH(P$2,'Tillförd energi'!$B$1:$AQ$1,0),FALSE)</f>
        <v>16.952000000000002</v>
      </c>
      <c r="Q326" s="63">
        <f>VLOOKUP($B326,'Tillförd energi'!$B$1:$AI$720,MATCH(Q$2,'Tillförd energi'!$B$1:$AQ$1,0),FALSE)</f>
        <v>4.2129399999999997</v>
      </c>
      <c r="R326" s="63">
        <f>VLOOKUP($B326,'Tillförd energi'!$B$1:$AI$720,MATCH(R$2,'Tillförd energi'!$B$1:$AQ$1,0),FALSE)</f>
        <v>0</v>
      </c>
      <c r="S326" s="63">
        <f>VLOOKUP($B326,'Tillförd energi'!$B$1:$AI$720,MATCH(S$2,'Tillförd energi'!$B$1:$AQ$1,0),FALSE)</f>
        <v>0</v>
      </c>
      <c r="T326" s="63">
        <f>VLOOKUP($B326,'Tillförd energi'!$B$1:$AI$720,MATCH(T$2,'Tillförd energi'!$B$1:$AQ$1,0),FALSE)</f>
        <v>0</v>
      </c>
      <c r="U326" s="63">
        <f>VLOOKUP($B326,'Tillförd energi'!$B$1:$AI$720,MATCH(U$2,'Tillförd energi'!$B$1:$AQ$1,0),FALSE)</f>
        <v>0</v>
      </c>
      <c r="V326" s="63">
        <f>VLOOKUP($B326,'Tillförd energi'!$B$1:$AI$720,MATCH(V$2,'Tillförd energi'!$B$1:$AQ$1,0),FALSE)</f>
        <v>0</v>
      </c>
      <c r="W326" s="63">
        <f>VLOOKUP($B326,'Tillförd energi'!$B$1:$AI$720,MATCH(W$2,'Tillförd energi'!$B$1:$AQ$1,0),FALSE)</f>
        <v>0</v>
      </c>
      <c r="X326" s="63">
        <f>VLOOKUP($B326,'Tillförd energi'!$B$1:$AI$720,MATCH(X$2,'Tillförd energi'!$B$1:$AQ$1,0),FALSE)</f>
        <v>0</v>
      </c>
      <c r="Y326" s="63">
        <f>VLOOKUP($B326,'Tillförd energi'!$B$1:$AI$720,MATCH(Y$2,'Tillförd energi'!$B$1:$AQ$1,0),FALSE)</f>
        <v>0</v>
      </c>
      <c r="Z326" s="63">
        <f>VLOOKUP($B326,'Tillförd energi'!$B$1:$AI$720,MATCH(Z$2,'Tillförd energi'!$B$1:$AQ$1,0),FALSE)</f>
        <v>0</v>
      </c>
      <c r="AA326" s="63">
        <f>VLOOKUP($B326,'Tillförd energi'!$B$1:$AI$720,MATCH(AA$2,'Tillförd energi'!$B$1:$AQ$1,0),FALSE)</f>
        <v>0</v>
      </c>
      <c r="AB326" s="63">
        <f>VLOOKUP($B326,'Tillförd energi'!$B$1:$AI$720,MATCH(AB$2,'Tillförd energi'!$B$1:$AQ$1,0),FALSE)</f>
        <v>0</v>
      </c>
      <c r="AC326" s="63">
        <f>VLOOKUP($B326,'Tillförd energi'!$B$1:$AI$720,MATCH(AC$2,'Tillförd energi'!$B$1:$AQ$1,0),FALSE)</f>
        <v>0</v>
      </c>
      <c r="AD326" s="63">
        <f>VLOOKUP($B326,'Tillförd energi'!$B$1:$AI$720,MATCH(AD$2,'Tillförd energi'!$B$1:$AQ$1,0),FALSE)</f>
        <v>0</v>
      </c>
      <c r="AE326" s="63">
        <f>VLOOKUP($B326,'Tillförd energi'!$B$1:$AI$720,MATCH(AE$2,'Tillförd energi'!$B$1:$AQ$1,0),FALSE)</f>
        <v>0</v>
      </c>
      <c r="AF326" s="63">
        <f>VLOOKUP($B326,'Tillförd energi'!$B$1:$AI$720,MATCH(AF$2,'Tillförd energi'!$B$1:$AQ$1,0),FALSE)</f>
        <v>0.53600000000000003</v>
      </c>
      <c r="AG326" s="63">
        <f>IFERROR(VLOOKUP(B326,Miljö!$B$1:$AC$550,MATCH("Köpt mängd produktionsspecifik fjärrvärme:",Miljö!$B$1:$AC$1,0),FALSE)/1,0)</f>
        <v>0</v>
      </c>
      <c r="AI326" s="63">
        <f t="shared" si="30"/>
        <v>44.066940000000002</v>
      </c>
      <c r="AJ326" s="63">
        <f>IF(ISERROR(1/VLOOKUP($B326,Leveranser!$B$1:$S$500,MATCH("såld värme (gwh)",Leveranser!$B$1:$S$1,0),FALSE)),"",VLOOKUP($B326,Leveranser!$B$1:$S$500,MATCH("såld värme (gwh)",Leveranser!$B$1:$S$1,0),FALSE))</f>
        <v>34.17</v>
      </c>
      <c r="AM326" s="63" t="str">
        <f>IF(B326&lt;&gt;"",IF(VLOOKUP($B326,Totalt!$B$1:$AQ$554,MATCH("Kvalitetsgranskad:",Totalt!$B$1:$AQ$1,0),FALSE)="ja",VLOOKUP($B326,Miljö!$B$1:$AG$479,MATCH(AM$2,Miljö!$B$1:$AK$1,0),FALSE),""),"")</f>
        <v>Ja</v>
      </c>
      <c r="AN326" s="63" t="str">
        <f>IF(AM326="ja",VLOOKUP($B326,Miljö!$B$1:$J$479,MATCH("Typ av ursprungsspecificerad el   (Om inget värde anges används Nordisk residualmix, se inforuta) ()",Miljö!$B$1:$J$1,0),FALSE),IF(AM326="nej","Nordisk residualel",""))</f>
        <v>'Vind'</v>
      </c>
      <c r="AO326" s="63">
        <f>IF(AM326="","",VLOOKUP($B326,Miljö!$B$1:$J$479,MATCH("Fossilandel för ursprungspecificerad el ()",Miljö!$B$1:$J$1,0),FALSE))</f>
        <v>0</v>
      </c>
      <c r="AQ326" s="63">
        <f t="shared" si="31"/>
        <v>1</v>
      </c>
      <c r="AS326" s="63" t="str">
        <f t="shared" si="32"/>
        <v>Nej</v>
      </c>
      <c r="AT326" s="63" t="str">
        <f>IF(AS326="ja",VLOOKUP($B326,Miljö!$B$1:$P$500,MATCH("Fossil andel i procent (%)",Miljö!$B$1:$P$1,0),FALSE)/100,"")</f>
        <v/>
      </c>
      <c r="AV326" s="63" t="str">
        <f t="shared" si="33"/>
        <v>Nej</v>
      </c>
      <c r="AW326" s="63" t="str">
        <f>IF(AV326="ja",VLOOKUP($B326,'Egen hetvattenprod'!$B$1:$AO$500,MATCH("Värmekälla till värmepumpar ()",'Egen hetvattenprod'!$B$1:$AO$1,0),FALSE),"")</f>
        <v/>
      </c>
      <c r="AY326" s="63" t="str">
        <f t="shared" si="34"/>
        <v>Nej</v>
      </c>
      <c r="AZ326" s="77" t="str">
        <f>IF($AY326="ja",(VLOOKUP($B326,'Egen hetvattenprod'!$B$1:$BX$550,MATCH(AZ$2,'Egen hetvattenprod'!$B$1:$BX$1,0),FALSE)+VLOOKUP($B326,Kraftvärmeprod!$B$1:$BX$550,MATCH(AZ$2,Kraftvärmeprod!$B$1:$BX$1,0),FALSE))/$AC326,"")</f>
        <v/>
      </c>
      <c r="BA326" s="77" t="str">
        <f>IF($AY326="ja",(VLOOKUP($B326,'Egen hetvattenprod'!$B$1:$BX$550,MATCH(BA$2,'Egen hetvattenprod'!$B$1:$BX$1,0),FALSE)+VLOOKUP($B326,Kraftvärmeprod!$B$1:$BX$550,MATCH(BA$2,Kraftvärmeprod!$B$1:$BX$1,0),FALSE))/$AC326,"")</f>
        <v/>
      </c>
      <c r="BB326" s="77" t="str">
        <f>IF($AY326="ja",(VLOOKUP($B326,'Egen hetvattenprod'!$B$1:$BX$550,MATCH(BB$2,'Egen hetvattenprod'!$B$1:$BX$1,0),FALSE)+VLOOKUP($B326,Kraftvärmeprod!$B$1:$BX$550,MATCH(BB$2,Kraftvärmeprod!$B$1:$BX$1,0),FALSE))/$AC326,"")</f>
        <v/>
      </c>
      <c r="BC326" s="77" t="str">
        <f>IF($AY326="ja",(VLOOKUP($B326,'Egen hetvattenprod'!$B$1:$BX$550,MATCH(BC$2,'Egen hetvattenprod'!$B$1:$BX$1,0),FALSE)+VLOOKUP($B326,Kraftvärmeprod!$B$1:$BX$550,MATCH(BC$2,Kraftvärmeprod!$B$1:$BX$1,0),FALSE))/$AC326,"")</f>
        <v/>
      </c>
      <c r="BD326" s="77" t="str">
        <f>IF($AY326="ja",(VLOOKUP($B326,'Egen hetvattenprod'!$B$1:$BX$550,MATCH(BD$2,'Egen hetvattenprod'!$B$1:$BX$1,0),FALSE)+VLOOKUP($B326,Kraftvärmeprod!$B$1:$BX$550,MATCH(BD$2,Kraftvärmeprod!$B$1:$BX$1,0),FALSE))/$AC326,"")</f>
        <v/>
      </c>
      <c r="BF326" s="63" t="str">
        <f t="shared" si="35"/>
        <v>Nej</v>
      </c>
      <c r="BG326" s="63" t="str">
        <f>IF($BF326="ja",VLOOKUP($B326,'Egen hetvattenprod'!$B$1:$BX$550,MATCH("Andelen klimatgaser med fossilt ursprung för avfall ()",'Egen hetvattenprod'!$B$1:$BX$1,0),FALSE),"")</f>
        <v/>
      </c>
      <c r="BH326" s="63" t="str">
        <f>IF($BF326="ja",VLOOKUP($B326,Kraftvärmeprod!$B$1:$BX$550,MATCH("Andelen klimatgaser med fossilt ursprung för avfall ()",Kraftvärmeprod!$B$1:$BX$1,0),FALSE),"")</f>
        <v/>
      </c>
      <c r="BI326" s="63" t="str">
        <f>IF($BF326="ja",VLOOKUP($B326,'Egen hetvattenprod'!$B$1:$BX$550,MATCH("Avfall (GWh)",'Egen hetvattenprod'!$B$1:$BX$1,0),FALSE),"")</f>
        <v/>
      </c>
      <c r="BJ326" s="63" t="str">
        <f>IF($BF326="ja",VLOOKUP($B326,'Slutlig allokering kvv'!$B$1:$BX$550,MATCH("Avfall (GWh)",'Slutlig allokering kvv'!$B$1:$BX$1,0),FALSE),"")</f>
        <v/>
      </c>
      <c r="BK326" s="63" t="str">
        <f>IF($BF326="ja",VLOOKUP($B326,'Köpt hetvatten'!$B$1:$BX$550,MATCH("Avfall i köpt hetvatten",'Köpt hetvatten'!$B$1:$BX$1,0),FALSE),"")</f>
        <v/>
      </c>
      <c r="BL326" s="63" t="str">
        <f>IF($BF326="ja",VLOOKUP($B326,'Egen hetvattenprod'!$B$1:$BX$550,MATCH("Värde enligt ovan. (%)",'Egen hetvattenprod'!$B$1:$BX$1,0),FALSE),"")</f>
        <v/>
      </c>
      <c r="BM326" s="63" t="str">
        <f>IF($BF326="ja",VLOOKUP($B326,Kraftvärmeprod!$B$1:$BX$550,MATCH("Värde enligt ovan. (%)",Kraftvärmeprod!$B$1:$BX$1,0),FALSE),"")</f>
        <v/>
      </c>
    </row>
    <row r="327" spans="1:65" x14ac:dyDescent="0.45">
      <c r="A327" s="63" t="s">
        <v>249</v>
      </c>
      <c r="B327" s="63" t="s">
        <v>251</v>
      </c>
      <c r="C327" s="63">
        <f>VLOOKUP($B327,'Tillförd energi'!$B$1:$AI$720,MATCH(C$2,'Tillförd energi'!$B$1:$AQ$1,0),FALSE)</f>
        <v>0</v>
      </c>
      <c r="D327" s="63">
        <f>VLOOKUP($B327,'Tillförd energi'!$B$1:$AI$720,MATCH(D$2,'Tillförd energi'!$B$1:$AQ$1,0),FALSE)</f>
        <v>6.9000000000000006E-2</v>
      </c>
      <c r="E327" s="63">
        <f>VLOOKUP($B327,'Tillförd energi'!$B$1:$AI$720,MATCH(E$2,'Tillförd energi'!$B$1:$AQ$1,0),FALSE)</f>
        <v>0</v>
      </c>
      <c r="F327" s="63">
        <f>VLOOKUP($B327,'Tillförd energi'!$B$1:$AI$720,MATCH(F$2,'Tillförd energi'!$B$1:$AQ$1,0),FALSE)</f>
        <v>0</v>
      </c>
      <c r="G327" s="63">
        <f>VLOOKUP($B327,'Tillförd energi'!$B$1:$AI$720,MATCH(G$2,'Tillförd energi'!$B$1:$AQ$1,0),FALSE)</f>
        <v>0</v>
      </c>
      <c r="H327" s="63">
        <f>VLOOKUP($B327,'Tillförd energi'!$B$1:$AI$720,MATCH(H$2,'Tillförd energi'!$B$1:$AQ$1,0),FALSE)</f>
        <v>0</v>
      </c>
      <c r="I327" s="63">
        <f>VLOOKUP($B327,'Tillförd energi'!$B$1:$AI$720,MATCH(I$2,'Tillförd energi'!$B$1:$AQ$1,0),FALSE)</f>
        <v>0</v>
      </c>
      <c r="J327" s="63">
        <f>VLOOKUP($B327,'Tillförd energi'!$B$1:$AI$720,MATCH(J$2,'Tillförd energi'!$B$1:$AQ$1,0),FALSE)</f>
        <v>0</v>
      </c>
      <c r="K327" s="63">
        <f>VLOOKUP($B327,'Tillförd energi'!$B$1:$AI$720,MATCH(K$2,'Tillförd energi'!$B$1:$AQ$1,0),FALSE)</f>
        <v>0</v>
      </c>
      <c r="L327" s="63">
        <f>VLOOKUP($B327,'Tillförd energi'!$B$1:$AI$720,MATCH(L$2,'Tillförd energi'!$B$1:$AQ$1,0),FALSE)</f>
        <v>0</v>
      </c>
      <c r="M327" s="63">
        <f>VLOOKUP($B327,'Tillförd energi'!$B$1:$AI$720,MATCH(M$2,'Tillförd energi'!$B$1:$AQ$1,0),FALSE)</f>
        <v>0</v>
      </c>
      <c r="N327" s="63">
        <f>VLOOKUP($B327,'Tillförd energi'!$B$1:$AI$720,MATCH(N$2,'Tillförd energi'!$B$1:$AQ$1,0),FALSE)</f>
        <v>0</v>
      </c>
      <c r="O327" s="63">
        <f>VLOOKUP($B327,'Tillförd energi'!$B$1:$AI$720,MATCH(O$2,'Tillförd energi'!$B$1:$AQ$1,0),FALSE)</f>
        <v>0</v>
      </c>
      <c r="P327" s="63">
        <f>VLOOKUP($B327,'Tillförd energi'!$B$1:$AI$720,MATCH(P$2,'Tillförd energi'!$B$1:$AQ$1,0),FALSE)</f>
        <v>0</v>
      </c>
      <c r="Q327" s="63">
        <f>VLOOKUP($B327,'Tillförd energi'!$B$1:$AI$720,MATCH(Q$2,'Tillförd energi'!$B$1:$AQ$1,0),FALSE)</f>
        <v>0</v>
      </c>
      <c r="R327" s="63">
        <f>VLOOKUP($B327,'Tillförd energi'!$B$1:$AI$720,MATCH(R$2,'Tillförd energi'!$B$1:$AQ$1,0),FALSE)</f>
        <v>7.7889999999999997</v>
      </c>
      <c r="S327" s="63">
        <f>VLOOKUP($B327,'Tillförd energi'!$B$1:$AI$720,MATCH(S$2,'Tillförd energi'!$B$1:$AQ$1,0),FALSE)</f>
        <v>0</v>
      </c>
      <c r="T327" s="63">
        <f>VLOOKUP($B327,'Tillförd energi'!$B$1:$AI$720,MATCH(T$2,'Tillförd energi'!$B$1:$AQ$1,0),FALSE)</f>
        <v>0</v>
      </c>
      <c r="U327" s="63">
        <f>VLOOKUP($B327,'Tillförd energi'!$B$1:$AI$720,MATCH(U$2,'Tillförd energi'!$B$1:$AQ$1,0),FALSE)</f>
        <v>0</v>
      </c>
      <c r="V327" s="63">
        <f>VLOOKUP($B327,'Tillförd energi'!$B$1:$AI$720,MATCH(V$2,'Tillförd energi'!$B$1:$AQ$1,0),FALSE)</f>
        <v>0</v>
      </c>
      <c r="W327" s="63">
        <f>VLOOKUP($B327,'Tillförd energi'!$B$1:$AI$720,MATCH(W$2,'Tillförd energi'!$B$1:$AQ$1,0),FALSE)</f>
        <v>0</v>
      </c>
      <c r="X327" s="63">
        <f>VLOOKUP($B327,'Tillförd energi'!$B$1:$AI$720,MATCH(X$2,'Tillförd energi'!$B$1:$AQ$1,0),FALSE)</f>
        <v>0</v>
      </c>
      <c r="Y327" s="63">
        <f>VLOOKUP($B327,'Tillförd energi'!$B$1:$AI$720,MATCH(Y$2,'Tillförd energi'!$B$1:$AQ$1,0),FALSE)</f>
        <v>0</v>
      </c>
      <c r="Z327" s="63">
        <f>VLOOKUP($B327,'Tillförd energi'!$B$1:$AI$720,MATCH(Z$2,'Tillförd energi'!$B$1:$AQ$1,0),FALSE)</f>
        <v>0.255</v>
      </c>
      <c r="AA327" s="63">
        <f>VLOOKUP($B327,'Tillförd energi'!$B$1:$AI$720,MATCH(AA$2,'Tillförd energi'!$B$1:$AQ$1,0),FALSE)</f>
        <v>0</v>
      </c>
      <c r="AB327" s="63">
        <f>VLOOKUP($B327,'Tillförd energi'!$B$1:$AI$720,MATCH(AB$2,'Tillförd energi'!$B$1:$AQ$1,0),FALSE)</f>
        <v>0</v>
      </c>
      <c r="AC327" s="63">
        <f>VLOOKUP($B327,'Tillförd energi'!$B$1:$AI$720,MATCH(AC$2,'Tillförd energi'!$B$1:$AQ$1,0),FALSE)</f>
        <v>0</v>
      </c>
      <c r="AD327" s="63">
        <f>VLOOKUP($B327,'Tillförd energi'!$B$1:$AI$720,MATCH(AD$2,'Tillförd energi'!$B$1:$AQ$1,0),FALSE)</f>
        <v>0</v>
      </c>
      <c r="AE327" s="63">
        <f>VLOOKUP($B327,'Tillförd energi'!$B$1:$AI$720,MATCH(AE$2,'Tillförd energi'!$B$1:$AQ$1,0),FALSE)</f>
        <v>0</v>
      </c>
      <c r="AF327" s="63">
        <f>VLOOKUP($B327,'Tillförd energi'!$B$1:$AI$720,MATCH(AF$2,'Tillförd energi'!$B$1:$AQ$1,0),FALSE)</f>
        <v>9.5000000000000001E-2</v>
      </c>
      <c r="AG327" s="63">
        <f>IFERROR(VLOOKUP(B327,Miljö!$B$1:$AC$550,MATCH("Köpt mängd produktionsspecifik fjärrvärme:",Miljö!$B$1:$AC$1,0),FALSE)/1,0)</f>
        <v>0</v>
      </c>
      <c r="AI327" s="63">
        <f t="shared" si="30"/>
        <v>8.2080000000000002</v>
      </c>
      <c r="AJ327" s="63">
        <f>IF(ISERROR(1/VLOOKUP($B327,Leveranser!$B$1:$S$500,MATCH("såld värme (gwh)",Leveranser!$B$1:$S$1,0),FALSE)),"",VLOOKUP($B327,Leveranser!$B$1:$S$500,MATCH("såld värme (gwh)",Leveranser!$B$1:$S$1,0),FALSE))</f>
        <v>5.91</v>
      </c>
      <c r="AM327" s="63" t="str">
        <f>IF(B327&lt;&gt;"",IF(VLOOKUP($B327,Totalt!$B$1:$AQ$554,MATCH("Kvalitetsgranskad:",Totalt!$B$1:$AQ$1,0),FALSE)="ja",VLOOKUP($B327,Miljö!$B$1:$AG$479,MATCH(AM$2,Miljö!$B$1:$AK$1,0),FALSE),""),"")</f>
        <v>Ja</v>
      </c>
      <c r="AN327" s="63" t="str">
        <f>IF(AM327="ja",VLOOKUP($B327,Miljö!$B$1:$J$479,MATCH("Typ av ursprungsspecificerad el   (Om inget värde anges används Nordisk residualmix, se inforuta) ()",Miljö!$B$1:$J$1,0),FALSE),IF(AM327="nej","Nordisk residualel",""))</f>
        <v>'Sol 0.3%. vind 51.1%. Vatten 48.6%'</v>
      </c>
      <c r="AO327" s="63">
        <f>IF(AM327="","",VLOOKUP($B327,Miljö!$B$1:$J$479,MATCH("Fossilandel för ursprungspecificerad el ()",Miljö!$B$1:$J$1,0),FALSE))</f>
        <v>0</v>
      </c>
      <c r="AQ327" s="63">
        <f t="shared" si="31"/>
        <v>1</v>
      </c>
      <c r="AS327" s="63" t="str">
        <f t="shared" si="32"/>
        <v>Nej</v>
      </c>
      <c r="AT327" s="63" t="str">
        <f>IF(AS327="ja",VLOOKUP($B327,Miljö!$B$1:$P$500,MATCH("Fossil andel i procent (%)",Miljö!$B$1:$P$1,0),FALSE)/100,"")</f>
        <v/>
      </c>
      <c r="AV327" s="63" t="str">
        <f t="shared" si="33"/>
        <v>Nej</v>
      </c>
      <c r="AW327" s="63" t="str">
        <f>IF(AV327="ja",VLOOKUP($B327,'Egen hetvattenprod'!$B$1:$AO$500,MATCH("Värmekälla till värmepumpar ()",'Egen hetvattenprod'!$B$1:$AO$1,0),FALSE),"")</f>
        <v/>
      </c>
      <c r="AY327" s="63" t="str">
        <f t="shared" si="34"/>
        <v>Nej</v>
      </c>
      <c r="AZ327" s="77" t="str">
        <f>IF($AY327="ja",(VLOOKUP($B327,'Egen hetvattenprod'!$B$1:$BX$550,MATCH(AZ$2,'Egen hetvattenprod'!$B$1:$BX$1,0),FALSE)+VLOOKUP($B327,Kraftvärmeprod!$B$1:$BX$550,MATCH(AZ$2,Kraftvärmeprod!$B$1:$BX$1,0),FALSE))/$AC327,"")</f>
        <v/>
      </c>
      <c r="BA327" s="77" t="str">
        <f>IF($AY327="ja",(VLOOKUP($B327,'Egen hetvattenprod'!$B$1:$BX$550,MATCH(BA$2,'Egen hetvattenprod'!$B$1:$BX$1,0),FALSE)+VLOOKUP($B327,Kraftvärmeprod!$B$1:$BX$550,MATCH(BA$2,Kraftvärmeprod!$B$1:$BX$1,0),FALSE))/$AC327,"")</f>
        <v/>
      </c>
      <c r="BB327" s="77" t="str">
        <f>IF($AY327="ja",(VLOOKUP($B327,'Egen hetvattenprod'!$B$1:$BX$550,MATCH(BB$2,'Egen hetvattenprod'!$B$1:$BX$1,0),FALSE)+VLOOKUP($B327,Kraftvärmeprod!$B$1:$BX$550,MATCH(BB$2,Kraftvärmeprod!$B$1:$BX$1,0),FALSE))/$AC327,"")</f>
        <v/>
      </c>
      <c r="BC327" s="77" t="str">
        <f>IF($AY327="ja",(VLOOKUP($B327,'Egen hetvattenprod'!$B$1:$BX$550,MATCH(BC$2,'Egen hetvattenprod'!$B$1:$BX$1,0),FALSE)+VLOOKUP($B327,Kraftvärmeprod!$B$1:$BX$550,MATCH(BC$2,Kraftvärmeprod!$B$1:$BX$1,0),FALSE))/$AC327,"")</f>
        <v/>
      </c>
      <c r="BD327" s="77" t="str">
        <f>IF($AY327="ja",(VLOOKUP($B327,'Egen hetvattenprod'!$B$1:$BX$550,MATCH(BD$2,'Egen hetvattenprod'!$B$1:$BX$1,0),FALSE)+VLOOKUP($B327,Kraftvärmeprod!$B$1:$BX$550,MATCH(BD$2,Kraftvärmeprod!$B$1:$BX$1,0),FALSE))/$AC327,"")</f>
        <v/>
      </c>
      <c r="BF327" s="63" t="str">
        <f t="shared" si="35"/>
        <v>Nej</v>
      </c>
      <c r="BG327" s="63" t="str">
        <f>IF($BF327="ja",VLOOKUP($B327,'Egen hetvattenprod'!$B$1:$BX$550,MATCH("Andelen klimatgaser med fossilt ursprung för avfall ()",'Egen hetvattenprod'!$B$1:$BX$1,0),FALSE),"")</f>
        <v/>
      </c>
      <c r="BH327" s="63" t="str">
        <f>IF($BF327="ja",VLOOKUP($B327,Kraftvärmeprod!$B$1:$BX$550,MATCH("Andelen klimatgaser med fossilt ursprung för avfall ()",Kraftvärmeprod!$B$1:$BX$1,0),FALSE),"")</f>
        <v/>
      </c>
      <c r="BI327" s="63" t="str">
        <f>IF($BF327="ja",VLOOKUP($B327,'Egen hetvattenprod'!$B$1:$BX$550,MATCH("Avfall (GWh)",'Egen hetvattenprod'!$B$1:$BX$1,0),FALSE),"")</f>
        <v/>
      </c>
      <c r="BJ327" s="63" t="str">
        <f>IF($BF327="ja",VLOOKUP($B327,'Slutlig allokering kvv'!$B$1:$BX$550,MATCH("Avfall (GWh)",'Slutlig allokering kvv'!$B$1:$BX$1,0),FALSE),"")</f>
        <v/>
      </c>
      <c r="BK327" s="63" t="str">
        <f>IF($BF327="ja",VLOOKUP($B327,'Köpt hetvatten'!$B$1:$BX$550,MATCH("Avfall i köpt hetvatten",'Köpt hetvatten'!$B$1:$BX$1,0),FALSE),"")</f>
        <v/>
      </c>
      <c r="BL327" s="63" t="str">
        <f>IF($BF327="ja",VLOOKUP($B327,'Egen hetvattenprod'!$B$1:$BX$550,MATCH("Värde enligt ovan. (%)",'Egen hetvattenprod'!$B$1:$BX$1,0),FALSE),"")</f>
        <v/>
      </c>
      <c r="BM327" s="63" t="str">
        <f>IF($BF327="ja",VLOOKUP($B327,Kraftvärmeprod!$B$1:$BX$550,MATCH("Värde enligt ovan. (%)",Kraftvärmeprod!$B$1:$BX$1,0),FALSE),"")</f>
        <v/>
      </c>
    </row>
    <row r="328" spans="1:65" x14ac:dyDescent="0.45">
      <c r="A328" s="63" t="s">
        <v>249</v>
      </c>
      <c r="B328" s="63" t="s">
        <v>250</v>
      </c>
      <c r="C328" s="63">
        <f>VLOOKUP($B328,'Tillförd energi'!$B$1:$AI$720,MATCH(C$2,'Tillförd energi'!$B$1:$AQ$1,0),FALSE)</f>
        <v>0</v>
      </c>
      <c r="D328" s="63">
        <f>VLOOKUP($B328,'Tillförd energi'!$B$1:$AI$720,MATCH(D$2,'Tillförd energi'!$B$1:$AQ$1,0),FALSE)</f>
        <v>0</v>
      </c>
      <c r="E328" s="63">
        <f>VLOOKUP($B328,'Tillförd energi'!$B$1:$AI$720,MATCH(E$2,'Tillförd energi'!$B$1:$AQ$1,0),FALSE)</f>
        <v>0</v>
      </c>
      <c r="F328" s="63">
        <f>VLOOKUP($B328,'Tillförd energi'!$B$1:$AI$720,MATCH(F$2,'Tillförd energi'!$B$1:$AQ$1,0),FALSE)</f>
        <v>0</v>
      </c>
      <c r="G328" s="63">
        <f>VLOOKUP($B328,'Tillförd energi'!$B$1:$AI$720,MATCH(G$2,'Tillförd energi'!$B$1:$AQ$1,0),FALSE)</f>
        <v>0</v>
      </c>
      <c r="H328" s="63">
        <f>VLOOKUP($B328,'Tillförd energi'!$B$1:$AI$720,MATCH(H$2,'Tillförd energi'!$B$1:$AQ$1,0),FALSE)</f>
        <v>0</v>
      </c>
      <c r="I328" s="63">
        <f>VLOOKUP($B328,'Tillförd energi'!$B$1:$AI$720,MATCH(I$2,'Tillförd energi'!$B$1:$AQ$1,0),FALSE)</f>
        <v>0</v>
      </c>
      <c r="J328" s="63">
        <f>VLOOKUP($B328,'Tillförd energi'!$B$1:$AI$720,MATCH(J$2,'Tillförd energi'!$B$1:$AQ$1,0),FALSE)</f>
        <v>7.5869999999999997</v>
      </c>
      <c r="K328" s="63">
        <f>VLOOKUP($B328,'Tillförd energi'!$B$1:$AI$720,MATCH(K$2,'Tillförd energi'!$B$1:$AQ$1,0),FALSE)</f>
        <v>0</v>
      </c>
      <c r="L328" s="63">
        <f>VLOOKUP($B328,'Tillförd energi'!$B$1:$AI$720,MATCH(L$2,'Tillförd energi'!$B$1:$AQ$1,0),FALSE)</f>
        <v>0</v>
      </c>
      <c r="M328" s="63">
        <f>VLOOKUP($B328,'Tillförd energi'!$B$1:$AI$720,MATCH(M$2,'Tillförd energi'!$B$1:$AQ$1,0),FALSE)</f>
        <v>17.948</v>
      </c>
      <c r="N328" s="63">
        <f>VLOOKUP($B328,'Tillförd energi'!$B$1:$AI$720,MATCH(N$2,'Tillförd energi'!$B$1:$AQ$1,0),FALSE)</f>
        <v>0</v>
      </c>
      <c r="O328" s="63">
        <f>VLOOKUP($B328,'Tillförd energi'!$B$1:$AI$720,MATCH(O$2,'Tillförd energi'!$B$1:$AQ$1,0),FALSE)</f>
        <v>0</v>
      </c>
      <c r="P328" s="63">
        <f>VLOOKUP($B328,'Tillförd energi'!$B$1:$AI$720,MATCH(P$2,'Tillförd energi'!$B$1:$AQ$1,0),FALSE)</f>
        <v>16.414000000000001</v>
      </c>
      <c r="Q328" s="63">
        <f>VLOOKUP($B328,'Tillförd energi'!$B$1:$AI$720,MATCH(Q$2,'Tillförd energi'!$B$1:$AQ$1,0),FALSE)</f>
        <v>0</v>
      </c>
      <c r="R328" s="63">
        <f>VLOOKUP($B328,'Tillförd energi'!$B$1:$AI$720,MATCH(R$2,'Tillförd energi'!$B$1:$AQ$1,0),FALSE)</f>
        <v>0</v>
      </c>
      <c r="S328" s="63">
        <f>VLOOKUP($B328,'Tillförd energi'!$B$1:$AI$720,MATCH(S$2,'Tillförd energi'!$B$1:$AQ$1,0),FALSE)</f>
        <v>0</v>
      </c>
      <c r="T328" s="63">
        <f>VLOOKUP($B328,'Tillförd energi'!$B$1:$AI$720,MATCH(T$2,'Tillförd energi'!$B$1:$AQ$1,0),FALSE)</f>
        <v>0</v>
      </c>
      <c r="U328" s="63">
        <f>VLOOKUP($B328,'Tillförd energi'!$B$1:$AI$720,MATCH(U$2,'Tillförd energi'!$B$1:$AQ$1,0),FALSE)</f>
        <v>0</v>
      </c>
      <c r="V328" s="63">
        <f>VLOOKUP($B328,'Tillförd energi'!$B$1:$AI$720,MATCH(V$2,'Tillförd energi'!$B$1:$AQ$1,0),FALSE)</f>
        <v>5.5129400000000004</v>
      </c>
      <c r="W328" s="63">
        <f>VLOOKUP($B328,'Tillförd energi'!$B$1:$AI$720,MATCH(W$2,'Tillförd energi'!$B$1:$AQ$1,0),FALSE)</f>
        <v>0.99299999999999999</v>
      </c>
      <c r="X328" s="63">
        <f>VLOOKUP($B328,'Tillförd energi'!$B$1:$AI$720,MATCH(X$2,'Tillförd energi'!$B$1:$AQ$1,0),FALSE)</f>
        <v>0</v>
      </c>
      <c r="Y328" s="63">
        <f>VLOOKUP($B328,'Tillförd energi'!$B$1:$AI$720,MATCH(Y$2,'Tillförd energi'!$B$1:$AQ$1,0),FALSE)</f>
        <v>0</v>
      </c>
      <c r="Z328" s="63">
        <f>VLOOKUP($B328,'Tillförd energi'!$B$1:$AI$720,MATCH(Z$2,'Tillförd energi'!$B$1:$AQ$1,0),FALSE)</f>
        <v>0</v>
      </c>
      <c r="AA328" s="63">
        <f>VLOOKUP($B328,'Tillförd energi'!$B$1:$AI$720,MATCH(AA$2,'Tillförd energi'!$B$1:$AQ$1,0),FALSE)</f>
        <v>0</v>
      </c>
      <c r="AB328" s="63">
        <f>VLOOKUP($B328,'Tillförd energi'!$B$1:$AI$720,MATCH(AB$2,'Tillförd energi'!$B$1:$AQ$1,0),FALSE)</f>
        <v>0</v>
      </c>
      <c r="AC328" s="63">
        <f>VLOOKUP($B328,'Tillförd energi'!$B$1:$AI$720,MATCH(AC$2,'Tillförd energi'!$B$1:$AQ$1,0),FALSE)</f>
        <v>7.069</v>
      </c>
      <c r="AD328" s="63">
        <f>VLOOKUP($B328,'Tillförd energi'!$B$1:$AI$720,MATCH(AD$2,'Tillförd energi'!$B$1:$AQ$1,0),FALSE)</f>
        <v>132.52500000000001</v>
      </c>
      <c r="AE328" s="63">
        <f>VLOOKUP($B328,'Tillförd energi'!$B$1:$AI$720,MATCH(AE$2,'Tillförd energi'!$B$1:$AQ$1,0),FALSE)</f>
        <v>0</v>
      </c>
      <c r="AF328" s="63">
        <f>VLOOKUP($B328,'Tillförd energi'!$B$1:$AI$720,MATCH(AF$2,'Tillförd energi'!$B$1:$AQ$1,0),FALSE)</f>
        <v>2.1429999999999998</v>
      </c>
      <c r="AG328" s="63">
        <f>IFERROR(VLOOKUP(B328,Miljö!$B$1:$AC$550,MATCH("Köpt mängd produktionsspecifik fjärrvärme:",Miljö!$B$1:$AC$1,0),FALSE)/1,0)</f>
        <v>0</v>
      </c>
      <c r="AI328" s="63">
        <f t="shared" si="30"/>
        <v>190.19194000000002</v>
      </c>
      <c r="AJ328" s="63">
        <f>IF(ISERROR(1/VLOOKUP($B328,Leveranser!$B$1:$S$500,MATCH("såld värme (gwh)",Leveranser!$B$1:$S$1,0),FALSE)),"",VLOOKUP($B328,Leveranser!$B$1:$S$500,MATCH("såld värme (gwh)",Leveranser!$B$1:$S$1,0),FALSE))</f>
        <v>149</v>
      </c>
      <c r="AM328" s="63" t="str">
        <f>IF(B328&lt;&gt;"",IF(VLOOKUP($B328,Totalt!$B$1:$AQ$554,MATCH("Kvalitetsgranskad:",Totalt!$B$1:$AQ$1,0),FALSE)="ja",VLOOKUP($B328,Miljö!$B$1:$AG$479,MATCH(AM$2,Miljö!$B$1:$AK$1,0),FALSE),""),"")</f>
        <v>Ja</v>
      </c>
      <c r="AN328" s="63" t="str">
        <f>IF(AM328="ja",VLOOKUP($B328,Miljö!$B$1:$J$479,MATCH("Typ av ursprungsspecificerad el   (Om inget värde anges används Nordisk residualmix, se inforuta) ()",Miljö!$B$1:$J$1,0),FALSE),IF(AM328="nej","Nordisk residualel",""))</f>
        <v>'Sol 0.3%. Vind 51.1%. Vatten 48.6%'</v>
      </c>
      <c r="AO328" s="63">
        <f>IF(AM328="","",VLOOKUP($B328,Miljö!$B$1:$J$479,MATCH("Fossilandel för ursprungspecificerad el ()",Miljö!$B$1:$J$1,0),FALSE))</f>
        <v>0</v>
      </c>
      <c r="AQ328" s="63">
        <f t="shared" si="31"/>
        <v>1</v>
      </c>
      <c r="AS328" s="63" t="str">
        <f t="shared" si="32"/>
        <v>Nej</v>
      </c>
      <c r="AT328" s="63" t="str">
        <f>IF(AS328="ja",VLOOKUP($B328,Miljö!$B$1:$P$500,MATCH("Fossil andel i procent (%)",Miljö!$B$1:$P$1,0),FALSE)/100,"")</f>
        <v/>
      </c>
      <c r="AV328" s="63" t="str">
        <f t="shared" si="33"/>
        <v>Nej</v>
      </c>
      <c r="AW328" s="63" t="str">
        <f>IF(AV328="ja",VLOOKUP($B328,'Egen hetvattenprod'!$B$1:$AO$500,MATCH("Värmekälla till värmepumpar ()",'Egen hetvattenprod'!$B$1:$AO$1,0),FALSE),"")</f>
        <v/>
      </c>
      <c r="AY328" s="63" t="str">
        <f t="shared" si="34"/>
        <v>Ja</v>
      </c>
      <c r="AZ328" s="77">
        <f>IF($AY328="ja",(VLOOKUP($B328,'Egen hetvattenprod'!$B$1:$BX$550,MATCH(AZ$2,'Egen hetvattenprod'!$B$1:$BX$1,0),FALSE)+VLOOKUP($B328,Kraftvärmeprod!$B$1:$BX$550,MATCH(AZ$2,Kraftvärmeprod!$B$1:$BX$1,0),FALSE))/$AC328,"")</f>
        <v>1</v>
      </c>
      <c r="BA328" s="77">
        <f>IF($AY328="ja",(VLOOKUP($B328,'Egen hetvattenprod'!$B$1:$BX$550,MATCH(BA$2,'Egen hetvattenprod'!$B$1:$BX$1,0),FALSE)+VLOOKUP($B328,Kraftvärmeprod!$B$1:$BX$550,MATCH(BA$2,Kraftvärmeprod!$B$1:$BX$1,0),FALSE))/$AC328,"")</f>
        <v>0</v>
      </c>
      <c r="BB328" s="77">
        <f>IF($AY328="ja",(VLOOKUP($B328,'Egen hetvattenprod'!$B$1:$BX$550,MATCH(BB$2,'Egen hetvattenprod'!$B$1:$BX$1,0),FALSE)+VLOOKUP($B328,Kraftvärmeprod!$B$1:$BX$550,MATCH(BB$2,Kraftvärmeprod!$B$1:$BX$1,0),FALSE))/$AC328,"")</f>
        <v>0</v>
      </c>
      <c r="BC328" s="77">
        <f>IF($AY328="ja",(VLOOKUP($B328,'Egen hetvattenprod'!$B$1:$BX$550,MATCH(BC$2,'Egen hetvattenprod'!$B$1:$BX$1,0),FALSE)+VLOOKUP($B328,Kraftvärmeprod!$B$1:$BX$550,MATCH(BC$2,Kraftvärmeprod!$B$1:$BX$1,0),FALSE))/$AC328,"")</f>
        <v>0</v>
      </c>
      <c r="BD328" s="77">
        <f>IF($AY328="ja",(VLOOKUP($B328,'Egen hetvattenprod'!$B$1:$BX$550,MATCH(BD$2,'Egen hetvattenprod'!$B$1:$BX$1,0),FALSE)+VLOOKUP($B328,Kraftvärmeprod!$B$1:$BX$550,MATCH(BD$2,Kraftvärmeprod!$B$1:$BX$1,0),FALSE))/$AC328,"")</f>
        <v>0</v>
      </c>
      <c r="BF328" s="63" t="str">
        <f t="shared" si="35"/>
        <v>Nej</v>
      </c>
      <c r="BG328" s="63" t="str">
        <f>IF($BF328="ja",VLOOKUP($B328,'Egen hetvattenprod'!$B$1:$BX$550,MATCH("Andelen klimatgaser med fossilt ursprung för avfall ()",'Egen hetvattenprod'!$B$1:$BX$1,0),FALSE),"")</f>
        <v/>
      </c>
      <c r="BH328" s="63" t="str">
        <f>IF($BF328="ja",VLOOKUP($B328,Kraftvärmeprod!$B$1:$BX$550,MATCH("Andelen klimatgaser med fossilt ursprung för avfall ()",Kraftvärmeprod!$B$1:$BX$1,0),FALSE),"")</f>
        <v/>
      </c>
      <c r="BI328" s="63" t="str">
        <f>IF($BF328="ja",VLOOKUP($B328,'Egen hetvattenprod'!$B$1:$BX$550,MATCH("Avfall (GWh)",'Egen hetvattenprod'!$B$1:$BX$1,0),FALSE),"")</f>
        <v/>
      </c>
      <c r="BJ328" s="63" t="str">
        <f>IF($BF328="ja",VLOOKUP($B328,'Slutlig allokering kvv'!$B$1:$BX$550,MATCH("Avfall (GWh)",'Slutlig allokering kvv'!$B$1:$BX$1,0),FALSE),"")</f>
        <v/>
      </c>
      <c r="BK328" s="63" t="str">
        <f>IF($BF328="ja",VLOOKUP($B328,'Köpt hetvatten'!$B$1:$BX$550,MATCH("Avfall i köpt hetvatten",'Köpt hetvatten'!$B$1:$BX$1,0),FALSE),"")</f>
        <v/>
      </c>
      <c r="BL328" s="63" t="str">
        <f>IF($BF328="ja",VLOOKUP($B328,'Egen hetvattenprod'!$B$1:$BX$550,MATCH("Värde enligt ovan. (%)",'Egen hetvattenprod'!$B$1:$BX$1,0),FALSE),"")</f>
        <v/>
      </c>
      <c r="BM328" s="63" t="str">
        <f>IF($BF328="ja",VLOOKUP($B328,Kraftvärmeprod!$B$1:$BX$550,MATCH("Värde enligt ovan. (%)",Kraftvärmeprod!$B$1:$BX$1,0),FALSE),"")</f>
        <v/>
      </c>
    </row>
    <row r="329" spans="1:65" x14ac:dyDescent="0.45">
      <c r="A329" s="63" t="s">
        <v>249</v>
      </c>
      <c r="B329" s="63" t="s">
        <v>248</v>
      </c>
      <c r="C329" s="63">
        <f>VLOOKUP($B329,'Tillförd energi'!$B$1:$AI$720,MATCH(C$2,'Tillförd energi'!$B$1:$AQ$1,0),FALSE)</f>
        <v>0</v>
      </c>
      <c r="D329" s="63">
        <f>VLOOKUP($B329,'Tillförd energi'!$B$1:$AI$720,MATCH(D$2,'Tillförd energi'!$B$1:$AQ$1,0),FALSE)</f>
        <v>0.184</v>
      </c>
      <c r="E329" s="63">
        <f>VLOOKUP($B329,'Tillförd energi'!$B$1:$AI$720,MATCH(E$2,'Tillförd energi'!$B$1:$AQ$1,0),FALSE)</f>
        <v>0</v>
      </c>
      <c r="F329" s="63">
        <f>VLOOKUP($B329,'Tillförd energi'!$B$1:$AI$720,MATCH(F$2,'Tillförd energi'!$B$1:$AQ$1,0),FALSE)</f>
        <v>0</v>
      </c>
      <c r="G329" s="63">
        <f>VLOOKUP($B329,'Tillförd energi'!$B$1:$AI$720,MATCH(G$2,'Tillförd energi'!$B$1:$AQ$1,0),FALSE)</f>
        <v>0</v>
      </c>
      <c r="H329" s="63">
        <f>VLOOKUP($B329,'Tillförd energi'!$B$1:$AI$720,MATCH(H$2,'Tillförd energi'!$B$1:$AQ$1,0),FALSE)</f>
        <v>0</v>
      </c>
      <c r="I329" s="63">
        <f>VLOOKUP($B329,'Tillförd energi'!$B$1:$AI$720,MATCH(I$2,'Tillförd energi'!$B$1:$AQ$1,0),FALSE)</f>
        <v>0</v>
      </c>
      <c r="J329" s="63">
        <f>VLOOKUP($B329,'Tillförd energi'!$B$1:$AI$720,MATCH(J$2,'Tillförd energi'!$B$1:$AQ$1,0),FALSE)</f>
        <v>0</v>
      </c>
      <c r="K329" s="63">
        <f>VLOOKUP($B329,'Tillförd energi'!$B$1:$AI$720,MATCH(K$2,'Tillförd energi'!$B$1:$AQ$1,0),FALSE)</f>
        <v>0</v>
      </c>
      <c r="L329" s="63">
        <f>VLOOKUP($B329,'Tillförd energi'!$B$1:$AI$720,MATCH(L$2,'Tillförd energi'!$B$1:$AQ$1,0),FALSE)</f>
        <v>0</v>
      </c>
      <c r="M329" s="63">
        <f>VLOOKUP($B329,'Tillförd energi'!$B$1:$AI$720,MATCH(M$2,'Tillförd energi'!$B$1:$AQ$1,0),FALSE)</f>
        <v>0</v>
      </c>
      <c r="N329" s="63">
        <f>VLOOKUP($B329,'Tillförd energi'!$B$1:$AI$720,MATCH(N$2,'Tillförd energi'!$B$1:$AQ$1,0),FALSE)</f>
        <v>0</v>
      </c>
      <c r="O329" s="63">
        <f>VLOOKUP($B329,'Tillförd energi'!$B$1:$AI$720,MATCH(O$2,'Tillförd energi'!$B$1:$AQ$1,0),FALSE)</f>
        <v>0</v>
      </c>
      <c r="P329" s="63">
        <f>VLOOKUP($B329,'Tillförd energi'!$B$1:$AI$720,MATCH(P$2,'Tillförd energi'!$B$1:$AQ$1,0),FALSE)</f>
        <v>0</v>
      </c>
      <c r="Q329" s="63">
        <f>VLOOKUP($B329,'Tillförd energi'!$B$1:$AI$720,MATCH(Q$2,'Tillförd energi'!$B$1:$AQ$1,0),FALSE)</f>
        <v>0</v>
      </c>
      <c r="R329" s="63">
        <f>VLOOKUP($B329,'Tillförd energi'!$B$1:$AI$720,MATCH(R$2,'Tillförd energi'!$B$1:$AQ$1,0),FALSE)</f>
        <v>0</v>
      </c>
      <c r="S329" s="63">
        <f>VLOOKUP($B329,'Tillförd energi'!$B$1:$AI$720,MATCH(S$2,'Tillförd energi'!$B$1:$AQ$1,0),FALSE)</f>
        <v>4.4980000000000002</v>
      </c>
      <c r="T329" s="63">
        <f>VLOOKUP($B329,'Tillförd energi'!$B$1:$AI$720,MATCH(T$2,'Tillförd energi'!$B$1:$AQ$1,0),FALSE)</f>
        <v>0</v>
      </c>
      <c r="U329" s="63">
        <f>VLOOKUP($B329,'Tillförd energi'!$B$1:$AI$720,MATCH(U$2,'Tillförd energi'!$B$1:$AQ$1,0),FALSE)</f>
        <v>0</v>
      </c>
      <c r="V329" s="63">
        <f>VLOOKUP($B329,'Tillförd energi'!$B$1:$AI$720,MATCH(V$2,'Tillförd energi'!$B$1:$AQ$1,0),FALSE)</f>
        <v>0</v>
      </c>
      <c r="W329" s="63">
        <f>VLOOKUP($B329,'Tillförd energi'!$B$1:$AI$720,MATCH(W$2,'Tillförd energi'!$B$1:$AQ$1,0),FALSE)</f>
        <v>0.29799999999999999</v>
      </c>
      <c r="X329" s="63">
        <f>VLOOKUP($B329,'Tillförd energi'!$B$1:$AI$720,MATCH(X$2,'Tillförd energi'!$B$1:$AQ$1,0),FALSE)</f>
        <v>0</v>
      </c>
      <c r="Y329" s="63">
        <f>VLOOKUP($B329,'Tillförd energi'!$B$1:$AI$720,MATCH(Y$2,'Tillförd energi'!$B$1:$AQ$1,0),FALSE)</f>
        <v>0</v>
      </c>
      <c r="Z329" s="63">
        <f>VLOOKUP($B329,'Tillförd energi'!$B$1:$AI$720,MATCH(Z$2,'Tillförd energi'!$B$1:$AQ$1,0),FALSE)</f>
        <v>0</v>
      </c>
      <c r="AA329" s="63">
        <f>VLOOKUP($B329,'Tillförd energi'!$B$1:$AI$720,MATCH(AA$2,'Tillförd energi'!$B$1:$AQ$1,0),FALSE)</f>
        <v>0</v>
      </c>
      <c r="AB329" s="63">
        <f>VLOOKUP($B329,'Tillförd energi'!$B$1:$AI$720,MATCH(AB$2,'Tillförd energi'!$B$1:$AQ$1,0),FALSE)</f>
        <v>0</v>
      </c>
      <c r="AC329" s="63">
        <f>VLOOKUP($B329,'Tillförd energi'!$B$1:$AI$720,MATCH(AC$2,'Tillförd energi'!$B$1:$AQ$1,0),FALSE)</f>
        <v>0</v>
      </c>
      <c r="AD329" s="63">
        <f>VLOOKUP($B329,'Tillförd energi'!$B$1:$AI$720,MATCH(AD$2,'Tillförd energi'!$B$1:$AQ$1,0),FALSE)</f>
        <v>0</v>
      </c>
      <c r="AE329" s="63">
        <f>VLOOKUP($B329,'Tillförd energi'!$B$1:$AI$720,MATCH(AE$2,'Tillförd energi'!$B$1:$AQ$1,0),FALSE)</f>
        <v>0</v>
      </c>
      <c r="AF329" s="63">
        <f>VLOOKUP($B329,'Tillförd energi'!$B$1:$AI$720,MATCH(AF$2,'Tillförd energi'!$B$1:$AQ$1,0),FALSE)</f>
        <v>0.11541</v>
      </c>
      <c r="AG329" s="63">
        <f>IFERROR(VLOOKUP(B329,Miljö!$B$1:$AC$550,MATCH("Köpt mängd produktionsspecifik fjärrvärme:",Miljö!$B$1:$AC$1,0),FALSE)/1,0)</f>
        <v>0</v>
      </c>
      <c r="AI329" s="63">
        <f t="shared" si="30"/>
        <v>5.0954100000000002</v>
      </c>
      <c r="AJ329" s="63">
        <f>IF(ISERROR(1/VLOOKUP($B329,Leveranser!$B$1:$S$500,MATCH("såld värme (gwh)",Leveranser!$B$1:$S$1,0),FALSE)),"",VLOOKUP($B329,Leveranser!$B$1:$S$500,MATCH("såld värme (gwh)",Leveranser!$B$1:$S$1,0),FALSE))</f>
        <v>3.847</v>
      </c>
      <c r="AM329" s="63" t="str">
        <f>IF(B329&lt;&gt;"",IF(VLOOKUP($B329,Totalt!$B$1:$AQ$554,MATCH("Kvalitetsgranskad:",Totalt!$B$1:$AQ$1,0),FALSE)="ja",VLOOKUP($B329,Miljö!$B$1:$AG$479,MATCH(AM$2,Miljö!$B$1:$AK$1,0),FALSE),""),"")</f>
        <v>Ja</v>
      </c>
      <c r="AN329" s="63" t="str">
        <f>IF(AM329="ja",VLOOKUP($B329,Miljö!$B$1:$J$479,MATCH("Typ av ursprungsspecificerad el   (Om inget värde anges används Nordisk residualmix, se inforuta) ()",Miljö!$B$1:$J$1,0),FALSE),IF(AM329="nej","Nordisk residualel",""))</f>
        <v>'Sol 0.3%. Vind 51.1%. Vatten 48.6%'</v>
      </c>
      <c r="AO329" s="63">
        <f>IF(AM329="","",VLOOKUP($B329,Miljö!$B$1:$J$479,MATCH("Fossilandel för ursprungspecificerad el ()",Miljö!$B$1:$J$1,0),FALSE))</f>
        <v>0</v>
      </c>
      <c r="AQ329" s="63">
        <f t="shared" si="31"/>
        <v>1</v>
      </c>
      <c r="AS329" s="63" t="str">
        <f t="shared" si="32"/>
        <v>Nej</v>
      </c>
      <c r="AT329" s="63" t="str">
        <f>IF(AS329="ja",VLOOKUP($B329,Miljö!$B$1:$P$500,MATCH("Fossil andel i procent (%)",Miljö!$B$1:$P$1,0),FALSE)/100,"")</f>
        <v/>
      </c>
      <c r="AV329" s="63" t="str">
        <f t="shared" si="33"/>
        <v>Nej</v>
      </c>
      <c r="AW329" s="63" t="str">
        <f>IF(AV329="ja",VLOOKUP($B329,'Egen hetvattenprod'!$B$1:$AO$500,MATCH("Värmekälla till värmepumpar ()",'Egen hetvattenprod'!$B$1:$AO$1,0),FALSE),"")</f>
        <v/>
      </c>
      <c r="AY329" s="63" t="str">
        <f t="shared" si="34"/>
        <v>Nej</v>
      </c>
      <c r="AZ329" s="77" t="str">
        <f>IF($AY329="ja",(VLOOKUP($B329,'Egen hetvattenprod'!$B$1:$BX$550,MATCH(AZ$2,'Egen hetvattenprod'!$B$1:$BX$1,0),FALSE)+VLOOKUP($B329,Kraftvärmeprod!$B$1:$BX$550,MATCH(AZ$2,Kraftvärmeprod!$B$1:$BX$1,0),FALSE))/$AC329,"")</f>
        <v/>
      </c>
      <c r="BA329" s="77" t="str">
        <f>IF($AY329="ja",(VLOOKUP($B329,'Egen hetvattenprod'!$B$1:$BX$550,MATCH(BA$2,'Egen hetvattenprod'!$B$1:$BX$1,0),FALSE)+VLOOKUP($B329,Kraftvärmeprod!$B$1:$BX$550,MATCH(BA$2,Kraftvärmeprod!$B$1:$BX$1,0),FALSE))/$AC329,"")</f>
        <v/>
      </c>
      <c r="BB329" s="77" t="str">
        <f>IF($AY329="ja",(VLOOKUP($B329,'Egen hetvattenprod'!$B$1:$BX$550,MATCH(BB$2,'Egen hetvattenprod'!$B$1:$BX$1,0),FALSE)+VLOOKUP($B329,Kraftvärmeprod!$B$1:$BX$550,MATCH(BB$2,Kraftvärmeprod!$B$1:$BX$1,0),FALSE))/$AC329,"")</f>
        <v/>
      </c>
      <c r="BC329" s="77" t="str">
        <f>IF($AY329="ja",(VLOOKUP($B329,'Egen hetvattenprod'!$B$1:$BX$550,MATCH(BC$2,'Egen hetvattenprod'!$B$1:$BX$1,0),FALSE)+VLOOKUP($B329,Kraftvärmeprod!$B$1:$BX$550,MATCH(BC$2,Kraftvärmeprod!$B$1:$BX$1,0),FALSE))/$AC329,"")</f>
        <v/>
      </c>
      <c r="BD329" s="77" t="str">
        <f>IF($AY329="ja",(VLOOKUP($B329,'Egen hetvattenprod'!$B$1:$BX$550,MATCH(BD$2,'Egen hetvattenprod'!$B$1:$BX$1,0),FALSE)+VLOOKUP($B329,Kraftvärmeprod!$B$1:$BX$550,MATCH(BD$2,Kraftvärmeprod!$B$1:$BX$1,0),FALSE))/$AC329,"")</f>
        <v/>
      </c>
      <c r="BF329" s="63" t="str">
        <f t="shared" si="35"/>
        <v>Nej</v>
      </c>
      <c r="BG329" s="63" t="str">
        <f>IF($BF329="ja",VLOOKUP($B329,'Egen hetvattenprod'!$B$1:$BX$550,MATCH("Andelen klimatgaser med fossilt ursprung för avfall ()",'Egen hetvattenprod'!$B$1:$BX$1,0),FALSE),"")</f>
        <v/>
      </c>
      <c r="BH329" s="63" t="str">
        <f>IF($BF329="ja",VLOOKUP($B329,Kraftvärmeprod!$B$1:$BX$550,MATCH("Andelen klimatgaser med fossilt ursprung för avfall ()",Kraftvärmeprod!$B$1:$BX$1,0),FALSE),"")</f>
        <v/>
      </c>
      <c r="BI329" s="63" t="str">
        <f>IF($BF329="ja",VLOOKUP($B329,'Egen hetvattenprod'!$B$1:$BX$550,MATCH("Avfall (GWh)",'Egen hetvattenprod'!$B$1:$BX$1,0),FALSE),"")</f>
        <v/>
      </c>
      <c r="BJ329" s="63" t="str">
        <f>IF($BF329="ja",VLOOKUP($B329,'Slutlig allokering kvv'!$B$1:$BX$550,MATCH("Avfall (GWh)",'Slutlig allokering kvv'!$B$1:$BX$1,0),FALSE),"")</f>
        <v/>
      </c>
      <c r="BK329" s="63" t="str">
        <f>IF($BF329="ja",VLOOKUP($B329,'Köpt hetvatten'!$B$1:$BX$550,MATCH("Avfall i köpt hetvatten",'Köpt hetvatten'!$B$1:$BX$1,0),FALSE),"")</f>
        <v/>
      </c>
      <c r="BL329" s="63" t="str">
        <f>IF($BF329="ja",VLOOKUP($B329,'Egen hetvattenprod'!$B$1:$BX$550,MATCH("Värde enligt ovan. (%)",'Egen hetvattenprod'!$B$1:$BX$1,0),FALSE),"")</f>
        <v/>
      </c>
      <c r="BM329" s="63" t="str">
        <f>IF($BF329="ja",VLOOKUP($B329,Kraftvärmeprod!$B$1:$BX$550,MATCH("Värde enligt ovan. (%)",Kraftvärmeprod!$B$1:$BX$1,0),FALSE),"")</f>
        <v/>
      </c>
    </row>
    <row r="330" spans="1:65" x14ac:dyDescent="0.45">
      <c r="A330" s="63" t="s">
        <v>243</v>
      </c>
      <c r="B330" s="63" t="s">
        <v>244</v>
      </c>
      <c r="C330" s="63">
        <f>VLOOKUP($B330,'Tillförd energi'!$B$1:$AI$720,MATCH(C$2,'Tillförd energi'!$B$1:$AQ$1,0),FALSE)</f>
        <v>0</v>
      </c>
      <c r="D330" s="63">
        <f>VLOOKUP($B330,'Tillförd energi'!$B$1:$AI$720,MATCH(D$2,'Tillförd energi'!$B$1:$AQ$1,0),FALSE)</f>
        <v>2.4E-2</v>
      </c>
      <c r="E330" s="63">
        <f>VLOOKUP($B330,'Tillförd energi'!$B$1:$AI$720,MATCH(E$2,'Tillförd energi'!$B$1:$AQ$1,0),FALSE)</f>
        <v>0</v>
      </c>
      <c r="F330" s="63">
        <f>VLOOKUP($B330,'Tillförd energi'!$B$1:$AI$720,MATCH(F$2,'Tillförd energi'!$B$1:$AQ$1,0),FALSE)</f>
        <v>0</v>
      </c>
      <c r="G330" s="63">
        <f>VLOOKUP($B330,'Tillförd energi'!$B$1:$AI$720,MATCH(G$2,'Tillförd energi'!$B$1:$AQ$1,0),FALSE)</f>
        <v>0</v>
      </c>
      <c r="H330" s="63">
        <f>VLOOKUP($B330,'Tillförd energi'!$B$1:$AI$720,MATCH(H$2,'Tillförd energi'!$B$1:$AQ$1,0),FALSE)</f>
        <v>0</v>
      </c>
      <c r="I330" s="63">
        <f>VLOOKUP($B330,'Tillförd energi'!$B$1:$AI$720,MATCH(I$2,'Tillförd energi'!$B$1:$AQ$1,0),FALSE)</f>
        <v>0</v>
      </c>
      <c r="J330" s="63">
        <f>VLOOKUP($B330,'Tillförd energi'!$B$1:$AI$720,MATCH(J$2,'Tillförd energi'!$B$1:$AQ$1,0),FALSE)</f>
        <v>0</v>
      </c>
      <c r="K330" s="63">
        <f>VLOOKUP($B330,'Tillförd energi'!$B$1:$AI$720,MATCH(K$2,'Tillförd energi'!$B$1:$AQ$1,0),FALSE)</f>
        <v>0</v>
      </c>
      <c r="L330" s="63">
        <f>VLOOKUP($B330,'Tillförd energi'!$B$1:$AI$720,MATCH(L$2,'Tillförd energi'!$B$1:$AQ$1,0),FALSE)</f>
        <v>0</v>
      </c>
      <c r="M330" s="63">
        <f>VLOOKUP($B330,'Tillförd energi'!$B$1:$AI$720,MATCH(M$2,'Tillförd energi'!$B$1:$AQ$1,0),FALSE)</f>
        <v>0</v>
      </c>
      <c r="N330" s="63">
        <f>VLOOKUP($B330,'Tillförd energi'!$B$1:$AI$720,MATCH(N$2,'Tillförd energi'!$B$1:$AQ$1,0),FALSE)</f>
        <v>0</v>
      </c>
      <c r="O330" s="63">
        <f>VLOOKUP($B330,'Tillförd energi'!$B$1:$AI$720,MATCH(O$2,'Tillförd energi'!$B$1:$AQ$1,0),FALSE)</f>
        <v>0</v>
      </c>
      <c r="P330" s="63">
        <f>VLOOKUP($B330,'Tillförd energi'!$B$1:$AI$720,MATCH(P$2,'Tillförd energi'!$B$1:$AQ$1,0),FALSE)</f>
        <v>0</v>
      </c>
      <c r="Q330" s="63">
        <f>VLOOKUP($B330,'Tillförd energi'!$B$1:$AI$720,MATCH(Q$2,'Tillförd energi'!$B$1:$AQ$1,0),FALSE)</f>
        <v>0</v>
      </c>
      <c r="R330" s="63">
        <f>VLOOKUP($B330,'Tillförd energi'!$B$1:$AI$720,MATCH(R$2,'Tillförd energi'!$B$1:$AQ$1,0),FALSE)</f>
        <v>2.762</v>
      </c>
      <c r="S330" s="63">
        <f>VLOOKUP($B330,'Tillförd energi'!$B$1:$AI$720,MATCH(S$2,'Tillförd energi'!$B$1:$AQ$1,0),FALSE)</f>
        <v>0</v>
      </c>
      <c r="T330" s="63">
        <f>VLOOKUP($B330,'Tillförd energi'!$B$1:$AI$720,MATCH(T$2,'Tillförd energi'!$B$1:$AQ$1,0),FALSE)</f>
        <v>0</v>
      </c>
      <c r="U330" s="63">
        <f>VLOOKUP($B330,'Tillförd energi'!$B$1:$AI$720,MATCH(U$2,'Tillförd energi'!$B$1:$AQ$1,0),FALSE)</f>
        <v>0</v>
      </c>
      <c r="V330" s="63">
        <f>VLOOKUP($B330,'Tillförd energi'!$B$1:$AI$720,MATCH(V$2,'Tillförd energi'!$B$1:$AQ$1,0),FALSE)</f>
        <v>0</v>
      </c>
      <c r="W330" s="63">
        <f>VLOOKUP($B330,'Tillförd energi'!$B$1:$AI$720,MATCH(W$2,'Tillförd energi'!$B$1:$AQ$1,0),FALSE)</f>
        <v>0</v>
      </c>
      <c r="X330" s="63">
        <f>VLOOKUP($B330,'Tillförd energi'!$B$1:$AI$720,MATCH(X$2,'Tillförd energi'!$B$1:$AQ$1,0),FALSE)</f>
        <v>0</v>
      </c>
      <c r="Y330" s="63">
        <f>VLOOKUP($B330,'Tillförd energi'!$B$1:$AI$720,MATCH(Y$2,'Tillförd energi'!$B$1:$AQ$1,0),FALSE)</f>
        <v>0</v>
      </c>
      <c r="Z330" s="63">
        <f>VLOOKUP($B330,'Tillförd energi'!$B$1:$AI$720,MATCH(Z$2,'Tillförd energi'!$B$1:$AQ$1,0),FALSE)</f>
        <v>0</v>
      </c>
      <c r="AA330" s="63">
        <f>VLOOKUP($B330,'Tillförd energi'!$B$1:$AI$720,MATCH(AA$2,'Tillförd energi'!$B$1:$AQ$1,0),FALSE)</f>
        <v>0</v>
      </c>
      <c r="AB330" s="63">
        <f>VLOOKUP($B330,'Tillförd energi'!$B$1:$AI$720,MATCH(AB$2,'Tillförd energi'!$B$1:$AQ$1,0),FALSE)</f>
        <v>0</v>
      </c>
      <c r="AC330" s="63">
        <f>VLOOKUP($B330,'Tillförd energi'!$B$1:$AI$720,MATCH(AC$2,'Tillförd energi'!$B$1:$AQ$1,0),FALSE)</f>
        <v>0</v>
      </c>
      <c r="AD330" s="63">
        <f>VLOOKUP($B330,'Tillförd energi'!$B$1:$AI$720,MATCH(AD$2,'Tillförd energi'!$B$1:$AQ$1,0),FALSE)</f>
        <v>0</v>
      </c>
      <c r="AE330" s="63">
        <f>VLOOKUP($B330,'Tillförd energi'!$B$1:$AI$720,MATCH(AE$2,'Tillförd energi'!$B$1:$AQ$1,0),FALSE)</f>
        <v>0</v>
      </c>
      <c r="AF330" s="63">
        <f>VLOOKUP($B330,'Tillförd energi'!$B$1:$AI$720,MATCH(AF$2,'Tillförd energi'!$B$1:$AQ$1,0),FALSE)</f>
        <v>4.5999999999999999E-2</v>
      </c>
      <c r="AG330" s="63">
        <f>IFERROR(VLOOKUP(B330,Miljö!$B$1:$AC$550,MATCH("Köpt mängd produktionsspecifik fjärrvärme:",Miljö!$B$1:$AC$1,0),FALSE)/1,0)</f>
        <v>0</v>
      </c>
      <c r="AI330" s="63">
        <f t="shared" si="30"/>
        <v>2.8319999999999999</v>
      </c>
      <c r="AJ330" s="63">
        <f>IF(ISERROR(1/VLOOKUP($B330,Leveranser!$B$1:$S$500,MATCH("såld värme (gwh)",Leveranser!$B$1:$S$1,0),FALSE)),"",VLOOKUP($B330,Leveranser!$B$1:$S$500,MATCH("såld värme (gwh)",Leveranser!$B$1:$S$1,0),FALSE))</f>
        <v>2.4460000000000002</v>
      </c>
      <c r="AM330" s="63" t="str">
        <f>IF(B330&lt;&gt;"",IF(VLOOKUP($B330,Totalt!$B$1:$AQ$554,MATCH("Kvalitetsgranskad:",Totalt!$B$1:$AQ$1,0),FALSE)="ja",VLOOKUP($B330,Miljö!$B$1:$AG$479,MATCH(AM$2,Miljö!$B$1:$AK$1,0),FALSE),""),"")</f>
        <v>Ja</v>
      </c>
      <c r="AN330" s="63" t="str">
        <f>IF(AM330="ja",VLOOKUP($B330,Miljö!$B$1:$J$479,MATCH("Typ av ursprungsspecificerad el   (Om inget värde anges används Nordisk residualmix, se inforuta) ()",Miljö!$B$1:$J$1,0),FALSE),IF(AM330="nej","Nordisk residualel",""))</f>
        <v>-</v>
      </c>
      <c r="AO330" s="63">
        <f>IF(AM330="","",VLOOKUP($B330,Miljö!$B$1:$J$479,MATCH("Fossilandel för ursprungspecificerad el ()",Miljö!$B$1:$J$1,0),FALSE))</f>
        <v>0.35</v>
      </c>
      <c r="AQ330" s="63">
        <f t="shared" si="31"/>
        <v>0.65</v>
      </c>
      <c r="AS330" s="63" t="str">
        <f t="shared" si="32"/>
        <v>Nej</v>
      </c>
      <c r="AT330" s="63" t="str">
        <f>IF(AS330="ja",VLOOKUP($B330,Miljö!$B$1:$P$500,MATCH("Fossil andel i procent (%)",Miljö!$B$1:$P$1,0),FALSE)/100,"")</f>
        <v/>
      </c>
      <c r="AV330" s="63" t="str">
        <f t="shared" si="33"/>
        <v>Nej</v>
      </c>
      <c r="AW330" s="63" t="str">
        <f>IF(AV330="ja",VLOOKUP($B330,'Egen hetvattenprod'!$B$1:$AO$500,MATCH("Värmekälla till värmepumpar ()",'Egen hetvattenprod'!$B$1:$AO$1,0),FALSE),"")</f>
        <v/>
      </c>
      <c r="AY330" s="63" t="str">
        <f t="shared" si="34"/>
        <v>Nej</v>
      </c>
      <c r="AZ330" s="77" t="str">
        <f>IF($AY330="ja",(VLOOKUP($B330,'Egen hetvattenprod'!$B$1:$BX$550,MATCH(AZ$2,'Egen hetvattenprod'!$B$1:$BX$1,0),FALSE)+VLOOKUP($B330,Kraftvärmeprod!$B$1:$BX$550,MATCH(AZ$2,Kraftvärmeprod!$B$1:$BX$1,0),FALSE))/$AC330,"")</f>
        <v/>
      </c>
      <c r="BA330" s="77" t="str">
        <f>IF($AY330="ja",(VLOOKUP($B330,'Egen hetvattenprod'!$B$1:$BX$550,MATCH(BA$2,'Egen hetvattenprod'!$B$1:$BX$1,0),FALSE)+VLOOKUP($B330,Kraftvärmeprod!$B$1:$BX$550,MATCH(BA$2,Kraftvärmeprod!$B$1:$BX$1,0),FALSE))/$AC330,"")</f>
        <v/>
      </c>
      <c r="BB330" s="77" t="str">
        <f>IF($AY330="ja",(VLOOKUP($B330,'Egen hetvattenprod'!$B$1:$BX$550,MATCH(BB$2,'Egen hetvattenprod'!$B$1:$BX$1,0),FALSE)+VLOOKUP($B330,Kraftvärmeprod!$B$1:$BX$550,MATCH(BB$2,Kraftvärmeprod!$B$1:$BX$1,0),FALSE))/$AC330,"")</f>
        <v/>
      </c>
      <c r="BC330" s="77" t="str">
        <f>IF($AY330="ja",(VLOOKUP($B330,'Egen hetvattenprod'!$B$1:$BX$550,MATCH(BC$2,'Egen hetvattenprod'!$B$1:$BX$1,0),FALSE)+VLOOKUP($B330,Kraftvärmeprod!$B$1:$BX$550,MATCH(BC$2,Kraftvärmeprod!$B$1:$BX$1,0),FALSE))/$AC330,"")</f>
        <v/>
      </c>
      <c r="BD330" s="77" t="str">
        <f>IF($AY330="ja",(VLOOKUP($B330,'Egen hetvattenprod'!$B$1:$BX$550,MATCH(BD$2,'Egen hetvattenprod'!$B$1:$BX$1,0),FALSE)+VLOOKUP($B330,Kraftvärmeprod!$B$1:$BX$550,MATCH(BD$2,Kraftvärmeprod!$B$1:$BX$1,0),FALSE))/$AC330,"")</f>
        <v/>
      </c>
      <c r="BF330" s="63" t="str">
        <f t="shared" si="35"/>
        <v>Nej</v>
      </c>
      <c r="BG330" s="63" t="str">
        <f>IF($BF330="ja",VLOOKUP($B330,'Egen hetvattenprod'!$B$1:$BX$550,MATCH("Andelen klimatgaser med fossilt ursprung för avfall ()",'Egen hetvattenprod'!$B$1:$BX$1,0),FALSE),"")</f>
        <v/>
      </c>
      <c r="BH330" s="63" t="str">
        <f>IF($BF330="ja",VLOOKUP($B330,Kraftvärmeprod!$B$1:$BX$550,MATCH("Andelen klimatgaser med fossilt ursprung för avfall ()",Kraftvärmeprod!$B$1:$BX$1,0),FALSE),"")</f>
        <v/>
      </c>
      <c r="BI330" s="63" t="str">
        <f>IF($BF330="ja",VLOOKUP($B330,'Egen hetvattenprod'!$B$1:$BX$550,MATCH("Avfall (GWh)",'Egen hetvattenprod'!$B$1:$BX$1,0),FALSE),"")</f>
        <v/>
      </c>
      <c r="BJ330" s="63" t="str">
        <f>IF($BF330="ja",VLOOKUP($B330,'Slutlig allokering kvv'!$B$1:$BX$550,MATCH("Avfall (GWh)",'Slutlig allokering kvv'!$B$1:$BX$1,0),FALSE),"")</f>
        <v/>
      </c>
      <c r="BK330" s="63" t="str">
        <f>IF($BF330="ja",VLOOKUP($B330,'Köpt hetvatten'!$B$1:$BX$550,MATCH("Avfall i köpt hetvatten",'Köpt hetvatten'!$B$1:$BX$1,0),FALSE),"")</f>
        <v/>
      </c>
      <c r="BL330" s="63" t="str">
        <f>IF($BF330="ja",VLOOKUP($B330,'Egen hetvattenprod'!$B$1:$BX$550,MATCH("Värde enligt ovan. (%)",'Egen hetvattenprod'!$B$1:$BX$1,0),FALSE),"")</f>
        <v/>
      </c>
      <c r="BM330" s="63" t="str">
        <f>IF($BF330="ja",VLOOKUP($B330,Kraftvärmeprod!$B$1:$BX$550,MATCH("Värde enligt ovan. (%)",Kraftvärmeprod!$B$1:$BX$1,0),FALSE),"")</f>
        <v/>
      </c>
    </row>
    <row r="331" spans="1:65" x14ac:dyDescent="0.45">
      <c r="A331" s="63" t="s">
        <v>243</v>
      </c>
      <c r="B331" s="63" t="s">
        <v>133</v>
      </c>
      <c r="C331" s="63">
        <f>VLOOKUP($B331,'Tillförd energi'!$B$1:$AI$720,MATCH(C$2,'Tillförd energi'!$B$1:$AQ$1,0),FALSE)</f>
        <v>0</v>
      </c>
      <c r="D331" s="63">
        <f>VLOOKUP($B331,'Tillförd energi'!$B$1:$AI$720,MATCH(D$2,'Tillförd energi'!$B$1:$AQ$1,0),FALSE)</f>
        <v>6.5000000000000002E-2</v>
      </c>
      <c r="E331" s="63">
        <f>VLOOKUP($B331,'Tillförd energi'!$B$1:$AI$720,MATCH(E$2,'Tillförd energi'!$B$1:$AQ$1,0),FALSE)</f>
        <v>0</v>
      </c>
      <c r="F331" s="63">
        <f>VLOOKUP($B331,'Tillförd energi'!$B$1:$AI$720,MATCH(F$2,'Tillförd energi'!$B$1:$AQ$1,0),FALSE)</f>
        <v>0</v>
      </c>
      <c r="G331" s="63">
        <f>VLOOKUP($B331,'Tillförd energi'!$B$1:$AI$720,MATCH(G$2,'Tillförd energi'!$B$1:$AQ$1,0),FALSE)</f>
        <v>0</v>
      </c>
      <c r="H331" s="63">
        <f>VLOOKUP($B331,'Tillförd energi'!$B$1:$AI$720,MATCH(H$2,'Tillförd energi'!$B$1:$AQ$1,0),FALSE)</f>
        <v>0</v>
      </c>
      <c r="I331" s="63">
        <f>VLOOKUP($B331,'Tillförd energi'!$B$1:$AI$720,MATCH(I$2,'Tillförd energi'!$B$1:$AQ$1,0),FALSE)</f>
        <v>0</v>
      </c>
      <c r="J331" s="63">
        <f>VLOOKUP($B331,'Tillförd energi'!$B$1:$AI$720,MATCH(J$2,'Tillförd energi'!$B$1:$AQ$1,0),FALSE)</f>
        <v>0</v>
      </c>
      <c r="K331" s="63">
        <f>VLOOKUP($B331,'Tillförd energi'!$B$1:$AI$720,MATCH(K$2,'Tillförd energi'!$B$1:$AQ$1,0),FALSE)</f>
        <v>0</v>
      </c>
      <c r="L331" s="63">
        <f>VLOOKUP($B331,'Tillförd energi'!$B$1:$AI$720,MATCH(L$2,'Tillförd energi'!$B$1:$AQ$1,0),FALSE)</f>
        <v>0</v>
      </c>
      <c r="M331" s="63">
        <f>VLOOKUP($B331,'Tillförd energi'!$B$1:$AI$720,MATCH(M$2,'Tillförd energi'!$B$1:$AQ$1,0),FALSE)</f>
        <v>0</v>
      </c>
      <c r="N331" s="63">
        <f>VLOOKUP($B331,'Tillförd energi'!$B$1:$AI$720,MATCH(N$2,'Tillförd energi'!$B$1:$AQ$1,0),FALSE)</f>
        <v>0</v>
      </c>
      <c r="O331" s="63">
        <f>VLOOKUP($B331,'Tillförd energi'!$B$1:$AI$720,MATCH(O$2,'Tillförd energi'!$B$1:$AQ$1,0),FALSE)</f>
        <v>0</v>
      </c>
      <c r="P331" s="63">
        <f>VLOOKUP($B331,'Tillförd energi'!$B$1:$AI$720,MATCH(P$2,'Tillförd energi'!$B$1:$AQ$1,0),FALSE)</f>
        <v>19.327999999999999</v>
      </c>
      <c r="Q331" s="63">
        <f>VLOOKUP($B331,'Tillförd energi'!$B$1:$AI$720,MATCH(Q$2,'Tillförd energi'!$B$1:$AQ$1,0),FALSE)</f>
        <v>0</v>
      </c>
      <c r="R331" s="63">
        <f>VLOOKUP($B331,'Tillförd energi'!$B$1:$AI$720,MATCH(R$2,'Tillförd energi'!$B$1:$AQ$1,0),FALSE)</f>
        <v>0</v>
      </c>
      <c r="S331" s="63">
        <f>VLOOKUP($B331,'Tillförd energi'!$B$1:$AI$720,MATCH(S$2,'Tillförd energi'!$B$1:$AQ$1,0),FALSE)</f>
        <v>0</v>
      </c>
      <c r="T331" s="63">
        <f>VLOOKUP($B331,'Tillförd energi'!$B$1:$AI$720,MATCH(T$2,'Tillförd energi'!$B$1:$AQ$1,0),FALSE)</f>
        <v>0</v>
      </c>
      <c r="U331" s="63">
        <f>VLOOKUP($B331,'Tillförd energi'!$B$1:$AI$720,MATCH(U$2,'Tillförd energi'!$B$1:$AQ$1,0),FALSE)</f>
        <v>0</v>
      </c>
      <c r="V331" s="63">
        <f>VLOOKUP($B331,'Tillförd energi'!$B$1:$AI$720,MATCH(V$2,'Tillförd energi'!$B$1:$AQ$1,0),FALSE)</f>
        <v>0</v>
      </c>
      <c r="W331" s="63">
        <f>VLOOKUP($B331,'Tillförd energi'!$B$1:$AI$720,MATCH(W$2,'Tillförd energi'!$B$1:$AQ$1,0),FALSE)</f>
        <v>0</v>
      </c>
      <c r="X331" s="63">
        <f>VLOOKUP($B331,'Tillförd energi'!$B$1:$AI$720,MATCH(X$2,'Tillförd energi'!$B$1:$AQ$1,0),FALSE)</f>
        <v>0</v>
      </c>
      <c r="Y331" s="63">
        <f>VLOOKUP($B331,'Tillförd energi'!$B$1:$AI$720,MATCH(Y$2,'Tillförd energi'!$B$1:$AQ$1,0),FALSE)</f>
        <v>0</v>
      </c>
      <c r="Z331" s="63">
        <f>VLOOKUP($B331,'Tillförd energi'!$B$1:$AI$720,MATCH(Z$2,'Tillförd energi'!$B$1:$AQ$1,0),FALSE)</f>
        <v>0</v>
      </c>
      <c r="AA331" s="63">
        <f>VLOOKUP($B331,'Tillförd energi'!$B$1:$AI$720,MATCH(AA$2,'Tillförd energi'!$B$1:$AQ$1,0),FALSE)</f>
        <v>0</v>
      </c>
      <c r="AB331" s="63">
        <f>VLOOKUP($B331,'Tillförd energi'!$B$1:$AI$720,MATCH(AB$2,'Tillförd energi'!$B$1:$AQ$1,0),FALSE)</f>
        <v>0</v>
      </c>
      <c r="AC331" s="63">
        <f>VLOOKUP($B331,'Tillförd energi'!$B$1:$AI$720,MATCH(AC$2,'Tillförd energi'!$B$1:$AQ$1,0),FALSE)</f>
        <v>1.028</v>
      </c>
      <c r="AD331" s="63">
        <f>VLOOKUP($B331,'Tillförd energi'!$B$1:$AI$720,MATCH(AD$2,'Tillförd energi'!$B$1:$AQ$1,0),FALSE)</f>
        <v>0</v>
      </c>
      <c r="AE331" s="63">
        <f>VLOOKUP($B331,'Tillförd energi'!$B$1:$AI$720,MATCH(AE$2,'Tillförd energi'!$B$1:$AQ$1,0),FALSE)</f>
        <v>0</v>
      </c>
      <c r="AF331" s="63">
        <f>VLOOKUP($B331,'Tillförd energi'!$B$1:$AI$720,MATCH(AF$2,'Tillförd energi'!$B$1:$AQ$1,0),FALSE)</f>
        <v>0.32800000000000001</v>
      </c>
      <c r="AG331" s="63">
        <f>IFERROR(VLOOKUP(B331,Miljö!$B$1:$AC$550,MATCH("Köpt mängd produktionsspecifik fjärrvärme:",Miljö!$B$1:$AC$1,0),FALSE)/1,0)</f>
        <v>0</v>
      </c>
      <c r="AI331" s="63">
        <f t="shared" si="30"/>
        <v>20.748999999999999</v>
      </c>
      <c r="AJ331" s="63">
        <f>IF(ISERROR(1/VLOOKUP($B331,Leveranser!$B$1:$S$500,MATCH("såld värme (gwh)",Leveranser!$B$1:$S$1,0),FALSE)),"",VLOOKUP($B331,Leveranser!$B$1:$S$500,MATCH("såld värme (gwh)",Leveranser!$B$1:$S$1,0),FALSE))</f>
        <v>14.295999999999999</v>
      </c>
      <c r="AM331" s="63" t="str">
        <f>IF(B331&lt;&gt;"",IF(VLOOKUP($B331,Totalt!$B$1:$AQ$554,MATCH("Kvalitetsgranskad:",Totalt!$B$1:$AQ$1,0),FALSE)="ja",VLOOKUP($B331,Miljö!$B$1:$AG$479,MATCH(AM$2,Miljö!$B$1:$AK$1,0),FALSE),""),"")</f>
        <v>Ja</v>
      </c>
      <c r="AN331" s="63" t="str">
        <f>IF(AM331="ja",VLOOKUP($B331,Miljö!$B$1:$J$479,MATCH("Typ av ursprungsspecificerad el   (Om inget värde anges används Nordisk residualmix, se inforuta) ()",Miljö!$B$1:$J$1,0),FALSE),IF(AM331="nej","Nordisk residualel",""))</f>
        <v>-</v>
      </c>
      <c r="AO331" s="63">
        <f>IF(AM331="","",VLOOKUP($B331,Miljö!$B$1:$J$479,MATCH("Fossilandel för ursprungspecificerad el ()",Miljö!$B$1:$J$1,0),FALSE))</f>
        <v>0.35</v>
      </c>
      <c r="AQ331" s="63">
        <f t="shared" si="31"/>
        <v>0.65</v>
      </c>
      <c r="AS331" s="63" t="str">
        <f t="shared" si="32"/>
        <v>Nej</v>
      </c>
      <c r="AT331" s="63" t="str">
        <f>IF(AS331="ja",VLOOKUP($B331,Miljö!$B$1:$P$500,MATCH("Fossil andel i procent (%)",Miljö!$B$1:$P$1,0),FALSE)/100,"")</f>
        <v/>
      </c>
      <c r="AV331" s="63" t="str">
        <f t="shared" si="33"/>
        <v>Nej</v>
      </c>
      <c r="AW331" s="63" t="str">
        <f>IF(AV331="ja",VLOOKUP($B331,'Egen hetvattenprod'!$B$1:$AO$500,MATCH("Värmekälla till värmepumpar ()",'Egen hetvattenprod'!$B$1:$AO$1,0),FALSE),"")</f>
        <v/>
      </c>
      <c r="AY331" s="63" t="str">
        <f t="shared" si="34"/>
        <v>Ja</v>
      </c>
      <c r="AZ331" s="77">
        <f>IF($AY331="ja",(VLOOKUP($B331,'Egen hetvattenprod'!$B$1:$BX$550,MATCH(AZ$2,'Egen hetvattenprod'!$B$1:$BX$1,0),FALSE)+VLOOKUP($B331,Kraftvärmeprod!$B$1:$BX$550,MATCH(AZ$2,Kraftvärmeprod!$B$1:$BX$1,0),FALSE))/$AC331,"")</f>
        <v>1</v>
      </c>
      <c r="BA331" s="77">
        <f>IF($AY331="ja",(VLOOKUP($B331,'Egen hetvattenprod'!$B$1:$BX$550,MATCH(BA$2,'Egen hetvattenprod'!$B$1:$BX$1,0),FALSE)+VLOOKUP($B331,Kraftvärmeprod!$B$1:$BX$550,MATCH(BA$2,Kraftvärmeprod!$B$1:$BX$1,0),FALSE))/$AC331,"")</f>
        <v>0</v>
      </c>
      <c r="BB331" s="77">
        <f>IF($AY331="ja",(VLOOKUP($B331,'Egen hetvattenprod'!$B$1:$BX$550,MATCH(BB$2,'Egen hetvattenprod'!$B$1:$BX$1,0),FALSE)+VLOOKUP($B331,Kraftvärmeprod!$B$1:$BX$550,MATCH(BB$2,Kraftvärmeprod!$B$1:$BX$1,0),FALSE))/$AC331,"")</f>
        <v>0</v>
      </c>
      <c r="BC331" s="77">
        <f>IF($AY331="ja",(VLOOKUP($B331,'Egen hetvattenprod'!$B$1:$BX$550,MATCH(BC$2,'Egen hetvattenprod'!$B$1:$BX$1,0),FALSE)+VLOOKUP($B331,Kraftvärmeprod!$B$1:$BX$550,MATCH(BC$2,Kraftvärmeprod!$B$1:$BX$1,0),FALSE))/$AC331,"")</f>
        <v>0</v>
      </c>
      <c r="BD331" s="77">
        <f>IF($AY331="ja",(VLOOKUP($B331,'Egen hetvattenprod'!$B$1:$BX$550,MATCH(BD$2,'Egen hetvattenprod'!$B$1:$BX$1,0),FALSE)+VLOOKUP($B331,Kraftvärmeprod!$B$1:$BX$550,MATCH(BD$2,Kraftvärmeprod!$B$1:$BX$1,0),FALSE))/$AC331,"")</f>
        <v>0</v>
      </c>
      <c r="BF331" s="63" t="str">
        <f t="shared" si="35"/>
        <v>Nej</v>
      </c>
      <c r="BG331" s="63" t="str">
        <f>IF($BF331="ja",VLOOKUP($B331,'Egen hetvattenprod'!$B$1:$BX$550,MATCH("Andelen klimatgaser med fossilt ursprung för avfall ()",'Egen hetvattenprod'!$B$1:$BX$1,0),FALSE),"")</f>
        <v/>
      </c>
      <c r="BH331" s="63" t="str">
        <f>IF($BF331="ja",VLOOKUP($B331,Kraftvärmeprod!$B$1:$BX$550,MATCH("Andelen klimatgaser med fossilt ursprung för avfall ()",Kraftvärmeprod!$B$1:$BX$1,0),FALSE),"")</f>
        <v/>
      </c>
      <c r="BI331" s="63" t="str">
        <f>IF($BF331="ja",VLOOKUP($B331,'Egen hetvattenprod'!$B$1:$BX$550,MATCH("Avfall (GWh)",'Egen hetvattenprod'!$B$1:$BX$1,0),FALSE),"")</f>
        <v/>
      </c>
      <c r="BJ331" s="63" t="str">
        <f>IF($BF331="ja",VLOOKUP($B331,'Slutlig allokering kvv'!$B$1:$BX$550,MATCH("Avfall (GWh)",'Slutlig allokering kvv'!$B$1:$BX$1,0),FALSE),"")</f>
        <v/>
      </c>
      <c r="BK331" s="63" t="str">
        <f>IF($BF331="ja",VLOOKUP($B331,'Köpt hetvatten'!$B$1:$BX$550,MATCH("Avfall i köpt hetvatten",'Köpt hetvatten'!$B$1:$BX$1,0),FALSE),"")</f>
        <v/>
      </c>
      <c r="BL331" s="63" t="str">
        <f>IF($BF331="ja",VLOOKUP($B331,'Egen hetvattenprod'!$B$1:$BX$550,MATCH("Värde enligt ovan. (%)",'Egen hetvattenprod'!$B$1:$BX$1,0),FALSE),"")</f>
        <v/>
      </c>
      <c r="BM331" s="63" t="str">
        <f>IF($BF331="ja",VLOOKUP($B331,Kraftvärmeprod!$B$1:$BX$550,MATCH("Värde enligt ovan. (%)",Kraftvärmeprod!$B$1:$BX$1,0),FALSE),"")</f>
        <v/>
      </c>
    </row>
    <row r="332" spans="1:65" x14ac:dyDescent="0.45">
      <c r="A332" s="63" t="s">
        <v>243</v>
      </c>
      <c r="B332" s="63" t="s">
        <v>245</v>
      </c>
      <c r="C332" s="63">
        <f>VLOOKUP($B332,'Tillförd energi'!$B$1:$AI$720,MATCH(C$2,'Tillförd energi'!$B$1:$AQ$1,0),FALSE)</f>
        <v>0</v>
      </c>
      <c r="D332" s="63">
        <f>VLOOKUP($B332,'Tillförd energi'!$B$1:$AI$720,MATCH(D$2,'Tillförd energi'!$B$1:$AQ$1,0),FALSE)</f>
        <v>2.024</v>
      </c>
      <c r="E332" s="63">
        <f>VLOOKUP($B332,'Tillförd energi'!$B$1:$AI$720,MATCH(E$2,'Tillförd energi'!$B$1:$AQ$1,0),FALSE)</f>
        <v>0</v>
      </c>
      <c r="F332" s="63">
        <f>VLOOKUP($B332,'Tillförd energi'!$B$1:$AI$720,MATCH(F$2,'Tillförd energi'!$B$1:$AQ$1,0),FALSE)</f>
        <v>0</v>
      </c>
      <c r="G332" s="63">
        <f>VLOOKUP($B332,'Tillförd energi'!$B$1:$AI$720,MATCH(G$2,'Tillförd energi'!$B$1:$AQ$1,0),FALSE)</f>
        <v>0</v>
      </c>
      <c r="H332" s="63">
        <f>VLOOKUP($B332,'Tillförd energi'!$B$1:$AI$720,MATCH(H$2,'Tillförd energi'!$B$1:$AQ$1,0),FALSE)</f>
        <v>0</v>
      </c>
      <c r="I332" s="63">
        <f>VLOOKUP($B332,'Tillförd energi'!$B$1:$AI$720,MATCH(I$2,'Tillförd energi'!$B$1:$AQ$1,0),FALSE)</f>
        <v>0</v>
      </c>
      <c r="J332" s="63">
        <f>VLOOKUP($B332,'Tillförd energi'!$B$1:$AI$720,MATCH(J$2,'Tillförd energi'!$B$1:$AQ$1,0),FALSE)</f>
        <v>0</v>
      </c>
      <c r="K332" s="63">
        <f>VLOOKUP($B332,'Tillförd energi'!$B$1:$AI$720,MATCH(K$2,'Tillförd energi'!$B$1:$AQ$1,0),FALSE)</f>
        <v>0</v>
      </c>
      <c r="L332" s="63">
        <f>VLOOKUP($B332,'Tillförd energi'!$B$1:$AI$720,MATCH(L$2,'Tillförd energi'!$B$1:$AQ$1,0),FALSE)</f>
        <v>0</v>
      </c>
      <c r="M332" s="63">
        <f>VLOOKUP($B332,'Tillförd energi'!$B$1:$AI$720,MATCH(M$2,'Tillförd energi'!$B$1:$AQ$1,0),FALSE)</f>
        <v>14.215999999999999</v>
      </c>
      <c r="N332" s="63">
        <f>VLOOKUP($B332,'Tillförd energi'!$B$1:$AI$720,MATCH(N$2,'Tillförd energi'!$B$1:$AQ$1,0),FALSE)</f>
        <v>3.105</v>
      </c>
      <c r="O332" s="63">
        <f>VLOOKUP($B332,'Tillförd energi'!$B$1:$AI$720,MATCH(O$2,'Tillförd energi'!$B$1:$AQ$1,0),FALSE)</f>
        <v>0</v>
      </c>
      <c r="P332" s="63">
        <f>VLOOKUP($B332,'Tillförd energi'!$B$1:$AI$720,MATCH(P$2,'Tillförd energi'!$B$1:$AQ$1,0),FALSE)</f>
        <v>42.895000000000003</v>
      </c>
      <c r="Q332" s="63">
        <f>VLOOKUP($B332,'Tillförd energi'!$B$1:$AI$720,MATCH(Q$2,'Tillförd energi'!$B$1:$AQ$1,0),FALSE)</f>
        <v>49.466999999999999</v>
      </c>
      <c r="R332" s="63">
        <f>VLOOKUP($B332,'Tillförd energi'!$B$1:$AI$720,MATCH(R$2,'Tillförd energi'!$B$1:$AQ$1,0),FALSE)</f>
        <v>0</v>
      </c>
      <c r="S332" s="63">
        <f>VLOOKUP($B332,'Tillförd energi'!$B$1:$AI$720,MATCH(S$2,'Tillförd energi'!$B$1:$AQ$1,0),FALSE)</f>
        <v>0</v>
      </c>
      <c r="T332" s="63">
        <f>VLOOKUP($B332,'Tillförd energi'!$B$1:$AI$720,MATCH(T$2,'Tillförd energi'!$B$1:$AQ$1,0),FALSE)</f>
        <v>0</v>
      </c>
      <c r="U332" s="63">
        <f>VLOOKUP($B332,'Tillförd energi'!$B$1:$AI$720,MATCH(U$2,'Tillförd energi'!$B$1:$AQ$1,0),FALSE)</f>
        <v>0</v>
      </c>
      <c r="V332" s="63">
        <f>VLOOKUP($B332,'Tillförd energi'!$B$1:$AI$720,MATCH(V$2,'Tillförd energi'!$B$1:$AQ$1,0),FALSE)</f>
        <v>0</v>
      </c>
      <c r="W332" s="63">
        <f>VLOOKUP($B332,'Tillförd energi'!$B$1:$AI$720,MATCH(W$2,'Tillförd energi'!$B$1:$AQ$1,0),FALSE)</f>
        <v>0</v>
      </c>
      <c r="X332" s="63">
        <f>VLOOKUP($B332,'Tillförd energi'!$B$1:$AI$720,MATCH(X$2,'Tillförd energi'!$B$1:$AQ$1,0),FALSE)</f>
        <v>0</v>
      </c>
      <c r="Y332" s="63">
        <f>VLOOKUP($B332,'Tillförd energi'!$B$1:$AI$720,MATCH(Y$2,'Tillförd energi'!$B$1:$AQ$1,0),FALSE)</f>
        <v>0</v>
      </c>
      <c r="Z332" s="63">
        <f>VLOOKUP($B332,'Tillförd energi'!$B$1:$AI$720,MATCH(Z$2,'Tillförd energi'!$B$1:$AQ$1,0),FALSE)</f>
        <v>0</v>
      </c>
      <c r="AA332" s="63">
        <f>VLOOKUP($B332,'Tillförd energi'!$B$1:$AI$720,MATCH(AA$2,'Tillförd energi'!$B$1:$AQ$1,0),FALSE)</f>
        <v>0</v>
      </c>
      <c r="AB332" s="63">
        <f>VLOOKUP($B332,'Tillförd energi'!$B$1:$AI$720,MATCH(AB$2,'Tillförd energi'!$B$1:$AQ$1,0),FALSE)</f>
        <v>0</v>
      </c>
      <c r="AC332" s="63">
        <f>VLOOKUP($B332,'Tillförd energi'!$B$1:$AI$720,MATCH(AC$2,'Tillförd energi'!$B$1:$AQ$1,0),FALSE)</f>
        <v>5.8959999999999999</v>
      </c>
      <c r="AD332" s="63">
        <f>VLOOKUP($B332,'Tillförd energi'!$B$1:$AI$720,MATCH(AD$2,'Tillförd energi'!$B$1:$AQ$1,0),FALSE)</f>
        <v>0</v>
      </c>
      <c r="AE332" s="63">
        <f>VLOOKUP($B332,'Tillförd energi'!$B$1:$AI$720,MATCH(AE$2,'Tillförd energi'!$B$1:$AQ$1,0),FALSE)</f>
        <v>0</v>
      </c>
      <c r="AF332" s="63">
        <f>VLOOKUP($B332,'Tillförd energi'!$B$1:$AI$720,MATCH(AF$2,'Tillförd energi'!$B$1:$AQ$1,0),FALSE)</f>
        <v>3.3969999999999998</v>
      </c>
      <c r="AG332" s="63">
        <f>IFERROR(VLOOKUP(B332,Miljö!$B$1:$AC$550,MATCH("Köpt mängd produktionsspecifik fjärrvärme:",Miljö!$B$1:$AC$1,0),FALSE)/1,0)</f>
        <v>0</v>
      </c>
      <c r="AI332" s="63">
        <f t="shared" si="30"/>
        <v>121</v>
      </c>
      <c r="AJ332" s="63">
        <f>IF(ISERROR(1/VLOOKUP($B332,Leveranser!$B$1:$S$500,MATCH("såld värme (gwh)",Leveranser!$B$1:$S$1,0),FALSE)),"",VLOOKUP($B332,Leveranser!$B$1:$S$500,MATCH("såld värme (gwh)",Leveranser!$B$1:$S$1,0),FALSE))</f>
        <v>90.472999999999999</v>
      </c>
      <c r="AM332" s="63" t="str">
        <f>IF(B332&lt;&gt;"",IF(VLOOKUP($B332,Totalt!$B$1:$AQ$554,MATCH("Kvalitetsgranskad:",Totalt!$B$1:$AQ$1,0),FALSE)="ja",VLOOKUP($B332,Miljö!$B$1:$AG$479,MATCH(AM$2,Miljö!$B$1:$AK$1,0),FALSE),""),"")</f>
        <v>Ja</v>
      </c>
      <c r="AN332" s="63" t="str">
        <f>IF(AM332="ja",VLOOKUP($B332,Miljö!$B$1:$J$479,MATCH("Typ av ursprungsspecificerad el   (Om inget värde anges används Nordisk residualmix, se inforuta) ()",Miljö!$B$1:$J$1,0),FALSE),IF(AM332="nej","Nordisk residualel",""))</f>
        <v>-</v>
      </c>
      <c r="AO332" s="63">
        <f>IF(AM332="","",VLOOKUP($B332,Miljö!$B$1:$J$479,MATCH("Fossilandel för ursprungspecificerad el ()",Miljö!$B$1:$J$1,0),FALSE))</f>
        <v>0.35</v>
      </c>
      <c r="AQ332" s="63">
        <f t="shared" si="31"/>
        <v>0.65</v>
      </c>
      <c r="AS332" s="63" t="str">
        <f t="shared" si="32"/>
        <v>Nej</v>
      </c>
      <c r="AT332" s="63" t="str">
        <f>IF(AS332="ja",VLOOKUP($B332,Miljö!$B$1:$P$500,MATCH("Fossil andel i procent (%)",Miljö!$B$1:$P$1,0),FALSE)/100,"")</f>
        <v/>
      </c>
      <c r="AV332" s="63" t="str">
        <f t="shared" si="33"/>
        <v>Nej</v>
      </c>
      <c r="AW332" s="63" t="str">
        <f>IF(AV332="ja",VLOOKUP($B332,'Egen hetvattenprod'!$B$1:$AO$500,MATCH("Värmekälla till värmepumpar ()",'Egen hetvattenprod'!$B$1:$AO$1,0),FALSE),"")</f>
        <v/>
      </c>
      <c r="AY332" s="63" t="str">
        <f t="shared" si="34"/>
        <v>Ja</v>
      </c>
      <c r="AZ332" s="77">
        <f>IF($AY332="ja",(VLOOKUP($B332,'Egen hetvattenprod'!$B$1:$BX$550,MATCH(AZ$2,'Egen hetvattenprod'!$B$1:$BX$1,0),FALSE)+VLOOKUP($B332,Kraftvärmeprod!$B$1:$BX$550,MATCH(AZ$2,Kraftvärmeprod!$B$1:$BX$1,0),FALSE))/$AC332,"")</f>
        <v>1</v>
      </c>
      <c r="BA332" s="77">
        <f>IF($AY332="ja",(VLOOKUP($B332,'Egen hetvattenprod'!$B$1:$BX$550,MATCH(BA$2,'Egen hetvattenprod'!$B$1:$BX$1,0),FALSE)+VLOOKUP($B332,Kraftvärmeprod!$B$1:$BX$550,MATCH(BA$2,Kraftvärmeprod!$B$1:$BX$1,0),FALSE))/$AC332,"")</f>
        <v>0</v>
      </c>
      <c r="BB332" s="77">
        <f>IF($AY332="ja",(VLOOKUP($B332,'Egen hetvattenprod'!$B$1:$BX$550,MATCH(BB$2,'Egen hetvattenprod'!$B$1:$BX$1,0),FALSE)+VLOOKUP($B332,Kraftvärmeprod!$B$1:$BX$550,MATCH(BB$2,Kraftvärmeprod!$B$1:$BX$1,0),FALSE))/$AC332,"")</f>
        <v>0</v>
      </c>
      <c r="BC332" s="77">
        <f>IF($AY332="ja",(VLOOKUP($B332,'Egen hetvattenprod'!$B$1:$BX$550,MATCH(BC$2,'Egen hetvattenprod'!$B$1:$BX$1,0),FALSE)+VLOOKUP($B332,Kraftvärmeprod!$B$1:$BX$550,MATCH(BC$2,Kraftvärmeprod!$B$1:$BX$1,0),FALSE))/$AC332,"")</f>
        <v>0</v>
      </c>
      <c r="BD332" s="77">
        <f>IF($AY332="ja",(VLOOKUP($B332,'Egen hetvattenprod'!$B$1:$BX$550,MATCH(BD$2,'Egen hetvattenprod'!$B$1:$BX$1,0),FALSE)+VLOOKUP($B332,Kraftvärmeprod!$B$1:$BX$550,MATCH(BD$2,Kraftvärmeprod!$B$1:$BX$1,0),FALSE))/$AC332,"")</f>
        <v>0</v>
      </c>
      <c r="BF332" s="63" t="str">
        <f t="shared" si="35"/>
        <v>Nej</v>
      </c>
      <c r="BG332" s="63" t="str">
        <f>IF($BF332="ja",VLOOKUP($B332,'Egen hetvattenprod'!$B$1:$BX$550,MATCH("Andelen klimatgaser med fossilt ursprung för avfall ()",'Egen hetvattenprod'!$B$1:$BX$1,0),FALSE),"")</f>
        <v/>
      </c>
      <c r="BH332" s="63" t="str">
        <f>IF($BF332="ja",VLOOKUP($B332,Kraftvärmeprod!$B$1:$BX$550,MATCH("Andelen klimatgaser med fossilt ursprung för avfall ()",Kraftvärmeprod!$B$1:$BX$1,0),FALSE),"")</f>
        <v/>
      </c>
      <c r="BI332" s="63" t="str">
        <f>IF($BF332="ja",VLOOKUP($B332,'Egen hetvattenprod'!$B$1:$BX$550,MATCH("Avfall (GWh)",'Egen hetvattenprod'!$B$1:$BX$1,0),FALSE),"")</f>
        <v/>
      </c>
      <c r="BJ332" s="63" t="str">
        <f>IF($BF332="ja",VLOOKUP($B332,'Slutlig allokering kvv'!$B$1:$BX$550,MATCH("Avfall (GWh)",'Slutlig allokering kvv'!$B$1:$BX$1,0),FALSE),"")</f>
        <v/>
      </c>
      <c r="BK332" s="63" t="str">
        <f>IF($BF332="ja",VLOOKUP($B332,'Köpt hetvatten'!$B$1:$BX$550,MATCH("Avfall i köpt hetvatten",'Köpt hetvatten'!$B$1:$BX$1,0),FALSE),"")</f>
        <v/>
      </c>
      <c r="BL332" s="63" t="str">
        <f>IF($BF332="ja",VLOOKUP($B332,'Egen hetvattenprod'!$B$1:$BX$550,MATCH("Värde enligt ovan. (%)",'Egen hetvattenprod'!$B$1:$BX$1,0),FALSE),"")</f>
        <v/>
      </c>
      <c r="BM332" s="63" t="str">
        <f>IF($BF332="ja",VLOOKUP($B332,Kraftvärmeprod!$B$1:$BX$550,MATCH("Värde enligt ovan. (%)",Kraftvärmeprod!$B$1:$BX$1,0),FALSE),"")</f>
        <v/>
      </c>
    </row>
    <row r="333" spans="1:65" x14ac:dyDescent="0.45">
      <c r="A333" s="63" t="s">
        <v>243</v>
      </c>
      <c r="B333" s="63" t="s">
        <v>247</v>
      </c>
      <c r="C333" s="63">
        <f>VLOOKUP($B333,'Tillförd energi'!$B$1:$AI$720,MATCH(C$2,'Tillförd energi'!$B$1:$AQ$1,0),FALSE)</f>
        <v>0</v>
      </c>
      <c r="D333" s="63">
        <f>VLOOKUP($B333,'Tillförd energi'!$B$1:$AI$720,MATCH(D$2,'Tillförd energi'!$B$1:$AQ$1,0),FALSE)</f>
        <v>0.434</v>
      </c>
      <c r="E333" s="63">
        <f>VLOOKUP($B333,'Tillförd energi'!$B$1:$AI$720,MATCH(E$2,'Tillförd energi'!$B$1:$AQ$1,0),FALSE)</f>
        <v>0</v>
      </c>
      <c r="F333" s="63">
        <f>VLOOKUP($B333,'Tillförd energi'!$B$1:$AI$720,MATCH(F$2,'Tillförd energi'!$B$1:$AQ$1,0),FALSE)</f>
        <v>0</v>
      </c>
      <c r="G333" s="63">
        <f>VLOOKUP($B333,'Tillförd energi'!$B$1:$AI$720,MATCH(G$2,'Tillförd energi'!$B$1:$AQ$1,0),FALSE)</f>
        <v>0</v>
      </c>
      <c r="H333" s="63">
        <f>VLOOKUP($B333,'Tillförd energi'!$B$1:$AI$720,MATCH(H$2,'Tillförd energi'!$B$1:$AQ$1,0),FALSE)</f>
        <v>0</v>
      </c>
      <c r="I333" s="63">
        <f>VLOOKUP($B333,'Tillförd energi'!$B$1:$AI$720,MATCH(I$2,'Tillförd energi'!$B$1:$AQ$1,0),FALSE)</f>
        <v>0</v>
      </c>
      <c r="J333" s="63">
        <f>VLOOKUP($B333,'Tillförd energi'!$B$1:$AI$720,MATCH(J$2,'Tillförd energi'!$B$1:$AQ$1,0),FALSE)</f>
        <v>0</v>
      </c>
      <c r="K333" s="63">
        <f>VLOOKUP($B333,'Tillförd energi'!$B$1:$AI$720,MATCH(K$2,'Tillförd energi'!$B$1:$AQ$1,0),FALSE)</f>
        <v>0</v>
      </c>
      <c r="L333" s="63">
        <f>VLOOKUP($B333,'Tillförd energi'!$B$1:$AI$720,MATCH(L$2,'Tillförd energi'!$B$1:$AQ$1,0),FALSE)</f>
        <v>0</v>
      </c>
      <c r="M333" s="63">
        <f>VLOOKUP($B333,'Tillförd energi'!$B$1:$AI$720,MATCH(M$2,'Tillförd energi'!$B$1:$AQ$1,0),FALSE)</f>
        <v>4.26</v>
      </c>
      <c r="N333" s="63">
        <f>VLOOKUP($B333,'Tillförd energi'!$B$1:$AI$720,MATCH(N$2,'Tillförd energi'!$B$1:$AQ$1,0),FALSE)</f>
        <v>2.2570000000000001</v>
      </c>
      <c r="O333" s="63">
        <f>VLOOKUP($B333,'Tillförd energi'!$B$1:$AI$720,MATCH(O$2,'Tillförd energi'!$B$1:$AQ$1,0),FALSE)</f>
        <v>1.46</v>
      </c>
      <c r="P333" s="63">
        <f>VLOOKUP($B333,'Tillförd energi'!$B$1:$AI$720,MATCH(P$2,'Tillförd energi'!$B$1:$AQ$1,0),FALSE)</f>
        <v>5.758</v>
      </c>
      <c r="Q333" s="63">
        <f>VLOOKUP($B333,'Tillförd energi'!$B$1:$AI$720,MATCH(Q$2,'Tillförd energi'!$B$1:$AQ$1,0),FALSE)</f>
        <v>5.6059999999999999</v>
      </c>
      <c r="R333" s="63">
        <f>VLOOKUP($B333,'Tillförd energi'!$B$1:$AI$720,MATCH(R$2,'Tillförd energi'!$B$1:$AQ$1,0),FALSE)</f>
        <v>0</v>
      </c>
      <c r="S333" s="63">
        <f>VLOOKUP($B333,'Tillförd energi'!$B$1:$AI$720,MATCH(S$2,'Tillförd energi'!$B$1:$AQ$1,0),FALSE)</f>
        <v>0</v>
      </c>
      <c r="T333" s="63">
        <f>VLOOKUP($B333,'Tillförd energi'!$B$1:$AI$720,MATCH(T$2,'Tillförd energi'!$B$1:$AQ$1,0),FALSE)</f>
        <v>0</v>
      </c>
      <c r="U333" s="63">
        <f>VLOOKUP($B333,'Tillförd energi'!$B$1:$AI$720,MATCH(U$2,'Tillförd energi'!$B$1:$AQ$1,0),FALSE)</f>
        <v>0</v>
      </c>
      <c r="V333" s="63">
        <f>VLOOKUP($B333,'Tillförd energi'!$B$1:$AI$720,MATCH(V$2,'Tillförd energi'!$B$1:$AQ$1,0),FALSE)</f>
        <v>0</v>
      </c>
      <c r="W333" s="63">
        <f>VLOOKUP($B333,'Tillförd energi'!$B$1:$AI$720,MATCH(W$2,'Tillförd energi'!$B$1:$AQ$1,0),FALSE)</f>
        <v>0</v>
      </c>
      <c r="X333" s="63">
        <f>VLOOKUP($B333,'Tillförd energi'!$B$1:$AI$720,MATCH(X$2,'Tillförd energi'!$B$1:$AQ$1,0),FALSE)</f>
        <v>1.73882</v>
      </c>
      <c r="Y333" s="63">
        <f>VLOOKUP($B333,'Tillförd energi'!$B$1:$AI$720,MATCH(Y$2,'Tillförd energi'!$B$1:$AQ$1,0),FALSE)</f>
        <v>0</v>
      </c>
      <c r="Z333" s="63">
        <f>VLOOKUP($B333,'Tillförd energi'!$B$1:$AI$720,MATCH(Z$2,'Tillförd energi'!$B$1:$AQ$1,0),FALSE)</f>
        <v>0</v>
      </c>
      <c r="AA333" s="63">
        <f>VLOOKUP($B333,'Tillförd energi'!$B$1:$AI$720,MATCH(AA$2,'Tillförd energi'!$B$1:$AQ$1,0),FALSE)</f>
        <v>0</v>
      </c>
      <c r="AB333" s="63">
        <f>VLOOKUP($B333,'Tillförd energi'!$B$1:$AI$720,MATCH(AB$2,'Tillförd energi'!$B$1:$AQ$1,0),FALSE)</f>
        <v>0</v>
      </c>
      <c r="AC333" s="63">
        <f>VLOOKUP($B333,'Tillförd energi'!$B$1:$AI$720,MATCH(AC$2,'Tillförd energi'!$B$1:$AQ$1,0),FALSE)</f>
        <v>1.905</v>
      </c>
      <c r="AD333" s="63">
        <f>VLOOKUP($B333,'Tillförd energi'!$B$1:$AI$720,MATCH(AD$2,'Tillförd energi'!$B$1:$AQ$1,0),FALSE)</f>
        <v>0</v>
      </c>
      <c r="AE333" s="63">
        <f>VLOOKUP($B333,'Tillförd energi'!$B$1:$AI$720,MATCH(AE$2,'Tillförd energi'!$B$1:$AQ$1,0),FALSE)</f>
        <v>0</v>
      </c>
      <c r="AF333" s="63">
        <f>VLOOKUP($B333,'Tillförd energi'!$B$1:$AI$720,MATCH(AF$2,'Tillförd energi'!$B$1:$AQ$1,0),FALSE)</f>
        <v>0.47399999999999998</v>
      </c>
      <c r="AG333" s="63">
        <f>IFERROR(VLOOKUP(B333,Miljö!$B$1:$AC$550,MATCH("Köpt mängd produktionsspecifik fjärrvärme:",Miljö!$B$1:$AC$1,0),FALSE)/1,0)</f>
        <v>0</v>
      </c>
      <c r="AI333" s="63">
        <f t="shared" si="30"/>
        <v>23.89282</v>
      </c>
      <c r="AJ333" s="63">
        <f>IF(ISERROR(1/VLOOKUP($B333,Leveranser!$B$1:$S$500,MATCH("såld värme (gwh)",Leveranser!$B$1:$S$1,0),FALSE)),"",VLOOKUP($B333,Leveranser!$B$1:$S$500,MATCH("såld värme (gwh)",Leveranser!$B$1:$S$1,0),FALSE))</f>
        <v>17.913</v>
      </c>
      <c r="AM333" s="63" t="str">
        <f>IF(B333&lt;&gt;"",IF(VLOOKUP($B333,Totalt!$B$1:$AQ$554,MATCH("Kvalitetsgranskad:",Totalt!$B$1:$AQ$1,0),FALSE)="ja",VLOOKUP($B333,Miljö!$B$1:$AG$479,MATCH(AM$2,Miljö!$B$1:$AK$1,0),FALSE),""),"")</f>
        <v>Ja</v>
      </c>
      <c r="AN333" s="63" t="str">
        <f>IF(AM333="ja",VLOOKUP($B333,Miljö!$B$1:$J$479,MATCH("Typ av ursprungsspecificerad el   (Om inget värde anges används Nordisk residualmix, se inforuta) ()",Miljö!$B$1:$J$1,0),FALSE),IF(AM333="nej","Nordisk residualel",""))</f>
        <v>-</v>
      </c>
      <c r="AO333" s="63">
        <f>IF(AM333="","",VLOOKUP($B333,Miljö!$B$1:$J$479,MATCH("Fossilandel för ursprungspecificerad el ()",Miljö!$B$1:$J$1,0),FALSE))</f>
        <v>0.35</v>
      </c>
      <c r="AQ333" s="63">
        <f t="shared" si="31"/>
        <v>0.65</v>
      </c>
      <c r="AS333" s="63" t="str">
        <f t="shared" si="32"/>
        <v>Nej</v>
      </c>
      <c r="AT333" s="63" t="str">
        <f>IF(AS333="ja",VLOOKUP($B333,Miljö!$B$1:$P$500,MATCH("Fossil andel i procent (%)",Miljö!$B$1:$P$1,0),FALSE)/100,"")</f>
        <v/>
      </c>
      <c r="AV333" s="63" t="str">
        <f t="shared" si="33"/>
        <v>Nej</v>
      </c>
      <c r="AW333" s="63" t="str">
        <f>IF(AV333="ja",VLOOKUP($B333,'Egen hetvattenprod'!$B$1:$AO$500,MATCH("Värmekälla till värmepumpar ()",'Egen hetvattenprod'!$B$1:$AO$1,0),FALSE),"")</f>
        <v/>
      </c>
      <c r="AY333" s="63" t="str">
        <f t="shared" si="34"/>
        <v>Ja</v>
      </c>
      <c r="AZ333" s="77">
        <f>IF($AY333="ja",(VLOOKUP($B333,'Egen hetvattenprod'!$B$1:$BX$550,MATCH(AZ$2,'Egen hetvattenprod'!$B$1:$BX$1,0),FALSE)+VLOOKUP($B333,Kraftvärmeprod!$B$1:$BX$550,MATCH(AZ$2,Kraftvärmeprod!$B$1:$BX$1,0),FALSE))/$AC333,"")</f>
        <v>1</v>
      </c>
      <c r="BA333" s="77">
        <f>IF($AY333="ja",(VLOOKUP($B333,'Egen hetvattenprod'!$B$1:$BX$550,MATCH(BA$2,'Egen hetvattenprod'!$B$1:$BX$1,0),FALSE)+VLOOKUP($B333,Kraftvärmeprod!$B$1:$BX$550,MATCH(BA$2,Kraftvärmeprod!$B$1:$BX$1,0),FALSE))/$AC333,"")</f>
        <v>0</v>
      </c>
      <c r="BB333" s="77">
        <f>IF($AY333="ja",(VLOOKUP($B333,'Egen hetvattenprod'!$B$1:$BX$550,MATCH(BB$2,'Egen hetvattenprod'!$B$1:$BX$1,0),FALSE)+VLOOKUP($B333,Kraftvärmeprod!$B$1:$BX$550,MATCH(BB$2,Kraftvärmeprod!$B$1:$BX$1,0),FALSE))/$AC333,"")</f>
        <v>0</v>
      </c>
      <c r="BC333" s="77">
        <f>IF($AY333="ja",(VLOOKUP($B333,'Egen hetvattenprod'!$B$1:$BX$550,MATCH(BC$2,'Egen hetvattenprod'!$B$1:$BX$1,0),FALSE)+VLOOKUP($B333,Kraftvärmeprod!$B$1:$BX$550,MATCH(BC$2,Kraftvärmeprod!$B$1:$BX$1,0),FALSE))/$AC333,"")</f>
        <v>0</v>
      </c>
      <c r="BD333" s="77">
        <f>IF($AY333="ja",(VLOOKUP($B333,'Egen hetvattenprod'!$B$1:$BX$550,MATCH(BD$2,'Egen hetvattenprod'!$B$1:$BX$1,0),FALSE)+VLOOKUP($B333,Kraftvärmeprod!$B$1:$BX$550,MATCH(BD$2,Kraftvärmeprod!$B$1:$BX$1,0),FALSE))/$AC333,"")</f>
        <v>0</v>
      </c>
      <c r="BF333" s="63" t="str">
        <f t="shared" si="35"/>
        <v>Nej</v>
      </c>
      <c r="BG333" s="63" t="str">
        <f>IF($BF333="ja",VLOOKUP($B333,'Egen hetvattenprod'!$B$1:$BX$550,MATCH("Andelen klimatgaser med fossilt ursprung för avfall ()",'Egen hetvattenprod'!$B$1:$BX$1,0),FALSE),"")</f>
        <v/>
      </c>
      <c r="BH333" s="63" t="str">
        <f>IF($BF333="ja",VLOOKUP($B333,Kraftvärmeprod!$B$1:$BX$550,MATCH("Andelen klimatgaser med fossilt ursprung för avfall ()",Kraftvärmeprod!$B$1:$BX$1,0),FALSE),"")</f>
        <v/>
      </c>
      <c r="BI333" s="63" t="str">
        <f>IF($BF333="ja",VLOOKUP($B333,'Egen hetvattenprod'!$B$1:$BX$550,MATCH("Avfall (GWh)",'Egen hetvattenprod'!$B$1:$BX$1,0),FALSE),"")</f>
        <v/>
      </c>
      <c r="BJ333" s="63" t="str">
        <f>IF($BF333="ja",VLOOKUP($B333,'Slutlig allokering kvv'!$B$1:$BX$550,MATCH("Avfall (GWh)",'Slutlig allokering kvv'!$B$1:$BX$1,0),FALSE),"")</f>
        <v/>
      </c>
      <c r="BK333" s="63" t="str">
        <f>IF($BF333="ja",VLOOKUP($B333,'Köpt hetvatten'!$B$1:$BX$550,MATCH("Avfall i köpt hetvatten",'Köpt hetvatten'!$B$1:$BX$1,0),FALSE),"")</f>
        <v/>
      </c>
      <c r="BL333" s="63" t="str">
        <f>IF($BF333="ja",VLOOKUP($B333,'Egen hetvattenprod'!$B$1:$BX$550,MATCH("Värde enligt ovan. (%)",'Egen hetvattenprod'!$B$1:$BX$1,0),FALSE),"")</f>
        <v/>
      </c>
      <c r="BM333" s="63" t="str">
        <f>IF($BF333="ja",VLOOKUP($B333,Kraftvärmeprod!$B$1:$BX$550,MATCH("Värde enligt ovan. (%)",Kraftvärmeprod!$B$1:$BX$1,0),FALSE),"")</f>
        <v/>
      </c>
    </row>
    <row r="334" spans="1:65" x14ac:dyDescent="0.45">
      <c r="A334" s="63" t="s">
        <v>243</v>
      </c>
      <c r="B334" s="63" t="s">
        <v>246</v>
      </c>
      <c r="C334" s="63">
        <f>VLOOKUP($B334,'Tillförd energi'!$B$1:$AI$720,MATCH(C$2,'Tillförd energi'!$B$1:$AQ$1,0),FALSE)</f>
        <v>0</v>
      </c>
      <c r="D334" s="63">
        <f>VLOOKUP($B334,'Tillförd energi'!$B$1:$AI$720,MATCH(D$2,'Tillförd energi'!$B$1:$AQ$1,0),FALSE)</f>
        <v>0.12</v>
      </c>
      <c r="E334" s="63">
        <f>VLOOKUP($B334,'Tillförd energi'!$B$1:$AI$720,MATCH(E$2,'Tillförd energi'!$B$1:$AQ$1,0),FALSE)</f>
        <v>0</v>
      </c>
      <c r="F334" s="63">
        <f>VLOOKUP($B334,'Tillförd energi'!$B$1:$AI$720,MATCH(F$2,'Tillförd energi'!$B$1:$AQ$1,0),FALSE)</f>
        <v>0</v>
      </c>
      <c r="G334" s="63">
        <f>VLOOKUP($B334,'Tillförd energi'!$B$1:$AI$720,MATCH(G$2,'Tillförd energi'!$B$1:$AQ$1,0),FALSE)</f>
        <v>0</v>
      </c>
      <c r="H334" s="63">
        <f>VLOOKUP($B334,'Tillförd energi'!$B$1:$AI$720,MATCH(H$2,'Tillförd energi'!$B$1:$AQ$1,0),FALSE)</f>
        <v>0</v>
      </c>
      <c r="I334" s="63">
        <f>VLOOKUP($B334,'Tillförd energi'!$B$1:$AI$720,MATCH(I$2,'Tillförd energi'!$B$1:$AQ$1,0),FALSE)</f>
        <v>0</v>
      </c>
      <c r="J334" s="63">
        <f>VLOOKUP($B334,'Tillförd energi'!$B$1:$AI$720,MATCH(J$2,'Tillförd energi'!$B$1:$AQ$1,0),FALSE)</f>
        <v>0</v>
      </c>
      <c r="K334" s="63">
        <f>VLOOKUP($B334,'Tillförd energi'!$B$1:$AI$720,MATCH(K$2,'Tillförd energi'!$B$1:$AQ$1,0),FALSE)</f>
        <v>0</v>
      </c>
      <c r="L334" s="63">
        <f>VLOOKUP($B334,'Tillförd energi'!$B$1:$AI$720,MATCH(L$2,'Tillförd energi'!$B$1:$AQ$1,0),FALSE)</f>
        <v>0</v>
      </c>
      <c r="M334" s="63">
        <f>VLOOKUP($B334,'Tillförd energi'!$B$1:$AI$720,MATCH(M$2,'Tillförd energi'!$B$1:$AQ$1,0),FALSE)</f>
        <v>0</v>
      </c>
      <c r="N334" s="63">
        <f>VLOOKUP($B334,'Tillförd energi'!$B$1:$AI$720,MATCH(N$2,'Tillförd energi'!$B$1:$AQ$1,0),FALSE)</f>
        <v>0</v>
      </c>
      <c r="O334" s="63">
        <f>VLOOKUP($B334,'Tillförd energi'!$B$1:$AI$720,MATCH(O$2,'Tillförd energi'!$B$1:$AQ$1,0),FALSE)</f>
        <v>0</v>
      </c>
      <c r="P334" s="63">
        <f>VLOOKUP($B334,'Tillförd energi'!$B$1:$AI$720,MATCH(P$2,'Tillförd energi'!$B$1:$AQ$1,0),FALSE)</f>
        <v>21.498000000000001</v>
      </c>
      <c r="Q334" s="63">
        <f>VLOOKUP($B334,'Tillförd energi'!$B$1:$AI$720,MATCH(Q$2,'Tillförd energi'!$B$1:$AQ$1,0),FALSE)</f>
        <v>0</v>
      </c>
      <c r="R334" s="63">
        <f>VLOOKUP($B334,'Tillförd energi'!$B$1:$AI$720,MATCH(R$2,'Tillförd energi'!$B$1:$AQ$1,0),FALSE)</f>
        <v>0</v>
      </c>
      <c r="S334" s="63">
        <f>VLOOKUP($B334,'Tillförd energi'!$B$1:$AI$720,MATCH(S$2,'Tillförd energi'!$B$1:$AQ$1,0),FALSE)</f>
        <v>0</v>
      </c>
      <c r="T334" s="63">
        <f>VLOOKUP($B334,'Tillförd energi'!$B$1:$AI$720,MATCH(T$2,'Tillförd energi'!$B$1:$AQ$1,0),FALSE)</f>
        <v>0</v>
      </c>
      <c r="U334" s="63">
        <f>VLOOKUP($B334,'Tillförd energi'!$B$1:$AI$720,MATCH(U$2,'Tillförd energi'!$B$1:$AQ$1,0),FALSE)</f>
        <v>0</v>
      </c>
      <c r="V334" s="63">
        <f>VLOOKUP($B334,'Tillförd energi'!$B$1:$AI$720,MATCH(V$2,'Tillförd energi'!$B$1:$AQ$1,0),FALSE)</f>
        <v>0</v>
      </c>
      <c r="W334" s="63">
        <f>VLOOKUP($B334,'Tillförd energi'!$B$1:$AI$720,MATCH(W$2,'Tillförd energi'!$B$1:$AQ$1,0),FALSE)</f>
        <v>0</v>
      </c>
      <c r="X334" s="63">
        <f>VLOOKUP($B334,'Tillförd energi'!$B$1:$AI$720,MATCH(X$2,'Tillförd energi'!$B$1:$AQ$1,0),FALSE)</f>
        <v>17.428999999999998</v>
      </c>
      <c r="Y334" s="63">
        <f>VLOOKUP($B334,'Tillförd energi'!$B$1:$AI$720,MATCH(Y$2,'Tillförd energi'!$B$1:$AQ$1,0),FALSE)</f>
        <v>0</v>
      </c>
      <c r="Z334" s="63">
        <f>VLOOKUP($B334,'Tillförd energi'!$B$1:$AI$720,MATCH(Z$2,'Tillförd energi'!$B$1:$AQ$1,0),FALSE)</f>
        <v>0</v>
      </c>
      <c r="AA334" s="63">
        <f>VLOOKUP($B334,'Tillförd energi'!$B$1:$AI$720,MATCH(AA$2,'Tillförd energi'!$B$1:$AQ$1,0),FALSE)</f>
        <v>0</v>
      </c>
      <c r="AB334" s="63">
        <f>VLOOKUP($B334,'Tillförd energi'!$B$1:$AI$720,MATCH(AB$2,'Tillförd energi'!$B$1:$AQ$1,0),FALSE)</f>
        <v>0</v>
      </c>
      <c r="AC334" s="63">
        <f>VLOOKUP($B334,'Tillförd energi'!$B$1:$AI$720,MATCH(AC$2,'Tillförd energi'!$B$1:$AQ$1,0),FALSE)</f>
        <v>0.74199999999999999</v>
      </c>
      <c r="AD334" s="63">
        <f>VLOOKUP($B334,'Tillförd energi'!$B$1:$AI$720,MATCH(AD$2,'Tillförd energi'!$B$1:$AQ$1,0),FALSE)</f>
        <v>0</v>
      </c>
      <c r="AE334" s="63">
        <f>VLOOKUP($B334,'Tillförd energi'!$B$1:$AI$720,MATCH(AE$2,'Tillförd energi'!$B$1:$AQ$1,0),FALSE)</f>
        <v>0</v>
      </c>
      <c r="AF334" s="63">
        <f>VLOOKUP($B334,'Tillförd energi'!$B$1:$AI$720,MATCH(AF$2,'Tillförd energi'!$B$1:$AQ$1,0),FALSE)</f>
        <v>0.42799999999999999</v>
      </c>
      <c r="AG334" s="63">
        <f>IFERROR(VLOOKUP(B334,Miljö!$B$1:$AC$550,MATCH("Köpt mängd produktionsspecifik fjärrvärme:",Miljö!$B$1:$AC$1,0),FALSE)/1,0)</f>
        <v>0</v>
      </c>
      <c r="AI334" s="63">
        <f t="shared" si="30"/>
        <v>40.216999999999992</v>
      </c>
      <c r="AJ334" s="63">
        <f>IF(ISERROR(1/VLOOKUP($B334,Leveranser!$B$1:$S$500,MATCH("såld värme (gwh)",Leveranser!$B$1:$S$1,0),FALSE)),"",VLOOKUP($B334,Leveranser!$B$1:$S$500,MATCH("såld värme (gwh)",Leveranser!$B$1:$S$1,0),FALSE))</f>
        <v>31.899000000000001</v>
      </c>
      <c r="AM334" s="63" t="str">
        <f>IF(B334&lt;&gt;"",IF(VLOOKUP($B334,Totalt!$B$1:$AQ$554,MATCH("Kvalitetsgranskad:",Totalt!$B$1:$AQ$1,0),FALSE)="ja",VLOOKUP($B334,Miljö!$B$1:$AG$479,MATCH(AM$2,Miljö!$B$1:$AK$1,0),FALSE),""),"")</f>
        <v>Ja</v>
      </c>
      <c r="AN334" s="63" t="str">
        <f>IF(AM334="ja",VLOOKUP($B334,Miljö!$B$1:$J$479,MATCH("Typ av ursprungsspecificerad el   (Om inget värde anges används Nordisk residualmix, se inforuta) ()",Miljö!$B$1:$J$1,0),FALSE),IF(AM334="nej","Nordisk residualel",""))</f>
        <v>-</v>
      </c>
      <c r="AO334" s="63">
        <f>IF(AM334="","",VLOOKUP($B334,Miljö!$B$1:$J$479,MATCH("Fossilandel för ursprungspecificerad el ()",Miljö!$B$1:$J$1,0),FALSE))</f>
        <v>0.35</v>
      </c>
      <c r="AQ334" s="63">
        <f t="shared" si="31"/>
        <v>0.65</v>
      </c>
      <c r="AS334" s="63" t="str">
        <f t="shared" si="32"/>
        <v>Nej</v>
      </c>
      <c r="AT334" s="63" t="str">
        <f>IF(AS334="ja",VLOOKUP($B334,Miljö!$B$1:$P$500,MATCH("Fossil andel i procent (%)",Miljö!$B$1:$P$1,0),FALSE)/100,"")</f>
        <v/>
      </c>
      <c r="AV334" s="63" t="str">
        <f t="shared" si="33"/>
        <v>Nej</v>
      </c>
      <c r="AW334" s="63" t="str">
        <f>IF(AV334="ja",VLOOKUP($B334,'Egen hetvattenprod'!$B$1:$AO$500,MATCH("Värmekälla till värmepumpar ()",'Egen hetvattenprod'!$B$1:$AO$1,0),FALSE),"")</f>
        <v/>
      </c>
      <c r="AY334" s="63" t="str">
        <f t="shared" si="34"/>
        <v>Ja</v>
      </c>
      <c r="AZ334" s="77">
        <f>IF($AY334="ja",(VLOOKUP($B334,'Egen hetvattenprod'!$B$1:$BX$550,MATCH(AZ$2,'Egen hetvattenprod'!$B$1:$BX$1,0),FALSE)+VLOOKUP($B334,Kraftvärmeprod!$B$1:$BX$550,MATCH(AZ$2,Kraftvärmeprod!$B$1:$BX$1,0),FALSE))/$AC334,"")</f>
        <v>1</v>
      </c>
      <c r="BA334" s="77">
        <f>IF($AY334="ja",(VLOOKUP($B334,'Egen hetvattenprod'!$B$1:$BX$550,MATCH(BA$2,'Egen hetvattenprod'!$B$1:$BX$1,0),FALSE)+VLOOKUP($B334,Kraftvärmeprod!$B$1:$BX$550,MATCH(BA$2,Kraftvärmeprod!$B$1:$BX$1,0),FALSE))/$AC334,"")</f>
        <v>0</v>
      </c>
      <c r="BB334" s="77">
        <f>IF($AY334="ja",(VLOOKUP($B334,'Egen hetvattenprod'!$B$1:$BX$550,MATCH(BB$2,'Egen hetvattenprod'!$B$1:$BX$1,0),FALSE)+VLOOKUP($B334,Kraftvärmeprod!$B$1:$BX$550,MATCH(BB$2,Kraftvärmeprod!$B$1:$BX$1,0),FALSE))/$AC334,"")</f>
        <v>0</v>
      </c>
      <c r="BC334" s="77">
        <f>IF($AY334="ja",(VLOOKUP($B334,'Egen hetvattenprod'!$B$1:$BX$550,MATCH(BC$2,'Egen hetvattenprod'!$B$1:$BX$1,0),FALSE)+VLOOKUP($B334,Kraftvärmeprod!$B$1:$BX$550,MATCH(BC$2,Kraftvärmeprod!$B$1:$BX$1,0),FALSE))/$AC334,"")</f>
        <v>0</v>
      </c>
      <c r="BD334" s="77">
        <f>IF($AY334="ja",(VLOOKUP($B334,'Egen hetvattenprod'!$B$1:$BX$550,MATCH(BD$2,'Egen hetvattenprod'!$B$1:$BX$1,0),FALSE)+VLOOKUP($B334,Kraftvärmeprod!$B$1:$BX$550,MATCH(BD$2,Kraftvärmeprod!$B$1:$BX$1,0),FALSE))/$AC334,"")</f>
        <v>0</v>
      </c>
      <c r="BF334" s="63" t="str">
        <f t="shared" si="35"/>
        <v>Nej</v>
      </c>
      <c r="BG334" s="63" t="str">
        <f>IF($BF334="ja",VLOOKUP($B334,'Egen hetvattenprod'!$B$1:$BX$550,MATCH("Andelen klimatgaser med fossilt ursprung för avfall ()",'Egen hetvattenprod'!$B$1:$BX$1,0),FALSE),"")</f>
        <v/>
      </c>
      <c r="BH334" s="63" t="str">
        <f>IF($BF334="ja",VLOOKUP($B334,Kraftvärmeprod!$B$1:$BX$550,MATCH("Andelen klimatgaser med fossilt ursprung för avfall ()",Kraftvärmeprod!$B$1:$BX$1,0),FALSE),"")</f>
        <v/>
      </c>
      <c r="BI334" s="63" t="str">
        <f>IF($BF334="ja",VLOOKUP($B334,'Egen hetvattenprod'!$B$1:$BX$550,MATCH("Avfall (GWh)",'Egen hetvattenprod'!$B$1:$BX$1,0),FALSE),"")</f>
        <v/>
      </c>
      <c r="BJ334" s="63" t="str">
        <f>IF($BF334="ja",VLOOKUP($B334,'Slutlig allokering kvv'!$B$1:$BX$550,MATCH("Avfall (GWh)",'Slutlig allokering kvv'!$B$1:$BX$1,0),FALSE),"")</f>
        <v/>
      </c>
      <c r="BK334" s="63" t="str">
        <f>IF($BF334="ja",VLOOKUP($B334,'Köpt hetvatten'!$B$1:$BX$550,MATCH("Avfall i köpt hetvatten",'Köpt hetvatten'!$B$1:$BX$1,0),FALSE),"")</f>
        <v/>
      </c>
      <c r="BL334" s="63" t="str">
        <f>IF($BF334="ja",VLOOKUP($B334,'Egen hetvattenprod'!$B$1:$BX$550,MATCH("Värde enligt ovan. (%)",'Egen hetvattenprod'!$B$1:$BX$1,0),FALSE),"")</f>
        <v/>
      </c>
      <c r="BM334" s="63" t="str">
        <f>IF($BF334="ja",VLOOKUP($B334,Kraftvärmeprod!$B$1:$BX$550,MATCH("Värde enligt ovan. (%)",Kraftvärmeprod!$B$1:$BX$1,0),FALSE),"")</f>
        <v/>
      </c>
    </row>
    <row r="335" spans="1:65" x14ac:dyDescent="0.45">
      <c r="A335" s="63" t="s">
        <v>232</v>
      </c>
      <c r="B335" s="63" t="s">
        <v>242</v>
      </c>
      <c r="C335" s="63">
        <f>VLOOKUP($B335,'Tillförd energi'!$B$1:$AI$720,MATCH(C$2,'Tillförd energi'!$B$1:$AQ$1,0),FALSE)</f>
        <v>0</v>
      </c>
      <c r="D335" s="63">
        <f>VLOOKUP($B335,'Tillförd energi'!$B$1:$AI$720,MATCH(D$2,'Tillförd energi'!$B$1:$AQ$1,0),FALSE)</f>
        <v>0.96</v>
      </c>
      <c r="E335" s="63">
        <f>VLOOKUP($B335,'Tillförd energi'!$B$1:$AI$720,MATCH(E$2,'Tillförd energi'!$B$1:$AQ$1,0),FALSE)</f>
        <v>0</v>
      </c>
      <c r="F335" s="63">
        <f>VLOOKUP($B335,'Tillförd energi'!$B$1:$AI$720,MATCH(F$2,'Tillförd energi'!$B$1:$AQ$1,0),FALSE)</f>
        <v>0</v>
      </c>
      <c r="G335" s="63">
        <f>VLOOKUP($B335,'Tillförd energi'!$B$1:$AI$720,MATCH(G$2,'Tillförd energi'!$B$1:$AQ$1,0),FALSE)</f>
        <v>0</v>
      </c>
      <c r="H335" s="63">
        <f>VLOOKUP($B335,'Tillförd energi'!$B$1:$AI$720,MATCH(H$2,'Tillförd energi'!$B$1:$AQ$1,0),FALSE)</f>
        <v>0</v>
      </c>
      <c r="I335" s="63">
        <f>VLOOKUP($B335,'Tillförd energi'!$B$1:$AI$720,MATCH(I$2,'Tillförd energi'!$B$1:$AQ$1,0),FALSE)</f>
        <v>0</v>
      </c>
      <c r="J335" s="63">
        <f>VLOOKUP($B335,'Tillförd energi'!$B$1:$AI$720,MATCH(J$2,'Tillförd energi'!$B$1:$AQ$1,0),FALSE)</f>
        <v>0</v>
      </c>
      <c r="K335" s="63">
        <f>VLOOKUP($B335,'Tillförd energi'!$B$1:$AI$720,MATCH(K$2,'Tillförd energi'!$B$1:$AQ$1,0),FALSE)</f>
        <v>0</v>
      </c>
      <c r="L335" s="63">
        <f>VLOOKUP($B335,'Tillförd energi'!$B$1:$AI$720,MATCH(L$2,'Tillförd energi'!$B$1:$AQ$1,0),FALSE)</f>
        <v>0</v>
      </c>
      <c r="M335" s="63">
        <f>VLOOKUP($B335,'Tillförd energi'!$B$1:$AI$720,MATCH(M$2,'Tillförd energi'!$B$1:$AQ$1,0),FALSE)</f>
        <v>13.882999999999999</v>
      </c>
      <c r="N335" s="63">
        <f>VLOOKUP($B335,'Tillförd energi'!$B$1:$AI$720,MATCH(N$2,'Tillförd energi'!$B$1:$AQ$1,0),FALSE)</f>
        <v>0</v>
      </c>
      <c r="O335" s="63">
        <f>VLOOKUP($B335,'Tillförd energi'!$B$1:$AI$720,MATCH(O$2,'Tillförd energi'!$B$1:$AQ$1,0),FALSE)</f>
        <v>0</v>
      </c>
      <c r="P335" s="63">
        <f>VLOOKUP($B335,'Tillförd energi'!$B$1:$AI$720,MATCH(P$2,'Tillförd energi'!$B$1:$AQ$1,0),FALSE)</f>
        <v>5.577</v>
      </c>
      <c r="Q335" s="63">
        <f>VLOOKUP($B335,'Tillförd energi'!$B$1:$AI$720,MATCH(Q$2,'Tillförd energi'!$B$1:$AQ$1,0),FALSE)</f>
        <v>0</v>
      </c>
      <c r="R335" s="63">
        <f>VLOOKUP($B335,'Tillförd energi'!$B$1:$AI$720,MATCH(R$2,'Tillförd energi'!$B$1:$AQ$1,0),FALSE)</f>
        <v>0</v>
      </c>
      <c r="S335" s="63">
        <f>VLOOKUP($B335,'Tillförd energi'!$B$1:$AI$720,MATCH(S$2,'Tillförd energi'!$B$1:$AQ$1,0),FALSE)</f>
        <v>0</v>
      </c>
      <c r="T335" s="63">
        <f>VLOOKUP($B335,'Tillförd energi'!$B$1:$AI$720,MATCH(T$2,'Tillförd energi'!$B$1:$AQ$1,0),FALSE)</f>
        <v>0</v>
      </c>
      <c r="U335" s="63">
        <f>VLOOKUP($B335,'Tillförd energi'!$B$1:$AI$720,MATCH(U$2,'Tillförd energi'!$B$1:$AQ$1,0),FALSE)</f>
        <v>0</v>
      </c>
      <c r="V335" s="63">
        <f>VLOOKUP($B335,'Tillförd energi'!$B$1:$AI$720,MATCH(V$2,'Tillförd energi'!$B$1:$AQ$1,0),FALSE)</f>
        <v>0</v>
      </c>
      <c r="W335" s="63">
        <f>VLOOKUP($B335,'Tillförd energi'!$B$1:$AI$720,MATCH(W$2,'Tillförd energi'!$B$1:$AQ$1,0),FALSE)</f>
        <v>0</v>
      </c>
      <c r="X335" s="63">
        <f>VLOOKUP($B335,'Tillförd energi'!$B$1:$AI$720,MATCH(X$2,'Tillförd energi'!$B$1:$AQ$1,0),FALSE)</f>
        <v>0</v>
      </c>
      <c r="Y335" s="63">
        <f>VLOOKUP($B335,'Tillförd energi'!$B$1:$AI$720,MATCH(Y$2,'Tillförd energi'!$B$1:$AQ$1,0),FALSE)</f>
        <v>0</v>
      </c>
      <c r="Z335" s="63">
        <f>VLOOKUP($B335,'Tillförd energi'!$B$1:$AI$720,MATCH(Z$2,'Tillförd energi'!$B$1:$AQ$1,0),FALSE)</f>
        <v>0</v>
      </c>
      <c r="AA335" s="63">
        <f>VLOOKUP($B335,'Tillförd energi'!$B$1:$AI$720,MATCH(AA$2,'Tillförd energi'!$B$1:$AQ$1,0),FALSE)</f>
        <v>0</v>
      </c>
      <c r="AB335" s="63">
        <f>VLOOKUP($B335,'Tillförd energi'!$B$1:$AI$720,MATCH(AB$2,'Tillförd energi'!$B$1:$AQ$1,0),FALSE)</f>
        <v>0</v>
      </c>
      <c r="AC335" s="63">
        <f>VLOOKUP($B335,'Tillförd energi'!$B$1:$AI$720,MATCH(AC$2,'Tillförd energi'!$B$1:$AQ$1,0),FALSE)</f>
        <v>3.9420000000000002</v>
      </c>
      <c r="AD335" s="63">
        <f>VLOOKUP($B335,'Tillförd energi'!$B$1:$AI$720,MATCH(AD$2,'Tillförd energi'!$B$1:$AQ$1,0),FALSE)</f>
        <v>0</v>
      </c>
      <c r="AE335" s="63">
        <f>VLOOKUP($B335,'Tillförd energi'!$B$1:$AI$720,MATCH(AE$2,'Tillförd energi'!$B$1:$AQ$1,0),FALSE)</f>
        <v>0</v>
      </c>
      <c r="AF335" s="63">
        <f>VLOOKUP($B335,'Tillförd energi'!$B$1:$AI$720,MATCH(AF$2,'Tillförd energi'!$B$1:$AQ$1,0),FALSE)</f>
        <v>0.65400000000000003</v>
      </c>
      <c r="AG335" s="63">
        <f>IFERROR(VLOOKUP(B335,Miljö!$B$1:$AC$550,MATCH("Köpt mängd produktionsspecifik fjärrvärme:",Miljö!$B$1:$AC$1,0),FALSE)/1,0)</f>
        <v>0</v>
      </c>
      <c r="AI335" s="63">
        <f t="shared" si="30"/>
        <v>25.016000000000002</v>
      </c>
      <c r="AJ335" s="63">
        <f>IF(ISERROR(1/VLOOKUP($B335,Leveranser!$B$1:$S$500,MATCH("såld värme (gwh)",Leveranser!$B$1:$S$1,0),FALSE)),"",VLOOKUP($B335,Leveranser!$B$1:$S$500,MATCH("såld värme (gwh)",Leveranser!$B$1:$S$1,0),FALSE))</f>
        <v>19.093</v>
      </c>
      <c r="AM335" s="63" t="str">
        <f>IF(B335&lt;&gt;"",IF(VLOOKUP($B335,Totalt!$B$1:$AQ$554,MATCH("Kvalitetsgranskad:",Totalt!$B$1:$AQ$1,0),FALSE)="ja",VLOOKUP($B335,Miljö!$B$1:$AG$479,MATCH(AM$2,Miljö!$B$1:$AK$1,0),FALSE),""),"")</f>
        <v>Ja</v>
      </c>
      <c r="AN335" s="63" t="str">
        <f>IF(AM335="ja",VLOOKUP($B335,Miljö!$B$1:$J$479,MATCH("Typ av ursprungsspecificerad el   (Om inget värde anges används Nordisk residualmix, se inforuta) ()",Miljö!$B$1:$J$1,0),FALSE),IF(AM335="nej","Nordisk residualel",""))</f>
        <v>'Vattenfalls elmix'</v>
      </c>
      <c r="AO335" s="63">
        <f>IF(AM335="","",VLOOKUP($B335,Miljö!$B$1:$J$479,MATCH("Fossilandel för ursprungspecificerad el ()",Miljö!$B$1:$J$1,0),FALSE))</f>
        <v>0</v>
      </c>
      <c r="AQ335" s="63">
        <f t="shared" si="31"/>
        <v>1</v>
      </c>
      <c r="AS335" s="63" t="str">
        <f t="shared" si="32"/>
        <v>Nej</v>
      </c>
      <c r="AT335" s="63" t="str">
        <f>IF(AS335="ja",VLOOKUP($B335,Miljö!$B$1:$P$500,MATCH("Fossil andel i procent (%)",Miljö!$B$1:$P$1,0),FALSE)/100,"")</f>
        <v/>
      </c>
      <c r="AV335" s="63" t="str">
        <f t="shared" si="33"/>
        <v>Nej</v>
      </c>
      <c r="AW335" s="63" t="str">
        <f>IF(AV335="ja",VLOOKUP($B335,'Egen hetvattenprod'!$B$1:$AO$500,MATCH("Värmekälla till värmepumpar ()",'Egen hetvattenprod'!$B$1:$AO$1,0),FALSE),"")</f>
        <v/>
      </c>
      <c r="AY335" s="63" t="str">
        <f t="shared" si="34"/>
        <v>Ja</v>
      </c>
      <c r="AZ335" s="77">
        <f>IF($AY335="ja",(VLOOKUP($B335,'Egen hetvattenprod'!$B$1:$BX$550,MATCH(AZ$2,'Egen hetvattenprod'!$B$1:$BX$1,0),FALSE)+VLOOKUP($B335,Kraftvärmeprod!$B$1:$BX$550,MATCH(AZ$2,Kraftvärmeprod!$B$1:$BX$1,0),FALSE))/$AC335,"")</f>
        <v>0.95299999999999996</v>
      </c>
      <c r="BA335" s="77">
        <f>IF($AY335="ja",(VLOOKUP($B335,'Egen hetvattenprod'!$B$1:$BX$550,MATCH(BA$2,'Egen hetvattenprod'!$B$1:$BX$1,0),FALSE)+VLOOKUP($B335,Kraftvärmeprod!$B$1:$BX$550,MATCH(BA$2,Kraftvärmeprod!$B$1:$BX$1,0),FALSE))/$AC335,"")</f>
        <v>0</v>
      </c>
      <c r="BB335" s="77">
        <f>IF($AY335="ja",(VLOOKUP($B335,'Egen hetvattenprod'!$B$1:$BX$550,MATCH(BB$2,'Egen hetvattenprod'!$B$1:$BX$1,0),FALSE)+VLOOKUP($B335,Kraftvärmeprod!$B$1:$BX$550,MATCH(BB$2,Kraftvärmeprod!$B$1:$BX$1,0),FALSE))/$AC335,"")</f>
        <v>4.7E-2</v>
      </c>
      <c r="BC335" s="77">
        <f>IF($AY335="ja",(VLOOKUP($B335,'Egen hetvattenprod'!$B$1:$BX$550,MATCH(BC$2,'Egen hetvattenprod'!$B$1:$BX$1,0),FALSE)+VLOOKUP($B335,Kraftvärmeprod!$B$1:$BX$550,MATCH(BC$2,Kraftvärmeprod!$B$1:$BX$1,0),FALSE))/$AC335,"")</f>
        <v>0</v>
      </c>
      <c r="BD335" s="77">
        <f>IF($AY335="ja",(VLOOKUP($B335,'Egen hetvattenprod'!$B$1:$BX$550,MATCH(BD$2,'Egen hetvattenprod'!$B$1:$BX$1,0),FALSE)+VLOOKUP($B335,Kraftvärmeprod!$B$1:$BX$550,MATCH(BD$2,Kraftvärmeprod!$B$1:$BX$1,0),FALSE))/$AC335,"")</f>
        <v>0</v>
      </c>
      <c r="BF335" s="63" t="str">
        <f t="shared" si="35"/>
        <v>Nej</v>
      </c>
      <c r="BG335" s="63" t="str">
        <f>IF($BF335="ja",VLOOKUP($B335,'Egen hetvattenprod'!$B$1:$BX$550,MATCH("Andelen klimatgaser med fossilt ursprung för avfall ()",'Egen hetvattenprod'!$B$1:$BX$1,0),FALSE),"")</f>
        <v/>
      </c>
      <c r="BH335" s="63" t="str">
        <f>IF($BF335="ja",VLOOKUP($B335,Kraftvärmeprod!$B$1:$BX$550,MATCH("Andelen klimatgaser med fossilt ursprung för avfall ()",Kraftvärmeprod!$B$1:$BX$1,0),FALSE),"")</f>
        <v/>
      </c>
      <c r="BI335" s="63" t="str">
        <f>IF($BF335="ja",VLOOKUP($B335,'Egen hetvattenprod'!$B$1:$BX$550,MATCH("Avfall (GWh)",'Egen hetvattenprod'!$B$1:$BX$1,0),FALSE),"")</f>
        <v/>
      </c>
      <c r="BJ335" s="63" t="str">
        <f>IF($BF335="ja",VLOOKUP($B335,'Slutlig allokering kvv'!$B$1:$BX$550,MATCH("Avfall (GWh)",'Slutlig allokering kvv'!$B$1:$BX$1,0),FALSE),"")</f>
        <v/>
      </c>
      <c r="BK335" s="63" t="str">
        <f>IF($BF335="ja",VLOOKUP($B335,'Köpt hetvatten'!$B$1:$BX$550,MATCH("Avfall i köpt hetvatten",'Köpt hetvatten'!$B$1:$BX$1,0),FALSE),"")</f>
        <v/>
      </c>
      <c r="BL335" s="63" t="str">
        <f>IF($BF335="ja",VLOOKUP($B335,'Egen hetvattenprod'!$B$1:$BX$550,MATCH("Värde enligt ovan. (%)",'Egen hetvattenprod'!$B$1:$BX$1,0),FALSE),"")</f>
        <v/>
      </c>
      <c r="BM335" s="63" t="str">
        <f>IF($BF335="ja",VLOOKUP($B335,Kraftvärmeprod!$B$1:$BX$550,MATCH("Värde enligt ovan. (%)",Kraftvärmeprod!$B$1:$BX$1,0),FALSE),"")</f>
        <v/>
      </c>
    </row>
    <row r="336" spans="1:65" x14ac:dyDescent="0.45">
      <c r="A336" s="63" t="s">
        <v>232</v>
      </c>
      <c r="B336" s="63" t="s">
        <v>241</v>
      </c>
      <c r="C336" s="63">
        <f>VLOOKUP($B336,'Tillförd energi'!$B$1:$AI$720,MATCH(C$2,'Tillförd energi'!$B$1:$AQ$1,0),FALSE)</f>
        <v>0</v>
      </c>
      <c r="D336" s="63">
        <f>VLOOKUP($B336,'Tillförd energi'!$B$1:$AI$720,MATCH(D$2,'Tillförd energi'!$B$1:$AQ$1,0),FALSE)</f>
        <v>0</v>
      </c>
      <c r="E336" s="63">
        <f>VLOOKUP($B336,'Tillförd energi'!$B$1:$AI$720,MATCH(E$2,'Tillförd energi'!$B$1:$AQ$1,0),FALSE)</f>
        <v>0</v>
      </c>
      <c r="F336" s="63">
        <f>VLOOKUP($B336,'Tillförd energi'!$B$1:$AI$720,MATCH(F$2,'Tillförd energi'!$B$1:$AQ$1,0),FALSE)</f>
        <v>0</v>
      </c>
      <c r="G336" s="63">
        <f>VLOOKUP($B336,'Tillförd energi'!$B$1:$AI$720,MATCH(G$2,'Tillförd energi'!$B$1:$AQ$1,0),FALSE)</f>
        <v>0</v>
      </c>
      <c r="H336" s="63">
        <f>VLOOKUP($B336,'Tillförd energi'!$B$1:$AI$720,MATCH(H$2,'Tillförd energi'!$B$1:$AQ$1,0),FALSE)</f>
        <v>0</v>
      </c>
      <c r="I336" s="63">
        <f>VLOOKUP($B336,'Tillförd energi'!$B$1:$AI$720,MATCH(I$2,'Tillförd energi'!$B$1:$AQ$1,0),FALSE)</f>
        <v>0</v>
      </c>
      <c r="J336" s="63">
        <f>VLOOKUP($B336,'Tillförd energi'!$B$1:$AI$720,MATCH(J$2,'Tillförd energi'!$B$1:$AQ$1,0),FALSE)</f>
        <v>0</v>
      </c>
      <c r="K336" s="63">
        <f>VLOOKUP($B336,'Tillförd energi'!$B$1:$AI$720,MATCH(K$2,'Tillförd energi'!$B$1:$AQ$1,0),FALSE)</f>
        <v>0</v>
      </c>
      <c r="L336" s="63">
        <f>VLOOKUP($B336,'Tillförd energi'!$B$1:$AI$720,MATCH(L$2,'Tillförd energi'!$B$1:$AQ$1,0),FALSE)</f>
        <v>268.50299999999999</v>
      </c>
      <c r="M336" s="63">
        <f>VLOOKUP($B336,'Tillförd energi'!$B$1:$AI$720,MATCH(M$2,'Tillförd energi'!$B$1:$AQ$1,0),FALSE)</f>
        <v>0</v>
      </c>
      <c r="N336" s="63">
        <f>VLOOKUP($B336,'Tillförd energi'!$B$1:$AI$720,MATCH(N$2,'Tillförd energi'!$B$1:$AQ$1,0),FALSE)</f>
        <v>0</v>
      </c>
      <c r="O336" s="63">
        <f>VLOOKUP($B336,'Tillförd energi'!$B$1:$AI$720,MATCH(O$2,'Tillförd energi'!$B$1:$AQ$1,0),FALSE)</f>
        <v>0</v>
      </c>
      <c r="P336" s="63">
        <f>VLOOKUP($B336,'Tillförd energi'!$B$1:$AI$720,MATCH(P$2,'Tillförd energi'!$B$1:$AQ$1,0),FALSE)</f>
        <v>2.4540600000000001</v>
      </c>
      <c r="Q336" s="63">
        <f>VLOOKUP($B336,'Tillförd energi'!$B$1:$AI$720,MATCH(Q$2,'Tillförd energi'!$B$1:$AQ$1,0),FALSE)</f>
        <v>0</v>
      </c>
      <c r="R336" s="63">
        <f>VLOOKUP($B336,'Tillförd energi'!$B$1:$AI$720,MATCH(R$2,'Tillförd energi'!$B$1:$AQ$1,0),FALSE)</f>
        <v>0</v>
      </c>
      <c r="S336" s="63">
        <f>VLOOKUP($B336,'Tillförd energi'!$B$1:$AI$720,MATCH(S$2,'Tillförd energi'!$B$1:$AQ$1,0),FALSE)</f>
        <v>125.90300000000001</v>
      </c>
      <c r="T336" s="63">
        <f>VLOOKUP($B336,'Tillförd energi'!$B$1:$AI$720,MATCH(T$2,'Tillförd energi'!$B$1:$AQ$1,0),FALSE)</f>
        <v>0</v>
      </c>
      <c r="U336" s="63">
        <f>VLOOKUP($B336,'Tillförd energi'!$B$1:$AI$720,MATCH(U$2,'Tillförd energi'!$B$1:$AQ$1,0),FALSE)</f>
        <v>0</v>
      </c>
      <c r="V336" s="63">
        <f>VLOOKUP($B336,'Tillförd energi'!$B$1:$AI$720,MATCH(V$2,'Tillförd energi'!$B$1:$AQ$1,0),FALSE)</f>
        <v>0</v>
      </c>
      <c r="W336" s="63">
        <f>VLOOKUP($B336,'Tillförd energi'!$B$1:$AI$720,MATCH(W$2,'Tillförd energi'!$B$1:$AQ$1,0),FALSE)</f>
        <v>13.976100000000001</v>
      </c>
      <c r="X336" s="63">
        <f>VLOOKUP($B336,'Tillförd energi'!$B$1:$AI$720,MATCH(X$2,'Tillförd energi'!$B$1:$AQ$1,0),FALSE)</f>
        <v>0</v>
      </c>
      <c r="Y336" s="63">
        <f>VLOOKUP($B336,'Tillförd energi'!$B$1:$AI$720,MATCH(Y$2,'Tillförd energi'!$B$1:$AQ$1,0),FALSE)</f>
        <v>0</v>
      </c>
      <c r="Z336" s="63">
        <f>VLOOKUP($B336,'Tillförd energi'!$B$1:$AI$720,MATCH(Z$2,'Tillförd energi'!$B$1:$AQ$1,0),FALSE)</f>
        <v>0</v>
      </c>
      <c r="AA336" s="63">
        <f>VLOOKUP($B336,'Tillförd energi'!$B$1:$AI$720,MATCH(AA$2,'Tillförd energi'!$B$1:$AQ$1,0),FALSE)</f>
        <v>0</v>
      </c>
      <c r="AB336" s="63">
        <f>VLOOKUP($B336,'Tillförd energi'!$B$1:$AI$720,MATCH(AB$2,'Tillförd energi'!$B$1:$AQ$1,0),FALSE)</f>
        <v>0</v>
      </c>
      <c r="AC336" s="63">
        <f>VLOOKUP($B336,'Tillförd energi'!$B$1:$AI$720,MATCH(AC$2,'Tillförd energi'!$B$1:$AQ$1,0),FALSE)</f>
        <v>49.13</v>
      </c>
      <c r="AD336" s="63">
        <f>VLOOKUP($B336,'Tillförd energi'!$B$1:$AI$720,MATCH(AD$2,'Tillförd energi'!$B$1:$AQ$1,0),FALSE)</f>
        <v>4.548</v>
      </c>
      <c r="AE336" s="63">
        <f>VLOOKUP($B336,'Tillförd energi'!$B$1:$AI$720,MATCH(AE$2,'Tillförd energi'!$B$1:$AQ$1,0),FALSE)</f>
        <v>0</v>
      </c>
      <c r="AF336" s="63">
        <f>VLOOKUP($B336,'Tillförd energi'!$B$1:$AI$720,MATCH(AF$2,'Tillförd energi'!$B$1:$AQ$1,0),FALSE)</f>
        <v>21.561499999999999</v>
      </c>
      <c r="AG336" s="63">
        <f>IFERROR(VLOOKUP(B336,Miljö!$B$1:$AC$550,MATCH("Köpt mängd produktionsspecifik fjärrvärme:",Miljö!$B$1:$AC$1,0),FALSE)/1,0)</f>
        <v>0</v>
      </c>
      <c r="AI336" s="63">
        <f t="shared" si="30"/>
        <v>486.07566000000003</v>
      </c>
      <c r="AJ336" s="63">
        <f>IF(ISERROR(1/VLOOKUP($B336,Leveranser!$B$1:$S$500,MATCH("såld värme (gwh)",Leveranser!$B$1:$S$1,0),FALSE)),"",VLOOKUP($B336,Leveranser!$B$1:$S$500,MATCH("såld värme (gwh)",Leveranser!$B$1:$S$1,0),FALSE))</f>
        <v>452.48099999999999</v>
      </c>
      <c r="AM336" s="63" t="str">
        <f>IF(B336&lt;&gt;"",IF(VLOOKUP($B336,Totalt!$B$1:$AQ$554,MATCH("Kvalitetsgranskad:",Totalt!$B$1:$AQ$1,0),FALSE)="ja",VLOOKUP($B336,Miljö!$B$1:$AG$479,MATCH(AM$2,Miljö!$B$1:$AK$1,0),FALSE),""),"")</f>
        <v>Ja</v>
      </c>
      <c r="AN336" s="63" t="str">
        <f>IF(AM336="ja",VLOOKUP($B336,Miljö!$B$1:$J$479,MATCH("Typ av ursprungsspecificerad el   (Om inget värde anges används Nordisk residualmix, se inforuta) ()",Miljö!$B$1:$J$1,0),FALSE),IF(AM336="nej","Nordisk residualel",""))</f>
        <v>'Egenproducerad el från biobränsle'</v>
      </c>
      <c r="AO336" s="63">
        <f>IF(AM336="","",VLOOKUP($B336,Miljö!$B$1:$J$479,MATCH("Fossilandel för ursprungspecificerad el ()",Miljö!$B$1:$J$1,0),FALSE))</f>
        <v>0</v>
      </c>
      <c r="AQ336" s="63">
        <f t="shared" si="31"/>
        <v>1</v>
      </c>
      <c r="AS336" s="63" t="str">
        <f t="shared" si="32"/>
        <v>Nej</v>
      </c>
      <c r="AT336" s="63" t="str">
        <f>IF(AS336="ja",VLOOKUP($B336,Miljö!$B$1:$P$500,MATCH("Fossil andel i procent (%)",Miljö!$B$1:$P$1,0),FALSE)/100,"")</f>
        <v/>
      </c>
      <c r="AV336" s="63" t="str">
        <f t="shared" si="33"/>
        <v>Nej</v>
      </c>
      <c r="AW336" s="63" t="str">
        <f>IF(AV336="ja",VLOOKUP($B336,'Egen hetvattenprod'!$B$1:$AO$500,MATCH("Värmekälla till värmepumpar ()",'Egen hetvattenprod'!$B$1:$AO$1,0),FALSE),"")</f>
        <v/>
      </c>
      <c r="AY336" s="63" t="str">
        <f t="shared" si="34"/>
        <v>Ja</v>
      </c>
      <c r="AZ336" s="77">
        <f>IF($AY336="ja",(VLOOKUP($B336,'Egen hetvattenprod'!$B$1:$BX$550,MATCH(AZ$2,'Egen hetvattenprod'!$B$1:$BX$1,0),FALSE)+VLOOKUP($B336,Kraftvärmeprod!$B$1:$BX$550,MATCH(AZ$2,Kraftvärmeprod!$B$1:$BX$1,0),FALSE))/$AC336,"")</f>
        <v>1</v>
      </c>
      <c r="BA336" s="77">
        <f>IF($AY336="ja",(VLOOKUP($B336,'Egen hetvattenprod'!$B$1:$BX$550,MATCH(BA$2,'Egen hetvattenprod'!$B$1:$BX$1,0),FALSE)+VLOOKUP($B336,Kraftvärmeprod!$B$1:$BX$550,MATCH(BA$2,Kraftvärmeprod!$B$1:$BX$1,0),FALSE))/$AC336,"")</f>
        <v>0</v>
      </c>
      <c r="BB336" s="77">
        <f>IF($AY336="ja",(VLOOKUP($B336,'Egen hetvattenprod'!$B$1:$BX$550,MATCH(BB$2,'Egen hetvattenprod'!$B$1:$BX$1,0),FALSE)+VLOOKUP($B336,Kraftvärmeprod!$B$1:$BX$550,MATCH(BB$2,Kraftvärmeprod!$B$1:$BX$1,0),FALSE))/$AC336,"")</f>
        <v>0</v>
      </c>
      <c r="BC336" s="77">
        <f>IF($AY336="ja",(VLOOKUP($B336,'Egen hetvattenprod'!$B$1:$BX$550,MATCH(BC$2,'Egen hetvattenprod'!$B$1:$BX$1,0),FALSE)+VLOOKUP($B336,Kraftvärmeprod!$B$1:$BX$550,MATCH(BC$2,Kraftvärmeprod!$B$1:$BX$1,0),FALSE))/$AC336,"")</f>
        <v>0</v>
      </c>
      <c r="BD336" s="77">
        <f>IF($AY336="ja",(VLOOKUP($B336,'Egen hetvattenprod'!$B$1:$BX$550,MATCH(BD$2,'Egen hetvattenprod'!$B$1:$BX$1,0),FALSE)+VLOOKUP($B336,Kraftvärmeprod!$B$1:$BX$550,MATCH(BD$2,Kraftvärmeprod!$B$1:$BX$1,0),FALSE))/$AC336,"")</f>
        <v>0</v>
      </c>
      <c r="BF336" s="63" t="str">
        <f t="shared" si="35"/>
        <v>Nej</v>
      </c>
      <c r="BG336" s="63" t="str">
        <f>IF($BF336="ja",VLOOKUP($B336,'Egen hetvattenprod'!$B$1:$BX$550,MATCH("Andelen klimatgaser med fossilt ursprung för avfall ()",'Egen hetvattenprod'!$B$1:$BX$1,0),FALSE),"")</f>
        <v/>
      </c>
      <c r="BH336" s="63" t="str">
        <f>IF($BF336="ja",VLOOKUP($B336,Kraftvärmeprod!$B$1:$BX$550,MATCH("Andelen klimatgaser med fossilt ursprung för avfall ()",Kraftvärmeprod!$B$1:$BX$1,0),FALSE),"")</f>
        <v/>
      </c>
      <c r="BI336" s="63" t="str">
        <f>IF($BF336="ja",VLOOKUP($B336,'Egen hetvattenprod'!$B$1:$BX$550,MATCH("Avfall (GWh)",'Egen hetvattenprod'!$B$1:$BX$1,0),FALSE),"")</f>
        <v/>
      </c>
      <c r="BJ336" s="63" t="str">
        <f>IF($BF336="ja",VLOOKUP($B336,'Slutlig allokering kvv'!$B$1:$BX$550,MATCH("Avfall (GWh)",'Slutlig allokering kvv'!$B$1:$BX$1,0),FALSE),"")</f>
        <v/>
      </c>
      <c r="BK336" s="63" t="str">
        <f>IF($BF336="ja",VLOOKUP($B336,'Köpt hetvatten'!$B$1:$BX$550,MATCH("Avfall i köpt hetvatten",'Köpt hetvatten'!$B$1:$BX$1,0),FALSE),"")</f>
        <v/>
      </c>
      <c r="BL336" s="63" t="str">
        <f>IF($BF336="ja",VLOOKUP($B336,'Egen hetvattenprod'!$B$1:$BX$550,MATCH("Värde enligt ovan. (%)",'Egen hetvattenprod'!$B$1:$BX$1,0),FALSE),"")</f>
        <v/>
      </c>
      <c r="BM336" s="63" t="str">
        <f>IF($BF336="ja",VLOOKUP($B336,Kraftvärmeprod!$B$1:$BX$550,MATCH("Värde enligt ovan. (%)",Kraftvärmeprod!$B$1:$BX$1,0),FALSE),"")</f>
        <v/>
      </c>
    </row>
    <row r="337" spans="1:65" x14ac:dyDescent="0.45">
      <c r="A337" s="63" t="s">
        <v>232</v>
      </c>
      <c r="B337" s="63" t="s">
        <v>240</v>
      </c>
      <c r="C337" s="63">
        <f>VLOOKUP($B337,'Tillförd energi'!$B$1:$AI$720,MATCH(C$2,'Tillförd energi'!$B$1:$AQ$1,0),FALSE)</f>
        <v>0</v>
      </c>
      <c r="D337" s="63">
        <f>VLOOKUP($B337,'Tillförd energi'!$B$1:$AI$720,MATCH(D$2,'Tillförd energi'!$B$1:$AQ$1,0),FALSE)</f>
        <v>8.1000000000000003E-2</v>
      </c>
      <c r="E337" s="63">
        <f>VLOOKUP($B337,'Tillförd energi'!$B$1:$AI$720,MATCH(E$2,'Tillförd energi'!$B$1:$AQ$1,0),FALSE)</f>
        <v>0</v>
      </c>
      <c r="F337" s="63">
        <f>VLOOKUP($B337,'Tillförd energi'!$B$1:$AI$720,MATCH(F$2,'Tillförd energi'!$B$1:$AQ$1,0),FALSE)</f>
        <v>0</v>
      </c>
      <c r="G337" s="63">
        <f>VLOOKUP($B337,'Tillförd energi'!$B$1:$AI$720,MATCH(G$2,'Tillförd energi'!$B$1:$AQ$1,0),FALSE)</f>
        <v>0</v>
      </c>
      <c r="H337" s="63">
        <f>VLOOKUP($B337,'Tillförd energi'!$B$1:$AI$720,MATCH(H$2,'Tillförd energi'!$B$1:$AQ$1,0),FALSE)</f>
        <v>0</v>
      </c>
      <c r="I337" s="63">
        <f>VLOOKUP($B337,'Tillförd energi'!$B$1:$AI$720,MATCH(I$2,'Tillförd energi'!$B$1:$AQ$1,0),FALSE)</f>
        <v>0</v>
      </c>
      <c r="J337" s="63">
        <f>VLOOKUP($B337,'Tillförd energi'!$B$1:$AI$720,MATCH(J$2,'Tillförd energi'!$B$1:$AQ$1,0),FALSE)</f>
        <v>11.388999999999999</v>
      </c>
      <c r="K337" s="63">
        <f>VLOOKUP($B337,'Tillförd energi'!$B$1:$AI$720,MATCH(K$2,'Tillförd energi'!$B$1:$AQ$1,0),FALSE)</f>
        <v>0</v>
      </c>
      <c r="L337" s="63">
        <f>VLOOKUP($B337,'Tillförd energi'!$B$1:$AI$720,MATCH(L$2,'Tillförd energi'!$B$1:$AQ$1,0),FALSE)</f>
        <v>0</v>
      </c>
      <c r="M337" s="63">
        <f>VLOOKUP($B337,'Tillförd energi'!$B$1:$AI$720,MATCH(M$2,'Tillförd energi'!$B$1:$AQ$1,0),FALSE)</f>
        <v>0</v>
      </c>
      <c r="N337" s="63">
        <f>VLOOKUP($B337,'Tillförd energi'!$B$1:$AI$720,MATCH(N$2,'Tillförd energi'!$B$1:$AQ$1,0),FALSE)</f>
        <v>0</v>
      </c>
      <c r="O337" s="63">
        <f>VLOOKUP($B337,'Tillförd energi'!$B$1:$AI$720,MATCH(O$2,'Tillförd energi'!$B$1:$AQ$1,0),FALSE)</f>
        <v>0</v>
      </c>
      <c r="P337" s="63">
        <f>VLOOKUP($B337,'Tillförd energi'!$B$1:$AI$720,MATCH(P$2,'Tillförd energi'!$B$1:$AQ$1,0),FALSE)</f>
        <v>43.561</v>
      </c>
      <c r="Q337" s="63">
        <f>VLOOKUP($B337,'Tillförd energi'!$B$1:$AI$720,MATCH(Q$2,'Tillförd energi'!$B$1:$AQ$1,0),FALSE)</f>
        <v>0</v>
      </c>
      <c r="R337" s="63">
        <f>VLOOKUP($B337,'Tillförd energi'!$B$1:$AI$720,MATCH(R$2,'Tillförd energi'!$B$1:$AQ$1,0),FALSE)</f>
        <v>2.589</v>
      </c>
      <c r="S337" s="63">
        <f>VLOOKUP($B337,'Tillförd energi'!$B$1:$AI$720,MATCH(S$2,'Tillförd energi'!$B$1:$AQ$1,0),FALSE)</f>
        <v>0</v>
      </c>
      <c r="T337" s="63">
        <f>VLOOKUP($B337,'Tillförd energi'!$B$1:$AI$720,MATCH(T$2,'Tillförd energi'!$B$1:$AQ$1,0),FALSE)</f>
        <v>0</v>
      </c>
      <c r="U337" s="63">
        <f>VLOOKUP($B337,'Tillförd energi'!$B$1:$AI$720,MATCH(U$2,'Tillförd energi'!$B$1:$AQ$1,0),FALSE)</f>
        <v>2.4</v>
      </c>
      <c r="V337" s="63">
        <f>VLOOKUP($B337,'Tillförd energi'!$B$1:$AI$720,MATCH(V$2,'Tillförd energi'!$B$1:$AQ$1,0),FALSE)</f>
        <v>0</v>
      </c>
      <c r="W337" s="63">
        <f>VLOOKUP($B337,'Tillförd energi'!$B$1:$AI$720,MATCH(W$2,'Tillförd energi'!$B$1:$AQ$1,0),FALSE)</f>
        <v>17.132000000000001</v>
      </c>
      <c r="X337" s="63">
        <f>VLOOKUP($B337,'Tillförd energi'!$B$1:$AI$720,MATCH(X$2,'Tillförd energi'!$B$1:$AQ$1,0),FALSE)</f>
        <v>0</v>
      </c>
      <c r="Y337" s="63">
        <f>VLOOKUP($B337,'Tillförd energi'!$B$1:$AI$720,MATCH(Y$2,'Tillförd energi'!$B$1:$AQ$1,0),FALSE)</f>
        <v>0</v>
      </c>
      <c r="Z337" s="63">
        <f>VLOOKUP($B337,'Tillförd energi'!$B$1:$AI$720,MATCH(Z$2,'Tillförd energi'!$B$1:$AQ$1,0),FALSE)</f>
        <v>0</v>
      </c>
      <c r="AA337" s="63">
        <f>VLOOKUP($B337,'Tillförd energi'!$B$1:$AI$720,MATCH(AA$2,'Tillförd energi'!$B$1:$AQ$1,0),FALSE)</f>
        <v>0</v>
      </c>
      <c r="AB337" s="63">
        <f>VLOOKUP($B337,'Tillförd energi'!$B$1:$AI$720,MATCH(AB$2,'Tillförd energi'!$B$1:$AQ$1,0),FALSE)</f>
        <v>0</v>
      </c>
      <c r="AC337" s="63">
        <f>VLOOKUP($B337,'Tillförd energi'!$B$1:$AI$720,MATCH(AC$2,'Tillförd energi'!$B$1:$AQ$1,0),FALSE)</f>
        <v>6.875</v>
      </c>
      <c r="AD337" s="63">
        <f>VLOOKUP($B337,'Tillförd energi'!$B$1:$AI$720,MATCH(AD$2,'Tillförd energi'!$B$1:$AQ$1,0),FALSE)</f>
        <v>0</v>
      </c>
      <c r="AE337" s="63">
        <f>VLOOKUP($B337,'Tillförd energi'!$B$1:$AI$720,MATCH(AE$2,'Tillförd energi'!$B$1:$AQ$1,0),FALSE)</f>
        <v>0</v>
      </c>
      <c r="AF337" s="63">
        <f>VLOOKUP($B337,'Tillförd energi'!$B$1:$AI$720,MATCH(AF$2,'Tillförd energi'!$B$1:$AQ$1,0),FALSE)</f>
        <v>1.5680000000000001</v>
      </c>
      <c r="AG337" s="63">
        <f>IFERROR(VLOOKUP(B337,Miljö!$B$1:$AC$550,MATCH("Köpt mängd produktionsspecifik fjärrvärme:",Miljö!$B$1:$AC$1,0),FALSE)/1,0)</f>
        <v>0</v>
      </c>
      <c r="AI337" s="63">
        <f t="shared" si="30"/>
        <v>85.594999999999999</v>
      </c>
      <c r="AJ337" s="63">
        <f>IF(ISERROR(1/VLOOKUP($B337,Leveranser!$B$1:$S$500,MATCH("såld värme (gwh)",Leveranser!$B$1:$S$1,0),FALSE)),"",VLOOKUP($B337,Leveranser!$B$1:$S$500,MATCH("såld värme (gwh)",Leveranser!$B$1:$S$1,0),FALSE))</f>
        <v>65.201999999999998</v>
      </c>
      <c r="AM337" s="63" t="str">
        <f>IF(B337&lt;&gt;"",IF(VLOOKUP($B337,Totalt!$B$1:$AQ$554,MATCH("Kvalitetsgranskad:",Totalt!$B$1:$AQ$1,0),FALSE)="ja",VLOOKUP($B337,Miljö!$B$1:$AG$479,MATCH(AM$2,Miljö!$B$1:$AK$1,0),FALSE),""),"")</f>
        <v>Ja</v>
      </c>
      <c r="AN337" s="63" t="str">
        <f>IF(AM337="ja",VLOOKUP($B337,Miljö!$B$1:$J$479,MATCH("Typ av ursprungsspecificerad el   (Om inget värde anges används Nordisk residualmix, se inforuta) ()",Miljö!$B$1:$J$1,0),FALSE),IF(AM337="nej","Nordisk residualel",""))</f>
        <v>'Vattenfalls elmix'</v>
      </c>
      <c r="AO337" s="63">
        <f>IF(AM337="","",VLOOKUP($B337,Miljö!$B$1:$J$479,MATCH("Fossilandel för ursprungspecificerad el ()",Miljö!$B$1:$J$1,0),FALSE))</f>
        <v>0</v>
      </c>
      <c r="AQ337" s="63">
        <f t="shared" si="31"/>
        <v>1</v>
      </c>
      <c r="AS337" s="63" t="str">
        <f t="shared" si="32"/>
        <v>Nej</v>
      </c>
      <c r="AT337" s="63" t="str">
        <f>IF(AS337="ja",VLOOKUP($B337,Miljö!$B$1:$P$500,MATCH("Fossil andel i procent (%)",Miljö!$B$1:$P$1,0),FALSE)/100,"")</f>
        <v/>
      </c>
      <c r="AV337" s="63" t="str">
        <f t="shared" si="33"/>
        <v>Nej</v>
      </c>
      <c r="AW337" s="63" t="str">
        <f>IF(AV337="ja",VLOOKUP($B337,'Egen hetvattenprod'!$B$1:$AO$500,MATCH("Värmekälla till värmepumpar ()",'Egen hetvattenprod'!$B$1:$AO$1,0),FALSE),"")</f>
        <v/>
      </c>
      <c r="AY337" s="63" t="str">
        <f t="shared" si="34"/>
        <v>Ja</v>
      </c>
      <c r="AZ337" s="77">
        <f>IF($AY337="ja",(VLOOKUP($B337,'Egen hetvattenprod'!$B$1:$BX$550,MATCH(AZ$2,'Egen hetvattenprod'!$B$1:$BX$1,0),FALSE)+VLOOKUP($B337,Kraftvärmeprod!$B$1:$BX$550,MATCH(AZ$2,Kraftvärmeprod!$B$1:$BX$1,0),FALSE))/$AC337,"")</f>
        <v>1</v>
      </c>
      <c r="BA337" s="77">
        <f>IF($AY337="ja",(VLOOKUP($B337,'Egen hetvattenprod'!$B$1:$BX$550,MATCH(BA$2,'Egen hetvattenprod'!$B$1:$BX$1,0),FALSE)+VLOOKUP($B337,Kraftvärmeprod!$B$1:$BX$550,MATCH(BA$2,Kraftvärmeprod!$B$1:$BX$1,0),FALSE))/$AC337,"")</f>
        <v>0</v>
      </c>
      <c r="BB337" s="77">
        <f>IF($AY337="ja",(VLOOKUP($B337,'Egen hetvattenprod'!$B$1:$BX$550,MATCH(BB$2,'Egen hetvattenprod'!$B$1:$BX$1,0),FALSE)+VLOOKUP($B337,Kraftvärmeprod!$B$1:$BX$550,MATCH(BB$2,Kraftvärmeprod!$B$1:$BX$1,0),FALSE))/$AC337,"")</f>
        <v>0</v>
      </c>
      <c r="BC337" s="77">
        <f>IF($AY337="ja",(VLOOKUP($B337,'Egen hetvattenprod'!$B$1:$BX$550,MATCH(BC$2,'Egen hetvattenprod'!$B$1:$BX$1,0),FALSE)+VLOOKUP($B337,Kraftvärmeprod!$B$1:$BX$550,MATCH(BC$2,Kraftvärmeprod!$B$1:$BX$1,0),FALSE))/$AC337,"")</f>
        <v>0</v>
      </c>
      <c r="BD337" s="77">
        <f>IF($AY337="ja",(VLOOKUP($B337,'Egen hetvattenprod'!$B$1:$BX$550,MATCH(BD$2,'Egen hetvattenprod'!$B$1:$BX$1,0),FALSE)+VLOOKUP($B337,Kraftvärmeprod!$B$1:$BX$550,MATCH(BD$2,Kraftvärmeprod!$B$1:$BX$1,0),FALSE))/$AC337,"")</f>
        <v>0</v>
      </c>
      <c r="BF337" s="63" t="str">
        <f t="shared" si="35"/>
        <v>Nej</v>
      </c>
      <c r="BG337" s="63" t="str">
        <f>IF($BF337="ja",VLOOKUP($B337,'Egen hetvattenprod'!$B$1:$BX$550,MATCH("Andelen klimatgaser med fossilt ursprung för avfall ()",'Egen hetvattenprod'!$B$1:$BX$1,0),FALSE),"")</f>
        <v/>
      </c>
      <c r="BH337" s="63" t="str">
        <f>IF($BF337="ja",VLOOKUP($B337,Kraftvärmeprod!$B$1:$BX$550,MATCH("Andelen klimatgaser med fossilt ursprung för avfall ()",Kraftvärmeprod!$B$1:$BX$1,0),FALSE),"")</f>
        <v/>
      </c>
      <c r="BI337" s="63" t="str">
        <f>IF($BF337="ja",VLOOKUP($B337,'Egen hetvattenprod'!$B$1:$BX$550,MATCH("Avfall (GWh)",'Egen hetvattenprod'!$B$1:$BX$1,0),FALSE),"")</f>
        <v/>
      </c>
      <c r="BJ337" s="63" t="str">
        <f>IF($BF337="ja",VLOOKUP($B337,'Slutlig allokering kvv'!$B$1:$BX$550,MATCH("Avfall (GWh)",'Slutlig allokering kvv'!$B$1:$BX$1,0),FALSE),"")</f>
        <v/>
      </c>
      <c r="BK337" s="63" t="str">
        <f>IF($BF337="ja",VLOOKUP($B337,'Köpt hetvatten'!$B$1:$BX$550,MATCH("Avfall i köpt hetvatten",'Köpt hetvatten'!$B$1:$BX$1,0),FALSE),"")</f>
        <v/>
      </c>
      <c r="BL337" s="63" t="str">
        <f>IF($BF337="ja",VLOOKUP($B337,'Egen hetvattenprod'!$B$1:$BX$550,MATCH("Värde enligt ovan. (%)",'Egen hetvattenprod'!$B$1:$BX$1,0),FALSE),"")</f>
        <v/>
      </c>
      <c r="BM337" s="63" t="str">
        <f>IF($BF337="ja",VLOOKUP($B337,Kraftvärmeprod!$B$1:$BX$550,MATCH("Värde enligt ovan. (%)",Kraftvärmeprod!$B$1:$BX$1,0),FALSE),"")</f>
        <v/>
      </c>
    </row>
    <row r="338" spans="1:65" x14ac:dyDescent="0.45">
      <c r="A338" s="63" t="s">
        <v>232</v>
      </c>
      <c r="B338" s="63" t="s">
        <v>239</v>
      </c>
      <c r="C338" s="63">
        <f>VLOOKUP($B338,'Tillförd energi'!$B$1:$AI$720,MATCH(C$2,'Tillförd energi'!$B$1:$AQ$1,0),FALSE)</f>
        <v>0</v>
      </c>
      <c r="D338" s="63">
        <f>VLOOKUP($B338,'Tillförd energi'!$B$1:$AI$720,MATCH(D$2,'Tillförd energi'!$B$1:$AQ$1,0),FALSE)</f>
        <v>4.07</v>
      </c>
      <c r="E338" s="63">
        <f>VLOOKUP($B338,'Tillförd energi'!$B$1:$AI$720,MATCH(E$2,'Tillförd energi'!$B$1:$AQ$1,0),FALSE)</f>
        <v>0</v>
      </c>
      <c r="F338" s="63">
        <f>VLOOKUP($B338,'Tillförd energi'!$B$1:$AI$720,MATCH(F$2,'Tillförd energi'!$B$1:$AQ$1,0),FALSE)</f>
        <v>0</v>
      </c>
      <c r="G338" s="63">
        <f>VLOOKUP($B338,'Tillförd energi'!$B$1:$AI$720,MATCH(G$2,'Tillförd energi'!$B$1:$AQ$1,0),FALSE)</f>
        <v>0</v>
      </c>
      <c r="H338" s="63">
        <f>VLOOKUP($B338,'Tillförd energi'!$B$1:$AI$720,MATCH(H$2,'Tillförd energi'!$B$1:$AQ$1,0),FALSE)</f>
        <v>0</v>
      </c>
      <c r="I338" s="63">
        <f>VLOOKUP($B338,'Tillförd energi'!$B$1:$AI$720,MATCH(I$2,'Tillförd energi'!$B$1:$AQ$1,0),FALSE)</f>
        <v>0</v>
      </c>
      <c r="J338" s="63">
        <f>VLOOKUP($B338,'Tillförd energi'!$B$1:$AI$720,MATCH(J$2,'Tillförd energi'!$B$1:$AQ$1,0),FALSE)</f>
        <v>0</v>
      </c>
      <c r="K338" s="63">
        <f>VLOOKUP($B338,'Tillförd energi'!$B$1:$AI$720,MATCH(K$2,'Tillförd energi'!$B$1:$AQ$1,0),FALSE)</f>
        <v>0</v>
      </c>
      <c r="L338" s="63">
        <f>VLOOKUP($B338,'Tillförd energi'!$B$1:$AI$720,MATCH(L$2,'Tillförd energi'!$B$1:$AQ$1,0),FALSE)</f>
        <v>0</v>
      </c>
      <c r="M338" s="63">
        <f>VLOOKUP($B338,'Tillförd energi'!$B$1:$AI$720,MATCH(M$2,'Tillförd energi'!$B$1:$AQ$1,0),FALSE)</f>
        <v>9</v>
      </c>
      <c r="N338" s="63">
        <f>VLOOKUP($B338,'Tillförd energi'!$B$1:$AI$720,MATCH(N$2,'Tillförd energi'!$B$1:$AQ$1,0),FALSE)</f>
        <v>56.4</v>
      </c>
      <c r="O338" s="63">
        <f>VLOOKUP($B338,'Tillförd energi'!$B$1:$AI$720,MATCH(O$2,'Tillförd energi'!$B$1:$AQ$1,0),FALSE)</f>
        <v>0</v>
      </c>
      <c r="P338" s="63">
        <f>VLOOKUP($B338,'Tillförd energi'!$B$1:$AI$720,MATCH(P$2,'Tillförd energi'!$B$1:$AQ$1,0),FALSE)</f>
        <v>11.6</v>
      </c>
      <c r="Q338" s="63">
        <f>VLOOKUP($B338,'Tillförd energi'!$B$1:$AI$720,MATCH(Q$2,'Tillförd energi'!$B$1:$AQ$1,0),FALSE)</f>
        <v>0</v>
      </c>
      <c r="R338" s="63">
        <f>VLOOKUP($B338,'Tillförd energi'!$B$1:$AI$720,MATCH(R$2,'Tillförd energi'!$B$1:$AQ$1,0),FALSE)</f>
        <v>0</v>
      </c>
      <c r="S338" s="63">
        <f>VLOOKUP($B338,'Tillförd energi'!$B$1:$AI$720,MATCH(S$2,'Tillförd energi'!$B$1:$AQ$1,0),FALSE)</f>
        <v>0</v>
      </c>
      <c r="T338" s="63">
        <f>VLOOKUP($B338,'Tillförd energi'!$B$1:$AI$720,MATCH(T$2,'Tillförd energi'!$B$1:$AQ$1,0),FALSE)</f>
        <v>0</v>
      </c>
      <c r="U338" s="63">
        <f>VLOOKUP($B338,'Tillförd energi'!$B$1:$AI$720,MATCH(U$2,'Tillförd energi'!$B$1:$AQ$1,0),FALSE)</f>
        <v>0</v>
      </c>
      <c r="V338" s="63">
        <f>VLOOKUP($B338,'Tillförd energi'!$B$1:$AI$720,MATCH(V$2,'Tillförd energi'!$B$1:$AQ$1,0),FALSE)</f>
        <v>0</v>
      </c>
      <c r="W338" s="63">
        <f>VLOOKUP($B338,'Tillförd energi'!$B$1:$AI$720,MATCH(W$2,'Tillförd energi'!$B$1:$AQ$1,0),FALSE)</f>
        <v>0</v>
      </c>
      <c r="X338" s="63">
        <f>VLOOKUP($B338,'Tillförd energi'!$B$1:$AI$720,MATCH(X$2,'Tillförd energi'!$B$1:$AQ$1,0),FALSE)</f>
        <v>0</v>
      </c>
      <c r="Y338" s="63">
        <f>VLOOKUP($B338,'Tillförd energi'!$B$1:$AI$720,MATCH(Y$2,'Tillförd energi'!$B$1:$AQ$1,0),FALSE)</f>
        <v>0</v>
      </c>
      <c r="Z338" s="63">
        <f>VLOOKUP($B338,'Tillförd energi'!$B$1:$AI$720,MATCH(Z$2,'Tillförd energi'!$B$1:$AQ$1,0),FALSE)</f>
        <v>0</v>
      </c>
      <c r="AA338" s="63">
        <f>VLOOKUP($B338,'Tillförd energi'!$B$1:$AI$720,MATCH(AA$2,'Tillförd energi'!$B$1:$AQ$1,0),FALSE)</f>
        <v>0</v>
      </c>
      <c r="AB338" s="63">
        <f>VLOOKUP($B338,'Tillförd energi'!$B$1:$AI$720,MATCH(AB$2,'Tillförd energi'!$B$1:$AQ$1,0),FALSE)</f>
        <v>0</v>
      </c>
      <c r="AC338" s="63">
        <f>VLOOKUP($B338,'Tillförd energi'!$B$1:$AI$720,MATCH(AC$2,'Tillförd energi'!$B$1:$AQ$1,0),FALSE)</f>
        <v>0</v>
      </c>
      <c r="AD338" s="63">
        <f>VLOOKUP($B338,'Tillförd energi'!$B$1:$AI$720,MATCH(AD$2,'Tillförd energi'!$B$1:$AQ$1,0),FALSE)</f>
        <v>0</v>
      </c>
      <c r="AE338" s="63">
        <f>VLOOKUP($B338,'Tillförd energi'!$B$1:$AI$720,MATCH(AE$2,'Tillförd energi'!$B$1:$AQ$1,0),FALSE)</f>
        <v>0</v>
      </c>
      <c r="AF338" s="63">
        <f>VLOOKUP($B338,'Tillförd energi'!$B$1:$AI$720,MATCH(AF$2,'Tillförd energi'!$B$1:$AQ$1,0),FALSE)</f>
        <v>2</v>
      </c>
      <c r="AG338" s="63">
        <f>IFERROR(VLOOKUP(B338,Miljö!$B$1:$AC$550,MATCH("Köpt mängd produktionsspecifik fjärrvärme:",Miljö!$B$1:$AC$1,0),FALSE)/1,0)</f>
        <v>0</v>
      </c>
      <c r="AI338" s="63">
        <f t="shared" si="30"/>
        <v>83.07</v>
      </c>
      <c r="AJ338" s="63">
        <f>IF(ISERROR(1/VLOOKUP($B338,Leveranser!$B$1:$S$500,MATCH("såld värme (gwh)",Leveranser!$B$1:$S$1,0),FALSE)),"",VLOOKUP($B338,Leveranser!$B$1:$S$500,MATCH("såld värme (gwh)",Leveranser!$B$1:$S$1,0),FALSE))</f>
        <v>52.908999999999999</v>
      </c>
      <c r="AM338" s="63" t="str">
        <f>IF(B338&lt;&gt;"",IF(VLOOKUP($B338,Totalt!$B$1:$AQ$554,MATCH("Kvalitetsgranskad:",Totalt!$B$1:$AQ$1,0),FALSE)="ja",VLOOKUP($B338,Miljö!$B$1:$AG$479,MATCH(AM$2,Miljö!$B$1:$AK$1,0),FALSE),""),"")</f>
        <v>Ja</v>
      </c>
      <c r="AN338" s="63" t="str">
        <f>IF(AM338="ja",VLOOKUP($B338,Miljö!$B$1:$J$479,MATCH("Typ av ursprungsspecificerad el   (Om inget värde anges används Nordisk residualmix, se inforuta) ()",Miljö!$B$1:$J$1,0),FALSE),IF(AM338="nej","Nordisk residualel",""))</f>
        <v>'"vattenfall energimix"'</v>
      </c>
      <c r="AO338" s="63">
        <f>IF(AM338="","",VLOOKUP($B338,Miljö!$B$1:$J$479,MATCH("Fossilandel för ursprungspecificerad el ()",Miljö!$B$1:$J$1,0),FALSE))</f>
        <v>0</v>
      </c>
      <c r="AQ338" s="63">
        <f t="shared" si="31"/>
        <v>1</v>
      </c>
      <c r="AS338" s="63" t="str">
        <f t="shared" si="32"/>
        <v>Nej</v>
      </c>
      <c r="AT338" s="63" t="str">
        <f>IF(AS338="ja",VLOOKUP($B338,Miljö!$B$1:$P$500,MATCH("Fossil andel i procent (%)",Miljö!$B$1:$P$1,0),FALSE)/100,"")</f>
        <v/>
      </c>
      <c r="AV338" s="63" t="str">
        <f t="shared" si="33"/>
        <v>Nej</v>
      </c>
      <c r="AW338" s="63" t="str">
        <f>IF(AV338="ja",VLOOKUP($B338,'Egen hetvattenprod'!$B$1:$AO$500,MATCH("Värmekälla till värmepumpar ()",'Egen hetvattenprod'!$B$1:$AO$1,0),FALSE),"")</f>
        <v/>
      </c>
      <c r="AY338" s="63" t="str">
        <f t="shared" si="34"/>
        <v>Nej</v>
      </c>
      <c r="AZ338" s="77" t="str">
        <f>IF($AY338="ja",(VLOOKUP($B338,'Egen hetvattenprod'!$B$1:$BX$550,MATCH(AZ$2,'Egen hetvattenprod'!$B$1:$BX$1,0),FALSE)+VLOOKUP($B338,Kraftvärmeprod!$B$1:$BX$550,MATCH(AZ$2,Kraftvärmeprod!$B$1:$BX$1,0),FALSE))/$AC338,"")</f>
        <v/>
      </c>
      <c r="BA338" s="77" t="str">
        <f>IF($AY338="ja",(VLOOKUP($B338,'Egen hetvattenprod'!$B$1:$BX$550,MATCH(BA$2,'Egen hetvattenprod'!$B$1:$BX$1,0),FALSE)+VLOOKUP($B338,Kraftvärmeprod!$B$1:$BX$550,MATCH(BA$2,Kraftvärmeprod!$B$1:$BX$1,0),FALSE))/$AC338,"")</f>
        <v/>
      </c>
      <c r="BB338" s="77" t="str">
        <f>IF($AY338="ja",(VLOOKUP($B338,'Egen hetvattenprod'!$B$1:$BX$550,MATCH(BB$2,'Egen hetvattenprod'!$B$1:$BX$1,0),FALSE)+VLOOKUP($B338,Kraftvärmeprod!$B$1:$BX$550,MATCH(BB$2,Kraftvärmeprod!$B$1:$BX$1,0),FALSE))/$AC338,"")</f>
        <v/>
      </c>
      <c r="BC338" s="77" t="str">
        <f>IF($AY338="ja",(VLOOKUP($B338,'Egen hetvattenprod'!$B$1:$BX$550,MATCH(BC$2,'Egen hetvattenprod'!$B$1:$BX$1,0),FALSE)+VLOOKUP($B338,Kraftvärmeprod!$B$1:$BX$550,MATCH(BC$2,Kraftvärmeprod!$B$1:$BX$1,0),FALSE))/$AC338,"")</f>
        <v/>
      </c>
      <c r="BD338" s="77" t="str">
        <f>IF($AY338="ja",(VLOOKUP($B338,'Egen hetvattenprod'!$B$1:$BX$550,MATCH(BD$2,'Egen hetvattenprod'!$B$1:$BX$1,0),FALSE)+VLOOKUP($B338,Kraftvärmeprod!$B$1:$BX$550,MATCH(BD$2,Kraftvärmeprod!$B$1:$BX$1,0),FALSE))/$AC338,"")</f>
        <v/>
      </c>
      <c r="BF338" s="63" t="str">
        <f t="shared" si="35"/>
        <v>Nej</v>
      </c>
      <c r="BG338" s="63" t="str">
        <f>IF($BF338="ja",VLOOKUP($B338,'Egen hetvattenprod'!$B$1:$BX$550,MATCH("Andelen klimatgaser med fossilt ursprung för avfall ()",'Egen hetvattenprod'!$B$1:$BX$1,0),FALSE),"")</f>
        <v/>
      </c>
      <c r="BH338" s="63" t="str">
        <f>IF($BF338="ja",VLOOKUP($B338,Kraftvärmeprod!$B$1:$BX$550,MATCH("Andelen klimatgaser med fossilt ursprung för avfall ()",Kraftvärmeprod!$B$1:$BX$1,0),FALSE),"")</f>
        <v/>
      </c>
      <c r="BI338" s="63" t="str">
        <f>IF($BF338="ja",VLOOKUP($B338,'Egen hetvattenprod'!$B$1:$BX$550,MATCH("Avfall (GWh)",'Egen hetvattenprod'!$B$1:$BX$1,0),FALSE),"")</f>
        <v/>
      </c>
      <c r="BJ338" s="63" t="str">
        <f>IF($BF338="ja",VLOOKUP($B338,'Slutlig allokering kvv'!$B$1:$BX$550,MATCH("Avfall (GWh)",'Slutlig allokering kvv'!$B$1:$BX$1,0),FALSE),"")</f>
        <v/>
      </c>
      <c r="BK338" s="63" t="str">
        <f>IF($BF338="ja",VLOOKUP($B338,'Köpt hetvatten'!$B$1:$BX$550,MATCH("Avfall i köpt hetvatten",'Köpt hetvatten'!$B$1:$BX$1,0),FALSE),"")</f>
        <v/>
      </c>
      <c r="BL338" s="63" t="str">
        <f>IF($BF338="ja",VLOOKUP($B338,'Egen hetvattenprod'!$B$1:$BX$550,MATCH("Värde enligt ovan. (%)",'Egen hetvattenprod'!$B$1:$BX$1,0),FALSE),"")</f>
        <v/>
      </c>
      <c r="BM338" s="63" t="str">
        <f>IF($BF338="ja",VLOOKUP($B338,Kraftvärmeprod!$B$1:$BX$550,MATCH("Värde enligt ovan. (%)",Kraftvärmeprod!$B$1:$BX$1,0),FALSE),"")</f>
        <v/>
      </c>
    </row>
    <row r="339" spans="1:65" x14ac:dyDescent="0.45">
      <c r="A339" s="63" t="s">
        <v>232</v>
      </c>
      <c r="B339" s="63" t="s">
        <v>238</v>
      </c>
      <c r="C339" s="63">
        <f>VLOOKUP($B339,'Tillförd energi'!$B$1:$AI$720,MATCH(C$2,'Tillförd energi'!$B$1:$AQ$1,0),FALSE)</f>
        <v>0</v>
      </c>
      <c r="D339" s="63">
        <f>VLOOKUP($B339,'Tillförd energi'!$B$1:$AI$720,MATCH(D$2,'Tillförd energi'!$B$1:$AQ$1,0),FALSE)</f>
        <v>0.56399999999999995</v>
      </c>
      <c r="E339" s="63">
        <f>VLOOKUP($B339,'Tillförd energi'!$B$1:$AI$720,MATCH(E$2,'Tillförd energi'!$B$1:$AQ$1,0),FALSE)</f>
        <v>0</v>
      </c>
      <c r="F339" s="63">
        <f>VLOOKUP($B339,'Tillförd energi'!$B$1:$AI$720,MATCH(F$2,'Tillförd energi'!$B$1:$AQ$1,0),FALSE)</f>
        <v>2.2130000000000001</v>
      </c>
      <c r="G339" s="63">
        <f>VLOOKUP($B339,'Tillförd energi'!$B$1:$AI$720,MATCH(G$2,'Tillförd energi'!$B$1:$AQ$1,0),FALSE)</f>
        <v>0</v>
      </c>
      <c r="H339" s="63">
        <f>VLOOKUP($B339,'Tillförd energi'!$B$1:$AI$720,MATCH(H$2,'Tillförd energi'!$B$1:$AQ$1,0),FALSE)</f>
        <v>0</v>
      </c>
      <c r="I339" s="63">
        <f>VLOOKUP($B339,'Tillförd energi'!$B$1:$AI$720,MATCH(I$2,'Tillförd energi'!$B$1:$AQ$1,0),FALSE)</f>
        <v>0</v>
      </c>
      <c r="J339" s="63">
        <f>VLOOKUP($B339,'Tillförd energi'!$B$1:$AI$720,MATCH(J$2,'Tillförd energi'!$B$1:$AQ$1,0),FALSE)</f>
        <v>0</v>
      </c>
      <c r="K339" s="63">
        <f>VLOOKUP($B339,'Tillförd energi'!$B$1:$AI$720,MATCH(K$2,'Tillförd energi'!$B$1:$AQ$1,0),FALSE)</f>
        <v>0</v>
      </c>
      <c r="L339" s="63">
        <f>VLOOKUP($B339,'Tillförd energi'!$B$1:$AI$720,MATCH(L$2,'Tillförd energi'!$B$1:$AQ$1,0),FALSE)</f>
        <v>0</v>
      </c>
      <c r="M339" s="63">
        <f>VLOOKUP($B339,'Tillförd energi'!$B$1:$AI$720,MATCH(M$2,'Tillförd energi'!$B$1:$AQ$1,0),FALSE)</f>
        <v>37.697499999999998</v>
      </c>
      <c r="N339" s="63">
        <f>VLOOKUP($B339,'Tillförd energi'!$B$1:$AI$720,MATCH(N$2,'Tillförd energi'!$B$1:$AQ$1,0),FALSE)</f>
        <v>72.294799999999995</v>
      </c>
      <c r="O339" s="63">
        <f>VLOOKUP($B339,'Tillförd energi'!$B$1:$AI$720,MATCH(O$2,'Tillförd energi'!$B$1:$AQ$1,0),FALSE)</f>
        <v>13.4725</v>
      </c>
      <c r="P339" s="63">
        <f>VLOOKUP($B339,'Tillförd energi'!$B$1:$AI$720,MATCH(P$2,'Tillförd energi'!$B$1:$AQ$1,0),FALSE)</f>
        <v>7.7999599999999996</v>
      </c>
      <c r="Q339" s="63">
        <f>VLOOKUP($B339,'Tillförd energi'!$B$1:$AI$720,MATCH(Q$2,'Tillförd energi'!$B$1:$AQ$1,0),FALSE)</f>
        <v>0</v>
      </c>
      <c r="R339" s="63">
        <f>VLOOKUP($B339,'Tillförd energi'!$B$1:$AI$720,MATCH(R$2,'Tillförd energi'!$B$1:$AQ$1,0),FALSE)</f>
        <v>0</v>
      </c>
      <c r="S339" s="63">
        <f>VLOOKUP($B339,'Tillförd energi'!$B$1:$AI$720,MATCH(S$2,'Tillförd energi'!$B$1:$AQ$1,0),FALSE)</f>
        <v>0</v>
      </c>
      <c r="T339" s="63">
        <f>VLOOKUP($B339,'Tillförd energi'!$B$1:$AI$720,MATCH(T$2,'Tillförd energi'!$B$1:$AQ$1,0),FALSE)</f>
        <v>0</v>
      </c>
      <c r="U339" s="63">
        <f>VLOOKUP($B339,'Tillförd energi'!$B$1:$AI$720,MATCH(U$2,'Tillförd energi'!$B$1:$AQ$1,0),FALSE)</f>
        <v>0</v>
      </c>
      <c r="V339" s="63">
        <f>VLOOKUP($B339,'Tillförd energi'!$B$1:$AI$720,MATCH(V$2,'Tillförd energi'!$B$1:$AQ$1,0),FALSE)</f>
        <v>0</v>
      </c>
      <c r="W339" s="63">
        <f>VLOOKUP($B339,'Tillförd energi'!$B$1:$AI$720,MATCH(W$2,'Tillförd energi'!$B$1:$AQ$1,0),FALSE)</f>
        <v>0</v>
      </c>
      <c r="X339" s="63">
        <f>VLOOKUP($B339,'Tillförd energi'!$B$1:$AI$720,MATCH(X$2,'Tillförd energi'!$B$1:$AQ$1,0),FALSE)</f>
        <v>0</v>
      </c>
      <c r="Y339" s="63">
        <f>VLOOKUP($B339,'Tillförd energi'!$B$1:$AI$720,MATCH(Y$2,'Tillförd energi'!$B$1:$AQ$1,0),FALSE)</f>
        <v>0</v>
      </c>
      <c r="Z339" s="63">
        <f>VLOOKUP($B339,'Tillförd energi'!$B$1:$AI$720,MATCH(Z$2,'Tillförd energi'!$B$1:$AQ$1,0),FALSE)</f>
        <v>0</v>
      </c>
      <c r="AA339" s="63">
        <f>VLOOKUP($B339,'Tillförd energi'!$B$1:$AI$720,MATCH(AA$2,'Tillförd energi'!$B$1:$AQ$1,0),FALSE)</f>
        <v>0</v>
      </c>
      <c r="AB339" s="63">
        <f>VLOOKUP($B339,'Tillförd energi'!$B$1:$AI$720,MATCH(AB$2,'Tillförd energi'!$B$1:$AQ$1,0),FALSE)</f>
        <v>0</v>
      </c>
      <c r="AC339" s="63">
        <f>VLOOKUP($B339,'Tillförd energi'!$B$1:$AI$720,MATCH(AC$2,'Tillförd energi'!$B$1:$AQ$1,0),FALSE)</f>
        <v>33.262999999999998</v>
      </c>
      <c r="AD339" s="63">
        <f>VLOOKUP($B339,'Tillförd energi'!$B$1:$AI$720,MATCH(AD$2,'Tillförd energi'!$B$1:$AQ$1,0),FALSE)</f>
        <v>0</v>
      </c>
      <c r="AE339" s="63">
        <f>VLOOKUP($B339,'Tillförd energi'!$B$1:$AI$720,MATCH(AE$2,'Tillförd energi'!$B$1:$AQ$1,0),FALSE)</f>
        <v>0</v>
      </c>
      <c r="AF339" s="63">
        <f>VLOOKUP($B339,'Tillförd energi'!$B$1:$AI$720,MATCH(AF$2,'Tillförd energi'!$B$1:$AQ$1,0),FALSE)</f>
        <v>6.5324299999999997</v>
      </c>
      <c r="AG339" s="63">
        <f>IFERROR(VLOOKUP(B339,Miljö!$B$1:$AC$550,MATCH("Köpt mängd produktionsspecifik fjärrvärme:",Miljö!$B$1:$AC$1,0),FALSE)/1,0)</f>
        <v>0</v>
      </c>
      <c r="AI339" s="63">
        <f t="shared" si="30"/>
        <v>173.83718999999999</v>
      </c>
      <c r="AJ339" s="63">
        <f>IF(ISERROR(1/VLOOKUP($B339,Leveranser!$B$1:$S$500,MATCH("såld värme (gwh)",Leveranser!$B$1:$S$1,0),FALSE)),"",VLOOKUP($B339,Leveranser!$B$1:$S$500,MATCH("såld värme (gwh)",Leveranser!$B$1:$S$1,0),FALSE))</f>
        <v>143.173</v>
      </c>
      <c r="AM339" s="63" t="str">
        <f>IF(B339&lt;&gt;"",IF(VLOOKUP($B339,Totalt!$B$1:$AQ$554,MATCH("Kvalitetsgranskad:",Totalt!$B$1:$AQ$1,0),FALSE)="ja",VLOOKUP($B339,Miljö!$B$1:$AG$479,MATCH(AM$2,Miljö!$B$1:$AK$1,0),FALSE),""),"")</f>
        <v>Ja</v>
      </c>
      <c r="AN339" s="63" t="str">
        <f>IF(AM339="ja",VLOOKUP($B339,Miljö!$B$1:$J$479,MATCH("Typ av ursprungsspecificerad el   (Om inget värde anges används Nordisk residualmix, se inforuta) ()",Miljö!$B$1:$J$1,0),FALSE),IF(AM339="nej","Nordisk residualel",""))</f>
        <v>'Egenproducerad el biobränsle'</v>
      </c>
      <c r="AO339" s="63">
        <f>IF(AM339="","",VLOOKUP($B339,Miljö!$B$1:$J$479,MATCH("Fossilandel för ursprungspecificerad el ()",Miljö!$B$1:$J$1,0),FALSE))</f>
        <v>0</v>
      </c>
      <c r="AQ339" s="63">
        <f t="shared" si="31"/>
        <v>1</v>
      </c>
      <c r="AS339" s="63" t="str">
        <f t="shared" si="32"/>
        <v>Nej</v>
      </c>
      <c r="AT339" s="63" t="str">
        <f>IF(AS339="ja",VLOOKUP($B339,Miljö!$B$1:$P$500,MATCH("Fossil andel i procent (%)",Miljö!$B$1:$P$1,0),FALSE)/100,"")</f>
        <v/>
      </c>
      <c r="AV339" s="63" t="str">
        <f t="shared" si="33"/>
        <v>Nej</v>
      </c>
      <c r="AW339" s="63" t="str">
        <f>IF(AV339="ja",VLOOKUP($B339,'Egen hetvattenprod'!$B$1:$AO$500,MATCH("Värmekälla till värmepumpar ()",'Egen hetvattenprod'!$B$1:$AO$1,0),FALSE),"")</f>
        <v/>
      </c>
      <c r="AY339" s="63" t="str">
        <f t="shared" si="34"/>
        <v>Ja</v>
      </c>
      <c r="AZ339" s="77">
        <f>IF($AY339="ja",(VLOOKUP($B339,'Egen hetvattenprod'!$B$1:$BX$550,MATCH(AZ$2,'Egen hetvattenprod'!$B$1:$BX$1,0),FALSE)+VLOOKUP($B339,Kraftvärmeprod!$B$1:$BX$550,MATCH(AZ$2,Kraftvärmeprod!$B$1:$BX$1,0),FALSE))/$AC339,"")</f>
        <v>1</v>
      </c>
      <c r="BA339" s="77">
        <f>IF($AY339="ja",(VLOOKUP($B339,'Egen hetvattenprod'!$B$1:$BX$550,MATCH(BA$2,'Egen hetvattenprod'!$B$1:$BX$1,0),FALSE)+VLOOKUP($B339,Kraftvärmeprod!$B$1:$BX$550,MATCH(BA$2,Kraftvärmeprod!$B$1:$BX$1,0),FALSE))/$AC339,"")</f>
        <v>0</v>
      </c>
      <c r="BB339" s="77">
        <f>IF($AY339="ja",(VLOOKUP($B339,'Egen hetvattenprod'!$B$1:$BX$550,MATCH(BB$2,'Egen hetvattenprod'!$B$1:$BX$1,0),FALSE)+VLOOKUP($B339,Kraftvärmeprod!$B$1:$BX$550,MATCH(BB$2,Kraftvärmeprod!$B$1:$BX$1,0),FALSE))/$AC339,"")</f>
        <v>0</v>
      </c>
      <c r="BC339" s="77">
        <f>IF($AY339="ja",(VLOOKUP($B339,'Egen hetvattenprod'!$B$1:$BX$550,MATCH(BC$2,'Egen hetvattenprod'!$B$1:$BX$1,0),FALSE)+VLOOKUP($B339,Kraftvärmeprod!$B$1:$BX$550,MATCH(BC$2,Kraftvärmeprod!$B$1:$BX$1,0),FALSE))/$AC339,"")</f>
        <v>0</v>
      </c>
      <c r="BD339" s="77">
        <f>IF($AY339="ja",(VLOOKUP($B339,'Egen hetvattenprod'!$B$1:$BX$550,MATCH(BD$2,'Egen hetvattenprod'!$B$1:$BX$1,0),FALSE)+VLOOKUP($B339,Kraftvärmeprod!$B$1:$BX$550,MATCH(BD$2,Kraftvärmeprod!$B$1:$BX$1,0),FALSE))/$AC339,"")</f>
        <v>0</v>
      </c>
      <c r="BF339" s="63" t="str">
        <f t="shared" si="35"/>
        <v>Nej</v>
      </c>
      <c r="BG339" s="63" t="str">
        <f>IF($BF339="ja",VLOOKUP($B339,'Egen hetvattenprod'!$B$1:$BX$550,MATCH("Andelen klimatgaser med fossilt ursprung för avfall ()",'Egen hetvattenprod'!$B$1:$BX$1,0),FALSE),"")</f>
        <v/>
      </c>
      <c r="BH339" s="63" t="str">
        <f>IF($BF339="ja",VLOOKUP($B339,Kraftvärmeprod!$B$1:$BX$550,MATCH("Andelen klimatgaser med fossilt ursprung för avfall ()",Kraftvärmeprod!$B$1:$BX$1,0),FALSE),"")</f>
        <v/>
      </c>
      <c r="BI339" s="63" t="str">
        <f>IF($BF339="ja",VLOOKUP($B339,'Egen hetvattenprod'!$B$1:$BX$550,MATCH("Avfall (GWh)",'Egen hetvattenprod'!$B$1:$BX$1,0),FALSE),"")</f>
        <v/>
      </c>
      <c r="BJ339" s="63" t="str">
        <f>IF($BF339="ja",VLOOKUP($B339,'Slutlig allokering kvv'!$B$1:$BX$550,MATCH("Avfall (GWh)",'Slutlig allokering kvv'!$B$1:$BX$1,0),FALSE),"")</f>
        <v/>
      </c>
      <c r="BK339" s="63" t="str">
        <f>IF($BF339="ja",VLOOKUP($B339,'Köpt hetvatten'!$B$1:$BX$550,MATCH("Avfall i köpt hetvatten",'Köpt hetvatten'!$B$1:$BX$1,0),FALSE),"")</f>
        <v/>
      </c>
      <c r="BL339" s="63" t="str">
        <f>IF($BF339="ja",VLOOKUP($B339,'Egen hetvattenprod'!$B$1:$BX$550,MATCH("Värde enligt ovan. (%)",'Egen hetvattenprod'!$B$1:$BX$1,0),FALSE),"")</f>
        <v/>
      </c>
      <c r="BM339" s="63" t="str">
        <f>IF($BF339="ja",VLOOKUP($B339,Kraftvärmeprod!$B$1:$BX$550,MATCH("Värde enligt ovan. (%)",Kraftvärmeprod!$B$1:$BX$1,0),FALSE),"")</f>
        <v/>
      </c>
    </row>
    <row r="340" spans="1:65" x14ac:dyDescent="0.45">
      <c r="A340" s="63" t="s">
        <v>232</v>
      </c>
      <c r="B340" s="63" t="s">
        <v>237</v>
      </c>
      <c r="C340" s="63">
        <f>VLOOKUP($B340,'Tillförd energi'!$B$1:$AI$720,MATCH(C$2,'Tillförd energi'!$B$1:$AQ$1,0),FALSE)</f>
        <v>0</v>
      </c>
      <c r="D340" s="63">
        <f>VLOOKUP($B340,'Tillförd energi'!$B$1:$AI$720,MATCH(D$2,'Tillförd energi'!$B$1:$AQ$1,0),FALSE)</f>
        <v>0</v>
      </c>
      <c r="E340" s="63">
        <f>VLOOKUP($B340,'Tillförd energi'!$B$1:$AI$720,MATCH(E$2,'Tillförd energi'!$B$1:$AQ$1,0),FALSE)</f>
        <v>6.8799799999999998</v>
      </c>
      <c r="F340" s="63">
        <f>VLOOKUP($B340,'Tillförd energi'!$B$1:$AI$720,MATCH(F$2,'Tillförd energi'!$B$1:$AQ$1,0),FALSE)</f>
        <v>0</v>
      </c>
      <c r="G340" s="63">
        <f>VLOOKUP($B340,'Tillförd energi'!$B$1:$AI$720,MATCH(G$2,'Tillförd energi'!$B$1:$AQ$1,0),FALSE)</f>
        <v>0</v>
      </c>
      <c r="H340" s="63">
        <f>VLOOKUP($B340,'Tillförd energi'!$B$1:$AI$720,MATCH(H$2,'Tillförd energi'!$B$1:$AQ$1,0),FALSE)</f>
        <v>0</v>
      </c>
      <c r="I340" s="63">
        <f>VLOOKUP($B340,'Tillförd energi'!$B$1:$AI$720,MATCH(I$2,'Tillförd energi'!$B$1:$AQ$1,0),FALSE)</f>
        <v>0.85668299999999997</v>
      </c>
      <c r="J340" s="63">
        <f>VLOOKUP($B340,'Tillförd energi'!$B$1:$AI$720,MATCH(J$2,'Tillförd energi'!$B$1:$AQ$1,0),FALSE)</f>
        <v>1.5153700000000001</v>
      </c>
      <c r="K340" s="63">
        <f>VLOOKUP($B340,'Tillförd energi'!$B$1:$AI$720,MATCH(K$2,'Tillförd energi'!$B$1:$AQ$1,0),FALSE)</f>
        <v>0</v>
      </c>
      <c r="L340" s="63">
        <f>VLOOKUP($B340,'Tillförd energi'!$B$1:$AI$720,MATCH(L$2,'Tillförd energi'!$B$1:$AQ$1,0),FALSE)</f>
        <v>161.07400000000001</v>
      </c>
      <c r="M340" s="63">
        <f>VLOOKUP($B340,'Tillförd energi'!$B$1:$AI$720,MATCH(M$2,'Tillförd energi'!$B$1:$AQ$1,0),FALSE)</f>
        <v>0</v>
      </c>
      <c r="N340" s="63">
        <f>VLOOKUP($B340,'Tillförd energi'!$B$1:$AI$720,MATCH(N$2,'Tillförd energi'!$B$1:$AQ$1,0),FALSE)</f>
        <v>66.951400000000007</v>
      </c>
      <c r="O340" s="63">
        <f>VLOOKUP($B340,'Tillförd energi'!$B$1:$AI$720,MATCH(O$2,'Tillförd energi'!$B$1:$AQ$1,0),FALSE)</f>
        <v>0</v>
      </c>
      <c r="P340" s="63">
        <f>VLOOKUP($B340,'Tillförd energi'!$B$1:$AI$720,MATCH(P$2,'Tillförd energi'!$B$1:$AQ$1,0),FALSE)</f>
        <v>0</v>
      </c>
      <c r="Q340" s="63">
        <f>VLOOKUP($B340,'Tillförd energi'!$B$1:$AI$720,MATCH(Q$2,'Tillförd energi'!$B$1:$AQ$1,0),FALSE)</f>
        <v>0</v>
      </c>
      <c r="R340" s="63">
        <f>VLOOKUP($B340,'Tillförd energi'!$B$1:$AI$720,MATCH(R$2,'Tillförd energi'!$B$1:$AQ$1,0),FALSE)</f>
        <v>0</v>
      </c>
      <c r="S340" s="63">
        <f>VLOOKUP($B340,'Tillförd energi'!$B$1:$AI$720,MATCH(S$2,'Tillförd energi'!$B$1:$AQ$1,0),FALSE)</f>
        <v>0</v>
      </c>
      <c r="T340" s="63">
        <f>VLOOKUP($B340,'Tillförd energi'!$B$1:$AI$720,MATCH(T$2,'Tillförd energi'!$B$1:$AQ$1,0),FALSE)</f>
        <v>0</v>
      </c>
      <c r="U340" s="63">
        <f>VLOOKUP($B340,'Tillförd energi'!$B$1:$AI$720,MATCH(U$2,'Tillförd energi'!$B$1:$AQ$1,0),FALSE)</f>
        <v>0</v>
      </c>
      <c r="V340" s="63">
        <f>VLOOKUP($B340,'Tillförd energi'!$B$1:$AI$720,MATCH(V$2,'Tillförd energi'!$B$1:$AQ$1,0),FALSE)</f>
        <v>0</v>
      </c>
      <c r="W340" s="63">
        <f>VLOOKUP($B340,'Tillförd energi'!$B$1:$AI$720,MATCH(W$2,'Tillförd energi'!$B$1:$AQ$1,0),FALSE)</f>
        <v>0</v>
      </c>
      <c r="X340" s="63">
        <f>VLOOKUP($B340,'Tillförd energi'!$B$1:$AI$720,MATCH(X$2,'Tillförd energi'!$B$1:$AQ$1,0),FALSE)</f>
        <v>0</v>
      </c>
      <c r="Y340" s="63">
        <f>VLOOKUP($B340,'Tillförd energi'!$B$1:$AI$720,MATCH(Y$2,'Tillförd energi'!$B$1:$AQ$1,0),FALSE)</f>
        <v>0</v>
      </c>
      <c r="Z340" s="63">
        <f>VLOOKUP($B340,'Tillförd energi'!$B$1:$AI$720,MATCH(Z$2,'Tillförd energi'!$B$1:$AQ$1,0),FALSE)</f>
        <v>0</v>
      </c>
      <c r="AA340" s="63">
        <f>VLOOKUP($B340,'Tillförd energi'!$B$1:$AI$720,MATCH(AA$2,'Tillförd energi'!$B$1:$AQ$1,0),FALSE)</f>
        <v>0</v>
      </c>
      <c r="AB340" s="63">
        <f>VLOOKUP($B340,'Tillförd energi'!$B$1:$AI$720,MATCH(AB$2,'Tillförd energi'!$B$1:$AQ$1,0),FALSE)</f>
        <v>0</v>
      </c>
      <c r="AC340" s="63">
        <f>VLOOKUP($B340,'Tillförd energi'!$B$1:$AI$720,MATCH(AC$2,'Tillförd energi'!$B$1:$AQ$1,0),FALSE)</f>
        <v>51.087000000000003</v>
      </c>
      <c r="AD340" s="63">
        <f>VLOOKUP($B340,'Tillförd energi'!$B$1:$AI$720,MATCH(AD$2,'Tillförd energi'!$B$1:$AQ$1,0),FALSE)</f>
        <v>0</v>
      </c>
      <c r="AE340" s="63">
        <f>VLOOKUP($B340,'Tillförd energi'!$B$1:$AI$720,MATCH(AE$2,'Tillförd energi'!$B$1:$AQ$1,0),FALSE)</f>
        <v>0</v>
      </c>
      <c r="AF340" s="63">
        <f>VLOOKUP($B340,'Tillförd energi'!$B$1:$AI$720,MATCH(AF$2,'Tillförd energi'!$B$1:$AQ$1,0),FALSE)</f>
        <v>11.1587</v>
      </c>
      <c r="AG340" s="63">
        <f>IFERROR(VLOOKUP(B340,Miljö!$B$1:$AC$550,MATCH("Köpt mängd produktionsspecifik fjärrvärme:",Miljö!$B$1:$AC$1,0),FALSE)/1,0)</f>
        <v>0</v>
      </c>
      <c r="AI340" s="63">
        <f t="shared" si="30"/>
        <v>299.52313300000003</v>
      </c>
      <c r="AJ340" s="63">
        <f>IF(ISERROR(1/VLOOKUP($B340,Leveranser!$B$1:$S$500,MATCH("såld värme (gwh)",Leveranser!$B$1:$S$1,0),FALSE)),"",VLOOKUP($B340,Leveranser!$B$1:$S$500,MATCH("såld värme (gwh)",Leveranser!$B$1:$S$1,0),FALSE))</f>
        <v>261.93</v>
      </c>
      <c r="AM340" s="63" t="str">
        <f>IF(B340&lt;&gt;"",IF(VLOOKUP($B340,Totalt!$B$1:$AQ$554,MATCH("Kvalitetsgranskad:",Totalt!$B$1:$AQ$1,0),FALSE)="ja",VLOOKUP($B340,Miljö!$B$1:$AG$479,MATCH(AM$2,Miljö!$B$1:$AK$1,0),FALSE),""),"")</f>
        <v>Ja</v>
      </c>
      <c r="AN340" s="63" t="str">
        <f>IF(AM340="ja",VLOOKUP($B340,Miljö!$B$1:$J$479,MATCH("Typ av ursprungsspecificerad el   (Om inget värde anges används Nordisk residualmix, se inforuta) ()",Miljö!$B$1:$J$1,0),FALSE),IF(AM340="nej","Nordisk residualel",""))</f>
        <v>'Egenproducerad el. biobränsle'</v>
      </c>
      <c r="AO340" s="63">
        <f>IF(AM340="","",VLOOKUP($B340,Miljö!$B$1:$J$479,MATCH("Fossilandel för ursprungspecificerad el ()",Miljö!$B$1:$J$1,0),FALSE))</f>
        <v>0.5</v>
      </c>
      <c r="AQ340" s="63">
        <f t="shared" si="31"/>
        <v>0.5</v>
      </c>
      <c r="AS340" s="63" t="str">
        <f t="shared" si="32"/>
        <v>Nej</v>
      </c>
      <c r="AT340" s="63" t="str">
        <f>IF(AS340="ja",VLOOKUP($B340,Miljö!$B$1:$P$500,MATCH("Fossil andel i procent (%)",Miljö!$B$1:$P$1,0),FALSE)/100,"")</f>
        <v/>
      </c>
      <c r="AV340" s="63" t="str">
        <f t="shared" si="33"/>
        <v>Nej</v>
      </c>
      <c r="AW340" s="63" t="str">
        <f>IF(AV340="ja",VLOOKUP($B340,'Egen hetvattenprod'!$B$1:$AO$500,MATCH("Värmekälla till värmepumpar ()",'Egen hetvattenprod'!$B$1:$AO$1,0),FALSE),"")</f>
        <v/>
      </c>
      <c r="AY340" s="63" t="str">
        <f t="shared" si="34"/>
        <v>Ja</v>
      </c>
      <c r="AZ340" s="77">
        <f>IF($AY340="ja",(VLOOKUP($B340,'Egen hetvattenprod'!$B$1:$BX$550,MATCH(AZ$2,'Egen hetvattenprod'!$B$1:$BX$1,0),FALSE)+VLOOKUP($B340,Kraftvärmeprod!$B$1:$BX$550,MATCH(AZ$2,Kraftvärmeprod!$B$1:$BX$1,0),FALSE))/$AC340,"")</f>
        <v>0.9900000000000001</v>
      </c>
      <c r="BA340" s="77">
        <f>IF($AY340="ja",(VLOOKUP($B340,'Egen hetvattenprod'!$B$1:$BX$550,MATCH(BA$2,'Egen hetvattenprod'!$B$1:$BX$1,0),FALSE)+VLOOKUP($B340,Kraftvärmeprod!$B$1:$BX$550,MATCH(BA$2,Kraftvärmeprod!$B$1:$BX$1,0),FALSE))/$AC340,"")</f>
        <v>5.0000000000000001E-3</v>
      </c>
      <c r="BB340" s="77">
        <f>IF($AY340="ja",(VLOOKUP($B340,'Egen hetvattenprod'!$B$1:$BX$550,MATCH(BB$2,'Egen hetvattenprod'!$B$1:$BX$1,0),FALSE)+VLOOKUP($B340,Kraftvärmeprod!$B$1:$BX$550,MATCH(BB$2,Kraftvärmeprod!$B$1:$BX$1,0),FALSE))/$AC340,"")</f>
        <v>5.0000000000000001E-3</v>
      </c>
      <c r="BC340" s="77">
        <f>IF($AY340="ja",(VLOOKUP($B340,'Egen hetvattenprod'!$B$1:$BX$550,MATCH(BC$2,'Egen hetvattenprod'!$B$1:$BX$1,0),FALSE)+VLOOKUP($B340,Kraftvärmeprod!$B$1:$BX$550,MATCH(BC$2,Kraftvärmeprod!$B$1:$BX$1,0),FALSE))/$AC340,"")</f>
        <v>0</v>
      </c>
      <c r="BD340" s="77">
        <f>IF($AY340="ja",(VLOOKUP($B340,'Egen hetvattenprod'!$B$1:$BX$550,MATCH(BD$2,'Egen hetvattenprod'!$B$1:$BX$1,0),FALSE)+VLOOKUP($B340,Kraftvärmeprod!$B$1:$BX$550,MATCH(BD$2,Kraftvärmeprod!$B$1:$BX$1,0),FALSE))/$AC340,"")</f>
        <v>0</v>
      </c>
      <c r="BF340" s="63" t="str">
        <f t="shared" si="35"/>
        <v>Ja</v>
      </c>
      <c r="BG340" s="63" t="str">
        <f>IF($BF340="ja",VLOOKUP($B340,'Egen hetvattenprod'!$B$1:$BX$550,MATCH("Andelen klimatgaser med fossilt ursprung för avfall ()",'Egen hetvattenprod'!$B$1:$BX$1,0),FALSE),"")</f>
        <v>Ingen redovisning</v>
      </c>
      <c r="BH340" s="63" t="str">
        <f>IF($BF340="ja",VLOOKUP($B340,Kraftvärmeprod!$B$1:$BX$550,MATCH("Andelen klimatgaser med fossilt ursprung för avfall ()",Kraftvärmeprod!$B$1:$BX$1,0),FALSE),"")</f>
        <v>Ingen redovisning</v>
      </c>
      <c r="BI340" s="63" t="str">
        <f>IF($BF340="ja",VLOOKUP($B340,'Egen hetvattenprod'!$B$1:$BX$550,MATCH("Avfall (GWh)",'Egen hetvattenprod'!$B$1:$BX$1,0),FALSE),"")</f>
        <v>ET</v>
      </c>
      <c r="BJ340" s="63">
        <f>IF($BF340="ja",VLOOKUP($B340,'Slutlig allokering kvv'!$B$1:$BX$550,MATCH("Avfall (GWh)",'Slutlig allokering kvv'!$B$1:$BX$1,0),FALSE),"")</f>
        <v>0.85668299999999997</v>
      </c>
      <c r="BK340" s="63">
        <f>IF($BF340="ja",VLOOKUP($B340,'Köpt hetvatten'!$B$1:$BX$550,MATCH("Avfall i köpt hetvatten",'Köpt hetvatten'!$B$1:$BX$1,0),FALSE),"")</f>
        <v>0</v>
      </c>
      <c r="BL340" s="63" t="str">
        <f>IF($BF340="ja",VLOOKUP($B340,'Egen hetvattenprod'!$B$1:$BX$550,MATCH("Värde enligt ovan. (%)",'Egen hetvattenprod'!$B$1:$BX$1,0),FALSE),"")</f>
        <v>ET</v>
      </c>
      <c r="BM340" s="63" t="str">
        <f>IF($BF340="ja",VLOOKUP($B340,Kraftvärmeprod!$B$1:$BX$550,MATCH("Värde enligt ovan. (%)",Kraftvärmeprod!$B$1:$BX$1,0),FALSE),"")</f>
        <v>ET</v>
      </c>
    </row>
    <row r="341" spans="1:65" x14ac:dyDescent="0.45">
      <c r="A341" s="63" t="s">
        <v>232</v>
      </c>
      <c r="B341" s="63" t="s">
        <v>236</v>
      </c>
      <c r="C341" s="63">
        <f>VLOOKUP($B341,'Tillförd energi'!$B$1:$AI$720,MATCH(C$2,'Tillförd energi'!$B$1:$AQ$1,0),FALSE)</f>
        <v>0</v>
      </c>
      <c r="D341" s="63">
        <f>VLOOKUP($B341,'Tillförd energi'!$B$1:$AI$720,MATCH(D$2,'Tillförd energi'!$B$1:$AQ$1,0),FALSE)</f>
        <v>0.11</v>
      </c>
      <c r="E341" s="63">
        <f>VLOOKUP($B341,'Tillförd energi'!$B$1:$AI$720,MATCH(E$2,'Tillförd energi'!$B$1:$AQ$1,0),FALSE)</f>
        <v>0</v>
      </c>
      <c r="F341" s="63">
        <f>VLOOKUP($B341,'Tillförd energi'!$B$1:$AI$720,MATCH(F$2,'Tillförd energi'!$B$1:$AQ$1,0),FALSE)</f>
        <v>0</v>
      </c>
      <c r="G341" s="63">
        <f>VLOOKUP($B341,'Tillförd energi'!$B$1:$AI$720,MATCH(G$2,'Tillförd energi'!$B$1:$AQ$1,0),FALSE)</f>
        <v>0</v>
      </c>
      <c r="H341" s="63">
        <f>VLOOKUP($B341,'Tillförd energi'!$B$1:$AI$720,MATCH(H$2,'Tillförd energi'!$B$1:$AQ$1,0),FALSE)</f>
        <v>0</v>
      </c>
      <c r="I341" s="63">
        <f>VLOOKUP($B341,'Tillförd energi'!$B$1:$AI$720,MATCH(I$2,'Tillförd energi'!$B$1:$AQ$1,0),FALSE)</f>
        <v>0</v>
      </c>
      <c r="J341" s="63">
        <f>VLOOKUP($B341,'Tillförd energi'!$B$1:$AI$720,MATCH(J$2,'Tillförd energi'!$B$1:$AQ$1,0),FALSE)</f>
        <v>0</v>
      </c>
      <c r="K341" s="63">
        <f>VLOOKUP($B341,'Tillförd energi'!$B$1:$AI$720,MATCH(K$2,'Tillförd energi'!$B$1:$AQ$1,0),FALSE)</f>
        <v>0</v>
      </c>
      <c r="L341" s="63">
        <f>VLOOKUP($B341,'Tillförd energi'!$B$1:$AI$720,MATCH(L$2,'Tillförd energi'!$B$1:$AQ$1,0),FALSE)</f>
        <v>0</v>
      </c>
      <c r="M341" s="63">
        <f>VLOOKUP($B341,'Tillförd energi'!$B$1:$AI$720,MATCH(M$2,'Tillförd energi'!$B$1:$AQ$1,0),FALSE)</f>
        <v>0</v>
      </c>
      <c r="N341" s="63">
        <f>VLOOKUP($B341,'Tillförd energi'!$B$1:$AI$720,MATCH(N$2,'Tillförd energi'!$B$1:$AQ$1,0),FALSE)</f>
        <v>0</v>
      </c>
      <c r="O341" s="63">
        <f>VLOOKUP($B341,'Tillförd energi'!$B$1:$AI$720,MATCH(O$2,'Tillförd energi'!$B$1:$AQ$1,0),FALSE)</f>
        <v>0</v>
      </c>
      <c r="P341" s="63">
        <f>VLOOKUP($B341,'Tillförd energi'!$B$1:$AI$720,MATCH(P$2,'Tillförd energi'!$B$1:$AQ$1,0),FALSE)</f>
        <v>0</v>
      </c>
      <c r="Q341" s="63">
        <f>VLOOKUP($B341,'Tillförd energi'!$B$1:$AI$720,MATCH(Q$2,'Tillförd energi'!$B$1:$AQ$1,0),FALSE)</f>
        <v>0</v>
      </c>
      <c r="R341" s="63">
        <f>VLOOKUP($B341,'Tillförd energi'!$B$1:$AI$720,MATCH(R$2,'Tillförd energi'!$B$1:$AQ$1,0),FALSE)</f>
        <v>0</v>
      </c>
      <c r="S341" s="63">
        <f>VLOOKUP($B341,'Tillförd energi'!$B$1:$AI$720,MATCH(S$2,'Tillförd energi'!$B$1:$AQ$1,0),FALSE)</f>
        <v>0</v>
      </c>
      <c r="T341" s="63">
        <f>VLOOKUP($B341,'Tillförd energi'!$B$1:$AI$720,MATCH(T$2,'Tillförd energi'!$B$1:$AQ$1,0),FALSE)</f>
        <v>0</v>
      </c>
      <c r="U341" s="63">
        <f>VLOOKUP($B341,'Tillförd energi'!$B$1:$AI$720,MATCH(U$2,'Tillförd energi'!$B$1:$AQ$1,0),FALSE)</f>
        <v>0</v>
      </c>
      <c r="V341" s="63">
        <f>VLOOKUP($B341,'Tillförd energi'!$B$1:$AI$720,MATCH(V$2,'Tillförd energi'!$B$1:$AQ$1,0),FALSE)</f>
        <v>0</v>
      </c>
      <c r="W341" s="63">
        <f>VLOOKUP($B341,'Tillförd energi'!$B$1:$AI$720,MATCH(W$2,'Tillförd energi'!$B$1:$AQ$1,0),FALSE)</f>
        <v>28.489000000000001</v>
      </c>
      <c r="X341" s="63">
        <f>VLOOKUP($B341,'Tillförd energi'!$B$1:$AI$720,MATCH(X$2,'Tillförd energi'!$B$1:$AQ$1,0),FALSE)</f>
        <v>0</v>
      </c>
      <c r="Y341" s="63">
        <f>VLOOKUP($B341,'Tillförd energi'!$B$1:$AI$720,MATCH(Y$2,'Tillförd energi'!$B$1:$AQ$1,0),FALSE)</f>
        <v>0</v>
      </c>
      <c r="Z341" s="63">
        <f>VLOOKUP($B341,'Tillförd energi'!$B$1:$AI$720,MATCH(Z$2,'Tillförd energi'!$B$1:$AQ$1,0),FALSE)</f>
        <v>0</v>
      </c>
      <c r="AA341" s="63">
        <f>VLOOKUP($B341,'Tillförd energi'!$B$1:$AI$720,MATCH(AA$2,'Tillförd energi'!$B$1:$AQ$1,0),FALSE)</f>
        <v>0</v>
      </c>
      <c r="AB341" s="63">
        <f>VLOOKUP($B341,'Tillförd energi'!$B$1:$AI$720,MATCH(AB$2,'Tillförd energi'!$B$1:$AQ$1,0),FALSE)</f>
        <v>0</v>
      </c>
      <c r="AC341" s="63">
        <f>VLOOKUP($B341,'Tillförd energi'!$B$1:$AI$720,MATCH(AC$2,'Tillförd energi'!$B$1:$AQ$1,0),FALSE)</f>
        <v>0</v>
      </c>
      <c r="AD341" s="63">
        <f>VLOOKUP($B341,'Tillförd energi'!$B$1:$AI$720,MATCH(AD$2,'Tillförd energi'!$B$1:$AQ$1,0),FALSE)</f>
        <v>0</v>
      </c>
      <c r="AE341" s="63">
        <f>VLOOKUP($B341,'Tillförd energi'!$B$1:$AI$720,MATCH(AE$2,'Tillförd energi'!$B$1:$AQ$1,0),FALSE)</f>
        <v>0</v>
      </c>
      <c r="AF341" s="63">
        <f>VLOOKUP($B341,'Tillförd energi'!$B$1:$AI$720,MATCH(AF$2,'Tillförd energi'!$B$1:$AQ$1,0),FALSE)</f>
        <v>0.53400000000000003</v>
      </c>
      <c r="AG341" s="63">
        <f>IFERROR(VLOOKUP(B341,Miljö!$B$1:$AC$550,MATCH("Köpt mängd produktionsspecifik fjärrvärme:",Miljö!$B$1:$AC$1,0),FALSE)/1,0)</f>
        <v>0</v>
      </c>
      <c r="AI341" s="63">
        <f t="shared" si="30"/>
        <v>29.132999999999999</v>
      </c>
      <c r="AJ341" s="63">
        <f>IF(ISERROR(1/VLOOKUP($B341,Leveranser!$B$1:$S$500,MATCH("såld värme (gwh)",Leveranser!$B$1:$S$1,0),FALSE)),"",VLOOKUP($B341,Leveranser!$B$1:$S$500,MATCH("såld värme (gwh)",Leveranser!$B$1:$S$1,0),FALSE))</f>
        <v>25.696000000000002</v>
      </c>
      <c r="AM341" s="63" t="str">
        <f>IF(B341&lt;&gt;"",IF(VLOOKUP($B341,Totalt!$B$1:$AQ$554,MATCH("Kvalitetsgranskad:",Totalt!$B$1:$AQ$1,0),FALSE)="ja",VLOOKUP($B341,Miljö!$B$1:$AG$479,MATCH(AM$2,Miljö!$B$1:$AK$1,0),FALSE),""),"")</f>
        <v>Ja</v>
      </c>
      <c r="AN341" s="63" t="str">
        <f>IF(AM341="ja",VLOOKUP($B341,Miljö!$B$1:$J$479,MATCH("Typ av ursprungsspecificerad el   (Om inget värde anges används Nordisk residualmix, se inforuta) ()",Miljö!$B$1:$J$1,0),FALSE),IF(AM341="nej","Nordisk residualel",""))</f>
        <v>'Vattenfalls elmix'</v>
      </c>
      <c r="AO341" s="63">
        <f>IF(AM341="","",VLOOKUP($B341,Miljö!$B$1:$J$479,MATCH("Fossilandel för ursprungspecificerad el ()",Miljö!$B$1:$J$1,0),FALSE))</f>
        <v>0</v>
      </c>
      <c r="AQ341" s="63">
        <f t="shared" si="31"/>
        <v>1</v>
      </c>
      <c r="AS341" s="63" t="str">
        <f t="shared" si="32"/>
        <v>Nej</v>
      </c>
      <c r="AT341" s="63" t="str">
        <f>IF(AS341="ja",VLOOKUP($B341,Miljö!$B$1:$P$500,MATCH("Fossil andel i procent (%)",Miljö!$B$1:$P$1,0),FALSE)/100,"")</f>
        <v/>
      </c>
      <c r="AV341" s="63" t="str">
        <f t="shared" si="33"/>
        <v>Nej</v>
      </c>
      <c r="AW341" s="63" t="str">
        <f>IF(AV341="ja",VLOOKUP($B341,'Egen hetvattenprod'!$B$1:$AO$500,MATCH("Värmekälla till värmepumpar ()",'Egen hetvattenprod'!$B$1:$AO$1,0),FALSE),"")</f>
        <v/>
      </c>
      <c r="AY341" s="63" t="str">
        <f t="shared" si="34"/>
        <v>Nej</v>
      </c>
      <c r="AZ341" s="77" t="str">
        <f>IF($AY341="ja",(VLOOKUP($B341,'Egen hetvattenprod'!$B$1:$BX$550,MATCH(AZ$2,'Egen hetvattenprod'!$B$1:$BX$1,0),FALSE)+VLOOKUP($B341,Kraftvärmeprod!$B$1:$BX$550,MATCH(AZ$2,Kraftvärmeprod!$B$1:$BX$1,0),FALSE))/$AC341,"")</f>
        <v/>
      </c>
      <c r="BA341" s="77" t="str">
        <f>IF($AY341="ja",(VLOOKUP($B341,'Egen hetvattenprod'!$B$1:$BX$550,MATCH(BA$2,'Egen hetvattenprod'!$B$1:$BX$1,0),FALSE)+VLOOKUP($B341,Kraftvärmeprod!$B$1:$BX$550,MATCH(BA$2,Kraftvärmeprod!$B$1:$BX$1,0),FALSE))/$AC341,"")</f>
        <v/>
      </c>
      <c r="BB341" s="77" t="str">
        <f>IF($AY341="ja",(VLOOKUP($B341,'Egen hetvattenprod'!$B$1:$BX$550,MATCH(BB$2,'Egen hetvattenprod'!$B$1:$BX$1,0),FALSE)+VLOOKUP($B341,Kraftvärmeprod!$B$1:$BX$550,MATCH(BB$2,Kraftvärmeprod!$B$1:$BX$1,0),FALSE))/$AC341,"")</f>
        <v/>
      </c>
      <c r="BC341" s="77" t="str">
        <f>IF($AY341="ja",(VLOOKUP($B341,'Egen hetvattenprod'!$B$1:$BX$550,MATCH(BC$2,'Egen hetvattenprod'!$B$1:$BX$1,0),FALSE)+VLOOKUP($B341,Kraftvärmeprod!$B$1:$BX$550,MATCH(BC$2,Kraftvärmeprod!$B$1:$BX$1,0),FALSE))/$AC341,"")</f>
        <v/>
      </c>
      <c r="BD341" s="77" t="str">
        <f>IF($AY341="ja",(VLOOKUP($B341,'Egen hetvattenprod'!$B$1:$BX$550,MATCH(BD$2,'Egen hetvattenprod'!$B$1:$BX$1,0),FALSE)+VLOOKUP($B341,Kraftvärmeprod!$B$1:$BX$550,MATCH(BD$2,Kraftvärmeprod!$B$1:$BX$1,0),FALSE))/$AC341,"")</f>
        <v/>
      </c>
      <c r="BF341" s="63" t="str">
        <f t="shared" si="35"/>
        <v>Nej</v>
      </c>
      <c r="BG341" s="63" t="str">
        <f>IF($BF341="ja",VLOOKUP($B341,'Egen hetvattenprod'!$B$1:$BX$550,MATCH("Andelen klimatgaser med fossilt ursprung för avfall ()",'Egen hetvattenprod'!$B$1:$BX$1,0),FALSE),"")</f>
        <v/>
      </c>
      <c r="BH341" s="63" t="str">
        <f>IF($BF341="ja",VLOOKUP($B341,Kraftvärmeprod!$B$1:$BX$550,MATCH("Andelen klimatgaser med fossilt ursprung för avfall ()",Kraftvärmeprod!$B$1:$BX$1,0),FALSE),"")</f>
        <v/>
      </c>
      <c r="BI341" s="63" t="str">
        <f>IF($BF341="ja",VLOOKUP($B341,'Egen hetvattenprod'!$B$1:$BX$550,MATCH("Avfall (GWh)",'Egen hetvattenprod'!$B$1:$BX$1,0),FALSE),"")</f>
        <v/>
      </c>
      <c r="BJ341" s="63" t="str">
        <f>IF($BF341="ja",VLOOKUP($B341,'Slutlig allokering kvv'!$B$1:$BX$550,MATCH("Avfall (GWh)",'Slutlig allokering kvv'!$B$1:$BX$1,0),FALSE),"")</f>
        <v/>
      </c>
      <c r="BK341" s="63" t="str">
        <f>IF($BF341="ja",VLOOKUP($B341,'Köpt hetvatten'!$B$1:$BX$550,MATCH("Avfall i köpt hetvatten",'Köpt hetvatten'!$B$1:$BX$1,0),FALSE),"")</f>
        <v/>
      </c>
      <c r="BL341" s="63" t="str">
        <f>IF($BF341="ja",VLOOKUP($B341,'Egen hetvattenprod'!$B$1:$BX$550,MATCH("Värde enligt ovan. (%)",'Egen hetvattenprod'!$B$1:$BX$1,0),FALSE),"")</f>
        <v/>
      </c>
      <c r="BM341" s="63" t="str">
        <f>IF($BF341="ja",VLOOKUP($B341,Kraftvärmeprod!$B$1:$BX$550,MATCH("Värde enligt ovan. (%)",Kraftvärmeprod!$B$1:$BX$1,0),FALSE),"")</f>
        <v/>
      </c>
    </row>
    <row r="342" spans="1:65" x14ac:dyDescent="0.45">
      <c r="A342" s="63" t="s">
        <v>232</v>
      </c>
      <c r="B342" s="63" t="s">
        <v>235</v>
      </c>
      <c r="C342" s="63">
        <f>VLOOKUP($B342,'Tillförd energi'!$B$1:$AI$720,MATCH(C$2,'Tillförd energi'!$B$1:$AQ$1,0),FALSE)</f>
        <v>0</v>
      </c>
      <c r="D342" s="63">
        <f>VLOOKUP($B342,'Tillförd energi'!$B$1:$AI$720,MATCH(D$2,'Tillförd energi'!$B$1:$AQ$1,0),FALSE)</f>
        <v>1.59</v>
      </c>
      <c r="E342" s="63">
        <f>VLOOKUP($B342,'Tillförd energi'!$B$1:$AI$720,MATCH(E$2,'Tillförd energi'!$B$1:$AQ$1,0),FALSE)</f>
        <v>0</v>
      </c>
      <c r="F342" s="63">
        <f>VLOOKUP($B342,'Tillförd energi'!$B$1:$AI$720,MATCH(F$2,'Tillförd energi'!$B$1:$AQ$1,0),FALSE)</f>
        <v>0</v>
      </c>
      <c r="G342" s="63">
        <f>VLOOKUP($B342,'Tillförd energi'!$B$1:$AI$720,MATCH(G$2,'Tillförd energi'!$B$1:$AQ$1,0),FALSE)</f>
        <v>0</v>
      </c>
      <c r="H342" s="63">
        <f>VLOOKUP($B342,'Tillförd energi'!$B$1:$AI$720,MATCH(H$2,'Tillförd energi'!$B$1:$AQ$1,0),FALSE)</f>
        <v>0</v>
      </c>
      <c r="I342" s="63">
        <f>VLOOKUP($B342,'Tillförd energi'!$B$1:$AI$720,MATCH(I$2,'Tillförd energi'!$B$1:$AQ$1,0),FALSE)</f>
        <v>0</v>
      </c>
      <c r="J342" s="63">
        <f>VLOOKUP($B342,'Tillförd energi'!$B$1:$AI$720,MATCH(J$2,'Tillförd energi'!$B$1:$AQ$1,0),FALSE)</f>
        <v>0</v>
      </c>
      <c r="K342" s="63">
        <f>VLOOKUP($B342,'Tillförd energi'!$B$1:$AI$720,MATCH(K$2,'Tillförd energi'!$B$1:$AQ$1,0),FALSE)</f>
        <v>0</v>
      </c>
      <c r="L342" s="63">
        <f>VLOOKUP($B342,'Tillförd energi'!$B$1:$AI$720,MATCH(L$2,'Tillförd energi'!$B$1:$AQ$1,0),FALSE)</f>
        <v>0</v>
      </c>
      <c r="M342" s="63">
        <f>VLOOKUP($B342,'Tillförd energi'!$B$1:$AI$720,MATCH(M$2,'Tillförd energi'!$B$1:$AQ$1,0),FALSE)</f>
        <v>0</v>
      </c>
      <c r="N342" s="63">
        <f>VLOOKUP($B342,'Tillförd energi'!$B$1:$AI$720,MATCH(N$2,'Tillförd energi'!$B$1:$AQ$1,0),FALSE)</f>
        <v>0</v>
      </c>
      <c r="O342" s="63">
        <f>VLOOKUP($B342,'Tillförd energi'!$B$1:$AI$720,MATCH(O$2,'Tillförd energi'!$B$1:$AQ$1,0),FALSE)</f>
        <v>0</v>
      </c>
      <c r="P342" s="63">
        <f>VLOOKUP($B342,'Tillförd energi'!$B$1:$AI$720,MATCH(P$2,'Tillförd energi'!$B$1:$AQ$1,0),FALSE)</f>
        <v>0</v>
      </c>
      <c r="Q342" s="63">
        <f>VLOOKUP($B342,'Tillförd energi'!$B$1:$AI$720,MATCH(Q$2,'Tillförd energi'!$B$1:$AQ$1,0),FALSE)</f>
        <v>0</v>
      </c>
      <c r="R342" s="63">
        <f>VLOOKUP($B342,'Tillförd energi'!$B$1:$AI$720,MATCH(R$2,'Tillförd energi'!$B$1:$AQ$1,0),FALSE)</f>
        <v>23.1</v>
      </c>
      <c r="S342" s="63">
        <f>VLOOKUP($B342,'Tillförd energi'!$B$1:$AI$720,MATCH(S$2,'Tillförd energi'!$B$1:$AQ$1,0),FALSE)</f>
        <v>0</v>
      </c>
      <c r="T342" s="63">
        <f>VLOOKUP($B342,'Tillförd energi'!$B$1:$AI$720,MATCH(T$2,'Tillförd energi'!$B$1:$AQ$1,0),FALSE)</f>
        <v>0</v>
      </c>
      <c r="U342" s="63">
        <f>VLOOKUP($B342,'Tillförd energi'!$B$1:$AI$720,MATCH(U$2,'Tillförd energi'!$B$1:$AQ$1,0),FALSE)</f>
        <v>0</v>
      </c>
      <c r="V342" s="63">
        <f>VLOOKUP($B342,'Tillförd energi'!$B$1:$AI$720,MATCH(V$2,'Tillförd energi'!$B$1:$AQ$1,0),FALSE)</f>
        <v>0</v>
      </c>
      <c r="W342" s="63">
        <f>VLOOKUP($B342,'Tillförd energi'!$B$1:$AI$720,MATCH(W$2,'Tillförd energi'!$B$1:$AQ$1,0),FALSE)</f>
        <v>0</v>
      </c>
      <c r="X342" s="63">
        <f>VLOOKUP($B342,'Tillförd energi'!$B$1:$AI$720,MATCH(X$2,'Tillförd energi'!$B$1:$AQ$1,0),FALSE)</f>
        <v>0</v>
      </c>
      <c r="Y342" s="63">
        <f>VLOOKUP($B342,'Tillförd energi'!$B$1:$AI$720,MATCH(Y$2,'Tillförd energi'!$B$1:$AQ$1,0),FALSE)</f>
        <v>0</v>
      </c>
      <c r="Z342" s="63">
        <f>VLOOKUP($B342,'Tillförd energi'!$B$1:$AI$720,MATCH(Z$2,'Tillförd energi'!$B$1:$AQ$1,0),FALSE)</f>
        <v>0</v>
      </c>
      <c r="AA342" s="63">
        <f>VLOOKUP($B342,'Tillförd energi'!$B$1:$AI$720,MATCH(AA$2,'Tillförd energi'!$B$1:$AQ$1,0),FALSE)</f>
        <v>0</v>
      </c>
      <c r="AB342" s="63">
        <f>VLOOKUP($B342,'Tillförd energi'!$B$1:$AI$720,MATCH(AB$2,'Tillförd energi'!$B$1:$AQ$1,0),FALSE)</f>
        <v>0</v>
      </c>
      <c r="AC342" s="63">
        <f>VLOOKUP($B342,'Tillförd energi'!$B$1:$AI$720,MATCH(AC$2,'Tillförd energi'!$B$1:$AQ$1,0),FALSE)</f>
        <v>0</v>
      </c>
      <c r="AD342" s="63">
        <f>VLOOKUP($B342,'Tillförd energi'!$B$1:$AI$720,MATCH(AD$2,'Tillförd energi'!$B$1:$AQ$1,0),FALSE)</f>
        <v>0</v>
      </c>
      <c r="AE342" s="63">
        <f>VLOOKUP($B342,'Tillförd energi'!$B$1:$AI$720,MATCH(AE$2,'Tillförd energi'!$B$1:$AQ$1,0),FALSE)</f>
        <v>0</v>
      </c>
      <c r="AF342" s="63">
        <f>VLOOKUP($B342,'Tillförd energi'!$B$1:$AI$720,MATCH(AF$2,'Tillförd energi'!$B$1:$AQ$1,0),FALSE)</f>
        <v>0.2</v>
      </c>
      <c r="AG342" s="63">
        <f>IFERROR(VLOOKUP(B342,Miljö!$B$1:$AC$550,MATCH("Köpt mängd produktionsspecifik fjärrvärme:",Miljö!$B$1:$AC$1,0),FALSE)/1,0)</f>
        <v>0</v>
      </c>
      <c r="AI342" s="63">
        <f t="shared" si="30"/>
        <v>24.89</v>
      </c>
      <c r="AJ342" s="63">
        <f>IF(ISERROR(1/VLOOKUP($B342,Leveranser!$B$1:$S$500,MATCH("såld värme (gwh)",Leveranser!$B$1:$S$1,0),FALSE)),"",VLOOKUP($B342,Leveranser!$B$1:$S$500,MATCH("såld värme (gwh)",Leveranser!$B$1:$S$1,0),FALSE))</f>
        <v>14.379</v>
      </c>
      <c r="AM342" s="63" t="str">
        <f>IF(B342&lt;&gt;"",IF(VLOOKUP($B342,Totalt!$B$1:$AQ$554,MATCH("Kvalitetsgranskad:",Totalt!$B$1:$AQ$1,0),FALSE)="ja",VLOOKUP($B342,Miljö!$B$1:$AG$479,MATCH(AM$2,Miljö!$B$1:$AK$1,0),FALSE),""),"")</f>
        <v>Ja</v>
      </c>
      <c r="AN342" s="63" t="str">
        <f>IF(AM342="ja",VLOOKUP($B342,Miljö!$B$1:$J$479,MATCH("Typ av ursprungsspecificerad el   (Om inget värde anges används Nordisk residualmix, se inforuta) ()",Miljö!$B$1:$J$1,0),FALSE),IF(AM342="nej","Nordisk residualel",""))</f>
        <v>'"Vattenfall energimix"'</v>
      </c>
      <c r="AO342" s="63">
        <f>IF(AM342="","",VLOOKUP($B342,Miljö!$B$1:$J$479,MATCH("Fossilandel för ursprungspecificerad el ()",Miljö!$B$1:$J$1,0),FALSE))</f>
        <v>0</v>
      </c>
      <c r="AQ342" s="63">
        <f t="shared" si="31"/>
        <v>1</v>
      </c>
      <c r="AS342" s="63" t="str">
        <f t="shared" si="32"/>
        <v>Nej</v>
      </c>
      <c r="AT342" s="63" t="str">
        <f>IF(AS342="ja",VLOOKUP($B342,Miljö!$B$1:$P$500,MATCH("Fossil andel i procent (%)",Miljö!$B$1:$P$1,0),FALSE)/100,"")</f>
        <v/>
      </c>
      <c r="AV342" s="63" t="str">
        <f t="shared" si="33"/>
        <v>Nej</v>
      </c>
      <c r="AW342" s="63" t="str">
        <f>IF(AV342="ja",VLOOKUP($B342,'Egen hetvattenprod'!$B$1:$AO$500,MATCH("Värmekälla till värmepumpar ()",'Egen hetvattenprod'!$B$1:$AO$1,0),FALSE),"")</f>
        <v/>
      </c>
      <c r="AY342" s="63" t="str">
        <f t="shared" si="34"/>
        <v>Nej</v>
      </c>
      <c r="AZ342" s="77" t="str">
        <f>IF($AY342="ja",(VLOOKUP($B342,'Egen hetvattenprod'!$B$1:$BX$550,MATCH(AZ$2,'Egen hetvattenprod'!$B$1:$BX$1,0),FALSE)+VLOOKUP($B342,Kraftvärmeprod!$B$1:$BX$550,MATCH(AZ$2,Kraftvärmeprod!$B$1:$BX$1,0),FALSE))/$AC342,"")</f>
        <v/>
      </c>
      <c r="BA342" s="77" t="str">
        <f>IF($AY342="ja",(VLOOKUP($B342,'Egen hetvattenprod'!$B$1:$BX$550,MATCH(BA$2,'Egen hetvattenprod'!$B$1:$BX$1,0),FALSE)+VLOOKUP($B342,Kraftvärmeprod!$B$1:$BX$550,MATCH(BA$2,Kraftvärmeprod!$B$1:$BX$1,0),FALSE))/$AC342,"")</f>
        <v/>
      </c>
      <c r="BB342" s="77" t="str">
        <f>IF($AY342="ja",(VLOOKUP($B342,'Egen hetvattenprod'!$B$1:$BX$550,MATCH(BB$2,'Egen hetvattenprod'!$B$1:$BX$1,0),FALSE)+VLOOKUP($B342,Kraftvärmeprod!$B$1:$BX$550,MATCH(BB$2,Kraftvärmeprod!$B$1:$BX$1,0),FALSE))/$AC342,"")</f>
        <v/>
      </c>
      <c r="BC342" s="77" t="str">
        <f>IF($AY342="ja",(VLOOKUP($B342,'Egen hetvattenprod'!$B$1:$BX$550,MATCH(BC$2,'Egen hetvattenprod'!$B$1:$BX$1,0),FALSE)+VLOOKUP($B342,Kraftvärmeprod!$B$1:$BX$550,MATCH(BC$2,Kraftvärmeprod!$B$1:$BX$1,0),FALSE))/$AC342,"")</f>
        <v/>
      </c>
      <c r="BD342" s="77" t="str">
        <f>IF($AY342="ja",(VLOOKUP($B342,'Egen hetvattenprod'!$B$1:$BX$550,MATCH(BD$2,'Egen hetvattenprod'!$B$1:$BX$1,0),FALSE)+VLOOKUP($B342,Kraftvärmeprod!$B$1:$BX$550,MATCH(BD$2,Kraftvärmeprod!$B$1:$BX$1,0),FALSE))/$AC342,"")</f>
        <v/>
      </c>
      <c r="BF342" s="63" t="str">
        <f t="shared" si="35"/>
        <v>Nej</v>
      </c>
      <c r="BG342" s="63" t="str">
        <f>IF($BF342="ja",VLOOKUP($B342,'Egen hetvattenprod'!$B$1:$BX$550,MATCH("Andelen klimatgaser med fossilt ursprung för avfall ()",'Egen hetvattenprod'!$B$1:$BX$1,0),FALSE),"")</f>
        <v/>
      </c>
      <c r="BH342" s="63" t="str">
        <f>IF($BF342="ja",VLOOKUP($B342,Kraftvärmeprod!$B$1:$BX$550,MATCH("Andelen klimatgaser med fossilt ursprung för avfall ()",Kraftvärmeprod!$B$1:$BX$1,0),FALSE),"")</f>
        <v/>
      </c>
      <c r="BI342" s="63" t="str">
        <f>IF($BF342="ja",VLOOKUP($B342,'Egen hetvattenprod'!$B$1:$BX$550,MATCH("Avfall (GWh)",'Egen hetvattenprod'!$B$1:$BX$1,0),FALSE),"")</f>
        <v/>
      </c>
      <c r="BJ342" s="63" t="str">
        <f>IF($BF342="ja",VLOOKUP($B342,'Slutlig allokering kvv'!$B$1:$BX$550,MATCH("Avfall (GWh)",'Slutlig allokering kvv'!$B$1:$BX$1,0),FALSE),"")</f>
        <v/>
      </c>
      <c r="BK342" s="63" t="str">
        <f>IF($BF342="ja",VLOOKUP($B342,'Köpt hetvatten'!$B$1:$BX$550,MATCH("Avfall i köpt hetvatten",'Köpt hetvatten'!$B$1:$BX$1,0),FALSE),"")</f>
        <v/>
      </c>
      <c r="BL342" s="63" t="str">
        <f>IF($BF342="ja",VLOOKUP($B342,'Egen hetvattenprod'!$B$1:$BX$550,MATCH("Värde enligt ovan. (%)",'Egen hetvattenprod'!$B$1:$BX$1,0),FALSE),"")</f>
        <v/>
      </c>
      <c r="BM342" s="63" t="str">
        <f>IF($BF342="ja",VLOOKUP($B342,Kraftvärmeprod!$B$1:$BX$550,MATCH("Värde enligt ovan. (%)",Kraftvärmeprod!$B$1:$BX$1,0),FALSE),"")</f>
        <v/>
      </c>
    </row>
    <row r="343" spans="1:65" x14ac:dyDescent="0.45">
      <c r="A343" s="63" t="s">
        <v>232</v>
      </c>
      <c r="B343" s="63" t="s">
        <v>234</v>
      </c>
      <c r="C343" s="63">
        <f>VLOOKUP($B343,'Tillförd energi'!$B$1:$AI$720,MATCH(C$2,'Tillförd energi'!$B$1:$AQ$1,0),FALSE)</f>
        <v>35.567999999999998</v>
      </c>
      <c r="D343" s="63">
        <f>VLOOKUP($B343,'Tillförd energi'!$B$1:$AI$720,MATCH(D$2,'Tillförd energi'!$B$1:$AQ$1,0),FALSE)</f>
        <v>15.835900000000001</v>
      </c>
      <c r="E343" s="63">
        <f>VLOOKUP($B343,'Tillförd energi'!$B$1:$AI$720,MATCH(E$2,'Tillförd energi'!$B$1:$AQ$1,0),FALSE)</f>
        <v>0</v>
      </c>
      <c r="F343" s="63">
        <f>VLOOKUP($B343,'Tillförd energi'!$B$1:$AI$720,MATCH(F$2,'Tillförd energi'!$B$1:$AQ$1,0),FALSE)</f>
        <v>52.795200000000001</v>
      </c>
      <c r="G343" s="63">
        <f>VLOOKUP($B343,'Tillförd energi'!$B$1:$AI$720,MATCH(G$2,'Tillförd energi'!$B$1:$AQ$1,0),FALSE)</f>
        <v>0</v>
      </c>
      <c r="H343" s="63">
        <f>VLOOKUP($B343,'Tillförd energi'!$B$1:$AI$720,MATCH(H$2,'Tillförd energi'!$B$1:$AQ$1,0),FALSE)</f>
        <v>0</v>
      </c>
      <c r="I343" s="63">
        <f>VLOOKUP($B343,'Tillförd energi'!$B$1:$AI$720,MATCH(I$2,'Tillförd energi'!$B$1:$AQ$1,0),FALSE)</f>
        <v>1085.02</v>
      </c>
      <c r="J343" s="63">
        <f>VLOOKUP($B343,'Tillförd energi'!$B$1:$AI$720,MATCH(J$2,'Tillförd energi'!$B$1:$AQ$1,0),FALSE)</f>
        <v>0</v>
      </c>
      <c r="K343" s="63">
        <f>VLOOKUP($B343,'Tillförd energi'!$B$1:$AI$720,MATCH(K$2,'Tillförd energi'!$B$1:$AQ$1,0),FALSE)</f>
        <v>0</v>
      </c>
      <c r="L343" s="63">
        <f>VLOOKUP($B343,'Tillförd energi'!$B$1:$AI$720,MATCH(L$2,'Tillförd energi'!$B$1:$AQ$1,0),FALSE)</f>
        <v>0</v>
      </c>
      <c r="M343" s="63">
        <f>VLOOKUP($B343,'Tillförd energi'!$B$1:$AI$720,MATCH(M$2,'Tillförd energi'!$B$1:$AQ$1,0),FALSE)</f>
        <v>0</v>
      </c>
      <c r="N343" s="63">
        <f>VLOOKUP($B343,'Tillförd energi'!$B$1:$AI$720,MATCH(N$2,'Tillförd energi'!$B$1:$AQ$1,0),FALSE)</f>
        <v>0</v>
      </c>
      <c r="O343" s="63">
        <f>VLOOKUP($B343,'Tillförd energi'!$B$1:$AI$720,MATCH(O$2,'Tillförd energi'!$B$1:$AQ$1,0),FALSE)</f>
        <v>0</v>
      </c>
      <c r="P343" s="63">
        <f>VLOOKUP($B343,'Tillförd energi'!$B$1:$AI$720,MATCH(P$2,'Tillförd energi'!$B$1:$AQ$1,0),FALSE)</f>
        <v>0</v>
      </c>
      <c r="Q343" s="63">
        <f>VLOOKUP($B343,'Tillförd energi'!$B$1:$AI$720,MATCH(Q$2,'Tillförd energi'!$B$1:$AQ$1,0),FALSE)</f>
        <v>0</v>
      </c>
      <c r="R343" s="63">
        <f>VLOOKUP($B343,'Tillförd energi'!$B$1:$AI$720,MATCH(R$2,'Tillförd energi'!$B$1:$AQ$1,0),FALSE)</f>
        <v>164.96199999999999</v>
      </c>
      <c r="S343" s="63">
        <f>VLOOKUP($B343,'Tillförd energi'!$B$1:$AI$720,MATCH(S$2,'Tillförd energi'!$B$1:$AQ$1,0),FALSE)</f>
        <v>0</v>
      </c>
      <c r="T343" s="63">
        <f>VLOOKUP($B343,'Tillförd energi'!$B$1:$AI$720,MATCH(T$2,'Tillförd energi'!$B$1:$AQ$1,0),FALSE)</f>
        <v>0</v>
      </c>
      <c r="U343" s="63">
        <f>VLOOKUP($B343,'Tillförd energi'!$B$1:$AI$720,MATCH(U$2,'Tillförd energi'!$B$1:$AQ$1,0),FALSE)</f>
        <v>0</v>
      </c>
      <c r="V343" s="63">
        <f>VLOOKUP($B343,'Tillförd energi'!$B$1:$AI$720,MATCH(V$2,'Tillförd energi'!$B$1:$AQ$1,0),FALSE)</f>
        <v>0</v>
      </c>
      <c r="W343" s="63">
        <f>VLOOKUP($B343,'Tillförd energi'!$B$1:$AI$720,MATCH(W$2,'Tillförd energi'!$B$1:$AQ$1,0),FALSE)</f>
        <v>91.6</v>
      </c>
      <c r="X343" s="63">
        <f>VLOOKUP($B343,'Tillförd energi'!$B$1:$AI$720,MATCH(X$2,'Tillförd energi'!$B$1:$AQ$1,0),FALSE)</f>
        <v>0</v>
      </c>
      <c r="Y343" s="63">
        <f>VLOOKUP($B343,'Tillförd energi'!$B$1:$AI$720,MATCH(Y$2,'Tillförd energi'!$B$1:$AQ$1,0),FALSE)</f>
        <v>99.917000000000002</v>
      </c>
      <c r="Z343" s="63">
        <f>VLOOKUP($B343,'Tillförd energi'!$B$1:$AI$720,MATCH(Z$2,'Tillförd energi'!$B$1:$AQ$1,0),FALSE)</f>
        <v>85.5</v>
      </c>
      <c r="AA343" s="63">
        <f>VLOOKUP($B343,'Tillförd energi'!$B$1:$AI$720,MATCH(AA$2,'Tillförd energi'!$B$1:$AQ$1,0),FALSE)</f>
        <v>13</v>
      </c>
      <c r="AB343" s="63">
        <f>VLOOKUP($B343,'Tillförd energi'!$B$1:$AI$720,MATCH(AB$2,'Tillförd energi'!$B$1:$AQ$1,0),FALSE)</f>
        <v>46.5</v>
      </c>
      <c r="AC343" s="63">
        <f>VLOOKUP($B343,'Tillförd energi'!$B$1:$AI$720,MATCH(AC$2,'Tillförd energi'!$B$1:$AQ$1,0),FALSE)</f>
        <v>145</v>
      </c>
      <c r="AD343" s="63">
        <f>VLOOKUP($B343,'Tillförd energi'!$B$1:$AI$720,MATCH(AD$2,'Tillförd energi'!$B$1:$AQ$1,0),FALSE)</f>
        <v>0</v>
      </c>
      <c r="AE343" s="63">
        <f>VLOOKUP($B343,'Tillförd energi'!$B$1:$AI$720,MATCH(AE$2,'Tillförd energi'!$B$1:$AQ$1,0),FALSE)</f>
        <v>0</v>
      </c>
      <c r="AF343" s="63">
        <f>VLOOKUP($B343,'Tillförd energi'!$B$1:$AI$720,MATCH(AF$2,'Tillförd energi'!$B$1:$AQ$1,0),FALSE)</f>
        <v>71.794700000000006</v>
      </c>
      <c r="AG343" s="63">
        <f>IFERROR(VLOOKUP(B343,Miljö!$B$1:$AC$550,MATCH("Köpt mängd produktionsspecifik fjärrvärme:",Miljö!$B$1:$AC$1,0),FALSE)/1,0)</f>
        <v>0</v>
      </c>
      <c r="AI343" s="63">
        <f t="shared" si="30"/>
        <v>1907.4927999999998</v>
      </c>
      <c r="AJ343" s="63">
        <f>IF(ISERROR(1/VLOOKUP($B343,Leveranser!$B$1:$S$500,MATCH("såld värme (gwh)",Leveranser!$B$1:$S$1,0),FALSE)),"",VLOOKUP($B343,Leveranser!$B$1:$S$500,MATCH("såld värme (gwh)",Leveranser!$B$1:$S$1,0),FALSE))</f>
        <v>1289.133</v>
      </c>
      <c r="AM343" s="63" t="str">
        <f>IF(B343&lt;&gt;"",IF(VLOOKUP($B343,Totalt!$B$1:$AQ$554,MATCH("Kvalitetsgranskad:",Totalt!$B$1:$AQ$1,0),FALSE)="ja",VLOOKUP($B343,Miljö!$B$1:$AG$479,MATCH(AM$2,Miljö!$B$1:$AK$1,0),FALSE),""),"")</f>
        <v>Ja</v>
      </c>
      <c r="AN343" s="63" t="str">
        <f>IF(AM343="ja",VLOOKUP($B343,Miljö!$B$1:$J$479,MATCH("Typ av ursprungsspecificerad el   (Om inget värde anges används Nordisk residualmix, se inforuta) ()",Miljö!$B$1:$J$1,0),FALSE),IF(AM343="nej","Nordisk residualel",""))</f>
        <v>'"Vattenfall energimix"'</v>
      </c>
      <c r="AO343" s="63">
        <f>IF(AM343="","",VLOOKUP($B343,Miljö!$B$1:$J$479,MATCH("Fossilandel för ursprungspecificerad el ()",Miljö!$B$1:$J$1,0),FALSE))</f>
        <v>0</v>
      </c>
      <c r="AQ343" s="63">
        <f t="shared" si="31"/>
        <v>1</v>
      </c>
      <c r="AS343" s="63" t="str">
        <f t="shared" si="32"/>
        <v>Nej</v>
      </c>
      <c r="AT343" s="63" t="str">
        <f>IF(AS343="ja",VLOOKUP($B343,Miljö!$B$1:$P$500,MATCH("Fossil andel i procent (%)",Miljö!$B$1:$P$1,0),FALSE)/100,"")</f>
        <v/>
      </c>
      <c r="AV343" s="63" t="str">
        <f t="shared" si="33"/>
        <v>Ja</v>
      </c>
      <c r="AW343" s="63" t="str">
        <f>IF(AV343="ja",VLOOKUP($B343,'Egen hetvattenprod'!$B$1:$AO$500,MATCH("Värmekälla till värmepumpar ()",'Egen hetvattenprod'!$B$1:$AO$1,0),FALSE),"")</f>
        <v>Renat avloppsvatten</v>
      </c>
      <c r="AY343" s="63" t="str">
        <f t="shared" si="34"/>
        <v>Ja</v>
      </c>
      <c r="AZ343" s="77">
        <f>IF($AY343="ja",(VLOOKUP($B343,'Egen hetvattenprod'!$B$1:$BX$550,MATCH(AZ$2,'Egen hetvattenprod'!$B$1:$BX$1,0),FALSE)+VLOOKUP($B343,Kraftvärmeprod!$B$1:$BX$550,MATCH(AZ$2,Kraftvärmeprod!$B$1:$BX$1,0),FALSE))/$AC343,"")</f>
        <v>0</v>
      </c>
      <c r="BA343" s="77">
        <f>IF($AY343="ja",(VLOOKUP($B343,'Egen hetvattenprod'!$B$1:$BX$550,MATCH(BA$2,'Egen hetvattenprod'!$B$1:$BX$1,0),FALSE)+VLOOKUP($B343,Kraftvärmeprod!$B$1:$BX$550,MATCH(BA$2,Kraftvärmeprod!$B$1:$BX$1,0),FALSE))/$AC343,"")</f>
        <v>0.9900000000000001</v>
      </c>
      <c r="BB343" s="77">
        <f>IF($AY343="ja",(VLOOKUP($B343,'Egen hetvattenprod'!$B$1:$BX$550,MATCH(BB$2,'Egen hetvattenprod'!$B$1:$BX$1,0),FALSE)+VLOOKUP($B343,Kraftvärmeprod!$B$1:$BX$550,MATCH(BB$2,Kraftvärmeprod!$B$1:$BX$1,0),FALSE))/$AC343,"")</f>
        <v>0.01</v>
      </c>
      <c r="BC343" s="77">
        <f>IF($AY343="ja",(VLOOKUP($B343,'Egen hetvattenprod'!$B$1:$BX$550,MATCH(BC$2,'Egen hetvattenprod'!$B$1:$BX$1,0),FALSE)+VLOOKUP($B343,Kraftvärmeprod!$B$1:$BX$550,MATCH(BC$2,Kraftvärmeprod!$B$1:$BX$1,0),FALSE))/$AC343,"")</f>
        <v>0</v>
      </c>
      <c r="BD343" s="77">
        <f>IF($AY343="ja",(VLOOKUP($B343,'Egen hetvattenprod'!$B$1:$BX$550,MATCH(BD$2,'Egen hetvattenprod'!$B$1:$BX$1,0),FALSE)+VLOOKUP($B343,Kraftvärmeprod!$B$1:$BX$550,MATCH(BD$2,Kraftvärmeprod!$B$1:$BX$1,0),FALSE))/$AC343,"")</f>
        <v>0</v>
      </c>
      <c r="BF343" s="63" t="str">
        <f t="shared" si="35"/>
        <v>Ja</v>
      </c>
      <c r="BG343" s="63" t="str">
        <f>IF($BF343="ja",VLOOKUP($B343,'Egen hetvattenprod'!$B$1:$BX$550,MATCH("Andelen klimatgaser med fossilt ursprung för avfall ()",'Egen hetvattenprod'!$B$1:$BX$1,0),FALSE),"")</f>
        <v>Mätvärde</v>
      </c>
      <c r="BH343" s="63" t="str">
        <f>IF($BF343="ja",VLOOKUP($B343,Kraftvärmeprod!$B$1:$BX$550,MATCH("Andelen klimatgaser med fossilt ursprung för avfall ()",Kraftvärmeprod!$B$1:$BX$1,0),FALSE),"")</f>
        <v>Mätvärde</v>
      </c>
      <c r="BI343" s="63">
        <f>IF($BF343="ja",VLOOKUP($B343,'Egen hetvattenprod'!$B$1:$BX$550,MATCH("Avfall (GWh)",'Egen hetvattenprod'!$B$1:$BX$1,0),FALSE),"")</f>
        <v>991.8</v>
      </c>
      <c r="BJ343" s="63">
        <f>IF($BF343="ja",VLOOKUP($B343,'Slutlig allokering kvv'!$B$1:$BX$550,MATCH("Avfall (GWh)",'Slutlig allokering kvv'!$B$1:$BX$1,0),FALSE),"")</f>
        <v>93.223200000000006</v>
      </c>
      <c r="BK343" s="63">
        <f>IF($BF343="ja",VLOOKUP($B343,'Köpt hetvatten'!$B$1:$BX$550,MATCH("Avfall i köpt hetvatten",'Köpt hetvatten'!$B$1:$BX$1,0),FALSE),"")</f>
        <v>0</v>
      </c>
      <c r="BL343" s="63">
        <f>IF($BF343="ja",VLOOKUP($B343,'Egen hetvattenprod'!$B$1:$BX$550,MATCH("Värde enligt ovan. (%)",'Egen hetvattenprod'!$B$1:$BX$1,0),FALSE),"")</f>
        <v>40.1</v>
      </c>
      <c r="BM343" s="63">
        <f>IF($BF343="ja",VLOOKUP($B343,Kraftvärmeprod!$B$1:$BX$550,MATCH("Värde enligt ovan. (%)",Kraftvärmeprod!$B$1:$BX$1,0),FALSE),"")</f>
        <v>40.1</v>
      </c>
    </row>
    <row r="344" spans="1:65" x14ac:dyDescent="0.45">
      <c r="A344" s="63" t="s">
        <v>232</v>
      </c>
      <c r="B344" s="63" t="s">
        <v>231</v>
      </c>
      <c r="C344" s="63">
        <f>VLOOKUP($B344,'Tillförd energi'!$B$1:$AI$720,MATCH(C$2,'Tillförd energi'!$B$1:$AQ$1,0),FALSE)</f>
        <v>0</v>
      </c>
      <c r="D344" s="63">
        <f>VLOOKUP($B344,'Tillförd energi'!$B$1:$AI$720,MATCH(D$2,'Tillförd energi'!$B$1:$AQ$1,0),FALSE)</f>
        <v>0.04</v>
      </c>
      <c r="E344" s="63">
        <f>VLOOKUP($B344,'Tillförd energi'!$B$1:$AI$720,MATCH(E$2,'Tillförd energi'!$B$1:$AQ$1,0),FALSE)</f>
        <v>0</v>
      </c>
      <c r="F344" s="63">
        <f>VLOOKUP($B344,'Tillförd energi'!$B$1:$AI$720,MATCH(F$2,'Tillförd energi'!$B$1:$AQ$1,0),FALSE)</f>
        <v>0</v>
      </c>
      <c r="G344" s="63">
        <f>VLOOKUP($B344,'Tillförd energi'!$B$1:$AI$720,MATCH(G$2,'Tillförd energi'!$B$1:$AQ$1,0),FALSE)</f>
        <v>0</v>
      </c>
      <c r="H344" s="63">
        <f>VLOOKUP($B344,'Tillförd energi'!$B$1:$AI$720,MATCH(H$2,'Tillförd energi'!$B$1:$AQ$1,0),FALSE)</f>
        <v>0</v>
      </c>
      <c r="I344" s="63">
        <f>VLOOKUP($B344,'Tillförd energi'!$B$1:$AI$720,MATCH(I$2,'Tillförd energi'!$B$1:$AQ$1,0),FALSE)</f>
        <v>0</v>
      </c>
      <c r="J344" s="63">
        <f>VLOOKUP($B344,'Tillförd energi'!$B$1:$AI$720,MATCH(J$2,'Tillförd energi'!$B$1:$AQ$1,0),FALSE)</f>
        <v>0</v>
      </c>
      <c r="K344" s="63">
        <f>VLOOKUP($B344,'Tillförd energi'!$B$1:$AI$720,MATCH(K$2,'Tillförd energi'!$B$1:$AQ$1,0),FALSE)</f>
        <v>0</v>
      </c>
      <c r="L344" s="63">
        <f>VLOOKUP($B344,'Tillförd energi'!$B$1:$AI$720,MATCH(L$2,'Tillförd energi'!$B$1:$AQ$1,0),FALSE)</f>
        <v>0</v>
      </c>
      <c r="M344" s="63">
        <f>VLOOKUP($B344,'Tillförd energi'!$B$1:$AI$720,MATCH(M$2,'Tillförd energi'!$B$1:$AQ$1,0),FALSE)</f>
        <v>0</v>
      </c>
      <c r="N344" s="63">
        <f>VLOOKUP($B344,'Tillförd energi'!$B$1:$AI$720,MATCH(N$2,'Tillförd energi'!$B$1:$AQ$1,0),FALSE)</f>
        <v>0</v>
      </c>
      <c r="O344" s="63">
        <f>VLOOKUP($B344,'Tillförd energi'!$B$1:$AI$720,MATCH(O$2,'Tillförd energi'!$B$1:$AQ$1,0),FALSE)</f>
        <v>0</v>
      </c>
      <c r="P344" s="63">
        <f>VLOOKUP($B344,'Tillförd energi'!$B$1:$AI$720,MATCH(P$2,'Tillförd energi'!$B$1:$AQ$1,0),FALSE)</f>
        <v>0</v>
      </c>
      <c r="Q344" s="63">
        <f>VLOOKUP($B344,'Tillförd energi'!$B$1:$AI$720,MATCH(Q$2,'Tillförd energi'!$B$1:$AQ$1,0),FALSE)</f>
        <v>0</v>
      </c>
      <c r="R344" s="63">
        <f>VLOOKUP($B344,'Tillförd energi'!$B$1:$AI$720,MATCH(R$2,'Tillförd energi'!$B$1:$AQ$1,0),FALSE)</f>
        <v>0</v>
      </c>
      <c r="S344" s="63">
        <f>VLOOKUP($B344,'Tillförd energi'!$B$1:$AI$720,MATCH(S$2,'Tillförd energi'!$B$1:$AQ$1,0),FALSE)</f>
        <v>0</v>
      </c>
      <c r="T344" s="63">
        <f>VLOOKUP($B344,'Tillförd energi'!$B$1:$AI$720,MATCH(T$2,'Tillförd energi'!$B$1:$AQ$1,0),FALSE)</f>
        <v>0</v>
      </c>
      <c r="U344" s="63">
        <f>VLOOKUP($B344,'Tillförd energi'!$B$1:$AI$720,MATCH(U$2,'Tillförd energi'!$B$1:$AQ$1,0),FALSE)</f>
        <v>0</v>
      </c>
      <c r="V344" s="63">
        <f>VLOOKUP($B344,'Tillförd energi'!$B$1:$AI$720,MATCH(V$2,'Tillförd energi'!$B$1:$AQ$1,0),FALSE)</f>
        <v>0</v>
      </c>
      <c r="W344" s="63">
        <f>VLOOKUP($B344,'Tillförd energi'!$B$1:$AI$720,MATCH(W$2,'Tillförd energi'!$B$1:$AQ$1,0),FALSE)</f>
        <v>10.5</v>
      </c>
      <c r="X344" s="63">
        <f>VLOOKUP($B344,'Tillförd energi'!$B$1:$AI$720,MATCH(X$2,'Tillförd energi'!$B$1:$AQ$1,0),FALSE)</f>
        <v>0</v>
      </c>
      <c r="Y344" s="63">
        <f>VLOOKUP($B344,'Tillförd energi'!$B$1:$AI$720,MATCH(Y$2,'Tillförd energi'!$B$1:$AQ$1,0),FALSE)</f>
        <v>0</v>
      </c>
      <c r="Z344" s="63">
        <f>VLOOKUP($B344,'Tillförd energi'!$B$1:$AI$720,MATCH(Z$2,'Tillförd energi'!$B$1:$AQ$1,0),FALSE)</f>
        <v>0</v>
      </c>
      <c r="AA344" s="63">
        <f>VLOOKUP($B344,'Tillförd energi'!$B$1:$AI$720,MATCH(AA$2,'Tillförd energi'!$B$1:$AQ$1,0),FALSE)</f>
        <v>0</v>
      </c>
      <c r="AB344" s="63">
        <f>VLOOKUP($B344,'Tillförd energi'!$B$1:$AI$720,MATCH(AB$2,'Tillförd energi'!$B$1:$AQ$1,0),FALSE)</f>
        <v>0</v>
      </c>
      <c r="AC344" s="63">
        <f>VLOOKUP($B344,'Tillförd energi'!$B$1:$AI$720,MATCH(AC$2,'Tillförd energi'!$B$1:$AQ$1,0),FALSE)</f>
        <v>0</v>
      </c>
      <c r="AD344" s="63">
        <f>VLOOKUP($B344,'Tillförd energi'!$B$1:$AI$720,MATCH(AD$2,'Tillförd energi'!$B$1:$AQ$1,0),FALSE)</f>
        <v>204</v>
      </c>
      <c r="AE344" s="63">
        <f>VLOOKUP($B344,'Tillförd energi'!$B$1:$AI$720,MATCH(AE$2,'Tillförd energi'!$B$1:$AQ$1,0),FALSE)</f>
        <v>0</v>
      </c>
      <c r="AF344" s="63">
        <f>VLOOKUP($B344,'Tillförd energi'!$B$1:$AI$720,MATCH(AF$2,'Tillförd energi'!$B$1:$AQ$1,0),FALSE)</f>
        <v>1.4</v>
      </c>
      <c r="AG344" s="63">
        <f>IFERROR(VLOOKUP(B344,Miljö!$B$1:$AC$550,MATCH("Köpt mängd produktionsspecifik fjärrvärme:",Miljö!$B$1:$AC$1,0),FALSE)/1,0)</f>
        <v>2.2000000000000002</v>
      </c>
      <c r="AI344" s="63">
        <f t="shared" si="30"/>
        <v>218.14</v>
      </c>
      <c r="AJ344" s="63">
        <f>IF(ISERROR(1/VLOOKUP($B344,Leveranser!$B$1:$S$500,MATCH("såld värme (gwh)",Leveranser!$B$1:$S$1,0),FALSE)),"",VLOOKUP($B344,Leveranser!$B$1:$S$500,MATCH("såld värme (gwh)",Leveranser!$B$1:$S$1,0),FALSE))</f>
        <v>196.64099999999999</v>
      </c>
      <c r="AM344" s="63" t="str">
        <f>IF(B344&lt;&gt;"",IF(VLOOKUP($B344,Totalt!$B$1:$AQ$554,MATCH("Kvalitetsgranskad:",Totalt!$B$1:$AQ$1,0),FALSE)="ja",VLOOKUP($B344,Miljö!$B$1:$AG$479,MATCH(AM$2,Miljö!$B$1:$AK$1,0),FALSE),""),"")</f>
        <v>Ja</v>
      </c>
      <c r="AN344" s="63" t="str">
        <f>IF(AM344="ja",VLOOKUP($B344,Miljö!$B$1:$J$479,MATCH("Typ av ursprungsspecificerad el   (Om inget värde anges används Nordisk residualmix, se inforuta) ()",Miljö!$B$1:$J$1,0),FALSE),IF(AM344="nej","Nordisk residualel",""))</f>
        <v>'Vattenfalls elmix'</v>
      </c>
      <c r="AO344" s="63">
        <f>IF(AM344="","",VLOOKUP($B344,Miljö!$B$1:$J$479,MATCH("Fossilandel för ursprungspecificerad el ()",Miljö!$B$1:$J$1,0),FALSE))</f>
        <v>0</v>
      </c>
      <c r="AQ344" s="63">
        <f t="shared" si="31"/>
        <v>1</v>
      </c>
      <c r="AS344" s="63" t="str">
        <f t="shared" si="32"/>
        <v>Ja</v>
      </c>
      <c r="AT344" s="63">
        <f>IF(AS344="ja",VLOOKUP($B344,Miljö!$B$1:$P$500,MATCH("Fossil andel i procent (%)",Miljö!$B$1:$P$1,0),FALSE)/100,"")</f>
        <v>3.3E-4</v>
      </c>
      <c r="AV344" s="63" t="str">
        <f t="shared" si="33"/>
        <v>Nej</v>
      </c>
      <c r="AW344" s="63" t="str">
        <f>IF(AV344="ja",VLOOKUP($B344,'Egen hetvattenprod'!$B$1:$AO$500,MATCH("Värmekälla till värmepumpar ()",'Egen hetvattenprod'!$B$1:$AO$1,0),FALSE),"")</f>
        <v/>
      </c>
      <c r="AY344" s="63" t="str">
        <f t="shared" si="34"/>
        <v>Nej</v>
      </c>
      <c r="AZ344" s="77" t="str">
        <f>IF($AY344="ja",(VLOOKUP($B344,'Egen hetvattenprod'!$B$1:$BX$550,MATCH(AZ$2,'Egen hetvattenprod'!$B$1:$BX$1,0),FALSE)+VLOOKUP($B344,Kraftvärmeprod!$B$1:$BX$550,MATCH(AZ$2,Kraftvärmeprod!$B$1:$BX$1,0),FALSE))/$AC344,"")</f>
        <v/>
      </c>
      <c r="BA344" s="77" t="str">
        <f>IF($AY344="ja",(VLOOKUP($B344,'Egen hetvattenprod'!$B$1:$BX$550,MATCH(BA$2,'Egen hetvattenprod'!$B$1:$BX$1,0),FALSE)+VLOOKUP($B344,Kraftvärmeprod!$B$1:$BX$550,MATCH(BA$2,Kraftvärmeprod!$B$1:$BX$1,0),FALSE))/$AC344,"")</f>
        <v/>
      </c>
      <c r="BB344" s="77" t="str">
        <f>IF($AY344="ja",(VLOOKUP($B344,'Egen hetvattenprod'!$B$1:$BX$550,MATCH(BB$2,'Egen hetvattenprod'!$B$1:$BX$1,0),FALSE)+VLOOKUP($B344,Kraftvärmeprod!$B$1:$BX$550,MATCH(BB$2,Kraftvärmeprod!$B$1:$BX$1,0),FALSE))/$AC344,"")</f>
        <v/>
      </c>
      <c r="BC344" s="77" t="str">
        <f>IF($AY344="ja",(VLOOKUP($B344,'Egen hetvattenprod'!$B$1:$BX$550,MATCH(BC$2,'Egen hetvattenprod'!$B$1:$BX$1,0),FALSE)+VLOOKUP($B344,Kraftvärmeprod!$B$1:$BX$550,MATCH(BC$2,Kraftvärmeprod!$B$1:$BX$1,0),FALSE))/$AC344,"")</f>
        <v/>
      </c>
      <c r="BD344" s="77" t="str">
        <f>IF($AY344="ja",(VLOOKUP($B344,'Egen hetvattenprod'!$B$1:$BX$550,MATCH(BD$2,'Egen hetvattenprod'!$B$1:$BX$1,0),FALSE)+VLOOKUP($B344,Kraftvärmeprod!$B$1:$BX$550,MATCH(BD$2,Kraftvärmeprod!$B$1:$BX$1,0),FALSE))/$AC344,"")</f>
        <v/>
      </c>
      <c r="BF344" s="63" t="str">
        <f t="shared" si="35"/>
        <v>Nej</v>
      </c>
      <c r="BG344" s="63" t="str">
        <f>IF($BF344="ja",VLOOKUP($B344,'Egen hetvattenprod'!$B$1:$BX$550,MATCH("Andelen klimatgaser med fossilt ursprung för avfall ()",'Egen hetvattenprod'!$B$1:$BX$1,0),FALSE),"")</f>
        <v/>
      </c>
      <c r="BH344" s="63" t="str">
        <f>IF($BF344="ja",VLOOKUP($B344,Kraftvärmeprod!$B$1:$BX$550,MATCH("Andelen klimatgaser med fossilt ursprung för avfall ()",Kraftvärmeprod!$B$1:$BX$1,0),FALSE),"")</f>
        <v/>
      </c>
      <c r="BI344" s="63" t="str">
        <f>IF($BF344="ja",VLOOKUP($B344,'Egen hetvattenprod'!$B$1:$BX$550,MATCH("Avfall (GWh)",'Egen hetvattenprod'!$B$1:$BX$1,0),FALSE),"")</f>
        <v/>
      </c>
      <c r="BJ344" s="63" t="str">
        <f>IF($BF344="ja",VLOOKUP($B344,'Slutlig allokering kvv'!$B$1:$BX$550,MATCH("Avfall (GWh)",'Slutlig allokering kvv'!$B$1:$BX$1,0),FALSE),"")</f>
        <v/>
      </c>
      <c r="BK344" s="63" t="str">
        <f>IF($BF344="ja",VLOOKUP($B344,'Köpt hetvatten'!$B$1:$BX$550,MATCH("Avfall i köpt hetvatten",'Köpt hetvatten'!$B$1:$BX$1,0),FALSE),"")</f>
        <v/>
      </c>
      <c r="BL344" s="63" t="str">
        <f>IF($BF344="ja",VLOOKUP($B344,'Egen hetvattenprod'!$B$1:$BX$550,MATCH("Värde enligt ovan. (%)",'Egen hetvattenprod'!$B$1:$BX$1,0),FALSE),"")</f>
        <v/>
      </c>
      <c r="BM344" s="63" t="str">
        <f>IF($BF344="ja",VLOOKUP($B344,Kraftvärmeprod!$B$1:$BX$550,MATCH("Värde enligt ovan. (%)",Kraftvärmeprod!$B$1:$BX$1,0),FALSE),"")</f>
        <v/>
      </c>
    </row>
    <row r="345" spans="1:65" x14ac:dyDescent="0.45">
      <c r="A345" s="63" t="s">
        <v>7</v>
      </c>
      <c r="B345" s="63" t="s">
        <v>230</v>
      </c>
      <c r="C345" s="63">
        <f>VLOOKUP($B345,'Tillförd energi'!$B$1:$AI$720,MATCH(C$2,'Tillförd energi'!$B$1:$AQ$1,0),FALSE)</f>
        <v>0</v>
      </c>
      <c r="D345" s="63">
        <f>VLOOKUP($B345,'Tillförd energi'!$B$1:$AI$720,MATCH(D$2,'Tillförd energi'!$B$1:$AQ$1,0),FALSE)</f>
        <v>0</v>
      </c>
      <c r="E345" s="63">
        <f>VLOOKUP($B345,'Tillförd energi'!$B$1:$AI$720,MATCH(E$2,'Tillförd energi'!$B$1:$AQ$1,0),FALSE)</f>
        <v>0</v>
      </c>
      <c r="F345" s="63">
        <f>VLOOKUP($B345,'Tillförd energi'!$B$1:$AI$720,MATCH(F$2,'Tillförd energi'!$B$1:$AQ$1,0),FALSE)</f>
        <v>0</v>
      </c>
      <c r="G345" s="63">
        <f>VLOOKUP($B345,'Tillförd energi'!$B$1:$AI$720,MATCH(G$2,'Tillförd energi'!$B$1:$AQ$1,0),FALSE)</f>
        <v>0</v>
      </c>
      <c r="H345" s="63">
        <f>VLOOKUP($B345,'Tillförd energi'!$B$1:$AI$720,MATCH(H$2,'Tillförd energi'!$B$1:$AQ$1,0),FALSE)</f>
        <v>0</v>
      </c>
      <c r="I345" s="63">
        <f>VLOOKUP($B345,'Tillförd energi'!$B$1:$AI$720,MATCH(I$2,'Tillförd energi'!$B$1:$AQ$1,0),FALSE)</f>
        <v>0</v>
      </c>
      <c r="J345" s="63">
        <f>VLOOKUP($B345,'Tillförd energi'!$B$1:$AI$720,MATCH(J$2,'Tillförd energi'!$B$1:$AQ$1,0),FALSE)</f>
        <v>0</v>
      </c>
      <c r="K345" s="63">
        <f>VLOOKUP($B345,'Tillförd energi'!$B$1:$AI$720,MATCH(K$2,'Tillförd energi'!$B$1:$AQ$1,0),FALSE)</f>
        <v>0</v>
      </c>
      <c r="L345" s="63">
        <f>VLOOKUP($B345,'Tillförd energi'!$B$1:$AI$720,MATCH(L$2,'Tillförd energi'!$B$1:$AQ$1,0),FALSE)</f>
        <v>0</v>
      </c>
      <c r="M345" s="63">
        <f>VLOOKUP($B345,'Tillförd energi'!$B$1:$AI$720,MATCH(M$2,'Tillförd energi'!$B$1:$AQ$1,0),FALSE)</f>
        <v>0</v>
      </c>
      <c r="N345" s="63">
        <f>VLOOKUP($B345,'Tillförd energi'!$B$1:$AI$720,MATCH(N$2,'Tillförd energi'!$B$1:$AQ$1,0),FALSE)</f>
        <v>0</v>
      </c>
      <c r="O345" s="63">
        <f>VLOOKUP($B345,'Tillförd energi'!$B$1:$AI$720,MATCH(O$2,'Tillförd energi'!$B$1:$AQ$1,0),FALSE)</f>
        <v>0</v>
      </c>
      <c r="P345" s="63">
        <f>VLOOKUP($B345,'Tillförd energi'!$B$1:$AI$720,MATCH(P$2,'Tillförd energi'!$B$1:$AQ$1,0),FALSE)</f>
        <v>0</v>
      </c>
      <c r="Q345" s="63">
        <f>VLOOKUP($B345,'Tillförd energi'!$B$1:$AI$720,MATCH(Q$2,'Tillförd energi'!$B$1:$AQ$1,0),FALSE)</f>
        <v>0</v>
      </c>
      <c r="R345" s="63">
        <f>VLOOKUP($B345,'Tillförd energi'!$B$1:$AI$720,MATCH(R$2,'Tillförd energi'!$B$1:$AQ$1,0),FALSE)</f>
        <v>0</v>
      </c>
      <c r="S345" s="63">
        <f>VLOOKUP($B345,'Tillförd energi'!$B$1:$AI$720,MATCH(S$2,'Tillförd energi'!$B$1:$AQ$1,0),FALSE)</f>
        <v>0</v>
      </c>
      <c r="T345" s="63">
        <f>VLOOKUP($B345,'Tillförd energi'!$B$1:$AI$720,MATCH(T$2,'Tillförd energi'!$B$1:$AQ$1,0),FALSE)</f>
        <v>0</v>
      </c>
      <c r="U345" s="63">
        <f>VLOOKUP($B345,'Tillförd energi'!$B$1:$AI$720,MATCH(U$2,'Tillförd energi'!$B$1:$AQ$1,0),FALSE)</f>
        <v>0</v>
      </c>
      <c r="V345" s="63">
        <f>VLOOKUP($B345,'Tillförd energi'!$B$1:$AI$720,MATCH(V$2,'Tillförd energi'!$B$1:$AQ$1,0),FALSE)</f>
        <v>0</v>
      </c>
      <c r="W345" s="63">
        <f>VLOOKUP($B345,'Tillförd energi'!$B$1:$AI$720,MATCH(W$2,'Tillförd energi'!$B$1:$AQ$1,0),FALSE)</f>
        <v>0</v>
      </c>
      <c r="X345" s="63">
        <f>VLOOKUP($B345,'Tillförd energi'!$B$1:$AI$720,MATCH(X$2,'Tillförd energi'!$B$1:$AQ$1,0),FALSE)</f>
        <v>0</v>
      </c>
      <c r="Y345" s="63">
        <f>VLOOKUP($B345,'Tillförd energi'!$B$1:$AI$720,MATCH(Y$2,'Tillförd energi'!$B$1:$AQ$1,0),FALSE)</f>
        <v>0</v>
      </c>
      <c r="Z345" s="63">
        <f>VLOOKUP($B345,'Tillförd energi'!$B$1:$AI$720,MATCH(Z$2,'Tillförd energi'!$B$1:$AQ$1,0),FALSE)</f>
        <v>0</v>
      </c>
      <c r="AA345" s="63">
        <f>VLOOKUP($B345,'Tillförd energi'!$B$1:$AI$720,MATCH(AA$2,'Tillförd energi'!$B$1:$AQ$1,0),FALSE)</f>
        <v>0</v>
      </c>
      <c r="AB345" s="63">
        <f>VLOOKUP($B345,'Tillförd energi'!$B$1:$AI$720,MATCH(AB$2,'Tillförd energi'!$B$1:$AQ$1,0),FALSE)</f>
        <v>0</v>
      </c>
      <c r="AC345" s="63">
        <f>VLOOKUP($B345,'Tillförd energi'!$B$1:$AI$720,MATCH(AC$2,'Tillförd energi'!$B$1:$AQ$1,0),FALSE)</f>
        <v>0</v>
      </c>
      <c r="AD345" s="63">
        <f>VLOOKUP($B345,'Tillförd energi'!$B$1:$AI$720,MATCH(AD$2,'Tillförd energi'!$B$1:$AQ$1,0),FALSE)</f>
        <v>0</v>
      </c>
      <c r="AE345" s="63">
        <f>VLOOKUP($B345,'Tillförd energi'!$B$1:$AI$720,MATCH(AE$2,'Tillförd energi'!$B$1:$AQ$1,0),FALSE)</f>
        <v>0</v>
      </c>
      <c r="AF345" s="63">
        <f>VLOOKUP($B345,'Tillförd energi'!$B$1:$AI$720,MATCH(AF$2,'Tillförd energi'!$B$1:$AQ$1,0),FALSE)</f>
        <v>0</v>
      </c>
      <c r="AG345" s="63">
        <f>IFERROR(VLOOKUP(B345,Miljö!$B$1:$AC$550,MATCH("Köpt mängd produktionsspecifik fjärrvärme:",Miljö!$B$1:$AC$1,0),FALSE)/1,0)</f>
        <v>0</v>
      </c>
      <c r="AI345" s="63">
        <f t="shared" si="30"/>
        <v>0</v>
      </c>
      <c r="AJ345" s="63" t="str">
        <f>IF(ISERROR(1/VLOOKUP($B345,Leveranser!$B$1:$S$500,MATCH("såld värme (gwh)",Leveranser!$B$1:$S$1,0),FALSE)),"",VLOOKUP($B345,Leveranser!$B$1:$S$500,MATCH("såld värme (gwh)",Leveranser!$B$1:$S$1,0),FALSE))</f>
        <v/>
      </c>
      <c r="AM345" s="63" t="str">
        <f>IF(B345&lt;&gt;"",IF(VLOOKUP($B345,Totalt!$B$1:$AQ$554,MATCH("Kvalitetsgranskad:",Totalt!$B$1:$AQ$1,0),FALSE)="ja",VLOOKUP($B345,Miljö!$B$1:$AG$479,MATCH(AM$2,Miljö!$B$1:$AK$1,0),FALSE),""),"")</f>
        <v/>
      </c>
      <c r="AN345" s="63" t="str">
        <f>IF(AM345="ja",VLOOKUP($B345,Miljö!$B$1:$J$479,MATCH("Typ av ursprungsspecificerad el   (Om inget värde anges används Nordisk residualmix, se inforuta) ()",Miljö!$B$1:$J$1,0),FALSE),IF(AM345="nej","Nordisk residualel",""))</f>
        <v/>
      </c>
      <c r="AO345" s="63" t="str">
        <f>IF(AM345="","",VLOOKUP($B345,Miljö!$B$1:$J$479,MATCH("Fossilandel för ursprungspecificerad el ()",Miljö!$B$1:$J$1,0),FALSE))</f>
        <v/>
      </c>
      <c r="AQ345" s="63" t="str">
        <f t="shared" si="31"/>
        <v/>
      </c>
      <c r="AS345" s="63" t="str">
        <f t="shared" si="32"/>
        <v>Nej</v>
      </c>
      <c r="AT345" s="63" t="str">
        <f>IF(AS345="ja",VLOOKUP($B345,Miljö!$B$1:$P$500,MATCH("Fossil andel i procent (%)",Miljö!$B$1:$P$1,0),FALSE)/100,"")</f>
        <v/>
      </c>
      <c r="AV345" s="63" t="str">
        <f t="shared" si="33"/>
        <v>Nej</v>
      </c>
      <c r="AW345" s="63" t="str">
        <f>IF(AV345="ja",VLOOKUP($B345,'Egen hetvattenprod'!$B$1:$AO$500,MATCH("Värmekälla till värmepumpar ()",'Egen hetvattenprod'!$B$1:$AO$1,0),FALSE),"")</f>
        <v/>
      </c>
      <c r="AY345" s="63" t="str">
        <f t="shared" si="34"/>
        <v>Nej</v>
      </c>
      <c r="AZ345" s="77" t="str">
        <f>IF($AY345="ja",(VLOOKUP($B345,'Egen hetvattenprod'!$B$1:$BX$550,MATCH(AZ$2,'Egen hetvattenprod'!$B$1:$BX$1,0),FALSE)+VLOOKUP($B345,Kraftvärmeprod!$B$1:$BX$550,MATCH(AZ$2,Kraftvärmeprod!$B$1:$BX$1,0),FALSE))/$AC345,"")</f>
        <v/>
      </c>
      <c r="BA345" s="77" t="str">
        <f>IF($AY345="ja",(VLOOKUP($B345,'Egen hetvattenprod'!$B$1:$BX$550,MATCH(BA$2,'Egen hetvattenprod'!$B$1:$BX$1,0),FALSE)+VLOOKUP($B345,Kraftvärmeprod!$B$1:$BX$550,MATCH(BA$2,Kraftvärmeprod!$B$1:$BX$1,0),FALSE))/$AC345,"")</f>
        <v/>
      </c>
      <c r="BB345" s="77" t="str">
        <f>IF($AY345="ja",(VLOOKUP($B345,'Egen hetvattenprod'!$B$1:$BX$550,MATCH(BB$2,'Egen hetvattenprod'!$B$1:$BX$1,0),FALSE)+VLOOKUP($B345,Kraftvärmeprod!$B$1:$BX$550,MATCH(BB$2,Kraftvärmeprod!$B$1:$BX$1,0),FALSE))/$AC345,"")</f>
        <v/>
      </c>
      <c r="BC345" s="77" t="str">
        <f>IF($AY345="ja",(VLOOKUP($B345,'Egen hetvattenprod'!$B$1:$BX$550,MATCH(BC$2,'Egen hetvattenprod'!$B$1:$BX$1,0),FALSE)+VLOOKUP($B345,Kraftvärmeprod!$B$1:$BX$550,MATCH(BC$2,Kraftvärmeprod!$B$1:$BX$1,0),FALSE))/$AC345,"")</f>
        <v/>
      </c>
      <c r="BD345" s="77" t="str">
        <f>IF($AY345="ja",(VLOOKUP($B345,'Egen hetvattenprod'!$B$1:$BX$550,MATCH(BD$2,'Egen hetvattenprod'!$B$1:$BX$1,0),FALSE)+VLOOKUP($B345,Kraftvärmeprod!$B$1:$BX$550,MATCH(BD$2,Kraftvärmeprod!$B$1:$BX$1,0),FALSE))/$AC345,"")</f>
        <v/>
      </c>
      <c r="BF345" s="63" t="str">
        <f t="shared" si="35"/>
        <v>Nej</v>
      </c>
      <c r="BG345" s="63" t="str">
        <f>IF($BF345="ja",VLOOKUP($B345,'Egen hetvattenprod'!$B$1:$BX$550,MATCH("Andelen klimatgaser med fossilt ursprung för avfall ()",'Egen hetvattenprod'!$B$1:$BX$1,0),FALSE),"")</f>
        <v/>
      </c>
      <c r="BH345" s="63" t="str">
        <f>IF($BF345="ja",VLOOKUP($B345,Kraftvärmeprod!$B$1:$BX$550,MATCH("Andelen klimatgaser med fossilt ursprung för avfall ()",Kraftvärmeprod!$B$1:$BX$1,0),FALSE),"")</f>
        <v/>
      </c>
      <c r="BI345" s="63" t="str">
        <f>IF($BF345="ja",VLOOKUP($B345,'Egen hetvattenprod'!$B$1:$BX$550,MATCH("Avfall (GWh)",'Egen hetvattenprod'!$B$1:$BX$1,0),FALSE),"")</f>
        <v/>
      </c>
      <c r="BJ345" s="63" t="str">
        <f>IF($BF345="ja",VLOOKUP($B345,'Slutlig allokering kvv'!$B$1:$BX$550,MATCH("Avfall (GWh)",'Slutlig allokering kvv'!$B$1:$BX$1,0),FALSE),"")</f>
        <v/>
      </c>
      <c r="BK345" s="63" t="str">
        <f>IF($BF345="ja",VLOOKUP($B345,'Köpt hetvatten'!$B$1:$BX$550,MATCH("Avfall i köpt hetvatten",'Köpt hetvatten'!$B$1:$BX$1,0),FALSE),"")</f>
        <v/>
      </c>
      <c r="BL345" s="63" t="str">
        <f>IF($BF345="ja",VLOOKUP($B345,'Egen hetvattenprod'!$B$1:$BX$550,MATCH("Värde enligt ovan. (%)",'Egen hetvattenprod'!$B$1:$BX$1,0),FALSE),"")</f>
        <v/>
      </c>
      <c r="BM345" s="63" t="str">
        <f>IF($BF345="ja",VLOOKUP($B345,Kraftvärmeprod!$B$1:$BX$550,MATCH("Värde enligt ovan. (%)",Kraftvärmeprod!$B$1:$BX$1,0),FALSE),"")</f>
        <v/>
      </c>
    </row>
    <row r="346" spans="1:65" x14ac:dyDescent="0.45">
      <c r="A346" s="63" t="s">
        <v>7</v>
      </c>
      <c r="B346" s="63" t="s">
        <v>8</v>
      </c>
      <c r="C346" s="63">
        <f>VLOOKUP($B346,'Tillförd energi'!$B$1:$AI$720,MATCH(C$2,'Tillförd energi'!$B$1:$AQ$1,0),FALSE)</f>
        <v>0</v>
      </c>
      <c r="D346" s="63">
        <f>VLOOKUP($B346,'Tillförd energi'!$B$1:$AI$720,MATCH(D$2,'Tillförd energi'!$B$1:$AQ$1,0),FALSE)</f>
        <v>0</v>
      </c>
      <c r="E346" s="63">
        <f>VLOOKUP($B346,'Tillförd energi'!$B$1:$AI$720,MATCH(E$2,'Tillförd energi'!$B$1:$AQ$1,0),FALSE)</f>
        <v>0</v>
      </c>
      <c r="F346" s="63">
        <f>VLOOKUP($B346,'Tillförd energi'!$B$1:$AI$720,MATCH(F$2,'Tillförd energi'!$B$1:$AQ$1,0),FALSE)</f>
        <v>0</v>
      </c>
      <c r="G346" s="63">
        <f>VLOOKUP($B346,'Tillförd energi'!$B$1:$AI$720,MATCH(G$2,'Tillförd energi'!$B$1:$AQ$1,0),FALSE)</f>
        <v>0</v>
      </c>
      <c r="H346" s="63">
        <f>VLOOKUP($B346,'Tillförd energi'!$B$1:$AI$720,MATCH(H$2,'Tillförd energi'!$B$1:$AQ$1,0),FALSE)</f>
        <v>0</v>
      </c>
      <c r="I346" s="63">
        <f>VLOOKUP($B346,'Tillförd energi'!$B$1:$AI$720,MATCH(I$2,'Tillförd energi'!$B$1:$AQ$1,0),FALSE)</f>
        <v>0</v>
      </c>
      <c r="J346" s="63">
        <f>VLOOKUP($B346,'Tillförd energi'!$B$1:$AI$720,MATCH(J$2,'Tillförd energi'!$B$1:$AQ$1,0),FALSE)</f>
        <v>0</v>
      </c>
      <c r="K346" s="63">
        <f>VLOOKUP($B346,'Tillförd energi'!$B$1:$AI$720,MATCH(K$2,'Tillförd energi'!$B$1:$AQ$1,0),FALSE)</f>
        <v>0</v>
      </c>
      <c r="L346" s="63">
        <f>VLOOKUP($B346,'Tillförd energi'!$B$1:$AI$720,MATCH(L$2,'Tillförd energi'!$B$1:$AQ$1,0),FALSE)</f>
        <v>0</v>
      </c>
      <c r="M346" s="63">
        <f>VLOOKUP($B346,'Tillförd energi'!$B$1:$AI$720,MATCH(M$2,'Tillförd energi'!$B$1:$AQ$1,0),FALSE)</f>
        <v>0</v>
      </c>
      <c r="N346" s="63">
        <f>VLOOKUP($B346,'Tillförd energi'!$B$1:$AI$720,MATCH(N$2,'Tillförd energi'!$B$1:$AQ$1,0),FALSE)</f>
        <v>0</v>
      </c>
      <c r="O346" s="63">
        <f>VLOOKUP($B346,'Tillförd energi'!$B$1:$AI$720,MATCH(O$2,'Tillförd energi'!$B$1:$AQ$1,0),FALSE)</f>
        <v>0</v>
      </c>
      <c r="P346" s="63">
        <f>VLOOKUP($B346,'Tillförd energi'!$B$1:$AI$720,MATCH(P$2,'Tillförd energi'!$B$1:$AQ$1,0),FALSE)</f>
        <v>0</v>
      </c>
      <c r="Q346" s="63">
        <f>VLOOKUP($B346,'Tillförd energi'!$B$1:$AI$720,MATCH(Q$2,'Tillförd energi'!$B$1:$AQ$1,0),FALSE)</f>
        <v>0</v>
      </c>
      <c r="R346" s="63">
        <f>VLOOKUP($B346,'Tillförd energi'!$B$1:$AI$720,MATCH(R$2,'Tillförd energi'!$B$1:$AQ$1,0),FALSE)</f>
        <v>0</v>
      </c>
      <c r="S346" s="63">
        <f>VLOOKUP($B346,'Tillförd energi'!$B$1:$AI$720,MATCH(S$2,'Tillförd energi'!$B$1:$AQ$1,0),FALSE)</f>
        <v>0</v>
      </c>
      <c r="T346" s="63">
        <f>VLOOKUP($B346,'Tillförd energi'!$B$1:$AI$720,MATCH(T$2,'Tillförd energi'!$B$1:$AQ$1,0),FALSE)</f>
        <v>0</v>
      </c>
      <c r="U346" s="63">
        <f>VLOOKUP($B346,'Tillförd energi'!$B$1:$AI$720,MATCH(U$2,'Tillförd energi'!$B$1:$AQ$1,0),FALSE)</f>
        <v>0</v>
      </c>
      <c r="V346" s="63">
        <f>VLOOKUP($B346,'Tillförd energi'!$B$1:$AI$720,MATCH(V$2,'Tillförd energi'!$B$1:$AQ$1,0),FALSE)</f>
        <v>0</v>
      </c>
      <c r="W346" s="63">
        <f>VLOOKUP($B346,'Tillförd energi'!$B$1:$AI$720,MATCH(W$2,'Tillförd energi'!$B$1:$AQ$1,0),FALSE)</f>
        <v>0</v>
      </c>
      <c r="X346" s="63">
        <f>VLOOKUP($B346,'Tillförd energi'!$B$1:$AI$720,MATCH(X$2,'Tillförd energi'!$B$1:$AQ$1,0),FALSE)</f>
        <v>0</v>
      </c>
      <c r="Y346" s="63">
        <f>VLOOKUP($B346,'Tillförd energi'!$B$1:$AI$720,MATCH(Y$2,'Tillförd energi'!$B$1:$AQ$1,0),FALSE)</f>
        <v>0</v>
      </c>
      <c r="Z346" s="63">
        <f>VLOOKUP($B346,'Tillförd energi'!$B$1:$AI$720,MATCH(Z$2,'Tillförd energi'!$B$1:$AQ$1,0),FALSE)</f>
        <v>0</v>
      </c>
      <c r="AA346" s="63">
        <f>VLOOKUP($B346,'Tillförd energi'!$B$1:$AI$720,MATCH(AA$2,'Tillförd energi'!$B$1:$AQ$1,0),FALSE)</f>
        <v>0</v>
      </c>
      <c r="AB346" s="63">
        <f>VLOOKUP($B346,'Tillförd energi'!$B$1:$AI$720,MATCH(AB$2,'Tillförd energi'!$B$1:$AQ$1,0),FALSE)</f>
        <v>0</v>
      </c>
      <c r="AC346" s="63">
        <f>VLOOKUP($B346,'Tillförd energi'!$B$1:$AI$720,MATCH(AC$2,'Tillförd energi'!$B$1:$AQ$1,0),FALSE)</f>
        <v>0</v>
      </c>
      <c r="AD346" s="63">
        <f>VLOOKUP($B346,'Tillförd energi'!$B$1:$AI$720,MATCH(AD$2,'Tillförd energi'!$B$1:$AQ$1,0),FALSE)</f>
        <v>0</v>
      </c>
      <c r="AE346" s="63">
        <f>VLOOKUP($B346,'Tillförd energi'!$B$1:$AI$720,MATCH(AE$2,'Tillförd energi'!$B$1:$AQ$1,0),FALSE)</f>
        <v>0</v>
      </c>
      <c r="AF346" s="63">
        <f>VLOOKUP($B346,'Tillförd energi'!$B$1:$AI$720,MATCH(AF$2,'Tillförd energi'!$B$1:$AQ$1,0),FALSE)</f>
        <v>0</v>
      </c>
      <c r="AG346" s="63">
        <f>IFERROR(VLOOKUP(B346,Miljö!$B$1:$AC$550,MATCH("Köpt mängd produktionsspecifik fjärrvärme:",Miljö!$B$1:$AC$1,0),FALSE)/1,0)</f>
        <v>0</v>
      </c>
      <c r="AI346" s="63">
        <f t="shared" si="30"/>
        <v>0</v>
      </c>
      <c r="AJ346" s="63" t="str">
        <f>IF(ISERROR(1/VLOOKUP($B346,Leveranser!$B$1:$S$500,MATCH("såld värme (gwh)",Leveranser!$B$1:$S$1,0),FALSE)),"",VLOOKUP($B346,Leveranser!$B$1:$S$500,MATCH("såld värme (gwh)",Leveranser!$B$1:$S$1,0),FALSE))</f>
        <v/>
      </c>
      <c r="AM346" s="63" t="str">
        <f>IF(B346&lt;&gt;"",IF(VLOOKUP($B346,Totalt!$B$1:$AQ$554,MATCH("Kvalitetsgranskad:",Totalt!$B$1:$AQ$1,0),FALSE)="ja",VLOOKUP($B346,Miljö!$B$1:$AG$479,MATCH(AM$2,Miljö!$B$1:$AK$1,0),FALSE),""),"")</f>
        <v/>
      </c>
      <c r="AN346" s="63" t="str">
        <f>IF(AM346="ja",VLOOKUP($B346,Miljö!$B$1:$J$479,MATCH("Typ av ursprungsspecificerad el   (Om inget värde anges används Nordisk residualmix, se inforuta) ()",Miljö!$B$1:$J$1,0),FALSE),IF(AM346="nej","Nordisk residualel",""))</f>
        <v/>
      </c>
      <c r="AO346" s="63" t="str">
        <f>IF(AM346="","",VLOOKUP($B346,Miljö!$B$1:$J$479,MATCH("Fossilandel för ursprungspecificerad el ()",Miljö!$B$1:$J$1,0),FALSE))</f>
        <v/>
      </c>
      <c r="AQ346" s="63" t="str">
        <f t="shared" si="31"/>
        <v/>
      </c>
      <c r="AS346" s="63" t="str">
        <f t="shared" si="32"/>
        <v>Nej</v>
      </c>
      <c r="AT346" s="63" t="str">
        <f>IF(AS346="ja",VLOOKUP($B346,Miljö!$B$1:$P$500,MATCH("Fossil andel i procent (%)",Miljö!$B$1:$P$1,0),FALSE)/100,"")</f>
        <v/>
      </c>
      <c r="AV346" s="63" t="str">
        <f t="shared" si="33"/>
        <v>Nej</v>
      </c>
      <c r="AW346" s="63" t="str">
        <f>IF(AV346="ja",VLOOKUP($B346,'Egen hetvattenprod'!$B$1:$AO$500,MATCH("Värmekälla till värmepumpar ()",'Egen hetvattenprod'!$B$1:$AO$1,0),FALSE),"")</f>
        <v/>
      </c>
      <c r="AY346" s="63" t="str">
        <f t="shared" si="34"/>
        <v>Nej</v>
      </c>
      <c r="AZ346" s="77" t="str">
        <f>IF($AY346="ja",(VLOOKUP($B346,'Egen hetvattenprod'!$B$1:$BX$550,MATCH(AZ$2,'Egen hetvattenprod'!$B$1:$BX$1,0),FALSE)+VLOOKUP($B346,Kraftvärmeprod!$B$1:$BX$550,MATCH(AZ$2,Kraftvärmeprod!$B$1:$BX$1,0),FALSE))/$AC346,"")</f>
        <v/>
      </c>
      <c r="BA346" s="77" t="str">
        <f>IF($AY346="ja",(VLOOKUP($B346,'Egen hetvattenprod'!$B$1:$BX$550,MATCH(BA$2,'Egen hetvattenprod'!$B$1:$BX$1,0),FALSE)+VLOOKUP($B346,Kraftvärmeprod!$B$1:$BX$550,MATCH(BA$2,Kraftvärmeprod!$B$1:$BX$1,0),FALSE))/$AC346,"")</f>
        <v/>
      </c>
      <c r="BB346" s="77" t="str">
        <f>IF($AY346="ja",(VLOOKUP($B346,'Egen hetvattenprod'!$B$1:$BX$550,MATCH(BB$2,'Egen hetvattenprod'!$B$1:$BX$1,0),FALSE)+VLOOKUP($B346,Kraftvärmeprod!$B$1:$BX$550,MATCH(BB$2,Kraftvärmeprod!$B$1:$BX$1,0),FALSE))/$AC346,"")</f>
        <v/>
      </c>
      <c r="BC346" s="77" t="str">
        <f>IF($AY346="ja",(VLOOKUP($B346,'Egen hetvattenprod'!$B$1:$BX$550,MATCH(BC$2,'Egen hetvattenprod'!$B$1:$BX$1,0),FALSE)+VLOOKUP($B346,Kraftvärmeprod!$B$1:$BX$550,MATCH(BC$2,Kraftvärmeprod!$B$1:$BX$1,0),FALSE))/$AC346,"")</f>
        <v/>
      </c>
      <c r="BD346" s="77" t="str">
        <f>IF($AY346="ja",(VLOOKUP($B346,'Egen hetvattenprod'!$B$1:$BX$550,MATCH(BD$2,'Egen hetvattenprod'!$B$1:$BX$1,0),FALSE)+VLOOKUP($B346,Kraftvärmeprod!$B$1:$BX$550,MATCH(BD$2,Kraftvärmeprod!$B$1:$BX$1,0),FALSE))/$AC346,"")</f>
        <v/>
      </c>
      <c r="BF346" s="63" t="str">
        <f t="shared" si="35"/>
        <v>Nej</v>
      </c>
      <c r="BG346" s="63" t="str">
        <f>IF($BF346="ja",VLOOKUP($B346,'Egen hetvattenprod'!$B$1:$BX$550,MATCH("Andelen klimatgaser med fossilt ursprung för avfall ()",'Egen hetvattenprod'!$B$1:$BX$1,0),FALSE),"")</f>
        <v/>
      </c>
      <c r="BH346" s="63" t="str">
        <f>IF($BF346="ja",VLOOKUP($B346,Kraftvärmeprod!$B$1:$BX$550,MATCH("Andelen klimatgaser med fossilt ursprung för avfall ()",Kraftvärmeprod!$B$1:$BX$1,0),FALSE),"")</f>
        <v/>
      </c>
      <c r="BI346" s="63" t="str">
        <f>IF($BF346="ja",VLOOKUP($B346,'Egen hetvattenprod'!$B$1:$BX$550,MATCH("Avfall (GWh)",'Egen hetvattenprod'!$B$1:$BX$1,0),FALSE),"")</f>
        <v/>
      </c>
      <c r="BJ346" s="63" t="str">
        <f>IF($BF346="ja",VLOOKUP($B346,'Slutlig allokering kvv'!$B$1:$BX$550,MATCH("Avfall (GWh)",'Slutlig allokering kvv'!$B$1:$BX$1,0),FALSE),"")</f>
        <v/>
      </c>
      <c r="BK346" s="63" t="str">
        <f>IF($BF346="ja",VLOOKUP($B346,'Köpt hetvatten'!$B$1:$BX$550,MATCH("Avfall i köpt hetvatten",'Köpt hetvatten'!$B$1:$BX$1,0),FALSE),"")</f>
        <v/>
      </c>
      <c r="BL346" s="63" t="str">
        <f>IF($BF346="ja",VLOOKUP($B346,'Egen hetvattenprod'!$B$1:$BX$550,MATCH("Värde enligt ovan. (%)",'Egen hetvattenprod'!$B$1:$BX$1,0),FALSE),"")</f>
        <v/>
      </c>
      <c r="BM346" s="63" t="str">
        <f>IF($BF346="ja",VLOOKUP($B346,Kraftvärmeprod!$B$1:$BX$550,MATCH("Värde enligt ovan. (%)",Kraftvärmeprod!$B$1:$BX$1,0),FALSE),"")</f>
        <v/>
      </c>
    </row>
    <row r="347" spans="1:65" x14ac:dyDescent="0.45">
      <c r="A347" s="63" t="s">
        <v>225</v>
      </c>
      <c r="B347" s="63" t="s">
        <v>229</v>
      </c>
      <c r="C347" s="63">
        <f>VLOOKUP($B347,'Tillförd energi'!$B$1:$AI$720,MATCH(C$2,'Tillförd energi'!$B$1:$AQ$1,0),FALSE)</f>
        <v>0</v>
      </c>
      <c r="D347" s="63">
        <f>VLOOKUP($B347,'Tillförd energi'!$B$1:$AI$720,MATCH(D$2,'Tillförd energi'!$B$1:$AQ$1,0),FALSE)</f>
        <v>0</v>
      </c>
      <c r="E347" s="63">
        <f>VLOOKUP($B347,'Tillförd energi'!$B$1:$AI$720,MATCH(E$2,'Tillförd energi'!$B$1:$AQ$1,0),FALSE)</f>
        <v>0</v>
      </c>
      <c r="F347" s="63">
        <f>VLOOKUP($B347,'Tillförd energi'!$B$1:$AI$720,MATCH(F$2,'Tillförd energi'!$B$1:$AQ$1,0),FALSE)</f>
        <v>0</v>
      </c>
      <c r="G347" s="63">
        <f>VLOOKUP($B347,'Tillförd energi'!$B$1:$AI$720,MATCH(G$2,'Tillförd energi'!$B$1:$AQ$1,0),FALSE)</f>
        <v>0</v>
      </c>
      <c r="H347" s="63">
        <f>VLOOKUP($B347,'Tillförd energi'!$B$1:$AI$720,MATCH(H$2,'Tillförd energi'!$B$1:$AQ$1,0),FALSE)</f>
        <v>0</v>
      </c>
      <c r="I347" s="63">
        <f>VLOOKUP($B347,'Tillförd energi'!$B$1:$AI$720,MATCH(I$2,'Tillförd energi'!$B$1:$AQ$1,0),FALSE)</f>
        <v>0</v>
      </c>
      <c r="J347" s="63">
        <f>VLOOKUP($B347,'Tillförd energi'!$B$1:$AI$720,MATCH(J$2,'Tillförd energi'!$B$1:$AQ$1,0),FALSE)</f>
        <v>0</v>
      </c>
      <c r="K347" s="63">
        <f>VLOOKUP($B347,'Tillförd energi'!$B$1:$AI$720,MATCH(K$2,'Tillförd energi'!$B$1:$AQ$1,0),FALSE)</f>
        <v>0</v>
      </c>
      <c r="L347" s="63">
        <f>VLOOKUP($B347,'Tillförd energi'!$B$1:$AI$720,MATCH(L$2,'Tillförd energi'!$B$1:$AQ$1,0),FALSE)</f>
        <v>0</v>
      </c>
      <c r="M347" s="63">
        <f>VLOOKUP($B347,'Tillförd energi'!$B$1:$AI$720,MATCH(M$2,'Tillförd energi'!$B$1:$AQ$1,0),FALSE)</f>
        <v>0</v>
      </c>
      <c r="N347" s="63">
        <f>VLOOKUP($B347,'Tillförd energi'!$B$1:$AI$720,MATCH(N$2,'Tillförd energi'!$B$1:$AQ$1,0),FALSE)</f>
        <v>0</v>
      </c>
      <c r="O347" s="63">
        <f>VLOOKUP($B347,'Tillförd energi'!$B$1:$AI$720,MATCH(O$2,'Tillförd energi'!$B$1:$AQ$1,0),FALSE)</f>
        <v>0</v>
      </c>
      <c r="P347" s="63">
        <f>VLOOKUP($B347,'Tillförd energi'!$B$1:$AI$720,MATCH(P$2,'Tillförd energi'!$B$1:$AQ$1,0),FALSE)</f>
        <v>0</v>
      </c>
      <c r="Q347" s="63">
        <f>VLOOKUP($B347,'Tillförd energi'!$B$1:$AI$720,MATCH(Q$2,'Tillförd energi'!$B$1:$AQ$1,0),FALSE)</f>
        <v>5.1724100000000002</v>
      </c>
      <c r="R347" s="63">
        <f>VLOOKUP($B347,'Tillförd energi'!$B$1:$AI$720,MATCH(R$2,'Tillförd energi'!$B$1:$AQ$1,0),FALSE)</f>
        <v>0</v>
      </c>
      <c r="S347" s="63">
        <f>VLOOKUP($B347,'Tillförd energi'!$B$1:$AI$720,MATCH(S$2,'Tillförd energi'!$B$1:$AQ$1,0),FALSE)</f>
        <v>0</v>
      </c>
      <c r="T347" s="63">
        <f>VLOOKUP($B347,'Tillförd energi'!$B$1:$AI$720,MATCH(T$2,'Tillförd energi'!$B$1:$AQ$1,0),FALSE)</f>
        <v>0</v>
      </c>
      <c r="U347" s="63">
        <f>VLOOKUP($B347,'Tillförd energi'!$B$1:$AI$720,MATCH(U$2,'Tillförd energi'!$B$1:$AQ$1,0),FALSE)</f>
        <v>0</v>
      </c>
      <c r="V347" s="63">
        <f>VLOOKUP($B347,'Tillförd energi'!$B$1:$AI$720,MATCH(V$2,'Tillförd energi'!$B$1:$AQ$1,0),FALSE)</f>
        <v>0</v>
      </c>
      <c r="W347" s="63">
        <f>VLOOKUP($B347,'Tillförd energi'!$B$1:$AI$720,MATCH(W$2,'Tillförd energi'!$B$1:$AQ$1,0),FALSE)</f>
        <v>0</v>
      </c>
      <c r="X347" s="63">
        <f>VLOOKUP($B347,'Tillförd energi'!$B$1:$AI$720,MATCH(X$2,'Tillförd energi'!$B$1:$AQ$1,0),FALSE)</f>
        <v>0</v>
      </c>
      <c r="Y347" s="63">
        <f>VLOOKUP($B347,'Tillförd energi'!$B$1:$AI$720,MATCH(Y$2,'Tillförd energi'!$B$1:$AQ$1,0),FALSE)</f>
        <v>0</v>
      </c>
      <c r="Z347" s="63">
        <f>VLOOKUP($B347,'Tillförd energi'!$B$1:$AI$720,MATCH(Z$2,'Tillförd energi'!$B$1:$AQ$1,0),FALSE)</f>
        <v>0</v>
      </c>
      <c r="AA347" s="63">
        <f>VLOOKUP($B347,'Tillförd energi'!$B$1:$AI$720,MATCH(AA$2,'Tillförd energi'!$B$1:$AQ$1,0),FALSE)</f>
        <v>0</v>
      </c>
      <c r="AB347" s="63">
        <f>VLOOKUP($B347,'Tillförd energi'!$B$1:$AI$720,MATCH(AB$2,'Tillförd energi'!$B$1:$AQ$1,0),FALSE)</f>
        <v>0</v>
      </c>
      <c r="AC347" s="63">
        <f>VLOOKUP($B347,'Tillförd energi'!$B$1:$AI$720,MATCH(AC$2,'Tillförd energi'!$B$1:$AQ$1,0),FALSE)</f>
        <v>0</v>
      </c>
      <c r="AD347" s="63">
        <f>VLOOKUP($B347,'Tillförd energi'!$B$1:$AI$720,MATCH(AD$2,'Tillförd energi'!$B$1:$AQ$1,0),FALSE)</f>
        <v>0</v>
      </c>
      <c r="AE347" s="63">
        <f>VLOOKUP($B347,'Tillförd energi'!$B$1:$AI$720,MATCH(AE$2,'Tillförd energi'!$B$1:$AQ$1,0),FALSE)</f>
        <v>0</v>
      </c>
      <c r="AF347" s="63">
        <f>VLOOKUP($B347,'Tillförd energi'!$B$1:$AI$720,MATCH(AF$2,'Tillförd energi'!$B$1:$AQ$1,0),FALSE)</f>
        <v>0.1053</v>
      </c>
      <c r="AG347" s="63">
        <f>IFERROR(VLOOKUP(B347,Miljö!$B$1:$AC$550,MATCH("Köpt mängd produktionsspecifik fjärrvärme:",Miljö!$B$1:$AC$1,0),FALSE)/1,0)</f>
        <v>0</v>
      </c>
      <c r="AI347" s="63">
        <f t="shared" si="30"/>
        <v>5.2777099999999999</v>
      </c>
      <c r="AJ347" s="63">
        <f>IF(ISERROR(1/VLOOKUP($B347,Leveranser!$B$1:$S$500,MATCH("såld värme (gwh)",Leveranser!$B$1:$S$1,0),FALSE)),"",VLOOKUP($B347,Leveranser!$B$1:$S$500,MATCH("såld värme (gwh)",Leveranser!$B$1:$S$1,0),FALSE))</f>
        <v>3.51</v>
      </c>
      <c r="AM347" s="63" t="str">
        <f>IF(B347&lt;&gt;"",IF(VLOOKUP($B347,Totalt!$B$1:$AQ$554,MATCH("Kvalitetsgranskad:",Totalt!$B$1:$AQ$1,0),FALSE)="ja",VLOOKUP($B347,Miljö!$B$1:$AG$479,MATCH(AM$2,Miljö!$B$1:$AK$1,0),FALSE),""),"")</f>
        <v>Ja</v>
      </c>
      <c r="AN347" s="63" t="str">
        <f>IF(AM347="ja",VLOOKUP($B347,Miljö!$B$1:$J$479,MATCH("Typ av ursprungsspecificerad el   (Om inget värde anges används Nordisk residualmix, se inforuta) ()",Miljö!$B$1:$J$1,0),FALSE),IF(AM347="nej","Nordisk residualel",""))</f>
        <v>'Vind. vatten. biobränsle'</v>
      </c>
      <c r="AO347" s="63">
        <f>IF(AM347="","",VLOOKUP($B347,Miljö!$B$1:$J$479,MATCH("Fossilandel för ursprungspecificerad el ()",Miljö!$B$1:$J$1,0),FALSE))</f>
        <v>0.35</v>
      </c>
      <c r="AQ347" s="63">
        <f t="shared" si="31"/>
        <v>0.65</v>
      </c>
      <c r="AS347" s="63" t="str">
        <f t="shared" si="32"/>
        <v>Nej</v>
      </c>
      <c r="AT347" s="63" t="str">
        <f>IF(AS347="ja",VLOOKUP($B347,Miljö!$B$1:$P$500,MATCH("Fossil andel i procent (%)",Miljö!$B$1:$P$1,0),FALSE)/100,"")</f>
        <v/>
      </c>
      <c r="AV347" s="63" t="str">
        <f t="shared" si="33"/>
        <v>Nej</v>
      </c>
      <c r="AW347" s="63" t="str">
        <f>IF(AV347="ja",VLOOKUP($B347,'Egen hetvattenprod'!$B$1:$AO$500,MATCH("Värmekälla till värmepumpar ()",'Egen hetvattenprod'!$B$1:$AO$1,0),FALSE),"")</f>
        <v/>
      </c>
      <c r="AY347" s="63" t="str">
        <f t="shared" si="34"/>
        <v>Nej</v>
      </c>
      <c r="AZ347" s="77" t="str">
        <f>IF($AY347="ja",(VLOOKUP($B347,'Egen hetvattenprod'!$B$1:$BX$550,MATCH(AZ$2,'Egen hetvattenprod'!$B$1:$BX$1,0),FALSE)+VLOOKUP($B347,Kraftvärmeprod!$B$1:$BX$550,MATCH(AZ$2,Kraftvärmeprod!$B$1:$BX$1,0),FALSE))/$AC347,"")</f>
        <v/>
      </c>
      <c r="BA347" s="77" t="str">
        <f>IF($AY347="ja",(VLOOKUP($B347,'Egen hetvattenprod'!$B$1:$BX$550,MATCH(BA$2,'Egen hetvattenprod'!$B$1:$BX$1,0),FALSE)+VLOOKUP($B347,Kraftvärmeprod!$B$1:$BX$550,MATCH(BA$2,Kraftvärmeprod!$B$1:$BX$1,0),FALSE))/$AC347,"")</f>
        <v/>
      </c>
      <c r="BB347" s="77" t="str">
        <f>IF($AY347="ja",(VLOOKUP($B347,'Egen hetvattenprod'!$B$1:$BX$550,MATCH(BB$2,'Egen hetvattenprod'!$B$1:$BX$1,0),FALSE)+VLOOKUP($B347,Kraftvärmeprod!$B$1:$BX$550,MATCH(BB$2,Kraftvärmeprod!$B$1:$BX$1,0),FALSE))/$AC347,"")</f>
        <v/>
      </c>
      <c r="BC347" s="77" t="str">
        <f>IF($AY347="ja",(VLOOKUP($B347,'Egen hetvattenprod'!$B$1:$BX$550,MATCH(BC$2,'Egen hetvattenprod'!$B$1:$BX$1,0),FALSE)+VLOOKUP($B347,Kraftvärmeprod!$B$1:$BX$550,MATCH(BC$2,Kraftvärmeprod!$B$1:$BX$1,0),FALSE))/$AC347,"")</f>
        <v/>
      </c>
      <c r="BD347" s="77" t="str">
        <f>IF($AY347="ja",(VLOOKUP($B347,'Egen hetvattenprod'!$B$1:$BX$550,MATCH(BD$2,'Egen hetvattenprod'!$B$1:$BX$1,0),FALSE)+VLOOKUP($B347,Kraftvärmeprod!$B$1:$BX$550,MATCH(BD$2,Kraftvärmeprod!$B$1:$BX$1,0),FALSE))/$AC347,"")</f>
        <v/>
      </c>
      <c r="BF347" s="63" t="str">
        <f t="shared" si="35"/>
        <v>Nej</v>
      </c>
      <c r="BG347" s="63" t="str">
        <f>IF($BF347="ja",VLOOKUP($B347,'Egen hetvattenprod'!$B$1:$BX$550,MATCH("Andelen klimatgaser med fossilt ursprung för avfall ()",'Egen hetvattenprod'!$B$1:$BX$1,0),FALSE),"")</f>
        <v/>
      </c>
      <c r="BH347" s="63" t="str">
        <f>IF($BF347="ja",VLOOKUP($B347,Kraftvärmeprod!$B$1:$BX$550,MATCH("Andelen klimatgaser med fossilt ursprung för avfall ()",Kraftvärmeprod!$B$1:$BX$1,0),FALSE),"")</f>
        <v/>
      </c>
      <c r="BI347" s="63" t="str">
        <f>IF($BF347="ja",VLOOKUP($B347,'Egen hetvattenprod'!$B$1:$BX$550,MATCH("Avfall (GWh)",'Egen hetvattenprod'!$B$1:$BX$1,0),FALSE),"")</f>
        <v/>
      </c>
      <c r="BJ347" s="63" t="str">
        <f>IF($BF347="ja",VLOOKUP($B347,'Slutlig allokering kvv'!$B$1:$BX$550,MATCH("Avfall (GWh)",'Slutlig allokering kvv'!$B$1:$BX$1,0),FALSE),"")</f>
        <v/>
      </c>
      <c r="BK347" s="63" t="str">
        <f>IF($BF347="ja",VLOOKUP($B347,'Köpt hetvatten'!$B$1:$BX$550,MATCH("Avfall i köpt hetvatten",'Köpt hetvatten'!$B$1:$BX$1,0),FALSE),"")</f>
        <v/>
      </c>
      <c r="BL347" s="63" t="str">
        <f>IF($BF347="ja",VLOOKUP($B347,'Egen hetvattenprod'!$B$1:$BX$550,MATCH("Värde enligt ovan. (%)",'Egen hetvattenprod'!$B$1:$BX$1,0),FALSE),"")</f>
        <v/>
      </c>
      <c r="BM347" s="63" t="str">
        <f>IF($BF347="ja",VLOOKUP($B347,Kraftvärmeprod!$B$1:$BX$550,MATCH("Värde enligt ovan. (%)",Kraftvärmeprod!$B$1:$BX$1,0),FALSE),"")</f>
        <v/>
      </c>
    </row>
    <row r="348" spans="1:65" x14ac:dyDescent="0.45">
      <c r="A348" s="63" t="s">
        <v>225</v>
      </c>
      <c r="B348" s="63" t="s">
        <v>228</v>
      </c>
      <c r="C348" s="63">
        <f>VLOOKUP($B348,'Tillförd energi'!$B$1:$AI$720,MATCH(C$2,'Tillförd energi'!$B$1:$AQ$1,0),FALSE)</f>
        <v>0</v>
      </c>
      <c r="D348" s="63">
        <f>VLOOKUP($B348,'Tillförd energi'!$B$1:$AI$720,MATCH(D$2,'Tillförd energi'!$B$1:$AQ$1,0),FALSE)</f>
        <v>0</v>
      </c>
      <c r="E348" s="63">
        <f>VLOOKUP($B348,'Tillförd energi'!$B$1:$AI$720,MATCH(E$2,'Tillförd energi'!$B$1:$AQ$1,0),FALSE)</f>
        <v>0</v>
      </c>
      <c r="F348" s="63">
        <f>VLOOKUP($B348,'Tillförd energi'!$B$1:$AI$720,MATCH(F$2,'Tillförd energi'!$B$1:$AQ$1,0),FALSE)</f>
        <v>0</v>
      </c>
      <c r="G348" s="63">
        <f>VLOOKUP($B348,'Tillförd energi'!$B$1:$AI$720,MATCH(G$2,'Tillförd energi'!$B$1:$AQ$1,0),FALSE)</f>
        <v>0</v>
      </c>
      <c r="H348" s="63">
        <f>VLOOKUP($B348,'Tillförd energi'!$B$1:$AI$720,MATCH(H$2,'Tillförd energi'!$B$1:$AQ$1,0),FALSE)</f>
        <v>0</v>
      </c>
      <c r="I348" s="63">
        <f>VLOOKUP($B348,'Tillförd energi'!$B$1:$AI$720,MATCH(I$2,'Tillförd energi'!$B$1:$AQ$1,0),FALSE)</f>
        <v>0</v>
      </c>
      <c r="J348" s="63">
        <f>VLOOKUP($B348,'Tillförd energi'!$B$1:$AI$720,MATCH(J$2,'Tillförd energi'!$B$1:$AQ$1,0),FALSE)</f>
        <v>0</v>
      </c>
      <c r="K348" s="63">
        <f>VLOOKUP($B348,'Tillförd energi'!$B$1:$AI$720,MATCH(K$2,'Tillförd energi'!$B$1:$AQ$1,0),FALSE)</f>
        <v>0</v>
      </c>
      <c r="L348" s="63">
        <f>VLOOKUP($B348,'Tillförd energi'!$B$1:$AI$720,MATCH(L$2,'Tillförd energi'!$B$1:$AQ$1,0),FALSE)</f>
        <v>0</v>
      </c>
      <c r="M348" s="63">
        <f>VLOOKUP($B348,'Tillförd energi'!$B$1:$AI$720,MATCH(M$2,'Tillförd energi'!$B$1:$AQ$1,0),FALSE)</f>
        <v>0</v>
      </c>
      <c r="N348" s="63">
        <f>VLOOKUP($B348,'Tillförd energi'!$B$1:$AI$720,MATCH(N$2,'Tillförd energi'!$B$1:$AQ$1,0),FALSE)</f>
        <v>0</v>
      </c>
      <c r="O348" s="63">
        <f>VLOOKUP($B348,'Tillförd energi'!$B$1:$AI$720,MATCH(O$2,'Tillförd energi'!$B$1:$AQ$1,0),FALSE)</f>
        <v>0</v>
      </c>
      <c r="P348" s="63">
        <f>VLOOKUP($B348,'Tillförd energi'!$B$1:$AI$720,MATCH(P$2,'Tillförd energi'!$B$1:$AQ$1,0),FALSE)</f>
        <v>0.4</v>
      </c>
      <c r="Q348" s="63">
        <f>VLOOKUP($B348,'Tillförd energi'!$B$1:$AI$720,MATCH(Q$2,'Tillförd energi'!$B$1:$AQ$1,0),FALSE)</f>
        <v>4.9000000000000004</v>
      </c>
      <c r="R348" s="63">
        <f>VLOOKUP($B348,'Tillförd energi'!$B$1:$AI$720,MATCH(R$2,'Tillförd energi'!$B$1:$AQ$1,0),FALSE)</f>
        <v>0</v>
      </c>
      <c r="S348" s="63">
        <f>VLOOKUP($B348,'Tillförd energi'!$B$1:$AI$720,MATCH(S$2,'Tillförd energi'!$B$1:$AQ$1,0),FALSE)</f>
        <v>0</v>
      </c>
      <c r="T348" s="63">
        <f>VLOOKUP($B348,'Tillförd energi'!$B$1:$AI$720,MATCH(T$2,'Tillförd energi'!$B$1:$AQ$1,0),FALSE)</f>
        <v>0</v>
      </c>
      <c r="U348" s="63">
        <f>VLOOKUP($B348,'Tillförd energi'!$B$1:$AI$720,MATCH(U$2,'Tillförd energi'!$B$1:$AQ$1,0),FALSE)</f>
        <v>0</v>
      </c>
      <c r="V348" s="63">
        <f>VLOOKUP($B348,'Tillförd energi'!$B$1:$AI$720,MATCH(V$2,'Tillförd energi'!$B$1:$AQ$1,0),FALSE)</f>
        <v>0</v>
      </c>
      <c r="W348" s="63">
        <f>VLOOKUP($B348,'Tillförd energi'!$B$1:$AI$720,MATCH(W$2,'Tillförd energi'!$B$1:$AQ$1,0),FALSE)</f>
        <v>0.1</v>
      </c>
      <c r="X348" s="63">
        <f>VLOOKUP($B348,'Tillförd energi'!$B$1:$AI$720,MATCH(X$2,'Tillförd energi'!$B$1:$AQ$1,0),FALSE)</f>
        <v>0</v>
      </c>
      <c r="Y348" s="63">
        <f>VLOOKUP($B348,'Tillförd energi'!$B$1:$AI$720,MATCH(Y$2,'Tillförd energi'!$B$1:$AQ$1,0),FALSE)</f>
        <v>0</v>
      </c>
      <c r="Z348" s="63">
        <f>VLOOKUP($B348,'Tillförd energi'!$B$1:$AI$720,MATCH(Z$2,'Tillförd energi'!$B$1:$AQ$1,0),FALSE)</f>
        <v>0</v>
      </c>
      <c r="AA348" s="63">
        <f>VLOOKUP($B348,'Tillförd energi'!$B$1:$AI$720,MATCH(AA$2,'Tillförd energi'!$B$1:$AQ$1,0),FALSE)</f>
        <v>0</v>
      </c>
      <c r="AB348" s="63">
        <f>VLOOKUP($B348,'Tillförd energi'!$B$1:$AI$720,MATCH(AB$2,'Tillförd energi'!$B$1:$AQ$1,0),FALSE)</f>
        <v>0</v>
      </c>
      <c r="AC348" s="63">
        <f>VLOOKUP($B348,'Tillförd energi'!$B$1:$AI$720,MATCH(AC$2,'Tillförd energi'!$B$1:$AQ$1,0),FALSE)</f>
        <v>0</v>
      </c>
      <c r="AD348" s="63">
        <f>VLOOKUP($B348,'Tillförd energi'!$B$1:$AI$720,MATCH(AD$2,'Tillförd energi'!$B$1:$AQ$1,0),FALSE)</f>
        <v>0</v>
      </c>
      <c r="AE348" s="63">
        <f>VLOOKUP($B348,'Tillförd energi'!$B$1:$AI$720,MATCH(AE$2,'Tillförd energi'!$B$1:$AQ$1,0),FALSE)</f>
        <v>0</v>
      </c>
      <c r="AF348" s="63">
        <f>VLOOKUP($B348,'Tillförd energi'!$B$1:$AI$720,MATCH(AF$2,'Tillförd energi'!$B$1:$AQ$1,0),FALSE)</f>
        <v>0.10299999999999999</v>
      </c>
      <c r="AG348" s="63">
        <f>IFERROR(VLOOKUP(B348,Miljö!$B$1:$AC$550,MATCH("Köpt mängd produktionsspecifik fjärrvärme:",Miljö!$B$1:$AC$1,0),FALSE)/1,0)</f>
        <v>0</v>
      </c>
      <c r="AI348" s="63">
        <f t="shared" si="30"/>
        <v>5.5030000000000001</v>
      </c>
      <c r="AJ348" s="63">
        <f>IF(ISERROR(1/VLOOKUP($B348,Leveranser!$B$1:$S$500,MATCH("såld värme (gwh)",Leveranser!$B$1:$S$1,0),FALSE)),"",VLOOKUP($B348,Leveranser!$B$1:$S$500,MATCH("såld värme (gwh)",Leveranser!$B$1:$S$1,0),FALSE))</f>
        <v>3.8069999999999999</v>
      </c>
      <c r="AM348" s="63" t="str">
        <f>IF(B348&lt;&gt;"",IF(VLOOKUP($B348,Totalt!$B$1:$AQ$554,MATCH("Kvalitetsgranskad:",Totalt!$B$1:$AQ$1,0),FALSE)="ja",VLOOKUP($B348,Miljö!$B$1:$AG$479,MATCH(AM$2,Miljö!$B$1:$AK$1,0),FALSE),""),"")</f>
        <v>Ja</v>
      </c>
      <c r="AN348" s="63" t="str">
        <f>IF(AM348="ja",VLOOKUP($B348,Miljö!$B$1:$J$479,MATCH("Typ av ursprungsspecificerad el   (Om inget värde anges används Nordisk residualmix, se inforuta) ()",Miljö!$B$1:$J$1,0),FALSE),IF(AM348="nej","Nordisk residualel",""))</f>
        <v>'Vatten EPD. kraftvärme bio'</v>
      </c>
      <c r="AO348" s="63">
        <f>IF(AM348="","",VLOOKUP($B348,Miljö!$B$1:$J$479,MATCH("Fossilandel för ursprungspecificerad el ()",Miljö!$B$1:$J$1,0),FALSE))</f>
        <v>0</v>
      </c>
      <c r="AQ348" s="63">
        <f t="shared" si="31"/>
        <v>1</v>
      </c>
      <c r="AS348" s="63" t="str">
        <f t="shared" si="32"/>
        <v>Nej</v>
      </c>
      <c r="AT348" s="63" t="str">
        <f>IF(AS348="ja",VLOOKUP($B348,Miljö!$B$1:$P$500,MATCH("Fossil andel i procent (%)",Miljö!$B$1:$P$1,0),FALSE)/100,"")</f>
        <v/>
      </c>
      <c r="AV348" s="63" t="str">
        <f t="shared" si="33"/>
        <v>Nej</v>
      </c>
      <c r="AW348" s="63" t="str">
        <f>IF(AV348="ja",VLOOKUP($B348,'Egen hetvattenprod'!$B$1:$AO$500,MATCH("Värmekälla till värmepumpar ()",'Egen hetvattenprod'!$B$1:$AO$1,0),FALSE),"")</f>
        <v/>
      </c>
      <c r="AY348" s="63" t="str">
        <f t="shared" si="34"/>
        <v>Nej</v>
      </c>
      <c r="AZ348" s="77" t="str">
        <f>IF($AY348="ja",(VLOOKUP($B348,'Egen hetvattenprod'!$B$1:$BX$550,MATCH(AZ$2,'Egen hetvattenprod'!$B$1:$BX$1,0),FALSE)+VLOOKUP($B348,Kraftvärmeprod!$B$1:$BX$550,MATCH(AZ$2,Kraftvärmeprod!$B$1:$BX$1,0),FALSE))/$AC348,"")</f>
        <v/>
      </c>
      <c r="BA348" s="77" t="str">
        <f>IF($AY348="ja",(VLOOKUP($B348,'Egen hetvattenprod'!$B$1:$BX$550,MATCH(BA$2,'Egen hetvattenprod'!$B$1:$BX$1,0),FALSE)+VLOOKUP($B348,Kraftvärmeprod!$B$1:$BX$550,MATCH(BA$2,Kraftvärmeprod!$B$1:$BX$1,0),FALSE))/$AC348,"")</f>
        <v/>
      </c>
      <c r="BB348" s="77" t="str">
        <f>IF($AY348="ja",(VLOOKUP($B348,'Egen hetvattenprod'!$B$1:$BX$550,MATCH(BB$2,'Egen hetvattenprod'!$B$1:$BX$1,0),FALSE)+VLOOKUP($B348,Kraftvärmeprod!$B$1:$BX$550,MATCH(BB$2,Kraftvärmeprod!$B$1:$BX$1,0),FALSE))/$AC348,"")</f>
        <v/>
      </c>
      <c r="BC348" s="77" t="str">
        <f>IF($AY348="ja",(VLOOKUP($B348,'Egen hetvattenprod'!$B$1:$BX$550,MATCH(BC$2,'Egen hetvattenprod'!$B$1:$BX$1,0),FALSE)+VLOOKUP($B348,Kraftvärmeprod!$B$1:$BX$550,MATCH(BC$2,Kraftvärmeprod!$B$1:$BX$1,0),FALSE))/$AC348,"")</f>
        <v/>
      </c>
      <c r="BD348" s="77" t="str">
        <f>IF($AY348="ja",(VLOOKUP($B348,'Egen hetvattenprod'!$B$1:$BX$550,MATCH(BD$2,'Egen hetvattenprod'!$B$1:$BX$1,0),FALSE)+VLOOKUP($B348,Kraftvärmeprod!$B$1:$BX$550,MATCH(BD$2,Kraftvärmeprod!$B$1:$BX$1,0),FALSE))/$AC348,"")</f>
        <v/>
      </c>
      <c r="BF348" s="63" t="str">
        <f t="shared" si="35"/>
        <v>Nej</v>
      </c>
      <c r="BG348" s="63" t="str">
        <f>IF($BF348="ja",VLOOKUP($B348,'Egen hetvattenprod'!$B$1:$BX$550,MATCH("Andelen klimatgaser med fossilt ursprung för avfall ()",'Egen hetvattenprod'!$B$1:$BX$1,0),FALSE),"")</f>
        <v/>
      </c>
      <c r="BH348" s="63" t="str">
        <f>IF($BF348="ja",VLOOKUP($B348,Kraftvärmeprod!$B$1:$BX$550,MATCH("Andelen klimatgaser med fossilt ursprung för avfall ()",Kraftvärmeprod!$B$1:$BX$1,0),FALSE),"")</f>
        <v/>
      </c>
      <c r="BI348" s="63" t="str">
        <f>IF($BF348="ja",VLOOKUP($B348,'Egen hetvattenprod'!$B$1:$BX$550,MATCH("Avfall (GWh)",'Egen hetvattenprod'!$B$1:$BX$1,0),FALSE),"")</f>
        <v/>
      </c>
      <c r="BJ348" s="63" t="str">
        <f>IF($BF348="ja",VLOOKUP($B348,'Slutlig allokering kvv'!$B$1:$BX$550,MATCH("Avfall (GWh)",'Slutlig allokering kvv'!$B$1:$BX$1,0),FALSE),"")</f>
        <v/>
      </c>
      <c r="BK348" s="63" t="str">
        <f>IF($BF348="ja",VLOOKUP($B348,'Köpt hetvatten'!$B$1:$BX$550,MATCH("Avfall i köpt hetvatten",'Köpt hetvatten'!$B$1:$BX$1,0),FALSE),"")</f>
        <v/>
      </c>
      <c r="BL348" s="63" t="str">
        <f>IF($BF348="ja",VLOOKUP($B348,'Egen hetvattenprod'!$B$1:$BX$550,MATCH("Värde enligt ovan. (%)",'Egen hetvattenprod'!$B$1:$BX$1,0),FALSE),"")</f>
        <v/>
      </c>
      <c r="BM348" s="63" t="str">
        <f>IF($BF348="ja",VLOOKUP($B348,Kraftvärmeprod!$B$1:$BX$550,MATCH("Värde enligt ovan. (%)",Kraftvärmeprod!$B$1:$BX$1,0),FALSE),"")</f>
        <v/>
      </c>
    </row>
    <row r="349" spans="1:65" x14ac:dyDescent="0.45">
      <c r="A349" s="63" t="s">
        <v>225</v>
      </c>
      <c r="B349" s="63" t="s">
        <v>227</v>
      </c>
      <c r="C349" s="63">
        <f>VLOOKUP($B349,'Tillförd energi'!$B$1:$AI$720,MATCH(C$2,'Tillförd energi'!$B$1:$AQ$1,0),FALSE)</f>
        <v>0</v>
      </c>
      <c r="D349" s="63">
        <f>VLOOKUP($B349,'Tillförd energi'!$B$1:$AI$720,MATCH(D$2,'Tillförd energi'!$B$1:$AQ$1,0),FALSE)</f>
        <v>0</v>
      </c>
      <c r="E349" s="63">
        <f>VLOOKUP($B349,'Tillförd energi'!$B$1:$AI$720,MATCH(E$2,'Tillförd energi'!$B$1:$AQ$1,0),FALSE)</f>
        <v>0</v>
      </c>
      <c r="F349" s="63">
        <f>VLOOKUP($B349,'Tillförd energi'!$B$1:$AI$720,MATCH(F$2,'Tillförd energi'!$B$1:$AQ$1,0),FALSE)</f>
        <v>0</v>
      </c>
      <c r="G349" s="63">
        <f>VLOOKUP($B349,'Tillförd energi'!$B$1:$AI$720,MATCH(G$2,'Tillförd energi'!$B$1:$AQ$1,0),FALSE)</f>
        <v>0</v>
      </c>
      <c r="H349" s="63">
        <f>VLOOKUP($B349,'Tillförd energi'!$B$1:$AI$720,MATCH(H$2,'Tillförd energi'!$B$1:$AQ$1,0),FALSE)</f>
        <v>0</v>
      </c>
      <c r="I349" s="63">
        <f>VLOOKUP($B349,'Tillförd energi'!$B$1:$AI$720,MATCH(I$2,'Tillförd energi'!$B$1:$AQ$1,0),FALSE)</f>
        <v>0</v>
      </c>
      <c r="J349" s="63">
        <f>VLOOKUP($B349,'Tillförd energi'!$B$1:$AI$720,MATCH(J$2,'Tillförd energi'!$B$1:$AQ$1,0),FALSE)</f>
        <v>0</v>
      </c>
      <c r="K349" s="63">
        <f>VLOOKUP($B349,'Tillförd energi'!$B$1:$AI$720,MATCH(K$2,'Tillförd energi'!$B$1:$AQ$1,0),FALSE)</f>
        <v>0</v>
      </c>
      <c r="L349" s="63">
        <f>VLOOKUP($B349,'Tillförd energi'!$B$1:$AI$720,MATCH(L$2,'Tillförd energi'!$B$1:$AQ$1,0),FALSE)</f>
        <v>0</v>
      </c>
      <c r="M349" s="63">
        <f>VLOOKUP($B349,'Tillförd energi'!$B$1:$AI$720,MATCH(M$2,'Tillförd energi'!$B$1:$AQ$1,0),FALSE)</f>
        <v>0</v>
      </c>
      <c r="N349" s="63">
        <f>VLOOKUP($B349,'Tillförd energi'!$B$1:$AI$720,MATCH(N$2,'Tillförd energi'!$B$1:$AQ$1,0),FALSE)</f>
        <v>0</v>
      </c>
      <c r="O349" s="63">
        <f>VLOOKUP($B349,'Tillförd energi'!$B$1:$AI$720,MATCH(O$2,'Tillförd energi'!$B$1:$AQ$1,0),FALSE)</f>
        <v>0</v>
      </c>
      <c r="P349" s="63">
        <f>VLOOKUP($B349,'Tillförd energi'!$B$1:$AI$720,MATCH(P$2,'Tillförd energi'!$B$1:$AQ$1,0),FALSE)</f>
        <v>0</v>
      </c>
      <c r="Q349" s="63">
        <f>VLOOKUP($B349,'Tillförd energi'!$B$1:$AI$720,MATCH(Q$2,'Tillförd energi'!$B$1:$AQ$1,0),FALSE)</f>
        <v>10.1</v>
      </c>
      <c r="R349" s="63">
        <f>VLOOKUP($B349,'Tillförd energi'!$B$1:$AI$720,MATCH(R$2,'Tillförd energi'!$B$1:$AQ$1,0),FALSE)</f>
        <v>0</v>
      </c>
      <c r="S349" s="63">
        <f>VLOOKUP($B349,'Tillförd energi'!$B$1:$AI$720,MATCH(S$2,'Tillförd energi'!$B$1:$AQ$1,0),FALSE)</f>
        <v>0</v>
      </c>
      <c r="T349" s="63">
        <f>VLOOKUP($B349,'Tillförd energi'!$B$1:$AI$720,MATCH(T$2,'Tillförd energi'!$B$1:$AQ$1,0),FALSE)</f>
        <v>0</v>
      </c>
      <c r="U349" s="63">
        <f>VLOOKUP($B349,'Tillförd energi'!$B$1:$AI$720,MATCH(U$2,'Tillförd energi'!$B$1:$AQ$1,0),FALSE)</f>
        <v>0</v>
      </c>
      <c r="V349" s="63">
        <f>VLOOKUP($B349,'Tillförd energi'!$B$1:$AI$720,MATCH(V$2,'Tillförd energi'!$B$1:$AQ$1,0),FALSE)</f>
        <v>0</v>
      </c>
      <c r="W349" s="63">
        <f>VLOOKUP($B349,'Tillförd energi'!$B$1:$AI$720,MATCH(W$2,'Tillförd energi'!$B$1:$AQ$1,0),FALSE)</f>
        <v>0.13</v>
      </c>
      <c r="X349" s="63">
        <f>VLOOKUP($B349,'Tillförd energi'!$B$1:$AI$720,MATCH(X$2,'Tillförd energi'!$B$1:$AQ$1,0),FALSE)</f>
        <v>0</v>
      </c>
      <c r="Y349" s="63">
        <f>VLOOKUP($B349,'Tillförd energi'!$B$1:$AI$720,MATCH(Y$2,'Tillförd energi'!$B$1:$AQ$1,0),FALSE)</f>
        <v>0</v>
      </c>
      <c r="Z349" s="63">
        <f>VLOOKUP($B349,'Tillförd energi'!$B$1:$AI$720,MATCH(Z$2,'Tillförd energi'!$B$1:$AQ$1,0),FALSE)</f>
        <v>0</v>
      </c>
      <c r="AA349" s="63">
        <f>VLOOKUP($B349,'Tillförd energi'!$B$1:$AI$720,MATCH(AA$2,'Tillförd energi'!$B$1:$AQ$1,0),FALSE)</f>
        <v>0</v>
      </c>
      <c r="AB349" s="63">
        <f>VLOOKUP($B349,'Tillförd energi'!$B$1:$AI$720,MATCH(AB$2,'Tillförd energi'!$B$1:$AQ$1,0),FALSE)</f>
        <v>0</v>
      </c>
      <c r="AC349" s="63">
        <f>VLOOKUP($B349,'Tillförd energi'!$B$1:$AI$720,MATCH(AC$2,'Tillförd energi'!$B$1:$AQ$1,0),FALSE)</f>
        <v>0</v>
      </c>
      <c r="AD349" s="63">
        <f>VLOOKUP($B349,'Tillförd energi'!$B$1:$AI$720,MATCH(AD$2,'Tillförd energi'!$B$1:$AQ$1,0),FALSE)</f>
        <v>0</v>
      </c>
      <c r="AE349" s="63">
        <f>VLOOKUP($B349,'Tillförd energi'!$B$1:$AI$720,MATCH(AE$2,'Tillförd energi'!$B$1:$AQ$1,0),FALSE)</f>
        <v>0</v>
      </c>
      <c r="AF349" s="63">
        <f>VLOOKUP($B349,'Tillförd energi'!$B$1:$AI$720,MATCH(AF$2,'Tillförd energi'!$B$1:$AQ$1,0),FALSE)</f>
        <v>0.155</v>
      </c>
      <c r="AG349" s="63">
        <f>IFERROR(VLOOKUP(B349,Miljö!$B$1:$AC$550,MATCH("Köpt mängd produktionsspecifik fjärrvärme:",Miljö!$B$1:$AC$1,0),FALSE)/1,0)</f>
        <v>0</v>
      </c>
      <c r="AI349" s="63">
        <f t="shared" si="30"/>
        <v>10.385</v>
      </c>
      <c r="AJ349" s="63">
        <f>IF(ISERROR(1/VLOOKUP($B349,Leveranser!$B$1:$S$500,MATCH("såld värme (gwh)",Leveranser!$B$1:$S$1,0),FALSE)),"",VLOOKUP($B349,Leveranser!$B$1:$S$500,MATCH("såld värme (gwh)",Leveranser!$B$1:$S$1,0),FALSE))</f>
        <v>6.6470000000000002</v>
      </c>
      <c r="AM349" s="63" t="str">
        <f>IF(B349&lt;&gt;"",IF(VLOOKUP($B349,Totalt!$B$1:$AQ$554,MATCH("Kvalitetsgranskad:",Totalt!$B$1:$AQ$1,0),FALSE)="ja",VLOOKUP($B349,Miljö!$B$1:$AG$479,MATCH(AM$2,Miljö!$B$1:$AK$1,0),FALSE),""),"")</f>
        <v>Ja</v>
      </c>
      <c r="AN349" s="63" t="str">
        <f>IF(AM349="ja",VLOOKUP($B349,Miljö!$B$1:$J$479,MATCH("Typ av ursprungsspecificerad el   (Om inget värde anges används Nordisk residualmix, se inforuta) ()",Miljö!$B$1:$J$1,0),FALSE),IF(AM349="nej","Nordisk residualel",""))</f>
        <v>'Vatten EPD. Kraftvärme bio'</v>
      </c>
      <c r="AO349" s="63">
        <f>IF(AM349="","",VLOOKUP($B349,Miljö!$B$1:$J$479,MATCH("Fossilandel för ursprungspecificerad el ()",Miljö!$B$1:$J$1,0),FALSE))</f>
        <v>0</v>
      </c>
      <c r="AQ349" s="63">
        <f t="shared" si="31"/>
        <v>1</v>
      </c>
      <c r="AS349" s="63" t="str">
        <f t="shared" si="32"/>
        <v>Nej</v>
      </c>
      <c r="AT349" s="63" t="str">
        <f>IF(AS349="ja",VLOOKUP($B349,Miljö!$B$1:$P$500,MATCH("Fossil andel i procent (%)",Miljö!$B$1:$P$1,0),FALSE)/100,"")</f>
        <v/>
      </c>
      <c r="AV349" s="63" t="str">
        <f t="shared" si="33"/>
        <v>Nej</v>
      </c>
      <c r="AW349" s="63" t="str">
        <f>IF(AV349="ja",VLOOKUP($B349,'Egen hetvattenprod'!$B$1:$AO$500,MATCH("Värmekälla till värmepumpar ()",'Egen hetvattenprod'!$B$1:$AO$1,0),FALSE),"")</f>
        <v/>
      </c>
      <c r="AY349" s="63" t="str">
        <f t="shared" si="34"/>
        <v>Nej</v>
      </c>
      <c r="AZ349" s="77" t="str">
        <f>IF($AY349="ja",(VLOOKUP($B349,'Egen hetvattenprod'!$B$1:$BX$550,MATCH(AZ$2,'Egen hetvattenprod'!$B$1:$BX$1,0),FALSE)+VLOOKUP($B349,Kraftvärmeprod!$B$1:$BX$550,MATCH(AZ$2,Kraftvärmeprod!$B$1:$BX$1,0),FALSE))/$AC349,"")</f>
        <v/>
      </c>
      <c r="BA349" s="77" t="str">
        <f>IF($AY349="ja",(VLOOKUP($B349,'Egen hetvattenprod'!$B$1:$BX$550,MATCH(BA$2,'Egen hetvattenprod'!$B$1:$BX$1,0),FALSE)+VLOOKUP($B349,Kraftvärmeprod!$B$1:$BX$550,MATCH(BA$2,Kraftvärmeprod!$B$1:$BX$1,0),FALSE))/$AC349,"")</f>
        <v/>
      </c>
      <c r="BB349" s="77" t="str">
        <f>IF($AY349="ja",(VLOOKUP($B349,'Egen hetvattenprod'!$B$1:$BX$550,MATCH(BB$2,'Egen hetvattenprod'!$B$1:$BX$1,0),FALSE)+VLOOKUP($B349,Kraftvärmeprod!$B$1:$BX$550,MATCH(BB$2,Kraftvärmeprod!$B$1:$BX$1,0),FALSE))/$AC349,"")</f>
        <v/>
      </c>
      <c r="BC349" s="77" t="str">
        <f>IF($AY349="ja",(VLOOKUP($B349,'Egen hetvattenprod'!$B$1:$BX$550,MATCH(BC$2,'Egen hetvattenprod'!$B$1:$BX$1,0),FALSE)+VLOOKUP($B349,Kraftvärmeprod!$B$1:$BX$550,MATCH(BC$2,Kraftvärmeprod!$B$1:$BX$1,0),FALSE))/$AC349,"")</f>
        <v/>
      </c>
      <c r="BD349" s="77" t="str">
        <f>IF($AY349="ja",(VLOOKUP($B349,'Egen hetvattenprod'!$B$1:$BX$550,MATCH(BD$2,'Egen hetvattenprod'!$B$1:$BX$1,0),FALSE)+VLOOKUP($B349,Kraftvärmeprod!$B$1:$BX$550,MATCH(BD$2,Kraftvärmeprod!$B$1:$BX$1,0),FALSE))/$AC349,"")</f>
        <v/>
      </c>
      <c r="BF349" s="63" t="str">
        <f t="shared" si="35"/>
        <v>Nej</v>
      </c>
      <c r="BG349" s="63" t="str">
        <f>IF($BF349="ja",VLOOKUP($B349,'Egen hetvattenprod'!$B$1:$BX$550,MATCH("Andelen klimatgaser med fossilt ursprung för avfall ()",'Egen hetvattenprod'!$B$1:$BX$1,0),FALSE),"")</f>
        <v/>
      </c>
      <c r="BH349" s="63" t="str">
        <f>IF($BF349="ja",VLOOKUP($B349,Kraftvärmeprod!$B$1:$BX$550,MATCH("Andelen klimatgaser med fossilt ursprung för avfall ()",Kraftvärmeprod!$B$1:$BX$1,0),FALSE),"")</f>
        <v/>
      </c>
      <c r="BI349" s="63" t="str">
        <f>IF($BF349="ja",VLOOKUP($B349,'Egen hetvattenprod'!$B$1:$BX$550,MATCH("Avfall (GWh)",'Egen hetvattenprod'!$B$1:$BX$1,0),FALSE),"")</f>
        <v/>
      </c>
      <c r="BJ349" s="63" t="str">
        <f>IF($BF349="ja",VLOOKUP($B349,'Slutlig allokering kvv'!$B$1:$BX$550,MATCH("Avfall (GWh)",'Slutlig allokering kvv'!$B$1:$BX$1,0),FALSE),"")</f>
        <v/>
      </c>
      <c r="BK349" s="63" t="str">
        <f>IF($BF349="ja",VLOOKUP($B349,'Köpt hetvatten'!$B$1:$BX$550,MATCH("Avfall i köpt hetvatten",'Köpt hetvatten'!$B$1:$BX$1,0),FALSE),"")</f>
        <v/>
      </c>
      <c r="BL349" s="63" t="str">
        <f>IF($BF349="ja",VLOOKUP($B349,'Egen hetvattenprod'!$B$1:$BX$550,MATCH("Värde enligt ovan. (%)",'Egen hetvattenprod'!$B$1:$BX$1,0),FALSE),"")</f>
        <v/>
      </c>
      <c r="BM349" s="63" t="str">
        <f>IF($BF349="ja",VLOOKUP($B349,Kraftvärmeprod!$B$1:$BX$550,MATCH("Värde enligt ovan. (%)",Kraftvärmeprod!$B$1:$BX$1,0),FALSE),"")</f>
        <v/>
      </c>
    </row>
    <row r="350" spans="1:65" x14ac:dyDescent="0.45">
      <c r="A350" s="63" t="s">
        <v>225</v>
      </c>
      <c r="B350" s="63" t="s">
        <v>226</v>
      </c>
      <c r="C350" s="63">
        <f>VLOOKUP($B350,'Tillförd energi'!$B$1:$AI$720,MATCH(C$2,'Tillförd energi'!$B$1:$AQ$1,0),FALSE)</f>
        <v>0</v>
      </c>
      <c r="D350" s="63">
        <f>VLOOKUP($B350,'Tillförd energi'!$B$1:$AI$720,MATCH(D$2,'Tillförd energi'!$B$1:$AQ$1,0),FALSE)</f>
        <v>0</v>
      </c>
      <c r="E350" s="63">
        <f>VLOOKUP($B350,'Tillförd energi'!$B$1:$AI$720,MATCH(E$2,'Tillförd energi'!$B$1:$AQ$1,0),FALSE)</f>
        <v>0</v>
      </c>
      <c r="F350" s="63">
        <f>VLOOKUP($B350,'Tillförd energi'!$B$1:$AI$720,MATCH(F$2,'Tillförd energi'!$B$1:$AQ$1,0),FALSE)</f>
        <v>0</v>
      </c>
      <c r="G350" s="63">
        <f>VLOOKUP($B350,'Tillförd energi'!$B$1:$AI$720,MATCH(G$2,'Tillförd energi'!$B$1:$AQ$1,0),FALSE)</f>
        <v>0</v>
      </c>
      <c r="H350" s="63">
        <f>VLOOKUP($B350,'Tillförd energi'!$B$1:$AI$720,MATCH(H$2,'Tillförd energi'!$B$1:$AQ$1,0),FALSE)</f>
        <v>0</v>
      </c>
      <c r="I350" s="63">
        <f>VLOOKUP($B350,'Tillförd energi'!$B$1:$AI$720,MATCH(I$2,'Tillförd energi'!$B$1:$AQ$1,0),FALSE)</f>
        <v>0</v>
      </c>
      <c r="J350" s="63">
        <f>VLOOKUP($B350,'Tillförd energi'!$B$1:$AI$720,MATCH(J$2,'Tillförd energi'!$B$1:$AQ$1,0),FALSE)</f>
        <v>0</v>
      </c>
      <c r="K350" s="63">
        <f>VLOOKUP($B350,'Tillförd energi'!$B$1:$AI$720,MATCH(K$2,'Tillförd energi'!$B$1:$AQ$1,0),FALSE)</f>
        <v>0</v>
      </c>
      <c r="L350" s="63">
        <f>VLOOKUP($B350,'Tillförd energi'!$B$1:$AI$720,MATCH(L$2,'Tillförd energi'!$B$1:$AQ$1,0),FALSE)</f>
        <v>0</v>
      </c>
      <c r="M350" s="63">
        <f>VLOOKUP($B350,'Tillförd energi'!$B$1:$AI$720,MATCH(M$2,'Tillförd energi'!$B$1:$AQ$1,0),FALSE)</f>
        <v>0</v>
      </c>
      <c r="N350" s="63">
        <f>VLOOKUP($B350,'Tillförd energi'!$B$1:$AI$720,MATCH(N$2,'Tillförd energi'!$B$1:$AQ$1,0),FALSE)</f>
        <v>0</v>
      </c>
      <c r="O350" s="63">
        <f>VLOOKUP($B350,'Tillförd energi'!$B$1:$AI$720,MATCH(O$2,'Tillförd energi'!$B$1:$AQ$1,0),FALSE)</f>
        <v>0</v>
      </c>
      <c r="P350" s="63">
        <f>VLOOKUP($B350,'Tillförd energi'!$B$1:$AI$720,MATCH(P$2,'Tillförd energi'!$B$1:$AQ$1,0),FALSE)</f>
        <v>0</v>
      </c>
      <c r="Q350" s="63">
        <f>VLOOKUP($B350,'Tillförd energi'!$B$1:$AI$720,MATCH(Q$2,'Tillförd energi'!$B$1:$AQ$1,0),FALSE)</f>
        <v>15.08</v>
      </c>
      <c r="R350" s="63">
        <f>VLOOKUP($B350,'Tillförd energi'!$B$1:$AI$720,MATCH(R$2,'Tillförd energi'!$B$1:$AQ$1,0),FALSE)</f>
        <v>0</v>
      </c>
      <c r="S350" s="63">
        <f>VLOOKUP($B350,'Tillförd energi'!$B$1:$AI$720,MATCH(S$2,'Tillförd energi'!$B$1:$AQ$1,0),FALSE)</f>
        <v>0</v>
      </c>
      <c r="T350" s="63">
        <f>VLOOKUP($B350,'Tillförd energi'!$B$1:$AI$720,MATCH(T$2,'Tillförd energi'!$B$1:$AQ$1,0),FALSE)</f>
        <v>0</v>
      </c>
      <c r="U350" s="63">
        <f>VLOOKUP($B350,'Tillförd energi'!$B$1:$AI$720,MATCH(U$2,'Tillförd energi'!$B$1:$AQ$1,0),FALSE)</f>
        <v>0</v>
      </c>
      <c r="V350" s="63">
        <f>VLOOKUP($B350,'Tillförd energi'!$B$1:$AI$720,MATCH(V$2,'Tillförd energi'!$B$1:$AQ$1,0),FALSE)</f>
        <v>0</v>
      </c>
      <c r="W350" s="63">
        <f>VLOOKUP($B350,'Tillförd energi'!$B$1:$AI$720,MATCH(W$2,'Tillförd energi'!$B$1:$AQ$1,0),FALSE)</f>
        <v>0.37</v>
      </c>
      <c r="X350" s="63">
        <f>VLOOKUP($B350,'Tillförd energi'!$B$1:$AI$720,MATCH(X$2,'Tillförd energi'!$B$1:$AQ$1,0),FALSE)</f>
        <v>0</v>
      </c>
      <c r="Y350" s="63">
        <f>VLOOKUP($B350,'Tillförd energi'!$B$1:$AI$720,MATCH(Y$2,'Tillförd energi'!$B$1:$AQ$1,0),FALSE)</f>
        <v>0</v>
      </c>
      <c r="Z350" s="63">
        <f>VLOOKUP($B350,'Tillförd energi'!$B$1:$AI$720,MATCH(Z$2,'Tillförd energi'!$B$1:$AQ$1,0),FALSE)</f>
        <v>0</v>
      </c>
      <c r="AA350" s="63">
        <f>VLOOKUP($B350,'Tillförd energi'!$B$1:$AI$720,MATCH(AA$2,'Tillförd energi'!$B$1:$AQ$1,0),FALSE)</f>
        <v>0</v>
      </c>
      <c r="AB350" s="63">
        <f>VLOOKUP($B350,'Tillförd energi'!$B$1:$AI$720,MATCH(AB$2,'Tillförd energi'!$B$1:$AQ$1,0),FALSE)</f>
        <v>0</v>
      </c>
      <c r="AC350" s="63">
        <f>VLOOKUP($B350,'Tillförd energi'!$B$1:$AI$720,MATCH(AC$2,'Tillförd energi'!$B$1:$AQ$1,0),FALSE)</f>
        <v>0</v>
      </c>
      <c r="AD350" s="63">
        <f>VLOOKUP($B350,'Tillförd energi'!$B$1:$AI$720,MATCH(AD$2,'Tillförd energi'!$B$1:$AQ$1,0),FALSE)</f>
        <v>0</v>
      </c>
      <c r="AE350" s="63">
        <f>VLOOKUP($B350,'Tillförd energi'!$B$1:$AI$720,MATCH(AE$2,'Tillförd energi'!$B$1:$AQ$1,0),FALSE)</f>
        <v>0</v>
      </c>
      <c r="AF350" s="63">
        <f>VLOOKUP($B350,'Tillförd energi'!$B$1:$AI$720,MATCH(AF$2,'Tillförd energi'!$B$1:$AQ$1,0),FALSE)</f>
        <v>0.23599999999999999</v>
      </c>
      <c r="AG350" s="63">
        <f>IFERROR(VLOOKUP(B350,Miljö!$B$1:$AC$550,MATCH("Köpt mängd produktionsspecifik fjärrvärme:",Miljö!$B$1:$AC$1,0),FALSE)/1,0)</f>
        <v>0</v>
      </c>
      <c r="AI350" s="63">
        <f t="shared" si="30"/>
        <v>15.686</v>
      </c>
      <c r="AJ350" s="63">
        <f>IF(ISERROR(1/VLOOKUP($B350,Leveranser!$B$1:$S$500,MATCH("såld värme (gwh)",Leveranser!$B$1:$S$1,0),FALSE)),"",VLOOKUP($B350,Leveranser!$B$1:$S$500,MATCH("såld värme (gwh)",Leveranser!$B$1:$S$1,0),FALSE))</f>
        <v>11.372</v>
      </c>
      <c r="AM350" s="63" t="str">
        <f>IF(B350&lt;&gt;"",IF(VLOOKUP($B350,Totalt!$B$1:$AQ$554,MATCH("Kvalitetsgranskad:",Totalt!$B$1:$AQ$1,0),FALSE)="ja",VLOOKUP($B350,Miljö!$B$1:$AG$479,MATCH(AM$2,Miljö!$B$1:$AK$1,0),FALSE),""),"")</f>
        <v>Ja</v>
      </c>
      <c r="AN350" s="63" t="str">
        <f>IF(AM350="ja",VLOOKUP($B350,Miljö!$B$1:$J$479,MATCH("Typ av ursprungsspecificerad el   (Om inget värde anges används Nordisk residualmix, se inforuta) ()",Miljö!$B$1:$J$1,0),FALSE),IF(AM350="nej","Nordisk residualel",""))</f>
        <v>'Vattenel EPD. Kraftvärme bio'</v>
      </c>
      <c r="AO350" s="63">
        <f>IF(AM350="","",VLOOKUP($B350,Miljö!$B$1:$J$479,MATCH("Fossilandel för ursprungspecificerad el ()",Miljö!$B$1:$J$1,0),FALSE))</f>
        <v>0</v>
      </c>
      <c r="AQ350" s="63">
        <f t="shared" si="31"/>
        <v>1</v>
      </c>
      <c r="AS350" s="63" t="str">
        <f t="shared" si="32"/>
        <v>Nej</v>
      </c>
      <c r="AT350" s="63" t="str">
        <f>IF(AS350="ja",VLOOKUP($B350,Miljö!$B$1:$P$500,MATCH("Fossil andel i procent (%)",Miljö!$B$1:$P$1,0),FALSE)/100,"")</f>
        <v/>
      </c>
      <c r="AV350" s="63" t="str">
        <f t="shared" si="33"/>
        <v>Nej</v>
      </c>
      <c r="AW350" s="63" t="str">
        <f>IF(AV350="ja",VLOOKUP($B350,'Egen hetvattenprod'!$B$1:$AO$500,MATCH("Värmekälla till värmepumpar ()",'Egen hetvattenprod'!$B$1:$AO$1,0),FALSE),"")</f>
        <v/>
      </c>
      <c r="AY350" s="63" t="str">
        <f t="shared" si="34"/>
        <v>Nej</v>
      </c>
      <c r="AZ350" s="77" t="str">
        <f>IF($AY350="ja",(VLOOKUP($B350,'Egen hetvattenprod'!$B$1:$BX$550,MATCH(AZ$2,'Egen hetvattenprod'!$B$1:$BX$1,0),FALSE)+VLOOKUP($B350,Kraftvärmeprod!$B$1:$BX$550,MATCH(AZ$2,Kraftvärmeprod!$B$1:$BX$1,0),FALSE))/$AC350,"")</f>
        <v/>
      </c>
      <c r="BA350" s="77" t="str">
        <f>IF($AY350="ja",(VLOOKUP($B350,'Egen hetvattenprod'!$B$1:$BX$550,MATCH(BA$2,'Egen hetvattenprod'!$B$1:$BX$1,0),FALSE)+VLOOKUP($B350,Kraftvärmeprod!$B$1:$BX$550,MATCH(BA$2,Kraftvärmeprod!$B$1:$BX$1,0),FALSE))/$AC350,"")</f>
        <v/>
      </c>
      <c r="BB350" s="77" t="str">
        <f>IF($AY350="ja",(VLOOKUP($B350,'Egen hetvattenprod'!$B$1:$BX$550,MATCH(BB$2,'Egen hetvattenprod'!$B$1:$BX$1,0),FALSE)+VLOOKUP($B350,Kraftvärmeprod!$B$1:$BX$550,MATCH(BB$2,Kraftvärmeprod!$B$1:$BX$1,0),FALSE))/$AC350,"")</f>
        <v/>
      </c>
      <c r="BC350" s="77" t="str">
        <f>IF($AY350="ja",(VLOOKUP($B350,'Egen hetvattenprod'!$B$1:$BX$550,MATCH(BC$2,'Egen hetvattenprod'!$B$1:$BX$1,0),FALSE)+VLOOKUP($B350,Kraftvärmeprod!$B$1:$BX$550,MATCH(BC$2,Kraftvärmeprod!$B$1:$BX$1,0),FALSE))/$AC350,"")</f>
        <v/>
      </c>
      <c r="BD350" s="77" t="str">
        <f>IF($AY350="ja",(VLOOKUP($B350,'Egen hetvattenprod'!$B$1:$BX$550,MATCH(BD$2,'Egen hetvattenprod'!$B$1:$BX$1,0),FALSE)+VLOOKUP($B350,Kraftvärmeprod!$B$1:$BX$550,MATCH(BD$2,Kraftvärmeprod!$B$1:$BX$1,0),FALSE))/$AC350,"")</f>
        <v/>
      </c>
      <c r="BF350" s="63" t="str">
        <f t="shared" si="35"/>
        <v>Nej</v>
      </c>
      <c r="BG350" s="63" t="str">
        <f>IF($BF350="ja",VLOOKUP($B350,'Egen hetvattenprod'!$B$1:$BX$550,MATCH("Andelen klimatgaser med fossilt ursprung för avfall ()",'Egen hetvattenprod'!$B$1:$BX$1,0),FALSE),"")</f>
        <v/>
      </c>
      <c r="BH350" s="63" t="str">
        <f>IF($BF350="ja",VLOOKUP($B350,Kraftvärmeprod!$B$1:$BX$550,MATCH("Andelen klimatgaser med fossilt ursprung för avfall ()",Kraftvärmeprod!$B$1:$BX$1,0),FALSE),"")</f>
        <v/>
      </c>
      <c r="BI350" s="63" t="str">
        <f>IF($BF350="ja",VLOOKUP($B350,'Egen hetvattenprod'!$B$1:$BX$550,MATCH("Avfall (GWh)",'Egen hetvattenprod'!$B$1:$BX$1,0),FALSE),"")</f>
        <v/>
      </c>
      <c r="BJ350" s="63" t="str">
        <f>IF($BF350="ja",VLOOKUP($B350,'Slutlig allokering kvv'!$B$1:$BX$550,MATCH("Avfall (GWh)",'Slutlig allokering kvv'!$B$1:$BX$1,0),FALSE),"")</f>
        <v/>
      </c>
      <c r="BK350" s="63" t="str">
        <f>IF($BF350="ja",VLOOKUP($B350,'Köpt hetvatten'!$B$1:$BX$550,MATCH("Avfall i köpt hetvatten",'Köpt hetvatten'!$B$1:$BX$1,0),FALSE),"")</f>
        <v/>
      </c>
      <c r="BL350" s="63" t="str">
        <f>IF($BF350="ja",VLOOKUP($B350,'Egen hetvattenprod'!$B$1:$BX$550,MATCH("Värde enligt ovan. (%)",'Egen hetvattenprod'!$B$1:$BX$1,0),FALSE),"")</f>
        <v/>
      </c>
      <c r="BM350" s="63" t="str">
        <f>IF($BF350="ja",VLOOKUP($B350,Kraftvärmeprod!$B$1:$BX$550,MATCH("Värde enligt ovan. (%)",Kraftvärmeprod!$B$1:$BX$1,0),FALSE),"")</f>
        <v/>
      </c>
    </row>
    <row r="351" spans="1:65" x14ac:dyDescent="0.45">
      <c r="A351" s="63" t="s">
        <v>225</v>
      </c>
      <c r="B351" s="63" t="s">
        <v>224</v>
      </c>
      <c r="C351" s="63">
        <f>VLOOKUP($B351,'Tillförd energi'!$B$1:$AI$720,MATCH(C$2,'Tillförd energi'!$B$1:$AQ$1,0),FALSE)</f>
        <v>0</v>
      </c>
      <c r="D351" s="63">
        <f>VLOOKUP($B351,'Tillförd energi'!$B$1:$AI$720,MATCH(D$2,'Tillförd energi'!$B$1:$AQ$1,0),FALSE)</f>
        <v>0.156807</v>
      </c>
      <c r="E351" s="63">
        <f>VLOOKUP($B351,'Tillförd energi'!$B$1:$AI$720,MATCH(E$2,'Tillförd energi'!$B$1:$AQ$1,0),FALSE)</f>
        <v>0.36</v>
      </c>
      <c r="F351" s="63">
        <f>VLOOKUP($B351,'Tillförd energi'!$B$1:$AI$720,MATCH(F$2,'Tillförd energi'!$B$1:$AQ$1,0),FALSE)</f>
        <v>0</v>
      </c>
      <c r="G351" s="63">
        <f>VLOOKUP($B351,'Tillförd energi'!$B$1:$AI$720,MATCH(G$2,'Tillförd energi'!$B$1:$AQ$1,0),FALSE)</f>
        <v>0</v>
      </c>
      <c r="H351" s="63">
        <f>VLOOKUP($B351,'Tillförd energi'!$B$1:$AI$720,MATCH(H$2,'Tillförd energi'!$B$1:$AQ$1,0),FALSE)</f>
        <v>0</v>
      </c>
      <c r="I351" s="63">
        <f>VLOOKUP($B351,'Tillförd energi'!$B$1:$AI$720,MATCH(I$2,'Tillförd energi'!$B$1:$AQ$1,0),FALSE)</f>
        <v>0</v>
      </c>
      <c r="J351" s="63">
        <f>VLOOKUP($B351,'Tillförd energi'!$B$1:$AI$720,MATCH(J$2,'Tillförd energi'!$B$1:$AQ$1,0),FALSE)</f>
        <v>3.09</v>
      </c>
      <c r="K351" s="63">
        <f>VLOOKUP($B351,'Tillförd energi'!$B$1:$AI$720,MATCH(K$2,'Tillförd energi'!$B$1:$AQ$1,0),FALSE)</f>
        <v>0</v>
      </c>
      <c r="L351" s="63">
        <f>VLOOKUP($B351,'Tillförd energi'!$B$1:$AI$720,MATCH(L$2,'Tillförd energi'!$B$1:$AQ$1,0),FALSE)</f>
        <v>0</v>
      </c>
      <c r="M351" s="63">
        <f>VLOOKUP($B351,'Tillförd energi'!$B$1:$AI$720,MATCH(M$2,'Tillförd energi'!$B$1:$AQ$1,0),FALSE)</f>
        <v>41.631900000000002</v>
      </c>
      <c r="N351" s="63">
        <f>VLOOKUP($B351,'Tillförd energi'!$B$1:$AI$720,MATCH(N$2,'Tillförd energi'!$B$1:$AQ$1,0),FALSE)</f>
        <v>47.654800000000002</v>
      </c>
      <c r="O351" s="63">
        <f>VLOOKUP($B351,'Tillförd energi'!$B$1:$AI$720,MATCH(O$2,'Tillförd energi'!$B$1:$AQ$1,0),FALSE)</f>
        <v>0</v>
      </c>
      <c r="P351" s="63">
        <f>VLOOKUP($B351,'Tillförd energi'!$B$1:$AI$720,MATCH(P$2,'Tillförd energi'!$B$1:$AQ$1,0),FALSE)</f>
        <v>3.9244300000000001</v>
      </c>
      <c r="Q351" s="63">
        <f>VLOOKUP($B351,'Tillförd energi'!$B$1:$AI$720,MATCH(Q$2,'Tillförd energi'!$B$1:$AQ$1,0),FALSE)</f>
        <v>0</v>
      </c>
      <c r="R351" s="63">
        <f>VLOOKUP($B351,'Tillförd energi'!$B$1:$AI$720,MATCH(R$2,'Tillförd energi'!$B$1:$AQ$1,0),FALSE)</f>
        <v>0</v>
      </c>
      <c r="S351" s="63">
        <f>VLOOKUP($B351,'Tillförd energi'!$B$1:$AI$720,MATCH(S$2,'Tillförd energi'!$B$1:$AQ$1,0),FALSE)</f>
        <v>0</v>
      </c>
      <c r="T351" s="63">
        <f>VLOOKUP($B351,'Tillförd energi'!$B$1:$AI$720,MATCH(T$2,'Tillförd energi'!$B$1:$AQ$1,0),FALSE)</f>
        <v>0</v>
      </c>
      <c r="U351" s="63">
        <f>VLOOKUP($B351,'Tillförd energi'!$B$1:$AI$720,MATCH(U$2,'Tillförd energi'!$B$1:$AQ$1,0),FALSE)</f>
        <v>0</v>
      </c>
      <c r="V351" s="63">
        <f>VLOOKUP($B351,'Tillförd energi'!$B$1:$AI$720,MATCH(V$2,'Tillförd energi'!$B$1:$AQ$1,0),FALSE)</f>
        <v>0</v>
      </c>
      <c r="W351" s="63">
        <f>VLOOKUP($B351,'Tillförd energi'!$B$1:$AI$720,MATCH(W$2,'Tillförd energi'!$B$1:$AQ$1,0),FALSE)</f>
        <v>0.1</v>
      </c>
      <c r="X351" s="63">
        <f>VLOOKUP($B351,'Tillförd energi'!$B$1:$AI$720,MATCH(X$2,'Tillförd energi'!$B$1:$AQ$1,0),FALSE)</f>
        <v>0</v>
      </c>
      <c r="Y351" s="63">
        <f>VLOOKUP($B351,'Tillförd energi'!$B$1:$AI$720,MATCH(Y$2,'Tillförd energi'!$B$1:$AQ$1,0),FALSE)</f>
        <v>0</v>
      </c>
      <c r="Z351" s="63">
        <f>VLOOKUP($B351,'Tillförd energi'!$B$1:$AI$720,MATCH(Z$2,'Tillförd energi'!$B$1:$AQ$1,0),FALSE)</f>
        <v>0</v>
      </c>
      <c r="AA351" s="63">
        <f>VLOOKUP($B351,'Tillförd energi'!$B$1:$AI$720,MATCH(AA$2,'Tillförd energi'!$B$1:$AQ$1,0),FALSE)</f>
        <v>0</v>
      </c>
      <c r="AB351" s="63">
        <f>VLOOKUP($B351,'Tillförd energi'!$B$1:$AI$720,MATCH(AB$2,'Tillförd energi'!$B$1:$AQ$1,0),FALSE)</f>
        <v>0</v>
      </c>
      <c r="AC351" s="63">
        <f>VLOOKUP($B351,'Tillförd energi'!$B$1:$AI$720,MATCH(AC$2,'Tillförd energi'!$B$1:$AQ$1,0),FALSE)</f>
        <v>19.946000000000002</v>
      </c>
      <c r="AD351" s="63">
        <f>VLOOKUP($B351,'Tillförd energi'!$B$1:$AI$720,MATCH(AD$2,'Tillförd energi'!$B$1:$AQ$1,0),FALSE)</f>
        <v>0</v>
      </c>
      <c r="AE351" s="63">
        <f>VLOOKUP($B351,'Tillförd energi'!$B$1:$AI$720,MATCH(AE$2,'Tillförd energi'!$B$1:$AQ$1,0),FALSE)</f>
        <v>0</v>
      </c>
      <c r="AF351" s="63">
        <f>VLOOKUP($B351,'Tillförd energi'!$B$1:$AI$720,MATCH(AF$2,'Tillförd energi'!$B$1:$AQ$1,0),FALSE)</f>
        <v>0.971777</v>
      </c>
      <c r="AG351" s="63">
        <f>IFERROR(VLOOKUP(B351,Miljö!$B$1:$AC$550,MATCH("Köpt mängd produktionsspecifik fjärrvärme:",Miljö!$B$1:$AC$1,0),FALSE)/1,0)</f>
        <v>0</v>
      </c>
      <c r="AI351" s="63">
        <f t="shared" si="30"/>
        <v>117.835714</v>
      </c>
      <c r="AJ351" s="63">
        <f>IF(ISERROR(1/VLOOKUP($B351,Leveranser!$B$1:$S$500,MATCH("såld värme (gwh)",Leveranser!$B$1:$S$1,0),FALSE)),"",VLOOKUP($B351,Leveranser!$B$1:$S$500,MATCH("såld värme (gwh)",Leveranser!$B$1:$S$1,0),FALSE))</f>
        <v>103.509</v>
      </c>
      <c r="AM351" s="63" t="str">
        <f>IF(B351&lt;&gt;"",IF(VLOOKUP($B351,Totalt!$B$1:$AQ$554,MATCH("Kvalitetsgranskad:",Totalt!$B$1:$AQ$1,0),FALSE)="ja",VLOOKUP($B351,Miljö!$B$1:$AG$479,MATCH(AM$2,Miljö!$B$1:$AK$1,0),FALSE),""),"")</f>
        <v>Ja</v>
      </c>
      <c r="AN351" s="63" t="str">
        <f>IF(AM351="ja",VLOOKUP($B351,Miljö!$B$1:$J$479,MATCH("Typ av ursprungsspecificerad el   (Om inget värde anges används Nordisk residualmix, se inforuta) ()",Miljö!$B$1:$J$1,0),FALSE),IF(AM351="nej","Nordisk residualel",""))</f>
        <v>'Vatten EPD. kraftvärme bio'</v>
      </c>
      <c r="AO351" s="63">
        <f>IF(AM351="","",VLOOKUP($B351,Miljö!$B$1:$J$479,MATCH("Fossilandel för ursprungspecificerad el ()",Miljö!$B$1:$J$1,0),FALSE))</f>
        <v>0</v>
      </c>
      <c r="AQ351" s="63">
        <f t="shared" si="31"/>
        <v>1</v>
      </c>
      <c r="AS351" s="63" t="str">
        <f t="shared" si="32"/>
        <v>Nej</v>
      </c>
      <c r="AT351" s="63" t="str">
        <f>IF(AS351="ja",VLOOKUP($B351,Miljö!$B$1:$P$500,MATCH("Fossil andel i procent (%)",Miljö!$B$1:$P$1,0),FALSE)/100,"")</f>
        <v/>
      </c>
      <c r="AV351" s="63" t="str">
        <f t="shared" si="33"/>
        <v>Nej</v>
      </c>
      <c r="AW351" s="63" t="str">
        <f>IF(AV351="ja",VLOOKUP($B351,'Egen hetvattenprod'!$B$1:$AO$500,MATCH("Värmekälla till värmepumpar ()",'Egen hetvattenprod'!$B$1:$AO$1,0),FALSE),"")</f>
        <v/>
      </c>
      <c r="AY351" s="63" t="str">
        <f t="shared" si="34"/>
        <v>Ja</v>
      </c>
      <c r="AZ351" s="77">
        <f>IF($AY351="ja",(VLOOKUP($B351,'Egen hetvattenprod'!$B$1:$BX$550,MATCH(AZ$2,'Egen hetvattenprod'!$B$1:$BX$1,0),FALSE)+VLOOKUP($B351,Kraftvärmeprod!$B$1:$BX$550,MATCH(AZ$2,Kraftvärmeprod!$B$1:$BX$1,0),FALSE))/$AC351,"")</f>
        <v>0.99999999999999978</v>
      </c>
      <c r="BA351" s="77">
        <f>IF($AY351="ja",(VLOOKUP($B351,'Egen hetvattenprod'!$B$1:$BX$550,MATCH(BA$2,'Egen hetvattenprod'!$B$1:$BX$1,0),FALSE)+VLOOKUP($B351,Kraftvärmeprod!$B$1:$BX$550,MATCH(BA$2,Kraftvärmeprod!$B$1:$BX$1,0),FALSE))/$AC351,"")</f>
        <v>0</v>
      </c>
      <c r="BB351" s="77">
        <f>IF($AY351="ja",(VLOOKUP($B351,'Egen hetvattenprod'!$B$1:$BX$550,MATCH(BB$2,'Egen hetvattenprod'!$B$1:$BX$1,0),FALSE)+VLOOKUP($B351,Kraftvärmeprod!$B$1:$BX$550,MATCH(BB$2,Kraftvärmeprod!$B$1:$BX$1,0),FALSE))/$AC351,"")</f>
        <v>0</v>
      </c>
      <c r="BC351" s="77">
        <f>IF($AY351="ja",(VLOOKUP($B351,'Egen hetvattenprod'!$B$1:$BX$550,MATCH(BC$2,'Egen hetvattenprod'!$B$1:$BX$1,0),FALSE)+VLOOKUP($B351,Kraftvärmeprod!$B$1:$BX$550,MATCH(BC$2,Kraftvärmeprod!$B$1:$BX$1,0),FALSE))/$AC351,"")</f>
        <v>0</v>
      </c>
      <c r="BD351" s="77">
        <f>IF($AY351="ja",(VLOOKUP($B351,'Egen hetvattenprod'!$B$1:$BX$550,MATCH(BD$2,'Egen hetvattenprod'!$B$1:$BX$1,0),FALSE)+VLOOKUP($B351,Kraftvärmeprod!$B$1:$BX$550,MATCH(BD$2,Kraftvärmeprod!$B$1:$BX$1,0),FALSE))/$AC351,"")</f>
        <v>0</v>
      </c>
      <c r="BF351" s="63" t="str">
        <f t="shared" si="35"/>
        <v>Nej</v>
      </c>
      <c r="BG351" s="63" t="str">
        <f>IF($BF351="ja",VLOOKUP($B351,'Egen hetvattenprod'!$B$1:$BX$550,MATCH("Andelen klimatgaser med fossilt ursprung för avfall ()",'Egen hetvattenprod'!$B$1:$BX$1,0),FALSE),"")</f>
        <v/>
      </c>
      <c r="BH351" s="63" t="str">
        <f>IF($BF351="ja",VLOOKUP($B351,Kraftvärmeprod!$B$1:$BX$550,MATCH("Andelen klimatgaser med fossilt ursprung för avfall ()",Kraftvärmeprod!$B$1:$BX$1,0),FALSE),"")</f>
        <v/>
      </c>
      <c r="BI351" s="63" t="str">
        <f>IF($BF351="ja",VLOOKUP($B351,'Egen hetvattenprod'!$B$1:$BX$550,MATCH("Avfall (GWh)",'Egen hetvattenprod'!$B$1:$BX$1,0),FALSE),"")</f>
        <v/>
      </c>
      <c r="BJ351" s="63" t="str">
        <f>IF($BF351="ja",VLOOKUP($B351,'Slutlig allokering kvv'!$B$1:$BX$550,MATCH("Avfall (GWh)",'Slutlig allokering kvv'!$B$1:$BX$1,0),FALSE),"")</f>
        <v/>
      </c>
      <c r="BK351" s="63" t="str">
        <f>IF($BF351="ja",VLOOKUP($B351,'Köpt hetvatten'!$B$1:$BX$550,MATCH("Avfall i köpt hetvatten",'Köpt hetvatten'!$B$1:$BX$1,0),FALSE),"")</f>
        <v/>
      </c>
      <c r="BL351" s="63" t="str">
        <f>IF($BF351="ja",VLOOKUP($B351,'Egen hetvattenprod'!$B$1:$BX$550,MATCH("Värde enligt ovan. (%)",'Egen hetvattenprod'!$B$1:$BX$1,0),FALSE),"")</f>
        <v/>
      </c>
      <c r="BM351" s="63" t="str">
        <f>IF($BF351="ja",VLOOKUP($B351,Kraftvärmeprod!$B$1:$BX$550,MATCH("Värde enligt ovan. (%)",Kraftvärmeprod!$B$1:$BX$1,0),FALSE),"")</f>
        <v/>
      </c>
    </row>
    <row r="352" spans="1:65" x14ac:dyDescent="0.45">
      <c r="A352" s="63" t="s">
        <v>221</v>
      </c>
      <c r="B352" s="63" t="s">
        <v>223</v>
      </c>
      <c r="C352" s="63">
        <f>VLOOKUP($B352,'Tillförd energi'!$B$1:$AI$720,MATCH(C$2,'Tillförd energi'!$B$1:$AQ$1,0),FALSE)</f>
        <v>0</v>
      </c>
      <c r="D352" s="63">
        <f>VLOOKUP($B352,'Tillförd energi'!$B$1:$AI$720,MATCH(D$2,'Tillförd energi'!$B$1:$AQ$1,0),FALSE)</f>
        <v>7.9000000000000001E-2</v>
      </c>
      <c r="E352" s="63">
        <f>VLOOKUP($B352,'Tillförd energi'!$B$1:$AI$720,MATCH(E$2,'Tillförd energi'!$B$1:$AQ$1,0),FALSE)</f>
        <v>0</v>
      </c>
      <c r="F352" s="63">
        <f>VLOOKUP($B352,'Tillförd energi'!$B$1:$AI$720,MATCH(F$2,'Tillförd energi'!$B$1:$AQ$1,0),FALSE)</f>
        <v>0</v>
      </c>
      <c r="G352" s="63">
        <f>VLOOKUP($B352,'Tillförd energi'!$B$1:$AI$720,MATCH(G$2,'Tillförd energi'!$B$1:$AQ$1,0),FALSE)</f>
        <v>0</v>
      </c>
      <c r="H352" s="63">
        <f>VLOOKUP($B352,'Tillförd energi'!$B$1:$AI$720,MATCH(H$2,'Tillförd energi'!$B$1:$AQ$1,0),FALSE)</f>
        <v>0</v>
      </c>
      <c r="I352" s="63">
        <f>VLOOKUP($B352,'Tillförd energi'!$B$1:$AI$720,MATCH(I$2,'Tillförd energi'!$B$1:$AQ$1,0),FALSE)</f>
        <v>0</v>
      </c>
      <c r="J352" s="63">
        <f>VLOOKUP($B352,'Tillförd energi'!$B$1:$AI$720,MATCH(J$2,'Tillförd energi'!$B$1:$AQ$1,0),FALSE)</f>
        <v>0</v>
      </c>
      <c r="K352" s="63">
        <f>VLOOKUP($B352,'Tillförd energi'!$B$1:$AI$720,MATCH(K$2,'Tillförd energi'!$B$1:$AQ$1,0),FALSE)</f>
        <v>0</v>
      </c>
      <c r="L352" s="63">
        <f>VLOOKUP($B352,'Tillförd energi'!$B$1:$AI$720,MATCH(L$2,'Tillförd energi'!$B$1:$AQ$1,0),FALSE)</f>
        <v>0</v>
      </c>
      <c r="M352" s="63">
        <f>VLOOKUP($B352,'Tillförd energi'!$B$1:$AI$720,MATCH(M$2,'Tillförd energi'!$B$1:$AQ$1,0),FALSE)</f>
        <v>0</v>
      </c>
      <c r="N352" s="63">
        <f>VLOOKUP($B352,'Tillförd energi'!$B$1:$AI$720,MATCH(N$2,'Tillförd energi'!$B$1:$AQ$1,0),FALSE)</f>
        <v>0</v>
      </c>
      <c r="O352" s="63">
        <f>VLOOKUP($B352,'Tillförd energi'!$B$1:$AI$720,MATCH(O$2,'Tillförd energi'!$B$1:$AQ$1,0),FALSE)</f>
        <v>0</v>
      </c>
      <c r="P352" s="63">
        <f>VLOOKUP($B352,'Tillförd energi'!$B$1:$AI$720,MATCH(P$2,'Tillförd energi'!$B$1:$AQ$1,0),FALSE)</f>
        <v>0</v>
      </c>
      <c r="Q352" s="63">
        <f>VLOOKUP($B352,'Tillförd energi'!$B$1:$AI$720,MATCH(Q$2,'Tillförd energi'!$B$1:$AQ$1,0),FALSE)</f>
        <v>0</v>
      </c>
      <c r="R352" s="63">
        <f>VLOOKUP($B352,'Tillförd energi'!$B$1:$AI$720,MATCH(R$2,'Tillförd energi'!$B$1:$AQ$1,0),FALSE)</f>
        <v>0.18</v>
      </c>
      <c r="S352" s="63">
        <f>VLOOKUP($B352,'Tillförd energi'!$B$1:$AI$720,MATCH(S$2,'Tillförd energi'!$B$1:$AQ$1,0),FALSE)</f>
        <v>2.71</v>
      </c>
      <c r="T352" s="63">
        <f>VLOOKUP($B352,'Tillförd energi'!$B$1:$AI$720,MATCH(T$2,'Tillförd energi'!$B$1:$AQ$1,0),FALSE)</f>
        <v>0</v>
      </c>
      <c r="U352" s="63">
        <f>VLOOKUP($B352,'Tillförd energi'!$B$1:$AI$720,MATCH(U$2,'Tillförd energi'!$B$1:$AQ$1,0),FALSE)</f>
        <v>0</v>
      </c>
      <c r="V352" s="63">
        <f>VLOOKUP($B352,'Tillförd energi'!$B$1:$AI$720,MATCH(V$2,'Tillförd energi'!$B$1:$AQ$1,0),FALSE)</f>
        <v>0</v>
      </c>
      <c r="W352" s="63">
        <f>VLOOKUP($B352,'Tillförd energi'!$B$1:$AI$720,MATCH(W$2,'Tillförd energi'!$B$1:$AQ$1,0),FALSE)</f>
        <v>0</v>
      </c>
      <c r="X352" s="63">
        <f>VLOOKUP($B352,'Tillförd energi'!$B$1:$AI$720,MATCH(X$2,'Tillförd energi'!$B$1:$AQ$1,0),FALSE)</f>
        <v>0</v>
      </c>
      <c r="Y352" s="63">
        <f>VLOOKUP($B352,'Tillförd energi'!$B$1:$AI$720,MATCH(Y$2,'Tillförd energi'!$B$1:$AQ$1,0),FALSE)</f>
        <v>0</v>
      </c>
      <c r="Z352" s="63">
        <f>VLOOKUP($B352,'Tillförd energi'!$B$1:$AI$720,MATCH(Z$2,'Tillförd energi'!$B$1:$AQ$1,0),FALSE)</f>
        <v>0</v>
      </c>
      <c r="AA352" s="63">
        <f>VLOOKUP($B352,'Tillförd energi'!$B$1:$AI$720,MATCH(AA$2,'Tillförd energi'!$B$1:$AQ$1,0),FALSE)</f>
        <v>0</v>
      </c>
      <c r="AB352" s="63">
        <f>VLOOKUP($B352,'Tillförd energi'!$B$1:$AI$720,MATCH(AB$2,'Tillförd energi'!$B$1:$AQ$1,0),FALSE)</f>
        <v>0</v>
      </c>
      <c r="AC352" s="63">
        <f>VLOOKUP($B352,'Tillförd energi'!$B$1:$AI$720,MATCH(AC$2,'Tillförd energi'!$B$1:$AQ$1,0),FALSE)</f>
        <v>0</v>
      </c>
      <c r="AD352" s="63">
        <f>VLOOKUP($B352,'Tillförd energi'!$B$1:$AI$720,MATCH(AD$2,'Tillförd energi'!$B$1:$AQ$1,0),FALSE)</f>
        <v>0</v>
      </c>
      <c r="AE352" s="63">
        <f>VLOOKUP($B352,'Tillförd energi'!$B$1:$AI$720,MATCH(AE$2,'Tillförd energi'!$B$1:$AQ$1,0),FALSE)</f>
        <v>0</v>
      </c>
      <c r="AF352" s="63">
        <f>VLOOKUP($B352,'Tillförd energi'!$B$1:$AI$720,MATCH(AF$2,'Tillförd energi'!$B$1:$AQ$1,0),FALSE)</f>
        <v>4.8000000000000001E-2</v>
      </c>
      <c r="AG352" s="63">
        <f>IFERROR(VLOOKUP(B352,Miljö!$B$1:$AC$550,MATCH("Köpt mängd produktionsspecifik fjärrvärme:",Miljö!$B$1:$AC$1,0),FALSE)/1,0)</f>
        <v>0</v>
      </c>
      <c r="AI352" s="63">
        <f t="shared" si="30"/>
        <v>3.0169999999999999</v>
      </c>
      <c r="AJ352" s="63">
        <f>IF(ISERROR(1/VLOOKUP($B352,Leveranser!$B$1:$S$500,MATCH("såld värme (gwh)",Leveranser!$B$1:$S$1,0),FALSE)),"",VLOOKUP($B352,Leveranser!$B$1:$S$500,MATCH("såld värme (gwh)",Leveranser!$B$1:$S$1,0),FALSE))</f>
        <v>2.23</v>
      </c>
      <c r="AM352" s="63" t="str">
        <f>IF(B352&lt;&gt;"",IF(VLOOKUP($B352,Totalt!$B$1:$AQ$554,MATCH("Kvalitetsgranskad:",Totalt!$B$1:$AQ$1,0),FALSE)="ja",VLOOKUP($B352,Miljö!$B$1:$AG$479,MATCH(AM$2,Miljö!$B$1:$AK$1,0),FALSE),""),"")</f>
        <v>Ja</v>
      </c>
      <c r="AN352" s="63" t="str">
        <f>IF(AM352="ja",VLOOKUP($B352,Miljö!$B$1:$J$479,MATCH("Typ av ursprungsspecificerad el   (Om inget värde anges används Nordisk residualmix, se inforuta) ()",Miljö!$B$1:$J$1,0),FALSE),IF(AM352="nej","Nordisk residualel",""))</f>
        <v>'100% ursprungsmärkt nordisk vattenkraft'</v>
      </c>
      <c r="AO352" s="63">
        <f>IF(AM352="","",VLOOKUP($B352,Miljö!$B$1:$J$479,MATCH("Fossilandel för ursprungspecificerad el ()",Miljö!$B$1:$J$1,0),FALSE))</f>
        <v>0</v>
      </c>
      <c r="AQ352" s="63">
        <f t="shared" si="31"/>
        <v>1</v>
      </c>
      <c r="AS352" s="63" t="str">
        <f t="shared" si="32"/>
        <v>Nej</v>
      </c>
      <c r="AT352" s="63" t="str">
        <f>IF(AS352="ja",VLOOKUP($B352,Miljö!$B$1:$P$500,MATCH("Fossil andel i procent (%)",Miljö!$B$1:$P$1,0),FALSE)/100,"")</f>
        <v/>
      </c>
      <c r="AV352" s="63" t="str">
        <f t="shared" si="33"/>
        <v>Nej</v>
      </c>
      <c r="AW352" s="63" t="str">
        <f>IF(AV352="ja",VLOOKUP($B352,'Egen hetvattenprod'!$B$1:$AO$500,MATCH("Värmekälla till värmepumpar ()",'Egen hetvattenprod'!$B$1:$AO$1,0),FALSE),"")</f>
        <v/>
      </c>
      <c r="AY352" s="63" t="str">
        <f t="shared" si="34"/>
        <v>Nej</v>
      </c>
      <c r="AZ352" s="77" t="str">
        <f>IF($AY352="ja",(VLOOKUP($B352,'Egen hetvattenprod'!$B$1:$BX$550,MATCH(AZ$2,'Egen hetvattenprod'!$B$1:$BX$1,0),FALSE)+VLOOKUP($B352,Kraftvärmeprod!$B$1:$BX$550,MATCH(AZ$2,Kraftvärmeprod!$B$1:$BX$1,0),FALSE))/$AC352,"")</f>
        <v/>
      </c>
      <c r="BA352" s="77" t="str">
        <f>IF($AY352="ja",(VLOOKUP($B352,'Egen hetvattenprod'!$B$1:$BX$550,MATCH(BA$2,'Egen hetvattenprod'!$B$1:$BX$1,0),FALSE)+VLOOKUP($B352,Kraftvärmeprod!$B$1:$BX$550,MATCH(BA$2,Kraftvärmeprod!$B$1:$BX$1,0),FALSE))/$AC352,"")</f>
        <v/>
      </c>
      <c r="BB352" s="77" t="str">
        <f>IF($AY352="ja",(VLOOKUP($B352,'Egen hetvattenprod'!$B$1:$BX$550,MATCH(BB$2,'Egen hetvattenprod'!$B$1:$BX$1,0),FALSE)+VLOOKUP($B352,Kraftvärmeprod!$B$1:$BX$550,MATCH(BB$2,Kraftvärmeprod!$B$1:$BX$1,0),FALSE))/$AC352,"")</f>
        <v/>
      </c>
      <c r="BC352" s="77" t="str">
        <f>IF($AY352="ja",(VLOOKUP($B352,'Egen hetvattenprod'!$B$1:$BX$550,MATCH(BC$2,'Egen hetvattenprod'!$B$1:$BX$1,0),FALSE)+VLOOKUP($B352,Kraftvärmeprod!$B$1:$BX$550,MATCH(BC$2,Kraftvärmeprod!$B$1:$BX$1,0),FALSE))/$AC352,"")</f>
        <v/>
      </c>
      <c r="BD352" s="77" t="str">
        <f>IF($AY352="ja",(VLOOKUP($B352,'Egen hetvattenprod'!$B$1:$BX$550,MATCH(BD$2,'Egen hetvattenprod'!$B$1:$BX$1,0),FALSE)+VLOOKUP($B352,Kraftvärmeprod!$B$1:$BX$550,MATCH(BD$2,Kraftvärmeprod!$B$1:$BX$1,0),FALSE))/$AC352,"")</f>
        <v/>
      </c>
      <c r="BF352" s="63" t="str">
        <f t="shared" si="35"/>
        <v>Nej</v>
      </c>
      <c r="BG352" s="63" t="str">
        <f>IF($BF352="ja",VLOOKUP($B352,'Egen hetvattenprod'!$B$1:$BX$550,MATCH("Andelen klimatgaser med fossilt ursprung för avfall ()",'Egen hetvattenprod'!$B$1:$BX$1,0),FALSE),"")</f>
        <v/>
      </c>
      <c r="BH352" s="63" t="str">
        <f>IF($BF352="ja",VLOOKUP($B352,Kraftvärmeprod!$B$1:$BX$550,MATCH("Andelen klimatgaser med fossilt ursprung för avfall ()",Kraftvärmeprod!$B$1:$BX$1,0),FALSE),"")</f>
        <v/>
      </c>
      <c r="BI352" s="63" t="str">
        <f>IF($BF352="ja",VLOOKUP($B352,'Egen hetvattenprod'!$B$1:$BX$550,MATCH("Avfall (GWh)",'Egen hetvattenprod'!$B$1:$BX$1,0),FALSE),"")</f>
        <v/>
      </c>
      <c r="BJ352" s="63" t="str">
        <f>IF($BF352="ja",VLOOKUP($B352,'Slutlig allokering kvv'!$B$1:$BX$550,MATCH("Avfall (GWh)",'Slutlig allokering kvv'!$B$1:$BX$1,0),FALSE),"")</f>
        <v/>
      </c>
      <c r="BK352" s="63" t="str">
        <f>IF($BF352="ja",VLOOKUP($B352,'Köpt hetvatten'!$B$1:$BX$550,MATCH("Avfall i köpt hetvatten",'Köpt hetvatten'!$B$1:$BX$1,0),FALSE),"")</f>
        <v/>
      </c>
      <c r="BL352" s="63" t="str">
        <f>IF($BF352="ja",VLOOKUP($B352,'Egen hetvattenprod'!$B$1:$BX$550,MATCH("Värde enligt ovan. (%)",'Egen hetvattenprod'!$B$1:$BX$1,0),FALSE),"")</f>
        <v/>
      </c>
      <c r="BM352" s="63" t="str">
        <f>IF($BF352="ja",VLOOKUP($B352,Kraftvärmeprod!$B$1:$BX$550,MATCH("Värde enligt ovan. (%)",Kraftvärmeprod!$B$1:$BX$1,0),FALSE),"")</f>
        <v/>
      </c>
    </row>
    <row r="353" spans="1:65" x14ac:dyDescent="0.45">
      <c r="A353" s="63" t="s">
        <v>221</v>
      </c>
      <c r="B353" s="63" t="s">
        <v>222</v>
      </c>
      <c r="C353" s="63">
        <f>VLOOKUP($B353,'Tillförd energi'!$B$1:$AI$720,MATCH(C$2,'Tillförd energi'!$B$1:$AQ$1,0),FALSE)</f>
        <v>0</v>
      </c>
      <c r="D353" s="63">
        <f>VLOOKUP($B353,'Tillförd energi'!$B$1:$AI$720,MATCH(D$2,'Tillförd energi'!$B$1:$AQ$1,0),FALSE)</f>
        <v>0.360404</v>
      </c>
      <c r="E353" s="63">
        <f>VLOOKUP($B353,'Tillförd energi'!$B$1:$AI$720,MATCH(E$2,'Tillförd energi'!$B$1:$AQ$1,0),FALSE)</f>
        <v>0</v>
      </c>
      <c r="F353" s="63">
        <f>VLOOKUP($B353,'Tillförd energi'!$B$1:$AI$720,MATCH(F$2,'Tillförd energi'!$B$1:$AQ$1,0),FALSE)</f>
        <v>0</v>
      </c>
      <c r="G353" s="63">
        <f>VLOOKUP($B353,'Tillförd energi'!$B$1:$AI$720,MATCH(G$2,'Tillförd energi'!$B$1:$AQ$1,0),FALSE)</f>
        <v>0</v>
      </c>
      <c r="H353" s="63">
        <f>VLOOKUP($B353,'Tillförd energi'!$B$1:$AI$720,MATCH(H$2,'Tillförd energi'!$B$1:$AQ$1,0),FALSE)</f>
        <v>0</v>
      </c>
      <c r="I353" s="63">
        <f>VLOOKUP($B353,'Tillförd energi'!$B$1:$AI$720,MATCH(I$2,'Tillförd energi'!$B$1:$AQ$1,0),FALSE)</f>
        <v>0</v>
      </c>
      <c r="J353" s="63">
        <f>VLOOKUP($B353,'Tillförd energi'!$B$1:$AI$720,MATCH(J$2,'Tillförd energi'!$B$1:$AQ$1,0),FALSE)</f>
        <v>0</v>
      </c>
      <c r="K353" s="63">
        <f>VLOOKUP($B353,'Tillförd energi'!$B$1:$AI$720,MATCH(K$2,'Tillförd energi'!$B$1:$AQ$1,0),FALSE)</f>
        <v>0</v>
      </c>
      <c r="L353" s="63">
        <f>VLOOKUP($B353,'Tillförd energi'!$B$1:$AI$720,MATCH(L$2,'Tillförd energi'!$B$1:$AQ$1,0),FALSE)</f>
        <v>100.065</v>
      </c>
      <c r="M353" s="63">
        <f>VLOOKUP($B353,'Tillförd energi'!$B$1:$AI$720,MATCH(M$2,'Tillförd energi'!$B$1:$AQ$1,0),FALSE)</f>
        <v>0</v>
      </c>
      <c r="N353" s="63">
        <f>VLOOKUP($B353,'Tillförd energi'!$B$1:$AI$720,MATCH(N$2,'Tillförd energi'!$B$1:$AQ$1,0),FALSE)</f>
        <v>0</v>
      </c>
      <c r="O353" s="63">
        <f>VLOOKUP($B353,'Tillförd energi'!$B$1:$AI$720,MATCH(O$2,'Tillförd energi'!$B$1:$AQ$1,0),FALSE)</f>
        <v>0</v>
      </c>
      <c r="P353" s="63">
        <f>VLOOKUP($B353,'Tillförd energi'!$B$1:$AI$720,MATCH(P$2,'Tillförd energi'!$B$1:$AQ$1,0),FALSE)</f>
        <v>0</v>
      </c>
      <c r="Q353" s="63">
        <f>VLOOKUP($B353,'Tillförd energi'!$B$1:$AI$720,MATCH(Q$2,'Tillförd energi'!$B$1:$AQ$1,0),FALSE)</f>
        <v>0</v>
      </c>
      <c r="R353" s="63">
        <f>VLOOKUP($B353,'Tillförd energi'!$B$1:$AI$720,MATCH(R$2,'Tillförd energi'!$B$1:$AQ$1,0),FALSE)</f>
        <v>0</v>
      </c>
      <c r="S353" s="63">
        <f>VLOOKUP($B353,'Tillförd energi'!$B$1:$AI$720,MATCH(S$2,'Tillförd energi'!$B$1:$AQ$1,0),FALSE)</f>
        <v>0</v>
      </c>
      <c r="T353" s="63">
        <f>VLOOKUP($B353,'Tillförd energi'!$B$1:$AI$720,MATCH(T$2,'Tillförd energi'!$B$1:$AQ$1,0),FALSE)</f>
        <v>0</v>
      </c>
      <c r="U353" s="63">
        <f>VLOOKUP($B353,'Tillförd energi'!$B$1:$AI$720,MATCH(U$2,'Tillförd energi'!$B$1:$AQ$1,0),FALSE)</f>
        <v>0</v>
      </c>
      <c r="V353" s="63">
        <f>VLOOKUP($B353,'Tillförd energi'!$B$1:$AI$720,MATCH(V$2,'Tillförd energi'!$B$1:$AQ$1,0),FALSE)</f>
        <v>0</v>
      </c>
      <c r="W353" s="63">
        <f>VLOOKUP($B353,'Tillförd energi'!$B$1:$AI$720,MATCH(W$2,'Tillförd energi'!$B$1:$AQ$1,0),FALSE)</f>
        <v>0</v>
      </c>
      <c r="X353" s="63">
        <f>VLOOKUP($B353,'Tillförd energi'!$B$1:$AI$720,MATCH(X$2,'Tillförd energi'!$B$1:$AQ$1,0),FALSE)</f>
        <v>0</v>
      </c>
      <c r="Y353" s="63">
        <f>VLOOKUP($B353,'Tillförd energi'!$B$1:$AI$720,MATCH(Y$2,'Tillförd energi'!$B$1:$AQ$1,0),FALSE)</f>
        <v>0</v>
      </c>
      <c r="Z353" s="63">
        <f>VLOOKUP($B353,'Tillförd energi'!$B$1:$AI$720,MATCH(Z$2,'Tillförd energi'!$B$1:$AQ$1,0),FALSE)</f>
        <v>0</v>
      </c>
      <c r="AA353" s="63">
        <f>VLOOKUP($B353,'Tillförd energi'!$B$1:$AI$720,MATCH(AA$2,'Tillförd energi'!$B$1:$AQ$1,0),FALSE)</f>
        <v>0</v>
      </c>
      <c r="AB353" s="63">
        <f>VLOOKUP($B353,'Tillförd energi'!$B$1:$AI$720,MATCH(AB$2,'Tillförd energi'!$B$1:$AQ$1,0),FALSE)</f>
        <v>0</v>
      </c>
      <c r="AC353" s="63">
        <f>VLOOKUP($B353,'Tillförd energi'!$B$1:$AI$720,MATCH(AC$2,'Tillförd energi'!$B$1:$AQ$1,0),FALSE)</f>
        <v>32</v>
      </c>
      <c r="AD353" s="63">
        <f>VLOOKUP($B353,'Tillförd energi'!$B$1:$AI$720,MATCH(AD$2,'Tillförd energi'!$B$1:$AQ$1,0),FALSE)</f>
        <v>0.4</v>
      </c>
      <c r="AE353" s="63">
        <f>VLOOKUP($B353,'Tillförd energi'!$B$1:$AI$720,MATCH(AE$2,'Tillförd energi'!$B$1:$AQ$1,0),FALSE)</f>
        <v>0</v>
      </c>
      <c r="AF353" s="63">
        <f>VLOOKUP($B353,'Tillförd energi'!$B$1:$AI$720,MATCH(AF$2,'Tillförd energi'!$B$1:$AQ$1,0),FALSE)</f>
        <v>2.1352899999999999</v>
      </c>
      <c r="AG353" s="63">
        <f>IFERROR(VLOOKUP(B353,Miljö!$B$1:$AC$550,MATCH("Köpt mängd produktionsspecifik fjärrvärme:",Miljö!$B$1:$AC$1,0),FALSE)/1,0)</f>
        <v>0</v>
      </c>
      <c r="AI353" s="63">
        <f t="shared" si="30"/>
        <v>134.96069400000002</v>
      </c>
      <c r="AJ353" s="63">
        <f>IF(ISERROR(1/VLOOKUP($B353,Leveranser!$B$1:$S$500,MATCH("såld värme (gwh)",Leveranser!$B$1:$S$1,0),FALSE)),"",VLOOKUP($B353,Leveranser!$B$1:$S$500,MATCH("såld värme (gwh)",Leveranser!$B$1:$S$1,0),FALSE))</f>
        <v>125.908</v>
      </c>
      <c r="AM353" s="63" t="str">
        <f>IF(B353&lt;&gt;"",IF(VLOOKUP($B353,Totalt!$B$1:$AQ$554,MATCH("Kvalitetsgranskad:",Totalt!$B$1:$AQ$1,0),FALSE)="ja",VLOOKUP($B353,Miljö!$B$1:$AG$479,MATCH(AM$2,Miljö!$B$1:$AK$1,0),FALSE),""),"")</f>
        <v>Ja</v>
      </c>
      <c r="AN353" s="63" t="str">
        <f>IF(AM353="ja",VLOOKUP($B353,Miljö!$B$1:$J$479,MATCH("Typ av ursprungsspecificerad el   (Om inget värde anges används Nordisk residualmix, se inforuta) ()",Miljö!$B$1:$J$1,0),FALSE),IF(AM353="nej","Nordisk residualel",""))</f>
        <v>'Biobränslebaserad kraftvärme från KKAB'</v>
      </c>
      <c r="AO353" s="63">
        <f>IF(AM353="","",VLOOKUP($B353,Miljö!$B$1:$J$479,MATCH("Fossilandel för ursprungspecificerad el ()",Miljö!$B$1:$J$1,0),FALSE))</f>
        <v>0</v>
      </c>
      <c r="AQ353" s="63">
        <f t="shared" si="31"/>
        <v>1</v>
      </c>
      <c r="AS353" s="63" t="str">
        <f t="shared" si="32"/>
        <v>Nej</v>
      </c>
      <c r="AT353" s="63" t="str">
        <f>IF(AS353="ja",VLOOKUP($B353,Miljö!$B$1:$P$500,MATCH("Fossil andel i procent (%)",Miljö!$B$1:$P$1,0),FALSE)/100,"")</f>
        <v/>
      </c>
      <c r="AV353" s="63" t="str">
        <f t="shared" si="33"/>
        <v>Nej</v>
      </c>
      <c r="AW353" s="63" t="str">
        <f>IF(AV353="ja",VLOOKUP($B353,'Egen hetvattenprod'!$B$1:$AO$500,MATCH("Värmekälla till värmepumpar ()",'Egen hetvattenprod'!$B$1:$AO$1,0),FALSE),"")</f>
        <v/>
      </c>
      <c r="AY353" s="63" t="str">
        <f t="shared" si="34"/>
        <v>Ja</v>
      </c>
      <c r="AZ353" s="77">
        <f>IF($AY353="ja",(VLOOKUP($B353,'Egen hetvattenprod'!$B$1:$BX$550,MATCH(AZ$2,'Egen hetvattenprod'!$B$1:$BX$1,0),FALSE)+VLOOKUP($B353,Kraftvärmeprod!$B$1:$BX$550,MATCH(AZ$2,Kraftvärmeprod!$B$1:$BX$1,0),FALSE))/$AC353,"")</f>
        <v>1</v>
      </c>
      <c r="BA353" s="77">
        <f>IF($AY353="ja",(VLOOKUP($B353,'Egen hetvattenprod'!$B$1:$BX$550,MATCH(BA$2,'Egen hetvattenprod'!$B$1:$BX$1,0),FALSE)+VLOOKUP($B353,Kraftvärmeprod!$B$1:$BX$550,MATCH(BA$2,Kraftvärmeprod!$B$1:$BX$1,0),FALSE))/$AC353,"")</f>
        <v>0</v>
      </c>
      <c r="BB353" s="77">
        <f>IF($AY353="ja",(VLOOKUP($B353,'Egen hetvattenprod'!$B$1:$BX$550,MATCH(BB$2,'Egen hetvattenprod'!$B$1:$BX$1,0),FALSE)+VLOOKUP($B353,Kraftvärmeprod!$B$1:$BX$550,MATCH(BB$2,Kraftvärmeprod!$B$1:$BX$1,0),FALSE))/$AC353,"")</f>
        <v>0</v>
      </c>
      <c r="BC353" s="77">
        <f>IF($AY353="ja",(VLOOKUP($B353,'Egen hetvattenprod'!$B$1:$BX$550,MATCH(BC$2,'Egen hetvattenprod'!$B$1:$BX$1,0),FALSE)+VLOOKUP($B353,Kraftvärmeprod!$B$1:$BX$550,MATCH(BC$2,Kraftvärmeprod!$B$1:$BX$1,0),FALSE))/$AC353,"")</f>
        <v>0</v>
      </c>
      <c r="BD353" s="77">
        <f>IF($AY353="ja",(VLOOKUP($B353,'Egen hetvattenprod'!$B$1:$BX$550,MATCH(BD$2,'Egen hetvattenprod'!$B$1:$BX$1,0),FALSE)+VLOOKUP($B353,Kraftvärmeprod!$B$1:$BX$550,MATCH(BD$2,Kraftvärmeprod!$B$1:$BX$1,0),FALSE))/$AC353,"")</f>
        <v>0</v>
      </c>
      <c r="BF353" s="63" t="str">
        <f t="shared" si="35"/>
        <v>Nej</v>
      </c>
      <c r="BG353" s="63" t="str">
        <f>IF($BF353="ja",VLOOKUP($B353,'Egen hetvattenprod'!$B$1:$BX$550,MATCH("Andelen klimatgaser med fossilt ursprung för avfall ()",'Egen hetvattenprod'!$B$1:$BX$1,0),FALSE),"")</f>
        <v/>
      </c>
      <c r="BH353" s="63" t="str">
        <f>IF($BF353="ja",VLOOKUP($B353,Kraftvärmeprod!$B$1:$BX$550,MATCH("Andelen klimatgaser med fossilt ursprung för avfall ()",Kraftvärmeprod!$B$1:$BX$1,0),FALSE),"")</f>
        <v/>
      </c>
      <c r="BI353" s="63" t="str">
        <f>IF($BF353="ja",VLOOKUP($B353,'Egen hetvattenprod'!$B$1:$BX$550,MATCH("Avfall (GWh)",'Egen hetvattenprod'!$B$1:$BX$1,0),FALSE),"")</f>
        <v/>
      </c>
      <c r="BJ353" s="63" t="str">
        <f>IF($BF353="ja",VLOOKUP($B353,'Slutlig allokering kvv'!$B$1:$BX$550,MATCH("Avfall (GWh)",'Slutlig allokering kvv'!$B$1:$BX$1,0),FALSE),"")</f>
        <v/>
      </c>
      <c r="BK353" s="63" t="str">
        <f>IF($BF353="ja",VLOOKUP($B353,'Köpt hetvatten'!$B$1:$BX$550,MATCH("Avfall i köpt hetvatten",'Köpt hetvatten'!$B$1:$BX$1,0),FALSE),"")</f>
        <v/>
      </c>
      <c r="BL353" s="63" t="str">
        <f>IF($BF353="ja",VLOOKUP($B353,'Egen hetvattenprod'!$B$1:$BX$550,MATCH("Värde enligt ovan. (%)",'Egen hetvattenprod'!$B$1:$BX$1,0),FALSE),"")</f>
        <v/>
      </c>
      <c r="BM353" s="63" t="str">
        <f>IF($BF353="ja",VLOOKUP($B353,Kraftvärmeprod!$B$1:$BX$550,MATCH("Värde enligt ovan. (%)",Kraftvärmeprod!$B$1:$BX$1,0),FALSE),"")</f>
        <v/>
      </c>
    </row>
    <row r="354" spans="1:65" x14ac:dyDescent="0.45">
      <c r="A354" s="63" t="s">
        <v>221</v>
      </c>
      <c r="B354" s="63" t="s">
        <v>220</v>
      </c>
      <c r="C354" s="63">
        <f>VLOOKUP($B354,'Tillförd energi'!$B$1:$AI$720,MATCH(C$2,'Tillförd energi'!$B$1:$AQ$1,0),FALSE)</f>
        <v>0</v>
      </c>
      <c r="D354" s="63">
        <f>VLOOKUP($B354,'Tillförd energi'!$B$1:$AI$720,MATCH(D$2,'Tillförd energi'!$B$1:$AQ$1,0),FALSE)</f>
        <v>0</v>
      </c>
      <c r="E354" s="63">
        <f>VLOOKUP($B354,'Tillförd energi'!$B$1:$AI$720,MATCH(E$2,'Tillförd energi'!$B$1:$AQ$1,0),FALSE)</f>
        <v>0</v>
      </c>
      <c r="F354" s="63">
        <f>VLOOKUP($B354,'Tillförd energi'!$B$1:$AI$720,MATCH(F$2,'Tillförd energi'!$B$1:$AQ$1,0),FALSE)</f>
        <v>0</v>
      </c>
      <c r="G354" s="63">
        <f>VLOOKUP($B354,'Tillförd energi'!$B$1:$AI$720,MATCH(G$2,'Tillförd energi'!$B$1:$AQ$1,0),FALSE)</f>
        <v>0</v>
      </c>
      <c r="H354" s="63">
        <f>VLOOKUP($B354,'Tillförd energi'!$B$1:$AI$720,MATCH(H$2,'Tillförd energi'!$B$1:$AQ$1,0),FALSE)</f>
        <v>0</v>
      </c>
      <c r="I354" s="63">
        <f>VLOOKUP($B354,'Tillförd energi'!$B$1:$AI$720,MATCH(I$2,'Tillförd energi'!$B$1:$AQ$1,0),FALSE)</f>
        <v>0</v>
      </c>
      <c r="J354" s="63">
        <f>VLOOKUP($B354,'Tillförd energi'!$B$1:$AI$720,MATCH(J$2,'Tillförd energi'!$B$1:$AQ$1,0),FALSE)</f>
        <v>0</v>
      </c>
      <c r="K354" s="63">
        <f>VLOOKUP($B354,'Tillförd energi'!$B$1:$AI$720,MATCH(K$2,'Tillförd energi'!$B$1:$AQ$1,0),FALSE)</f>
        <v>0</v>
      </c>
      <c r="L354" s="63">
        <f>VLOOKUP($B354,'Tillförd energi'!$B$1:$AI$720,MATCH(L$2,'Tillförd energi'!$B$1:$AQ$1,0),FALSE)</f>
        <v>0</v>
      </c>
      <c r="M354" s="63">
        <f>VLOOKUP($B354,'Tillförd energi'!$B$1:$AI$720,MATCH(M$2,'Tillförd energi'!$B$1:$AQ$1,0),FALSE)</f>
        <v>0</v>
      </c>
      <c r="N354" s="63">
        <f>VLOOKUP($B354,'Tillförd energi'!$B$1:$AI$720,MATCH(N$2,'Tillförd energi'!$B$1:$AQ$1,0),FALSE)</f>
        <v>0</v>
      </c>
      <c r="O354" s="63">
        <f>VLOOKUP($B354,'Tillförd energi'!$B$1:$AI$720,MATCH(O$2,'Tillförd energi'!$B$1:$AQ$1,0),FALSE)</f>
        <v>17.77</v>
      </c>
      <c r="P354" s="63">
        <f>VLOOKUP($B354,'Tillförd energi'!$B$1:$AI$720,MATCH(P$2,'Tillförd energi'!$B$1:$AQ$1,0),FALSE)</f>
        <v>10.62</v>
      </c>
      <c r="Q354" s="63">
        <f>VLOOKUP($B354,'Tillförd energi'!$B$1:$AI$720,MATCH(Q$2,'Tillförd energi'!$B$1:$AQ$1,0),FALSE)</f>
        <v>0</v>
      </c>
      <c r="R354" s="63">
        <f>VLOOKUP($B354,'Tillförd energi'!$B$1:$AI$720,MATCH(R$2,'Tillförd energi'!$B$1:$AQ$1,0),FALSE)</f>
        <v>0</v>
      </c>
      <c r="S354" s="63">
        <f>VLOOKUP($B354,'Tillförd energi'!$B$1:$AI$720,MATCH(S$2,'Tillförd energi'!$B$1:$AQ$1,0),FALSE)</f>
        <v>0</v>
      </c>
      <c r="T354" s="63">
        <f>VLOOKUP($B354,'Tillförd energi'!$B$1:$AI$720,MATCH(T$2,'Tillförd energi'!$B$1:$AQ$1,0),FALSE)</f>
        <v>0</v>
      </c>
      <c r="U354" s="63">
        <f>VLOOKUP($B354,'Tillförd energi'!$B$1:$AI$720,MATCH(U$2,'Tillförd energi'!$B$1:$AQ$1,0),FALSE)</f>
        <v>0</v>
      </c>
      <c r="V354" s="63">
        <f>VLOOKUP($B354,'Tillförd energi'!$B$1:$AI$720,MATCH(V$2,'Tillförd energi'!$B$1:$AQ$1,0),FALSE)</f>
        <v>0</v>
      </c>
      <c r="W354" s="63">
        <f>VLOOKUP($B354,'Tillförd energi'!$B$1:$AI$720,MATCH(W$2,'Tillförd energi'!$B$1:$AQ$1,0),FALSE)</f>
        <v>0</v>
      </c>
      <c r="X354" s="63">
        <f>VLOOKUP($B354,'Tillförd energi'!$B$1:$AI$720,MATCH(X$2,'Tillförd energi'!$B$1:$AQ$1,0),FALSE)</f>
        <v>0</v>
      </c>
      <c r="Y354" s="63">
        <f>VLOOKUP($B354,'Tillförd energi'!$B$1:$AI$720,MATCH(Y$2,'Tillförd energi'!$B$1:$AQ$1,0),FALSE)</f>
        <v>0</v>
      </c>
      <c r="Z354" s="63">
        <f>VLOOKUP($B354,'Tillförd energi'!$B$1:$AI$720,MATCH(Z$2,'Tillförd energi'!$B$1:$AQ$1,0),FALSE)</f>
        <v>0</v>
      </c>
      <c r="AA354" s="63">
        <f>VLOOKUP($B354,'Tillförd energi'!$B$1:$AI$720,MATCH(AA$2,'Tillförd energi'!$B$1:$AQ$1,0),FALSE)</f>
        <v>0</v>
      </c>
      <c r="AB354" s="63">
        <f>VLOOKUP($B354,'Tillförd energi'!$B$1:$AI$720,MATCH(AB$2,'Tillförd energi'!$B$1:$AQ$1,0),FALSE)</f>
        <v>0</v>
      </c>
      <c r="AC354" s="63">
        <f>VLOOKUP($B354,'Tillförd energi'!$B$1:$AI$720,MATCH(AC$2,'Tillförd energi'!$B$1:$AQ$1,0),FALSE)</f>
        <v>1.4379999999999999</v>
      </c>
      <c r="AD354" s="63">
        <f>VLOOKUP($B354,'Tillförd energi'!$B$1:$AI$720,MATCH(AD$2,'Tillförd energi'!$B$1:$AQ$1,0),FALSE)</f>
        <v>0</v>
      </c>
      <c r="AE354" s="63">
        <f>VLOOKUP($B354,'Tillförd energi'!$B$1:$AI$720,MATCH(AE$2,'Tillförd energi'!$B$1:$AQ$1,0),FALSE)</f>
        <v>0</v>
      </c>
      <c r="AF354" s="63">
        <f>VLOOKUP($B354,'Tillförd energi'!$B$1:$AI$720,MATCH(AF$2,'Tillförd energi'!$B$1:$AQ$1,0),FALSE)</f>
        <v>0.65</v>
      </c>
      <c r="AG354" s="63">
        <f>IFERROR(VLOOKUP(B354,Miljö!$B$1:$AC$550,MATCH("Köpt mängd produktionsspecifik fjärrvärme:",Miljö!$B$1:$AC$1,0),FALSE)/1,0)</f>
        <v>0</v>
      </c>
      <c r="AI354" s="63">
        <f t="shared" si="30"/>
        <v>30.477999999999998</v>
      </c>
      <c r="AJ354" s="63">
        <f>IF(ISERROR(1/VLOOKUP($B354,Leveranser!$B$1:$S$500,MATCH("såld värme (gwh)",Leveranser!$B$1:$S$1,0),FALSE)),"",VLOOKUP($B354,Leveranser!$B$1:$S$500,MATCH("såld värme (gwh)",Leveranser!$B$1:$S$1,0),FALSE))</f>
        <v>24.553999999999998</v>
      </c>
      <c r="AM354" s="63" t="str">
        <f>IF(B354&lt;&gt;"",IF(VLOOKUP($B354,Totalt!$B$1:$AQ$554,MATCH("Kvalitetsgranskad:",Totalt!$B$1:$AQ$1,0),FALSE)="ja",VLOOKUP($B354,Miljö!$B$1:$AG$479,MATCH(AM$2,Miljö!$B$1:$AK$1,0),FALSE),""),"")</f>
        <v>Ja</v>
      </c>
      <c r="AN354" s="63" t="str">
        <f>IF(AM354="ja",VLOOKUP($B354,Miljö!$B$1:$J$479,MATCH("Typ av ursprungsspecificerad el   (Om inget värde anges används Nordisk residualmix, se inforuta) ()",Miljö!$B$1:$J$1,0),FALSE),IF(AM354="nej","Nordisk residualel",""))</f>
        <v>'100% Ursprungsmärkt nordisk vattenkraft''</v>
      </c>
      <c r="AO354" s="63">
        <f>IF(AM354="","",VLOOKUP($B354,Miljö!$B$1:$J$479,MATCH("Fossilandel för ursprungspecificerad el ()",Miljö!$B$1:$J$1,0),FALSE))</f>
        <v>0</v>
      </c>
      <c r="AQ354" s="63">
        <f t="shared" si="31"/>
        <v>1</v>
      </c>
      <c r="AS354" s="63" t="str">
        <f t="shared" si="32"/>
        <v>Nej</v>
      </c>
      <c r="AT354" s="63" t="str">
        <f>IF(AS354="ja",VLOOKUP($B354,Miljö!$B$1:$P$500,MATCH("Fossil andel i procent (%)",Miljö!$B$1:$P$1,0),FALSE)/100,"")</f>
        <v/>
      </c>
      <c r="AV354" s="63" t="str">
        <f t="shared" si="33"/>
        <v>Nej</v>
      </c>
      <c r="AW354" s="63" t="str">
        <f>IF(AV354="ja",VLOOKUP($B354,'Egen hetvattenprod'!$B$1:$AO$500,MATCH("Värmekälla till värmepumpar ()",'Egen hetvattenprod'!$B$1:$AO$1,0),FALSE),"")</f>
        <v/>
      </c>
      <c r="AY354" s="63" t="str">
        <f t="shared" si="34"/>
        <v>Ja</v>
      </c>
      <c r="AZ354" s="77">
        <f>IF($AY354="ja",(VLOOKUP($B354,'Egen hetvattenprod'!$B$1:$BX$550,MATCH(AZ$2,'Egen hetvattenprod'!$B$1:$BX$1,0),FALSE)+VLOOKUP($B354,Kraftvärmeprod!$B$1:$BX$550,MATCH(AZ$2,Kraftvärmeprod!$B$1:$BX$1,0),FALSE))/$AC354,"")</f>
        <v>1</v>
      </c>
      <c r="BA354" s="77">
        <f>IF($AY354="ja",(VLOOKUP($B354,'Egen hetvattenprod'!$B$1:$BX$550,MATCH(BA$2,'Egen hetvattenprod'!$B$1:$BX$1,0),FALSE)+VLOOKUP($B354,Kraftvärmeprod!$B$1:$BX$550,MATCH(BA$2,Kraftvärmeprod!$B$1:$BX$1,0),FALSE))/$AC354,"")</f>
        <v>0</v>
      </c>
      <c r="BB354" s="77">
        <f>IF($AY354="ja",(VLOOKUP($B354,'Egen hetvattenprod'!$B$1:$BX$550,MATCH(BB$2,'Egen hetvattenprod'!$B$1:$BX$1,0),FALSE)+VLOOKUP($B354,Kraftvärmeprod!$B$1:$BX$550,MATCH(BB$2,Kraftvärmeprod!$B$1:$BX$1,0),FALSE))/$AC354,"")</f>
        <v>0</v>
      </c>
      <c r="BC354" s="77">
        <f>IF($AY354="ja",(VLOOKUP($B354,'Egen hetvattenprod'!$B$1:$BX$550,MATCH(BC$2,'Egen hetvattenprod'!$B$1:$BX$1,0),FALSE)+VLOOKUP($B354,Kraftvärmeprod!$B$1:$BX$550,MATCH(BC$2,Kraftvärmeprod!$B$1:$BX$1,0),FALSE))/$AC354,"")</f>
        <v>0</v>
      </c>
      <c r="BD354" s="77">
        <f>IF($AY354="ja",(VLOOKUP($B354,'Egen hetvattenprod'!$B$1:$BX$550,MATCH(BD$2,'Egen hetvattenprod'!$B$1:$BX$1,0),FALSE)+VLOOKUP($B354,Kraftvärmeprod!$B$1:$BX$550,MATCH(BD$2,Kraftvärmeprod!$B$1:$BX$1,0),FALSE))/$AC354,"")</f>
        <v>0</v>
      </c>
      <c r="BF354" s="63" t="str">
        <f t="shared" si="35"/>
        <v>Nej</v>
      </c>
      <c r="BG354" s="63" t="str">
        <f>IF($BF354="ja",VLOOKUP($B354,'Egen hetvattenprod'!$B$1:$BX$550,MATCH("Andelen klimatgaser med fossilt ursprung för avfall ()",'Egen hetvattenprod'!$B$1:$BX$1,0),FALSE),"")</f>
        <v/>
      </c>
      <c r="BH354" s="63" t="str">
        <f>IF($BF354="ja",VLOOKUP($B354,Kraftvärmeprod!$B$1:$BX$550,MATCH("Andelen klimatgaser med fossilt ursprung för avfall ()",Kraftvärmeprod!$B$1:$BX$1,0),FALSE),"")</f>
        <v/>
      </c>
      <c r="BI354" s="63" t="str">
        <f>IF($BF354="ja",VLOOKUP($B354,'Egen hetvattenprod'!$B$1:$BX$550,MATCH("Avfall (GWh)",'Egen hetvattenprod'!$B$1:$BX$1,0),FALSE),"")</f>
        <v/>
      </c>
      <c r="BJ354" s="63" t="str">
        <f>IF($BF354="ja",VLOOKUP($B354,'Slutlig allokering kvv'!$B$1:$BX$550,MATCH("Avfall (GWh)",'Slutlig allokering kvv'!$B$1:$BX$1,0),FALSE),"")</f>
        <v/>
      </c>
      <c r="BK354" s="63" t="str">
        <f>IF($BF354="ja",VLOOKUP($B354,'Köpt hetvatten'!$B$1:$BX$550,MATCH("Avfall i köpt hetvatten",'Köpt hetvatten'!$B$1:$BX$1,0),FALSE),"")</f>
        <v/>
      </c>
      <c r="BL354" s="63" t="str">
        <f>IF($BF354="ja",VLOOKUP($B354,'Egen hetvattenprod'!$B$1:$BX$550,MATCH("Värde enligt ovan. (%)",'Egen hetvattenprod'!$B$1:$BX$1,0),FALSE),"")</f>
        <v/>
      </c>
      <c r="BM354" s="63" t="str">
        <f>IF($BF354="ja",VLOOKUP($B354,Kraftvärmeprod!$B$1:$BX$550,MATCH("Värde enligt ovan. (%)",Kraftvärmeprod!$B$1:$BX$1,0),FALSE),"")</f>
        <v/>
      </c>
    </row>
    <row r="355" spans="1:65" x14ac:dyDescent="0.45">
      <c r="A355" s="63" t="s">
        <v>48</v>
      </c>
      <c r="B355" s="63" t="s">
        <v>219</v>
      </c>
      <c r="C355" s="63">
        <f>VLOOKUP($B355,'Tillförd energi'!$B$1:$AI$720,MATCH(C$2,'Tillförd energi'!$B$1:$AQ$1,0),FALSE)</f>
        <v>0</v>
      </c>
      <c r="D355" s="63">
        <f>VLOOKUP($B355,'Tillförd energi'!$B$1:$AI$720,MATCH(D$2,'Tillförd energi'!$B$1:$AQ$1,0),FALSE)</f>
        <v>1.3280000000000001</v>
      </c>
      <c r="E355" s="63">
        <f>VLOOKUP($B355,'Tillförd energi'!$B$1:$AI$720,MATCH(E$2,'Tillförd energi'!$B$1:$AQ$1,0),FALSE)</f>
        <v>1.92</v>
      </c>
      <c r="F355" s="63">
        <f>VLOOKUP($B355,'Tillförd energi'!$B$1:$AI$720,MATCH(F$2,'Tillförd energi'!$B$1:$AQ$1,0),FALSE)</f>
        <v>0</v>
      </c>
      <c r="G355" s="63">
        <f>VLOOKUP($B355,'Tillförd energi'!$B$1:$AI$720,MATCH(G$2,'Tillförd energi'!$B$1:$AQ$1,0),FALSE)</f>
        <v>0</v>
      </c>
      <c r="H355" s="63">
        <f>VLOOKUP($B355,'Tillförd energi'!$B$1:$AI$720,MATCH(H$2,'Tillförd energi'!$B$1:$AQ$1,0),FALSE)</f>
        <v>0</v>
      </c>
      <c r="I355" s="63">
        <f>VLOOKUP($B355,'Tillförd energi'!$B$1:$AI$720,MATCH(I$2,'Tillförd energi'!$B$1:$AQ$1,0),FALSE)</f>
        <v>134.60300000000001</v>
      </c>
      <c r="J355" s="63">
        <f>VLOOKUP($B355,'Tillförd energi'!$B$1:$AI$720,MATCH(J$2,'Tillförd energi'!$B$1:$AQ$1,0),FALSE)</f>
        <v>0</v>
      </c>
      <c r="K355" s="63">
        <f>VLOOKUP($B355,'Tillförd energi'!$B$1:$AI$720,MATCH(K$2,'Tillförd energi'!$B$1:$AQ$1,0),FALSE)</f>
        <v>0</v>
      </c>
      <c r="L355" s="63">
        <f>VLOOKUP($B355,'Tillförd energi'!$B$1:$AI$720,MATCH(L$2,'Tillförd energi'!$B$1:$AQ$1,0),FALSE)</f>
        <v>0</v>
      </c>
      <c r="M355" s="63">
        <f>VLOOKUP($B355,'Tillförd energi'!$B$1:$AI$720,MATCH(M$2,'Tillförd energi'!$B$1:$AQ$1,0),FALSE)</f>
        <v>0</v>
      </c>
      <c r="N355" s="63">
        <f>VLOOKUP($B355,'Tillförd energi'!$B$1:$AI$720,MATCH(N$2,'Tillförd energi'!$B$1:$AQ$1,0),FALSE)</f>
        <v>0</v>
      </c>
      <c r="O355" s="63">
        <f>VLOOKUP($B355,'Tillförd energi'!$B$1:$AI$720,MATCH(O$2,'Tillförd energi'!$B$1:$AQ$1,0),FALSE)</f>
        <v>17.242000000000001</v>
      </c>
      <c r="P355" s="63">
        <f>VLOOKUP($B355,'Tillförd energi'!$B$1:$AI$720,MATCH(P$2,'Tillförd energi'!$B$1:$AQ$1,0),FALSE)</f>
        <v>0</v>
      </c>
      <c r="Q355" s="63">
        <f>VLOOKUP($B355,'Tillförd energi'!$B$1:$AI$720,MATCH(Q$2,'Tillförd energi'!$B$1:$AQ$1,0),FALSE)</f>
        <v>2.2835299999999998</v>
      </c>
      <c r="R355" s="63">
        <f>VLOOKUP($B355,'Tillförd energi'!$B$1:$AI$720,MATCH(R$2,'Tillförd energi'!$B$1:$AQ$1,0),FALSE)</f>
        <v>0.56999999999999995</v>
      </c>
      <c r="S355" s="63">
        <f>VLOOKUP($B355,'Tillförd energi'!$B$1:$AI$720,MATCH(S$2,'Tillförd energi'!$B$1:$AQ$1,0),FALSE)</f>
        <v>0</v>
      </c>
      <c r="T355" s="63">
        <f>VLOOKUP($B355,'Tillförd energi'!$B$1:$AI$720,MATCH(T$2,'Tillförd energi'!$B$1:$AQ$1,0),FALSE)</f>
        <v>0</v>
      </c>
      <c r="U355" s="63">
        <f>VLOOKUP($B355,'Tillförd energi'!$B$1:$AI$720,MATCH(U$2,'Tillförd energi'!$B$1:$AQ$1,0),FALSE)</f>
        <v>0</v>
      </c>
      <c r="V355" s="63">
        <f>VLOOKUP($B355,'Tillförd energi'!$B$1:$AI$720,MATCH(V$2,'Tillförd energi'!$B$1:$AQ$1,0),FALSE)</f>
        <v>0</v>
      </c>
      <c r="W355" s="63">
        <f>VLOOKUP($B355,'Tillförd energi'!$B$1:$AI$720,MATCH(W$2,'Tillförd energi'!$B$1:$AQ$1,0),FALSE)</f>
        <v>0</v>
      </c>
      <c r="X355" s="63">
        <f>VLOOKUP($B355,'Tillförd energi'!$B$1:$AI$720,MATCH(X$2,'Tillförd energi'!$B$1:$AQ$1,0),FALSE)</f>
        <v>0</v>
      </c>
      <c r="Y355" s="63">
        <f>VLOOKUP($B355,'Tillförd energi'!$B$1:$AI$720,MATCH(Y$2,'Tillförd energi'!$B$1:$AQ$1,0),FALSE)</f>
        <v>0</v>
      </c>
      <c r="Z355" s="63">
        <f>VLOOKUP($B355,'Tillförd energi'!$B$1:$AI$720,MATCH(Z$2,'Tillförd energi'!$B$1:$AQ$1,0),FALSE)</f>
        <v>0</v>
      </c>
      <c r="AA355" s="63">
        <f>VLOOKUP($B355,'Tillförd energi'!$B$1:$AI$720,MATCH(AA$2,'Tillförd energi'!$B$1:$AQ$1,0),FALSE)</f>
        <v>0</v>
      </c>
      <c r="AB355" s="63">
        <f>VLOOKUP($B355,'Tillförd energi'!$B$1:$AI$720,MATCH(AB$2,'Tillförd energi'!$B$1:$AQ$1,0),FALSE)</f>
        <v>0</v>
      </c>
      <c r="AC355" s="63">
        <f>VLOOKUP($B355,'Tillförd energi'!$B$1:$AI$720,MATCH(AC$2,'Tillförd energi'!$B$1:$AQ$1,0),FALSE)</f>
        <v>14.349</v>
      </c>
      <c r="AD355" s="63">
        <f>VLOOKUP($B355,'Tillförd energi'!$B$1:$AI$720,MATCH(AD$2,'Tillförd energi'!$B$1:$AQ$1,0),FALSE)</f>
        <v>25.582000000000001</v>
      </c>
      <c r="AE355" s="63">
        <f>VLOOKUP($B355,'Tillförd energi'!$B$1:$AI$720,MATCH(AE$2,'Tillförd energi'!$B$1:$AQ$1,0),FALSE)</f>
        <v>0</v>
      </c>
      <c r="AF355" s="63">
        <f>VLOOKUP($B355,'Tillförd energi'!$B$1:$AI$720,MATCH(AF$2,'Tillförd energi'!$B$1:$AQ$1,0),FALSE)</f>
        <v>5.82</v>
      </c>
      <c r="AG355" s="63">
        <f>IFERROR(VLOOKUP(B355,Miljö!$B$1:$AC$550,MATCH("Köpt mängd produktionsspecifik fjärrvärme:",Miljö!$B$1:$AC$1,0),FALSE)/1,0)</f>
        <v>0</v>
      </c>
      <c r="AI355" s="63">
        <f t="shared" si="30"/>
        <v>203.69752999999997</v>
      </c>
      <c r="AJ355" s="63">
        <f>IF(ISERROR(1/VLOOKUP($B355,Leveranser!$B$1:$S$500,MATCH("såld värme (gwh)",Leveranser!$B$1:$S$1,0),FALSE)),"",VLOOKUP($B355,Leveranser!$B$1:$S$500,MATCH("såld värme (gwh)",Leveranser!$B$1:$S$1,0),FALSE))</f>
        <v>127.65</v>
      </c>
      <c r="AM355" s="63" t="str">
        <f>IF(B355&lt;&gt;"",IF(VLOOKUP($B355,Totalt!$B$1:$AQ$554,MATCH("Kvalitetsgranskad:",Totalt!$B$1:$AQ$1,0),FALSE)="ja",VLOOKUP($B355,Miljö!$B$1:$AG$479,MATCH(AM$2,Miljö!$B$1:$AK$1,0),FALSE),""),"")</f>
        <v>Ja</v>
      </c>
      <c r="AN355" s="63" t="str">
        <f>IF(AM355="ja",VLOOKUP($B355,Miljö!$B$1:$J$479,MATCH("Typ av ursprungsspecificerad el   (Om inget värde anges används Nordisk residualmix, se inforuta) ()",Miljö!$B$1:$J$1,0),FALSE),IF(AM355="nej","Nordisk residualel",""))</f>
        <v>'Bio energi'</v>
      </c>
      <c r="AO355" s="63">
        <f>IF(AM355="","",VLOOKUP($B355,Miljö!$B$1:$J$479,MATCH("Fossilandel för ursprungspecificerad el ()",Miljö!$B$1:$J$1,0),FALSE))</f>
        <v>0</v>
      </c>
      <c r="AQ355" s="63">
        <f t="shared" si="31"/>
        <v>1</v>
      </c>
      <c r="AS355" s="63" t="str">
        <f t="shared" si="32"/>
        <v>Nej</v>
      </c>
      <c r="AT355" s="63" t="str">
        <f>IF(AS355="ja",VLOOKUP($B355,Miljö!$B$1:$P$500,MATCH("Fossil andel i procent (%)",Miljö!$B$1:$P$1,0),FALSE)/100,"")</f>
        <v/>
      </c>
      <c r="AV355" s="63" t="str">
        <f t="shared" si="33"/>
        <v>Nej</v>
      </c>
      <c r="AW355" s="63" t="str">
        <f>IF(AV355="ja",VLOOKUP($B355,'Egen hetvattenprod'!$B$1:$AO$500,MATCH("Värmekälla till värmepumpar ()",'Egen hetvattenprod'!$B$1:$AO$1,0),FALSE),"")</f>
        <v/>
      </c>
      <c r="AY355" s="63" t="str">
        <f t="shared" si="34"/>
        <v>Ja</v>
      </c>
      <c r="AZ355" s="77">
        <f>IF($AY355="ja",(VLOOKUP($B355,'Egen hetvattenprod'!$B$1:$BX$550,MATCH(AZ$2,'Egen hetvattenprod'!$B$1:$BX$1,0),FALSE)+VLOOKUP($B355,Kraftvärmeprod!$B$1:$BX$550,MATCH(AZ$2,Kraftvärmeprod!$B$1:$BX$1,0),FALSE))/$AC355,"")</f>
        <v>0</v>
      </c>
      <c r="BA355" s="77">
        <f>IF($AY355="ja",(VLOOKUP($B355,'Egen hetvattenprod'!$B$1:$BX$550,MATCH(BA$2,'Egen hetvattenprod'!$B$1:$BX$1,0),FALSE)+VLOOKUP($B355,Kraftvärmeprod!$B$1:$BX$550,MATCH(BA$2,Kraftvärmeprod!$B$1:$BX$1,0),FALSE))/$AC355,"")</f>
        <v>0.97</v>
      </c>
      <c r="BB355" s="77">
        <f>IF($AY355="ja",(VLOOKUP($B355,'Egen hetvattenprod'!$B$1:$BX$550,MATCH(BB$2,'Egen hetvattenprod'!$B$1:$BX$1,0),FALSE)+VLOOKUP($B355,Kraftvärmeprod!$B$1:$BX$550,MATCH(BB$2,Kraftvärmeprod!$B$1:$BX$1,0),FALSE))/$AC355,"")</f>
        <v>2.9999999999999995E-2</v>
      </c>
      <c r="BC355" s="77">
        <f>IF($AY355="ja",(VLOOKUP($B355,'Egen hetvattenprod'!$B$1:$BX$550,MATCH(BC$2,'Egen hetvattenprod'!$B$1:$BX$1,0),FALSE)+VLOOKUP($B355,Kraftvärmeprod!$B$1:$BX$550,MATCH(BC$2,Kraftvärmeprod!$B$1:$BX$1,0),FALSE))/$AC355,"")</f>
        <v>0</v>
      </c>
      <c r="BD355" s="77">
        <f>IF($AY355="ja",(VLOOKUP($B355,'Egen hetvattenprod'!$B$1:$BX$550,MATCH(BD$2,'Egen hetvattenprod'!$B$1:$BX$1,0),FALSE)+VLOOKUP($B355,Kraftvärmeprod!$B$1:$BX$550,MATCH(BD$2,Kraftvärmeprod!$B$1:$BX$1,0),FALSE))/$AC355,"")</f>
        <v>0</v>
      </c>
      <c r="BF355" s="63" t="str">
        <f t="shared" si="35"/>
        <v>Ja</v>
      </c>
      <c r="BG355" s="63" t="str">
        <f>IF($BF355="ja",VLOOKUP($B355,'Egen hetvattenprod'!$B$1:$BX$550,MATCH("Andelen klimatgaser med fossilt ursprung för avfall ()",'Egen hetvattenprod'!$B$1:$BX$1,0),FALSE),"")</f>
        <v>Schablon</v>
      </c>
      <c r="BH355" s="63" t="str">
        <f>IF($BF355="ja",VLOOKUP($B355,Kraftvärmeprod!$B$1:$BX$550,MATCH("Andelen klimatgaser med fossilt ursprung för avfall ()",Kraftvärmeprod!$B$1:$BX$1,0),FALSE),"")</f>
        <v>Ingen redovisning</v>
      </c>
      <c r="BI355" s="63">
        <f>IF($BF355="ja",VLOOKUP($B355,'Egen hetvattenprod'!$B$1:$BX$550,MATCH("Avfall (GWh)",'Egen hetvattenprod'!$B$1:$BX$1,0),FALSE),"")</f>
        <v>134.60300000000001</v>
      </c>
      <c r="BJ355" s="63">
        <f>IF($BF355="ja",VLOOKUP($B355,'Slutlig allokering kvv'!$B$1:$BX$550,MATCH("Avfall (GWh)",'Slutlig allokering kvv'!$B$1:$BX$1,0),FALSE),"")</f>
        <v>0</v>
      </c>
      <c r="BK355" s="63">
        <f>IF($BF355="ja",VLOOKUP($B355,'Köpt hetvatten'!$B$1:$BX$550,MATCH("Avfall i köpt hetvatten",'Köpt hetvatten'!$B$1:$BX$1,0),FALSE),"")</f>
        <v>0</v>
      </c>
      <c r="BL355" s="63">
        <f>IF($BF355="ja",VLOOKUP($B355,'Egen hetvattenprod'!$B$1:$BX$550,MATCH("Värde enligt ovan. (%)",'Egen hetvattenprod'!$B$1:$BX$1,0),FALSE),"")</f>
        <v>37.299999999999997</v>
      </c>
      <c r="BM355" s="63" t="str">
        <f>IF($BF355="ja",VLOOKUP($B355,Kraftvärmeprod!$B$1:$BX$550,MATCH("Värde enligt ovan. (%)",Kraftvärmeprod!$B$1:$BX$1,0),FALSE),"")</f>
        <v>ET</v>
      </c>
    </row>
    <row r="356" spans="1:65" x14ac:dyDescent="0.45">
      <c r="A356" s="63" t="s">
        <v>48</v>
      </c>
      <c r="B356" s="63" t="s">
        <v>218</v>
      </c>
      <c r="C356" s="63">
        <f>VLOOKUP($B356,'Tillförd energi'!$B$1:$AI$720,MATCH(C$2,'Tillförd energi'!$B$1:$AQ$1,0),FALSE)</f>
        <v>0</v>
      </c>
      <c r="D356" s="63">
        <f>VLOOKUP($B356,'Tillförd energi'!$B$1:$AI$720,MATCH(D$2,'Tillförd energi'!$B$1:$AQ$1,0),FALSE)</f>
        <v>0.57899999999999996</v>
      </c>
      <c r="E356" s="63">
        <f>VLOOKUP($B356,'Tillförd energi'!$B$1:$AI$720,MATCH(E$2,'Tillförd energi'!$B$1:$AQ$1,0),FALSE)</f>
        <v>0</v>
      </c>
      <c r="F356" s="63">
        <f>VLOOKUP($B356,'Tillförd energi'!$B$1:$AI$720,MATCH(F$2,'Tillförd energi'!$B$1:$AQ$1,0),FALSE)</f>
        <v>0</v>
      </c>
      <c r="G356" s="63">
        <f>VLOOKUP($B356,'Tillförd energi'!$B$1:$AI$720,MATCH(G$2,'Tillförd energi'!$B$1:$AQ$1,0),FALSE)</f>
        <v>0</v>
      </c>
      <c r="H356" s="63">
        <f>VLOOKUP($B356,'Tillförd energi'!$B$1:$AI$720,MATCH(H$2,'Tillförd energi'!$B$1:$AQ$1,0),FALSE)</f>
        <v>0</v>
      </c>
      <c r="I356" s="63">
        <f>VLOOKUP($B356,'Tillförd energi'!$B$1:$AI$720,MATCH(I$2,'Tillförd energi'!$B$1:$AQ$1,0),FALSE)</f>
        <v>0</v>
      </c>
      <c r="J356" s="63">
        <f>VLOOKUP($B356,'Tillförd energi'!$B$1:$AI$720,MATCH(J$2,'Tillförd energi'!$B$1:$AQ$1,0),FALSE)</f>
        <v>0</v>
      </c>
      <c r="K356" s="63">
        <f>VLOOKUP($B356,'Tillförd energi'!$B$1:$AI$720,MATCH(K$2,'Tillförd energi'!$B$1:$AQ$1,0),FALSE)</f>
        <v>0</v>
      </c>
      <c r="L356" s="63">
        <f>VLOOKUP($B356,'Tillförd energi'!$B$1:$AI$720,MATCH(L$2,'Tillförd energi'!$B$1:$AQ$1,0),FALSE)</f>
        <v>0</v>
      </c>
      <c r="M356" s="63">
        <f>VLOOKUP($B356,'Tillförd energi'!$B$1:$AI$720,MATCH(M$2,'Tillförd energi'!$B$1:$AQ$1,0),FALSE)</f>
        <v>0</v>
      </c>
      <c r="N356" s="63">
        <f>VLOOKUP($B356,'Tillförd energi'!$B$1:$AI$720,MATCH(N$2,'Tillförd energi'!$B$1:$AQ$1,0),FALSE)</f>
        <v>0</v>
      </c>
      <c r="O356" s="63">
        <f>VLOOKUP($B356,'Tillförd energi'!$B$1:$AI$720,MATCH(O$2,'Tillförd energi'!$B$1:$AQ$1,0),FALSE)</f>
        <v>14.452999999999999</v>
      </c>
      <c r="P356" s="63">
        <f>VLOOKUP($B356,'Tillförd energi'!$B$1:$AI$720,MATCH(P$2,'Tillförd energi'!$B$1:$AQ$1,0),FALSE)</f>
        <v>0</v>
      </c>
      <c r="Q356" s="63">
        <f>VLOOKUP($B356,'Tillförd energi'!$B$1:$AI$720,MATCH(Q$2,'Tillförd energi'!$B$1:$AQ$1,0),FALSE)</f>
        <v>0.96599999999999997</v>
      </c>
      <c r="R356" s="63">
        <f>VLOOKUP($B356,'Tillförd energi'!$B$1:$AI$720,MATCH(R$2,'Tillförd energi'!$B$1:$AQ$1,0),FALSE)</f>
        <v>0</v>
      </c>
      <c r="S356" s="63">
        <f>VLOOKUP($B356,'Tillförd energi'!$B$1:$AI$720,MATCH(S$2,'Tillförd energi'!$B$1:$AQ$1,0),FALSE)</f>
        <v>0</v>
      </c>
      <c r="T356" s="63">
        <f>VLOOKUP($B356,'Tillförd energi'!$B$1:$AI$720,MATCH(T$2,'Tillförd energi'!$B$1:$AQ$1,0),FALSE)</f>
        <v>0</v>
      </c>
      <c r="U356" s="63">
        <f>VLOOKUP($B356,'Tillförd energi'!$B$1:$AI$720,MATCH(U$2,'Tillförd energi'!$B$1:$AQ$1,0),FALSE)</f>
        <v>0</v>
      </c>
      <c r="V356" s="63">
        <f>VLOOKUP($B356,'Tillförd energi'!$B$1:$AI$720,MATCH(V$2,'Tillförd energi'!$B$1:$AQ$1,0),FALSE)</f>
        <v>0</v>
      </c>
      <c r="W356" s="63">
        <f>VLOOKUP($B356,'Tillförd energi'!$B$1:$AI$720,MATCH(W$2,'Tillförd energi'!$B$1:$AQ$1,0),FALSE)</f>
        <v>0</v>
      </c>
      <c r="X356" s="63">
        <f>VLOOKUP($B356,'Tillförd energi'!$B$1:$AI$720,MATCH(X$2,'Tillförd energi'!$B$1:$AQ$1,0),FALSE)</f>
        <v>0</v>
      </c>
      <c r="Y356" s="63">
        <f>VLOOKUP($B356,'Tillförd energi'!$B$1:$AI$720,MATCH(Y$2,'Tillförd energi'!$B$1:$AQ$1,0),FALSE)</f>
        <v>0</v>
      </c>
      <c r="Z356" s="63">
        <f>VLOOKUP($B356,'Tillförd energi'!$B$1:$AI$720,MATCH(Z$2,'Tillförd energi'!$B$1:$AQ$1,0),FALSE)</f>
        <v>0</v>
      </c>
      <c r="AA356" s="63">
        <f>VLOOKUP($B356,'Tillförd energi'!$B$1:$AI$720,MATCH(AA$2,'Tillförd energi'!$B$1:$AQ$1,0),FALSE)</f>
        <v>0</v>
      </c>
      <c r="AB356" s="63">
        <f>VLOOKUP($B356,'Tillförd energi'!$B$1:$AI$720,MATCH(AB$2,'Tillförd energi'!$B$1:$AQ$1,0),FALSE)</f>
        <v>0</v>
      </c>
      <c r="AC356" s="63">
        <f>VLOOKUP($B356,'Tillförd energi'!$B$1:$AI$720,MATCH(AC$2,'Tillförd energi'!$B$1:$AQ$1,0),FALSE)</f>
        <v>3.0150000000000001</v>
      </c>
      <c r="AD356" s="63">
        <f>VLOOKUP($B356,'Tillförd energi'!$B$1:$AI$720,MATCH(AD$2,'Tillförd energi'!$B$1:$AQ$1,0),FALSE)</f>
        <v>0</v>
      </c>
      <c r="AE356" s="63">
        <f>VLOOKUP($B356,'Tillförd energi'!$B$1:$AI$720,MATCH(AE$2,'Tillförd energi'!$B$1:$AQ$1,0),FALSE)</f>
        <v>0</v>
      </c>
      <c r="AF356" s="63">
        <f>VLOOKUP($B356,'Tillförd energi'!$B$1:$AI$720,MATCH(AF$2,'Tillförd energi'!$B$1:$AQ$1,0),FALSE)</f>
        <v>0.44063999999999998</v>
      </c>
      <c r="AG356" s="63">
        <f>IFERROR(VLOOKUP(B356,Miljö!$B$1:$AC$550,MATCH("Köpt mängd produktionsspecifik fjärrvärme:",Miljö!$B$1:$AC$1,0),FALSE)/1,0)</f>
        <v>0</v>
      </c>
      <c r="AI356" s="63">
        <f t="shared" si="30"/>
        <v>19.453639999999996</v>
      </c>
      <c r="AJ356" s="63">
        <f>IF(ISERROR(1/VLOOKUP($B356,Leveranser!$B$1:$S$500,MATCH("såld värme (gwh)",Leveranser!$B$1:$S$1,0),FALSE)),"",VLOOKUP($B356,Leveranser!$B$1:$S$500,MATCH("såld värme (gwh)",Leveranser!$B$1:$S$1,0),FALSE))</f>
        <v>14.688000000000001</v>
      </c>
      <c r="AM356" s="63" t="str">
        <f>IF(B356&lt;&gt;"",IF(VLOOKUP($B356,Totalt!$B$1:$AQ$554,MATCH("Kvalitetsgranskad:",Totalt!$B$1:$AQ$1,0),FALSE)="ja",VLOOKUP($B356,Miljö!$B$1:$AG$479,MATCH(AM$2,Miljö!$B$1:$AK$1,0),FALSE),""),"")</f>
        <v>Ja</v>
      </c>
      <c r="AN356" s="63" t="str">
        <f>IF(AM356="ja",VLOOKUP($B356,Miljö!$B$1:$J$479,MATCH("Typ av ursprungsspecificerad el   (Om inget värde anges används Nordisk residualmix, se inforuta) ()",Miljö!$B$1:$J$1,0),FALSE),IF(AM356="nej","Nordisk residualel",""))</f>
        <v>'Bio energi'</v>
      </c>
      <c r="AO356" s="63">
        <f>IF(AM356="","",VLOOKUP($B356,Miljö!$B$1:$J$479,MATCH("Fossilandel för ursprungspecificerad el ()",Miljö!$B$1:$J$1,0),FALSE))</f>
        <v>0</v>
      </c>
      <c r="AQ356" s="63">
        <f t="shared" si="31"/>
        <v>1</v>
      </c>
      <c r="AS356" s="63" t="str">
        <f t="shared" si="32"/>
        <v>Nej</v>
      </c>
      <c r="AT356" s="63" t="str">
        <f>IF(AS356="ja",VLOOKUP($B356,Miljö!$B$1:$P$500,MATCH("Fossil andel i procent (%)",Miljö!$B$1:$P$1,0),FALSE)/100,"")</f>
        <v/>
      </c>
      <c r="AV356" s="63" t="str">
        <f t="shared" si="33"/>
        <v>Nej</v>
      </c>
      <c r="AW356" s="63" t="str">
        <f>IF(AV356="ja",VLOOKUP($B356,'Egen hetvattenprod'!$B$1:$AO$500,MATCH("Värmekälla till värmepumpar ()",'Egen hetvattenprod'!$B$1:$AO$1,0),FALSE),"")</f>
        <v/>
      </c>
      <c r="AY356" s="63" t="str">
        <f t="shared" si="34"/>
        <v>Ja</v>
      </c>
      <c r="AZ356" s="77">
        <f>IF($AY356="ja",(VLOOKUP($B356,'Egen hetvattenprod'!$B$1:$BX$550,MATCH(AZ$2,'Egen hetvattenprod'!$B$1:$BX$1,0),FALSE)+VLOOKUP($B356,Kraftvärmeprod!$B$1:$BX$550,MATCH(AZ$2,Kraftvärmeprod!$B$1:$BX$1,0),FALSE))/$AC356,"")</f>
        <v>1</v>
      </c>
      <c r="BA356" s="77">
        <f>IF($AY356="ja",(VLOOKUP($B356,'Egen hetvattenprod'!$B$1:$BX$550,MATCH(BA$2,'Egen hetvattenprod'!$B$1:$BX$1,0),FALSE)+VLOOKUP($B356,Kraftvärmeprod!$B$1:$BX$550,MATCH(BA$2,Kraftvärmeprod!$B$1:$BX$1,0),FALSE))/$AC356,"")</f>
        <v>0</v>
      </c>
      <c r="BB356" s="77">
        <f>IF($AY356="ja",(VLOOKUP($B356,'Egen hetvattenprod'!$B$1:$BX$550,MATCH(BB$2,'Egen hetvattenprod'!$B$1:$BX$1,0),FALSE)+VLOOKUP($B356,Kraftvärmeprod!$B$1:$BX$550,MATCH(BB$2,Kraftvärmeprod!$B$1:$BX$1,0),FALSE))/$AC356,"")</f>
        <v>0</v>
      </c>
      <c r="BC356" s="77">
        <f>IF($AY356="ja",(VLOOKUP($B356,'Egen hetvattenprod'!$B$1:$BX$550,MATCH(BC$2,'Egen hetvattenprod'!$B$1:$BX$1,0),FALSE)+VLOOKUP($B356,Kraftvärmeprod!$B$1:$BX$550,MATCH(BC$2,Kraftvärmeprod!$B$1:$BX$1,0),FALSE))/$AC356,"")</f>
        <v>0</v>
      </c>
      <c r="BD356" s="77">
        <f>IF($AY356="ja",(VLOOKUP($B356,'Egen hetvattenprod'!$B$1:$BX$550,MATCH(BD$2,'Egen hetvattenprod'!$B$1:$BX$1,0),FALSE)+VLOOKUP($B356,Kraftvärmeprod!$B$1:$BX$550,MATCH(BD$2,Kraftvärmeprod!$B$1:$BX$1,0),FALSE))/$AC356,"")</f>
        <v>0</v>
      </c>
      <c r="BF356" s="63" t="str">
        <f t="shared" si="35"/>
        <v>Nej</v>
      </c>
      <c r="BG356" s="63" t="str">
        <f>IF($BF356="ja",VLOOKUP($B356,'Egen hetvattenprod'!$B$1:$BX$550,MATCH("Andelen klimatgaser med fossilt ursprung för avfall ()",'Egen hetvattenprod'!$B$1:$BX$1,0),FALSE),"")</f>
        <v/>
      </c>
      <c r="BH356" s="63" t="str">
        <f>IF($BF356="ja",VLOOKUP($B356,Kraftvärmeprod!$B$1:$BX$550,MATCH("Andelen klimatgaser med fossilt ursprung för avfall ()",Kraftvärmeprod!$B$1:$BX$1,0),FALSE),"")</f>
        <v/>
      </c>
      <c r="BI356" s="63" t="str">
        <f>IF($BF356="ja",VLOOKUP($B356,'Egen hetvattenprod'!$B$1:$BX$550,MATCH("Avfall (GWh)",'Egen hetvattenprod'!$B$1:$BX$1,0),FALSE),"")</f>
        <v/>
      </c>
      <c r="BJ356" s="63" t="str">
        <f>IF($BF356="ja",VLOOKUP($B356,'Slutlig allokering kvv'!$B$1:$BX$550,MATCH("Avfall (GWh)",'Slutlig allokering kvv'!$B$1:$BX$1,0),FALSE),"")</f>
        <v/>
      </c>
      <c r="BK356" s="63" t="str">
        <f>IF($BF356="ja",VLOOKUP($B356,'Köpt hetvatten'!$B$1:$BX$550,MATCH("Avfall i köpt hetvatten",'Köpt hetvatten'!$B$1:$BX$1,0),FALSE),"")</f>
        <v/>
      </c>
      <c r="BL356" s="63" t="str">
        <f>IF($BF356="ja",VLOOKUP($B356,'Egen hetvattenprod'!$B$1:$BX$550,MATCH("Värde enligt ovan. (%)",'Egen hetvattenprod'!$B$1:$BX$1,0),FALSE),"")</f>
        <v/>
      </c>
      <c r="BM356" s="63" t="str">
        <f>IF($BF356="ja",VLOOKUP($B356,Kraftvärmeprod!$B$1:$BX$550,MATCH("Värde enligt ovan. (%)",Kraftvärmeprod!$B$1:$BX$1,0),FALSE),"")</f>
        <v/>
      </c>
    </row>
    <row r="357" spans="1:65" x14ac:dyDescent="0.45">
      <c r="A357" s="63" t="s">
        <v>48</v>
      </c>
      <c r="B357" s="63" t="s">
        <v>217</v>
      </c>
      <c r="C357" s="63">
        <f>VLOOKUP($B357,'Tillförd energi'!$B$1:$AI$720,MATCH(C$2,'Tillförd energi'!$B$1:$AQ$1,0),FALSE)</f>
        <v>0</v>
      </c>
      <c r="D357" s="63">
        <f>VLOOKUP($B357,'Tillförd energi'!$B$1:$AI$720,MATCH(D$2,'Tillförd energi'!$B$1:$AQ$1,0),FALSE)</f>
        <v>2.52494</v>
      </c>
      <c r="E357" s="63">
        <f>VLOOKUP($B357,'Tillförd energi'!$B$1:$AI$720,MATCH(E$2,'Tillförd energi'!$B$1:$AQ$1,0),FALSE)</f>
        <v>0</v>
      </c>
      <c r="F357" s="63">
        <f>VLOOKUP($B357,'Tillförd energi'!$B$1:$AI$720,MATCH(F$2,'Tillförd energi'!$B$1:$AQ$1,0),FALSE)</f>
        <v>0</v>
      </c>
      <c r="G357" s="63">
        <f>VLOOKUP($B357,'Tillförd energi'!$B$1:$AI$720,MATCH(G$2,'Tillförd energi'!$B$1:$AQ$1,0),FALSE)</f>
        <v>0</v>
      </c>
      <c r="H357" s="63">
        <f>VLOOKUP($B357,'Tillförd energi'!$B$1:$AI$720,MATCH(H$2,'Tillförd energi'!$B$1:$AQ$1,0),FALSE)</f>
        <v>0</v>
      </c>
      <c r="I357" s="63">
        <f>VLOOKUP($B357,'Tillförd energi'!$B$1:$AI$720,MATCH(I$2,'Tillförd energi'!$B$1:$AQ$1,0),FALSE)</f>
        <v>0</v>
      </c>
      <c r="J357" s="63">
        <f>VLOOKUP($B357,'Tillförd energi'!$B$1:$AI$720,MATCH(J$2,'Tillförd energi'!$B$1:$AQ$1,0),FALSE)</f>
        <v>0</v>
      </c>
      <c r="K357" s="63">
        <f>VLOOKUP($B357,'Tillförd energi'!$B$1:$AI$720,MATCH(K$2,'Tillförd energi'!$B$1:$AQ$1,0),FALSE)</f>
        <v>0</v>
      </c>
      <c r="L357" s="63">
        <f>VLOOKUP($B357,'Tillförd energi'!$B$1:$AI$720,MATCH(L$2,'Tillförd energi'!$B$1:$AQ$1,0),FALSE)</f>
        <v>0</v>
      </c>
      <c r="M357" s="63">
        <f>VLOOKUP($B357,'Tillförd energi'!$B$1:$AI$720,MATCH(M$2,'Tillförd energi'!$B$1:$AQ$1,0),FALSE)</f>
        <v>0</v>
      </c>
      <c r="N357" s="63">
        <f>VLOOKUP($B357,'Tillförd energi'!$B$1:$AI$720,MATCH(N$2,'Tillförd energi'!$B$1:$AQ$1,0),FALSE)</f>
        <v>0</v>
      </c>
      <c r="O357" s="63">
        <f>VLOOKUP($B357,'Tillförd energi'!$B$1:$AI$720,MATCH(O$2,'Tillförd energi'!$B$1:$AQ$1,0),FALSE)</f>
        <v>0</v>
      </c>
      <c r="P357" s="63">
        <f>VLOOKUP($B357,'Tillförd energi'!$B$1:$AI$720,MATCH(P$2,'Tillförd energi'!$B$1:$AQ$1,0),FALSE)</f>
        <v>0</v>
      </c>
      <c r="Q357" s="63">
        <f>VLOOKUP($B357,'Tillförd energi'!$B$1:$AI$720,MATCH(Q$2,'Tillförd energi'!$B$1:$AQ$1,0),FALSE)</f>
        <v>0.61685400000000001</v>
      </c>
      <c r="R357" s="63">
        <f>VLOOKUP($B357,'Tillförd energi'!$B$1:$AI$720,MATCH(R$2,'Tillförd energi'!$B$1:$AQ$1,0),FALSE)</f>
        <v>0</v>
      </c>
      <c r="S357" s="63">
        <f>VLOOKUP($B357,'Tillförd energi'!$B$1:$AI$720,MATCH(S$2,'Tillförd energi'!$B$1:$AQ$1,0),FALSE)</f>
        <v>0</v>
      </c>
      <c r="T357" s="63">
        <f>VLOOKUP($B357,'Tillförd energi'!$B$1:$AI$720,MATCH(T$2,'Tillförd energi'!$B$1:$AQ$1,0),FALSE)</f>
        <v>0</v>
      </c>
      <c r="U357" s="63">
        <f>VLOOKUP($B357,'Tillförd energi'!$B$1:$AI$720,MATCH(U$2,'Tillförd energi'!$B$1:$AQ$1,0),FALSE)</f>
        <v>0</v>
      </c>
      <c r="V357" s="63">
        <f>VLOOKUP($B357,'Tillförd energi'!$B$1:$AI$720,MATCH(V$2,'Tillförd energi'!$B$1:$AQ$1,0),FALSE)</f>
        <v>0</v>
      </c>
      <c r="W357" s="63">
        <f>VLOOKUP($B357,'Tillförd energi'!$B$1:$AI$720,MATCH(W$2,'Tillförd energi'!$B$1:$AQ$1,0),FALSE)</f>
        <v>0</v>
      </c>
      <c r="X357" s="63">
        <f>VLOOKUP($B357,'Tillförd energi'!$B$1:$AI$720,MATCH(X$2,'Tillförd energi'!$B$1:$AQ$1,0),FALSE)</f>
        <v>0</v>
      </c>
      <c r="Y357" s="63">
        <f>VLOOKUP($B357,'Tillförd energi'!$B$1:$AI$720,MATCH(Y$2,'Tillförd energi'!$B$1:$AQ$1,0),FALSE)</f>
        <v>0</v>
      </c>
      <c r="Z357" s="63">
        <f>VLOOKUP($B357,'Tillförd energi'!$B$1:$AI$720,MATCH(Z$2,'Tillförd energi'!$B$1:$AQ$1,0),FALSE)</f>
        <v>0</v>
      </c>
      <c r="AA357" s="63">
        <f>VLOOKUP($B357,'Tillförd energi'!$B$1:$AI$720,MATCH(AA$2,'Tillförd energi'!$B$1:$AQ$1,0),FALSE)</f>
        <v>0</v>
      </c>
      <c r="AB357" s="63">
        <f>VLOOKUP($B357,'Tillförd energi'!$B$1:$AI$720,MATCH(AB$2,'Tillförd energi'!$B$1:$AQ$1,0),FALSE)</f>
        <v>0</v>
      </c>
      <c r="AC357" s="63">
        <f>VLOOKUP($B357,'Tillförd energi'!$B$1:$AI$720,MATCH(AC$2,'Tillförd energi'!$B$1:$AQ$1,0),FALSE)</f>
        <v>0</v>
      </c>
      <c r="AD357" s="63">
        <f>VLOOKUP($B357,'Tillförd energi'!$B$1:$AI$720,MATCH(AD$2,'Tillförd energi'!$B$1:$AQ$1,0),FALSE)</f>
        <v>25.103000000000002</v>
      </c>
      <c r="AE357" s="63">
        <f>VLOOKUP($B357,'Tillförd energi'!$B$1:$AI$720,MATCH(AE$2,'Tillförd energi'!$B$1:$AQ$1,0),FALSE)</f>
        <v>0</v>
      </c>
      <c r="AF357" s="63">
        <f>VLOOKUP($B357,'Tillförd energi'!$B$1:$AI$720,MATCH(AF$2,'Tillförd energi'!$B$1:$AQ$1,0),FALSE)</f>
        <v>4.1000000000000002E-2</v>
      </c>
      <c r="AG357" s="63">
        <f>IFERROR(VLOOKUP(B357,Miljö!$B$1:$AC$550,MATCH("Köpt mängd produktionsspecifik fjärrvärme:",Miljö!$B$1:$AC$1,0),FALSE)/1,0)</f>
        <v>0</v>
      </c>
      <c r="AI357" s="63">
        <f t="shared" si="30"/>
        <v>28.285794000000003</v>
      </c>
      <c r="AJ357" s="63">
        <f>IF(ISERROR(1/VLOOKUP($B357,Leveranser!$B$1:$S$500,MATCH("såld värme (gwh)",Leveranser!$B$1:$S$1,0),FALSE)),"",VLOOKUP($B357,Leveranser!$B$1:$S$500,MATCH("såld värme (gwh)",Leveranser!$B$1:$S$1,0),FALSE))</f>
        <v>22.847999999999999</v>
      </c>
      <c r="AM357" s="63" t="str">
        <f>IF(B357&lt;&gt;"",IF(VLOOKUP($B357,Totalt!$B$1:$AQ$554,MATCH("Kvalitetsgranskad:",Totalt!$B$1:$AQ$1,0),FALSE)="ja",VLOOKUP($B357,Miljö!$B$1:$AG$479,MATCH(AM$2,Miljö!$B$1:$AK$1,0),FALSE),""),"")</f>
        <v>Ja</v>
      </c>
      <c r="AN357" s="63" t="str">
        <f>IF(AM357="ja",VLOOKUP($B357,Miljö!$B$1:$J$479,MATCH("Typ av ursprungsspecificerad el   (Om inget värde anges används Nordisk residualmix, se inforuta) ()",Miljö!$B$1:$J$1,0),FALSE),IF(AM357="nej","Nordisk residualel",""))</f>
        <v>'Bio energi'</v>
      </c>
      <c r="AO357" s="63">
        <f>IF(AM357="","",VLOOKUP($B357,Miljö!$B$1:$J$479,MATCH("Fossilandel för ursprungspecificerad el ()",Miljö!$B$1:$J$1,0),FALSE))</f>
        <v>0</v>
      </c>
      <c r="AQ357" s="63">
        <f t="shared" si="31"/>
        <v>1</v>
      </c>
      <c r="AS357" s="63" t="str">
        <f t="shared" si="32"/>
        <v>Nej</v>
      </c>
      <c r="AT357" s="63" t="str">
        <f>IF(AS357="ja",VLOOKUP($B357,Miljö!$B$1:$P$500,MATCH("Fossil andel i procent (%)",Miljö!$B$1:$P$1,0),FALSE)/100,"")</f>
        <v/>
      </c>
      <c r="AV357" s="63" t="str">
        <f t="shared" si="33"/>
        <v>Nej</v>
      </c>
      <c r="AW357" s="63" t="str">
        <f>IF(AV357="ja",VLOOKUP($B357,'Egen hetvattenprod'!$B$1:$AO$500,MATCH("Värmekälla till värmepumpar ()",'Egen hetvattenprod'!$B$1:$AO$1,0),FALSE),"")</f>
        <v/>
      </c>
      <c r="AY357" s="63" t="str">
        <f t="shared" si="34"/>
        <v>Nej</v>
      </c>
      <c r="AZ357" s="77" t="str">
        <f>IF($AY357="ja",(VLOOKUP($B357,'Egen hetvattenprod'!$B$1:$BX$550,MATCH(AZ$2,'Egen hetvattenprod'!$B$1:$BX$1,0),FALSE)+VLOOKUP($B357,Kraftvärmeprod!$B$1:$BX$550,MATCH(AZ$2,Kraftvärmeprod!$B$1:$BX$1,0),FALSE))/$AC357,"")</f>
        <v/>
      </c>
      <c r="BA357" s="77" t="str">
        <f>IF($AY357="ja",(VLOOKUP($B357,'Egen hetvattenprod'!$B$1:$BX$550,MATCH(BA$2,'Egen hetvattenprod'!$B$1:$BX$1,0),FALSE)+VLOOKUP($B357,Kraftvärmeprod!$B$1:$BX$550,MATCH(BA$2,Kraftvärmeprod!$B$1:$BX$1,0),FALSE))/$AC357,"")</f>
        <v/>
      </c>
      <c r="BB357" s="77" t="str">
        <f>IF($AY357="ja",(VLOOKUP($B357,'Egen hetvattenprod'!$B$1:$BX$550,MATCH(BB$2,'Egen hetvattenprod'!$B$1:$BX$1,0),FALSE)+VLOOKUP($B357,Kraftvärmeprod!$B$1:$BX$550,MATCH(BB$2,Kraftvärmeprod!$B$1:$BX$1,0),FALSE))/$AC357,"")</f>
        <v/>
      </c>
      <c r="BC357" s="77" t="str">
        <f>IF($AY357="ja",(VLOOKUP($B357,'Egen hetvattenprod'!$B$1:$BX$550,MATCH(BC$2,'Egen hetvattenprod'!$B$1:$BX$1,0),FALSE)+VLOOKUP($B357,Kraftvärmeprod!$B$1:$BX$550,MATCH(BC$2,Kraftvärmeprod!$B$1:$BX$1,0),FALSE))/$AC357,"")</f>
        <v/>
      </c>
      <c r="BD357" s="77" t="str">
        <f>IF($AY357="ja",(VLOOKUP($B357,'Egen hetvattenprod'!$B$1:$BX$550,MATCH(BD$2,'Egen hetvattenprod'!$B$1:$BX$1,0),FALSE)+VLOOKUP($B357,Kraftvärmeprod!$B$1:$BX$550,MATCH(BD$2,Kraftvärmeprod!$B$1:$BX$1,0),FALSE))/$AC357,"")</f>
        <v/>
      </c>
      <c r="BF357" s="63" t="str">
        <f t="shared" si="35"/>
        <v>Nej</v>
      </c>
      <c r="BG357" s="63" t="str">
        <f>IF($BF357="ja",VLOOKUP($B357,'Egen hetvattenprod'!$B$1:$BX$550,MATCH("Andelen klimatgaser med fossilt ursprung för avfall ()",'Egen hetvattenprod'!$B$1:$BX$1,0),FALSE),"")</f>
        <v/>
      </c>
      <c r="BH357" s="63" t="str">
        <f>IF($BF357="ja",VLOOKUP($B357,Kraftvärmeprod!$B$1:$BX$550,MATCH("Andelen klimatgaser med fossilt ursprung för avfall ()",Kraftvärmeprod!$B$1:$BX$1,0),FALSE),"")</f>
        <v/>
      </c>
      <c r="BI357" s="63" t="str">
        <f>IF($BF357="ja",VLOOKUP($B357,'Egen hetvattenprod'!$B$1:$BX$550,MATCH("Avfall (GWh)",'Egen hetvattenprod'!$B$1:$BX$1,0),FALSE),"")</f>
        <v/>
      </c>
      <c r="BJ357" s="63" t="str">
        <f>IF($BF357="ja",VLOOKUP($B357,'Slutlig allokering kvv'!$B$1:$BX$550,MATCH("Avfall (GWh)",'Slutlig allokering kvv'!$B$1:$BX$1,0),FALSE),"")</f>
        <v/>
      </c>
      <c r="BK357" s="63" t="str">
        <f>IF($BF357="ja",VLOOKUP($B357,'Köpt hetvatten'!$B$1:$BX$550,MATCH("Avfall i köpt hetvatten",'Köpt hetvatten'!$B$1:$BX$1,0),FALSE),"")</f>
        <v/>
      </c>
      <c r="BL357" s="63" t="str">
        <f>IF($BF357="ja",VLOOKUP($B357,'Egen hetvattenprod'!$B$1:$BX$550,MATCH("Värde enligt ovan. (%)",'Egen hetvattenprod'!$B$1:$BX$1,0),FALSE),"")</f>
        <v/>
      </c>
      <c r="BM357" s="63" t="str">
        <f>IF($BF357="ja",VLOOKUP($B357,Kraftvärmeprod!$B$1:$BX$550,MATCH("Värde enligt ovan. (%)",Kraftvärmeprod!$B$1:$BX$1,0),FALSE),"")</f>
        <v/>
      </c>
    </row>
    <row r="358" spans="1:65" x14ac:dyDescent="0.45">
      <c r="A358" s="63" t="s">
        <v>48</v>
      </c>
      <c r="B358" s="63" t="s">
        <v>216</v>
      </c>
      <c r="C358" s="63">
        <f>VLOOKUP($B358,'Tillförd energi'!$B$1:$AI$720,MATCH(C$2,'Tillförd energi'!$B$1:$AQ$1,0),FALSE)</f>
        <v>0</v>
      </c>
      <c r="D358" s="63">
        <f>VLOOKUP($B358,'Tillförd energi'!$B$1:$AI$720,MATCH(D$2,'Tillförd energi'!$B$1:$AQ$1,0),FALSE)</f>
        <v>0.22</v>
      </c>
      <c r="E358" s="63">
        <f>VLOOKUP($B358,'Tillförd energi'!$B$1:$AI$720,MATCH(E$2,'Tillförd energi'!$B$1:$AQ$1,0),FALSE)</f>
        <v>0</v>
      </c>
      <c r="F358" s="63">
        <f>VLOOKUP($B358,'Tillförd energi'!$B$1:$AI$720,MATCH(F$2,'Tillförd energi'!$B$1:$AQ$1,0),FALSE)</f>
        <v>0</v>
      </c>
      <c r="G358" s="63">
        <f>VLOOKUP($B358,'Tillförd energi'!$B$1:$AI$720,MATCH(G$2,'Tillförd energi'!$B$1:$AQ$1,0),FALSE)</f>
        <v>0</v>
      </c>
      <c r="H358" s="63">
        <f>VLOOKUP($B358,'Tillförd energi'!$B$1:$AI$720,MATCH(H$2,'Tillförd energi'!$B$1:$AQ$1,0),FALSE)</f>
        <v>0</v>
      </c>
      <c r="I358" s="63">
        <f>VLOOKUP($B358,'Tillförd energi'!$B$1:$AI$720,MATCH(I$2,'Tillförd energi'!$B$1:$AQ$1,0),FALSE)</f>
        <v>0</v>
      </c>
      <c r="J358" s="63">
        <f>VLOOKUP($B358,'Tillförd energi'!$B$1:$AI$720,MATCH(J$2,'Tillförd energi'!$B$1:$AQ$1,0),FALSE)</f>
        <v>0</v>
      </c>
      <c r="K358" s="63">
        <f>VLOOKUP($B358,'Tillförd energi'!$B$1:$AI$720,MATCH(K$2,'Tillförd energi'!$B$1:$AQ$1,0),FALSE)</f>
        <v>0</v>
      </c>
      <c r="L358" s="63">
        <f>VLOOKUP($B358,'Tillförd energi'!$B$1:$AI$720,MATCH(L$2,'Tillförd energi'!$B$1:$AQ$1,0),FALSE)</f>
        <v>0</v>
      </c>
      <c r="M358" s="63">
        <f>VLOOKUP($B358,'Tillförd energi'!$B$1:$AI$720,MATCH(M$2,'Tillförd energi'!$B$1:$AQ$1,0),FALSE)</f>
        <v>0</v>
      </c>
      <c r="N358" s="63">
        <f>VLOOKUP($B358,'Tillförd energi'!$B$1:$AI$720,MATCH(N$2,'Tillförd energi'!$B$1:$AQ$1,0),FALSE)</f>
        <v>0</v>
      </c>
      <c r="O358" s="63">
        <f>VLOOKUP($B358,'Tillförd energi'!$B$1:$AI$720,MATCH(O$2,'Tillförd energi'!$B$1:$AQ$1,0),FALSE)</f>
        <v>0</v>
      </c>
      <c r="P358" s="63">
        <f>VLOOKUP($B358,'Tillförd energi'!$B$1:$AI$720,MATCH(P$2,'Tillförd energi'!$B$1:$AQ$1,0),FALSE)</f>
        <v>0</v>
      </c>
      <c r="Q358" s="63">
        <f>VLOOKUP($B358,'Tillförd energi'!$B$1:$AI$720,MATCH(Q$2,'Tillförd energi'!$B$1:$AQ$1,0),FALSE)</f>
        <v>0</v>
      </c>
      <c r="R358" s="63">
        <f>VLOOKUP($B358,'Tillförd energi'!$B$1:$AI$720,MATCH(R$2,'Tillförd energi'!$B$1:$AQ$1,0),FALSE)</f>
        <v>0</v>
      </c>
      <c r="S358" s="63">
        <f>VLOOKUP($B358,'Tillförd energi'!$B$1:$AI$720,MATCH(S$2,'Tillförd energi'!$B$1:$AQ$1,0),FALSE)</f>
        <v>7.1239999999999997</v>
      </c>
      <c r="T358" s="63">
        <f>VLOOKUP($B358,'Tillförd energi'!$B$1:$AI$720,MATCH(T$2,'Tillförd energi'!$B$1:$AQ$1,0),FALSE)</f>
        <v>0</v>
      </c>
      <c r="U358" s="63">
        <f>VLOOKUP($B358,'Tillförd energi'!$B$1:$AI$720,MATCH(U$2,'Tillförd energi'!$B$1:$AQ$1,0),FALSE)</f>
        <v>0</v>
      </c>
      <c r="V358" s="63">
        <f>VLOOKUP($B358,'Tillförd energi'!$B$1:$AI$720,MATCH(V$2,'Tillförd energi'!$B$1:$AQ$1,0),FALSE)</f>
        <v>0</v>
      </c>
      <c r="W358" s="63">
        <f>VLOOKUP($B358,'Tillförd energi'!$B$1:$AI$720,MATCH(W$2,'Tillförd energi'!$B$1:$AQ$1,0),FALSE)</f>
        <v>0</v>
      </c>
      <c r="X358" s="63">
        <f>VLOOKUP($B358,'Tillförd energi'!$B$1:$AI$720,MATCH(X$2,'Tillförd energi'!$B$1:$AQ$1,0),FALSE)</f>
        <v>0</v>
      </c>
      <c r="Y358" s="63">
        <f>VLOOKUP($B358,'Tillförd energi'!$B$1:$AI$720,MATCH(Y$2,'Tillförd energi'!$B$1:$AQ$1,0),FALSE)</f>
        <v>0</v>
      </c>
      <c r="Z358" s="63">
        <f>VLOOKUP($B358,'Tillförd energi'!$B$1:$AI$720,MATCH(Z$2,'Tillförd energi'!$B$1:$AQ$1,0),FALSE)</f>
        <v>0</v>
      </c>
      <c r="AA358" s="63">
        <f>VLOOKUP($B358,'Tillförd energi'!$B$1:$AI$720,MATCH(AA$2,'Tillförd energi'!$B$1:$AQ$1,0),FALSE)</f>
        <v>0</v>
      </c>
      <c r="AB358" s="63">
        <f>VLOOKUP($B358,'Tillförd energi'!$B$1:$AI$720,MATCH(AB$2,'Tillförd energi'!$B$1:$AQ$1,0),FALSE)</f>
        <v>0</v>
      </c>
      <c r="AC358" s="63">
        <f>VLOOKUP($B358,'Tillförd energi'!$B$1:$AI$720,MATCH(AC$2,'Tillförd energi'!$B$1:$AQ$1,0),FALSE)</f>
        <v>0</v>
      </c>
      <c r="AD358" s="63">
        <f>VLOOKUP($B358,'Tillförd energi'!$B$1:$AI$720,MATCH(AD$2,'Tillförd energi'!$B$1:$AQ$1,0),FALSE)</f>
        <v>0</v>
      </c>
      <c r="AE358" s="63">
        <f>VLOOKUP($B358,'Tillförd energi'!$B$1:$AI$720,MATCH(AE$2,'Tillförd energi'!$B$1:$AQ$1,0),FALSE)</f>
        <v>0</v>
      </c>
      <c r="AF358" s="63">
        <f>VLOOKUP($B358,'Tillförd energi'!$B$1:$AI$720,MATCH(AF$2,'Tillförd energi'!$B$1:$AQ$1,0),FALSE)</f>
        <v>0.10299999999999999</v>
      </c>
      <c r="AG358" s="63">
        <f>IFERROR(VLOOKUP(B358,Miljö!$B$1:$AC$550,MATCH("Köpt mängd produktionsspecifik fjärrvärme:",Miljö!$B$1:$AC$1,0),FALSE)/1,0)</f>
        <v>0</v>
      </c>
      <c r="AI358" s="63">
        <f t="shared" si="30"/>
        <v>7.4469999999999992</v>
      </c>
      <c r="AJ358" s="63">
        <f>IF(ISERROR(1/VLOOKUP($B358,Leveranser!$B$1:$S$500,MATCH("såld värme (gwh)",Leveranser!$B$1:$S$1,0),FALSE)),"",VLOOKUP($B358,Leveranser!$B$1:$S$500,MATCH("såld värme (gwh)",Leveranser!$B$1:$S$1,0),FALSE))</f>
        <v>5.5330000000000004</v>
      </c>
      <c r="AM358" s="63" t="str">
        <f>IF(B358&lt;&gt;"",IF(VLOOKUP($B358,Totalt!$B$1:$AQ$554,MATCH("Kvalitetsgranskad:",Totalt!$B$1:$AQ$1,0),FALSE)="ja",VLOOKUP($B358,Miljö!$B$1:$AG$479,MATCH(AM$2,Miljö!$B$1:$AK$1,0),FALSE),""),"")</f>
        <v>Ja</v>
      </c>
      <c r="AN358" s="63" t="str">
        <f>IF(AM358="ja",VLOOKUP($B358,Miljö!$B$1:$J$479,MATCH("Typ av ursprungsspecificerad el   (Om inget värde anges används Nordisk residualmix, se inforuta) ()",Miljö!$B$1:$J$1,0),FALSE),IF(AM358="nej","Nordisk residualel",""))</f>
        <v>'Bio energi'</v>
      </c>
      <c r="AO358" s="63">
        <f>IF(AM358="","",VLOOKUP($B358,Miljö!$B$1:$J$479,MATCH("Fossilandel för ursprungspecificerad el ()",Miljö!$B$1:$J$1,0),FALSE))</f>
        <v>0</v>
      </c>
      <c r="AQ358" s="63">
        <f t="shared" si="31"/>
        <v>1</v>
      </c>
      <c r="AS358" s="63" t="str">
        <f t="shared" si="32"/>
        <v>Nej</v>
      </c>
      <c r="AT358" s="63" t="str">
        <f>IF(AS358="ja",VLOOKUP($B358,Miljö!$B$1:$P$500,MATCH("Fossil andel i procent (%)",Miljö!$B$1:$P$1,0),FALSE)/100,"")</f>
        <v/>
      </c>
      <c r="AV358" s="63" t="str">
        <f t="shared" si="33"/>
        <v>Nej</v>
      </c>
      <c r="AW358" s="63" t="str">
        <f>IF(AV358="ja",VLOOKUP($B358,'Egen hetvattenprod'!$B$1:$AO$500,MATCH("Värmekälla till värmepumpar ()",'Egen hetvattenprod'!$B$1:$AO$1,0),FALSE),"")</f>
        <v/>
      </c>
      <c r="AY358" s="63" t="str">
        <f t="shared" si="34"/>
        <v>Nej</v>
      </c>
      <c r="AZ358" s="77" t="str">
        <f>IF($AY358="ja",(VLOOKUP($B358,'Egen hetvattenprod'!$B$1:$BX$550,MATCH(AZ$2,'Egen hetvattenprod'!$B$1:$BX$1,0),FALSE)+VLOOKUP($B358,Kraftvärmeprod!$B$1:$BX$550,MATCH(AZ$2,Kraftvärmeprod!$B$1:$BX$1,0),FALSE))/$AC358,"")</f>
        <v/>
      </c>
      <c r="BA358" s="77" t="str">
        <f>IF($AY358="ja",(VLOOKUP($B358,'Egen hetvattenprod'!$B$1:$BX$550,MATCH(BA$2,'Egen hetvattenprod'!$B$1:$BX$1,0),FALSE)+VLOOKUP($B358,Kraftvärmeprod!$B$1:$BX$550,MATCH(BA$2,Kraftvärmeprod!$B$1:$BX$1,0),FALSE))/$AC358,"")</f>
        <v/>
      </c>
      <c r="BB358" s="77" t="str">
        <f>IF($AY358="ja",(VLOOKUP($B358,'Egen hetvattenprod'!$B$1:$BX$550,MATCH(BB$2,'Egen hetvattenprod'!$B$1:$BX$1,0),FALSE)+VLOOKUP($B358,Kraftvärmeprod!$B$1:$BX$550,MATCH(BB$2,Kraftvärmeprod!$B$1:$BX$1,0),FALSE))/$AC358,"")</f>
        <v/>
      </c>
      <c r="BC358" s="77" t="str">
        <f>IF($AY358="ja",(VLOOKUP($B358,'Egen hetvattenprod'!$B$1:$BX$550,MATCH(BC$2,'Egen hetvattenprod'!$B$1:$BX$1,0),FALSE)+VLOOKUP($B358,Kraftvärmeprod!$B$1:$BX$550,MATCH(BC$2,Kraftvärmeprod!$B$1:$BX$1,0),FALSE))/$AC358,"")</f>
        <v/>
      </c>
      <c r="BD358" s="77" t="str">
        <f>IF($AY358="ja",(VLOOKUP($B358,'Egen hetvattenprod'!$B$1:$BX$550,MATCH(BD$2,'Egen hetvattenprod'!$B$1:$BX$1,0),FALSE)+VLOOKUP($B358,Kraftvärmeprod!$B$1:$BX$550,MATCH(BD$2,Kraftvärmeprod!$B$1:$BX$1,0),FALSE))/$AC358,"")</f>
        <v/>
      </c>
      <c r="BF358" s="63" t="str">
        <f t="shared" si="35"/>
        <v>Nej</v>
      </c>
      <c r="BG358" s="63" t="str">
        <f>IF($BF358="ja",VLOOKUP($B358,'Egen hetvattenprod'!$B$1:$BX$550,MATCH("Andelen klimatgaser med fossilt ursprung för avfall ()",'Egen hetvattenprod'!$B$1:$BX$1,0),FALSE),"")</f>
        <v/>
      </c>
      <c r="BH358" s="63" t="str">
        <f>IF($BF358="ja",VLOOKUP($B358,Kraftvärmeprod!$B$1:$BX$550,MATCH("Andelen klimatgaser med fossilt ursprung för avfall ()",Kraftvärmeprod!$B$1:$BX$1,0),FALSE),"")</f>
        <v/>
      </c>
      <c r="BI358" s="63" t="str">
        <f>IF($BF358="ja",VLOOKUP($B358,'Egen hetvattenprod'!$B$1:$BX$550,MATCH("Avfall (GWh)",'Egen hetvattenprod'!$B$1:$BX$1,0),FALSE),"")</f>
        <v/>
      </c>
      <c r="BJ358" s="63" t="str">
        <f>IF($BF358="ja",VLOOKUP($B358,'Slutlig allokering kvv'!$B$1:$BX$550,MATCH("Avfall (GWh)",'Slutlig allokering kvv'!$B$1:$BX$1,0),FALSE),"")</f>
        <v/>
      </c>
      <c r="BK358" s="63" t="str">
        <f>IF($BF358="ja",VLOOKUP($B358,'Köpt hetvatten'!$B$1:$BX$550,MATCH("Avfall i köpt hetvatten",'Köpt hetvatten'!$B$1:$BX$1,0),FALSE),"")</f>
        <v/>
      </c>
      <c r="BL358" s="63" t="str">
        <f>IF($BF358="ja",VLOOKUP($B358,'Egen hetvattenprod'!$B$1:$BX$550,MATCH("Värde enligt ovan. (%)",'Egen hetvattenprod'!$B$1:$BX$1,0),FALSE),"")</f>
        <v/>
      </c>
      <c r="BM358" s="63" t="str">
        <f>IF($BF358="ja",VLOOKUP($B358,Kraftvärmeprod!$B$1:$BX$550,MATCH("Värde enligt ovan. (%)",Kraftvärmeprod!$B$1:$BX$1,0),FALSE),"")</f>
        <v/>
      </c>
    </row>
    <row r="359" spans="1:65" x14ac:dyDescent="0.45">
      <c r="A359" s="63" t="s">
        <v>48</v>
      </c>
      <c r="B359" s="63" t="s">
        <v>215</v>
      </c>
      <c r="C359" s="63">
        <f>VLOOKUP($B359,'Tillförd energi'!$B$1:$AI$720,MATCH(C$2,'Tillförd energi'!$B$1:$AQ$1,0),FALSE)</f>
        <v>0</v>
      </c>
      <c r="D359" s="63">
        <f>VLOOKUP($B359,'Tillförd energi'!$B$1:$AI$720,MATCH(D$2,'Tillförd energi'!$B$1:$AQ$1,0),FALSE)</f>
        <v>0</v>
      </c>
      <c r="E359" s="63">
        <f>VLOOKUP($B359,'Tillförd energi'!$B$1:$AI$720,MATCH(E$2,'Tillförd energi'!$B$1:$AQ$1,0),FALSE)</f>
        <v>0</v>
      </c>
      <c r="F359" s="63">
        <f>VLOOKUP($B359,'Tillförd energi'!$B$1:$AI$720,MATCH(F$2,'Tillförd energi'!$B$1:$AQ$1,0),FALSE)</f>
        <v>1.18503</v>
      </c>
      <c r="G359" s="63">
        <f>VLOOKUP($B359,'Tillförd energi'!$B$1:$AI$720,MATCH(G$2,'Tillförd energi'!$B$1:$AQ$1,0),FALSE)</f>
        <v>0</v>
      </c>
      <c r="H359" s="63">
        <f>VLOOKUP($B359,'Tillförd energi'!$B$1:$AI$720,MATCH(H$2,'Tillförd energi'!$B$1:$AQ$1,0),FALSE)</f>
        <v>0</v>
      </c>
      <c r="I359" s="63">
        <f>VLOOKUP($B359,'Tillförd energi'!$B$1:$AI$720,MATCH(I$2,'Tillförd energi'!$B$1:$AQ$1,0),FALSE)</f>
        <v>0</v>
      </c>
      <c r="J359" s="63">
        <f>VLOOKUP($B359,'Tillförd energi'!$B$1:$AI$720,MATCH(J$2,'Tillförd energi'!$B$1:$AQ$1,0),FALSE)</f>
        <v>0</v>
      </c>
      <c r="K359" s="63">
        <f>VLOOKUP($B359,'Tillförd energi'!$B$1:$AI$720,MATCH(K$2,'Tillförd energi'!$B$1:$AQ$1,0),FALSE)</f>
        <v>0</v>
      </c>
      <c r="L359" s="63">
        <f>VLOOKUP($B359,'Tillförd energi'!$B$1:$AI$720,MATCH(L$2,'Tillförd energi'!$B$1:$AQ$1,0),FALSE)</f>
        <v>0</v>
      </c>
      <c r="M359" s="63">
        <f>VLOOKUP($B359,'Tillförd energi'!$B$1:$AI$720,MATCH(M$2,'Tillförd energi'!$B$1:$AQ$1,0),FALSE)</f>
        <v>0</v>
      </c>
      <c r="N359" s="63">
        <f>VLOOKUP($B359,'Tillförd energi'!$B$1:$AI$720,MATCH(N$2,'Tillförd energi'!$B$1:$AQ$1,0),FALSE)</f>
        <v>0</v>
      </c>
      <c r="O359" s="63">
        <f>VLOOKUP($B359,'Tillförd energi'!$B$1:$AI$720,MATCH(O$2,'Tillförd energi'!$B$1:$AQ$1,0),FALSE)</f>
        <v>45.553899999999999</v>
      </c>
      <c r="P359" s="63">
        <f>VLOOKUP($B359,'Tillförd energi'!$B$1:$AI$720,MATCH(P$2,'Tillförd energi'!$B$1:$AQ$1,0),FALSE)</f>
        <v>13.0893</v>
      </c>
      <c r="Q359" s="63">
        <f>VLOOKUP($B359,'Tillförd energi'!$B$1:$AI$720,MATCH(Q$2,'Tillförd energi'!$B$1:$AQ$1,0),FALSE)</f>
        <v>10.665900000000001</v>
      </c>
      <c r="R359" s="63">
        <f>VLOOKUP($B359,'Tillförd energi'!$B$1:$AI$720,MATCH(R$2,'Tillförd energi'!$B$1:$AQ$1,0),FALSE)</f>
        <v>0</v>
      </c>
      <c r="S359" s="63">
        <f>VLOOKUP($B359,'Tillförd energi'!$B$1:$AI$720,MATCH(S$2,'Tillförd energi'!$B$1:$AQ$1,0),FALSE)</f>
        <v>0</v>
      </c>
      <c r="T359" s="63">
        <f>VLOOKUP($B359,'Tillförd energi'!$B$1:$AI$720,MATCH(T$2,'Tillförd energi'!$B$1:$AQ$1,0),FALSE)</f>
        <v>0</v>
      </c>
      <c r="U359" s="63">
        <f>VLOOKUP($B359,'Tillförd energi'!$B$1:$AI$720,MATCH(U$2,'Tillförd energi'!$B$1:$AQ$1,0),FALSE)</f>
        <v>0</v>
      </c>
      <c r="V359" s="63">
        <f>VLOOKUP($B359,'Tillförd energi'!$B$1:$AI$720,MATCH(V$2,'Tillförd energi'!$B$1:$AQ$1,0),FALSE)</f>
        <v>0</v>
      </c>
      <c r="W359" s="63">
        <f>VLOOKUP($B359,'Tillförd energi'!$B$1:$AI$720,MATCH(W$2,'Tillförd energi'!$B$1:$AQ$1,0),FALSE)</f>
        <v>0</v>
      </c>
      <c r="X359" s="63">
        <f>VLOOKUP($B359,'Tillförd energi'!$B$1:$AI$720,MATCH(X$2,'Tillförd energi'!$B$1:$AQ$1,0),FALSE)</f>
        <v>0</v>
      </c>
      <c r="Y359" s="63">
        <f>VLOOKUP($B359,'Tillförd energi'!$B$1:$AI$720,MATCH(Y$2,'Tillförd energi'!$B$1:$AQ$1,0),FALSE)</f>
        <v>0</v>
      </c>
      <c r="Z359" s="63">
        <f>VLOOKUP($B359,'Tillförd energi'!$B$1:$AI$720,MATCH(Z$2,'Tillförd energi'!$B$1:$AQ$1,0),FALSE)</f>
        <v>0</v>
      </c>
      <c r="AA359" s="63">
        <f>VLOOKUP($B359,'Tillförd energi'!$B$1:$AI$720,MATCH(AA$2,'Tillförd energi'!$B$1:$AQ$1,0),FALSE)</f>
        <v>0</v>
      </c>
      <c r="AB359" s="63">
        <f>VLOOKUP($B359,'Tillförd energi'!$B$1:$AI$720,MATCH(AB$2,'Tillförd energi'!$B$1:$AQ$1,0),FALSE)</f>
        <v>0</v>
      </c>
      <c r="AC359" s="63">
        <f>VLOOKUP($B359,'Tillförd energi'!$B$1:$AI$720,MATCH(AC$2,'Tillförd energi'!$B$1:$AQ$1,0),FALSE)</f>
        <v>7.89</v>
      </c>
      <c r="AD359" s="63">
        <f>VLOOKUP($B359,'Tillförd energi'!$B$1:$AI$720,MATCH(AD$2,'Tillförd energi'!$B$1:$AQ$1,0),FALSE)</f>
        <v>31.783999999999999</v>
      </c>
      <c r="AE359" s="63">
        <f>VLOOKUP($B359,'Tillförd energi'!$B$1:$AI$720,MATCH(AE$2,'Tillförd energi'!$B$1:$AQ$1,0),FALSE)</f>
        <v>0</v>
      </c>
      <c r="AF359" s="63">
        <f>VLOOKUP($B359,'Tillförd energi'!$B$1:$AI$720,MATCH(AF$2,'Tillförd energi'!$B$1:$AQ$1,0),FALSE)</f>
        <v>2.1865399999999999</v>
      </c>
      <c r="AG359" s="63">
        <f>IFERROR(VLOOKUP(B359,Miljö!$B$1:$AC$550,MATCH("Köpt mängd produktionsspecifik fjärrvärme:",Miljö!$B$1:$AC$1,0),FALSE)/1,0)</f>
        <v>0</v>
      </c>
      <c r="AI359" s="63">
        <f t="shared" si="30"/>
        <v>112.35466999999998</v>
      </c>
      <c r="AJ359" s="63">
        <f>IF(ISERROR(1/VLOOKUP($B359,Leveranser!$B$1:$S$500,MATCH("såld värme (gwh)",Leveranser!$B$1:$S$1,0),FALSE)),"",VLOOKUP($B359,Leveranser!$B$1:$S$500,MATCH("såld värme (gwh)",Leveranser!$B$1:$S$1,0),FALSE))</f>
        <v>91.608000000000004</v>
      </c>
      <c r="AM359" s="63" t="str">
        <f>IF(B359&lt;&gt;"",IF(VLOOKUP($B359,Totalt!$B$1:$AQ$554,MATCH("Kvalitetsgranskad:",Totalt!$B$1:$AQ$1,0),FALSE)="ja",VLOOKUP($B359,Miljö!$B$1:$AG$479,MATCH(AM$2,Miljö!$B$1:$AK$1,0),FALSE),""),"")</f>
        <v>Ja</v>
      </c>
      <c r="AN359" s="63" t="str">
        <f>IF(AM359="ja",VLOOKUP($B359,Miljö!$B$1:$J$479,MATCH("Typ av ursprungsspecificerad el   (Om inget värde anges används Nordisk residualmix, se inforuta) ()",Miljö!$B$1:$J$1,0),FALSE),IF(AM359="nej","Nordisk residualel",""))</f>
        <v>'Bio energi'</v>
      </c>
      <c r="AO359" s="63">
        <f>IF(AM359="","",VLOOKUP($B359,Miljö!$B$1:$J$479,MATCH("Fossilandel för ursprungspecificerad el ()",Miljö!$B$1:$J$1,0),FALSE))</f>
        <v>0</v>
      </c>
      <c r="AQ359" s="63">
        <f t="shared" si="31"/>
        <v>1</v>
      </c>
      <c r="AS359" s="63" t="str">
        <f t="shared" si="32"/>
        <v>Nej</v>
      </c>
      <c r="AT359" s="63" t="str">
        <f>IF(AS359="ja",VLOOKUP($B359,Miljö!$B$1:$P$500,MATCH("Fossil andel i procent (%)",Miljö!$B$1:$P$1,0),FALSE)/100,"")</f>
        <v/>
      </c>
      <c r="AV359" s="63" t="str">
        <f t="shared" si="33"/>
        <v>Nej</v>
      </c>
      <c r="AW359" s="63" t="str">
        <f>IF(AV359="ja",VLOOKUP($B359,'Egen hetvattenprod'!$B$1:$AO$500,MATCH("Värmekälla till värmepumpar ()",'Egen hetvattenprod'!$B$1:$AO$1,0),FALSE),"")</f>
        <v/>
      </c>
      <c r="AY359" s="63" t="str">
        <f t="shared" si="34"/>
        <v>Ja</v>
      </c>
      <c r="AZ359" s="77">
        <f>IF($AY359="ja",(VLOOKUP($B359,'Egen hetvattenprod'!$B$1:$BX$550,MATCH(AZ$2,'Egen hetvattenprod'!$B$1:$BX$1,0),FALSE)+VLOOKUP($B359,Kraftvärmeprod!$B$1:$BX$550,MATCH(AZ$2,Kraftvärmeprod!$B$1:$BX$1,0),FALSE))/$AC359,"")</f>
        <v>1</v>
      </c>
      <c r="BA359" s="77">
        <f>IF($AY359="ja",(VLOOKUP($B359,'Egen hetvattenprod'!$B$1:$BX$550,MATCH(BA$2,'Egen hetvattenprod'!$B$1:$BX$1,0),FALSE)+VLOOKUP($B359,Kraftvärmeprod!$B$1:$BX$550,MATCH(BA$2,Kraftvärmeprod!$B$1:$BX$1,0),FALSE))/$AC359,"")</f>
        <v>0</v>
      </c>
      <c r="BB359" s="77">
        <f>IF($AY359="ja",(VLOOKUP($B359,'Egen hetvattenprod'!$B$1:$BX$550,MATCH(BB$2,'Egen hetvattenprod'!$B$1:$BX$1,0),FALSE)+VLOOKUP($B359,Kraftvärmeprod!$B$1:$BX$550,MATCH(BB$2,Kraftvärmeprod!$B$1:$BX$1,0),FALSE))/$AC359,"")</f>
        <v>0</v>
      </c>
      <c r="BC359" s="77">
        <f>IF($AY359="ja",(VLOOKUP($B359,'Egen hetvattenprod'!$B$1:$BX$550,MATCH(BC$2,'Egen hetvattenprod'!$B$1:$BX$1,0),FALSE)+VLOOKUP($B359,Kraftvärmeprod!$B$1:$BX$550,MATCH(BC$2,Kraftvärmeprod!$B$1:$BX$1,0),FALSE))/$AC359,"")</f>
        <v>0</v>
      </c>
      <c r="BD359" s="77">
        <f>IF($AY359="ja",(VLOOKUP($B359,'Egen hetvattenprod'!$B$1:$BX$550,MATCH(BD$2,'Egen hetvattenprod'!$B$1:$BX$1,0),FALSE)+VLOOKUP($B359,Kraftvärmeprod!$B$1:$BX$550,MATCH(BD$2,Kraftvärmeprod!$B$1:$BX$1,0),FALSE))/$AC359,"")</f>
        <v>0</v>
      </c>
      <c r="BF359" s="63" t="str">
        <f t="shared" si="35"/>
        <v>Nej</v>
      </c>
      <c r="BG359" s="63" t="str">
        <f>IF($BF359="ja",VLOOKUP($B359,'Egen hetvattenprod'!$B$1:$BX$550,MATCH("Andelen klimatgaser med fossilt ursprung för avfall ()",'Egen hetvattenprod'!$B$1:$BX$1,0),FALSE),"")</f>
        <v/>
      </c>
      <c r="BH359" s="63" t="str">
        <f>IF($BF359="ja",VLOOKUP($B359,Kraftvärmeprod!$B$1:$BX$550,MATCH("Andelen klimatgaser med fossilt ursprung för avfall ()",Kraftvärmeprod!$B$1:$BX$1,0),FALSE),"")</f>
        <v/>
      </c>
      <c r="BI359" s="63" t="str">
        <f>IF($BF359="ja",VLOOKUP($B359,'Egen hetvattenprod'!$B$1:$BX$550,MATCH("Avfall (GWh)",'Egen hetvattenprod'!$B$1:$BX$1,0),FALSE),"")</f>
        <v/>
      </c>
      <c r="BJ359" s="63" t="str">
        <f>IF($BF359="ja",VLOOKUP($B359,'Slutlig allokering kvv'!$B$1:$BX$550,MATCH("Avfall (GWh)",'Slutlig allokering kvv'!$B$1:$BX$1,0),FALSE),"")</f>
        <v/>
      </c>
      <c r="BK359" s="63" t="str">
        <f>IF($BF359="ja",VLOOKUP($B359,'Köpt hetvatten'!$B$1:$BX$550,MATCH("Avfall i köpt hetvatten",'Köpt hetvatten'!$B$1:$BX$1,0),FALSE),"")</f>
        <v/>
      </c>
      <c r="BL359" s="63" t="str">
        <f>IF($BF359="ja",VLOOKUP($B359,'Egen hetvattenprod'!$B$1:$BX$550,MATCH("Värde enligt ovan. (%)",'Egen hetvattenprod'!$B$1:$BX$1,0),FALSE),"")</f>
        <v/>
      </c>
      <c r="BM359" s="63" t="str">
        <f>IF($BF359="ja",VLOOKUP($B359,Kraftvärmeprod!$B$1:$BX$550,MATCH("Värde enligt ovan. (%)",Kraftvärmeprod!$B$1:$BX$1,0),FALSE),"")</f>
        <v/>
      </c>
    </row>
    <row r="360" spans="1:65" x14ac:dyDescent="0.45">
      <c r="A360" s="63" t="s">
        <v>48</v>
      </c>
      <c r="B360" s="63" t="s">
        <v>214</v>
      </c>
      <c r="C360" s="63">
        <f>VLOOKUP($B360,'Tillförd energi'!$B$1:$AI$720,MATCH(C$2,'Tillförd energi'!$B$1:$AQ$1,0),FALSE)</f>
        <v>0</v>
      </c>
      <c r="D360" s="63">
        <f>VLOOKUP($B360,'Tillförd energi'!$B$1:$AI$720,MATCH(D$2,'Tillförd energi'!$B$1:$AQ$1,0),FALSE)</f>
        <v>0.55200000000000005</v>
      </c>
      <c r="E360" s="63">
        <f>VLOOKUP($B360,'Tillförd energi'!$B$1:$AI$720,MATCH(E$2,'Tillförd energi'!$B$1:$AQ$1,0),FALSE)</f>
        <v>0</v>
      </c>
      <c r="F360" s="63">
        <f>VLOOKUP($B360,'Tillförd energi'!$B$1:$AI$720,MATCH(F$2,'Tillförd energi'!$B$1:$AQ$1,0),FALSE)</f>
        <v>0</v>
      </c>
      <c r="G360" s="63">
        <f>VLOOKUP($B360,'Tillförd energi'!$B$1:$AI$720,MATCH(G$2,'Tillförd energi'!$B$1:$AQ$1,0),FALSE)</f>
        <v>0</v>
      </c>
      <c r="H360" s="63">
        <f>VLOOKUP($B360,'Tillförd energi'!$B$1:$AI$720,MATCH(H$2,'Tillförd energi'!$B$1:$AQ$1,0),FALSE)</f>
        <v>0</v>
      </c>
      <c r="I360" s="63">
        <f>VLOOKUP($B360,'Tillförd energi'!$B$1:$AI$720,MATCH(I$2,'Tillförd energi'!$B$1:$AQ$1,0),FALSE)</f>
        <v>0</v>
      </c>
      <c r="J360" s="63">
        <f>VLOOKUP($B360,'Tillförd energi'!$B$1:$AI$720,MATCH(J$2,'Tillförd energi'!$B$1:$AQ$1,0),FALSE)</f>
        <v>0</v>
      </c>
      <c r="K360" s="63">
        <f>VLOOKUP($B360,'Tillförd energi'!$B$1:$AI$720,MATCH(K$2,'Tillförd energi'!$B$1:$AQ$1,0),FALSE)</f>
        <v>0</v>
      </c>
      <c r="L360" s="63">
        <f>VLOOKUP($B360,'Tillförd energi'!$B$1:$AI$720,MATCH(L$2,'Tillförd energi'!$B$1:$AQ$1,0),FALSE)</f>
        <v>0</v>
      </c>
      <c r="M360" s="63">
        <f>VLOOKUP($B360,'Tillförd energi'!$B$1:$AI$720,MATCH(M$2,'Tillförd energi'!$B$1:$AQ$1,0),FALSE)</f>
        <v>53.1083</v>
      </c>
      <c r="N360" s="63">
        <f>VLOOKUP($B360,'Tillförd energi'!$B$1:$AI$720,MATCH(N$2,'Tillförd energi'!$B$1:$AQ$1,0),FALSE)</f>
        <v>1.1913899999999999</v>
      </c>
      <c r="O360" s="63">
        <f>VLOOKUP($B360,'Tillförd energi'!$B$1:$AI$720,MATCH(O$2,'Tillförd energi'!$B$1:$AQ$1,0),FALSE)</f>
        <v>33.143099999999997</v>
      </c>
      <c r="P360" s="63">
        <f>VLOOKUP($B360,'Tillförd energi'!$B$1:$AI$720,MATCH(P$2,'Tillförd energi'!$B$1:$AQ$1,0),FALSE)</f>
        <v>0</v>
      </c>
      <c r="Q360" s="63">
        <f>VLOOKUP($B360,'Tillförd energi'!$B$1:$AI$720,MATCH(Q$2,'Tillförd energi'!$B$1:$AQ$1,0),FALSE)</f>
        <v>5.5240499999999999</v>
      </c>
      <c r="R360" s="63">
        <f>VLOOKUP($B360,'Tillförd energi'!$B$1:$AI$720,MATCH(R$2,'Tillförd energi'!$B$1:$AQ$1,0),FALSE)</f>
        <v>0</v>
      </c>
      <c r="S360" s="63">
        <f>VLOOKUP($B360,'Tillförd energi'!$B$1:$AI$720,MATCH(S$2,'Tillförd energi'!$B$1:$AQ$1,0),FALSE)</f>
        <v>0</v>
      </c>
      <c r="T360" s="63">
        <f>VLOOKUP($B360,'Tillförd energi'!$B$1:$AI$720,MATCH(T$2,'Tillförd energi'!$B$1:$AQ$1,0),FALSE)</f>
        <v>0</v>
      </c>
      <c r="U360" s="63">
        <f>VLOOKUP($B360,'Tillförd energi'!$B$1:$AI$720,MATCH(U$2,'Tillförd energi'!$B$1:$AQ$1,0),FALSE)</f>
        <v>0</v>
      </c>
      <c r="V360" s="63">
        <f>VLOOKUP($B360,'Tillförd energi'!$B$1:$AI$720,MATCH(V$2,'Tillförd energi'!$B$1:$AQ$1,0),FALSE)</f>
        <v>0.83399999999999996</v>
      </c>
      <c r="W360" s="63">
        <f>VLOOKUP($B360,'Tillförd energi'!$B$1:$AI$720,MATCH(W$2,'Tillförd energi'!$B$1:$AQ$1,0),FALSE)</f>
        <v>0</v>
      </c>
      <c r="X360" s="63">
        <f>VLOOKUP($B360,'Tillförd energi'!$B$1:$AI$720,MATCH(X$2,'Tillförd energi'!$B$1:$AQ$1,0),FALSE)</f>
        <v>0</v>
      </c>
      <c r="Y360" s="63">
        <f>VLOOKUP($B360,'Tillförd energi'!$B$1:$AI$720,MATCH(Y$2,'Tillförd energi'!$B$1:$AQ$1,0),FALSE)</f>
        <v>0</v>
      </c>
      <c r="Z360" s="63">
        <f>VLOOKUP($B360,'Tillförd energi'!$B$1:$AI$720,MATCH(Z$2,'Tillförd energi'!$B$1:$AQ$1,0),FALSE)</f>
        <v>0</v>
      </c>
      <c r="AA360" s="63">
        <f>VLOOKUP($B360,'Tillförd energi'!$B$1:$AI$720,MATCH(AA$2,'Tillförd energi'!$B$1:$AQ$1,0),FALSE)</f>
        <v>0</v>
      </c>
      <c r="AB360" s="63">
        <f>VLOOKUP($B360,'Tillförd energi'!$B$1:$AI$720,MATCH(AB$2,'Tillförd energi'!$B$1:$AQ$1,0),FALSE)</f>
        <v>0</v>
      </c>
      <c r="AC360" s="63">
        <f>VLOOKUP($B360,'Tillförd energi'!$B$1:$AI$720,MATCH(AC$2,'Tillförd energi'!$B$1:$AQ$1,0),FALSE)</f>
        <v>39.619</v>
      </c>
      <c r="AD360" s="63">
        <f>VLOOKUP($B360,'Tillförd energi'!$B$1:$AI$720,MATCH(AD$2,'Tillförd energi'!$B$1:$AQ$1,0),FALSE)</f>
        <v>0</v>
      </c>
      <c r="AE360" s="63">
        <f>VLOOKUP($B360,'Tillförd energi'!$B$1:$AI$720,MATCH(AE$2,'Tillförd energi'!$B$1:$AQ$1,0),FALSE)</f>
        <v>0</v>
      </c>
      <c r="AF360" s="63">
        <f>VLOOKUP($B360,'Tillförd energi'!$B$1:$AI$720,MATCH(AF$2,'Tillförd energi'!$B$1:$AQ$1,0),FALSE)</f>
        <v>3.8870399999999998</v>
      </c>
      <c r="AG360" s="63">
        <f>IFERROR(VLOOKUP(B360,Miljö!$B$1:$AC$550,MATCH("Köpt mängd produktionsspecifik fjärrvärme:",Miljö!$B$1:$AC$1,0),FALSE)/1,0)</f>
        <v>0</v>
      </c>
      <c r="AI360" s="63">
        <f t="shared" si="30"/>
        <v>137.85888</v>
      </c>
      <c r="AJ360" s="63">
        <f>IF(ISERROR(1/VLOOKUP($B360,Leveranser!$B$1:$S$500,MATCH("såld värme (gwh)",Leveranser!$B$1:$S$1,0),FALSE)),"",VLOOKUP($B360,Leveranser!$B$1:$S$500,MATCH("såld värme (gwh)",Leveranser!$B$1:$S$1,0),FALSE))</f>
        <v>118.883</v>
      </c>
      <c r="AM360" s="63" t="str">
        <f>IF(B360&lt;&gt;"",IF(VLOOKUP($B360,Totalt!$B$1:$AQ$554,MATCH("Kvalitetsgranskad:",Totalt!$B$1:$AQ$1,0),FALSE)="ja",VLOOKUP($B360,Miljö!$B$1:$AG$479,MATCH(AM$2,Miljö!$B$1:$AK$1,0),FALSE),""),"")</f>
        <v>Ja</v>
      </c>
      <c r="AN360" s="63" t="str">
        <f>IF(AM360="ja",VLOOKUP($B360,Miljö!$B$1:$J$479,MATCH("Typ av ursprungsspecificerad el   (Om inget värde anges används Nordisk residualmix, se inforuta) ()",Miljö!$B$1:$J$1,0),FALSE),IF(AM360="nej","Nordisk residualel",""))</f>
        <v>'Bio energi'</v>
      </c>
      <c r="AO360" s="63">
        <f>IF(AM360="","",VLOOKUP($B360,Miljö!$B$1:$J$479,MATCH("Fossilandel för ursprungspecificerad el ()",Miljö!$B$1:$J$1,0),FALSE))</f>
        <v>0</v>
      </c>
      <c r="AQ360" s="63">
        <f t="shared" si="31"/>
        <v>1</v>
      </c>
      <c r="AS360" s="63" t="str">
        <f t="shared" si="32"/>
        <v>Nej</v>
      </c>
      <c r="AT360" s="63" t="str">
        <f>IF(AS360="ja",VLOOKUP($B360,Miljö!$B$1:$P$500,MATCH("Fossil andel i procent (%)",Miljö!$B$1:$P$1,0),FALSE)/100,"")</f>
        <v/>
      </c>
      <c r="AV360" s="63" t="str">
        <f t="shared" si="33"/>
        <v>Nej</v>
      </c>
      <c r="AW360" s="63" t="str">
        <f>IF(AV360="ja",VLOOKUP($B360,'Egen hetvattenprod'!$B$1:$AO$500,MATCH("Värmekälla till värmepumpar ()",'Egen hetvattenprod'!$B$1:$AO$1,0),FALSE),"")</f>
        <v/>
      </c>
      <c r="AY360" s="63" t="str">
        <f t="shared" si="34"/>
        <v>Ja</v>
      </c>
      <c r="AZ360" s="77">
        <f>IF($AY360="ja",(VLOOKUP($B360,'Egen hetvattenprod'!$B$1:$BX$550,MATCH(AZ$2,'Egen hetvattenprod'!$B$1:$BX$1,0),FALSE)+VLOOKUP($B360,Kraftvärmeprod!$B$1:$BX$550,MATCH(AZ$2,Kraftvärmeprod!$B$1:$BX$1,0),FALSE))/$AC360,"")</f>
        <v>1</v>
      </c>
      <c r="BA360" s="77">
        <f>IF($AY360="ja",(VLOOKUP($B360,'Egen hetvattenprod'!$B$1:$BX$550,MATCH(BA$2,'Egen hetvattenprod'!$B$1:$BX$1,0),FALSE)+VLOOKUP($B360,Kraftvärmeprod!$B$1:$BX$550,MATCH(BA$2,Kraftvärmeprod!$B$1:$BX$1,0),FALSE))/$AC360,"")</f>
        <v>0</v>
      </c>
      <c r="BB360" s="77">
        <f>IF($AY360="ja",(VLOOKUP($B360,'Egen hetvattenprod'!$B$1:$BX$550,MATCH(BB$2,'Egen hetvattenprod'!$B$1:$BX$1,0),FALSE)+VLOOKUP($B360,Kraftvärmeprod!$B$1:$BX$550,MATCH(BB$2,Kraftvärmeprod!$B$1:$BX$1,0),FALSE))/$AC360,"")</f>
        <v>0</v>
      </c>
      <c r="BC360" s="77">
        <f>IF($AY360="ja",(VLOOKUP($B360,'Egen hetvattenprod'!$B$1:$BX$550,MATCH(BC$2,'Egen hetvattenprod'!$B$1:$BX$1,0),FALSE)+VLOOKUP($B360,Kraftvärmeprod!$B$1:$BX$550,MATCH(BC$2,Kraftvärmeprod!$B$1:$BX$1,0),FALSE))/$AC360,"")</f>
        <v>0</v>
      </c>
      <c r="BD360" s="77">
        <f>IF($AY360="ja",(VLOOKUP($B360,'Egen hetvattenprod'!$B$1:$BX$550,MATCH(BD$2,'Egen hetvattenprod'!$B$1:$BX$1,0),FALSE)+VLOOKUP($B360,Kraftvärmeprod!$B$1:$BX$550,MATCH(BD$2,Kraftvärmeprod!$B$1:$BX$1,0),FALSE))/$AC360,"")</f>
        <v>0</v>
      </c>
      <c r="BF360" s="63" t="str">
        <f t="shared" si="35"/>
        <v>Nej</v>
      </c>
      <c r="BG360" s="63" t="str">
        <f>IF($BF360="ja",VLOOKUP($B360,'Egen hetvattenprod'!$B$1:$BX$550,MATCH("Andelen klimatgaser med fossilt ursprung för avfall ()",'Egen hetvattenprod'!$B$1:$BX$1,0),FALSE),"")</f>
        <v/>
      </c>
      <c r="BH360" s="63" t="str">
        <f>IF($BF360="ja",VLOOKUP($B360,Kraftvärmeprod!$B$1:$BX$550,MATCH("Andelen klimatgaser med fossilt ursprung för avfall ()",Kraftvärmeprod!$B$1:$BX$1,0),FALSE),"")</f>
        <v/>
      </c>
      <c r="BI360" s="63" t="str">
        <f>IF($BF360="ja",VLOOKUP($B360,'Egen hetvattenprod'!$B$1:$BX$550,MATCH("Avfall (GWh)",'Egen hetvattenprod'!$B$1:$BX$1,0),FALSE),"")</f>
        <v/>
      </c>
      <c r="BJ360" s="63" t="str">
        <f>IF($BF360="ja",VLOOKUP($B360,'Slutlig allokering kvv'!$B$1:$BX$550,MATCH("Avfall (GWh)",'Slutlig allokering kvv'!$B$1:$BX$1,0),FALSE),"")</f>
        <v/>
      </c>
      <c r="BK360" s="63" t="str">
        <f>IF($BF360="ja",VLOOKUP($B360,'Köpt hetvatten'!$B$1:$BX$550,MATCH("Avfall i köpt hetvatten",'Köpt hetvatten'!$B$1:$BX$1,0),FALSE),"")</f>
        <v/>
      </c>
      <c r="BL360" s="63" t="str">
        <f>IF($BF360="ja",VLOOKUP($B360,'Egen hetvattenprod'!$B$1:$BX$550,MATCH("Värde enligt ovan. (%)",'Egen hetvattenprod'!$B$1:$BX$1,0),FALSE),"")</f>
        <v/>
      </c>
      <c r="BM360" s="63" t="str">
        <f>IF($BF360="ja",VLOOKUP($B360,Kraftvärmeprod!$B$1:$BX$550,MATCH("Värde enligt ovan. (%)",Kraftvärmeprod!$B$1:$BX$1,0),FALSE),"")</f>
        <v/>
      </c>
    </row>
    <row r="361" spans="1:65" x14ac:dyDescent="0.45">
      <c r="A361" s="63" t="s">
        <v>48</v>
      </c>
      <c r="B361" s="63" t="s">
        <v>213</v>
      </c>
      <c r="C361" s="63">
        <f>VLOOKUP($B361,'Tillförd energi'!$B$1:$AI$720,MATCH(C$2,'Tillförd energi'!$B$1:$AQ$1,0),FALSE)</f>
        <v>0</v>
      </c>
      <c r="D361" s="63">
        <f>VLOOKUP($B361,'Tillförd energi'!$B$1:$AI$720,MATCH(D$2,'Tillförd energi'!$B$1:$AQ$1,0),FALSE)</f>
        <v>1.37</v>
      </c>
      <c r="E361" s="63">
        <f>VLOOKUP($B361,'Tillförd energi'!$B$1:$AI$720,MATCH(E$2,'Tillförd energi'!$B$1:$AQ$1,0),FALSE)</f>
        <v>0</v>
      </c>
      <c r="F361" s="63">
        <f>VLOOKUP($B361,'Tillförd energi'!$B$1:$AI$720,MATCH(F$2,'Tillförd energi'!$B$1:$AQ$1,0),FALSE)</f>
        <v>0</v>
      </c>
      <c r="G361" s="63">
        <f>VLOOKUP($B361,'Tillförd energi'!$B$1:$AI$720,MATCH(G$2,'Tillförd energi'!$B$1:$AQ$1,0),FALSE)</f>
        <v>0</v>
      </c>
      <c r="H361" s="63">
        <f>VLOOKUP($B361,'Tillförd energi'!$B$1:$AI$720,MATCH(H$2,'Tillförd energi'!$B$1:$AQ$1,0),FALSE)</f>
        <v>0</v>
      </c>
      <c r="I361" s="63">
        <f>VLOOKUP($B361,'Tillförd energi'!$B$1:$AI$720,MATCH(I$2,'Tillförd energi'!$B$1:$AQ$1,0),FALSE)</f>
        <v>0</v>
      </c>
      <c r="J361" s="63">
        <f>VLOOKUP($B361,'Tillförd energi'!$B$1:$AI$720,MATCH(J$2,'Tillförd energi'!$B$1:$AQ$1,0),FALSE)</f>
        <v>0</v>
      </c>
      <c r="K361" s="63">
        <f>VLOOKUP($B361,'Tillförd energi'!$B$1:$AI$720,MATCH(K$2,'Tillförd energi'!$B$1:$AQ$1,0),FALSE)</f>
        <v>0</v>
      </c>
      <c r="L361" s="63">
        <f>VLOOKUP($B361,'Tillförd energi'!$B$1:$AI$720,MATCH(L$2,'Tillförd energi'!$B$1:$AQ$1,0),FALSE)</f>
        <v>0</v>
      </c>
      <c r="M361" s="63">
        <f>VLOOKUP($B361,'Tillförd energi'!$B$1:$AI$720,MATCH(M$2,'Tillförd energi'!$B$1:$AQ$1,0),FALSE)</f>
        <v>14.055</v>
      </c>
      <c r="N361" s="63">
        <f>VLOOKUP($B361,'Tillförd energi'!$B$1:$AI$720,MATCH(N$2,'Tillförd energi'!$B$1:$AQ$1,0),FALSE)</f>
        <v>10.920999999999999</v>
      </c>
      <c r="O361" s="63">
        <f>VLOOKUP($B361,'Tillförd energi'!$B$1:$AI$720,MATCH(O$2,'Tillförd energi'!$B$1:$AQ$1,0),FALSE)</f>
        <v>0</v>
      </c>
      <c r="P361" s="63">
        <f>VLOOKUP($B361,'Tillförd energi'!$B$1:$AI$720,MATCH(P$2,'Tillförd energi'!$B$1:$AQ$1,0),FALSE)</f>
        <v>5.9390000000000001</v>
      </c>
      <c r="Q361" s="63">
        <f>VLOOKUP($B361,'Tillförd energi'!$B$1:$AI$720,MATCH(Q$2,'Tillförd energi'!$B$1:$AQ$1,0),FALSE)</f>
        <v>0</v>
      </c>
      <c r="R361" s="63">
        <f>VLOOKUP($B361,'Tillförd energi'!$B$1:$AI$720,MATCH(R$2,'Tillförd energi'!$B$1:$AQ$1,0),FALSE)</f>
        <v>0</v>
      </c>
      <c r="S361" s="63">
        <f>VLOOKUP($B361,'Tillförd energi'!$B$1:$AI$720,MATCH(S$2,'Tillförd energi'!$B$1:$AQ$1,0),FALSE)</f>
        <v>0</v>
      </c>
      <c r="T361" s="63">
        <f>VLOOKUP($B361,'Tillförd energi'!$B$1:$AI$720,MATCH(T$2,'Tillförd energi'!$B$1:$AQ$1,0),FALSE)</f>
        <v>0</v>
      </c>
      <c r="U361" s="63">
        <f>VLOOKUP($B361,'Tillförd energi'!$B$1:$AI$720,MATCH(U$2,'Tillförd energi'!$B$1:$AQ$1,0),FALSE)</f>
        <v>0</v>
      </c>
      <c r="V361" s="63">
        <f>VLOOKUP($B361,'Tillförd energi'!$B$1:$AI$720,MATCH(V$2,'Tillförd energi'!$B$1:$AQ$1,0),FALSE)</f>
        <v>0</v>
      </c>
      <c r="W361" s="63">
        <f>VLOOKUP($B361,'Tillförd energi'!$B$1:$AI$720,MATCH(W$2,'Tillförd energi'!$B$1:$AQ$1,0),FALSE)</f>
        <v>0</v>
      </c>
      <c r="X361" s="63">
        <f>VLOOKUP($B361,'Tillförd energi'!$B$1:$AI$720,MATCH(X$2,'Tillförd energi'!$B$1:$AQ$1,0),FALSE)</f>
        <v>0</v>
      </c>
      <c r="Y361" s="63">
        <f>VLOOKUP($B361,'Tillförd energi'!$B$1:$AI$720,MATCH(Y$2,'Tillförd energi'!$B$1:$AQ$1,0),FALSE)</f>
        <v>0</v>
      </c>
      <c r="Z361" s="63">
        <f>VLOOKUP($B361,'Tillförd energi'!$B$1:$AI$720,MATCH(Z$2,'Tillförd energi'!$B$1:$AQ$1,0),FALSE)</f>
        <v>0</v>
      </c>
      <c r="AA361" s="63">
        <f>VLOOKUP($B361,'Tillförd energi'!$B$1:$AI$720,MATCH(AA$2,'Tillförd energi'!$B$1:$AQ$1,0),FALSE)</f>
        <v>0</v>
      </c>
      <c r="AB361" s="63">
        <f>VLOOKUP($B361,'Tillförd energi'!$B$1:$AI$720,MATCH(AB$2,'Tillförd energi'!$B$1:$AQ$1,0),FALSE)</f>
        <v>0</v>
      </c>
      <c r="AC361" s="63">
        <f>VLOOKUP($B361,'Tillförd energi'!$B$1:$AI$720,MATCH(AC$2,'Tillförd energi'!$B$1:$AQ$1,0),FALSE)</f>
        <v>6.8579999999999997</v>
      </c>
      <c r="AD361" s="63">
        <f>VLOOKUP($B361,'Tillförd energi'!$B$1:$AI$720,MATCH(AD$2,'Tillförd energi'!$B$1:$AQ$1,0),FALSE)</f>
        <v>4.8380000000000001</v>
      </c>
      <c r="AE361" s="63">
        <f>VLOOKUP($B361,'Tillförd energi'!$B$1:$AI$720,MATCH(AE$2,'Tillförd energi'!$B$1:$AQ$1,0),FALSE)</f>
        <v>0</v>
      </c>
      <c r="AF361" s="63">
        <f>VLOOKUP($B361,'Tillförd energi'!$B$1:$AI$720,MATCH(AF$2,'Tillförd energi'!$B$1:$AQ$1,0),FALSE)</f>
        <v>0.98799999999999999</v>
      </c>
      <c r="AG361" s="63">
        <f>IFERROR(VLOOKUP(B361,Miljö!$B$1:$AC$550,MATCH("Köpt mängd produktionsspecifik fjärrvärme:",Miljö!$B$1:$AC$1,0),FALSE)/1,0)</f>
        <v>0</v>
      </c>
      <c r="AI361" s="63">
        <f t="shared" si="30"/>
        <v>44.968999999999994</v>
      </c>
      <c r="AJ361" s="63">
        <f>IF(ISERROR(1/VLOOKUP($B361,Leveranser!$B$1:$S$500,MATCH("såld värme (gwh)",Leveranser!$B$1:$S$1,0),FALSE)),"",VLOOKUP($B361,Leveranser!$B$1:$S$500,MATCH("såld värme (gwh)",Leveranser!$B$1:$S$1,0),FALSE))</f>
        <v>32.707000000000001</v>
      </c>
      <c r="AM361" s="63" t="str">
        <f>IF(B361&lt;&gt;"",IF(VLOOKUP($B361,Totalt!$B$1:$AQ$554,MATCH("Kvalitetsgranskad:",Totalt!$B$1:$AQ$1,0),FALSE)="ja",VLOOKUP($B361,Miljö!$B$1:$AG$479,MATCH(AM$2,Miljö!$B$1:$AK$1,0),FALSE),""),"")</f>
        <v>Ja</v>
      </c>
      <c r="AN361" s="63" t="str">
        <f>IF(AM361="ja",VLOOKUP($B361,Miljö!$B$1:$J$479,MATCH("Typ av ursprungsspecificerad el   (Om inget värde anges används Nordisk residualmix, se inforuta) ()",Miljö!$B$1:$J$1,0),FALSE),IF(AM361="nej","Nordisk residualel",""))</f>
        <v>-</v>
      </c>
      <c r="AO361" s="63">
        <f>IF(AM361="","",VLOOKUP($B361,Miljö!$B$1:$J$479,MATCH("Fossilandel för ursprungspecificerad el ()",Miljö!$B$1:$J$1,0),FALSE))</f>
        <v>0</v>
      </c>
      <c r="AQ361" s="63">
        <f t="shared" si="31"/>
        <v>1</v>
      </c>
      <c r="AS361" s="63" t="str">
        <f t="shared" si="32"/>
        <v>Nej</v>
      </c>
      <c r="AT361" s="63" t="str">
        <f>IF(AS361="ja",VLOOKUP($B361,Miljö!$B$1:$P$500,MATCH("Fossil andel i procent (%)",Miljö!$B$1:$P$1,0),FALSE)/100,"")</f>
        <v/>
      </c>
      <c r="AV361" s="63" t="str">
        <f t="shared" si="33"/>
        <v>Nej</v>
      </c>
      <c r="AW361" s="63" t="str">
        <f>IF(AV361="ja",VLOOKUP($B361,'Egen hetvattenprod'!$B$1:$AO$500,MATCH("Värmekälla till värmepumpar ()",'Egen hetvattenprod'!$B$1:$AO$1,0),FALSE),"")</f>
        <v/>
      </c>
      <c r="AY361" s="63" t="str">
        <f t="shared" si="34"/>
        <v>Ja</v>
      </c>
      <c r="AZ361" s="77">
        <f>IF($AY361="ja",(VLOOKUP($B361,'Egen hetvattenprod'!$B$1:$BX$550,MATCH(AZ$2,'Egen hetvattenprod'!$B$1:$BX$1,0),FALSE)+VLOOKUP($B361,Kraftvärmeprod!$B$1:$BX$550,MATCH(AZ$2,Kraftvärmeprod!$B$1:$BX$1,0),FALSE))/$AC361,"")</f>
        <v>1</v>
      </c>
      <c r="BA361" s="77">
        <f>IF($AY361="ja",(VLOOKUP($B361,'Egen hetvattenprod'!$B$1:$BX$550,MATCH(BA$2,'Egen hetvattenprod'!$B$1:$BX$1,0),FALSE)+VLOOKUP($B361,Kraftvärmeprod!$B$1:$BX$550,MATCH(BA$2,Kraftvärmeprod!$B$1:$BX$1,0),FALSE))/$AC361,"")</f>
        <v>0</v>
      </c>
      <c r="BB361" s="77">
        <f>IF($AY361="ja",(VLOOKUP($B361,'Egen hetvattenprod'!$B$1:$BX$550,MATCH(BB$2,'Egen hetvattenprod'!$B$1:$BX$1,0),FALSE)+VLOOKUP($B361,Kraftvärmeprod!$B$1:$BX$550,MATCH(BB$2,Kraftvärmeprod!$B$1:$BX$1,0),FALSE))/$AC361,"")</f>
        <v>0</v>
      </c>
      <c r="BC361" s="77">
        <f>IF($AY361="ja",(VLOOKUP($B361,'Egen hetvattenprod'!$B$1:$BX$550,MATCH(BC$2,'Egen hetvattenprod'!$B$1:$BX$1,0),FALSE)+VLOOKUP($B361,Kraftvärmeprod!$B$1:$BX$550,MATCH(BC$2,Kraftvärmeprod!$B$1:$BX$1,0),FALSE))/$AC361,"")</f>
        <v>0</v>
      </c>
      <c r="BD361" s="77">
        <f>IF($AY361="ja",(VLOOKUP($B361,'Egen hetvattenprod'!$B$1:$BX$550,MATCH(BD$2,'Egen hetvattenprod'!$B$1:$BX$1,0),FALSE)+VLOOKUP($B361,Kraftvärmeprod!$B$1:$BX$550,MATCH(BD$2,Kraftvärmeprod!$B$1:$BX$1,0),FALSE))/$AC361,"")</f>
        <v>0</v>
      </c>
      <c r="BF361" s="63" t="str">
        <f t="shared" si="35"/>
        <v>Nej</v>
      </c>
      <c r="BG361" s="63" t="str">
        <f>IF($BF361="ja",VLOOKUP($B361,'Egen hetvattenprod'!$B$1:$BX$550,MATCH("Andelen klimatgaser med fossilt ursprung för avfall ()",'Egen hetvattenprod'!$B$1:$BX$1,0),FALSE),"")</f>
        <v/>
      </c>
      <c r="BH361" s="63" t="str">
        <f>IF($BF361="ja",VLOOKUP($B361,Kraftvärmeprod!$B$1:$BX$550,MATCH("Andelen klimatgaser med fossilt ursprung för avfall ()",Kraftvärmeprod!$B$1:$BX$1,0),FALSE),"")</f>
        <v/>
      </c>
      <c r="BI361" s="63" t="str">
        <f>IF($BF361="ja",VLOOKUP($B361,'Egen hetvattenprod'!$B$1:$BX$550,MATCH("Avfall (GWh)",'Egen hetvattenprod'!$B$1:$BX$1,0),FALSE),"")</f>
        <v/>
      </c>
      <c r="BJ361" s="63" t="str">
        <f>IF($BF361="ja",VLOOKUP($B361,'Slutlig allokering kvv'!$B$1:$BX$550,MATCH("Avfall (GWh)",'Slutlig allokering kvv'!$B$1:$BX$1,0),FALSE),"")</f>
        <v/>
      </c>
      <c r="BK361" s="63" t="str">
        <f>IF($BF361="ja",VLOOKUP($B361,'Köpt hetvatten'!$B$1:$BX$550,MATCH("Avfall i köpt hetvatten",'Köpt hetvatten'!$B$1:$BX$1,0),FALSE),"")</f>
        <v/>
      </c>
      <c r="BL361" s="63" t="str">
        <f>IF($BF361="ja",VLOOKUP($B361,'Egen hetvattenprod'!$B$1:$BX$550,MATCH("Värde enligt ovan. (%)",'Egen hetvattenprod'!$B$1:$BX$1,0),FALSE),"")</f>
        <v/>
      </c>
      <c r="BM361" s="63" t="str">
        <f>IF($BF361="ja",VLOOKUP($B361,Kraftvärmeprod!$B$1:$BX$550,MATCH("Värde enligt ovan. (%)",Kraftvärmeprod!$B$1:$BX$1,0),FALSE),"")</f>
        <v/>
      </c>
    </row>
    <row r="362" spans="1:65" x14ac:dyDescent="0.45">
      <c r="A362" s="63" t="s">
        <v>48</v>
      </c>
      <c r="B362" s="63" t="s">
        <v>212</v>
      </c>
      <c r="C362" s="63">
        <f>VLOOKUP($B362,'Tillförd energi'!$B$1:$AI$720,MATCH(C$2,'Tillförd energi'!$B$1:$AQ$1,0),FALSE)</f>
        <v>0</v>
      </c>
      <c r="D362" s="63">
        <f>VLOOKUP($B362,'Tillförd energi'!$B$1:$AI$720,MATCH(D$2,'Tillförd energi'!$B$1:$AQ$1,0),FALSE)</f>
        <v>0.91500000000000004</v>
      </c>
      <c r="E362" s="63">
        <f>VLOOKUP($B362,'Tillförd energi'!$B$1:$AI$720,MATCH(E$2,'Tillförd energi'!$B$1:$AQ$1,0),FALSE)</f>
        <v>0</v>
      </c>
      <c r="F362" s="63">
        <f>VLOOKUP($B362,'Tillförd energi'!$B$1:$AI$720,MATCH(F$2,'Tillförd energi'!$B$1:$AQ$1,0),FALSE)</f>
        <v>0.44705899999999998</v>
      </c>
      <c r="G362" s="63">
        <f>VLOOKUP($B362,'Tillförd energi'!$B$1:$AI$720,MATCH(G$2,'Tillförd energi'!$B$1:$AQ$1,0),FALSE)</f>
        <v>0</v>
      </c>
      <c r="H362" s="63">
        <f>VLOOKUP($B362,'Tillförd energi'!$B$1:$AI$720,MATCH(H$2,'Tillförd energi'!$B$1:$AQ$1,0),FALSE)</f>
        <v>0</v>
      </c>
      <c r="I362" s="63">
        <f>VLOOKUP($B362,'Tillförd energi'!$B$1:$AI$720,MATCH(I$2,'Tillförd energi'!$B$1:$AQ$1,0),FALSE)</f>
        <v>0</v>
      </c>
      <c r="J362" s="63">
        <f>VLOOKUP($B362,'Tillförd energi'!$B$1:$AI$720,MATCH(J$2,'Tillförd energi'!$B$1:$AQ$1,0),FALSE)</f>
        <v>0</v>
      </c>
      <c r="K362" s="63">
        <f>VLOOKUP($B362,'Tillförd energi'!$B$1:$AI$720,MATCH(K$2,'Tillförd energi'!$B$1:$AQ$1,0),FALSE)</f>
        <v>0</v>
      </c>
      <c r="L362" s="63">
        <f>VLOOKUP($B362,'Tillförd energi'!$B$1:$AI$720,MATCH(L$2,'Tillförd energi'!$B$1:$AQ$1,0),FALSE)</f>
        <v>0</v>
      </c>
      <c r="M362" s="63">
        <f>VLOOKUP($B362,'Tillförd energi'!$B$1:$AI$720,MATCH(M$2,'Tillförd energi'!$B$1:$AQ$1,0),FALSE)</f>
        <v>0</v>
      </c>
      <c r="N362" s="63">
        <f>VLOOKUP($B362,'Tillförd energi'!$B$1:$AI$720,MATCH(N$2,'Tillförd energi'!$B$1:$AQ$1,0),FALSE)</f>
        <v>0</v>
      </c>
      <c r="O362" s="63">
        <f>VLOOKUP($B362,'Tillförd energi'!$B$1:$AI$720,MATCH(O$2,'Tillförd energi'!$B$1:$AQ$1,0),FALSE)</f>
        <v>0</v>
      </c>
      <c r="P362" s="63">
        <f>VLOOKUP($B362,'Tillförd energi'!$B$1:$AI$720,MATCH(P$2,'Tillförd energi'!$B$1:$AQ$1,0),FALSE)</f>
        <v>0</v>
      </c>
      <c r="Q362" s="63">
        <f>VLOOKUP($B362,'Tillförd energi'!$B$1:$AI$720,MATCH(Q$2,'Tillförd energi'!$B$1:$AQ$1,0),FALSE)</f>
        <v>3.81412</v>
      </c>
      <c r="R362" s="63">
        <f>VLOOKUP($B362,'Tillförd energi'!$B$1:$AI$720,MATCH(R$2,'Tillförd energi'!$B$1:$AQ$1,0),FALSE)</f>
        <v>0</v>
      </c>
      <c r="S362" s="63">
        <f>VLOOKUP($B362,'Tillförd energi'!$B$1:$AI$720,MATCH(S$2,'Tillförd energi'!$B$1:$AQ$1,0),FALSE)</f>
        <v>0</v>
      </c>
      <c r="T362" s="63">
        <f>VLOOKUP($B362,'Tillförd energi'!$B$1:$AI$720,MATCH(T$2,'Tillförd energi'!$B$1:$AQ$1,0),FALSE)</f>
        <v>0</v>
      </c>
      <c r="U362" s="63">
        <f>VLOOKUP($B362,'Tillförd energi'!$B$1:$AI$720,MATCH(U$2,'Tillförd energi'!$B$1:$AQ$1,0),FALSE)</f>
        <v>0</v>
      </c>
      <c r="V362" s="63">
        <f>VLOOKUP($B362,'Tillförd energi'!$B$1:$AI$720,MATCH(V$2,'Tillförd energi'!$B$1:$AQ$1,0),FALSE)</f>
        <v>0</v>
      </c>
      <c r="W362" s="63">
        <f>VLOOKUP($B362,'Tillförd energi'!$B$1:$AI$720,MATCH(W$2,'Tillförd energi'!$B$1:$AQ$1,0),FALSE)</f>
        <v>0</v>
      </c>
      <c r="X362" s="63">
        <f>VLOOKUP($B362,'Tillförd energi'!$B$1:$AI$720,MATCH(X$2,'Tillförd energi'!$B$1:$AQ$1,0),FALSE)</f>
        <v>0</v>
      </c>
      <c r="Y362" s="63">
        <f>VLOOKUP($B362,'Tillförd energi'!$B$1:$AI$720,MATCH(Y$2,'Tillförd energi'!$B$1:$AQ$1,0),FALSE)</f>
        <v>0</v>
      </c>
      <c r="Z362" s="63">
        <f>VLOOKUP($B362,'Tillförd energi'!$B$1:$AI$720,MATCH(Z$2,'Tillförd energi'!$B$1:$AQ$1,0),FALSE)</f>
        <v>0</v>
      </c>
      <c r="AA362" s="63">
        <f>VLOOKUP($B362,'Tillförd energi'!$B$1:$AI$720,MATCH(AA$2,'Tillförd energi'!$B$1:$AQ$1,0),FALSE)</f>
        <v>0</v>
      </c>
      <c r="AB362" s="63">
        <f>VLOOKUP($B362,'Tillförd energi'!$B$1:$AI$720,MATCH(AB$2,'Tillförd energi'!$B$1:$AQ$1,0),FALSE)</f>
        <v>0</v>
      </c>
      <c r="AC362" s="63">
        <f>VLOOKUP($B362,'Tillförd energi'!$B$1:$AI$720,MATCH(AC$2,'Tillförd energi'!$B$1:$AQ$1,0),FALSE)</f>
        <v>0</v>
      </c>
      <c r="AD362" s="63">
        <f>VLOOKUP($B362,'Tillförd energi'!$B$1:$AI$720,MATCH(AD$2,'Tillförd energi'!$B$1:$AQ$1,0),FALSE)</f>
        <v>12.813000000000001</v>
      </c>
      <c r="AE362" s="63">
        <f>VLOOKUP($B362,'Tillförd energi'!$B$1:$AI$720,MATCH(AE$2,'Tillförd energi'!$B$1:$AQ$1,0),FALSE)</f>
        <v>0</v>
      </c>
      <c r="AF362" s="63">
        <f>VLOOKUP($B362,'Tillförd energi'!$B$1:$AI$720,MATCH(AF$2,'Tillförd energi'!$B$1:$AQ$1,0),FALSE)</f>
        <v>3.9E-2</v>
      </c>
      <c r="AG362" s="63">
        <f>IFERROR(VLOOKUP(B362,Miljö!$B$1:$AC$550,MATCH("Köpt mängd produktionsspecifik fjärrvärme:",Miljö!$B$1:$AC$1,0),FALSE)/1,0)</f>
        <v>0</v>
      </c>
      <c r="AI362" s="63">
        <f t="shared" si="30"/>
        <v>18.028179000000002</v>
      </c>
      <c r="AJ362" s="63">
        <f>IF(ISERROR(1/VLOOKUP($B362,Leveranser!$B$1:$S$500,MATCH("såld värme (gwh)",Leveranser!$B$1:$S$1,0),FALSE)),"",VLOOKUP($B362,Leveranser!$B$1:$S$500,MATCH("såld värme (gwh)",Leveranser!$B$1:$S$1,0),FALSE))</f>
        <v>15.672000000000001</v>
      </c>
      <c r="AM362" s="63" t="str">
        <f>IF(B362&lt;&gt;"",IF(VLOOKUP($B362,Totalt!$B$1:$AQ$554,MATCH("Kvalitetsgranskad:",Totalt!$B$1:$AQ$1,0),FALSE)="ja",VLOOKUP($B362,Miljö!$B$1:$AG$479,MATCH(AM$2,Miljö!$B$1:$AK$1,0),FALSE),""),"")</f>
        <v>Ja</v>
      </c>
      <c r="AN362" s="63" t="str">
        <f>IF(AM362="ja",VLOOKUP($B362,Miljö!$B$1:$J$479,MATCH("Typ av ursprungsspecificerad el   (Om inget värde anges används Nordisk residualmix, se inforuta) ()",Miljö!$B$1:$J$1,0),FALSE),IF(AM362="nej","Nordisk residualel",""))</f>
        <v>'Bio energi'</v>
      </c>
      <c r="AO362" s="63">
        <f>IF(AM362="","",VLOOKUP($B362,Miljö!$B$1:$J$479,MATCH("Fossilandel för ursprungspecificerad el ()",Miljö!$B$1:$J$1,0),FALSE))</f>
        <v>0</v>
      </c>
      <c r="AQ362" s="63">
        <f t="shared" si="31"/>
        <v>1</v>
      </c>
      <c r="AS362" s="63" t="str">
        <f t="shared" si="32"/>
        <v>Nej</v>
      </c>
      <c r="AT362" s="63" t="str">
        <f>IF(AS362="ja",VLOOKUP($B362,Miljö!$B$1:$P$500,MATCH("Fossil andel i procent (%)",Miljö!$B$1:$P$1,0),FALSE)/100,"")</f>
        <v/>
      </c>
      <c r="AV362" s="63" t="str">
        <f t="shared" si="33"/>
        <v>Nej</v>
      </c>
      <c r="AW362" s="63" t="str">
        <f>IF(AV362="ja",VLOOKUP($B362,'Egen hetvattenprod'!$B$1:$AO$500,MATCH("Värmekälla till värmepumpar ()",'Egen hetvattenprod'!$B$1:$AO$1,0),FALSE),"")</f>
        <v/>
      </c>
      <c r="AY362" s="63" t="str">
        <f t="shared" si="34"/>
        <v>Nej</v>
      </c>
      <c r="AZ362" s="77" t="str">
        <f>IF($AY362="ja",(VLOOKUP($B362,'Egen hetvattenprod'!$B$1:$BX$550,MATCH(AZ$2,'Egen hetvattenprod'!$B$1:$BX$1,0),FALSE)+VLOOKUP($B362,Kraftvärmeprod!$B$1:$BX$550,MATCH(AZ$2,Kraftvärmeprod!$B$1:$BX$1,0),FALSE))/$AC362,"")</f>
        <v/>
      </c>
      <c r="BA362" s="77" t="str">
        <f>IF($AY362="ja",(VLOOKUP($B362,'Egen hetvattenprod'!$B$1:$BX$550,MATCH(BA$2,'Egen hetvattenprod'!$B$1:$BX$1,0),FALSE)+VLOOKUP($B362,Kraftvärmeprod!$B$1:$BX$550,MATCH(BA$2,Kraftvärmeprod!$B$1:$BX$1,0),FALSE))/$AC362,"")</f>
        <v/>
      </c>
      <c r="BB362" s="77" t="str">
        <f>IF($AY362="ja",(VLOOKUP($B362,'Egen hetvattenprod'!$B$1:$BX$550,MATCH(BB$2,'Egen hetvattenprod'!$B$1:$BX$1,0),FALSE)+VLOOKUP($B362,Kraftvärmeprod!$B$1:$BX$550,MATCH(BB$2,Kraftvärmeprod!$B$1:$BX$1,0),FALSE))/$AC362,"")</f>
        <v/>
      </c>
      <c r="BC362" s="77" t="str">
        <f>IF($AY362="ja",(VLOOKUP($B362,'Egen hetvattenprod'!$B$1:$BX$550,MATCH(BC$2,'Egen hetvattenprod'!$B$1:$BX$1,0),FALSE)+VLOOKUP($B362,Kraftvärmeprod!$B$1:$BX$550,MATCH(BC$2,Kraftvärmeprod!$B$1:$BX$1,0),FALSE))/$AC362,"")</f>
        <v/>
      </c>
      <c r="BD362" s="77" t="str">
        <f>IF($AY362="ja",(VLOOKUP($B362,'Egen hetvattenprod'!$B$1:$BX$550,MATCH(BD$2,'Egen hetvattenprod'!$B$1:$BX$1,0),FALSE)+VLOOKUP($B362,Kraftvärmeprod!$B$1:$BX$550,MATCH(BD$2,Kraftvärmeprod!$B$1:$BX$1,0),FALSE))/$AC362,"")</f>
        <v/>
      </c>
      <c r="BF362" s="63" t="str">
        <f t="shared" si="35"/>
        <v>Nej</v>
      </c>
      <c r="BG362" s="63" t="str">
        <f>IF($BF362="ja",VLOOKUP($B362,'Egen hetvattenprod'!$B$1:$BX$550,MATCH("Andelen klimatgaser med fossilt ursprung för avfall ()",'Egen hetvattenprod'!$B$1:$BX$1,0),FALSE),"")</f>
        <v/>
      </c>
      <c r="BH362" s="63" t="str">
        <f>IF($BF362="ja",VLOOKUP($B362,Kraftvärmeprod!$B$1:$BX$550,MATCH("Andelen klimatgaser med fossilt ursprung för avfall ()",Kraftvärmeprod!$B$1:$BX$1,0),FALSE),"")</f>
        <v/>
      </c>
      <c r="BI362" s="63" t="str">
        <f>IF($BF362="ja",VLOOKUP($B362,'Egen hetvattenprod'!$B$1:$BX$550,MATCH("Avfall (GWh)",'Egen hetvattenprod'!$B$1:$BX$1,0),FALSE),"")</f>
        <v/>
      </c>
      <c r="BJ362" s="63" t="str">
        <f>IF($BF362="ja",VLOOKUP($B362,'Slutlig allokering kvv'!$B$1:$BX$550,MATCH("Avfall (GWh)",'Slutlig allokering kvv'!$B$1:$BX$1,0),FALSE),"")</f>
        <v/>
      </c>
      <c r="BK362" s="63" t="str">
        <f>IF($BF362="ja",VLOOKUP($B362,'Köpt hetvatten'!$B$1:$BX$550,MATCH("Avfall i köpt hetvatten",'Köpt hetvatten'!$B$1:$BX$1,0),FALSE),"")</f>
        <v/>
      </c>
      <c r="BL362" s="63" t="str">
        <f>IF($BF362="ja",VLOOKUP($B362,'Egen hetvattenprod'!$B$1:$BX$550,MATCH("Värde enligt ovan. (%)",'Egen hetvattenprod'!$B$1:$BX$1,0),FALSE),"")</f>
        <v/>
      </c>
      <c r="BM362" s="63" t="str">
        <f>IF($BF362="ja",VLOOKUP($B362,Kraftvärmeprod!$B$1:$BX$550,MATCH("Värde enligt ovan. (%)",Kraftvärmeprod!$B$1:$BX$1,0),FALSE),"")</f>
        <v/>
      </c>
    </row>
    <row r="363" spans="1:65" x14ac:dyDescent="0.45">
      <c r="A363" s="63" t="s">
        <v>48</v>
      </c>
      <c r="B363" s="63" t="s">
        <v>211</v>
      </c>
      <c r="C363" s="63">
        <f>VLOOKUP($B363,'Tillförd energi'!$B$1:$AI$720,MATCH(C$2,'Tillförd energi'!$B$1:$AQ$1,0),FALSE)</f>
        <v>0</v>
      </c>
      <c r="D363" s="63">
        <f>VLOOKUP($B363,'Tillförd energi'!$B$1:$AI$720,MATCH(D$2,'Tillförd energi'!$B$1:$AQ$1,0),FALSE)</f>
        <v>0.27200000000000002</v>
      </c>
      <c r="E363" s="63">
        <f>VLOOKUP($B363,'Tillförd energi'!$B$1:$AI$720,MATCH(E$2,'Tillförd energi'!$B$1:$AQ$1,0),FALSE)</f>
        <v>0</v>
      </c>
      <c r="F363" s="63">
        <f>VLOOKUP($B363,'Tillförd energi'!$B$1:$AI$720,MATCH(F$2,'Tillförd energi'!$B$1:$AQ$1,0),FALSE)</f>
        <v>0</v>
      </c>
      <c r="G363" s="63">
        <f>VLOOKUP($B363,'Tillförd energi'!$B$1:$AI$720,MATCH(G$2,'Tillförd energi'!$B$1:$AQ$1,0),FALSE)</f>
        <v>0</v>
      </c>
      <c r="H363" s="63">
        <f>VLOOKUP($B363,'Tillförd energi'!$B$1:$AI$720,MATCH(H$2,'Tillförd energi'!$B$1:$AQ$1,0),FALSE)</f>
        <v>0</v>
      </c>
      <c r="I363" s="63">
        <f>VLOOKUP($B363,'Tillförd energi'!$B$1:$AI$720,MATCH(I$2,'Tillförd energi'!$B$1:$AQ$1,0),FALSE)</f>
        <v>0</v>
      </c>
      <c r="J363" s="63">
        <f>VLOOKUP($B363,'Tillförd energi'!$B$1:$AI$720,MATCH(J$2,'Tillförd energi'!$B$1:$AQ$1,0),FALSE)</f>
        <v>0</v>
      </c>
      <c r="K363" s="63">
        <f>VLOOKUP($B363,'Tillförd energi'!$B$1:$AI$720,MATCH(K$2,'Tillförd energi'!$B$1:$AQ$1,0),FALSE)</f>
        <v>0</v>
      </c>
      <c r="L363" s="63">
        <f>VLOOKUP($B363,'Tillförd energi'!$B$1:$AI$720,MATCH(L$2,'Tillförd energi'!$B$1:$AQ$1,0),FALSE)</f>
        <v>0</v>
      </c>
      <c r="M363" s="63">
        <f>VLOOKUP($B363,'Tillförd energi'!$B$1:$AI$720,MATCH(M$2,'Tillförd energi'!$B$1:$AQ$1,0),FALSE)</f>
        <v>0</v>
      </c>
      <c r="N363" s="63">
        <f>VLOOKUP($B363,'Tillförd energi'!$B$1:$AI$720,MATCH(N$2,'Tillförd energi'!$B$1:$AQ$1,0),FALSE)</f>
        <v>0</v>
      </c>
      <c r="O363" s="63">
        <f>VLOOKUP($B363,'Tillförd energi'!$B$1:$AI$720,MATCH(O$2,'Tillförd energi'!$B$1:$AQ$1,0),FALSE)</f>
        <v>0</v>
      </c>
      <c r="P363" s="63">
        <f>VLOOKUP($B363,'Tillförd energi'!$B$1:$AI$720,MATCH(P$2,'Tillförd energi'!$B$1:$AQ$1,0),FALSE)</f>
        <v>0</v>
      </c>
      <c r="Q363" s="63">
        <f>VLOOKUP($B363,'Tillförd energi'!$B$1:$AI$720,MATCH(Q$2,'Tillförd energi'!$B$1:$AQ$1,0),FALSE)</f>
        <v>13.792999999999999</v>
      </c>
      <c r="R363" s="63">
        <f>VLOOKUP($B363,'Tillförd energi'!$B$1:$AI$720,MATCH(R$2,'Tillförd energi'!$B$1:$AQ$1,0),FALSE)</f>
        <v>0</v>
      </c>
      <c r="S363" s="63">
        <f>VLOOKUP($B363,'Tillförd energi'!$B$1:$AI$720,MATCH(S$2,'Tillförd energi'!$B$1:$AQ$1,0),FALSE)</f>
        <v>0.46</v>
      </c>
      <c r="T363" s="63">
        <f>VLOOKUP($B363,'Tillförd energi'!$B$1:$AI$720,MATCH(T$2,'Tillförd energi'!$B$1:$AQ$1,0),FALSE)</f>
        <v>0</v>
      </c>
      <c r="U363" s="63">
        <f>VLOOKUP($B363,'Tillförd energi'!$B$1:$AI$720,MATCH(U$2,'Tillförd energi'!$B$1:$AQ$1,0),FALSE)</f>
        <v>0</v>
      </c>
      <c r="V363" s="63">
        <f>VLOOKUP($B363,'Tillförd energi'!$B$1:$AI$720,MATCH(V$2,'Tillförd energi'!$B$1:$AQ$1,0),FALSE)</f>
        <v>0</v>
      </c>
      <c r="W363" s="63">
        <f>VLOOKUP($B363,'Tillförd energi'!$B$1:$AI$720,MATCH(W$2,'Tillförd energi'!$B$1:$AQ$1,0),FALSE)</f>
        <v>0</v>
      </c>
      <c r="X363" s="63">
        <f>VLOOKUP($B363,'Tillförd energi'!$B$1:$AI$720,MATCH(X$2,'Tillförd energi'!$B$1:$AQ$1,0),FALSE)</f>
        <v>0</v>
      </c>
      <c r="Y363" s="63">
        <f>VLOOKUP($B363,'Tillförd energi'!$B$1:$AI$720,MATCH(Y$2,'Tillförd energi'!$B$1:$AQ$1,0),FALSE)</f>
        <v>0</v>
      </c>
      <c r="Z363" s="63">
        <f>VLOOKUP($B363,'Tillförd energi'!$B$1:$AI$720,MATCH(Z$2,'Tillförd energi'!$B$1:$AQ$1,0),FALSE)</f>
        <v>0</v>
      </c>
      <c r="AA363" s="63">
        <f>VLOOKUP($B363,'Tillförd energi'!$B$1:$AI$720,MATCH(AA$2,'Tillförd energi'!$B$1:$AQ$1,0),FALSE)</f>
        <v>0</v>
      </c>
      <c r="AB363" s="63">
        <f>VLOOKUP($B363,'Tillförd energi'!$B$1:$AI$720,MATCH(AB$2,'Tillförd energi'!$B$1:$AQ$1,0),FALSE)</f>
        <v>0</v>
      </c>
      <c r="AC363" s="63">
        <f>VLOOKUP($B363,'Tillförd energi'!$B$1:$AI$720,MATCH(AC$2,'Tillförd energi'!$B$1:$AQ$1,0),FALSE)</f>
        <v>0</v>
      </c>
      <c r="AD363" s="63">
        <f>VLOOKUP($B363,'Tillförd energi'!$B$1:$AI$720,MATCH(AD$2,'Tillförd energi'!$B$1:$AQ$1,0),FALSE)</f>
        <v>0</v>
      </c>
      <c r="AE363" s="63">
        <f>VLOOKUP($B363,'Tillförd energi'!$B$1:$AI$720,MATCH(AE$2,'Tillförd energi'!$B$1:$AQ$1,0),FALSE)</f>
        <v>0</v>
      </c>
      <c r="AF363" s="63">
        <f>VLOOKUP($B363,'Tillförd energi'!$B$1:$AI$720,MATCH(AF$2,'Tillförd energi'!$B$1:$AQ$1,0),FALSE)</f>
        <v>0.32900000000000001</v>
      </c>
      <c r="AG363" s="63">
        <f>IFERROR(VLOOKUP(B363,Miljö!$B$1:$AC$550,MATCH("Köpt mängd produktionsspecifik fjärrvärme:",Miljö!$B$1:$AC$1,0),FALSE)/1,0)</f>
        <v>0</v>
      </c>
      <c r="AI363" s="63">
        <f t="shared" si="30"/>
        <v>14.854000000000001</v>
      </c>
      <c r="AJ363" s="63">
        <f>IF(ISERROR(1/VLOOKUP($B363,Leveranser!$B$1:$S$500,MATCH("såld värme (gwh)",Leveranser!$B$1:$S$1,0),FALSE)),"",VLOOKUP($B363,Leveranser!$B$1:$S$500,MATCH("såld värme (gwh)",Leveranser!$B$1:$S$1,0),FALSE))</f>
        <v>10.991</v>
      </c>
      <c r="AM363" s="63" t="str">
        <f>IF(B363&lt;&gt;"",IF(VLOOKUP($B363,Totalt!$B$1:$AQ$554,MATCH("Kvalitetsgranskad:",Totalt!$B$1:$AQ$1,0),FALSE)="ja",VLOOKUP($B363,Miljö!$B$1:$AG$479,MATCH(AM$2,Miljö!$B$1:$AK$1,0),FALSE),""),"")</f>
        <v>Ja</v>
      </c>
      <c r="AN363" s="63" t="str">
        <f>IF(AM363="ja",VLOOKUP($B363,Miljö!$B$1:$J$479,MATCH("Typ av ursprungsspecificerad el   (Om inget värde anges används Nordisk residualmix, se inforuta) ()",Miljö!$B$1:$J$1,0),FALSE),IF(AM363="nej","Nordisk residualel",""))</f>
        <v>'Bio energi'</v>
      </c>
      <c r="AO363" s="63">
        <f>IF(AM363="","",VLOOKUP($B363,Miljö!$B$1:$J$479,MATCH("Fossilandel för ursprungspecificerad el ()",Miljö!$B$1:$J$1,0),FALSE))</f>
        <v>0</v>
      </c>
      <c r="AQ363" s="63">
        <f t="shared" si="31"/>
        <v>1</v>
      </c>
      <c r="AS363" s="63" t="str">
        <f t="shared" si="32"/>
        <v>Nej</v>
      </c>
      <c r="AT363" s="63" t="str">
        <f>IF(AS363="ja",VLOOKUP($B363,Miljö!$B$1:$P$500,MATCH("Fossil andel i procent (%)",Miljö!$B$1:$P$1,0),FALSE)/100,"")</f>
        <v/>
      </c>
      <c r="AV363" s="63" t="str">
        <f t="shared" si="33"/>
        <v>Nej</v>
      </c>
      <c r="AW363" s="63" t="str">
        <f>IF(AV363="ja",VLOOKUP($B363,'Egen hetvattenprod'!$B$1:$AO$500,MATCH("Värmekälla till värmepumpar ()",'Egen hetvattenprod'!$B$1:$AO$1,0),FALSE),"")</f>
        <v/>
      </c>
      <c r="AY363" s="63" t="str">
        <f t="shared" si="34"/>
        <v>Nej</v>
      </c>
      <c r="AZ363" s="77" t="str">
        <f>IF($AY363="ja",(VLOOKUP($B363,'Egen hetvattenprod'!$B$1:$BX$550,MATCH(AZ$2,'Egen hetvattenprod'!$B$1:$BX$1,0),FALSE)+VLOOKUP($B363,Kraftvärmeprod!$B$1:$BX$550,MATCH(AZ$2,Kraftvärmeprod!$B$1:$BX$1,0),FALSE))/$AC363,"")</f>
        <v/>
      </c>
      <c r="BA363" s="77" t="str">
        <f>IF($AY363="ja",(VLOOKUP($B363,'Egen hetvattenprod'!$B$1:$BX$550,MATCH(BA$2,'Egen hetvattenprod'!$B$1:$BX$1,0),FALSE)+VLOOKUP($B363,Kraftvärmeprod!$B$1:$BX$550,MATCH(BA$2,Kraftvärmeprod!$B$1:$BX$1,0),FALSE))/$AC363,"")</f>
        <v/>
      </c>
      <c r="BB363" s="77" t="str">
        <f>IF($AY363="ja",(VLOOKUP($B363,'Egen hetvattenprod'!$B$1:$BX$550,MATCH(BB$2,'Egen hetvattenprod'!$B$1:$BX$1,0),FALSE)+VLOOKUP($B363,Kraftvärmeprod!$B$1:$BX$550,MATCH(BB$2,Kraftvärmeprod!$B$1:$BX$1,0),FALSE))/$AC363,"")</f>
        <v/>
      </c>
      <c r="BC363" s="77" t="str">
        <f>IF($AY363="ja",(VLOOKUP($B363,'Egen hetvattenprod'!$B$1:$BX$550,MATCH(BC$2,'Egen hetvattenprod'!$B$1:$BX$1,0),FALSE)+VLOOKUP($B363,Kraftvärmeprod!$B$1:$BX$550,MATCH(BC$2,Kraftvärmeprod!$B$1:$BX$1,0),FALSE))/$AC363,"")</f>
        <v/>
      </c>
      <c r="BD363" s="77" t="str">
        <f>IF($AY363="ja",(VLOOKUP($B363,'Egen hetvattenprod'!$B$1:$BX$550,MATCH(BD$2,'Egen hetvattenprod'!$B$1:$BX$1,0),FALSE)+VLOOKUP($B363,Kraftvärmeprod!$B$1:$BX$550,MATCH(BD$2,Kraftvärmeprod!$B$1:$BX$1,0),FALSE))/$AC363,"")</f>
        <v/>
      </c>
      <c r="BF363" s="63" t="str">
        <f t="shared" si="35"/>
        <v>Nej</v>
      </c>
      <c r="BG363" s="63" t="str">
        <f>IF($BF363="ja",VLOOKUP($B363,'Egen hetvattenprod'!$B$1:$BX$550,MATCH("Andelen klimatgaser med fossilt ursprung för avfall ()",'Egen hetvattenprod'!$B$1:$BX$1,0),FALSE),"")</f>
        <v/>
      </c>
      <c r="BH363" s="63" t="str">
        <f>IF($BF363="ja",VLOOKUP($B363,Kraftvärmeprod!$B$1:$BX$550,MATCH("Andelen klimatgaser med fossilt ursprung för avfall ()",Kraftvärmeprod!$B$1:$BX$1,0),FALSE),"")</f>
        <v/>
      </c>
      <c r="BI363" s="63" t="str">
        <f>IF($BF363="ja",VLOOKUP($B363,'Egen hetvattenprod'!$B$1:$BX$550,MATCH("Avfall (GWh)",'Egen hetvattenprod'!$B$1:$BX$1,0),FALSE),"")</f>
        <v/>
      </c>
      <c r="BJ363" s="63" t="str">
        <f>IF($BF363="ja",VLOOKUP($B363,'Slutlig allokering kvv'!$B$1:$BX$550,MATCH("Avfall (GWh)",'Slutlig allokering kvv'!$B$1:$BX$1,0),FALSE),"")</f>
        <v/>
      </c>
      <c r="BK363" s="63" t="str">
        <f>IF($BF363="ja",VLOOKUP($B363,'Köpt hetvatten'!$B$1:$BX$550,MATCH("Avfall i köpt hetvatten",'Köpt hetvatten'!$B$1:$BX$1,0),FALSE),"")</f>
        <v/>
      </c>
      <c r="BL363" s="63" t="str">
        <f>IF($BF363="ja",VLOOKUP($B363,'Egen hetvattenprod'!$B$1:$BX$550,MATCH("Värde enligt ovan. (%)",'Egen hetvattenprod'!$B$1:$BX$1,0),FALSE),"")</f>
        <v/>
      </c>
      <c r="BM363" s="63" t="str">
        <f>IF($BF363="ja",VLOOKUP($B363,Kraftvärmeprod!$B$1:$BX$550,MATCH("Värde enligt ovan. (%)",Kraftvärmeprod!$B$1:$BX$1,0),FALSE),"")</f>
        <v/>
      </c>
    </row>
    <row r="364" spans="1:65" x14ac:dyDescent="0.45">
      <c r="A364" s="63" t="s">
        <v>48</v>
      </c>
      <c r="B364" s="63" t="s">
        <v>210</v>
      </c>
      <c r="C364" s="63">
        <f>VLOOKUP($B364,'Tillförd energi'!$B$1:$AI$720,MATCH(C$2,'Tillförd energi'!$B$1:$AQ$1,0),FALSE)</f>
        <v>0</v>
      </c>
      <c r="D364" s="63">
        <f>VLOOKUP($B364,'Tillförd energi'!$B$1:$AI$720,MATCH(D$2,'Tillförd energi'!$B$1:$AQ$1,0),FALSE)</f>
        <v>1.639</v>
      </c>
      <c r="E364" s="63">
        <f>VLOOKUP($B364,'Tillförd energi'!$B$1:$AI$720,MATCH(E$2,'Tillförd energi'!$B$1:$AQ$1,0),FALSE)</f>
        <v>0</v>
      </c>
      <c r="F364" s="63">
        <f>VLOOKUP($B364,'Tillförd energi'!$B$1:$AI$720,MATCH(F$2,'Tillförd energi'!$B$1:$AQ$1,0),FALSE)</f>
        <v>0</v>
      </c>
      <c r="G364" s="63">
        <f>VLOOKUP($B364,'Tillförd energi'!$B$1:$AI$720,MATCH(G$2,'Tillförd energi'!$B$1:$AQ$1,0),FALSE)</f>
        <v>0</v>
      </c>
      <c r="H364" s="63">
        <f>VLOOKUP($B364,'Tillförd energi'!$B$1:$AI$720,MATCH(H$2,'Tillförd energi'!$B$1:$AQ$1,0),FALSE)</f>
        <v>0</v>
      </c>
      <c r="I364" s="63">
        <f>VLOOKUP($B364,'Tillförd energi'!$B$1:$AI$720,MATCH(I$2,'Tillförd energi'!$B$1:$AQ$1,0),FALSE)</f>
        <v>0</v>
      </c>
      <c r="J364" s="63">
        <f>VLOOKUP($B364,'Tillförd energi'!$B$1:$AI$720,MATCH(J$2,'Tillförd energi'!$B$1:$AQ$1,0),FALSE)</f>
        <v>0</v>
      </c>
      <c r="K364" s="63">
        <f>VLOOKUP($B364,'Tillförd energi'!$B$1:$AI$720,MATCH(K$2,'Tillförd energi'!$B$1:$AQ$1,0),FALSE)</f>
        <v>0</v>
      </c>
      <c r="L364" s="63">
        <f>VLOOKUP($B364,'Tillförd energi'!$B$1:$AI$720,MATCH(L$2,'Tillförd energi'!$B$1:$AQ$1,0),FALSE)</f>
        <v>0</v>
      </c>
      <c r="M364" s="63">
        <f>VLOOKUP($B364,'Tillförd energi'!$B$1:$AI$720,MATCH(M$2,'Tillförd energi'!$B$1:$AQ$1,0),FALSE)</f>
        <v>48.359000000000002</v>
      </c>
      <c r="N364" s="63">
        <f>VLOOKUP($B364,'Tillförd energi'!$B$1:$AI$720,MATCH(N$2,'Tillförd energi'!$B$1:$AQ$1,0),FALSE)</f>
        <v>47.363</v>
      </c>
      <c r="O364" s="63">
        <f>VLOOKUP($B364,'Tillförd energi'!$B$1:$AI$720,MATCH(O$2,'Tillförd energi'!$B$1:$AQ$1,0),FALSE)</f>
        <v>0</v>
      </c>
      <c r="P364" s="63">
        <f>VLOOKUP($B364,'Tillförd energi'!$B$1:$AI$720,MATCH(P$2,'Tillförd energi'!$B$1:$AQ$1,0),FALSE)</f>
        <v>2.8479999999999999</v>
      </c>
      <c r="Q364" s="63">
        <f>VLOOKUP($B364,'Tillförd energi'!$B$1:$AI$720,MATCH(Q$2,'Tillförd energi'!$B$1:$AQ$1,0),FALSE)</f>
        <v>0</v>
      </c>
      <c r="R364" s="63">
        <f>VLOOKUP($B364,'Tillförd energi'!$B$1:$AI$720,MATCH(R$2,'Tillförd energi'!$B$1:$AQ$1,0),FALSE)</f>
        <v>0</v>
      </c>
      <c r="S364" s="63">
        <f>VLOOKUP($B364,'Tillförd energi'!$B$1:$AI$720,MATCH(S$2,'Tillförd energi'!$B$1:$AQ$1,0),FALSE)</f>
        <v>0</v>
      </c>
      <c r="T364" s="63">
        <f>VLOOKUP($B364,'Tillförd energi'!$B$1:$AI$720,MATCH(T$2,'Tillförd energi'!$B$1:$AQ$1,0),FALSE)</f>
        <v>0</v>
      </c>
      <c r="U364" s="63">
        <f>VLOOKUP($B364,'Tillförd energi'!$B$1:$AI$720,MATCH(U$2,'Tillförd energi'!$B$1:$AQ$1,0),FALSE)</f>
        <v>0</v>
      </c>
      <c r="V364" s="63">
        <f>VLOOKUP($B364,'Tillförd energi'!$B$1:$AI$720,MATCH(V$2,'Tillförd energi'!$B$1:$AQ$1,0),FALSE)</f>
        <v>0</v>
      </c>
      <c r="W364" s="63">
        <f>VLOOKUP($B364,'Tillförd energi'!$B$1:$AI$720,MATCH(W$2,'Tillförd energi'!$B$1:$AQ$1,0),FALSE)</f>
        <v>0</v>
      </c>
      <c r="X364" s="63">
        <f>VLOOKUP($B364,'Tillförd energi'!$B$1:$AI$720,MATCH(X$2,'Tillförd energi'!$B$1:$AQ$1,0),FALSE)</f>
        <v>0</v>
      </c>
      <c r="Y364" s="63">
        <f>VLOOKUP($B364,'Tillförd energi'!$B$1:$AI$720,MATCH(Y$2,'Tillförd energi'!$B$1:$AQ$1,0),FALSE)</f>
        <v>0</v>
      </c>
      <c r="Z364" s="63">
        <f>VLOOKUP($B364,'Tillförd energi'!$B$1:$AI$720,MATCH(Z$2,'Tillförd energi'!$B$1:$AQ$1,0),FALSE)</f>
        <v>0</v>
      </c>
      <c r="AA364" s="63">
        <f>VLOOKUP($B364,'Tillförd energi'!$B$1:$AI$720,MATCH(AA$2,'Tillförd energi'!$B$1:$AQ$1,0),FALSE)</f>
        <v>0</v>
      </c>
      <c r="AB364" s="63">
        <f>VLOOKUP($B364,'Tillförd energi'!$B$1:$AI$720,MATCH(AB$2,'Tillförd energi'!$B$1:$AQ$1,0),FALSE)</f>
        <v>0</v>
      </c>
      <c r="AC364" s="63">
        <f>VLOOKUP($B364,'Tillförd energi'!$B$1:$AI$720,MATCH(AC$2,'Tillförd energi'!$B$1:$AQ$1,0),FALSE)</f>
        <v>24.856999999999999</v>
      </c>
      <c r="AD364" s="63">
        <f>VLOOKUP($B364,'Tillförd energi'!$B$1:$AI$720,MATCH(AD$2,'Tillförd energi'!$B$1:$AQ$1,0),FALSE)</f>
        <v>0</v>
      </c>
      <c r="AE364" s="63">
        <f>VLOOKUP($B364,'Tillförd energi'!$B$1:$AI$720,MATCH(AE$2,'Tillförd energi'!$B$1:$AQ$1,0),FALSE)</f>
        <v>0</v>
      </c>
      <c r="AF364" s="63">
        <f>VLOOKUP($B364,'Tillförd energi'!$B$1:$AI$720,MATCH(AF$2,'Tillförd energi'!$B$1:$AQ$1,0),FALSE)</f>
        <v>2.5009999999999999</v>
      </c>
      <c r="AG364" s="63">
        <f>IFERROR(VLOOKUP(B364,Miljö!$B$1:$AC$550,MATCH("Köpt mängd produktionsspecifik fjärrvärme:",Miljö!$B$1:$AC$1,0),FALSE)/1,0)</f>
        <v>0</v>
      </c>
      <c r="AI364" s="63">
        <f t="shared" si="30"/>
        <v>127.56700000000001</v>
      </c>
      <c r="AJ364" s="63">
        <f>IF(ISERROR(1/VLOOKUP($B364,Leveranser!$B$1:$S$500,MATCH("såld värme (gwh)",Leveranser!$B$1:$S$1,0),FALSE)),"",VLOOKUP($B364,Leveranser!$B$1:$S$500,MATCH("såld värme (gwh)",Leveranser!$B$1:$S$1,0),FALSE))</f>
        <v>89.936000000000007</v>
      </c>
      <c r="AM364" s="63" t="str">
        <f>IF(B364&lt;&gt;"",IF(VLOOKUP($B364,Totalt!$B$1:$AQ$554,MATCH("Kvalitetsgranskad:",Totalt!$B$1:$AQ$1,0),FALSE)="ja",VLOOKUP($B364,Miljö!$B$1:$AG$479,MATCH(AM$2,Miljö!$B$1:$AK$1,0),FALSE),""),"")</f>
        <v>Ja</v>
      </c>
      <c r="AN364" s="63" t="str">
        <f>IF(AM364="ja",VLOOKUP($B364,Miljö!$B$1:$J$479,MATCH("Typ av ursprungsspecificerad el   (Om inget värde anges används Nordisk residualmix, se inforuta) ()",Miljö!$B$1:$J$1,0),FALSE),IF(AM364="nej","Nordisk residualel",""))</f>
        <v>'Bio energi'</v>
      </c>
      <c r="AO364" s="63">
        <f>IF(AM364="","",VLOOKUP($B364,Miljö!$B$1:$J$479,MATCH("Fossilandel för ursprungspecificerad el ()",Miljö!$B$1:$J$1,0),FALSE))</f>
        <v>0</v>
      </c>
      <c r="AQ364" s="63">
        <f t="shared" si="31"/>
        <v>1</v>
      </c>
      <c r="AS364" s="63" t="str">
        <f t="shared" si="32"/>
        <v>Nej</v>
      </c>
      <c r="AT364" s="63" t="str">
        <f>IF(AS364="ja",VLOOKUP($B364,Miljö!$B$1:$P$500,MATCH("Fossil andel i procent (%)",Miljö!$B$1:$P$1,0),FALSE)/100,"")</f>
        <v/>
      </c>
      <c r="AV364" s="63" t="str">
        <f t="shared" si="33"/>
        <v>Nej</v>
      </c>
      <c r="AW364" s="63" t="str">
        <f>IF(AV364="ja",VLOOKUP($B364,'Egen hetvattenprod'!$B$1:$AO$500,MATCH("Värmekälla till värmepumpar ()",'Egen hetvattenprod'!$B$1:$AO$1,0),FALSE),"")</f>
        <v/>
      </c>
      <c r="AY364" s="63" t="str">
        <f t="shared" si="34"/>
        <v>Ja</v>
      </c>
      <c r="AZ364" s="77">
        <f>IF($AY364="ja",(VLOOKUP($B364,'Egen hetvattenprod'!$B$1:$BX$550,MATCH(AZ$2,'Egen hetvattenprod'!$B$1:$BX$1,0),FALSE)+VLOOKUP($B364,Kraftvärmeprod!$B$1:$BX$550,MATCH(AZ$2,Kraftvärmeprod!$B$1:$BX$1,0),FALSE))/$AC364,"")</f>
        <v>1</v>
      </c>
      <c r="BA364" s="77">
        <f>IF($AY364="ja",(VLOOKUP($B364,'Egen hetvattenprod'!$B$1:$BX$550,MATCH(BA$2,'Egen hetvattenprod'!$B$1:$BX$1,0),FALSE)+VLOOKUP($B364,Kraftvärmeprod!$B$1:$BX$550,MATCH(BA$2,Kraftvärmeprod!$B$1:$BX$1,0),FALSE))/$AC364,"")</f>
        <v>0</v>
      </c>
      <c r="BB364" s="77">
        <f>IF($AY364="ja",(VLOOKUP($B364,'Egen hetvattenprod'!$B$1:$BX$550,MATCH(BB$2,'Egen hetvattenprod'!$B$1:$BX$1,0),FALSE)+VLOOKUP($B364,Kraftvärmeprod!$B$1:$BX$550,MATCH(BB$2,Kraftvärmeprod!$B$1:$BX$1,0),FALSE))/$AC364,"")</f>
        <v>0</v>
      </c>
      <c r="BC364" s="77">
        <f>IF($AY364="ja",(VLOOKUP($B364,'Egen hetvattenprod'!$B$1:$BX$550,MATCH(BC$2,'Egen hetvattenprod'!$B$1:$BX$1,0),FALSE)+VLOOKUP($B364,Kraftvärmeprod!$B$1:$BX$550,MATCH(BC$2,Kraftvärmeprod!$B$1:$BX$1,0),FALSE))/$AC364,"")</f>
        <v>0</v>
      </c>
      <c r="BD364" s="77">
        <f>IF($AY364="ja",(VLOOKUP($B364,'Egen hetvattenprod'!$B$1:$BX$550,MATCH(BD$2,'Egen hetvattenprod'!$B$1:$BX$1,0),FALSE)+VLOOKUP($B364,Kraftvärmeprod!$B$1:$BX$550,MATCH(BD$2,Kraftvärmeprod!$B$1:$BX$1,0),FALSE))/$AC364,"")</f>
        <v>0</v>
      </c>
      <c r="BF364" s="63" t="str">
        <f t="shared" si="35"/>
        <v>Nej</v>
      </c>
      <c r="BG364" s="63" t="str">
        <f>IF($BF364="ja",VLOOKUP($B364,'Egen hetvattenprod'!$B$1:$BX$550,MATCH("Andelen klimatgaser med fossilt ursprung för avfall ()",'Egen hetvattenprod'!$B$1:$BX$1,0),FALSE),"")</f>
        <v/>
      </c>
      <c r="BH364" s="63" t="str">
        <f>IF($BF364="ja",VLOOKUP($B364,Kraftvärmeprod!$B$1:$BX$550,MATCH("Andelen klimatgaser med fossilt ursprung för avfall ()",Kraftvärmeprod!$B$1:$BX$1,0),FALSE),"")</f>
        <v/>
      </c>
      <c r="BI364" s="63" t="str">
        <f>IF($BF364="ja",VLOOKUP($B364,'Egen hetvattenprod'!$B$1:$BX$550,MATCH("Avfall (GWh)",'Egen hetvattenprod'!$B$1:$BX$1,0),FALSE),"")</f>
        <v/>
      </c>
      <c r="BJ364" s="63" t="str">
        <f>IF($BF364="ja",VLOOKUP($B364,'Slutlig allokering kvv'!$B$1:$BX$550,MATCH("Avfall (GWh)",'Slutlig allokering kvv'!$B$1:$BX$1,0),FALSE),"")</f>
        <v/>
      </c>
      <c r="BK364" s="63" t="str">
        <f>IF($BF364="ja",VLOOKUP($B364,'Köpt hetvatten'!$B$1:$BX$550,MATCH("Avfall i köpt hetvatten",'Köpt hetvatten'!$B$1:$BX$1,0),FALSE),"")</f>
        <v/>
      </c>
      <c r="BL364" s="63" t="str">
        <f>IF($BF364="ja",VLOOKUP($B364,'Egen hetvattenprod'!$B$1:$BX$550,MATCH("Värde enligt ovan. (%)",'Egen hetvattenprod'!$B$1:$BX$1,0),FALSE),"")</f>
        <v/>
      </c>
      <c r="BM364" s="63" t="str">
        <f>IF($BF364="ja",VLOOKUP($B364,Kraftvärmeprod!$B$1:$BX$550,MATCH("Värde enligt ovan. (%)",Kraftvärmeprod!$B$1:$BX$1,0),FALSE),"")</f>
        <v/>
      </c>
    </row>
    <row r="365" spans="1:65" x14ac:dyDescent="0.45">
      <c r="A365" s="63" t="s">
        <v>48</v>
      </c>
      <c r="B365" s="63" t="s">
        <v>209</v>
      </c>
      <c r="C365" s="63">
        <f>VLOOKUP($B365,'Tillförd energi'!$B$1:$AI$720,MATCH(C$2,'Tillförd energi'!$B$1:$AQ$1,0),FALSE)</f>
        <v>0</v>
      </c>
      <c r="D365" s="63">
        <f>VLOOKUP($B365,'Tillförd energi'!$B$1:$AI$720,MATCH(D$2,'Tillförd energi'!$B$1:$AQ$1,0),FALSE)</f>
        <v>1.0607200000000001</v>
      </c>
      <c r="E365" s="63">
        <f>VLOOKUP($B365,'Tillförd energi'!$B$1:$AI$720,MATCH(E$2,'Tillförd energi'!$B$1:$AQ$1,0),FALSE)</f>
        <v>0</v>
      </c>
      <c r="F365" s="63">
        <f>VLOOKUP($B365,'Tillförd energi'!$B$1:$AI$720,MATCH(F$2,'Tillförd energi'!$B$1:$AQ$1,0),FALSE)</f>
        <v>1.7089399999999999</v>
      </c>
      <c r="G365" s="63">
        <f>VLOOKUP($B365,'Tillförd energi'!$B$1:$AI$720,MATCH(G$2,'Tillförd energi'!$B$1:$AQ$1,0),FALSE)</f>
        <v>0</v>
      </c>
      <c r="H365" s="63">
        <f>VLOOKUP($B365,'Tillförd energi'!$B$1:$AI$720,MATCH(H$2,'Tillförd energi'!$B$1:$AQ$1,0),FALSE)</f>
        <v>0</v>
      </c>
      <c r="I365" s="63">
        <f>VLOOKUP($B365,'Tillförd energi'!$B$1:$AI$720,MATCH(I$2,'Tillförd energi'!$B$1:$AQ$1,0),FALSE)</f>
        <v>2.8079200000000002</v>
      </c>
      <c r="J365" s="63">
        <f>VLOOKUP($B365,'Tillförd energi'!$B$1:$AI$720,MATCH(J$2,'Tillförd energi'!$B$1:$AQ$1,0),FALSE)</f>
        <v>0</v>
      </c>
      <c r="K365" s="63">
        <f>VLOOKUP($B365,'Tillförd energi'!$B$1:$AI$720,MATCH(K$2,'Tillförd energi'!$B$1:$AQ$1,0),FALSE)</f>
        <v>0</v>
      </c>
      <c r="L365" s="63">
        <f>VLOOKUP($B365,'Tillförd energi'!$B$1:$AI$720,MATCH(L$2,'Tillförd energi'!$B$1:$AQ$1,0),FALSE)</f>
        <v>57.404699999999998</v>
      </c>
      <c r="M365" s="63">
        <f>VLOOKUP($B365,'Tillförd energi'!$B$1:$AI$720,MATCH(M$2,'Tillförd energi'!$B$1:$AQ$1,0),FALSE)</f>
        <v>0</v>
      </c>
      <c r="N365" s="63">
        <f>VLOOKUP($B365,'Tillförd energi'!$B$1:$AI$720,MATCH(N$2,'Tillförd energi'!$B$1:$AQ$1,0),FALSE)</f>
        <v>6.6406499999999999</v>
      </c>
      <c r="O365" s="63">
        <f>VLOOKUP($B365,'Tillförd energi'!$B$1:$AI$720,MATCH(O$2,'Tillförd energi'!$B$1:$AQ$1,0),FALSE)</f>
        <v>0</v>
      </c>
      <c r="P365" s="63">
        <f>VLOOKUP($B365,'Tillförd energi'!$B$1:$AI$720,MATCH(P$2,'Tillförd energi'!$B$1:$AQ$1,0),FALSE)</f>
        <v>5.2935400000000001</v>
      </c>
      <c r="Q365" s="63">
        <f>VLOOKUP($B365,'Tillförd energi'!$B$1:$AI$720,MATCH(Q$2,'Tillförd energi'!$B$1:$AQ$1,0),FALSE)</f>
        <v>0</v>
      </c>
      <c r="R365" s="63">
        <f>VLOOKUP($B365,'Tillförd energi'!$B$1:$AI$720,MATCH(R$2,'Tillförd energi'!$B$1:$AQ$1,0),FALSE)</f>
        <v>0</v>
      </c>
      <c r="S365" s="63">
        <f>VLOOKUP($B365,'Tillförd energi'!$B$1:$AI$720,MATCH(S$2,'Tillförd energi'!$B$1:$AQ$1,0),FALSE)</f>
        <v>0</v>
      </c>
      <c r="T365" s="63">
        <f>VLOOKUP($B365,'Tillförd energi'!$B$1:$AI$720,MATCH(T$2,'Tillförd energi'!$B$1:$AQ$1,0),FALSE)</f>
        <v>0</v>
      </c>
      <c r="U365" s="63">
        <f>VLOOKUP($B365,'Tillförd energi'!$B$1:$AI$720,MATCH(U$2,'Tillförd energi'!$B$1:$AQ$1,0),FALSE)</f>
        <v>0</v>
      </c>
      <c r="V365" s="63">
        <f>VLOOKUP($B365,'Tillförd energi'!$B$1:$AI$720,MATCH(V$2,'Tillförd energi'!$B$1:$AQ$1,0),FALSE)</f>
        <v>0</v>
      </c>
      <c r="W365" s="63">
        <f>VLOOKUP($B365,'Tillförd energi'!$B$1:$AI$720,MATCH(W$2,'Tillförd energi'!$B$1:$AQ$1,0),FALSE)</f>
        <v>0</v>
      </c>
      <c r="X365" s="63">
        <f>VLOOKUP($B365,'Tillförd energi'!$B$1:$AI$720,MATCH(X$2,'Tillförd energi'!$B$1:$AQ$1,0),FALSE)</f>
        <v>0</v>
      </c>
      <c r="Y365" s="63">
        <f>VLOOKUP($B365,'Tillförd energi'!$B$1:$AI$720,MATCH(Y$2,'Tillförd energi'!$B$1:$AQ$1,0),FALSE)</f>
        <v>0</v>
      </c>
      <c r="Z365" s="63">
        <f>VLOOKUP($B365,'Tillförd energi'!$B$1:$AI$720,MATCH(Z$2,'Tillförd energi'!$B$1:$AQ$1,0),FALSE)</f>
        <v>0</v>
      </c>
      <c r="AA365" s="63">
        <f>VLOOKUP($B365,'Tillförd energi'!$B$1:$AI$720,MATCH(AA$2,'Tillförd energi'!$B$1:$AQ$1,0),FALSE)</f>
        <v>0</v>
      </c>
      <c r="AB365" s="63">
        <f>VLOOKUP($B365,'Tillförd energi'!$B$1:$AI$720,MATCH(AB$2,'Tillförd energi'!$B$1:$AQ$1,0),FALSE)</f>
        <v>0</v>
      </c>
      <c r="AC365" s="63">
        <f>VLOOKUP($B365,'Tillförd energi'!$B$1:$AI$720,MATCH(AC$2,'Tillförd energi'!$B$1:$AQ$1,0),FALSE)</f>
        <v>10.436999999999999</v>
      </c>
      <c r="AD365" s="63">
        <f>VLOOKUP($B365,'Tillförd energi'!$B$1:$AI$720,MATCH(AD$2,'Tillförd energi'!$B$1:$AQ$1,0),FALSE)</f>
        <v>18.523</v>
      </c>
      <c r="AE365" s="63">
        <f>VLOOKUP($B365,'Tillförd energi'!$B$1:$AI$720,MATCH(AE$2,'Tillförd energi'!$B$1:$AQ$1,0),FALSE)</f>
        <v>0</v>
      </c>
      <c r="AF365" s="63">
        <f>VLOOKUP($B365,'Tillförd energi'!$B$1:$AI$720,MATCH(AF$2,'Tillförd energi'!$B$1:$AQ$1,0),FALSE)</f>
        <v>7.2937900000000004</v>
      </c>
      <c r="AG365" s="63">
        <f>IFERROR(VLOOKUP(B365,Miljö!$B$1:$AC$550,MATCH("Köpt mängd produktionsspecifik fjärrvärme:",Miljö!$B$1:$AC$1,0),FALSE)/1,0)</f>
        <v>0</v>
      </c>
      <c r="AI365" s="63">
        <f t="shared" si="30"/>
        <v>111.17026</v>
      </c>
      <c r="AJ365" s="63">
        <f>IF(ISERROR(1/VLOOKUP($B365,Leveranser!$B$1:$S$500,MATCH("såld värme (gwh)",Leveranser!$B$1:$S$1,0),FALSE)),"",VLOOKUP($B365,Leveranser!$B$1:$S$500,MATCH("såld värme (gwh)",Leveranser!$B$1:$S$1,0),FALSE))</f>
        <v>66.548000000000002</v>
      </c>
      <c r="AM365" s="63" t="str">
        <f>IF(B365&lt;&gt;"",IF(VLOOKUP($B365,Totalt!$B$1:$AQ$554,MATCH("Kvalitetsgranskad:",Totalt!$B$1:$AQ$1,0),FALSE)="ja",VLOOKUP($B365,Miljö!$B$1:$AG$479,MATCH(AM$2,Miljö!$B$1:$AK$1,0),FALSE),""),"")</f>
        <v>Ja</v>
      </c>
      <c r="AN365" s="63" t="str">
        <f>IF(AM365="ja",VLOOKUP($B365,Miljö!$B$1:$J$479,MATCH("Typ av ursprungsspecificerad el   (Om inget värde anges används Nordisk residualmix, se inforuta) ()",Miljö!$B$1:$J$1,0),FALSE),IF(AM365="nej","Nordisk residualel",""))</f>
        <v>'Bio energi'</v>
      </c>
      <c r="AO365" s="63">
        <f>IF(AM365="","",VLOOKUP($B365,Miljö!$B$1:$J$479,MATCH("Fossilandel för ursprungspecificerad el ()",Miljö!$B$1:$J$1,0),FALSE))</f>
        <v>0</v>
      </c>
      <c r="AQ365" s="63">
        <f t="shared" si="31"/>
        <v>1</v>
      </c>
      <c r="AS365" s="63" t="str">
        <f t="shared" si="32"/>
        <v>Nej</v>
      </c>
      <c r="AT365" s="63" t="str">
        <f>IF(AS365="ja",VLOOKUP($B365,Miljö!$B$1:$P$500,MATCH("Fossil andel i procent (%)",Miljö!$B$1:$P$1,0),FALSE)/100,"")</f>
        <v/>
      </c>
      <c r="AV365" s="63" t="str">
        <f t="shared" si="33"/>
        <v>Nej</v>
      </c>
      <c r="AW365" s="63" t="str">
        <f>IF(AV365="ja",VLOOKUP($B365,'Egen hetvattenprod'!$B$1:$AO$500,MATCH("Värmekälla till värmepumpar ()",'Egen hetvattenprod'!$B$1:$AO$1,0),FALSE),"")</f>
        <v/>
      </c>
      <c r="AY365" s="63" t="str">
        <f t="shared" si="34"/>
        <v>Ja</v>
      </c>
      <c r="AZ365" s="77">
        <f>IF($AY365="ja",(VLOOKUP($B365,'Egen hetvattenprod'!$B$1:$BX$550,MATCH(AZ$2,'Egen hetvattenprod'!$B$1:$BX$1,0),FALSE)+VLOOKUP($B365,Kraftvärmeprod!$B$1:$BX$550,MATCH(AZ$2,Kraftvärmeprod!$B$1:$BX$1,0),FALSE))/$AC365,"")</f>
        <v>0.95</v>
      </c>
      <c r="BA365" s="77">
        <f>IF($AY365="ja",(VLOOKUP($B365,'Egen hetvattenprod'!$B$1:$BX$550,MATCH(BA$2,'Egen hetvattenprod'!$B$1:$BX$1,0),FALSE)+VLOOKUP($B365,Kraftvärmeprod!$B$1:$BX$550,MATCH(BA$2,Kraftvärmeprod!$B$1:$BX$1,0),FALSE))/$AC365,"")</f>
        <v>0.04</v>
      </c>
      <c r="BB365" s="77">
        <f>IF($AY365="ja",(VLOOKUP($B365,'Egen hetvattenprod'!$B$1:$BX$550,MATCH(BB$2,'Egen hetvattenprod'!$B$1:$BX$1,0),FALSE)+VLOOKUP($B365,Kraftvärmeprod!$B$1:$BX$550,MATCH(BB$2,Kraftvärmeprod!$B$1:$BX$1,0),FALSE))/$AC365,"")</f>
        <v>0.01</v>
      </c>
      <c r="BC365" s="77">
        <f>IF($AY365="ja",(VLOOKUP($B365,'Egen hetvattenprod'!$B$1:$BX$550,MATCH(BC$2,'Egen hetvattenprod'!$B$1:$BX$1,0),FALSE)+VLOOKUP($B365,Kraftvärmeprod!$B$1:$BX$550,MATCH(BC$2,Kraftvärmeprod!$B$1:$BX$1,0),FALSE))/$AC365,"")</f>
        <v>0</v>
      </c>
      <c r="BD365" s="77">
        <f>IF($AY365="ja",(VLOOKUP($B365,'Egen hetvattenprod'!$B$1:$BX$550,MATCH(BD$2,'Egen hetvattenprod'!$B$1:$BX$1,0),FALSE)+VLOOKUP($B365,Kraftvärmeprod!$B$1:$BX$550,MATCH(BD$2,Kraftvärmeprod!$B$1:$BX$1,0),FALSE))/$AC365,"")</f>
        <v>1.7019803002780978E-16</v>
      </c>
      <c r="BF365" s="63" t="str">
        <f t="shared" si="35"/>
        <v>Ja</v>
      </c>
      <c r="BG365" s="63" t="str">
        <f>IF($BF365="ja",VLOOKUP($B365,'Egen hetvattenprod'!$B$1:$BX$550,MATCH("Andelen klimatgaser med fossilt ursprung för avfall ()",'Egen hetvattenprod'!$B$1:$BX$1,0),FALSE),"")</f>
        <v>Ingen redovisning</v>
      </c>
      <c r="BH365" s="63" t="str">
        <f>IF($BF365="ja",VLOOKUP($B365,Kraftvärmeprod!$B$1:$BX$550,MATCH("Andelen klimatgaser med fossilt ursprung för avfall ()",Kraftvärmeprod!$B$1:$BX$1,0),FALSE),"")</f>
        <v>Ingen redovisning</v>
      </c>
      <c r="BI365" s="63">
        <f>IF($BF365="ja",VLOOKUP($B365,'Egen hetvattenprod'!$B$1:$BX$550,MATCH("Avfall (GWh)",'Egen hetvattenprod'!$B$1:$BX$1,0),FALSE),"")</f>
        <v>2.0030000000000001</v>
      </c>
      <c r="BJ365" s="63">
        <f>IF($BF365="ja",VLOOKUP($B365,'Slutlig allokering kvv'!$B$1:$BX$550,MATCH("Avfall (GWh)",'Slutlig allokering kvv'!$B$1:$BX$1,0),FALSE),"")</f>
        <v>0.80492300000000006</v>
      </c>
      <c r="BK365" s="63">
        <f>IF($BF365="ja",VLOOKUP($B365,'Köpt hetvatten'!$B$1:$BX$550,MATCH("Avfall i köpt hetvatten",'Köpt hetvatten'!$B$1:$BX$1,0),FALSE),"")</f>
        <v>0</v>
      </c>
      <c r="BL365" s="63" t="str">
        <f>IF($BF365="ja",VLOOKUP($B365,'Egen hetvattenprod'!$B$1:$BX$550,MATCH("Värde enligt ovan. (%)",'Egen hetvattenprod'!$B$1:$BX$1,0),FALSE),"")</f>
        <v>ET</v>
      </c>
      <c r="BM365" s="63" t="str">
        <f>IF($BF365="ja",VLOOKUP($B365,Kraftvärmeprod!$B$1:$BX$550,MATCH("Värde enligt ovan. (%)",Kraftvärmeprod!$B$1:$BX$1,0),FALSE),"")</f>
        <v>ET</v>
      </c>
    </row>
    <row r="366" spans="1:65" x14ac:dyDescent="0.45">
      <c r="A366" s="63" t="s">
        <v>48</v>
      </c>
      <c r="B366" s="63" t="s">
        <v>208</v>
      </c>
      <c r="C366" s="63">
        <f>VLOOKUP($B366,'Tillförd energi'!$B$1:$AI$720,MATCH(C$2,'Tillförd energi'!$B$1:$AQ$1,0),FALSE)</f>
        <v>0</v>
      </c>
      <c r="D366" s="63">
        <f>VLOOKUP($B366,'Tillförd energi'!$B$1:$AI$720,MATCH(D$2,'Tillförd energi'!$B$1:$AQ$1,0),FALSE)</f>
        <v>4.5999999999999999E-2</v>
      </c>
      <c r="E366" s="63">
        <f>VLOOKUP($B366,'Tillförd energi'!$B$1:$AI$720,MATCH(E$2,'Tillförd energi'!$B$1:$AQ$1,0),FALSE)</f>
        <v>0</v>
      </c>
      <c r="F366" s="63">
        <f>VLOOKUP($B366,'Tillförd energi'!$B$1:$AI$720,MATCH(F$2,'Tillförd energi'!$B$1:$AQ$1,0),FALSE)</f>
        <v>0</v>
      </c>
      <c r="G366" s="63">
        <f>VLOOKUP($B366,'Tillförd energi'!$B$1:$AI$720,MATCH(G$2,'Tillförd energi'!$B$1:$AQ$1,0),FALSE)</f>
        <v>0</v>
      </c>
      <c r="H366" s="63">
        <f>VLOOKUP($B366,'Tillförd energi'!$B$1:$AI$720,MATCH(H$2,'Tillförd energi'!$B$1:$AQ$1,0),FALSE)</f>
        <v>0</v>
      </c>
      <c r="I366" s="63">
        <f>VLOOKUP($B366,'Tillförd energi'!$B$1:$AI$720,MATCH(I$2,'Tillförd energi'!$B$1:$AQ$1,0),FALSE)</f>
        <v>0</v>
      </c>
      <c r="J366" s="63">
        <f>VLOOKUP($B366,'Tillförd energi'!$B$1:$AI$720,MATCH(J$2,'Tillförd energi'!$B$1:$AQ$1,0),FALSE)</f>
        <v>0</v>
      </c>
      <c r="K366" s="63">
        <f>VLOOKUP($B366,'Tillförd energi'!$B$1:$AI$720,MATCH(K$2,'Tillförd energi'!$B$1:$AQ$1,0),FALSE)</f>
        <v>0</v>
      </c>
      <c r="L366" s="63">
        <f>VLOOKUP($B366,'Tillförd energi'!$B$1:$AI$720,MATCH(L$2,'Tillförd energi'!$B$1:$AQ$1,0),FALSE)</f>
        <v>0</v>
      </c>
      <c r="M366" s="63">
        <f>VLOOKUP($B366,'Tillförd energi'!$B$1:$AI$720,MATCH(M$2,'Tillförd energi'!$B$1:$AQ$1,0),FALSE)</f>
        <v>0</v>
      </c>
      <c r="N366" s="63">
        <f>VLOOKUP($B366,'Tillförd energi'!$B$1:$AI$720,MATCH(N$2,'Tillförd energi'!$B$1:$AQ$1,0),FALSE)</f>
        <v>0</v>
      </c>
      <c r="O366" s="63">
        <f>VLOOKUP($B366,'Tillförd energi'!$B$1:$AI$720,MATCH(O$2,'Tillförd energi'!$B$1:$AQ$1,0),FALSE)</f>
        <v>0</v>
      </c>
      <c r="P366" s="63">
        <f>VLOOKUP($B366,'Tillförd energi'!$B$1:$AI$720,MATCH(P$2,'Tillförd energi'!$B$1:$AQ$1,0),FALSE)</f>
        <v>0</v>
      </c>
      <c r="Q366" s="63">
        <f>VLOOKUP($B366,'Tillförd energi'!$B$1:$AI$720,MATCH(Q$2,'Tillförd energi'!$B$1:$AQ$1,0),FALSE)</f>
        <v>0</v>
      </c>
      <c r="R366" s="63">
        <f>VLOOKUP($B366,'Tillförd energi'!$B$1:$AI$720,MATCH(R$2,'Tillförd energi'!$B$1:$AQ$1,0),FALSE)</f>
        <v>0</v>
      </c>
      <c r="S366" s="63">
        <f>VLOOKUP($B366,'Tillförd energi'!$B$1:$AI$720,MATCH(S$2,'Tillförd energi'!$B$1:$AQ$1,0),FALSE)</f>
        <v>2.5129999999999999</v>
      </c>
      <c r="T366" s="63">
        <f>VLOOKUP($B366,'Tillförd energi'!$B$1:$AI$720,MATCH(T$2,'Tillförd energi'!$B$1:$AQ$1,0),FALSE)</f>
        <v>0</v>
      </c>
      <c r="U366" s="63">
        <f>VLOOKUP($B366,'Tillförd energi'!$B$1:$AI$720,MATCH(U$2,'Tillförd energi'!$B$1:$AQ$1,0),FALSE)</f>
        <v>0</v>
      </c>
      <c r="V366" s="63">
        <f>VLOOKUP($B366,'Tillförd energi'!$B$1:$AI$720,MATCH(V$2,'Tillförd energi'!$B$1:$AQ$1,0),FALSE)</f>
        <v>0</v>
      </c>
      <c r="W366" s="63">
        <f>VLOOKUP($B366,'Tillförd energi'!$B$1:$AI$720,MATCH(W$2,'Tillförd energi'!$B$1:$AQ$1,0),FALSE)</f>
        <v>0</v>
      </c>
      <c r="X366" s="63">
        <f>VLOOKUP($B366,'Tillförd energi'!$B$1:$AI$720,MATCH(X$2,'Tillförd energi'!$B$1:$AQ$1,0),FALSE)</f>
        <v>0</v>
      </c>
      <c r="Y366" s="63">
        <f>VLOOKUP($B366,'Tillförd energi'!$B$1:$AI$720,MATCH(Y$2,'Tillförd energi'!$B$1:$AQ$1,0),FALSE)</f>
        <v>0</v>
      </c>
      <c r="Z366" s="63">
        <f>VLOOKUP($B366,'Tillförd energi'!$B$1:$AI$720,MATCH(Z$2,'Tillförd energi'!$B$1:$AQ$1,0),FALSE)</f>
        <v>0</v>
      </c>
      <c r="AA366" s="63">
        <f>VLOOKUP($B366,'Tillförd energi'!$B$1:$AI$720,MATCH(AA$2,'Tillförd energi'!$B$1:$AQ$1,0),FALSE)</f>
        <v>0</v>
      </c>
      <c r="AB366" s="63">
        <f>VLOOKUP($B366,'Tillförd energi'!$B$1:$AI$720,MATCH(AB$2,'Tillförd energi'!$B$1:$AQ$1,0),FALSE)</f>
        <v>0</v>
      </c>
      <c r="AC366" s="63">
        <f>VLOOKUP($B366,'Tillförd energi'!$B$1:$AI$720,MATCH(AC$2,'Tillförd energi'!$B$1:$AQ$1,0),FALSE)</f>
        <v>0</v>
      </c>
      <c r="AD366" s="63">
        <f>VLOOKUP($B366,'Tillförd energi'!$B$1:$AI$720,MATCH(AD$2,'Tillförd energi'!$B$1:$AQ$1,0),FALSE)</f>
        <v>0</v>
      </c>
      <c r="AE366" s="63">
        <f>VLOOKUP($B366,'Tillförd energi'!$B$1:$AI$720,MATCH(AE$2,'Tillförd energi'!$B$1:$AQ$1,0),FALSE)</f>
        <v>0</v>
      </c>
      <c r="AF366" s="63">
        <f>VLOOKUP($B366,'Tillförd energi'!$B$1:$AI$720,MATCH(AF$2,'Tillförd energi'!$B$1:$AQ$1,0),FALSE)</f>
        <v>5.0999999999999997E-2</v>
      </c>
      <c r="AG366" s="63">
        <f>IFERROR(VLOOKUP(B366,Miljö!$B$1:$AC$550,MATCH("Köpt mängd produktionsspecifik fjärrvärme:",Miljö!$B$1:$AC$1,0),FALSE)/1,0)</f>
        <v>0</v>
      </c>
      <c r="AI366" s="63">
        <f t="shared" si="30"/>
        <v>2.61</v>
      </c>
      <c r="AJ366" s="63">
        <f>IF(ISERROR(1/VLOOKUP($B366,Leveranser!$B$1:$S$500,MATCH("såld värme (gwh)",Leveranser!$B$1:$S$1,0),FALSE)),"",VLOOKUP($B366,Leveranser!$B$1:$S$500,MATCH("såld värme (gwh)",Leveranser!$B$1:$S$1,0),FALSE))</f>
        <v>1.7</v>
      </c>
      <c r="AM366" s="63" t="str">
        <f>IF(B366&lt;&gt;"",IF(VLOOKUP($B366,Totalt!$B$1:$AQ$554,MATCH("Kvalitetsgranskad:",Totalt!$B$1:$AQ$1,0),FALSE)="ja",VLOOKUP($B366,Miljö!$B$1:$AG$479,MATCH(AM$2,Miljö!$B$1:$AK$1,0),FALSE),""),"")</f>
        <v>Ja</v>
      </c>
      <c r="AN366" s="63" t="str">
        <f>IF(AM366="ja",VLOOKUP($B366,Miljö!$B$1:$J$479,MATCH("Typ av ursprungsspecificerad el   (Om inget värde anges används Nordisk residualmix, se inforuta) ()",Miljö!$B$1:$J$1,0),FALSE),IF(AM366="nej","Nordisk residualel",""))</f>
        <v>'Bio energi'</v>
      </c>
      <c r="AO366" s="63">
        <f>IF(AM366="","",VLOOKUP($B366,Miljö!$B$1:$J$479,MATCH("Fossilandel för ursprungspecificerad el ()",Miljö!$B$1:$J$1,0),FALSE))</f>
        <v>0</v>
      </c>
      <c r="AQ366" s="63">
        <f t="shared" si="31"/>
        <v>1</v>
      </c>
      <c r="AS366" s="63" t="str">
        <f t="shared" si="32"/>
        <v>Nej</v>
      </c>
      <c r="AT366" s="63" t="str">
        <f>IF(AS366="ja",VLOOKUP($B366,Miljö!$B$1:$P$500,MATCH("Fossil andel i procent (%)",Miljö!$B$1:$P$1,0),FALSE)/100,"")</f>
        <v/>
      </c>
      <c r="AV366" s="63" t="str">
        <f t="shared" si="33"/>
        <v>Nej</v>
      </c>
      <c r="AW366" s="63" t="str">
        <f>IF(AV366="ja",VLOOKUP($B366,'Egen hetvattenprod'!$B$1:$AO$500,MATCH("Värmekälla till värmepumpar ()",'Egen hetvattenprod'!$B$1:$AO$1,0),FALSE),"")</f>
        <v/>
      </c>
      <c r="AY366" s="63" t="str">
        <f t="shared" si="34"/>
        <v>Nej</v>
      </c>
      <c r="AZ366" s="77" t="str">
        <f>IF($AY366="ja",(VLOOKUP($B366,'Egen hetvattenprod'!$B$1:$BX$550,MATCH(AZ$2,'Egen hetvattenprod'!$B$1:$BX$1,0),FALSE)+VLOOKUP($B366,Kraftvärmeprod!$B$1:$BX$550,MATCH(AZ$2,Kraftvärmeprod!$B$1:$BX$1,0),FALSE))/$AC366,"")</f>
        <v/>
      </c>
      <c r="BA366" s="77" t="str">
        <f>IF($AY366="ja",(VLOOKUP($B366,'Egen hetvattenprod'!$B$1:$BX$550,MATCH(BA$2,'Egen hetvattenprod'!$B$1:$BX$1,0),FALSE)+VLOOKUP($B366,Kraftvärmeprod!$B$1:$BX$550,MATCH(BA$2,Kraftvärmeprod!$B$1:$BX$1,0),FALSE))/$AC366,"")</f>
        <v/>
      </c>
      <c r="BB366" s="77" t="str">
        <f>IF($AY366="ja",(VLOOKUP($B366,'Egen hetvattenprod'!$B$1:$BX$550,MATCH(BB$2,'Egen hetvattenprod'!$B$1:$BX$1,0),FALSE)+VLOOKUP($B366,Kraftvärmeprod!$B$1:$BX$550,MATCH(BB$2,Kraftvärmeprod!$B$1:$BX$1,0),FALSE))/$AC366,"")</f>
        <v/>
      </c>
      <c r="BC366" s="77" t="str">
        <f>IF($AY366="ja",(VLOOKUP($B366,'Egen hetvattenprod'!$B$1:$BX$550,MATCH(BC$2,'Egen hetvattenprod'!$B$1:$BX$1,0),FALSE)+VLOOKUP($B366,Kraftvärmeprod!$B$1:$BX$550,MATCH(BC$2,Kraftvärmeprod!$B$1:$BX$1,0),FALSE))/$AC366,"")</f>
        <v/>
      </c>
      <c r="BD366" s="77" t="str">
        <f>IF($AY366="ja",(VLOOKUP($B366,'Egen hetvattenprod'!$B$1:$BX$550,MATCH(BD$2,'Egen hetvattenprod'!$B$1:$BX$1,0),FALSE)+VLOOKUP($B366,Kraftvärmeprod!$B$1:$BX$550,MATCH(BD$2,Kraftvärmeprod!$B$1:$BX$1,0),FALSE))/$AC366,"")</f>
        <v/>
      </c>
      <c r="BF366" s="63" t="str">
        <f t="shared" si="35"/>
        <v>Nej</v>
      </c>
      <c r="BG366" s="63" t="str">
        <f>IF($BF366="ja",VLOOKUP($B366,'Egen hetvattenprod'!$B$1:$BX$550,MATCH("Andelen klimatgaser med fossilt ursprung för avfall ()",'Egen hetvattenprod'!$B$1:$BX$1,0),FALSE),"")</f>
        <v/>
      </c>
      <c r="BH366" s="63" t="str">
        <f>IF($BF366="ja",VLOOKUP($B366,Kraftvärmeprod!$B$1:$BX$550,MATCH("Andelen klimatgaser med fossilt ursprung för avfall ()",Kraftvärmeprod!$B$1:$BX$1,0),FALSE),"")</f>
        <v/>
      </c>
      <c r="BI366" s="63" t="str">
        <f>IF($BF366="ja",VLOOKUP($B366,'Egen hetvattenprod'!$B$1:$BX$550,MATCH("Avfall (GWh)",'Egen hetvattenprod'!$B$1:$BX$1,0),FALSE),"")</f>
        <v/>
      </c>
      <c r="BJ366" s="63" t="str">
        <f>IF($BF366="ja",VLOOKUP($B366,'Slutlig allokering kvv'!$B$1:$BX$550,MATCH("Avfall (GWh)",'Slutlig allokering kvv'!$B$1:$BX$1,0),FALSE),"")</f>
        <v/>
      </c>
      <c r="BK366" s="63" t="str">
        <f>IF($BF366="ja",VLOOKUP($B366,'Köpt hetvatten'!$B$1:$BX$550,MATCH("Avfall i köpt hetvatten",'Köpt hetvatten'!$B$1:$BX$1,0),FALSE),"")</f>
        <v/>
      </c>
      <c r="BL366" s="63" t="str">
        <f>IF($BF366="ja",VLOOKUP($B366,'Egen hetvattenprod'!$B$1:$BX$550,MATCH("Värde enligt ovan. (%)",'Egen hetvattenprod'!$B$1:$BX$1,0),FALSE),"")</f>
        <v/>
      </c>
      <c r="BM366" s="63" t="str">
        <f>IF($BF366="ja",VLOOKUP($B366,Kraftvärmeprod!$B$1:$BX$550,MATCH("Värde enligt ovan. (%)",Kraftvärmeprod!$B$1:$BX$1,0),FALSE),"")</f>
        <v/>
      </c>
    </row>
    <row r="367" spans="1:65" x14ac:dyDescent="0.45">
      <c r="A367" s="63" t="s">
        <v>48</v>
      </c>
      <c r="B367" s="63" t="s">
        <v>207</v>
      </c>
      <c r="C367" s="63">
        <f>VLOOKUP($B367,'Tillförd energi'!$B$1:$AI$720,MATCH(C$2,'Tillförd energi'!$B$1:$AQ$1,0),FALSE)</f>
        <v>0</v>
      </c>
      <c r="D367" s="63">
        <f>VLOOKUP($B367,'Tillförd energi'!$B$1:$AI$720,MATCH(D$2,'Tillförd energi'!$B$1:$AQ$1,0),FALSE)</f>
        <v>0.379</v>
      </c>
      <c r="E367" s="63">
        <f>VLOOKUP($B367,'Tillförd energi'!$B$1:$AI$720,MATCH(E$2,'Tillförd energi'!$B$1:$AQ$1,0),FALSE)</f>
        <v>0.876</v>
      </c>
      <c r="F367" s="63">
        <f>VLOOKUP($B367,'Tillförd energi'!$B$1:$AI$720,MATCH(F$2,'Tillförd energi'!$B$1:$AQ$1,0),FALSE)</f>
        <v>0</v>
      </c>
      <c r="G367" s="63">
        <f>VLOOKUP($B367,'Tillförd energi'!$B$1:$AI$720,MATCH(G$2,'Tillförd energi'!$B$1:$AQ$1,0),FALSE)</f>
        <v>0</v>
      </c>
      <c r="H367" s="63">
        <f>VLOOKUP($B367,'Tillförd energi'!$B$1:$AI$720,MATCH(H$2,'Tillförd energi'!$B$1:$AQ$1,0),FALSE)</f>
        <v>0</v>
      </c>
      <c r="I367" s="63">
        <f>VLOOKUP($B367,'Tillförd energi'!$B$1:$AI$720,MATCH(I$2,'Tillförd energi'!$B$1:$AQ$1,0),FALSE)</f>
        <v>0</v>
      </c>
      <c r="J367" s="63">
        <f>VLOOKUP($B367,'Tillförd energi'!$B$1:$AI$720,MATCH(J$2,'Tillförd energi'!$B$1:$AQ$1,0),FALSE)</f>
        <v>0</v>
      </c>
      <c r="K367" s="63">
        <f>VLOOKUP($B367,'Tillförd energi'!$B$1:$AI$720,MATCH(K$2,'Tillförd energi'!$B$1:$AQ$1,0),FALSE)</f>
        <v>0</v>
      </c>
      <c r="L367" s="63">
        <f>VLOOKUP($B367,'Tillförd energi'!$B$1:$AI$720,MATCH(L$2,'Tillförd energi'!$B$1:$AQ$1,0),FALSE)</f>
        <v>0</v>
      </c>
      <c r="M367" s="63">
        <f>VLOOKUP($B367,'Tillförd energi'!$B$1:$AI$720,MATCH(M$2,'Tillförd energi'!$B$1:$AQ$1,0),FALSE)</f>
        <v>0</v>
      </c>
      <c r="N367" s="63">
        <f>VLOOKUP($B367,'Tillförd energi'!$B$1:$AI$720,MATCH(N$2,'Tillförd energi'!$B$1:$AQ$1,0),FALSE)</f>
        <v>0</v>
      </c>
      <c r="O367" s="63">
        <f>VLOOKUP($B367,'Tillförd energi'!$B$1:$AI$720,MATCH(O$2,'Tillförd energi'!$B$1:$AQ$1,0),FALSE)</f>
        <v>0</v>
      </c>
      <c r="P367" s="63">
        <f>VLOOKUP($B367,'Tillförd energi'!$B$1:$AI$720,MATCH(P$2,'Tillförd energi'!$B$1:$AQ$1,0),FALSE)</f>
        <v>0</v>
      </c>
      <c r="Q367" s="63">
        <f>VLOOKUP($B367,'Tillförd energi'!$B$1:$AI$720,MATCH(Q$2,'Tillförd energi'!$B$1:$AQ$1,0),FALSE)</f>
        <v>0</v>
      </c>
      <c r="R367" s="63">
        <f>VLOOKUP($B367,'Tillförd energi'!$B$1:$AI$720,MATCH(R$2,'Tillförd energi'!$B$1:$AQ$1,0),FALSE)</f>
        <v>33.922899999999998</v>
      </c>
      <c r="S367" s="63">
        <f>VLOOKUP($B367,'Tillförd energi'!$B$1:$AI$720,MATCH(S$2,'Tillförd energi'!$B$1:$AQ$1,0),FALSE)</f>
        <v>0</v>
      </c>
      <c r="T367" s="63">
        <f>VLOOKUP($B367,'Tillförd energi'!$B$1:$AI$720,MATCH(T$2,'Tillförd energi'!$B$1:$AQ$1,0),FALSE)</f>
        <v>0</v>
      </c>
      <c r="U367" s="63">
        <f>VLOOKUP($B367,'Tillförd energi'!$B$1:$AI$720,MATCH(U$2,'Tillförd energi'!$B$1:$AQ$1,0),FALSE)</f>
        <v>0</v>
      </c>
      <c r="V367" s="63">
        <f>VLOOKUP($B367,'Tillförd energi'!$B$1:$AI$720,MATCH(V$2,'Tillförd energi'!$B$1:$AQ$1,0),FALSE)</f>
        <v>0</v>
      </c>
      <c r="W367" s="63">
        <f>VLOOKUP($B367,'Tillförd energi'!$B$1:$AI$720,MATCH(W$2,'Tillförd energi'!$B$1:$AQ$1,0),FALSE)</f>
        <v>0</v>
      </c>
      <c r="X367" s="63">
        <f>VLOOKUP($B367,'Tillförd energi'!$B$1:$AI$720,MATCH(X$2,'Tillförd energi'!$B$1:$AQ$1,0),FALSE)</f>
        <v>0</v>
      </c>
      <c r="Y367" s="63">
        <f>VLOOKUP($B367,'Tillförd energi'!$B$1:$AI$720,MATCH(Y$2,'Tillförd energi'!$B$1:$AQ$1,0),FALSE)</f>
        <v>0</v>
      </c>
      <c r="Z367" s="63">
        <f>VLOOKUP($B367,'Tillförd energi'!$B$1:$AI$720,MATCH(Z$2,'Tillförd energi'!$B$1:$AQ$1,0),FALSE)</f>
        <v>0</v>
      </c>
      <c r="AA367" s="63">
        <f>VLOOKUP($B367,'Tillförd energi'!$B$1:$AI$720,MATCH(AA$2,'Tillförd energi'!$B$1:$AQ$1,0),FALSE)</f>
        <v>0</v>
      </c>
      <c r="AB367" s="63">
        <f>VLOOKUP($B367,'Tillförd energi'!$B$1:$AI$720,MATCH(AB$2,'Tillförd energi'!$B$1:$AQ$1,0),FALSE)</f>
        <v>0</v>
      </c>
      <c r="AC367" s="63">
        <f>VLOOKUP($B367,'Tillförd energi'!$B$1:$AI$720,MATCH(AC$2,'Tillförd energi'!$B$1:$AQ$1,0),FALSE)</f>
        <v>0</v>
      </c>
      <c r="AD367" s="63">
        <f>VLOOKUP($B367,'Tillförd energi'!$B$1:$AI$720,MATCH(AD$2,'Tillförd energi'!$B$1:$AQ$1,0),FALSE)</f>
        <v>20.800999999999998</v>
      </c>
      <c r="AE367" s="63">
        <f>VLOOKUP($B367,'Tillförd energi'!$B$1:$AI$720,MATCH(AE$2,'Tillförd energi'!$B$1:$AQ$1,0),FALSE)</f>
        <v>0</v>
      </c>
      <c r="AF367" s="63">
        <f>VLOOKUP($B367,'Tillförd energi'!$B$1:$AI$720,MATCH(AF$2,'Tillförd energi'!$B$1:$AQ$1,0),FALSE)</f>
        <v>0.70499999999999996</v>
      </c>
      <c r="AG367" s="63">
        <f>IFERROR(VLOOKUP(B367,Miljö!$B$1:$AC$550,MATCH("Köpt mängd produktionsspecifik fjärrvärme:",Miljö!$B$1:$AC$1,0),FALSE)/1,0)</f>
        <v>0</v>
      </c>
      <c r="AI367" s="63">
        <f t="shared" si="30"/>
        <v>56.683899999999994</v>
      </c>
      <c r="AJ367" s="63">
        <f>IF(ISERROR(1/VLOOKUP($B367,Leveranser!$B$1:$S$500,MATCH("såld värme (gwh)",Leveranser!$B$1:$S$1,0),FALSE)),"",VLOOKUP($B367,Leveranser!$B$1:$S$500,MATCH("såld värme (gwh)",Leveranser!$B$1:$S$1,0),FALSE))</f>
        <v>47.171999999999997</v>
      </c>
      <c r="AM367" s="63" t="str">
        <f>IF(B367&lt;&gt;"",IF(VLOOKUP($B367,Totalt!$B$1:$AQ$554,MATCH("Kvalitetsgranskad:",Totalt!$B$1:$AQ$1,0),FALSE)="ja",VLOOKUP($B367,Miljö!$B$1:$AG$479,MATCH(AM$2,Miljö!$B$1:$AK$1,0),FALSE),""),"")</f>
        <v>Ja</v>
      </c>
      <c r="AN367" s="63" t="str">
        <f>IF(AM367="ja",VLOOKUP($B367,Miljö!$B$1:$J$479,MATCH("Typ av ursprungsspecificerad el   (Om inget värde anges används Nordisk residualmix, se inforuta) ()",Miljö!$B$1:$J$1,0),FALSE),IF(AM367="nej","Nordisk residualel",""))</f>
        <v>'Bio energi'</v>
      </c>
      <c r="AO367" s="63">
        <f>IF(AM367="","",VLOOKUP($B367,Miljö!$B$1:$J$479,MATCH("Fossilandel för ursprungspecificerad el ()",Miljö!$B$1:$J$1,0),FALSE))</f>
        <v>0</v>
      </c>
      <c r="AQ367" s="63">
        <f t="shared" si="31"/>
        <v>1</v>
      </c>
      <c r="AS367" s="63" t="str">
        <f t="shared" si="32"/>
        <v>Nej</v>
      </c>
      <c r="AT367" s="63" t="str">
        <f>IF(AS367="ja",VLOOKUP($B367,Miljö!$B$1:$P$500,MATCH("Fossil andel i procent (%)",Miljö!$B$1:$P$1,0),FALSE)/100,"")</f>
        <v/>
      </c>
      <c r="AV367" s="63" t="str">
        <f t="shared" si="33"/>
        <v>Nej</v>
      </c>
      <c r="AW367" s="63" t="str">
        <f>IF(AV367="ja",VLOOKUP($B367,'Egen hetvattenprod'!$B$1:$AO$500,MATCH("Värmekälla till värmepumpar ()",'Egen hetvattenprod'!$B$1:$AO$1,0),FALSE),"")</f>
        <v/>
      </c>
      <c r="AY367" s="63" t="str">
        <f t="shared" si="34"/>
        <v>Nej</v>
      </c>
      <c r="AZ367" s="77" t="str">
        <f>IF($AY367="ja",(VLOOKUP($B367,'Egen hetvattenprod'!$B$1:$BX$550,MATCH(AZ$2,'Egen hetvattenprod'!$B$1:$BX$1,0),FALSE)+VLOOKUP($B367,Kraftvärmeprod!$B$1:$BX$550,MATCH(AZ$2,Kraftvärmeprod!$B$1:$BX$1,0),FALSE))/$AC367,"")</f>
        <v/>
      </c>
      <c r="BA367" s="77" t="str">
        <f>IF($AY367="ja",(VLOOKUP($B367,'Egen hetvattenprod'!$B$1:$BX$550,MATCH(BA$2,'Egen hetvattenprod'!$B$1:$BX$1,0),FALSE)+VLOOKUP($B367,Kraftvärmeprod!$B$1:$BX$550,MATCH(BA$2,Kraftvärmeprod!$B$1:$BX$1,0),FALSE))/$AC367,"")</f>
        <v/>
      </c>
      <c r="BB367" s="77" t="str">
        <f>IF($AY367="ja",(VLOOKUP($B367,'Egen hetvattenprod'!$B$1:$BX$550,MATCH(BB$2,'Egen hetvattenprod'!$B$1:$BX$1,0),FALSE)+VLOOKUP($B367,Kraftvärmeprod!$B$1:$BX$550,MATCH(BB$2,Kraftvärmeprod!$B$1:$BX$1,0),FALSE))/$AC367,"")</f>
        <v/>
      </c>
      <c r="BC367" s="77" t="str">
        <f>IF($AY367="ja",(VLOOKUP($B367,'Egen hetvattenprod'!$B$1:$BX$550,MATCH(BC$2,'Egen hetvattenprod'!$B$1:$BX$1,0),FALSE)+VLOOKUP($B367,Kraftvärmeprod!$B$1:$BX$550,MATCH(BC$2,Kraftvärmeprod!$B$1:$BX$1,0),FALSE))/$AC367,"")</f>
        <v/>
      </c>
      <c r="BD367" s="77" t="str">
        <f>IF($AY367="ja",(VLOOKUP($B367,'Egen hetvattenprod'!$B$1:$BX$550,MATCH(BD$2,'Egen hetvattenprod'!$B$1:$BX$1,0),FALSE)+VLOOKUP($B367,Kraftvärmeprod!$B$1:$BX$550,MATCH(BD$2,Kraftvärmeprod!$B$1:$BX$1,0),FALSE))/$AC367,"")</f>
        <v/>
      </c>
      <c r="BF367" s="63" t="str">
        <f t="shared" si="35"/>
        <v>Nej</v>
      </c>
      <c r="BG367" s="63" t="str">
        <f>IF($BF367="ja",VLOOKUP($B367,'Egen hetvattenprod'!$B$1:$BX$550,MATCH("Andelen klimatgaser med fossilt ursprung för avfall ()",'Egen hetvattenprod'!$B$1:$BX$1,0),FALSE),"")</f>
        <v/>
      </c>
      <c r="BH367" s="63" t="str">
        <f>IF($BF367="ja",VLOOKUP($B367,Kraftvärmeprod!$B$1:$BX$550,MATCH("Andelen klimatgaser med fossilt ursprung för avfall ()",Kraftvärmeprod!$B$1:$BX$1,0),FALSE),"")</f>
        <v/>
      </c>
      <c r="BI367" s="63" t="str">
        <f>IF($BF367="ja",VLOOKUP($B367,'Egen hetvattenprod'!$B$1:$BX$550,MATCH("Avfall (GWh)",'Egen hetvattenprod'!$B$1:$BX$1,0),FALSE),"")</f>
        <v/>
      </c>
      <c r="BJ367" s="63" t="str">
        <f>IF($BF367="ja",VLOOKUP($B367,'Slutlig allokering kvv'!$B$1:$BX$550,MATCH("Avfall (GWh)",'Slutlig allokering kvv'!$B$1:$BX$1,0),FALSE),"")</f>
        <v/>
      </c>
      <c r="BK367" s="63" t="str">
        <f>IF($BF367="ja",VLOOKUP($B367,'Köpt hetvatten'!$B$1:$BX$550,MATCH("Avfall i köpt hetvatten",'Köpt hetvatten'!$B$1:$BX$1,0),FALSE),"")</f>
        <v/>
      </c>
      <c r="BL367" s="63" t="str">
        <f>IF($BF367="ja",VLOOKUP($B367,'Egen hetvattenprod'!$B$1:$BX$550,MATCH("Värde enligt ovan. (%)",'Egen hetvattenprod'!$B$1:$BX$1,0),FALSE),"")</f>
        <v/>
      </c>
      <c r="BM367" s="63" t="str">
        <f>IF($BF367="ja",VLOOKUP($B367,Kraftvärmeprod!$B$1:$BX$550,MATCH("Värde enligt ovan. (%)",Kraftvärmeprod!$B$1:$BX$1,0),FALSE),"")</f>
        <v/>
      </c>
    </row>
    <row r="368" spans="1:65" x14ac:dyDescent="0.45">
      <c r="A368" s="63" t="s">
        <v>48</v>
      </c>
      <c r="B368" s="63" t="s">
        <v>206</v>
      </c>
      <c r="C368" s="63">
        <f>VLOOKUP($B368,'Tillförd energi'!$B$1:$AI$720,MATCH(C$2,'Tillförd energi'!$B$1:$AQ$1,0),FALSE)</f>
        <v>0</v>
      </c>
      <c r="D368" s="63">
        <f>VLOOKUP($B368,'Tillförd energi'!$B$1:$AI$720,MATCH(D$2,'Tillförd energi'!$B$1:$AQ$1,0),FALSE)</f>
        <v>0.49399999999999999</v>
      </c>
      <c r="E368" s="63">
        <f>VLOOKUP($B368,'Tillförd energi'!$B$1:$AI$720,MATCH(E$2,'Tillförd energi'!$B$1:$AQ$1,0),FALSE)</f>
        <v>0</v>
      </c>
      <c r="F368" s="63">
        <f>VLOOKUP($B368,'Tillförd energi'!$B$1:$AI$720,MATCH(F$2,'Tillförd energi'!$B$1:$AQ$1,0),FALSE)</f>
        <v>0</v>
      </c>
      <c r="G368" s="63">
        <f>VLOOKUP($B368,'Tillförd energi'!$B$1:$AI$720,MATCH(G$2,'Tillförd energi'!$B$1:$AQ$1,0),FALSE)</f>
        <v>0</v>
      </c>
      <c r="H368" s="63">
        <f>VLOOKUP($B368,'Tillförd energi'!$B$1:$AI$720,MATCH(H$2,'Tillförd energi'!$B$1:$AQ$1,0),FALSE)</f>
        <v>0</v>
      </c>
      <c r="I368" s="63">
        <f>VLOOKUP($B368,'Tillförd energi'!$B$1:$AI$720,MATCH(I$2,'Tillförd energi'!$B$1:$AQ$1,0),FALSE)</f>
        <v>0</v>
      </c>
      <c r="J368" s="63">
        <f>VLOOKUP($B368,'Tillförd energi'!$B$1:$AI$720,MATCH(J$2,'Tillförd energi'!$B$1:$AQ$1,0),FALSE)</f>
        <v>0</v>
      </c>
      <c r="K368" s="63">
        <f>VLOOKUP($B368,'Tillförd energi'!$B$1:$AI$720,MATCH(K$2,'Tillförd energi'!$B$1:$AQ$1,0),FALSE)</f>
        <v>0</v>
      </c>
      <c r="L368" s="63">
        <f>VLOOKUP($B368,'Tillförd energi'!$B$1:$AI$720,MATCH(L$2,'Tillförd energi'!$B$1:$AQ$1,0),FALSE)</f>
        <v>0</v>
      </c>
      <c r="M368" s="63">
        <f>VLOOKUP($B368,'Tillförd energi'!$B$1:$AI$720,MATCH(M$2,'Tillförd energi'!$B$1:$AQ$1,0),FALSE)</f>
        <v>0</v>
      </c>
      <c r="N368" s="63">
        <f>VLOOKUP($B368,'Tillförd energi'!$B$1:$AI$720,MATCH(N$2,'Tillförd energi'!$B$1:$AQ$1,0),FALSE)</f>
        <v>0</v>
      </c>
      <c r="O368" s="63">
        <f>VLOOKUP($B368,'Tillförd energi'!$B$1:$AI$720,MATCH(O$2,'Tillförd energi'!$B$1:$AQ$1,0),FALSE)</f>
        <v>0.76600000000000001</v>
      </c>
      <c r="P368" s="63">
        <f>VLOOKUP($B368,'Tillförd energi'!$B$1:$AI$720,MATCH(P$2,'Tillförd energi'!$B$1:$AQ$1,0),FALSE)</f>
        <v>1E-3</v>
      </c>
      <c r="Q368" s="63">
        <f>VLOOKUP($B368,'Tillförd energi'!$B$1:$AI$720,MATCH(Q$2,'Tillförd energi'!$B$1:$AQ$1,0),FALSE)</f>
        <v>7.5979999999999999</v>
      </c>
      <c r="R368" s="63">
        <f>VLOOKUP($B368,'Tillförd energi'!$B$1:$AI$720,MATCH(R$2,'Tillförd energi'!$B$1:$AQ$1,0),FALSE)</f>
        <v>0</v>
      </c>
      <c r="S368" s="63">
        <f>VLOOKUP($B368,'Tillförd energi'!$B$1:$AI$720,MATCH(S$2,'Tillförd energi'!$B$1:$AQ$1,0),FALSE)</f>
        <v>0</v>
      </c>
      <c r="T368" s="63">
        <f>VLOOKUP($B368,'Tillförd energi'!$B$1:$AI$720,MATCH(T$2,'Tillförd energi'!$B$1:$AQ$1,0),FALSE)</f>
        <v>0</v>
      </c>
      <c r="U368" s="63">
        <f>VLOOKUP($B368,'Tillförd energi'!$B$1:$AI$720,MATCH(U$2,'Tillförd energi'!$B$1:$AQ$1,0),FALSE)</f>
        <v>0</v>
      </c>
      <c r="V368" s="63">
        <f>VLOOKUP($B368,'Tillförd energi'!$B$1:$AI$720,MATCH(V$2,'Tillförd energi'!$B$1:$AQ$1,0),FALSE)</f>
        <v>0</v>
      </c>
      <c r="W368" s="63">
        <f>VLOOKUP($B368,'Tillförd energi'!$B$1:$AI$720,MATCH(W$2,'Tillförd energi'!$B$1:$AQ$1,0),FALSE)</f>
        <v>0</v>
      </c>
      <c r="X368" s="63">
        <f>VLOOKUP($B368,'Tillförd energi'!$B$1:$AI$720,MATCH(X$2,'Tillförd energi'!$B$1:$AQ$1,0),FALSE)</f>
        <v>0</v>
      </c>
      <c r="Y368" s="63">
        <f>VLOOKUP($B368,'Tillförd energi'!$B$1:$AI$720,MATCH(Y$2,'Tillförd energi'!$B$1:$AQ$1,0),FALSE)</f>
        <v>0</v>
      </c>
      <c r="Z368" s="63">
        <f>VLOOKUP($B368,'Tillförd energi'!$B$1:$AI$720,MATCH(Z$2,'Tillförd energi'!$B$1:$AQ$1,0),FALSE)</f>
        <v>0</v>
      </c>
      <c r="AA368" s="63">
        <f>VLOOKUP($B368,'Tillförd energi'!$B$1:$AI$720,MATCH(AA$2,'Tillförd energi'!$B$1:$AQ$1,0),FALSE)</f>
        <v>0</v>
      </c>
      <c r="AB368" s="63">
        <f>VLOOKUP($B368,'Tillförd energi'!$B$1:$AI$720,MATCH(AB$2,'Tillförd energi'!$B$1:$AQ$1,0),FALSE)</f>
        <v>0</v>
      </c>
      <c r="AC368" s="63">
        <f>VLOOKUP($B368,'Tillförd energi'!$B$1:$AI$720,MATCH(AC$2,'Tillförd energi'!$B$1:$AQ$1,0),FALSE)</f>
        <v>0</v>
      </c>
      <c r="AD368" s="63">
        <f>VLOOKUP($B368,'Tillförd energi'!$B$1:$AI$720,MATCH(AD$2,'Tillförd energi'!$B$1:$AQ$1,0),FALSE)</f>
        <v>0</v>
      </c>
      <c r="AE368" s="63">
        <f>VLOOKUP($B368,'Tillförd energi'!$B$1:$AI$720,MATCH(AE$2,'Tillförd energi'!$B$1:$AQ$1,0),FALSE)</f>
        <v>0</v>
      </c>
      <c r="AF368" s="63">
        <f>VLOOKUP($B368,'Tillförd energi'!$B$1:$AI$720,MATCH(AF$2,'Tillförd energi'!$B$1:$AQ$1,0),FALSE)</f>
        <v>0.11</v>
      </c>
      <c r="AG368" s="63">
        <f>IFERROR(VLOOKUP(B368,Miljö!$B$1:$AC$550,MATCH("Köpt mängd produktionsspecifik fjärrvärme:",Miljö!$B$1:$AC$1,0),FALSE)/1,0)</f>
        <v>0</v>
      </c>
      <c r="AI368" s="63">
        <f t="shared" si="30"/>
        <v>8.9689999999999994</v>
      </c>
      <c r="AJ368" s="63">
        <f>IF(ISERROR(1/VLOOKUP($B368,Leveranser!$B$1:$S$500,MATCH("såld värme (gwh)",Leveranser!$B$1:$S$1,0),FALSE)),"",VLOOKUP($B368,Leveranser!$B$1:$S$500,MATCH("såld värme (gwh)",Leveranser!$B$1:$S$1,0),FALSE))</f>
        <v>6.7089999999999996</v>
      </c>
      <c r="AM368" s="63" t="str">
        <f>IF(B368&lt;&gt;"",IF(VLOOKUP($B368,Totalt!$B$1:$AQ$554,MATCH("Kvalitetsgranskad:",Totalt!$B$1:$AQ$1,0),FALSE)="ja",VLOOKUP($B368,Miljö!$B$1:$AG$479,MATCH(AM$2,Miljö!$B$1:$AK$1,0),FALSE),""),"")</f>
        <v>Ja</v>
      </c>
      <c r="AN368" s="63" t="str">
        <f>IF(AM368="ja",VLOOKUP($B368,Miljö!$B$1:$J$479,MATCH("Typ av ursprungsspecificerad el   (Om inget värde anges används Nordisk residualmix, se inforuta) ()",Miljö!$B$1:$J$1,0),FALSE),IF(AM368="nej","Nordisk residualel",""))</f>
        <v>'Bio energi'</v>
      </c>
      <c r="AO368" s="63">
        <f>IF(AM368="","",VLOOKUP($B368,Miljö!$B$1:$J$479,MATCH("Fossilandel för ursprungspecificerad el ()",Miljö!$B$1:$J$1,0),FALSE))</f>
        <v>0</v>
      </c>
      <c r="AQ368" s="63">
        <f t="shared" si="31"/>
        <v>1</v>
      </c>
      <c r="AS368" s="63" t="str">
        <f t="shared" si="32"/>
        <v>Nej</v>
      </c>
      <c r="AT368" s="63" t="str">
        <f>IF(AS368="ja",VLOOKUP($B368,Miljö!$B$1:$P$500,MATCH("Fossil andel i procent (%)",Miljö!$B$1:$P$1,0),FALSE)/100,"")</f>
        <v/>
      </c>
      <c r="AV368" s="63" t="str">
        <f t="shared" si="33"/>
        <v>Nej</v>
      </c>
      <c r="AW368" s="63" t="str">
        <f>IF(AV368="ja",VLOOKUP($B368,'Egen hetvattenprod'!$B$1:$AO$500,MATCH("Värmekälla till värmepumpar ()",'Egen hetvattenprod'!$B$1:$AO$1,0),FALSE),"")</f>
        <v/>
      </c>
      <c r="AY368" s="63" t="str">
        <f t="shared" si="34"/>
        <v>Nej</v>
      </c>
      <c r="AZ368" s="77" t="str">
        <f>IF($AY368="ja",(VLOOKUP($B368,'Egen hetvattenprod'!$B$1:$BX$550,MATCH(AZ$2,'Egen hetvattenprod'!$B$1:$BX$1,0),FALSE)+VLOOKUP($B368,Kraftvärmeprod!$B$1:$BX$550,MATCH(AZ$2,Kraftvärmeprod!$B$1:$BX$1,0),FALSE))/$AC368,"")</f>
        <v/>
      </c>
      <c r="BA368" s="77" t="str">
        <f>IF($AY368="ja",(VLOOKUP($B368,'Egen hetvattenprod'!$B$1:$BX$550,MATCH(BA$2,'Egen hetvattenprod'!$B$1:$BX$1,0),FALSE)+VLOOKUP($B368,Kraftvärmeprod!$B$1:$BX$550,MATCH(BA$2,Kraftvärmeprod!$B$1:$BX$1,0),FALSE))/$AC368,"")</f>
        <v/>
      </c>
      <c r="BB368" s="77" t="str">
        <f>IF($AY368="ja",(VLOOKUP($B368,'Egen hetvattenprod'!$B$1:$BX$550,MATCH(BB$2,'Egen hetvattenprod'!$B$1:$BX$1,0),FALSE)+VLOOKUP($B368,Kraftvärmeprod!$B$1:$BX$550,MATCH(BB$2,Kraftvärmeprod!$B$1:$BX$1,0),FALSE))/$AC368,"")</f>
        <v/>
      </c>
      <c r="BC368" s="77" t="str">
        <f>IF($AY368="ja",(VLOOKUP($B368,'Egen hetvattenprod'!$B$1:$BX$550,MATCH(BC$2,'Egen hetvattenprod'!$B$1:$BX$1,0),FALSE)+VLOOKUP($B368,Kraftvärmeprod!$B$1:$BX$550,MATCH(BC$2,Kraftvärmeprod!$B$1:$BX$1,0),FALSE))/$AC368,"")</f>
        <v/>
      </c>
      <c r="BD368" s="77" t="str">
        <f>IF($AY368="ja",(VLOOKUP($B368,'Egen hetvattenprod'!$B$1:$BX$550,MATCH(BD$2,'Egen hetvattenprod'!$B$1:$BX$1,0),FALSE)+VLOOKUP($B368,Kraftvärmeprod!$B$1:$BX$550,MATCH(BD$2,Kraftvärmeprod!$B$1:$BX$1,0),FALSE))/$AC368,"")</f>
        <v/>
      </c>
      <c r="BF368" s="63" t="str">
        <f t="shared" si="35"/>
        <v>Nej</v>
      </c>
      <c r="BG368" s="63" t="str">
        <f>IF($BF368="ja",VLOOKUP($B368,'Egen hetvattenprod'!$B$1:$BX$550,MATCH("Andelen klimatgaser med fossilt ursprung för avfall ()",'Egen hetvattenprod'!$B$1:$BX$1,0),FALSE),"")</f>
        <v/>
      </c>
      <c r="BH368" s="63" t="str">
        <f>IF($BF368="ja",VLOOKUP($B368,Kraftvärmeprod!$B$1:$BX$550,MATCH("Andelen klimatgaser med fossilt ursprung för avfall ()",Kraftvärmeprod!$B$1:$BX$1,0),FALSE),"")</f>
        <v/>
      </c>
      <c r="BI368" s="63" t="str">
        <f>IF($BF368="ja",VLOOKUP($B368,'Egen hetvattenprod'!$B$1:$BX$550,MATCH("Avfall (GWh)",'Egen hetvattenprod'!$B$1:$BX$1,0),FALSE),"")</f>
        <v/>
      </c>
      <c r="BJ368" s="63" t="str">
        <f>IF($BF368="ja",VLOOKUP($B368,'Slutlig allokering kvv'!$B$1:$BX$550,MATCH("Avfall (GWh)",'Slutlig allokering kvv'!$B$1:$BX$1,0),FALSE),"")</f>
        <v/>
      </c>
      <c r="BK368" s="63" t="str">
        <f>IF($BF368="ja",VLOOKUP($B368,'Köpt hetvatten'!$B$1:$BX$550,MATCH("Avfall i köpt hetvatten",'Köpt hetvatten'!$B$1:$BX$1,0),FALSE),"")</f>
        <v/>
      </c>
      <c r="BL368" s="63" t="str">
        <f>IF($BF368="ja",VLOOKUP($B368,'Egen hetvattenprod'!$B$1:$BX$550,MATCH("Värde enligt ovan. (%)",'Egen hetvattenprod'!$B$1:$BX$1,0),FALSE),"")</f>
        <v/>
      </c>
      <c r="BM368" s="63" t="str">
        <f>IF($BF368="ja",VLOOKUP($B368,Kraftvärmeprod!$B$1:$BX$550,MATCH("Värde enligt ovan. (%)",Kraftvärmeprod!$B$1:$BX$1,0),FALSE),"")</f>
        <v/>
      </c>
    </row>
    <row r="369" spans="1:65" x14ac:dyDescent="0.45">
      <c r="A369" s="63" t="s">
        <v>48</v>
      </c>
      <c r="B369" s="63" t="s">
        <v>205</v>
      </c>
      <c r="C369" s="63">
        <f>VLOOKUP($B369,'Tillförd energi'!$B$1:$AI$720,MATCH(C$2,'Tillförd energi'!$B$1:$AQ$1,0),FALSE)</f>
        <v>0</v>
      </c>
      <c r="D369" s="63">
        <f>VLOOKUP($B369,'Tillförd energi'!$B$1:$AI$720,MATCH(D$2,'Tillförd energi'!$B$1:$AQ$1,0),FALSE)</f>
        <v>2.14</v>
      </c>
      <c r="E369" s="63">
        <f>VLOOKUP($B369,'Tillförd energi'!$B$1:$AI$720,MATCH(E$2,'Tillförd energi'!$B$1:$AQ$1,0),FALSE)</f>
        <v>0</v>
      </c>
      <c r="F369" s="63">
        <f>VLOOKUP($B369,'Tillförd energi'!$B$1:$AI$720,MATCH(F$2,'Tillförd energi'!$B$1:$AQ$1,0),FALSE)</f>
        <v>0</v>
      </c>
      <c r="G369" s="63">
        <f>VLOOKUP($B369,'Tillförd energi'!$B$1:$AI$720,MATCH(G$2,'Tillförd energi'!$B$1:$AQ$1,0),FALSE)</f>
        <v>0</v>
      </c>
      <c r="H369" s="63">
        <f>VLOOKUP($B369,'Tillförd energi'!$B$1:$AI$720,MATCH(H$2,'Tillförd energi'!$B$1:$AQ$1,0),FALSE)</f>
        <v>0</v>
      </c>
      <c r="I369" s="63">
        <f>VLOOKUP($B369,'Tillförd energi'!$B$1:$AI$720,MATCH(I$2,'Tillförd energi'!$B$1:$AQ$1,0),FALSE)</f>
        <v>0</v>
      </c>
      <c r="J369" s="63">
        <f>VLOOKUP($B369,'Tillförd energi'!$B$1:$AI$720,MATCH(J$2,'Tillförd energi'!$B$1:$AQ$1,0),FALSE)</f>
        <v>0</v>
      </c>
      <c r="K369" s="63">
        <f>VLOOKUP($B369,'Tillförd energi'!$B$1:$AI$720,MATCH(K$2,'Tillförd energi'!$B$1:$AQ$1,0),FALSE)</f>
        <v>0</v>
      </c>
      <c r="L369" s="63">
        <f>VLOOKUP($B369,'Tillförd energi'!$B$1:$AI$720,MATCH(L$2,'Tillförd energi'!$B$1:$AQ$1,0),FALSE)</f>
        <v>0</v>
      </c>
      <c r="M369" s="63">
        <f>VLOOKUP($B369,'Tillförd energi'!$B$1:$AI$720,MATCH(M$2,'Tillförd energi'!$B$1:$AQ$1,0),FALSE)</f>
        <v>0</v>
      </c>
      <c r="N369" s="63">
        <f>VLOOKUP($B369,'Tillförd energi'!$B$1:$AI$720,MATCH(N$2,'Tillförd energi'!$B$1:$AQ$1,0),FALSE)</f>
        <v>0</v>
      </c>
      <c r="O369" s="63">
        <f>VLOOKUP($B369,'Tillförd energi'!$B$1:$AI$720,MATCH(O$2,'Tillförd energi'!$B$1:$AQ$1,0),FALSE)</f>
        <v>0</v>
      </c>
      <c r="P369" s="63">
        <f>VLOOKUP($B369,'Tillförd energi'!$B$1:$AI$720,MATCH(P$2,'Tillförd energi'!$B$1:$AQ$1,0),FALSE)</f>
        <v>0</v>
      </c>
      <c r="Q369" s="63">
        <f>VLOOKUP($B369,'Tillförd energi'!$B$1:$AI$720,MATCH(Q$2,'Tillförd energi'!$B$1:$AQ$1,0),FALSE)</f>
        <v>87.424000000000007</v>
      </c>
      <c r="R369" s="63">
        <f>VLOOKUP($B369,'Tillförd energi'!$B$1:$AI$720,MATCH(R$2,'Tillförd energi'!$B$1:$AQ$1,0),FALSE)</f>
        <v>0</v>
      </c>
      <c r="S369" s="63">
        <f>VLOOKUP($B369,'Tillförd energi'!$B$1:$AI$720,MATCH(S$2,'Tillförd energi'!$B$1:$AQ$1,0),FALSE)</f>
        <v>0</v>
      </c>
      <c r="T369" s="63">
        <f>VLOOKUP($B369,'Tillförd energi'!$B$1:$AI$720,MATCH(T$2,'Tillförd energi'!$B$1:$AQ$1,0),FALSE)</f>
        <v>0</v>
      </c>
      <c r="U369" s="63">
        <f>VLOOKUP($B369,'Tillförd energi'!$B$1:$AI$720,MATCH(U$2,'Tillförd energi'!$B$1:$AQ$1,0),FALSE)</f>
        <v>0</v>
      </c>
      <c r="V369" s="63">
        <f>VLOOKUP($B369,'Tillförd energi'!$B$1:$AI$720,MATCH(V$2,'Tillförd energi'!$B$1:$AQ$1,0),FALSE)</f>
        <v>0</v>
      </c>
      <c r="W369" s="63">
        <f>VLOOKUP($B369,'Tillförd energi'!$B$1:$AI$720,MATCH(W$2,'Tillförd energi'!$B$1:$AQ$1,0),FALSE)</f>
        <v>0</v>
      </c>
      <c r="X369" s="63">
        <f>VLOOKUP($B369,'Tillförd energi'!$B$1:$AI$720,MATCH(X$2,'Tillförd energi'!$B$1:$AQ$1,0),FALSE)</f>
        <v>0</v>
      </c>
      <c r="Y369" s="63">
        <f>VLOOKUP($B369,'Tillförd energi'!$B$1:$AI$720,MATCH(Y$2,'Tillförd energi'!$B$1:$AQ$1,0),FALSE)</f>
        <v>0</v>
      </c>
      <c r="Z369" s="63">
        <f>VLOOKUP($B369,'Tillförd energi'!$B$1:$AI$720,MATCH(Z$2,'Tillförd energi'!$B$1:$AQ$1,0),FALSE)</f>
        <v>0</v>
      </c>
      <c r="AA369" s="63">
        <f>VLOOKUP($B369,'Tillförd energi'!$B$1:$AI$720,MATCH(AA$2,'Tillförd energi'!$B$1:$AQ$1,0),FALSE)</f>
        <v>0</v>
      </c>
      <c r="AB369" s="63">
        <f>VLOOKUP($B369,'Tillförd energi'!$B$1:$AI$720,MATCH(AB$2,'Tillförd energi'!$B$1:$AQ$1,0),FALSE)</f>
        <v>0</v>
      </c>
      <c r="AC369" s="63">
        <f>VLOOKUP($B369,'Tillförd energi'!$B$1:$AI$720,MATCH(AC$2,'Tillförd energi'!$B$1:$AQ$1,0),FALSE)</f>
        <v>15.481</v>
      </c>
      <c r="AD369" s="63">
        <f>VLOOKUP($B369,'Tillförd energi'!$B$1:$AI$720,MATCH(AD$2,'Tillförd energi'!$B$1:$AQ$1,0),FALSE)</f>
        <v>0</v>
      </c>
      <c r="AE369" s="63">
        <f>VLOOKUP($B369,'Tillförd energi'!$B$1:$AI$720,MATCH(AE$2,'Tillförd energi'!$B$1:$AQ$1,0),FALSE)</f>
        <v>0</v>
      </c>
      <c r="AF369" s="63">
        <f>VLOOKUP($B369,'Tillförd energi'!$B$1:$AI$720,MATCH(AF$2,'Tillförd energi'!$B$1:$AQ$1,0),FALSE)</f>
        <v>3.7999999999999999E-2</v>
      </c>
      <c r="AG369" s="63">
        <f>IFERROR(VLOOKUP(B369,Miljö!$B$1:$AC$550,MATCH("Köpt mängd produktionsspecifik fjärrvärme:",Miljö!$B$1:$AC$1,0),FALSE)/1,0)</f>
        <v>0</v>
      </c>
      <c r="AI369" s="63">
        <f t="shared" si="30"/>
        <v>105.083</v>
      </c>
      <c r="AJ369" s="63">
        <f>IF(ISERROR(1/VLOOKUP($B369,Leveranser!$B$1:$S$500,MATCH("såld värme (gwh)",Leveranser!$B$1:$S$1,0),FALSE)),"",VLOOKUP($B369,Leveranser!$B$1:$S$500,MATCH("såld värme (gwh)",Leveranser!$B$1:$S$1,0),FALSE))</f>
        <v>79.188999999999993</v>
      </c>
      <c r="AM369" s="63" t="str">
        <f>IF(B369&lt;&gt;"",IF(VLOOKUP($B369,Totalt!$B$1:$AQ$554,MATCH("Kvalitetsgranskad:",Totalt!$B$1:$AQ$1,0),FALSE)="ja",VLOOKUP($B369,Miljö!$B$1:$AG$479,MATCH(AM$2,Miljö!$B$1:$AK$1,0),FALSE),""),"")</f>
        <v>Ja</v>
      </c>
      <c r="AN369" s="63" t="str">
        <f>IF(AM369="ja",VLOOKUP($B369,Miljö!$B$1:$J$479,MATCH("Typ av ursprungsspecificerad el   (Om inget värde anges används Nordisk residualmix, se inforuta) ()",Miljö!$B$1:$J$1,0),FALSE),IF(AM369="nej","Nordisk residualel",""))</f>
        <v>'Bio energi'</v>
      </c>
      <c r="AO369" s="63">
        <f>IF(AM369="","",VLOOKUP($B369,Miljö!$B$1:$J$479,MATCH("Fossilandel för ursprungspecificerad el ()",Miljö!$B$1:$J$1,0),FALSE))</f>
        <v>0</v>
      </c>
      <c r="AQ369" s="63">
        <f t="shared" si="31"/>
        <v>1</v>
      </c>
      <c r="AS369" s="63" t="str">
        <f t="shared" si="32"/>
        <v>Nej</v>
      </c>
      <c r="AT369" s="63" t="str">
        <f>IF(AS369="ja",VLOOKUP($B369,Miljö!$B$1:$P$500,MATCH("Fossil andel i procent (%)",Miljö!$B$1:$P$1,0),FALSE)/100,"")</f>
        <v/>
      </c>
      <c r="AV369" s="63" t="str">
        <f t="shared" si="33"/>
        <v>Nej</v>
      </c>
      <c r="AW369" s="63" t="str">
        <f>IF(AV369="ja",VLOOKUP($B369,'Egen hetvattenprod'!$B$1:$AO$500,MATCH("Värmekälla till värmepumpar ()",'Egen hetvattenprod'!$B$1:$AO$1,0),FALSE),"")</f>
        <v/>
      </c>
      <c r="AY369" s="63" t="str">
        <f t="shared" si="34"/>
        <v>Ja</v>
      </c>
      <c r="AZ369" s="77">
        <f>IF($AY369="ja",(VLOOKUP($B369,'Egen hetvattenprod'!$B$1:$BX$550,MATCH(AZ$2,'Egen hetvattenprod'!$B$1:$BX$1,0),FALSE)+VLOOKUP($B369,Kraftvärmeprod!$B$1:$BX$550,MATCH(AZ$2,Kraftvärmeprod!$B$1:$BX$1,0),FALSE))/$AC369,"")</f>
        <v>1</v>
      </c>
      <c r="BA369" s="77">
        <f>IF($AY369="ja",(VLOOKUP($B369,'Egen hetvattenprod'!$B$1:$BX$550,MATCH(BA$2,'Egen hetvattenprod'!$B$1:$BX$1,0),FALSE)+VLOOKUP($B369,Kraftvärmeprod!$B$1:$BX$550,MATCH(BA$2,Kraftvärmeprod!$B$1:$BX$1,0),FALSE))/$AC369,"")</f>
        <v>0</v>
      </c>
      <c r="BB369" s="77">
        <f>IF($AY369="ja",(VLOOKUP($B369,'Egen hetvattenprod'!$B$1:$BX$550,MATCH(BB$2,'Egen hetvattenprod'!$B$1:$BX$1,0),FALSE)+VLOOKUP($B369,Kraftvärmeprod!$B$1:$BX$550,MATCH(BB$2,Kraftvärmeprod!$B$1:$BX$1,0),FALSE))/$AC369,"")</f>
        <v>0</v>
      </c>
      <c r="BC369" s="77">
        <f>IF($AY369="ja",(VLOOKUP($B369,'Egen hetvattenprod'!$B$1:$BX$550,MATCH(BC$2,'Egen hetvattenprod'!$B$1:$BX$1,0),FALSE)+VLOOKUP($B369,Kraftvärmeprod!$B$1:$BX$550,MATCH(BC$2,Kraftvärmeprod!$B$1:$BX$1,0),FALSE))/$AC369,"")</f>
        <v>0</v>
      </c>
      <c r="BD369" s="77">
        <f>IF($AY369="ja",(VLOOKUP($B369,'Egen hetvattenprod'!$B$1:$BX$550,MATCH(BD$2,'Egen hetvattenprod'!$B$1:$BX$1,0),FALSE)+VLOOKUP($B369,Kraftvärmeprod!$B$1:$BX$550,MATCH(BD$2,Kraftvärmeprod!$B$1:$BX$1,0),FALSE))/$AC369,"")</f>
        <v>0</v>
      </c>
      <c r="BF369" s="63" t="str">
        <f t="shared" si="35"/>
        <v>Nej</v>
      </c>
      <c r="BG369" s="63" t="str">
        <f>IF($BF369="ja",VLOOKUP($B369,'Egen hetvattenprod'!$B$1:$BX$550,MATCH("Andelen klimatgaser med fossilt ursprung för avfall ()",'Egen hetvattenprod'!$B$1:$BX$1,0),FALSE),"")</f>
        <v/>
      </c>
      <c r="BH369" s="63" t="str">
        <f>IF($BF369="ja",VLOOKUP($B369,Kraftvärmeprod!$B$1:$BX$550,MATCH("Andelen klimatgaser med fossilt ursprung för avfall ()",Kraftvärmeprod!$B$1:$BX$1,0),FALSE),"")</f>
        <v/>
      </c>
      <c r="BI369" s="63" t="str">
        <f>IF($BF369="ja",VLOOKUP($B369,'Egen hetvattenprod'!$B$1:$BX$550,MATCH("Avfall (GWh)",'Egen hetvattenprod'!$B$1:$BX$1,0),FALSE),"")</f>
        <v/>
      </c>
      <c r="BJ369" s="63" t="str">
        <f>IF($BF369="ja",VLOOKUP($B369,'Slutlig allokering kvv'!$B$1:$BX$550,MATCH("Avfall (GWh)",'Slutlig allokering kvv'!$B$1:$BX$1,0),FALSE),"")</f>
        <v/>
      </c>
      <c r="BK369" s="63" t="str">
        <f>IF($BF369="ja",VLOOKUP($B369,'Köpt hetvatten'!$B$1:$BX$550,MATCH("Avfall i köpt hetvatten",'Köpt hetvatten'!$B$1:$BX$1,0),FALSE),"")</f>
        <v/>
      </c>
      <c r="BL369" s="63" t="str">
        <f>IF($BF369="ja",VLOOKUP($B369,'Egen hetvattenprod'!$B$1:$BX$550,MATCH("Värde enligt ovan. (%)",'Egen hetvattenprod'!$B$1:$BX$1,0),FALSE),"")</f>
        <v/>
      </c>
      <c r="BM369" s="63" t="str">
        <f>IF($BF369="ja",VLOOKUP($B369,Kraftvärmeprod!$B$1:$BX$550,MATCH("Värde enligt ovan. (%)",Kraftvärmeprod!$B$1:$BX$1,0),FALSE),"")</f>
        <v/>
      </c>
    </row>
    <row r="370" spans="1:65" x14ac:dyDescent="0.45">
      <c r="A370" s="63" t="s">
        <v>48</v>
      </c>
      <c r="B370" s="63" t="s">
        <v>204</v>
      </c>
      <c r="C370" s="63">
        <f>VLOOKUP($B370,'Tillförd energi'!$B$1:$AI$720,MATCH(C$2,'Tillförd energi'!$B$1:$AQ$1,0),FALSE)</f>
        <v>0</v>
      </c>
      <c r="D370" s="63">
        <f>VLOOKUP($B370,'Tillförd energi'!$B$1:$AI$720,MATCH(D$2,'Tillförd energi'!$B$1:$AQ$1,0),FALSE)</f>
        <v>0</v>
      </c>
      <c r="E370" s="63">
        <f>VLOOKUP($B370,'Tillförd energi'!$B$1:$AI$720,MATCH(E$2,'Tillförd energi'!$B$1:$AQ$1,0),FALSE)</f>
        <v>0</v>
      </c>
      <c r="F370" s="63">
        <f>VLOOKUP($B370,'Tillförd energi'!$B$1:$AI$720,MATCH(F$2,'Tillförd energi'!$B$1:$AQ$1,0),FALSE)</f>
        <v>0</v>
      </c>
      <c r="G370" s="63">
        <f>VLOOKUP($B370,'Tillförd energi'!$B$1:$AI$720,MATCH(G$2,'Tillförd energi'!$B$1:$AQ$1,0),FALSE)</f>
        <v>0</v>
      </c>
      <c r="H370" s="63">
        <f>VLOOKUP($B370,'Tillförd energi'!$B$1:$AI$720,MATCH(H$2,'Tillförd energi'!$B$1:$AQ$1,0),FALSE)</f>
        <v>0</v>
      </c>
      <c r="I370" s="63">
        <f>VLOOKUP($B370,'Tillförd energi'!$B$1:$AI$720,MATCH(I$2,'Tillförd energi'!$B$1:$AQ$1,0),FALSE)</f>
        <v>0</v>
      </c>
      <c r="J370" s="63">
        <f>VLOOKUP($B370,'Tillförd energi'!$B$1:$AI$720,MATCH(J$2,'Tillförd energi'!$B$1:$AQ$1,0),FALSE)</f>
        <v>0</v>
      </c>
      <c r="K370" s="63">
        <f>VLOOKUP($B370,'Tillförd energi'!$B$1:$AI$720,MATCH(K$2,'Tillförd energi'!$B$1:$AQ$1,0),FALSE)</f>
        <v>0</v>
      </c>
      <c r="L370" s="63">
        <f>VLOOKUP($B370,'Tillförd energi'!$B$1:$AI$720,MATCH(L$2,'Tillförd energi'!$B$1:$AQ$1,0),FALSE)</f>
        <v>0</v>
      </c>
      <c r="M370" s="63">
        <f>VLOOKUP($B370,'Tillförd energi'!$B$1:$AI$720,MATCH(M$2,'Tillförd energi'!$B$1:$AQ$1,0),FALSE)</f>
        <v>0</v>
      </c>
      <c r="N370" s="63">
        <f>VLOOKUP($B370,'Tillförd energi'!$B$1:$AI$720,MATCH(N$2,'Tillförd energi'!$B$1:$AQ$1,0),FALSE)</f>
        <v>0</v>
      </c>
      <c r="O370" s="63">
        <f>VLOOKUP($B370,'Tillförd energi'!$B$1:$AI$720,MATCH(O$2,'Tillförd energi'!$B$1:$AQ$1,0),FALSE)</f>
        <v>0</v>
      </c>
      <c r="P370" s="63">
        <f>VLOOKUP($B370,'Tillförd energi'!$B$1:$AI$720,MATCH(P$2,'Tillförd energi'!$B$1:$AQ$1,0),FALSE)</f>
        <v>0</v>
      </c>
      <c r="Q370" s="63">
        <f>VLOOKUP($B370,'Tillförd energi'!$B$1:$AI$720,MATCH(Q$2,'Tillförd energi'!$B$1:$AQ$1,0),FALSE)</f>
        <v>0</v>
      </c>
      <c r="R370" s="63">
        <f>VLOOKUP($B370,'Tillförd energi'!$B$1:$AI$720,MATCH(R$2,'Tillförd energi'!$B$1:$AQ$1,0),FALSE)</f>
        <v>0</v>
      </c>
      <c r="S370" s="63">
        <f>VLOOKUP($B370,'Tillförd energi'!$B$1:$AI$720,MATCH(S$2,'Tillförd energi'!$B$1:$AQ$1,0),FALSE)</f>
        <v>0</v>
      </c>
      <c r="T370" s="63">
        <f>VLOOKUP($B370,'Tillförd energi'!$B$1:$AI$720,MATCH(T$2,'Tillförd energi'!$B$1:$AQ$1,0),FALSE)</f>
        <v>0</v>
      </c>
      <c r="U370" s="63">
        <f>VLOOKUP($B370,'Tillförd energi'!$B$1:$AI$720,MATCH(U$2,'Tillförd energi'!$B$1:$AQ$1,0),FALSE)</f>
        <v>0</v>
      </c>
      <c r="V370" s="63">
        <f>VLOOKUP($B370,'Tillförd energi'!$B$1:$AI$720,MATCH(V$2,'Tillförd energi'!$B$1:$AQ$1,0),FALSE)</f>
        <v>0</v>
      </c>
      <c r="W370" s="63">
        <f>VLOOKUP($B370,'Tillförd energi'!$B$1:$AI$720,MATCH(W$2,'Tillförd energi'!$B$1:$AQ$1,0),FALSE)</f>
        <v>0</v>
      </c>
      <c r="X370" s="63">
        <f>VLOOKUP($B370,'Tillförd energi'!$B$1:$AI$720,MATCH(X$2,'Tillförd energi'!$B$1:$AQ$1,0),FALSE)</f>
        <v>0</v>
      </c>
      <c r="Y370" s="63">
        <f>VLOOKUP($B370,'Tillförd energi'!$B$1:$AI$720,MATCH(Y$2,'Tillförd energi'!$B$1:$AQ$1,0),FALSE)</f>
        <v>0</v>
      </c>
      <c r="Z370" s="63">
        <f>VLOOKUP($B370,'Tillförd energi'!$B$1:$AI$720,MATCH(Z$2,'Tillförd energi'!$B$1:$AQ$1,0),FALSE)</f>
        <v>0</v>
      </c>
      <c r="AA370" s="63">
        <f>VLOOKUP($B370,'Tillförd energi'!$B$1:$AI$720,MATCH(AA$2,'Tillförd energi'!$B$1:$AQ$1,0),FALSE)</f>
        <v>0</v>
      </c>
      <c r="AB370" s="63">
        <f>VLOOKUP($B370,'Tillförd energi'!$B$1:$AI$720,MATCH(AB$2,'Tillförd energi'!$B$1:$AQ$1,0),FALSE)</f>
        <v>0</v>
      </c>
      <c r="AC370" s="63">
        <f>VLOOKUP($B370,'Tillförd energi'!$B$1:$AI$720,MATCH(AC$2,'Tillförd energi'!$B$1:$AQ$1,0),FALSE)</f>
        <v>0</v>
      </c>
      <c r="AD370" s="63">
        <f>VLOOKUP($B370,'Tillförd energi'!$B$1:$AI$720,MATCH(AD$2,'Tillförd energi'!$B$1:$AQ$1,0),FALSE)</f>
        <v>0</v>
      </c>
      <c r="AE370" s="63">
        <f>VLOOKUP($B370,'Tillförd energi'!$B$1:$AI$720,MATCH(AE$2,'Tillförd energi'!$B$1:$AQ$1,0),FALSE)</f>
        <v>0</v>
      </c>
      <c r="AF370" s="63">
        <f>VLOOKUP($B370,'Tillförd energi'!$B$1:$AI$720,MATCH(AF$2,'Tillförd energi'!$B$1:$AQ$1,0),FALSE)</f>
        <v>0</v>
      </c>
      <c r="AG370" s="63">
        <f>IFERROR(VLOOKUP(B370,Miljö!$B$1:$AC$550,MATCH("Köpt mängd produktionsspecifik fjärrvärme:",Miljö!$B$1:$AC$1,0),FALSE)/1,0)</f>
        <v>0</v>
      </c>
      <c r="AI370" s="63">
        <f t="shared" si="30"/>
        <v>0</v>
      </c>
      <c r="AJ370" s="63" t="str">
        <f>IF(ISERROR(1/VLOOKUP($B370,Leveranser!$B$1:$S$500,MATCH("såld värme (gwh)",Leveranser!$B$1:$S$1,0),FALSE)),"",VLOOKUP($B370,Leveranser!$B$1:$S$500,MATCH("såld värme (gwh)",Leveranser!$B$1:$S$1,0),FALSE))</f>
        <v/>
      </c>
      <c r="AM370" s="63" t="str">
        <f>IF(B370&lt;&gt;"",IF(VLOOKUP($B370,Totalt!$B$1:$AQ$554,MATCH("Kvalitetsgranskad:",Totalt!$B$1:$AQ$1,0),FALSE)="ja",VLOOKUP($B370,Miljö!$B$1:$AG$479,MATCH(AM$2,Miljö!$B$1:$AK$1,0),FALSE),""),"")</f>
        <v/>
      </c>
      <c r="AN370" s="63" t="str">
        <f>IF(AM370="ja",VLOOKUP($B370,Miljö!$B$1:$J$479,MATCH("Typ av ursprungsspecificerad el   (Om inget värde anges används Nordisk residualmix, se inforuta) ()",Miljö!$B$1:$J$1,0),FALSE),IF(AM370="nej","Nordisk residualel",""))</f>
        <v/>
      </c>
      <c r="AO370" s="63" t="str">
        <f>IF(AM370="","",VLOOKUP($B370,Miljö!$B$1:$J$479,MATCH("Fossilandel för ursprungspecificerad el ()",Miljö!$B$1:$J$1,0),FALSE))</f>
        <v/>
      </c>
      <c r="AQ370" s="63" t="str">
        <f t="shared" si="31"/>
        <v/>
      </c>
      <c r="AS370" s="63" t="str">
        <f t="shared" si="32"/>
        <v>Nej</v>
      </c>
      <c r="AT370" s="63" t="str">
        <f>IF(AS370="ja",VLOOKUP($B370,Miljö!$B$1:$P$500,MATCH("Fossil andel i procent (%)",Miljö!$B$1:$P$1,0),FALSE)/100,"")</f>
        <v/>
      </c>
      <c r="AV370" s="63" t="str">
        <f t="shared" si="33"/>
        <v>Nej</v>
      </c>
      <c r="AW370" s="63" t="str">
        <f>IF(AV370="ja",VLOOKUP($B370,'Egen hetvattenprod'!$B$1:$AO$500,MATCH("Värmekälla till värmepumpar ()",'Egen hetvattenprod'!$B$1:$AO$1,0),FALSE),"")</f>
        <v/>
      </c>
      <c r="AY370" s="63" t="str">
        <f t="shared" si="34"/>
        <v>Nej</v>
      </c>
      <c r="AZ370" s="77" t="str">
        <f>IF($AY370="ja",(VLOOKUP($B370,'Egen hetvattenprod'!$B$1:$BX$550,MATCH(AZ$2,'Egen hetvattenprod'!$B$1:$BX$1,0),FALSE)+VLOOKUP($B370,Kraftvärmeprod!$B$1:$BX$550,MATCH(AZ$2,Kraftvärmeprod!$B$1:$BX$1,0),FALSE))/$AC370,"")</f>
        <v/>
      </c>
      <c r="BA370" s="77" t="str">
        <f>IF($AY370="ja",(VLOOKUP($B370,'Egen hetvattenprod'!$B$1:$BX$550,MATCH(BA$2,'Egen hetvattenprod'!$B$1:$BX$1,0),FALSE)+VLOOKUP($B370,Kraftvärmeprod!$B$1:$BX$550,MATCH(BA$2,Kraftvärmeprod!$B$1:$BX$1,0),FALSE))/$AC370,"")</f>
        <v/>
      </c>
      <c r="BB370" s="77" t="str">
        <f>IF($AY370="ja",(VLOOKUP($B370,'Egen hetvattenprod'!$B$1:$BX$550,MATCH(BB$2,'Egen hetvattenprod'!$B$1:$BX$1,0),FALSE)+VLOOKUP($B370,Kraftvärmeprod!$B$1:$BX$550,MATCH(BB$2,Kraftvärmeprod!$B$1:$BX$1,0),FALSE))/$AC370,"")</f>
        <v/>
      </c>
      <c r="BC370" s="77" t="str">
        <f>IF($AY370="ja",(VLOOKUP($B370,'Egen hetvattenprod'!$B$1:$BX$550,MATCH(BC$2,'Egen hetvattenprod'!$B$1:$BX$1,0),FALSE)+VLOOKUP($B370,Kraftvärmeprod!$B$1:$BX$550,MATCH(BC$2,Kraftvärmeprod!$B$1:$BX$1,0),FALSE))/$AC370,"")</f>
        <v/>
      </c>
      <c r="BD370" s="77" t="str">
        <f>IF($AY370="ja",(VLOOKUP($B370,'Egen hetvattenprod'!$B$1:$BX$550,MATCH(BD$2,'Egen hetvattenprod'!$B$1:$BX$1,0),FALSE)+VLOOKUP($B370,Kraftvärmeprod!$B$1:$BX$550,MATCH(BD$2,Kraftvärmeprod!$B$1:$BX$1,0),FALSE))/$AC370,"")</f>
        <v/>
      </c>
      <c r="BF370" s="63" t="str">
        <f t="shared" si="35"/>
        <v>Nej</v>
      </c>
      <c r="BG370" s="63" t="str">
        <f>IF($BF370="ja",VLOOKUP($B370,'Egen hetvattenprod'!$B$1:$BX$550,MATCH("Andelen klimatgaser med fossilt ursprung för avfall ()",'Egen hetvattenprod'!$B$1:$BX$1,0),FALSE),"")</f>
        <v/>
      </c>
      <c r="BH370" s="63" t="str">
        <f>IF($BF370="ja",VLOOKUP($B370,Kraftvärmeprod!$B$1:$BX$550,MATCH("Andelen klimatgaser med fossilt ursprung för avfall ()",Kraftvärmeprod!$B$1:$BX$1,0),FALSE),"")</f>
        <v/>
      </c>
      <c r="BI370" s="63" t="str">
        <f>IF($BF370="ja",VLOOKUP($B370,'Egen hetvattenprod'!$B$1:$BX$550,MATCH("Avfall (GWh)",'Egen hetvattenprod'!$B$1:$BX$1,0),FALSE),"")</f>
        <v/>
      </c>
      <c r="BJ370" s="63" t="str">
        <f>IF($BF370="ja",VLOOKUP($B370,'Slutlig allokering kvv'!$B$1:$BX$550,MATCH("Avfall (GWh)",'Slutlig allokering kvv'!$B$1:$BX$1,0),FALSE),"")</f>
        <v/>
      </c>
      <c r="BK370" s="63" t="str">
        <f>IF($BF370="ja",VLOOKUP($B370,'Köpt hetvatten'!$B$1:$BX$550,MATCH("Avfall i köpt hetvatten",'Köpt hetvatten'!$B$1:$BX$1,0),FALSE),"")</f>
        <v/>
      </c>
      <c r="BL370" s="63" t="str">
        <f>IF($BF370="ja",VLOOKUP($B370,'Egen hetvattenprod'!$B$1:$BX$550,MATCH("Värde enligt ovan. (%)",'Egen hetvattenprod'!$B$1:$BX$1,0),FALSE),"")</f>
        <v/>
      </c>
      <c r="BM370" s="63" t="str">
        <f>IF($BF370="ja",VLOOKUP($B370,Kraftvärmeprod!$B$1:$BX$550,MATCH("Värde enligt ovan. (%)",Kraftvärmeprod!$B$1:$BX$1,0),FALSE),"")</f>
        <v/>
      </c>
    </row>
    <row r="371" spans="1:65" x14ac:dyDescent="0.45">
      <c r="A371" s="63" t="s">
        <v>197</v>
      </c>
      <c r="B371" s="63" t="s">
        <v>198</v>
      </c>
      <c r="C371" s="63">
        <f>VLOOKUP($B371,'Tillförd energi'!$B$1:$AI$720,MATCH(C$2,'Tillförd energi'!$B$1:$AQ$1,0),FALSE)</f>
        <v>0</v>
      </c>
      <c r="D371" s="63">
        <f>VLOOKUP($B371,'Tillförd energi'!$B$1:$AI$720,MATCH(D$2,'Tillförd energi'!$B$1:$AQ$1,0),FALSE)</f>
        <v>3.5000000000000003E-2</v>
      </c>
      <c r="E371" s="63">
        <f>VLOOKUP($B371,'Tillförd energi'!$B$1:$AI$720,MATCH(E$2,'Tillförd energi'!$B$1:$AQ$1,0),FALSE)</f>
        <v>0</v>
      </c>
      <c r="F371" s="63">
        <f>VLOOKUP($B371,'Tillförd energi'!$B$1:$AI$720,MATCH(F$2,'Tillförd energi'!$B$1:$AQ$1,0),FALSE)</f>
        <v>0</v>
      </c>
      <c r="G371" s="63">
        <f>VLOOKUP($B371,'Tillförd energi'!$B$1:$AI$720,MATCH(G$2,'Tillförd energi'!$B$1:$AQ$1,0),FALSE)</f>
        <v>0</v>
      </c>
      <c r="H371" s="63">
        <f>VLOOKUP($B371,'Tillförd energi'!$B$1:$AI$720,MATCH(H$2,'Tillförd energi'!$B$1:$AQ$1,0),FALSE)</f>
        <v>0</v>
      </c>
      <c r="I371" s="63">
        <f>VLOOKUP($B371,'Tillförd energi'!$B$1:$AI$720,MATCH(I$2,'Tillförd energi'!$B$1:$AQ$1,0),FALSE)</f>
        <v>0</v>
      </c>
      <c r="J371" s="63">
        <f>VLOOKUP($B371,'Tillförd energi'!$B$1:$AI$720,MATCH(J$2,'Tillförd energi'!$B$1:$AQ$1,0),FALSE)</f>
        <v>0</v>
      </c>
      <c r="K371" s="63">
        <f>VLOOKUP($B371,'Tillförd energi'!$B$1:$AI$720,MATCH(K$2,'Tillförd energi'!$B$1:$AQ$1,0),FALSE)</f>
        <v>0</v>
      </c>
      <c r="L371" s="63">
        <f>VLOOKUP($B371,'Tillförd energi'!$B$1:$AI$720,MATCH(L$2,'Tillförd energi'!$B$1:$AQ$1,0),FALSE)</f>
        <v>0</v>
      </c>
      <c r="M371" s="63">
        <f>VLOOKUP($B371,'Tillförd energi'!$B$1:$AI$720,MATCH(M$2,'Tillförd energi'!$B$1:$AQ$1,0),FALSE)</f>
        <v>0</v>
      </c>
      <c r="N371" s="63">
        <f>VLOOKUP($B371,'Tillförd energi'!$B$1:$AI$720,MATCH(N$2,'Tillförd energi'!$B$1:$AQ$1,0),FALSE)</f>
        <v>0</v>
      </c>
      <c r="O371" s="63">
        <f>VLOOKUP($B371,'Tillförd energi'!$B$1:$AI$720,MATCH(O$2,'Tillförd energi'!$B$1:$AQ$1,0),FALSE)</f>
        <v>0</v>
      </c>
      <c r="P371" s="63">
        <f>VLOOKUP($B371,'Tillförd energi'!$B$1:$AI$720,MATCH(P$2,'Tillförd energi'!$B$1:$AQ$1,0),FALSE)</f>
        <v>0</v>
      </c>
      <c r="Q371" s="63">
        <f>VLOOKUP($B371,'Tillförd energi'!$B$1:$AI$720,MATCH(Q$2,'Tillförd energi'!$B$1:$AQ$1,0),FALSE)</f>
        <v>13.7271</v>
      </c>
      <c r="R371" s="63">
        <f>VLOOKUP($B371,'Tillförd energi'!$B$1:$AI$720,MATCH(R$2,'Tillförd energi'!$B$1:$AQ$1,0),FALSE)</f>
        <v>0</v>
      </c>
      <c r="S371" s="63">
        <f>VLOOKUP($B371,'Tillförd energi'!$B$1:$AI$720,MATCH(S$2,'Tillförd energi'!$B$1:$AQ$1,0),FALSE)</f>
        <v>0</v>
      </c>
      <c r="T371" s="63">
        <f>VLOOKUP($B371,'Tillförd energi'!$B$1:$AI$720,MATCH(T$2,'Tillförd energi'!$B$1:$AQ$1,0),FALSE)</f>
        <v>0</v>
      </c>
      <c r="U371" s="63">
        <f>VLOOKUP($B371,'Tillförd energi'!$B$1:$AI$720,MATCH(U$2,'Tillförd energi'!$B$1:$AQ$1,0),FALSE)</f>
        <v>0</v>
      </c>
      <c r="V371" s="63">
        <f>VLOOKUP($B371,'Tillförd energi'!$B$1:$AI$720,MATCH(V$2,'Tillförd energi'!$B$1:$AQ$1,0),FALSE)</f>
        <v>0</v>
      </c>
      <c r="W371" s="63">
        <f>VLOOKUP($B371,'Tillförd energi'!$B$1:$AI$720,MATCH(W$2,'Tillförd energi'!$B$1:$AQ$1,0),FALSE)</f>
        <v>0</v>
      </c>
      <c r="X371" s="63">
        <f>VLOOKUP($B371,'Tillförd energi'!$B$1:$AI$720,MATCH(X$2,'Tillförd energi'!$B$1:$AQ$1,0),FALSE)</f>
        <v>0</v>
      </c>
      <c r="Y371" s="63">
        <f>VLOOKUP($B371,'Tillförd energi'!$B$1:$AI$720,MATCH(Y$2,'Tillförd energi'!$B$1:$AQ$1,0),FALSE)</f>
        <v>0</v>
      </c>
      <c r="Z371" s="63">
        <f>VLOOKUP($B371,'Tillförd energi'!$B$1:$AI$720,MATCH(Z$2,'Tillförd energi'!$B$1:$AQ$1,0),FALSE)</f>
        <v>0</v>
      </c>
      <c r="AA371" s="63">
        <f>VLOOKUP($B371,'Tillförd energi'!$B$1:$AI$720,MATCH(AA$2,'Tillförd energi'!$B$1:$AQ$1,0),FALSE)</f>
        <v>0</v>
      </c>
      <c r="AB371" s="63">
        <f>VLOOKUP($B371,'Tillförd energi'!$B$1:$AI$720,MATCH(AB$2,'Tillförd energi'!$B$1:$AQ$1,0),FALSE)</f>
        <v>0</v>
      </c>
      <c r="AC371" s="63">
        <f>VLOOKUP($B371,'Tillförd energi'!$B$1:$AI$720,MATCH(AC$2,'Tillförd energi'!$B$1:$AQ$1,0),FALSE)</f>
        <v>0</v>
      </c>
      <c r="AD371" s="63">
        <f>VLOOKUP($B371,'Tillförd energi'!$B$1:$AI$720,MATCH(AD$2,'Tillförd energi'!$B$1:$AQ$1,0),FALSE)</f>
        <v>0</v>
      </c>
      <c r="AE371" s="63">
        <f>VLOOKUP($B371,'Tillförd energi'!$B$1:$AI$720,MATCH(AE$2,'Tillförd energi'!$B$1:$AQ$1,0),FALSE)</f>
        <v>0</v>
      </c>
      <c r="AF371" s="63">
        <f>VLOOKUP($B371,'Tillförd energi'!$B$1:$AI$720,MATCH(AF$2,'Tillförd energi'!$B$1:$AQ$1,0),FALSE)</f>
        <v>0.27389999999999998</v>
      </c>
      <c r="AG371" s="63">
        <f>IFERROR(VLOOKUP(B371,Miljö!$B$1:$AC$550,MATCH("Köpt mängd produktionsspecifik fjärrvärme:",Miljö!$B$1:$AC$1,0),FALSE)/1,0)</f>
        <v>0</v>
      </c>
      <c r="AI371" s="63">
        <f t="shared" si="30"/>
        <v>14.036</v>
      </c>
      <c r="AJ371" s="63">
        <f>IF(ISERROR(1/VLOOKUP($B371,Leveranser!$B$1:$S$500,MATCH("såld värme (gwh)",Leveranser!$B$1:$S$1,0),FALSE)),"",VLOOKUP($B371,Leveranser!$B$1:$S$500,MATCH("såld värme (gwh)",Leveranser!$B$1:$S$1,0),FALSE))</f>
        <v>9.1300000000000008</v>
      </c>
      <c r="AM371" s="63" t="str">
        <f>IF(B371&lt;&gt;"",IF(VLOOKUP($B371,Totalt!$B$1:$AQ$554,MATCH("Kvalitetsgranskad:",Totalt!$B$1:$AQ$1,0),FALSE)="ja",VLOOKUP($B371,Miljö!$B$1:$AG$479,MATCH(AM$2,Miljö!$B$1:$AK$1,0),FALSE),""),"")</f>
        <v>Ja</v>
      </c>
      <c r="AN371" s="63" t="str">
        <f>IF(AM371="ja",VLOOKUP($B371,Miljö!$B$1:$J$479,MATCH("Typ av ursprungsspecificerad el   (Om inget värde anges används Nordisk residualmix, se inforuta) ()",Miljö!$B$1:$J$1,0),FALSE),IF(AM371="nej","Nordisk residualel",""))</f>
        <v>'Vattenkraft'</v>
      </c>
      <c r="AO371" s="63">
        <f>IF(AM371="","",VLOOKUP($B371,Miljö!$B$1:$J$479,MATCH("Fossilandel för ursprungspecificerad el ()",Miljö!$B$1:$J$1,0),FALSE))</f>
        <v>0</v>
      </c>
      <c r="AQ371" s="63">
        <f t="shared" si="31"/>
        <v>1</v>
      </c>
      <c r="AS371" s="63" t="str">
        <f t="shared" si="32"/>
        <v>Nej</v>
      </c>
      <c r="AT371" s="63" t="str">
        <f>IF(AS371="ja",VLOOKUP($B371,Miljö!$B$1:$P$500,MATCH("Fossil andel i procent (%)",Miljö!$B$1:$P$1,0),FALSE)/100,"")</f>
        <v/>
      </c>
      <c r="AV371" s="63" t="str">
        <f t="shared" si="33"/>
        <v>Nej</v>
      </c>
      <c r="AW371" s="63" t="str">
        <f>IF(AV371="ja",VLOOKUP($B371,'Egen hetvattenprod'!$B$1:$AO$500,MATCH("Värmekälla till värmepumpar ()",'Egen hetvattenprod'!$B$1:$AO$1,0),FALSE),"")</f>
        <v/>
      </c>
      <c r="AY371" s="63" t="str">
        <f t="shared" si="34"/>
        <v>Nej</v>
      </c>
      <c r="AZ371" s="77" t="str">
        <f>IF($AY371="ja",(VLOOKUP($B371,'Egen hetvattenprod'!$B$1:$BX$550,MATCH(AZ$2,'Egen hetvattenprod'!$B$1:$BX$1,0),FALSE)+VLOOKUP($B371,Kraftvärmeprod!$B$1:$BX$550,MATCH(AZ$2,Kraftvärmeprod!$B$1:$BX$1,0),FALSE))/$AC371,"")</f>
        <v/>
      </c>
      <c r="BA371" s="77" t="str">
        <f>IF($AY371="ja",(VLOOKUP($B371,'Egen hetvattenprod'!$B$1:$BX$550,MATCH(BA$2,'Egen hetvattenprod'!$B$1:$BX$1,0),FALSE)+VLOOKUP($B371,Kraftvärmeprod!$B$1:$BX$550,MATCH(BA$2,Kraftvärmeprod!$B$1:$BX$1,0),FALSE))/$AC371,"")</f>
        <v/>
      </c>
      <c r="BB371" s="77" t="str">
        <f>IF($AY371="ja",(VLOOKUP($B371,'Egen hetvattenprod'!$B$1:$BX$550,MATCH(BB$2,'Egen hetvattenprod'!$B$1:$BX$1,0),FALSE)+VLOOKUP($B371,Kraftvärmeprod!$B$1:$BX$550,MATCH(BB$2,Kraftvärmeprod!$B$1:$BX$1,0),FALSE))/$AC371,"")</f>
        <v/>
      </c>
      <c r="BC371" s="77" t="str">
        <f>IF($AY371="ja",(VLOOKUP($B371,'Egen hetvattenprod'!$B$1:$BX$550,MATCH(BC$2,'Egen hetvattenprod'!$B$1:$BX$1,0),FALSE)+VLOOKUP($B371,Kraftvärmeprod!$B$1:$BX$550,MATCH(BC$2,Kraftvärmeprod!$B$1:$BX$1,0),FALSE))/$AC371,"")</f>
        <v/>
      </c>
      <c r="BD371" s="77" t="str">
        <f>IF($AY371="ja",(VLOOKUP($B371,'Egen hetvattenprod'!$B$1:$BX$550,MATCH(BD$2,'Egen hetvattenprod'!$B$1:$BX$1,0),FALSE)+VLOOKUP($B371,Kraftvärmeprod!$B$1:$BX$550,MATCH(BD$2,Kraftvärmeprod!$B$1:$BX$1,0),FALSE))/$AC371,"")</f>
        <v/>
      </c>
      <c r="BF371" s="63" t="str">
        <f t="shared" si="35"/>
        <v>Nej</v>
      </c>
      <c r="BG371" s="63" t="str">
        <f>IF($BF371="ja",VLOOKUP($B371,'Egen hetvattenprod'!$B$1:$BX$550,MATCH("Andelen klimatgaser med fossilt ursprung för avfall ()",'Egen hetvattenprod'!$B$1:$BX$1,0),FALSE),"")</f>
        <v/>
      </c>
      <c r="BH371" s="63" t="str">
        <f>IF($BF371="ja",VLOOKUP($B371,Kraftvärmeprod!$B$1:$BX$550,MATCH("Andelen klimatgaser med fossilt ursprung för avfall ()",Kraftvärmeprod!$B$1:$BX$1,0),FALSE),"")</f>
        <v/>
      </c>
      <c r="BI371" s="63" t="str">
        <f>IF($BF371="ja",VLOOKUP($B371,'Egen hetvattenprod'!$B$1:$BX$550,MATCH("Avfall (GWh)",'Egen hetvattenprod'!$B$1:$BX$1,0),FALSE),"")</f>
        <v/>
      </c>
      <c r="BJ371" s="63" t="str">
        <f>IF($BF371="ja",VLOOKUP($B371,'Slutlig allokering kvv'!$B$1:$BX$550,MATCH("Avfall (GWh)",'Slutlig allokering kvv'!$B$1:$BX$1,0),FALSE),"")</f>
        <v/>
      </c>
      <c r="BK371" s="63" t="str">
        <f>IF($BF371="ja",VLOOKUP($B371,'Köpt hetvatten'!$B$1:$BX$550,MATCH("Avfall i köpt hetvatten",'Köpt hetvatten'!$B$1:$BX$1,0),FALSE),"")</f>
        <v/>
      </c>
      <c r="BL371" s="63" t="str">
        <f>IF($BF371="ja",VLOOKUP($B371,'Egen hetvattenprod'!$B$1:$BX$550,MATCH("Värde enligt ovan. (%)",'Egen hetvattenprod'!$B$1:$BX$1,0),FALSE),"")</f>
        <v/>
      </c>
      <c r="BM371" s="63" t="str">
        <f>IF($BF371="ja",VLOOKUP($B371,Kraftvärmeprod!$B$1:$BX$550,MATCH("Värde enligt ovan. (%)",Kraftvärmeprod!$B$1:$BX$1,0),FALSE),"")</f>
        <v/>
      </c>
    </row>
    <row r="372" spans="1:65" x14ac:dyDescent="0.45">
      <c r="A372" s="63" t="s">
        <v>197</v>
      </c>
      <c r="B372" s="63" t="s">
        <v>196</v>
      </c>
      <c r="C372" s="63">
        <f>VLOOKUP($B372,'Tillförd energi'!$B$1:$AI$720,MATCH(C$2,'Tillförd energi'!$B$1:$AQ$1,0),FALSE)</f>
        <v>0</v>
      </c>
      <c r="D372" s="63">
        <f>VLOOKUP($B372,'Tillförd energi'!$B$1:$AI$720,MATCH(D$2,'Tillförd energi'!$B$1:$AQ$1,0),FALSE)</f>
        <v>5.4999999999999997E-3</v>
      </c>
      <c r="E372" s="63">
        <f>VLOOKUP($B372,'Tillförd energi'!$B$1:$AI$720,MATCH(E$2,'Tillförd energi'!$B$1:$AQ$1,0),FALSE)</f>
        <v>0</v>
      </c>
      <c r="F372" s="63">
        <f>VLOOKUP($B372,'Tillförd energi'!$B$1:$AI$720,MATCH(F$2,'Tillförd energi'!$B$1:$AQ$1,0),FALSE)</f>
        <v>0</v>
      </c>
      <c r="G372" s="63">
        <f>VLOOKUP($B372,'Tillförd energi'!$B$1:$AI$720,MATCH(G$2,'Tillförd energi'!$B$1:$AQ$1,0),FALSE)</f>
        <v>0</v>
      </c>
      <c r="H372" s="63">
        <f>VLOOKUP($B372,'Tillförd energi'!$B$1:$AI$720,MATCH(H$2,'Tillförd energi'!$B$1:$AQ$1,0),FALSE)</f>
        <v>0.32700000000000001</v>
      </c>
      <c r="I372" s="63">
        <f>VLOOKUP($B372,'Tillförd energi'!$B$1:$AI$720,MATCH(I$2,'Tillförd energi'!$B$1:$AQ$1,0),FALSE)</f>
        <v>0</v>
      </c>
      <c r="J372" s="63">
        <f>VLOOKUP($B372,'Tillförd energi'!$B$1:$AI$720,MATCH(J$2,'Tillförd energi'!$B$1:$AQ$1,0),FALSE)</f>
        <v>0.84099999999999997</v>
      </c>
      <c r="K372" s="63">
        <f>VLOOKUP($B372,'Tillförd energi'!$B$1:$AI$720,MATCH(K$2,'Tillförd energi'!$B$1:$AQ$1,0),FALSE)</f>
        <v>0</v>
      </c>
      <c r="L372" s="63">
        <f>VLOOKUP($B372,'Tillförd energi'!$B$1:$AI$720,MATCH(L$2,'Tillförd energi'!$B$1:$AQ$1,0),FALSE)</f>
        <v>0</v>
      </c>
      <c r="M372" s="63">
        <f>VLOOKUP($B372,'Tillförd energi'!$B$1:$AI$720,MATCH(M$2,'Tillförd energi'!$B$1:$AQ$1,0),FALSE)</f>
        <v>38.714100000000002</v>
      </c>
      <c r="N372" s="63">
        <f>VLOOKUP($B372,'Tillförd energi'!$B$1:$AI$720,MATCH(N$2,'Tillförd energi'!$B$1:$AQ$1,0),FALSE)</f>
        <v>70.4602</v>
      </c>
      <c r="O372" s="63">
        <f>VLOOKUP($B372,'Tillförd energi'!$B$1:$AI$720,MATCH(O$2,'Tillförd energi'!$B$1:$AQ$1,0),FALSE)</f>
        <v>0</v>
      </c>
      <c r="P372" s="63">
        <f>VLOOKUP($B372,'Tillförd energi'!$B$1:$AI$720,MATCH(P$2,'Tillförd energi'!$B$1:$AQ$1,0),FALSE)</f>
        <v>25.886700000000001</v>
      </c>
      <c r="Q372" s="63">
        <f>VLOOKUP($B372,'Tillförd energi'!$B$1:$AI$720,MATCH(Q$2,'Tillförd energi'!$B$1:$AQ$1,0),FALSE)</f>
        <v>0</v>
      </c>
      <c r="R372" s="63">
        <f>VLOOKUP($B372,'Tillförd energi'!$B$1:$AI$720,MATCH(R$2,'Tillförd energi'!$B$1:$AQ$1,0),FALSE)</f>
        <v>0</v>
      </c>
      <c r="S372" s="63">
        <f>VLOOKUP($B372,'Tillförd energi'!$B$1:$AI$720,MATCH(S$2,'Tillförd energi'!$B$1:$AQ$1,0),FALSE)</f>
        <v>0</v>
      </c>
      <c r="T372" s="63">
        <f>VLOOKUP($B372,'Tillförd energi'!$B$1:$AI$720,MATCH(T$2,'Tillförd energi'!$B$1:$AQ$1,0),FALSE)</f>
        <v>0</v>
      </c>
      <c r="U372" s="63">
        <f>VLOOKUP($B372,'Tillförd energi'!$B$1:$AI$720,MATCH(U$2,'Tillförd energi'!$B$1:$AQ$1,0),FALSE)</f>
        <v>0</v>
      </c>
      <c r="V372" s="63">
        <f>VLOOKUP($B372,'Tillförd energi'!$B$1:$AI$720,MATCH(V$2,'Tillförd energi'!$B$1:$AQ$1,0),FALSE)</f>
        <v>0</v>
      </c>
      <c r="W372" s="63">
        <f>VLOOKUP($B372,'Tillförd energi'!$B$1:$AI$720,MATCH(W$2,'Tillförd energi'!$B$1:$AQ$1,0),FALSE)</f>
        <v>1.8</v>
      </c>
      <c r="X372" s="63">
        <f>VLOOKUP($B372,'Tillförd energi'!$B$1:$AI$720,MATCH(X$2,'Tillförd energi'!$B$1:$AQ$1,0),FALSE)</f>
        <v>0</v>
      </c>
      <c r="Y372" s="63">
        <f>VLOOKUP($B372,'Tillförd energi'!$B$1:$AI$720,MATCH(Y$2,'Tillförd energi'!$B$1:$AQ$1,0),FALSE)</f>
        <v>0</v>
      </c>
      <c r="Z372" s="63">
        <f>VLOOKUP($B372,'Tillförd energi'!$B$1:$AI$720,MATCH(Z$2,'Tillförd energi'!$B$1:$AQ$1,0),FALSE)</f>
        <v>0</v>
      </c>
      <c r="AA372" s="63">
        <f>VLOOKUP($B372,'Tillförd energi'!$B$1:$AI$720,MATCH(AA$2,'Tillförd energi'!$B$1:$AQ$1,0),FALSE)</f>
        <v>0</v>
      </c>
      <c r="AB372" s="63">
        <f>VLOOKUP($B372,'Tillförd energi'!$B$1:$AI$720,MATCH(AB$2,'Tillförd energi'!$B$1:$AQ$1,0),FALSE)</f>
        <v>0</v>
      </c>
      <c r="AC372" s="63">
        <f>VLOOKUP($B372,'Tillförd energi'!$B$1:$AI$720,MATCH(AC$2,'Tillförd energi'!$B$1:$AQ$1,0),FALSE)</f>
        <v>28.727</v>
      </c>
      <c r="AD372" s="63">
        <f>VLOOKUP($B372,'Tillförd energi'!$B$1:$AI$720,MATCH(AD$2,'Tillförd energi'!$B$1:$AQ$1,0),FALSE)</f>
        <v>0.27300000000000002</v>
      </c>
      <c r="AE372" s="63">
        <f>VLOOKUP($B372,'Tillförd energi'!$B$1:$AI$720,MATCH(AE$2,'Tillförd energi'!$B$1:$AQ$1,0),FALSE)</f>
        <v>0</v>
      </c>
      <c r="AF372" s="63">
        <f>VLOOKUP($B372,'Tillförd energi'!$B$1:$AI$720,MATCH(AF$2,'Tillförd energi'!$B$1:$AQ$1,0),FALSE)</f>
        <v>4.2088799999999997</v>
      </c>
      <c r="AG372" s="63">
        <f>IFERROR(VLOOKUP(B372,Miljö!$B$1:$AC$550,MATCH("Köpt mängd produktionsspecifik fjärrvärme:",Miljö!$B$1:$AC$1,0),FALSE)/1,0)</f>
        <v>0</v>
      </c>
      <c r="AI372" s="63">
        <f t="shared" si="30"/>
        <v>171.24338</v>
      </c>
      <c r="AJ372" s="63">
        <f>IF(ISERROR(1/VLOOKUP($B372,Leveranser!$B$1:$S$500,MATCH("såld värme (gwh)",Leveranser!$B$1:$S$1,0),FALSE)),"",VLOOKUP($B372,Leveranser!$B$1:$S$500,MATCH("såld värme (gwh)",Leveranser!$B$1:$S$1,0),FALSE))</f>
        <v>140.29599999999999</v>
      </c>
      <c r="AM372" s="63" t="str">
        <f>IF(B372&lt;&gt;"",IF(VLOOKUP($B372,Totalt!$B$1:$AQ$554,MATCH("Kvalitetsgranskad:",Totalt!$B$1:$AQ$1,0),FALSE)="ja",VLOOKUP($B372,Miljö!$B$1:$AG$479,MATCH(AM$2,Miljö!$B$1:$AK$1,0),FALSE),""),"")</f>
        <v>Ja</v>
      </c>
      <c r="AN372" s="63" t="str">
        <f>IF(AM372="ja",VLOOKUP($B372,Miljö!$B$1:$J$479,MATCH("Typ av ursprungsspecificerad el   (Om inget värde anges används Nordisk residualmix, se inforuta) ()",Miljö!$B$1:$J$1,0),FALSE),IF(AM372="nej","Nordisk residualel",""))</f>
        <v>'Vindkraft och egen kraftvärme'</v>
      </c>
      <c r="AO372" s="63">
        <f>IF(AM372="","",VLOOKUP($B372,Miljö!$B$1:$J$479,MATCH("Fossilandel för ursprungspecificerad el ()",Miljö!$B$1:$J$1,0),FALSE))</f>
        <v>0</v>
      </c>
      <c r="AQ372" s="63">
        <f t="shared" si="31"/>
        <v>1</v>
      </c>
      <c r="AS372" s="63" t="str">
        <f t="shared" si="32"/>
        <v>Nej</v>
      </c>
      <c r="AT372" s="63" t="str">
        <f>IF(AS372="ja",VLOOKUP($B372,Miljö!$B$1:$P$500,MATCH("Fossil andel i procent (%)",Miljö!$B$1:$P$1,0),FALSE)/100,"")</f>
        <v/>
      </c>
      <c r="AV372" s="63" t="str">
        <f t="shared" si="33"/>
        <v>Nej</v>
      </c>
      <c r="AW372" s="63" t="str">
        <f>IF(AV372="ja",VLOOKUP($B372,'Egen hetvattenprod'!$B$1:$AO$500,MATCH("Värmekälla till värmepumpar ()",'Egen hetvattenprod'!$B$1:$AO$1,0),FALSE),"")</f>
        <v/>
      </c>
      <c r="AY372" s="63" t="str">
        <f t="shared" si="34"/>
        <v>Ja</v>
      </c>
      <c r="AZ372" s="77">
        <f>IF($AY372="ja",(VLOOKUP($B372,'Egen hetvattenprod'!$B$1:$BX$550,MATCH(AZ$2,'Egen hetvattenprod'!$B$1:$BX$1,0),FALSE)+VLOOKUP($B372,Kraftvärmeprod!$B$1:$BX$550,MATCH(AZ$2,Kraftvärmeprod!$B$1:$BX$1,0),FALSE))/$AC372,"")</f>
        <v>0.99999999999999989</v>
      </c>
      <c r="BA372" s="77">
        <f>IF($AY372="ja",(VLOOKUP($B372,'Egen hetvattenprod'!$B$1:$BX$550,MATCH(BA$2,'Egen hetvattenprod'!$B$1:$BX$1,0),FALSE)+VLOOKUP($B372,Kraftvärmeprod!$B$1:$BX$550,MATCH(BA$2,Kraftvärmeprod!$B$1:$BX$1,0),FALSE))/$AC372,"")</f>
        <v>0</v>
      </c>
      <c r="BB372" s="77">
        <f>IF($AY372="ja",(VLOOKUP($B372,'Egen hetvattenprod'!$B$1:$BX$550,MATCH(BB$2,'Egen hetvattenprod'!$B$1:$BX$1,0),FALSE)+VLOOKUP($B372,Kraftvärmeprod!$B$1:$BX$550,MATCH(BB$2,Kraftvärmeprod!$B$1:$BX$1,0),FALSE))/$AC372,"")</f>
        <v>0</v>
      </c>
      <c r="BC372" s="77">
        <f>IF($AY372="ja",(VLOOKUP($B372,'Egen hetvattenprod'!$B$1:$BX$550,MATCH(BC$2,'Egen hetvattenprod'!$B$1:$BX$1,0),FALSE)+VLOOKUP($B372,Kraftvärmeprod!$B$1:$BX$550,MATCH(BC$2,Kraftvärmeprod!$B$1:$BX$1,0),FALSE))/$AC372,"")</f>
        <v>0</v>
      </c>
      <c r="BD372" s="77">
        <f>IF($AY372="ja",(VLOOKUP($B372,'Egen hetvattenprod'!$B$1:$BX$550,MATCH(BD$2,'Egen hetvattenprod'!$B$1:$BX$1,0),FALSE)+VLOOKUP($B372,Kraftvärmeprod!$B$1:$BX$550,MATCH(BD$2,Kraftvärmeprod!$B$1:$BX$1,0),FALSE))/$AC372,"")</f>
        <v>0</v>
      </c>
      <c r="BF372" s="63" t="str">
        <f t="shared" si="35"/>
        <v>Nej</v>
      </c>
      <c r="BG372" s="63" t="str">
        <f>IF($BF372="ja",VLOOKUP($B372,'Egen hetvattenprod'!$B$1:$BX$550,MATCH("Andelen klimatgaser med fossilt ursprung för avfall ()",'Egen hetvattenprod'!$B$1:$BX$1,0),FALSE),"")</f>
        <v/>
      </c>
      <c r="BH372" s="63" t="str">
        <f>IF($BF372="ja",VLOOKUP($B372,Kraftvärmeprod!$B$1:$BX$550,MATCH("Andelen klimatgaser med fossilt ursprung för avfall ()",Kraftvärmeprod!$B$1:$BX$1,0),FALSE),"")</f>
        <v/>
      </c>
      <c r="BI372" s="63" t="str">
        <f>IF($BF372="ja",VLOOKUP($B372,'Egen hetvattenprod'!$B$1:$BX$550,MATCH("Avfall (GWh)",'Egen hetvattenprod'!$B$1:$BX$1,0),FALSE),"")</f>
        <v/>
      </c>
      <c r="BJ372" s="63" t="str">
        <f>IF($BF372="ja",VLOOKUP($B372,'Slutlig allokering kvv'!$B$1:$BX$550,MATCH("Avfall (GWh)",'Slutlig allokering kvv'!$B$1:$BX$1,0),FALSE),"")</f>
        <v/>
      </c>
      <c r="BK372" s="63" t="str">
        <f>IF($BF372="ja",VLOOKUP($B372,'Köpt hetvatten'!$B$1:$BX$550,MATCH("Avfall i köpt hetvatten",'Köpt hetvatten'!$B$1:$BX$1,0),FALSE),"")</f>
        <v/>
      </c>
      <c r="BL372" s="63" t="str">
        <f>IF($BF372="ja",VLOOKUP($B372,'Egen hetvattenprod'!$B$1:$BX$550,MATCH("Värde enligt ovan. (%)",'Egen hetvattenprod'!$B$1:$BX$1,0),FALSE),"")</f>
        <v/>
      </c>
      <c r="BM372" s="63" t="str">
        <f>IF($BF372="ja",VLOOKUP($B372,Kraftvärmeprod!$B$1:$BX$550,MATCH("Värde enligt ovan. (%)",Kraftvärmeprod!$B$1:$BX$1,0),FALSE),"")</f>
        <v/>
      </c>
    </row>
    <row r="373" spans="1:65" x14ac:dyDescent="0.45">
      <c r="A373" s="63" t="s">
        <v>197</v>
      </c>
      <c r="B373" s="63" t="s">
        <v>199</v>
      </c>
      <c r="C373" s="63">
        <f>VLOOKUP($B373,'Tillförd energi'!$B$1:$AI$720,MATCH(C$2,'Tillförd energi'!$B$1:$AQ$1,0),FALSE)</f>
        <v>0</v>
      </c>
      <c r="D373" s="63">
        <f>VLOOKUP($B373,'Tillförd energi'!$B$1:$AI$720,MATCH(D$2,'Tillförd energi'!$B$1:$AQ$1,0),FALSE)</f>
        <v>3.9100000000000003E-2</v>
      </c>
      <c r="E373" s="63">
        <f>VLOOKUP($B373,'Tillförd energi'!$B$1:$AI$720,MATCH(E$2,'Tillförd energi'!$B$1:$AQ$1,0),FALSE)</f>
        <v>0</v>
      </c>
      <c r="F373" s="63">
        <f>VLOOKUP($B373,'Tillförd energi'!$B$1:$AI$720,MATCH(F$2,'Tillförd energi'!$B$1:$AQ$1,0),FALSE)</f>
        <v>0</v>
      </c>
      <c r="G373" s="63">
        <f>VLOOKUP($B373,'Tillförd energi'!$B$1:$AI$720,MATCH(G$2,'Tillförd energi'!$B$1:$AQ$1,0),FALSE)</f>
        <v>0</v>
      </c>
      <c r="H373" s="63">
        <f>VLOOKUP($B373,'Tillförd energi'!$B$1:$AI$720,MATCH(H$2,'Tillförd energi'!$B$1:$AQ$1,0),FALSE)</f>
        <v>0</v>
      </c>
      <c r="I373" s="63">
        <f>VLOOKUP($B373,'Tillförd energi'!$B$1:$AI$720,MATCH(I$2,'Tillförd energi'!$B$1:$AQ$1,0),FALSE)</f>
        <v>0</v>
      </c>
      <c r="J373" s="63">
        <f>VLOOKUP($B373,'Tillförd energi'!$B$1:$AI$720,MATCH(J$2,'Tillförd energi'!$B$1:$AQ$1,0),FALSE)</f>
        <v>0</v>
      </c>
      <c r="K373" s="63">
        <f>VLOOKUP($B373,'Tillförd energi'!$B$1:$AI$720,MATCH(K$2,'Tillförd energi'!$B$1:$AQ$1,0),FALSE)</f>
        <v>0</v>
      </c>
      <c r="L373" s="63">
        <f>VLOOKUP($B373,'Tillförd energi'!$B$1:$AI$720,MATCH(L$2,'Tillförd energi'!$B$1:$AQ$1,0),FALSE)</f>
        <v>0</v>
      </c>
      <c r="M373" s="63">
        <f>VLOOKUP($B373,'Tillförd energi'!$B$1:$AI$720,MATCH(M$2,'Tillförd energi'!$B$1:$AQ$1,0),FALSE)</f>
        <v>0</v>
      </c>
      <c r="N373" s="63">
        <f>VLOOKUP($B373,'Tillförd energi'!$B$1:$AI$720,MATCH(N$2,'Tillförd energi'!$B$1:$AQ$1,0),FALSE)</f>
        <v>0</v>
      </c>
      <c r="O373" s="63">
        <f>VLOOKUP($B373,'Tillförd energi'!$B$1:$AI$720,MATCH(O$2,'Tillförd energi'!$B$1:$AQ$1,0),FALSE)</f>
        <v>0</v>
      </c>
      <c r="P373" s="63">
        <f>VLOOKUP($B373,'Tillförd energi'!$B$1:$AI$720,MATCH(P$2,'Tillförd energi'!$B$1:$AQ$1,0),FALSE)</f>
        <v>0</v>
      </c>
      <c r="Q373" s="63">
        <f>VLOOKUP($B373,'Tillförd energi'!$B$1:$AI$720,MATCH(Q$2,'Tillförd energi'!$B$1:$AQ$1,0),FALSE)</f>
        <v>0</v>
      </c>
      <c r="R373" s="63">
        <f>VLOOKUP($B373,'Tillförd energi'!$B$1:$AI$720,MATCH(R$2,'Tillförd energi'!$B$1:$AQ$1,0),FALSE)</f>
        <v>0.71399999999999997</v>
      </c>
      <c r="S373" s="63">
        <f>VLOOKUP($B373,'Tillförd energi'!$B$1:$AI$720,MATCH(S$2,'Tillförd energi'!$B$1:$AQ$1,0),FALSE)</f>
        <v>0</v>
      </c>
      <c r="T373" s="63">
        <f>VLOOKUP($B373,'Tillförd energi'!$B$1:$AI$720,MATCH(T$2,'Tillförd energi'!$B$1:$AQ$1,0),FALSE)</f>
        <v>0</v>
      </c>
      <c r="U373" s="63">
        <f>VLOOKUP($B373,'Tillförd energi'!$B$1:$AI$720,MATCH(U$2,'Tillförd energi'!$B$1:$AQ$1,0),FALSE)</f>
        <v>0</v>
      </c>
      <c r="V373" s="63">
        <f>VLOOKUP($B373,'Tillförd energi'!$B$1:$AI$720,MATCH(V$2,'Tillförd energi'!$B$1:$AQ$1,0),FALSE)</f>
        <v>0</v>
      </c>
      <c r="W373" s="63">
        <f>VLOOKUP($B373,'Tillförd energi'!$B$1:$AI$720,MATCH(W$2,'Tillförd energi'!$B$1:$AQ$1,0),FALSE)</f>
        <v>0</v>
      </c>
      <c r="X373" s="63">
        <f>VLOOKUP($B373,'Tillförd energi'!$B$1:$AI$720,MATCH(X$2,'Tillförd energi'!$B$1:$AQ$1,0),FALSE)</f>
        <v>0</v>
      </c>
      <c r="Y373" s="63">
        <f>VLOOKUP($B373,'Tillförd energi'!$B$1:$AI$720,MATCH(Y$2,'Tillförd energi'!$B$1:$AQ$1,0),FALSE)</f>
        <v>0</v>
      </c>
      <c r="Z373" s="63">
        <f>VLOOKUP($B373,'Tillförd energi'!$B$1:$AI$720,MATCH(Z$2,'Tillförd energi'!$B$1:$AQ$1,0),FALSE)</f>
        <v>0</v>
      </c>
      <c r="AA373" s="63">
        <f>VLOOKUP($B373,'Tillförd energi'!$B$1:$AI$720,MATCH(AA$2,'Tillförd energi'!$B$1:$AQ$1,0),FALSE)</f>
        <v>0</v>
      </c>
      <c r="AB373" s="63">
        <f>VLOOKUP($B373,'Tillförd energi'!$B$1:$AI$720,MATCH(AB$2,'Tillförd energi'!$B$1:$AQ$1,0),FALSE)</f>
        <v>0</v>
      </c>
      <c r="AC373" s="63">
        <f>VLOOKUP($B373,'Tillförd energi'!$B$1:$AI$720,MATCH(AC$2,'Tillförd energi'!$B$1:$AQ$1,0),FALSE)</f>
        <v>0</v>
      </c>
      <c r="AD373" s="63">
        <f>VLOOKUP($B373,'Tillförd energi'!$B$1:$AI$720,MATCH(AD$2,'Tillförd energi'!$B$1:$AQ$1,0),FALSE)</f>
        <v>0</v>
      </c>
      <c r="AE373" s="63">
        <f>VLOOKUP($B373,'Tillförd energi'!$B$1:$AI$720,MATCH(AE$2,'Tillförd energi'!$B$1:$AQ$1,0),FALSE)</f>
        <v>0</v>
      </c>
      <c r="AF373" s="63">
        <f>VLOOKUP($B373,'Tillförd energi'!$B$1:$AI$720,MATCH(AF$2,'Tillförd energi'!$B$1:$AQ$1,0),FALSE)</f>
        <v>1.8450000000000001E-2</v>
      </c>
      <c r="AG373" s="63">
        <f>IFERROR(VLOOKUP(B373,Miljö!$B$1:$AC$550,MATCH("Köpt mängd produktionsspecifik fjärrvärme:",Miljö!$B$1:$AC$1,0),FALSE)/1,0)</f>
        <v>0</v>
      </c>
      <c r="AI373" s="63">
        <f t="shared" si="30"/>
        <v>0.77154999999999996</v>
      </c>
      <c r="AJ373" s="63">
        <f>IF(ISERROR(1/VLOOKUP($B373,Leveranser!$B$1:$S$500,MATCH("såld värme (gwh)",Leveranser!$B$1:$S$1,0),FALSE)),"",VLOOKUP($B373,Leveranser!$B$1:$S$500,MATCH("såld värme (gwh)",Leveranser!$B$1:$S$1,0),FALSE))</f>
        <v>0.61499999999999999</v>
      </c>
      <c r="AM373" s="63" t="str">
        <f>IF(B373&lt;&gt;"",IF(VLOOKUP($B373,Totalt!$B$1:$AQ$554,MATCH("Kvalitetsgranskad:",Totalt!$B$1:$AQ$1,0),FALSE)="ja",VLOOKUP($B373,Miljö!$B$1:$AG$479,MATCH(AM$2,Miljö!$B$1:$AK$1,0),FALSE),""),"")</f>
        <v>Ja</v>
      </c>
      <c r="AN373" s="63" t="str">
        <f>IF(AM373="ja",VLOOKUP($B373,Miljö!$B$1:$J$479,MATCH("Typ av ursprungsspecificerad el   (Om inget värde anges används Nordisk residualmix, se inforuta) ()",Miljö!$B$1:$J$1,0),FALSE),IF(AM373="nej","Nordisk residualel",""))</f>
        <v>'Vattenkraft'</v>
      </c>
      <c r="AO373" s="63">
        <f>IF(AM373="","",VLOOKUP($B373,Miljö!$B$1:$J$479,MATCH("Fossilandel för ursprungspecificerad el ()",Miljö!$B$1:$J$1,0),FALSE))</f>
        <v>0</v>
      </c>
      <c r="AQ373" s="63">
        <f t="shared" si="31"/>
        <v>1</v>
      </c>
      <c r="AS373" s="63" t="str">
        <f t="shared" si="32"/>
        <v>Nej</v>
      </c>
      <c r="AT373" s="63" t="str">
        <f>IF(AS373="ja",VLOOKUP($B373,Miljö!$B$1:$P$500,MATCH("Fossil andel i procent (%)",Miljö!$B$1:$P$1,0),FALSE)/100,"")</f>
        <v/>
      </c>
      <c r="AV373" s="63" t="str">
        <f t="shared" si="33"/>
        <v>Nej</v>
      </c>
      <c r="AW373" s="63" t="str">
        <f>IF(AV373="ja",VLOOKUP($B373,'Egen hetvattenprod'!$B$1:$AO$500,MATCH("Värmekälla till värmepumpar ()",'Egen hetvattenprod'!$B$1:$AO$1,0),FALSE),"")</f>
        <v/>
      </c>
      <c r="AY373" s="63" t="str">
        <f t="shared" si="34"/>
        <v>Nej</v>
      </c>
      <c r="AZ373" s="77" t="str">
        <f>IF($AY373="ja",(VLOOKUP($B373,'Egen hetvattenprod'!$B$1:$BX$550,MATCH(AZ$2,'Egen hetvattenprod'!$B$1:$BX$1,0),FALSE)+VLOOKUP($B373,Kraftvärmeprod!$B$1:$BX$550,MATCH(AZ$2,Kraftvärmeprod!$B$1:$BX$1,0),FALSE))/$AC373,"")</f>
        <v/>
      </c>
      <c r="BA373" s="77" t="str">
        <f>IF($AY373="ja",(VLOOKUP($B373,'Egen hetvattenprod'!$B$1:$BX$550,MATCH(BA$2,'Egen hetvattenprod'!$B$1:$BX$1,0),FALSE)+VLOOKUP($B373,Kraftvärmeprod!$B$1:$BX$550,MATCH(BA$2,Kraftvärmeprod!$B$1:$BX$1,0),FALSE))/$AC373,"")</f>
        <v/>
      </c>
      <c r="BB373" s="77" t="str">
        <f>IF($AY373="ja",(VLOOKUP($B373,'Egen hetvattenprod'!$B$1:$BX$550,MATCH(BB$2,'Egen hetvattenprod'!$B$1:$BX$1,0),FALSE)+VLOOKUP($B373,Kraftvärmeprod!$B$1:$BX$550,MATCH(BB$2,Kraftvärmeprod!$B$1:$BX$1,0),FALSE))/$AC373,"")</f>
        <v/>
      </c>
      <c r="BC373" s="77" t="str">
        <f>IF($AY373="ja",(VLOOKUP($B373,'Egen hetvattenprod'!$B$1:$BX$550,MATCH(BC$2,'Egen hetvattenprod'!$B$1:$BX$1,0),FALSE)+VLOOKUP($B373,Kraftvärmeprod!$B$1:$BX$550,MATCH(BC$2,Kraftvärmeprod!$B$1:$BX$1,0),FALSE))/$AC373,"")</f>
        <v/>
      </c>
      <c r="BD373" s="77" t="str">
        <f>IF($AY373="ja",(VLOOKUP($B373,'Egen hetvattenprod'!$B$1:$BX$550,MATCH(BD$2,'Egen hetvattenprod'!$B$1:$BX$1,0),FALSE)+VLOOKUP($B373,Kraftvärmeprod!$B$1:$BX$550,MATCH(BD$2,Kraftvärmeprod!$B$1:$BX$1,0),FALSE))/$AC373,"")</f>
        <v/>
      </c>
      <c r="BF373" s="63" t="str">
        <f t="shared" si="35"/>
        <v>Nej</v>
      </c>
      <c r="BG373" s="63" t="str">
        <f>IF($BF373="ja",VLOOKUP($B373,'Egen hetvattenprod'!$B$1:$BX$550,MATCH("Andelen klimatgaser med fossilt ursprung för avfall ()",'Egen hetvattenprod'!$B$1:$BX$1,0),FALSE),"")</f>
        <v/>
      </c>
      <c r="BH373" s="63" t="str">
        <f>IF($BF373="ja",VLOOKUP($B373,Kraftvärmeprod!$B$1:$BX$550,MATCH("Andelen klimatgaser med fossilt ursprung för avfall ()",Kraftvärmeprod!$B$1:$BX$1,0),FALSE),"")</f>
        <v/>
      </c>
      <c r="BI373" s="63" t="str">
        <f>IF($BF373="ja",VLOOKUP($B373,'Egen hetvattenprod'!$B$1:$BX$550,MATCH("Avfall (GWh)",'Egen hetvattenprod'!$B$1:$BX$1,0),FALSE),"")</f>
        <v/>
      </c>
      <c r="BJ373" s="63" t="str">
        <f>IF($BF373="ja",VLOOKUP($B373,'Slutlig allokering kvv'!$B$1:$BX$550,MATCH("Avfall (GWh)",'Slutlig allokering kvv'!$B$1:$BX$1,0),FALSE),"")</f>
        <v/>
      </c>
      <c r="BK373" s="63" t="str">
        <f>IF($BF373="ja",VLOOKUP($B373,'Köpt hetvatten'!$B$1:$BX$550,MATCH("Avfall i köpt hetvatten",'Köpt hetvatten'!$B$1:$BX$1,0),FALSE),"")</f>
        <v/>
      </c>
      <c r="BL373" s="63" t="str">
        <f>IF($BF373="ja",VLOOKUP($B373,'Egen hetvattenprod'!$B$1:$BX$550,MATCH("Värde enligt ovan. (%)",'Egen hetvattenprod'!$B$1:$BX$1,0),FALSE),"")</f>
        <v/>
      </c>
      <c r="BM373" s="63" t="str">
        <f>IF($BF373="ja",VLOOKUP($B373,Kraftvärmeprod!$B$1:$BX$550,MATCH("Värde enligt ovan. (%)",Kraftvärmeprod!$B$1:$BX$1,0),FALSE),"")</f>
        <v/>
      </c>
    </row>
    <row r="374" spans="1:65" x14ac:dyDescent="0.45">
      <c r="A374" s="63" t="s">
        <v>197</v>
      </c>
      <c r="B374" s="63" t="s">
        <v>202</v>
      </c>
      <c r="C374" s="63">
        <f>VLOOKUP($B374,'Tillförd energi'!$B$1:$AI$720,MATCH(C$2,'Tillförd energi'!$B$1:$AQ$1,0),FALSE)</f>
        <v>0</v>
      </c>
      <c r="D374" s="63">
        <f>VLOOKUP($B374,'Tillförd energi'!$B$1:$AI$720,MATCH(D$2,'Tillförd energi'!$B$1:$AQ$1,0),FALSE)</f>
        <v>7.1499999999999994E-2</v>
      </c>
      <c r="E374" s="63">
        <f>VLOOKUP($B374,'Tillförd energi'!$B$1:$AI$720,MATCH(E$2,'Tillförd energi'!$B$1:$AQ$1,0),FALSE)</f>
        <v>0</v>
      </c>
      <c r="F374" s="63">
        <f>VLOOKUP($B374,'Tillförd energi'!$B$1:$AI$720,MATCH(F$2,'Tillförd energi'!$B$1:$AQ$1,0),FALSE)</f>
        <v>0</v>
      </c>
      <c r="G374" s="63">
        <f>VLOOKUP($B374,'Tillförd energi'!$B$1:$AI$720,MATCH(G$2,'Tillförd energi'!$B$1:$AQ$1,0),FALSE)</f>
        <v>0</v>
      </c>
      <c r="H374" s="63">
        <f>VLOOKUP($B374,'Tillförd energi'!$B$1:$AI$720,MATCH(H$2,'Tillförd energi'!$B$1:$AQ$1,0),FALSE)</f>
        <v>0</v>
      </c>
      <c r="I374" s="63">
        <f>VLOOKUP($B374,'Tillförd energi'!$B$1:$AI$720,MATCH(I$2,'Tillförd energi'!$B$1:$AQ$1,0),FALSE)</f>
        <v>0</v>
      </c>
      <c r="J374" s="63">
        <f>VLOOKUP($B374,'Tillförd energi'!$B$1:$AI$720,MATCH(J$2,'Tillförd energi'!$B$1:$AQ$1,0),FALSE)</f>
        <v>0</v>
      </c>
      <c r="K374" s="63">
        <f>VLOOKUP($B374,'Tillförd energi'!$B$1:$AI$720,MATCH(K$2,'Tillförd energi'!$B$1:$AQ$1,0),FALSE)</f>
        <v>0</v>
      </c>
      <c r="L374" s="63">
        <f>VLOOKUP($B374,'Tillförd energi'!$B$1:$AI$720,MATCH(L$2,'Tillförd energi'!$B$1:$AQ$1,0),FALSE)</f>
        <v>0</v>
      </c>
      <c r="M374" s="63">
        <f>VLOOKUP($B374,'Tillförd energi'!$B$1:$AI$720,MATCH(M$2,'Tillförd energi'!$B$1:$AQ$1,0),FALSE)</f>
        <v>0</v>
      </c>
      <c r="N374" s="63">
        <f>VLOOKUP($B374,'Tillförd energi'!$B$1:$AI$720,MATCH(N$2,'Tillförd energi'!$B$1:$AQ$1,0),FALSE)</f>
        <v>0</v>
      </c>
      <c r="O374" s="63">
        <f>VLOOKUP($B374,'Tillförd energi'!$B$1:$AI$720,MATCH(O$2,'Tillförd energi'!$B$1:$AQ$1,0),FALSE)</f>
        <v>0</v>
      </c>
      <c r="P374" s="63">
        <f>VLOOKUP($B374,'Tillförd energi'!$B$1:$AI$720,MATCH(P$2,'Tillförd energi'!$B$1:$AQ$1,0),FALSE)</f>
        <v>0</v>
      </c>
      <c r="Q374" s="63">
        <f>VLOOKUP($B374,'Tillförd energi'!$B$1:$AI$720,MATCH(Q$2,'Tillförd energi'!$B$1:$AQ$1,0),FALSE)</f>
        <v>0</v>
      </c>
      <c r="R374" s="63">
        <f>VLOOKUP($B374,'Tillförd energi'!$B$1:$AI$720,MATCH(R$2,'Tillförd energi'!$B$1:$AQ$1,0),FALSE)</f>
        <v>3.46</v>
      </c>
      <c r="S374" s="63">
        <f>VLOOKUP($B374,'Tillförd energi'!$B$1:$AI$720,MATCH(S$2,'Tillförd energi'!$B$1:$AQ$1,0),FALSE)</f>
        <v>0</v>
      </c>
      <c r="T374" s="63">
        <f>VLOOKUP($B374,'Tillförd energi'!$B$1:$AI$720,MATCH(T$2,'Tillförd energi'!$B$1:$AQ$1,0),FALSE)</f>
        <v>0</v>
      </c>
      <c r="U374" s="63">
        <f>VLOOKUP($B374,'Tillförd energi'!$B$1:$AI$720,MATCH(U$2,'Tillförd energi'!$B$1:$AQ$1,0),FALSE)</f>
        <v>0</v>
      </c>
      <c r="V374" s="63">
        <f>VLOOKUP($B374,'Tillförd energi'!$B$1:$AI$720,MATCH(V$2,'Tillförd energi'!$B$1:$AQ$1,0),FALSE)</f>
        <v>0</v>
      </c>
      <c r="W374" s="63">
        <f>VLOOKUP($B374,'Tillförd energi'!$B$1:$AI$720,MATCH(W$2,'Tillförd energi'!$B$1:$AQ$1,0),FALSE)</f>
        <v>0</v>
      </c>
      <c r="X374" s="63">
        <f>VLOOKUP($B374,'Tillförd energi'!$B$1:$AI$720,MATCH(X$2,'Tillförd energi'!$B$1:$AQ$1,0),FALSE)</f>
        <v>0</v>
      </c>
      <c r="Y374" s="63">
        <f>VLOOKUP($B374,'Tillförd energi'!$B$1:$AI$720,MATCH(Y$2,'Tillförd energi'!$B$1:$AQ$1,0),FALSE)</f>
        <v>0</v>
      </c>
      <c r="Z374" s="63">
        <f>VLOOKUP($B374,'Tillförd energi'!$B$1:$AI$720,MATCH(Z$2,'Tillförd energi'!$B$1:$AQ$1,0),FALSE)</f>
        <v>0</v>
      </c>
      <c r="AA374" s="63">
        <f>VLOOKUP($B374,'Tillförd energi'!$B$1:$AI$720,MATCH(AA$2,'Tillförd energi'!$B$1:$AQ$1,0),FALSE)</f>
        <v>0.10100000000000001</v>
      </c>
      <c r="AB374" s="63">
        <f>VLOOKUP($B374,'Tillförd energi'!$B$1:$AI$720,MATCH(AB$2,'Tillförd energi'!$B$1:$AQ$1,0),FALSE)</f>
        <v>0.20300000000000001</v>
      </c>
      <c r="AC374" s="63">
        <f>VLOOKUP($B374,'Tillförd energi'!$B$1:$AI$720,MATCH(AC$2,'Tillförd energi'!$B$1:$AQ$1,0),FALSE)</f>
        <v>0</v>
      </c>
      <c r="AD374" s="63">
        <f>VLOOKUP($B374,'Tillförd energi'!$B$1:$AI$720,MATCH(AD$2,'Tillförd energi'!$B$1:$AQ$1,0),FALSE)</f>
        <v>0</v>
      </c>
      <c r="AE374" s="63">
        <f>VLOOKUP($B374,'Tillförd energi'!$B$1:$AI$720,MATCH(AE$2,'Tillförd energi'!$B$1:$AQ$1,0),FALSE)</f>
        <v>0</v>
      </c>
      <c r="AF374" s="63">
        <f>VLOOKUP($B374,'Tillförd energi'!$B$1:$AI$720,MATCH(AF$2,'Tillförd energi'!$B$1:$AQ$1,0),FALSE)</f>
        <v>9.69E-2</v>
      </c>
      <c r="AG374" s="63">
        <f>IFERROR(VLOOKUP(B374,Miljö!$B$1:$AC$550,MATCH("Köpt mängd produktionsspecifik fjärrvärme:",Miljö!$B$1:$AC$1,0),FALSE)/1,0)</f>
        <v>0</v>
      </c>
      <c r="AI374" s="63">
        <f t="shared" si="30"/>
        <v>3.9323999999999999</v>
      </c>
      <c r="AJ374" s="63">
        <f>IF(ISERROR(1/VLOOKUP($B374,Leveranser!$B$1:$S$500,MATCH("såld värme (gwh)",Leveranser!$B$1:$S$1,0),FALSE)),"",VLOOKUP($B374,Leveranser!$B$1:$S$500,MATCH("såld värme (gwh)",Leveranser!$B$1:$S$1,0),FALSE))</f>
        <v>3.23</v>
      </c>
      <c r="AM374" s="63" t="str">
        <f>IF(B374&lt;&gt;"",IF(VLOOKUP($B374,Totalt!$B$1:$AQ$554,MATCH("Kvalitetsgranskad:",Totalt!$B$1:$AQ$1,0),FALSE)="ja",VLOOKUP($B374,Miljö!$B$1:$AG$479,MATCH(AM$2,Miljö!$B$1:$AK$1,0),FALSE),""),"")</f>
        <v>Ja</v>
      </c>
      <c r="AN374" s="63" t="str">
        <f>IF(AM374="ja",VLOOKUP($B374,Miljö!$B$1:$J$479,MATCH("Typ av ursprungsspecificerad el   (Om inget värde anges används Nordisk residualmix, se inforuta) ()",Miljö!$B$1:$J$1,0),FALSE),IF(AM374="nej","Nordisk residualel",""))</f>
        <v>'vattenkraft'</v>
      </c>
      <c r="AO374" s="63">
        <f>IF(AM374="","",VLOOKUP($B374,Miljö!$B$1:$J$479,MATCH("Fossilandel för ursprungspecificerad el ()",Miljö!$B$1:$J$1,0),FALSE))</f>
        <v>0</v>
      </c>
      <c r="AQ374" s="63">
        <f t="shared" si="31"/>
        <v>1</v>
      </c>
      <c r="AS374" s="63" t="str">
        <f t="shared" si="32"/>
        <v>Nej</v>
      </c>
      <c r="AT374" s="63" t="str">
        <f>IF(AS374="ja",VLOOKUP($B374,Miljö!$B$1:$P$500,MATCH("Fossil andel i procent (%)",Miljö!$B$1:$P$1,0),FALSE)/100,"")</f>
        <v/>
      </c>
      <c r="AV374" s="63" t="str">
        <f t="shared" si="33"/>
        <v>Ja</v>
      </c>
      <c r="AW374" s="63" t="str">
        <f>IF(AV374="ja",VLOOKUP($B374,'Egen hetvattenprod'!$B$1:$AO$500,MATCH("Värmekälla till värmepumpar ()",'Egen hetvattenprod'!$B$1:$AO$1,0),FALSE),"")</f>
        <v>Grundvatten</v>
      </c>
      <c r="AY374" s="63" t="str">
        <f t="shared" si="34"/>
        <v>Nej</v>
      </c>
      <c r="AZ374" s="77" t="str">
        <f>IF($AY374="ja",(VLOOKUP($B374,'Egen hetvattenprod'!$B$1:$BX$550,MATCH(AZ$2,'Egen hetvattenprod'!$B$1:$BX$1,0),FALSE)+VLOOKUP($B374,Kraftvärmeprod!$B$1:$BX$550,MATCH(AZ$2,Kraftvärmeprod!$B$1:$BX$1,0),FALSE))/$AC374,"")</f>
        <v/>
      </c>
      <c r="BA374" s="77" t="str">
        <f>IF($AY374="ja",(VLOOKUP($B374,'Egen hetvattenprod'!$B$1:$BX$550,MATCH(BA$2,'Egen hetvattenprod'!$B$1:$BX$1,0),FALSE)+VLOOKUP($B374,Kraftvärmeprod!$B$1:$BX$550,MATCH(BA$2,Kraftvärmeprod!$B$1:$BX$1,0),FALSE))/$AC374,"")</f>
        <v/>
      </c>
      <c r="BB374" s="77" t="str">
        <f>IF($AY374="ja",(VLOOKUP($B374,'Egen hetvattenprod'!$B$1:$BX$550,MATCH(BB$2,'Egen hetvattenprod'!$B$1:$BX$1,0),FALSE)+VLOOKUP($B374,Kraftvärmeprod!$B$1:$BX$550,MATCH(BB$2,Kraftvärmeprod!$B$1:$BX$1,0),FALSE))/$AC374,"")</f>
        <v/>
      </c>
      <c r="BC374" s="77" t="str">
        <f>IF($AY374="ja",(VLOOKUP($B374,'Egen hetvattenprod'!$B$1:$BX$550,MATCH(BC$2,'Egen hetvattenprod'!$B$1:$BX$1,0),FALSE)+VLOOKUP($B374,Kraftvärmeprod!$B$1:$BX$550,MATCH(BC$2,Kraftvärmeprod!$B$1:$BX$1,0),FALSE))/$AC374,"")</f>
        <v/>
      </c>
      <c r="BD374" s="77" t="str">
        <f>IF($AY374="ja",(VLOOKUP($B374,'Egen hetvattenprod'!$B$1:$BX$550,MATCH(BD$2,'Egen hetvattenprod'!$B$1:$BX$1,0),FALSE)+VLOOKUP($B374,Kraftvärmeprod!$B$1:$BX$550,MATCH(BD$2,Kraftvärmeprod!$B$1:$BX$1,0),FALSE))/$AC374,"")</f>
        <v/>
      </c>
      <c r="BF374" s="63" t="str">
        <f t="shared" si="35"/>
        <v>Nej</v>
      </c>
      <c r="BG374" s="63" t="str">
        <f>IF($BF374="ja",VLOOKUP($B374,'Egen hetvattenprod'!$B$1:$BX$550,MATCH("Andelen klimatgaser med fossilt ursprung för avfall ()",'Egen hetvattenprod'!$B$1:$BX$1,0),FALSE),"")</f>
        <v/>
      </c>
      <c r="BH374" s="63" t="str">
        <f>IF($BF374="ja",VLOOKUP($B374,Kraftvärmeprod!$B$1:$BX$550,MATCH("Andelen klimatgaser med fossilt ursprung för avfall ()",Kraftvärmeprod!$B$1:$BX$1,0),FALSE),"")</f>
        <v/>
      </c>
      <c r="BI374" s="63" t="str">
        <f>IF($BF374="ja",VLOOKUP($B374,'Egen hetvattenprod'!$B$1:$BX$550,MATCH("Avfall (GWh)",'Egen hetvattenprod'!$B$1:$BX$1,0),FALSE),"")</f>
        <v/>
      </c>
      <c r="BJ374" s="63" t="str">
        <f>IF($BF374="ja",VLOOKUP($B374,'Slutlig allokering kvv'!$B$1:$BX$550,MATCH("Avfall (GWh)",'Slutlig allokering kvv'!$B$1:$BX$1,0),FALSE),"")</f>
        <v/>
      </c>
      <c r="BK374" s="63" t="str">
        <f>IF($BF374="ja",VLOOKUP($B374,'Köpt hetvatten'!$B$1:$BX$550,MATCH("Avfall i köpt hetvatten",'Köpt hetvatten'!$B$1:$BX$1,0),FALSE),"")</f>
        <v/>
      </c>
      <c r="BL374" s="63" t="str">
        <f>IF($BF374="ja",VLOOKUP($B374,'Egen hetvattenprod'!$B$1:$BX$550,MATCH("Värde enligt ovan. (%)",'Egen hetvattenprod'!$B$1:$BX$1,0),FALSE),"")</f>
        <v/>
      </c>
      <c r="BM374" s="63" t="str">
        <f>IF($BF374="ja",VLOOKUP($B374,Kraftvärmeprod!$B$1:$BX$550,MATCH("Värde enligt ovan. (%)",Kraftvärmeprod!$B$1:$BX$1,0),FALSE),"")</f>
        <v/>
      </c>
    </row>
    <row r="375" spans="1:65" x14ac:dyDescent="0.45">
      <c r="A375" s="63" t="s">
        <v>197</v>
      </c>
      <c r="B375" s="63" t="s">
        <v>201</v>
      </c>
      <c r="C375" s="63">
        <f>VLOOKUP($B375,'Tillförd energi'!$B$1:$AI$720,MATCH(C$2,'Tillförd energi'!$B$1:$AQ$1,0),FALSE)</f>
        <v>0</v>
      </c>
      <c r="D375" s="63">
        <f>VLOOKUP($B375,'Tillförd energi'!$B$1:$AI$720,MATCH(D$2,'Tillförd energi'!$B$1:$AQ$1,0),FALSE)</f>
        <v>0.11650000000000001</v>
      </c>
      <c r="E375" s="63">
        <f>VLOOKUP($B375,'Tillförd energi'!$B$1:$AI$720,MATCH(E$2,'Tillförd energi'!$B$1:$AQ$1,0),FALSE)</f>
        <v>0</v>
      </c>
      <c r="F375" s="63">
        <f>VLOOKUP($B375,'Tillförd energi'!$B$1:$AI$720,MATCH(F$2,'Tillförd energi'!$B$1:$AQ$1,0),FALSE)</f>
        <v>0</v>
      </c>
      <c r="G375" s="63">
        <f>VLOOKUP($B375,'Tillförd energi'!$B$1:$AI$720,MATCH(G$2,'Tillförd energi'!$B$1:$AQ$1,0),FALSE)</f>
        <v>0</v>
      </c>
      <c r="H375" s="63">
        <f>VLOOKUP($B375,'Tillförd energi'!$B$1:$AI$720,MATCH(H$2,'Tillförd energi'!$B$1:$AQ$1,0),FALSE)</f>
        <v>0</v>
      </c>
      <c r="I375" s="63">
        <f>VLOOKUP($B375,'Tillförd energi'!$B$1:$AI$720,MATCH(I$2,'Tillförd energi'!$B$1:$AQ$1,0),FALSE)</f>
        <v>0</v>
      </c>
      <c r="J375" s="63">
        <f>VLOOKUP($B375,'Tillförd energi'!$B$1:$AI$720,MATCH(J$2,'Tillförd energi'!$B$1:$AQ$1,0),FALSE)</f>
        <v>0</v>
      </c>
      <c r="K375" s="63">
        <f>VLOOKUP($B375,'Tillförd energi'!$B$1:$AI$720,MATCH(K$2,'Tillförd energi'!$B$1:$AQ$1,0),FALSE)</f>
        <v>0</v>
      </c>
      <c r="L375" s="63">
        <f>VLOOKUP($B375,'Tillförd energi'!$B$1:$AI$720,MATCH(L$2,'Tillförd energi'!$B$1:$AQ$1,0),FALSE)</f>
        <v>0</v>
      </c>
      <c r="M375" s="63">
        <f>VLOOKUP($B375,'Tillförd energi'!$B$1:$AI$720,MATCH(M$2,'Tillförd energi'!$B$1:$AQ$1,0),FALSE)</f>
        <v>0</v>
      </c>
      <c r="N375" s="63">
        <f>VLOOKUP($B375,'Tillförd energi'!$B$1:$AI$720,MATCH(N$2,'Tillförd energi'!$B$1:$AQ$1,0),FALSE)</f>
        <v>0</v>
      </c>
      <c r="O375" s="63">
        <f>VLOOKUP($B375,'Tillförd energi'!$B$1:$AI$720,MATCH(O$2,'Tillförd energi'!$B$1:$AQ$1,0),FALSE)</f>
        <v>0</v>
      </c>
      <c r="P375" s="63">
        <f>VLOOKUP($B375,'Tillförd energi'!$B$1:$AI$720,MATCH(P$2,'Tillförd energi'!$B$1:$AQ$1,0),FALSE)</f>
        <v>0</v>
      </c>
      <c r="Q375" s="63">
        <f>VLOOKUP($B375,'Tillförd energi'!$B$1:$AI$720,MATCH(Q$2,'Tillförd energi'!$B$1:$AQ$1,0),FALSE)</f>
        <v>0</v>
      </c>
      <c r="R375" s="63">
        <f>VLOOKUP($B375,'Tillförd energi'!$B$1:$AI$720,MATCH(R$2,'Tillförd energi'!$B$1:$AQ$1,0),FALSE)</f>
        <v>4.5170000000000003</v>
      </c>
      <c r="S375" s="63">
        <f>VLOOKUP($B375,'Tillförd energi'!$B$1:$AI$720,MATCH(S$2,'Tillförd energi'!$B$1:$AQ$1,0),FALSE)</f>
        <v>0</v>
      </c>
      <c r="T375" s="63">
        <f>VLOOKUP($B375,'Tillförd energi'!$B$1:$AI$720,MATCH(T$2,'Tillförd energi'!$B$1:$AQ$1,0),FALSE)</f>
        <v>0</v>
      </c>
      <c r="U375" s="63">
        <f>VLOOKUP($B375,'Tillförd energi'!$B$1:$AI$720,MATCH(U$2,'Tillförd energi'!$B$1:$AQ$1,0),FALSE)</f>
        <v>0</v>
      </c>
      <c r="V375" s="63">
        <f>VLOOKUP($B375,'Tillförd energi'!$B$1:$AI$720,MATCH(V$2,'Tillförd energi'!$B$1:$AQ$1,0),FALSE)</f>
        <v>0</v>
      </c>
      <c r="W375" s="63">
        <f>VLOOKUP($B375,'Tillförd energi'!$B$1:$AI$720,MATCH(W$2,'Tillförd energi'!$B$1:$AQ$1,0),FALSE)</f>
        <v>0</v>
      </c>
      <c r="X375" s="63">
        <f>VLOOKUP($B375,'Tillförd energi'!$B$1:$AI$720,MATCH(X$2,'Tillförd energi'!$B$1:$AQ$1,0),FALSE)</f>
        <v>0</v>
      </c>
      <c r="Y375" s="63">
        <f>VLOOKUP($B375,'Tillförd energi'!$B$1:$AI$720,MATCH(Y$2,'Tillförd energi'!$B$1:$AQ$1,0),FALSE)</f>
        <v>0</v>
      </c>
      <c r="Z375" s="63">
        <f>VLOOKUP($B375,'Tillförd energi'!$B$1:$AI$720,MATCH(Z$2,'Tillförd energi'!$B$1:$AQ$1,0),FALSE)</f>
        <v>0</v>
      </c>
      <c r="AA375" s="63">
        <f>VLOOKUP($B375,'Tillförd energi'!$B$1:$AI$720,MATCH(AA$2,'Tillförd energi'!$B$1:$AQ$1,0),FALSE)</f>
        <v>1.0999999999999999E-2</v>
      </c>
      <c r="AB375" s="63">
        <f>VLOOKUP($B375,'Tillförd energi'!$B$1:$AI$720,MATCH(AB$2,'Tillförd energi'!$B$1:$AQ$1,0),FALSE)</f>
        <v>2.1999999999999999E-2</v>
      </c>
      <c r="AC375" s="63">
        <f>VLOOKUP($B375,'Tillförd energi'!$B$1:$AI$720,MATCH(AC$2,'Tillförd energi'!$B$1:$AQ$1,0),FALSE)</f>
        <v>0</v>
      </c>
      <c r="AD375" s="63">
        <f>VLOOKUP($B375,'Tillförd energi'!$B$1:$AI$720,MATCH(AD$2,'Tillförd energi'!$B$1:$AQ$1,0),FALSE)</f>
        <v>0</v>
      </c>
      <c r="AE375" s="63">
        <f>VLOOKUP($B375,'Tillförd energi'!$B$1:$AI$720,MATCH(AE$2,'Tillförd energi'!$B$1:$AQ$1,0),FALSE)</f>
        <v>0</v>
      </c>
      <c r="AF375" s="63">
        <f>VLOOKUP($B375,'Tillförd energi'!$B$1:$AI$720,MATCH(AF$2,'Tillförd energi'!$B$1:$AQ$1,0),FALSE)</f>
        <v>0.10238999999999999</v>
      </c>
      <c r="AG375" s="63">
        <f>IFERROR(VLOOKUP(B375,Miljö!$B$1:$AC$550,MATCH("Köpt mängd produktionsspecifik fjärrvärme:",Miljö!$B$1:$AC$1,0),FALSE)/1,0)</f>
        <v>0</v>
      </c>
      <c r="AI375" s="63">
        <f t="shared" si="30"/>
        <v>4.7688900000000007</v>
      </c>
      <c r="AJ375" s="63">
        <f>IF(ISERROR(1/VLOOKUP($B375,Leveranser!$B$1:$S$500,MATCH("såld värme (gwh)",Leveranser!$B$1:$S$1,0),FALSE)),"",VLOOKUP($B375,Leveranser!$B$1:$S$500,MATCH("såld värme (gwh)",Leveranser!$B$1:$S$1,0),FALSE))</f>
        <v>3.4129999999999998</v>
      </c>
      <c r="AM375" s="63" t="str">
        <f>IF(B375&lt;&gt;"",IF(VLOOKUP($B375,Totalt!$B$1:$AQ$554,MATCH("Kvalitetsgranskad:",Totalt!$B$1:$AQ$1,0),FALSE)="ja",VLOOKUP($B375,Miljö!$B$1:$AG$479,MATCH(AM$2,Miljö!$B$1:$AK$1,0),FALSE),""),"")</f>
        <v>Ja</v>
      </c>
      <c r="AN375" s="63" t="str">
        <f>IF(AM375="ja",VLOOKUP($B375,Miljö!$B$1:$J$479,MATCH("Typ av ursprungsspecificerad el   (Om inget värde anges används Nordisk residualmix, se inforuta) ()",Miljö!$B$1:$J$1,0),FALSE),IF(AM375="nej","Nordisk residualel",""))</f>
        <v>'Vattenkraft'</v>
      </c>
      <c r="AO375" s="63">
        <f>IF(AM375="","",VLOOKUP($B375,Miljö!$B$1:$J$479,MATCH("Fossilandel för ursprungspecificerad el ()",Miljö!$B$1:$J$1,0),FALSE))</f>
        <v>0</v>
      </c>
      <c r="AQ375" s="63">
        <f t="shared" si="31"/>
        <v>1</v>
      </c>
      <c r="AS375" s="63" t="str">
        <f t="shared" si="32"/>
        <v>Nej</v>
      </c>
      <c r="AT375" s="63" t="str">
        <f>IF(AS375="ja",VLOOKUP($B375,Miljö!$B$1:$P$500,MATCH("Fossil andel i procent (%)",Miljö!$B$1:$P$1,0),FALSE)/100,"")</f>
        <v/>
      </c>
      <c r="AV375" s="63" t="str">
        <f t="shared" si="33"/>
        <v>Ja</v>
      </c>
      <c r="AW375" s="63" t="str">
        <f>IF(AV375="ja",VLOOKUP($B375,'Egen hetvattenprod'!$B$1:$AO$500,MATCH("Värmekälla till värmepumpar ()",'Egen hetvattenprod'!$B$1:$AO$1,0),FALSE),"")</f>
        <v>Grundvatten</v>
      </c>
      <c r="AY375" s="63" t="str">
        <f t="shared" si="34"/>
        <v>Nej</v>
      </c>
      <c r="AZ375" s="77" t="str">
        <f>IF($AY375="ja",(VLOOKUP($B375,'Egen hetvattenprod'!$B$1:$BX$550,MATCH(AZ$2,'Egen hetvattenprod'!$B$1:$BX$1,0),FALSE)+VLOOKUP($B375,Kraftvärmeprod!$B$1:$BX$550,MATCH(AZ$2,Kraftvärmeprod!$B$1:$BX$1,0),FALSE))/$AC375,"")</f>
        <v/>
      </c>
      <c r="BA375" s="77" t="str">
        <f>IF($AY375="ja",(VLOOKUP($B375,'Egen hetvattenprod'!$B$1:$BX$550,MATCH(BA$2,'Egen hetvattenprod'!$B$1:$BX$1,0),FALSE)+VLOOKUP($B375,Kraftvärmeprod!$B$1:$BX$550,MATCH(BA$2,Kraftvärmeprod!$B$1:$BX$1,0),FALSE))/$AC375,"")</f>
        <v/>
      </c>
      <c r="BB375" s="77" t="str">
        <f>IF($AY375="ja",(VLOOKUP($B375,'Egen hetvattenprod'!$B$1:$BX$550,MATCH(BB$2,'Egen hetvattenprod'!$B$1:$BX$1,0),FALSE)+VLOOKUP($B375,Kraftvärmeprod!$B$1:$BX$550,MATCH(BB$2,Kraftvärmeprod!$B$1:$BX$1,0),FALSE))/$AC375,"")</f>
        <v/>
      </c>
      <c r="BC375" s="77" t="str">
        <f>IF($AY375="ja",(VLOOKUP($B375,'Egen hetvattenprod'!$B$1:$BX$550,MATCH(BC$2,'Egen hetvattenprod'!$B$1:$BX$1,0),FALSE)+VLOOKUP($B375,Kraftvärmeprod!$B$1:$BX$550,MATCH(BC$2,Kraftvärmeprod!$B$1:$BX$1,0),FALSE))/$AC375,"")</f>
        <v/>
      </c>
      <c r="BD375" s="77" t="str">
        <f>IF($AY375="ja",(VLOOKUP($B375,'Egen hetvattenprod'!$B$1:$BX$550,MATCH(BD$2,'Egen hetvattenprod'!$B$1:$BX$1,0),FALSE)+VLOOKUP($B375,Kraftvärmeprod!$B$1:$BX$550,MATCH(BD$2,Kraftvärmeprod!$B$1:$BX$1,0),FALSE))/$AC375,"")</f>
        <v/>
      </c>
      <c r="BF375" s="63" t="str">
        <f t="shared" si="35"/>
        <v>Nej</v>
      </c>
      <c r="BG375" s="63" t="str">
        <f>IF($BF375="ja",VLOOKUP($B375,'Egen hetvattenprod'!$B$1:$BX$550,MATCH("Andelen klimatgaser med fossilt ursprung för avfall ()",'Egen hetvattenprod'!$B$1:$BX$1,0),FALSE),"")</f>
        <v/>
      </c>
      <c r="BH375" s="63" t="str">
        <f>IF($BF375="ja",VLOOKUP($B375,Kraftvärmeprod!$B$1:$BX$550,MATCH("Andelen klimatgaser med fossilt ursprung för avfall ()",Kraftvärmeprod!$B$1:$BX$1,0),FALSE),"")</f>
        <v/>
      </c>
      <c r="BI375" s="63" t="str">
        <f>IF($BF375="ja",VLOOKUP($B375,'Egen hetvattenprod'!$B$1:$BX$550,MATCH("Avfall (GWh)",'Egen hetvattenprod'!$B$1:$BX$1,0),FALSE),"")</f>
        <v/>
      </c>
      <c r="BJ375" s="63" t="str">
        <f>IF($BF375="ja",VLOOKUP($B375,'Slutlig allokering kvv'!$B$1:$BX$550,MATCH("Avfall (GWh)",'Slutlig allokering kvv'!$B$1:$BX$1,0),FALSE),"")</f>
        <v/>
      </c>
      <c r="BK375" s="63" t="str">
        <f>IF($BF375="ja",VLOOKUP($B375,'Köpt hetvatten'!$B$1:$BX$550,MATCH("Avfall i köpt hetvatten",'Köpt hetvatten'!$B$1:$BX$1,0),FALSE),"")</f>
        <v/>
      </c>
      <c r="BL375" s="63" t="str">
        <f>IF($BF375="ja",VLOOKUP($B375,'Egen hetvattenprod'!$B$1:$BX$550,MATCH("Värde enligt ovan. (%)",'Egen hetvattenprod'!$B$1:$BX$1,0),FALSE),"")</f>
        <v/>
      </c>
      <c r="BM375" s="63" t="str">
        <f>IF($BF375="ja",VLOOKUP($B375,Kraftvärmeprod!$B$1:$BX$550,MATCH("Värde enligt ovan. (%)",Kraftvärmeprod!$B$1:$BX$1,0),FALSE),"")</f>
        <v/>
      </c>
    </row>
    <row r="376" spans="1:65" x14ac:dyDescent="0.45">
      <c r="A376" s="63" t="s">
        <v>197</v>
      </c>
      <c r="B376" s="63" t="s">
        <v>203</v>
      </c>
      <c r="C376" s="63">
        <f>VLOOKUP($B376,'Tillförd energi'!$B$1:$AI$720,MATCH(C$2,'Tillförd energi'!$B$1:$AQ$1,0),FALSE)</f>
        <v>0</v>
      </c>
      <c r="D376" s="63">
        <f>VLOOKUP($B376,'Tillförd energi'!$B$1:$AI$720,MATCH(D$2,'Tillförd energi'!$B$1:$AQ$1,0),FALSE)</f>
        <v>4.5900000000000003E-2</v>
      </c>
      <c r="E376" s="63">
        <f>VLOOKUP($B376,'Tillförd energi'!$B$1:$AI$720,MATCH(E$2,'Tillförd energi'!$B$1:$AQ$1,0),FALSE)</f>
        <v>0</v>
      </c>
      <c r="F376" s="63">
        <f>VLOOKUP($B376,'Tillförd energi'!$B$1:$AI$720,MATCH(F$2,'Tillförd energi'!$B$1:$AQ$1,0),FALSE)</f>
        <v>0</v>
      </c>
      <c r="G376" s="63">
        <f>VLOOKUP($B376,'Tillförd energi'!$B$1:$AI$720,MATCH(G$2,'Tillförd energi'!$B$1:$AQ$1,0),FALSE)</f>
        <v>0</v>
      </c>
      <c r="H376" s="63">
        <f>VLOOKUP($B376,'Tillförd energi'!$B$1:$AI$720,MATCH(H$2,'Tillförd energi'!$B$1:$AQ$1,0),FALSE)</f>
        <v>0</v>
      </c>
      <c r="I376" s="63">
        <f>VLOOKUP($B376,'Tillförd energi'!$B$1:$AI$720,MATCH(I$2,'Tillförd energi'!$B$1:$AQ$1,0),FALSE)</f>
        <v>0</v>
      </c>
      <c r="J376" s="63">
        <f>VLOOKUP($B376,'Tillförd energi'!$B$1:$AI$720,MATCH(J$2,'Tillförd energi'!$B$1:$AQ$1,0),FALSE)</f>
        <v>0</v>
      </c>
      <c r="K376" s="63">
        <f>VLOOKUP($B376,'Tillförd energi'!$B$1:$AI$720,MATCH(K$2,'Tillförd energi'!$B$1:$AQ$1,0),FALSE)</f>
        <v>0</v>
      </c>
      <c r="L376" s="63">
        <f>VLOOKUP($B376,'Tillförd energi'!$B$1:$AI$720,MATCH(L$2,'Tillförd energi'!$B$1:$AQ$1,0),FALSE)</f>
        <v>0</v>
      </c>
      <c r="M376" s="63">
        <f>VLOOKUP($B376,'Tillförd energi'!$B$1:$AI$720,MATCH(M$2,'Tillförd energi'!$B$1:$AQ$1,0),FALSE)</f>
        <v>0</v>
      </c>
      <c r="N376" s="63">
        <f>VLOOKUP($B376,'Tillförd energi'!$B$1:$AI$720,MATCH(N$2,'Tillförd energi'!$B$1:$AQ$1,0),FALSE)</f>
        <v>0</v>
      </c>
      <c r="O376" s="63">
        <f>VLOOKUP($B376,'Tillförd energi'!$B$1:$AI$720,MATCH(O$2,'Tillförd energi'!$B$1:$AQ$1,0),FALSE)</f>
        <v>0</v>
      </c>
      <c r="P376" s="63">
        <f>VLOOKUP($B376,'Tillförd energi'!$B$1:$AI$720,MATCH(P$2,'Tillförd energi'!$B$1:$AQ$1,0),FALSE)</f>
        <v>0</v>
      </c>
      <c r="Q376" s="63">
        <f>VLOOKUP($B376,'Tillförd energi'!$B$1:$AI$720,MATCH(Q$2,'Tillförd energi'!$B$1:$AQ$1,0),FALSE)</f>
        <v>0</v>
      </c>
      <c r="R376" s="63">
        <f>VLOOKUP($B376,'Tillförd energi'!$B$1:$AI$720,MATCH(R$2,'Tillförd energi'!$B$1:$AQ$1,0),FALSE)</f>
        <v>2.4609999999999999</v>
      </c>
      <c r="S376" s="63">
        <f>VLOOKUP($B376,'Tillförd energi'!$B$1:$AI$720,MATCH(S$2,'Tillförd energi'!$B$1:$AQ$1,0),FALSE)</f>
        <v>0</v>
      </c>
      <c r="T376" s="63">
        <f>VLOOKUP($B376,'Tillförd energi'!$B$1:$AI$720,MATCH(T$2,'Tillförd energi'!$B$1:$AQ$1,0),FALSE)</f>
        <v>0</v>
      </c>
      <c r="U376" s="63">
        <f>VLOOKUP($B376,'Tillförd energi'!$B$1:$AI$720,MATCH(U$2,'Tillförd energi'!$B$1:$AQ$1,0),FALSE)</f>
        <v>0</v>
      </c>
      <c r="V376" s="63">
        <f>VLOOKUP($B376,'Tillförd energi'!$B$1:$AI$720,MATCH(V$2,'Tillförd energi'!$B$1:$AQ$1,0),FALSE)</f>
        <v>0</v>
      </c>
      <c r="W376" s="63">
        <f>VLOOKUP($B376,'Tillförd energi'!$B$1:$AI$720,MATCH(W$2,'Tillförd energi'!$B$1:$AQ$1,0),FALSE)</f>
        <v>0</v>
      </c>
      <c r="X376" s="63">
        <f>VLOOKUP($B376,'Tillförd energi'!$B$1:$AI$720,MATCH(X$2,'Tillförd energi'!$B$1:$AQ$1,0),FALSE)</f>
        <v>0</v>
      </c>
      <c r="Y376" s="63">
        <f>VLOOKUP($B376,'Tillförd energi'!$B$1:$AI$720,MATCH(Y$2,'Tillförd energi'!$B$1:$AQ$1,0),FALSE)</f>
        <v>0</v>
      </c>
      <c r="Z376" s="63">
        <f>VLOOKUP($B376,'Tillförd energi'!$B$1:$AI$720,MATCH(Z$2,'Tillförd energi'!$B$1:$AQ$1,0),FALSE)</f>
        <v>0</v>
      </c>
      <c r="AA376" s="63">
        <f>VLOOKUP($B376,'Tillförd energi'!$B$1:$AI$720,MATCH(AA$2,'Tillförd energi'!$B$1:$AQ$1,0),FALSE)</f>
        <v>0</v>
      </c>
      <c r="AB376" s="63">
        <f>VLOOKUP($B376,'Tillförd energi'!$B$1:$AI$720,MATCH(AB$2,'Tillförd energi'!$B$1:$AQ$1,0),FALSE)</f>
        <v>0</v>
      </c>
      <c r="AC376" s="63">
        <f>VLOOKUP($B376,'Tillförd energi'!$B$1:$AI$720,MATCH(AC$2,'Tillförd energi'!$B$1:$AQ$1,0),FALSE)</f>
        <v>0</v>
      </c>
      <c r="AD376" s="63">
        <f>VLOOKUP($B376,'Tillförd energi'!$B$1:$AI$720,MATCH(AD$2,'Tillförd energi'!$B$1:$AQ$1,0),FALSE)</f>
        <v>0</v>
      </c>
      <c r="AE376" s="63">
        <f>VLOOKUP($B376,'Tillförd energi'!$B$1:$AI$720,MATCH(AE$2,'Tillförd energi'!$B$1:$AQ$1,0),FALSE)</f>
        <v>0</v>
      </c>
      <c r="AF376" s="63">
        <f>VLOOKUP($B376,'Tillförd energi'!$B$1:$AI$720,MATCH(AF$2,'Tillförd energi'!$B$1:$AQ$1,0),FALSE)</f>
        <v>5.688E-2</v>
      </c>
      <c r="AG376" s="63">
        <f>IFERROR(VLOOKUP(B376,Miljö!$B$1:$AC$550,MATCH("Köpt mängd produktionsspecifik fjärrvärme:",Miljö!$B$1:$AC$1,0),FALSE)/1,0)</f>
        <v>0</v>
      </c>
      <c r="AI376" s="63">
        <f t="shared" si="30"/>
        <v>2.5637799999999999</v>
      </c>
      <c r="AJ376" s="63">
        <f>IF(ISERROR(1/VLOOKUP($B376,Leveranser!$B$1:$S$500,MATCH("såld värme (gwh)",Leveranser!$B$1:$S$1,0),FALSE)),"",VLOOKUP($B376,Leveranser!$B$1:$S$500,MATCH("såld värme (gwh)",Leveranser!$B$1:$S$1,0),FALSE))</f>
        <v>1.8959999999999999</v>
      </c>
      <c r="AM376" s="63" t="str">
        <f>IF(B376&lt;&gt;"",IF(VLOOKUP($B376,Totalt!$B$1:$AQ$554,MATCH("Kvalitetsgranskad:",Totalt!$B$1:$AQ$1,0),FALSE)="ja",VLOOKUP($B376,Miljö!$B$1:$AG$479,MATCH(AM$2,Miljö!$B$1:$AK$1,0),FALSE),""),"")</f>
        <v>Ja</v>
      </c>
      <c r="AN376" s="63" t="str">
        <f>IF(AM376="ja",VLOOKUP($B376,Miljö!$B$1:$J$479,MATCH("Typ av ursprungsspecificerad el   (Om inget värde anges används Nordisk residualmix, se inforuta) ()",Miljö!$B$1:$J$1,0),FALSE),IF(AM376="nej","Nordisk residualel",""))</f>
        <v>'Vattenkraft'</v>
      </c>
      <c r="AO376" s="63">
        <f>IF(AM376="","",VLOOKUP($B376,Miljö!$B$1:$J$479,MATCH("Fossilandel för ursprungspecificerad el ()",Miljö!$B$1:$J$1,0),FALSE))</f>
        <v>0</v>
      </c>
      <c r="AQ376" s="63">
        <f t="shared" si="31"/>
        <v>1</v>
      </c>
      <c r="AS376" s="63" t="str">
        <f t="shared" si="32"/>
        <v>Nej</v>
      </c>
      <c r="AT376" s="63" t="str">
        <f>IF(AS376="ja",VLOOKUP($B376,Miljö!$B$1:$P$500,MATCH("Fossil andel i procent (%)",Miljö!$B$1:$P$1,0),FALSE)/100,"")</f>
        <v/>
      </c>
      <c r="AV376" s="63" t="str">
        <f t="shared" si="33"/>
        <v>Nej</v>
      </c>
      <c r="AW376" s="63" t="str">
        <f>IF(AV376="ja",VLOOKUP($B376,'Egen hetvattenprod'!$B$1:$AO$500,MATCH("Värmekälla till värmepumpar ()",'Egen hetvattenprod'!$B$1:$AO$1,0),FALSE),"")</f>
        <v/>
      </c>
      <c r="AY376" s="63" t="str">
        <f t="shared" si="34"/>
        <v>Nej</v>
      </c>
      <c r="AZ376" s="77" t="str">
        <f>IF($AY376="ja",(VLOOKUP($B376,'Egen hetvattenprod'!$B$1:$BX$550,MATCH(AZ$2,'Egen hetvattenprod'!$B$1:$BX$1,0),FALSE)+VLOOKUP($B376,Kraftvärmeprod!$B$1:$BX$550,MATCH(AZ$2,Kraftvärmeprod!$B$1:$BX$1,0),FALSE))/$AC376,"")</f>
        <v/>
      </c>
      <c r="BA376" s="77" t="str">
        <f>IF($AY376="ja",(VLOOKUP($B376,'Egen hetvattenprod'!$B$1:$BX$550,MATCH(BA$2,'Egen hetvattenprod'!$B$1:$BX$1,0),FALSE)+VLOOKUP($B376,Kraftvärmeprod!$B$1:$BX$550,MATCH(BA$2,Kraftvärmeprod!$B$1:$BX$1,0),FALSE))/$AC376,"")</f>
        <v/>
      </c>
      <c r="BB376" s="77" t="str">
        <f>IF($AY376="ja",(VLOOKUP($B376,'Egen hetvattenprod'!$B$1:$BX$550,MATCH(BB$2,'Egen hetvattenprod'!$B$1:$BX$1,0),FALSE)+VLOOKUP($B376,Kraftvärmeprod!$B$1:$BX$550,MATCH(BB$2,Kraftvärmeprod!$B$1:$BX$1,0),FALSE))/$AC376,"")</f>
        <v/>
      </c>
      <c r="BC376" s="77" t="str">
        <f>IF($AY376="ja",(VLOOKUP($B376,'Egen hetvattenprod'!$B$1:$BX$550,MATCH(BC$2,'Egen hetvattenprod'!$B$1:$BX$1,0),FALSE)+VLOOKUP($B376,Kraftvärmeprod!$B$1:$BX$550,MATCH(BC$2,Kraftvärmeprod!$B$1:$BX$1,0),FALSE))/$AC376,"")</f>
        <v/>
      </c>
      <c r="BD376" s="77" t="str">
        <f>IF($AY376="ja",(VLOOKUP($B376,'Egen hetvattenprod'!$B$1:$BX$550,MATCH(BD$2,'Egen hetvattenprod'!$B$1:$BX$1,0),FALSE)+VLOOKUP($B376,Kraftvärmeprod!$B$1:$BX$550,MATCH(BD$2,Kraftvärmeprod!$B$1:$BX$1,0),FALSE))/$AC376,"")</f>
        <v/>
      </c>
      <c r="BF376" s="63" t="str">
        <f t="shared" si="35"/>
        <v>Nej</v>
      </c>
      <c r="BG376" s="63" t="str">
        <f>IF($BF376="ja",VLOOKUP($B376,'Egen hetvattenprod'!$B$1:$BX$550,MATCH("Andelen klimatgaser med fossilt ursprung för avfall ()",'Egen hetvattenprod'!$B$1:$BX$1,0),FALSE),"")</f>
        <v/>
      </c>
      <c r="BH376" s="63" t="str">
        <f>IF($BF376="ja",VLOOKUP($B376,Kraftvärmeprod!$B$1:$BX$550,MATCH("Andelen klimatgaser med fossilt ursprung för avfall ()",Kraftvärmeprod!$B$1:$BX$1,0),FALSE),"")</f>
        <v/>
      </c>
      <c r="BI376" s="63" t="str">
        <f>IF($BF376="ja",VLOOKUP($B376,'Egen hetvattenprod'!$B$1:$BX$550,MATCH("Avfall (GWh)",'Egen hetvattenprod'!$B$1:$BX$1,0),FALSE),"")</f>
        <v/>
      </c>
      <c r="BJ376" s="63" t="str">
        <f>IF($BF376="ja",VLOOKUP($B376,'Slutlig allokering kvv'!$B$1:$BX$550,MATCH("Avfall (GWh)",'Slutlig allokering kvv'!$B$1:$BX$1,0),FALSE),"")</f>
        <v/>
      </c>
      <c r="BK376" s="63" t="str">
        <f>IF($BF376="ja",VLOOKUP($B376,'Köpt hetvatten'!$B$1:$BX$550,MATCH("Avfall i köpt hetvatten",'Köpt hetvatten'!$B$1:$BX$1,0),FALSE),"")</f>
        <v/>
      </c>
      <c r="BL376" s="63" t="str">
        <f>IF($BF376="ja",VLOOKUP($B376,'Egen hetvattenprod'!$B$1:$BX$550,MATCH("Värde enligt ovan. (%)",'Egen hetvattenprod'!$B$1:$BX$1,0),FALSE),"")</f>
        <v/>
      </c>
      <c r="BM376" s="63" t="str">
        <f>IF($BF376="ja",VLOOKUP($B376,Kraftvärmeprod!$B$1:$BX$550,MATCH("Värde enligt ovan. (%)",Kraftvärmeprod!$B$1:$BX$1,0),FALSE),"")</f>
        <v/>
      </c>
    </row>
    <row r="377" spans="1:65" x14ac:dyDescent="0.45">
      <c r="A377" s="63" t="s">
        <v>191</v>
      </c>
      <c r="B377" s="63" t="s">
        <v>195</v>
      </c>
      <c r="C377" s="63">
        <f>VLOOKUP($B377,'Tillförd energi'!$B$1:$AI$720,MATCH(C$2,'Tillförd energi'!$B$1:$AQ$1,0),FALSE)</f>
        <v>0</v>
      </c>
      <c r="D377" s="63">
        <f>VLOOKUP($B377,'Tillförd energi'!$B$1:$AI$720,MATCH(D$2,'Tillförd energi'!$B$1:$AQ$1,0),FALSE)</f>
        <v>0.114</v>
      </c>
      <c r="E377" s="63">
        <f>VLOOKUP($B377,'Tillförd energi'!$B$1:$AI$720,MATCH(E$2,'Tillförd energi'!$B$1:$AQ$1,0),FALSE)</f>
        <v>0</v>
      </c>
      <c r="F377" s="63">
        <f>VLOOKUP($B377,'Tillförd energi'!$B$1:$AI$720,MATCH(F$2,'Tillförd energi'!$B$1:$AQ$1,0),FALSE)</f>
        <v>0</v>
      </c>
      <c r="G377" s="63">
        <f>VLOOKUP($B377,'Tillförd energi'!$B$1:$AI$720,MATCH(G$2,'Tillförd energi'!$B$1:$AQ$1,0),FALSE)</f>
        <v>0</v>
      </c>
      <c r="H377" s="63">
        <f>VLOOKUP($B377,'Tillförd energi'!$B$1:$AI$720,MATCH(H$2,'Tillförd energi'!$B$1:$AQ$1,0),FALSE)</f>
        <v>0</v>
      </c>
      <c r="I377" s="63">
        <f>VLOOKUP($B377,'Tillförd energi'!$B$1:$AI$720,MATCH(I$2,'Tillförd energi'!$B$1:$AQ$1,0),FALSE)</f>
        <v>0</v>
      </c>
      <c r="J377" s="63">
        <f>VLOOKUP($B377,'Tillförd energi'!$B$1:$AI$720,MATCH(J$2,'Tillförd energi'!$B$1:$AQ$1,0),FALSE)</f>
        <v>0</v>
      </c>
      <c r="K377" s="63">
        <f>VLOOKUP($B377,'Tillförd energi'!$B$1:$AI$720,MATCH(K$2,'Tillförd energi'!$B$1:$AQ$1,0),FALSE)</f>
        <v>0</v>
      </c>
      <c r="L377" s="63">
        <f>VLOOKUP($B377,'Tillförd energi'!$B$1:$AI$720,MATCH(L$2,'Tillförd energi'!$B$1:$AQ$1,0),FALSE)</f>
        <v>0</v>
      </c>
      <c r="M377" s="63">
        <f>VLOOKUP($B377,'Tillförd energi'!$B$1:$AI$720,MATCH(M$2,'Tillförd energi'!$B$1:$AQ$1,0),FALSE)</f>
        <v>7.383</v>
      </c>
      <c r="N377" s="63">
        <f>VLOOKUP($B377,'Tillförd energi'!$B$1:$AI$720,MATCH(N$2,'Tillförd energi'!$B$1:$AQ$1,0),FALSE)</f>
        <v>31.681000000000001</v>
      </c>
      <c r="O377" s="63">
        <f>VLOOKUP($B377,'Tillförd energi'!$B$1:$AI$720,MATCH(O$2,'Tillförd energi'!$B$1:$AQ$1,0),FALSE)</f>
        <v>20.443000000000001</v>
      </c>
      <c r="P377" s="63">
        <f>VLOOKUP($B377,'Tillförd energi'!$B$1:$AI$720,MATCH(P$2,'Tillförd energi'!$B$1:$AQ$1,0),FALSE)</f>
        <v>20.797999999999998</v>
      </c>
      <c r="Q377" s="63">
        <f>VLOOKUP($B377,'Tillförd energi'!$B$1:$AI$720,MATCH(Q$2,'Tillförd energi'!$B$1:$AQ$1,0),FALSE)</f>
        <v>0</v>
      </c>
      <c r="R377" s="63">
        <f>VLOOKUP($B377,'Tillförd energi'!$B$1:$AI$720,MATCH(R$2,'Tillförd energi'!$B$1:$AQ$1,0),FALSE)</f>
        <v>6.7350000000000003</v>
      </c>
      <c r="S377" s="63">
        <f>VLOOKUP($B377,'Tillförd energi'!$B$1:$AI$720,MATCH(S$2,'Tillförd energi'!$B$1:$AQ$1,0),FALSE)</f>
        <v>0</v>
      </c>
      <c r="T377" s="63">
        <f>VLOOKUP($B377,'Tillförd energi'!$B$1:$AI$720,MATCH(T$2,'Tillförd energi'!$B$1:$AQ$1,0),FALSE)</f>
        <v>0</v>
      </c>
      <c r="U377" s="63">
        <f>VLOOKUP($B377,'Tillförd energi'!$B$1:$AI$720,MATCH(U$2,'Tillförd energi'!$B$1:$AQ$1,0),FALSE)</f>
        <v>0</v>
      </c>
      <c r="V377" s="63">
        <f>VLOOKUP($B377,'Tillförd energi'!$B$1:$AI$720,MATCH(V$2,'Tillförd energi'!$B$1:$AQ$1,0),FALSE)</f>
        <v>0</v>
      </c>
      <c r="W377" s="63">
        <f>VLOOKUP($B377,'Tillförd energi'!$B$1:$AI$720,MATCH(W$2,'Tillförd energi'!$B$1:$AQ$1,0),FALSE)</f>
        <v>3.085</v>
      </c>
      <c r="X377" s="63">
        <f>VLOOKUP($B377,'Tillförd energi'!$B$1:$AI$720,MATCH(X$2,'Tillförd energi'!$B$1:$AQ$1,0),FALSE)</f>
        <v>0</v>
      </c>
      <c r="Y377" s="63">
        <f>VLOOKUP($B377,'Tillförd energi'!$B$1:$AI$720,MATCH(Y$2,'Tillförd energi'!$B$1:$AQ$1,0),FALSE)</f>
        <v>0.871</v>
      </c>
      <c r="Z377" s="63">
        <f>VLOOKUP($B377,'Tillförd energi'!$B$1:$AI$720,MATCH(Z$2,'Tillförd energi'!$B$1:$AQ$1,0),FALSE)</f>
        <v>0</v>
      </c>
      <c r="AA377" s="63">
        <f>VLOOKUP($B377,'Tillförd energi'!$B$1:$AI$720,MATCH(AA$2,'Tillförd energi'!$B$1:$AQ$1,0),FALSE)</f>
        <v>1.254</v>
      </c>
      <c r="AB377" s="63">
        <f>VLOOKUP($B377,'Tillförd energi'!$B$1:$AI$720,MATCH(AB$2,'Tillförd energi'!$B$1:$AQ$1,0),FALSE)</f>
        <v>8.6180000000000003</v>
      </c>
      <c r="AC377" s="63">
        <f>VLOOKUP($B377,'Tillförd energi'!$B$1:$AI$720,MATCH(AC$2,'Tillförd energi'!$B$1:$AQ$1,0),FALSE)</f>
        <v>16.812000000000001</v>
      </c>
      <c r="AD377" s="63">
        <f>VLOOKUP($B377,'Tillförd energi'!$B$1:$AI$720,MATCH(AD$2,'Tillförd energi'!$B$1:$AQ$1,0),FALSE)</f>
        <v>4.9969999999999999</v>
      </c>
      <c r="AE377" s="63">
        <f>VLOOKUP($B377,'Tillförd energi'!$B$1:$AI$720,MATCH(AE$2,'Tillförd energi'!$B$1:$AQ$1,0),FALSE)</f>
        <v>0</v>
      </c>
      <c r="AF377" s="63">
        <f>VLOOKUP($B377,'Tillförd energi'!$B$1:$AI$720,MATCH(AF$2,'Tillförd energi'!$B$1:$AQ$1,0),FALSE)</f>
        <v>3.3969999999999998</v>
      </c>
      <c r="AG377" s="63">
        <f>IFERROR(VLOOKUP(B377,Miljö!$B$1:$AC$550,MATCH("Köpt mängd produktionsspecifik fjärrvärme:",Miljö!$B$1:$AC$1,0),FALSE)/1,0)</f>
        <v>0</v>
      </c>
      <c r="AI377" s="63">
        <f t="shared" si="30"/>
        <v>126.18799999999999</v>
      </c>
      <c r="AJ377" s="63">
        <f>IF(ISERROR(1/VLOOKUP($B377,Leveranser!$B$1:$S$500,MATCH("såld värme (gwh)",Leveranser!$B$1:$S$1,0),FALSE)),"",VLOOKUP($B377,Leveranser!$B$1:$S$500,MATCH("såld värme (gwh)",Leveranser!$B$1:$S$1,0),FALSE))</f>
        <v>94.289000000000001</v>
      </c>
      <c r="AM377" s="63" t="str">
        <f>IF(B377&lt;&gt;"",IF(VLOOKUP($B377,Totalt!$B$1:$AQ$554,MATCH("Kvalitetsgranskad:",Totalt!$B$1:$AQ$1,0),FALSE)="ja",VLOOKUP($B377,Miljö!$B$1:$AG$479,MATCH(AM$2,Miljö!$B$1:$AK$1,0),FALSE),""),"")</f>
        <v>Ja</v>
      </c>
      <c r="AN377" s="63" t="str">
        <f>IF(AM377="ja",VLOOKUP($B377,Miljö!$B$1:$J$479,MATCH("Typ av ursprungsspecificerad el   (Om inget värde anges används Nordisk residualmix, se inforuta) ()",Miljö!$B$1:$J$1,0),FALSE),IF(AM377="nej","Nordisk residualel",""))</f>
        <v>'EPD Vattenfalls vindkraft'</v>
      </c>
      <c r="AO377" s="63">
        <f>IF(AM377="","",VLOOKUP($B377,Miljö!$B$1:$J$479,MATCH("Fossilandel för ursprungspecificerad el ()",Miljö!$B$1:$J$1,0),FALSE))</f>
        <v>0</v>
      </c>
      <c r="AQ377" s="63">
        <f t="shared" si="31"/>
        <v>1</v>
      </c>
      <c r="AS377" s="63" t="str">
        <f t="shared" si="32"/>
        <v>Nej</v>
      </c>
      <c r="AT377" s="63" t="str">
        <f>IF(AS377="ja",VLOOKUP($B377,Miljö!$B$1:$P$500,MATCH("Fossil andel i procent (%)",Miljö!$B$1:$P$1,0),FALSE)/100,"")</f>
        <v/>
      </c>
      <c r="AV377" s="63" t="str">
        <f t="shared" si="33"/>
        <v>Ja</v>
      </c>
      <c r="AW377" s="63" t="str">
        <f>IF(AV377="ja",VLOOKUP($B377,'Egen hetvattenprod'!$B$1:$AO$500,MATCH("Värmekälla till värmepumpar ()",'Egen hetvattenprod'!$B$1:$AO$1,0),FALSE),"")</f>
        <v>Lågtempererad spillvärme</v>
      </c>
      <c r="AY377" s="63" t="str">
        <f t="shared" si="34"/>
        <v>Ja</v>
      </c>
      <c r="AZ377" s="77">
        <f>IF($AY377="ja",(VLOOKUP($B377,'Egen hetvattenprod'!$B$1:$BX$550,MATCH(AZ$2,'Egen hetvattenprod'!$B$1:$BX$1,0),FALSE)+VLOOKUP($B377,Kraftvärmeprod!$B$1:$BX$550,MATCH(AZ$2,Kraftvärmeprod!$B$1:$BX$1,0),FALSE))/$AC377,"")</f>
        <v>0.98999999999999988</v>
      </c>
      <c r="BA377" s="77">
        <f>IF($AY377="ja",(VLOOKUP($B377,'Egen hetvattenprod'!$B$1:$BX$550,MATCH(BA$2,'Egen hetvattenprod'!$B$1:$BX$1,0),FALSE)+VLOOKUP($B377,Kraftvärmeprod!$B$1:$BX$550,MATCH(BA$2,Kraftvärmeprod!$B$1:$BX$1,0),FALSE))/$AC377,"")</f>
        <v>0</v>
      </c>
      <c r="BB377" s="77">
        <f>IF($AY377="ja",(VLOOKUP($B377,'Egen hetvattenprod'!$B$1:$BX$550,MATCH(BB$2,'Egen hetvattenprod'!$B$1:$BX$1,0),FALSE)+VLOOKUP($B377,Kraftvärmeprod!$B$1:$BX$550,MATCH(BB$2,Kraftvärmeprod!$B$1:$BX$1,0),FALSE))/$AC377,"")</f>
        <v>0</v>
      </c>
      <c r="BC377" s="77">
        <f>IF($AY377="ja",(VLOOKUP($B377,'Egen hetvattenprod'!$B$1:$BX$550,MATCH(BC$2,'Egen hetvattenprod'!$B$1:$BX$1,0),FALSE)+VLOOKUP($B377,Kraftvärmeprod!$B$1:$BX$550,MATCH(BC$2,Kraftvärmeprod!$B$1:$BX$1,0),FALSE))/$AC377,"")</f>
        <v>0.01</v>
      </c>
      <c r="BD377" s="77">
        <f>IF($AY377="ja",(VLOOKUP($B377,'Egen hetvattenprod'!$B$1:$BX$550,MATCH(BD$2,'Egen hetvattenprod'!$B$1:$BX$1,0),FALSE)+VLOOKUP($B377,Kraftvärmeprod!$B$1:$BX$550,MATCH(BD$2,Kraftvärmeprod!$B$1:$BX$1,0),FALSE))/$AC377,"")</f>
        <v>2.1132010937428626E-16</v>
      </c>
      <c r="BF377" s="63" t="str">
        <f t="shared" si="35"/>
        <v>Nej</v>
      </c>
      <c r="BG377" s="63" t="str">
        <f>IF($BF377="ja",VLOOKUP($B377,'Egen hetvattenprod'!$B$1:$BX$550,MATCH("Andelen klimatgaser med fossilt ursprung för avfall ()",'Egen hetvattenprod'!$B$1:$BX$1,0),FALSE),"")</f>
        <v/>
      </c>
      <c r="BH377" s="63" t="str">
        <f>IF($BF377="ja",VLOOKUP($B377,Kraftvärmeprod!$B$1:$BX$550,MATCH("Andelen klimatgaser med fossilt ursprung för avfall ()",Kraftvärmeprod!$B$1:$BX$1,0),FALSE),"")</f>
        <v/>
      </c>
      <c r="BI377" s="63" t="str">
        <f>IF($BF377="ja",VLOOKUP($B377,'Egen hetvattenprod'!$B$1:$BX$550,MATCH("Avfall (GWh)",'Egen hetvattenprod'!$B$1:$BX$1,0),FALSE),"")</f>
        <v/>
      </c>
      <c r="BJ377" s="63" t="str">
        <f>IF($BF377="ja",VLOOKUP($B377,'Slutlig allokering kvv'!$B$1:$BX$550,MATCH("Avfall (GWh)",'Slutlig allokering kvv'!$B$1:$BX$1,0),FALSE),"")</f>
        <v/>
      </c>
      <c r="BK377" s="63" t="str">
        <f>IF($BF377="ja",VLOOKUP($B377,'Köpt hetvatten'!$B$1:$BX$550,MATCH("Avfall i köpt hetvatten",'Köpt hetvatten'!$B$1:$BX$1,0),FALSE),"")</f>
        <v/>
      </c>
      <c r="BL377" s="63" t="str">
        <f>IF($BF377="ja",VLOOKUP($B377,'Egen hetvattenprod'!$B$1:$BX$550,MATCH("Värde enligt ovan. (%)",'Egen hetvattenprod'!$B$1:$BX$1,0),FALSE),"")</f>
        <v/>
      </c>
      <c r="BM377" s="63" t="str">
        <f>IF($BF377="ja",VLOOKUP($B377,Kraftvärmeprod!$B$1:$BX$550,MATCH("Värde enligt ovan. (%)",Kraftvärmeprod!$B$1:$BX$1,0),FALSE),"")</f>
        <v/>
      </c>
    </row>
    <row r="378" spans="1:65" x14ac:dyDescent="0.45">
      <c r="A378" s="63" t="s">
        <v>191</v>
      </c>
      <c r="B378" s="63" t="s">
        <v>193</v>
      </c>
      <c r="C378" s="63">
        <f>VLOOKUP($B378,'Tillförd energi'!$B$1:$AI$720,MATCH(C$2,'Tillförd energi'!$B$1:$AQ$1,0),FALSE)</f>
        <v>0</v>
      </c>
      <c r="D378" s="63">
        <f>VLOOKUP($B378,'Tillförd energi'!$B$1:$AI$720,MATCH(D$2,'Tillförd energi'!$B$1:$AQ$1,0),FALSE)</f>
        <v>0</v>
      </c>
      <c r="E378" s="63">
        <f>VLOOKUP($B378,'Tillförd energi'!$B$1:$AI$720,MATCH(E$2,'Tillförd energi'!$B$1:$AQ$1,0),FALSE)</f>
        <v>0</v>
      </c>
      <c r="F378" s="63">
        <f>VLOOKUP($B378,'Tillförd energi'!$B$1:$AI$720,MATCH(F$2,'Tillförd energi'!$B$1:$AQ$1,0),FALSE)</f>
        <v>0</v>
      </c>
      <c r="G378" s="63">
        <f>VLOOKUP($B378,'Tillförd energi'!$B$1:$AI$720,MATCH(G$2,'Tillförd energi'!$B$1:$AQ$1,0),FALSE)</f>
        <v>0</v>
      </c>
      <c r="H378" s="63">
        <f>VLOOKUP($B378,'Tillförd energi'!$B$1:$AI$720,MATCH(H$2,'Tillförd energi'!$B$1:$AQ$1,0),FALSE)</f>
        <v>0</v>
      </c>
      <c r="I378" s="63">
        <f>VLOOKUP($B378,'Tillförd energi'!$B$1:$AI$720,MATCH(I$2,'Tillförd energi'!$B$1:$AQ$1,0),FALSE)</f>
        <v>0</v>
      </c>
      <c r="J378" s="63">
        <f>VLOOKUP($B378,'Tillförd energi'!$B$1:$AI$720,MATCH(J$2,'Tillförd energi'!$B$1:$AQ$1,0),FALSE)</f>
        <v>0</v>
      </c>
      <c r="K378" s="63">
        <f>VLOOKUP($B378,'Tillförd energi'!$B$1:$AI$720,MATCH(K$2,'Tillförd energi'!$B$1:$AQ$1,0),FALSE)</f>
        <v>0</v>
      </c>
      <c r="L378" s="63">
        <f>VLOOKUP($B378,'Tillförd energi'!$B$1:$AI$720,MATCH(L$2,'Tillförd energi'!$B$1:$AQ$1,0),FALSE)</f>
        <v>0</v>
      </c>
      <c r="M378" s="63">
        <f>VLOOKUP($B378,'Tillförd energi'!$B$1:$AI$720,MATCH(M$2,'Tillförd energi'!$B$1:$AQ$1,0),FALSE)</f>
        <v>0</v>
      </c>
      <c r="N378" s="63">
        <f>VLOOKUP($B378,'Tillförd energi'!$B$1:$AI$720,MATCH(N$2,'Tillförd energi'!$B$1:$AQ$1,0),FALSE)</f>
        <v>0</v>
      </c>
      <c r="O378" s="63">
        <f>VLOOKUP($B378,'Tillförd energi'!$B$1:$AI$720,MATCH(O$2,'Tillförd energi'!$B$1:$AQ$1,0),FALSE)</f>
        <v>0</v>
      </c>
      <c r="P378" s="63">
        <f>VLOOKUP($B378,'Tillförd energi'!$B$1:$AI$720,MATCH(P$2,'Tillförd energi'!$B$1:$AQ$1,0),FALSE)</f>
        <v>15.356</v>
      </c>
      <c r="Q378" s="63">
        <f>VLOOKUP($B378,'Tillförd energi'!$B$1:$AI$720,MATCH(Q$2,'Tillförd energi'!$B$1:$AQ$1,0),FALSE)</f>
        <v>0</v>
      </c>
      <c r="R378" s="63">
        <f>VLOOKUP($B378,'Tillförd energi'!$B$1:$AI$720,MATCH(R$2,'Tillförd energi'!$B$1:$AQ$1,0),FALSE)</f>
        <v>0</v>
      </c>
      <c r="S378" s="63">
        <f>VLOOKUP($B378,'Tillförd energi'!$B$1:$AI$720,MATCH(S$2,'Tillförd energi'!$B$1:$AQ$1,0),FALSE)</f>
        <v>0</v>
      </c>
      <c r="T378" s="63">
        <f>VLOOKUP($B378,'Tillförd energi'!$B$1:$AI$720,MATCH(T$2,'Tillförd energi'!$B$1:$AQ$1,0),FALSE)</f>
        <v>0</v>
      </c>
      <c r="U378" s="63">
        <f>VLOOKUP($B378,'Tillförd energi'!$B$1:$AI$720,MATCH(U$2,'Tillförd energi'!$B$1:$AQ$1,0),FALSE)</f>
        <v>0</v>
      </c>
      <c r="V378" s="63">
        <f>VLOOKUP($B378,'Tillförd energi'!$B$1:$AI$720,MATCH(V$2,'Tillförd energi'!$B$1:$AQ$1,0),FALSE)</f>
        <v>0</v>
      </c>
      <c r="W378" s="63">
        <f>VLOOKUP($B378,'Tillförd energi'!$B$1:$AI$720,MATCH(W$2,'Tillförd energi'!$B$1:$AQ$1,0),FALSE)</f>
        <v>1.2210000000000001</v>
      </c>
      <c r="X378" s="63">
        <f>VLOOKUP($B378,'Tillförd energi'!$B$1:$AI$720,MATCH(X$2,'Tillförd energi'!$B$1:$AQ$1,0),FALSE)</f>
        <v>0</v>
      </c>
      <c r="Y378" s="63">
        <f>VLOOKUP($B378,'Tillförd energi'!$B$1:$AI$720,MATCH(Y$2,'Tillförd energi'!$B$1:$AQ$1,0),FALSE)</f>
        <v>0</v>
      </c>
      <c r="Z378" s="63">
        <f>VLOOKUP($B378,'Tillförd energi'!$B$1:$AI$720,MATCH(Z$2,'Tillförd energi'!$B$1:$AQ$1,0),FALSE)</f>
        <v>1E-3</v>
      </c>
      <c r="AA378" s="63">
        <f>VLOOKUP($B378,'Tillförd energi'!$B$1:$AI$720,MATCH(AA$2,'Tillförd energi'!$B$1:$AQ$1,0),FALSE)</f>
        <v>0</v>
      </c>
      <c r="AB378" s="63">
        <f>VLOOKUP($B378,'Tillförd energi'!$B$1:$AI$720,MATCH(AB$2,'Tillförd energi'!$B$1:$AQ$1,0),FALSE)</f>
        <v>0</v>
      </c>
      <c r="AC378" s="63">
        <f>VLOOKUP($B378,'Tillförd energi'!$B$1:$AI$720,MATCH(AC$2,'Tillförd energi'!$B$1:$AQ$1,0),FALSE)</f>
        <v>0</v>
      </c>
      <c r="AD378" s="63">
        <f>VLOOKUP($B378,'Tillförd energi'!$B$1:$AI$720,MATCH(AD$2,'Tillförd energi'!$B$1:$AQ$1,0),FALSE)</f>
        <v>0</v>
      </c>
      <c r="AE378" s="63">
        <f>VLOOKUP($B378,'Tillförd energi'!$B$1:$AI$720,MATCH(AE$2,'Tillförd energi'!$B$1:$AQ$1,0),FALSE)</f>
        <v>0</v>
      </c>
      <c r="AF378" s="63">
        <f>VLOOKUP($B378,'Tillförd energi'!$B$1:$AI$720,MATCH(AF$2,'Tillförd energi'!$B$1:$AQ$1,0),FALSE)</f>
        <v>0.34799999999999998</v>
      </c>
      <c r="AG378" s="63">
        <f>IFERROR(VLOOKUP(B378,Miljö!$B$1:$AC$550,MATCH("Köpt mängd produktionsspecifik fjärrvärme:",Miljö!$B$1:$AC$1,0),FALSE)/1,0)</f>
        <v>0</v>
      </c>
      <c r="AI378" s="63">
        <f t="shared" si="30"/>
        <v>16.925999999999998</v>
      </c>
      <c r="AJ378" s="63">
        <f>IF(ISERROR(1/VLOOKUP($B378,Leveranser!$B$1:$S$500,MATCH("såld värme (gwh)",Leveranser!$B$1:$S$1,0),FALSE)),"",VLOOKUP($B378,Leveranser!$B$1:$S$500,MATCH("såld värme (gwh)",Leveranser!$B$1:$S$1,0),FALSE))</f>
        <v>12.691000000000001</v>
      </c>
      <c r="AM378" s="63" t="str">
        <f>IF(B378&lt;&gt;"",IF(VLOOKUP($B378,Totalt!$B$1:$AQ$554,MATCH("Kvalitetsgranskad:",Totalt!$B$1:$AQ$1,0),FALSE)="ja",VLOOKUP($B378,Miljö!$B$1:$AG$479,MATCH(AM$2,Miljö!$B$1:$AK$1,0),FALSE),""),"")</f>
        <v>Ja</v>
      </c>
      <c r="AN378" s="63" t="str">
        <f>IF(AM378="ja",VLOOKUP($B378,Miljö!$B$1:$J$479,MATCH("Typ av ursprungsspecificerad el   (Om inget värde anges används Nordisk residualmix, se inforuta) ()",Miljö!$B$1:$J$1,0),FALSE),IF(AM378="nej","Nordisk residualel",""))</f>
        <v>'EPD Vattenfalls vindkraft'</v>
      </c>
      <c r="AO378" s="63">
        <f>IF(AM378="","",VLOOKUP($B378,Miljö!$B$1:$J$479,MATCH("Fossilandel för ursprungspecificerad el ()",Miljö!$B$1:$J$1,0),FALSE))</f>
        <v>0</v>
      </c>
      <c r="AQ378" s="63">
        <f t="shared" si="31"/>
        <v>1</v>
      </c>
      <c r="AS378" s="63" t="str">
        <f t="shared" si="32"/>
        <v>Nej</v>
      </c>
      <c r="AT378" s="63" t="str">
        <f>IF(AS378="ja",VLOOKUP($B378,Miljö!$B$1:$P$500,MATCH("Fossil andel i procent (%)",Miljö!$B$1:$P$1,0),FALSE)/100,"")</f>
        <v/>
      </c>
      <c r="AV378" s="63" t="str">
        <f t="shared" si="33"/>
        <v>Nej</v>
      </c>
      <c r="AW378" s="63" t="str">
        <f>IF(AV378="ja",VLOOKUP($B378,'Egen hetvattenprod'!$B$1:$AO$500,MATCH("Värmekälla till värmepumpar ()",'Egen hetvattenprod'!$B$1:$AO$1,0),FALSE),"")</f>
        <v/>
      </c>
      <c r="AY378" s="63" t="str">
        <f t="shared" si="34"/>
        <v>Nej</v>
      </c>
      <c r="AZ378" s="77" t="str">
        <f>IF($AY378="ja",(VLOOKUP($B378,'Egen hetvattenprod'!$B$1:$BX$550,MATCH(AZ$2,'Egen hetvattenprod'!$B$1:$BX$1,0),FALSE)+VLOOKUP($B378,Kraftvärmeprod!$B$1:$BX$550,MATCH(AZ$2,Kraftvärmeprod!$B$1:$BX$1,0),FALSE))/$AC378,"")</f>
        <v/>
      </c>
      <c r="BA378" s="77" t="str">
        <f>IF($AY378="ja",(VLOOKUP($B378,'Egen hetvattenprod'!$B$1:$BX$550,MATCH(BA$2,'Egen hetvattenprod'!$B$1:$BX$1,0),FALSE)+VLOOKUP($B378,Kraftvärmeprod!$B$1:$BX$550,MATCH(BA$2,Kraftvärmeprod!$B$1:$BX$1,0),FALSE))/$AC378,"")</f>
        <v/>
      </c>
      <c r="BB378" s="77" t="str">
        <f>IF($AY378="ja",(VLOOKUP($B378,'Egen hetvattenprod'!$B$1:$BX$550,MATCH(BB$2,'Egen hetvattenprod'!$B$1:$BX$1,0),FALSE)+VLOOKUP($B378,Kraftvärmeprod!$B$1:$BX$550,MATCH(BB$2,Kraftvärmeprod!$B$1:$BX$1,0),FALSE))/$AC378,"")</f>
        <v/>
      </c>
      <c r="BC378" s="77" t="str">
        <f>IF($AY378="ja",(VLOOKUP($B378,'Egen hetvattenprod'!$B$1:$BX$550,MATCH(BC$2,'Egen hetvattenprod'!$B$1:$BX$1,0),FALSE)+VLOOKUP($B378,Kraftvärmeprod!$B$1:$BX$550,MATCH(BC$2,Kraftvärmeprod!$B$1:$BX$1,0),FALSE))/$AC378,"")</f>
        <v/>
      </c>
      <c r="BD378" s="77" t="str">
        <f>IF($AY378="ja",(VLOOKUP($B378,'Egen hetvattenprod'!$B$1:$BX$550,MATCH(BD$2,'Egen hetvattenprod'!$B$1:$BX$1,0),FALSE)+VLOOKUP($B378,Kraftvärmeprod!$B$1:$BX$550,MATCH(BD$2,Kraftvärmeprod!$B$1:$BX$1,0),FALSE))/$AC378,"")</f>
        <v/>
      </c>
      <c r="BF378" s="63" t="str">
        <f t="shared" si="35"/>
        <v>Nej</v>
      </c>
      <c r="BG378" s="63" t="str">
        <f>IF($BF378="ja",VLOOKUP($B378,'Egen hetvattenprod'!$B$1:$BX$550,MATCH("Andelen klimatgaser med fossilt ursprung för avfall ()",'Egen hetvattenprod'!$B$1:$BX$1,0),FALSE),"")</f>
        <v/>
      </c>
      <c r="BH378" s="63" t="str">
        <f>IF($BF378="ja",VLOOKUP($B378,Kraftvärmeprod!$B$1:$BX$550,MATCH("Andelen klimatgaser med fossilt ursprung för avfall ()",Kraftvärmeprod!$B$1:$BX$1,0),FALSE),"")</f>
        <v/>
      </c>
      <c r="BI378" s="63" t="str">
        <f>IF($BF378="ja",VLOOKUP($B378,'Egen hetvattenprod'!$B$1:$BX$550,MATCH("Avfall (GWh)",'Egen hetvattenprod'!$B$1:$BX$1,0),FALSE),"")</f>
        <v/>
      </c>
      <c r="BJ378" s="63" t="str">
        <f>IF($BF378="ja",VLOOKUP($B378,'Slutlig allokering kvv'!$B$1:$BX$550,MATCH("Avfall (GWh)",'Slutlig allokering kvv'!$B$1:$BX$1,0),FALSE),"")</f>
        <v/>
      </c>
      <c r="BK378" s="63" t="str">
        <f>IF($BF378="ja",VLOOKUP($B378,'Köpt hetvatten'!$B$1:$BX$550,MATCH("Avfall i köpt hetvatten",'Köpt hetvatten'!$B$1:$BX$1,0),FALSE),"")</f>
        <v/>
      </c>
      <c r="BL378" s="63" t="str">
        <f>IF($BF378="ja",VLOOKUP($B378,'Egen hetvattenprod'!$B$1:$BX$550,MATCH("Värde enligt ovan. (%)",'Egen hetvattenprod'!$B$1:$BX$1,0),FALSE),"")</f>
        <v/>
      </c>
      <c r="BM378" s="63" t="str">
        <f>IF($BF378="ja",VLOOKUP($B378,Kraftvärmeprod!$B$1:$BX$550,MATCH("Värde enligt ovan. (%)",Kraftvärmeprod!$B$1:$BX$1,0),FALSE),"")</f>
        <v/>
      </c>
    </row>
    <row r="379" spans="1:65" x14ac:dyDescent="0.45">
      <c r="A379" s="63" t="s">
        <v>191</v>
      </c>
      <c r="B379" s="63" t="s">
        <v>192</v>
      </c>
      <c r="C379" s="63">
        <f>VLOOKUP($B379,'Tillförd energi'!$B$1:$AI$720,MATCH(C$2,'Tillförd energi'!$B$1:$AQ$1,0),FALSE)</f>
        <v>0</v>
      </c>
      <c r="D379" s="63">
        <f>VLOOKUP($B379,'Tillförd energi'!$B$1:$AI$720,MATCH(D$2,'Tillförd energi'!$B$1:$AQ$1,0),FALSE)</f>
        <v>0.872</v>
      </c>
      <c r="E379" s="63">
        <f>VLOOKUP($B379,'Tillförd energi'!$B$1:$AI$720,MATCH(E$2,'Tillförd energi'!$B$1:$AQ$1,0),FALSE)</f>
        <v>0</v>
      </c>
      <c r="F379" s="63">
        <f>VLOOKUP($B379,'Tillförd energi'!$B$1:$AI$720,MATCH(F$2,'Tillförd energi'!$B$1:$AQ$1,0),FALSE)</f>
        <v>0</v>
      </c>
      <c r="G379" s="63">
        <f>VLOOKUP($B379,'Tillförd energi'!$B$1:$AI$720,MATCH(G$2,'Tillförd energi'!$B$1:$AQ$1,0),FALSE)</f>
        <v>0</v>
      </c>
      <c r="H379" s="63">
        <f>VLOOKUP($B379,'Tillförd energi'!$B$1:$AI$720,MATCH(H$2,'Tillförd energi'!$B$1:$AQ$1,0),FALSE)</f>
        <v>0</v>
      </c>
      <c r="I379" s="63">
        <f>VLOOKUP($B379,'Tillförd energi'!$B$1:$AI$720,MATCH(I$2,'Tillförd energi'!$B$1:$AQ$1,0),FALSE)</f>
        <v>0</v>
      </c>
      <c r="J379" s="63">
        <f>VLOOKUP($B379,'Tillförd energi'!$B$1:$AI$720,MATCH(J$2,'Tillförd energi'!$B$1:$AQ$1,0),FALSE)</f>
        <v>0</v>
      </c>
      <c r="K379" s="63">
        <f>VLOOKUP($B379,'Tillförd energi'!$B$1:$AI$720,MATCH(K$2,'Tillförd energi'!$B$1:$AQ$1,0),FALSE)</f>
        <v>0</v>
      </c>
      <c r="L379" s="63">
        <f>VLOOKUP($B379,'Tillförd energi'!$B$1:$AI$720,MATCH(L$2,'Tillförd energi'!$B$1:$AQ$1,0),FALSE)</f>
        <v>81.53</v>
      </c>
      <c r="M379" s="63">
        <f>VLOOKUP($B379,'Tillförd energi'!$B$1:$AI$720,MATCH(M$2,'Tillförd energi'!$B$1:$AQ$1,0),FALSE)</f>
        <v>11.162000000000001</v>
      </c>
      <c r="N379" s="63">
        <f>VLOOKUP($B379,'Tillförd energi'!$B$1:$AI$720,MATCH(N$2,'Tillförd energi'!$B$1:$AQ$1,0),FALSE)</f>
        <v>1.391</v>
      </c>
      <c r="O379" s="63">
        <f>VLOOKUP($B379,'Tillförd energi'!$B$1:$AI$720,MATCH(O$2,'Tillförd energi'!$B$1:$AQ$1,0),FALSE)</f>
        <v>3.9540000000000002</v>
      </c>
      <c r="P379" s="63">
        <f>VLOOKUP($B379,'Tillförd energi'!$B$1:$AI$720,MATCH(P$2,'Tillförd energi'!$B$1:$AQ$1,0),FALSE)</f>
        <v>11.233000000000001</v>
      </c>
      <c r="Q379" s="63">
        <f>VLOOKUP($B379,'Tillförd energi'!$B$1:$AI$720,MATCH(Q$2,'Tillförd energi'!$B$1:$AQ$1,0),FALSE)</f>
        <v>0</v>
      </c>
      <c r="R379" s="63">
        <f>VLOOKUP($B379,'Tillförd energi'!$B$1:$AI$720,MATCH(R$2,'Tillförd energi'!$B$1:$AQ$1,0),FALSE)</f>
        <v>0</v>
      </c>
      <c r="S379" s="63">
        <f>VLOOKUP($B379,'Tillförd energi'!$B$1:$AI$720,MATCH(S$2,'Tillförd energi'!$B$1:$AQ$1,0),FALSE)</f>
        <v>0</v>
      </c>
      <c r="T379" s="63">
        <f>VLOOKUP($B379,'Tillförd energi'!$B$1:$AI$720,MATCH(T$2,'Tillförd energi'!$B$1:$AQ$1,0),FALSE)</f>
        <v>0</v>
      </c>
      <c r="U379" s="63">
        <f>VLOOKUP($B379,'Tillförd energi'!$B$1:$AI$720,MATCH(U$2,'Tillförd energi'!$B$1:$AQ$1,0),FALSE)</f>
        <v>0</v>
      </c>
      <c r="V379" s="63">
        <f>VLOOKUP($B379,'Tillförd energi'!$B$1:$AI$720,MATCH(V$2,'Tillförd energi'!$B$1:$AQ$1,0),FALSE)</f>
        <v>0</v>
      </c>
      <c r="W379" s="63">
        <f>VLOOKUP($B379,'Tillförd energi'!$B$1:$AI$720,MATCH(W$2,'Tillförd energi'!$B$1:$AQ$1,0),FALSE)</f>
        <v>7.6325599999999998</v>
      </c>
      <c r="X379" s="63">
        <f>VLOOKUP($B379,'Tillförd energi'!$B$1:$AI$720,MATCH(X$2,'Tillförd energi'!$B$1:$AQ$1,0),FALSE)</f>
        <v>0</v>
      </c>
      <c r="Y379" s="63">
        <f>VLOOKUP($B379,'Tillförd energi'!$B$1:$AI$720,MATCH(Y$2,'Tillförd energi'!$B$1:$AQ$1,0),FALSE)</f>
        <v>0</v>
      </c>
      <c r="Z379" s="63">
        <f>VLOOKUP($B379,'Tillförd energi'!$B$1:$AI$720,MATCH(Z$2,'Tillförd energi'!$B$1:$AQ$1,0),FALSE)</f>
        <v>1E-3</v>
      </c>
      <c r="AA379" s="63">
        <f>VLOOKUP($B379,'Tillförd energi'!$B$1:$AI$720,MATCH(AA$2,'Tillförd energi'!$B$1:$AQ$1,0),FALSE)</f>
        <v>0</v>
      </c>
      <c r="AB379" s="63">
        <f>VLOOKUP($B379,'Tillförd energi'!$B$1:$AI$720,MATCH(AB$2,'Tillförd energi'!$B$1:$AQ$1,0),FALSE)</f>
        <v>0</v>
      </c>
      <c r="AC379" s="63">
        <f>VLOOKUP($B379,'Tillförd energi'!$B$1:$AI$720,MATCH(AC$2,'Tillförd energi'!$B$1:$AQ$1,0),FALSE)</f>
        <v>17.361000000000001</v>
      </c>
      <c r="AD379" s="63">
        <f>VLOOKUP($B379,'Tillförd energi'!$B$1:$AI$720,MATCH(AD$2,'Tillförd energi'!$B$1:$AQ$1,0),FALSE)</f>
        <v>1.34</v>
      </c>
      <c r="AE379" s="63">
        <f>VLOOKUP($B379,'Tillförd energi'!$B$1:$AI$720,MATCH(AE$2,'Tillförd energi'!$B$1:$AQ$1,0),FALSE)</f>
        <v>0</v>
      </c>
      <c r="AF379" s="63">
        <f>VLOOKUP($B379,'Tillförd energi'!$B$1:$AI$720,MATCH(AF$2,'Tillförd energi'!$B$1:$AQ$1,0),FALSE)</f>
        <v>4.2530000000000001</v>
      </c>
      <c r="AG379" s="63">
        <f>IFERROR(VLOOKUP(B379,Miljö!$B$1:$AC$550,MATCH("Köpt mängd produktionsspecifik fjärrvärme:",Miljö!$B$1:$AC$1,0),FALSE)/1,0)</f>
        <v>0</v>
      </c>
      <c r="AI379" s="63">
        <f t="shared" si="30"/>
        <v>140.72955999999999</v>
      </c>
      <c r="AJ379" s="63">
        <f>IF(ISERROR(1/VLOOKUP($B379,Leveranser!$B$1:$S$500,MATCH("såld värme (gwh)",Leveranser!$B$1:$S$1,0),FALSE)),"",VLOOKUP($B379,Leveranser!$B$1:$S$500,MATCH("såld värme (gwh)",Leveranser!$B$1:$S$1,0),FALSE))</f>
        <v>102.86799999999999</v>
      </c>
      <c r="AM379" s="63" t="str">
        <f>IF(B379&lt;&gt;"",IF(VLOOKUP($B379,Totalt!$B$1:$AQ$554,MATCH("Kvalitetsgranskad:",Totalt!$B$1:$AQ$1,0),FALSE)="ja",VLOOKUP($B379,Miljö!$B$1:$AG$479,MATCH(AM$2,Miljö!$B$1:$AK$1,0),FALSE),""),"")</f>
        <v>Ja</v>
      </c>
      <c r="AN379" s="63" t="str">
        <f>IF(AM379="ja",VLOOKUP($B379,Miljö!$B$1:$J$479,MATCH("Typ av ursprungsspecificerad el   (Om inget värde anges används Nordisk residualmix, se inforuta) ()",Miljö!$B$1:$J$1,0),FALSE),IF(AM379="nej","Nordisk residualel",""))</f>
        <v>'EPD Vattenfalls vindkraft'</v>
      </c>
      <c r="AO379" s="63">
        <f>IF(AM379="","",VLOOKUP($B379,Miljö!$B$1:$J$479,MATCH("Fossilandel för ursprungspecificerad el ()",Miljö!$B$1:$J$1,0),FALSE))</f>
        <v>0</v>
      </c>
      <c r="AQ379" s="63">
        <f t="shared" si="31"/>
        <v>1</v>
      </c>
      <c r="AS379" s="63" t="str">
        <f t="shared" si="32"/>
        <v>Nej</v>
      </c>
      <c r="AT379" s="63" t="str">
        <f>IF(AS379="ja",VLOOKUP($B379,Miljö!$B$1:$P$500,MATCH("Fossil andel i procent (%)",Miljö!$B$1:$P$1,0),FALSE)/100,"")</f>
        <v/>
      </c>
      <c r="AV379" s="63" t="str">
        <f t="shared" si="33"/>
        <v>Nej</v>
      </c>
      <c r="AW379" s="63" t="str">
        <f>IF(AV379="ja",VLOOKUP($B379,'Egen hetvattenprod'!$B$1:$AO$500,MATCH("Värmekälla till värmepumpar ()",'Egen hetvattenprod'!$B$1:$AO$1,0),FALSE),"")</f>
        <v/>
      </c>
      <c r="AY379" s="63" t="str">
        <f t="shared" si="34"/>
        <v>Ja</v>
      </c>
      <c r="AZ379" s="77">
        <f>IF($AY379="ja",(VLOOKUP($B379,'Egen hetvattenprod'!$B$1:$BX$550,MATCH(AZ$2,'Egen hetvattenprod'!$B$1:$BX$1,0),FALSE)+VLOOKUP($B379,Kraftvärmeprod!$B$1:$BX$550,MATCH(AZ$2,Kraftvärmeprod!$B$1:$BX$1,0),FALSE))/$AC379,"")</f>
        <v>1</v>
      </c>
      <c r="BA379" s="77">
        <f>IF($AY379="ja",(VLOOKUP($B379,'Egen hetvattenprod'!$B$1:$BX$550,MATCH(BA$2,'Egen hetvattenprod'!$B$1:$BX$1,0),FALSE)+VLOOKUP($B379,Kraftvärmeprod!$B$1:$BX$550,MATCH(BA$2,Kraftvärmeprod!$B$1:$BX$1,0),FALSE))/$AC379,"")</f>
        <v>0</v>
      </c>
      <c r="BB379" s="77">
        <f>IF($AY379="ja",(VLOOKUP($B379,'Egen hetvattenprod'!$B$1:$BX$550,MATCH(BB$2,'Egen hetvattenprod'!$B$1:$BX$1,0),FALSE)+VLOOKUP($B379,Kraftvärmeprod!$B$1:$BX$550,MATCH(BB$2,Kraftvärmeprod!$B$1:$BX$1,0),FALSE))/$AC379,"")</f>
        <v>0</v>
      </c>
      <c r="BC379" s="77">
        <f>IF($AY379="ja",(VLOOKUP($B379,'Egen hetvattenprod'!$B$1:$BX$550,MATCH(BC$2,'Egen hetvattenprod'!$B$1:$BX$1,0),FALSE)+VLOOKUP($B379,Kraftvärmeprod!$B$1:$BX$550,MATCH(BC$2,Kraftvärmeprod!$B$1:$BX$1,0),FALSE))/$AC379,"")</f>
        <v>0</v>
      </c>
      <c r="BD379" s="77">
        <f>IF($AY379="ja",(VLOOKUP($B379,'Egen hetvattenprod'!$B$1:$BX$550,MATCH(BD$2,'Egen hetvattenprod'!$B$1:$BX$1,0),FALSE)+VLOOKUP($B379,Kraftvärmeprod!$B$1:$BX$550,MATCH(BD$2,Kraftvärmeprod!$B$1:$BX$1,0),FALSE))/$AC379,"")</f>
        <v>0</v>
      </c>
      <c r="BF379" s="63" t="str">
        <f t="shared" si="35"/>
        <v>Nej</v>
      </c>
      <c r="BG379" s="63" t="str">
        <f>IF($BF379="ja",VLOOKUP($B379,'Egen hetvattenprod'!$B$1:$BX$550,MATCH("Andelen klimatgaser med fossilt ursprung för avfall ()",'Egen hetvattenprod'!$B$1:$BX$1,0),FALSE),"")</f>
        <v/>
      </c>
      <c r="BH379" s="63" t="str">
        <f>IF($BF379="ja",VLOOKUP($B379,Kraftvärmeprod!$B$1:$BX$550,MATCH("Andelen klimatgaser med fossilt ursprung för avfall ()",Kraftvärmeprod!$B$1:$BX$1,0),FALSE),"")</f>
        <v/>
      </c>
      <c r="BI379" s="63" t="str">
        <f>IF($BF379="ja",VLOOKUP($B379,'Egen hetvattenprod'!$B$1:$BX$550,MATCH("Avfall (GWh)",'Egen hetvattenprod'!$B$1:$BX$1,0),FALSE),"")</f>
        <v/>
      </c>
      <c r="BJ379" s="63" t="str">
        <f>IF($BF379="ja",VLOOKUP($B379,'Slutlig allokering kvv'!$B$1:$BX$550,MATCH("Avfall (GWh)",'Slutlig allokering kvv'!$B$1:$BX$1,0),FALSE),"")</f>
        <v/>
      </c>
      <c r="BK379" s="63" t="str">
        <f>IF($BF379="ja",VLOOKUP($B379,'Köpt hetvatten'!$B$1:$BX$550,MATCH("Avfall i köpt hetvatten",'Köpt hetvatten'!$B$1:$BX$1,0),FALSE),"")</f>
        <v/>
      </c>
      <c r="BL379" s="63" t="str">
        <f>IF($BF379="ja",VLOOKUP($B379,'Egen hetvattenprod'!$B$1:$BX$550,MATCH("Värde enligt ovan. (%)",'Egen hetvattenprod'!$B$1:$BX$1,0),FALSE),"")</f>
        <v/>
      </c>
      <c r="BM379" s="63" t="str">
        <f>IF($BF379="ja",VLOOKUP($B379,Kraftvärmeprod!$B$1:$BX$550,MATCH("Värde enligt ovan. (%)",Kraftvärmeprod!$B$1:$BX$1,0),FALSE),"")</f>
        <v/>
      </c>
    </row>
    <row r="380" spans="1:65" x14ac:dyDescent="0.45">
      <c r="A380" s="63" t="s">
        <v>191</v>
      </c>
      <c r="B380" s="63" t="s">
        <v>190</v>
      </c>
      <c r="C380" s="63">
        <f>VLOOKUP($B380,'Tillförd energi'!$B$1:$AI$720,MATCH(C$2,'Tillförd energi'!$B$1:$AQ$1,0),FALSE)</f>
        <v>0</v>
      </c>
      <c r="D380" s="63">
        <f>VLOOKUP($B380,'Tillförd energi'!$B$1:$AI$720,MATCH(D$2,'Tillförd energi'!$B$1:$AQ$1,0),FALSE)</f>
        <v>0</v>
      </c>
      <c r="E380" s="63">
        <f>VLOOKUP($B380,'Tillförd energi'!$B$1:$AI$720,MATCH(E$2,'Tillförd energi'!$B$1:$AQ$1,0),FALSE)</f>
        <v>0</v>
      </c>
      <c r="F380" s="63">
        <f>VLOOKUP($B380,'Tillförd energi'!$B$1:$AI$720,MATCH(F$2,'Tillförd energi'!$B$1:$AQ$1,0),FALSE)</f>
        <v>0</v>
      </c>
      <c r="G380" s="63">
        <f>VLOOKUP($B380,'Tillförd energi'!$B$1:$AI$720,MATCH(G$2,'Tillförd energi'!$B$1:$AQ$1,0),FALSE)</f>
        <v>0</v>
      </c>
      <c r="H380" s="63">
        <f>VLOOKUP($B380,'Tillförd energi'!$B$1:$AI$720,MATCH(H$2,'Tillförd energi'!$B$1:$AQ$1,0),FALSE)</f>
        <v>0</v>
      </c>
      <c r="I380" s="63">
        <f>VLOOKUP($B380,'Tillförd energi'!$B$1:$AI$720,MATCH(I$2,'Tillförd energi'!$B$1:$AQ$1,0),FALSE)</f>
        <v>0</v>
      </c>
      <c r="J380" s="63">
        <f>VLOOKUP($B380,'Tillförd energi'!$B$1:$AI$720,MATCH(J$2,'Tillförd energi'!$B$1:$AQ$1,0),FALSE)</f>
        <v>0</v>
      </c>
      <c r="K380" s="63">
        <f>VLOOKUP($B380,'Tillförd energi'!$B$1:$AI$720,MATCH(K$2,'Tillförd energi'!$B$1:$AQ$1,0),FALSE)</f>
        <v>0</v>
      </c>
      <c r="L380" s="63">
        <f>VLOOKUP($B380,'Tillförd energi'!$B$1:$AI$720,MATCH(L$2,'Tillförd energi'!$B$1:$AQ$1,0),FALSE)</f>
        <v>0</v>
      </c>
      <c r="M380" s="63">
        <f>VLOOKUP($B380,'Tillförd energi'!$B$1:$AI$720,MATCH(M$2,'Tillförd energi'!$B$1:$AQ$1,0),FALSE)</f>
        <v>0</v>
      </c>
      <c r="N380" s="63">
        <f>VLOOKUP($B380,'Tillförd energi'!$B$1:$AI$720,MATCH(N$2,'Tillförd energi'!$B$1:$AQ$1,0),FALSE)</f>
        <v>0</v>
      </c>
      <c r="O380" s="63">
        <f>VLOOKUP($B380,'Tillförd energi'!$B$1:$AI$720,MATCH(O$2,'Tillförd energi'!$B$1:$AQ$1,0),FALSE)</f>
        <v>0</v>
      </c>
      <c r="P380" s="63">
        <f>VLOOKUP($B380,'Tillförd energi'!$B$1:$AI$720,MATCH(P$2,'Tillförd energi'!$B$1:$AQ$1,0),FALSE)</f>
        <v>0</v>
      </c>
      <c r="Q380" s="63">
        <f>VLOOKUP($B380,'Tillförd energi'!$B$1:$AI$720,MATCH(Q$2,'Tillförd energi'!$B$1:$AQ$1,0),FALSE)</f>
        <v>0</v>
      </c>
      <c r="R380" s="63">
        <f>VLOOKUP($B380,'Tillförd energi'!$B$1:$AI$720,MATCH(R$2,'Tillförd energi'!$B$1:$AQ$1,0),FALSE)</f>
        <v>1.27444</v>
      </c>
      <c r="S380" s="63">
        <f>VLOOKUP($B380,'Tillförd energi'!$B$1:$AI$720,MATCH(S$2,'Tillförd energi'!$B$1:$AQ$1,0),FALSE)</f>
        <v>0</v>
      </c>
      <c r="T380" s="63">
        <f>VLOOKUP($B380,'Tillförd energi'!$B$1:$AI$720,MATCH(T$2,'Tillförd energi'!$B$1:$AQ$1,0),FALSE)</f>
        <v>0</v>
      </c>
      <c r="U380" s="63">
        <f>VLOOKUP($B380,'Tillförd energi'!$B$1:$AI$720,MATCH(U$2,'Tillförd energi'!$B$1:$AQ$1,0),FALSE)</f>
        <v>0</v>
      </c>
      <c r="V380" s="63">
        <f>VLOOKUP($B380,'Tillförd energi'!$B$1:$AI$720,MATCH(V$2,'Tillförd energi'!$B$1:$AQ$1,0),FALSE)</f>
        <v>0</v>
      </c>
      <c r="W380" s="63">
        <f>VLOOKUP($B380,'Tillförd energi'!$B$1:$AI$720,MATCH(W$2,'Tillförd energi'!$B$1:$AQ$1,0),FALSE)</f>
        <v>0.42777799999999999</v>
      </c>
      <c r="X380" s="63">
        <f>VLOOKUP($B380,'Tillförd energi'!$B$1:$AI$720,MATCH(X$2,'Tillförd energi'!$B$1:$AQ$1,0),FALSE)</f>
        <v>0</v>
      </c>
      <c r="Y380" s="63">
        <f>VLOOKUP($B380,'Tillförd energi'!$B$1:$AI$720,MATCH(Y$2,'Tillförd energi'!$B$1:$AQ$1,0),FALSE)</f>
        <v>0</v>
      </c>
      <c r="Z380" s="63">
        <f>VLOOKUP($B380,'Tillförd energi'!$B$1:$AI$720,MATCH(Z$2,'Tillförd energi'!$B$1:$AQ$1,0),FALSE)</f>
        <v>0</v>
      </c>
      <c r="AA380" s="63">
        <f>VLOOKUP($B380,'Tillförd energi'!$B$1:$AI$720,MATCH(AA$2,'Tillförd energi'!$B$1:$AQ$1,0),FALSE)</f>
        <v>0</v>
      </c>
      <c r="AB380" s="63">
        <f>VLOOKUP($B380,'Tillförd energi'!$B$1:$AI$720,MATCH(AB$2,'Tillförd energi'!$B$1:$AQ$1,0),FALSE)</f>
        <v>0</v>
      </c>
      <c r="AC380" s="63">
        <f>VLOOKUP($B380,'Tillförd energi'!$B$1:$AI$720,MATCH(AC$2,'Tillförd energi'!$B$1:$AQ$1,0),FALSE)</f>
        <v>0</v>
      </c>
      <c r="AD380" s="63">
        <f>VLOOKUP($B380,'Tillförd energi'!$B$1:$AI$720,MATCH(AD$2,'Tillförd energi'!$B$1:$AQ$1,0),FALSE)</f>
        <v>19.209</v>
      </c>
      <c r="AE380" s="63">
        <f>VLOOKUP($B380,'Tillförd energi'!$B$1:$AI$720,MATCH(AE$2,'Tillförd energi'!$B$1:$AQ$1,0),FALSE)</f>
        <v>0</v>
      </c>
      <c r="AF380" s="63">
        <f>VLOOKUP($B380,'Tillförd energi'!$B$1:$AI$720,MATCH(AF$2,'Tillförd energi'!$B$1:$AQ$1,0),FALSE)</f>
        <v>8.6999999999999994E-2</v>
      </c>
      <c r="AG380" s="63">
        <f>IFERROR(VLOOKUP(B380,Miljö!$B$1:$AC$550,MATCH("Köpt mängd produktionsspecifik fjärrvärme:",Miljö!$B$1:$AC$1,0),FALSE)/1,0)</f>
        <v>0</v>
      </c>
      <c r="AI380" s="63">
        <f t="shared" si="30"/>
        <v>20.998217999999998</v>
      </c>
      <c r="AJ380" s="63">
        <f>IF(ISERROR(1/VLOOKUP($B380,Leveranser!$B$1:$S$500,MATCH("såld värme (gwh)",Leveranser!$B$1:$S$1,0),FALSE)),"",VLOOKUP($B380,Leveranser!$B$1:$S$500,MATCH("såld värme (gwh)",Leveranser!$B$1:$S$1,0),FALSE))</f>
        <v>18.343</v>
      </c>
      <c r="AM380" s="63" t="str">
        <f>IF(B380&lt;&gt;"",IF(VLOOKUP($B380,Totalt!$B$1:$AQ$554,MATCH("Kvalitetsgranskad:",Totalt!$B$1:$AQ$1,0),FALSE)="ja",VLOOKUP($B380,Miljö!$B$1:$AG$479,MATCH(AM$2,Miljö!$B$1:$AK$1,0),FALSE),""),"")</f>
        <v>Ja</v>
      </c>
      <c r="AN380" s="63" t="str">
        <f>IF(AM380="ja",VLOOKUP($B380,Miljö!$B$1:$J$479,MATCH("Typ av ursprungsspecificerad el   (Om inget värde anges används Nordisk residualmix, se inforuta) ()",Miljö!$B$1:$J$1,0),FALSE),IF(AM380="nej","Nordisk residualel",""))</f>
        <v>-</v>
      </c>
      <c r="AO380" s="63">
        <f>IF(AM380="","",VLOOKUP($B380,Miljö!$B$1:$J$479,MATCH("Fossilandel för ursprungspecificerad el ()",Miljö!$B$1:$J$1,0),FALSE))</f>
        <v>0.35</v>
      </c>
      <c r="AQ380" s="63">
        <f t="shared" si="31"/>
        <v>0.65</v>
      </c>
      <c r="AS380" s="63" t="str">
        <f t="shared" si="32"/>
        <v>Nej</v>
      </c>
      <c r="AT380" s="63" t="str">
        <f>IF(AS380="ja",VLOOKUP($B380,Miljö!$B$1:$P$500,MATCH("Fossil andel i procent (%)",Miljö!$B$1:$P$1,0),FALSE)/100,"")</f>
        <v/>
      </c>
      <c r="AV380" s="63" t="str">
        <f t="shared" si="33"/>
        <v>Nej</v>
      </c>
      <c r="AW380" s="63" t="str">
        <f>IF(AV380="ja",VLOOKUP($B380,'Egen hetvattenprod'!$B$1:$AO$500,MATCH("Värmekälla till värmepumpar ()",'Egen hetvattenprod'!$B$1:$AO$1,0),FALSE),"")</f>
        <v/>
      </c>
      <c r="AY380" s="63" t="str">
        <f t="shared" si="34"/>
        <v>Nej</v>
      </c>
      <c r="AZ380" s="77" t="str">
        <f>IF($AY380="ja",(VLOOKUP($B380,'Egen hetvattenprod'!$B$1:$BX$550,MATCH(AZ$2,'Egen hetvattenprod'!$B$1:$BX$1,0),FALSE)+VLOOKUP($B380,Kraftvärmeprod!$B$1:$BX$550,MATCH(AZ$2,Kraftvärmeprod!$B$1:$BX$1,0),FALSE))/$AC380,"")</f>
        <v/>
      </c>
      <c r="BA380" s="77" t="str">
        <f>IF($AY380="ja",(VLOOKUP($B380,'Egen hetvattenprod'!$B$1:$BX$550,MATCH(BA$2,'Egen hetvattenprod'!$B$1:$BX$1,0),FALSE)+VLOOKUP($B380,Kraftvärmeprod!$B$1:$BX$550,MATCH(BA$2,Kraftvärmeprod!$B$1:$BX$1,0),FALSE))/$AC380,"")</f>
        <v/>
      </c>
      <c r="BB380" s="77" t="str">
        <f>IF($AY380="ja",(VLOOKUP($B380,'Egen hetvattenprod'!$B$1:$BX$550,MATCH(BB$2,'Egen hetvattenprod'!$B$1:$BX$1,0),FALSE)+VLOOKUP($B380,Kraftvärmeprod!$B$1:$BX$550,MATCH(BB$2,Kraftvärmeprod!$B$1:$BX$1,0),FALSE))/$AC380,"")</f>
        <v/>
      </c>
      <c r="BC380" s="77" t="str">
        <f>IF($AY380="ja",(VLOOKUP($B380,'Egen hetvattenprod'!$B$1:$BX$550,MATCH(BC$2,'Egen hetvattenprod'!$B$1:$BX$1,0),FALSE)+VLOOKUP($B380,Kraftvärmeprod!$B$1:$BX$550,MATCH(BC$2,Kraftvärmeprod!$B$1:$BX$1,0),FALSE))/$AC380,"")</f>
        <v/>
      </c>
      <c r="BD380" s="77" t="str">
        <f>IF($AY380="ja",(VLOOKUP($B380,'Egen hetvattenprod'!$B$1:$BX$550,MATCH(BD$2,'Egen hetvattenprod'!$B$1:$BX$1,0),FALSE)+VLOOKUP($B380,Kraftvärmeprod!$B$1:$BX$550,MATCH(BD$2,Kraftvärmeprod!$B$1:$BX$1,0),FALSE))/$AC380,"")</f>
        <v/>
      </c>
      <c r="BF380" s="63" t="str">
        <f t="shared" si="35"/>
        <v>Nej</v>
      </c>
      <c r="BG380" s="63" t="str">
        <f>IF($BF380="ja",VLOOKUP($B380,'Egen hetvattenprod'!$B$1:$BX$550,MATCH("Andelen klimatgaser med fossilt ursprung för avfall ()",'Egen hetvattenprod'!$B$1:$BX$1,0),FALSE),"")</f>
        <v/>
      </c>
      <c r="BH380" s="63" t="str">
        <f>IF($BF380="ja",VLOOKUP($B380,Kraftvärmeprod!$B$1:$BX$550,MATCH("Andelen klimatgaser med fossilt ursprung för avfall ()",Kraftvärmeprod!$B$1:$BX$1,0),FALSE),"")</f>
        <v/>
      </c>
      <c r="BI380" s="63" t="str">
        <f>IF($BF380="ja",VLOOKUP($B380,'Egen hetvattenprod'!$B$1:$BX$550,MATCH("Avfall (GWh)",'Egen hetvattenprod'!$B$1:$BX$1,0),FALSE),"")</f>
        <v/>
      </c>
      <c r="BJ380" s="63" t="str">
        <f>IF($BF380="ja",VLOOKUP($B380,'Slutlig allokering kvv'!$B$1:$BX$550,MATCH("Avfall (GWh)",'Slutlig allokering kvv'!$B$1:$BX$1,0),FALSE),"")</f>
        <v/>
      </c>
      <c r="BK380" s="63" t="str">
        <f>IF($BF380="ja",VLOOKUP($B380,'Köpt hetvatten'!$B$1:$BX$550,MATCH("Avfall i köpt hetvatten",'Köpt hetvatten'!$B$1:$BX$1,0),FALSE),"")</f>
        <v/>
      </c>
      <c r="BL380" s="63" t="str">
        <f>IF($BF380="ja",VLOOKUP($B380,'Egen hetvattenprod'!$B$1:$BX$550,MATCH("Värde enligt ovan. (%)",'Egen hetvattenprod'!$B$1:$BX$1,0),FALSE),"")</f>
        <v/>
      </c>
      <c r="BM380" s="63" t="str">
        <f>IF($BF380="ja",VLOOKUP($B380,Kraftvärmeprod!$B$1:$BX$550,MATCH("Värde enligt ovan. (%)",Kraftvärmeprod!$B$1:$BX$1,0),FALSE),"")</f>
        <v/>
      </c>
    </row>
    <row r="381" spans="1:65" x14ac:dyDescent="0.45">
      <c r="A381" s="63" t="s">
        <v>187</v>
      </c>
      <c r="B381" s="63" t="s">
        <v>189</v>
      </c>
      <c r="C381" s="63">
        <f>VLOOKUP($B381,'Tillförd energi'!$B$1:$AI$720,MATCH(C$2,'Tillförd energi'!$B$1:$AQ$1,0),FALSE)</f>
        <v>0</v>
      </c>
      <c r="D381" s="63">
        <f>VLOOKUP($B381,'Tillförd energi'!$B$1:$AI$720,MATCH(D$2,'Tillförd energi'!$B$1:$AQ$1,0),FALSE)</f>
        <v>0.38500000000000001</v>
      </c>
      <c r="E381" s="63">
        <f>VLOOKUP($B381,'Tillförd energi'!$B$1:$AI$720,MATCH(E$2,'Tillförd energi'!$B$1:$AQ$1,0),FALSE)</f>
        <v>0</v>
      </c>
      <c r="F381" s="63">
        <f>VLOOKUP($B381,'Tillförd energi'!$B$1:$AI$720,MATCH(F$2,'Tillförd energi'!$B$1:$AQ$1,0),FALSE)</f>
        <v>0</v>
      </c>
      <c r="G381" s="63">
        <f>VLOOKUP($B381,'Tillförd energi'!$B$1:$AI$720,MATCH(G$2,'Tillförd energi'!$B$1:$AQ$1,0),FALSE)</f>
        <v>0</v>
      </c>
      <c r="H381" s="63">
        <f>VLOOKUP($B381,'Tillförd energi'!$B$1:$AI$720,MATCH(H$2,'Tillförd energi'!$B$1:$AQ$1,0),FALSE)</f>
        <v>0</v>
      </c>
      <c r="I381" s="63">
        <f>VLOOKUP($B381,'Tillförd energi'!$B$1:$AI$720,MATCH(I$2,'Tillförd energi'!$B$1:$AQ$1,0),FALSE)</f>
        <v>0</v>
      </c>
      <c r="J381" s="63">
        <f>VLOOKUP($B381,'Tillförd energi'!$B$1:$AI$720,MATCH(J$2,'Tillförd energi'!$B$1:$AQ$1,0),FALSE)</f>
        <v>0</v>
      </c>
      <c r="K381" s="63">
        <f>VLOOKUP($B381,'Tillförd energi'!$B$1:$AI$720,MATCH(K$2,'Tillförd energi'!$B$1:$AQ$1,0),FALSE)</f>
        <v>0</v>
      </c>
      <c r="L381" s="63">
        <f>VLOOKUP($B381,'Tillförd energi'!$B$1:$AI$720,MATCH(L$2,'Tillförd energi'!$B$1:$AQ$1,0),FALSE)</f>
        <v>0</v>
      </c>
      <c r="M381" s="63">
        <f>VLOOKUP($B381,'Tillförd energi'!$B$1:$AI$720,MATCH(M$2,'Tillförd energi'!$B$1:$AQ$1,0),FALSE)</f>
        <v>0</v>
      </c>
      <c r="N381" s="63">
        <f>VLOOKUP($B381,'Tillförd energi'!$B$1:$AI$720,MATCH(N$2,'Tillförd energi'!$B$1:$AQ$1,0),FALSE)</f>
        <v>0</v>
      </c>
      <c r="O381" s="63">
        <f>VLOOKUP($B381,'Tillförd energi'!$B$1:$AI$720,MATCH(O$2,'Tillförd energi'!$B$1:$AQ$1,0),FALSE)</f>
        <v>0</v>
      </c>
      <c r="P381" s="63">
        <f>VLOOKUP($B381,'Tillförd energi'!$B$1:$AI$720,MATCH(P$2,'Tillförd energi'!$B$1:$AQ$1,0),FALSE)</f>
        <v>9.4179999999999993</v>
      </c>
      <c r="Q381" s="63">
        <f>VLOOKUP($B381,'Tillförd energi'!$B$1:$AI$720,MATCH(Q$2,'Tillförd energi'!$B$1:$AQ$1,0),FALSE)</f>
        <v>0</v>
      </c>
      <c r="R381" s="63">
        <f>VLOOKUP($B381,'Tillförd energi'!$B$1:$AI$720,MATCH(R$2,'Tillförd energi'!$B$1:$AQ$1,0),FALSE)</f>
        <v>0</v>
      </c>
      <c r="S381" s="63">
        <f>VLOOKUP($B381,'Tillförd energi'!$B$1:$AI$720,MATCH(S$2,'Tillförd energi'!$B$1:$AQ$1,0),FALSE)</f>
        <v>0</v>
      </c>
      <c r="T381" s="63">
        <f>VLOOKUP($B381,'Tillförd energi'!$B$1:$AI$720,MATCH(T$2,'Tillförd energi'!$B$1:$AQ$1,0),FALSE)</f>
        <v>0</v>
      </c>
      <c r="U381" s="63">
        <f>VLOOKUP($B381,'Tillförd energi'!$B$1:$AI$720,MATCH(U$2,'Tillförd energi'!$B$1:$AQ$1,0),FALSE)</f>
        <v>0</v>
      </c>
      <c r="V381" s="63">
        <f>VLOOKUP($B381,'Tillförd energi'!$B$1:$AI$720,MATCH(V$2,'Tillförd energi'!$B$1:$AQ$1,0),FALSE)</f>
        <v>0</v>
      </c>
      <c r="W381" s="63">
        <f>VLOOKUP($B381,'Tillförd energi'!$B$1:$AI$720,MATCH(W$2,'Tillförd energi'!$B$1:$AQ$1,0),FALSE)</f>
        <v>0</v>
      </c>
      <c r="X381" s="63">
        <f>VLOOKUP($B381,'Tillförd energi'!$B$1:$AI$720,MATCH(X$2,'Tillförd energi'!$B$1:$AQ$1,0),FALSE)</f>
        <v>0</v>
      </c>
      <c r="Y381" s="63">
        <f>VLOOKUP($B381,'Tillförd energi'!$B$1:$AI$720,MATCH(Y$2,'Tillförd energi'!$B$1:$AQ$1,0),FALSE)</f>
        <v>0</v>
      </c>
      <c r="Z381" s="63">
        <f>VLOOKUP($B381,'Tillförd energi'!$B$1:$AI$720,MATCH(Z$2,'Tillförd energi'!$B$1:$AQ$1,0),FALSE)</f>
        <v>0</v>
      </c>
      <c r="AA381" s="63">
        <f>VLOOKUP($B381,'Tillförd energi'!$B$1:$AI$720,MATCH(AA$2,'Tillförd energi'!$B$1:$AQ$1,0),FALSE)</f>
        <v>0</v>
      </c>
      <c r="AB381" s="63">
        <f>VLOOKUP($B381,'Tillförd energi'!$B$1:$AI$720,MATCH(AB$2,'Tillförd energi'!$B$1:$AQ$1,0),FALSE)</f>
        <v>0</v>
      </c>
      <c r="AC381" s="63">
        <f>VLOOKUP($B381,'Tillförd energi'!$B$1:$AI$720,MATCH(AC$2,'Tillförd energi'!$B$1:$AQ$1,0),FALSE)</f>
        <v>0</v>
      </c>
      <c r="AD381" s="63">
        <f>VLOOKUP($B381,'Tillförd energi'!$B$1:$AI$720,MATCH(AD$2,'Tillförd energi'!$B$1:$AQ$1,0),FALSE)</f>
        <v>0</v>
      </c>
      <c r="AE381" s="63">
        <f>VLOOKUP($B381,'Tillförd energi'!$B$1:$AI$720,MATCH(AE$2,'Tillförd energi'!$B$1:$AQ$1,0),FALSE)</f>
        <v>0</v>
      </c>
      <c r="AF381" s="63">
        <f>VLOOKUP($B381,'Tillförd energi'!$B$1:$AI$720,MATCH(AF$2,'Tillförd energi'!$B$1:$AQ$1,0),FALSE)</f>
        <v>0.28699999999999998</v>
      </c>
      <c r="AG381" s="63">
        <f>IFERROR(VLOOKUP(B381,Miljö!$B$1:$AC$550,MATCH("Köpt mängd produktionsspecifik fjärrvärme:",Miljö!$B$1:$AC$1,0),FALSE)/1,0)</f>
        <v>0</v>
      </c>
      <c r="AI381" s="63">
        <f t="shared" si="30"/>
        <v>10.09</v>
      </c>
      <c r="AJ381" s="63">
        <f>IF(ISERROR(1/VLOOKUP($B381,Leveranser!$B$1:$S$500,MATCH("såld värme (gwh)",Leveranser!$B$1:$S$1,0),FALSE)),"",VLOOKUP($B381,Leveranser!$B$1:$S$500,MATCH("såld värme (gwh)",Leveranser!$B$1:$S$1,0),FALSE))</f>
        <v>6.2</v>
      </c>
      <c r="AM381" s="63" t="str">
        <f>IF(B381&lt;&gt;"",IF(VLOOKUP($B381,Totalt!$B$1:$AQ$554,MATCH("Kvalitetsgranskad:",Totalt!$B$1:$AQ$1,0),FALSE)="ja",VLOOKUP($B381,Miljö!$B$1:$AG$479,MATCH(AM$2,Miljö!$B$1:$AK$1,0),FALSE),""),"")</f>
        <v>Ja</v>
      </c>
      <c r="AN381" s="63" t="str">
        <f>IF(AM381="ja",VLOOKUP($B381,Miljö!$B$1:$J$479,MATCH("Typ av ursprungsspecificerad el   (Om inget värde anges används Nordisk residualmix, se inforuta) ()",Miljö!$B$1:$J$1,0),FALSE),IF(AM381="nej","Nordisk residualel",""))</f>
        <v>'Vattenkraft'</v>
      </c>
      <c r="AO381" s="63">
        <f>IF(AM381="","",VLOOKUP($B381,Miljö!$B$1:$J$479,MATCH("Fossilandel för ursprungspecificerad el ()",Miljö!$B$1:$J$1,0),FALSE))</f>
        <v>0</v>
      </c>
      <c r="AQ381" s="63">
        <f t="shared" si="31"/>
        <v>1</v>
      </c>
      <c r="AS381" s="63" t="str">
        <f t="shared" si="32"/>
        <v>Nej</v>
      </c>
      <c r="AT381" s="63" t="str">
        <f>IF(AS381="ja",VLOOKUP($B381,Miljö!$B$1:$P$500,MATCH("Fossil andel i procent (%)",Miljö!$B$1:$P$1,0),FALSE)/100,"")</f>
        <v/>
      </c>
      <c r="AV381" s="63" t="str">
        <f t="shared" si="33"/>
        <v>Nej</v>
      </c>
      <c r="AW381" s="63" t="str">
        <f>IF(AV381="ja",VLOOKUP($B381,'Egen hetvattenprod'!$B$1:$AO$500,MATCH("Värmekälla till värmepumpar ()",'Egen hetvattenprod'!$B$1:$AO$1,0),FALSE),"")</f>
        <v/>
      </c>
      <c r="AY381" s="63" t="str">
        <f t="shared" si="34"/>
        <v>Nej</v>
      </c>
      <c r="AZ381" s="77" t="str">
        <f>IF($AY381="ja",(VLOOKUP($B381,'Egen hetvattenprod'!$B$1:$BX$550,MATCH(AZ$2,'Egen hetvattenprod'!$B$1:$BX$1,0),FALSE)+VLOOKUP($B381,Kraftvärmeprod!$B$1:$BX$550,MATCH(AZ$2,Kraftvärmeprod!$B$1:$BX$1,0),FALSE))/$AC381,"")</f>
        <v/>
      </c>
      <c r="BA381" s="77" t="str">
        <f>IF($AY381="ja",(VLOOKUP($B381,'Egen hetvattenprod'!$B$1:$BX$550,MATCH(BA$2,'Egen hetvattenprod'!$B$1:$BX$1,0),FALSE)+VLOOKUP($B381,Kraftvärmeprod!$B$1:$BX$550,MATCH(BA$2,Kraftvärmeprod!$B$1:$BX$1,0),FALSE))/$AC381,"")</f>
        <v/>
      </c>
      <c r="BB381" s="77" t="str">
        <f>IF($AY381="ja",(VLOOKUP($B381,'Egen hetvattenprod'!$B$1:$BX$550,MATCH(BB$2,'Egen hetvattenprod'!$B$1:$BX$1,0),FALSE)+VLOOKUP($B381,Kraftvärmeprod!$B$1:$BX$550,MATCH(BB$2,Kraftvärmeprod!$B$1:$BX$1,0),FALSE))/$AC381,"")</f>
        <v/>
      </c>
      <c r="BC381" s="77" t="str">
        <f>IF($AY381="ja",(VLOOKUP($B381,'Egen hetvattenprod'!$B$1:$BX$550,MATCH(BC$2,'Egen hetvattenprod'!$B$1:$BX$1,0),FALSE)+VLOOKUP($B381,Kraftvärmeprod!$B$1:$BX$550,MATCH(BC$2,Kraftvärmeprod!$B$1:$BX$1,0),FALSE))/$AC381,"")</f>
        <v/>
      </c>
      <c r="BD381" s="77" t="str">
        <f>IF($AY381="ja",(VLOOKUP($B381,'Egen hetvattenprod'!$B$1:$BX$550,MATCH(BD$2,'Egen hetvattenprod'!$B$1:$BX$1,0),FALSE)+VLOOKUP($B381,Kraftvärmeprod!$B$1:$BX$550,MATCH(BD$2,Kraftvärmeprod!$B$1:$BX$1,0),FALSE))/$AC381,"")</f>
        <v/>
      </c>
      <c r="BF381" s="63" t="str">
        <f t="shared" si="35"/>
        <v>Nej</v>
      </c>
      <c r="BG381" s="63" t="str">
        <f>IF($BF381="ja",VLOOKUP($B381,'Egen hetvattenprod'!$B$1:$BX$550,MATCH("Andelen klimatgaser med fossilt ursprung för avfall ()",'Egen hetvattenprod'!$B$1:$BX$1,0),FALSE),"")</f>
        <v/>
      </c>
      <c r="BH381" s="63" t="str">
        <f>IF($BF381="ja",VLOOKUP($B381,Kraftvärmeprod!$B$1:$BX$550,MATCH("Andelen klimatgaser med fossilt ursprung för avfall ()",Kraftvärmeprod!$B$1:$BX$1,0),FALSE),"")</f>
        <v/>
      </c>
      <c r="BI381" s="63" t="str">
        <f>IF($BF381="ja",VLOOKUP($B381,'Egen hetvattenprod'!$B$1:$BX$550,MATCH("Avfall (GWh)",'Egen hetvattenprod'!$B$1:$BX$1,0),FALSE),"")</f>
        <v/>
      </c>
      <c r="BJ381" s="63" t="str">
        <f>IF($BF381="ja",VLOOKUP($B381,'Slutlig allokering kvv'!$B$1:$BX$550,MATCH("Avfall (GWh)",'Slutlig allokering kvv'!$B$1:$BX$1,0),FALSE),"")</f>
        <v/>
      </c>
      <c r="BK381" s="63" t="str">
        <f>IF($BF381="ja",VLOOKUP($B381,'Köpt hetvatten'!$B$1:$BX$550,MATCH("Avfall i köpt hetvatten",'Köpt hetvatten'!$B$1:$BX$1,0),FALSE),"")</f>
        <v/>
      </c>
      <c r="BL381" s="63" t="str">
        <f>IF($BF381="ja",VLOOKUP($B381,'Egen hetvattenprod'!$B$1:$BX$550,MATCH("Värde enligt ovan. (%)",'Egen hetvattenprod'!$B$1:$BX$1,0),FALSE),"")</f>
        <v/>
      </c>
      <c r="BM381" s="63" t="str">
        <f>IF($BF381="ja",VLOOKUP($B381,Kraftvärmeprod!$B$1:$BX$550,MATCH("Värde enligt ovan. (%)",Kraftvärmeprod!$B$1:$BX$1,0),FALSE),"")</f>
        <v/>
      </c>
    </row>
    <row r="382" spans="1:65" x14ac:dyDescent="0.45">
      <c r="A382" s="63" t="s">
        <v>187</v>
      </c>
      <c r="B382" s="63" t="s">
        <v>188</v>
      </c>
      <c r="C382" s="63">
        <f>VLOOKUP($B382,'Tillförd energi'!$B$1:$AI$720,MATCH(C$2,'Tillförd energi'!$B$1:$AQ$1,0),FALSE)</f>
        <v>0</v>
      </c>
      <c r="D382" s="63">
        <f>VLOOKUP($B382,'Tillförd energi'!$B$1:$AI$720,MATCH(D$2,'Tillförd energi'!$B$1:$AQ$1,0),FALSE)</f>
        <v>1.927</v>
      </c>
      <c r="E382" s="63">
        <f>VLOOKUP($B382,'Tillförd energi'!$B$1:$AI$720,MATCH(E$2,'Tillförd energi'!$B$1:$AQ$1,0),FALSE)</f>
        <v>0</v>
      </c>
      <c r="F382" s="63">
        <f>VLOOKUP($B382,'Tillförd energi'!$B$1:$AI$720,MATCH(F$2,'Tillförd energi'!$B$1:$AQ$1,0),FALSE)</f>
        <v>0</v>
      </c>
      <c r="G382" s="63">
        <f>VLOOKUP($B382,'Tillförd energi'!$B$1:$AI$720,MATCH(G$2,'Tillförd energi'!$B$1:$AQ$1,0),FALSE)</f>
        <v>0</v>
      </c>
      <c r="H382" s="63">
        <f>VLOOKUP($B382,'Tillförd energi'!$B$1:$AI$720,MATCH(H$2,'Tillförd energi'!$B$1:$AQ$1,0),FALSE)</f>
        <v>0</v>
      </c>
      <c r="I382" s="63">
        <f>VLOOKUP($B382,'Tillförd energi'!$B$1:$AI$720,MATCH(I$2,'Tillförd energi'!$B$1:$AQ$1,0),FALSE)</f>
        <v>0</v>
      </c>
      <c r="J382" s="63">
        <f>VLOOKUP($B382,'Tillförd energi'!$B$1:$AI$720,MATCH(J$2,'Tillförd energi'!$B$1:$AQ$1,0),FALSE)</f>
        <v>0</v>
      </c>
      <c r="K382" s="63">
        <f>VLOOKUP($B382,'Tillförd energi'!$B$1:$AI$720,MATCH(K$2,'Tillförd energi'!$B$1:$AQ$1,0),FALSE)</f>
        <v>0</v>
      </c>
      <c r="L382" s="63">
        <f>VLOOKUP($B382,'Tillförd energi'!$B$1:$AI$720,MATCH(L$2,'Tillförd energi'!$B$1:$AQ$1,0),FALSE)</f>
        <v>0</v>
      </c>
      <c r="M382" s="63">
        <f>VLOOKUP($B382,'Tillförd energi'!$B$1:$AI$720,MATCH(M$2,'Tillförd energi'!$B$1:$AQ$1,0),FALSE)</f>
        <v>0</v>
      </c>
      <c r="N382" s="63">
        <f>VLOOKUP($B382,'Tillförd energi'!$B$1:$AI$720,MATCH(N$2,'Tillförd energi'!$B$1:$AQ$1,0),FALSE)</f>
        <v>18.289000000000001</v>
      </c>
      <c r="O382" s="63">
        <f>VLOOKUP($B382,'Tillförd energi'!$B$1:$AI$720,MATCH(O$2,'Tillförd energi'!$B$1:$AQ$1,0),FALSE)</f>
        <v>0</v>
      </c>
      <c r="P382" s="63">
        <f>VLOOKUP($B382,'Tillförd energi'!$B$1:$AI$720,MATCH(P$2,'Tillförd energi'!$B$1:$AQ$1,0),FALSE)</f>
        <v>15.699</v>
      </c>
      <c r="Q382" s="63">
        <f>VLOOKUP($B382,'Tillförd energi'!$B$1:$AI$720,MATCH(Q$2,'Tillförd energi'!$B$1:$AQ$1,0),FALSE)</f>
        <v>0</v>
      </c>
      <c r="R382" s="63">
        <f>VLOOKUP($B382,'Tillförd energi'!$B$1:$AI$720,MATCH(R$2,'Tillförd energi'!$B$1:$AQ$1,0),FALSE)</f>
        <v>0</v>
      </c>
      <c r="S382" s="63">
        <f>VLOOKUP($B382,'Tillförd energi'!$B$1:$AI$720,MATCH(S$2,'Tillförd energi'!$B$1:$AQ$1,0),FALSE)</f>
        <v>0</v>
      </c>
      <c r="T382" s="63">
        <f>VLOOKUP($B382,'Tillförd energi'!$B$1:$AI$720,MATCH(T$2,'Tillförd energi'!$B$1:$AQ$1,0),FALSE)</f>
        <v>0</v>
      </c>
      <c r="U382" s="63">
        <f>VLOOKUP($B382,'Tillförd energi'!$B$1:$AI$720,MATCH(U$2,'Tillförd energi'!$B$1:$AQ$1,0),FALSE)</f>
        <v>0</v>
      </c>
      <c r="V382" s="63">
        <f>VLOOKUP($B382,'Tillförd energi'!$B$1:$AI$720,MATCH(V$2,'Tillförd energi'!$B$1:$AQ$1,0),FALSE)</f>
        <v>0</v>
      </c>
      <c r="W382" s="63">
        <f>VLOOKUP($B382,'Tillförd energi'!$B$1:$AI$720,MATCH(W$2,'Tillförd energi'!$B$1:$AQ$1,0),FALSE)</f>
        <v>0</v>
      </c>
      <c r="X382" s="63">
        <f>VLOOKUP($B382,'Tillförd energi'!$B$1:$AI$720,MATCH(X$2,'Tillförd energi'!$B$1:$AQ$1,0),FALSE)</f>
        <v>0</v>
      </c>
      <c r="Y382" s="63">
        <f>VLOOKUP($B382,'Tillförd energi'!$B$1:$AI$720,MATCH(Y$2,'Tillförd energi'!$B$1:$AQ$1,0),FALSE)</f>
        <v>0</v>
      </c>
      <c r="Z382" s="63">
        <f>VLOOKUP($B382,'Tillförd energi'!$B$1:$AI$720,MATCH(Z$2,'Tillförd energi'!$B$1:$AQ$1,0),FALSE)</f>
        <v>0</v>
      </c>
      <c r="AA382" s="63">
        <f>VLOOKUP($B382,'Tillförd energi'!$B$1:$AI$720,MATCH(AA$2,'Tillförd energi'!$B$1:$AQ$1,0),FALSE)</f>
        <v>0</v>
      </c>
      <c r="AB382" s="63">
        <f>VLOOKUP($B382,'Tillförd energi'!$B$1:$AI$720,MATCH(AB$2,'Tillförd energi'!$B$1:$AQ$1,0),FALSE)</f>
        <v>0</v>
      </c>
      <c r="AC382" s="63">
        <f>VLOOKUP($B382,'Tillförd energi'!$B$1:$AI$720,MATCH(AC$2,'Tillförd energi'!$B$1:$AQ$1,0),FALSE)</f>
        <v>0</v>
      </c>
      <c r="AD382" s="63">
        <f>VLOOKUP($B382,'Tillförd energi'!$B$1:$AI$720,MATCH(AD$2,'Tillförd energi'!$B$1:$AQ$1,0),FALSE)</f>
        <v>0</v>
      </c>
      <c r="AE382" s="63">
        <f>VLOOKUP($B382,'Tillförd energi'!$B$1:$AI$720,MATCH(AE$2,'Tillförd energi'!$B$1:$AQ$1,0),FALSE)</f>
        <v>0</v>
      </c>
      <c r="AF382" s="63">
        <f>VLOOKUP($B382,'Tillförd energi'!$B$1:$AI$720,MATCH(AF$2,'Tillförd energi'!$B$1:$AQ$1,0),FALSE)</f>
        <v>0.82599999999999996</v>
      </c>
      <c r="AG382" s="63">
        <f>IFERROR(VLOOKUP(B382,Miljö!$B$1:$AC$550,MATCH("Köpt mängd produktionsspecifik fjärrvärme:",Miljö!$B$1:$AC$1,0),FALSE)/1,0)</f>
        <v>0</v>
      </c>
      <c r="AI382" s="63">
        <f t="shared" si="30"/>
        <v>36.741</v>
      </c>
      <c r="AJ382" s="63">
        <f>IF(ISERROR(1/VLOOKUP($B382,Leveranser!$B$1:$S$500,MATCH("såld värme (gwh)",Leveranser!$B$1:$S$1,0),FALSE)),"",VLOOKUP($B382,Leveranser!$B$1:$S$500,MATCH("såld värme (gwh)",Leveranser!$B$1:$S$1,0),FALSE))</f>
        <v>23.6</v>
      </c>
      <c r="AM382" s="63" t="str">
        <f>IF(B382&lt;&gt;"",IF(VLOOKUP($B382,Totalt!$B$1:$AQ$554,MATCH("Kvalitetsgranskad:",Totalt!$B$1:$AQ$1,0),FALSE)="ja",VLOOKUP($B382,Miljö!$B$1:$AG$479,MATCH(AM$2,Miljö!$B$1:$AK$1,0),FALSE),""),"")</f>
        <v>Ja</v>
      </c>
      <c r="AN382" s="63" t="str">
        <f>IF(AM382="ja",VLOOKUP($B382,Miljö!$B$1:$J$479,MATCH("Typ av ursprungsspecificerad el   (Om inget värde anges används Nordisk residualmix, se inforuta) ()",Miljö!$B$1:$J$1,0),FALSE),IF(AM382="nej","Nordisk residualel",""))</f>
        <v>'Vattenkraft'</v>
      </c>
      <c r="AO382" s="63">
        <f>IF(AM382="","",VLOOKUP($B382,Miljö!$B$1:$J$479,MATCH("Fossilandel för ursprungspecificerad el ()",Miljö!$B$1:$J$1,0),FALSE))</f>
        <v>0</v>
      </c>
      <c r="AQ382" s="63">
        <f t="shared" si="31"/>
        <v>1</v>
      </c>
      <c r="AS382" s="63" t="str">
        <f t="shared" si="32"/>
        <v>Nej</v>
      </c>
      <c r="AT382" s="63" t="str">
        <f>IF(AS382="ja",VLOOKUP($B382,Miljö!$B$1:$P$500,MATCH("Fossil andel i procent (%)",Miljö!$B$1:$P$1,0),FALSE)/100,"")</f>
        <v/>
      </c>
      <c r="AV382" s="63" t="str">
        <f t="shared" si="33"/>
        <v>Nej</v>
      </c>
      <c r="AW382" s="63" t="str">
        <f>IF(AV382="ja",VLOOKUP($B382,'Egen hetvattenprod'!$B$1:$AO$500,MATCH("Värmekälla till värmepumpar ()",'Egen hetvattenprod'!$B$1:$AO$1,0),FALSE),"")</f>
        <v/>
      </c>
      <c r="AY382" s="63" t="str">
        <f t="shared" si="34"/>
        <v>Nej</v>
      </c>
      <c r="AZ382" s="77" t="str">
        <f>IF($AY382="ja",(VLOOKUP($B382,'Egen hetvattenprod'!$B$1:$BX$550,MATCH(AZ$2,'Egen hetvattenprod'!$B$1:$BX$1,0),FALSE)+VLOOKUP($B382,Kraftvärmeprod!$B$1:$BX$550,MATCH(AZ$2,Kraftvärmeprod!$B$1:$BX$1,0),FALSE))/$AC382,"")</f>
        <v/>
      </c>
      <c r="BA382" s="77" t="str">
        <f>IF($AY382="ja",(VLOOKUP($B382,'Egen hetvattenprod'!$B$1:$BX$550,MATCH(BA$2,'Egen hetvattenprod'!$B$1:$BX$1,0),FALSE)+VLOOKUP($B382,Kraftvärmeprod!$B$1:$BX$550,MATCH(BA$2,Kraftvärmeprod!$B$1:$BX$1,0),FALSE))/$AC382,"")</f>
        <v/>
      </c>
      <c r="BB382" s="77" t="str">
        <f>IF($AY382="ja",(VLOOKUP($B382,'Egen hetvattenprod'!$B$1:$BX$550,MATCH(BB$2,'Egen hetvattenprod'!$B$1:$BX$1,0),FALSE)+VLOOKUP($B382,Kraftvärmeprod!$B$1:$BX$550,MATCH(BB$2,Kraftvärmeprod!$B$1:$BX$1,0),FALSE))/$AC382,"")</f>
        <v/>
      </c>
      <c r="BC382" s="77" t="str">
        <f>IF($AY382="ja",(VLOOKUP($B382,'Egen hetvattenprod'!$B$1:$BX$550,MATCH(BC$2,'Egen hetvattenprod'!$B$1:$BX$1,0),FALSE)+VLOOKUP($B382,Kraftvärmeprod!$B$1:$BX$550,MATCH(BC$2,Kraftvärmeprod!$B$1:$BX$1,0),FALSE))/$AC382,"")</f>
        <v/>
      </c>
      <c r="BD382" s="77" t="str">
        <f>IF($AY382="ja",(VLOOKUP($B382,'Egen hetvattenprod'!$B$1:$BX$550,MATCH(BD$2,'Egen hetvattenprod'!$B$1:$BX$1,0),FALSE)+VLOOKUP($B382,Kraftvärmeprod!$B$1:$BX$550,MATCH(BD$2,Kraftvärmeprod!$B$1:$BX$1,0),FALSE))/$AC382,"")</f>
        <v/>
      </c>
      <c r="BF382" s="63" t="str">
        <f t="shared" si="35"/>
        <v>Nej</v>
      </c>
      <c r="BG382" s="63" t="str">
        <f>IF($BF382="ja",VLOOKUP($B382,'Egen hetvattenprod'!$B$1:$BX$550,MATCH("Andelen klimatgaser med fossilt ursprung för avfall ()",'Egen hetvattenprod'!$B$1:$BX$1,0),FALSE),"")</f>
        <v/>
      </c>
      <c r="BH382" s="63" t="str">
        <f>IF($BF382="ja",VLOOKUP($B382,Kraftvärmeprod!$B$1:$BX$550,MATCH("Andelen klimatgaser med fossilt ursprung för avfall ()",Kraftvärmeprod!$B$1:$BX$1,0),FALSE),"")</f>
        <v/>
      </c>
      <c r="BI382" s="63" t="str">
        <f>IF($BF382="ja",VLOOKUP($B382,'Egen hetvattenprod'!$B$1:$BX$550,MATCH("Avfall (GWh)",'Egen hetvattenprod'!$B$1:$BX$1,0),FALSE),"")</f>
        <v/>
      </c>
      <c r="BJ382" s="63" t="str">
        <f>IF($BF382="ja",VLOOKUP($B382,'Slutlig allokering kvv'!$B$1:$BX$550,MATCH("Avfall (GWh)",'Slutlig allokering kvv'!$B$1:$BX$1,0),FALSE),"")</f>
        <v/>
      </c>
      <c r="BK382" s="63" t="str">
        <f>IF($BF382="ja",VLOOKUP($B382,'Köpt hetvatten'!$B$1:$BX$550,MATCH("Avfall i köpt hetvatten",'Köpt hetvatten'!$B$1:$BX$1,0),FALSE),"")</f>
        <v/>
      </c>
      <c r="BL382" s="63" t="str">
        <f>IF($BF382="ja",VLOOKUP($B382,'Egen hetvattenprod'!$B$1:$BX$550,MATCH("Värde enligt ovan. (%)",'Egen hetvattenprod'!$B$1:$BX$1,0),FALSE),"")</f>
        <v/>
      </c>
      <c r="BM382" s="63" t="str">
        <f>IF($BF382="ja",VLOOKUP($B382,Kraftvärmeprod!$B$1:$BX$550,MATCH("Värde enligt ovan. (%)",Kraftvärmeprod!$B$1:$BX$1,0),FALSE),"")</f>
        <v/>
      </c>
    </row>
    <row r="383" spans="1:65" x14ac:dyDescent="0.45">
      <c r="A383" s="63" t="s">
        <v>187</v>
      </c>
      <c r="B383" s="63" t="s">
        <v>186</v>
      </c>
      <c r="C383" s="63">
        <f>VLOOKUP($B383,'Tillförd energi'!$B$1:$AI$720,MATCH(C$2,'Tillförd energi'!$B$1:$AQ$1,0),FALSE)</f>
        <v>0</v>
      </c>
      <c r="D383" s="63">
        <f>VLOOKUP($B383,'Tillförd energi'!$B$1:$AI$720,MATCH(D$2,'Tillförd energi'!$B$1:$AQ$1,0),FALSE)</f>
        <v>4.1500000000000004</v>
      </c>
      <c r="E383" s="63">
        <f>VLOOKUP($B383,'Tillförd energi'!$B$1:$AI$720,MATCH(E$2,'Tillförd energi'!$B$1:$AQ$1,0),FALSE)</f>
        <v>0</v>
      </c>
      <c r="F383" s="63">
        <f>VLOOKUP($B383,'Tillförd energi'!$B$1:$AI$720,MATCH(F$2,'Tillförd energi'!$B$1:$AQ$1,0),FALSE)</f>
        <v>0</v>
      </c>
      <c r="G383" s="63">
        <f>VLOOKUP($B383,'Tillförd energi'!$B$1:$AI$720,MATCH(G$2,'Tillförd energi'!$B$1:$AQ$1,0),FALSE)</f>
        <v>0</v>
      </c>
      <c r="H383" s="63">
        <f>VLOOKUP($B383,'Tillförd energi'!$B$1:$AI$720,MATCH(H$2,'Tillförd energi'!$B$1:$AQ$1,0),FALSE)</f>
        <v>0</v>
      </c>
      <c r="I383" s="63">
        <f>VLOOKUP($B383,'Tillförd energi'!$B$1:$AI$720,MATCH(I$2,'Tillförd energi'!$B$1:$AQ$1,0),FALSE)</f>
        <v>156.16999999999999</v>
      </c>
      <c r="J383" s="63">
        <f>VLOOKUP($B383,'Tillförd energi'!$B$1:$AI$720,MATCH(J$2,'Tillförd energi'!$B$1:$AQ$1,0),FALSE)</f>
        <v>0</v>
      </c>
      <c r="K383" s="63">
        <f>VLOOKUP($B383,'Tillförd energi'!$B$1:$AI$720,MATCH(K$2,'Tillförd energi'!$B$1:$AQ$1,0),FALSE)</f>
        <v>0</v>
      </c>
      <c r="L383" s="63">
        <f>VLOOKUP($B383,'Tillförd energi'!$B$1:$AI$720,MATCH(L$2,'Tillförd energi'!$B$1:$AQ$1,0),FALSE)</f>
        <v>0</v>
      </c>
      <c r="M383" s="63">
        <f>VLOOKUP($B383,'Tillförd energi'!$B$1:$AI$720,MATCH(M$2,'Tillförd energi'!$B$1:$AQ$1,0),FALSE)</f>
        <v>0</v>
      </c>
      <c r="N383" s="63">
        <f>VLOOKUP($B383,'Tillförd energi'!$B$1:$AI$720,MATCH(N$2,'Tillförd energi'!$B$1:$AQ$1,0),FALSE)</f>
        <v>16.004999999999999</v>
      </c>
      <c r="O383" s="63">
        <f>VLOOKUP($B383,'Tillförd energi'!$B$1:$AI$720,MATCH(O$2,'Tillförd energi'!$B$1:$AQ$1,0),FALSE)</f>
        <v>0</v>
      </c>
      <c r="P383" s="63">
        <f>VLOOKUP($B383,'Tillförd energi'!$B$1:$AI$720,MATCH(P$2,'Tillförd energi'!$B$1:$AQ$1,0),FALSE)</f>
        <v>8.99</v>
      </c>
      <c r="Q383" s="63">
        <f>VLOOKUP($B383,'Tillförd energi'!$B$1:$AI$720,MATCH(Q$2,'Tillförd energi'!$B$1:$AQ$1,0),FALSE)</f>
        <v>0</v>
      </c>
      <c r="R383" s="63">
        <f>VLOOKUP($B383,'Tillförd energi'!$B$1:$AI$720,MATCH(R$2,'Tillförd energi'!$B$1:$AQ$1,0),FALSE)</f>
        <v>0</v>
      </c>
      <c r="S383" s="63">
        <f>VLOOKUP($B383,'Tillförd energi'!$B$1:$AI$720,MATCH(S$2,'Tillförd energi'!$B$1:$AQ$1,0),FALSE)</f>
        <v>0</v>
      </c>
      <c r="T383" s="63">
        <f>VLOOKUP($B383,'Tillförd energi'!$B$1:$AI$720,MATCH(T$2,'Tillförd energi'!$B$1:$AQ$1,0),FALSE)</f>
        <v>0</v>
      </c>
      <c r="U383" s="63">
        <f>VLOOKUP($B383,'Tillförd energi'!$B$1:$AI$720,MATCH(U$2,'Tillförd energi'!$B$1:$AQ$1,0),FALSE)</f>
        <v>0</v>
      </c>
      <c r="V383" s="63">
        <f>VLOOKUP($B383,'Tillförd energi'!$B$1:$AI$720,MATCH(V$2,'Tillförd energi'!$B$1:$AQ$1,0),FALSE)</f>
        <v>0</v>
      </c>
      <c r="W383" s="63">
        <f>VLOOKUP($B383,'Tillförd energi'!$B$1:$AI$720,MATCH(W$2,'Tillförd energi'!$B$1:$AQ$1,0),FALSE)</f>
        <v>0</v>
      </c>
      <c r="X383" s="63">
        <f>VLOOKUP($B383,'Tillförd energi'!$B$1:$AI$720,MATCH(X$2,'Tillförd energi'!$B$1:$AQ$1,0),FALSE)</f>
        <v>0</v>
      </c>
      <c r="Y383" s="63">
        <f>VLOOKUP($B383,'Tillförd energi'!$B$1:$AI$720,MATCH(Y$2,'Tillförd energi'!$B$1:$AQ$1,0),FALSE)</f>
        <v>0</v>
      </c>
      <c r="Z383" s="63">
        <f>VLOOKUP($B383,'Tillförd energi'!$B$1:$AI$720,MATCH(Z$2,'Tillförd energi'!$B$1:$AQ$1,0),FALSE)</f>
        <v>0</v>
      </c>
      <c r="AA383" s="63">
        <f>VLOOKUP($B383,'Tillförd energi'!$B$1:$AI$720,MATCH(AA$2,'Tillförd energi'!$B$1:$AQ$1,0),FALSE)</f>
        <v>0</v>
      </c>
      <c r="AB383" s="63">
        <f>VLOOKUP($B383,'Tillförd energi'!$B$1:$AI$720,MATCH(AB$2,'Tillförd energi'!$B$1:$AQ$1,0),FALSE)</f>
        <v>0</v>
      </c>
      <c r="AC383" s="63">
        <f>VLOOKUP($B383,'Tillförd energi'!$B$1:$AI$720,MATCH(AC$2,'Tillförd energi'!$B$1:$AQ$1,0),FALSE)</f>
        <v>14.048</v>
      </c>
      <c r="AD383" s="63">
        <f>VLOOKUP($B383,'Tillförd energi'!$B$1:$AI$720,MATCH(AD$2,'Tillförd energi'!$B$1:$AQ$1,0),FALSE)</f>
        <v>0</v>
      </c>
      <c r="AE383" s="63">
        <f>VLOOKUP($B383,'Tillförd energi'!$B$1:$AI$720,MATCH(AE$2,'Tillförd energi'!$B$1:$AQ$1,0),FALSE)</f>
        <v>0</v>
      </c>
      <c r="AF383" s="63">
        <f>VLOOKUP($B383,'Tillförd energi'!$B$1:$AI$720,MATCH(AF$2,'Tillförd energi'!$B$1:$AQ$1,0),FALSE)</f>
        <v>9.4573199999999993</v>
      </c>
      <c r="AG383" s="63">
        <f>IFERROR(VLOOKUP(B383,Miljö!$B$1:$AC$550,MATCH("Köpt mängd produktionsspecifik fjärrvärme:",Miljö!$B$1:$AC$1,0),FALSE)/1,0)</f>
        <v>0</v>
      </c>
      <c r="AI383" s="63">
        <f t="shared" si="30"/>
        <v>208.82032000000001</v>
      </c>
      <c r="AJ383" s="63">
        <f>IF(ISERROR(1/VLOOKUP($B383,Leveranser!$B$1:$S$500,MATCH("såld värme (gwh)",Leveranser!$B$1:$S$1,0),FALSE)),"",VLOOKUP($B383,Leveranser!$B$1:$S$500,MATCH("såld värme (gwh)",Leveranser!$B$1:$S$1,0),FALSE))</f>
        <v>170.3</v>
      </c>
      <c r="AM383" s="63" t="str">
        <f>IF(B383&lt;&gt;"",IF(VLOOKUP($B383,Totalt!$B$1:$AQ$554,MATCH("Kvalitetsgranskad:",Totalt!$B$1:$AQ$1,0),FALSE)="ja",VLOOKUP($B383,Miljö!$B$1:$AG$479,MATCH(AM$2,Miljö!$B$1:$AK$1,0),FALSE),""),"")</f>
        <v>Ja</v>
      </c>
      <c r="AN383" s="63" t="str">
        <f>IF(AM383="ja",VLOOKUP($B383,Miljö!$B$1:$J$479,MATCH("Typ av ursprungsspecificerad el   (Om inget värde anges används Nordisk residualmix, se inforuta) ()",Miljö!$B$1:$J$1,0),FALSE),IF(AM383="nej","Nordisk residualel",""))</f>
        <v>'Vattenkraft'</v>
      </c>
      <c r="AO383" s="63">
        <f>IF(AM383="","",VLOOKUP($B383,Miljö!$B$1:$J$479,MATCH("Fossilandel för ursprungspecificerad el ()",Miljö!$B$1:$J$1,0),FALSE))</f>
        <v>0</v>
      </c>
      <c r="AQ383" s="63">
        <f t="shared" si="31"/>
        <v>1</v>
      </c>
      <c r="AS383" s="63" t="str">
        <f t="shared" si="32"/>
        <v>Nej</v>
      </c>
      <c r="AT383" s="63" t="str">
        <f>IF(AS383="ja",VLOOKUP($B383,Miljö!$B$1:$P$500,MATCH("Fossil andel i procent (%)",Miljö!$B$1:$P$1,0),FALSE)/100,"")</f>
        <v/>
      </c>
      <c r="AV383" s="63" t="str">
        <f t="shared" si="33"/>
        <v>Nej</v>
      </c>
      <c r="AW383" s="63" t="str">
        <f>IF(AV383="ja",VLOOKUP($B383,'Egen hetvattenprod'!$B$1:$AO$500,MATCH("Värmekälla till värmepumpar ()",'Egen hetvattenprod'!$B$1:$AO$1,0),FALSE),"")</f>
        <v/>
      </c>
      <c r="AY383" s="63" t="str">
        <f t="shared" si="34"/>
        <v>Ja</v>
      </c>
      <c r="AZ383" s="77">
        <f>IF($AY383="ja",(VLOOKUP($B383,'Egen hetvattenprod'!$B$1:$BX$550,MATCH(AZ$2,'Egen hetvattenprod'!$B$1:$BX$1,0),FALSE)+VLOOKUP($B383,Kraftvärmeprod!$B$1:$BX$550,MATCH(AZ$2,Kraftvärmeprod!$B$1:$BX$1,0),FALSE))/$AC383,"")</f>
        <v>0.24544419134396356</v>
      </c>
      <c r="BA383" s="77">
        <f>IF($AY383="ja",(VLOOKUP($B383,'Egen hetvattenprod'!$B$1:$BX$550,MATCH(BA$2,'Egen hetvattenprod'!$B$1:$BX$1,0),FALSE)+VLOOKUP($B383,Kraftvärmeprod!$B$1:$BX$550,MATCH(BA$2,Kraftvärmeprod!$B$1:$BX$1,0),FALSE))/$AC383,"")</f>
        <v>0.75455580865603644</v>
      </c>
      <c r="BB383" s="77">
        <f>IF($AY383="ja",(VLOOKUP($B383,'Egen hetvattenprod'!$B$1:$BX$550,MATCH(BB$2,'Egen hetvattenprod'!$B$1:$BX$1,0),FALSE)+VLOOKUP($B383,Kraftvärmeprod!$B$1:$BX$550,MATCH(BB$2,Kraftvärmeprod!$B$1:$BX$1,0),FALSE))/$AC383,"")</f>
        <v>0</v>
      </c>
      <c r="BC383" s="77">
        <f>IF($AY383="ja",(VLOOKUP($B383,'Egen hetvattenprod'!$B$1:$BX$550,MATCH(BC$2,'Egen hetvattenprod'!$B$1:$BX$1,0),FALSE)+VLOOKUP($B383,Kraftvärmeprod!$B$1:$BX$550,MATCH(BC$2,Kraftvärmeprod!$B$1:$BX$1,0),FALSE))/$AC383,"")</f>
        <v>0</v>
      </c>
      <c r="BD383" s="77">
        <f>IF($AY383="ja",(VLOOKUP($B383,'Egen hetvattenprod'!$B$1:$BX$550,MATCH(BD$2,'Egen hetvattenprod'!$B$1:$BX$1,0),FALSE)+VLOOKUP($B383,Kraftvärmeprod!$B$1:$BX$550,MATCH(BD$2,Kraftvärmeprod!$B$1:$BX$1,0),FALSE))/$AC383,"")</f>
        <v>0</v>
      </c>
      <c r="BF383" s="63" t="str">
        <f t="shared" si="35"/>
        <v>Ja</v>
      </c>
      <c r="BG383" s="63" t="str">
        <f>IF($BF383="ja",VLOOKUP($B383,'Egen hetvattenprod'!$B$1:$BX$550,MATCH("Andelen klimatgaser med fossilt ursprung för avfall ()",'Egen hetvattenprod'!$B$1:$BX$1,0),FALSE),"")</f>
        <v>Schablon</v>
      </c>
      <c r="BH383" s="63" t="str">
        <f>IF($BF383="ja",VLOOKUP($B383,Kraftvärmeprod!$B$1:$BX$550,MATCH("Andelen klimatgaser med fossilt ursprung för avfall ()",Kraftvärmeprod!$B$1:$BX$1,0),FALSE),"")</f>
        <v>Schablon</v>
      </c>
      <c r="BI383" s="63">
        <f>IF($BF383="ja",VLOOKUP($B383,'Egen hetvattenprod'!$B$1:$BX$550,MATCH("Avfall (GWh)",'Egen hetvattenprod'!$B$1:$BX$1,0),FALSE),"")</f>
        <v>83.8</v>
      </c>
      <c r="BJ383" s="63">
        <f>IF($BF383="ja",VLOOKUP($B383,'Slutlig allokering kvv'!$B$1:$BX$550,MATCH("Avfall (GWh)",'Slutlig allokering kvv'!$B$1:$BX$1,0),FALSE),"")</f>
        <v>72.369799999999998</v>
      </c>
      <c r="BK383" s="63">
        <f>IF($BF383="ja",VLOOKUP($B383,'Köpt hetvatten'!$B$1:$BX$550,MATCH("Avfall i köpt hetvatten",'Köpt hetvatten'!$B$1:$BX$1,0),FALSE),"")</f>
        <v>0</v>
      </c>
      <c r="BL383" s="63">
        <f>IF($BF383="ja",VLOOKUP($B383,'Egen hetvattenprod'!$B$1:$BX$550,MATCH("Värde enligt ovan. (%)",'Egen hetvattenprod'!$B$1:$BX$1,0),FALSE),"")</f>
        <v>37.299999999999997</v>
      </c>
      <c r="BM383" s="63">
        <f>IF($BF383="ja",VLOOKUP($B383,Kraftvärmeprod!$B$1:$BX$550,MATCH("Värde enligt ovan. (%)",Kraftvärmeprod!$B$1:$BX$1,0),FALSE),"")</f>
        <v>37.299999999999997</v>
      </c>
    </row>
    <row r="384" spans="1:65" x14ac:dyDescent="0.45">
      <c r="A384" s="63" t="s">
        <v>182</v>
      </c>
      <c r="B384" s="63" t="s">
        <v>184</v>
      </c>
      <c r="C384" s="63">
        <f>VLOOKUP($B384,'Tillförd energi'!$B$1:$AI$720,MATCH(C$2,'Tillförd energi'!$B$1:$AQ$1,0),FALSE)</f>
        <v>0</v>
      </c>
      <c r="D384" s="63">
        <f>VLOOKUP($B384,'Tillförd energi'!$B$1:$AI$720,MATCH(D$2,'Tillförd energi'!$B$1:$AQ$1,0),FALSE)</f>
        <v>0</v>
      </c>
      <c r="E384" s="63">
        <f>VLOOKUP($B384,'Tillförd energi'!$B$1:$AI$720,MATCH(E$2,'Tillförd energi'!$B$1:$AQ$1,0),FALSE)</f>
        <v>0</v>
      </c>
      <c r="F384" s="63">
        <f>VLOOKUP($B384,'Tillförd energi'!$B$1:$AI$720,MATCH(F$2,'Tillförd energi'!$B$1:$AQ$1,0),FALSE)</f>
        <v>0</v>
      </c>
      <c r="G384" s="63">
        <f>VLOOKUP($B384,'Tillförd energi'!$B$1:$AI$720,MATCH(G$2,'Tillförd energi'!$B$1:$AQ$1,0),FALSE)</f>
        <v>0</v>
      </c>
      <c r="H384" s="63">
        <f>VLOOKUP($B384,'Tillförd energi'!$B$1:$AI$720,MATCH(H$2,'Tillförd energi'!$B$1:$AQ$1,0),FALSE)</f>
        <v>0</v>
      </c>
      <c r="I384" s="63">
        <f>VLOOKUP($B384,'Tillförd energi'!$B$1:$AI$720,MATCH(I$2,'Tillförd energi'!$B$1:$AQ$1,0),FALSE)</f>
        <v>0</v>
      </c>
      <c r="J384" s="63">
        <f>VLOOKUP($B384,'Tillförd energi'!$B$1:$AI$720,MATCH(J$2,'Tillförd energi'!$B$1:$AQ$1,0),FALSE)</f>
        <v>0</v>
      </c>
      <c r="K384" s="63">
        <f>VLOOKUP($B384,'Tillförd energi'!$B$1:$AI$720,MATCH(K$2,'Tillförd energi'!$B$1:$AQ$1,0),FALSE)</f>
        <v>0</v>
      </c>
      <c r="L384" s="63">
        <f>VLOOKUP($B384,'Tillförd energi'!$B$1:$AI$720,MATCH(L$2,'Tillförd energi'!$B$1:$AQ$1,0),FALSE)</f>
        <v>0</v>
      </c>
      <c r="M384" s="63">
        <f>VLOOKUP($B384,'Tillförd energi'!$B$1:$AI$720,MATCH(M$2,'Tillförd energi'!$B$1:$AQ$1,0),FALSE)</f>
        <v>0</v>
      </c>
      <c r="N384" s="63">
        <f>VLOOKUP($B384,'Tillförd energi'!$B$1:$AI$720,MATCH(N$2,'Tillförd energi'!$B$1:$AQ$1,0),FALSE)</f>
        <v>0</v>
      </c>
      <c r="O384" s="63">
        <f>VLOOKUP($B384,'Tillförd energi'!$B$1:$AI$720,MATCH(O$2,'Tillförd energi'!$B$1:$AQ$1,0),FALSE)</f>
        <v>0</v>
      </c>
      <c r="P384" s="63">
        <f>VLOOKUP($B384,'Tillförd energi'!$B$1:$AI$720,MATCH(P$2,'Tillförd energi'!$B$1:$AQ$1,0),FALSE)</f>
        <v>0</v>
      </c>
      <c r="Q384" s="63">
        <f>VLOOKUP($B384,'Tillförd energi'!$B$1:$AI$720,MATCH(Q$2,'Tillförd energi'!$B$1:$AQ$1,0),FALSE)</f>
        <v>0</v>
      </c>
      <c r="R384" s="63">
        <f>VLOOKUP($B384,'Tillförd energi'!$B$1:$AI$720,MATCH(R$2,'Tillförd energi'!$B$1:$AQ$1,0),FALSE)</f>
        <v>0</v>
      </c>
      <c r="S384" s="63">
        <f>VLOOKUP($B384,'Tillförd energi'!$B$1:$AI$720,MATCH(S$2,'Tillförd energi'!$B$1:$AQ$1,0),FALSE)</f>
        <v>0</v>
      </c>
      <c r="T384" s="63">
        <f>VLOOKUP($B384,'Tillförd energi'!$B$1:$AI$720,MATCH(T$2,'Tillförd energi'!$B$1:$AQ$1,0),FALSE)</f>
        <v>0</v>
      </c>
      <c r="U384" s="63">
        <f>VLOOKUP($B384,'Tillförd energi'!$B$1:$AI$720,MATCH(U$2,'Tillförd energi'!$B$1:$AQ$1,0),FALSE)</f>
        <v>0</v>
      </c>
      <c r="V384" s="63">
        <f>VLOOKUP($B384,'Tillförd energi'!$B$1:$AI$720,MATCH(V$2,'Tillförd energi'!$B$1:$AQ$1,0),FALSE)</f>
        <v>0</v>
      </c>
      <c r="W384" s="63">
        <f>VLOOKUP($B384,'Tillförd energi'!$B$1:$AI$720,MATCH(W$2,'Tillförd energi'!$B$1:$AQ$1,0),FALSE)</f>
        <v>0</v>
      </c>
      <c r="X384" s="63">
        <f>VLOOKUP($B384,'Tillförd energi'!$B$1:$AI$720,MATCH(X$2,'Tillförd energi'!$B$1:$AQ$1,0),FALSE)</f>
        <v>0</v>
      </c>
      <c r="Y384" s="63">
        <f>VLOOKUP($B384,'Tillförd energi'!$B$1:$AI$720,MATCH(Y$2,'Tillförd energi'!$B$1:$AQ$1,0),FALSE)</f>
        <v>0</v>
      </c>
      <c r="Z384" s="63">
        <f>VLOOKUP($B384,'Tillförd energi'!$B$1:$AI$720,MATCH(Z$2,'Tillförd energi'!$B$1:$AQ$1,0),FALSE)</f>
        <v>0</v>
      </c>
      <c r="AA384" s="63">
        <f>VLOOKUP($B384,'Tillförd energi'!$B$1:$AI$720,MATCH(AA$2,'Tillförd energi'!$B$1:$AQ$1,0),FALSE)</f>
        <v>0</v>
      </c>
      <c r="AB384" s="63">
        <f>VLOOKUP($B384,'Tillförd energi'!$B$1:$AI$720,MATCH(AB$2,'Tillförd energi'!$B$1:$AQ$1,0),FALSE)</f>
        <v>0</v>
      </c>
      <c r="AC384" s="63">
        <f>VLOOKUP($B384,'Tillförd energi'!$B$1:$AI$720,MATCH(AC$2,'Tillförd energi'!$B$1:$AQ$1,0),FALSE)</f>
        <v>0</v>
      </c>
      <c r="AD384" s="63">
        <f>VLOOKUP($B384,'Tillförd energi'!$B$1:$AI$720,MATCH(AD$2,'Tillförd energi'!$B$1:$AQ$1,0),FALSE)</f>
        <v>0</v>
      </c>
      <c r="AE384" s="63">
        <f>VLOOKUP($B384,'Tillförd energi'!$B$1:$AI$720,MATCH(AE$2,'Tillförd energi'!$B$1:$AQ$1,0),FALSE)</f>
        <v>0</v>
      </c>
      <c r="AF384" s="63">
        <f>VLOOKUP($B384,'Tillförd energi'!$B$1:$AI$720,MATCH(AF$2,'Tillförd energi'!$B$1:$AQ$1,0),FALSE)</f>
        <v>0</v>
      </c>
      <c r="AG384" s="63">
        <f>IFERROR(VLOOKUP(B384,Miljö!$B$1:$AC$550,MATCH("Köpt mängd produktionsspecifik fjärrvärme:",Miljö!$B$1:$AC$1,0),FALSE)/1,0)</f>
        <v>0</v>
      </c>
      <c r="AI384" s="63">
        <f t="shared" si="30"/>
        <v>0</v>
      </c>
      <c r="AJ384" s="63" t="str">
        <f>IF(ISERROR(1/VLOOKUP($B384,Leveranser!$B$1:$S$500,MATCH("såld värme (gwh)",Leveranser!$B$1:$S$1,0),FALSE)),"",VLOOKUP($B384,Leveranser!$B$1:$S$500,MATCH("såld värme (gwh)",Leveranser!$B$1:$S$1,0),FALSE))</f>
        <v/>
      </c>
      <c r="AM384" s="63" t="str">
        <f>IF(B384&lt;&gt;"",IF(VLOOKUP($B384,Totalt!$B$1:$AQ$554,MATCH("Kvalitetsgranskad:",Totalt!$B$1:$AQ$1,0),FALSE)="ja",VLOOKUP($B384,Miljö!$B$1:$AG$479,MATCH(AM$2,Miljö!$B$1:$AK$1,0),FALSE),""),"")</f>
        <v/>
      </c>
      <c r="AN384" s="63" t="str">
        <f>IF(AM384="ja",VLOOKUP($B384,Miljö!$B$1:$J$479,MATCH("Typ av ursprungsspecificerad el   (Om inget värde anges används Nordisk residualmix, se inforuta) ()",Miljö!$B$1:$J$1,0),FALSE),IF(AM384="nej","Nordisk residualel",""))</f>
        <v/>
      </c>
      <c r="AO384" s="63" t="str">
        <f>IF(AM384="","",VLOOKUP($B384,Miljö!$B$1:$J$479,MATCH("Fossilandel för ursprungspecificerad el ()",Miljö!$B$1:$J$1,0),FALSE))</f>
        <v/>
      </c>
      <c r="AQ384" s="63" t="str">
        <f t="shared" si="31"/>
        <v/>
      </c>
      <c r="AS384" s="63" t="str">
        <f t="shared" si="32"/>
        <v>Nej</v>
      </c>
      <c r="AT384" s="63" t="str">
        <f>IF(AS384="ja",VLOOKUP($B384,Miljö!$B$1:$P$500,MATCH("Fossil andel i procent (%)",Miljö!$B$1:$P$1,0),FALSE)/100,"")</f>
        <v/>
      </c>
      <c r="AV384" s="63" t="str">
        <f t="shared" si="33"/>
        <v>Nej</v>
      </c>
      <c r="AW384" s="63" t="str">
        <f>IF(AV384="ja",VLOOKUP($B384,'Egen hetvattenprod'!$B$1:$AO$500,MATCH("Värmekälla till värmepumpar ()",'Egen hetvattenprod'!$B$1:$AO$1,0),FALSE),"")</f>
        <v/>
      </c>
      <c r="AY384" s="63" t="str">
        <f t="shared" si="34"/>
        <v>Nej</v>
      </c>
      <c r="AZ384" s="77" t="str">
        <f>IF($AY384="ja",(VLOOKUP($B384,'Egen hetvattenprod'!$B$1:$BX$550,MATCH(AZ$2,'Egen hetvattenprod'!$B$1:$BX$1,0),FALSE)+VLOOKUP($B384,Kraftvärmeprod!$B$1:$BX$550,MATCH(AZ$2,Kraftvärmeprod!$B$1:$BX$1,0),FALSE))/$AC384,"")</f>
        <v/>
      </c>
      <c r="BA384" s="77" t="str">
        <f>IF($AY384="ja",(VLOOKUP($B384,'Egen hetvattenprod'!$B$1:$BX$550,MATCH(BA$2,'Egen hetvattenprod'!$B$1:$BX$1,0),FALSE)+VLOOKUP($B384,Kraftvärmeprod!$B$1:$BX$550,MATCH(BA$2,Kraftvärmeprod!$B$1:$BX$1,0),FALSE))/$AC384,"")</f>
        <v/>
      </c>
      <c r="BB384" s="77" t="str">
        <f>IF($AY384="ja",(VLOOKUP($B384,'Egen hetvattenprod'!$B$1:$BX$550,MATCH(BB$2,'Egen hetvattenprod'!$B$1:$BX$1,0),FALSE)+VLOOKUP($B384,Kraftvärmeprod!$B$1:$BX$550,MATCH(BB$2,Kraftvärmeprod!$B$1:$BX$1,0),FALSE))/$AC384,"")</f>
        <v/>
      </c>
      <c r="BC384" s="77" t="str">
        <f>IF($AY384="ja",(VLOOKUP($B384,'Egen hetvattenprod'!$B$1:$BX$550,MATCH(BC$2,'Egen hetvattenprod'!$B$1:$BX$1,0),FALSE)+VLOOKUP($B384,Kraftvärmeprod!$B$1:$BX$550,MATCH(BC$2,Kraftvärmeprod!$B$1:$BX$1,0),FALSE))/$AC384,"")</f>
        <v/>
      </c>
      <c r="BD384" s="77" t="str">
        <f>IF($AY384="ja",(VLOOKUP($B384,'Egen hetvattenprod'!$B$1:$BX$550,MATCH(BD$2,'Egen hetvattenprod'!$B$1:$BX$1,0),FALSE)+VLOOKUP($B384,Kraftvärmeprod!$B$1:$BX$550,MATCH(BD$2,Kraftvärmeprod!$B$1:$BX$1,0),FALSE))/$AC384,"")</f>
        <v/>
      </c>
      <c r="BF384" s="63" t="str">
        <f t="shared" si="35"/>
        <v>Nej</v>
      </c>
      <c r="BG384" s="63" t="str">
        <f>IF($BF384="ja",VLOOKUP($B384,'Egen hetvattenprod'!$B$1:$BX$550,MATCH("Andelen klimatgaser med fossilt ursprung för avfall ()",'Egen hetvattenprod'!$B$1:$BX$1,0),FALSE),"")</f>
        <v/>
      </c>
      <c r="BH384" s="63" t="str">
        <f>IF($BF384="ja",VLOOKUP($B384,Kraftvärmeprod!$B$1:$BX$550,MATCH("Andelen klimatgaser med fossilt ursprung för avfall ()",Kraftvärmeprod!$B$1:$BX$1,0),FALSE),"")</f>
        <v/>
      </c>
      <c r="BI384" s="63" t="str">
        <f>IF($BF384="ja",VLOOKUP($B384,'Egen hetvattenprod'!$B$1:$BX$550,MATCH("Avfall (GWh)",'Egen hetvattenprod'!$B$1:$BX$1,0),FALSE),"")</f>
        <v/>
      </c>
      <c r="BJ384" s="63" t="str">
        <f>IF($BF384="ja",VLOOKUP($B384,'Slutlig allokering kvv'!$B$1:$BX$550,MATCH("Avfall (GWh)",'Slutlig allokering kvv'!$B$1:$BX$1,0),FALSE),"")</f>
        <v/>
      </c>
      <c r="BK384" s="63" t="str">
        <f>IF($BF384="ja",VLOOKUP($B384,'Köpt hetvatten'!$B$1:$BX$550,MATCH("Avfall i köpt hetvatten",'Köpt hetvatten'!$B$1:$BX$1,0),FALSE),"")</f>
        <v/>
      </c>
      <c r="BL384" s="63" t="str">
        <f>IF($BF384="ja",VLOOKUP($B384,'Egen hetvattenprod'!$B$1:$BX$550,MATCH("Värde enligt ovan. (%)",'Egen hetvattenprod'!$B$1:$BX$1,0),FALSE),"")</f>
        <v/>
      </c>
      <c r="BM384" s="63" t="str">
        <f>IF($BF384="ja",VLOOKUP($B384,Kraftvärmeprod!$B$1:$BX$550,MATCH("Värde enligt ovan. (%)",Kraftvärmeprod!$B$1:$BX$1,0),FALSE),"")</f>
        <v/>
      </c>
    </row>
    <row r="385" spans="1:65" x14ac:dyDescent="0.45">
      <c r="A385" s="63" t="s">
        <v>182</v>
      </c>
      <c r="B385" s="63" t="s">
        <v>181</v>
      </c>
      <c r="C385" s="63">
        <f>VLOOKUP($B385,'Tillförd energi'!$B$1:$AI$720,MATCH(C$2,'Tillförd energi'!$B$1:$AQ$1,0),FALSE)</f>
        <v>0</v>
      </c>
      <c r="D385" s="63">
        <f>VLOOKUP($B385,'Tillförd energi'!$B$1:$AI$720,MATCH(D$2,'Tillförd energi'!$B$1:$AQ$1,0),FALSE)</f>
        <v>0</v>
      </c>
      <c r="E385" s="63">
        <f>VLOOKUP($B385,'Tillförd energi'!$B$1:$AI$720,MATCH(E$2,'Tillförd energi'!$B$1:$AQ$1,0),FALSE)</f>
        <v>0</v>
      </c>
      <c r="F385" s="63">
        <f>VLOOKUP($B385,'Tillförd energi'!$B$1:$AI$720,MATCH(F$2,'Tillförd energi'!$B$1:$AQ$1,0),FALSE)</f>
        <v>0</v>
      </c>
      <c r="G385" s="63">
        <f>VLOOKUP($B385,'Tillförd energi'!$B$1:$AI$720,MATCH(G$2,'Tillförd energi'!$B$1:$AQ$1,0),FALSE)</f>
        <v>0</v>
      </c>
      <c r="H385" s="63">
        <f>VLOOKUP($B385,'Tillförd energi'!$B$1:$AI$720,MATCH(H$2,'Tillförd energi'!$B$1:$AQ$1,0),FALSE)</f>
        <v>0</v>
      </c>
      <c r="I385" s="63">
        <f>VLOOKUP($B385,'Tillförd energi'!$B$1:$AI$720,MATCH(I$2,'Tillförd energi'!$B$1:$AQ$1,0),FALSE)</f>
        <v>0</v>
      </c>
      <c r="J385" s="63">
        <f>VLOOKUP($B385,'Tillförd energi'!$B$1:$AI$720,MATCH(J$2,'Tillförd energi'!$B$1:$AQ$1,0),FALSE)</f>
        <v>0</v>
      </c>
      <c r="K385" s="63">
        <f>VLOOKUP($B385,'Tillförd energi'!$B$1:$AI$720,MATCH(K$2,'Tillförd energi'!$B$1:$AQ$1,0),FALSE)</f>
        <v>0</v>
      </c>
      <c r="L385" s="63">
        <f>VLOOKUP($B385,'Tillförd energi'!$B$1:$AI$720,MATCH(L$2,'Tillförd energi'!$B$1:$AQ$1,0),FALSE)</f>
        <v>0</v>
      </c>
      <c r="M385" s="63">
        <f>VLOOKUP($B385,'Tillförd energi'!$B$1:$AI$720,MATCH(M$2,'Tillförd energi'!$B$1:$AQ$1,0),FALSE)</f>
        <v>0</v>
      </c>
      <c r="N385" s="63">
        <f>VLOOKUP($B385,'Tillförd energi'!$B$1:$AI$720,MATCH(N$2,'Tillförd energi'!$B$1:$AQ$1,0),FALSE)</f>
        <v>0</v>
      </c>
      <c r="O385" s="63">
        <f>VLOOKUP($B385,'Tillförd energi'!$B$1:$AI$720,MATCH(O$2,'Tillförd energi'!$B$1:$AQ$1,0),FALSE)</f>
        <v>0</v>
      </c>
      <c r="P385" s="63">
        <f>VLOOKUP($B385,'Tillförd energi'!$B$1:$AI$720,MATCH(P$2,'Tillförd energi'!$B$1:$AQ$1,0),FALSE)</f>
        <v>0</v>
      </c>
      <c r="Q385" s="63">
        <f>VLOOKUP($B385,'Tillförd energi'!$B$1:$AI$720,MATCH(Q$2,'Tillförd energi'!$B$1:$AQ$1,0),FALSE)</f>
        <v>0</v>
      </c>
      <c r="R385" s="63">
        <f>VLOOKUP($B385,'Tillförd energi'!$B$1:$AI$720,MATCH(R$2,'Tillförd energi'!$B$1:$AQ$1,0),FALSE)</f>
        <v>0</v>
      </c>
      <c r="S385" s="63">
        <f>VLOOKUP($B385,'Tillförd energi'!$B$1:$AI$720,MATCH(S$2,'Tillförd energi'!$B$1:$AQ$1,0),FALSE)</f>
        <v>0</v>
      </c>
      <c r="T385" s="63">
        <f>VLOOKUP($B385,'Tillförd energi'!$B$1:$AI$720,MATCH(T$2,'Tillförd energi'!$B$1:$AQ$1,0),FALSE)</f>
        <v>0</v>
      </c>
      <c r="U385" s="63">
        <f>VLOOKUP($B385,'Tillförd energi'!$B$1:$AI$720,MATCH(U$2,'Tillförd energi'!$B$1:$AQ$1,0),FALSE)</f>
        <v>0</v>
      </c>
      <c r="V385" s="63">
        <f>VLOOKUP($B385,'Tillförd energi'!$B$1:$AI$720,MATCH(V$2,'Tillförd energi'!$B$1:$AQ$1,0),FALSE)</f>
        <v>0</v>
      </c>
      <c r="W385" s="63">
        <f>VLOOKUP($B385,'Tillförd energi'!$B$1:$AI$720,MATCH(W$2,'Tillförd energi'!$B$1:$AQ$1,0),FALSE)</f>
        <v>0</v>
      </c>
      <c r="X385" s="63">
        <f>VLOOKUP($B385,'Tillförd energi'!$B$1:$AI$720,MATCH(X$2,'Tillförd energi'!$B$1:$AQ$1,0),FALSE)</f>
        <v>0</v>
      </c>
      <c r="Y385" s="63">
        <f>VLOOKUP($B385,'Tillförd energi'!$B$1:$AI$720,MATCH(Y$2,'Tillförd energi'!$B$1:$AQ$1,0),FALSE)</f>
        <v>0</v>
      </c>
      <c r="Z385" s="63">
        <f>VLOOKUP($B385,'Tillförd energi'!$B$1:$AI$720,MATCH(Z$2,'Tillförd energi'!$B$1:$AQ$1,0),FALSE)</f>
        <v>0</v>
      </c>
      <c r="AA385" s="63">
        <f>VLOOKUP($B385,'Tillförd energi'!$B$1:$AI$720,MATCH(AA$2,'Tillförd energi'!$B$1:$AQ$1,0),FALSE)</f>
        <v>0</v>
      </c>
      <c r="AB385" s="63">
        <f>VLOOKUP($B385,'Tillförd energi'!$B$1:$AI$720,MATCH(AB$2,'Tillförd energi'!$B$1:$AQ$1,0),FALSE)</f>
        <v>0</v>
      </c>
      <c r="AC385" s="63">
        <f>VLOOKUP($B385,'Tillförd energi'!$B$1:$AI$720,MATCH(AC$2,'Tillförd energi'!$B$1:$AQ$1,0),FALSE)</f>
        <v>0</v>
      </c>
      <c r="AD385" s="63">
        <f>VLOOKUP($B385,'Tillförd energi'!$B$1:$AI$720,MATCH(AD$2,'Tillförd energi'!$B$1:$AQ$1,0),FALSE)</f>
        <v>0</v>
      </c>
      <c r="AE385" s="63">
        <f>VLOOKUP($B385,'Tillförd energi'!$B$1:$AI$720,MATCH(AE$2,'Tillförd energi'!$B$1:$AQ$1,0),FALSE)</f>
        <v>0</v>
      </c>
      <c r="AF385" s="63">
        <f>VLOOKUP($B385,'Tillförd energi'!$B$1:$AI$720,MATCH(AF$2,'Tillförd energi'!$B$1:$AQ$1,0),FALSE)</f>
        <v>0</v>
      </c>
      <c r="AG385" s="63">
        <f>IFERROR(VLOOKUP(B385,Miljö!$B$1:$AC$550,MATCH("Köpt mängd produktionsspecifik fjärrvärme:",Miljö!$B$1:$AC$1,0),FALSE)/1,0)</f>
        <v>0</v>
      </c>
      <c r="AI385" s="63">
        <f t="shared" si="30"/>
        <v>0</v>
      </c>
      <c r="AJ385" s="63" t="str">
        <f>IF(ISERROR(1/VLOOKUP($B385,Leveranser!$B$1:$S$500,MATCH("såld värme (gwh)",Leveranser!$B$1:$S$1,0),FALSE)),"",VLOOKUP($B385,Leveranser!$B$1:$S$500,MATCH("såld värme (gwh)",Leveranser!$B$1:$S$1,0),FALSE))</f>
        <v/>
      </c>
      <c r="AM385" s="63" t="str">
        <f>IF(B385&lt;&gt;"",IF(VLOOKUP($B385,Totalt!$B$1:$AQ$554,MATCH("Kvalitetsgranskad:",Totalt!$B$1:$AQ$1,0),FALSE)="ja",VLOOKUP($B385,Miljö!$B$1:$AG$479,MATCH(AM$2,Miljö!$B$1:$AK$1,0),FALSE),""),"")</f>
        <v/>
      </c>
      <c r="AN385" s="63" t="str">
        <f>IF(AM385="ja",VLOOKUP($B385,Miljö!$B$1:$J$479,MATCH("Typ av ursprungsspecificerad el   (Om inget värde anges används Nordisk residualmix, se inforuta) ()",Miljö!$B$1:$J$1,0),FALSE),IF(AM385="nej","Nordisk residualel",""))</f>
        <v/>
      </c>
      <c r="AO385" s="63" t="str">
        <f>IF(AM385="","",VLOOKUP($B385,Miljö!$B$1:$J$479,MATCH("Fossilandel för ursprungspecificerad el ()",Miljö!$B$1:$J$1,0),FALSE))</f>
        <v/>
      </c>
      <c r="AQ385" s="63" t="str">
        <f t="shared" si="31"/>
        <v/>
      </c>
      <c r="AS385" s="63" t="str">
        <f t="shared" si="32"/>
        <v>Nej</v>
      </c>
      <c r="AT385" s="63" t="str">
        <f>IF(AS385="ja",VLOOKUP($B385,Miljö!$B$1:$P$500,MATCH("Fossil andel i procent (%)",Miljö!$B$1:$P$1,0),FALSE)/100,"")</f>
        <v/>
      </c>
      <c r="AV385" s="63" t="str">
        <f t="shared" si="33"/>
        <v>Nej</v>
      </c>
      <c r="AW385" s="63" t="str">
        <f>IF(AV385="ja",VLOOKUP($B385,'Egen hetvattenprod'!$B$1:$AO$500,MATCH("Värmekälla till värmepumpar ()",'Egen hetvattenprod'!$B$1:$AO$1,0),FALSE),"")</f>
        <v/>
      </c>
      <c r="AY385" s="63" t="str">
        <f t="shared" si="34"/>
        <v>Nej</v>
      </c>
      <c r="AZ385" s="77" t="str">
        <f>IF($AY385="ja",(VLOOKUP($B385,'Egen hetvattenprod'!$B$1:$BX$550,MATCH(AZ$2,'Egen hetvattenprod'!$B$1:$BX$1,0),FALSE)+VLOOKUP($B385,Kraftvärmeprod!$B$1:$BX$550,MATCH(AZ$2,Kraftvärmeprod!$B$1:$BX$1,0),FALSE))/$AC385,"")</f>
        <v/>
      </c>
      <c r="BA385" s="77" t="str">
        <f>IF($AY385="ja",(VLOOKUP($B385,'Egen hetvattenprod'!$B$1:$BX$550,MATCH(BA$2,'Egen hetvattenprod'!$B$1:$BX$1,0),FALSE)+VLOOKUP($B385,Kraftvärmeprod!$B$1:$BX$550,MATCH(BA$2,Kraftvärmeprod!$B$1:$BX$1,0),FALSE))/$AC385,"")</f>
        <v/>
      </c>
      <c r="BB385" s="77" t="str">
        <f>IF($AY385="ja",(VLOOKUP($B385,'Egen hetvattenprod'!$B$1:$BX$550,MATCH(BB$2,'Egen hetvattenprod'!$B$1:$BX$1,0),FALSE)+VLOOKUP($B385,Kraftvärmeprod!$B$1:$BX$550,MATCH(BB$2,Kraftvärmeprod!$B$1:$BX$1,0),FALSE))/$AC385,"")</f>
        <v/>
      </c>
      <c r="BC385" s="77" t="str">
        <f>IF($AY385="ja",(VLOOKUP($B385,'Egen hetvattenprod'!$B$1:$BX$550,MATCH(BC$2,'Egen hetvattenprod'!$B$1:$BX$1,0),FALSE)+VLOOKUP($B385,Kraftvärmeprod!$B$1:$BX$550,MATCH(BC$2,Kraftvärmeprod!$B$1:$BX$1,0),FALSE))/$AC385,"")</f>
        <v/>
      </c>
      <c r="BD385" s="77" t="str">
        <f>IF($AY385="ja",(VLOOKUP($B385,'Egen hetvattenprod'!$B$1:$BX$550,MATCH(BD$2,'Egen hetvattenprod'!$B$1:$BX$1,0),FALSE)+VLOOKUP($B385,Kraftvärmeprod!$B$1:$BX$550,MATCH(BD$2,Kraftvärmeprod!$B$1:$BX$1,0),FALSE))/$AC385,"")</f>
        <v/>
      </c>
      <c r="BF385" s="63" t="str">
        <f t="shared" si="35"/>
        <v>Nej</v>
      </c>
      <c r="BG385" s="63" t="str">
        <f>IF($BF385="ja",VLOOKUP($B385,'Egen hetvattenprod'!$B$1:$BX$550,MATCH("Andelen klimatgaser med fossilt ursprung för avfall ()",'Egen hetvattenprod'!$B$1:$BX$1,0),FALSE),"")</f>
        <v/>
      </c>
      <c r="BH385" s="63" t="str">
        <f>IF($BF385="ja",VLOOKUP($B385,Kraftvärmeprod!$B$1:$BX$550,MATCH("Andelen klimatgaser med fossilt ursprung för avfall ()",Kraftvärmeprod!$B$1:$BX$1,0),FALSE),"")</f>
        <v/>
      </c>
      <c r="BI385" s="63" t="str">
        <f>IF($BF385="ja",VLOOKUP($B385,'Egen hetvattenprod'!$B$1:$BX$550,MATCH("Avfall (GWh)",'Egen hetvattenprod'!$B$1:$BX$1,0),FALSE),"")</f>
        <v/>
      </c>
      <c r="BJ385" s="63" t="str">
        <f>IF($BF385="ja",VLOOKUP($B385,'Slutlig allokering kvv'!$B$1:$BX$550,MATCH("Avfall (GWh)",'Slutlig allokering kvv'!$B$1:$BX$1,0),FALSE),"")</f>
        <v/>
      </c>
      <c r="BK385" s="63" t="str">
        <f>IF($BF385="ja",VLOOKUP($B385,'Köpt hetvatten'!$B$1:$BX$550,MATCH("Avfall i köpt hetvatten",'Köpt hetvatten'!$B$1:$BX$1,0),FALSE),"")</f>
        <v/>
      </c>
      <c r="BL385" s="63" t="str">
        <f>IF($BF385="ja",VLOOKUP($B385,'Egen hetvattenprod'!$B$1:$BX$550,MATCH("Värde enligt ovan. (%)",'Egen hetvattenprod'!$B$1:$BX$1,0),FALSE),"")</f>
        <v/>
      </c>
      <c r="BM385" s="63" t="str">
        <f>IF($BF385="ja",VLOOKUP($B385,Kraftvärmeprod!$B$1:$BX$550,MATCH("Värde enligt ovan. (%)",Kraftvärmeprod!$B$1:$BX$1,0),FALSE),"")</f>
        <v/>
      </c>
    </row>
    <row r="386" spans="1:65" x14ac:dyDescent="0.45">
      <c r="A386" s="63" t="s">
        <v>182</v>
      </c>
      <c r="B386" s="63" t="s">
        <v>185</v>
      </c>
      <c r="C386" s="63">
        <f>VLOOKUP($B386,'Tillförd energi'!$B$1:$AI$720,MATCH(C$2,'Tillförd energi'!$B$1:$AQ$1,0),FALSE)</f>
        <v>0</v>
      </c>
      <c r="D386" s="63">
        <f>VLOOKUP($B386,'Tillförd energi'!$B$1:$AI$720,MATCH(D$2,'Tillförd energi'!$B$1:$AQ$1,0),FALSE)</f>
        <v>0</v>
      </c>
      <c r="E386" s="63">
        <f>VLOOKUP($B386,'Tillförd energi'!$B$1:$AI$720,MATCH(E$2,'Tillförd energi'!$B$1:$AQ$1,0),FALSE)</f>
        <v>0</v>
      </c>
      <c r="F386" s="63">
        <f>VLOOKUP($B386,'Tillförd energi'!$B$1:$AI$720,MATCH(F$2,'Tillförd energi'!$B$1:$AQ$1,0),FALSE)</f>
        <v>0</v>
      </c>
      <c r="G386" s="63">
        <f>VLOOKUP($B386,'Tillförd energi'!$B$1:$AI$720,MATCH(G$2,'Tillförd energi'!$B$1:$AQ$1,0),FALSE)</f>
        <v>0</v>
      </c>
      <c r="H386" s="63">
        <f>VLOOKUP($B386,'Tillförd energi'!$B$1:$AI$720,MATCH(H$2,'Tillförd energi'!$B$1:$AQ$1,0),FALSE)</f>
        <v>0</v>
      </c>
      <c r="I386" s="63">
        <f>VLOOKUP($B386,'Tillförd energi'!$B$1:$AI$720,MATCH(I$2,'Tillförd energi'!$B$1:$AQ$1,0),FALSE)</f>
        <v>62.235300000000002</v>
      </c>
      <c r="J386" s="63">
        <f>VLOOKUP($B386,'Tillförd energi'!$B$1:$AI$720,MATCH(J$2,'Tillförd energi'!$B$1:$AQ$1,0),FALSE)</f>
        <v>0</v>
      </c>
      <c r="K386" s="63">
        <f>VLOOKUP($B386,'Tillförd energi'!$B$1:$AI$720,MATCH(K$2,'Tillförd energi'!$B$1:$AQ$1,0),FALSE)</f>
        <v>0</v>
      </c>
      <c r="L386" s="63">
        <f>VLOOKUP($B386,'Tillförd energi'!$B$1:$AI$720,MATCH(L$2,'Tillförd energi'!$B$1:$AQ$1,0),FALSE)</f>
        <v>0</v>
      </c>
      <c r="M386" s="63">
        <f>VLOOKUP($B386,'Tillförd energi'!$B$1:$AI$720,MATCH(M$2,'Tillförd energi'!$B$1:$AQ$1,0),FALSE)</f>
        <v>0</v>
      </c>
      <c r="N386" s="63">
        <f>VLOOKUP($B386,'Tillförd energi'!$B$1:$AI$720,MATCH(N$2,'Tillförd energi'!$B$1:$AQ$1,0),FALSE)</f>
        <v>0</v>
      </c>
      <c r="O386" s="63">
        <f>VLOOKUP($B386,'Tillförd energi'!$B$1:$AI$720,MATCH(O$2,'Tillförd energi'!$B$1:$AQ$1,0),FALSE)</f>
        <v>0</v>
      </c>
      <c r="P386" s="63">
        <f>VLOOKUP($B386,'Tillförd energi'!$B$1:$AI$720,MATCH(P$2,'Tillförd energi'!$B$1:$AQ$1,0),FALSE)</f>
        <v>0</v>
      </c>
      <c r="Q386" s="63">
        <f>VLOOKUP($B386,'Tillförd energi'!$B$1:$AI$720,MATCH(Q$2,'Tillförd energi'!$B$1:$AQ$1,0),FALSE)</f>
        <v>74.7</v>
      </c>
      <c r="R386" s="63">
        <f>VLOOKUP($B386,'Tillförd energi'!$B$1:$AI$720,MATCH(R$2,'Tillförd energi'!$B$1:$AQ$1,0),FALSE)</f>
        <v>41.7</v>
      </c>
      <c r="S386" s="63">
        <f>VLOOKUP($B386,'Tillförd energi'!$B$1:$AI$720,MATCH(S$2,'Tillförd energi'!$B$1:$AQ$1,0),FALSE)</f>
        <v>0</v>
      </c>
      <c r="T386" s="63">
        <f>VLOOKUP($B386,'Tillförd energi'!$B$1:$AI$720,MATCH(T$2,'Tillförd energi'!$B$1:$AQ$1,0),FALSE)</f>
        <v>0</v>
      </c>
      <c r="U386" s="63">
        <f>VLOOKUP($B386,'Tillförd energi'!$B$1:$AI$720,MATCH(U$2,'Tillförd energi'!$B$1:$AQ$1,0),FALSE)</f>
        <v>0</v>
      </c>
      <c r="V386" s="63">
        <f>VLOOKUP($B386,'Tillförd energi'!$B$1:$AI$720,MATCH(V$2,'Tillförd energi'!$B$1:$AQ$1,0),FALSE)</f>
        <v>0</v>
      </c>
      <c r="W386" s="63">
        <f>VLOOKUP($B386,'Tillförd energi'!$B$1:$AI$720,MATCH(W$2,'Tillförd energi'!$B$1:$AQ$1,0),FALSE)</f>
        <v>5.2</v>
      </c>
      <c r="X386" s="63">
        <f>VLOOKUP($B386,'Tillförd energi'!$B$1:$AI$720,MATCH(X$2,'Tillförd energi'!$B$1:$AQ$1,0),FALSE)</f>
        <v>0</v>
      </c>
      <c r="Y386" s="63">
        <f>VLOOKUP($B386,'Tillförd energi'!$B$1:$AI$720,MATCH(Y$2,'Tillförd energi'!$B$1:$AQ$1,0),FALSE)</f>
        <v>0</v>
      </c>
      <c r="Z386" s="63">
        <f>VLOOKUP($B386,'Tillförd energi'!$B$1:$AI$720,MATCH(Z$2,'Tillförd energi'!$B$1:$AQ$1,0),FALSE)</f>
        <v>0</v>
      </c>
      <c r="AA386" s="63">
        <f>VLOOKUP($B386,'Tillförd energi'!$B$1:$AI$720,MATCH(AA$2,'Tillförd energi'!$B$1:$AQ$1,0),FALSE)</f>
        <v>0</v>
      </c>
      <c r="AB386" s="63">
        <f>VLOOKUP($B386,'Tillförd energi'!$B$1:$AI$720,MATCH(AB$2,'Tillförd energi'!$B$1:$AQ$1,0),FALSE)</f>
        <v>0</v>
      </c>
      <c r="AC386" s="63">
        <f>VLOOKUP($B386,'Tillförd energi'!$B$1:$AI$720,MATCH(AC$2,'Tillförd energi'!$B$1:$AQ$1,0),FALSE)</f>
        <v>10.6</v>
      </c>
      <c r="AD386" s="63">
        <f>VLOOKUP($B386,'Tillförd energi'!$B$1:$AI$720,MATCH(AD$2,'Tillförd energi'!$B$1:$AQ$1,0),FALSE)</f>
        <v>179.1</v>
      </c>
      <c r="AE386" s="63">
        <f>VLOOKUP($B386,'Tillförd energi'!$B$1:$AI$720,MATCH(AE$2,'Tillförd energi'!$B$1:$AQ$1,0),FALSE)</f>
        <v>0</v>
      </c>
      <c r="AF386" s="63">
        <f>VLOOKUP($B386,'Tillförd energi'!$B$1:$AI$720,MATCH(AF$2,'Tillförd energi'!$B$1:$AQ$1,0),FALSE)</f>
        <v>4</v>
      </c>
      <c r="AG386" s="63">
        <f>IFERROR(VLOOKUP(B386,Miljö!$B$1:$AC$550,MATCH("Köpt mängd produktionsspecifik fjärrvärme:",Miljö!$B$1:$AC$1,0),FALSE)/1,0)</f>
        <v>0</v>
      </c>
      <c r="AI386" s="63">
        <f t="shared" si="30"/>
        <v>377.53530000000001</v>
      </c>
      <c r="AJ386" s="63">
        <f>IF(ISERROR(1/VLOOKUP($B386,Leveranser!$B$1:$S$500,MATCH("såld värme (gwh)",Leveranser!$B$1:$S$1,0),FALSE)),"",VLOOKUP($B386,Leveranser!$B$1:$S$500,MATCH("såld värme (gwh)",Leveranser!$B$1:$S$1,0),FALSE))</f>
        <v>300</v>
      </c>
      <c r="AM386" s="63" t="str">
        <f>IF(B386&lt;&gt;"",IF(VLOOKUP($B386,Totalt!$B$1:$AQ$554,MATCH("Kvalitetsgranskad:",Totalt!$B$1:$AQ$1,0),FALSE)="ja",VLOOKUP($B386,Miljö!$B$1:$AG$479,MATCH(AM$2,Miljö!$B$1:$AK$1,0),FALSE),""),"")</f>
        <v>Ja</v>
      </c>
      <c r="AN386" s="63" t="str">
        <f>IF(AM386="ja",VLOOKUP($B386,Miljö!$B$1:$J$479,MATCH("Typ av ursprungsspecificerad el   (Om inget värde anges används Nordisk residualmix, se inforuta) ()",Miljö!$B$1:$J$1,0),FALSE),IF(AM386="nej","Nordisk residualel",""))</f>
        <v>'Vattenfall "Klimatsmart/VattenEl"'</v>
      </c>
      <c r="AO386" s="63">
        <f>IF(AM386="","",VLOOKUP($B386,Miljö!$B$1:$J$479,MATCH("Fossilandel för ursprungspecificerad el ()",Miljö!$B$1:$J$1,0),FALSE))</f>
        <v>0</v>
      </c>
      <c r="AQ386" s="63">
        <f t="shared" si="31"/>
        <v>1</v>
      </c>
      <c r="AS386" s="63" t="str">
        <f t="shared" si="32"/>
        <v>Nej</v>
      </c>
      <c r="AT386" s="63" t="str">
        <f>IF(AS386="ja",VLOOKUP($B386,Miljö!$B$1:$P$500,MATCH("Fossil andel i procent (%)",Miljö!$B$1:$P$1,0),FALSE)/100,"")</f>
        <v/>
      </c>
      <c r="AV386" s="63" t="str">
        <f t="shared" si="33"/>
        <v>Nej</v>
      </c>
      <c r="AW386" s="63" t="str">
        <f>IF(AV386="ja",VLOOKUP($B386,'Egen hetvattenprod'!$B$1:$AO$500,MATCH("Värmekälla till värmepumpar ()",'Egen hetvattenprod'!$B$1:$AO$1,0),FALSE),"")</f>
        <v/>
      </c>
      <c r="AY386" s="63" t="str">
        <f t="shared" si="34"/>
        <v>Ja</v>
      </c>
      <c r="AZ386" s="77">
        <f>IF($AY386="ja",(VLOOKUP($B386,'Egen hetvattenprod'!$B$1:$BX$550,MATCH(AZ$2,'Egen hetvattenprod'!$B$1:$BX$1,0),FALSE)+VLOOKUP($B386,Kraftvärmeprod!$B$1:$BX$550,MATCH(AZ$2,Kraftvärmeprod!$B$1:$BX$1,0),FALSE))/$AC386,"")</f>
        <v>1</v>
      </c>
      <c r="BA386" s="77">
        <f>IF($AY386="ja",(VLOOKUP($B386,'Egen hetvattenprod'!$B$1:$BX$550,MATCH(BA$2,'Egen hetvattenprod'!$B$1:$BX$1,0),FALSE)+VLOOKUP($B386,Kraftvärmeprod!$B$1:$BX$550,MATCH(BA$2,Kraftvärmeprod!$B$1:$BX$1,0),FALSE))/$AC386,"")</f>
        <v>0</v>
      </c>
      <c r="BB386" s="77">
        <f>IF($AY386="ja",(VLOOKUP($B386,'Egen hetvattenprod'!$B$1:$BX$550,MATCH(BB$2,'Egen hetvattenprod'!$B$1:$BX$1,0),FALSE)+VLOOKUP($B386,Kraftvärmeprod!$B$1:$BX$550,MATCH(BB$2,Kraftvärmeprod!$B$1:$BX$1,0),FALSE))/$AC386,"")</f>
        <v>0</v>
      </c>
      <c r="BC386" s="77">
        <f>IF($AY386="ja",(VLOOKUP($B386,'Egen hetvattenprod'!$B$1:$BX$550,MATCH(BC$2,'Egen hetvattenprod'!$B$1:$BX$1,0),FALSE)+VLOOKUP($B386,Kraftvärmeprod!$B$1:$BX$550,MATCH(BC$2,Kraftvärmeprod!$B$1:$BX$1,0),FALSE))/$AC386,"")</f>
        <v>0</v>
      </c>
      <c r="BD386" s="77">
        <f>IF($AY386="ja",(VLOOKUP($B386,'Egen hetvattenprod'!$B$1:$BX$550,MATCH(BD$2,'Egen hetvattenprod'!$B$1:$BX$1,0),FALSE)+VLOOKUP($B386,Kraftvärmeprod!$B$1:$BX$550,MATCH(BD$2,Kraftvärmeprod!$B$1:$BX$1,0),FALSE))/$AC386,"")</f>
        <v>0</v>
      </c>
      <c r="BF386" s="63" t="str">
        <f t="shared" si="35"/>
        <v>Ja</v>
      </c>
      <c r="BG386" s="63" t="str">
        <f>IF($BF386="ja",VLOOKUP($B386,'Egen hetvattenprod'!$B$1:$BX$550,MATCH("Andelen klimatgaser med fossilt ursprung för avfall ()",'Egen hetvattenprod'!$B$1:$BX$1,0),FALSE),"")</f>
        <v>ET</v>
      </c>
      <c r="BH386" s="63" t="str">
        <f>IF($BF386="ja",VLOOKUP($B386,Kraftvärmeprod!$B$1:$BX$550,MATCH("Andelen klimatgaser med fossilt ursprung för avfall ()",Kraftvärmeprod!$B$1:$BX$1,0),FALSE),"")</f>
        <v>ET</v>
      </c>
      <c r="BI386" s="63" t="str">
        <f>IF($BF386="ja",VLOOKUP($B386,'Egen hetvattenprod'!$B$1:$BX$550,MATCH("Avfall (GWh)",'Egen hetvattenprod'!$B$1:$BX$1,0),FALSE),"")</f>
        <v>ET</v>
      </c>
      <c r="BJ386" s="63">
        <f>IF($BF386="ja",VLOOKUP($B386,'Slutlig allokering kvv'!$B$1:$BX$550,MATCH("Avfall (GWh)",'Slutlig allokering kvv'!$B$1:$BX$1,0),FALSE),"")</f>
        <v>0</v>
      </c>
      <c r="BK386" s="63">
        <f>IF($BF386="ja",VLOOKUP($B386,'Köpt hetvatten'!$B$1:$BX$550,MATCH("Avfall i köpt hetvatten",'Köpt hetvatten'!$B$1:$BX$1,0),FALSE),"")</f>
        <v>62.235294117647058</v>
      </c>
      <c r="BL386" s="63" t="str">
        <f>IF($BF386="ja",VLOOKUP($B386,'Egen hetvattenprod'!$B$1:$BX$550,MATCH("Värde enligt ovan. (%)",'Egen hetvattenprod'!$B$1:$BX$1,0),FALSE),"")</f>
        <v>ET</v>
      </c>
      <c r="BM386" s="63" t="str">
        <f>IF($BF386="ja",VLOOKUP($B386,Kraftvärmeprod!$B$1:$BX$550,MATCH("Värde enligt ovan. (%)",Kraftvärmeprod!$B$1:$BX$1,0),FALSE),"")</f>
        <v>ET</v>
      </c>
    </row>
    <row r="387" spans="1:65" x14ac:dyDescent="0.45">
      <c r="A387" s="63" t="s">
        <v>182</v>
      </c>
      <c r="B387" s="63" t="s">
        <v>183</v>
      </c>
      <c r="C387" s="63">
        <f>VLOOKUP($B387,'Tillförd energi'!$B$1:$AI$720,MATCH(C$2,'Tillförd energi'!$B$1:$AQ$1,0),FALSE)</f>
        <v>0</v>
      </c>
      <c r="D387" s="63">
        <f>VLOOKUP($B387,'Tillförd energi'!$B$1:$AI$720,MATCH(D$2,'Tillförd energi'!$B$1:$AQ$1,0),FALSE)</f>
        <v>0</v>
      </c>
      <c r="E387" s="63">
        <f>VLOOKUP($B387,'Tillförd energi'!$B$1:$AI$720,MATCH(E$2,'Tillförd energi'!$B$1:$AQ$1,0),FALSE)</f>
        <v>0</v>
      </c>
      <c r="F387" s="63">
        <f>VLOOKUP($B387,'Tillförd energi'!$B$1:$AI$720,MATCH(F$2,'Tillförd energi'!$B$1:$AQ$1,0),FALSE)</f>
        <v>0</v>
      </c>
      <c r="G387" s="63">
        <f>VLOOKUP($B387,'Tillförd energi'!$B$1:$AI$720,MATCH(G$2,'Tillförd energi'!$B$1:$AQ$1,0),FALSE)</f>
        <v>0</v>
      </c>
      <c r="H387" s="63">
        <f>VLOOKUP($B387,'Tillförd energi'!$B$1:$AI$720,MATCH(H$2,'Tillförd energi'!$B$1:$AQ$1,0),FALSE)</f>
        <v>0</v>
      </c>
      <c r="I387" s="63">
        <f>VLOOKUP($B387,'Tillförd energi'!$B$1:$AI$720,MATCH(I$2,'Tillförd energi'!$B$1:$AQ$1,0),FALSE)</f>
        <v>0</v>
      </c>
      <c r="J387" s="63">
        <f>VLOOKUP($B387,'Tillförd energi'!$B$1:$AI$720,MATCH(J$2,'Tillförd energi'!$B$1:$AQ$1,0),FALSE)</f>
        <v>0</v>
      </c>
      <c r="K387" s="63">
        <f>VLOOKUP($B387,'Tillförd energi'!$B$1:$AI$720,MATCH(K$2,'Tillförd energi'!$B$1:$AQ$1,0),FALSE)</f>
        <v>0</v>
      </c>
      <c r="L387" s="63">
        <f>VLOOKUP($B387,'Tillförd energi'!$B$1:$AI$720,MATCH(L$2,'Tillförd energi'!$B$1:$AQ$1,0),FALSE)</f>
        <v>0</v>
      </c>
      <c r="M387" s="63">
        <f>VLOOKUP($B387,'Tillförd energi'!$B$1:$AI$720,MATCH(M$2,'Tillförd energi'!$B$1:$AQ$1,0),FALSE)</f>
        <v>0</v>
      </c>
      <c r="N387" s="63">
        <f>VLOOKUP($B387,'Tillförd energi'!$B$1:$AI$720,MATCH(N$2,'Tillförd energi'!$B$1:$AQ$1,0),FALSE)</f>
        <v>0</v>
      </c>
      <c r="O387" s="63">
        <f>VLOOKUP($B387,'Tillförd energi'!$B$1:$AI$720,MATCH(O$2,'Tillförd energi'!$B$1:$AQ$1,0),FALSE)</f>
        <v>0</v>
      </c>
      <c r="P387" s="63">
        <f>VLOOKUP($B387,'Tillförd energi'!$B$1:$AI$720,MATCH(P$2,'Tillförd energi'!$B$1:$AQ$1,0),FALSE)</f>
        <v>0</v>
      </c>
      <c r="Q387" s="63">
        <f>VLOOKUP($B387,'Tillförd energi'!$B$1:$AI$720,MATCH(Q$2,'Tillförd energi'!$B$1:$AQ$1,0),FALSE)</f>
        <v>0</v>
      </c>
      <c r="R387" s="63">
        <f>VLOOKUP($B387,'Tillförd energi'!$B$1:$AI$720,MATCH(R$2,'Tillförd energi'!$B$1:$AQ$1,0),FALSE)</f>
        <v>0</v>
      </c>
      <c r="S387" s="63">
        <f>VLOOKUP($B387,'Tillförd energi'!$B$1:$AI$720,MATCH(S$2,'Tillförd energi'!$B$1:$AQ$1,0),FALSE)</f>
        <v>0</v>
      </c>
      <c r="T387" s="63">
        <f>VLOOKUP($B387,'Tillförd energi'!$B$1:$AI$720,MATCH(T$2,'Tillförd energi'!$B$1:$AQ$1,0),FALSE)</f>
        <v>0</v>
      </c>
      <c r="U387" s="63">
        <f>VLOOKUP($B387,'Tillförd energi'!$B$1:$AI$720,MATCH(U$2,'Tillförd energi'!$B$1:$AQ$1,0),FALSE)</f>
        <v>0</v>
      </c>
      <c r="V387" s="63">
        <f>VLOOKUP($B387,'Tillförd energi'!$B$1:$AI$720,MATCH(V$2,'Tillförd energi'!$B$1:$AQ$1,0),FALSE)</f>
        <v>0</v>
      </c>
      <c r="W387" s="63">
        <f>VLOOKUP($B387,'Tillförd energi'!$B$1:$AI$720,MATCH(W$2,'Tillförd energi'!$B$1:$AQ$1,0),FALSE)</f>
        <v>0</v>
      </c>
      <c r="X387" s="63">
        <f>VLOOKUP($B387,'Tillförd energi'!$B$1:$AI$720,MATCH(X$2,'Tillförd energi'!$B$1:$AQ$1,0),FALSE)</f>
        <v>0</v>
      </c>
      <c r="Y387" s="63">
        <f>VLOOKUP($B387,'Tillförd energi'!$B$1:$AI$720,MATCH(Y$2,'Tillförd energi'!$B$1:$AQ$1,0),FALSE)</f>
        <v>0</v>
      </c>
      <c r="Z387" s="63">
        <f>VLOOKUP($B387,'Tillförd energi'!$B$1:$AI$720,MATCH(Z$2,'Tillförd energi'!$B$1:$AQ$1,0),FALSE)</f>
        <v>0</v>
      </c>
      <c r="AA387" s="63">
        <f>VLOOKUP($B387,'Tillförd energi'!$B$1:$AI$720,MATCH(AA$2,'Tillförd energi'!$B$1:$AQ$1,0),FALSE)</f>
        <v>0</v>
      </c>
      <c r="AB387" s="63">
        <f>VLOOKUP($B387,'Tillförd energi'!$B$1:$AI$720,MATCH(AB$2,'Tillförd energi'!$B$1:$AQ$1,0),FALSE)</f>
        <v>0</v>
      </c>
      <c r="AC387" s="63">
        <f>VLOOKUP($B387,'Tillförd energi'!$B$1:$AI$720,MATCH(AC$2,'Tillförd energi'!$B$1:$AQ$1,0),FALSE)</f>
        <v>0</v>
      </c>
      <c r="AD387" s="63">
        <f>VLOOKUP($B387,'Tillförd energi'!$B$1:$AI$720,MATCH(AD$2,'Tillförd energi'!$B$1:$AQ$1,0),FALSE)</f>
        <v>0</v>
      </c>
      <c r="AE387" s="63">
        <f>VLOOKUP($B387,'Tillförd energi'!$B$1:$AI$720,MATCH(AE$2,'Tillförd energi'!$B$1:$AQ$1,0),FALSE)</f>
        <v>0</v>
      </c>
      <c r="AF387" s="63">
        <f>VLOOKUP($B387,'Tillförd energi'!$B$1:$AI$720,MATCH(AF$2,'Tillförd energi'!$B$1:$AQ$1,0),FALSE)</f>
        <v>0</v>
      </c>
      <c r="AG387" s="63">
        <f>IFERROR(VLOOKUP(B387,Miljö!$B$1:$AC$550,MATCH("Köpt mängd produktionsspecifik fjärrvärme:",Miljö!$B$1:$AC$1,0),FALSE)/1,0)</f>
        <v>0</v>
      </c>
      <c r="AI387" s="63">
        <f t="shared" si="30"/>
        <v>0</v>
      </c>
      <c r="AJ387" s="63" t="str">
        <f>IF(ISERROR(1/VLOOKUP($B387,Leveranser!$B$1:$S$500,MATCH("såld värme (gwh)",Leveranser!$B$1:$S$1,0),FALSE)),"",VLOOKUP($B387,Leveranser!$B$1:$S$500,MATCH("såld värme (gwh)",Leveranser!$B$1:$S$1,0),FALSE))</f>
        <v/>
      </c>
      <c r="AM387" s="63" t="str">
        <f>IF(B387&lt;&gt;"",IF(VLOOKUP($B387,Totalt!$B$1:$AQ$554,MATCH("Kvalitetsgranskad:",Totalt!$B$1:$AQ$1,0),FALSE)="ja",VLOOKUP($B387,Miljö!$B$1:$AG$479,MATCH(AM$2,Miljö!$B$1:$AK$1,0),FALSE),""),"")</f>
        <v/>
      </c>
      <c r="AN387" s="63" t="str">
        <f>IF(AM387="ja",VLOOKUP($B387,Miljö!$B$1:$J$479,MATCH("Typ av ursprungsspecificerad el   (Om inget värde anges används Nordisk residualmix, se inforuta) ()",Miljö!$B$1:$J$1,0),FALSE),IF(AM387="nej","Nordisk residualel",""))</f>
        <v/>
      </c>
      <c r="AO387" s="63" t="str">
        <f>IF(AM387="","",VLOOKUP($B387,Miljö!$B$1:$J$479,MATCH("Fossilandel för ursprungspecificerad el ()",Miljö!$B$1:$J$1,0),FALSE))</f>
        <v/>
      </c>
      <c r="AQ387" s="63" t="str">
        <f t="shared" si="31"/>
        <v/>
      </c>
      <c r="AS387" s="63" t="str">
        <f t="shared" si="32"/>
        <v>Nej</v>
      </c>
      <c r="AT387" s="63" t="str">
        <f>IF(AS387="ja",VLOOKUP($B387,Miljö!$B$1:$P$500,MATCH("Fossil andel i procent (%)",Miljö!$B$1:$P$1,0),FALSE)/100,"")</f>
        <v/>
      </c>
      <c r="AV387" s="63" t="str">
        <f t="shared" si="33"/>
        <v>Nej</v>
      </c>
      <c r="AW387" s="63" t="str">
        <f>IF(AV387="ja",VLOOKUP($B387,'Egen hetvattenprod'!$B$1:$AO$500,MATCH("Värmekälla till värmepumpar ()",'Egen hetvattenprod'!$B$1:$AO$1,0),FALSE),"")</f>
        <v/>
      </c>
      <c r="AY387" s="63" t="str">
        <f t="shared" si="34"/>
        <v>Nej</v>
      </c>
      <c r="AZ387" s="77" t="str">
        <f>IF($AY387="ja",(VLOOKUP($B387,'Egen hetvattenprod'!$B$1:$BX$550,MATCH(AZ$2,'Egen hetvattenprod'!$B$1:$BX$1,0),FALSE)+VLOOKUP($B387,Kraftvärmeprod!$B$1:$BX$550,MATCH(AZ$2,Kraftvärmeprod!$B$1:$BX$1,0),FALSE))/$AC387,"")</f>
        <v/>
      </c>
      <c r="BA387" s="77" t="str">
        <f>IF($AY387="ja",(VLOOKUP($B387,'Egen hetvattenprod'!$B$1:$BX$550,MATCH(BA$2,'Egen hetvattenprod'!$B$1:$BX$1,0),FALSE)+VLOOKUP($B387,Kraftvärmeprod!$B$1:$BX$550,MATCH(BA$2,Kraftvärmeprod!$B$1:$BX$1,0),FALSE))/$AC387,"")</f>
        <v/>
      </c>
      <c r="BB387" s="77" t="str">
        <f>IF($AY387="ja",(VLOOKUP($B387,'Egen hetvattenprod'!$B$1:$BX$550,MATCH(BB$2,'Egen hetvattenprod'!$B$1:$BX$1,0),FALSE)+VLOOKUP($B387,Kraftvärmeprod!$B$1:$BX$550,MATCH(BB$2,Kraftvärmeprod!$B$1:$BX$1,0),FALSE))/$AC387,"")</f>
        <v/>
      </c>
      <c r="BC387" s="77" t="str">
        <f>IF($AY387="ja",(VLOOKUP($B387,'Egen hetvattenprod'!$B$1:$BX$550,MATCH(BC$2,'Egen hetvattenprod'!$B$1:$BX$1,0),FALSE)+VLOOKUP($B387,Kraftvärmeprod!$B$1:$BX$550,MATCH(BC$2,Kraftvärmeprod!$B$1:$BX$1,0),FALSE))/$AC387,"")</f>
        <v/>
      </c>
      <c r="BD387" s="77" t="str">
        <f>IF($AY387="ja",(VLOOKUP($B387,'Egen hetvattenprod'!$B$1:$BX$550,MATCH(BD$2,'Egen hetvattenprod'!$B$1:$BX$1,0),FALSE)+VLOOKUP($B387,Kraftvärmeprod!$B$1:$BX$550,MATCH(BD$2,Kraftvärmeprod!$B$1:$BX$1,0),FALSE))/$AC387,"")</f>
        <v/>
      </c>
      <c r="BF387" s="63" t="str">
        <f t="shared" si="35"/>
        <v>Nej</v>
      </c>
      <c r="BG387" s="63" t="str">
        <f>IF($BF387="ja",VLOOKUP($B387,'Egen hetvattenprod'!$B$1:$BX$550,MATCH("Andelen klimatgaser med fossilt ursprung för avfall ()",'Egen hetvattenprod'!$B$1:$BX$1,0),FALSE),"")</f>
        <v/>
      </c>
      <c r="BH387" s="63" t="str">
        <f>IF($BF387="ja",VLOOKUP($B387,Kraftvärmeprod!$B$1:$BX$550,MATCH("Andelen klimatgaser med fossilt ursprung för avfall ()",Kraftvärmeprod!$B$1:$BX$1,0),FALSE),"")</f>
        <v/>
      </c>
      <c r="BI387" s="63" t="str">
        <f>IF($BF387="ja",VLOOKUP($B387,'Egen hetvattenprod'!$B$1:$BX$550,MATCH("Avfall (GWh)",'Egen hetvattenprod'!$B$1:$BX$1,0),FALSE),"")</f>
        <v/>
      </c>
      <c r="BJ387" s="63" t="str">
        <f>IF($BF387="ja",VLOOKUP($B387,'Slutlig allokering kvv'!$B$1:$BX$550,MATCH("Avfall (GWh)",'Slutlig allokering kvv'!$B$1:$BX$1,0),FALSE),"")</f>
        <v/>
      </c>
      <c r="BK387" s="63" t="str">
        <f>IF($BF387="ja",VLOOKUP($B387,'Köpt hetvatten'!$B$1:$BX$550,MATCH("Avfall i köpt hetvatten",'Köpt hetvatten'!$B$1:$BX$1,0),FALSE),"")</f>
        <v/>
      </c>
      <c r="BL387" s="63" t="str">
        <f>IF($BF387="ja",VLOOKUP($B387,'Egen hetvattenprod'!$B$1:$BX$550,MATCH("Värde enligt ovan. (%)",'Egen hetvattenprod'!$B$1:$BX$1,0),FALSE),"")</f>
        <v/>
      </c>
      <c r="BM387" s="63" t="str">
        <f>IF($BF387="ja",VLOOKUP($B387,Kraftvärmeprod!$B$1:$BX$550,MATCH("Värde enligt ovan. (%)",Kraftvärmeprod!$B$1:$BX$1,0),FALSE),"")</f>
        <v/>
      </c>
    </row>
    <row r="388" spans="1:65" x14ac:dyDescent="0.45">
      <c r="A388" s="63" t="s">
        <v>175</v>
      </c>
      <c r="B388" s="63" t="s">
        <v>180</v>
      </c>
      <c r="C388" s="63">
        <f>VLOOKUP($B388,'Tillförd energi'!$B$1:$AI$720,MATCH(C$2,'Tillförd energi'!$B$1:$AQ$1,0),FALSE)</f>
        <v>0</v>
      </c>
      <c r="D388" s="63">
        <f>VLOOKUP($B388,'Tillförd energi'!$B$1:$AI$720,MATCH(D$2,'Tillförd energi'!$B$1:$AQ$1,0),FALSE)</f>
        <v>0</v>
      </c>
      <c r="E388" s="63">
        <f>VLOOKUP($B388,'Tillförd energi'!$B$1:$AI$720,MATCH(E$2,'Tillförd energi'!$B$1:$AQ$1,0),FALSE)</f>
        <v>0</v>
      </c>
      <c r="F388" s="63">
        <f>VLOOKUP($B388,'Tillförd energi'!$B$1:$AI$720,MATCH(F$2,'Tillförd energi'!$B$1:$AQ$1,0),FALSE)</f>
        <v>0</v>
      </c>
      <c r="G388" s="63">
        <f>VLOOKUP($B388,'Tillförd energi'!$B$1:$AI$720,MATCH(G$2,'Tillförd energi'!$B$1:$AQ$1,0),FALSE)</f>
        <v>0</v>
      </c>
      <c r="H388" s="63">
        <f>VLOOKUP($B388,'Tillförd energi'!$B$1:$AI$720,MATCH(H$2,'Tillförd energi'!$B$1:$AQ$1,0),FALSE)</f>
        <v>0</v>
      </c>
      <c r="I388" s="63">
        <f>VLOOKUP($B388,'Tillförd energi'!$B$1:$AI$720,MATCH(I$2,'Tillförd energi'!$B$1:$AQ$1,0),FALSE)</f>
        <v>0</v>
      </c>
      <c r="J388" s="63">
        <f>VLOOKUP($B388,'Tillförd energi'!$B$1:$AI$720,MATCH(J$2,'Tillförd energi'!$B$1:$AQ$1,0),FALSE)</f>
        <v>0</v>
      </c>
      <c r="K388" s="63">
        <f>VLOOKUP($B388,'Tillförd energi'!$B$1:$AI$720,MATCH(K$2,'Tillförd energi'!$B$1:$AQ$1,0),FALSE)</f>
        <v>0</v>
      </c>
      <c r="L388" s="63">
        <f>VLOOKUP($B388,'Tillförd energi'!$B$1:$AI$720,MATCH(L$2,'Tillförd energi'!$B$1:$AQ$1,0),FALSE)</f>
        <v>0</v>
      </c>
      <c r="M388" s="63">
        <f>VLOOKUP($B388,'Tillförd energi'!$B$1:$AI$720,MATCH(M$2,'Tillförd energi'!$B$1:$AQ$1,0),FALSE)</f>
        <v>0</v>
      </c>
      <c r="N388" s="63">
        <f>VLOOKUP($B388,'Tillförd energi'!$B$1:$AI$720,MATCH(N$2,'Tillförd energi'!$B$1:$AQ$1,0),FALSE)</f>
        <v>0</v>
      </c>
      <c r="O388" s="63">
        <f>VLOOKUP($B388,'Tillförd energi'!$B$1:$AI$720,MATCH(O$2,'Tillförd energi'!$B$1:$AQ$1,0),FALSE)</f>
        <v>0</v>
      </c>
      <c r="P388" s="63">
        <f>VLOOKUP($B388,'Tillförd energi'!$B$1:$AI$720,MATCH(P$2,'Tillförd energi'!$B$1:$AQ$1,0),FALSE)</f>
        <v>13.518000000000001</v>
      </c>
      <c r="Q388" s="63">
        <f>VLOOKUP($B388,'Tillförd energi'!$B$1:$AI$720,MATCH(Q$2,'Tillförd energi'!$B$1:$AQ$1,0),FALSE)</f>
        <v>0</v>
      </c>
      <c r="R388" s="63">
        <f>VLOOKUP($B388,'Tillförd energi'!$B$1:$AI$720,MATCH(R$2,'Tillförd energi'!$B$1:$AQ$1,0),FALSE)</f>
        <v>4.0330000000000004</v>
      </c>
      <c r="S388" s="63">
        <f>VLOOKUP($B388,'Tillförd energi'!$B$1:$AI$720,MATCH(S$2,'Tillförd energi'!$B$1:$AQ$1,0),FALSE)</f>
        <v>0</v>
      </c>
      <c r="T388" s="63">
        <f>VLOOKUP($B388,'Tillförd energi'!$B$1:$AI$720,MATCH(T$2,'Tillförd energi'!$B$1:$AQ$1,0),FALSE)</f>
        <v>0</v>
      </c>
      <c r="U388" s="63">
        <f>VLOOKUP($B388,'Tillförd energi'!$B$1:$AI$720,MATCH(U$2,'Tillförd energi'!$B$1:$AQ$1,0),FALSE)</f>
        <v>0</v>
      </c>
      <c r="V388" s="63">
        <f>VLOOKUP($B388,'Tillförd energi'!$B$1:$AI$720,MATCH(V$2,'Tillförd energi'!$B$1:$AQ$1,0),FALSE)</f>
        <v>0</v>
      </c>
      <c r="W388" s="63">
        <f>VLOOKUP($B388,'Tillförd energi'!$B$1:$AI$720,MATCH(W$2,'Tillförd energi'!$B$1:$AQ$1,0),FALSE)</f>
        <v>0.88600000000000001</v>
      </c>
      <c r="X388" s="63">
        <f>VLOOKUP($B388,'Tillförd energi'!$B$1:$AI$720,MATCH(X$2,'Tillförd energi'!$B$1:$AQ$1,0),FALSE)</f>
        <v>0</v>
      </c>
      <c r="Y388" s="63">
        <f>VLOOKUP($B388,'Tillförd energi'!$B$1:$AI$720,MATCH(Y$2,'Tillförd energi'!$B$1:$AQ$1,0),FALSE)</f>
        <v>0</v>
      </c>
      <c r="Z388" s="63">
        <f>VLOOKUP($B388,'Tillförd energi'!$B$1:$AI$720,MATCH(Z$2,'Tillförd energi'!$B$1:$AQ$1,0),FALSE)</f>
        <v>0</v>
      </c>
      <c r="AA388" s="63">
        <f>VLOOKUP($B388,'Tillförd energi'!$B$1:$AI$720,MATCH(AA$2,'Tillförd energi'!$B$1:$AQ$1,0),FALSE)</f>
        <v>0</v>
      </c>
      <c r="AB388" s="63">
        <f>VLOOKUP($B388,'Tillförd energi'!$B$1:$AI$720,MATCH(AB$2,'Tillförd energi'!$B$1:$AQ$1,0),FALSE)</f>
        <v>0</v>
      </c>
      <c r="AC388" s="63">
        <f>VLOOKUP($B388,'Tillförd energi'!$B$1:$AI$720,MATCH(AC$2,'Tillförd energi'!$B$1:$AQ$1,0),FALSE)</f>
        <v>0</v>
      </c>
      <c r="AD388" s="63">
        <f>VLOOKUP($B388,'Tillförd energi'!$B$1:$AI$720,MATCH(AD$2,'Tillförd energi'!$B$1:$AQ$1,0),FALSE)</f>
        <v>0</v>
      </c>
      <c r="AE388" s="63">
        <f>VLOOKUP($B388,'Tillförd energi'!$B$1:$AI$720,MATCH(AE$2,'Tillförd energi'!$B$1:$AQ$1,0),FALSE)</f>
        <v>0</v>
      </c>
      <c r="AF388" s="63">
        <f>VLOOKUP($B388,'Tillförd energi'!$B$1:$AI$720,MATCH(AF$2,'Tillförd energi'!$B$1:$AQ$1,0),FALSE)</f>
        <v>0.26</v>
      </c>
      <c r="AG388" s="63">
        <f>IFERROR(VLOOKUP(B388,Miljö!$B$1:$AC$550,MATCH("Köpt mängd produktionsspecifik fjärrvärme:",Miljö!$B$1:$AC$1,0),FALSE)/1,0)</f>
        <v>0</v>
      </c>
      <c r="AI388" s="63">
        <f t="shared" ref="AI388:AI409" si="36">IF(B388&lt;&gt;"",SUM(C388:AG388),"")</f>
        <v>18.697000000000003</v>
      </c>
      <c r="AJ388" s="63">
        <f>IF(ISERROR(1/VLOOKUP($B388,Leveranser!$B$1:$S$500,MATCH("såld värme (gwh)",Leveranser!$B$1:$S$1,0),FALSE)),"",VLOOKUP($B388,Leveranser!$B$1:$S$500,MATCH("såld värme (gwh)",Leveranser!$B$1:$S$1,0),FALSE))</f>
        <v>12.743</v>
      </c>
      <c r="AM388" s="63" t="str">
        <f>IF(B388&lt;&gt;"",IF(VLOOKUP($B388,Totalt!$B$1:$AQ$554,MATCH("Kvalitetsgranskad:",Totalt!$B$1:$AQ$1,0),FALSE)="ja",VLOOKUP($B388,Miljö!$B$1:$AG$479,MATCH(AM$2,Miljö!$B$1:$AK$1,0),FALSE),""),"")</f>
        <v>Ja</v>
      </c>
      <c r="AN388" s="63" t="str">
        <f>IF(AM388="ja",VLOOKUP($B388,Miljö!$B$1:$J$479,MATCH("Typ av ursprungsspecificerad el   (Om inget värde anges används Nordisk residualmix, se inforuta) ()",Miljö!$B$1:$J$1,0),FALSE),IF(AM388="nej","Nordisk residualel",""))</f>
        <v>'"Bra miljöval"'</v>
      </c>
      <c r="AO388" s="63">
        <f>IF(AM388="","",VLOOKUP($B388,Miljö!$B$1:$J$479,MATCH("Fossilandel för ursprungspecificerad el ()",Miljö!$B$1:$J$1,0),FALSE))</f>
        <v>0</v>
      </c>
      <c r="AQ388" s="63">
        <f t="shared" ref="AQ388:AQ409" si="37">IF(AM388="","",1-AO388-AP388)</f>
        <v>1</v>
      </c>
      <c r="AS388" s="63" t="str">
        <f t="shared" ref="AS388:AS409" si="38">IF(B388&lt;&gt;"",IF(AND(AG388&gt;0,AG388&lt;&gt;""),"Ja","Nej"),"")</f>
        <v>Nej</v>
      </c>
      <c r="AT388" s="63" t="str">
        <f>IF(AS388="ja",VLOOKUP($B388,Miljö!$B$1:$P$500,MATCH("Fossil andel i procent (%)",Miljö!$B$1:$P$1,0),FALSE)/100,"")</f>
        <v/>
      </c>
      <c r="AV388" s="63" t="str">
        <f t="shared" ref="AV388:AV409" si="39">IF(B388&lt;&gt;"",IF(AND(AB388&gt;0,AB388&lt;&gt;""),"Ja","Nej"),"")</f>
        <v>Nej</v>
      </c>
      <c r="AW388" s="63" t="str">
        <f>IF(AV388="ja",VLOOKUP($B388,'Egen hetvattenprod'!$B$1:$AO$500,MATCH("Värmekälla till värmepumpar ()",'Egen hetvattenprod'!$B$1:$AO$1,0),FALSE),"")</f>
        <v/>
      </c>
      <c r="AY388" s="63" t="str">
        <f t="shared" ref="AY388:AY409" si="40">IF(B388&lt;&gt;"",IF(AND(AC388&gt;0,AC388&lt;&gt;""),"Ja","Nej"),"")</f>
        <v>Nej</v>
      </c>
      <c r="AZ388" s="77" t="str">
        <f>IF($AY388="ja",(VLOOKUP($B388,'Egen hetvattenprod'!$B$1:$BX$550,MATCH(AZ$2,'Egen hetvattenprod'!$B$1:$BX$1,0),FALSE)+VLOOKUP($B388,Kraftvärmeprod!$B$1:$BX$550,MATCH(AZ$2,Kraftvärmeprod!$B$1:$BX$1,0),FALSE))/$AC388,"")</f>
        <v/>
      </c>
      <c r="BA388" s="77" t="str">
        <f>IF($AY388="ja",(VLOOKUP($B388,'Egen hetvattenprod'!$B$1:$BX$550,MATCH(BA$2,'Egen hetvattenprod'!$B$1:$BX$1,0),FALSE)+VLOOKUP($B388,Kraftvärmeprod!$B$1:$BX$550,MATCH(BA$2,Kraftvärmeprod!$B$1:$BX$1,0),FALSE))/$AC388,"")</f>
        <v/>
      </c>
      <c r="BB388" s="77" t="str">
        <f>IF($AY388="ja",(VLOOKUP($B388,'Egen hetvattenprod'!$B$1:$BX$550,MATCH(BB$2,'Egen hetvattenprod'!$B$1:$BX$1,0),FALSE)+VLOOKUP($B388,Kraftvärmeprod!$B$1:$BX$550,MATCH(BB$2,Kraftvärmeprod!$B$1:$BX$1,0),FALSE))/$AC388,"")</f>
        <v/>
      </c>
      <c r="BC388" s="77" t="str">
        <f>IF($AY388="ja",(VLOOKUP($B388,'Egen hetvattenprod'!$B$1:$BX$550,MATCH(BC$2,'Egen hetvattenprod'!$B$1:$BX$1,0),FALSE)+VLOOKUP($B388,Kraftvärmeprod!$B$1:$BX$550,MATCH(BC$2,Kraftvärmeprod!$B$1:$BX$1,0),FALSE))/$AC388,"")</f>
        <v/>
      </c>
      <c r="BD388" s="77" t="str">
        <f>IF($AY388="ja",(VLOOKUP($B388,'Egen hetvattenprod'!$B$1:$BX$550,MATCH(BD$2,'Egen hetvattenprod'!$B$1:$BX$1,0),FALSE)+VLOOKUP($B388,Kraftvärmeprod!$B$1:$BX$550,MATCH(BD$2,Kraftvärmeprod!$B$1:$BX$1,0),FALSE))/$AC388,"")</f>
        <v/>
      </c>
      <c r="BF388" s="63" t="str">
        <f t="shared" ref="BF388:BF409" si="41">IF(B388&lt;&gt;"",IF(AND(I388&gt;0,I388&lt;&gt;""),"Ja","Nej"),"")</f>
        <v>Nej</v>
      </c>
      <c r="BG388" s="63" t="str">
        <f>IF($BF388="ja",VLOOKUP($B388,'Egen hetvattenprod'!$B$1:$BX$550,MATCH("Andelen klimatgaser med fossilt ursprung för avfall ()",'Egen hetvattenprod'!$B$1:$BX$1,0),FALSE),"")</f>
        <v/>
      </c>
      <c r="BH388" s="63" t="str">
        <f>IF($BF388="ja",VLOOKUP($B388,Kraftvärmeprod!$B$1:$BX$550,MATCH("Andelen klimatgaser med fossilt ursprung för avfall ()",Kraftvärmeprod!$B$1:$BX$1,0),FALSE),"")</f>
        <v/>
      </c>
      <c r="BI388" s="63" t="str">
        <f>IF($BF388="ja",VLOOKUP($B388,'Egen hetvattenprod'!$B$1:$BX$550,MATCH("Avfall (GWh)",'Egen hetvattenprod'!$B$1:$BX$1,0),FALSE),"")</f>
        <v/>
      </c>
      <c r="BJ388" s="63" t="str">
        <f>IF($BF388="ja",VLOOKUP($B388,'Slutlig allokering kvv'!$B$1:$BX$550,MATCH("Avfall (GWh)",'Slutlig allokering kvv'!$B$1:$BX$1,0),FALSE),"")</f>
        <v/>
      </c>
      <c r="BK388" s="63" t="str">
        <f>IF($BF388="ja",VLOOKUP($B388,'Köpt hetvatten'!$B$1:$BX$550,MATCH("Avfall i köpt hetvatten",'Köpt hetvatten'!$B$1:$BX$1,0),FALSE),"")</f>
        <v/>
      </c>
      <c r="BL388" s="63" t="str">
        <f>IF($BF388="ja",VLOOKUP($B388,'Egen hetvattenprod'!$B$1:$BX$550,MATCH("Värde enligt ovan. (%)",'Egen hetvattenprod'!$B$1:$BX$1,0),FALSE),"")</f>
        <v/>
      </c>
      <c r="BM388" s="63" t="str">
        <f>IF($BF388="ja",VLOOKUP($B388,Kraftvärmeprod!$B$1:$BX$550,MATCH("Värde enligt ovan. (%)",Kraftvärmeprod!$B$1:$BX$1,0),FALSE),"")</f>
        <v/>
      </c>
    </row>
    <row r="389" spans="1:65" x14ac:dyDescent="0.45">
      <c r="A389" s="63" t="s">
        <v>175</v>
      </c>
      <c r="B389" s="63" t="s">
        <v>179</v>
      </c>
      <c r="C389" s="63">
        <f>VLOOKUP($B389,'Tillförd energi'!$B$1:$AI$720,MATCH(C$2,'Tillförd energi'!$B$1:$AQ$1,0),FALSE)</f>
        <v>0</v>
      </c>
      <c r="D389" s="63">
        <f>VLOOKUP($B389,'Tillförd energi'!$B$1:$AI$720,MATCH(D$2,'Tillförd energi'!$B$1:$AQ$1,0),FALSE)</f>
        <v>0</v>
      </c>
      <c r="E389" s="63">
        <f>VLOOKUP($B389,'Tillförd energi'!$B$1:$AI$720,MATCH(E$2,'Tillförd energi'!$B$1:$AQ$1,0),FALSE)</f>
        <v>0</v>
      </c>
      <c r="F389" s="63">
        <f>VLOOKUP($B389,'Tillförd energi'!$B$1:$AI$720,MATCH(F$2,'Tillförd energi'!$B$1:$AQ$1,0),FALSE)</f>
        <v>0</v>
      </c>
      <c r="G389" s="63">
        <f>VLOOKUP($B389,'Tillförd energi'!$B$1:$AI$720,MATCH(G$2,'Tillförd energi'!$B$1:$AQ$1,0),FALSE)</f>
        <v>0</v>
      </c>
      <c r="H389" s="63">
        <f>VLOOKUP($B389,'Tillförd energi'!$B$1:$AI$720,MATCH(H$2,'Tillförd energi'!$B$1:$AQ$1,0),FALSE)</f>
        <v>0</v>
      </c>
      <c r="I389" s="63">
        <f>VLOOKUP($B389,'Tillförd energi'!$B$1:$AI$720,MATCH(I$2,'Tillförd energi'!$B$1:$AQ$1,0),FALSE)</f>
        <v>0</v>
      </c>
      <c r="J389" s="63">
        <f>VLOOKUP($B389,'Tillförd energi'!$B$1:$AI$720,MATCH(J$2,'Tillförd energi'!$B$1:$AQ$1,0),FALSE)</f>
        <v>0</v>
      </c>
      <c r="K389" s="63">
        <f>VLOOKUP($B389,'Tillförd energi'!$B$1:$AI$720,MATCH(K$2,'Tillförd energi'!$B$1:$AQ$1,0),FALSE)</f>
        <v>0</v>
      </c>
      <c r="L389" s="63">
        <f>VLOOKUP($B389,'Tillförd energi'!$B$1:$AI$720,MATCH(L$2,'Tillförd energi'!$B$1:$AQ$1,0),FALSE)</f>
        <v>0</v>
      </c>
      <c r="M389" s="63">
        <f>VLOOKUP($B389,'Tillförd energi'!$B$1:$AI$720,MATCH(M$2,'Tillförd energi'!$B$1:$AQ$1,0),FALSE)</f>
        <v>0</v>
      </c>
      <c r="N389" s="63">
        <f>VLOOKUP($B389,'Tillförd energi'!$B$1:$AI$720,MATCH(N$2,'Tillförd energi'!$B$1:$AQ$1,0),FALSE)</f>
        <v>0</v>
      </c>
      <c r="O389" s="63">
        <f>VLOOKUP($B389,'Tillförd energi'!$B$1:$AI$720,MATCH(O$2,'Tillförd energi'!$B$1:$AQ$1,0),FALSE)</f>
        <v>0</v>
      </c>
      <c r="P389" s="63">
        <f>VLOOKUP($B389,'Tillförd energi'!$B$1:$AI$720,MATCH(P$2,'Tillförd energi'!$B$1:$AQ$1,0),FALSE)</f>
        <v>6.8650000000000002</v>
      </c>
      <c r="Q389" s="63">
        <f>VLOOKUP($B389,'Tillförd energi'!$B$1:$AI$720,MATCH(Q$2,'Tillförd energi'!$B$1:$AQ$1,0),FALSE)</f>
        <v>0</v>
      </c>
      <c r="R389" s="63">
        <f>VLOOKUP($B389,'Tillförd energi'!$B$1:$AI$720,MATCH(R$2,'Tillförd energi'!$B$1:$AQ$1,0),FALSE)</f>
        <v>3.3380000000000001</v>
      </c>
      <c r="S389" s="63">
        <f>VLOOKUP($B389,'Tillförd energi'!$B$1:$AI$720,MATCH(S$2,'Tillförd energi'!$B$1:$AQ$1,0),FALSE)</f>
        <v>0</v>
      </c>
      <c r="T389" s="63">
        <f>VLOOKUP($B389,'Tillförd energi'!$B$1:$AI$720,MATCH(T$2,'Tillförd energi'!$B$1:$AQ$1,0),FALSE)</f>
        <v>0</v>
      </c>
      <c r="U389" s="63">
        <f>VLOOKUP($B389,'Tillförd energi'!$B$1:$AI$720,MATCH(U$2,'Tillförd energi'!$B$1:$AQ$1,0),FALSE)</f>
        <v>0</v>
      </c>
      <c r="V389" s="63">
        <f>VLOOKUP($B389,'Tillförd energi'!$B$1:$AI$720,MATCH(V$2,'Tillförd energi'!$B$1:$AQ$1,0),FALSE)</f>
        <v>0</v>
      </c>
      <c r="W389" s="63">
        <f>VLOOKUP($B389,'Tillförd energi'!$B$1:$AI$720,MATCH(W$2,'Tillförd energi'!$B$1:$AQ$1,0),FALSE)</f>
        <v>0.98</v>
      </c>
      <c r="X389" s="63">
        <f>VLOOKUP($B389,'Tillförd energi'!$B$1:$AI$720,MATCH(X$2,'Tillförd energi'!$B$1:$AQ$1,0),FALSE)</f>
        <v>0</v>
      </c>
      <c r="Y389" s="63">
        <f>VLOOKUP($B389,'Tillförd energi'!$B$1:$AI$720,MATCH(Y$2,'Tillförd energi'!$B$1:$AQ$1,0),FALSE)</f>
        <v>0</v>
      </c>
      <c r="Z389" s="63">
        <f>VLOOKUP($B389,'Tillförd energi'!$B$1:$AI$720,MATCH(Z$2,'Tillförd energi'!$B$1:$AQ$1,0),FALSE)</f>
        <v>0</v>
      </c>
      <c r="AA389" s="63">
        <f>VLOOKUP($B389,'Tillförd energi'!$B$1:$AI$720,MATCH(AA$2,'Tillförd energi'!$B$1:$AQ$1,0),FALSE)</f>
        <v>0</v>
      </c>
      <c r="AB389" s="63">
        <f>VLOOKUP($B389,'Tillförd energi'!$B$1:$AI$720,MATCH(AB$2,'Tillförd energi'!$B$1:$AQ$1,0),FALSE)</f>
        <v>0</v>
      </c>
      <c r="AC389" s="63">
        <f>VLOOKUP($B389,'Tillförd energi'!$B$1:$AI$720,MATCH(AC$2,'Tillförd energi'!$B$1:$AQ$1,0),FALSE)</f>
        <v>0</v>
      </c>
      <c r="AD389" s="63">
        <f>VLOOKUP($B389,'Tillförd energi'!$B$1:$AI$720,MATCH(AD$2,'Tillförd energi'!$B$1:$AQ$1,0),FALSE)</f>
        <v>0</v>
      </c>
      <c r="AE389" s="63">
        <f>VLOOKUP($B389,'Tillförd energi'!$B$1:$AI$720,MATCH(AE$2,'Tillförd energi'!$B$1:$AQ$1,0),FALSE)</f>
        <v>0</v>
      </c>
      <c r="AF389" s="63">
        <f>VLOOKUP($B389,'Tillförd energi'!$B$1:$AI$720,MATCH(AF$2,'Tillförd energi'!$B$1:$AQ$1,0),FALSE)</f>
        <v>0.2</v>
      </c>
      <c r="AG389" s="63">
        <f>IFERROR(VLOOKUP(B389,Miljö!$B$1:$AC$550,MATCH("Köpt mängd produktionsspecifik fjärrvärme:",Miljö!$B$1:$AC$1,0),FALSE)/1,0)</f>
        <v>0</v>
      </c>
      <c r="AI389" s="63">
        <f t="shared" si="36"/>
        <v>11.382999999999999</v>
      </c>
      <c r="AJ389" s="63">
        <f>IF(ISERROR(1/VLOOKUP($B389,Leveranser!$B$1:$S$500,MATCH("såld värme (gwh)",Leveranser!$B$1:$S$1,0),FALSE)),"",VLOOKUP($B389,Leveranser!$B$1:$S$500,MATCH("såld värme (gwh)",Leveranser!$B$1:$S$1,0),FALSE))</f>
        <v>7.5730000000000004</v>
      </c>
      <c r="AM389" s="63" t="str">
        <f>IF(B389&lt;&gt;"",IF(VLOOKUP($B389,Totalt!$B$1:$AQ$554,MATCH("Kvalitetsgranskad:",Totalt!$B$1:$AQ$1,0),FALSE)="ja",VLOOKUP($B389,Miljö!$B$1:$AG$479,MATCH(AM$2,Miljö!$B$1:$AK$1,0),FALSE),""),"")</f>
        <v>Ja</v>
      </c>
      <c r="AN389" s="63" t="str">
        <f>IF(AM389="ja",VLOOKUP($B389,Miljö!$B$1:$J$479,MATCH("Typ av ursprungsspecificerad el   (Om inget värde anges används Nordisk residualmix, se inforuta) ()",Miljö!$B$1:$J$1,0),FALSE),IF(AM389="nej","Nordisk residualel",""))</f>
        <v>'"Bra miljöval"'</v>
      </c>
      <c r="AO389" s="63">
        <f>IF(AM389="","",VLOOKUP($B389,Miljö!$B$1:$J$479,MATCH("Fossilandel för ursprungspecificerad el ()",Miljö!$B$1:$J$1,0),FALSE))</f>
        <v>0</v>
      </c>
      <c r="AQ389" s="63">
        <f t="shared" si="37"/>
        <v>1</v>
      </c>
      <c r="AS389" s="63" t="str">
        <f t="shared" si="38"/>
        <v>Nej</v>
      </c>
      <c r="AT389" s="63" t="str">
        <f>IF(AS389="ja",VLOOKUP($B389,Miljö!$B$1:$P$500,MATCH("Fossil andel i procent (%)",Miljö!$B$1:$P$1,0),FALSE)/100,"")</f>
        <v/>
      </c>
      <c r="AV389" s="63" t="str">
        <f t="shared" si="39"/>
        <v>Nej</v>
      </c>
      <c r="AW389" s="63" t="str">
        <f>IF(AV389="ja",VLOOKUP($B389,'Egen hetvattenprod'!$B$1:$AO$500,MATCH("Värmekälla till värmepumpar ()",'Egen hetvattenprod'!$B$1:$AO$1,0),FALSE),"")</f>
        <v/>
      </c>
      <c r="AY389" s="63" t="str">
        <f t="shared" si="40"/>
        <v>Nej</v>
      </c>
      <c r="AZ389" s="77" t="str">
        <f>IF($AY389="ja",(VLOOKUP($B389,'Egen hetvattenprod'!$B$1:$BX$550,MATCH(AZ$2,'Egen hetvattenprod'!$B$1:$BX$1,0),FALSE)+VLOOKUP($B389,Kraftvärmeprod!$B$1:$BX$550,MATCH(AZ$2,Kraftvärmeprod!$B$1:$BX$1,0),FALSE))/$AC389,"")</f>
        <v/>
      </c>
      <c r="BA389" s="77" t="str">
        <f>IF($AY389="ja",(VLOOKUP($B389,'Egen hetvattenprod'!$B$1:$BX$550,MATCH(BA$2,'Egen hetvattenprod'!$B$1:$BX$1,0),FALSE)+VLOOKUP($B389,Kraftvärmeprod!$B$1:$BX$550,MATCH(BA$2,Kraftvärmeprod!$B$1:$BX$1,0),FALSE))/$AC389,"")</f>
        <v/>
      </c>
      <c r="BB389" s="77" t="str">
        <f>IF($AY389="ja",(VLOOKUP($B389,'Egen hetvattenprod'!$B$1:$BX$550,MATCH(BB$2,'Egen hetvattenprod'!$B$1:$BX$1,0),FALSE)+VLOOKUP($B389,Kraftvärmeprod!$B$1:$BX$550,MATCH(BB$2,Kraftvärmeprod!$B$1:$BX$1,0),FALSE))/$AC389,"")</f>
        <v/>
      </c>
      <c r="BC389" s="77" t="str">
        <f>IF($AY389="ja",(VLOOKUP($B389,'Egen hetvattenprod'!$B$1:$BX$550,MATCH(BC$2,'Egen hetvattenprod'!$B$1:$BX$1,0),FALSE)+VLOOKUP($B389,Kraftvärmeprod!$B$1:$BX$550,MATCH(BC$2,Kraftvärmeprod!$B$1:$BX$1,0),FALSE))/$AC389,"")</f>
        <v/>
      </c>
      <c r="BD389" s="77" t="str">
        <f>IF($AY389="ja",(VLOOKUP($B389,'Egen hetvattenprod'!$B$1:$BX$550,MATCH(BD$2,'Egen hetvattenprod'!$B$1:$BX$1,0),FALSE)+VLOOKUP($B389,Kraftvärmeprod!$B$1:$BX$550,MATCH(BD$2,Kraftvärmeprod!$B$1:$BX$1,0),FALSE))/$AC389,"")</f>
        <v/>
      </c>
      <c r="BF389" s="63" t="str">
        <f t="shared" si="41"/>
        <v>Nej</v>
      </c>
      <c r="BG389" s="63" t="str">
        <f>IF($BF389="ja",VLOOKUP($B389,'Egen hetvattenprod'!$B$1:$BX$550,MATCH("Andelen klimatgaser med fossilt ursprung för avfall ()",'Egen hetvattenprod'!$B$1:$BX$1,0),FALSE),"")</f>
        <v/>
      </c>
      <c r="BH389" s="63" t="str">
        <f>IF($BF389="ja",VLOOKUP($B389,Kraftvärmeprod!$B$1:$BX$550,MATCH("Andelen klimatgaser med fossilt ursprung för avfall ()",Kraftvärmeprod!$B$1:$BX$1,0),FALSE),"")</f>
        <v/>
      </c>
      <c r="BI389" s="63" t="str">
        <f>IF($BF389="ja",VLOOKUP($B389,'Egen hetvattenprod'!$B$1:$BX$550,MATCH("Avfall (GWh)",'Egen hetvattenprod'!$B$1:$BX$1,0),FALSE),"")</f>
        <v/>
      </c>
      <c r="BJ389" s="63" t="str">
        <f>IF($BF389="ja",VLOOKUP($B389,'Slutlig allokering kvv'!$B$1:$BX$550,MATCH("Avfall (GWh)",'Slutlig allokering kvv'!$B$1:$BX$1,0),FALSE),"")</f>
        <v/>
      </c>
      <c r="BK389" s="63" t="str">
        <f>IF($BF389="ja",VLOOKUP($B389,'Köpt hetvatten'!$B$1:$BX$550,MATCH("Avfall i köpt hetvatten",'Köpt hetvatten'!$B$1:$BX$1,0),FALSE),"")</f>
        <v/>
      </c>
      <c r="BL389" s="63" t="str">
        <f>IF($BF389="ja",VLOOKUP($B389,'Egen hetvattenprod'!$B$1:$BX$550,MATCH("Värde enligt ovan. (%)",'Egen hetvattenprod'!$B$1:$BX$1,0),FALSE),"")</f>
        <v/>
      </c>
      <c r="BM389" s="63" t="str">
        <f>IF($BF389="ja",VLOOKUP($B389,Kraftvärmeprod!$B$1:$BX$550,MATCH("Värde enligt ovan. (%)",Kraftvärmeprod!$B$1:$BX$1,0),FALSE),"")</f>
        <v/>
      </c>
    </row>
    <row r="390" spans="1:65" x14ac:dyDescent="0.45">
      <c r="A390" s="63" t="s">
        <v>175</v>
      </c>
      <c r="B390" s="63" t="s">
        <v>178</v>
      </c>
      <c r="C390" s="63">
        <f>VLOOKUP($B390,'Tillförd energi'!$B$1:$AI$720,MATCH(C$2,'Tillförd energi'!$B$1:$AQ$1,0),FALSE)</f>
        <v>0</v>
      </c>
      <c r="D390" s="63">
        <f>VLOOKUP($B390,'Tillförd energi'!$B$1:$AI$720,MATCH(D$2,'Tillförd energi'!$B$1:$AQ$1,0),FALSE)</f>
        <v>0</v>
      </c>
      <c r="E390" s="63">
        <f>VLOOKUP($B390,'Tillförd energi'!$B$1:$AI$720,MATCH(E$2,'Tillförd energi'!$B$1:$AQ$1,0),FALSE)</f>
        <v>0</v>
      </c>
      <c r="F390" s="63">
        <f>VLOOKUP($B390,'Tillförd energi'!$B$1:$AI$720,MATCH(F$2,'Tillförd energi'!$B$1:$AQ$1,0),FALSE)</f>
        <v>0</v>
      </c>
      <c r="G390" s="63">
        <f>VLOOKUP($B390,'Tillförd energi'!$B$1:$AI$720,MATCH(G$2,'Tillförd energi'!$B$1:$AQ$1,0),FALSE)</f>
        <v>0</v>
      </c>
      <c r="H390" s="63">
        <f>VLOOKUP($B390,'Tillförd energi'!$B$1:$AI$720,MATCH(H$2,'Tillförd energi'!$B$1:$AQ$1,0),FALSE)</f>
        <v>0</v>
      </c>
      <c r="I390" s="63">
        <f>VLOOKUP($B390,'Tillförd energi'!$B$1:$AI$720,MATCH(I$2,'Tillförd energi'!$B$1:$AQ$1,0),FALSE)</f>
        <v>0</v>
      </c>
      <c r="J390" s="63">
        <f>VLOOKUP($B390,'Tillförd energi'!$B$1:$AI$720,MATCH(J$2,'Tillförd energi'!$B$1:$AQ$1,0),FALSE)</f>
        <v>0</v>
      </c>
      <c r="K390" s="63">
        <f>VLOOKUP($B390,'Tillförd energi'!$B$1:$AI$720,MATCH(K$2,'Tillförd energi'!$B$1:$AQ$1,0),FALSE)</f>
        <v>0</v>
      </c>
      <c r="L390" s="63">
        <f>VLOOKUP($B390,'Tillförd energi'!$B$1:$AI$720,MATCH(L$2,'Tillförd energi'!$B$1:$AQ$1,0),FALSE)</f>
        <v>0</v>
      </c>
      <c r="M390" s="63">
        <f>VLOOKUP($B390,'Tillförd energi'!$B$1:$AI$720,MATCH(M$2,'Tillförd energi'!$B$1:$AQ$1,0),FALSE)</f>
        <v>0</v>
      </c>
      <c r="N390" s="63">
        <f>VLOOKUP($B390,'Tillförd energi'!$B$1:$AI$720,MATCH(N$2,'Tillförd energi'!$B$1:$AQ$1,0),FALSE)</f>
        <v>0</v>
      </c>
      <c r="O390" s="63">
        <f>VLOOKUP($B390,'Tillförd energi'!$B$1:$AI$720,MATCH(O$2,'Tillförd energi'!$B$1:$AQ$1,0),FALSE)</f>
        <v>0</v>
      </c>
      <c r="P390" s="63">
        <f>VLOOKUP($B390,'Tillförd energi'!$B$1:$AI$720,MATCH(P$2,'Tillförd energi'!$B$1:$AQ$1,0),FALSE)</f>
        <v>13.128</v>
      </c>
      <c r="Q390" s="63">
        <f>VLOOKUP($B390,'Tillförd energi'!$B$1:$AI$720,MATCH(Q$2,'Tillförd energi'!$B$1:$AQ$1,0),FALSE)</f>
        <v>0</v>
      </c>
      <c r="R390" s="63">
        <f>VLOOKUP($B390,'Tillförd energi'!$B$1:$AI$720,MATCH(R$2,'Tillförd energi'!$B$1:$AQ$1,0),FALSE)</f>
        <v>0</v>
      </c>
      <c r="S390" s="63">
        <f>VLOOKUP($B390,'Tillförd energi'!$B$1:$AI$720,MATCH(S$2,'Tillförd energi'!$B$1:$AQ$1,0),FALSE)</f>
        <v>0</v>
      </c>
      <c r="T390" s="63">
        <f>VLOOKUP($B390,'Tillförd energi'!$B$1:$AI$720,MATCH(T$2,'Tillförd energi'!$B$1:$AQ$1,0),FALSE)</f>
        <v>0</v>
      </c>
      <c r="U390" s="63">
        <f>VLOOKUP($B390,'Tillförd energi'!$B$1:$AI$720,MATCH(U$2,'Tillförd energi'!$B$1:$AQ$1,0),FALSE)</f>
        <v>0</v>
      </c>
      <c r="V390" s="63">
        <f>VLOOKUP($B390,'Tillförd energi'!$B$1:$AI$720,MATCH(V$2,'Tillförd energi'!$B$1:$AQ$1,0),FALSE)</f>
        <v>0</v>
      </c>
      <c r="W390" s="63">
        <f>VLOOKUP($B390,'Tillförd energi'!$B$1:$AI$720,MATCH(W$2,'Tillförd energi'!$B$1:$AQ$1,0),FALSE)</f>
        <v>0.95399999999999996</v>
      </c>
      <c r="X390" s="63">
        <f>VLOOKUP($B390,'Tillförd energi'!$B$1:$AI$720,MATCH(X$2,'Tillförd energi'!$B$1:$AQ$1,0),FALSE)</f>
        <v>0</v>
      </c>
      <c r="Y390" s="63">
        <f>VLOOKUP($B390,'Tillförd energi'!$B$1:$AI$720,MATCH(Y$2,'Tillförd energi'!$B$1:$AQ$1,0),FALSE)</f>
        <v>0</v>
      </c>
      <c r="Z390" s="63">
        <f>VLOOKUP($B390,'Tillförd energi'!$B$1:$AI$720,MATCH(Z$2,'Tillförd energi'!$B$1:$AQ$1,0),FALSE)</f>
        <v>0</v>
      </c>
      <c r="AA390" s="63">
        <f>VLOOKUP($B390,'Tillförd energi'!$B$1:$AI$720,MATCH(AA$2,'Tillförd energi'!$B$1:$AQ$1,0),FALSE)</f>
        <v>0</v>
      </c>
      <c r="AB390" s="63">
        <f>VLOOKUP($B390,'Tillförd energi'!$B$1:$AI$720,MATCH(AB$2,'Tillförd energi'!$B$1:$AQ$1,0),FALSE)</f>
        <v>0</v>
      </c>
      <c r="AC390" s="63">
        <f>VLOOKUP($B390,'Tillförd energi'!$B$1:$AI$720,MATCH(AC$2,'Tillförd energi'!$B$1:$AQ$1,0),FALSE)</f>
        <v>0</v>
      </c>
      <c r="AD390" s="63">
        <f>VLOOKUP($B390,'Tillförd energi'!$B$1:$AI$720,MATCH(AD$2,'Tillförd energi'!$B$1:$AQ$1,0),FALSE)</f>
        <v>0</v>
      </c>
      <c r="AE390" s="63">
        <f>VLOOKUP($B390,'Tillförd energi'!$B$1:$AI$720,MATCH(AE$2,'Tillförd energi'!$B$1:$AQ$1,0),FALSE)</f>
        <v>0</v>
      </c>
      <c r="AF390" s="63">
        <f>VLOOKUP($B390,'Tillförd energi'!$B$1:$AI$720,MATCH(AF$2,'Tillförd energi'!$B$1:$AQ$1,0),FALSE)</f>
        <v>0.19</v>
      </c>
      <c r="AG390" s="63">
        <f>IFERROR(VLOOKUP(B390,Miljö!$B$1:$AC$550,MATCH("Köpt mängd produktionsspecifik fjärrvärme:",Miljö!$B$1:$AC$1,0),FALSE)/1,0)</f>
        <v>0</v>
      </c>
      <c r="AI390" s="63">
        <f t="shared" si="36"/>
        <v>14.272</v>
      </c>
      <c r="AJ390" s="63">
        <f>IF(ISERROR(1/VLOOKUP($B390,Leveranser!$B$1:$S$500,MATCH("såld värme (gwh)",Leveranser!$B$1:$S$1,0),FALSE)),"",VLOOKUP($B390,Leveranser!$B$1:$S$500,MATCH("såld värme (gwh)",Leveranser!$B$1:$S$1,0),FALSE))</f>
        <v>9.7870000000000008</v>
      </c>
      <c r="AM390" s="63" t="str">
        <f>IF(B390&lt;&gt;"",IF(VLOOKUP($B390,Totalt!$B$1:$AQ$554,MATCH("Kvalitetsgranskad:",Totalt!$B$1:$AQ$1,0),FALSE)="ja",VLOOKUP($B390,Miljö!$B$1:$AG$479,MATCH(AM$2,Miljö!$B$1:$AK$1,0),FALSE),""),"")</f>
        <v>Ja</v>
      </c>
      <c r="AN390" s="63" t="str">
        <f>IF(AM390="ja",VLOOKUP($B390,Miljö!$B$1:$J$479,MATCH("Typ av ursprungsspecificerad el   (Om inget värde anges används Nordisk residualmix, se inforuta) ()",Miljö!$B$1:$J$1,0),FALSE),IF(AM390="nej","Nordisk residualel",""))</f>
        <v>'Bra miljöval'</v>
      </c>
      <c r="AO390" s="63">
        <f>IF(AM390="","",VLOOKUP($B390,Miljö!$B$1:$J$479,MATCH("Fossilandel för ursprungspecificerad el ()",Miljö!$B$1:$J$1,0),FALSE))</f>
        <v>0</v>
      </c>
      <c r="AQ390" s="63">
        <f t="shared" si="37"/>
        <v>1</v>
      </c>
      <c r="AS390" s="63" t="str">
        <f t="shared" si="38"/>
        <v>Nej</v>
      </c>
      <c r="AT390" s="63" t="str">
        <f>IF(AS390="ja",VLOOKUP($B390,Miljö!$B$1:$P$500,MATCH("Fossil andel i procent (%)",Miljö!$B$1:$P$1,0),FALSE)/100,"")</f>
        <v/>
      </c>
      <c r="AV390" s="63" t="str">
        <f t="shared" si="39"/>
        <v>Nej</v>
      </c>
      <c r="AW390" s="63" t="str">
        <f>IF(AV390="ja",VLOOKUP($B390,'Egen hetvattenprod'!$B$1:$AO$500,MATCH("Värmekälla till värmepumpar ()",'Egen hetvattenprod'!$B$1:$AO$1,0),FALSE),"")</f>
        <v/>
      </c>
      <c r="AY390" s="63" t="str">
        <f t="shared" si="40"/>
        <v>Nej</v>
      </c>
      <c r="AZ390" s="77" t="str">
        <f>IF($AY390="ja",(VLOOKUP($B390,'Egen hetvattenprod'!$B$1:$BX$550,MATCH(AZ$2,'Egen hetvattenprod'!$B$1:$BX$1,0),FALSE)+VLOOKUP($B390,Kraftvärmeprod!$B$1:$BX$550,MATCH(AZ$2,Kraftvärmeprod!$B$1:$BX$1,0),FALSE))/$AC390,"")</f>
        <v/>
      </c>
      <c r="BA390" s="77" t="str">
        <f>IF($AY390="ja",(VLOOKUP($B390,'Egen hetvattenprod'!$B$1:$BX$550,MATCH(BA$2,'Egen hetvattenprod'!$B$1:$BX$1,0),FALSE)+VLOOKUP($B390,Kraftvärmeprod!$B$1:$BX$550,MATCH(BA$2,Kraftvärmeprod!$B$1:$BX$1,0),FALSE))/$AC390,"")</f>
        <v/>
      </c>
      <c r="BB390" s="77" t="str">
        <f>IF($AY390="ja",(VLOOKUP($B390,'Egen hetvattenprod'!$B$1:$BX$550,MATCH(BB$2,'Egen hetvattenprod'!$B$1:$BX$1,0),FALSE)+VLOOKUP($B390,Kraftvärmeprod!$B$1:$BX$550,MATCH(BB$2,Kraftvärmeprod!$B$1:$BX$1,0),FALSE))/$AC390,"")</f>
        <v/>
      </c>
      <c r="BC390" s="77" t="str">
        <f>IF($AY390="ja",(VLOOKUP($B390,'Egen hetvattenprod'!$B$1:$BX$550,MATCH(BC$2,'Egen hetvattenprod'!$B$1:$BX$1,0),FALSE)+VLOOKUP($B390,Kraftvärmeprod!$B$1:$BX$550,MATCH(BC$2,Kraftvärmeprod!$B$1:$BX$1,0),FALSE))/$AC390,"")</f>
        <v/>
      </c>
      <c r="BD390" s="77" t="str">
        <f>IF($AY390="ja",(VLOOKUP($B390,'Egen hetvattenprod'!$B$1:$BX$550,MATCH(BD$2,'Egen hetvattenprod'!$B$1:$BX$1,0),FALSE)+VLOOKUP($B390,Kraftvärmeprod!$B$1:$BX$550,MATCH(BD$2,Kraftvärmeprod!$B$1:$BX$1,0),FALSE))/$AC390,"")</f>
        <v/>
      </c>
      <c r="BF390" s="63" t="str">
        <f t="shared" si="41"/>
        <v>Nej</v>
      </c>
      <c r="BG390" s="63" t="str">
        <f>IF($BF390="ja",VLOOKUP($B390,'Egen hetvattenprod'!$B$1:$BX$550,MATCH("Andelen klimatgaser med fossilt ursprung för avfall ()",'Egen hetvattenprod'!$B$1:$BX$1,0),FALSE),"")</f>
        <v/>
      </c>
      <c r="BH390" s="63" t="str">
        <f>IF($BF390="ja",VLOOKUP($B390,Kraftvärmeprod!$B$1:$BX$550,MATCH("Andelen klimatgaser med fossilt ursprung för avfall ()",Kraftvärmeprod!$B$1:$BX$1,0),FALSE),"")</f>
        <v/>
      </c>
      <c r="BI390" s="63" t="str">
        <f>IF($BF390="ja",VLOOKUP($B390,'Egen hetvattenprod'!$B$1:$BX$550,MATCH("Avfall (GWh)",'Egen hetvattenprod'!$B$1:$BX$1,0),FALSE),"")</f>
        <v/>
      </c>
      <c r="BJ390" s="63" t="str">
        <f>IF($BF390="ja",VLOOKUP($B390,'Slutlig allokering kvv'!$B$1:$BX$550,MATCH("Avfall (GWh)",'Slutlig allokering kvv'!$B$1:$BX$1,0),FALSE),"")</f>
        <v/>
      </c>
      <c r="BK390" s="63" t="str">
        <f>IF($BF390="ja",VLOOKUP($B390,'Köpt hetvatten'!$B$1:$BX$550,MATCH("Avfall i köpt hetvatten",'Köpt hetvatten'!$B$1:$BX$1,0),FALSE),"")</f>
        <v/>
      </c>
      <c r="BL390" s="63" t="str">
        <f>IF($BF390="ja",VLOOKUP($B390,'Egen hetvattenprod'!$B$1:$BX$550,MATCH("Värde enligt ovan. (%)",'Egen hetvattenprod'!$B$1:$BX$1,0),FALSE),"")</f>
        <v/>
      </c>
      <c r="BM390" s="63" t="str">
        <f>IF($BF390="ja",VLOOKUP($B390,Kraftvärmeprod!$B$1:$BX$550,MATCH("Värde enligt ovan. (%)",Kraftvärmeprod!$B$1:$BX$1,0),FALSE),"")</f>
        <v/>
      </c>
    </row>
    <row r="391" spans="1:65" x14ac:dyDescent="0.45">
      <c r="A391" s="63" t="s">
        <v>175</v>
      </c>
      <c r="B391" s="63" t="s">
        <v>174</v>
      </c>
      <c r="C391" s="63">
        <f>VLOOKUP($B391,'Tillförd energi'!$B$1:$AI$720,MATCH(C$2,'Tillförd energi'!$B$1:$AQ$1,0),FALSE)</f>
        <v>0</v>
      </c>
      <c r="D391" s="63">
        <f>VLOOKUP($B391,'Tillförd energi'!$B$1:$AI$720,MATCH(D$2,'Tillförd energi'!$B$1:$AQ$1,0),FALSE)</f>
        <v>0.68101100000000003</v>
      </c>
      <c r="E391" s="63">
        <f>VLOOKUP($B391,'Tillförd energi'!$B$1:$AI$720,MATCH(E$2,'Tillförd energi'!$B$1:$AQ$1,0),FALSE)</f>
        <v>0</v>
      </c>
      <c r="F391" s="63">
        <f>VLOOKUP($B391,'Tillförd energi'!$B$1:$AI$720,MATCH(F$2,'Tillförd energi'!$B$1:$AQ$1,0),FALSE)</f>
        <v>0</v>
      </c>
      <c r="G391" s="63">
        <f>VLOOKUP($B391,'Tillförd energi'!$B$1:$AI$720,MATCH(G$2,'Tillförd energi'!$B$1:$AQ$1,0),FALSE)</f>
        <v>0</v>
      </c>
      <c r="H391" s="63">
        <f>VLOOKUP($B391,'Tillförd energi'!$B$1:$AI$720,MATCH(H$2,'Tillförd energi'!$B$1:$AQ$1,0),FALSE)</f>
        <v>0</v>
      </c>
      <c r="I391" s="63">
        <f>VLOOKUP($B391,'Tillförd energi'!$B$1:$AI$720,MATCH(I$2,'Tillförd energi'!$B$1:$AQ$1,0),FALSE)</f>
        <v>0</v>
      </c>
      <c r="J391" s="63">
        <f>VLOOKUP($B391,'Tillförd energi'!$B$1:$AI$720,MATCH(J$2,'Tillförd energi'!$B$1:$AQ$1,0),FALSE)</f>
        <v>0</v>
      </c>
      <c r="K391" s="63">
        <f>VLOOKUP($B391,'Tillförd energi'!$B$1:$AI$720,MATCH(K$2,'Tillförd energi'!$B$1:$AQ$1,0),FALSE)</f>
        <v>0</v>
      </c>
      <c r="L391" s="63">
        <f>VLOOKUP($B391,'Tillförd energi'!$B$1:$AI$720,MATCH(L$2,'Tillförd energi'!$B$1:$AQ$1,0),FALSE)</f>
        <v>22.475999999999999</v>
      </c>
      <c r="M391" s="63">
        <f>VLOOKUP($B391,'Tillförd energi'!$B$1:$AI$720,MATCH(M$2,'Tillförd energi'!$B$1:$AQ$1,0),FALSE)</f>
        <v>56.307899999999997</v>
      </c>
      <c r="N391" s="63">
        <f>VLOOKUP($B391,'Tillförd energi'!$B$1:$AI$720,MATCH(N$2,'Tillförd energi'!$B$1:$AQ$1,0),FALSE)</f>
        <v>212.048</v>
      </c>
      <c r="O391" s="63">
        <f>VLOOKUP($B391,'Tillförd energi'!$B$1:$AI$720,MATCH(O$2,'Tillförd energi'!$B$1:$AQ$1,0),FALSE)</f>
        <v>51.218899999999998</v>
      </c>
      <c r="P391" s="63">
        <f>VLOOKUP($B391,'Tillförd energi'!$B$1:$AI$720,MATCH(P$2,'Tillförd energi'!$B$1:$AQ$1,0),FALSE)</f>
        <v>63.950800000000001</v>
      </c>
      <c r="Q391" s="63">
        <f>VLOOKUP($B391,'Tillförd energi'!$B$1:$AI$720,MATCH(Q$2,'Tillförd energi'!$B$1:$AQ$1,0),FALSE)</f>
        <v>0</v>
      </c>
      <c r="R391" s="63">
        <f>VLOOKUP($B391,'Tillförd energi'!$B$1:$AI$720,MATCH(R$2,'Tillförd energi'!$B$1:$AQ$1,0),FALSE)</f>
        <v>0</v>
      </c>
      <c r="S391" s="63">
        <f>VLOOKUP($B391,'Tillförd energi'!$B$1:$AI$720,MATCH(S$2,'Tillförd energi'!$B$1:$AQ$1,0),FALSE)</f>
        <v>0</v>
      </c>
      <c r="T391" s="63">
        <f>VLOOKUP($B391,'Tillförd energi'!$B$1:$AI$720,MATCH(T$2,'Tillförd energi'!$B$1:$AQ$1,0),FALSE)</f>
        <v>0</v>
      </c>
      <c r="U391" s="63">
        <f>VLOOKUP($B391,'Tillförd energi'!$B$1:$AI$720,MATCH(U$2,'Tillförd energi'!$B$1:$AQ$1,0),FALSE)</f>
        <v>0</v>
      </c>
      <c r="V391" s="63">
        <f>VLOOKUP($B391,'Tillförd energi'!$B$1:$AI$720,MATCH(V$2,'Tillförd energi'!$B$1:$AQ$1,0),FALSE)</f>
        <v>0</v>
      </c>
      <c r="W391" s="63">
        <f>VLOOKUP($B391,'Tillförd energi'!$B$1:$AI$720,MATCH(W$2,'Tillförd energi'!$B$1:$AQ$1,0),FALSE)</f>
        <v>0.1</v>
      </c>
      <c r="X391" s="63">
        <f>VLOOKUP($B391,'Tillförd energi'!$B$1:$AI$720,MATCH(X$2,'Tillförd energi'!$B$1:$AQ$1,0),FALSE)</f>
        <v>0</v>
      </c>
      <c r="Y391" s="63">
        <f>VLOOKUP($B391,'Tillförd energi'!$B$1:$AI$720,MATCH(Y$2,'Tillförd energi'!$B$1:$AQ$1,0),FALSE)</f>
        <v>25.1846</v>
      </c>
      <c r="Z391" s="63">
        <f>VLOOKUP($B391,'Tillförd energi'!$B$1:$AI$720,MATCH(Z$2,'Tillförd energi'!$B$1:$AQ$1,0),FALSE)</f>
        <v>0</v>
      </c>
      <c r="AA391" s="63">
        <f>VLOOKUP($B391,'Tillförd energi'!$B$1:$AI$720,MATCH(AA$2,'Tillförd energi'!$B$1:$AQ$1,0),FALSE)</f>
        <v>0</v>
      </c>
      <c r="AB391" s="63">
        <f>VLOOKUP($B391,'Tillförd energi'!$B$1:$AI$720,MATCH(AB$2,'Tillförd energi'!$B$1:$AQ$1,0),FALSE)</f>
        <v>0</v>
      </c>
      <c r="AC391" s="63">
        <f>VLOOKUP($B391,'Tillförd energi'!$B$1:$AI$720,MATCH(AC$2,'Tillförd energi'!$B$1:$AQ$1,0),FALSE)</f>
        <v>67.3</v>
      </c>
      <c r="AD391" s="63">
        <f>VLOOKUP($B391,'Tillförd energi'!$B$1:$AI$720,MATCH(AD$2,'Tillförd energi'!$B$1:$AQ$1,0),FALSE)</f>
        <v>0.5</v>
      </c>
      <c r="AE391" s="63">
        <f>VLOOKUP($B391,'Tillförd energi'!$B$1:$AI$720,MATCH(AE$2,'Tillförd energi'!$B$1:$AQ$1,0),FALSE)</f>
        <v>0</v>
      </c>
      <c r="AF391" s="63">
        <f>VLOOKUP($B391,'Tillförd energi'!$B$1:$AI$720,MATCH(AF$2,'Tillförd energi'!$B$1:$AQ$1,0),FALSE)</f>
        <v>14.146699999999999</v>
      </c>
      <c r="AG391" s="63">
        <f>IFERROR(VLOOKUP(B391,Miljö!$B$1:$AC$550,MATCH("Köpt mängd produktionsspecifik fjärrvärme:",Miljö!$B$1:$AC$1,0),FALSE)/1,0)</f>
        <v>0</v>
      </c>
      <c r="AI391" s="63">
        <f t="shared" si="36"/>
        <v>513.9139110000001</v>
      </c>
      <c r="AJ391" s="63">
        <f>IF(ISERROR(1/VLOOKUP($B391,Leveranser!$B$1:$S$500,MATCH("såld värme (gwh)",Leveranser!$B$1:$S$1,0),FALSE)),"",VLOOKUP($B391,Leveranser!$B$1:$S$500,MATCH("såld värme (gwh)",Leveranser!$B$1:$S$1,0),FALSE))</f>
        <v>516.13099999999997</v>
      </c>
      <c r="AM391" s="63" t="str">
        <f>IF(B391&lt;&gt;"",IF(VLOOKUP($B391,Totalt!$B$1:$AQ$554,MATCH("Kvalitetsgranskad:",Totalt!$B$1:$AQ$1,0),FALSE)="ja",VLOOKUP($B391,Miljö!$B$1:$AG$479,MATCH(AM$2,Miljö!$B$1:$AK$1,0),FALSE),""),"")</f>
        <v>Ja</v>
      </c>
      <c r="AN391" s="63" t="str">
        <f>IF(AM391="ja",VLOOKUP($B391,Miljö!$B$1:$J$479,MATCH("Typ av ursprungsspecificerad el   (Om inget värde anges används Nordisk residualmix, se inforuta) ()",Miljö!$B$1:$J$1,0),FALSE),IF(AM391="nej","Nordisk residualel",""))</f>
        <v>'Förnybar el'</v>
      </c>
      <c r="AO391" s="63">
        <f>IF(AM391="","",VLOOKUP($B391,Miljö!$B$1:$J$479,MATCH("Fossilandel för ursprungspecificerad el ()",Miljö!$B$1:$J$1,0),FALSE))</f>
        <v>0</v>
      </c>
      <c r="AQ391" s="63">
        <f t="shared" si="37"/>
        <v>1</v>
      </c>
      <c r="AS391" s="63" t="str">
        <f t="shared" si="38"/>
        <v>Nej</v>
      </c>
      <c r="AT391" s="63" t="str">
        <f>IF(AS391="ja",VLOOKUP($B391,Miljö!$B$1:$P$500,MATCH("Fossil andel i procent (%)",Miljö!$B$1:$P$1,0),FALSE)/100,"")</f>
        <v/>
      </c>
      <c r="AV391" s="63" t="str">
        <f t="shared" si="39"/>
        <v>Nej</v>
      </c>
      <c r="AW391" s="63" t="str">
        <f>IF(AV391="ja",VLOOKUP($B391,'Egen hetvattenprod'!$B$1:$AO$500,MATCH("Värmekälla till värmepumpar ()",'Egen hetvattenprod'!$B$1:$AO$1,0),FALSE),"")</f>
        <v/>
      </c>
      <c r="AY391" s="63" t="str">
        <f t="shared" si="40"/>
        <v>Ja</v>
      </c>
      <c r="AZ391" s="77">
        <f>IF($AY391="ja",(VLOOKUP($B391,'Egen hetvattenprod'!$B$1:$BX$550,MATCH(AZ$2,'Egen hetvattenprod'!$B$1:$BX$1,0),FALSE)+VLOOKUP($B391,Kraftvärmeprod!$B$1:$BX$550,MATCH(AZ$2,Kraftvärmeprod!$B$1:$BX$1,0),FALSE))/$AC391,"")</f>
        <v>0.99065378900445777</v>
      </c>
      <c r="BA391" s="77">
        <f>IF($AY391="ja",(VLOOKUP($B391,'Egen hetvattenprod'!$B$1:$BX$550,MATCH(BA$2,'Egen hetvattenprod'!$B$1:$BX$1,0),FALSE)+VLOOKUP($B391,Kraftvärmeprod!$B$1:$BX$550,MATCH(BA$2,Kraftvärmeprod!$B$1:$BX$1,0),FALSE))/$AC391,"")</f>
        <v>0</v>
      </c>
      <c r="BB391" s="77">
        <f>IF($AY391="ja",(VLOOKUP($B391,'Egen hetvattenprod'!$B$1:$BX$550,MATCH(BB$2,'Egen hetvattenprod'!$B$1:$BX$1,0),FALSE)+VLOOKUP($B391,Kraftvärmeprod!$B$1:$BX$550,MATCH(BB$2,Kraftvärmeprod!$B$1:$BX$1,0),FALSE))/$AC391,"")</f>
        <v>0</v>
      </c>
      <c r="BC391" s="77">
        <f>IF($AY391="ja",(VLOOKUP($B391,'Egen hetvattenprod'!$B$1:$BX$550,MATCH(BC$2,'Egen hetvattenprod'!$B$1:$BX$1,0),FALSE)+VLOOKUP($B391,Kraftvärmeprod!$B$1:$BX$550,MATCH(BC$2,Kraftvärmeprod!$B$1:$BX$1,0),FALSE))/$AC391,"")</f>
        <v>0</v>
      </c>
      <c r="BD391" s="77">
        <f>IF($AY391="ja",(VLOOKUP($B391,'Egen hetvattenprod'!$B$1:$BX$550,MATCH(BD$2,'Egen hetvattenprod'!$B$1:$BX$1,0),FALSE)+VLOOKUP($B391,Kraftvärmeprod!$B$1:$BX$550,MATCH(BD$2,Kraftvärmeprod!$B$1:$BX$1,0),FALSE))/$AC391,"")</f>
        <v>9.3462109955423159E-3</v>
      </c>
      <c r="BF391" s="63" t="str">
        <f t="shared" si="41"/>
        <v>Nej</v>
      </c>
      <c r="BG391" s="63" t="str">
        <f>IF($BF391="ja",VLOOKUP($B391,'Egen hetvattenprod'!$B$1:$BX$550,MATCH("Andelen klimatgaser med fossilt ursprung för avfall ()",'Egen hetvattenprod'!$B$1:$BX$1,0),FALSE),"")</f>
        <v/>
      </c>
      <c r="BH391" s="63" t="str">
        <f>IF($BF391="ja",VLOOKUP($B391,Kraftvärmeprod!$B$1:$BX$550,MATCH("Andelen klimatgaser med fossilt ursprung för avfall ()",Kraftvärmeprod!$B$1:$BX$1,0),FALSE),"")</f>
        <v/>
      </c>
      <c r="BI391" s="63" t="str">
        <f>IF($BF391="ja",VLOOKUP($B391,'Egen hetvattenprod'!$B$1:$BX$550,MATCH("Avfall (GWh)",'Egen hetvattenprod'!$B$1:$BX$1,0),FALSE),"")</f>
        <v/>
      </c>
      <c r="BJ391" s="63" t="str">
        <f>IF($BF391="ja",VLOOKUP($B391,'Slutlig allokering kvv'!$B$1:$BX$550,MATCH("Avfall (GWh)",'Slutlig allokering kvv'!$B$1:$BX$1,0),FALSE),"")</f>
        <v/>
      </c>
      <c r="BK391" s="63" t="str">
        <f>IF($BF391="ja",VLOOKUP($B391,'Köpt hetvatten'!$B$1:$BX$550,MATCH("Avfall i köpt hetvatten",'Köpt hetvatten'!$B$1:$BX$1,0),FALSE),"")</f>
        <v/>
      </c>
      <c r="BL391" s="63" t="str">
        <f>IF($BF391="ja",VLOOKUP($B391,'Egen hetvattenprod'!$B$1:$BX$550,MATCH("Värde enligt ovan. (%)",'Egen hetvattenprod'!$B$1:$BX$1,0),FALSE),"")</f>
        <v/>
      </c>
      <c r="BM391" s="63" t="str">
        <f>IF($BF391="ja",VLOOKUP($B391,Kraftvärmeprod!$B$1:$BX$550,MATCH("Värde enligt ovan. (%)",Kraftvärmeprod!$B$1:$BX$1,0),FALSE),"")</f>
        <v/>
      </c>
    </row>
    <row r="392" spans="1:65" x14ac:dyDescent="0.45">
      <c r="A392" s="63" t="s">
        <v>175</v>
      </c>
      <c r="B392" s="63" t="s">
        <v>177</v>
      </c>
      <c r="C392" s="63">
        <f>VLOOKUP($B392,'Tillförd energi'!$B$1:$AI$720,MATCH(C$2,'Tillförd energi'!$B$1:$AQ$1,0),FALSE)</f>
        <v>0</v>
      </c>
      <c r="D392" s="63">
        <f>VLOOKUP($B392,'Tillförd energi'!$B$1:$AI$720,MATCH(D$2,'Tillförd energi'!$B$1:$AQ$1,0),FALSE)</f>
        <v>0</v>
      </c>
      <c r="E392" s="63">
        <f>VLOOKUP($B392,'Tillförd energi'!$B$1:$AI$720,MATCH(E$2,'Tillförd energi'!$B$1:$AQ$1,0),FALSE)</f>
        <v>0</v>
      </c>
      <c r="F392" s="63">
        <f>VLOOKUP($B392,'Tillförd energi'!$B$1:$AI$720,MATCH(F$2,'Tillförd energi'!$B$1:$AQ$1,0),FALSE)</f>
        <v>0</v>
      </c>
      <c r="G392" s="63">
        <f>VLOOKUP($B392,'Tillförd energi'!$B$1:$AI$720,MATCH(G$2,'Tillförd energi'!$B$1:$AQ$1,0),FALSE)</f>
        <v>0</v>
      </c>
      <c r="H392" s="63">
        <f>VLOOKUP($B392,'Tillförd energi'!$B$1:$AI$720,MATCH(H$2,'Tillförd energi'!$B$1:$AQ$1,0),FALSE)</f>
        <v>0</v>
      </c>
      <c r="I392" s="63">
        <f>VLOOKUP($B392,'Tillförd energi'!$B$1:$AI$720,MATCH(I$2,'Tillförd energi'!$B$1:$AQ$1,0),FALSE)</f>
        <v>0</v>
      </c>
      <c r="J392" s="63">
        <f>VLOOKUP($B392,'Tillförd energi'!$B$1:$AI$720,MATCH(J$2,'Tillförd energi'!$B$1:$AQ$1,0),FALSE)</f>
        <v>0</v>
      </c>
      <c r="K392" s="63">
        <f>VLOOKUP($B392,'Tillförd energi'!$B$1:$AI$720,MATCH(K$2,'Tillförd energi'!$B$1:$AQ$1,0),FALSE)</f>
        <v>0</v>
      </c>
      <c r="L392" s="63">
        <f>VLOOKUP($B392,'Tillförd energi'!$B$1:$AI$720,MATCH(L$2,'Tillförd energi'!$B$1:$AQ$1,0),FALSE)</f>
        <v>0</v>
      </c>
      <c r="M392" s="63">
        <f>VLOOKUP($B392,'Tillförd energi'!$B$1:$AI$720,MATCH(M$2,'Tillförd energi'!$B$1:$AQ$1,0),FALSE)</f>
        <v>0</v>
      </c>
      <c r="N392" s="63">
        <f>VLOOKUP($B392,'Tillförd energi'!$B$1:$AI$720,MATCH(N$2,'Tillförd energi'!$B$1:$AQ$1,0),FALSE)</f>
        <v>0</v>
      </c>
      <c r="O392" s="63">
        <f>VLOOKUP($B392,'Tillförd energi'!$B$1:$AI$720,MATCH(O$2,'Tillförd energi'!$B$1:$AQ$1,0),FALSE)</f>
        <v>0</v>
      </c>
      <c r="P392" s="63">
        <f>VLOOKUP($B392,'Tillförd energi'!$B$1:$AI$720,MATCH(P$2,'Tillförd energi'!$B$1:$AQ$1,0),FALSE)</f>
        <v>12.7</v>
      </c>
      <c r="Q392" s="63">
        <f>VLOOKUP($B392,'Tillförd energi'!$B$1:$AI$720,MATCH(Q$2,'Tillförd energi'!$B$1:$AQ$1,0),FALSE)</f>
        <v>0</v>
      </c>
      <c r="R392" s="63">
        <f>VLOOKUP($B392,'Tillförd energi'!$B$1:$AI$720,MATCH(R$2,'Tillförd energi'!$B$1:$AQ$1,0),FALSE)</f>
        <v>0</v>
      </c>
      <c r="S392" s="63">
        <f>VLOOKUP($B392,'Tillförd energi'!$B$1:$AI$720,MATCH(S$2,'Tillförd energi'!$B$1:$AQ$1,0),FALSE)</f>
        <v>0</v>
      </c>
      <c r="T392" s="63">
        <f>VLOOKUP($B392,'Tillförd energi'!$B$1:$AI$720,MATCH(T$2,'Tillförd energi'!$B$1:$AQ$1,0),FALSE)</f>
        <v>0</v>
      </c>
      <c r="U392" s="63">
        <f>VLOOKUP($B392,'Tillförd energi'!$B$1:$AI$720,MATCH(U$2,'Tillförd energi'!$B$1:$AQ$1,0),FALSE)</f>
        <v>0</v>
      </c>
      <c r="V392" s="63">
        <f>VLOOKUP($B392,'Tillförd energi'!$B$1:$AI$720,MATCH(V$2,'Tillförd energi'!$B$1:$AQ$1,0),FALSE)</f>
        <v>0</v>
      </c>
      <c r="W392" s="63">
        <f>VLOOKUP($B392,'Tillförd energi'!$B$1:$AI$720,MATCH(W$2,'Tillförd energi'!$B$1:$AQ$1,0),FALSE)</f>
        <v>0</v>
      </c>
      <c r="X392" s="63">
        <f>VLOOKUP($B392,'Tillförd energi'!$B$1:$AI$720,MATCH(X$2,'Tillförd energi'!$B$1:$AQ$1,0),FALSE)</f>
        <v>0</v>
      </c>
      <c r="Y392" s="63">
        <f>VLOOKUP($B392,'Tillförd energi'!$B$1:$AI$720,MATCH(Y$2,'Tillförd energi'!$B$1:$AQ$1,0),FALSE)</f>
        <v>0</v>
      </c>
      <c r="Z392" s="63">
        <f>VLOOKUP($B392,'Tillförd energi'!$B$1:$AI$720,MATCH(Z$2,'Tillförd energi'!$B$1:$AQ$1,0),FALSE)</f>
        <v>0</v>
      </c>
      <c r="AA392" s="63">
        <f>VLOOKUP($B392,'Tillförd energi'!$B$1:$AI$720,MATCH(AA$2,'Tillförd energi'!$B$1:$AQ$1,0),FALSE)</f>
        <v>0</v>
      </c>
      <c r="AB392" s="63">
        <f>VLOOKUP($B392,'Tillförd energi'!$B$1:$AI$720,MATCH(AB$2,'Tillförd energi'!$B$1:$AQ$1,0),FALSE)</f>
        <v>0</v>
      </c>
      <c r="AC392" s="63">
        <f>VLOOKUP($B392,'Tillförd energi'!$B$1:$AI$720,MATCH(AC$2,'Tillförd energi'!$B$1:$AQ$1,0),FALSE)</f>
        <v>0</v>
      </c>
      <c r="AD392" s="63">
        <f>VLOOKUP($B392,'Tillförd energi'!$B$1:$AI$720,MATCH(AD$2,'Tillförd energi'!$B$1:$AQ$1,0),FALSE)</f>
        <v>0</v>
      </c>
      <c r="AE392" s="63">
        <f>VLOOKUP($B392,'Tillförd energi'!$B$1:$AI$720,MATCH(AE$2,'Tillförd energi'!$B$1:$AQ$1,0),FALSE)</f>
        <v>0</v>
      </c>
      <c r="AF392" s="63">
        <f>VLOOKUP($B392,'Tillförd energi'!$B$1:$AI$720,MATCH(AF$2,'Tillförd energi'!$B$1:$AQ$1,0),FALSE)</f>
        <v>1.6</v>
      </c>
      <c r="AG392" s="63">
        <f>IFERROR(VLOOKUP(B392,Miljö!$B$1:$AC$550,MATCH("Köpt mängd produktionsspecifik fjärrvärme:",Miljö!$B$1:$AC$1,0),FALSE)/1,0)</f>
        <v>0</v>
      </c>
      <c r="AI392" s="63">
        <f t="shared" si="36"/>
        <v>14.299999999999999</v>
      </c>
      <c r="AJ392" s="63">
        <f>IF(ISERROR(1/VLOOKUP($B392,Leveranser!$B$1:$S$500,MATCH("såld värme (gwh)",Leveranser!$B$1:$S$1,0),FALSE)),"",VLOOKUP($B392,Leveranser!$B$1:$S$500,MATCH("såld värme (gwh)",Leveranser!$B$1:$S$1,0),FALSE))</f>
        <v>14.911</v>
      </c>
      <c r="AM392" s="63" t="str">
        <f>IF(B392&lt;&gt;"",IF(VLOOKUP($B392,Totalt!$B$1:$AQ$554,MATCH("Kvalitetsgranskad:",Totalt!$B$1:$AQ$1,0),FALSE)="ja",VLOOKUP($B392,Miljö!$B$1:$AG$479,MATCH(AM$2,Miljö!$B$1:$AK$1,0),FALSE),""),"")</f>
        <v>Ja</v>
      </c>
      <c r="AN392" s="63" t="str">
        <f>IF(AM392="ja",VLOOKUP($B392,Miljö!$B$1:$J$479,MATCH("Typ av ursprungsspecificerad el   (Om inget värde anges används Nordisk residualmix, se inforuta) ()",Miljö!$B$1:$J$1,0),FALSE),IF(AM392="nej","Nordisk residualel",""))</f>
        <v>''Bra miljöval''</v>
      </c>
      <c r="AO392" s="63">
        <f>IF(AM392="","",VLOOKUP($B392,Miljö!$B$1:$J$479,MATCH("Fossilandel för ursprungspecificerad el ()",Miljö!$B$1:$J$1,0),FALSE))</f>
        <v>0</v>
      </c>
      <c r="AQ392" s="63">
        <f t="shared" si="37"/>
        <v>1</v>
      </c>
      <c r="AS392" s="63" t="str">
        <f t="shared" si="38"/>
        <v>Nej</v>
      </c>
      <c r="AT392" s="63" t="str">
        <f>IF(AS392="ja",VLOOKUP($B392,Miljö!$B$1:$P$500,MATCH("Fossil andel i procent (%)",Miljö!$B$1:$P$1,0),FALSE)/100,"")</f>
        <v/>
      </c>
      <c r="AV392" s="63" t="str">
        <f t="shared" si="39"/>
        <v>Nej</v>
      </c>
      <c r="AW392" s="63" t="str">
        <f>IF(AV392="ja",VLOOKUP($B392,'Egen hetvattenprod'!$B$1:$AO$500,MATCH("Värmekälla till värmepumpar ()",'Egen hetvattenprod'!$B$1:$AO$1,0),FALSE),"")</f>
        <v/>
      </c>
      <c r="AY392" s="63" t="str">
        <f t="shared" si="40"/>
        <v>Nej</v>
      </c>
      <c r="AZ392" s="77" t="str">
        <f>IF($AY392="ja",(VLOOKUP($B392,'Egen hetvattenprod'!$B$1:$BX$550,MATCH(AZ$2,'Egen hetvattenprod'!$B$1:$BX$1,0),FALSE)+VLOOKUP($B392,Kraftvärmeprod!$B$1:$BX$550,MATCH(AZ$2,Kraftvärmeprod!$B$1:$BX$1,0),FALSE))/$AC392,"")</f>
        <v/>
      </c>
      <c r="BA392" s="77" t="str">
        <f>IF($AY392="ja",(VLOOKUP($B392,'Egen hetvattenprod'!$B$1:$BX$550,MATCH(BA$2,'Egen hetvattenprod'!$B$1:$BX$1,0),FALSE)+VLOOKUP($B392,Kraftvärmeprod!$B$1:$BX$550,MATCH(BA$2,Kraftvärmeprod!$B$1:$BX$1,0),FALSE))/$AC392,"")</f>
        <v/>
      </c>
      <c r="BB392" s="77" t="str">
        <f>IF($AY392="ja",(VLOOKUP($B392,'Egen hetvattenprod'!$B$1:$BX$550,MATCH(BB$2,'Egen hetvattenprod'!$B$1:$BX$1,0),FALSE)+VLOOKUP($B392,Kraftvärmeprod!$B$1:$BX$550,MATCH(BB$2,Kraftvärmeprod!$B$1:$BX$1,0),FALSE))/$AC392,"")</f>
        <v/>
      </c>
      <c r="BC392" s="77" t="str">
        <f>IF($AY392="ja",(VLOOKUP($B392,'Egen hetvattenprod'!$B$1:$BX$550,MATCH(BC$2,'Egen hetvattenprod'!$B$1:$BX$1,0),FALSE)+VLOOKUP($B392,Kraftvärmeprod!$B$1:$BX$550,MATCH(BC$2,Kraftvärmeprod!$B$1:$BX$1,0),FALSE))/$AC392,"")</f>
        <v/>
      </c>
      <c r="BD392" s="77" t="str">
        <f>IF($AY392="ja",(VLOOKUP($B392,'Egen hetvattenprod'!$B$1:$BX$550,MATCH(BD$2,'Egen hetvattenprod'!$B$1:$BX$1,0),FALSE)+VLOOKUP($B392,Kraftvärmeprod!$B$1:$BX$550,MATCH(BD$2,Kraftvärmeprod!$B$1:$BX$1,0),FALSE))/$AC392,"")</f>
        <v/>
      </c>
      <c r="BF392" s="63" t="str">
        <f t="shared" si="41"/>
        <v>Nej</v>
      </c>
      <c r="BG392" s="63" t="str">
        <f>IF($BF392="ja",VLOOKUP($B392,'Egen hetvattenprod'!$B$1:$BX$550,MATCH("Andelen klimatgaser med fossilt ursprung för avfall ()",'Egen hetvattenprod'!$B$1:$BX$1,0),FALSE),"")</f>
        <v/>
      </c>
      <c r="BH392" s="63" t="str">
        <f>IF($BF392="ja",VLOOKUP($B392,Kraftvärmeprod!$B$1:$BX$550,MATCH("Andelen klimatgaser med fossilt ursprung för avfall ()",Kraftvärmeprod!$B$1:$BX$1,0),FALSE),"")</f>
        <v/>
      </c>
      <c r="BI392" s="63" t="str">
        <f>IF($BF392="ja",VLOOKUP($B392,'Egen hetvattenprod'!$B$1:$BX$550,MATCH("Avfall (GWh)",'Egen hetvattenprod'!$B$1:$BX$1,0),FALSE),"")</f>
        <v/>
      </c>
      <c r="BJ392" s="63" t="str">
        <f>IF($BF392="ja",VLOOKUP($B392,'Slutlig allokering kvv'!$B$1:$BX$550,MATCH("Avfall (GWh)",'Slutlig allokering kvv'!$B$1:$BX$1,0),FALSE),"")</f>
        <v/>
      </c>
      <c r="BK392" s="63" t="str">
        <f>IF($BF392="ja",VLOOKUP($B392,'Köpt hetvatten'!$B$1:$BX$550,MATCH("Avfall i köpt hetvatten",'Köpt hetvatten'!$B$1:$BX$1,0),FALSE),"")</f>
        <v/>
      </c>
      <c r="BL392" s="63" t="str">
        <f>IF($BF392="ja",VLOOKUP($B392,'Egen hetvattenprod'!$B$1:$BX$550,MATCH("Värde enligt ovan. (%)",'Egen hetvattenprod'!$B$1:$BX$1,0),FALSE),"")</f>
        <v/>
      </c>
      <c r="BM392" s="63" t="str">
        <f>IF($BF392="ja",VLOOKUP($B392,Kraftvärmeprod!$B$1:$BX$550,MATCH("Värde enligt ovan. (%)",Kraftvärmeprod!$B$1:$BX$1,0),FALSE),"")</f>
        <v/>
      </c>
    </row>
    <row r="393" spans="1:65" x14ac:dyDescent="0.45">
      <c r="A393" s="63" t="s">
        <v>172</v>
      </c>
      <c r="B393" s="63" t="s">
        <v>171</v>
      </c>
      <c r="C393" s="63">
        <f>VLOOKUP($B393,'Tillförd energi'!$B$1:$AI$720,MATCH(C$2,'Tillförd energi'!$B$1:$AQ$1,0),FALSE)</f>
        <v>0</v>
      </c>
      <c r="D393" s="63">
        <f>VLOOKUP($B393,'Tillförd energi'!$B$1:$AI$720,MATCH(D$2,'Tillförd energi'!$B$1:$AQ$1,0),FALSE)</f>
        <v>1.1910000000000001</v>
      </c>
      <c r="E393" s="63">
        <f>VLOOKUP($B393,'Tillförd energi'!$B$1:$AI$720,MATCH(E$2,'Tillförd energi'!$B$1:$AQ$1,0),FALSE)</f>
        <v>0</v>
      </c>
      <c r="F393" s="63">
        <f>VLOOKUP($B393,'Tillförd energi'!$B$1:$AI$720,MATCH(F$2,'Tillförd energi'!$B$1:$AQ$1,0),FALSE)</f>
        <v>0</v>
      </c>
      <c r="G393" s="63">
        <f>VLOOKUP($B393,'Tillförd energi'!$B$1:$AI$720,MATCH(G$2,'Tillförd energi'!$B$1:$AQ$1,0),FALSE)</f>
        <v>0</v>
      </c>
      <c r="H393" s="63">
        <f>VLOOKUP($B393,'Tillförd energi'!$B$1:$AI$720,MATCH(H$2,'Tillförd energi'!$B$1:$AQ$1,0),FALSE)</f>
        <v>0</v>
      </c>
      <c r="I393" s="63">
        <f>VLOOKUP($B393,'Tillförd energi'!$B$1:$AI$720,MATCH(I$2,'Tillförd energi'!$B$1:$AQ$1,0),FALSE)</f>
        <v>0</v>
      </c>
      <c r="J393" s="63">
        <f>VLOOKUP($B393,'Tillförd energi'!$B$1:$AI$720,MATCH(J$2,'Tillförd energi'!$B$1:$AQ$1,0),FALSE)</f>
        <v>3.1030000000000002</v>
      </c>
      <c r="K393" s="63">
        <f>VLOOKUP($B393,'Tillförd energi'!$B$1:$AI$720,MATCH(K$2,'Tillförd energi'!$B$1:$AQ$1,0),FALSE)</f>
        <v>0</v>
      </c>
      <c r="L393" s="63">
        <f>VLOOKUP($B393,'Tillförd energi'!$B$1:$AI$720,MATCH(L$2,'Tillförd energi'!$B$1:$AQ$1,0),FALSE)</f>
        <v>19.533999999999999</v>
      </c>
      <c r="M393" s="63">
        <f>VLOOKUP($B393,'Tillförd energi'!$B$1:$AI$720,MATCH(M$2,'Tillförd energi'!$B$1:$AQ$1,0),FALSE)</f>
        <v>11.938000000000001</v>
      </c>
      <c r="N393" s="63">
        <f>VLOOKUP($B393,'Tillförd energi'!$B$1:$AI$720,MATCH(N$2,'Tillförd energi'!$B$1:$AQ$1,0),FALSE)</f>
        <v>102.946</v>
      </c>
      <c r="O393" s="63">
        <f>VLOOKUP($B393,'Tillförd energi'!$B$1:$AI$720,MATCH(O$2,'Tillförd energi'!$B$1:$AQ$1,0),FALSE)</f>
        <v>0</v>
      </c>
      <c r="P393" s="63">
        <f>VLOOKUP($B393,'Tillförd energi'!$B$1:$AI$720,MATCH(P$2,'Tillförd energi'!$B$1:$AQ$1,0),FALSE)</f>
        <v>0</v>
      </c>
      <c r="Q393" s="63">
        <f>VLOOKUP($B393,'Tillförd energi'!$B$1:$AI$720,MATCH(Q$2,'Tillförd energi'!$B$1:$AQ$1,0),FALSE)</f>
        <v>5.42</v>
      </c>
      <c r="R393" s="63">
        <f>VLOOKUP($B393,'Tillförd energi'!$B$1:$AI$720,MATCH(R$2,'Tillförd energi'!$B$1:$AQ$1,0),FALSE)</f>
        <v>3.9649999999999999</v>
      </c>
      <c r="S393" s="63">
        <f>VLOOKUP($B393,'Tillförd energi'!$B$1:$AI$720,MATCH(S$2,'Tillförd energi'!$B$1:$AQ$1,0),FALSE)</f>
        <v>0</v>
      </c>
      <c r="T393" s="63">
        <f>VLOOKUP($B393,'Tillförd energi'!$B$1:$AI$720,MATCH(T$2,'Tillförd energi'!$B$1:$AQ$1,0),FALSE)</f>
        <v>0</v>
      </c>
      <c r="U393" s="63">
        <f>VLOOKUP($B393,'Tillförd energi'!$B$1:$AI$720,MATCH(U$2,'Tillförd energi'!$B$1:$AQ$1,0),FALSE)</f>
        <v>0</v>
      </c>
      <c r="V393" s="63">
        <f>VLOOKUP($B393,'Tillförd energi'!$B$1:$AI$720,MATCH(V$2,'Tillförd energi'!$B$1:$AQ$1,0),FALSE)</f>
        <v>0</v>
      </c>
      <c r="W393" s="63">
        <f>VLOOKUP($B393,'Tillförd energi'!$B$1:$AI$720,MATCH(W$2,'Tillförd energi'!$B$1:$AQ$1,0),FALSE)</f>
        <v>6.3259999999999996</v>
      </c>
      <c r="X393" s="63">
        <f>VLOOKUP($B393,'Tillförd energi'!$B$1:$AI$720,MATCH(X$2,'Tillförd energi'!$B$1:$AQ$1,0),FALSE)</f>
        <v>0</v>
      </c>
      <c r="Y393" s="63">
        <f>VLOOKUP($B393,'Tillförd energi'!$B$1:$AI$720,MATCH(Y$2,'Tillförd energi'!$B$1:$AQ$1,0),FALSE)</f>
        <v>0</v>
      </c>
      <c r="Z393" s="63">
        <f>VLOOKUP($B393,'Tillförd energi'!$B$1:$AI$720,MATCH(Z$2,'Tillförd energi'!$B$1:$AQ$1,0),FALSE)</f>
        <v>0</v>
      </c>
      <c r="AA393" s="63">
        <f>VLOOKUP($B393,'Tillförd energi'!$B$1:$AI$720,MATCH(AA$2,'Tillförd energi'!$B$1:$AQ$1,0),FALSE)</f>
        <v>0</v>
      </c>
      <c r="AB393" s="63">
        <f>VLOOKUP($B393,'Tillförd energi'!$B$1:$AI$720,MATCH(AB$2,'Tillförd energi'!$B$1:$AQ$1,0),FALSE)</f>
        <v>0</v>
      </c>
      <c r="AC393" s="63">
        <f>VLOOKUP($B393,'Tillförd energi'!$B$1:$AI$720,MATCH(AC$2,'Tillförd energi'!$B$1:$AQ$1,0),FALSE)</f>
        <v>21.082999999999998</v>
      </c>
      <c r="AD393" s="63">
        <f>VLOOKUP($B393,'Tillförd energi'!$B$1:$AI$720,MATCH(AD$2,'Tillförd energi'!$B$1:$AQ$1,0),FALSE)</f>
        <v>0</v>
      </c>
      <c r="AE393" s="63">
        <f>VLOOKUP($B393,'Tillförd energi'!$B$1:$AI$720,MATCH(AE$2,'Tillförd energi'!$B$1:$AQ$1,0),FALSE)</f>
        <v>0</v>
      </c>
      <c r="AF393" s="63">
        <f>VLOOKUP($B393,'Tillförd energi'!$B$1:$AI$720,MATCH(AF$2,'Tillförd energi'!$B$1:$AQ$1,0),FALSE)</f>
        <v>3.617</v>
      </c>
      <c r="AG393" s="63">
        <f>IFERROR(VLOOKUP(B393,Miljö!$B$1:$AC$550,MATCH("Köpt mängd produktionsspecifik fjärrvärme:",Miljö!$B$1:$AC$1,0),FALSE)/1,0)</f>
        <v>0</v>
      </c>
      <c r="AI393" s="63">
        <f t="shared" si="36"/>
        <v>179.12299999999996</v>
      </c>
      <c r="AJ393" s="63">
        <f>IF(ISERROR(1/VLOOKUP($B393,Leveranser!$B$1:$S$500,MATCH("såld värme (gwh)",Leveranser!$B$1:$S$1,0),FALSE)),"",VLOOKUP($B393,Leveranser!$B$1:$S$500,MATCH("såld värme (gwh)",Leveranser!$B$1:$S$1,0),FALSE))</f>
        <v>128.572</v>
      </c>
      <c r="AM393" s="63" t="str">
        <f>IF(B393&lt;&gt;"",IF(VLOOKUP($B393,Totalt!$B$1:$AQ$554,MATCH("Kvalitetsgranskad:",Totalt!$B$1:$AQ$1,0),FALSE)="ja",VLOOKUP($B393,Miljö!$B$1:$AG$479,MATCH(AM$2,Miljö!$B$1:$AK$1,0),FALSE),""),"")</f>
        <v>Ja</v>
      </c>
      <c r="AN393" s="63" t="str">
        <f>IF(AM393="ja",VLOOKUP($B393,Miljö!$B$1:$J$479,MATCH("Typ av ursprungsspecificerad el   (Om inget värde anges används Nordisk residualmix, se inforuta) ()",Miljö!$B$1:$J$1,0),FALSE),IF(AM393="nej","Nordisk residualel",""))</f>
        <v>'Bra Miljöval'</v>
      </c>
      <c r="AO393" s="63">
        <f>IF(AM393="","",VLOOKUP($B393,Miljö!$B$1:$J$479,MATCH("Fossilandel för ursprungspecificerad el ()",Miljö!$B$1:$J$1,0),FALSE))</f>
        <v>0</v>
      </c>
      <c r="AQ393" s="63">
        <f t="shared" si="37"/>
        <v>1</v>
      </c>
      <c r="AS393" s="63" t="str">
        <f t="shared" si="38"/>
        <v>Nej</v>
      </c>
      <c r="AT393" s="63" t="str">
        <f>IF(AS393="ja",VLOOKUP($B393,Miljö!$B$1:$P$500,MATCH("Fossil andel i procent (%)",Miljö!$B$1:$P$1,0),FALSE)/100,"")</f>
        <v/>
      </c>
      <c r="AV393" s="63" t="str">
        <f t="shared" si="39"/>
        <v>Nej</v>
      </c>
      <c r="AW393" s="63" t="str">
        <f>IF(AV393="ja",VLOOKUP($B393,'Egen hetvattenprod'!$B$1:$AO$500,MATCH("Värmekälla till värmepumpar ()",'Egen hetvattenprod'!$B$1:$AO$1,0),FALSE),"")</f>
        <v/>
      </c>
      <c r="AY393" s="63" t="str">
        <f t="shared" si="40"/>
        <v>Ja</v>
      </c>
      <c r="AZ393" s="77">
        <f>IF($AY393="ja",(VLOOKUP($B393,'Egen hetvattenprod'!$B$1:$BX$550,MATCH(AZ$2,'Egen hetvattenprod'!$B$1:$BX$1,0),FALSE)+VLOOKUP($B393,Kraftvärmeprod!$B$1:$BX$550,MATCH(AZ$2,Kraftvärmeprod!$B$1:$BX$1,0),FALSE))/$AC393,"")</f>
        <v>1</v>
      </c>
      <c r="BA393" s="77">
        <f>IF($AY393="ja",(VLOOKUP($B393,'Egen hetvattenprod'!$B$1:$BX$550,MATCH(BA$2,'Egen hetvattenprod'!$B$1:$BX$1,0),FALSE)+VLOOKUP($B393,Kraftvärmeprod!$B$1:$BX$550,MATCH(BA$2,Kraftvärmeprod!$B$1:$BX$1,0),FALSE))/$AC393,"")</f>
        <v>0</v>
      </c>
      <c r="BB393" s="77">
        <f>IF($AY393="ja",(VLOOKUP($B393,'Egen hetvattenprod'!$B$1:$BX$550,MATCH(BB$2,'Egen hetvattenprod'!$B$1:$BX$1,0),FALSE)+VLOOKUP($B393,Kraftvärmeprod!$B$1:$BX$550,MATCH(BB$2,Kraftvärmeprod!$B$1:$BX$1,0),FALSE))/$AC393,"")</f>
        <v>0</v>
      </c>
      <c r="BC393" s="77">
        <f>IF($AY393="ja",(VLOOKUP($B393,'Egen hetvattenprod'!$B$1:$BX$550,MATCH(BC$2,'Egen hetvattenprod'!$B$1:$BX$1,0),FALSE)+VLOOKUP($B393,Kraftvärmeprod!$B$1:$BX$550,MATCH(BC$2,Kraftvärmeprod!$B$1:$BX$1,0),FALSE))/$AC393,"")</f>
        <v>0</v>
      </c>
      <c r="BD393" s="77">
        <f>IF($AY393="ja",(VLOOKUP($B393,'Egen hetvattenprod'!$B$1:$BX$550,MATCH(BD$2,'Egen hetvattenprod'!$B$1:$BX$1,0),FALSE)+VLOOKUP($B393,Kraftvärmeprod!$B$1:$BX$550,MATCH(BD$2,Kraftvärmeprod!$B$1:$BX$1,0),FALSE))/$AC393,"")</f>
        <v>0</v>
      </c>
      <c r="BF393" s="63" t="str">
        <f t="shared" si="41"/>
        <v>Nej</v>
      </c>
      <c r="BG393" s="63" t="str">
        <f>IF($BF393="ja",VLOOKUP($B393,'Egen hetvattenprod'!$B$1:$BX$550,MATCH("Andelen klimatgaser med fossilt ursprung för avfall ()",'Egen hetvattenprod'!$B$1:$BX$1,0),FALSE),"")</f>
        <v/>
      </c>
      <c r="BH393" s="63" t="str">
        <f>IF($BF393="ja",VLOOKUP($B393,Kraftvärmeprod!$B$1:$BX$550,MATCH("Andelen klimatgaser med fossilt ursprung för avfall ()",Kraftvärmeprod!$B$1:$BX$1,0),FALSE),"")</f>
        <v/>
      </c>
      <c r="BI393" s="63" t="str">
        <f>IF($BF393="ja",VLOOKUP($B393,'Egen hetvattenprod'!$B$1:$BX$550,MATCH("Avfall (GWh)",'Egen hetvattenprod'!$B$1:$BX$1,0),FALSE),"")</f>
        <v/>
      </c>
      <c r="BJ393" s="63" t="str">
        <f>IF($BF393="ja",VLOOKUP($B393,'Slutlig allokering kvv'!$B$1:$BX$550,MATCH("Avfall (GWh)",'Slutlig allokering kvv'!$B$1:$BX$1,0),FALSE),"")</f>
        <v/>
      </c>
      <c r="BK393" s="63" t="str">
        <f>IF($BF393="ja",VLOOKUP($B393,'Köpt hetvatten'!$B$1:$BX$550,MATCH("Avfall i köpt hetvatten",'Köpt hetvatten'!$B$1:$BX$1,0),FALSE),"")</f>
        <v/>
      </c>
      <c r="BL393" s="63" t="str">
        <f>IF($BF393="ja",VLOOKUP($B393,'Egen hetvattenprod'!$B$1:$BX$550,MATCH("Värde enligt ovan. (%)",'Egen hetvattenprod'!$B$1:$BX$1,0),FALSE),"")</f>
        <v/>
      </c>
      <c r="BM393" s="63" t="str">
        <f>IF($BF393="ja",VLOOKUP($B393,Kraftvärmeprod!$B$1:$BX$550,MATCH("Värde enligt ovan. (%)",Kraftvärmeprod!$B$1:$BX$1,0),FALSE),"")</f>
        <v/>
      </c>
    </row>
    <row r="394" spans="1:65" x14ac:dyDescent="0.45">
      <c r="A394" s="63" t="s">
        <v>169</v>
      </c>
      <c r="B394" s="63" t="s">
        <v>170</v>
      </c>
      <c r="C394" s="63">
        <f>VLOOKUP($B394,'Tillförd energi'!$B$1:$AI$720,MATCH(C$2,'Tillförd energi'!$B$1:$AQ$1,0),FALSE)</f>
        <v>0</v>
      </c>
      <c r="D394" s="63">
        <f>VLOOKUP($B394,'Tillförd energi'!$B$1:$AI$720,MATCH(D$2,'Tillförd energi'!$B$1:$AQ$1,0),FALSE)</f>
        <v>7.4999999999999997E-2</v>
      </c>
      <c r="E394" s="63">
        <f>VLOOKUP($B394,'Tillförd energi'!$B$1:$AI$720,MATCH(E$2,'Tillförd energi'!$B$1:$AQ$1,0),FALSE)</f>
        <v>0</v>
      </c>
      <c r="F394" s="63">
        <f>VLOOKUP($B394,'Tillförd energi'!$B$1:$AI$720,MATCH(F$2,'Tillförd energi'!$B$1:$AQ$1,0),FALSE)</f>
        <v>0</v>
      </c>
      <c r="G394" s="63">
        <f>VLOOKUP($B394,'Tillförd energi'!$B$1:$AI$720,MATCH(G$2,'Tillförd energi'!$B$1:$AQ$1,0),FALSE)</f>
        <v>0</v>
      </c>
      <c r="H394" s="63">
        <f>VLOOKUP($B394,'Tillförd energi'!$B$1:$AI$720,MATCH(H$2,'Tillförd energi'!$B$1:$AQ$1,0),FALSE)</f>
        <v>0</v>
      </c>
      <c r="I394" s="63">
        <f>VLOOKUP($B394,'Tillförd energi'!$B$1:$AI$720,MATCH(I$2,'Tillförd energi'!$B$1:$AQ$1,0),FALSE)</f>
        <v>0</v>
      </c>
      <c r="J394" s="63">
        <f>VLOOKUP($B394,'Tillförd energi'!$B$1:$AI$720,MATCH(J$2,'Tillförd energi'!$B$1:$AQ$1,0),FALSE)</f>
        <v>0</v>
      </c>
      <c r="K394" s="63">
        <f>VLOOKUP($B394,'Tillförd energi'!$B$1:$AI$720,MATCH(K$2,'Tillförd energi'!$B$1:$AQ$1,0),FALSE)</f>
        <v>0</v>
      </c>
      <c r="L394" s="63">
        <f>VLOOKUP($B394,'Tillförd energi'!$B$1:$AI$720,MATCH(L$2,'Tillförd energi'!$B$1:$AQ$1,0),FALSE)</f>
        <v>0</v>
      </c>
      <c r="M394" s="63">
        <f>VLOOKUP($B394,'Tillförd energi'!$B$1:$AI$720,MATCH(M$2,'Tillförd energi'!$B$1:$AQ$1,0),FALSE)</f>
        <v>0</v>
      </c>
      <c r="N394" s="63">
        <f>VLOOKUP($B394,'Tillförd energi'!$B$1:$AI$720,MATCH(N$2,'Tillförd energi'!$B$1:$AQ$1,0),FALSE)</f>
        <v>0</v>
      </c>
      <c r="O394" s="63">
        <f>VLOOKUP($B394,'Tillförd energi'!$B$1:$AI$720,MATCH(O$2,'Tillförd energi'!$B$1:$AQ$1,0),FALSE)</f>
        <v>0</v>
      </c>
      <c r="P394" s="63">
        <f>VLOOKUP($B394,'Tillförd energi'!$B$1:$AI$720,MATCH(P$2,'Tillförd energi'!$B$1:$AQ$1,0),FALSE)</f>
        <v>0</v>
      </c>
      <c r="Q394" s="63">
        <f>VLOOKUP($B394,'Tillförd energi'!$B$1:$AI$720,MATCH(Q$2,'Tillförd energi'!$B$1:$AQ$1,0),FALSE)</f>
        <v>0</v>
      </c>
      <c r="R394" s="63">
        <f>VLOOKUP($B394,'Tillförd energi'!$B$1:$AI$720,MATCH(R$2,'Tillförd energi'!$B$1:$AQ$1,0),FALSE)</f>
        <v>7.7249999999999996</v>
      </c>
      <c r="S394" s="63">
        <f>VLOOKUP($B394,'Tillförd energi'!$B$1:$AI$720,MATCH(S$2,'Tillförd energi'!$B$1:$AQ$1,0),FALSE)</f>
        <v>0</v>
      </c>
      <c r="T394" s="63">
        <f>VLOOKUP($B394,'Tillförd energi'!$B$1:$AI$720,MATCH(T$2,'Tillförd energi'!$B$1:$AQ$1,0),FALSE)</f>
        <v>0</v>
      </c>
      <c r="U394" s="63">
        <f>VLOOKUP($B394,'Tillförd energi'!$B$1:$AI$720,MATCH(U$2,'Tillförd energi'!$B$1:$AQ$1,0),FALSE)</f>
        <v>0</v>
      </c>
      <c r="V394" s="63">
        <f>VLOOKUP($B394,'Tillförd energi'!$B$1:$AI$720,MATCH(V$2,'Tillförd energi'!$B$1:$AQ$1,0),FALSE)</f>
        <v>0</v>
      </c>
      <c r="W394" s="63">
        <f>VLOOKUP($B394,'Tillförd energi'!$B$1:$AI$720,MATCH(W$2,'Tillförd energi'!$B$1:$AQ$1,0),FALSE)</f>
        <v>0</v>
      </c>
      <c r="X394" s="63">
        <f>VLOOKUP($B394,'Tillförd energi'!$B$1:$AI$720,MATCH(X$2,'Tillförd energi'!$B$1:$AQ$1,0),FALSE)</f>
        <v>0</v>
      </c>
      <c r="Y394" s="63">
        <f>VLOOKUP($B394,'Tillförd energi'!$B$1:$AI$720,MATCH(Y$2,'Tillförd energi'!$B$1:$AQ$1,0),FALSE)</f>
        <v>0</v>
      </c>
      <c r="Z394" s="63">
        <f>VLOOKUP($B394,'Tillförd energi'!$B$1:$AI$720,MATCH(Z$2,'Tillförd energi'!$B$1:$AQ$1,0),FALSE)</f>
        <v>0</v>
      </c>
      <c r="AA394" s="63">
        <f>VLOOKUP($B394,'Tillförd energi'!$B$1:$AI$720,MATCH(AA$2,'Tillförd energi'!$B$1:$AQ$1,0),FALSE)</f>
        <v>0</v>
      </c>
      <c r="AB394" s="63">
        <f>VLOOKUP($B394,'Tillförd energi'!$B$1:$AI$720,MATCH(AB$2,'Tillförd energi'!$B$1:$AQ$1,0),FALSE)</f>
        <v>0</v>
      </c>
      <c r="AC394" s="63">
        <f>VLOOKUP($B394,'Tillförd energi'!$B$1:$AI$720,MATCH(AC$2,'Tillförd energi'!$B$1:$AQ$1,0),FALSE)</f>
        <v>0</v>
      </c>
      <c r="AD394" s="63">
        <f>VLOOKUP($B394,'Tillförd energi'!$B$1:$AI$720,MATCH(AD$2,'Tillförd energi'!$B$1:$AQ$1,0),FALSE)</f>
        <v>0</v>
      </c>
      <c r="AE394" s="63">
        <f>VLOOKUP($B394,'Tillförd energi'!$B$1:$AI$720,MATCH(AE$2,'Tillförd energi'!$B$1:$AQ$1,0),FALSE)</f>
        <v>0</v>
      </c>
      <c r="AF394" s="63">
        <f>VLOOKUP($B394,'Tillförd energi'!$B$1:$AI$720,MATCH(AF$2,'Tillförd energi'!$B$1:$AQ$1,0),FALSE)</f>
        <v>0.124</v>
      </c>
      <c r="AG394" s="63">
        <f>IFERROR(VLOOKUP(B394,Miljö!$B$1:$AC$550,MATCH("Köpt mängd produktionsspecifik fjärrvärme:",Miljö!$B$1:$AC$1,0),FALSE)/1,0)</f>
        <v>0</v>
      </c>
      <c r="AI394" s="63">
        <f t="shared" si="36"/>
        <v>7.9239999999999995</v>
      </c>
      <c r="AJ394" s="63">
        <f>IF(ISERROR(1/VLOOKUP($B394,Leveranser!$B$1:$S$500,MATCH("såld värme (gwh)",Leveranser!$B$1:$S$1,0),FALSE)),"",VLOOKUP($B394,Leveranser!$B$1:$S$500,MATCH("såld värme (gwh)",Leveranser!$B$1:$S$1,0),FALSE))</f>
        <v>6.4</v>
      </c>
      <c r="AM394" s="63" t="str">
        <f>IF(B394&lt;&gt;"",IF(VLOOKUP($B394,Totalt!$B$1:$AQ$554,MATCH("Kvalitetsgranskad:",Totalt!$B$1:$AQ$1,0),FALSE)="ja",VLOOKUP($B394,Miljö!$B$1:$AG$479,MATCH(AM$2,Miljö!$B$1:$AK$1,0),FALSE),""),"")</f>
        <v>Ja</v>
      </c>
      <c r="AN394" s="63" t="str">
        <f>IF(AM394="ja",VLOOKUP($B394,Miljö!$B$1:$J$479,MATCH("Typ av ursprungsspecificerad el   (Om inget värde anges används Nordisk residualmix, se inforuta) ()",Miljö!$B$1:$J$1,0),FALSE),IF(AM394="nej","Nordisk residualel",""))</f>
        <v>-</v>
      </c>
      <c r="AO394" s="63">
        <f>IF(AM394="","",VLOOKUP($B394,Miljö!$B$1:$J$479,MATCH("Fossilandel för ursprungspecificerad el ()",Miljö!$B$1:$J$1,0),FALSE))</f>
        <v>0</v>
      </c>
      <c r="AQ394" s="63">
        <f t="shared" si="37"/>
        <v>1</v>
      </c>
      <c r="AS394" s="63" t="str">
        <f t="shared" si="38"/>
        <v>Nej</v>
      </c>
      <c r="AT394" s="63" t="str">
        <f>IF(AS394="ja",VLOOKUP($B394,Miljö!$B$1:$P$500,MATCH("Fossil andel i procent (%)",Miljö!$B$1:$P$1,0),FALSE)/100,"")</f>
        <v/>
      </c>
      <c r="AV394" s="63" t="str">
        <f t="shared" si="39"/>
        <v>Nej</v>
      </c>
      <c r="AW394" s="63" t="str">
        <f>IF(AV394="ja",VLOOKUP($B394,'Egen hetvattenprod'!$B$1:$AO$500,MATCH("Värmekälla till värmepumpar ()",'Egen hetvattenprod'!$B$1:$AO$1,0),FALSE),"")</f>
        <v/>
      </c>
      <c r="AY394" s="63" t="str">
        <f t="shared" si="40"/>
        <v>Nej</v>
      </c>
      <c r="AZ394" s="77" t="str">
        <f>IF($AY394="ja",(VLOOKUP($B394,'Egen hetvattenprod'!$B$1:$BX$550,MATCH(AZ$2,'Egen hetvattenprod'!$B$1:$BX$1,0),FALSE)+VLOOKUP($B394,Kraftvärmeprod!$B$1:$BX$550,MATCH(AZ$2,Kraftvärmeprod!$B$1:$BX$1,0),FALSE))/$AC394,"")</f>
        <v/>
      </c>
      <c r="BA394" s="77" t="str">
        <f>IF($AY394="ja",(VLOOKUP($B394,'Egen hetvattenprod'!$B$1:$BX$550,MATCH(BA$2,'Egen hetvattenprod'!$B$1:$BX$1,0),FALSE)+VLOOKUP($B394,Kraftvärmeprod!$B$1:$BX$550,MATCH(BA$2,Kraftvärmeprod!$B$1:$BX$1,0),FALSE))/$AC394,"")</f>
        <v/>
      </c>
      <c r="BB394" s="77" t="str">
        <f>IF($AY394="ja",(VLOOKUP($B394,'Egen hetvattenprod'!$B$1:$BX$550,MATCH(BB$2,'Egen hetvattenprod'!$B$1:$BX$1,0),FALSE)+VLOOKUP($B394,Kraftvärmeprod!$B$1:$BX$550,MATCH(BB$2,Kraftvärmeprod!$B$1:$BX$1,0),FALSE))/$AC394,"")</f>
        <v/>
      </c>
      <c r="BC394" s="77" t="str">
        <f>IF($AY394="ja",(VLOOKUP($B394,'Egen hetvattenprod'!$B$1:$BX$550,MATCH(BC$2,'Egen hetvattenprod'!$B$1:$BX$1,0),FALSE)+VLOOKUP($B394,Kraftvärmeprod!$B$1:$BX$550,MATCH(BC$2,Kraftvärmeprod!$B$1:$BX$1,0),FALSE))/$AC394,"")</f>
        <v/>
      </c>
      <c r="BD394" s="77" t="str">
        <f>IF($AY394="ja",(VLOOKUP($B394,'Egen hetvattenprod'!$B$1:$BX$550,MATCH(BD$2,'Egen hetvattenprod'!$B$1:$BX$1,0),FALSE)+VLOOKUP($B394,Kraftvärmeprod!$B$1:$BX$550,MATCH(BD$2,Kraftvärmeprod!$B$1:$BX$1,0),FALSE))/$AC394,"")</f>
        <v/>
      </c>
      <c r="BF394" s="63" t="str">
        <f t="shared" si="41"/>
        <v>Nej</v>
      </c>
      <c r="BG394" s="63" t="str">
        <f>IF($BF394="ja",VLOOKUP($B394,'Egen hetvattenprod'!$B$1:$BX$550,MATCH("Andelen klimatgaser med fossilt ursprung för avfall ()",'Egen hetvattenprod'!$B$1:$BX$1,0),FALSE),"")</f>
        <v/>
      </c>
      <c r="BH394" s="63" t="str">
        <f>IF($BF394="ja",VLOOKUP($B394,Kraftvärmeprod!$B$1:$BX$550,MATCH("Andelen klimatgaser med fossilt ursprung för avfall ()",Kraftvärmeprod!$B$1:$BX$1,0),FALSE),"")</f>
        <v/>
      </c>
      <c r="BI394" s="63" t="str">
        <f>IF($BF394="ja",VLOOKUP($B394,'Egen hetvattenprod'!$B$1:$BX$550,MATCH("Avfall (GWh)",'Egen hetvattenprod'!$B$1:$BX$1,0),FALSE),"")</f>
        <v/>
      </c>
      <c r="BJ394" s="63" t="str">
        <f>IF($BF394="ja",VLOOKUP($B394,'Slutlig allokering kvv'!$B$1:$BX$550,MATCH("Avfall (GWh)",'Slutlig allokering kvv'!$B$1:$BX$1,0),FALSE),"")</f>
        <v/>
      </c>
      <c r="BK394" s="63" t="str">
        <f>IF($BF394="ja",VLOOKUP($B394,'Köpt hetvatten'!$B$1:$BX$550,MATCH("Avfall i köpt hetvatten",'Köpt hetvatten'!$B$1:$BX$1,0),FALSE),"")</f>
        <v/>
      </c>
      <c r="BL394" s="63" t="str">
        <f>IF($BF394="ja",VLOOKUP($B394,'Egen hetvattenprod'!$B$1:$BX$550,MATCH("Värde enligt ovan. (%)",'Egen hetvattenprod'!$B$1:$BX$1,0),FALSE),"")</f>
        <v/>
      </c>
      <c r="BM394" s="63" t="str">
        <f>IF($BF394="ja",VLOOKUP($B394,Kraftvärmeprod!$B$1:$BX$550,MATCH("Värde enligt ovan. (%)",Kraftvärmeprod!$B$1:$BX$1,0),FALSE),"")</f>
        <v/>
      </c>
    </row>
    <row r="395" spans="1:65" x14ac:dyDescent="0.45">
      <c r="A395" s="63" t="s">
        <v>169</v>
      </c>
      <c r="B395" s="63" t="s">
        <v>168</v>
      </c>
      <c r="C395" s="63">
        <f>VLOOKUP($B395,'Tillförd energi'!$B$1:$AI$720,MATCH(C$2,'Tillförd energi'!$B$1:$AQ$1,0),FALSE)</f>
        <v>0</v>
      </c>
      <c r="D395" s="63">
        <f>VLOOKUP($B395,'Tillförd energi'!$B$1:$AI$720,MATCH(D$2,'Tillförd energi'!$B$1:$AQ$1,0),FALSE)</f>
        <v>5.5E-2</v>
      </c>
      <c r="E395" s="63">
        <f>VLOOKUP($B395,'Tillförd energi'!$B$1:$AI$720,MATCH(E$2,'Tillförd energi'!$B$1:$AQ$1,0),FALSE)</f>
        <v>0</v>
      </c>
      <c r="F395" s="63">
        <f>VLOOKUP($B395,'Tillförd energi'!$B$1:$AI$720,MATCH(F$2,'Tillförd energi'!$B$1:$AQ$1,0),FALSE)</f>
        <v>0</v>
      </c>
      <c r="G395" s="63">
        <f>VLOOKUP($B395,'Tillförd energi'!$B$1:$AI$720,MATCH(G$2,'Tillförd energi'!$B$1:$AQ$1,0),FALSE)</f>
        <v>0</v>
      </c>
      <c r="H395" s="63">
        <f>VLOOKUP($B395,'Tillförd energi'!$B$1:$AI$720,MATCH(H$2,'Tillförd energi'!$B$1:$AQ$1,0),FALSE)</f>
        <v>0</v>
      </c>
      <c r="I395" s="63">
        <f>VLOOKUP($B395,'Tillförd energi'!$B$1:$AI$720,MATCH(I$2,'Tillförd energi'!$B$1:$AQ$1,0),FALSE)</f>
        <v>0</v>
      </c>
      <c r="J395" s="63">
        <f>VLOOKUP($B395,'Tillförd energi'!$B$1:$AI$720,MATCH(J$2,'Tillförd energi'!$B$1:$AQ$1,0),FALSE)</f>
        <v>0</v>
      </c>
      <c r="K395" s="63">
        <f>VLOOKUP($B395,'Tillförd energi'!$B$1:$AI$720,MATCH(K$2,'Tillförd energi'!$B$1:$AQ$1,0),FALSE)</f>
        <v>0</v>
      </c>
      <c r="L395" s="63">
        <f>VLOOKUP($B395,'Tillförd energi'!$B$1:$AI$720,MATCH(L$2,'Tillförd energi'!$B$1:$AQ$1,0),FALSE)</f>
        <v>0</v>
      </c>
      <c r="M395" s="63">
        <f>VLOOKUP($B395,'Tillförd energi'!$B$1:$AI$720,MATCH(M$2,'Tillförd energi'!$B$1:$AQ$1,0),FALSE)</f>
        <v>0.627</v>
      </c>
      <c r="N395" s="63">
        <f>VLOOKUP($B395,'Tillförd energi'!$B$1:$AI$720,MATCH(N$2,'Tillförd energi'!$B$1:$AQ$1,0),FALSE)</f>
        <v>0</v>
      </c>
      <c r="O395" s="63">
        <f>VLOOKUP($B395,'Tillförd energi'!$B$1:$AI$720,MATCH(O$2,'Tillförd energi'!$B$1:$AQ$1,0),FALSE)</f>
        <v>0</v>
      </c>
      <c r="P395" s="63">
        <f>VLOOKUP($B395,'Tillförd energi'!$B$1:$AI$720,MATCH(P$2,'Tillförd energi'!$B$1:$AQ$1,0),FALSE)</f>
        <v>6.5410000000000004</v>
      </c>
      <c r="Q395" s="63">
        <f>VLOOKUP($B395,'Tillförd energi'!$B$1:$AI$720,MATCH(Q$2,'Tillförd energi'!$B$1:$AQ$1,0),FALSE)</f>
        <v>0.38300000000000001</v>
      </c>
      <c r="R395" s="63">
        <f>VLOOKUP($B395,'Tillförd energi'!$B$1:$AI$720,MATCH(R$2,'Tillförd energi'!$B$1:$AQ$1,0),FALSE)</f>
        <v>0.92100000000000004</v>
      </c>
      <c r="S395" s="63">
        <f>VLOOKUP($B395,'Tillförd energi'!$B$1:$AI$720,MATCH(S$2,'Tillförd energi'!$B$1:$AQ$1,0),FALSE)</f>
        <v>0</v>
      </c>
      <c r="T395" s="63">
        <f>VLOOKUP($B395,'Tillförd energi'!$B$1:$AI$720,MATCH(T$2,'Tillförd energi'!$B$1:$AQ$1,0),FALSE)</f>
        <v>0</v>
      </c>
      <c r="U395" s="63">
        <f>VLOOKUP($B395,'Tillförd energi'!$B$1:$AI$720,MATCH(U$2,'Tillförd energi'!$B$1:$AQ$1,0),FALSE)</f>
        <v>0</v>
      </c>
      <c r="V395" s="63">
        <f>VLOOKUP($B395,'Tillförd energi'!$B$1:$AI$720,MATCH(V$2,'Tillförd energi'!$B$1:$AQ$1,0),FALSE)</f>
        <v>0</v>
      </c>
      <c r="W395" s="63">
        <f>VLOOKUP($B395,'Tillförd energi'!$B$1:$AI$720,MATCH(W$2,'Tillförd energi'!$B$1:$AQ$1,0),FALSE)</f>
        <v>0</v>
      </c>
      <c r="X395" s="63">
        <f>VLOOKUP($B395,'Tillförd energi'!$B$1:$AI$720,MATCH(X$2,'Tillförd energi'!$B$1:$AQ$1,0),FALSE)</f>
        <v>0</v>
      </c>
      <c r="Y395" s="63">
        <f>VLOOKUP($B395,'Tillförd energi'!$B$1:$AI$720,MATCH(Y$2,'Tillförd energi'!$B$1:$AQ$1,0),FALSE)</f>
        <v>0</v>
      </c>
      <c r="Z395" s="63">
        <f>VLOOKUP($B395,'Tillförd energi'!$B$1:$AI$720,MATCH(Z$2,'Tillförd energi'!$B$1:$AQ$1,0),FALSE)</f>
        <v>0</v>
      </c>
      <c r="AA395" s="63">
        <f>VLOOKUP($B395,'Tillförd energi'!$B$1:$AI$720,MATCH(AA$2,'Tillförd energi'!$B$1:$AQ$1,0),FALSE)</f>
        <v>0</v>
      </c>
      <c r="AB395" s="63">
        <f>VLOOKUP($B395,'Tillförd energi'!$B$1:$AI$720,MATCH(AB$2,'Tillförd energi'!$B$1:$AQ$1,0),FALSE)</f>
        <v>0</v>
      </c>
      <c r="AC395" s="63">
        <f>VLOOKUP($B395,'Tillförd energi'!$B$1:$AI$720,MATCH(AC$2,'Tillförd energi'!$B$1:$AQ$1,0),FALSE)</f>
        <v>0.26600000000000001</v>
      </c>
      <c r="AD395" s="63">
        <f>VLOOKUP($B395,'Tillförd energi'!$B$1:$AI$720,MATCH(AD$2,'Tillförd energi'!$B$1:$AQ$1,0),FALSE)</f>
        <v>18.989999999999998</v>
      </c>
      <c r="AE395" s="63">
        <f>VLOOKUP($B395,'Tillförd energi'!$B$1:$AI$720,MATCH(AE$2,'Tillförd energi'!$B$1:$AQ$1,0),FALSE)</f>
        <v>0</v>
      </c>
      <c r="AF395" s="63">
        <f>VLOOKUP($B395,'Tillförd energi'!$B$1:$AI$720,MATCH(AF$2,'Tillförd energi'!$B$1:$AQ$1,0),FALSE)</f>
        <v>0.48299999999999998</v>
      </c>
      <c r="AG395" s="63">
        <f>IFERROR(VLOOKUP(B395,Miljö!$B$1:$AC$550,MATCH("Köpt mängd produktionsspecifik fjärrvärme:",Miljö!$B$1:$AC$1,0),FALSE)/1,0)</f>
        <v>0</v>
      </c>
      <c r="AI395" s="63">
        <f t="shared" si="36"/>
        <v>28.266000000000002</v>
      </c>
      <c r="AJ395" s="63">
        <f>IF(ISERROR(1/VLOOKUP($B395,Leveranser!$B$1:$S$500,MATCH("såld värme (gwh)",Leveranser!$B$1:$S$1,0),FALSE)),"",VLOOKUP($B395,Leveranser!$B$1:$S$500,MATCH("såld värme (gwh)",Leveranser!$B$1:$S$1,0),FALSE))</f>
        <v>22.417999999999999</v>
      </c>
      <c r="AM395" s="63" t="str">
        <f>IF(B395&lt;&gt;"",IF(VLOOKUP($B395,Totalt!$B$1:$AQ$554,MATCH("Kvalitetsgranskad:",Totalt!$B$1:$AQ$1,0),FALSE)="ja",VLOOKUP($B395,Miljö!$B$1:$AG$479,MATCH(AM$2,Miljö!$B$1:$AK$1,0),FALSE),""),"")</f>
        <v>Ja</v>
      </c>
      <c r="AN395" s="63" t="str">
        <f>IF(AM395="ja",VLOOKUP($B395,Miljö!$B$1:$J$479,MATCH("Typ av ursprungsspecificerad el   (Om inget värde anges används Nordisk residualmix, se inforuta) ()",Miljö!$B$1:$J$1,0),FALSE),IF(AM395="nej","Nordisk residualel",""))</f>
        <v>-</v>
      </c>
      <c r="AO395" s="63">
        <f>IF(AM395="","",VLOOKUP($B395,Miljö!$B$1:$J$479,MATCH("Fossilandel för ursprungspecificerad el ()",Miljö!$B$1:$J$1,0),FALSE))</f>
        <v>0</v>
      </c>
      <c r="AQ395" s="63">
        <f t="shared" si="37"/>
        <v>1</v>
      </c>
      <c r="AS395" s="63" t="str">
        <f t="shared" si="38"/>
        <v>Nej</v>
      </c>
      <c r="AT395" s="63" t="str">
        <f>IF(AS395="ja",VLOOKUP($B395,Miljö!$B$1:$P$500,MATCH("Fossil andel i procent (%)",Miljö!$B$1:$P$1,0),FALSE)/100,"")</f>
        <v/>
      </c>
      <c r="AV395" s="63" t="str">
        <f t="shared" si="39"/>
        <v>Nej</v>
      </c>
      <c r="AW395" s="63" t="str">
        <f>IF(AV395="ja",VLOOKUP($B395,'Egen hetvattenprod'!$B$1:$AO$500,MATCH("Värmekälla till värmepumpar ()",'Egen hetvattenprod'!$B$1:$AO$1,0),FALSE),"")</f>
        <v/>
      </c>
      <c r="AY395" s="63" t="str">
        <f t="shared" si="40"/>
        <v>Ja</v>
      </c>
      <c r="AZ395" s="77">
        <f>IF($AY395="ja",(VLOOKUP($B395,'Egen hetvattenprod'!$B$1:$BX$550,MATCH(AZ$2,'Egen hetvattenprod'!$B$1:$BX$1,0),FALSE)+VLOOKUP($B395,Kraftvärmeprod!$B$1:$BX$550,MATCH(AZ$2,Kraftvärmeprod!$B$1:$BX$1,0),FALSE))/$AC395,"")</f>
        <v>1</v>
      </c>
      <c r="BA395" s="77">
        <f>IF($AY395="ja",(VLOOKUP($B395,'Egen hetvattenprod'!$B$1:$BX$550,MATCH(BA$2,'Egen hetvattenprod'!$B$1:$BX$1,0),FALSE)+VLOOKUP($B395,Kraftvärmeprod!$B$1:$BX$550,MATCH(BA$2,Kraftvärmeprod!$B$1:$BX$1,0),FALSE))/$AC395,"")</f>
        <v>0</v>
      </c>
      <c r="BB395" s="77">
        <f>IF($AY395="ja",(VLOOKUP($B395,'Egen hetvattenprod'!$B$1:$BX$550,MATCH(BB$2,'Egen hetvattenprod'!$B$1:$BX$1,0),FALSE)+VLOOKUP($B395,Kraftvärmeprod!$B$1:$BX$550,MATCH(BB$2,Kraftvärmeprod!$B$1:$BX$1,0),FALSE))/$AC395,"")</f>
        <v>0</v>
      </c>
      <c r="BC395" s="77">
        <f>IF($AY395="ja",(VLOOKUP($B395,'Egen hetvattenprod'!$B$1:$BX$550,MATCH(BC$2,'Egen hetvattenprod'!$B$1:$BX$1,0),FALSE)+VLOOKUP($B395,Kraftvärmeprod!$B$1:$BX$550,MATCH(BC$2,Kraftvärmeprod!$B$1:$BX$1,0),FALSE))/$AC395,"")</f>
        <v>0</v>
      </c>
      <c r="BD395" s="77">
        <f>IF($AY395="ja",(VLOOKUP($B395,'Egen hetvattenprod'!$B$1:$BX$550,MATCH(BD$2,'Egen hetvattenprod'!$B$1:$BX$1,0),FALSE)+VLOOKUP($B395,Kraftvärmeprod!$B$1:$BX$550,MATCH(BD$2,Kraftvärmeprod!$B$1:$BX$1,0),FALSE))/$AC395,"")</f>
        <v>0</v>
      </c>
      <c r="BF395" s="63" t="str">
        <f t="shared" si="41"/>
        <v>Nej</v>
      </c>
      <c r="BG395" s="63" t="str">
        <f>IF($BF395="ja",VLOOKUP($B395,'Egen hetvattenprod'!$B$1:$BX$550,MATCH("Andelen klimatgaser med fossilt ursprung för avfall ()",'Egen hetvattenprod'!$B$1:$BX$1,0),FALSE),"")</f>
        <v/>
      </c>
      <c r="BH395" s="63" t="str">
        <f>IF($BF395="ja",VLOOKUP($B395,Kraftvärmeprod!$B$1:$BX$550,MATCH("Andelen klimatgaser med fossilt ursprung för avfall ()",Kraftvärmeprod!$B$1:$BX$1,0),FALSE),"")</f>
        <v/>
      </c>
      <c r="BI395" s="63" t="str">
        <f>IF($BF395="ja",VLOOKUP($B395,'Egen hetvattenprod'!$B$1:$BX$550,MATCH("Avfall (GWh)",'Egen hetvattenprod'!$B$1:$BX$1,0),FALSE),"")</f>
        <v/>
      </c>
      <c r="BJ395" s="63" t="str">
        <f>IF($BF395="ja",VLOOKUP($B395,'Slutlig allokering kvv'!$B$1:$BX$550,MATCH("Avfall (GWh)",'Slutlig allokering kvv'!$B$1:$BX$1,0),FALSE),"")</f>
        <v/>
      </c>
      <c r="BK395" s="63" t="str">
        <f>IF($BF395="ja",VLOOKUP($B395,'Köpt hetvatten'!$B$1:$BX$550,MATCH("Avfall i köpt hetvatten",'Köpt hetvatten'!$B$1:$BX$1,0),FALSE),"")</f>
        <v/>
      </c>
      <c r="BL395" s="63" t="str">
        <f>IF($BF395="ja",VLOOKUP($B395,'Egen hetvattenprod'!$B$1:$BX$550,MATCH("Värde enligt ovan. (%)",'Egen hetvattenprod'!$B$1:$BX$1,0),FALSE),"")</f>
        <v/>
      </c>
      <c r="BM395" s="63" t="str">
        <f>IF($BF395="ja",VLOOKUP($B395,Kraftvärmeprod!$B$1:$BX$550,MATCH("Värde enligt ovan. (%)",Kraftvärmeprod!$B$1:$BX$1,0),FALSE),"")</f>
        <v/>
      </c>
    </row>
    <row r="396" spans="1:65" x14ac:dyDescent="0.45">
      <c r="A396" s="63" t="s">
        <v>167</v>
      </c>
      <c r="B396" s="63" t="s">
        <v>136</v>
      </c>
      <c r="C396" s="63">
        <f>VLOOKUP($B396,'Tillförd energi'!$B$1:$AI$720,MATCH(C$2,'Tillförd energi'!$B$1:$AQ$1,0),FALSE)</f>
        <v>0</v>
      </c>
      <c r="D396" s="63">
        <f>VLOOKUP($B396,'Tillförd energi'!$B$1:$AI$720,MATCH(D$2,'Tillförd energi'!$B$1:$AQ$1,0),FALSE)</f>
        <v>0</v>
      </c>
      <c r="E396" s="63">
        <f>VLOOKUP($B396,'Tillförd energi'!$B$1:$AI$720,MATCH(E$2,'Tillförd energi'!$B$1:$AQ$1,0),FALSE)</f>
        <v>0</v>
      </c>
      <c r="F396" s="63">
        <f>VLOOKUP($B396,'Tillförd energi'!$B$1:$AI$720,MATCH(F$2,'Tillförd energi'!$B$1:$AQ$1,0),FALSE)</f>
        <v>0</v>
      </c>
      <c r="G396" s="63">
        <f>VLOOKUP($B396,'Tillförd energi'!$B$1:$AI$720,MATCH(G$2,'Tillförd energi'!$B$1:$AQ$1,0),FALSE)</f>
        <v>0</v>
      </c>
      <c r="H396" s="63">
        <f>VLOOKUP($B396,'Tillförd energi'!$B$1:$AI$720,MATCH(H$2,'Tillförd energi'!$B$1:$AQ$1,0),FALSE)</f>
        <v>0</v>
      </c>
      <c r="I396" s="63">
        <f>VLOOKUP($B396,'Tillförd energi'!$B$1:$AI$720,MATCH(I$2,'Tillförd energi'!$B$1:$AQ$1,0),FALSE)</f>
        <v>0</v>
      </c>
      <c r="J396" s="63">
        <f>VLOOKUP($B396,'Tillförd energi'!$B$1:$AI$720,MATCH(J$2,'Tillförd energi'!$B$1:$AQ$1,0),FALSE)</f>
        <v>0</v>
      </c>
      <c r="K396" s="63">
        <f>VLOOKUP($B396,'Tillförd energi'!$B$1:$AI$720,MATCH(K$2,'Tillförd energi'!$B$1:$AQ$1,0),FALSE)</f>
        <v>0</v>
      </c>
      <c r="L396" s="63">
        <f>VLOOKUP($B396,'Tillförd energi'!$B$1:$AI$720,MATCH(L$2,'Tillförd energi'!$B$1:$AQ$1,0),FALSE)</f>
        <v>0</v>
      </c>
      <c r="M396" s="63">
        <f>VLOOKUP($B396,'Tillförd energi'!$B$1:$AI$720,MATCH(M$2,'Tillförd energi'!$B$1:$AQ$1,0),FALSE)</f>
        <v>0</v>
      </c>
      <c r="N396" s="63">
        <f>VLOOKUP($B396,'Tillförd energi'!$B$1:$AI$720,MATCH(N$2,'Tillförd energi'!$B$1:$AQ$1,0),FALSE)</f>
        <v>0</v>
      </c>
      <c r="O396" s="63">
        <f>VLOOKUP($B396,'Tillförd energi'!$B$1:$AI$720,MATCH(O$2,'Tillförd energi'!$B$1:$AQ$1,0),FALSE)</f>
        <v>0</v>
      </c>
      <c r="P396" s="63">
        <f>VLOOKUP($B396,'Tillförd energi'!$B$1:$AI$720,MATCH(P$2,'Tillförd energi'!$B$1:$AQ$1,0),FALSE)</f>
        <v>0</v>
      </c>
      <c r="Q396" s="63">
        <f>VLOOKUP($B396,'Tillförd energi'!$B$1:$AI$720,MATCH(Q$2,'Tillförd energi'!$B$1:$AQ$1,0),FALSE)</f>
        <v>0</v>
      </c>
      <c r="R396" s="63">
        <f>VLOOKUP($B396,'Tillförd energi'!$B$1:$AI$720,MATCH(R$2,'Tillförd energi'!$B$1:$AQ$1,0),FALSE)</f>
        <v>0</v>
      </c>
      <c r="S396" s="63">
        <f>VLOOKUP($B396,'Tillförd energi'!$B$1:$AI$720,MATCH(S$2,'Tillförd energi'!$B$1:$AQ$1,0),FALSE)</f>
        <v>0</v>
      </c>
      <c r="T396" s="63">
        <f>VLOOKUP($B396,'Tillförd energi'!$B$1:$AI$720,MATCH(T$2,'Tillförd energi'!$B$1:$AQ$1,0),FALSE)</f>
        <v>0</v>
      </c>
      <c r="U396" s="63">
        <f>VLOOKUP($B396,'Tillförd energi'!$B$1:$AI$720,MATCH(U$2,'Tillförd energi'!$B$1:$AQ$1,0),FALSE)</f>
        <v>0</v>
      </c>
      <c r="V396" s="63">
        <f>VLOOKUP($B396,'Tillförd energi'!$B$1:$AI$720,MATCH(V$2,'Tillförd energi'!$B$1:$AQ$1,0),FALSE)</f>
        <v>0</v>
      </c>
      <c r="W396" s="63">
        <f>VLOOKUP($B396,'Tillförd energi'!$B$1:$AI$720,MATCH(W$2,'Tillförd energi'!$B$1:$AQ$1,0),FALSE)</f>
        <v>0</v>
      </c>
      <c r="X396" s="63">
        <f>VLOOKUP($B396,'Tillförd energi'!$B$1:$AI$720,MATCH(X$2,'Tillförd energi'!$B$1:$AQ$1,0),FALSE)</f>
        <v>0</v>
      </c>
      <c r="Y396" s="63">
        <f>VLOOKUP($B396,'Tillförd energi'!$B$1:$AI$720,MATCH(Y$2,'Tillförd energi'!$B$1:$AQ$1,0),FALSE)</f>
        <v>0</v>
      </c>
      <c r="Z396" s="63">
        <f>VLOOKUP($B396,'Tillförd energi'!$B$1:$AI$720,MATCH(Z$2,'Tillförd energi'!$B$1:$AQ$1,0),FALSE)</f>
        <v>0</v>
      </c>
      <c r="AA396" s="63">
        <f>VLOOKUP($B396,'Tillförd energi'!$B$1:$AI$720,MATCH(AA$2,'Tillförd energi'!$B$1:$AQ$1,0),FALSE)</f>
        <v>0</v>
      </c>
      <c r="AB396" s="63">
        <f>VLOOKUP($B396,'Tillförd energi'!$B$1:$AI$720,MATCH(AB$2,'Tillförd energi'!$B$1:$AQ$1,0),FALSE)</f>
        <v>0</v>
      </c>
      <c r="AC396" s="63">
        <f>VLOOKUP($B396,'Tillförd energi'!$B$1:$AI$720,MATCH(AC$2,'Tillförd energi'!$B$1:$AQ$1,0),FALSE)</f>
        <v>0</v>
      </c>
      <c r="AD396" s="63">
        <f>VLOOKUP($B396,'Tillförd energi'!$B$1:$AI$720,MATCH(AD$2,'Tillförd energi'!$B$1:$AQ$1,0),FALSE)</f>
        <v>0</v>
      </c>
      <c r="AE396" s="63">
        <f>VLOOKUP($B396,'Tillförd energi'!$B$1:$AI$720,MATCH(AE$2,'Tillförd energi'!$B$1:$AQ$1,0),FALSE)</f>
        <v>0</v>
      </c>
      <c r="AF396" s="63">
        <f>VLOOKUP($B396,'Tillförd energi'!$B$1:$AI$720,MATCH(AF$2,'Tillförd energi'!$B$1:$AQ$1,0),FALSE)</f>
        <v>0</v>
      </c>
      <c r="AG396" s="63">
        <f>IFERROR(VLOOKUP(B396,Miljö!$B$1:$AC$550,MATCH("Köpt mängd produktionsspecifik fjärrvärme:",Miljö!$B$1:$AC$1,0),FALSE)/1,0)</f>
        <v>0</v>
      </c>
      <c r="AI396" s="63">
        <f t="shared" si="36"/>
        <v>0</v>
      </c>
      <c r="AJ396" s="63" t="str">
        <f>IF(ISERROR(1/VLOOKUP($B396,Leveranser!$B$1:$S$500,MATCH("såld värme (gwh)",Leveranser!$B$1:$S$1,0),FALSE)),"",VLOOKUP($B396,Leveranser!$B$1:$S$500,MATCH("såld värme (gwh)",Leveranser!$B$1:$S$1,0),FALSE))</f>
        <v/>
      </c>
      <c r="AM396" s="63" t="str">
        <f>IF(B396&lt;&gt;"",IF(VLOOKUP($B396,Totalt!$B$1:$AQ$554,MATCH("Kvalitetsgranskad:",Totalt!$B$1:$AQ$1,0),FALSE)="ja",VLOOKUP($B396,Miljö!$B$1:$AG$479,MATCH(AM$2,Miljö!$B$1:$AK$1,0),FALSE),""),"")</f>
        <v/>
      </c>
      <c r="AN396" s="63" t="str">
        <f>IF(AM396="ja",VLOOKUP($B396,Miljö!$B$1:$J$479,MATCH("Typ av ursprungsspecificerad el   (Om inget värde anges används Nordisk residualmix, se inforuta) ()",Miljö!$B$1:$J$1,0),FALSE),IF(AM396="nej","Nordisk residualel",""))</f>
        <v/>
      </c>
      <c r="AO396" s="63" t="str">
        <f>IF(AM396="","",VLOOKUP($B396,Miljö!$B$1:$J$479,MATCH("Fossilandel för ursprungspecificerad el ()",Miljö!$B$1:$J$1,0),FALSE))</f>
        <v/>
      </c>
      <c r="AQ396" s="63" t="str">
        <f t="shared" si="37"/>
        <v/>
      </c>
      <c r="AS396" s="63" t="str">
        <f t="shared" si="38"/>
        <v>Nej</v>
      </c>
      <c r="AT396" s="63" t="str">
        <f>IF(AS396="ja",VLOOKUP($B396,Miljö!$B$1:$P$500,MATCH("Fossil andel i procent (%)",Miljö!$B$1:$P$1,0),FALSE)/100,"")</f>
        <v/>
      </c>
      <c r="AV396" s="63" t="str">
        <f t="shared" si="39"/>
        <v>Nej</v>
      </c>
      <c r="AW396" s="63" t="str">
        <f>IF(AV396="ja",VLOOKUP($B396,'Egen hetvattenprod'!$B$1:$AO$500,MATCH("Värmekälla till värmepumpar ()",'Egen hetvattenprod'!$B$1:$AO$1,0),FALSE),"")</f>
        <v/>
      </c>
      <c r="AY396" s="63" t="str">
        <f t="shared" si="40"/>
        <v>Nej</v>
      </c>
      <c r="AZ396" s="77" t="str">
        <f>IF($AY396="ja",(VLOOKUP($B396,'Egen hetvattenprod'!$B$1:$BX$550,MATCH(AZ$2,'Egen hetvattenprod'!$B$1:$BX$1,0),FALSE)+VLOOKUP($B396,Kraftvärmeprod!$B$1:$BX$550,MATCH(AZ$2,Kraftvärmeprod!$B$1:$BX$1,0),FALSE))/$AC396,"")</f>
        <v/>
      </c>
      <c r="BA396" s="77" t="str">
        <f>IF($AY396="ja",(VLOOKUP($B396,'Egen hetvattenprod'!$B$1:$BX$550,MATCH(BA$2,'Egen hetvattenprod'!$B$1:$BX$1,0),FALSE)+VLOOKUP($B396,Kraftvärmeprod!$B$1:$BX$550,MATCH(BA$2,Kraftvärmeprod!$B$1:$BX$1,0),FALSE))/$AC396,"")</f>
        <v/>
      </c>
      <c r="BB396" s="77" t="str">
        <f>IF($AY396="ja",(VLOOKUP($B396,'Egen hetvattenprod'!$B$1:$BX$550,MATCH(BB$2,'Egen hetvattenprod'!$B$1:$BX$1,0),FALSE)+VLOOKUP($B396,Kraftvärmeprod!$B$1:$BX$550,MATCH(BB$2,Kraftvärmeprod!$B$1:$BX$1,0),FALSE))/$AC396,"")</f>
        <v/>
      </c>
      <c r="BC396" s="77" t="str">
        <f>IF($AY396="ja",(VLOOKUP($B396,'Egen hetvattenprod'!$B$1:$BX$550,MATCH(BC$2,'Egen hetvattenprod'!$B$1:$BX$1,0),FALSE)+VLOOKUP($B396,Kraftvärmeprod!$B$1:$BX$550,MATCH(BC$2,Kraftvärmeprod!$B$1:$BX$1,0),FALSE))/$AC396,"")</f>
        <v/>
      </c>
      <c r="BD396" s="77" t="str">
        <f>IF($AY396="ja",(VLOOKUP($B396,'Egen hetvattenprod'!$B$1:$BX$550,MATCH(BD$2,'Egen hetvattenprod'!$B$1:$BX$1,0),FALSE)+VLOOKUP($B396,Kraftvärmeprod!$B$1:$BX$550,MATCH(BD$2,Kraftvärmeprod!$B$1:$BX$1,0),FALSE))/$AC396,"")</f>
        <v/>
      </c>
      <c r="BF396" s="63" t="str">
        <f t="shared" si="41"/>
        <v>Nej</v>
      </c>
      <c r="BG396" s="63" t="str">
        <f>IF($BF396="ja",VLOOKUP($B396,'Egen hetvattenprod'!$B$1:$BX$550,MATCH("Andelen klimatgaser med fossilt ursprung för avfall ()",'Egen hetvattenprod'!$B$1:$BX$1,0),FALSE),"")</f>
        <v/>
      </c>
      <c r="BH396" s="63" t="str">
        <f>IF($BF396="ja",VLOOKUP($B396,Kraftvärmeprod!$B$1:$BX$550,MATCH("Andelen klimatgaser med fossilt ursprung för avfall ()",Kraftvärmeprod!$B$1:$BX$1,0),FALSE),"")</f>
        <v/>
      </c>
      <c r="BI396" s="63" t="str">
        <f>IF($BF396="ja",VLOOKUP($B396,'Egen hetvattenprod'!$B$1:$BX$550,MATCH("Avfall (GWh)",'Egen hetvattenprod'!$B$1:$BX$1,0),FALSE),"")</f>
        <v/>
      </c>
      <c r="BJ396" s="63" t="str">
        <f>IF($BF396="ja",VLOOKUP($B396,'Slutlig allokering kvv'!$B$1:$BX$550,MATCH("Avfall (GWh)",'Slutlig allokering kvv'!$B$1:$BX$1,0),FALSE),"")</f>
        <v/>
      </c>
      <c r="BK396" s="63" t="str">
        <f>IF($BF396="ja",VLOOKUP($B396,'Köpt hetvatten'!$B$1:$BX$550,MATCH("Avfall i köpt hetvatten",'Köpt hetvatten'!$B$1:$BX$1,0),FALSE),"")</f>
        <v/>
      </c>
      <c r="BL396" s="63" t="str">
        <f>IF($BF396="ja",VLOOKUP($B396,'Egen hetvattenprod'!$B$1:$BX$550,MATCH("Värde enligt ovan. (%)",'Egen hetvattenprod'!$B$1:$BX$1,0),FALSE),"")</f>
        <v/>
      </c>
      <c r="BM396" s="63" t="str">
        <f>IF($BF396="ja",VLOOKUP($B396,Kraftvärmeprod!$B$1:$BX$550,MATCH("Värde enligt ovan. (%)",Kraftvärmeprod!$B$1:$BX$1,0),FALSE),"")</f>
        <v/>
      </c>
    </row>
    <row r="397" spans="1:65" x14ac:dyDescent="0.45">
      <c r="A397" s="63" t="s">
        <v>162</v>
      </c>
      <c r="B397" s="63" t="s">
        <v>166</v>
      </c>
      <c r="C397" s="63">
        <f>VLOOKUP($B397,'Tillförd energi'!$B$1:$AI$720,MATCH(C$2,'Tillförd energi'!$B$1:$AQ$1,0),FALSE)</f>
        <v>0</v>
      </c>
      <c r="D397" s="63">
        <f>VLOOKUP($B397,'Tillförd energi'!$B$1:$AI$720,MATCH(D$2,'Tillförd energi'!$B$1:$AQ$1,0),FALSE)</f>
        <v>0.249</v>
      </c>
      <c r="E397" s="63">
        <f>VLOOKUP($B397,'Tillförd energi'!$B$1:$AI$720,MATCH(E$2,'Tillförd energi'!$B$1:$AQ$1,0),FALSE)</f>
        <v>0</v>
      </c>
      <c r="F397" s="63">
        <f>VLOOKUP($B397,'Tillförd energi'!$B$1:$AI$720,MATCH(F$2,'Tillförd energi'!$B$1:$AQ$1,0),FALSE)</f>
        <v>1.5669999999999999</v>
      </c>
      <c r="G397" s="63">
        <f>VLOOKUP($B397,'Tillförd energi'!$B$1:$AI$720,MATCH(G$2,'Tillförd energi'!$B$1:$AQ$1,0),FALSE)</f>
        <v>0</v>
      </c>
      <c r="H397" s="63">
        <f>VLOOKUP($B397,'Tillförd energi'!$B$1:$AI$720,MATCH(H$2,'Tillförd energi'!$B$1:$AQ$1,0),FALSE)</f>
        <v>0</v>
      </c>
      <c r="I397" s="63">
        <f>VLOOKUP($B397,'Tillförd energi'!$B$1:$AI$720,MATCH(I$2,'Tillförd energi'!$B$1:$AQ$1,0),FALSE)</f>
        <v>274.24</v>
      </c>
      <c r="J397" s="63">
        <f>VLOOKUP($B397,'Tillförd energi'!$B$1:$AI$720,MATCH(J$2,'Tillförd energi'!$B$1:$AQ$1,0),FALSE)</f>
        <v>5.7682399999999996</v>
      </c>
      <c r="K397" s="63">
        <f>VLOOKUP($B397,'Tillförd energi'!$B$1:$AI$720,MATCH(K$2,'Tillförd energi'!$B$1:$AQ$1,0),FALSE)</f>
        <v>0</v>
      </c>
      <c r="L397" s="63">
        <f>VLOOKUP($B397,'Tillförd energi'!$B$1:$AI$720,MATCH(L$2,'Tillförd energi'!$B$1:$AQ$1,0),FALSE)</f>
        <v>0</v>
      </c>
      <c r="M397" s="63">
        <f>VLOOKUP($B397,'Tillförd energi'!$B$1:$AI$720,MATCH(M$2,'Tillförd energi'!$B$1:$AQ$1,0),FALSE)</f>
        <v>0</v>
      </c>
      <c r="N397" s="63">
        <f>VLOOKUP($B397,'Tillförd energi'!$B$1:$AI$720,MATCH(N$2,'Tillförd energi'!$B$1:$AQ$1,0),FALSE)</f>
        <v>0</v>
      </c>
      <c r="O397" s="63">
        <f>VLOOKUP($B397,'Tillförd energi'!$B$1:$AI$720,MATCH(O$2,'Tillförd energi'!$B$1:$AQ$1,0),FALSE)</f>
        <v>0</v>
      </c>
      <c r="P397" s="63">
        <f>VLOOKUP($B397,'Tillförd energi'!$B$1:$AI$720,MATCH(P$2,'Tillförd energi'!$B$1:$AQ$1,0),FALSE)</f>
        <v>0</v>
      </c>
      <c r="Q397" s="63">
        <f>VLOOKUP($B397,'Tillförd energi'!$B$1:$AI$720,MATCH(Q$2,'Tillförd energi'!$B$1:$AQ$1,0),FALSE)</f>
        <v>0</v>
      </c>
      <c r="R397" s="63">
        <f>VLOOKUP($B397,'Tillförd energi'!$B$1:$AI$720,MATCH(R$2,'Tillförd energi'!$B$1:$AQ$1,0),FALSE)</f>
        <v>149.1</v>
      </c>
      <c r="S397" s="63">
        <f>VLOOKUP($B397,'Tillförd energi'!$B$1:$AI$720,MATCH(S$2,'Tillförd energi'!$B$1:$AQ$1,0),FALSE)</f>
        <v>0</v>
      </c>
      <c r="T397" s="63">
        <f>VLOOKUP($B397,'Tillförd energi'!$B$1:$AI$720,MATCH(T$2,'Tillförd energi'!$B$1:$AQ$1,0),FALSE)</f>
        <v>0</v>
      </c>
      <c r="U397" s="63">
        <f>VLOOKUP($B397,'Tillförd energi'!$B$1:$AI$720,MATCH(U$2,'Tillförd energi'!$B$1:$AQ$1,0),FALSE)</f>
        <v>0</v>
      </c>
      <c r="V397" s="63">
        <f>VLOOKUP($B397,'Tillförd energi'!$B$1:$AI$720,MATCH(V$2,'Tillförd energi'!$B$1:$AQ$1,0),FALSE)</f>
        <v>0</v>
      </c>
      <c r="W397" s="63">
        <f>VLOOKUP($B397,'Tillförd energi'!$B$1:$AI$720,MATCH(W$2,'Tillförd energi'!$B$1:$AQ$1,0),FALSE)</f>
        <v>1.29</v>
      </c>
      <c r="X397" s="63">
        <f>VLOOKUP($B397,'Tillförd energi'!$B$1:$AI$720,MATCH(X$2,'Tillförd energi'!$B$1:$AQ$1,0),FALSE)</f>
        <v>0</v>
      </c>
      <c r="Y397" s="63">
        <f>VLOOKUP($B397,'Tillförd energi'!$B$1:$AI$720,MATCH(Y$2,'Tillförd energi'!$B$1:$AQ$1,0),FALSE)</f>
        <v>0</v>
      </c>
      <c r="Z397" s="63">
        <f>VLOOKUP($B397,'Tillförd energi'!$B$1:$AI$720,MATCH(Z$2,'Tillförd energi'!$B$1:$AQ$1,0),FALSE)</f>
        <v>0</v>
      </c>
      <c r="AA397" s="63">
        <f>VLOOKUP($B397,'Tillförd energi'!$B$1:$AI$720,MATCH(AA$2,'Tillförd energi'!$B$1:$AQ$1,0),FALSE)</f>
        <v>13.202</v>
      </c>
      <c r="AB397" s="63">
        <f>VLOOKUP($B397,'Tillförd energi'!$B$1:$AI$720,MATCH(AB$2,'Tillförd energi'!$B$1:$AQ$1,0),FALSE)</f>
        <v>26.902000000000001</v>
      </c>
      <c r="AC397" s="63">
        <f>VLOOKUP($B397,'Tillförd energi'!$B$1:$AI$720,MATCH(AC$2,'Tillförd energi'!$B$1:$AQ$1,0),FALSE)</f>
        <v>92.77</v>
      </c>
      <c r="AD397" s="63">
        <f>VLOOKUP($B397,'Tillförd energi'!$B$1:$AI$720,MATCH(AD$2,'Tillförd energi'!$B$1:$AQ$1,0),FALSE)</f>
        <v>379.42700000000002</v>
      </c>
      <c r="AE397" s="63">
        <f>VLOOKUP($B397,'Tillförd energi'!$B$1:$AI$720,MATCH(AE$2,'Tillförd energi'!$B$1:$AQ$1,0),FALSE)</f>
        <v>0</v>
      </c>
      <c r="AF397" s="63">
        <f>VLOOKUP($B397,'Tillförd energi'!$B$1:$AI$720,MATCH(AF$2,'Tillförd energi'!$B$1:$AQ$1,0),FALSE)</f>
        <v>19.2775</v>
      </c>
      <c r="AG397" s="63">
        <f>IFERROR(VLOOKUP(B397,Miljö!$B$1:$AC$550,MATCH("Köpt mängd produktionsspecifik fjärrvärme:",Miljö!$B$1:$AC$1,0),FALSE)/1,0)</f>
        <v>25.8</v>
      </c>
      <c r="AI397" s="63">
        <f t="shared" si="36"/>
        <v>989.59273999999994</v>
      </c>
      <c r="AJ397" s="63">
        <f>IF(ISERROR(1/VLOOKUP($B397,Leveranser!$B$1:$S$500,MATCH("såld värme (gwh)",Leveranser!$B$1:$S$1,0),FALSE)),"",VLOOKUP($B397,Leveranser!$B$1:$S$500,MATCH("såld värme (gwh)",Leveranser!$B$1:$S$1,0),FALSE))</f>
        <v>958.4</v>
      </c>
      <c r="AM397" s="63" t="str">
        <f>IF(B397&lt;&gt;"",IF(VLOOKUP($B397,Totalt!$B$1:$AQ$554,MATCH("Kvalitetsgranskad:",Totalt!$B$1:$AQ$1,0),FALSE)="ja",VLOOKUP($B397,Miljö!$B$1:$AG$479,MATCH(AM$2,Miljö!$B$1:$AK$1,0),FALSE),""),"")</f>
        <v>Ja</v>
      </c>
      <c r="AN397" s="63" t="str">
        <f>IF(AM397="ja",VLOOKUP($B397,Miljö!$B$1:$J$479,MATCH("Typ av ursprungsspecificerad el   (Om inget värde anges används Nordisk residualmix, se inforuta) ()",Miljö!$B$1:$J$1,0),FALSE),IF(AM397="nej","Nordisk residualel",""))</f>
        <v>'Bra Miljöval och egenproducerad el'</v>
      </c>
      <c r="AO397" s="63">
        <f>IF(AM397="","",VLOOKUP($B397,Miljö!$B$1:$J$479,MATCH("Fossilandel för ursprungspecificerad el ()",Miljö!$B$1:$J$1,0),FALSE))</f>
        <v>1E-3</v>
      </c>
      <c r="AQ397" s="63">
        <f t="shared" si="37"/>
        <v>0.999</v>
      </c>
      <c r="AS397" s="63" t="str">
        <f t="shared" si="38"/>
        <v>Ja</v>
      </c>
      <c r="AT397" s="63">
        <f>IF(AS397="ja",VLOOKUP($B397,Miljö!$B$1:$P$500,MATCH("Fossil andel i procent (%)",Miljö!$B$1:$P$1,0),FALSE)/100,"")</f>
        <v>0</v>
      </c>
      <c r="AV397" s="63" t="str">
        <f t="shared" si="39"/>
        <v>Ja</v>
      </c>
      <c r="AW397" s="63" t="str">
        <f>IF(AV397="ja",VLOOKUP($B397,'Egen hetvattenprod'!$B$1:$AO$500,MATCH("Värmekälla till värmepumpar ()",'Egen hetvattenprod'!$B$1:$AO$1,0),FALSE),"")</f>
        <v>Renat avloppsvatten</v>
      </c>
      <c r="AY397" s="63" t="str">
        <f t="shared" si="40"/>
        <v>Ja</v>
      </c>
      <c r="AZ397" s="77">
        <f>IF($AY397="ja",(VLOOKUP($B397,'Egen hetvattenprod'!$B$1:$BX$550,MATCH(AZ$2,'Egen hetvattenprod'!$B$1:$BX$1,0),FALSE)+VLOOKUP($B397,Kraftvärmeprod!$B$1:$BX$550,MATCH(AZ$2,Kraftvärmeprod!$B$1:$BX$1,0),FALSE))/$AC397,"")</f>
        <v>0</v>
      </c>
      <c r="BA397" s="77">
        <f>IF($AY397="ja",(VLOOKUP($B397,'Egen hetvattenprod'!$B$1:$BX$550,MATCH(BA$2,'Egen hetvattenprod'!$B$1:$BX$1,0),FALSE)+VLOOKUP($B397,Kraftvärmeprod!$B$1:$BX$550,MATCH(BA$2,Kraftvärmeprod!$B$1:$BX$1,0),FALSE))/$AC397,"")</f>
        <v>0</v>
      </c>
      <c r="BB397" s="77">
        <f>IF($AY397="ja",(VLOOKUP($B397,'Egen hetvattenprod'!$B$1:$BX$550,MATCH(BB$2,'Egen hetvattenprod'!$B$1:$BX$1,0),FALSE)+VLOOKUP($B397,Kraftvärmeprod!$B$1:$BX$550,MATCH(BB$2,Kraftvärmeprod!$B$1:$BX$1,0),FALSE))/$AC397,"")</f>
        <v>0</v>
      </c>
      <c r="BC397" s="77">
        <f>IF($AY397="ja",(VLOOKUP($B397,'Egen hetvattenprod'!$B$1:$BX$550,MATCH(BC$2,'Egen hetvattenprod'!$B$1:$BX$1,0),FALSE)+VLOOKUP($B397,Kraftvärmeprod!$B$1:$BX$550,MATCH(BC$2,Kraftvärmeprod!$B$1:$BX$1,0),FALSE))/$AC397,"")</f>
        <v>0</v>
      </c>
      <c r="BD397" s="77">
        <f>IF($AY397="ja",(VLOOKUP($B397,'Egen hetvattenprod'!$B$1:$BX$550,MATCH(BD$2,'Egen hetvattenprod'!$B$1:$BX$1,0),FALSE)+VLOOKUP($B397,Kraftvärmeprod!$B$1:$BX$550,MATCH(BD$2,Kraftvärmeprod!$B$1:$BX$1,0),FALSE))/$AC397,"")</f>
        <v>0</v>
      </c>
      <c r="BF397" s="63" t="str">
        <f t="shared" si="41"/>
        <v>Ja</v>
      </c>
      <c r="BG397" s="63" t="str">
        <f>IF($BF397="ja",VLOOKUP($B397,'Egen hetvattenprod'!$B$1:$BX$550,MATCH("Andelen klimatgaser med fossilt ursprung för avfall ()",'Egen hetvattenprod'!$B$1:$BX$1,0),FALSE),"")</f>
        <v>ET</v>
      </c>
      <c r="BH397" s="63" t="str">
        <f>IF($BF397="ja",VLOOKUP($B397,Kraftvärmeprod!$B$1:$BX$550,MATCH("Andelen klimatgaser med fossilt ursprung för avfall ()",Kraftvärmeprod!$B$1:$BX$1,0),FALSE),"")</f>
        <v>Schablon</v>
      </c>
      <c r="BI397" s="63" t="str">
        <f>IF($BF397="ja",VLOOKUP($B397,'Egen hetvattenprod'!$B$1:$BX$550,MATCH("Avfall (GWh)",'Egen hetvattenprod'!$B$1:$BX$1,0),FALSE),"")</f>
        <v>ET</v>
      </c>
      <c r="BJ397" s="63">
        <f>IF($BF397="ja",VLOOKUP($B397,'Slutlig allokering kvv'!$B$1:$BX$550,MATCH("Avfall (GWh)",'Slutlig allokering kvv'!$B$1:$BX$1,0),FALSE),"")</f>
        <v>274.24</v>
      </c>
      <c r="BK397" s="63">
        <f>IF($BF397="ja",VLOOKUP($B397,'Köpt hetvatten'!$B$1:$BX$550,MATCH("Avfall i köpt hetvatten",'Köpt hetvatten'!$B$1:$BX$1,0),FALSE),"")</f>
        <v>0</v>
      </c>
      <c r="BL397" s="63" t="str">
        <f>IF($BF397="ja",VLOOKUP($B397,'Egen hetvattenprod'!$B$1:$BX$550,MATCH("Värde enligt ovan. (%)",'Egen hetvattenprod'!$B$1:$BX$1,0),FALSE),"")</f>
        <v>ET</v>
      </c>
      <c r="BM397" s="63">
        <f>IF($BF397="ja",VLOOKUP($B397,Kraftvärmeprod!$B$1:$BX$550,MATCH("Värde enligt ovan. (%)",Kraftvärmeprod!$B$1:$BX$1,0),FALSE),"")</f>
        <v>37.299999999999997</v>
      </c>
    </row>
    <row r="398" spans="1:65" x14ac:dyDescent="0.45">
      <c r="A398" s="63" t="s">
        <v>162</v>
      </c>
      <c r="B398" s="63" t="s">
        <v>164</v>
      </c>
      <c r="C398" s="63">
        <f>VLOOKUP($B398,'Tillförd energi'!$B$1:$AI$720,MATCH(C$2,'Tillförd energi'!$B$1:$AQ$1,0),FALSE)</f>
        <v>0</v>
      </c>
      <c r="D398" s="63">
        <f>VLOOKUP($B398,'Tillförd energi'!$B$1:$AI$720,MATCH(D$2,'Tillförd energi'!$B$1:$AQ$1,0),FALSE)</f>
        <v>1.2E-2</v>
      </c>
      <c r="E398" s="63">
        <f>VLOOKUP($B398,'Tillförd energi'!$B$1:$AI$720,MATCH(E$2,'Tillförd energi'!$B$1:$AQ$1,0),FALSE)</f>
        <v>0</v>
      </c>
      <c r="F398" s="63">
        <f>VLOOKUP($B398,'Tillförd energi'!$B$1:$AI$720,MATCH(F$2,'Tillförd energi'!$B$1:$AQ$1,0),FALSE)</f>
        <v>0</v>
      </c>
      <c r="G398" s="63">
        <f>VLOOKUP($B398,'Tillförd energi'!$B$1:$AI$720,MATCH(G$2,'Tillförd energi'!$B$1:$AQ$1,0),FALSE)</f>
        <v>0</v>
      </c>
      <c r="H398" s="63">
        <f>VLOOKUP($B398,'Tillförd energi'!$B$1:$AI$720,MATCH(H$2,'Tillförd energi'!$B$1:$AQ$1,0),FALSE)</f>
        <v>0</v>
      </c>
      <c r="I398" s="63">
        <f>VLOOKUP($B398,'Tillförd energi'!$B$1:$AI$720,MATCH(I$2,'Tillförd energi'!$B$1:$AQ$1,0),FALSE)</f>
        <v>0</v>
      </c>
      <c r="J398" s="63">
        <f>VLOOKUP($B398,'Tillförd energi'!$B$1:$AI$720,MATCH(J$2,'Tillförd energi'!$B$1:$AQ$1,0),FALSE)</f>
        <v>0</v>
      </c>
      <c r="K398" s="63">
        <f>VLOOKUP($B398,'Tillförd energi'!$B$1:$AI$720,MATCH(K$2,'Tillförd energi'!$B$1:$AQ$1,0),FALSE)</f>
        <v>0</v>
      </c>
      <c r="L398" s="63">
        <f>VLOOKUP($B398,'Tillförd energi'!$B$1:$AI$720,MATCH(L$2,'Tillförd energi'!$B$1:$AQ$1,0),FALSE)</f>
        <v>0</v>
      </c>
      <c r="M398" s="63">
        <f>VLOOKUP($B398,'Tillförd energi'!$B$1:$AI$720,MATCH(M$2,'Tillförd energi'!$B$1:$AQ$1,0),FALSE)</f>
        <v>0</v>
      </c>
      <c r="N398" s="63">
        <f>VLOOKUP($B398,'Tillförd energi'!$B$1:$AI$720,MATCH(N$2,'Tillförd energi'!$B$1:$AQ$1,0),FALSE)</f>
        <v>0</v>
      </c>
      <c r="O398" s="63">
        <f>VLOOKUP($B398,'Tillförd energi'!$B$1:$AI$720,MATCH(O$2,'Tillförd energi'!$B$1:$AQ$1,0),FALSE)</f>
        <v>0</v>
      </c>
      <c r="P398" s="63">
        <f>VLOOKUP($B398,'Tillförd energi'!$B$1:$AI$720,MATCH(P$2,'Tillförd energi'!$B$1:$AQ$1,0),FALSE)</f>
        <v>0</v>
      </c>
      <c r="Q398" s="63">
        <f>VLOOKUP($B398,'Tillförd energi'!$B$1:$AI$720,MATCH(Q$2,'Tillförd energi'!$B$1:$AQ$1,0),FALSE)</f>
        <v>0</v>
      </c>
      <c r="R398" s="63">
        <f>VLOOKUP($B398,'Tillförd energi'!$B$1:$AI$720,MATCH(R$2,'Tillförd energi'!$B$1:$AQ$1,0),FALSE)</f>
        <v>2.4750000000000001</v>
      </c>
      <c r="S398" s="63">
        <f>VLOOKUP($B398,'Tillförd energi'!$B$1:$AI$720,MATCH(S$2,'Tillförd energi'!$B$1:$AQ$1,0),FALSE)</f>
        <v>0</v>
      </c>
      <c r="T398" s="63">
        <f>VLOOKUP($B398,'Tillförd energi'!$B$1:$AI$720,MATCH(T$2,'Tillförd energi'!$B$1:$AQ$1,0),FALSE)</f>
        <v>0</v>
      </c>
      <c r="U398" s="63">
        <f>VLOOKUP($B398,'Tillförd energi'!$B$1:$AI$720,MATCH(U$2,'Tillförd energi'!$B$1:$AQ$1,0),FALSE)</f>
        <v>0</v>
      </c>
      <c r="V398" s="63">
        <f>VLOOKUP($B398,'Tillförd energi'!$B$1:$AI$720,MATCH(V$2,'Tillförd energi'!$B$1:$AQ$1,0),FALSE)</f>
        <v>0</v>
      </c>
      <c r="W398" s="63">
        <f>VLOOKUP($B398,'Tillförd energi'!$B$1:$AI$720,MATCH(W$2,'Tillförd energi'!$B$1:$AQ$1,0),FALSE)</f>
        <v>0</v>
      </c>
      <c r="X398" s="63">
        <f>VLOOKUP($B398,'Tillförd energi'!$B$1:$AI$720,MATCH(X$2,'Tillförd energi'!$B$1:$AQ$1,0),FALSE)</f>
        <v>0</v>
      </c>
      <c r="Y398" s="63">
        <f>VLOOKUP($B398,'Tillförd energi'!$B$1:$AI$720,MATCH(Y$2,'Tillförd energi'!$B$1:$AQ$1,0),FALSE)</f>
        <v>0</v>
      </c>
      <c r="Z398" s="63">
        <f>VLOOKUP($B398,'Tillförd energi'!$B$1:$AI$720,MATCH(Z$2,'Tillförd energi'!$B$1:$AQ$1,0),FALSE)</f>
        <v>0</v>
      </c>
      <c r="AA398" s="63">
        <f>VLOOKUP($B398,'Tillförd energi'!$B$1:$AI$720,MATCH(AA$2,'Tillförd energi'!$B$1:$AQ$1,0),FALSE)</f>
        <v>0</v>
      </c>
      <c r="AB398" s="63">
        <f>VLOOKUP($B398,'Tillförd energi'!$B$1:$AI$720,MATCH(AB$2,'Tillförd energi'!$B$1:$AQ$1,0),FALSE)</f>
        <v>0</v>
      </c>
      <c r="AC398" s="63">
        <f>VLOOKUP($B398,'Tillförd energi'!$B$1:$AI$720,MATCH(AC$2,'Tillförd energi'!$B$1:$AQ$1,0),FALSE)</f>
        <v>0</v>
      </c>
      <c r="AD398" s="63">
        <f>VLOOKUP($B398,'Tillförd energi'!$B$1:$AI$720,MATCH(AD$2,'Tillförd energi'!$B$1:$AQ$1,0),FALSE)</f>
        <v>0</v>
      </c>
      <c r="AE398" s="63">
        <f>VLOOKUP($B398,'Tillförd energi'!$B$1:$AI$720,MATCH(AE$2,'Tillförd energi'!$B$1:$AQ$1,0),FALSE)</f>
        <v>0</v>
      </c>
      <c r="AF398" s="63">
        <f>VLOOKUP($B398,'Tillförd energi'!$B$1:$AI$720,MATCH(AF$2,'Tillförd energi'!$B$1:$AQ$1,0),FALSE)</f>
        <v>5.4899999999999997E-2</v>
      </c>
      <c r="AG398" s="63">
        <f>IFERROR(VLOOKUP(B398,Miljö!$B$1:$AC$550,MATCH("Köpt mängd produktionsspecifik fjärrvärme:",Miljö!$B$1:$AC$1,0),FALSE)/1,0)</f>
        <v>0</v>
      </c>
      <c r="AI398" s="63">
        <f t="shared" si="36"/>
        <v>2.5419</v>
      </c>
      <c r="AJ398" s="63">
        <f>IF(ISERROR(1/VLOOKUP($B398,Leveranser!$B$1:$S$500,MATCH("såld värme (gwh)",Leveranser!$B$1:$S$1,0),FALSE)),"",VLOOKUP($B398,Leveranser!$B$1:$S$500,MATCH("såld värme (gwh)",Leveranser!$B$1:$S$1,0),FALSE))</f>
        <v>1.83</v>
      </c>
      <c r="AM398" s="63" t="str">
        <f>IF(B398&lt;&gt;"",IF(VLOOKUP($B398,Totalt!$B$1:$AQ$554,MATCH("Kvalitetsgranskad:",Totalt!$B$1:$AQ$1,0),FALSE)="ja",VLOOKUP($B398,Miljö!$B$1:$AG$479,MATCH(AM$2,Miljö!$B$1:$AK$1,0),FALSE),""),"")</f>
        <v>Ja</v>
      </c>
      <c r="AN398" s="63" t="str">
        <f>IF(AM398="ja",VLOOKUP($B398,Miljö!$B$1:$J$479,MATCH("Typ av ursprungsspecificerad el   (Om inget värde anges används Nordisk residualmix, se inforuta) ()",Miljö!$B$1:$J$1,0),FALSE),IF(AM398="nej","Nordisk residualel",""))</f>
        <v>'Bra miljöval'</v>
      </c>
      <c r="AO398" s="63">
        <f>IF(AM398="","",VLOOKUP($B398,Miljö!$B$1:$J$479,MATCH("Fossilandel för ursprungspecificerad el ()",Miljö!$B$1:$J$1,0),FALSE))</f>
        <v>0</v>
      </c>
      <c r="AQ398" s="63">
        <f t="shared" si="37"/>
        <v>1</v>
      </c>
      <c r="AS398" s="63" t="str">
        <f t="shared" si="38"/>
        <v>Nej</v>
      </c>
      <c r="AT398" s="63" t="str">
        <f>IF(AS398="ja",VLOOKUP($B398,Miljö!$B$1:$P$500,MATCH("Fossil andel i procent (%)",Miljö!$B$1:$P$1,0),FALSE)/100,"")</f>
        <v/>
      </c>
      <c r="AV398" s="63" t="str">
        <f t="shared" si="39"/>
        <v>Nej</v>
      </c>
      <c r="AW398" s="63" t="str">
        <f>IF(AV398="ja",VLOOKUP($B398,'Egen hetvattenprod'!$B$1:$AO$500,MATCH("Värmekälla till värmepumpar ()",'Egen hetvattenprod'!$B$1:$AO$1,0),FALSE),"")</f>
        <v/>
      </c>
      <c r="AY398" s="63" t="str">
        <f t="shared" si="40"/>
        <v>Nej</v>
      </c>
      <c r="AZ398" s="77" t="str">
        <f>IF($AY398="ja",(VLOOKUP($B398,'Egen hetvattenprod'!$B$1:$BX$550,MATCH(AZ$2,'Egen hetvattenprod'!$B$1:$BX$1,0),FALSE)+VLOOKUP($B398,Kraftvärmeprod!$B$1:$BX$550,MATCH(AZ$2,Kraftvärmeprod!$B$1:$BX$1,0),FALSE))/$AC398,"")</f>
        <v/>
      </c>
      <c r="BA398" s="77" t="str">
        <f>IF($AY398="ja",(VLOOKUP($B398,'Egen hetvattenprod'!$B$1:$BX$550,MATCH(BA$2,'Egen hetvattenprod'!$B$1:$BX$1,0),FALSE)+VLOOKUP($B398,Kraftvärmeprod!$B$1:$BX$550,MATCH(BA$2,Kraftvärmeprod!$B$1:$BX$1,0),FALSE))/$AC398,"")</f>
        <v/>
      </c>
      <c r="BB398" s="77" t="str">
        <f>IF($AY398="ja",(VLOOKUP($B398,'Egen hetvattenprod'!$B$1:$BX$550,MATCH(BB$2,'Egen hetvattenprod'!$B$1:$BX$1,0),FALSE)+VLOOKUP($B398,Kraftvärmeprod!$B$1:$BX$550,MATCH(BB$2,Kraftvärmeprod!$B$1:$BX$1,0),FALSE))/$AC398,"")</f>
        <v/>
      </c>
      <c r="BC398" s="77" t="str">
        <f>IF($AY398="ja",(VLOOKUP($B398,'Egen hetvattenprod'!$B$1:$BX$550,MATCH(BC$2,'Egen hetvattenprod'!$B$1:$BX$1,0),FALSE)+VLOOKUP($B398,Kraftvärmeprod!$B$1:$BX$550,MATCH(BC$2,Kraftvärmeprod!$B$1:$BX$1,0),FALSE))/$AC398,"")</f>
        <v/>
      </c>
      <c r="BD398" s="77" t="str">
        <f>IF($AY398="ja",(VLOOKUP($B398,'Egen hetvattenprod'!$B$1:$BX$550,MATCH(BD$2,'Egen hetvattenprod'!$B$1:$BX$1,0),FALSE)+VLOOKUP($B398,Kraftvärmeprod!$B$1:$BX$550,MATCH(BD$2,Kraftvärmeprod!$B$1:$BX$1,0),FALSE))/$AC398,"")</f>
        <v/>
      </c>
      <c r="BF398" s="63" t="str">
        <f t="shared" si="41"/>
        <v>Nej</v>
      </c>
      <c r="BG398" s="63" t="str">
        <f>IF($BF398="ja",VLOOKUP($B398,'Egen hetvattenprod'!$B$1:$BX$550,MATCH("Andelen klimatgaser med fossilt ursprung för avfall ()",'Egen hetvattenprod'!$B$1:$BX$1,0),FALSE),"")</f>
        <v/>
      </c>
      <c r="BH398" s="63" t="str">
        <f>IF($BF398="ja",VLOOKUP($B398,Kraftvärmeprod!$B$1:$BX$550,MATCH("Andelen klimatgaser med fossilt ursprung för avfall ()",Kraftvärmeprod!$B$1:$BX$1,0),FALSE),"")</f>
        <v/>
      </c>
      <c r="BI398" s="63" t="str">
        <f>IF($BF398="ja",VLOOKUP($B398,'Egen hetvattenprod'!$B$1:$BX$550,MATCH("Avfall (GWh)",'Egen hetvattenprod'!$B$1:$BX$1,0),FALSE),"")</f>
        <v/>
      </c>
      <c r="BJ398" s="63" t="str">
        <f>IF($BF398="ja",VLOOKUP($B398,'Slutlig allokering kvv'!$B$1:$BX$550,MATCH("Avfall (GWh)",'Slutlig allokering kvv'!$B$1:$BX$1,0),FALSE),"")</f>
        <v/>
      </c>
      <c r="BK398" s="63" t="str">
        <f>IF($BF398="ja",VLOOKUP($B398,'Köpt hetvatten'!$B$1:$BX$550,MATCH("Avfall i köpt hetvatten",'Köpt hetvatten'!$B$1:$BX$1,0),FALSE),"")</f>
        <v/>
      </c>
      <c r="BL398" s="63" t="str">
        <f>IF($BF398="ja",VLOOKUP($B398,'Egen hetvattenprod'!$B$1:$BX$550,MATCH("Värde enligt ovan. (%)",'Egen hetvattenprod'!$B$1:$BX$1,0),FALSE),"")</f>
        <v/>
      </c>
      <c r="BM398" s="63" t="str">
        <f>IF($BF398="ja",VLOOKUP($B398,Kraftvärmeprod!$B$1:$BX$550,MATCH("Värde enligt ovan. (%)",Kraftvärmeprod!$B$1:$BX$1,0),FALSE),"")</f>
        <v/>
      </c>
    </row>
    <row r="399" spans="1:65" x14ac:dyDescent="0.45">
      <c r="A399" s="63" t="s">
        <v>162</v>
      </c>
      <c r="B399" s="63" t="s">
        <v>163</v>
      </c>
      <c r="C399" s="63">
        <f>VLOOKUP($B399,'Tillförd energi'!$B$1:$AI$720,MATCH(C$2,'Tillförd energi'!$B$1:$AQ$1,0),FALSE)</f>
        <v>0</v>
      </c>
      <c r="D399" s="63">
        <f>VLOOKUP($B399,'Tillförd energi'!$B$1:$AI$720,MATCH(D$2,'Tillförd energi'!$B$1:$AQ$1,0),FALSE)</f>
        <v>2.5000000000000001E-2</v>
      </c>
      <c r="E399" s="63">
        <f>VLOOKUP($B399,'Tillförd energi'!$B$1:$AI$720,MATCH(E$2,'Tillförd energi'!$B$1:$AQ$1,0),FALSE)</f>
        <v>0</v>
      </c>
      <c r="F399" s="63">
        <f>VLOOKUP($B399,'Tillförd energi'!$B$1:$AI$720,MATCH(F$2,'Tillförd energi'!$B$1:$AQ$1,0),FALSE)</f>
        <v>0</v>
      </c>
      <c r="G399" s="63">
        <f>VLOOKUP($B399,'Tillförd energi'!$B$1:$AI$720,MATCH(G$2,'Tillförd energi'!$B$1:$AQ$1,0),FALSE)</f>
        <v>0</v>
      </c>
      <c r="H399" s="63">
        <f>VLOOKUP($B399,'Tillförd energi'!$B$1:$AI$720,MATCH(H$2,'Tillförd energi'!$B$1:$AQ$1,0),FALSE)</f>
        <v>0</v>
      </c>
      <c r="I399" s="63">
        <f>VLOOKUP($B399,'Tillförd energi'!$B$1:$AI$720,MATCH(I$2,'Tillförd energi'!$B$1:$AQ$1,0),FALSE)</f>
        <v>0</v>
      </c>
      <c r="J399" s="63">
        <f>VLOOKUP($B399,'Tillförd energi'!$B$1:$AI$720,MATCH(J$2,'Tillförd energi'!$B$1:$AQ$1,0),FALSE)</f>
        <v>0</v>
      </c>
      <c r="K399" s="63">
        <f>VLOOKUP($B399,'Tillförd energi'!$B$1:$AI$720,MATCH(K$2,'Tillförd energi'!$B$1:$AQ$1,0),FALSE)</f>
        <v>0</v>
      </c>
      <c r="L399" s="63">
        <f>VLOOKUP($B399,'Tillförd energi'!$B$1:$AI$720,MATCH(L$2,'Tillförd energi'!$B$1:$AQ$1,0),FALSE)</f>
        <v>0</v>
      </c>
      <c r="M399" s="63">
        <f>VLOOKUP($B399,'Tillförd energi'!$B$1:$AI$720,MATCH(M$2,'Tillförd energi'!$B$1:$AQ$1,0),FALSE)</f>
        <v>0</v>
      </c>
      <c r="N399" s="63">
        <f>VLOOKUP($B399,'Tillförd energi'!$B$1:$AI$720,MATCH(N$2,'Tillförd energi'!$B$1:$AQ$1,0),FALSE)</f>
        <v>0</v>
      </c>
      <c r="O399" s="63">
        <f>VLOOKUP($B399,'Tillförd energi'!$B$1:$AI$720,MATCH(O$2,'Tillförd energi'!$B$1:$AQ$1,0),FALSE)</f>
        <v>0</v>
      </c>
      <c r="P399" s="63">
        <f>VLOOKUP($B399,'Tillförd energi'!$B$1:$AI$720,MATCH(P$2,'Tillförd energi'!$B$1:$AQ$1,0),FALSE)</f>
        <v>0</v>
      </c>
      <c r="Q399" s="63">
        <f>VLOOKUP($B399,'Tillförd energi'!$B$1:$AI$720,MATCH(Q$2,'Tillförd energi'!$B$1:$AQ$1,0),FALSE)</f>
        <v>0</v>
      </c>
      <c r="R399" s="63">
        <f>VLOOKUP($B399,'Tillförd energi'!$B$1:$AI$720,MATCH(R$2,'Tillförd energi'!$B$1:$AQ$1,0),FALSE)</f>
        <v>12.05</v>
      </c>
      <c r="S399" s="63">
        <f>VLOOKUP($B399,'Tillförd energi'!$B$1:$AI$720,MATCH(S$2,'Tillförd energi'!$B$1:$AQ$1,0),FALSE)</f>
        <v>0</v>
      </c>
      <c r="T399" s="63">
        <f>VLOOKUP($B399,'Tillförd energi'!$B$1:$AI$720,MATCH(T$2,'Tillförd energi'!$B$1:$AQ$1,0),FALSE)</f>
        <v>0</v>
      </c>
      <c r="U399" s="63">
        <f>VLOOKUP($B399,'Tillförd energi'!$B$1:$AI$720,MATCH(U$2,'Tillförd energi'!$B$1:$AQ$1,0),FALSE)</f>
        <v>0</v>
      </c>
      <c r="V399" s="63">
        <f>VLOOKUP($B399,'Tillförd energi'!$B$1:$AI$720,MATCH(V$2,'Tillförd energi'!$B$1:$AQ$1,0),FALSE)</f>
        <v>0</v>
      </c>
      <c r="W399" s="63">
        <f>VLOOKUP($B399,'Tillförd energi'!$B$1:$AI$720,MATCH(W$2,'Tillförd energi'!$B$1:$AQ$1,0),FALSE)</f>
        <v>0</v>
      </c>
      <c r="X399" s="63">
        <f>VLOOKUP($B399,'Tillförd energi'!$B$1:$AI$720,MATCH(X$2,'Tillförd energi'!$B$1:$AQ$1,0),FALSE)</f>
        <v>0</v>
      </c>
      <c r="Y399" s="63">
        <f>VLOOKUP($B399,'Tillförd energi'!$B$1:$AI$720,MATCH(Y$2,'Tillförd energi'!$B$1:$AQ$1,0),FALSE)</f>
        <v>0</v>
      </c>
      <c r="Z399" s="63">
        <f>VLOOKUP($B399,'Tillförd energi'!$B$1:$AI$720,MATCH(Z$2,'Tillförd energi'!$B$1:$AQ$1,0),FALSE)</f>
        <v>0</v>
      </c>
      <c r="AA399" s="63">
        <f>VLOOKUP($B399,'Tillförd energi'!$B$1:$AI$720,MATCH(AA$2,'Tillförd energi'!$B$1:$AQ$1,0),FALSE)</f>
        <v>0</v>
      </c>
      <c r="AB399" s="63">
        <f>VLOOKUP($B399,'Tillförd energi'!$B$1:$AI$720,MATCH(AB$2,'Tillförd energi'!$B$1:$AQ$1,0),FALSE)</f>
        <v>0</v>
      </c>
      <c r="AC399" s="63">
        <f>VLOOKUP($B399,'Tillförd energi'!$B$1:$AI$720,MATCH(AC$2,'Tillförd energi'!$B$1:$AQ$1,0),FALSE)</f>
        <v>0</v>
      </c>
      <c r="AD399" s="63">
        <f>VLOOKUP($B399,'Tillförd energi'!$B$1:$AI$720,MATCH(AD$2,'Tillförd energi'!$B$1:$AQ$1,0),FALSE)</f>
        <v>0</v>
      </c>
      <c r="AE399" s="63">
        <f>VLOOKUP($B399,'Tillförd energi'!$B$1:$AI$720,MATCH(AE$2,'Tillförd energi'!$B$1:$AQ$1,0),FALSE)</f>
        <v>0</v>
      </c>
      <c r="AF399" s="63">
        <f>VLOOKUP($B399,'Tillförd energi'!$B$1:$AI$720,MATCH(AF$2,'Tillförd energi'!$B$1:$AQ$1,0),FALSE)</f>
        <v>0.219</v>
      </c>
      <c r="AG399" s="63">
        <f>IFERROR(VLOOKUP(B399,Miljö!$B$1:$AC$550,MATCH("Köpt mängd produktionsspecifik fjärrvärme:",Miljö!$B$1:$AC$1,0),FALSE)/1,0)</f>
        <v>0</v>
      </c>
      <c r="AI399" s="63">
        <f t="shared" si="36"/>
        <v>12.294</v>
      </c>
      <c r="AJ399" s="63">
        <f>IF(ISERROR(1/VLOOKUP($B399,Leveranser!$B$1:$S$500,MATCH("såld värme (gwh)",Leveranser!$B$1:$S$1,0),FALSE)),"",VLOOKUP($B399,Leveranser!$B$1:$S$500,MATCH("såld värme (gwh)",Leveranser!$B$1:$S$1,0),FALSE))</f>
        <v>7.3</v>
      </c>
      <c r="AM399" s="63" t="str">
        <f>IF(B399&lt;&gt;"",IF(VLOOKUP($B399,Totalt!$B$1:$AQ$554,MATCH("Kvalitetsgranskad:",Totalt!$B$1:$AQ$1,0),FALSE)="ja",VLOOKUP($B399,Miljö!$B$1:$AG$479,MATCH(AM$2,Miljö!$B$1:$AK$1,0),FALSE),""),"")</f>
        <v>Ja</v>
      </c>
      <c r="AN399" s="63" t="str">
        <f>IF(AM399="ja",VLOOKUP($B399,Miljö!$B$1:$J$479,MATCH("Typ av ursprungsspecificerad el   (Om inget värde anges används Nordisk residualmix, se inforuta) ()",Miljö!$B$1:$J$1,0),FALSE),IF(AM399="nej","Nordisk residualel",""))</f>
        <v>'Bra Miljöval'</v>
      </c>
      <c r="AO399" s="63">
        <f>IF(AM399="","",VLOOKUP($B399,Miljö!$B$1:$J$479,MATCH("Fossilandel för ursprungspecificerad el ()",Miljö!$B$1:$J$1,0),FALSE))</f>
        <v>0</v>
      </c>
      <c r="AQ399" s="63">
        <f t="shared" si="37"/>
        <v>1</v>
      </c>
      <c r="AS399" s="63" t="str">
        <f t="shared" si="38"/>
        <v>Nej</v>
      </c>
      <c r="AT399" s="63" t="str">
        <f>IF(AS399="ja",VLOOKUP($B399,Miljö!$B$1:$P$500,MATCH("Fossil andel i procent (%)",Miljö!$B$1:$P$1,0),FALSE)/100,"")</f>
        <v/>
      </c>
      <c r="AV399" s="63" t="str">
        <f t="shared" si="39"/>
        <v>Nej</v>
      </c>
      <c r="AW399" s="63" t="str">
        <f>IF(AV399="ja",VLOOKUP($B399,'Egen hetvattenprod'!$B$1:$AO$500,MATCH("Värmekälla till värmepumpar ()",'Egen hetvattenprod'!$B$1:$AO$1,0),FALSE),"")</f>
        <v/>
      </c>
      <c r="AY399" s="63" t="str">
        <f t="shared" si="40"/>
        <v>Nej</v>
      </c>
      <c r="AZ399" s="77" t="str">
        <f>IF($AY399="ja",(VLOOKUP($B399,'Egen hetvattenprod'!$B$1:$BX$550,MATCH(AZ$2,'Egen hetvattenprod'!$B$1:$BX$1,0),FALSE)+VLOOKUP($B399,Kraftvärmeprod!$B$1:$BX$550,MATCH(AZ$2,Kraftvärmeprod!$B$1:$BX$1,0),FALSE))/$AC399,"")</f>
        <v/>
      </c>
      <c r="BA399" s="77" t="str">
        <f>IF($AY399="ja",(VLOOKUP($B399,'Egen hetvattenprod'!$B$1:$BX$550,MATCH(BA$2,'Egen hetvattenprod'!$B$1:$BX$1,0),FALSE)+VLOOKUP($B399,Kraftvärmeprod!$B$1:$BX$550,MATCH(BA$2,Kraftvärmeprod!$B$1:$BX$1,0),FALSE))/$AC399,"")</f>
        <v/>
      </c>
      <c r="BB399" s="77" t="str">
        <f>IF($AY399="ja",(VLOOKUP($B399,'Egen hetvattenprod'!$B$1:$BX$550,MATCH(BB$2,'Egen hetvattenprod'!$B$1:$BX$1,0),FALSE)+VLOOKUP($B399,Kraftvärmeprod!$B$1:$BX$550,MATCH(BB$2,Kraftvärmeprod!$B$1:$BX$1,0),FALSE))/$AC399,"")</f>
        <v/>
      </c>
      <c r="BC399" s="77" t="str">
        <f>IF($AY399="ja",(VLOOKUP($B399,'Egen hetvattenprod'!$B$1:$BX$550,MATCH(BC$2,'Egen hetvattenprod'!$B$1:$BX$1,0),FALSE)+VLOOKUP($B399,Kraftvärmeprod!$B$1:$BX$550,MATCH(BC$2,Kraftvärmeprod!$B$1:$BX$1,0),FALSE))/$AC399,"")</f>
        <v/>
      </c>
      <c r="BD399" s="77" t="str">
        <f>IF($AY399="ja",(VLOOKUP($B399,'Egen hetvattenprod'!$B$1:$BX$550,MATCH(BD$2,'Egen hetvattenprod'!$B$1:$BX$1,0),FALSE)+VLOOKUP($B399,Kraftvärmeprod!$B$1:$BX$550,MATCH(BD$2,Kraftvärmeprod!$B$1:$BX$1,0),FALSE))/$AC399,"")</f>
        <v/>
      </c>
      <c r="BF399" s="63" t="str">
        <f t="shared" si="41"/>
        <v>Nej</v>
      </c>
      <c r="BG399" s="63" t="str">
        <f>IF($BF399="ja",VLOOKUP($B399,'Egen hetvattenprod'!$B$1:$BX$550,MATCH("Andelen klimatgaser med fossilt ursprung för avfall ()",'Egen hetvattenprod'!$B$1:$BX$1,0),FALSE),"")</f>
        <v/>
      </c>
      <c r="BH399" s="63" t="str">
        <f>IF($BF399="ja",VLOOKUP($B399,Kraftvärmeprod!$B$1:$BX$550,MATCH("Andelen klimatgaser med fossilt ursprung för avfall ()",Kraftvärmeprod!$B$1:$BX$1,0),FALSE),"")</f>
        <v/>
      </c>
      <c r="BI399" s="63" t="str">
        <f>IF($BF399="ja",VLOOKUP($B399,'Egen hetvattenprod'!$B$1:$BX$550,MATCH("Avfall (GWh)",'Egen hetvattenprod'!$B$1:$BX$1,0),FALSE),"")</f>
        <v/>
      </c>
      <c r="BJ399" s="63" t="str">
        <f>IF($BF399="ja",VLOOKUP($B399,'Slutlig allokering kvv'!$B$1:$BX$550,MATCH("Avfall (GWh)",'Slutlig allokering kvv'!$B$1:$BX$1,0),FALSE),"")</f>
        <v/>
      </c>
      <c r="BK399" s="63" t="str">
        <f>IF($BF399="ja",VLOOKUP($B399,'Köpt hetvatten'!$B$1:$BX$550,MATCH("Avfall i köpt hetvatten",'Köpt hetvatten'!$B$1:$BX$1,0),FALSE),"")</f>
        <v/>
      </c>
      <c r="BL399" s="63" t="str">
        <f>IF($BF399="ja",VLOOKUP($B399,'Egen hetvattenprod'!$B$1:$BX$550,MATCH("Värde enligt ovan. (%)",'Egen hetvattenprod'!$B$1:$BX$1,0),FALSE),"")</f>
        <v/>
      </c>
      <c r="BM399" s="63" t="str">
        <f>IF($BF399="ja",VLOOKUP($B399,Kraftvärmeprod!$B$1:$BX$550,MATCH("Värde enligt ovan. (%)",Kraftvärmeprod!$B$1:$BX$1,0),FALSE),"")</f>
        <v/>
      </c>
    </row>
    <row r="400" spans="1:65" x14ac:dyDescent="0.45">
      <c r="A400" s="63" t="s">
        <v>162</v>
      </c>
      <c r="B400" s="63" t="s">
        <v>161</v>
      </c>
      <c r="C400" s="63">
        <f>VLOOKUP($B400,'Tillförd energi'!$B$1:$AI$720,MATCH(C$2,'Tillförd energi'!$B$1:$AQ$1,0),FALSE)</f>
        <v>0</v>
      </c>
      <c r="D400" s="63">
        <f>VLOOKUP($B400,'Tillförd energi'!$B$1:$AI$720,MATCH(D$2,'Tillförd energi'!$B$1:$AQ$1,0),FALSE)</f>
        <v>0.55000000000000004</v>
      </c>
      <c r="E400" s="63">
        <f>VLOOKUP($B400,'Tillförd energi'!$B$1:$AI$720,MATCH(E$2,'Tillförd energi'!$B$1:$AQ$1,0),FALSE)</f>
        <v>0</v>
      </c>
      <c r="F400" s="63">
        <f>VLOOKUP($B400,'Tillförd energi'!$B$1:$AI$720,MATCH(F$2,'Tillförd energi'!$B$1:$AQ$1,0),FALSE)</f>
        <v>0</v>
      </c>
      <c r="G400" s="63">
        <f>VLOOKUP($B400,'Tillförd energi'!$B$1:$AI$720,MATCH(G$2,'Tillförd energi'!$B$1:$AQ$1,0),FALSE)</f>
        <v>0</v>
      </c>
      <c r="H400" s="63">
        <f>VLOOKUP($B400,'Tillförd energi'!$B$1:$AI$720,MATCH(H$2,'Tillförd energi'!$B$1:$AQ$1,0),FALSE)</f>
        <v>1.0580000000000001</v>
      </c>
      <c r="I400" s="63">
        <f>VLOOKUP($B400,'Tillförd energi'!$B$1:$AI$720,MATCH(I$2,'Tillförd energi'!$B$1:$AQ$1,0),FALSE)</f>
        <v>1.41</v>
      </c>
      <c r="J400" s="63">
        <f>VLOOKUP($B400,'Tillförd energi'!$B$1:$AI$720,MATCH(J$2,'Tillförd energi'!$B$1:$AQ$1,0),FALSE)</f>
        <v>0</v>
      </c>
      <c r="K400" s="63">
        <f>VLOOKUP($B400,'Tillförd energi'!$B$1:$AI$720,MATCH(K$2,'Tillförd energi'!$B$1:$AQ$1,0),FALSE)</f>
        <v>0</v>
      </c>
      <c r="L400" s="63">
        <f>VLOOKUP($B400,'Tillförd energi'!$B$1:$AI$720,MATCH(L$2,'Tillförd energi'!$B$1:$AQ$1,0),FALSE)</f>
        <v>198.14599999999999</v>
      </c>
      <c r="M400" s="63">
        <f>VLOOKUP($B400,'Tillförd energi'!$B$1:$AI$720,MATCH(M$2,'Tillförd energi'!$B$1:$AQ$1,0),FALSE)</f>
        <v>0</v>
      </c>
      <c r="N400" s="63">
        <f>VLOOKUP($B400,'Tillförd energi'!$B$1:$AI$720,MATCH(N$2,'Tillförd energi'!$B$1:$AQ$1,0),FALSE)</f>
        <v>0</v>
      </c>
      <c r="O400" s="63">
        <f>VLOOKUP($B400,'Tillförd energi'!$B$1:$AI$720,MATCH(O$2,'Tillförd energi'!$B$1:$AQ$1,0),FALSE)</f>
        <v>0</v>
      </c>
      <c r="P400" s="63">
        <f>VLOOKUP($B400,'Tillförd energi'!$B$1:$AI$720,MATCH(P$2,'Tillförd energi'!$B$1:$AQ$1,0),FALSE)</f>
        <v>13.12</v>
      </c>
      <c r="Q400" s="63">
        <f>VLOOKUP($B400,'Tillförd energi'!$B$1:$AI$720,MATCH(Q$2,'Tillförd energi'!$B$1:$AQ$1,0),FALSE)</f>
        <v>4.4169999999999998</v>
      </c>
      <c r="R400" s="63">
        <f>VLOOKUP($B400,'Tillförd energi'!$B$1:$AI$720,MATCH(R$2,'Tillförd energi'!$B$1:$AQ$1,0),FALSE)</f>
        <v>0</v>
      </c>
      <c r="S400" s="63">
        <f>VLOOKUP($B400,'Tillförd energi'!$B$1:$AI$720,MATCH(S$2,'Tillförd energi'!$B$1:$AQ$1,0),FALSE)</f>
        <v>0</v>
      </c>
      <c r="T400" s="63">
        <f>VLOOKUP($B400,'Tillförd energi'!$B$1:$AI$720,MATCH(T$2,'Tillförd energi'!$B$1:$AQ$1,0),FALSE)</f>
        <v>0</v>
      </c>
      <c r="U400" s="63">
        <f>VLOOKUP($B400,'Tillförd energi'!$B$1:$AI$720,MATCH(U$2,'Tillförd energi'!$B$1:$AQ$1,0),FALSE)</f>
        <v>0</v>
      </c>
      <c r="V400" s="63">
        <f>VLOOKUP($B400,'Tillförd energi'!$B$1:$AI$720,MATCH(V$2,'Tillförd energi'!$B$1:$AQ$1,0),FALSE)</f>
        <v>0</v>
      </c>
      <c r="W400" s="63">
        <f>VLOOKUP($B400,'Tillförd energi'!$B$1:$AI$720,MATCH(W$2,'Tillförd energi'!$B$1:$AQ$1,0),FALSE)</f>
        <v>1.53</v>
      </c>
      <c r="X400" s="63">
        <f>VLOOKUP($B400,'Tillförd energi'!$B$1:$AI$720,MATCH(X$2,'Tillförd energi'!$B$1:$AQ$1,0),FALSE)</f>
        <v>0</v>
      </c>
      <c r="Y400" s="63">
        <f>VLOOKUP($B400,'Tillförd energi'!$B$1:$AI$720,MATCH(Y$2,'Tillförd energi'!$B$1:$AQ$1,0),FALSE)</f>
        <v>0</v>
      </c>
      <c r="Z400" s="63">
        <f>VLOOKUP($B400,'Tillförd energi'!$B$1:$AI$720,MATCH(Z$2,'Tillförd energi'!$B$1:$AQ$1,0),FALSE)</f>
        <v>0</v>
      </c>
      <c r="AA400" s="63">
        <f>VLOOKUP($B400,'Tillförd energi'!$B$1:$AI$720,MATCH(AA$2,'Tillförd energi'!$B$1:$AQ$1,0),FALSE)</f>
        <v>0</v>
      </c>
      <c r="AB400" s="63">
        <f>VLOOKUP($B400,'Tillförd energi'!$B$1:$AI$720,MATCH(AB$2,'Tillförd energi'!$B$1:$AQ$1,0),FALSE)</f>
        <v>0</v>
      </c>
      <c r="AC400" s="63">
        <f>VLOOKUP($B400,'Tillförd energi'!$B$1:$AI$720,MATCH(AC$2,'Tillförd energi'!$B$1:$AQ$1,0),FALSE)</f>
        <v>0</v>
      </c>
      <c r="AD400" s="63">
        <f>VLOOKUP($B400,'Tillförd energi'!$B$1:$AI$720,MATCH(AD$2,'Tillförd energi'!$B$1:$AQ$1,0),FALSE)</f>
        <v>0.29199999999999998</v>
      </c>
      <c r="AE400" s="63">
        <f>VLOOKUP($B400,'Tillförd energi'!$B$1:$AI$720,MATCH(AE$2,'Tillförd energi'!$B$1:$AQ$1,0),FALSE)</f>
        <v>0</v>
      </c>
      <c r="AF400" s="63">
        <f>VLOOKUP($B400,'Tillförd energi'!$B$1:$AI$720,MATCH(AF$2,'Tillförd energi'!$B$1:$AQ$1,0),FALSE)</f>
        <v>8.641</v>
      </c>
      <c r="AG400" s="63">
        <f>IFERROR(VLOOKUP(B400,Miljö!$B$1:$AC$550,MATCH("Köpt mängd produktionsspecifik fjärrvärme:",Miljö!$B$1:$AC$1,0),FALSE)/1,0)</f>
        <v>0</v>
      </c>
      <c r="AI400" s="63">
        <f t="shared" si="36"/>
        <v>229.16399999999999</v>
      </c>
      <c r="AJ400" s="63">
        <f>IF(ISERROR(1/VLOOKUP($B400,Leveranser!$B$1:$S$500,MATCH("såld värme (gwh)",Leveranser!$B$1:$S$1,0),FALSE)),"",VLOOKUP($B400,Leveranser!$B$1:$S$500,MATCH("såld värme (gwh)",Leveranser!$B$1:$S$1,0),FALSE))</f>
        <v>161.465</v>
      </c>
      <c r="AM400" s="63" t="str">
        <f>IF(B400&lt;&gt;"",IF(VLOOKUP($B400,Totalt!$B$1:$AQ$554,MATCH("Kvalitetsgranskad:",Totalt!$B$1:$AQ$1,0),FALSE)="ja",VLOOKUP($B400,Miljö!$B$1:$AG$479,MATCH(AM$2,Miljö!$B$1:$AK$1,0),FALSE),""),"")</f>
        <v>Ja</v>
      </c>
      <c r="AN400" s="63" t="str">
        <f>IF(AM400="ja",VLOOKUP($B400,Miljö!$B$1:$J$479,MATCH("Typ av ursprungsspecificerad el   (Om inget värde anges används Nordisk residualmix, se inforuta) ()",Miljö!$B$1:$J$1,0),FALSE),IF(AM400="nej","Nordisk residualel",""))</f>
        <v>'Bra miljöval'</v>
      </c>
      <c r="AO400" s="63">
        <f>IF(AM400="","",VLOOKUP($B400,Miljö!$B$1:$J$479,MATCH("Fossilandel för ursprungspecificerad el ()",Miljö!$B$1:$J$1,0),FALSE))</f>
        <v>0</v>
      </c>
      <c r="AQ400" s="63">
        <f t="shared" si="37"/>
        <v>1</v>
      </c>
      <c r="AS400" s="63" t="str">
        <f t="shared" si="38"/>
        <v>Nej</v>
      </c>
      <c r="AT400" s="63" t="str">
        <f>IF(AS400="ja",VLOOKUP($B400,Miljö!$B$1:$P$500,MATCH("Fossil andel i procent (%)",Miljö!$B$1:$P$1,0),FALSE)/100,"")</f>
        <v/>
      </c>
      <c r="AV400" s="63" t="str">
        <f t="shared" si="39"/>
        <v>Nej</v>
      </c>
      <c r="AW400" s="63" t="str">
        <f>IF(AV400="ja",VLOOKUP($B400,'Egen hetvattenprod'!$B$1:$AO$500,MATCH("Värmekälla till värmepumpar ()",'Egen hetvattenprod'!$B$1:$AO$1,0),FALSE),"")</f>
        <v/>
      </c>
      <c r="AY400" s="63" t="str">
        <f t="shared" si="40"/>
        <v>Nej</v>
      </c>
      <c r="AZ400" s="77" t="str">
        <f>IF($AY400="ja",(VLOOKUP($B400,'Egen hetvattenprod'!$B$1:$BX$550,MATCH(AZ$2,'Egen hetvattenprod'!$B$1:$BX$1,0),FALSE)+VLOOKUP($B400,Kraftvärmeprod!$B$1:$BX$550,MATCH(AZ$2,Kraftvärmeprod!$B$1:$BX$1,0),FALSE))/$AC400,"")</f>
        <v/>
      </c>
      <c r="BA400" s="77" t="str">
        <f>IF($AY400="ja",(VLOOKUP($B400,'Egen hetvattenprod'!$B$1:$BX$550,MATCH(BA$2,'Egen hetvattenprod'!$B$1:$BX$1,0),FALSE)+VLOOKUP($B400,Kraftvärmeprod!$B$1:$BX$550,MATCH(BA$2,Kraftvärmeprod!$B$1:$BX$1,0),FALSE))/$AC400,"")</f>
        <v/>
      </c>
      <c r="BB400" s="77" t="str">
        <f>IF($AY400="ja",(VLOOKUP($B400,'Egen hetvattenprod'!$B$1:$BX$550,MATCH(BB$2,'Egen hetvattenprod'!$B$1:$BX$1,0),FALSE)+VLOOKUP($B400,Kraftvärmeprod!$B$1:$BX$550,MATCH(BB$2,Kraftvärmeprod!$B$1:$BX$1,0),FALSE))/$AC400,"")</f>
        <v/>
      </c>
      <c r="BC400" s="77" t="str">
        <f>IF($AY400="ja",(VLOOKUP($B400,'Egen hetvattenprod'!$B$1:$BX$550,MATCH(BC$2,'Egen hetvattenprod'!$B$1:$BX$1,0),FALSE)+VLOOKUP($B400,Kraftvärmeprod!$B$1:$BX$550,MATCH(BC$2,Kraftvärmeprod!$B$1:$BX$1,0),FALSE))/$AC400,"")</f>
        <v/>
      </c>
      <c r="BD400" s="77" t="str">
        <f>IF($AY400="ja",(VLOOKUP($B400,'Egen hetvattenprod'!$B$1:$BX$550,MATCH(BD$2,'Egen hetvattenprod'!$B$1:$BX$1,0),FALSE)+VLOOKUP($B400,Kraftvärmeprod!$B$1:$BX$550,MATCH(BD$2,Kraftvärmeprod!$B$1:$BX$1,0),FALSE))/$AC400,"")</f>
        <v/>
      </c>
      <c r="BF400" s="63" t="str">
        <f t="shared" si="41"/>
        <v>Ja</v>
      </c>
      <c r="BG400" s="63" t="str">
        <f>IF($BF400="ja",VLOOKUP($B400,'Egen hetvattenprod'!$B$1:$BX$550,MATCH("Andelen klimatgaser med fossilt ursprung för avfall ()",'Egen hetvattenprod'!$B$1:$BX$1,0),FALSE),"")</f>
        <v>Schablon</v>
      </c>
      <c r="BH400" s="63" t="str">
        <f>IF($BF400="ja",VLOOKUP($B400,Kraftvärmeprod!$B$1:$BX$550,MATCH("Andelen klimatgaser med fossilt ursprung för avfall ()",Kraftvärmeprod!$B$1:$BX$1,0),FALSE),"")</f>
        <v>ET</v>
      </c>
      <c r="BI400" s="63">
        <f>IF($BF400="ja",VLOOKUP($B400,'Egen hetvattenprod'!$B$1:$BX$550,MATCH("Avfall (GWh)",'Egen hetvattenprod'!$B$1:$BX$1,0),FALSE),"")</f>
        <v>1.41</v>
      </c>
      <c r="BJ400" s="63">
        <f>IF($BF400="ja",VLOOKUP($B400,'Slutlig allokering kvv'!$B$1:$BX$550,MATCH("Avfall (GWh)",'Slutlig allokering kvv'!$B$1:$BX$1,0),FALSE),"")</f>
        <v>0</v>
      </c>
      <c r="BK400" s="63">
        <f>IF($BF400="ja",VLOOKUP($B400,'Köpt hetvatten'!$B$1:$BX$550,MATCH("Avfall i köpt hetvatten",'Köpt hetvatten'!$B$1:$BX$1,0),FALSE),"")</f>
        <v>0</v>
      </c>
      <c r="BL400" s="63">
        <f>IF($BF400="ja",VLOOKUP($B400,'Egen hetvattenprod'!$B$1:$BX$550,MATCH("Värde enligt ovan. (%)",'Egen hetvattenprod'!$B$1:$BX$1,0),FALSE),"")</f>
        <v>37.299999999999997</v>
      </c>
      <c r="BM400" s="63" t="str">
        <f>IF($BF400="ja",VLOOKUP($B400,Kraftvärmeprod!$B$1:$BX$550,MATCH("Värde enligt ovan. (%)",Kraftvärmeprod!$B$1:$BX$1,0),FALSE),"")</f>
        <v>ET</v>
      </c>
    </row>
    <row r="401" spans="1:65" x14ac:dyDescent="0.45">
      <c r="A401" s="63" t="s">
        <v>159</v>
      </c>
      <c r="B401" s="63" t="s">
        <v>158</v>
      </c>
      <c r="C401" s="63">
        <f>VLOOKUP($B401,'Tillförd energi'!$B$1:$AI$720,MATCH(C$2,'Tillförd energi'!$B$1:$AQ$1,0),FALSE)</f>
        <v>0</v>
      </c>
      <c r="D401" s="63">
        <f>VLOOKUP($B401,'Tillförd energi'!$B$1:$AI$720,MATCH(D$2,'Tillförd energi'!$B$1:$AQ$1,0),FALSE)</f>
        <v>0.1</v>
      </c>
      <c r="E401" s="63">
        <f>VLOOKUP($B401,'Tillförd energi'!$B$1:$AI$720,MATCH(E$2,'Tillförd energi'!$B$1:$AQ$1,0),FALSE)</f>
        <v>0</v>
      </c>
      <c r="F401" s="63">
        <f>VLOOKUP($B401,'Tillförd energi'!$B$1:$AI$720,MATCH(F$2,'Tillförd energi'!$B$1:$AQ$1,0),FALSE)</f>
        <v>0</v>
      </c>
      <c r="G401" s="63">
        <f>VLOOKUP($B401,'Tillförd energi'!$B$1:$AI$720,MATCH(G$2,'Tillförd energi'!$B$1:$AQ$1,0),FALSE)</f>
        <v>0</v>
      </c>
      <c r="H401" s="63">
        <f>VLOOKUP($B401,'Tillförd energi'!$B$1:$AI$720,MATCH(H$2,'Tillförd energi'!$B$1:$AQ$1,0),FALSE)</f>
        <v>0</v>
      </c>
      <c r="I401" s="63">
        <f>VLOOKUP($B401,'Tillförd energi'!$B$1:$AI$720,MATCH(I$2,'Tillförd energi'!$B$1:$AQ$1,0),FALSE)</f>
        <v>0</v>
      </c>
      <c r="J401" s="63">
        <f>VLOOKUP($B401,'Tillförd energi'!$B$1:$AI$720,MATCH(J$2,'Tillförd energi'!$B$1:$AQ$1,0),FALSE)</f>
        <v>0</v>
      </c>
      <c r="K401" s="63">
        <f>VLOOKUP($B401,'Tillförd energi'!$B$1:$AI$720,MATCH(K$2,'Tillförd energi'!$B$1:$AQ$1,0),FALSE)</f>
        <v>0</v>
      </c>
      <c r="L401" s="63">
        <f>VLOOKUP($B401,'Tillförd energi'!$B$1:$AI$720,MATCH(L$2,'Tillförd energi'!$B$1:$AQ$1,0),FALSE)</f>
        <v>0</v>
      </c>
      <c r="M401" s="63">
        <f>VLOOKUP($B401,'Tillförd energi'!$B$1:$AI$720,MATCH(M$2,'Tillförd energi'!$B$1:$AQ$1,0),FALSE)</f>
        <v>0</v>
      </c>
      <c r="N401" s="63">
        <f>VLOOKUP($B401,'Tillförd energi'!$B$1:$AI$720,MATCH(N$2,'Tillförd energi'!$B$1:$AQ$1,0),FALSE)</f>
        <v>39.158999999999999</v>
      </c>
      <c r="O401" s="63">
        <f>VLOOKUP($B401,'Tillförd energi'!$B$1:$AI$720,MATCH(O$2,'Tillförd energi'!$B$1:$AQ$1,0),FALSE)</f>
        <v>0</v>
      </c>
      <c r="P401" s="63">
        <f>VLOOKUP($B401,'Tillförd energi'!$B$1:$AI$720,MATCH(P$2,'Tillförd energi'!$B$1:$AQ$1,0),FALSE)</f>
        <v>0</v>
      </c>
      <c r="Q401" s="63">
        <f>VLOOKUP($B401,'Tillförd energi'!$B$1:$AI$720,MATCH(Q$2,'Tillförd energi'!$B$1:$AQ$1,0),FALSE)</f>
        <v>0</v>
      </c>
      <c r="R401" s="63">
        <f>VLOOKUP($B401,'Tillförd energi'!$B$1:$AI$720,MATCH(R$2,'Tillförd energi'!$B$1:$AQ$1,0),FALSE)</f>
        <v>0</v>
      </c>
      <c r="S401" s="63">
        <f>VLOOKUP($B401,'Tillförd energi'!$B$1:$AI$720,MATCH(S$2,'Tillförd energi'!$B$1:$AQ$1,0),FALSE)</f>
        <v>0</v>
      </c>
      <c r="T401" s="63">
        <f>VLOOKUP($B401,'Tillförd energi'!$B$1:$AI$720,MATCH(T$2,'Tillförd energi'!$B$1:$AQ$1,0),FALSE)</f>
        <v>0</v>
      </c>
      <c r="U401" s="63">
        <f>VLOOKUP($B401,'Tillförd energi'!$B$1:$AI$720,MATCH(U$2,'Tillförd energi'!$B$1:$AQ$1,0),FALSE)</f>
        <v>0</v>
      </c>
      <c r="V401" s="63">
        <f>VLOOKUP($B401,'Tillförd energi'!$B$1:$AI$720,MATCH(V$2,'Tillförd energi'!$B$1:$AQ$1,0),FALSE)</f>
        <v>0</v>
      </c>
      <c r="W401" s="63">
        <f>VLOOKUP($B401,'Tillförd energi'!$B$1:$AI$720,MATCH(W$2,'Tillförd energi'!$B$1:$AQ$1,0),FALSE)</f>
        <v>0</v>
      </c>
      <c r="X401" s="63">
        <f>VLOOKUP($B401,'Tillförd energi'!$B$1:$AI$720,MATCH(X$2,'Tillförd energi'!$B$1:$AQ$1,0),FALSE)</f>
        <v>0</v>
      </c>
      <c r="Y401" s="63">
        <f>VLOOKUP($B401,'Tillförd energi'!$B$1:$AI$720,MATCH(Y$2,'Tillförd energi'!$B$1:$AQ$1,0),FALSE)</f>
        <v>0</v>
      </c>
      <c r="Z401" s="63">
        <f>VLOOKUP($B401,'Tillförd energi'!$B$1:$AI$720,MATCH(Z$2,'Tillförd energi'!$B$1:$AQ$1,0),FALSE)</f>
        <v>0</v>
      </c>
      <c r="AA401" s="63">
        <f>VLOOKUP($B401,'Tillförd energi'!$B$1:$AI$720,MATCH(AA$2,'Tillförd energi'!$B$1:$AQ$1,0),FALSE)</f>
        <v>0</v>
      </c>
      <c r="AB401" s="63">
        <f>VLOOKUP($B401,'Tillförd energi'!$B$1:$AI$720,MATCH(AB$2,'Tillförd energi'!$B$1:$AQ$1,0),FALSE)</f>
        <v>0</v>
      </c>
      <c r="AC401" s="63">
        <f>VLOOKUP($B401,'Tillförd energi'!$B$1:$AI$720,MATCH(AC$2,'Tillförd energi'!$B$1:$AQ$1,0),FALSE)</f>
        <v>4.2</v>
      </c>
      <c r="AD401" s="63">
        <f>VLOOKUP($B401,'Tillförd energi'!$B$1:$AI$720,MATCH(AD$2,'Tillförd energi'!$B$1:$AQ$1,0),FALSE)</f>
        <v>0</v>
      </c>
      <c r="AE401" s="63">
        <f>VLOOKUP($B401,'Tillförd energi'!$B$1:$AI$720,MATCH(AE$2,'Tillförd energi'!$B$1:$AQ$1,0),FALSE)</f>
        <v>0</v>
      </c>
      <c r="AF401" s="63">
        <f>VLOOKUP($B401,'Tillförd energi'!$B$1:$AI$720,MATCH(AF$2,'Tillförd energi'!$B$1:$AQ$1,0),FALSE)</f>
        <v>0.79200000000000004</v>
      </c>
      <c r="AG401" s="63">
        <f>IFERROR(VLOOKUP(B401,Miljö!$B$1:$AC$550,MATCH("Köpt mängd produktionsspecifik fjärrvärme:",Miljö!$B$1:$AC$1,0),FALSE)/1,0)</f>
        <v>0</v>
      </c>
      <c r="AI401" s="63">
        <f t="shared" si="36"/>
        <v>44.251000000000005</v>
      </c>
      <c r="AJ401" s="63">
        <f>IF(ISERROR(1/VLOOKUP($B401,Leveranser!$B$1:$S$500,MATCH("såld värme (gwh)",Leveranser!$B$1:$S$1,0),FALSE)),"",VLOOKUP($B401,Leveranser!$B$1:$S$500,MATCH("såld värme (gwh)",Leveranser!$B$1:$S$1,0),FALSE))</f>
        <v>26.4</v>
      </c>
      <c r="AM401" s="63" t="str">
        <f>IF(B401&lt;&gt;"",IF(VLOOKUP($B401,Totalt!$B$1:$AQ$554,MATCH("Kvalitetsgranskad:",Totalt!$B$1:$AQ$1,0),FALSE)="ja",VLOOKUP($B401,Miljö!$B$1:$AG$479,MATCH(AM$2,Miljö!$B$1:$AK$1,0),FALSE),""),"")</f>
        <v>Ja</v>
      </c>
      <c r="AN401" s="63" t="str">
        <f>IF(AM401="ja",VLOOKUP($B401,Miljö!$B$1:$J$479,MATCH("Typ av ursprungsspecificerad el   (Om inget värde anges används Nordisk residualmix, se inforuta) ()",Miljö!$B$1:$J$1,0),FALSE),IF(AM401="nej","Nordisk residualel",""))</f>
        <v>-</v>
      </c>
      <c r="AO401" s="63">
        <f>IF(AM401="","",VLOOKUP($B401,Miljö!$B$1:$J$479,MATCH("Fossilandel för ursprungspecificerad el ()",Miljö!$B$1:$J$1,0),FALSE))</f>
        <v>0.35</v>
      </c>
      <c r="AQ401" s="63">
        <f t="shared" si="37"/>
        <v>0.65</v>
      </c>
      <c r="AS401" s="63" t="str">
        <f t="shared" si="38"/>
        <v>Nej</v>
      </c>
      <c r="AT401" s="63" t="str">
        <f>IF(AS401="ja",VLOOKUP($B401,Miljö!$B$1:$P$500,MATCH("Fossil andel i procent (%)",Miljö!$B$1:$P$1,0),FALSE)/100,"")</f>
        <v/>
      </c>
      <c r="AV401" s="63" t="str">
        <f t="shared" si="39"/>
        <v>Nej</v>
      </c>
      <c r="AW401" s="63" t="str">
        <f>IF(AV401="ja",VLOOKUP($B401,'Egen hetvattenprod'!$B$1:$AO$500,MATCH("Värmekälla till värmepumpar ()",'Egen hetvattenprod'!$B$1:$AO$1,0),FALSE),"")</f>
        <v/>
      </c>
      <c r="AY401" s="63" t="str">
        <f t="shared" si="40"/>
        <v>Ja</v>
      </c>
      <c r="AZ401" s="77">
        <f>IF($AY401="ja",(VLOOKUP($B401,'Egen hetvattenprod'!$B$1:$BX$550,MATCH(AZ$2,'Egen hetvattenprod'!$B$1:$BX$1,0),FALSE)+VLOOKUP($B401,Kraftvärmeprod!$B$1:$BX$550,MATCH(AZ$2,Kraftvärmeprod!$B$1:$BX$1,0),FALSE))/$AC401,"")</f>
        <v>1</v>
      </c>
      <c r="BA401" s="77">
        <f>IF($AY401="ja",(VLOOKUP($B401,'Egen hetvattenprod'!$B$1:$BX$550,MATCH(BA$2,'Egen hetvattenprod'!$B$1:$BX$1,0),FALSE)+VLOOKUP($B401,Kraftvärmeprod!$B$1:$BX$550,MATCH(BA$2,Kraftvärmeprod!$B$1:$BX$1,0),FALSE))/$AC401,"")</f>
        <v>0</v>
      </c>
      <c r="BB401" s="77">
        <f>IF($AY401="ja",(VLOOKUP($B401,'Egen hetvattenprod'!$B$1:$BX$550,MATCH(BB$2,'Egen hetvattenprod'!$B$1:$BX$1,0),FALSE)+VLOOKUP($B401,Kraftvärmeprod!$B$1:$BX$550,MATCH(BB$2,Kraftvärmeprod!$B$1:$BX$1,0),FALSE))/$AC401,"")</f>
        <v>0</v>
      </c>
      <c r="BC401" s="77">
        <f>IF($AY401="ja",(VLOOKUP($B401,'Egen hetvattenprod'!$B$1:$BX$550,MATCH(BC$2,'Egen hetvattenprod'!$B$1:$BX$1,0),FALSE)+VLOOKUP($B401,Kraftvärmeprod!$B$1:$BX$550,MATCH(BC$2,Kraftvärmeprod!$B$1:$BX$1,0),FALSE))/$AC401,"")</f>
        <v>0</v>
      </c>
      <c r="BD401" s="77">
        <f>IF($AY401="ja",(VLOOKUP($B401,'Egen hetvattenprod'!$B$1:$BX$550,MATCH(BD$2,'Egen hetvattenprod'!$B$1:$BX$1,0),FALSE)+VLOOKUP($B401,Kraftvärmeprod!$B$1:$BX$550,MATCH(BD$2,Kraftvärmeprod!$B$1:$BX$1,0),FALSE))/$AC401,"")</f>
        <v>0</v>
      </c>
      <c r="BF401" s="63" t="str">
        <f t="shared" si="41"/>
        <v>Nej</v>
      </c>
      <c r="BG401" s="63" t="str">
        <f>IF($BF401="ja",VLOOKUP($B401,'Egen hetvattenprod'!$B$1:$BX$550,MATCH("Andelen klimatgaser med fossilt ursprung för avfall ()",'Egen hetvattenprod'!$B$1:$BX$1,0),FALSE),"")</f>
        <v/>
      </c>
      <c r="BH401" s="63" t="str">
        <f>IF($BF401="ja",VLOOKUP($B401,Kraftvärmeprod!$B$1:$BX$550,MATCH("Andelen klimatgaser med fossilt ursprung för avfall ()",Kraftvärmeprod!$B$1:$BX$1,0),FALSE),"")</f>
        <v/>
      </c>
      <c r="BI401" s="63" t="str">
        <f>IF($BF401="ja",VLOOKUP($B401,'Egen hetvattenprod'!$B$1:$BX$550,MATCH("Avfall (GWh)",'Egen hetvattenprod'!$B$1:$BX$1,0),FALSE),"")</f>
        <v/>
      </c>
      <c r="BJ401" s="63" t="str">
        <f>IF($BF401="ja",VLOOKUP($B401,'Slutlig allokering kvv'!$B$1:$BX$550,MATCH("Avfall (GWh)",'Slutlig allokering kvv'!$B$1:$BX$1,0),FALSE),"")</f>
        <v/>
      </c>
      <c r="BK401" s="63" t="str">
        <f>IF($BF401="ja",VLOOKUP($B401,'Köpt hetvatten'!$B$1:$BX$550,MATCH("Avfall i köpt hetvatten",'Köpt hetvatten'!$B$1:$BX$1,0),FALSE),"")</f>
        <v/>
      </c>
      <c r="BL401" s="63" t="str">
        <f>IF($BF401="ja",VLOOKUP($B401,'Egen hetvattenprod'!$B$1:$BX$550,MATCH("Värde enligt ovan. (%)",'Egen hetvattenprod'!$B$1:$BX$1,0),FALSE),"")</f>
        <v/>
      </c>
      <c r="BM401" s="63" t="str">
        <f>IF($BF401="ja",VLOOKUP($B401,Kraftvärmeprod!$B$1:$BX$550,MATCH("Värde enligt ovan. (%)",Kraftvärmeprod!$B$1:$BX$1,0),FALSE),"")</f>
        <v/>
      </c>
    </row>
    <row r="402" spans="1:65" x14ac:dyDescent="0.45">
      <c r="A402" s="63" t="s">
        <v>157</v>
      </c>
      <c r="B402" s="63" t="s">
        <v>156</v>
      </c>
      <c r="C402" s="63">
        <f>VLOOKUP($B402,'Tillförd energi'!$B$1:$AI$720,MATCH(C$2,'Tillförd energi'!$B$1:$AQ$1,0),FALSE)</f>
        <v>0</v>
      </c>
      <c r="D402" s="63">
        <f>VLOOKUP($B402,'Tillförd energi'!$B$1:$AI$720,MATCH(D$2,'Tillförd energi'!$B$1:$AQ$1,0),FALSE)</f>
        <v>0.7</v>
      </c>
      <c r="E402" s="63">
        <f>VLOOKUP($B402,'Tillförd energi'!$B$1:$AI$720,MATCH(E$2,'Tillförd energi'!$B$1:$AQ$1,0),FALSE)</f>
        <v>0</v>
      </c>
      <c r="F402" s="63">
        <f>VLOOKUP($B402,'Tillförd energi'!$B$1:$AI$720,MATCH(F$2,'Tillförd energi'!$B$1:$AQ$1,0),FALSE)</f>
        <v>0</v>
      </c>
      <c r="G402" s="63">
        <f>VLOOKUP($B402,'Tillförd energi'!$B$1:$AI$720,MATCH(G$2,'Tillförd energi'!$B$1:$AQ$1,0),FALSE)</f>
        <v>0</v>
      </c>
      <c r="H402" s="63">
        <f>VLOOKUP($B402,'Tillförd energi'!$B$1:$AI$720,MATCH(H$2,'Tillförd energi'!$B$1:$AQ$1,0),FALSE)</f>
        <v>0</v>
      </c>
      <c r="I402" s="63">
        <f>VLOOKUP($B402,'Tillförd energi'!$B$1:$AI$720,MATCH(I$2,'Tillförd energi'!$B$1:$AQ$1,0),FALSE)</f>
        <v>0</v>
      </c>
      <c r="J402" s="63">
        <f>VLOOKUP($B402,'Tillförd energi'!$B$1:$AI$720,MATCH(J$2,'Tillförd energi'!$B$1:$AQ$1,0),FALSE)</f>
        <v>0</v>
      </c>
      <c r="K402" s="63">
        <f>VLOOKUP($B402,'Tillförd energi'!$B$1:$AI$720,MATCH(K$2,'Tillförd energi'!$B$1:$AQ$1,0),FALSE)</f>
        <v>0</v>
      </c>
      <c r="L402" s="63">
        <f>VLOOKUP($B402,'Tillförd energi'!$B$1:$AI$720,MATCH(L$2,'Tillförd energi'!$B$1:$AQ$1,0),FALSE)</f>
        <v>0</v>
      </c>
      <c r="M402" s="63">
        <f>VLOOKUP($B402,'Tillförd energi'!$B$1:$AI$720,MATCH(M$2,'Tillförd energi'!$B$1:$AQ$1,0),FALSE)</f>
        <v>0</v>
      </c>
      <c r="N402" s="63">
        <f>VLOOKUP($B402,'Tillförd energi'!$B$1:$AI$720,MATCH(N$2,'Tillförd energi'!$B$1:$AQ$1,0),FALSE)</f>
        <v>0</v>
      </c>
      <c r="O402" s="63">
        <f>VLOOKUP($B402,'Tillförd energi'!$B$1:$AI$720,MATCH(O$2,'Tillförd energi'!$B$1:$AQ$1,0),FALSE)</f>
        <v>0</v>
      </c>
      <c r="P402" s="63">
        <f>VLOOKUP($B402,'Tillförd energi'!$B$1:$AI$720,MATCH(P$2,'Tillförd energi'!$B$1:$AQ$1,0),FALSE)</f>
        <v>0</v>
      </c>
      <c r="Q402" s="63">
        <f>VLOOKUP($B402,'Tillförd energi'!$B$1:$AI$720,MATCH(Q$2,'Tillförd energi'!$B$1:$AQ$1,0),FALSE)</f>
        <v>53.9</v>
      </c>
      <c r="R402" s="63">
        <f>VLOOKUP($B402,'Tillförd energi'!$B$1:$AI$720,MATCH(R$2,'Tillförd energi'!$B$1:$AQ$1,0),FALSE)</f>
        <v>0</v>
      </c>
      <c r="S402" s="63">
        <f>VLOOKUP($B402,'Tillförd energi'!$B$1:$AI$720,MATCH(S$2,'Tillförd energi'!$B$1:$AQ$1,0),FALSE)</f>
        <v>0</v>
      </c>
      <c r="T402" s="63">
        <f>VLOOKUP($B402,'Tillförd energi'!$B$1:$AI$720,MATCH(T$2,'Tillförd energi'!$B$1:$AQ$1,0),FALSE)</f>
        <v>0</v>
      </c>
      <c r="U402" s="63">
        <f>VLOOKUP($B402,'Tillförd energi'!$B$1:$AI$720,MATCH(U$2,'Tillförd energi'!$B$1:$AQ$1,0),FALSE)</f>
        <v>0</v>
      </c>
      <c r="V402" s="63">
        <f>VLOOKUP($B402,'Tillförd energi'!$B$1:$AI$720,MATCH(V$2,'Tillförd energi'!$B$1:$AQ$1,0),FALSE)</f>
        <v>0</v>
      </c>
      <c r="W402" s="63">
        <f>VLOOKUP($B402,'Tillförd energi'!$B$1:$AI$720,MATCH(W$2,'Tillförd energi'!$B$1:$AQ$1,0),FALSE)</f>
        <v>0</v>
      </c>
      <c r="X402" s="63">
        <f>VLOOKUP($B402,'Tillförd energi'!$B$1:$AI$720,MATCH(X$2,'Tillförd energi'!$B$1:$AQ$1,0),FALSE)</f>
        <v>0</v>
      </c>
      <c r="Y402" s="63">
        <f>VLOOKUP($B402,'Tillförd energi'!$B$1:$AI$720,MATCH(Y$2,'Tillförd energi'!$B$1:$AQ$1,0),FALSE)</f>
        <v>0</v>
      </c>
      <c r="Z402" s="63">
        <f>VLOOKUP($B402,'Tillförd energi'!$B$1:$AI$720,MATCH(Z$2,'Tillförd energi'!$B$1:$AQ$1,0),FALSE)</f>
        <v>0</v>
      </c>
      <c r="AA402" s="63">
        <f>VLOOKUP($B402,'Tillförd energi'!$B$1:$AI$720,MATCH(AA$2,'Tillförd energi'!$B$1:$AQ$1,0),FALSE)</f>
        <v>0</v>
      </c>
      <c r="AB402" s="63">
        <f>VLOOKUP($B402,'Tillförd energi'!$B$1:$AI$720,MATCH(AB$2,'Tillförd energi'!$B$1:$AQ$1,0),FALSE)</f>
        <v>0</v>
      </c>
      <c r="AC402" s="63">
        <f>VLOOKUP($B402,'Tillförd energi'!$B$1:$AI$720,MATCH(AC$2,'Tillförd energi'!$B$1:$AQ$1,0),FALSE)</f>
        <v>0</v>
      </c>
      <c r="AD402" s="63">
        <f>VLOOKUP($B402,'Tillförd energi'!$B$1:$AI$720,MATCH(AD$2,'Tillförd energi'!$B$1:$AQ$1,0),FALSE)</f>
        <v>0</v>
      </c>
      <c r="AE402" s="63">
        <f>VLOOKUP($B402,'Tillförd energi'!$B$1:$AI$720,MATCH(AE$2,'Tillförd energi'!$B$1:$AQ$1,0),FALSE)</f>
        <v>0</v>
      </c>
      <c r="AF402" s="63">
        <f>VLOOKUP($B402,'Tillförd energi'!$B$1:$AI$720,MATCH(AF$2,'Tillförd energi'!$B$1:$AQ$1,0),FALSE)</f>
        <v>1.383</v>
      </c>
      <c r="AG402" s="63">
        <f>IFERROR(VLOOKUP(B402,Miljö!$B$1:$AC$550,MATCH("Köpt mängd produktionsspecifik fjärrvärme:",Miljö!$B$1:$AC$1,0),FALSE)/1,0)</f>
        <v>0</v>
      </c>
      <c r="AI402" s="63">
        <f t="shared" si="36"/>
        <v>55.983000000000004</v>
      </c>
      <c r="AJ402" s="63">
        <f>IF(ISERROR(1/VLOOKUP($B402,Leveranser!$B$1:$S$500,MATCH("såld värme (gwh)",Leveranser!$B$1:$S$1,0),FALSE)),"",VLOOKUP($B402,Leveranser!$B$1:$S$500,MATCH("såld värme (gwh)",Leveranser!$B$1:$S$1,0),FALSE))</f>
        <v>46.1</v>
      </c>
      <c r="AM402" s="63" t="str">
        <f>IF(B402&lt;&gt;"",IF(VLOOKUP($B402,Totalt!$B$1:$AQ$554,MATCH("Kvalitetsgranskad:",Totalt!$B$1:$AQ$1,0),FALSE)="ja",VLOOKUP($B402,Miljö!$B$1:$AG$479,MATCH(AM$2,Miljö!$B$1:$AK$1,0),FALSE),""),"")</f>
        <v>Ja</v>
      </c>
      <c r="AN402" s="63" t="str">
        <f>IF(AM402="ja",VLOOKUP($B402,Miljö!$B$1:$J$479,MATCH("Typ av ursprungsspecificerad el   (Om inget värde anges används Nordisk residualmix, se inforuta) ()",Miljö!$B$1:$J$1,0),FALSE),IF(AM402="nej","Nordisk residualel",""))</f>
        <v>-</v>
      </c>
      <c r="AO402" s="63">
        <f>IF(AM402="","",VLOOKUP($B402,Miljö!$B$1:$J$479,MATCH("Fossilandel för ursprungspecificerad el ()",Miljö!$B$1:$J$1,0),FALSE))</f>
        <v>0.35</v>
      </c>
      <c r="AQ402" s="63">
        <f t="shared" si="37"/>
        <v>0.65</v>
      </c>
      <c r="AS402" s="63" t="str">
        <f t="shared" si="38"/>
        <v>Nej</v>
      </c>
      <c r="AT402" s="63" t="str">
        <f>IF(AS402="ja",VLOOKUP($B402,Miljö!$B$1:$P$500,MATCH("Fossil andel i procent (%)",Miljö!$B$1:$P$1,0),FALSE)/100,"")</f>
        <v/>
      </c>
      <c r="AV402" s="63" t="str">
        <f t="shared" si="39"/>
        <v>Nej</v>
      </c>
      <c r="AW402" s="63" t="str">
        <f>IF(AV402="ja",VLOOKUP($B402,'Egen hetvattenprod'!$B$1:$AO$500,MATCH("Värmekälla till värmepumpar ()",'Egen hetvattenprod'!$B$1:$AO$1,0),FALSE),"")</f>
        <v/>
      </c>
      <c r="AY402" s="63" t="str">
        <f t="shared" si="40"/>
        <v>Nej</v>
      </c>
      <c r="AZ402" s="77" t="str">
        <f>IF($AY402="ja",(VLOOKUP($B402,'Egen hetvattenprod'!$B$1:$BX$550,MATCH(AZ$2,'Egen hetvattenprod'!$B$1:$BX$1,0),FALSE)+VLOOKUP($B402,Kraftvärmeprod!$B$1:$BX$550,MATCH(AZ$2,Kraftvärmeprod!$B$1:$BX$1,0),FALSE))/$AC402,"")</f>
        <v/>
      </c>
      <c r="BA402" s="77" t="str">
        <f>IF($AY402="ja",(VLOOKUP($B402,'Egen hetvattenprod'!$B$1:$BX$550,MATCH(BA$2,'Egen hetvattenprod'!$B$1:$BX$1,0),FALSE)+VLOOKUP($B402,Kraftvärmeprod!$B$1:$BX$550,MATCH(BA$2,Kraftvärmeprod!$B$1:$BX$1,0),FALSE))/$AC402,"")</f>
        <v/>
      </c>
      <c r="BB402" s="77" t="str">
        <f>IF($AY402="ja",(VLOOKUP($B402,'Egen hetvattenprod'!$B$1:$BX$550,MATCH(BB$2,'Egen hetvattenprod'!$B$1:$BX$1,0),FALSE)+VLOOKUP($B402,Kraftvärmeprod!$B$1:$BX$550,MATCH(BB$2,Kraftvärmeprod!$B$1:$BX$1,0),FALSE))/$AC402,"")</f>
        <v/>
      </c>
      <c r="BC402" s="77" t="str">
        <f>IF($AY402="ja",(VLOOKUP($B402,'Egen hetvattenprod'!$B$1:$BX$550,MATCH(BC$2,'Egen hetvattenprod'!$B$1:$BX$1,0),FALSE)+VLOOKUP($B402,Kraftvärmeprod!$B$1:$BX$550,MATCH(BC$2,Kraftvärmeprod!$B$1:$BX$1,0),FALSE))/$AC402,"")</f>
        <v/>
      </c>
      <c r="BD402" s="77" t="str">
        <f>IF($AY402="ja",(VLOOKUP($B402,'Egen hetvattenprod'!$B$1:$BX$550,MATCH(BD$2,'Egen hetvattenprod'!$B$1:$BX$1,0),FALSE)+VLOOKUP($B402,Kraftvärmeprod!$B$1:$BX$550,MATCH(BD$2,Kraftvärmeprod!$B$1:$BX$1,0),FALSE))/$AC402,"")</f>
        <v/>
      </c>
      <c r="BF402" s="63" t="str">
        <f t="shared" si="41"/>
        <v>Nej</v>
      </c>
      <c r="BG402" s="63" t="str">
        <f>IF($BF402="ja",VLOOKUP($B402,'Egen hetvattenprod'!$B$1:$BX$550,MATCH("Andelen klimatgaser med fossilt ursprung för avfall ()",'Egen hetvattenprod'!$B$1:$BX$1,0),FALSE),"")</f>
        <v/>
      </c>
      <c r="BH402" s="63" t="str">
        <f>IF($BF402="ja",VLOOKUP($B402,Kraftvärmeprod!$B$1:$BX$550,MATCH("Andelen klimatgaser med fossilt ursprung för avfall ()",Kraftvärmeprod!$B$1:$BX$1,0),FALSE),"")</f>
        <v/>
      </c>
      <c r="BI402" s="63" t="str">
        <f>IF($BF402="ja",VLOOKUP($B402,'Egen hetvattenprod'!$B$1:$BX$550,MATCH("Avfall (GWh)",'Egen hetvattenprod'!$B$1:$BX$1,0),FALSE),"")</f>
        <v/>
      </c>
      <c r="BJ402" s="63" t="str">
        <f>IF($BF402="ja",VLOOKUP($B402,'Slutlig allokering kvv'!$B$1:$BX$550,MATCH("Avfall (GWh)",'Slutlig allokering kvv'!$B$1:$BX$1,0),FALSE),"")</f>
        <v/>
      </c>
      <c r="BK402" s="63" t="str">
        <f>IF($BF402="ja",VLOOKUP($B402,'Köpt hetvatten'!$B$1:$BX$550,MATCH("Avfall i köpt hetvatten",'Köpt hetvatten'!$B$1:$BX$1,0),FALSE),"")</f>
        <v/>
      </c>
      <c r="BL402" s="63" t="str">
        <f>IF($BF402="ja",VLOOKUP($B402,'Egen hetvattenprod'!$B$1:$BX$550,MATCH("Värde enligt ovan. (%)",'Egen hetvattenprod'!$B$1:$BX$1,0),FALSE),"")</f>
        <v/>
      </c>
      <c r="BM402" s="63" t="str">
        <f>IF($BF402="ja",VLOOKUP($B402,Kraftvärmeprod!$B$1:$BX$550,MATCH("Värde enligt ovan. (%)",Kraftvärmeprod!$B$1:$BX$1,0),FALSE),"")</f>
        <v/>
      </c>
    </row>
    <row r="403" spans="1:65" x14ac:dyDescent="0.45">
      <c r="A403" s="63" t="s">
        <v>12</v>
      </c>
      <c r="B403" s="136" t="s">
        <v>14</v>
      </c>
      <c r="C403" s="63">
        <f>VLOOKUP($B403,'Tillförd energi'!$B$1:$AI$720,MATCH(C$2,'Tillförd energi'!$B$1:$AQ$1,0),FALSE)</f>
        <v>0</v>
      </c>
      <c r="D403" s="63">
        <f>VLOOKUP($B403,'Tillförd energi'!$B$1:$AI$720,MATCH(D$2,'Tillförd energi'!$B$1:$AQ$1,0),FALSE)</f>
        <v>0</v>
      </c>
      <c r="E403" s="63">
        <f>VLOOKUP($B403,'Tillförd energi'!$B$1:$AI$720,MATCH(E$2,'Tillförd energi'!$B$1:$AQ$1,0),FALSE)</f>
        <v>0</v>
      </c>
      <c r="F403" s="63">
        <f>VLOOKUP($B403,'Tillförd energi'!$B$1:$AI$720,MATCH(F$2,'Tillförd energi'!$B$1:$AQ$1,0),FALSE)</f>
        <v>0</v>
      </c>
      <c r="G403" s="63">
        <f>VLOOKUP($B403,'Tillförd energi'!$B$1:$AI$720,MATCH(G$2,'Tillförd energi'!$B$1:$AQ$1,0),FALSE)</f>
        <v>0</v>
      </c>
      <c r="H403" s="63">
        <f>VLOOKUP($B403,'Tillförd energi'!$B$1:$AI$720,MATCH(H$2,'Tillförd energi'!$B$1:$AQ$1,0),FALSE)</f>
        <v>0</v>
      </c>
      <c r="I403" s="63">
        <f>VLOOKUP($B403,'Tillförd energi'!$B$1:$AI$720,MATCH(I$2,'Tillförd energi'!$B$1:$AQ$1,0),FALSE)</f>
        <v>0</v>
      </c>
      <c r="J403" s="63">
        <f>VLOOKUP($B403,'Tillförd energi'!$B$1:$AI$720,MATCH(J$2,'Tillförd energi'!$B$1:$AQ$1,0),FALSE)</f>
        <v>0</v>
      </c>
      <c r="K403" s="63">
        <f>VLOOKUP($B403,'Tillförd energi'!$B$1:$AI$720,MATCH(K$2,'Tillförd energi'!$B$1:$AQ$1,0),FALSE)</f>
        <v>0</v>
      </c>
      <c r="L403" s="63">
        <f>VLOOKUP($B403,'Tillförd energi'!$B$1:$AI$720,MATCH(L$2,'Tillförd energi'!$B$1:$AQ$1,0),FALSE)</f>
        <v>0</v>
      </c>
      <c r="M403" s="63">
        <f>VLOOKUP($B403,'Tillförd energi'!$B$1:$AI$720,MATCH(M$2,'Tillförd energi'!$B$1:$AQ$1,0),FALSE)</f>
        <v>0</v>
      </c>
      <c r="N403" s="63">
        <f>VLOOKUP($B403,'Tillförd energi'!$B$1:$AI$720,MATCH(N$2,'Tillförd energi'!$B$1:$AQ$1,0),FALSE)</f>
        <v>0</v>
      </c>
      <c r="O403" s="63">
        <f>VLOOKUP($B403,'Tillförd energi'!$B$1:$AI$720,MATCH(O$2,'Tillförd energi'!$B$1:$AQ$1,0),FALSE)</f>
        <v>0</v>
      </c>
      <c r="P403" s="63">
        <f>VLOOKUP($B403,'Tillförd energi'!$B$1:$AI$720,MATCH(P$2,'Tillförd energi'!$B$1:$AQ$1,0),FALSE)</f>
        <v>0</v>
      </c>
      <c r="Q403" s="63">
        <f>VLOOKUP($B403,'Tillförd energi'!$B$1:$AI$720,MATCH(Q$2,'Tillförd energi'!$B$1:$AQ$1,0),FALSE)</f>
        <v>0</v>
      </c>
      <c r="R403" s="63">
        <f>VLOOKUP($B403,'Tillförd energi'!$B$1:$AI$720,MATCH(R$2,'Tillförd energi'!$B$1:$AQ$1,0),FALSE)</f>
        <v>0</v>
      </c>
      <c r="S403" s="63">
        <f>VLOOKUP($B403,'Tillförd energi'!$B$1:$AI$720,MATCH(S$2,'Tillförd energi'!$B$1:$AQ$1,0),FALSE)</f>
        <v>0</v>
      </c>
      <c r="T403" s="63">
        <f>VLOOKUP($B403,'Tillförd energi'!$B$1:$AI$720,MATCH(T$2,'Tillförd energi'!$B$1:$AQ$1,0),FALSE)</f>
        <v>0</v>
      </c>
      <c r="U403" s="63">
        <f>VLOOKUP($B403,'Tillförd energi'!$B$1:$AI$720,MATCH(U$2,'Tillförd energi'!$B$1:$AQ$1,0),FALSE)</f>
        <v>0</v>
      </c>
      <c r="V403" s="63">
        <f>VLOOKUP($B403,'Tillförd energi'!$B$1:$AI$720,MATCH(V$2,'Tillförd energi'!$B$1:$AQ$1,0),FALSE)</f>
        <v>0</v>
      </c>
      <c r="W403" s="63">
        <f>VLOOKUP($B403,'Tillförd energi'!$B$1:$AI$720,MATCH(W$2,'Tillförd energi'!$B$1:$AQ$1,0),FALSE)</f>
        <v>0</v>
      </c>
      <c r="X403" s="63">
        <f>VLOOKUP($B403,'Tillförd energi'!$B$1:$AI$720,MATCH(X$2,'Tillförd energi'!$B$1:$AQ$1,0),FALSE)</f>
        <v>0</v>
      </c>
      <c r="Y403" s="63">
        <f>VLOOKUP($B403,'Tillförd energi'!$B$1:$AI$720,MATCH(Y$2,'Tillförd energi'!$B$1:$AQ$1,0),FALSE)</f>
        <v>0</v>
      </c>
      <c r="Z403" s="63">
        <f>VLOOKUP($B403,'Tillförd energi'!$B$1:$AI$720,MATCH(Z$2,'Tillförd energi'!$B$1:$AQ$1,0),FALSE)</f>
        <v>0</v>
      </c>
      <c r="AA403" s="63">
        <f>VLOOKUP($B403,'Tillförd energi'!$B$1:$AI$720,MATCH(AA$2,'Tillförd energi'!$B$1:$AQ$1,0),FALSE)</f>
        <v>0</v>
      </c>
      <c r="AB403" s="63">
        <f>VLOOKUP($B403,'Tillförd energi'!$B$1:$AI$720,MATCH(AB$2,'Tillförd energi'!$B$1:$AQ$1,0),FALSE)</f>
        <v>0</v>
      </c>
      <c r="AC403" s="63">
        <f>VLOOKUP($B403,'Tillförd energi'!$B$1:$AI$720,MATCH(AC$2,'Tillförd energi'!$B$1:$AQ$1,0),FALSE)</f>
        <v>0</v>
      </c>
      <c r="AD403" s="63">
        <f>VLOOKUP($B403,'Tillförd energi'!$B$1:$AI$720,MATCH(AD$2,'Tillförd energi'!$B$1:$AQ$1,0),FALSE)</f>
        <v>0</v>
      </c>
      <c r="AE403" s="63">
        <f>VLOOKUP($B403,'Tillförd energi'!$B$1:$AI$720,MATCH(AE$2,'Tillförd energi'!$B$1:$AQ$1,0),FALSE)</f>
        <v>0</v>
      </c>
      <c r="AF403" s="63">
        <f>VLOOKUP($B403,'Tillförd energi'!$B$1:$AI$720,MATCH(AF$2,'Tillförd energi'!$B$1:$AQ$1,0),FALSE)</f>
        <v>0</v>
      </c>
      <c r="AG403" s="63">
        <f>IFERROR(VLOOKUP(B403,Miljö!$B$1:$AC$550,MATCH("Köpt mängd produktionsspecifik fjärrvärme:",Miljö!$B$1:$AC$1,0),FALSE)/1,0)</f>
        <v>0</v>
      </c>
      <c r="AI403" s="63">
        <f t="shared" si="36"/>
        <v>0</v>
      </c>
      <c r="AJ403" s="63" t="str">
        <f>IF(ISERROR(1/VLOOKUP($B403,Leveranser!$B$1:$S$500,MATCH("såld värme (gwh)",Leveranser!$B$1:$S$1,0),FALSE)),"",VLOOKUP($B403,Leveranser!$B$1:$S$500,MATCH("såld värme (gwh)",Leveranser!$B$1:$S$1,0),FALSE))</f>
        <v/>
      </c>
      <c r="AM403" s="63" t="str">
        <f>IF(B403&lt;&gt;"",IF(VLOOKUP($B403,Totalt!$B$1:$AQ$554,MATCH("Kvalitetsgranskad:",Totalt!$B$1:$AQ$1,0),FALSE)="ja",VLOOKUP($B403,Miljö!$B$1:$AG$479,MATCH(AM$2,Miljö!$B$1:$AK$1,0),FALSE),""),"")</f>
        <v/>
      </c>
      <c r="AN403" s="63" t="str">
        <f>IF(AM403="ja",VLOOKUP($B403,Miljö!$B$1:$J$479,MATCH("Typ av ursprungsspecificerad el   (Om inget värde anges används Nordisk residualmix, se inforuta) ()",Miljö!$B$1:$J$1,0),FALSE),IF(AM403="nej","Nordisk residualel",""))</f>
        <v/>
      </c>
      <c r="AO403" s="63" t="str">
        <f>IF(AM403="","",VLOOKUP($B403,Miljö!$B$1:$J$479,MATCH("Fossilandel för ursprungspecificerad el ()",Miljö!$B$1:$J$1,0),FALSE))</f>
        <v/>
      </c>
      <c r="AQ403" s="63" t="str">
        <f t="shared" si="37"/>
        <v/>
      </c>
      <c r="AS403" s="63" t="str">
        <f t="shared" si="38"/>
        <v>Nej</v>
      </c>
      <c r="AT403" s="63" t="str">
        <f>IF(AS403="ja",VLOOKUP($B403,Miljö!$B$1:$P$500,MATCH("Fossil andel i procent (%)",Miljö!$B$1:$P$1,0),FALSE)/100,"")</f>
        <v/>
      </c>
      <c r="AV403" s="63" t="str">
        <f t="shared" si="39"/>
        <v>Nej</v>
      </c>
      <c r="AW403" s="63" t="str">
        <f>IF(AV403="ja",VLOOKUP($B403,'Egen hetvattenprod'!$B$1:$AO$500,MATCH("Värmekälla till värmepumpar ()",'Egen hetvattenprod'!$B$1:$AO$1,0),FALSE),"")</f>
        <v/>
      </c>
      <c r="AY403" s="63" t="str">
        <f t="shared" si="40"/>
        <v>Nej</v>
      </c>
      <c r="AZ403" s="77" t="str">
        <f>IF($AY403="ja",(VLOOKUP($B403,'Egen hetvattenprod'!$B$1:$BX$550,MATCH(AZ$2,'Egen hetvattenprod'!$B$1:$BX$1,0),FALSE)+VLOOKUP($B403,Kraftvärmeprod!$B$1:$BX$550,MATCH(AZ$2,Kraftvärmeprod!$B$1:$BX$1,0),FALSE))/$AC403,"")</f>
        <v/>
      </c>
      <c r="BA403" s="77" t="str">
        <f>IF($AY403="ja",(VLOOKUP($B403,'Egen hetvattenprod'!$B$1:$BX$550,MATCH(BA$2,'Egen hetvattenprod'!$B$1:$BX$1,0),FALSE)+VLOOKUP($B403,Kraftvärmeprod!$B$1:$BX$550,MATCH(BA$2,Kraftvärmeprod!$B$1:$BX$1,0),FALSE))/$AC403,"")</f>
        <v/>
      </c>
      <c r="BB403" s="77" t="str">
        <f>IF($AY403="ja",(VLOOKUP($B403,'Egen hetvattenprod'!$B$1:$BX$550,MATCH(BB$2,'Egen hetvattenprod'!$B$1:$BX$1,0),FALSE)+VLOOKUP($B403,Kraftvärmeprod!$B$1:$BX$550,MATCH(BB$2,Kraftvärmeprod!$B$1:$BX$1,0),FALSE))/$AC403,"")</f>
        <v/>
      </c>
      <c r="BC403" s="77" t="str">
        <f>IF($AY403="ja",(VLOOKUP($B403,'Egen hetvattenprod'!$B$1:$BX$550,MATCH(BC$2,'Egen hetvattenprod'!$B$1:$BX$1,0),FALSE)+VLOOKUP($B403,Kraftvärmeprod!$B$1:$BX$550,MATCH(BC$2,Kraftvärmeprod!$B$1:$BX$1,0),FALSE))/$AC403,"")</f>
        <v/>
      </c>
      <c r="BD403" s="77" t="str">
        <f>IF($AY403="ja",(VLOOKUP($B403,'Egen hetvattenprod'!$B$1:$BX$550,MATCH(BD$2,'Egen hetvattenprod'!$B$1:$BX$1,0),FALSE)+VLOOKUP($B403,Kraftvärmeprod!$B$1:$BX$550,MATCH(BD$2,Kraftvärmeprod!$B$1:$BX$1,0),FALSE))/$AC403,"")</f>
        <v/>
      </c>
      <c r="BF403" s="63" t="str">
        <f t="shared" si="41"/>
        <v>Nej</v>
      </c>
      <c r="BG403" s="63" t="str">
        <f>IF($BF403="ja",VLOOKUP($B403,'Egen hetvattenprod'!$B$1:$BX$550,MATCH("Andelen klimatgaser med fossilt ursprung för avfall ()",'Egen hetvattenprod'!$B$1:$BX$1,0),FALSE),"")</f>
        <v/>
      </c>
      <c r="BH403" s="63" t="str">
        <f>IF($BF403="ja",VLOOKUP($B403,Kraftvärmeprod!$B$1:$BX$550,MATCH("Andelen klimatgaser med fossilt ursprung för avfall ()",Kraftvärmeprod!$B$1:$BX$1,0),FALSE),"")</f>
        <v/>
      </c>
      <c r="BI403" s="63" t="str">
        <f>IF($BF403="ja",VLOOKUP($B403,'Egen hetvattenprod'!$B$1:$BX$550,MATCH("Avfall (GWh)",'Egen hetvattenprod'!$B$1:$BX$1,0),FALSE),"")</f>
        <v/>
      </c>
      <c r="BJ403" s="63" t="str">
        <f>IF($BF403="ja",VLOOKUP($B403,'Slutlig allokering kvv'!$B$1:$BX$550,MATCH("Avfall (GWh)",'Slutlig allokering kvv'!$B$1:$BX$1,0),FALSE),"")</f>
        <v/>
      </c>
      <c r="BK403" s="63" t="str">
        <f>IF($BF403="ja",VLOOKUP($B403,'Köpt hetvatten'!$B$1:$BX$550,MATCH("Avfall i köpt hetvatten",'Köpt hetvatten'!$B$1:$BX$1,0),FALSE),"")</f>
        <v/>
      </c>
      <c r="BL403" s="63" t="str">
        <f>IF($BF403="ja",VLOOKUP($B403,'Egen hetvattenprod'!$B$1:$BX$550,MATCH("Värde enligt ovan. (%)",'Egen hetvattenprod'!$B$1:$BX$1,0),FALSE),"")</f>
        <v/>
      </c>
      <c r="BM403" s="63" t="str">
        <f>IF($BF403="ja",VLOOKUP($B403,Kraftvärmeprod!$B$1:$BX$550,MATCH("Värde enligt ovan. (%)",Kraftvärmeprod!$B$1:$BX$1,0),FALSE),"")</f>
        <v/>
      </c>
    </row>
    <row r="404" spans="1:65" x14ac:dyDescent="0.45">
      <c r="A404" s="63" t="s">
        <v>149</v>
      </c>
      <c r="B404" s="63" t="s">
        <v>154</v>
      </c>
      <c r="C404" s="63">
        <f>VLOOKUP($B404,'Tillförd energi'!$B$1:$AI$720,MATCH(C$2,'Tillförd energi'!$B$1:$AQ$1,0),FALSE)</f>
        <v>0</v>
      </c>
      <c r="D404" s="63">
        <f>VLOOKUP($B404,'Tillförd energi'!$B$1:$AI$720,MATCH(D$2,'Tillförd energi'!$B$1:$AQ$1,0),FALSE)</f>
        <v>5.5999999999999999E-3</v>
      </c>
      <c r="E404" s="63">
        <f>VLOOKUP($B404,'Tillförd energi'!$B$1:$AI$720,MATCH(E$2,'Tillförd energi'!$B$1:$AQ$1,0),FALSE)</f>
        <v>0</v>
      </c>
      <c r="F404" s="63">
        <f>VLOOKUP($B404,'Tillförd energi'!$B$1:$AI$720,MATCH(F$2,'Tillförd energi'!$B$1:$AQ$1,0),FALSE)</f>
        <v>0</v>
      </c>
      <c r="G404" s="63">
        <f>VLOOKUP($B404,'Tillförd energi'!$B$1:$AI$720,MATCH(G$2,'Tillförd energi'!$B$1:$AQ$1,0),FALSE)</f>
        <v>0</v>
      </c>
      <c r="H404" s="63">
        <f>VLOOKUP($B404,'Tillförd energi'!$B$1:$AI$720,MATCH(H$2,'Tillförd energi'!$B$1:$AQ$1,0),FALSE)</f>
        <v>0</v>
      </c>
      <c r="I404" s="63">
        <f>VLOOKUP($B404,'Tillförd energi'!$B$1:$AI$720,MATCH(I$2,'Tillförd energi'!$B$1:$AQ$1,0),FALSE)</f>
        <v>0</v>
      </c>
      <c r="J404" s="63">
        <f>VLOOKUP($B404,'Tillförd energi'!$B$1:$AI$720,MATCH(J$2,'Tillförd energi'!$B$1:$AQ$1,0),FALSE)</f>
        <v>0</v>
      </c>
      <c r="K404" s="63">
        <f>VLOOKUP($B404,'Tillförd energi'!$B$1:$AI$720,MATCH(K$2,'Tillförd energi'!$B$1:$AQ$1,0),FALSE)</f>
        <v>0</v>
      </c>
      <c r="L404" s="63">
        <f>VLOOKUP($B404,'Tillförd energi'!$B$1:$AI$720,MATCH(L$2,'Tillförd energi'!$B$1:$AQ$1,0),FALSE)</f>
        <v>0</v>
      </c>
      <c r="M404" s="63">
        <f>VLOOKUP($B404,'Tillförd energi'!$B$1:$AI$720,MATCH(M$2,'Tillförd energi'!$B$1:$AQ$1,0),FALSE)</f>
        <v>0</v>
      </c>
      <c r="N404" s="63">
        <f>VLOOKUP($B404,'Tillförd energi'!$B$1:$AI$720,MATCH(N$2,'Tillförd energi'!$B$1:$AQ$1,0),FALSE)</f>
        <v>0</v>
      </c>
      <c r="O404" s="63">
        <f>VLOOKUP($B404,'Tillförd energi'!$B$1:$AI$720,MATCH(O$2,'Tillförd energi'!$B$1:$AQ$1,0),FALSE)</f>
        <v>0</v>
      </c>
      <c r="P404" s="63">
        <f>VLOOKUP($B404,'Tillförd energi'!$B$1:$AI$720,MATCH(P$2,'Tillförd energi'!$B$1:$AQ$1,0),FALSE)</f>
        <v>7.7039</v>
      </c>
      <c r="Q404" s="63">
        <f>VLOOKUP($B404,'Tillförd energi'!$B$1:$AI$720,MATCH(Q$2,'Tillförd energi'!$B$1:$AQ$1,0),FALSE)</f>
        <v>0</v>
      </c>
      <c r="R404" s="63">
        <f>VLOOKUP($B404,'Tillförd energi'!$B$1:$AI$720,MATCH(R$2,'Tillförd energi'!$B$1:$AQ$1,0),FALSE)</f>
        <v>0</v>
      </c>
      <c r="S404" s="63">
        <f>VLOOKUP($B404,'Tillförd energi'!$B$1:$AI$720,MATCH(S$2,'Tillförd energi'!$B$1:$AQ$1,0),FALSE)</f>
        <v>0</v>
      </c>
      <c r="T404" s="63">
        <f>VLOOKUP($B404,'Tillförd energi'!$B$1:$AI$720,MATCH(T$2,'Tillförd energi'!$B$1:$AQ$1,0),FALSE)</f>
        <v>0</v>
      </c>
      <c r="U404" s="63">
        <f>VLOOKUP($B404,'Tillförd energi'!$B$1:$AI$720,MATCH(U$2,'Tillförd energi'!$B$1:$AQ$1,0),FALSE)</f>
        <v>0</v>
      </c>
      <c r="V404" s="63">
        <f>VLOOKUP($B404,'Tillförd energi'!$B$1:$AI$720,MATCH(V$2,'Tillförd energi'!$B$1:$AQ$1,0),FALSE)</f>
        <v>0</v>
      </c>
      <c r="W404" s="63">
        <f>VLOOKUP($B404,'Tillförd energi'!$B$1:$AI$720,MATCH(W$2,'Tillförd energi'!$B$1:$AQ$1,0),FALSE)</f>
        <v>1.4569000000000001</v>
      </c>
      <c r="X404" s="63">
        <f>VLOOKUP($B404,'Tillförd energi'!$B$1:$AI$720,MATCH(X$2,'Tillförd energi'!$B$1:$AQ$1,0),FALSE)</f>
        <v>0</v>
      </c>
      <c r="Y404" s="63">
        <f>VLOOKUP($B404,'Tillförd energi'!$B$1:$AI$720,MATCH(Y$2,'Tillförd energi'!$B$1:$AQ$1,0),FALSE)</f>
        <v>0</v>
      </c>
      <c r="Z404" s="63">
        <f>VLOOKUP($B404,'Tillförd energi'!$B$1:$AI$720,MATCH(Z$2,'Tillförd energi'!$B$1:$AQ$1,0),FALSE)</f>
        <v>0.98150000000000004</v>
      </c>
      <c r="AA404" s="63">
        <f>VLOOKUP($B404,'Tillförd energi'!$B$1:$AI$720,MATCH(AA$2,'Tillförd energi'!$B$1:$AQ$1,0),FALSE)</f>
        <v>0</v>
      </c>
      <c r="AB404" s="63">
        <f>VLOOKUP($B404,'Tillförd energi'!$B$1:$AI$720,MATCH(AB$2,'Tillförd energi'!$B$1:$AQ$1,0),FALSE)</f>
        <v>0</v>
      </c>
      <c r="AC404" s="63">
        <f>VLOOKUP($B404,'Tillförd energi'!$B$1:$AI$720,MATCH(AC$2,'Tillförd energi'!$B$1:$AQ$1,0),FALSE)</f>
        <v>0</v>
      </c>
      <c r="AD404" s="63">
        <f>VLOOKUP($B404,'Tillförd energi'!$B$1:$AI$720,MATCH(AD$2,'Tillförd energi'!$B$1:$AQ$1,0),FALSE)</f>
        <v>0</v>
      </c>
      <c r="AE404" s="63">
        <f>VLOOKUP($B404,'Tillförd energi'!$B$1:$AI$720,MATCH(AE$2,'Tillförd energi'!$B$1:$AQ$1,0),FALSE)</f>
        <v>0</v>
      </c>
      <c r="AF404" s="63">
        <f>VLOOKUP($B404,'Tillförd energi'!$B$1:$AI$720,MATCH(AF$2,'Tillförd energi'!$B$1:$AQ$1,0),FALSE)</f>
        <v>0.29010000000000002</v>
      </c>
      <c r="AG404" s="63">
        <f>IFERROR(VLOOKUP(B404,Miljö!$B$1:$AC$550,MATCH("Köpt mängd produktionsspecifik fjärrvärme:",Miljö!$B$1:$AC$1,0),FALSE)/1,0)</f>
        <v>0</v>
      </c>
      <c r="AI404" s="63">
        <f t="shared" si="36"/>
        <v>10.438000000000001</v>
      </c>
      <c r="AJ404" s="63">
        <f>IF(ISERROR(1/VLOOKUP($B404,Leveranser!$B$1:$S$500,MATCH("såld värme (gwh)",Leveranser!$B$1:$S$1,0),FALSE)),"",VLOOKUP($B404,Leveranser!$B$1:$S$500,MATCH("såld värme (gwh)",Leveranser!$B$1:$S$1,0),FALSE))</f>
        <v>6.83</v>
      </c>
      <c r="AM404" s="63" t="str">
        <f>IF(B404&lt;&gt;"",IF(VLOOKUP($B404,Totalt!$B$1:$AQ$554,MATCH("Kvalitetsgranskad:",Totalt!$B$1:$AQ$1,0),FALSE)="ja",VLOOKUP($B404,Miljö!$B$1:$AG$479,MATCH(AM$2,Miljö!$B$1:$AK$1,0),FALSE),""),"")</f>
        <v>Ja</v>
      </c>
      <c r="AN404" s="63" t="str">
        <f>IF(AM404="ja",VLOOKUP($B404,Miljö!$B$1:$J$479,MATCH("Typ av ursprungsspecificerad el   (Om inget värde anges används Nordisk residualmix, se inforuta) ()",Miljö!$B$1:$J$1,0),FALSE),IF(AM404="nej","Nordisk residualel",""))</f>
        <v>'Hörneborgsel'</v>
      </c>
      <c r="AO404" s="63">
        <f>IF(AM404="","",VLOOKUP($B404,Miljö!$B$1:$J$479,MATCH("Fossilandel för ursprungspecificerad el ()",Miljö!$B$1:$J$1,0),FALSE))</f>
        <v>0.17</v>
      </c>
      <c r="AQ404" s="63">
        <f t="shared" si="37"/>
        <v>0.83</v>
      </c>
      <c r="AS404" s="63" t="str">
        <f t="shared" si="38"/>
        <v>Nej</v>
      </c>
      <c r="AT404" s="63" t="str">
        <f>IF(AS404="ja",VLOOKUP($B404,Miljö!$B$1:$P$500,MATCH("Fossil andel i procent (%)",Miljö!$B$1:$P$1,0),FALSE)/100,"")</f>
        <v/>
      </c>
      <c r="AV404" s="63" t="str">
        <f t="shared" si="39"/>
        <v>Nej</v>
      </c>
      <c r="AW404" s="63" t="str">
        <f>IF(AV404="ja",VLOOKUP($B404,'Egen hetvattenprod'!$B$1:$AO$500,MATCH("Värmekälla till värmepumpar ()",'Egen hetvattenprod'!$B$1:$AO$1,0),FALSE),"")</f>
        <v/>
      </c>
      <c r="AY404" s="63" t="str">
        <f t="shared" si="40"/>
        <v>Nej</v>
      </c>
      <c r="AZ404" s="77" t="str">
        <f>IF($AY404="ja",(VLOOKUP($B404,'Egen hetvattenprod'!$B$1:$BX$550,MATCH(AZ$2,'Egen hetvattenprod'!$B$1:$BX$1,0),FALSE)+VLOOKUP($B404,Kraftvärmeprod!$B$1:$BX$550,MATCH(AZ$2,Kraftvärmeprod!$B$1:$BX$1,0),FALSE))/$AC404,"")</f>
        <v/>
      </c>
      <c r="BA404" s="77" t="str">
        <f>IF($AY404="ja",(VLOOKUP($B404,'Egen hetvattenprod'!$B$1:$BX$550,MATCH(BA$2,'Egen hetvattenprod'!$B$1:$BX$1,0),FALSE)+VLOOKUP($B404,Kraftvärmeprod!$B$1:$BX$550,MATCH(BA$2,Kraftvärmeprod!$B$1:$BX$1,0),FALSE))/$AC404,"")</f>
        <v/>
      </c>
      <c r="BB404" s="77" t="str">
        <f>IF($AY404="ja",(VLOOKUP($B404,'Egen hetvattenprod'!$B$1:$BX$550,MATCH(BB$2,'Egen hetvattenprod'!$B$1:$BX$1,0),FALSE)+VLOOKUP($B404,Kraftvärmeprod!$B$1:$BX$550,MATCH(BB$2,Kraftvärmeprod!$B$1:$BX$1,0),FALSE))/$AC404,"")</f>
        <v/>
      </c>
      <c r="BC404" s="77" t="str">
        <f>IF($AY404="ja",(VLOOKUP($B404,'Egen hetvattenprod'!$B$1:$BX$550,MATCH(BC$2,'Egen hetvattenprod'!$B$1:$BX$1,0),FALSE)+VLOOKUP($B404,Kraftvärmeprod!$B$1:$BX$550,MATCH(BC$2,Kraftvärmeprod!$B$1:$BX$1,0),FALSE))/$AC404,"")</f>
        <v/>
      </c>
      <c r="BD404" s="77" t="str">
        <f>IF($AY404="ja",(VLOOKUP($B404,'Egen hetvattenprod'!$B$1:$BX$550,MATCH(BD$2,'Egen hetvattenprod'!$B$1:$BX$1,0),FALSE)+VLOOKUP($B404,Kraftvärmeprod!$B$1:$BX$550,MATCH(BD$2,Kraftvärmeprod!$B$1:$BX$1,0),FALSE))/$AC404,"")</f>
        <v/>
      </c>
      <c r="BF404" s="63" t="str">
        <f t="shared" si="41"/>
        <v>Nej</v>
      </c>
      <c r="BG404" s="63" t="str">
        <f>IF($BF404="ja",VLOOKUP($B404,'Egen hetvattenprod'!$B$1:$BX$550,MATCH("Andelen klimatgaser med fossilt ursprung för avfall ()",'Egen hetvattenprod'!$B$1:$BX$1,0),FALSE),"")</f>
        <v/>
      </c>
      <c r="BH404" s="63" t="str">
        <f>IF($BF404="ja",VLOOKUP($B404,Kraftvärmeprod!$B$1:$BX$550,MATCH("Andelen klimatgaser med fossilt ursprung för avfall ()",Kraftvärmeprod!$B$1:$BX$1,0),FALSE),"")</f>
        <v/>
      </c>
      <c r="BI404" s="63" t="str">
        <f>IF($BF404="ja",VLOOKUP($B404,'Egen hetvattenprod'!$B$1:$BX$550,MATCH("Avfall (GWh)",'Egen hetvattenprod'!$B$1:$BX$1,0),FALSE),"")</f>
        <v/>
      </c>
      <c r="BJ404" s="63" t="str">
        <f>IF($BF404="ja",VLOOKUP($B404,'Slutlig allokering kvv'!$B$1:$BX$550,MATCH("Avfall (GWh)",'Slutlig allokering kvv'!$B$1:$BX$1,0),FALSE),"")</f>
        <v/>
      </c>
      <c r="BK404" s="63" t="str">
        <f>IF($BF404="ja",VLOOKUP($B404,'Köpt hetvatten'!$B$1:$BX$550,MATCH("Avfall i köpt hetvatten",'Köpt hetvatten'!$B$1:$BX$1,0),FALSE),"")</f>
        <v/>
      </c>
      <c r="BL404" s="63" t="str">
        <f>IF($BF404="ja",VLOOKUP($B404,'Egen hetvattenprod'!$B$1:$BX$550,MATCH("Värde enligt ovan. (%)",'Egen hetvattenprod'!$B$1:$BX$1,0),FALSE),"")</f>
        <v/>
      </c>
      <c r="BM404" s="63" t="str">
        <f>IF($BF404="ja",VLOOKUP($B404,Kraftvärmeprod!$B$1:$BX$550,MATCH("Värde enligt ovan. (%)",Kraftvärmeprod!$B$1:$BX$1,0),FALSE),"")</f>
        <v/>
      </c>
    </row>
    <row r="405" spans="1:65" x14ac:dyDescent="0.45">
      <c r="A405" s="63" t="s">
        <v>149</v>
      </c>
      <c r="B405" s="63" t="s">
        <v>153</v>
      </c>
      <c r="C405" s="63">
        <f>VLOOKUP($B405,'Tillförd energi'!$B$1:$AI$720,MATCH(C$2,'Tillförd energi'!$B$1:$AQ$1,0),FALSE)</f>
        <v>0</v>
      </c>
      <c r="D405" s="63">
        <f>VLOOKUP($B405,'Tillförd energi'!$B$1:$AI$720,MATCH(D$2,'Tillförd energi'!$B$1:$AQ$1,0),FALSE)</f>
        <v>3.5499999999999997E-2</v>
      </c>
      <c r="E405" s="63">
        <f>VLOOKUP($B405,'Tillförd energi'!$B$1:$AI$720,MATCH(E$2,'Tillförd energi'!$B$1:$AQ$1,0),FALSE)</f>
        <v>0</v>
      </c>
      <c r="F405" s="63">
        <f>VLOOKUP($B405,'Tillförd energi'!$B$1:$AI$720,MATCH(F$2,'Tillförd energi'!$B$1:$AQ$1,0),FALSE)</f>
        <v>0</v>
      </c>
      <c r="G405" s="63">
        <f>VLOOKUP($B405,'Tillförd energi'!$B$1:$AI$720,MATCH(G$2,'Tillförd energi'!$B$1:$AQ$1,0),FALSE)</f>
        <v>0</v>
      </c>
      <c r="H405" s="63">
        <f>VLOOKUP($B405,'Tillförd energi'!$B$1:$AI$720,MATCH(H$2,'Tillförd energi'!$B$1:$AQ$1,0),FALSE)</f>
        <v>0</v>
      </c>
      <c r="I405" s="63">
        <f>VLOOKUP($B405,'Tillförd energi'!$B$1:$AI$720,MATCH(I$2,'Tillförd energi'!$B$1:$AQ$1,0),FALSE)</f>
        <v>0</v>
      </c>
      <c r="J405" s="63">
        <f>VLOOKUP($B405,'Tillförd energi'!$B$1:$AI$720,MATCH(J$2,'Tillförd energi'!$B$1:$AQ$1,0),FALSE)</f>
        <v>0</v>
      </c>
      <c r="K405" s="63">
        <f>VLOOKUP($B405,'Tillförd energi'!$B$1:$AI$720,MATCH(K$2,'Tillförd energi'!$B$1:$AQ$1,0),FALSE)</f>
        <v>0</v>
      </c>
      <c r="L405" s="63">
        <f>VLOOKUP($B405,'Tillförd energi'!$B$1:$AI$720,MATCH(L$2,'Tillförd energi'!$B$1:$AQ$1,0),FALSE)</f>
        <v>0</v>
      </c>
      <c r="M405" s="63">
        <f>VLOOKUP($B405,'Tillförd energi'!$B$1:$AI$720,MATCH(M$2,'Tillförd energi'!$B$1:$AQ$1,0),FALSE)</f>
        <v>0</v>
      </c>
      <c r="N405" s="63">
        <f>VLOOKUP($B405,'Tillförd energi'!$B$1:$AI$720,MATCH(N$2,'Tillförd energi'!$B$1:$AQ$1,0),FALSE)</f>
        <v>0</v>
      </c>
      <c r="O405" s="63">
        <f>VLOOKUP($B405,'Tillförd energi'!$B$1:$AI$720,MATCH(O$2,'Tillförd energi'!$B$1:$AQ$1,0),FALSE)</f>
        <v>0</v>
      </c>
      <c r="P405" s="63">
        <f>VLOOKUP($B405,'Tillförd energi'!$B$1:$AI$720,MATCH(P$2,'Tillförd energi'!$B$1:$AQ$1,0),FALSE)</f>
        <v>5.1432000000000002</v>
      </c>
      <c r="Q405" s="63">
        <f>VLOOKUP($B405,'Tillförd energi'!$B$1:$AI$720,MATCH(Q$2,'Tillförd energi'!$B$1:$AQ$1,0),FALSE)</f>
        <v>0</v>
      </c>
      <c r="R405" s="63">
        <f>VLOOKUP($B405,'Tillförd energi'!$B$1:$AI$720,MATCH(R$2,'Tillförd energi'!$B$1:$AQ$1,0),FALSE)</f>
        <v>0.1057</v>
      </c>
      <c r="S405" s="63">
        <f>VLOOKUP($B405,'Tillförd energi'!$B$1:$AI$720,MATCH(S$2,'Tillförd energi'!$B$1:$AQ$1,0),FALSE)</f>
        <v>0</v>
      </c>
      <c r="T405" s="63">
        <f>VLOOKUP($B405,'Tillförd energi'!$B$1:$AI$720,MATCH(T$2,'Tillförd energi'!$B$1:$AQ$1,0),FALSE)</f>
        <v>0</v>
      </c>
      <c r="U405" s="63">
        <f>VLOOKUP($B405,'Tillförd energi'!$B$1:$AI$720,MATCH(U$2,'Tillförd energi'!$B$1:$AQ$1,0),FALSE)</f>
        <v>0</v>
      </c>
      <c r="V405" s="63">
        <f>VLOOKUP($B405,'Tillförd energi'!$B$1:$AI$720,MATCH(V$2,'Tillförd energi'!$B$1:$AQ$1,0),FALSE)</f>
        <v>0</v>
      </c>
      <c r="W405" s="63">
        <f>VLOOKUP($B405,'Tillförd energi'!$B$1:$AI$720,MATCH(W$2,'Tillförd energi'!$B$1:$AQ$1,0),FALSE)</f>
        <v>0.4531</v>
      </c>
      <c r="X405" s="63">
        <f>VLOOKUP($B405,'Tillförd energi'!$B$1:$AI$720,MATCH(X$2,'Tillförd energi'!$B$1:$AQ$1,0),FALSE)</f>
        <v>0</v>
      </c>
      <c r="Y405" s="63">
        <f>VLOOKUP($B405,'Tillförd energi'!$B$1:$AI$720,MATCH(Y$2,'Tillförd energi'!$B$1:$AQ$1,0),FALSE)</f>
        <v>0</v>
      </c>
      <c r="Z405" s="63">
        <f>VLOOKUP($B405,'Tillförd energi'!$B$1:$AI$720,MATCH(Z$2,'Tillförd energi'!$B$1:$AQ$1,0),FALSE)</f>
        <v>1.1748000000000001</v>
      </c>
      <c r="AA405" s="63">
        <f>VLOOKUP($B405,'Tillförd energi'!$B$1:$AI$720,MATCH(AA$2,'Tillförd energi'!$B$1:$AQ$1,0),FALSE)</f>
        <v>0</v>
      </c>
      <c r="AB405" s="63">
        <f>VLOOKUP($B405,'Tillförd energi'!$B$1:$AI$720,MATCH(AB$2,'Tillförd energi'!$B$1:$AQ$1,0),FALSE)</f>
        <v>0</v>
      </c>
      <c r="AC405" s="63">
        <f>VLOOKUP($B405,'Tillförd energi'!$B$1:$AI$720,MATCH(AC$2,'Tillförd energi'!$B$1:$AQ$1,0),FALSE)</f>
        <v>0</v>
      </c>
      <c r="AD405" s="63">
        <f>VLOOKUP($B405,'Tillförd energi'!$B$1:$AI$720,MATCH(AD$2,'Tillförd energi'!$B$1:$AQ$1,0),FALSE)</f>
        <v>0</v>
      </c>
      <c r="AE405" s="63">
        <f>VLOOKUP($B405,'Tillförd energi'!$B$1:$AI$720,MATCH(AE$2,'Tillförd energi'!$B$1:$AQ$1,0),FALSE)</f>
        <v>0</v>
      </c>
      <c r="AF405" s="63">
        <f>VLOOKUP($B405,'Tillförd energi'!$B$1:$AI$720,MATCH(AF$2,'Tillförd energi'!$B$1:$AQ$1,0),FALSE)</f>
        <v>0.1605</v>
      </c>
      <c r="AG405" s="63">
        <f>IFERROR(VLOOKUP(B405,Miljö!$B$1:$AC$550,MATCH("Köpt mängd produktionsspecifik fjärrvärme:",Miljö!$B$1:$AC$1,0),FALSE)/1,0)</f>
        <v>0</v>
      </c>
      <c r="AI405" s="63">
        <f t="shared" si="36"/>
        <v>7.0728</v>
      </c>
      <c r="AJ405" s="63">
        <f>IF(ISERROR(1/VLOOKUP($B405,Leveranser!$B$1:$S$500,MATCH("såld värme (gwh)",Leveranser!$B$1:$S$1,0),FALSE)),"",VLOOKUP($B405,Leveranser!$B$1:$S$500,MATCH("såld värme (gwh)",Leveranser!$B$1:$S$1,0),FALSE))</f>
        <v>5.35</v>
      </c>
      <c r="AM405" s="63" t="str">
        <f>IF(B405&lt;&gt;"",IF(VLOOKUP($B405,Totalt!$B$1:$AQ$554,MATCH("Kvalitetsgranskad:",Totalt!$B$1:$AQ$1,0),FALSE)="ja",VLOOKUP($B405,Miljö!$B$1:$AG$479,MATCH(AM$2,Miljö!$B$1:$AK$1,0),FALSE),""),"")</f>
        <v>Ja</v>
      </c>
      <c r="AN405" s="63" t="str">
        <f>IF(AM405="ja",VLOOKUP($B405,Miljö!$B$1:$J$479,MATCH("Typ av ursprungsspecificerad el   (Om inget värde anges används Nordisk residualmix, se inforuta) ()",Miljö!$B$1:$J$1,0),FALSE),IF(AM405="nej","Nordisk residualel",""))</f>
        <v>'Hörneborgsel'</v>
      </c>
      <c r="AO405" s="63">
        <f>IF(AM405="","",VLOOKUP($B405,Miljö!$B$1:$J$479,MATCH("Fossilandel för ursprungspecificerad el ()",Miljö!$B$1:$J$1,0),FALSE))</f>
        <v>0.17</v>
      </c>
      <c r="AQ405" s="63">
        <f t="shared" si="37"/>
        <v>0.83</v>
      </c>
      <c r="AS405" s="63" t="str">
        <f t="shared" si="38"/>
        <v>Nej</v>
      </c>
      <c r="AT405" s="63" t="str">
        <f>IF(AS405="ja",VLOOKUP($B405,Miljö!$B$1:$P$500,MATCH("Fossil andel i procent (%)",Miljö!$B$1:$P$1,0),FALSE)/100,"")</f>
        <v/>
      </c>
      <c r="AV405" s="63" t="str">
        <f t="shared" si="39"/>
        <v>Nej</v>
      </c>
      <c r="AW405" s="63" t="str">
        <f>IF(AV405="ja",VLOOKUP($B405,'Egen hetvattenprod'!$B$1:$AO$500,MATCH("Värmekälla till värmepumpar ()",'Egen hetvattenprod'!$B$1:$AO$1,0),FALSE),"")</f>
        <v/>
      </c>
      <c r="AY405" s="63" t="str">
        <f t="shared" si="40"/>
        <v>Nej</v>
      </c>
      <c r="AZ405" s="77" t="str">
        <f>IF($AY405="ja",(VLOOKUP($B405,'Egen hetvattenprod'!$B$1:$BX$550,MATCH(AZ$2,'Egen hetvattenprod'!$B$1:$BX$1,0),FALSE)+VLOOKUP($B405,Kraftvärmeprod!$B$1:$BX$550,MATCH(AZ$2,Kraftvärmeprod!$B$1:$BX$1,0),FALSE))/$AC405,"")</f>
        <v/>
      </c>
      <c r="BA405" s="77" t="str">
        <f>IF($AY405="ja",(VLOOKUP($B405,'Egen hetvattenprod'!$B$1:$BX$550,MATCH(BA$2,'Egen hetvattenprod'!$B$1:$BX$1,0),FALSE)+VLOOKUP($B405,Kraftvärmeprod!$B$1:$BX$550,MATCH(BA$2,Kraftvärmeprod!$B$1:$BX$1,0),FALSE))/$AC405,"")</f>
        <v/>
      </c>
      <c r="BB405" s="77" t="str">
        <f>IF($AY405="ja",(VLOOKUP($B405,'Egen hetvattenprod'!$B$1:$BX$550,MATCH(BB$2,'Egen hetvattenprod'!$B$1:$BX$1,0),FALSE)+VLOOKUP($B405,Kraftvärmeprod!$B$1:$BX$550,MATCH(BB$2,Kraftvärmeprod!$B$1:$BX$1,0),FALSE))/$AC405,"")</f>
        <v/>
      </c>
      <c r="BC405" s="77" t="str">
        <f>IF($AY405="ja",(VLOOKUP($B405,'Egen hetvattenprod'!$B$1:$BX$550,MATCH(BC$2,'Egen hetvattenprod'!$B$1:$BX$1,0),FALSE)+VLOOKUP($B405,Kraftvärmeprod!$B$1:$BX$550,MATCH(BC$2,Kraftvärmeprod!$B$1:$BX$1,0),FALSE))/$AC405,"")</f>
        <v/>
      </c>
      <c r="BD405" s="77" t="str">
        <f>IF($AY405="ja",(VLOOKUP($B405,'Egen hetvattenprod'!$B$1:$BX$550,MATCH(BD$2,'Egen hetvattenprod'!$B$1:$BX$1,0),FALSE)+VLOOKUP($B405,Kraftvärmeprod!$B$1:$BX$550,MATCH(BD$2,Kraftvärmeprod!$B$1:$BX$1,0),FALSE))/$AC405,"")</f>
        <v/>
      </c>
      <c r="BF405" s="63" t="str">
        <f t="shared" si="41"/>
        <v>Nej</v>
      </c>
      <c r="BG405" s="63" t="str">
        <f>IF($BF405="ja",VLOOKUP($B405,'Egen hetvattenprod'!$B$1:$BX$550,MATCH("Andelen klimatgaser med fossilt ursprung för avfall ()",'Egen hetvattenprod'!$B$1:$BX$1,0),FALSE),"")</f>
        <v/>
      </c>
      <c r="BH405" s="63" t="str">
        <f>IF($BF405="ja",VLOOKUP($B405,Kraftvärmeprod!$B$1:$BX$550,MATCH("Andelen klimatgaser med fossilt ursprung för avfall ()",Kraftvärmeprod!$B$1:$BX$1,0),FALSE),"")</f>
        <v/>
      </c>
      <c r="BI405" s="63" t="str">
        <f>IF($BF405="ja",VLOOKUP($B405,'Egen hetvattenprod'!$B$1:$BX$550,MATCH("Avfall (GWh)",'Egen hetvattenprod'!$B$1:$BX$1,0),FALSE),"")</f>
        <v/>
      </c>
      <c r="BJ405" s="63" t="str">
        <f>IF($BF405="ja",VLOOKUP($B405,'Slutlig allokering kvv'!$B$1:$BX$550,MATCH("Avfall (GWh)",'Slutlig allokering kvv'!$B$1:$BX$1,0),FALSE),"")</f>
        <v/>
      </c>
      <c r="BK405" s="63" t="str">
        <f>IF($BF405="ja",VLOOKUP($B405,'Köpt hetvatten'!$B$1:$BX$550,MATCH("Avfall i köpt hetvatten",'Köpt hetvatten'!$B$1:$BX$1,0),FALSE),"")</f>
        <v/>
      </c>
      <c r="BL405" s="63" t="str">
        <f>IF($BF405="ja",VLOOKUP($B405,'Egen hetvattenprod'!$B$1:$BX$550,MATCH("Värde enligt ovan. (%)",'Egen hetvattenprod'!$B$1:$BX$1,0),FALSE),"")</f>
        <v/>
      </c>
      <c r="BM405" s="63" t="str">
        <f>IF($BF405="ja",VLOOKUP($B405,Kraftvärmeprod!$B$1:$BX$550,MATCH("Värde enligt ovan. (%)",Kraftvärmeprod!$B$1:$BX$1,0),FALSE),"")</f>
        <v/>
      </c>
    </row>
    <row r="406" spans="1:65" x14ac:dyDescent="0.45">
      <c r="A406" s="63" t="s">
        <v>149</v>
      </c>
      <c r="B406" s="63" t="s">
        <v>152</v>
      </c>
      <c r="C406" s="63">
        <f>VLOOKUP($B406,'Tillförd energi'!$B$1:$AI$720,MATCH(C$2,'Tillförd energi'!$B$1:$AQ$1,0),FALSE)</f>
        <v>0</v>
      </c>
      <c r="D406" s="63">
        <f>VLOOKUP($B406,'Tillförd energi'!$B$1:$AI$720,MATCH(D$2,'Tillförd energi'!$B$1:$AQ$1,0),FALSE)</f>
        <v>0.1497</v>
      </c>
      <c r="E406" s="63">
        <f>VLOOKUP($B406,'Tillförd energi'!$B$1:$AI$720,MATCH(E$2,'Tillförd energi'!$B$1:$AQ$1,0),FALSE)</f>
        <v>0</v>
      </c>
      <c r="F406" s="63">
        <f>VLOOKUP($B406,'Tillförd energi'!$B$1:$AI$720,MATCH(F$2,'Tillförd energi'!$B$1:$AQ$1,0),FALSE)</f>
        <v>0</v>
      </c>
      <c r="G406" s="63">
        <f>VLOOKUP($B406,'Tillförd energi'!$B$1:$AI$720,MATCH(G$2,'Tillförd energi'!$B$1:$AQ$1,0),FALSE)</f>
        <v>0</v>
      </c>
      <c r="H406" s="63">
        <f>VLOOKUP($B406,'Tillförd energi'!$B$1:$AI$720,MATCH(H$2,'Tillförd energi'!$B$1:$AQ$1,0),FALSE)</f>
        <v>0</v>
      </c>
      <c r="I406" s="63">
        <f>VLOOKUP($B406,'Tillförd energi'!$B$1:$AI$720,MATCH(I$2,'Tillförd energi'!$B$1:$AQ$1,0),FALSE)</f>
        <v>0</v>
      </c>
      <c r="J406" s="63">
        <f>VLOOKUP($B406,'Tillförd energi'!$B$1:$AI$720,MATCH(J$2,'Tillförd energi'!$B$1:$AQ$1,0),FALSE)</f>
        <v>0</v>
      </c>
      <c r="K406" s="63">
        <f>VLOOKUP($B406,'Tillförd energi'!$B$1:$AI$720,MATCH(K$2,'Tillförd energi'!$B$1:$AQ$1,0),FALSE)</f>
        <v>0</v>
      </c>
      <c r="L406" s="63">
        <f>VLOOKUP($B406,'Tillförd energi'!$B$1:$AI$720,MATCH(L$2,'Tillförd energi'!$B$1:$AQ$1,0),FALSE)</f>
        <v>0</v>
      </c>
      <c r="M406" s="63">
        <f>VLOOKUP($B406,'Tillförd energi'!$B$1:$AI$720,MATCH(M$2,'Tillförd energi'!$B$1:$AQ$1,0),FALSE)</f>
        <v>0</v>
      </c>
      <c r="N406" s="63">
        <f>VLOOKUP($B406,'Tillförd energi'!$B$1:$AI$720,MATCH(N$2,'Tillförd energi'!$B$1:$AQ$1,0),FALSE)</f>
        <v>0</v>
      </c>
      <c r="O406" s="63">
        <f>VLOOKUP($B406,'Tillförd energi'!$B$1:$AI$720,MATCH(O$2,'Tillförd energi'!$B$1:$AQ$1,0),FALSE)</f>
        <v>0</v>
      </c>
      <c r="P406" s="63">
        <f>VLOOKUP($B406,'Tillförd energi'!$B$1:$AI$720,MATCH(P$2,'Tillförd energi'!$B$1:$AQ$1,0),FALSE)</f>
        <v>0</v>
      </c>
      <c r="Q406" s="63">
        <f>VLOOKUP($B406,'Tillförd energi'!$B$1:$AI$720,MATCH(Q$2,'Tillförd energi'!$B$1:$AQ$1,0),FALSE)</f>
        <v>2.4234100000000001</v>
      </c>
      <c r="R406" s="63">
        <f>VLOOKUP($B406,'Tillförd energi'!$B$1:$AI$720,MATCH(R$2,'Tillförd energi'!$B$1:$AQ$1,0),FALSE)</f>
        <v>0</v>
      </c>
      <c r="S406" s="63">
        <f>VLOOKUP($B406,'Tillförd energi'!$B$1:$AI$720,MATCH(S$2,'Tillförd energi'!$B$1:$AQ$1,0),FALSE)</f>
        <v>0</v>
      </c>
      <c r="T406" s="63">
        <f>VLOOKUP($B406,'Tillförd energi'!$B$1:$AI$720,MATCH(T$2,'Tillförd energi'!$B$1:$AQ$1,0),FALSE)</f>
        <v>0</v>
      </c>
      <c r="U406" s="63">
        <f>VLOOKUP($B406,'Tillförd energi'!$B$1:$AI$720,MATCH(U$2,'Tillförd energi'!$B$1:$AQ$1,0),FALSE)</f>
        <v>0</v>
      </c>
      <c r="V406" s="63">
        <f>VLOOKUP($B406,'Tillförd energi'!$B$1:$AI$720,MATCH(V$2,'Tillförd energi'!$B$1:$AQ$1,0),FALSE)</f>
        <v>0</v>
      </c>
      <c r="W406" s="63">
        <f>VLOOKUP($B406,'Tillförd energi'!$B$1:$AI$720,MATCH(W$2,'Tillförd energi'!$B$1:$AQ$1,0),FALSE)</f>
        <v>0</v>
      </c>
      <c r="X406" s="63">
        <f>VLOOKUP($B406,'Tillförd energi'!$B$1:$AI$720,MATCH(X$2,'Tillförd energi'!$B$1:$AQ$1,0),FALSE)</f>
        <v>0</v>
      </c>
      <c r="Y406" s="63">
        <f>VLOOKUP($B406,'Tillförd energi'!$B$1:$AI$720,MATCH(Y$2,'Tillförd energi'!$B$1:$AQ$1,0),FALSE)</f>
        <v>0</v>
      </c>
      <c r="Z406" s="63">
        <f>VLOOKUP($B406,'Tillförd energi'!$B$1:$AI$720,MATCH(Z$2,'Tillförd energi'!$B$1:$AQ$1,0),FALSE)</f>
        <v>0</v>
      </c>
      <c r="AA406" s="63">
        <f>VLOOKUP($B406,'Tillförd energi'!$B$1:$AI$720,MATCH(AA$2,'Tillförd energi'!$B$1:$AQ$1,0),FALSE)</f>
        <v>0</v>
      </c>
      <c r="AB406" s="63">
        <f>VLOOKUP($B406,'Tillförd energi'!$B$1:$AI$720,MATCH(AB$2,'Tillförd energi'!$B$1:$AQ$1,0),FALSE)</f>
        <v>0</v>
      </c>
      <c r="AC406" s="63">
        <f>VLOOKUP($B406,'Tillförd energi'!$B$1:$AI$720,MATCH(AC$2,'Tillförd energi'!$B$1:$AQ$1,0),FALSE)</f>
        <v>0</v>
      </c>
      <c r="AD406" s="63">
        <f>VLOOKUP($B406,'Tillförd energi'!$B$1:$AI$720,MATCH(AD$2,'Tillförd energi'!$B$1:$AQ$1,0),FALSE)</f>
        <v>6.5452000000000004</v>
      </c>
      <c r="AE406" s="63">
        <f>VLOOKUP($B406,'Tillförd energi'!$B$1:$AI$720,MATCH(AE$2,'Tillförd energi'!$B$1:$AQ$1,0),FALSE)</f>
        <v>0</v>
      </c>
      <c r="AF406" s="63">
        <f>VLOOKUP($B406,'Tillförd energi'!$B$1:$AI$720,MATCH(AF$2,'Tillförd energi'!$B$1:$AQ$1,0),FALSE)</f>
        <v>0.20039999999999999</v>
      </c>
      <c r="AG406" s="63">
        <f>IFERROR(VLOOKUP(B406,Miljö!$B$1:$AC$550,MATCH("Köpt mängd produktionsspecifik fjärrvärme:",Miljö!$B$1:$AC$1,0),FALSE)/1,0)</f>
        <v>0</v>
      </c>
      <c r="AI406" s="63">
        <f t="shared" si="36"/>
        <v>9.3187100000000012</v>
      </c>
      <c r="AJ406" s="63">
        <f>IF(ISERROR(1/VLOOKUP($B406,Leveranser!$B$1:$S$500,MATCH("såld värme (gwh)",Leveranser!$B$1:$S$1,0),FALSE)),"",VLOOKUP($B406,Leveranser!$B$1:$S$500,MATCH("såld värme (gwh)",Leveranser!$B$1:$S$1,0),FALSE))</f>
        <v>6.68</v>
      </c>
      <c r="AM406" s="63" t="str">
        <f>IF(B406&lt;&gt;"",IF(VLOOKUP($B406,Totalt!$B$1:$AQ$554,MATCH("Kvalitetsgranskad:",Totalt!$B$1:$AQ$1,0),FALSE)="ja",VLOOKUP($B406,Miljö!$B$1:$AG$479,MATCH(AM$2,Miljö!$B$1:$AK$1,0),FALSE),""),"")</f>
        <v>Ja</v>
      </c>
      <c r="AN406" s="63" t="str">
        <f>IF(AM406="ja",VLOOKUP($B406,Miljö!$B$1:$J$479,MATCH("Typ av ursprungsspecificerad el   (Om inget värde anges används Nordisk residualmix, se inforuta) ()",Miljö!$B$1:$J$1,0),FALSE),IF(AM406="nej","Nordisk residualel",""))</f>
        <v>-</v>
      </c>
      <c r="AO406" s="63">
        <f>IF(AM406="","",VLOOKUP($B406,Miljö!$B$1:$J$479,MATCH("Fossilandel för ursprungspecificerad el ()",Miljö!$B$1:$J$1,0),FALSE))</f>
        <v>0.35</v>
      </c>
      <c r="AQ406" s="63">
        <f t="shared" si="37"/>
        <v>0.65</v>
      </c>
      <c r="AS406" s="63" t="str">
        <f t="shared" si="38"/>
        <v>Nej</v>
      </c>
      <c r="AT406" s="63" t="str">
        <f>IF(AS406="ja",VLOOKUP($B406,Miljö!$B$1:$P$500,MATCH("Fossil andel i procent (%)",Miljö!$B$1:$P$1,0),FALSE)/100,"")</f>
        <v/>
      </c>
      <c r="AV406" s="63" t="str">
        <f t="shared" si="39"/>
        <v>Nej</v>
      </c>
      <c r="AW406" s="63" t="str">
        <f>IF(AV406="ja",VLOOKUP($B406,'Egen hetvattenprod'!$B$1:$AO$500,MATCH("Värmekälla till värmepumpar ()",'Egen hetvattenprod'!$B$1:$AO$1,0),FALSE),"")</f>
        <v/>
      </c>
      <c r="AY406" s="63" t="str">
        <f t="shared" si="40"/>
        <v>Nej</v>
      </c>
      <c r="AZ406" s="77" t="str">
        <f>IF($AY406="ja",(VLOOKUP($B406,'Egen hetvattenprod'!$B$1:$BX$550,MATCH(AZ$2,'Egen hetvattenprod'!$B$1:$BX$1,0),FALSE)+VLOOKUP($B406,Kraftvärmeprod!$B$1:$BX$550,MATCH(AZ$2,Kraftvärmeprod!$B$1:$BX$1,0),FALSE))/$AC406,"")</f>
        <v/>
      </c>
      <c r="BA406" s="77" t="str">
        <f>IF($AY406="ja",(VLOOKUP($B406,'Egen hetvattenprod'!$B$1:$BX$550,MATCH(BA$2,'Egen hetvattenprod'!$B$1:$BX$1,0),FALSE)+VLOOKUP($B406,Kraftvärmeprod!$B$1:$BX$550,MATCH(BA$2,Kraftvärmeprod!$B$1:$BX$1,0),FALSE))/$AC406,"")</f>
        <v/>
      </c>
      <c r="BB406" s="77" t="str">
        <f>IF($AY406="ja",(VLOOKUP($B406,'Egen hetvattenprod'!$B$1:$BX$550,MATCH(BB$2,'Egen hetvattenprod'!$B$1:$BX$1,0),FALSE)+VLOOKUP($B406,Kraftvärmeprod!$B$1:$BX$550,MATCH(BB$2,Kraftvärmeprod!$B$1:$BX$1,0),FALSE))/$AC406,"")</f>
        <v/>
      </c>
      <c r="BC406" s="77" t="str">
        <f>IF($AY406="ja",(VLOOKUP($B406,'Egen hetvattenprod'!$B$1:$BX$550,MATCH(BC$2,'Egen hetvattenprod'!$B$1:$BX$1,0),FALSE)+VLOOKUP($B406,Kraftvärmeprod!$B$1:$BX$550,MATCH(BC$2,Kraftvärmeprod!$B$1:$BX$1,0),FALSE))/$AC406,"")</f>
        <v/>
      </c>
      <c r="BD406" s="77" t="str">
        <f>IF($AY406="ja",(VLOOKUP($B406,'Egen hetvattenprod'!$B$1:$BX$550,MATCH(BD$2,'Egen hetvattenprod'!$B$1:$BX$1,0),FALSE)+VLOOKUP($B406,Kraftvärmeprod!$B$1:$BX$550,MATCH(BD$2,Kraftvärmeprod!$B$1:$BX$1,0),FALSE))/$AC406,"")</f>
        <v/>
      </c>
      <c r="BF406" s="63" t="str">
        <f t="shared" si="41"/>
        <v>Nej</v>
      </c>
      <c r="BG406" s="63" t="str">
        <f>IF($BF406="ja",VLOOKUP($B406,'Egen hetvattenprod'!$B$1:$BX$550,MATCH("Andelen klimatgaser med fossilt ursprung för avfall ()",'Egen hetvattenprod'!$B$1:$BX$1,0),FALSE),"")</f>
        <v/>
      </c>
      <c r="BH406" s="63" t="str">
        <f>IF($BF406="ja",VLOOKUP($B406,Kraftvärmeprod!$B$1:$BX$550,MATCH("Andelen klimatgaser med fossilt ursprung för avfall ()",Kraftvärmeprod!$B$1:$BX$1,0),FALSE),"")</f>
        <v/>
      </c>
      <c r="BI406" s="63" t="str">
        <f>IF($BF406="ja",VLOOKUP($B406,'Egen hetvattenprod'!$B$1:$BX$550,MATCH("Avfall (GWh)",'Egen hetvattenprod'!$B$1:$BX$1,0),FALSE),"")</f>
        <v/>
      </c>
      <c r="BJ406" s="63" t="str">
        <f>IF($BF406="ja",VLOOKUP($B406,'Slutlig allokering kvv'!$B$1:$BX$550,MATCH("Avfall (GWh)",'Slutlig allokering kvv'!$B$1:$BX$1,0),FALSE),"")</f>
        <v/>
      </c>
      <c r="BK406" s="63" t="str">
        <f>IF($BF406="ja",VLOOKUP($B406,'Köpt hetvatten'!$B$1:$BX$550,MATCH("Avfall i köpt hetvatten",'Köpt hetvatten'!$B$1:$BX$1,0),FALSE),"")</f>
        <v/>
      </c>
      <c r="BL406" s="63" t="str">
        <f>IF($BF406="ja",VLOOKUP($B406,'Egen hetvattenprod'!$B$1:$BX$550,MATCH("Värde enligt ovan. (%)",'Egen hetvattenprod'!$B$1:$BX$1,0),FALSE),"")</f>
        <v/>
      </c>
      <c r="BM406" s="63" t="str">
        <f>IF($BF406="ja",VLOOKUP($B406,Kraftvärmeprod!$B$1:$BX$550,MATCH("Värde enligt ovan. (%)",Kraftvärmeprod!$B$1:$BX$1,0),FALSE),"")</f>
        <v/>
      </c>
    </row>
    <row r="407" spans="1:65" x14ac:dyDescent="0.45">
      <c r="A407" s="63" t="s">
        <v>149</v>
      </c>
      <c r="B407" s="63" t="s">
        <v>151</v>
      </c>
      <c r="C407" s="63">
        <f>VLOOKUP($B407,'Tillförd energi'!$B$1:$AI$720,MATCH(C$2,'Tillförd energi'!$B$1:$AQ$1,0),FALSE)</f>
        <v>0</v>
      </c>
      <c r="D407" s="63">
        <f>VLOOKUP($B407,'Tillförd energi'!$B$1:$AI$720,MATCH(D$2,'Tillförd energi'!$B$1:$AQ$1,0),FALSE)</f>
        <v>3.2000000000000002E-3</v>
      </c>
      <c r="E407" s="63">
        <f>VLOOKUP($B407,'Tillförd energi'!$B$1:$AI$720,MATCH(E$2,'Tillförd energi'!$B$1:$AQ$1,0),FALSE)</f>
        <v>0</v>
      </c>
      <c r="F407" s="63">
        <f>VLOOKUP($B407,'Tillförd energi'!$B$1:$AI$720,MATCH(F$2,'Tillförd energi'!$B$1:$AQ$1,0),FALSE)</f>
        <v>0</v>
      </c>
      <c r="G407" s="63">
        <f>VLOOKUP($B407,'Tillförd energi'!$B$1:$AI$720,MATCH(G$2,'Tillförd energi'!$B$1:$AQ$1,0),FALSE)</f>
        <v>0</v>
      </c>
      <c r="H407" s="63">
        <f>VLOOKUP($B407,'Tillförd energi'!$B$1:$AI$720,MATCH(H$2,'Tillförd energi'!$B$1:$AQ$1,0),FALSE)</f>
        <v>0</v>
      </c>
      <c r="I407" s="63">
        <f>VLOOKUP($B407,'Tillförd energi'!$B$1:$AI$720,MATCH(I$2,'Tillförd energi'!$B$1:$AQ$1,0),FALSE)</f>
        <v>0</v>
      </c>
      <c r="J407" s="63">
        <f>VLOOKUP($B407,'Tillförd energi'!$B$1:$AI$720,MATCH(J$2,'Tillförd energi'!$B$1:$AQ$1,0),FALSE)</f>
        <v>0</v>
      </c>
      <c r="K407" s="63">
        <f>VLOOKUP($B407,'Tillförd energi'!$B$1:$AI$720,MATCH(K$2,'Tillförd energi'!$B$1:$AQ$1,0),FALSE)</f>
        <v>0</v>
      </c>
      <c r="L407" s="63">
        <f>VLOOKUP($B407,'Tillförd energi'!$B$1:$AI$720,MATCH(L$2,'Tillförd energi'!$B$1:$AQ$1,0),FALSE)</f>
        <v>0</v>
      </c>
      <c r="M407" s="63">
        <f>VLOOKUP($B407,'Tillförd energi'!$B$1:$AI$720,MATCH(M$2,'Tillförd energi'!$B$1:$AQ$1,0),FALSE)</f>
        <v>0</v>
      </c>
      <c r="N407" s="63">
        <f>VLOOKUP($B407,'Tillförd energi'!$B$1:$AI$720,MATCH(N$2,'Tillförd energi'!$B$1:$AQ$1,0),FALSE)</f>
        <v>0</v>
      </c>
      <c r="O407" s="63">
        <f>VLOOKUP($B407,'Tillförd energi'!$B$1:$AI$720,MATCH(O$2,'Tillförd energi'!$B$1:$AQ$1,0),FALSE)</f>
        <v>0</v>
      </c>
      <c r="P407" s="63">
        <f>VLOOKUP($B407,'Tillförd energi'!$B$1:$AI$720,MATCH(P$2,'Tillförd energi'!$B$1:$AQ$1,0),FALSE)</f>
        <v>0</v>
      </c>
      <c r="Q407" s="63">
        <f>VLOOKUP($B407,'Tillförd energi'!$B$1:$AI$720,MATCH(Q$2,'Tillförd energi'!$B$1:$AQ$1,0),FALSE)</f>
        <v>0</v>
      </c>
      <c r="R407" s="63">
        <f>VLOOKUP($B407,'Tillförd energi'!$B$1:$AI$720,MATCH(R$2,'Tillförd energi'!$B$1:$AQ$1,0),FALSE)</f>
        <v>0.64670000000000005</v>
      </c>
      <c r="S407" s="63">
        <f>VLOOKUP($B407,'Tillförd energi'!$B$1:$AI$720,MATCH(S$2,'Tillförd energi'!$B$1:$AQ$1,0),FALSE)</f>
        <v>0</v>
      </c>
      <c r="T407" s="63">
        <f>VLOOKUP($B407,'Tillförd energi'!$B$1:$AI$720,MATCH(T$2,'Tillförd energi'!$B$1:$AQ$1,0),FALSE)</f>
        <v>0</v>
      </c>
      <c r="U407" s="63">
        <f>VLOOKUP($B407,'Tillförd energi'!$B$1:$AI$720,MATCH(U$2,'Tillförd energi'!$B$1:$AQ$1,0),FALSE)</f>
        <v>0</v>
      </c>
      <c r="V407" s="63">
        <f>VLOOKUP($B407,'Tillförd energi'!$B$1:$AI$720,MATCH(V$2,'Tillförd energi'!$B$1:$AQ$1,0),FALSE)</f>
        <v>0</v>
      </c>
      <c r="W407" s="63">
        <f>VLOOKUP($B407,'Tillförd energi'!$B$1:$AI$720,MATCH(W$2,'Tillförd energi'!$B$1:$AQ$1,0),FALSE)</f>
        <v>0</v>
      </c>
      <c r="X407" s="63">
        <f>VLOOKUP($B407,'Tillförd energi'!$B$1:$AI$720,MATCH(X$2,'Tillförd energi'!$B$1:$AQ$1,0),FALSE)</f>
        <v>0</v>
      </c>
      <c r="Y407" s="63">
        <f>VLOOKUP($B407,'Tillförd energi'!$B$1:$AI$720,MATCH(Y$2,'Tillförd energi'!$B$1:$AQ$1,0),FALSE)</f>
        <v>0</v>
      </c>
      <c r="Z407" s="63">
        <f>VLOOKUP($B407,'Tillförd energi'!$B$1:$AI$720,MATCH(Z$2,'Tillförd energi'!$B$1:$AQ$1,0),FALSE)</f>
        <v>0</v>
      </c>
      <c r="AA407" s="63">
        <f>VLOOKUP($B407,'Tillförd energi'!$B$1:$AI$720,MATCH(AA$2,'Tillförd energi'!$B$1:$AQ$1,0),FALSE)</f>
        <v>0</v>
      </c>
      <c r="AB407" s="63">
        <f>VLOOKUP($B407,'Tillförd energi'!$B$1:$AI$720,MATCH(AB$2,'Tillförd energi'!$B$1:$AQ$1,0),FALSE)</f>
        <v>0</v>
      </c>
      <c r="AC407" s="63">
        <f>VLOOKUP($B407,'Tillförd energi'!$B$1:$AI$720,MATCH(AC$2,'Tillförd energi'!$B$1:$AQ$1,0),FALSE)</f>
        <v>0</v>
      </c>
      <c r="AD407" s="63">
        <f>VLOOKUP($B407,'Tillförd energi'!$B$1:$AI$720,MATCH(AD$2,'Tillförd energi'!$B$1:$AQ$1,0),FALSE)</f>
        <v>0</v>
      </c>
      <c r="AE407" s="63">
        <f>VLOOKUP($B407,'Tillförd energi'!$B$1:$AI$720,MATCH(AE$2,'Tillförd energi'!$B$1:$AQ$1,0),FALSE)</f>
        <v>0</v>
      </c>
      <c r="AF407" s="63">
        <f>VLOOKUP($B407,'Tillförd energi'!$B$1:$AI$720,MATCH(AF$2,'Tillförd energi'!$B$1:$AQ$1,0),FALSE)</f>
        <v>2.3480000000000001E-2</v>
      </c>
      <c r="AG407" s="63">
        <f>IFERROR(VLOOKUP(B407,Miljö!$B$1:$AC$550,MATCH("Köpt mängd produktionsspecifik fjärrvärme:",Miljö!$B$1:$AC$1,0),FALSE)/1,0)</f>
        <v>0</v>
      </c>
      <c r="AI407" s="63">
        <f t="shared" si="36"/>
        <v>0.67338000000000009</v>
      </c>
      <c r="AJ407" s="63">
        <f>IF(ISERROR(1/VLOOKUP($B407,Leveranser!$B$1:$S$500,MATCH("såld värme (gwh)",Leveranser!$B$1:$S$1,0),FALSE)),"",VLOOKUP($B407,Leveranser!$B$1:$S$500,MATCH("såld värme (gwh)",Leveranser!$B$1:$S$1,0),FALSE))</f>
        <v>0.43</v>
      </c>
      <c r="AM407" s="63" t="str">
        <f>IF(B407&lt;&gt;"",IF(VLOOKUP($B407,Totalt!$B$1:$AQ$554,MATCH("Kvalitetsgranskad:",Totalt!$B$1:$AQ$1,0),FALSE)="ja",VLOOKUP($B407,Miljö!$B$1:$AG$479,MATCH(AM$2,Miljö!$B$1:$AK$1,0),FALSE),""),"")</f>
        <v>Ja</v>
      </c>
      <c r="AN407" s="63" t="str">
        <f>IF(AM407="ja",VLOOKUP($B407,Miljö!$B$1:$J$479,MATCH("Typ av ursprungsspecificerad el   (Om inget värde anges används Nordisk residualmix, se inforuta) ()",Miljö!$B$1:$J$1,0),FALSE),IF(AM407="nej","Nordisk residualel",""))</f>
        <v>'Hörneborgsel'</v>
      </c>
      <c r="AO407" s="63">
        <f>IF(AM407="","",VLOOKUP($B407,Miljö!$B$1:$J$479,MATCH("Fossilandel för ursprungspecificerad el ()",Miljö!$B$1:$J$1,0),FALSE))</f>
        <v>0.17</v>
      </c>
      <c r="AQ407" s="63">
        <f t="shared" si="37"/>
        <v>0.83</v>
      </c>
      <c r="AS407" s="63" t="str">
        <f t="shared" si="38"/>
        <v>Nej</v>
      </c>
      <c r="AT407" s="63" t="str">
        <f>IF(AS407="ja",VLOOKUP($B407,Miljö!$B$1:$P$500,MATCH("Fossil andel i procent (%)",Miljö!$B$1:$P$1,0),FALSE)/100,"")</f>
        <v/>
      </c>
      <c r="AV407" s="63" t="str">
        <f t="shared" si="39"/>
        <v>Nej</v>
      </c>
      <c r="AW407" s="63" t="str">
        <f>IF(AV407="ja",VLOOKUP($B407,'Egen hetvattenprod'!$B$1:$AO$500,MATCH("Värmekälla till värmepumpar ()",'Egen hetvattenprod'!$B$1:$AO$1,0),FALSE),"")</f>
        <v/>
      </c>
      <c r="AY407" s="63" t="str">
        <f t="shared" si="40"/>
        <v>Nej</v>
      </c>
      <c r="AZ407" s="77" t="str">
        <f>IF($AY407="ja",(VLOOKUP($B407,'Egen hetvattenprod'!$B$1:$BX$550,MATCH(AZ$2,'Egen hetvattenprod'!$B$1:$BX$1,0),FALSE)+VLOOKUP($B407,Kraftvärmeprod!$B$1:$BX$550,MATCH(AZ$2,Kraftvärmeprod!$B$1:$BX$1,0),FALSE))/$AC407,"")</f>
        <v/>
      </c>
      <c r="BA407" s="77" t="str">
        <f>IF($AY407="ja",(VLOOKUP($B407,'Egen hetvattenprod'!$B$1:$BX$550,MATCH(BA$2,'Egen hetvattenprod'!$B$1:$BX$1,0),FALSE)+VLOOKUP($B407,Kraftvärmeprod!$B$1:$BX$550,MATCH(BA$2,Kraftvärmeprod!$B$1:$BX$1,0),FALSE))/$AC407,"")</f>
        <v/>
      </c>
      <c r="BB407" s="77" t="str">
        <f>IF($AY407="ja",(VLOOKUP($B407,'Egen hetvattenprod'!$B$1:$BX$550,MATCH(BB$2,'Egen hetvattenprod'!$B$1:$BX$1,0),FALSE)+VLOOKUP($B407,Kraftvärmeprod!$B$1:$BX$550,MATCH(BB$2,Kraftvärmeprod!$B$1:$BX$1,0),FALSE))/$AC407,"")</f>
        <v/>
      </c>
      <c r="BC407" s="77" t="str">
        <f>IF($AY407="ja",(VLOOKUP($B407,'Egen hetvattenprod'!$B$1:$BX$550,MATCH(BC$2,'Egen hetvattenprod'!$B$1:$BX$1,0),FALSE)+VLOOKUP($B407,Kraftvärmeprod!$B$1:$BX$550,MATCH(BC$2,Kraftvärmeprod!$B$1:$BX$1,0),FALSE))/$AC407,"")</f>
        <v/>
      </c>
      <c r="BD407" s="77" t="str">
        <f>IF($AY407="ja",(VLOOKUP($B407,'Egen hetvattenprod'!$B$1:$BX$550,MATCH(BD$2,'Egen hetvattenprod'!$B$1:$BX$1,0),FALSE)+VLOOKUP($B407,Kraftvärmeprod!$B$1:$BX$550,MATCH(BD$2,Kraftvärmeprod!$B$1:$BX$1,0),FALSE))/$AC407,"")</f>
        <v/>
      </c>
      <c r="BF407" s="63" t="str">
        <f t="shared" si="41"/>
        <v>Nej</v>
      </c>
      <c r="BG407" s="63" t="str">
        <f>IF($BF407="ja",VLOOKUP($B407,'Egen hetvattenprod'!$B$1:$BX$550,MATCH("Andelen klimatgaser med fossilt ursprung för avfall ()",'Egen hetvattenprod'!$B$1:$BX$1,0),FALSE),"")</f>
        <v/>
      </c>
      <c r="BH407" s="63" t="str">
        <f>IF($BF407="ja",VLOOKUP($B407,Kraftvärmeprod!$B$1:$BX$550,MATCH("Andelen klimatgaser med fossilt ursprung för avfall ()",Kraftvärmeprod!$B$1:$BX$1,0),FALSE),"")</f>
        <v/>
      </c>
      <c r="BI407" s="63" t="str">
        <f>IF($BF407="ja",VLOOKUP($B407,'Egen hetvattenprod'!$B$1:$BX$550,MATCH("Avfall (GWh)",'Egen hetvattenprod'!$B$1:$BX$1,0),FALSE),"")</f>
        <v/>
      </c>
      <c r="BJ407" s="63" t="str">
        <f>IF($BF407="ja",VLOOKUP($B407,'Slutlig allokering kvv'!$B$1:$BX$550,MATCH("Avfall (GWh)",'Slutlig allokering kvv'!$B$1:$BX$1,0),FALSE),"")</f>
        <v/>
      </c>
      <c r="BK407" s="63" t="str">
        <f>IF($BF407="ja",VLOOKUP($B407,'Köpt hetvatten'!$B$1:$BX$550,MATCH("Avfall i köpt hetvatten",'Köpt hetvatten'!$B$1:$BX$1,0),FALSE),"")</f>
        <v/>
      </c>
      <c r="BL407" s="63" t="str">
        <f>IF($BF407="ja",VLOOKUP($B407,'Egen hetvattenprod'!$B$1:$BX$550,MATCH("Värde enligt ovan. (%)",'Egen hetvattenprod'!$B$1:$BX$1,0),FALSE),"")</f>
        <v/>
      </c>
      <c r="BM407" s="63" t="str">
        <f>IF($BF407="ja",VLOOKUP($B407,Kraftvärmeprod!$B$1:$BX$550,MATCH("Värde enligt ovan. (%)",Kraftvärmeprod!$B$1:$BX$1,0),FALSE),"")</f>
        <v/>
      </c>
    </row>
    <row r="408" spans="1:65" x14ac:dyDescent="0.45">
      <c r="A408" s="63" t="s">
        <v>149</v>
      </c>
      <c r="B408" s="63" t="s">
        <v>148</v>
      </c>
      <c r="C408" s="63">
        <f>VLOOKUP($B408,'Tillförd energi'!$B$1:$AI$720,MATCH(C$2,'Tillförd energi'!$B$1:$AQ$1,0),FALSE)</f>
        <v>0</v>
      </c>
      <c r="D408" s="63">
        <f>VLOOKUP($B408,'Tillförd energi'!$B$1:$AI$720,MATCH(D$2,'Tillförd energi'!$B$1:$AQ$1,0),FALSE)</f>
        <v>4.1000000000000002E-2</v>
      </c>
      <c r="E408" s="63">
        <f>VLOOKUP($B408,'Tillförd energi'!$B$1:$AI$720,MATCH(E$2,'Tillförd energi'!$B$1:$AQ$1,0),FALSE)</f>
        <v>0</v>
      </c>
      <c r="F408" s="63">
        <f>VLOOKUP($B408,'Tillförd energi'!$B$1:$AI$720,MATCH(F$2,'Tillförd energi'!$B$1:$AQ$1,0),FALSE)</f>
        <v>0.33373599999999998</v>
      </c>
      <c r="G408" s="63">
        <f>VLOOKUP($B408,'Tillförd energi'!$B$1:$AI$720,MATCH(G$2,'Tillförd energi'!$B$1:$AQ$1,0),FALSE)</f>
        <v>0</v>
      </c>
      <c r="H408" s="63">
        <f>VLOOKUP($B408,'Tillförd energi'!$B$1:$AI$720,MATCH(H$2,'Tillförd energi'!$B$1:$AQ$1,0),FALSE)</f>
        <v>0</v>
      </c>
      <c r="I408" s="63">
        <f>VLOOKUP($B408,'Tillförd energi'!$B$1:$AI$720,MATCH(I$2,'Tillförd energi'!$B$1:$AQ$1,0),FALSE)</f>
        <v>0</v>
      </c>
      <c r="J408" s="63">
        <f>VLOOKUP($B408,'Tillförd energi'!$B$1:$AI$720,MATCH(J$2,'Tillförd energi'!$B$1:$AQ$1,0),FALSE)</f>
        <v>1.4822900000000001</v>
      </c>
      <c r="K408" s="63">
        <f>VLOOKUP($B408,'Tillförd energi'!$B$1:$AI$720,MATCH(K$2,'Tillförd energi'!$B$1:$AQ$1,0),FALSE)</f>
        <v>0</v>
      </c>
      <c r="L408" s="63">
        <f>VLOOKUP($B408,'Tillförd energi'!$B$1:$AI$720,MATCH(L$2,'Tillförd energi'!$B$1:$AQ$1,0),FALSE)</f>
        <v>0</v>
      </c>
      <c r="M408" s="63">
        <f>VLOOKUP($B408,'Tillförd energi'!$B$1:$AI$720,MATCH(M$2,'Tillförd energi'!$B$1:$AQ$1,0),FALSE)</f>
        <v>60.8658</v>
      </c>
      <c r="N408" s="63">
        <f>VLOOKUP($B408,'Tillförd energi'!$B$1:$AI$720,MATCH(N$2,'Tillförd energi'!$B$1:$AQ$1,0),FALSE)</f>
        <v>4.5151899999999996</v>
      </c>
      <c r="O408" s="63">
        <f>VLOOKUP($B408,'Tillförd energi'!$B$1:$AI$720,MATCH(O$2,'Tillförd energi'!$B$1:$AQ$1,0),FALSE)</f>
        <v>24.6876</v>
      </c>
      <c r="P408" s="63">
        <f>VLOOKUP($B408,'Tillförd energi'!$B$1:$AI$720,MATCH(P$2,'Tillförd energi'!$B$1:$AQ$1,0),FALSE)</f>
        <v>11.3775</v>
      </c>
      <c r="Q408" s="63">
        <f>VLOOKUP($B408,'Tillförd energi'!$B$1:$AI$720,MATCH(Q$2,'Tillförd energi'!$B$1:$AQ$1,0),FALSE)</f>
        <v>0</v>
      </c>
      <c r="R408" s="63">
        <f>VLOOKUP($B408,'Tillförd energi'!$B$1:$AI$720,MATCH(R$2,'Tillförd energi'!$B$1:$AQ$1,0),FALSE)</f>
        <v>0</v>
      </c>
      <c r="S408" s="63">
        <f>VLOOKUP($B408,'Tillförd energi'!$B$1:$AI$720,MATCH(S$2,'Tillförd energi'!$B$1:$AQ$1,0),FALSE)</f>
        <v>0</v>
      </c>
      <c r="T408" s="63">
        <f>VLOOKUP($B408,'Tillförd energi'!$B$1:$AI$720,MATCH(T$2,'Tillförd energi'!$B$1:$AQ$1,0),FALSE)</f>
        <v>0</v>
      </c>
      <c r="U408" s="63">
        <f>VLOOKUP($B408,'Tillförd energi'!$B$1:$AI$720,MATCH(U$2,'Tillförd energi'!$B$1:$AQ$1,0),FALSE)</f>
        <v>0</v>
      </c>
      <c r="V408" s="63">
        <f>VLOOKUP($B408,'Tillförd energi'!$B$1:$AI$720,MATCH(V$2,'Tillförd energi'!$B$1:$AQ$1,0),FALSE)</f>
        <v>0</v>
      </c>
      <c r="W408" s="63">
        <f>VLOOKUP($B408,'Tillförd energi'!$B$1:$AI$720,MATCH(W$2,'Tillförd energi'!$B$1:$AQ$1,0),FALSE)</f>
        <v>4.8570000000000002</v>
      </c>
      <c r="X408" s="63">
        <f>VLOOKUP($B408,'Tillförd energi'!$B$1:$AI$720,MATCH(X$2,'Tillförd energi'!$B$1:$AQ$1,0),FALSE)</f>
        <v>0</v>
      </c>
      <c r="Y408" s="63">
        <f>VLOOKUP($B408,'Tillförd energi'!$B$1:$AI$720,MATCH(Y$2,'Tillförd energi'!$B$1:$AQ$1,0),FALSE)</f>
        <v>23.380099999999999</v>
      </c>
      <c r="Z408" s="63">
        <f>VLOOKUP($B408,'Tillförd energi'!$B$1:$AI$720,MATCH(Z$2,'Tillförd energi'!$B$1:$AQ$1,0),FALSE)</f>
        <v>3.6999999999999998E-2</v>
      </c>
      <c r="AA408" s="63">
        <f>VLOOKUP($B408,'Tillförd energi'!$B$1:$AI$720,MATCH(AA$2,'Tillförd energi'!$B$1:$AQ$1,0),FALSE)</f>
        <v>0</v>
      </c>
      <c r="AB408" s="63">
        <f>VLOOKUP($B408,'Tillförd energi'!$B$1:$AI$720,MATCH(AB$2,'Tillförd energi'!$B$1:$AQ$1,0),FALSE)</f>
        <v>0</v>
      </c>
      <c r="AC408" s="63">
        <f>VLOOKUP($B408,'Tillförd energi'!$B$1:$AI$720,MATCH(AC$2,'Tillförd energi'!$B$1:$AQ$1,0),FALSE)</f>
        <v>89.873999999999995</v>
      </c>
      <c r="AD408" s="63">
        <f>VLOOKUP($B408,'Tillförd energi'!$B$1:$AI$720,MATCH(AD$2,'Tillförd energi'!$B$1:$AQ$1,0),FALSE)</f>
        <v>0</v>
      </c>
      <c r="AE408" s="63">
        <f>VLOOKUP($B408,'Tillförd energi'!$B$1:$AI$720,MATCH(AE$2,'Tillförd energi'!$B$1:$AQ$1,0),FALSE)</f>
        <v>0</v>
      </c>
      <c r="AF408" s="63">
        <f>VLOOKUP($B408,'Tillförd energi'!$B$1:$AI$720,MATCH(AF$2,'Tillförd energi'!$B$1:$AQ$1,0),FALSE)</f>
        <v>5.9329200000000002</v>
      </c>
      <c r="AG408" s="63">
        <f>IFERROR(VLOOKUP(B408,Miljö!$B$1:$AC$550,MATCH("Köpt mängd produktionsspecifik fjärrvärme:",Miljö!$B$1:$AC$1,0),FALSE)/1,0)</f>
        <v>0</v>
      </c>
      <c r="AI408" s="63">
        <f t="shared" si="36"/>
        <v>227.38413599999998</v>
      </c>
      <c r="AJ408" s="63">
        <f>IF(ISERROR(1/VLOOKUP($B408,Leveranser!$B$1:$S$500,MATCH("såld värme (gwh)",Leveranser!$B$1:$S$1,0),FALSE)),"",VLOOKUP($B408,Leveranser!$B$1:$S$500,MATCH("såld värme (gwh)",Leveranser!$B$1:$S$1,0),FALSE))</f>
        <v>232.97</v>
      </c>
      <c r="AM408" s="63" t="str">
        <f>IF(B408&lt;&gt;"",IF(VLOOKUP($B408,Totalt!$B$1:$AQ$554,MATCH("Kvalitetsgranskad:",Totalt!$B$1:$AQ$1,0),FALSE)="ja",VLOOKUP($B408,Miljö!$B$1:$AG$479,MATCH(AM$2,Miljö!$B$1:$AK$1,0),FALSE),""),"")</f>
        <v>Ja</v>
      </c>
      <c r="AN408" s="63" t="str">
        <f>IF(AM408="ja",VLOOKUP($B408,Miljö!$B$1:$J$479,MATCH("Typ av ursprungsspecificerad el   (Om inget värde anges används Nordisk residualmix, se inforuta) ()",Miljö!$B$1:$J$1,0),FALSE),IF(AM408="nej","Nordisk residualel",""))</f>
        <v>'Hörneborgsel'</v>
      </c>
      <c r="AO408" s="63">
        <f>IF(AM408="","",VLOOKUP($B408,Miljö!$B$1:$J$479,MATCH("Fossilandel för ursprungspecificerad el ()",Miljö!$B$1:$J$1,0),FALSE))</f>
        <v>0.17</v>
      </c>
      <c r="AQ408" s="63">
        <f t="shared" si="37"/>
        <v>0.83</v>
      </c>
      <c r="AS408" s="63" t="str">
        <f t="shared" si="38"/>
        <v>Nej</v>
      </c>
      <c r="AT408" s="63" t="str">
        <f>IF(AS408="ja",VLOOKUP($B408,Miljö!$B$1:$P$500,MATCH("Fossil andel i procent (%)",Miljö!$B$1:$P$1,0),FALSE)/100,"")</f>
        <v/>
      </c>
      <c r="AV408" s="63" t="str">
        <f t="shared" si="39"/>
        <v>Nej</v>
      </c>
      <c r="AW408" s="63" t="str">
        <f>IF(AV408="ja",VLOOKUP($B408,'Egen hetvattenprod'!$B$1:$AO$500,MATCH("Värmekälla till värmepumpar ()",'Egen hetvattenprod'!$B$1:$AO$1,0),FALSE),"")</f>
        <v/>
      </c>
      <c r="AY408" s="63" t="str">
        <f t="shared" si="40"/>
        <v>Ja</v>
      </c>
      <c r="AZ408" s="77">
        <f>IF($AY408="ja",(VLOOKUP($B408,'Egen hetvattenprod'!$B$1:$BX$550,MATCH(AZ$2,'Egen hetvattenprod'!$B$1:$BX$1,0),FALSE)+VLOOKUP($B408,Kraftvärmeprod!$B$1:$BX$550,MATCH(AZ$2,Kraftvärmeprod!$B$1:$BX$1,0),FALSE))/$AC408,"")</f>
        <v>0.83399999999999996</v>
      </c>
      <c r="BA408" s="77">
        <f>IF($AY408="ja",(VLOOKUP($B408,'Egen hetvattenprod'!$B$1:$BX$550,MATCH(BA$2,'Egen hetvattenprod'!$B$1:$BX$1,0),FALSE)+VLOOKUP($B408,Kraftvärmeprod!$B$1:$BX$550,MATCH(BA$2,Kraftvärmeprod!$B$1:$BX$1,0),FALSE))/$AC408,"")</f>
        <v>0</v>
      </c>
      <c r="BB408" s="77">
        <f>IF($AY408="ja",(VLOOKUP($B408,'Egen hetvattenprod'!$B$1:$BX$550,MATCH(BB$2,'Egen hetvattenprod'!$B$1:$BX$1,0),FALSE)+VLOOKUP($B408,Kraftvärmeprod!$B$1:$BX$550,MATCH(BB$2,Kraftvärmeprod!$B$1:$BX$1,0),FALSE))/$AC408,"")</f>
        <v>0</v>
      </c>
      <c r="BC408" s="77">
        <f>IF($AY408="ja",(VLOOKUP($B408,'Egen hetvattenprod'!$B$1:$BX$550,MATCH(BC$2,'Egen hetvattenprod'!$B$1:$BX$1,0),FALSE)+VLOOKUP($B408,Kraftvärmeprod!$B$1:$BX$550,MATCH(BC$2,Kraftvärmeprod!$B$1:$BX$1,0),FALSE))/$AC408,"")</f>
        <v>0.16600000000000001</v>
      </c>
      <c r="BD408" s="77">
        <f>IF($AY408="ja",(VLOOKUP($B408,'Egen hetvattenprod'!$B$1:$BX$550,MATCH(BD$2,'Egen hetvattenprod'!$B$1:$BX$1,0),FALSE)+VLOOKUP($B408,Kraftvärmeprod!$B$1:$BX$550,MATCH(BD$2,Kraftvärmeprod!$B$1:$BX$1,0),FALSE))/$AC408,"")</f>
        <v>0</v>
      </c>
      <c r="BF408" s="63" t="str">
        <f t="shared" si="41"/>
        <v>Nej</v>
      </c>
      <c r="BG408" s="63" t="str">
        <f>IF($BF408="ja",VLOOKUP($B408,'Egen hetvattenprod'!$B$1:$BX$550,MATCH("Andelen klimatgaser med fossilt ursprung för avfall ()",'Egen hetvattenprod'!$B$1:$BX$1,0),FALSE),"")</f>
        <v/>
      </c>
      <c r="BH408" s="63" t="str">
        <f>IF($BF408="ja",VLOOKUP($B408,Kraftvärmeprod!$B$1:$BX$550,MATCH("Andelen klimatgaser med fossilt ursprung för avfall ()",Kraftvärmeprod!$B$1:$BX$1,0),FALSE),"")</f>
        <v/>
      </c>
      <c r="BI408" s="63" t="str">
        <f>IF($BF408="ja",VLOOKUP($B408,'Egen hetvattenprod'!$B$1:$BX$550,MATCH("Avfall (GWh)",'Egen hetvattenprod'!$B$1:$BX$1,0),FALSE),"")</f>
        <v/>
      </c>
      <c r="BJ408" s="63" t="str">
        <f>IF($BF408="ja",VLOOKUP($B408,'Slutlig allokering kvv'!$B$1:$BX$550,MATCH("Avfall (GWh)",'Slutlig allokering kvv'!$B$1:$BX$1,0),FALSE),"")</f>
        <v/>
      </c>
      <c r="BK408" s="63" t="str">
        <f>IF($BF408="ja",VLOOKUP($B408,'Köpt hetvatten'!$B$1:$BX$550,MATCH("Avfall i köpt hetvatten",'Köpt hetvatten'!$B$1:$BX$1,0),FALSE),"")</f>
        <v/>
      </c>
      <c r="BL408" s="63" t="str">
        <f>IF($BF408="ja",VLOOKUP($B408,'Egen hetvattenprod'!$B$1:$BX$550,MATCH("Värde enligt ovan. (%)",'Egen hetvattenprod'!$B$1:$BX$1,0),FALSE),"")</f>
        <v/>
      </c>
      <c r="BM408" s="63" t="str">
        <f>IF($BF408="ja",VLOOKUP($B408,Kraftvärmeprod!$B$1:$BX$550,MATCH("Värde enligt ovan. (%)",Kraftvärmeprod!$B$1:$BX$1,0),FALSE),"")</f>
        <v/>
      </c>
    </row>
    <row r="409" spans="1:65" x14ac:dyDescent="0.45">
      <c r="A409" s="63" t="s">
        <v>149</v>
      </c>
      <c r="B409" s="63" t="s">
        <v>150</v>
      </c>
      <c r="C409" s="63">
        <f>VLOOKUP($B409,'Tillförd energi'!$B$1:$AI$720,MATCH(C$2,'Tillförd energi'!$B$1:$AQ$1,0),FALSE)</f>
        <v>0</v>
      </c>
      <c r="D409" s="63">
        <f>VLOOKUP($B409,'Tillförd energi'!$B$1:$AI$720,MATCH(D$2,'Tillförd energi'!$B$1:$AQ$1,0),FALSE)</f>
        <v>5.9916499999999999</v>
      </c>
      <c r="E409" s="63">
        <f>VLOOKUP($B409,'Tillförd energi'!$B$1:$AI$720,MATCH(E$2,'Tillförd energi'!$B$1:$AQ$1,0),FALSE)</f>
        <v>0</v>
      </c>
      <c r="F409" s="63">
        <f>VLOOKUP($B409,'Tillförd energi'!$B$1:$AI$720,MATCH(F$2,'Tillförd energi'!$B$1:$AQ$1,0),FALSE)</f>
        <v>0.99251699999999998</v>
      </c>
      <c r="G409" s="63">
        <f>VLOOKUP($B409,'Tillförd energi'!$B$1:$AI$720,MATCH(G$2,'Tillförd energi'!$B$1:$AQ$1,0),FALSE)</f>
        <v>0</v>
      </c>
      <c r="H409" s="63">
        <f>VLOOKUP($B409,'Tillförd energi'!$B$1:$AI$720,MATCH(H$2,'Tillförd energi'!$B$1:$AQ$1,0),FALSE)</f>
        <v>0</v>
      </c>
      <c r="I409" s="63">
        <f>VLOOKUP($B409,'Tillförd energi'!$B$1:$AI$720,MATCH(I$2,'Tillförd energi'!$B$1:$AQ$1,0),FALSE)</f>
        <v>0</v>
      </c>
      <c r="J409" s="63">
        <f>VLOOKUP($B409,'Tillförd energi'!$B$1:$AI$720,MATCH(J$2,'Tillförd energi'!$B$1:$AQ$1,0),FALSE)</f>
        <v>2.2696299999999998</v>
      </c>
      <c r="K409" s="63">
        <f>VLOOKUP($B409,'Tillförd energi'!$B$1:$AI$720,MATCH(K$2,'Tillförd energi'!$B$1:$AQ$1,0),FALSE)</f>
        <v>0</v>
      </c>
      <c r="L409" s="63">
        <f>VLOOKUP($B409,'Tillförd energi'!$B$1:$AI$720,MATCH(L$2,'Tillförd energi'!$B$1:$AQ$1,0),FALSE)</f>
        <v>0</v>
      </c>
      <c r="M409" s="63">
        <f>VLOOKUP($B409,'Tillförd energi'!$B$1:$AI$720,MATCH(M$2,'Tillförd energi'!$B$1:$AQ$1,0),FALSE)</f>
        <v>114.2</v>
      </c>
      <c r="N409" s="63">
        <f>VLOOKUP($B409,'Tillförd energi'!$B$1:$AI$720,MATCH(N$2,'Tillförd energi'!$B$1:$AQ$1,0),FALSE)</f>
        <v>9.7331199999999995</v>
      </c>
      <c r="O409" s="63">
        <f>VLOOKUP($B409,'Tillförd energi'!$B$1:$AI$720,MATCH(O$2,'Tillförd energi'!$B$1:$AQ$1,0),FALSE)</f>
        <v>44.587800000000001</v>
      </c>
      <c r="P409" s="63">
        <f>VLOOKUP($B409,'Tillförd energi'!$B$1:$AI$720,MATCH(P$2,'Tillförd energi'!$B$1:$AQ$1,0),FALSE)</f>
        <v>19.855</v>
      </c>
      <c r="Q409" s="63">
        <f>VLOOKUP($B409,'Tillförd energi'!$B$1:$AI$720,MATCH(Q$2,'Tillförd energi'!$B$1:$AQ$1,0),FALSE)</f>
        <v>0</v>
      </c>
      <c r="R409" s="63">
        <f>VLOOKUP($B409,'Tillförd energi'!$B$1:$AI$720,MATCH(R$2,'Tillförd energi'!$B$1:$AQ$1,0),FALSE)</f>
        <v>0</v>
      </c>
      <c r="S409" s="63">
        <f>VLOOKUP($B409,'Tillförd energi'!$B$1:$AI$720,MATCH(S$2,'Tillförd energi'!$B$1:$AQ$1,0),FALSE)</f>
        <v>0</v>
      </c>
      <c r="T409" s="63">
        <f>VLOOKUP($B409,'Tillförd energi'!$B$1:$AI$720,MATCH(T$2,'Tillförd energi'!$B$1:$AQ$1,0),FALSE)</f>
        <v>0</v>
      </c>
      <c r="U409" s="63">
        <f>VLOOKUP($B409,'Tillförd energi'!$B$1:$AI$720,MATCH(U$2,'Tillförd energi'!$B$1:$AQ$1,0),FALSE)</f>
        <v>0</v>
      </c>
      <c r="V409" s="63">
        <f>VLOOKUP($B409,'Tillförd energi'!$B$1:$AI$720,MATCH(V$2,'Tillförd energi'!$B$1:$AQ$1,0),FALSE)</f>
        <v>0</v>
      </c>
      <c r="W409" s="63">
        <f>VLOOKUP($B409,'Tillförd energi'!$B$1:$AI$720,MATCH(W$2,'Tillförd energi'!$B$1:$AQ$1,0),FALSE)</f>
        <v>0</v>
      </c>
      <c r="X409" s="63">
        <f>VLOOKUP($B409,'Tillförd energi'!$B$1:$AI$720,MATCH(X$2,'Tillförd energi'!$B$1:$AQ$1,0),FALSE)</f>
        <v>0</v>
      </c>
      <c r="Y409" s="63">
        <f>VLOOKUP($B409,'Tillförd energi'!$B$1:$AI$720,MATCH(Y$2,'Tillförd energi'!$B$1:$AQ$1,0),FALSE)</f>
        <v>39.6402</v>
      </c>
      <c r="Z409" s="63">
        <f>VLOOKUP($B409,'Tillförd energi'!$B$1:$AI$720,MATCH(Z$2,'Tillförd energi'!$B$1:$AQ$1,0),FALSE)</f>
        <v>0</v>
      </c>
      <c r="AA409" s="63">
        <f>VLOOKUP($B409,'Tillförd energi'!$B$1:$AI$720,MATCH(AA$2,'Tillförd energi'!$B$1:$AQ$1,0),FALSE)</f>
        <v>0</v>
      </c>
      <c r="AB409" s="63">
        <f>VLOOKUP($B409,'Tillförd energi'!$B$1:$AI$720,MATCH(AB$2,'Tillförd energi'!$B$1:$AQ$1,0),FALSE)</f>
        <v>0</v>
      </c>
      <c r="AC409" s="63">
        <f>VLOOKUP($B409,'Tillförd energi'!$B$1:$AI$720,MATCH(AC$2,'Tillförd energi'!$B$1:$AQ$1,0),FALSE)</f>
        <v>0</v>
      </c>
      <c r="AD409" s="63">
        <f>VLOOKUP($B409,'Tillförd energi'!$B$1:$AI$720,MATCH(AD$2,'Tillförd energi'!$B$1:$AQ$1,0),FALSE)</f>
        <v>0</v>
      </c>
      <c r="AE409" s="63">
        <f>VLOOKUP($B409,'Tillförd energi'!$B$1:$AI$720,MATCH(AE$2,'Tillförd energi'!$B$1:$AQ$1,0),FALSE)</f>
        <v>0</v>
      </c>
      <c r="AF409" s="63">
        <f>VLOOKUP($B409,'Tillförd energi'!$B$1:$AI$720,MATCH(AF$2,'Tillförd energi'!$B$1:$AQ$1,0),FALSE)</f>
        <v>8.8352000000000004</v>
      </c>
      <c r="AG409" s="63">
        <f>IFERROR(VLOOKUP(B409,Miljö!$B$1:$AC$550,MATCH("Köpt mängd produktionsspecifik fjärrvärme:",Miljö!$B$1:$AC$1,0),FALSE)/1,0)</f>
        <v>0</v>
      </c>
      <c r="AI409" s="63">
        <f t="shared" si="36"/>
        <v>246.10511700000001</v>
      </c>
      <c r="AJ409" s="63">
        <f>IF(ISERROR(1/VLOOKUP($B409,Leveranser!$B$1:$S$500,MATCH("såld värme (gwh)",Leveranser!$B$1:$S$1,0),FALSE)),"",VLOOKUP($B409,Leveranser!$B$1:$S$500,MATCH("såld värme (gwh)",Leveranser!$B$1:$S$1,0),FALSE))</f>
        <v>267.3</v>
      </c>
      <c r="AM409" s="63" t="str">
        <f>IF(B409&lt;&gt;"",IF(VLOOKUP($B409,Totalt!$B$1:$AQ$554,MATCH("Kvalitetsgranskad:",Totalt!$B$1:$AQ$1,0),FALSE)="ja",VLOOKUP($B409,Miljö!$B$1:$AG$479,MATCH(AM$2,Miljö!$B$1:$AK$1,0),FALSE),""),"")</f>
        <v>Ja</v>
      </c>
      <c r="AN409" s="63" t="str">
        <f>IF(AM409="ja",VLOOKUP($B409,Miljö!$B$1:$J$479,MATCH("Typ av ursprungsspecificerad el   (Om inget värde anges används Nordisk residualmix, se inforuta) ()",Miljö!$B$1:$J$1,0),FALSE),IF(AM409="nej","Nordisk residualel",""))</f>
        <v>'Hörneborgsel'</v>
      </c>
      <c r="AO409" s="63">
        <f>IF(AM409="","",VLOOKUP($B409,Miljö!$B$1:$J$479,MATCH("Fossilandel för ursprungspecificerad el ()",Miljö!$B$1:$J$1,0),FALSE))</f>
        <v>0.17</v>
      </c>
      <c r="AQ409" s="63">
        <f t="shared" si="37"/>
        <v>0.83</v>
      </c>
      <c r="AS409" s="63" t="str">
        <f t="shared" si="38"/>
        <v>Nej</v>
      </c>
      <c r="AT409" s="63" t="str">
        <f>IF(AS409="ja",VLOOKUP($B409,Miljö!$B$1:$P$500,MATCH("Fossil andel i procent (%)",Miljö!$B$1:$P$1,0),FALSE)/100,"")</f>
        <v/>
      </c>
      <c r="AV409" s="63" t="str">
        <f t="shared" si="39"/>
        <v>Nej</v>
      </c>
      <c r="AW409" s="63" t="str">
        <f>IF(AV409="ja",VLOOKUP($B409,'Egen hetvattenprod'!$B$1:$AO$500,MATCH("Värmekälla till värmepumpar ()",'Egen hetvattenprod'!$B$1:$AO$1,0),FALSE),"")</f>
        <v/>
      </c>
      <c r="AY409" s="63" t="str">
        <f t="shared" si="40"/>
        <v>Nej</v>
      </c>
      <c r="AZ409" s="77" t="str">
        <f>IF($AY409="ja",(VLOOKUP($B409,'Egen hetvattenprod'!$B$1:$BX$550,MATCH(AZ$2,'Egen hetvattenprod'!$B$1:$BX$1,0),FALSE)+VLOOKUP($B409,Kraftvärmeprod!$B$1:$BX$550,MATCH(AZ$2,Kraftvärmeprod!$B$1:$BX$1,0),FALSE))/$AC409,"")</f>
        <v/>
      </c>
      <c r="BA409" s="77" t="str">
        <f>IF($AY409="ja",(VLOOKUP($B409,'Egen hetvattenprod'!$B$1:$BX$550,MATCH(BA$2,'Egen hetvattenprod'!$B$1:$BX$1,0),FALSE)+VLOOKUP($B409,Kraftvärmeprod!$B$1:$BX$550,MATCH(BA$2,Kraftvärmeprod!$B$1:$BX$1,0),FALSE))/$AC409,"")</f>
        <v/>
      </c>
      <c r="BB409" s="77" t="str">
        <f>IF($AY409="ja",(VLOOKUP($B409,'Egen hetvattenprod'!$B$1:$BX$550,MATCH(BB$2,'Egen hetvattenprod'!$B$1:$BX$1,0),FALSE)+VLOOKUP($B409,Kraftvärmeprod!$B$1:$BX$550,MATCH(BB$2,Kraftvärmeprod!$B$1:$BX$1,0),FALSE))/$AC409,"")</f>
        <v/>
      </c>
      <c r="BC409" s="77" t="str">
        <f>IF($AY409="ja",(VLOOKUP($B409,'Egen hetvattenprod'!$B$1:$BX$550,MATCH(BC$2,'Egen hetvattenprod'!$B$1:$BX$1,0),FALSE)+VLOOKUP($B409,Kraftvärmeprod!$B$1:$BX$550,MATCH(BC$2,Kraftvärmeprod!$B$1:$BX$1,0),FALSE))/$AC409,"")</f>
        <v/>
      </c>
      <c r="BD409" s="77" t="str">
        <f>IF($AY409="ja",(VLOOKUP($B409,'Egen hetvattenprod'!$B$1:$BX$550,MATCH(BD$2,'Egen hetvattenprod'!$B$1:$BX$1,0),FALSE)+VLOOKUP($B409,Kraftvärmeprod!$B$1:$BX$550,MATCH(BD$2,Kraftvärmeprod!$B$1:$BX$1,0),FALSE))/$AC409,"")</f>
        <v/>
      </c>
      <c r="BF409" s="63" t="str">
        <f t="shared" si="41"/>
        <v>Nej</v>
      </c>
      <c r="BG409" s="63" t="str">
        <f>IF($BF409="ja",VLOOKUP($B409,'Egen hetvattenprod'!$B$1:$BX$550,MATCH("Andelen klimatgaser med fossilt ursprung för avfall ()",'Egen hetvattenprod'!$B$1:$BX$1,0),FALSE),"")</f>
        <v/>
      </c>
      <c r="BH409" s="63" t="str">
        <f>IF($BF409="ja",VLOOKUP($B409,Kraftvärmeprod!$B$1:$BX$550,MATCH("Andelen klimatgaser med fossilt ursprung för avfall ()",Kraftvärmeprod!$B$1:$BX$1,0),FALSE),"")</f>
        <v/>
      </c>
      <c r="BI409" s="63" t="str">
        <f>IF($BF409="ja",VLOOKUP($B409,'Egen hetvattenprod'!$B$1:$BX$550,MATCH("Avfall (GWh)",'Egen hetvattenprod'!$B$1:$BX$1,0),FALSE),"")</f>
        <v/>
      </c>
      <c r="BJ409" s="63" t="str">
        <f>IF($BF409="ja",VLOOKUP($B409,'Slutlig allokering kvv'!$B$1:$BX$550,MATCH("Avfall (GWh)",'Slutlig allokering kvv'!$B$1:$BX$1,0),FALSE),"")</f>
        <v/>
      </c>
      <c r="BK409" s="63" t="str">
        <f>IF($BF409="ja",VLOOKUP($B409,'Köpt hetvatten'!$B$1:$BX$550,MATCH("Avfall i köpt hetvatten",'Köpt hetvatten'!$B$1:$BX$1,0),FALSE),"")</f>
        <v/>
      </c>
      <c r="BL409" s="63" t="str">
        <f>IF($BF409="ja",VLOOKUP($B409,'Egen hetvattenprod'!$B$1:$BX$550,MATCH("Värde enligt ovan. (%)",'Egen hetvattenprod'!$B$1:$BX$1,0),FALSE),"")</f>
        <v/>
      </c>
      <c r="BM409" s="63" t="str">
        <f>IF($BF409="ja",VLOOKUP($B409,Kraftvärmeprod!$B$1:$BX$550,MATCH("Värde enligt ovan. (%)",Kraftvärmeprod!$B$1:$BX$1,0),FALSE),"")</f>
        <v/>
      </c>
    </row>
  </sheetData>
  <autoFilter ref="A2:BU409" xr:uid="{C4995C3D-BFB0-4863-8D1F-52DF05E518EA}">
    <sortState xmlns:xlrd2="http://schemas.microsoft.com/office/spreadsheetml/2017/richdata2" ref="A3:BU409">
      <sortCondition ref="A2"/>
    </sortState>
  </autoFilter>
  <mergeCells count="5">
    <mergeCell ref="AM1:AQ1"/>
    <mergeCell ref="AS1:AT1"/>
    <mergeCell ref="AV1:AW1"/>
    <mergeCell ref="AY1:BD1"/>
    <mergeCell ref="BF1:BR1"/>
  </mergeCells>
  <conditionalFormatting sqref="B1">
    <cfRule type="duplicateValues" dxfId="28" priority="3"/>
  </conditionalFormatting>
  <conditionalFormatting sqref="B2">
    <cfRule type="duplicateValues" dxfId="27" priority="2"/>
  </conditionalFormatting>
  <conditionalFormatting sqref="B1:B1048576">
    <cfRule type="duplicateValues" dxfId="26" priority="1"/>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5B2A5-ECC4-442E-9675-AD201247D405}">
  <sheetPr codeName="Blad15">
    <tabColor theme="9" tint="0.39997558519241921"/>
  </sheetPr>
  <dimension ref="A1:T38"/>
  <sheetViews>
    <sheetView zoomScale="85" workbookViewId="0">
      <selection activeCell="C14" sqref="C14"/>
    </sheetView>
  </sheetViews>
  <sheetFormatPr defaultRowHeight="14.25" x14ac:dyDescent="0.45"/>
  <cols>
    <col min="1" max="1" width="48.1328125" bestFit="1" customWidth="1"/>
    <col min="2" max="3" width="17.3984375" customWidth="1"/>
    <col min="4" max="4" width="19.73046875" customWidth="1"/>
    <col min="5" max="5" width="19.1328125" customWidth="1"/>
    <col min="6" max="6" width="17.265625" customWidth="1"/>
    <col min="7" max="7" width="19.73046875" customWidth="1"/>
    <col min="8" max="9" width="18.86328125" customWidth="1"/>
    <col min="10" max="10" width="19.265625" customWidth="1"/>
    <col min="11" max="11" width="18.59765625" customWidth="1"/>
  </cols>
  <sheetData>
    <row r="1" spans="1:20" ht="28.5" x14ac:dyDescent="0.45">
      <c r="A1" s="78" t="s">
        <v>1320</v>
      </c>
      <c r="B1" s="79" t="s">
        <v>1359</v>
      </c>
      <c r="C1" s="79" t="s">
        <v>1370</v>
      </c>
      <c r="D1" s="79" t="s">
        <v>1360</v>
      </c>
      <c r="E1" s="79" t="s">
        <v>1321</v>
      </c>
      <c r="F1" s="79" t="s">
        <v>1322</v>
      </c>
      <c r="G1" s="79" t="s">
        <v>1323</v>
      </c>
      <c r="H1" s="79" t="s">
        <v>1324</v>
      </c>
      <c r="I1" s="79" t="s">
        <v>1325</v>
      </c>
      <c r="J1" s="79" t="s">
        <v>1326</v>
      </c>
      <c r="K1" s="79" t="s">
        <v>1327</v>
      </c>
      <c r="L1" s="80">
        <v>2011</v>
      </c>
      <c r="M1" s="80">
        <v>2010</v>
      </c>
      <c r="N1" s="80">
        <v>2009</v>
      </c>
      <c r="O1" s="80" t="s">
        <v>1328</v>
      </c>
      <c r="P1" s="80" t="s">
        <v>1329</v>
      </c>
      <c r="Q1" s="80" t="s">
        <v>1330</v>
      </c>
      <c r="R1" s="80" t="s">
        <v>1331</v>
      </c>
      <c r="S1" s="80" t="s">
        <v>1332</v>
      </c>
      <c r="T1" s="81"/>
    </row>
    <row r="2" spans="1:20" x14ac:dyDescent="0.45">
      <c r="A2" s="82" t="s">
        <v>1333</v>
      </c>
      <c r="B2" s="83">
        <f>(D2-E2)/E2</f>
        <v>4.6945073586143029E-3</v>
      </c>
      <c r="C2" s="137">
        <f>D2-E2</f>
        <v>21.333599999999933</v>
      </c>
      <c r="D2" s="84">
        <f>Totalt!AD414</f>
        <v>4565.7082000000009</v>
      </c>
      <c r="E2" s="84">
        <v>4544.374600000001</v>
      </c>
      <c r="F2" s="84">
        <v>4329.4977999999983</v>
      </c>
      <c r="G2" s="84">
        <v>4249.1614999999993</v>
      </c>
      <c r="H2" s="84">
        <v>4036.7012999999993</v>
      </c>
      <c r="I2" s="84">
        <v>3921.0273300000003</v>
      </c>
      <c r="J2" s="84">
        <v>3834.6844010000018</v>
      </c>
      <c r="K2" s="85">
        <v>4062.6541176470591</v>
      </c>
      <c r="L2" s="85">
        <v>3852.2627938561964</v>
      </c>
      <c r="M2" s="85">
        <v>4121.5038316127693</v>
      </c>
      <c r="N2" s="85">
        <v>3589.8439999999991</v>
      </c>
      <c r="O2" s="86">
        <v>3842.1989999999996</v>
      </c>
      <c r="P2" s="86">
        <v>3739.8814999999986</v>
      </c>
      <c r="Q2" s="86">
        <v>3785.0810000000006</v>
      </c>
      <c r="R2" s="86">
        <v>4171.835</v>
      </c>
      <c r="S2" s="87">
        <v>3713.226349999999</v>
      </c>
      <c r="T2" s="81"/>
    </row>
    <row r="3" spans="1:20" x14ac:dyDescent="0.45">
      <c r="A3" s="82" t="s">
        <v>1334</v>
      </c>
      <c r="B3" s="83"/>
      <c r="C3" s="137">
        <f t="shared" ref="C3:C25" si="0">D3-E3</f>
        <v>0</v>
      </c>
      <c r="D3" s="84"/>
      <c r="E3" s="84"/>
      <c r="F3" s="84"/>
      <c r="G3" s="84"/>
      <c r="H3" s="84"/>
      <c r="I3" s="84"/>
      <c r="J3" s="84"/>
      <c r="K3" s="85"/>
      <c r="L3" s="85"/>
      <c r="M3" s="85"/>
      <c r="N3" s="85"/>
      <c r="O3" s="86" t="s">
        <v>1335</v>
      </c>
      <c r="P3" s="86" t="s">
        <v>1335</v>
      </c>
      <c r="Q3" s="86">
        <v>8.109</v>
      </c>
      <c r="R3" s="86">
        <v>5.6239999999999997</v>
      </c>
      <c r="S3" s="87">
        <v>7.0900000000000007</v>
      </c>
      <c r="T3" s="81"/>
    </row>
    <row r="4" spans="1:20" x14ac:dyDescent="0.45">
      <c r="A4" s="82" t="s">
        <v>726</v>
      </c>
      <c r="B4" s="83">
        <f t="shared" ref="B4:B9" si="1">(D4-E4)/E4</f>
        <v>9.2521025006289115E-3</v>
      </c>
      <c r="C4" s="137">
        <f t="shared" si="0"/>
        <v>111.8117672999997</v>
      </c>
      <c r="D4" s="84">
        <f>Totalt!I414</f>
        <v>12196.823503</v>
      </c>
      <c r="E4" s="84">
        <v>12085.0117357</v>
      </c>
      <c r="F4" s="84">
        <v>12068.854370000001</v>
      </c>
      <c r="G4" s="84">
        <v>11759.713900000001</v>
      </c>
      <c r="H4" s="84">
        <v>11108.776591799999</v>
      </c>
      <c r="I4" s="84">
        <v>11085.367992999998</v>
      </c>
      <c r="J4" s="84">
        <v>10592.484791000001</v>
      </c>
      <c r="K4" s="85">
        <v>10117.78631210712</v>
      </c>
      <c r="L4" s="85">
        <v>9581.3940560378269</v>
      </c>
      <c r="M4" s="85">
        <v>10191.074725472401</v>
      </c>
      <c r="N4" s="85">
        <v>9477.6911432105335</v>
      </c>
      <c r="O4" s="86">
        <v>7719.6883624176662</v>
      </c>
      <c r="P4" s="86">
        <v>7285.5656209451809</v>
      </c>
      <c r="Q4" s="86">
        <v>7458.7800952238676</v>
      </c>
      <c r="R4" s="86">
        <v>6761.9430452443758</v>
      </c>
      <c r="S4" s="87">
        <v>5200.3751892766732</v>
      </c>
      <c r="T4" s="81"/>
    </row>
    <row r="5" spans="1:20" x14ac:dyDescent="0.45">
      <c r="A5" s="82" t="s">
        <v>1336</v>
      </c>
      <c r="B5" s="83">
        <f t="shared" si="1"/>
        <v>1.7531522264634931E-3</v>
      </c>
      <c r="C5" s="137">
        <f t="shared" si="0"/>
        <v>1.8241804000001594</v>
      </c>
      <c r="D5" s="84">
        <f>Totalt!J419+Totalt!K414</f>
        <v>1042.3387304</v>
      </c>
      <c r="E5" s="84">
        <v>1040.5145499999999</v>
      </c>
      <c r="F5" s="84">
        <v>1013.1605357000001</v>
      </c>
      <c r="G5" s="84">
        <v>820.58468820000007</v>
      </c>
      <c r="H5" s="84">
        <v>861.28116529409999</v>
      </c>
      <c r="I5" s="84">
        <v>922.79043805900005</v>
      </c>
      <c r="J5" s="84">
        <v>865.14805460000002</v>
      </c>
      <c r="K5" s="85">
        <v>866.87128119047986</v>
      </c>
      <c r="L5" s="85">
        <v>718.69999999999993</v>
      </c>
      <c r="M5" s="85">
        <v>740.4</v>
      </c>
      <c r="N5" s="85">
        <v>574.4</v>
      </c>
      <c r="O5" s="86">
        <v>870.10699999999997</v>
      </c>
      <c r="P5" s="86">
        <v>844.29</v>
      </c>
      <c r="Q5" s="86">
        <v>828.91</v>
      </c>
      <c r="R5" s="86">
        <v>865.9</v>
      </c>
      <c r="S5" s="87">
        <v>829.90299999999991</v>
      </c>
      <c r="T5" s="81"/>
    </row>
    <row r="6" spans="1:20" x14ac:dyDescent="0.45">
      <c r="A6" s="82" t="s">
        <v>1294</v>
      </c>
      <c r="B6" s="83">
        <f t="shared" si="1"/>
        <v>-5.161415343473106E-2</v>
      </c>
      <c r="C6" s="137">
        <f t="shared" si="0"/>
        <v>-201.74285599999848</v>
      </c>
      <c r="D6" s="84">
        <f>Totalt!L414</f>
        <v>3706.9303000000014</v>
      </c>
      <c r="E6" s="84">
        <v>3908.6731559999998</v>
      </c>
      <c r="F6" s="84">
        <v>3950.7271599999999</v>
      </c>
      <c r="G6" s="84">
        <v>3651.2839199999999</v>
      </c>
      <c r="H6" s="84">
        <v>2964.7997442000005</v>
      </c>
      <c r="I6" s="84">
        <v>2962.9568862999995</v>
      </c>
      <c r="J6" s="84">
        <v>3005.4039199999997</v>
      </c>
      <c r="K6" s="85">
        <v>2493.2099638723676</v>
      </c>
      <c r="L6" s="85">
        <v>2445.0813815388401</v>
      </c>
      <c r="M6" s="85">
        <v>2906.5185753175629</v>
      </c>
      <c r="N6" s="85">
        <v>3165.5392955741436</v>
      </c>
      <c r="O6" s="86">
        <v>2338.7616180695959</v>
      </c>
      <c r="P6" s="86">
        <v>1453.6847154091563</v>
      </c>
      <c r="Q6" s="86">
        <v>1320.9895532827941</v>
      </c>
      <c r="R6" s="86">
        <v>1393.7318648053556</v>
      </c>
      <c r="S6" s="87">
        <v>1172.118327081906</v>
      </c>
      <c r="T6" s="81"/>
    </row>
    <row r="7" spans="1:20" ht="15.75" x14ac:dyDescent="0.45">
      <c r="A7" s="82" t="s">
        <v>1337</v>
      </c>
      <c r="B7" s="83">
        <f t="shared" si="1"/>
        <v>-8.0455411736366118E-3</v>
      </c>
      <c r="C7" s="137">
        <f t="shared" si="0"/>
        <v>-126.36088349998499</v>
      </c>
      <c r="D7" s="84">
        <f>Totalt!AW414</f>
        <v>15579.342533200008</v>
      </c>
      <c r="E7" s="84">
        <v>15705.703416699993</v>
      </c>
      <c r="F7" s="84">
        <v>14883.965699100005</v>
      </c>
      <c r="G7" s="84">
        <v>15556.137318300003</v>
      </c>
      <c r="H7" s="84">
        <v>14868.792437519985</v>
      </c>
      <c r="I7" s="84">
        <v>14185.186198480007</v>
      </c>
      <c r="J7" s="84">
        <v>15242.232561699991</v>
      </c>
      <c r="K7" s="85">
        <v>14720.17896007144</v>
      </c>
      <c r="L7" s="85">
        <v>14284.363807058389</v>
      </c>
      <c r="M7" s="85">
        <v>18765.116243748525</v>
      </c>
      <c r="N7" s="85">
        <v>16716.689162779043</v>
      </c>
      <c r="O7" s="86">
        <v>13642</v>
      </c>
      <c r="P7" s="86">
        <v>11823.149864204535</v>
      </c>
      <c r="Q7" s="86">
        <v>14182.581055496841</v>
      </c>
      <c r="R7" s="86">
        <v>13548.84573515328</v>
      </c>
      <c r="S7" s="87">
        <v>11004.57997651525</v>
      </c>
      <c r="T7" s="81"/>
    </row>
    <row r="8" spans="1:20" ht="15.75" x14ac:dyDescent="0.45">
      <c r="A8" s="82" t="s">
        <v>1338</v>
      </c>
      <c r="B8" s="83">
        <f t="shared" si="1"/>
        <v>-9.332612073670081E-2</v>
      </c>
      <c r="C8" s="137">
        <f t="shared" si="0"/>
        <v>-295.17529700000068</v>
      </c>
      <c r="D8" s="84">
        <f>Totalt!AX414</f>
        <v>2867.661587999999</v>
      </c>
      <c r="E8" s="84">
        <v>3162.8368849999997</v>
      </c>
      <c r="F8" s="84">
        <v>2882.4452829999987</v>
      </c>
      <c r="G8" s="84">
        <v>3246.1695004000003</v>
      </c>
      <c r="H8" s="84">
        <v>2824.1296110999988</v>
      </c>
      <c r="I8" s="84">
        <v>3144.1345805000014</v>
      </c>
      <c r="J8" s="84">
        <v>3989.1761473999991</v>
      </c>
      <c r="K8" s="85">
        <v>4094.816132363515</v>
      </c>
      <c r="L8" s="85">
        <v>3470.5594193151019</v>
      </c>
      <c r="M8" s="85">
        <v>4579.7834783361404</v>
      </c>
      <c r="N8" s="85">
        <v>4012</v>
      </c>
      <c r="O8" s="86">
        <v>4023</v>
      </c>
      <c r="P8" s="86">
        <v>3479.1850943827053</v>
      </c>
      <c r="Q8" s="86">
        <v>3882.9060004888661</v>
      </c>
      <c r="R8" s="86">
        <v>4606.4713186563831</v>
      </c>
      <c r="S8" s="87">
        <v>3650.6293705967414</v>
      </c>
      <c r="T8" s="81"/>
    </row>
    <row r="9" spans="1:20" x14ac:dyDescent="0.45">
      <c r="A9" s="82" t="s">
        <v>1339</v>
      </c>
      <c r="B9" s="83">
        <f t="shared" si="1"/>
        <v>-0.2390632885923861</v>
      </c>
      <c r="C9" s="137">
        <f t="shared" si="0"/>
        <v>-16.525900099999987</v>
      </c>
      <c r="D9" s="84">
        <f>Totalt!AV414</f>
        <v>52.601820000000004</v>
      </c>
      <c r="E9" s="84">
        <v>69.127720099999991</v>
      </c>
      <c r="F9" s="84">
        <v>120.047539</v>
      </c>
      <c r="G9" s="84">
        <v>129.28275690000001</v>
      </c>
      <c r="H9" s="84">
        <v>147.762909912</v>
      </c>
      <c r="I9" s="84">
        <v>83.864430880000015</v>
      </c>
      <c r="J9" s="84">
        <v>175.22474200000002</v>
      </c>
      <c r="K9" s="85">
        <v>538.82113201178743</v>
      </c>
      <c r="L9" s="85"/>
      <c r="M9" s="85"/>
      <c r="N9" s="85"/>
      <c r="O9" s="86"/>
      <c r="P9" s="86"/>
      <c r="Q9" s="86"/>
      <c r="R9" s="86"/>
      <c r="S9" s="87"/>
      <c r="T9" s="81"/>
    </row>
    <row r="10" spans="1:20" x14ac:dyDescent="0.45">
      <c r="A10" s="82" t="s">
        <v>1340</v>
      </c>
      <c r="B10" s="83"/>
      <c r="C10" s="137">
        <f t="shared" si="0"/>
        <v>0</v>
      </c>
      <c r="D10" s="84"/>
      <c r="E10" s="84"/>
      <c r="F10" s="84"/>
      <c r="G10" s="84"/>
      <c r="H10" s="84"/>
      <c r="I10" s="84"/>
      <c r="J10" s="84"/>
      <c r="K10" s="85"/>
      <c r="L10" s="85">
        <v>115.52465567393369</v>
      </c>
      <c r="M10" s="85">
        <v>173.37</v>
      </c>
      <c r="N10" s="85">
        <v>128.60000000000002</v>
      </c>
      <c r="O10" s="86">
        <v>129.06900000000007</v>
      </c>
      <c r="P10" s="86">
        <v>26.139810493984328</v>
      </c>
      <c r="Q10" s="86">
        <v>245.85900000000004</v>
      </c>
      <c r="R10" s="86">
        <v>302.90631320397836</v>
      </c>
      <c r="S10" s="87">
        <v>360.94666891746544</v>
      </c>
      <c r="T10" s="81"/>
    </row>
    <row r="11" spans="1:20" x14ac:dyDescent="0.45">
      <c r="A11" s="82" t="s">
        <v>754</v>
      </c>
      <c r="B11" s="83">
        <f>(D11-E11)/E11</f>
        <v>-0.57553320252996321</v>
      </c>
      <c r="C11" s="137">
        <f t="shared" si="0"/>
        <v>-157.31920899999997</v>
      </c>
      <c r="D11" s="84">
        <f>Totalt!V414</f>
        <v>116.02594000000002</v>
      </c>
      <c r="E11" s="84">
        <v>273.34514899999999</v>
      </c>
      <c r="F11" s="84">
        <v>244.11189999999996</v>
      </c>
      <c r="G11" s="84">
        <v>303.10553900000002</v>
      </c>
      <c r="H11" s="84">
        <v>165.96613299999999</v>
      </c>
      <c r="I11" s="84">
        <v>433.24310650999996</v>
      </c>
      <c r="J11" s="84">
        <v>481.05299999999994</v>
      </c>
      <c r="K11" s="85">
        <v>715.33739964474523</v>
      </c>
      <c r="L11" s="85">
        <v>710.83840267551511</v>
      </c>
      <c r="M11" s="85">
        <v>983.67450983735512</v>
      </c>
      <c r="N11" s="85">
        <v>862.45624468046435</v>
      </c>
      <c r="O11" s="86">
        <v>737.93128075924255</v>
      </c>
      <c r="P11" s="86">
        <v>667.65904139378051</v>
      </c>
      <c r="Q11" s="86">
        <v>743.7341631400559</v>
      </c>
      <c r="R11" s="86">
        <v>780.75316215842827</v>
      </c>
      <c r="S11" s="87">
        <v>785.85018390963705</v>
      </c>
      <c r="T11" s="81"/>
    </row>
    <row r="12" spans="1:20" x14ac:dyDescent="0.45">
      <c r="A12" s="82" t="s">
        <v>739</v>
      </c>
      <c r="B12" s="83">
        <f>(D12-E12)/E12</f>
        <v>-0.12791029104855889</v>
      </c>
      <c r="C12" s="137">
        <f t="shared" si="0"/>
        <v>-132.40338189999989</v>
      </c>
      <c r="D12" s="84">
        <f>Totalt!W414</f>
        <v>902.7235091</v>
      </c>
      <c r="E12" s="84">
        <v>1035.1268909999999</v>
      </c>
      <c r="F12" s="84">
        <v>639.28162899999973</v>
      </c>
      <c r="G12" s="84">
        <v>910.04787299999998</v>
      </c>
      <c r="H12" s="84">
        <v>622.85854500000039</v>
      </c>
      <c r="I12" s="84">
        <v>769.75212580000004</v>
      </c>
      <c r="J12" s="84">
        <v>1394.5684399999998</v>
      </c>
      <c r="K12" s="85">
        <v>1280.9513403286476</v>
      </c>
      <c r="L12" s="85">
        <v>960.04709982937209</v>
      </c>
      <c r="M12" s="85">
        <v>2256.3852445526745</v>
      </c>
      <c r="N12" s="85">
        <v>2072.6661501367039</v>
      </c>
      <c r="O12" s="86">
        <v>1309.2826857397858</v>
      </c>
      <c r="P12" s="86">
        <v>1641.6741281915881</v>
      </c>
      <c r="Q12" s="86">
        <v>1713.6957484982888</v>
      </c>
      <c r="R12" s="86" t="s">
        <v>1335</v>
      </c>
      <c r="S12" s="87" t="s">
        <v>1335</v>
      </c>
      <c r="T12" s="81"/>
    </row>
    <row r="13" spans="1:20" ht="15.75" x14ac:dyDescent="0.45">
      <c r="A13" s="82" t="s">
        <v>1341</v>
      </c>
      <c r="B13" s="83"/>
      <c r="C13" s="137"/>
      <c r="D13" s="84"/>
      <c r="E13" s="84"/>
      <c r="F13" s="84"/>
      <c r="G13" s="84"/>
      <c r="H13" s="84"/>
      <c r="I13" s="84"/>
      <c r="J13" s="84"/>
      <c r="K13" s="85"/>
      <c r="L13" s="85"/>
      <c r="M13" s="85"/>
      <c r="N13" s="85"/>
      <c r="O13" s="86">
        <v>3288.1429840039877</v>
      </c>
      <c r="P13" s="86">
        <v>3498.5550725485823</v>
      </c>
      <c r="Q13" s="86">
        <v>788.91025176562846</v>
      </c>
      <c r="R13" s="86">
        <v>1349.2552920525159</v>
      </c>
      <c r="S13" s="87">
        <v>1196.8362177197109</v>
      </c>
      <c r="T13" s="81"/>
    </row>
    <row r="14" spans="1:20" x14ac:dyDescent="0.45">
      <c r="A14" s="82" t="s">
        <v>1227</v>
      </c>
      <c r="B14" s="83"/>
      <c r="C14" s="137"/>
      <c r="D14" s="84"/>
      <c r="E14" s="84"/>
      <c r="F14" s="84"/>
      <c r="G14" s="84"/>
      <c r="H14" s="84"/>
      <c r="I14" s="84"/>
      <c r="J14" s="84"/>
      <c r="K14" s="85"/>
      <c r="L14" s="85"/>
      <c r="M14" s="85"/>
      <c r="N14" s="85"/>
      <c r="O14" s="86">
        <v>840.02592297995614</v>
      </c>
      <c r="P14" s="86">
        <v>783.39243737289451</v>
      </c>
      <c r="Q14" s="86">
        <v>994.97270805158803</v>
      </c>
      <c r="R14" s="86" t="s">
        <v>1335</v>
      </c>
      <c r="S14" s="87" t="s">
        <v>1335</v>
      </c>
      <c r="T14" s="81"/>
    </row>
    <row r="15" spans="1:20" x14ac:dyDescent="0.45">
      <c r="A15" s="82" t="s">
        <v>1342</v>
      </c>
      <c r="B15" s="83">
        <f t="shared" ref="B15:B27" si="2">(D15-E15)/E15</f>
        <v>-0.4434811077227252</v>
      </c>
      <c r="C15" s="137">
        <f t="shared" si="0"/>
        <v>-530.21892999999989</v>
      </c>
      <c r="D15" s="84">
        <f>Totalt!Y414</f>
        <v>665.3651000000001</v>
      </c>
      <c r="E15" s="84">
        <v>1195.58403</v>
      </c>
      <c r="F15" s="84">
        <v>998.88490999999999</v>
      </c>
      <c r="G15" s="84">
        <v>1013.8402470000001</v>
      </c>
      <c r="H15" s="84">
        <v>1032.9613498099998</v>
      </c>
      <c r="I15" s="84">
        <v>1223.5504582799999</v>
      </c>
      <c r="J15" s="84">
        <v>1463.47236</v>
      </c>
      <c r="K15" s="85">
        <v>1617.8971451755954</v>
      </c>
      <c r="L15" s="85">
        <v>1726.9380841394538</v>
      </c>
      <c r="M15" s="85">
        <v>2674.2666892639713</v>
      </c>
      <c r="N15" s="85">
        <v>2608.0452166126561</v>
      </c>
      <c r="O15" s="86">
        <v>2549.3159979968054</v>
      </c>
      <c r="P15" s="86">
        <v>2583.6857800627899</v>
      </c>
      <c r="Q15" s="86">
        <v>2166.5709744718602</v>
      </c>
      <c r="R15" s="86">
        <v>3006.3172371633814</v>
      </c>
      <c r="S15" s="87">
        <v>2849.4435989512313</v>
      </c>
      <c r="T15" s="81"/>
    </row>
    <row r="16" spans="1:20" x14ac:dyDescent="0.45">
      <c r="A16" s="82" t="s">
        <v>1343</v>
      </c>
      <c r="B16" s="83">
        <f t="shared" si="2"/>
        <v>3.0613041441879065E-2</v>
      </c>
      <c r="C16" s="137">
        <f t="shared" si="0"/>
        <v>1.4118000000000019E-2</v>
      </c>
      <c r="D16" s="84">
        <f>Totalt!AE414</f>
        <v>0.47529399999999999</v>
      </c>
      <c r="E16" s="84">
        <v>0.46117599999999997</v>
      </c>
      <c r="F16" s="84">
        <v>1.23647</v>
      </c>
      <c r="G16" s="84">
        <v>1.850584</v>
      </c>
      <c r="H16" s="84">
        <v>26.912909999999997</v>
      </c>
      <c r="I16" s="84">
        <v>23.089386000000001</v>
      </c>
      <c r="J16" s="84">
        <v>2.6017099999999997</v>
      </c>
      <c r="K16" s="85">
        <v>2.6352941176470588</v>
      </c>
      <c r="L16" s="85">
        <v>140.44070588235292</v>
      </c>
      <c r="M16" s="85">
        <v>17.3</v>
      </c>
      <c r="N16" s="85">
        <v>47.482999999999997</v>
      </c>
      <c r="O16" s="86">
        <v>182.96064999999999</v>
      </c>
      <c r="P16" s="86">
        <v>600.505</v>
      </c>
      <c r="Q16" s="86">
        <v>652.41047999999978</v>
      </c>
      <c r="R16" s="86">
        <v>3084.7640000000001</v>
      </c>
      <c r="S16" s="87">
        <v>3971.4472869999995</v>
      </c>
      <c r="T16" s="81"/>
    </row>
    <row r="17" spans="1:20" x14ac:dyDescent="0.45">
      <c r="A17" s="82" t="s">
        <v>1344</v>
      </c>
      <c r="B17" s="83">
        <f t="shared" si="2"/>
        <v>-5.452795977816198E-2</v>
      </c>
      <c r="C17" s="137">
        <f t="shared" si="0"/>
        <v>-59.312429999999949</v>
      </c>
      <c r="D17" s="84">
        <f>Totalt!AA414</f>
        <v>1028.431</v>
      </c>
      <c r="E17" s="84">
        <v>1087.74343</v>
      </c>
      <c r="F17" s="84">
        <v>1056.6079499999998</v>
      </c>
      <c r="G17" s="84">
        <v>1141.1751699999998</v>
      </c>
      <c r="H17" s="84">
        <v>1214.95334</v>
      </c>
      <c r="I17" s="84">
        <v>1215.7718473</v>
      </c>
      <c r="J17" s="84">
        <v>1196.6844300000002</v>
      </c>
      <c r="K17" s="85">
        <v>1458.37</v>
      </c>
      <c r="L17" s="85">
        <v>1264.5516838571427</v>
      </c>
      <c r="M17" s="85">
        <v>1427.7951932604935</v>
      </c>
      <c r="N17" s="85">
        <v>1436.6210000000001</v>
      </c>
      <c r="O17" s="86">
        <v>1564.6350000000002</v>
      </c>
      <c r="P17" s="86">
        <v>1643.0840000000001</v>
      </c>
      <c r="Q17" s="86">
        <v>1553.8881875000002</v>
      </c>
      <c r="R17" s="86">
        <v>1780.5689999999997</v>
      </c>
      <c r="S17" s="87">
        <v>1895.6057500000004</v>
      </c>
      <c r="T17" s="81"/>
    </row>
    <row r="18" spans="1:20" x14ac:dyDescent="0.45">
      <c r="A18" s="82" t="s">
        <v>1345</v>
      </c>
      <c r="B18" s="83">
        <f t="shared" si="2"/>
        <v>-4.4411571990327692E-2</v>
      </c>
      <c r="C18" s="137">
        <f t="shared" si="0"/>
        <v>-149.76224000000047</v>
      </c>
      <c r="D18" s="84">
        <f>Totalt!AB419+Totalt!AA414</f>
        <v>3222.3822999999998</v>
      </c>
      <c r="E18" s="84">
        <v>3372.1445400000002</v>
      </c>
      <c r="F18" s="84">
        <v>3319.6787399999994</v>
      </c>
      <c r="G18" s="84">
        <v>3621.5067699999991</v>
      </c>
      <c r="H18" s="84">
        <v>3950.1493200000009</v>
      </c>
      <c r="I18" s="84">
        <v>3951.817826</v>
      </c>
      <c r="J18" s="84">
        <v>3938.7569000000003</v>
      </c>
      <c r="K18" s="85">
        <v>4704.7999999999993</v>
      </c>
      <c r="L18" s="85">
        <v>3921.2891819999995</v>
      </c>
      <c r="M18" s="85">
        <v>4574.5218334401798</v>
      </c>
      <c r="N18" s="85">
        <v>4659.7349999999997</v>
      </c>
      <c r="O18" s="86">
        <v>4768.2410000000009</v>
      </c>
      <c r="P18" s="86">
        <v>5164.4496999999992</v>
      </c>
      <c r="Q18" s="86">
        <v>5064.1500000000015</v>
      </c>
      <c r="R18" s="86">
        <v>5492.8870000000006</v>
      </c>
      <c r="S18" s="87">
        <v>5875.9270000000006</v>
      </c>
      <c r="T18" s="81"/>
    </row>
    <row r="19" spans="1:20" x14ac:dyDescent="0.45">
      <c r="A19" s="82" t="s">
        <v>1346</v>
      </c>
      <c r="B19" s="83">
        <f t="shared" si="2"/>
        <v>2.3166681163362013E-2</v>
      </c>
      <c r="C19" s="137">
        <f t="shared" si="0"/>
        <v>4.3989440000000002</v>
      </c>
      <c r="D19" s="84">
        <f>Totalt!Z414</f>
        <v>194.28130000000002</v>
      </c>
      <c r="E19" s="84">
        <v>189.88235600000002</v>
      </c>
      <c r="F19" s="84">
        <v>276.04981900000007</v>
      </c>
      <c r="G19" s="84">
        <v>303.52709000000004</v>
      </c>
      <c r="H19" s="84">
        <v>262.29312400000003</v>
      </c>
      <c r="I19" s="84">
        <v>225.17362899999995</v>
      </c>
      <c r="J19" s="84">
        <v>276.40034000000003</v>
      </c>
      <c r="K19" s="85">
        <v>300.82823529411769</v>
      </c>
      <c r="L19" s="85">
        <v>144.71840537505014</v>
      </c>
      <c r="M19" s="85">
        <v>139.37625883982562</v>
      </c>
      <c r="N19" s="85">
        <v>211.12280000000001</v>
      </c>
      <c r="O19" s="86">
        <v>221.34484700000004</v>
      </c>
      <c r="P19" s="86">
        <v>339.31899999999996</v>
      </c>
      <c r="Q19" s="86">
        <v>235.935</v>
      </c>
      <c r="R19" s="86">
        <v>444.69372999999979</v>
      </c>
      <c r="S19" s="87">
        <v>402.17589999999996</v>
      </c>
      <c r="T19" s="81"/>
    </row>
    <row r="20" spans="1:20" ht="15.75" x14ac:dyDescent="0.45">
      <c r="A20" s="82" t="s">
        <v>1347</v>
      </c>
      <c r="B20" s="83">
        <f t="shared" si="2"/>
        <v>-2.5948251162360422E-2</v>
      </c>
      <c r="C20" s="137">
        <f t="shared" si="0"/>
        <v>-42.302070990000402</v>
      </c>
      <c r="D20" s="84">
        <f>Totalt!AF414</f>
        <v>1587.9454060099999</v>
      </c>
      <c r="E20" s="84">
        <v>1630.2474770000003</v>
      </c>
      <c r="F20" s="84">
        <v>1595.9532139999983</v>
      </c>
      <c r="G20" s="84">
        <v>1572.5305387000001</v>
      </c>
      <c r="H20" s="84">
        <v>1582.23738411</v>
      </c>
      <c r="I20" s="84">
        <v>1604.0068908899998</v>
      </c>
      <c r="J20" s="84">
        <v>1696.9427799999994</v>
      </c>
      <c r="K20" s="85">
        <v>1736.1875343008242</v>
      </c>
      <c r="L20" s="85">
        <v>1758.3712661661</v>
      </c>
      <c r="M20" s="85">
        <v>1792.0863795720459</v>
      </c>
      <c r="N20" s="85">
        <v>1458.8205390000001</v>
      </c>
      <c r="O20" s="86">
        <v>1382.0550774687335</v>
      </c>
      <c r="P20" s="86">
        <v>1612</v>
      </c>
      <c r="Q20" s="86">
        <v>1156.0666999999999</v>
      </c>
      <c r="R20" s="86">
        <v>1291.3747049999997</v>
      </c>
      <c r="S20" s="87">
        <v>1107.74981</v>
      </c>
      <c r="T20" s="81"/>
    </row>
    <row r="21" spans="1:20" x14ac:dyDescent="0.45">
      <c r="A21" s="82" t="s">
        <v>727</v>
      </c>
      <c r="B21" s="83">
        <f t="shared" si="2"/>
        <v>-0.34060377148364523</v>
      </c>
      <c r="C21" s="137">
        <f t="shared" si="0"/>
        <v>-327.24835700000006</v>
      </c>
      <c r="D21" s="84">
        <f>Totalt!G414</f>
        <v>633.54064300000005</v>
      </c>
      <c r="E21" s="84">
        <v>960.7890000000001</v>
      </c>
      <c r="F21" s="84">
        <v>773.53600000000006</v>
      </c>
      <c r="G21" s="84">
        <v>1726.8467700000003</v>
      </c>
      <c r="H21" s="84">
        <v>1194.0680000000002</v>
      </c>
      <c r="I21" s="84">
        <v>958.10299999999995</v>
      </c>
      <c r="J21" s="84">
        <v>1675.088</v>
      </c>
      <c r="K21" s="85">
        <v>1790.1908701842046</v>
      </c>
      <c r="L21" s="85">
        <v>2111.1210444311241</v>
      </c>
      <c r="M21" s="85">
        <v>3305.9884631072509</v>
      </c>
      <c r="N21" s="85">
        <v>2451.8697420165117</v>
      </c>
      <c r="O21" s="86">
        <v>1675.8140365034592</v>
      </c>
      <c r="P21" s="86">
        <v>2049.114212873837</v>
      </c>
      <c r="Q21" s="86">
        <v>1721.6433511548271</v>
      </c>
      <c r="R21" s="86">
        <v>1867.3924365878113</v>
      </c>
      <c r="S21" s="87">
        <v>2742.6258195836335</v>
      </c>
      <c r="T21" s="81"/>
    </row>
    <row r="22" spans="1:20" ht="15.75" x14ac:dyDescent="0.45">
      <c r="A22" s="82" t="s">
        <v>1348</v>
      </c>
      <c r="B22" s="83">
        <f t="shared" si="2"/>
        <v>-0.2560476176186412</v>
      </c>
      <c r="C22" s="137">
        <f t="shared" si="0"/>
        <v>-229.58383939999976</v>
      </c>
      <c r="D22" s="84">
        <f>Totalt!D419+Totalt!E414+Totalt!F414</f>
        <v>667.06125160000033</v>
      </c>
      <c r="E22" s="84">
        <v>896.64509100000009</v>
      </c>
      <c r="F22" s="84">
        <v>649.6965032999999</v>
      </c>
      <c r="G22" s="84">
        <v>1285.4949872000004</v>
      </c>
      <c r="H22" s="84">
        <v>678.10185996499968</v>
      </c>
      <c r="I22" s="84">
        <v>779.29301750000013</v>
      </c>
      <c r="J22" s="84">
        <v>1239.8003847</v>
      </c>
      <c r="K22" s="85">
        <v>1850.1618853470659</v>
      </c>
      <c r="L22" s="85">
        <v>2068.8706001072387</v>
      </c>
      <c r="M22" s="85">
        <v>4558.0694154630955</v>
      </c>
      <c r="N22" s="85">
        <v>3836.716392178595</v>
      </c>
      <c r="O22" s="86">
        <v>1269.8037483988528</v>
      </c>
      <c r="P22" s="86">
        <v>1686.4408688091753</v>
      </c>
      <c r="Q22" s="86">
        <v>2701.8956247377137</v>
      </c>
      <c r="R22" s="86">
        <v>2304.0838577850745</v>
      </c>
      <c r="S22" s="87">
        <v>3209.8405354312617</v>
      </c>
      <c r="T22" s="81"/>
    </row>
    <row r="23" spans="1:20" x14ac:dyDescent="0.45">
      <c r="A23" s="82" t="s">
        <v>1220</v>
      </c>
      <c r="B23" s="83">
        <f t="shared" si="2"/>
        <v>-0.39675309085909305</v>
      </c>
      <c r="C23" s="137">
        <f t="shared" si="0"/>
        <v>-333.77717500000006</v>
      </c>
      <c r="D23" s="84">
        <f>Totalt!C414</f>
        <v>507.494595</v>
      </c>
      <c r="E23" s="84">
        <v>841.27177000000006</v>
      </c>
      <c r="F23" s="84">
        <v>804.45195000000001</v>
      </c>
      <c r="G23" s="84">
        <v>702.06129500000009</v>
      </c>
      <c r="H23" s="84">
        <v>1096.66213167</v>
      </c>
      <c r="I23" s="84">
        <v>1156.2032795</v>
      </c>
      <c r="J23" s="84">
        <v>1708.2693099999999</v>
      </c>
      <c r="K23" s="85">
        <v>1242.3651922285537</v>
      </c>
      <c r="L23" s="85">
        <v>1347.6425746928876</v>
      </c>
      <c r="M23" s="85">
        <v>1606.0962613998297</v>
      </c>
      <c r="N23" s="85">
        <v>1443.7285173129358</v>
      </c>
      <c r="O23" s="86">
        <v>1449.3792809004606</v>
      </c>
      <c r="P23" s="86">
        <v>1803.0257275033955</v>
      </c>
      <c r="Q23" s="86">
        <v>1947.3608102504072</v>
      </c>
      <c r="R23" s="86">
        <v>1905.537335712693</v>
      </c>
      <c r="S23" s="87">
        <v>2410.9544915612514</v>
      </c>
      <c r="T23" s="81"/>
    </row>
    <row r="24" spans="1:20" x14ac:dyDescent="0.45">
      <c r="A24" s="88" t="s">
        <v>1349</v>
      </c>
      <c r="B24" s="83">
        <f t="shared" si="2"/>
        <v>-0.70389742231638408</v>
      </c>
      <c r="C24" s="137">
        <f t="shared" si="0"/>
        <v>-31.894999999999996</v>
      </c>
      <c r="D24" s="84">
        <f>Totalt!H414</f>
        <v>13.417</v>
      </c>
      <c r="E24" s="84">
        <v>45.311999999999998</v>
      </c>
      <c r="F24" s="84">
        <v>24.588947000000001</v>
      </c>
      <c r="G24" s="84">
        <v>38.562710000000003</v>
      </c>
      <c r="H24" s="84">
        <v>51.842999999999996</v>
      </c>
      <c r="I24" s="84">
        <v>67.857561000000004</v>
      </c>
      <c r="J24" s="84">
        <v>96.690328999999991</v>
      </c>
      <c r="K24" s="85">
        <v>131.92000000000002</v>
      </c>
      <c r="L24" s="85">
        <v>171.75908035336315</v>
      </c>
      <c r="M24" s="85">
        <v>325.0745209771494</v>
      </c>
      <c r="N24" s="85">
        <v>498.12006411600782</v>
      </c>
      <c r="O24" s="86">
        <v>228.98450103823399</v>
      </c>
      <c r="P24" s="86">
        <v>323.87273479925238</v>
      </c>
      <c r="Q24" s="86">
        <v>265.38607776231697</v>
      </c>
      <c r="R24" s="86">
        <v>360.27871455445899</v>
      </c>
      <c r="S24" s="87">
        <v>435.84375553259201</v>
      </c>
      <c r="T24" s="81"/>
    </row>
    <row r="25" spans="1:20" x14ac:dyDescent="0.45">
      <c r="A25" s="89" t="s">
        <v>1223</v>
      </c>
      <c r="B25" s="83">
        <f t="shared" si="2"/>
        <v>2.7877963933318373E-2</v>
      </c>
      <c r="C25" s="137">
        <f t="shared" si="0"/>
        <v>166.56934999999794</v>
      </c>
      <c r="D25" s="84">
        <f>Totalt!AC414</f>
        <v>6141.5161000000016</v>
      </c>
      <c r="E25" s="84">
        <v>5974.9467500000037</v>
      </c>
      <c r="F25" s="84">
        <v>6195.1891299999988</v>
      </c>
      <c r="G25" s="84">
        <v>5772.5033400000029</v>
      </c>
      <c r="H25" s="84">
        <v>5684.560309999998</v>
      </c>
      <c r="I25" s="84">
        <v>5285.069279999997</v>
      </c>
      <c r="J25" s="84">
        <v>5088.785818999997</v>
      </c>
      <c r="K25" s="90">
        <v>5166.8799999999974</v>
      </c>
      <c r="L25" s="90">
        <v>3898.9579119959885</v>
      </c>
      <c r="M25" s="90"/>
      <c r="N25" s="90"/>
      <c r="O25" s="91"/>
      <c r="P25" s="91"/>
      <c r="Q25" s="91"/>
      <c r="R25" s="91"/>
      <c r="S25" s="92"/>
      <c r="T25" s="81"/>
    </row>
    <row r="26" spans="1:20" ht="15.75" x14ac:dyDescent="0.45">
      <c r="A26" s="93" t="s">
        <v>1350</v>
      </c>
      <c r="B26" s="94">
        <f t="shared" si="2"/>
        <v>-3.9843378911380033E-2</v>
      </c>
      <c r="C26" s="138">
        <f>D26-E26</f>
        <v>-2268.363180189961</v>
      </c>
      <c r="D26" s="128">
        <f>(SUM(D2:D25))-D17</f>
        <v>54663.635113310018</v>
      </c>
      <c r="E26" s="95">
        <f>SUM(E2:E25)-E17</f>
        <v>56931.998293499979</v>
      </c>
      <c r="F26" s="96">
        <v>54771.357599100011</v>
      </c>
      <c r="G26" s="96">
        <v>56664.21132770001</v>
      </c>
      <c r="H26" s="96">
        <f>SUM(H2:H25)-H17</f>
        <v>53160.857827381085</v>
      </c>
      <c r="I26" s="96">
        <v>52782.487417698998</v>
      </c>
      <c r="J26" s="96">
        <f>SUM(J2:J25)-J17</f>
        <v>56766.783990399999</v>
      </c>
      <c r="K26" s="97">
        <f>SUM(K2:K25)-K17</f>
        <v>57434.492795885155</v>
      </c>
      <c r="L26" s="97">
        <v>53428.880471128745</v>
      </c>
      <c r="M26" s="97">
        <v>63710.606430940774</v>
      </c>
      <c r="N26" s="97">
        <v>57815.527267617595</v>
      </c>
      <c r="O26" s="97">
        <v>52468.106993276779</v>
      </c>
      <c r="P26" s="97">
        <v>51405.590308990853</v>
      </c>
      <c r="Q26" s="97">
        <v>51865.947594325058</v>
      </c>
      <c r="R26" s="97">
        <v>53544.594748077739</v>
      </c>
      <c r="S26" s="98">
        <v>50927.563482077363</v>
      </c>
      <c r="T26" s="81"/>
    </row>
    <row r="27" spans="1:20" ht="15.75" x14ac:dyDescent="0.45">
      <c r="A27" s="99" t="s">
        <v>1351</v>
      </c>
      <c r="B27" s="140">
        <f t="shared" si="2"/>
        <v>-2.4126358554808016E-2</v>
      </c>
      <c r="C27" s="139">
        <f>D27-E27</f>
        <v>-1183.3938100000014</v>
      </c>
      <c r="D27" s="84">
        <f>Totalt!AK419-Totalt!AL419</f>
        <v>47866.437200000015</v>
      </c>
      <c r="E27" s="100">
        <v>49049.831010000016</v>
      </c>
      <c r="F27" s="97">
        <v>48285.06455200004</v>
      </c>
      <c r="G27" s="101">
        <v>48888.816862999978</v>
      </c>
      <c r="H27" s="101">
        <v>45862.367570000024</v>
      </c>
      <c r="I27" s="97">
        <v>45160.597417999983</v>
      </c>
      <c r="J27" s="97">
        <v>48880.996426999991</v>
      </c>
      <c r="K27" s="97">
        <v>49990.84</v>
      </c>
      <c r="L27" s="97">
        <v>48079.541329865999</v>
      </c>
      <c r="M27" s="97">
        <v>61171.912360500013</v>
      </c>
      <c r="N27" s="97">
        <v>50825.087031000003</v>
      </c>
      <c r="O27" s="97">
        <v>47758.588479000064</v>
      </c>
      <c r="P27" s="97">
        <v>47432.403500000044</v>
      </c>
      <c r="Q27" s="97">
        <v>46735.900920000051</v>
      </c>
      <c r="R27" s="97">
        <v>49149.252615497942</v>
      </c>
      <c r="S27" s="98">
        <v>46311.931681159156</v>
      </c>
      <c r="T27" s="81"/>
    </row>
    <row r="28" spans="1:20" x14ac:dyDescent="0.45">
      <c r="A28" s="102" t="s">
        <v>1352</v>
      </c>
      <c r="B28" s="103"/>
      <c r="C28" s="139"/>
      <c r="D28" s="103">
        <f>D27/(D26-D25)</f>
        <v>0.98648695014473409</v>
      </c>
      <c r="E28" s="104">
        <f>E27/(E26-E25)</f>
        <v>0.96257199983653208</v>
      </c>
      <c r="F28" s="105">
        <v>0.99400726886713708</v>
      </c>
      <c r="G28" s="105">
        <v>0.96064405766880323</v>
      </c>
      <c r="H28" s="105">
        <f>H27/(H26-H25)</f>
        <v>0.9660055642125378</v>
      </c>
      <c r="I28" s="105">
        <v>0.95080110011612884</v>
      </c>
      <c r="J28" s="105">
        <f>J27/(J26-J25)</f>
        <v>0.94587635273480952</v>
      </c>
      <c r="K28" s="105">
        <f>K27/(K26-K25)</f>
        <v>0.95644008451703377</v>
      </c>
      <c r="L28" s="105">
        <v>0.97071707052367839</v>
      </c>
      <c r="M28" s="106">
        <v>0.96015272475560909</v>
      </c>
      <c r="N28" s="106">
        <v>0.87909060823297325</v>
      </c>
      <c r="O28" s="106">
        <v>0.91024035773045542</v>
      </c>
      <c r="P28" s="106">
        <v>0.92270905197063946</v>
      </c>
      <c r="Q28" s="106">
        <v>0.90109027382570539</v>
      </c>
      <c r="R28" s="106">
        <v>0.91791249605568093</v>
      </c>
      <c r="S28" s="107">
        <v>0.90936868985411878</v>
      </c>
      <c r="T28" s="81"/>
    </row>
    <row r="29" spans="1:20" x14ac:dyDescent="0.45">
      <c r="A29" s="81"/>
      <c r="B29" s="108"/>
      <c r="C29" s="108"/>
      <c r="D29" s="108"/>
      <c r="E29" s="108"/>
      <c r="F29" s="109"/>
      <c r="G29" s="109"/>
      <c r="H29" s="109"/>
      <c r="I29" s="109"/>
      <c r="J29" s="109"/>
      <c r="K29" s="109"/>
      <c r="L29" s="109"/>
      <c r="M29" s="81"/>
      <c r="N29" s="81"/>
      <c r="O29" s="81"/>
      <c r="P29" s="81"/>
      <c r="Q29" s="81"/>
      <c r="R29" s="81"/>
      <c r="S29" s="81"/>
      <c r="T29" s="81"/>
    </row>
    <row r="30" spans="1:20" x14ac:dyDescent="0.45">
      <c r="A30" s="81"/>
      <c r="B30" s="81"/>
      <c r="C30" s="81"/>
      <c r="D30" s="81"/>
      <c r="E30" s="81"/>
      <c r="F30" s="81"/>
      <c r="G30" s="81"/>
      <c r="H30" s="81"/>
      <c r="I30" s="81"/>
      <c r="J30" s="110"/>
      <c r="K30" s="110"/>
      <c r="L30" s="81"/>
      <c r="M30" s="81"/>
      <c r="N30" s="81"/>
      <c r="O30" s="81"/>
      <c r="P30" s="81"/>
      <c r="Q30" s="81"/>
      <c r="R30" s="81"/>
      <c r="S30" s="81"/>
      <c r="T30" s="81"/>
    </row>
    <row r="31" spans="1:20" x14ac:dyDescent="0.45">
      <c r="A31" s="81">
        <v>1</v>
      </c>
      <c r="B31" s="81" t="s">
        <v>1353</v>
      </c>
      <c r="C31" s="81"/>
      <c r="D31" s="81"/>
      <c r="E31" s="81"/>
      <c r="F31" s="81"/>
      <c r="G31" s="81"/>
      <c r="H31" s="81"/>
      <c r="I31" s="81"/>
      <c r="J31" s="111"/>
      <c r="K31" s="111"/>
      <c r="L31" s="81"/>
      <c r="M31" s="81"/>
      <c r="N31" s="81"/>
      <c r="O31" s="81"/>
      <c r="P31" s="81"/>
      <c r="Q31" s="81"/>
      <c r="R31" s="81"/>
      <c r="S31" s="81"/>
      <c r="T31" s="81"/>
    </row>
    <row r="32" spans="1:20" x14ac:dyDescent="0.45">
      <c r="A32" s="81">
        <v>3</v>
      </c>
      <c r="B32" s="81" t="s">
        <v>1354</v>
      </c>
      <c r="C32" s="81"/>
      <c r="D32" s="81"/>
      <c r="E32" s="81"/>
      <c r="F32" s="81"/>
      <c r="G32" s="81"/>
      <c r="H32" s="81"/>
      <c r="I32" s="81"/>
      <c r="J32" s="81"/>
      <c r="K32" s="81"/>
      <c r="L32" s="81"/>
      <c r="M32" s="81"/>
      <c r="N32" s="81"/>
      <c r="O32" s="81"/>
      <c r="P32" s="81"/>
      <c r="Q32" s="81"/>
      <c r="R32" s="81"/>
      <c r="S32" s="81"/>
      <c r="T32" s="81"/>
    </row>
    <row r="33" spans="1:20" x14ac:dyDescent="0.45">
      <c r="A33" s="81">
        <v>4</v>
      </c>
      <c r="B33" s="81" t="s">
        <v>1355</v>
      </c>
      <c r="C33" s="81"/>
      <c r="D33" s="81"/>
      <c r="E33" s="81"/>
      <c r="F33" s="81"/>
      <c r="G33" s="81"/>
      <c r="H33" s="81"/>
      <c r="I33" s="81"/>
      <c r="J33" s="81"/>
      <c r="K33" s="81"/>
      <c r="L33" s="81"/>
      <c r="M33" s="81"/>
      <c r="N33" s="81"/>
      <c r="O33" s="81"/>
      <c r="P33" s="81"/>
      <c r="Q33" s="81"/>
      <c r="R33" s="81"/>
      <c r="S33" s="81"/>
      <c r="T33" s="81"/>
    </row>
    <row r="34" spans="1:20" x14ac:dyDescent="0.45">
      <c r="A34" s="112">
        <v>6</v>
      </c>
      <c r="B34" s="113" t="s">
        <v>1356</v>
      </c>
      <c r="C34" s="113"/>
      <c r="D34" s="81"/>
      <c r="E34" s="81"/>
      <c r="F34" s="81"/>
      <c r="G34" s="81"/>
      <c r="H34" s="81"/>
      <c r="I34" s="81"/>
      <c r="J34" s="81"/>
      <c r="K34" s="81"/>
      <c r="L34" s="81"/>
      <c r="M34" s="81"/>
      <c r="N34" s="81"/>
      <c r="O34" s="81"/>
      <c r="P34" s="81"/>
      <c r="Q34" s="81"/>
      <c r="R34" s="81"/>
      <c r="S34" s="81"/>
      <c r="T34" s="81"/>
    </row>
    <row r="35" spans="1:20" x14ac:dyDescent="0.45">
      <c r="A35" s="81">
        <v>7</v>
      </c>
      <c r="B35" s="81" t="s">
        <v>1357</v>
      </c>
      <c r="C35" s="81"/>
      <c r="D35" s="81"/>
      <c r="E35" s="81"/>
      <c r="F35" s="81"/>
      <c r="G35" s="81"/>
      <c r="H35" s="81"/>
      <c r="I35" s="81"/>
      <c r="J35" s="81"/>
      <c r="K35" s="81"/>
      <c r="L35" s="81"/>
      <c r="M35" s="81"/>
      <c r="N35" s="81"/>
      <c r="O35" s="81"/>
      <c r="P35" s="81"/>
      <c r="Q35" s="81"/>
      <c r="R35" s="81"/>
      <c r="S35" s="81"/>
      <c r="T35" s="81"/>
    </row>
    <row r="36" spans="1:20" x14ac:dyDescent="0.45">
      <c r="A36" s="81">
        <v>8</v>
      </c>
      <c r="B36" s="113" t="s">
        <v>1358</v>
      </c>
      <c r="C36" s="113"/>
      <c r="D36" s="81"/>
      <c r="E36" s="81"/>
      <c r="F36" s="81"/>
      <c r="G36" s="81"/>
      <c r="H36" s="81"/>
      <c r="I36" s="81"/>
      <c r="J36" s="81"/>
      <c r="K36" s="81"/>
      <c r="L36" s="81"/>
      <c r="M36" s="81"/>
      <c r="N36" s="81"/>
      <c r="O36" s="81"/>
      <c r="P36" s="81"/>
      <c r="Q36" s="81"/>
      <c r="R36" s="81"/>
      <c r="S36" s="81"/>
      <c r="T36" s="81"/>
    </row>
    <row r="37" spans="1:20" x14ac:dyDescent="0.45">
      <c r="A37" s="81"/>
      <c r="B37" s="81"/>
      <c r="C37" s="81"/>
      <c r="D37" s="81"/>
      <c r="E37" s="81"/>
      <c r="F37" s="81"/>
      <c r="G37" s="81"/>
      <c r="H37" s="81"/>
      <c r="I37" s="81"/>
      <c r="J37" s="81"/>
      <c r="K37" s="81"/>
      <c r="L37" s="81"/>
      <c r="M37" s="81"/>
      <c r="N37" s="81"/>
      <c r="O37" s="81"/>
      <c r="P37" s="81"/>
      <c r="Q37" s="81"/>
      <c r="R37" s="81"/>
      <c r="S37" s="81"/>
      <c r="T37" s="81"/>
    </row>
    <row r="38" spans="1:20" x14ac:dyDescent="0.45">
      <c r="A38" s="81"/>
      <c r="B38" s="81"/>
      <c r="C38" s="81"/>
      <c r="D38" s="345"/>
      <c r="E38" s="81"/>
      <c r="F38" s="81"/>
      <c r="G38" s="81"/>
      <c r="H38" s="81"/>
      <c r="I38" s="81"/>
      <c r="J38" s="81"/>
      <c r="K38" s="81"/>
      <c r="L38" s="81"/>
      <c r="M38" s="81"/>
      <c r="N38" s="81"/>
      <c r="O38" s="81"/>
      <c r="P38" s="81"/>
      <c r="Q38" s="81"/>
      <c r="R38" s="81"/>
      <c r="S38" s="81"/>
      <c r="T38" s="81"/>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24C87-7D03-4179-B687-7C86C54CF4AF}">
  <sheetPr codeName="Blad16">
    <tabColor theme="9" tint="0.39997558519241921"/>
  </sheetPr>
  <dimension ref="A1:R424"/>
  <sheetViews>
    <sheetView workbookViewId="0">
      <pane xSplit="2" ySplit="1" topLeftCell="C328" activePane="bottomRight" state="frozen"/>
      <selection pane="topRight" activeCell="C1" sqref="C1"/>
      <selection pane="bottomLeft" activeCell="A2" sqref="A2"/>
      <selection pane="bottomRight" activeCell="B230" sqref="B230"/>
    </sheetView>
  </sheetViews>
  <sheetFormatPr defaultRowHeight="14.25" x14ac:dyDescent="0.45"/>
  <cols>
    <col min="1" max="1" width="30" style="31" customWidth="1"/>
    <col min="2" max="2" width="50" style="31" customWidth="1"/>
    <col min="3" max="3" width="9.265625" bestFit="1" customWidth="1"/>
    <col min="5" max="5" width="10" bestFit="1" customWidth="1"/>
    <col min="6" max="10" width="9.86328125" bestFit="1" customWidth="1"/>
    <col min="12" max="12" width="9.265625" bestFit="1" customWidth="1"/>
  </cols>
  <sheetData>
    <row r="1" spans="1:18" ht="57" x14ac:dyDescent="0.45">
      <c r="A1" s="48" t="s">
        <v>724</v>
      </c>
      <c r="B1" s="48" t="s">
        <v>2</v>
      </c>
      <c r="C1" t="s">
        <v>1210</v>
      </c>
      <c r="E1" s="24" t="s">
        <v>1237</v>
      </c>
      <c r="F1" s="24" t="s">
        <v>1371</v>
      </c>
      <c r="G1" s="24" t="s">
        <v>1372</v>
      </c>
      <c r="H1" s="24" t="s">
        <v>1373</v>
      </c>
      <c r="I1" s="24" t="s">
        <v>1374</v>
      </c>
      <c r="J1" s="24" t="s">
        <v>1375</v>
      </c>
      <c r="K1" s="24"/>
      <c r="L1" t="s">
        <v>1268</v>
      </c>
      <c r="N1" s="141" t="s">
        <v>1376</v>
      </c>
      <c r="O1" s="141" t="s">
        <v>1377</v>
      </c>
      <c r="P1" s="141" t="s">
        <v>1378</v>
      </c>
      <c r="Q1" s="141" t="s">
        <v>1379</v>
      </c>
      <c r="R1" s="141" t="s">
        <v>35</v>
      </c>
    </row>
    <row r="2" spans="1:18" x14ac:dyDescent="0.45">
      <c r="A2" s="31" t="s">
        <v>15</v>
      </c>
      <c r="B2" s="31" t="s">
        <v>24</v>
      </c>
      <c r="C2" t="str">
        <f>VLOOKUP($B2,Totalt!$B$1:$BU$497,MATCH("Kvalitetsgranskad:",Totalt!$B$1:$BU$1,0),FALSE)</f>
        <v>Ja</v>
      </c>
      <c r="E2" t="str">
        <f>VLOOKUP($B2,Miljö!$B$1:$AG$479,MATCH(E$1,Miljö!$B$1:$AK$1,0),FALSE)</f>
        <v>Ja</v>
      </c>
      <c r="F2" t="str">
        <f>VLOOKUP($B2,Miljö!$B$1:$J$479,MATCH("Typ av ursprungsspecificerad el   (Om inget värde anges används Nordisk residualmix, se inforuta) ()",Miljö!$B$1:$J$1,0),FALSE)</f>
        <v>'Kärnkraft'</v>
      </c>
      <c r="G2">
        <f>VLOOKUP($B2,Miljö!$B$1:$J$479,MATCH("Primärenergifaktor ()",Miljö!$B$1:$J$1,0),FALSE)</f>
        <v>3.1</v>
      </c>
      <c r="H2">
        <f>VLOOKUP($B2,Miljö!$B$1:$J$479,MATCH("Koldioxidekvivalenter energiomvandling (g/kwh)",Miljö!$B$1:$J$1,0),FALSE)</f>
        <v>0</v>
      </c>
      <c r="I2">
        <f>VLOOKUP($B2,Miljö!$B$1:$J$479,MATCH("Fossilandel för ursprungspecificerad el ()",Miljö!$B$1:$J$1,0),FALSE)</f>
        <v>0</v>
      </c>
      <c r="J2">
        <f>VLOOKUP($B2,Miljö!$B$1:$J$479,MATCH("Kärnkraftsandel för ursprungsspecificerad el ()",Miljö!$B$1:$J$1,0),FALSE)</f>
        <v>1</v>
      </c>
      <c r="L2">
        <f>VLOOKUP($B2,Totalt!$B$1:$BU$497,MATCH("total el",Totalt!$B$1:$BU$1,0),FALSE)</f>
        <v>2.23</v>
      </c>
      <c r="N2">
        <f>IF(ISERROR($L2*G2),"",$L2*G2)</f>
        <v>6.9130000000000003</v>
      </c>
      <c r="O2">
        <f>IF(ISERROR($L2*H2),"",$L2*H2)</f>
        <v>0</v>
      </c>
      <c r="P2">
        <f>IF(ISERROR($L2*I2),"",$L2*I2)</f>
        <v>0</v>
      </c>
      <c r="Q2">
        <f>IF(ISERROR($L2*J2),"",$L2*J2)</f>
        <v>2.23</v>
      </c>
    </row>
    <row r="3" spans="1:18" x14ac:dyDescent="0.45">
      <c r="A3" s="31" t="s">
        <v>15</v>
      </c>
      <c r="B3" s="31" t="s">
        <v>16</v>
      </c>
      <c r="C3" t="str">
        <f>VLOOKUP($B3,Totalt!$B$1:$BU$497,MATCH("Kvalitetsgranskad:",Totalt!$B$1:$BU$1,0),FALSE)</f>
        <v>Ja</v>
      </c>
      <c r="E3" t="str">
        <f>VLOOKUP($B3,Miljö!$B$1:$AG$479,MATCH(E$1,Miljö!$B$1:$AK$1,0),FALSE)</f>
        <v>Ja</v>
      </c>
      <c r="F3" t="str">
        <f>VLOOKUP($B3,Miljö!$B$1:$J$479,MATCH("Typ av ursprungsspecificerad el   (Om inget värde anges används Nordisk residualmix, se inforuta) ()",Miljö!$B$1:$J$1,0),FALSE)</f>
        <v>'Kärnkraft'</v>
      </c>
      <c r="G3">
        <f>VLOOKUP($B3,Miljö!$B$1:$J$479,MATCH("Primärenergifaktor ()",Miljö!$B$1:$J$1,0),FALSE)</f>
        <v>3.1</v>
      </c>
      <c r="H3">
        <f>VLOOKUP($B3,Miljö!$B$1:$J$479,MATCH("Koldioxidekvivalenter energiomvandling (g/kwh)",Miljö!$B$1:$J$1,0),FALSE)</f>
        <v>0</v>
      </c>
      <c r="I3">
        <f>VLOOKUP($B3,Miljö!$B$1:$J$479,MATCH("Fossilandel för ursprungspecificerad el ()",Miljö!$B$1:$J$1,0),FALSE)</f>
        <v>0</v>
      </c>
      <c r="J3">
        <f>VLOOKUP($B3,Miljö!$B$1:$J$479,MATCH("Kärnkraftsandel för ursprungsspecificerad el ()",Miljö!$B$1:$J$1,0),FALSE)</f>
        <v>1</v>
      </c>
      <c r="L3">
        <f>VLOOKUP($B3,Totalt!$B$1:$BU$497,MATCH("total el",Totalt!$B$1:$BU$1,0),FALSE)</f>
        <v>0.14299999999999999</v>
      </c>
      <c r="N3">
        <f t="shared" ref="N3:N66" si="0">IF(ISERROR($L3*G3),"",$L3*G3)</f>
        <v>0.44329999999999997</v>
      </c>
      <c r="O3">
        <f t="shared" ref="O3:O66" si="1">IF(ISERROR($L3*H3),"",$L3*H3)</f>
        <v>0</v>
      </c>
      <c r="P3">
        <f t="shared" ref="P3:P66" si="2">IF(ISERROR($L3*I3),"",$L3*I3)</f>
        <v>0</v>
      </c>
      <c r="Q3">
        <f t="shared" ref="Q3:Q66" si="3">IF(ISERROR($L3*J3),"",$L3*J3)</f>
        <v>0.14299999999999999</v>
      </c>
    </row>
    <row r="4" spans="1:18" x14ac:dyDescent="0.45">
      <c r="A4" s="31" t="s">
        <v>15</v>
      </c>
      <c r="B4" s="31" t="s">
        <v>18</v>
      </c>
      <c r="C4" t="str">
        <f>VLOOKUP($B4,Totalt!$B$1:$BU$497,MATCH("Kvalitetsgranskad:",Totalt!$B$1:$BU$1,0),FALSE)</f>
        <v>Ja</v>
      </c>
      <c r="E4" t="str">
        <f>VLOOKUP($B4,Miljö!$B$1:$AG$479,MATCH(E$1,Miljö!$B$1:$AK$1,0),FALSE)</f>
        <v>Ja</v>
      </c>
      <c r="F4" t="str">
        <f>VLOOKUP($B4,Miljö!$B$1:$J$479,MATCH("Typ av ursprungsspecificerad el   (Om inget värde anges används Nordisk residualmix, se inforuta) ()",Miljö!$B$1:$J$1,0),FALSE)</f>
        <v>'Kärnkraft'</v>
      </c>
      <c r="G4">
        <f>VLOOKUP($B4,Miljö!$B$1:$J$479,MATCH("Primärenergifaktor ()",Miljö!$B$1:$J$1,0),FALSE)</f>
        <v>3.1</v>
      </c>
      <c r="H4">
        <f>VLOOKUP($B4,Miljö!$B$1:$J$479,MATCH("Koldioxidekvivalenter energiomvandling (g/kwh)",Miljö!$B$1:$J$1,0),FALSE)</f>
        <v>0</v>
      </c>
      <c r="I4">
        <f>VLOOKUP($B4,Miljö!$B$1:$J$479,MATCH("Fossilandel för ursprungspecificerad el ()",Miljö!$B$1:$J$1,0),FALSE)</f>
        <v>0</v>
      </c>
      <c r="J4">
        <f>VLOOKUP($B4,Miljö!$B$1:$J$479,MATCH("Kärnkraftsandel för ursprungsspecificerad el ()",Miljö!$B$1:$J$1,0),FALSE)</f>
        <v>1</v>
      </c>
      <c r="L4">
        <f>VLOOKUP($B4,Totalt!$B$1:$BU$497,MATCH("total el",Totalt!$B$1:$BU$1,0),FALSE)</f>
        <v>0.59599999999999997</v>
      </c>
      <c r="N4">
        <f t="shared" si="0"/>
        <v>1.8475999999999999</v>
      </c>
      <c r="O4">
        <f t="shared" si="1"/>
        <v>0</v>
      </c>
      <c r="P4">
        <f t="shared" si="2"/>
        <v>0</v>
      </c>
      <c r="Q4">
        <f t="shared" si="3"/>
        <v>0.59599999999999997</v>
      </c>
    </row>
    <row r="5" spans="1:18" x14ac:dyDescent="0.45">
      <c r="A5" s="31" t="s">
        <v>15</v>
      </c>
      <c r="B5" s="31" t="s">
        <v>28</v>
      </c>
      <c r="C5" t="str">
        <f>VLOOKUP($B5,Totalt!$B$1:$BU$497,MATCH("Kvalitetsgranskad:",Totalt!$B$1:$BU$1,0),FALSE)</f>
        <v>Ja</v>
      </c>
      <c r="E5" t="str">
        <f>VLOOKUP($B5,Miljö!$B$1:$AG$479,MATCH(E$1,Miljö!$B$1:$AK$1,0),FALSE)</f>
        <v>Ja</v>
      </c>
      <c r="F5" t="str">
        <f>VLOOKUP($B5,Miljö!$B$1:$J$479,MATCH("Typ av ursprungsspecificerad el   (Om inget värde anges används Nordisk residualmix, se inforuta) ()",Miljö!$B$1:$J$1,0),FALSE)</f>
        <v>'Kärnkraft'</v>
      </c>
      <c r="G5">
        <f>VLOOKUP($B5,Miljö!$B$1:$J$479,MATCH("Primärenergifaktor ()",Miljö!$B$1:$J$1,0),FALSE)</f>
        <v>3.1</v>
      </c>
      <c r="H5">
        <f>VLOOKUP($B5,Miljö!$B$1:$J$479,MATCH("Koldioxidekvivalenter energiomvandling (g/kwh)",Miljö!$B$1:$J$1,0),FALSE)</f>
        <v>0</v>
      </c>
      <c r="I5">
        <f>VLOOKUP($B5,Miljö!$B$1:$J$479,MATCH("Fossilandel för ursprungspecificerad el ()",Miljö!$B$1:$J$1,0),FALSE)</f>
        <v>0</v>
      </c>
      <c r="J5">
        <f>VLOOKUP($B5,Miljö!$B$1:$J$479,MATCH("Kärnkraftsandel för ursprungsspecificerad el ()",Miljö!$B$1:$J$1,0),FALSE)</f>
        <v>1</v>
      </c>
      <c r="L5">
        <f>VLOOKUP($B5,Totalt!$B$1:$BU$497,MATCH("total el",Totalt!$B$1:$BU$1,0),FALSE)</f>
        <v>0.23599999999999999</v>
      </c>
      <c r="N5">
        <f t="shared" si="0"/>
        <v>0.73160000000000003</v>
      </c>
      <c r="O5">
        <f t="shared" si="1"/>
        <v>0</v>
      </c>
      <c r="P5">
        <f t="shared" si="2"/>
        <v>0</v>
      </c>
      <c r="Q5">
        <f t="shared" si="3"/>
        <v>0.23599999999999999</v>
      </c>
    </row>
    <row r="6" spans="1:18" x14ac:dyDescent="0.45">
      <c r="A6" s="31" t="s">
        <v>15</v>
      </c>
      <c r="B6" s="31" t="s">
        <v>22</v>
      </c>
      <c r="C6" t="str">
        <f>VLOOKUP($B6,Totalt!$B$1:$BU$497,MATCH("Kvalitetsgranskad:",Totalt!$B$1:$BU$1,0),FALSE)</f>
        <v>Ja</v>
      </c>
      <c r="E6" t="str">
        <f>VLOOKUP($B6,Miljö!$B$1:$AG$479,MATCH(E$1,Miljö!$B$1:$AK$1,0),FALSE)</f>
        <v>Ja</v>
      </c>
      <c r="F6" t="str">
        <f>VLOOKUP($B6,Miljö!$B$1:$J$479,MATCH("Typ av ursprungsspecificerad el   (Om inget värde anges används Nordisk residualmix, se inforuta) ()",Miljö!$B$1:$J$1,0),FALSE)</f>
        <v>'Kärnkraft'</v>
      </c>
      <c r="G6">
        <f>VLOOKUP($B6,Miljö!$B$1:$J$479,MATCH("Primärenergifaktor ()",Miljö!$B$1:$J$1,0),FALSE)</f>
        <v>3.1</v>
      </c>
      <c r="H6">
        <f>VLOOKUP($B6,Miljö!$B$1:$J$479,MATCH("Koldioxidekvivalenter energiomvandling (g/kwh)",Miljö!$B$1:$J$1,0),FALSE)</f>
        <v>0</v>
      </c>
      <c r="I6">
        <f>VLOOKUP($B6,Miljö!$B$1:$J$479,MATCH("Fossilandel för ursprungspecificerad el ()",Miljö!$B$1:$J$1,0),FALSE)</f>
        <v>0</v>
      </c>
      <c r="J6">
        <f>VLOOKUP($B6,Miljö!$B$1:$J$479,MATCH("Kärnkraftsandel för ursprungsspecificerad el ()",Miljö!$B$1:$J$1,0),FALSE)</f>
        <v>1</v>
      </c>
      <c r="L6">
        <f>VLOOKUP($B6,Totalt!$B$1:$BU$497,MATCH("total el",Totalt!$B$1:$BU$1,0),FALSE)</f>
        <v>0.55600000000000005</v>
      </c>
      <c r="N6">
        <f t="shared" si="0"/>
        <v>1.7236000000000002</v>
      </c>
      <c r="O6">
        <f t="shared" si="1"/>
        <v>0</v>
      </c>
      <c r="P6">
        <f t="shared" si="2"/>
        <v>0</v>
      </c>
      <c r="Q6">
        <f t="shared" si="3"/>
        <v>0.55600000000000005</v>
      </c>
    </row>
    <row r="7" spans="1:18" x14ac:dyDescent="0.45">
      <c r="A7" s="31" t="s">
        <v>15</v>
      </c>
      <c r="B7" s="31" t="s">
        <v>30</v>
      </c>
      <c r="C7" t="str">
        <f>VLOOKUP($B7,Totalt!$B$1:$BU$497,MATCH("Kvalitetsgranskad:",Totalt!$B$1:$BU$1,0),FALSE)</f>
        <v>Ja</v>
      </c>
      <c r="E7" t="str">
        <f>VLOOKUP($B7,Miljö!$B$1:$AG$479,MATCH(E$1,Miljö!$B$1:$AK$1,0),FALSE)</f>
        <v>Ja</v>
      </c>
      <c r="F7" t="str">
        <f>VLOOKUP($B7,Miljö!$B$1:$J$479,MATCH("Typ av ursprungsspecificerad el   (Om inget värde anges används Nordisk residualmix, se inforuta) ()",Miljö!$B$1:$J$1,0),FALSE)</f>
        <v>'Kärnkraft'</v>
      </c>
      <c r="G7">
        <f>VLOOKUP($B7,Miljö!$B$1:$J$479,MATCH("Primärenergifaktor ()",Miljö!$B$1:$J$1,0),FALSE)</f>
        <v>3.1</v>
      </c>
      <c r="H7">
        <f>VLOOKUP($B7,Miljö!$B$1:$J$479,MATCH("Koldioxidekvivalenter energiomvandling (g/kwh)",Miljö!$B$1:$J$1,0),FALSE)</f>
        <v>0</v>
      </c>
      <c r="I7">
        <f>VLOOKUP($B7,Miljö!$B$1:$J$479,MATCH("Fossilandel för ursprungspecificerad el ()",Miljö!$B$1:$J$1,0),FALSE)</f>
        <v>0</v>
      </c>
      <c r="J7">
        <f>VLOOKUP($B7,Miljö!$B$1:$J$479,MATCH("Kärnkraftsandel för ursprungsspecificerad el ()",Miljö!$B$1:$J$1,0),FALSE)</f>
        <v>1</v>
      </c>
      <c r="L7">
        <f>VLOOKUP($B7,Totalt!$B$1:$BU$497,MATCH("total el",Totalt!$B$1:$BU$1,0),FALSE)</f>
        <v>0.93200000000000005</v>
      </c>
      <c r="N7">
        <f t="shared" si="0"/>
        <v>2.8892000000000002</v>
      </c>
      <c r="O7">
        <f t="shared" si="1"/>
        <v>0</v>
      </c>
      <c r="P7">
        <f t="shared" si="2"/>
        <v>0</v>
      </c>
      <c r="Q7">
        <f t="shared" si="3"/>
        <v>0.93200000000000005</v>
      </c>
    </row>
    <row r="8" spans="1:18" x14ac:dyDescent="0.45">
      <c r="A8" s="31" t="s">
        <v>15</v>
      </c>
      <c r="B8" s="31" t="s">
        <v>26</v>
      </c>
      <c r="C8" t="str">
        <f>VLOOKUP($B8,Totalt!$B$1:$BU$497,MATCH("Kvalitetsgranskad:",Totalt!$B$1:$BU$1,0),FALSE)</f>
        <v>Ja</v>
      </c>
      <c r="E8" t="str">
        <f>VLOOKUP($B8,Miljö!$B$1:$AG$479,MATCH(E$1,Miljö!$B$1:$AK$1,0),FALSE)</f>
        <v>Ja</v>
      </c>
      <c r="F8" t="str">
        <f>VLOOKUP($B8,Miljö!$B$1:$J$479,MATCH("Typ av ursprungsspecificerad el   (Om inget värde anges används Nordisk residualmix, se inforuta) ()",Miljö!$B$1:$J$1,0),FALSE)</f>
        <v>'Kärnkraft'</v>
      </c>
      <c r="G8">
        <f>VLOOKUP($B8,Miljö!$B$1:$J$479,MATCH("Primärenergifaktor ()",Miljö!$B$1:$J$1,0),FALSE)</f>
        <v>3.1</v>
      </c>
      <c r="H8">
        <f>VLOOKUP($B8,Miljö!$B$1:$J$479,MATCH("Koldioxidekvivalenter energiomvandling (g/kwh)",Miljö!$B$1:$J$1,0),FALSE)</f>
        <v>0</v>
      </c>
      <c r="I8">
        <f>VLOOKUP($B8,Miljö!$B$1:$J$479,MATCH("Fossilandel för ursprungspecificerad el ()",Miljö!$B$1:$J$1,0),FALSE)</f>
        <v>0</v>
      </c>
      <c r="J8">
        <f>VLOOKUP($B8,Miljö!$B$1:$J$479,MATCH("Kärnkraftsandel för ursprungsspecificerad el ()",Miljö!$B$1:$J$1,0),FALSE)</f>
        <v>1</v>
      </c>
      <c r="L8">
        <f>VLOOKUP($B8,Totalt!$B$1:$BU$497,MATCH("total el",Totalt!$B$1:$BU$1,0),FALSE)</f>
        <v>0.95199999999999996</v>
      </c>
      <c r="N8">
        <f t="shared" si="0"/>
        <v>2.9512</v>
      </c>
      <c r="O8">
        <f t="shared" si="1"/>
        <v>0</v>
      </c>
      <c r="P8">
        <f t="shared" si="2"/>
        <v>0</v>
      </c>
      <c r="Q8">
        <f t="shared" si="3"/>
        <v>0.95199999999999996</v>
      </c>
    </row>
    <row r="9" spans="1:18" x14ac:dyDescent="0.45">
      <c r="A9" s="31" t="s">
        <v>15</v>
      </c>
      <c r="B9" s="31" t="s">
        <v>20</v>
      </c>
      <c r="C9" t="str">
        <f>VLOOKUP($B9,Totalt!$B$1:$BU$497,MATCH("Kvalitetsgranskad:",Totalt!$B$1:$BU$1,0),FALSE)</f>
        <v>Ja</v>
      </c>
      <c r="E9" t="str">
        <f>VLOOKUP($B9,Miljö!$B$1:$AG$479,MATCH(E$1,Miljö!$B$1:$AK$1,0),FALSE)</f>
        <v>Ja</v>
      </c>
      <c r="F9" t="str">
        <f>VLOOKUP($B9,Miljö!$B$1:$J$479,MATCH("Typ av ursprungsspecificerad el   (Om inget värde anges används Nordisk residualmix, se inforuta) ()",Miljö!$B$1:$J$1,0),FALSE)</f>
        <v>'Kärnkraft'</v>
      </c>
      <c r="G9">
        <f>VLOOKUP($B9,Miljö!$B$1:$J$479,MATCH("Primärenergifaktor ()",Miljö!$B$1:$J$1,0),FALSE)</f>
        <v>3.1</v>
      </c>
      <c r="H9">
        <f>VLOOKUP($B9,Miljö!$B$1:$J$479,MATCH("Koldioxidekvivalenter energiomvandling (g/kwh)",Miljö!$B$1:$J$1,0),FALSE)</f>
        <v>0</v>
      </c>
      <c r="I9">
        <f>VLOOKUP($B9,Miljö!$B$1:$J$479,MATCH("Fossilandel för ursprungspecificerad el ()",Miljö!$B$1:$J$1,0),FALSE)</f>
        <v>0</v>
      </c>
      <c r="J9">
        <f>VLOOKUP($B9,Miljö!$B$1:$J$479,MATCH("Kärnkraftsandel för ursprungsspecificerad el ()",Miljö!$B$1:$J$1,0),FALSE)</f>
        <v>1</v>
      </c>
      <c r="L9">
        <f>VLOOKUP($B9,Totalt!$B$1:$BU$497,MATCH("total el",Totalt!$B$1:$BU$1,0),FALSE)</f>
        <v>4</v>
      </c>
      <c r="N9">
        <f t="shared" si="0"/>
        <v>12.4</v>
      </c>
      <c r="O9">
        <f t="shared" si="1"/>
        <v>0</v>
      </c>
      <c r="P9">
        <f t="shared" si="2"/>
        <v>0</v>
      </c>
      <c r="Q9">
        <f t="shared" si="3"/>
        <v>4</v>
      </c>
    </row>
    <row r="10" spans="1:18" x14ac:dyDescent="0.45">
      <c r="A10" s="31" t="s">
        <v>15</v>
      </c>
      <c r="B10" s="31" t="s">
        <v>32</v>
      </c>
      <c r="C10" t="str">
        <f>VLOOKUP($B10,Totalt!$B$1:$BU$497,MATCH("Kvalitetsgranskad:",Totalt!$B$1:$BU$1,0),FALSE)</f>
        <v>Ja</v>
      </c>
      <c r="E10" t="str">
        <f>VLOOKUP($B10,Miljö!$B$1:$AG$479,MATCH(E$1,Miljö!$B$1:$AK$1,0),FALSE)</f>
        <v>Ja</v>
      </c>
      <c r="F10" t="str">
        <f>VLOOKUP($B10,Miljö!$B$1:$J$479,MATCH("Typ av ursprungsspecificerad el   (Om inget värde anges används Nordisk residualmix, se inforuta) ()",Miljö!$B$1:$J$1,0),FALSE)</f>
        <v>'Kärnkraft'</v>
      </c>
      <c r="G10">
        <f>VLOOKUP($B10,Miljö!$B$1:$J$479,MATCH("Primärenergifaktor ()",Miljö!$B$1:$J$1,0),FALSE)</f>
        <v>3.1</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1</v>
      </c>
      <c r="L10">
        <f>VLOOKUP($B10,Totalt!$B$1:$BU$497,MATCH("total el",Totalt!$B$1:$BU$1,0),FALSE)</f>
        <v>1.7</v>
      </c>
      <c r="N10">
        <f t="shared" si="0"/>
        <v>5.27</v>
      </c>
      <c r="O10">
        <f t="shared" si="1"/>
        <v>0</v>
      </c>
      <c r="P10">
        <f t="shared" si="2"/>
        <v>0</v>
      </c>
      <c r="Q10">
        <f t="shared" si="3"/>
        <v>1.7</v>
      </c>
    </row>
    <row r="11" spans="1:18" x14ac:dyDescent="0.45">
      <c r="A11" s="31" t="s">
        <v>672</v>
      </c>
      <c r="B11" s="31" t="s">
        <v>681</v>
      </c>
      <c r="C11" t="str">
        <f>VLOOKUP($B11,Totalt!$B$1:$BU$497,MATCH("Kvalitetsgranskad:",Totalt!$B$1:$BU$1,0),FALSE)</f>
        <v>Ja</v>
      </c>
      <c r="E11" t="str">
        <f>VLOOKUP($B11,Miljö!$B$1:$AG$479,MATCH(E$1,Miljö!$B$1:$AK$1,0),FALSE)</f>
        <v>Ja</v>
      </c>
      <c r="F11" t="str">
        <f>VLOOKUP($B11,Miljö!$B$1:$J$479,MATCH("Typ av ursprungsspecificerad el   (Om inget värde anges används Nordisk residualmix, se inforuta) ()",Miljö!$B$1:$J$1,0),FALSE)</f>
        <v>'Kärnkraft'</v>
      </c>
      <c r="G11">
        <f>VLOOKUP($B11,Miljö!$B$1:$J$479,MATCH("Primärenergifaktor ()",Miljö!$B$1:$J$1,0),FALSE)</f>
        <v>3.1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1</v>
      </c>
      <c r="L11">
        <f>VLOOKUP($B11,Totalt!$B$1:$BU$497,MATCH("total el",Totalt!$B$1:$BU$1,0),FALSE)</f>
        <v>0.14699999999999999</v>
      </c>
      <c r="N11">
        <f t="shared" si="0"/>
        <v>0.45569999999999999</v>
      </c>
      <c r="O11">
        <f t="shared" si="1"/>
        <v>0</v>
      </c>
      <c r="P11">
        <f t="shared" si="2"/>
        <v>0</v>
      </c>
      <c r="Q11">
        <f t="shared" si="3"/>
        <v>0.14699999999999999</v>
      </c>
    </row>
    <row r="12" spans="1:18" x14ac:dyDescent="0.45">
      <c r="A12" s="31" t="s">
        <v>672</v>
      </c>
      <c r="B12" s="31" t="s">
        <v>679</v>
      </c>
      <c r="C12" t="str">
        <f>VLOOKUP($B12,Totalt!$B$1:$BU$497,MATCH("Kvalitetsgranskad:",Totalt!$B$1:$BU$1,0),FALSE)</f>
        <v>Ja</v>
      </c>
      <c r="E12" t="str">
        <f>VLOOKUP($B12,Miljö!$B$1:$AG$479,MATCH(E$1,Miljö!$B$1:$AK$1,0),FALSE)</f>
        <v>Ja</v>
      </c>
      <c r="F12" t="str">
        <f>VLOOKUP($B12,Miljö!$B$1:$J$479,MATCH("Typ av ursprungsspecificerad el   (Om inget värde anges används Nordisk residualmix, se inforuta) ()",Miljö!$B$1:$J$1,0),FALSE)</f>
        <v>'Kärnkraft'</v>
      </c>
      <c r="G12">
        <f>VLOOKUP($B12,Miljö!$B$1:$J$479,MATCH("Primärenergifaktor ()",Miljö!$B$1:$J$1,0),FALSE)</f>
        <v>3.1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1</v>
      </c>
      <c r="L12">
        <f>VLOOKUP($B12,Totalt!$B$1:$BU$497,MATCH("total el",Totalt!$B$1:$BU$1,0),FALSE)</f>
        <v>9.0999999999999998E-2</v>
      </c>
      <c r="N12">
        <f t="shared" si="0"/>
        <v>0.28210000000000002</v>
      </c>
      <c r="O12">
        <f t="shared" si="1"/>
        <v>0</v>
      </c>
      <c r="P12">
        <f t="shared" si="2"/>
        <v>0</v>
      </c>
      <c r="Q12">
        <f t="shared" si="3"/>
        <v>9.0999999999999998E-2</v>
      </c>
    </row>
    <row r="13" spans="1:18" x14ac:dyDescent="0.45">
      <c r="A13" s="31" t="s">
        <v>672</v>
      </c>
      <c r="B13" s="31" t="s">
        <v>678</v>
      </c>
      <c r="C13" t="str">
        <f>VLOOKUP($B13,Totalt!$B$1:$BU$497,MATCH("Kvalitetsgranskad:",Totalt!$B$1:$BU$1,0),FALSE)</f>
        <v>Ja</v>
      </c>
      <c r="E13" t="str">
        <f>VLOOKUP($B13,Miljö!$B$1:$AG$479,MATCH(E$1,Miljö!$B$1:$AK$1,0),FALSE)</f>
        <v>Ja</v>
      </c>
      <c r="F13" t="str">
        <f>VLOOKUP($B13,Miljö!$B$1:$J$479,MATCH("Typ av ursprungsspecificerad el   (Om inget värde anges används Nordisk residualmix, se inforuta) ()",Miljö!$B$1:$J$1,0),FALSE)</f>
        <v>'Kärnkraft'</v>
      </c>
      <c r="G13">
        <f>VLOOKUP($B13,Miljö!$B$1:$J$479,MATCH("Primärenergifaktor ()",Miljö!$B$1:$J$1,0),FALSE)</f>
        <v>3.1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1</v>
      </c>
      <c r="L13">
        <f>VLOOKUP($B13,Totalt!$B$1:$BU$497,MATCH("total el",Totalt!$B$1:$BU$1,0),FALSE)</f>
        <v>0.13100000000000001</v>
      </c>
      <c r="N13">
        <f t="shared" si="0"/>
        <v>0.40610000000000002</v>
      </c>
      <c r="O13">
        <f t="shared" si="1"/>
        <v>0</v>
      </c>
      <c r="P13">
        <f t="shared" si="2"/>
        <v>0</v>
      </c>
      <c r="Q13">
        <f t="shared" si="3"/>
        <v>0.13100000000000001</v>
      </c>
    </row>
    <row r="14" spans="1:18" x14ac:dyDescent="0.45">
      <c r="A14" s="31" t="s">
        <v>672</v>
      </c>
      <c r="B14" s="31" t="s">
        <v>677</v>
      </c>
      <c r="C14" t="str">
        <f>VLOOKUP($B14,Totalt!$B$1:$BU$497,MATCH("Kvalitetsgranskad:",Totalt!$B$1:$BU$1,0),FALSE)</f>
        <v>Ja</v>
      </c>
      <c r="E14" t="str">
        <f>VLOOKUP($B14,Miljö!$B$1:$AG$479,MATCH(E$1,Miljö!$B$1:$AK$1,0),FALSE)</f>
        <v>Ja</v>
      </c>
      <c r="F14" t="str">
        <f>VLOOKUP($B14,Miljö!$B$1:$J$479,MATCH("Typ av ursprungsspecificerad el   (Om inget värde anges används Nordisk residualmix, se inforuta) ()",Miljö!$B$1:$J$1,0),FALSE)</f>
        <v>'Kärnkraft'</v>
      </c>
      <c r="G14">
        <f>VLOOKUP($B14,Miljö!$B$1:$J$479,MATCH("Primärenergifaktor ()",Miljö!$B$1:$J$1,0),FALSE)</f>
        <v>3.1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1</v>
      </c>
      <c r="L14">
        <f>VLOOKUP($B14,Totalt!$B$1:$BU$497,MATCH("total el",Totalt!$B$1:$BU$1,0),FALSE)</f>
        <v>0.115</v>
      </c>
      <c r="N14">
        <f t="shared" si="0"/>
        <v>0.35650000000000004</v>
      </c>
      <c r="O14">
        <f t="shared" si="1"/>
        <v>0</v>
      </c>
      <c r="P14">
        <f t="shared" si="2"/>
        <v>0</v>
      </c>
      <c r="Q14">
        <f t="shared" si="3"/>
        <v>0.115</v>
      </c>
    </row>
    <row r="15" spans="1:18" x14ac:dyDescent="0.45">
      <c r="A15" s="31" t="s">
        <v>672</v>
      </c>
      <c r="B15" s="31" t="s">
        <v>675</v>
      </c>
      <c r="C15" t="str">
        <f>VLOOKUP($B15,Totalt!$B$1:$BU$497,MATCH("Kvalitetsgranskad:",Totalt!$B$1:$BU$1,0),FALSE)</f>
        <v>Ja</v>
      </c>
      <c r="E15" t="str">
        <f>VLOOKUP($B15,Miljö!$B$1:$AG$479,MATCH(E$1,Miljö!$B$1:$AK$1,0),FALSE)</f>
        <v>Ja</v>
      </c>
      <c r="F15" t="str">
        <f>VLOOKUP($B15,Miljö!$B$1:$J$479,MATCH("Typ av ursprungsspecificerad el   (Om inget värde anges används Nordisk residualmix, se inforuta) ()",Miljö!$B$1:$J$1,0),FALSE)</f>
        <v>'Kärnkraft'</v>
      </c>
      <c r="G15">
        <f>VLOOKUP($B15,Miljö!$B$1:$J$479,MATCH("Primärenergifaktor ()",Miljö!$B$1:$J$1,0),FALSE)</f>
        <v>3.1</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1</v>
      </c>
      <c r="L15">
        <f>VLOOKUP($B15,Totalt!$B$1:$BU$497,MATCH("total el",Totalt!$B$1:$BU$1,0),FALSE)</f>
        <v>0.46200000000000002</v>
      </c>
      <c r="N15">
        <f t="shared" si="0"/>
        <v>1.4322000000000001</v>
      </c>
      <c r="O15">
        <f t="shared" si="1"/>
        <v>0</v>
      </c>
      <c r="P15">
        <f t="shared" si="2"/>
        <v>0</v>
      </c>
      <c r="Q15">
        <f t="shared" si="3"/>
        <v>0.46200000000000002</v>
      </c>
    </row>
    <row r="16" spans="1:18" x14ac:dyDescent="0.45">
      <c r="A16" s="31" t="s">
        <v>672</v>
      </c>
      <c r="B16" s="31" t="s">
        <v>674</v>
      </c>
      <c r="C16" t="str">
        <f>VLOOKUP($B16,Totalt!$B$1:$BU$497,MATCH("Kvalitetsgranskad:",Totalt!$B$1:$BU$1,0),FALSE)</f>
        <v>Ja</v>
      </c>
      <c r="E16" t="str">
        <f>VLOOKUP($B16,Miljö!$B$1:$AG$479,MATCH(E$1,Miljö!$B$1:$AK$1,0),FALSE)</f>
        <v>Ja</v>
      </c>
      <c r="F16" t="str">
        <f>VLOOKUP($B16,Miljö!$B$1:$J$479,MATCH("Typ av ursprungsspecificerad el   (Om inget värde anges används Nordisk residualmix, se inforuta) ()",Miljö!$B$1:$J$1,0),FALSE)</f>
        <v>'Kärnkraft'</v>
      </c>
      <c r="G16">
        <f>VLOOKUP($B16,Miljö!$B$1:$J$479,MATCH("Primärenergifaktor ()",Miljö!$B$1:$J$1,0),FALSE)</f>
        <v>3.1</v>
      </c>
      <c r="H16">
        <f>VLOOKUP($B16,Miljö!$B$1:$J$479,MATCH("Koldioxidekvivalenter energiomvandling (g/kwh)",Miljö!$B$1:$J$1,0),FALSE)</f>
        <v>0</v>
      </c>
      <c r="I16">
        <f>VLOOKUP($B16,Miljö!$B$1:$J$479,MATCH("Fossilandel för ursprungspecificerad el ()",Miljö!$B$1:$J$1,0),FALSE)</f>
        <v>0</v>
      </c>
      <c r="J16">
        <f>VLOOKUP($B16,Miljö!$B$1:$J$479,MATCH("Kärnkraftsandel för ursprungsspecificerad el ()",Miljö!$B$1:$J$1,0),FALSE)</f>
        <v>1</v>
      </c>
      <c r="L16">
        <f>VLOOKUP($B16,Totalt!$B$1:$BU$497,MATCH("total el",Totalt!$B$1:$BU$1,0),FALSE)</f>
        <v>2.5000000000000001E-2</v>
      </c>
      <c r="N16">
        <f t="shared" si="0"/>
        <v>7.7500000000000013E-2</v>
      </c>
      <c r="O16">
        <f t="shared" si="1"/>
        <v>0</v>
      </c>
      <c r="P16">
        <f t="shared" si="2"/>
        <v>0</v>
      </c>
      <c r="Q16">
        <f t="shared" si="3"/>
        <v>2.5000000000000001E-2</v>
      </c>
    </row>
    <row r="17" spans="1:17" x14ac:dyDescent="0.45">
      <c r="A17" s="31" t="s">
        <v>672</v>
      </c>
      <c r="B17" s="31" t="s">
        <v>673</v>
      </c>
      <c r="C17" t="str">
        <f>VLOOKUP($B17,Totalt!$B$1:$BU$497,MATCH("Kvalitetsgranskad:",Totalt!$B$1:$BU$1,0),FALSE)</f>
        <v>Ja</v>
      </c>
      <c r="E17" t="str">
        <f>VLOOKUP($B17,Miljö!$B$1:$AG$479,MATCH(E$1,Miljö!$B$1:$AK$1,0),FALSE)</f>
        <v>Ja</v>
      </c>
      <c r="F17" t="str">
        <f>VLOOKUP($B17,Miljö!$B$1:$J$479,MATCH("Typ av ursprungsspecificerad el   (Om inget värde anges används Nordisk residualmix, se inforuta) ()",Miljö!$B$1:$J$1,0),FALSE)</f>
        <v>'Kärnkraft'</v>
      </c>
      <c r="G17">
        <f>VLOOKUP($B17,Miljö!$B$1:$J$479,MATCH("Primärenergifaktor ()",Miljö!$B$1:$J$1,0),FALSE)</f>
        <v>3.1</v>
      </c>
      <c r="H17">
        <f>VLOOKUP($B17,Miljö!$B$1:$J$479,MATCH("Koldioxidekvivalenter energiomvandling (g/kwh)",Miljö!$B$1:$J$1,0),FALSE)</f>
        <v>0</v>
      </c>
      <c r="I17">
        <f>VLOOKUP($B17,Miljö!$B$1:$J$479,MATCH("Fossilandel för ursprungspecificerad el ()",Miljö!$B$1:$J$1,0),FALSE)</f>
        <v>0</v>
      </c>
      <c r="J17">
        <f>VLOOKUP($B17,Miljö!$B$1:$J$479,MATCH("Kärnkraftsandel för ursprungsspecificerad el ()",Miljö!$B$1:$J$1,0),FALSE)</f>
        <v>1</v>
      </c>
      <c r="L17">
        <f>VLOOKUP($B17,Totalt!$B$1:$BU$497,MATCH("total el",Totalt!$B$1:$BU$1,0),FALSE)</f>
        <v>0.17299999999999999</v>
      </c>
      <c r="N17">
        <f t="shared" si="0"/>
        <v>0.5363</v>
      </c>
      <c r="O17">
        <f t="shared" si="1"/>
        <v>0</v>
      </c>
      <c r="P17">
        <f t="shared" si="2"/>
        <v>0</v>
      </c>
      <c r="Q17">
        <f t="shared" si="3"/>
        <v>0.17299999999999999</v>
      </c>
    </row>
    <row r="18" spans="1:17" x14ac:dyDescent="0.45">
      <c r="A18" s="31" t="s">
        <v>672</v>
      </c>
      <c r="B18" s="31" t="s">
        <v>680</v>
      </c>
      <c r="C18" t="str">
        <f>VLOOKUP($B18,Totalt!$B$1:$BU$497,MATCH("Kvalitetsgranskad:",Totalt!$B$1:$BU$1,0),FALSE)</f>
        <v>Ja</v>
      </c>
      <c r="E18" t="str">
        <f>VLOOKUP($B18,Miljö!$B$1:$AG$479,MATCH(E$1,Miljö!$B$1:$AK$1,0),FALSE)</f>
        <v>Ja</v>
      </c>
      <c r="F18" t="str">
        <f>VLOOKUP($B18,Miljö!$B$1:$J$479,MATCH("Typ av ursprungsspecificerad el   (Om inget värde anges används Nordisk residualmix, se inforuta) ()",Miljö!$B$1:$J$1,0),FALSE)</f>
        <v>'Kärnkraft'</v>
      </c>
      <c r="G18">
        <f>VLOOKUP($B18,Miljö!$B$1:$J$479,MATCH("Primärenergifaktor ()",Miljö!$B$1:$J$1,0),FALSE)</f>
        <v>3.1</v>
      </c>
      <c r="H18">
        <f>VLOOKUP($B18,Miljö!$B$1:$J$479,MATCH("Koldioxidekvivalenter energiomvandling (g/kwh)",Miljö!$B$1:$J$1,0),FALSE)</f>
        <v>0</v>
      </c>
      <c r="I18">
        <f>VLOOKUP($B18,Miljö!$B$1:$J$479,MATCH("Fossilandel för ursprungspecificerad el ()",Miljö!$B$1:$J$1,0),FALSE)</f>
        <v>0</v>
      </c>
      <c r="J18">
        <f>VLOOKUP($B18,Miljö!$B$1:$J$479,MATCH("Kärnkraftsandel för ursprungsspecificerad el ()",Miljö!$B$1:$J$1,0),FALSE)</f>
        <v>1</v>
      </c>
      <c r="L18">
        <f>VLOOKUP($B18,Totalt!$B$1:$BU$497,MATCH("total el",Totalt!$B$1:$BU$1,0),FALSE)</f>
        <v>0.41299999999999998</v>
      </c>
      <c r="N18">
        <f t="shared" si="0"/>
        <v>1.2803</v>
      </c>
      <c r="O18">
        <f t="shared" si="1"/>
        <v>0</v>
      </c>
      <c r="P18">
        <f t="shared" si="2"/>
        <v>0</v>
      </c>
      <c r="Q18">
        <f t="shared" si="3"/>
        <v>0.41299999999999998</v>
      </c>
    </row>
    <row r="19" spans="1:17" x14ac:dyDescent="0.45">
      <c r="A19" s="31" t="s">
        <v>672</v>
      </c>
      <c r="B19" s="31" t="s">
        <v>676</v>
      </c>
      <c r="C19" t="str">
        <f>VLOOKUP($B19,Totalt!$B$1:$BU$497,MATCH("Kvalitetsgranskad:",Totalt!$B$1:$BU$1,0),FALSE)</f>
        <v>Ja</v>
      </c>
      <c r="E19" t="str">
        <f>VLOOKUP($B19,Miljö!$B$1:$AG$479,MATCH(E$1,Miljö!$B$1:$AK$1,0),FALSE)</f>
        <v>Ja</v>
      </c>
      <c r="F19" t="str">
        <f>VLOOKUP($B19,Miljö!$B$1:$J$479,MATCH("Typ av ursprungsspecificerad el   (Om inget värde anges används Nordisk residualmix, se inforuta) ()",Miljö!$B$1:$J$1,0),FALSE)</f>
        <v>'Kärnkraft'</v>
      </c>
      <c r="G19">
        <f>VLOOKUP($B19,Miljö!$B$1:$J$479,MATCH("Primärenergifaktor ()",Miljö!$B$1:$J$1,0),FALSE)</f>
        <v>3.1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1</v>
      </c>
      <c r="L19">
        <f>VLOOKUP($B19,Totalt!$B$1:$BU$497,MATCH("total el",Totalt!$B$1:$BU$1,0),FALSE)</f>
        <v>0.40899999999999997</v>
      </c>
      <c r="N19">
        <f t="shared" si="0"/>
        <v>1.2679</v>
      </c>
      <c r="O19">
        <f t="shared" si="1"/>
        <v>0</v>
      </c>
      <c r="P19">
        <f t="shared" si="2"/>
        <v>0</v>
      </c>
      <c r="Q19">
        <f t="shared" si="3"/>
        <v>0.40899999999999997</v>
      </c>
    </row>
    <row r="20" spans="1:17" x14ac:dyDescent="0.45">
      <c r="A20" s="31" t="s">
        <v>672</v>
      </c>
      <c r="B20" s="31" t="s">
        <v>671</v>
      </c>
      <c r="C20" t="str">
        <f>VLOOKUP($B20,Totalt!$B$1:$BU$497,MATCH("Kvalitetsgranskad:",Totalt!$B$1:$BU$1,0),FALSE)</f>
        <v>Ja</v>
      </c>
      <c r="E20" t="str">
        <f>VLOOKUP($B20,Miljö!$B$1:$AG$479,MATCH(E$1,Miljö!$B$1:$AK$1,0),FALSE)</f>
        <v>Ja</v>
      </c>
      <c r="F20" t="str">
        <f>VLOOKUP($B20,Miljö!$B$1:$J$479,MATCH("Typ av ursprungsspecificerad el   (Om inget värde anges används Nordisk residualmix, se inforuta) ()",Miljö!$B$1:$J$1,0),FALSE)</f>
        <v>'Kärnkraft'</v>
      </c>
      <c r="G20">
        <f>VLOOKUP($B20,Miljö!$B$1:$J$479,MATCH("Primärenergifaktor ()",Miljö!$B$1:$J$1,0),FALSE)</f>
        <v>3.1</v>
      </c>
      <c r="H20">
        <f>VLOOKUP($B20,Miljö!$B$1:$J$479,MATCH("Koldioxidekvivalenter energiomvandling (g/kwh)",Miljö!$B$1:$J$1,0),FALSE)</f>
        <v>0</v>
      </c>
      <c r="I20">
        <f>VLOOKUP($B20,Miljö!$B$1:$J$479,MATCH("Fossilandel för ursprungspecificerad el ()",Miljö!$B$1:$J$1,0),FALSE)</f>
        <v>0</v>
      </c>
      <c r="J20">
        <f>VLOOKUP($B20,Miljö!$B$1:$J$479,MATCH("Kärnkraftsandel för ursprungsspecificerad el ()",Miljö!$B$1:$J$1,0),FALSE)</f>
        <v>1</v>
      </c>
      <c r="L20">
        <f>VLOOKUP($B20,Totalt!$B$1:$BU$497,MATCH("total el",Totalt!$B$1:$BU$1,0),FALSE)</f>
        <v>8.1000000000000003E-2</v>
      </c>
      <c r="N20">
        <f t="shared" si="0"/>
        <v>0.25109999999999999</v>
      </c>
      <c r="O20">
        <f t="shared" si="1"/>
        <v>0</v>
      </c>
      <c r="P20">
        <f t="shared" si="2"/>
        <v>0</v>
      </c>
      <c r="Q20">
        <f t="shared" si="3"/>
        <v>8.1000000000000003E-2</v>
      </c>
    </row>
    <row r="21" spans="1:17" x14ac:dyDescent="0.45">
      <c r="A21" s="31" t="s">
        <v>666</v>
      </c>
      <c r="B21" s="31" t="s">
        <v>669</v>
      </c>
      <c r="C21" t="str">
        <f>VLOOKUP($B21,Totalt!$B$1:$BU$497,MATCH("Kvalitetsgranskad:",Totalt!$B$1:$BU$1,0),FALSE)</f>
        <v>Ja</v>
      </c>
      <c r="E21" t="str">
        <f>VLOOKUP($B21,Miljö!$B$1:$AG$479,MATCH(E$1,Miljö!$B$1:$AK$1,0),FALSE)</f>
        <v>Ja</v>
      </c>
      <c r="F21" t="str">
        <f>VLOOKUP($B21,Miljö!$B$1:$J$479,MATCH("Typ av ursprungsspecificerad el   (Om inget värde anges används Nordisk residualmix, se inforuta) ()",Miljö!$B$1:$J$1,0),FALSE)</f>
        <v>'förnybar el "guarantee of origin"'</v>
      </c>
      <c r="G21">
        <f>VLOOKUP($B21,Miljö!$B$1:$J$479,MATCH("Primärenergifaktor ()",Miljö!$B$1:$J$1,0),FALSE)</f>
        <v>1.1000000000000001</v>
      </c>
      <c r="H21">
        <f>VLOOKUP($B21,Miljö!$B$1:$J$479,MATCH("Koldioxidekvivalenter energiomvandling (g/kwh)",Miljö!$B$1:$J$1,0),FALSE)</f>
        <v>0</v>
      </c>
      <c r="I21">
        <f>VLOOKUP($B21,Miljö!$B$1:$J$479,MATCH("Fossilandel för ursprungspecificerad el ()",Miljö!$B$1:$J$1,0),FALSE)</f>
        <v>0</v>
      </c>
      <c r="J21">
        <f>VLOOKUP($B21,Miljö!$B$1:$J$479,MATCH("Kärnkraftsandel för ursprungsspecificerad el ()",Miljö!$B$1:$J$1,0),FALSE)</f>
        <v>0</v>
      </c>
      <c r="L21">
        <f>VLOOKUP($B21,Totalt!$B$1:$BU$497,MATCH("total el",Totalt!$B$1:$BU$1,0),FALSE)</f>
        <v>0.106</v>
      </c>
      <c r="N21">
        <f t="shared" si="0"/>
        <v>0.11660000000000001</v>
      </c>
      <c r="O21">
        <f t="shared" si="1"/>
        <v>0</v>
      </c>
      <c r="P21">
        <f t="shared" si="2"/>
        <v>0</v>
      </c>
      <c r="Q21">
        <f t="shared" si="3"/>
        <v>0</v>
      </c>
    </row>
    <row r="22" spans="1:17" x14ac:dyDescent="0.45">
      <c r="A22" s="31" t="s">
        <v>666</v>
      </c>
      <c r="B22" s="31" t="s">
        <v>668</v>
      </c>
      <c r="C22" t="str">
        <f>VLOOKUP($B22,Totalt!$B$1:$BU$497,MATCH("Kvalitetsgranskad:",Totalt!$B$1:$BU$1,0),FALSE)</f>
        <v>Ja</v>
      </c>
      <c r="E22" t="str">
        <f>VLOOKUP($B22,Miljö!$B$1:$AG$479,MATCH(E$1,Miljö!$B$1:$AK$1,0),FALSE)</f>
        <v>Ja</v>
      </c>
      <c r="F22" t="str">
        <f>VLOOKUP($B22,Miljö!$B$1:$J$479,MATCH("Typ av ursprungsspecificerad el   (Om inget värde anges används Nordisk residualmix, se inforuta) ()",Miljö!$B$1:$J$1,0),FALSE)</f>
        <v>'förnybar el "guarantee of origin"'</v>
      </c>
      <c r="G22">
        <f>VLOOKUP($B22,Miljö!$B$1:$J$479,MATCH("Primärenergifaktor ()",Miljö!$B$1:$J$1,0),FALSE)</f>
        <v>1.1100000000000001</v>
      </c>
      <c r="H22">
        <f>VLOOKUP($B22,Miljö!$B$1:$J$479,MATCH("Koldioxidekvivalenter energiomvandling (g/kwh)",Miljö!$B$1:$J$1,0),FALSE)</f>
        <v>0</v>
      </c>
      <c r="I22">
        <f>VLOOKUP($B22,Miljö!$B$1:$J$479,MATCH("Fossilandel för ursprungspecificerad el ()",Miljö!$B$1:$J$1,0),FALSE)</f>
        <v>0</v>
      </c>
      <c r="J22">
        <f>VLOOKUP($B22,Miljö!$B$1:$J$479,MATCH("Kärnkraftsandel för ursprungsspecificerad el ()",Miljö!$B$1:$J$1,0),FALSE)</f>
        <v>0</v>
      </c>
      <c r="L22">
        <f>VLOOKUP($B22,Totalt!$B$1:$BU$497,MATCH("total el",Totalt!$B$1:$BU$1,0),FALSE)</f>
        <v>8.8739799999999995</v>
      </c>
      <c r="N22">
        <f t="shared" si="0"/>
        <v>9.8501177999999996</v>
      </c>
      <c r="O22">
        <f t="shared" si="1"/>
        <v>0</v>
      </c>
      <c r="P22">
        <f t="shared" si="2"/>
        <v>0</v>
      </c>
      <c r="Q22">
        <f t="shared" si="3"/>
        <v>0</v>
      </c>
    </row>
    <row r="23" spans="1:17" x14ac:dyDescent="0.45">
      <c r="A23" s="31" t="s">
        <v>666</v>
      </c>
      <c r="B23" s="31" t="s">
        <v>665</v>
      </c>
      <c r="C23" t="str">
        <f>VLOOKUP($B23,Totalt!$B$1:$BU$497,MATCH("Kvalitetsgranskad:",Totalt!$B$1:$BU$1,0),FALSE)</f>
        <v>Ja</v>
      </c>
      <c r="E23" t="str">
        <f>VLOOKUP($B23,Miljö!$B$1:$AG$479,MATCH(E$1,Miljö!$B$1:$AK$1,0),FALSE)</f>
        <v>Ja</v>
      </c>
      <c r="F23" t="str">
        <f>VLOOKUP($B23,Miljö!$B$1:$J$479,MATCH("Typ av ursprungsspecificerad el   (Om inget värde anges används Nordisk residualmix, se inforuta) ()",Miljö!$B$1:$J$1,0),FALSE)</f>
        <v>'förnybar el "guarantee of origin"'</v>
      </c>
      <c r="G23">
        <f>VLOOKUP($B23,Miljö!$B$1:$J$479,MATCH("Primärenergifaktor ()",Miljö!$B$1:$J$1,0),FALSE)</f>
        <v>1.1000000000000001</v>
      </c>
      <c r="H23">
        <f>VLOOKUP($B23,Miljö!$B$1:$J$479,MATCH("Koldioxidekvivalenter energiomvandling (g/kwh)",Miljö!$B$1:$J$1,0),FALSE)</f>
        <v>0</v>
      </c>
      <c r="I23">
        <f>VLOOKUP($B23,Miljö!$B$1:$J$479,MATCH("Fossilandel för ursprungspecificerad el ()",Miljö!$B$1:$J$1,0),FALSE)</f>
        <v>0</v>
      </c>
      <c r="J23">
        <f>VLOOKUP($B23,Miljö!$B$1:$J$479,MATCH("Kärnkraftsandel för ursprungsspecificerad el ()",Miljö!$B$1:$J$1,0),FALSE)</f>
        <v>0</v>
      </c>
      <c r="L23">
        <f>VLOOKUP($B23,Totalt!$B$1:$BU$497,MATCH("total el",Totalt!$B$1:$BU$1,0),FALSE)</f>
        <v>4.4999999999999998E-2</v>
      </c>
      <c r="N23">
        <f t="shared" si="0"/>
        <v>4.9500000000000002E-2</v>
      </c>
      <c r="O23">
        <f t="shared" si="1"/>
        <v>0</v>
      </c>
      <c r="P23">
        <f t="shared" si="2"/>
        <v>0</v>
      </c>
      <c r="Q23">
        <f t="shared" si="3"/>
        <v>0</v>
      </c>
    </row>
    <row r="24" spans="1:17" x14ac:dyDescent="0.45">
      <c r="A24" s="31" t="s">
        <v>666</v>
      </c>
      <c r="B24" s="31" t="s">
        <v>667</v>
      </c>
      <c r="C24" t="str">
        <f>VLOOKUP($B24,Totalt!$B$1:$BU$497,MATCH("Kvalitetsgranskad:",Totalt!$B$1:$BU$1,0),FALSE)</f>
        <v>Ja</v>
      </c>
      <c r="E24" t="str">
        <f>VLOOKUP($B24,Miljö!$B$1:$AG$479,MATCH(E$1,Miljö!$B$1:$AK$1,0),FALSE)</f>
        <v>Ja</v>
      </c>
      <c r="F24" t="str">
        <f>VLOOKUP($B24,Miljö!$B$1:$J$479,MATCH("Typ av ursprungsspecificerad el   (Om inget värde anges används Nordisk residualmix, se inforuta) ()",Miljö!$B$1:$J$1,0),FALSE)</f>
        <v>'förnybar el "guarantee of origin"'</v>
      </c>
      <c r="G24">
        <f>VLOOKUP($B24,Miljö!$B$1:$J$479,MATCH("Primärenergifaktor ()",Miljö!$B$1:$J$1,0),FALSE)</f>
        <v>1.1000000000000001</v>
      </c>
      <c r="H24">
        <f>VLOOKUP($B24,Miljö!$B$1:$J$479,MATCH("Koldioxidekvivalenter energiomvandling (g/kwh)",Miljö!$B$1:$J$1,0),FALSE)</f>
        <v>0</v>
      </c>
      <c r="I24">
        <f>VLOOKUP($B24,Miljö!$B$1:$J$479,MATCH("Fossilandel för ursprungspecificerad el ()",Miljö!$B$1:$J$1,0),FALSE)</f>
        <v>0</v>
      </c>
      <c r="J24">
        <f>VLOOKUP($B24,Miljö!$B$1:$J$479,MATCH("Kärnkraftsandel för ursprungsspecificerad el ()",Miljö!$B$1:$J$1,0),FALSE)</f>
        <v>0</v>
      </c>
      <c r="L24">
        <f>VLOOKUP($B24,Totalt!$B$1:$BU$497,MATCH("total el",Totalt!$B$1:$BU$1,0),FALSE)</f>
        <v>8.1000000000000003E-2</v>
      </c>
      <c r="N24">
        <f t="shared" si="0"/>
        <v>8.9100000000000013E-2</v>
      </c>
      <c r="O24">
        <f t="shared" si="1"/>
        <v>0</v>
      </c>
      <c r="P24">
        <f t="shared" si="2"/>
        <v>0</v>
      </c>
      <c r="Q24">
        <f t="shared" si="3"/>
        <v>0</v>
      </c>
    </row>
    <row r="25" spans="1:17" x14ac:dyDescent="0.45">
      <c r="A25" s="31" t="s">
        <v>666</v>
      </c>
      <c r="B25" s="31" t="s">
        <v>670</v>
      </c>
      <c r="C25" t="str">
        <f>VLOOKUP($B25,Totalt!$B$1:$BU$497,MATCH("Kvalitetsgranskad:",Totalt!$B$1:$BU$1,0),FALSE)</f>
        <v>Ja</v>
      </c>
      <c r="E25" t="str">
        <f>VLOOKUP($B25,Miljö!$B$1:$AG$479,MATCH(E$1,Miljö!$B$1:$AK$1,0),FALSE)</f>
        <v>Ja</v>
      </c>
      <c r="F25" t="str">
        <f>VLOOKUP($B25,Miljö!$B$1:$J$479,MATCH("Typ av ursprungsspecificerad el   (Om inget värde anges används Nordisk residualmix, se inforuta) ()",Miljö!$B$1:$J$1,0),FALSE)</f>
        <v>'Förnybar el "guarantee of origin"'</v>
      </c>
      <c r="G25">
        <f>VLOOKUP($B25,Miljö!$B$1:$J$479,MATCH("Primärenergifaktor ()",Miljö!$B$1:$J$1,0),FALSE)</f>
        <v>1.1000000000000001</v>
      </c>
      <c r="H25">
        <f>VLOOKUP($B25,Miljö!$B$1:$J$479,MATCH("Koldioxidekvivalenter energiomvandling (g/kwh)",Miljö!$B$1:$J$1,0),FALSE)</f>
        <v>0</v>
      </c>
      <c r="I25">
        <f>VLOOKUP($B25,Miljö!$B$1:$J$479,MATCH("Fossilandel för ursprungspecificerad el ()",Miljö!$B$1:$J$1,0),FALSE)</f>
        <v>0</v>
      </c>
      <c r="J25">
        <f>VLOOKUP($B25,Miljö!$B$1:$J$479,MATCH("Kärnkraftsandel för ursprungsspecificerad el ()",Miljö!$B$1:$J$1,0),FALSE)</f>
        <v>0</v>
      </c>
      <c r="L25">
        <f>VLOOKUP($B25,Totalt!$B$1:$BU$497,MATCH("total el",Totalt!$B$1:$BU$1,0),FALSE)</f>
        <v>1.2E-2</v>
      </c>
      <c r="N25">
        <f t="shared" si="0"/>
        <v>1.3200000000000002E-2</v>
      </c>
      <c r="O25">
        <f t="shared" si="1"/>
        <v>0</v>
      </c>
      <c r="P25">
        <f t="shared" si="2"/>
        <v>0</v>
      </c>
      <c r="Q25">
        <f t="shared" si="3"/>
        <v>0</v>
      </c>
    </row>
    <row r="26" spans="1:17" x14ac:dyDescent="0.45">
      <c r="A26" s="31" t="s">
        <v>664</v>
      </c>
      <c r="B26" s="31" t="s">
        <v>663</v>
      </c>
      <c r="C26" t="str">
        <f>VLOOKUP($B26,Totalt!$B$1:$BU$497,MATCH("Kvalitetsgranskad:",Totalt!$B$1:$BU$1,0),FALSE)</f>
        <v>Ja</v>
      </c>
      <c r="E26" t="str">
        <f>VLOOKUP($B26,Miljö!$B$1:$AG$479,MATCH(E$1,Miljö!$B$1:$AK$1,0),FALSE)</f>
        <v>Ja</v>
      </c>
      <c r="F26" t="str">
        <f>VLOOKUP($B26,Miljö!$B$1:$J$479,MATCH("Typ av ursprungsspecificerad el   (Om inget värde anges används Nordisk residualmix, se inforuta) ()",Miljö!$B$1:$J$1,0),FALSE)</f>
        <v>'79.6% Vind. 20.3 % vattenkraft. 0.1% sol'</v>
      </c>
      <c r="G26">
        <f>VLOOKUP($B26,Miljö!$B$1:$J$479,MATCH("Primärenergifaktor ()",Miljö!$B$1:$J$1,0),FALSE)</f>
        <v>0.26</v>
      </c>
      <c r="H26">
        <f>VLOOKUP($B26,Miljö!$B$1:$J$479,MATCH("Koldioxidekvivalenter energiomvandling (g/kwh)",Miljö!$B$1:$J$1,0),FALSE)</f>
        <v>0</v>
      </c>
      <c r="I26">
        <f>VLOOKUP($B26,Miljö!$B$1:$J$479,MATCH("Fossilandel för ursprungspecificerad el ()",Miljö!$B$1:$J$1,0),FALSE)</f>
        <v>0</v>
      </c>
      <c r="J26">
        <f>VLOOKUP($B26,Miljö!$B$1:$J$479,MATCH("Kärnkraftsandel för ursprungsspecificerad el ()",Miljö!$B$1:$J$1,0),FALSE)</f>
        <v>0</v>
      </c>
      <c r="L26">
        <f>VLOOKUP($B26,Totalt!$B$1:$BU$497,MATCH("total el",Totalt!$B$1:$BU$1,0),FALSE)</f>
        <v>2.8</v>
      </c>
      <c r="N26">
        <f t="shared" si="0"/>
        <v>0.72799999999999998</v>
      </c>
      <c r="O26">
        <f t="shared" si="1"/>
        <v>0</v>
      </c>
      <c r="P26">
        <f t="shared" si="2"/>
        <v>0</v>
      </c>
      <c r="Q26">
        <f t="shared" si="3"/>
        <v>0</v>
      </c>
    </row>
    <row r="27" spans="1:17" x14ac:dyDescent="0.45">
      <c r="A27" s="31" t="s">
        <v>660</v>
      </c>
      <c r="B27" s="31" t="s">
        <v>662</v>
      </c>
      <c r="C27" t="str">
        <f>VLOOKUP($B27,Totalt!$B$1:$BU$497,MATCH("Kvalitetsgranskad:",Totalt!$B$1:$BU$1,0),FALSE)</f>
        <v>Ja</v>
      </c>
      <c r="E27" t="str">
        <f>VLOOKUP($B27,Miljö!$B$1:$AG$479,MATCH(E$1,Miljö!$B$1:$AK$1,0),FALSE)</f>
        <v>Ja</v>
      </c>
      <c r="F27" t="str">
        <f>VLOOKUP($B27,Miljö!$B$1:$J$479,MATCH("Typ av ursprungsspecificerad el   (Om inget värde anges används Nordisk residualmix, se inforuta) ()",Miljö!$B$1:$J$1,0),FALSE)</f>
        <v>'Nordisk Elmix'</v>
      </c>
      <c r="G27">
        <f>VLOOKUP($B27,Miljö!$B$1:$J$479,MATCH("Primärenergifaktor ()",Miljö!$B$1:$J$1,0),FALSE)</f>
        <v>2.2000000000000002</v>
      </c>
      <c r="H27">
        <f>VLOOKUP($B27,Miljö!$B$1:$J$479,MATCH("Koldioxidekvivalenter energiomvandling (g/kwh)",Miljö!$B$1:$J$1,0),FALSE)</f>
        <v>250.8</v>
      </c>
      <c r="I27">
        <f>VLOOKUP($B27,Miljö!$B$1:$J$479,MATCH("Fossilandel för ursprungspecificerad el ()",Miljö!$B$1:$J$1,0),FALSE)</f>
        <v>0.35</v>
      </c>
      <c r="J27">
        <f>VLOOKUP($B27,Miljö!$B$1:$J$479,MATCH("Kärnkraftsandel för ursprungsspecificerad el ()",Miljö!$B$1:$J$1,0),FALSE)</f>
        <v>0.3977</v>
      </c>
      <c r="L27">
        <f>VLOOKUP($B27,Totalt!$B$1:$BU$497,MATCH("total el",Totalt!$B$1:$BU$1,0),FALSE)</f>
        <v>1.6413</v>
      </c>
      <c r="N27">
        <f t="shared" si="0"/>
        <v>3.6108600000000002</v>
      </c>
      <c r="O27">
        <f t="shared" si="1"/>
        <v>411.63803999999999</v>
      </c>
      <c r="P27">
        <f t="shared" si="2"/>
        <v>0.57445499999999994</v>
      </c>
      <c r="Q27">
        <f t="shared" si="3"/>
        <v>0.65274500999999996</v>
      </c>
    </row>
    <row r="28" spans="1:17" x14ac:dyDescent="0.45">
      <c r="A28" s="31" t="s">
        <v>660</v>
      </c>
      <c r="B28" s="31" t="s">
        <v>661</v>
      </c>
      <c r="C28" t="str">
        <f>VLOOKUP($B28,Totalt!$B$1:$BU$497,MATCH("Kvalitetsgranskad:",Totalt!$B$1:$BU$1,0),FALSE)</f>
        <v>Ja</v>
      </c>
      <c r="E28" t="str">
        <f>VLOOKUP($B28,Miljö!$B$1:$AG$479,MATCH(E$1,Miljö!$B$1:$AK$1,0),FALSE)</f>
        <v>Ja</v>
      </c>
      <c r="F28" t="str">
        <f>VLOOKUP($B28,Miljö!$B$1:$J$479,MATCH("Typ av ursprungsspecificerad el   (Om inget värde anges används Nordisk residualmix, se inforuta) ()",Miljö!$B$1:$J$1,0),FALSE)</f>
        <v>'0'</v>
      </c>
      <c r="G28">
        <f>VLOOKUP($B28,Miljö!$B$1:$J$479,MATCH("Primärenergifaktor ()",Miljö!$B$1:$J$1,0),FALSE)</f>
        <v>2.2000000000000002</v>
      </c>
      <c r="H28">
        <f>VLOOKUP($B28,Miljö!$B$1:$J$479,MATCH("Koldioxidekvivalenter energiomvandling (g/kwh)",Miljö!$B$1:$J$1,0),FALSE)</f>
        <v>250.8</v>
      </c>
      <c r="I28">
        <f>VLOOKUP($B28,Miljö!$B$1:$J$479,MATCH("Fossilandel för ursprungspecificerad el ()",Miljö!$B$1:$J$1,0),FALSE)</f>
        <v>0.35</v>
      </c>
      <c r="J28">
        <f>VLOOKUP($B28,Miljö!$B$1:$J$479,MATCH("Kärnkraftsandel för ursprungsspecificerad el ()",Miljö!$B$1:$J$1,0),FALSE)</f>
        <v>0.3977</v>
      </c>
      <c r="L28">
        <f>VLOOKUP($B28,Totalt!$B$1:$BU$497,MATCH("total el",Totalt!$B$1:$BU$1,0),FALSE)</f>
        <v>0.32129999999999997</v>
      </c>
      <c r="N28">
        <f t="shared" si="0"/>
        <v>0.70686000000000004</v>
      </c>
      <c r="O28">
        <f t="shared" si="1"/>
        <v>80.582039999999992</v>
      </c>
      <c r="P28">
        <f t="shared" si="2"/>
        <v>0.11245499999999999</v>
      </c>
      <c r="Q28">
        <f t="shared" si="3"/>
        <v>0.12778101</v>
      </c>
    </row>
    <row r="29" spans="1:17" x14ac:dyDescent="0.45">
      <c r="A29" s="31" t="s">
        <v>660</v>
      </c>
      <c r="B29" s="31" t="s">
        <v>659</v>
      </c>
      <c r="C29" t="str">
        <f>VLOOKUP($B29,Totalt!$B$1:$BU$497,MATCH("Kvalitetsgranskad:",Totalt!$B$1:$BU$1,0),FALSE)</f>
        <v>Ja</v>
      </c>
      <c r="E29" t="str">
        <f>VLOOKUP($B29,Miljö!$B$1:$AG$479,MATCH(E$1,Miljö!$B$1:$AK$1,0),FALSE)</f>
        <v>Ja</v>
      </c>
      <c r="F29" t="str">
        <f>VLOOKUP($B29,Miljö!$B$1:$J$479,MATCH("Typ av ursprungsspecificerad el   (Om inget värde anges används Nordisk residualmix, se inforuta) ()",Miljö!$B$1:$J$1,0),FALSE)</f>
        <v>'0'</v>
      </c>
      <c r="G29">
        <f>VLOOKUP($B29,Miljö!$B$1:$J$479,MATCH("Primärenergifaktor ()",Miljö!$B$1:$J$1,0),FALSE)</f>
        <v>2.2000000000000002</v>
      </c>
      <c r="H29">
        <f>VLOOKUP($B29,Miljö!$B$1:$J$479,MATCH("Koldioxidekvivalenter energiomvandling (g/kwh)",Miljö!$B$1:$J$1,0),FALSE)</f>
        <v>250.8</v>
      </c>
      <c r="I29">
        <f>VLOOKUP($B29,Miljö!$B$1:$J$479,MATCH("Fossilandel för ursprungspecificerad el ()",Miljö!$B$1:$J$1,0),FALSE)</f>
        <v>0.35</v>
      </c>
      <c r="J29">
        <f>VLOOKUP($B29,Miljö!$B$1:$J$479,MATCH("Kärnkraftsandel för ursprungsspecificerad el ()",Miljö!$B$1:$J$1,0),FALSE)</f>
        <v>0.3977</v>
      </c>
      <c r="L29">
        <f>VLOOKUP($B29,Totalt!$B$1:$BU$497,MATCH("total el",Totalt!$B$1:$BU$1,0),FALSE)</f>
        <v>0.48480000000000001</v>
      </c>
      <c r="N29">
        <f t="shared" si="0"/>
        <v>1.0665600000000002</v>
      </c>
      <c r="O29">
        <f t="shared" si="1"/>
        <v>121.58784000000001</v>
      </c>
      <c r="P29">
        <f t="shared" si="2"/>
        <v>0.16968</v>
      </c>
      <c r="Q29">
        <f t="shared" si="3"/>
        <v>0.19280496</v>
      </c>
    </row>
    <row r="30" spans="1:17" x14ac:dyDescent="0.45">
      <c r="A30" s="31" t="s">
        <v>657</v>
      </c>
      <c r="B30" s="31" t="s">
        <v>656</v>
      </c>
      <c r="C30" t="str">
        <f>VLOOKUP($B30,Totalt!$B$1:$BU$497,MATCH("Kvalitetsgranskad:",Totalt!$B$1:$BU$1,0),FALSE)</f>
        <v>Ja</v>
      </c>
      <c r="E30" t="str">
        <f>VLOOKUP($B30,Miljö!$B$1:$AG$479,MATCH(E$1,Miljö!$B$1:$AK$1,0),FALSE)</f>
        <v>Ja</v>
      </c>
      <c r="F30" t="str">
        <f>VLOOKUP($B30,Miljö!$B$1:$J$479,MATCH("Typ av ursprungsspecificerad el   (Om inget värde anges används Nordisk residualmix, se inforuta) ()",Miljö!$B$1:$J$1,0),FALSE)</f>
        <v>'Bra miljöval'</v>
      </c>
      <c r="G30">
        <f>VLOOKUP($B30,Miljö!$B$1:$J$479,MATCH("Primärenergifaktor ()",Miljö!$B$1:$J$1,0),FALSE)</f>
        <v>1.1000000000000001</v>
      </c>
      <c r="H30">
        <f>VLOOKUP($B30,Miljö!$B$1:$J$479,MATCH("Koldioxidekvivalenter energiomvandling (g/kwh)",Miljö!$B$1:$J$1,0),FALSE)</f>
        <v>0</v>
      </c>
      <c r="I30">
        <f>VLOOKUP($B30,Miljö!$B$1:$J$479,MATCH("Fossilandel för ursprungspecificerad el ()",Miljö!$B$1:$J$1,0),FALSE)</f>
        <v>0</v>
      </c>
      <c r="J30">
        <f>VLOOKUP($B30,Miljö!$B$1:$J$479,MATCH("Kärnkraftsandel för ursprungsspecificerad el ()",Miljö!$B$1:$J$1,0),FALSE)</f>
        <v>0</v>
      </c>
      <c r="L30">
        <f>VLOOKUP($B30,Totalt!$B$1:$BU$497,MATCH("total el",Totalt!$B$1:$BU$1,0),FALSE)</f>
        <v>0.51</v>
      </c>
      <c r="N30">
        <f t="shared" si="0"/>
        <v>0.56100000000000005</v>
      </c>
      <c r="O30">
        <f t="shared" si="1"/>
        <v>0</v>
      </c>
      <c r="P30">
        <f t="shared" si="2"/>
        <v>0</v>
      </c>
      <c r="Q30">
        <f t="shared" si="3"/>
        <v>0</v>
      </c>
    </row>
    <row r="31" spans="1:17" x14ac:dyDescent="0.45">
      <c r="A31" s="31" t="s">
        <v>53</v>
      </c>
      <c r="B31" s="31" t="s">
        <v>54</v>
      </c>
      <c r="C31" t="str">
        <f>VLOOKUP($B31,Totalt!$B$1:$BU$497,MATCH("Kvalitetsgranskad:",Totalt!$B$1:$BU$1,0),FALSE)</f>
        <v>Ja</v>
      </c>
      <c r="E31" t="str">
        <f>VLOOKUP($B31,Miljö!$B$1:$AG$479,MATCH(E$1,Miljö!$B$1:$AK$1,0),FALSE)</f>
        <v>Ja</v>
      </c>
      <c r="F31" t="str">
        <f>VLOOKUP($B31,Miljö!$B$1:$J$479,MATCH("Typ av ursprungsspecificerad el   (Om inget värde anges används Nordisk residualmix, se inforuta) ()",Miljö!$B$1:$J$1,0),FALSE)</f>
        <v>'nordisk residual el'</v>
      </c>
      <c r="G31">
        <f>VLOOKUP($B31,Miljö!$B$1:$J$479,MATCH("Primärenergifaktor ()",Miljö!$B$1:$J$1,0),FALSE)</f>
        <v>2.2000000000000002</v>
      </c>
      <c r="H31">
        <f>VLOOKUP($B31,Miljö!$B$1:$J$479,MATCH("Koldioxidekvivalenter energiomvandling (g/kwh)",Miljö!$B$1:$J$1,0),FALSE)</f>
        <v>250.8</v>
      </c>
      <c r="I31">
        <f>VLOOKUP($B31,Miljö!$B$1:$J$479,MATCH("Fossilandel för ursprungspecificerad el ()",Miljö!$B$1:$J$1,0),FALSE)</f>
        <v>0.35</v>
      </c>
      <c r="J31">
        <f>VLOOKUP($B31,Miljö!$B$1:$J$479,MATCH("Kärnkraftsandel för ursprungsspecificerad el ()",Miljö!$B$1:$J$1,0),FALSE)</f>
        <v>0.3977</v>
      </c>
      <c r="L31">
        <f>VLOOKUP($B31,Totalt!$B$1:$BU$497,MATCH("total el",Totalt!$B$1:$BU$1,0),FALSE)</f>
        <v>1.177</v>
      </c>
      <c r="N31">
        <f t="shared" si="0"/>
        <v>2.5894000000000004</v>
      </c>
      <c r="O31">
        <f t="shared" si="1"/>
        <v>295.19160000000005</v>
      </c>
      <c r="P31">
        <f t="shared" si="2"/>
        <v>0.41194999999999998</v>
      </c>
      <c r="Q31">
        <f t="shared" si="3"/>
        <v>0.46809290000000003</v>
      </c>
    </row>
    <row r="32" spans="1:17" x14ac:dyDescent="0.45">
      <c r="A32" s="31" t="s">
        <v>655</v>
      </c>
      <c r="B32" s="31" t="s">
        <v>654</v>
      </c>
      <c r="C32" t="str">
        <f>VLOOKUP($B32,Totalt!$B$1:$BU$497,MATCH("Kvalitetsgranskad:",Totalt!$B$1:$BU$1,0),FALSE)</f>
        <v>Ja</v>
      </c>
      <c r="E32" t="str">
        <f>VLOOKUP($B32,Miljö!$B$1:$AG$479,MATCH(E$1,Miljö!$B$1:$AK$1,0),FALSE)</f>
        <v>Ja</v>
      </c>
      <c r="F32" t="str">
        <f>VLOOKUP($B32,Miljö!$B$1:$J$479,MATCH("Typ av ursprungsspecificerad el   (Om inget värde anges används Nordisk residualmix, se inforuta) ()",Miljö!$B$1:$J$1,0),FALSE)</f>
        <v>'Vattenkraft'</v>
      </c>
      <c r="G32">
        <f>VLOOKUP($B32,Miljö!$B$1:$J$479,MATCH("Primärenergifaktor ()",Miljö!$B$1:$J$1,0),FALSE)</f>
        <v>1.1000000000000001</v>
      </c>
      <c r="H32">
        <f>VLOOKUP($B32,Miljö!$B$1:$J$479,MATCH("Koldioxidekvivalenter energiomvandling (g/kwh)",Miljö!$B$1:$J$1,0),FALSE)</f>
        <v>0</v>
      </c>
      <c r="I32">
        <f>VLOOKUP($B32,Miljö!$B$1:$J$479,MATCH("Fossilandel för ursprungspecificerad el ()",Miljö!$B$1:$J$1,0),FALSE)</f>
        <v>0</v>
      </c>
      <c r="J32">
        <f>VLOOKUP($B32,Miljö!$B$1:$J$479,MATCH("Kärnkraftsandel för ursprungsspecificerad el ()",Miljö!$B$1:$J$1,0),FALSE)</f>
        <v>0</v>
      </c>
      <c r="L32">
        <f>VLOOKUP($B32,Totalt!$B$1:$BU$497,MATCH("total el",Totalt!$B$1:$BU$1,0),FALSE)</f>
        <v>3.35</v>
      </c>
      <c r="N32">
        <f t="shared" si="0"/>
        <v>3.6850000000000005</v>
      </c>
      <c r="O32">
        <f t="shared" si="1"/>
        <v>0</v>
      </c>
      <c r="P32">
        <f t="shared" si="2"/>
        <v>0</v>
      </c>
      <c r="Q32">
        <f t="shared" si="3"/>
        <v>0</v>
      </c>
    </row>
    <row r="33" spans="1:17" x14ac:dyDescent="0.45">
      <c r="A33" s="31" t="s">
        <v>653</v>
      </c>
      <c r="B33" s="31" t="s">
        <v>652</v>
      </c>
      <c r="C33" t="str">
        <f>VLOOKUP($B33,Totalt!$B$1:$BU$497,MATCH("Kvalitetsgranskad:",Totalt!$B$1:$BU$1,0),FALSE)</f>
        <v>Ja</v>
      </c>
      <c r="E33" t="str">
        <f>VLOOKUP($B33,Miljö!$B$1:$AG$479,MATCH(E$1,Miljö!$B$1:$AK$1,0),FALSE)</f>
        <v>Ja</v>
      </c>
      <c r="F33" t="str">
        <f>VLOOKUP($B33,Miljö!$B$1:$J$479,MATCH("Typ av ursprungsspecificerad el   (Om inget värde anges används Nordisk residualmix, se inforuta) ()",Miljö!$B$1:$J$1,0),FALSE)</f>
        <v>'vattenkraft'</v>
      </c>
      <c r="G33">
        <f>VLOOKUP($B33,Miljö!$B$1:$J$479,MATCH("Primärenergifaktor ()",Miljö!$B$1:$J$1,0),FALSE)</f>
        <v>1.1000000000000001</v>
      </c>
      <c r="H33">
        <f>VLOOKUP($B33,Miljö!$B$1:$J$479,MATCH("Koldioxidekvivalenter energiomvandling (g/kwh)",Miljö!$B$1:$J$1,0),FALSE)</f>
        <v>250.8</v>
      </c>
      <c r="I33">
        <f>VLOOKUP($B33,Miljö!$B$1:$J$479,MATCH("Fossilandel för ursprungspecificerad el ()",Miljö!$B$1:$J$1,0),FALSE)</f>
        <v>0</v>
      </c>
      <c r="J33">
        <f>VLOOKUP($B33,Miljö!$B$1:$J$479,MATCH("Kärnkraftsandel för ursprungsspecificerad el ()",Miljö!$B$1:$J$1,0),FALSE)</f>
        <v>0</v>
      </c>
      <c r="L33">
        <f>VLOOKUP($B33,Totalt!$B$1:$BU$497,MATCH("total el",Totalt!$B$1:$BU$1,0),FALSE)</f>
        <v>0.06</v>
      </c>
      <c r="N33">
        <f t="shared" si="0"/>
        <v>6.6000000000000003E-2</v>
      </c>
      <c r="O33">
        <f t="shared" si="1"/>
        <v>15.048</v>
      </c>
      <c r="P33">
        <f t="shared" si="2"/>
        <v>0</v>
      </c>
      <c r="Q33">
        <f t="shared" si="3"/>
        <v>0</v>
      </c>
    </row>
    <row r="34" spans="1:17" x14ac:dyDescent="0.45">
      <c r="A34" s="31" t="s">
        <v>651</v>
      </c>
      <c r="B34" s="31" t="s">
        <v>62</v>
      </c>
      <c r="C34" t="str">
        <f>VLOOKUP($B34,Totalt!$B$1:$BU$497,MATCH("Kvalitetsgranskad:",Totalt!$B$1:$BU$1,0),FALSE)</f>
        <v>Ja</v>
      </c>
      <c r="E34" t="str">
        <f>VLOOKUP($B34,Miljö!$B$1:$AG$479,MATCH(E$1,Miljö!$B$1:$AK$1,0),FALSE)</f>
        <v>Ja</v>
      </c>
      <c r="F34" t="str">
        <f>VLOOKUP($B34,Miljö!$B$1:$J$479,MATCH("Typ av ursprungsspecificerad el   (Om inget värde anges används Nordisk residualmix, se inforuta) ()",Miljö!$B$1:$J$1,0),FALSE)</f>
        <v>-</v>
      </c>
      <c r="G34">
        <f>VLOOKUP($B34,Miljö!$B$1:$J$479,MATCH("Primärenergifaktor ()",Miljö!$B$1:$J$1,0),FALSE)</f>
        <v>2.2000000000000002</v>
      </c>
      <c r="H34">
        <f>VLOOKUP($B34,Miljö!$B$1:$J$479,MATCH("Koldioxidekvivalenter energiomvandling (g/kwh)",Miljö!$B$1:$J$1,0),FALSE)</f>
        <v>250.8</v>
      </c>
      <c r="I34">
        <f>VLOOKUP($B34,Miljö!$B$1:$J$479,MATCH("Fossilandel för ursprungspecificerad el ()",Miljö!$B$1:$J$1,0),FALSE)</f>
        <v>0.35</v>
      </c>
      <c r="J34">
        <f>VLOOKUP($B34,Miljö!$B$1:$J$479,MATCH("Kärnkraftsandel för ursprungsspecificerad el ()",Miljö!$B$1:$J$1,0),FALSE)</f>
        <v>0.3977</v>
      </c>
      <c r="L34">
        <f>VLOOKUP($B34,Totalt!$B$1:$BU$497,MATCH("total el",Totalt!$B$1:$BU$1,0),FALSE)</f>
        <v>8.7911800000000007</v>
      </c>
      <c r="N34">
        <f t="shared" si="0"/>
        <v>19.340596000000001</v>
      </c>
      <c r="O34">
        <f t="shared" si="1"/>
        <v>2204.8279440000001</v>
      </c>
      <c r="P34">
        <f t="shared" si="2"/>
        <v>3.0769130000000002</v>
      </c>
      <c r="Q34">
        <f t="shared" si="3"/>
        <v>3.4962522860000003</v>
      </c>
    </row>
    <row r="35" spans="1:17" x14ac:dyDescent="0.45">
      <c r="A35" s="31" t="s">
        <v>647</v>
      </c>
      <c r="B35" s="31" t="s">
        <v>650</v>
      </c>
      <c r="C35" t="str">
        <f>VLOOKUP($B35,Totalt!$B$1:$BU$497,MATCH("Kvalitetsgranskad:",Totalt!$B$1:$BU$1,0),FALSE)</f>
        <v>Ja</v>
      </c>
      <c r="E35" t="str">
        <f>VLOOKUP($B35,Miljö!$B$1:$AG$479,MATCH(E$1,Miljö!$B$1:$AK$1,0),FALSE)</f>
        <v>Ja</v>
      </c>
      <c r="F35" t="str">
        <f>VLOOKUP($B35,Miljö!$B$1:$J$479,MATCH("Typ av ursprungsspecificerad el   (Om inget värde anges används Nordisk residualmix, se inforuta) ()",Miljö!$B$1:$J$1,0),FALSE)</f>
        <v>'Vattenkraft'</v>
      </c>
      <c r="G35">
        <f>VLOOKUP($B35,Miljö!$B$1:$J$479,MATCH("Primärenergifaktor ()",Miljö!$B$1:$J$1,0),FALSE)</f>
        <v>1.1000000000000001</v>
      </c>
      <c r="H35">
        <f>VLOOKUP($B35,Miljö!$B$1:$J$479,MATCH("Koldioxidekvivalenter energiomvandling (g/kwh)",Miljö!$B$1:$J$1,0),FALSE)</f>
        <v>0</v>
      </c>
      <c r="I35">
        <f>VLOOKUP($B35,Miljö!$B$1:$J$479,MATCH("Fossilandel för ursprungspecificerad el ()",Miljö!$B$1:$J$1,0),FALSE)</f>
        <v>0</v>
      </c>
      <c r="J35">
        <f>VLOOKUP($B35,Miljö!$B$1:$J$479,MATCH("Kärnkraftsandel för ursprungsspecificerad el ()",Miljö!$B$1:$J$1,0),FALSE)</f>
        <v>0</v>
      </c>
      <c r="L35">
        <f>VLOOKUP($B35,Totalt!$B$1:$BU$497,MATCH("total el",Totalt!$B$1:$BU$1,0),FALSE)</f>
        <v>0.51500000000000001</v>
      </c>
      <c r="N35">
        <f t="shared" si="0"/>
        <v>0.56650000000000011</v>
      </c>
      <c r="O35">
        <f t="shared" si="1"/>
        <v>0</v>
      </c>
      <c r="P35">
        <f t="shared" si="2"/>
        <v>0</v>
      </c>
      <c r="Q35">
        <f t="shared" si="3"/>
        <v>0</v>
      </c>
    </row>
    <row r="36" spans="1:17" x14ac:dyDescent="0.45">
      <c r="A36" s="31" t="s">
        <v>647</v>
      </c>
      <c r="B36" s="31" t="s">
        <v>649</v>
      </c>
      <c r="C36" t="str">
        <f>VLOOKUP($B36,Totalt!$B$1:$BU$497,MATCH("Kvalitetsgranskad:",Totalt!$B$1:$BU$1,0),FALSE)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VLOOKUP($B36,Totalt!$B$1:$BU$497,MATCH("total el",Totalt!$B$1:$BU$1,0),FALSE)</f>
        <v>6.2064199999999996</v>
      </c>
      <c r="N36">
        <f t="shared" si="0"/>
        <v>6.8270619999999997</v>
      </c>
      <c r="O36">
        <f t="shared" si="1"/>
        <v>0</v>
      </c>
      <c r="P36">
        <f t="shared" si="2"/>
        <v>0</v>
      </c>
      <c r="Q36">
        <f t="shared" si="3"/>
        <v>0</v>
      </c>
    </row>
    <row r="37" spans="1:17" x14ac:dyDescent="0.45">
      <c r="A37" s="31" t="s">
        <v>647</v>
      </c>
      <c r="B37" s="31" t="s">
        <v>646</v>
      </c>
      <c r="C37" t="str">
        <f>VLOOKUP($B37,Totalt!$B$1:$BU$497,MATCH("Kvalitetsgranskad:",Totalt!$B$1:$BU$1,0),FALSE)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VLOOKUP($B37,Totalt!$B$1:$BU$497,MATCH("total el",Totalt!$B$1:$BU$1,0),FALSE)</f>
        <v>0.59499999999999997</v>
      </c>
      <c r="N37">
        <f t="shared" si="0"/>
        <v>0.65449999999999997</v>
      </c>
      <c r="O37">
        <f t="shared" si="1"/>
        <v>0</v>
      </c>
      <c r="P37">
        <f t="shared" si="2"/>
        <v>0</v>
      </c>
      <c r="Q37">
        <f t="shared" si="3"/>
        <v>0</v>
      </c>
    </row>
    <row r="38" spans="1:17" x14ac:dyDescent="0.45">
      <c r="A38" s="31" t="s">
        <v>644</v>
      </c>
      <c r="B38" s="31" t="s">
        <v>645</v>
      </c>
      <c r="C38" t="str">
        <f>VLOOKUP($B38,Totalt!$B$1:$BU$497,MATCH("Kvalitetsgranskad:",Totalt!$B$1:$BU$1,0),FALSE)</f>
        <v>Ja</v>
      </c>
      <c r="E38" t="str">
        <f>VLOOKUP($B38,Miljö!$B$1:$AG$479,MATCH(E$1,Miljö!$B$1:$AK$1,0),FALSE)</f>
        <v>Ja</v>
      </c>
      <c r="F38" t="str">
        <f>VLOOKUP($B38,Miljö!$B$1:$J$479,MATCH("Typ av ursprungsspecificerad el   (Om inget värde anges används Nordisk residualmix, se inforuta) ()",Miljö!$B$1:$J$1,0),FALSE)</f>
        <v>ET</v>
      </c>
      <c r="G38">
        <f>VLOOKUP($B38,Miljö!$B$1:$J$479,MATCH("Primärenergifaktor ()",Miljö!$B$1:$J$1,0),FALSE)</f>
        <v>2.2000000000000002</v>
      </c>
      <c r="H38">
        <f>VLOOKUP($B38,Miljö!$B$1:$J$479,MATCH("Koldioxidekvivalenter energiomvandling (g/kwh)",Miljö!$B$1:$J$1,0),FALSE)</f>
        <v>250.8</v>
      </c>
      <c r="I38">
        <f>VLOOKUP($B38,Miljö!$B$1:$J$479,MATCH("Fossilandel för ursprungspecificerad el ()",Miljö!$B$1:$J$1,0),FALSE)</f>
        <v>0.35</v>
      </c>
      <c r="J38">
        <f>VLOOKUP($B38,Miljö!$B$1:$J$479,MATCH("Kärnkraftsandel för ursprungsspecificerad el ()",Miljö!$B$1:$J$1,0),FALSE)</f>
        <v>0.3977</v>
      </c>
      <c r="L38">
        <f>VLOOKUP($B38,Totalt!$B$1:$BU$497,MATCH("total el",Totalt!$B$1:$BU$1,0),FALSE)</f>
        <v>0.69240000000000002</v>
      </c>
      <c r="N38">
        <f t="shared" si="0"/>
        <v>1.5232800000000002</v>
      </c>
      <c r="O38">
        <f t="shared" si="1"/>
        <v>173.65392</v>
      </c>
      <c r="P38">
        <f t="shared" si="2"/>
        <v>0.24234</v>
      </c>
      <c r="Q38">
        <f t="shared" si="3"/>
        <v>0.27536748</v>
      </c>
    </row>
    <row r="39" spans="1:17" x14ac:dyDescent="0.45">
      <c r="A39" s="31" t="s">
        <v>644</v>
      </c>
      <c r="B39" s="31" t="s">
        <v>643</v>
      </c>
      <c r="C39" t="str">
        <f>VLOOKUP($B39,Totalt!$B$1:$BU$497,MATCH("Kvalitetsgranskad:",Totalt!$B$1:$BU$1,0),FALSE)</f>
        <v>Ja</v>
      </c>
      <c r="E39" t="str">
        <f>VLOOKUP($B39,Miljö!$B$1:$AG$479,MATCH(E$1,Miljö!$B$1:$AK$1,0),FALSE)</f>
        <v>Ja</v>
      </c>
      <c r="F39" t="str">
        <f>VLOOKUP($B39,Miljö!$B$1:$J$479,MATCH("Typ av ursprungsspecificerad el   (Om inget värde anges används Nordisk residualmix, se inforuta) ()",Miljö!$B$1:$J$1,0),FALSE)</f>
        <v>-</v>
      </c>
      <c r="G39">
        <f>VLOOKUP($B39,Miljö!$B$1:$J$479,MATCH("Primärenergifaktor ()",Miljö!$B$1:$J$1,0),FALSE)</f>
        <v>2.2000000000000002</v>
      </c>
      <c r="H39">
        <f>VLOOKUP($B39,Miljö!$B$1:$J$479,MATCH("Koldioxidekvivalenter energiomvandling (g/kwh)",Miljö!$B$1:$J$1,0),FALSE)</f>
        <v>250.8</v>
      </c>
      <c r="I39">
        <f>VLOOKUP($B39,Miljö!$B$1:$J$479,MATCH("Fossilandel för ursprungspecificerad el ()",Miljö!$B$1:$J$1,0),FALSE)</f>
        <v>0.35</v>
      </c>
      <c r="J39">
        <f>VLOOKUP($B39,Miljö!$B$1:$J$479,MATCH("Kärnkraftsandel för ursprungsspecificerad el ()",Miljö!$B$1:$J$1,0),FALSE)</f>
        <v>0.3977</v>
      </c>
      <c r="L39">
        <f>VLOOKUP($B39,Totalt!$B$1:$BU$497,MATCH("total el",Totalt!$B$1:$BU$1,0),FALSE)</f>
        <v>7.1279999999999996E-2</v>
      </c>
      <c r="N39">
        <f t="shared" si="0"/>
        <v>0.15681600000000001</v>
      </c>
      <c r="O39">
        <f t="shared" si="1"/>
        <v>17.877023999999999</v>
      </c>
      <c r="P39">
        <f t="shared" si="2"/>
        <v>2.4947999999999998E-2</v>
      </c>
      <c r="Q39">
        <f t="shared" si="3"/>
        <v>2.8348056E-2</v>
      </c>
    </row>
    <row r="40" spans="1:17" x14ac:dyDescent="0.45">
      <c r="A40" s="31" t="s">
        <v>640</v>
      </c>
      <c r="B40" s="31" t="s">
        <v>642</v>
      </c>
      <c r="C40" t="str">
        <f>VLOOKUP($B40,Totalt!$B$1:$BU$497,MATCH("Kvalitetsgranskad:",Totalt!$B$1:$BU$1,0),FALSE)</f>
        <v>Ja</v>
      </c>
      <c r="E40" t="str">
        <f>VLOOKUP($B40,Miljö!$B$1:$AG$479,MATCH(E$1,Miljö!$B$1:$AK$1,0),FALSE)</f>
        <v>Ja</v>
      </c>
      <c r="F40" t="str">
        <f>VLOOKUP($B40,Miljö!$B$1:$J$479,MATCH("Typ av ursprungsspecificerad el   (Om inget värde anges används Nordisk residualmix, se inforuta) ()",Miljö!$B$1:$J$1,0),FALSE)</f>
        <v>'Vattenkraft'</v>
      </c>
      <c r="G40">
        <f>VLOOKUP($B40,Miljö!$B$1:$J$479,MATCH("Primärenergifaktor ()",Miljö!$B$1:$J$1,0),FALSE)</f>
        <v>1.1000000000000001</v>
      </c>
      <c r="H40">
        <f>VLOOKUP($B40,Miljö!$B$1:$J$479,MATCH("Koldioxidekvivalenter energiomvandling (g/kwh)",Miljö!$B$1:$J$1,0),FALSE)</f>
        <v>0</v>
      </c>
      <c r="I40">
        <f>VLOOKUP($B40,Miljö!$B$1:$J$479,MATCH("Fossilandel för ursprungspecificerad el ()",Miljö!$B$1:$J$1,0),FALSE)</f>
        <v>0</v>
      </c>
      <c r="J40">
        <f>VLOOKUP($B40,Miljö!$B$1:$J$479,MATCH("Kärnkraftsandel för ursprungsspecificerad el ()",Miljö!$B$1:$J$1,0),FALSE)</f>
        <v>0</v>
      </c>
      <c r="L40">
        <f>VLOOKUP($B40,Totalt!$B$1:$BU$497,MATCH("total el",Totalt!$B$1:$BU$1,0),FALSE)</f>
        <v>9.5464000000000002</v>
      </c>
      <c r="N40">
        <f t="shared" si="0"/>
        <v>10.501040000000001</v>
      </c>
      <c r="O40">
        <f t="shared" si="1"/>
        <v>0</v>
      </c>
      <c r="P40">
        <f t="shared" si="2"/>
        <v>0</v>
      </c>
      <c r="Q40">
        <f t="shared" si="3"/>
        <v>0</v>
      </c>
    </row>
    <row r="41" spans="1:17" x14ac:dyDescent="0.45">
      <c r="A41" s="31" t="s">
        <v>640</v>
      </c>
      <c r="B41" s="31" t="s">
        <v>641</v>
      </c>
      <c r="C41" t="str">
        <f>VLOOKUP($B41,Totalt!$B$1:$BU$497,MATCH("Kvalitetsgranskad:",Totalt!$B$1:$BU$1,0),FALSE)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VLOOKUP($B41,Totalt!$B$1:$BU$497,MATCH("total el",Totalt!$B$1:$BU$1,0),FALSE)</f>
        <v>5.5999999999999999E-3</v>
      </c>
      <c r="N41">
        <f t="shared" si="0"/>
        <v>6.1600000000000005E-3</v>
      </c>
      <c r="O41">
        <f t="shared" si="1"/>
        <v>0</v>
      </c>
      <c r="P41">
        <f t="shared" si="2"/>
        <v>0</v>
      </c>
      <c r="Q41">
        <f t="shared" si="3"/>
        <v>0</v>
      </c>
    </row>
    <row r="42" spans="1:17" x14ac:dyDescent="0.45">
      <c r="A42" s="31" t="s">
        <v>640</v>
      </c>
      <c r="B42" s="31" t="s">
        <v>639</v>
      </c>
      <c r="C42" t="str">
        <f>VLOOKUP($B42,Totalt!$B$1:$BU$497,MATCH("Kvalitetsgranskad:",Totalt!$B$1:$BU$1,0),FALSE)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VLOOKUP($B42,Totalt!$B$1:$BU$497,MATCH("total el",Totalt!$B$1:$BU$1,0),FALSE)</f>
        <v>0.18359999999999999</v>
      </c>
      <c r="N42">
        <f t="shared" si="0"/>
        <v>0.20196</v>
      </c>
      <c r="O42">
        <f t="shared" si="1"/>
        <v>0</v>
      </c>
      <c r="P42">
        <f t="shared" si="2"/>
        <v>0</v>
      </c>
      <c r="Q42">
        <f t="shared" si="3"/>
        <v>0</v>
      </c>
    </row>
    <row r="43" spans="1:17" x14ac:dyDescent="0.45">
      <c r="A43" s="31" t="s">
        <v>637</v>
      </c>
      <c r="B43" s="31" t="s">
        <v>638</v>
      </c>
      <c r="C43" t="str">
        <f>VLOOKUP($B43,Totalt!$B$1:$BU$497,MATCH("Kvalitetsgranskad:",Totalt!$B$1:$BU$1,0),FALSE)</f>
        <v>Ja</v>
      </c>
      <c r="E43" t="str">
        <f>VLOOKUP($B43,Miljö!$B$1:$AG$479,MATCH(E$1,Miljö!$B$1:$AK$1,0),FALSE)</f>
        <v>Ja</v>
      </c>
      <c r="F43" t="str">
        <f>VLOOKUP($B43,Miljö!$B$1:$J$479,MATCH("Typ av ursprungsspecificerad el   (Om inget värde anges används Nordisk residualmix, se inforuta) ()",Miljö!$B$1:$J$1,0),FALSE)</f>
        <v>'Ursprungsmärkt egenproducerad el'</v>
      </c>
      <c r="G43">
        <f>VLOOKUP($B43,Miljö!$B$1:$J$479,MATCH("Primärenergifaktor ()",Miljö!$B$1:$J$1,0),FALSE)</f>
        <v>1.05</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VLOOKUP($B43,Totalt!$B$1:$BU$497,MATCH("total el",Totalt!$B$1:$BU$1,0),FALSE)</f>
        <v>22.472200000000001</v>
      </c>
      <c r="N43">
        <f t="shared" si="0"/>
        <v>23.59581</v>
      </c>
      <c r="O43">
        <f t="shared" si="1"/>
        <v>0</v>
      </c>
      <c r="P43">
        <f t="shared" si="2"/>
        <v>0</v>
      </c>
      <c r="Q43">
        <f t="shared" si="3"/>
        <v>0</v>
      </c>
    </row>
    <row r="44" spans="1:17" x14ac:dyDescent="0.45">
      <c r="A44" s="31" t="s">
        <v>637</v>
      </c>
      <c r="B44" s="31" t="s">
        <v>636</v>
      </c>
      <c r="C44" t="str">
        <f>VLOOKUP($B44,Totalt!$B$1:$BU$497,MATCH("Kvalitetsgranskad:",Totalt!$B$1:$BU$1,0),FALSE)</f>
        <v>Ja</v>
      </c>
      <c r="E44" t="str">
        <f>VLOOKUP($B44,Miljö!$B$1:$AG$479,MATCH(E$1,Miljö!$B$1:$AK$1,0),FALSE)</f>
        <v>Ja</v>
      </c>
      <c r="F44" t="str">
        <f>VLOOKUP($B44,Miljö!$B$1:$J$479,MATCH("Typ av ursprungsspecificerad el   (Om inget värde anges används Nordisk residualmix, se inforuta) ()",Miljö!$B$1:$J$1,0),FALSE)</f>
        <v>'Egenproducerad el från kraftvärme och vattenkraft</v>
      </c>
      <c r="G44">
        <f>VLOOKUP($B44,Miljö!$B$1:$J$479,MATCH("Primärenergifaktor ()",Miljö!$B$1:$J$1,0),FALSE)</f>
        <v>1.05</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VLOOKUP($B44,Totalt!$B$1:$BU$497,MATCH("total el",Totalt!$B$1:$BU$1,0),FALSE)</f>
        <v>0.161</v>
      </c>
      <c r="N44">
        <f t="shared" si="0"/>
        <v>0.16905000000000001</v>
      </c>
      <c r="O44">
        <f t="shared" si="1"/>
        <v>0</v>
      </c>
      <c r="P44">
        <f t="shared" si="2"/>
        <v>0</v>
      </c>
      <c r="Q44">
        <f t="shared" si="3"/>
        <v>0</v>
      </c>
    </row>
    <row r="45" spans="1:17" x14ac:dyDescent="0.45">
      <c r="A45" s="31" t="s">
        <v>635</v>
      </c>
      <c r="B45" s="31" t="s">
        <v>634</v>
      </c>
      <c r="C45" t="str">
        <f>VLOOKUP($B45,Totalt!$B$1:$BU$497,MATCH("Kvalitetsgranskad:",Totalt!$B$1:$BU$1,0),FALSE)</f>
        <v>Ja</v>
      </c>
      <c r="E45" t="str">
        <f>VLOOKUP($B45,Miljö!$B$1:$AG$479,MATCH(E$1,Miljö!$B$1:$AK$1,0),FALSE)</f>
        <v>Ja</v>
      </c>
      <c r="F45" t="str">
        <f>VLOOKUP($B45,Miljö!$B$1:$J$479,MATCH("Typ av ursprungsspecificerad el   (Om inget värde anges används Nordisk residualmix, se inforuta) ()",Miljö!$B$1:$J$1,0),FALSE)</f>
        <v>'Förnybar'</v>
      </c>
      <c r="G45">
        <f>VLOOKUP($B45,Miljö!$B$1:$J$479,MATCH("Primärenergifaktor ()",Miljö!$B$1:$J$1,0),FALSE)</f>
        <v>1.1000000000000001</v>
      </c>
      <c r="H45">
        <f>VLOOKUP($B45,Miljö!$B$1:$J$479,MATCH("Koldioxidekvivalenter energiomvandling (g/kwh)",Miljö!$B$1:$J$1,0),FALSE)</f>
        <v>0</v>
      </c>
      <c r="I45">
        <f>VLOOKUP($B45,Miljö!$B$1:$J$479,MATCH("Fossilandel för ursprungspecificerad el ()",Miljö!$B$1:$J$1,0),FALSE)</f>
        <v>0</v>
      </c>
      <c r="J45">
        <f>VLOOKUP($B45,Miljö!$B$1:$J$479,MATCH("Kärnkraftsandel för ursprungsspecificerad el ()",Miljö!$B$1:$J$1,0),FALSE)</f>
        <v>0</v>
      </c>
      <c r="L45">
        <f>VLOOKUP($B45,Totalt!$B$1:$BU$497,MATCH("total el",Totalt!$B$1:$BU$1,0),FALSE)</f>
        <v>0.13500000000000001</v>
      </c>
      <c r="N45">
        <f t="shared" si="0"/>
        <v>0.14850000000000002</v>
      </c>
      <c r="O45">
        <f t="shared" si="1"/>
        <v>0</v>
      </c>
      <c r="P45">
        <f t="shared" si="2"/>
        <v>0</v>
      </c>
      <c r="Q45">
        <f t="shared" si="3"/>
        <v>0</v>
      </c>
    </row>
    <row r="46" spans="1:17" x14ac:dyDescent="0.45">
      <c r="A46" s="31" t="s">
        <v>633</v>
      </c>
      <c r="B46" s="31" t="s">
        <v>65</v>
      </c>
      <c r="C46" t="str">
        <f>VLOOKUP($B46,Totalt!$B$1:$BU$497,MATCH("Kvalitetsgranskad:",Totalt!$B$1:$BU$1,0),FALSE)</f>
        <v>Ja</v>
      </c>
      <c r="E46" t="str">
        <f>VLOOKUP($B46,Miljö!$B$1:$AG$479,MATCH(E$1,Miljö!$B$1:$AK$1,0),FALSE)</f>
        <v>Ja</v>
      </c>
      <c r="F46" t="str">
        <f>VLOOKUP($B46,Miljö!$B$1:$J$479,MATCH("Typ av ursprungsspecificerad el   (Om inget värde anges används Nordisk residualmix, se inforuta) ()",Miljö!$B$1:$J$1,0),FALSE)</f>
        <v>' Nordisk residual'</v>
      </c>
      <c r="G46">
        <f>VLOOKUP($B46,Miljö!$B$1:$J$479,MATCH("Primärenergifaktor ()",Miljö!$B$1:$J$1,0),FALSE)</f>
        <v>2.2000000000000002</v>
      </c>
      <c r="H46">
        <f>VLOOKUP($B46,Miljö!$B$1:$J$479,MATCH("Koldioxidekvivalenter energiomvandling (g/kwh)",Miljö!$B$1:$J$1,0),FALSE)</f>
        <v>250.8</v>
      </c>
      <c r="I46">
        <f>VLOOKUP($B46,Miljö!$B$1:$J$479,MATCH("Fossilandel för ursprungspecificerad el ()",Miljö!$B$1:$J$1,0),FALSE)</f>
        <v>0.35</v>
      </c>
      <c r="J46">
        <f>VLOOKUP($B46,Miljö!$B$1:$J$479,MATCH("Kärnkraftsandel för ursprungsspecificerad el ()",Miljö!$B$1:$J$1,0),FALSE)</f>
        <v>0.3977</v>
      </c>
      <c r="L46">
        <f>VLOOKUP($B46,Totalt!$B$1:$BU$497,MATCH("total el",Totalt!$B$1:$BU$1,0),FALSE)</f>
        <v>0.69758999999999993</v>
      </c>
      <c r="N46">
        <f t="shared" si="0"/>
        <v>1.5346979999999999</v>
      </c>
      <c r="O46">
        <f t="shared" si="1"/>
        <v>174.95557199999999</v>
      </c>
      <c r="P46">
        <f t="shared" si="2"/>
        <v>0.24415649999999997</v>
      </c>
      <c r="Q46">
        <f t="shared" si="3"/>
        <v>0.27743154299999995</v>
      </c>
    </row>
    <row r="47" spans="1:17" x14ac:dyDescent="0.45">
      <c r="A47" s="31" t="s">
        <v>631</v>
      </c>
      <c r="B47" s="31" t="s">
        <v>632</v>
      </c>
      <c r="C47" t="str">
        <f>VLOOKUP($B47,Totalt!$B$1:$BU$497,MATCH("Kvalitetsgranskad:",Totalt!$B$1:$BU$1,0),FALSE)</f>
        <v>Ja</v>
      </c>
      <c r="E47" t="str">
        <f>VLOOKUP($B47,Miljö!$B$1:$AG$479,MATCH(E$1,Miljö!$B$1:$AK$1,0),FALSE)</f>
        <v>Ja</v>
      </c>
      <c r="F47" t="str">
        <f>VLOOKUP($B47,Miljö!$B$1:$J$479,MATCH("Typ av ursprungsspecificerad el   (Om inget värde anges används Nordisk residualmix, se inforuta) ()",Miljö!$B$1:$J$1,0),FALSE)</f>
        <v>'C4 Energi 100% fossilfritt'</v>
      </c>
      <c r="G47">
        <f>VLOOKUP($B47,Miljö!$B$1:$J$479,MATCH("Primärenergifaktor ()",Miljö!$B$1:$J$1,0),FALSE)</f>
        <v>0.13600000000000001</v>
      </c>
      <c r="H47">
        <f>VLOOKUP($B47,Miljö!$B$1:$J$479,MATCH("Koldioxidekvivalenter energiomvandling (g/kwh)",Miljö!$B$1:$J$1,0),FALSE)</f>
        <v>0</v>
      </c>
      <c r="I47">
        <f>VLOOKUP($B47,Miljö!$B$1:$J$479,MATCH("Fossilandel för ursprungspecificerad el ()",Miljö!$B$1:$J$1,0),FALSE)</f>
        <v>0</v>
      </c>
      <c r="J47">
        <f>VLOOKUP($B47,Miljö!$B$1:$J$479,MATCH("Kärnkraftsandel för ursprungsspecificerad el ()",Miljö!$B$1:$J$1,0),FALSE)</f>
        <v>0</v>
      </c>
      <c r="L47">
        <f>VLOOKUP($B47,Totalt!$B$1:$BU$497,MATCH("total el",Totalt!$B$1:$BU$1,0),FALSE)</f>
        <v>0.13800000000000001</v>
      </c>
      <c r="N47">
        <f t="shared" si="0"/>
        <v>1.8768000000000003E-2</v>
      </c>
      <c r="O47">
        <f t="shared" si="1"/>
        <v>0</v>
      </c>
      <c r="P47">
        <f t="shared" si="2"/>
        <v>0</v>
      </c>
      <c r="Q47">
        <f t="shared" si="3"/>
        <v>0</v>
      </c>
    </row>
    <row r="48" spans="1:17" x14ac:dyDescent="0.45">
      <c r="A48" s="31" t="s">
        <v>631</v>
      </c>
      <c r="B48" s="31" t="s">
        <v>630</v>
      </c>
      <c r="C48" t="str">
        <f>VLOOKUP($B48,Totalt!$B$1:$BU$497,MATCH("Kvalitetsgranskad:",Totalt!$B$1:$BU$1,0),FALSE)</f>
        <v>Ja</v>
      </c>
      <c r="E48" t="str">
        <f>VLOOKUP($B48,Miljö!$B$1:$AG$479,MATCH(E$1,Miljö!$B$1:$AK$1,0),FALSE)</f>
        <v>Ja</v>
      </c>
      <c r="F48" t="str">
        <f>VLOOKUP($B48,Miljö!$B$1:$J$479,MATCH("Typ av ursprungsspecificerad el   (Om inget värde anges används Nordisk residualmix, se inforuta) ()",Miljö!$B$1:$J$1,0),FALSE)</f>
        <v>'Egenproducerad grön 100%'</v>
      </c>
      <c r="G48">
        <f>VLOOKUP($B48,Miljö!$B$1:$J$479,MATCH("Primärenergifaktor ()",Miljö!$B$1:$J$1,0),FALSE)</f>
        <v>0.13600000000000001</v>
      </c>
      <c r="H48">
        <f>VLOOKUP($B48,Miljö!$B$1:$J$479,MATCH("Koldioxidekvivalenter energiomvandling (g/kwh)",Miljö!$B$1:$J$1,0),FALSE)</f>
        <v>0</v>
      </c>
      <c r="I48">
        <f>VLOOKUP($B48,Miljö!$B$1:$J$479,MATCH("Fossilandel för ursprungspecificerad el ()",Miljö!$B$1:$J$1,0),FALSE)</f>
        <v>0</v>
      </c>
      <c r="J48">
        <f>VLOOKUP($B48,Miljö!$B$1:$J$479,MATCH("Kärnkraftsandel för ursprungsspecificerad el ()",Miljö!$B$1:$J$1,0),FALSE)</f>
        <v>0</v>
      </c>
      <c r="L48">
        <f>VLOOKUP($B48,Totalt!$B$1:$BU$497,MATCH("total el",Totalt!$B$1:$BU$1,0),FALSE)</f>
        <v>10.459099999999999</v>
      </c>
      <c r="N48">
        <f t="shared" si="0"/>
        <v>1.4224376000000001</v>
      </c>
      <c r="O48">
        <f t="shared" si="1"/>
        <v>0</v>
      </c>
      <c r="P48">
        <f t="shared" si="2"/>
        <v>0</v>
      </c>
      <c r="Q48">
        <f t="shared" si="3"/>
        <v>0</v>
      </c>
    </row>
    <row r="49" spans="1:17" x14ac:dyDescent="0.45">
      <c r="A49" s="31" t="s">
        <v>628</v>
      </c>
      <c r="B49" s="31" t="s">
        <v>629</v>
      </c>
      <c r="C49" t="str">
        <f>VLOOKUP($B49,Totalt!$B$1:$BU$497,MATCH("Kvalitetsgranskad:",Totalt!$B$1:$BU$1,0),FALSE)</f>
        <v>Ja</v>
      </c>
      <c r="E49" t="str">
        <f>VLOOKUP($B49,Miljö!$B$1:$AG$479,MATCH(E$1,Miljö!$B$1:$AK$1,0),FALSE)</f>
        <v>Ja</v>
      </c>
      <c r="F49" t="str">
        <f>VLOOKUP($B49,Miljö!$B$1:$J$479,MATCH("Typ av ursprungsspecificerad el   (Om inget värde anges används Nordisk residualmix, se inforuta) ()",Miljö!$B$1:$J$1,0),FALSE)</f>
        <v>'!00% förnybart från Dala Kraft'</v>
      </c>
      <c r="G49">
        <f>VLOOKUP($B49,Miljö!$B$1:$J$479,MATCH("Primärenergifaktor ()",Miljö!$B$1:$J$1,0),FALSE)</f>
        <v>1.1000000000000001</v>
      </c>
      <c r="H49">
        <f>VLOOKUP($B49,Miljö!$B$1:$J$479,MATCH("Koldioxidekvivalenter energiomvandling (g/kwh)",Miljö!$B$1:$J$1,0),FALSE)</f>
        <v>0</v>
      </c>
      <c r="I49">
        <f>VLOOKUP($B49,Miljö!$B$1:$J$479,MATCH("Fossilandel för ursprungspecificerad el ()",Miljö!$B$1:$J$1,0),FALSE)</f>
        <v>0</v>
      </c>
      <c r="J49">
        <f>VLOOKUP($B49,Miljö!$B$1:$J$479,MATCH("Kärnkraftsandel för ursprungsspecificerad el ()",Miljö!$B$1:$J$1,0),FALSE)</f>
        <v>0</v>
      </c>
      <c r="L49">
        <f>VLOOKUP($B49,Totalt!$B$1:$BU$497,MATCH("total el",Totalt!$B$1:$BU$1,0),FALSE)</f>
        <v>2.8000000000000001E-2</v>
      </c>
      <c r="N49">
        <f t="shared" si="0"/>
        <v>3.0800000000000004E-2</v>
      </c>
      <c r="O49">
        <f t="shared" si="1"/>
        <v>0</v>
      </c>
      <c r="P49">
        <f t="shared" si="2"/>
        <v>0</v>
      </c>
      <c r="Q49">
        <f t="shared" si="3"/>
        <v>0</v>
      </c>
    </row>
    <row r="50" spans="1:17" x14ac:dyDescent="0.45">
      <c r="A50" s="31" t="s">
        <v>628</v>
      </c>
      <c r="B50" s="31" t="s">
        <v>627</v>
      </c>
      <c r="C50" t="str">
        <f>VLOOKUP($B50,Totalt!$B$1:$BU$497,MATCH("Kvalitetsgranskad:",Totalt!$B$1:$BU$1,0),FALSE)</f>
        <v>Ja</v>
      </c>
      <c r="E50" t="str">
        <f>VLOOKUP($B50,Miljö!$B$1:$AG$479,MATCH(E$1,Miljö!$B$1:$AK$1,0),FALSE)</f>
        <v>Ja</v>
      </c>
      <c r="F50" t="str">
        <f>VLOOKUP($B50,Miljö!$B$1:$J$479,MATCH("Typ av ursprungsspecificerad el   (Om inget värde anges används Nordisk residualmix, se inforuta) ()",Miljö!$B$1:$J$1,0),FALSE)</f>
        <v>'100% förnybar el från Dala Kraft'</v>
      </c>
      <c r="G50">
        <f>VLOOKUP($B50,Miljö!$B$1:$J$479,MATCH("Primärenergifaktor ()",Miljö!$B$1:$J$1,0),FALSE)</f>
        <v>1.1000000000000001</v>
      </c>
      <c r="H50">
        <f>VLOOKUP($B50,Miljö!$B$1:$J$479,MATCH("Koldioxidekvivalenter energiomvandling (g/kwh)",Miljö!$B$1:$J$1,0),FALSE)</f>
        <v>0</v>
      </c>
      <c r="I50">
        <f>VLOOKUP($B50,Miljö!$B$1:$J$479,MATCH("Fossilandel för ursprungspecificerad el ()",Miljö!$B$1:$J$1,0),FALSE)</f>
        <v>0</v>
      </c>
      <c r="J50">
        <f>VLOOKUP($B50,Miljö!$B$1:$J$479,MATCH("Kärnkraftsandel för ursprungsspecificerad el ()",Miljö!$B$1:$J$1,0),FALSE)</f>
        <v>0</v>
      </c>
      <c r="L50">
        <f>VLOOKUP($B50,Totalt!$B$1:$BU$497,MATCH("total el",Totalt!$B$1:$BU$1,0),FALSE)</f>
        <v>1.1060000000000001</v>
      </c>
      <c r="N50">
        <f t="shared" si="0"/>
        <v>1.2166000000000001</v>
      </c>
      <c r="O50">
        <f t="shared" si="1"/>
        <v>0</v>
      </c>
      <c r="P50">
        <f t="shared" si="2"/>
        <v>0</v>
      </c>
      <c r="Q50">
        <f t="shared" si="3"/>
        <v>0</v>
      </c>
    </row>
    <row r="51" spans="1:17" x14ac:dyDescent="0.45">
      <c r="A51" s="31" t="s">
        <v>623</v>
      </c>
      <c r="B51" s="31" t="s">
        <v>626</v>
      </c>
      <c r="C51" t="str">
        <f>VLOOKUP($B51,Totalt!$B$1:$BU$497,MATCH("Kvalitetsgranskad:",Totalt!$B$1:$BU$1,0),FALSE)</f>
        <v>Ja</v>
      </c>
      <c r="E51" t="str">
        <f>VLOOKUP($B51,Miljö!$B$1:$AG$479,MATCH(E$1,Miljö!$B$1:$AK$1,0),FALSE)</f>
        <v>Ja</v>
      </c>
      <c r="F51" t="str">
        <f>VLOOKUP($B51,Miljö!$B$1:$J$479,MATCH("Typ av ursprungsspecificerad el   (Om inget värde anges används Nordisk residualmix, se inforuta) ()",Miljö!$B$1:$J$1,0),FALSE)</f>
        <v>'Vattenkraft'</v>
      </c>
      <c r="G51">
        <f>VLOOKUP($B51,Miljö!$B$1:$J$479,MATCH("Primärenergifaktor ()",Miljö!$B$1:$J$1,0),FALSE)</f>
        <v>1.1000000000000001</v>
      </c>
      <c r="H51">
        <f>VLOOKUP($B51,Miljö!$B$1:$J$479,MATCH("Koldioxidekvivalenter energiomvandling (g/kwh)",Miljö!$B$1:$J$1,0),FALSE)</f>
        <v>0</v>
      </c>
      <c r="I51">
        <f>VLOOKUP($B51,Miljö!$B$1:$J$479,MATCH("Fossilandel för ursprungspecificerad el ()",Miljö!$B$1:$J$1,0),FALSE)</f>
        <v>0</v>
      </c>
      <c r="J51">
        <f>VLOOKUP($B51,Miljö!$B$1:$J$479,MATCH("Kärnkraftsandel för ursprungsspecificerad el ()",Miljö!$B$1:$J$1,0),FALSE)</f>
        <v>0</v>
      </c>
      <c r="L51">
        <f>VLOOKUP($B51,Totalt!$B$1:$BU$497,MATCH("total el",Totalt!$B$1:$BU$1,0),FALSE)</f>
        <v>0.70299999999999996</v>
      </c>
      <c r="N51">
        <f t="shared" si="0"/>
        <v>0.77329999999999999</v>
      </c>
      <c r="O51">
        <f t="shared" si="1"/>
        <v>0</v>
      </c>
      <c r="P51">
        <f t="shared" si="2"/>
        <v>0</v>
      </c>
      <c r="Q51">
        <f t="shared" si="3"/>
        <v>0</v>
      </c>
    </row>
    <row r="52" spans="1:17" x14ac:dyDescent="0.45">
      <c r="A52" s="31" t="s">
        <v>623</v>
      </c>
      <c r="B52" s="31" t="s">
        <v>625</v>
      </c>
      <c r="C52" t="str">
        <f>VLOOKUP($B52,Totalt!$B$1:$BU$497,MATCH("Kvalitetsgranskad:",Totalt!$B$1:$BU$1,0),FALSE)</f>
        <v>Nej</v>
      </c>
      <c r="E52" t="str">
        <f>VLOOKUP($B52,Miljö!$B$1:$AG$479,MATCH(E$1,Miljö!$B$1:$AK$1,0),FALSE)</f>
        <v>Nej</v>
      </c>
      <c r="F52" t="str">
        <f>VLOOKUP($B52,Miljö!$B$1:$J$479,MATCH("Typ av ursprungsspecificerad el   (Om inget värde anges används Nordisk residualmix, se inforuta) ()",Miljö!$B$1:$J$1,0),FALSE)</f>
        <v>-</v>
      </c>
      <c r="G52" t="str">
        <f>VLOOKUP($B52,Miljö!$B$1:$J$479,MATCH("Primärenergifaktor ()",Miljö!$B$1:$J$1,0),FALSE)</f>
        <v>-</v>
      </c>
      <c r="H52" t="str">
        <f>VLOOKUP($B52,Miljö!$B$1:$J$479,MATCH("Koldioxidekvivalenter energiomvandling (g/kwh)",Miljö!$B$1:$J$1,0),FALSE)</f>
        <v>-</v>
      </c>
      <c r="I52" t="str">
        <f>VLOOKUP($B52,Miljö!$B$1:$J$479,MATCH("Fossilandel för ursprungspecificerad el ()",Miljö!$B$1:$J$1,0),FALSE)</f>
        <v>-</v>
      </c>
      <c r="J52" t="str">
        <f>VLOOKUP($B52,Miljö!$B$1:$J$479,MATCH("Kärnkraftsandel för ursprungsspecificerad el ()",Miljö!$B$1:$J$1,0),FALSE)</f>
        <v>-</v>
      </c>
      <c r="L52">
        <f>VLOOKUP($B52,Totalt!$B$1:$BU$497,MATCH("total el",Totalt!$B$1:$BU$1,0),FALSE)</f>
        <v>0</v>
      </c>
      <c r="N52" t="str">
        <f t="shared" si="0"/>
        <v/>
      </c>
      <c r="O52" t="str">
        <f t="shared" si="1"/>
        <v/>
      </c>
      <c r="P52" t="str">
        <f t="shared" si="2"/>
        <v/>
      </c>
      <c r="Q52" t="str">
        <f t="shared" si="3"/>
        <v/>
      </c>
    </row>
    <row r="53" spans="1:17" x14ac:dyDescent="0.45">
      <c r="A53" s="31" t="s">
        <v>623</v>
      </c>
      <c r="B53" s="31" t="s">
        <v>624</v>
      </c>
      <c r="C53" t="str">
        <f>VLOOKUP($B53,Totalt!$B$1:$BU$497,MATCH("Kvalitetsgranskad:",Totalt!$B$1:$BU$1,0),FALSE)</f>
        <v>Ja</v>
      </c>
      <c r="E53" t="str">
        <f>VLOOKUP($B53,Miljö!$B$1:$AG$479,MATCH(E$1,Miljö!$B$1:$AK$1,0),FALSE)</f>
        <v>Ja</v>
      </c>
      <c r="F53" t="str">
        <f>VLOOKUP($B53,Miljö!$B$1:$J$479,MATCH("Typ av ursprungsspecificerad el   (Om inget värde anges används Nordisk residualmix, se inforuta) ()",Miljö!$B$1:$J$1,0),FALSE)</f>
        <v>'Vattenkraft'</v>
      </c>
      <c r="G53">
        <f>VLOOKUP($B53,Miljö!$B$1:$J$479,MATCH("Primärenergifaktor ()",Miljö!$B$1:$J$1,0),FALSE)</f>
        <v>1.1000000000000001</v>
      </c>
      <c r="H53">
        <f>VLOOKUP($B53,Miljö!$B$1:$J$479,MATCH("Koldioxidekvivalenter energiomvandling (g/kwh)",Miljö!$B$1:$J$1,0),FALSE)</f>
        <v>0</v>
      </c>
      <c r="I53">
        <f>VLOOKUP($B53,Miljö!$B$1:$J$479,MATCH("Fossilandel för ursprungspecificerad el ()",Miljö!$B$1:$J$1,0),FALSE)</f>
        <v>0</v>
      </c>
      <c r="J53">
        <f>VLOOKUP($B53,Miljö!$B$1:$J$479,MATCH("Kärnkraftsandel för ursprungsspecificerad el ()",Miljö!$B$1:$J$1,0),FALSE)</f>
        <v>0</v>
      </c>
      <c r="L53">
        <f>VLOOKUP($B53,Totalt!$B$1:$BU$497,MATCH("total el",Totalt!$B$1:$BU$1,0),FALSE)</f>
        <v>4.1000000000000002E-2</v>
      </c>
      <c r="N53">
        <f t="shared" si="0"/>
        <v>4.5100000000000008E-2</v>
      </c>
      <c r="O53">
        <f t="shared" si="1"/>
        <v>0</v>
      </c>
      <c r="P53">
        <f t="shared" si="2"/>
        <v>0</v>
      </c>
      <c r="Q53">
        <f t="shared" si="3"/>
        <v>0</v>
      </c>
    </row>
    <row r="54" spans="1:17" x14ac:dyDescent="0.45">
      <c r="A54" s="31" t="s">
        <v>623</v>
      </c>
      <c r="B54" s="31" t="s">
        <v>622</v>
      </c>
      <c r="C54" t="str">
        <f>VLOOKUP($B54,Totalt!$B$1:$BU$497,MATCH("Kvalitetsgranskad:",Totalt!$B$1:$BU$1,0),FALSE)</f>
        <v>Ja</v>
      </c>
      <c r="E54" t="str">
        <f>VLOOKUP($B54,Miljö!$B$1:$AG$479,MATCH(E$1,Miljö!$B$1:$AK$1,0),FALSE)</f>
        <v>Ja</v>
      </c>
      <c r="F54" t="str">
        <f>VLOOKUP($B54,Miljö!$B$1:$J$479,MATCH("Typ av ursprungsspecificerad el   (Om inget värde anges används Nordisk residualmix, se inforuta) ()",Miljö!$B$1:$J$1,0),FALSE)</f>
        <v>'-'</v>
      </c>
      <c r="G54">
        <f>VLOOKUP($B54,Miljö!$B$1:$J$479,MATCH("Primärenergifaktor ()",Miljö!$B$1:$J$1,0),FALSE)</f>
        <v>2.2000000000000002</v>
      </c>
      <c r="H54">
        <f>VLOOKUP($B54,Miljö!$B$1:$J$479,MATCH("Koldioxidekvivalenter energiomvandling (g/kwh)",Miljö!$B$1:$J$1,0),FALSE)</f>
        <v>250.8</v>
      </c>
      <c r="I54">
        <f>VLOOKUP($B54,Miljö!$B$1:$J$479,MATCH("Fossilandel för ursprungspecificerad el ()",Miljö!$B$1:$J$1,0),FALSE)</f>
        <v>0.35</v>
      </c>
      <c r="J54">
        <f>VLOOKUP($B54,Miljö!$B$1:$J$479,MATCH("Kärnkraftsandel för ursprungsspecificerad el ()",Miljö!$B$1:$J$1,0),FALSE)</f>
        <v>0.3977</v>
      </c>
      <c r="L54">
        <f>VLOOKUP($B54,Totalt!$B$1:$BU$497,MATCH("total el",Totalt!$B$1:$BU$1,0),FALSE)</f>
        <v>1.4189999999999999E-2</v>
      </c>
      <c r="N54">
        <f t="shared" si="0"/>
        <v>3.1218000000000003E-2</v>
      </c>
      <c r="O54">
        <f t="shared" si="1"/>
        <v>3.5588519999999999</v>
      </c>
      <c r="P54">
        <f t="shared" si="2"/>
        <v>4.9664999999999996E-3</v>
      </c>
      <c r="Q54">
        <f t="shared" si="3"/>
        <v>5.6433630000000002E-3</v>
      </c>
    </row>
    <row r="55" spans="1:17" x14ac:dyDescent="0.45">
      <c r="A55" s="31" t="s">
        <v>610</v>
      </c>
      <c r="B55" s="31" t="s">
        <v>613</v>
      </c>
      <c r="C55" t="str">
        <f>VLOOKUP($B55,Totalt!$B$1:$BU$497,MATCH("Kvalitetsgranskad:",Totalt!$B$1:$BU$1,0),FALSE)</f>
        <v>Ja</v>
      </c>
      <c r="E55" t="str">
        <f>VLOOKUP($B55,Miljö!$B$1:$AG$479,MATCH(E$1,Miljö!$B$1:$AK$1,0),FALSE)</f>
        <v>Ja</v>
      </c>
      <c r="F55" t="str">
        <f>VLOOKUP($B55,Miljö!$B$1:$J$479,MATCH("Typ av ursprungsspecificerad el   (Om inget värde anges används Nordisk residualmix, se inforuta) ()",Miljö!$B$1:$J$1,0),FALSE)</f>
        <v>-</v>
      </c>
      <c r="G55">
        <f>VLOOKUP($B55,Miljö!$B$1:$J$479,MATCH("Primärenergifaktor ()",Miljö!$B$1:$J$1,0),FALSE)</f>
        <v>2.2000000000000002</v>
      </c>
      <c r="H55">
        <f>VLOOKUP($B55,Miljö!$B$1:$J$479,MATCH("Koldioxidekvivalenter energiomvandling (g/kwh)",Miljö!$B$1:$J$1,0),FALSE)</f>
        <v>250.8</v>
      </c>
      <c r="I55">
        <f>VLOOKUP($B55,Miljö!$B$1:$J$479,MATCH("Fossilandel för ursprungspecificerad el ()",Miljö!$B$1:$J$1,0),FALSE)</f>
        <v>0.35</v>
      </c>
      <c r="J55">
        <f>VLOOKUP($B55,Miljö!$B$1:$J$479,MATCH("Kärnkraftsandel för ursprungsspecificerad el ()",Miljö!$B$1:$J$1,0),FALSE)</f>
        <v>0.3977</v>
      </c>
      <c r="L55">
        <f>VLOOKUP($B55,Totalt!$B$1:$BU$497,MATCH("total el",Totalt!$B$1:$BU$1,0),FALSE)</f>
        <v>37.8142</v>
      </c>
      <c r="N55">
        <f t="shared" si="0"/>
        <v>83.191240000000008</v>
      </c>
      <c r="O55">
        <f t="shared" si="1"/>
        <v>9483.8013599999995</v>
      </c>
      <c r="P55">
        <f t="shared" si="2"/>
        <v>13.234969999999999</v>
      </c>
      <c r="Q55">
        <f t="shared" si="3"/>
        <v>15.03870734</v>
      </c>
    </row>
    <row r="56" spans="1:17" x14ac:dyDescent="0.45">
      <c r="A56" s="31" t="s">
        <v>610</v>
      </c>
      <c r="B56" s="31" t="s">
        <v>621</v>
      </c>
      <c r="C56" t="str">
        <f>VLOOKUP($B56,Totalt!$B$1:$BU$497,MATCH("Kvalitetsgranskad:",Totalt!$B$1:$BU$1,0),FALSE)</f>
        <v>Nej</v>
      </c>
      <c r="E56" t="str">
        <f>VLOOKUP($B56,Miljö!$B$1:$AG$479,MATCH(E$1,Miljö!$B$1:$AK$1,0),FALSE)</f>
        <v>Ja</v>
      </c>
      <c r="F56" t="str">
        <f>VLOOKUP($B56,Miljö!$B$1:$J$479,MATCH("Typ av ursprungsspecificerad el   (Om inget värde anges används Nordisk residualmix, se inforuta) ()",Miljö!$B$1:$J$1,0),FALSE)</f>
        <v>-</v>
      </c>
      <c r="G56">
        <f>VLOOKUP($B56,Miljö!$B$1:$J$479,MATCH("Primärenergifaktor ()",Miljö!$B$1:$J$1,0),FALSE)</f>
        <v>2.2000000000000002</v>
      </c>
      <c r="H56">
        <f>VLOOKUP($B56,Miljö!$B$1:$J$479,MATCH("Koldioxidekvivalenter energiomvandling (g/kwh)",Miljö!$B$1:$J$1,0),FALSE)</f>
        <v>250.8</v>
      </c>
      <c r="I56">
        <f>VLOOKUP($B56,Miljö!$B$1:$J$479,MATCH("Fossilandel för ursprungspecificerad el ()",Miljö!$B$1:$J$1,0),FALSE)</f>
        <v>0.35</v>
      </c>
      <c r="J56">
        <f>VLOOKUP($B56,Miljö!$B$1:$J$479,MATCH("Kärnkraftsandel för ursprungsspecificerad el ()",Miljö!$B$1:$J$1,0),FALSE)</f>
        <v>0.3977</v>
      </c>
      <c r="L56">
        <f>VLOOKUP($B56,Totalt!$B$1:$BU$497,MATCH("total el",Totalt!$B$1:$BU$1,0),FALSE)</f>
        <v>0</v>
      </c>
      <c r="N56">
        <f t="shared" si="0"/>
        <v>0</v>
      </c>
      <c r="O56">
        <f t="shared" si="1"/>
        <v>0</v>
      </c>
      <c r="P56">
        <f t="shared" si="2"/>
        <v>0</v>
      </c>
      <c r="Q56">
        <f t="shared" si="3"/>
        <v>0</v>
      </c>
    </row>
    <row r="57" spans="1:17" x14ac:dyDescent="0.45">
      <c r="A57" s="31" t="s">
        <v>610</v>
      </c>
      <c r="B57" s="31" t="s">
        <v>620</v>
      </c>
      <c r="C57" t="str">
        <f>VLOOKUP($B57,Totalt!$B$1:$BU$497,MATCH("Kvalitetsgranskad:",Totalt!$B$1:$BU$1,0),FALSE)</f>
        <v>Ja</v>
      </c>
      <c r="E57" t="str">
        <f>VLOOKUP($B57,Miljö!$B$1:$AG$479,MATCH(E$1,Miljö!$B$1:$AK$1,0),FALSE)</f>
        <v>Ja</v>
      </c>
      <c r="F57" t="str">
        <f>VLOOKUP($B57,Miljö!$B$1:$J$479,MATCH("Typ av ursprungsspecificerad el   (Om inget värde anges används Nordisk residualmix, se inforuta) ()",Miljö!$B$1:$J$1,0),FALSE)</f>
        <v>-</v>
      </c>
      <c r="G57">
        <f>VLOOKUP($B57,Miljö!$B$1:$J$479,MATCH("Primärenergifaktor ()",Miljö!$B$1:$J$1,0),FALSE)</f>
        <v>2.2000000000000002</v>
      </c>
      <c r="H57">
        <f>VLOOKUP($B57,Miljö!$B$1:$J$479,MATCH("Koldioxidekvivalenter energiomvandling (g/kwh)",Miljö!$B$1:$J$1,0),FALSE)</f>
        <v>250.8</v>
      </c>
      <c r="I57">
        <f>VLOOKUP($B57,Miljö!$B$1:$J$479,MATCH("Fossilandel för ursprungspecificerad el ()",Miljö!$B$1:$J$1,0),FALSE)</f>
        <v>0.35</v>
      </c>
      <c r="J57">
        <f>VLOOKUP($B57,Miljö!$B$1:$J$479,MATCH("Kärnkraftsandel för ursprungsspecificerad el ()",Miljö!$B$1:$J$1,0),FALSE)</f>
        <v>0.3977</v>
      </c>
      <c r="L57">
        <f>VLOOKUP($B57,Totalt!$B$1:$BU$497,MATCH("total el",Totalt!$B$1:$BU$1,0),FALSE)</f>
        <v>1.07</v>
      </c>
      <c r="N57">
        <f t="shared" si="0"/>
        <v>2.3540000000000005</v>
      </c>
      <c r="O57">
        <f t="shared" si="1"/>
        <v>268.35600000000005</v>
      </c>
      <c r="P57">
        <f t="shared" si="2"/>
        <v>0.3745</v>
      </c>
      <c r="Q57">
        <f t="shared" si="3"/>
        <v>0.425539</v>
      </c>
    </row>
    <row r="58" spans="1:17" x14ac:dyDescent="0.45">
      <c r="A58" s="31" t="s">
        <v>610</v>
      </c>
      <c r="B58" s="31" t="s">
        <v>619</v>
      </c>
      <c r="C58" t="str">
        <f>VLOOKUP($B58,Totalt!$B$1:$BU$497,MATCH("Kvalitetsgranskad:",Totalt!$B$1:$BU$1,0),FALSE)</f>
        <v>Nej</v>
      </c>
      <c r="E58" t="str">
        <f>VLOOKUP($B58,Miljö!$B$1:$AG$479,MATCH(E$1,Miljö!$B$1:$AK$1,0),FALSE)</f>
        <v>Ja</v>
      </c>
      <c r="F58" t="str">
        <f>VLOOKUP($B58,Miljö!$B$1:$J$479,MATCH("Typ av ursprungsspecificerad el   (Om inget värde anges används Nordisk residualmix, se inforuta) ()",Miljö!$B$1:$J$1,0),FALSE)</f>
        <v>-</v>
      </c>
      <c r="G58">
        <f>VLOOKUP($B58,Miljö!$B$1:$J$479,MATCH("Primärenergifaktor ()",Miljö!$B$1:$J$1,0),FALSE)</f>
        <v>2.2000000000000002</v>
      </c>
      <c r="H58">
        <f>VLOOKUP($B58,Miljö!$B$1:$J$479,MATCH("Koldioxidekvivalenter energiomvandling (g/kwh)",Miljö!$B$1:$J$1,0),FALSE)</f>
        <v>250.8</v>
      </c>
      <c r="I58">
        <f>VLOOKUP($B58,Miljö!$B$1:$J$479,MATCH("Fossilandel för ursprungspecificerad el ()",Miljö!$B$1:$J$1,0),FALSE)</f>
        <v>0.35</v>
      </c>
      <c r="J58">
        <f>VLOOKUP($B58,Miljö!$B$1:$J$479,MATCH("Kärnkraftsandel för ursprungsspecificerad el ()",Miljö!$B$1:$J$1,0),FALSE)</f>
        <v>0.3977</v>
      </c>
      <c r="L58">
        <f>VLOOKUP($B58,Totalt!$B$1:$BU$497,MATCH("total el",Totalt!$B$1:$BU$1,0),FALSE)</f>
        <v>0</v>
      </c>
      <c r="N58">
        <f t="shared" si="0"/>
        <v>0</v>
      </c>
      <c r="O58">
        <f t="shared" si="1"/>
        <v>0</v>
      </c>
      <c r="P58">
        <f t="shared" si="2"/>
        <v>0</v>
      </c>
      <c r="Q58">
        <f t="shared" si="3"/>
        <v>0</v>
      </c>
    </row>
    <row r="59" spans="1:17" x14ac:dyDescent="0.45">
      <c r="A59" s="31" t="s">
        <v>610</v>
      </c>
      <c r="B59" s="31" t="s">
        <v>618</v>
      </c>
      <c r="C59" t="str">
        <f>VLOOKUP($B59,Totalt!$B$1:$BU$497,MATCH("Kvalitetsgranskad:",Totalt!$B$1:$BU$1,0),FALSE)</f>
        <v>Ja</v>
      </c>
      <c r="E59" t="str">
        <f>VLOOKUP($B59,Miljö!$B$1:$AG$479,MATCH(E$1,Miljö!$B$1:$AK$1,0),FALSE)</f>
        <v>Ja</v>
      </c>
      <c r="F59" t="str">
        <f>VLOOKUP($B59,Miljö!$B$1:$J$479,MATCH("Typ av ursprungsspecificerad el   (Om inget värde anges används Nordisk residualmix, se inforuta) ()",Miljö!$B$1:$J$1,0),FALSE)</f>
        <v>-</v>
      </c>
      <c r="G59">
        <f>VLOOKUP($B59,Miljö!$B$1:$J$479,MATCH("Primärenergifaktor ()",Miljö!$B$1:$J$1,0),FALSE)</f>
        <v>2.2000000000000002</v>
      </c>
      <c r="H59">
        <f>VLOOKUP($B59,Miljö!$B$1:$J$479,MATCH("Koldioxidekvivalenter energiomvandling (g/kwh)",Miljö!$B$1:$J$1,0),FALSE)</f>
        <v>250.8</v>
      </c>
      <c r="I59">
        <f>VLOOKUP($B59,Miljö!$B$1:$J$479,MATCH("Fossilandel för ursprungspecificerad el ()",Miljö!$B$1:$J$1,0),FALSE)</f>
        <v>0.35</v>
      </c>
      <c r="J59">
        <f>VLOOKUP($B59,Miljö!$B$1:$J$479,MATCH("Kärnkraftsandel för ursprungsspecificerad el ()",Miljö!$B$1:$J$1,0),FALSE)</f>
        <v>0.3977</v>
      </c>
      <c r="L59">
        <f>VLOOKUP($B59,Totalt!$B$1:$BU$497,MATCH("total el",Totalt!$B$1:$BU$1,0),FALSE)</f>
        <v>76.9315</v>
      </c>
      <c r="N59">
        <f t="shared" si="0"/>
        <v>169.24930000000001</v>
      </c>
      <c r="O59">
        <f t="shared" si="1"/>
        <v>19294.4202</v>
      </c>
      <c r="P59">
        <f t="shared" si="2"/>
        <v>26.926024999999999</v>
      </c>
      <c r="Q59">
        <f t="shared" si="3"/>
        <v>30.595657549999999</v>
      </c>
    </row>
    <row r="60" spans="1:17" x14ac:dyDescent="0.45">
      <c r="A60" s="31" t="s">
        <v>610</v>
      </c>
      <c r="B60" s="31" t="s">
        <v>616</v>
      </c>
      <c r="C60" t="str">
        <f>VLOOKUP($B60,Totalt!$B$1:$BU$497,MATCH("Kvalitetsgranskad:",Totalt!$B$1:$BU$1,0),FALSE)</f>
        <v>Ja</v>
      </c>
      <c r="E60" t="str">
        <f>VLOOKUP($B60,Miljö!$B$1:$AG$479,MATCH(E$1,Miljö!$B$1:$AK$1,0),FALSE)</f>
        <v>Ja</v>
      </c>
      <c r="F60" t="str">
        <f>VLOOKUP($B60,Miljö!$B$1:$J$479,MATCH("Typ av ursprungsspecificerad el   (Om inget värde anges används Nordisk residualmix, se inforuta) ()",Miljö!$B$1:$J$1,0),FALSE)</f>
        <v>'mixed el'</v>
      </c>
      <c r="G60">
        <f>VLOOKUP($B60,Miljö!$B$1:$J$479,MATCH("Primärenergifaktor ()",Miljö!$B$1:$J$1,0),FALSE)</f>
        <v>2.02</v>
      </c>
      <c r="H60">
        <f>VLOOKUP($B60,Miljö!$B$1:$J$479,MATCH("Koldioxidekvivalenter energiomvandling (g/kwh)",Miljö!$B$1:$J$1,0),FALSE)</f>
        <v>20.34</v>
      </c>
      <c r="I60">
        <f>VLOOKUP($B60,Miljö!$B$1:$J$479,MATCH("Fossilandel för ursprungspecificerad el ()",Miljö!$B$1:$J$1,0),FALSE)</f>
        <v>2.8400000000000002E-2</v>
      </c>
      <c r="J60">
        <f>VLOOKUP($B60,Miljö!$B$1:$J$479,MATCH("Kärnkraftsandel för ursprungsspecificerad el ()",Miljö!$B$1:$J$1,0),FALSE)</f>
        <v>0.32400000000000001</v>
      </c>
      <c r="L60">
        <f>VLOOKUP($B60,Totalt!$B$1:$BU$497,MATCH("total el",Totalt!$B$1:$BU$1,0),FALSE)</f>
        <v>67.2</v>
      </c>
      <c r="N60">
        <f t="shared" si="0"/>
        <v>135.744</v>
      </c>
      <c r="O60">
        <f t="shared" si="1"/>
        <v>1366.848</v>
      </c>
      <c r="P60">
        <f t="shared" si="2"/>
        <v>1.9084800000000002</v>
      </c>
      <c r="Q60">
        <f t="shared" si="3"/>
        <v>21.7728</v>
      </c>
    </row>
    <row r="61" spans="1:17" x14ac:dyDescent="0.45">
      <c r="A61" s="31" t="s">
        <v>610</v>
      </c>
      <c r="B61" s="31" t="s">
        <v>615</v>
      </c>
      <c r="C61" t="str">
        <f>VLOOKUP($B61,Totalt!$B$1:$BU$497,MATCH("Kvalitetsgranskad:",Totalt!$B$1:$BU$1,0),FALSE)</f>
        <v>Nej</v>
      </c>
      <c r="E61" t="str">
        <f>VLOOKUP($B61,Miljö!$B$1:$AG$479,MATCH(E$1,Miljö!$B$1:$AK$1,0),FALSE)</f>
        <v>Nej</v>
      </c>
      <c r="F61" t="str">
        <f>VLOOKUP($B61,Miljö!$B$1:$J$479,MATCH("Typ av ursprungsspecificerad el   (Om inget värde anges används Nordisk residualmix, se inforuta) ()",Miljö!$B$1:$J$1,0),FALSE)</f>
        <v>-</v>
      </c>
      <c r="G61" t="str">
        <f>VLOOKUP($B61,Miljö!$B$1:$J$479,MATCH("Primärenergifaktor ()",Miljö!$B$1:$J$1,0),FALSE)</f>
        <v>-</v>
      </c>
      <c r="H61" t="str">
        <f>VLOOKUP($B61,Miljö!$B$1:$J$479,MATCH("Koldioxidekvivalenter energiomvandling (g/kwh)",Miljö!$B$1:$J$1,0),FALSE)</f>
        <v>-</v>
      </c>
      <c r="I61" t="str">
        <f>VLOOKUP($B61,Miljö!$B$1:$J$479,MATCH("Fossilandel för ursprungspecificerad el ()",Miljö!$B$1:$J$1,0),FALSE)</f>
        <v>-</v>
      </c>
      <c r="J61" t="str">
        <f>VLOOKUP($B61,Miljö!$B$1:$J$479,MATCH("Kärnkraftsandel för ursprungsspecificerad el ()",Miljö!$B$1:$J$1,0),FALSE)</f>
        <v>-</v>
      </c>
      <c r="L61">
        <f>VLOOKUP($B61,Totalt!$B$1:$BU$497,MATCH("total el",Totalt!$B$1:$BU$1,0),FALSE)</f>
        <v>0</v>
      </c>
      <c r="N61" t="str">
        <f t="shared" si="0"/>
        <v/>
      </c>
      <c r="O61" t="str">
        <f t="shared" si="1"/>
        <v/>
      </c>
      <c r="P61" t="str">
        <f t="shared" si="2"/>
        <v/>
      </c>
      <c r="Q61" t="str">
        <f t="shared" si="3"/>
        <v/>
      </c>
    </row>
    <row r="62" spans="1:17" x14ac:dyDescent="0.45">
      <c r="A62" s="31" t="s">
        <v>610</v>
      </c>
      <c r="B62" s="31" t="s">
        <v>614</v>
      </c>
      <c r="C62" t="str">
        <f>VLOOKUP($B62,Totalt!$B$1:$BU$497,MATCH("Kvalitetsgranskad:",Totalt!$B$1:$BU$1,0),FALSE)</f>
        <v>Ja</v>
      </c>
      <c r="E62" t="str">
        <f>VLOOKUP($B62,Miljö!$B$1:$AG$479,MATCH(E$1,Miljö!$B$1:$AK$1,0),FALSE)</f>
        <v>Ja</v>
      </c>
      <c r="F62" t="str">
        <f>VLOOKUP($B62,Miljö!$B$1:$J$479,MATCH("Typ av ursprungsspecificerad el   (Om inget värde anges används Nordisk residualmix, se inforuta) ()",Miljö!$B$1:$J$1,0),FALSE)</f>
        <v>'mixed el'</v>
      </c>
      <c r="G62">
        <f>VLOOKUP($B62,Miljö!$B$1:$J$479,MATCH("Primärenergifaktor ()",Miljö!$B$1:$J$1,0),FALSE)</f>
        <v>2.11</v>
      </c>
      <c r="H62">
        <f>VLOOKUP($B62,Miljö!$B$1:$J$479,MATCH("Koldioxidekvivalenter energiomvandling (g/kwh)",Miljö!$B$1:$J$1,0),FALSE)</f>
        <v>140.41999999999999</v>
      </c>
      <c r="I62">
        <f>VLOOKUP($B62,Miljö!$B$1:$J$479,MATCH("Fossilandel för ursprungspecificerad el ()",Miljö!$B$1:$J$1,0),FALSE)</f>
        <v>0.19600000000000001</v>
      </c>
      <c r="J62">
        <f>VLOOKUP($B62,Miljö!$B$1:$J$479,MATCH("Kärnkraftsandel för ursprungsspecificerad el ()",Miljö!$B$1:$J$1,0),FALSE)</f>
        <v>0.22389999999999999</v>
      </c>
      <c r="L62">
        <f>VLOOKUP($B62,Totalt!$B$1:$BU$497,MATCH("total el",Totalt!$B$1:$BU$1,0),FALSE)</f>
        <v>57.107100000000003</v>
      </c>
      <c r="N62">
        <f t="shared" si="0"/>
        <v>120.495981</v>
      </c>
      <c r="O62">
        <f t="shared" si="1"/>
        <v>8018.9789819999996</v>
      </c>
      <c r="P62">
        <f t="shared" si="2"/>
        <v>11.192991600000001</v>
      </c>
      <c r="Q62">
        <f t="shared" si="3"/>
        <v>12.786279690000001</v>
      </c>
    </row>
    <row r="63" spans="1:17" x14ac:dyDescent="0.45">
      <c r="A63" s="31" t="s">
        <v>610</v>
      </c>
      <c r="B63" s="31" t="s">
        <v>611</v>
      </c>
      <c r="C63" t="str">
        <f>VLOOKUP($B63,Totalt!$B$1:$BU$497,MATCH("Kvalitetsgranskad:",Totalt!$B$1:$BU$1,0),FALSE)</f>
        <v>Ja</v>
      </c>
      <c r="E63" t="str">
        <f>VLOOKUP($B63,Miljö!$B$1:$AG$479,MATCH(E$1,Miljö!$B$1:$AK$1,0),FALSE)</f>
        <v>Ja</v>
      </c>
      <c r="F63" t="str">
        <f>VLOOKUP($B63,Miljö!$B$1:$J$479,MATCH("Typ av ursprungsspecificerad el   (Om inget värde anges används Nordisk residualmix, se inforuta) ()",Miljö!$B$1:$J$1,0),FALSE)</f>
        <v>-</v>
      </c>
      <c r="G63">
        <f>VLOOKUP($B63,Miljö!$B$1:$J$479,MATCH("Primärenergifaktor ()",Miljö!$B$1:$J$1,0),FALSE)</f>
        <v>2.2000000000000002</v>
      </c>
      <c r="H63">
        <f>VLOOKUP($B63,Miljö!$B$1:$J$479,MATCH("Koldioxidekvivalenter energiomvandling (g/kwh)",Miljö!$B$1:$J$1,0),FALSE)</f>
        <v>250.8</v>
      </c>
      <c r="I63">
        <f>VLOOKUP($B63,Miljö!$B$1:$J$479,MATCH("Fossilandel för ursprungspecificerad el ()",Miljö!$B$1:$J$1,0),FALSE)</f>
        <v>0.35</v>
      </c>
      <c r="J63">
        <f>VLOOKUP($B63,Miljö!$B$1:$J$479,MATCH("Kärnkraftsandel för ursprungsspecificerad el ()",Miljö!$B$1:$J$1,0),FALSE)</f>
        <v>0.3977</v>
      </c>
      <c r="L63">
        <f>VLOOKUP($B63,Totalt!$B$1:$BU$497,MATCH("total el",Totalt!$B$1:$BU$1,0),FALSE)</f>
        <v>13</v>
      </c>
      <c r="N63">
        <f t="shared" si="0"/>
        <v>28.6</v>
      </c>
      <c r="O63">
        <f t="shared" si="1"/>
        <v>3260.4</v>
      </c>
      <c r="P63">
        <f t="shared" si="2"/>
        <v>4.55</v>
      </c>
      <c r="Q63">
        <f t="shared" si="3"/>
        <v>5.1700999999999997</v>
      </c>
    </row>
    <row r="64" spans="1:17" x14ac:dyDescent="0.45">
      <c r="A64" s="31" t="s">
        <v>610</v>
      </c>
      <c r="B64" s="31" t="s">
        <v>609</v>
      </c>
      <c r="C64" t="str">
        <f>VLOOKUP($B64,Totalt!$B$1:$BU$497,MATCH("Kvalitetsgranskad:",Totalt!$B$1:$BU$1,0),FALSE)</f>
        <v>Ja</v>
      </c>
      <c r="E64" t="str">
        <f>VLOOKUP($B64,Miljö!$B$1:$AG$479,MATCH(E$1,Miljö!$B$1:$AK$1,0),FALSE)</f>
        <v>Ja</v>
      </c>
      <c r="F64" t="str">
        <f>VLOOKUP($B64,Miljö!$B$1:$J$479,MATCH("Typ av ursprungsspecificerad el   (Om inget värde anges används Nordisk residualmix, se inforuta) ()",Miljö!$B$1:$J$1,0),FALSE)</f>
        <v>'Residual'</v>
      </c>
      <c r="G64">
        <f>VLOOKUP($B64,Miljö!$B$1:$J$479,MATCH("Primärenergifaktor ()",Miljö!$B$1:$J$1,0),FALSE)</f>
        <v>2.2000000000000002</v>
      </c>
      <c r="H64">
        <f>VLOOKUP($B64,Miljö!$B$1:$J$479,MATCH("Koldioxidekvivalenter energiomvandling (g/kwh)",Miljö!$B$1:$J$1,0),FALSE)</f>
        <v>250.8</v>
      </c>
      <c r="I64">
        <f>VLOOKUP($B64,Miljö!$B$1:$J$479,MATCH("Fossilandel för ursprungspecificerad el ()",Miljö!$B$1:$J$1,0),FALSE)</f>
        <v>0.35399999999999998</v>
      </c>
      <c r="J64">
        <f>VLOOKUP($B64,Miljö!$B$1:$J$479,MATCH("Kärnkraftsandel för ursprungsspecificerad el ()",Miljö!$B$1:$J$1,0),FALSE)</f>
        <v>0.39800000000000002</v>
      </c>
      <c r="L64">
        <f>VLOOKUP($B64,Totalt!$B$1:$BU$497,MATCH("total el",Totalt!$B$1:$BU$1,0),FALSE)</f>
        <v>1.7</v>
      </c>
      <c r="N64">
        <f t="shared" si="0"/>
        <v>3.74</v>
      </c>
      <c r="O64">
        <f t="shared" si="1"/>
        <v>426.36</v>
      </c>
      <c r="P64">
        <f t="shared" si="2"/>
        <v>0.6018</v>
      </c>
      <c r="Q64">
        <f t="shared" si="3"/>
        <v>0.67659999999999998</v>
      </c>
    </row>
    <row r="65" spans="1:17" x14ac:dyDescent="0.45">
      <c r="A65" s="31" t="s">
        <v>610</v>
      </c>
      <c r="B65" s="31" t="s">
        <v>612</v>
      </c>
      <c r="C65" t="str">
        <f>VLOOKUP($B65,Totalt!$B$1:$BU$497,MATCH("Kvalitetsgranskad:",Totalt!$B$1:$BU$1,0),FALSE)</f>
        <v>Ja</v>
      </c>
      <c r="E65" t="str">
        <f>VLOOKUP($B65,Miljö!$B$1:$AG$479,MATCH(E$1,Miljö!$B$1:$AK$1,0),FALSE)</f>
        <v>Ja</v>
      </c>
      <c r="F65" t="str">
        <f>VLOOKUP($B65,Miljö!$B$1:$J$479,MATCH("Typ av ursprungsspecificerad el   (Om inget värde anges används Nordisk residualmix, se inforuta) ()",Miljö!$B$1:$J$1,0),FALSE)</f>
        <v>'Residual'</v>
      </c>
      <c r="G65">
        <f>VLOOKUP($B65,Miljö!$B$1:$J$479,MATCH("Primärenergifaktor ()",Miljö!$B$1:$J$1,0),FALSE)</f>
        <v>2.2000000000000002</v>
      </c>
      <c r="H65">
        <f>VLOOKUP($B65,Miljö!$B$1:$J$479,MATCH("Koldioxidekvivalenter energiomvandling (g/kwh)",Miljö!$B$1:$J$1,0),FALSE)</f>
        <v>250.8</v>
      </c>
      <c r="I65">
        <f>VLOOKUP($B65,Miljö!$B$1:$J$479,MATCH("Fossilandel för ursprungspecificerad el ()",Miljö!$B$1:$J$1,0),FALSE)</f>
        <v>0.35399999999999998</v>
      </c>
      <c r="J65">
        <f>VLOOKUP($B65,Miljö!$B$1:$J$479,MATCH("Kärnkraftsandel för ursprungsspecificerad el ()",Miljö!$B$1:$J$1,0),FALSE)</f>
        <v>0.39800000000000002</v>
      </c>
      <c r="L65">
        <f>VLOOKUP($B65,Totalt!$B$1:$BU$497,MATCH("total el",Totalt!$B$1:$BU$1,0),FALSE)</f>
        <v>2.2999999999999998</v>
      </c>
      <c r="N65">
        <f t="shared" si="0"/>
        <v>5.0599999999999996</v>
      </c>
      <c r="O65">
        <f t="shared" si="1"/>
        <v>576.84</v>
      </c>
      <c r="P65">
        <f t="shared" si="2"/>
        <v>0.81419999999999992</v>
      </c>
      <c r="Q65">
        <f t="shared" si="3"/>
        <v>0.91539999999999999</v>
      </c>
    </row>
    <row r="66" spans="1:17" x14ac:dyDescent="0.45">
      <c r="A66" s="31" t="s">
        <v>608</v>
      </c>
      <c r="B66" s="31" t="s">
        <v>608</v>
      </c>
      <c r="C66" t="str">
        <f>VLOOKUP($B66,Totalt!$B$1:$BU$497,MATCH("Kvalitetsgranskad:",Totalt!$B$1:$BU$1,0),FALSE)</f>
        <v>Nej</v>
      </c>
      <c r="E66" t="str">
        <f>VLOOKUP($B66,Miljö!$B$1:$AG$479,MATCH(E$1,Miljö!$B$1:$AK$1,0),FALSE)</f>
        <v>Nej</v>
      </c>
      <c r="F66" t="str">
        <f>VLOOKUP($B66,Miljö!$B$1:$J$479,MATCH("Typ av ursprungsspecificerad el   (Om inget värde anges används Nordisk residualmix, se inforuta) ()",Miljö!$B$1:$J$1,0),FALSE)</f>
        <v>-</v>
      </c>
      <c r="G66" t="str">
        <f>VLOOKUP($B66,Miljö!$B$1:$J$479,MATCH("Primärenergifaktor ()",Miljö!$B$1:$J$1,0),FALSE)</f>
        <v>-</v>
      </c>
      <c r="H66" t="str">
        <f>VLOOKUP($B66,Miljö!$B$1:$J$479,MATCH("Koldioxidekvivalenter energiomvandling (g/kwh)",Miljö!$B$1:$J$1,0),FALSE)</f>
        <v>-</v>
      </c>
      <c r="I66" t="str">
        <f>VLOOKUP($B66,Miljö!$B$1:$J$479,MATCH("Fossilandel för ursprungspecificerad el ()",Miljö!$B$1:$J$1,0),FALSE)</f>
        <v>-</v>
      </c>
      <c r="J66" t="str">
        <f>VLOOKUP($B66,Miljö!$B$1:$J$479,MATCH("Kärnkraftsandel för ursprungsspecificerad el ()",Miljö!$B$1:$J$1,0),FALSE)</f>
        <v>-</v>
      </c>
      <c r="L66">
        <f>VLOOKUP($B66,Totalt!$B$1:$BU$497,MATCH("total el",Totalt!$B$1:$BU$1,0),FALSE)</f>
        <v>0</v>
      </c>
      <c r="N66" t="str">
        <f t="shared" si="0"/>
        <v/>
      </c>
      <c r="O66" t="str">
        <f t="shared" si="1"/>
        <v/>
      </c>
      <c r="P66" t="str">
        <f t="shared" si="2"/>
        <v/>
      </c>
      <c r="Q66" t="str">
        <f t="shared" si="3"/>
        <v/>
      </c>
    </row>
    <row r="67" spans="1:17" x14ac:dyDescent="0.45">
      <c r="A67" s="31" t="s">
        <v>605</v>
      </c>
      <c r="B67" s="31" t="s">
        <v>607</v>
      </c>
      <c r="C67" t="str">
        <f>VLOOKUP($B67,Totalt!$B$1:$BU$497,MATCH("Kvalitetsgranskad:",Totalt!$B$1:$BU$1,0),FALSE)</f>
        <v>Ja</v>
      </c>
      <c r="E67" t="str">
        <f>VLOOKUP($B67,Miljö!$B$1:$AG$479,MATCH(E$1,Miljö!$B$1:$AK$1,0),FALSE)</f>
        <v>Ja</v>
      </c>
      <c r="F67" t="str">
        <f>VLOOKUP($B67,Miljö!$B$1:$J$479,MATCH("Typ av ursprungsspecificerad el   (Om inget värde anges används Nordisk residualmix, se inforuta) ()",Miljö!$B$1:$J$1,0),FALSE)</f>
        <v>-</v>
      </c>
      <c r="G67">
        <f>VLOOKUP($B67,Miljö!$B$1:$J$479,MATCH("Primärenergifaktor ()",Miljö!$B$1:$J$1,0),FALSE)</f>
        <v>2.2000000000000002</v>
      </c>
      <c r="H67">
        <f>VLOOKUP($B67,Miljö!$B$1:$J$479,MATCH("Koldioxidekvivalenter energiomvandling (g/kwh)",Miljö!$B$1:$J$1,0),FALSE)</f>
        <v>250.8</v>
      </c>
      <c r="I67">
        <f>VLOOKUP($B67,Miljö!$B$1:$J$479,MATCH("Fossilandel för ursprungspecificerad el ()",Miljö!$B$1:$J$1,0),FALSE)</f>
        <v>0.35</v>
      </c>
      <c r="J67">
        <f>VLOOKUP($B67,Miljö!$B$1:$J$479,MATCH("Kärnkraftsandel för ursprungsspecificerad el ()",Miljö!$B$1:$J$1,0),FALSE)</f>
        <v>0.3977</v>
      </c>
      <c r="L67">
        <f>VLOOKUP($B67,Totalt!$B$1:$BU$497,MATCH("total el",Totalt!$B$1:$BU$1,0),FALSE)</f>
        <v>5.9778200000000004</v>
      </c>
      <c r="N67">
        <f t="shared" ref="N67:N130" si="4">IF(ISERROR($L67*G67),"",$L67*G67)</f>
        <v>13.151204000000002</v>
      </c>
      <c r="O67">
        <f t="shared" ref="O67:O130" si="5">IF(ISERROR($L67*H67),"",$L67*H67)</f>
        <v>1499.2372560000001</v>
      </c>
      <c r="P67">
        <f t="shared" ref="P67:P130" si="6">IF(ISERROR($L67*I67),"",$L67*I67)</f>
        <v>2.0922369999999999</v>
      </c>
      <c r="Q67">
        <f t="shared" ref="Q67:Q130" si="7">IF(ISERROR($L67*J67),"",$L67*J67)</f>
        <v>2.3773790140000002</v>
      </c>
    </row>
    <row r="68" spans="1:17" x14ac:dyDescent="0.45">
      <c r="A68" s="31" t="s">
        <v>605</v>
      </c>
      <c r="B68" s="31" t="s">
        <v>606</v>
      </c>
      <c r="C68" t="str">
        <f>VLOOKUP($B68,Totalt!$B$1:$BU$497,MATCH("Kvalitetsgranskad:",Totalt!$B$1:$BU$1,0),FALSE)</f>
        <v>Ja</v>
      </c>
      <c r="E68" t="str">
        <f>VLOOKUP($B68,Miljö!$B$1:$AG$479,MATCH(E$1,Miljö!$B$1:$AK$1,0),FALSE)</f>
        <v>Ja</v>
      </c>
      <c r="F68" t="str">
        <f>VLOOKUP($B68,Miljö!$B$1:$J$479,MATCH("Typ av ursprungsspecificerad el   (Om inget värde anges används Nordisk residualmix, se inforuta) ()",Miljö!$B$1:$J$1,0),FALSE)</f>
        <v>-</v>
      </c>
      <c r="G68">
        <f>VLOOKUP($B68,Miljö!$B$1:$J$479,MATCH("Primärenergifaktor ()",Miljö!$B$1:$J$1,0),FALSE)</f>
        <v>2.2000000000000002</v>
      </c>
      <c r="H68">
        <f>VLOOKUP($B68,Miljö!$B$1:$J$479,MATCH("Koldioxidekvivalenter energiomvandling (g/kwh)",Miljö!$B$1:$J$1,0),FALSE)</f>
        <v>250.8</v>
      </c>
      <c r="I68">
        <f>VLOOKUP($B68,Miljö!$B$1:$J$479,MATCH("Fossilandel för ursprungspecificerad el ()",Miljö!$B$1:$J$1,0),FALSE)</f>
        <v>0.35</v>
      </c>
      <c r="J68">
        <f>VLOOKUP($B68,Miljö!$B$1:$J$479,MATCH("Kärnkraftsandel för ursprungsspecificerad el ()",Miljö!$B$1:$J$1,0),FALSE)</f>
        <v>0.3977</v>
      </c>
      <c r="L68">
        <f>VLOOKUP($B68,Totalt!$B$1:$BU$497,MATCH("total el",Totalt!$B$1:$BU$1,0),FALSE)</f>
        <v>0.12</v>
      </c>
      <c r="N68">
        <f t="shared" si="4"/>
        <v>0.26400000000000001</v>
      </c>
      <c r="O68">
        <f t="shared" si="5"/>
        <v>30.096</v>
      </c>
      <c r="P68">
        <f t="shared" si="6"/>
        <v>4.1999999999999996E-2</v>
      </c>
      <c r="Q68">
        <f t="shared" si="7"/>
        <v>4.7723999999999996E-2</v>
      </c>
    </row>
    <row r="69" spans="1:17" x14ac:dyDescent="0.45">
      <c r="A69" s="31" t="s">
        <v>605</v>
      </c>
      <c r="B69" s="31" t="s">
        <v>604</v>
      </c>
      <c r="C69" t="str">
        <f>VLOOKUP($B69,Totalt!$B$1:$BU$497,MATCH("Kvalitetsgranskad:",Totalt!$B$1:$BU$1,0),FALSE)</f>
        <v>Ja</v>
      </c>
      <c r="E69" t="str">
        <f>VLOOKUP($B69,Miljö!$B$1:$AG$479,MATCH(E$1,Miljö!$B$1:$AK$1,0),FALSE)</f>
        <v>Ja</v>
      </c>
      <c r="F69" t="str">
        <f>VLOOKUP($B69,Miljö!$B$1:$J$479,MATCH("Typ av ursprungsspecificerad el   (Om inget värde anges används Nordisk residualmix, se inforuta) ()",Miljö!$B$1:$J$1,0),FALSE)</f>
        <v>-</v>
      </c>
      <c r="G69">
        <f>VLOOKUP($B69,Miljö!$B$1:$J$479,MATCH("Primärenergifaktor ()",Miljö!$B$1:$J$1,0),FALSE)</f>
        <v>2.2000000000000002</v>
      </c>
      <c r="H69">
        <f>VLOOKUP($B69,Miljö!$B$1:$J$479,MATCH("Koldioxidekvivalenter energiomvandling (g/kwh)",Miljö!$B$1:$J$1,0),FALSE)</f>
        <v>250.8</v>
      </c>
      <c r="I69">
        <f>VLOOKUP($B69,Miljö!$B$1:$J$479,MATCH("Fossilandel för ursprungspecificerad el ()",Miljö!$B$1:$J$1,0),FALSE)</f>
        <v>0.35</v>
      </c>
      <c r="J69">
        <f>VLOOKUP($B69,Miljö!$B$1:$J$479,MATCH("Kärnkraftsandel för ursprungsspecificerad el ()",Miljö!$B$1:$J$1,0),FALSE)</f>
        <v>0.3977</v>
      </c>
      <c r="L69">
        <f>VLOOKUP($B69,Totalt!$B$1:$BU$497,MATCH("total el",Totalt!$B$1:$BU$1,0),FALSE)</f>
        <v>0.34</v>
      </c>
      <c r="N69">
        <f t="shared" si="4"/>
        <v>0.74800000000000011</v>
      </c>
      <c r="O69">
        <f t="shared" si="5"/>
        <v>85.272000000000006</v>
      </c>
      <c r="P69">
        <f t="shared" si="6"/>
        <v>0.11899999999999999</v>
      </c>
      <c r="Q69">
        <f t="shared" si="7"/>
        <v>0.135218</v>
      </c>
    </row>
    <row r="70" spans="1:17" x14ac:dyDescent="0.45">
      <c r="A70" s="31" t="s">
        <v>603</v>
      </c>
      <c r="B70" s="31" t="s">
        <v>602</v>
      </c>
      <c r="C70" t="str">
        <f>VLOOKUP($B70,Totalt!$B$1:$BU$497,MATCH("Kvalitetsgranskad:",Totalt!$B$1:$BU$1,0),FALSE)</f>
        <v>Ja</v>
      </c>
      <c r="E70" t="str">
        <f>VLOOKUP($B70,Miljö!$B$1:$AG$479,MATCH(E$1,Miljö!$B$1:$AK$1,0),FALSE)</f>
        <v>Ja</v>
      </c>
      <c r="F70" t="str">
        <f>VLOOKUP($B70,Miljö!$B$1:$J$479,MATCH("Typ av ursprungsspecificerad el   (Om inget värde anges används Nordisk residualmix, se inforuta) ()",Miljö!$B$1:$J$1,0),FALSE)</f>
        <v>'100% förnybart. Vind. vatten &amp; biobränsle'</v>
      </c>
      <c r="G70">
        <f>VLOOKUP($B70,Miljö!$B$1:$J$479,MATCH("Primärenergifaktor ()",Miljö!$B$1:$J$1,0),FALSE)</f>
        <v>1.1000000000000001</v>
      </c>
      <c r="H70">
        <f>VLOOKUP($B70,Miljö!$B$1:$J$479,MATCH("Koldioxidekvivalenter energiomvandling (g/kwh)",Miljö!$B$1:$J$1,0),FALSE)</f>
        <v>0</v>
      </c>
      <c r="I70">
        <f>VLOOKUP($B70,Miljö!$B$1:$J$479,MATCH("Fossilandel för ursprungspecificerad el ()",Miljö!$B$1:$J$1,0),FALSE)</f>
        <v>0</v>
      </c>
      <c r="J70">
        <f>VLOOKUP($B70,Miljö!$B$1:$J$479,MATCH("Kärnkraftsandel för ursprungsspecificerad el ()",Miljö!$B$1:$J$1,0),FALSE)</f>
        <v>0</v>
      </c>
      <c r="L70">
        <f>VLOOKUP($B70,Totalt!$B$1:$BU$497,MATCH("total el",Totalt!$B$1:$BU$1,0),FALSE)</f>
        <v>1.48</v>
      </c>
      <c r="N70">
        <f t="shared" si="4"/>
        <v>1.6280000000000001</v>
      </c>
      <c r="O70">
        <f t="shared" si="5"/>
        <v>0</v>
      </c>
      <c r="P70">
        <f t="shared" si="6"/>
        <v>0</v>
      </c>
      <c r="Q70">
        <f t="shared" si="7"/>
        <v>0</v>
      </c>
    </row>
    <row r="71" spans="1:17" x14ac:dyDescent="0.45">
      <c r="A71" s="31" t="s">
        <v>601</v>
      </c>
      <c r="B71" s="31" t="s">
        <v>600</v>
      </c>
      <c r="C71" t="str">
        <f>VLOOKUP($B71,Totalt!$B$1:$BU$497,MATCH("Kvalitetsgranskad:",Totalt!$B$1:$BU$1,0),FALSE)</f>
        <v>Ja</v>
      </c>
      <c r="E71" t="str">
        <f>VLOOKUP($B71,Miljö!$B$1:$AG$479,MATCH(E$1,Miljö!$B$1:$AK$1,0),FALSE)</f>
        <v>Ja</v>
      </c>
      <c r="F71" t="str">
        <f>VLOOKUP($B71,Miljö!$B$1:$J$479,MATCH("Typ av ursprungsspecificerad el   (Om inget värde anges används Nordisk residualmix, se inforuta) ()",Miljö!$B$1:$J$1,0),FALSE)</f>
        <v>'Biokraft'</v>
      </c>
      <c r="G71">
        <f>VLOOKUP($B71,Miljö!$B$1:$J$479,MATCH("Primärenergifaktor ()",Miljö!$B$1:$J$1,0),FALSE)</f>
        <v>0.05</v>
      </c>
      <c r="H71">
        <f>VLOOKUP($B71,Miljö!$B$1:$J$479,MATCH("Koldioxidekvivalenter energiomvandling (g/kwh)",Miljö!$B$1:$J$1,0),FALSE)</f>
        <v>2</v>
      </c>
      <c r="I71">
        <f>VLOOKUP($B71,Miljö!$B$1:$J$479,MATCH("Fossilandel för ursprungspecificerad el ()",Miljö!$B$1:$J$1,0),FALSE)</f>
        <v>0.25</v>
      </c>
      <c r="J71">
        <f>VLOOKUP($B71,Miljö!$B$1:$J$479,MATCH("Kärnkraftsandel för ursprungsspecificerad el ()",Miljö!$B$1:$J$1,0),FALSE)</f>
        <v>0</v>
      </c>
      <c r="L71">
        <f>VLOOKUP($B71,Totalt!$B$1:$BU$497,MATCH("total el",Totalt!$B$1:$BU$1,0),FALSE)</f>
        <v>8.8657200000000014</v>
      </c>
      <c r="N71">
        <f t="shared" si="4"/>
        <v>0.44328600000000007</v>
      </c>
      <c r="O71">
        <f t="shared" si="5"/>
        <v>17.731440000000003</v>
      </c>
      <c r="P71">
        <f t="shared" si="6"/>
        <v>2.2164300000000003</v>
      </c>
      <c r="Q71">
        <f t="shared" si="7"/>
        <v>0</v>
      </c>
    </row>
    <row r="72" spans="1:17" x14ac:dyDescent="0.45">
      <c r="A72" s="31" t="s">
        <v>597</v>
      </c>
      <c r="B72" s="31" t="s">
        <v>599</v>
      </c>
      <c r="C72" t="str">
        <f>VLOOKUP($B72,Totalt!$B$1:$BU$497,MATCH("Kvalitetsgranskad:",Totalt!$B$1:$BU$1,0),FALSE)</f>
        <v>Ja</v>
      </c>
      <c r="E72" t="str">
        <f>VLOOKUP($B72,Miljö!$B$1:$AG$479,MATCH(E$1,Miljö!$B$1:$AK$1,0),FALSE)</f>
        <v>Ja</v>
      </c>
      <c r="F72" t="str">
        <f>VLOOKUP($B72,Miljö!$B$1:$J$479,MATCH("Typ av ursprungsspecificerad el   (Om inget värde anges används Nordisk residualmix, se inforuta) ()",Miljö!$B$1:$J$1,0),FALSE)</f>
        <v>'Eskilstuna Bioel'</v>
      </c>
      <c r="G72">
        <f>VLOOKUP($B72,Miljö!$B$1:$J$479,MATCH("Primärenergifaktor ()",Miljö!$B$1:$J$1,0),FALSE)</f>
        <v>0.03</v>
      </c>
      <c r="H72">
        <f>VLOOKUP($B72,Miljö!$B$1:$J$479,MATCH("Koldioxidekvivalenter energiomvandling (g/kwh)",Miljö!$B$1:$J$1,0),FALSE)</f>
        <v>30</v>
      </c>
      <c r="I72">
        <f>VLOOKUP($B72,Miljö!$B$1:$J$479,MATCH("Fossilandel för ursprungspecificerad el ()",Miljö!$B$1:$J$1,0),FALSE)</f>
        <v>0</v>
      </c>
      <c r="J72">
        <f>VLOOKUP($B72,Miljö!$B$1:$J$479,MATCH("Kärnkraftsandel för ursprungsspecificerad el ()",Miljö!$B$1:$J$1,0),FALSE)</f>
        <v>0</v>
      </c>
      <c r="L72">
        <f>VLOOKUP($B72,Totalt!$B$1:$BU$497,MATCH("total el",Totalt!$B$1:$BU$1,0),FALSE)</f>
        <v>27.0275</v>
      </c>
      <c r="N72">
        <f t="shared" si="4"/>
        <v>0.81082500000000002</v>
      </c>
      <c r="O72">
        <f t="shared" si="5"/>
        <v>810.82500000000005</v>
      </c>
      <c r="P72">
        <f t="shared" si="6"/>
        <v>0</v>
      </c>
      <c r="Q72">
        <f t="shared" si="7"/>
        <v>0</v>
      </c>
    </row>
    <row r="73" spans="1:17" x14ac:dyDescent="0.45">
      <c r="A73" s="31" t="s">
        <v>597</v>
      </c>
      <c r="B73" s="31" t="s">
        <v>598</v>
      </c>
      <c r="C73" t="str">
        <f>VLOOKUP($B73,Totalt!$B$1:$BU$497,MATCH("Kvalitetsgranskad:",Totalt!$B$1:$BU$1,0),FALSE)</f>
        <v>Ja</v>
      </c>
      <c r="E73" t="str">
        <f>VLOOKUP($B73,Miljö!$B$1:$AG$479,MATCH(E$1,Miljö!$B$1:$AK$1,0),FALSE)</f>
        <v>Ja</v>
      </c>
      <c r="F73" t="str">
        <f>VLOOKUP($B73,Miljö!$B$1:$J$479,MATCH("Typ av ursprungsspecificerad el   (Om inget värde anges används Nordisk residualmix, se inforuta) ()",Miljö!$B$1:$J$1,0),FALSE)</f>
        <v>'Eskilstuna Bioel'</v>
      </c>
      <c r="G73">
        <f>VLOOKUP($B73,Miljö!$B$1:$J$479,MATCH("Primärenergifaktor ()",Miljö!$B$1:$J$1,0),FALSE)</f>
        <v>0.03</v>
      </c>
      <c r="H73">
        <f>VLOOKUP($B73,Miljö!$B$1:$J$479,MATCH("Koldioxidekvivalenter energiomvandling (g/kwh)",Miljö!$B$1:$J$1,0),FALSE)</f>
        <v>30</v>
      </c>
      <c r="I73">
        <f>VLOOKUP($B73,Miljö!$B$1:$J$479,MATCH("Fossilandel för ursprungspecificerad el ()",Miljö!$B$1:$J$1,0),FALSE)</f>
        <v>0</v>
      </c>
      <c r="J73">
        <f>VLOOKUP($B73,Miljö!$B$1:$J$479,MATCH("Kärnkraftsandel för ursprungsspecificerad el ()",Miljö!$B$1:$J$1,0),FALSE)</f>
        <v>0</v>
      </c>
      <c r="L73">
        <f>VLOOKUP($B73,Totalt!$B$1:$BU$497,MATCH("total el",Totalt!$B$1:$BU$1,0),FALSE)</f>
        <v>1.7000000000000001E-2</v>
      </c>
      <c r="N73">
        <f t="shared" si="4"/>
        <v>5.1000000000000004E-4</v>
      </c>
      <c r="O73">
        <f t="shared" si="5"/>
        <v>0.51</v>
      </c>
      <c r="P73">
        <f t="shared" si="6"/>
        <v>0</v>
      </c>
      <c r="Q73">
        <f t="shared" si="7"/>
        <v>0</v>
      </c>
    </row>
    <row r="74" spans="1:17" x14ac:dyDescent="0.45">
      <c r="A74" s="31" t="s">
        <v>597</v>
      </c>
      <c r="B74" s="31" t="s">
        <v>596</v>
      </c>
      <c r="C74" t="str">
        <f>VLOOKUP($B74,Totalt!$B$1:$BU$497,MATCH("Kvalitetsgranskad:",Totalt!$B$1:$BU$1,0),FALSE)</f>
        <v>Ja</v>
      </c>
      <c r="E74" t="str">
        <f>VLOOKUP($B74,Miljö!$B$1:$AG$479,MATCH(E$1,Miljö!$B$1:$AK$1,0),FALSE)</f>
        <v>Ja</v>
      </c>
      <c r="F74" t="str">
        <f>VLOOKUP($B74,Miljö!$B$1:$J$479,MATCH("Typ av ursprungsspecificerad el   (Om inget värde anges används Nordisk residualmix, se inforuta) ()",Miljö!$B$1:$J$1,0),FALSE)</f>
        <v>'Eskilstuna Bioel'</v>
      </c>
      <c r="G74">
        <f>VLOOKUP($B74,Miljö!$B$1:$J$479,MATCH("Primärenergifaktor ()",Miljö!$B$1:$J$1,0),FALSE)</f>
        <v>0.03</v>
      </c>
      <c r="H74">
        <f>VLOOKUP($B74,Miljö!$B$1:$J$479,MATCH("Koldioxidekvivalenter energiomvandling (g/kwh)",Miljö!$B$1:$J$1,0),FALSE)</f>
        <v>30</v>
      </c>
      <c r="I74">
        <f>VLOOKUP($B74,Miljö!$B$1:$J$479,MATCH("Fossilandel för ursprungspecificerad el ()",Miljö!$B$1:$J$1,0),FALSE)</f>
        <v>0</v>
      </c>
      <c r="J74">
        <f>VLOOKUP($B74,Miljö!$B$1:$J$479,MATCH("Kärnkraftsandel för ursprungsspecificerad el ()",Miljö!$B$1:$J$1,0),FALSE)</f>
        <v>0</v>
      </c>
      <c r="L74">
        <f>VLOOKUP($B74,Totalt!$B$1:$BU$497,MATCH("total el",Totalt!$B$1:$BU$1,0),FALSE)</f>
        <v>0.121</v>
      </c>
      <c r="N74">
        <f t="shared" si="4"/>
        <v>3.6299999999999995E-3</v>
      </c>
      <c r="O74">
        <f t="shared" si="5"/>
        <v>3.63</v>
      </c>
      <c r="P74">
        <f t="shared" si="6"/>
        <v>0</v>
      </c>
      <c r="Q74">
        <f t="shared" si="7"/>
        <v>0</v>
      </c>
    </row>
    <row r="75" spans="1:17" x14ac:dyDescent="0.45">
      <c r="A75" s="31" t="s">
        <v>593</v>
      </c>
      <c r="B75" s="31" t="s">
        <v>595</v>
      </c>
      <c r="C75" t="str">
        <f>VLOOKUP($B75,Totalt!$B$1:$BU$497,MATCH("Kvalitetsgranskad:",Totalt!$B$1:$BU$1,0),FALSE)</f>
        <v>Ja</v>
      </c>
      <c r="E75" t="str">
        <f>VLOOKUP($B75,Miljö!$B$1:$AG$479,MATCH(E$1,Miljö!$B$1:$AK$1,0),FALSE)</f>
        <v>Ja</v>
      </c>
      <c r="F75" t="str">
        <f>VLOOKUP($B75,Miljö!$B$1:$J$479,MATCH("Typ av ursprungsspecificerad el   (Om inget värde anges används Nordisk residualmix, se inforuta) ()",Miljö!$B$1:$J$1,0),FALSE)</f>
        <v>'Bra Miljöval'</v>
      </c>
      <c r="G75">
        <f>VLOOKUP($B75,Miljö!$B$1:$J$479,MATCH("Primärenergifaktor ()",Miljö!$B$1:$J$1,0),FALSE)</f>
        <v>1.1000000000000001</v>
      </c>
      <c r="H75">
        <f>VLOOKUP($B75,Miljö!$B$1:$J$479,MATCH("Koldioxidekvivalenter energiomvandling (g/kwh)",Miljö!$B$1:$J$1,0),FALSE)</f>
        <v>5</v>
      </c>
      <c r="I75">
        <f>VLOOKUP($B75,Miljö!$B$1:$J$479,MATCH("Fossilandel för ursprungspecificerad el ()",Miljö!$B$1:$J$1,0),FALSE)</f>
        <v>0</v>
      </c>
      <c r="J75">
        <f>VLOOKUP($B75,Miljö!$B$1:$J$479,MATCH("Kärnkraftsandel för ursprungsspecificerad el ()",Miljö!$B$1:$J$1,0),FALSE)</f>
        <v>0</v>
      </c>
      <c r="L75">
        <f>VLOOKUP($B75,Totalt!$B$1:$BU$497,MATCH("total el",Totalt!$B$1:$BU$1,0),FALSE)</f>
        <v>3.7181299999999999</v>
      </c>
      <c r="N75">
        <f t="shared" si="4"/>
        <v>4.0899429999999999</v>
      </c>
      <c r="O75">
        <f t="shared" si="5"/>
        <v>18.59065</v>
      </c>
      <c r="P75">
        <f t="shared" si="6"/>
        <v>0</v>
      </c>
      <c r="Q75">
        <f t="shared" si="7"/>
        <v>0</v>
      </c>
    </row>
    <row r="76" spans="1:17" x14ac:dyDescent="0.45">
      <c r="A76" s="31" t="s">
        <v>593</v>
      </c>
      <c r="B76" s="31" t="s">
        <v>594</v>
      </c>
      <c r="C76" t="str">
        <f>VLOOKUP($B76,Totalt!$B$1:$BU$497,MATCH("Kvalitetsgranskad:",Totalt!$B$1:$BU$1,0),FALSE)</f>
        <v>Ja</v>
      </c>
      <c r="E76" t="str">
        <f>VLOOKUP($B76,Miljö!$B$1:$AG$479,MATCH(E$1,Miljö!$B$1:$AK$1,0),FALSE)</f>
        <v>Ja</v>
      </c>
      <c r="F76" t="str">
        <f>VLOOKUP($B76,Miljö!$B$1:$J$479,MATCH("Typ av ursprungsspecificerad el   (Om inget värde anges används Nordisk residualmix, se inforuta) ()",Miljö!$B$1:$J$1,0),FALSE)</f>
        <v>'Bra Miljöval'</v>
      </c>
      <c r="G76">
        <f>VLOOKUP($B76,Miljö!$B$1:$J$479,MATCH("Primärenergifaktor ()",Miljö!$B$1:$J$1,0),FALSE)</f>
        <v>1.1000000000000001</v>
      </c>
      <c r="H76">
        <f>VLOOKUP($B76,Miljö!$B$1:$J$479,MATCH("Koldioxidekvivalenter energiomvandling (g/kwh)",Miljö!$B$1:$J$1,0),FALSE)</f>
        <v>5</v>
      </c>
      <c r="I76">
        <f>VLOOKUP($B76,Miljö!$B$1:$J$479,MATCH("Fossilandel för ursprungspecificerad el ()",Miljö!$B$1:$J$1,0),FALSE)</f>
        <v>0</v>
      </c>
      <c r="J76">
        <f>VLOOKUP($B76,Miljö!$B$1:$J$479,MATCH("Kärnkraftsandel för ursprungsspecificerad el ()",Miljö!$B$1:$J$1,0),FALSE)</f>
        <v>0</v>
      </c>
      <c r="L76">
        <f>VLOOKUP($B76,Totalt!$B$1:$BU$497,MATCH("total el",Totalt!$B$1:$BU$1,0),FALSE)</f>
        <v>0.11</v>
      </c>
      <c r="N76">
        <f t="shared" si="4"/>
        <v>0.12100000000000001</v>
      </c>
      <c r="O76">
        <f t="shared" si="5"/>
        <v>0.55000000000000004</v>
      </c>
      <c r="P76">
        <f t="shared" si="6"/>
        <v>0</v>
      </c>
      <c r="Q76">
        <f t="shared" si="7"/>
        <v>0</v>
      </c>
    </row>
    <row r="77" spans="1:17" x14ac:dyDescent="0.45">
      <c r="A77" s="31" t="s">
        <v>593</v>
      </c>
      <c r="B77" s="31" t="s">
        <v>592</v>
      </c>
      <c r="C77" t="str">
        <f>VLOOKUP($B77,Totalt!$B$1:$BU$497,MATCH("Kvalitetsgranskad:",Totalt!$B$1:$BU$1,0),FALSE)</f>
        <v>Ja</v>
      </c>
      <c r="E77" t="str">
        <f>VLOOKUP($B77,Miljö!$B$1:$AG$479,MATCH(E$1,Miljö!$B$1:$AK$1,0),FALSE)</f>
        <v>Ja</v>
      </c>
      <c r="F77" t="str">
        <f>VLOOKUP($B77,Miljö!$B$1:$J$479,MATCH("Typ av ursprungsspecificerad el   (Om inget värde anges används Nordisk residualmix, se inforuta) ()",Miljö!$B$1:$J$1,0),FALSE)</f>
        <v>'Bra Miljöval'</v>
      </c>
      <c r="G77">
        <f>VLOOKUP($B77,Miljö!$B$1:$J$479,MATCH("Primärenergifaktor ()",Miljö!$B$1:$J$1,0),FALSE)</f>
        <v>1.1000000000000001</v>
      </c>
      <c r="H77">
        <f>VLOOKUP($B77,Miljö!$B$1:$J$479,MATCH("Koldioxidekvivalenter energiomvandling (g/kwh)",Miljö!$B$1:$J$1,0),FALSE)</f>
        <v>5</v>
      </c>
      <c r="I77">
        <f>VLOOKUP($B77,Miljö!$B$1:$J$479,MATCH("Fossilandel för ursprungspecificerad el ()",Miljö!$B$1:$J$1,0),FALSE)</f>
        <v>0</v>
      </c>
      <c r="J77">
        <f>VLOOKUP($B77,Miljö!$B$1:$J$479,MATCH("Kärnkraftsandel för ursprungsspecificerad el ()",Miljö!$B$1:$J$1,0),FALSE)</f>
        <v>0</v>
      </c>
      <c r="L77">
        <f>VLOOKUP($B77,Totalt!$B$1:$BU$497,MATCH("total el",Totalt!$B$1:$BU$1,0),FALSE)</f>
        <v>0.73</v>
      </c>
      <c r="N77">
        <f t="shared" si="4"/>
        <v>0.80300000000000005</v>
      </c>
      <c r="O77">
        <f t="shared" si="5"/>
        <v>3.65</v>
      </c>
      <c r="P77">
        <f t="shared" si="6"/>
        <v>0</v>
      </c>
      <c r="Q77">
        <f t="shared" si="7"/>
        <v>0</v>
      </c>
    </row>
    <row r="78" spans="1:17" x14ac:dyDescent="0.45">
      <c r="A78" s="31" t="s">
        <v>589</v>
      </c>
      <c r="B78" s="31" t="s">
        <v>591</v>
      </c>
      <c r="C78" t="str">
        <f>VLOOKUP($B78,Totalt!$B$1:$BU$497,MATCH("Kvalitetsgranskad:",Totalt!$B$1:$BU$1,0),FALSE)</f>
        <v>Ja</v>
      </c>
      <c r="E78" t="str">
        <f>VLOOKUP($B78,Miljö!$B$1:$AG$479,MATCH(E$1,Miljö!$B$1:$AK$1,0),FALSE)</f>
        <v>Ja</v>
      </c>
      <c r="F78" t="str">
        <f>VLOOKUP($B78,Miljö!$B$1:$J$479,MATCH("Typ av ursprungsspecificerad el   (Om inget värde anges används Nordisk residualmix, se inforuta) ()",Miljö!$B$1:$J$1,0),FALSE)</f>
        <v>'FEAB Bra miljöval'</v>
      </c>
      <c r="G78">
        <f>VLOOKUP($B78,Miljö!$B$1:$J$479,MATCH("Primärenergifaktor ()",Miljö!$B$1:$J$1,0),FALSE)</f>
        <v>0.93</v>
      </c>
      <c r="H78">
        <f>VLOOKUP($B78,Miljö!$B$1:$J$479,MATCH("Koldioxidekvivalenter energiomvandling (g/kwh)",Miljö!$B$1:$J$1,0),FALSE)</f>
        <v>0</v>
      </c>
      <c r="I78">
        <f>VLOOKUP($B78,Miljö!$B$1:$J$479,MATCH("Fossilandel för ursprungspecificerad el ()",Miljö!$B$1:$J$1,0),FALSE)</f>
        <v>0</v>
      </c>
      <c r="J78">
        <f>VLOOKUP($B78,Miljö!$B$1:$J$479,MATCH("Kärnkraftsandel för ursprungsspecificerad el ()",Miljö!$B$1:$J$1,0),FALSE)</f>
        <v>0</v>
      </c>
      <c r="L78">
        <f>VLOOKUP($B78,Totalt!$B$1:$BU$497,MATCH("total el",Totalt!$B$1:$BU$1,0),FALSE)</f>
        <v>1.716</v>
      </c>
      <c r="N78">
        <f t="shared" si="4"/>
        <v>1.59588</v>
      </c>
      <c r="O78">
        <f t="shared" si="5"/>
        <v>0</v>
      </c>
      <c r="P78">
        <f t="shared" si="6"/>
        <v>0</v>
      </c>
      <c r="Q78">
        <f t="shared" si="7"/>
        <v>0</v>
      </c>
    </row>
    <row r="79" spans="1:17" x14ac:dyDescent="0.45">
      <c r="A79" s="31" t="s">
        <v>589</v>
      </c>
      <c r="B79" s="31" t="s">
        <v>590</v>
      </c>
      <c r="C79" t="str">
        <f>VLOOKUP($B79,Totalt!$B$1:$BU$497,MATCH("Kvalitetsgranskad:",Totalt!$B$1:$BU$1,0),FALSE)</f>
        <v>Ja</v>
      </c>
      <c r="E79" t="str">
        <f>VLOOKUP($B79,Miljö!$B$1:$AG$479,MATCH(E$1,Miljö!$B$1:$AK$1,0),FALSE)</f>
        <v>Ja</v>
      </c>
      <c r="F79" t="str">
        <f>VLOOKUP($B79,Miljö!$B$1:$J$479,MATCH("Typ av ursprungsspecificerad el   (Om inget värde anges används Nordisk residualmix, se inforuta) ()",Miljö!$B$1:$J$1,0),FALSE)</f>
        <v>'FEAB Bra miljöval'</v>
      </c>
      <c r="G79">
        <f>VLOOKUP($B79,Miljö!$B$1:$J$479,MATCH("Primärenergifaktor ()",Miljö!$B$1:$J$1,0),FALSE)</f>
        <v>0.93</v>
      </c>
      <c r="H79">
        <f>VLOOKUP($B79,Miljö!$B$1:$J$479,MATCH("Koldioxidekvivalenter energiomvandling (g/kwh)",Miljö!$B$1:$J$1,0),FALSE)</f>
        <v>0</v>
      </c>
      <c r="I79">
        <f>VLOOKUP($B79,Miljö!$B$1:$J$479,MATCH("Fossilandel för ursprungspecificerad el ()",Miljö!$B$1:$J$1,0),FALSE)</f>
        <v>0</v>
      </c>
      <c r="J79">
        <f>VLOOKUP($B79,Miljö!$B$1:$J$479,MATCH("Kärnkraftsandel för ursprungsspecificerad el ()",Miljö!$B$1:$J$1,0),FALSE)</f>
        <v>0</v>
      </c>
      <c r="L79">
        <f>VLOOKUP($B79,Totalt!$B$1:$BU$497,MATCH("total el",Totalt!$B$1:$BU$1,0),FALSE)</f>
        <v>4.9000000000000002E-2</v>
      </c>
      <c r="N79">
        <f t="shared" si="4"/>
        <v>4.5570000000000006E-2</v>
      </c>
      <c r="O79">
        <f t="shared" si="5"/>
        <v>0</v>
      </c>
      <c r="P79">
        <f t="shared" si="6"/>
        <v>0</v>
      </c>
      <c r="Q79">
        <f t="shared" si="7"/>
        <v>0</v>
      </c>
    </row>
    <row r="80" spans="1:17" x14ac:dyDescent="0.45">
      <c r="A80" s="31" t="s">
        <v>589</v>
      </c>
      <c r="B80" s="31" t="s">
        <v>588</v>
      </c>
      <c r="C80" t="str">
        <f>VLOOKUP($B80,Totalt!$B$1:$BU$497,MATCH("Kvalitetsgranskad:",Totalt!$B$1:$BU$1,0),FALSE)</f>
        <v>Ja</v>
      </c>
      <c r="E80" t="str">
        <f>VLOOKUP($B80,Miljö!$B$1:$AG$479,MATCH(E$1,Miljö!$B$1:$AK$1,0),FALSE)</f>
        <v>Ja</v>
      </c>
      <c r="F80" t="str">
        <f>VLOOKUP($B80,Miljö!$B$1:$J$479,MATCH("Typ av ursprungsspecificerad el   (Om inget värde anges används Nordisk residualmix, se inforuta) ()",Miljö!$B$1:$J$1,0),FALSE)</f>
        <v>'100% vattenkraftsel'</v>
      </c>
      <c r="G80">
        <f>VLOOKUP($B80,Miljö!$B$1:$J$479,MATCH("Primärenergifaktor ()",Miljö!$B$1:$J$1,0),FALSE)</f>
        <v>1.1000000000000001</v>
      </c>
      <c r="H80">
        <f>VLOOKUP($B80,Miljö!$B$1:$J$479,MATCH("Koldioxidekvivalenter energiomvandling (g/kwh)",Miljö!$B$1:$J$1,0),FALSE)</f>
        <v>0</v>
      </c>
      <c r="I80">
        <f>VLOOKUP($B80,Miljö!$B$1:$J$479,MATCH("Fossilandel för ursprungspecificerad el ()",Miljö!$B$1:$J$1,0),FALSE)</f>
        <v>0.01</v>
      </c>
      <c r="J80">
        <f>VLOOKUP($B80,Miljö!$B$1:$J$479,MATCH("Kärnkraftsandel för ursprungsspecificerad el ()",Miljö!$B$1:$J$1,0),FALSE)</f>
        <v>0</v>
      </c>
      <c r="L80">
        <f>VLOOKUP($B80,Totalt!$B$1:$BU$497,MATCH("total el",Totalt!$B$1:$BU$1,0),FALSE)</f>
        <v>5.1999999999999998E-2</v>
      </c>
      <c r="N80">
        <f t="shared" si="4"/>
        <v>5.7200000000000001E-2</v>
      </c>
      <c r="O80">
        <f t="shared" si="5"/>
        <v>0</v>
      </c>
      <c r="P80">
        <f t="shared" si="6"/>
        <v>5.1999999999999995E-4</v>
      </c>
      <c r="Q80">
        <f t="shared" si="7"/>
        <v>0</v>
      </c>
    </row>
    <row r="81" spans="1:17" x14ac:dyDescent="0.45">
      <c r="A81" s="31" t="s">
        <v>582</v>
      </c>
      <c r="B81" s="31" t="s">
        <v>586</v>
      </c>
      <c r="C81" t="str">
        <f>VLOOKUP($B81,Totalt!$B$1:$BU$497,MATCH("Kvalitetsgranskad:",Totalt!$B$1:$BU$1,0),FALSE)</f>
        <v>Ja</v>
      </c>
      <c r="E81" t="str">
        <f>VLOOKUP($B81,Miljö!$B$1:$AG$479,MATCH(E$1,Miljö!$B$1:$AK$1,0),FALSE)</f>
        <v>Ja</v>
      </c>
      <c r="F81" t="str">
        <f>VLOOKUP($B81,Miljö!$B$1:$J$479,MATCH("Typ av ursprungsspecificerad el   (Om inget värde anges används Nordisk residualmix, se inforuta) ()",Miljö!$B$1:$J$1,0),FALSE)</f>
        <v>'Bio. vatten. vind'</v>
      </c>
      <c r="G81">
        <f>VLOOKUP($B81,Miljö!$B$1:$J$479,MATCH("Primärenergifaktor ()",Miljö!$B$1:$J$1,0),FALSE)</f>
        <v>1.5</v>
      </c>
      <c r="H81">
        <f>VLOOKUP($B81,Miljö!$B$1:$J$479,MATCH("Koldioxidekvivalenter energiomvandling (g/kwh)",Miljö!$B$1:$J$1,0),FALSE)</f>
        <v>0</v>
      </c>
      <c r="I81">
        <f>VLOOKUP($B81,Miljö!$B$1:$J$479,MATCH("Fossilandel för ursprungspecificerad el ()",Miljö!$B$1:$J$1,0),FALSE)</f>
        <v>0</v>
      </c>
      <c r="J81">
        <f>VLOOKUP($B81,Miljö!$B$1:$J$479,MATCH("Kärnkraftsandel för ursprungsspecificerad el ()",Miljö!$B$1:$J$1,0),FALSE)</f>
        <v>0</v>
      </c>
      <c r="L81">
        <f>VLOOKUP($B81,Totalt!$B$1:$BU$497,MATCH("total el",Totalt!$B$1:$BU$1,0),FALSE)</f>
        <v>6.6000000000000003E-2</v>
      </c>
      <c r="N81">
        <f t="shared" si="4"/>
        <v>9.9000000000000005E-2</v>
      </c>
      <c r="O81">
        <f t="shared" si="5"/>
        <v>0</v>
      </c>
      <c r="P81">
        <f t="shared" si="6"/>
        <v>0</v>
      </c>
      <c r="Q81">
        <f t="shared" si="7"/>
        <v>0</v>
      </c>
    </row>
    <row r="82" spans="1:17" x14ac:dyDescent="0.45">
      <c r="A82" s="31" t="s">
        <v>582</v>
      </c>
      <c r="B82" s="31" t="s">
        <v>585</v>
      </c>
      <c r="C82" t="str">
        <f>VLOOKUP($B82,Totalt!$B$1:$BU$497,MATCH("Kvalitetsgranskad:",Totalt!$B$1:$BU$1,0),FALSE)</f>
        <v>Ja</v>
      </c>
      <c r="E82" t="str">
        <f>VLOOKUP($B82,Miljö!$B$1:$AG$479,MATCH(E$1,Miljö!$B$1:$AK$1,0),FALSE)</f>
        <v>Ja</v>
      </c>
      <c r="F82" t="str">
        <f>VLOOKUP($B82,Miljö!$B$1:$J$479,MATCH("Typ av ursprungsspecificerad el   (Om inget värde anges används Nordisk residualmix, se inforuta) ()",Miljö!$B$1:$J$1,0),FALSE)</f>
        <v>'Bio. vatten. vind'</v>
      </c>
      <c r="G82">
        <f>VLOOKUP($B82,Miljö!$B$1:$J$479,MATCH("Primärenergifaktor ()",Miljö!$B$1:$J$1,0),FALSE)</f>
        <v>1.5</v>
      </c>
      <c r="H82">
        <f>VLOOKUP($B82,Miljö!$B$1:$J$479,MATCH("Koldioxidekvivalenter energiomvandling (g/kwh)",Miljö!$B$1:$J$1,0),FALSE)</f>
        <v>0</v>
      </c>
      <c r="I82">
        <f>VLOOKUP($B82,Miljö!$B$1:$J$479,MATCH("Fossilandel för ursprungspecificerad el ()",Miljö!$B$1:$J$1,0),FALSE)</f>
        <v>0</v>
      </c>
      <c r="J82">
        <f>VLOOKUP($B82,Miljö!$B$1:$J$479,MATCH("Kärnkraftsandel för ursprungsspecificerad el ()",Miljö!$B$1:$J$1,0),FALSE)</f>
        <v>0</v>
      </c>
      <c r="L82">
        <f>VLOOKUP($B82,Totalt!$B$1:$BU$497,MATCH("total el",Totalt!$B$1:$BU$1,0),FALSE)</f>
        <v>11.3271</v>
      </c>
      <c r="N82">
        <f t="shared" si="4"/>
        <v>16.990649999999999</v>
      </c>
      <c r="O82">
        <f t="shared" si="5"/>
        <v>0</v>
      </c>
      <c r="P82">
        <f t="shared" si="6"/>
        <v>0</v>
      </c>
      <c r="Q82">
        <f t="shared" si="7"/>
        <v>0</v>
      </c>
    </row>
    <row r="83" spans="1:17" x14ac:dyDescent="0.45">
      <c r="A83" s="31" t="s">
        <v>582</v>
      </c>
      <c r="B83" s="31" t="s">
        <v>583</v>
      </c>
      <c r="C83" t="str">
        <f>VLOOKUP($B83,Totalt!$B$1:$BU$497,MATCH("Kvalitetsgranskad:",Totalt!$B$1:$BU$1,0),FALSE)</f>
        <v>Ja</v>
      </c>
      <c r="E83" t="str">
        <f>VLOOKUP($B83,Miljö!$B$1:$AG$479,MATCH(E$1,Miljö!$B$1:$AK$1,0),FALSE)</f>
        <v>Ja</v>
      </c>
      <c r="F83" t="str">
        <f>VLOOKUP($B83,Miljö!$B$1:$J$479,MATCH("Typ av ursprungsspecificerad el   (Om inget värde anges används Nordisk residualmix, se inforuta) ()",Miljö!$B$1:$J$1,0),FALSE)</f>
        <v>'Bio. vatten. vind'</v>
      </c>
      <c r="G83">
        <f>VLOOKUP($B83,Miljö!$B$1:$J$479,MATCH("Primärenergifaktor ()",Miljö!$B$1:$J$1,0),FALSE)</f>
        <v>1.5</v>
      </c>
      <c r="H83">
        <f>VLOOKUP($B83,Miljö!$B$1:$J$479,MATCH("Koldioxidekvivalenter energiomvandling (g/kwh)",Miljö!$B$1:$J$1,0),FALSE)</f>
        <v>0</v>
      </c>
      <c r="I83">
        <f>VLOOKUP($B83,Miljö!$B$1:$J$479,MATCH("Fossilandel för ursprungspecificerad el ()",Miljö!$B$1:$J$1,0),FALSE)</f>
        <v>0</v>
      </c>
      <c r="J83">
        <f>VLOOKUP($B83,Miljö!$B$1:$J$479,MATCH("Kärnkraftsandel för ursprungsspecificerad el ()",Miljö!$B$1:$J$1,0),FALSE)</f>
        <v>0</v>
      </c>
      <c r="L83">
        <f>VLOOKUP($B83,Totalt!$B$1:$BU$497,MATCH("total el",Totalt!$B$1:$BU$1,0),FALSE)</f>
        <v>5.6000000000000001E-2</v>
      </c>
      <c r="N83">
        <f t="shared" si="4"/>
        <v>8.4000000000000005E-2</v>
      </c>
      <c r="O83">
        <f t="shared" si="5"/>
        <v>0</v>
      </c>
      <c r="P83">
        <f t="shared" si="6"/>
        <v>0</v>
      </c>
      <c r="Q83">
        <f t="shared" si="7"/>
        <v>0</v>
      </c>
    </row>
    <row r="84" spans="1:17" x14ac:dyDescent="0.45">
      <c r="A84" s="31" t="s">
        <v>582</v>
      </c>
      <c r="B84" s="31" t="s">
        <v>581</v>
      </c>
      <c r="C84" t="str">
        <f>VLOOKUP($B84,Totalt!$B$1:$BU$497,MATCH("Kvalitetsgranskad:",Totalt!$B$1:$BU$1,0),FALSE)</f>
        <v>Ja</v>
      </c>
      <c r="E84" t="str">
        <f>VLOOKUP($B84,Miljö!$B$1:$AG$479,MATCH(E$1,Miljö!$B$1:$AK$1,0),FALSE)</f>
        <v>Ja</v>
      </c>
      <c r="F84" t="str">
        <f>VLOOKUP($B84,Miljö!$B$1:$J$479,MATCH("Typ av ursprungsspecificerad el   (Om inget värde anges används Nordisk residualmix, se inforuta) ()",Miljö!$B$1:$J$1,0),FALSE)</f>
        <v>'Bio. vatten. vind'</v>
      </c>
      <c r="G84">
        <f>VLOOKUP($B84,Miljö!$B$1:$J$479,MATCH("Primärenergifaktor ()",Miljö!$B$1:$J$1,0),FALSE)</f>
        <v>1.5</v>
      </c>
      <c r="H84">
        <f>VLOOKUP($B84,Miljö!$B$1:$J$479,MATCH("Koldioxidekvivalenter energiomvandling (g/kwh)",Miljö!$B$1:$J$1,0),FALSE)</f>
        <v>0</v>
      </c>
      <c r="I84">
        <f>VLOOKUP($B84,Miljö!$B$1:$J$479,MATCH("Fossilandel för ursprungspecificerad el ()",Miljö!$B$1:$J$1,0),FALSE)</f>
        <v>0</v>
      </c>
      <c r="J84">
        <f>VLOOKUP($B84,Miljö!$B$1:$J$479,MATCH("Kärnkraftsandel för ursprungsspecificerad el ()",Miljö!$B$1:$J$1,0),FALSE)</f>
        <v>0</v>
      </c>
      <c r="L84">
        <f>VLOOKUP($B84,Totalt!$B$1:$BU$497,MATCH("total el",Totalt!$B$1:$BU$1,0),FALSE)</f>
        <v>0.1</v>
      </c>
      <c r="N84">
        <f t="shared" si="4"/>
        <v>0.15000000000000002</v>
      </c>
      <c r="O84">
        <f t="shared" si="5"/>
        <v>0</v>
      </c>
      <c r="P84">
        <f t="shared" si="6"/>
        <v>0</v>
      </c>
      <c r="Q84">
        <f t="shared" si="7"/>
        <v>0</v>
      </c>
    </row>
    <row r="85" spans="1:17" x14ac:dyDescent="0.45">
      <c r="A85" s="31" t="s">
        <v>580</v>
      </c>
      <c r="B85" s="31" t="s">
        <v>579</v>
      </c>
      <c r="C85" t="str">
        <f>VLOOKUP($B85,Totalt!$B$1:$BU$497,MATCH("Kvalitetsgranskad:",Totalt!$B$1:$BU$1,0),FALSE)</f>
        <v>Ja</v>
      </c>
      <c r="E85" t="str">
        <f>VLOOKUP($B85,Miljö!$B$1:$AG$479,MATCH(E$1,Miljö!$B$1:$AK$1,0),FALSE)</f>
        <v>Ja</v>
      </c>
      <c r="F85" t="str">
        <f>VLOOKUP($B85,Miljö!$B$1:$J$479,MATCH("Typ av ursprungsspecificerad el   (Om inget värde anges används Nordisk residualmix, se inforuta) ()",Miljö!$B$1:$J$1,0),FALSE)</f>
        <v>'vindkraft'</v>
      </c>
      <c r="G85">
        <f>VLOOKUP($B85,Miljö!$B$1:$J$479,MATCH("Primärenergifaktor ()",Miljö!$B$1:$J$1,0),FALSE)</f>
        <v>1.1000000000000001</v>
      </c>
      <c r="H85">
        <f>VLOOKUP($B85,Miljö!$B$1:$J$479,MATCH("Koldioxidekvivalenter energiomvandling (g/kwh)",Miljö!$B$1:$J$1,0),FALSE)</f>
        <v>0</v>
      </c>
      <c r="I85">
        <f>VLOOKUP($B85,Miljö!$B$1:$J$479,MATCH("Fossilandel för ursprungspecificerad el ()",Miljö!$B$1:$J$1,0),FALSE)</f>
        <v>0</v>
      </c>
      <c r="J85">
        <f>VLOOKUP($B85,Miljö!$B$1:$J$479,MATCH("Kärnkraftsandel för ursprungsspecificerad el ()",Miljö!$B$1:$J$1,0),FALSE)</f>
        <v>0</v>
      </c>
      <c r="L85">
        <f>VLOOKUP($B85,Totalt!$B$1:$BU$497,MATCH("total el",Totalt!$B$1:$BU$1,0),FALSE)</f>
        <v>4</v>
      </c>
      <c r="N85">
        <f t="shared" si="4"/>
        <v>4.4000000000000004</v>
      </c>
      <c r="O85">
        <f t="shared" si="5"/>
        <v>0</v>
      </c>
      <c r="P85">
        <f t="shared" si="6"/>
        <v>0</v>
      </c>
      <c r="Q85">
        <f t="shared" si="7"/>
        <v>0</v>
      </c>
    </row>
    <row r="86" spans="1:17" x14ac:dyDescent="0.45">
      <c r="A86" s="31" t="s">
        <v>576</v>
      </c>
      <c r="B86" s="31" t="s">
        <v>578</v>
      </c>
      <c r="C86" t="str">
        <f>VLOOKUP($B86,Totalt!$B$1:$BU$497,MATCH("Kvalitetsgranskad:",Totalt!$B$1:$BU$1,0),FALSE)</f>
        <v>Ja</v>
      </c>
      <c r="E86" t="str">
        <f>VLOOKUP($B86,Miljö!$B$1:$AG$479,MATCH(E$1,Miljö!$B$1:$AK$1,0),FALSE)</f>
        <v>Ja</v>
      </c>
      <c r="F86" t="str">
        <f>VLOOKUP($B86,Miljö!$B$1:$J$479,MATCH("Typ av ursprungsspecificerad el   (Om inget värde anges används Nordisk residualmix, se inforuta) ()",Miljö!$B$1:$J$1,0),FALSE)</f>
        <v>'Förnybart'</v>
      </c>
      <c r="G86">
        <f>VLOOKUP($B86,Miljö!$B$1:$J$479,MATCH("Primärenergifaktor ()",Miljö!$B$1:$J$1,0),FALSE)</f>
        <v>1.17</v>
      </c>
      <c r="H86">
        <f>VLOOKUP($B86,Miljö!$B$1:$J$479,MATCH("Koldioxidekvivalenter energiomvandling (g/kwh)",Miljö!$B$1:$J$1,0),FALSE)</f>
        <v>0</v>
      </c>
      <c r="I86">
        <f>VLOOKUP($B86,Miljö!$B$1:$J$479,MATCH("Fossilandel för ursprungspecificerad el ()",Miljö!$B$1:$J$1,0),FALSE)</f>
        <v>0</v>
      </c>
      <c r="J86">
        <f>VLOOKUP($B86,Miljö!$B$1:$J$479,MATCH("Kärnkraftsandel för ursprungsspecificerad el ()",Miljö!$B$1:$J$1,0),FALSE)</f>
        <v>0</v>
      </c>
      <c r="L86">
        <f>VLOOKUP($B86,Totalt!$B$1:$BU$497,MATCH("total el",Totalt!$B$1:$BU$1,0),FALSE)</f>
        <v>1.1895899999999999</v>
      </c>
      <c r="N86">
        <f t="shared" si="4"/>
        <v>1.3918202999999998</v>
      </c>
      <c r="O86">
        <f t="shared" si="5"/>
        <v>0</v>
      </c>
      <c r="P86">
        <f t="shared" si="6"/>
        <v>0</v>
      </c>
      <c r="Q86">
        <f t="shared" si="7"/>
        <v>0</v>
      </c>
    </row>
    <row r="87" spans="1:17" x14ac:dyDescent="0.45">
      <c r="A87" s="31" t="s">
        <v>576</v>
      </c>
      <c r="B87" s="31" t="s">
        <v>577</v>
      </c>
      <c r="C87" t="str">
        <f>VLOOKUP($B87,Totalt!$B$1:$BU$497,MATCH("Kvalitetsgranskad:",Totalt!$B$1:$BU$1,0),FALSE)</f>
        <v>Ja</v>
      </c>
      <c r="E87" t="str">
        <f>VLOOKUP($B87,Miljö!$B$1:$AG$479,MATCH(E$1,Miljö!$B$1:$AK$1,0),FALSE)</f>
        <v>Ja</v>
      </c>
      <c r="F87" t="str">
        <f>VLOOKUP($B87,Miljö!$B$1:$J$479,MATCH("Typ av ursprungsspecificerad el   (Om inget värde anges används Nordisk residualmix, se inforuta) ()",Miljö!$B$1:$J$1,0),FALSE)</f>
        <v>-</v>
      </c>
      <c r="G87">
        <f>VLOOKUP($B87,Miljö!$B$1:$J$479,MATCH("Primärenergifaktor ()",Miljö!$B$1:$J$1,0),FALSE)</f>
        <v>2.2000000000000002</v>
      </c>
      <c r="H87">
        <f>VLOOKUP($B87,Miljö!$B$1:$J$479,MATCH("Koldioxidekvivalenter energiomvandling (g/kwh)",Miljö!$B$1:$J$1,0),FALSE)</f>
        <v>250.8</v>
      </c>
      <c r="I87">
        <f>VLOOKUP($B87,Miljö!$B$1:$J$479,MATCH("Fossilandel för ursprungspecificerad el ()",Miljö!$B$1:$J$1,0),FALSE)</f>
        <v>0.35</v>
      </c>
      <c r="J87">
        <f>VLOOKUP($B87,Miljö!$B$1:$J$479,MATCH("Kärnkraftsandel för ursprungsspecificerad el ()",Miljö!$B$1:$J$1,0),FALSE)</f>
        <v>0.3977</v>
      </c>
      <c r="L87">
        <f>VLOOKUP($B87,Totalt!$B$1:$BU$497,MATCH("total el",Totalt!$B$1:$BU$1,0),FALSE)</f>
        <v>0.12534000000000001</v>
      </c>
      <c r="N87">
        <f t="shared" si="4"/>
        <v>0.27574800000000005</v>
      </c>
      <c r="O87">
        <f t="shared" si="5"/>
        <v>31.435272000000005</v>
      </c>
      <c r="P87">
        <f t="shared" si="6"/>
        <v>4.3868999999999998E-2</v>
      </c>
      <c r="Q87">
        <f t="shared" si="7"/>
        <v>4.9847717999999999E-2</v>
      </c>
    </row>
    <row r="88" spans="1:17" x14ac:dyDescent="0.45">
      <c r="A88" s="31" t="s">
        <v>576</v>
      </c>
      <c r="B88" s="31" t="s">
        <v>575</v>
      </c>
      <c r="C88" t="str">
        <f>VLOOKUP($B88,Totalt!$B$1:$BU$497,MATCH("Kvalitetsgranskad:",Totalt!$B$1:$BU$1,0),FALSE)</f>
        <v>Ja</v>
      </c>
      <c r="E88" t="str">
        <f>VLOOKUP($B88,Miljö!$B$1:$AG$479,MATCH(E$1,Miljö!$B$1:$AK$1,0),FALSE)</f>
        <v>Ja</v>
      </c>
      <c r="F88" t="str">
        <f>VLOOKUP($B88,Miljö!$B$1:$J$479,MATCH("Typ av ursprungsspecificerad el   (Om inget värde anges används Nordisk residualmix, se inforuta) ()",Miljö!$B$1:$J$1,0),FALSE)</f>
        <v>'Förnybart'</v>
      </c>
      <c r="G88">
        <f>VLOOKUP($B88,Miljö!$B$1:$J$479,MATCH("Primärenergifaktor ()",Miljö!$B$1:$J$1,0),FALSE)</f>
        <v>1.17</v>
      </c>
      <c r="H88">
        <f>VLOOKUP($B88,Miljö!$B$1:$J$479,MATCH("Koldioxidekvivalenter energiomvandling (g/kwh)",Miljö!$B$1:$J$1,0),FALSE)</f>
        <v>0</v>
      </c>
      <c r="I88">
        <f>VLOOKUP($B88,Miljö!$B$1:$J$479,MATCH("Fossilandel för ursprungspecificerad el ()",Miljö!$B$1:$J$1,0),FALSE)</f>
        <v>0</v>
      </c>
      <c r="J88">
        <f>VLOOKUP($B88,Miljö!$B$1:$J$479,MATCH("Kärnkraftsandel för ursprungsspecificerad el ()",Miljö!$B$1:$J$1,0),FALSE)</f>
        <v>0</v>
      </c>
      <c r="L88">
        <f>VLOOKUP($B88,Totalt!$B$1:$BU$497,MATCH("total el",Totalt!$B$1:$BU$1,0),FALSE)</f>
        <v>0.04</v>
      </c>
      <c r="N88">
        <f t="shared" si="4"/>
        <v>4.6800000000000001E-2</v>
      </c>
      <c r="O88">
        <f t="shared" si="5"/>
        <v>0</v>
      </c>
      <c r="P88">
        <f t="shared" si="6"/>
        <v>0</v>
      </c>
      <c r="Q88">
        <f t="shared" si="7"/>
        <v>0</v>
      </c>
    </row>
    <row r="89" spans="1:17" x14ac:dyDescent="0.45">
      <c r="A89" s="31" t="s">
        <v>571</v>
      </c>
      <c r="B89" s="31" t="s">
        <v>574</v>
      </c>
      <c r="C89" t="str">
        <f>VLOOKUP($B89,Totalt!$B$1:$BU$497,MATCH("Kvalitetsgranskad:",Totalt!$B$1:$BU$1,0),FALSE)</f>
        <v>Ja</v>
      </c>
      <c r="E89" t="str">
        <f>VLOOKUP($B89,Miljö!$B$1:$AG$479,MATCH(E$1,Miljö!$B$1:$AK$1,0),FALSE)</f>
        <v>Ja</v>
      </c>
      <c r="F89" t="str">
        <f>VLOOKUP($B89,Miljö!$B$1:$J$479,MATCH("Typ av ursprungsspecificerad el   (Om inget värde anges används Nordisk residualmix, se inforuta) ()",Miljö!$B$1:$J$1,0),FALSE)</f>
        <v>'EPD-EL Miljöcertifierad vattenkraft'</v>
      </c>
      <c r="G89">
        <f>VLOOKUP($B89,Miljö!$B$1:$J$479,MATCH("Primärenergifaktor ()",Miljö!$B$1:$J$1,0),FALSE)</f>
        <v>1.1000000000000001</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v>
      </c>
      <c r="L89">
        <f>VLOOKUP($B89,Totalt!$B$1:$BU$497,MATCH("total el",Totalt!$B$1:$BU$1,0),FALSE)</f>
        <v>0.32817000000000002</v>
      </c>
      <c r="N89">
        <f t="shared" si="4"/>
        <v>0.36098700000000006</v>
      </c>
      <c r="O89">
        <f t="shared" si="5"/>
        <v>0</v>
      </c>
      <c r="P89">
        <f t="shared" si="6"/>
        <v>0</v>
      </c>
      <c r="Q89">
        <f t="shared" si="7"/>
        <v>0</v>
      </c>
    </row>
    <row r="90" spans="1:17" x14ac:dyDescent="0.45">
      <c r="A90" s="31" t="s">
        <v>571</v>
      </c>
      <c r="B90" s="31" t="s">
        <v>573</v>
      </c>
      <c r="C90" t="str">
        <f>VLOOKUP($B90,Totalt!$B$1:$BU$497,MATCH("Kvalitetsgranskad:",Totalt!$B$1:$BU$1,0),FALSE)</f>
        <v>Ja</v>
      </c>
      <c r="E90" t="str">
        <f>VLOOKUP($B90,Miljö!$B$1:$AG$479,MATCH(E$1,Miljö!$B$1:$AK$1,0),FALSE)</f>
        <v>Ja</v>
      </c>
      <c r="F90" t="str">
        <f>VLOOKUP($B90,Miljö!$B$1:$J$479,MATCH("Typ av ursprungsspecificerad el   (Om inget värde anges används Nordisk residualmix, se inforuta) ()",Miljö!$B$1:$J$1,0),FALSE)</f>
        <v>'EPD-EL Miljöcertifierad Vattenkraft'</v>
      </c>
      <c r="G90">
        <f>VLOOKUP($B90,Miljö!$B$1:$J$479,MATCH("Primärenergifaktor ()",Miljö!$B$1:$J$1,0),FALSE)</f>
        <v>1.1000000000000001</v>
      </c>
      <c r="H90">
        <f>VLOOKUP($B90,Miljö!$B$1:$J$479,MATCH("Koldioxidekvivalenter energiomvandling (g/kwh)",Miljö!$B$1:$J$1,0),FALSE)</f>
        <v>0</v>
      </c>
      <c r="I90">
        <f>VLOOKUP($B90,Miljö!$B$1:$J$479,MATCH("Fossilandel för ursprungspecificerad el ()",Miljö!$B$1:$J$1,0),FALSE)</f>
        <v>0</v>
      </c>
      <c r="J90">
        <f>VLOOKUP($B90,Miljö!$B$1:$J$479,MATCH("Kärnkraftsandel för ursprungsspecificerad el ()",Miljö!$B$1:$J$1,0),FALSE)</f>
        <v>0</v>
      </c>
      <c r="L90">
        <f>VLOOKUP($B90,Totalt!$B$1:$BU$497,MATCH("total el",Totalt!$B$1:$BU$1,0),FALSE)</f>
        <v>0.19886999999999999</v>
      </c>
      <c r="N90">
        <f t="shared" si="4"/>
        <v>0.21875700000000001</v>
      </c>
      <c r="O90">
        <f t="shared" si="5"/>
        <v>0</v>
      </c>
      <c r="P90">
        <f t="shared" si="6"/>
        <v>0</v>
      </c>
      <c r="Q90">
        <f t="shared" si="7"/>
        <v>0</v>
      </c>
    </row>
    <row r="91" spans="1:17" x14ac:dyDescent="0.45">
      <c r="A91" s="31" t="s">
        <v>571</v>
      </c>
      <c r="B91" s="31" t="s">
        <v>572</v>
      </c>
      <c r="C91" t="str">
        <f>VLOOKUP($B91,Totalt!$B$1:$BU$497,MATCH("Kvalitetsgranskad:",Totalt!$B$1:$BU$1,0),FALSE)</f>
        <v>Ja</v>
      </c>
      <c r="E91" t="str">
        <f>VLOOKUP($B91,Miljö!$B$1:$AG$479,MATCH(E$1,Miljö!$B$1:$AK$1,0),FALSE)</f>
        <v>Ja</v>
      </c>
      <c r="F91" t="str">
        <f>VLOOKUP($B91,Miljö!$B$1:$J$479,MATCH("Typ av ursprungsspecificerad el   (Om inget värde anges används Nordisk residualmix, se inforuta) ()",Miljö!$B$1:$J$1,0),FALSE)</f>
        <v>'EPD-EL Miljöcertifierad Vattenkraft'</v>
      </c>
      <c r="G91">
        <f>VLOOKUP($B91,Miljö!$B$1:$J$479,MATCH("Primärenergifaktor ()",Miljö!$B$1:$J$1,0),FALSE)</f>
        <v>1.1000000000000001</v>
      </c>
      <c r="H91">
        <f>VLOOKUP($B91,Miljö!$B$1:$J$479,MATCH("Koldioxidekvivalenter energiomvandling (g/kwh)",Miljö!$B$1:$J$1,0),FALSE)</f>
        <v>0</v>
      </c>
      <c r="I91">
        <f>VLOOKUP($B91,Miljö!$B$1:$J$479,MATCH("Fossilandel för ursprungspecificerad el ()",Miljö!$B$1:$J$1,0),FALSE)</f>
        <v>0</v>
      </c>
      <c r="J91">
        <f>VLOOKUP($B91,Miljö!$B$1:$J$479,MATCH("Kärnkraftsandel för ursprungsspecificerad el ()",Miljö!$B$1:$J$1,0),FALSE)</f>
        <v>0</v>
      </c>
      <c r="L91">
        <f>VLOOKUP($B91,Totalt!$B$1:$BU$497,MATCH("total el",Totalt!$B$1:$BU$1,0),FALSE)</f>
        <v>0.47532000000000002</v>
      </c>
      <c r="N91">
        <f t="shared" si="4"/>
        <v>0.52285200000000009</v>
      </c>
      <c r="O91">
        <f t="shared" si="5"/>
        <v>0</v>
      </c>
      <c r="P91">
        <f t="shared" si="6"/>
        <v>0</v>
      </c>
      <c r="Q91">
        <f t="shared" si="7"/>
        <v>0</v>
      </c>
    </row>
    <row r="92" spans="1:17" x14ac:dyDescent="0.45">
      <c r="A92" s="31" t="s">
        <v>571</v>
      </c>
      <c r="B92" s="31" t="s">
        <v>570</v>
      </c>
      <c r="C92" t="str">
        <f>VLOOKUP($B92,Totalt!$B$1:$BU$497,MATCH("Kvalitetsgranskad:",Totalt!$B$1:$BU$1,0),FALSE)</f>
        <v>Ja</v>
      </c>
      <c r="E92" t="str">
        <f>VLOOKUP($B92,Miljö!$B$1:$AG$479,MATCH(E$1,Miljö!$B$1:$AK$1,0),FALSE)</f>
        <v>Ja</v>
      </c>
      <c r="F92" t="str">
        <f>VLOOKUP($B92,Miljö!$B$1:$J$479,MATCH("Typ av ursprungsspecificerad el   (Om inget värde anges används Nordisk residualmix, se inforuta) ()",Miljö!$B$1:$J$1,0),FALSE)</f>
        <v>'EPD-EL Miljöcertifierad Vattenkraft'</v>
      </c>
      <c r="G92">
        <f>VLOOKUP($B92,Miljö!$B$1:$J$479,MATCH("Primärenergifaktor ()",Miljö!$B$1:$J$1,0),FALSE)</f>
        <v>1.1000000000000001</v>
      </c>
      <c r="H92">
        <f>VLOOKUP($B92,Miljö!$B$1:$J$479,MATCH("Koldioxidekvivalenter energiomvandling (g/kwh)",Miljö!$B$1:$J$1,0),FALSE)</f>
        <v>0</v>
      </c>
      <c r="I92">
        <f>VLOOKUP($B92,Miljö!$B$1:$J$479,MATCH("Fossilandel för ursprungspecificerad el ()",Miljö!$B$1:$J$1,0),FALSE)</f>
        <v>0</v>
      </c>
      <c r="J92">
        <f>VLOOKUP($B92,Miljö!$B$1:$J$479,MATCH("Kärnkraftsandel för ursprungsspecificerad el ()",Miljö!$B$1:$J$1,0),FALSE)</f>
        <v>0</v>
      </c>
      <c r="L92">
        <f>VLOOKUP($B92,Totalt!$B$1:$BU$497,MATCH("total el",Totalt!$B$1:$BU$1,0),FALSE)</f>
        <v>17.179250000000003</v>
      </c>
      <c r="N92">
        <f t="shared" si="4"/>
        <v>18.897175000000004</v>
      </c>
      <c r="O92">
        <f t="shared" si="5"/>
        <v>0</v>
      </c>
      <c r="P92">
        <f t="shared" si="6"/>
        <v>0</v>
      </c>
      <c r="Q92">
        <f t="shared" si="7"/>
        <v>0</v>
      </c>
    </row>
    <row r="93" spans="1:17" x14ac:dyDescent="0.45">
      <c r="A93" s="31" t="s">
        <v>568</v>
      </c>
      <c r="B93" s="31" t="s">
        <v>567</v>
      </c>
      <c r="C93" t="str">
        <f>VLOOKUP($B93,Totalt!$B$1:$BU$497,MATCH("Kvalitetsgranskad:",Totalt!$B$1:$BU$1,0),FALSE)</f>
        <v>Ja</v>
      </c>
      <c r="E93" t="str">
        <f>VLOOKUP($B93,Miljö!$B$1:$AG$479,MATCH(E$1,Miljö!$B$1:$AK$1,0),FALSE)</f>
        <v>Ja</v>
      </c>
      <c r="F93" t="str">
        <f>VLOOKUP($B93,Miljö!$B$1:$J$479,MATCH("Typ av ursprungsspecificerad el   (Om inget värde anges används Nordisk residualmix, se inforuta) ()",Miljö!$B$1:$J$1,0),FALSE)</f>
        <v>'-'</v>
      </c>
      <c r="G93">
        <f>VLOOKUP($B93,Miljö!$B$1:$J$479,MATCH("Primärenergifaktor ()",Miljö!$B$1:$J$1,0),FALSE)</f>
        <v>1.05</v>
      </c>
      <c r="H93">
        <f>VLOOKUP($B93,Miljö!$B$1:$J$479,MATCH("Koldioxidekvivalenter energiomvandling (g/kwh)",Miljö!$B$1:$J$1,0),FALSE)</f>
        <v>203</v>
      </c>
      <c r="I93">
        <f>VLOOKUP($B93,Miljö!$B$1:$J$479,MATCH("Fossilandel för ursprungspecificerad el ()",Miljö!$B$1:$J$1,0),FALSE)</f>
        <v>0</v>
      </c>
      <c r="J93">
        <f>VLOOKUP($B93,Miljö!$B$1:$J$479,MATCH("Kärnkraftsandel för ursprungsspecificerad el ()",Miljö!$B$1:$J$1,0),FALSE)</f>
        <v>0</v>
      </c>
      <c r="L93">
        <f>VLOOKUP($B93,Totalt!$B$1:$BU$497,MATCH("total el",Totalt!$B$1:$BU$1,0),FALSE)</f>
        <v>7.1250600000000004</v>
      </c>
      <c r="N93">
        <f t="shared" si="4"/>
        <v>7.481313000000001</v>
      </c>
      <c r="O93">
        <f t="shared" si="5"/>
        <v>1446.3871800000002</v>
      </c>
      <c r="P93">
        <f t="shared" si="6"/>
        <v>0</v>
      </c>
      <c r="Q93">
        <f t="shared" si="7"/>
        <v>0</v>
      </c>
    </row>
    <row r="94" spans="1:17" x14ac:dyDescent="0.45">
      <c r="A94" s="31" t="s">
        <v>566</v>
      </c>
      <c r="B94" s="31" t="s">
        <v>565</v>
      </c>
      <c r="C94" t="str">
        <f>VLOOKUP($B94,Totalt!$B$1:$BU$497,MATCH("Kvalitetsgranskad:",Totalt!$B$1:$BU$1,0),FALSE)</f>
        <v>Ja</v>
      </c>
      <c r="E94" t="str">
        <f>VLOOKUP($B94,Miljö!$B$1:$AG$479,MATCH(E$1,Miljö!$B$1:$AK$1,0),FALSE)</f>
        <v>Ja</v>
      </c>
      <c r="F94" t="str">
        <f>VLOOKUP($B94,Miljö!$B$1:$J$479,MATCH("Typ av ursprungsspecificerad el   (Om inget värde anges används Nordisk residualmix, se inforuta) ()",Miljö!$B$1:$J$1,0),FALSE)</f>
        <v>'Källmärkt Gävle Energi'</v>
      </c>
      <c r="G94">
        <f>VLOOKUP($B94,Miljö!$B$1:$J$479,MATCH("Primärenergifaktor ()",Miljö!$B$1:$J$1,0),FALSE)</f>
        <v>0.09</v>
      </c>
      <c r="H94">
        <f>VLOOKUP($B94,Miljö!$B$1:$J$479,MATCH("Koldioxidekvivalenter energiomvandling (g/kwh)",Miljö!$B$1:$J$1,0),FALSE)</f>
        <v>8.6999999999999993</v>
      </c>
      <c r="I94">
        <f>VLOOKUP($B94,Miljö!$B$1:$J$479,MATCH("Fossilandel för ursprungspecificerad el ()",Miljö!$B$1:$J$1,0),FALSE)</f>
        <v>0</v>
      </c>
      <c r="J94">
        <f>VLOOKUP($B94,Miljö!$B$1:$J$479,MATCH("Kärnkraftsandel för ursprungsspecificerad el ()",Miljö!$B$1:$J$1,0),FALSE)</f>
        <v>0</v>
      </c>
      <c r="L94">
        <f>VLOOKUP($B94,Totalt!$B$1:$BU$497,MATCH("total el",Totalt!$B$1:$BU$1,0),FALSE)</f>
        <v>9.8604099999999999</v>
      </c>
      <c r="N94">
        <f t="shared" si="4"/>
        <v>0.88743689999999997</v>
      </c>
      <c r="O94">
        <f t="shared" si="5"/>
        <v>85.785566999999986</v>
      </c>
      <c r="P94">
        <f t="shared" si="6"/>
        <v>0</v>
      </c>
      <c r="Q94">
        <f t="shared" si="7"/>
        <v>0</v>
      </c>
    </row>
    <row r="95" spans="1:17" x14ac:dyDescent="0.45">
      <c r="A95" s="31" t="s">
        <v>560</v>
      </c>
      <c r="B95" s="31" t="s">
        <v>563</v>
      </c>
      <c r="C95" t="str">
        <f>VLOOKUP($B95,Totalt!$B$1:$BU$497,MATCH("Kvalitetsgranskad:",Totalt!$B$1:$BU$1,0),FALSE)</f>
        <v>Ja</v>
      </c>
      <c r="E95" t="str">
        <f>VLOOKUP($B95,Miljö!$B$1:$AG$479,MATCH(E$1,Miljö!$B$1:$AK$1,0),FALSE)</f>
        <v>Ja</v>
      </c>
      <c r="F95" t="str">
        <f>VLOOKUP($B95,Miljö!$B$1:$J$479,MATCH("Typ av ursprungsspecificerad el   (Om inget värde anges används Nordisk residualmix, se inforuta) ()",Miljö!$B$1:$J$1,0),FALSE)</f>
        <v>'Bra Miljöval el'</v>
      </c>
      <c r="G95">
        <f>VLOOKUP($B95,Miljö!$B$1:$J$479,MATCH("Primärenergifaktor ()",Miljö!$B$1:$J$1,0),FALSE)</f>
        <v>1.3786955400000001</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VLOOKUP($B95,Totalt!$B$1:$BU$497,MATCH("total el",Totalt!$B$1:$BU$1,0),FALSE)</f>
        <v>149.28100000000001</v>
      </c>
      <c r="N95">
        <f t="shared" si="4"/>
        <v>205.81304890674002</v>
      </c>
      <c r="O95">
        <f t="shared" si="5"/>
        <v>0</v>
      </c>
      <c r="P95">
        <f t="shared" si="6"/>
        <v>0</v>
      </c>
      <c r="Q95">
        <f t="shared" si="7"/>
        <v>0</v>
      </c>
    </row>
    <row r="96" spans="1:17" x14ac:dyDescent="0.45">
      <c r="A96" s="31" t="s">
        <v>560</v>
      </c>
      <c r="B96" s="31" t="s">
        <v>562</v>
      </c>
      <c r="C96" t="str">
        <f>VLOOKUP($B96,Totalt!$B$1:$BU$497,MATCH("Kvalitetsgranskad:",Totalt!$B$1:$BU$1,0),FALSE)</f>
        <v>Ja</v>
      </c>
      <c r="E96" t="str">
        <f>VLOOKUP($B96,Miljö!$B$1:$AG$479,MATCH(E$1,Miljö!$B$1:$AK$1,0),FALSE)</f>
        <v>Ja</v>
      </c>
      <c r="F96" t="str">
        <f>VLOOKUP($B96,Miljö!$B$1:$J$479,MATCH("Typ av ursprungsspecificerad el   (Om inget värde anges används Nordisk residualmix, se inforuta) ()",Miljö!$B$1:$J$1,0),FALSE)</f>
        <v>'Bra Miljöval'</v>
      </c>
      <c r="G96">
        <f>VLOOKUP($B96,Miljö!$B$1:$J$479,MATCH("Primärenergifaktor ()",Miljö!$B$1:$J$1,0),FALSE)</f>
        <v>2</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VLOOKUP($B96,Totalt!$B$1:$BU$497,MATCH("total el",Totalt!$B$1:$BU$1,0),FALSE)</f>
        <v>2.8290000000000002</v>
      </c>
      <c r="N96">
        <f t="shared" si="4"/>
        <v>5.6580000000000004</v>
      </c>
      <c r="O96">
        <f t="shared" si="5"/>
        <v>0</v>
      </c>
      <c r="P96">
        <f t="shared" si="6"/>
        <v>0</v>
      </c>
      <c r="Q96">
        <f t="shared" si="7"/>
        <v>0</v>
      </c>
    </row>
    <row r="97" spans="1:17" x14ac:dyDescent="0.45">
      <c r="A97" s="31" t="s">
        <v>560</v>
      </c>
      <c r="B97" s="31" t="s">
        <v>559</v>
      </c>
      <c r="C97" t="str">
        <f>VLOOKUP($B97,Totalt!$B$1:$BU$497,MATCH("Kvalitetsgranskad:",Totalt!$B$1:$BU$1,0),FALSE)</f>
        <v>Nej</v>
      </c>
      <c r="E97" t="str">
        <f>VLOOKUP($B97,Miljö!$B$1:$AG$479,MATCH(E$1,Miljö!$B$1:$AK$1,0),FALSE)</f>
        <v>Ja</v>
      </c>
      <c r="F97" t="str">
        <f>VLOOKUP($B97,Miljö!$B$1:$J$479,MATCH("Typ av ursprungsspecificerad el   (Om inget värde anges används Nordisk residualmix, se inforuta) ()",Miljö!$B$1:$J$1,0),FALSE)</f>
        <v>'Bra Miljöval El'</v>
      </c>
      <c r="G97">
        <f>VLOOKUP($B97,Miljö!$B$1:$J$479,MATCH("Primärenergifaktor ()",Miljö!$B$1:$J$1,0),FALSE)</f>
        <v>1.3786955400000001</v>
      </c>
      <c r="H97">
        <f>VLOOKUP($B97,Miljö!$B$1:$J$479,MATCH("Koldioxidekvivalenter energiomvandling (g/kwh)",Miljö!$B$1:$J$1,0),FALSE)</f>
        <v>0</v>
      </c>
      <c r="I97">
        <f>VLOOKUP($B97,Miljö!$B$1:$J$479,MATCH("Fossilandel för ursprungspecificerad el ()",Miljö!$B$1:$J$1,0),FALSE)</f>
        <v>0</v>
      </c>
      <c r="J97">
        <f>VLOOKUP($B97,Miljö!$B$1:$J$479,MATCH("Kärnkraftsandel för ursprungsspecificerad el ()",Miljö!$B$1:$J$1,0),FALSE)</f>
        <v>0</v>
      </c>
      <c r="L97">
        <f>VLOOKUP($B97,Totalt!$B$1:$BU$497,MATCH("total el",Totalt!$B$1:$BU$1,0),FALSE)</f>
        <v>0</v>
      </c>
      <c r="N97">
        <f t="shared" si="4"/>
        <v>0</v>
      </c>
      <c r="O97">
        <f t="shared" si="5"/>
        <v>0</v>
      </c>
      <c r="P97">
        <f t="shared" si="6"/>
        <v>0</v>
      </c>
      <c r="Q97">
        <f t="shared" si="7"/>
        <v>0</v>
      </c>
    </row>
    <row r="98" spans="1:17" x14ac:dyDescent="0.45">
      <c r="A98" s="31" t="s">
        <v>560</v>
      </c>
      <c r="B98" s="31" t="s">
        <v>560</v>
      </c>
      <c r="C98" t="str">
        <f>VLOOKUP($B98,Totalt!$B$1:$BU$497,MATCH("Kvalitetsgranskad:",Totalt!$B$1:$BU$1,0),FALSE)</f>
        <v>Nej</v>
      </c>
      <c r="E98" t="str">
        <f>VLOOKUP($B98,Miljö!$B$1:$AG$479,MATCH(E$1,Miljö!$B$1:$AK$1,0),FALSE)</f>
        <v>Ja</v>
      </c>
      <c r="F98" t="str">
        <f>VLOOKUP($B98,Miljö!$B$1:$J$479,MATCH("Typ av ursprungsspecificerad el   (Om inget värde anges används Nordisk residualmix, se inforuta) ()",Miljö!$B$1:$J$1,0),FALSE)</f>
        <v>'Bra Miljöval El'</v>
      </c>
      <c r="G98">
        <f>VLOOKUP($B98,Miljö!$B$1:$J$479,MATCH("Primärenergifaktor ()",Miljö!$B$1:$J$1,0),FALSE)</f>
        <v>1.3786955400000001</v>
      </c>
      <c r="H98">
        <f>VLOOKUP($B98,Miljö!$B$1:$J$479,MATCH("Koldioxidekvivalenter energiomvandling (g/kwh)",Miljö!$B$1:$J$1,0),FALSE)</f>
        <v>0</v>
      </c>
      <c r="I98">
        <f>VLOOKUP($B98,Miljö!$B$1:$J$479,MATCH("Fossilandel för ursprungspecificerad el ()",Miljö!$B$1:$J$1,0),FALSE)</f>
        <v>0</v>
      </c>
      <c r="J98">
        <f>VLOOKUP($B98,Miljö!$B$1:$J$479,MATCH("Kärnkraftsandel för ursprungsspecificerad el ()",Miljö!$B$1:$J$1,0),FALSE)</f>
        <v>0</v>
      </c>
      <c r="L98">
        <f>VLOOKUP($B98,Totalt!$B$1:$BU$497,MATCH("total el",Totalt!$B$1:$BU$1,0),FALSE)</f>
        <v>0</v>
      </c>
      <c r="N98">
        <f t="shared" si="4"/>
        <v>0</v>
      </c>
      <c r="O98">
        <f t="shared" si="5"/>
        <v>0</v>
      </c>
      <c r="P98">
        <f t="shared" si="6"/>
        <v>0</v>
      </c>
      <c r="Q98">
        <f t="shared" si="7"/>
        <v>0</v>
      </c>
    </row>
    <row r="99" spans="1:17" x14ac:dyDescent="0.45">
      <c r="A99" s="31" t="s">
        <v>560</v>
      </c>
      <c r="B99" s="31" t="s">
        <v>564</v>
      </c>
      <c r="C99" t="str">
        <f>VLOOKUP($B99,Totalt!$B$1:$BU$497,MATCH("Kvalitetsgranskad:",Totalt!$B$1:$BU$1,0),FALSE)</f>
        <v>Nej</v>
      </c>
      <c r="E99" t="str">
        <f>VLOOKUP($B99,Miljö!$B$1:$AG$479,MATCH(E$1,Miljö!$B$1:$AK$1,0),FALSE)</f>
        <v>Ja</v>
      </c>
      <c r="F99" t="str">
        <f>VLOOKUP($B99,Miljö!$B$1:$J$479,MATCH("Typ av ursprungsspecificerad el   (Om inget värde anges används Nordisk residualmix, se inforuta) ()",Miljö!$B$1:$J$1,0),FALSE)</f>
        <v>'Bra Miljöval El'</v>
      </c>
      <c r="G99">
        <f>VLOOKUP($B99,Miljö!$B$1:$J$479,MATCH("Primärenergifaktor ()",Miljö!$B$1:$J$1,0),FALSE)</f>
        <v>1.3786955400000001</v>
      </c>
      <c r="H99">
        <f>VLOOKUP($B99,Miljö!$B$1:$J$479,MATCH("Koldioxidekvivalenter energiomvandling (g/kwh)",Miljö!$B$1:$J$1,0),FALSE)</f>
        <v>0</v>
      </c>
      <c r="I99">
        <f>VLOOKUP($B99,Miljö!$B$1:$J$479,MATCH("Fossilandel för ursprungspecificerad el ()",Miljö!$B$1:$J$1,0),FALSE)</f>
        <v>0</v>
      </c>
      <c r="J99">
        <f>VLOOKUP($B99,Miljö!$B$1:$J$479,MATCH("Kärnkraftsandel för ursprungsspecificerad el ()",Miljö!$B$1:$J$1,0),FALSE)</f>
        <v>0</v>
      </c>
      <c r="L99">
        <f>VLOOKUP($B99,Totalt!$B$1:$BU$497,MATCH("total el",Totalt!$B$1:$BU$1,0),FALSE)</f>
        <v>0</v>
      </c>
      <c r="N99">
        <f t="shared" si="4"/>
        <v>0</v>
      </c>
      <c r="O99">
        <f t="shared" si="5"/>
        <v>0</v>
      </c>
      <c r="P99">
        <f t="shared" si="6"/>
        <v>0</v>
      </c>
      <c r="Q99">
        <f t="shared" si="7"/>
        <v>0</v>
      </c>
    </row>
    <row r="100" spans="1:17" x14ac:dyDescent="0.45">
      <c r="A100" s="31" t="s">
        <v>560</v>
      </c>
      <c r="B100" s="31" t="s">
        <v>561</v>
      </c>
      <c r="C100" t="str">
        <f>VLOOKUP($B100,Totalt!$B$1:$BU$497,MATCH("Kvalitetsgranskad:",Totalt!$B$1:$BU$1,0),FALSE)</f>
        <v>Nej</v>
      </c>
      <c r="E100" t="str">
        <f>VLOOKUP($B100,Miljö!$B$1:$AG$479,MATCH(E$1,Miljö!$B$1:$AK$1,0),FALSE)</f>
        <v>Ja</v>
      </c>
      <c r="F100" t="str">
        <f>VLOOKUP($B100,Miljö!$B$1:$J$479,MATCH("Typ av ursprungsspecificerad el   (Om inget värde anges används Nordisk residualmix, se inforuta) ()",Miljö!$B$1:$J$1,0),FALSE)</f>
        <v>'Bra Miljöval El'</v>
      </c>
      <c r="G100">
        <f>VLOOKUP($B100,Miljö!$B$1:$J$479,MATCH("Primärenergifaktor ()",Miljö!$B$1:$J$1,0),FALSE)</f>
        <v>1.3786955400000001</v>
      </c>
      <c r="H100">
        <f>VLOOKUP($B100,Miljö!$B$1:$J$479,MATCH("Koldioxidekvivalenter energiomvandling (g/kwh)",Miljö!$B$1:$J$1,0),FALSE)</f>
        <v>0</v>
      </c>
      <c r="I100">
        <f>VLOOKUP($B100,Miljö!$B$1:$J$479,MATCH("Fossilandel för ursprungspecificerad el ()",Miljö!$B$1:$J$1,0),FALSE)</f>
        <v>0</v>
      </c>
      <c r="J100">
        <f>VLOOKUP($B100,Miljö!$B$1:$J$479,MATCH("Kärnkraftsandel för ursprungsspecificerad el ()",Miljö!$B$1:$J$1,0),FALSE)</f>
        <v>0</v>
      </c>
      <c r="L100">
        <f>VLOOKUP($B100,Totalt!$B$1:$BU$497,MATCH("total el",Totalt!$B$1:$BU$1,0),FALSE)</f>
        <v>0</v>
      </c>
      <c r="N100">
        <f t="shared" si="4"/>
        <v>0</v>
      </c>
      <c r="O100">
        <f t="shared" si="5"/>
        <v>0</v>
      </c>
      <c r="P100">
        <f t="shared" si="6"/>
        <v>0</v>
      </c>
      <c r="Q100">
        <f t="shared" si="7"/>
        <v>0</v>
      </c>
    </row>
    <row r="101" spans="1:17" x14ac:dyDescent="0.45">
      <c r="A101" s="31" t="s">
        <v>556</v>
      </c>
      <c r="B101" s="31" t="s">
        <v>558</v>
      </c>
      <c r="C101" t="str">
        <f>VLOOKUP($B101,Totalt!$B$1:$BU$497,MATCH("Kvalitetsgranskad:",Totalt!$B$1:$BU$1,0),FALSE)</f>
        <v>Ja</v>
      </c>
      <c r="E101" t="str">
        <f>VLOOKUP($B101,Miljö!$B$1:$AG$479,MATCH(E$1,Miljö!$B$1:$AK$1,0),FALSE)</f>
        <v>Ja</v>
      </c>
      <c r="F101" t="str">
        <f>VLOOKUP($B101,Miljö!$B$1:$J$479,MATCH("Typ av ursprungsspecificerad el   (Om inget värde anges används Nordisk residualmix, se inforuta) ()",Miljö!$B$1:$J$1,0),FALSE)</f>
        <v>'Vattenkraft'</v>
      </c>
      <c r="G101">
        <f>VLOOKUP($B101,Miljö!$B$1:$J$479,MATCH("Primärenergifaktor ()",Miljö!$B$1:$J$1,0),FALSE)</f>
        <v>1.1100000000000001</v>
      </c>
      <c r="H101">
        <f>VLOOKUP($B101,Miljö!$B$1:$J$479,MATCH("Koldioxidekvivalenter energiomvandling (g/kwh)",Miljö!$B$1:$J$1,0),FALSE)</f>
        <v>9</v>
      </c>
      <c r="I101">
        <f>VLOOKUP($B101,Miljö!$B$1:$J$479,MATCH("Fossilandel för ursprungspecificerad el ()",Miljö!$B$1:$J$1,0),FALSE)</f>
        <v>0</v>
      </c>
      <c r="J101">
        <f>VLOOKUP($B101,Miljö!$B$1:$J$479,MATCH("Kärnkraftsandel för ursprungsspecificerad el ()",Miljö!$B$1:$J$1,0),FALSE)</f>
        <v>0</v>
      </c>
      <c r="L101">
        <f>VLOOKUP($B101,Totalt!$B$1:$BU$497,MATCH("total el",Totalt!$B$1:$BU$1,0),FALSE)</f>
        <v>3.39</v>
      </c>
      <c r="N101">
        <f t="shared" si="4"/>
        <v>3.7629000000000006</v>
      </c>
      <c r="O101">
        <f t="shared" si="5"/>
        <v>30.51</v>
      </c>
      <c r="P101">
        <f t="shared" si="6"/>
        <v>0</v>
      </c>
      <c r="Q101">
        <f t="shared" si="7"/>
        <v>0</v>
      </c>
    </row>
    <row r="102" spans="1:17" x14ac:dyDescent="0.45">
      <c r="A102" s="31" t="s">
        <v>556</v>
      </c>
      <c r="B102" s="31" t="s">
        <v>555</v>
      </c>
      <c r="C102" t="str">
        <f>VLOOKUP($B102,Totalt!$B$1:$BU$497,MATCH("Kvalitetsgranskad:",Totalt!$B$1:$BU$1,0),FALSE)</f>
        <v>Ja</v>
      </c>
      <c r="E102" t="str">
        <f>VLOOKUP($B102,Miljö!$B$1:$AG$479,MATCH(E$1,Miljö!$B$1:$AK$1,0),FALSE)</f>
        <v>Ja</v>
      </c>
      <c r="F102" t="str">
        <f>VLOOKUP($B102,Miljö!$B$1:$J$479,MATCH("Typ av ursprungsspecificerad el   (Om inget värde anges används Nordisk residualmix, se inforuta) ()",Miljö!$B$1:$J$1,0),FALSE)</f>
        <v>'Vattenkraft'</v>
      </c>
      <c r="G102">
        <f>VLOOKUP($B102,Miljö!$B$1:$J$479,MATCH("Primärenergifaktor ()",Miljö!$B$1:$J$1,0),FALSE)</f>
        <v>1.1100000000000001</v>
      </c>
      <c r="H102">
        <f>VLOOKUP($B102,Miljö!$B$1:$J$479,MATCH("Koldioxidekvivalenter energiomvandling (g/kwh)",Miljö!$B$1:$J$1,0),FALSE)</f>
        <v>9</v>
      </c>
      <c r="I102">
        <f>VLOOKUP($B102,Miljö!$B$1:$J$479,MATCH("Fossilandel för ursprungspecificerad el ()",Miljö!$B$1:$J$1,0),FALSE)</f>
        <v>0</v>
      </c>
      <c r="J102">
        <f>VLOOKUP($B102,Miljö!$B$1:$J$479,MATCH("Kärnkraftsandel för ursprungsspecificerad el ()",Miljö!$B$1:$J$1,0),FALSE)</f>
        <v>0</v>
      </c>
      <c r="L102">
        <f>VLOOKUP($B102,Totalt!$B$1:$BU$497,MATCH("total el",Totalt!$B$1:$BU$1,0),FALSE)</f>
        <v>7.2029999999999997E-2</v>
      </c>
      <c r="N102">
        <f t="shared" si="4"/>
        <v>7.9953300000000005E-2</v>
      </c>
      <c r="O102">
        <f t="shared" si="5"/>
        <v>0.64827000000000001</v>
      </c>
      <c r="P102">
        <f t="shared" si="6"/>
        <v>0</v>
      </c>
      <c r="Q102">
        <f t="shared" si="7"/>
        <v>0</v>
      </c>
    </row>
    <row r="103" spans="1:17" x14ac:dyDescent="0.45">
      <c r="A103" s="31" t="s">
        <v>554</v>
      </c>
      <c r="B103" s="31" t="s">
        <v>553</v>
      </c>
      <c r="C103" t="str">
        <f>VLOOKUP($B103,Totalt!$B$1:$BU$497,MATCH("Kvalitetsgranskad:",Totalt!$B$1:$BU$1,0),FALSE)</f>
        <v>Ja</v>
      </c>
      <c r="E103" t="str">
        <f>VLOOKUP($B103,Miljö!$B$1:$AG$479,MATCH(E$1,Miljö!$B$1:$AK$1,0),FALSE)</f>
        <v>Ja</v>
      </c>
      <c r="F103" t="str">
        <f>VLOOKUP($B103,Miljö!$B$1:$J$479,MATCH("Typ av ursprungsspecificerad el   (Om inget värde anges används Nordisk residualmix, se inforuta) ()",Miljö!$B$1:$J$1,0),FALSE)</f>
        <v>'Förnybar vattenkraft'</v>
      </c>
      <c r="G103">
        <f>VLOOKUP($B103,Miljö!$B$1:$J$479,MATCH("Primärenergifaktor ()",Miljö!$B$1:$J$1,0),FALSE)</f>
        <v>1.1000000000000001</v>
      </c>
      <c r="H103">
        <f>VLOOKUP($B103,Miljö!$B$1:$J$479,MATCH("Koldioxidekvivalenter energiomvandling (g/kwh)",Miljö!$B$1:$J$1,0),FALSE)</f>
        <v>0</v>
      </c>
      <c r="I103">
        <f>VLOOKUP($B103,Miljö!$B$1:$J$479,MATCH("Fossilandel för ursprungspecificerad el ()",Miljö!$B$1:$J$1,0),FALSE)</f>
        <v>0</v>
      </c>
      <c r="J103">
        <f>VLOOKUP($B103,Miljö!$B$1:$J$479,MATCH("Kärnkraftsandel för ursprungsspecificerad el ()",Miljö!$B$1:$J$1,0),FALSE)</f>
        <v>0</v>
      </c>
      <c r="L103">
        <f>VLOOKUP($B103,Totalt!$B$1:$BU$497,MATCH("total el",Totalt!$B$1:$BU$1,0),FALSE)</f>
        <v>0.25</v>
      </c>
      <c r="N103">
        <f t="shared" si="4"/>
        <v>0.27500000000000002</v>
      </c>
      <c r="O103">
        <f t="shared" si="5"/>
        <v>0</v>
      </c>
      <c r="P103">
        <f t="shared" si="6"/>
        <v>0</v>
      </c>
      <c r="Q103">
        <f t="shared" si="7"/>
        <v>0</v>
      </c>
    </row>
    <row r="104" spans="1:17" x14ac:dyDescent="0.45">
      <c r="A104" s="31" t="s">
        <v>550</v>
      </c>
      <c r="B104" s="31" t="s">
        <v>551</v>
      </c>
      <c r="C104" t="str">
        <f>VLOOKUP($B104,Totalt!$B$1:$BU$497,MATCH("Kvalitetsgranskad:",Totalt!$B$1:$BU$1,0),FALSE)</f>
        <v>Ja</v>
      </c>
      <c r="E104" t="str">
        <f>VLOOKUP($B104,Miljö!$B$1:$AG$479,MATCH(E$1,Miljö!$B$1:$AK$1,0),FALSE)</f>
        <v>Ja</v>
      </c>
      <c r="F104" t="str">
        <f>VLOOKUP($B104,Miljö!$B$1:$J$479,MATCH("Typ av ursprungsspecificerad el   (Om inget värde anges används Nordisk residualmix, se inforuta) ()",Miljö!$B$1:$J$1,0),FALSE)</f>
        <v>'-'</v>
      </c>
      <c r="G104">
        <f>VLOOKUP($B104,Miljö!$B$1:$J$479,MATCH("Primärenergifaktor ()",Miljö!$B$1:$J$1,0),FALSE)</f>
        <v>2.2000000000000002</v>
      </c>
      <c r="H104">
        <f>VLOOKUP($B104,Miljö!$B$1:$J$479,MATCH("Koldioxidekvivalenter energiomvandling (g/kwh)",Miljö!$B$1:$J$1,0),FALSE)</f>
        <v>250.8</v>
      </c>
      <c r="I104">
        <f>VLOOKUP($B104,Miljö!$B$1:$J$479,MATCH("Fossilandel för ursprungspecificerad el ()",Miljö!$B$1:$J$1,0),FALSE)</f>
        <v>0.35</v>
      </c>
      <c r="J104">
        <f>VLOOKUP($B104,Miljö!$B$1:$J$479,MATCH("Kärnkraftsandel för ursprungsspecificerad el ()",Miljö!$B$1:$J$1,0),FALSE)</f>
        <v>0.3977</v>
      </c>
      <c r="L104">
        <f>VLOOKUP($B104,Totalt!$B$1:$BU$497,MATCH("total el",Totalt!$B$1:$BU$1,0),FALSE)</f>
        <v>0.98699999999999999</v>
      </c>
      <c r="N104">
        <f t="shared" si="4"/>
        <v>2.1714000000000002</v>
      </c>
      <c r="O104">
        <f t="shared" si="5"/>
        <v>247.53960000000001</v>
      </c>
      <c r="P104">
        <f t="shared" si="6"/>
        <v>0.34544999999999998</v>
      </c>
      <c r="Q104">
        <f t="shared" si="7"/>
        <v>0.39252989999999999</v>
      </c>
    </row>
    <row r="105" spans="1:17" x14ac:dyDescent="0.45">
      <c r="A105" s="31" t="s">
        <v>550</v>
      </c>
      <c r="B105" s="31" t="s">
        <v>552</v>
      </c>
      <c r="C105" t="str">
        <f>VLOOKUP($B105,Totalt!$B$1:$BU$497,MATCH("Kvalitetsgranskad:",Totalt!$B$1:$BU$1,0),FALSE)</f>
        <v>Ja</v>
      </c>
      <c r="E105" t="str">
        <f>VLOOKUP($B105,Miljö!$B$1:$AG$479,MATCH(E$1,Miljö!$B$1:$AK$1,0),FALSE)</f>
        <v>Ja</v>
      </c>
      <c r="F105" t="str">
        <f>VLOOKUP($B105,Miljö!$B$1:$J$479,MATCH("Typ av ursprungsspecificerad el   (Om inget värde anges används Nordisk residualmix, se inforuta) ()",Miljö!$B$1:$J$1,0),FALSE)</f>
        <v>'-'</v>
      </c>
      <c r="G105">
        <f>VLOOKUP($B105,Miljö!$B$1:$J$479,MATCH("Primärenergifaktor ()",Miljö!$B$1:$J$1,0),FALSE)</f>
        <v>2.2000000000000002</v>
      </c>
      <c r="H105">
        <f>VLOOKUP($B105,Miljö!$B$1:$J$479,MATCH("Koldioxidekvivalenter energiomvandling (g/kwh)",Miljö!$B$1:$J$1,0),FALSE)</f>
        <v>250.8</v>
      </c>
      <c r="I105">
        <f>VLOOKUP($B105,Miljö!$B$1:$J$479,MATCH("Fossilandel för ursprungspecificerad el ()",Miljö!$B$1:$J$1,0),FALSE)</f>
        <v>0.35</v>
      </c>
      <c r="J105">
        <f>VLOOKUP($B105,Miljö!$B$1:$J$479,MATCH("Kärnkraftsandel för ursprungsspecificerad el ()",Miljö!$B$1:$J$1,0),FALSE)</f>
        <v>0.3977</v>
      </c>
      <c r="L105">
        <f>VLOOKUP($B105,Totalt!$B$1:$BU$497,MATCH("total el",Totalt!$B$1:$BU$1,0),FALSE)</f>
        <v>0.22</v>
      </c>
      <c r="N105">
        <f t="shared" si="4"/>
        <v>0.48400000000000004</v>
      </c>
      <c r="O105">
        <f t="shared" si="5"/>
        <v>55.176000000000002</v>
      </c>
      <c r="P105">
        <f t="shared" si="6"/>
        <v>7.6999999999999999E-2</v>
      </c>
      <c r="Q105">
        <f t="shared" si="7"/>
        <v>8.7494000000000002E-2</v>
      </c>
    </row>
    <row r="106" spans="1:17" x14ac:dyDescent="0.45">
      <c r="A106" s="31" t="s">
        <v>550</v>
      </c>
      <c r="B106" s="31" t="s">
        <v>549</v>
      </c>
      <c r="C106" t="str">
        <f>VLOOKUP($B106,Totalt!$B$1:$BU$497,MATCH("Kvalitetsgranskad:",Totalt!$B$1:$BU$1,0),FALSE)</f>
        <v>Ja</v>
      </c>
      <c r="E106" t="str">
        <f>VLOOKUP($B106,Miljö!$B$1:$AG$479,MATCH(E$1,Miljö!$B$1:$AK$1,0),FALSE)</f>
        <v>Ja</v>
      </c>
      <c r="F106" t="str">
        <f>VLOOKUP($B106,Miljö!$B$1:$J$479,MATCH("Typ av ursprungsspecificerad el   (Om inget värde anges används Nordisk residualmix, se inforuta) ()",Miljö!$B$1:$J$1,0),FALSE)</f>
        <v>-</v>
      </c>
      <c r="G106">
        <f>VLOOKUP($B106,Miljö!$B$1:$J$479,MATCH("Primärenergifaktor ()",Miljö!$B$1:$J$1,0),FALSE)</f>
        <v>2.2000000000000002</v>
      </c>
      <c r="H106">
        <f>VLOOKUP($B106,Miljö!$B$1:$J$479,MATCH("Koldioxidekvivalenter energiomvandling (g/kwh)",Miljö!$B$1:$J$1,0),FALSE)</f>
        <v>250.8</v>
      </c>
      <c r="I106">
        <f>VLOOKUP($B106,Miljö!$B$1:$J$479,MATCH("Fossilandel för ursprungspecificerad el ()",Miljö!$B$1:$J$1,0),FALSE)</f>
        <v>0.35</v>
      </c>
      <c r="J106">
        <f>VLOOKUP($B106,Miljö!$B$1:$J$479,MATCH("Kärnkraftsandel för ursprungsspecificerad el ()",Miljö!$B$1:$J$1,0),FALSE)</f>
        <v>0.3977</v>
      </c>
      <c r="L106">
        <f>VLOOKUP($B106,Totalt!$B$1:$BU$497,MATCH("total el",Totalt!$B$1:$BU$1,0),FALSE)</f>
        <v>8.1600000000000006E-3</v>
      </c>
      <c r="N106">
        <f t="shared" si="4"/>
        <v>1.7952000000000003E-2</v>
      </c>
      <c r="O106">
        <f t="shared" si="5"/>
        <v>2.0465280000000003</v>
      </c>
      <c r="P106">
        <f t="shared" si="6"/>
        <v>2.856E-3</v>
      </c>
      <c r="Q106">
        <f t="shared" si="7"/>
        <v>3.2452320000000002E-3</v>
      </c>
    </row>
    <row r="107" spans="1:17" x14ac:dyDescent="0.45">
      <c r="A107" s="31" t="s">
        <v>548</v>
      </c>
      <c r="B107" s="31" t="s">
        <v>547</v>
      </c>
      <c r="C107" t="str">
        <f>VLOOKUP($B107,Totalt!$B$1:$BU$497,MATCH("Kvalitetsgranskad:",Totalt!$B$1:$BU$1,0),FALSE)</f>
        <v>Ja</v>
      </c>
      <c r="E107" t="str">
        <f>VLOOKUP($B107,Miljö!$B$1:$AG$479,MATCH(E$1,Miljö!$B$1:$AK$1,0),FALSE)</f>
        <v>Ja</v>
      </c>
      <c r="F107" t="str">
        <f>VLOOKUP($B107,Miljö!$B$1:$J$479,MATCH("Typ av ursprungsspecificerad el   (Om inget värde anges används Nordisk residualmix, se inforuta) ()",Miljö!$B$1:$J$1,0),FALSE)</f>
        <v>'Vattenkraftsel'</v>
      </c>
      <c r="G107">
        <f>VLOOKUP($B107,Miljö!$B$1:$J$479,MATCH("Primärenergifaktor ()",Miljö!$B$1:$J$1,0),FALSE)</f>
        <v>1.1000000000000001</v>
      </c>
      <c r="H107">
        <f>VLOOKUP($B107,Miljö!$B$1:$J$479,MATCH("Koldioxidekvivalenter energiomvandling (g/kwh)",Miljö!$B$1:$J$1,0),FALSE)</f>
        <v>0</v>
      </c>
      <c r="I107">
        <f>VLOOKUP($B107,Miljö!$B$1:$J$479,MATCH("Fossilandel för ursprungspecificerad el ()",Miljö!$B$1:$J$1,0),FALSE)</f>
        <v>0</v>
      </c>
      <c r="J107">
        <f>VLOOKUP($B107,Miljö!$B$1:$J$479,MATCH("Kärnkraftsandel för ursprungsspecificerad el ()",Miljö!$B$1:$J$1,0),FALSE)</f>
        <v>0</v>
      </c>
      <c r="L107">
        <f>VLOOKUP($B107,Totalt!$B$1:$BU$497,MATCH("total el",Totalt!$B$1:$BU$1,0),FALSE)</f>
        <v>21.870200000000001</v>
      </c>
      <c r="N107">
        <f t="shared" si="4"/>
        <v>24.057220000000001</v>
      </c>
      <c r="O107">
        <f t="shared" si="5"/>
        <v>0</v>
      </c>
      <c r="P107">
        <f t="shared" si="6"/>
        <v>0</v>
      </c>
      <c r="Q107">
        <f t="shared" si="7"/>
        <v>0</v>
      </c>
    </row>
    <row r="108" spans="1:17" x14ac:dyDescent="0.45">
      <c r="A108" s="31" t="s">
        <v>546</v>
      </c>
      <c r="B108" s="31" t="s">
        <v>545</v>
      </c>
      <c r="C108" t="str">
        <f>VLOOKUP($B108,Totalt!$B$1:$BU$497,MATCH("Kvalitetsgranskad:",Totalt!$B$1:$BU$1,0),FALSE)</f>
        <v>Ja</v>
      </c>
      <c r="E108" t="str">
        <f>VLOOKUP($B108,Miljö!$B$1:$AG$479,MATCH(E$1,Miljö!$B$1:$AK$1,0),FALSE)</f>
        <v>Ja</v>
      </c>
      <c r="F108" t="str">
        <f>VLOOKUP($B108,Miljö!$B$1:$J$479,MATCH("Typ av ursprungsspecificerad el   (Om inget värde anges används Nordisk residualmix, se inforuta) ()",Miljö!$B$1:$J$1,0),FALSE)</f>
        <v>'100% FÖRNYBAR'</v>
      </c>
      <c r="G108">
        <f>VLOOKUP($B108,Miljö!$B$1:$J$479,MATCH("Primärenergifaktor ()",Miljö!$B$1:$J$1,0),FALSE)</f>
        <v>1.4</v>
      </c>
      <c r="H108">
        <f>VLOOKUP($B108,Miljö!$B$1:$J$479,MATCH("Koldioxidekvivalenter energiomvandling (g/kwh)",Miljö!$B$1:$J$1,0),FALSE)</f>
        <v>0</v>
      </c>
      <c r="I108">
        <f>VLOOKUP($B108,Miljö!$B$1:$J$479,MATCH("Fossilandel för ursprungspecificerad el ()",Miljö!$B$1:$J$1,0),FALSE)</f>
        <v>0</v>
      </c>
      <c r="J108">
        <f>VLOOKUP($B108,Miljö!$B$1:$J$479,MATCH("Kärnkraftsandel för ursprungsspecificerad el ()",Miljö!$B$1:$J$1,0),FALSE)</f>
        <v>0</v>
      </c>
      <c r="L108">
        <f>VLOOKUP($B108,Totalt!$B$1:$BU$497,MATCH("total el",Totalt!$B$1:$BU$1,0),FALSE)</f>
        <v>0.38</v>
      </c>
      <c r="N108">
        <f t="shared" si="4"/>
        <v>0.53199999999999992</v>
      </c>
      <c r="O108">
        <f t="shared" si="5"/>
        <v>0</v>
      </c>
      <c r="P108">
        <f t="shared" si="6"/>
        <v>0</v>
      </c>
      <c r="Q108">
        <f t="shared" si="7"/>
        <v>0</v>
      </c>
    </row>
    <row r="109" spans="1:17" x14ac:dyDescent="0.45">
      <c r="A109" s="31" t="s">
        <v>543</v>
      </c>
      <c r="B109" s="31" t="s">
        <v>542</v>
      </c>
      <c r="C109" t="str">
        <f>VLOOKUP($B109,Totalt!$B$1:$BU$497,MATCH("Kvalitetsgranskad:",Totalt!$B$1:$BU$1,0),FALSE)</f>
        <v>Ja</v>
      </c>
      <c r="E109" t="str">
        <f>VLOOKUP($B109,Miljö!$B$1:$AG$479,MATCH(E$1,Miljö!$B$1:$AK$1,0),FALSE)</f>
        <v>Ja</v>
      </c>
      <c r="F109" t="str">
        <f>VLOOKUP($B109,Miljö!$B$1:$J$479,MATCH("Typ av ursprungsspecificerad el   (Om inget värde anges används Nordisk residualmix, se inforuta) ()",Miljö!$B$1:$J$1,0),FALSE)</f>
        <v>'Vattenkraft EDP'</v>
      </c>
      <c r="G109">
        <f>VLOOKUP($B109,Miljö!$B$1:$J$479,MATCH("Primärenergifaktor ()",Miljö!$B$1:$J$1,0),FALSE)</f>
        <v>1.1000000000000001</v>
      </c>
      <c r="H109">
        <f>VLOOKUP($B109,Miljö!$B$1:$J$479,MATCH("Koldioxidekvivalenter energiomvandling (g/kwh)",Miljö!$B$1:$J$1,0),FALSE)</f>
        <v>0</v>
      </c>
      <c r="I109">
        <f>VLOOKUP($B109,Miljö!$B$1:$J$479,MATCH("Fossilandel för ursprungspecificerad el ()",Miljö!$B$1:$J$1,0),FALSE)</f>
        <v>0</v>
      </c>
      <c r="J109">
        <f>VLOOKUP($B109,Miljö!$B$1:$J$479,MATCH("Kärnkraftsandel för ursprungsspecificerad el ()",Miljö!$B$1:$J$1,0),FALSE)</f>
        <v>0</v>
      </c>
      <c r="L109">
        <f>VLOOKUP($B109,Totalt!$B$1:$BU$497,MATCH("total el",Totalt!$B$1:$BU$1,0),FALSE)</f>
        <v>0.44800000000000001</v>
      </c>
      <c r="N109">
        <f t="shared" si="4"/>
        <v>0.49280000000000007</v>
      </c>
      <c r="O109">
        <f t="shared" si="5"/>
        <v>0</v>
      </c>
      <c r="P109">
        <f t="shared" si="6"/>
        <v>0</v>
      </c>
      <c r="Q109">
        <f t="shared" si="7"/>
        <v>0</v>
      </c>
    </row>
    <row r="110" spans="1:17" x14ac:dyDescent="0.45">
      <c r="A110" s="31" t="s">
        <v>543</v>
      </c>
      <c r="B110" s="31" t="s">
        <v>544</v>
      </c>
      <c r="C110" t="str">
        <f>VLOOKUP($B110,Totalt!$B$1:$BU$497,MATCH("Kvalitetsgranskad:",Totalt!$B$1:$BU$1,0),FALSE)</f>
        <v>Ja</v>
      </c>
      <c r="E110" t="str">
        <f>VLOOKUP($B110,Miljö!$B$1:$AG$479,MATCH(E$1,Miljö!$B$1:$AK$1,0),FALSE)</f>
        <v>Ja</v>
      </c>
      <c r="F110" t="str">
        <f>VLOOKUP($B110,Miljö!$B$1:$J$479,MATCH("Typ av ursprungsspecificerad el   (Om inget värde anges används Nordisk residualmix, se inforuta) ()",Miljö!$B$1:$J$1,0),FALSE)</f>
        <v>'Vattenkraft EPD'</v>
      </c>
      <c r="G110">
        <f>VLOOKUP($B110,Miljö!$B$1:$J$479,MATCH("Primärenergifaktor ()",Miljö!$B$1:$J$1,0),FALSE)</f>
        <v>1.1000000000000001</v>
      </c>
      <c r="H110">
        <f>VLOOKUP($B110,Miljö!$B$1:$J$479,MATCH("Koldioxidekvivalenter energiomvandling (g/kwh)",Miljö!$B$1:$J$1,0),FALSE)</f>
        <v>0</v>
      </c>
      <c r="I110">
        <f>VLOOKUP($B110,Miljö!$B$1:$J$479,MATCH("Fossilandel för ursprungspecificerad el ()",Miljö!$B$1:$J$1,0),FALSE)</f>
        <v>0</v>
      </c>
      <c r="J110">
        <f>VLOOKUP($B110,Miljö!$B$1:$J$479,MATCH("Kärnkraftsandel för ursprungsspecificerad el ()",Miljö!$B$1:$J$1,0),FALSE)</f>
        <v>0</v>
      </c>
      <c r="L110">
        <f>VLOOKUP($B110,Totalt!$B$1:$BU$497,MATCH("total el",Totalt!$B$1:$BU$1,0),FALSE)</f>
        <v>0.14899999999999999</v>
      </c>
      <c r="N110">
        <f t="shared" si="4"/>
        <v>0.16390000000000002</v>
      </c>
      <c r="O110">
        <f t="shared" si="5"/>
        <v>0</v>
      </c>
      <c r="P110">
        <f t="shared" si="6"/>
        <v>0</v>
      </c>
      <c r="Q110">
        <f t="shared" si="7"/>
        <v>0</v>
      </c>
    </row>
    <row r="111" spans="1:17" x14ac:dyDescent="0.45">
      <c r="A111" s="31" t="s">
        <v>538</v>
      </c>
      <c r="B111" s="31" t="s">
        <v>541</v>
      </c>
      <c r="C111" t="str">
        <f>VLOOKUP($B111,Totalt!$B$1:$BU$497,MATCH("Kvalitetsgranskad:",Totalt!$B$1:$BU$1,0),FALSE)</f>
        <v>Ja</v>
      </c>
      <c r="E111" t="str">
        <f>VLOOKUP($B111,Miljö!$B$1:$AG$479,MATCH(E$1,Miljö!$B$1:$AK$1,0),FALSE)</f>
        <v>Ja</v>
      </c>
      <c r="F111" t="str">
        <f>VLOOKUP($B111,Miljö!$B$1:$J$479,MATCH("Typ av ursprungsspecificerad el   (Om inget värde anges används Nordisk residualmix, se inforuta) ()",Miljö!$B$1:$J$1,0),FALSE)</f>
        <v>-</v>
      </c>
      <c r="G111">
        <f>VLOOKUP($B111,Miljö!$B$1:$J$479,MATCH("Primärenergifaktor ()",Miljö!$B$1:$J$1,0),FALSE)</f>
        <v>2.2000000000000002</v>
      </c>
      <c r="H111">
        <f>VLOOKUP($B111,Miljö!$B$1:$J$479,MATCH("Koldioxidekvivalenter energiomvandling (g/kwh)",Miljö!$B$1:$J$1,0),FALSE)</f>
        <v>250.8</v>
      </c>
      <c r="I111">
        <f>VLOOKUP($B111,Miljö!$B$1:$J$479,MATCH("Fossilandel för ursprungspecificerad el ()",Miljö!$B$1:$J$1,0),FALSE)</f>
        <v>0.35</v>
      </c>
      <c r="J111">
        <f>VLOOKUP($B111,Miljö!$B$1:$J$479,MATCH("Kärnkraftsandel för ursprungsspecificerad el ()",Miljö!$B$1:$J$1,0),FALSE)</f>
        <v>0.3977</v>
      </c>
      <c r="L111">
        <f>VLOOKUP($B111,Totalt!$B$1:$BU$497,MATCH("total el",Totalt!$B$1:$BU$1,0),FALSE)</f>
        <v>2.0347599999999999</v>
      </c>
      <c r="N111">
        <f t="shared" si="4"/>
        <v>4.4764720000000002</v>
      </c>
      <c r="O111">
        <f t="shared" si="5"/>
        <v>510.31780800000001</v>
      </c>
      <c r="P111">
        <f t="shared" si="6"/>
        <v>0.71216599999999997</v>
      </c>
      <c r="Q111">
        <f t="shared" si="7"/>
        <v>0.80922405199999992</v>
      </c>
    </row>
    <row r="112" spans="1:17" x14ac:dyDescent="0.45">
      <c r="A112" s="31" t="s">
        <v>538</v>
      </c>
      <c r="B112" s="31" t="s">
        <v>540</v>
      </c>
      <c r="C112" t="str">
        <f>VLOOKUP($B112,Totalt!$B$1:$BU$497,MATCH("Kvalitetsgranskad:",Totalt!$B$1:$BU$1,0),FALSE)</f>
        <v>Ja</v>
      </c>
      <c r="E112" t="str">
        <f>VLOOKUP($B112,Miljö!$B$1:$AG$479,MATCH(E$1,Miljö!$B$1:$AK$1,0),FALSE)</f>
        <v>Ja</v>
      </c>
      <c r="F112" t="str">
        <f>VLOOKUP($B112,Miljö!$B$1:$J$479,MATCH("Typ av ursprungsspecificerad el   (Om inget värde anges används Nordisk residualmix, se inforuta) ()",Miljö!$B$1:$J$1,0),FALSE)</f>
        <v>'bio'</v>
      </c>
      <c r="G112">
        <f>VLOOKUP($B112,Miljö!$B$1:$J$479,MATCH("Primärenergifaktor ()",Miljö!$B$1:$J$1,0),FALSE)</f>
        <v>1.05</v>
      </c>
      <c r="H112">
        <f>VLOOKUP($B112,Miljö!$B$1:$J$479,MATCH("Koldioxidekvivalenter energiomvandling (g/kwh)",Miljö!$B$1:$J$1,0),FALSE)</f>
        <v>4</v>
      </c>
      <c r="I112">
        <f>VLOOKUP($B112,Miljö!$B$1:$J$479,MATCH("Fossilandel för ursprungspecificerad el ()",Miljö!$B$1:$J$1,0),FALSE)</f>
        <v>0</v>
      </c>
      <c r="J112">
        <f>VLOOKUP($B112,Miljö!$B$1:$J$479,MATCH("Kärnkraftsandel för ursprungsspecificerad el ()",Miljö!$B$1:$J$1,0),FALSE)</f>
        <v>0</v>
      </c>
      <c r="L112">
        <f>VLOOKUP($B112,Totalt!$B$1:$BU$497,MATCH("total el",Totalt!$B$1:$BU$1,0),FALSE)</f>
        <v>0.18</v>
      </c>
      <c r="N112">
        <f t="shared" si="4"/>
        <v>0.189</v>
      </c>
      <c r="O112">
        <f t="shared" si="5"/>
        <v>0.72</v>
      </c>
      <c r="P112">
        <f t="shared" si="6"/>
        <v>0</v>
      </c>
      <c r="Q112">
        <f t="shared" si="7"/>
        <v>0</v>
      </c>
    </row>
    <row r="113" spans="1:17" x14ac:dyDescent="0.45">
      <c r="A113" s="31" t="s">
        <v>538</v>
      </c>
      <c r="B113" s="31" t="s">
        <v>539</v>
      </c>
      <c r="C113" t="str">
        <f>VLOOKUP($B113,Totalt!$B$1:$BU$497,MATCH("Kvalitetsgranskad:",Totalt!$B$1:$BU$1,0),FALSE)</f>
        <v>Ja</v>
      </c>
      <c r="E113" t="str">
        <f>VLOOKUP($B113,Miljö!$B$1:$AG$479,MATCH(E$1,Miljö!$B$1:$AK$1,0),FALSE)</f>
        <v>Ja</v>
      </c>
      <c r="F113" t="str">
        <f>VLOOKUP($B113,Miljö!$B$1:$J$479,MATCH("Typ av ursprungsspecificerad el   (Om inget värde anges används Nordisk residualmix, se inforuta) ()",Miljö!$B$1:$J$1,0),FALSE)</f>
        <v>'bio'</v>
      </c>
      <c r="G113">
        <f>VLOOKUP($B113,Miljö!$B$1:$J$479,MATCH("Primärenergifaktor ()",Miljö!$B$1:$J$1,0),FALSE)</f>
        <v>1.05</v>
      </c>
      <c r="H113">
        <f>VLOOKUP($B113,Miljö!$B$1:$J$479,MATCH("Koldioxidekvivalenter energiomvandling (g/kwh)",Miljö!$B$1:$J$1,0),FALSE)</f>
        <v>4</v>
      </c>
      <c r="I113">
        <f>VLOOKUP($B113,Miljö!$B$1:$J$479,MATCH("Fossilandel för ursprungspecificerad el ()",Miljö!$B$1:$J$1,0),FALSE)</f>
        <v>0</v>
      </c>
      <c r="J113">
        <f>VLOOKUP($B113,Miljö!$B$1:$J$479,MATCH("Kärnkraftsandel för ursprungsspecificerad el ()",Miljö!$B$1:$J$1,0),FALSE)</f>
        <v>0</v>
      </c>
      <c r="L113">
        <f>VLOOKUP($B113,Totalt!$B$1:$BU$497,MATCH("total el",Totalt!$B$1:$BU$1,0),FALSE)</f>
        <v>5.0999999999999997E-2</v>
      </c>
      <c r="N113">
        <f t="shared" si="4"/>
        <v>5.355E-2</v>
      </c>
      <c r="O113">
        <f t="shared" si="5"/>
        <v>0.20399999999999999</v>
      </c>
      <c r="P113">
        <f t="shared" si="6"/>
        <v>0</v>
      </c>
      <c r="Q113">
        <f t="shared" si="7"/>
        <v>0</v>
      </c>
    </row>
    <row r="114" spans="1:17" x14ac:dyDescent="0.45">
      <c r="A114" s="31" t="s">
        <v>538</v>
      </c>
      <c r="B114" s="31" t="s">
        <v>537</v>
      </c>
      <c r="C114" t="str">
        <f>VLOOKUP($B114,Totalt!$B$1:$BU$497,MATCH("Kvalitetsgranskad:",Totalt!$B$1:$BU$1,0),FALSE)</f>
        <v>Ja</v>
      </c>
      <c r="E114" t="str">
        <f>VLOOKUP($B114,Miljö!$B$1:$AG$479,MATCH(E$1,Miljö!$B$1:$AK$1,0),FALSE)</f>
        <v>Ja</v>
      </c>
      <c r="F114" t="str">
        <f>VLOOKUP($B114,Miljö!$B$1:$J$479,MATCH("Typ av ursprungsspecificerad el   (Om inget värde anges används Nordisk residualmix, se inforuta) ()",Miljö!$B$1:$J$1,0),FALSE)</f>
        <v>'bio'</v>
      </c>
      <c r="G114">
        <f>VLOOKUP($B114,Miljö!$B$1:$J$479,MATCH("Primärenergifaktor ()",Miljö!$B$1:$J$1,0),FALSE)</f>
        <v>1.05</v>
      </c>
      <c r="H114">
        <f>VLOOKUP($B114,Miljö!$B$1:$J$479,MATCH("Koldioxidekvivalenter energiomvandling (g/kwh)",Miljö!$B$1:$J$1,0),FALSE)</f>
        <v>4</v>
      </c>
      <c r="I114">
        <f>VLOOKUP($B114,Miljö!$B$1:$J$479,MATCH("Fossilandel för ursprungspecificerad el ()",Miljö!$B$1:$J$1,0),FALSE)</f>
        <v>0</v>
      </c>
      <c r="J114">
        <f>VLOOKUP($B114,Miljö!$B$1:$J$479,MATCH("Kärnkraftsandel för ursprungsspecificerad el ()",Miljö!$B$1:$J$1,0),FALSE)</f>
        <v>0</v>
      </c>
      <c r="L114">
        <f>VLOOKUP($B114,Totalt!$B$1:$BU$497,MATCH("total el",Totalt!$B$1:$BU$1,0),FALSE)</f>
        <v>2.3142200000000002</v>
      </c>
      <c r="N114">
        <f t="shared" si="4"/>
        <v>2.4299310000000003</v>
      </c>
      <c r="O114">
        <f t="shared" si="5"/>
        <v>9.2568800000000007</v>
      </c>
      <c r="P114">
        <f t="shared" si="6"/>
        <v>0</v>
      </c>
      <c r="Q114">
        <f t="shared" si="7"/>
        <v>0</v>
      </c>
    </row>
    <row r="115" spans="1:17" x14ac:dyDescent="0.45">
      <c r="A115" s="31" t="s">
        <v>536</v>
      </c>
      <c r="B115" s="31" t="s">
        <v>74</v>
      </c>
      <c r="C115" t="str">
        <f>VLOOKUP($B115,Totalt!$B$1:$BU$497,MATCH("Kvalitetsgranskad:",Totalt!$B$1:$BU$1,0),FALSE)</f>
        <v>Nej</v>
      </c>
      <c r="E115" t="str">
        <f>VLOOKUP($B115,Miljö!$B$1:$AG$479,MATCH(E$1,Miljö!$B$1:$AK$1,0),FALSE)</f>
        <v>Nej</v>
      </c>
      <c r="F115" t="str">
        <f>VLOOKUP($B115,Miljö!$B$1:$J$479,MATCH("Typ av ursprungsspecificerad el   (Om inget värde anges används Nordisk residualmix, se inforuta) ()",Miljö!$B$1:$J$1,0),FALSE)</f>
        <v>-</v>
      </c>
      <c r="G115" t="str">
        <f>VLOOKUP($B115,Miljö!$B$1:$J$479,MATCH("Primärenergifaktor ()",Miljö!$B$1:$J$1,0),FALSE)</f>
        <v>-</v>
      </c>
      <c r="H115" t="str">
        <f>VLOOKUP($B115,Miljö!$B$1:$J$479,MATCH("Koldioxidekvivalenter energiomvandling (g/kwh)",Miljö!$B$1:$J$1,0),FALSE)</f>
        <v>-</v>
      </c>
      <c r="I115" t="str">
        <f>VLOOKUP($B115,Miljö!$B$1:$J$479,MATCH("Fossilandel för ursprungspecificerad el ()",Miljö!$B$1:$J$1,0),FALSE)</f>
        <v>-</v>
      </c>
      <c r="J115" t="str">
        <f>VLOOKUP($B115,Miljö!$B$1:$J$479,MATCH("Kärnkraftsandel för ursprungsspecificerad el ()",Miljö!$B$1:$J$1,0),FALSE)</f>
        <v>-</v>
      </c>
      <c r="L115">
        <f>VLOOKUP($B115,Totalt!$B$1:$BU$497,MATCH("total el",Totalt!$B$1:$BU$1,0),FALSE)</f>
        <v>0</v>
      </c>
      <c r="N115" t="str">
        <f t="shared" si="4"/>
        <v/>
      </c>
      <c r="O115" t="str">
        <f t="shared" si="5"/>
        <v/>
      </c>
      <c r="P115" t="str">
        <f t="shared" si="6"/>
        <v/>
      </c>
      <c r="Q115" t="str">
        <f t="shared" si="7"/>
        <v/>
      </c>
    </row>
    <row r="116" spans="1:17" x14ac:dyDescent="0.45">
      <c r="A116" s="31" t="s">
        <v>535</v>
      </c>
      <c r="B116" s="31" t="s">
        <v>534</v>
      </c>
      <c r="C116" t="str">
        <f>VLOOKUP($B116,Totalt!$B$1:$BU$497,MATCH("Kvalitetsgranskad:",Totalt!$B$1:$BU$1,0),FALSE)</f>
        <v>Ja</v>
      </c>
      <c r="E116" t="str">
        <f>VLOOKUP($B116,Miljö!$B$1:$AG$479,MATCH(E$1,Miljö!$B$1:$AK$1,0),FALSE)</f>
        <v>Ja</v>
      </c>
      <c r="F116" t="str">
        <f>VLOOKUP($B116,Miljö!$B$1:$J$479,MATCH("Typ av ursprungsspecificerad el   (Om inget värde anges används Nordisk residualmix, se inforuta) ()",Miljö!$B$1:$J$1,0),FALSE)</f>
        <v>'Vatten El'</v>
      </c>
      <c r="G116">
        <f>VLOOKUP($B116,Miljö!$B$1:$J$479,MATCH("Primärenergifaktor ()",Miljö!$B$1:$J$1,0),FALSE)</f>
        <v>1.1000000000000001</v>
      </c>
      <c r="H116">
        <f>VLOOKUP($B116,Miljö!$B$1:$J$479,MATCH("Koldioxidekvivalenter energiomvandling (g/kwh)",Miljö!$B$1:$J$1,0),FALSE)</f>
        <v>1.4999999999999999E-4</v>
      </c>
      <c r="I116">
        <f>VLOOKUP($B116,Miljö!$B$1:$J$479,MATCH("Fossilandel för ursprungspecificerad el ()",Miljö!$B$1:$J$1,0),FALSE)</f>
        <v>0</v>
      </c>
      <c r="J116">
        <f>VLOOKUP($B116,Miljö!$B$1:$J$479,MATCH("Kärnkraftsandel för ursprungsspecificerad el ()",Miljö!$B$1:$J$1,0),FALSE)</f>
        <v>0</v>
      </c>
      <c r="L116">
        <f>VLOOKUP($B116,Totalt!$B$1:$BU$497,MATCH("total el",Totalt!$B$1:$BU$1,0),FALSE)</f>
        <v>0.86299999999999999</v>
      </c>
      <c r="N116">
        <f t="shared" si="4"/>
        <v>0.94930000000000003</v>
      </c>
      <c r="O116">
        <f t="shared" si="5"/>
        <v>1.2944999999999998E-4</v>
      </c>
      <c r="P116">
        <f t="shared" si="6"/>
        <v>0</v>
      </c>
      <c r="Q116">
        <f t="shared" si="7"/>
        <v>0</v>
      </c>
    </row>
    <row r="117" spans="1:17" x14ac:dyDescent="0.45">
      <c r="A117" s="31" t="s">
        <v>533</v>
      </c>
      <c r="B117" s="31" t="s">
        <v>532</v>
      </c>
      <c r="C117" t="str">
        <f>VLOOKUP($B117,Totalt!$B$1:$BU$497,MATCH("Kvalitetsgranskad:",Totalt!$B$1:$BU$1,0),FALSE)</f>
        <v>Ja</v>
      </c>
      <c r="E117" t="str">
        <f>VLOOKUP($B117,Miljö!$B$1:$AG$479,MATCH(E$1,Miljö!$B$1:$AK$1,0),FALSE)</f>
        <v>Ja</v>
      </c>
      <c r="F117" t="str">
        <f>VLOOKUP($B117,Miljö!$B$1:$J$479,MATCH("Typ av ursprungsspecificerad el   (Om inget värde anges används Nordisk residualmix, se inforuta) ()",Miljö!$B$1:$J$1,0),FALSE)</f>
        <v>'Biokraft'</v>
      </c>
      <c r="G117">
        <f>VLOOKUP($B117,Miljö!$B$1:$J$479,MATCH("Primärenergifaktor ()",Miljö!$B$1:$J$1,0),FALSE)</f>
        <v>0.03</v>
      </c>
      <c r="H117">
        <f>VLOOKUP($B117,Miljö!$B$1:$J$479,MATCH("Koldioxidekvivalenter energiomvandling (g/kwh)",Miljö!$B$1:$J$1,0),FALSE)</f>
        <v>0</v>
      </c>
      <c r="I117">
        <f>VLOOKUP($B117,Miljö!$B$1:$J$479,MATCH("Fossilandel för ursprungspecificerad el ()",Miljö!$B$1:$J$1,0),FALSE)</f>
        <v>0</v>
      </c>
      <c r="J117">
        <f>VLOOKUP($B117,Miljö!$B$1:$J$479,MATCH("Kärnkraftsandel för ursprungsspecificerad el ()",Miljö!$B$1:$J$1,0),FALSE)</f>
        <v>0</v>
      </c>
      <c r="L117">
        <f>VLOOKUP($B117,Totalt!$B$1:$BU$497,MATCH("total el",Totalt!$B$1:$BU$1,0),FALSE)</f>
        <v>16.006700000000002</v>
      </c>
      <c r="N117">
        <f t="shared" si="4"/>
        <v>0.48020100000000004</v>
      </c>
      <c r="O117">
        <f t="shared" si="5"/>
        <v>0</v>
      </c>
      <c r="P117">
        <f t="shared" si="6"/>
        <v>0</v>
      </c>
      <c r="Q117">
        <f t="shared" si="7"/>
        <v>0</v>
      </c>
    </row>
    <row r="118" spans="1:17" x14ac:dyDescent="0.45">
      <c r="A118" s="31" t="s">
        <v>530</v>
      </c>
      <c r="B118" s="31" t="s">
        <v>531</v>
      </c>
      <c r="C118" t="str">
        <f>VLOOKUP($B118,Totalt!$B$1:$BU$497,MATCH("Kvalitetsgranskad:",Totalt!$B$1:$BU$1,0),FALSE)</f>
        <v>Ja</v>
      </c>
      <c r="E118" t="str">
        <f>VLOOKUP($B118,Miljö!$B$1:$AG$479,MATCH(E$1,Miljö!$B$1:$AK$1,0),FALSE)</f>
        <v>Ja</v>
      </c>
      <c r="F118" t="str">
        <f>VLOOKUP($B118,Miljö!$B$1:$J$479,MATCH("Typ av ursprungsspecificerad el   (Om inget värde anges används Nordisk residualmix, se inforuta) ()",Miljö!$B$1:$J$1,0),FALSE)</f>
        <v>'Vattenkraft'</v>
      </c>
      <c r="G118">
        <f>VLOOKUP($B118,Miljö!$B$1:$J$479,MATCH("Primärenergifaktor ()",Miljö!$B$1:$J$1,0),FALSE)</f>
        <v>1.1000000000000001</v>
      </c>
      <c r="H118">
        <f>VLOOKUP($B118,Miljö!$B$1:$J$479,MATCH("Koldioxidekvivalenter energiomvandling (g/kwh)",Miljö!$B$1:$J$1,0),FALSE)</f>
        <v>0.02</v>
      </c>
      <c r="I118">
        <f>VLOOKUP($B118,Miljö!$B$1:$J$479,MATCH("Fossilandel för ursprungspecificerad el ()",Miljö!$B$1:$J$1,0),FALSE)</f>
        <v>0</v>
      </c>
      <c r="J118">
        <f>VLOOKUP($B118,Miljö!$B$1:$J$479,MATCH("Kärnkraftsandel för ursprungsspecificerad el ()",Miljö!$B$1:$J$1,0),FALSE)</f>
        <v>0</v>
      </c>
      <c r="L118">
        <f>VLOOKUP($B118,Totalt!$B$1:$BU$497,MATCH("total el",Totalt!$B$1:$BU$1,0),FALSE)</f>
        <v>7.38</v>
      </c>
      <c r="N118">
        <f t="shared" si="4"/>
        <v>8.1180000000000003</v>
      </c>
      <c r="O118">
        <f t="shared" si="5"/>
        <v>0.14760000000000001</v>
      </c>
      <c r="P118">
        <f t="shared" si="6"/>
        <v>0</v>
      </c>
      <c r="Q118">
        <f t="shared" si="7"/>
        <v>0</v>
      </c>
    </row>
    <row r="119" spans="1:17" x14ac:dyDescent="0.45">
      <c r="A119" s="31" t="s">
        <v>530</v>
      </c>
      <c r="B119" s="31" t="s">
        <v>529</v>
      </c>
      <c r="C119" t="str">
        <f>VLOOKUP($B119,Totalt!$B$1:$BU$497,MATCH("Kvalitetsgranskad:",Totalt!$B$1:$BU$1,0),FALSE)</f>
        <v>Ja</v>
      </c>
      <c r="E119" t="str">
        <f>VLOOKUP($B119,Miljö!$B$1:$AG$479,MATCH(E$1,Miljö!$B$1:$AK$1,0),FALSE)</f>
        <v>Ja</v>
      </c>
      <c r="F119" t="str">
        <f>VLOOKUP($B119,Miljö!$B$1:$J$479,MATCH("Typ av ursprungsspecificerad el   (Om inget värde anges används Nordisk residualmix, se inforuta) ()",Miljö!$B$1:$J$1,0),FALSE)</f>
        <v>'Vattenkraft'</v>
      </c>
      <c r="G119">
        <f>VLOOKUP($B119,Miljö!$B$1:$J$479,MATCH("Primärenergifaktor ()",Miljö!$B$1:$J$1,0),FALSE)</f>
        <v>1.1000000000000001</v>
      </c>
      <c r="H119">
        <f>VLOOKUP($B119,Miljö!$B$1:$J$479,MATCH("Koldioxidekvivalenter energiomvandling (g/kwh)",Miljö!$B$1:$J$1,0),FALSE)</f>
        <v>0.02</v>
      </c>
      <c r="I119">
        <f>VLOOKUP($B119,Miljö!$B$1:$J$479,MATCH("Fossilandel för ursprungspecificerad el ()",Miljö!$B$1:$J$1,0),FALSE)</f>
        <v>0</v>
      </c>
      <c r="J119">
        <f>VLOOKUP($B119,Miljö!$B$1:$J$479,MATCH("Kärnkraftsandel för ursprungsspecificerad el ()",Miljö!$B$1:$J$1,0),FALSE)</f>
        <v>0</v>
      </c>
      <c r="L119">
        <f>VLOOKUP($B119,Totalt!$B$1:$BU$497,MATCH("total el",Totalt!$B$1:$BU$1,0),FALSE)</f>
        <v>0.63</v>
      </c>
      <c r="N119">
        <f t="shared" si="4"/>
        <v>0.69300000000000006</v>
      </c>
      <c r="O119">
        <f t="shared" si="5"/>
        <v>1.26E-2</v>
      </c>
      <c r="P119">
        <f t="shared" si="6"/>
        <v>0</v>
      </c>
      <c r="Q119">
        <f t="shared" si="7"/>
        <v>0</v>
      </c>
    </row>
    <row r="120" spans="1:17" x14ac:dyDescent="0.45">
      <c r="A120" s="31" t="s">
        <v>528</v>
      </c>
      <c r="B120" s="31" t="s">
        <v>527</v>
      </c>
      <c r="C120" t="str">
        <f>VLOOKUP($B120,Totalt!$B$1:$BU$497,MATCH("Kvalitetsgranskad:",Totalt!$B$1:$BU$1,0),FALSE)</f>
        <v>Ja</v>
      </c>
      <c r="E120" t="str">
        <f>VLOOKUP($B120,Miljö!$B$1:$AG$479,MATCH(E$1,Miljö!$B$1:$AK$1,0),FALSE)</f>
        <v>Ja</v>
      </c>
      <c r="F120" t="str">
        <f>VLOOKUP($B120,Miljö!$B$1:$J$479,MATCH("Typ av ursprungsspecificerad el   (Om inget värde anges används Nordisk residualmix, se inforuta) ()",Miljö!$B$1:$J$1,0),FALSE)</f>
        <v>'Vattenkraft'</v>
      </c>
      <c r="G120">
        <f>VLOOKUP($B120,Miljö!$B$1:$J$479,MATCH("Primärenergifaktor ()",Miljö!$B$1:$J$1,0),FALSE)</f>
        <v>1.1000000000000001</v>
      </c>
      <c r="H120">
        <f>VLOOKUP($B120,Miljö!$B$1:$J$479,MATCH("Koldioxidekvivalenter energiomvandling (g/kwh)",Miljö!$B$1:$J$1,0),FALSE)</f>
        <v>0</v>
      </c>
      <c r="I120">
        <f>VLOOKUP($B120,Miljö!$B$1:$J$479,MATCH("Fossilandel för ursprungspecificerad el ()",Miljö!$B$1:$J$1,0),FALSE)</f>
        <v>0</v>
      </c>
      <c r="J120">
        <f>VLOOKUP($B120,Miljö!$B$1:$J$479,MATCH("Kärnkraftsandel för ursprungsspecificerad el ()",Miljö!$B$1:$J$1,0),FALSE)</f>
        <v>0</v>
      </c>
      <c r="L120">
        <f>VLOOKUP($B120,Totalt!$B$1:$BU$497,MATCH("total el",Totalt!$B$1:$BU$1,0),FALSE)</f>
        <v>0.36528100000000002</v>
      </c>
      <c r="N120">
        <f t="shared" si="4"/>
        <v>0.40180910000000003</v>
      </c>
      <c r="O120">
        <f t="shared" si="5"/>
        <v>0</v>
      </c>
      <c r="P120">
        <f t="shared" si="6"/>
        <v>0</v>
      </c>
      <c r="Q120">
        <f t="shared" si="7"/>
        <v>0</v>
      </c>
    </row>
    <row r="121" spans="1:17" x14ac:dyDescent="0.45">
      <c r="A121" s="31" t="s">
        <v>526</v>
      </c>
      <c r="B121" s="31" t="s">
        <v>525</v>
      </c>
      <c r="C121" t="str">
        <f>VLOOKUP($B121,Totalt!$B$1:$BU$497,MATCH("Kvalitetsgranskad:",Totalt!$B$1:$BU$1,0),FALSE)</f>
        <v>Ja</v>
      </c>
      <c r="E121" t="str">
        <f>VLOOKUP($B121,Miljö!$B$1:$AG$479,MATCH(E$1,Miljö!$B$1:$AK$1,0),FALSE)</f>
        <v>Ja</v>
      </c>
      <c r="F121" t="str">
        <f>VLOOKUP($B121,Miljö!$B$1:$J$479,MATCH("Typ av ursprungsspecificerad el   (Om inget värde anges används Nordisk residualmix, se inforuta) ()",Miljö!$B$1:$J$1,0),FALSE)</f>
        <v>'green Power Förnyelsebara energikällor 100%'</v>
      </c>
      <c r="G121">
        <f>VLOOKUP($B121,Miljö!$B$1:$J$479,MATCH("Primärenergifaktor ()",Miljö!$B$1:$J$1,0),FALSE)</f>
        <v>1.1000000000000001</v>
      </c>
      <c r="H121">
        <f>VLOOKUP($B121,Miljö!$B$1:$J$479,MATCH("Koldioxidekvivalenter energiomvandling (g/kwh)",Miljö!$B$1:$J$1,0),FALSE)</f>
        <v>0</v>
      </c>
      <c r="I121">
        <f>VLOOKUP($B121,Miljö!$B$1:$J$479,MATCH("Fossilandel för ursprungspecificerad el ()",Miljö!$B$1:$J$1,0),FALSE)</f>
        <v>0</v>
      </c>
      <c r="J121">
        <f>VLOOKUP($B121,Miljö!$B$1:$J$479,MATCH("Kärnkraftsandel för ursprungsspecificerad el ()",Miljö!$B$1:$J$1,0),FALSE)</f>
        <v>0</v>
      </c>
      <c r="L121">
        <f>VLOOKUP($B121,Totalt!$B$1:$BU$497,MATCH("total el",Totalt!$B$1:$BU$1,0),FALSE)</f>
        <v>1.3</v>
      </c>
      <c r="N121">
        <f t="shared" si="4"/>
        <v>1.4300000000000002</v>
      </c>
      <c r="O121">
        <f t="shared" si="5"/>
        <v>0</v>
      </c>
      <c r="P121">
        <f t="shared" si="6"/>
        <v>0</v>
      </c>
      <c r="Q121">
        <f t="shared" si="7"/>
        <v>0</v>
      </c>
    </row>
    <row r="122" spans="1:17" x14ac:dyDescent="0.45">
      <c r="A122" s="31" t="s">
        <v>520</v>
      </c>
      <c r="B122" s="31" t="s">
        <v>524</v>
      </c>
      <c r="C122" t="str">
        <f>VLOOKUP($B122,Totalt!$B$1:$BU$497,MATCH("Kvalitetsgranskad:",Totalt!$B$1:$BU$1,0),FALSE)</f>
        <v>Nej</v>
      </c>
      <c r="E122" t="str">
        <f>VLOOKUP($B122,Miljö!$B$1:$AG$479,MATCH(E$1,Miljö!$B$1:$AK$1,0),FALSE)</f>
        <v>Ja</v>
      </c>
      <c r="F122" t="str">
        <f>VLOOKUP($B122,Miljö!$B$1:$J$479,MATCH("Typ av ursprungsspecificerad el   (Om inget värde anges används Nordisk residualmix, se inforuta) ()",Miljö!$B$1:$J$1,0),FALSE)</f>
        <v>'Jämtkrafts lokalel'</v>
      </c>
      <c r="G122">
        <f>VLOOKUP($B122,Miljö!$B$1:$J$479,MATCH("Primärenergifaktor ()",Miljö!$B$1:$J$1,0),FALSE)</f>
        <v>0.96020000000000005</v>
      </c>
      <c r="H122">
        <f>VLOOKUP($B122,Miljö!$B$1:$J$479,MATCH("Koldioxidekvivalenter energiomvandling (g/kwh)",Miljö!$B$1:$J$1,0),FALSE)</f>
        <v>0</v>
      </c>
      <c r="I122">
        <f>VLOOKUP($B122,Miljö!$B$1:$J$479,MATCH("Fossilandel för ursprungspecificerad el ()",Miljö!$B$1:$J$1,0),FALSE)</f>
        <v>0</v>
      </c>
      <c r="J122">
        <f>VLOOKUP($B122,Miljö!$B$1:$J$479,MATCH("Kärnkraftsandel för ursprungsspecificerad el ()",Miljö!$B$1:$J$1,0),FALSE)</f>
        <v>0</v>
      </c>
      <c r="L122">
        <f>VLOOKUP($B122,Totalt!$B$1:$BU$497,MATCH("total el",Totalt!$B$1:$BU$1,0),FALSE)</f>
        <v>0</v>
      </c>
      <c r="N122">
        <f t="shared" si="4"/>
        <v>0</v>
      </c>
      <c r="O122">
        <f t="shared" si="5"/>
        <v>0</v>
      </c>
      <c r="P122">
        <f t="shared" si="6"/>
        <v>0</v>
      </c>
      <c r="Q122">
        <f t="shared" si="7"/>
        <v>0</v>
      </c>
    </row>
    <row r="123" spans="1:17" x14ac:dyDescent="0.45">
      <c r="A123" s="31" t="s">
        <v>520</v>
      </c>
      <c r="B123" s="31" t="s">
        <v>523</v>
      </c>
      <c r="C123" t="str">
        <f>VLOOKUP($B123,Totalt!$B$1:$BU$497,MATCH("Kvalitetsgranskad:",Totalt!$B$1:$BU$1,0),FALSE)</f>
        <v>Ja</v>
      </c>
      <c r="E123" t="str">
        <f>VLOOKUP($B123,Miljö!$B$1:$AG$479,MATCH(E$1,Miljö!$B$1:$AK$1,0),FALSE)</f>
        <v>Ja</v>
      </c>
      <c r="F123" t="str">
        <f>VLOOKUP($B123,Miljö!$B$1:$J$479,MATCH("Typ av ursprungsspecificerad el   (Om inget värde anges används Nordisk residualmix, se inforuta) ()",Miljö!$B$1:$J$1,0),FALSE)</f>
        <v>'Jämtkrafts lokalel'</v>
      </c>
      <c r="G123">
        <f>VLOOKUP($B123,Miljö!$B$1:$J$479,MATCH("Primärenergifaktor ()",Miljö!$B$1:$J$1,0),FALSE)</f>
        <v>0.96020000000000005</v>
      </c>
      <c r="H123">
        <f>VLOOKUP($B123,Miljö!$B$1:$J$479,MATCH("Koldioxidekvivalenter energiomvandling (g/kwh)",Miljö!$B$1:$J$1,0),FALSE)</f>
        <v>0</v>
      </c>
      <c r="I123">
        <f>VLOOKUP($B123,Miljö!$B$1:$J$479,MATCH("Fossilandel för ursprungspecificerad el ()",Miljö!$B$1:$J$1,0),FALSE)</f>
        <v>0</v>
      </c>
      <c r="J123">
        <f>VLOOKUP($B123,Miljö!$B$1:$J$479,MATCH("Kärnkraftsandel för ursprungsspecificerad el ()",Miljö!$B$1:$J$1,0),FALSE)</f>
        <v>0</v>
      </c>
      <c r="L123">
        <f>VLOOKUP($B123,Totalt!$B$1:$BU$497,MATCH("total el",Totalt!$B$1:$BU$1,0),FALSE)</f>
        <v>0.83984999999999999</v>
      </c>
      <c r="N123">
        <f t="shared" si="4"/>
        <v>0.80642396999999999</v>
      </c>
      <c r="O123">
        <f t="shared" si="5"/>
        <v>0</v>
      </c>
      <c r="P123">
        <f t="shared" si="6"/>
        <v>0</v>
      </c>
      <c r="Q123">
        <f t="shared" si="7"/>
        <v>0</v>
      </c>
    </row>
    <row r="124" spans="1:17" x14ac:dyDescent="0.45">
      <c r="A124" s="31" t="s">
        <v>520</v>
      </c>
      <c r="B124" s="31" t="s">
        <v>522</v>
      </c>
      <c r="C124" t="str">
        <f>VLOOKUP($B124,Totalt!$B$1:$BU$497,MATCH("Kvalitetsgranskad:",Totalt!$B$1:$BU$1,0),FALSE)</f>
        <v>Ja</v>
      </c>
      <c r="E124" t="str">
        <f>VLOOKUP($B124,Miljö!$B$1:$AG$479,MATCH(E$1,Miljö!$B$1:$AK$1,0),FALSE)</f>
        <v>Ja</v>
      </c>
      <c r="F124" t="str">
        <f>VLOOKUP($B124,Miljö!$B$1:$J$479,MATCH("Typ av ursprungsspecificerad el   (Om inget värde anges används Nordisk residualmix, se inforuta) ()",Miljö!$B$1:$J$1,0),FALSE)</f>
        <v>'Jämtkrafts lokalel'</v>
      </c>
      <c r="G124">
        <f>VLOOKUP($B124,Miljö!$B$1:$J$479,MATCH("Primärenergifaktor ()",Miljö!$B$1:$J$1,0),FALSE)</f>
        <v>0.96020000000000005</v>
      </c>
      <c r="H124">
        <f>VLOOKUP($B124,Miljö!$B$1:$J$479,MATCH("Koldioxidekvivalenter energiomvandling (g/kwh)",Miljö!$B$1:$J$1,0),FALSE)</f>
        <v>0</v>
      </c>
      <c r="I124">
        <f>VLOOKUP($B124,Miljö!$B$1:$J$479,MATCH("Fossilandel för ursprungspecificerad el ()",Miljö!$B$1:$J$1,0),FALSE)</f>
        <v>0</v>
      </c>
      <c r="J124">
        <f>VLOOKUP($B124,Miljö!$B$1:$J$479,MATCH("Kärnkraftsandel för ursprungsspecificerad el ()",Miljö!$B$1:$J$1,0),FALSE)</f>
        <v>0</v>
      </c>
      <c r="L124">
        <f>VLOOKUP($B124,Totalt!$B$1:$BU$497,MATCH("total el",Totalt!$B$1:$BU$1,0),FALSE)</f>
        <v>1.7965</v>
      </c>
      <c r="N124">
        <f t="shared" si="4"/>
        <v>1.7249993000000001</v>
      </c>
      <c r="O124">
        <f t="shared" si="5"/>
        <v>0</v>
      </c>
      <c r="P124">
        <f t="shared" si="6"/>
        <v>0</v>
      </c>
      <c r="Q124">
        <f t="shared" si="7"/>
        <v>0</v>
      </c>
    </row>
    <row r="125" spans="1:17" x14ac:dyDescent="0.45">
      <c r="A125" s="31" t="s">
        <v>520</v>
      </c>
      <c r="B125" s="31" t="s">
        <v>521</v>
      </c>
      <c r="C125" t="str">
        <f>VLOOKUP($B125,Totalt!$B$1:$BU$497,MATCH("Kvalitetsgranskad:",Totalt!$B$1:$BU$1,0),FALSE)</f>
        <v>Ja</v>
      </c>
      <c r="E125" t="str">
        <f>VLOOKUP($B125,Miljö!$B$1:$AG$479,MATCH(E$1,Miljö!$B$1:$AK$1,0),FALSE)</f>
        <v>Ja</v>
      </c>
      <c r="F125" t="str">
        <f>VLOOKUP($B125,Miljö!$B$1:$J$479,MATCH("Typ av ursprungsspecificerad el   (Om inget värde anges används Nordisk residualmix, se inforuta) ()",Miljö!$B$1:$J$1,0),FALSE)</f>
        <v>'Jämtkraft lokalel'</v>
      </c>
      <c r="G125">
        <f>VLOOKUP($B125,Miljö!$B$1:$J$479,MATCH("Primärenergifaktor ()",Miljö!$B$1:$J$1,0),FALSE)</f>
        <v>0.96020000000000005</v>
      </c>
      <c r="H125">
        <f>VLOOKUP($B125,Miljö!$B$1:$J$479,MATCH("Koldioxidekvivalenter energiomvandling (g/kwh)",Miljö!$B$1:$J$1,0),FALSE)</f>
        <v>0</v>
      </c>
      <c r="I125">
        <f>VLOOKUP($B125,Miljö!$B$1:$J$479,MATCH("Fossilandel för ursprungspecificerad el ()",Miljö!$B$1:$J$1,0),FALSE)</f>
        <v>0</v>
      </c>
      <c r="J125">
        <f>VLOOKUP($B125,Miljö!$B$1:$J$479,MATCH("Kärnkraftsandel för ursprungsspecificerad el ()",Miljö!$B$1:$J$1,0),FALSE)</f>
        <v>0</v>
      </c>
      <c r="L125">
        <f>VLOOKUP($B125,Totalt!$B$1:$BU$497,MATCH("total el",Totalt!$B$1:$BU$1,0),FALSE)</f>
        <v>16.610299999999999</v>
      </c>
      <c r="N125">
        <f t="shared" si="4"/>
        <v>15.94921006</v>
      </c>
      <c r="O125">
        <f t="shared" si="5"/>
        <v>0</v>
      </c>
      <c r="P125">
        <f t="shared" si="6"/>
        <v>0</v>
      </c>
      <c r="Q125">
        <f t="shared" si="7"/>
        <v>0</v>
      </c>
    </row>
    <row r="126" spans="1:17" x14ac:dyDescent="0.45">
      <c r="A126" s="31" t="s">
        <v>520</v>
      </c>
      <c r="B126" s="31" t="s">
        <v>519</v>
      </c>
      <c r="C126" t="str">
        <f>VLOOKUP($B126,Totalt!$B$1:$BU$497,MATCH("Kvalitetsgranskad:",Totalt!$B$1:$BU$1,0),FALSE)</f>
        <v>Ja</v>
      </c>
      <c r="E126" t="str">
        <f>VLOOKUP($B126,Miljö!$B$1:$AG$479,MATCH(E$1,Miljö!$B$1:$AK$1,0),FALSE)</f>
        <v>Ja</v>
      </c>
      <c r="F126" t="str">
        <f>VLOOKUP($B126,Miljö!$B$1:$J$479,MATCH("Typ av ursprungsspecificerad el   (Om inget värde anges används Nordisk residualmix, se inforuta) ()",Miljö!$B$1:$J$1,0),FALSE)</f>
        <v>'Jämtkrafts lokalel'</v>
      </c>
      <c r="G126">
        <f>VLOOKUP($B126,Miljö!$B$1:$J$479,MATCH("Primärenergifaktor ()",Miljö!$B$1:$J$1,0),FALSE)</f>
        <v>0.96020000000000005</v>
      </c>
      <c r="H126">
        <f>VLOOKUP($B126,Miljö!$B$1:$J$479,MATCH("Koldioxidekvivalenter energiomvandling (g/kwh)",Miljö!$B$1:$J$1,0),FALSE)</f>
        <v>0</v>
      </c>
      <c r="I126">
        <f>VLOOKUP($B126,Miljö!$B$1:$J$479,MATCH("Fossilandel för ursprungspecificerad el ()",Miljö!$B$1:$J$1,0),FALSE)</f>
        <v>0</v>
      </c>
      <c r="J126">
        <f>VLOOKUP($B126,Miljö!$B$1:$J$479,MATCH("Kärnkraftsandel för ursprungsspecificerad el ()",Miljö!$B$1:$J$1,0),FALSE)</f>
        <v>0</v>
      </c>
      <c r="L126">
        <f>VLOOKUP($B126,Totalt!$B$1:$BU$497,MATCH("total el",Totalt!$B$1:$BU$1,0),FALSE)</f>
        <v>4.7280000000000003E-2</v>
      </c>
      <c r="N126">
        <f t="shared" si="4"/>
        <v>4.5398256000000005E-2</v>
      </c>
      <c r="O126">
        <f t="shared" si="5"/>
        <v>0</v>
      </c>
      <c r="P126">
        <f t="shared" si="6"/>
        <v>0</v>
      </c>
      <c r="Q126">
        <f t="shared" si="7"/>
        <v>0</v>
      </c>
    </row>
    <row r="127" spans="1:17" x14ac:dyDescent="0.45">
      <c r="A127" s="31" t="s">
        <v>518</v>
      </c>
      <c r="B127" s="31" t="s">
        <v>77</v>
      </c>
      <c r="C127" t="str">
        <f>VLOOKUP($B127,Totalt!$B$1:$BU$497,MATCH("Kvalitetsgranskad:",Totalt!$B$1:$BU$1,0),FALSE)</f>
        <v>Ja</v>
      </c>
      <c r="E127" t="str">
        <f>VLOOKUP($B127,Miljö!$B$1:$AG$479,MATCH(E$1,Miljö!$B$1:$AK$1,0),FALSE)</f>
        <v>Ja</v>
      </c>
      <c r="F127" t="str">
        <f>VLOOKUP($B127,Miljö!$B$1:$J$479,MATCH("Typ av ursprungsspecificerad el   (Om inget värde anges används Nordisk residualmix, se inforuta) ()",Miljö!$B$1:$J$1,0),FALSE)</f>
        <v>-</v>
      </c>
      <c r="G127">
        <f>VLOOKUP($B127,Miljö!$B$1:$J$479,MATCH("Primärenergifaktor ()",Miljö!$B$1:$J$1,0),FALSE)</f>
        <v>2.2000000000000002</v>
      </c>
      <c r="H127">
        <f>VLOOKUP($B127,Miljö!$B$1:$J$479,MATCH("Koldioxidekvivalenter energiomvandling (g/kwh)",Miljö!$B$1:$J$1,0),FALSE)</f>
        <v>250.8</v>
      </c>
      <c r="I127">
        <f>VLOOKUP($B127,Miljö!$B$1:$J$479,MATCH("Fossilandel för ursprungspecificerad el ()",Miljö!$B$1:$J$1,0),FALSE)</f>
        <v>0.35</v>
      </c>
      <c r="J127">
        <f>VLOOKUP($B127,Miljö!$B$1:$J$479,MATCH("Kärnkraftsandel för ursprungsspecificerad el ()",Miljö!$B$1:$J$1,0),FALSE)</f>
        <v>0.3977</v>
      </c>
      <c r="L127">
        <f>VLOOKUP($B127,Totalt!$B$1:$BU$497,MATCH("total el",Totalt!$B$1:$BU$1,0),FALSE)</f>
        <v>1.6319999999999999</v>
      </c>
      <c r="N127">
        <f t="shared" si="4"/>
        <v>3.5904000000000003</v>
      </c>
      <c r="O127">
        <f t="shared" si="5"/>
        <v>409.30559999999997</v>
      </c>
      <c r="P127">
        <f t="shared" si="6"/>
        <v>0.57119999999999993</v>
      </c>
      <c r="Q127">
        <f t="shared" si="7"/>
        <v>0.64904639999999991</v>
      </c>
    </row>
    <row r="128" spans="1:17" x14ac:dyDescent="0.45">
      <c r="A128" s="31" t="s">
        <v>515</v>
      </c>
      <c r="B128" s="31" t="s">
        <v>517</v>
      </c>
      <c r="C128" t="str">
        <f>VLOOKUP($B128,Totalt!$B$1:$BU$497,MATCH("Kvalitetsgranskad:",Totalt!$B$1:$BU$1,0),FALSE)</f>
        <v>Ja</v>
      </c>
      <c r="E128" t="str">
        <f>VLOOKUP($B128,Miljö!$B$1:$AG$479,MATCH(E$1,Miljö!$B$1:$AK$1,0),FALSE)</f>
        <v>Ja</v>
      </c>
      <c r="F128" t="str">
        <f>VLOOKUP($B128,Miljö!$B$1:$J$479,MATCH("Typ av ursprungsspecificerad el   (Om inget värde anges används Nordisk residualmix, se inforuta) ()",Miljö!$B$1:$J$1,0),FALSE)</f>
        <v>'Mix av förnybara källor'</v>
      </c>
      <c r="G128">
        <f>VLOOKUP($B128,Miljö!$B$1:$J$479,MATCH("Primärenergifaktor ()",Miljö!$B$1:$J$1,0),FALSE)</f>
        <v>1.6</v>
      </c>
      <c r="H128">
        <f>VLOOKUP($B128,Miljö!$B$1:$J$479,MATCH("Koldioxidekvivalenter energiomvandling (g/kwh)",Miljö!$B$1:$J$1,0),FALSE)</f>
        <v>0</v>
      </c>
      <c r="I128">
        <f>VLOOKUP($B128,Miljö!$B$1:$J$479,MATCH("Fossilandel för ursprungspecificerad el ()",Miljö!$B$1:$J$1,0),FALSE)</f>
        <v>0</v>
      </c>
      <c r="J128">
        <f>VLOOKUP($B128,Miljö!$B$1:$J$479,MATCH("Kärnkraftsandel för ursprungsspecificerad el ()",Miljö!$B$1:$J$1,0),FALSE)</f>
        <v>0</v>
      </c>
      <c r="L128">
        <f>VLOOKUP($B128,Totalt!$B$1:$BU$497,MATCH("total el",Totalt!$B$1:$BU$1,0),FALSE)</f>
        <v>0.42</v>
      </c>
      <c r="N128">
        <f t="shared" si="4"/>
        <v>0.67200000000000004</v>
      </c>
      <c r="O128">
        <f t="shared" si="5"/>
        <v>0</v>
      </c>
      <c r="P128">
        <f t="shared" si="6"/>
        <v>0</v>
      </c>
      <c r="Q128">
        <f t="shared" si="7"/>
        <v>0</v>
      </c>
    </row>
    <row r="129" spans="1:17" x14ac:dyDescent="0.45">
      <c r="A129" s="31" t="s">
        <v>515</v>
      </c>
      <c r="B129" s="31" t="s">
        <v>516</v>
      </c>
      <c r="C129" t="str">
        <f>VLOOKUP($B129,Totalt!$B$1:$BU$497,MATCH("Kvalitetsgranskad:",Totalt!$B$1:$BU$1,0),FALSE)</f>
        <v>Ja</v>
      </c>
      <c r="E129" t="str">
        <f>VLOOKUP($B129,Miljö!$B$1:$AG$479,MATCH(E$1,Miljö!$B$1:$AK$1,0),FALSE)</f>
        <v>Ja</v>
      </c>
      <c r="F129" t="str">
        <f>VLOOKUP($B129,Miljö!$B$1:$J$479,MATCH("Typ av ursprungsspecificerad el   (Om inget värde anges används Nordisk residualmix, se inforuta) ()",Miljö!$B$1:$J$1,0),FALSE)</f>
        <v>'Mix av förnybara källor'</v>
      </c>
      <c r="G129">
        <f>VLOOKUP($B129,Miljö!$B$1:$J$479,MATCH("Primärenergifaktor ()",Miljö!$B$1:$J$1,0),FALSE)</f>
        <v>1.6</v>
      </c>
      <c r="H129">
        <f>VLOOKUP($B129,Miljö!$B$1:$J$479,MATCH("Koldioxidekvivalenter energiomvandling (g/kwh)",Miljö!$B$1:$J$1,0),FALSE)</f>
        <v>0</v>
      </c>
      <c r="I129">
        <f>VLOOKUP($B129,Miljö!$B$1:$J$479,MATCH("Fossilandel för ursprungspecificerad el ()",Miljö!$B$1:$J$1,0),FALSE)</f>
        <v>0</v>
      </c>
      <c r="J129">
        <f>VLOOKUP($B129,Miljö!$B$1:$J$479,MATCH("Kärnkraftsandel för ursprungsspecificerad el ()",Miljö!$B$1:$J$1,0),FALSE)</f>
        <v>0</v>
      </c>
      <c r="L129">
        <f>VLOOKUP($B129,Totalt!$B$1:$BU$497,MATCH("total el",Totalt!$B$1:$BU$1,0),FALSE)</f>
        <v>30.5624</v>
      </c>
      <c r="N129">
        <f t="shared" si="4"/>
        <v>48.899840000000005</v>
      </c>
      <c r="O129">
        <f t="shared" si="5"/>
        <v>0</v>
      </c>
      <c r="P129">
        <f t="shared" si="6"/>
        <v>0</v>
      </c>
      <c r="Q129">
        <f t="shared" si="7"/>
        <v>0</v>
      </c>
    </row>
    <row r="130" spans="1:17" x14ac:dyDescent="0.45">
      <c r="A130" s="31" t="s">
        <v>515</v>
      </c>
      <c r="B130" s="31" t="s">
        <v>514</v>
      </c>
      <c r="C130" t="str">
        <f>VLOOKUP($B130,Totalt!$B$1:$BU$497,MATCH("Kvalitetsgranskad:",Totalt!$B$1:$BU$1,0),FALSE)</f>
        <v>Ja</v>
      </c>
      <c r="E130" t="str">
        <f>VLOOKUP($B130,Miljö!$B$1:$AG$479,MATCH(E$1,Miljö!$B$1:$AK$1,0),FALSE)</f>
        <v>Ja</v>
      </c>
      <c r="F130" t="str">
        <f>VLOOKUP($B130,Miljö!$B$1:$J$479,MATCH("Typ av ursprungsspecificerad el   (Om inget värde anges används Nordisk residualmix, se inforuta) ()",Miljö!$B$1:$J$1,0),FALSE)</f>
        <v>'Mix av förnybara källor'</v>
      </c>
      <c r="G130">
        <f>VLOOKUP($B130,Miljö!$B$1:$J$479,MATCH("Primärenergifaktor ()",Miljö!$B$1:$J$1,0),FALSE)</f>
        <v>1.6</v>
      </c>
      <c r="H130">
        <f>VLOOKUP($B130,Miljö!$B$1:$J$479,MATCH("Koldioxidekvivalenter energiomvandling (g/kwh)",Miljö!$B$1:$J$1,0),FALSE)</f>
        <v>0</v>
      </c>
      <c r="I130">
        <f>VLOOKUP($B130,Miljö!$B$1:$J$479,MATCH("Fossilandel för ursprungspecificerad el ()",Miljö!$B$1:$J$1,0),FALSE)</f>
        <v>0</v>
      </c>
      <c r="J130">
        <f>VLOOKUP($B130,Miljö!$B$1:$J$479,MATCH("Kärnkraftsandel för ursprungsspecificerad el ()",Miljö!$B$1:$J$1,0),FALSE)</f>
        <v>0</v>
      </c>
      <c r="L130">
        <f>VLOOKUP($B130,Totalt!$B$1:$BU$497,MATCH("total el",Totalt!$B$1:$BU$1,0),FALSE)</f>
        <v>0.112</v>
      </c>
      <c r="N130">
        <f t="shared" si="4"/>
        <v>0.17920000000000003</v>
      </c>
      <c r="O130">
        <f t="shared" si="5"/>
        <v>0</v>
      </c>
      <c r="P130">
        <f t="shared" si="6"/>
        <v>0</v>
      </c>
      <c r="Q130">
        <f t="shared" si="7"/>
        <v>0</v>
      </c>
    </row>
    <row r="131" spans="1:17" x14ac:dyDescent="0.45">
      <c r="A131" s="31" t="s">
        <v>513</v>
      </c>
      <c r="B131" s="31" t="s">
        <v>512</v>
      </c>
      <c r="C131" t="str">
        <f>VLOOKUP($B131,Totalt!$B$1:$BU$497,MATCH("Kvalitetsgranskad:",Totalt!$B$1:$BU$1,0),FALSE)</f>
        <v>Ja</v>
      </c>
      <c r="E131" t="str">
        <f>VLOOKUP($B131,Miljö!$B$1:$AG$479,MATCH(E$1,Miljö!$B$1:$AK$1,0),FALSE)</f>
        <v>Ja</v>
      </c>
      <c r="F131" t="str">
        <f>VLOOKUP($B131,Miljö!$B$1:$J$479,MATCH("Typ av ursprungsspecificerad el   (Om inget värde anges används Nordisk residualmix, se inforuta) ()",Miljö!$B$1:$J$1,0),FALSE)</f>
        <v>'"100% förnybar el"'</v>
      </c>
      <c r="G131">
        <f>VLOOKUP($B131,Miljö!$B$1:$J$479,MATCH("Primärenergifaktor ()",Miljö!$B$1:$J$1,0),FALSE)</f>
        <v>1.1000000000000001</v>
      </c>
      <c r="H131">
        <f>VLOOKUP($B131,Miljö!$B$1:$J$479,MATCH("Koldioxidekvivalenter energiomvandling (g/kwh)",Miljö!$B$1:$J$1,0),FALSE)</f>
        <v>0</v>
      </c>
      <c r="I131">
        <f>VLOOKUP($B131,Miljö!$B$1:$J$479,MATCH("Fossilandel för ursprungspecificerad el ()",Miljö!$B$1:$J$1,0),FALSE)</f>
        <v>0</v>
      </c>
      <c r="J131">
        <f>VLOOKUP($B131,Miljö!$B$1:$J$479,MATCH("Kärnkraftsandel för ursprungsspecificerad el ()",Miljö!$B$1:$J$1,0),FALSE)</f>
        <v>0</v>
      </c>
      <c r="L131">
        <f>VLOOKUP($B131,Totalt!$B$1:$BU$497,MATCH("total el",Totalt!$B$1:$BU$1,0),FALSE)</f>
        <v>16.825800000000001</v>
      </c>
      <c r="N131">
        <f t="shared" ref="N131:N194" si="8">IF(ISERROR($L131*G131),"",$L131*G131)</f>
        <v>18.508380000000002</v>
      </c>
      <c r="O131">
        <f t="shared" ref="O131:O194" si="9">IF(ISERROR($L131*H131),"",$L131*H131)</f>
        <v>0</v>
      </c>
      <c r="P131">
        <f t="shared" ref="P131:P194" si="10">IF(ISERROR($L131*I131),"",$L131*I131)</f>
        <v>0</v>
      </c>
      <c r="Q131">
        <f t="shared" ref="Q131:Q194" si="11">IF(ISERROR($L131*J131),"",$L131*J131)</f>
        <v>0</v>
      </c>
    </row>
    <row r="132" spans="1:17" x14ac:dyDescent="0.45">
      <c r="A132" s="31" t="s">
        <v>511</v>
      </c>
      <c r="B132" s="31" t="s">
        <v>80</v>
      </c>
      <c r="C132" t="str">
        <f>VLOOKUP($B132,Totalt!$B$1:$BU$497,MATCH("Kvalitetsgranskad:",Totalt!$B$1:$BU$1,0),FALSE)</f>
        <v>Ja</v>
      </c>
      <c r="E132" t="str">
        <f>VLOOKUP($B132,Miljö!$B$1:$AG$479,MATCH(E$1,Miljö!$B$1:$AK$1,0),FALSE)</f>
        <v>Ja</v>
      </c>
      <c r="F132" t="str">
        <f>VLOOKUP($B132,Miljö!$B$1:$J$479,MATCH("Typ av ursprungsspecificerad el   (Om inget värde anges används Nordisk residualmix, se inforuta) ()",Miljö!$B$1:$J$1,0),FALSE)</f>
        <v>-</v>
      </c>
      <c r="G132">
        <f>VLOOKUP($B132,Miljö!$B$1:$J$479,MATCH("Primärenergifaktor ()",Miljö!$B$1:$J$1,0),FALSE)</f>
        <v>2.2000000000000002</v>
      </c>
      <c r="H132">
        <f>VLOOKUP($B132,Miljö!$B$1:$J$479,MATCH("Koldioxidekvivalenter energiomvandling (g/kwh)",Miljö!$B$1:$J$1,0),FALSE)</f>
        <v>250.8</v>
      </c>
      <c r="I132">
        <f>VLOOKUP($B132,Miljö!$B$1:$J$479,MATCH("Fossilandel för ursprungspecificerad el ()",Miljö!$B$1:$J$1,0),FALSE)</f>
        <v>0.35399999999999998</v>
      </c>
      <c r="J132">
        <f>VLOOKUP($B132,Miljö!$B$1:$J$479,MATCH("Kärnkraftsandel för ursprungsspecificerad el ()",Miljö!$B$1:$J$1,0),FALSE)</f>
        <v>0.39700000000000002</v>
      </c>
      <c r="L132">
        <f>VLOOKUP($B132,Totalt!$B$1:$BU$497,MATCH("total el",Totalt!$B$1:$BU$1,0),FALSE)</f>
        <v>0.44400000000000001</v>
      </c>
      <c r="N132">
        <f t="shared" si="8"/>
        <v>0.97680000000000011</v>
      </c>
      <c r="O132">
        <f t="shared" si="9"/>
        <v>111.35520000000001</v>
      </c>
      <c r="P132">
        <f t="shared" si="10"/>
        <v>0.15717599999999998</v>
      </c>
      <c r="Q132">
        <f t="shared" si="11"/>
        <v>0.17626800000000001</v>
      </c>
    </row>
    <row r="133" spans="1:17" x14ac:dyDescent="0.45">
      <c r="A133" s="31" t="s">
        <v>510</v>
      </c>
      <c r="B133" s="31" t="s">
        <v>509</v>
      </c>
      <c r="C133" t="str">
        <f>VLOOKUP($B133,Totalt!$B$1:$BU$497,MATCH("Kvalitetsgranskad:",Totalt!$B$1:$BU$1,0),FALSE)</f>
        <v>Ja</v>
      </c>
      <c r="E133" t="str">
        <f>VLOOKUP($B133,Miljö!$B$1:$AG$479,MATCH(E$1,Miljö!$B$1:$AK$1,0),FALSE)</f>
        <v>Ja</v>
      </c>
      <c r="F133" t="str">
        <f>VLOOKUP($B133,Miljö!$B$1:$J$479,MATCH("Typ av ursprungsspecificerad el   (Om inget värde anges används Nordisk residualmix, se inforuta) ()",Miljö!$B$1:$J$1,0),FALSE)</f>
        <v>'100 % vindkraft'</v>
      </c>
      <c r="G133">
        <f>VLOOKUP($B133,Miljö!$B$1:$J$479,MATCH("Primärenergifaktor ()",Miljö!$B$1:$J$1,0),FALSE)</f>
        <v>0.1</v>
      </c>
      <c r="H133">
        <f>VLOOKUP($B133,Miljö!$B$1:$J$479,MATCH("Koldioxidekvivalenter energiomvandling (g/kwh)",Miljö!$B$1:$J$1,0),FALSE)</f>
        <v>0</v>
      </c>
      <c r="I133">
        <f>VLOOKUP($B133,Miljö!$B$1:$J$479,MATCH("Fossilandel för ursprungspecificerad el ()",Miljö!$B$1:$J$1,0),FALSE)</f>
        <v>0</v>
      </c>
      <c r="J133">
        <f>VLOOKUP($B133,Miljö!$B$1:$J$479,MATCH("Kärnkraftsandel för ursprungsspecificerad el ()",Miljö!$B$1:$J$1,0),FALSE)</f>
        <v>0</v>
      </c>
      <c r="L133">
        <f>VLOOKUP($B133,Totalt!$B$1:$BU$497,MATCH("total el",Totalt!$B$1:$BU$1,0),FALSE)</f>
        <v>4.84497</v>
      </c>
      <c r="N133">
        <f t="shared" si="8"/>
        <v>0.48449700000000001</v>
      </c>
      <c r="O133">
        <f t="shared" si="9"/>
        <v>0</v>
      </c>
      <c r="P133">
        <f t="shared" si="10"/>
        <v>0</v>
      </c>
      <c r="Q133">
        <f t="shared" si="11"/>
        <v>0</v>
      </c>
    </row>
    <row r="134" spans="1:17" x14ac:dyDescent="0.45">
      <c r="A134" s="31" t="s">
        <v>508</v>
      </c>
      <c r="B134" s="31" t="s">
        <v>83</v>
      </c>
      <c r="C134" t="str">
        <f>VLOOKUP($B134,Totalt!$B$1:$BU$497,MATCH("Kvalitetsgranskad:",Totalt!$B$1:$BU$1,0),FALSE)</f>
        <v>Ja</v>
      </c>
      <c r="E134" t="str">
        <f>VLOOKUP($B134,Miljö!$B$1:$AG$479,MATCH(E$1,Miljö!$B$1:$AK$1,0),FALSE)</f>
        <v>Ja</v>
      </c>
      <c r="F134" t="str">
        <f>VLOOKUP($B134,Miljö!$B$1:$J$479,MATCH("Typ av ursprungsspecificerad el   (Om inget värde anges används Nordisk residualmix, se inforuta) ()",Miljö!$B$1:$J$1,0),FALSE)</f>
        <v>'Vattenkraft'</v>
      </c>
      <c r="G134">
        <f>VLOOKUP($B134,Miljö!$B$1:$J$479,MATCH("Primärenergifaktor ()",Miljö!$B$1:$J$1,0),FALSE)</f>
        <v>1.1000000000000001</v>
      </c>
      <c r="H134">
        <f>VLOOKUP($B134,Miljö!$B$1:$J$479,MATCH("Koldioxidekvivalenter energiomvandling (g/kwh)",Miljö!$B$1:$J$1,0),FALSE)</f>
        <v>0</v>
      </c>
      <c r="I134">
        <f>VLOOKUP($B134,Miljö!$B$1:$J$479,MATCH("Fossilandel för ursprungspecificerad el ()",Miljö!$B$1:$J$1,0),FALSE)</f>
        <v>0</v>
      </c>
      <c r="J134">
        <f>VLOOKUP($B134,Miljö!$B$1:$J$479,MATCH("Kärnkraftsandel för ursprungsspecificerad el ()",Miljö!$B$1:$J$1,0),FALSE)</f>
        <v>0</v>
      </c>
      <c r="L134">
        <f>VLOOKUP($B134,Totalt!$B$1:$BU$497,MATCH("total el",Totalt!$B$1:$BU$1,0),FALSE)</f>
        <v>13.707100000000001</v>
      </c>
      <c r="N134">
        <f t="shared" si="8"/>
        <v>15.077810000000001</v>
      </c>
      <c r="O134">
        <f t="shared" si="9"/>
        <v>0</v>
      </c>
      <c r="P134">
        <f t="shared" si="10"/>
        <v>0</v>
      </c>
      <c r="Q134">
        <f t="shared" si="11"/>
        <v>0</v>
      </c>
    </row>
    <row r="135" spans="1:17" x14ac:dyDescent="0.45">
      <c r="A135" s="31" t="s">
        <v>507</v>
      </c>
      <c r="B135" s="31" t="s">
        <v>506</v>
      </c>
      <c r="C135" t="str">
        <f>VLOOKUP($B135,Totalt!$B$1:$BU$497,MATCH("Kvalitetsgranskad:",Totalt!$B$1:$BU$1,0),FALSE)</f>
        <v>Ja</v>
      </c>
      <c r="E135" t="str">
        <f>VLOOKUP($B135,Miljö!$B$1:$AG$479,MATCH(E$1,Miljö!$B$1:$AK$1,0),FALSE)</f>
        <v>Ja</v>
      </c>
      <c r="F135" t="str">
        <f>VLOOKUP($B135,Miljö!$B$1:$J$479,MATCH("Typ av ursprungsspecificerad el   (Om inget värde anges används Nordisk residualmix, se inforuta) ()",Miljö!$B$1:$J$1,0),FALSE)</f>
        <v>'Förnybar'</v>
      </c>
      <c r="G135">
        <f>VLOOKUP($B135,Miljö!$B$1:$J$479,MATCH("Primärenergifaktor ()",Miljö!$B$1:$J$1,0),FALSE)</f>
        <v>1.1000000000000001</v>
      </c>
      <c r="H135">
        <f>VLOOKUP($B135,Miljö!$B$1:$J$479,MATCH("Koldioxidekvivalenter energiomvandling (g/kwh)",Miljö!$B$1:$J$1,0),FALSE)</f>
        <v>0</v>
      </c>
      <c r="I135">
        <f>VLOOKUP($B135,Miljö!$B$1:$J$479,MATCH("Fossilandel för ursprungspecificerad el ()",Miljö!$B$1:$J$1,0),FALSE)</f>
        <v>0</v>
      </c>
      <c r="J135">
        <f>VLOOKUP($B135,Miljö!$B$1:$J$479,MATCH("Kärnkraftsandel för ursprungsspecificerad el ()",Miljö!$B$1:$J$1,0),FALSE)</f>
        <v>0</v>
      </c>
      <c r="L135">
        <f>VLOOKUP($B135,Totalt!$B$1:$BU$497,MATCH("total el",Totalt!$B$1:$BU$1,0),FALSE)</f>
        <v>26.802099999999999</v>
      </c>
      <c r="N135">
        <f t="shared" si="8"/>
        <v>29.482310000000002</v>
      </c>
      <c r="O135">
        <f t="shared" si="9"/>
        <v>0</v>
      </c>
      <c r="P135">
        <f t="shared" si="10"/>
        <v>0</v>
      </c>
      <c r="Q135">
        <f t="shared" si="11"/>
        <v>0</v>
      </c>
    </row>
    <row r="136" spans="1:17" x14ac:dyDescent="0.45">
      <c r="A136" s="31" t="s">
        <v>505</v>
      </c>
      <c r="B136" s="31" t="s">
        <v>504</v>
      </c>
      <c r="C136" t="str">
        <f>VLOOKUP($B136,Totalt!$B$1:$BU$497,MATCH("Kvalitetsgranskad:",Totalt!$B$1:$BU$1,0),FALSE)</f>
        <v>Ja</v>
      </c>
      <c r="E136" t="str">
        <f>VLOOKUP($B136,Miljö!$B$1:$AG$479,MATCH(E$1,Miljö!$B$1:$AK$1,0),FALSE)</f>
        <v>Ja</v>
      </c>
      <c r="F136" t="str">
        <f>VLOOKUP($B136,Miljö!$B$1:$J$479,MATCH("Typ av ursprungsspecificerad el   (Om inget värde anges används Nordisk residualmix, se inforuta) ()",Miljö!$B$1:$J$1,0),FALSE)</f>
        <v>'Förnybar'</v>
      </c>
      <c r="G136">
        <f>VLOOKUP($B136,Miljö!$B$1:$J$479,MATCH("Primärenergifaktor ()",Miljö!$B$1:$J$1,0),FALSE)</f>
        <v>1.43</v>
      </c>
      <c r="H136">
        <f>VLOOKUP($B136,Miljö!$B$1:$J$479,MATCH("Koldioxidekvivalenter energiomvandling (g/kwh)",Miljö!$B$1:$J$1,0),FALSE)</f>
        <v>0</v>
      </c>
      <c r="I136">
        <f>VLOOKUP($B136,Miljö!$B$1:$J$479,MATCH("Fossilandel för ursprungspecificerad el ()",Miljö!$B$1:$J$1,0),FALSE)</f>
        <v>0</v>
      </c>
      <c r="J136">
        <f>VLOOKUP($B136,Miljö!$B$1:$J$479,MATCH("Kärnkraftsandel för ursprungsspecificerad el ()",Miljö!$B$1:$J$1,0),FALSE)</f>
        <v>0</v>
      </c>
      <c r="L136">
        <f>VLOOKUP($B136,Totalt!$B$1:$BU$497,MATCH("total el",Totalt!$B$1:$BU$1,0),FALSE)</f>
        <v>2.09</v>
      </c>
      <c r="N136">
        <f t="shared" si="8"/>
        <v>2.9886999999999997</v>
      </c>
      <c r="O136">
        <f t="shared" si="9"/>
        <v>0</v>
      </c>
      <c r="P136">
        <f t="shared" si="10"/>
        <v>0</v>
      </c>
      <c r="Q136">
        <f t="shared" si="11"/>
        <v>0</v>
      </c>
    </row>
    <row r="137" spans="1:17" x14ac:dyDescent="0.45">
      <c r="A137" s="31" t="s">
        <v>502</v>
      </c>
      <c r="B137" s="31" t="s">
        <v>503</v>
      </c>
      <c r="C137" t="str">
        <f>VLOOKUP($B137,Totalt!$B$1:$BU$497,MATCH("Kvalitetsgranskad:",Totalt!$B$1:$BU$1,0),FALSE)</f>
        <v>Ja</v>
      </c>
      <c r="E137" t="str">
        <f>VLOOKUP($B137,Miljö!$B$1:$AG$479,MATCH(E$1,Miljö!$B$1:$AK$1,0),FALSE)</f>
        <v>Ja</v>
      </c>
      <c r="F137" t="str">
        <f>VLOOKUP($B137,Miljö!$B$1:$J$479,MATCH("Typ av ursprungsspecificerad el   (Om inget värde anges används Nordisk residualmix, se inforuta) ()",Miljö!$B$1:$J$1,0),FALSE)</f>
        <v>'Förnyelsebart'</v>
      </c>
      <c r="G137">
        <f>VLOOKUP($B137,Miljö!$B$1:$J$479,MATCH("Primärenergifaktor ()",Miljö!$B$1:$J$1,0),FALSE)</f>
        <v>1.1000000000000001</v>
      </c>
      <c r="H137">
        <f>VLOOKUP($B137,Miljö!$B$1:$J$479,MATCH("Koldioxidekvivalenter energiomvandling (g/kwh)",Miljö!$B$1:$J$1,0),FALSE)</f>
        <v>0</v>
      </c>
      <c r="I137">
        <f>VLOOKUP($B137,Miljö!$B$1:$J$479,MATCH("Fossilandel för ursprungspecificerad el ()",Miljö!$B$1:$J$1,0),FALSE)</f>
        <v>0</v>
      </c>
      <c r="J137">
        <f>VLOOKUP($B137,Miljö!$B$1:$J$479,MATCH("Kärnkraftsandel för ursprungsspecificerad el ()",Miljö!$B$1:$J$1,0),FALSE)</f>
        <v>0</v>
      </c>
      <c r="L137">
        <f>VLOOKUP($B137,Totalt!$B$1:$BU$497,MATCH("total el",Totalt!$B$1:$BU$1,0),FALSE)</f>
        <v>9.0904299999999996</v>
      </c>
      <c r="N137">
        <f t="shared" si="8"/>
        <v>9.9994730000000001</v>
      </c>
      <c r="O137">
        <f t="shared" si="9"/>
        <v>0</v>
      </c>
      <c r="P137">
        <f t="shared" si="10"/>
        <v>0</v>
      </c>
      <c r="Q137">
        <f t="shared" si="11"/>
        <v>0</v>
      </c>
    </row>
    <row r="138" spans="1:17" x14ac:dyDescent="0.45">
      <c r="A138" s="31" t="s">
        <v>502</v>
      </c>
      <c r="B138" s="31" t="s">
        <v>501</v>
      </c>
      <c r="C138" t="str">
        <f>VLOOKUP($B138,Totalt!$B$1:$BU$497,MATCH("Kvalitetsgranskad:",Totalt!$B$1:$BU$1,0),FALSE)</f>
        <v>Ja</v>
      </c>
      <c r="E138" t="str">
        <f>VLOOKUP($B138,Miljö!$B$1:$AG$479,MATCH(E$1,Miljö!$B$1:$AK$1,0),FALSE)</f>
        <v>Ja</v>
      </c>
      <c r="F138" t="str">
        <f>VLOOKUP($B138,Miljö!$B$1:$J$479,MATCH("Typ av ursprungsspecificerad el   (Om inget värde anges används Nordisk residualmix, se inforuta) ()",Miljö!$B$1:$J$1,0),FALSE)</f>
        <v>'Förnyelsebart (vattenkraft)'</v>
      </c>
      <c r="G138">
        <f>VLOOKUP($B138,Miljö!$B$1:$J$479,MATCH("Primärenergifaktor ()",Miljö!$B$1:$J$1,0),FALSE)</f>
        <v>1.1000000000000001</v>
      </c>
      <c r="H138">
        <f>VLOOKUP($B138,Miljö!$B$1:$J$479,MATCH("Koldioxidekvivalenter energiomvandling (g/kwh)",Miljö!$B$1:$J$1,0),FALSE)</f>
        <v>0</v>
      </c>
      <c r="I138">
        <f>VLOOKUP($B138,Miljö!$B$1:$J$479,MATCH("Fossilandel för ursprungspecificerad el ()",Miljö!$B$1:$J$1,0),FALSE)</f>
        <v>0</v>
      </c>
      <c r="J138">
        <f>VLOOKUP($B138,Miljö!$B$1:$J$479,MATCH("Kärnkraftsandel för ursprungsspecificerad el ()",Miljö!$B$1:$J$1,0),FALSE)</f>
        <v>0</v>
      </c>
      <c r="L138">
        <f>VLOOKUP($B138,Totalt!$B$1:$BU$497,MATCH("total el",Totalt!$B$1:$BU$1,0),FALSE)</f>
        <v>0.59399999999999997</v>
      </c>
      <c r="N138">
        <f t="shared" si="8"/>
        <v>0.65339999999999998</v>
      </c>
      <c r="O138">
        <f t="shared" si="9"/>
        <v>0</v>
      </c>
      <c r="P138">
        <f t="shared" si="10"/>
        <v>0</v>
      </c>
      <c r="Q138">
        <f t="shared" si="11"/>
        <v>0</v>
      </c>
    </row>
    <row r="139" spans="1:17" x14ac:dyDescent="0.45">
      <c r="A139" s="31" t="s">
        <v>498</v>
      </c>
      <c r="B139" s="31" t="s">
        <v>500</v>
      </c>
      <c r="C139" t="str">
        <f>VLOOKUP($B139,Totalt!$B$1:$BU$497,MATCH("Kvalitetsgranskad:",Totalt!$B$1:$BU$1,0),FALSE)</f>
        <v>Ja</v>
      </c>
      <c r="E139" t="str">
        <f>VLOOKUP($B139,Miljö!$B$1:$AG$479,MATCH(E$1,Miljö!$B$1:$AK$1,0),FALSE)</f>
        <v>Ja</v>
      </c>
      <c r="F139" t="str">
        <f>VLOOKUP($B139,Miljö!$B$1:$J$479,MATCH("Typ av ursprungsspecificerad el   (Om inget värde anges används Nordisk residualmix, se inforuta) ()",Miljö!$B$1:$J$1,0),FALSE)</f>
        <v>'biokraft. vindkraft. sol'</v>
      </c>
      <c r="G139">
        <f>VLOOKUP($B139,Miljö!$B$1:$J$479,MATCH("Primärenergifaktor ()",Miljö!$B$1:$J$1,0),FALSE)</f>
        <v>1.92</v>
      </c>
      <c r="H139">
        <f>VLOOKUP($B139,Miljö!$B$1:$J$479,MATCH("Koldioxidekvivalenter energiomvandling (g/kwh)",Miljö!$B$1:$J$1,0),FALSE)</f>
        <v>0</v>
      </c>
      <c r="I139">
        <f>VLOOKUP($B139,Miljö!$B$1:$J$479,MATCH("Fossilandel för ursprungspecificerad el ()",Miljö!$B$1:$J$1,0),FALSE)</f>
        <v>0</v>
      </c>
      <c r="J139">
        <f>VLOOKUP($B139,Miljö!$B$1:$J$479,MATCH("Kärnkraftsandel för ursprungsspecificerad el ()",Miljö!$B$1:$J$1,0),FALSE)</f>
        <v>0</v>
      </c>
      <c r="L139">
        <f>VLOOKUP($B139,Totalt!$B$1:$BU$497,MATCH("total el",Totalt!$B$1:$BU$1,0),FALSE)</f>
        <v>91.890999999999991</v>
      </c>
      <c r="N139">
        <f t="shared" si="8"/>
        <v>176.43071999999998</v>
      </c>
      <c r="O139">
        <f t="shared" si="9"/>
        <v>0</v>
      </c>
      <c r="P139">
        <f t="shared" si="10"/>
        <v>0</v>
      </c>
      <c r="Q139">
        <f t="shared" si="11"/>
        <v>0</v>
      </c>
    </row>
    <row r="140" spans="1:17" x14ac:dyDescent="0.45">
      <c r="A140" s="31" t="s">
        <v>498</v>
      </c>
      <c r="B140" s="31" t="s">
        <v>497</v>
      </c>
      <c r="C140" t="str">
        <f>VLOOKUP($B140,Totalt!$B$1:$BU$497,MATCH("Kvalitetsgranskad:",Totalt!$B$1:$BU$1,0),FALSE)</f>
        <v>Ja</v>
      </c>
      <c r="E140" t="str">
        <f>VLOOKUP($B140,Miljö!$B$1:$AG$479,MATCH(E$1,Miljö!$B$1:$AK$1,0),FALSE)</f>
        <v>Ja</v>
      </c>
      <c r="F140" t="str">
        <f>VLOOKUP($B140,Miljö!$B$1:$J$479,MATCH("Typ av ursprungsspecificerad el   (Om inget värde anges används Nordisk residualmix, se inforuta) ()",Miljö!$B$1:$J$1,0),FALSE)</f>
        <v>'biokraft. vind. sol'</v>
      </c>
      <c r="G140">
        <f>VLOOKUP($B140,Miljö!$B$1:$J$479,MATCH("Primärenergifaktor ()",Miljö!$B$1:$J$1,0),FALSE)</f>
        <v>1.92</v>
      </c>
      <c r="H140">
        <f>VLOOKUP($B140,Miljö!$B$1:$J$479,MATCH("Koldioxidekvivalenter energiomvandling (g/kwh)",Miljö!$B$1:$J$1,0),FALSE)</f>
        <v>0</v>
      </c>
      <c r="I140">
        <f>VLOOKUP($B140,Miljö!$B$1:$J$479,MATCH("Fossilandel för ursprungspecificerad el ()",Miljö!$B$1:$J$1,0),FALSE)</f>
        <v>0</v>
      </c>
      <c r="J140">
        <f>VLOOKUP($B140,Miljö!$B$1:$J$479,MATCH("Kärnkraftsandel för ursprungsspecificerad el ()",Miljö!$B$1:$J$1,0),FALSE)</f>
        <v>0</v>
      </c>
      <c r="L140">
        <f>VLOOKUP($B140,Totalt!$B$1:$BU$497,MATCH("total el",Totalt!$B$1:$BU$1,0),FALSE)</f>
        <v>1.8680000000000001</v>
      </c>
      <c r="N140">
        <f t="shared" si="8"/>
        <v>3.58656</v>
      </c>
      <c r="O140">
        <f t="shared" si="9"/>
        <v>0</v>
      </c>
      <c r="P140">
        <f t="shared" si="10"/>
        <v>0</v>
      </c>
      <c r="Q140">
        <f t="shared" si="11"/>
        <v>0</v>
      </c>
    </row>
    <row r="141" spans="1:17" x14ac:dyDescent="0.45">
      <c r="A141" s="31" t="s">
        <v>493</v>
      </c>
      <c r="B141" s="31" t="s">
        <v>496</v>
      </c>
      <c r="C141" t="str">
        <f>VLOOKUP($B141,Totalt!$B$1:$BU$497,MATCH("Kvalitetsgranskad:",Totalt!$B$1:$BU$1,0),FALSE)</f>
        <v>Ja</v>
      </c>
      <c r="E141" t="str">
        <f>VLOOKUP($B141,Miljö!$B$1:$AG$479,MATCH(E$1,Miljö!$B$1:$AK$1,0),FALSE)</f>
        <v>Ja</v>
      </c>
      <c r="F141" t="str">
        <f>VLOOKUP($B141,Miljö!$B$1:$J$479,MATCH("Typ av ursprungsspecificerad el   (Om inget värde anges används Nordisk residualmix, se inforuta) ()",Miljö!$B$1:$J$1,0),FALSE)</f>
        <v>'vattenkraft'</v>
      </c>
      <c r="G141">
        <f>VLOOKUP($B141,Miljö!$B$1:$J$479,MATCH("Primärenergifaktor ()",Miljö!$B$1:$J$1,0),FALSE)</f>
        <v>1.1000000000000001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VLOOKUP($B141,Totalt!$B$1:$BU$497,MATCH("total el",Totalt!$B$1:$BU$1,0),FALSE)</f>
        <v>2.1999999999999999E-2</v>
      </c>
      <c r="N141">
        <f t="shared" si="8"/>
        <v>2.4199999999999999E-2</v>
      </c>
      <c r="O141">
        <f t="shared" si="9"/>
        <v>0</v>
      </c>
      <c r="P141">
        <f t="shared" si="10"/>
        <v>0</v>
      </c>
      <c r="Q141">
        <f t="shared" si="11"/>
        <v>0</v>
      </c>
    </row>
    <row r="142" spans="1:17" x14ac:dyDescent="0.45">
      <c r="A142" s="31" t="s">
        <v>493</v>
      </c>
      <c r="B142" s="31" t="s">
        <v>495</v>
      </c>
      <c r="C142" t="str">
        <f>VLOOKUP($B142,Totalt!$B$1:$BU$497,MATCH("Kvalitetsgranskad:",Totalt!$B$1:$BU$1,0),FALSE)</f>
        <v>Ja</v>
      </c>
      <c r="E142" t="str">
        <f>VLOOKUP($B142,Miljö!$B$1:$AG$479,MATCH(E$1,Miljö!$B$1:$AK$1,0),FALSE)</f>
        <v>Ja</v>
      </c>
      <c r="F142" t="str">
        <f>VLOOKUP($B142,Miljö!$B$1:$J$479,MATCH("Typ av ursprungsspecificerad el   (Om inget värde anges används Nordisk residualmix, se inforuta) ()",Miljö!$B$1:$J$1,0),FALSE)</f>
        <v>'vattenkraft'</v>
      </c>
      <c r="G142">
        <f>VLOOKUP($B142,Miljö!$B$1:$J$479,MATCH("Primärenergifaktor ()",Miljö!$B$1:$J$1,0),FALSE)</f>
        <v>1.1000000000000001</v>
      </c>
      <c r="H142">
        <f>VLOOKUP($B142,Miljö!$B$1:$J$479,MATCH("Koldioxidekvivalenter energiomvandling (g/kwh)",Miljö!$B$1:$J$1,0),FALSE)</f>
        <v>0</v>
      </c>
      <c r="I142">
        <f>VLOOKUP($B142,Miljö!$B$1:$J$479,MATCH("Fossilandel för ursprungspecificerad el ()",Miljö!$B$1:$J$1,0),FALSE)</f>
        <v>0</v>
      </c>
      <c r="J142">
        <f>VLOOKUP($B142,Miljö!$B$1:$J$479,MATCH("Kärnkraftsandel för ursprungsspecificerad el ()",Miljö!$B$1:$J$1,0),FALSE)</f>
        <v>0</v>
      </c>
      <c r="L142">
        <f>VLOOKUP($B142,Totalt!$B$1:$BU$497,MATCH("total el",Totalt!$B$1:$BU$1,0),FALSE)</f>
        <v>2.3E-2</v>
      </c>
      <c r="N142">
        <f t="shared" si="8"/>
        <v>2.5300000000000003E-2</v>
      </c>
      <c r="O142">
        <f t="shared" si="9"/>
        <v>0</v>
      </c>
      <c r="P142">
        <f t="shared" si="10"/>
        <v>0</v>
      </c>
      <c r="Q142">
        <f t="shared" si="11"/>
        <v>0</v>
      </c>
    </row>
    <row r="143" spans="1:17" x14ac:dyDescent="0.45">
      <c r="A143" s="31" t="s">
        <v>493</v>
      </c>
      <c r="B143" s="31" t="s">
        <v>494</v>
      </c>
      <c r="C143" t="str">
        <f>VLOOKUP($B143,Totalt!$B$1:$BU$497,MATCH("Kvalitetsgranskad:",Totalt!$B$1:$BU$1,0),FALSE)</f>
        <v>Ja</v>
      </c>
      <c r="E143" t="str">
        <f>VLOOKUP($B143,Miljö!$B$1:$AG$479,MATCH(E$1,Miljö!$B$1:$AK$1,0),FALSE)</f>
        <v>Ja</v>
      </c>
      <c r="F143" t="str">
        <f>VLOOKUP($B143,Miljö!$B$1:$J$479,MATCH("Typ av ursprungsspecificerad el   (Om inget värde anges används Nordisk residualmix, se inforuta) ()",Miljö!$B$1:$J$1,0),FALSE)</f>
        <v>'vattenkraft'</v>
      </c>
      <c r="G143">
        <f>VLOOKUP($B143,Miljö!$B$1:$J$479,MATCH("Primärenergifaktor ()",Miljö!$B$1:$J$1,0),FALSE)</f>
        <v>1.1000000000000001</v>
      </c>
      <c r="H143">
        <f>VLOOKUP($B143,Miljö!$B$1:$J$479,MATCH("Koldioxidekvivalenter energiomvandling (g/kwh)",Miljö!$B$1:$J$1,0),FALSE)</f>
        <v>0</v>
      </c>
      <c r="I143">
        <f>VLOOKUP($B143,Miljö!$B$1:$J$479,MATCH("Fossilandel för ursprungspecificerad el ()",Miljö!$B$1:$J$1,0),FALSE)</f>
        <v>0</v>
      </c>
      <c r="J143">
        <f>VLOOKUP($B143,Miljö!$B$1:$J$479,MATCH("Kärnkraftsandel för ursprungsspecificerad el ()",Miljö!$B$1:$J$1,0),FALSE)</f>
        <v>0</v>
      </c>
      <c r="L143">
        <f>VLOOKUP($B143,Totalt!$B$1:$BU$497,MATCH("total el",Totalt!$B$1:$BU$1,0),FALSE)</f>
        <v>5.0999999999999997E-2</v>
      </c>
      <c r="N143">
        <f t="shared" si="8"/>
        <v>5.6100000000000004E-2</v>
      </c>
      <c r="O143">
        <f t="shared" si="9"/>
        <v>0</v>
      </c>
      <c r="P143">
        <f t="shared" si="10"/>
        <v>0</v>
      </c>
      <c r="Q143">
        <f t="shared" si="11"/>
        <v>0</v>
      </c>
    </row>
    <row r="144" spans="1:17" x14ac:dyDescent="0.45">
      <c r="A144" s="31" t="s">
        <v>493</v>
      </c>
      <c r="B144" s="31" t="s">
        <v>492</v>
      </c>
      <c r="C144" t="str">
        <f>VLOOKUP($B144,Totalt!$B$1:$BU$497,MATCH("Kvalitetsgranskad:",Totalt!$B$1:$BU$1,0),FALSE)</f>
        <v>Ja</v>
      </c>
      <c r="E144" t="str">
        <f>VLOOKUP($B144,Miljö!$B$1:$AG$479,MATCH(E$1,Miljö!$B$1:$AK$1,0),FALSE)</f>
        <v>Ja</v>
      </c>
      <c r="F144" t="str">
        <f>VLOOKUP($B144,Miljö!$B$1:$J$479,MATCH("Typ av ursprungsspecificerad el   (Om inget värde anges används Nordisk residualmix, se inforuta) ()",Miljö!$B$1:$J$1,0),FALSE)</f>
        <v>'vattenkraft'</v>
      </c>
      <c r="G144">
        <f>VLOOKUP($B144,Miljö!$B$1:$J$479,MATCH("Primärenergifaktor ()",Miljö!$B$1:$J$1,0),FALSE)</f>
        <v>1.1000000000000001</v>
      </c>
      <c r="H144">
        <f>VLOOKUP($B144,Miljö!$B$1:$J$479,MATCH("Koldioxidekvivalenter energiomvandling (g/kwh)",Miljö!$B$1:$J$1,0),FALSE)</f>
        <v>0</v>
      </c>
      <c r="I144">
        <f>VLOOKUP($B144,Miljö!$B$1:$J$479,MATCH("Fossilandel för ursprungspecificerad el ()",Miljö!$B$1:$J$1,0),FALSE)</f>
        <v>0</v>
      </c>
      <c r="J144">
        <f>VLOOKUP($B144,Miljö!$B$1:$J$479,MATCH("Kärnkraftsandel för ursprungsspecificerad el ()",Miljö!$B$1:$J$1,0),FALSE)</f>
        <v>0</v>
      </c>
      <c r="L144">
        <f>VLOOKUP($B144,Totalt!$B$1:$BU$497,MATCH("total el",Totalt!$B$1:$BU$1,0),FALSE)</f>
        <v>0.87436499999999995</v>
      </c>
      <c r="N144">
        <f t="shared" si="8"/>
        <v>0.96180149999999998</v>
      </c>
      <c r="O144">
        <f t="shared" si="9"/>
        <v>0</v>
      </c>
      <c r="P144">
        <f t="shared" si="10"/>
        <v>0</v>
      </c>
      <c r="Q144">
        <f t="shared" si="11"/>
        <v>0</v>
      </c>
    </row>
    <row r="145" spans="1:17" x14ac:dyDescent="0.45">
      <c r="A145" s="31" t="s">
        <v>490</v>
      </c>
      <c r="B145" s="31" t="s">
        <v>489</v>
      </c>
      <c r="C145" t="str">
        <f>VLOOKUP($B145,Totalt!$B$1:$BU$497,MATCH("Kvalitetsgranskad:",Totalt!$B$1:$BU$1,0),FALSE)</f>
        <v>Ja</v>
      </c>
      <c r="E145" t="str">
        <f>VLOOKUP($B145,Miljö!$B$1:$AG$479,MATCH(E$1,Miljö!$B$1:$AK$1,0),FALSE)</f>
        <v>Ja</v>
      </c>
      <c r="F145" t="str">
        <f>VLOOKUP($B145,Miljö!$B$1:$J$479,MATCH("Typ av ursprungsspecificerad el   (Om inget värde anges används Nordisk residualmix, se inforuta) ()",Miljö!$B$1:$J$1,0),FALSE)</f>
        <v>'Vattenkraft'</v>
      </c>
      <c r="G145">
        <f>VLOOKUP($B145,Miljö!$B$1:$J$479,MATCH("Primärenergifaktor ()",Miljö!$B$1:$J$1,0),FALSE)</f>
        <v>1.1000000000000001</v>
      </c>
      <c r="H145">
        <f>VLOOKUP($B145,Miljö!$B$1:$J$479,MATCH("Koldioxidekvivalenter energiomvandling (g/kwh)",Miljö!$B$1:$J$1,0),FALSE)</f>
        <v>0</v>
      </c>
      <c r="I145">
        <f>VLOOKUP($B145,Miljö!$B$1:$J$479,MATCH("Fossilandel för ursprungspecificerad el ()",Miljö!$B$1:$J$1,0),FALSE)</f>
        <v>0</v>
      </c>
      <c r="J145">
        <f>VLOOKUP($B145,Miljö!$B$1:$J$479,MATCH("Kärnkraftsandel för ursprungsspecificerad el ()",Miljö!$B$1:$J$1,0),FALSE)</f>
        <v>0</v>
      </c>
      <c r="L145">
        <f>VLOOKUP($B145,Totalt!$B$1:$BU$497,MATCH("total el",Totalt!$B$1:$BU$1,0),FALSE)</f>
        <v>9.2893000000000008</v>
      </c>
      <c r="N145">
        <f t="shared" si="8"/>
        <v>10.218230000000002</v>
      </c>
      <c r="O145">
        <f t="shared" si="9"/>
        <v>0</v>
      </c>
      <c r="P145">
        <f t="shared" si="10"/>
        <v>0</v>
      </c>
      <c r="Q145">
        <f t="shared" si="11"/>
        <v>0</v>
      </c>
    </row>
    <row r="146" spans="1:17" x14ac:dyDescent="0.45">
      <c r="A146" s="31" t="s">
        <v>480</v>
      </c>
      <c r="B146" s="31" t="s">
        <v>488</v>
      </c>
      <c r="C146" t="str">
        <f>VLOOKUP($B146,Totalt!$B$1:$BU$497,MATCH("Kvalitetsgranskad:",Totalt!$B$1:$BU$1,0),FALSE)</f>
        <v>Ja</v>
      </c>
      <c r="E146" t="str">
        <f>VLOOKUP($B146,Miljö!$B$1:$AG$479,MATCH(E$1,Miljö!$B$1:$AK$1,0),FALSE)</f>
        <v>Ja</v>
      </c>
      <c r="F146" t="str">
        <f>VLOOKUP($B146,Miljö!$B$1:$J$479,MATCH("Typ av ursprungsspecificerad el   (Om inget värde anges används Nordisk residualmix, se inforuta) ()",Miljö!$B$1:$J$1,0),FALSE)</f>
        <v>'Vattenkraft'</v>
      </c>
      <c r="G146">
        <f>VLOOKUP($B146,Miljö!$B$1:$J$479,MATCH("Primärenergifaktor ()",Miljö!$B$1:$J$1,0),FALSE)</f>
        <v>1</v>
      </c>
      <c r="H146">
        <f>VLOOKUP($B146,Miljö!$B$1:$J$479,MATCH("Koldioxidekvivalenter energiomvandling (g/kwh)",Miljö!$B$1:$J$1,0),FALSE)</f>
        <v>0</v>
      </c>
      <c r="I146">
        <f>VLOOKUP($B146,Miljö!$B$1:$J$479,MATCH("Fossilandel för ursprungspecificerad el ()",Miljö!$B$1:$J$1,0),FALSE)</f>
        <v>0</v>
      </c>
      <c r="J146">
        <f>VLOOKUP($B146,Miljö!$B$1:$J$479,MATCH("Kärnkraftsandel för ursprungsspecificerad el ()",Miljö!$B$1:$J$1,0),FALSE)</f>
        <v>0</v>
      </c>
      <c r="L146">
        <f>VLOOKUP($B146,Totalt!$B$1:$BU$497,MATCH("total el",Totalt!$B$1:$BU$1,0),FALSE)</f>
        <v>0.154</v>
      </c>
      <c r="N146">
        <f t="shared" si="8"/>
        <v>0.154</v>
      </c>
      <c r="O146">
        <f t="shared" si="9"/>
        <v>0</v>
      </c>
      <c r="P146">
        <f t="shared" si="10"/>
        <v>0</v>
      </c>
      <c r="Q146">
        <f t="shared" si="11"/>
        <v>0</v>
      </c>
    </row>
    <row r="147" spans="1:17" x14ac:dyDescent="0.45">
      <c r="A147" s="31" t="s">
        <v>480</v>
      </c>
      <c r="B147" s="31" t="s">
        <v>487</v>
      </c>
      <c r="C147" t="str">
        <f>VLOOKUP($B147,Totalt!$B$1:$BU$497,MATCH("Kvalitetsgranskad:",Totalt!$B$1:$BU$1,0),FALSE)</f>
        <v>Ja</v>
      </c>
      <c r="E147" t="str">
        <f>VLOOKUP($B147,Miljö!$B$1:$AG$479,MATCH(E$1,Miljö!$B$1:$AK$1,0),FALSE)</f>
        <v>Ja</v>
      </c>
      <c r="F147" t="str">
        <f>VLOOKUP($B147,Miljö!$B$1:$J$479,MATCH("Typ av ursprungsspecificerad el   (Om inget värde anges används Nordisk residualmix, se inforuta) ()",Miljö!$B$1:$J$1,0),FALSE)</f>
        <v>'Vattenkraft'</v>
      </c>
      <c r="G147">
        <f>VLOOKUP($B147,Miljö!$B$1:$J$479,MATCH("Primärenergifaktor ()",Miljö!$B$1:$J$1,0),FALSE)</f>
        <v>1</v>
      </c>
      <c r="H147">
        <f>VLOOKUP($B147,Miljö!$B$1:$J$479,MATCH("Koldioxidekvivalenter energiomvandling (g/kwh)",Miljö!$B$1:$J$1,0),FALSE)</f>
        <v>0</v>
      </c>
      <c r="I147">
        <f>VLOOKUP($B147,Miljö!$B$1:$J$479,MATCH("Fossilandel för ursprungspecificerad el ()",Miljö!$B$1:$J$1,0),FALSE)</f>
        <v>0</v>
      </c>
      <c r="J147">
        <f>VLOOKUP($B147,Miljö!$B$1:$J$479,MATCH("Kärnkraftsandel för ursprungsspecificerad el ()",Miljö!$B$1:$J$1,0),FALSE)</f>
        <v>0</v>
      </c>
      <c r="L147">
        <f>VLOOKUP($B147,Totalt!$B$1:$BU$497,MATCH("total el",Totalt!$B$1:$BU$1,0),FALSE)</f>
        <v>9.2999999999999999E-2</v>
      </c>
      <c r="N147">
        <f t="shared" si="8"/>
        <v>9.2999999999999999E-2</v>
      </c>
      <c r="O147">
        <f t="shared" si="9"/>
        <v>0</v>
      </c>
      <c r="P147">
        <f t="shared" si="10"/>
        <v>0</v>
      </c>
      <c r="Q147">
        <f t="shared" si="11"/>
        <v>0</v>
      </c>
    </row>
    <row r="148" spans="1:17" x14ac:dyDescent="0.45">
      <c r="A148" s="31" t="s">
        <v>480</v>
      </c>
      <c r="B148" s="31" t="s">
        <v>486</v>
      </c>
      <c r="C148" t="str">
        <f>VLOOKUP($B148,Totalt!$B$1:$BU$497,MATCH("Kvalitetsgranskad:",Totalt!$B$1:$BU$1,0),FALSE)</f>
        <v>Ja</v>
      </c>
      <c r="E148" t="str">
        <f>VLOOKUP($B148,Miljö!$B$1:$AG$479,MATCH(E$1,Miljö!$B$1:$AK$1,0),FALSE)</f>
        <v>Ja</v>
      </c>
      <c r="F148" t="str">
        <f>VLOOKUP($B148,Miljö!$B$1:$J$479,MATCH("Typ av ursprungsspecificerad el   (Om inget värde anges används Nordisk residualmix, se inforuta) ()",Miljö!$B$1:$J$1,0),FALSE)</f>
        <v>'vattenkraft'</v>
      </c>
      <c r="G148">
        <f>VLOOKUP($B148,Miljö!$B$1:$J$479,MATCH("Primärenergifaktor ()",Miljö!$B$1:$J$1,0),FALSE)</f>
        <v>1</v>
      </c>
      <c r="H148">
        <f>VLOOKUP($B148,Miljö!$B$1:$J$479,MATCH("Koldioxidekvivalenter energiomvandling (g/kwh)",Miljö!$B$1:$J$1,0),FALSE)</f>
        <v>0</v>
      </c>
      <c r="I148">
        <f>VLOOKUP($B148,Miljö!$B$1:$J$479,MATCH("Fossilandel för ursprungspecificerad el ()",Miljö!$B$1:$J$1,0),FALSE)</f>
        <v>0</v>
      </c>
      <c r="J148">
        <f>VLOOKUP($B148,Miljö!$B$1:$J$479,MATCH("Kärnkraftsandel för ursprungsspecificerad el ()",Miljö!$B$1:$J$1,0),FALSE)</f>
        <v>0</v>
      </c>
      <c r="L148">
        <f>VLOOKUP($B148,Totalt!$B$1:$BU$497,MATCH("total el",Totalt!$B$1:$BU$1,0),FALSE)</f>
        <v>0.24199999999999999</v>
      </c>
      <c r="N148">
        <f t="shared" si="8"/>
        <v>0.24199999999999999</v>
      </c>
      <c r="O148">
        <f t="shared" si="9"/>
        <v>0</v>
      </c>
      <c r="P148">
        <f t="shared" si="10"/>
        <v>0</v>
      </c>
      <c r="Q148">
        <f t="shared" si="11"/>
        <v>0</v>
      </c>
    </row>
    <row r="149" spans="1:17" x14ac:dyDescent="0.45">
      <c r="A149" s="31" t="s">
        <v>480</v>
      </c>
      <c r="B149" s="31" t="s">
        <v>485</v>
      </c>
      <c r="C149" t="str">
        <f>VLOOKUP($B149,Totalt!$B$1:$BU$497,MATCH("Kvalitetsgranskad:",Totalt!$B$1:$BU$1,0),FALSE)</f>
        <v>Ja</v>
      </c>
      <c r="E149" t="str">
        <f>VLOOKUP($B149,Miljö!$B$1:$AG$479,MATCH(E$1,Miljö!$B$1:$AK$1,0),FALSE)</f>
        <v>Ja</v>
      </c>
      <c r="F149" t="str">
        <f>VLOOKUP($B149,Miljö!$B$1:$J$479,MATCH("Typ av ursprungsspecificerad el   (Om inget värde anges används Nordisk residualmix, se inforuta) ()",Miljö!$B$1:$J$1,0),FALSE)</f>
        <v>'Vattenkraft'</v>
      </c>
      <c r="G149">
        <f>VLOOKUP($B149,Miljö!$B$1:$J$479,MATCH("Primärenergifaktor ()",Miljö!$B$1:$J$1,0),FALSE)</f>
        <v>1</v>
      </c>
      <c r="H149">
        <f>VLOOKUP($B149,Miljö!$B$1:$J$479,MATCH("Koldioxidekvivalenter energiomvandling (g/kwh)",Miljö!$B$1:$J$1,0),FALSE)</f>
        <v>0</v>
      </c>
      <c r="I149">
        <f>VLOOKUP($B149,Miljö!$B$1:$J$479,MATCH("Fossilandel för ursprungspecificerad el ()",Miljö!$B$1:$J$1,0),FALSE)</f>
        <v>0</v>
      </c>
      <c r="J149">
        <f>VLOOKUP($B149,Miljö!$B$1:$J$479,MATCH("Kärnkraftsandel för ursprungsspecificerad el ()",Miljö!$B$1:$J$1,0),FALSE)</f>
        <v>0</v>
      </c>
      <c r="L149">
        <f>VLOOKUP($B149,Totalt!$B$1:$BU$497,MATCH("total el",Totalt!$B$1:$BU$1,0),FALSE)</f>
        <v>0.113</v>
      </c>
      <c r="N149">
        <f t="shared" si="8"/>
        <v>0.113</v>
      </c>
      <c r="O149">
        <f t="shared" si="9"/>
        <v>0</v>
      </c>
      <c r="P149">
        <f t="shared" si="10"/>
        <v>0</v>
      </c>
      <c r="Q149">
        <f t="shared" si="11"/>
        <v>0</v>
      </c>
    </row>
    <row r="150" spans="1:17" x14ac:dyDescent="0.45">
      <c r="A150" s="31" t="s">
        <v>480</v>
      </c>
      <c r="B150" s="31" t="s">
        <v>484</v>
      </c>
      <c r="C150" t="str">
        <f>VLOOKUP($B150,Totalt!$B$1:$BU$497,MATCH("Kvalitetsgranskad:",Totalt!$B$1:$BU$1,0),FALSE)</f>
        <v>Ja</v>
      </c>
      <c r="E150" t="str">
        <f>VLOOKUP($B150,Miljö!$B$1:$AG$479,MATCH(E$1,Miljö!$B$1:$AK$1,0),FALSE)</f>
        <v>Ja</v>
      </c>
      <c r="F150" t="str">
        <f>VLOOKUP($B150,Miljö!$B$1:$J$479,MATCH("Typ av ursprungsspecificerad el   (Om inget värde anges används Nordisk residualmix, se inforuta) ()",Miljö!$B$1:$J$1,0),FALSE)</f>
        <v>'Vattenkraft'</v>
      </c>
      <c r="G150">
        <f>VLOOKUP($B150,Miljö!$B$1:$J$479,MATCH("Primärenergifaktor ()",Miljö!$B$1:$J$1,0),FALSE)</f>
        <v>1</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v>
      </c>
      <c r="L150">
        <f>VLOOKUP($B150,Totalt!$B$1:$BU$497,MATCH("total el",Totalt!$B$1:$BU$1,0),FALSE)</f>
        <v>0.27900000000000003</v>
      </c>
      <c r="N150">
        <f t="shared" si="8"/>
        <v>0.27900000000000003</v>
      </c>
      <c r="O150">
        <f t="shared" si="9"/>
        <v>0</v>
      </c>
      <c r="P150">
        <f t="shared" si="10"/>
        <v>0</v>
      </c>
      <c r="Q150">
        <f t="shared" si="11"/>
        <v>0</v>
      </c>
    </row>
    <row r="151" spans="1:17" x14ac:dyDescent="0.45">
      <c r="A151" s="31" t="s">
        <v>480</v>
      </c>
      <c r="B151" s="31" t="s">
        <v>483</v>
      </c>
      <c r="C151" t="str">
        <f>VLOOKUP($B151,Totalt!$B$1:$BU$497,MATCH("Kvalitetsgranskad:",Totalt!$B$1:$BU$1,0),FALSE)</f>
        <v>Ja</v>
      </c>
      <c r="E151" t="str">
        <f>VLOOKUP($B151,Miljö!$B$1:$AG$479,MATCH(E$1,Miljö!$B$1:$AK$1,0),FALSE)</f>
        <v>Ja</v>
      </c>
      <c r="F151" t="str">
        <f>VLOOKUP($B151,Miljö!$B$1:$J$479,MATCH("Typ av ursprungsspecificerad el   (Om inget värde anges används Nordisk residualmix, se inforuta) ()",Miljö!$B$1:$J$1,0),FALSE)</f>
        <v>'Vattenkraft'</v>
      </c>
      <c r="G151">
        <f>VLOOKUP($B151,Miljö!$B$1:$J$479,MATCH("Primärenergifaktor ()",Miljö!$B$1:$J$1,0),FALSE)</f>
        <v>1</v>
      </c>
      <c r="H151">
        <f>VLOOKUP($B151,Miljö!$B$1:$J$479,MATCH("Koldioxidekvivalenter energiomvandling (g/kwh)",Miljö!$B$1:$J$1,0),FALSE)</f>
        <v>0</v>
      </c>
      <c r="I151">
        <f>VLOOKUP($B151,Miljö!$B$1:$J$479,MATCH("Fossilandel för ursprungspecificerad el ()",Miljö!$B$1:$J$1,0),FALSE)</f>
        <v>0</v>
      </c>
      <c r="J151">
        <f>VLOOKUP($B151,Miljö!$B$1:$J$479,MATCH("Kärnkraftsandel för ursprungsspecificerad el ()",Miljö!$B$1:$J$1,0),FALSE)</f>
        <v>0</v>
      </c>
      <c r="L151">
        <f>VLOOKUP($B151,Totalt!$B$1:$BU$497,MATCH("total el",Totalt!$B$1:$BU$1,0),FALSE)</f>
        <v>0.504</v>
      </c>
      <c r="N151">
        <f t="shared" si="8"/>
        <v>0.504</v>
      </c>
      <c r="O151">
        <f t="shared" si="9"/>
        <v>0</v>
      </c>
      <c r="P151">
        <f t="shared" si="10"/>
        <v>0</v>
      </c>
      <c r="Q151">
        <f t="shared" si="11"/>
        <v>0</v>
      </c>
    </row>
    <row r="152" spans="1:17" x14ac:dyDescent="0.45">
      <c r="A152" s="31" t="s">
        <v>480</v>
      </c>
      <c r="B152" s="31" t="s">
        <v>481</v>
      </c>
      <c r="C152" t="str">
        <f>VLOOKUP($B152,Totalt!$B$1:$BU$497,MATCH("Kvalitetsgranskad:",Totalt!$B$1:$BU$1,0),FALSE)</f>
        <v>Ja</v>
      </c>
      <c r="E152" t="str">
        <f>VLOOKUP($B152,Miljö!$B$1:$AG$479,MATCH(E$1,Miljö!$B$1:$AK$1,0),FALSE)</f>
        <v>Ja</v>
      </c>
      <c r="F152" t="str">
        <f>VLOOKUP($B152,Miljö!$B$1:$J$479,MATCH("Typ av ursprungsspecificerad el   (Om inget värde anges används Nordisk residualmix, se inforuta) ()",Miljö!$B$1:$J$1,0),FALSE)</f>
        <v>'Vattenkraft'</v>
      </c>
      <c r="G152">
        <f>VLOOKUP($B152,Miljö!$B$1:$J$479,MATCH("Primärenergifaktor ()",Miljö!$B$1:$J$1,0),FALSE)</f>
        <v>1</v>
      </c>
      <c r="H152">
        <f>VLOOKUP($B152,Miljö!$B$1:$J$479,MATCH("Koldioxidekvivalenter energiomvandling (g/kwh)",Miljö!$B$1:$J$1,0),FALSE)</f>
        <v>0</v>
      </c>
      <c r="I152">
        <f>VLOOKUP($B152,Miljö!$B$1:$J$479,MATCH("Fossilandel för ursprungspecificerad el ()",Miljö!$B$1:$J$1,0),FALSE)</f>
        <v>0</v>
      </c>
      <c r="J152">
        <f>VLOOKUP($B152,Miljö!$B$1:$J$479,MATCH("Kärnkraftsandel för ursprungsspecificerad el ()",Miljö!$B$1:$J$1,0),FALSE)</f>
        <v>0</v>
      </c>
      <c r="L152">
        <f>VLOOKUP($B152,Totalt!$B$1:$BU$497,MATCH("total el",Totalt!$B$1:$BU$1,0),FALSE)</f>
        <v>0.224</v>
      </c>
      <c r="N152">
        <f t="shared" si="8"/>
        <v>0.224</v>
      </c>
      <c r="O152">
        <f t="shared" si="9"/>
        <v>0</v>
      </c>
      <c r="P152">
        <f t="shared" si="10"/>
        <v>0</v>
      </c>
      <c r="Q152">
        <f t="shared" si="11"/>
        <v>0</v>
      </c>
    </row>
    <row r="153" spans="1:17" x14ac:dyDescent="0.45">
      <c r="A153" s="31" t="s">
        <v>480</v>
      </c>
      <c r="B153" s="31" t="s">
        <v>479</v>
      </c>
      <c r="C153" t="str">
        <f>VLOOKUP($B153,Totalt!$B$1:$BU$497,MATCH("Kvalitetsgranskad:",Totalt!$B$1:$BU$1,0),FALSE)</f>
        <v>Ja</v>
      </c>
      <c r="E153" t="str">
        <f>VLOOKUP($B153,Miljö!$B$1:$AG$479,MATCH(E$1,Miljö!$B$1:$AK$1,0),FALSE)</f>
        <v>Ja</v>
      </c>
      <c r="F153" t="str">
        <f>VLOOKUP($B153,Miljö!$B$1:$J$479,MATCH("Typ av ursprungsspecificerad el   (Om inget värde anges används Nordisk residualmix, se inforuta) ()",Miljö!$B$1:$J$1,0),FALSE)</f>
        <v>'Vattenkraft'</v>
      </c>
      <c r="G153">
        <f>VLOOKUP($B153,Miljö!$B$1:$J$479,MATCH("Primärenergifaktor ()",Miljö!$B$1:$J$1,0),FALSE)</f>
        <v>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VLOOKUP($B153,Totalt!$B$1:$BU$497,MATCH("total el",Totalt!$B$1:$BU$1,0),FALSE)</f>
        <v>0.13500000000000001</v>
      </c>
      <c r="N153">
        <f t="shared" si="8"/>
        <v>0.13500000000000001</v>
      </c>
      <c r="O153">
        <f t="shared" si="9"/>
        <v>0</v>
      </c>
      <c r="P153">
        <f t="shared" si="10"/>
        <v>0</v>
      </c>
      <c r="Q153">
        <f t="shared" si="11"/>
        <v>0</v>
      </c>
    </row>
    <row r="154" spans="1:17" x14ac:dyDescent="0.45">
      <c r="A154" s="31" t="s">
        <v>480</v>
      </c>
      <c r="B154" s="31" t="s">
        <v>482</v>
      </c>
      <c r="C154" t="str">
        <f>VLOOKUP($B154,Totalt!$B$1:$BU$497,MATCH("Kvalitetsgranskad:",Totalt!$B$1:$BU$1,0),FALSE)</f>
        <v>Ja</v>
      </c>
      <c r="E154" t="str">
        <f>VLOOKUP($B154,Miljö!$B$1:$AG$479,MATCH(E$1,Miljö!$B$1:$AK$1,0),FALSE)</f>
        <v>Ja</v>
      </c>
      <c r="F154" t="str">
        <f>VLOOKUP($B154,Miljö!$B$1:$J$479,MATCH("Typ av ursprungsspecificerad el   (Om inget värde anges används Nordisk residualmix, se inforuta) ()",Miljö!$B$1:$J$1,0),FALSE)</f>
        <v>'Vattenkraft'</v>
      </c>
      <c r="G154">
        <f>VLOOKUP($B154,Miljö!$B$1:$J$479,MATCH("Primärenergifaktor ()",Miljö!$B$1:$J$1,0),FALSE)</f>
        <v>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v>
      </c>
      <c r="L154">
        <f>VLOOKUP($B154,Totalt!$B$1:$BU$497,MATCH("total el",Totalt!$B$1:$BU$1,0),FALSE)</f>
        <v>0.17799999999999999</v>
      </c>
      <c r="N154">
        <f t="shared" si="8"/>
        <v>0.17799999999999999</v>
      </c>
      <c r="O154">
        <f t="shared" si="9"/>
        <v>0</v>
      </c>
      <c r="P154">
        <f t="shared" si="10"/>
        <v>0</v>
      </c>
      <c r="Q154">
        <f t="shared" si="11"/>
        <v>0</v>
      </c>
    </row>
    <row r="155" spans="1:17" x14ac:dyDescent="0.45">
      <c r="A155" s="31" t="s">
        <v>478</v>
      </c>
      <c r="B155" s="31" t="s">
        <v>477</v>
      </c>
      <c r="C155" t="str">
        <f>VLOOKUP($B155,Totalt!$B$1:$BU$497,MATCH("Kvalitetsgranskad:",Totalt!$B$1:$BU$1,0),FALSE)</f>
        <v>Ja</v>
      </c>
      <c r="E155" t="str">
        <f>VLOOKUP($B155,Miljö!$B$1:$AG$479,MATCH(E$1,Miljö!$B$1:$AK$1,0),FALSE)</f>
        <v>Ja</v>
      </c>
      <c r="F155" t="str">
        <f>VLOOKUP($B155,Miljö!$B$1:$J$479,MATCH("Typ av ursprungsspecificerad el   (Om inget värde anges används Nordisk residualmix, se inforuta) ()",Miljö!$B$1:$J$1,0),FALSE)</f>
        <v>'100% Förnyelsebar'</v>
      </c>
      <c r="G155">
        <f>VLOOKUP($B155,Miljö!$B$1:$J$479,MATCH("Primärenergifaktor ()",Miljö!$B$1:$J$1,0),FALSE)</f>
        <v>1.1000000000000001</v>
      </c>
      <c r="H155">
        <f>VLOOKUP($B155,Miljö!$B$1:$J$479,MATCH("Koldioxidekvivalenter energiomvandling (g/kwh)",Miljö!$B$1:$J$1,0),FALSE)</f>
        <v>0</v>
      </c>
      <c r="I155">
        <f>VLOOKUP($B155,Miljö!$B$1:$J$479,MATCH("Fossilandel för ursprungspecificerad el ()",Miljö!$B$1:$J$1,0),FALSE)</f>
        <v>0</v>
      </c>
      <c r="J155">
        <f>VLOOKUP($B155,Miljö!$B$1:$J$479,MATCH("Kärnkraftsandel för ursprungsspecificerad el ()",Miljö!$B$1:$J$1,0),FALSE)</f>
        <v>0</v>
      </c>
      <c r="L155">
        <f>VLOOKUP($B155,Totalt!$B$1:$BU$497,MATCH("total el",Totalt!$B$1:$BU$1,0),FALSE)</f>
        <v>0.46800000000000003</v>
      </c>
      <c r="N155">
        <f t="shared" si="8"/>
        <v>0.51480000000000004</v>
      </c>
      <c r="O155">
        <f t="shared" si="9"/>
        <v>0</v>
      </c>
      <c r="P155">
        <f t="shared" si="10"/>
        <v>0</v>
      </c>
      <c r="Q155">
        <f t="shared" si="11"/>
        <v>0</v>
      </c>
    </row>
    <row r="156" spans="1:17" x14ac:dyDescent="0.45">
      <c r="A156" s="31" t="s">
        <v>476</v>
      </c>
      <c r="B156" s="31" t="s">
        <v>89</v>
      </c>
      <c r="C156" t="str">
        <f>VLOOKUP($B156,Totalt!$B$1:$BU$497,MATCH("Kvalitetsgranskad:",Totalt!$B$1:$BU$1,0),FALSE)</f>
        <v>Nej</v>
      </c>
      <c r="E156" t="str">
        <f>VLOOKUP($B156,Miljö!$B$1:$AG$479,MATCH(E$1,Miljö!$B$1:$AK$1,0),FALSE)</f>
        <v>Nej</v>
      </c>
      <c r="F156" t="str">
        <f>VLOOKUP($B156,Miljö!$B$1:$J$479,MATCH("Typ av ursprungsspecificerad el   (Om inget värde anges används Nordisk residualmix, se inforuta) ()",Miljö!$B$1:$J$1,0),FALSE)</f>
        <v>-</v>
      </c>
      <c r="G156" t="str">
        <f>VLOOKUP($B156,Miljö!$B$1:$J$479,MATCH("Primärenergifaktor ()",Miljö!$B$1:$J$1,0),FALSE)</f>
        <v>-</v>
      </c>
      <c r="H156" t="str">
        <f>VLOOKUP($B156,Miljö!$B$1:$J$479,MATCH("Koldioxidekvivalenter energiomvandling (g/kwh)",Miljö!$B$1:$J$1,0),FALSE)</f>
        <v>-</v>
      </c>
      <c r="I156" t="str">
        <f>VLOOKUP($B156,Miljö!$B$1:$J$479,MATCH("Fossilandel för ursprungspecificerad el ()",Miljö!$B$1:$J$1,0),FALSE)</f>
        <v>-</v>
      </c>
      <c r="J156" t="str">
        <f>VLOOKUP($B156,Miljö!$B$1:$J$479,MATCH("Kärnkraftsandel för ursprungsspecificerad el ()",Miljö!$B$1:$J$1,0),FALSE)</f>
        <v>-</v>
      </c>
      <c r="L156">
        <f>VLOOKUP($B156,Totalt!$B$1:$BU$497,MATCH("total el",Totalt!$B$1:$BU$1,0),FALSE)</f>
        <v>0</v>
      </c>
      <c r="N156" t="str">
        <f t="shared" si="8"/>
        <v/>
      </c>
      <c r="O156" t="str">
        <f t="shared" si="9"/>
        <v/>
      </c>
      <c r="P156" t="str">
        <f t="shared" si="10"/>
        <v/>
      </c>
      <c r="Q156" t="str">
        <f t="shared" si="11"/>
        <v/>
      </c>
    </row>
    <row r="157" spans="1:17" x14ac:dyDescent="0.45">
      <c r="A157" s="31" t="s">
        <v>472</v>
      </c>
      <c r="B157" s="31" t="s">
        <v>475</v>
      </c>
      <c r="C157" t="str">
        <f>VLOOKUP($B157,Totalt!$B$1:$BU$497,MATCH("Kvalitetsgranskad:",Totalt!$B$1:$BU$1,0),FALSE)</f>
        <v>Ja</v>
      </c>
      <c r="E157" t="str">
        <f>VLOOKUP($B157,Miljö!$B$1:$AG$479,MATCH(E$1,Miljö!$B$1:$AK$1,0),FALSE)</f>
        <v>Ja</v>
      </c>
      <c r="F157" t="str">
        <f>VLOOKUP($B157,Miljö!$B$1:$J$479,MATCH("Typ av ursprungsspecificerad el   (Om inget värde anges används Nordisk residualmix, se inforuta) ()",Miljö!$B$1:$J$1,0),FALSE)</f>
        <v>'Vattenkraft'</v>
      </c>
      <c r="G157">
        <f>VLOOKUP($B157,Miljö!$B$1:$J$479,MATCH("Primärenergifaktor ()",Miljö!$B$1:$J$1,0),FALSE)</f>
        <v>0.1</v>
      </c>
      <c r="H157">
        <f>VLOOKUP($B157,Miljö!$B$1:$J$479,MATCH("Koldioxidekvivalenter energiomvandling (g/kwh)",Miljö!$B$1:$J$1,0),FALSE)</f>
        <v>0</v>
      </c>
      <c r="I157">
        <f>VLOOKUP($B157,Miljö!$B$1:$J$479,MATCH("Fossilandel för ursprungspecificerad el ()",Miljö!$B$1:$J$1,0),FALSE)</f>
        <v>0</v>
      </c>
      <c r="J157">
        <f>VLOOKUP($B157,Miljö!$B$1:$J$479,MATCH("Kärnkraftsandel för ursprungsspecificerad el ()",Miljö!$B$1:$J$1,0),FALSE)</f>
        <v>0</v>
      </c>
      <c r="L157">
        <f>VLOOKUP($B157,Totalt!$B$1:$BU$497,MATCH("total el",Totalt!$B$1:$BU$1,0),FALSE)</f>
        <v>0.17199999999999999</v>
      </c>
      <c r="N157">
        <f t="shared" si="8"/>
        <v>1.72E-2</v>
      </c>
      <c r="O157">
        <f t="shared" si="9"/>
        <v>0</v>
      </c>
      <c r="P157">
        <f t="shared" si="10"/>
        <v>0</v>
      </c>
      <c r="Q157">
        <f t="shared" si="11"/>
        <v>0</v>
      </c>
    </row>
    <row r="158" spans="1:17" x14ac:dyDescent="0.45">
      <c r="A158" s="31" t="s">
        <v>472</v>
      </c>
      <c r="B158" s="31" t="s">
        <v>474</v>
      </c>
      <c r="C158" t="str">
        <f>VLOOKUP($B158,Totalt!$B$1:$BU$497,MATCH("Kvalitetsgranskad:",Totalt!$B$1:$BU$1,0),FALSE)</f>
        <v>Ja</v>
      </c>
      <c r="E158" t="str">
        <f>VLOOKUP($B158,Miljö!$B$1:$AG$479,MATCH(E$1,Miljö!$B$1:$AK$1,0),FALSE)</f>
        <v>Ja</v>
      </c>
      <c r="F158" t="str">
        <f>VLOOKUP($B158,Miljö!$B$1:$J$479,MATCH("Typ av ursprungsspecificerad el   (Om inget värde anges används Nordisk residualmix, se inforuta) ()",Miljö!$B$1:$J$1,0),FALSE)</f>
        <v>'Vattenkraft'</v>
      </c>
      <c r="G158">
        <f>VLOOKUP($B158,Miljö!$B$1:$J$479,MATCH("Primärenergifaktor ()",Miljö!$B$1:$J$1,0),FALSE)</f>
        <v>0.1</v>
      </c>
      <c r="H158">
        <f>VLOOKUP($B158,Miljö!$B$1:$J$479,MATCH("Koldioxidekvivalenter energiomvandling (g/kwh)",Miljö!$B$1:$J$1,0),FALSE)</f>
        <v>0</v>
      </c>
      <c r="I158">
        <f>VLOOKUP($B158,Miljö!$B$1:$J$479,MATCH("Fossilandel för ursprungspecificerad el ()",Miljö!$B$1:$J$1,0),FALSE)</f>
        <v>0</v>
      </c>
      <c r="J158">
        <f>VLOOKUP($B158,Miljö!$B$1:$J$479,MATCH("Kärnkraftsandel för ursprungsspecificerad el ()",Miljö!$B$1:$J$1,0),FALSE)</f>
        <v>0</v>
      </c>
      <c r="L158">
        <f>VLOOKUP($B158,Totalt!$B$1:$BU$497,MATCH("total el",Totalt!$B$1:$BU$1,0),FALSE)</f>
        <v>0.22600000000000001</v>
      </c>
      <c r="N158">
        <f t="shared" si="8"/>
        <v>2.2600000000000002E-2</v>
      </c>
      <c r="O158">
        <f t="shared" si="9"/>
        <v>0</v>
      </c>
      <c r="P158">
        <f t="shared" si="10"/>
        <v>0</v>
      </c>
      <c r="Q158">
        <f t="shared" si="11"/>
        <v>0</v>
      </c>
    </row>
    <row r="159" spans="1:17" x14ac:dyDescent="0.45">
      <c r="A159" s="31" t="s">
        <v>472</v>
      </c>
      <c r="B159" s="31" t="s">
        <v>473</v>
      </c>
      <c r="C159" t="str">
        <f>VLOOKUP($B159,Totalt!$B$1:$BU$497,MATCH("Kvalitetsgranskad:",Totalt!$B$1:$BU$1,0),FALSE)</f>
        <v>Ja</v>
      </c>
      <c r="E159" t="str">
        <f>VLOOKUP($B159,Miljö!$B$1:$AG$479,MATCH(E$1,Miljö!$B$1:$AK$1,0),FALSE)</f>
        <v>Ja</v>
      </c>
      <c r="F159" t="str">
        <f>VLOOKUP($B159,Miljö!$B$1:$J$479,MATCH("Typ av ursprungsspecificerad el   (Om inget värde anges används Nordisk residualmix, se inforuta) ()",Miljö!$B$1:$J$1,0),FALSE)</f>
        <v>'Vattenkraft'</v>
      </c>
      <c r="G159">
        <f>VLOOKUP($B159,Miljö!$B$1:$J$479,MATCH("Primärenergifaktor ()",Miljö!$B$1:$J$1,0),FALSE)</f>
        <v>0.1</v>
      </c>
      <c r="H159">
        <f>VLOOKUP($B159,Miljö!$B$1:$J$479,MATCH("Koldioxidekvivalenter energiomvandling (g/kwh)",Miljö!$B$1:$J$1,0),FALSE)</f>
        <v>0</v>
      </c>
      <c r="I159">
        <f>VLOOKUP($B159,Miljö!$B$1:$J$479,MATCH("Fossilandel för ursprungspecificerad el ()",Miljö!$B$1:$J$1,0),FALSE)</f>
        <v>0</v>
      </c>
      <c r="J159">
        <f>VLOOKUP($B159,Miljö!$B$1:$J$479,MATCH("Kärnkraftsandel för ursprungsspecificerad el ()",Miljö!$B$1:$J$1,0),FALSE)</f>
        <v>0</v>
      </c>
      <c r="L159">
        <f>VLOOKUP($B159,Totalt!$B$1:$BU$497,MATCH("total el",Totalt!$B$1:$BU$1,0),FALSE)</f>
        <v>0.63</v>
      </c>
      <c r="N159">
        <f t="shared" si="8"/>
        <v>6.3E-2</v>
      </c>
      <c r="O159">
        <f t="shared" si="9"/>
        <v>0</v>
      </c>
      <c r="P159">
        <f t="shared" si="10"/>
        <v>0</v>
      </c>
      <c r="Q159">
        <f t="shared" si="11"/>
        <v>0</v>
      </c>
    </row>
    <row r="160" spans="1:17" x14ac:dyDescent="0.45">
      <c r="A160" s="31" t="s">
        <v>472</v>
      </c>
      <c r="B160" s="31" t="s">
        <v>471</v>
      </c>
      <c r="C160" t="str">
        <f>VLOOKUP($B160,Totalt!$B$1:$BU$497,MATCH("Kvalitetsgranskad:",Totalt!$B$1:$BU$1,0),FALSE)</f>
        <v>Ja</v>
      </c>
      <c r="E160" t="str">
        <f>VLOOKUP($B160,Miljö!$B$1:$AG$479,MATCH(E$1,Miljö!$B$1:$AK$1,0),FALSE)</f>
        <v>Ja</v>
      </c>
      <c r="F160" t="str">
        <f>VLOOKUP($B160,Miljö!$B$1:$J$479,MATCH("Typ av ursprungsspecificerad el   (Om inget värde anges används Nordisk residualmix, se inforuta) ()",Miljö!$B$1:$J$1,0),FALSE)</f>
        <v>'Vattenkraft'</v>
      </c>
      <c r="G160">
        <f>VLOOKUP($B160,Miljö!$B$1:$J$479,MATCH("Primärenergifaktor ()",Miljö!$B$1:$J$1,0),FALSE)</f>
        <v>0.1</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VLOOKUP($B160,Totalt!$B$1:$BU$497,MATCH("total el",Totalt!$B$1:$BU$1,0),FALSE)</f>
        <v>3.2500000000000001E-2</v>
      </c>
      <c r="N160">
        <f t="shared" si="8"/>
        <v>3.2500000000000003E-3</v>
      </c>
      <c r="O160">
        <f t="shared" si="9"/>
        <v>0</v>
      </c>
      <c r="P160">
        <f t="shared" si="10"/>
        <v>0</v>
      </c>
      <c r="Q160">
        <f t="shared" si="11"/>
        <v>0</v>
      </c>
    </row>
    <row r="161" spans="1:17" x14ac:dyDescent="0.45">
      <c r="A161" s="31" t="s">
        <v>470</v>
      </c>
      <c r="B161" s="31" t="s">
        <v>469</v>
      </c>
      <c r="C161" t="str">
        <f>VLOOKUP($B161,Totalt!$B$1:$BU$497,MATCH("Kvalitetsgranskad:",Totalt!$B$1:$BU$1,0),FALSE)</f>
        <v>Ja</v>
      </c>
      <c r="E161" t="str">
        <f>VLOOKUP($B161,Miljö!$B$1:$AG$479,MATCH(E$1,Miljö!$B$1:$AK$1,0),FALSE)</f>
        <v>Ja</v>
      </c>
      <c r="F161" t="str">
        <f>VLOOKUP($B161,Miljö!$B$1:$J$479,MATCH("Typ av ursprungsspecificerad el   (Om inget värde anges används Nordisk residualmix, se inforuta) ()",Miljö!$B$1:$J$1,0),FALSE)</f>
        <v>-</v>
      </c>
      <c r="G161">
        <f>VLOOKUP($B161,Miljö!$B$1:$J$479,MATCH("Primärenergifaktor ()",Miljö!$B$1:$J$1,0),FALSE)</f>
        <v>2.2000000000000002</v>
      </c>
      <c r="H161">
        <f>VLOOKUP($B161,Miljö!$B$1:$J$479,MATCH("Koldioxidekvivalenter energiomvandling (g/kwh)",Miljö!$B$1:$J$1,0),FALSE)</f>
        <v>250.8</v>
      </c>
      <c r="I161">
        <f>VLOOKUP($B161,Miljö!$B$1:$J$479,MATCH("Fossilandel för ursprungspecificerad el ()",Miljö!$B$1:$J$1,0),FALSE)</f>
        <v>0.35</v>
      </c>
      <c r="J161">
        <f>VLOOKUP($B161,Miljö!$B$1:$J$479,MATCH("Kärnkraftsandel för ursprungsspecificerad el ()",Miljö!$B$1:$J$1,0),FALSE)</f>
        <v>0.3977</v>
      </c>
      <c r="L161">
        <f>VLOOKUP($B161,Totalt!$B$1:$BU$497,MATCH("total el",Totalt!$B$1:$BU$1,0),FALSE)</f>
        <v>1.26996</v>
      </c>
      <c r="N161">
        <f t="shared" si="8"/>
        <v>2.7939120000000002</v>
      </c>
      <c r="O161">
        <f t="shared" si="9"/>
        <v>318.505968</v>
      </c>
      <c r="P161">
        <f t="shared" si="10"/>
        <v>0.44448599999999994</v>
      </c>
      <c r="Q161">
        <f t="shared" si="11"/>
        <v>0.50506309199999999</v>
      </c>
    </row>
    <row r="162" spans="1:17" x14ac:dyDescent="0.45">
      <c r="A162" s="31" t="s">
        <v>467</v>
      </c>
      <c r="B162" s="31" t="s">
        <v>466</v>
      </c>
      <c r="C162" t="str">
        <f>VLOOKUP($B162,Totalt!$B$1:$BU$497,MATCH("Kvalitetsgranskad:",Totalt!$B$1:$BU$1,0),FALSE)</f>
        <v>Ja</v>
      </c>
      <c r="E162" t="str">
        <f>VLOOKUP($B162,Miljö!$B$1:$AG$479,MATCH(E$1,Miljö!$B$1:$AK$1,0),FALSE)</f>
        <v>Ja</v>
      </c>
      <c r="F162" t="str">
        <f>VLOOKUP($B162,Miljö!$B$1:$J$479,MATCH("Typ av ursprungsspecificerad el   (Om inget värde anges används Nordisk residualmix, se inforuta) ()",Miljö!$B$1:$J$1,0),FALSE)</f>
        <v>'Vattenkraft'</v>
      </c>
      <c r="G162">
        <f>VLOOKUP($B162,Miljö!$B$1:$J$479,MATCH("Primärenergifaktor ()",Miljö!$B$1:$J$1,0),FALSE)</f>
        <v>1.1000000000000001</v>
      </c>
      <c r="H162">
        <f>VLOOKUP($B162,Miljö!$B$1:$J$479,MATCH("Koldioxidekvivalenter energiomvandling (g/kwh)",Miljö!$B$1:$J$1,0),FALSE)</f>
        <v>0</v>
      </c>
      <c r="I162">
        <f>VLOOKUP($B162,Miljö!$B$1:$J$479,MATCH("Fossilandel för ursprungspecificerad el ()",Miljö!$B$1:$J$1,0),FALSE)</f>
        <v>0</v>
      </c>
      <c r="J162">
        <f>VLOOKUP($B162,Miljö!$B$1:$J$479,MATCH("Kärnkraftsandel för ursprungsspecificerad el ()",Miljö!$B$1:$J$1,0),FALSE)</f>
        <v>0</v>
      </c>
      <c r="L162">
        <f>VLOOKUP($B162,Totalt!$B$1:$BU$497,MATCH("total el",Totalt!$B$1:$BU$1,0),FALSE)</f>
        <v>6.5277000000000003</v>
      </c>
      <c r="N162">
        <f t="shared" si="8"/>
        <v>7.1804700000000006</v>
      </c>
      <c r="O162">
        <f t="shared" si="9"/>
        <v>0</v>
      </c>
      <c r="P162">
        <f t="shared" si="10"/>
        <v>0</v>
      </c>
      <c r="Q162">
        <f t="shared" si="11"/>
        <v>0</v>
      </c>
    </row>
    <row r="163" spans="1:17" x14ac:dyDescent="0.45">
      <c r="A163" s="31" t="s">
        <v>467</v>
      </c>
      <c r="B163" s="31" t="s">
        <v>468</v>
      </c>
      <c r="C163" t="str">
        <f>VLOOKUP($B163,Totalt!$B$1:$BU$497,MATCH("Kvalitetsgranskad:",Totalt!$B$1:$BU$1,0),FALSE)</f>
        <v>Ja</v>
      </c>
      <c r="E163" t="str">
        <f>VLOOKUP($B163,Miljö!$B$1:$AG$479,MATCH(E$1,Miljö!$B$1:$AK$1,0),FALSE)</f>
        <v>Ja</v>
      </c>
      <c r="F163" t="str">
        <f>VLOOKUP($B163,Miljö!$B$1:$J$479,MATCH("Typ av ursprungsspecificerad el   (Om inget värde anges används Nordisk residualmix, se inforuta) ()",Miljö!$B$1:$J$1,0),FALSE)</f>
        <v>'Vattenkraft'</v>
      </c>
      <c r="G163">
        <f>VLOOKUP($B163,Miljö!$B$1:$J$479,MATCH("Primärenergifaktor ()",Miljö!$B$1:$J$1,0),FALSE)</f>
        <v>1.1000000000000001</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VLOOKUP($B163,Totalt!$B$1:$BU$497,MATCH("total el",Totalt!$B$1:$BU$1,0),FALSE)</f>
        <v>27.361000000000001</v>
      </c>
      <c r="N163">
        <f t="shared" si="8"/>
        <v>30.097100000000005</v>
      </c>
      <c r="O163">
        <f t="shared" si="9"/>
        <v>0</v>
      </c>
      <c r="P163">
        <f t="shared" si="10"/>
        <v>0</v>
      </c>
      <c r="Q163">
        <f t="shared" si="11"/>
        <v>0</v>
      </c>
    </row>
    <row r="164" spans="1:17" x14ac:dyDescent="0.45">
      <c r="A164" s="31" t="s">
        <v>465</v>
      </c>
      <c r="B164" s="31" t="s">
        <v>464</v>
      </c>
      <c r="C164" t="str">
        <f>VLOOKUP($B164,Totalt!$B$1:$BU$497,MATCH("Kvalitetsgranskad:",Totalt!$B$1:$BU$1,0),FALSE)</f>
        <v>Ja</v>
      </c>
      <c r="E164" t="str">
        <f>VLOOKUP($B164,Miljö!$B$1:$AG$479,MATCH(E$1,Miljö!$B$1:$AK$1,0),FALSE)</f>
        <v>Ja</v>
      </c>
      <c r="F164" t="str">
        <f>VLOOKUP($B164,Miljö!$B$1:$J$479,MATCH("Typ av ursprungsspecificerad el   (Om inget värde anges används Nordisk residualmix, se inforuta) ()",Miljö!$B$1:$J$1,0),FALSE)</f>
        <v>-</v>
      </c>
      <c r="G164">
        <f>VLOOKUP($B164,Miljö!$B$1:$J$479,MATCH("Primärenergifaktor ()",Miljö!$B$1:$J$1,0),FALSE)</f>
        <v>2.2000000000000002</v>
      </c>
      <c r="H164">
        <f>VLOOKUP($B164,Miljö!$B$1:$J$479,MATCH("Koldioxidekvivalenter energiomvandling (g/kwh)",Miljö!$B$1:$J$1,0),FALSE)</f>
        <v>250.8</v>
      </c>
      <c r="I164">
        <f>VLOOKUP($B164,Miljö!$B$1:$J$479,MATCH("Fossilandel för ursprungspecificerad el ()",Miljö!$B$1:$J$1,0),FALSE)</f>
        <v>0.35</v>
      </c>
      <c r="J164">
        <f>VLOOKUP($B164,Miljö!$B$1:$J$479,MATCH("Kärnkraftsandel för ursprungsspecificerad el ()",Miljö!$B$1:$J$1,0),FALSE)</f>
        <v>0.3977</v>
      </c>
      <c r="L164">
        <f>VLOOKUP($B164,Totalt!$B$1:$BU$497,MATCH("total el",Totalt!$B$1:$BU$1,0),FALSE)</f>
        <v>0.35555999999999999</v>
      </c>
      <c r="N164">
        <f t="shared" si="8"/>
        <v>0.78223200000000004</v>
      </c>
      <c r="O164">
        <f t="shared" si="9"/>
        <v>89.174447999999998</v>
      </c>
      <c r="P164">
        <f t="shared" si="10"/>
        <v>0.12444599999999999</v>
      </c>
      <c r="Q164">
        <f t="shared" si="11"/>
        <v>0.141406212</v>
      </c>
    </row>
    <row r="165" spans="1:17" x14ac:dyDescent="0.45">
      <c r="A165" s="31" t="s">
        <v>459</v>
      </c>
      <c r="B165" s="31" t="s">
        <v>463</v>
      </c>
      <c r="C165" t="str">
        <f>VLOOKUP($B165,Totalt!$B$1:$BU$497,MATCH("Kvalitetsgranskad:",Totalt!$B$1:$BU$1,0),FALSE)</f>
        <v>Ja</v>
      </c>
      <c r="E165" t="str">
        <f>VLOOKUP($B165,Miljö!$B$1:$AG$479,MATCH(E$1,Miljö!$B$1:$AK$1,0),FALSE)</f>
        <v>Ja</v>
      </c>
      <c r="F165" t="str">
        <f>VLOOKUP($B165,Miljö!$B$1:$J$479,MATCH("Typ av ursprungsspecificerad el   (Om inget värde anges används Nordisk residualmix, se inforuta) ()",Miljö!$B$1:$J$1,0),FALSE)</f>
        <v>'Vattenkraft'</v>
      </c>
      <c r="G165">
        <f>VLOOKUP($B165,Miljö!$B$1:$J$479,MATCH("Primärenergifaktor ()",Miljö!$B$1:$J$1,0),FALSE)</f>
        <v>1.1000000000000001</v>
      </c>
      <c r="H165">
        <f>VLOOKUP($B165,Miljö!$B$1:$J$479,MATCH("Koldioxidekvivalenter energiomvandling (g/kwh)",Miljö!$B$1:$J$1,0),FALSE)</f>
        <v>0</v>
      </c>
      <c r="I165">
        <f>VLOOKUP($B165,Miljö!$B$1:$J$479,MATCH("Fossilandel för ursprungspecificerad el ()",Miljö!$B$1:$J$1,0),FALSE)</f>
        <v>0</v>
      </c>
      <c r="J165">
        <f>VLOOKUP($B165,Miljö!$B$1:$J$479,MATCH("Kärnkraftsandel för ursprungsspecificerad el ()",Miljö!$B$1:$J$1,0),FALSE)</f>
        <v>0</v>
      </c>
      <c r="L165">
        <f>VLOOKUP($B165,Totalt!$B$1:$BU$497,MATCH("total el",Totalt!$B$1:$BU$1,0),FALSE)</f>
        <v>8.4000000000000005E-2</v>
      </c>
      <c r="N165">
        <f t="shared" si="8"/>
        <v>9.240000000000001E-2</v>
      </c>
      <c r="O165">
        <f t="shared" si="9"/>
        <v>0</v>
      </c>
      <c r="P165">
        <f t="shared" si="10"/>
        <v>0</v>
      </c>
      <c r="Q165">
        <f t="shared" si="11"/>
        <v>0</v>
      </c>
    </row>
    <row r="166" spans="1:17" x14ac:dyDescent="0.45">
      <c r="A166" s="31" t="s">
        <v>459</v>
      </c>
      <c r="B166" s="31" t="s">
        <v>461</v>
      </c>
      <c r="C166" t="str">
        <f>VLOOKUP($B166,Totalt!$B$1:$BU$497,MATCH("Kvalitetsgranskad:",Totalt!$B$1:$BU$1,0),FALSE)</f>
        <v>Ja</v>
      </c>
      <c r="E166" t="str">
        <f>VLOOKUP($B166,Miljö!$B$1:$AG$479,MATCH(E$1,Miljö!$B$1:$AK$1,0),FALSE)</f>
        <v>Ja</v>
      </c>
      <c r="F166" t="str">
        <f>VLOOKUP($B166,Miljö!$B$1:$J$479,MATCH("Typ av ursprungsspecificerad el   (Om inget värde anges används Nordisk residualmix, se inforuta) ()",Miljö!$B$1:$J$1,0),FALSE)</f>
        <v>'Vattenkraft'</v>
      </c>
      <c r="G166">
        <f>VLOOKUP($B166,Miljö!$B$1:$J$479,MATCH("Primärenergifaktor ()",Miljö!$B$1:$J$1,0),FALSE)</f>
        <v>1.1000000000000001</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v>
      </c>
      <c r="L166">
        <f>VLOOKUP($B166,Totalt!$B$1:$BU$497,MATCH("total el",Totalt!$B$1:$BU$1,0),FALSE)</f>
        <v>3.0279999999999996</v>
      </c>
      <c r="N166">
        <f t="shared" si="8"/>
        <v>3.3308</v>
      </c>
      <c r="O166">
        <f t="shared" si="9"/>
        <v>0</v>
      </c>
      <c r="P166">
        <f t="shared" si="10"/>
        <v>0</v>
      </c>
      <c r="Q166">
        <f t="shared" si="11"/>
        <v>0</v>
      </c>
    </row>
    <row r="167" spans="1:17" x14ac:dyDescent="0.45">
      <c r="A167" s="31" t="s">
        <v>459</v>
      </c>
      <c r="B167" s="31" t="s">
        <v>460</v>
      </c>
      <c r="C167" t="str">
        <f>VLOOKUP($B167,Totalt!$B$1:$BU$497,MATCH("Kvalitetsgranskad:",Totalt!$B$1:$BU$1,0),FALSE)</f>
        <v>Nej</v>
      </c>
      <c r="E167" t="str">
        <f>VLOOKUP($B167,Miljö!$B$1:$AG$479,MATCH(E$1,Miljö!$B$1:$AK$1,0),FALSE)</f>
        <v>Ja</v>
      </c>
      <c r="F167" t="str">
        <f>VLOOKUP($B167,Miljö!$B$1:$J$479,MATCH("Typ av ursprungsspecificerad el   (Om inget värde anges används Nordisk residualmix, se inforuta) ()",Miljö!$B$1:$J$1,0),FALSE)</f>
        <v>'Vattenkraft'</v>
      </c>
      <c r="G167">
        <f>VLOOKUP($B167,Miljö!$B$1:$J$479,MATCH("Primärenergifaktor ()",Miljö!$B$1:$J$1,0),FALSE)</f>
        <v>1.1000000000000001</v>
      </c>
      <c r="H167">
        <f>VLOOKUP($B167,Miljö!$B$1:$J$479,MATCH("Koldioxidekvivalenter energiomvandling (g/kwh)",Miljö!$B$1:$J$1,0),FALSE)</f>
        <v>0</v>
      </c>
      <c r="I167">
        <f>VLOOKUP($B167,Miljö!$B$1:$J$479,MATCH("Fossilandel för ursprungspecificerad el ()",Miljö!$B$1:$J$1,0),FALSE)</f>
        <v>0</v>
      </c>
      <c r="J167">
        <f>VLOOKUP($B167,Miljö!$B$1:$J$479,MATCH("Kärnkraftsandel för ursprungsspecificerad el ()",Miljö!$B$1:$J$1,0),FALSE)</f>
        <v>0</v>
      </c>
      <c r="L167">
        <f>VLOOKUP($B167,Totalt!$B$1:$BU$497,MATCH("total el",Totalt!$B$1:$BU$1,0),FALSE)</f>
        <v>0</v>
      </c>
      <c r="N167">
        <f t="shared" si="8"/>
        <v>0</v>
      </c>
      <c r="O167">
        <f t="shared" si="9"/>
        <v>0</v>
      </c>
      <c r="P167">
        <f t="shared" si="10"/>
        <v>0</v>
      </c>
      <c r="Q167">
        <f t="shared" si="11"/>
        <v>0</v>
      </c>
    </row>
    <row r="168" spans="1:17" x14ac:dyDescent="0.45">
      <c r="A168" s="31" t="s">
        <v>459</v>
      </c>
      <c r="B168" s="31" t="s">
        <v>458</v>
      </c>
      <c r="C168" t="str">
        <f>VLOOKUP($B168,Totalt!$B$1:$BU$497,MATCH("Kvalitetsgranskad:",Totalt!$B$1:$BU$1,0),FALSE)</f>
        <v>Ja</v>
      </c>
      <c r="E168" t="str">
        <f>VLOOKUP($B168,Miljö!$B$1:$AG$479,MATCH(E$1,Miljö!$B$1:$AK$1,0),FALSE)</f>
        <v>Ja</v>
      </c>
      <c r="F168" t="str">
        <f>VLOOKUP($B168,Miljö!$B$1:$J$479,MATCH("Typ av ursprungsspecificerad el   (Om inget värde anges används Nordisk residualmix, se inforuta) ()",Miljö!$B$1:$J$1,0),FALSE)</f>
        <v>'Vattenkraft'</v>
      </c>
      <c r="G168">
        <f>VLOOKUP($B168,Miljö!$B$1:$J$479,MATCH("Primärenergifaktor ()",Miljö!$B$1:$J$1,0),FALSE)</f>
        <v>1.1000000000000001</v>
      </c>
      <c r="H168">
        <f>VLOOKUP($B168,Miljö!$B$1:$J$479,MATCH("Koldioxidekvivalenter energiomvandling (g/kwh)",Miljö!$B$1:$J$1,0),FALSE)</f>
        <v>0</v>
      </c>
      <c r="I168">
        <f>VLOOKUP($B168,Miljö!$B$1:$J$479,MATCH("Fossilandel för ursprungspecificerad el ()",Miljö!$B$1:$J$1,0),FALSE)</f>
        <v>0</v>
      </c>
      <c r="J168">
        <f>VLOOKUP($B168,Miljö!$B$1:$J$479,MATCH("Kärnkraftsandel för ursprungsspecificerad el ()",Miljö!$B$1:$J$1,0),FALSE)</f>
        <v>0</v>
      </c>
      <c r="L168">
        <f>VLOOKUP($B168,Totalt!$B$1:$BU$497,MATCH("total el",Totalt!$B$1:$BU$1,0),FALSE)</f>
        <v>3.1E-2</v>
      </c>
      <c r="N168">
        <f t="shared" si="8"/>
        <v>3.4100000000000005E-2</v>
      </c>
      <c r="O168">
        <f t="shared" si="9"/>
        <v>0</v>
      </c>
      <c r="P168">
        <f t="shared" si="10"/>
        <v>0</v>
      </c>
      <c r="Q168">
        <f t="shared" si="11"/>
        <v>0</v>
      </c>
    </row>
    <row r="169" spans="1:17" x14ac:dyDescent="0.45">
      <c r="A169" s="31" t="s">
        <v>459</v>
      </c>
      <c r="B169" s="31" t="s">
        <v>462</v>
      </c>
      <c r="C169" t="str">
        <f>VLOOKUP($B169,Totalt!$B$1:$BU$497,MATCH("Kvalitetsgranskad:",Totalt!$B$1:$BU$1,0),FALSE)</f>
        <v>Ja</v>
      </c>
      <c r="E169" t="str">
        <f>VLOOKUP($B169,Miljö!$B$1:$AG$479,MATCH(E$1,Miljö!$B$1:$AK$1,0),FALSE)</f>
        <v>Ja</v>
      </c>
      <c r="F169" t="str">
        <f>VLOOKUP($B169,Miljö!$B$1:$J$479,MATCH("Typ av ursprungsspecificerad el   (Om inget värde anges används Nordisk residualmix, se inforuta) ()",Miljö!$B$1:$J$1,0),FALSE)</f>
        <v>'Vattenkraft'</v>
      </c>
      <c r="G169">
        <f>VLOOKUP($B169,Miljö!$B$1:$J$479,MATCH("Primärenergifaktor ()",Miljö!$B$1:$J$1,0),FALSE)</f>
        <v>1.1000000000000001</v>
      </c>
      <c r="H169">
        <f>VLOOKUP($B169,Miljö!$B$1:$J$479,MATCH("Koldioxidekvivalenter energiomvandling (g/kwh)",Miljö!$B$1:$J$1,0),FALSE)</f>
        <v>0</v>
      </c>
      <c r="I169">
        <f>VLOOKUP($B169,Miljö!$B$1:$J$479,MATCH("Fossilandel för ursprungspecificerad el ()",Miljö!$B$1:$J$1,0),FALSE)</f>
        <v>0</v>
      </c>
      <c r="J169">
        <f>VLOOKUP($B169,Miljö!$B$1:$J$479,MATCH("Kärnkraftsandel för ursprungsspecificerad el ()",Miljö!$B$1:$J$1,0),FALSE)</f>
        <v>0</v>
      </c>
      <c r="L169">
        <f>VLOOKUP($B169,Totalt!$B$1:$BU$497,MATCH("total el",Totalt!$B$1:$BU$1,0),FALSE)</f>
        <v>0.21</v>
      </c>
      <c r="N169">
        <f t="shared" si="8"/>
        <v>0.23100000000000001</v>
      </c>
      <c r="O169">
        <f t="shared" si="9"/>
        <v>0</v>
      </c>
      <c r="P169">
        <f t="shared" si="10"/>
        <v>0</v>
      </c>
      <c r="Q169">
        <f t="shared" si="11"/>
        <v>0</v>
      </c>
    </row>
    <row r="170" spans="1:17" x14ac:dyDescent="0.45">
      <c r="A170" s="31" t="s">
        <v>457</v>
      </c>
      <c r="B170" s="31" t="s">
        <v>456</v>
      </c>
      <c r="C170" t="str">
        <f>VLOOKUP($B170,Totalt!$B$1:$BU$497,MATCH("Kvalitetsgranskad:",Totalt!$B$1:$BU$1,0),FALSE)</f>
        <v>Ja</v>
      </c>
      <c r="E170" t="str">
        <f>VLOOKUP($B170,Miljö!$B$1:$AG$479,MATCH(E$1,Miljö!$B$1:$AK$1,0),FALSE)</f>
        <v>Ja</v>
      </c>
      <c r="F170" t="str">
        <f>VLOOKUP($B170,Miljö!$B$1:$J$479,MATCH("Typ av ursprungsspecificerad el   (Om inget värde anges används Nordisk residualmix, se inforuta) ()",Miljö!$B$1:$J$1,0),FALSE)</f>
        <v>'Egen fossilfri'</v>
      </c>
      <c r="G170">
        <f>VLOOKUP($B170,Miljö!$B$1:$J$479,MATCH("Primärenergifaktor ()",Miljö!$B$1:$J$1,0),FALSE)</f>
        <v>1.1000000000000001</v>
      </c>
      <c r="H170">
        <f>VLOOKUP($B170,Miljö!$B$1:$J$479,MATCH("Koldioxidekvivalenter energiomvandling (g/kwh)",Miljö!$B$1:$J$1,0),FALSE)</f>
        <v>110</v>
      </c>
      <c r="I170">
        <f>VLOOKUP($B170,Miljö!$B$1:$J$479,MATCH("Fossilandel för ursprungspecificerad el ()",Miljö!$B$1:$J$1,0),FALSE)</f>
        <v>0</v>
      </c>
      <c r="J170">
        <f>VLOOKUP($B170,Miljö!$B$1:$J$479,MATCH("Kärnkraftsandel för ursprungsspecificerad el ()",Miljö!$B$1:$J$1,0),FALSE)</f>
        <v>0</v>
      </c>
      <c r="L170">
        <f>VLOOKUP($B170,Totalt!$B$1:$BU$497,MATCH("total el",Totalt!$B$1:$BU$1,0),FALSE)</f>
        <v>4.4370000000000003</v>
      </c>
      <c r="N170">
        <f t="shared" si="8"/>
        <v>4.8807000000000009</v>
      </c>
      <c r="O170">
        <f t="shared" si="9"/>
        <v>488.07000000000005</v>
      </c>
      <c r="P170">
        <f t="shared" si="10"/>
        <v>0</v>
      </c>
      <c r="Q170">
        <f t="shared" si="11"/>
        <v>0</v>
      </c>
    </row>
    <row r="171" spans="1:17" x14ac:dyDescent="0.45">
      <c r="A171" s="31" t="s">
        <v>453</v>
      </c>
      <c r="B171" s="31" t="s">
        <v>455</v>
      </c>
      <c r="C171" t="str">
        <f>VLOOKUP($B171,Totalt!$B$1:$BU$497,MATCH("Kvalitetsgranskad:",Totalt!$B$1:$BU$1,0),FALSE)</f>
        <v>Ja</v>
      </c>
      <c r="E171" t="str">
        <f>VLOOKUP($B171,Miljö!$B$1:$AG$479,MATCH(E$1,Miljö!$B$1:$AK$1,0),FALSE)</f>
        <v>Ja</v>
      </c>
      <c r="F171" t="str">
        <f>VLOOKUP($B171,Miljö!$B$1:$J$479,MATCH("Typ av ursprungsspecificerad el   (Om inget värde anges används Nordisk residualmix, se inforuta) ()",Miljö!$B$1:$J$1,0),FALSE)</f>
        <v>-</v>
      </c>
      <c r="G171">
        <f>VLOOKUP($B171,Miljö!$B$1:$J$479,MATCH("Primärenergifaktor ()",Miljö!$B$1:$J$1,0),FALSE)</f>
        <v>2.2000000000000002</v>
      </c>
      <c r="H171">
        <f>VLOOKUP($B171,Miljö!$B$1:$J$479,MATCH("Koldioxidekvivalenter energiomvandling (g/kwh)",Miljö!$B$1:$J$1,0),FALSE)</f>
        <v>250.8</v>
      </c>
      <c r="I171">
        <f>VLOOKUP($B171,Miljö!$B$1:$J$479,MATCH("Fossilandel för ursprungspecificerad el ()",Miljö!$B$1:$J$1,0),FALSE)</f>
        <v>0.35</v>
      </c>
      <c r="J171">
        <f>VLOOKUP($B171,Miljö!$B$1:$J$479,MATCH("Kärnkraftsandel för ursprungsspecificerad el ()",Miljö!$B$1:$J$1,0),FALSE)</f>
        <v>0.3977</v>
      </c>
      <c r="L171">
        <f>VLOOKUP($B171,Totalt!$B$1:$BU$497,MATCH("total el",Totalt!$B$1:$BU$1,0),FALSE)</f>
        <v>0.16300000000000001</v>
      </c>
      <c r="N171">
        <f t="shared" si="8"/>
        <v>0.35860000000000003</v>
      </c>
      <c r="O171">
        <f t="shared" si="9"/>
        <v>40.880400000000002</v>
      </c>
      <c r="P171">
        <f t="shared" si="10"/>
        <v>5.7049999999999997E-2</v>
      </c>
      <c r="Q171">
        <f t="shared" si="11"/>
        <v>6.4825099999999997E-2</v>
      </c>
    </row>
    <row r="172" spans="1:17" x14ac:dyDescent="0.45">
      <c r="A172" s="31" t="s">
        <v>453</v>
      </c>
      <c r="B172" s="31" t="s">
        <v>454</v>
      </c>
      <c r="C172" t="str">
        <f>VLOOKUP($B172,Totalt!$B$1:$BU$497,MATCH("Kvalitetsgranskad:",Totalt!$B$1:$BU$1,0),FALSE)</f>
        <v>Ja</v>
      </c>
      <c r="E172" t="str">
        <f>VLOOKUP($B172,Miljö!$B$1:$AG$479,MATCH(E$1,Miljö!$B$1:$AK$1,0),FALSE)</f>
        <v>Ja</v>
      </c>
      <c r="F172" t="str">
        <f>VLOOKUP($B172,Miljö!$B$1:$J$479,MATCH("Typ av ursprungsspecificerad el   (Om inget värde anges används Nordisk residualmix, se inforuta) ()",Miljö!$B$1:$J$1,0),FALSE)</f>
        <v>'Vattenkraft'</v>
      </c>
      <c r="G172">
        <f>VLOOKUP($B172,Miljö!$B$1:$J$479,MATCH("Primärenergifaktor ()",Miljö!$B$1:$J$1,0),FALSE)</f>
        <v>1.1000000000000001</v>
      </c>
      <c r="H172">
        <f>VLOOKUP($B172,Miljö!$B$1:$J$479,MATCH("Koldioxidekvivalenter energiomvandling (g/kwh)",Miljö!$B$1:$J$1,0),FALSE)</f>
        <v>0</v>
      </c>
      <c r="I172">
        <f>VLOOKUP($B172,Miljö!$B$1:$J$479,MATCH("Fossilandel för ursprungspecificerad el ()",Miljö!$B$1:$J$1,0),FALSE)</f>
        <v>0</v>
      </c>
      <c r="J172">
        <f>VLOOKUP($B172,Miljö!$B$1:$J$479,MATCH("Kärnkraftsandel för ursprungsspecificerad el ()",Miljö!$B$1:$J$1,0),FALSE)</f>
        <v>0</v>
      </c>
      <c r="L172">
        <f>VLOOKUP($B172,Totalt!$B$1:$BU$497,MATCH("total el",Totalt!$B$1:$BU$1,0),FALSE)</f>
        <v>0.4</v>
      </c>
      <c r="N172">
        <f t="shared" si="8"/>
        <v>0.44000000000000006</v>
      </c>
      <c r="O172">
        <f t="shared" si="9"/>
        <v>0</v>
      </c>
      <c r="P172">
        <f t="shared" si="10"/>
        <v>0</v>
      </c>
      <c r="Q172">
        <f t="shared" si="11"/>
        <v>0</v>
      </c>
    </row>
    <row r="173" spans="1:17" x14ac:dyDescent="0.45">
      <c r="A173" s="31" t="s">
        <v>453</v>
      </c>
      <c r="B173" s="31" t="s">
        <v>452</v>
      </c>
      <c r="C173" t="str">
        <f>VLOOKUP($B173,Totalt!$B$1:$BU$497,MATCH("Kvalitetsgranskad:",Totalt!$B$1:$BU$1,0),FALSE)</f>
        <v>Ja</v>
      </c>
      <c r="E173" t="str">
        <f>VLOOKUP($B173,Miljö!$B$1:$AG$479,MATCH(E$1,Miljö!$B$1:$AK$1,0),FALSE)</f>
        <v>Ja</v>
      </c>
      <c r="F173" t="str">
        <f>VLOOKUP($B173,Miljö!$B$1:$J$479,MATCH("Typ av ursprungsspecificerad el   (Om inget värde anges används Nordisk residualmix, se inforuta) ()",Miljö!$B$1:$J$1,0),FALSE)</f>
        <v>'Vattenkraft'</v>
      </c>
      <c r="G173">
        <f>VLOOKUP($B173,Miljö!$B$1:$J$479,MATCH("Primärenergifaktor ()",Miljö!$B$1:$J$1,0),FALSE)</f>
        <v>1.1000000000000001</v>
      </c>
      <c r="H173">
        <f>VLOOKUP($B173,Miljö!$B$1:$J$479,MATCH("Koldioxidekvivalenter energiomvandling (g/kwh)",Miljö!$B$1:$J$1,0),FALSE)</f>
        <v>0</v>
      </c>
      <c r="I173">
        <f>VLOOKUP($B173,Miljö!$B$1:$J$479,MATCH("Fossilandel för ursprungspecificerad el ()",Miljö!$B$1:$J$1,0),FALSE)</f>
        <v>0</v>
      </c>
      <c r="J173">
        <f>VLOOKUP($B173,Miljö!$B$1:$J$479,MATCH("Kärnkraftsandel för ursprungsspecificerad el ()",Miljö!$B$1:$J$1,0),FALSE)</f>
        <v>0</v>
      </c>
      <c r="L173">
        <f>VLOOKUP($B173,Totalt!$B$1:$BU$497,MATCH("total el",Totalt!$B$1:$BU$1,0),FALSE)</f>
        <v>2.1</v>
      </c>
      <c r="N173">
        <f t="shared" si="8"/>
        <v>2.3100000000000005</v>
      </c>
      <c r="O173">
        <f t="shared" si="9"/>
        <v>0</v>
      </c>
      <c r="P173">
        <f t="shared" si="10"/>
        <v>0</v>
      </c>
      <c r="Q173">
        <f t="shared" si="11"/>
        <v>0</v>
      </c>
    </row>
    <row r="174" spans="1:17" x14ac:dyDescent="0.45">
      <c r="A174" s="31" t="s">
        <v>449</v>
      </c>
      <c r="B174" s="31" t="s">
        <v>451</v>
      </c>
      <c r="C174" t="str">
        <f>VLOOKUP($B174,Totalt!$B$1:$BU$497,MATCH("Kvalitetsgranskad:",Totalt!$B$1:$BU$1,0),FALSE)</f>
        <v>Ja</v>
      </c>
      <c r="E174" t="str">
        <f>VLOOKUP($B174,Miljö!$B$1:$AG$479,MATCH(E$1,Miljö!$B$1:$AK$1,0),FALSE)</f>
        <v>Ja</v>
      </c>
      <c r="F174" t="str">
        <f>VLOOKUP($B174,Miljö!$B$1:$J$479,MATCH("Typ av ursprungsspecificerad el   (Om inget värde anges används Nordisk residualmix, se inforuta) ()",Miljö!$B$1:$J$1,0),FALSE)</f>
        <v>'VindEl+El från KVV'</v>
      </c>
      <c r="G174">
        <f>VLOOKUP($B174,Miljö!$B$1:$J$479,MATCH("Primärenergifaktor ()",Miljö!$B$1:$J$1,0),FALSE)</f>
        <v>4.1000000000000002E-2</v>
      </c>
      <c r="H174">
        <f>VLOOKUP($B174,Miljö!$B$1:$J$479,MATCH("Koldioxidekvivalenter energiomvandling (g/kwh)",Miljö!$B$1:$J$1,0),FALSE)</f>
        <v>14.02</v>
      </c>
      <c r="I174">
        <f>VLOOKUP($B174,Miljö!$B$1:$J$479,MATCH("Fossilandel för ursprungspecificerad el ()",Miljö!$B$1:$J$1,0),FALSE)</f>
        <v>2.4E-2</v>
      </c>
      <c r="J174">
        <f>VLOOKUP($B174,Miljö!$B$1:$J$479,MATCH("Kärnkraftsandel för ursprungsspecificerad el ()",Miljö!$B$1:$J$1,0),FALSE)</f>
        <v>0</v>
      </c>
      <c r="L174">
        <f>VLOOKUP($B174,Totalt!$B$1:$BU$497,MATCH("total el",Totalt!$B$1:$BU$1,0),FALSE)</f>
        <v>46.5</v>
      </c>
      <c r="N174">
        <f t="shared" si="8"/>
        <v>1.9065000000000001</v>
      </c>
      <c r="O174">
        <f t="shared" si="9"/>
        <v>651.92999999999995</v>
      </c>
      <c r="P174">
        <f t="shared" si="10"/>
        <v>1.1160000000000001</v>
      </c>
      <c r="Q174">
        <f t="shared" si="11"/>
        <v>0</v>
      </c>
    </row>
    <row r="175" spans="1:17" x14ac:dyDescent="0.45">
      <c r="A175" s="31" t="s">
        <v>449</v>
      </c>
      <c r="B175" s="31" t="s">
        <v>448</v>
      </c>
      <c r="C175" t="str">
        <f>VLOOKUP($B175,Totalt!$B$1:$BU$497,MATCH("Kvalitetsgranskad:",Totalt!$B$1:$BU$1,0),FALSE)</f>
        <v>Ja</v>
      </c>
      <c r="E175" t="str">
        <f>VLOOKUP($B175,Miljö!$B$1:$AG$479,MATCH(E$1,Miljö!$B$1:$AK$1,0),FALSE)</f>
        <v>Ja</v>
      </c>
      <c r="F175" t="str">
        <f>VLOOKUP($B175,Miljö!$B$1:$J$479,MATCH("Typ av ursprungsspecificerad el   (Om inget värde anges används Nordisk residualmix, se inforuta) ()",Miljö!$B$1:$J$1,0),FALSE)</f>
        <v>'Vindel'</v>
      </c>
      <c r="G175">
        <f>VLOOKUP($B175,Miljö!$B$1:$J$479,MATCH("Primärenergifaktor ()",Miljö!$B$1:$J$1,0),FALSE)</f>
        <v>0.1</v>
      </c>
      <c r="H175">
        <f>VLOOKUP($B175,Miljö!$B$1:$J$479,MATCH("Koldioxidekvivalenter energiomvandling (g/kwh)",Miljö!$B$1:$J$1,0),FALSE)</f>
        <v>0</v>
      </c>
      <c r="I175">
        <f>VLOOKUP($B175,Miljö!$B$1:$J$479,MATCH("Fossilandel för ursprungspecificerad el ()",Miljö!$B$1:$J$1,0),FALSE)</f>
        <v>0</v>
      </c>
      <c r="J175">
        <f>VLOOKUP($B175,Miljö!$B$1:$J$479,MATCH("Kärnkraftsandel för ursprungsspecificerad el ()",Miljö!$B$1:$J$1,0),FALSE)</f>
        <v>0</v>
      </c>
      <c r="L175">
        <f>VLOOKUP($B175,Totalt!$B$1:$BU$497,MATCH("total el",Totalt!$B$1:$BU$1,0),FALSE)</f>
        <v>0.52</v>
      </c>
      <c r="N175">
        <f t="shared" si="8"/>
        <v>5.2000000000000005E-2</v>
      </c>
      <c r="O175">
        <f t="shared" si="9"/>
        <v>0</v>
      </c>
      <c r="P175">
        <f t="shared" si="10"/>
        <v>0</v>
      </c>
      <c r="Q175">
        <f t="shared" si="11"/>
        <v>0</v>
      </c>
    </row>
    <row r="176" spans="1:17" x14ac:dyDescent="0.45">
      <c r="A176" s="31" t="s">
        <v>449</v>
      </c>
      <c r="B176" s="31" t="s">
        <v>450</v>
      </c>
      <c r="C176" t="str">
        <f>VLOOKUP($B176,Totalt!$B$1:$BU$497,MATCH("Kvalitetsgranskad:",Totalt!$B$1:$BU$1,0),FALSE)</f>
        <v>Ja</v>
      </c>
      <c r="E176" t="str">
        <f>VLOOKUP($B176,Miljö!$B$1:$AG$479,MATCH(E$1,Miljö!$B$1:$AK$1,0),FALSE)</f>
        <v>Ja</v>
      </c>
      <c r="F176" t="str">
        <f>VLOOKUP($B176,Miljö!$B$1:$J$479,MATCH("Typ av ursprungsspecificerad el   (Om inget värde anges används Nordisk residualmix, se inforuta) ()",Miljö!$B$1:$J$1,0),FALSE)</f>
        <v>'VindEl+El från KVV'</v>
      </c>
      <c r="G176">
        <f>VLOOKUP($B176,Miljö!$B$1:$J$479,MATCH("Primärenergifaktor ()",Miljö!$B$1:$J$1,0),FALSE)</f>
        <v>1.4999999999999999E-2</v>
      </c>
      <c r="H176">
        <f>VLOOKUP($B176,Miljö!$B$1:$J$479,MATCH("Koldioxidekvivalenter energiomvandling (g/kwh)",Miljö!$B$1:$J$1,0),FALSE)</f>
        <v>0</v>
      </c>
      <c r="I176">
        <f>VLOOKUP($B176,Miljö!$B$1:$J$479,MATCH("Fossilandel för ursprungspecificerad el ()",Miljö!$B$1:$J$1,0),FALSE)</f>
        <v>0</v>
      </c>
      <c r="J176">
        <f>VLOOKUP($B176,Miljö!$B$1:$J$479,MATCH("Kärnkraftsandel för ursprungsspecificerad el ()",Miljö!$B$1:$J$1,0),FALSE)</f>
        <v>0</v>
      </c>
      <c r="L176">
        <f>VLOOKUP($B176,Totalt!$B$1:$BU$497,MATCH("total el",Totalt!$B$1:$BU$1,0),FALSE)</f>
        <v>0.4</v>
      </c>
      <c r="N176">
        <f t="shared" si="8"/>
        <v>6.0000000000000001E-3</v>
      </c>
      <c r="O176">
        <f t="shared" si="9"/>
        <v>0</v>
      </c>
      <c r="P176">
        <f t="shared" si="10"/>
        <v>0</v>
      </c>
      <c r="Q176">
        <f t="shared" si="11"/>
        <v>0</v>
      </c>
    </row>
    <row r="177" spans="1:17" x14ac:dyDescent="0.45">
      <c r="A177" s="31" t="s">
        <v>447</v>
      </c>
      <c r="B177" s="31" t="s">
        <v>446</v>
      </c>
      <c r="C177" t="str">
        <f>VLOOKUP($B177,Totalt!$B$1:$BU$497,MATCH("Kvalitetsgranskad:",Totalt!$B$1:$BU$1,0),FALSE)</f>
        <v>Ja</v>
      </c>
      <c r="E177" t="str">
        <f>VLOOKUP($B177,Miljö!$B$1:$AG$479,MATCH(E$1,Miljö!$B$1:$AK$1,0),FALSE)</f>
        <v>Ja</v>
      </c>
      <c r="F177" t="str">
        <f>VLOOKUP($B177,Miljö!$B$1:$J$479,MATCH("Typ av ursprungsspecificerad el   (Om inget värde anges används Nordisk residualmix, se inforuta) ()",Miljö!$B$1:$J$1,0),FALSE)</f>
        <v>'84% vatten 16% vind'</v>
      </c>
      <c r="G177">
        <f>VLOOKUP($B177,Miljö!$B$1:$J$479,MATCH("Primärenergifaktor ()",Miljö!$B$1:$J$1,0),FALSE)</f>
        <v>0.94</v>
      </c>
      <c r="H177">
        <f>VLOOKUP($B177,Miljö!$B$1:$J$479,MATCH("Koldioxidekvivalenter energiomvandling (g/kwh)",Miljö!$B$1:$J$1,0),FALSE)</f>
        <v>0</v>
      </c>
      <c r="I177">
        <f>VLOOKUP($B177,Miljö!$B$1:$J$479,MATCH("Fossilandel för ursprungspecificerad el ()",Miljö!$B$1:$J$1,0),FALSE)</f>
        <v>0</v>
      </c>
      <c r="J177">
        <f>VLOOKUP($B177,Miljö!$B$1:$J$479,MATCH("Kärnkraftsandel för ursprungsspecificerad el ()",Miljö!$B$1:$J$1,0),FALSE)</f>
        <v>0</v>
      </c>
      <c r="L177">
        <f>VLOOKUP($B177,Totalt!$B$1:$BU$497,MATCH("total el",Totalt!$B$1:$BU$1,0),FALSE)</f>
        <v>0.5</v>
      </c>
      <c r="N177">
        <f t="shared" si="8"/>
        <v>0.47</v>
      </c>
      <c r="O177">
        <f t="shared" si="9"/>
        <v>0</v>
      </c>
      <c r="P177">
        <f t="shared" si="10"/>
        <v>0</v>
      </c>
      <c r="Q177">
        <f t="shared" si="11"/>
        <v>0</v>
      </c>
    </row>
    <row r="178" spans="1:17" x14ac:dyDescent="0.45">
      <c r="A178" s="31" t="s">
        <v>444</v>
      </c>
      <c r="B178" s="31" t="s">
        <v>443</v>
      </c>
      <c r="C178" t="str">
        <f>VLOOKUP($B178,Totalt!$B$1:$BU$497,MATCH("Kvalitetsgranskad:",Totalt!$B$1:$BU$1,0),FALSE)</f>
        <v>Ja</v>
      </c>
      <c r="E178" t="str">
        <f>VLOOKUP($B178,Miljö!$B$1:$AG$479,MATCH(E$1,Miljö!$B$1:$AK$1,0),FALSE)</f>
        <v>Ja</v>
      </c>
      <c r="F178" t="str">
        <f>VLOOKUP($B178,Miljö!$B$1:$J$479,MATCH("Typ av ursprungsspecificerad el   (Om inget värde anges används Nordisk residualmix, se inforuta) ()",Miljö!$B$1:$J$1,0),FALSE)</f>
        <v>'Bramiljöval'</v>
      </c>
      <c r="G178">
        <f>VLOOKUP($B178,Miljö!$B$1:$J$479,MATCH("Primärenergifaktor ()",Miljö!$B$1:$J$1,0),FALSE)</f>
        <v>1.1000000000000001</v>
      </c>
      <c r="H178">
        <f>VLOOKUP($B178,Miljö!$B$1:$J$479,MATCH("Koldioxidekvivalenter energiomvandling (g/kwh)",Miljö!$B$1:$J$1,0),FALSE)</f>
        <v>0</v>
      </c>
      <c r="I178">
        <f>VLOOKUP($B178,Miljö!$B$1:$J$479,MATCH("Fossilandel för ursprungspecificerad el ()",Miljö!$B$1:$J$1,0),FALSE)</f>
        <v>0</v>
      </c>
      <c r="J178">
        <f>VLOOKUP($B178,Miljö!$B$1:$J$479,MATCH("Kärnkraftsandel för ursprungsspecificerad el ()",Miljö!$B$1:$J$1,0),FALSE)</f>
        <v>0</v>
      </c>
      <c r="L178">
        <f>VLOOKUP($B178,Totalt!$B$1:$BU$497,MATCH("total el",Totalt!$B$1:$BU$1,0),FALSE)</f>
        <v>0.04</v>
      </c>
      <c r="N178">
        <f t="shared" si="8"/>
        <v>4.4000000000000004E-2</v>
      </c>
      <c r="O178">
        <f t="shared" si="9"/>
        <v>0</v>
      </c>
      <c r="P178">
        <f t="shared" si="10"/>
        <v>0</v>
      </c>
      <c r="Q178">
        <f t="shared" si="11"/>
        <v>0</v>
      </c>
    </row>
    <row r="179" spans="1:17" x14ac:dyDescent="0.45">
      <c r="A179" s="31" t="s">
        <v>444</v>
      </c>
      <c r="B179" s="31" t="s">
        <v>445</v>
      </c>
      <c r="C179" t="str">
        <f>VLOOKUP($B179,Totalt!$B$1:$BU$497,MATCH("Kvalitetsgranskad:",Totalt!$B$1:$BU$1,0),FALSE)</f>
        <v>Ja</v>
      </c>
      <c r="E179" t="str">
        <f>VLOOKUP($B179,Miljö!$B$1:$AG$479,MATCH(E$1,Miljö!$B$1:$AK$1,0),FALSE)</f>
        <v>Ja</v>
      </c>
      <c r="F179" t="str">
        <f>VLOOKUP($B179,Miljö!$B$1:$J$479,MATCH("Typ av ursprungsspecificerad el   (Om inget värde anges används Nordisk residualmix, se inforuta) ()",Miljö!$B$1:$J$1,0),FALSE)</f>
        <v>'Bra Miljöval'</v>
      </c>
      <c r="G179">
        <f>VLOOKUP($B179,Miljö!$B$1:$J$479,MATCH("Primärenergifaktor ()",Miljö!$B$1:$J$1,0),FALSE)</f>
        <v>0.51</v>
      </c>
      <c r="H179">
        <f>VLOOKUP($B179,Miljö!$B$1:$J$479,MATCH("Koldioxidekvivalenter energiomvandling (g/kwh)",Miljö!$B$1:$J$1,0),FALSE)</f>
        <v>0</v>
      </c>
      <c r="I179">
        <f>VLOOKUP($B179,Miljö!$B$1:$J$479,MATCH("Fossilandel för ursprungspecificerad el ()",Miljö!$B$1:$J$1,0),FALSE)</f>
        <v>0</v>
      </c>
      <c r="J179">
        <f>VLOOKUP($B179,Miljö!$B$1:$J$479,MATCH("Kärnkraftsandel för ursprungsspecificerad el ()",Miljö!$B$1:$J$1,0),FALSE)</f>
        <v>0</v>
      </c>
      <c r="L179">
        <f>VLOOKUP($B179,Totalt!$B$1:$BU$497,MATCH("total el",Totalt!$B$1:$BU$1,0),FALSE)</f>
        <v>3.5525500000000001</v>
      </c>
      <c r="N179">
        <f t="shared" si="8"/>
        <v>1.8118005000000001</v>
      </c>
      <c r="O179">
        <f t="shared" si="9"/>
        <v>0</v>
      </c>
      <c r="P179">
        <f t="shared" si="10"/>
        <v>0</v>
      </c>
      <c r="Q179">
        <f t="shared" si="11"/>
        <v>0</v>
      </c>
    </row>
    <row r="180" spans="1:17" x14ac:dyDescent="0.45">
      <c r="A180" s="31" t="s">
        <v>442</v>
      </c>
      <c r="B180" s="31" t="s">
        <v>441</v>
      </c>
      <c r="C180" t="str">
        <f>VLOOKUP($B180,Totalt!$B$1:$BU$497,MATCH("Kvalitetsgranskad:",Totalt!$B$1:$BU$1,0),FALSE)</f>
        <v>Ja</v>
      </c>
      <c r="E180" t="str">
        <f>VLOOKUP($B180,Miljö!$B$1:$AG$479,MATCH(E$1,Miljö!$B$1:$AK$1,0),FALSE)</f>
        <v>Ja</v>
      </c>
      <c r="F180" t="str">
        <f>VLOOKUP($B180,Miljö!$B$1:$J$479,MATCH("Typ av ursprungsspecificerad el   (Om inget värde anges används Nordisk residualmix, se inforuta) ()",Miljö!$B$1:$J$1,0),FALSE)</f>
        <v>'Biobränsle. egna ursprungsgarantier'</v>
      </c>
      <c r="G180">
        <f>VLOOKUP($B180,Miljö!$B$1:$J$479,MATCH("Primärenergifaktor ()",Miljö!$B$1:$J$1,0),FALSE)</f>
        <v>0.03</v>
      </c>
      <c r="H180">
        <f>VLOOKUP($B180,Miljö!$B$1:$J$479,MATCH("Koldioxidekvivalenter energiomvandling (g/kwh)",Miljö!$B$1:$J$1,0),FALSE)</f>
        <v>4</v>
      </c>
      <c r="I180">
        <f>VLOOKUP($B180,Miljö!$B$1:$J$479,MATCH("Fossilandel för ursprungspecificerad el ()",Miljö!$B$1:$J$1,0),FALSE)</f>
        <v>0</v>
      </c>
      <c r="J180">
        <f>VLOOKUP($B180,Miljö!$B$1:$J$479,MATCH("Kärnkraftsandel för ursprungsspecificerad el ()",Miljö!$B$1:$J$1,0),FALSE)</f>
        <v>0</v>
      </c>
      <c r="L180">
        <f>VLOOKUP($B180,Totalt!$B$1:$BU$497,MATCH("total el",Totalt!$B$1:$BU$1,0),FALSE)</f>
        <v>4.7487899999999996</v>
      </c>
      <c r="N180">
        <f t="shared" si="8"/>
        <v>0.14246369999999997</v>
      </c>
      <c r="O180">
        <f t="shared" si="9"/>
        <v>18.995159999999998</v>
      </c>
      <c r="P180">
        <f t="shared" si="10"/>
        <v>0</v>
      </c>
      <c r="Q180">
        <f t="shared" si="11"/>
        <v>0</v>
      </c>
    </row>
    <row r="181" spans="1:17" x14ac:dyDescent="0.45">
      <c r="A181" s="31" t="s">
        <v>440</v>
      </c>
      <c r="B181" s="31" t="s">
        <v>439</v>
      </c>
      <c r="C181" t="str">
        <f>VLOOKUP($B181,Totalt!$B$1:$BU$497,MATCH("Kvalitetsgranskad:",Totalt!$B$1:$BU$1,0),FALSE)</f>
        <v>Nej</v>
      </c>
      <c r="E181" t="str">
        <f>VLOOKUP($B181,Miljö!$B$1:$AG$479,MATCH(E$1,Miljö!$B$1:$AK$1,0),FALSE)</f>
        <v>Nej</v>
      </c>
      <c r="F181" t="str">
        <f>VLOOKUP($B181,Miljö!$B$1:$J$479,MATCH("Typ av ursprungsspecificerad el   (Om inget värde anges används Nordisk residualmix, se inforuta) ()",Miljö!$B$1:$J$1,0),FALSE)</f>
        <v>-</v>
      </c>
      <c r="G181" t="str">
        <f>VLOOKUP($B181,Miljö!$B$1:$J$479,MATCH("Primärenergifaktor ()",Miljö!$B$1:$J$1,0),FALSE)</f>
        <v>-</v>
      </c>
      <c r="H181" t="str">
        <f>VLOOKUP($B181,Miljö!$B$1:$J$479,MATCH("Koldioxidekvivalenter energiomvandling (g/kwh)",Miljö!$B$1:$J$1,0),FALSE)</f>
        <v>-</v>
      </c>
      <c r="I181" t="str">
        <f>VLOOKUP($B181,Miljö!$B$1:$J$479,MATCH("Fossilandel för ursprungspecificerad el ()",Miljö!$B$1:$J$1,0),FALSE)</f>
        <v>-</v>
      </c>
      <c r="J181" t="str">
        <f>VLOOKUP($B181,Miljö!$B$1:$J$479,MATCH("Kärnkraftsandel för ursprungsspecificerad el ()",Miljö!$B$1:$J$1,0),FALSE)</f>
        <v>-</v>
      </c>
      <c r="L181">
        <f>VLOOKUP($B181,Totalt!$B$1:$BU$497,MATCH("total el",Totalt!$B$1:$BU$1,0),FALSE)</f>
        <v>0</v>
      </c>
      <c r="N181" t="str">
        <f t="shared" si="8"/>
        <v/>
      </c>
      <c r="O181" t="str">
        <f t="shared" si="9"/>
        <v/>
      </c>
      <c r="P181" t="str">
        <f t="shared" si="10"/>
        <v/>
      </c>
      <c r="Q181" t="str">
        <f t="shared" si="11"/>
        <v/>
      </c>
    </row>
    <row r="182" spans="1:17" x14ac:dyDescent="0.45">
      <c r="A182" s="31" t="s">
        <v>438</v>
      </c>
      <c r="B182" s="31" t="s">
        <v>437</v>
      </c>
      <c r="C182" t="str">
        <f>VLOOKUP($B182,Totalt!$B$1:$BU$497,MATCH("Kvalitetsgranskad:",Totalt!$B$1:$BU$1,0),FALSE)</f>
        <v>Nej</v>
      </c>
      <c r="E182" t="str">
        <f>VLOOKUP($B182,Miljö!$B$1:$AG$479,MATCH(E$1,Miljö!$B$1:$AK$1,0),FALSE)</f>
        <v>Nej</v>
      </c>
      <c r="F182" t="str">
        <f>VLOOKUP($B182,Miljö!$B$1:$J$479,MATCH("Typ av ursprungsspecificerad el   (Om inget värde anges används Nordisk residualmix, se inforuta) ()",Miljö!$B$1:$J$1,0),FALSE)</f>
        <v>-</v>
      </c>
      <c r="G182" t="str">
        <f>VLOOKUP($B182,Miljö!$B$1:$J$479,MATCH("Primärenergifaktor ()",Miljö!$B$1:$J$1,0),FALSE)</f>
        <v>-</v>
      </c>
      <c r="H182" t="str">
        <f>VLOOKUP($B182,Miljö!$B$1:$J$479,MATCH("Koldioxidekvivalenter energiomvandling (g/kwh)",Miljö!$B$1:$J$1,0),FALSE)</f>
        <v>-</v>
      </c>
      <c r="I182" t="str">
        <f>VLOOKUP($B182,Miljö!$B$1:$J$479,MATCH("Fossilandel för ursprungspecificerad el ()",Miljö!$B$1:$J$1,0),FALSE)</f>
        <v>-</v>
      </c>
      <c r="J182" t="str">
        <f>VLOOKUP($B182,Miljö!$B$1:$J$479,MATCH("Kärnkraftsandel för ursprungsspecificerad el ()",Miljö!$B$1:$J$1,0),FALSE)</f>
        <v>-</v>
      </c>
      <c r="L182">
        <f>VLOOKUP($B182,Totalt!$B$1:$BU$497,MATCH("total el",Totalt!$B$1:$BU$1,0),FALSE)</f>
        <v>0</v>
      </c>
      <c r="N182" t="str">
        <f t="shared" si="8"/>
        <v/>
      </c>
      <c r="O182" t="str">
        <f t="shared" si="9"/>
        <v/>
      </c>
      <c r="P182" t="str">
        <f t="shared" si="10"/>
        <v/>
      </c>
      <c r="Q182" t="str">
        <f t="shared" si="11"/>
        <v/>
      </c>
    </row>
    <row r="183" spans="1:17" x14ac:dyDescent="0.45">
      <c r="A183" s="31" t="s">
        <v>432</v>
      </c>
      <c r="B183" s="31" t="s">
        <v>436</v>
      </c>
      <c r="C183" t="str">
        <f>VLOOKUP($B183,Totalt!$B$1:$BU$497,MATCH("Kvalitetsgranskad:",Totalt!$B$1:$BU$1,0),FALSE)</f>
        <v>Ja</v>
      </c>
      <c r="E183" t="str">
        <f>VLOOKUP($B183,Miljö!$B$1:$AG$479,MATCH(E$1,Miljö!$B$1:$AK$1,0),FALSE)</f>
        <v>Ja</v>
      </c>
      <c r="F183" t="str">
        <f>VLOOKUP($B183,Miljö!$B$1:$J$479,MATCH("Typ av ursprungsspecificerad el   (Om inget värde anges används Nordisk residualmix, se inforuta) ()",Miljö!$B$1:$J$1,0),FALSE)</f>
        <v>'Ursprungsmärkt Vattenkraft'</v>
      </c>
      <c r="G183">
        <f>VLOOKUP($B183,Miljö!$B$1:$J$479,MATCH("Primärenergifaktor ()",Miljö!$B$1:$J$1,0),FALSE)</f>
        <v>0.01</v>
      </c>
      <c r="H183">
        <f>VLOOKUP($B183,Miljö!$B$1:$J$479,MATCH("Koldioxidekvivalenter energiomvandling (g/kwh)",Miljö!$B$1:$J$1,0),FALSE)</f>
        <v>0</v>
      </c>
      <c r="I183">
        <f>VLOOKUP($B183,Miljö!$B$1:$J$479,MATCH("Fossilandel för ursprungspecificerad el ()",Miljö!$B$1:$J$1,0),FALSE)</f>
        <v>0</v>
      </c>
      <c r="J183">
        <f>VLOOKUP($B183,Miljö!$B$1:$J$479,MATCH("Kärnkraftsandel för ursprungsspecificerad el ()",Miljö!$B$1:$J$1,0),FALSE)</f>
        <v>0</v>
      </c>
      <c r="L183">
        <f>VLOOKUP($B183,Totalt!$B$1:$BU$497,MATCH("total el",Totalt!$B$1:$BU$1,0),FALSE)</f>
        <v>0.95199999999999996</v>
      </c>
      <c r="N183">
        <f t="shared" si="8"/>
        <v>9.5199999999999989E-3</v>
      </c>
      <c r="O183">
        <f t="shared" si="9"/>
        <v>0</v>
      </c>
      <c r="P183">
        <f t="shared" si="10"/>
        <v>0</v>
      </c>
      <c r="Q183">
        <f t="shared" si="11"/>
        <v>0</v>
      </c>
    </row>
    <row r="184" spans="1:17" x14ac:dyDescent="0.45">
      <c r="A184" s="31" t="s">
        <v>432</v>
      </c>
      <c r="B184" s="31" t="s">
        <v>434</v>
      </c>
      <c r="C184" t="str">
        <f>VLOOKUP($B184,Totalt!$B$1:$BU$497,MATCH("Kvalitetsgranskad:",Totalt!$B$1:$BU$1,0),FALSE)</f>
        <v>Ja</v>
      </c>
      <c r="E184" t="str">
        <f>VLOOKUP($B184,Miljö!$B$1:$AG$479,MATCH(E$1,Miljö!$B$1:$AK$1,0),FALSE)</f>
        <v>Ja</v>
      </c>
      <c r="F184" t="str">
        <f>VLOOKUP($B184,Miljö!$B$1:$J$479,MATCH("Typ av ursprungsspecificerad el   (Om inget värde anges används Nordisk residualmix, se inforuta) ()",Miljö!$B$1:$J$1,0),FALSE)</f>
        <v>'Ursprungsmärkt egen BIO samt vatten'</v>
      </c>
      <c r="G184">
        <f>VLOOKUP($B184,Miljö!$B$1:$J$479,MATCH("Primärenergifaktor ()",Miljö!$B$1:$J$1,0),FALSE)</f>
        <v>0.01</v>
      </c>
      <c r="H184">
        <f>VLOOKUP($B184,Miljö!$B$1:$J$479,MATCH("Koldioxidekvivalenter energiomvandling (g/kwh)",Miljö!$B$1:$J$1,0),FALSE)</f>
        <v>15.07</v>
      </c>
      <c r="I184">
        <f>VLOOKUP($B184,Miljö!$B$1:$J$479,MATCH("Fossilandel för ursprungspecificerad el ()",Miljö!$B$1:$J$1,0),FALSE)</f>
        <v>0</v>
      </c>
      <c r="J184">
        <f>VLOOKUP($B184,Miljö!$B$1:$J$479,MATCH("Kärnkraftsandel för ursprungsspecificerad el ()",Miljö!$B$1:$J$1,0),FALSE)</f>
        <v>0</v>
      </c>
      <c r="L184">
        <f>VLOOKUP($B184,Totalt!$B$1:$BU$497,MATCH("total el",Totalt!$B$1:$BU$1,0),FALSE)</f>
        <v>68.78</v>
      </c>
      <c r="N184">
        <f t="shared" si="8"/>
        <v>0.68780000000000008</v>
      </c>
      <c r="O184">
        <f t="shared" si="9"/>
        <v>1036.5146</v>
      </c>
      <c r="P184">
        <f t="shared" si="10"/>
        <v>0</v>
      </c>
      <c r="Q184">
        <f t="shared" si="11"/>
        <v>0</v>
      </c>
    </row>
    <row r="185" spans="1:17" x14ac:dyDescent="0.45">
      <c r="A185" s="31" t="s">
        <v>432</v>
      </c>
      <c r="B185" s="31" t="s">
        <v>435</v>
      </c>
      <c r="C185" t="str">
        <f>VLOOKUP($B185,Totalt!$B$1:$BU$497,MATCH("Kvalitetsgranskad:",Totalt!$B$1:$BU$1,0),FALSE)</f>
        <v>Nej</v>
      </c>
      <c r="E185" t="str">
        <f>VLOOKUP($B185,Miljö!$B$1:$AG$479,MATCH(E$1,Miljö!$B$1:$AK$1,0),FALSE)</f>
        <v>Ja</v>
      </c>
      <c r="F185" t="str">
        <f>VLOOKUP($B185,Miljö!$B$1:$J$479,MATCH("Typ av ursprungsspecificerad el   (Om inget värde anges används Nordisk residualmix, se inforuta) ()",Miljö!$B$1:$J$1,0),FALSE)</f>
        <v>-</v>
      </c>
      <c r="G185">
        <f>VLOOKUP($B185,Miljö!$B$1:$J$479,MATCH("Primärenergifaktor ()",Miljö!$B$1:$J$1,0),FALSE)</f>
        <v>2.2000000000000002</v>
      </c>
      <c r="H185">
        <f>VLOOKUP($B185,Miljö!$B$1:$J$479,MATCH("Koldioxidekvivalenter energiomvandling (g/kwh)",Miljö!$B$1:$J$1,0),FALSE)</f>
        <v>250.8</v>
      </c>
      <c r="I185">
        <f>VLOOKUP($B185,Miljö!$B$1:$J$479,MATCH("Fossilandel för ursprungspecificerad el ()",Miljö!$B$1:$J$1,0),FALSE)</f>
        <v>0.35</v>
      </c>
      <c r="J185">
        <f>VLOOKUP($B185,Miljö!$B$1:$J$479,MATCH("Kärnkraftsandel för ursprungsspecificerad el ()",Miljö!$B$1:$J$1,0),FALSE)</f>
        <v>0.3977</v>
      </c>
      <c r="L185">
        <f>VLOOKUP($B185,Totalt!$B$1:$BU$497,MATCH("total el",Totalt!$B$1:$BU$1,0),FALSE)</f>
        <v>0</v>
      </c>
      <c r="N185">
        <f t="shared" si="8"/>
        <v>0</v>
      </c>
      <c r="O185">
        <f t="shared" si="9"/>
        <v>0</v>
      </c>
      <c r="P185">
        <f t="shared" si="10"/>
        <v>0</v>
      </c>
      <c r="Q185">
        <f t="shared" si="11"/>
        <v>0</v>
      </c>
    </row>
    <row r="186" spans="1:17" x14ac:dyDescent="0.45">
      <c r="A186" s="31" t="s">
        <v>432</v>
      </c>
      <c r="B186" s="31" t="s">
        <v>431</v>
      </c>
      <c r="C186" t="str">
        <f>VLOOKUP($B186,Totalt!$B$1:$BU$497,MATCH("Kvalitetsgranskad:",Totalt!$B$1:$BU$1,0),FALSE)</f>
        <v>Ja</v>
      </c>
      <c r="E186" t="str">
        <f>VLOOKUP($B186,Miljö!$B$1:$AG$479,MATCH(E$1,Miljö!$B$1:$AK$1,0),FALSE)</f>
        <v>Ja</v>
      </c>
      <c r="F186" t="str">
        <f>VLOOKUP($B186,Miljö!$B$1:$J$479,MATCH("Typ av ursprungsspecificerad el   (Om inget värde anges används Nordisk residualmix, se inforuta) ()",Miljö!$B$1:$J$1,0),FALSE)</f>
        <v>'Ursprungsmärkt egenproducerad BIO och Vattenkraft</v>
      </c>
      <c r="G186">
        <f>VLOOKUP($B186,Miljö!$B$1:$J$479,MATCH("Primärenergifaktor ()",Miljö!$B$1:$J$1,0),FALSE)</f>
        <v>0.01</v>
      </c>
      <c r="H186">
        <f>VLOOKUP($B186,Miljö!$B$1:$J$479,MATCH("Koldioxidekvivalenter energiomvandling (g/kwh)",Miljö!$B$1:$J$1,0),FALSE)</f>
        <v>15.07</v>
      </c>
      <c r="I186">
        <f>VLOOKUP($B186,Miljö!$B$1:$J$479,MATCH("Fossilandel för ursprungspecificerad el ()",Miljö!$B$1:$J$1,0),FALSE)</f>
        <v>0</v>
      </c>
      <c r="J186">
        <f>VLOOKUP($B186,Miljö!$B$1:$J$479,MATCH("Kärnkraftsandel för ursprungsspecificerad el ()",Miljö!$B$1:$J$1,0),FALSE)</f>
        <v>0</v>
      </c>
      <c r="L186">
        <f>VLOOKUP($B186,Totalt!$B$1:$BU$497,MATCH("total el",Totalt!$B$1:$BU$1,0),FALSE)</f>
        <v>2.2109999999999999</v>
      </c>
      <c r="N186">
        <f t="shared" si="8"/>
        <v>2.2109999999999998E-2</v>
      </c>
      <c r="O186">
        <f t="shared" si="9"/>
        <v>33.319769999999998</v>
      </c>
      <c r="P186">
        <f t="shared" si="10"/>
        <v>0</v>
      </c>
      <c r="Q186">
        <f t="shared" si="11"/>
        <v>0</v>
      </c>
    </row>
    <row r="187" spans="1:17" x14ac:dyDescent="0.45">
      <c r="A187" s="31" t="s">
        <v>428</v>
      </c>
      <c r="B187" s="31" t="s">
        <v>430</v>
      </c>
      <c r="C187" t="str">
        <f>VLOOKUP($B187,Totalt!$B$1:$BU$497,MATCH("Kvalitetsgranskad:",Totalt!$B$1:$BU$1,0),FALSE)</f>
        <v>Ja</v>
      </c>
      <c r="E187" t="str">
        <f>VLOOKUP($B187,Miljö!$B$1:$AG$479,MATCH(E$1,Miljö!$B$1:$AK$1,0),FALSE)</f>
        <v>Ja</v>
      </c>
      <c r="F187" t="str">
        <f>VLOOKUP($B187,Miljö!$B$1:$J$479,MATCH("Typ av ursprungsspecificerad el   (Om inget värde anges används Nordisk residualmix, se inforuta) ()",Miljö!$B$1:$J$1,0),FALSE)</f>
        <v>'Förnybar el från egen produktion'</v>
      </c>
      <c r="G187">
        <f>VLOOKUP($B187,Miljö!$B$1:$J$479,MATCH("Primärenergifaktor ()",Miljö!$B$1:$J$1,0),FALSE)</f>
        <v>0.09</v>
      </c>
      <c r="H187">
        <f>VLOOKUP($B187,Miljö!$B$1:$J$479,MATCH("Koldioxidekvivalenter energiomvandling (g/kwh)",Miljö!$B$1:$J$1,0),FALSE)</f>
        <v>0</v>
      </c>
      <c r="I187">
        <f>VLOOKUP($B187,Miljö!$B$1:$J$479,MATCH("Fossilandel för ursprungspecificerad el ()",Miljö!$B$1:$J$1,0),FALSE)</f>
        <v>0</v>
      </c>
      <c r="J187">
        <f>VLOOKUP($B187,Miljö!$B$1:$J$479,MATCH("Kärnkraftsandel för ursprungsspecificerad el ()",Miljö!$B$1:$J$1,0),FALSE)</f>
        <v>0</v>
      </c>
      <c r="L187">
        <f>VLOOKUP($B187,Totalt!$B$1:$BU$497,MATCH("total el",Totalt!$B$1:$BU$1,0),FALSE)</f>
        <v>8.9639100000000003</v>
      </c>
      <c r="N187">
        <f t="shared" si="8"/>
        <v>0.80675189999999997</v>
      </c>
      <c r="O187">
        <f t="shared" si="9"/>
        <v>0</v>
      </c>
      <c r="P187">
        <f t="shared" si="10"/>
        <v>0</v>
      </c>
      <c r="Q187">
        <f t="shared" si="11"/>
        <v>0</v>
      </c>
    </row>
    <row r="188" spans="1:17" x14ac:dyDescent="0.45">
      <c r="A188" s="31" t="s">
        <v>428</v>
      </c>
      <c r="B188" s="31" t="s">
        <v>427</v>
      </c>
      <c r="C188" t="str">
        <f>VLOOKUP($B188,Totalt!$B$1:$BU$497,MATCH("Kvalitetsgranskad:",Totalt!$B$1:$BU$1,0),FALSE)</f>
        <v>Nej</v>
      </c>
      <c r="E188" t="str">
        <f>VLOOKUP($B188,Miljö!$B$1:$AG$479,MATCH(E$1,Miljö!$B$1:$AK$1,0),FALSE)</f>
        <v>Nej</v>
      </c>
      <c r="F188" t="str">
        <f>VLOOKUP($B188,Miljö!$B$1:$J$479,MATCH("Typ av ursprungsspecificerad el   (Om inget värde anges används Nordisk residualmix, se inforuta) ()",Miljö!$B$1:$J$1,0),FALSE)</f>
        <v>-</v>
      </c>
      <c r="G188" t="str">
        <f>VLOOKUP($B188,Miljö!$B$1:$J$479,MATCH("Primärenergifaktor ()",Miljö!$B$1:$J$1,0),FALSE)</f>
        <v>-</v>
      </c>
      <c r="H188" t="str">
        <f>VLOOKUP($B188,Miljö!$B$1:$J$479,MATCH("Koldioxidekvivalenter energiomvandling (g/kwh)",Miljö!$B$1:$J$1,0),FALSE)</f>
        <v>-</v>
      </c>
      <c r="I188" t="str">
        <f>VLOOKUP($B188,Miljö!$B$1:$J$479,MATCH("Fossilandel för ursprungspecificerad el ()",Miljö!$B$1:$J$1,0),FALSE)</f>
        <v>-</v>
      </c>
      <c r="J188" t="str">
        <f>VLOOKUP($B188,Miljö!$B$1:$J$479,MATCH("Kärnkraftsandel för ursprungsspecificerad el ()",Miljö!$B$1:$J$1,0),FALSE)</f>
        <v>-</v>
      </c>
      <c r="L188">
        <f>VLOOKUP($B188,Totalt!$B$1:$BU$497,MATCH("total el",Totalt!$B$1:$BU$1,0),FALSE)</f>
        <v>0</v>
      </c>
      <c r="N188" t="str">
        <f t="shared" si="8"/>
        <v/>
      </c>
      <c r="O188" t="str">
        <f t="shared" si="9"/>
        <v/>
      </c>
      <c r="P188" t="str">
        <f t="shared" si="10"/>
        <v/>
      </c>
      <c r="Q188" t="str">
        <f t="shared" si="11"/>
        <v/>
      </c>
    </row>
    <row r="189" spans="1:17" x14ac:dyDescent="0.45">
      <c r="A189" s="31" t="s">
        <v>428</v>
      </c>
      <c r="B189" s="31" t="s">
        <v>429</v>
      </c>
      <c r="C189" t="str">
        <f>VLOOKUP($B189,Totalt!$B$1:$BU$497,MATCH("Kvalitetsgranskad:",Totalt!$B$1:$BU$1,0),FALSE)</f>
        <v>Ja</v>
      </c>
      <c r="E189" t="str">
        <f>VLOOKUP($B189,Miljö!$B$1:$AG$479,MATCH(E$1,Miljö!$B$1:$AK$1,0),FALSE)</f>
        <v>Ja</v>
      </c>
      <c r="F189" t="str">
        <f>VLOOKUP($B189,Miljö!$B$1:$J$479,MATCH("Typ av ursprungsspecificerad el   (Om inget värde anges används Nordisk residualmix, se inforuta) ()",Miljö!$B$1:$J$1,0),FALSE)</f>
        <v>'Förnybar el från egen produktion'</v>
      </c>
      <c r="G189">
        <f>VLOOKUP($B189,Miljö!$B$1:$J$479,MATCH("Primärenergifaktor ()",Miljö!$B$1:$J$1,0),FALSE)</f>
        <v>0.09</v>
      </c>
      <c r="H189">
        <f>VLOOKUP($B189,Miljö!$B$1:$J$479,MATCH("Koldioxidekvivalenter energiomvandling (g/kwh)",Miljö!$B$1:$J$1,0),FALSE)</f>
        <v>0</v>
      </c>
      <c r="I189">
        <f>VLOOKUP($B189,Miljö!$B$1:$J$479,MATCH("Fossilandel för ursprungspecificerad el ()",Miljö!$B$1:$J$1,0),FALSE)</f>
        <v>0</v>
      </c>
      <c r="J189">
        <f>VLOOKUP($B189,Miljö!$B$1:$J$479,MATCH("Kärnkraftsandel för ursprungsspecificerad el ()",Miljö!$B$1:$J$1,0),FALSE)</f>
        <v>0</v>
      </c>
      <c r="L189">
        <f>VLOOKUP($B189,Totalt!$B$1:$BU$497,MATCH("total el",Totalt!$B$1:$BU$1,0),FALSE)</f>
        <v>1.4557500000000001</v>
      </c>
      <c r="N189">
        <f t="shared" si="8"/>
        <v>0.13101750000000001</v>
      </c>
      <c r="O189">
        <f t="shared" si="9"/>
        <v>0</v>
      </c>
      <c r="P189">
        <f t="shared" si="10"/>
        <v>0</v>
      </c>
      <c r="Q189">
        <f t="shared" si="11"/>
        <v>0</v>
      </c>
    </row>
    <row r="190" spans="1:17" x14ac:dyDescent="0.45">
      <c r="A190" s="31" t="s">
        <v>418</v>
      </c>
      <c r="B190" s="31" t="s">
        <v>424</v>
      </c>
      <c r="C190" t="str">
        <f>VLOOKUP($B190,Totalt!$B$1:$BU$497,MATCH("Kvalitetsgranskad:",Totalt!$B$1:$BU$1,0),FALSE)</f>
        <v>Ja</v>
      </c>
      <c r="E190" t="str">
        <f>VLOOKUP($B190,Miljö!$B$1:$AG$479,MATCH(E$1,Miljö!$B$1:$AK$1,0),FALSE)</f>
        <v>Ja</v>
      </c>
      <c r="F190" t="str">
        <f>VLOOKUP($B190,Miljö!$B$1:$J$479,MATCH("Typ av ursprungsspecificerad el   (Om inget värde anges används Nordisk residualmix, se inforuta) ()",Miljö!$B$1:$J$1,0),FALSE)</f>
        <v>'Ursprungsmärtkt vattenkraft'</v>
      </c>
      <c r="G190">
        <f>VLOOKUP($B190,Miljö!$B$1:$J$479,MATCH("Primärenergifaktor ()",Miljö!$B$1:$J$1,0),FALSE)</f>
        <v>1.1000000000000001</v>
      </c>
      <c r="H190">
        <f>VLOOKUP($B190,Miljö!$B$1:$J$479,MATCH("Koldioxidekvivalenter energiomvandling (g/kwh)",Miljö!$B$1:$J$1,0),FALSE)</f>
        <v>0</v>
      </c>
      <c r="I190">
        <f>VLOOKUP($B190,Miljö!$B$1:$J$479,MATCH("Fossilandel för ursprungspecificerad el ()",Miljö!$B$1:$J$1,0),FALSE)</f>
        <v>0</v>
      </c>
      <c r="J190">
        <f>VLOOKUP($B190,Miljö!$B$1:$J$479,MATCH("Kärnkraftsandel för ursprungsspecificerad el ()",Miljö!$B$1:$J$1,0),FALSE)</f>
        <v>0</v>
      </c>
      <c r="L190">
        <f>VLOOKUP($B190,Totalt!$B$1:$BU$497,MATCH("total el",Totalt!$B$1:$BU$1,0),FALSE)</f>
        <v>0.71299999999999997</v>
      </c>
      <c r="N190">
        <f t="shared" si="8"/>
        <v>0.7843</v>
      </c>
      <c r="O190">
        <f t="shared" si="9"/>
        <v>0</v>
      </c>
      <c r="P190">
        <f t="shared" si="10"/>
        <v>0</v>
      </c>
      <c r="Q190">
        <f t="shared" si="11"/>
        <v>0</v>
      </c>
    </row>
    <row r="191" spans="1:17" x14ac:dyDescent="0.45">
      <c r="A191" s="31" t="s">
        <v>418</v>
      </c>
      <c r="B191" s="31" t="s">
        <v>97</v>
      </c>
      <c r="C191" t="str">
        <f>VLOOKUP($B191,Totalt!$B$1:$BU$497,MATCH("Kvalitetsgranskad:",Totalt!$B$1:$BU$1,0),FALSE)</f>
        <v>Ja</v>
      </c>
      <c r="E191" t="str">
        <f>VLOOKUP($B191,Miljö!$B$1:$AG$479,MATCH(E$1,Miljö!$B$1:$AK$1,0),FALSE)</f>
        <v>Ja</v>
      </c>
      <c r="F191" t="str">
        <f>VLOOKUP($B191,Miljö!$B$1:$J$479,MATCH("Typ av ursprungsspecificerad el   (Om inget värde anges används Nordisk residualmix, se inforuta) ()",Miljö!$B$1:$J$1,0),FALSE)</f>
        <v>'Ursprungsmärkt vattenkraft'</v>
      </c>
      <c r="G191">
        <f>VLOOKUP($B191,Miljö!$B$1:$J$479,MATCH("Primärenergifaktor ()",Miljö!$B$1:$J$1,0),FALSE)</f>
        <v>1.1000000000000001</v>
      </c>
      <c r="H191">
        <f>VLOOKUP($B191,Miljö!$B$1:$J$479,MATCH("Koldioxidekvivalenter energiomvandling (g/kwh)",Miljö!$B$1:$J$1,0),FALSE)</f>
        <v>0</v>
      </c>
      <c r="I191">
        <f>VLOOKUP($B191,Miljö!$B$1:$J$479,MATCH("Fossilandel för ursprungspecificerad el ()",Miljö!$B$1:$J$1,0),FALSE)</f>
        <v>0</v>
      </c>
      <c r="J191">
        <f>VLOOKUP($B191,Miljö!$B$1:$J$479,MATCH("Kärnkraftsandel för ursprungsspecificerad el ()",Miljö!$B$1:$J$1,0),FALSE)</f>
        <v>0</v>
      </c>
      <c r="L191">
        <f>VLOOKUP($B191,Totalt!$B$1:$BU$497,MATCH("total el",Totalt!$B$1:$BU$1,0),FALSE)</f>
        <v>0.64300000000000002</v>
      </c>
      <c r="N191">
        <f t="shared" si="8"/>
        <v>0.70730000000000004</v>
      </c>
      <c r="O191">
        <f t="shared" si="9"/>
        <v>0</v>
      </c>
      <c r="P191">
        <f t="shared" si="10"/>
        <v>0</v>
      </c>
      <c r="Q191">
        <f t="shared" si="11"/>
        <v>0</v>
      </c>
    </row>
    <row r="192" spans="1:17" x14ac:dyDescent="0.45">
      <c r="A192" s="31" t="s">
        <v>418</v>
      </c>
      <c r="B192" s="31" t="s">
        <v>99</v>
      </c>
      <c r="C192" t="str">
        <f>VLOOKUP($B192,Totalt!$B$1:$BU$497,MATCH("Kvalitetsgranskad:",Totalt!$B$1:$BU$1,0),FALSE)</f>
        <v>Ja</v>
      </c>
      <c r="E192" t="str">
        <f>VLOOKUP($B192,Miljö!$B$1:$AG$479,MATCH(E$1,Miljö!$B$1:$AK$1,0),FALSE)</f>
        <v>Ja</v>
      </c>
      <c r="F192" t="str">
        <f>VLOOKUP($B192,Miljö!$B$1:$J$479,MATCH("Typ av ursprungsspecificerad el   (Om inget värde anges används Nordisk residualmix, se inforuta) ()",Miljö!$B$1:$J$1,0),FALSE)</f>
        <v>'Ursprungsmärkt Vattenkraft'</v>
      </c>
      <c r="G192">
        <f>VLOOKUP($B192,Miljö!$B$1:$J$479,MATCH("Primärenergifaktor ()",Miljö!$B$1:$J$1,0),FALSE)</f>
        <v>1.1000000000000001</v>
      </c>
      <c r="H192">
        <f>VLOOKUP($B192,Miljö!$B$1:$J$479,MATCH("Koldioxidekvivalenter energiomvandling (g/kwh)",Miljö!$B$1:$J$1,0),FALSE)</f>
        <v>0</v>
      </c>
      <c r="I192">
        <f>VLOOKUP($B192,Miljö!$B$1:$J$479,MATCH("Fossilandel för ursprungspecificerad el ()",Miljö!$B$1:$J$1,0),FALSE)</f>
        <v>0</v>
      </c>
      <c r="J192">
        <f>VLOOKUP($B192,Miljö!$B$1:$J$479,MATCH("Kärnkraftsandel för ursprungsspecificerad el ()",Miljö!$B$1:$J$1,0),FALSE)</f>
        <v>0</v>
      </c>
      <c r="L192">
        <f>VLOOKUP($B192,Totalt!$B$1:$BU$497,MATCH("total el",Totalt!$B$1:$BU$1,0),FALSE)</f>
        <v>1.4239999999999999</v>
      </c>
      <c r="N192">
        <f t="shared" si="8"/>
        <v>1.5664</v>
      </c>
      <c r="O192">
        <f t="shared" si="9"/>
        <v>0</v>
      </c>
      <c r="P192">
        <f t="shared" si="10"/>
        <v>0</v>
      </c>
      <c r="Q192">
        <f t="shared" si="11"/>
        <v>0</v>
      </c>
    </row>
    <row r="193" spans="1:17" x14ac:dyDescent="0.45">
      <c r="A193" s="31" t="s">
        <v>418</v>
      </c>
      <c r="B193" s="31" t="s">
        <v>101</v>
      </c>
      <c r="C193" t="str">
        <f>VLOOKUP($B193,Totalt!$B$1:$BU$497,MATCH("Kvalitetsgranskad:",Totalt!$B$1:$BU$1,0),FALSE)</f>
        <v>Ja</v>
      </c>
      <c r="E193" t="str">
        <f>VLOOKUP($B193,Miljö!$B$1:$AG$479,MATCH(E$1,Miljö!$B$1:$AK$1,0),FALSE)</f>
        <v>Ja</v>
      </c>
      <c r="F193" t="str">
        <f>VLOOKUP($B193,Miljö!$B$1:$J$479,MATCH("Typ av ursprungsspecificerad el   (Om inget värde anges används Nordisk residualmix, se inforuta) ()",Miljö!$B$1:$J$1,0),FALSE)</f>
        <v>'Ursprungsmärkt vattenkraft'</v>
      </c>
      <c r="G193">
        <f>VLOOKUP($B193,Miljö!$B$1:$J$479,MATCH("Primärenergifaktor ()",Miljö!$B$1:$J$1,0),FALSE)</f>
        <v>1.1000000000000001</v>
      </c>
      <c r="H193">
        <f>VLOOKUP($B193,Miljö!$B$1:$J$479,MATCH("Koldioxidekvivalenter energiomvandling (g/kwh)",Miljö!$B$1:$J$1,0),FALSE)</f>
        <v>0</v>
      </c>
      <c r="I193">
        <f>VLOOKUP($B193,Miljö!$B$1:$J$479,MATCH("Fossilandel för ursprungspecificerad el ()",Miljö!$B$1:$J$1,0),FALSE)</f>
        <v>0</v>
      </c>
      <c r="J193">
        <f>VLOOKUP($B193,Miljö!$B$1:$J$479,MATCH("Kärnkraftsandel för ursprungsspecificerad el ()",Miljö!$B$1:$J$1,0),FALSE)</f>
        <v>0</v>
      </c>
      <c r="L193">
        <f>VLOOKUP($B193,Totalt!$B$1:$BU$497,MATCH("total el",Totalt!$B$1:$BU$1,0),FALSE)</f>
        <v>0.11799999999999999</v>
      </c>
      <c r="N193">
        <f t="shared" si="8"/>
        <v>0.1298</v>
      </c>
      <c r="O193">
        <f t="shared" si="9"/>
        <v>0</v>
      </c>
      <c r="P193">
        <f t="shared" si="10"/>
        <v>0</v>
      </c>
      <c r="Q193">
        <f t="shared" si="11"/>
        <v>0</v>
      </c>
    </row>
    <row r="194" spans="1:17" x14ac:dyDescent="0.45">
      <c r="A194" s="31" t="s">
        <v>418</v>
      </c>
      <c r="B194" s="31" t="s">
        <v>103</v>
      </c>
      <c r="C194" t="str">
        <f>VLOOKUP($B194,Totalt!$B$1:$BU$497,MATCH("Kvalitetsgranskad:",Totalt!$B$1:$BU$1,0),FALSE)</f>
        <v>Ja</v>
      </c>
      <c r="E194" t="str">
        <f>VLOOKUP($B194,Miljö!$B$1:$AG$479,MATCH(E$1,Miljö!$B$1:$AK$1,0),FALSE)</f>
        <v>Ja</v>
      </c>
      <c r="F194" t="str">
        <f>VLOOKUP($B194,Miljö!$B$1:$J$479,MATCH("Typ av ursprungsspecificerad el   (Om inget värde anges används Nordisk residualmix, se inforuta) ()",Miljö!$B$1:$J$1,0),FALSE)</f>
        <v>'Ursprungsmärkt vattenkraft'</v>
      </c>
      <c r="G194">
        <f>VLOOKUP($B194,Miljö!$B$1:$J$479,MATCH("Primärenergifaktor ()",Miljö!$B$1:$J$1,0),FALSE)</f>
        <v>1.1000000000000001</v>
      </c>
      <c r="H194">
        <f>VLOOKUP($B194,Miljö!$B$1:$J$479,MATCH("Koldioxidekvivalenter energiomvandling (g/kwh)",Miljö!$B$1:$J$1,0),FALSE)</f>
        <v>0</v>
      </c>
      <c r="I194">
        <f>VLOOKUP($B194,Miljö!$B$1:$J$479,MATCH("Fossilandel för ursprungspecificerad el ()",Miljö!$B$1:$J$1,0),FALSE)</f>
        <v>0</v>
      </c>
      <c r="J194">
        <f>VLOOKUP($B194,Miljö!$B$1:$J$479,MATCH("Kärnkraftsandel för ursprungsspecificerad el ()",Miljö!$B$1:$J$1,0),FALSE)</f>
        <v>0</v>
      </c>
      <c r="L194">
        <f>VLOOKUP($B194,Totalt!$B$1:$BU$497,MATCH("total el",Totalt!$B$1:$BU$1,0),FALSE)</f>
        <v>1.141</v>
      </c>
      <c r="N194">
        <f t="shared" si="8"/>
        <v>1.2551000000000001</v>
      </c>
      <c r="O194">
        <f t="shared" si="9"/>
        <v>0</v>
      </c>
      <c r="P194">
        <f t="shared" si="10"/>
        <v>0</v>
      </c>
      <c r="Q194">
        <f t="shared" si="11"/>
        <v>0</v>
      </c>
    </row>
    <row r="195" spans="1:17" x14ac:dyDescent="0.45">
      <c r="A195" s="31" t="s">
        <v>418</v>
      </c>
      <c r="B195" s="31" t="s">
        <v>105</v>
      </c>
      <c r="C195" t="str">
        <f>VLOOKUP($B195,Totalt!$B$1:$BU$497,MATCH("Kvalitetsgranskad:",Totalt!$B$1:$BU$1,0),FALSE)</f>
        <v>Ja</v>
      </c>
      <c r="E195" t="str">
        <f>VLOOKUP($B195,Miljö!$B$1:$AG$479,MATCH(E$1,Miljö!$B$1:$AK$1,0),FALSE)</f>
        <v>Ja</v>
      </c>
      <c r="F195" t="str">
        <f>VLOOKUP($B195,Miljö!$B$1:$J$479,MATCH("Typ av ursprungsspecificerad el   (Om inget värde anges används Nordisk residualmix, se inforuta) ()",Miljö!$B$1:$J$1,0),FALSE)</f>
        <v>'Ursprungsmärkt Vattenkraft'</v>
      </c>
      <c r="G195">
        <f>VLOOKUP($B195,Miljö!$B$1:$J$479,MATCH("Primärenergifaktor ()",Miljö!$B$1:$J$1,0),FALSE)</f>
        <v>1.1000000000000001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VLOOKUP($B195,Totalt!$B$1:$BU$497,MATCH("total el",Totalt!$B$1:$BU$1,0),FALSE)</f>
        <v>0.316</v>
      </c>
      <c r="N195">
        <f t="shared" ref="N195:N258" si="12">IF(ISERROR($L195*G195),"",$L195*G195)</f>
        <v>0.34760000000000002</v>
      </c>
      <c r="O195">
        <f t="shared" ref="O195:O258" si="13">IF(ISERROR($L195*H195),"",$L195*H195)</f>
        <v>0</v>
      </c>
      <c r="P195">
        <f t="shared" ref="P195:P258" si="14">IF(ISERROR($L195*I195),"",$L195*I195)</f>
        <v>0</v>
      </c>
      <c r="Q195">
        <f t="shared" ref="Q195:Q258" si="15">IF(ISERROR($L195*J195),"",$L195*J195)</f>
        <v>0</v>
      </c>
    </row>
    <row r="196" spans="1:17" x14ac:dyDescent="0.45">
      <c r="A196" s="31" t="s">
        <v>418</v>
      </c>
      <c r="B196" s="31" t="s">
        <v>107</v>
      </c>
      <c r="C196" t="str">
        <f>VLOOKUP($B196,Totalt!$B$1:$BU$497,MATCH("Kvalitetsgranskad:",Totalt!$B$1:$BU$1,0),FALSE)</f>
        <v>Ja</v>
      </c>
      <c r="E196" t="str">
        <f>VLOOKUP($B196,Miljö!$B$1:$AG$479,MATCH(E$1,Miljö!$B$1:$AK$1,0),FALSE)</f>
        <v>Ja</v>
      </c>
      <c r="F196" t="str">
        <f>VLOOKUP($B196,Miljö!$B$1:$J$479,MATCH("Typ av ursprungsspecificerad el   (Om inget värde anges används Nordisk residualmix, se inforuta) ()",Miljö!$B$1:$J$1,0),FALSE)</f>
        <v>'Ursprungsmärkt Vattenkraft'</v>
      </c>
      <c r="G196">
        <f>VLOOKUP($B196,Miljö!$B$1:$J$479,MATCH("Primärenergifaktor ()",Miljö!$B$1:$J$1,0),FALSE)</f>
        <v>1.1000000000000001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VLOOKUP($B196,Totalt!$B$1:$BU$497,MATCH("total el",Totalt!$B$1:$BU$1,0),FALSE)</f>
        <v>0.108</v>
      </c>
      <c r="N196">
        <f t="shared" si="12"/>
        <v>0.1188</v>
      </c>
      <c r="O196">
        <f t="shared" si="13"/>
        <v>0</v>
      </c>
      <c r="P196">
        <f t="shared" si="14"/>
        <v>0</v>
      </c>
      <c r="Q196">
        <f t="shared" si="15"/>
        <v>0</v>
      </c>
    </row>
    <row r="197" spans="1:17" x14ac:dyDescent="0.45">
      <c r="A197" s="31" t="s">
        <v>418</v>
      </c>
      <c r="B197" s="31" t="s">
        <v>109</v>
      </c>
      <c r="C197" t="str">
        <f>VLOOKUP($B197,Totalt!$B$1:$BU$497,MATCH("Kvalitetsgranskad:",Totalt!$B$1:$BU$1,0),FALSE)</f>
        <v>Ja</v>
      </c>
      <c r="E197" t="str">
        <f>VLOOKUP($B197,Miljö!$B$1:$AG$479,MATCH(E$1,Miljö!$B$1:$AK$1,0),FALSE)</f>
        <v>Ja</v>
      </c>
      <c r="F197" t="str">
        <f>VLOOKUP($B197,Miljö!$B$1:$J$479,MATCH("Typ av ursprungsspecificerad el   (Om inget värde anges används Nordisk residualmix, se inforuta) ()",Miljö!$B$1:$J$1,0),FALSE)</f>
        <v>'Ursprungsmärkt Vattenkraft'</v>
      </c>
      <c r="G197">
        <f>VLOOKUP($B197,Miljö!$B$1:$J$479,MATCH("Primärenergifaktor ()",Miljö!$B$1:$J$1,0),FALSE)</f>
        <v>1.1000000000000001</v>
      </c>
      <c r="H197">
        <f>VLOOKUP($B197,Miljö!$B$1:$J$479,MATCH("Koldioxidekvivalenter energiomvandling (g/kwh)",Miljö!$B$1:$J$1,0),FALSE)</f>
        <v>0</v>
      </c>
      <c r="I197">
        <f>VLOOKUP($B197,Miljö!$B$1:$J$479,MATCH("Fossilandel för ursprungspecificerad el ()",Miljö!$B$1:$J$1,0),FALSE)</f>
        <v>0</v>
      </c>
      <c r="J197">
        <f>VLOOKUP($B197,Miljö!$B$1:$J$479,MATCH("Kärnkraftsandel för ursprungsspecificerad el ()",Miljö!$B$1:$J$1,0),FALSE)</f>
        <v>0</v>
      </c>
      <c r="L197">
        <f>VLOOKUP($B197,Totalt!$B$1:$BU$497,MATCH("total el",Totalt!$B$1:$BU$1,0),FALSE)</f>
        <v>0.13</v>
      </c>
      <c r="N197">
        <f t="shared" si="12"/>
        <v>0.14300000000000002</v>
      </c>
      <c r="O197">
        <f t="shared" si="13"/>
        <v>0</v>
      </c>
      <c r="P197">
        <f t="shared" si="14"/>
        <v>0</v>
      </c>
      <c r="Q197">
        <f t="shared" si="15"/>
        <v>0</v>
      </c>
    </row>
    <row r="198" spans="1:17" x14ac:dyDescent="0.45">
      <c r="A198" s="31" t="s">
        <v>418</v>
      </c>
      <c r="B198" s="31" t="s">
        <v>420</v>
      </c>
      <c r="C198" t="str">
        <f>VLOOKUP($B198,Totalt!$B$1:$BU$497,MATCH("Kvalitetsgranskad:",Totalt!$B$1:$BU$1,0),FALSE)</f>
        <v>Ja</v>
      </c>
      <c r="E198" t="str">
        <f>VLOOKUP($B198,Miljö!$B$1:$AG$479,MATCH(E$1,Miljö!$B$1:$AK$1,0),FALSE)</f>
        <v>Ja</v>
      </c>
      <c r="F198" t="str">
        <f>VLOOKUP($B198,Miljö!$B$1:$J$479,MATCH("Typ av ursprungsspecificerad el   (Om inget värde anges används Nordisk residualmix, se inforuta) ()",Miljö!$B$1:$J$1,0),FALSE)</f>
        <v>'Ursprungsmärkt Vattenkraft'</v>
      </c>
      <c r="G198">
        <f>VLOOKUP($B198,Miljö!$B$1:$J$479,MATCH("Primärenergifaktor ()",Miljö!$B$1:$J$1,0),FALSE)</f>
        <v>1.1000000000000001</v>
      </c>
      <c r="H198">
        <f>VLOOKUP($B198,Miljö!$B$1:$J$479,MATCH("Koldioxidekvivalenter energiomvandling (g/kwh)",Miljö!$B$1:$J$1,0),FALSE)</f>
        <v>0</v>
      </c>
      <c r="I198">
        <f>VLOOKUP($B198,Miljö!$B$1:$J$479,MATCH("Fossilandel för ursprungspecificerad el ()",Miljö!$B$1:$J$1,0),FALSE)</f>
        <v>0</v>
      </c>
      <c r="J198">
        <f>VLOOKUP($B198,Miljö!$B$1:$J$479,MATCH("Kärnkraftsandel för ursprungsspecificerad el ()",Miljö!$B$1:$J$1,0),FALSE)</f>
        <v>0</v>
      </c>
      <c r="L198">
        <f>VLOOKUP($B198,Totalt!$B$1:$BU$497,MATCH("total el",Totalt!$B$1:$BU$1,0),FALSE)</f>
        <v>1.698</v>
      </c>
      <c r="N198">
        <f t="shared" si="12"/>
        <v>1.8678000000000001</v>
      </c>
      <c r="O198">
        <f t="shared" si="13"/>
        <v>0</v>
      </c>
      <c r="P198">
        <f t="shared" si="14"/>
        <v>0</v>
      </c>
      <c r="Q198">
        <f t="shared" si="15"/>
        <v>0</v>
      </c>
    </row>
    <row r="199" spans="1:17" x14ac:dyDescent="0.45">
      <c r="A199" s="31" t="s">
        <v>418</v>
      </c>
      <c r="B199" s="31" t="s">
        <v>421</v>
      </c>
      <c r="C199" t="str">
        <f>VLOOKUP($B199,Totalt!$B$1:$BU$497,MATCH("Kvalitetsgranskad:",Totalt!$B$1:$BU$1,0),FALSE)</f>
        <v>Ja</v>
      </c>
      <c r="E199" t="str">
        <f>VLOOKUP($B199,Miljö!$B$1:$AG$479,MATCH(E$1,Miljö!$B$1:$AK$1,0),FALSE)</f>
        <v>Ja</v>
      </c>
      <c r="F199" t="str">
        <f>VLOOKUP($B199,Miljö!$B$1:$J$479,MATCH("Typ av ursprungsspecificerad el   (Om inget värde anges används Nordisk residualmix, se inforuta) ()",Miljö!$B$1:$J$1,0),FALSE)</f>
        <v>'Ursprungsmärkt vattenkraft'</v>
      </c>
      <c r="G199">
        <f>VLOOKUP($B199,Miljö!$B$1:$J$479,MATCH("Primärenergifaktor ()",Miljö!$B$1:$J$1,0),FALSE)</f>
        <v>1.1000000000000001</v>
      </c>
      <c r="H199">
        <f>VLOOKUP($B199,Miljö!$B$1:$J$479,MATCH("Koldioxidekvivalenter energiomvandling (g/kwh)",Miljö!$B$1:$J$1,0),FALSE)</f>
        <v>0</v>
      </c>
      <c r="I199">
        <f>VLOOKUP($B199,Miljö!$B$1:$J$479,MATCH("Fossilandel för ursprungspecificerad el ()",Miljö!$B$1:$J$1,0),FALSE)</f>
        <v>0</v>
      </c>
      <c r="J199">
        <f>VLOOKUP($B199,Miljö!$B$1:$J$479,MATCH("Kärnkraftsandel för ursprungsspecificerad el ()",Miljö!$B$1:$J$1,0),FALSE)</f>
        <v>0</v>
      </c>
      <c r="L199">
        <f>VLOOKUP($B199,Totalt!$B$1:$BU$497,MATCH("total el",Totalt!$B$1:$BU$1,0),FALSE)</f>
        <v>0.114</v>
      </c>
      <c r="N199">
        <f t="shared" si="12"/>
        <v>0.12540000000000001</v>
      </c>
      <c r="O199">
        <f t="shared" si="13"/>
        <v>0</v>
      </c>
      <c r="P199">
        <f t="shared" si="14"/>
        <v>0</v>
      </c>
      <c r="Q199">
        <f t="shared" si="15"/>
        <v>0</v>
      </c>
    </row>
    <row r="200" spans="1:17" x14ac:dyDescent="0.45">
      <c r="A200" s="31" t="s">
        <v>418</v>
      </c>
      <c r="B200" s="31" t="s">
        <v>426</v>
      </c>
      <c r="C200" t="str">
        <f>VLOOKUP($B200,Totalt!$B$1:$BU$497,MATCH("Kvalitetsgranskad:",Totalt!$B$1:$BU$1,0),FALSE)</f>
        <v>Ja</v>
      </c>
      <c r="E200" t="str">
        <f>VLOOKUP($B200,Miljö!$B$1:$AG$479,MATCH(E$1,Miljö!$B$1:$AK$1,0),FALSE)</f>
        <v>Ja</v>
      </c>
      <c r="F200" t="str">
        <f>VLOOKUP($B200,Miljö!$B$1:$J$479,MATCH("Typ av ursprungsspecificerad el   (Om inget värde anges används Nordisk residualmix, se inforuta) ()",Miljö!$B$1:$J$1,0),FALSE)</f>
        <v>'Ursprungsmärkt Vattenkraft'</v>
      </c>
      <c r="G200">
        <f>VLOOKUP($B200,Miljö!$B$1:$J$479,MATCH("Primärenergifaktor ()",Miljö!$B$1:$J$1,0),FALSE)</f>
        <v>1.1000000000000001</v>
      </c>
      <c r="H200">
        <f>VLOOKUP($B200,Miljö!$B$1:$J$479,MATCH("Koldioxidekvivalenter energiomvandling (g/kwh)",Miljö!$B$1:$J$1,0),FALSE)</f>
        <v>0</v>
      </c>
      <c r="I200">
        <f>VLOOKUP($B200,Miljö!$B$1:$J$479,MATCH("Fossilandel för ursprungspecificerad el ()",Miljö!$B$1:$J$1,0),FALSE)</f>
        <v>0</v>
      </c>
      <c r="J200">
        <f>VLOOKUP($B200,Miljö!$B$1:$J$479,MATCH("Kärnkraftsandel för ursprungsspecificerad el ()",Miljö!$B$1:$J$1,0),FALSE)</f>
        <v>0</v>
      </c>
      <c r="L200">
        <f>VLOOKUP($B200,Totalt!$B$1:$BU$497,MATCH("total el",Totalt!$B$1:$BU$1,0),FALSE)</f>
        <v>6.7000000000000004E-2</v>
      </c>
      <c r="N200">
        <f t="shared" si="12"/>
        <v>7.3700000000000015E-2</v>
      </c>
      <c r="O200">
        <f t="shared" si="13"/>
        <v>0</v>
      </c>
      <c r="P200">
        <f t="shared" si="14"/>
        <v>0</v>
      </c>
      <c r="Q200">
        <f t="shared" si="15"/>
        <v>0</v>
      </c>
    </row>
    <row r="201" spans="1:17" x14ac:dyDescent="0.45">
      <c r="A201" s="31" t="s">
        <v>418</v>
      </c>
      <c r="B201" s="31" t="s">
        <v>419</v>
      </c>
      <c r="C201" t="str">
        <f>VLOOKUP($B201,Totalt!$B$1:$BU$497,MATCH("Kvalitetsgranskad:",Totalt!$B$1:$BU$1,0),FALSE)</f>
        <v>Ja</v>
      </c>
      <c r="E201" t="str">
        <f>VLOOKUP($B201,Miljö!$B$1:$AG$479,MATCH(E$1,Miljö!$B$1:$AK$1,0),FALSE)</f>
        <v>Ja</v>
      </c>
      <c r="F201" t="str">
        <f>VLOOKUP($B201,Miljö!$B$1:$J$479,MATCH("Typ av ursprungsspecificerad el   (Om inget värde anges används Nordisk residualmix, se inforuta) ()",Miljö!$B$1:$J$1,0),FALSE)</f>
        <v>'Ursprungsmärkt Vattenkraft'</v>
      </c>
      <c r="G201">
        <f>VLOOKUP($B201,Miljö!$B$1:$J$479,MATCH("Primärenergifaktor ()",Miljö!$B$1:$J$1,0),FALSE)</f>
        <v>1.1000000000000001</v>
      </c>
      <c r="H201">
        <f>VLOOKUP($B201,Miljö!$B$1:$J$479,MATCH("Koldioxidekvivalenter energiomvandling (g/kwh)",Miljö!$B$1:$J$1,0),FALSE)</f>
        <v>0</v>
      </c>
      <c r="I201">
        <f>VLOOKUP($B201,Miljö!$B$1:$J$479,MATCH("Fossilandel för ursprungspecificerad el ()",Miljö!$B$1:$J$1,0),FALSE)</f>
        <v>0</v>
      </c>
      <c r="J201">
        <f>VLOOKUP($B201,Miljö!$B$1:$J$479,MATCH("Kärnkraftsandel för ursprungsspecificerad el ()",Miljö!$B$1:$J$1,0),FALSE)</f>
        <v>0</v>
      </c>
      <c r="L201">
        <f>VLOOKUP($B201,Totalt!$B$1:$BU$497,MATCH("total el",Totalt!$B$1:$BU$1,0),FALSE)</f>
        <v>0.21199999999999999</v>
      </c>
      <c r="N201">
        <f t="shared" si="12"/>
        <v>0.23320000000000002</v>
      </c>
      <c r="O201">
        <f t="shared" si="13"/>
        <v>0</v>
      </c>
      <c r="P201">
        <f t="shared" si="14"/>
        <v>0</v>
      </c>
      <c r="Q201">
        <f t="shared" si="15"/>
        <v>0</v>
      </c>
    </row>
    <row r="202" spans="1:17" x14ac:dyDescent="0.45">
      <c r="A202" s="31" t="s">
        <v>418</v>
      </c>
      <c r="B202" s="31" t="s">
        <v>423</v>
      </c>
      <c r="C202" t="str">
        <f>VLOOKUP($B202,Totalt!$B$1:$BU$497,MATCH("Kvalitetsgranskad:",Totalt!$B$1:$BU$1,0),FALSE)</f>
        <v>Ja</v>
      </c>
      <c r="E202" t="str">
        <f>VLOOKUP($B202,Miljö!$B$1:$AG$479,MATCH(E$1,Miljö!$B$1:$AK$1,0),FALSE)</f>
        <v>Ja</v>
      </c>
      <c r="F202" t="str">
        <f>VLOOKUP($B202,Miljö!$B$1:$J$479,MATCH("Typ av ursprungsspecificerad el   (Om inget värde anges används Nordisk residualmix, se inforuta) ()",Miljö!$B$1:$J$1,0),FALSE)</f>
        <v>'Ursprungsmärkt Vattenkraft'</v>
      </c>
      <c r="G202">
        <f>VLOOKUP($B202,Miljö!$B$1:$J$479,MATCH("Primärenergifaktor ()",Miljö!$B$1:$J$1,0),FALSE)</f>
        <v>1.1000000000000001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VLOOKUP($B202,Totalt!$B$1:$BU$497,MATCH("total el",Totalt!$B$1:$BU$1,0),FALSE)</f>
        <v>0.23899999999999999</v>
      </c>
      <c r="N202">
        <f t="shared" si="12"/>
        <v>0.26290000000000002</v>
      </c>
      <c r="O202">
        <f t="shared" si="13"/>
        <v>0</v>
      </c>
      <c r="P202">
        <f t="shared" si="14"/>
        <v>0</v>
      </c>
      <c r="Q202">
        <f t="shared" si="15"/>
        <v>0</v>
      </c>
    </row>
    <row r="203" spans="1:17" x14ac:dyDescent="0.45">
      <c r="A203" s="31" t="s">
        <v>418</v>
      </c>
      <c r="B203" s="31" t="s">
        <v>422</v>
      </c>
      <c r="C203" t="str">
        <f>VLOOKUP($B203,Totalt!$B$1:$BU$497,MATCH("Kvalitetsgranskad:",Totalt!$B$1:$BU$1,0),FALSE)</f>
        <v>Ja</v>
      </c>
      <c r="E203" t="str">
        <f>VLOOKUP($B203,Miljö!$B$1:$AG$479,MATCH(E$1,Miljö!$B$1:$AK$1,0),FALSE)</f>
        <v>Ja</v>
      </c>
      <c r="F203" t="str">
        <f>VLOOKUP($B203,Miljö!$B$1:$J$479,MATCH("Typ av ursprungsspecificerad el   (Om inget värde anges används Nordisk residualmix, se inforuta) ()",Miljö!$B$1:$J$1,0),FALSE)</f>
        <v>'Ursprungsmärkt Vattenkraft'</v>
      </c>
      <c r="G203">
        <f>VLOOKUP($B203,Miljö!$B$1:$J$479,MATCH("Primärenergifaktor ()",Miljö!$B$1:$J$1,0),FALSE)</f>
        <v>1.1000000000000001</v>
      </c>
      <c r="H203">
        <f>VLOOKUP($B203,Miljö!$B$1:$J$479,MATCH("Koldioxidekvivalenter energiomvandling (g/kwh)",Miljö!$B$1:$J$1,0),FALSE)</f>
        <v>0</v>
      </c>
      <c r="I203">
        <f>VLOOKUP($B203,Miljö!$B$1:$J$479,MATCH("Fossilandel för ursprungspecificerad el ()",Miljö!$B$1:$J$1,0),FALSE)</f>
        <v>0</v>
      </c>
      <c r="J203">
        <f>VLOOKUP($B203,Miljö!$B$1:$J$479,MATCH("Kärnkraftsandel för ursprungsspecificerad el ()",Miljö!$B$1:$J$1,0),FALSE)</f>
        <v>0</v>
      </c>
      <c r="L203">
        <f>VLOOKUP($B203,Totalt!$B$1:$BU$497,MATCH("total el",Totalt!$B$1:$BU$1,0),FALSE)</f>
        <v>1.0999999999999999E-2</v>
      </c>
      <c r="N203">
        <f t="shared" si="12"/>
        <v>1.21E-2</v>
      </c>
      <c r="O203">
        <f t="shared" si="13"/>
        <v>0</v>
      </c>
      <c r="P203">
        <f t="shared" si="14"/>
        <v>0</v>
      </c>
      <c r="Q203">
        <f t="shared" si="15"/>
        <v>0</v>
      </c>
    </row>
    <row r="204" spans="1:17" x14ac:dyDescent="0.45">
      <c r="A204" s="31" t="s">
        <v>418</v>
      </c>
      <c r="B204" s="31" t="s">
        <v>1183</v>
      </c>
      <c r="C204" t="str">
        <f>VLOOKUP($B204,Totalt!$B$1:$BU$497,MATCH("Kvalitetsgranskad:",Totalt!$B$1:$BU$1,0),FALSE)</f>
        <v>Ja</v>
      </c>
      <c r="E204" t="str">
        <f>VLOOKUP($B204,Miljö!$B$1:$AG$479,MATCH(E$1,Miljö!$B$1:$AK$1,0),FALSE)</f>
        <v>Ja</v>
      </c>
      <c r="F204" t="str">
        <f>VLOOKUP($B204,Miljö!$B$1:$J$479,MATCH("Typ av ursprungsspecificerad el   (Om inget värde anges används Nordisk residualmix, se inforuta) ()",Miljö!$B$1:$J$1,0),FALSE)</f>
        <v>'Ursprungsmärkt Vattenkraft'</v>
      </c>
      <c r="G204">
        <f>VLOOKUP($B204,Miljö!$B$1:$J$479,MATCH("Primärenergifaktor ()",Miljö!$B$1:$J$1,0),FALSE)</f>
        <v>1.1000000000000001</v>
      </c>
      <c r="H204">
        <f>VLOOKUP($B204,Miljö!$B$1:$J$479,MATCH("Koldioxidekvivalenter energiomvandling (g/kwh)",Miljö!$B$1:$J$1,0),FALSE)</f>
        <v>0</v>
      </c>
      <c r="I204">
        <f>VLOOKUP($B204,Miljö!$B$1:$J$479,MATCH("Fossilandel för ursprungspecificerad el ()",Miljö!$B$1:$J$1,0),FALSE)</f>
        <v>0</v>
      </c>
      <c r="J204">
        <f>VLOOKUP($B204,Miljö!$B$1:$J$479,MATCH("Kärnkraftsandel för ursprungsspecificerad el ()",Miljö!$B$1:$J$1,0),FALSE)</f>
        <v>0</v>
      </c>
      <c r="L204">
        <f>VLOOKUP($B204,Totalt!$B$1:$BU$497,MATCH("total el",Totalt!$B$1:$BU$1,0),FALSE)</f>
        <v>9.9479999999999999E-2</v>
      </c>
      <c r="N204">
        <f t="shared" si="12"/>
        <v>0.10942800000000001</v>
      </c>
      <c r="O204">
        <f t="shared" si="13"/>
        <v>0</v>
      </c>
      <c r="P204">
        <f t="shared" si="14"/>
        <v>0</v>
      </c>
      <c r="Q204">
        <f t="shared" si="15"/>
        <v>0</v>
      </c>
    </row>
    <row r="205" spans="1:17" x14ac:dyDescent="0.45">
      <c r="A205" s="31" t="s">
        <v>418</v>
      </c>
      <c r="B205" s="31" t="s">
        <v>1181</v>
      </c>
      <c r="C205" t="str">
        <f>VLOOKUP($B205,Totalt!$B$1:$BU$497,MATCH("Kvalitetsgranskad:",Totalt!$B$1:$BU$1,0),FALSE)</f>
        <v>Ja</v>
      </c>
      <c r="E205" t="str">
        <f>VLOOKUP($B205,Miljö!$B$1:$AG$479,MATCH(E$1,Miljö!$B$1:$AK$1,0),FALSE)</f>
        <v>Ja</v>
      </c>
      <c r="F205" t="str">
        <f>VLOOKUP($B205,Miljö!$B$1:$J$479,MATCH("Typ av ursprungsspecificerad el   (Om inget värde anges används Nordisk residualmix, se inforuta) ()",Miljö!$B$1:$J$1,0),FALSE)</f>
        <v>'Ursprungsmärkt vattenkraft'</v>
      </c>
      <c r="G205">
        <f>VLOOKUP($B205,Miljö!$B$1:$J$479,MATCH("Primärenergifaktor ()",Miljö!$B$1:$J$1,0),FALSE)</f>
        <v>1.1000000000000001</v>
      </c>
      <c r="H205">
        <f>VLOOKUP($B205,Miljö!$B$1:$J$479,MATCH("Koldioxidekvivalenter energiomvandling (g/kwh)",Miljö!$B$1:$J$1,0),FALSE)</f>
        <v>0</v>
      </c>
      <c r="I205">
        <f>VLOOKUP($B205,Miljö!$B$1:$J$479,MATCH("Fossilandel för ursprungspecificerad el ()",Miljö!$B$1:$J$1,0),FALSE)</f>
        <v>0</v>
      </c>
      <c r="J205">
        <f>VLOOKUP($B205,Miljö!$B$1:$J$479,MATCH("Kärnkraftsandel för ursprungsspecificerad el ()",Miljö!$B$1:$J$1,0),FALSE)</f>
        <v>0</v>
      </c>
      <c r="L205">
        <f>VLOOKUP($B205,Totalt!$B$1:$BU$497,MATCH("total el",Totalt!$B$1:$BU$1,0),FALSE)</f>
        <v>7.0000000000000007E-2</v>
      </c>
      <c r="N205">
        <f t="shared" si="12"/>
        <v>7.7000000000000013E-2</v>
      </c>
      <c r="O205">
        <f t="shared" si="13"/>
        <v>0</v>
      </c>
      <c r="P205">
        <f t="shared" si="14"/>
        <v>0</v>
      </c>
      <c r="Q205">
        <f t="shared" si="15"/>
        <v>0</v>
      </c>
    </row>
    <row r="206" spans="1:17" x14ac:dyDescent="0.45">
      <c r="A206" s="31" t="s">
        <v>416</v>
      </c>
      <c r="B206" s="31" t="s">
        <v>417</v>
      </c>
      <c r="C206" t="str">
        <f>VLOOKUP($B206,Totalt!$B$1:$BU$497,MATCH("Kvalitetsgranskad:",Totalt!$B$1:$BU$1,0),FALSE)</f>
        <v>Ja</v>
      </c>
      <c r="E206" t="str">
        <f>VLOOKUP($B206,Miljö!$B$1:$AG$479,MATCH(E$1,Miljö!$B$1:$AK$1,0),FALSE)</f>
        <v>Ja</v>
      </c>
      <c r="F206" t="str">
        <f>VLOOKUP($B206,Miljö!$B$1:$J$479,MATCH("Typ av ursprungsspecificerad el   (Om inget värde anges används Nordisk residualmix, se inforuta) ()",Miljö!$B$1:$J$1,0),FALSE)</f>
        <v>'-'</v>
      </c>
      <c r="G206">
        <f>VLOOKUP($B206,Miljö!$B$1:$J$479,MATCH("Primärenergifaktor ()",Miljö!$B$1:$J$1,0),FALSE)</f>
        <v>2.2000000000000002</v>
      </c>
      <c r="H206">
        <f>VLOOKUP($B206,Miljö!$B$1:$J$479,MATCH("Koldioxidekvivalenter energiomvandling (g/kwh)",Miljö!$B$1:$J$1,0),FALSE)</f>
        <v>250.8</v>
      </c>
      <c r="I206">
        <f>VLOOKUP($B206,Miljö!$B$1:$J$479,MATCH("Fossilandel för ursprungspecificerad el ()",Miljö!$B$1:$J$1,0),FALSE)</f>
        <v>0.35</v>
      </c>
      <c r="J206">
        <f>VLOOKUP($B206,Miljö!$B$1:$J$479,MATCH("Kärnkraftsandel för ursprungsspecificerad el ()",Miljö!$B$1:$J$1,0),FALSE)</f>
        <v>0.3977</v>
      </c>
      <c r="L206">
        <f>VLOOKUP($B206,Totalt!$B$1:$BU$497,MATCH("total el",Totalt!$B$1:$BU$1,0),FALSE)</f>
        <v>0.11550000000000001</v>
      </c>
      <c r="N206">
        <f t="shared" si="12"/>
        <v>0.25410000000000005</v>
      </c>
      <c r="O206">
        <f t="shared" si="13"/>
        <v>28.967400000000001</v>
      </c>
      <c r="P206">
        <f t="shared" si="14"/>
        <v>4.0425000000000003E-2</v>
      </c>
      <c r="Q206">
        <f t="shared" si="15"/>
        <v>4.5934349999999999E-2</v>
      </c>
    </row>
    <row r="207" spans="1:17" x14ac:dyDescent="0.45">
      <c r="A207" s="31" t="s">
        <v>416</v>
      </c>
      <c r="B207" s="31" t="s">
        <v>415</v>
      </c>
      <c r="C207" t="str">
        <f>VLOOKUP($B207,Totalt!$B$1:$BU$497,MATCH("Kvalitetsgranskad:",Totalt!$B$1:$BU$1,0),FALSE)</f>
        <v>Ja</v>
      </c>
      <c r="E207" t="str">
        <f>VLOOKUP($B207,Miljö!$B$1:$AG$479,MATCH(E$1,Miljö!$B$1:$AK$1,0),FALSE)</f>
        <v>Ja</v>
      </c>
      <c r="F207" t="str">
        <f>VLOOKUP($B207,Miljö!$B$1:$J$479,MATCH("Typ av ursprungsspecificerad el   (Om inget värde anges används Nordisk residualmix, se inforuta) ()",Miljö!$B$1:$J$1,0),FALSE)</f>
        <v>'-'</v>
      </c>
      <c r="G207">
        <f>VLOOKUP($B207,Miljö!$B$1:$J$479,MATCH("Primärenergifaktor ()",Miljö!$B$1:$J$1,0),FALSE)</f>
        <v>2.2000000000000002</v>
      </c>
      <c r="H207">
        <f>VLOOKUP($B207,Miljö!$B$1:$J$479,MATCH("Koldioxidekvivalenter energiomvandling (g/kwh)",Miljö!$B$1:$J$1,0),FALSE)</f>
        <v>250.8</v>
      </c>
      <c r="I207">
        <f>VLOOKUP($B207,Miljö!$B$1:$J$479,MATCH("Fossilandel för ursprungspecificerad el ()",Miljö!$B$1:$J$1,0),FALSE)</f>
        <v>0.35</v>
      </c>
      <c r="J207">
        <f>VLOOKUP($B207,Miljö!$B$1:$J$479,MATCH("Kärnkraftsandel för ursprungsspecificerad el ()",Miljö!$B$1:$J$1,0),FALSE)</f>
        <v>0.3977</v>
      </c>
      <c r="L207">
        <f>VLOOKUP($B207,Totalt!$B$1:$BU$497,MATCH("total el",Totalt!$B$1:$BU$1,0),FALSE)</f>
        <v>1.32162</v>
      </c>
      <c r="N207">
        <f t="shared" si="12"/>
        <v>2.9075640000000003</v>
      </c>
      <c r="O207">
        <f t="shared" si="13"/>
        <v>331.46229600000004</v>
      </c>
      <c r="P207">
        <f t="shared" si="14"/>
        <v>0.46256699999999995</v>
      </c>
      <c r="Q207">
        <f t="shared" si="15"/>
        <v>0.52560827399999999</v>
      </c>
    </row>
    <row r="208" spans="1:17" x14ac:dyDescent="0.45">
      <c r="A208" s="31" t="s">
        <v>413</v>
      </c>
      <c r="B208" s="31" t="s">
        <v>414</v>
      </c>
      <c r="C208" t="str">
        <f>VLOOKUP($B208,Totalt!$B$1:$BU$497,MATCH("Kvalitetsgranskad:",Totalt!$B$1:$BU$1,0),FALSE)</f>
        <v>Ja</v>
      </c>
      <c r="E208" t="str">
        <f>VLOOKUP($B208,Miljö!$B$1:$AG$479,MATCH(E$1,Miljö!$B$1:$AK$1,0),FALSE)</f>
        <v>Ja</v>
      </c>
      <c r="F208" t="str">
        <f>VLOOKUP($B208,Miljö!$B$1:$J$479,MATCH("Typ av ursprungsspecificerad el   (Om inget värde anges används Nordisk residualmix, se inforuta) ()",Miljö!$B$1:$J$1,0),FALSE)</f>
        <v>'-'</v>
      </c>
      <c r="G208">
        <f>VLOOKUP($B208,Miljö!$B$1:$J$479,MATCH("Primärenergifaktor ()",Miljö!$B$1:$J$1,0),FALSE)</f>
        <v>2.2000000000000002</v>
      </c>
      <c r="H208">
        <f>VLOOKUP($B208,Miljö!$B$1:$J$479,MATCH("Koldioxidekvivalenter energiomvandling (g/kwh)",Miljö!$B$1:$J$1,0),FALSE)</f>
        <v>250.8</v>
      </c>
      <c r="I208">
        <f>VLOOKUP($B208,Miljö!$B$1:$J$479,MATCH("Fossilandel för ursprungspecificerad el ()",Miljö!$B$1:$J$1,0),FALSE)</f>
        <v>0.35</v>
      </c>
      <c r="J208">
        <f>VLOOKUP($B208,Miljö!$B$1:$J$479,MATCH("Kärnkraftsandel för ursprungsspecificerad el ()",Miljö!$B$1:$J$1,0),FALSE)</f>
        <v>0.3977</v>
      </c>
      <c r="L208">
        <f>VLOOKUP($B208,Totalt!$B$1:$BU$497,MATCH("total el",Totalt!$B$1:$BU$1,0),FALSE)</f>
        <v>0.12441000000000001</v>
      </c>
      <c r="N208">
        <f t="shared" si="12"/>
        <v>0.27370200000000006</v>
      </c>
      <c r="O208">
        <f t="shared" si="13"/>
        <v>31.202028000000002</v>
      </c>
      <c r="P208">
        <f t="shared" si="14"/>
        <v>4.3543499999999999E-2</v>
      </c>
      <c r="Q208">
        <f t="shared" si="15"/>
        <v>4.9477857E-2</v>
      </c>
    </row>
    <row r="209" spans="1:17" x14ac:dyDescent="0.45">
      <c r="A209" s="31" t="s">
        <v>413</v>
      </c>
      <c r="B209" s="31" t="s">
        <v>412</v>
      </c>
      <c r="C209" t="str">
        <f>VLOOKUP($B209,Totalt!$B$1:$BU$497,MATCH("Kvalitetsgranskad:",Totalt!$B$1:$BU$1,0),FALSE)</f>
        <v>Ja</v>
      </c>
      <c r="E209" t="str">
        <f>VLOOKUP($B209,Miljö!$B$1:$AG$479,MATCH(E$1,Miljö!$B$1:$AK$1,0),FALSE)</f>
        <v>Ja</v>
      </c>
      <c r="F209" t="str">
        <f>VLOOKUP($B209,Miljö!$B$1:$J$479,MATCH("Typ av ursprungsspecificerad el   (Om inget värde anges används Nordisk residualmix, se inforuta) ()",Miljö!$B$1:$J$1,0),FALSE)</f>
        <v>'-'</v>
      </c>
      <c r="G209">
        <f>VLOOKUP($B209,Miljö!$B$1:$J$479,MATCH("Primärenergifaktor ()",Miljö!$B$1:$J$1,0),FALSE)</f>
        <v>2.2000000000000002</v>
      </c>
      <c r="H209">
        <f>VLOOKUP($B209,Miljö!$B$1:$J$479,MATCH("Koldioxidekvivalenter energiomvandling (g/kwh)",Miljö!$B$1:$J$1,0),FALSE)</f>
        <v>250.8</v>
      </c>
      <c r="I209">
        <f>VLOOKUP($B209,Miljö!$B$1:$J$479,MATCH("Fossilandel för ursprungspecificerad el ()",Miljö!$B$1:$J$1,0),FALSE)</f>
        <v>0.35</v>
      </c>
      <c r="J209">
        <f>VLOOKUP($B209,Miljö!$B$1:$J$479,MATCH("Kärnkraftsandel för ursprungsspecificerad el ()",Miljö!$B$1:$J$1,0),FALSE)</f>
        <v>0.3977</v>
      </c>
      <c r="L209">
        <f>VLOOKUP($B209,Totalt!$B$1:$BU$497,MATCH("total el",Totalt!$B$1:$BU$1,0),FALSE)</f>
        <v>3.7205400000000002</v>
      </c>
      <c r="N209">
        <f t="shared" si="12"/>
        <v>8.1851880000000019</v>
      </c>
      <c r="O209">
        <f t="shared" si="13"/>
        <v>933.11143200000004</v>
      </c>
      <c r="P209">
        <f t="shared" si="14"/>
        <v>1.302189</v>
      </c>
      <c r="Q209">
        <f t="shared" si="15"/>
        <v>1.479658758</v>
      </c>
    </row>
    <row r="210" spans="1:17" x14ac:dyDescent="0.45">
      <c r="A210" s="31" t="s">
        <v>411</v>
      </c>
      <c r="B210" s="31" t="s">
        <v>410</v>
      </c>
      <c r="C210" t="str">
        <f>VLOOKUP($B210,Totalt!$B$1:$BU$497,MATCH("Kvalitetsgranskad:",Totalt!$B$1:$BU$1,0),FALSE)</f>
        <v>Ja</v>
      </c>
      <c r="E210" t="str">
        <f>VLOOKUP($B210,Miljö!$B$1:$AG$479,MATCH(E$1,Miljö!$B$1:$AK$1,0),FALSE)</f>
        <v>Ja</v>
      </c>
      <c r="F210" t="str">
        <f>VLOOKUP($B210,Miljö!$B$1:$J$479,MATCH("Typ av ursprungsspecificerad el   (Om inget värde anges används Nordisk residualmix, se inforuta) ()",Miljö!$B$1:$J$1,0),FALSE)</f>
        <v>-</v>
      </c>
      <c r="G210">
        <f>VLOOKUP($B210,Miljö!$B$1:$J$479,MATCH("Primärenergifaktor ()",Miljö!$B$1:$J$1,0),FALSE)</f>
        <v>2.2000000000000002</v>
      </c>
      <c r="H210">
        <f>VLOOKUP($B210,Miljö!$B$1:$J$479,MATCH("Koldioxidekvivalenter energiomvandling (g/kwh)",Miljö!$B$1:$J$1,0),FALSE)</f>
        <v>250.8</v>
      </c>
      <c r="I210">
        <f>VLOOKUP($B210,Miljö!$B$1:$J$479,MATCH("Fossilandel för ursprungspecificerad el ()",Miljö!$B$1:$J$1,0),FALSE)</f>
        <v>0.35</v>
      </c>
      <c r="J210">
        <f>VLOOKUP($B210,Miljö!$B$1:$J$479,MATCH("Kärnkraftsandel för ursprungsspecificerad el ()",Miljö!$B$1:$J$1,0),FALSE)</f>
        <v>0.3977</v>
      </c>
      <c r="L210">
        <f>VLOOKUP($B210,Totalt!$B$1:$BU$497,MATCH("total el",Totalt!$B$1:$BU$1,0),FALSE)</f>
        <v>0.42899999999999999</v>
      </c>
      <c r="N210">
        <f t="shared" si="12"/>
        <v>0.94380000000000008</v>
      </c>
      <c r="O210">
        <f t="shared" si="13"/>
        <v>107.5932</v>
      </c>
      <c r="P210">
        <f t="shared" si="14"/>
        <v>0.15014999999999998</v>
      </c>
      <c r="Q210">
        <f t="shared" si="15"/>
        <v>0.1706133</v>
      </c>
    </row>
    <row r="211" spans="1:17" x14ac:dyDescent="0.45">
      <c r="A211" s="31" t="s">
        <v>111</v>
      </c>
      <c r="B211" s="31" t="s">
        <v>409</v>
      </c>
      <c r="C211" t="str">
        <f>VLOOKUP($B211,Totalt!$B$1:$BU$497,MATCH("Kvalitetsgranskad:",Totalt!$B$1:$BU$1,0),FALSE)</f>
        <v>Ja</v>
      </c>
      <c r="E211" t="str">
        <f>VLOOKUP($B211,Miljö!$B$1:$AG$479,MATCH(E$1,Miljö!$B$1:$AK$1,0),FALSE)</f>
        <v>Ja</v>
      </c>
      <c r="F211" t="str">
        <f>VLOOKUP($B211,Miljö!$B$1:$J$479,MATCH("Typ av ursprungsspecificerad el   (Om inget värde anges används Nordisk residualmix, se inforuta) ()",Miljö!$B$1:$J$1,0),FALSE)</f>
        <v>'Bra Miljöval El'</v>
      </c>
      <c r="G211">
        <f>VLOOKUP($B211,Miljö!$B$1:$J$479,MATCH("Primärenergifaktor ()",Miljö!$B$1:$J$1,0),FALSE)</f>
        <v>1.03</v>
      </c>
      <c r="H211">
        <f>VLOOKUP($B211,Miljö!$B$1:$J$479,MATCH("Koldioxidekvivalenter energiomvandling (g/kwh)",Miljö!$B$1:$J$1,0),FALSE)</f>
        <v>0</v>
      </c>
      <c r="I211">
        <f>VLOOKUP($B211,Miljö!$B$1:$J$479,MATCH("Fossilandel för ursprungspecificerad el ()",Miljö!$B$1:$J$1,0),FALSE)</f>
        <v>0</v>
      </c>
      <c r="J211">
        <f>VLOOKUP($B211,Miljö!$B$1:$J$479,MATCH("Kärnkraftsandel för ursprungsspecificerad el ()",Miljö!$B$1:$J$1,0),FALSE)</f>
        <v>0</v>
      </c>
      <c r="L211">
        <f>VLOOKUP($B211,Totalt!$B$1:$BU$497,MATCH("total el",Totalt!$B$1:$BU$1,0),FALSE)</f>
        <v>138.999</v>
      </c>
      <c r="N211">
        <f t="shared" si="12"/>
        <v>143.16897</v>
      </c>
      <c r="O211">
        <f t="shared" si="13"/>
        <v>0</v>
      </c>
      <c r="P211">
        <f t="shared" si="14"/>
        <v>0</v>
      </c>
      <c r="Q211">
        <f t="shared" si="15"/>
        <v>0</v>
      </c>
    </row>
    <row r="212" spans="1:17" x14ac:dyDescent="0.45">
      <c r="A212" s="31" t="s">
        <v>406</v>
      </c>
      <c r="B212" s="31" t="s">
        <v>408</v>
      </c>
      <c r="C212" t="str">
        <f>VLOOKUP($B212,Totalt!$B$1:$BU$497,MATCH("Kvalitetsgranskad:",Totalt!$B$1:$BU$1,0),FALSE)</f>
        <v>Ja</v>
      </c>
      <c r="E212" t="str">
        <f>VLOOKUP($B212,Miljö!$B$1:$AG$479,MATCH(E$1,Miljö!$B$1:$AK$1,0),FALSE)</f>
        <v>Ja</v>
      </c>
      <c r="F212" t="str">
        <f>VLOOKUP($B212,Miljö!$B$1:$J$479,MATCH("Typ av ursprungsspecificerad el   (Om inget värde anges används Nordisk residualmix, se inforuta) ()",Miljö!$B$1:$J$1,0),FALSE)</f>
        <v>'Vattenfall EPD 100%'</v>
      </c>
      <c r="G212">
        <f>VLOOKUP($B212,Miljö!$B$1:$J$479,MATCH("Primärenergifaktor ()",Miljö!$B$1:$J$1,0),FALSE)</f>
        <v>1.1000000000000001</v>
      </c>
      <c r="H212">
        <f>VLOOKUP($B212,Miljö!$B$1:$J$479,MATCH("Koldioxidekvivalenter energiomvandling (g/kwh)",Miljö!$B$1:$J$1,0),FALSE)</f>
        <v>0</v>
      </c>
      <c r="I212">
        <f>VLOOKUP($B212,Miljö!$B$1:$J$479,MATCH("Fossilandel för ursprungspecificerad el ()",Miljö!$B$1:$J$1,0),FALSE)</f>
        <v>0</v>
      </c>
      <c r="J212">
        <f>VLOOKUP($B212,Miljö!$B$1:$J$479,MATCH("Kärnkraftsandel för ursprungsspecificerad el ()",Miljö!$B$1:$J$1,0),FALSE)</f>
        <v>0</v>
      </c>
      <c r="L212">
        <f>VLOOKUP($B212,Totalt!$B$1:$BU$497,MATCH("total el",Totalt!$B$1:$BU$1,0),FALSE)</f>
        <v>0.5</v>
      </c>
      <c r="N212">
        <f t="shared" si="12"/>
        <v>0.55000000000000004</v>
      </c>
      <c r="O212">
        <f t="shared" si="13"/>
        <v>0</v>
      </c>
      <c r="P212">
        <f t="shared" si="14"/>
        <v>0</v>
      </c>
      <c r="Q212">
        <f t="shared" si="15"/>
        <v>0</v>
      </c>
    </row>
    <row r="213" spans="1:17" x14ac:dyDescent="0.45">
      <c r="A213" s="31" t="s">
        <v>406</v>
      </c>
      <c r="B213" s="31" t="s">
        <v>407</v>
      </c>
      <c r="C213" t="str">
        <f>VLOOKUP($B213,Totalt!$B$1:$BU$497,MATCH("Kvalitetsgranskad:",Totalt!$B$1:$BU$1,0),FALSE)</f>
        <v>Ja</v>
      </c>
      <c r="E213" t="str">
        <f>VLOOKUP($B213,Miljö!$B$1:$AG$479,MATCH(E$1,Miljö!$B$1:$AK$1,0),FALSE)</f>
        <v>Ja</v>
      </c>
      <c r="F213" t="str">
        <f>VLOOKUP($B213,Miljö!$B$1:$J$479,MATCH("Typ av ursprungsspecificerad el   (Om inget värde anges används Nordisk residualmix, se inforuta) ()",Miljö!$B$1:$J$1,0),FALSE)</f>
        <v>'Vattenfall EPD 100%'</v>
      </c>
      <c r="G213">
        <f>VLOOKUP($B213,Miljö!$B$1:$J$479,MATCH("Primärenergifaktor ()",Miljö!$B$1:$J$1,0),FALSE)</f>
        <v>1.1000000000000001</v>
      </c>
      <c r="H213">
        <f>VLOOKUP($B213,Miljö!$B$1:$J$479,MATCH("Koldioxidekvivalenter energiomvandling (g/kwh)",Miljö!$B$1:$J$1,0),FALSE)</f>
        <v>0</v>
      </c>
      <c r="I213">
        <f>VLOOKUP($B213,Miljö!$B$1:$J$479,MATCH("Fossilandel för ursprungspecificerad el ()",Miljö!$B$1:$J$1,0),FALSE)</f>
        <v>0</v>
      </c>
      <c r="J213">
        <f>VLOOKUP($B213,Miljö!$B$1:$J$479,MATCH("Kärnkraftsandel för ursprungsspecificerad el ()",Miljö!$B$1:$J$1,0),FALSE)</f>
        <v>0</v>
      </c>
      <c r="L213">
        <f>VLOOKUP($B213,Totalt!$B$1:$BU$497,MATCH("total el",Totalt!$B$1:$BU$1,0),FALSE)</f>
        <v>5.9700500000000005</v>
      </c>
      <c r="N213">
        <f t="shared" si="12"/>
        <v>6.5670550000000008</v>
      </c>
      <c r="O213">
        <f t="shared" si="13"/>
        <v>0</v>
      </c>
      <c r="P213">
        <f t="shared" si="14"/>
        <v>0</v>
      </c>
      <c r="Q213">
        <f t="shared" si="15"/>
        <v>0</v>
      </c>
    </row>
    <row r="214" spans="1:17" x14ac:dyDescent="0.45">
      <c r="A214" s="31" t="s">
        <v>406</v>
      </c>
      <c r="B214" s="31" t="s">
        <v>405</v>
      </c>
      <c r="C214" t="str">
        <f>VLOOKUP($B214,Totalt!$B$1:$BU$497,MATCH("Kvalitetsgranskad:",Totalt!$B$1:$BU$1,0),FALSE)</f>
        <v>Ja</v>
      </c>
      <c r="E214" t="str">
        <f>VLOOKUP($B214,Miljö!$B$1:$AG$479,MATCH(E$1,Miljö!$B$1:$AK$1,0),FALSE)</f>
        <v>Ja</v>
      </c>
      <c r="F214" t="str">
        <f>VLOOKUP($B214,Miljö!$B$1:$J$479,MATCH("Typ av ursprungsspecificerad el   (Om inget värde anges används Nordisk residualmix, se inforuta) ()",Miljö!$B$1:$J$1,0),FALSE)</f>
        <v>'Vattenfall EPD 100%'</v>
      </c>
      <c r="G214">
        <f>VLOOKUP($B214,Miljö!$B$1:$J$479,MATCH("Primärenergifaktor ()",Miljö!$B$1:$J$1,0),FALSE)</f>
        <v>1.1000000000000001</v>
      </c>
      <c r="H214">
        <f>VLOOKUP($B214,Miljö!$B$1:$J$479,MATCH("Koldioxidekvivalenter energiomvandling (g/kwh)",Miljö!$B$1:$J$1,0),FALSE)</f>
        <v>0</v>
      </c>
      <c r="I214">
        <f>VLOOKUP($B214,Miljö!$B$1:$J$479,MATCH("Fossilandel för ursprungspecificerad el ()",Miljö!$B$1:$J$1,0),FALSE)</f>
        <v>0</v>
      </c>
      <c r="J214">
        <f>VLOOKUP($B214,Miljö!$B$1:$J$479,MATCH("Kärnkraftsandel för ursprungsspecificerad el ()",Miljö!$B$1:$J$1,0),FALSE)</f>
        <v>0</v>
      </c>
      <c r="L214">
        <f>VLOOKUP($B214,Totalt!$B$1:$BU$497,MATCH("total el",Totalt!$B$1:$BU$1,0),FALSE)</f>
        <v>0.497</v>
      </c>
      <c r="N214">
        <f t="shared" si="12"/>
        <v>0.54670000000000007</v>
      </c>
      <c r="O214">
        <f t="shared" si="13"/>
        <v>0</v>
      </c>
      <c r="P214">
        <f t="shared" si="14"/>
        <v>0</v>
      </c>
      <c r="Q214">
        <f t="shared" si="15"/>
        <v>0</v>
      </c>
    </row>
    <row r="215" spans="1:17" x14ac:dyDescent="0.45">
      <c r="A215" s="31" t="s">
        <v>404</v>
      </c>
      <c r="B215" s="31" t="s">
        <v>403</v>
      </c>
      <c r="C215" t="str">
        <f>VLOOKUP($B215,Totalt!$B$1:$BU$497,MATCH("Kvalitetsgranskad:",Totalt!$B$1:$BU$1,0),FALSE)</f>
        <v>Ja</v>
      </c>
      <c r="E215" t="str">
        <f>VLOOKUP($B215,Miljö!$B$1:$AG$479,MATCH(E$1,Miljö!$B$1:$AK$1,0),FALSE)</f>
        <v>Ja</v>
      </c>
      <c r="F215" t="str">
        <f>VLOOKUP($B215,Miljö!$B$1:$J$479,MATCH("Typ av ursprungsspecificerad el   (Om inget värde anges används Nordisk residualmix, se inforuta) ()",Miljö!$B$1:$J$1,0),FALSE)</f>
        <v>'Vattenkraft'</v>
      </c>
      <c r="G215">
        <f>VLOOKUP($B215,Miljö!$B$1:$J$479,MATCH("Primärenergifaktor ()",Miljö!$B$1:$J$1,0),FALSE)</f>
        <v>1.1000000000000001</v>
      </c>
      <c r="H215">
        <f>VLOOKUP($B215,Miljö!$B$1:$J$479,MATCH("Koldioxidekvivalenter energiomvandling (g/kwh)",Miljö!$B$1:$J$1,0),FALSE)</f>
        <v>0</v>
      </c>
      <c r="I215">
        <f>VLOOKUP($B215,Miljö!$B$1:$J$479,MATCH("Fossilandel för ursprungspecificerad el ()",Miljö!$B$1:$J$1,0),FALSE)</f>
        <v>0</v>
      </c>
      <c r="J215">
        <f>VLOOKUP($B215,Miljö!$B$1:$J$479,MATCH("Kärnkraftsandel för ursprungsspecificerad el ()",Miljö!$B$1:$J$1,0),FALSE)</f>
        <v>0</v>
      </c>
      <c r="L215">
        <f>VLOOKUP($B215,Totalt!$B$1:$BU$497,MATCH("total el",Totalt!$B$1:$BU$1,0),FALSE)</f>
        <v>0.23880000000000001</v>
      </c>
      <c r="N215">
        <f t="shared" si="12"/>
        <v>0.26268000000000002</v>
      </c>
      <c r="O215">
        <f t="shared" si="13"/>
        <v>0</v>
      </c>
      <c r="P215">
        <f t="shared" si="14"/>
        <v>0</v>
      </c>
      <c r="Q215">
        <f t="shared" si="15"/>
        <v>0</v>
      </c>
    </row>
    <row r="216" spans="1:17" x14ac:dyDescent="0.45">
      <c r="A216" s="31" t="s">
        <v>402</v>
      </c>
      <c r="B216" s="31" t="s">
        <v>401</v>
      </c>
      <c r="C216" t="str">
        <f>VLOOKUP($B216,Totalt!$B$1:$BU$497,MATCH("Kvalitetsgranskad:",Totalt!$B$1:$BU$1,0),FALSE)</f>
        <v>Ja</v>
      </c>
      <c r="E216" t="str">
        <f>VLOOKUP($B216,Miljö!$B$1:$AG$479,MATCH(E$1,Miljö!$B$1:$AK$1,0),FALSE)</f>
        <v>Ja</v>
      </c>
      <c r="F216" t="str">
        <f>VLOOKUP($B216,Miljö!$B$1:$J$479,MATCH("Typ av ursprungsspecificerad el   (Om inget värde anges används Nordisk residualmix, se inforuta) ()",Miljö!$B$1:$J$1,0),FALSE)</f>
        <v>'Biobränsle'</v>
      </c>
      <c r="G216">
        <f>VLOOKUP($B216,Miljö!$B$1:$J$479,MATCH("Primärenergifaktor ()",Miljö!$B$1:$J$1,0),FALSE)</f>
        <v>1.1000000000000001</v>
      </c>
      <c r="H216">
        <f>VLOOKUP($B216,Miljö!$B$1:$J$479,MATCH("Koldioxidekvivalenter energiomvandling (g/kwh)",Miljö!$B$1:$J$1,0),FALSE)</f>
        <v>0</v>
      </c>
      <c r="I216">
        <f>VLOOKUP($B216,Miljö!$B$1:$J$479,MATCH("Fossilandel för ursprungspecificerad el ()",Miljö!$B$1:$J$1,0),FALSE)</f>
        <v>0</v>
      </c>
      <c r="J216">
        <f>VLOOKUP($B216,Miljö!$B$1:$J$479,MATCH("Kärnkraftsandel för ursprungsspecificerad el ()",Miljö!$B$1:$J$1,0),FALSE)</f>
        <v>0</v>
      </c>
      <c r="L216">
        <f>VLOOKUP($B216,Totalt!$B$1:$BU$497,MATCH("total el",Totalt!$B$1:$BU$1,0),FALSE)</f>
        <v>7.10379</v>
      </c>
      <c r="N216">
        <f t="shared" si="12"/>
        <v>7.8141690000000006</v>
      </c>
      <c r="O216">
        <f t="shared" si="13"/>
        <v>0</v>
      </c>
      <c r="P216">
        <f t="shared" si="14"/>
        <v>0</v>
      </c>
      <c r="Q216">
        <f t="shared" si="15"/>
        <v>0</v>
      </c>
    </row>
    <row r="217" spans="1:17" x14ac:dyDescent="0.45">
      <c r="A217" s="31" t="s">
        <v>398</v>
      </c>
      <c r="B217" s="31" t="s">
        <v>400</v>
      </c>
      <c r="C217" t="str">
        <f>VLOOKUP($B217,Totalt!$B$1:$BU$497,MATCH("Kvalitetsgranskad:",Totalt!$B$1:$BU$1,0),FALSE)</f>
        <v>Ja</v>
      </c>
      <c r="E217" t="str">
        <f>VLOOKUP($B217,Miljö!$B$1:$AG$479,MATCH(E$1,Miljö!$B$1:$AK$1,0),FALSE)</f>
        <v>Ja</v>
      </c>
      <c r="F217" t="str">
        <f>VLOOKUP($B217,Miljö!$B$1:$J$479,MATCH("Typ av ursprungsspecificerad el   (Om inget värde anges används Nordisk residualmix, se inforuta) ()",Miljö!$B$1:$J$1,0),FALSE)</f>
        <v>'Bixia Miljömärkt'</v>
      </c>
      <c r="G217">
        <f>VLOOKUP($B217,Miljö!$B$1:$J$479,MATCH("Primärenergifaktor ()",Miljö!$B$1:$J$1,0),FALSE)</f>
        <v>1.1000000000000001</v>
      </c>
      <c r="H217">
        <f>VLOOKUP($B217,Miljö!$B$1:$J$479,MATCH("Koldioxidekvivalenter energiomvandling (g/kwh)",Miljö!$B$1:$J$1,0),FALSE)</f>
        <v>0</v>
      </c>
      <c r="I217">
        <f>VLOOKUP($B217,Miljö!$B$1:$J$479,MATCH("Fossilandel för ursprungspecificerad el ()",Miljö!$B$1:$J$1,0),FALSE)</f>
        <v>0</v>
      </c>
      <c r="J217">
        <f>VLOOKUP($B217,Miljö!$B$1:$J$479,MATCH("Kärnkraftsandel för ursprungsspecificerad el ()",Miljö!$B$1:$J$1,0),FALSE)</f>
        <v>0</v>
      </c>
      <c r="L217">
        <f>VLOOKUP($B217,Totalt!$B$1:$BU$497,MATCH("total el",Totalt!$B$1:$BU$1,0),FALSE)</f>
        <v>2.9000000000000001E-2</v>
      </c>
      <c r="N217">
        <f t="shared" si="12"/>
        <v>3.1900000000000005E-2</v>
      </c>
      <c r="O217">
        <f t="shared" si="13"/>
        <v>0</v>
      </c>
      <c r="P217">
        <f t="shared" si="14"/>
        <v>0</v>
      </c>
      <c r="Q217">
        <f t="shared" si="15"/>
        <v>0</v>
      </c>
    </row>
    <row r="218" spans="1:17" x14ac:dyDescent="0.45">
      <c r="A218" s="31" t="s">
        <v>398</v>
      </c>
      <c r="B218" s="31" t="s">
        <v>399</v>
      </c>
      <c r="C218" t="str">
        <f>VLOOKUP($B218,Totalt!$B$1:$BU$497,MATCH("Kvalitetsgranskad:",Totalt!$B$1:$BU$1,0),FALSE)</f>
        <v>Ja</v>
      </c>
      <c r="E218" t="str">
        <f>VLOOKUP($B218,Miljö!$B$1:$AG$479,MATCH(E$1,Miljö!$B$1:$AK$1,0),FALSE)</f>
        <v>Ja</v>
      </c>
      <c r="F218" t="str">
        <f>VLOOKUP($B218,Miljö!$B$1:$J$479,MATCH("Typ av ursprungsspecificerad el   (Om inget värde anges används Nordisk residualmix, se inforuta) ()",Miljö!$B$1:$J$1,0),FALSE)</f>
        <v>'Bixia Miljömärkt'</v>
      </c>
      <c r="G218">
        <f>VLOOKUP($B218,Miljö!$B$1:$J$479,MATCH("Primärenergifaktor ()",Miljö!$B$1:$J$1,0),FALSE)</f>
        <v>1.1000000000000001</v>
      </c>
      <c r="H218">
        <f>VLOOKUP($B218,Miljö!$B$1:$J$479,MATCH("Koldioxidekvivalenter energiomvandling (g/kwh)",Miljö!$B$1:$J$1,0),FALSE)</f>
        <v>0</v>
      </c>
      <c r="I218">
        <f>VLOOKUP($B218,Miljö!$B$1:$J$479,MATCH("Fossilandel för ursprungspecificerad el ()",Miljö!$B$1:$J$1,0),FALSE)</f>
        <v>0</v>
      </c>
      <c r="J218">
        <f>VLOOKUP($B218,Miljö!$B$1:$J$479,MATCH("Kärnkraftsandel för ursprungsspecificerad el ()",Miljö!$B$1:$J$1,0),FALSE)</f>
        <v>0</v>
      </c>
      <c r="L218">
        <f>VLOOKUP($B218,Totalt!$B$1:$BU$497,MATCH("total el",Totalt!$B$1:$BU$1,0),FALSE)</f>
        <v>0.24399999999999999</v>
      </c>
      <c r="N218">
        <f t="shared" si="12"/>
        <v>0.26840000000000003</v>
      </c>
      <c r="O218">
        <f t="shared" si="13"/>
        <v>0</v>
      </c>
      <c r="P218">
        <f t="shared" si="14"/>
        <v>0</v>
      </c>
      <c r="Q218">
        <f t="shared" si="15"/>
        <v>0</v>
      </c>
    </row>
    <row r="219" spans="1:17" x14ac:dyDescent="0.45">
      <c r="A219" s="31" t="s">
        <v>398</v>
      </c>
      <c r="B219" s="31" t="s">
        <v>397</v>
      </c>
      <c r="C219" t="str">
        <f>VLOOKUP($B219,Totalt!$B$1:$BU$497,MATCH("Kvalitetsgranskad:",Totalt!$B$1:$BU$1,0),FALSE)</f>
        <v>Ja</v>
      </c>
      <c r="E219" t="str">
        <f>VLOOKUP($B219,Miljö!$B$1:$AG$479,MATCH(E$1,Miljö!$B$1:$AK$1,0),FALSE)</f>
        <v>Ja</v>
      </c>
      <c r="F219" t="str">
        <f>VLOOKUP($B219,Miljö!$B$1:$J$479,MATCH("Typ av ursprungsspecificerad el   (Om inget värde anges används Nordisk residualmix, se inforuta) ()",Miljö!$B$1:$J$1,0),FALSE)</f>
        <v>'Bixia Miljömärkt'</v>
      </c>
      <c r="G219">
        <f>VLOOKUP($B219,Miljö!$B$1:$J$479,MATCH("Primärenergifaktor ()",Miljö!$B$1:$J$1,0),FALSE)</f>
        <v>1.1000000000000001</v>
      </c>
      <c r="H219">
        <f>VLOOKUP($B219,Miljö!$B$1:$J$479,MATCH("Koldioxidekvivalenter energiomvandling (g/kwh)",Miljö!$B$1:$J$1,0),FALSE)</f>
        <v>0</v>
      </c>
      <c r="I219">
        <f>VLOOKUP($B219,Miljö!$B$1:$J$479,MATCH("Fossilandel för ursprungspecificerad el ()",Miljö!$B$1:$J$1,0),FALSE)</f>
        <v>0</v>
      </c>
      <c r="J219">
        <f>VLOOKUP($B219,Miljö!$B$1:$J$479,MATCH("Kärnkraftsandel för ursprungsspecificerad el ()",Miljö!$B$1:$J$1,0),FALSE)</f>
        <v>0</v>
      </c>
      <c r="L219">
        <f>VLOOKUP($B219,Totalt!$B$1:$BU$497,MATCH("total el",Totalt!$B$1:$BU$1,0),FALSE)</f>
        <v>4.08392</v>
      </c>
      <c r="N219">
        <f t="shared" si="12"/>
        <v>4.4923120000000001</v>
      </c>
      <c r="O219">
        <f t="shared" si="13"/>
        <v>0</v>
      </c>
      <c r="P219">
        <f t="shared" si="14"/>
        <v>0</v>
      </c>
      <c r="Q219">
        <f t="shared" si="15"/>
        <v>0</v>
      </c>
    </row>
    <row r="220" spans="1:17" x14ac:dyDescent="0.45">
      <c r="A220" s="31" t="s">
        <v>396</v>
      </c>
      <c r="B220" s="31" t="s">
        <v>395</v>
      </c>
      <c r="C220" t="str">
        <f>VLOOKUP($B220,Totalt!$B$1:$BU$497,MATCH("Kvalitetsgranskad:",Totalt!$B$1:$BU$1,0),FALSE)</f>
        <v>Ja</v>
      </c>
      <c r="E220" t="str">
        <f>VLOOKUP($B220,Miljö!$B$1:$AG$479,MATCH(E$1,Miljö!$B$1:$AK$1,0),FALSE)</f>
        <v>Ja</v>
      </c>
      <c r="F220" t="str">
        <f>VLOOKUP($B220,Miljö!$B$1:$J$479,MATCH("Typ av ursprungsspecificerad el   (Om inget värde anges används Nordisk residualmix, se inforuta) ()",Miljö!$B$1:$J$1,0),FALSE)</f>
        <v>''Vattenkraft. Vindkraft. biobränsle och solkraft'</v>
      </c>
      <c r="G220">
        <f>VLOOKUP($B220,Miljö!$B$1:$J$479,MATCH("Primärenergifaktor ()",Miljö!$B$1:$J$1,0),FALSE)</f>
        <v>1.1000000000000001</v>
      </c>
      <c r="H220">
        <f>VLOOKUP($B220,Miljö!$B$1:$J$479,MATCH("Koldioxidekvivalenter energiomvandling (g/kwh)",Miljö!$B$1:$J$1,0),FALSE)</f>
        <v>0</v>
      </c>
      <c r="I220">
        <f>VLOOKUP($B220,Miljö!$B$1:$J$479,MATCH("Fossilandel för ursprungspecificerad el ()",Miljö!$B$1:$J$1,0),FALSE)</f>
        <v>0</v>
      </c>
      <c r="J220">
        <f>VLOOKUP($B220,Miljö!$B$1:$J$479,MATCH("Kärnkraftsandel för ursprungsspecificerad el ()",Miljö!$B$1:$J$1,0),FALSE)</f>
        <v>0</v>
      </c>
      <c r="L220">
        <f>VLOOKUP($B220,Totalt!$B$1:$BU$497,MATCH("total el",Totalt!$B$1:$BU$1,0),FALSE)</f>
        <v>1.2170000000000001</v>
      </c>
      <c r="N220">
        <f t="shared" si="12"/>
        <v>1.3387000000000002</v>
      </c>
      <c r="O220">
        <f t="shared" si="13"/>
        <v>0</v>
      </c>
      <c r="P220">
        <f t="shared" si="14"/>
        <v>0</v>
      </c>
      <c r="Q220">
        <f t="shared" si="15"/>
        <v>0</v>
      </c>
    </row>
    <row r="221" spans="1:17" x14ac:dyDescent="0.45">
      <c r="A221" s="31" t="s">
        <v>393</v>
      </c>
      <c r="B221" s="31" t="s">
        <v>392</v>
      </c>
      <c r="C221" t="str">
        <f>VLOOKUP($B221,Totalt!$B$1:$BU$497,MATCH("Kvalitetsgranskad:",Totalt!$B$1:$BU$1,0),FALSE)</f>
        <v>Nej</v>
      </c>
      <c r="E221" t="str">
        <f>VLOOKUP($B221,Miljö!$B$1:$AG$479,MATCH(E$1,Miljö!$B$1:$AK$1,0),FALSE)</f>
        <v>Nej</v>
      </c>
      <c r="F221" t="str">
        <f>VLOOKUP($B221,Miljö!$B$1:$J$479,MATCH("Typ av ursprungsspecificerad el   (Om inget värde anges används Nordisk residualmix, se inforuta) ()",Miljö!$B$1:$J$1,0),FALSE)</f>
        <v>-</v>
      </c>
      <c r="G221" t="str">
        <f>VLOOKUP($B221,Miljö!$B$1:$J$479,MATCH("Primärenergifaktor ()",Miljö!$B$1:$J$1,0),FALSE)</f>
        <v>-</v>
      </c>
      <c r="H221" t="str">
        <f>VLOOKUP($B221,Miljö!$B$1:$J$479,MATCH("Koldioxidekvivalenter energiomvandling (g/kwh)",Miljö!$B$1:$J$1,0),FALSE)</f>
        <v>-</v>
      </c>
      <c r="I221" t="str">
        <f>VLOOKUP($B221,Miljö!$B$1:$J$479,MATCH("Fossilandel för ursprungspecificerad el ()",Miljö!$B$1:$J$1,0),FALSE)</f>
        <v>-</v>
      </c>
      <c r="J221" t="str">
        <f>VLOOKUP($B221,Miljö!$B$1:$J$479,MATCH("Kärnkraftsandel för ursprungsspecificerad el ()",Miljö!$B$1:$J$1,0),FALSE)</f>
        <v>-</v>
      </c>
      <c r="L221">
        <f>VLOOKUP($B221,Totalt!$B$1:$BU$497,MATCH("total el",Totalt!$B$1:$BU$1,0),FALSE)</f>
        <v>0</v>
      </c>
      <c r="N221" t="str">
        <f t="shared" si="12"/>
        <v/>
      </c>
      <c r="O221" t="str">
        <f t="shared" si="13"/>
        <v/>
      </c>
      <c r="P221" t="str">
        <f t="shared" si="14"/>
        <v/>
      </c>
      <c r="Q221" t="str">
        <f t="shared" si="15"/>
        <v/>
      </c>
    </row>
    <row r="222" spans="1:17" x14ac:dyDescent="0.45">
      <c r="A222" s="31" t="s">
        <v>393</v>
      </c>
      <c r="B222" s="31" t="s">
        <v>394</v>
      </c>
      <c r="C222" t="str">
        <f>VLOOKUP($B222,Totalt!$B$1:$BU$497,MATCH("Kvalitetsgranskad:",Totalt!$B$1:$BU$1,0),FALSE)</f>
        <v>Nej</v>
      </c>
      <c r="E222" t="str">
        <f>VLOOKUP($B222,Miljö!$B$1:$AG$479,MATCH(E$1,Miljö!$B$1:$AK$1,0),FALSE)</f>
        <v>Nej</v>
      </c>
      <c r="F222" t="str">
        <f>VLOOKUP($B222,Miljö!$B$1:$J$479,MATCH("Typ av ursprungsspecificerad el   (Om inget värde anges används Nordisk residualmix, se inforuta) ()",Miljö!$B$1:$J$1,0),FALSE)</f>
        <v>-</v>
      </c>
      <c r="G222" t="str">
        <f>VLOOKUP($B222,Miljö!$B$1:$J$479,MATCH("Primärenergifaktor ()",Miljö!$B$1:$J$1,0),FALSE)</f>
        <v>-</v>
      </c>
      <c r="H222" t="str">
        <f>VLOOKUP($B222,Miljö!$B$1:$J$479,MATCH("Koldioxidekvivalenter energiomvandling (g/kwh)",Miljö!$B$1:$J$1,0),FALSE)</f>
        <v>-</v>
      </c>
      <c r="I222" t="str">
        <f>VLOOKUP($B222,Miljö!$B$1:$J$479,MATCH("Fossilandel för ursprungspecificerad el ()",Miljö!$B$1:$J$1,0),FALSE)</f>
        <v>-</v>
      </c>
      <c r="J222" t="str">
        <f>VLOOKUP($B222,Miljö!$B$1:$J$479,MATCH("Kärnkraftsandel för ursprungsspecificerad el ()",Miljö!$B$1:$J$1,0),FALSE)</f>
        <v>-</v>
      </c>
      <c r="L222">
        <f>VLOOKUP($B222,Totalt!$B$1:$BU$497,MATCH("total el",Totalt!$B$1:$BU$1,0),FALSE)</f>
        <v>0</v>
      </c>
      <c r="N222" t="str">
        <f t="shared" si="12"/>
        <v/>
      </c>
      <c r="O222" t="str">
        <f t="shared" si="13"/>
        <v/>
      </c>
      <c r="P222" t="str">
        <f t="shared" si="14"/>
        <v/>
      </c>
      <c r="Q222" t="str">
        <f t="shared" si="15"/>
        <v/>
      </c>
    </row>
    <row r="223" spans="1:17" x14ac:dyDescent="0.45">
      <c r="A223" s="31" t="s">
        <v>391</v>
      </c>
      <c r="B223" s="31" t="s">
        <v>390</v>
      </c>
      <c r="C223" t="str">
        <f>VLOOKUP($B223,Totalt!$B$1:$BU$497,MATCH("Kvalitetsgranskad:",Totalt!$B$1:$BU$1,0),FALSE)</f>
        <v>Ja</v>
      </c>
      <c r="E223" t="str">
        <f>VLOOKUP($B223,Miljö!$B$1:$AG$479,MATCH(E$1,Miljö!$B$1:$AK$1,0),FALSE)</f>
        <v>Ja</v>
      </c>
      <c r="F223" t="str">
        <f>VLOOKUP($B223,Miljö!$B$1:$J$479,MATCH("Typ av ursprungsspecificerad el   (Om inget värde anges används Nordisk residualmix, se inforuta) ()",Miljö!$B$1:$J$1,0),FALSE)</f>
        <v>'Vattenkraft/kärnkraft'</v>
      </c>
      <c r="G223">
        <f>VLOOKUP($B223,Miljö!$B$1:$J$479,MATCH("Primärenergifaktor ()",Miljö!$B$1:$J$1,0),FALSE)</f>
        <v>2.1</v>
      </c>
      <c r="H223">
        <f>VLOOKUP($B223,Miljö!$B$1:$J$479,MATCH("Koldioxidekvivalenter energiomvandling (g/kwh)",Miljö!$B$1:$J$1,0),FALSE)</f>
        <v>5</v>
      </c>
      <c r="I223">
        <f>VLOOKUP($B223,Miljö!$B$1:$J$479,MATCH("Fossilandel för ursprungspecificerad el ()",Miljö!$B$1:$J$1,0),FALSE)</f>
        <v>0</v>
      </c>
      <c r="J223">
        <f>VLOOKUP($B223,Miljö!$B$1:$J$479,MATCH("Kärnkraftsandel för ursprungsspecificerad el ()",Miljö!$B$1:$J$1,0),FALSE)</f>
        <v>0.5</v>
      </c>
      <c r="L223">
        <f>VLOOKUP($B223,Totalt!$B$1:$BU$497,MATCH("total el",Totalt!$B$1:$BU$1,0),FALSE)</f>
        <v>3.3291300000000001</v>
      </c>
      <c r="N223">
        <f t="shared" si="12"/>
        <v>6.9911730000000007</v>
      </c>
      <c r="O223">
        <f t="shared" si="13"/>
        <v>16.64565</v>
      </c>
      <c r="P223">
        <f t="shared" si="14"/>
        <v>0</v>
      </c>
      <c r="Q223">
        <f t="shared" si="15"/>
        <v>1.6645650000000001</v>
      </c>
    </row>
    <row r="224" spans="1:17" x14ac:dyDescent="0.45">
      <c r="A224" s="31" t="s">
        <v>389</v>
      </c>
      <c r="B224" s="31" t="s">
        <v>388</v>
      </c>
      <c r="C224" t="str">
        <f>VLOOKUP($B224,Totalt!$B$1:$BU$497,MATCH("Kvalitetsgranskad:",Totalt!$B$1:$BU$1,0),FALSE)</f>
        <v>Ja</v>
      </c>
      <c r="E224" t="str">
        <f>VLOOKUP($B224,Miljö!$B$1:$AG$479,MATCH(E$1,Miljö!$B$1:$AK$1,0),FALSE)</f>
        <v>Ja</v>
      </c>
      <c r="F224" t="str">
        <f>VLOOKUP($B224,Miljö!$B$1:$J$479,MATCH("Typ av ursprungsspecificerad el   (Om inget värde anges används Nordisk residualmix, se inforuta) ()",Miljö!$B$1:$J$1,0),FALSE)</f>
        <v>-</v>
      </c>
      <c r="G224">
        <f>VLOOKUP($B224,Miljö!$B$1:$J$479,MATCH("Primärenergifaktor ()",Miljö!$B$1:$J$1,0),FALSE)</f>
        <v>2.2000000000000002</v>
      </c>
      <c r="H224">
        <f>VLOOKUP($B224,Miljö!$B$1:$J$479,MATCH("Koldioxidekvivalenter energiomvandling (g/kwh)",Miljö!$B$1:$J$1,0),FALSE)</f>
        <v>250.8</v>
      </c>
      <c r="I224">
        <f>VLOOKUP($B224,Miljö!$B$1:$J$479,MATCH("Fossilandel för ursprungspecificerad el ()",Miljö!$B$1:$J$1,0),FALSE)</f>
        <v>0.35</v>
      </c>
      <c r="J224">
        <f>VLOOKUP($B224,Miljö!$B$1:$J$479,MATCH("Kärnkraftsandel för ursprungsspecificerad el ()",Miljö!$B$1:$J$1,0),FALSE)</f>
        <v>0.3977</v>
      </c>
      <c r="L224">
        <f>VLOOKUP($B224,Totalt!$B$1:$BU$497,MATCH("total el",Totalt!$B$1:$BU$1,0),FALSE)</f>
        <v>2.4209999999999998</v>
      </c>
      <c r="N224">
        <f t="shared" si="12"/>
        <v>5.3262</v>
      </c>
      <c r="O224">
        <f t="shared" si="13"/>
        <v>607.18679999999995</v>
      </c>
      <c r="P224">
        <f t="shared" si="14"/>
        <v>0.84734999999999994</v>
      </c>
      <c r="Q224">
        <f t="shared" si="15"/>
        <v>0.96283169999999996</v>
      </c>
    </row>
    <row r="225" spans="1:17" x14ac:dyDescent="0.45">
      <c r="A225" s="31" t="s">
        <v>387</v>
      </c>
      <c r="B225" s="31" t="s">
        <v>114</v>
      </c>
      <c r="C225" t="str">
        <f>VLOOKUP($B225,Totalt!$B$1:$BU$497,MATCH("Kvalitetsgranskad:",Totalt!$B$1:$BU$1,0),FALSE)</f>
        <v>Ja</v>
      </c>
      <c r="E225" t="str">
        <f>VLOOKUP($B225,Miljö!$B$1:$AG$479,MATCH(E$1,Miljö!$B$1:$AK$1,0),FALSE)</f>
        <v>Ja</v>
      </c>
      <c r="F225" t="str">
        <f>VLOOKUP($B225,Miljö!$B$1:$J$479,MATCH("Typ av ursprungsspecificerad el   (Om inget värde anges används Nordisk residualmix, se inforuta) ()",Miljö!$B$1:$J$1,0),FALSE)</f>
        <v>-</v>
      </c>
      <c r="G225">
        <f>VLOOKUP($B225,Miljö!$B$1:$J$479,MATCH("Primärenergifaktor ()",Miljö!$B$1:$J$1,0),FALSE)</f>
        <v>2.2000000000000002</v>
      </c>
      <c r="H225">
        <f>VLOOKUP($B225,Miljö!$B$1:$J$479,MATCH("Koldioxidekvivalenter energiomvandling (g/kwh)",Miljö!$B$1:$J$1,0),FALSE)</f>
        <v>250.8</v>
      </c>
      <c r="I225">
        <f>VLOOKUP($B225,Miljö!$B$1:$J$479,MATCH("Fossilandel för ursprungspecificerad el ()",Miljö!$B$1:$J$1,0),FALSE)</f>
        <v>0.35</v>
      </c>
      <c r="J225">
        <f>VLOOKUP($B225,Miljö!$B$1:$J$479,MATCH("Kärnkraftsandel för ursprungsspecificerad el ()",Miljö!$B$1:$J$1,0),FALSE)</f>
        <v>0.3977</v>
      </c>
      <c r="L225">
        <f>VLOOKUP($B225,Totalt!$B$1:$BU$497,MATCH("total el",Totalt!$B$1:$BU$1,0),FALSE)</f>
        <v>0.25800000000000001</v>
      </c>
      <c r="N225">
        <f t="shared" si="12"/>
        <v>0.5676000000000001</v>
      </c>
      <c r="O225">
        <f t="shared" si="13"/>
        <v>64.706400000000002</v>
      </c>
      <c r="P225">
        <f t="shared" si="14"/>
        <v>9.0299999999999991E-2</v>
      </c>
      <c r="Q225">
        <f t="shared" si="15"/>
        <v>0.10260660000000001</v>
      </c>
    </row>
    <row r="226" spans="1:17" x14ac:dyDescent="0.45">
      <c r="A226" s="31" t="s">
        <v>386</v>
      </c>
      <c r="B226" s="31" t="s">
        <v>385</v>
      </c>
      <c r="C226" t="str">
        <f>VLOOKUP($B226,Totalt!$B$1:$BU$497,MATCH("Kvalitetsgranskad:",Totalt!$B$1:$BU$1,0),FALSE)</f>
        <v>Ja</v>
      </c>
      <c r="E226" t="str">
        <f>VLOOKUP($B226,Miljö!$B$1:$AG$479,MATCH(E$1,Miljö!$B$1:$AK$1,0),FALSE)</f>
        <v>Ja</v>
      </c>
      <c r="F226" t="str">
        <f>VLOOKUP($B226,Miljö!$B$1:$J$479,MATCH("Typ av ursprungsspecificerad el   (Om inget värde anges används Nordisk residualmix, se inforuta) ()",Miljö!$B$1:$J$1,0),FALSE)</f>
        <v>'Bra miljöval'</v>
      </c>
      <c r="G226">
        <f>VLOOKUP($B226,Miljö!$B$1:$J$479,MATCH("Primärenergifaktor ()",Miljö!$B$1:$J$1,0),FALSE)</f>
        <v>1</v>
      </c>
      <c r="H226">
        <f>VLOOKUP($B226,Miljö!$B$1:$J$479,MATCH("Koldioxidekvivalenter energiomvandling (g/kwh)",Miljö!$B$1:$J$1,0),FALSE)</f>
        <v>0</v>
      </c>
      <c r="I226">
        <f>VLOOKUP($B226,Miljö!$B$1:$J$479,MATCH("Fossilandel för ursprungspecificerad el ()",Miljö!$B$1:$J$1,0),FALSE)</f>
        <v>0</v>
      </c>
      <c r="J226">
        <f>VLOOKUP($B226,Miljö!$B$1:$J$479,MATCH("Kärnkraftsandel för ursprungsspecificerad el ()",Miljö!$B$1:$J$1,0),FALSE)</f>
        <v>0</v>
      </c>
      <c r="L226">
        <f>VLOOKUP($B226,Totalt!$B$1:$BU$497,MATCH("total el",Totalt!$B$1:$BU$1,0),FALSE)</f>
        <v>1E-8</v>
      </c>
      <c r="N226">
        <f t="shared" si="12"/>
        <v>1E-8</v>
      </c>
      <c r="O226">
        <f t="shared" si="13"/>
        <v>0</v>
      </c>
      <c r="P226">
        <f t="shared" si="14"/>
        <v>0</v>
      </c>
      <c r="Q226">
        <f t="shared" si="15"/>
        <v>0</v>
      </c>
    </row>
    <row r="227" spans="1:17" x14ac:dyDescent="0.45">
      <c r="A227" s="31" t="s">
        <v>4</v>
      </c>
      <c r="B227" s="31" t="s">
        <v>5</v>
      </c>
      <c r="C227" t="str">
        <f>VLOOKUP($B227,Totalt!$B$1:$BU$497,MATCH("Kvalitetsgranskad:",Totalt!$B$1:$BU$1,0),FALSE)</f>
        <v>Nej</v>
      </c>
      <c r="E227" t="str">
        <f>VLOOKUP($B227,Miljö!$B$1:$AG$479,MATCH(E$1,Miljö!$B$1:$AK$1,0),FALSE)</f>
        <v>Nej</v>
      </c>
      <c r="F227" t="str">
        <f>VLOOKUP($B227,Miljö!$B$1:$J$479,MATCH("Typ av ursprungsspecificerad el   (Om inget värde anges används Nordisk residualmix, se inforuta) ()",Miljö!$B$1:$J$1,0),FALSE)</f>
        <v>-</v>
      </c>
      <c r="G227" t="str">
        <f>VLOOKUP($B227,Miljö!$B$1:$J$479,MATCH("Primärenergifaktor ()",Miljö!$B$1:$J$1,0),FALSE)</f>
        <v>-</v>
      </c>
      <c r="H227" t="str">
        <f>VLOOKUP($B227,Miljö!$B$1:$J$479,MATCH("Koldioxidekvivalenter energiomvandling (g/kwh)",Miljö!$B$1:$J$1,0),FALSE)</f>
        <v>-</v>
      </c>
      <c r="I227" t="str">
        <f>VLOOKUP($B227,Miljö!$B$1:$J$479,MATCH("Fossilandel för ursprungspecificerad el ()",Miljö!$B$1:$J$1,0),FALSE)</f>
        <v>-</v>
      </c>
      <c r="J227" t="str">
        <f>VLOOKUP($B227,Miljö!$B$1:$J$479,MATCH("Kärnkraftsandel för ursprungsspecificerad el ()",Miljö!$B$1:$J$1,0),FALSE)</f>
        <v>-</v>
      </c>
      <c r="L227">
        <f>VLOOKUP($B227,Totalt!$B$1:$BU$497,MATCH("total el",Totalt!$B$1:$BU$1,0),FALSE)</f>
        <v>0</v>
      </c>
      <c r="N227" t="str">
        <f t="shared" si="12"/>
        <v/>
      </c>
      <c r="O227" t="str">
        <f t="shared" si="13"/>
        <v/>
      </c>
      <c r="P227" t="str">
        <f t="shared" si="14"/>
        <v/>
      </c>
      <c r="Q227" t="str">
        <f t="shared" si="15"/>
        <v/>
      </c>
    </row>
    <row r="228" spans="1:17" x14ac:dyDescent="0.45">
      <c r="A228" s="31" t="s">
        <v>4</v>
      </c>
      <c r="B228" s="31" t="s">
        <v>382</v>
      </c>
      <c r="C228" t="str">
        <f>VLOOKUP($B228,Totalt!$B$1:$BU$497,MATCH("Kvalitetsgranskad:",Totalt!$B$1:$BU$1,0),FALSE)</f>
        <v>Nej</v>
      </c>
      <c r="E228" t="str">
        <f>VLOOKUP($B228,Miljö!$B$1:$AG$479,MATCH(E$1,Miljö!$B$1:$AK$1,0),FALSE)</f>
        <v>Nej</v>
      </c>
      <c r="F228" t="str">
        <f>VLOOKUP($B228,Miljö!$B$1:$J$479,MATCH("Typ av ursprungsspecificerad el   (Om inget värde anges används Nordisk residualmix, se inforuta) ()",Miljö!$B$1:$J$1,0),FALSE)</f>
        <v>-</v>
      </c>
      <c r="G228" t="str">
        <f>VLOOKUP($B228,Miljö!$B$1:$J$479,MATCH("Primärenergifaktor ()",Miljö!$B$1:$J$1,0),FALSE)</f>
        <v>-</v>
      </c>
      <c r="H228" t="str">
        <f>VLOOKUP($B228,Miljö!$B$1:$J$479,MATCH("Koldioxidekvivalenter energiomvandling (g/kwh)",Miljö!$B$1:$J$1,0),FALSE)</f>
        <v>-</v>
      </c>
      <c r="I228" t="str">
        <f>VLOOKUP($B228,Miljö!$B$1:$J$479,MATCH("Fossilandel för ursprungspecificerad el ()",Miljö!$B$1:$J$1,0),FALSE)</f>
        <v>-</v>
      </c>
      <c r="J228" t="str">
        <f>VLOOKUP($B228,Miljö!$B$1:$J$479,MATCH("Kärnkraftsandel för ursprungsspecificerad el ()",Miljö!$B$1:$J$1,0),FALSE)</f>
        <v>-</v>
      </c>
      <c r="L228">
        <f>VLOOKUP($B228,Totalt!$B$1:$BU$497,MATCH("total el",Totalt!$B$1:$BU$1,0),FALSE)</f>
        <v>0</v>
      </c>
      <c r="N228" t="str">
        <f t="shared" si="12"/>
        <v/>
      </c>
      <c r="O228" t="str">
        <f t="shared" si="13"/>
        <v/>
      </c>
      <c r="P228" t="str">
        <f t="shared" si="14"/>
        <v/>
      </c>
      <c r="Q228" t="str">
        <f t="shared" si="15"/>
        <v/>
      </c>
    </row>
    <row r="229" spans="1:17" x14ac:dyDescent="0.45">
      <c r="A229" s="31" t="s">
        <v>4</v>
      </c>
      <c r="B229" s="31" t="s">
        <v>383</v>
      </c>
      <c r="C229" t="str">
        <f>VLOOKUP($B229,Totalt!$B$1:$BU$497,MATCH("Kvalitetsgranskad:",Totalt!$B$1:$BU$1,0),FALSE)</f>
        <v>Nej</v>
      </c>
      <c r="E229" t="str">
        <f>VLOOKUP($B229,Miljö!$B$1:$AG$479,MATCH(E$1,Miljö!$B$1:$AK$1,0),FALSE)</f>
        <v>Nej</v>
      </c>
      <c r="F229" t="str">
        <f>VLOOKUP($B229,Miljö!$B$1:$J$479,MATCH("Typ av ursprungsspecificerad el   (Om inget värde anges används Nordisk residualmix, se inforuta) ()",Miljö!$B$1:$J$1,0),FALSE)</f>
        <v>-</v>
      </c>
      <c r="G229" t="str">
        <f>VLOOKUP($B229,Miljö!$B$1:$J$479,MATCH("Primärenergifaktor ()",Miljö!$B$1:$J$1,0),FALSE)</f>
        <v>-</v>
      </c>
      <c r="H229" t="str">
        <f>VLOOKUP($B229,Miljö!$B$1:$J$479,MATCH("Koldioxidekvivalenter energiomvandling (g/kwh)",Miljö!$B$1:$J$1,0),FALSE)</f>
        <v>-</v>
      </c>
      <c r="I229" t="str">
        <f>VLOOKUP($B229,Miljö!$B$1:$J$479,MATCH("Fossilandel för ursprungspecificerad el ()",Miljö!$B$1:$J$1,0),FALSE)</f>
        <v>-</v>
      </c>
      <c r="J229" t="str">
        <f>VLOOKUP($B229,Miljö!$B$1:$J$479,MATCH("Kärnkraftsandel för ursprungsspecificerad el ()",Miljö!$B$1:$J$1,0),FALSE)</f>
        <v>-</v>
      </c>
      <c r="L229">
        <f>VLOOKUP($B229,Totalt!$B$1:$BU$497,MATCH("total el",Totalt!$B$1:$BU$1,0),FALSE)</f>
        <v>0</v>
      </c>
      <c r="N229" t="str">
        <f t="shared" si="12"/>
        <v/>
      </c>
      <c r="O229" t="str">
        <f t="shared" si="13"/>
        <v/>
      </c>
      <c r="P229" t="str">
        <f t="shared" si="14"/>
        <v/>
      </c>
      <c r="Q229" t="str">
        <f t="shared" si="15"/>
        <v/>
      </c>
    </row>
    <row r="230" spans="1:17" x14ac:dyDescent="0.45">
      <c r="A230" s="31" t="s">
        <v>381</v>
      </c>
      <c r="B230" s="31" t="s">
        <v>380</v>
      </c>
      <c r="C230" t="str">
        <f>VLOOKUP($B230,Totalt!$B$1:$BU$497,MATCH("Kvalitetsgranskad:",Totalt!$B$1:$BU$1,0),FALSE)</f>
        <v>Ja</v>
      </c>
      <c r="E230" t="str">
        <f>VLOOKUP($B230,Miljö!$B$1:$AG$479,MATCH(E$1,Miljö!$B$1:$AK$1,0),FALSE)</f>
        <v>Ja</v>
      </c>
      <c r="F230" t="str">
        <f>VLOOKUP($B230,Miljö!$B$1:$J$479,MATCH("Typ av ursprungsspecificerad el   (Om inget värde anges används Nordisk residualmix, se inforuta) ()",Miljö!$B$1:$J$1,0),FALSE)</f>
        <v>''Vindkraft''</v>
      </c>
      <c r="G230">
        <f>VLOOKUP($B230,Miljö!$B$1:$J$479,MATCH("Primärenergifaktor ()",Miljö!$B$1:$J$1,0),FALSE)</f>
        <v>0.1</v>
      </c>
      <c r="H230">
        <f>VLOOKUP($B230,Miljö!$B$1:$J$479,MATCH("Koldioxidekvivalenter energiomvandling (g/kwh)",Miljö!$B$1:$J$1,0),FALSE)</f>
        <v>0</v>
      </c>
      <c r="I230">
        <f>VLOOKUP($B230,Miljö!$B$1:$J$479,MATCH("Fossilandel för ursprungspecificerad el ()",Miljö!$B$1:$J$1,0),FALSE)</f>
        <v>0</v>
      </c>
      <c r="J230">
        <f>VLOOKUP($B230,Miljö!$B$1:$J$479,MATCH("Kärnkraftsandel för ursprungsspecificerad el ()",Miljö!$B$1:$J$1,0),FALSE)</f>
        <v>0</v>
      </c>
      <c r="L230">
        <f>VLOOKUP($B230,Totalt!$B$1:$BU$497,MATCH("total el",Totalt!$B$1:$BU$1,0),FALSE)</f>
        <v>1.0289999999999999</v>
      </c>
      <c r="N230">
        <f t="shared" si="12"/>
        <v>0.10289999999999999</v>
      </c>
      <c r="O230">
        <f t="shared" si="13"/>
        <v>0</v>
      </c>
      <c r="P230">
        <f t="shared" si="14"/>
        <v>0</v>
      </c>
      <c r="Q230">
        <f t="shared" si="15"/>
        <v>0</v>
      </c>
    </row>
    <row r="231" spans="1:17" x14ac:dyDescent="0.45">
      <c r="A231" s="31" t="s">
        <v>376</v>
      </c>
      <c r="B231" s="31" t="s">
        <v>379</v>
      </c>
      <c r="C231" t="str">
        <f>VLOOKUP($B231,Totalt!$B$1:$BU$497,MATCH("Kvalitetsgranskad:",Totalt!$B$1:$BU$1,0),FALSE)</f>
        <v>Ja</v>
      </c>
      <c r="E231" t="str">
        <f>VLOOKUP($B231,Miljö!$B$1:$AG$479,MATCH(E$1,Miljö!$B$1:$AK$1,0),FALSE)</f>
        <v>Ja</v>
      </c>
      <c r="F231" t="str">
        <f>VLOOKUP($B231,Miljö!$B$1:$J$479,MATCH("Typ av ursprungsspecificerad el   (Om inget värde anges används Nordisk residualmix, se inforuta) ()",Miljö!$B$1:$J$1,0),FALSE)</f>
        <v>'100% förnybart'</v>
      </c>
      <c r="G231">
        <f>VLOOKUP($B231,Miljö!$B$1:$J$479,MATCH("Primärenergifaktor ()",Miljö!$B$1:$J$1,0),FALSE)</f>
        <v>1.1000000000000001</v>
      </c>
      <c r="H231">
        <f>VLOOKUP($B231,Miljö!$B$1:$J$479,MATCH("Koldioxidekvivalenter energiomvandling (g/kwh)",Miljö!$B$1:$J$1,0),FALSE)</f>
        <v>0</v>
      </c>
      <c r="I231">
        <f>VLOOKUP($B231,Miljö!$B$1:$J$479,MATCH("Fossilandel för ursprungspecificerad el ()",Miljö!$B$1:$J$1,0),FALSE)</f>
        <v>0</v>
      </c>
      <c r="J231">
        <f>VLOOKUP($B231,Miljö!$B$1:$J$479,MATCH("Kärnkraftsandel för ursprungsspecificerad el ()",Miljö!$B$1:$J$1,0),FALSE)</f>
        <v>0</v>
      </c>
      <c r="L231">
        <f>VLOOKUP($B231,Totalt!$B$1:$BU$497,MATCH("total el",Totalt!$B$1:$BU$1,0),FALSE)</f>
        <v>0.6</v>
      </c>
      <c r="N231">
        <f t="shared" si="12"/>
        <v>0.66</v>
      </c>
      <c r="O231">
        <f t="shared" si="13"/>
        <v>0</v>
      </c>
      <c r="P231">
        <f t="shared" si="14"/>
        <v>0</v>
      </c>
      <c r="Q231">
        <f t="shared" si="15"/>
        <v>0</v>
      </c>
    </row>
    <row r="232" spans="1:17" x14ac:dyDescent="0.45">
      <c r="A232" s="31" t="s">
        <v>376</v>
      </c>
      <c r="B232" s="31" t="s">
        <v>378</v>
      </c>
      <c r="C232" t="str">
        <f>VLOOKUP($B232,Totalt!$B$1:$BU$497,MATCH("Kvalitetsgranskad:",Totalt!$B$1:$BU$1,0),FALSE)</f>
        <v>Ja</v>
      </c>
      <c r="E232" t="str">
        <f>VLOOKUP($B232,Miljö!$B$1:$AG$479,MATCH(E$1,Miljö!$B$1:$AK$1,0),FALSE)</f>
        <v>Ja</v>
      </c>
      <c r="F232" t="str">
        <f>VLOOKUP($B232,Miljö!$B$1:$J$479,MATCH("Typ av ursprungsspecificerad el   (Om inget värde anges används Nordisk residualmix, se inforuta) ()",Miljö!$B$1:$J$1,0),FALSE)</f>
        <v>'100% förnybar'</v>
      </c>
      <c r="G232">
        <f>VLOOKUP($B232,Miljö!$B$1:$J$479,MATCH("Primärenergifaktor ()",Miljö!$B$1:$J$1,0),FALSE)</f>
        <v>1.1000000000000001</v>
      </c>
      <c r="H232">
        <f>VLOOKUP($B232,Miljö!$B$1:$J$479,MATCH("Koldioxidekvivalenter energiomvandling (g/kwh)",Miljö!$B$1:$J$1,0),FALSE)</f>
        <v>0</v>
      </c>
      <c r="I232">
        <f>VLOOKUP($B232,Miljö!$B$1:$J$479,MATCH("Fossilandel för ursprungspecificerad el ()",Miljö!$B$1:$J$1,0),FALSE)</f>
        <v>0</v>
      </c>
      <c r="J232">
        <f>VLOOKUP($B232,Miljö!$B$1:$J$479,MATCH("Kärnkraftsandel för ursprungsspecificerad el ()",Miljö!$B$1:$J$1,0),FALSE)</f>
        <v>0</v>
      </c>
      <c r="L232">
        <f>VLOOKUP($B232,Totalt!$B$1:$BU$497,MATCH("total el",Totalt!$B$1:$BU$1,0),FALSE)</f>
        <v>2</v>
      </c>
      <c r="N232">
        <f t="shared" si="12"/>
        <v>2.2000000000000002</v>
      </c>
      <c r="O232">
        <f t="shared" si="13"/>
        <v>0</v>
      </c>
      <c r="P232">
        <f t="shared" si="14"/>
        <v>0</v>
      </c>
      <c r="Q232">
        <f t="shared" si="15"/>
        <v>0</v>
      </c>
    </row>
    <row r="233" spans="1:17" x14ac:dyDescent="0.45">
      <c r="A233" s="31" t="s">
        <v>376</v>
      </c>
      <c r="B233" s="31" t="s">
        <v>377</v>
      </c>
      <c r="C233" t="str">
        <f>VLOOKUP($B233,Totalt!$B$1:$BU$497,MATCH("Kvalitetsgranskad:",Totalt!$B$1:$BU$1,0),FALSE)</f>
        <v>Ja</v>
      </c>
      <c r="E233" t="str">
        <f>VLOOKUP($B233,Miljö!$B$1:$AG$479,MATCH(E$1,Miljö!$B$1:$AK$1,0),FALSE)</f>
        <v>Ja</v>
      </c>
      <c r="F233" t="str">
        <f>VLOOKUP($B233,Miljö!$B$1:$J$479,MATCH("Typ av ursprungsspecificerad el   (Om inget värde anges används Nordisk residualmix, se inforuta) ()",Miljö!$B$1:$J$1,0),FALSE)</f>
        <v>'100%förnybar'</v>
      </c>
      <c r="G233">
        <f>VLOOKUP($B233,Miljö!$B$1:$J$479,MATCH("Primärenergifaktor ()",Miljö!$B$1:$J$1,0),FALSE)</f>
        <v>1.1000000000000001</v>
      </c>
      <c r="H233">
        <f>VLOOKUP($B233,Miljö!$B$1:$J$479,MATCH("Koldioxidekvivalenter energiomvandling (g/kwh)",Miljö!$B$1:$J$1,0),FALSE)</f>
        <v>0</v>
      </c>
      <c r="I233">
        <f>VLOOKUP($B233,Miljö!$B$1:$J$479,MATCH("Fossilandel för ursprungspecificerad el ()",Miljö!$B$1:$J$1,0),FALSE)</f>
        <v>0</v>
      </c>
      <c r="J233">
        <f>VLOOKUP($B233,Miljö!$B$1:$J$479,MATCH("Kärnkraftsandel för ursprungsspecificerad el ()",Miljö!$B$1:$J$1,0),FALSE)</f>
        <v>0</v>
      </c>
      <c r="L233">
        <f>VLOOKUP($B233,Totalt!$B$1:$BU$497,MATCH("total el",Totalt!$B$1:$BU$1,0),FALSE)</f>
        <v>4.53E-2</v>
      </c>
      <c r="N233">
        <f t="shared" si="12"/>
        <v>4.9830000000000006E-2</v>
      </c>
      <c r="O233">
        <f t="shared" si="13"/>
        <v>0</v>
      </c>
      <c r="P233">
        <f t="shared" si="14"/>
        <v>0</v>
      </c>
      <c r="Q233">
        <f t="shared" si="15"/>
        <v>0</v>
      </c>
    </row>
    <row r="234" spans="1:17" x14ac:dyDescent="0.45">
      <c r="A234" s="31" t="s">
        <v>376</v>
      </c>
      <c r="B234" s="31" t="s">
        <v>375</v>
      </c>
      <c r="C234" t="str">
        <f>VLOOKUP($B234,Totalt!$B$1:$BU$497,MATCH("Kvalitetsgranskad:",Totalt!$B$1:$BU$1,0),FALSE)</f>
        <v>Ja</v>
      </c>
      <c r="E234" t="str">
        <f>VLOOKUP($B234,Miljö!$B$1:$AG$479,MATCH(E$1,Miljö!$B$1:$AK$1,0),FALSE)</f>
        <v>Ja</v>
      </c>
      <c r="F234" t="str">
        <f>VLOOKUP($B234,Miljö!$B$1:$J$479,MATCH("Typ av ursprungsspecificerad el   (Om inget värde anges används Nordisk residualmix, se inforuta) ()",Miljö!$B$1:$J$1,0),FALSE)</f>
        <v>'100% förnybart'</v>
      </c>
      <c r="G234">
        <f>VLOOKUP($B234,Miljö!$B$1:$J$479,MATCH("Primärenergifaktor ()",Miljö!$B$1:$J$1,0),FALSE)</f>
        <v>1.1000000000000001</v>
      </c>
      <c r="H234">
        <f>VLOOKUP($B234,Miljö!$B$1:$J$479,MATCH("Koldioxidekvivalenter energiomvandling (g/kwh)",Miljö!$B$1:$J$1,0),FALSE)</f>
        <v>0</v>
      </c>
      <c r="I234">
        <f>VLOOKUP($B234,Miljö!$B$1:$J$479,MATCH("Fossilandel för ursprungspecificerad el ()",Miljö!$B$1:$J$1,0),FALSE)</f>
        <v>0</v>
      </c>
      <c r="J234">
        <f>VLOOKUP($B234,Miljö!$B$1:$J$479,MATCH("Kärnkraftsandel för ursprungsspecificerad el ()",Miljö!$B$1:$J$1,0),FALSE)</f>
        <v>0</v>
      </c>
      <c r="L234">
        <f>VLOOKUP($B234,Totalt!$B$1:$BU$497,MATCH("total el",Totalt!$B$1:$BU$1,0),FALSE)</f>
        <v>0.36799999999999999</v>
      </c>
      <c r="N234">
        <f t="shared" si="12"/>
        <v>0.40480000000000005</v>
      </c>
      <c r="O234">
        <f t="shared" si="13"/>
        <v>0</v>
      </c>
      <c r="P234">
        <f t="shared" si="14"/>
        <v>0</v>
      </c>
      <c r="Q234">
        <f t="shared" si="15"/>
        <v>0</v>
      </c>
    </row>
    <row r="235" spans="1:17" x14ac:dyDescent="0.45">
      <c r="A235" s="31" t="s">
        <v>374</v>
      </c>
      <c r="B235" s="31" t="s">
        <v>373</v>
      </c>
      <c r="C235" t="str">
        <f>VLOOKUP($B235,Totalt!$B$1:$BU$497,MATCH("Kvalitetsgranskad:",Totalt!$B$1:$BU$1,0),FALSE)</f>
        <v>Nej</v>
      </c>
      <c r="E235" t="str">
        <f>VLOOKUP($B235,Miljö!$B$1:$AG$479,MATCH(E$1,Miljö!$B$1:$AK$1,0),FALSE)</f>
        <v>Nej</v>
      </c>
      <c r="F235" t="str">
        <f>VLOOKUP($B235,Miljö!$B$1:$J$479,MATCH("Typ av ursprungsspecificerad el   (Om inget värde anges används Nordisk residualmix, se inforuta) ()",Miljö!$B$1:$J$1,0),FALSE)</f>
        <v>-</v>
      </c>
      <c r="G235" t="str">
        <f>VLOOKUP($B235,Miljö!$B$1:$J$479,MATCH("Primärenergifaktor ()",Miljö!$B$1:$J$1,0),FALSE)</f>
        <v>-</v>
      </c>
      <c r="H235" t="str">
        <f>VLOOKUP($B235,Miljö!$B$1:$J$479,MATCH("Koldioxidekvivalenter energiomvandling (g/kwh)",Miljö!$B$1:$J$1,0),FALSE)</f>
        <v>-</v>
      </c>
      <c r="I235" t="str">
        <f>VLOOKUP($B235,Miljö!$B$1:$J$479,MATCH("Fossilandel för ursprungspecificerad el ()",Miljö!$B$1:$J$1,0),FALSE)</f>
        <v>-</v>
      </c>
      <c r="J235" t="str">
        <f>VLOOKUP($B235,Miljö!$B$1:$J$479,MATCH("Kärnkraftsandel för ursprungsspecificerad el ()",Miljö!$B$1:$J$1,0),FALSE)</f>
        <v>-</v>
      </c>
      <c r="L235">
        <f>VLOOKUP($B235,Totalt!$B$1:$BU$497,MATCH("total el",Totalt!$B$1:$BU$1,0),FALSE)</f>
        <v>0</v>
      </c>
      <c r="N235" t="str">
        <f t="shared" si="12"/>
        <v/>
      </c>
      <c r="O235" t="str">
        <f t="shared" si="13"/>
        <v/>
      </c>
      <c r="P235" t="str">
        <f t="shared" si="14"/>
        <v/>
      </c>
      <c r="Q235" t="str">
        <f t="shared" si="15"/>
        <v/>
      </c>
    </row>
    <row r="236" spans="1:17" x14ac:dyDescent="0.45">
      <c r="A236" s="31" t="s">
        <v>371</v>
      </c>
      <c r="B236" s="31" t="s">
        <v>372</v>
      </c>
      <c r="C236" t="str">
        <f>VLOOKUP($B236,Totalt!$B$1:$BU$497,MATCH("Kvalitetsgranskad:",Totalt!$B$1:$BU$1,0),FALSE)</f>
        <v>Ja</v>
      </c>
      <c r="E236" t="str">
        <f>VLOOKUP($B236,Miljö!$B$1:$AG$479,MATCH(E$1,Miljö!$B$1:$AK$1,0),FALSE)</f>
        <v>Ja</v>
      </c>
      <c r="F236" t="str">
        <f>VLOOKUP($B236,Miljö!$B$1:$J$479,MATCH("Typ av ursprungsspecificerad el   (Om inget värde anges används Nordisk residualmix, se inforuta) ()",Miljö!$B$1:$J$1,0),FALSE)</f>
        <v>'Bra Miljöval'</v>
      </c>
      <c r="G236">
        <f>VLOOKUP($B236,Miljö!$B$1:$J$479,MATCH("Primärenergifaktor ()",Miljö!$B$1:$J$1,0),FALSE)</f>
        <v>1.1000000000000001</v>
      </c>
      <c r="H236">
        <f>VLOOKUP($B236,Miljö!$B$1:$J$479,MATCH("Koldioxidekvivalenter energiomvandling (g/kwh)",Miljö!$B$1:$J$1,0),FALSE)</f>
        <v>1.3</v>
      </c>
      <c r="I236">
        <f>VLOOKUP($B236,Miljö!$B$1:$J$479,MATCH("Fossilandel för ursprungspecificerad el ()",Miljö!$B$1:$J$1,0),FALSE)</f>
        <v>0</v>
      </c>
      <c r="J236">
        <f>VLOOKUP($B236,Miljö!$B$1:$J$479,MATCH("Kärnkraftsandel för ursprungsspecificerad el ()",Miljö!$B$1:$J$1,0),FALSE)</f>
        <v>0</v>
      </c>
      <c r="L236">
        <f>VLOOKUP($B236,Totalt!$B$1:$BU$497,MATCH("total el",Totalt!$B$1:$BU$1,0),FALSE)</f>
        <v>0.42</v>
      </c>
      <c r="N236">
        <f t="shared" si="12"/>
        <v>0.46200000000000002</v>
      </c>
      <c r="O236">
        <f t="shared" si="13"/>
        <v>0.54600000000000004</v>
      </c>
      <c r="P236">
        <f t="shared" si="14"/>
        <v>0</v>
      </c>
      <c r="Q236">
        <f t="shared" si="15"/>
        <v>0</v>
      </c>
    </row>
    <row r="237" spans="1:17" x14ac:dyDescent="0.45">
      <c r="A237" s="31" t="s">
        <v>371</v>
      </c>
      <c r="B237" s="31" t="s">
        <v>370</v>
      </c>
      <c r="C237" t="str">
        <f>VLOOKUP($B237,Totalt!$B$1:$BU$497,MATCH("Kvalitetsgranskad:",Totalt!$B$1:$BU$1,0),FALSE)</f>
        <v>Ja</v>
      </c>
      <c r="E237" t="str">
        <f>VLOOKUP($B237,Miljö!$B$1:$AG$479,MATCH(E$1,Miljö!$B$1:$AK$1,0),FALSE)</f>
        <v>Ja</v>
      </c>
      <c r="F237" t="str">
        <f>VLOOKUP($B237,Miljö!$B$1:$J$479,MATCH("Typ av ursprungsspecificerad el   (Om inget värde anges används Nordisk residualmix, se inforuta) ()",Miljö!$B$1:$J$1,0),FALSE)</f>
        <v>'Bra Miljöval'</v>
      </c>
      <c r="G237">
        <f>VLOOKUP($B237,Miljö!$B$1:$J$479,MATCH("Primärenergifaktor ()",Miljö!$B$1:$J$1,0),FALSE)</f>
        <v>1.1000000000000001</v>
      </c>
      <c r="H237">
        <f>VLOOKUP($B237,Miljö!$B$1:$J$479,MATCH("Koldioxidekvivalenter energiomvandling (g/kwh)",Miljö!$B$1:$J$1,0),FALSE)</f>
        <v>1.3</v>
      </c>
      <c r="I237">
        <f>VLOOKUP($B237,Miljö!$B$1:$J$479,MATCH("Fossilandel för ursprungspecificerad el ()",Miljö!$B$1:$J$1,0),FALSE)</f>
        <v>0</v>
      </c>
      <c r="J237">
        <f>VLOOKUP($B237,Miljö!$B$1:$J$479,MATCH("Kärnkraftsandel för ursprungsspecificerad el ()",Miljö!$B$1:$J$1,0),FALSE)</f>
        <v>0</v>
      </c>
      <c r="L237">
        <f>VLOOKUP($B237,Totalt!$B$1:$BU$497,MATCH("total el",Totalt!$B$1:$BU$1,0),FALSE)</f>
        <v>2.7705500000000001</v>
      </c>
      <c r="N237">
        <f t="shared" si="12"/>
        <v>3.0476050000000003</v>
      </c>
      <c r="O237">
        <f t="shared" si="13"/>
        <v>3.601715</v>
      </c>
      <c r="P237">
        <f t="shared" si="14"/>
        <v>0</v>
      </c>
      <c r="Q237">
        <f t="shared" si="15"/>
        <v>0</v>
      </c>
    </row>
    <row r="238" spans="1:17" x14ac:dyDescent="0.45">
      <c r="A238" s="31" t="s">
        <v>369</v>
      </c>
      <c r="B238" s="31" t="s">
        <v>368</v>
      </c>
      <c r="C238" t="str">
        <f>VLOOKUP($B238,Totalt!$B$1:$BU$497,MATCH("Kvalitetsgranskad:",Totalt!$B$1:$BU$1,0),FALSE)</f>
        <v>Ja</v>
      </c>
      <c r="E238" t="str">
        <f>VLOOKUP($B238,Miljö!$B$1:$AG$479,MATCH(E$1,Miljö!$B$1:$AK$1,0),FALSE)</f>
        <v>Ja</v>
      </c>
      <c r="F238" t="str">
        <f>VLOOKUP($B238,Miljö!$B$1:$J$479,MATCH("Typ av ursprungsspecificerad el   (Om inget värde anges används Nordisk residualmix, se inforuta) ()",Miljö!$B$1:$J$1,0),FALSE)</f>
        <v>-</v>
      </c>
      <c r="G238">
        <f>VLOOKUP($B238,Miljö!$B$1:$J$479,MATCH("Primärenergifaktor ()",Miljö!$B$1:$J$1,0),FALSE)</f>
        <v>2.2000000000000002</v>
      </c>
      <c r="H238">
        <f>VLOOKUP($B238,Miljö!$B$1:$J$479,MATCH("Koldioxidekvivalenter energiomvandling (g/kwh)",Miljö!$B$1:$J$1,0),FALSE)</f>
        <v>250.8</v>
      </c>
      <c r="I238">
        <f>VLOOKUP($B238,Miljö!$B$1:$J$479,MATCH("Fossilandel för ursprungspecificerad el ()",Miljö!$B$1:$J$1,0),FALSE)</f>
        <v>0.35</v>
      </c>
      <c r="J238">
        <f>VLOOKUP($B238,Miljö!$B$1:$J$479,MATCH("Kärnkraftsandel för ursprungsspecificerad el ()",Miljö!$B$1:$J$1,0),FALSE)</f>
        <v>0.3977</v>
      </c>
      <c r="L238">
        <f>VLOOKUP($B238,Totalt!$B$1:$BU$497,MATCH("total el",Totalt!$B$1:$BU$1,0),FALSE)</f>
        <v>1.6</v>
      </c>
      <c r="N238">
        <f t="shared" si="12"/>
        <v>3.5200000000000005</v>
      </c>
      <c r="O238">
        <f t="shared" si="13"/>
        <v>401.28000000000003</v>
      </c>
      <c r="P238">
        <f t="shared" si="14"/>
        <v>0.55999999999999994</v>
      </c>
      <c r="Q238">
        <f t="shared" si="15"/>
        <v>0.63632</v>
      </c>
    </row>
    <row r="239" spans="1:17" x14ac:dyDescent="0.45">
      <c r="A239" s="31" t="s">
        <v>367</v>
      </c>
      <c r="B239" s="31" t="s">
        <v>366</v>
      </c>
      <c r="C239" t="str">
        <f>VLOOKUP($B239,Totalt!$B$1:$BU$497,MATCH("Kvalitetsgranskad:",Totalt!$B$1:$BU$1,0),FALSE)</f>
        <v>Ja</v>
      </c>
      <c r="E239" t="str">
        <f>VLOOKUP($B239,Miljö!$B$1:$AG$479,MATCH(E$1,Miljö!$B$1:$AK$1,0),FALSE)</f>
        <v>Ja</v>
      </c>
      <c r="F239" t="str">
        <f>VLOOKUP($B239,Miljö!$B$1:$J$479,MATCH("Typ av ursprungsspecificerad el   (Om inget värde anges används Nordisk residualmix, se inforuta) ()",Miljö!$B$1:$J$1,0),FALSE)</f>
        <v>'Förnybart'</v>
      </c>
      <c r="G239">
        <f>VLOOKUP($B239,Miljö!$B$1:$J$479,MATCH("Primärenergifaktor ()",Miljö!$B$1:$J$1,0),FALSE)</f>
        <v>1.1000000000000001</v>
      </c>
      <c r="H239">
        <f>VLOOKUP($B239,Miljö!$B$1:$J$479,MATCH("Koldioxidekvivalenter energiomvandling (g/kwh)",Miljö!$B$1:$J$1,0),FALSE)</f>
        <v>1.71</v>
      </c>
      <c r="I239">
        <f>VLOOKUP($B239,Miljö!$B$1:$J$479,MATCH("Fossilandel för ursprungspecificerad el ()",Miljö!$B$1:$J$1,0),FALSE)</f>
        <v>0</v>
      </c>
      <c r="J239">
        <f>VLOOKUP($B239,Miljö!$B$1:$J$479,MATCH("Kärnkraftsandel för ursprungsspecificerad el ()",Miljö!$B$1:$J$1,0),FALSE)</f>
        <v>0</v>
      </c>
      <c r="L239">
        <f>VLOOKUP($B239,Totalt!$B$1:$BU$497,MATCH("total el",Totalt!$B$1:$BU$1,0),FALSE)</f>
        <v>3.2979099999999999</v>
      </c>
      <c r="N239">
        <f t="shared" si="12"/>
        <v>3.6277010000000001</v>
      </c>
      <c r="O239">
        <f t="shared" si="13"/>
        <v>5.6394260999999997</v>
      </c>
      <c r="P239">
        <f t="shared" si="14"/>
        <v>0</v>
      </c>
      <c r="Q239">
        <f t="shared" si="15"/>
        <v>0</v>
      </c>
    </row>
    <row r="240" spans="1:17" x14ac:dyDescent="0.45">
      <c r="A240" s="31" t="s">
        <v>364</v>
      </c>
      <c r="B240" s="31" t="s">
        <v>363</v>
      </c>
      <c r="C240" t="str">
        <f>VLOOKUP($B240,Totalt!$B$1:$BU$497,MATCH("Kvalitetsgranskad:",Totalt!$B$1:$BU$1,0),FALSE)</f>
        <v>Ja</v>
      </c>
      <c r="E240" t="str">
        <f>VLOOKUP($B240,Miljö!$B$1:$AG$479,MATCH(E$1,Miljö!$B$1:$AK$1,0),FALSE)</f>
        <v>Ja</v>
      </c>
      <c r="F240" t="str">
        <f>VLOOKUP($B240,Miljö!$B$1:$J$479,MATCH("Typ av ursprungsspecificerad el   (Om inget värde anges används Nordisk residualmix, se inforuta) ()",Miljö!$B$1:$J$1,0),FALSE)</f>
        <v>'Nordisk residualmix'</v>
      </c>
      <c r="G240">
        <f>VLOOKUP($B240,Miljö!$B$1:$J$479,MATCH("Primärenergifaktor ()",Miljö!$B$1:$J$1,0),FALSE)</f>
        <v>2.2000000000000002</v>
      </c>
      <c r="H240">
        <f>VLOOKUP($B240,Miljö!$B$1:$J$479,MATCH("Koldioxidekvivalenter energiomvandling (g/kwh)",Miljö!$B$1:$J$1,0),FALSE)</f>
        <v>250.8</v>
      </c>
      <c r="I240">
        <f>VLOOKUP($B240,Miljö!$B$1:$J$479,MATCH("Fossilandel för ursprungspecificerad el ()",Miljö!$B$1:$J$1,0),FALSE)</f>
        <v>0.35</v>
      </c>
      <c r="J240">
        <f>VLOOKUP($B240,Miljö!$B$1:$J$479,MATCH("Kärnkraftsandel för ursprungsspecificerad el ()",Miljö!$B$1:$J$1,0),FALSE)</f>
        <v>0.3977</v>
      </c>
      <c r="L240">
        <f>VLOOKUP($B240,Totalt!$B$1:$BU$497,MATCH("total el",Totalt!$B$1:$BU$1,0),FALSE)</f>
        <v>8.2230000000000008</v>
      </c>
      <c r="N240">
        <f t="shared" si="12"/>
        <v>18.090600000000002</v>
      </c>
      <c r="O240">
        <f t="shared" si="13"/>
        <v>2062.3284000000003</v>
      </c>
      <c r="P240">
        <f t="shared" si="14"/>
        <v>2.87805</v>
      </c>
      <c r="Q240">
        <f t="shared" si="15"/>
        <v>3.2702871000000004</v>
      </c>
    </row>
    <row r="241" spans="1:17" x14ac:dyDescent="0.45">
      <c r="A241" s="31" t="s">
        <v>362</v>
      </c>
      <c r="B241" s="31" t="s">
        <v>361</v>
      </c>
      <c r="C241" t="str">
        <f>VLOOKUP($B241,Totalt!$B$1:$BU$497,MATCH("Kvalitetsgranskad:",Totalt!$B$1:$BU$1,0),FALSE)</f>
        <v>Ja</v>
      </c>
      <c r="E241" t="str">
        <f>VLOOKUP($B241,Miljö!$B$1:$AG$479,MATCH(E$1,Miljö!$B$1:$AK$1,0),FALSE)</f>
        <v>Ja</v>
      </c>
      <c r="F241" t="str">
        <f>VLOOKUP($B241,Miljö!$B$1:$J$479,MATCH("Typ av ursprungsspecificerad el   (Om inget värde anges används Nordisk residualmix, se inforuta) ()",Miljö!$B$1:$J$1,0),FALSE)</f>
        <v>'Eskilstuna Bioel'</v>
      </c>
      <c r="G241">
        <f>VLOOKUP($B241,Miljö!$B$1:$J$479,MATCH("Primärenergifaktor ()",Miljö!$B$1:$J$1,0),FALSE)</f>
        <v>0.03</v>
      </c>
      <c r="H241">
        <f>VLOOKUP($B241,Miljö!$B$1:$J$479,MATCH("Koldioxidekvivalenter energiomvandling (g/kwh)",Miljö!$B$1:$J$1,0),FALSE)</f>
        <v>30</v>
      </c>
      <c r="I241">
        <f>VLOOKUP($B241,Miljö!$B$1:$J$479,MATCH("Fossilandel för ursprungspecificerad el ()",Miljö!$B$1:$J$1,0),FALSE)</f>
        <v>0</v>
      </c>
      <c r="J241">
        <f>VLOOKUP($B241,Miljö!$B$1:$J$479,MATCH("Kärnkraftsandel för ursprungsspecificerad el ()",Miljö!$B$1:$J$1,0),FALSE)</f>
        <v>0</v>
      </c>
      <c r="L241">
        <f>VLOOKUP($B241,Totalt!$B$1:$BU$497,MATCH("total el",Totalt!$B$1:$BU$1,0),FALSE)</f>
        <v>4.3133499999999998</v>
      </c>
      <c r="N241">
        <f t="shared" si="12"/>
        <v>0.1294005</v>
      </c>
      <c r="O241">
        <f t="shared" si="13"/>
        <v>129.40049999999999</v>
      </c>
      <c r="P241">
        <f t="shared" si="14"/>
        <v>0</v>
      </c>
      <c r="Q241">
        <f t="shared" si="15"/>
        <v>0</v>
      </c>
    </row>
    <row r="242" spans="1:17" x14ac:dyDescent="0.45">
      <c r="A242" s="31" t="s">
        <v>360</v>
      </c>
      <c r="B242" s="31" t="s">
        <v>359</v>
      </c>
      <c r="C242" t="str">
        <f>VLOOKUP($B242,Totalt!$B$1:$BU$497,MATCH("Kvalitetsgranskad:",Totalt!$B$1:$BU$1,0),FALSE)</f>
        <v>Ja</v>
      </c>
      <c r="E242" t="str">
        <f>VLOOKUP($B242,Miljö!$B$1:$AG$479,MATCH(E$1,Miljö!$B$1:$AK$1,0),FALSE)</f>
        <v>Ja</v>
      </c>
      <c r="F242" t="str">
        <f>VLOOKUP($B242,Miljö!$B$1:$J$479,MATCH("Typ av ursprungsspecificerad el   (Om inget värde anges används Nordisk residualmix, se inforuta) ()",Miljö!$B$1:$J$1,0),FALSE)</f>
        <v>-</v>
      </c>
      <c r="G242">
        <f>VLOOKUP($B242,Miljö!$B$1:$J$479,MATCH("Primärenergifaktor ()",Miljö!$B$1:$J$1,0),FALSE)</f>
        <v>2.2000000000000002</v>
      </c>
      <c r="H242">
        <f>VLOOKUP($B242,Miljö!$B$1:$J$479,MATCH("Koldioxidekvivalenter energiomvandling (g/kwh)",Miljö!$B$1:$J$1,0),FALSE)</f>
        <v>250.8</v>
      </c>
      <c r="I242">
        <f>VLOOKUP($B242,Miljö!$B$1:$J$479,MATCH("Fossilandel för ursprungspecificerad el ()",Miljö!$B$1:$J$1,0),FALSE)</f>
        <v>0.35</v>
      </c>
      <c r="J242">
        <f>VLOOKUP($B242,Miljö!$B$1:$J$479,MATCH("Kärnkraftsandel för ursprungsspecificerad el ()",Miljö!$B$1:$J$1,0),FALSE)</f>
        <v>0.3977</v>
      </c>
      <c r="L242">
        <f>VLOOKUP($B242,Totalt!$B$1:$BU$497,MATCH("total el",Totalt!$B$1:$BU$1,0),FALSE)</f>
        <v>1.91</v>
      </c>
      <c r="N242">
        <f t="shared" si="12"/>
        <v>4.202</v>
      </c>
      <c r="O242">
        <f t="shared" si="13"/>
        <v>479.02800000000002</v>
      </c>
      <c r="P242">
        <f t="shared" si="14"/>
        <v>0.66849999999999998</v>
      </c>
      <c r="Q242">
        <f t="shared" si="15"/>
        <v>0.75960699999999992</v>
      </c>
    </row>
    <row r="243" spans="1:17" x14ac:dyDescent="0.45">
      <c r="A243" s="31" t="s">
        <v>342</v>
      </c>
      <c r="B243" s="31" t="s">
        <v>358</v>
      </c>
      <c r="C243" t="str">
        <f>VLOOKUP($B243,Totalt!$B$1:$BU$497,MATCH("Kvalitetsgranskad:",Totalt!$B$1:$BU$1,0),FALSE)</f>
        <v>Ja</v>
      </c>
      <c r="E243" t="str">
        <f>VLOOKUP($B243,Miljö!$B$1:$AG$479,MATCH(E$1,Miljö!$B$1:$AK$1,0),FALSE)</f>
        <v>Ja</v>
      </c>
      <c r="F243" t="str">
        <f>VLOOKUP($B243,Miljö!$B$1:$J$479,MATCH("Typ av ursprungsspecificerad el   (Om inget värde anges används Nordisk residualmix, se inforuta) ()",Miljö!$B$1:$J$1,0),FALSE)</f>
        <v>-</v>
      </c>
      <c r="G243">
        <f>VLOOKUP($B243,Miljö!$B$1:$J$479,MATCH("Primärenergifaktor ()",Miljö!$B$1:$J$1,0),FALSE)</f>
        <v>0.73</v>
      </c>
      <c r="H243">
        <f>VLOOKUP($B243,Miljö!$B$1:$J$479,MATCH("Koldioxidekvivalenter energiomvandling (g/kwh)",Miljö!$B$1:$J$1,0),FALSE)</f>
        <v>0</v>
      </c>
      <c r="I243">
        <f>VLOOKUP($B243,Miljö!$B$1:$J$479,MATCH("Fossilandel för ursprungspecificerad el ()",Miljö!$B$1:$J$1,0),FALSE)</f>
        <v>0</v>
      </c>
      <c r="J243">
        <f>VLOOKUP($B243,Miljö!$B$1:$J$479,MATCH("Kärnkraftsandel för ursprungsspecificerad el ()",Miljö!$B$1:$J$1,0),FALSE)</f>
        <v>0</v>
      </c>
      <c r="L243">
        <f>VLOOKUP($B243,Totalt!$B$1:$BU$497,MATCH("total el",Totalt!$B$1:$BU$1,0),FALSE)</f>
        <v>0.12</v>
      </c>
      <c r="N243">
        <f t="shared" si="12"/>
        <v>8.7599999999999997E-2</v>
      </c>
      <c r="O243">
        <f t="shared" si="13"/>
        <v>0</v>
      </c>
      <c r="P243">
        <f t="shared" si="14"/>
        <v>0</v>
      </c>
      <c r="Q243">
        <f t="shared" si="15"/>
        <v>0</v>
      </c>
    </row>
    <row r="244" spans="1:17" x14ac:dyDescent="0.45">
      <c r="A244" s="31" t="s">
        <v>342</v>
      </c>
      <c r="B244" s="31" t="s">
        <v>357</v>
      </c>
      <c r="C244" t="str">
        <f>VLOOKUP($B244,Totalt!$B$1:$BU$497,MATCH("Kvalitetsgranskad:",Totalt!$B$1:$BU$1,0),FALSE)</f>
        <v>Ja</v>
      </c>
      <c r="E244" t="str">
        <f>VLOOKUP($B244,Miljö!$B$1:$AG$479,MATCH(E$1,Miljö!$B$1:$AK$1,0),FALSE)</f>
        <v>Ja</v>
      </c>
      <c r="F244" t="str">
        <f>VLOOKUP($B244,Miljö!$B$1:$J$479,MATCH("Typ av ursprungsspecificerad el   (Om inget värde anges används Nordisk residualmix, se inforuta) ()",Miljö!$B$1:$J$1,0),FALSE)</f>
        <v>-</v>
      </c>
      <c r="G244">
        <f>VLOOKUP($B244,Miljö!$B$1:$J$479,MATCH("Primärenergifaktor ()",Miljö!$B$1:$J$1,0),FALSE)</f>
        <v>0.73</v>
      </c>
      <c r="H244">
        <f>VLOOKUP($B244,Miljö!$B$1:$J$479,MATCH("Koldioxidekvivalenter energiomvandling (g/kwh)",Miljö!$B$1:$J$1,0),FALSE)</f>
        <v>0</v>
      </c>
      <c r="I244">
        <f>VLOOKUP($B244,Miljö!$B$1:$J$479,MATCH("Fossilandel för ursprungspecificerad el ()",Miljö!$B$1:$J$1,0),FALSE)</f>
        <v>0</v>
      </c>
      <c r="J244">
        <f>VLOOKUP($B244,Miljö!$B$1:$J$479,MATCH("Kärnkraftsandel för ursprungsspecificerad el ()",Miljö!$B$1:$J$1,0),FALSE)</f>
        <v>0</v>
      </c>
      <c r="L244">
        <f>VLOOKUP($B244,Totalt!$B$1:$BU$497,MATCH("total el",Totalt!$B$1:$BU$1,0),FALSE)</f>
        <v>0.107</v>
      </c>
      <c r="N244">
        <f t="shared" si="12"/>
        <v>7.8109999999999999E-2</v>
      </c>
      <c r="O244">
        <f t="shared" si="13"/>
        <v>0</v>
      </c>
      <c r="P244">
        <f t="shared" si="14"/>
        <v>0</v>
      </c>
      <c r="Q244">
        <f t="shared" si="15"/>
        <v>0</v>
      </c>
    </row>
    <row r="245" spans="1:17" x14ac:dyDescent="0.45">
      <c r="A245" s="31" t="s">
        <v>342</v>
      </c>
      <c r="B245" s="31" t="s">
        <v>356</v>
      </c>
      <c r="C245" t="str">
        <f>VLOOKUP($B245,Totalt!$B$1:$BU$497,MATCH("Kvalitetsgranskad:",Totalt!$B$1:$BU$1,0),FALSE)</f>
        <v>Ja</v>
      </c>
      <c r="E245" t="str">
        <f>VLOOKUP($B245,Miljö!$B$1:$AG$479,MATCH(E$1,Miljö!$B$1:$AK$1,0),FALSE)</f>
        <v>Ja</v>
      </c>
      <c r="F245" t="str">
        <f>VLOOKUP($B245,Miljö!$B$1:$J$479,MATCH("Typ av ursprungsspecificerad el   (Om inget värde anges används Nordisk residualmix, se inforuta) ()",Miljö!$B$1:$J$1,0),FALSE)</f>
        <v>'vatten.vind.bio'</v>
      </c>
      <c r="G245">
        <f>VLOOKUP($B245,Miljö!$B$1:$J$479,MATCH("Primärenergifaktor ()",Miljö!$B$1:$J$1,0),FALSE)</f>
        <v>0.73</v>
      </c>
      <c r="H245">
        <f>VLOOKUP($B245,Miljö!$B$1:$J$479,MATCH("Koldioxidekvivalenter energiomvandling (g/kwh)",Miljö!$B$1:$J$1,0),FALSE)</f>
        <v>0</v>
      </c>
      <c r="I245">
        <f>VLOOKUP($B245,Miljö!$B$1:$J$479,MATCH("Fossilandel för ursprungspecificerad el ()",Miljö!$B$1:$J$1,0),FALSE)</f>
        <v>0</v>
      </c>
      <c r="J245">
        <f>VLOOKUP($B245,Miljö!$B$1:$J$479,MATCH("Kärnkraftsandel för ursprungsspecificerad el ()",Miljö!$B$1:$J$1,0),FALSE)</f>
        <v>0</v>
      </c>
      <c r="L245">
        <f>VLOOKUP($B245,Totalt!$B$1:$BU$497,MATCH("total el",Totalt!$B$1:$BU$1,0),FALSE)</f>
        <v>0.36199999999999999</v>
      </c>
      <c r="N245">
        <f t="shared" si="12"/>
        <v>0.26425999999999999</v>
      </c>
      <c r="O245">
        <f t="shared" si="13"/>
        <v>0</v>
      </c>
      <c r="P245">
        <f t="shared" si="14"/>
        <v>0</v>
      </c>
      <c r="Q245">
        <f t="shared" si="15"/>
        <v>0</v>
      </c>
    </row>
    <row r="246" spans="1:17" x14ac:dyDescent="0.45">
      <c r="A246" s="31" t="s">
        <v>342</v>
      </c>
      <c r="B246" s="31" t="s">
        <v>355</v>
      </c>
      <c r="C246" t="str">
        <f>VLOOKUP($B246,Totalt!$B$1:$BU$497,MATCH("Kvalitetsgranskad:",Totalt!$B$1:$BU$1,0),FALSE)</f>
        <v>Ja</v>
      </c>
      <c r="E246" t="str">
        <f>VLOOKUP($B246,Miljö!$B$1:$AG$479,MATCH(E$1,Miljö!$B$1:$AK$1,0),FALSE)</f>
        <v>Ja</v>
      </c>
      <c r="F246" t="str">
        <f>VLOOKUP($B246,Miljö!$B$1:$J$479,MATCH("Typ av ursprungsspecificerad el   (Om inget värde anges används Nordisk residualmix, se inforuta) ()",Miljö!$B$1:$J$1,0),FALSE)</f>
        <v>'vatten.vind.bio'</v>
      </c>
      <c r="G246">
        <f>VLOOKUP($B246,Miljö!$B$1:$J$479,MATCH("Primärenergifaktor ()",Miljö!$B$1:$J$1,0),FALSE)</f>
        <v>0.73</v>
      </c>
      <c r="H246">
        <f>VLOOKUP($B246,Miljö!$B$1:$J$479,MATCH("Koldioxidekvivalenter energiomvandling (g/kwh)",Miljö!$B$1:$J$1,0),FALSE)</f>
        <v>0</v>
      </c>
      <c r="I246">
        <f>VLOOKUP($B246,Miljö!$B$1:$J$479,MATCH("Fossilandel för ursprungspecificerad el ()",Miljö!$B$1:$J$1,0),FALSE)</f>
        <v>0</v>
      </c>
      <c r="J246">
        <f>VLOOKUP($B246,Miljö!$B$1:$J$479,MATCH("Kärnkraftsandel för ursprungsspecificerad el ()",Miljö!$B$1:$J$1,0),FALSE)</f>
        <v>0</v>
      </c>
      <c r="L246">
        <f>VLOOKUP($B246,Totalt!$B$1:$BU$497,MATCH("total el",Totalt!$B$1:$BU$1,0),FALSE)</f>
        <v>0.11799999999999999</v>
      </c>
      <c r="N246">
        <f t="shared" si="12"/>
        <v>8.6139999999999994E-2</v>
      </c>
      <c r="O246">
        <f t="shared" si="13"/>
        <v>0</v>
      </c>
      <c r="P246">
        <f t="shared" si="14"/>
        <v>0</v>
      </c>
      <c r="Q246">
        <f t="shared" si="15"/>
        <v>0</v>
      </c>
    </row>
    <row r="247" spans="1:17" x14ac:dyDescent="0.45">
      <c r="A247" s="31" t="s">
        <v>342</v>
      </c>
      <c r="B247" s="31" t="s">
        <v>354</v>
      </c>
      <c r="C247" t="str">
        <f>VLOOKUP($B247,Totalt!$B$1:$BU$497,MATCH("Kvalitetsgranskad:",Totalt!$B$1:$BU$1,0),FALSE)</f>
        <v>Ja</v>
      </c>
      <c r="E247" t="str">
        <f>VLOOKUP($B247,Miljö!$B$1:$AG$479,MATCH(E$1,Miljö!$B$1:$AK$1,0),FALSE)</f>
        <v>Ja</v>
      </c>
      <c r="F247" t="str">
        <f>VLOOKUP($B247,Miljö!$B$1:$J$479,MATCH("Typ av ursprungsspecificerad el   (Om inget värde anges används Nordisk residualmix, se inforuta) ()",Miljö!$B$1:$J$1,0),FALSE)</f>
        <v>'vatten. vind. bio'</v>
      </c>
      <c r="G247">
        <f>VLOOKUP($B247,Miljö!$B$1:$J$479,MATCH("Primärenergifaktor ()",Miljö!$B$1:$J$1,0),FALSE)</f>
        <v>0.73</v>
      </c>
      <c r="H247">
        <f>VLOOKUP($B247,Miljö!$B$1:$J$479,MATCH("Koldioxidekvivalenter energiomvandling (g/kwh)",Miljö!$B$1:$J$1,0),FALSE)</f>
        <v>0</v>
      </c>
      <c r="I247">
        <f>VLOOKUP($B247,Miljö!$B$1:$J$479,MATCH("Fossilandel för ursprungspecificerad el ()",Miljö!$B$1:$J$1,0),FALSE)</f>
        <v>0</v>
      </c>
      <c r="J247">
        <f>VLOOKUP($B247,Miljö!$B$1:$J$479,MATCH("Kärnkraftsandel för ursprungsspecificerad el ()",Miljö!$B$1:$J$1,0),FALSE)</f>
        <v>0</v>
      </c>
      <c r="L247">
        <f>VLOOKUP($B247,Totalt!$B$1:$BU$497,MATCH("total el",Totalt!$B$1:$BU$1,0),FALSE)</f>
        <v>9.6000000000000002E-2</v>
      </c>
      <c r="N247">
        <f t="shared" si="12"/>
        <v>7.0080000000000003E-2</v>
      </c>
      <c r="O247">
        <f t="shared" si="13"/>
        <v>0</v>
      </c>
      <c r="P247">
        <f t="shared" si="14"/>
        <v>0</v>
      </c>
      <c r="Q247">
        <f t="shared" si="15"/>
        <v>0</v>
      </c>
    </row>
    <row r="248" spans="1:17" x14ac:dyDescent="0.45">
      <c r="A248" s="31" t="s">
        <v>342</v>
      </c>
      <c r="B248" s="31" t="s">
        <v>353</v>
      </c>
      <c r="C248" t="str">
        <f>VLOOKUP($B248,Totalt!$B$1:$BU$497,MATCH("Kvalitetsgranskad:",Totalt!$B$1:$BU$1,0),FALSE)</f>
        <v>Ja</v>
      </c>
      <c r="E248" t="str">
        <f>VLOOKUP($B248,Miljö!$B$1:$AG$479,MATCH(E$1,Miljö!$B$1:$AK$1,0),FALSE)</f>
        <v>Ja</v>
      </c>
      <c r="F248" t="str">
        <f>VLOOKUP($B248,Miljö!$B$1:$J$479,MATCH("Typ av ursprungsspecificerad el   (Om inget värde anges används Nordisk residualmix, se inforuta) ()",Miljö!$B$1:$J$1,0),FALSE)</f>
        <v>'vattten. vind. bio'</v>
      </c>
      <c r="G248">
        <f>VLOOKUP($B248,Miljö!$B$1:$J$479,MATCH("Primärenergifaktor ()",Miljö!$B$1:$J$1,0),FALSE)</f>
        <v>0.73</v>
      </c>
      <c r="H248">
        <f>VLOOKUP($B248,Miljö!$B$1:$J$479,MATCH("Koldioxidekvivalenter energiomvandling (g/kwh)",Miljö!$B$1:$J$1,0),FALSE)</f>
        <v>0</v>
      </c>
      <c r="I248">
        <f>VLOOKUP($B248,Miljö!$B$1:$J$479,MATCH("Fossilandel för ursprungspecificerad el ()",Miljö!$B$1:$J$1,0),FALSE)</f>
        <v>0</v>
      </c>
      <c r="J248">
        <f>VLOOKUP($B248,Miljö!$B$1:$J$479,MATCH("Kärnkraftsandel för ursprungsspecificerad el ()",Miljö!$B$1:$J$1,0),FALSE)</f>
        <v>0</v>
      </c>
      <c r="L248">
        <f>VLOOKUP($B248,Totalt!$B$1:$BU$497,MATCH("total el",Totalt!$B$1:$BU$1,0),FALSE)</f>
        <v>7.1999999999999995E-2</v>
      </c>
      <c r="N248">
        <f t="shared" si="12"/>
        <v>5.2559999999999996E-2</v>
      </c>
      <c r="O248">
        <f t="shared" si="13"/>
        <v>0</v>
      </c>
      <c r="P248">
        <f t="shared" si="14"/>
        <v>0</v>
      </c>
      <c r="Q248">
        <f t="shared" si="15"/>
        <v>0</v>
      </c>
    </row>
    <row r="249" spans="1:17" x14ac:dyDescent="0.45">
      <c r="A249" s="31" t="s">
        <v>342</v>
      </c>
      <c r="B249" s="31" t="s">
        <v>352</v>
      </c>
      <c r="C249" t="str">
        <f>VLOOKUP($B249,Totalt!$B$1:$BU$497,MATCH("Kvalitetsgranskad:",Totalt!$B$1:$BU$1,0),FALSE)</f>
        <v>Ja</v>
      </c>
      <c r="E249" t="str">
        <f>VLOOKUP($B249,Miljö!$B$1:$AG$479,MATCH(E$1,Miljö!$B$1:$AK$1,0),FALSE)</f>
        <v>Ja</v>
      </c>
      <c r="F249" t="str">
        <f>VLOOKUP($B249,Miljö!$B$1:$J$479,MATCH("Typ av ursprungsspecificerad el   (Om inget värde anges används Nordisk residualmix, se inforuta) ()",Miljö!$B$1:$J$1,0),FALSE)</f>
        <v>'vatten.vind. bios'</v>
      </c>
      <c r="G249">
        <f>VLOOKUP($B249,Miljö!$B$1:$J$479,MATCH("Primärenergifaktor ()",Miljö!$B$1:$J$1,0),FALSE)</f>
        <v>0.73</v>
      </c>
      <c r="H249">
        <f>VLOOKUP($B249,Miljö!$B$1:$J$479,MATCH("Koldioxidekvivalenter energiomvandling (g/kwh)",Miljö!$B$1:$J$1,0),FALSE)</f>
        <v>0</v>
      </c>
      <c r="I249">
        <f>VLOOKUP($B249,Miljö!$B$1:$J$479,MATCH("Fossilandel för ursprungspecificerad el ()",Miljö!$B$1:$J$1,0),FALSE)</f>
        <v>0</v>
      </c>
      <c r="J249">
        <f>VLOOKUP($B249,Miljö!$B$1:$J$479,MATCH("Kärnkraftsandel för ursprungsspecificerad el ()",Miljö!$B$1:$J$1,0),FALSE)</f>
        <v>0</v>
      </c>
      <c r="L249">
        <f>VLOOKUP($B249,Totalt!$B$1:$BU$497,MATCH("total el",Totalt!$B$1:$BU$1,0),FALSE)</f>
        <v>4.1000000000000002E-2</v>
      </c>
      <c r="N249">
        <f t="shared" si="12"/>
        <v>2.9930000000000002E-2</v>
      </c>
      <c r="O249">
        <f t="shared" si="13"/>
        <v>0</v>
      </c>
      <c r="P249">
        <f t="shared" si="14"/>
        <v>0</v>
      </c>
      <c r="Q249">
        <f t="shared" si="15"/>
        <v>0</v>
      </c>
    </row>
    <row r="250" spans="1:17" x14ac:dyDescent="0.45">
      <c r="A250" s="31" t="s">
        <v>342</v>
      </c>
      <c r="B250" s="31" t="s">
        <v>351</v>
      </c>
      <c r="C250" t="str">
        <f>VLOOKUP($B250,Totalt!$B$1:$BU$497,MATCH("Kvalitetsgranskad:",Totalt!$B$1:$BU$1,0),FALSE)</f>
        <v>Ja</v>
      </c>
      <c r="E250" t="str">
        <f>VLOOKUP($B250,Miljö!$B$1:$AG$479,MATCH(E$1,Miljö!$B$1:$AK$1,0),FALSE)</f>
        <v>Ja</v>
      </c>
      <c r="F250" t="str">
        <f>VLOOKUP($B250,Miljö!$B$1:$J$479,MATCH("Typ av ursprungsspecificerad el   (Om inget värde anges används Nordisk residualmix, se inforuta) ()",Miljö!$B$1:$J$1,0),FALSE)</f>
        <v>'vatten. vind bio'</v>
      </c>
      <c r="G250">
        <f>VLOOKUP($B250,Miljö!$B$1:$J$479,MATCH("Primärenergifaktor ()",Miljö!$B$1:$J$1,0),FALSE)</f>
        <v>0.17</v>
      </c>
      <c r="H250">
        <f>VLOOKUP($B250,Miljö!$B$1:$J$479,MATCH("Koldioxidekvivalenter energiomvandling (g/kwh)",Miljö!$B$1:$J$1,0),FALSE)</f>
        <v>0</v>
      </c>
      <c r="I250">
        <f>VLOOKUP($B250,Miljö!$B$1:$J$479,MATCH("Fossilandel för ursprungspecificerad el ()",Miljö!$B$1:$J$1,0),FALSE)</f>
        <v>0</v>
      </c>
      <c r="J250">
        <f>VLOOKUP($B250,Miljö!$B$1:$J$479,MATCH("Kärnkraftsandel för ursprungsspecificerad el ()",Miljö!$B$1:$J$1,0),FALSE)</f>
        <v>0</v>
      </c>
      <c r="L250">
        <f>VLOOKUP($B250,Totalt!$B$1:$BU$497,MATCH("total el",Totalt!$B$1:$BU$1,0),FALSE)</f>
        <v>3.9985300000000001</v>
      </c>
      <c r="N250">
        <f t="shared" si="12"/>
        <v>0.67975010000000002</v>
      </c>
      <c r="O250">
        <f t="shared" si="13"/>
        <v>0</v>
      </c>
      <c r="P250">
        <f t="shared" si="14"/>
        <v>0</v>
      </c>
      <c r="Q250">
        <f t="shared" si="15"/>
        <v>0</v>
      </c>
    </row>
    <row r="251" spans="1:17" x14ac:dyDescent="0.45">
      <c r="A251" s="31" t="s">
        <v>342</v>
      </c>
      <c r="B251" s="31" t="s">
        <v>350</v>
      </c>
      <c r="C251" t="str">
        <f>VLOOKUP($B251,Totalt!$B$1:$BU$497,MATCH("Kvalitetsgranskad:",Totalt!$B$1:$BU$1,0),FALSE)</f>
        <v>Ja</v>
      </c>
      <c r="E251" t="str">
        <f>VLOOKUP($B251,Miljö!$B$1:$AG$479,MATCH(E$1,Miljö!$B$1:$AK$1,0),FALSE)</f>
        <v>Ja</v>
      </c>
      <c r="F251" t="str">
        <f>VLOOKUP($B251,Miljö!$B$1:$J$479,MATCH("Typ av ursprungsspecificerad el   (Om inget värde anges används Nordisk residualmix, se inforuta) ()",Miljö!$B$1:$J$1,0),FALSE)</f>
        <v>'vatten. vind. bio'</v>
      </c>
      <c r="G251">
        <f>VLOOKUP($B251,Miljö!$B$1:$J$479,MATCH("Primärenergifaktor ()",Miljö!$B$1:$J$1,0),FALSE)</f>
        <v>0.73</v>
      </c>
      <c r="H251">
        <f>VLOOKUP($B251,Miljö!$B$1:$J$479,MATCH("Koldioxidekvivalenter energiomvandling (g/kwh)",Miljö!$B$1:$J$1,0),FALSE)</f>
        <v>0</v>
      </c>
      <c r="I251">
        <f>VLOOKUP($B251,Miljö!$B$1:$J$479,MATCH("Fossilandel för ursprungspecificerad el ()",Miljö!$B$1:$J$1,0),FALSE)</f>
        <v>0</v>
      </c>
      <c r="J251">
        <f>VLOOKUP($B251,Miljö!$B$1:$J$479,MATCH("Kärnkraftsandel för ursprungsspecificerad el ()",Miljö!$B$1:$J$1,0),FALSE)</f>
        <v>0</v>
      </c>
      <c r="L251">
        <f>VLOOKUP($B251,Totalt!$B$1:$BU$497,MATCH("total el",Totalt!$B$1:$BU$1,0),FALSE)</f>
        <v>5.2999999999999999E-2</v>
      </c>
      <c r="N251">
        <f t="shared" si="12"/>
        <v>3.8689999999999995E-2</v>
      </c>
      <c r="O251">
        <f t="shared" si="13"/>
        <v>0</v>
      </c>
      <c r="P251">
        <f t="shared" si="14"/>
        <v>0</v>
      </c>
      <c r="Q251">
        <f t="shared" si="15"/>
        <v>0</v>
      </c>
    </row>
    <row r="252" spans="1:17" x14ac:dyDescent="0.45">
      <c r="A252" s="31" t="s">
        <v>342</v>
      </c>
      <c r="B252" s="31" t="s">
        <v>349</v>
      </c>
      <c r="C252" t="str">
        <f>VLOOKUP($B252,Totalt!$B$1:$BU$497,MATCH("Kvalitetsgranskad:",Totalt!$B$1:$BU$1,0),FALSE)</f>
        <v>Ja</v>
      </c>
      <c r="E252" t="str">
        <f>VLOOKUP($B252,Miljö!$B$1:$AG$479,MATCH(E$1,Miljö!$B$1:$AK$1,0),FALSE)</f>
        <v>Ja</v>
      </c>
      <c r="F252" t="str">
        <f>VLOOKUP($B252,Miljö!$B$1:$J$479,MATCH("Typ av ursprungsspecificerad el   (Om inget värde anges används Nordisk residualmix, se inforuta) ()",Miljö!$B$1:$J$1,0),FALSE)</f>
        <v>'vatten. vind. bio. '</v>
      </c>
      <c r="G252">
        <f>VLOOKUP($B252,Miljö!$B$1:$J$479,MATCH("Primärenergifaktor ()",Miljö!$B$1:$J$1,0),FALSE)</f>
        <v>0.17</v>
      </c>
      <c r="H252">
        <f>VLOOKUP($B252,Miljö!$B$1:$J$479,MATCH("Koldioxidekvivalenter energiomvandling (g/kwh)",Miljö!$B$1:$J$1,0),FALSE)</f>
        <v>0</v>
      </c>
      <c r="I252">
        <f>VLOOKUP($B252,Miljö!$B$1:$J$479,MATCH("Fossilandel för ursprungspecificerad el ()",Miljö!$B$1:$J$1,0),FALSE)</f>
        <v>0</v>
      </c>
      <c r="J252">
        <f>VLOOKUP($B252,Miljö!$B$1:$J$479,MATCH("Kärnkraftsandel för ursprungsspecificerad el ()",Miljö!$B$1:$J$1,0),FALSE)</f>
        <v>0</v>
      </c>
      <c r="L252">
        <f>VLOOKUP($B252,Totalt!$B$1:$BU$497,MATCH("total el",Totalt!$B$1:$BU$1,0),FALSE)</f>
        <v>2.8837999999999999</v>
      </c>
      <c r="N252">
        <f t="shared" si="12"/>
        <v>0.49024600000000002</v>
      </c>
      <c r="O252">
        <f t="shared" si="13"/>
        <v>0</v>
      </c>
      <c r="P252">
        <f t="shared" si="14"/>
        <v>0</v>
      </c>
      <c r="Q252">
        <f t="shared" si="15"/>
        <v>0</v>
      </c>
    </row>
    <row r="253" spans="1:17" x14ac:dyDescent="0.45">
      <c r="A253" s="31" t="s">
        <v>342</v>
      </c>
      <c r="B253" s="31" t="s">
        <v>348</v>
      </c>
      <c r="C253" t="str">
        <f>VLOOKUP($B253,Totalt!$B$1:$BU$497,MATCH("Kvalitetsgranskad:",Totalt!$B$1:$BU$1,0),FALSE)</f>
        <v>Ja</v>
      </c>
      <c r="E253" t="str">
        <f>VLOOKUP($B253,Miljö!$B$1:$AG$479,MATCH(E$1,Miljö!$B$1:$AK$1,0),FALSE)</f>
        <v>Ja</v>
      </c>
      <c r="F253" t="str">
        <f>VLOOKUP($B253,Miljö!$B$1:$J$479,MATCH("Typ av ursprungsspecificerad el   (Om inget värde anges används Nordisk residualmix, se inforuta) ()",Miljö!$B$1:$J$1,0),FALSE)</f>
        <v>'vatten.vind. bio'</v>
      </c>
      <c r="G253">
        <f>VLOOKUP($B253,Miljö!$B$1:$J$479,MATCH("Primärenergifaktor ()",Miljö!$B$1:$J$1,0),FALSE)</f>
        <v>0.73</v>
      </c>
      <c r="H253">
        <f>VLOOKUP($B253,Miljö!$B$1:$J$479,MATCH("Koldioxidekvivalenter energiomvandling (g/kwh)",Miljö!$B$1:$J$1,0),FALSE)</f>
        <v>0</v>
      </c>
      <c r="I253">
        <f>VLOOKUP($B253,Miljö!$B$1:$J$479,MATCH("Fossilandel för ursprungspecificerad el ()",Miljö!$B$1:$J$1,0),FALSE)</f>
        <v>0</v>
      </c>
      <c r="J253">
        <f>VLOOKUP($B253,Miljö!$B$1:$J$479,MATCH("Kärnkraftsandel för ursprungsspecificerad el ()",Miljö!$B$1:$J$1,0),FALSE)</f>
        <v>0</v>
      </c>
      <c r="L253">
        <f>VLOOKUP($B253,Totalt!$B$1:$BU$497,MATCH("total el",Totalt!$B$1:$BU$1,0),FALSE)</f>
        <v>0.13900000000000001</v>
      </c>
      <c r="N253">
        <f t="shared" si="12"/>
        <v>0.10147</v>
      </c>
      <c r="O253">
        <f t="shared" si="13"/>
        <v>0</v>
      </c>
      <c r="P253">
        <f t="shared" si="14"/>
        <v>0</v>
      </c>
      <c r="Q253">
        <f t="shared" si="15"/>
        <v>0</v>
      </c>
    </row>
    <row r="254" spans="1:17" x14ac:dyDescent="0.45">
      <c r="A254" s="31" t="s">
        <v>342</v>
      </c>
      <c r="B254" s="31" t="s">
        <v>347</v>
      </c>
      <c r="C254" t="str">
        <f>VLOOKUP($B254,Totalt!$B$1:$BU$497,MATCH("Kvalitetsgranskad:",Totalt!$B$1:$BU$1,0),FALSE)</f>
        <v>Ja</v>
      </c>
      <c r="E254" t="str">
        <f>VLOOKUP($B254,Miljö!$B$1:$AG$479,MATCH(E$1,Miljö!$B$1:$AK$1,0),FALSE)</f>
        <v>Ja</v>
      </c>
      <c r="F254" t="str">
        <f>VLOOKUP($B254,Miljö!$B$1:$J$479,MATCH("Typ av ursprungsspecificerad el   (Om inget värde anges används Nordisk residualmix, se inforuta) ()",Miljö!$B$1:$J$1,0),FALSE)</f>
        <v>'vatten. vind. bio'</v>
      </c>
      <c r="G254">
        <f>VLOOKUP($B254,Miljö!$B$1:$J$479,MATCH("Primärenergifaktor ()",Miljö!$B$1:$J$1,0),FALSE)</f>
        <v>0.73</v>
      </c>
      <c r="H254">
        <f>VLOOKUP($B254,Miljö!$B$1:$J$479,MATCH("Koldioxidekvivalenter energiomvandling (g/kwh)",Miljö!$B$1:$J$1,0),FALSE)</f>
        <v>0</v>
      </c>
      <c r="I254">
        <f>VLOOKUP($B254,Miljö!$B$1:$J$479,MATCH("Fossilandel för ursprungspecificerad el ()",Miljö!$B$1:$J$1,0),FALSE)</f>
        <v>0</v>
      </c>
      <c r="J254">
        <f>VLOOKUP($B254,Miljö!$B$1:$J$479,MATCH("Kärnkraftsandel för ursprungsspecificerad el ()",Miljö!$B$1:$J$1,0),FALSE)</f>
        <v>0</v>
      </c>
      <c r="L254">
        <f>VLOOKUP($B254,Totalt!$B$1:$BU$497,MATCH("total el",Totalt!$B$1:$BU$1,0),FALSE)</f>
        <v>0.115</v>
      </c>
      <c r="N254">
        <f t="shared" si="12"/>
        <v>8.3949999999999997E-2</v>
      </c>
      <c r="O254">
        <f t="shared" si="13"/>
        <v>0</v>
      </c>
      <c r="P254">
        <f t="shared" si="14"/>
        <v>0</v>
      </c>
      <c r="Q254">
        <f t="shared" si="15"/>
        <v>0</v>
      </c>
    </row>
    <row r="255" spans="1:17" x14ac:dyDescent="0.45">
      <c r="A255" s="31" t="s">
        <v>342</v>
      </c>
      <c r="B255" s="31" t="s">
        <v>346</v>
      </c>
      <c r="C255" t="str">
        <f>VLOOKUP($B255,Totalt!$B$1:$BU$497,MATCH("Kvalitetsgranskad:",Totalt!$B$1:$BU$1,0),FALSE)</f>
        <v>Ja</v>
      </c>
      <c r="E255" t="str">
        <f>VLOOKUP($B255,Miljö!$B$1:$AG$479,MATCH(E$1,Miljö!$B$1:$AK$1,0),FALSE)</f>
        <v>Ja</v>
      </c>
      <c r="F255" t="str">
        <f>VLOOKUP($B255,Miljö!$B$1:$J$479,MATCH("Typ av ursprungsspecificerad el   (Om inget värde anges används Nordisk residualmix, se inforuta) ()",Miljö!$B$1:$J$1,0),FALSE)</f>
        <v>'vatten.vind.bio'</v>
      </c>
      <c r="G255">
        <f>VLOOKUP($B255,Miljö!$B$1:$J$479,MATCH("Primärenergifaktor ()",Miljö!$B$1:$J$1,0),FALSE)</f>
        <v>0.37</v>
      </c>
      <c r="H255">
        <f>VLOOKUP($B255,Miljö!$B$1:$J$479,MATCH("Koldioxidekvivalenter energiomvandling (g/kwh)",Miljö!$B$1:$J$1,0),FALSE)</f>
        <v>0</v>
      </c>
      <c r="I255">
        <f>VLOOKUP($B255,Miljö!$B$1:$J$479,MATCH("Fossilandel för ursprungspecificerad el ()",Miljö!$B$1:$J$1,0),FALSE)</f>
        <v>0</v>
      </c>
      <c r="J255">
        <f>VLOOKUP($B255,Miljö!$B$1:$J$479,MATCH("Kärnkraftsandel för ursprungsspecificerad el ()",Miljö!$B$1:$J$1,0),FALSE)</f>
        <v>0</v>
      </c>
      <c r="L255">
        <f>VLOOKUP($B255,Totalt!$B$1:$BU$497,MATCH("total el",Totalt!$B$1:$BU$1,0),FALSE)</f>
        <v>13.180199999999999</v>
      </c>
      <c r="N255">
        <f t="shared" si="12"/>
        <v>4.8766739999999995</v>
      </c>
      <c r="O255">
        <f t="shared" si="13"/>
        <v>0</v>
      </c>
      <c r="P255">
        <f t="shared" si="14"/>
        <v>0</v>
      </c>
      <c r="Q255">
        <f t="shared" si="15"/>
        <v>0</v>
      </c>
    </row>
    <row r="256" spans="1:17" x14ac:dyDescent="0.45">
      <c r="A256" s="31" t="s">
        <v>342</v>
      </c>
      <c r="B256" s="31" t="s">
        <v>345</v>
      </c>
      <c r="C256" t="str">
        <f>VLOOKUP($B256,Totalt!$B$1:$BU$497,MATCH("Kvalitetsgranskad:",Totalt!$B$1:$BU$1,0),FALSE)</f>
        <v>Ja</v>
      </c>
      <c r="E256" t="str">
        <f>VLOOKUP($B256,Miljö!$B$1:$AG$479,MATCH(E$1,Miljö!$B$1:$AK$1,0),FALSE)</f>
        <v>Ja</v>
      </c>
      <c r="F256" t="str">
        <f>VLOOKUP($B256,Miljö!$B$1:$J$479,MATCH("Typ av ursprungsspecificerad el   (Om inget värde anges används Nordisk residualmix, se inforuta) ()",Miljö!$B$1:$J$1,0),FALSE)</f>
        <v>'vatten. vind. bio'</v>
      </c>
      <c r="G256">
        <f>VLOOKUP($B256,Miljö!$B$1:$J$479,MATCH("Primärenergifaktor ()",Miljö!$B$1:$J$1,0),FALSE)</f>
        <v>0.73</v>
      </c>
      <c r="H256">
        <f>VLOOKUP($B256,Miljö!$B$1:$J$479,MATCH("Koldioxidekvivalenter energiomvandling (g/kwh)",Miljö!$B$1:$J$1,0),FALSE)</f>
        <v>0</v>
      </c>
      <c r="I256">
        <f>VLOOKUP($B256,Miljö!$B$1:$J$479,MATCH("Fossilandel för ursprungspecificerad el ()",Miljö!$B$1:$J$1,0),FALSE)</f>
        <v>0</v>
      </c>
      <c r="J256">
        <f>VLOOKUP($B256,Miljö!$B$1:$J$479,MATCH("Kärnkraftsandel för ursprungsspecificerad el ()",Miljö!$B$1:$J$1,0),FALSE)</f>
        <v>0</v>
      </c>
      <c r="L256">
        <f>VLOOKUP($B256,Totalt!$B$1:$BU$497,MATCH("total el",Totalt!$B$1:$BU$1,0),FALSE)</f>
        <v>0.71099999999999997</v>
      </c>
      <c r="N256">
        <f t="shared" si="12"/>
        <v>0.51902999999999999</v>
      </c>
      <c r="O256">
        <f t="shared" si="13"/>
        <v>0</v>
      </c>
      <c r="P256">
        <f t="shared" si="14"/>
        <v>0</v>
      </c>
      <c r="Q256">
        <f t="shared" si="15"/>
        <v>0</v>
      </c>
    </row>
    <row r="257" spans="1:17" x14ac:dyDescent="0.45">
      <c r="A257" s="31" t="s">
        <v>342</v>
      </c>
      <c r="B257" s="31" t="s">
        <v>344</v>
      </c>
      <c r="C257" t="str">
        <f>VLOOKUP($B257,Totalt!$B$1:$BU$497,MATCH("Kvalitetsgranskad:",Totalt!$B$1:$BU$1,0),FALSE)</f>
        <v>Ja</v>
      </c>
      <c r="E257" t="str">
        <f>VLOOKUP($B257,Miljö!$B$1:$AG$479,MATCH(E$1,Miljö!$B$1:$AK$1,0),FALSE)</f>
        <v>Ja</v>
      </c>
      <c r="F257" t="str">
        <f>VLOOKUP($B257,Miljö!$B$1:$J$479,MATCH("Typ av ursprungsspecificerad el   (Om inget värde anges används Nordisk residualmix, se inforuta) ()",Miljö!$B$1:$J$1,0),FALSE)</f>
        <v>'vatten. vind. bio'</v>
      </c>
      <c r="G257">
        <f>VLOOKUP($B257,Miljö!$B$1:$J$479,MATCH("Primärenergifaktor ()",Miljö!$B$1:$J$1,0),FALSE)</f>
        <v>0.73</v>
      </c>
      <c r="H257">
        <f>VLOOKUP($B257,Miljö!$B$1:$J$479,MATCH("Koldioxidekvivalenter energiomvandling (g/kwh)",Miljö!$B$1:$J$1,0),FALSE)</f>
        <v>0</v>
      </c>
      <c r="I257">
        <f>VLOOKUP($B257,Miljö!$B$1:$J$479,MATCH("Fossilandel för ursprungspecificerad el ()",Miljö!$B$1:$J$1,0),FALSE)</f>
        <v>0</v>
      </c>
      <c r="J257">
        <f>VLOOKUP($B257,Miljö!$B$1:$J$479,MATCH("Kärnkraftsandel för ursprungsspecificerad el ()",Miljö!$B$1:$J$1,0),FALSE)</f>
        <v>0</v>
      </c>
      <c r="L257">
        <f>VLOOKUP($B257,Totalt!$B$1:$BU$497,MATCH("total el",Totalt!$B$1:$BU$1,0),FALSE)</f>
        <v>0.97319999999999995</v>
      </c>
      <c r="N257">
        <f t="shared" si="12"/>
        <v>0.71043599999999996</v>
      </c>
      <c r="O257">
        <f t="shared" si="13"/>
        <v>0</v>
      </c>
      <c r="P257">
        <f t="shared" si="14"/>
        <v>0</v>
      </c>
      <c r="Q257">
        <f t="shared" si="15"/>
        <v>0</v>
      </c>
    </row>
    <row r="258" spans="1:17" x14ac:dyDescent="0.45">
      <c r="A258" s="31" t="s">
        <v>342</v>
      </c>
      <c r="B258" s="31" t="s">
        <v>343</v>
      </c>
      <c r="C258" t="str">
        <f>VLOOKUP($B258,Totalt!$B$1:$BU$497,MATCH("Kvalitetsgranskad:",Totalt!$B$1:$BU$1,0),FALSE)</f>
        <v>Ja</v>
      </c>
      <c r="E258" t="str">
        <f>VLOOKUP($B258,Miljö!$B$1:$AG$479,MATCH(E$1,Miljö!$B$1:$AK$1,0),FALSE)</f>
        <v>Ja</v>
      </c>
      <c r="F258" t="str">
        <f>VLOOKUP($B258,Miljö!$B$1:$J$479,MATCH("Typ av ursprungsspecificerad el   (Om inget värde anges används Nordisk residualmix, se inforuta) ()",Miljö!$B$1:$J$1,0),FALSE)</f>
        <v>'vatten. vind. bio'</v>
      </c>
      <c r="G258">
        <f>VLOOKUP($B258,Miljö!$B$1:$J$479,MATCH("Primärenergifaktor ()",Miljö!$B$1:$J$1,0),FALSE)</f>
        <v>0.73</v>
      </c>
      <c r="H258">
        <f>VLOOKUP($B258,Miljö!$B$1:$J$479,MATCH("Koldioxidekvivalenter energiomvandling (g/kwh)",Miljö!$B$1:$J$1,0),FALSE)</f>
        <v>0</v>
      </c>
      <c r="I258">
        <f>VLOOKUP($B258,Miljö!$B$1:$J$479,MATCH("Fossilandel för ursprungspecificerad el ()",Miljö!$B$1:$J$1,0),FALSE)</f>
        <v>0</v>
      </c>
      <c r="J258">
        <f>VLOOKUP($B258,Miljö!$B$1:$J$479,MATCH("Kärnkraftsandel för ursprungsspecificerad el ()",Miljö!$B$1:$J$1,0),FALSE)</f>
        <v>0</v>
      </c>
      <c r="L258">
        <f>VLOOKUP($B258,Totalt!$B$1:$BU$497,MATCH("total el",Totalt!$B$1:$BU$1,0),FALSE)</f>
        <v>0.152</v>
      </c>
      <c r="N258">
        <f t="shared" si="12"/>
        <v>0.11095999999999999</v>
      </c>
      <c r="O258">
        <f t="shared" si="13"/>
        <v>0</v>
      </c>
      <c r="P258">
        <f t="shared" si="14"/>
        <v>0</v>
      </c>
      <c r="Q258">
        <f t="shared" si="15"/>
        <v>0</v>
      </c>
    </row>
    <row r="259" spans="1:17" x14ac:dyDescent="0.45">
      <c r="A259" s="31" t="s">
        <v>342</v>
      </c>
      <c r="B259" s="31" t="s">
        <v>341</v>
      </c>
      <c r="C259" t="str">
        <f>VLOOKUP($B259,Totalt!$B$1:$BU$497,MATCH("Kvalitetsgranskad:",Totalt!$B$1:$BU$1,0),FALSE)</f>
        <v>Ja</v>
      </c>
      <c r="E259" t="str">
        <f>VLOOKUP($B259,Miljö!$B$1:$AG$479,MATCH(E$1,Miljö!$B$1:$AK$1,0),FALSE)</f>
        <v>Ja</v>
      </c>
      <c r="F259" t="str">
        <f>VLOOKUP($B259,Miljö!$B$1:$J$479,MATCH("Typ av ursprungsspecificerad el   (Om inget värde anges används Nordisk residualmix, se inforuta) ()",Miljö!$B$1:$J$1,0),FALSE)</f>
        <v>'vatten. vind. bio'</v>
      </c>
      <c r="G259">
        <f>VLOOKUP($B259,Miljö!$B$1:$J$479,MATCH("Primärenergifaktor ()",Miljö!$B$1:$J$1,0),FALSE)</f>
        <v>0.73</v>
      </c>
      <c r="H259">
        <f>VLOOKUP($B259,Miljö!$B$1:$J$479,MATCH("Koldioxidekvivalenter energiomvandling (g/kwh)",Miljö!$B$1:$J$1,0),FALSE)</f>
        <v>0</v>
      </c>
      <c r="I259">
        <f>VLOOKUP($B259,Miljö!$B$1:$J$479,MATCH("Fossilandel för ursprungspecificerad el ()",Miljö!$B$1:$J$1,0),FALSE)</f>
        <v>0</v>
      </c>
      <c r="J259">
        <f>VLOOKUP($B259,Miljö!$B$1:$J$479,MATCH("Kärnkraftsandel för ursprungsspecificerad el ()",Miljö!$B$1:$J$1,0),FALSE)</f>
        <v>0</v>
      </c>
      <c r="L259">
        <f>VLOOKUP($B259,Totalt!$B$1:$BU$497,MATCH("total el",Totalt!$B$1:$BU$1,0),FALSE)</f>
        <v>4.9000000000000002E-2</v>
      </c>
      <c r="N259">
        <f t="shared" ref="N259:N322" si="16">IF(ISERROR($L259*G259),"",$L259*G259)</f>
        <v>3.5770000000000003E-2</v>
      </c>
      <c r="O259">
        <f t="shared" ref="O259:O322" si="17">IF(ISERROR($L259*H259),"",$L259*H259)</f>
        <v>0</v>
      </c>
      <c r="P259">
        <f t="shared" ref="P259:P322" si="18">IF(ISERROR($L259*I259),"",$L259*I259)</f>
        <v>0</v>
      </c>
      <c r="Q259">
        <f t="shared" ref="Q259:Q322" si="19">IF(ISERROR($L259*J259),"",$L259*J259)</f>
        <v>0</v>
      </c>
    </row>
    <row r="260" spans="1:17" x14ac:dyDescent="0.45">
      <c r="A260" s="31" t="s">
        <v>336</v>
      </c>
      <c r="B260" s="31" t="s">
        <v>340</v>
      </c>
      <c r="C260" t="str">
        <f>VLOOKUP($B260,Totalt!$B$1:$BU$497,MATCH("Kvalitetsgranskad:",Totalt!$B$1:$BU$1,0),FALSE)</f>
        <v>Ja</v>
      </c>
      <c r="E260" t="str">
        <f>VLOOKUP($B260,Miljö!$B$1:$AG$479,MATCH(E$1,Miljö!$B$1:$AK$1,0),FALSE)</f>
        <v>Ja</v>
      </c>
      <c r="F260" t="str">
        <f>VLOOKUP($B260,Miljö!$B$1:$J$479,MATCH("Typ av ursprungsspecificerad el   (Om inget värde anges används Nordisk residualmix, se inforuta) ()",Miljö!$B$1:$J$1,0),FALSE)</f>
        <v>'vattenproducerad el'</v>
      </c>
      <c r="G260">
        <f>VLOOKUP($B260,Miljö!$B$1:$J$479,MATCH("Primärenergifaktor ()",Miljö!$B$1:$J$1,0),FALSE)</f>
        <v>1.1000000000000001</v>
      </c>
      <c r="H260">
        <f>VLOOKUP($B260,Miljö!$B$1:$J$479,MATCH("Koldioxidekvivalenter energiomvandling (g/kwh)",Miljö!$B$1:$J$1,0),FALSE)</f>
        <v>0</v>
      </c>
      <c r="I260">
        <f>VLOOKUP($B260,Miljö!$B$1:$J$479,MATCH("Fossilandel för ursprungspecificerad el ()",Miljö!$B$1:$J$1,0),FALSE)</f>
        <v>0</v>
      </c>
      <c r="J260">
        <f>VLOOKUP($B260,Miljö!$B$1:$J$479,MATCH("Kärnkraftsandel för ursprungsspecificerad el ()",Miljö!$B$1:$J$1,0),FALSE)</f>
        <v>0</v>
      </c>
      <c r="L260">
        <f>VLOOKUP($B260,Totalt!$B$1:$BU$497,MATCH("total el",Totalt!$B$1:$BU$1,0),FALSE)</f>
        <v>0.1</v>
      </c>
      <c r="N260">
        <f t="shared" si="16"/>
        <v>0.11000000000000001</v>
      </c>
      <c r="O260">
        <f t="shared" si="17"/>
        <v>0</v>
      </c>
      <c r="P260">
        <f t="shared" si="18"/>
        <v>0</v>
      </c>
      <c r="Q260">
        <f t="shared" si="19"/>
        <v>0</v>
      </c>
    </row>
    <row r="261" spans="1:17" x14ac:dyDescent="0.45">
      <c r="A261" s="31" t="s">
        <v>336</v>
      </c>
      <c r="B261" s="31" t="s">
        <v>339</v>
      </c>
      <c r="C261" t="str">
        <f>VLOOKUP($B261,Totalt!$B$1:$BU$497,MATCH("Kvalitetsgranskad:",Totalt!$B$1:$BU$1,0),FALSE)</f>
        <v>Ja</v>
      </c>
      <c r="E261" t="str">
        <f>VLOOKUP($B261,Miljö!$B$1:$AG$479,MATCH(E$1,Miljö!$B$1:$AK$1,0),FALSE)</f>
        <v>Ja</v>
      </c>
      <c r="F261" t="str">
        <f>VLOOKUP($B261,Miljö!$B$1:$J$479,MATCH("Typ av ursprungsspecificerad el   (Om inget värde anges används Nordisk residualmix, se inforuta) ()",Miljö!$B$1:$J$1,0),FALSE)</f>
        <v>'vattenproducerad el'</v>
      </c>
      <c r="G261">
        <f>VLOOKUP($B261,Miljö!$B$1:$J$479,MATCH("Primärenergifaktor ()",Miljö!$B$1:$J$1,0),FALSE)</f>
        <v>1.1000000000000001</v>
      </c>
      <c r="H261">
        <f>VLOOKUP($B261,Miljö!$B$1:$J$479,MATCH("Koldioxidekvivalenter energiomvandling (g/kwh)",Miljö!$B$1:$J$1,0),FALSE)</f>
        <v>0</v>
      </c>
      <c r="I261">
        <f>VLOOKUP($B261,Miljö!$B$1:$J$479,MATCH("Fossilandel för ursprungspecificerad el ()",Miljö!$B$1:$J$1,0),FALSE)</f>
        <v>0</v>
      </c>
      <c r="J261">
        <f>VLOOKUP($B261,Miljö!$B$1:$J$479,MATCH("Kärnkraftsandel för ursprungsspecificerad el ()",Miljö!$B$1:$J$1,0),FALSE)</f>
        <v>0</v>
      </c>
      <c r="L261">
        <f>VLOOKUP($B261,Totalt!$B$1:$BU$497,MATCH("total el",Totalt!$B$1:$BU$1,0),FALSE)</f>
        <v>13.4148</v>
      </c>
      <c r="N261">
        <f t="shared" si="16"/>
        <v>14.75628</v>
      </c>
      <c r="O261">
        <f t="shared" si="17"/>
        <v>0</v>
      </c>
      <c r="P261">
        <f t="shared" si="18"/>
        <v>0</v>
      </c>
      <c r="Q261">
        <f t="shared" si="19"/>
        <v>0</v>
      </c>
    </row>
    <row r="262" spans="1:17" x14ac:dyDescent="0.45">
      <c r="A262" s="31" t="s">
        <v>336</v>
      </c>
      <c r="B262" s="31" t="s">
        <v>338</v>
      </c>
      <c r="C262" t="str">
        <f>VLOOKUP($B262,Totalt!$B$1:$BU$497,MATCH("Kvalitetsgranskad:",Totalt!$B$1:$BU$1,0),FALSE)</f>
        <v>Ja</v>
      </c>
      <c r="E262" t="str">
        <f>VLOOKUP($B262,Miljö!$B$1:$AG$479,MATCH(E$1,Miljö!$B$1:$AK$1,0),FALSE)</f>
        <v>Ja</v>
      </c>
      <c r="F262" t="str">
        <f>VLOOKUP($B262,Miljö!$B$1:$J$479,MATCH("Typ av ursprungsspecificerad el   (Om inget värde anges används Nordisk residualmix, se inforuta) ()",Miljö!$B$1:$J$1,0),FALSE)</f>
        <v>'vattenproducerad el'</v>
      </c>
      <c r="G262">
        <f>VLOOKUP($B262,Miljö!$B$1:$J$479,MATCH("Primärenergifaktor ()",Miljö!$B$1:$J$1,0),FALSE)</f>
        <v>1.1000000000000001</v>
      </c>
      <c r="H262">
        <f>VLOOKUP($B262,Miljö!$B$1:$J$479,MATCH("Koldioxidekvivalenter energiomvandling (g/kwh)",Miljö!$B$1:$J$1,0),FALSE)</f>
        <v>0</v>
      </c>
      <c r="I262">
        <f>VLOOKUP($B262,Miljö!$B$1:$J$479,MATCH("Fossilandel för ursprungspecificerad el ()",Miljö!$B$1:$J$1,0),FALSE)</f>
        <v>0</v>
      </c>
      <c r="J262">
        <f>VLOOKUP($B262,Miljö!$B$1:$J$479,MATCH("Kärnkraftsandel för ursprungsspecificerad el ()",Miljö!$B$1:$J$1,0),FALSE)</f>
        <v>0</v>
      </c>
      <c r="L262">
        <f>VLOOKUP($B262,Totalt!$B$1:$BU$497,MATCH("total el",Totalt!$B$1:$BU$1,0),FALSE)</f>
        <v>5.1200000000000002E-2</v>
      </c>
      <c r="N262">
        <f t="shared" si="16"/>
        <v>5.6320000000000009E-2</v>
      </c>
      <c r="O262">
        <f t="shared" si="17"/>
        <v>0</v>
      </c>
      <c r="P262">
        <f t="shared" si="18"/>
        <v>0</v>
      </c>
      <c r="Q262">
        <f t="shared" si="19"/>
        <v>0</v>
      </c>
    </row>
    <row r="263" spans="1:17" x14ac:dyDescent="0.45">
      <c r="A263" s="31" t="s">
        <v>336</v>
      </c>
      <c r="B263" s="31" t="s">
        <v>335</v>
      </c>
      <c r="C263" t="str">
        <f>VLOOKUP($B263,Totalt!$B$1:$BU$497,MATCH("Kvalitetsgranskad:",Totalt!$B$1:$BU$1,0),FALSE)</f>
        <v>Ja</v>
      </c>
      <c r="E263" t="str">
        <f>VLOOKUP($B263,Miljö!$B$1:$AG$479,MATCH(E$1,Miljö!$B$1:$AK$1,0),FALSE)</f>
        <v>Ja</v>
      </c>
      <c r="F263" t="str">
        <f>VLOOKUP($B263,Miljö!$B$1:$J$479,MATCH("Typ av ursprungsspecificerad el   (Om inget värde anges används Nordisk residualmix, se inforuta) ()",Miljö!$B$1:$J$1,0),FALSE)</f>
        <v>'vattenproducerad el'</v>
      </c>
      <c r="G263">
        <f>VLOOKUP($B263,Miljö!$B$1:$J$479,MATCH("Primärenergifaktor ()",Miljö!$B$1:$J$1,0),FALSE)</f>
        <v>1.1000000000000001</v>
      </c>
      <c r="H263">
        <f>VLOOKUP($B263,Miljö!$B$1:$J$479,MATCH("Koldioxidekvivalenter energiomvandling (g/kwh)",Miljö!$B$1:$J$1,0),FALSE)</f>
        <v>0</v>
      </c>
      <c r="I263">
        <f>VLOOKUP($B263,Miljö!$B$1:$J$479,MATCH("Fossilandel för ursprungspecificerad el ()",Miljö!$B$1:$J$1,0),FALSE)</f>
        <v>0</v>
      </c>
      <c r="J263">
        <f>VLOOKUP($B263,Miljö!$B$1:$J$479,MATCH("Kärnkraftsandel för ursprungsspecificerad el ()",Miljö!$B$1:$J$1,0),FALSE)</f>
        <v>0</v>
      </c>
      <c r="L263">
        <f>VLOOKUP($B263,Totalt!$B$1:$BU$497,MATCH("total el",Totalt!$B$1:$BU$1,0),FALSE)</f>
        <v>5.2499999999999998E-2</v>
      </c>
      <c r="N263">
        <f t="shared" si="16"/>
        <v>5.7750000000000003E-2</v>
      </c>
      <c r="O263">
        <f t="shared" si="17"/>
        <v>0</v>
      </c>
      <c r="P263">
        <f t="shared" si="18"/>
        <v>0</v>
      </c>
      <c r="Q263">
        <f t="shared" si="19"/>
        <v>0</v>
      </c>
    </row>
    <row r="264" spans="1:17" x14ac:dyDescent="0.45">
      <c r="A264" s="31" t="s">
        <v>336</v>
      </c>
      <c r="B264" s="31" t="s">
        <v>337</v>
      </c>
      <c r="C264" t="str">
        <f>VLOOKUP($B264,Totalt!$B$1:$BU$497,MATCH("Kvalitetsgranskad:",Totalt!$B$1:$BU$1,0),FALSE)</f>
        <v>Ja</v>
      </c>
      <c r="E264" t="str">
        <f>VLOOKUP($B264,Miljö!$B$1:$AG$479,MATCH(E$1,Miljö!$B$1:$AK$1,0),FALSE)</f>
        <v>Ja</v>
      </c>
      <c r="F264" t="str">
        <f>VLOOKUP($B264,Miljö!$B$1:$J$479,MATCH("Typ av ursprungsspecificerad el   (Om inget värde anges används Nordisk residualmix, se inforuta) ()",Miljö!$B$1:$J$1,0),FALSE)</f>
        <v>'vattenproducerad el'</v>
      </c>
      <c r="G264">
        <f>VLOOKUP($B264,Miljö!$B$1:$J$479,MATCH("Primärenergifaktor ()",Miljö!$B$1:$J$1,0),FALSE)</f>
        <v>1.1000000000000001</v>
      </c>
      <c r="H264">
        <f>VLOOKUP($B264,Miljö!$B$1:$J$479,MATCH("Koldioxidekvivalenter energiomvandling (g/kwh)",Miljö!$B$1:$J$1,0),FALSE)</f>
        <v>0</v>
      </c>
      <c r="I264">
        <f>VLOOKUP($B264,Miljö!$B$1:$J$479,MATCH("Fossilandel för ursprungspecificerad el ()",Miljö!$B$1:$J$1,0),FALSE)</f>
        <v>0</v>
      </c>
      <c r="J264">
        <f>VLOOKUP($B264,Miljö!$B$1:$J$479,MATCH("Kärnkraftsandel för ursprungsspecificerad el ()",Miljö!$B$1:$J$1,0),FALSE)</f>
        <v>0</v>
      </c>
      <c r="L264">
        <f>VLOOKUP($B264,Totalt!$B$1:$BU$497,MATCH("total el",Totalt!$B$1:$BU$1,0),FALSE)</f>
        <v>2.2700000000000001E-2</v>
      </c>
      <c r="N264">
        <f t="shared" si="16"/>
        <v>2.4970000000000003E-2</v>
      </c>
      <c r="O264">
        <f t="shared" si="17"/>
        <v>0</v>
      </c>
      <c r="P264">
        <f t="shared" si="18"/>
        <v>0</v>
      </c>
      <c r="Q264">
        <f t="shared" si="19"/>
        <v>0</v>
      </c>
    </row>
    <row r="265" spans="1:17" x14ac:dyDescent="0.45">
      <c r="A265" s="31" t="s">
        <v>333</v>
      </c>
      <c r="B265" s="31" t="s">
        <v>334</v>
      </c>
      <c r="C265" t="str">
        <f>VLOOKUP($B265,Totalt!$B$1:$BU$497,MATCH("Kvalitetsgranskad:",Totalt!$B$1:$BU$1,0),FALSE)</f>
        <v>Ja</v>
      </c>
      <c r="E265" t="str">
        <f>VLOOKUP($B265,Miljö!$B$1:$AG$479,MATCH(E$1,Miljö!$B$1:$AK$1,0),FALSE)</f>
        <v>Ja</v>
      </c>
      <c r="F265" t="str">
        <f>VLOOKUP($B265,Miljö!$B$1:$J$479,MATCH("Typ av ursprungsspecificerad el   (Om inget värde anges används Nordisk residualmix, se inforuta) ()",Miljö!$B$1:$J$1,0),FALSE)</f>
        <v>-</v>
      </c>
      <c r="G265">
        <f>VLOOKUP($B265,Miljö!$B$1:$J$479,MATCH("Primärenergifaktor ()",Miljö!$B$1:$J$1,0),FALSE)</f>
        <v>2.2000000000000002</v>
      </c>
      <c r="H265">
        <f>VLOOKUP($B265,Miljö!$B$1:$J$479,MATCH("Koldioxidekvivalenter energiomvandling (g/kwh)",Miljö!$B$1:$J$1,0),FALSE)</f>
        <v>250.8</v>
      </c>
      <c r="I265">
        <f>VLOOKUP($B265,Miljö!$B$1:$J$479,MATCH("Fossilandel för ursprungspecificerad el ()",Miljö!$B$1:$J$1,0),FALSE)</f>
        <v>0.35</v>
      </c>
      <c r="J265">
        <f>VLOOKUP($B265,Miljö!$B$1:$J$479,MATCH("Kärnkraftsandel för ursprungsspecificerad el ()",Miljö!$B$1:$J$1,0),FALSE)</f>
        <v>0.3977</v>
      </c>
      <c r="L265">
        <f>VLOOKUP($B265,Totalt!$B$1:$BU$497,MATCH("total el",Totalt!$B$1:$BU$1,0),FALSE)</f>
        <v>0.9</v>
      </c>
      <c r="N265">
        <f t="shared" si="16"/>
        <v>1.9800000000000002</v>
      </c>
      <c r="O265">
        <f t="shared" si="17"/>
        <v>225.72000000000003</v>
      </c>
      <c r="P265">
        <f t="shared" si="18"/>
        <v>0.315</v>
      </c>
      <c r="Q265">
        <f t="shared" si="19"/>
        <v>0.35793000000000003</v>
      </c>
    </row>
    <row r="266" spans="1:17" x14ac:dyDescent="0.45">
      <c r="A266" s="31" t="s">
        <v>333</v>
      </c>
      <c r="B266" s="31" t="s">
        <v>332</v>
      </c>
      <c r="C266" t="str">
        <f>VLOOKUP($B266,Totalt!$B$1:$BU$497,MATCH("Kvalitetsgranskad:",Totalt!$B$1:$BU$1,0),FALSE)</f>
        <v>Ja</v>
      </c>
      <c r="E266" t="str">
        <f>VLOOKUP($B266,Miljö!$B$1:$AG$479,MATCH(E$1,Miljö!$B$1:$AK$1,0),FALSE)</f>
        <v>Ja</v>
      </c>
      <c r="F266" t="str">
        <f>VLOOKUP($B266,Miljö!$B$1:$J$479,MATCH("Typ av ursprungsspecificerad el   (Om inget värde anges används Nordisk residualmix, se inforuta) ()",Miljö!$B$1:$J$1,0),FALSE)</f>
        <v>-</v>
      </c>
      <c r="G266">
        <f>VLOOKUP($B266,Miljö!$B$1:$J$479,MATCH("Primärenergifaktor ()",Miljö!$B$1:$J$1,0),FALSE)</f>
        <v>2.2000000000000002</v>
      </c>
      <c r="H266">
        <f>VLOOKUP($B266,Miljö!$B$1:$J$479,MATCH("Koldioxidekvivalenter energiomvandling (g/kwh)",Miljö!$B$1:$J$1,0),FALSE)</f>
        <v>250.8</v>
      </c>
      <c r="I266">
        <f>VLOOKUP($B266,Miljö!$B$1:$J$479,MATCH("Fossilandel för ursprungspecificerad el ()",Miljö!$B$1:$J$1,0),FALSE)</f>
        <v>0.35</v>
      </c>
      <c r="J266">
        <f>VLOOKUP($B266,Miljö!$B$1:$J$479,MATCH("Kärnkraftsandel för ursprungsspecificerad el ()",Miljö!$B$1:$J$1,0),FALSE)</f>
        <v>0.3977</v>
      </c>
      <c r="L266">
        <f>VLOOKUP($B266,Totalt!$B$1:$BU$497,MATCH("total el",Totalt!$B$1:$BU$1,0),FALSE)</f>
        <v>0.1</v>
      </c>
      <c r="N266">
        <f t="shared" si="16"/>
        <v>0.22000000000000003</v>
      </c>
      <c r="O266">
        <f t="shared" si="17"/>
        <v>25.080000000000002</v>
      </c>
      <c r="P266">
        <f t="shared" si="18"/>
        <v>3.4999999999999996E-2</v>
      </c>
      <c r="Q266">
        <f t="shared" si="19"/>
        <v>3.977E-2</v>
      </c>
    </row>
    <row r="267" spans="1:17" x14ac:dyDescent="0.45">
      <c r="A267" s="31" t="s">
        <v>331</v>
      </c>
      <c r="B267" s="31" t="s">
        <v>330</v>
      </c>
      <c r="C267" t="str">
        <f>VLOOKUP($B267,Totalt!$B$1:$BU$497,MATCH("Kvalitetsgranskad:",Totalt!$B$1:$BU$1,0),FALSE)</f>
        <v>Ja</v>
      </c>
      <c r="E267" t="str">
        <f>VLOOKUP($B267,Miljö!$B$1:$AG$479,MATCH(E$1,Miljö!$B$1:$AK$1,0),FALSE)</f>
        <v>Ja</v>
      </c>
      <c r="F267" t="str">
        <f>VLOOKUP($B267,Miljö!$B$1:$J$479,MATCH("Typ av ursprungsspecificerad el   (Om inget värde anges används Nordisk residualmix, se inforuta) ()",Miljö!$B$1:$J$1,0),FALSE)</f>
        <v>'Vindkraft'</v>
      </c>
      <c r="G267">
        <f>VLOOKUP($B267,Miljö!$B$1:$J$479,MATCH("Primärenergifaktor ()",Miljö!$B$1:$J$1,0),FALSE)</f>
        <v>1.05</v>
      </c>
      <c r="H267">
        <f>VLOOKUP($B267,Miljö!$B$1:$J$479,MATCH("Koldioxidekvivalenter energiomvandling (g/kwh)",Miljö!$B$1:$J$1,0),FALSE)</f>
        <v>0</v>
      </c>
      <c r="I267">
        <f>VLOOKUP($B267,Miljö!$B$1:$J$479,MATCH("Fossilandel för ursprungspecificerad el ()",Miljö!$B$1:$J$1,0),FALSE)</f>
        <v>0</v>
      </c>
      <c r="J267">
        <f>VLOOKUP($B267,Miljö!$B$1:$J$479,MATCH("Kärnkraftsandel för ursprungsspecificerad el ()",Miljö!$B$1:$J$1,0),FALSE)</f>
        <v>0</v>
      </c>
      <c r="L267">
        <f>VLOOKUP($B267,Totalt!$B$1:$BU$497,MATCH("total el",Totalt!$B$1:$BU$1,0),FALSE)</f>
        <v>0.91199999999999992</v>
      </c>
      <c r="N267">
        <f t="shared" si="16"/>
        <v>0.95760000000000001</v>
      </c>
      <c r="O267">
        <f t="shared" si="17"/>
        <v>0</v>
      </c>
      <c r="P267">
        <f t="shared" si="18"/>
        <v>0</v>
      </c>
      <c r="Q267">
        <f t="shared" si="19"/>
        <v>0</v>
      </c>
    </row>
    <row r="268" spans="1:17" x14ac:dyDescent="0.45">
      <c r="A268" s="31" t="s">
        <v>329</v>
      </c>
      <c r="B268" s="31" t="s">
        <v>328</v>
      </c>
      <c r="C268" t="str">
        <f>VLOOKUP($B268,Totalt!$B$1:$BU$497,MATCH("Kvalitetsgranskad:",Totalt!$B$1:$BU$1,0),FALSE)</f>
        <v>Nej</v>
      </c>
      <c r="E268" t="str">
        <f>VLOOKUP($B268,Miljö!$B$1:$AG$479,MATCH(E$1,Miljö!$B$1:$AK$1,0),FALSE)</f>
        <v>Nej</v>
      </c>
      <c r="F268" t="str">
        <f>VLOOKUP($B268,Miljö!$B$1:$J$479,MATCH("Typ av ursprungsspecificerad el   (Om inget värde anges används Nordisk residualmix, se inforuta) ()",Miljö!$B$1:$J$1,0),FALSE)</f>
        <v>-</v>
      </c>
      <c r="G268" t="str">
        <f>VLOOKUP($B268,Miljö!$B$1:$J$479,MATCH("Primärenergifaktor ()",Miljö!$B$1:$J$1,0),FALSE)</f>
        <v>-</v>
      </c>
      <c r="H268" t="str">
        <f>VLOOKUP($B268,Miljö!$B$1:$J$479,MATCH("Koldioxidekvivalenter energiomvandling (g/kwh)",Miljö!$B$1:$J$1,0),FALSE)</f>
        <v>-</v>
      </c>
      <c r="I268" t="str">
        <f>VLOOKUP($B268,Miljö!$B$1:$J$479,MATCH("Fossilandel för ursprungspecificerad el ()",Miljö!$B$1:$J$1,0),FALSE)</f>
        <v>-</v>
      </c>
      <c r="J268" t="str">
        <f>VLOOKUP($B268,Miljö!$B$1:$J$479,MATCH("Kärnkraftsandel för ursprungsspecificerad el ()",Miljö!$B$1:$J$1,0),FALSE)</f>
        <v>-</v>
      </c>
      <c r="L268">
        <f>VLOOKUP($B268,Totalt!$B$1:$BU$497,MATCH("total el",Totalt!$B$1:$BU$1,0),FALSE)</f>
        <v>0</v>
      </c>
      <c r="N268" t="str">
        <f t="shared" si="16"/>
        <v/>
      </c>
      <c r="O268" t="str">
        <f t="shared" si="17"/>
        <v/>
      </c>
      <c r="P268" t="str">
        <f t="shared" si="18"/>
        <v/>
      </c>
      <c r="Q268" t="str">
        <f t="shared" si="19"/>
        <v/>
      </c>
    </row>
    <row r="269" spans="1:17" x14ac:dyDescent="0.45">
      <c r="A269" s="31" t="s">
        <v>324</v>
      </c>
      <c r="B269" s="31" t="s">
        <v>327</v>
      </c>
      <c r="C269" t="str">
        <f>VLOOKUP($B269,Totalt!$B$1:$BU$497,MATCH("Kvalitetsgranskad:",Totalt!$B$1:$BU$1,0),FALSE)</f>
        <v>Ja</v>
      </c>
      <c r="E269" t="str">
        <f>VLOOKUP($B269,Miljö!$B$1:$AG$479,MATCH(E$1,Miljö!$B$1:$AK$1,0),FALSE)</f>
        <v>Ja</v>
      </c>
      <c r="F269" t="str">
        <f>VLOOKUP($B269,Miljö!$B$1:$J$479,MATCH("Typ av ursprungsspecificerad el   (Om inget värde anges används Nordisk residualmix, se inforuta) ()",Miljö!$B$1:$J$1,0),FALSE)</f>
        <v>'100% vattenkraft'</v>
      </c>
      <c r="G269">
        <f>VLOOKUP($B269,Miljö!$B$1:$J$479,MATCH("Primärenergifaktor ()",Miljö!$B$1:$J$1,0),FALSE)</f>
        <v>0.95</v>
      </c>
      <c r="H269">
        <f>VLOOKUP($B269,Miljö!$B$1:$J$479,MATCH("Koldioxidekvivalenter energiomvandling (g/kwh)",Miljö!$B$1:$J$1,0),FALSE)</f>
        <v>0</v>
      </c>
      <c r="I269">
        <f>VLOOKUP($B269,Miljö!$B$1:$J$479,MATCH("Fossilandel för ursprungspecificerad el ()",Miljö!$B$1:$J$1,0),FALSE)</f>
        <v>0</v>
      </c>
      <c r="J269">
        <f>VLOOKUP($B269,Miljö!$B$1:$J$479,MATCH("Kärnkraftsandel för ursprungsspecificerad el ()",Miljö!$B$1:$J$1,0),FALSE)</f>
        <v>0</v>
      </c>
      <c r="L269">
        <f>VLOOKUP($B269,Totalt!$B$1:$BU$497,MATCH("total el",Totalt!$B$1:$BU$1,0),FALSE)</f>
        <v>3.87</v>
      </c>
      <c r="N269">
        <f t="shared" si="16"/>
        <v>3.6764999999999999</v>
      </c>
      <c r="O269">
        <f t="shared" si="17"/>
        <v>0</v>
      </c>
      <c r="P269">
        <f t="shared" si="18"/>
        <v>0</v>
      </c>
      <c r="Q269">
        <f t="shared" si="19"/>
        <v>0</v>
      </c>
    </row>
    <row r="270" spans="1:17" x14ac:dyDescent="0.45">
      <c r="A270" s="31" t="s">
        <v>324</v>
      </c>
      <c r="B270" s="31" t="s">
        <v>326</v>
      </c>
      <c r="C270" t="str">
        <f>VLOOKUP($B270,Totalt!$B$1:$BU$497,MATCH("Kvalitetsgranskad:",Totalt!$B$1:$BU$1,0),FALSE)</f>
        <v>Ja</v>
      </c>
      <c r="E270" t="str">
        <f>VLOOKUP($B270,Miljö!$B$1:$AG$479,MATCH(E$1,Miljö!$B$1:$AK$1,0),FALSE)</f>
        <v>Ja</v>
      </c>
      <c r="F270" t="str">
        <f>VLOOKUP($B270,Miljö!$B$1:$J$479,MATCH("Typ av ursprungsspecificerad el   (Om inget värde anges används Nordisk residualmix, se inforuta) ()",Miljö!$B$1:$J$1,0),FALSE)</f>
        <v>'100% vattenkraft'</v>
      </c>
      <c r="G270">
        <f>VLOOKUP($B270,Miljö!$B$1:$J$479,MATCH("Primärenergifaktor ()",Miljö!$B$1:$J$1,0),FALSE)</f>
        <v>0.95</v>
      </c>
      <c r="H270">
        <f>VLOOKUP($B270,Miljö!$B$1:$J$479,MATCH("Koldioxidekvivalenter energiomvandling (g/kwh)",Miljö!$B$1:$J$1,0),FALSE)</f>
        <v>0</v>
      </c>
      <c r="I270">
        <f>VLOOKUP($B270,Miljö!$B$1:$J$479,MATCH("Fossilandel för ursprungspecificerad el ()",Miljö!$B$1:$J$1,0),FALSE)</f>
        <v>0</v>
      </c>
      <c r="J270">
        <f>VLOOKUP($B270,Miljö!$B$1:$J$479,MATCH("Kärnkraftsandel för ursprungsspecificerad el ()",Miljö!$B$1:$J$1,0),FALSE)</f>
        <v>0</v>
      </c>
      <c r="L270">
        <f>VLOOKUP($B270,Totalt!$B$1:$BU$497,MATCH("total el",Totalt!$B$1:$BU$1,0),FALSE)</f>
        <v>0.83</v>
      </c>
      <c r="N270">
        <f t="shared" si="16"/>
        <v>0.78849999999999998</v>
      </c>
      <c r="O270">
        <f t="shared" si="17"/>
        <v>0</v>
      </c>
      <c r="P270">
        <f t="shared" si="18"/>
        <v>0</v>
      </c>
      <c r="Q270">
        <f t="shared" si="19"/>
        <v>0</v>
      </c>
    </row>
    <row r="271" spans="1:17" x14ac:dyDescent="0.45">
      <c r="A271" s="31" t="s">
        <v>324</v>
      </c>
      <c r="B271" s="31" t="s">
        <v>325</v>
      </c>
      <c r="C271" t="str">
        <f>VLOOKUP($B271,Totalt!$B$1:$BU$497,MATCH("Kvalitetsgranskad:",Totalt!$B$1:$BU$1,0),FALSE)</f>
        <v>Ja</v>
      </c>
      <c r="E271" t="str">
        <f>VLOOKUP($B271,Miljö!$B$1:$AG$479,MATCH(E$1,Miljö!$B$1:$AK$1,0),FALSE)</f>
        <v>Ja</v>
      </c>
      <c r="F271" t="str">
        <f>VLOOKUP($B271,Miljö!$B$1:$J$479,MATCH("Typ av ursprungsspecificerad el   (Om inget värde anges används Nordisk residualmix, se inforuta) ()",Miljö!$B$1:$J$1,0),FALSE)</f>
        <v>'100% vattenkraft'</v>
      </c>
      <c r="G271">
        <f>VLOOKUP($B271,Miljö!$B$1:$J$479,MATCH("Primärenergifaktor ()",Miljö!$B$1:$J$1,0),FALSE)</f>
        <v>0.95</v>
      </c>
      <c r="H271">
        <f>VLOOKUP($B271,Miljö!$B$1:$J$479,MATCH("Koldioxidekvivalenter energiomvandling (g/kwh)",Miljö!$B$1:$J$1,0),FALSE)</f>
        <v>0</v>
      </c>
      <c r="I271">
        <f>VLOOKUP($B271,Miljö!$B$1:$J$479,MATCH("Fossilandel för ursprungspecificerad el ()",Miljö!$B$1:$J$1,0),FALSE)</f>
        <v>0</v>
      </c>
      <c r="J271">
        <f>VLOOKUP($B271,Miljö!$B$1:$J$479,MATCH("Kärnkraftsandel för ursprungsspecificerad el ()",Miljö!$B$1:$J$1,0),FALSE)</f>
        <v>0</v>
      </c>
      <c r="L271">
        <f>VLOOKUP($B271,Totalt!$B$1:$BU$497,MATCH("total el",Totalt!$B$1:$BU$1,0),FALSE)</f>
        <v>0.27</v>
      </c>
      <c r="N271">
        <f t="shared" si="16"/>
        <v>0.25650000000000001</v>
      </c>
      <c r="O271">
        <f t="shared" si="17"/>
        <v>0</v>
      </c>
      <c r="P271">
        <f t="shared" si="18"/>
        <v>0</v>
      </c>
      <c r="Q271">
        <f t="shared" si="19"/>
        <v>0</v>
      </c>
    </row>
    <row r="272" spans="1:17" x14ac:dyDescent="0.45">
      <c r="A272" s="31" t="s">
        <v>324</v>
      </c>
      <c r="B272" s="31" t="s">
        <v>323</v>
      </c>
      <c r="C272" t="str">
        <f>VLOOKUP($B272,Totalt!$B$1:$BU$497,MATCH("Kvalitetsgranskad:",Totalt!$B$1:$BU$1,0),FALSE)</f>
        <v>Ja</v>
      </c>
      <c r="E272" t="str">
        <f>VLOOKUP($B272,Miljö!$B$1:$AG$479,MATCH(E$1,Miljö!$B$1:$AK$1,0),FALSE)</f>
        <v>Ja</v>
      </c>
      <c r="F272" t="str">
        <f>VLOOKUP($B272,Miljö!$B$1:$J$479,MATCH("Typ av ursprungsspecificerad el   (Om inget värde anges används Nordisk residualmix, se inforuta) ()",Miljö!$B$1:$J$1,0),FALSE)</f>
        <v>'100% vattenkraft'</v>
      </c>
      <c r="G272">
        <f>VLOOKUP($B272,Miljö!$B$1:$J$479,MATCH("Primärenergifaktor ()",Miljö!$B$1:$J$1,0),FALSE)</f>
        <v>0.95</v>
      </c>
      <c r="H272">
        <f>VLOOKUP($B272,Miljö!$B$1:$J$479,MATCH("Koldioxidekvivalenter energiomvandling (g/kwh)",Miljö!$B$1:$J$1,0),FALSE)</f>
        <v>0</v>
      </c>
      <c r="I272">
        <f>VLOOKUP($B272,Miljö!$B$1:$J$479,MATCH("Fossilandel för ursprungspecificerad el ()",Miljö!$B$1:$J$1,0),FALSE)</f>
        <v>0</v>
      </c>
      <c r="J272">
        <f>VLOOKUP($B272,Miljö!$B$1:$J$479,MATCH("Kärnkraftsandel för ursprungsspecificerad el ()",Miljö!$B$1:$J$1,0),FALSE)</f>
        <v>0</v>
      </c>
      <c r="L272">
        <f>VLOOKUP($B272,Totalt!$B$1:$BU$497,MATCH("total el",Totalt!$B$1:$BU$1,0),FALSE)</f>
        <v>1.03</v>
      </c>
      <c r="N272">
        <f t="shared" si="16"/>
        <v>0.97849999999999993</v>
      </c>
      <c r="O272">
        <f t="shared" si="17"/>
        <v>0</v>
      </c>
      <c r="P272">
        <f t="shared" si="18"/>
        <v>0</v>
      </c>
      <c r="Q272">
        <f t="shared" si="19"/>
        <v>0</v>
      </c>
    </row>
    <row r="273" spans="1:17" x14ac:dyDescent="0.45">
      <c r="A273" s="31" t="s">
        <v>321</v>
      </c>
      <c r="B273" s="31" t="s">
        <v>322</v>
      </c>
      <c r="C273" t="str">
        <f>VLOOKUP($B273,Totalt!$B$1:$BU$497,MATCH("Kvalitetsgranskad:",Totalt!$B$1:$BU$1,0),FALSE)</f>
        <v>Ja</v>
      </c>
      <c r="E273" t="str">
        <f>VLOOKUP($B273,Miljö!$B$1:$AG$479,MATCH(E$1,Miljö!$B$1:$AK$1,0),FALSE)</f>
        <v>Ja</v>
      </c>
      <c r="F273" t="str">
        <f>VLOOKUP($B273,Miljö!$B$1:$J$479,MATCH("Typ av ursprungsspecificerad el   (Om inget värde anges används Nordisk residualmix, se inforuta) ()",Miljö!$B$1:$J$1,0),FALSE)</f>
        <v>'Förnybart'</v>
      </c>
      <c r="G273">
        <f>VLOOKUP($B273,Miljö!$B$1:$J$479,MATCH("Primärenergifaktor ()",Miljö!$B$1:$J$1,0),FALSE)</f>
        <v>1.1000000000000001</v>
      </c>
      <c r="H273">
        <f>VLOOKUP($B273,Miljö!$B$1:$J$479,MATCH("Koldioxidekvivalenter energiomvandling (g/kwh)",Miljö!$B$1:$J$1,0),FALSE)</f>
        <v>0</v>
      </c>
      <c r="I273">
        <f>VLOOKUP($B273,Miljö!$B$1:$J$479,MATCH("Fossilandel för ursprungspecificerad el ()",Miljö!$B$1:$J$1,0),FALSE)</f>
        <v>0</v>
      </c>
      <c r="J273">
        <f>VLOOKUP($B273,Miljö!$B$1:$J$479,MATCH("Kärnkraftsandel för ursprungsspecificerad el ()",Miljö!$B$1:$J$1,0),FALSE)</f>
        <v>0</v>
      </c>
      <c r="L273">
        <f>VLOOKUP($B273,Totalt!$B$1:$BU$497,MATCH("total el",Totalt!$B$1:$BU$1,0),FALSE)</f>
        <v>1</v>
      </c>
      <c r="N273">
        <f t="shared" si="16"/>
        <v>1.1000000000000001</v>
      </c>
      <c r="O273">
        <f t="shared" si="17"/>
        <v>0</v>
      </c>
      <c r="P273">
        <f t="shared" si="18"/>
        <v>0</v>
      </c>
      <c r="Q273">
        <f t="shared" si="19"/>
        <v>0</v>
      </c>
    </row>
    <row r="274" spans="1:17" x14ac:dyDescent="0.45">
      <c r="A274" s="31" t="s">
        <v>321</v>
      </c>
      <c r="B274" s="31" t="s">
        <v>320</v>
      </c>
      <c r="C274" t="str">
        <f>VLOOKUP($B274,Totalt!$B$1:$BU$497,MATCH("Kvalitetsgranskad:",Totalt!$B$1:$BU$1,0),FALSE)</f>
        <v>Ja</v>
      </c>
      <c r="E274" t="str">
        <f>VLOOKUP($B274,Miljö!$B$1:$AG$479,MATCH(E$1,Miljö!$B$1:$AK$1,0),FALSE)</f>
        <v>Ja</v>
      </c>
      <c r="F274" t="str">
        <f>VLOOKUP($B274,Miljö!$B$1:$J$479,MATCH("Typ av ursprungsspecificerad el   (Om inget värde anges används Nordisk residualmix, se inforuta) ()",Miljö!$B$1:$J$1,0),FALSE)</f>
        <v>'Förnybart'</v>
      </c>
      <c r="G274">
        <f>VLOOKUP($B274,Miljö!$B$1:$J$479,MATCH("Primärenergifaktor ()",Miljö!$B$1:$J$1,0),FALSE)</f>
        <v>1.1000000000000001</v>
      </c>
      <c r="H274">
        <f>VLOOKUP($B274,Miljö!$B$1:$J$479,MATCH("Koldioxidekvivalenter energiomvandling (g/kwh)",Miljö!$B$1:$J$1,0),FALSE)</f>
        <v>0</v>
      </c>
      <c r="I274">
        <f>VLOOKUP($B274,Miljö!$B$1:$J$479,MATCH("Fossilandel för ursprungspecificerad el ()",Miljö!$B$1:$J$1,0),FALSE)</f>
        <v>0</v>
      </c>
      <c r="J274">
        <f>VLOOKUP($B274,Miljö!$B$1:$J$479,MATCH("Kärnkraftsandel för ursprungsspecificerad el ()",Miljö!$B$1:$J$1,0),FALSE)</f>
        <v>0</v>
      </c>
      <c r="L274">
        <f>VLOOKUP($B274,Totalt!$B$1:$BU$497,MATCH("total el",Totalt!$B$1:$BU$1,0),FALSE)</f>
        <v>2.0500000000000001E-2</v>
      </c>
      <c r="N274">
        <f t="shared" si="16"/>
        <v>2.2550000000000004E-2</v>
      </c>
      <c r="O274">
        <f t="shared" si="17"/>
        <v>0</v>
      </c>
      <c r="P274">
        <f t="shared" si="18"/>
        <v>0</v>
      </c>
      <c r="Q274">
        <f t="shared" si="19"/>
        <v>0</v>
      </c>
    </row>
    <row r="275" spans="1:17" x14ac:dyDescent="0.45">
      <c r="A275" s="31" t="s">
        <v>312</v>
      </c>
      <c r="B275" s="31" t="s">
        <v>313</v>
      </c>
      <c r="C275" t="str">
        <f>VLOOKUP($B275,Totalt!$B$1:$BU$497,MATCH("Kvalitetsgranskad:",Totalt!$B$1:$BU$1,0),FALSE)</f>
        <v>ja</v>
      </c>
      <c r="E275" t="str">
        <f>VLOOKUP($B275,Miljö!$B$1:$AG$479,MATCH(E$1,Miljö!$B$1:$AK$1,0),FALSE)</f>
        <v>Ja</v>
      </c>
      <c r="F275" t="str">
        <f>VLOOKUP($B275,Miljö!$B$1:$J$479,MATCH("Typ av ursprungsspecificerad el   (Om inget värde anges används Nordisk residualmix, se inforuta) ()",Miljö!$B$1:$J$1,0),FALSE)</f>
        <v>-</v>
      </c>
      <c r="G275">
        <f>VLOOKUP($B275,Miljö!$B$1:$J$479,MATCH("Primärenergifaktor ()",Miljö!$B$1:$J$1,0),FALSE)</f>
        <v>2.2000000000000002</v>
      </c>
      <c r="H275">
        <f>VLOOKUP($B275,Miljö!$B$1:$J$479,MATCH("Koldioxidekvivalenter energiomvandling (g/kwh)",Miljö!$B$1:$J$1,0),FALSE)</f>
        <v>250.8</v>
      </c>
      <c r="I275">
        <f>VLOOKUP($B275,Miljö!$B$1:$J$479,MATCH("Fossilandel för ursprungspecificerad el ()",Miljö!$B$1:$J$1,0),FALSE)</f>
        <v>0.35</v>
      </c>
      <c r="J275" t="str">
        <f>VLOOKUP($B275,Miljö!$B$1:$J$479,MATCH("Kärnkraftsandel för ursprungsspecificerad el ()",Miljö!$B$1:$J$1,0),FALSE)</f>
        <v>-</v>
      </c>
      <c r="L275">
        <f>VLOOKUP($B275,Totalt!$B$1:$BU$497,MATCH("total el",Totalt!$B$1:$BU$1,0),FALSE)</f>
        <v>13.543000000000001</v>
      </c>
      <c r="N275">
        <f t="shared" si="16"/>
        <v>29.794600000000006</v>
      </c>
      <c r="O275">
        <f t="shared" si="17"/>
        <v>3396.5844000000002</v>
      </c>
      <c r="P275">
        <f t="shared" si="18"/>
        <v>4.7400500000000001</v>
      </c>
      <c r="Q275" t="str">
        <f t="shared" si="19"/>
        <v/>
      </c>
    </row>
    <row r="276" spans="1:17" x14ac:dyDescent="0.45">
      <c r="A276" s="31" t="s">
        <v>312</v>
      </c>
      <c r="B276" s="31" t="s">
        <v>112</v>
      </c>
      <c r="C276" t="str">
        <f>VLOOKUP($B276,Totalt!$B$1:$BU$497,MATCH("Kvalitetsgranskad:",Totalt!$B$1:$BU$1,0),FALSE)</f>
        <v>Ja</v>
      </c>
      <c r="E276" t="str">
        <f>VLOOKUP($B276,Miljö!$B$1:$AG$479,MATCH(E$1,Miljö!$B$1:$AK$1,0),FALSE)</f>
        <v>Ja</v>
      </c>
      <c r="F276" t="str">
        <f>VLOOKUP($B276,Miljö!$B$1:$J$479,MATCH("Typ av ursprungsspecificerad el   (Om inget värde anges används Nordisk residualmix, se inforuta) ()",Miljö!$B$1:$J$1,0),FALSE)</f>
        <v>'Mix BIo. vattenkraft'</v>
      </c>
      <c r="G276">
        <f>VLOOKUP($B276,Miljö!$B$1:$J$479,MATCH("Primärenergifaktor ()",Miljö!$B$1:$J$1,0),FALSE)</f>
        <v>0.1</v>
      </c>
      <c r="H276">
        <f>VLOOKUP($B276,Miljö!$B$1:$J$479,MATCH("Koldioxidekvivalenter energiomvandling (g/kwh)",Miljö!$B$1:$J$1,0),FALSE)</f>
        <v>0</v>
      </c>
      <c r="I276">
        <f>VLOOKUP($B276,Miljö!$B$1:$J$479,MATCH("Fossilandel för ursprungspecificerad el ()",Miljö!$B$1:$J$1,0),FALSE)</f>
        <v>0</v>
      </c>
      <c r="J276">
        <f>VLOOKUP($B276,Miljö!$B$1:$J$479,MATCH("Kärnkraftsandel för ursprungsspecificerad el ()",Miljö!$B$1:$J$1,0),FALSE)</f>
        <v>0</v>
      </c>
      <c r="L276">
        <f>VLOOKUP($B276,Totalt!$B$1:$BU$497,MATCH("total el",Totalt!$B$1:$BU$1,0),FALSE)</f>
        <v>842.49700000000007</v>
      </c>
      <c r="N276">
        <f t="shared" si="16"/>
        <v>84.249700000000018</v>
      </c>
      <c r="O276">
        <f t="shared" si="17"/>
        <v>0</v>
      </c>
      <c r="P276">
        <f t="shared" si="18"/>
        <v>0</v>
      </c>
      <c r="Q276">
        <f t="shared" si="19"/>
        <v>0</v>
      </c>
    </row>
    <row r="277" spans="1:17" x14ac:dyDescent="0.45">
      <c r="A277" s="31" t="s">
        <v>312</v>
      </c>
      <c r="B277" s="31" t="s">
        <v>319</v>
      </c>
      <c r="C277" t="str">
        <f>VLOOKUP($B277,Totalt!$B$1:$BU$497,MATCH("Kvalitetsgranskad:",Totalt!$B$1:$BU$1,0),FALSE)</f>
        <v>Nej</v>
      </c>
      <c r="E277" t="str">
        <f>VLOOKUP($B277,Miljö!$B$1:$AG$479,MATCH(E$1,Miljö!$B$1:$AK$1,0),FALSE)</f>
        <v>Nej</v>
      </c>
      <c r="F277" t="str">
        <f>VLOOKUP($B277,Miljö!$B$1:$J$479,MATCH("Typ av ursprungsspecificerad el   (Om inget värde anges används Nordisk residualmix, se inforuta) ()",Miljö!$B$1:$J$1,0),FALSE)</f>
        <v>-</v>
      </c>
      <c r="G277" t="str">
        <f>VLOOKUP($B277,Miljö!$B$1:$J$479,MATCH("Primärenergifaktor ()",Miljö!$B$1:$J$1,0),FALSE)</f>
        <v>-</v>
      </c>
      <c r="H277" t="str">
        <f>VLOOKUP($B277,Miljö!$B$1:$J$479,MATCH("Koldioxidekvivalenter energiomvandling (g/kwh)",Miljö!$B$1:$J$1,0),FALSE)</f>
        <v>-</v>
      </c>
      <c r="I277" t="str">
        <f>VLOOKUP($B277,Miljö!$B$1:$J$479,MATCH("Fossilandel för ursprungspecificerad el ()",Miljö!$B$1:$J$1,0),FALSE)</f>
        <v>-</v>
      </c>
      <c r="J277" t="str">
        <f>VLOOKUP($B277,Miljö!$B$1:$J$479,MATCH("Kärnkraftsandel för ursprungsspecificerad el ()",Miljö!$B$1:$J$1,0),FALSE)</f>
        <v>-</v>
      </c>
      <c r="L277">
        <f>VLOOKUP($B277,Totalt!$B$1:$BU$497,MATCH("total el",Totalt!$B$1:$BU$1,0),FALSE)</f>
        <v>0</v>
      </c>
      <c r="N277" t="str">
        <f t="shared" si="16"/>
        <v/>
      </c>
      <c r="O277" t="str">
        <f t="shared" si="17"/>
        <v/>
      </c>
      <c r="P277" t="str">
        <f t="shared" si="18"/>
        <v/>
      </c>
      <c r="Q277" t="str">
        <f t="shared" si="19"/>
        <v/>
      </c>
    </row>
    <row r="278" spans="1:17" x14ac:dyDescent="0.45">
      <c r="A278" s="31" t="s">
        <v>312</v>
      </c>
      <c r="B278" s="31" t="s">
        <v>318</v>
      </c>
      <c r="C278" t="str">
        <f>VLOOKUP($B278,Totalt!$B$1:$BU$497,MATCH("Kvalitetsgranskad:",Totalt!$B$1:$BU$1,0),FALSE)</f>
        <v>Nej</v>
      </c>
      <c r="E278" t="str">
        <f>VLOOKUP($B278,Miljö!$B$1:$AG$479,MATCH(E$1,Miljö!$B$1:$AK$1,0),FALSE)</f>
        <v>Nej</v>
      </c>
      <c r="F278" t="str">
        <f>VLOOKUP($B278,Miljö!$B$1:$J$479,MATCH("Typ av ursprungsspecificerad el   (Om inget värde anges används Nordisk residualmix, se inforuta) ()",Miljö!$B$1:$J$1,0),FALSE)</f>
        <v>-</v>
      </c>
      <c r="G278" t="str">
        <f>VLOOKUP($B278,Miljö!$B$1:$J$479,MATCH("Primärenergifaktor ()",Miljö!$B$1:$J$1,0),FALSE)</f>
        <v>-</v>
      </c>
      <c r="H278" t="str">
        <f>VLOOKUP($B278,Miljö!$B$1:$J$479,MATCH("Koldioxidekvivalenter energiomvandling (g/kwh)",Miljö!$B$1:$J$1,0),FALSE)</f>
        <v>-</v>
      </c>
      <c r="I278" t="str">
        <f>VLOOKUP($B278,Miljö!$B$1:$J$479,MATCH("Fossilandel för ursprungspecificerad el ()",Miljö!$B$1:$J$1,0),FALSE)</f>
        <v>-</v>
      </c>
      <c r="J278" t="str">
        <f>VLOOKUP($B278,Miljö!$B$1:$J$479,MATCH("Kärnkraftsandel för ursprungsspecificerad el ()",Miljö!$B$1:$J$1,0),FALSE)</f>
        <v>-</v>
      </c>
      <c r="L278">
        <f>VLOOKUP($B278,Totalt!$B$1:$BU$497,MATCH("total el",Totalt!$B$1:$BU$1,0),FALSE)</f>
        <v>0</v>
      </c>
      <c r="N278" t="str">
        <f t="shared" si="16"/>
        <v/>
      </c>
      <c r="O278" t="str">
        <f t="shared" si="17"/>
        <v/>
      </c>
      <c r="P278" t="str">
        <f t="shared" si="18"/>
        <v/>
      </c>
      <c r="Q278" t="str">
        <f t="shared" si="19"/>
        <v/>
      </c>
    </row>
    <row r="279" spans="1:17" x14ac:dyDescent="0.45">
      <c r="A279" s="31" t="s">
        <v>312</v>
      </c>
      <c r="B279" s="31" t="s">
        <v>311</v>
      </c>
      <c r="C279" t="str">
        <f>VLOOKUP($B279,Totalt!$B$1:$BU$497,MATCH("Kvalitetsgranskad:",Totalt!$B$1:$BU$1,0),FALSE)</f>
        <v>Nej</v>
      </c>
      <c r="E279" t="str">
        <f>VLOOKUP($B279,Miljö!$B$1:$AG$479,MATCH(E$1,Miljö!$B$1:$AK$1,0),FALSE)</f>
        <v>Nej</v>
      </c>
      <c r="F279" t="str">
        <f>VLOOKUP($B279,Miljö!$B$1:$J$479,MATCH("Typ av ursprungsspecificerad el   (Om inget värde anges används Nordisk residualmix, se inforuta) ()",Miljö!$B$1:$J$1,0),FALSE)</f>
        <v>-</v>
      </c>
      <c r="G279" t="str">
        <f>VLOOKUP($B279,Miljö!$B$1:$J$479,MATCH("Primärenergifaktor ()",Miljö!$B$1:$J$1,0),FALSE)</f>
        <v>-</v>
      </c>
      <c r="H279" t="str">
        <f>VLOOKUP($B279,Miljö!$B$1:$J$479,MATCH("Koldioxidekvivalenter energiomvandling (g/kwh)",Miljö!$B$1:$J$1,0),FALSE)</f>
        <v>-</v>
      </c>
      <c r="I279" t="str">
        <f>VLOOKUP($B279,Miljö!$B$1:$J$479,MATCH("Fossilandel för ursprungspecificerad el ()",Miljö!$B$1:$J$1,0),FALSE)</f>
        <v>-</v>
      </c>
      <c r="J279" t="str">
        <f>VLOOKUP($B279,Miljö!$B$1:$J$479,MATCH("Kärnkraftsandel för ursprungsspecificerad el ()",Miljö!$B$1:$J$1,0),FALSE)</f>
        <v>-</v>
      </c>
      <c r="L279">
        <f>VLOOKUP($B279,Totalt!$B$1:$BU$497,MATCH("total el",Totalt!$B$1:$BU$1,0),FALSE)</f>
        <v>0</v>
      </c>
      <c r="N279" t="str">
        <f t="shared" si="16"/>
        <v/>
      </c>
      <c r="O279" t="str">
        <f t="shared" si="17"/>
        <v/>
      </c>
      <c r="P279" t="str">
        <f t="shared" si="18"/>
        <v/>
      </c>
      <c r="Q279" t="str">
        <f t="shared" si="19"/>
        <v/>
      </c>
    </row>
    <row r="280" spans="1:17" x14ac:dyDescent="0.45">
      <c r="A280" s="31" t="s">
        <v>312</v>
      </c>
      <c r="B280" s="31" t="s">
        <v>317</v>
      </c>
      <c r="C280" t="str">
        <f>VLOOKUP($B280,Totalt!$B$1:$BU$497,MATCH("Kvalitetsgranskad:",Totalt!$B$1:$BU$1,0),FALSE)</f>
        <v>Nej</v>
      </c>
      <c r="E280" t="str">
        <f>VLOOKUP($B280,Miljö!$B$1:$AG$479,MATCH(E$1,Miljö!$B$1:$AK$1,0),FALSE)</f>
        <v>Nej</v>
      </c>
      <c r="F280" t="str">
        <f>VLOOKUP($B280,Miljö!$B$1:$J$479,MATCH("Typ av ursprungsspecificerad el   (Om inget värde anges används Nordisk residualmix, se inforuta) ()",Miljö!$B$1:$J$1,0),FALSE)</f>
        <v>-</v>
      </c>
      <c r="G280" t="str">
        <f>VLOOKUP($B280,Miljö!$B$1:$J$479,MATCH("Primärenergifaktor ()",Miljö!$B$1:$J$1,0),FALSE)</f>
        <v>-</v>
      </c>
      <c r="H280" t="str">
        <f>VLOOKUP($B280,Miljö!$B$1:$J$479,MATCH("Koldioxidekvivalenter energiomvandling (g/kwh)",Miljö!$B$1:$J$1,0),FALSE)</f>
        <v>-</v>
      </c>
      <c r="I280" t="str">
        <f>VLOOKUP($B280,Miljö!$B$1:$J$479,MATCH("Fossilandel för ursprungspecificerad el ()",Miljö!$B$1:$J$1,0),FALSE)</f>
        <v>-</v>
      </c>
      <c r="J280" t="str">
        <f>VLOOKUP($B280,Miljö!$B$1:$J$479,MATCH("Kärnkraftsandel för ursprungsspecificerad el ()",Miljö!$B$1:$J$1,0),FALSE)</f>
        <v>-</v>
      </c>
      <c r="L280">
        <f>VLOOKUP($B280,Totalt!$B$1:$BU$497,MATCH("total el",Totalt!$B$1:$BU$1,0),FALSE)</f>
        <v>0</v>
      </c>
      <c r="N280" t="str">
        <f t="shared" si="16"/>
        <v/>
      </c>
      <c r="O280" t="str">
        <f t="shared" si="17"/>
        <v/>
      </c>
      <c r="P280" t="str">
        <f t="shared" si="18"/>
        <v/>
      </c>
      <c r="Q280" t="str">
        <f t="shared" si="19"/>
        <v/>
      </c>
    </row>
    <row r="281" spans="1:17" x14ac:dyDescent="0.45">
      <c r="A281" s="31" t="s">
        <v>312</v>
      </c>
      <c r="B281" s="31" t="s">
        <v>314</v>
      </c>
      <c r="C281" t="str">
        <f>VLOOKUP($B281,Totalt!$B$1:$BU$497,MATCH("Kvalitetsgranskad:",Totalt!$B$1:$BU$1,0),FALSE)</f>
        <v>Nej</v>
      </c>
      <c r="E281" t="str">
        <f>VLOOKUP($B281,Miljö!$B$1:$AG$479,MATCH(E$1,Miljö!$B$1:$AK$1,0),FALSE)</f>
        <v>Nej</v>
      </c>
      <c r="F281" t="str">
        <f>VLOOKUP($B281,Miljö!$B$1:$J$479,MATCH("Typ av ursprungsspecificerad el   (Om inget värde anges används Nordisk residualmix, se inforuta) ()",Miljö!$B$1:$J$1,0),FALSE)</f>
        <v>-</v>
      </c>
      <c r="G281" t="str">
        <f>VLOOKUP($B281,Miljö!$B$1:$J$479,MATCH("Primärenergifaktor ()",Miljö!$B$1:$J$1,0),FALSE)</f>
        <v>-</v>
      </c>
      <c r="H281" t="str">
        <f>VLOOKUP($B281,Miljö!$B$1:$J$479,MATCH("Koldioxidekvivalenter energiomvandling (g/kwh)",Miljö!$B$1:$J$1,0),FALSE)</f>
        <v>-</v>
      </c>
      <c r="I281" t="str">
        <f>VLOOKUP($B281,Miljö!$B$1:$J$479,MATCH("Fossilandel för ursprungspecificerad el ()",Miljö!$B$1:$J$1,0),FALSE)</f>
        <v>-</v>
      </c>
      <c r="J281" t="str">
        <f>VLOOKUP($B281,Miljö!$B$1:$J$479,MATCH("Kärnkraftsandel för ursprungsspecificerad el ()",Miljö!$B$1:$J$1,0),FALSE)</f>
        <v>-</v>
      </c>
      <c r="L281">
        <f>VLOOKUP($B281,Totalt!$B$1:$BU$497,MATCH("total el",Totalt!$B$1:$BU$1,0),FALSE)</f>
        <v>0</v>
      </c>
      <c r="N281" t="str">
        <f t="shared" si="16"/>
        <v/>
      </c>
      <c r="O281" t="str">
        <f t="shared" si="17"/>
        <v/>
      </c>
      <c r="P281" t="str">
        <f t="shared" si="18"/>
        <v/>
      </c>
      <c r="Q281" t="str">
        <f t="shared" si="19"/>
        <v/>
      </c>
    </row>
    <row r="282" spans="1:17" x14ac:dyDescent="0.45">
      <c r="A282" s="31" t="s">
        <v>312</v>
      </c>
      <c r="B282" s="31" t="s">
        <v>316</v>
      </c>
      <c r="C282" t="str">
        <f>VLOOKUP($B282,Totalt!$B$1:$BU$497,MATCH("Kvalitetsgranskad:",Totalt!$B$1:$BU$1,0),FALSE)</f>
        <v>Nej</v>
      </c>
      <c r="E282" t="str">
        <f>VLOOKUP($B282,Miljö!$B$1:$AG$479,MATCH(E$1,Miljö!$B$1:$AK$1,0),FALSE)</f>
        <v>Nej</v>
      </c>
      <c r="F282" t="str">
        <f>VLOOKUP($B282,Miljö!$B$1:$J$479,MATCH("Typ av ursprungsspecificerad el   (Om inget värde anges används Nordisk residualmix, se inforuta) ()",Miljö!$B$1:$J$1,0),FALSE)</f>
        <v>-</v>
      </c>
      <c r="G282" t="str">
        <f>VLOOKUP($B282,Miljö!$B$1:$J$479,MATCH("Primärenergifaktor ()",Miljö!$B$1:$J$1,0),FALSE)</f>
        <v>-</v>
      </c>
      <c r="H282" t="str">
        <f>VLOOKUP($B282,Miljö!$B$1:$J$479,MATCH("Koldioxidekvivalenter energiomvandling (g/kwh)",Miljö!$B$1:$J$1,0),FALSE)</f>
        <v>-</v>
      </c>
      <c r="I282" t="str">
        <f>VLOOKUP($B282,Miljö!$B$1:$J$479,MATCH("Fossilandel för ursprungspecificerad el ()",Miljö!$B$1:$J$1,0),FALSE)</f>
        <v>-</v>
      </c>
      <c r="J282" t="str">
        <f>VLOOKUP($B282,Miljö!$B$1:$J$479,MATCH("Kärnkraftsandel för ursprungsspecificerad el ()",Miljö!$B$1:$J$1,0),FALSE)</f>
        <v>-</v>
      </c>
      <c r="L282">
        <f>VLOOKUP($B282,Totalt!$B$1:$BU$497,MATCH("total el",Totalt!$B$1:$BU$1,0),FALSE)</f>
        <v>0</v>
      </c>
      <c r="N282" t="str">
        <f t="shared" si="16"/>
        <v/>
      </c>
      <c r="O282" t="str">
        <f t="shared" si="17"/>
        <v/>
      </c>
      <c r="P282" t="str">
        <f t="shared" si="18"/>
        <v/>
      </c>
      <c r="Q282" t="str">
        <f t="shared" si="19"/>
        <v/>
      </c>
    </row>
    <row r="283" spans="1:17" x14ac:dyDescent="0.45">
      <c r="A283" s="31" t="s">
        <v>312</v>
      </c>
      <c r="B283" s="31" t="s">
        <v>315</v>
      </c>
      <c r="C283" t="str">
        <f>VLOOKUP($B283,Totalt!$B$1:$BU$497,MATCH("Kvalitetsgranskad:",Totalt!$B$1:$BU$1,0),FALSE)</f>
        <v>Nej</v>
      </c>
      <c r="E283" t="str">
        <f>VLOOKUP($B283,Miljö!$B$1:$AG$479,MATCH(E$1,Miljö!$B$1:$AK$1,0),FALSE)</f>
        <v>Nej</v>
      </c>
      <c r="F283" t="str">
        <f>VLOOKUP($B283,Miljö!$B$1:$J$479,MATCH("Typ av ursprungsspecificerad el   (Om inget värde anges används Nordisk residualmix, se inforuta) ()",Miljö!$B$1:$J$1,0),FALSE)</f>
        <v>-</v>
      </c>
      <c r="G283" t="str">
        <f>VLOOKUP($B283,Miljö!$B$1:$J$479,MATCH("Primärenergifaktor ()",Miljö!$B$1:$J$1,0),FALSE)</f>
        <v>-</v>
      </c>
      <c r="H283" t="str">
        <f>VLOOKUP($B283,Miljö!$B$1:$J$479,MATCH("Koldioxidekvivalenter energiomvandling (g/kwh)",Miljö!$B$1:$J$1,0),FALSE)</f>
        <v>-</v>
      </c>
      <c r="I283" t="str">
        <f>VLOOKUP($B283,Miljö!$B$1:$J$479,MATCH("Fossilandel för ursprungspecificerad el ()",Miljö!$B$1:$J$1,0),FALSE)</f>
        <v>-</v>
      </c>
      <c r="J283" t="str">
        <f>VLOOKUP($B283,Miljö!$B$1:$J$479,MATCH("Kärnkraftsandel för ursprungsspecificerad el ()",Miljö!$B$1:$J$1,0),FALSE)</f>
        <v>-</v>
      </c>
      <c r="L283">
        <f>VLOOKUP($B283,Totalt!$B$1:$BU$497,MATCH("total el",Totalt!$B$1:$BU$1,0),FALSE)</f>
        <v>0</v>
      </c>
      <c r="N283" t="str">
        <f t="shared" si="16"/>
        <v/>
      </c>
      <c r="O283" t="str">
        <f t="shared" si="17"/>
        <v/>
      </c>
      <c r="P283" t="str">
        <f t="shared" si="18"/>
        <v/>
      </c>
      <c r="Q283" t="str">
        <f t="shared" si="19"/>
        <v/>
      </c>
    </row>
    <row r="284" spans="1:17" x14ac:dyDescent="0.45">
      <c r="A284" s="31" t="s">
        <v>305</v>
      </c>
      <c r="B284" s="31" t="s">
        <v>310</v>
      </c>
      <c r="C284" t="str">
        <f>VLOOKUP($B284,Totalt!$B$1:$BU$497,MATCH("Kvalitetsgranskad:",Totalt!$B$1:$BU$1,0),FALSE)</f>
        <v>Ja</v>
      </c>
      <c r="E284" t="str">
        <f>VLOOKUP($B284,Miljö!$B$1:$AG$479,MATCH(E$1,Miljö!$B$1:$AK$1,0),FALSE)</f>
        <v>Ja</v>
      </c>
      <c r="F284" t="str">
        <f>VLOOKUP($B284,Miljö!$B$1:$J$479,MATCH("Typ av ursprungsspecificerad el   (Om inget värde anges används Nordisk residualmix, se inforuta) ()",Miljö!$B$1:$J$1,0),FALSE)</f>
        <v>-</v>
      </c>
      <c r="G284">
        <f>VLOOKUP($B284,Miljö!$B$1:$J$479,MATCH("Primärenergifaktor ()",Miljö!$B$1:$J$1,0),FALSE)</f>
        <v>2.2000000000000002</v>
      </c>
      <c r="H284">
        <f>VLOOKUP($B284,Miljö!$B$1:$J$479,MATCH("Koldioxidekvivalenter energiomvandling (g/kwh)",Miljö!$B$1:$J$1,0),FALSE)</f>
        <v>250.8</v>
      </c>
      <c r="I284">
        <f>VLOOKUP($B284,Miljö!$B$1:$J$479,MATCH("Fossilandel för ursprungspecificerad el ()",Miljö!$B$1:$J$1,0),FALSE)</f>
        <v>0.35</v>
      </c>
      <c r="J284">
        <f>VLOOKUP($B284,Miljö!$B$1:$J$479,MATCH("Kärnkraftsandel för ursprungsspecificerad el ()",Miljö!$B$1:$J$1,0),FALSE)</f>
        <v>0.3977</v>
      </c>
      <c r="L284">
        <f>VLOOKUP($B284,Totalt!$B$1:$BU$497,MATCH("total el",Totalt!$B$1:$BU$1,0),FALSE)</f>
        <v>0.76200000000000001</v>
      </c>
      <c r="N284">
        <f t="shared" si="16"/>
        <v>1.6764000000000001</v>
      </c>
      <c r="O284">
        <f t="shared" si="17"/>
        <v>191.1096</v>
      </c>
      <c r="P284">
        <f t="shared" si="18"/>
        <v>0.26669999999999999</v>
      </c>
      <c r="Q284">
        <f t="shared" si="19"/>
        <v>0.30304740000000002</v>
      </c>
    </row>
    <row r="285" spans="1:17" x14ac:dyDescent="0.45">
      <c r="A285" s="31" t="s">
        <v>305</v>
      </c>
      <c r="B285" s="31" t="s">
        <v>309</v>
      </c>
      <c r="C285" t="str">
        <f>VLOOKUP($B285,Totalt!$B$1:$BU$497,MATCH("Kvalitetsgranskad:",Totalt!$B$1:$BU$1,0),FALSE)</f>
        <v>Ja</v>
      </c>
      <c r="E285" t="str">
        <f>VLOOKUP($B285,Miljö!$B$1:$AG$479,MATCH(E$1,Miljö!$B$1:$AK$1,0),FALSE)</f>
        <v>Ja</v>
      </c>
      <c r="F285" t="str">
        <f>VLOOKUP($B285,Miljö!$B$1:$J$479,MATCH("Typ av ursprungsspecificerad el   (Om inget värde anges används Nordisk residualmix, se inforuta) ()",Miljö!$B$1:$J$1,0),FALSE)</f>
        <v>-</v>
      </c>
      <c r="G285">
        <f>VLOOKUP($B285,Miljö!$B$1:$J$479,MATCH("Primärenergifaktor ()",Miljö!$B$1:$J$1,0),FALSE)</f>
        <v>2.2000000000000002</v>
      </c>
      <c r="H285">
        <f>VLOOKUP($B285,Miljö!$B$1:$J$479,MATCH("Koldioxidekvivalenter energiomvandling (g/kwh)",Miljö!$B$1:$J$1,0),FALSE)</f>
        <v>250.8</v>
      </c>
      <c r="I285">
        <f>VLOOKUP($B285,Miljö!$B$1:$J$479,MATCH("Fossilandel för ursprungspecificerad el ()",Miljö!$B$1:$J$1,0),FALSE)</f>
        <v>0.35</v>
      </c>
      <c r="J285">
        <f>VLOOKUP($B285,Miljö!$B$1:$J$479,MATCH("Kärnkraftsandel för ursprungsspecificerad el ()",Miljö!$B$1:$J$1,0),FALSE)</f>
        <v>0.3977</v>
      </c>
      <c r="L285">
        <f>VLOOKUP($B285,Totalt!$B$1:$BU$497,MATCH("total el",Totalt!$B$1:$BU$1,0),FALSE)</f>
        <v>0.52800000000000002</v>
      </c>
      <c r="N285">
        <f t="shared" si="16"/>
        <v>1.1616000000000002</v>
      </c>
      <c r="O285">
        <f t="shared" si="17"/>
        <v>132.42240000000001</v>
      </c>
      <c r="P285">
        <f t="shared" si="18"/>
        <v>0.18479999999999999</v>
      </c>
      <c r="Q285">
        <f t="shared" si="19"/>
        <v>0.20998560000000002</v>
      </c>
    </row>
    <row r="286" spans="1:17" x14ac:dyDescent="0.45">
      <c r="A286" s="31" t="s">
        <v>305</v>
      </c>
      <c r="B286" s="31" t="s">
        <v>308</v>
      </c>
      <c r="C286" t="str">
        <f>VLOOKUP($B286,Totalt!$B$1:$BU$497,MATCH("Kvalitetsgranskad:",Totalt!$B$1:$BU$1,0),FALSE)</f>
        <v>Ja</v>
      </c>
      <c r="E286" t="str">
        <f>VLOOKUP($B286,Miljö!$B$1:$AG$479,MATCH(E$1,Miljö!$B$1:$AK$1,0),FALSE)</f>
        <v>Ja</v>
      </c>
      <c r="F286" t="str">
        <f>VLOOKUP($B286,Miljö!$B$1:$J$479,MATCH("Typ av ursprungsspecificerad el   (Om inget värde anges används Nordisk residualmix, se inforuta) ()",Miljö!$B$1:$J$1,0),FALSE)</f>
        <v>-</v>
      </c>
      <c r="G286">
        <f>VLOOKUP($B286,Miljö!$B$1:$J$479,MATCH("Primärenergifaktor ()",Miljö!$B$1:$J$1,0),FALSE)</f>
        <v>2.2000000000000002</v>
      </c>
      <c r="H286">
        <f>VLOOKUP($B286,Miljö!$B$1:$J$479,MATCH("Koldioxidekvivalenter energiomvandling (g/kwh)",Miljö!$B$1:$J$1,0),FALSE)</f>
        <v>250.8</v>
      </c>
      <c r="I286">
        <f>VLOOKUP($B286,Miljö!$B$1:$J$479,MATCH("Fossilandel för ursprungspecificerad el ()",Miljö!$B$1:$J$1,0),FALSE)</f>
        <v>0.35</v>
      </c>
      <c r="J286">
        <f>VLOOKUP($B286,Miljö!$B$1:$J$479,MATCH("Kärnkraftsandel för ursprungsspecificerad el ()",Miljö!$B$1:$J$1,0),FALSE)</f>
        <v>0.3977</v>
      </c>
      <c r="L286">
        <f>VLOOKUP($B286,Totalt!$B$1:$BU$497,MATCH("total el",Totalt!$B$1:$BU$1,0),FALSE)</f>
        <v>20.790300000000002</v>
      </c>
      <c r="N286">
        <f t="shared" si="16"/>
        <v>45.73866000000001</v>
      </c>
      <c r="O286">
        <f t="shared" si="17"/>
        <v>5214.2072400000006</v>
      </c>
      <c r="P286">
        <f t="shared" si="18"/>
        <v>7.276605</v>
      </c>
      <c r="Q286">
        <f t="shared" si="19"/>
        <v>8.268302310000001</v>
      </c>
    </row>
    <row r="287" spans="1:17" x14ac:dyDescent="0.45">
      <c r="A287" s="31" t="s">
        <v>305</v>
      </c>
      <c r="B287" s="31" t="s">
        <v>304</v>
      </c>
      <c r="C287" t="str">
        <f>VLOOKUP($B287,Totalt!$B$1:$BU$497,MATCH("Kvalitetsgranskad:",Totalt!$B$1:$BU$1,0),FALSE)</f>
        <v>Ja</v>
      </c>
      <c r="E287" t="str">
        <f>VLOOKUP($B287,Miljö!$B$1:$AG$479,MATCH(E$1,Miljö!$B$1:$AK$1,0),FALSE)</f>
        <v>Ja</v>
      </c>
      <c r="F287" t="str">
        <f>VLOOKUP($B287,Miljö!$B$1:$J$479,MATCH("Typ av ursprungsspecificerad el   (Om inget värde anges används Nordisk residualmix, se inforuta) ()",Miljö!$B$1:$J$1,0),FALSE)</f>
        <v>'förnyelsebar'</v>
      </c>
      <c r="G287">
        <f>VLOOKUP($B287,Miljö!$B$1:$J$479,MATCH("Primärenergifaktor ()",Miljö!$B$1:$J$1,0),FALSE)</f>
        <v>0.8</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VLOOKUP($B287,Totalt!$B$1:$BU$497,MATCH("total el",Totalt!$B$1:$BU$1,0),FALSE)</f>
        <v>0.1</v>
      </c>
      <c r="N287">
        <f t="shared" si="16"/>
        <v>8.0000000000000016E-2</v>
      </c>
      <c r="O287">
        <f t="shared" si="17"/>
        <v>0</v>
      </c>
      <c r="P287">
        <f t="shared" si="18"/>
        <v>0</v>
      </c>
      <c r="Q287">
        <f t="shared" si="19"/>
        <v>0</v>
      </c>
    </row>
    <row r="288" spans="1:17" x14ac:dyDescent="0.45">
      <c r="A288" s="31" t="s">
        <v>305</v>
      </c>
      <c r="B288" s="31" t="s">
        <v>306</v>
      </c>
      <c r="C288" t="str">
        <f>VLOOKUP($B288,Totalt!$B$1:$BU$497,MATCH("Kvalitetsgranskad:",Totalt!$B$1:$BU$1,0),FALSE)</f>
        <v>Ja</v>
      </c>
      <c r="E288" t="str">
        <f>VLOOKUP($B288,Miljö!$B$1:$AG$479,MATCH(E$1,Miljö!$B$1:$AK$1,0),FALSE)</f>
        <v>Ja</v>
      </c>
      <c r="F288" t="str">
        <f>VLOOKUP($B288,Miljö!$B$1:$J$479,MATCH("Typ av ursprungsspecificerad el   (Om inget värde anges används Nordisk residualmix, se inforuta) ()",Miljö!$B$1:$J$1,0),FALSE)</f>
        <v>-</v>
      </c>
      <c r="G288">
        <f>VLOOKUP($B288,Miljö!$B$1:$J$479,MATCH("Primärenergifaktor ()",Miljö!$B$1:$J$1,0),FALSE)</f>
        <v>2.2000000000000002</v>
      </c>
      <c r="H288">
        <f>VLOOKUP($B288,Miljö!$B$1:$J$479,MATCH("Koldioxidekvivalenter energiomvandling (g/kwh)",Miljö!$B$1:$J$1,0),FALSE)</f>
        <v>250.8</v>
      </c>
      <c r="I288">
        <f>VLOOKUP($B288,Miljö!$B$1:$J$479,MATCH("Fossilandel för ursprungspecificerad el ()",Miljö!$B$1:$J$1,0),FALSE)</f>
        <v>0.35</v>
      </c>
      <c r="J288">
        <f>VLOOKUP($B288,Miljö!$B$1:$J$479,MATCH("Kärnkraftsandel för ursprungsspecificerad el ()",Miljö!$B$1:$J$1,0),FALSE)</f>
        <v>0.3977</v>
      </c>
      <c r="L288">
        <f>VLOOKUP($B288,Totalt!$B$1:$BU$497,MATCH("total el",Totalt!$B$1:$BU$1,0),FALSE)</f>
        <v>35.037599999999998</v>
      </c>
      <c r="N288">
        <f t="shared" si="16"/>
        <v>77.082719999999995</v>
      </c>
      <c r="O288">
        <f t="shared" si="17"/>
        <v>8787.4300800000001</v>
      </c>
      <c r="P288">
        <f t="shared" si="18"/>
        <v>12.263159999999999</v>
      </c>
      <c r="Q288">
        <f t="shared" si="19"/>
        <v>13.934453519999998</v>
      </c>
    </row>
    <row r="289" spans="1:17" x14ac:dyDescent="0.45">
      <c r="A289" s="31" t="s">
        <v>305</v>
      </c>
      <c r="B289" s="31" t="s">
        <v>307</v>
      </c>
      <c r="C289" t="str">
        <f>VLOOKUP($B289,Totalt!$B$1:$BU$497,MATCH("Kvalitetsgranskad:",Totalt!$B$1:$BU$1,0),FALSE)</f>
        <v>Nej</v>
      </c>
      <c r="E289" t="str">
        <f>VLOOKUP($B289,Miljö!$B$1:$AG$479,MATCH(E$1,Miljö!$B$1:$AK$1,0),FALSE)</f>
        <v>Nej</v>
      </c>
      <c r="F289" t="str">
        <f>VLOOKUP($B289,Miljö!$B$1:$J$479,MATCH("Typ av ursprungsspecificerad el   (Om inget värde anges används Nordisk residualmix, se inforuta) ()",Miljö!$B$1:$J$1,0),FALSE)</f>
        <v>-</v>
      </c>
      <c r="G289" t="str">
        <f>VLOOKUP($B289,Miljö!$B$1:$J$479,MATCH("Primärenergifaktor ()",Miljö!$B$1:$J$1,0),FALSE)</f>
        <v>-</v>
      </c>
      <c r="H289" t="str">
        <f>VLOOKUP($B289,Miljö!$B$1:$J$479,MATCH("Koldioxidekvivalenter energiomvandling (g/kwh)",Miljö!$B$1:$J$1,0),FALSE)</f>
        <v>-</v>
      </c>
      <c r="I289" t="str">
        <f>VLOOKUP($B289,Miljö!$B$1:$J$479,MATCH("Fossilandel för ursprungspecificerad el ()",Miljö!$B$1:$J$1,0),FALSE)</f>
        <v>-</v>
      </c>
      <c r="J289" t="str">
        <f>VLOOKUP($B289,Miljö!$B$1:$J$479,MATCH("Kärnkraftsandel för ursprungsspecificerad el ()",Miljö!$B$1:$J$1,0),FALSE)</f>
        <v>-</v>
      </c>
      <c r="L289">
        <f>VLOOKUP($B289,Totalt!$B$1:$BU$497,MATCH("total el",Totalt!$B$1:$BU$1,0),FALSE)</f>
        <v>0</v>
      </c>
      <c r="N289" t="str">
        <f t="shared" si="16"/>
        <v/>
      </c>
      <c r="O289" t="str">
        <f t="shared" si="17"/>
        <v/>
      </c>
      <c r="P289" t="str">
        <f t="shared" si="18"/>
        <v/>
      </c>
      <c r="Q289" t="str">
        <f t="shared" si="19"/>
        <v/>
      </c>
    </row>
    <row r="290" spans="1:17" x14ac:dyDescent="0.45">
      <c r="A290" s="31" t="s">
        <v>299</v>
      </c>
      <c r="B290" s="31" t="s">
        <v>302</v>
      </c>
      <c r="C290" t="str">
        <f>VLOOKUP($B290,Totalt!$B$1:$BU$497,MATCH("Kvalitetsgranskad:",Totalt!$B$1:$BU$1,0),FALSE)</f>
        <v>Ja</v>
      </c>
      <c r="E290" t="str">
        <f>VLOOKUP($B290,Miljö!$B$1:$AG$479,MATCH(E$1,Miljö!$B$1:$AK$1,0),FALSE)</f>
        <v>Ja</v>
      </c>
      <c r="F290" t="str">
        <f>VLOOKUP($B290,Miljö!$B$1:$J$479,MATCH("Typ av ursprungsspecificerad el   (Om inget värde anges används Nordisk residualmix, se inforuta) ()",Miljö!$B$1:$J$1,0),FALSE)</f>
        <v>'Vind vatten bio'</v>
      </c>
      <c r="G290">
        <f>VLOOKUP($B290,Miljö!$B$1:$J$479,MATCH("Primärenergifaktor ()",Miljö!$B$1:$J$1,0),FALSE)</f>
        <v>1.462</v>
      </c>
      <c r="H290">
        <f>VLOOKUP($B290,Miljö!$B$1:$J$479,MATCH("Koldioxidekvivalenter energiomvandling (g/kwh)",Miljö!$B$1:$J$1,0),FALSE)</f>
        <v>0</v>
      </c>
      <c r="I290">
        <f>VLOOKUP($B290,Miljö!$B$1:$J$479,MATCH("Fossilandel för ursprungspecificerad el ()",Miljö!$B$1:$J$1,0),FALSE)</f>
        <v>0</v>
      </c>
      <c r="J290">
        <f>VLOOKUP($B290,Miljö!$B$1:$J$479,MATCH("Kärnkraftsandel för ursprungsspecificerad el ()",Miljö!$B$1:$J$1,0),FALSE)</f>
        <v>0</v>
      </c>
      <c r="L290">
        <f>VLOOKUP($B290,Totalt!$B$1:$BU$497,MATCH("total el",Totalt!$B$1:$BU$1,0),FALSE)</f>
        <v>3.1085000000000002E-2</v>
      </c>
      <c r="N290">
        <f t="shared" si="16"/>
        <v>4.5446270000000004E-2</v>
      </c>
      <c r="O290">
        <f t="shared" si="17"/>
        <v>0</v>
      </c>
      <c r="P290">
        <f t="shared" si="18"/>
        <v>0</v>
      </c>
      <c r="Q290">
        <f t="shared" si="19"/>
        <v>0</v>
      </c>
    </row>
    <row r="291" spans="1:17" x14ac:dyDescent="0.45">
      <c r="A291" s="31" t="s">
        <v>299</v>
      </c>
      <c r="B291" s="31" t="s">
        <v>298</v>
      </c>
      <c r="C291" t="str">
        <f>VLOOKUP($B291,Totalt!$B$1:$BU$497,MATCH("Kvalitetsgranskad:",Totalt!$B$1:$BU$1,0),FALSE)</f>
        <v>Ja</v>
      </c>
      <c r="E291" t="str">
        <f>VLOOKUP($B291,Miljö!$B$1:$AG$479,MATCH(E$1,Miljö!$B$1:$AK$1,0),FALSE)</f>
        <v>Ja</v>
      </c>
      <c r="F291" t="str">
        <f>VLOOKUP($B291,Miljö!$B$1:$J$479,MATCH("Typ av ursprungsspecificerad el   (Om inget värde anges används Nordisk residualmix, se inforuta) ()",Miljö!$B$1:$J$1,0),FALSE)</f>
        <v>'Vind vatten bio'</v>
      </c>
      <c r="G291">
        <f>VLOOKUP($B291,Miljö!$B$1:$J$479,MATCH("Primärenergifaktor ()",Miljö!$B$1:$J$1,0),FALSE)</f>
        <v>1.462</v>
      </c>
      <c r="H291">
        <f>VLOOKUP($B291,Miljö!$B$1:$J$479,MATCH("Koldioxidekvivalenter energiomvandling (g/kwh)",Miljö!$B$1:$J$1,0),FALSE)</f>
        <v>0</v>
      </c>
      <c r="I291">
        <f>VLOOKUP($B291,Miljö!$B$1:$J$479,MATCH("Fossilandel för ursprungspecificerad el ()",Miljö!$B$1:$J$1,0),FALSE)</f>
        <v>0</v>
      </c>
      <c r="J291">
        <f>VLOOKUP($B291,Miljö!$B$1:$J$479,MATCH("Kärnkraftsandel för ursprungsspecificerad el ()",Miljö!$B$1:$J$1,0),FALSE)</f>
        <v>0</v>
      </c>
      <c r="L291">
        <f>VLOOKUP($B291,Totalt!$B$1:$BU$497,MATCH("total el",Totalt!$B$1:$BU$1,0),FALSE)</f>
        <v>5.3545400000000001</v>
      </c>
      <c r="N291">
        <f t="shared" si="16"/>
        <v>7.8283374800000001</v>
      </c>
      <c r="O291">
        <f t="shared" si="17"/>
        <v>0</v>
      </c>
      <c r="P291">
        <f t="shared" si="18"/>
        <v>0</v>
      </c>
      <c r="Q291">
        <f t="shared" si="19"/>
        <v>0</v>
      </c>
    </row>
    <row r="292" spans="1:17" x14ac:dyDescent="0.45">
      <c r="A292" s="31" t="s">
        <v>299</v>
      </c>
      <c r="B292" s="31" t="s">
        <v>300</v>
      </c>
      <c r="C292" t="str">
        <f>VLOOKUP($B292,Totalt!$B$1:$BU$497,MATCH("Kvalitetsgranskad:",Totalt!$B$1:$BU$1,0),FALSE)</f>
        <v>Ja</v>
      </c>
      <c r="E292" t="str">
        <f>VLOOKUP($B292,Miljö!$B$1:$AG$479,MATCH(E$1,Miljö!$B$1:$AK$1,0),FALSE)</f>
        <v>Ja</v>
      </c>
      <c r="F292" t="str">
        <f>VLOOKUP($B292,Miljö!$B$1:$J$479,MATCH("Typ av ursprungsspecificerad el   (Om inget värde anges används Nordisk residualmix, se inforuta) ()",Miljö!$B$1:$J$1,0),FALSE)</f>
        <v>'Vind vatten bio'</v>
      </c>
      <c r="G292">
        <f>VLOOKUP($B292,Miljö!$B$1:$J$479,MATCH("Primärenergifaktor ()",Miljö!$B$1:$J$1,0),FALSE)</f>
        <v>1.462</v>
      </c>
      <c r="H292">
        <f>VLOOKUP($B292,Miljö!$B$1:$J$479,MATCH("Koldioxidekvivalenter energiomvandling (g/kwh)",Miljö!$B$1:$J$1,0),FALSE)</f>
        <v>0</v>
      </c>
      <c r="I292">
        <f>VLOOKUP($B292,Miljö!$B$1:$J$479,MATCH("Fossilandel för ursprungspecificerad el ()",Miljö!$B$1:$J$1,0),FALSE)</f>
        <v>0</v>
      </c>
      <c r="J292">
        <f>VLOOKUP($B292,Miljö!$B$1:$J$479,MATCH("Kärnkraftsandel för ursprungsspecificerad el ()",Miljö!$B$1:$J$1,0),FALSE)</f>
        <v>0</v>
      </c>
      <c r="L292">
        <f>VLOOKUP($B292,Totalt!$B$1:$BU$497,MATCH("total el",Totalt!$B$1:$BU$1,0),FALSE)</f>
        <v>5.7000000000000002E-2</v>
      </c>
      <c r="N292">
        <f t="shared" si="16"/>
        <v>8.3334000000000005E-2</v>
      </c>
      <c r="O292">
        <f t="shared" si="17"/>
        <v>0</v>
      </c>
      <c r="P292">
        <f t="shared" si="18"/>
        <v>0</v>
      </c>
      <c r="Q292">
        <f t="shared" si="19"/>
        <v>0</v>
      </c>
    </row>
    <row r="293" spans="1:17" x14ac:dyDescent="0.45">
      <c r="A293" s="31" t="s">
        <v>299</v>
      </c>
      <c r="B293" s="31" t="s">
        <v>301</v>
      </c>
      <c r="C293" t="str">
        <f>VLOOKUP($B293,Totalt!$B$1:$BU$497,MATCH("Kvalitetsgranskad:",Totalt!$B$1:$BU$1,0),FALSE)</f>
        <v>Nej</v>
      </c>
      <c r="E293" t="str">
        <f>VLOOKUP($B293,Miljö!$B$1:$AG$479,MATCH(E$1,Miljö!$B$1:$AK$1,0),FALSE)</f>
        <v>Ja</v>
      </c>
      <c r="F293" t="str">
        <f>VLOOKUP($B293,Miljö!$B$1:$J$479,MATCH("Typ av ursprungsspecificerad el   (Om inget värde anges används Nordisk residualmix, se inforuta) ()",Miljö!$B$1:$J$1,0),FALSE)</f>
        <v>-</v>
      </c>
      <c r="G293">
        <f>VLOOKUP($B293,Miljö!$B$1:$J$479,MATCH("Primärenergifaktor ()",Miljö!$B$1:$J$1,0),FALSE)</f>
        <v>2.2000000000000002</v>
      </c>
      <c r="H293">
        <f>VLOOKUP($B293,Miljö!$B$1:$J$479,MATCH("Koldioxidekvivalenter energiomvandling (g/kwh)",Miljö!$B$1:$J$1,0),FALSE)</f>
        <v>250.8</v>
      </c>
      <c r="I293">
        <f>VLOOKUP($B293,Miljö!$B$1:$J$479,MATCH("Fossilandel för ursprungspecificerad el ()",Miljö!$B$1:$J$1,0),FALSE)</f>
        <v>0.35</v>
      </c>
      <c r="J293">
        <f>VLOOKUP($B293,Miljö!$B$1:$J$479,MATCH("Kärnkraftsandel för ursprungsspecificerad el ()",Miljö!$B$1:$J$1,0),FALSE)</f>
        <v>0.3977</v>
      </c>
      <c r="L293">
        <f>VLOOKUP($B293,Totalt!$B$1:$BU$497,MATCH("total el",Totalt!$B$1:$BU$1,0),FALSE)</f>
        <v>0</v>
      </c>
      <c r="N293">
        <f t="shared" si="16"/>
        <v>0</v>
      </c>
      <c r="O293">
        <f t="shared" si="17"/>
        <v>0</v>
      </c>
      <c r="P293">
        <f t="shared" si="18"/>
        <v>0</v>
      </c>
      <c r="Q293">
        <f t="shared" si="19"/>
        <v>0</v>
      </c>
    </row>
    <row r="294" spans="1:17" x14ac:dyDescent="0.45">
      <c r="A294" s="31" t="s">
        <v>297</v>
      </c>
      <c r="B294" s="31" t="s">
        <v>296</v>
      </c>
      <c r="C294" t="str">
        <f>VLOOKUP($B294,Totalt!$B$1:$BU$497,MATCH("Kvalitetsgranskad:",Totalt!$B$1:$BU$1,0),FALSE)</f>
        <v>Ja</v>
      </c>
      <c r="E294" t="str">
        <f>VLOOKUP($B294,Miljö!$B$1:$AG$479,MATCH(E$1,Miljö!$B$1:$AK$1,0),FALSE)</f>
        <v>Ja</v>
      </c>
      <c r="F294" t="str">
        <f>VLOOKUP($B294,Miljö!$B$1:$J$479,MATCH("Typ av ursprungsspecificerad el   (Om inget värde anges används Nordisk residualmix, se inforuta) ()",Miljö!$B$1:$J$1,0),FALSE)</f>
        <v>'Biokraft'</v>
      </c>
      <c r="G294">
        <f>VLOOKUP($B294,Miljö!$B$1:$J$479,MATCH("Primärenergifaktor ()",Miljö!$B$1:$J$1,0),FALSE)</f>
        <v>0.28000000000000003</v>
      </c>
      <c r="H294">
        <f>VLOOKUP($B294,Miljö!$B$1:$J$479,MATCH("Koldioxidekvivalenter energiomvandling (g/kwh)",Miljö!$B$1:$J$1,0),FALSE)</f>
        <v>0</v>
      </c>
      <c r="I294">
        <f>VLOOKUP($B294,Miljö!$B$1:$J$479,MATCH("Fossilandel för ursprungspecificerad el ()",Miljö!$B$1:$J$1,0),FALSE)</f>
        <v>0</v>
      </c>
      <c r="J294">
        <f>VLOOKUP($B294,Miljö!$B$1:$J$479,MATCH("Kärnkraftsandel för ursprungsspecificerad el ()",Miljö!$B$1:$J$1,0),FALSE)</f>
        <v>0</v>
      </c>
      <c r="L294">
        <f>VLOOKUP($B294,Totalt!$B$1:$BU$497,MATCH("total el",Totalt!$B$1:$BU$1,0),FALSE)</f>
        <v>38.389899999999997</v>
      </c>
      <c r="N294">
        <f t="shared" si="16"/>
        <v>10.749172</v>
      </c>
      <c r="O294">
        <f t="shared" si="17"/>
        <v>0</v>
      </c>
      <c r="P294">
        <f t="shared" si="18"/>
        <v>0</v>
      </c>
      <c r="Q294">
        <f t="shared" si="19"/>
        <v>0</v>
      </c>
    </row>
    <row r="295" spans="1:17" x14ac:dyDescent="0.45">
      <c r="A295" s="31" t="s">
        <v>295</v>
      </c>
      <c r="B295" s="31" t="s">
        <v>127</v>
      </c>
      <c r="C295" t="str">
        <f>VLOOKUP($B295,Totalt!$B$1:$BU$497,MATCH("Kvalitetsgranskad:",Totalt!$B$1:$BU$1,0),FALSE)</f>
        <v>Ja</v>
      </c>
      <c r="E295" t="str">
        <f>VLOOKUP($B295,Miljö!$B$1:$AG$479,MATCH(E$1,Miljö!$B$1:$AK$1,0),FALSE)</f>
        <v>Ja</v>
      </c>
      <c r="F295" t="str">
        <f>VLOOKUP($B295,Miljö!$B$1:$J$479,MATCH("Typ av ursprungsspecificerad el   (Om inget värde anges används Nordisk residualmix, se inforuta) ()",Miljö!$B$1:$J$1,0),FALSE)</f>
        <v>-</v>
      </c>
      <c r="G295">
        <f>VLOOKUP($B295,Miljö!$B$1:$J$479,MATCH("Primärenergifaktor ()",Miljö!$B$1:$J$1,0),FALSE)</f>
        <v>2.2000000000000002</v>
      </c>
      <c r="H295">
        <f>VLOOKUP($B295,Miljö!$B$1:$J$479,MATCH("Koldioxidekvivalenter energiomvandling (g/kwh)",Miljö!$B$1:$J$1,0),FALSE)</f>
        <v>250.8</v>
      </c>
      <c r="I295">
        <f>VLOOKUP($B295,Miljö!$B$1:$J$479,MATCH("Fossilandel för ursprungspecificerad el ()",Miljö!$B$1:$J$1,0),FALSE)</f>
        <v>0.35</v>
      </c>
      <c r="J295">
        <f>VLOOKUP($B295,Miljö!$B$1:$J$479,MATCH("Kärnkraftsandel för ursprungsspecificerad el ()",Miljö!$B$1:$J$1,0),FALSE)</f>
        <v>0.3977</v>
      </c>
      <c r="L295">
        <f>VLOOKUP($B295,Totalt!$B$1:$BU$497,MATCH("total el",Totalt!$B$1:$BU$1,0),FALSE)</f>
        <v>1.38</v>
      </c>
      <c r="N295">
        <f t="shared" si="16"/>
        <v>3.036</v>
      </c>
      <c r="O295">
        <f t="shared" si="17"/>
        <v>346.10399999999998</v>
      </c>
      <c r="P295">
        <f t="shared" si="18"/>
        <v>0.48299999999999993</v>
      </c>
      <c r="Q295">
        <f t="shared" si="19"/>
        <v>0.54882599999999993</v>
      </c>
    </row>
    <row r="296" spans="1:17" x14ac:dyDescent="0.45">
      <c r="A296" s="31" t="s">
        <v>289</v>
      </c>
      <c r="B296" s="31" t="s">
        <v>294</v>
      </c>
      <c r="C296" t="str">
        <f>VLOOKUP($B296,Totalt!$B$1:$BU$497,MATCH("Kvalitetsgranskad:",Totalt!$B$1:$BU$1,0),FALSE)</f>
        <v>Ja</v>
      </c>
      <c r="E296" t="str">
        <f>VLOOKUP($B296,Miljö!$B$1:$AG$479,MATCH(E$1,Miljö!$B$1:$AK$1,0),FALSE)</f>
        <v>Ja</v>
      </c>
      <c r="F296" t="str">
        <f>VLOOKUP($B296,Miljö!$B$1:$J$479,MATCH("Typ av ursprungsspecificerad el   (Om inget värde anges används Nordisk residualmix, se inforuta) ()",Miljö!$B$1:$J$1,0),FALSE)</f>
        <v>'Biobränsle'</v>
      </c>
      <c r="G296">
        <f>VLOOKUP($B296,Miljö!$B$1:$J$479,MATCH("Primärenergifaktor ()",Miljö!$B$1:$J$1,0),FALSE)</f>
        <v>0.03</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VLOOKUP($B296,Totalt!$B$1:$BU$497,MATCH("total el",Totalt!$B$1:$BU$1,0),FALSE)</f>
        <v>0.40300000000000002</v>
      </c>
      <c r="N296">
        <f t="shared" si="16"/>
        <v>1.209E-2</v>
      </c>
      <c r="O296">
        <f t="shared" si="17"/>
        <v>0</v>
      </c>
      <c r="P296">
        <f t="shared" si="18"/>
        <v>0</v>
      </c>
      <c r="Q296">
        <f t="shared" si="19"/>
        <v>0</v>
      </c>
    </row>
    <row r="297" spans="1:17" x14ac:dyDescent="0.45">
      <c r="A297" s="31" t="s">
        <v>289</v>
      </c>
      <c r="B297" s="31" t="s">
        <v>292</v>
      </c>
      <c r="C297" t="str">
        <f>VLOOKUP($B297,Totalt!$B$1:$BU$497,MATCH("Kvalitetsgranskad:",Totalt!$B$1:$BU$1,0),FALSE)</f>
        <v>Ja</v>
      </c>
      <c r="E297" t="str">
        <f>VLOOKUP($B297,Miljö!$B$1:$AG$479,MATCH(E$1,Miljö!$B$1:$AK$1,0),FALSE)</f>
        <v>Ja</v>
      </c>
      <c r="F297" t="str">
        <f>VLOOKUP($B297,Miljö!$B$1:$J$479,MATCH("Typ av ursprungsspecificerad el   (Om inget värde anges används Nordisk residualmix, se inforuta) ()",Miljö!$B$1:$J$1,0),FALSE)</f>
        <v>'Biobränsle'</v>
      </c>
      <c r="G297">
        <f>VLOOKUP($B297,Miljö!$B$1:$J$479,MATCH("Primärenergifaktor ()",Miljö!$B$1:$J$1,0),FALSE)</f>
        <v>0.03</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VLOOKUP($B297,Totalt!$B$1:$BU$497,MATCH("total el",Totalt!$B$1:$BU$1,0),FALSE)</f>
        <v>3.0000000000000001E-3</v>
      </c>
      <c r="N297">
        <f t="shared" si="16"/>
        <v>8.9999999999999992E-5</v>
      </c>
      <c r="O297">
        <f t="shared" si="17"/>
        <v>0</v>
      </c>
      <c r="P297">
        <f t="shared" si="18"/>
        <v>0</v>
      </c>
      <c r="Q297">
        <f t="shared" si="19"/>
        <v>0</v>
      </c>
    </row>
    <row r="298" spans="1:17" x14ac:dyDescent="0.45">
      <c r="A298" s="31" t="s">
        <v>289</v>
      </c>
      <c r="B298" s="31" t="s">
        <v>291</v>
      </c>
      <c r="C298" t="str">
        <f>VLOOKUP($B298,Totalt!$B$1:$BU$497,MATCH("Kvalitetsgranskad:",Totalt!$B$1:$BU$1,0),FALSE)</f>
        <v>Ja</v>
      </c>
      <c r="E298" t="str">
        <f>VLOOKUP($B298,Miljö!$B$1:$AG$479,MATCH(E$1,Miljö!$B$1:$AK$1,0),FALSE)</f>
        <v>Ja</v>
      </c>
      <c r="F298" t="str">
        <f>VLOOKUP($B298,Miljö!$B$1:$J$479,MATCH("Typ av ursprungsspecificerad el   (Om inget värde anges används Nordisk residualmix, se inforuta) ()",Miljö!$B$1:$J$1,0),FALSE)</f>
        <v>'Vattenkraft'</v>
      </c>
      <c r="G298">
        <f>VLOOKUP($B298,Miljö!$B$1:$J$479,MATCH("Primärenergifaktor ()",Miljö!$B$1:$J$1,0),FALSE)</f>
        <v>1.1000000000000001</v>
      </c>
      <c r="H298">
        <f>VLOOKUP($B298,Miljö!$B$1:$J$479,MATCH("Koldioxidekvivalenter energiomvandling (g/kwh)",Miljö!$B$1:$J$1,0),FALSE)</f>
        <v>0</v>
      </c>
      <c r="I298">
        <f>VLOOKUP($B298,Miljö!$B$1:$J$479,MATCH("Fossilandel för ursprungspecificerad el ()",Miljö!$B$1:$J$1,0),FALSE)</f>
        <v>0</v>
      </c>
      <c r="J298">
        <f>VLOOKUP($B298,Miljö!$B$1:$J$479,MATCH("Kärnkraftsandel för ursprungsspecificerad el ()",Miljö!$B$1:$J$1,0),FALSE)</f>
        <v>0</v>
      </c>
      <c r="L298">
        <f>VLOOKUP($B298,Totalt!$B$1:$BU$497,MATCH("total el",Totalt!$B$1:$BU$1,0),FALSE)</f>
        <v>43.162999999999997</v>
      </c>
      <c r="N298">
        <f t="shared" si="16"/>
        <v>47.479300000000002</v>
      </c>
      <c r="O298">
        <f t="shared" si="17"/>
        <v>0</v>
      </c>
      <c r="P298">
        <f t="shared" si="18"/>
        <v>0</v>
      </c>
      <c r="Q298">
        <f t="shared" si="19"/>
        <v>0</v>
      </c>
    </row>
    <row r="299" spans="1:17" x14ac:dyDescent="0.45">
      <c r="A299" s="31" t="s">
        <v>289</v>
      </c>
      <c r="B299" s="31" t="s">
        <v>290</v>
      </c>
      <c r="C299" t="str">
        <f>VLOOKUP($B299,Totalt!$B$1:$BU$497,MATCH("Kvalitetsgranskad:",Totalt!$B$1:$BU$1,0),FALSE)</f>
        <v>Ja</v>
      </c>
      <c r="E299" t="str">
        <f>VLOOKUP($B299,Miljö!$B$1:$AG$479,MATCH(E$1,Miljö!$B$1:$AK$1,0),FALSE)</f>
        <v>Ja</v>
      </c>
      <c r="F299" t="str">
        <f>VLOOKUP($B299,Miljö!$B$1:$J$479,MATCH("Typ av ursprungsspecificerad el   (Om inget värde anges används Nordisk residualmix, se inforuta) ()",Miljö!$B$1:$J$1,0),FALSE)</f>
        <v>'-'</v>
      </c>
      <c r="G299">
        <f>VLOOKUP($B299,Miljö!$B$1:$J$479,MATCH("Primärenergifaktor ()",Miljö!$B$1:$J$1,0),FALSE)</f>
        <v>2.2000000000000002</v>
      </c>
      <c r="H299">
        <f>VLOOKUP($B299,Miljö!$B$1:$J$479,MATCH("Koldioxidekvivalenter energiomvandling (g/kwh)",Miljö!$B$1:$J$1,0),FALSE)</f>
        <v>250.8</v>
      </c>
      <c r="I299">
        <f>VLOOKUP($B299,Miljö!$B$1:$J$479,MATCH("Fossilandel för ursprungspecificerad el ()",Miljö!$B$1:$J$1,0),FALSE)</f>
        <v>0.35</v>
      </c>
      <c r="J299">
        <f>VLOOKUP($B299,Miljö!$B$1:$J$479,MATCH("Kärnkraftsandel för ursprungsspecificerad el ()",Miljö!$B$1:$J$1,0),FALSE)</f>
        <v>0.3977</v>
      </c>
      <c r="L299">
        <f>VLOOKUP($B299,Totalt!$B$1:$BU$497,MATCH("total el",Totalt!$B$1:$BU$1,0),FALSE)</f>
        <v>0.39</v>
      </c>
      <c r="N299">
        <f t="shared" si="16"/>
        <v>0.8580000000000001</v>
      </c>
      <c r="O299">
        <f t="shared" si="17"/>
        <v>97.812000000000012</v>
      </c>
      <c r="P299">
        <f t="shared" si="18"/>
        <v>0.13649999999999998</v>
      </c>
      <c r="Q299">
        <f t="shared" si="19"/>
        <v>0.15510299999999999</v>
      </c>
    </row>
    <row r="300" spans="1:17" x14ac:dyDescent="0.45">
      <c r="A300" s="31" t="s">
        <v>289</v>
      </c>
      <c r="B300" s="31" t="s">
        <v>288</v>
      </c>
      <c r="C300" t="str">
        <f>VLOOKUP($B300,Totalt!$B$1:$BU$497,MATCH("Kvalitetsgranskad:",Totalt!$B$1:$BU$1,0),FALSE)</f>
        <v>Ja</v>
      </c>
      <c r="E300" t="str">
        <f>VLOOKUP($B300,Miljö!$B$1:$AG$479,MATCH(E$1,Miljö!$B$1:$AK$1,0),FALSE)</f>
        <v>Ja</v>
      </c>
      <c r="F300" t="str">
        <f>VLOOKUP($B300,Miljö!$B$1:$J$479,MATCH("Typ av ursprungsspecificerad el   (Om inget värde anges används Nordisk residualmix, se inforuta) ()",Miljö!$B$1:$J$1,0),FALSE)</f>
        <v>'-'</v>
      </c>
      <c r="G300">
        <f>VLOOKUP($B300,Miljö!$B$1:$J$479,MATCH("Primärenergifaktor ()",Miljö!$B$1:$J$1,0),FALSE)</f>
        <v>2.2000000000000002</v>
      </c>
      <c r="H300">
        <f>VLOOKUP($B300,Miljö!$B$1:$J$479,MATCH("Koldioxidekvivalenter energiomvandling (g/kwh)",Miljö!$B$1:$J$1,0),FALSE)</f>
        <v>250.8</v>
      </c>
      <c r="I300">
        <f>VLOOKUP($B300,Miljö!$B$1:$J$479,MATCH("Fossilandel för ursprungspecificerad el ()",Miljö!$B$1:$J$1,0),FALSE)</f>
        <v>0.35</v>
      </c>
      <c r="J300">
        <f>VLOOKUP($B300,Miljö!$B$1:$J$479,MATCH("Kärnkraftsandel för ursprungsspecificerad el ()",Miljö!$B$1:$J$1,0),FALSE)</f>
        <v>0.3977</v>
      </c>
      <c r="L300">
        <f>VLOOKUP($B300,Totalt!$B$1:$BU$497,MATCH("total el",Totalt!$B$1:$BU$1,0),FALSE)</f>
        <v>0.59499999999999997</v>
      </c>
      <c r="N300">
        <f t="shared" si="16"/>
        <v>1.3089999999999999</v>
      </c>
      <c r="O300">
        <f t="shared" si="17"/>
        <v>149.226</v>
      </c>
      <c r="P300">
        <f t="shared" si="18"/>
        <v>0.20824999999999999</v>
      </c>
      <c r="Q300">
        <f t="shared" si="19"/>
        <v>0.23663149999999999</v>
      </c>
    </row>
    <row r="301" spans="1:17" x14ac:dyDescent="0.45">
      <c r="A301" s="31" t="s">
        <v>289</v>
      </c>
      <c r="B301" s="31" t="s">
        <v>293</v>
      </c>
      <c r="C301" t="str">
        <f>VLOOKUP($B301,Totalt!$B$1:$BU$497,MATCH("Kvalitetsgranskad:",Totalt!$B$1:$BU$1,0),FALSE)</f>
        <v>Ja</v>
      </c>
      <c r="E301" t="str">
        <f>VLOOKUP($B301,Miljö!$B$1:$AG$479,MATCH(E$1,Miljö!$B$1:$AK$1,0),FALSE)</f>
        <v>Ja</v>
      </c>
      <c r="F301" t="str">
        <f>VLOOKUP($B301,Miljö!$B$1:$J$479,MATCH("Typ av ursprungsspecificerad el   (Om inget värde anges används Nordisk residualmix, se inforuta) ()",Miljö!$B$1:$J$1,0),FALSE)</f>
        <v>'Biobränsle'</v>
      </c>
      <c r="G301">
        <f>VLOOKUP($B301,Miljö!$B$1:$J$479,MATCH("Primärenergifaktor ()",Miljö!$B$1:$J$1,0),FALSE)</f>
        <v>0.03</v>
      </c>
      <c r="H301">
        <f>VLOOKUP($B301,Miljö!$B$1:$J$479,MATCH("Koldioxidekvivalenter energiomvandling (g/kwh)",Miljö!$B$1:$J$1,0),FALSE)</f>
        <v>0</v>
      </c>
      <c r="I301">
        <f>VLOOKUP($B301,Miljö!$B$1:$J$479,MATCH("Fossilandel för ursprungspecificerad el ()",Miljö!$B$1:$J$1,0),FALSE)</f>
        <v>0</v>
      </c>
      <c r="J301">
        <f>VLOOKUP($B301,Miljö!$B$1:$J$479,MATCH("Kärnkraftsandel för ursprungsspecificerad el ()",Miljö!$B$1:$J$1,0),FALSE)</f>
        <v>0</v>
      </c>
      <c r="L301">
        <f>VLOOKUP($B301,Totalt!$B$1:$BU$497,MATCH("total el",Totalt!$B$1:$BU$1,0),FALSE)</f>
        <v>5.0794499999999996</v>
      </c>
      <c r="N301">
        <f t="shared" si="16"/>
        <v>0.15238349999999998</v>
      </c>
      <c r="O301">
        <f t="shared" si="17"/>
        <v>0</v>
      </c>
      <c r="P301">
        <f t="shared" si="18"/>
        <v>0</v>
      </c>
      <c r="Q301">
        <f t="shared" si="19"/>
        <v>0</v>
      </c>
    </row>
    <row r="302" spans="1:17" x14ac:dyDescent="0.45">
      <c r="A302" s="31" t="s">
        <v>286</v>
      </c>
      <c r="B302" s="31" t="s">
        <v>287</v>
      </c>
      <c r="C302" t="str">
        <f>VLOOKUP($B302,Totalt!$B$1:$BU$497,MATCH("Kvalitetsgranskad:",Totalt!$B$1:$BU$1,0),FALSE)</f>
        <v>Ja</v>
      </c>
      <c r="E302" t="str">
        <f>VLOOKUP($B302,Miljö!$B$1:$AG$479,MATCH(E$1,Miljö!$B$1:$AK$1,0),FALSE)</f>
        <v>Ja</v>
      </c>
      <c r="F302" t="str">
        <f>VLOOKUP($B302,Miljö!$B$1:$J$479,MATCH("Typ av ursprungsspecificerad el   (Om inget värde anges används Nordisk residualmix, se inforuta) ()",Miljö!$B$1:$J$1,0),FALSE)</f>
        <v>'Vind och vatten'</v>
      </c>
      <c r="G302">
        <f>VLOOKUP($B302,Miljö!$B$1:$J$479,MATCH("Primärenergifaktor ()",Miljö!$B$1:$J$1,0),FALSE)</f>
        <v>1</v>
      </c>
      <c r="H302">
        <f>VLOOKUP($B302,Miljö!$B$1:$J$479,MATCH("Koldioxidekvivalenter energiomvandling (g/kwh)",Miljö!$B$1:$J$1,0),FALSE)</f>
        <v>0</v>
      </c>
      <c r="I302">
        <f>VLOOKUP($B302,Miljö!$B$1:$J$479,MATCH("Fossilandel för ursprungspecificerad el ()",Miljö!$B$1:$J$1,0),FALSE)</f>
        <v>0</v>
      </c>
      <c r="J302">
        <f>VLOOKUP($B302,Miljö!$B$1:$J$479,MATCH("Kärnkraftsandel för ursprungsspecificerad el ()",Miljö!$B$1:$J$1,0),FALSE)</f>
        <v>0</v>
      </c>
      <c r="L302">
        <f>VLOOKUP($B302,Totalt!$B$1:$BU$497,MATCH("total el",Totalt!$B$1:$BU$1,0),FALSE)</f>
        <v>2.2000000000000002</v>
      </c>
      <c r="N302">
        <f t="shared" si="16"/>
        <v>2.2000000000000002</v>
      </c>
      <c r="O302">
        <f t="shared" si="17"/>
        <v>0</v>
      </c>
      <c r="P302">
        <f t="shared" si="18"/>
        <v>0</v>
      </c>
      <c r="Q302">
        <f t="shared" si="19"/>
        <v>0</v>
      </c>
    </row>
    <row r="303" spans="1:17" x14ac:dyDescent="0.45">
      <c r="A303" s="31" t="s">
        <v>286</v>
      </c>
      <c r="B303" s="31" t="s">
        <v>285</v>
      </c>
      <c r="C303" t="str">
        <f>VLOOKUP($B303,Totalt!$B$1:$BU$497,MATCH("Kvalitetsgranskad:",Totalt!$B$1:$BU$1,0),FALSE)</f>
        <v>Ja</v>
      </c>
      <c r="E303" t="str">
        <f>VLOOKUP($B303,Miljö!$B$1:$AG$479,MATCH(E$1,Miljö!$B$1:$AK$1,0),FALSE)</f>
        <v>Ja</v>
      </c>
      <c r="F303" t="str">
        <f>VLOOKUP($B303,Miljö!$B$1:$J$479,MATCH("Typ av ursprungsspecificerad el   (Om inget värde anges används Nordisk residualmix, se inforuta) ()",Miljö!$B$1:$J$1,0),FALSE)</f>
        <v>'Biokraft'</v>
      </c>
      <c r="G303">
        <f>VLOOKUP($B303,Miljö!$B$1:$J$479,MATCH("Primärenergifaktor ()",Miljö!$B$1:$J$1,0),FALSE)</f>
        <v>0.28000000000000003</v>
      </c>
      <c r="H303">
        <f>VLOOKUP($B303,Miljö!$B$1:$J$479,MATCH("Koldioxidekvivalenter energiomvandling (g/kwh)",Miljö!$B$1:$J$1,0),FALSE)</f>
        <v>0</v>
      </c>
      <c r="I303">
        <f>VLOOKUP($B303,Miljö!$B$1:$J$479,MATCH("Fossilandel för ursprungspecificerad el ()",Miljö!$B$1:$J$1,0),FALSE)</f>
        <v>0</v>
      </c>
      <c r="J303">
        <f>VLOOKUP($B303,Miljö!$B$1:$J$479,MATCH("Kärnkraftsandel för ursprungsspecificerad el ()",Miljö!$B$1:$J$1,0),FALSE)</f>
        <v>0</v>
      </c>
      <c r="L303">
        <f>VLOOKUP($B303,Totalt!$B$1:$BU$497,MATCH("total el",Totalt!$B$1:$BU$1,0),FALSE)</f>
        <v>33.949100000000001</v>
      </c>
      <c r="N303">
        <f t="shared" si="16"/>
        <v>9.5057480000000005</v>
      </c>
      <c r="O303">
        <f t="shared" si="17"/>
        <v>0</v>
      </c>
      <c r="P303">
        <f t="shared" si="18"/>
        <v>0</v>
      </c>
      <c r="Q303">
        <f t="shared" si="19"/>
        <v>0</v>
      </c>
    </row>
    <row r="304" spans="1:17" x14ac:dyDescent="0.45">
      <c r="A304" s="31" t="s">
        <v>284</v>
      </c>
      <c r="B304" s="31" t="s">
        <v>283</v>
      </c>
      <c r="C304" t="str">
        <f>VLOOKUP($B304,Totalt!$B$1:$BU$497,MATCH("Kvalitetsgranskad:",Totalt!$B$1:$BU$1,0),FALSE)</f>
        <v>Ja</v>
      </c>
      <c r="E304" t="str">
        <f>VLOOKUP($B304,Miljö!$B$1:$AG$479,MATCH(E$1,Miljö!$B$1:$AK$1,0),FALSE)</f>
        <v>Ja</v>
      </c>
      <c r="F304" t="str">
        <f>VLOOKUP($B304,Miljö!$B$1:$J$479,MATCH("Typ av ursprungsspecificerad el   (Om inget värde anges används Nordisk residualmix, se inforuta) ()",Miljö!$B$1:$J$1,0),FALSE)</f>
        <v>'vattenkraft'</v>
      </c>
      <c r="G304">
        <f>VLOOKUP($B304,Miljö!$B$1:$J$479,MATCH("Primärenergifaktor ()",Miljö!$B$1:$J$1,0),FALSE)</f>
        <v>1.1000000000000001</v>
      </c>
      <c r="H304">
        <f>VLOOKUP($B304,Miljö!$B$1:$J$479,MATCH("Koldioxidekvivalenter energiomvandling (g/kwh)",Miljö!$B$1:$J$1,0),FALSE)</f>
        <v>0</v>
      </c>
      <c r="I304">
        <f>VLOOKUP($B304,Miljö!$B$1:$J$479,MATCH("Fossilandel för ursprungspecificerad el ()",Miljö!$B$1:$J$1,0),FALSE)</f>
        <v>0</v>
      </c>
      <c r="J304">
        <f>VLOOKUP($B304,Miljö!$B$1:$J$479,MATCH("Kärnkraftsandel för ursprungsspecificerad el ()",Miljö!$B$1:$J$1,0),FALSE)</f>
        <v>0</v>
      </c>
      <c r="L304">
        <f>VLOOKUP($B304,Totalt!$B$1:$BU$497,MATCH("total el",Totalt!$B$1:$BU$1,0),FALSE)</f>
        <v>1.59066</v>
      </c>
      <c r="N304">
        <f t="shared" si="16"/>
        <v>1.7497260000000001</v>
      </c>
      <c r="O304">
        <f t="shared" si="17"/>
        <v>0</v>
      </c>
      <c r="P304">
        <f t="shared" si="18"/>
        <v>0</v>
      </c>
      <c r="Q304">
        <f t="shared" si="19"/>
        <v>0</v>
      </c>
    </row>
    <row r="305" spans="1:17" x14ac:dyDescent="0.45">
      <c r="A305" s="31" t="s">
        <v>280</v>
      </c>
      <c r="B305" s="31" t="s">
        <v>281</v>
      </c>
      <c r="C305" t="str">
        <f>VLOOKUP($B305,Totalt!$B$1:$BU$497,MATCH("Kvalitetsgranskad:",Totalt!$B$1:$BU$1,0),FALSE)</f>
        <v>Ja</v>
      </c>
      <c r="E305" t="str">
        <f>VLOOKUP($B305,Miljö!$B$1:$AG$479,MATCH(E$1,Miljö!$B$1:$AK$1,0),FALSE)</f>
        <v>Ja</v>
      </c>
      <c r="F305" t="str">
        <f>VLOOKUP($B305,Miljö!$B$1:$J$479,MATCH("Typ av ursprungsspecificerad el   (Om inget värde anges används Nordisk residualmix, se inforuta) ()",Miljö!$B$1:$J$1,0),FALSE)</f>
        <v>'Vattenkraft'</v>
      </c>
      <c r="G305">
        <f>VLOOKUP($B305,Miljö!$B$1:$J$479,MATCH("Primärenergifaktor ()",Miljö!$B$1:$J$1,0),FALSE)</f>
        <v>1.1000000000000001</v>
      </c>
      <c r="H305">
        <f>VLOOKUP($B305,Miljö!$B$1:$J$479,MATCH("Koldioxidekvivalenter energiomvandling (g/kwh)",Miljö!$B$1:$J$1,0),FALSE)</f>
        <v>0</v>
      </c>
      <c r="I305">
        <f>VLOOKUP($B305,Miljö!$B$1:$J$479,MATCH("Fossilandel för ursprungspecificerad el ()",Miljö!$B$1:$J$1,0),FALSE)</f>
        <v>0</v>
      </c>
      <c r="J305">
        <f>VLOOKUP($B305,Miljö!$B$1:$J$479,MATCH("Kärnkraftsandel för ursprungsspecificerad el ()",Miljö!$B$1:$J$1,0),FALSE)</f>
        <v>0</v>
      </c>
      <c r="L305">
        <f>VLOOKUP($B305,Totalt!$B$1:$BU$497,MATCH("total el",Totalt!$B$1:$BU$1,0),FALSE)</f>
        <v>1.1779999999999999</v>
      </c>
      <c r="N305">
        <f t="shared" si="16"/>
        <v>1.2958000000000001</v>
      </c>
      <c r="O305">
        <f t="shared" si="17"/>
        <v>0</v>
      </c>
      <c r="P305">
        <f t="shared" si="18"/>
        <v>0</v>
      </c>
      <c r="Q305">
        <f t="shared" si="19"/>
        <v>0</v>
      </c>
    </row>
    <row r="306" spans="1:17" x14ac:dyDescent="0.45">
      <c r="A306" s="31" t="s">
        <v>280</v>
      </c>
      <c r="B306" s="31" t="s">
        <v>279</v>
      </c>
      <c r="C306" t="str">
        <f>VLOOKUP($B306,Totalt!$B$1:$BU$497,MATCH("Kvalitetsgranskad:",Totalt!$B$1:$BU$1,0),FALSE)</f>
        <v>Ja</v>
      </c>
      <c r="E306" t="str">
        <f>VLOOKUP($B306,Miljö!$B$1:$AG$479,MATCH(E$1,Miljö!$B$1:$AK$1,0),FALSE)</f>
        <v>Ja</v>
      </c>
      <c r="F306" t="str">
        <f>VLOOKUP($B306,Miljö!$B$1:$J$479,MATCH("Typ av ursprungsspecificerad el   (Om inget värde anges används Nordisk residualmix, se inforuta) ()",Miljö!$B$1:$J$1,0),FALSE)</f>
        <v>'Vattenkraft'</v>
      </c>
      <c r="G306">
        <f>VLOOKUP($B306,Miljö!$B$1:$J$479,MATCH("Primärenergifaktor ()",Miljö!$B$1:$J$1,0),FALSE)</f>
        <v>1.1000000000000001</v>
      </c>
      <c r="H306">
        <f>VLOOKUP($B306,Miljö!$B$1:$J$479,MATCH("Koldioxidekvivalenter energiomvandling (g/kwh)",Miljö!$B$1:$J$1,0),FALSE)</f>
        <v>0</v>
      </c>
      <c r="I306">
        <f>VLOOKUP($B306,Miljö!$B$1:$J$479,MATCH("Fossilandel för ursprungspecificerad el ()",Miljö!$B$1:$J$1,0),FALSE)</f>
        <v>0</v>
      </c>
      <c r="J306">
        <f>VLOOKUP($B306,Miljö!$B$1:$J$479,MATCH("Kärnkraftsandel för ursprungsspecificerad el ()",Miljö!$B$1:$J$1,0),FALSE)</f>
        <v>0</v>
      </c>
      <c r="L306">
        <f>VLOOKUP($B306,Totalt!$B$1:$BU$497,MATCH("total el",Totalt!$B$1:$BU$1,0),FALSE)</f>
        <v>0.96899999999999997</v>
      </c>
      <c r="N306">
        <f t="shared" si="16"/>
        <v>1.0659000000000001</v>
      </c>
      <c r="O306">
        <f t="shared" si="17"/>
        <v>0</v>
      </c>
      <c r="P306">
        <f t="shared" si="18"/>
        <v>0</v>
      </c>
      <c r="Q306">
        <f t="shared" si="19"/>
        <v>0</v>
      </c>
    </row>
    <row r="307" spans="1:17" x14ac:dyDescent="0.45">
      <c r="A307" s="31" t="s">
        <v>280</v>
      </c>
      <c r="B307" s="31" t="s">
        <v>282</v>
      </c>
      <c r="C307" t="str">
        <f>VLOOKUP($B307,Totalt!$B$1:$BU$497,MATCH("Kvalitetsgranskad:",Totalt!$B$1:$BU$1,0),FALSE)</f>
        <v>Ja</v>
      </c>
      <c r="E307" t="str">
        <f>VLOOKUP($B307,Miljö!$B$1:$AG$479,MATCH(E$1,Miljö!$B$1:$AK$1,0),FALSE)</f>
        <v>Ja</v>
      </c>
      <c r="F307" t="str">
        <f>VLOOKUP($B307,Miljö!$B$1:$J$479,MATCH("Typ av ursprungsspecificerad el   (Om inget värde anges används Nordisk residualmix, se inforuta) ()",Miljö!$B$1:$J$1,0),FALSE)</f>
        <v>'Vattenkraft'</v>
      </c>
      <c r="G307">
        <f>VLOOKUP($B307,Miljö!$B$1:$J$479,MATCH("Primärenergifaktor ()",Miljö!$B$1:$J$1,0),FALSE)</f>
        <v>1.1000000000000001</v>
      </c>
      <c r="H307">
        <f>VLOOKUP($B307,Miljö!$B$1:$J$479,MATCH("Koldioxidekvivalenter energiomvandling (g/kwh)",Miljö!$B$1:$J$1,0),FALSE)</f>
        <v>0</v>
      </c>
      <c r="I307">
        <f>VLOOKUP($B307,Miljö!$B$1:$J$479,MATCH("Fossilandel för ursprungspecificerad el ()",Miljö!$B$1:$J$1,0),FALSE)</f>
        <v>0</v>
      </c>
      <c r="J307">
        <f>VLOOKUP($B307,Miljö!$B$1:$J$479,MATCH("Kärnkraftsandel för ursprungsspecificerad el ()",Miljö!$B$1:$J$1,0),FALSE)</f>
        <v>0</v>
      </c>
      <c r="L307">
        <f>VLOOKUP($B307,Totalt!$B$1:$BU$497,MATCH("total el",Totalt!$B$1:$BU$1,0),FALSE)</f>
        <v>7.8200000000000006E-2</v>
      </c>
      <c r="N307">
        <f t="shared" si="16"/>
        <v>8.6020000000000013E-2</v>
      </c>
      <c r="O307">
        <f t="shared" si="17"/>
        <v>0</v>
      </c>
      <c r="P307">
        <f t="shared" si="18"/>
        <v>0</v>
      </c>
      <c r="Q307">
        <f t="shared" si="19"/>
        <v>0</v>
      </c>
    </row>
    <row r="308" spans="1:17" x14ac:dyDescent="0.45">
      <c r="A308" s="31" t="s">
        <v>278</v>
      </c>
      <c r="B308" s="31" t="s">
        <v>278</v>
      </c>
      <c r="C308" t="str">
        <f>VLOOKUP($B308,Totalt!$B$1:$BU$497,MATCH("Kvalitetsgranskad:",Totalt!$B$1:$BU$1,0),FALSE)</f>
        <v>Nej</v>
      </c>
      <c r="E308" t="str">
        <f>VLOOKUP($B308,Miljö!$B$1:$AG$479,MATCH(E$1,Miljö!$B$1:$AK$1,0),FALSE)</f>
        <v>Nej</v>
      </c>
      <c r="F308" t="str">
        <f>VLOOKUP($B308,Miljö!$B$1:$J$479,MATCH("Typ av ursprungsspecificerad el   (Om inget värde anges används Nordisk residualmix, se inforuta) ()",Miljö!$B$1:$J$1,0),FALSE)</f>
        <v>-</v>
      </c>
      <c r="G308" t="str">
        <f>VLOOKUP($B308,Miljö!$B$1:$J$479,MATCH("Primärenergifaktor ()",Miljö!$B$1:$J$1,0),FALSE)</f>
        <v>-</v>
      </c>
      <c r="H308" t="str">
        <f>VLOOKUP($B308,Miljö!$B$1:$J$479,MATCH("Koldioxidekvivalenter energiomvandling (g/kwh)",Miljö!$B$1:$J$1,0),FALSE)</f>
        <v>-</v>
      </c>
      <c r="I308" t="str">
        <f>VLOOKUP($B308,Miljö!$B$1:$J$479,MATCH("Fossilandel för ursprungspecificerad el ()",Miljö!$B$1:$J$1,0),FALSE)</f>
        <v>-</v>
      </c>
      <c r="J308" t="str">
        <f>VLOOKUP($B308,Miljö!$B$1:$J$479,MATCH("Kärnkraftsandel för ursprungsspecificerad el ()",Miljö!$B$1:$J$1,0),FALSE)</f>
        <v>-</v>
      </c>
      <c r="L308">
        <f>VLOOKUP($B308,Totalt!$B$1:$BU$497,MATCH("total el",Totalt!$B$1:$BU$1,0),FALSE)</f>
        <v>0</v>
      </c>
      <c r="N308" t="str">
        <f t="shared" si="16"/>
        <v/>
      </c>
      <c r="O308" t="str">
        <f t="shared" si="17"/>
        <v/>
      </c>
      <c r="P308" t="str">
        <f t="shared" si="18"/>
        <v/>
      </c>
      <c r="Q308" t="str">
        <f t="shared" si="19"/>
        <v/>
      </c>
    </row>
    <row r="309" spans="1:17" x14ac:dyDescent="0.45">
      <c r="A309" s="31" t="s">
        <v>277</v>
      </c>
      <c r="B309" s="31" t="s">
        <v>130</v>
      </c>
      <c r="C309" t="str">
        <f>VLOOKUP($B309,Totalt!$B$1:$BU$497,MATCH("Kvalitetsgranskad:",Totalt!$B$1:$BU$1,0),FALSE)</f>
        <v>Ja</v>
      </c>
      <c r="E309" t="str">
        <f>VLOOKUP($B309,Miljö!$B$1:$AG$479,MATCH(E$1,Miljö!$B$1:$AK$1,0),FALSE)</f>
        <v>Ja</v>
      </c>
      <c r="F309" t="str">
        <f>VLOOKUP($B309,Miljö!$B$1:$J$479,MATCH("Typ av ursprungsspecificerad el   (Om inget värde anges används Nordisk residualmix, se inforuta) ()",Miljö!$B$1:$J$1,0),FALSE)</f>
        <v>-</v>
      </c>
      <c r="G309">
        <f>VLOOKUP($B309,Miljö!$B$1:$J$479,MATCH("Primärenergifaktor ()",Miljö!$B$1:$J$1,0),FALSE)</f>
        <v>2.2000000000000002</v>
      </c>
      <c r="H309">
        <f>VLOOKUP($B309,Miljö!$B$1:$J$479,MATCH("Koldioxidekvivalenter energiomvandling (g/kwh)",Miljö!$B$1:$J$1,0),FALSE)</f>
        <v>250.8</v>
      </c>
      <c r="I309">
        <f>VLOOKUP($B309,Miljö!$B$1:$J$479,MATCH("Fossilandel för ursprungspecificerad el ()",Miljö!$B$1:$J$1,0),FALSE)</f>
        <v>0.35</v>
      </c>
      <c r="J309">
        <f>VLOOKUP($B309,Miljö!$B$1:$J$479,MATCH("Kärnkraftsandel för ursprungsspecificerad el ()",Miljö!$B$1:$J$1,0),FALSE)</f>
        <v>0.3977</v>
      </c>
      <c r="L309">
        <f>VLOOKUP($B309,Totalt!$B$1:$BU$497,MATCH("total el",Totalt!$B$1:$BU$1,0),FALSE)</f>
        <v>0.39387</v>
      </c>
      <c r="N309">
        <f t="shared" si="16"/>
        <v>0.86651400000000012</v>
      </c>
      <c r="O309">
        <f t="shared" si="17"/>
        <v>98.782595999999998</v>
      </c>
      <c r="P309">
        <f t="shared" si="18"/>
        <v>0.13785449999999999</v>
      </c>
      <c r="Q309">
        <f t="shared" si="19"/>
        <v>0.15664209900000001</v>
      </c>
    </row>
    <row r="310" spans="1:17" x14ac:dyDescent="0.45">
      <c r="A310" s="31" t="s">
        <v>276</v>
      </c>
      <c r="B310" s="31" t="s">
        <v>275</v>
      </c>
      <c r="C310" t="str">
        <f>VLOOKUP($B310,Totalt!$B$1:$BU$497,MATCH("Kvalitetsgranskad:",Totalt!$B$1:$BU$1,0),FALSE)</f>
        <v>Ja</v>
      </c>
      <c r="E310" t="str">
        <f>VLOOKUP($B310,Miljö!$B$1:$AG$479,MATCH(E$1,Miljö!$B$1:$AK$1,0),FALSE)</f>
        <v>Ja</v>
      </c>
      <c r="F310" t="str">
        <f>VLOOKUP($B310,Miljö!$B$1:$J$479,MATCH("Typ av ursprungsspecificerad el   (Om inget värde anges används Nordisk residualmix, se inforuta) ()",Miljö!$B$1:$J$1,0),FALSE)</f>
        <v>'Vattenkraft'</v>
      </c>
      <c r="G310">
        <f>VLOOKUP($B310,Miljö!$B$1:$J$479,MATCH("Primärenergifaktor ()",Miljö!$B$1:$J$1,0),FALSE)</f>
        <v>1.1000000000000001</v>
      </c>
      <c r="H310">
        <f>VLOOKUP($B310,Miljö!$B$1:$J$479,MATCH("Koldioxidekvivalenter energiomvandling (g/kwh)",Miljö!$B$1:$J$1,0),FALSE)</f>
        <v>0</v>
      </c>
      <c r="I310">
        <f>VLOOKUP($B310,Miljö!$B$1:$J$479,MATCH("Fossilandel för ursprungspecificerad el ()",Miljö!$B$1:$J$1,0),FALSE)</f>
        <v>0</v>
      </c>
      <c r="J310">
        <f>VLOOKUP($B310,Miljö!$B$1:$J$479,MATCH("Kärnkraftsandel för ursprungsspecificerad el ()",Miljö!$B$1:$J$1,0),FALSE)</f>
        <v>0</v>
      </c>
      <c r="L310">
        <f>VLOOKUP($B310,Totalt!$B$1:$BU$497,MATCH("total el",Totalt!$B$1:$BU$1,0),FALSE)</f>
        <v>5</v>
      </c>
      <c r="N310">
        <f t="shared" si="16"/>
        <v>5.5</v>
      </c>
      <c r="O310">
        <f t="shared" si="17"/>
        <v>0</v>
      </c>
      <c r="P310">
        <f t="shared" si="18"/>
        <v>0</v>
      </c>
      <c r="Q310">
        <f t="shared" si="19"/>
        <v>0</v>
      </c>
    </row>
    <row r="311" spans="1:17" x14ac:dyDescent="0.45">
      <c r="A311" s="31" t="s">
        <v>273</v>
      </c>
      <c r="B311" s="31" t="s">
        <v>272</v>
      </c>
      <c r="C311" t="str">
        <f>VLOOKUP($B311,Totalt!$B$1:$BU$497,MATCH("Kvalitetsgranskad:",Totalt!$B$1:$BU$1,0),FALSE)</f>
        <v>Ja</v>
      </c>
      <c r="E311" t="str">
        <f>VLOOKUP($B311,Miljö!$B$1:$AG$479,MATCH(E$1,Miljö!$B$1:$AK$1,0),FALSE)</f>
        <v>Ja</v>
      </c>
      <c r="F311" t="str">
        <f>VLOOKUP($B311,Miljö!$B$1:$J$479,MATCH("Typ av ursprungsspecificerad el   (Om inget värde anges används Nordisk residualmix, se inforuta) ()",Miljö!$B$1:$J$1,0),FALSE)</f>
        <v>'Vattenkraft'</v>
      </c>
      <c r="G311">
        <f>VLOOKUP($B311,Miljö!$B$1:$J$479,MATCH("Primärenergifaktor ()",Miljö!$B$1:$J$1,0),FALSE)</f>
        <v>1.1000000000000001</v>
      </c>
      <c r="H311">
        <f>VLOOKUP($B311,Miljö!$B$1:$J$479,MATCH("Koldioxidekvivalenter energiomvandling (g/kwh)",Miljö!$B$1:$J$1,0),FALSE)</f>
        <v>0</v>
      </c>
      <c r="I311">
        <f>VLOOKUP($B311,Miljö!$B$1:$J$479,MATCH("Fossilandel för ursprungspecificerad el ()",Miljö!$B$1:$J$1,0),FALSE)</f>
        <v>0</v>
      </c>
      <c r="J311">
        <f>VLOOKUP($B311,Miljö!$B$1:$J$479,MATCH("Kärnkraftsandel för ursprungsspecificerad el ()",Miljö!$B$1:$J$1,0),FALSE)</f>
        <v>0</v>
      </c>
      <c r="L311">
        <f>VLOOKUP($B311,Totalt!$B$1:$BU$497,MATCH("total el",Totalt!$B$1:$BU$1,0),FALSE)</f>
        <v>2.2109999999999999</v>
      </c>
      <c r="N311">
        <f t="shared" si="16"/>
        <v>2.4321000000000002</v>
      </c>
      <c r="O311">
        <f t="shared" si="17"/>
        <v>0</v>
      </c>
      <c r="P311">
        <f t="shared" si="18"/>
        <v>0</v>
      </c>
      <c r="Q311">
        <f t="shared" si="19"/>
        <v>0</v>
      </c>
    </row>
    <row r="312" spans="1:17" x14ac:dyDescent="0.45">
      <c r="A312" s="31" t="s">
        <v>271</v>
      </c>
      <c r="B312" s="31" t="s">
        <v>270</v>
      </c>
      <c r="C312" t="str">
        <f>VLOOKUP($B312,Totalt!$B$1:$BU$497,MATCH("Kvalitetsgranskad:",Totalt!$B$1:$BU$1,0),FALSE)</f>
        <v>Ja</v>
      </c>
      <c r="E312" t="str">
        <f>VLOOKUP($B312,Miljö!$B$1:$AG$479,MATCH(E$1,Miljö!$B$1:$AK$1,0),FALSE)</f>
        <v>Ja</v>
      </c>
      <c r="F312" t="str">
        <f>VLOOKUP($B312,Miljö!$B$1:$J$479,MATCH("Typ av ursprungsspecificerad el   (Om inget värde anges används Nordisk residualmix, se inforuta) ()",Miljö!$B$1:$J$1,0),FALSE)</f>
        <v>''''El producerad i eget biokraftvärmeverk''''</v>
      </c>
      <c r="G312">
        <f>VLOOKUP($B312,Miljö!$B$1:$J$479,MATCH("Primärenergifaktor ()",Miljö!$B$1:$J$1,0),FALSE)</f>
        <v>0.03</v>
      </c>
      <c r="H312">
        <f>VLOOKUP($B312,Miljö!$B$1:$J$479,MATCH("Koldioxidekvivalenter energiomvandling (g/kwh)",Miljö!$B$1:$J$1,0),FALSE)</f>
        <v>0</v>
      </c>
      <c r="I312">
        <f>VLOOKUP($B312,Miljö!$B$1:$J$479,MATCH("Fossilandel för ursprungspecificerad el ()",Miljö!$B$1:$J$1,0),FALSE)</f>
        <v>0</v>
      </c>
      <c r="J312">
        <f>VLOOKUP($B312,Miljö!$B$1:$J$479,MATCH("Kärnkraftsandel för ursprungsspecificerad el ()",Miljö!$B$1:$J$1,0),FALSE)</f>
        <v>0</v>
      </c>
      <c r="L312">
        <f>VLOOKUP($B312,Totalt!$B$1:$BU$497,MATCH("total el",Totalt!$B$1:$BU$1,0),FALSE)</f>
        <v>6.6936799999999996</v>
      </c>
      <c r="N312">
        <f t="shared" si="16"/>
        <v>0.20081039999999997</v>
      </c>
      <c r="O312">
        <f t="shared" si="17"/>
        <v>0</v>
      </c>
      <c r="P312">
        <f t="shared" si="18"/>
        <v>0</v>
      </c>
      <c r="Q312">
        <f t="shared" si="19"/>
        <v>0</v>
      </c>
    </row>
    <row r="313" spans="1:17" x14ac:dyDescent="0.45">
      <c r="A313" s="31" t="s">
        <v>267</v>
      </c>
      <c r="B313" s="31" t="s">
        <v>269</v>
      </c>
      <c r="C313" t="str">
        <f>VLOOKUP($B313,Totalt!$B$1:$BU$497,MATCH("Kvalitetsgranskad:",Totalt!$B$1:$BU$1,0),FALSE)</f>
        <v>Ja</v>
      </c>
      <c r="E313" t="str">
        <f>VLOOKUP($B313,Miljö!$B$1:$AG$479,MATCH(E$1,Miljö!$B$1:$AK$1,0),FALSE)</f>
        <v>Ja</v>
      </c>
      <c r="F313" t="str">
        <f>VLOOKUP($B313,Miljö!$B$1:$J$479,MATCH("Typ av ursprungsspecificerad el   (Om inget värde anges används Nordisk residualmix, se inforuta) ()",Miljö!$B$1:$J$1,0),FALSE)</f>
        <v>'Nordisk residualmix'</v>
      </c>
      <c r="G313">
        <f>VLOOKUP($B313,Miljö!$B$1:$J$479,MATCH("Primärenergifaktor ()",Miljö!$B$1:$J$1,0),FALSE)</f>
        <v>2.2000000000000002</v>
      </c>
      <c r="H313">
        <f>VLOOKUP($B313,Miljö!$B$1:$J$479,MATCH("Koldioxidekvivalenter energiomvandling (g/kwh)",Miljö!$B$1:$J$1,0),FALSE)</f>
        <v>250.8</v>
      </c>
      <c r="I313">
        <f>VLOOKUP($B313,Miljö!$B$1:$J$479,MATCH("Fossilandel för ursprungspecificerad el ()",Miljö!$B$1:$J$1,0),FALSE)</f>
        <v>0.35</v>
      </c>
      <c r="J313">
        <f>VLOOKUP($B313,Miljö!$B$1:$J$479,MATCH("Kärnkraftsandel för ursprungsspecificerad el ()",Miljö!$B$1:$J$1,0),FALSE)</f>
        <v>0.3977</v>
      </c>
      <c r="L313">
        <f>VLOOKUP($B313,Totalt!$B$1:$BU$497,MATCH("total el",Totalt!$B$1:$BU$1,0),FALSE)</f>
        <v>9.6939999999999998E-2</v>
      </c>
      <c r="N313">
        <f t="shared" si="16"/>
        <v>0.21326800000000001</v>
      </c>
      <c r="O313">
        <f t="shared" si="17"/>
        <v>24.312552</v>
      </c>
      <c r="P313">
        <f t="shared" si="18"/>
        <v>3.3928999999999994E-2</v>
      </c>
      <c r="Q313">
        <f t="shared" si="19"/>
        <v>3.8553037999999998E-2</v>
      </c>
    </row>
    <row r="314" spans="1:17" x14ac:dyDescent="0.45">
      <c r="A314" s="31" t="s">
        <v>267</v>
      </c>
      <c r="B314" s="31" t="s">
        <v>268</v>
      </c>
      <c r="C314" t="str">
        <f>VLOOKUP($B314,Totalt!$B$1:$BU$497,MATCH("Kvalitetsgranskad:",Totalt!$B$1:$BU$1,0),FALSE)</f>
        <v>Ja</v>
      </c>
      <c r="E314" t="str">
        <f>VLOOKUP($B314,Miljö!$B$1:$AG$479,MATCH(E$1,Miljö!$B$1:$AK$1,0),FALSE)</f>
        <v>Ja</v>
      </c>
      <c r="F314" t="str">
        <f>VLOOKUP($B314,Miljö!$B$1:$J$479,MATCH("Typ av ursprungsspecificerad el   (Om inget värde anges används Nordisk residualmix, se inforuta) ()",Miljö!$B$1:$J$1,0),FALSE)</f>
        <v>'Nordisk Residualmix'</v>
      </c>
      <c r="G314">
        <f>VLOOKUP($B314,Miljö!$B$1:$J$479,MATCH("Primärenergifaktor ()",Miljö!$B$1:$J$1,0),FALSE)</f>
        <v>2.2000000000000002</v>
      </c>
      <c r="H314">
        <f>VLOOKUP($B314,Miljö!$B$1:$J$479,MATCH("Koldioxidekvivalenter energiomvandling (g/kwh)",Miljö!$B$1:$J$1,0),FALSE)</f>
        <v>250.8</v>
      </c>
      <c r="I314">
        <f>VLOOKUP($B314,Miljö!$B$1:$J$479,MATCH("Fossilandel för ursprungspecificerad el ()",Miljö!$B$1:$J$1,0),FALSE)</f>
        <v>0.35</v>
      </c>
      <c r="J314">
        <f>VLOOKUP($B314,Miljö!$B$1:$J$479,MATCH("Kärnkraftsandel för ursprungsspecificerad el ()",Miljö!$B$1:$J$1,0),FALSE)</f>
        <v>0.3977</v>
      </c>
      <c r="L314">
        <f>VLOOKUP($B314,Totalt!$B$1:$BU$497,MATCH("total el",Totalt!$B$1:$BU$1,0),FALSE)</f>
        <v>0.12959000000000001</v>
      </c>
      <c r="N314">
        <f t="shared" si="16"/>
        <v>0.28509800000000007</v>
      </c>
      <c r="O314">
        <f t="shared" si="17"/>
        <v>32.501172000000004</v>
      </c>
      <c r="P314">
        <f t="shared" si="18"/>
        <v>4.5356500000000001E-2</v>
      </c>
      <c r="Q314">
        <f t="shared" si="19"/>
        <v>5.1537943000000003E-2</v>
      </c>
    </row>
    <row r="315" spans="1:17" x14ac:dyDescent="0.45">
      <c r="A315" s="31" t="s">
        <v>267</v>
      </c>
      <c r="B315" s="31" t="s">
        <v>266</v>
      </c>
      <c r="C315" t="str">
        <f>VLOOKUP($B315,Totalt!$B$1:$BU$497,MATCH("Kvalitetsgranskad:",Totalt!$B$1:$BU$1,0),FALSE)</f>
        <v>Ja</v>
      </c>
      <c r="E315" t="str">
        <f>VLOOKUP($B315,Miljö!$B$1:$AG$479,MATCH(E$1,Miljö!$B$1:$AK$1,0),FALSE)</f>
        <v>Ja</v>
      </c>
      <c r="F315" t="str">
        <f>VLOOKUP($B315,Miljö!$B$1:$J$479,MATCH("Typ av ursprungsspecificerad el   (Om inget värde anges används Nordisk residualmix, se inforuta) ()",Miljö!$B$1:$J$1,0),FALSE)</f>
        <v>'Nordisk Residualmix'</v>
      </c>
      <c r="G315">
        <f>VLOOKUP($B315,Miljö!$B$1:$J$479,MATCH("Primärenergifaktor ()",Miljö!$B$1:$J$1,0),FALSE)</f>
        <v>2.2000000000000002</v>
      </c>
      <c r="H315">
        <f>VLOOKUP($B315,Miljö!$B$1:$J$479,MATCH("Koldioxidekvivalenter energiomvandling (g/kwh)",Miljö!$B$1:$J$1,0),FALSE)</f>
        <v>250.8</v>
      </c>
      <c r="I315">
        <f>VLOOKUP($B315,Miljö!$B$1:$J$479,MATCH("Fossilandel för ursprungspecificerad el ()",Miljö!$B$1:$J$1,0),FALSE)</f>
        <v>0.35</v>
      </c>
      <c r="J315">
        <f>VLOOKUP($B315,Miljö!$B$1:$J$479,MATCH("Kärnkraftsandel för ursprungsspecificerad el ()",Miljö!$B$1:$J$1,0),FALSE)</f>
        <v>0.3977</v>
      </c>
      <c r="L315">
        <f>VLOOKUP($B315,Totalt!$B$1:$BU$497,MATCH("total el",Totalt!$B$1:$BU$1,0),FALSE)</f>
        <v>10.8666</v>
      </c>
      <c r="N315">
        <f t="shared" si="16"/>
        <v>23.90652</v>
      </c>
      <c r="O315">
        <f t="shared" si="17"/>
        <v>2725.34328</v>
      </c>
      <c r="P315">
        <f t="shared" si="18"/>
        <v>3.8033099999999997</v>
      </c>
      <c r="Q315">
        <f t="shared" si="19"/>
        <v>4.3216468199999998</v>
      </c>
    </row>
    <row r="316" spans="1:17" x14ac:dyDescent="0.45">
      <c r="A316" s="31" t="s">
        <v>263</v>
      </c>
      <c r="B316" s="31" t="s">
        <v>265</v>
      </c>
      <c r="C316" t="str">
        <f>VLOOKUP($B316,Totalt!$B$1:$BU$497,MATCH("Kvalitetsgranskad:",Totalt!$B$1:$BU$1,0),FALSE)</f>
        <v>Ja</v>
      </c>
      <c r="E316" t="str">
        <f>VLOOKUP($B316,Miljö!$B$1:$AG$479,MATCH(E$1,Miljö!$B$1:$AK$1,0),FALSE)</f>
        <v>Ja</v>
      </c>
      <c r="F316" t="str">
        <f>VLOOKUP($B316,Miljö!$B$1:$J$479,MATCH("Typ av ursprungsspecificerad el   (Om inget värde anges används Nordisk residualmix, se inforuta) ()",Miljö!$B$1:$J$1,0),FALSE)</f>
        <v>-</v>
      </c>
      <c r="G316">
        <f>VLOOKUP($B316,Miljö!$B$1:$J$479,MATCH("Primärenergifaktor ()",Miljö!$B$1:$J$1,0),FALSE)</f>
        <v>2.2000000000000002</v>
      </c>
      <c r="H316">
        <f>VLOOKUP($B316,Miljö!$B$1:$J$479,MATCH("Koldioxidekvivalenter energiomvandling (g/kwh)",Miljö!$B$1:$J$1,0),FALSE)</f>
        <v>250.8</v>
      </c>
      <c r="I316">
        <f>VLOOKUP($B316,Miljö!$B$1:$J$479,MATCH("Fossilandel för ursprungspecificerad el ()",Miljö!$B$1:$J$1,0),FALSE)</f>
        <v>0.35</v>
      </c>
      <c r="J316">
        <f>VLOOKUP($B316,Miljö!$B$1:$J$479,MATCH("Kärnkraftsandel för ursprungsspecificerad el ()",Miljö!$B$1:$J$1,0),FALSE)</f>
        <v>0.3977</v>
      </c>
      <c r="L316">
        <f>VLOOKUP($B316,Totalt!$B$1:$BU$497,MATCH("total el",Totalt!$B$1:$BU$1,0),FALSE)</f>
        <v>3.0943999999999999E-2</v>
      </c>
      <c r="N316">
        <f t="shared" si="16"/>
        <v>6.8076800000000007E-2</v>
      </c>
      <c r="O316">
        <f t="shared" si="17"/>
        <v>7.7607552000000002</v>
      </c>
      <c r="P316">
        <f t="shared" si="18"/>
        <v>1.0830399999999999E-2</v>
      </c>
      <c r="Q316">
        <f t="shared" si="19"/>
        <v>1.23064288E-2</v>
      </c>
    </row>
    <row r="317" spans="1:17" x14ac:dyDescent="0.45">
      <c r="A317" s="31" t="s">
        <v>263</v>
      </c>
      <c r="B317" s="31" t="s">
        <v>262</v>
      </c>
      <c r="C317" t="str">
        <f>VLOOKUP($B317,Totalt!$B$1:$BU$497,MATCH("Kvalitetsgranskad:",Totalt!$B$1:$BU$1,0),FALSE)</f>
        <v>Ja</v>
      </c>
      <c r="E317" t="str">
        <f>VLOOKUP($B317,Miljö!$B$1:$AG$479,MATCH(E$1,Miljö!$B$1:$AK$1,0),FALSE)</f>
        <v>Ja</v>
      </c>
      <c r="F317" t="str">
        <f>VLOOKUP($B317,Miljö!$B$1:$J$479,MATCH("Typ av ursprungsspecificerad el   (Om inget värde anges används Nordisk residualmix, se inforuta) ()",Miljö!$B$1:$J$1,0),FALSE)</f>
        <v>-</v>
      </c>
      <c r="G317">
        <f>VLOOKUP($B317,Miljö!$B$1:$J$479,MATCH("Primärenergifaktor ()",Miljö!$B$1:$J$1,0),FALSE)</f>
        <v>2.2000000000000002</v>
      </c>
      <c r="H317">
        <f>VLOOKUP($B317,Miljö!$B$1:$J$479,MATCH("Koldioxidekvivalenter energiomvandling (g/kwh)",Miljö!$B$1:$J$1,0),FALSE)</f>
        <v>250.8</v>
      </c>
      <c r="I317">
        <f>VLOOKUP($B317,Miljö!$B$1:$J$479,MATCH("Fossilandel för ursprungspecificerad el ()",Miljö!$B$1:$J$1,0),FALSE)</f>
        <v>0.35</v>
      </c>
      <c r="J317">
        <f>VLOOKUP($B317,Miljö!$B$1:$J$479,MATCH("Kärnkraftsandel för ursprungsspecificerad el ()",Miljö!$B$1:$J$1,0),FALSE)</f>
        <v>0.3977</v>
      </c>
      <c r="L317">
        <f>VLOOKUP($B317,Totalt!$B$1:$BU$497,MATCH("total el",Totalt!$B$1:$BU$1,0),FALSE)</f>
        <v>0.56674000000000002</v>
      </c>
      <c r="N317">
        <f t="shared" si="16"/>
        <v>1.246828</v>
      </c>
      <c r="O317">
        <f t="shared" si="17"/>
        <v>142.13839200000001</v>
      </c>
      <c r="P317">
        <f t="shared" si="18"/>
        <v>0.19835900000000001</v>
      </c>
      <c r="Q317">
        <f t="shared" si="19"/>
        <v>0.225392498</v>
      </c>
    </row>
    <row r="318" spans="1:17" x14ac:dyDescent="0.45">
      <c r="A318" s="31" t="s">
        <v>263</v>
      </c>
      <c r="B318" s="31" t="s">
        <v>264</v>
      </c>
      <c r="C318" t="str">
        <f>VLOOKUP($B318,Totalt!$B$1:$BU$497,MATCH("Kvalitetsgranskad:",Totalt!$B$1:$BU$1,0),FALSE)</f>
        <v>Ja</v>
      </c>
      <c r="E318" t="str">
        <f>VLOOKUP($B318,Miljö!$B$1:$AG$479,MATCH(E$1,Miljö!$B$1:$AK$1,0),FALSE)</f>
        <v>Ja</v>
      </c>
      <c r="F318" t="str">
        <f>VLOOKUP($B318,Miljö!$B$1:$J$479,MATCH("Typ av ursprungsspecificerad el   (Om inget värde anges används Nordisk residualmix, se inforuta) ()",Miljö!$B$1:$J$1,0),FALSE)</f>
        <v>-</v>
      </c>
      <c r="G318">
        <f>VLOOKUP($B318,Miljö!$B$1:$J$479,MATCH("Primärenergifaktor ()",Miljö!$B$1:$J$1,0),FALSE)</f>
        <v>2.2000000000000002</v>
      </c>
      <c r="H318">
        <f>VLOOKUP($B318,Miljö!$B$1:$J$479,MATCH("Koldioxidekvivalenter energiomvandling (g/kwh)",Miljö!$B$1:$J$1,0),FALSE)</f>
        <v>250.8</v>
      </c>
      <c r="I318">
        <f>VLOOKUP($B318,Miljö!$B$1:$J$479,MATCH("Fossilandel för ursprungspecificerad el ()",Miljö!$B$1:$J$1,0),FALSE)</f>
        <v>0.35</v>
      </c>
      <c r="J318">
        <f>VLOOKUP($B318,Miljö!$B$1:$J$479,MATCH("Kärnkraftsandel för ursprungsspecificerad el ()",Miljö!$B$1:$J$1,0),FALSE)</f>
        <v>0.3977</v>
      </c>
      <c r="L318">
        <f>VLOOKUP($B318,Totalt!$B$1:$BU$497,MATCH("total el",Totalt!$B$1:$BU$1,0),FALSE)</f>
        <v>1.1004E-2</v>
      </c>
      <c r="N318">
        <f t="shared" si="16"/>
        <v>2.4208800000000003E-2</v>
      </c>
      <c r="O318">
        <f t="shared" si="17"/>
        <v>2.7598031999999999</v>
      </c>
      <c r="P318">
        <f t="shared" si="18"/>
        <v>3.8513999999999996E-3</v>
      </c>
      <c r="Q318">
        <f t="shared" si="19"/>
        <v>4.3762908E-3</v>
      </c>
    </row>
    <row r="319" spans="1:17" x14ac:dyDescent="0.45">
      <c r="A319" s="31" t="s">
        <v>258</v>
      </c>
      <c r="B319" s="31" t="s">
        <v>261</v>
      </c>
      <c r="C319" t="str">
        <f>VLOOKUP($B319,Totalt!$B$1:$BU$497,MATCH("Kvalitetsgranskad:",Totalt!$B$1:$BU$1,0),FALSE)</f>
        <v>Ja</v>
      </c>
      <c r="E319" t="str">
        <f>VLOOKUP($B319,Miljö!$B$1:$AG$479,MATCH(E$1,Miljö!$B$1:$AK$1,0),FALSE)</f>
        <v>Ja</v>
      </c>
      <c r="F319" t="str">
        <f>VLOOKUP($B319,Miljö!$B$1:$J$479,MATCH("Typ av ursprungsspecificerad el   (Om inget värde anges används Nordisk residualmix, se inforuta) ()",Miljö!$B$1:$J$1,0),FALSE)</f>
        <v>'sol. vind. vatten. bio'</v>
      </c>
      <c r="G319">
        <f>VLOOKUP($B319,Miljö!$B$1:$J$479,MATCH("Primärenergifaktor ()",Miljö!$B$1:$J$1,0),FALSE)</f>
        <v>1.143</v>
      </c>
      <c r="H319">
        <f>VLOOKUP($B319,Miljö!$B$1:$J$479,MATCH("Koldioxidekvivalenter energiomvandling (g/kwh)",Miljö!$B$1:$J$1,0),FALSE)</f>
        <v>13.46</v>
      </c>
      <c r="I319">
        <f>VLOOKUP($B319,Miljö!$B$1:$J$479,MATCH("Fossilandel för ursprungspecificerad el ()",Miljö!$B$1:$J$1,0),FALSE)</f>
        <v>0</v>
      </c>
      <c r="J319">
        <f>VLOOKUP($B319,Miljö!$B$1:$J$479,MATCH("Kärnkraftsandel för ursprungsspecificerad el ()",Miljö!$B$1:$J$1,0),FALSE)</f>
        <v>0</v>
      </c>
      <c r="L319">
        <f>VLOOKUP($B319,Totalt!$B$1:$BU$497,MATCH("total el",Totalt!$B$1:$BU$1,0),FALSE)</f>
        <v>0.16600000000000001</v>
      </c>
      <c r="N319">
        <f t="shared" si="16"/>
        <v>0.18973800000000002</v>
      </c>
      <c r="O319">
        <f t="shared" si="17"/>
        <v>2.2343600000000001</v>
      </c>
      <c r="P319">
        <f t="shared" si="18"/>
        <v>0</v>
      </c>
      <c r="Q319">
        <f t="shared" si="19"/>
        <v>0</v>
      </c>
    </row>
    <row r="320" spans="1:17" x14ac:dyDescent="0.45">
      <c r="A320" s="31" t="s">
        <v>258</v>
      </c>
      <c r="B320" s="31" t="s">
        <v>260</v>
      </c>
      <c r="C320" t="str">
        <f>VLOOKUP($B320,Totalt!$B$1:$BU$497,MATCH("Kvalitetsgranskad:",Totalt!$B$1:$BU$1,0),FALSE)</f>
        <v>Ja</v>
      </c>
      <c r="E320" t="str">
        <f>VLOOKUP($B320,Miljö!$B$1:$AG$479,MATCH(E$1,Miljö!$B$1:$AK$1,0),FALSE)</f>
        <v>Ja</v>
      </c>
      <c r="F320" t="str">
        <f>VLOOKUP($B320,Miljö!$B$1:$J$479,MATCH("Typ av ursprungsspecificerad el   (Om inget värde anges används Nordisk residualmix, se inforuta) ()",Miljö!$B$1:$J$1,0),FALSE)</f>
        <v>'sol. vind. vatten. bio'</v>
      </c>
      <c r="G320">
        <f>VLOOKUP($B320,Miljö!$B$1:$J$479,MATCH("Primärenergifaktor ()",Miljö!$B$1:$J$1,0),FALSE)</f>
        <v>1.143</v>
      </c>
      <c r="H320">
        <f>VLOOKUP($B320,Miljö!$B$1:$J$479,MATCH("Koldioxidekvivalenter energiomvandling (g/kwh)",Miljö!$B$1:$J$1,0),FALSE)</f>
        <v>13.46</v>
      </c>
      <c r="I320">
        <f>VLOOKUP($B320,Miljö!$B$1:$J$479,MATCH("Fossilandel för ursprungspecificerad el ()",Miljö!$B$1:$J$1,0),FALSE)</f>
        <v>0</v>
      </c>
      <c r="J320">
        <f>VLOOKUP($B320,Miljö!$B$1:$J$479,MATCH("Kärnkraftsandel för ursprungsspecificerad el ()",Miljö!$B$1:$J$1,0),FALSE)</f>
        <v>0</v>
      </c>
      <c r="L320">
        <f>VLOOKUP($B320,Totalt!$B$1:$BU$497,MATCH("total el",Totalt!$B$1:$BU$1,0),FALSE)</f>
        <v>0.17</v>
      </c>
      <c r="N320">
        <f t="shared" si="16"/>
        <v>0.19431000000000001</v>
      </c>
      <c r="O320">
        <f t="shared" si="17"/>
        <v>2.2882000000000002</v>
      </c>
      <c r="P320">
        <f t="shared" si="18"/>
        <v>0</v>
      </c>
      <c r="Q320">
        <f t="shared" si="19"/>
        <v>0</v>
      </c>
    </row>
    <row r="321" spans="1:17" x14ac:dyDescent="0.45">
      <c r="A321" s="31" t="s">
        <v>258</v>
      </c>
      <c r="B321" s="31" t="s">
        <v>259</v>
      </c>
      <c r="C321" t="str">
        <f>VLOOKUP($B321,Totalt!$B$1:$BU$497,MATCH("Kvalitetsgranskad:",Totalt!$B$1:$BU$1,0),FALSE)</f>
        <v>Ja</v>
      </c>
      <c r="E321" t="str">
        <f>VLOOKUP($B321,Miljö!$B$1:$AG$479,MATCH(E$1,Miljö!$B$1:$AK$1,0),FALSE)</f>
        <v>Ja</v>
      </c>
      <c r="F321" t="str">
        <f>VLOOKUP($B321,Miljö!$B$1:$J$479,MATCH("Typ av ursprungsspecificerad el   (Om inget värde anges används Nordisk residualmix, se inforuta) ()",Miljö!$B$1:$J$1,0),FALSE)</f>
        <v>'sol. vind. vatten. bio'</v>
      </c>
      <c r="G321">
        <f>VLOOKUP($B321,Miljö!$B$1:$J$479,MATCH("Primärenergifaktor ()",Miljö!$B$1:$J$1,0),FALSE)</f>
        <v>1.143</v>
      </c>
      <c r="H321">
        <f>VLOOKUP($B321,Miljö!$B$1:$J$479,MATCH("Koldioxidekvivalenter energiomvandling (g/kwh)",Miljö!$B$1:$J$1,0),FALSE)</f>
        <v>13.46</v>
      </c>
      <c r="I321">
        <f>VLOOKUP($B321,Miljö!$B$1:$J$479,MATCH("Fossilandel för ursprungspecificerad el ()",Miljö!$B$1:$J$1,0),FALSE)</f>
        <v>0</v>
      </c>
      <c r="J321">
        <f>VLOOKUP($B321,Miljö!$B$1:$J$479,MATCH("Kärnkraftsandel för ursprungsspecificerad el ()",Miljö!$B$1:$J$1,0),FALSE)</f>
        <v>0</v>
      </c>
      <c r="L321">
        <f>VLOOKUP($B321,Totalt!$B$1:$BU$497,MATCH("total el",Totalt!$B$1:$BU$1,0),FALSE)</f>
        <v>3.1E-2</v>
      </c>
      <c r="N321">
        <f t="shared" si="16"/>
        <v>3.5432999999999999E-2</v>
      </c>
      <c r="O321">
        <f t="shared" si="17"/>
        <v>0.41726000000000002</v>
      </c>
      <c r="P321">
        <f t="shared" si="18"/>
        <v>0</v>
      </c>
      <c r="Q321">
        <f t="shared" si="19"/>
        <v>0</v>
      </c>
    </row>
    <row r="322" spans="1:17" x14ac:dyDescent="0.45">
      <c r="A322" s="31" t="s">
        <v>258</v>
      </c>
      <c r="B322" s="31" t="s">
        <v>257</v>
      </c>
      <c r="C322" t="str">
        <f>VLOOKUP($B322,Totalt!$B$1:$BU$497,MATCH("Kvalitetsgranskad:",Totalt!$B$1:$BU$1,0),FALSE)</f>
        <v>Ja</v>
      </c>
      <c r="E322" t="str">
        <f>VLOOKUP($B322,Miljö!$B$1:$AG$479,MATCH(E$1,Miljö!$B$1:$AK$1,0),FALSE)</f>
        <v>Ja</v>
      </c>
      <c r="F322" t="str">
        <f>VLOOKUP($B322,Miljö!$B$1:$J$479,MATCH("Typ av ursprungsspecificerad el   (Om inget värde anges används Nordisk residualmix, se inforuta) ()",Miljö!$B$1:$J$1,0),FALSE)</f>
        <v>'sol. vind. vatten. bio'</v>
      </c>
      <c r="G322">
        <f>VLOOKUP($B322,Miljö!$B$1:$J$479,MATCH("Primärenergifaktor ()",Miljö!$B$1:$J$1,0),FALSE)</f>
        <v>1.143</v>
      </c>
      <c r="H322">
        <f>VLOOKUP($B322,Miljö!$B$1:$J$479,MATCH("Koldioxidekvivalenter energiomvandling (g/kwh)",Miljö!$B$1:$J$1,0),FALSE)</f>
        <v>13.46</v>
      </c>
      <c r="I322">
        <f>VLOOKUP($B322,Miljö!$B$1:$J$479,MATCH("Fossilandel för ursprungspecificerad el ()",Miljö!$B$1:$J$1,0),FALSE)</f>
        <v>0</v>
      </c>
      <c r="J322">
        <f>VLOOKUP($B322,Miljö!$B$1:$J$479,MATCH("Kärnkraftsandel för ursprungsspecificerad el ()",Miljö!$B$1:$J$1,0),FALSE)</f>
        <v>0</v>
      </c>
      <c r="L322">
        <f>VLOOKUP($B322,Totalt!$B$1:$BU$497,MATCH("total el",Totalt!$B$1:$BU$1,0),FALSE)</f>
        <v>52.847999999999999</v>
      </c>
      <c r="N322">
        <f t="shared" si="16"/>
        <v>60.405264000000003</v>
      </c>
      <c r="O322">
        <f t="shared" si="17"/>
        <v>711.33408000000009</v>
      </c>
      <c r="P322">
        <f t="shared" si="18"/>
        <v>0</v>
      </c>
      <c r="Q322">
        <f t="shared" si="19"/>
        <v>0</v>
      </c>
    </row>
    <row r="323" spans="1:17" x14ac:dyDescent="0.45">
      <c r="A323" s="31" t="s">
        <v>255</v>
      </c>
      <c r="B323" s="31" t="s">
        <v>256</v>
      </c>
      <c r="C323" t="str">
        <f>VLOOKUP($B323,Totalt!$B$1:$BU$497,MATCH("Kvalitetsgranskad:",Totalt!$B$1:$BU$1,0),FALSE)</f>
        <v>Ja</v>
      </c>
      <c r="E323" t="str">
        <f>VLOOKUP($B323,Miljö!$B$1:$AG$479,MATCH(E$1,Miljö!$B$1:$AK$1,0),FALSE)</f>
        <v>Ja</v>
      </c>
      <c r="F323" t="str">
        <f>VLOOKUP($B323,Miljö!$B$1:$J$479,MATCH("Typ av ursprungsspecificerad el   (Om inget värde anges används Nordisk residualmix, se inforuta) ()",Miljö!$B$1:$J$1,0),FALSE)</f>
        <v>'vatten'</v>
      </c>
      <c r="G323">
        <f>VLOOKUP($B323,Miljö!$B$1:$J$479,MATCH("Primärenergifaktor ()",Miljö!$B$1:$J$1,0),FALSE)</f>
        <v>1.1000000000000001</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VLOOKUP($B323,Totalt!$B$1:$BU$497,MATCH("total el",Totalt!$B$1:$BU$1,0),FALSE)</f>
        <v>0.57599999999999996</v>
      </c>
      <c r="N323">
        <f t="shared" ref="N323:N386" si="20">IF(ISERROR($L323*G323),"",$L323*G323)</f>
        <v>0.63360000000000005</v>
      </c>
      <c r="O323">
        <f t="shared" ref="O323:O386" si="21">IF(ISERROR($L323*H323),"",$L323*H323)</f>
        <v>0</v>
      </c>
      <c r="P323">
        <f t="shared" ref="P323:P386" si="22">IF(ISERROR($L323*I323),"",$L323*I323)</f>
        <v>0</v>
      </c>
      <c r="Q323">
        <f t="shared" ref="Q323:Q386" si="23">IF(ISERROR($L323*J323),"",$L323*J323)</f>
        <v>0</v>
      </c>
    </row>
    <row r="324" spans="1:17" x14ac:dyDescent="0.45">
      <c r="A324" s="31" t="s">
        <v>255</v>
      </c>
      <c r="B324" s="31" t="s">
        <v>254</v>
      </c>
      <c r="C324" t="str">
        <f>VLOOKUP($B324,Totalt!$B$1:$BU$497,MATCH("Kvalitetsgranskad:",Totalt!$B$1:$BU$1,0),FALSE)</f>
        <v>Ja</v>
      </c>
      <c r="E324" t="str">
        <f>VLOOKUP($B324,Miljö!$B$1:$AG$479,MATCH(E$1,Miljö!$B$1:$AK$1,0),FALSE)</f>
        <v>Ja</v>
      </c>
      <c r="F324" t="str">
        <f>VLOOKUP($B324,Miljö!$B$1:$J$479,MATCH("Typ av ursprungsspecificerad el   (Om inget värde anges används Nordisk residualmix, se inforuta) ()",Miljö!$B$1:$J$1,0),FALSE)</f>
        <v>'vatten'</v>
      </c>
      <c r="G324">
        <f>VLOOKUP($B324,Miljö!$B$1:$J$479,MATCH("Primärenergifaktor ()",Miljö!$B$1:$J$1,0),FALSE)</f>
        <v>1.1000000000000001</v>
      </c>
      <c r="H324">
        <f>VLOOKUP($B324,Miljö!$B$1:$J$479,MATCH("Koldioxidekvivalenter energiomvandling (g/kwh)",Miljö!$B$1:$J$1,0),FALSE)</f>
        <v>0</v>
      </c>
      <c r="I324">
        <f>VLOOKUP($B324,Miljö!$B$1:$J$479,MATCH("Fossilandel för ursprungspecificerad el ()",Miljö!$B$1:$J$1,0),FALSE)</f>
        <v>0</v>
      </c>
      <c r="J324">
        <f>VLOOKUP($B324,Miljö!$B$1:$J$479,MATCH("Kärnkraftsandel för ursprungsspecificerad el ()",Miljö!$B$1:$J$1,0),FALSE)</f>
        <v>0</v>
      </c>
      <c r="L324">
        <f>VLOOKUP($B324,Totalt!$B$1:$BU$497,MATCH("total el",Totalt!$B$1:$BU$1,0),FALSE)</f>
        <v>0.871</v>
      </c>
      <c r="N324">
        <f t="shared" si="20"/>
        <v>0.95810000000000006</v>
      </c>
      <c r="O324">
        <f t="shared" si="21"/>
        <v>0</v>
      </c>
      <c r="P324">
        <f t="shared" si="22"/>
        <v>0</v>
      </c>
      <c r="Q324">
        <f t="shared" si="23"/>
        <v>0</v>
      </c>
    </row>
    <row r="325" spans="1:17" x14ac:dyDescent="0.45">
      <c r="A325" s="31" t="s">
        <v>253</v>
      </c>
      <c r="B325" s="31" t="s">
        <v>252</v>
      </c>
      <c r="C325" t="str">
        <f>VLOOKUP($B325,Totalt!$B$1:$BU$497,MATCH("Kvalitetsgranskad:",Totalt!$B$1:$BU$1,0),FALSE)</f>
        <v>Ja</v>
      </c>
      <c r="E325" t="str">
        <f>VLOOKUP($B325,Miljö!$B$1:$AG$479,MATCH(E$1,Miljö!$B$1:$AK$1,0),FALSE)</f>
        <v>Ja</v>
      </c>
      <c r="F325" t="str">
        <f>VLOOKUP($B325,Miljö!$B$1:$J$479,MATCH("Typ av ursprungsspecificerad el   (Om inget värde anges används Nordisk residualmix, se inforuta) ()",Miljö!$B$1:$J$1,0),FALSE)</f>
        <v>'Vind'</v>
      </c>
      <c r="G325">
        <f>VLOOKUP($B325,Miljö!$B$1:$J$479,MATCH("Primärenergifaktor ()",Miljö!$B$1:$J$1,0),FALSE)</f>
        <v>0</v>
      </c>
      <c r="H325">
        <f>VLOOKUP($B325,Miljö!$B$1:$J$479,MATCH("Koldioxidekvivalenter energiomvandling (g/kwh)",Miljö!$B$1:$J$1,0),FALSE)</f>
        <v>0</v>
      </c>
      <c r="I325">
        <f>VLOOKUP($B325,Miljö!$B$1:$J$479,MATCH("Fossilandel för ursprungspecificerad el ()",Miljö!$B$1:$J$1,0),FALSE)</f>
        <v>0</v>
      </c>
      <c r="J325">
        <f>VLOOKUP($B325,Miljö!$B$1:$J$479,MATCH("Kärnkraftsandel för ursprungsspecificerad el ()",Miljö!$B$1:$J$1,0),FALSE)</f>
        <v>0</v>
      </c>
      <c r="L325">
        <f>VLOOKUP($B325,Totalt!$B$1:$BU$497,MATCH("total el",Totalt!$B$1:$BU$1,0),FALSE)</f>
        <v>0.53600000000000003</v>
      </c>
      <c r="N325">
        <f t="shared" si="20"/>
        <v>0</v>
      </c>
      <c r="O325">
        <f t="shared" si="21"/>
        <v>0</v>
      </c>
      <c r="P325">
        <f t="shared" si="22"/>
        <v>0</v>
      </c>
      <c r="Q325">
        <f t="shared" si="23"/>
        <v>0</v>
      </c>
    </row>
    <row r="326" spans="1:17" x14ac:dyDescent="0.45">
      <c r="A326" s="31" t="s">
        <v>249</v>
      </c>
      <c r="B326" s="31" t="s">
        <v>251</v>
      </c>
      <c r="C326" t="str">
        <f>VLOOKUP($B326,Totalt!$B$1:$BU$497,MATCH("Kvalitetsgranskad:",Totalt!$B$1:$BU$1,0),FALSE)</f>
        <v>Ja</v>
      </c>
      <c r="E326" t="str">
        <f>VLOOKUP($B326,Miljö!$B$1:$AG$479,MATCH(E$1,Miljö!$B$1:$AK$1,0),FALSE)</f>
        <v>Ja</v>
      </c>
      <c r="F326" t="str">
        <f>VLOOKUP($B326,Miljö!$B$1:$J$479,MATCH("Typ av ursprungsspecificerad el   (Om inget värde anges används Nordisk residualmix, se inforuta) ()",Miljö!$B$1:$J$1,0),FALSE)</f>
        <v>'Sol 0.3%. vind 51.1%. Vatten 48.6%'</v>
      </c>
      <c r="G326">
        <f>VLOOKUP($B326,Miljö!$B$1:$J$479,MATCH("Primärenergifaktor ()",Miljö!$B$1:$J$1,0),FALSE)</f>
        <v>0.59</v>
      </c>
      <c r="H326">
        <f>VLOOKUP($B326,Miljö!$B$1:$J$479,MATCH("Koldioxidekvivalenter energiomvandling (g/kwh)",Miljö!$B$1:$J$1,0),FALSE)</f>
        <v>0</v>
      </c>
      <c r="I326">
        <f>VLOOKUP($B326,Miljö!$B$1:$J$479,MATCH("Fossilandel för ursprungspecificerad el ()",Miljö!$B$1:$J$1,0),FALSE)</f>
        <v>0</v>
      </c>
      <c r="J326">
        <f>VLOOKUP($B326,Miljö!$B$1:$J$479,MATCH("Kärnkraftsandel för ursprungsspecificerad el ()",Miljö!$B$1:$J$1,0),FALSE)</f>
        <v>0</v>
      </c>
      <c r="L326">
        <f>VLOOKUP($B326,Totalt!$B$1:$BU$497,MATCH("total el",Totalt!$B$1:$BU$1,0),FALSE)</f>
        <v>0.35</v>
      </c>
      <c r="N326">
        <f t="shared" si="20"/>
        <v>0.20649999999999999</v>
      </c>
      <c r="O326">
        <f t="shared" si="21"/>
        <v>0</v>
      </c>
      <c r="P326">
        <f t="shared" si="22"/>
        <v>0</v>
      </c>
      <c r="Q326">
        <f t="shared" si="23"/>
        <v>0</v>
      </c>
    </row>
    <row r="327" spans="1:17" x14ac:dyDescent="0.45">
      <c r="A327" s="31" t="s">
        <v>249</v>
      </c>
      <c r="B327" s="31" t="s">
        <v>250</v>
      </c>
      <c r="C327" t="str">
        <f>VLOOKUP($B327,Totalt!$B$1:$BU$497,MATCH("Kvalitetsgranskad:",Totalt!$B$1:$BU$1,0),FALSE)</f>
        <v>Ja</v>
      </c>
      <c r="E327" t="str">
        <f>VLOOKUP($B327,Miljö!$B$1:$AG$479,MATCH(E$1,Miljö!$B$1:$AK$1,0),FALSE)</f>
        <v>Ja</v>
      </c>
      <c r="F327" t="str">
        <f>VLOOKUP($B327,Miljö!$B$1:$J$479,MATCH("Typ av ursprungsspecificerad el   (Om inget värde anges används Nordisk residualmix, se inforuta) ()",Miljö!$B$1:$J$1,0),FALSE)</f>
        <v>'Sol 0.3%. Vind 51.1%. Vatten 48.6%'</v>
      </c>
      <c r="G327">
        <f>VLOOKUP($B327,Miljö!$B$1:$J$479,MATCH("Primärenergifaktor ()",Miljö!$B$1:$J$1,0),FALSE)</f>
        <v>0.59</v>
      </c>
      <c r="H327">
        <f>VLOOKUP($B327,Miljö!$B$1:$J$479,MATCH("Koldioxidekvivalenter energiomvandling (g/kwh)",Miljö!$B$1:$J$1,0),FALSE)</f>
        <v>0</v>
      </c>
      <c r="I327">
        <f>VLOOKUP($B327,Miljö!$B$1:$J$479,MATCH("Fossilandel för ursprungspecificerad el ()",Miljö!$B$1:$J$1,0),FALSE)</f>
        <v>0</v>
      </c>
      <c r="J327">
        <f>VLOOKUP($B327,Miljö!$B$1:$J$479,MATCH("Kärnkraftsandel för ursprungsspecificerad el ()",Miljö!$B$1:$J$1,0),FALSE)</f>
        <v>0</v>
      </c>
      <c r="L327">
        <f>VLOOKUP($B327,Totalt!$B$1:$BU$497,MATCH("total el",Totalt!$B$1:$BU$1,0),FALSE)</f>
        <v>2.1429999999999998</v>
      </c>
      <c r="N327">
        <f t="shared" si="20"/>
        <v>1.2643699999999998</v>
      </c>
      <c r="O327">
        <f t="shared" si="21"/>
        <v>0</v>
      </c>
      <c r="P327">
        <f t="shared" si="22"/>
        <v>0</v>
      </c>
      <c r="Q327">
        <f t="shared" si="23"/>
        <v>0</v>
      </c>
    </row>
    <row r="328" spans="1:17" x14ac:dyDescent="0.45">
      <c r="A328" s="31" t="s">
        <v>249</v>
      </c>
      <c r="B328" s="31" t="s">
        <v>248</v>
      </c>
      <c r="C328" t="str">
        <f>VLOOKUP($B328,Totalt!$B$1:$BU$497,MATCH("Kvalitetsgranskad:",Totalt!$B$1:$BU$1,0),FALSE)</f>
        <v>Ja</v>
      </c>
      <c r="E328" t="str">
        <f>VLOOKUP($B328,Miljö!$B$1:$AG$479,MATCH(E$1,Miljö!$B$1:$AK$1,0),FALSE)</f>
        <v>Ja</v>
      </c>
      <c r="F328" t="str">
        <f>VLOOKUP($B328,Miljö!$B$1:$J$479,MATCH("Typ av ursprungsspecificerad el   (Om inget värde anges används Nordisk residualmix, se inforuta) ()",Miljö!$B$1:$J$1,0),FALSE)</f>
        <v>'Sol 0.3%. Vind 51.1%. Vatten 48.6%'</v>
      </c>
      <c r="G328">
        <f>VLOOKUP($B328,Miljö!$B$1:$J$479,MATCH("Primärenergifaktor ()",Miljö!$B$1:$J$1,0),FALSE)</f>
        <v>0.59</v>
      </c>
      <c r="H328">
        <f>VLOOKUP($B328,Miljö!$B$1:$J$479,MATCH("Koldioxidekvivalenter energiomvandling (g/kwh)",Miljö!$B$1:$J$1,0),FALSE)</f>
        <v>0</v>
      </c>
      <c r="I328">
        <f>VLOOKUP($B328,Miljö!$B$1:$J$479,MATCH("Fossilandel för ursprungspecificerad el ()",Miljö!$B$1:$J$1,0),FALSE)</f>
        <v>0</v>
      </c>
      <c r="J328">
        <f>VLOOKUP($B328,Miljö!$B$1:$J$479,MATCH("Kärnkraftsandel för ursprungsspecificerad el ()",Miljö!$B$1:$J$1,0),FALSE)</f>
        <v>0</v>
      </c>
      <c r="L328">
        <f>VLOOKUP($B328,Totalt!$B$1:$BU$497,MATCH("total el",Totalt!$B$1:$BU$1,0),FALSE)</f>
        <v>0.11541</v>
      </c>
      <c r="N328">
        <f t="shared" si="20"/>
        <v>6.8091899999999997E-2</v>
      </c>
      <c r="O328">
        <f t="shared" si="21"/>
        <v>0</v>
      </c>
      <c r="P328">
        <f t="shared" si="22"/>
        <v>0</v>
      </c>
      <c r="Q328">
        <f t="shared" si="23"/>
        <v>0</v>
      </c>
    </row>
    <row r="329" spans="1:17" x14ac:dyDescent="0.45">
      <c r="A329" s="31" t="s">
        <v>243</v>
      </c>
      <c r="B329" s="31" t="s">
        <v>244</v>
      </c>
      <c r="C329" t="str">
        <f>VLOOKUP($B329,Totalt!$B$1:$BU$497,MATCH("Kvalitetsgranskad:",Totalt!$B$1:$BU$1,0),FALSE)</f>
        <v>Ja</v>
      </c>
      <c r="E329" t="str">
        <f>VLOOKUP($B329,Miljö!$B$1:$AG$479,MATCH(E$1,Miljö!$B$1:$AK$1,0),FALSE)</f>
        <v>Ja</v>
      </c>
      <c r="F329" t="str">
        <f>VLOOKUP($B329,Miljö!$B$1:$J$479,MATCH("Typ av ursprungsspecificerad el   (Om inget värde anges används Nordisk residualmix, se inforuta) ()",Miljö!$B$1:$J$1,0),FALSE)</f>
        <v>-</v>
      </c>
      <c r="G329">
        <f>VLOOKUP($B329,Miljö!$B$1:$J$479,MATCH("Primärenergifaktor ()",Miljö!$B$1:$J$1,0),FALSE)</f>
        <v>2.2000000000000002</v>
      </c>
      <c r="H329">
        <f>VLOOKUP($B329,Miljö!$B$1:$J$479,MATCH("Koldioxidekvivalenter energiomvandling (g/kwh)",Miljö!$B$1:$J$1,0),FALSE)</f>
        <v>250.8</v>
      </c>
      <c r="I329">
        <f>VLOOKUP($B329,Miljö!$B$1:$J$479,MATCH("Fossilandel för ursprungspecificerad el ()",Miljö!$B$1:$J$1,0),FALSE)</f>
        <v>0.35</v>
      </c>
      <c r="J329">
        <f>VLOOKUP($B329,Miljö!$B$1:$J$479,MATCH("Kärnkraftsandel för ursprungsspecificerad el ()",Miljö!$B$1:$J$1,0),FALSE)</f>
        <v>0.3977</v>
      </c>
      <c r="L329">
        <f>VLOOKUP($B329,Totalt!$B$1:$BU$497,MATCH("total el",Totalt!$B$1:$BU$1,0),FALSE)</f>
        <v>4.5999999999999999E-2</v>
      </c>
      <c r="N329">
        <f t="shared" si="20"/>
        <v>0.10120000000000001</v>
      </c>
      <c r="O329">
        <f t="shared" si="21"/>
        <v>11.536799999999999</v>
      </c>
      <c r="P329">
        <f t="shared" si="22"/>
        <v>1.61E-2</v>
      </c>
      <c r="Q329">
        <f t="shared" si="23"/>
        <v>1.82942E-2</v>
      </c>
    </row>
    <row r="330" spans="1:17" x14ac:dyDescent="0.45">
      <c r="A330" s="31" t="s">
        <v>243</v>
      </c>
      <c r="B330" s="31" t="s">
        <v>133</v>
      </c>
      <c r="C330" t="str">
        <f>VLOOKUP($B330,Totalt!$B$1:$BU$497,MATCH("Kvalitetsgranskad:",Totalt!$B$1:$BU$1,0),FALSE)</f>
        <v>Ja</v>
      </c>
      <c r="E330" t="str">
        <f>VLOOKUP($B330,Miljö!$B$1:$AG$479,MATCH(E$1,Miljö!$B$1:$AK$1,0),FALSE)</f>
        <v>Ja</v>
      </c>
      <c r="F330" t="str">
        <f>VLOOKUP($B330,Miljö!$B$1:$J$479,MATCH("Typ av ursprungsspecificerad el   (Om inget värde anges används Nordisk residualmix, se inforuta) ()",Miljö!$B$1:$J$1,0),FALSE)</f>
        <v>-</v>
      </c>
      <c r="G330">
        <f>VLOOKUP($B330,Miljö!$B$1:$J$479,MATCH("Primärenergifaktor ()",Miljö!$B$1:$J$1,0),FALSE)</f>
        <v>2.2000000000000002</v>
      </c>
      <c r="H330">
        <f>VLOOKUP($B330,Miljö!$B$1:$J$479,MATCH("Koldioxidekvivalenter energiomvandling (g/kwh)",Miljö!$B$1:$J$1,0),FALSE)</f>
        <v>250.8</v>
      </c>
      <c r="I330">
        <f>VLOOKUP($B330,Miljö!$B$1:$J$479,MATCH("Fossilandel för ursprungspecificerad el ()",Miljö!$B$1:$J$1,0),FALSE)</f>
        <v>0.35</v>
      </c>
      <c r="J330">
        <f>VLOOKUP($B330,Miljö!$B$1:$J$479,MATCH("Kärnkraftsandel för ursprungsspecificerad el ()",Miljö!$B$1:$J$1,0),FALSE)</f>
        <v>0.3977</v>
      </c>
      <c r="L330">
        <f>VLOOKUP($B330,Totalt!$B$1:$BU$497,MATCH("total el",Totalt!$B$1:$BU$1,0),FALSE)</f>
        <v>0.32800000000000001</v>
      </c>
      <c r="N330">
        <f t="shared" si="20"/>
        <v>0.72160000000000013</v>
      </c>
      <c r="O330">
        <f t="shared" si="21"/>
        <v>82.262400000000014</v>
      </c>
      <c r="P330">
        <f t="shared" si="22"/>
        <v>0.1148</v>
      </c>
      <c r="Q330">
        <f t="shared" si="23"/>
        <v>0.13044559999999999</v>
      </c>
    </row>
    <row r="331" spans="1:17" x14ac:dyDescent="0.45">
      <c r="A331" s="31" t="s">
        <v>243</v>
      </c>
      <c r="B331" s="31" t="s">
        <v>245</v>
      </c>
      <c r="C331" t="str">
        <f>VLOOKUP($B331,Totalt!$B$1:$BU$497,MATCH("Kvalitetsgranskad:",Totalt!$B$1:$BU$1,0),FALSE)</f>
        <v>Ja</v>
      </c>
      <c r="E331" t="str">
        <f>VLOOKUP($B331,Miljö!$B$1:$AG$479,MATCH(E$1,Miljö!$B$1:$AK$1,0),FALSE)</f>
        <v>Ja</v>
      </c>
      <c r="F331" t="str">
        <f>VLOOKUP($B331,Miljö!$B$1:$J$479,MATCH("Typ av ursprungsspecificerad el   (Om inget värde anges används Nordisk residualmix, se inforuta) ()",Miljö!$B$1:$J$1,0),FALSE)</f>
        <v>-</v>
      </c>
      <c r="G331">
        <f>VLOOKUP($B331,Miljö!$B$1:$J$479,MATCH("Primärenergifaktor ()",Miljö!$B$1:$J$1,0),FALSE)</f>
        <v>2.2000000000000002</v>
      </c>
      <c r="H331">
        <f>VLOOKUP($B331,Miljö!$B$1:$J$479,MATCH("Koldioxidekvivalenter energiomvandling (g/kwh)",Miljö!$B$1:$J$1,0),FALSE)</f>
        <v>250.8</v>
      </c>
      <c r="I331">
        <f>VLOOKUP($B331,Miljö!$B$1:$J$479,MATCH("Fossilandel för ursprungspecificerad el ()",Miljö!$B$1:$J$1,0),FALSE)</f>
        <v>0.35</v>
      </c>
      <c r="J331">
        <f>VLOOKUP($B331,Miljö!$B$1:$J$479,MATCH("Kärnkraftsandel för ursprungsspecificerad el ()",Miljö!$B$1:$J$1,0),FALSE)</f>
        <v>0.3977</v>
      </c>
      <c r="L331">
        <f>VLOOKUP($B331,Totalt!$B$1:$BU$497,MATCH("total el",Totalt!$B$1:$BU$1,0),FALSE)</f>
        <v>3.3969999999999998</v>
      </c>
      <c r="N331">
        <f t="shared" si="20"/>
        <v>7.4733999999999998</v>
      </c>
      <c r="O331">
        <f t="shared" si="21"/>
        <v>851.96759999999995</v>
      </c>
      <c r="P331">
        <f t="shared" si="22"/>
        <v>1.18895</v>
      </c>
      <c r="Q331">
        <f t="shared" si="23"/>
        <v>1.3509868999999999</v>
      </c>
    </row>
    <row r="332" spans="1:17" x14ac:dyDescent="0.45">
      <c r="A332" s="31" t="s">
        <v>243</v>
      </c>
      <c r="B332" s="31" t="s">
        <v>247</v>
      </c>
      <c r="C332" t="str">
        <f>VLOOKUP($B332,Totalt!$B$1:$BU$497,MATCH("Kvalitetsgranskad:",Totalt!$B$1:$BU$1,0),FALSE)</f>
        <v>Ja</v>
      </c>
      <c r="E332" t="str">
        <f>VLOOKUP($B332,Miljö!$B$1:$AG$479,MATCH(E$1,Miljö!$B$1:$AK$1,0),FALSE)</f>
        <v>Ja</v>
      </c>
      <c r="F332" t="str">
        <f>VLOOKUP($B332,Miljö!$B$1:$J$479,MATCH("Typ av ursprungsspecificerad el   (Om inget värde anges används Nordisk residualmix, se inforuta) ()",Miljö!$B$1:$J$1,0),FALSE)</f>
        <v>-</v>
      </c>
      <c r="G332">
        <f>VLOOKUP($B332,Miljö!$B$1:$J$479,MATCH("Primärenergifaktor ()",Miljö!$B$1:$J$1,0),FALSE)</f>
        <v>2.2000000000000002</v>
      </c>
      <c r="H332">
        <f>VLOOKUP($B332,Miljö!$B$1:$J$479,MATCH("Koldioxidekvivalenter energiomvandling (g/kwh)",Miljö!$B$1:$J$1,0),FALSE)</f>
        <v>250.8</v>
      </c>
      <c r="I332">
        <f>VLOOKUP($B332,Miljö!$B$1:$J$479,MATCH("Fossilandel för ursprungspecificerad el ()",Miljö!$B$1:$J$1,0),FALSE)</f>
        <v>0.35</v>
      </c>
      <c r="J332">
        <f>VLOOKUP($B332,Miljö!$B$1:$J$479,MATCH("Kärnkraftsandel för ursprungsspecificerad el ()",Miljö!$B$1:$J$1,0),FALSE)</f>
        <v>0.3977</v>
      </c>
      <c r="L332">
        <f>VLOOKUP($B332,Totalt!$B$1:$BU$497,MATCH("total el",Totalt!$B$1:$BU$1,0),FALSE)</f>
        <v>0.47399999999999998</v>
      </c>
      <c r="N332">
        <f t="shared" si="20"/>
        <v>1.0427999999999999</v>
      </c>
      <c r="O332">
        <f t="shared" si="21"/>
        <v>118.8792</v>
      </c>
      <c r="P332">
        <f t="shared" si="22"/>
        <v>0.16589999999999999</v>
      </c>
      <c r="Q332">
        <f t="shared" si="23"/>
        <v>0.18850979999999998</v>
      </c>
    </row>
    <row r="333" spans="1:17" x14ac:dyDescent="0.45">
      <c r="A333" s="31" t="s">
        <v>243</v>
      </c>
      <c r="B333" s="31" t="s">
        <v>246</v>
      </c>
      <c r="C333" t="str">
        <f>VLOOKUP($B333,Totalt!$B$1:$BU$497,MATCH("Kvalitetsgranskad:",Totalt!$B$1:$BU$1,0),FALSE)</f>
        <v>Ja</v>
      </c>
      <c r="E333" t="str">
        <f>VLOOKUP($B333,Miljö!$B$1:$AG$479,MATCH(E$1,Miljö!$B$1:$AK$1,0),FALSE)</f>
        <v>Ja</v>
      </c>
      <c r="F333" t="str">
        <f>VLOOKUP($B333,Miljö!$B$1:$J$479,MATCH("Typ av ursprungsspecificerad el   (Om inget värde anges används Nordisk residualmix, se inforuta) ()",Miljö!$B$1:$J$1,0),FALSE)</f>
        <v>-</v>
      </c>
      <c r="G333">
        <f>VLOOKUP($B333,Miljö!$B$1:$J$479,MATCH("Primärenergifaktor ()",Miljö!$B$1:$J$1,0),FALSE)</f>
        <v>2.2000000000000002</v>
      </c>
      <c r="H333">
        <f>VLOOKUP($B333,Miljö!$B$1:$J$479,MATCH("Koldioxidekvivalenter energiomvandling (g/kwh)",Miljö!$B$1:$J$1,0),FALSE)</f>
        <v>250.8</v>
      </c>
      <c r="I333">
        <f>VLOOKUP($B333,Miljö!$B$1:$J$479,MATCH("Fossilandel för ursprungspecificerad el ()",Miljö!$B$1:$J$1,0),FALSE)</f>
        <v>0.35</v>
      </c>
      <c r="J333">
        <f>VLOOKUP($B333,Miljö!$B$1:$J$479,MATCH("Kärnkraftsandel för ursprungsspecificerad el ()",Miljö!$B$1:$J$1,0),FALSE)</f>
        <v>0.3977</v>
      </c>
      <c r="L333">
        <f>VLOOKUP($B333,Totalt!$B$1:$BU$497,MATCH("total el",Totalt!$B$1:$BU$1,0),FALSE)</f>
        <v>0.42799999999999999</v>
      </c>
      <c r="N333">
        <f t="shared" si="20"/>
        <v>0.9416000000000001</v>
      </c>
      <c r="O333">
        <f t="shared" si="21"/>
        <v>107.3424</v>
      </c>
      <c r="P333">
        <f t="shared" si="22"/>
        <v>0.14979999999999999</v>
      </c>
      <c r="Q333">
        <f t="shared" si="23"/>
        <v>0.17021559999999999</v>
      </c>
    </row>
    <row r="334" spans="1:17" x14ac:dyDescent="0.45">
      <c r="A334" s="31" t="s">
        <v>232</v>
      </c>
      <c r="B334" s="31" t="s">
        <v>242</v>
      </c>
      <c r="C334" t="str">
        <f>VLOOKUP($B334,Totalt!$B$1:$BU$497,MATCH("Kvalitetsgranskad:",Totalt!$B$1:$BU$1,0),FALSE)</f>
        <v>Ja</v>
      </c>
      <c r="E334" t="str">
        <f>VLOOKUP($B334,Miljö!$B$1:$AG$479,MATCH(E$1,Miljö!$B$1:$AK$1,0),FALSE)</f>
        <v>Ja</v>
      </c>
      <c r="F334" t="str">
        <f>VLOOKUP($B334,Miljö!$B$1:$J$479,MATCH("Typ av ursprungsspecificerad el   (Om inget värde anges används Nordisk residualmix, se inforuta) ()",Miljö!$B$1:$J$1,0),FALSE)</f>
        <v>'Vattenfalls elmix'</v>
      </c>
      <c r="G334">
        <f>VLOOKUP($B334,Miljö!$B$1:$J$479,MATCH("Primärenergifaktor ()",Miljö!$B$1:$J$1,0),FALSE)</f>
        <v>1.9</v>
      </c>
      <c r="H334">
        <f>VLOOKUP($B334,Miljö!$B$1:$J$479,MATCH("Koldioxidekvivalenter energiomvandling (g/kwh)",Miljö!$B$1:$J$1,0),FALSE)</f>
        <v>0.05</v>
      </c>
      <c r="I334">
        <f>VLOOKUP($B334,Miljö!$B$1:$J$479,MATCH("Fossilandel för ursprungspecificerad el ()",Miljö!$B$1:$J$1,0),FALSE)</f>
        <v>0</v>
      </c>
      <c r="J334">
        <f>VLOOKUP($B334,Miljö!$B$1:$J$479,MATCH("Kärnkraftsandel för ursprungsspecificerad el ()",Miljö!$B$1:$J$1,0),FALSE)</f>
        <v>0.59399999999999997</v>
      </c>
      <c r="L334">
        <f>VLOOKUP($B334,Totalt!$B$1:$BU$497,MATCH("total el",Totalt!$B$1:$BU$1,0),FALSE)</f>
        <v>0.65400000000000003</v>
      </c>
      <c r="N334">
        <f t="shared" si="20"/>
        <v>1.2425999999999999</v>
      </c>
      <c r="O334">
        <f t="shared" si="21"/>
        <v>3.27E-2</v>
      </c>
      <c r="P334">
        <f t="shared" si="22"/>
        <v>0</v>
      </c>
      <c r="Q334">
        <f t="shared" si="23"/>
        <v>0.38847599999999999</v>
      </c>
    </row>
    <row r="335" spans="1:17" x14ac:dyDescent="0.45">
      <c r="A335" s="31" t="s">
        <v>232</v>
      </c>
      <c r="B335" s="31" t="s">
        <v>241</v>
      </c>
      <c r="C335" t="str">
        <f>VLOOKUP($B335,Totalt!$B$1:$BU$497,MATCH("Kvalitetsgranskad:",Totalt!$B$1:$BU$1,0),FALSE)</f>
        <v>Ja</v>
      </c>
      <c r="E335" t="str">
        <f>VLOOKUP($B335,Miljö!$B$1:$AG$479,MATCH(E$1,Miljö!$B$1:$AK$1,0),FALSE)</f>
        <v>Ja</v>
      </c>
      <c r="F335" t="str">
        <f>VLOOKUP($B335,Miljö!$B$1:$J$479,MATCH("Typ av ursprungsspecificerad el   (Om inget värde anges används Nordisk residualmix, se inforuta) ()",Miljö!$B$1:$J$1,0),FALSE)</f>
        <v>'Egenproducerad el från biobränsle'</v>
      </c>
      <c r="G335">
        <f>VLOOKUP($B335,Miljö!$B$1:$J$479,MATCH("Primärenergifaktor ()",Miljö!$B$1:$J$1,0),FALSE)</f>
        <v>0.05</v>
      </c>
      <c r="H335">
        <f>VLOOKUP($B335,Miljö!$B$1:$J$479,MATCH("Koldioxidekvivalenter energiomvandling (g/kwh)",Miljö!$B$1:$J$1,0),FALSE)</f>
        <v>0</v>
      </c>
      <c r="I335">
        <f>VLOOKUP($B335,Miljö!$B$1:$J$479,MATCH("Fossilandel för ursprungspecificerad el ()",Miljö!$B$1:$J$1,0),FALSE)</f>
        <v>0</v>
      </c>
      <c r="J335">
        <f>VLOOKUP($B335,Miljö!$B$1:$J$479,MATCH("Kärnkraftsandel för ursprungsspecificerad el ()",Miljö!$B$1:$J$1,0),FALSE)</f>
        <v>0</v>
      </c>
      <c r="L335">
        <f>VLOOKUP($B335,Totalt!$B$1:$BU$497,MATCH("total el",Totalt!$B$1:$BU$1,0),FALSE)</f>
        <v>21.561499999999999</v>
      </c>
      <c r="N335">
        <f t="shared" si="20"/>
        <v>1.0780749999999999</v>
      </c>
      <c r="O335">
        <f t="shared" si="21"/>
        <v>0</v>
      </c>
      <c r="P335">
        <f t="shared" si="22"/>
        <v>0</v>
      </c>
      <c r="Q335">
        <f t="shared" si="23"/>
        <v>0</v>
      </c>
    </row>
    <row r="336" spans="1:17" x14ac:dyDescent="0.45">
      <c r="A336" s="31" t="s">
        <v>232</v>
      </c>
      <c r="B336" s="31" t="s">
        <v>240</v>
      </c>
      <c r="C336" t="str">
        <f>VLOOKUP($B336,Totalt!$B$1:$BU$497,MATCH("Kvalitetsgranskad:",Totalt!$B$1:$BU$1,0),FALSE)</f>
        <v>Ja</v>
      </c>
      <c r="E336" t="str">
        <f>VLOOKUP($B336,Miljö!$B$1:$AG$479,MATCH(E$1,Miljö!$B$1:$AK$1,0),FALSE)</f>
        <v>Ja</v>
      </c>
      <c r="F336" t="str">
        <f>VLOOKUP($B336,Miljö!$B$1:$J$479,MATCH("Typ av ursprungsspecificerad el   (Om inget värde anges används Nordisk residualmix, se inforuta) ()",Miljö!$B$1:$J$1,0),FALSE)</f>
        <v>'Vattenfalls elmix'</v>
      </c>
      <c r="G336">
        <f>VLOOKUP($B336,Miljö!$B$1:$J$479,MATCH("Primärenergifaktor ()",Miljö!$B$1:$J$1,0),FALSE)</f>
        <v>1.9</v>
      </c>
      <c r="H336">
        <f>VLOOKUP($B336,Miljö!$B$1:$J$479,MATCH("Koldioxidekvivalenter energiomvandling (g/kwh)",Miljö!$B$1:$J$1,0),FALSE)</f>
        <v>0.05</v>
      </c>
      <c r="I336">
        <f>VLOOKUP($B336,Miljö!$B$1:$J$479,MATCH("Fossilandel för ursprungspecificerad el ()",Miljö!$B$1:$J$1,0),FALSE)</f>
        <v>0</v>
      </c>
      <c r="J336">
        <f>VLOOKUP($B336,Miljö!$B$1:$J$479,MATCH("Kärnkraftsandel för ursprungsspecificerad el ()",Miljö!$B$1:$J$1,0),FALSE)</f>
        <v>0.59</v>
      </c>
      <c r="L336">
        <f>VLOOKUP($B336,Totalt!$B$1:$BU$497,MATCH("total el",Totalt!$B$1:$BU$1,0),FALSE)</f>
        <v>1.5680000000000001</v>
      </c>
      <c r="N336">
        <f t="shared" si="20"/>
        <v>2.9792000000000001</v>
      </c>
      <c r="O336">
        <f t="shared" si="21"/>
        <v>7.8400000000000011E-2</v>
      </c>
      <c r="P336">
        <f t="shared" si="22"/>
        <v>0</v>
      </c>
      <c r="Q336">
        <f t="shared" si="23"/>
        <v>0.92511999999999994</v>
      </c>
    </row>
    <row r="337" spans="1:17" x14ac:dyDescent="0.45">
      <c r="A337" s="31" t="s">
        <v>232</v>
      </c>
      <c r="B337" s="31" t="s">
        <v>239</v>
      </c>
      <c r="C337" t="str">
        <f>VLOOKUP($B337,Totalt!$B$1:$BU$497,MATCH("Kvalitetsgranskad:",Totalt!$B$1:$BU$1,0),FALSE)</f>
        <v>Ja</v>
      </c>
      <c r="E337" t="str">
        <f>VLOOKUP($B337,Miljö!$B$1:$AG$479,MATCH(E$1,Miljö!$B$1:$AK$1,0),FALSE)</f>
        <v>Ja</v>
      </c>
      <c r="F337" t="str">
        <f>VLOOKUP($B337,Miljö!$B$1:$J$479,MATCH("Typ av ursprungsspecificerad el   (Om inget värde anges används Nordisk residualmix, se inforuta) ()",Miljö!$B$1:$J$1,0),FALSE)</f>
        <v>'"vattenfall energimix"'</v>
      </c>
      <c r="G337">
        <f>VLOOKUP($B337,Miljö!$B$1:$J$479,MATCH("Primärenergifaktor ()",Miljö!$B$1:$J$1,0),FALSE)</f>
        <v>1.9</v>
      </c>
      <c r="H337">
        <f>VLOOKUP($B337,Miljö!$B$1:$J$479,MATCH("Koldioxidekvivalenter energiomvandling (g/kwh)",Miljö!$B$1:$J$1,0),FALSE)</f>
        <v>0.05</v>
      </c>
      <c r="I337">
        <f>VLOOKUP($B337,Miljö!$B$1:$J$479,MATCH("Fossilandel för ursprungspecificerad el ()",Miljö!$B$1:$J$1,0),FALSE)</f>
        <v>0</v>
      </c>
      <c r="J337">
        <f>VLOOKUP($B337,Miljö!$B$1:$J$479,MATCH("Kärnkraftsandel för ursprungsspecificerad el ()",Miljö!$B$1:$J$1,0),FALSE)</f>
        <v>0.59</v>
      </c>
      <c r="L337">
        <f>VLOOKUP($B337,Totalt!$B$1:$BU$497,MATCH("total el",Totalt!$B$1:$BU$1,0),FALSE)</f>
        <v>2</v>
      </c>
      <c r="N337">
        <f t="shared" si="20"/>
        <v>3.8</v>
      </c>
      <c r="O337">
        <f t="shared" si="21"/>
        <v>0.1</v>
      </c>
      <c r="P337">
        <f t="shared" si="22"/>
        <v>0</v>
      </c>
      <c r="Q337">
        <f t="shared" si="23"/>
        <v>1.18</v>
      </c>
    </row>
    <row r="338" spans="1:17" x14ac:dyDescent="0.45">
      <c r="A338" s="31" t="s">
        <v>232</v>
      </c>
      <c r="B338" s="31" t="s">
        <v>238</v>
      </c>
      <c r="C338" t="str">
        <f>VLOOKUP($B338,Totalt!$B$1:$BU$497,MATCH("Kvalitetsgranskad:",Totalt!$B$1:$BU$1,0),FALSE)</f>
        <v>Ja</v>
      </c>
      <c r="E338" t="str">
        <f>VLOOKUP($B338,Miljö!$B$1:$AG$479,MATCH(E$1,Miljö!$B$1:$AK$1,0),FALSE)</f>
        <v>Ja</v>
      </c>
      <c r="F338" t="str">
        <f>VLOOKUP($B338,Miljö!$B$1:$J$479,MATCH("Typ av ursprungsspecificerad el   (Om inget värde anges används Nordisk residualmix, se inforuta) ()",Miljö!$B$1:$J$1,0),FALSE)</f>
        <v>'Egenproducerad el biobränsle'</v>
      </c>
      <c r="G338">
        <f>VLOOKUP($B338,Miljö!$B$1:$J$479,MATCH("Primärenergifaktor ()",Miljö!$B$1:$J$1,0),FALSE)</f>
        <v>0.05</v>
      </c>
      <c r="H338">
        <f>VLOOKUP($B338,Miljö!$B$1:$J$479,MATCH("Koldioxidekvivalenter energiomvandling (g/kwh)",Miljö!$B$1:$J$1,0),FALSE)</f>
        <v>0</v>
      </c>
      <c r="I338">
        <f>VLOOKUP($B338,Miljö!$B$1:$J$479,MATCH("Fossilandel för ursprungspecificerad el ()",Miljö!$B$1:$J$1,0),FALSE)</f>
        <v>0</v>
      </c>
      <c r="J338">
        <f>VLOOKUP($B338,Miljö!$B$1:$J$479,MATCH("Kärnkraftsandel för ursprungsspecificerad el ()",Miljö!$B$1:$J$1,0),FALSE)</f>
        <v>0</v>
      </c>
      <c r="L338">
        <f>VLOOKUP($B338,Totalt!$B$1:$BU$497,MATCH("total el",Totalt!$B$1:$BU$1,0),FALSE)</f>
        <v>6.5324299999999997</v>
      </c>
      <c r="N338">
        <f t="shared" si="20"/>
        <v>0.32662150000000001</v>
      </c>
      <c r="O338">
        <f t="shared" si="21"/>
        <v>0</v>
      </c>
      <c r="P338">
        <f t="shared" si="22"/>
        <v>0</v>
      </c>
      <c r="Q338">
        <f t="shared" si="23"/>
        <v>0</v>
      </c>
    </row>
    <row r="339" spans="1:17" x14ac:dyDescent="0.45">
      <c r="A339" s="31" t="s">
        <v>232</v>
      </c>
      <c r="B339" s="31" t="s">
        <v>237</v>
      </c>
      <c r="C339" t="str">
        <f>VLOOKUP($B339,Totalt!$B$1:$BU$497,MATCH("Kvalitetsgranskad:",Totalt!$B$1:$BU$1,0),FALSE)</f>
        <v>Ja</v>
      </c>
      <c r="E339" t="str">
        <f>VLOOKUP($B339,Miljö!$B$1:$AG$479,MATCH(E$1,Miljö!$B$1:$AK$1,0),FALSE)</f>
        <v>Ja</v>
      </c>
      <c r="F339" t="str">
        <f>VLOOKUP($B339,Miljö!$B$1:$J$479,MATCH("Typ av ursprungsspecificerad el   (Om inget värde anges används Nordisk residualmix, se inforuta) ()",Miljö!$B$1:$J$1,0),FALSE)</f>
        <v>'Egenproducerad el. biobränsle'</v>
      </c>
      <c r="G339">
        <f>VLOOKUP($B339,Miljö!$B$1:$J$479,MATCH("Primärenergifaktor ()",Miljö!$B$1:$J$1,0),FALSE)</f>
        <v>0.05</v>
      </c>
      <c r="H339">
        <f>VLOOKUP($B339,Miljö!$B$1:$J$479,MATCH("Koldioxidekvivalenter energiomvandling (g/kwh)",Miljö!$B$1:$J$1,0),FALSE)</f>
        <v>1.37</v>
      </c>
      <c r="I339">
        <f>VLOOKUP($B339,Miljö!$B$1:$J$479,MATCH("Fossilandel för ursprungspecificerad el ()",Miljö!$B$1:$J$1,0),FALSE)</f>
        <v>0.5</v>
      </c>
      <c r="J339">
        <f>VLOOKUP($B339,Miljö!$B$1:$J$479,MATCH("Kärnkraftsandel för ursprungsspecificerad el ()",Miljö!$B$1:$J$1,0),FALSE)</f>
        <v>0</v>
      </c>
      <c r="L339">
        <f>VLOOKUP($B339,Totalt!$B$1:$BU$497,MATCH("total el",Totalt!$B$1:$BU$1,0),FALSE)</f>
        <v>11.1587</v>
      </c>
      <c r="N339">
        <f t="shared" si="20"/>
        <v>0.55793499999999996</v>
      </c>
      <c r="O339">
        <f t="shared" si="21"/>
        <v>15.287419</v>
      </c>
      <c r="P339">
        <f t="shared" si="22"/>
        <v>5.5793499999999998</v>
      </c>
      <c r="Q339">
        <f t="shared" si="23"/>
        <v>0</v>
      </c>
    </row>
    <row r="340" spans="1:17" x14ac:dyDescent="0.45">
      <c r="A340" s="31" t="s">
        <v>232</v>
      </c>
      <c r="B340" s="31" t="s">
        <v>236</v>
      </c>
      <c r="C340" t="str">
        <f>VLOOKUP($B340,Totalt!$B$1:$BU$497,MATCH("Kvalitetsgranskad:",Totalt!$B$1:$BU$1,0),FALSE)</f>
        <v>Ja</v>
      </c>
      <c r="E340" t="str">
        <f>VLOOKUP($B340,Miljö!$B$1:$AG$479,MATCH(E$1,Miljö!$B$1:$AK$1,0),FALSE)</f>
        <v>Ja</v>
      </c>
      <c r="F340" t="str">
        <f>VLOOKUP($B340,Miljö!$B$1:$J$479,MATCH("Typ av ursprungsspecificerad el   (Om inget värde anges används Nordisk residualmix, se inforuta) ()",Miljö!$B$1:$J$1,0),FALSE)</f>
        <v>'Vattenfalls elmix'</v>
      </c>
      <c r="G340">
        <f>VLOOKUP($B340,Miljö!$B$1:$J$479,MATCH("Primärenergifaktor ()",Miljö!$B$1:$J$1,0),FALSE)</f>
        <v>1.9</v>
      </c>
      <c r="H340">
        <f>VLOOKUP($B340,Miljö!$B$1:$J$479,MATCH("Koldioxidekvivalenter energiomvandling (g/kwh)",Miljö!$B$1:$J$1,0),FALSE)</f>
        <v>0.05</v>
      </c>
      <c r="I340">
        <f>VLOOKUP($B340,Miljö!$B$1:$J$479,MATCH("Fossilandel för ursprungspecificerad el ()",Miljö!$B$1:$J$1,0),FALSE)</f>
        <v>0</v>
      </c>
      <c r="J340">
        <f>VLOOKUP($B340,Miljö!$B$1:$J$479,MATCH("Kärnkraftsandel för ursprungsspecificerad el ()",Miljö!$B$1:$J$1,0),FALSE)</f>
        <v>0.59</v>
      </c>
      <c r="L340">
        <f>VLOOKUP($B340,Totalt!$B$1:$BU$497,MATCH("total el",Totalt!$B$1:$BU$1,0),FALSE)</f>
        <v>0.53400000000000003</v>
      </c>
      <c r="N340">
        <f t="shared" si="20"/>
        <v>1.0145999999999999</v>
      </c>
      <c r="O340">
        <f t="shared" si="21"/>
        <v>2.6700000000000002E-2</v>
      </c>
      <c r="P340">
        <f t="shared" si="22"/>
        <v>0</v>
      </c>
      <c r="Q340">
        <f t="shared" si="23"/>
        <v>0.31506000000000001</v>
      </c>
    </row>
    <row r="341" spans="1:17" x14ac:dyDescent="0.45">
      <c r="A341" s="31" t="s">
        <v>232</v>
      </c>
      <c r="B341" s="31" t="s">
        <v>235</v>
      </c>
      <c r="C341" t="str">
        <f>VLOOKUP($B341,Totalt!$B$1:$BU$497,MATCH("Kvalitetsgranskad:",Totalt!$B$1:$BU$1,0),FALSE)</f>
        <v>Ja</v>
      </c>
      <c r="E341" t="str">
        <f>VLOOKUP($B341,Miljö!$B$1:$AG$479,MATCH(E$1,Miljö!$B$1:$AK$1,0),FALSE)</f>
        <v>Ja</v>
      </c>
      <c r="F341" t="str">
        <f>VLOOKUP($B341,Miljö!$B$1:$J$479,MATCH("Typ av ursprungsspecificerad el   (Om inget värde anges används Nordisk residualmix, se inforuta) ()",Miljö!$B$1:$J$1,0),FALSE)</f>
        <v>'"Vattenfall energimix"'</v>
      </c>
      <c r="G341">
        <f>VLOOKUP($B341,Miljö!$B$1:$J$479,MATCH("Primärenergifaktor ()",Miljö!$B$1:$J$1,0),FALSE)</f>
        <v>1.9</v>
      </c>
      <c r="H341">
        <f>VLOOKUP($B341,Miljö!$B$1:$J$479,MATCH("Koldioxidekvivalenter energiomvandling (g/kwh)",Miljö!$B$1:$J$1,0),FALSE)</f>
        <v>0.05</v>
      </c>
      <c r="I341">
        <f>VLOOKUP($B341,Miljö!$B$1:$J$479,MATCH("Fossilandel för ursprungspecificerad el ()",Miljö!$B$1:$J$1,0),FALSE)</f>
        <v>0</v>
      </c>
      <c r="J341">
        <f>VLOOKUP($B341,Miljö!$B$1:$J$479,MATCH("Kärnkraftsandel för ursprungsspecificerad el ()",Miljö!$B$1:$J$1,0),FALSE)</f>
        <v>0.59</v>
      </c>
      <c r="L341">
        <f>VLOOKUP($B341,Totalt!$B$1:$BU$497,MATCH("total el",Totalt!$B$1:$BU$1,0),FALSE)</f>
        <v>0.2</v>
      </c>
      <c r="N341">
        <f t="shared" si="20"/>
        <v>0.38</v>
      </c>
      <c r="O341">
        <f t="shared" si="21"/>
        <v>1.0000000000000002E-2</v>
      </c>
      <c r="P341">
        <f t="shared" si="22"/>
        <v>0</v>
      </c>
      <c r="Q341">
        <f t="shared" si="23"/>
        <v>0.11799999999999999</v>
      </c>
    </row>
    <row r="342" spans="1:17" x14ac:dyDescent="0.45">
      <c r="A342" s="31" t="s">
        <v>232</v>
      </c>
      <c r="B342" s="31" t="s">
        <v>234</v>
      </c>
      <c r="C342" t="str">
        <f>VLOOKUP($B342,Totalt!$B$1:$BU$497,MATCH("Kvalitetsgranskad:",Totalt!$B$1:$BU$1,0),FALSE)</f>
        <v>Ja</v>
      </c>
      <c r="E342" t="str">
        <f>VLOOKUP($B342,Miljö!$B$1:$AG$479,MATCH(E$1,Miljö!$B$1:$AK$1,0),FALSE)</f>
        <v>Ja</v>
      </c>
      <c r="F342" t="str">
        <f>VLOOKUP($B342,Miljö!$B$1:$J$479,MATCH("Typ av ursprungsspecificerad el   (Om inget värde anges används Nordisk residualmix, se inforuta) ()",Miljö!$B$1:$J$1,0),FALSE)</f>
        <v>'"Vattenfall energimix"'</v>
      </c>
      <c r="G342">
        <f>VLOOKUP($B342,Miljö!$B$1:$J$479,MATCH("Primärenergifaktor ()",Miljö!$B$1:$J$1,0),FALSE)</f>
        <v>1.9</v>
      </c>
      <c r="H342">
        <f>VLOOKUP($B342,Miljö!$B$1:$J$479,MATCH("Koldioxidekvivalenter energiomvandling (g/kwh)",Miljö!$B$1:$J$1,0),FALSE)</f>
        <v>0</v>
      </c>
      <c r="I342">
        <f>VLOOKUP($B342,Miljö!$B$1:$J$479,MATCH("Fossilandel för ursprungspecificerad el ()",Miljö!$B$1:$J$1,0),FALSE)</f>
        <v>0</v>
      </c>
      <c r="J342">
        <f>VLOOKUP($B342,Miljö!$B$1:$J$479,MATCH("Kärnkraftsandel för ursprungsspecificerad el ()",Miljö!$B$1:$J$1,0),FALSE)</f>
        <v>0.59</v>
      </c>
      <c r="L342">
        <f>VLOOKUP($B342,Totalt!$B$1:$BU$497,MATCH("total el",Totalt!$B$1:$BU$1,0),FALSE)</f>
        <v>170.29470000000001</v>
      </c>
      <c r="N342">
        <f t="shared" si="20"/>
        <v>323.55993000000001</v>
      </c>
      <c r="O342">
        <f t="shared" si="21"/>
        <v>0</v>
      </c>
      <c r="P342">
        <f t="shared" si="22"/>
        <v>0</v>
      </c>
      <c r="Q342">
        <f t="shared" si="23"/>
        <v>100.473873</v>
      </c>
    </row>
    <row r="343" spans="1:17" x14ac:dyDescent="0.45">
      <c r="A343" s="31" t="s">
        <v>232</v>
      </c>
      <c r="B343" s="31" t="s">
        <v>231</v>
      </c>
      <c r="C343" t="str">
        <f>VLOOKUP($B343,Totalt!$B$1:$BU$497,MATCH("Kvalitetsgranskad:",Totalt!$B$1:$BU$1,0),FALSE)</f>
        <v>Ja</v>
      </c>
      <c r="E343" t="str">
        <f>VLOOKUP($B343,Miljö!$B$1:$AG$479,MATCH(E$1,Miljö!$B$1:$AK$1,0),FALSE)</f>
        <v>Ja</v>
      </c>
      <c r="F343" t="str">
        <f>VLOOKUP($B343,Miljö!$B$1:$J$479,MATCH("Typ av ursprungsspecificerad el   (Om inget värde anges används Nordisk residualmix, se inforuta) ()",Miljö!$B$1:$J$1,0),FALSE)</f>
        <v>'Vattenfalls elmix'</v>
      </c>
      <c r="G343">
        <f>VLOOKUP($B343,Miljö!$B$1:$J$479,MATCH("Primärenergifaktor ()",Miljö!$B$1:$J$1,0),FALSE)</f>
        <v>1.9</v>
      </c>
      <c r="H343">
        <f>VLOOKUP($B343,Miljö!$B$1:$J$479,MATCH("Koldioxidekvivalenter energiomvandling (g/kwh)",Miljö!$B$1:$J$1,0),FALSE)</f>
        <v>0.05</v>
      </c>
      <c r="I343">
        <f>VLOOKUP($B343,Miljö!$B$1:$J$479,MATCH("Fossilandel för ursprungspecificerad el ()",Miljö!$B$1:$J$1,0),FALSE)</f>
        <v>0</v>
      </c>
      <c r="J343">
        <f>VLOOKUP($B343,Miljö!$B$1:$J$479,MATCH("Kärnkraftsandel för ursprungsspecificerad el ()",Miljö!$B$1:$J$1,0),FALSE)</f>
        <v>0.59399999999999997</v>
      </c>
      <c r="L343">
        <f>VLOOKUP($B343,Totalt!$B$1:$BU$497,MATCH("total el",Totalt!$B$1:$BU$1,0),FALSE)</f>
        <v>1.4</v>
      </c>
      <c r="N343">
        <f t="shared" si="20"/>
        <v>2.6599999999999997</v>
      </c>
      <c r="O343">
        <f t="shared" si="21"/>
        <v>6.9999999999999993E-2</v>
      </c>
      <c r="P343">
        <f t="shared" si="22"/>
        <v>0</v>
      </c>
      <c r="Q343">
        <f t="shared" si="23"/>
        <v>0.83159999999999989</v>
      </c>
    </row>
    <row r="344" spans="1:17" x14ac:dyDescent="0.45">
      <c r="A344" s="31" t="s">
        <v>7</v>
      </c>
      <c r="B344" s="31" t="s">
        <v>230</v>
      </c>
      <c r="C344" t="str">
        <f>VLOOKUP($B344,Totalt!$B$1:$BU$497,MATCH("Kvalitetsgranskad:",Totalt!$B$1:$BU$1,0),FALSE)</f>
        <v>Nej</v>
      </c>
      <c r="E344" t="str">
        <f>VLOOKUP($B344,Miljö!$B$1:$AG$479,MATCH(E$1,Miljö!$B$1:$AK$1,0),FALSE)</f>
        <v>Nej</v>
      </c>
      <c r="F344" t="str">
        <f>VLOOKUP($B344,Miljö!$B$1:$J$479,MATCH("Typ av ursprungsspecificerad el   (Om inget värde anges används Nordisk residualmix, se inforuta) ()",Miljö!$B$1:$J$1,0),FALSE)</f>
        <v>-</v>
      </c>
      <c r="G344" t="str">
        <f>VLOOKUP($B344,Miljö!$B$1:$J$479,MATCH("Primärenergifaktor ()",Miljö!$B$1:$J$1,0),FALSE)</f>
        <v>-</v>
      </c>
      <c r="H344" t="str">
        <f>VLOOKUP($B344,Miljö!$B$1:$J$479,MATCH("Koldioxidekvivalenter energiomvandling (g/kwh)",Miljö!$B$1:$J$1,0),FALSE)</f>
        <v>-</v>
      </c>
      <c r="I344" t="str">
        <f>VLOOKUP($B344,Miljö!$B$1:$J$479,MATCH("Fossilandel för ursprungspecificerad el ()",Miljö!$B$1:$J$1,0),FALSE)</f>
        <v>-</v>
      </c>
      <c r="J344" t="str">
        <f>VLOOKUP($B344,Miljö!$B$1:$J$479,MATCH("Kärnkraftsandel för ursprungsspecificerad el ()",Miljö!$B$1:$J$1,0),FALSE)</f>
        <v>-</v>
      </c>
      <c r="L344">
        <f>VLOOKUP($B344,Totalt!$B$1:$BU$497,MATCH("total el",Totalt!$B$1:$BU$1,0),FALSE)</f>
        <v>0</v>
      </c>
      <c r="N344" t="str">
        <f t="shared" si="20"/>
        <v/>
      </c>
      <c r="O344" t="str">
        <f t="shared" si="21"/>
        <v/>
      </c>
      <c r="P344" t="str">
        <f t="shared" si="22"/>
        <v/>
      </c>
      <c r="Q344" t="str">
        <f t="shared" si="23"/>
        <v/>
      </c>
    </row>
    <row r="345" spans="1:17" x14ac:dyDescent="0.45">
      <c r="A345" s="31" t="s">
        <v>7</v>
      </c>
      <c r="B345" s="31" t="s">
        <v>8</v>
      </c>
      <c r="C345" t="str">
        <f>VLOOKUP($B345,Totalt!$B$1:$BU$497,MATCH("Kvalitetsgranskad:",Totalt!$B$1:$BU$1,0),FALSE)</f>
        <v>Nej</v>
      </c>
      <c r="E345" t="str">
        <f>VLOOKUP($B345,Miljö!$B$1:$AG$479,MATCH(E$1,Miljö!$B$1:$AK$1,0),FALSE)</f>
        <v>Nej</v>
      </c>
      <c r="F345" t="str">
        <f>VLOOKUP($B345,Miljö!$B$1:$J$479,MATCH("Typ av ursprungsspecificerad el   (Om inget värde anges används Nordisk residualmix, se inforuta) ()",Miljö!$B$1:$J$1,0),FALSE)</f>
        <v>-</v>
      </c>
      <c r="G345" t="str">
        <f>VLOOKUP($B345,Miljö!$B$1:$J$479,MATCH("Primärenergifaktor ()",Miljö!$B$1:$J$1,0),FALSE)</f>
        <v>-</v>
      </c>
      <c r="H345" t="str">
        <f>VLOOKUP($B345,Miljö!$B$1:$J$479,MATCH("Koldioxidekvivalenter energiomvandling (g/kwh)",Miljö!$B$1:$J$1,0),FALSE)</f>
        <v>-</v>
      </c>
      <c r="I345" t="str">
        <f>VLOOKUP($B345,Miljö!$B$1:$J$479,MATCH("Fossilandel för ursprungspecificerad el ()",Miljö!$B$1:$J$1,0),FALSE)</f>
        <v>-</v>
      </c>
      <c r="J345" t="str">
        <f>VLOOKUP($B345,Miljö!$B$1:$J$479,MATCH("Kärnkraftsandel för ursprungsspecificerad el ()",Miljö!$B$1:$J$1,0),FALSE)</f>
        <v>-</v>
      </c>
      <c r="L345">
        <f>VLOOKUP($B345,Totalt!$B$1:$BU$497,MATCH("total el",Totalt!$B$1:$BU$1,0),FALSE)</f>
        <v>0</v>
      </c>
      <c r="N345" t="str">
        <f t="shared" si="20"/>
        <v/>
      </c>
      <c r="O345" t="str">
        <f t="shared" si="21"/>
        <v/>
      </c>
      <c r="P345" t="str">
        <f t="shared" si="22"/>
        <v/>
      </c>
      <c r="Q345" t="str">
        <f t="shared" si="23"/>
        <v/>
      </c>
    </row>
    <row r="346" spans="1:17" x14ac:dyDescent="0.45">
      <c r="A346" s="31" t="s">
        <v>225</v>
      </c>
      <c r="B346" s="31" t="s">
        <v>229</v>
      </c>
      <c r="C346" t="str">
        <f>VLOOKUP($B346,Totalt!$B$1:$BU$497,MATCH("Kvalitetsgranskad:",Totalt!$B$1:$BU$1,0),FALSE)</f>
        <v>Ja</v>
      </c>
      <c r="E346" t="str">
        <f>VLOOKUP($B346,Miljö!$B$1:$AG$479,MATCH(E$1,Miljö!$B$1:$AK$1,0),FALSE)</f>
        <v>Ja</v>
      </c>
      <c r="F346" t="str">
        <f>VLOOKUP($B346,Miljö!$B$1:$J$479,MATCH("Typ av ursprungsspecificerad el   (Om inget värde anges används Nordisk residualmix, se inforuta) ()",Miljö!$B$1:$J$1,0),FALSE)</f>
        <v>'Vind. vatten. biobränsle'</v>
      </c>
      <c r="G346">
        <f>VLOOKUP($B346,Miljö!$B$1:$J$479,MATCH("Primärenergifaktor ()",Miljö!$B$1:$J$1,0),FALSE)</f>
        <v>2.2000000000000002</v>
      </c>
      <c r="H346">
        <f>VLOOKUP($B346,Miljö!$B$1:$J$479,MATCH("Koldioxidekvivalenter energiomvandling (g/kwh)",Miljö!$B$1:$J$1,0),FALSE)</f>
        <v>250.8</v>
      </c>
      <c r="I346">
        <f>VLOOKUP($B346,Miljö!$B$1:$J$479,MATCH("Fossilandel för ursprungspecificerad el ()",Miljö!$B$1:$J$1,0),FALSE)</f>
        <v>0.35</v>
      </c>
      <c r="J346">
        <f>VLOOKUP($B346,Miljö!$B$1:$J$479,MATCH("Kärnkraftsandel för ursprungsspecificerad el ()",Miljö!$B$1:$J$1,0),FALSE)</f>
        <v>0.3977</v>
      </c>
      <c r="L346">
        <f>VLOOKUP($B346,Totalt!$B$1:$BU$497,MATCH("total el",Totalt!$B$1:$BU$1,0),FALSE)</f>
        <v>0.1053</v>
      </c>
      <c r="N346">
        <f t="shared" si="20"/>
        <v>0.23166000000000003</v>
      </c>
      <c r="O346">
        <f t="shared" si="21"/>
        <v>26.409240000000004</v>
      </c>
      <c r="P346">
        <f t="shared" si="22"/>
        <v>3.6854999999999999E-2</v>
      </c>
      <c r="Q346">
        <f t="shared" si="23"/>
        <v>4.1877810000000001E-2</v>
      </c>
    </row>
    <row r="347" spans="1:17" x14ac:dyDescent="0.45">
      <c r="A347" s="31" t="s">
        <v>225</v>
      </c>
      <c r="B347" s="31" t="s">
        <v>228</v>
      </c>
      <c r="C347" t="str">
        <f>VLOOKUP($B347,Totalt!$B$1:$BU$497,MATCH("Kvalitetsgranskad:",Totalt!$B$1:$BU$1,0),FALSE)</f>
        <v>Ja</v>
      </c>
      <c r="E347" t="str">
        <f>VLOOKUP($B347,Miljö!$B$1:$AG$479,MATCH(E$1,Miljö!$B$1:$AK$1,0),FALSE)</f>
        <v>Ja</v>
      </c>
      <c r="F347" t="str">
        <f>VLOOKUP($B347,Miljö!$B$1:$J$479,MATCH("Typ av ursprungsspecificerad el   (Om inget värde anges används Nordisk residualmix, se inforuta) ()",Miljö!$B$1:$J$1,0),FALSE)</f>
        <v>'Vatten EPD. kraftvärme bio'</v>
      </c>
      <c r="G347">
        <f>VLOOKUP($B347,Miljö!$B$1:$J$479,MATCH("Primärenergifaktor ()",Miljö!$B$1:$J$1,0),FALSE)</f>
        <v>1.1000000000000001</v>
      </c>
      <c r="H347">
        <f>VLOOKUP($B347,Miljö!$B$1:$J$479,MATCH("Koldioxidekvivalenter energiomvandling (g/kwh)",Miljö!$B$1:$J$1,0),FALSE)</f>
        <v>2.9700000000000001E-4</v>
      </c>
      <c r="I347">
        <f>VLOOKUP($B347,Miljö!$B$1:$J$479,MATCH("Fossilandel för ursprungspecificerad el ()",Miljö!$B$1:$J$1,0),FALSE)</f>
        <v>0</v>
      </c>
      <c r="J347">
        <f>VLOOKUP($B347,Miljö!$B$1:$J$479,MATCH("Kärnkraftsandel för ursprungsspecificerad el ()",Miljö!$B$1:$J$1,0),FALSE)</f>
        <v>0</v>
      </c>
      <c r="L347">
        <f>VLOOKUP($B347,Totalt!$B$1:$BU$497,MATCH("total el",Totalt!$B$1:$BU$1,0),FALSE)</f>
        <v>0.10299999999999999</v>
      </c>
      <c r="N347">
        <f t="shared" si="20"/>
        <v>0.1133</v>
      </c>
      <c r="O347">
        <f t="shared" si="21"/>
        <v>3.0590999999999999E-5</v>
      </c>
      <c r="P347">
        <f t="shared" si="22"/>
        <v>0</v>
      </c>
      <c r="Q347">
        <f t="shared" si="23"/>
        <v>0</v>
      </c>
    </row>
    <row r="348" spans="1:17" x14ac:dyDescent="0.45">
      <c r="A348" s="31" t="s">
        <v>225</v>
      </c>
      <c r="B348" s="31" t="s">
        <v>227</v>
      </c>
      <c r="C348" t="str">
        <f>VLOOKUP($B348,Totalt!$B$1:$BU$497,MATCH("Kvalitetsgranskad:",Totalt!$B$1:$BU$1,0),FALSE)</f>
        <v>Ja</v>
      </c>
      <c r="E348" t="str">
        <f>VLOOKUP($B348,Miljö!$B$1:$AG$479,MATCH(E$1,Miljö!$B$1:$AK$1,0),FALSE)</f>
        <v>Ja</v>
      </c>
      <c r="F348" t="str">
        <f>VLOOKUP($B348,Miljö!$B$1:$J$479,MATCH("Typ av ursprungsspecificerad el   (Om inget värde anges används Nordisk residualmix, se inforuta) ()",Miljö!$B$1:$J$1,0),FALSE)</f>
        <v>'Vatten EPD. Kraftvärme bio'</v>
      </c>
      <c r="G348">
        <f>VLOOKUP($B348,Miljö!$B$1:$J$479,MATCH("Primärenergifaktor ()",Miljö!$B$1:$J$1,0),FALSE)</f>
        <v>1.1000000000000001</v>
      </c>
      <c r="H348">
        <f>VLOOKUP($B348,Miljö!$B$1:$J$479,MATCH("Koldioxidekvivalenter energiomvandling (g/kwh)",Miljö!$B$1:$J$1,0),FALSE)</f>
        <v>2.9700000000000001E-4</v>
      </c>
      <c r="I348">
        <f>VLOOKUP($B348,Miljö!$B$1:$J$479,MATCH("Fossilandel för ursprungspecificerad el ()",Miljö!$B$1:$J$1,0),FALSE)</f>
        <v>0</v>
      </c>
      <c r="J348">
        <f>VLOOKUP($B348,Miljö!$B$1:$J$479,MATCH("Kärnkraftsandel för ursprungsspecificerad el ()",Miljö!$B$1:$J$1,0),FALSE)</f>
        <v>0</v>
      </c>
      <c r="L348">
        <f>VLOOKUP($B348,Totalt!$B$1:$BU$497,MATCH("total el",Totalt!$B$1:$BU$1,0),FALSE)</f>
        <v>0.155</v>
      </c>
      <c r="N348">
        <f t="shared" si="20"/>
        <v>0.17050000000000001</v>
      </c>
      <c r="O348">
        <f t="shared" si="21"/>
        <v>4.6035000000000002E-5</v>
      </c>
      <c r="P348">
        <f t="shared" si="22"/>
        <v>0</v>
      </c>
      <c r="Q348">
        <f t="shared" si="23"/>
        <v>0</v>
      </c>
    </row>
    <row r="349" spans="1:17" x14ac:dyDescent="0.45">
      <c r="A349" s="31" t="s">
        <v>225</v>
      </c>
      <c r="B349" s="31" t="s">
        <v>226</v>
      </c>
      <c r="C349" t="str">
        <f>VLOOKUP($B349,Totalt!$B$1:$BU$497,MATCH("Kvalitetsgranskad:",Totalt!$B$1:$BU$1,0),FALSE)</f>
        <v>Ja</v>
      </c>
      <c r="E349" t="str">
        <f>VLOOKUP($B349,Miljö!$B$1:$AG$479,MATCH(E$1,Miljö!$B$1:$AK$1,0),FALSE)</f>
        <v>Ja</v>
      </c>
      <c r="F349" t="str">
        <f>VLOOKUP($B349,Miljö!$B$1:$J$479,MATCH("Typ av ursprungsspecificerad el   (Om inget värde anges används Nordisk residualmix, se inforuta) ()",Miljö!$B$1:$J$1,0),FALSE)</f>
        <v>'Vattenel EPD. Kraftvärme bio'</v>
      </c>
      <c r="G349">
        <f>VLOOKUP($B349,Miljö!$B$1:$J$479,MATCH("Primärenergifaktor ()",Miljö!$B$1:$J$1,0),FALSE)</f>
        <v>1.1000000000000001</v>
      </c>
      <c r="H349">
        <f>VLOOKUP($B349,Miljö!$B$1:$J$479,MATCH("Koldioxidekvivalenter energiomvandling (g/kwh)",Miljö!$B$1:$J$1,0),FALSE)</f>
        <v>2.9700000000000001E-4</v>
      </c>
      <c r="I349">
        <f>VLOOKUP($B349,Miljö!$B$1:$J$479,MATCH("Fossilandel för ursprungspecificerad el ()",Miljö!$B$1:$J$1,0),FALSE)</f>
        <v>0</v>
      </c>
      <c r="J349">
        <f>VLOOKUP($B349,Miljö!$B$1:$J$479,MATCH("Kärnkraftsandel för ursprungsspecificerad el ()",Miljö!$B$1:$J$1,0),FALSE)</f>
        <v>0</v>
      </c>
      <c r="L349">
        <f>VLOOKUP($B349,Totalt!$B$1:$BU$497,MATCH("total el",Totalt!$B$1:$BU$1,0),FALSE)</f>
        <v>0.23599999999999999</v>
      </c>
      <c r="N349">
        <f t="shared" si="20"/>
        <v>0.2596</v>
      </c>
      <c r="O349">
        <f t="shared" si="21"/>
        <v>7.0091999999999992E-5</v>
      </c>
      <c r="P349">
        <f t="shared" si="22"/>
        <v>0</v>
      </c>
      <c r="Q349">
        <f t="shared" si="23"/>
        <v>0</v>
      </c>
    </row>
    <row r="350" spans="1:17" x14ac:dyDescent="0.45">
      <c r="A350" s="31" t="s">
        <v>225</v>
      </c>
      <c r="B350" s="31" t="s">
        <v>224</v>
      </c>
      <c r="C350" t="str">
        <f>VLOOKUP($B350,Totalt!$B$1:$BU$497,MATCH("Kvalitetsgranskad:",Totalt!$B$1:$BU$1,0),FALSE)</f>
        <v>Ja</v>
      </c>
      <c r="E350" t="str">
        <f>VLOOKUP($B350,Miljö!$B$1:$AG$479,MATCH(E$1,Miljö!$B$1:$AK$1,0),FALSE)</f>
        <v>Ja</v>
      </c>
      <c r="F350" t="str">
        <f>VLOOKUP($B350,Miljö!$B$1:$J$479,MATCH("Typ av ursprungsspecificerad el   (Om inget värde anges används Nordisk residualmix, se inforuta) ()",Miljö!$B$1:$J$1,0),FALSE)</f>
        <v>'Vatten EPD. kraftvärme bio'</v>
      </c>
      <c r="G350">
        <f>VLOOKUP($B350,Miljö!$B$1:$J$479,MATCH("Primärenergifaktor ()",Miljö!$B$1:$J$1,0),FALSE)</f>
        <v>1.1000000000000001</v>
      </c>
      <c r="H350">
        <f>VLOOKUP($B350,Miljö!$B$1:$J$479,MATCH("Koldioxidekvivalenter energiomvandling (g/kwh)",Miljö!$B$1:$J$1,0),FALSE)</f>
        <v>2.9700000000000001E-4</v>
      </c>
      <c r="I350">
        <f>VLOOKUP($B350,Miljö!$B$1:$J$479,MATCH("Fossilandel för ursprungspecificerad el ()",Miljö!$B$1:$J$1,0),FALSE)</f>
        <v>0</v>
      </c>
      <c r="J350">
        <f>VLOOKUP($B350,Miljö!$B$1:$J$479,MATCH("Kärnkraftsandel för ursprungsspecificerad el ()",Miljö!$B$1:$J$1,0),FALSE)</f>
        <v>0</v>
      </c>
      <c r="L350">
        <f>VLOOKUP($B350,Totalt!$B$1:$BU$497,MATCH("total el",Totalt!$B$1:$BU$1,0),FALSE)</f>
        <v>0.971777</v>
      </c>
      <c r="N350">
        <f t="shared" si="20"/>
        <v>1.0689547000000001</v>
      </c>
      <c r="O350">
        <f t="shared" si="21"/>
        <v>2.8861776900000004E-4</v>
      </c>
      <c r="P350">
        <f t="shared" si="22"/>
        <v>0</v>
      </c>
      <c r="Q350">
        <f t="shared" si="23"/>
        <v>0</v>
      </c>
    </row>
    <row r="351" spans="1:17" x14ac:dyDescent="0.45">
      <c r="A351" s="31" t="s">
        <v>221</v>
      </c>
      <c r="B351" s="31" t="s">
        <v>223</v>
      </c>
      <c r="C351" t="str">
        <f>VLOOKUP($B351,Totalt!$B$1:$BU$497,MATCH("Kvalitetsgranskad:",Totalt!$B$1:$BU$1,0),FALSE)</f>
        <v>Ja</v>
      </c>
      <c r="E351" t="str">
        <f>VLOOKUP($B351,Miljö!$B$1:$AG$479,MATCH(E$1,Miljö!$B$1:$AK$1,0),FALSE)</f>
        <v>Ja</v>
      </c>
      <c r="F351" t="str">
        <f>VLOOKUP($B351,Miljö!$B$1:$J$479,MATCH("Typ av ursprungsspecificerad el   (Om inget värde anges används Nordisk residualmix, se inforuta) ()",Miljö!$B$1:$J$1,0),FALSE)</f>
        <v>'100% ursprungsmärkt nordisk vattenkraft'</v>
      </c>
      <c r="G351">
        <f>VLOOKUP($B351,Miljö!$B$1:$J$479,MATCH("Primärenergifaktor ()",Miljö!$B$1:$J$1,0),FALSE)</f>
        <v>1.1000000000000001</v>
      </c>
      <c r="H351">
        <f>VLOOKUP($B351,Miljö!$B$1:$J$479,MATCH("Koldioxidekvivalenter energiomvandling (g/kwh)",Miljö!$B$1:$J$1,0),FALSE)</f>
        <v>0</v>
      </c>
      <c r="I351">
        <f>VLOOKUP($B351,Miljö!$B$1:$J$479,MATCH("Fossilandel för ursprungspecificerad el ()",Miljö!$B$1:$J$1,0),FALSE)</f>
        <v>0</v>
      </c>
      <c r="J351">
        <f>VLOOKUP($B351,Miljö!$B$1:$J$479,MATCH("Kärnkraftsandel för ursprungsspecificerad el ()",Miljö!$B$1:$J$1,0),FALSE)</f>
        <v>0</v>
      </c>
      <c r="L351">
        <f>VLOOKUP($B351,Totalt!$B$1:$BU$497,MATCH("total el",Totalt!$B$1:$BU$1,0),FALSE)</f>
        <v>4.8000000000000001E-2</v>
      </c>
      <c r="N351">
        <f t="shared" si="20"/>
        <v>5.2800000000000007E-2</v>
      </c>
      <c r="O351">
        <f t="shared" si="21"/>
        <v>0</v>
      </c>
      <c r="P351">
        <f t="shared" si="22"/>
        <v>0</v>
      </c>
      <c r="Q351">
        <f t="shared" si="23"/>
        <v>0</v>
      </c>
    </row>
    <row r="352" spans="1:17" x14ac:dyDescent="0.45">
      <c r="A352" s="31" t="s">
        <v>221</v>
      </c>
      <c r="B352" s="31" t="s">
        <v>222</v>
      </c>
      <c r="C352" t="str">
        <f>VLOOKUP($B352,Totalt!$B$1:$BU$497,MATCH("Kvalitetsgranskad:",Totalt!$B$1:$BU$1,0),FALSE)</f>
        <v>Ja</v>
      </c>
      <c r="E352" t="str">
        <f>VLOOKUP($B352,Miljö!$B$1:$AG$479,MATCH(E$1,Miljö!$B$1:$AK$1,0),FALSE)</f>
        <v>Ja</v>
      </c>
      <c r="F352" t="str">
        <f>VLOOKUP($B352,Miljö!$B$1:$J$479,MATCH("Typ av ursprungsspecificerad el   (Om inget värde anges används Nordisk residualmix, se inforuta) ()",Miljö!$B$1:$J$1,0),FALSE)</f>
        <v>'Biobränslebaserad kraftvärme från KKAB'</v>
      </c>
      <c r="G352">
        <f>VLOOKUP($B352,Miljö!$B$1:$J$479,MATCH("Primärenergifaktor ()",Miljö!$B$1:$J$1,0),FALSE)</f>
        <v>0.05</v>
      </c>
      <c r="H352">
        <f>VLOOKUP($B352,Miljö!$B$1:$J$479,MATCH("Koldioxidekvivalenter energiomvandling (g/kwh)",Miljö!$B$1:$J$1,0),FALSE)</f>
        <v>0.7</v>
      </c>
      <c r="I352">
        <f>VLOOKUP($B352,Miljö!$B$1:$J$479,MATCH("Fossilandel för ursprungspecificerad el ()",Miljö!$B$1:$J$1,0),FALSE)</f>
        <v>0</v>
      </c>
      <c r="J352">
        <f>VLOOKUP($B352,Miljö!$B$1:$J$479,MATCH("Kärnkraftsandel för ursprungsspecificerad el ()",Miljö!$B$1:$J$1,0),FALSE)</f>
        <v>0</v>
      </c>
      <c r="L352">
        <f>VLOOKUP($B352,Totalt!$B$1:$BU$497,MATCH("total el",Totalt!$B$1:$BU$1,0),FALSE)</f>
        <v>2.1352899999999999</v>
      </c>
      <c r="N352">
        <f t="shared" si="20"/>
        <v>0.1067645</v>
      </c>
      <c r="O352">
        <f t="shared" si="21"/>
        <v>1.4947029999999999</v>
      </c>
      <c r="P352">
        <f t="shared" si="22"/>
        <v>0</v>
      </c>
      <c r="Q352">
        <f t="shared" si="23"/>
        <v>0</v>
      </c>
    </row>
    <row r="353" spans="1:17" x14ac:dyDescent="0.45">
      <c r="A353" s="31" t="s">
        <v>221</v>
      </c>
      <c r="B353" s="31" t="s">
        <v>220</v>
      </c>
      <c r="C353" t="str">
        <f>VLOOKUP($B353,Totalt!$B$1:$BU$497,MATCH("Kvalitetsgranskad:",Totalt!$B$1:$BU$1,0),FALSE)</f>
        <v>Ja</v>
      </c>
      <c r="E353" t="str">
        <f>VLOOKUP($B353,Miljö!$B$1:$AG$479,MATCH(E$1,Miljö!$B$1:$AK$1,0),FALSE)</f>
        <v>Ja</v>
      </c>
      <c r="F353" t="str">
        <f>VLOOKUP($B353,Miljö!$B$1:$J$479,MATCH("Typ av ursprungsspecificerad el   (Om inget värde anges används Nordisk residualmix, se inforuta) ()",Miljö!$B$1:$J$1,0),FALSE)</f>
        <v>'100% Ursprungsmärkt nordisk vattenkraft''</v>
      </c>
      <c r="G353">
        <f>VLOOKUP($B353,Miljö!$B$1:$J$479,MATCH("Primärenergifaktor ()",Miljö!$B$1:$J$1,0),FALSE)</f>
        <v>1.1000000000000001</v>
      </c>
      <c r="H353">
        <f>VLOOKUP($B353,Miljö!$B$1:$J$479,MATCH("Koldioxidekvivalenter energiomvandling (g/kwh)",Miljö!$B$1:$J$1,0),FALSE)</f>
        <v>0</v>
      </c>
      <c r="I353">
        <f>VLOOKUP($B353,Miljö!$B$1:$J$479,MATCH("Fossilandel för ursprungspecificerad el ()",Miljö!$B$1:$J$1,0),FALSE)</f>
        <v>0</v>
      </c>
      <c r="J353">
        <f>VLOOKUP($B353,Miljö!$B$1:$J$479,MATCH("Kärnkraftsandel för ursprungsspecificerad el ()",Miljö!$B$1:$J$1,0),FALSE)</f>
        <v>0</v>
      </c>
      <c r="L353">
        <f>VLOOKUP($B353,Totalt!$B$1:$BU$497,MATCH("total el",Totalt!$B$1:$BU$1,0),FALSE)</f>
        <v>0.65</v>
      </c>
      <c r="N353">
        <f t="shared" si="20"/>
        <v>0.71500000000000008</v>
      </c>
      <c r="O353">
        <f t="shared" si="21"/>
        <v>0</v>
      </c>
      <c r="P353">
        <f t="shared" si="22"/>
        <v>0</v>
      </c>
      <c r="Q353">
        <f t="shared" si="23"/>
        <v>0</v>
      </c>
    </row>
    <row r="354" spans="1:17" x14ac:dyDescent="0.45">
      <c r="A354" s="31" t="s">
        <v>48</v>
      </c>
      <c r="B354" s="31" t="s">
        <v>219</v>
      </c>
      <c r="C354" t="str">
        <f>VLOOKUP($B354,Totalt!$B$1:$BU$497,MATCH("Kvalitetsgranskad:",Totalt!$B$1:$BU$1,0),FALSE)</f>
        <v>Ja</v>
      </c>
      <c r="E354" t="str">
        <f>VLOOKUP($B354,Miljö!$B$1:$AG$479,MATCH(E$1,Miljö!$B$1:$AK$1,0),FALSE)</f>
        <v>Ja</v>
      </c>
      <c r="F354" t="str">
        <f>VLOOKUP($B354,Miljö!$B$1:$J$479,MATCH("Typ av ursprungsspecificerad el   (Om inget värde anges används Nordisk residualmix, se inforuta) ()",Miljö!$B$1:$J$1,0),FALSE)</f>
        <v>'Bio energi'</v>
      </c>
      <c r="G354">
        <f>VLOOKUP($B354,Miljö!$B$1:$J$479,MATCH("Primärenergifaktor ()",Miljö!$B$1:$J$1,0),FALSE)</f>
        <v>2</v>
      </c>
      <c r="H354">
        <f>VLOOKUP($B354,Miljö!$B$1:$J$479,MATCH("Koldioxidekvivalenter energiomvandling (g/kwh)",Miljö!$B$1:$J$1,0),FALSE)</f>
        <v>0</v>
      </c>
      <c r="I354">
        <f>VLOOKUP($B354,Miljö!$B$1:$J$479,MATCH("Fossilandel för ursprungspecificerad el ()",Miljö!$B$1:$J$1,0),FALSE)</f>
        <v>0</v>
      </c>
      <c r="J354">
        <f>VLOOKUP($B354,Miljö!$B$1:$J$479,MATCH("Kärnkraftsandel för ursprungsspecificerad el ()",Miljö!$B$1:$J$1,0),FALSE)</f>
        <v>0</v>
      </c>
      <c r="L354">
        <f>VLOOKUP($B354,Totalt!$B$1:$BU$497,MATCH("total el",Totalt!$B$1:$BU$1,0),FALSE)</f>
        <v>5.82</v>
      </c>
      <c r="N354">
        <f t="shared" si="20"/>
        <v>11.64</v>
      </c>
      <c r="O354">
        <f t="shared" si="21"/>
        <v>0</v>
      </c>
      <c r="P354">
        <f t="shared" si="22"/>
        <v>0</v>
      </c>
      <c r="Q354">
        <f t="shared" si="23"/>
        <v>0</v>
      </c>
    </row>
    <row r="355" spans="1:17" x14ac:dyDescent="0.45">
      <c r="A355" s="31" t="s">
        <v>48</v>
      </c>
      <c r="B355" s="31" t="s">
        <v>218</v>
      </c>
      <c r="C355" t="str">
        <f>VLOOKUP($B355,Totalt!$B$1:$BU$497,MATCH("Kvalitetsgranskad:",Totalt!$B$1:$BU$1,0),FALSE)</f>
        <v>Ja</v>
      </c>
      <c r="E355" t="str">
        <f>VLOOKUP($B355,Miljö!$B$1:$AG$479,MATCH(E$1,Miljö!$B$1:$AK$1,0),FALSE)</f>
        <v>Ja</v>
      </c>
      <c r="F355" t="str">
        <f>VLOOKUP($B355,Miljö!$B$1:$J$479,MATCH("Typ av ursprungsspecificerad el   (Om inget värde anges används Nordisk residualmix, se inforuta) ()",Miljö!$B$1:$J$1,0),FALSE)</f>
        <v>'Bio energi'</v>
      </c>
      <c r="G355">
        <f>VLOOKUP($B355,Miljö!$B$1:$J$479,MATCH("Primärenergifaktor ()",Miljö!$B$1:$J$1,0),FALSE)</f>
        <v>2</v>
      </c>
      <c r="H355">
        <f>VLOOKUP($B355,Miljö!$B$1:$J$479,MATCH("Koldioxidekvivalenter energiomvandling (g/kwh)",Miljö!$B$1:$J$1,0),FALSE)</f>
        <v>0</v>
      </c>
      <c r="I355">
        <f>VLOOKUP($B355,Miljö!$B$1:$J$479,MATCH("Fossilandel för ursprungspecificerad el ()",Miljö!$B$1:$J$1,0),FALSE)</f>
        <v>0</v>
      </c>
      <c r="J355">
        <f>VLOOKUP($B355,Miljö!$B$1:$J$479,MATCH("Kärnkraftsandel för ursprungsspecificerad el ()",Miljö!$B$1:$J$1,0),FALSE)</f>
        <v>0</v>
      </c>
      <c r="L355">
        <f>VLOOKUP($B355,Totalt!$B$1:$BU$497,MATCH("total el",Totalt!$B$1:$BU$1,0),FALSE)</f>
        <v>0.44063999999999998</v>
      </c>
      <c r="N355">
        <f t="shared" si="20"/>
        <v>0.88127999999999995</v>
      </c>
      <c r="O355">
        <f t="shared" si="21"/>
        <v>0</v>
      </c>
      <c r="P355">
        <f t="shared" si="22"/>
        <v>0</v>
      </c>
      <c r="Q355">
        <f t="shared" si="23"/>
        <v>0</v>
      </c>
    </row>
    <row r="356" spans="1:17" x14ac:dyDescent="0.45">
      <c r="A356" s="31" t="s">
        <v>48</v>
      </c>
      <c r="B356" s="31" t="s">
        <v>217</v>
      </c>
      <c r="C356" t="str">
        <f>VLOOKUP($B356,Totalt!$B$1:$BU$497,MATCH("Kvalitetsgranskad:",Totalt!$B$1:$BU$1,0),FALSE)</f>
        <v>Ja</v>
      </c>
      <c r="E356" t="str">
        <f>VLOOKUP($B356,Miljö!$B$1:$AG$479,MATCH(E$1,Miljö!$B$1:$AK$1,0),FALSE)</f>
        <v>Ja</v>
      </c>
      <c r="F356" t="str">
        <f>VLOOKUP($B356,Miljö!$B$1:$J$479,MATCH("Typ av ursprungsspecificerad el   (Om inget värde anges används Nordisk residualmix, se inforuta) ()",Miljö!$B$1:$J$1,0),FALSE)</f>
        <v>'Bio energi'</v>
      </c>
      <c r="G356">
        <f>VLOOKUP($B356,Miljö!$B$1:$J$479,MATCH("Primärenergifaktor ()",Miljö!$B$1:$J$1,0),FALSE)</f>
        <v>2</v>
      </c>
      <c r="H356">
        <f>VLOOKUP($B356,Miljö!$B$1:$J$479,MATCH("Koldioxidekvivalenter energiomvandling (g/kwh)",Miljö!$B$1:$J$1,0),FALSE)</f>
        <v>0</v>
      </c>
      <c r="I356">
        <f>VLOOKUP($B356,Miljö!$B$1:$J$479,MATCH("Fossilandel för ursprungspecificerad el ()",Miljö!$B$1:$J$1,0),FALSE)</f>
        <v>0</v>
      </c>
      <c r="J356">
        <f>VLOOKUP($B356,Miljö!$B$1:$J$479,MATCH("Kärnkraftsandel för ursprungsspecificerad el ()",Miljö!$B$1:$J$1,0),FALSE)</f>
        <v>0</v>
      </c>
      <c r="L356">
        <f>VLOOKUP($B356,Totalt!$B$1:$BU$497,MATCH("total el",Totalt!$B$1:$BU$1,0),FALSE)</f>
        <v>4.1000000000000002E-2</v>
      </c>
      <c r="N356">
        <f t="shared" si="20"/>
        <v>8.2000000000000003E-2</v>
      </c>
      <c r="O356">
        <f t="shared" si="21"/>
        <v>0</v>
      </c>
      <c r="P356">
        <f t="shared" si="22"/>
        <v>0</v>
      </c>
      <c r="Q356">
        <f t="shared" si="23"/>
        <v>0</v>
      </c>
    </row>
    <row r="357" spans="1:17" x14ac:dyDescent="0.45">
      <c r="A357" s="31" t="s">
        <v>48</v>
      </c>
      <c r="B357" s="31" t="s">
        <v>216</v>
      </c>
      <c r="C357" t="str">
        <f>VLOOKUP($B357,Totalt!$B$1:$BU$497,MATCH("Kvalitetsgranskad:",Totalt!$B$1:$BU$1,0),FALSE)</f>
        <v>Ja</v>
      </c>
      <c r="E357" t="str">
        <f>VLOOKUP($B357,Miljö!$B$1:$AG$479,MATCH(E$1,Miljö!$B$1:$AK$1,0),FALSE)</f>
        <v>Ja</v>
      </c>
      <c r="F357" t="str">
        <f>VLOOKUP($B357,Miljö!$B$1:$J$479,MATCH("Typ av ursprungsspecificerad el   (Om inget värde anges används Nordisk residualmix, se inforuta) ()",Miljö!$B$1:$J$1,0),FALSE)</f>
        <v>'Bio energi'</v>
      </c>
      <c r="G357">
        <f>VLOOKUP($B357,Miljö!$B$1:$J$479,MATCH("Primärenergifaktor ()",Miljö!$B$1:$J$1,0),FALSE)</f>
        <v>2</v>
      </c>
      <c r="H357">
        <f>VLOOKUP($B357,Miljö!$B$1:$J$479,MATCH("Koldioxidekvivalenter energiomvandling (g/kwh)",Miljö!$B$1:$J$1,0),FALSE)</f>
        <v>0</v>
      </c>
      <c r="I357">
        <f>VLOOKUP($B357,Miljö!$B$1:$J$479,MATCH("Fossilandel för ursprungspecificerad el ()",Miljö!$B$1:$J$1,0),FALSE)</f>
        <v>0</v>
      </c>
      <c r="J357">
        <f>VLOOKUP($B357,Miljö!$B$1:$J$479,MATCH("Kärnkraftsandel för ursprungsspecificerad el ()",Miljö!$B$1:$J$1,0),FALSE)</f>
        <v>0</v>
      </c>
      <c r="L357">
        <f>VLOOKUP($B357,Totalt!$B$1:$BU$497,MATCH("total el",Totalt!$B$1:$BU$1,0),FALSE)</f>
        <v>0.10299999999999999</v>
      </c>
      <c r="N357">
        <f t="shared" si="20"/>
        <v>0.20599999999999999</v>
      </c>
      <c r="O357">
        <f t="shared" si="21"/>
        <v>0</v>
      </c>
      <c r="P357">
        <f t="shared" si="22"/>
        <v>0</v>
      </c>
      <c r="Q357">
        <f t="shared" si="23"/>
        <v>0</v>
      </c>
    </row>
    <row r="358" spans="1:17" x14ac:dyDescent="0.45">
      <c r="A358" s="31" t="s">
        <v>48</v>
      </c>
      <c r="B358" s="31" t="s">
        <v>215</v>
      </c>
      <c r="C358" t="str">
        <f>VLOOKUP($B358,Totalt!$B$1:$BU$497,MATCH("Kvalitetsgranskad:",Totalt!$B$1:$BU$1,0),FALSE)</f>
        <v>Ja</v>
      </c>
      <c r="E358" t="str">
        <f>VLOOKUP($B358,Miljö!$B$1:$AG$479,MATCH(E$1,Miljö!$B$1:$AK$1,0),FALSE)</f>
        <v>Ja</v>
      </c>
      <c r="F358" t="str">
        <f>VLOOKUP($B358,Miljö!$B$1:$J$479,MATCH("Typ av ursprungsspecificerad el   (Om inget värde anges används Nordisk residualmix, se inforuta) ()",Miljö!$B$1:$J$1,0),FALSE)</f>
        <v>'Bio energi'</v>
      </c>
      <c r="G358">
        <f>VLOOKUP($B358,Miljö!$B$1:$J$479,MATCH("Primärenergifaktor ()",Miljö!$B$1:$J$1,0),FALSE)</f>
        <v>2</v>
      </c>
      <c r="H358">
        <f>VLOOKUP($B358,Miljö!$B$1:$J$479,MATCH("Koldioxidekvivalenter energiomvandling (g/kwh)",Miljö!$B$1:$J$1,0),FALSE)</f>
        <v>0</v>
      </c>
      <c r="I358">
        <f>VLOOKUP($B358,Miljö!$B$1:$J$479,MATCH("Fossilandel för ursprungspecificerad el ()",Miljö!$B$1:$J$1,0),FALSE)</f>
        <v>0</v>
      </c>
      <c r="J358">
        <f>VLOOKUP($B358,Miljö!$B$1:$J$479,MATCH("Kärnkraftsandel för ursprungsspecificerad el ()",Miljö!$B$1:$J$1,0),FALSE)</f>
        <v>0</v>
      </c>
      <c r="L358">
        <f>VLOOKUP($B358,Totalt!$B$1:$BU$497,MATCH("total el",Totalt!$B$1:$BU$1,0),FALSE)</f>
        <v>2.1865399999999999</v>
      </c>
      <c r="N358">
        <f t="shared" si="20"/>
        <v>4.3730799999999999</v>
      </c>
      <c r="O358">
        <f t="shared" si="21"/>
        <v>0</v>
      </c>
      <c r="P358">
        <f t="shared" si="22"/>
        <v>0</v>
      </c>
      <c r="Q358">
        <f t="shared" si="23"/>
        <v>0</v>
      </c>
    </row>
    <row r="359" spans="1:17" x14ac:dyDescent="0.45">
      <c r="A359" s="31" t="s">
        <v>48</v>
      </c>
      <c r="B359" s="31" t="s">
        <v>214</v>
      </c>
      <c r="C359" t="str">
        <f>VLOOKUP($B359,Totalt!$B$1:$BU$497,MATCH("Kvalitetsgranskad:",Totalt!$B$1:$BU$1,0),FALSE)</f>
        <v>Ja</v>
      </c>
      <c r="E359" t="str">
        <f>VLOOKUP($B359,Miljö!$B$1:$AG$479,MATCH(E$1,Miljö!$B$1:$AK$1,0),FALSE)</f>
        <v>Ja</v>
      </c>
      <c r="F359" t="str">
        <f>VLOOKUP($B359,Miljö!$B$1:$J$479,MATCH("Typ av ursprungsspecificerad el   (Om inget värde anges används Nordisk residualmix, se inforuta) ()",Miljö!$B$1:$J$1,0),FALSE)</f>
        <v>'Bio energi'</v>
      </c>
      <c r="G359">
        <f>VLOOKUP($B359,Miljö!$B$1:$J$479,MATCH("Primärenergifaktor ()",Miljö!$B$1:$J$1,0),FALSE)</f>
        <v>2</v>
      </c>
      <c r="H359">
        <f>VLOOKUP($B359,Miljö!$B$1:$J$479,MATCH("Koldioxidekvivalenter energiomvandling (g/kwh)",Miljö!$B$1:$J$1,0),FALSE)</f>
        <v>0</v>
      </c>
      <c r="I359">
        <f>VLOOKUP($B359,Miljö!$B$1:$J$479,MATCH("Fossilandel för ursprungspecificerad el ()",Miljö!$B$1:$J$1,0),FALSE)</f>
        <v>0</v>
      </c>
      <c r="J359">
        <f>VLOOKUP($B359,Miljö!$B$1:$J$479,MATCH("Kärnkraftsandel för ursprungsspecificerad el ()",Miljö!$B$1:$J$1,0),FALSE)</f>
        <v>0</v>
      </c>
      <c r="L359">
        <f>VLOOKUP($B359,Totalt!$B$1:$BU$497,MATCH("total el",Totalt!$B$1:$BU$1,0),FALSE)</f>
        <v>3.8870399999999998</v>
      </c>
      <c r="N359">
        <f t="shared" si="20"/>
        <v>7.7740799999999997</v>
      </c>
      <c r="O359">
        <f t="shared" si="21"/>
        <v>0</v>
      </c>
      <c r="P359">
        <f t="shared" si="22"/>
        <v>0</v>
      </c>
      <c r="Q359">
        <f t="shared" si="23"/>
        <v>0</v>
      </c>
    </row>
    <row r="360" spans="1:17" x14ac:dyDescent="0.45">
      <c r="A360" s="31" t="s">
        <v>48</v>
      </c>
      <c r="B360" s="31" t="s">
        <v>213</v>
      </c>
      <c r="C360" t="str">
        <f>VLOOKUP($B360,Totalt!$B$1:$BU$497,MATCH("Kvalitetsgranskad:",Totalt!$B$1:$BU$1,0),FALSE)</f>
        <v>Ja</v>
      </c>
      <c r="E360" t="str">
        <f>VLOOKUP($B360,Miljö!$B$1:$AG$479,MATCH(E$1,Miljö!$B$1:$AK$1,0),FALSE)</f>
        <v>Ja</v>
      </c>
      <c r="F360" t="str">
        <f>VLOOKUP($B360,Miljö!$B$1:$J$479,MATCH("Typ av ursprungsspecificerad el   (Om inget värde anges används Nordisk residualmix, se inforuta) ()",Miljö!$B$1:$J$1,0),FALSE)</f>
        <v>-</v>
      </c>
      <c r="G360">
        <f>VLOOKUP($B360,Miljö!$B$1:$J$479,MATCH("Primärenergifaktor ()",Miljö!$B$1:$J$1,0),FALSE)</f>
        <v>2</v>
      </c>
      <c r="H360">
        <f>VLOOKUP($B360,Miljö!$B$1:$J$479,MATCH("Koldioxidekvivalenter energiomvandling (g/kwh)",Miljö!$B$1:$J$1,0),FALSE)</f>
        <v>0</v>
      </c>
      <c r="I360">
        <f>VLOOKUP($B360,Miljö!$B$1:$J$479,MATCH("Fossilandel för ursprungspecificerad el ()",Miljö!$B$1:$J$1,0),FALSE)</f>
        <v>0</v>
      </c>
      <c r="J360">
        <f>VLOOKUP($B360,Miljö!$B$1:$J$479,MATCH("Kärnkraftsandel för ursprungsspecificerad el ()",Miljö!$B$1:$J$1,0),FALSE)</f>
        <v>0</v>
      </c>
      <c r="L360">
        <f>VLOOKUP($B360,Totalt!$B$1:$BU$497,MATCH("total el",Totalt!$B$1:$BU$1,0),FALSE)</f>
        <v>0.98799999999999999</v>
      </c>
      <c r="N360">
        <f t="shared" si="20"/>
        <v>1.976</v>
      </c>
      <c r="O360">
        <f t="shared" si="21"/>
        <v>0</v>
      </c>
      <c r="P360">
        <f t="shared" si="22"/>
        <v>0</v>
      </c>
      <c r="Q360">
        <f t="shared" si="23"/>
        <v>0</v>
      </c>
    </row>
    <row r="361" spans="1:17" x14ac:dyDescent="0.45">
      <c r="A361" s="31" t="s">
        <v>48</v>
      </c>
      <c r="B361" s="31" t="s">
        <v>212</v>
      </c>
      <c r="C361" t="str">
        <f>VLOOKUP($B361,Totalt!$B$1:$BU$497,MATCH("Kvalitetsgranskad:",Totalt!$B$1:$BU$1,0),FALSE)</f>
        <v>Ja</v>
      </c>
      <c r="E361" t="str">
        <f>VLOOKUP($B361,Miljö!$B$1:$AG$479,MATCH(E$1,Miljö!$B$1:$AK$1,0),FALSE)</f>
        <v>Ja</v>
      </c>
      <c r="F361" t="str">
        <f>VLOOKUP($B361,Miljö!$B$1:$J$479,MATCH("Typ av ursprungsspecificerad el   (Om inget värde anges används Nordisk residualmix, se inforuta) ()",Miljö!$B$1:$J$1,0),FALSE)</f>
        <v>'Bio energi'</v>
      </c>
      <c r="G361">
        <f>VLOOKUP($B361,Miljö!$B$1:$J$479,MATCH("Primärenergifaktor ()",Miljö!$B$1:$J$1,0),FALSE)</f>
        <v>2</v>
      </c>
      <c r="H361">
        <f>VLOOKUP($B361,Miljö!$B$1:$J$479,MATCH("Koldioxidekvivalenter energiomvandling (g/kwh)",Miljö!$B$1:$J$1,0),FALSE)</f>
        <v>0</v>
      </c>
      <c r="I361">
        <f>VLOOKUP($B361,Miljö!$B$1:$J$479,MATCH("Fossilandel för ursprungspecificerad el ()",Miljö!$B$1:$J$1,0),FALSE)</f>
        <v>0</v>
      </c>
      <c r="J361">
        <f>VLOOKUP($B361,Miljö!$B$1:$J$479,MATCH("Kärnkraftsandel för ursprungsspecificerad el ()",Miljö!$B$1:$J$1,0),FALSE)</f>
        <v>0</v>
      </c>
      <c r="L361">
        <f>VLOOKUP($B361,Totalt!$B$1:$BU$497,MATCH("total el",Totalt!$B$1:$BU$1,0),FALSE)</f>
        <v>3.9E-2</v>
      </c>
      <c r="N361">
        <f t="shared" si="20"/>
        <v>7.8E-2</v>
      </c>
      <c r="O361">
        <f t="shared" si="21"/>
        <v>0</v>
      </c>
      <c r="P361">
        <f t="shared" si="22"/>
        <v>0</v>
      </c>
      <c r="Q361">
        <f t="shared" si="23"/>
        <v>0</v>
      </c>
    </row>
    <row r="362" spans="1:17" x14ac:dyDescent="0.45">
      <c r="A362" s="31" t="s">
        <v>48</v>
      </c>
      <c r="B362" s="31" t="s">
        <v>211</v>
      </c>
      <c r="C362" t="str">
        <f>VLOOKUP($B362,Totalt!$B$1:$BU$497,MATCH("Kvalitetsgranskad:",Totalt!$B$1:$BU$1,0),FALSE)</f>
        <v>Ja</v>
      </c>
      <c r="E362" t="str">
        <f>VLOOKUP($B362,Miljö!$B$1:$AG$479,MATCH(E$1,Miljö!$B$1:$AK$1,0),FALSE)</f>
        <v>Ja</v>
      </c>
      <c r="F362" t="str">
        <f>VLOOKUP($B362,Miljö!$B$1:$J$479,MATCH("Typ av ursprungsspecificerad el   (Om inget värde anges används Nordisk residualmix, se inforuta) ()",Miljö!$B$1:$J$1,0),FALSE)</f>
        <v>'Bio energi'</v>
      </c>
      <c r="G362">
        <f>VLOOKUP($B362,Miljö!$B$1:$J$479,MATCH("Primärenergifaktor ()",Miljö!$B$1:$J$1,0),FALSE)</f>
        <v>2</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VLOOKUP($B362,Totalt!$B$1:$BU$497,MATCH("total el",Totalt!$B$1:$BU$1,0),FALSE)</f>
        <v>0.32900000000000001</v>
      </c>
      <c r="N362">
        <f t="shared" si="20"/>
        <v>0.65800000000000003</v>
      </c>
      <c r="O362">
        <f t="shared" si="21"/>
        <v>0</v>
      </c>
      <c r="P362">
        <f t="shared" si="22"/>
        <v>0</v>
      </c>
      <c r="Q362">
        <f t="shared" si="23"/>
        <v>0</v>
      </c>
    </row>
    <row r="363" spans="1:17" x14ac:dyDescent="0.45">
      <c r="A363" s="31" t="s">
        <v>48</v>
      </c>
      <c r="B363" s="31" t="s">
        <v>210</v>
      </c>
      <c r="C363" t="str">
        <f>VLOOKUP($B363,Totalt!$B$1:$BU$497,MATCH("Kvalitetsgranskad:",Totalt!$B$1:$BU$1,0),FALSE)</f>
        <v>Ja</v>
      </c>
      <c r="E363" t="str">
        <f>VLOOKUP($B363,Miljö!$B$1:$AG$479,MATCH(E$1,Miljö!$B$1:$AK$1,0),FALSE)</f>
        <v>Ja</v>
      </c>
      <c r="F363" t="str">
        <f>VLOOKUP($B363,Miljö!$B$1:$J$479,MATCH("Typ av ursprungsspecificerad el   (Om inget värde anges används Nordisk residualmix, se inforuta) ()",Miljö!$B$1:$J$1,0),FALSE)</f>
        <v>'Bio energi'</v>
      </c>
      <c r="G363">
        <f>VLOOKUP($B363,Miljö!$B$1:$J$479,MATCH("Primärenergifaktor ()",Miljö!$B$1:$J$1,0),FALSE)</f>
        <v>2</v>
      </c>
      <c r="H363">
        <f>VLOOKUP($B363,Miljö!$B$1:$J$479,MATCH("Koldioxidekvivalenter energiomvandling (g/kwh)",Miljö!$B$1:$J$1,0),FALSE)</f>
        <v>0</v>
      </c>
      <c r="I363">
        <f>VLOOKUP($B363,Miljö!$B$1:$J$479,MATCH("Fossilandel för ursprungspecificerad el ()",Miljö!$B$1:$J$1,0),FALSE)</f>
        <v>0</v>
      </c>
      <c r="J363">
        <f>VLOOKUP($B363,Miljö!$B$1:$J$479,MATCH("Kärnkraftsandel för ursprungsspecificerad el ()",Miljö!$B$1:$J$1,0),FALSE)</f>
        <v>0</v>
      </c>
      <c r="L363">
        <f>VLOOKUP($B363,Totalt!$B$1:$BU$497,MATCH("total el",Totalt!$B$1:$BU$1,0),FALSE)</f>
        <v>2.5009999999999999</v>
      </c>
      <c r="N363">
        <f t="shared" si="20"/>
        <v>5.0019999999999998</v>
      </c>
      <c r="O363">
        <f t="shared" si="21"/>
        <v>0</v>
      </c>
      <c r="P363">
        <f t="shared" si="22"/>
        <v>0</v>
      </c>
      <c r="Q363">
        <f t="shared" si="23"/>
        <v>0</v>
      </c>
    </row>
    <row r="364" spans="1:17" x14ac:dyDescent="0.45">
      <c r="A364" s="31" t="s">
        <v>48</v>
      </c>
      <c r="B364" s="31" t="s">
        <v>209</v>
      </c>
      <c r="C364" t="str">
        <f>VLOOKUP($B364,Totalt!$B$1:$BU$497,MATCH("Kvalitetsgranskad:",Totalt!$B$1:$BU$1,0),FALSE)</f>
        <v>Ja</v>
      </c>
      <c r="E364" t="str">
        <f>VLOOKUP($B364,Miljö!$B$1:$AG$479,MATCH(E$1,Miljö!$B$1:$AK$1,0),FALSE)</f>
        <v>Ja</v>
      </c>
      <c r="F364" t="str">
        <f>VLOOKUP($B364,Miljö!$B$1:$J$479,MATCH("Typ av ursprungsspecificerad el   (Om inget värde anges används Nordisk residualmix, se inforuta) ()",Miljö!$B$1:$J$1,0),FALSE)</f>
        <v>'Bio energi'</v>
      </c>
      <c r="G364">
        <f>VLOOKUP($B364,Miljö!$B$1:$J$479,MATCH("Primärenergifaktor ()",Miljö!$B$1:$J$1,0),FALSE)</f>
        <v>2</v>
      </c>
      <c r="H364">
        <f>VLOOKUP($B364,Miljö!$B$1:$J$479,MATCH("Koldioxidekvivalenter energiomvandling (g/kwh)",Miljö!$B$1:$J$1,0),FALSE)</f>
        <v>0</v>
      </c>
      <c r="I364">
        <f>VLOOKUP($B364,Miljö!$B$1:$J$479,MATCH("Fossilandel för ursprungspecificerad el ()",Miljö!$B$1:$J$1,0),FALSE)</f>
        <v>0</v>
      </c>
      <c r="J364">
        <f>VLOOKUP($B364,Miljö!$B$1:$J$479,MATCH("Kärnkraftsandel för ursprungsspecificerad el ()",Miljö!$B$1:$J$1,0),FALSE)</f>
        <v>0</v>
      </c>
      <c r="L364">
        <f>VLOOKUP($B364,Totalt!$B$1:$BU$497,MATCH("total el",Totalt!$B$1:$BU$1,0),FALSE)</f>
        <v>7.2937900000000004</v>
      </c>
      <c r="N364">
        <f t="shared" si="20"/>
        <v>14.587580000000001</v>
      </c>
      <c r="O364">
        <f t="shared" si="21"/>
        <v>0</v>
      </c>
      <c r="P364">
        <f t="shared" si="22"/>
        <v>0</v>
      </c>
      <c r="Q364">
        <f t="shared" si="23"/>
        <v>0</v>
      </c>
    </row>
    <row r="365" spans="1:17" x14ac:dyDescent="0.45">
      <c r="A365" s="31" t="s">
        <v>48</v>
      </c>
      <c r="B365" s="31" t="s">
        <v>208</v>
      </c>
      <c r="C365" t="str">
        <f>VLOOKUP($B365,Totalt!$B$1:$BU$497,MATCH("Kvalitetsgranskad:",Totalt!$B$1:$BU$1,0),FALSE)</f>
        <v>Ja</v>
      </c>
      <c r="E365" t="str">
        <f>VLOOKUP($B365,Miljö!$B$1:$AG$479,MATCH(E$1,Miljö!$B$1:$AK$1,0),FALSE)</f>
        <v>Ja</v>
      </c>
      <c r="F365" t="str">
        <f>VLOOKUP($B365,Miljö!$B$1:$J$479,MATCH("Typ av ursprungsspecificerad el   (Om inget värde anges används Nordisk residualmix, se inforuta) ()",Miljö!$B$1:$J$1,0),FALSE)</f>
        <v>'Bio energi'</v>
      </c>
      <c r="G365">
        <f>VLOOKUP($B365,Miljö!$B$1:$J$479,MATCH("Primärenergifaktor ()",Miljö!$B$1:$J$1,0),FALSE)</f>
        <v>2</v>
      </c>
      <c r="H365">
        <f>VLOOKUP($B365,Miljö!$B$1:$J$479,MATCH("Koldioxidekvivalenter energiomvandling (g/kwh)",Miljö!$B$1:$J$1,0),FALSE)</f>
        <v>0</v>
      </c>
      <c r="I365">
        <f>VLOOKUP($B365,Miljö!$B$1:$J$479,MATCH("Fossilandel för ursprungspecificerad el ()",Miljö!$B$1:$J$1,0),FALSE)</f>
        <v>0</v>
      </c>
      <c r="J365">
        <f>VLOOKUP($B365,Miljö!$B$1:$J$479,MATCH("Kärnkraftsandel för ursprungsspecificerad el ()",Miljö!$B$1:$J$1,0),FALSE)</f>
        <v>0</v>
      </c>
      <c r="L365">
        <f>VLOOKUP($B365,Totalt!$B$1:$BU$497,MATCH("total el",Totalt!$B$1:$BU$1,0),FALSE)</f>
        <v>5.0999999999999997E-2</v>
      </c>
      <c r="N365">
        <f t="shared" si="20"/>
        <v>0.10199999999999999</v>
      </c>
      <c r="O365">
        <f t="shared" si="21"/>
        <v>0</v>
      </c>
      <c r="P365">
        <f t="shared" si="22"/>
        <v>0</v>
      </c>
      <c r="Q365">
        <f t="shared" si="23"/>
        <v>0</v>
      </c>
    </row>
    <row r="366" spans="1:17" x14ac:dyDescent="0.45">
      <c r="A366" s="31" t="s">
        <v>48</v>
      </c>
      <c r="B366" s="31" t="s">
        <v>207</v>
      </c>
      <c r="C366" t="str">
        <f>VLOOKUP($B366,Totalt!$B$1:$BU$497,MATCH("Kvalitetsgranskad:",Totalt!$B$1:$BU$1,0),FALSE)</f>
        <v>Ja</v>
      </c>
      <c r="E366" t="str">
        <f>VLOOKUP($B366,Miljö!$B$1:$AG$479,MATCH(E$1,Miljö!$B$1:$AK$1,0),FALSE)</f>
        <v>Ja</v>
      </c>
      <c r="F366" t="str">
        <f>VLOOKUP($B366,Miljö!$B$1:$J$479,MATCH("Typ av ursprungsspecificerad el   (Om inget värde anges används Nordisk residualmix, se inforuta) ()",Miljö!$B$1:$J$1,0),FALSE)</f>
        <v>'Bio energi'</v>
      </c>
      <c r="G366">
        <f>VLOOKUP($B366,Miljö!$B$1:$J$479,MATCH("Primärenergifaktor ()",Miljö!$B$1:$J$1,0),FALSE)</f>
        <v>2</v>
      </c>
      <c r="H366">
        <f>VLOOKUP($B366,Miljö!$B$1:$J$479,MATCH("Koldioxidekvivalenter energiomvandling (g/kwh)",Miljö!$B$1:$J$1,0),FALSE)</f>
        <v>0</v>
      </c>
      <c r="I366">
        <f>VLOOKUP($B366,Miljö!$B$1:$J$479,MATCH("Fossilandel för ursprungspecificerad el ()",Miljö!$B$1:$J$1,0),FALSE)</f>
        <v>0</v>
      </c>
      <c r="J366">
        <f>VLOOKUP($B366,Miljö!$B$1:$J$479,MATCH("Kärnkraftsandel för ursprungsspecificerad el ()",Miljö!$B$1:$J$1,0),FALSE)</f>
        <v>0</v>
      </c>
      <c r="L366">
        <f>VLOOKUP($B366,Totalt!$B$1:$BU$497,MATCH("total el",Totalt!$B$1:$BU$1,0),FALSE)</f>
        <v>0.70499999999999996</v>
      </c>
      <c r="N366">
        <f t="shared" si="20"/>
        <v>1.41</v>
      </c>
      <c r="O366">
        <f t="shared" si="21"/>
        <v>0</v>
      </c>
      <c r="P366">
        <f t="shared" si="22"/>
        <v>0</v>
      </c>
      <c r="Q366">
        <f t="shared" si="23"/>
        <v>0</v>
      </c>
    </row>
    <row r="367" spans="1:17" x14ac:dyDescent="0.45">
      <c r="A367" s="31" t="s">
        <v>48</v>
      </c>
      <c r="B367" s="31" t="s">
        <v>206</v>
      </c>
      <c r="C367" t="str">
        <f>VLOOKUP($B367,Totalt!$B$1:$BU$497,MATCH("Kvalitetsgranskad:",Totalt!$B$1:$BU$1,0),FALSE)</f>
        <v>Ja</v>
      </c>
      <c r="E367" t="str">
        <f>VLOOKUP($B367,Miljö!$B$1:$AG$479,MATCH(E$1,Miljö!$B$1:$AK$1,0),FALSE)</f>
        <v>Ja</v>
      </c>
      <c r="F367" t="str">
        <f>VLOOKUP($B367,Miljö!$B$1:$J$479,MATCH("Typ av ursprungsspecificerad el   (Om inget värde anges används Nordisk residualmix, se inforuta) ()",Miljö!$B$1:$J$1,0),FALSE)</f>
        <v>'Bio energi'</v>
      </c>
      <c r="G367">
        <f>VLOOKUP($B367,Miljö!$B$1:$J$479,MATCH("Primärenergifaktor ()",Miljö!$B$1:$J$1,0),FALSE)</f>
        <v>2</v>
      </c>
      <c r="H367">
        <f>VLOOKUP($B367,Miljö!$B$1:$J$479,MATCH("Koldioxidekvivalenter energiomvandling (g/kwh)",Miljö!$B$1:$J$1,0),FALSE)</f>
        <v>0</v>
      </c>
      <c r="I367">
        <f>VLOOKUP($B367,Miljö!$B$1:$J$479,MATCH("Fossilandel för ursprungspecificerad el ()",Miljö!$B$1:$J$1,0),FALSE)</f>
        <v>0</v>
      </c>
      <c r="J367">
        <f>VLOOKUP($B367,Miljö!$B$1:$J$479,MATCH("Kärnkraftsandel för ursprungsspecificerad el ()",Miljö!$B$1:$J$1,0),FALSE)</f>
        <v>0</v>
      </c>
      <c r="L367">
        <f>VLOOKUP($B367,Totalt!$B$1:$BU$497,MATCH("total el",Totalt!$B$1:$BU$1,0),FALSE)</f>
        <v>0.11</v>
      </c>
      <c r="N367">
        <f t="shared" si="20"/>
        <v>0.22</v>
      </c>
      <c r="O367">
        <f t="shared" si="21"/>
        <v>0</v>
      </c>
      <c r="P367">
        <f t="shared" si="22"/>
        <v>0</v>
      </c>
      <c r="Q367">
        <f t="shared" si="23"/>
        <v>0</v>
      </c>
    </row>
    <row r="368" spans="1:17" x14ac:dyDescent="0.45">
      <c r="A368" s="31" t="s">
        <v>48</v>
      </c>
      <c r="B368" s="31" t="s">
        <v>205</v>
      </c>
      <c r="C368" t="str">
        <f>VLOOKUP($B368,Totalt!$B$1:$BU$497,MATCH("Kvalitetsgranskad:",Totalt!$B$1:$BU$1,0),FALSE)</f>
        <v>Ja</v>
      </c>
      <c r="E368" t="str">
        <f>VLOOKUP($B368,Miljö!$B$1:$AG$479,MATCH(E$1,Miljö!$B$1:$AK$1,0),FALSE)</f>
        <v>Ja</v>
      </c>
      <c r="F368" t="str">
        <f>VLOOKUP($B368,Miljö!$B$1:$J$479,MATCH("Typ av ursprungsspecificerad el   (Om inget värde anges används Nordisk residualmix, se inforuta) ()",Miljö!$B$1:$J$1,0),FALSE)</f>
        <v>'Bio energi'</v>
      </c>
      <c r="G368">
        <f>VLOOKUP($B368,Miljö!$B$1:$J$479,MATCH("Primärenergifaktor ()",Miljö!$B$1:$J$1,0),FALSE)</f>
        <v>2</v>
      </c>
      <c r="H368">
        <f>VLOOKUP($B368,Miljö!$B$1:$J$479,MATCH("Koldioxidekvivalenter energiomvandling (g/kwh)",Miljö!$B$1:$J$1,0),FALSE)</f>
        <v>0</v>
      </c>
      <c r="I368">
        <f>VLOOKUP($B368,Miljö!$B$1:$J$479,MATCH("Fossilandel för ursprungspecificerad el ()",Miljö!$B$1:$J$1,0),FALSE)</f>
        <v>0</v>
      </c>
      <c r="J368">
        <f>VLOOKUP($B368,Miljö!$B$1:$J$479,MATCH("Kärnkraftsandel för ursprungsspecificerad el ()",Miljö!$B$1:$J$1,0),FALSE)</f>
        <v>0</v>
      </c>
      <c r="L368">
        <f>VLOOKUP($B368,Totalt!$B$1:$BU$497,MATCH("total el",Totalt!$B$1:$BU$1,0),FALSE)</f>
        <v>3.7999999999999999E-2</v>
      </c>
      <c r="N368">
        <f t="shared" si="20"/>
        <v>7.5999999999999998E-2</v>
      </c>
      <c r="O368">
        <f t="shared" si="21"/>
        <v>0</v>
      </c>
      <c r="P368">
        <f t="shared" si="22"/>
        <v>0</v>
      </c>
      <c r="Q368">
        <f t="shared" si="23"/>
        <v>0</v>
      </c>
    </row>
    <row r="369" spans="1:17" x14ac:dyDescent="0.45">
      <c r="A369" s="31" t="s">
        <v>48</v>
      </c>
      <c r="B369" s="31" t="s">
        <v>204</v>
      </c>
      <c r="C369" t="str">
        <f>VLOOKUP($B369,Totalt!$B$1:$BU$497,MATCH("Kvalitetsgranskad:",Totalt!$B$1:$BU$1,0),FALSE)</f>
        <v>Nej</v>
      </c>
      <c r="E369" t="str">
        <f>VLOOKUP($B369,Miljö!$B$1:$AG$479,MATCH(E$1,Miljö!$B$1:$AK$1,0),FALSE)</f>
        <v>Nej</v>
      </c>
      <c r="F369" t="str">
        <f>VLOOKUP($B369,Miljö!$B$1:$J$479,MATCH("Typ av ursprungsspecificerad el   (Om inget värde anges används Nordisk residualmix, se inforuta) ()",Miljö!$B$1:$J$1,0),FALSE)</f>
        <v>-</v>
      </c>
      <c r="G369" t="str">
        <f>VLOOKUP($B369,Miljö!$B$1:$J$479,MATCH("Primärenergifaktor ()",Miljö!$B$1:$J$1,0),FALSE)</f>
        <v>-</v>
      </c>
      <c r="H369" t="str">
        <f>VLOOKUP($B369,Miljö!$B$1:$J$479,MATCH("Koldioxidekvivalenter energiomvandling (g/kwh)",Miljö!$B$1:$J$1,0),FALSE)</f>
        <v>-</v>
      </c>
      <c r="I369" t="str">
        <f>VLOOKUP($B369,Miljö!$B$1:$J$479,MATCH("Fossilandel för ursprungspecificerad el ()",Miljö!$B$1:$J$1,0),FALSE)</f>
        <v>-</v>
      </c>
      <c r="J369" t="str">
        <f>VLOOKUP($B369,Miljö!$B$1:$J$479,MATCH("Kärnkraftsandel för ursprungsspecificerad el ()",Miljö!$B$1:$J$1,0),FALSE)</f>
        <v>-</v>
      </c>
      <c r="L369">
        <f>VLOOKUP($B369,Totalt!$B$1:$BU$497,MATCH("total el",Totalt!$B$1:$BU$1,0),FALSE)</f>
        <v>0</v>
      </c>
      <c r="N369" t="str">
        <f t="shared" si="20"/>
        <v/>
      </c>
      <c r="O369" t="str">
        <f t="shared" si="21"/>
        <v/>
      </c>
      <c r="P369" t="str">
        <f t="shared" si="22"/>
        <v/>
      </c>
      <c r="Q369" t="str">
        <f t="shared" si="23"/>
        <v/>
      </c>
    </row>
    <row r="370" spans="1:17" x14ac:dyDescent="0.45">
      <c r="A370" s="31" t="s">
        <v>197</v>
      </c>
      <c r="B370" s="31" t="s">
        <v>198</v>
      </c>
      <c r="C370" t="str">
        <f>VLOOKUP($B370,Totalt!$B$1:$BU$497,MATCH("Kvalitetsgranskad:",Totalt!$B$1:$BU$1,0),FALSE)</f>
        <v>Ja</v>
      </c>
      <c r="E370" t="str">
        <f>VLOOKUP($B370,Miljö!$B$1:$AG$479,MATCH(E$1,Miljö!$B$1:$AK$1,0),FALSE)</f>
        <v>Ja</v>
      </c>
      <c r="F370" t="str">
        <f>VLOOKUP($B370,Miljö!$B$1:$J$479,MATCH("Typ av ursprungsspecificerad el   (Om inget värde anges används Nordisk residualmix, se inforuta) ()",Miljö!$B$1:$J$1,0),FALSE)</f>
        <v>'Vattenkraft'</v>
      </c>
      <c r="G370">
        <f>VLOOKUP($B370,Miljö!$B$1:$J$479,MATCH("Primärenergifaktor ()",Miljö!$B$1:$J$1,0),FALSE)</f>
        <v>1.1000000000000001</v>
      </c>
      <c r="H370">
        <f>VLOOKUP($B370,Miljö!$B$1:$J$479,MATCH("Koldioxidekvivalenter energiomvandling (g/kwh)",Miljö!$B$1:$J$1,0),FALSE)</f>
        <v>0</v>
      </c>
      <c r="I370">
        <f>VLOOKUP($B370,Miljö!$B$1:$J$479,MATCH("Fossilandel för ursprungspecificerad el ()",Miljö!$B$1:$J$1,0),FALSE)</f>
        <v>0</v>
      </c>
      <c r="J370">
        <f>VLOOKUP($B370,Miljö!$B$1:$J$479,MATCH("Kärnkraftsandel för ursprungsspecificerad el ()",Miljö!$B$1:$J$1,0),FALSE)</f>
        <v>0</v>
      </c>
      <c r="L370">
        <f>VLOOKUP($B370,Totalt!$B$1:$BU$497,MATCH("total el",Totalt!$B$1:$BU$1,0),FALSE)</f>
        <v>0.27389999999999998</v>
      </c>
      <c r="N370">
        <f t="shared" si="20"/>
        <v>0.30129</v>
      </c>
      <c r="O370">
        <f t="shared" si="21"/>
        <v>0</v>
      </c>
      <c r="P370">
        <f t="shared" si="22"/>
        <v>0</v>
      </c>
      <c r="Q370">
        <f t="shared" si="23"/>
        <v>0</v>
      </c>
    </row>
    <row r="371" spans="1:17" x14ac:dyDescent="0.45">
      <c r="A371" s="31" t="s">
        <v>197</v>
      </c>
      <c r="B371" s="31" t="s">
        <v>196</v>
      </c>
      <c r="C371" t="str">
        <f>VLOOKUP($B371,Totalt!$B$1:$BU$497,MATCH("Kvalitetsgranskad:",Totalt!$B$1:$BU$1,0),FALSE)</f>
        <v>Ja</v>
      </c>
      <c r="E371" t="str">
        <f>VLOOKUP($B371,Miljö!$B$1:$AG$479,MATCH(E$1,Miljö!$B$1:$AK$1,0),FALSE)</f>
        <v>Ja</v>
      </c>
      <c r="F371" t="str">
        <f>VLOOKUP($B371,Miljö!$B$1:$J$479,MATCH("Typ av ursprungsspecificerad el   (Om inget värde anges används Nordisk residualmix, se inforuta) ()",Miljö!$B$1:$J$1,0),FALSE)</f>
        <v>'Vindkraft och egen kraftvärme'</v>
      </c>
      <c r="G371">
        <f>VLOOKUP($B371,Miljö!$B$1:$J$479,MATCH("Primärenergifaktor ()",Miljö!$B$1:$J$1,0),FALSE)</f>
        <v>1.1000000000000001</v>
      </c>
      <c r="H371">
        <f>VLOOKUP($B371,Miljö!$B$1:$J$479,MATCH("Koldioxidekvivalenter energiomvandling (g/kwh)",Miljö!$B$1:$J$1,0),FALSE)</f>
        <v>0</v>
      </c>
      <c r="I371">
        <f>VLOOKUP($B371,Miljö!$B$1:$J$479,MATCH("Fossilandel för ursprungspecificerad el ()",Miljö!$B$1:$J$1,0),FALSE)</f>
        <v>0</v>
      </c>
      <c r="J371">
        <f>VLOOKUP($B371,Miljö!$B$1:$J$479,MATCH("Kärnkraftsandel för ursprungsspecificerad el ()",Miljö!$B$1:$J$1,0),FALSE)</f>
        <v>0</v>
      </c>
      <c r="L371">
        <f>VLOOKUP($B371,Totalt!$B$1:$BU$497,MATCH("total el",Totalt!$B$1:$BU$1,0),FALSE)</f>
        <v>4.2088799999999997</v>
      </c>
      <c r="N371">
        <f t="shared" si="20"/>
        <v>4.6297680000000003</v>
      </c>
      <c r="O371">
        <f t="shared" si="21"/>
        <v>0</v>
      </c>
      <c r="P371">
        <f t="shared" si="22"/>
        <v>0</v>
      </c>
      <c r="Q371">
        <f t="shared" si="23"/>
        <v>0</v>
      </c>
    </row>
    <row r="372" spans="1:17" x14ac:dyDescent="0.45">
      <c r="A372" s="31" t="s">
        <v>197</v>
      </c>
      <c r="B372" s="31" t="s">
        <v>199</v>
      </c>
      <c r="C372" t="str">
        <f>VLOOKUP($B372,Totalt!$B$1:$BU$497,MATCH("Kvalitetsgranskad:",Totalt!$B$1:$BU$1,0),FALSE)</f>
        <v>Ja</v>
      </c>
      <c r="E372" t="str">
        <f>VLOOKUP($B372,Miljö!$B$1:$AG$479,MATCH(E$1,Miljö!$B$1:$AK$1,0),FALSE)</f>
        <v>Ja</v>
      </c>
      <c r="F372" t="str">
        <f>VLOOKUP($B372,Miljö!$B$1:$J$479,MATCH("Typ av ursprungsspecificerad el   (Om inget värde anges används Nordisk residualmix, se inforuta) ()",Miljö!$B$1:$J$1,0),FALSE)</f>
        <v>'Vattenkraft'</v>
      </c>
      <c r="G372">
        <f>VLOOKUP($B372,Miljö!$B$1:$J$479,MATCH("Primärenergifaktor ()",Miljö!$B$1:$J$1,0),FALSE)</f>
        <v>1.1000000000000001</v>
      </c>
      <c r="H372">
        <f>VLOOKUP($B372,Miljö!$B$1:$J$479,MATCH("Koldioxidekvivalenter energiomvandling (g/kwh)",Miljö!$B$1:$J$1,0),FALSE)</f>
        <v>0</v>
      </c>
      <c r="I372">
        <f>VLOOKUP($B372,Miljö!$B$1:$J$479,MATCH("Fossilandel för ursprungspecificerad el ()",Miljö!$B$1:$J$1,0),FALSE)</f>
        <v>0</v>
      </c>
      <c r="J372">
        <f>VLOOKUP($B372,Miljö!$B$1:$J$479,MATCH("Kärnkraftsandel för ursprungsspecificerad el ()",Miljö!$B$1:$J$1,0),FALSE)</f>
        <v>0</v>
      </c>
      <c r="L372">
        <f>VLOOKUP($B372,Totalt!$B$1:$BU$497,MATCH("total el",Totalt!$B$1:$BU$1,0),FALSE)</f>
        <v>1.8450000000000001E-2</v>
      </c>
      <c r="N372">
        <f t="shared" si="20"/>
        <v>2.0295000000000004E-2</v>
      </c>
      <c r="O372">
        <f t="shared" si="21"/>
        <v>0</v>
      </c>
      <c r="P372">
        <f t="shared" si="22"/>
        <v>0</v>
      </c>
      <c r="Q372">
        <f t="shared" si="23"/>
        <v>0</v>
      </c>
    </row>
    <row r="373" spans="1:17" x14ac:dyDescent="0.45">
      <c r="A373" s="31" t="s">
        <v>197</v>
      </c>
      <c r="B373" s="31" t="s">
        <v>202</v>
      </c>
      <c r="C373" t="str">
        <f>VLOOKUP($B373,Totalt!$B$1:$BU$497,MATCH("Kvalitetsgranskad:",Totalt!$B$1:$BU$1,0),FALSE)</f>
        <v>Ja</v>
      </c>
      <c r="E373" t="str">
        <f>VLOOKUP($B373,Miljö!$B$1:$AG$479,MATCH(E$1,Miljö!$B$1:$AK$1,0),FALSE)</f>
        <v>Ja</v>
      </c>
      <c r="F373" t="str">
        <f>VLOOKUP($B373,Miljö!$B$1:$J$479,MATCH("Typ av ursprungsspecificerad el   (Om inget värde anges används Nordisk residualmix, se inforuta) ()",Miljö!$B$1:$J$1,0),FALSE)</f>
        <v>'vattenkraft'</v>
      </c>
      <c r="G373">
        <f>VLOOKUP($B373,Miljö!$B$1:$J$479,MATCH("Primärenergifaktor ()",Miljö!$B$1:$J$1,0),FALSE)</f>
        <v>1.1000000000000001</v>
      </c>
      <c r="H373">
        <f>VLOOKUP($B373,Miljö!$B$1:$J$479,MATCH("Koldioxidekvivalenter energiomvandling (g/kwh)",Miljö!$B$1:$J$1,0),FALSE)</f>
        <v>0</v>
      </c>
      <c r="I373">
        <f>VLOOKUP($B373,Miljö!$B$1:$J$479,MATCH("Fossilandel för ursprungspecificerad el ()",Miljö!$B$1:$J$1,0),FALSE)</f>
        <v>0</v>
      </c>
      <c r="J373">
        <f>VLOOKUP($B373,Miljö!$B$1:$J$479,MATCH("Kärnkraftsandel för ursprungsspecificerad el ()",Miljö!$B$1:$J$1,0),FALSE)</f>
        <v>0</v>
      </c>
      <c r="L373">
        <f>VLOOKUP($B373,Totalt!$B$1:$BU$497,MATCH("total el",Totalt!$B$1:$BU$1,0),FALSE)</f>
        <v>0.19790000000000002</v>
      </c>
      <c r="N373">
        <f t="shared" si="20"/>
        <v>0.21769000000000005</v>
      </c>
      <c r="O373">
        <f t="shared" si="21"/>
        <v>0</v>
      </c>
      <c r="P373">
        <f t="shared" si="22"/>
        <v>0</v>
      </c>
      <c r="Q373">
        <f t="shared" si="23"/>
        <v>0</v>
      </c>
    </row>
    <row r="374" spans="1:17" x14ac:dyDescent="0.45">
      <c r="A374" s="31" t="s">
        <v>197</v>
      </c>
      <c r="B374" s="31" t="s">
        <v>201</v>
      </c>
      <c r="C374" t="str">
        <f>VLOOKUP($B374,Totalt!$B$1:$BU$497,MATCH("Kvalitetsgranskad:",Totalt!$B$1:$BU$1,0),FALSE)</f>
        <v>Ja</v>
      </c>
      <c r="E374" t="str">
        <f>VLOOKUP($B374,Miljö!$B$1:$AG$479,MATCH(E$1,Miljö!$B$1:$AK$1,0),FALSE)</f>
        <v>Ja</v>
      </c>
      <c r="F374" t="str">
        <f>VLOOKUP($B374,Miljö!$B$1:$J$479,MATCH("Typ av ursprungsspecificerad el   (Om inget värde anges används Nordisk residualmix, se inforuta) ()",Miljö!$B$1:$J$1,0),FALSE)</f>
        <v>'Vattenkraft'</v>
      </c>
      <c r="G374">
        <f>VLOOKUP($B374,Miljö!$B$1:$J$479,MATCH("Primärenergifaktor ()",Miljö!$B$1:$J$1,0),FALSE)</f>
        <v>1.1000000000000001</v>
      </c>
      <c r="H374">
        <f>VLOOKUP($B374,Miljö!$B$1:$J$479,MATCH("Koldioxidekvivalenter energiomvandling (g/kwh)",Miljö!$B$1:$J$1,0),FALSE)</f>
        <v>0</v>
      </c>
      <c r="I374">
        <f>VLOOKUP($B374,Miljö!$B$1:$J$479,MATCH("Fossilandel för ursprungspecificerad el ()",Miljö!$B$1:$J$1,0),FALSE)</f>
        <v>0</v>
      </c>
      <c r="J374">
        <f>VLOOKUP($B374,Miljö!$B$1:$J$479,MATCH("Kärnkraftsandel för ursprungsspecificerad el ()",Miljö!$B$1:$J$1,0),FALSE)</f>
        <v>0</v>
      </c>
      <c r="L374">
        <f>VLOOKUP($B374,Totalt!$B$1:$BU$497,MATCH("total el",Totalt!$B$1:$BU$1,0),FALSE)</f>
        <v>0.11338999999999999</v>
      </c>
      <c r="N374">
        <f t="shared" si="20"/>
        <v>0.12472900000000001</v>
      </c>
      <c r="O374">
        <f t="shared" si="21"/>
        <v>0</v>
      </c>
      <c r="P374">
        <f t="shared" si="22"/>
        <v>0</v>
      </c>
      <c r="Q374">
        <f t="shared" si="23"/>
        <v>0</v>
      </c>
    </row>
    <row r="375" spans="1:17" x14ac:dyDescent="0.45">
      <c r="A375" s="31" t="s">
        <v>197</v>
      </c>
      <c r="B375" s="31" t="s">
        <v>203</v>
      </c>
      <c r="C375" t="str">
        <f>VLOOKUP($B375,Totalt!$B$1:$BU$497,MATCH("Kvalitetsgranskad:",Totalt!$B$1:$BU$1,0),FALSE)</f>
        <v>Ja</v>
      </c>
      <c r="E375" t="str">
        <f>VLOOKUP($B375,Miljö!$B$1:$AG$479,MATCH(E$1,Miljö!$B$1:$AK$1,0),FALSE)</f>
        <v>Ja</v>
      </c>
      <c r="F375" t="str">
        <f>VLOOKUP($B375,Miljö!$B$1:$J$479,MATCH("Typ av ursprungsspecificerad el   (Om inget värde anges används Nordisk residualmix, se inforuta) ()",Miljö!$B$1:$J$1,0),FALSE)</f>
        <v>'Vattenkraft'</v>
      </c>
      <c r="G375">
        <f>VLOOKUP($B375,Miljö!$B$1:$J$479,MATCH("Primärenergifaktor ()",Miljö!$B$1:$J$1,0),FALSE)</f>
        <v>1.1000000000000001</v>
      </c>
      <c r="H375">
        <f>VLOOKUP($B375,Miljö!$B$1:$J$479,MATCH("Koldioxidekvivalenter energiomvandling (g/kwh)",Miljö!$B$1:$J$1,0),FALSE)</f>
        <v>0</v>
      </c>
      <c r="I375">
        <f>VLOOKUP($B375,Miljö!$B$1:$J$479,MATCH("Fossilandel för ursprungspecificerad el ()",Miljö!$B$1:$J$1,0),FALSE)</f>
        <v>0</v>
      </c>
      <c r="J375">
        <f>VLOOKUP($B375,Miljö!$B$1:$J$479,MATCH("Kärnkraftsandel för ursprungsspecificerad el ()",Miljö!$B$1:$J$1,0),FALSE)</f>
        <v>0</v>
      </c>
      <c r="L375">
        <f>VLOOKUP($B375,Totalt!$B$1:$BU$497,MATCH("total el",Totalt!$B$1:$BU$1,0),FALSE)</f>
        <v>5.688E-2</v>
      </c>
      <c r="N375">
        <f t="shared" si="20"/>
        <v>6.2567999999999999E-2</v>
      </c>
      <c r="O375">
        <f t="shared" si="21"/>
        <v>0</v>
      </c>
      <c r="P375">
        <f t="shared" si="22"/>
        <v>0</v>
      </c>
      <c r="Q375">
        <f t="shared" si="23"/>
        <v>0</v>
      </c>
    </row>
    <row r="376" spans="1:17" x14ac:dyDescent="0.45">
      <c r="A376" s="31" t="s">
        <v>191</v>
      </c>
      <c r="B376" s="31" t="s">
        <v>195</v>
      </c>
      <c r="C376" t="str">
        <f>VLOOKUP($B376,Totalt!$B$1:$BU$497,MATCH("Kvalitetsgranskad:",Totalt!$B$1:$BU$1,0),FALSE)</f>
        <v>Ja</v>
      </c>
      <c r="E376" t="str">
        <f>VLOOKUP($B376,Miljö!$B$1:$AG$479,MATCH(E$1,Miljö!$B$1:$AK$1,0),FALSE)</f>
        <v>Ja</v>
      </c>
      <c r="F376" t="str">
        <f>VLOOKUP($B376,Miljö!$B$1:$J$479,MATCH("Typ av ursprungsspecificerad el   (Om inget värde anges används Nordisk residualmix, se inforuta) ()",Miljö!$B$1:$J$1,0),FALSE)</f>
        <v>'EPD Vattenfalls vindkraft'</v>
      </c>
      <c r="G376">
        <f>VLOOKUP($B376,Miljö!$B$1:$J$479,MATCH("Primärenergifaktor ()",Miljö!$B$1:$J$1,0),FALSE)</f>
        <v>0.05</v>
      </c>
      <c r="H376">
        <f>VLOOKUP($B376,Miljö!$B$1:$J$479,MATCH("Koldioxidekvivalenter energiomvandling (g/kwh)",Miljö!$B$1:$J$1,0),FALSE)</f>
        <v>0</v>
      </c>
      <c r="I376">
        <f>VLOOKUP($B376,Miljö!$B$1:$J$479,MATCH("Fossilandel för ursprungspecificerad el ()",Miljö!$B$1:$J$1,0),FALSE)</f>
        <v>0</v>
      </c>
      <c r="J376">
        <f>VLOOKUP($B376,Miljö!$B$1:$J$479,MATCH("Kärnkraftsandel för ursprungsspecificerad el ()",Miljö!$B$1:$J$1,0),FALSE)</f>
        <v>0</v>
      </c>
      <c r="L376">
        <f>VLOOKUP($B376,Totalt!$B$1:$BU$497,MATCH("total el",Totalt!$B$1:$BU$1,0),FALSE)</f>
        <v>4.6509999999999998</v>
      </c>
      <c r="N376">
        <f t="shared" si="20"/>
        <v>0.23255000000000001</v>
      </c>
      <c r="O376">
        <f t="shared" si="21"/>
        <v>0</v>
      </c>
      <c r="P376">
        <f t="shared" si="22"/>
        <v>0</v>
      </c>
      <c r="Q376">
        <f t="shared" si="23"/>
        <v>0</v>
      </c>
    </row>
    <row r="377" spans="1:17" x14ac:dyDescent="0.45">
      <c r="A377" s="31" t="s">
        <v>191</v>
      </c>
      <c r="B377" s="31" t="s">
        <v>193</v>
      </c>
      <c r="C377" t="str">
        <f>VLOOKUP($B377,Totalt!$B$1:$BU$497,MATCH("Kvalitetsgranskad:",Totalt!$B$1:$BU$1,0),FALSE)</f>
        <v>Ja</v>
      </c>
      <c r="E377" t="str">
        <f>VLOOKUP($B377,Miljö!$B$1:$AG$479,MATCH(E$1,Miljö!$B$1:$AK$1,0),FALSE)</f>
        <v>Ja</v>
      </c>
      <c r="F377" t="str">
        <f>VLOOKUP($B377,Miljö!$B$1:$J$479,MATCH("Typ av ursprungsspecificerad el   (Om inget värde anges används Nordisk residualmix, se inforuta) ()",Miljö!$B$1:$J$1,0),FALSE)</f>
        <v>'EPD Vattenfalls vindkraft'</v>
      </c>
      <c r="G377">
        <f>VLOOKUP($B377,Miljö!$B$1:$J$479,MATCH("Primärenergifaktor ()",Miljö!$B$1:$J$1,0),FALSE)</f>
        <v>0.05</v>
      </c>
      <c r="H377">
        <f>VLOOKUP($B377,Miljö!$B$1:$J$479,MATCH("Koldioxidekvivalenter energiomvandling (g/kwh)",Miljö!$B$1:$J$1,0),FALSE)</f>
        <v>0</v>
      </c>
      <c r="I377">
        <f>VLOOKUP($B377,Miljö!$B$1:$J$479,MATCH("Fossilandel för ursprungspecificerad el ()",Miljö!$B$1:$J$1,0),FALSE)</f>
        <v>0</v>
      </c>
      <c r="J377">
        <f>VLOOKUP($B377,Miljö!$B$1:$J$479,MATCH("Kärnkraftsandel för ursprungsspecificerad el ()",Miljö!$B$1:$J$1,0),FALSE)</f>
        <v>0</v>
      </c>
      <c r="L377">
        <f>VLOOKUP($B377,Totalt!$B$1:$BU$497,MATCH("total el",Totalt!$B$1:$BU$1,0),FALSE)</f>
        <v>0.34899999999999998</v>
      </c>
      <c r="N377">
        <f t="shared" si="20"/>
        <v>1.745E-2</v>
      </c>
      <c r="O377">
        <f t="shared" si="21"/>
        <v>0</v>
      </c>
      <c r="P377">
        <f t="shared" si="22"/>
        <v>0</v>
      </c>
      <c r="Q377">
        <f t="shared" si="23"/>
        <v>0</v>
      </c>
    </row>
    <row r="378" spans="1:17" x14ac:dyDescent="0.45">
      <c r="A378" s="31" t="s">
        <v>191</v>
      </c>
      <c r="B378" s="31" t="s">
        <v>192</v>
      </c>
      <c r="C378" t="str">
        <f>VLOOKUP($B378,Totalt!$B$1:$BU$497,MATCH("Kvalitetsgranskad:",Totalt!$B$1:$BU$1,0),FALSE)</f>
        <v>Ja</v>
      </c>
      <c r="E378" t="str">
        <f>VLOOKUP($B378,Miljö!$B$1:$AG$479,MATCH(E$1,Miljö!$B$1:$AK$1,0),FALSE)</f>
        <v>Ja</v>
      </c>
      <c r="F378" t="str">
        <f>VLOOKUP($B378,Miljö!$B$1:$J$479,MATCH("Typ av ursprungsspecificerad el   (Om inget värde anges används Nordisk residualmix, se inforuta) ()",Miljö!$B$1:$J$1,0),FALSE)</f>
        <v>'EPD Vattenfalls vindkraft'</v>
      </c>
      <c r="G378">
        <f>VLOOKUP($B378,Miljö!$B$1:$J$479,MATCH("Primärenergifaktor ()",Miljö!$B$1:$J$1,0),FALSE)</f>
        <v>0.05</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v>
      </c>
      <c r="L378">
        <f>VLOOKUP($B378,Totalt!$B$1:$BU$497,MATCH("total el",Totalt!$B$1:$BU$1,0),FALSE)</f>
        <v>4.2540000000000004</v>
      </c>
      <c r="N378">
        <f t="shared" si="20"/>
        <v>0.21270000000000003</v>
      </c>
      <c r="O378">
        <f t="shared" si="21"/>
        <v>0</v>
      </c>
      <c r="P378">
        <f t="shared" si="22"/>
        <v>0</v>
      </c>
      <c r="Q378">
        <f t="shared" si="23"/>
        <v>0</v>
      </c>
    </row>
    <row r="379" spans="1:17" x14ac:dyDescent="0.45">
      <c r="A379" s="31" t="s">
        <v>191</v>
      </c>
      <c r="B379" s="31" t="s">
        <v>190</v>
      </c>
      <c r="C379" t="str">
        <f>VLOOKUP($B379,Totalt!$B$1:$BU$497,MATCH("Kvalitetsgranskad:",Totalt!$B$1:$BU$1,0),FALSE)</f>
        <v>Ja</v>
      </c>
      <c r="E379" t="str">
        <f>VLOOKUP($B379,Miljö!$B$1:$AG$479,MATCH(E$1,Miljö!$B$1:$AK$1,0),FALSE)</f>
        <v>Ja</v>
      </c>
      <c r="F379" t="str">
        <f>VLOOKUP($B379,Miljö!$B$1:$J$479,MATCH("Typ av ursprungsspecificerad el   (Om inget värde anges används Nordisk residualmix, se inforuta) ()",Miljö!$B$1:$J$1,0),FALSE)</f>
        <v>-</v>
      </c>
      <c r="G379">
        <f>VLOOKUP($B379,Miljö!$B$1:$J$479,MATCH("Primärenergifaktor ()",Miljö!$B$1:$J$1,0),FALSE)</f>
        <v>2.2000000000000002</v>
      </c>
      <c r="H379">
        <f>VLOOKUP($B379,Miljö!$B$1:$J$479,MATCH("Koldioxidekvivalenter energiomvandling (g/kwh)",Miljö!$B$1:$J$1,0),FALSE)</f>
        <v>250.8</v>
      </c>
      <c r="I379">
        <f>VLOOKUP($B379,Miljö!$B$1:$J$479,MATCH("Fossilandel för ursprungspecificerad el ()",Miljö!$B$1:$J$1,0),FALSE)</f>
        <v>0.35</v>
      </c>
      <c r="J379">
        <f>VLOOKUP($B379,Miljö!$B$1:$J$479,MATCH("Kärnkraftsandel för ursprungsspecificerad el ()",Miljö!$B$1:$J$1,0),FALSE)</f>
        <v>0.3977</v>
      </c>
      <c r="L379">
        <f>VLOOKUP($B379,Totalt!$B$1:$BU$497,MATCH("total el",Totalt!$B$1:$BU$1,0),FALSE)</f>
        <v>8.6999999999999994E-2</v>
      </c>
      <c r="N379">
        <f t="shared" si="20"/>
        <v>0.19140000000000001</v>
      </c>
      <c r="O379">
        <f t="shared" si="21"/>
        <v>21.819600000000001</v>
      </c>
      <c r="P379">
        <f t="shared" si="22"/>
        <v>3.0449999999999994E-2</v>
      </c>
      <c r="Q379">
        <f t="shared" si="23"/>
        <v>3.4599899999999996E-2</v>
      </c>
    </row>
    <row r="380" spans="1:17" x14ac:dyDescent="0.45">
      <c r="A380" s="31" t="s">
        <v>187</v>
      </c>
      <c r="B380" s="31" t="s">
        <v>189</v>
      </c>
      <c r="C380" t="str">
        <f>VLOOKUP($B380,Totalt!$B$1:$BU$497,MATCH("Kvalitetsgranskad:",Totalt!$B$1:$BU$1,0),FALSE)</f>
        <v>Ja</v>
      </c>
      <c r="E380" t="str">
        <f>VLOOKUP($B380,Miljö!$B$1:$AG$479,MATCH(E$1,Miljö!$B$1:$AK$1,0),FALSE)</f>
        <v>Ja</v>
      </c>
      <c r="F380" t="str">
        <f>VLOOKUP($B380,Miljö!$B$1:$J$479,MATCH("Typ av ursprungsspecificerad el   (Om inget värde anges används Nordisk residualmix, se inforuta) ()",Miljö!$B$1:$J$1,0),FALSE)</f>
        <v>'Vattenkraft'</v>
      </c>
      <c r="G380">
        <f>VLOOKUP($B380,Miljö!$B$1:$J$479,MATCH("Primärenergifaktor ()",Miljö!$B$1:$J$1,0),FALSE)</f>
        <v>1.1000000000000001</v>
      </c>
      <c r="H380">
        <f>VLOOKUP($B380,Miljö!$B$1:$J$479,MATCH("Koldioxidekvivalenter energiomvandling (g/kwh)",Miljö!$B$1:$J$1,0),FALSE)</f>
        <v>0</v>
      </c>
      <c r="I380">
        <f>VLOOKUP($B380,Miljö!$B$1:$J$479,MATCH("Fossilandel för ursprungspecificerad el ()",Miljö!$B$1:$J$1,0),FALSE)</f>
        <v>0</v>
      </c>
      <c r="J380">
        <f>VLOOKUP($B380,Miljö!$B$1:$J$479,MATCH("Kärnkraftsandel för ursprungsspecificerad el ()",Miljö!$B$1:$J$1,0),FALSE)</f>
        <v>0</v>
      </c>
      <c r="L380">
        <f>VLOOKUP($B380,Totalt!$B$1:$BU$497,MATCH("total el",Totalt!$B$1:$BU$1,0),FALSE)</f>
        <v>0.28699999999999998</v>
      </c>
      <c r="N380">
        <f t="shared" si="20"/>
        <v>0.31569999999999998</v>
      </c>
      <c r="O380">
        <f t="shared" si="21"/>
        <v>0</v>
      </c>
      <c r="P380">
        <f t="shared" si="22"/>
        <v>0</v>
      </c>
      <c r="Q380">
        <f t="shared" si="23"/>
        <v>0</v>
      </c>
    </row>
    <row r="381" spans="1:17" x14ac:dyDescent="0.45">
      <c r="A381" s="31" t="s">
        <v>187</v>
      </c>
      <c r="B381" s="31" t="s">
        <v>188</v>
      </c>
      <c r="C381" t="str">
        <f>VLOOKUP($B381,Totalt!$B$1:$BU$497,MATCH("Kvalitetsgranskad:",Totalt!$B$1:$BU$1,0),FALSE)</f>
        <v>Ja</v>
      </c>
      <c r="E381" t="str">
        <f>VLOOKUP($B381,Miljö!$B$1:$AG$479,MATCH(E$1,Miljö!$B$1:$AK$1,0),FALSE)</f>
        <v>Ja</v>
      </c>
      <c r="F381" t="str">
        <f>VLOOKUP($B381,Miljö!$B$1:$J$479,MATCH("Typ av ursprungsspecificerad el   (Om inget värde anges används Nordisk residualmix, se inforuta) ()",Miljö!$B$1:$J$1,0),FALSE)</f>
        <v>'Vattenkraft'</v>
      </c>
      <c r="G381">
        <f>VLOOKUP($B381,Miljö!$B$1:$J$479,MATCH("Primärenergifaktor ()",Miljö!$B$1:$J$1,0),FALSE)</f>
        <v>1.1000000000000001</v>
      </c>
      <c r="H381">
        <f>VLOOKUP($B381,Miljö!$B$1:$J$479,MATCH("Koldioxidekvivalenter energiomvandling (g/kwh)",Miljö!$B$1:$J$1,0),FALSE)</f>
        <v>0</v>
      </c>
      <c r="I381">
        <f>VLOOKUP($B381,Miljö!$B$1:$J$479,MATCH("Fossilandel för ursprungspecificerad el ()",Miljö!$B$1:$J$1,0),FALSE)</f>
        <v>0</v>
      </c>
      <c r="J381">
        <f>VLOOKUP($B381,Miljö!$B$1:$J$479,MATCH("Kärnkraftsandel för ursprungsspecificerad el ()",Miljö!$B$1:$J$1,0),FALSE)</f>
        <v>0</v>
      </c>
      <c r="L381">
        <f>VLOOKUP($B381,Totalt!$B$1:$BU$497,MATCH("total el",Totalt!$B$1:$BU$1,0),FALSE)</f>
        <v>0.82599999999999996</v>
      </c>
      <c r="N381">
        <f t="shared" si="20"/>
        <v>0.90860000000000007</v>
      </c>
      <c r="O381">
        <f t="shared" si="21"/>
        <v>0</v>
      </c>
      <c r="P381">
        <f t="shared" si="22"/>
        <v>0</v>
      </c>
      <c r="Q381">
        <f t="shared" si="23"/>
        <v>0</v>
      </c>
    </row>
    <row r="382" spans="1:17" x14ac:dyDescent="0.45">
      <c r="A382" s="31" t="s">
        <v>187</v>
      </c>
      <c r="B382" s="31" t="s">
        <v>186</v>
      </c>
      <c r="C382" t="str">
        <f>VLOOKUP($B382,Totalt!$B$1:$BU$497,MATCH("Kvalitetsgranskad:",Totalt!$B$1:$BU$1,0),FALSE)</f>
        <v>Ja</v>
      </c>
      <c r="E382" t="str">
        <f>VLOOKUP($B382,Miljö!$B$1:$AG$479,MATCH(E$1,Miljö!$B$1:$AK$1,0),FALSE)</f>
        <v>Ja</v>
      </c>
      <c r="F382" t="str">
        <f>VLOOKUP($B382,Miljö!$B$1:$J$479,MATCH("Typ av ursprungsspecificerad el   (Om inget värde anges används Nordisk residualmix, se inforuta) ()",Miljö!$B$1:$J$1,0),FALSE)</f>
        <v>'Vattenkraft'</v>
      </c>
      <c r="G382">
        <f>VLOOKUP($B382,Miljö!$B$1:$J$479,MATCH("Primärenergifaktor ()",Miljö!$B$1:$J$1,0),FALSE)</f>
        <v>1.1000000000000001</v>
      </c>
      <c r="H382">
        <f>VLOOKUP($B382,Miljö!$B$1:$J$479,MATCH("Koldioxidekvivalenter energiomvandling (g/kwh)",Miljö!$B$1:$J$1,0),FALSE)</f>
        <v>0</v>
      </c>
      <c r="I382">
        <f>VLOOKUP($B382,Miljö!$B$1:$J$479,MATCH("Fossilandel för ursprungspecificerad el ()",Miljö!$B$1:$J$1,0),FALSE)</f>
        <v>0</v>
      </c>
      <c r="J382">
        <f>VLOOKUP($B382,Miljö!$B$1:$J$479,MATCH("Kärnkraftsandel för ursprungsspecificerad el ()",Miljö!$B$1:$J$1,0),FALSE)</f>
        <v>0</v>
      </c>
      <c r="L382">
        <f>VLOOKUP($B382,Totalt!$B$1:$BU$497,MATCH("total el",Totalt!$B$1:$BU$1,0),FALSE)</f>
        <v>9.4573199999999993</v>
      </c>
      <c r="N382">
        <f t="shared" si="20"/>
        <v>10.403052000000001</v>
      </c>
      <c r="O382">
        <f t="shared" si="21"/>
        <v>0</v>
      </c>
      <c r="P382">
        <f t="shared" si="22"/>
        <v>0</v>
      </c>
      <c r="Q382">
        <f t="shared" si="23"/>
        <v>0</v>
      </c>
    </row>
    <row r="383" spans="1:17" x14ac:dyDescent="0.45">
      <c r="A383" s="31" t="s">
        <v>182</v>
      </c>
      <c r="B383" s="31" t="s">
        <v>184</v>
      </c>
      <c r="C383" t="str">
        <f>VLOOKUP($B383,Totalt!$B$1:$BU$497,MATCH("Kvalitetsgranskad:",Totalt!$B$1:$BU$1,0),FALSE)</f>
        <v>Nej</v>
      </c>
      <c r="E383" t="str">
        <f>VLOOKUP($B383,Miljö!$B$1:$AG$479,MATCH(E$1,Miljö!$B$1:$AK$1,0),FALSE)</f>
        <v>Nej</v>
      </c>
      <c r="F383" t="str">
        <f>VLOOKUP($B383,Miljö!$B$1:$J$479,MATCH("Typ av ursprungsspecificerad el   (Om inget värde anges används Nordisk residualmix, se inforuta) ()",Miljö!$B$1:$J$1,0),FALSE)</f>
        <v>-</v>
      </c>
      <c r="G383" t="str">
        <f>VLOOKUP($B383,Miljö!$B$1:$J$479,MATCH("Primärenergifaktor ()",Miljö!$B$1:$J$1,0),FALSE)</f>
        <v>-</v>
      </c>
      <c r="H383" t="str">
        <f>VLOOKUP($B383,Miljö!$B$1:$J$479,MATCH("Koldioxidekvivalenter energiomvandling (g/kwh)",Miljö!$B$1:$J$1,0),FALSE)</f>
        <v>-</v>
      </c>
      <c r="I383" t="str">
        <f>VLOOKUP($B383,Miljö!$B$1:$J$479,MATCH("Fossilandel för ursprungspecificerad el ()",Miljö!$B$1:$J$1,0),FALSE)</f>
        <v>-</v>
      </c>
      <c r="J383" t="str">
        <f>VLOOKUP($B383,Miljö!$B$1:$J$479,MATCH("Kärnkraftsandel för ursprungsspecificerad el ()",Miljö!$B$1:$J$1,0),FALSE)</f>
        <v>-</v>
      </c>
      <c r="L383">
        <f>VLOOKUP($B383,Totalt!$B$1:$BU$497,MATCH("total el",Totalt!$B$1:$BU$1,0),FALSE)</f>
        <v>0</v>
      </c>
      <c r="N383" t="str">
        <f t="shared" si="20"/>
        <v/>
      </c>
      <c r="O383" t="str">
        <f t="shared" si="21"/>
        <v/>
      </c>
      <c r="P383" t="str">
        <f t="shared" si="22"/>
        <v/>
      </c>
      <c r="Q383" t="str">
        <f t="shared" si="23"/>
        <v/>
      </c>
    </row>
    <row r="384" spans="1:17" x14ac:dyDescent="0.45">
      <c r="A384" s="31" t="s">
        <v>182</v>
      </c>
      <c r="B384" s="31" t="s">
        <v>181</v>
      </c>
      <c r="C384" t="str">
        <f>VLOOKUP($B384,Totalt!$B$1:$BU$497,MATCH("Kvalitetsgranskad:",Totalt!$B$1:$BU$1,0),FALSE)</f>
        <v>Nej</v>
      </c>
      <c r="E384" t="str">
        <f>VLOOKUP($B384,Miljö!$B$1:$AG$479,MATCH(E$1,Miljö!$B$1:$AK$1,0),FALSE)</f>
        <v>Nej</v>
      </c>
      <c r="F384" t="str">
        <f>VLOOKUP($B384,Miljö!$B$1:$J$479,MATCH("Typ av ursprungsspecificerad el   (Om inget värde anges används Nordisk residualmix, se inforuta) ()",Miljö!$B$1:$J$1,0),FALSE)</f>
        <v>-</v>
      </c>
      <c r="G384" t="str">
        <f>VLOOKUP($B384,Miljö!$B$1:$J$479,MATCH("Primärenergifaktor ()",Miljö!$B$1:$J$1,0),FALSE)</f>
        <v>-</v>
      </c>
      <c r="H384" t="str">
        <f>VLOOKUP($B384,Miljö!$B$1:$J$479,MATCH("Koldioxidekvivalenter energiomvandling (g/kwh)",Miljö!$B$1:$J$1,0),FALSE)</f>
        <v>-</v>
      </c>
      <c r="I384" t="str">
        <f>VLOOKUP($B384,Miljö!$B$1:$J$479,MATCH("Fossilandel för ursprungspecificerad el ()",Miljö!$B$1:$J$1,0),FALSE)</f>
        <v>-</v>
      </c>
      <c r="J384" t="str">
        <f>VLOOKUP($B384,Miljö!$B$1:$J$479,MATCH("Kärnkraftsandel för ursprungsspecificerad el ()",Miljö!$B$1:$J$1,0),FALSE)</f>
        <v>-</v>
      </c>
      <c r="L384">
        <f>VLOOKUP($B384,Totalt!$B$1:$BU$497,MATCH("total el",Totalt!$B$1:$BU$1,0),FALSE)</f>
        <v>0</v>
      </c>
      <c r="N384" t="str">
        <f t="shared" si="20"/>
        <v/>
      </c>
      <c r="O384" t="str">
        <f t="shared" si="21"/>
        <v/>
      </c>
      <c r="P384" t="str">
        <f t="shared" si="22"/>
        <v/>
      </c>
      <c r="Q384" t="str">
        <f t="shared" si="23"/>
        <v/>
      </c>
    </row>
    <row r="385" spans="1:17" x14ac:dyDescent="0.45">
      <c r="A385" s="31" t="s">
        <v>182</v>
      </c>
      <c r="B385" s="31" t="s">
        <v>185</v>
      </c>
      <c r="C385" t="str">
        <f>VLOOKUP($B385,Totalt!$B$1:$BU$497,MATCH("Kvalitetsgranskad:",Totalt!$B$1:$BU$1,0),FALSE)</f>
        <v>Ja</v>
      </c>
      <c r="E385" t="str">
        <f>VLOOKUP($B385,Miljö!$B$1:$AG$479,MATCH(E$1,Miljö!$B$1:$AK$1,0),FALSE)</f>
        <v>Ja</v>
      </c>
      <c r="F385" t="str">
        <f>VLOOKUP($B385,Miljö!$B$1:$J$479,MATCH("Typ av ursprungsspecificerad el   (Om inget värde anges används Nordisk residualmix, se inforuta) ()",Miljö!$B$1:$J$1,0),FALSE)</f>
        <v>'Vattenfall "Klimatsmart/VattenEl"'</v>
      </c>
      <c r="G385">
        <f>VLOOKUP($B385,Miljö!$B$1:$J$479,MATCH("Primärenergifaktor ()",Miljö!$B$1:$J$1,0),FALSE)</f>
        <v>1.1000000000000001</v>
      </c>
      <c r="H385">
        <f>VLOOKUP($B385,Miljö!$B$1:$J$479,MATCH("Koldioxidekvivalenter energiomvandling (g/kwh)",Miljö!$B$1:$J$1,0),FALSE)</f>
        <v>8.1</v>
      </c>
      <c r="I385">
        <f>VLOOKUP($B385,Miljö!$B$1:$J$479,MATCH("Fossilandel för ursprungspecificerad el ()",Miljö!$B$1:$J$1,0),FALSE)</f>
        <v>0</v>
      </c>
      <c r="J385">
        <f>VLOOKUP($B385,Miljö!$B$1:$J$479,MATCH("Kärnkraftsandel för ursprungsspecificerad el ()",Miljö!$B$1:$J$1,0),FALSE)</f>
        <v>0</v>
      </c>
      <c r="L385">
        <f>VLOOKUP($B385,Totalt!$B$1:$BU$497,MATCH("total el",Totalt!$B$1:$BU$1,0),FALSE)</f>
        <v>4</v>
      </c>
      <c r="N385">
        <f t="shared" si="20"/>
        <v>4.4000000000000004</v>
      </c>
      <c r="O385">
        <f t="shared" si="21"/>
        <v>32.4</v>
      </c>
      <c r="P385">
        <f t="shared" si="22"/>
        <v>0</v>
      </c>
      <c r="Q385">
        <f t="shared" si="23"/>
        <v>0</v>
      </c>
    </row>
    <row r="386" spans="1:17" x14ac:dyDescent="0.45">
      <c r="A386" s="31" t="s">
        <v>182</v>
      </c>
      <c r="B386" s="31" t="s">
        <v>183</v>
      </c>
      <c r="C386" t="str">
        <f>VLOOKUP($B386,Totalt!$B$1:$BU$497,MATCH("Kvalitetsgranskad:",Totalt!$B$1:$BU$1,0),FALSE)</f>
        <v>Nej</v>
      </c>
      <c r="E386" t="str">
        <f>VLOOKUP($B386,Miljö!$B$1:$AG$479,MATCH(E$1,Miljö!$B$1:$AK$1,0),FALSE)</f>
        <v>Nej</v>
      </c>
      <c r="F386" t="str">
        <f>VLOOKUP($B386,Miljö!$B$1:$J$479,MATCH("Typ av ursprungsspecificerad el   (Om inget värde anges används Nordisk residualmix, se inforuta) ()",Miljö!$B$1:$J$1,0),FALSE)</f>
        <v>-</v>
      </c>
      <c r="G386" t="str">
        <f>VLOOKUP($B386,Miljö!$B$1:$J$479,MATCH("Primärenergifaktor ()",Miljö!$B$1:$J$1,0),FALSE)</f>
        <v>-</v>
      </c>
      <c r="H386" t="str">
        <f>VLOOKUP($B386,Miljö!$B$1:$J$479,MATCH("Koldioxidekvivalenter energiomvandling (g/kwh)",Miljö!$B$1:$J$1,0),FALSE)</f>
        <v>-</v>
      </c>
      <c r="I386" t="str">
        <f>VLOOKUP($B386,Miljö!$B$1:$J$479,MATCH("Fossilandel för ursprungspecificerad el ()",Miljö!$B$1:$J$1,0),FALSE)</f>
        <v>-</v>
      </c>
      <c r="J386" t="str">
        <f>VLOOKUP($B386,Miljö!$B$1:$J$479,MATCH("Kärnkraftsandel för ursprungsspecificerad el ()",Miljö!$B$1:$J$1,0),FALSE)</f>
        <v>-</v>
      </c>
      <c r="L386">
        <f>VLOOKUP($B386,Totalt!$B$1:$BU$497,MATCH("total el",Totalt!$B$1:$BU$1,0),FALSE)</f>
        <v>0</v>
      </c>
      <c r="N386" t="str">
        <f t="shared" si="20"/>
        <v/>
      </c>
      <c r="O386" t="str">
        <f t="shared" si="21"/>
        <v/>
      </c>
      <c r="P386" t="str">
        <f t="shared" si="22"/>
        <v/>
      </c>
      <c r="Q386" t="str">
        <f t="shared" si="23"/>
        <v/>
      </c>
    </row>
    <row r="387" spans="1:17" x14ac:dyDescent="0.45">
      <c r="A387" s="31" t="s">
        <v>175</v>
      </c>
      <c r="B387" s="31" t="s">
        <v>180</v>
      </c>
      <c r="C387" t="str">
        <f>VLOOKUP($B387,Totalt!$B$1:$BU$497,MATCH("Kvalitetsgranskad:",Totalt!$B$1:$BU$1,0),FALSE)</f>
        <v>Ja</v>
      </c>
      <c r="E387" t="str">
        <f>VLOOKUP($B387,Miljö!$B$1:$AG$479,MATCH(E$1,Miljö!$B$1:$AK$1,0),FALSE)</f>
        <v>Ja</v>
      </c>
      <c r="F387" t="str">
        <f>VLOOKUP($B387,Miljö!$B$1:$J$479,MATCH("Typ av ursprungsspecificerad el   (Om inget värde anges används Nordisk residualmix, se inforuta) ()",Miljö!$B$1:$J$1,0),FALSE)</f>
        <v>'"Bra miljöval"'</v>
      </c>
      <c r="G387">
        <f>VLOOKUP($B387,Miljö!$B$1:$J$479,MATCH("Primärenergifaktor ()",Miljö!$B$1:$J$1,0),FALSE)</f>
        <v>0</v>
      </c>
      <c r="H387">
        <f>VLOOKUP($B387,Miljö!$B$1:$J$479,MATCH("Koldioxidekvivalenter energiomvandling (g/kwh)",Miljö!$B$1:$J$1,0),FALSE)</f>
        <v>0</v>
      </c>
      <c r="I387">
        <f>VLOOKUP($B387,Miljö!$B$1:$J$479,MATCH("Fossilandel för ursprungspecificerad el ()",Miljö!$B$1:$J$1,0),FALSE)</f>
        <v>0</v>
      </c>
      <c r="J387">
        <f>VLOOKUP($B387,Miljö!$B$1:$J$479,MATCH("Kärnkraftsandel för ursprungsspecificerad el ()",Miljö!$B$1:$J$1,0),FALSE)</f>
        <v>0</v>
      </c>
      <c r="L387">
        <f>VLOOKUP($B387,Totalt!$B$1:$BU$497,MATCH("total el",Totalt!$B$1:$BU$1,0),FALSE)</f>
        <v>0.26</v>
      </c>
      <c r="N387">
        <f t="shared" ref="N387:N408" si="24">IF(ISERROR($L387*G387),"",$L387*G387)</f>
        <v>0</v>
      </c>
      <c r="O387">
        <f t="shared" ref="O387:O408" si="25">IF(ISERROR($L387*H387),"",$L387*H387)</f>
        <v>0</v>
      </c>
      <c r="P387">
        <f t="shared" ref="P387:P408" si="26">IF(ISERROR($L387*I387),"",$L387*I387)</f>
        <v>0</v>
      </c>
      <c r="Q387">
        <f t="shared" ref="Q387:Q408" si="27">IF(ISERROR($L387*J387),"",$L387*J387)</f>
        <v>0</v>
      </c>
    </row>
    <row r="388" spans="1:17" x14ac:dyDescent="0.45">
      <c r="A388" s="31" t="s">
        <v>175</v>
      </c>
      <c r="B388" s="31" t="s">
        <v>179</v>
      </c>
      <c r="C388" t="str">
        <f>VLOOKUP($B388,Totalt!$B$1:$BU$497,MATCH("Kvalitetsgranskad:",Totalt!$B$1:$BU$1,0),FALSE)</f>
        <v>Ja</v>
      </c>
      <c r="E388" t="str">
        <f>VLOOKUP($B388,Miljö!$B$1:$AG$479,MATCH(E$1,Miljö!$B$1:$AK$1,0),FALSE)</f>
        <v>Ja</v>
      </c>
      <c r="F388" t="str">
        <f>VLOOKUP($B388,Miljö!$B$1:$J$479,MATCH("Typ av ursprungsspecificerad el   (Om inget värde anges används Nordisk residualmix, se inforuta) ()",Miljö!$B$1:$J$1,0),FALSE)</f>
        <v>'"Bra miljöval"'</v>
      </c>
      <c r="G388">
        <f>VLOOKUP($B388,Miljö!$B$1:$J$479,MATCH("Primärenergifaktor ()",Miljö!$B$1:$J$1,0),FALSE)</f>
        <v>0</v>
      </c>
      <c r="H388">
        <f>VLOOKUP($B388,Miljö!$B$1:$J$479,MATCH("Koldioxidekvivalenter energiomvandling (g/kwh)",Miljö!$B$1:$J$1,0),FALSE)</f>
        <v>0</v>
      </c>
      <c r="I388">
        <f>VLOOKUP($B388,Miljö!$B$1:$J$479,MATCH("Fossilandel för ursprungspecificerad el ()",Miljö!$B$1:$J$1,0),FALSE)</f>
        <v>0</v>
      </c>
      <c r="J388">
        <f>VLOOKUP($B388,Miljö!$B$1:$J$479,MATCH("Kärnkraftsandel för ursprungsspecificerad el ()",Miljö!$B$1:$J$1,0),FALSE)</f>
        <v>0</v>
      </c>
      <c r="L388">
        <f>VLOOKUP($B388,Totalt!$B$1:$BU$497,MATCH("total el",Totalt!$B$1:$BU$1,0),FALSE)</f>
        <v>0.2</v>
      </c>
      <c r="N388">
        <f t="shared" si="24"/>
        <v>0</v>
      </c>
      <c r="O388">
        <f t="shared" si="25"/>
        <v>0</v>
      </c>
      <c r="P388">
        <f t="shared" si="26"/>
        <v>0</v>
      </c>
      <c r="Q388">
        <f t="shared" si="27"/>
        <v>0</v>
      </c>
    </row>
    <row r="389" spans="1:17" x14ac:dyDescent="0.45">
      <c r="A389" s="31" t="s">
        <v>175</v>
      </c>
      <c r="B389" s="31" t="s">
        <v>178</v>
      </c>
      <c r="C389" t="str">
        <f>VLOOKUP($B389,Totalt!$B$1:$BU$497,MATCH("Kvalitetsgranskad:",Totalt!$B$1:$BU$1,0),FALSE)</f>
        <v>Ja</v>
      </c>
      <c r="E389" t="str">
        <f>VLOOKUP($B389,Miljö!$B$1:$AG$479,MATCH(E$1,Miljö!$B$1:$AK$1,0),FALSE)</f>
        <v>Ja</v>
      </c>
      <c r="F389" t="str">
        <f>VLOOKUP($B389,Miljö!$B$1:$J$479,MATCH("Typ av ursprungsspecificerad el   (Om inget värde anges används Nordisk residualmix, se inforuta) ()",Miljö!$B$1:$J$1,0),FALSE)</f>
        <v>'Bra miljöval'</v>
      </c>
      <c r="G389">
        <f>VLOOKUP($B389,Miljö!$B$1:$J$479,MATCH("Primärenergifaktor ()",Miljö!$B$1:$J$1,0),FALSE)</f>
        <v>0</v>
      </c>
      <c r="H389">
        <f>VLOOKUP($B389,Miljö!$B$1:$J$479,MATCH("Koldioxidekvivalenter energiomvandling (g/kwh)",Miljö!$B$1:$J$1,0),FALSE)</f>
        <v>0</v>
      </c>
      <c r="I389">
        <f>VLOOKUP($B389,Miljö!$B$1:$J$479,MATCH("Fossilandel för ursprungspecificerad el ()",Miljö!$B$1:$J$1,0),FALSE)</f>
        <v>0</v>
      </c>
      <c r="J389">
        <f>VLOOKUP($B389,Miljö!$B$1:$J$479,MATCH("Kärnkraftsandel för ursprungsspecificerad el ()",Miljö!$B$1:$J$1,0),FALSE)</f>
        <v>0</v>
      </c>
      <c r="L389">
        <f>VLOOKUP($B389,Totalt!$B$1:$BU$497,MATCH("total el",Totalt!$B$1:$BU$1,0),FALSE)</f>
        <v>0.19</v>
      </c>
      <c r="N389">
        <f t="shared" si="24"/>
        <v>0</v>
      </c>
      <c r="O389">
        <f t="shared" si="25"/>
        <v>0</v>
      </c>
      <c r="P389">
        <f t="shared" si="26"/>
        <v>0</v>
      </c>
      <c r="Q389">
        <f t="shared" si="27"/>
        <v>0</v>
      </c>
    </row>
    <row r="390" spans="1:17" x14ac:dyDescent="0.45">
      <c r="A390" s="31" t="s">
        <v>175</v>
      </c>
      <c r="B390" s="31" t="s">
        <v>174</v>
      </c>
      <c r="C390" t="str">
        <f>VLOOKUP($B390,Totalt!$B$1:$BU$497,MATCH("Kvalitetsgranskad:",Totalt!$B$1:$BU$1,0),FALSE)</f>
        <v>Ja</v>
      </c>
      <c r="E390" t="str">
        <f>VLOOKUP($B390,Miljö!$B$1:$AG$479,MATCH(E$1,Miljö!$B$1:$AK$1,0),FALSE)</f>
        <v>Ja</v>
      </c>
      <c r="F390" t="str">
        <f>VLOOKUP($B390,Miljö!$B$1:$J$479,MATCH("Typ av ursprungsspecificerad el   (Om inget värde anges används Nordisk residualmix, se inforuta) ()",Miljö!$B$1:$J$1,0),FALSE)</f>
        <v>'Förnybar el'</v>
      </c>
      <c r="G390">
        <f>VLOOKUP($B390,Miljö!$B$1:$J$479,MATCH("Primärenergifaktor ()",Miljö!$B$1:$J$1,0),FALSE)</f>
        <v>0</v>
      </c>
      <c r="H390">
        <f>VLOOKUP($B390,Miljö!$B$1:$J$479,MATCH("Koldioxidekvivalenter energiomvandling (g/kwh)",Miljö!$B$1:$J$1,0),FALSE)</f>
        <v>0</v>
      </c>
      <c r="I390">
        <f>VLOOKUP($B390,Miljö!$B$1:$J$479,MATCH("Fossilandel för ursprungspecificerad el ()",Miljö!$B$1:$J$1,0),FALSE)</f>
        <v>0</v>
      </c>
      <c r="J390">
        <f>VLOOKUP($B390,Miljö!$B$1:$J$479,MATCH("Kärnkraftsandel för ursprungsspecificerad el ()",Miljö!$B$1:$J$1,0),FALSE)</f>
        <v>0</v>
      </c>
      <c r="L390">
        <f>VLOOKUP($B390,Totalt!$B$1:$BU$497,MATCH("total el",Totalt!$B$1:$BU$1,0),FALSE)</f>
        <v>14.146699999999999</v>
      </c>
      <c r="N390">
        <f t="shared" si="24"/>
        <v>0</v>
      </c>
      <c r="O390">
        <f t="shared" si="25"/>
        <v>0</v>
      </c>
      <c r="P390">
        <f t="shared" si="26"/>
        <v>0</v>
      </c>
      <c r="Q390">
        <f t="shared" si="27"/>
        <v>0</v>
      </c>
    </row>
    <row r="391" spans="1:17" x14ac:dyDescent="0.45">
      <c r="A391" s="31" t="s">
        <v>175</v>
      </c>
      <c r="B391" s="31" t="s">
        <v>177</v>
      </c>
      <c r="C391" t="str">
        <f>VLOOKUP($B391,Totalt!$B$1:$BU$497,MATCH("Kvalitetsgranskad:",Totalt!$B$1:$BU$1,0),FALSE)</f>
        <v>Ja</v>
      </c>
      <c r="E391" t="str">
        <f>VLOOKUP($B391,Miljö!$B$1:$AG$479,MATCH(E$1,Miljö!$B$1:$AK$1,0),FALSE)</f>
        <v>Ja</v>
      </c>
      <c r="F391" t="str">
        <f>VLOOKUP($B391,Miljö!$B$1:$J$479,MATCH("Typ av ursprungsspecificerad el   (Om inget värde anges används Nordisk residualmix, se inforuta) ()",Miljö!$B$1:$J$1,0),FALSE)</f>
        <v>''Bra miljöval''</v>
      </c>
      <c r="G391">
        <f>VLOOKUP($B391,Miljö!$B$1:$J$479,MATCH("Primärenergifaktor ()",Miljö!$B$1:$J$1,0),FALSE)</f>
        <v>0.1</v>
      </c>
      <c r="H391">
        <f>VLOOKUP($B391,Miljö!$B$1:$J$479,MATCH("Koldioxidekvivalenter energiomvandling (g/kwh)",Miljö!$B$1:$J$1,0),FALSE)</f>
        <v>0</v>
      </c>
      <c r="I391">
        <f>VLOOKUP($B391,Miljö!$B$1:$J$479,MATCH("Fossilandel för ursprungspecificerad el ()",Miljö!$B$1:$J$1,0),FALSE)</f>
        <v>0</v>
      </c>
      <c r="J391">
        <f>VLOOKUP($B391,Miljö!$B$1:$J$479,MATCH("Kärnkraftsandel för ursprungsspecificerad el ()",Miljö!$B$1:$J$1,0),FALSE)</f>
        <v>0</v>
      </c>
      <c r="L391">
        <f>VLOOKUP($B391,Totalt!$B$1:$BU$497,MATCH("total el",Totalt!$B$1:$BU$1,0),FALSE)</f>
        <v>1.6</v>
      </c>
      <c r="N391">
        <f t="shared" si="24"/>
        <v>0.16000000000000003</v>
      </c>
      <c r="O391">
        <f t="shared" si="25"/>
        <v>0</v>
      </c>
      <c r="P391">
        <f t="shared" si="26"/>
        <v>0</v>
      </c>
      <c r="Q391">
        <f t="shared" si="27"/>
        <v>0</v>
      </c>
    </row>
    <row r="392" spans="1:17" x14ac:dyDescent="0.45">
      <c r="A392" s="31" t="s">
        <v>172</v>
      </c>
      <c r="B392" s="31" t="s">
        <v>171</v>
      </c>
      <c r="C392" t="str">
        <f>VLOOKUP($B392,Totalt!$B$1:$BU$497,MATCH("Kvalitetsgranskad:",Totalt!$B$1:$BU$1,0),FALSE)</f>
        <v>Ja</v>
      </c>
      <c r="E392" t="str">
        <f>VLOOKUP($B392,Miljö!$B$1:$AG$479,MATCH(E$1,Miljö!$B$1:$AK$1,0),FALSE)</f>
        <v>Ja</v>
      </c>
      <c r="F392" t="str">
        <f>VLOOKUP($B392,Miljö!$B$1:$J$479,MATCH("Typ av ursprungsspecificerad el   (Om inget värde anges används Nordisk residualmix, se inforuta) ()",Miljö!$B$1:$J$1,0),FALSE)</f>
        <v>'Bra Miljöval'</v>
      </c>
      <c r="G392">
        <f>VLOOKUP($B392,Miljö!$B$1:$J$479,MATCH("Primärenergifaktor ()",Miljö!$B$1:$J$1,0),FALSE)</f>
        <v>0</v>
      </c>
      <c r="H392">
        <f>VLOOKUP($B392,Miljö!$B$1:$J$479,MATCH("Koldioxidekvivalenter energiomvandling (g/kwh)",Miljö!$B$1:$J$1,0),FALSE)</f>
        <v>0</v>
      </c>
      <c r="I392">
        <f>VLOOKUP($B392,Miljö!$B$1:$J$479,MATCH("Fossilandel för ursprungspecificerad el ()",Miljö!$B$1:$J$1,0),FALSE)</f>
        <v>0</v>
      </c>
      <c r="J392">
        <f>VLOOKUP($B392,Miljö!$B$1:$J$479,MATCH("Kärnkraftsandel för ursprungsspecificerad el ()",Miljö!$B$1:$J$1,0),FALSE)</f>
        <v>0</v>
      </c>
      <c r="L392">
        <f>VLOOKUP($B392,Totalt!$B$1:$BU$497,MATCH("total el",Totalt!$B$1:$BU$1,0),FALSE)</f>
        <v>3.617</v>
      </c>
      <c r="N392">
        <f t="shared" si="24"/>
        <v>0</v>
      </c>
      <c r="O392">
        <f t="shared" si="25"/>
        <v>0</v>
      </c>
      <c r="P392">
        <f t="shared" si="26"/>
        <v>0</v>
      </c>
      <c r="Q392">
        <f t="shared" si="27"/>
        <v>0</v>
      </c>
    </row>
    <row r="393" spans="1:17" x14ac:dyDescent="0.45">
      <c r="A393" s="31" t="s">
        <v>169</v>
      </c>
      <c r="B393" s="31" t="s">
        <v>170</v>
      </c>
      <c r="C393" t="str">
        <f>VLOOKUP($B393,Totalt!$B$1:$BU$497,MATCH("Kvalitetsgranskad:",Totalt!$B$1:$BU$1,0),FALSE)</f>
        <v>Ja</v>
      </c>
      <c r="E393" t="str">
        <f>VLOOKUP($B393,Miljö!$B$1:$AG$479,MATCH(E$1,Miljö!$B$1:$AK$1,0),FALSE)</f>
        <v>Ja</v>
      </c>
      <c r="F393" t="str">
        <f>VLOOKUP($B393,Miljö!$B$1:$J$479,MATCH("Typ av ursprungsspecificerad el   (Om inget värde anges används Nordisk residualmix, se inforuta) ()",Miljö!$B$1:$J$1,0),FALSE)</f>
        <v>-</v>
      </c>
      <c r="G393">
        <f>VLOOKUP($B393,Miljö!$B$1:$J$479,MATCH("Primärenergifaktor ()",Miljö!$B$1:$J$1,0),FALSE)</f>
        <v>2.14</v>
      </c>
      <c r="H393">
        <f>VLOOKUP($B393,Miljö!$B$1:$J$479,MATCH("Koldioxidekvivalenter energiomvandling (g/kwh)",Miljö!$B$1:$J$1,0),FALSE)</f>
        <v>1.4E-3</v>
      </c>
      <c r="I393">
        <f>VLOOKUP($B393,Miljö!$B$1:$J$479,MATCH("Fossilandel för ursprungspecificerad el ()",Miljö!$B$1:$J$1,0),FALSE)</f>
        <v>0</v>
      </c>
      <c r="J393">
        <f>VLOOKUP($B393,Miljö!$B$1:$J$479,MATCH("Kärnkraftsandel för ursprungsspecificerad el ()",Miljö!$B$1:$J$1,0),FALSE)</f>
        <v>0.52</v>
      </c>
      <c r="L393">
        <f>VLOOKUP($B393,Totalt!$B$1:$BU$497,MATCH("total el",Totalt!$B$1:$BU$1,0),FALSE)</f>
        <v>0.124</v>
      </c>
      <c r="N393">
        <f t="shared" si="24"/>
        <v>0.26536000000000004</v>
      </c>
      <c r="O393">
        <f t="shared" si="25"/>
        <v>1.7359999999999999E-4</v>
      </c>
      <c r="P393">
        <f t="shared" si="26"/>
        <v>0</v>
      </c>
      <c r="Q393">
        <f t="shared" si="27"/>
        <v>6.4479999999999996E-2</v>
      </c>
    </row>
    <row r="394" spans="1:17" x14ac:dyDescent="0.45">
      <c r="A394" s="31" t="s">
        <v>169</v>
      </c>
      <c r="B394" s="31" t="s">
        <v>168</v>
      </c>
      <c r="C394" t="str">
        <f>VLOOKUP($B394,Totalt!$B$1:$BU$497,MATCH("Kvalitetsgranskad:",Totalt!$B$1:$BU$1,0),FALSE)</f>
        <v>Ja</v>
      </c>
      <c r="E394" t="str">
        <f>VLOOKUP($B394,Miljö!$B$1:$AG$479,MATCH(E$1,Miljö!$B$1:$AK$1,0),FALSE)</f>
        <v>Ja</v>
      </c>
      <c r="F394" t="str">
        <f>VLOOKUP($B394,Miljö!$B$1:$J$479,MATCH("Typ av ursprungsspecificerad el   (Om inget värde anges används Nordisk residualmix, se inforuta) ()",Miljö!$B$1:$J$1,0),FALSE)</f>
        <v>-</v>
      </c>
      <c r="G394">
        <f>VLOOKUP($B394,Miljö!$B$1:$J$479,MATCH("Primärenergifaktor ()",Miljö!$B$1:$J$1,0),FALSE)</f>
        <v>2.14</v>
      </c>
      <c r="H394">
        <f>VLOOKUP($B394,Miljö!$B$1:$J$479,MATCH("Koldioxidekvivalenter energiomvandling (g/kwh)",Miljö!$B$1:$J$1,0),FALSE)</f>
        <v>1.4E-3</v>
      </c>
      <c r="I394">
        <f>VLOOKUP($B394,Miljö!$B$1:$J$479,MATCH("Fossilandel för ursprungspecificerad el ()",Miljö!$B$1:$J$1,0),FALSE)</f>
        <v>0</v>
      </c>
      <c r="J394">
        <f>VLOOKUP($B394,Miljö!$B$1:$J$479,MATCH("Kärnkraftsandel för ursprungsspecificerad el ()",Miljö!$B$1:$J$1,0),FALSE)</f>
        <v>0.52</v>
      </c>
      <c r="L394">
        <f>VLOOKUP($B394,Totalt!$B$1:$BU$497,MATCH("total el",Totalt!$B$1:$BU$1,0),FALSE)</f>
        <v>0.48299999999999998</v>
      </c>
      <c r="N394">
        <f t="shared" si="24"/>
        <v>1.03362</v>
      </c>
      <c r="O394">
        <f t="shared" si="25"/>
        <v>6.7619999999999996E-4</v>
      </c>
      <c r="P394">
        <f t="shared" si="26"/>
        <v>0</v>
      </c>
      <c r="Q394">
        <f t="shared" si="27"/>
        <v>0.25115999999999999</v>
      </c>
    </row>
    <row r="395" spans="1:17" x14ac:dyDescent="0.45">
      <c r="A395" s="31" t="s">
        <v>167</v>
      </c>
      <c r="B395" s="31" t="s">
        <v>136</v>
      </c>
      <c r="C395" t="str">
        <f>VLOOKUP($B395,Totalt!$B$1:$BU$497,MATCH("Kvalitetsgranskad:",Totalt!$B$1:$BU$1,0),FALSE)</f>
        <v>Nej</v>
      </c>
      <c r="E395" t="str">
        <f>VLOOKUP($B395,Miljö!$B$1:$AG$479,MATCH(E$1,Miljö!$B$1:$AK$1,0),FALSE)</f>
        <v>Nej</v>
      </c>
      <c r="F395" t="str">
        <f>VLOOKUP($B395,Miljö!$B$1:$J$479,MATCH("Typ av ursprungsspecificerad el   (Om inget värde anges används Nordisk residualmix, se inforuta) ()",Miljö!$B$1:$J$1,0),FALSE)</f>
        <v>-</v>
      </c>
      <c r="G395" t="str">
        <f>VLOOKUP($B395,Miljö!$B$1:$J$479,MATCH("Primärenergifaktor ()",Miljö!$B$1:$J$1,0),FALSE)</f>
        <v>-</v>
      </c>
      <c r="H395" t="str">
        <f>VLOOKUP($B395,Miljö!$B$1:$J$479,MATCH("Koldioxidekvivalenter energiomvandling (g/kwh)",Miljö!$B$1:$J$1,0),FALSE)</f>
        <v>-</v>
      </c>
      <c r="I395" t="str">
        <f>VLOOKUP($B395,Miljö!$B$1:$J$479,MATCH("Fossilandel för ursprungspecificerad el ()",Miljö!$B$1:$J$1,0),FALSE)</f>
        <v>-</v>
      </c>
      <c r="J395" t="str">
        <f>VLOOKUP($B395,Miljö!$B$1:$J$479,MATCH("Kärnkraftsandel för ursprungsspecificerad el ()",Miljö!$B$1:$J$1,0),FALSE)</f>
        <v>-</v>
      </c>
      <c r="L395">
        <f>VLOOKUP($B395,Totalt!$B$1:$BU$497,MATCH("total el",Totalt!$B$1:$BU$1,0),FALSE)</f>
        <v>0</v>
      </c>
      <c r="N395" t="str">
        <f t="shared" si="24"/>
        <v/>
      </c>
      <c r="O395" t="str">
        <f t="shared" si="25"/>
        <v/>
      </c>
      <c r="P395" t="str">
        <f t="shared" si="26"/>
        <v/>
      </c>
      <c r="Q395" t="str">
        <f t="shared" si="27"/>
        <v/>
      </c>
    </row>
    <row r="396" spans="1:17" x14ac:dyDescent="0.45">
      <c r="A396" s="31" t="s">
        <v>162</v>
      </c>
      <c r="B396" s="31" t="s">
        <v>166</v>
      </c>
      <c r="C396" t="str">
        <f>VLOOKUP($B396,Totalt!$B$1:$BU$497,MATCH("Kvalitetsgranskad:",Totalt!$B$1:$BU$1,0),FALSE)</f>
        <v>Ja</v>
      </c>
      <c r="E396" t="str">
        <f>VLOOKUP($B396,Miljö!$B$1:$AG$479,MATCH(E$1,Miljö!$B$1:$AK$1,0),FALSE)</f>
        <v>Ja</v>
      </c>
      <c r="F396" t="str">
        <f>VLOOKUP($B396,Miljö!$B$1:$J$479,MATCH("Typ av ursprungsspecificerad el   (Om inget värde anges används Nordisk residualmix, se inforuta) ()",Miljö!$B$1:$J$1,0),FALSE)</f>
        <v>'Bra Miljöval och egenproducerad el'</v>
      </c>
      <c r="G396">
        <f>VLOOKUP($B396,Miljö!$B$1:$J$479,MATCH("Primärenergifaktor ()",Miljö!$B$1:$J$1,0),FALSE)</f>
        <v>0.72</v>
      </c>
      <c r="H396">
        <f>VLOOKUP($B396,Miljö!$B$1:$J$479,MATCH("Koldioxidekvivalenter energiomvandling (g/kwh)",Miljö!$B$1:$J$1,0),FALSE)</f>
        <v>100.9</v>
      </c>
      <c r="I396">
        <f>VLOOKUP($B396,Miljö!$B$1:$J$479,MATCH("Fossilandel för ursprungspecificerad el ()",Miljö!$B$1:$J$1,0),FALSE)</f>
        <v>1E-3</v>
      </c>
      <c r="J396">
        <f>VLOOKUP($B396,Miljö!$B$1:$J$479,MATCH("Kärnkraftsandel för ursprungsspecificerad el ()",Miljö!$B$1:$J$1,0),FALSE)</f>
        <v>0</v>
      </c>
      <c r="L396">
        <f>VLOOKUP($B396,Totalt!$B$1:$BU$497,MATCH("total el",Totalt!$B$1:$BU$1,0),FALSE)</f>
        <v>32.479500000000002</v>
      </c>
      <c r="N396">
        <f t="shared" si="24"/>
        <v>23.38524</v>
      </c>
      <c r="O396">
        <f t="shared" si="25"/>
        <v>3277.1815500000002</v>
      </c>
      <c r="P396">
        <f t="shared" si="26"/>
        <v>3.2479500000000001E-2</v>
      </c>
      <c r="Q396">
        <f t="shared" si="27"/>
        <v>0</v>
      </c>
    </row>
    <row r="397" spans="1:17" x14ac:dyDescent="0.45">
      <c r="A397" s="31" t="s">
        <v>162</v>
      </c>
      <c r="B397" s="31" t="s">
        <v>164</v>
      </c>
      <c r="C397" t="str">
        <f>VLOOKUP($B397,Totalt!$B$1:$BU$497,MATCH("Kvalitetsgranskad:",Totalt!$B$1:$BU$1,0),FALSE)</f>
        <v>Ja</v>
      </c>
      <c r="E397" t="str">
        <f>VLOOKUP($B397,Miljö!$B$1:$AG$479,MATCH(E$1,Miljö!$B$1:$AK$1,0),FALSE)</f>
        <v>Ja</v>
      </c>
      <c r="F397" t="str">
        <f>VLOOKUP($B397,Miljö!$B$1:$J$479,MATCH("Typ av ursprungsspecificerad el   (Om inget värde anges används Nordisk residualmix, se inforuta) ()",Miljö!$B$1:$J$1,0),FALSE)</f>
        <v>'Bra miljöval'</v>
      </c>
      <c r="G397">
        <f>VLOOKUP($B397,Miljö!$B$1:$J$479,MATCH("Primärenergifaktor ()",Miljö!$B$1:$J$1,0),FALSE)</f>
        <v>1.1000000000000001</v>
      </c>
      <c r="H397">
        <f>VLOOKUP($B397,Miljö!$B$1:$J$479,MATCH("Koldioxidekvivalenter energiomvandling (g/kwh)",Miljö!$B$1:$J$1,0),FALSE)</f>
        <v>0</v>
      </c>
      <c r="I397">
        <f>VLOOKUP($B397,Miljö!$B$1:$J$479,MATCH("Fossilandel för ursprungspecificerad el ()",Miljö!$B$1:$J$1,0),FALSE)</f>
        <v>0</v>
      </c>
      <c r="J397">
        <f>VLOOKUP($B397,Miljö!$B$1:$J$479,MATCH("Kärnkraftsandel för ursprungsspecificerad el ()",Miljö!$B$1:$J$1,0),FALSE)</f>
        <v>0</v>
      </c>
      <c r="L397">
        <f>VLOOKUP($B397,Totalt!$B$1:$BU$497,MATCH("total el",Totalt!$B$1:$BU$1,0),FALSE)</f>
        <v>5.4899999999999997E-2</v>
      </c>
      <c r="N397">
        <f t="shared" si="24"/>
        <v>6.0389999999999999E-2</v>
      </c>
      <c r="O397">
        <f t="shared" si="25"/>
        <v>0</v>
      </c>
      <c r="P397">
        <f t="shared" si="26"/>
        <v>0</v>
      </c>
      <c r="Q397">
        <f t="shared" si="27"/>
        <v>0</v>
      </c>
    </row>
    <row r="398" spans="1:17" x14ac:dyDescent="0.45">
      <c r="A398" s="31" t="s">
        <v>162</v>
      </c>
      <c r="B398" s="31" t="s">
        <v>163</v>
      </c>
      <c r="C398" t="str">
        <f>VLOOKUP($B398,Totalt!$B$1:$BU$497,MATCH("Kvalitetsgranskad:",Totalt!$B$1:$BU$1,0),FALSE)</f>
        <v>Ja</v>
      </c>
      <c r="E398" t="str">
        <f>VLOOKUP($B398,Miljö!$B$1:$AG$479,MATCH(E$1,Miljö!$B$1:$AK$1,0),FALSE)</f>
        <v>Ja</v>
      </c>
      <c r="F398" t="str">
        <f>VLOOKUP($B398,Miljö!$B$1:$J$479,MATCH("Typ av ursprungsspecificerad el   (Om inget värde anges används Nordisk residualmix, se inforuta) ()",Miljö!$B$1:$J$1,0),FALSE)</f>
        <v>'Bra Miljöval'</v>
      </c>
      <c r="G398">
        <f>VLOOKUP($B398,Miljö!$B$1:$J$479,MATCH("Primärenergifaktor ()",Miljö!$B$1:$J$1,0),FALSE)</f>
        <v>1.1000000000000001</v>
      </c>
      <c r="H398">
        <f>VLOOKUP($B398,Miljö!$B$1:$J$479,MATCH("Koldioxidekvivalenter energiomvandling (g/kwh)",Miljö!$B$1:$J$1,0),FALSE)</f>
        <v>0</v>
      </c>
      <c r="I398">
        <f>VLOOKUP($B398,Miljö!$B$1:$J$479,MATCH("Fossilandel för ursprungspecificerad el ()",Miljö!$B$1:$J$1,0),FALSE)</f>
        <v>0</v>
      </c>
      <c r="J398">
        <f>VLOOKUP($B398,Miljö!$B$1:$J$479,MATCH("Kärnkraftsandel för ursprungsspecificerad el ()",Miljö!$B$1:$J$1,0),FALSE)</f>
        <v>0</v>
      </c>
      <c r="L398">
        <f>VLOOKUP($B398,Totalt!$B$1:$BU$497,MATCH("total el",Totalt!$B$1:$BU$1,0),FALSE)</f>
        <v>0.219</v>
      </c>
      <c r="N398">
        <f t="shared" si="24"/>
        <v>0.24090000000000003</v>
      </c>
      <c r="O398">
        <f t="shared" si="25"/>
        <v>0</v>
      </c>
      <c r="P398">
        <f t="shared" si="26"/>
        <v>0</v>
      </c>
      <c r="Q398">
        <f t="shared" si="27"/>
        <v>0</v>
      </c>
    </row>
    <row r="399" spans="1:17" x14ac:dyDescent="0.45">
      <c r="A399" s="31" t="s">
        <v>162</v>
      </c>
      <c r="B399" s="31" t="s">
        <v>161</v>
      </c>
      <c r="C399" t="str">
        <f>VLOOKUP($B399,Totalt!$B$1:$BU$497,MATCH("Kvalitetsgranskad:",Totalt!$B$1:$BU$1,0),FALSE)</f>
        <v>Ja</v>
      </c>
      <c r="E399" t="str">
        <f>VLOOKUP($B399,Miljö!$B$1:$AG$479,MATCH(E$1,Miljö!$B$1:$AK$1,0),FALSE)</f>
        <v>Ja</v>
      </c>
      <c r="F399" t="str">
        <f>VLOOKUP($B399,Miljö!$B$1:$J$479,MATCH("Typ av ursprungsspecificerad el   (Om inget värde anges används Nordisk residualmix, se inforuta) ()",Miljö!$B$1:$J$1,0),FALSE)</f>
        <v>'Bra miljöval'</v>
      </c>
      <c r="G399">
        <f>VLOOKUP($B399,Miljö!$B$1:$J$479,MATCH("Primärenergifaktor ()",Miljö!$B$1:$J$1,0),FALSE)</f>
        <v>1.1000000000000001</v>
      </c>
      <c r="H399">
        <f>VLOOKUP($B399,Miljö!$B$1:$J$479,MATCH("Koldioxidekvivalenter energiomvandling (g/kwh)",Miljö!$B$1:$J$1,0),FALSE)</f>
        <v>0</v>
      </c>
      <c r="I399">
        <f>VLOOKUP($B399,Miljö!$B$1:$J$479,MATCH("Fossilandel för ursprungspecificerad el ()",Miljö!$B$1:$J$1,0),FALSE)</f>
        <v>0</v>
      </c>
      <c r="J399">
        <f>VLOOKUP($B399,Miljö!$B$1:$J$479,MATCH("Kärnkraftsandel för ursprungsspecificerad el ()",Miljö!$B$1:$J$1,0),FALSE)</f>
        <v>0</v>
      </c>
      <c r="L399">
        <f>VLOOKUP($B399,Totalt!$B$1:$BU$497,MATCH("total el",Totalt!$B$1:$BU$1,0),FALSE)</f>
        <v>8.641</v>
      </c>
      <c r="N399">
        <f t="shared" si="24"/>
        <v>9.5051000000000005</v>
      </c>
      <c r="O399">
        <f t="shared" si="25"/>
        <v>0</v>
      </c>
      <c r="P399">
        <f t="shared" si="26"/>
        <v>0</v>
      </c>
      <c r="Q399">
        <f t="shared" si="27"/>
        <v>0</v>
      </c>
    </row>
    <row r="400" spans="1:17" x14ac:dyDescent="0.45">
      <c r="A400" s="31" t="s">
        <v>159</v>
      </c>
      <c r="B400" s="31" t="s">
        <v>158</v>
      </c>
      <c r="C400" t="str">
        <f>VLOOKUP($B400,Totalt!$B$1:$BU$497,MATCH("Kvalitetsgranskad:",Totalt!$B$1:$BU$1,0),FALSE)</f>
        <v>Ja</v>
      </c>
      <c r="E400" t="str">
        <f>VLOOKUP($B400,Miljö!$B$1:$AG$479,MATCH(E$1,Miljö!$B$1:$AK$1,0),FALSE)</f>
        <v>Ja</v>
      </c>
      <c r="F400" t="str">
        <f>VLOOKUP($B400,Miljö!$B$1:$J$479,MATCH("Typ av ursprungsspecificerad el   (Om inget värde anges används Nordisk residualmix, se inforuta) ()",Miljö!$B$1:$J$1,0),FALSE)</f>
        <v>-</v>
      </c>
      <c r="G400">
        <f>VLOOKUP($B400,Miljö!$B$1:$J$479,MATCH("Primärenergifaktor ()",Miljö!$B$1:$J$1,0),FALSE)</f>
        <v>2.2000000000000002</v>
      </c>
      <c r="H400">
        <f>VLOOKUP($B400,Miljö!$B$1:$J$479,MATCH("Koldioxidekvivalenter energiomvandling (g/kwh)",Miljö!$B$1:$J$1,0),FALSE)</f>
        <v>250.8</v>
      </c>
      <c r="I400">
        <f>VLOOKUP($B400,Miljö!$B$1:$J$479,MATCH("Fossilandel för ursprungspecificerad el ()",Miljö!$B$1:$J$1,0),FALSE)</f>
        <v>0.35</v>
      </c>
      <c r="J400">
        <f>VLOOKUP($B400,Miljö!$B$1:$J$479,MATCH("Kärnkraftsandel för ursprungsspecificerad el ()",Miljö!$B$1:$J$1,0),FALSE)</f>
        <v>0.3977</v>
      </c>
      <c r="L400">
        <f>VLOOKUP($B400,Totalt!$B$1:$BU$497,MATCH("total el",Totalt!$B$1:$BU$1,0),FALSE)</f>
        <v>0.79200000000000004</v>
      </c>
      <c r="N400">
        <f t="shared" si="24"/>
        <v>1.7424000000000002</v>
      </c>
      <c r="O400">
        <f t="shared" si="25"/>
        <v>198.63360000000003</v>
      </c>
      <c r="P400">
        <f t="shared" si="26"/>
        <v>0.2772</v>
      </c>
      <c r="Q400">
        <f t="shared" si="27"/>
        <v>0.31497839999999999</v>
      </c>
    </row>
    <row r="401" spans="1:17" x14ac:dyDescent="0.45">
      <c r="A401" s="31" t="s">
        <v>157</v>
      </c>
      <c r="B401" s="31" t="s">
        <v>156</v>
      </c>
      <c r="C401" t="str">
        <f>VLOOKUP($B401,Totalt!$B$1:$BU$497,MATCH("Kvalitetsgranskad:",Totalt!$B$1:$BU$1,0),FALSE)</f>
        <v>Ja</v>
      </c>
      <c r="E401" t="str">
        <f>VLOOKUP($B401,Miljö!$B$1:$AG$479,MATCH(E$1,Miljö!$B$1:$AK$1,0),FALSE)</f>
        <v>Ja</v>
      </c>
      <c r="F401" t="str">
        <f>VLOOKUP($B401,Miljö!$B$1:$J$479,MATCH("Typ av ursprungsspecificerad el   (Om inget värde anges används Nordisk residualmix, se inforuta) ()",Miljö!$B$1:$J$1,0),FALSE)</f>
        <v>-</v>
      </c>
      <c r="G401">
        <f>VLOOKUP($B401,Miljö!$B$1:$J$479,MATCH("Primärenergifaktor ()",Miljö!$B$1:$J$1,0),FALSE)</f>
        <v>2.2000000000000002</v>
      </c>
      <c r="H401">
        <f>VLOOKUP($B401,Miljö!$B$1:$J$479,MATCH("Koldioxidekvivalenter energiomvandling (g/kwh)",Miljö!$B$1:$J$1,0),FALSE)</f>
        <v>250.8</v>
      </c>
      <c r="I401">
        <f>VLOOKUP($B401,Miljö!$B$1:$J$479,MATCH("Fossilandel för ursprungspecificerad el ()",Miljö!$B$1:$J$1,0),FALSE)</f>
        <v>0.35</v>
      </c>
      <c r="J401">
        <f>VLOOKUP($B401,Miljö!$B$1:$J$479,MATCH("Kärnkraftsandel för ursprungsspecificerad el ()",Miljö!$B$1:$J$1,0),FALSE)</f>
        <v>0.3977</v>
      </c>
      <c r="L401">
        <f>VLOOKUP($B401,Totalt!$B$1:$BU$497,MATCH("total el",Totalt!$B$1:$BU$1,0),FALSE)</f>
        <v>1.383</v>
      </c>
      <c r="N401">
        <f t="shared" si="24"/>
        <v>3.0426000000000002</v>
      </c>
      <c r="O401">
        <f t="shared" si="25"/>
        <v>346.85640000000001</v>
      </c>
      <c r="P401">
        <f t="shared" si="26"/>
        <v>0.48404999999999998</v>
      </c>
      <c r="Q401">
        <f t="shared" si="27"/>
        <v>0.55001909999999998</v>
      </c>
    </row>
    <row r="402" spans="1:17" x14ac:dyDescent="0.45">
      <c r="A402" s="31" t="s">
        <v>12</v>
      </c>
      <c r="B402" s="31" t="s">
        <v>14</v>
      </c>
      <c r="C402" t="str">
        <f>VLOOKUP($B402,Totalt!$B$1:$BU$497,MATCH("Kvalitetsgranskad:",Totalt!$B$1:$BU$1,0),FALSE)</f>
        <v>Nej</v>
      </c>
      <c r="E402" t="str">
        <f>VLOOKUP($B402,Miljö!$B$1:$AG$479,MATCH(E$1,Miljö!$B$1:$AK$1,0),FALSE)</f>
        <v>Nej</v>
      </c>
      <c r="F402" t="str">
        <f>VLOOKUP($B402,Miljö!$B$1:$J$479,MATCH("Typ av ursprungsspecificerad el   (Om inget värde anges används Nordisk residualmix, se inforuta) ()",Miljö!$B$1:$J$1,0),FALSE)</f>
        <v>-</v>
      </c>
      <c r="G402" t="str">
        <f>VLOOKUP($B402,Miljö!$B$1:$J$479,MATCH("Primärenergifaktor ()",Miljö!$B$1:$J$1,0),FALSE)</f>
        <v>-</v>
      </c>
      <c r="H402" t="str">
        <f>VLOOKUP($B402,Miljö!$B$1:$J$479,MATCH("Koldioxidekvivalenter energiomvandling (g/kwh)",Miljö!$B$1:$J$1,0),FALSE)</f>
        <v>-</v>
      </c>
      <c r="I402" t="str">
        <f>VLOOKUP($B402,Miljö!$B$1:$J$479,MATCH("Fossilandel för ursprungspecificerad el ()",Miljö!$B$1:$J$1,0),FALSE)</f>
        <v>-</v>
      </c>
      <c r="J402" t="str">
        <f>VLOOKUP($B402,Miljö!$B$1:$J$479,MATCH("Kärnkraftsandel för ursprungsspecificerad el ()",Miljö!$B$1:$J$1,0),FALSE)</f>
        <v>-</v>
      </c>
      <c r="L402">
        <f>VLOOKUP($B402,Totalt!$B$1:$BU$497,MATCH("total el",Totalt!$B$1:$BU$1,0),FALSE)</f>
        <v>0</v>
      </c>
      <c r="N402" t="str">
        <f t="shared" si="24"/>
        <v/>
      </c>
      <c r="O402" t="str">
        <f t="shared" si="25"/>
        <v/>
      </c>
      <c r="P402" t="str">
        <f t="shared" si="26"/>
        <v/>
      </c>
      <c r="Q402" t="str">
        <f t="shared" si="27"/>
        <v/>
      </c>
    </row>
    <row r="403" spans="1:17" x14ac:dyDescent="0.45">
      <c r="A403" s="31" t="s">
        <v>149</v>
      </c>
      <c r="B403" s="31" t="s">
        <v>154</v>
      </c>
      <c r="C403" t="str">
        <f>VLOOKUP($B403,Totalt!$B$1:$BU$497,MATCH("Kvalitetsgranskad:",Totalt!$B$1:$BU$1,0),FALSE)</f>
        <v>Ja</v>
      </c>
      <c r="E403" t="str">
        <f>VLOOKUP($B403,Miljö!$B$1:$AG$479,MATCH(E$1,Miljö!$B$1:$AK$1,0),FALSE)</f>
        <v>Ja</v>
      </c>
      <c r="F403" t="str">
        <f>VLOOKUP($B403,Miljö!$B$1:$J$479,MATCH("Typ av ursprungsspecificerad el   (Om inget värde anges används Nordisk residualmix, se inforuta) ()",Miljö!$B$1:$J$1,0),FALSE)</f>
        <v>'Hörneborgsel'</v>
      </c>
      <c r="G403">
        <f>VLOOKUP($B403,Miljö!$B$1:$J$479,MATCH("Primärenergifaktor ()",Miljö!$B$1:$J$1,0),FALSE)</f>
        <v>0.19800000000000001</v>
      </c>
      <c r="H403">
        <f>VLOOKUP($B403,Miljö!$B$1:$J$479,MATCH("Koldioxidekvivalenter energiomvandling (g/kwh)",Miljö!$B$1:$J$1,0),FALSE)</f>
        <v>76</v>
      </c>
      <c r="I403">
        <f>VLOOKUP($B403,Miljö!$B$1:$J$479,MATCH("Fossilandel för ursprungspecificerad el ()",Miljö!$B$1:$J$1,0),FALSE)</f>
        <v>0.17</v>
      </c>
      <c r="J403">
        <f>VLOOKUP($B403,Miljö!$B$1:$J$479,MATCH("Kärnkraftsandel för ursprungsspecificerad el ()",Miljö!$B$1:$J$1,0),FALSE)</f>
        <v>0</v>
      </c>
      <c r="L403">
        <f>VLOOKUP($B403,Totalt!$B$1:$BU$497,MATCH("total el",Totalt!$B$1:$BU$1,0),FALSE)</f>
        <v>1.2716000000000001</v>
      </c>
      <c r="N403">
        <f t="shared" si="24"/>
        <v>0.25177680000000002</v>
      </c>
      <c r="O403">
        <f t="shared" si="25"/>
        <v>96.641600000000011</v>
      </c>
      <c r="P403">
        <f t="shared" si="26"/>
        <v>0.21617200000000003</v>
      </c>
      <c r="Q403">
        <f t="shared" si="27"/>
        <v>0</v>
      </c>
    </row>
    <row r="404" spans="1:17" x14ac:dyDescent="0.45">
      <c r="A404" s="31" t="s">
        <v>149</v>
      </c>
      <c r="B404" s="31" t="s">
        <v>153</v>
      </c>
      <c r="C404" t="str">
        <f>VLOOKUP($B404,Totalt!$B$1:$BU$497,MATCH("Kvalitetsgranskad:",Totalt!$B$1:$BU$1,0),FALSE)</f>
        <v>Ja</v>
      </c>
      <c r="E404" t="str">
        <f>VLOOKUP($B404,Miljö!$B$1:$AG$479,MATCH(E$1,Miljö!$B$1:$AK$1,0),FALSE)</f>
        <v>Ja</v>
      </c>
      <c r="F404" t="str">
        <f>VLOOKUP($B404,Miljö!$B$1:$J$479,MATCH("Typ av ursprungsspecificerad el   (Om inget värde anges används Nordisk residualmix, se inforuta) ()",Miljö!$B$1:$J$1,0),FALSE)</f>
        <v>'Hörneborgsel'</v>
      </c>
      <c r="G404">
        <f>VLOOKUP($B404,Miljö!$B$1:$J$479,MATCH("Primärenergifaktor ()",Miljö!$B$1:$J$1,0),FALSE)</f>
        <v>0.19800000000000001</v>
      </c>
      <c r="H404">
        <f>VLOOKUP($B404,Miljö!$B$1:$J$479,MATCH("Koldioxidekvivalenter energiomvandling (g/kwh)",Miljö!$B$1:$J$1,0),FALSE)</f>
        <v>76</v>
      </c>
      <c r="I404">
        <f>VLOOKUP($B404,Miljö!$B$1:$J$479,MATCH("Fossilandel för ursprungspecificerad el ()",Miljö!$B$1:$J$1,0),FALSE)</f>
        <v>0.17</v>
      </c>
      <c r="J404">
        <f>VLOOKUP($B404,Miljö!$B$1:$J$479,MATCH("Kärnkraftsandel för ursprungsspecificerad el ()",Miljö!$B$1:$J$1,0),FALSE)</f>
        <v>0</v>
      </c>
      <c r="L404">
        <f>VLOOKUP($B404,Totalt!$B$1:$BU$497,MATCH("total el",Totalt!$B$1:$BU$1,0),FALSE)</f>
        <v>1.3353000000000002</v>
      </c>
      <c r="N404">
        <f t="shared" si="24"/>
        <v>0.26438940000000005</v>
      </c>
      <c r="O404">
        <f t="shared" si="25"/>
        <v>101.48280000000001</v>
      </c>
      <c r="P404">
        <f t="shared" si="26"/>
        <v>0.22700100000000004</v>
      </c>
      <c r="Q404">
        <f t="shared" si="27"/>
        <v>0</v>
      </c>
    </row>
    <row r="405" spans="1:17" x14ac:dyDescent="0.45">
      <c r="A405" s="31" t="s">
        <v>149</v>
      </c>
      <c r="B405" s="31" t="s">
        <v>152</v>
      </c>
      <c r="C405" t="str">
        <f>VLOOKUP($B405,Totalt!$B$1:$BU$497,MATCH("Kvalitetsgranskad:",Totalt!$B$1:$BU$1,0),FALSE)</f>
        <v>Ja</v>
      </c>
      <c r="E405" t="str">
        <f>VLOOKUP($B405,Miljö!$B$1:$AG$479,MATCH(E$1,Miljö!$B$1:$AK$1,0),FALSE)</f>
        <v>Ja</v>
      </c>
      <c r="F405" t="str">
        <f>VLOOKUP($B405,Miljö!$B$1:$J$479,MATCH("Typ av ursprungsspecificerad el   (Om inget värde anges används Nordisk residualmix, se inforuta) ()",Miljö!$B$1:$J$1,0),FALSE)</f>
        <v>-</v>
      </c>
      <c r="G405">
        <f>VLOOKUP($B405,Miljö!$B$1:$J$479,MATCH("Primärenergifaktor ()",Miljö!$B$1:$J$1,0),FALSE)</f>
        <v>2.2000000000000002</v>
      </c>
      <c r="H405">
        <f>VLOOKUP($B405,Miljö!$B$1:$J$479,MATCH("Koldioxidekvivalenter energiomvandling (g/kwh)",Miljö!$B$1:$J$1,0),FALSE)</f>
        <v>250.8</v>
      </c>
      <c r="I405">
        <f>VLOOKUP($B405,Miljö!$B$1:$J$479,MATCH("Fossilandel för ursprungspecificerad el ()",Miljö!$B$1:$J$1,0),FALSE)</f>
        <v>0.35</v>
      </c>
      <c r="J405">
        <f>VLOOKUP($B405,Miljö!$B$1:$J$479,MATCH("Kärnkraftsandel för ursprungsspecificerad el ()",Miljö!$B$1:$J$1,0),FALSE)</f>
        <v>0.3977</v>
      </c>
      <c r="L405">
        <f>VLOOKUP($B405,Totalt!$B$1:$BU$497,MATCH("total el",Totalt!$B$1:$BU$1,0),FALSE)</f>
        <v>0.20039999999999999</v>
      </c>
      <c r="N405">
        <f t="shared" si="24"/>
        <v>0.44088000000000005</v>
      </c>
      <c r="O405">
        <f t="shared" si="25"/>
        <v>50.26032</v>
      </c>
      <c r="P405">
        <f t="shared" si="26"/>
        <v>7.0139999999999994E-2</v>
      </c>
      <c r="Q405">
        <f t="shared" si="27"/>
        <v>7.9699079999999992E-2</v>
      </c>
    </row>
    <row r="406" spans="1:17" x14ac:dyDescent="0.45">
      <c r="A406" s="31" t="s">
        <v>149</v>
      </c>
      <c r="B406" s="31" t="s">
        <v>151</v>
      </c>
      <c r="C406" t="str">
        <f>VLOOKUP($B406,Totalt!$B$1:$BU$497,MATCH("Kvalitetsgranskad:",Totalt!$B$1:$BU$1,0),FALSE)</f>
        <v>Ja</v>
      </c>
      <c r="E406" t="str">
        <f>VLOOKUP($B406,Miljö!$B$1:$AG$479,MATCH(E$1,Miljö!$B$1:$AK$1,0),FALSE)</f>
        <v>Ja</v>
      </c>
      <c r="F406" t="str">
        <f>VLOOKUP($B406,Miljö!$B$1:$J$479,MATCH("Typ av ursprungsspecificerad el   (Om inget värde anges används Nordisk residualmix, se inforuta) ()",Miljö!$B$1:$J$1,0),FALSE)</f>
        <v>'Hörneborgsel'</v>
      </c>
      <c r="G406">
        <f>VLOOKUP($B406,Miljö!$B$1:$J$479,MATCH("Primärenergifaktor ()",Miljö!$B$1:$J$1,0),FALSE)</f>
        <v>0.19800000000000001</v>
      </c>
      <c r="H406">
        <f>VLOOKUP($B406,Miljö!$B$1:$J$479,MATCH("Koldioxidekvivalenter energiomvandling (g/kwh)",Miljö!$B$1:$J$1,0),FALSE)</f>
        <v>76</v>
      </c>
      <c r="I406">
        <f>VLOOKUP($B406,Miljö!$B$1:$J$479,MATCH("Fossilandel för ursprungspecificerad el ()",Miljö!$B$1:$J$1,0),FALSE)</f>
        <v>0.17</v>
      </c>
      <c r="J406">
        <f>VLOOKUP($B406,Miljö!$B$1:$J$479,MATCH("Kärnkraftsandel för ursprungsspecificerad el ()",Miljö!$B$1:$J$1,0),FALSE)</f>
        <v>0</v>
      </c>
      <c r="L406">
        <f>VLOOKUP($B406,Totalt!$B$1:$BU$497,MATCH("total el",Totalt!$B$1:$BU$1,0),FALSE)</f>
        <v>2.3480000000000001E-2</v>
      </c>
      <c r="N406">
        <f t="shared" si="24"/>
        <v>4.6490400000000001E-3</v>
      </c>
      <c r="O406">
        <f t="shared" si="25"/>
        <v>1.7844800000000001</v>
      </c>
      <c r="P406">
        <f t="shared" si="26"/>
        <v>3.9916000000000005E-3</v>
      </c>
      <c r="Q406">
        <f t="shared" si="27"/>
        <v>0</v>
      </c>
    </row>
    <row r="407" spans="1:17" x14ac:dyDescent="0.45">
      <c r="A407" s="31" t="s">
        <v>149</v>
      </c>
      <c r="B407" s="31" t="s">
        <v>148</v>
      </c>
      <c r="C407" t="str">
        <f>VLOOKUP($B407,Totalt!$B$1:$BU$497,MATCH("Kvalitetsgranskad:",Totalt!$B$1:$BU$1,0),FALSE)</f>
        <v>Ja</v>
      </c>
      <c r="E407" t="str">
        <f>VLOOKUP($B407,Miljö!$B$1:$AG$479,MATCH(E$1,Miljö!$B$1:$AK$1,0),FALSE)</f>
        <v>Ja</v>
      </c>
      <c r="F407" t="str">
        <f>VLOOKUP($B407,Miljö!$B$1:$J$479,MATCH("Typ av ursprungsspecificerad el   (Om inget värde anges används Nordisk residualmix, se inforuta) ()",Miljö!$B$1:$J$1,0),FALSE)</f>
        <v>'Hörneborgsel'</v>
      </c>
      <c r="G407">
        <f>VLOOKUP($B407,Miljö!$B$1:$J$479,MATCH("Primärenergifaktor ()",Miljö!$B$1:$J$1,0),FALSE)</f>
        <v>0.19800000000000001</v>
      </c>
      <c r="H407">
        <f>VLOOKUP($B407,Miljö!$B$1:$J$479,MATCH("Koldioxidekvivalenter energiomvandling (g/kwh)",Miljö!$B$1:$J$1,0),FALSE)</f>
        <v>76</v>
      </c>
      <c r="I407">
        <f>VLOOKUP($B407,Miljö!$B$1:$J$479,MATCH("Fossilandel för ursprungspecificerad el ()",Miljö!$B$1:$J$1,0),FALSE)</f>
        <v>0.17</v>
      </c>
      <c r="J407">
        <f>VLOOKUP($B407,Miljö!$B$1:$J$479,MATCH("Kärnkraftsandel för ursprungsspecificerad el ()",Miljö!$B$1:$J$1,0),FALSE)</f>
        <v>0</v>
      </c>
      <c r="L407">
        <f>VLOOKUP($B407,Totalt!$B$1:$BU$497,MATCH("total el",Totalt!$B$1:$BU$1,0),FALSE)</f>
        <v>5.9699200000000001</v>
      </c>
      <c r="N407">
        <f t="shared" si="24"/>
        <v>1.18204416</v>
      </c>
      <c r="O407">
        <f t="shared" si="25"/>
        <v>453.71392000000003</v>
      </c>
      <c r="P407">
        <f t="shared" si="26"/>
        <v>1.0148864000000002</v>
      </c>
      <c r="Q407">
        <f t="shared" si="27"/>
        <v>0</v>
      </c>
    </row>
    <row r="408" spans="1:17" x14ac:dyDescent="0.45">
      <c r="A408" s="31" t="s">
        <v>149</v>
      </c>
      <c r="B408" s="31" t="s">
        <v>150</v>
      </c>
      <c r="C408" t="str">
        <f>VLOOKUP($B408,Totalt!$B$1:$BU$497,MATCH("Kvalitetsgranskad:",Totalt!$B$1:$BU$1,0),FALSE)</f>
        <v>Ja</v>
      </c>
      <c r="E408" t="str">
        <f>VLOOKUP($B408,Miljö!$B$1:$AG$479,MATCH(E$1,Miljö!$B$1:$AK$1,0),FALSE)</f>
        <v>Ja</v>
      </c>
      <c r="F408" t="str">
        <f>VLOOKUP($B408,Miljö!$B$1:$J$479,MATCH("Typ av ursprungsspecificerad el   (Om inget värde anges används Nordisk residualmix, se inforuta) ()",Miljö!$B$1:$J$1,0),FALSE)</f>
        <v>'Hörneborgsel'</v>
      </c>
      <c r="G408">
        <f>VLOOKUP($B408,Miljö!$B$1:$J$479,MATCH("Primärenergifaktor ()",Miljö!$B$1:$J$1,0),FALSE)</f>
        <v>0.19800000000000001</v>
      </c>
      <c r="H408">
        <f>VLOOKUP($B408,Miljö!$B$1:$J$479,MATCH("Koldioxidekvivalenter energiomvandling (g/kwh)",Miljö!$B$1:$J$1,0),FALSE)</f>
        <v>76</v>
      </c>
      <c r="I408">
        <f>VLOOKUP($B408,Miljö!$B$1:$J$479,MATCH("Fossilandel för ursprungspecificerad el ()",Miljö!$B$1:$J$1,0),FALSE)</f>
        <v>0.17</v>
      </c>
      <c r="J408">
        <f>VLOOKUP($B408,Miljö!$B$1:$J$479,MATCH("Kärnkraftsandel för ursprungsspecificerad el ()",Miljö!$B$1:$J$1,0),FALSE)</f>
        <v>0</v>
      </c>
      <c r="L408">
        <f>VLOOKUP($B408,Totalt!$B$1:$BU$497,MATCH("total el",Totalt!$B$1:$BU$1,0),FALSE)</f>
        <v>8.8352000000000004</v>
      </c>
      <c r="N408">
        <f t="shared" si="24"/>
        <v>1.7493696000000001</v>
      </c>
      <c r="O408">
        <f t="shared" si="25"/>
        <v>671.47520000000009</v>
      </c>
      <c r="P408">
        <f t="shared" si="26"/>
        <v>1.5019840000000002</v>
      </c>
      <c r="Q408">
        <f t="shared" si="27"/>
        <v>0</v>
      </c>
    </row>
    <row r="409" spans="1:17" x14ac:dyDescent="0.45">
      <c r="B409" s="328"/>
    </row>
    <row r="411" spans="1:17" x14ac:dyDescent="0.45">
      <c r="B411" s="328" t="s">
        <v>1554</v>
      </c>
      <c r="C411" s="124" t="s">
        <v>433</v>
      </c>
      <c r="D411" s="124"/>
      <c r="E411" s="124" t="str">
        <f>E60</f>
        <v>Ja</v>
      </c>
      <c r="F411" s="124" t="str">
        <f t="shared" ref="F411:J411" si="28">F60</f>
        <v>'mixed el'</v>
      </c>
      <c r="G411" s="124">
        <f t="shared" si="28"/>
        <v>2.02</v>
      </c>
      <c r="H411" s="124">
        <f t="shared" si="28"/>
        <v>20.34</v>
      </c>
      <c r="I411" s="124">
        <f t="shared" si="28"/>
        <v>2.8400000000000002E-2</v>
      </c>
      <c r="J411" s="124">
        <f t="shared" si="28"/>
        <v>0.32400000000000001</v>
      </c>
      <c r="K411" s="124"/>
      <c r="L411" s="124">
        <f>VLOOKUP($B411,Totalt!$B$1:$BU$497,MATCH("total el",Totalt!$B$1:$BU$1,0),FALSE)</f>
        <v>-15.788</v>
      </c>
      <c r="M411" s="124"/>
      <c r="N411" s="124">
        <f>IF(ISERROR($L411*G411),"",$L411*G411)</f>
        <v>-31.891760000000001</v>
      </c>
      <c r="O411" s="124">
        <f t="shared" ref="O411" si="29">IF(ISERROR($L411*H411),"",$L411*H411)</f>
        <v>-321.12792000000002</v>
      </c>
      <c r="P411" s="124">
        <f t="shared" ref="P411" si="30">IF(ISERROR($L411*I411),"",$L411*I411)</f>
        <v>-0.44837920000000003</v>
      </c>
      <c r="Q411" s="124">
        <f t="shared" ref="Q411" si="31">IF(ISERROR($L411*J411),"",$L411*J411)</f>
        <v>-5.1153120000000003</v>
      </c>
    </row>
    <row r="412" spans="1:17" x14ac:dyDescent="0.45">
      <c r="B412" s="328"/>
      <c r="C412" s="124"/>
      <c r="D412" s="124"/>
      <c r="E412" s="124"/>
      <c r="F412" s="124"/>
      <c r="G412" s="124"/>
      <c r="H412" s="124"/>
      <c r="I412" s="124"/>
      <c r="J412" s="124"/>
      <c r="K412" s="124"/>
      <c r="L412" s="124"/>
      <c r="M412" s="124"/>
      <c r="N412" s="124"/>
      <c r="O412" s="124"/>
      <c r="P412" s="124"/>
      <c r="Q412" s="124"/>
    </row>
    <row r="413" spans="1:17" x14ac:dyDescent="0.45">
      <c r="I413" t="s">
        <v>1557</v>
      </c>
      <c r="L413">
        <f>SUMIF($C2:$C411,"=ja",L2:L411)</f>
        <v>2810.6577060099999</v>
      </c>
      <c r="N413">
        <f>SUMIF($C2:$C411,"=ja",N2:N411)</f>
        <v>2549.8297930527383</v>
      </c>
      <c r="O413">
        <f>SUMIF($C2:$C411,"=ja",O2:O411)</f>
        <v>87948.144115085786</v>
      </c>
      <c r="P413">
        <f>SUMIF($C2:$C411,"=ja",P2:P411)</f>
        <v>120.43407719999996</v>
      </c>
      <c r="Q413">
        <f>SUMIF($C2:$C411,"=ja",Q2:Q411)</f>
        <v>252.58091868459999</v>
      </c>
    </row>
    <row r="416" spans="1:17" x14ac:dyDescent="0.45">
      <c r="A416" s="142"/>
      <c r="B416" s="142"/>
      <c r="C416" s="332" t="s">
        <v>1558</v>
      </c>
      <c r="D416" s="333"/>
      <c r="E416" s="333"/>
      <c r="F416" s="333"/>
      <c r="G416" s="333"/>
      <c r="H416" s="333">
        <f>N413/$L$413</f>
        <v>0.9072003992519132</v>
      </c>
      <c r="I416" s="333">
        <f>O413/$L$413</f>
        <v>31.290947996629825</v>
      </c>
      <c r="J416" s="333">
        <f>P413/$L$413</f>
        <v>4.2849072991875542E-2</v>
      </c>
      <c r="K416" s="333">
        <f>Q413/$L$413</f>
        <v>8.9865414114464692E-2</v>
      </c>
    </row>
    <row r="417" spans="1:12" x14ac:dyDescent="0.45">
      <c r="A417" s="143"/>
      <c r="B417" s="143"/>
    </row>
    <row r="418" spans="1:12" x14ac:dyDescent="0.45">
      <c r="A418" s="143"/>
      <c r="B418" s="143"/>
      <c r="C418" t="s">
        <v>1559</v>
      </c>
      <c r="F418">
        <f>COUNTIF($C$2:$C$411,"=ja")</f>
        <v>366</v>
      </c>
    </row>
    <row r="419" spans="1:12" x14ac:dyDescent="0.45">
      <c r="A419" s="143"/>
      <c r="B419" s="143"/>
      <c r="C419" s="334" t="s">
        <v>1560</v>
      </c>
      <c r="D419" s="320"/>
      <c r="E419" s="320"/>
      <c r="F419" s="335">
        <f>COUNTIFS($C$2:$C$408,"=ja",$E$2:$E$408,"=nej")</f>
        <v>0</v>
      </c>
      <c r="G419" s="334" t="s">
        <v>1561</v>
      </c>
      <c r="H419" s="321"/>
      <c r="I419" s="320"/>
      <c r="J419" s="321">
        <f>SUMIFS($L$2:$L$411,$C$2:$C$411,"=ja",$E$2:$E$411,"=nej")</f>
        <v>0</v>
      </c>
      <c r="K419" s="335" t="s">
        <v>1467</v>
      </c>
      <c r="L419" s="305">
        <f>J419/L413</f>
        <v>0</v>
      </c>
    </row>
    <row r="420" spans="1:12" x14ac:dyDescent="0.45">
      <c r="A420" s="144"/>
      <c r="B420" s="144"/>
      <c r="C420" s="336" t="s">
        <v>1562</v>
      </c>
      <c r="D420" s="337"/>
      <c r="E420" s="337"/>
      <c r="F420" s="338">
        <f>COUNTIFS($C$2:$C$411,"=ja",$E$2:$E$411,"=ja")</f>
        <v>366</v>
      </c>
      <c r="G420" s="336" t="s">
        <v>1563</v>
      </c>
      <c r="H420" s="339"/>
      <c r="I420" s="337"/>
      <c r="J420" s="339">
        <f>SUMIFS($L$2:$L$411,$C$2:$C$411,"=ja",$E$2:$E$411,"=ja")</f>
        <v>2810.6577060099999</v>
      </c>
      <c r="K420" s="338" t="s">
        <v>1467</v>
      </c>
      <c r="L420" s="305">
        <f>J420/L413</f>
        <v>1</v>
      </c>
    </row>
    <row r="421" spans="1:12" x14ac:dyDescent="0.45">
      <c r="A421" s="142"/>
      <c r="B421" s="143"/>
    </row>
    <row r="422" spans="1:12" x14ac:dyDescent="0.45">
      <c r="A422" s="145"/>
      <c r="B422" s="145"/>
    </row>
    <row r="423" spans="1:12" x14ac:dyDescent="0.45">
      <c r="G423" t="s">
        <v>1564</v>
      </c>
    </row>
    <row r="424" spans="1:12" x14ac:dyDescent="0.45">
      <c r="G424" s="340">
        <f>SUMIFS($N$2:$N$411,$C$2:$C$411,"=ja",$E$2:$E$411,"=ja")/$J$420</f>
        <v>0.9072003992519132</v>
      </c>
      <c r="H424" s="340">
        <f>SUMIFS($O$2:$O$411,$C$2:$C$411,"=ja",$E$2:$E$411,"=ja")/$J$420</f>
        <v>31.290947996629825</v>
      </c>
      <c r="I424" s="340">
        <f>SUMIFS($N$2:$N$411,$C$2:$C$411,"=ja",$E$2:$E$411,"=ja")/$J$420</f>
        <v>0.9072003992519132</v>
      </c>
      <c r="J424" s="340">
        <f>SUMIFS($O$2:$O$411,$C$2:$C$411,"=ja",$E$2:$E$411,"=ja")/$J$420</f>
        <v>31.290947996629825</v>
      </c>
    </row>
  </sheetData>
  <autoFilter ref="A1:Q408" xr:uid="{EB48748A-8926-422B-846E-E25A4D80FF06}"/>
  <conditionalFormatting sqref="B416:B421">
    <cfRule type="duplicateValues" dxfId="25" priority="9"/>
  </conditionalFormatting>
  <conditionalFormatting sqref="B413:B1048576 B2:B408">
    <cfRule type="duplicateValues" dxfId="24" priority="7"/>
    <cfRule type="duplicateValues" dxfId="23" priority="8"/>
  </conditionalFormatting>
  <conditionalFormatting sqref="B1">
    <cfRule type="duplicateValues" dxfId="22" priority="6"/>
  </conditionalFormatting>
  <conditionalFormatting sqref="B409">
    <cfRule type="duplicateValues" dxfId="21" priority="4"/>
    <cfRule type="duplicateValues" dxfId="20" priority="5"/>
  </conditionalFormatting>
  <conditionalFormatting sqref="B411:B412">
    <cfRule type="duplicateValues" dxfId="19" priority="2"/>
    <cfRule type="duplicateValues" dxfId="18" priority="3"/>
  </conditionalFormatting>
  <conditionalFormatting sqref="B1:B1048576">
    <cfRule type="duplicateValues" dxfId="17" priority="1"/>
  </conditionalFormatting>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66AC9-7041-43A8-B6C4-DBB049B3D5DA}">
  <sheetPr codeName="Blad17">
    <tabColor theme="9" tint="0.39997558519241921"/>
  </sheetPr>
  <dimension ref="A1:M516"/>
  <sheetViews>
    <sheetView workbookViewId="0">
      <pane xSplit="2" ySplit="2" topLeftCell="C498" activePane="bottomRight" state="frozen"/>
      <selection pane="topRight" activeCell="C1" sqref="C1"/>
      <selection pane="bottomLeft" activeCell="A3" sqref="A3"/>
      <selection pane="bottomRight" activeCell="I521" sqref="I521"/>
    </sheetView>
  </sheetViews>
  <sheetFormatPr defaultColWidth="9.1328125" defaultRowHeight="15" customHeight="1" x14ac:dyDescent="0.45"/>
  <cols>
    <col min="1" max="1" width="44.59765625" style="2" customWidth="1"/>
    <col min="2" max="2" width="29" style="2" customWidth="1"/>
    <col min="3" max="3" width="18.59765625" style="2" customWidth="1"/>
    <col min="4" max="4" width="21.73046875" style="2" customWidth="1"/>
    <col min="5" max="5" width="27" style="2" customWidth="1"/>
    <col min="6" max="6" width="12.1328125" style="2" customWidth="1"/>
    <col min="7" max="7" width="11.59765625" style="2" customWidth="1"/>
    <col min="8" max="8" width="11.3984375" style="2" customWidth="1"/>
    <col min="9" max="16384" width="9.1328125" style="2"/>
  </cols>
  <sheetData>
    <row r="1" spans="1:8" customFormat="1" ht="15" customHeight="1" x14ac:dyDescent="0.45">
      <c r="A1" s="359" t="s">
        <v>1265</v>
      </c>
      <c r="B1" s="360"/>
      <c r="C1" s="360"/>
      <c r="D1" s="360"/>
      <c r="E1" s="361"/>
    </row>
    <row r="2" spans="1:8" s="16" customFormat="1" ht="28.5" x14ac:dyDescent="0.45">
      <c r="A2" s="16" t="s">
        <v>1</v>
      </c>
      <c r="B2" s="16" t="s">
        <v>2</v>
      </c>
      <c r="C2" s="16" t="s">
        <v>1177</v>
      </c>
      <c r="D2" s="16" t="s">
        <v>1176</v>
      </c>
      <c r="E2" s="16" t="s">
        <v>1175</v>
      </c>
      <c r="F2" s="16" t="s">
        <v>1174</v>
      </c>
      <c r="G2" s="16" t="s">
        <v>1173</v>
      </c>
      <c r="H2" s="61" t="s">
        <v>1172</v>
      </c>
    </row>
    <row r="3" spans="1:8" ht="15" customHeight="1" x14ac:dyDescent="0.45">
      <c r="A3" s="2" t="s">
        <v>15</v>
      </c>
      <c r="B3" s="2" t="s">
        <v>16</v>
      </c>
      <c r="C3" s="2">
        <v>0.193631</v>
      </c>
      <c r="D3" s="2">
        <v>4.5327099999999998</v>
      </c>
      <c r="E3" s="2">
        <v>16.595600000000001</v>
      </c>
      <c r="F3" s="2">
        <v>0</v>
      </c>
      <c r="G3" s="2" t="s">
        <v>433</v>
      </c>
      <c r="H3" s="2" t="s">
        <v>433</v>
      </c>
    </row>
    <row r="4" spans="1:8" ht="15" customHeight="1" x14ac:dyDescent="0.45">
      <c r="A4" s="2" t="s">
        <v>15</v>
      </c>
      <c r="B4" s="2" t="s">
        <v>18</v>
      </c>
      <c r="C4" s="2">
        <v>0.167846</v>
      </c>
      <c r="D4" s="2">
        <v>7.4225899999999996</v>
      </c>
      <c r="E4" s="2">
        <v>8.6292600000000004</v>
      </c>
      <c r="F4" s="2">
        <v>7.79819E-3</v>
      </c>
      <c r="G4" s="2" t="s">
        <v>433</v>
      </c>
      <c r="H4" s="2" t="s">
        <v>433</v>
      </c>
    </row>
    <row r="5" spans="1:8" ht="15" customHeight="1" x14ac:dyDescent="0.45">
      <c r="A5" s="2" t="s">
        <v>15</v>
      </c>
      <c r="B5" s="2" t="s">
        <v>20</v>
      </c>
      <c r="C5" s="2">
        <v>0.16758100000000001</v>
      </c>
      <c r="D5" s="2">
        <v>90.596199999999996</v>
      </c>
      <c r="E5" s="2">
        <v>5.1046500000000004</v>
      </c>
      <c r="F5" s="2">
        <v>6.8488300000000002E-3</v>
      </c>
      <c r="G5" s="2" t="s">
        <v>147</v>
      </c>
      <c r="H5" s="2" t="s">
        <v>433</v>
      </c>
    </row>
    <row r="6" spans="1:8" ht="15" customHeight="1" x14ac:dyDescent="0.45">
      <c r="A6" s="2" t="s">
        <v>15</v>
      </c>
      <c r="B6" s="2" t="s">
        <v>22</v>
      </c>
      <c r="C6" s="2">
        <v>0.117627</v>
      </c>
      <c r="D6" s="2">
        <v>5.7977100000000004</v>
      </c>
      <c r="E6" s="2">
        <v>9.0775100000000002</v>
      </c>
      <c r="F6" s="2">
        <v>1.6345800000000001E-3</v>
      </c>
      <c r="G6" s="2" t="s">
        <v>433</v>
      </c>
      <c r="H6" s="2" t="s">
        <v>433</v>
      </c>
    </row>
    <row r="7" spans="1:8" ht="15" customHeight="1" x14ac:dyDescent="0.45">
      <c r="A7" s="2" t="s">
        <v>15</v>
      </c>
      <c r="B7" s="2" t="s">
        <v>24</v>
      </c>
      <c r="C7" s="2">
        <v>0.17210300000000001</v>
      </c>
      <c r="D7" s="2">
        <v>10.0288</v>
      </c>
      <c r="E7" s="2">
        <v>8.1794799999999999</v>
      </c>
      <c r="F7" s="2">
        <v>1.5997999999999998E-2</v>
      </c>
      <c r="G7" s="2" t="s">
        <v>433</v>
      </c>
      <c r="H7" s="2" t="s">
        <v>433</v>
      </c>
    </row>
    <row r="8" spans="1:8" ht="15" customHeight="1" x14ac:dyDescent="0.45">
      <c r="A8" s="2" t="s">
        <v>15</v>
      </c>
      <c r="B8" s="2" t="s">
        <v>26</v>
      </c>
      <c r="C8" s="2">
        <v>0.15499499999999999</v>
      </c>
      <c r="D8" s="2">
        <v>4.3331900000000001</v>
      </c>
      <c r="E8" s="2">
        <v>8.1303099999999997</v>
      </c>
      <c r="F8" s="2">
        <v>0</v>
      </c>
      <c r="G8" s="2" t="s">
        <v>433</v>
      </c>
      <c r="H8" s="2" t="s">
        <v>433</v>
      </c>
    </row>
    <row r="9" spans="1:8" ht="15" customHeight="1" x14ac:dyDescent="0.45">
      <c r="A9" s="2" t="s">
        <v>15</v>
      </c>
      <c r="B9" s="2" t="s">
        <v>28</v>
      </c>
      <c r="C9" s="2">
        <v>7.2537099999999993E-2</v>
      </c>
      <c r="D9" s="2">
        <v>11.2058</v>
      </c>
      <c r="E9" s="2">
        <v>3.2233800000000001</v>
      </c>
      <c r="F9" s="2">
        <v>3.2220199999999997E-2</v>
      </c>
      <c r="G9" s="2" t="s">
        <v>433</v>
      </c>
      <c r="H9" s="2" t="s">
        <v>433</v>
      </c>
    </row>
    <row r="10" spans="1:8" ht="15" customHeight="1" x14ac:dyDescent="0.45">
      <c r="A10" s="2" t="s">
        <v>15</v>
      </c>
      <c r="B10" s="2" t="s">
        <v>30</v>
      </c>
      <c r="C10" s="2">
        <v>0.176458</v>
      </c>
      <c r="D10" s="2">
        <v>8.0076099999999997</v>
      </c>
      <c r="E10" s="2">
        <v>8.7162400000000009</v>
      </c>
      <c r="F10" s="2">
        <v>8.6305900000000005E-3</v>
      </c>
      <c r="G10" s="2" t="s">
        <v>433</v>
      </c>
      <c r="H10" s="2" t="s">
        <v>433</v>
      </c>
    </row>
    <row r="11" spans="1:8" ht="15" customHeight="1" x14ac:dyDescent="0.45">
      <c r="A11" s="2" t="s">
        <v>15</v>
      </c>
      <c r="B11" s="2" t="s">
        <v>32</v>
      </c>
      <c r="C11" s="2">
        <v>9.8066700000000007E-2</v>
      </c>
      <c r="D11" s="2">
        <v>3.8871000000000002</v>
      </c>
      <c r="E11" s="2">
        <v>7.03653</v>
      </c>
      <c r="F11" s="2">
        <v>7.4288399999999997E-4</v>
      </c>
      <c r="G11" s="2" t="s">
        <v>433</v>
      </c>
      <c r="H11" s="2" t="s">
        <v>433</v>
      </c>
    </row>
    <row r="12" spans="1:8" ht="15" customHeight="1" x14ac:dyDescent="0.45">
      <c r="A12" s="2" t="s">
        <v>672</v>
      </c>
      <c r="B12" s="2" t="s">
        <v>681</v>
      </c>
      <c r="C12" s="2">
        <v>0.135569</v>
      </c>
      <c r="D12" s="2">
        <v>5.6758800000000003</v>
      </c>
      <c r="E12" s="2">
        <v>9.9327799999999993</v>
      </c>
      <c r="F12" s="2">
        <v>0</v>
      </c>
      <c r="G12" s="2" t="s">
        <v>433</v>
      </c>
      <c r="H12" s="2" t="s">
        <v>433</v>
      </c>
    </row>
    <row r="13" spans="1:8" ht="15" customHeight="1" x14ac:dyDescent="0.45">
      <c r="A13" s="2" t="s">
        <v>672</v>
      </c>
      <c r="B13" s="2" t="s">
        <v>680</v>
      </c>
      <c r="C13" s="2">
        <v>0.15629999999999999</v>
      </c>
      <c r="D13" s="2">
        <v>7.3343699999999998</v>
      </c>
      <c r="E13" s="2">
        <v>11.749700000000001</v>
      </c>
      <c r="F13" s="2">
        <v>4.4731099999999998E-3</v>
      </c>
      <c r="G13" s="2" t="s">
        <v>433</v>
      </c>
      <c r="H13" s="2" t="s">
        <v>433</v>
      </c>
    </row>
    <row r="14" spans="1:8" ht="15" customHeight="1" x14ac:dyDescent="0.45">
      <c r="A14" s="2" t="s">
        <v>672</v>
      </c>
      <c r="B14" s="2" t="s">
        <v>679</v>
      </c>
      <c r="C14" s="2">
        <v>0.12046800000000001</v>
      </c>
      <c r="D14" s="2">
        <v>8.1338399999999993</v>
      </c>
      <c r="E14" s="2">
        <v>10.2813</v>
      </c>
      <c r="F14" s="2">
        <v>6.0094199999999997E-3</v>
      </c>
      <c r="G14" s="2" t="s">
        <v>433</v>
      </c>
      <c r="H14" s="2" t="s">
        <v>433</v>
      </c>
    </row>
    <row r="15" spans="1:8" ht="15" customHeight="1" x14ac:dyDescent="0.45">
      <c r="A15" s="2" t="s">
        <v>672</v>
      </c>
      <c r="B15" s="2" t="s">
        <v>678</v>
      </c>
      <c r="C15" s="2">
        <v>0.120277</v>
      </c>
      <c r="D15" s="2">
        <v>6.9286099999999999</v>
      </c>
      <c r="E15" s="2">
        <v>9.9656500000000001</v>
      </c>
      <c r="F15" s="2">
        <v>3.3623899999999998E-3</v>
      </c>
      <c r="G15" s="2" t="s">
        <v>433</v>
      </c>
      <c r="H15" s="2" t="s">
        <v>433</v>
      </c>
    </row>
    <row r="16" spans="1:8" ht="15" customHeight="1" x14ac:dyDescent="0.45">
      <c r="A16" s="2" t="s">
        <v>672</v>
      </c>
      <c r="B16" s="2" t="s">
        <v>677</v>
      </c>
      <c r="C16" s="2">
        <v>0.11430999999999999</v>
      </c>
      <c r="D16" s="2">
        <v>11.4582</v>
      </c>
      <c r="E16" s="2">
        <v>10.9925</v>
      </c>
      <c r="F16" s="2">
        <v>1.31434E-2</v>
      </c>
      <c r="G16" s="2" t="s">
        <v>433</v>
      </c>
      <c r="H16" s="2" t="s">
        <v>433</v>
      </c>
    </row>
    <row r="17" spans="1:8" ht="15" customHeight="1" x14ac:dyDescent="0.45">
      <c r="A17" s="2" t="s">
        <v>672</v>
      </c>
      <c r="B17" s="2" t="s">
        <v>676</v>
      </c>
      <c r="C17" s="2">
        <v>0.13586999999999999</v>
      </c>
      <c r="D17" s="2">
        <v>8.2206399999999995</v>
      </c>
      <c r="E17" s="2">
        <v>9.9937100000000001</v>
      </c>
      <c r="F17" s="2">
        <v>6.8552600000000002E-3</v>
      </c>
      <c r="G17" s="2" t="s">
        <v>433</v>
      </c>
      <c r="H17" s="2" t="s">
        <v>433</v>
      </c>
    </row>
    <row r="18" spans="1:8" ht="15" customHeight="1" x14ac:dyDescent="0.45">
      <c r="A18" s="2" t="s">
        <v>672</v>
      </c>
      <c r="B18" s="2" t="s">
        <v>675</v>
      </c>
      <c r="C18" s="2">
        <v>0.65646199999999999</v>
      </c>
      <c r="D18" s="2">
        <v>45.538499999999999</v>
      </c>
      <c r="E18" s="2">
        <v>18.461500000000001</v>
      </c>
      <c r="F18" s="2">
        <v>0.114025</v>
      </c>
      <c r="G18" s="2" t="s">
        <v>147</v>
      </c>
      <c r="H18" s="2" t="s">
        <v>433</v>
      </c>
    </row>
    <row r="19" spans="1:8" ht="15" customHeight="1" x14ac:dyDescent="0.45">
      <c r="A19" s="2" t="s">
        <v>672</v>
      </c>
      <c r="B19" s="2" t="s">
        <v>674</v>
      </c>
      <c r="C19" s="2">
        <v>0.21365600000000001</v>
      </c>
      <c r="D19" s="2">
        <v>13.2042</v>
      </c>
      <c r="E19" s="2">
        <v>18.137899999999998</v>
      </c>
      <c r="F19" s="2">
        <v>2.3728800000000001E-2</v>
      </c>
      <c r="G19" s="2" t="s">
        <v>433</v>
      </c>
      <c r="H19" s="2" t="s">
        <v>433</v>
      </c>
    </row>
    <row r="20" spans="1:8" ht="15" customHeight="1" x14ac:dyDescent="0.45">
      <c r="A20" s="2" t="s">
        <v>672</v>
      </c>
      <c r="B20" s="2" t="s">
        <v>673</v>
      </c>
      <c r="C20" s="2">
        <v>0.180835</v>
      </c>
      <c r="D20" s="2">
        <v>10.5261</v>
      </c>
      <c r="E20" s="2">
        <v>11.8589</v>
      </c>
      <c r="F20" s="2">
        <v>1.10729E-2</v>
      </c>
      <c r="G20" s="2" t="s">
        <v>433</v>
      </c>
      <c r="H20" s="2" t="s">
        <v>433</v>
      </c>
    </row>
    <row r="21" spans="1:8" ht="15" customHeight="1" x14ac:dyDescent="0.45">
      <c r="A21" s="2" t="s">
        <v>672</v>
      </c>
      <c r="B21" s="2" t="s">
        <v>671</v>
      </c>
      <c r="C21" s="2">
        <v>0.16189799999999999</v>
      </c>
      <c r="D21" s="2">
        <v>15.533799999999999</v>
      </c>
      <c r="E21" s="2">
        <v>10.659800000000001</v>
      </c>
      <c r="F21" s="2">
        <v>2.5165300000000002E-2</v>
      </c>
      <c r="G21" s="2" t="s">
        <v>147</v>
      </c>
      <c r="H21" s="2" t="s">
        <v>433</v>
      </c>
    </row>
    <row r="22" spans="1:8" ht="15" customHeight="1" x14ac:dyDescent="0.45">
      <c r="A22" s="2" t="s">
        <v>666</v>
      </c>
      <c r="B22" s="2" t="s">
        <v>670</v>
      </c>
      <c r="C22" s="2">
        <v>0.238897</v>
      </c>
      <c r="D22" s="2">
        <v>13.876899999999999</v>
      </c>
      <c r="E22" s="2">
        <v>22.7333</v>
      </c>
      <c r="F22" s="2">
        <v>1.7214400000000001E-2</v>
      </c>
      <c r="G22" s="2" t="s">
        <v>147</v>
      </c>
      <c r="H22" s="2" t="s">
        <v>433</v>
      </c>
    </row>
    <row r="23" spans="1:8" ht="15" customHeight="1" x14ac:dyDescent="0.45">
      <c r="A23" s="2" t="s">
        <v>666</v>
      </c>
      <c r="B23" s="2" t="s">
        <v>669</v>
      </c>
      <c r="C23" s="2">
        <v>0.19187000000000001</v>
      </c>
      <c r="D23" s="2">
        <v>9.8168000000000006</v>
      </c>
      <c r="E23" s="2">
        <v>19.519600000000001</v>
      </c>
      <c r="F23" s="2">
        <v>1.15204E-2</v>
      </c>
      <c r="G23" s="2" t="s">
        <v>147</v>
      </c>
      <c r="H23" s="2" t="s">
        <v>433</v>
      </c>
    </row>
    <row r="24" spans="1:8" ht="15" customHeight="1" x14ac:dyDescent="0.45">
      <c r="A24" s="2" t="s">
        <v>666</v>
      </c>
      <c r="B24" s="2" t="s">
        <v>668</v>
      </c>
      <c r="C24" s="2">
        <v>7.3316599999999996E-2</v>
      </c>
      <c r="D24" s="2">
        <v>3.97784</v>
      </c>
      <c r="E24" s="2">
        <v>5.8383399999999996</v>
      </c>
      <c r="F24" s="2">
        <v>1.0730200000000001E-3</v>
      </c>
      <c r="G24" s="2" t="s">
        <v>147</v>
      </c>
      <c r="H24" s="2" t="s">
        <v>433</v>
      </c>
    </row>
    <row r="25" spans="1:8" ht="15" customHeight="1" x14ac:dyDescent="0.45">
      <c r="A25" s="2" t="s">
        <v>666</v>
      </c>
      <c r="B25" s="2" t="s">
        <v>667</v>
      </c>
      <c r="C25" s="2">
        <v>0.207759</v>
      </c>
      <c r="D25" s="2">
        <v>12.440799999999999</v>
      </c>
      <c r="E25" s="2">
        <v>20.188700000000001</v>
      </c>
      <c r="F25" s="2">
        <v>1.7578099999999999E-2</v>
      </c>
      <c r="G25" s="2" t="s">
        <v>147</v>
      </c>
      <c r="H25" s="2" t="s">
        <v>433</v>
      </c>
    </row>
    <row r="26" spans="1:8" ht="15" customHeight="1" x14ac:dyDescent="0.45">
      <c r="A26" s="2" t="s">
        <v>666</v>
      </c>
      <c r="B26" s="2" t="s">
        <v>665</v>
      </c>
      <c r="C26" s="2">
        <v>0.51796799999999998</v>
      </c>
      <c r="D26" s="2">
        <v>81.739699999999999</v>
      </c>
      <c r="E26" s="2">
        <v>21.466699999999999</v>
      </c>
      <c r="F26" s="2">
        <v>0.20066200000000001</v>
      </c>
      <c r="G26" s="2" t="s">
        <v>147</v>
      </c>
      <c r="H26" s="2" t="s">
        <v>433</v>
      </c>
    </row>
    <row r="27" spans="1:8" ht="15" customHeight="1" x14ac:dyDescent="0.45">
      <c r="A27" s="2" t="s">
        <v>664</v>
      </c>
      <c r="B27" s="2" t="s">
        <v>663</v>
      </c>
      <c r="C27" s="2">
        <v>3.7970999999999998E-2</v>
      </c>
      <c r="D27" s="2">
        <v>4.0559599999999998</v>
      </c>
      <c r="E27" s="2">
        <v>7.1732899999999997</v>
      </c>
      <c r="F27" s="2">
        <v>7.7738300000000001E-5</v>
      </c>
      <c r="G27" s="2" t="s">
        <v>433</v>
      </c>
      <c r="H27" s="2" t="s">
        <v>433</v>
      </c>
    </row>
    <row r="28" spans="1:8" ht="15" customHeight="1" x14ac:dyDescent="0.45">
      <c r="A28" s="2" t="s">
        <v>660</v>
      </c>
      <c r="B28" s="2" t="s">
        <v>662</v>
      </c>
      <c r="C28" s="2">
        <v>0.109319</v>
      </c>
      <c r="D28" s="2">
        <v>13.299899999999999</v>
      </c>
      <c r="E28" s="2">
        <v>10.107799999999999</v>
      </c>
      <c r="F28" s="2">
        <v>7.12358E-3</v>
      </c>
      <c r="G28" s="2" t="s">
        <v>433</v>
      </c>
      <c r="H28" s="2" t="s">
        <v>433</v>
      </c>
    </row>
    <row r="29" spans="1:8" ht="15" customHeight="1" x14ac:dyDescent="0.45">
      <c r="A29" s="2" t="s">
        <v>660</v>
      </c>
      <c r="B29" s="2" t="s">
        <v>661</v>
      </c>
      <c r="C29" s="2">
        <v>0.110818</v>
      </c>
      <c r="D29" s="2">
        <v>13.499700000000001</v>
      </c>
      <c r="E29" s="2">
        <v>10.4575</v>
      </c>
      <c r="F29" s="2">
        <v>6.8900799999999998E-3</v>
      </c>
      <c r="G29" s="2" t="s">
        <v>433</v>
      </c>
      <c r="H29" s="2" t="s">
        <v>433</v>
      </c>
    </row>
    <row r="30" spans="1:8" ht="14.25" x14ac:dyDescent="0.45">
      <c r="A30" s="2" t="s">
        <v>660</v>
      </c>
      <c r="B30" s="2" t="s">
        <v>659</v>
      </c>
      <c r="C30" s="2">
        <v>0.10684200000000001</v>
      </c>
      <c r="D30" s="2">
        <v>12.9696</v>
      </c>
      <c r="E30" s="2">
        <v>9.5297000000000001</v>
      </c>
      <c r="F30" s="2">
        <v>7.5464299999999998E-3</v>
      </c>
      <c r="G30" s="2" t="s">
        <v>433</v>
      </c>
      <c r="H30" s="2" t="s">
        <v>433</v>
      </c>
    </row>
    <row r="31" spans="1:8" ht="14.25" x14ac:dyDescent="0.45">
      <c r="A31" s="2" t="s">
        <v>657</v>
      </c>
      <c r="B31" s="2" t="s">
        <v>656</v>
      </c>
      <c r="C31" s="2">
        <v>7.7154600000000004E-2</v>
      </c>
      <c r="D31" s="2">
        <v>5.5064900000000003</v>
      </c>
      <c r="E31" s="2">
        <v>10.7903</v>
      </c>
      <c r="F31" s="2">
        <v>0</v>
      </c>
      <c r="G31" s="2" t="s">
        <v>433</v>
      </c>
      <c r="H31" s="2" t="s">
        <v>433</v>
      </c>
    </row>
    <row r="32" spans="1:8" ht="15" customHeight="1" x14ac:dyDescent="0.45">
      <c r="A32" s="2" t="s">
        <v>1171</v>
      </c>
      <c r="B32" s="2" t="s">
        <v>1170</v>
      </c>
      <c r="C32" s="2">
        <v>0</v>
      </c>
      <c r="D32" s="2">
        <v>0</v>
      </c>
      <c r="E32" s="2">
        <v>0</v>
      </c>
      <c r="F32" s="2">
        <v>0</v>
      </c>
      <c r="G32" s="2" t="s">
        <v>147</v>
      </c>
      <c r="H32" s="2" t="s">
        <v>147</v>
      </c>
    </row>
    <row r="33" spans="1:8" ht="15" customHeight="1" x14ac:dyDescent="0.45">
      <c r="A33" s="2" t="s">
        <v>1169</v>
      </c>
      <c r="B33" s="2" t="s">
        <v>55</v>
      </c>
      <c r="C33" s="2">
        <v>0</v>
      </c>
      <c r="D33" s="2">
        <v>0</v>
      </c>
      <c r="E33" s="2">
        <v>0</v>
      </c>
      <c r="F33" s="2">
        <v>0</v>
      </c>
      <c r="G33" s="2" t="s">
        <v>147</v>
      </c>
      <c r="H33" s="2" t="s">
        <v>147</v>
      </c>
    </row>
    <row r="34" spans="1:8" ht="15" customHeight="1" x14ac:dyDescent="0.45">
      <c r="A34" s="2" t="s">
        <v>53</v>
      </c>
      <c r="B34" s="2" t="s">
        <v>54</v>
      </c>
      <c r="C34" s="2">
        <v>0.26683699999999999</v>
      </c>
      <c r="D34" s="2">
        <v>70.313299999999998</v>
      </c>
      <c r="E34" s="2">
        <v>14.5144</v>
      </c>
      <c r="F34" s="2">
        <v>7.3070599999999998E-3</v>
      </c>
      <c r="G34" s="2" t="s">
        <v>433</v>
      </c>
      <c r="H34" s="2" t="s">
        <v>433</v>
      </c>
    </row>
    <row r="35" spans="1:8" ht="15" customHeight="1" x14ac:dyDescent="0.45">
      <c r="A35" s="2" t="s">
        <v>56</v>
      </c>
      <c r="B35" s="2" t="s">
        <v>57</v>
      </c>
      <c r="C35" s="2">
        <v>0</v>
      </c>
      <c r="D35" s="2">
        <v>0</v>
      </c>
      <c r="E35" s="2">
        <v>0</v>
      </c>
      <c r="F35" s="2">
        <v>0</v>
      </c>
      <c r="G35" s="2" t="s">
        <v>147</v>
      </c>
      <c r="H35" s="2" t="s">
        <v>147</v>
      </c>
    </row>
    <row r="36" spans="1:8" ht="15" customHeight="1" x14ac:dyDescent="0.45">
      <c r="A36" s="2" t="s">
        <v>655</v>
      </c>
      <c r="B36" s="2" t="s">
        <v>654</v>
      </c>
      <c r="C36" s="2">
        <v>0.111182</v>
      </c>
      <c r="D36" s="2">
        <v>12.4587</v>
      </c>
      <c r="E36" s="2">
        <v>8.4339300000000001</v>
      </c>
      <c r="F36" s="2">
        <v>2.4979899999999999E-2</v>
      </c>
      <c r="G36" s="2" t="s">
        <v>147</v>
      </c>
      <c r="H36" s="2" t="s">
        <v>433</v>
      </c>
    </row>
    <row r="37" spans="1:8" ht="15" customHeight="1" x14ac:dyDescent="0.45">
      <c r="A37" s="2" t="s">
        <v>653</v>
      </c>
      <c r="B37" s="2" t="s">
        <v>652</v>
      </c>
      <c r="C37" s="2">
        <v>3.6781599999999998E-2</v>
      </c>
      <c r="D37" s="2">
        <v>5.4078200000000001</v>
      </c>
      <c r="E37" s="2">
        <v>2.34483</v>
      </c>
      <c r="F37" s="2">
        <v>9.9403600000000005E-3</v>
      </c>
      <c r="G37" s="2" t="s">
        <v>433</v>
      </c>
      <c r="H37" s="2" t="s">
        <v>433</v>
      </c>
    </row>
    <row r="38" spans="1:8" ht="15" customHeight="1" x14ac:dyDescent="0.45">
      <c r="A38" s="2" t="s">
        <v>1159</v>
      </c>
      <c r="B38" s="2" t="s">
        <v>1168</v>
      </c>
      <c r="C38" s="2">
        <v>0</v>
      </c>
      <c r="D38" s="2">
        <v>0</v>
      </c>
      <c r="E38" s="2">
        <v>0</v>
      </c>
      <c r="F38" s="2">
        <v>0</v>
      </c>
      <c r="G38" s="2" t="s">
        <v>147</v>
      </c>
      <c r="H38" s="2" t="s">
        <v>147</v>
      </c>
    </row>
    <row r="39" spans="1:8" ht="15" customHeight="1" x14ac:dyDescent="0.45">
      <c r="A39" s="2" t="s">
        <v>1159</v>
      </c>
      <c r="B39" s="2" t="s">
        <v>1167</v>
      </c>
      <c r="C39" s="2">
        <v>0</v>
      </c>
      <c r="D39" s="2">
        <v>0</v>
      </c>
      <c r="E39" s="2">
        <v>0</v>
      </c>
      <c r="F39" s="2">
        <v>0</v>
      </c>
      <c r="G39" s="2" t="s">
        <v>147</v>
      </c>
      <c r="H39" s="2" t="s">
        <v>147</v>
      </c>
    </row>
    <row r="40" spans="1:8" ht="15" customHeight="1" x14ac:dyDescent="0.45">
      <c r="A40" s="2" t="s">
        <v>1159</v>
      </c>
      <c r="B40" s="2" t="s">
        <v>1166</v>
      </c>
      <c r="C40" s="2">
        <v>0</v>
      </c>
      <c r="D40" s="2">
        <v>0</v>
      </c>
      <c r="E40" s="2">
        <v>0</v>
      </c>
      <c r="F40" s="2">
        <v>0</v>
      </c>
      <c r="G40" s="2" t="s">
        <v>147</v>
      </c>
      <c r="H40" s="2" t="s">
        <v>147</v>
      </c>
    </row>
    <row r="41" spans="1:8" ht="15" customHeight="1" x14ac:dyDescent="0.45">
      <c r="A41" s="2" t="s">
        <v>1159</v>
      </c>
      <c r="B41" s="2" t="s">
        <v>1165</v>
      </c>
      <c r="C41" s="2">
        <v>0</v>
      </c>
      <c r="D41" s="2">
        <v>0</v>
      </c>
      <c r="E41" s="2">
        <v>0</v>
      </c>
      <c r="F41" s="2">
        <v>0</v>
      </c>
      <c r="G41" s="2" t="s">
        <v>147</v>
      </c>
      <c r="H41" s="2" t="s">
        <v>147</v>
      </c>
    </row>
    <row r="42" spans="1:8" ht="15" customHeight="1" x14ac:dyDescent="0.45">
      <c r="A42" s="2" t="s">
        <v>1159</v>
      </c>
      <c r="B42" s="2" t="s">
        <v>1164</v>
      </c>
      <c r="C42" s="2">
        <v>0</v>
      </c>
      <c r="D42" s="2">
        <v>0</v>
      </c>
      <c r="E42" s="2">
        <v>0</v>
      </c>
      <c r="F42" s="2">
        <v>0</v>
      </c>
      <c r="G42" s="2" t="s">
        <v>147</v>
      </c>
      <c r="H42" s="2" t="s">
        <v>147</v>
      </c>
    </row>
    <row r="43" spans="1:8" ht="15" customHeight="1" x14ac:dyDescent="0.45">
      <c r="A43" s="2" t="s">
        <v>1159</v>
      </c>
      <c r="B43" s="2" t="s">
        <v>1163</v>
      </c>
      <c r="C43" s="2">
        <v>0</v>
      </c>
      <c r="D43" s="2">
        <v>0</v>
      </c>
      <c r="E43" s="2">
        <v>0</v>
      </c>
      <c r="F43" s="2">
        <v>0</v>
      </c>
      <c r="G43" s="2" t="s">
        <v>147</v>
      </c>
      <c r="H43" s="2" t="s">
        <v>147</v>
      </c>
    </row>
    <row r="44" spans="1:8" ht="15" customHeight="1" x14ac:dyDescent="0.45">
      <c r="A44" s="2" t="s">
        <v>1159</v>
      </c>
      <c r="B44" s="2" t="s">
        <v>1162</v>
      </c>
      <c r="C44" s="2">
        <v>0</v>
      </c>
      <c r="D44" s="2">
        <v>0</v>
      </c>
      <c r="E44" s="2">
        <v>0</v>
      </c>
      <c r="F44" s="2">
        <v>0</v>
      </c>
      <c r="G44" s="2" t="s">
        <v>147</v>
      </c>
      <c r="H44" s="2" t="s">
        <v>147</v>
      </c>
    </row>
    <row r="45" spans="1:8" ht="15" customHeight="1" x14ac:dyDescent="0.45">
      <c r="A45" s="2" t="s">
        <v>1159</v>
      </c>
      <c r="B45" s="2" t="s">
        <v>1161</v>
      </c>
      <c r="C45" s="2">
        <v>0</v>
      </c>
      <c r="D45" s="2">
        <v>0</v>
      </c>
      <c r="E45" s="2">
        <v>0</v>
      </c>
      <c r="F45" s="2">
        <v>0</v>
      </c>
      <c r="G45" s="2" t="s">
        <v>147</v>
      </c>
      <c r="H45" s="2" t="s">
        <v>147</v>
      </c>
    </row>
    <row r="46" spans="1:8" ht="15" customHeight="1" x14ac:dyDescent="0.45">
      <c r="A46" s="2" t="s">
        <v>1159</v>
      </c>
      <c r="B46" s="2" t="s">
        <v>1160</v>
      </c>
      <c r="C46" s="2">
        <v>0</v>
      </c>
      <c r="D46" s="2">
        <v>0</v>
      </c>
      <c r="E46" s="2">
        <v>0</v>
      </c>
      <c r="F46" s="2">
        <v>0</v>
      </c>
      <c r="G46" s="2" t="s">
        <v>147</v>
      </c>
      <c r="H46" s="2" t="s">
        <v>147</v>
      </c>
    </row>
    <row r="47" spans="1:8" ht="15" customHeight="1" x14ac:dyDescent="0.45">
      <c r="A47" s="2" t="s">
        <v>1159</v>
      </c>
      <c r="B47" s="2" t="s">
        <v>1158</v>
      </c>
      <c r="C47" s="2">
        <v>0</v>
      </c>
      <c r="D47" s="2">
        <v>0</v>
      </c>
      <c r="E47" s="2">
        <v>0</v>
      </c>
      <c r="F47" s="2">
        <v>0</v>
      </c>
      <c r="G47" s="2" t="s">
        <v>147</v>
      </c>
      <c r="H47" s="2" t="s">
        <v>147</v>
      </c>
    </row>
    <row r="48" spans="1:8" ht="15" customHeight="1" x14ac:dyDescent="0.45">
      <c r="A48" s="2" t="s">
        <v>651</v>
      </c>
      <c r="B48" s="2" t="s">
        <v>62</v>
      </c>
      <c r="C48" s="2">
        <v>0.13353300000000001</v>
      </c>
      <c r="D48" s="2">
        <v>154.30799999999999</v>
      </c>
      <c r="E48" s="2">
        <v>4.08216</v>
      </c>
      <c r="F48" s="2">
        <v>1.6068900000000001E-2</v>
      </c>
      <c r="G48" s="2" t="s">
        <v>433</v>
      </c>
      <c r="H48" s="2" t="s">
        <v>433</v>
      </c>
    </row>
    <row r="49" spans="1:8" ht="15" customHeight="1" x14ac:dyDescent="0.45">
      <c r="A49" s="2" t="s">
        <v>61</v>
      </c>
      <c r="B49" s="2" t="s">
        <v>1157</v>
      </c>
      <c r="C49" s="2">
        <v>0</v>
      </c>
      <c r="D49" s="2">
        <v>0</v>
      </c>
      <c r="E49" s="2">
        <v>0</v>
      </c>
      <c r="F49" s="2">
        <v>0</v>
      </c>
      <c r="G49" s="2" t="s">
        <v>147</v>
      </c>
      <c r="H49" s="2" t="s">
        <v>147</v>
      </c>
    </row>
    <row r="50" spans="1:8" ht="15" customHeight="1" x14ac:dyDescent="0.45">
      <c r="A50" s="2" t="s">
        <v>647</v>
      </c>
      <c r="B50" s="2" t="s">
        <v>650</v>
      </c>
      <c r="C50" s="2">
        <v>0.141706</v>
      </c>
      <c r="D50" s="2">
        <v>22.4984</v>
      </c>
      <c r="E50" s="2">
        <v>9.7114999999999991</v>
      </c>
      <c r="F50" s="2">
        <v>4.5862399999999998E-2</v>
      </c>
      <c r="G50" s="2" t="s">
        <v>433</v>
      </c>
      <c r="H50" s="2" t="s">
        <v>433</v>
      </c>
    </row>
    <row r="51" spans="1:8" ht="15" customHeight="1" x14ac:dyDescent="0.45">
      <c r="A51" s="2" t="s">
        <v>647</v>
      </c>
      <c r="B51" s="2" t="s">
        <v>649</v>
      </c>
      <c r="C51" s="2">
        <v>0.10227</v>
      </c>
      <c r="D51" s="2">
        <v>103.119</v>
      </c>
      <c r="E51" s="2">
        <v>3.3507699999999998</v>
      </c>
      <c r="F51" s="2">
        <v>5.2167300000000002E-3</v>
      </c>
      <c r="G51" s="2" t="s">
        <v>433</v>
      </c>
      <c r="H51" s="2" t="s">
        <v>433</v>
      </c>
    </row>
    <row r="52" spans="1:8" ht="15" customHeight="1" x14ac:dyDescent="0.45">
      <c r="A52" s="2" t="s">
        <v>647</v>
      </c>
      <c r="B52" s="2" t="s">
        <v>646</v>
      </c>
      <c r="C52" s="2">
        <v>7.0004499999999997E-2</v>
      </c>
      <c r="D52" s="2">
        <v>5.9404899999999996</v>
      </c>
      <c r="E52" s="2">
        <v>8.3805200000000006</v>
      </c>
      <c r="F52" s="2">
        <v>3.2932700000000001E-3</v>
      </c>
      <c r="G52" s="2" t="s">
        <v>433</v>
      </c>
      <c r="H52" s="2" t="s">
        <v>433</v>
      </c>
    </row>
    <row r="53" spans="1:8" ht="15" customHeight="1" x14ac:dyDescent="0.45">
      <c r="A53" s="2" t="s">
        <v>644</v>
      </c>
      <c r="B53" s="2" t="s">
        <v>645</v>
      </c>
      <c r="C53" s="2">
        <v>0.101524</v>
      </c>
      <c r="D53" s="2">
        <v>12.588100000000001</v>
      </c>
      <c r="E53" s="2">
        <v>7.6420700000000004</v>
      </c>
      <c r="F53" s="2">
        <v>1.01942E-2</v>
      </c>
      <c r="G53" s="2" t="s">
        <v>433</v>
      </c>
      <c r="H53" s="2" t="s">
        <v>433</v>
      </c>
    </row>
    <row r="54" spans="1:8" ht="15" customHeight="1" x14ac:dyDescent="0.45">
      <c r="A54" s="2" t="s">
        <v>644</v>
      </c>
      <c r="B54" s="2" t="s">
        <v>643</v>
      </c>
      <c r="C54" s="2">
        <v>0.40405600000000003</v>
      </c>
      <c r="D54" s="2">
        <v>85.779899999999998</v>
      </c>
      <c r="E54" s="2">
        <v>13.345499999999999</v>
      </c>
      <c r="F54" s="2">
        <v>0.213557</v>
      </c>
      <c r="G54" s="2" t="s">
        <v>433</v>
      </c>
      <c r="H54" s="2" t="s">
        <v>433</v>
      </c>
    </row>
    <row r="55" spans="1:8" ht="15" customHeight="1" x14ac:dyDescent="0.45">
      <c r="A55" s="2" t="s">
        <v>640</v>
      </c>
      <c r="B55" s="2" t="s">
        <v>642</v>
      </c>
      <c r="C55" s="2">
        <v>6.2652299999999994E-2</v>
      </c>
      <c r="D55" s="2">
        <v>69.786000000000001</v>
      </c>
      <c r="E55" s="2">
        <v>3.8623799999999999</v>
      </c>
      <c r="F55" s="2">
        <v>2.7908199999999998E-3</v>
      </c>
      <c r="G55" s="2" t="s">
        <v>433</v>
      </c>
      <c r="H55" s="2" t="s">
        <v>433</v>
      </c>
    </row>
    <row r="56" spans="1:8" ht="15" customHeight="1" x14ac:dyDescent="0.45">
      <c r="A56" s="2" t="s">
        <v>640</v>
      </c>
      <c r="B56" s="2" t="s">
        <v>641</v>
      </c>
      <c r="C56" s="2">
        <v>0.17810999999999999</v>
      </c>
      <c r="D56" s="2">
        <v>6.7600199999999999</v>
      </c>
      <c r="E56" s="2">
        <v>22.035799999999998</v>
      </c>
      <c r="F56" s="2">
        <v>1.12517E-3</v>
      </c>
      <c r="G56" s="2" t="s">
        <v>147</v>
      </c>
      <c r="H56" s="2" t="s">
        <v>433</v>
      </c>
    </row>
    <row r="57" spans="1:8" ht="15" customHeight="1" x14ac:dyDescent="0.45">
      <c r="A57" s="2" t="s">
        <v>640</v>
      </c>
      <c r="B57" s="2" t="s">
        <v>639</v>
      </c>
      <c r="C57" s="2">
        <v>0.256577</v>
      </c>
      <c r="D57" s="2">
        <v>8.6547400000000003</v>
      </c>
      <c r="E57" s="2">
        <v>23.944299999999998</v>
      </c>
      <c r="F57" s="2">
        <v>3.9287300000000001E-3</v>
      </c>
      <c r="G57" s="2" t="s">
        <v>433</v>
      </c>
      <c r="H57" s="2" t="s">
        <v>433</v>
      </c>
    </row>
    <row r="58" spans="1:8" ht="15" customHeight="1" x14ac:dyDescent="0.45">
      <c r="A58" s="2" t="s">
        <v>637</v>
      </c>
      <c r="B58" s="2" t="s">
        <v>638</v>
      </c>
      <c r="C58" s="2">
        <v>9.1184500000000002E-2</v>
      </c>
      <c r="D58" s="2">
        <v>49.503500000000003</v>
      </c>
      <c r="E58" s="2">
        <v>6.2653499999999998</v>
      </c>
      <c r="F58" s="2">
        <v>8.5332900000000007E-3</v>
      </c>
      <c r="G58" s="2" t="s">
        <v>147</v>
      </c>
      <c r="H58" s="2" t="s">
        <v>433</v>
      </c>
    </row>
    <row r="59" spans="1:8" ht="15" customHeight="1" x14ac:dyDescent="0.45">
      <c r="A59" s="2" t="s">
        <v>637</v>
      </c>
      <c r="B59" s="2" t="s">
        <v>636</v>
      </c>
      <c r="C59" s="2">
        <v>0.244371</v>
      </c>
      <c r="D59" s="2">
        <v>30.0427</v>
      </c>
      <c r="E59" s="2">
        <v>16.495899999999999</v>
      </c>
      <c r="F59" s="2">
        <v>8.4461599999999998E-2</v>
      </c>
      <c r="G59" s="2" t="s">
        <v>147</v>
      </c>
      <c r="H59" s="2" t="s">
        <v>433</v>
      </c>
    </row>
    <row r="60" spans="1:8" ht="15" customHeight="1" x14ac:dyDescent="0.45">
      <c r="A60" s="2" t="s">
        <v>58</v>
      </c>
      <c r="B60" s="2" t="s">
        <v>60</v>
      </c>
      <c r="C60" s="2">
        <v>0</v>
      </c>
      <c r="D60" s="2">
        <v>0</v>
      </c>
      <c r="E60" s="2">
        <v>0</v>
      </c>
      <c r="F60" s="2">
        <v>0</v>
      </c>
      <c r="G60" s="2" t="s">
        <v>147</v>
      </c>
      <c r="H60" s="2" t="s">
        <v>147</v>
      </c>
    </row>
    <row r="61" spans="1:8" ht="15" customHeight="1" x14ac:dyDescent="0.45">
      <c r="A61" s="2" t="s">
        <v>635</v>
      </c>
      <c r="B61" s="2" t="s">
        <v>634</v>
      </c>
      <c r="C61" s="2">
        <v>4.3294500000000003E-3</v>
      </c>
      <c r="D61" s="2">
        <v>0</v>
      </c>
      <c r="E61" s="2">
        <v>0</v>
      </c>
      <c r="F61" s="2">
        <v>0</v>
      </c>
      <c r="G61" s="2" t="s">
        <v>433</v>
      </c>
      <c r="H61" s="2" t="s">
        <v>433</v>
      </c>
    </row>
    <row r="62" spans="1:8" ht="15" customHeight="1" x14ac:dyDescent="0.45">
      <c r="A62" s="2" t="s">
        <v>1155</v>
      </c>
      <c r="B62" s="2" t="s">
        <v>1156</v>
      </c>
      <c r="C62" s="2">
        <v>0</v>
      </c>
      <c r="D62" s="2">
        <v>0</v>
      </c>
      <c r="E62" s="2">
        <v>0</v>
      </c>
      <c r="F62" s="2">
        <v>0</v>
      </c>
      <c r="G62" s="2" t="s">
        <v>147</v>
      </c>
      <c r="H62" s="2" t="s">
        <v>147</v>
      </c>
    </row>
    <row r="63" spans="1:8" ht="15" customHeight="1" x14ac:dyDescent="0.45">
      <c r="A63" s="2" t="s">
        <v>1155</v>
      </c>
      <c r="B63" s="2" t="s">
        <v>1154</v>
      </c>
      <c r="C63" s="2">
        <v>0</v>
      </c>
      <c r="D63" s="2">
        <v>0</v>
      </c>
      <c r="E63" s="2">
        <v>0</v>
      </c>
      <c r="F63" s="2">
        <v>0</v>
      </c>
      <c r="G63" s="2" t="s">
        <v>147</v>
      </c>
      <c r="H63" s="2" t="s">
        <v>147</v>
      </c>
    </row>
    <row r="64" spans="1:8" ht="15" customHeight="1" x14ac:dyDescent="0.45">
      <c r="A64" s="2" t="s">
        <v>64</v>
      </c>
      <c r="B64" s="2" t="s">
        <v>66</v>
      </c>
      <c r="C64" s="2">
        <v>0</v>
      </c>
      <c r="D64" s="2">
        <v>0</v>
      </c>
      <c r="E64" s="2">
        <v>0</v>
      </c>
      <c r="F64" s="2">
        <v>0</v>
      </c>
      <c r="G64" s="2" t="s">
        <v>147</v>
      </c>
      <c r="H64" s="2" t="s">
        <v>147</v>
      </c>
    </row>
    <row r="65" spans="1:13" ht="15" customHeight="1" x14ac:dyDescent="0.45">
      <c r="A65" s="2" t="s">
        <v>633</v>
      </c>
      <c r="B65" s="2" t="s">
        <v>65</v>
      </c>
      <c r="C65" s="2">
        <v>0.200652</v>
      </c>
      <c r="D65" s="2">
        <v>25.904199999999999</v>
      </c>
      <c r="E65" s="2">
        <v>9.6864799999999995</v>
      </c>
      <c r="F65" s="2">
        <v>3.0705400000000001E-2</v>
      </c>
      <c r="G65" s="2" t="s">
        <v>433</v>
      </c>
      <c r="H65" s="2" t="s">
        <v>433</v>
      </c>
    </row>
    <row r="66" spans="1:13" ht="15" customHeight="1" x14ac:dyDescent="0.45">
      <c r="A66" s="2" t="s">
        <v>1153</v>
      </c>
      <c r="B66" s="2" t="s">
        <v>1152</v>
      </c>
      <c r="C66" s="2">
        <v>0</v>
      </c>
      <c r="D66" s="2">
        <v>0</v>
      </c>
      <c r="E66" s="2">
        <v>0</v>
      </c>
      <c r="F66" s="2">
        <v>0</v>
      </c>
      <c r="G66" s="2" t="s">
        <v>147</v>
      </c>
      <c r="H66" s="2" t="s">
        <v>147</v>
      </c>
    </row>
    <row r="67" spans="1:13" ht="15" customHeight="1" x14ac:dyDescent="0.45">
      <c r="A67" s="2" t="s">
        <v>631</v>
      </c>
      <c r="B67" s="2" t="s">
        <v>632</v>
      </c>
      <c r="C67" s="2">
        <v>8.1551600000000002E-2</v>
      </c>
      <c r="D67" s="2">
        <v>12.8598</v>
      </c>
      <c r="E67" s="2">
        <v>11.132</v>
      </c>
      <c r="F67" s="2">
        <v>1.60935E-2</v>
      </c>
      <c r="G67" s="2" t="s">
        <v>147</v>
      </c>
      <c r="H67" s="2" t="s">
        <v>433</v>
      </c>
    </row>
    <row r="68" spans="1:13" ht="15" customHeight="1" x14ac:dyDescent="0.45">
      <c r="A68" s="2" t="s">
        <v>631</v>
      </c>
      <c r="B68" s="2" t="s">
        <v>630</v>
      </c>
      <c r="C68" s="2">
        <v>3.5710600000000002E-2</v>
      </c>
      <c r="D68" s="2">
        <v>3.1125099999999999</v>
      </c>
      <c r="E68" s="2">
        <v>5.8116599999999998</v>
      </c>
      <c r="F68" s="2">
        <v>6.4146299999999999E-4</v>
      </c>
      <c r="G68" s="2" t="s">
        <v>147</v>
      </c>
      <c r="H68" s="2" t="s">
        <v>433</v>
      </c>
    </row>
    <row r="69" spans="1:13" ht="15" customHeight="1" x14ac:dyDescent="0.45">
      <c r="A69" s="2" t="s">
        <v>628</v>
      </c>
      <c r="B69" s="2" t="s">
        <v>629</v>
      </c>
      <c r="C69" s="2">
        <v>4.8647999999999997E-2</v>
      </c>
      <c r="D69" s="2">
        <v>6.0335200000000002</v>
      </c>
      <c r="E69" s="2">
        <v>10.5587</v>
      </c>
      <c r="F69" s="2">
        <v>0</v>
      </c>
      <c r="G69" s="2" t="s">
        <v>433</v>
      </c>
      <c r="H69" s="2" t="s">
        <v>433</v>
      </c>
    </row>
    <row r="70" spans="1:13" ht="15" customHeight="1" x14ac:dyDescent="0.45">
      <c r="A70" s="2" t="s">
        <v>628</v>
      </c>
      <c r="B70" s="2" t="s">
        <v>627</v>
      </c>
      <c r="C70" s="2">
        <v>7.36985E-2</v>
      </c>
      <c r="D70" s="2">
        <v>5.1691200000000004</v>
      </c>
      <c r="E70" s="2">
        <v>7.9691400000000003</v>
      </c>
      <c r="F70" s="2">
        <v>2.0642299999999998E-3</v>
      </c>
      <c r="G70" s="2" t="s">
        <v>433</v>
      </c>
      <c r="H70" s="2" t="s">
        <v>433</v>
      </c>
    </row>
    <row r="71" spans="1:13" ht="15" customHeight="1" x14ac:dyDescent="0.45">
      <c r="A71" s="2" t="s">
        <v>623</v>
      </c>
      <c r="B71" s="2" t="s">
        <v>626</v>
      </c>
      <c r="C71" s="2">
        <v>7.4011199999999999E-2</v>
      </c>
      <c r="D71" s="2">
        <v>4.85703</v>
      </c>
      <c r="E71" s="2">
        <v>9.7365600000000008</v>
      </c>
      <c r="F71" s="2">
        <v>2.9681999999999999E-4</v>
      </c>
      <c r="G71" s="2" t="s">
        <v>147</v>
      </c>
      <c r="H71" s="2" t="s">
        <v>433</v>
      </c>
    </row>
    <row r="72" spans="1:13" ht="15" customHeight="1" x14ac:dyDescent="0.45">
      <c r="A72" s="2" t="s">
        <v>623</v>
      </c>
      <c r="B72" s="2" t="s">
        <v>625</v>
      </c>
      <c r="C72" s="2">
        <v>0</v>
      </c>
      <c r="D72" s="2">
        <v>0</v>
      </c>
      <c r="E72" s="2">
        <v>0</v>
      </c>
      <c r="F72" s="2">
        <v>0</v>
      </c>
      <c r="G72" s="2" t="s">
        <v>147</v>
      </c>
      <c r="H72" s="2" t="s">
        <v>147</v>
      </c>
    </row>
    <row r="73" spans="1:13" ht="15" customHeight="1" x14ac:dyDescent="0.45">
      <c r="A73" s="2" t="s">
        <v>623</v>
      </c>
      <c r="B73" s="2" t="s">
        <v>624</v>
      </c>
      <c r="C73" s="2">
        <v>0.200768</v>
      </c>
      <c r="D73" s="2">
        <v>7.4318799999999996</v>
      </c>
      <c r="E73" s="2">
        <v>20.7014</v>
      </c>
      <c r="F73" s="2">
        <v>3.8517099999999999E-3</v>
      </c>
      <c r="G73" s="2" t="s">
        <v>147</v>
      </c>
      <c r="H73" s="2" t="s">
        <v>433</v>
      </c>
    </row>
    <row r="74" spans="1:13" ht="15" customHeight="1" x14ac:dyDescent="0.45">
      <c r="A74" s="2" t="s">
        <v>623</v>
      </c>
      <c r="B74" s="2" t="s">
        <v>622</v>
      </c>
      <c r="C74" s="2">
        <v>0.39284599999999997</v>
      </c>
      <c r="D74" s="2">
        <v>58.776400000000002</v>
      </c>
      <c r="E74" s="2">
        <v>20.971699999999998</v>
      </c>
      <c r="F74" s="2">
        <v>0.128355</v>
      </c>
      <c r="G74" s="2" t="s">
        <v>147</v>
      </c>
      <c r="H74" s="2" t="s">
        <v>433</v>
      </c>
      <c r="I74" s="342"/>
      <c r="J74" s="342"/>
      <c r="K74" s="342"/>
      <c r="L74" s="342"/>
      <c r="M74" s="342"/>
    </row>
    <row r="75" spans="1:13" ht="15" customHeight="1" x14ac:dyDescent="0.45">
      <c r="A75" s="2" t="s">
        <v>610</v>
      </c>
      <c r="B75" s="2" t="s">
        <v>621</v>
      </c>
      <c r="C75" s="2">
        <v>0</v>
      </c>
      <c r="D75" s="2">
        <v>0</v>
      </c>
      <c r="E75" s="2">
        <v>0</v>
      </c>
      <c r="F75" s="2">
        <v>0</v>
      </c>
      <c r="G75" s="2" t="s">
        <v>147</v>
      </c>
      <c r="H75" s="2" t="s">
        <v>147</v>
      </c>
      <c r="I75" s="342"/>
      <c r="J75" s="342"/>
      <c r="K75" s="342"/>
      <c r="L75" s="342"/>
      <c r="M75" s="342"/>
    </row>
    <row r="76" spans="1:13" ht="15" customHeight="1" x14ac:dyDescent="0.45">
      <c r="A76" s="2" t="s">
        <v>610</v>
      </c>
      <c r="B76" s="2" t="s">
        <v>620</v>
      </c>
      <c r="C76" s="2">
        <v>0.133464</v>
      </c>
      <c r="D76" s="2">
        <v>15.2577</v>
      </c>
      <c r="E76" s="2">
        <v>8.8524100000000008</v>
      </c>
      <c r="F76" s="2">
        <v>1.7455499999999999E-2</v>
      </c>
      <c r="G76" s="2" t="s">
        <v>433</v>
      </c>
      <c r="H76" s="2" t="s">
        <v>433</v>
      </c>
      <c r="I76" s="342"/>
      <c r="J76" s="342"/>
      <c r="K76" s="342"/>
      <c r="L76" s="342"/>
      <c r="M76" s="342"/>
    </row>
    <row r="77" spans="1:13" ht="15" customHeight="1" x14ac:dyDescent="0.45">
      <c r="A77" s="2" t="s">
        <v>610</v>
      </c>
      <c r="B77" s="2" t="s">
        <v>619</v>
      </c>
      <c r="C77" s="2">
        <v>0</v>
      </c>
      <c r="D77" s="2">
        <v>0</v>
      </c>
      <c r="E77" s="2">
        <v>0</v>
      </c>
      <c r="F77" s="2">
        <v>0</v>
      </c>
      <c r="G77" s="2" t="s">
        <v>147</v>
      </c>
      <c r="H77" s="2" t="s">
        <v>147</v>
      </c>
    </row>
    <row r="78" spans="1:13" ht="15" customHeight="1" x14ac:dyDescent="0.45">
      <c r="A78" s="2" t="s">
        <v>610</v>
      </c>
      <c r="B78" s="2" t="s">
        <v>618</v>
      </c>
      <c r="C78" s="343">
        <v>0.214</v>
      </c>
      <c r="D78" s="343">
        <v>52.679000000000002</v>
      </c>
      <c r="E78" s="343">
        <v>4.4550000000000001</v>
      </c>
      <c r="F78" s="2">
        <v>4.1681900000000001E-2</v>
      </c>
      <c r="G78" s="2" t="s">
        <v>433</v>
      </c>
      <c r="H78" s="2" t="s">
        <v>433</v>
      </c>
    </row>
    <row r="79" spans="1:13" ht="15" customHeight="1" x14ac:dyDescent="0.45">
      <c r="A79" s="2" t="s">
        <v>610</v>
      </c>
      <c r="B79" s="2" t="s">
        <v>616</v>
      </c>
      <c r="C79" s="2">
        <v>0.37537599999999999</v>
      </c>
      <c r="D79" s="2">
        <v>43.571199999999997</v>
      </c>
      <c r="E79" s="2">
        <v>4.2995700000000001</v>
      </c>
      <c r="F79" s="2">
        <v>1.9E-2</v>
      </c>
      <c r="G79" s="2" t="s">
        <v>433</v>
      </c>
      <c r="H79" s="2" t="s">
        <v>433</v>
      </c>
    </row>
    <row r="80" spans="1:13" ht="15" customHeight="1" x14ac:dyDescent="0.45">
      <c r="A80" s="2" t="s">
        <v>610</v>
      </c>
      <c r="B80" s="2" t="s">
        <v>615</v>
      </c>
      <c r="C80" s="2">
        <v>0</v>
      </c>
      <c r="D80" s="2">
        <v>0</v>
      </c>
      <c r="E80" s="2">
        <v>0</v>
      </c>
      <c r="F80" s="2">
        <v>0</v>
      </c>
      <c r="G80" s="2" t="s">
        <v>147</v>
      </c>
      <c r="H80" s="2" t="s">
        <v>147</v>
      </c>
    </row>
    <row r="81" spans="1:8" ht="15" customHeight="1" x14ac:dyDescent="0.45">
      <c r="A81" s="2" t="s">
        <v>610</v>
      </c>
      <c r="B81" s="2" t="s">
        <v>614</v>
      </c>
      <c r="C81" s="2">
        <v>0.215</v>
      </c>
      <c r="D81" s="2">
        <v>90.760099999999994</v>
      </c>
      <c r="E81" s="2">
        <v>7.6332599999999999</v>
      </c>
      <c r="F81" s="2">
        <v>0.13800000000000001</v>
      </c>
      <c r="G81" s="2" t="s">
        <v>433</v>
      </c>
      <c r="H81" s="2" t="s">
        <v>433</v>
      </c>
    </row>
    <row r="82" spans="1:8" ht="15" customHeight="1" x14ac:dyDescent="0.45">
      <c r="A82" s="2" t="s">
        <v>610</v>
      </c>
      <c r="B82" s="2" t="s">
        <v>613</v>
      </c>
      <c r="C82" s="2">
        <v>0.193854</v>
      </c>
      <c r="D82" s="2">
        <v>130.886</v>
      </c>
      <c r="E82" s="2">
        <v>3.7294499999999999</v>
      </c>
      <c r="F82" s="2">
        <v>6.9570199999999999E-2</v>
      </c>
      <c r="G82" s="2" t="s">
        <v>433</v>
      </c>
      <c r="H82" s="2" t="s">
        <v>433</v>
      </c>
    </row>
    <row r="83" spans="1:8" ht="15" customHeight="1" x14ac:dyDescent="0.45">
      <c r="A83" s="2" t="s">
        <v>610</v>
      </c>
      <c r="B83" s="2" t="s">
        <v>612</v>
      </c>
      <c r="C83" s="2">
        <v>0.13090299999999999</v>
      </c>
      <c r="D83" s="2">
        <v>18.367000000000001</v>
      </c>
      <c r="E83" s="2">
        <v>8.6503200000000007</v>
      </c>
      <c r="F83" s="2">
        <v>2.7114900000000001E-2</v>
      </c>
      <c r="G83" s="2" t="s">
        <v>433</v>
      </c>
      <c r="H83" s="2" t="s">
        <v>433</v>
      </c>
    </row>
    <row r="84" spans="1:8" ht="15" customHeight="1" x14ac:dyDescent="0.45">
      <c r="A84" s="2" t="s">
        <v>610</v>
      </c>
      <c r="B84" s="2" t="s">
        <v>611</v>
      </c>
      <c r="C84" s="2">
        <v>0.49226199999999998</v>
      </c>
      <c r="D84" s="2">
        <v>56.165599999999998</v>
      </c>
      <c r="E84" s="2">
        <v>4.9639300000000004</v>
      </c>
      <c r="F84" s="2">
        <v>6.3458899999999999E-2</v>
      </c>
      <c r="G84" s="2" t="s">
        <v>433</v>
      </c>
      <c r="H84" s="2" t="s">
        <v>433</v>
      </c>
    </row>
    <row r="85" spans="1:8" ht="15" customHeight="1" x14ac:dyDescent="0.45">
      <c r="A85" s="2" t="s">
        <v>610</v>
      </c>
      <c r="B85" s="2" t="s">
        <v>609</v>
      </c>
      <c r="C85" s="2">
        <v>0.12809200000000001</v>
      </c>
      <c r="D85" s="2">
        <v>16.651700000000002</v>
      </c>
      <c r="E85" s="2">
        <v>9.1999999999999993</v>
      </c>
      <c r="F85" s="2">
        <v>2.2119300000000001E-2</v>
      </c>
      <c r="G85" s="2" t="s">
        <v>433</v>
      </c>
      <c r="H85" s="2" t="s">
        <v>433</v>
      </c>
    </row>
    <row r="86" spans="1:8" ht="15" customHeight="1" x14ac:dyDescent="0.45">
      <c r="A86" s="2" t="s">
        <v>610</v>
      </c>
      <c r="B86" s="2" t="s">
        <v>1556</v>
      </c>
      <c r="G86" s="2" t="s">
        <v>1568</v>
      </c>
      <c r="H86" s="2" t="s">
        <v>1569</v>
      </c>
    </row>
    <row r="87" spans="1:8" ht="15" customHeight="1" x14ac:dyDescent="0.45">
      <c r="A87" s="2" t="s">
        <v>608</v>
      </c>
      <c r="B87" s="2" t="s">
        <v>608</v>
      </c>
      <c r="C87" s="2">
        <v>0</v>
      </c>
      <c r="D87" s="2">
        <v>0</v>
      </c>
      <c r="E87" s="2">
        <v>0</v>
      </c>
      <c r="F87" s="2">
        <v>0</v>
      </c>
      <c r="G87" s="2" t="s">
        <v>147</v>
      </c>
      <c r="H87" s="2" t="s">
        <v>147</v>
      </c>
    </row>
    <row r="88" spans="1:8" ht="15" customHeight="1" x14ac:dyDescent="0.45">
      <c r="A88" s="2" t="s">
        <v>605</v>
      </c>
      <c r="B88" s="2" t="s">
        <v>607</v>
      </c>
      <c r="C88" s="2">
        <v>0.180118</v>
      </c>
      <c r="D88" s="2">
        <v>161.73400000000001</v>
      </c>
      <c r="E88" s="2">
        <v>5.1061300000000003</v>
      </c>
      <c r="F88" s="2">
        <v>1.43134E-2</v>
      </c>
      <c r="G88" s="2" t="s">
        <v>433</v>
      </c>
      <c r="H88" s="2" t="s">
        <v>433</v>
      </c>
    </row>
    <row r="89" spans="1:8" ht="15" customHeight="1" x14ac:dyDescent="0.45">
      <c r="A89" s="2" t="s">
        <v>605</v>
      </c>
      <c r="B89" s="2" t="s">
        <v>606</v>
      </c>
      <c r="C89" s="2">
        <v>0.13969599999999999</v>
      </c>
      <c r="D89" s="2">
        <v>16.742000000000001</v>
      </c>
      <c r="E89" s="2">
        <v>10.750400000000001</v>
      </c>
      <c r="F89" s="2">
        <v>9.3457899999999997E-3</v>
      </c>
      <c r="G89" s="2" t="s">
        <v>147</v>
      </c>
      <c r="H89" s="2" t="s">
        <v>433</v>
      </c>
    </row>
    <row r="90" spans="1:8" ht="15" customHeight="1" x14ac:dyDescent="0.45">
      <c r="A90" s="2" t="s">
        <v>605</v>
      </c>
      <c r="B90" s="2" t="s">
        <v>604</v>
      </c>
      <c r="C90" s="2">
        <v>0.103879</v>
      </c>
      <c r="D90" s="2">
        <v>12.6568</v>
      </c>
      <c r="E90" s="2">
        <v>10.5899</v>
      </c>
      <c r="F90" s="2">
        <v>5.9804999999999997E-3</v>
      </c>
      <c r="G90" s="2" t="s">
        <v>147</v>
      </c>
      <c r="H90" s="2" t="s">
        <v>433</v>
      </c>
    </row>
    <row r="91" spans="1:8" ht="15" customHeight="1" x14ac:dyDescent="0.45">
      <c r="A91" s="2" t="s">
        <v>1151</v>
      </c>
      <c r="B91" s="2" t="s">
        <v>1150</v>
      </c>
      <c r="C91" s="2">
        <v>0</v>
      </c>
      <c r="D91" s="2">
        <v>0</v>
      </c>
      <c r="E91" s="2">
        <v>0</v>
      </c>
      <c r="F91" s="2">
        <v>0</v>
      </c>
      <c r="G91" s="2" t="s">
        <v>147</v>
      </c>
      <c r="H91" s="2" t="s">
        <v>147</v>
      </c>
    </row>
    <row r="92" spans="1:8" ht="15" customHeight="1" x14ac:dyDescent="0.45">
      <c r="A92" s="2" t="s">
        <v>603</v>
      </c>
      <c r="B92" s="2" t="s">
        <v>602</v>
      </c>
      <c r="C92" s="2">
        <v>9.6868200000000002E-2</v>
      </c>
      <c r="D92" s="2">
        <v>8.8781199999999991</v>
      </c>
      <c r="E92" s="2">
        <v>8.8559999999999999</v>
      </c>
      <c r="F92" s="2">
        <v>1.19854E-2</v>
      </c>
      <c r="G92" s="2" t="s">
        <v>433</v>
      </c>
      <c r="H92" s="2" t="s">
        <v>433</v>
      </c>
    </row>
    <row r="93" spans="1:8" ht="15" customHeight="1" x14ac:dyDescent="0.45">
      <c r="A93" s="2" t="s">
        <v>601</v>
      </c>
      <c r="B93" s="2" t="s">
        <v>600</v>
      </c>
      <c r="C93" s="2">
        <v>6.7655699999999999E-2</v>
      </c>
      <c r="D93" s="2">
        <v>6.1308499999999997</v>
      </c>
      <c r="E93" s="2">
        <v>4.867</v>
      </c>
      <c r="F93" s="2">
        <v>1.7162400000000001E-2</v>
      </c>
      <c r="G93" s="2" t="s">
        <v>433</v>
      </c>
      <c r="H93" s="2" t="s">
        <v>433</v>
      </c>
    </row>
    <row r="94" spans="1:8" ht="15" customHeight="1" x14ac:dyDescent="0.45">
      <c r="A94" s="2" t="s">
        <v>597</v>
      </c>
      <c r="B94" s="2" t="s">
        <v>599</v>
      </c>
      <c r="C94" s="2">
        <v>3.8266099999999997E-2</v>
      </c>
      <c r="D94" s="2">
        <v>7.4759000000000002</v>
      </c>
      <c r="E94" s="2">
        <v>6.1181999999999999</v>
      </c>
      <c r="F94" s="2">
        <v>9.4763599999999996E-3</v>
      </c>
      <c r="G94" s="2" t="s">
        <v>433</v>
      </c>
      <c r="H94" s="2" t="s">
        <v>433</v>
      </c>
    </row>
    <row r="95" spans="1:8" ht="15" customHeight="1" x14ac:dyDescent="0.45">
      <c r="A95" s="2" t="s">
        <v>597</v>
      </c>
      <c r="B95" s="2" t="s">
        <v>598</v>
      </c>
      <c r="C95" s="2">
        <v>0.30552299999999999</v>
      </c>
      <c r="D95" s="2">
        <v>53.4529</v>
      </c>
      <c r="E95" s="2">
        <v>16.947099999999999</v>
      </c>
      <c r="F95" s="2">
        <v>0.162471</v>
      </c>
      <c r="G95" s="2" t="s">
        <v>147</v>
      </c>
      <c r="H95" s="2" t="s">
        <v>433</v>
      </c>
    </row>
    <row r="96" spans="1:8" ht="15" customHeight="1" x14ac:dyDescent="0.45">
      <c r="A96" s="2" t="s">
        <v>597</v>
      </c>
      <c r="B96" s="2" t="s">
        <v>596</v>
      </c>
      <c r="C96" s="2">
        <v>0.124012</v>
      </c>
      <c r="D96" s="2">
        <v>4.8284200000000004</v>
      </c>
      <c r="E96" s="2">
        <v>15.0229</v>
      </c>
      <c r="F96" s="2">
        <v>0</v>
      </c>
      <c r="G96" s="2" t="s">
        <v>147</v>
      </c>
      <c r="H96" s="2" t="s">
        <v>433</v>
      </c>
    </row>
    <row r="97" spans="1:8" ht="15" customHeight="1" x14ac:dyDescent="0.45">
      <c r="A97" s="2" t="s">
        <v>593</v>
      </c>
      <c r="B97" s="2" t="s">
        <v>595</v>
      </c>
      <c r="C97" s="2">
        <v>7.7730400000000005E-2</v>
      </c>
      <c r="D97" s="2">
        <v>4.4641799999999998</v>
      </c>
      <c r="E97" s="2">
        <v>7.9812200000000004</v>
      </c>
      <c r="F97" s="2">
        <v>0</v>
      </c>
      <c r="G97" s="2" t="s">
        <v>433</v>
      </c>
      <c r="H97" s="2" t="s">
        <v>433</v>
      </c>
    </row>
    <row r="98" spans="1:8" ht="15" customHeight="1" x14ac:dyDescent="0.45">
      <c r="A98" s="2" t="s">
        <v>593</v>
      </c>
      <c r="B98" s="2" t="s">
        <v>594</v>
      </c>
      <c r="C98" s="2">
        <v>0.143535</v>
      </c>
      <c r="D98" s="2">
        <v>5.36747</v>
      </c>
      <c r="E98" s="2">
        <v>17.189299999999999</v>
      </c>
      <c r="F98" s="2">
        <v>0</v>
      </c>
      <c r="G98" s="2" t="s">
        <v>433</v>
      </c>
      <c r="H98" s="2" t="s">
        <v>433</v>
      </c>
    </row>
    <row r="99" spans="1:8" ht="15" customHeight="1" x14ac:dyDescent="0.45">
      <c r="A99" s="2" t="s">
        <v>593</v>
      </c>
      <c r="B99" s="2" t="s">
        <v>592</v>
      </c>
      <c r="C99" s="2">
        <v>0.32309700000000002</v>
      </c>
      <c r="D99" s="2">
        <v>5.3615000000000004</v>
      </c>
      <c r="E99" s="2">
        <v>15.5715</v>
      </c>
      <c r="F99" s="2">
        <v>0</v>
      </c>
      <c r="G99" s="2" t="s">
        <v>433</v>
      </c>
      <c r="H99" s="2" t="s">
        <v>433</v>
      </c>
    </row>
    <row r="100" spans="1:8" ht="15" customHeight="1" x14ac:dyDescent="0.45">
      <c r="A100" s="2" t="s">
        <v>589</v>
      </c>
      <c r="B100" s="2" t="s">
        <v>591</v>
      </c>
      <c r="C100" s="2">
        <v>6.5662300000000007E-2</v>
      </c>
      <c r="D100" s="2">
        <v>4.8877100000000002</v>
      </c>
      <c r="E100" s="2">
        <v>8.8487799999999996</v>
      </c>
      <c r="F100" s="2">
        <v>0</v>
      </c>
      <c r="G100" s="2" t="s">
        <v>433</v>
      </c>
      <c r="H100" s="2" t="s">
        <v>433</v>
      </c>
    </row>
    <row r="101" spans="1:8" ht="15" customHeight="1" x14ac:dyDescent="0.45">
      <c r="A101" s="2" t="s">
        <v>589</v>
      </c>
      <c r="B101" s="2" t="s">
        <v>590</v>
      </c>
      <c r="C101" s="2">
        <v>0.18130499999999999</v>
      </c>
      <c r="D101" s="2">
        <v>11.1731</v>
      </c>
      <c r="E101" s="2">
        <v>17.803599999999999</v>
      </c>
      <c r="F101" s="2">
        <v>1.8175699999999999E-2</v>
      </c>
      <c r="G101" s="2" t="s">
        <v>433</v>
      </c>
      <c r="H101" s="2" t="s">
        <v>433</v>
      </c>
    </row>
    <row r="102" spans="1:8" ht="15" customHeight="1" x14ac:dyDescent="0.45">
      <c r="A102" s="2" t="s">
        <v>589</v>
      </c>
      <c r="B102" s="2" t="s">
        <v>588</v>
      </c>
      <c r="C102" s="2">
        <v>0.17485800000000001</v>
      </c>
      <c r="D102" s="2">
        <v>9.8721999999999994</v>
      </c>
      <c r="E102" s="2">
        <v>17.6568</v>
      </c>
      <c r="F102" s="2">
        <v>1.4684300000000001E-2</v>
      </c>
      <c r="G102" s="2" t="s">
        <v>433</v>
      </c>
      <c r="H102" s="2" t="s">
        <v>433</v>
      </c>
    </row>
    <row r="103" spans="1:8" ht="15" customHeight="1" x14ac:dyDescent="0.45">
      <c r="A103" s="2" t="s">
        <v>582</v>
      </c>
      <c r="B103" s="2" t="s">
        <v>586</v>
      </c>
      <c r="C103" s="2">
        <v>0.17707100000000001</v>
      </c>
      <c r="D103" s="2">
        <v>8.4040400000000002</v>
      </c>
      <c r="E103" s="2">
        <v>17.848500000000001</v>
      </c>
      <c r="F103" s="2">
        <v>9.83091E-3</v>
      </c>
      <c r="G103" s="2" t="s">
        <v>433</v>
      </c>
      <c r="H103" s="2" t="s">
        <v>433</v>
      </c>
    </row>
    <row r="104" spans="1:8" ht="15" customHeight="1" x14ac:dyDescent="0.45">
      <c r="A104" s="2" t="s">
        <v>582</v>
      </c>
      <c r="B104" s="2" t="s">
        <v>585</v>
      </c>
      <c r="C104" s="2">
        <v>9.5635399999999995E-2</v>
      </c>
      <c r="D104" s="2">
        <v>8.5205800000000007</v>
      </c>
      <c r="E104" s="2">
        <v>6.1762600000000001</v>
      </c>
      <c r="F104" s="2">
        <v>1.34468E-2</v>
      </c>
      <c r="G104" s="2" t="s">
        <v>433</v>
      </c>
      <c r="H104" s="2" t="s">
        <v>433</v>
      </c>
    </row>
    <row r="105" spans="1:8" ht="15" customHeight="1" x14ac:dyDescent="0.45">
      <c r="A105" s="2" t="s">
        <v>582</v>
      </c>
      <c r="B105" s="2" t="s">
        <v>583</v>
      </c>
      <c r="C105" s="2">
        <v>0.159859</v>
      </c>
      <c r="D105" s="2">
        <v>6.1639299999999997</v>
      </c>
      <c r="E105" s="2">
        <v>17.2834</v>
      </c>
      <c r="F105" s="2">
        <v>3.7622300000000001E-3</v>
      </c>
      <c r="G105" s="2" t="s">
        <v>433</v>
      </c>
      <c r="H105" s="2" t="s">
        <v>433</v>
      </c>
    </row>
    <row r="106" spans="1:8" ht="15" customHeight="1" x14ac:dyDescent="0.45">
      <c r="A106" s="2" t="s">
        <v>582</v>
      </c>
      <c r="B106" s="2" t="s">
        <v>581</v>
      </c>
      <c r="C106" s="2">
        <v>0.17385600000000001</v>
      </c>
      <c r="D106" s="2">
        <v>6.1360799999999998</v>
      </c>
      <c r="E106" s="2">
        <v>17.699000000000002</v>
      </c>
      <c r="F106" s="2">
        <v>3.21543E-3</v>
      </c>
      <c r="G106" s="2" t="s">
        <v>433</v>
      </c>
      <c r="H106" s="2" t="s">
        <v>433</v>
      </c>
    </row>
    <row r="107" spans="1:8" ht="15" customHeight="1" x14ac:dyDescent="0.45">
      <c r="A107" s="2" t="s">
        <v>580</v>
      </c>
      <c r="B107" s="2" t="s">
        <v>579</v>
      </c>
      <c r="C107" s="2">
        <v>9.4536400000000007E-2</v>
      </c>
      <c r="D107" s="2">
        <v>88.117599999999996</v>
      </c>
      <c r="E107" s="2">
        <v>5.2809100000000004</v>
      </c>
      <c r="F107" s="2">
        <v>8.9285700000000003E-3</v>
      </c>
      <c r="G107" s="2" t="s">
        <v>433</v>
      </c>
      <c r="H107" s="2" t="s">
        <v>433</v>
      </c>
    </row>
    <row r="108" spans="1:8" ht="15" customHeight="1" x14ac:dyDescent="0.45">
      <c r="A108" s="2" t="s">
        <v>67</v>
      </c>
      <c r="B108" s="2" t="s">
        <v>69</v>
      </c>
      <c r="C108" s="2">
        <v>0</v>
      </c>
      <c r="D108" s="2">
        <v>0</v>
      </c>
      <c r="E108" s="2">
        <v>0</v>
      </c>
      <c r="F108" s="2">
        <v>0</v>
      </c>
      <c r="G108" s="2" t="s">
        <v>147</v>
      </c>
      <c r="H108" s="2" t="s">
        <v>147</v>
      </c>
    </row>
    <row r="109" spans="1:8" ht="15" customHeight="1" x14ac:dyDescent="0.45">
      <c r="A109" s="2" t="s">
        <v>1149</v>
      </c>
      <c r="B109" s="2" t="s">
        <v>68</v>
      </c>
      <c r="C109" s="2">
        <v>0</v>
      </c>
      <c r="D109" s="2">
        <v>0</v>
      </c>
      <c r="E109" s="2">
        <v>0</v>
      </c>
      <c r="F109" s="2">
        <v>0</v>
      </c>
      <c r="G109" s="2" t="s">
        <v>147</v>
      </c>
      <c r="H109" s="2" t="s">
        <v>147</v>
      </c>
    </row>
    <row r="110" spans="1:8" ht="15" customHeight="1" x14ac:dyDescent="0.45">
      <c r="A110" s="2" t="s">
        <v>70</v>
      </c>
      <c r="B110" s="2" t="s">
        <v>72</v>
      </c>
      <c r="C110" s="2">
        <v>0</v>
      </c>
      <c r="D110" s="2">
        <v>0</v>
      </c>
      <c r="E110" s="2">
        <v>0</v>
      </c>
      <c r="F110" s="2">
        <v>0</v>
      </c>
      <c r="G110" s="2" t="s">
        <v>147</v>
      </c>
      <c r="H110" s="2" t="s">
        <v>147</v>
      </c>
    </row>
    <row r="111" spans="1:8" ht="15" customHeight="1" x14ac:dyDescent="0.45">
      <c r="A111" s="2" t="s">
        <v>70</v>
      </c>
      <c r="B111" s="2" t="s">
        <v>1148</v>
      </c>
      <c r="C111" s="2">
        <v>0</v>
      </c>
      <c r="D111" s="2">
        <v>0</v>
      </c>
      <c r="E111" s="2">
        <v>0</v>
      </c>
      <c r="F111" s="2">
        <v>0</v>
      </c>
      <c r="G111" s="2" t="s">
        <v>147</v>
      </c>
      <c r="H111" s="2" t="s">
        <v>147</v>
      </c>
    </row>
    <row r="112" spans="1:8" ht="15" customHeight="1" x14ac:dyDescent="0.45">
      <c r="A112" s="2" t="s">
        <v>70</v>
      </c>
      <c r="B112" s="2" t="s">
        <v>1147</v>
      </c>
      <c r="C112" s="2">
        <v>0</v>
      </c>
      <c r="D112" s="2">
        <v>0</v>
      </c>
      <c r="E112" s="2">
        <v>0</v>
      </c>
      <c r="F112" s="2">
        <v>0</v>
      </c>
      <c r="G112" s="2" t="s">
        <v>147</v>
      </c>
      <c r="H112" s="2" t="s">
        <v>147</v>
      </c>
    </row>
    <row r="113" spans="1:8" ht="15" customHeight="1" x14ac:dyDescent="0.45">
      <c r="A113" s="2" t="s">
        <v>1146</v>
      </c>
      <c r="B113" s="2" t="s">
        <v>71</v>
      </c>
      <c r="C113" s="2">
        <v>0</v>
      </c>
      <c r="D113" s="2">
        <v>0</v>
      </c>
      <c r="E113" s="2">
        <v>0</v>
      </c>
      <c r="F113" s="2">
        <v>0</v>
      </c>
      <c r="G113" s="2" t="s">
        <v>147</v>
      </c>
      <c r="H113" s="2" t="s">
        <v>147</v>
      </c>
    </row>
    <row r="114" spans="1:8" ht="15" customHeight="1" x14ac:dyDescent="0.45">
      <c r="A114" s="2" t="s">
        <v>1139</v>
      </c>
      <c r="B114" s="2" t="s">
        <v>1145</v>
      </c>
      <c r="C114" s="2">
        <v>0</v>
      </c>
      <c r="D114" s="2">
        <v>0</v>
      </c>
      <c r="E114" s="2">
        <v>0</v>
      </c>
      <c r="F114" s="2">
        <v>0</v>
      </c>
      <c r="G114" s="2" t="s">
        <v>147</v>
      </c>
      <c r="H114" s="2" t="s">
        <v>147</v>
      </c>
    </row>
    <row r="115" spans="1:8" ht="15" customHeight="1" x14ac:dyDescent="0.45">
      <c r="A115" s="2" t="s">
        <v>1139</v>
      </c>
      <c r="B115" s="2" t="s">
        <v>1144</v>
      </c>
      <c r="C115" s="2">
        <v>0</v>
      </c>
      <c r="D115" s="2">
        <v>0</v>
      </c>
      <c r="E115" s="2">
        <v>0</v>
      </c>
      <c r="F115" s="2">
        <v>0</v>
      </c>
      <c r="G115" s="2" t="s">
        <v>147</v>
      </c>
      <c r="H115" s="2" t="s">
        <v>147</v>
      </c>
    </row>
    <row r="116" spans="1:8" ht="15" customHeight="1" x14ac:dyDescent="0.45">
      <c r="A116" s="2" t="s">
        <v>1139</v>
      </c>
      <c r="B116" s="2" t="s">
        <v>1143</v>
      </c>
      <c r="C116" s="2">
        <v>0</v>
      </c>
      <c r="D116" s="2">
        <v>0</v>
      </c>
      <c r="E116" s="2">
        <v>0</v>
      </c>
      <c r="F116" s="2">
        <v>0</v>
      </c>
      <c r="G116" s="2" t="s">
        <v>147</v>
      </c>
      <c r="H116" s="2" t="s">
        <v>147</v>
      </c>
    </row>
    <row r="117" spans="1:8" ht="15" customHeight="1" x14ac:dyDescent="0.45">
      <c r="A117" s="2" t="s">
        <v>1139</v>
      </c>
      <c r="B117" s="2" t="s">
        <v>1142</v>
      </c>
      <c r="C117" s="2">
        <v>0</v>
      </c>
      <c r="D117" s="2">
        <v>0</v>
      </c>
      <c r="E117" s="2">
        <v>0</v>
      </c>
      <c r="F117" s="2">
        <v>0</v>
      </c>
      <c r="G117" s="2" t="s">
        <v>147</v>
      </c>
      <c r="H117" s="2" t="s">
        <v>147</v>
      </c>
    </row>
    <row r="118" spans="1:8" ht="15" customHeight="1" x14ac:dyDescent="0.45">
      <c r="A118" s="2" t="s">
        <v>1139</v>
      </c>
      <c r="B118" s="2" t="s">
        <v>1141</v>
      </c>
      <c r="C118" s="2">
        <v>0</v>
      </c>
      <c r="D118" s="2">
        <v>0</v>
      </c>
      <c r="E118" s="2">
        <v>0</v>
      </c>
      <c r="F118" s="2">
        <v>0</v>
      </c>
      <c r="G118" s="2" t="s">
        <v>147</v>
      </c>
      <c r="H118" s="2" t="s">
        <v>147</v>
      </c>
    </row>
    <row r="119" spans="1:8" ht="15" customHeight="1" x14ac:dyDescent="0.45">
      <c r="A119" s="2" t="s">
        <v>1139</v>
      </c>
      <c r="B119" s="2" t="s">
        <v>1140</v>
      </c>
      <c r="C119" s="2">
        <v>0</v>
      </c>
      <c r="D119" s="2">
        <v>0</v>
      </c>
      <c r="E119" s="2">
        <v>0</v>
      </c>
      <c r="F119" s="2">
        <v>0</v>
      </c>
      <c r="G119" s="2" t="s">
        <v>147</v>
      </c>
      <c r="H119" s="2" t="s">
        <v>147</v>
      </c>
    </row>
    <row r="120" spans="1:8" ht="15" customHeight="1" x14ac:dyDescent="0.45">
      <c r="A120" s="2" t="s">
        <v>1139</v>
      </c>
      <c r="B120" s="2" t="s">
        <v>1138</v>
      </c>
      <c r="C120" s="2">
        <v>0</v>
      </c>
      <c r="D120" s="2">
        <v>0</v>
      </c>
      <c r="E120" s="2">
        <v>0</v>
      </c>
      <c r="F120" s="2">
        <v>0</v>
      </c>
      <c r="G120" s="2" t="s">
        <v>147</v>
      </c>
      <c r="H120" s="2" t="s">
        <v>147</v>
      </c>
    </row>
    <row r="121" spans="1:8" ht="15" customHeight="1" x14ac:dyDescent="0.45">
      <c r="A121" s="2" t="s">
        <v>576</v>
      </c>
      <c r="B121" s="2" t="s">
        <v>578</v>
      </c>
      <c r="C121" s="2">
        <v>6.9553900000000002E-2</v>
      </c>
      <c r="D121" s="2">
        <v>4.7149000000000001</v>
      </c>
      <c r="E121" s="2">
        <v>7.8001699999999996</v>
      </c>
      <c r="F121" s="2">
        <v>7.5044700000000001E-4</v>
      </c>
      <c r="G121" s="2" t="s">
        <v>433</v>
      </c>
      <c r="H121" s="2" t="s">
        <v>433</v>
      </c>
    </row>
    <row r="122" spans="1:8" ht="15" customHeight="1" x14ac:dyDescent="0.45">
      <c r="A122" s="2" t="s">
        <v>576</v>
      </c>
      <c r="B122" s="2" t="s">
        <v>577</v>
      </c>
      <c r="C122" s="2">
        <v>0.107208</v>
      </c>
      <c r="D122" s="2">
        <v>13.0183</v>
      </c>
      <c r="E122" s="2">
        <v>9.6150599999999997</v>
      </c>
      <c r="F122" s="2">
        <v>7.4808699999999997E-3</v>
      </c>
      <c r="G122" s="2" t="s">
        <v>433</v>
      </c>
      <c r="H122" s="2" t="s">
        <v>433</v>
      </c>
    </row>
    <row r="123" spans="1:8" ht="15" customHeight="1" x14ac:dyDescent="0.45">
      <c r="A123" s="2" t="s">
        <v>576</v>
      </c>
      <c r="B123" s="2" t="s">
        <v>575</v>
      </c>
      <c r="C123" s="2">
        <v>0.14893300000000001</v>
      </c>
      <c r="D123" s="2">
        <v>4.59</v>
      </c>
      <c r="E123" s="2">
        <v>16.065000000000001</v>
      </c>
      <c r="F123" s="2">
        <v>0</v>
      </c>
      <c r="G123" s="2" t="s">
        <v>433</v>
      </c>
      <c r="H123" s="2" t="s">
        <v>433</v>
      </c>
    </row>
    <row r="124" spans="1:8" ht="15" customHeight="1" x14ac:dyDescent="0.45">
      <c r="A124" s="2" t="s">
        <v>571</v>
      </c>
      <c r="B124" s="2" t="s">
        <v>574</v>
      </c>
      <c r="C124" s="2">
        <v>8.3757799999999993E-2</v>
      </c>
      <c r="D124" s="2">
        <v>8.4131999999999998</v>
      </c>
      <c r="E124" s="2">
        <v>8.5936599999999999</v>
      </c>
      <c r="F124" s="2">
        <v>1.1163899999999999E-2</v>
      </c>
      <c r="G124" s="2" t="s">
        <v>433</v>
      </c>
      <c r="H124" s="2" t="s">
        <v>433</v>
      </c>
    </row>
    <row r="125" spans="1:8" ht="15" customHeight="1" x14ac:dyDescent="0.45">
      <c r="A125" s="2" t="s">
        <v>571</v>
      </c>
      <c r="B125" s="2" t="s">
        <v>573</v>
      </c>
      <c r="C125" s="2">
        <v>1.5380400000000001</v>
      </c>
      <c r="D125" s="2">
        <v>16.1188</v>
      </c>
      <c r="E125" s="2">
        <v>48.185499999999998</v>
      </c>
      <c r="F125" s="2">
        <v>2.69468E-2</v>
      </c>
      <c r="G125" s="2" t="s">
        <v>433</v>
      </c>
      <c r="H125" s="2" t="s">
        <v>433</v>
      </c>
    </row>
    <row r="126" spans="1:8" ht="15" customHeight="1" x14ac:dyDescent="0.45">
      <c r="A126" s="2" t="s">
        <v>571</v>
      </c>
      <c r="B126" s="2" t="s">
        <v>572</v>
      </c>
      <c r="C126" s="2">
        <v>6.8208299999999999E-2</v>
      </c>
      <c r="D126" s="2">
        <v>5.7931699999999999</v>
      </c>
      <c r="E126" s="2">
        <v>1.7008300000000001</v>
      </c>
      <c r="F126" s="2">
        <v>1.50584E-2</v>
      </c>
      <c r="G126" s="2" t="s">
        <v>433</v>
      </c>
      <c r="H126" s="2" t="s">
        <v>433</v>
      </c>
    </row>
    <row r="127" spans="1:8" ht="15" customHeight="1" x14ac:dyDescent="0.45">
      <c r="A127" s="2" t="s">
        <v>571</v>
      </c>
      <c r="B127" s="2" t="s">
        <v>570</v>
      </c>
      <c r="C127" s="2">
        <v>0.14344999999999999</v>
      </c>
      <c r="D127" s="2">
        <v>3.72885</v>
      </c>
      <c r="E127" s="2">
        <v>6.6448299999999998</v>
      </c>
      <c r="F127" s="2">
        <v>0</v>
      </c>
      <c r="G127" s="2" t="s">
        <v>433</v>
      </c>
      <c r="H127" s="2" t="s">
        <v>433</v>
      </c>
    </row>
    <row r="128" spans="1:8" ht="15" customHeight="1" x14ac:dyDescent="0.45">
      <c r="A128" s="2" t="s">
        <v>568</v>
      </c>
      <c r="B128" s="2" t="s">
        <v>567</v>
      </c>
      <c r="C128" s="2">
        <v>0.64263599999999999</v>
      </c>
      <c r="D128" s="2">
        <v>225.81</v>
      </c>
      <c r="E128" s="2">
        <v>25.698599999999999</v>
      </c>
      <c r="F128" s="2">
        <v>1.52456E-2</v>
      </c>
      <c r="G128" s="2" t="s">
        <v>433</v>
      </c>
      <c r="H128" s="2" t="s">
        <v>433</v>
      </c>
    </row>
    <row r="129" spans="1:8" ht="15" customHeight="1" x14ac:dyDescent="0.45">
      <c r="A129" s="2" t="s">
        <v>566</v>
      </c>
      <c r="B129" s="2" t="s">
        <v>565</v>
      </c>
      <c r="C129" s="2">
        <v>1.6029700000000001E-2</v>
      </c>
      <c r="D129" s="2">
        <v>1.86266</v>
      </c>
      <c r="E129" s="2">
        <v>2.32917</v>
      </c>
      <c r="F129" s="2">
        <v>5.6829700000000005E-4</v>
      </c>
      <c r="G129" s="2" t="s">
        <v>433</v>
      </c>
      <c r="H129" s="2" t="s">
        <v>433</v>
      </c>
    </row>
    <row r="130" spans="1:8" ht="15" customHeight="1" x14ac:dyDescent="0.45">
      <c r="A130" s="2" t="s">
        <v>560</v>
      </c>
      <c r="B130" s="2" t="s">
        <v>564</v>
      </c>
      <c r="C130" s="2">
        <v>0</v>
      </c>
      <c r="D130" s="2">
        <v>0</v>
      </c>
      <c r="E130" s="2">
        <v>0</v>
      </c>
      <c r="F130" s="2">
        <v>0</v>
      </c>
      <c r="G130" s="2" t="s">
        <v>147</v>
      </c>
      <c r="H130" s="2" t="s">
        <v>147</v>
      </c>
    </row>
    <row r="131" spans="1:8" ht="15" customHeight="1" x14ac:dyDescent="0.45">
      <c r="A131" s="2" t="s">
        <v>560</v>
      </c>
      <c r="B131" s="2" t="s">
        <v>563</v>
      </c>
      <c r="C131" s="2">
        <v>0.23119100000000001</v>
      </c>
      <c r="D131" s="2">
        <v>66.702799999999996</v>
      </c>
      <c r="E131" s="2">
        <v>7.9430899999999998</v>
      </c>
      <c r="F131" s="2">
        <v>0.114955</v>
      </c>
      <c r="G131" s="2" t="s">
        <v>433</v>
      </c>
      <c r="H131" s="2" t="s">
        <v>433</v>
      </c>
    </row>
    <row r="132" spans="1:8" ht="15" customHeight="1" x14ac:dyDescent="0.45">
      <c r="A132" s="2" t="s">
        <v>560</v>
      </c>
      <c r="B132" s="2" t="s">
        <v>562</v>
      </c>
      <c r="C132" s="2">
        <v>6.1088900000000002E-2</v>
      </c>
      <c r="D132" s="2">
        <v>3.37507</v>
      </c>
      <c r="E132" s="2">
        <v>5.9133800000000001</v>
      </c>
      <c r="F132" s="2">
        <v>0</v>
      </c>
      <c r="G132" s="2" t="s">
        <v>433</v>
      </c>
      <c r="H132" s="2" t="s">
        <v>433</v>
      </c>
    </row>
    <row r="133" spans="1:8" ht="15" customHeight="1" x14ac:dyDescent="0.45">
      <c r="A133" s="2" t="s">
        <v>560</v>
      </c>
      <c r="B133" s="2" t="s">
        <v>560</v>
      </c>
      <c r="C133" s="2">
        <v>0</v>
      </c>
      <c r="D133" s="2">
        <v>0</v>
      </c>
      <c r="E133" s="2">
        <v>0</v>
      </c>
      <c r="F133" s="2">
        <v>0</v>
      </c>
      <c r="G133" s="2" t="s">
        <v>147</v>
      </c>
      <c r="H133" s="2" t="s">
        <v>147</v>
      </c>
    </row>
    <row r="134" spans="1:8" ht="15" customHeight="1" x14ac:dyDescent="0.45">
      <c r="A134" s="2" t="s">
        <v>560</v>
      </c>
      <c r="B134" s="2" t="s">
        <v>561</v>
      </c>
      <c r="C134" s="2">
        <v>0</v>
      </c>
      <c r="D134" s="2">
        <v>0</v>
      </c>
      <c r="E134" s="2">
        <v>0</v>
      </c>
      <c r="F134" s="2">
        <v>0</v>
      </c>
      <c r="G134" s="2" t="s">
        <v>147</v>
      </c>
      <c r="H134" s="2" t="s">
        <v>147</v>
      </c>
    </row>
    <row r="135" spans="1:8" ht="15" customHeight="1" x14ac:dyDescent="0.45">
      <c r="A135" s="2" t="s">
        <v>560</v>
      </c>
      <c r="B135" s="2" t="s">
        <v>559</v>
      </c>
      <c r="C135" s="2">
        <v>0</v>
      </c>
      <c r="D135" s="2">
        <v>0</v>
      </c>
      <c r="E135" s="2">
        <v>0</v>
      </c>
      <c r="F135" s="2">
        <v>0</v>
      </c>
      <c r="G135" s="2" t="s">
        <v>147</v>
      </c>
      <c r="H135" s="2" t="s">
        <v>147</v>
      </c>
    </row>
    <row r="136" spans="1:8" ht="15" customHeight="1" x14ac:dyDescent="0.45">
      <c r="A136" s="2" t="s">
        <v>556</v>
      </c>
      <c r="B136" s="2" t="s">
        <v>558</v>
      </c>
      <c r="C136" s="2">
        <v>0.123196</v>
      </c>
      <c r="D136" s="2">
        <v>16.849900000000002</v>
      </c>
      <c r="E136" s="2">
        <v>9.6179500000000004</v>
      </c>
      <c r="F136" s="2">
        <v>3.0741999999999998E-2</v>
      </c>
      <c r="G136" s="2" t="s">
        <v>147</v>
      </c>
      <c r="H136" s="2" t="s">
        <v>433</v>
      </c>
    </row>
    <row r="137" spans="1:8" ht="15" customHeight="1" x14ac:dyDescent="0.45">
      <c r="A137" s="2" t="s">
        <v>556</v>
      </c>
      <c r="B137" s="2" t="s">
        <v>555</v>
      </c>
      <c r="C137" s="2">
        <v>4.77898E-2</v>
      </c>
      <c r="D137" s="2">
        <v>3.1671299999999998</v>
      </c>
      <c r="E137" s="2">
        <v>0.60224900000000003</v>
      </c>
      <c r="F137" s="2">
        <v>7.7638999999999998E-3</v>
      </c>
      <c r="G137" s="2" t="s">
        <v>147</v>
      </c>
      <c r="H137" s="2" t="s">
        <v>433</v>
      </c>
    </row>
    <row r="138" spans="1:8" ht="15" customHeight="1" x14ac:dyDescent="0.45">
      <c r="A138" s="2" t="s">
        <v>554</v>
      </c>
      <c r="B138" s="2" t="s">
        <v>553</v>
      </c>
      <c r="C138" s="2">
        <v>5.6179199999999999E-2</v>
      </c>
      <c r="D138" s="2">
        <v>5.4952800000000002</v>
      </c>
      <c r="E138" s="2">
        <v>9.7547200000000007</v>
      </c>
      <c r="F138" s="2">
        <v>0</v>
      </c>
      <c r="G138" s="2" t="s">
        <v>147</v>
      </c>
      <c r="H138" s="2" t="s">
        <v>433</v>
      </c>
    </row>
    <row r="139" spans="1:8" ht="15" customHeight="1" x14ac:dyDescent="0.45">
      <c r="A139" s="2" t="s">
        <v>550</v>
      </c>
      <c r="B139" s="2" t="s">
        <v>552</v>
      </c>
      <c r="C139" s="2">
        <v>0.139928</v>
      </c>
      <c r="D139" s="2">
        <v>23.945599999999999</v>
      </c>
      <c r="E139" s="2">
        <v>10.214600000000001</v>
      </c>
      <c r="F139" s="2">
        <v>3.6455099999999997E-2</v>
      </c>
      <c r="G139" s="2" t="s">
        <v>433</v>
      </c>
      <c r="H139" s="2" t="s">
        <v>433</v>
      </c>
    </row>
    <row r="140" spans="1:8" ht="15" customHeight="1" x14ac:dyDescent="0.45">
      <c r="A140" s="2" t="s">
        <v>550</v>
      </c>
      <c r="B140" s="2" t="s">
        <v>551</v>
      </c>
      <c r="C140" s="2">
        <v>0.182617</v>
      </c>
      <c r="D140" s="2">
        <v>29.8368</v>
      </c>
      <c r="E140" s="2">
        <v>11.632899999999999</v>
      </c>
      <c r="F140" s="2">
        <v>8.1342899999999996E-2</v>
      </c>
      <c r="G140" s="2" t="s">
        <v>433</v>
      </c>
      <c r="H140" s="2" t="s">
        <v>433</v>
      </c>
    </row>
    <row r="141" spans="1:8" ht="15" customHeight="1" x14ac:dyDescent="0.45">
      <c r="A141" s="2" t="s">
        <v>550</v>
      </c>
      <c r="B141" s="2" t="s">
        <v>549</v>
      </c>
      <c r="C141" s="2">
        <v>0.30052200000000001</v>
      </c>
      <c r="D141" s="2">
        <v>42.832799999999999</v>
      </c>
      <c r="E141" s="2">
        <v>15.8162</v>
      </c>
      <c r="F141" s="2">
        <v>0.117297</v>
      </c>
      <c r="G141" s="2" t="s">
        <v>433</v>
      </c>
      <c r="H141" s="2" t="s">
        <v>433</v>
      </c>
    </row>
    <row r="142" spans="1:8" ht="15" customHeight="1" x14ac:dyDescent="0.45">
      <c r="A142" s="2" t="s">
        <v>548</v>
      </c>
      <c r="B142" s="2" t="s">
        <v>547</v>
      </c>
      <c r="C142" s="2">
        <v>9.0087299999999995E-2</v>
      </c>
      <c r="D142" s="2">
        <v>107.09699999999999</v>
      </c>
      <c r="E142" s="2">
        <v>4.4981</v>
      </c>
      <c r="F142" s="2">
        <v>0</v>
      </c>
      <c r="G142" s="2" t="s">
        <v>433</v>
      </c>
      <c r="H142" s="2" t="s">
        <v>433</v>
      </c>
    </row>
    <row r="143" spans="1:8" ht="15" customHeight="1" x14ac:dyDescent="0.45">
      <c r="A143" s="2" t="s">
        <v>546</v>
      </c>
      <c r="B143" s="2" t="s">
        <v>545</v>
      </c>
      <c r="C143" s="2">
        <v>0.15926000000000001</v>
      </c>
      <c r="D143" s="2">
        <v>49.0715</v>
      </c>
      <c r="E143" s="2">
        <v>7.5907600000000004</v>
      </c>
      <c r="F143" s="2">
        <v>6.1737399999999996E-3</v>
      </c>
      <c r="G143" s="2" t="s">
        <v>433</v>
      </c>
      <c r="H143" s="2" t="s">
        <v>433</v>
      </c>
    </row>
    <row r="144" spans="1:8" ht="15" customHeight="1" x14ac:dyDescent="0.45">
      <c r="A144" s="2" t="s">
        <v>543</v>
      </c>
      <c r="B144" s="2" t="s">
        <v>544</v>
      </c>
      <c r="C144" s="2">
        <v>6.9180699999999998E-2</v>
      </c>
      <c r="D144" s="2">
        <v>4.5280699999999996</v>
      </c>
      <c r="E144" s="2">
        <v>9.8662899999999993</v>
      </c>
      <c r="F144" s="2">
        <v>0</v>
      </c>
      <c r="G144" s="2" t="s">
        <v>433</v>
      </c>
      <c r="H144" s="2" t="s">
        <v>433</v>
      </c>
    </row>
    <row r="145" spans="1:8" ht="15" customHeight="1" x14ac:dyDescent="0.45">
      <c r="A145" s="2" t="s">
        <v>543</v>
      </c>
      <c r="B145" s="2" t="s">
        <v>542</v>
      </c>
      <c r="C145" s="2">
        <v>1.4734</v>
      </c>
      <c r="D145" s="2">
        <v>542.23199999999997</v>
      </c>
      <c r="E145" s="2">
        <v>54.581400000000002</v>
      </c>
      <c r="F145" s="2">
        <v>4.4876899999999997E-2</v>
      </c>
      <c r="G145" s="2" t="s">
        <v>433</v>
      </c>
      <c r="H145" s="2" t="s">
        <v>433</v>
      </c>
    </row>
    <row r="146" spans="1:8" ht="15" customHeight="1" x14ac:dyDescent="0.45">
      <c r="A146" s="2" t="s">
        <v>538</v>
      </c>
      <c r="B146" s="2" t="s">
        <v>541</v>
      </c>
      <c r="C146" s="2">
        <v>0.121534</v>
      </c>
      <c r="D146" s="2">
        <v>15.8735</v>
      </c>
      <c r="E146" s="2">
        <v>7.2686000000000002</v>
      </c>
      <c r="F146" s="2">
        <v>1.951E-2</v>
      </c>
      <c r="G146" s="2" t="s">
        <v>433</v>
      </c>
      <c r="H146" s="2" t="s">
        <v>433</v>
      </c>
    </row>
    <row r="147" spans="1:8" ht="15" customHeight="1" x14ac:dyDescent="0.45">
      <c r="A147" s="2" t="s">
        <v>538</v>
      </c>
      <c r="B147" s="2" t="s">
        <v>540</v>
      </c>
      <c r="C147" s="2">
        <v>9.0032899999999999E-2</v>
      </c>
      <c r="D147" s="2">
        <v>10.443300000000001</v>
      </c>
      <c r="E147" s="2">
        <v>9.6006300000000007</v>
      </c>
      <c r="F147" s="2">
        <v>1.3954599999999999E-2</v>
      </c>
      <c r="G147" s="2" t="s">
        <v>147</v>
      </c>
      <c r="H147" s="2" t="s">
        <v>433</v>
      </c>
    </row>
    <row r="148" spans="1:8" ht="15" customHeight="1" x14ac:dyDescent="0.45">
      <c r="A148" s="2" t="s">
        <v>538</v>
      </c>
      <c r="B148" s="2" t="s">
        <v>539</v>
      </c>
      <c r="C148" s="2">
        <v>8.5339300000000007E-2</v>
      </c>
      <c r="D148" s="2">
        <v>11.0143</v>
      </c>
      <c r="E148" s="2">
        <v>8.9383900000000001</v>
      </c>
      <c r="F148" s="2">
        <v>1.82013E-2</v>
      </c>
      <c r="G148" s="2" t="s">
        <v>147</v>
      </c>
      <c r="H148" s="2" t="s">
        <v>433</v>
      </c>
    </row>
    <row r="149" spans="1:8" ht="15" customHeight="1" x14ac:dyDescent="0.45">
      <c r="A149" s="2" t="s">
        <v>538</v>
      </c>
      <c r="B149" s="2" t="s">
        <v>537</v>
      </c>
      <c r="C149" s="2">
        <v>0.11283600000000001</v>
      </c>
      <c r="D149" s="2">
        <v>12.3393</v>
      </c>
      <c r="E149" s="2">
        <v>7.8046199999999999</v>
      </c>
      <c r="F149" s="2">
        <v>2.5301899999999999E-2</v>
      </c>
      <c r="G149" s="2" t="s">
        <v>147</v>
      </c>
      <c r="H149" s="2" t="s">
        <v>433</v>
      </c>
    </row>
    <row r="150" spans="1:8" ht="15" customHeight="1" x14ac:dyDescent="0.45">
      <c r="A150" s="2" t="s">
        <v>536</v>
      </c>
      <c r="B150" s="2" t="s">
        <v>74</v>
      </c>
      <c r="C150" s="2">
        <v>0</v>
      </c>
      <c r="D150" s="2">
        <v>0</v>
      </c>
      <c r="E150" s="2">
        <v>0</v>
      </c>
      <c r="F150" s="2">
        <v>0</v>
      </c>
      <c r="G150" s="2" t="s">
        <v>147</v>
      </c>
      <c r="H150" s="2" t="s">
        <v>147</v>
      </c>
    </row>
    <row r="151" spans="1:8" ht="15" customHeight="1" x14ac:dyDescent="0.45">
      <c r="A151" s="2" t="s">
        <v>73</v>
      </c>
      <c r="B151" s="2" t="s">
        <v>75</v>
      </c>
      <c r="C151" s="2">
        <v>0</v>
      </c>
      <c r="D151" s="2">
        <v>0</v>
      </c>
      <c r="E151" s="2">
        <v>0</v>
      </c>
      <c r="F151" s="2">
        <v>0</v>
      </c>
      <c r="G151" s="2" t="s">
        <v>147</v>
      </c>
      <c r="H151" s="2" t="s">
        <v>147</v>
      </c>
    </row>
    <row r="152" spans="1:8" ht="15" customHeight="1" x14ac:dyDescent="0.45">
      <c r="A152" s="2" t="s">
        <v>535</v>
      </c>
      <c r="B152" s="2" t="s">
        <v>534</v>
      </c>
      <c r="C152" s="2">
        <v>8.1268300000000002E-2</v>
      </c>
      <c r="D152" s="2">
        <v>8.4182100000000002</v>
      </c>
      <c r="E152" s="2">
        <v>9.2304899999999996</v>
      </c>
      <c r="F152" s="2">
        <v>8.2029400000000006E-3</v>
      </c>
      <c r="G152" s="2" t="s">
        <v>433</v>
      </c>
      <c r="H152" s="2" t="s">
        <v>433</v>
      </c>
    </row>
    <row r="153" spans="1:8" ht="15" customHeight="1" x14ac:dyDescent="0.45">
      <c r="A153" s="2" t="s">
        <v>1137</v>
      </c>
      <c r="B153" s="2" t="s">
        <v>59</v>
      </c>
      <c r="C153" s="2">
        <v>0</v>
      </c>
      <c r="D153" s="2">
        <v>0</v>
      </c>
      <c r="E153" s="2">
        <v>0</v>
      </c>
      <c r="F153" s="2">
        <v>0</v>
      </c>
      <c r="G153" s="2" t="s">
        <v>147</v>
      </c>
      <c r="H153" s="2" t="s">
        <v>147</v>
      </c>
    </row>
    <row r="154" spans="1:8" ht="15" customHeight="1" x14ac:dyDescent="0.45">
      <c r="A154" s="2" t="s">
        <v>533</v>
      </c>
      <c r="B154" s="2" t="s">
        <v>532</v>
      </c>
      <c r="C154" s="2">
        <v>0.15975500000000001</v>
      </c>
      <c r="D154" s="2">
        <v>51.645499999999998</v>
      </c>
      <c r="E154" s="2">
        <v>9.3951700000000002</v>
      </c>
      <c r="F154" s="2">
        <v>8.58978E-3</v>
      </c>
      <c r="G154" s="2" t="s">
        <v>433</v>
      </c>
      <c r="H154" s="2" t="s">
        <v>433</v>
      </c>
    </row>
    <row r="155" spans="1:8" ht="15" customHeight="1" x14ac:dyDescent="0.45">
      <c r="A155" s="2" t="s">
        <v>530</v>
      </c>
      <c r="B155" s="2" t="s">
        <v>531</v>
      </c>
      <c r="C155" s="2">
        <v>8.7597700000000001E-2</v>
      </c>
      <c r="D155" s="2">
        <v>88.103899999999996</v>
      </c>
      <c r="E155" s="2">
        <v>5.4176900000000003</v>
      </c>
      <c r="F155" s="2">
        <v>0</v>
      </c>
      <c r="G155" s="2" t="s">
        <v>433</v>
      </c>
      <c r="H155" s="2" t="s">
        <v>433</v>
      </c>
    </row>
    <row r="156" spans="1:8" ht="15" customHeight="1" x14ac:dyDescent="0.45">
      <c r="A156" s="2" t="s">
        <v>530</v>
      </c>
      <c r="B156" s="2" t="s">
        <v>529</v>
      </c>
      <c r="C156" s="2">
        <v>8.38343E-2</v>
      </c>
      <c r="D156" s="2">
        <v>5.6291500000000001</v>
      </c>
      <c r="E156" s="2">
        <v>9.8923100000000002</v>
      </c>
      <c r="F156" s="2">
        <v>0</v>
      </c>
      <c r="G156" s="2" t="s">
        <v>433</v>
      </c>
      <c r="H156" s="2" t="s">
        <v>433</v>
      </c>
    </row>
    <row r="157" spans="1:8" ht="15" customHeight="1" x14ac:dyDescent="0.45">
      <c r="A157" s="2" t="s">
        <v>528</v>
      </c>
      <c r="B157" s="2" t="s">
        <v>527</v>
      </c>
      <c r="C157" s="2">
        <v>1.9837400000000002E-2</v>
      </c>
      <c r="D157" s="2">
        <v>0.25469000000000003</v>
      </c>
      <c r="E157" s="2">
        <v>1.0160899999999999</v>
      </c>
      <c r="F157" s="2">
        <v>2.8925499999999999E-6</v>
      </c>
      <c r="G157" s="2" t="s">
        <v>433</v>
      </c>
      <c r="H157" s="2" t="s">
        <v>433</v>
      </c>
    </row>
    <row r="158" spans="1:8" ht="15" customHeight="1" x14ac:dyDescent="0.45">
      <c r="A158" s="2" t="s">
        <v>526</v>
      </c>
      <c r="B158" s="2" t="s">
        <v>525</v>
      </c>
      <c r="C158" s="2">
        <v>0.11052099999999999</v>
      </c>
      <c r="D158" s="2">
        <v>9.3139000000000003</v>
      </c>
      <c r="E158" s="2">
        <v>10.6411</v>
      </c>
      <c r="F158" s="2">
        <v>1.1936199999999999E-2</v>
      </c>
      <c r="G158" s="2" t="s">
        <v>147</v>
      </c>
      <c r="H158" s="2" t="s">
        <v>433</v>
      </c>
    </row>
    <row r="159" spans="1:8" ht="15" customHeight="1" x14ac:dyDescent="0.45">
      <c r="A159" s="2" t="s">
        <v>520</v>
      </c>
      <c r="B159" s="2" t="s">
        <v>524</v>
      </c>
      <c r="C159" s="2">
        <v>0</v>
      </c>
      <c r="D159" s="2">
        <v>0</v>
      </c>
      <c r="E159" s="2">
        <v>0</v>
      </c>
      <c r="F159" s="2">
        <v>0</v>
      </c>
      <c r="G159" s="2" t="s">
        <v>147</v>
      </c>
      <c r="H159" s="2" t="s">
        <v>147</v>
      </c>
    </row>
    <row r="160" spans="1:8" ht="15" customHeight="1" x14ac:dyDescent="0.45">
      <c r="A160" s="2" t="s">
        <v>520</v>
      </c>
      <c r="B160" s="2" t="s">
        <v>523</v>
      </c>
      <c r="C160" s="2">
        <v>0.123557</v>
      </c>
      <c r="D160" s="2">
        <v>6.5609099999999998</v>
      </c>
      <c r="E160" s="2">
        <v>12.4091</v>
      </c>
      <c r="F160" s="2">
        <v>3.13408E-3</v>
      </c>
      <c r="G160" s="2" t="s">
        <v>433</v>
      </c>
      <c r="H160" s="2" t="s">
        <v>433</v>
      </c>
    </row>
    <row r="161" spans="1:8" ht="15" customHeight="1" x14ac:dyDescent="0.45">
      <c r="A161" s="2" t="s">
        <v>520</v>
      </c>
      <c r="B161" s="2" t="s">
        <v>522</v>
      </c>
      <c r="C161" s="2">
        <v>9.1511899999999993E-2</v>
      </c>
      <c r="D161" s="2">
        <v>6.4403199999999998</v>
      </c>
      <c r="E161" s="2">
        <v>11.061</v>
      </c>
      <c r="F161" s="2">
        <v>2.2650999999999999E-3</v>
      </c>
      <c r="G161" s="2" t="s">
        <v>433</v>
      </c>
      <c r="H161" s="2" t="s">
        <v>433</v>
      </c>
    </row>
    <row r="162" spans="1:8" ht="15" customHeight="1" x14ac:dyDescent="0.45">
      <c r="A162" s="2" t="s">
        <v>520</v>
      </c>
      <c r="B162" s="2" t="s">
        <v>521</v>
      </c>
      <c r="C162" s="2">
        <v>8.8670499999999999E-2</v>
      </c>
      <c r="D162" s="2">
        <v>16.424800000000001</v>
      </c>
      <c r="E162" s="2">
        <v>5.8941600000000003</v>
      </c>
      <c r="F162" s="2">
        <v>1.9775700000000001E-3</v>
      </c>
      <c r="G162" s="2" t="s">
        <v>433</v>
      </c>
      <c r="H162" s="2" t="s">
        <v>433</v>
      </c>
    </row>
    <row r="163" spans="1:8" ht="15" customHeight="1" x14ac:dyDescent="0.45">
      <c r="A163" s="2" t="s">
        <v>520</v>
      </c>
      <c r="B163" s="2" t="s">
        <v>519</v>
      </c>
      <c r="C163" s="2">
        <v>2.8805999999999998E-2</v>
      </c>
      <c r="D163" s="2">
        <v>0</v>
      </c>
      <c r="E163" s="2">
        <v>0</v>
      </c>
      <c r="F163" s="2">
        <v>0</v>
      </c>
      <c r="G163" s="2" t="s">
        <v>433</v>
      </c>
      <c r="H163" s="2" t="s">
        <v>433</v>
      </c>
    </row>
    <row r="164" spans="1:8" ht="15" customHeight="1" x14ac:dyDescent="0.45">
      <c r="A164" s="2" t="s">
        <v>518</v>
      </c>
      <c r="B164" s="2" t="s">
        <v>77</v>
      </c>
      <c r="C164" s="2">
        <v>0.12773200000000001</v>
      </c>
      <c r="D164" s="2">
        <v>14.814399999999999</v>
      </c>
      <c r="E164" s="2">
        <v>10.567299999999999</v>
      </c>
      <c r="F164" s="2">
        <v>1.2519799999999999E-2</v>
      </c>
      <c r="G164" s="2" t="s">
        <v>147</v>
      </c>
      <c r="H164" s="2" t="s">
        <v>433</v>
      </c>
    </row>
    <row r="165" spans="1:8" ht="15" customHeight="1" x14ac:dyDescent="0.45">
      <c r="A165" s="2" t="s">
        <v>76</v>
      </c>
      <c r="B165" s="2" t="s">
        <v>78</v>
      </c>
      <c r="C165" s="2">
        <v>0</v>
      </c>
      <c r="D165" s="2">
        <v>0</v>
      </c>
      <c r="E165" s="2">
        <v>0</v>
      </c>
      <c r="F165" s="2">
        <v>0</v>
      </c>
      <c r="G165" s="2" t="s">
        <v>147</v>
      </c>
      <c r="H165" s="2" t="s">
        <v>147</v>
      </c>
    </row>
    <row r="166" spans="1:8" ht="15" customHeight="1" x14ac:dyDescent="0.45">
      <c r="A166" s="2" t="s">
        <v>515</v>
      </c>
      <c r="B166" s="2" t="s">
        <v>517</v>
      </c>
      <c r="C166" s="2">
        <v>0.111611</v>
      </c>
      <c r="D166" s="2">
        <v>9.0844000000000005</v>
      </c>
      <c r="E166" s="2">
        <v>9.0383600000000008</v>
      </c>
      <c r="F166" s="2">
        <v>1.0344799999999999E-2</v>
      </c>
      <c r="G166" s="2" t="s">
        <v>433</v>
      </c>
      <c r="H166" s="2" t="s">
        <v>433</v>
      </c>
    </row>
    <row r="167" spans="1:8" ht="15" customHeight="1" x14ac:dyDescent="0.45">
      <c r="A167" s="2" t="s">
        <v>515</v>
      </c>
      <c r="B167" s="2" t="s">
        <v>516</v>
      </c>
      <c r="C167" s="2">
        <v>0.131276</v>
      </c>
      <c r="D167" s="2">
        <v>56.921900000000001</v>
      </c>
      <c r="E167" s="2">
        <v>4.6407400000000001</v>
      </c>
      <c r="F167" s="2">
        <v>2.4362600000000002E-2</v>
      </c>
      <c r="G167" s="2" t="s">
        <v>433</v>
      </c>
      <c r="H167" s="2" t="s">
        <v>433</v>
      </c>
    </row>
    <row r="168" spans="1:8" ht="15" customHeight="1" x14ac:dyDescent="0.45">
      <c r="A168" s="2" t="s">
        <v>515</v>
      </c>
      <c r="B168" s="2" t="s">
        <v>514</v>
      </c>
      <c r="C168" s="2">
        <v>0.19362299999999999</v>
      </c>
      <c r="D168" s="2">
        <v>9.6376799999999996</v>
      </c>
      <c r="E168" s="2">
        <v>18.157900000000001</v>
      </c>
      <c r="F168" s="2">
        <v>1.2987E-2</v>
      </c>
      <c r="G168" s="2" t="s">
        <v>433</v>
      </c>
      <c r="H168" s="2" t="s">
        <v>433</v>
      </c>
    </row>
    <row r="169" spans="1:8" ht="15" customHeight="1" x14ac:dyDescent="0.45">
      <c r="A169" s="2" t="s">
        <v>513</v>
      </c>
      <c r="B169" s="2" t="s">
        <v>512</v>
      </c>
      <c r="C169" s="2">
        <v>0.10427500000000001</v>
      </c>
      <c r="D169" s="2">
        <v>7.0238399999999999</v>
      </c>
      <c r="E169" s="2">
        <v>6.9589499999999997</v>
      </c>
      <c r="F169" s="2">
        <v>1.29584E-2</v>
      </c>
      <c r="G169" s="2" t="s">
        <v>433</v>
      </c>
      <c r="H169" s="2" t="s">
        <v>433</v>
      </c>
    </row>
    <row r="170" spans="1:8" ht="15" customHeight="1" x14ac:dyDescent="0.45">
      <c r="A170" s="2" t="s">
        <v>79</v>
      </c>
      <c r="B170" s="2" t="s">
        <v>1136</v>
      </c>
      <c r="C170" s="2">
        <v>0</v>
      </c>
      <c r="D170" s="2">
        <v>0</v>
      </c>
      <c r="E170" s="2">
        <v>0</v>
      </c>
      <c r="F170" s="2">
        <v>0</v>
      </c>
      <c r="G170" s="2" t="s">
        <v>147</v>
      </c>
      <c r="H170" s="2" t="s">
        <v>147</v>
      </c>
    </row>
    <row r="171" spans="1:8" ht="15" customHeight="1" x14ac:dyDescent="0.45">
      <c r="A171" s="2" t="s">
        <v>511</v>
      </c>
      <c r="B171" s="2" t="s">
        <v>80</v>
      </c>
      <c r="C171" s="2">
        <v>0.140676</v>
      </c>
      <c r="D171" s="2">
        <v>21.696999999999999</v>
      </c>
      <c r="E171" s="2">
        <v>9.0973000000000006</v>
      </c>
      <c r="F171" s="2">
        <v>3.6477900000000001E-2</v>
      </c>
      <c r="G171" s="2" t="s">
        <v>147</v>
      </c>
      <c r="H171" s="2" t="s">
        <v>433</v>
      </c>
    </row>
    <row r="172" spans="1:8" ht="15" customHeight="1" x14ac:dyDescent="0.45">
      <c r="A172" s="2" t="s">
        <v>510</v>
      </c>
      <c r="B172" s="2" t="s">
        <v>509</v>
      </c>
      <c r="C172" s="2">
        <v>8.4213900000000008E-3</v>
      </c>
      <c r="D172" s="2">
        <v>0.60836500000000004</v>
      </c>
      <c r="E172" s="2">
        <v>0.47080100000000003</v>
      </c>
      <c r="F172" s="2">
        <v>1.6567400000000001E-3</v>
      </c>
      <c r="G172" s="2" t="s">
        <v>433</v>
      </c>
      <c r="H172" s="2" t="s">
        <v>433</v>
      </c>
    </row>
    <row r="173" spans="1:8" ht="15" customHeight="1" x14ac:dyDescent="0.45">
      <c r="A173" s="2" t="s">
        <v>82</v>
      </c>
      <c r="B173" s="2" t="s">
        <v>84</v>
      </c>
      <c r="C173" s="2">
        <v>0</v>
      </c>
      <c r="D173" s="2">
        <v>0</v>
      </c>
      <c r="E173" s="2">
        <v>0</v>
      </c>
      <c r="F173" s="2">
        <v>0</v>
      </c>
      <c r="G173" s="2" t="s">
        <v>147</v>
      </c>
      <c r="H173" s="2" t="s">
        <v>147</v>
      </c>
    </row>
    <row r="174" spans="1:8" ht="15" customHeight="1" x14ac:dyDescent="0.45">
      <c r="A174" s="2" t="s">
        <v>508</v>
      </c>
      <c r="B174" s="2" t="s">
        <v>83</v>
      </c>
      <c r="C174" s="2">
        <v>0.290215</v>
      </c>
      <c r="D174" s="2">
        <v>104.07299999999999</v>
      </c>
      <c r="E174" s="2">
        <v>9.6360899999999994</v>
      </c>
      <c r="F174" s="2">
        <v>3.6522399999999997E-2</v>
      </c>
      <c r="G174" s="2" t="s">
        <v>433</v>
      </c>
      <c r="H174" s="2" t="s">
        <v>433</v>
      </c>
    </row>
    <row r="175" spans="1:8" ht="15" customHeight="1" x14ac:dyDescent="0.45">
      <c r="A175" s="2" t="s">
        <v>85</v>
      </c>
      <c r="B175" s="2" t="s">
        <v>86</v>
      </c>
      <c r="C175" s="2">
        <v>0</v>
      </c>
      <c r="D175" s="2">
        <v>0</v>
      </c>
      <c r="E175" s="2">
        <v>0</v>
      </c>
      <c r="F175" s="2">
        <v>0</v>
      </c>
      <c r="G175" s="2" t="s">
        <v>147</v>
      </c>
      <c r="H175" s="2" t="s">
        <v>147</v>
      </c>
    </row>
    <row r="176" spans="1:8" ht="15" customHeight="1" x14ac:dyDescent="0.45">
      <c r="A176" s="2" t="s">
        <v>507</v>
      </c>
      <c r="B176" s="2" t="s">
        <v>506</v>
      </c>
      <c r="C176" s="2">
        <v>9.1387899999999994E-2</v>
      </c>
      <c r="D176" s="2">
        <v>39.746299999999998</v>
      </c>
      <c r="E176" s="2">
        <v>5.1852600000000004</v>
      </c>
      <c r="F176" s="2">
        <v>7.3903900000000002E-3</v>
      </c>
      <c r="G176" s="2" t="s">
        <v>433</v>
      </c>
      <c r="H176" s="2" t="s">
        <v>433</v>
      </c>
    </row>
    <row r="177" spans="1:8" ht="15" customHeight="1" x14ac:dyDescent="0.45">
      <c r="A177" s="2" t="s">
        <v>1135</v>
      </c>
      <c r="B177" s="2" t="s">
        <v>1134</v>
      </c>
      <c r="C177" s="2">
        <v>0</v>
      </c>
      <c r="D177" s="2">
        <v>0</v>
      </c>
      <c r="E177" s="2">
        <v>0</v>
      </c>
      <c r="F177" s="2">
        <v>0</v>
      </c>
      <c r="G177" s="2" t="s">
        <v>147</v>
      </c>
      <c r="H177" s="2" t="s">
        <v>147</v>
      </c>
    </row>
    <row r="178" spans="1:8" ht="15" customHeight="1" x14ac:dyDescent="0.45">
      <c r="A178" s="2" t="s">
        <v>505</v>
      </c>
      <c r="B178" s="2" t="s">
        <v>504</v>
      </c>
      <c r="C178" s="2">
        <v>0.156939</v>
      </c>
      <c r="D178" s="2">
        <v>6.38591</v>
      </c>
      <c r="E178" s="2">
        <v>4.7751799999999998</v>
      </c>
      <c r="F178" s="2">
        <v>3.6732499999999999E-3</v>
      </c>
      <c r="G178" s="2" t="s">
        <v>433</v>
      </c>
      <c r="H178" s="2" t="s">
        <v>433</v>
      </c>
    </row>
    <row r="179" spans="1:8" ht="15" customHeight="1" x14ac:dyDescent="0.45">
      <c r="A179" s="2" t="s">
        <v>502</v>
      </c>
      <c r="B179" s="2" t="s">
        <v>503</v>
      </c>
      <c r="C179" s="2">
        <v>0.17883299999999999</v>
      </c>
      <c r="D179" s="2">
        <v>108.93899999999999</v>
      </c>
      <c r="E179" s="2">
        <v>5.1144100000000003</v>
      </c>
      <c r="F179" s="2">
        <v>5.6596300000000002E-2</v>
      </c>
      <c r="G179" s="2" t="s">
        <v>433</v>
      </c>
      <c r="H179" s="2" t="s">
        <v>433</v>
      </c>
    </row>
    <row r="180" spans="1:8" ht="15" customHeight="1" x14ac:dyDescent="0.45">
      <c r="A180" s="2" t="s">
        <v>502</v>
      </c>
      <c r="B180" s="2" t="s">
        <v>501</v>
      </c>
      <c r="C180" s="2">
        <v>0.345275</v>
      </c>
      <c r="D180" s="2">
        <v>52.1952</v>
      </c>
      <c r="E180" s="2">
        <v>13.795400000000001</v>
      </c>
      <c r="F180" s="2">
        <v>0.10211000000000001</v>
      </c>
      <c r="G180" s="2" t="s">
        <v>433</v>
      </c>
      <c r="H180" s="2" t="s">
        <v>433</v>
      </c>
    </row>
    <row r="181" spans="1:8" ht="15" customHeight="1" x14ac:dyDescent="0.45">
      <c r="A181" s="2" t="s">
        <v>498</v>
      </c>
      <c r="B181" s="2" t="s">
        <v>500</v>
      </c>
      <c r="C181" s="2">
        <v>0.24697</v>
      </c>
      <c r="D181" s="2">
        <v>5.4438599999999999</v>
      </c>
      <c r="E181" s="2">
        <v>3.7704800000000001</v>
      </c>
      <c r="F181" s="2">
        <v>0</v>
      </c>
      <c r="G181" s="2" t="s">
        <v>433</v>
      </c>
      <c r="H181" s="2" t="s">
        <v>433</v>
      </c>
    </row>
    <row r="182" spans="1:8" ht="15" customHeight="1" x14ac:dyDescent="0.45">
      <c r="A182" s="2" t="s">
        <v>498</v>
      </c>
      <c r="B182" s="2" t="s">
        <v>497</v>
      </c>
      <c r="C182" s="2">
        <v>0.14330899999999999</v>
      </c>
      <c r="D182" s="2">
        <v>4.5735700000000001</v>
      </c>
      <c r="E182" s="2">
        <v>11.2441</v>
      </c>
      <c r="F182" s="2">
        <v>0</v>
      </c>
      <c r="G182" s="2" t="s">
        <v>433</v>
      </c>
      <c r="H182" s="2" t="s">
        <v>433</v>
      </c>
    </row>
    <row r="183" spans="1:8" ht="15" customHeight="1" x14ac:dyDescent="0.45">
      <c r="A183" s="2" t="s">
        <v>1133</v>
      </c>
      <c r="B183" s="2" t="s">
        <v>1132</v>
      </c>
      <c r="C183" s="2">
        <v>0</v>
      </c>
      <c r="D183" s="2">
        <v>0</v>
      </c>
      <c r="E183" s="2">
        <v>0</v>
      </c>
      <c r="F183" s="2">
        <v>0</v>
      </c>
      <c r="G183" s="2" t="s">
        <v>147</v>
      </c>
      <c r="H183" s="2" t="s">
        <v>147</v>
      </c>
    </row>
    <row r="184" spans="1:8" ht="15" customHeight="1" x14ac:dyDescent="0.45">
      <c r="A184" s="2" t="s">
        <v>493</v>
      </c>
      <c r="B184" s="2" t="s">
        <v>496</v>
      </c>
      <c r="C184" s="2">
        <v>0.29650199999999999</v>
      </c>
      <c r="D184" s="2">
        <v>43.240200000000002</v>
      </c>
      <c r="E184" s="2">
        <v>17.495899999999999</v>
      </c>
      <c r="F184" s="2">
        <v>0.123172</v>
      </c>
      <c r="G184" s="2" t="s">
        <v>147</v>
      </c>
      <c r="H184" s="2" t="s">
        <v>433</v>
      </c>
    </row>
    <row r="185" spans="1:8" ht="15" customHeight="1" x14ac:dyDescent="0.45">
      <c r="A185" s="2" t="s">
        <v>493</v>
      </c>
      <c r="B185" s="2" t="s">
        <v>495</v>
      </c>
      <c r="C185" s="2">
        <v>0.225494</v>
      </c>
      <c r="D185" s="2">
        <v>23.189900000000002</v>
      </c>
      <c r="E185" s="2">
        <v>17.2578</v>
      </c>
      <c r="F185" s="2">
        <v>5.7416300000000003E-2</v>
      </c>
      <c r="G185" s="2" t="s">
        <v>147</v>
      </c>
      <c r="H185" s="2" t="s">
        <v>433</v>
      </c>
    </row>
    <row r="186" spans="1:8" ht="15" customHeight="1" x14ac:dyDescent="0.45">
      <c r="A186" s="2" t="s">
        <v>493</v>
      </c>
      <c r="B186" s="2" t="s">
        <v>494</v>
      </c>
      <c r="C186" s="2">
        <v>0.177263</v>
      </c>
      <c r="D186" s="2">
        <v>9.8415700000000008</v>
      </c>
      <c r="E186" s="2">
        <v>17.5624</v>
      </c>
      <c r="F186" s="2">
        <v>1.4582700000000001E-2</v>
      </c>
      <c r="G186" s="2" t="s">
        <v>147</v>
      </c>
      <c r="H186" s="2" t="s">
        <v>433</v>
      </c>
    </row>
    <row r="187" spans="1:8" ht="15" customHeight="1" x14ac:dyDescent="0.45">
      <c r="A187" s="2" t="s">
        <v>493</v>
      </c>
      <c r="B187" s="2" t="s">
        <v>492</v>
      </c>
      <c r="C187" s="2">
        <v>9.8244799999999993E-2</v>
      </c>
      <c r="D187" s="2">
        <v>21.082899999999999</v>
      </c>
      <c r="E187" s="2">
        <v>9.8586399999999994</v>
      </c>
      <c r="F187" s="2">
        <v>1.8906099999999999E-2</v>
      </c>
      <c r="G187" s="2" t="s">
        <v>147</v>
      </c>
      <c r="H187" s="2" t="s">
        <v>433</v>
      </c>
    </row>
    <row r="188" spans="1:8" ht="15" customHeight="1" x14ac:dyDescent="0.45">
      <c r="A188" s="2" t="s">
        <v>490</v>
      </c>
      <c r="B188" s="2" t="s">
        <v>489</v>
      </c>
      <c r="C188" s="2">
        <v>0.12531900000000001</v>
      </c>
      <c r="D188" s="2">
        <v>101.54900000000001</v>
      </c>
      <c r="E188" s="2">
        <v>4.4488500000000002</v>
      </c>
      <c r="F188" s="2">
        <v>6.8107100000000002E-3</v>
      </c>
      <c r="G188" s="2" t="s">
        <v>433</v>
      </c>
      <c r="H188" s="2" t="s">
        <v>433</v>
      </c>
    </row>
    <row r="189" spans="1:8" ht="15" customHeight="1" x14ac:dyDescent="0.45">
      <c r="A189" s="2" t="s">
        <v>480</v>
      </c>
      <c r="B189" s="2" t="s">
        <v>488</v>
      </c>
      <c r="C189" s="2">
        <v>0.12034400000000001</v>
      </c>
      <c r="D189" s="2">
        <v>19.857700000000001</v>
      </c>
      <c r="E189" s="2">
        <v>11.1669</v>
      </c>
      <c r="F189" s="2">
        <v>3.5147900000000003E-2</v>
      </c>
      <c r="G189" s="2" t="s">
        <v>147</v>
      </c>
      <c r="H189" s="2" t="s">
        <v>433</v>
      </c>
    </row>
    <row r="190" spans="1:8" ht="15" customHeight="1" x14ac:dyDescent="0.45">
      <c r="A190" s="2" t="s">
        <v>480</v>
      </c>
      <c r="B190" s="2" t="s">
        <v>487</v>
      </c>
      <c r="C190" s="2">
        <v>0.121863</v>
      </c>
      <c r="D190" s="2">
        <v>21.770299999999999</v>
      </c>
      <c r="E190" s="2">
        <v>10.7958</v>
      </c>
      <c r="F190" s="2">
        <v>4.28645E-2</v>
      </c>
      <c r="G190" s="2" t="s">
        <v>147</v>
      </c>
      <c r="H190" s="2" t="s">
        <v>433</v>
      </c>
    </row>
    <row r="191" spans="1:8" ht="15" customHeight="1" x14ac:dyDescent="0.45">
      <c r="A191" s="2" t="s">
        <v>480</v>
      </c>
      <c r="B191" s="2" t="s">
        <v>486</v>
      </c>
      <c r="C191" s="2">
        <v>8.2961099999999996E-2</v>
      </c>
      <c r="D191" s="2">
        <v>9.8305299999999995</v>
      </c>
      <c r="E191" s="2">
        <v>10.67</v>
      </c>
      <c r="F191" s="2">
        <v>9.6453200000000006E-3</v>
      </c>
      <c r="G191" s="2" t="s">
        <v>147</v>
      </c>
      <c r="H191" s="2" t="s">
        <v>433</v>
      </c>
    </row>
    <row r="192" spans="1:8" ht="15" customHeight="1" x14ac:dyDescent="0.45">
      <c r="A192" s="2" t="s">
        <v>480</v>
      </c>
      <c r="B192" s="2" t="s">
        <v>485</v>
      </c>
      <c r="C192" s="2">
        <v>0.208234</v>
      </c>
      <c r="D192" s="2">
        <v>11.004300000000001</v>
      </c>
      <c r="E192" s="2">
        <v>21.506</v>
      </c>
      <c r="F192" s="2">
        <v>1.2E-2</v>
      </c>
      <c r="G192" s="2" t="s">
        <v>147</v>
      </c>
      <c r="H192" s="2" t="s">
        <v>433</v>
      </c>
    </row>
    <row r="193" spans="1:8" ht="15" customHeight="1" x14ac:dyDescent="0.45">
      <c r="A193" s="2" t="s">
        <v>480</v>
      </c>
      <c r="B193" s="2" t="s">
        <v>484</v>
      </c>
      <c r="C193" s="2">
        <v>0.75588</v>
      </c>
      <c r="D193" s="2">
        <v>4.5566899999999997</v>
      </c>
      <c r="E193" s="2">
        <v>28.852599999999999</v>
      </c>
      <c r="F193" s="2">
        <v>0</v>
      </c>
      <c r="G193" s="2" t="s">
        <v>147</v>
      </c>
      <c r="H193" s="2" t="s">
        <v>433</v>
      </c>
    </row>
    <row r="194" spans="1:8" ht="15" customHeight="1" x14ac:dyDescent="0.45">
      <c r="A194" s="2" t="s">
        <v>480</v>
      </c>
      <c r="B194" s="2" t="s">
        <v>483</v>
      </c>
      <c r="C194" s="2">
        <v>0.66473300000000002</v>
      </c>
      <c r="D194" s="2">
        <v>67.161000000000001</v>
      </c>
      <c r="E194" s="2">
        <v>21.289400000000001</v>
      </c>
      <c r="F194" s="2">
        <v>0.195217</v>
      </c>
      <c r="G194" s="2" t="s">
        <v>147</v>
      </c>
      <c r="H194" s="2" t="s">
        <v>433</v>
      </c>
    </row>
    <row r="195" spans="1:8" ht="15" customHeight="1" x14ac:dyDescent="0.45">
      <c r="A195" s="2" t="s">
        <v>480</v>
      </c>
      <c r="B195" s="2" t="s">
        <v>482</v>
      </c>
      <c r="C195" s="2">
        <v>7.9886399999999996E-2</v>
      </c>
      <c r="D195" s="2">
        <v>9.0395500000000002</v>
      </c>
      <c r="E195" s="2">
        <v>9.4245400000000004</v>
      </c>
      <c r="F195" s="2">
        <v>1.0670600000000001E-2</v>
      </c>
      <c r="G195" s="2" t="s">
        <v>147</v>
      </c>
      <c r="H195" s="2" t="s">
        <v>433</v>
      </c>
    </row>
    <row r="196" spans="1:8" ht="15" customHeight="1" x14ac:dyDescent="0.45">
      <c r="A196" s="2" t="s">
        <v>480</v>
      </c>
      <c r="B196" s="2" t="s">
        <v>481</v>
      </c>
      <c r="C196" s="2">
        <v>6.7192199999999994E-2</v>
      </c>
      <c r="D196" s="2">
        <v>6.51539</v>
      </c>
      <c r="E196" s="2">
        <v>9.8535599999999999</v>
      </c>
      <c r="F196" s="2">
        <v>2.5898700000000002E-3</v>
      </c>
      <c r="G196" s="2" t="s">
        <v>147</v>
      </c>
      <c r="H196" s="2" t="s">
        <v>433</v>
      </c>
    </row>
    <row r="197" spans="1:8" ht="15" customHeight="1" x14ac:dyDescent="0.45">
      <c r="A197" s="2" t="s">
        <v>480</v>
      </c>
      <c r="B197" s="2" t="s">
        <v>479</v>
      </c>
      <c r="C197" s="2">
        <v>7.3195399999999994E-2</v>
      </c>
      <c r="D197" s="2">
        <v>6.9130900000000004</v>
      </c>
      <c r="E197" s="2">
        <v>9.9774200000000004</v>
      </c>
      <c r="F197" s="2">
        <v>3.2925099999999998E-3</v>
      </c>
      <c r="G197" s="2" t="s">
        <v>147</v>
      </c>
      <c r="H197" s="2" t="s">
        <v>433</v>
      </c>
    </row>
    <row r="198" spans="1:8" ht="15" customHeight="1" x14ac:dyDescent="0.45">
      <c r="A198" s="2" t="s">
        <v>478</v>
      </c>
      <c r="B198" s="2" t="s">
        <v>477</v>
      </c>
      <c r="C198" s="2">
        <v>0.192055</v>
      </c>
      <c r="D198" s="2">
        <v>9.9127899999999993</v>
      </c>
      <c r="E198" s="2">
        <v>20.036999999999999</v>
      </c>
      <c r="F198" s="2">
        <v>1.1113100000000001E-2</v>
      </c>
      <c r="G198" s="2" t="s">
        <v>433</v>
      </c>
      <c r="H198" s="2" t="s">
        <v>433</v>
      </c>
    </row>
    <row r="199" spans="1:8" ht="15" customHeight="1" x14ac:dyDescent="0.45">
      <c r="A199" s="2" t="s">
        <v>476</v>
      </c>
      <c r="B199" s="2" t="s">
        <v>89</v>
      </c>
      <c r="C199" s="2">
        <v>0</v>
      </c>
      <c r="D199" s="2">
        <v>0</v>
      </c>
      <c r="E199" s="2">
        <v>0</v>
      </c>
      <c r="F199" s="2">
        <v>0</v>
      </c>
      <c r="G199" s="2" t="s">
        <v>147</v>
      </c>
      <c r="H199" s="2" t="s">
        <v>147</v>
      </c>
    </row>
    <row r="200" spans="1:8" ht="15" customHeight="1" x14ac:dyDescent="0.45">
      <c r="A200" s="2" t="s">
        <v>88</v>
      </c>
      <c r="B200" s="2" t="s">
        <v>1131</v>
      </c>
      <c r="C200" s="2">
        <v>0</v>
      </c>
      <c r="D200" s="2">
        <v>0</v>
      </c>
      <c r="E200" s="2">
        <v>0</v>
      </c>
      <c r="F200" s="2">
        <v>0</v>
      </c>
      <c r="G200" s="2" t="s">
        <v>147</v>
      </c>
      <c r="H200" s="2" t="s">
        <v>147</v>
      </c>
    </row>
    <row r="201" spans="1:8" ht="15" customHeight="1" x14ac:dyDescent="0.45">
      <c r="A201" s="2" t="s">
        <v>88</v>
      </c>
      <c r="B201" s="2" t="s">
        <v>90</v>
      </c>
      <c r="C201" s="2">
        <v>0</v>
      </c>
      <c r="D201" s="2">
        <v>0</v>
      </c>
      <c r="E201" s="2">
        <v>0</v>
      </c>
      <c r="F201" s="2">
        <v>0</v>
      </c>
      <c r="G201" s="2" t="s">
        <v>147</v>
      </c>
      <c r="H201" s="2" t="s">
        <v>147</v>
      </c>
    </row>
    <row r="202" spans="1:8" ht="15" customHeight="1" x14ac:dyDescent="0.45">
      <c r="A202" s="2" t="s">
        <v>472</v>
      </c>
      <c r="B202" s="2" t="s">
        <v>475</v>
      </c>
      <c r="C202" s="2">
        <v>0.110383</v>
      </c>
      <c r="D202" s="2">
        <v>22.6999</v>
      </c>
      <c r="E202" s="2">
        <v>8.8476599999999994</v>
      </c>
      <c r="F202" s="2">
        <v>6.0648800000000003E-2</v>
      </c>
      <c r="G202" s="2" t="s">
        <v>433</v>
      </c>
      <c r="H202" s="2" t="s">
        <v>433</v>
      </c>
    </row>
    <row r="203" spans="1:8" ht="15" customHeight="1" x14ac:dyDescent="0.45">
      <c r="A203" s="2" t="s">
        <v>472</v>
      </c>
      <c r="B203" s="2" t="s">
        <v>474</v>
      </c>
      <c r="C203" s="2">
        <v>0.14946000000000001</v>
      </c>
      <c r="D203" s="2">
        <v>10.385300000000001</v>
      </c>
      <c r="E203" s="2">
        <v>16.1175</v>
      </c>
      <c r="F203" s="2">
        <v>1.9042199999999999E-2</v>
      </c>
      <c r="G203" s="2" t="s">
        <v>433</v>
      </c>
      <c r="H203" s="2" t="s">
        <v>433</v>
      </c>
    </row>
    <row r="204" spans="1:8" ht="15" customHeight="1" x14ac:dyDescent="0.45">
      <c r="A204" s="2" t="s">
        <v>472</v>
      </c>
      <c r="B204" s="2" t="s">
        <v>473</v>
      </c>
      <c r="C204" s="2">
        <v>6.7883600000000002E-2</v>
      </c>
      <c r="D204" s="2">
        <v>4.0733199999999998</v>
      </c>
      <c r="E204" s="2">
        <v>10.161799999999999</v>
      </c>
      <c r="F204" s="2">
        <v>1.05633E-4</v>
      </c>
      <c r="G204" s="2" t="s">
        <v>433</v>
      </c>
      <c r="H204" s="2" t="s">
        <v>433</v>
      </c>
    </row>
    <row r="205" spans="1:8" ht="15" customHeight="1" x14ac:dyDescent="0.45">
      <c r="A205" s="2" t="s">
        <v>472</v>
      </c>
      <c r="B205" s="2" t="s">
        <v>471</v>
      </c>
      <c r="C205" s="2">
        <v>0.16910500000000001</v>
      </c>
      <c r="D205" s="2">
        <v>16.445699999999999</v>
      </c>
      <c r="E205" s="2">
        <v>15.9765</v>
      </c>
      <c r="F205" s="2">
        <v>4.0332800000000002E-2</v>
      </c>
      <c r="G205" s="2" t="s">
        <v>433</v>
      </c>
      <c r="H205" s="2" t="s">
        <v>433</v>
      </c>
    </row>
    <row r="206" spans="1:8" ht="15" customHeight="1" x14ac:dyDescent="0.45">
      <c r="A206" s="2" t="s">
        <v>1130</v>
      </c>
      <c r="B206" s="2" t="s">
        <v>92</v>
      </c>
      <c r="C206" s="2">
        <v>0</v>
      </c>
      <c r="D206" s="2">
        <v>0</v>
      </c>
      <c r="E206" s="2">
        <v>0</v>
      </c>
      <c r="F206" s="2">
        <v>0</v>
      </c>
      <c r="G206" s="2" t="s">
        <v>147</v>
      </c>
      <c r="H206" s="2" t="s">
        <v>147</v>
      </c>
    </row>
    <row r="207" spans="1:8" ht="15" customHeight="1" x14ac:dyDescent="0.45">
      <c r="A207" s="2" t="s">
        <v>91</v>
      </c>
      <c r="B207" s="2" t="s">
        <v>93</v>
      </c>
      <c r="C207" s="2">
        <v>0</v>
      </c>
      <c r="D207" s="2">
        <v>0</v>
      </c>
      <c r="E207" s="2">
        <v>0</v>
      </c>
      <c r="F207" s="2">
        <v>0</v>
      </c>
      <c r="G207" s="2" t="s">
        <v>147</v>
      </c>
      <c r="H207" s="2" t="s">
        <v>147</v>
      </c>
    </row>
    <row r="208" spans="1:8" ht="15" customHeight="1" x14ac:dyDescent="0.45">
      <c r="A208" s="2" t="s">
        <v>470</v>
      </c>
      <c r="B208" s="2" t="s">
        <v>469</v>
      </c>
      <c r="C208" s="2">
        <v>0.38577</v>
      </c>
      <c r="D208" s="2">
        <v>84.729399999999998</v>
      </c>
      <c r="E208" s="2">
        <v>6.3377600000000003</v>
      </c>
      <c r="F208" s="2">
        <v>0.22489799999999999</v>
      </c>
      <c r="G208" s="2" t="s">
        <v>433</v>
      </c>
      <c r="H208" s="2" t="s">
        <v>433</v>
      </c>
    </row>
    <row r="209" spans="1:8" ht="15" customHeight="1" x14ac:dyDescent="0.45">
      <c r="A209" s="2" t="s">
        <v>467</v>
      </c>
      <c r="B209" s="2" t="s">
        <v>468</v>
      </c>
      <c r="C209" s="2">
        <v>0.42820000000000003</v>
      </c>
      <c r="D209" s="2">
        <v>91.971000000000004</v>
      </c>
      <c r="E209" s="2">
        <v>2.0839400000000001</v>
      </c>
      <c r="F209" s="2">
        <v>0</v>
      </c>
      <c r="G209" s="2" t="s">
        <v>433</v>
      </c>
      <c r="H209" s="2" t="s">
        <v>433</v>
      </c>
    </row>
    <row r="210" spans="1:8" ht="15" customHeight="1" x14ac:dyDescent="0.45">
      <c r="A210" s="2" t="s">
        <v>467</v>
      </c>
      <c r="B210" s="2" t="s">
        <v>466</v>
      </c>
      <c r="C210" s="2">
        <v>0.10183</v>
      </c>
      <c r="D210" s="2">
        <v>180.91900000000001</v>
      </c>
      <c r="E210" s="2">
        <v>4.3646700000000003</v>
      </c>
      <c r="F210" s="2">
        <v>9.1929799999999999E-3</v>
      </c>
      <c r="G210" s="2" t="s">
        <v>433</v>
      </c>
      <c r="H210" s="2" t="s">
        <v>433</v>
      </c>
    </row>
    <row r="211" spans="1:8" ht="15" customHeight="1" x14ac:dyDescent="0.45">
      <c r="A211" s="2" t="s">
        <v>465</v>
      </c>
      <c r="B211" s="2" t="s">
        <v>464</v>
      </c>
      <c r="C211" s="2">
        <v>0.16766300000000001</v>
      </c>
      <c r="D211" s="2">
        <v>27.963899999999999</v>
      </c>
      <c r="E211" s="2">
        <v>10.1236</v>
      </c>
      <c r="F211" s="2">
        <v>5.01553E-2</v>
      </c>
      <c r="G211" s="2" t="s">
        <v>147</v>
      </c>
      <c r="H211" s="2" t="s">
        <v>433</v>
      </c>
    </row>
    <row r="212" spans="1:8" ht="15" customHeight="1" x14ac:dyDescent="0.45">
      <c r="A212" s="2" t="s">
        <v>459</v>
      </c>
      <c r="B212" s="2" t="s">
        <v>463</v>
      </c>
      <c r="C212" s="2">
        <v>7.7146300000000001E-2</v>
      </c>
      <c r="D212" s="2">
        <v>16.9954</v>
      </c>
      <c r="E212" s="2">
        <v>1.4953399999999999</v>
      </c>
      <c r="F212" s="2">
        <v>4.75789E-2</v>
      </c>
      <c r="G212" s="2" t="s">
        <v>433</v>
      </c>
      <c r="H212" s="2" t="s">
        <v>433</v>
      </c>
    </row>
    <row r="213" spans="1:8" ht="15" customHeight="1" x14ac:dyDescent="0.45">
      <c r="A213" s="2" t="s">
        <v>459</v>
      </c>
      <c r="B213" s="2" t="s">
        <v>462</v>
      </c>
      <c r="C213" s="2">
        <v>0.13866999999999999</v>
      </c>
      <c r="D213" s="2">
        <v>3.2553200000000002</v>
      </c>
      <c r="E213" s="2">
        <v>11.393599999999999</v>
      </c>
      <c r="F213" s="2">
        <v>0</v>
      </c>
      <c r="G213" s="2" t="s">
        <v>433</v>
      </c>
      <c r="H213" s="2" t="s">
        <v>433</v>
      </c>
    </row>
    <row r="214" spans="1:8" ht="15" customHeight="1" x14ac:dyDescent="0.45">
      <c r="A214" s="2" t="s">
        <v>459</v>
      </c>
      <c r="B214" s="2" t="s">
        <v>461</v>
      </c>
      <c r="C214" s="2">
        <v>7.2358599999999995E-2</v>
      </c>
      <c r="D214" s="2">
        <v>5.8705499999999997</v>
      </c>
      <c r="E214" s="2">
        <v>1.93072</v>
      </c>
      <c r="F214" s="2">
        <v>1.6946099999999999E-2</v>
      </c>
      <c r="G214" s="2" t="s">
        <v>433</v>
      </c>
      <c r="H214" s="2" t="s">
        <v>433</v>
      </c>
    </row>
    <row r="215" spans="1:8" ht="15" customHeight="1" x14ac:dyDescent="0.45">
      <c r="A215" s="2" t="s">
        <v>459</v>
      </c>
      <c r="B215" s="2" t="s">
        <v>460</v>
      </c>
      <c r="C215" s="2">
        <v>0</v>
      </c>
      <c r="D215" s="2">
        <v>0</v>
      </c>
      <c r="E215" s="2">
        <v>0</v>
      </c>
      <c r="F215" s="2">
        <v>0</v>
      </c>
      <c r="G215" s="2" t="s">
        <v>433</v>
      </c>
      <c r="H215" s="2" t="s">
        <v>147</v>
      </c>
    </row>
    <row r="216" spans="1:8" ht="15" customHeight="1" x14ac:dyDescent="0.45">
      <c r="A216" s="2" t="s">
        <v>459</v>
      </c>
      <c r="B216" s="2" t="s">
        <v>458</v>
      </c>
      <c r="C216" s="2">
        <v>8.0374600000000004E-2</v>
      </c>
      <c r="D216" s="2">
        <v>16.577999999999999</v>
      </c>
      <c r="E216" s="2">
        <v>2.0628500000000001</v>
      </c>
      <c r="F216" s="2">
        <v>5.1742099999999999E-2</v>
      </c>
      <c r="G216" s="2" t="s">
        <v>433</v>
      </c>
      <c r="H216" s="2" t="s">
        <v>433</v>
      </c>
    </row>
    <row r="217" spans="1:8" ht="15" customHeight="1" x14ac:dyDescent="0.45">
      <c r="A217" s="2" t="s">
        <v>457</v>
      </c>
      <c r="B217" s="2" t="s">
        <v>456</v>
      </c>
      <c r="C217" s="2">
        <v>0.101046</v>
      </c>
      <c r="D217" s="2">
        <v>110.595</v>
      </c>
      <c r="E217" s="2">
        <v>6.09396</v>
      </c>
      <c r="F217" s="2">
        <v>9.6403400000000007E-3</v>
      </c>
      <c r="G217" s="2" t="s">
        <v>433</v>
      </c>
      <c r="H217" s="2" t="s">
        <v>433</v>
      </c>
    </row>
    <row r="218" spans="1:8" ht="15" customHeight="1" x14ac:dyDescent="0.45">
      <c r="A218" s="2" t="s">
        <v>453</v>
      </c>
      <c r="B218" s="2" t="s">
        <v>455</v>
      </c>
      <c r="C218" s="2">
        <v>0.10621</v>
      </c>
      <c r="D218" s="2">
        <v>12.498799999999999</v>
      </c>
      <c r="E218" s="2">
        <v>10.387700000000001</v>
      </c>
      <c r="F218" s="2">
        <v>1.19487E-2</v>
      </c>
      <c r="G218" s="2" t="s">
        <v>433</v>
      </c>
      <c r="H218" s="2" t="s">
        <v>433</v>
      </c>
    </row>
    <row r="219" spans="1:8" ht="15" customHeight="1" x14ac:dyDescent="0.45">
      <c r="A219" s="2" t="s">
        <v>453</v>
      </c>
      <c r="B219" s="2" t="s">
        <v>454</v>
      </c>
      <c r="C219" s="2">
        <v>8.1342300000000006E-2</v>
      </c>
      <c r="D219" s="2">
        <v>6.24505</v>
      </c>
      <c r="E219" s="2">
        <v>7.49369</v>
      </c>
      <c r="F219" s="2">
        <v>6.7214299999999996E-3</v>
      </c>
      <c r="G219" s="2" t="s">
        <v>433</v>
      </c>
      <c r="H219" s="2" t="s">
        <v>433</v>
      </c>
    </row>
    <row r="220" spans="1:8" ht="15" customHeight="1" x14ac:dyDescent="0.45">
      <c r="A220" s="2" t="s">
        <v>453</v>
      </c>
      <c r="B220" s="2" t="s">
        <v>452</v>
      </c>
      <c r="C220" s="2">
        <v>6.7624500000000004E-2</v>
      </c>
      <c r="D220" s="2">
        <v>4.0499799999999997</v>
      </c>
      <c r="E220" s="2">
        <v>6.99329</v>
      </c>
      <c r="F220" s="2">
        <v>1.7147500000000001E-4</v>
      </c>
      <c r="G220" s="2" t="s">
        <v>433</v>
      </c>
      <c r="H220" s="2" t="s">
        <v>433</v>
      </c>
    </row>
    <row r="221" spans="1:8" ht="15" customHeight="1" x14ac:dyDescent="0.45">
      <c r="A221" s="2" t="s">
        <v>449</v>
      </c>
      <c r="B221" s="2" t="s">
        <v>451</v>
      </c>
      <c r="C221" s="2">
        <v>8.7359800000000001E-2</v>
      </c>
      <c r="D221" s="2">
        <v>20.225999999999999</v>
      </c>
      <c r="E221" s="2">
        <v>2.2755399999999999</v>
      </c>
      <c r="F221" s="2">
        <v>6.5451400000000007E-2</v>
      </c>
      <c r="G221" s="2" t="s">
        <v>433</v>
      </c>
      <c r="H221" s="2" t="s">
        <v>433</v>
      </c>
    </row>
    <row r="222" spans="1:8" ht="15" customHeight="1" x14ac:dyDescent="0.45">
      <c r="A222" s="2" t="s">
        <v>449</v>
      </c>
      <c r="B222" s="2" t="s">
        <v>450</v>
      </c>
      <c r="C222" s="2">
        <v>7.5074599999999997E-3</v>
      </c>
      <c r="D222" s="2">
        <v>0.23432800000000001</v>
      </c>
      <c r="E222" s="2">
        <v>0.82686599999999999</v>
      </c>
      <c r="F222" s="2">
        <v>0</v>
      </c>
      <c r="G222" s="2" t="s">
        <v>433</v>
      </c>
      <c r="H222" s="2" t="s">
        <v>433</v>
      </c>
    </row>
    <row r="223" spans="1:8" ht="15" customHeight="1" x14ac:dyDescent="0.45">
      <c r="A223" s="2" t="s">
        <v>449</v>
      </c>
      <c r="B223" s="2" t="s">
        <v>448</v>
      </c>
      <c r="C223" s="2">
        <v>0.228964</v>
      </c>
      <c r="D223" s="2">
        <v>38.864899999999999</v>
      </c>
      <c r="E223" s="2">
        <v>15.8919</v>
      </c>
      <c r="F223" s="2">
        <v>8.9115200000000006E-2</v>
      </c>
      <c r="G223" s="2" t="s">
        <v>433</v>
      </c>
      <c r="H223" s="2" t="s">
        <v>433</v>
      </c>
    </row>
    <row r="224" spans="1:8" ht="15" customHeight="1" x14ac:dyDescent="0.45">
      <c r="A224" s="2" t="s">
        <v>132</v>
      </c>
      <c r="B224" s="2" t="s">
        <v>134</v>
      </c>
      <c r="C224" s="2">
        <v>0</v>
      </c>
      <c r="D224" s="2">
        <v>0</v>
      </c>
      <c r="E224" s="2">
        <v>0</v>
      </c>
      <c r="F224" s="2">
        <v>0</v>
      </c>
      <c r="G224" s="2" t="s">
        <v>147</v>
      </c>
      <c r="H224" s="2" t="s">
        <v>147</v>
      </c>
    </row>
    <row r="225" spans="1:8" ht="15" customHeight="1" x14ac:dyDescent="0.45">
      <c r="A225" s="2" t="s">
        <v>447</v>
      </c>
      <c r="B225" s="2" t="s">
        <v>446</v>
      </c>
      <c r="C225" s="2">
        <v>5.5218499999999997E-2</v>
      </c>
      <c r="D225" s="2">
        <v>5.8859300000000001</v>
      </c>
      <c r="E225" s="2">
        <v>7.1548100000000003</v>
      </c>
      <c r="F225" s="2">
        <v>5.9393600000000003E-3</v>
      </c>
      <c r="G225" s="2" t="s">
        <v>147</v>
      </c>
      <c r="H225" s="2" t="s">
        <v>433</v>
      </c>
    </row>
    <row r="226" spans="1:8" ht="15" customHeight="1" x14ac:dyDescent="0.45">
      <c r="A226" s="2" t="s">
        <v>444</v>
      </c>
      <c r="B226" s="2" t="s">
        <v>445</v>
      </c>
      <c r="C226" s="2">
        <v>8.473E-2</v>
      </c>
      <c r="D226" s="2">
        <v>10.463900000000001</v>
      </c>
      <c r="E226" s="2">
        <v>9.36829</v>
      </c>
      <c r="F226" s="2">
        <v>1.4257000000000001E-2</v>
      </c>
      <c r="G226" s="2" t="s">
        <v>147</v>
      </c>
      <c r="H226" s="2" t="s">
        <v>433</v>
      </c>
    </row>
    <row r="227" spans="1:8" ht="15" customHeight="1" x14ac:dyDescent="0.45">
      <c r="A227" s="2" t="s">
        <v>444</v>
      </c>
      <c r="B227" s="2" t="s">
        <v>443</v>
      </c>
      <c r="C227" s="2">
        <v>0.223721</v>
      </c>
      <c r="D227" s="2">
        <v>14.2323</v>
      </c>
      <c r="E227" s="2">
        <v>20.0487</v>
      </c>
      <c r="F227" s="2">
        <v>2.24719E-2</v>
      </c>
      <c r="G227" s="2" t="s">
        <v>147</v>
      </c>
      <c r="H227" s="2" t="s">
        <v>433</v>
      </c>
    </row>
    <row r="228" spans="1:8" ht="15" customHeight="1" x14ac:dyDescent="0.45">
      <c r="A228" s="2" t="s">
        <v>1129</v>
      </c>
      <c r="B228" s="2" t="s">
        <v>1128</v>
      </c>
      <c r="C228" s="2">
        <v>0</v>
      </c>
      <c r="D228" s="2">
        <v>0</v>
      </c>
      <c r="E228" s="2">
        <v>0</v>
      </c>
      <c r="F228" s="2">
        <v>0</v>
      </c>
      <c r="G228" s="2" t="s">
        <v>147</v>
      </c>
      <c r="H228" s="2" t="s">
        <v>147</v>
      </c>
    </row>
    <row r="229" spans="1:8" ht="15" customHeight="1" x14ac:dyDescent="0.45">
      <c r="A229" s="2" t="s">
        <v>442</v>
      </c>
      <c r="B229" s="2" t="s">
        <v>441</v>
      </c>
      <c r="C229" s="2">
        <v>6.2534999999999993E-2</v>
      </c>
      <c r="D229" s="2">
        <v>49.311500000000002</v>
      </c>
      <c r="E229" s="2">
        <v>6.3441799999999997</v>
      </c>
      <c r="F229" s="2">
        <v>1.0584400000000001E-2</v>
      </c>
      <c r="G229" s="2" t="s">
        <v>433</v>
      </c>
      <c r="H229" s="2" t="s">
        <v>433</v>
      </c>
    </row>
    <row r="230" spans="1:8" ht="15" customHeight="1" x14ac:dyDescent="0.45">
      <c r="A230" s="2" t="s">
        <v>440</v>
      </c>
      <c r="B230" s="2" t="s">
        <v>439</v>
      </c>
      <c r="C230" s="2">
        <v>0</v>
      </c>
      <c r="D230" s="2">
        <v>0</v>
      </c>
      <c r="E230" s="2">
        <v>0</v>
      </c>
      <c r="F230" s="2">
        <v>0</v>
      </c>
      <c r="G230" s="2" t="s">
        <v>147</v>
      </c>
      <c r="H230" s="2" t="s">
        <v>147</v>
      </c>
    </row>
    <row r="231" spans="1:8" ht="15" customHeight="1" x14ac:dyDescent="0.45">
      <c r="A231" s="2" t="s">
        <v>438</v>
      </c>
      <c r="B231" s="2" t="s">
        <v>437</v>
      </c>
      <c r="C231" s="2">
        <v>0</v>
      </c>
      <c r="D231" s="2">
        <v>0</v>
      </c>
      <c r="E231" s="2">
        <v>0</v>
      </c>
      <c r="F231" s="2">
        <v>0</v>
      </c>
      <c r="G231" s="2" t="s">
        <v>147</v>
      </c>
      <c r="H231" s="2" t="s">
        <v>147</v>
      </c>
    </row>
    <row r="232" spans="1:8" ht="15" customHeight="1" x14ac:dyDescent="0.45">
      <c r="A232" s="2" t="s">
        <v>432</v>
      </c>
      <c r="B232" s="2" t="s">
        <v>436</v>
      </c>
      <c r="C232" s="2">
        <v>9.1245999999999994E-2</v>
      </c>
      <c r="D232" s="2">
        <v>9.4600500000000007</v>
      </c>
      <c r="E232" s="2">
        <v>6.8736300000000004</v>
      </c>
      <c r="F232" s="2">
        <v>1.4705299999999999E-2</v>
      </c>
      <c r="G232" s="2" t="s">
        <v>433</v>
      </c>
      <c r="H232" s="2" t="s">
        <v>433</v>
      </c>
    </row>
    <row r="233" spans="1:8" ht="15" customHeight="1" x14ac:dyDescent="0.45">
      <c r="A233" s="2" t="s">
        <v>432</v>
      </c>
      <c r="B233" s="2" t="s">
        <v>435</v>
      </c>
      <c r="C233" s="2">
        <v>0</v>
      </c>
      <c r="D233" s="2">
        <v>0</v>
      </c>
      <c r="E233" s="2">
        <v>0</v>
      </c>
      <c r="F233" s="2">
        <v>0</v>
      </c>
      <c r="G233" s="2" t="s">
        <v>433</v>
      </c>
      <c r="H233" s="2" t="s">
        <v>147</v>
      </c>
    </row>
    <row r="234" spans="1:8" ht="15" customHeight="1" x14ac:dyDescent="0.45">
      <c r="A234" s="2" t="s">
        <v>432</v>
      </c>
      <c r="B234" s="2" t="s">
        <v>434</v>
      </c>
      <c r="C234" s="2">
        <v>0.133549</v>
      </c>
      <c r="D234" s="2">
        <v>84.153599999999997</v>
      </c>
      <c r="E234" s="2">
        <v>5.2758900000000004</v>
      </c>
      <c r="F234" s="2">
        <v>6.4638799999999996E-2</v>
      </c>
      <c r="G234" s="2" t="s">
        <v>433</v>
      </c>
      <c r="H234" s="2" t="s">
        <v>433</v>
      </c>
    </row>
    <row r="235" spans="1:8" ht="15" customHeight="1" x14ac:dyDescent="0.45">
      <c r="A235" s="2" t="s">
        <v>432</v>
      </c>
      <c r="B235" s="2" t="s">
        <v>431</v>
      </c>
      <c r="C235" s="2">
        <v>0.108209</v>
      </c>
      <c r="D235" s="2">
        <v>76.772199999999998</v>
      </c>
      <c r="E235" s="2">
        <v>4.5964999999999998</v>
      </c>
      <c r="F235" s="2">
        <v>4.9079200000000003E-2</v>
      </c>
      <c r="G235" s="2" t="s">
        <v>433</v>
      </c>
      <c r="H235" s="2" t="s">
        <v>433</v>
      </c>
    </row>
    <row r="236" spans="1:8" ht="15" customHeight="1" x14ac:dyDescent="0.45">
      <c r="A236" s="2" t="s">
        <v>428</v>
      </c>
      <c r="B236" s="2" t="s">
        <v>430</v>
      </c>
      <c r="C236" s="2">
        <v>3.3735300000000003E-2</v>
      </c>
      <c r="D236" s="2">
        <v>9.8249999999999993</v>
      </c>
      <c r="E236" s="2">
        <v>2.6153200000000001</v>
      </c>
      <c r="F236" s="2">
        <v>1.0567400000000001E-4</v>
      </c>
      <c r="G236" s="2" t="s">
        <v>433</v>
      </c>
      <c r="H236" s="2" t="s">
        <v>433</v>
      </c>
    </row>
    <row r="237" spans="1:8" ht="15" customHeight="1" x14ac:dyDescent="0.45">
      <c r="A237" s="2" t="s">
        <v>428</v>
      </c>
      <c r="B237" s="2" t="s">
        <v>429</v>
      </c>
      <c r="C237" s="2">
        <v>2.0492400000000001E-2</v>
      </c>
      <c r="D237" s="2">
        <v>2.4415300000000002</v>
      </c>
      <c r="E237" s="2">
        <v>4.2726800000000003</v>
      </c>
      <c r="F237" s="2">
        <v>0</v>
      </c>
      <c r="G237" s="2" t="s">
        <v>433</v>
      </c>
      <c r="H237" s="2" t="s">
        <v>433</v>
      </c>
    </row>
    <row r="238" spans="1:8" ht="15" customHeight="1" x14ac:dyDescent="0.45">
      <c r="A238" s="2" t="s">
        <v>428</v>
      </c>
      <c r="B238" s="2" t="s">
        <v>427</v>
      </c>
      <c r="C238" s="2">
        <v>0</v>
      </c>
      <c r="D238" s="2">
        <v>0</v>
      </c>
      <c r="E238" s="2">
        <v>0</v>
      </c>
      <c r="F238" s="2">
        <v>0</v>
      </c>
      <c r="G238" s="2" t="s">
        <v>147</v>
      </c>
      <c r="H238" s="2" t="s">
        <v>147</v>
      </c>
    </row>
    <row r="239" spans="1:8" ht="15" customHeight="1" x14ac:dyDescent="0.45">
      <c r="A239" s="2" t="s">
        <v>1127</v>
      </c>
      <c r="B239" s="2" t="s">
        <v>1126</v>
      </c>
      <c r="C239" s="2">
        <v>0</v>
      </c>
      <c r="D239" s="2">
        <v>0</v>
      </c>
      <c r="E239" s="2">
        <v>0</v>
      </c>
      <c r="F239" s="2">
        <v>0</v>
      </c>
      <c r="G239" s="2" t="s">
        <v>147</v>
      </c>
      <c r="H239" s="2" t="s">
        <v>147</v>
      </c>
    </row>
    <row r="240" spans="1:8" ht="15" customHeight="1" x14ac:dyDescent="0.45">
      <c r="A240" s="2" t="s">
        <v>94</v>
      </c>
      <c r="B240" s="2" t="s">
        <v>95</v>
      </c>
      <c r="C240" s="2">
        <v>0</v>
      </c>
      <c r="D240" s="2">
        <v>0</v>
      </c>
      <c r="E240" s="2">
        <v>0</v>
      </c>
      <c r="F240" s="2">
        <v>0</v>
      </c>
      <c r="G240" s="2" t="s">
        <v>147</v>
      </c>
      <c r="H240" s="2" t="s">
        <v>147</v>
      </c>
    </row>
    <row r="241" spans="1:8" ht="15" customHeight="1" x14ac:dyDescent="0.45">
      <c r="A241" s="2" t="s">
        <v>94</v>
      </c>
      <c r="B241" s="2" t="s">
        <v>98</v>
      </c>
      <c r="C241" s="2">
        <v>0</v>
      </c>
      <c r="D241" s="2">
        <v>0</v>
      </c>
      <c r="E241" s="2">
        <v>0</v>
      </c>
      <c r="F241" s="2">
        <v>0</v>
      </c>
      <c r="G241" s="2" t="s">
        <v>147</v>
      </c>
      <c r="H241" s="2" t="s">
        <v>147</v>
      </c>
    </row>
    <row r="242" spans="1:8" ht="15" customHeight="1" x14ac:dyDescent="0.45">
      <c r="A242" s="2" t="s">
        <v>94</v>
      </c>
      <c r="B242" s="2" t="s">
        <v>100</v>
      </c>
      <c r="C242" s="2">
        <v>0</v>
      </c>
      <c r="D242" s="2">
        <v>0</v>
      </c>
      <c r="E242" s="2">
        <v>0</v>
      </c>
      <c r="F242" s="2">
        <v>0</v>
      </c>
      <c r="G242" s="2" t="s">
        <v>147</v>
      </c>
      <c r="H242" s="2" t="s">
        <v>147</v>
      </c>
    </row>
    <row r="243" spans="1:8" ht="15" customHeight="1" x14ac:dyDescent="0.45">
      <c r="A243" s="2" t="s">
        <v>94</v>
      </c>
      <c r="B243" s="2" t="s">
        <v>102</v>
      </c>
      <c r="C243" s="2">
        <v>0</v>
      </c>
      <c r="D243" s="2">
        <v>0</v>
      </c>
      <c r="E243" s="2">
        <v>0</v>
      </c>
      <c r="F243" s="2">
        <v>0</v>
      </c>
      <c r="G243" s="2" t="s">
        <v>147</v>
      </c>
      <c r="H243" s="2" t="s">
        <v>147</v>
      </c>
    </row>
    <row r="244" spans="1:8" ht="15" customHeight="1" x14ac:dyDescent="0.45">
      <c r="A244" s="2" t="s">
        <v>94</v>
      </c>
      <c r="B244" s="2" t="s">
        <v>104</v>
      </c>
      <c r="C244" s="2">
        <v>0</v>
      </c>
      <c r="D244" s="2">
        <v>0</v>
      </c>
      <c r="E244" s="2">
        <v>0</v>
      </c>
      <c r="F244" s="2">
        <v>0</v>
      </c>
      <c r="G244" s="2" t="s">
        <v>147</v>
      </c>
      <c r="H244" s="2" t="s">
        <v>147</v>
      </c>
    </row>
    <row r="245" spans="1:8" ht="15" customHeight="1" x14ac:dyDescent="0.45">
      <c r="A245" s="2" t="s">
        <v>94</v>
      </c>
      <c r="B245" s="2" t="s">
        <v>106</v>
      </c>
      <c r="C245" s="2">
        <v>0</v>
      </c>
      <c r="D245" s="2">
        <v>0</v>
      </c>
      <c r="E245" s="2">
        <v>0</v>
      </c>
      <c r="F245" s="2">
        <v>0</v>
      </c>
      <c r="G245" s="2" t="s">
        <v>147</v>
      </c>
      <c r="H245" s="2" t="s">
        <v>147</v>
      </c>
    </row>
    <row r="246" spans="1:8" ht="15" customHeight="1" x14ac:dyDescent="0.45">
      <c r="A246" s="2" t="s">
        <v>94</v>
      </c>
      <c r="B246" s="2" t="s">
        <v>108</v>
      </c>
      <c r="C246" s="2">
        <v>0</v>
      </c>
      <c r="D246" s="2">
        <v>0</v>
      </c>
      <c r="E246" s="2">
        <v>0</v>
      </c>
      <c r="F246" s="2">
        <v>0</v>
      </c>
      <c r="G246" s="2" t="s">
        <v>147</v>
      </c>
      <c r="H246" s="2" t="s">
        <v>147</v>
      </c>
    </row>
    <row r="247" spans="1:8" ht="15" customHeight="1" x14ac:dyDescent="0.45">
      <c r="A247" s="2" t="s">
        <v>94</v>
      </c>
      <c r="B247" s="2" t="s">
        <v>110</v>
      </c>
      <c r="C247" s="2">
        <v>0</v>
      </c>
      <c r="D247" s="2">
        <v>0</v>
      </c>
      <c r="E247" s="2">
        <v>0</v>
      </c>
      <c r="F247" s="2">
        <v>0</v>
      </c>
      <c r="G247" s="2" t="s">
        <v>147</v>
      </c>
      <c r="H247" s="2" t="s">
        <v>147</v>
      </c>
    </row>
    <row r="248" spans="1:8" ht="15" customHeight="1" x14ac:dyDescent="0.45">
      <c r="A248" s="2" t="s">
        <v>418</v>
      </c>
      <c r="B248" s="2" t="s">
        <v>426</v>
      </c>
      <c r="C248" s="2">
        <v>0.17263700000000001</v>
      </c>
      <c r="D248" s="2">
        <v>8.2536699999999996</v>
      </c>
      <c r="E248" s="2">
        <v>17.072700000000001</v>
      </c>
      <c r="F248" s="2">
        <v>1.0434799999999999E-2</v>
      </c>
      <c r="G248" s="2" t="s">
        <v>433</v>
      </c>
      <c r="H248" s="2" t="s">
        <v>433</v>
      </c>
    </row>
    <row r="249" spans="1:8" ht="15" customHeight="1" x14ac:dyDescent="0.45">
      <c r="A249" s="2" t="s">
        <v>418</v>
      </c>
      <c r="B249" s="2" t="s">
        <v>424</v>
      </c>
      <c r="C249" s="2">
        <v>0.125111</v>
      </c>
      <c r="D249" s="2">
        <v>14.9278</v>
      </c>
      <c r="E249" s="2">
        <v>10.311999999999999</v>
      </c>
      <c r="F249" s="2">
        <v>3.3354599999999998E-2</v>
      </c>
      <c r="G249" s="2" t="s">
        <v>433</v>
      </c>
      <c r="H249" s="2" t="s">
        <v>433</v>
      </c>
    </row>
    <row r="250" spans="1:8" ht="15" customHeight="1" x14ac:dyDescent="0.45">
      <c r="A250" s="2" t="s">
        <v>418</v>
      </c>
      <c r="B250" s="2" t="s">
        <v>423</v>
      </c>
      <c r="C250" s="2">
        <v>9.6100599999999994E-2</v>
      </c>
      <c r="D250" s="2">
        <v>14.7425</v>
      </c>
      <c r="E250" s="2">
        <v>10.179600000000001</v>
      </c>
      <c r="F250" s="2">
        <v>2.5053300000000001E-2</v>
      </c>
      <c r="G250" s="2" t="s">
        <v>433</v>
      </c>
      <c r="H250" s="2" t="s">
        <v>433</v>
      </c>
    </row>
    <row r="251" spans="1:8" ht="15" customHeight="1" x14ac:dyDescent="0.45">
      <c r="A251" s="2" t="s">
        <v>418</v>
      </c>
      <c r="B251" s="2" t="s">
        <v>422</v>
      </c>
      <c r="C251" s="2">
        <v>0.15668899999999999</v>
      </c>
      <c r="D251" s="2">
        <v>5.5427999999999997</v>
      </c>
      <c r="E251" s="2">
        <v>19.399799999999999</v>
      </c>
      <c r="F251" s="2">
        <v>0</v>
      </c>
      <c r="G251" s="2" t="s">
        <v>433</v>
      </c>
      <c r="H251" s="2" t="s">
        <v>433</v>
      </c>
    </row>
    <row r="252" spans="1:8" ht="15" customHeight="1" x14ac:dyDescent="0.45">
      <c r="A252" s="2" t="s">
        <v>418</v>
      </c>
      <c r="B252" s="2" t="s">
        <v>1181</v>
      </c>
      <c r="C252" s="2">
        <v>0.26840599999999998</v>
      </c>
      <c r="D252" s="2">
        <v>9.3427399999999992</v>
      </c>
      <c r="E252" s="2">
        <v>18.488</v>
      </c>
      <c r="F252" s="2">
        <v>1.0999999999999999E-2</v>
      </c>
      <c r="G252" s="2" t="s">
        <v>433</v>
      </c>
      <c r="H252" s="2" t="s">
        <v>433</v>
      </c>
    </row>
    <row r="253" spans="1:8" ht="15" customHeight="1" x14ac:dyDescent="0.45">
      <c r="A253" s="2" t="s">
        <v>418</v>
      </c>
      <c r="B253" s="2" t="s">
        <v>97</v>
      </c>
      <c r="C253" s="2">
        <v>6.0981300000000002E-2</v>
      </c>
      <c r="D253" s="2">
        <v>5.3272000000000004</v>
      </c>
      <c r="E253" s="2">
        <v>8.4749300000000005</v>
      </c>
      <c r="F253" s="2">
        <v>1.5451499999999999E-3</v>
      </c>
      <c r="G253" s="2" t="s">
        <v>433</v>
      </c>
      <c r="H253" s="2" t="s">
        <v>433</v>
      </c>
    </row>
    <row r="254" spans="1:8" ht="15" customHeight="1" x14ac:dyDescent="0.45">
      <c r="A254" s="2" t="s">
        <v>418</v>
      </c>
      <c r="B254" s="2" t="s">
        <v>99</v>
      </c>
      <c r="C254" s="2">
        <v>0.31016500000000002</v>
      </c>
      <c r="D254" s="2">
        <v>89.426900000000003</v>
      </c>
      <c r="E254" s="2">
        <v>16.3169</v>
      </c>
      <c r="F254" s="2">
        <v>1.4800900000000001E-2</v>
      </c>
      <c r="G254" s="2" t="s">
        <v>433</v>
      </c>
      <c r="H254" s="2" t="s">
        <v>433</v>
      </c>
    </row>
    <row r="255" spans="1:8" ht="15" customHeight="1" x14ac:dyDescent="0.45">
      <c r="A255" s="2" t="s">
        <v>418</v>
      </c>
      <c r="B255" s="2" t="s">
        <v>421</v>
      </c>
      <c r="C255" s="2">
        <v>0.168715</v>
      </c>
      <c r="D255" s="2">
        <v>7.6417000000000002</v>
      </c>
      <c r="E255" s="2">
        <v>17.7896</v>
      </c>
      <c r="F255" s="2">
        <v>7.62045E-3</v>
      </c>
      <c r="G255" s="2" t="s">
        <v>433</v>
      </c>
      <c r="H255" s="2" t="s">
        <v>433</v>
      </c>
    </row>
    <row r="256" spans="1:8" ht="15" customHeight="1" x14ac:dyDescent="0.45">
      <c r="A256" s="2" t="s">
        <v>418</v>
      </c>
      <c r="B256" s="2" t="s">
        <v>101</v>
      </c>
      <c r="C256" s="2">
        <v>0.157911</v>
      </c>
      <c r="D256" s="2">
        <v>5.8852200000000003</v>
      </c>
      <c r="E256" s="2">
        <v>17.756599999999999</v>
      </c>
      <c r="F256" s="2">
        <v>2.4224400000000001E-3</v>
      </c>
      <c r="G256" s="2" t="s">
        <v>433</v>
      </c>
      <c r="H256" s="2" t="s">
        <v>433</v>
      </c>
    </row>
    <row r="257" spans="1:8" ht="15" customHeight="1" x14ac:dyDescent="0.45">
      <c r="A257" s="2" t="s">
        <v>418</v>
      </c>
      <c r="B257" s="2" t="s">
        <v>103</v>
      </c>
      <c r="C257" s="2">
        <v>7.8527E-2</v>
      </c>
      <c r="D257" s="2">
        <v>5.8212799999999998</v>
      </c>
      <c r="E257" s="2">
        <v>9.8939299999999992</v>
      </c>
      <c r="F257" s="2">
        <v>3.1779199999999999E-3</v>
      </c>
      <c r="G257" s="2" t="s">
        <v>433</v>
      </c>
      <c r="H257" s="2" t="s">
        <v>433</v>
      </c>
    </row>
    <row r="258" spans="1:8" ht="15" customHeight="1" x14ac:dyDescent="0.45">
      <c r="A258" s="2" t="s">
        <v>418</v>
      </c>
      <c r="B258" s="2" t="s">
        <v>105</v>
      </c>
      <c r="C258" s="2">
        <v>0.138906</v>
      </c>
      <c r="D258" s="2">
        <v>5.0284500000000003</v>
      </c>
      <c r="E258" s="2">
        <v>14.5204</v>
      </c>
      <c r="F258" s="2">
        <v>1.77571E-3</v>
      </c>
      <c r="G258" s="2" t="s">
        <v>433</v>
      </c>
      <c r="H258" s="2" t="s">
        <v>433</v>
      </c>
    </row>
    <row r="259" spans="1:8" ht="15" customHeight="1" x14ac:dyDescent="0.45">
      <c r="A259" s="2" t="s">
        <v>418</v>
      </c>
      <c r="B259" s="2" t="s">
        <v>1183</v>
      </c>
      <c r="C259" s="2">
        <v>0.249417</v>
      </c>
      <c r="D259" s="2">
        <v>21.462</v>
      </c>
      <c r="E259" s="2">
        <v>20.4222</v>
      </c>
      <c r="F259" s="2">
        <v>4.1049200000000001E-2</v>
      </c>
      <c r="G259" s="2" t="s">
        <v>433</v>
      </c>
      <c r="H259" s="2" t="s">
        <v>433</v>
      </c>
    </row>
    <row r="260" spans="1:8" ht="15" customHeight="1" x14ac:dyDescent="0.45">
      <c r="A260" s="2" t="s">
        <v>418</v>
      </c>
      <c r="B260" s="2" t="s">
        <v>107</v>
      </c>
      <c r="C260" s="2">
        <v>0.14821400000000001</v>
      </c>
      <c r="D260" s="2">
        <v>24.300799999999999</v>
      </c>
      <c r="E260" s="2">
        <v>12.1059</v>
      </c>
      <c r="F260" s="2">
        <v>5.6894500000000001E-2</v>
      </c>
      <c r="G260" s="2" t="s">
        <v>147</v>
      </c>
      <c r="H260" s="2" t="s">
        <v>433</v>
      </c>
    </row>
    <row r="261" spans="1:8" ht="15" customHeight="1" x14ac:dyDescent="0.45">
      <c r="A261" s="2" t="s">
        <v>418</v>
      </c>
      <c r="B261" s="2" t="s">
        <v>420</v>
      </c>
      <c r="C261" s="2">
        <v>9.4445799999999996E-2</v>
      </c>
      <c r="D261" s="2">
        <v>7.91561</v>
      </c>
      <c r="E261" s="2">
        <v>6.7168799999999997</v>
      </c>
      <c r="F261" s="2">
        <v>1.64516E-2</v>
      </c>
      <c r="G261" s="2" t="s">
        <v>433</v>
      </c>
      <c r="H261" s="2" t="s">
        <v>433</v>
      </c>
    </row>
    <row r="262" spans="1:8" ht="15" customHeight="1" x14ac:dyDescent="0.45">
      <c r="A262" s="2" t="s">
        <v>418</v>
      </c>
      <c r="B262" s="2" t="s">
        <v>419</v>
      </c>
      <c r="C262" s="2">
        <v>0.14341200000000001</v>
      </c>
      <c r="D262" s="2">
        <v>21.938500000000001</v>
      </c>
      <c r="E262" s="2">
        <v>11.989800000000001</v>
      </c>
      <c r="F262" s="2">
        <v>3.6564600000000003E-2</v>
      </c>
      <c r="G262" s="2" t="s">
        <v>433</v>
      </c>
      <c r="H262" s="2" t="s">
        <v>433</v>
      </c>
    </row>
    <row r="263" spans="1:8" ht="15" customHeight="1" x14ac:dyDescent="0.45">
      <c r="A263" s="2" t="s">
        <v>418</v>
      </c>
      <c r="B263" s="2" t="s">
        <v>109</v>
      </c>
      <c r="C263" s="2">
        <v>0.17988899999999999</v>
      </c>
      <c r="D263" s="2">
        <v>12.503299999999999</v>
      </c>
      <c r="E263" s="2">
        <v>17.005600000000001</v>
      </c>
      <c r="F263" s="2">
        <v>2.40374E-2</v>
      </c>
      <c r="G263" s="2" t="s">
        <v>147</v>
      </c>
      <c r="H263" s="2" t="s">
        <v>433</v>
      </c>
    </row>
    <row r="264" spans="1:8" ht="15" customHeight="1" x14ac:dyDescent="0.45">
      <c r="A264" s="2" t="s">
        <v>416</v>
      </c>
      <c r="B264" s="2" t="s">
        <v>417</v>
      </c>
      <c r="C264" s="2">
        <v>0.109096</v>
      </c>
      <c r="D264" s="2">
        <v>13.270099999999999</v>
      </c>
      <c r="E264" s="2">
        <v>10.0556</v>
      </c>
      <c r="F264" s="2">
        <v>7.1598199999999999E-3</v>
      </c>
      <c r="G264" s="2" t="s">
        <v>433</v>
      </c>
      <c r="H264" s="2" t="s">
        <v>433</v>
      </c>
    </row>
    <row r="265" spans="1:8" ht="15" customHeight="1" x14ac:dyDescent="0.45">
      <c r="A265" s="2" t="s">
        <v>416</v>
      </c>
      <c r="B265" s="2" t="s">
        <v>415</v>
      </c>
      <c r="C265" s="2">
        <v>0.116586</v>
      </c>
      <c r="D265" s="2">
        <v>15.273300000000001</v>
      </c>
      <c r="E265" s="2">
        <v>9.7674199999999995</v>
      </c>
      <c r="F265" s="2">
        <v>1.35269E-2</v>
      </c>
      <c r="G265" s="2" t="s">
        <v>433</v>
      </c>
      <c r="H265" s="2" t="s">
        <v>433</v>
      </c>
    </row>
    <row r="266" spans="1:8" ht="15" customHeight="1" x14ac:dyDescent="0.45">
      <c r="A266" s="2" t="s">
        <v>413</v>
      </c>
      <c r="B266" s="2" t="s">
        <v>414</v>
      </c>
      <c r="C266" s="2">
        <v>0.14789099999999999</v>
      </c>
      <c r="D266" s="2">
        <v>23.072600000000001</v>
      </c>
      <c r="E266" s="2">
        <v>9.9638299999999997</v>
      </c>
      <c r="F266" s="2">
        <v>3.5807199999999997E-2</v>
      </c>
      <c r="G266" s="2" t="s">
        <v>433</v>
      </c>
      <c r="H266" s="2" t="s">
        <v>433</v>
      </c>
    </row>
    <row r="267" spans="1:8" ht="15" customHeight="1" x14ac:dyDescent="0.45">
      <c r="A267" s="2" t="s">
        <v>413</v>
      </c>
      <c r="B267" s="2" t="s">
        <v>412</v>
      </c>
      <c r="C267" s="2">
        <v>0.13358600000000001</v>
      </c>
      <c r="D267" s="2">
        <v>16.720700000000001</v>
      </c>
      <c r="E267" s="2">
        <v>5.6951400000000003</v>
      </c>
      <c r="F267" s="2">
        <v>2.0570000000000001E-2</v>
      </c>
      <c r="G267" s="2" t="s">
        <v>433</v>
      </c>
      <c r="H267" s="2" t="s">
        <v>433</v>
      </c>
    </row>
    <row r="268" spans="1:8" ht="15" customHeight="1" x14ac:dyDescent="0.45">
      <c r="A268" s="2" t="s">
        <v>411</v>
      </c>
      <c r="B268" s="2" t="s">
        <v>410</v>
      </c>
      <c r="C268" s="2">
        <v>0.203902</v>
      </c>
      <c r="D268" s="2">
        <v>36.447099999999999</v>
      </c>
      <c r="E268" s="2">
        <v>10.223800000000001</v>
      </c>
      <c r="F268" s="2">
        <v>8.04343E-2</v>
      </c>
      <c r="G268" s="2" t="s">
        <v>147</v>
      </c>
      <c r="H268" s="2" t="s">
        <v>433</v>
      </c>
    </row>
    <row r="269" spans="1:8" ht="15" customHeight="1" x14ac:dyDescent="0.45">
      <c r="A269" s="2" t="s">
        <v>111</v>
      </c>
      <c r="B269" s="2" t="s">
        <v>409</v>
      </c>
      <c r="C269" s="2">
        <v>0.33292500000000003</v>
      </c>
      <c r="D269" s="2">
        <v>1.2020599999999999</v>
      </c>
      <c r="E269" s="2">
        <v>2.33745</v>
      </c>
      <c r="F269" s="2">
        <v>1.84987E-3</v>
      </c>
      <c r="G269" s="2" t="s">
        <v>147</v>
      </c>
      <c r="H269" s="2" t="s">
        <v>433</v>
      </c>
    </row>
    <row r="270" spans="1:8" ht="15" customHeight="1" x14ac:dyDescent="0.45">
      <c r="A270" s="2" t="s">
        <v>406</v>
      </c>
      <c r="B270" s="2" t="s">
        <v>408</v>
      </c>
      <c r="C270" s="2">
        <v>0.119855</v>
      </c>
      <c r="D270" s="2">
        <v>3.2405499999999998</v>
      </c>
      <c r="E270" s="2">
        <v>11.0122</v>
      </c>
      <c r="F270" s="2">
        <v>2.90444E-4</v>
      </c>
      <c r="G270" s="2" t="s">
        <v>433</v>
      </c>
      <c r="H270" s="2" t="s">
        <v>433</v>
      </c>
    </row>
    <row r="271" spans="1:8" ht="15" customHeight="1" x14ac:dyDescent="0.45">
      <c r="A271" s="2" t="s">
        <v>406</v>
      </c>
      <c r="B271" s="2" t="s">
        <v>407</v>
      </c>
      <c r="C271" s="2">
        <v>8.5508200000000006E-2</v>
      </c>
      <c r="D271" s="2">
        <v>4.1139299999999999</v>
      </c>
      <c r="E271" s="2">
        <v>7.0422399999999996</v>
      </c>
      <c r="F271" s="2">
        <v>2.7094700000000001E-4</v>
      </c>
      <c r="G271" s="2" t="s">
        <v>433</v>
      </c>
      <c r="H271" s="2" t="s">
        <v>433</v>
      </c>
    </row>
    <row r="272" spans="1:8" ht="15" customHeight="1" x14ac:dyDescent="0.45">
      <c r="A272" s="2" t="s">
        <v>406</v>
      </c>
      <c r="B272" s="2" t="s">
        <v>405</v>
      </c>
      <c r="C272" s="2">
        <v>0.111107</v>
      </c>
      <c r="D272" s="2">
        <v>14.5943</v>
      </c>
      <c r="E272" s="2">
        <v>9.0793599999999994</v>
      </c>
      <c r="F272" s="2">
        <v>2.56557E-2</v>
      </c>
      <c r="G272" s="2" t="s">
        <v>433</v>
      </c>
      <c r="H272" s="2" t="s">
        <v>433</v>
      </c>
    </row>
    <row r="273" spans="1:8" ht="15" customHeight="1" x14ac:dyDescent="0.45">
      <c r="A273" s="2" t="s">
        <v>404</v>
      </c>
      <c r="B273" s="2" t="s">
        <v>403</v>
      </c>
      <c r="C273" s="2">
        <v>8.9407E-2</v>
      </c>
      <c r="D273" s="2">
        <v>5.7788899999999996</v>
      </c>
      <c r="E273" s="2">
        <v>11.2563</v>
      </c>
      <c r="F273" s="2">
        <v>0</v>
      </c>
      <c r="G273" s="2" t="s">
        <v>147</v>
      </c>
      <c r="H273" s="2" t="s">
        <v>433</v>
      </c>
    </row>
    <row r="274" spans="1:8" ht="15" customHeight="1" x14ac:dyDescent="0.45">
      <c r="A274" s="2" t="s">
        <v>402</v>
      </c>
      <c r="B274" s="2" t="s">
        <v>401</v>
      </c>
      <c r="C274" s="2">
        <v>0.14930499999999999</v>
      </c>
      <c r="D274" s="2">
        <v>141.976</v>
      </c>
      <c r="E274" s="2">
        <v>6.1639200000000001</v>
      </c>
      <c r="F274" s="2">
        <v>2.2276799999999999E-2</v>
      </c>
      <c r="G274" s="2" t="s">
        <v>433</v>
      </c>
      <c r="H274" s="2" t="s">
        <v>433</v>
      </c>
    </row>
    <row r="275" spans="1:8" ht="15" customHeight="1" x14ac:dyDescent="0.45">
      <c r="A275" s="2" t="s">
        <v>398</v>
      </c>
      <c r="B275" s="2" t="s">
        <v>400</v>
      </c>
      <c r="C275" s="2">
        <v>0.227575</v>
      </c>
      <c r="D275" s="2">
        <v>18.79</v>
      </c>
      <c r="E275" s="2">
        <v>20.537500000000001</v>
      </c>
      <c r="F275" s="2">
        <v>3.3890999999999998E-2</v>
      </c>
      <c r="G275" s="2" t="s">
        <v>433</v>
      </c>
      <c r="H275" s="2" t="s">
        <v>433</v>
      </c>
    </row>
    <row r="276" spans="1:8" ht="15" customHeight="1" x14ac:dyDescent="0.45">
      <c r="A276" s="2" t="s">
        <v>398</v>
      </c>
      <c r="B276" s="2" t="s">
        <v>399</v>
      </c>
      <c r="C276" s="2">
        <v>0.112231</v>
      </c>
      <c r="D276" s="2">
        <v>15.6012</v>
      </c>
      <c r="E276" s="2">
        <v>9.9162199999999991</v>
      </c>
      <c r="F276" s="2">
        <v>2.5792300000000001E-2</v>
      </c>
      <c r="G276" s="2" t="s">
        <v>433</v>
      </c>
      <c r="H276" s="2" t="s">
        <v>433</v>
      </c>
    </row>
    <row r="277" spans="1:8" ht="15" customHeight="1" x14ac:dyDescent="0.45">
      <c r="A277" s="2" t="s">
        <v>398</v>
      </c>
      <c r="B277" s="2" t="s">
        <v>397</v>
      </c>
      <c r="C277" s="2">
        <v>0.100596</v>
      </c>
      <c r="D277" s="2">
        <v>14.1218</v>
      </c>
      <c r="E277" s="2">
        <v>6.7162800000000002</v>
      </c>
      <c r="F277" s="2">
        <v>3.6135899999999999E-2</v>
      </c>
      <c r="G277" s="2" t="s">
        <v>433</v>
      </c>
      <c r="H277" s="2" t="s">
        <v>433</v>
      </c>
    </row>
    <row r="278" spans="1:8" ht="15" customHeight="1" x14ac:dyDescent="0.45">
      <c r="A278" s="2" t="s">
        <v>396</v>
      </c>
      <c r="B278" s="2" t="s">
        <v>395</v>
      </c>
      <c r="C278" s="2">
        <v>0.109304</v>
      </c>
      <c r="D278" s="2">
        <v>12.7059</v>
      </c>
      <c r="E278" s="2">
        <v>10.337400000000001</v>
      </c>
      <c r="F278" s="2">
        <v>1.95514E-2</v>
      </c>
      <c r="G278" s="2" t="s">
        <v>433</v>
      </c>
      <c r="H278" s="2" t="s">
        <v>433</v>
      </c>
    </row>
    <row r="279" spans="1:8" ht="15" customHeight="1" x14ac:dyDescent="0.45">
      <c r="A279" s="2" t="s">
        <v>393</v>
      </c>
      <c r="B279" s="2" t="s">
        <v>394</v>
      </c>
      <c r="C279" s="2">
        <v>0</v>
      </c>
      <c r="D279" s="2">
        <v>0</v>
      </c>
      <c r="E279" s="2">
        <v>0</v>
      </c>
      <c r="F279" s="2">
        <v>0</v>
      </c>
      <c r="G279" s="2" t="s">
        <v>147</v>
      </c>
      <c r="H279" s="2" t="s">
        <v>147</v>
      </c>
    </row>
    <row r="280" spans="1:8" ht="15" customHeight="1" x14ac:dyDescent="0.45">
      <c r="A280" s="2" t="s">
        <v>393</v>
      </c>
      <c r="B280" s="2" t="s">
        <v>392</v>
      </c>
      <c r="C280" s="2">
        <v>0</v>
      </c>
      <c r="D280" s="2">
        <v>0</v>
      </c>
      <c r="E280" s="2">
        <v>0</v>
      </c>
      <c r="F280" s="2">
        <v>0</v>
      </c>
      <c r="G280" s="2" t="s">
        <v>147</v>
      </c>
      <c r="H280" s="2" t="s">
        <v>147</v>
      </c>
    </row>
    <row r="281" spans="1:8" ht="15" customHeight="1" x14ac:dyDescent="0.45">
      <c r="A281" s="2" t="s">
        <v>391</v>
      </c>
      <c r="B281" s="2" t="s">
        <v>390</v>
      </c>
      <c r="C281" s="2">
        <v>8.2848199999999997E-2</v>
      </c>
      <c r="D281" s="2">
        <v>4.6421599999999996</v>
      </c>
      <c r="E281" s="2">
        <v>6.7529300000000001</v>
      </c>
      <c r="F281" s="2">
        <v>2.9397899999999999E-3</v>
      </c>
      <c r="G281" s="2" t="s">
        <v>433</v>
      </c>
      <c r="H281" s="2" t="s">
        <v>433</v>
      </c>
    </row>
    <row r="282" spans="1:8" ht="15" customHeight="1" x14ac:dyDescent="0.45">
      <c r="A282" s="2" t="s">
        <v>389</v>
      </c>
      <c r="B282" s="2" t="s">
        <v>388</v>
      </c>
      <c r="C282" s="2">
        <v>6.62132E-2</v>
      </c>
      <c r="D282" s="2">
        <v>7.5754799999999998</v>
      </c>
      <c r="E282" s="2">
        <v>4.2255299999999999E-3</v>
      </c>
      <c r="F282" s="2">
        <v>8.6948900000000003E-3</v>
      </c>
      <c r="G282" s="2" t="s">
        <v>147</v>
      </c>
      <c r="H282" s="2" t="s">
        <v>433</v>
      </c>
    </row>
    <row r="283" spans="1:8" ht="15" customHeight="1" x14ac:dyDescent="0.45">
      <c r="A283" s="2" t="s">
        <v>387</v>
      </c>
      <c r="B283" s="2" t="s">
        <v>114</v>
      </c>
      <c r="C283" s="2">
        <v>0.130222</v>
      </c>
      <c r="D283" s="2">
        <v>20.245999999999999</v>
      </c>
      <c r="E283" s="2">
        <v>11.623699999999999</v>
      </c>
      <c r="F283" s="2">
        <v>3.66866E-2</v>
      </c>
      <c r="G283" s="2" t="s">
        <v>147</v>
      </c>
      <c r="H283" s="2" t="s">
        <v>433</v>
      </c>
    </row>
    <row r="284" spans="1:8" ht="15" customHeight="1" x14ac:dyDescent="0.45">
      <c r="A284" s="2" t="s">
        <v>113</v>
      </c>
      <c r="B284" s="2" t="s">
        <v>115</v>
      </c>
      <c r="C284" s="2">
        <v>0</v>
      </c>
      <c r="D284" s="2">
        <v>0</v>
      </c>
      <c r="E284" s="2">
        <v>0</v>
      </c>
      <c r="F284" s="2">
        <v>0</v>
      </c>
      <c r="G284" s="2" t="s">
        <v>147</v>
      </c>
      <c r="H284" s="2" t="s">
        <v>147</v>
      </c>
    </row>
    <row r="285" spans="1:8" ht="15" customHeight="1" x14ac:dyDescent="0.45">
      <c r="A285" s="2" t="s">
        <v>386</v>
      </c>
      <c r="B285" s="2" t="s">
        <v>385</v>
      </c>
      <c r="C285" s="2">
        <v>0.22595699999999999</v>
      </c>
      <c r="D285" s="2">
        <v>70.765000000000001</v>
      </c>
      <c r="E285" s="2">
        <v>8.4270099999999992</v>
      </c>
      <c r="F285" s="2">
        <v>0.115</v>
      </c>
      <c r="G285" s="2" t="s">
        <v>433</v>
      </c>
      <c r="H285" s="2" t="s">
        <v>433</v>
      </c>
    </row>
    <row r="286" spans="1:8" ht="15" customHeight="1" x14ac:dyDescent="0.45">
      <c r="A286" s="2" t="s">
        <v>4</v>
      </c>
      <c r="B286" s="2" t="s">
        <v>383</v>
      </c>
      <c r="C286" s="2">
        <v>0</v>
      </c>
      <c r="D286" s="2">
        <v>0</v>
      </c>
      <c r="E286" s="2">
        <v>0</v>
      </c>
      <c r="F286" s="2">
        <v>0</v>
      </c>
      <c r="G286" s="2" t="s">
        <v>147</v>
      </c>
      <c r="H286" s="2" t="s">
        <v>147</v>
      </c>
    </row>
    <row r="287" spans="1:8" ht="15" customHeight="1" x14ac:dyDescent="0.45">
      <c r="A287" s="2" t="s">
        <v>4</v>
      </c>
      <c r="B287" s="2" t="s">
        <v>382</v>
      </c>
      <c r="C287" s="2">
        <v>0</v>
      </c>
      <c r="D287" s="2">
        <v>0</v>
      </c>
      <c r="E287" s="2">
        <v>0</v>
      </c>
      <c r="F287" s="2">
        <v>0</v>
      </c>
      <c r="G287" s="2" t="s">
        <v>147</v>
      </c>
      <c r="H287" s="2" t="s">
        <v>147</v>
      </c>
    </row>
    <row r="288" spans="1:8" ht="15" customHeight="1" x14ac:dyDescent="0.45">
      <c r="A288" s="2" t="s">
        <v>4</v>
      </c>
      <c r="B288" s="2" t="s">
        <v>116</v>
      </c>
      <c r="C288" s="2">
        <v>0</v>
      </c>
      <c r="D288" s="2">
        <v>0</v>
      </c>
      <c r="E288" s="2">
        <v>0</v>
      </c>
      <c r="F288" s="2">
        <v>0</v>
      </c>
      <c r="G288" s="2" t="s">
        <v>147</v>
      </c>
      <c r="H288" s="2" t="s">
        <v>147</v>
      </c>
    </row>
    <row r="289" spans="1:8" ht="15" customHeight="1" x14ac:dyDescent="0.45">
      <c r="A289" s="2" t="s">
        <v>381</v>
      </c>
      <c r="B289" s="2" t="s">
        <v>380</v>
      </c>
      <c r="C289" s="2">
        <v>3.57969E-2</v>
      </c>
      <c r="D289" s="2">
        <v>4.5208000000000004</v>
      </c>
      <c r="E289" s="2">
        <v>7.7122900000000003</v>
      </c>
      <c r="F289" s="2">
        <v>3.3604400000000002E-4</v>
      </c>
      <c r="G289" s="2" t="s">
        <v>433</v>
      </c>
      <c r="H289" s="2" t="s">
        <v>433</v>
      </c>
    </row>
    <row r="290" spans="1:8" ht="15" customHeight="1" x14ac:dyDescent="0.45">
      <c r="A290" s="2" t="s">
        <v>376</v>
      </c>
      <c r="B290" s="2" t="s">
        <v>379</v>
      </c>
      <c r="C290" s="2">
        <v>0.24321899999999999</v>
      </c>
      <c r="D290" s="2">
        <v>5.5559099999999999</v>
      </c>
      <c r="E290" s="2">
        <v>17.250800000000002</v>
      </c>
      <c r="F290" s="2">
        <v>1.8061399999999999E-3</v>
      </c>
      <c r="G290" s="2" t="s">
        <v>433</v>
      </c>
      <c r="H290" s="2" t="s">
        <v>433</v>
      </c>
    </row>
    <row r="291" spans="1:8" ht="15" customHeight="1" x14ac:dyDescent="0.45">
      <c r="A291" s="2" t="s">
        <v>376</v>
      </c>
      <c r="B291" s="2" t="s">
        <v>378</v>
      </c>
      <c r="C291" s="2">
        <v>2.5564199999999999E-2</v>
      </c>
      <c r="D291" s="2">
        <v>4.1406000000000001</v>
      </c>
      <c r="E291" s="2">
        <v>0.33623900000000001</v>
      </c>
      <c r="F291" s="2">
        <v>1.2781499999999999E-2</v>
      </c>
      <c r="G291" s="2" t="s">
        <v>433</v>
      </c>
      <c r="H291" s="2" t="s">
        <v>433</v>
      </c>
    </row>
    <row r="292" spans="1:8" ht="15" customHeight="1" x14ac:dyDescent="0.45">
      <c r="A292" s="2" t="s">
        <v>376</v>
      </c>
      <c r="B292" s="2" t="s">
        <v>377</v>
      </c>
      <c r="C292" s="2">
        <v>7.3670100000000002E-2</v>
      </c>
      <c r="D292" s="2">
        <v>5.4226799999999997</v>
      </c>
      <c r="E292" s="2">
        <v>9.4896700000000003</v>
      </c>
      <c r="F292" s="2">
        <v>0</v>
      </c>
      <c r="G292" s="2" t="s">
        <v>433</v>
      </c>
      <c r="H292" s="2" t="s">
        <v>433</v>
      </c>
    </row>
    <row r="293" spans="1:8" ht="15" customHeight="1" x14ac:dyDescent="0.45">
      <c r="A293" s="2" t="s">
        <v>376</v>
      </c>
      <c r="B293" s="2" t="s">
        <v>375</v>
      </c>
      <c r="C293" s="2">
        <v>0.36553099999999999</v>
      </c>
      <c r="D293" s="2">
        <v>15.4184</v>
      </c>
      <c r="E293" s="2">
        <v>16.793199999999999</v>
      </c>
      <c r="F293" s="2">
        <v>2.9967899999999999E-2</v>
      </c>
      <c r="G293" s="2" t="s">
        <v>433</v>
      </c>
      <c r="H293" s="2" t="s">
        <v>433</v>
      </c>
    </row>
    <row r="294" spans="1:8" ht="15" customHeight="1" x14ac:dyDescent="0.45">
      <c r="A294" s="2" t="s">
        <v>117</v>
      </c>
      <c r="B294" s="2" t="s">
        <v>118</v>
      </c>
      <c r="C294" s="2">
        <v>0</v>
      </c>
      <c r="D294" s="2">
        <v>0</v>
      </c>
      <c r="E294" s="2">
        <v>0</v>
      </c>
      <c r="F294" s="2">
        <v>0</v>
      </c>
      <c r="G294" s="2" t="s">
        <v>147</v>
      </c>
      <c r="H294" s="2" t="s">
        <v>147</v>
      </c>
    </row>
    <row r="295" spans="1:8" ht="15" customHeight="1" x14ac:dyDescent="0.45">
      <c r="A295" s="2" t="s">
        <v>374</v>
      </c>
      <c r="B295" s="2" t="s">
        <v>373</v>
      </c>
      <c r="C295" s="2">
        <v>0</v>
      </c>
      <c r="D295" s="2">
        <v>0</v>
      </c>
      <c r="E295" s="2">
        <v>0</v>
      </c>
      <c r="F295" s="2">
        <v>0</v>
      </c>
      <c r="G295" s="2" t="s">
        <v>147</v>
      </c>
      <c r="H295" s="2" t="s">
        <v>147</v>
      </c>
    </row>
    <row r="296" spans="1:8" ht="15" customHeight="1" x14ac:dyDescent="0.45">
      <c r="A296" s="2" t="s">
        <v>1112</v>
      </c>
      <c r="B296" s="2" t="s">
        <v>1125</v>
      </c>
      <c r="C296" s="2">
        <v>0</v>
      </c>
      <c r="D296" s="2">
        <v>0</v>
      </c>
      <c r="E296" s="2">
        <v>0</v>
      </c>
      <c r="F296" s="2">
        <v>0</v>
      </c>
      <c r="G296" s="2" t="s">
        <v>147</v>
      </c>
      <c r="H296" s="2" t="s">
        <v>147</v>
      </c>
    </row>
    <row r="297" spans="1:8" ht="15" customHeight="1" x14ac:dyDescent="0.45">
      <c r="A297" s="2" t="s">
        <v>1112</v>
      </c>
      <c r="B297" s="2" t="s">
        <v>1124</v>
      </c>
      <c r="C297" s="2">
        <v>0</v>
      </c>
      <c r="D297" s="2">
        <v>0</v>
      </c>
      <c r="E297" s="2">
        <v>0</v>
      </c>
      <c r="F297" s="2">
        <v>0</v>
      </c>
      <c r="G297" s="2" t="s">
        <v>147</v>
      </c>
      <c r="H297" s="2" t="s">
        <v>147</v>
      </c>
    </row>
    <row r="298" spans="1:8" ht="15" customHeight="1" x14ac:dyDescent="0.45">
      <c r="A298" s="2" t="s">
        <v>1112</v>
      </c>
      <c r="B298" s="2" t="s">
        <v>1123</v>
      </c>
      <c r="C298" s="2">
        <v>0</v>
      </c>
      <c r="D298" s="2">
        <v>0</v>
      </c>
      <c r="E298" s="2">
        <v>0</v>
      </c>
      <c r="F298" s="2">
        <v>0</v>
      </c>
      <c r="G298" s="2" t="s">
        <v>147</v>
      </c>
      <c r="H298" s="2" t="s">
        <v>147</v>
      </c>
    </row>
    <row r="299" spans="1:8" ht="15" customHeight="1" x14ac:dyDescent="0.45">
      <c r="A299" s="2" t="s">
        <v>1112</v>
      </c>
      <c r="B299" s="2" t="s">
        <v>1122</v>
      </c>
      <c r="C299" s="2">
        <v>0</v>
      </c>
      <c r="D299" s="2">
        <v>0</v>
      </c>
      <c r="E299" s="2">
        <v>0</v>
      </c>
      <c r="F299" s="2">
        <v>0</v>
      </c>
      <c r="G299" s="2" t="s">
        <v>147</v>
      </c>
      <c r="H299" s="2" t="s">
        <v>147</v>
      </c>
    </row>
    <row r="300" spans="1:8" ht="15" customHeight="1" x14ac:dyDescent="0.45">
      <c r="A300" s="2" t="s">
        <v>1112</v>
      </c>
      <c r="B300" s="2" t="s">
        <v>1121</v>
      </c>
      <c r="C300" s="2">
        <v>0</v>
      </c>
      <c r="D300" s="2">
        <v>0</v>
      </c>
      <c r="E300" s="2">
        <v>0</v>
      </c>
      <c r="F300" s="2">
        <v>0</v>
      </c>
      <c r="G300" s="2" t="s">
        <v>147</v>
      </c>
      <c r="H300" s="2" t="s">
        <v>147</v>
      </c>
    </row>
    <row r="301" spans="1:8" ht="15" customHeight="1" x14ac:dyDescent="0.45">
      <c r="A301" s="2" t="s">
        <v>1112</v>
      </c>
      <c r="B301" s="2" t="s">
        <v>1120</v>
      </c>
      <c r="C301" s="2">
        <v>0</v>
      </c>
      <c r="D301" s="2">
        <v>0</v>
      </c>
      <c r="E301" s="2">
        <v>0</v>
      </c>
      <c r="F301" s="2">
        <v>0</v>
      </c>
      <c r="G301" s="2" t="s">
        <v>147</v>
      </c>
      <c r="H301" s="2" t="s">
        <v>147</v>
      </c>
    </row>
    <row r="302" spans="1:8" ht="15" customHeight="1" x14ac:dyDescent="0.45">
      <c r="A302" s="2" t="s">
        <v>1112</v>
      </c>
      <c r="B302" s="2" t="s">
        <v>1119</v>
      </c>
      <c r="C302" s="2">
        <v>0</v>
      </c>
      <c r="D302" s="2">
        <v>0</v>
      </c>
      <c r="E302" s="2">
        <v>0</v>
      </c>
      <c r="F302" s="2">
        <v>0</v>
      </c>
      <c r="G302" s="2" t="s">
        <v>147</v>
      </c>
      <c r="H302" s="2" t="s">
        <v>147</v>
      </c>
    </row>
    <row r="303" spans="1:8" ht="15" customHeight="1" x14ac:dyDescent="0.45">
      <c r="A303" s="2" t="s">
        <v>1112</v>
      </c>
      <c r="B303" s="2" t="s">
        <v>1118</v>
      </c>
      <c r="C303" s="2">
        <v>0</v>
      </c>
      <c r="D303" s="2">
        <v>0</v>
      </c>
      <c r="E303" s="2">
        <v>0</v>
      </c>
      <c r="F303" s="2">
        <v>0</v>
      </c>
      <c r="G303" s="2" t="s">
        <v>147</v>
      </c>
      <c r="H303" s="2" t="s">
        <v>147</v>
      </c>
    </row>
    <row r="304" spans="1:8" ht="15" customHeight="1" x14ac:dyDescent="0.45">
      <c r="A304" s="2" t="s">
        <v>1112</v>
      </c>
      <c r="B304" s="2" t="s">
        <v>1117</v>
      </c>
      <c r="C304" s="2">
        <v>0</v>
      </c>
      <c r="D304" s="2">
        <v>0</v>
      </c>
      <c r="E304" s="2">
        <v>0</v>
      </c>
      <c r="F304" s="2">
        <v>0</v>
      </c>
      <c r="G304" s="2" t="s">
        <v>147</v>
      </c>
      <c r="H304" s="2" t="s">
        <v>147</v>
      </c>
    </row>
    <row r="305" spans="1:8" ht="15" customHeight="1" x14ac:dyDescent="0.45">
      <c r="A305" s="2" t="s">
        <v>1112</v>
      </c>
      <c r="B305" s="2" t="s">
        <v>1116</v>
      </c>
      <c r="C305" s="2">
        <v>0</v>
      </c>
      <c r="D305" s="2">
        <v>0</v>
      </c>
      <c r="E305" s="2">
        <v>0</v>
      </c>
      <c r="F305" s="2">
        <v>0</v>
      </c>
      <c r="G305" s="2" t="s">
        <v>147</v>
      </c>
      <c r="H305" s="2" t="s">
        <v>147</v>
      </c>
    </row>
    <row r="306" spans="1:8" ht="15" customHeight="1" x14ac:dyDescent="0.45">
      <c r="A306" s="2" t="s">
        <v>1112</v>
      </c>
      <c r="B306" s="2" t="s">
        <v>1115</v>
      </c>
      <c r="C306" s="2">
        <v>0</v>
      </c>
      <c r="D306" s="2">
        <v>0</v>
      </c>
      <c r="E306" s="2">
        <v>0</v>
      </c>
      <c r="F306" s="2">
        <v>0</v>
      </c>
      <c r="G306" s="2" t="s">
        <v>147</v>
      </c>
      <c r="H306" s="2" t="s">
        <v>147</v>
      </c>
    </row>
    <row r="307" spans="1:8" ht="15" customHeight="1" x14ac:dyDescent="0.45">
      <c r="A307" s="2" t="s">
        <v>1112</v>
      </c>
      <c r="B307" s="2" t="s">
        <v>1114</v>
      </c>
      <c r="C307" s="2">
        <v>0</v>
      </c>
      <c r="D307" s="2">
        <v>0</v>
      </c>
      <c r="E307" s="2">
        <v>0</v>
      </c>
      <c r="F307" s="2">
        <v>0</v>
      </c>
      <c r="G307" s="2" t="s">
        <v>147</v>
      </c>
      <c r="H307" s="2" t="s">
        <v>147</v>
      </c>
    </row>
    <row r="308" spans="1:8" ht="15" customHeight="1" x14ac:dyDescent="0.45">
      <c r="A308" s="2" t="s">
        <v>1112</v>
      </c>
      <c r="B308" s="2" t="s">
        <v>1113</v>
      </c>
      <c r="C308" s="2">
        <v>0</v>
      </c>
      <c r="D308" s="2">
        <v>0</v>
      </c>
      <c r="E308" s="2">
        <v>0</v>
      </c>
      <c r="F308" s="2">
        <v>0</v>
      </c>
      <c r="G308" s="2" t="s">
        <v>147</v>
      </c>
      <c r="H308" s="2" t="s">
        <v>147</v>
      </c>
    </row>
    <row r="309" spans="1:8" ht="15" customHeight="1" x14ac:dyDescent="0.45">
      <c r="A309" s="2" t="s">
        <v>1112</v>
      </c>
      <c r="B309" s="2" t="s">
        <v>5</v>
      </c>
      <c r="C309" s="2">
        <v>0</v>
      </c>
      <c r="D309" s="2">
        <v>0</v>
      </c>
      <c r="E309" s="2">
        <v>0</v>
      </c>
      <c r="F309" s="2">
        <v>0</v>
      </c>
      <c r="G309" s="2" t="s">
        <v>147</v>
      </c>
      <c r="H309" s="2" t="s">
        <v>147</v>
      </c>
    </row>
    <row r="310" spans="1:8" ht="15" customHeight="1" x14ac:dyDescent="0.45">
      <c r="A310" s="2" t="s">
        <v>371</v>
      </c>
      <c r="B310" s="2" t="s">
        <v>372</v>
      </c>
      <c r="C310" s="2">
        <v>9.6119399999999994E-2</v>
      </c>
      <c r="D310" s="2">
        <v>7.8019400000000001</v>
      </c>
      <c r="E310" s="2">
        <v>11.1343</v>
      </c>
      <c r="F310" s="2">
        <v>5.0454100000000002E-3</v>
      </c>
      <c r="G310" s="2" t="s">
        <v>433</v>
      </c>
      <c r="H310" s="2" t="s">
        <v>433</v>
      </c>
    </row>
    <row r="311" spans="1:8" ht="15" customHeight="1" x14ac:dyDescent="0.45">
      <c r="A311" s="2" t="s">
        <v>371</v>
      </c>
      <c r="B311" s="2" t="s">
        <v>370</v>
      </c>
      <c r="C311" s="2">
        <v>0.10961899999999999</v>
      </c>
      <c r="D311" s="2">
        <v>8.4294700000000002</v>
      </c>
      <c r="E311" s="2">
        <v>10.910299999999999</v>
      </c>
      <c r="F311" s="2">
        <v>1.1267299999999999E-2</v>
      </c>
      <c r="G311" s="2" t="s">
        <v>433</v>
      </c>
      <c r="H311" s="2" t="s">
        <v>433</v>
      </c>
    </row>
    <row r="312" spans="1:8" ht="15" customHeight="1" x14ac:dyDescent="0.45">
      <c r="A312" s="2" t="s">
        <v>369</v>
      </c>
      <c r="B312" s="2" t="s">
        <v>368</v>
      </c>
      <c r="C312" s="2">
        <v>0.12485499999999999</v>
      </c>
      <c r="D312" s="2">
        <v>16.261299999999999</v>
      </c>
      <c r="E312" s="2">
        <v>8.6375799999999998</v>
      </c>
      <c r="F312" s="2">
        <v>1.4860699999999999E-2</v>
      </c>
      <c r="G312" s="2" t="s">
        <v>433</v>
      </c>
      <c r="H312" s="2" t="s">
        <v>433</v>
      </c>
    </row>
    <row r="313" spans="1:8" ht="15" customHeight="1" x14ac:dyDescent="0.45">
      <c r="A313" s="2" t="s">
        <v>367</v>
      </c>
      <c r="B313" s="2" t="s">
        <v>366</v>
      </c>
      <c r="C313" s="2">
        <v>9.2565099999999997E-2</v>
      </c>
      <c r="D313" s="2">
        <v>4.3016500000000004</v>
      </c>
      <c r="E313" s="2">
        <v>10.3795</v>
      </c>
      <c r="F313" s="2">
        <v>0</v>
      </c>
      <c r="G313" s="2" t="s">
        <v>147</v>
      </c>
      <c r="H313" s="2" t="s">
        <v>433</v>
      </c>
    </row>
    <row r="314" spans="1:8" ht="15" customHeight="1" x14ac:dyDescent="0.45">
      <c r="A314" s="2" t="s">
        <v>364</v>
      </c>
      <c r="B314" s="2" t="s">
        <v>363</v>
      </c>
      <c r="C314" s="2">
        <v>0.58060900000000004</v>
      </c>
      <c r="D314" s="2">
        <v>180.96600000000001</v>
      </c>
      <c r="E314" s="2">
        <v>22.6342</v>
      </c>
      <c r="F314" s="2">
        <v>3.0034600000000002E-2</v>
      </c>
      <c r="G314" s="2" t="s">
        <v>433</v>
      </c>
      <c r="H314" s="2" t="s">
        <v>433</v>
      </c>
    </row>
    <row r="315" spans="1:8" ht="15" customHeight="1" x14ac:dyDescent="0.45">
      <c r="A315" s="2" t="s">
        <v>362</v>
      </c>
      <c r="B315" s="2" t="s">
        <v>361</v>
      </c>
      <c r="C315" s="2">
        <v>8.9110400000000006E-2</v>
      </c>
      <c r="D315" s="2">
        <v>13.1821</v>
      </c>
      <c r="E315" s="2">
        <v>5.8871000000000002</v>
      </c>
      <c r="F315" s="2">
        <v>2.46E-2</v>
      </c>
      <c r="G315" s="2" t="s">
        <v>147</v>
      </c>
      <c r="H315" s="2" t="s">
        <v>433</v>
      </c>
    </row>
    <row r="316" spans="1:8" ht="15" customHeight="1" x14ac:dyDescent="0.45">
      <c r="A316" s="2" t="s">
        <v>360</v>
      </c>
      <c r="B316" s="2" t="s">
        <v>359</v>
      </c>
      <c r="C316" s="2">
        <v>9.5108200000000004E-2</v>
      </c>
      <c r="D316" s="2">
        <v>12.089499999999999</v>
      </c>
      <c r="E316" s="2">
        <v>8.6093399999999995</v>
      </c>
      <c r="F316" s="2">
        <v>9.1496400000000006E-3</v>
      </c>
      <c r="G316" s="2" t="s">
        <v>147</v>
      </c>
      <c r="H316" s="2" t="s">
        <v>433</v>
      </c>
    </row>
    <row r="317" spans="1:8" ht="15" customHeight="1" x14ac:dyDescent="0.45">
      <c r="A317" s="2" t="s">
        <v>342</v>
      </c>
      <c r="B317" s="2" t="s">
        <v>358</v>
      </c>
      <c r="C317" s="2">
        <v>0.18199499999999999</v>
      </c>
      <c r="D317" s="2">
        <v>13.940799999999999</v>
      </c>
      <c r="E317" s="2">
        <v>17.696400000000001</v>
      </c>
      <c r="F317" s="2">
        <v>2.6945199999999999E-2</v>
      </c>
      <c r="G317" s="2" t="s">
        <v>147</v>
      </c>
      <c r="H317" s="2" t="s">
        <v>433</v>
      </c>
    </row>
    <row r="318" spans="1:8" ht="15" customHeight="1" x14ac:dyDescent="0.45">
      <c r="A318" s="2" t="s">
        <v>342</v>
      </c>
      <c r="B318" s="2" t="s">
        <v>357</v>
      </c>
      <c r="C318" s="2">
        <v>0.158252</v>
      </c>
      <c r="D318" s="2">
        <v>8.2372599999999991</v>
      </c>
      <c r="E318" s="2">
        <v>17.4161</v>
      </c>
      <c r="F318" s="2">
        <v>9.9671099999999995E-3</v>
      </c>
      <c r="G318" s="2" t="s">
        <v>147</v>
      </c>
      <c r="H318" s="2" t="s">
        <v>433</v>
      </c>
    </row>
    <row r="319" spans="1:8" ht="15" customHeight="1" x14ac:dyDescent="0.45">
      <c r="A319" s="2" t="s">
        <v>342</v>
      </c>
      <c r="B319" s="2" t="s">
        <v>356</v>
      </c>
      <c r="C319" s="2">
        <v>0.10749599999999999</v>
      </c>
      <c r="D319" s="2">
        <v>9.2196499999999997</v>
      </c>
      <c r="E319" s="2">
        <v>13.234500000000001</v>
      </c>
      <c r="F319" s="2">
        <v>8.7815099999999993E-3</v>
      </c>
      <c r="G319" s="2" t="s">
        <v>147</v>
      </c>
      <c r="H319" s="2" t="s">
        <v>433</v>
      </c>
    </row>
    <row r="320" spans="1:8" ht="15" customHeight="1" x14ac:dyDescent="0.45">
      <c r="A320" s="2" t="s">
        <v>342</v>
      </c>
      <c r="B320" s="2" t="s">
        <v>355</v>
      </c>
      <c r="C320" s="2">
        <v>0.15398899999999999</v>
      </c>
      <c r="D320" s="2">
        <v>9.1578499999999998</v>
      </c>
      <c r="E320" s="2">
        <v>16.5701</v>
      </c>
      <c r="F320" s="2">
        <v>1.4265699999999999E-2</v>
      </c>
      <c r="G320" s="2" t="s">
        <v>147</v>
      </c>
      <c r="H320" s="2" t="s">
        <v>433</v>
      </c>
    </row>
    <row r="321" spans="1:8" ht="15" customHeight="1" x14ac:dyDescent="0.45">
      <c r="A321" s="2" t="s">
        <v>342</v>
      </c>
      <c r="B321" s="2" t="s">
        <v>354</v>
      </c>
      <c r="C321" s="2">
        <v>0.154446</v>
      </c>
      <c r="D321" s="2">
        <v>6.3660500000000004</v>
      </c>
      <c r="E321" s="2">
        <v>17.6403</v>
      </c>
      <c r="F321" s="2">
        <v>3.9820799999999998E-3</v>
      </c>
      <c r="G321" s="2" t="s">
        <v>147</v>
      </c>
      <c r="H321" s="2" t="s">
        <v>433</v>
      </c>
    </row>
    <row r="322" spans="1:8" ht="15" customHeight="1" x14ac:dyDescent="0.45">
      <c r="A322" s="2" t="s">
        <v>342</v>
      </c>
      <c r="B322" s="2" t="s">
        <v>353</v>
      </c>
      <c r="C322" s="2">
        <v>0.15866</v>
      </c>
      <c r="D322" s="2">
        <v>6.0014599999999998</v>
      </c>
      <c r="E322" s="2">
        <v>18.672599999999999</v>
      </c>
      <c r="F322" s="2">
        <v>1.89266E-3</v>
      </c>
      <c r="G322" s="2" t="s">
        <v>147</v>
      </c>
      <c r="H322" s="2" t="s">
        <v>433</v>
      </c>
    </row>
    <row r="323" spans="1:8" ht="15" customHeight="1" x14ac:dyDescent="0.45">
      <c r="A323" s="2" t="s">
        <v>342</v>
      </c>
      <c r="B323" s="2" t="s">
        <v>352</v>
      </c>
      <c r="C323" s="2">
        <v>0.173591</v>
      </c>
      <c r="D323" s="2">
        <v>11.1799</v>
      </c>
      <c r="E323" s="2">
        <v>18.013300000000001</v>
      </c>
      <c r="F323" s="2">
        <v>1.7900699999999999E-2</v>
      </c>
      <c r="G323" s="2" t="s">
        <v>147</v>
      </c>
      <c r="H323" s="2" t="s">
        <v>433</v>
      </c>
    </row>
    <row r="324" spans="1:8" ht="15" customHeight="1" x14ac:dyDescent="0.45">
      <c r="A324" s="2" t="s">
        <v>342</v>
      </c>
      <c r="B324" s="2" t="s">
        <v>351</v>
      </c>
      <c r="C324" s="2">
        <v>0.281748</v>
      </c>
      <c r="D324" s="2">
        <v>97.835999999999999</v>
      </c>
      <c r="E324" s="2">
        <v>15.4236</v>
      </c>
      <c r="F324" s="2">
        <v>0</v>
      </c>
      <c r="G324" s="2" t="s">
        <v>147</v>
      </c>
      <c r="H324" s="2" t="s">
        <v>433</v>
      </c>
    </row>
    <row r="325" spans="1:8" ht="15" customHeight="1" x14ac:dyDescent="0.45">
      <c r="A325" s="2" t="s">
        <v>342</v>
      </c>
      <c r="B325" s="2" t="s">
        <v>350</v>
      </c>
      <c r="C325" s="2">
        <v>0.180953</v>
      </c>
      <c r="D325" s="2">
        <v>12.181699999999999</v>
      </c>
      <c r="E325" s="2">
        <v>18.392800000000001</v>
      </c>
      <c r="F325" s="2">
        <v>2.01327E-2</v>
      </c>
      <c r="G325" s="2" t="s">
        <v>147</v>
      </c>
      <c r="H325" s="2" t="s">
        <v>433</v>
      </c>
    </row>
    <row r="326" spans="1:8" ht="15" customHeight="1" x14ac:dyDescent="0.45">
      <c r="A326" s="2" t="s">
        <v>342</v>
      </c>
      <c r="B326" s="2" t="s">
        <v>349</v>
      </c>
      <c r="C326" s="2">
        <v>5.0590900000000001E-2</v>
      </c>
      <c r="D326" s="2">
        <v>6.1176700000000004</v>
      </c>
      <c r="E326" s="2">
        <v>7.1573200000000003</v>
      </c>
      <c r="F326" s="2">
        <v>9.93256E-3</v>
      </c>
      <c r="G326" s="2" t="s">
        <v>147</v>
      </c>
      <c r="H326" s="2" t="s">
        <v>433</v>
      </c>
    </row>
    <row r="327" spans="1:8" ht="15" customHeight="1" x14ac:dyDescent="0.45">
      <c r="A327" s="2" t="s">
        <v>342</v>
      </c>
      <c r="B327" s="2" t="s">
        <v>348</v>
      </c>
      <c r="C327" s="2">
        <v>0.10546899999999999</v>
      </c>
      <c r="D327" s="2">
        <v>9.4772999999999996</v>
      </c>
      <c r="E327" s="2">
        <v>9.3904300000000003</v>
      </c>
      <c r="F327" s="2">
        <v>2.1546800000000001E-2</v>
      </c>
      <c r="G327" s="2" t="s">
        <v>147</v>
      </c>
      <c r="H327" s="2" t="s">
        <v>433</v>
      </c>
    </row>
    <row r="328" spans="1:8" ht="15" customHeight="1" x14ac:dyDescent="0.45">
      <c r="A328" s="2" t="s">
        <v>342</v>
      </c>
      <c r="B328" s="2" t="s">
        <v>347</v>
      </c>
      <c r="C328" s="2">
        <v>0.17888000000000001</v>
      </c>
      <c r="D328" s="2">
        <v>13.6449</v>
      </c>
      <c r="E328" s="2">
        <v>17.708400000000001</v>
      </c>
      <c r="F328" s="2">
        <v>2.6067E-2</v>
      </c>
      <c r="G328" s="2" t="s">
        <v>147</v>
      </c>
      <c r="H328" s="2" t="s">
        <v>433</v>
      </c>
    </row>
    <row r="329" spans="1:8" ht="15" customHeight="1" x14ac:dyDescent="0.45">
      <c r="A329" s="2" t="s">
        <v>342</v>
      </c>
      <c r="B329" s="2" t="s">
        <v>346</v>
      </c>
      <c r="C329" s="2">
        <v>0.15498000000000001</v>
      </c>
      <c r="D329" s="2">
        <v>45.999899999999997</v>
      </c>
      <c r="E329" s="2">
        <v>8.7885000000000009</v>
      </c>
      <c r="F329" s="2">
        <v>1.7167000000000002E-2</v>
      </c>
      <c r="G329" s="2" t="s">
        <v>147</v>
      </c>
      <c r="H329" s="2" t="s">
        <v>433</v>
      </c>
    </row>
    <row r="330" spans="1:8" ht="15" customHeight="1" x14ac:dyDescent="0.45">
      <c r="A330" s="2" t="s">
        <v>342</v>
      </c>
      <c r="B330" s="2" t="s">
        <v>345</v>
      </c>
      <c r="C330" s="2">
        <v>0.225163</v>
      </c>
      <c r="D330" s="2">
        <v>19.4346</v>
      </c>
      <c r="E330" s="2">
        <v>20.338699999999999</v>
      </c>
      <c r="F330" s="2">
        <v>3.6006200000000002E-2</v>
      </c>
      <c r="G330" s="2" t="s">
        <v>147</v>
      </c>
      <c r="H330" s="2" t="s">
        <v>433</v>
      </c>
    </row>
    <row r="331" spans="1:8" ht="15" customHeight="1" x14ac:dyDescent="0.45">
      <c r="A331" s="2" t="s">
        <v>342</v>
      </c>
      <c r="B331" s="2" t="s">
        <v>344</v>
      </c>
      <c r="C331" s="2">
        <v>2.1899999999999999E-2</v>
      </c>
      <c r="D331" s="2">
        <v>0</v>
      </c>
      <c r="E331" s="2">
        <v>0</v>
      </c>
      <c r="F331" s="2">
        <v>0</v>
      </c>
      <c r="G331" s="2" t="s">
        <v>433</v>
      </c>
      <c r="H331" s="2" t="s">
        <v>433</v>
      </c>
    </row>
    <row r="332" spans="1:8" ht="15" customHeight="1" x14ac:dyDescent="0.45">
      <c r="A332" s="2" t="s">
        <v>342</v>
      </c>
      <c r="B332" s="2" t="s">
        <v>343</v>
      </c>
      <c r="C332" s="2">
        <v>0.216</v>
      </c>
      <c r="D332" s="2">
        <v>16.633500000000002</v>
      </c>
      <c r="E332" s="2">
        <v>21.738499999999998</v>
      </c>
      <c r="F332" s="2">
        <v>2.5846600000000001E-2</v>
      </c>
      <c r="G332" s="2" t="s">
        <v>147</v>
      </c>
      <c r="H332" s="2" t="s">
        <v>433</v>
      </c>
    </row>
    <row r="333" spans="1:8" ht="15" customHeight="1" x14ac:dyDescent="0.45">
      <c r="A333" s="2" t="s">
        <v>342</v>
      </c>
      <c r="B333" s="2" t="s">
        <v>341</v>
      </c>
      <c r="C333" s="2">
        <v>0.188809</v>
      </c>
      <c r="D333" s="2">
        <v>8.6860400000000002</v>
      </c>
      <c r="E333" s="2">
        <v>21.198399999999999</v>
      </c>
      <c r="F333" s="2">
        <v>6.5835900000000003E-3</v>
      </c>
      <c r="G333" s="2" t="s">
        <v>147</v>
      </c>
      <c r="H333" s="2" t="s">
        <v>433</v>
      </c>
    </row>
    <row r="334" spans="1:8" ht="15" customHeight="1" x14ac:dyDescent="0.45">
      <c r="A334" s="2" t="s">
        <v>336</v>
      </c>
      <c r="B334" s="2" t="s">
        <v>340</v>
      </c>
      <c r="C334" s="2">
        <v>0.16117699999999999</v>
      </c>
      <c r="D334" s="2">
        <v>7.04101</v>
      </c>
      <c r="E334" s="2">
        <v>18.207000000000001</v>
      </c>
      <c r="F334" s="2">
        <v>5.3763400000000003E-3</v>
      </c>
      <c r="G334" s="2" t="s">
        <v>147</v>
      </c>
      <c r="H334" s="2" t="s">
        <v>433</v>
      </c>
    </row>
    <row r="335" spans="1:8" ht="15" customHeight="1" x14ac:dyDescent="0.45">
      <c r="A335" s="2" t="s">
        <v>336</v>
      </c>
      <c r="B335" s="2" t="s">
        <v>339</v>
      </c>
      <c r="C335" s="2">
        <v>8.6628200000000002E-2</v>
      </c>
      <c r="D335" s="2">
        <v>57.988399999999999</v>
      </c>
      <c r="E335" s="2">
        <v>5.9853500000000004</v>
      </c>
      <c r="F335" s="2">
        <v>4.2181199999999997E-3</v>
      </c>
      <c r="G335" s="2" t="s">
        <v>147</v>
      </c>
      <c r="H335" s="2" t="s">
        <v>433</v>
      </c>
    </row>
    <row r="336" spans="1:8" ht="15" customHeight="1" x14ac:dyDescent="0.45">
      <c r="A336" s="2" t="s">
        <v>336</v>
      </c>
      <c r="B336" s="2" t="s">
        <v>338</v>
      </c>
      <c r="C336" s="2">
        <v>0.17199600000000001</v>
      </c>
      <c r="D336" s="2">
        <v>10.9754</v>
      </c>
      <c r="E336" s="2">
        <v>17.538699999999999</v>
      </c>
      <c r="F336" s="2">
        <v>1.8211000000000001E-2</v>
      </c>
      <c r="G336" s="2" t="s">
        <v>147</v>
      </c>
      <c r="H336" s="2" t="s">
        <v>433</v>
      </c>
    </row>
    <row r="337" spans="1:8" ht="15" customHeight="1" x14ac:dyDescent="0.45">
      <c r="A337" s="2" t="s">
        <v>336</v>
      </c>
      <c r="B337" s="2" t="s">
        <v>337</v>
      </c>
      <c r="C337" s="2">
        <v>0.165663</v>
      </c>
      <c r="D337" s="2">
        <v>9.3231400000000004</v>
      </c>
      <c r="E337" s="2">
        <v>17.517900000000001</v>
      </c>
      <c r="F337" s="2">
        <v>1.3164800000000001E-2</v>
      </c>
      <c r="G337" s="2" t="s">
        <v>147</v>
      </c>
      <c r="H337" s="2" t="s">
        <v>433</v>
      </c>
    </row>
    <row r="338" spans="1:8" ht="15" customHeight="1" x14ac:dyDescent="0.45">
      <c r="A338" s="2" t="s">
        <v>336</v>
      </c>
      <c r="B338" s="2" t="s">
        <v>335</v>
      </c>
      <c r="C338" s="2">
        <v>0.18264900000000001</v>
      </c>
      <c r="D338" s="2">
        <v>11.015499999999999</v>
      </c>
      <c r="E338" s="2">
        <v>18.168500000000002</v>
      </c>
      <c r="F338" s="2">
        <v>1.7088599999999999E-2</v>
      </c>
      <c r="G338" s="2" t="s">
        <v>147</v>
      </c>
      <c r="H338" s="2" t="s">
        <v>433</v>
      </c>
    </row>
    <row r="339" spans="1:8" ht="15" customHeight="1" x14ac:dyDescent="0.45">
      <c r="A339" s="2" t="s">
        <v>333</v>
      </c>
      <c r="B339" s="2" t="s">
        <v>334</v>
      </c>
      <c r="C339" s="2">
        <v>9.8960900000000004E-2</v>
      </c>
      <c r="D339" s="2">
        <v>8.1172799999999992</v>
      </c>
      <c r="E339" s="2">
        <v>6.2057099999999998</v>
      </c>
      <c r="F339" s="2">
        <v>1.0895200000000001E-2</v>
      </c>
      <c r="G339" s="2" t="s">
        <v>147</v>
      </c>
      <c r="H339" s="2" t="s">
        <v>433</v>
      </c>
    </row>
    <row r="340" spans="1:8" ht="15" customHeight="1" x14ac:dyDescent="0.45">
      <c r="A340" s="2" t="s">
        <v>333</v>
      </c>
      <c r="B340" s="2" t="s">
        <v>332</v>
      </c>
      <c r="C340" s="2">
        <v>0.110292</v>
      </c>
      <c r="D340" s="2">
        <v>15.3468</v>
      </c>
      <c r="E340" s="2">
        <v>9.6608099999999997</v>
      </c>
      <c r="F340" s="2">
        <v>1.6590799999999999E-2</v>
      </c>
      <c r="G340" s="2" t="s">
        <v>147</v>
      </c>
      <c r="H340" s="2" t="s">
        <v>433</v>
      </c>
    </row>
    <row r="341" spans="1:8" ht="15" customHeight="1" x14ac:dyDescent="0.45">
      <c r="A341" s="2" t="s">
        <v>331</v>
      </c>
      <c r="B341" s="2" t="s">
        <v>330</v>
      </c>
      <c r="C341" s="2">
        <v>5.84685E-2</v>
      </c>
      <c r="D341" s="2">
        <v>92.110900000000001</v>
      </c>
      <c r="E341" s="2">
        <v>5.0804600000000004</v>
      </c>
      <c r="F341" s="2">
        <v>0</v>
      </c>
      <c r="G341" s="2" t="s">
        <v>433</v>
      </c>
      <c r="H341" s="2" t="s">
        <v>433</v>
      </c>
    </row>
    <row r="342" spans="1:8" ht="15" customHeight="1" x14ac:dyDescent="0.45">
      <c r="A342" s="2" t="s">
        <v>1102</v>
      </c>
      <c r="B342" s="2" t="s">
        <v>1111</v>
      </c>
      <c r="C342" s="2">
        <v>0</v>
      </c>
      <c r="D342" s="2">
        <v>0</v>
      </c>
      <c r="E342" s="2">
        <v>0</v>
      </c>
      <c r="F342" s="2">
        <v>0</v>
      </c>
      <c r="G342" s="2" t="s">
        <v>147</v>
      </c>
      <c r="H342" s="2" t="s">
        <v>147</v>
      </c>
    </row>
    <row r="343" spans="1:8" ht="15" customHeight="1" x14ac:dyDescent="0.45">
      <c r="A343" s="2" t="s">
        <v>1102</v>
      </c>
      <c r="B343" s="2" t="s">
        <v>1110</v>
      </c>
      <c r="C343" s="2">
        <v>0</v>
      </c>
      <c r="D343" s="2">
        <v>0</v>
      </c>
      <c r="E343" s="2">
        <v>0</v>
      </c>
      <c r="F343" s="2">
        <v>0</v>
      </c>
      <c r="G343" s="2" t="s">
        <v>147</v>
      </c>
      <c r="H343" s="2" t="s">
        <v>147</v>
      </c>
    </row>
    <row r="344" spans="1:8" ht="15" customHeight="1" x14ac:dyDescent="0.45">
      <c r="A344" s="2" t="s">
        <v>1102</v>
      </c>
      <c r="B344" s="2" t="s">
        <v>1109</v>
      </c>
      <c r="C344" s="2">
        <v>0</v>
      </c>
      <c r="D344" s="2">
        <v>0</v>
      </c>
      <c r="E344" s="2">
        <v>0</v>
      </c>
      <c r="F344" s="2">
        <v>0</v>
      </c>
      <c r="G344" s="2" t="s">
        <v>147</v>
      </c>
      <c r="H344" s="2" t="s">
        <v>147</v>
      </c>
    </row>
    <row r="345" spans="1:8" ht="15" customHeight="1" x14ac:dyDescent="0.45">
      <c r="A345" s="2" t="s">
        <v>1102</v>
      </c>
      <c r="B345" s="2" t="s">
        <v>1108</v>
      </c>
      <c r="C345" s="2">
        <v>0</v>
      </c>
      <c r="D345" s="2">
        <v>0</v>
      </c>
      <c r="E345" s="2">
        <v>0</v>
      </c>
      <c r="F345" s="2">
        <v>0</v>
      </c>
      <c r="G345" s="2" t="s">
        <v>147</v>
      </c>
      <c r="H345" s="2" t="s">
        <v>147</v>
      </c>
    </row>
    <row r="346" spans="1:8" ht="15" customHeight="1" x14ac:dyDescent="0.45">
      <c r="A346" s="2" t="s">
        <v>1102</v>
      </c>
      <c r="B346" s="2" t="s">
        <v>1107</v>
      </c>
      <c r="C346" s="2">
        <v>0</v>
      </c>
      <c r="D346" s="2">
        <v>0</v>
      </c>
      <c r="E346" s="2">
        <v>0</v>
      </c>
      <c r="F346" s="2">
        <v>0</v>
      </c>
      <c r="G346" s="2" t="s">
        <v>147</v>
      </c>
      <c r="H346" s="2" t="s">
        <v>147</v>
      </c>
    </row>
    <row r="347" spans="1:8" ht="15" customHeight="1" x14ac:dyDescent="0.45">
      <c r="A347" s="2" t="s">
        <v>1102</v>
      </c>
      <c r="B347" s="2" t="s">
        <v>1106</v>
      </c>
      <c r="C347" s="2">
        <v>0</v>
      </c>
      <c r="D347" s="2">
        <v>0</v>
      </c>
      <c r="E347" s="2">
        <v>0</v>
      </c>
      <c r="F347" s="2">
        <v>0</v>
      </c>
      <c r="G347" s="2" t="s">
        <v>147</v>
      </c>
      <c r="H347" s="2" t="s">
        <v>147</v>
      </c>
    </row>
    <row r="348" spans="1:8" ht="15" customHeight="1" x14ac:dyDescent="0.45">
      <c r="A348" s="2" t="s">
        <v>1102</v>
      </c>
      <c r="B348" s="2" t="s">
        <v>1105</v>
      </c>
      <c r="C348" s="2">
        <v>0</v>
      </c>
      <c r="D348" s="2">
        <v>0</v>
      </c>
      <c r="E348" s="2">
        <v>0</v>
      </c>
      <c r="F348" s="2">
        <v>0</v>
      </c>
      <c r="G348" s="2" t="s">
        <v>147</v>
      </c>
      <c r="H348" s="2" t="s">
        <v>147</v>
      </c>
    </row>
    <row r="349" spans="1:8" ht="15" customHeight="1" x14ac:dyDescent="0.45">
      <c r="A349" s="2" t="s">
        <v>1102</v>
      </c>
      <c r="B349" s="2" t="s">
        <v>125</v>
      </c>
      <c r="C349" s="2">
        <v>0</v>
      </c>
      <c r="D349" s="2">
        <v>0</v>
      </c>
      <c r="E349" s="2">
        <v>0</v>
      </c>
      <c r="F349" s="2">
        <v>0</v>
      </c>
      <c r="G349" s="2" t="s">
        <v>147</v>
      </c>
      <c r="H349" s="2" t="s">
        <v>147</v>
      </c>
    </row>
    <row r="350" spans="1:8" ht="15" customHeight="1" x14ac:dyDescent="0.45">
      <c r="A350" s="2" t="s">
        <v>1102</v>
      </c>
      <c r="B350" s="2" t="s">
        <v>1104</v>
      </c>
      <c r="C350" s="2">
        <v>0</v>
      </c>
      <c r="D350" s="2">
        <v>0</v>
      </c>
      <c r="E350" s="2">
        <v>0</v>
      </c>
      <c r="F350" s="2">
        <v>0</v>
      </c>
      <c r="G350" s="2" t="s">
        <v>147</v>
      </c>
      <c r="H350" s="2" t="s">
        <v>147</v>
      </c>
    </row>
    <row r="351" spans="1:8" ht="15" customHeight="1" x14ac:dyDescent="0.45">
      <c r="A351" s="2" t="s">
        <v>1102</v>
      </c>
      <c r="B351" s="2" t="s">
        <v>1103</v>
      </c>
      <c r="C351" s="2">
        <v>0</v>
      </c>
      <c r="D351" s="2">
        <v>0</v>
      </c>
      <c r="E351" s="2">
        <v>0</v>
      </c>
      <c r="F351" s="2">
        <v>0</v>
      </c>
      <c r="G351" s="2" t="s">
        <v>147</v>
      </c>
      <c r="H351" s="2" t="s">
        <v>147</v>
      </c>
    </row>
    <row r="352" spans="1:8" ht="15" customHeight="1" x14ac:dyDescent="0.45">
      <c r="A352" s="2" t="s">
        <v>1102</v>
      </c>
      <c r="B352" s="2" t="s">
        <v>1101</v>
      </c>
      <c r="C352" s="2">
        <v>0</v>
      </c>
      <c r="D352" s="2">
        <v>0</v>
      </c>
      <c r="E352" s="2">
        <v>0</v>
      </c>
      <c r="F352" s="2">
        <v>0</v>
      </c>
      <c r="G352" s="2" t="s">
        <v>147</v>
      </c>
      <c r="H352" s="2" t="s">
        <v>147</v>
      </c>
    </row>
    <row r="353" spans="1:8" ht="15" customHeight="1" x14ac:dyDescent="0.45">
      <c r="A353" s="2" t="s">
        <v>329</v>
      </c>
      <c r="B353" s="2" t="s">
        <v>328</v>
      </c>
      <c r="C353" s="2">
        <v>0</v>
      </c>
      <c r="D353" s="2">
        <v>0</v>
      </c>
      <c r="E353" s="2">
        <v>0</v>
      </c>
      <c r="F353" s="2">
        <v>0</v>
      </c>
      <c r="G353" s="2" t="s">
        <v>147</v>
      </c>
      <c r="H353" s="2" t="s">
        <v>147</v>
      </c>
    </row>
    <row r="354" spans="1:8" ht="15" customHeight="1" x14ac:dyDescent="0.45">
      <c r="A354" s="2" t="s">
        <v>1100</v>
      </c>
      <c r="B354" s="2" t="s">
        <v>1099</v>
      </c>
      <c r="C354" s="2">
        <v>0</v>
      </c>
      <c r="D354" s="2">
        <v>0</v>
      </c>
      <c r="E354" s="2">
        <v>0</v>
      </c>
      <c r="F354" s="2">
        <v>0</v>
      </c>
      <c r="G354" s="2" t="s">
        <v>147</v>
      </c>
      <c r="H354" s="2" t="s">
        <v>147</v>
      </c>
    </row>
    <row r="355" spans="1:8" ht="15" customHeight="1" x14ac:dyDescent="0.45">
      <c r="A355" s="2" t="s">
        <v>324</v>
      </c>
      <c r="B355" s="2" t="s">
        <v>327</v>
      </c>
      <c r="C355" s="2">
        <v>6.4868300000000004E-2</v>
      </c>
      <c r="D355" s="2">
        <v>4.35032</v>
      </c>
      <c r="E355" s="2">
        <v>7.6320300000000003</v>
      </c>
      <c r="F355" s="2">
        <v>0</v>
      </c>
      <c r="G355" s="2" t="s">
        <v>433</v>
      </c>
      <c r="H355" s="2" t="s">
        <v>433</v>
      </c>
    </row>
    <row r="356" spans="1:8" ht="15" customHeight="1" x14ac:dyDescent="0.45">
      <c r="A356" s="2" t="s">
        <v>324</v>
      </c>
      <c r="B356" s="2" t="s">
        <v>326</v>
      </c>
      <c r="C356" s="2">
        <v>7.1965100000000004E-2</v>
      </c>
      <c r="D356" s="2">
        <v>4.59917</v>
      </c>
      <c r="E356" s="2">
        <v>8.1363599999999998</v>
      </c>
      <c r="F356" s="2">
        <v>0</v>
      </c>
      <c r="G356" s="2" t="s">
        <v>433</v>
      </c>
      <c r="H356" s="2" t="s">
        <v>433</v>
      </c>
    </row>
    <row r="357" spans="1:8" ht="15" customHeight="1" x14ac:dyDescent="0.45">
      <c r="A357" s="2" t="s">
        <v>324</v>
      </c>
      <c r="B357" s="2" t="s">
        <v>325</v>
      </c>
      <c r="C357" s="2">
        <v>6.5418900000000002E-2</v>
      </c>
      <c r="D357" s="2">
        <v>4.8706300000000002</v>
      </c>
      <c r="E357" s="2">
        <v>8.6405100000000008</v>
      </c>
      <c r="F357" s="2">
        <v>0</v>
      </c>
      <c r="G357" s="2" t="s">
        <v>433</v>
      </c>
      <c r="H357" s="2" t="s">
        <v>433</v>
      </c>
    </row>
    <row r="358" spans="1:8" ht="15" customHeight="1" x14ac:dyDescent="0.45">
      <c r="A358" s="2" t="s">
        <v>324</v>
      </c>
      <c r="B358" s="2" t="s">
        <v>323</v>
      </c>
      <c r="C358" s="2">
        <v>5.8845700000000001E-2</v>
      </c>
      <c r="D358" s="2">
        <v>4.6817599999999997</v>
      </c>
      <c r="E358" s="2">
        <v>7.4383400000000002</v>
      </c>
      <c r="F358" s="2">
        <v>1.6130199999999999E-3</v>
      </c>
      <c r="G358" s="2" t="s">
        <v>433</v>
      </c>
      <c r="H358" s="2" t="s">
        <v>433</v>
      </c>
    </row>
    <row r="359" spans="1:8" ht="15" customHeight="1" x14ac:dyDescent="0.45">
      <c r="A359" s="2" t="s">
        <v>321</v>
      </c>
      <c r="B359" s="2" t="s">
        <v>322</v>
      </c>
      <c r="C359" s="2">
        <v>2.1093400000000002E-2</v>
      </c>
      <c r="D359" s="2">
        <v>0.14511399999999999</v>
      </c>
      <c r="E359" s="2">
        <v>0.48616999999999999</v>
      </c>
      <c r="F359" s="2">
        <v>4.1379600000000002E-4</v>
      </c>
      <c r="G359" s="2" t="s">
        <v>433</v>
      </c>
      <c r="H359" s="2" t="s">
        <v>433</v>
      </c>
    </row>
    <row r="360" spans="1:8" ht="15" customHeight="1" x14ac:dyDescent="0.45">
      <c r="A360" s="2" t="s">
        <v>321</v>
      </c>
      <c r="B360" s="2" t="s">
        <v>320</v>
      </c>
      <c r="C360" s="2">
        <v>0.14397799999999999</v>
      </c>
      <c r="D360" s="2">
        <v>6.63957</v>
      </c>
      <c r="E360" s="2">
        <v>14.0785</v>
      </c>
      <c r="F360" s="2">
        <v>9.7875900000000005E-3</v>
      </c>
      <c r="G360" s="2" t="s">
        <v>433</v>
      </c>
      <c r="H360" s="2" t="s">
        <v>433</v>
      </c>
    </row>
    <row r="361" spans="1:8" ht="15" customHeight="1" x14ac:dyDescent="0.45">
      <c r="A361" s="2" t="s">
        <v>312</v>
      </c>
      <c r="B361" s="2" t="s">
        <v>319</v>
      </c>
      <c r="C361" s="2">
        <v>0</v>
      </c>
      <c r="D361" s="2">
        <v>0</v>
      </c>
      <c r="E361" s="2">
        <v>0</v>
      </c>
      <c r="F361" s="2">
        <v>0</v>
      </c>
      <c r="G361" s="2" t="s">
        <v>147</v>
      </c>
      <c r="H361" s="2" t="s">
        <v>147</v>
      </c>
    </row>
    <row r="362" spans="1:8" ht="15" customHeight="1" x14ac:dyDescent="0.45">
      <c r="A362" s="2" t="s">
        <v>312</v>
      </c>
      <c r="B362" s="2" t="s">
        <v>318</v>
      </c>
      <c r="C362" s="2">
        <v>0</v>
      </c>
      <c r="D362" s="2">
        <v>0</v>
      </c>
      <c r="E362" s="2">
        <v>0</v>
      </c>
      <c r="F362" s="2">
        <v>0</v>
      </c>
      <c r="G362" s="2" t="s">
        <v>147</v>
      </c>
      <c r="H362" s="2" t="s">
        <v>147</v>
      </c>
    </row>
    <row r="363" spans="1:8" ht="15" customHeight="1" x14ac:dyDescent="0.45">
      <c r="A363" s="2" t="s">
        <v>312</v>
      </c>
      <c r="B363" s="2" t="s">
        <v>317</v>
      </c>
      <c r="C363" s="2">
        <v>0</v>
      </c>
      <c r="D363" s="2">
        <v>0</v>
      </c>
      <c r="E363" s="2">
        <v>0</v>
      </c>
      <c r="F363" s="2">
        <v>0</v>
      </c>
      <c r="G363" s="2" t="s">
        <v>147</v>
      </c>
      <c r="H363" s="2" t="s">
        <v>147</v>
      </c>
    </row>
    <row r="364" spans="1:8" ht="15" customHeight="1" x14ac:dyDescent="0.45">
      <c r="A364" s="2" t="s">
        <v>312</v>
      </c>
      <c r="B364" s="2" t="s">
        <v>112</v>
      </c>
      <c r="C364" s="2">
        <v>0.11820799999999999</v>
      </c>
      <c r="D364" s="2">
        <v>61.205399999999997</v>
      </c>
      <c r="E364" s="2">
        <v>4.1541499999999996</v>
      </c>
      <c r="F364" s="2">
        <v>7.4309799999999995E-2</v>
      </c>
      <c r="G364" s="2" t="s">
        <v>433</v>
      </c>
      <c r="H364" s="2" t="s">
        <v>433</v>
      </c>
    </row>
    <row r="365" spans="1:8" ht="15" customHeight="1" x14ac:dyDescent="0.45">
      <c r="A365" s="2" t="s">
        <v>312</v>
      </c>
      <c r="B365" s="2" t="s">
        <v>316</v>
      </c>
      <c r="C365" s="2">
        <v>0</v>
      </c>
      <c r="D365" s="2">
        <v>0</v>
      </c>
      <c r="E365" s="2">
        <v>0</v>
      </c>
      <c r="F365" s="2">
        <v>0</v>
      </c>
      <c r="G365" s="2" t="s">
        <v>147</v>
      </c>
      <c r="H365" s="2" t="s">
        <v>147</v>
      </c>
    </row>
    <row r="366" spans="1:8" ht="15" customHeight="1" x14ac:dyDescent="0.45">
      <c r="A366" s="2" t="s">
        <v>312</v>
      </c>
      <c r="B366" s="2" t="s">
        <v>315</v>
      </c>
      <c r="C366" s="2">
        <v>0</v>
      </c>
      <c r="D366" s="2">
        <v>0</v>
      </c>
      <c r="E366" s="2">
        <v>0</v>
      </c>
      <c r="F366" s="2">
        <v>0</v>
      </c>
      <c r="G366" s="2" t="s">
        <v>147</v>
      </c>
      <c r="H366" s="2" t="s">
        <v>147</v>
      </c>
    </row>
    <row r="367" spans="1:8" ht="15" customHeight="1" x14ac:dyDescent="0.45">
      <c r="A367" s="2" t="s">
        <v>312</v>
      </c>
      <c r="B367" s="2" t="s">
        <v>314</v>
      </c>
      <c r="C367" s="2">
        <v>0</v>
      </c>
      <c r="D367" s="2">
        <v>0</v>
      </c>
      <c r="E367" s="2">
        <v>0</v>
      </c>
      <c r="F367" s="2">
        <v>0</v>
      </c>
      <c r="G367" s="2" t="s">
        <v>147</v>
      </c>
      <c r="H367" s="2" t="s">
        <v>147</v>
      </c>
    </row>
    <row r="368" spans="1:8" ht="15" customHeight="1" x14ac:dyDescent="0.45">
      <c r="A368" s="2" t="s">
        <v>312</v>
      </c>
      <c r="B368" s="2" t="s">
        <v>313</v>
      </c>
      <c r="C368" s="2">
        <v>0.54410400000000003</v>
      </c>
      <c r="D368" s="2">
        <v>57.253999999999998</v>
      </c>
      <c r="E368" s="2">
        <v>7.17117</v>
      </c>
      <c r="F368" s="2">
        <v>6.7371399999999998E-2</v>
      </c>
      <c r="G368" s="2" t="s">
        <v>433</v>
      </c>
      <c r="H368" s="2" t="s">
        <v>1528</v>
      </c>
    </row>
    <row r="369" spans="1:8" ht="15" customHeight="1" x14ac:dyDescent="0.45">
      <c r="A369" s="2" t="s">
        <v>312</v>
      </c>
      <c r="B369" s="2" t="s">
        <v>311</v>
      </c>
      <c r="C369" s="2">
        <v>0</v>
      </c>
      <c r="D369" s="2">
        <v>0</v>
      </c>
      <c r="E369" s="2">
        <v>0</v>
      </c>
      <c r="F369" s="2">
        <v>0</v>
      </c>
      <c r="G369" s="2" t="s">
        <v>147</v>
      </c>
      <c r="H369" s="2" t="s">
        <v>147</v>
      </c>
    </row>
    <row r="370" spans="1:8" ht="15" customHeight="1" x14ac:dyDescent="0.45">
      <c r="A370" s="2" t="s">
        <v>1098</v>
      </c>
      <c r="B370" s="2" t="s">
        <v>1097</v>
      </c>
      <c r="C370" s="2">
        <v>0</v>
      </c>
      <c r="D370" s="2">
        <v>0</v>
      </c>
      <c r="E370" s="2">
        <v>0</v>
      </c>
      <c r="F370" s="2">
        <v>0</v>
      </c>
      <c r="G370" s="2" t="s">
        <v>147</v>
      </c>
      <c r="H370" s="2" t="s">
        <v>147</v>
      </c>
    </row>
    <row r="371" spans="1:8" ht="15" customHeight="1" x14ac:dyDescent="0.45">
      <c r="A371" s="2" t="s">
        <v>305</v>
      </c>
      <c r="B371" s="2" t="s">
        <v>310</v>
      </c>
      <c r="C371" s="2">
        <v>0.34172999999999998</v>
      </c>
      <c r="D371" s="2">
        <v>70.140100000000004</v>
      </c>
      <c r="E371" s="2">
        <v>11.589499999999999</v>
      </c>
      <c r="F371" s="2">
        <v>0.15393000000000001</v>
      </c>
      <c r="G371" s="2" t="s">
        <v>147</v>
      </c>
      <c r="H371" s="2" t="s">
        <v>433</v>
      </c>
    </row>
    <row r="372" spans="1:8" ht="15" customHeight="1" x14ac:dyDescent="0.45">
      <c r="A372" s="2" t="s">
        <v>305</v>
      </c>
      <c r="B372" s="2" t="s">
        <v>309</v>
      </c>
      <c r="C372" s="2">
        <v>0.136957</v>
      </c>
      <c r="D372" s="2">
        <v>19.784600000000001</v>
      </c>
      <c r="E372" s="2">
        <v>7.7416099999999997</v>
      </c>
      <c r="F372" s="2">
        <v>3.1819899999999998E-2</v>
      </c>
      <c r="G372" s="2" t="s">
        <v>147</v>
      </c>
      <c r="H372" s="2" t="s">
        <v>433</v>
      </c>
    </row>
    <row r="373" spans="1:8" ht="15" customHeight="1" x14ac:dyDescent="0.45">
      <c r="A373" s="2" t="s">
        <v>305</v>
      </c>
      <c r="B373" s="2" t="s">
        <v>308</v>
      </c>
      <c r="C373" s="2">
        <v>0.15995999999999999</v>
      </c>
      <c r="D373" s="2">
        <v>100.102</v>
      </c>
      <c r="E373" s="2">
        <v>5.7476200000000004</v>
      </c>
      <c r="F373" s="2">
        <v>1.5902699999999999E-2</v>
      </c>
      <c r="G373" s="2" t="s">
        <v>433</v>
      </c>
      <c r="H373" s="2" t="s">
        <v>433</v>
      </c>
    </row>
    <row r="374" spans="1:8" ht="15" customHeight="1" x14ac:dyDescent="0.45">
      <c r="A374" s="2" t="s">
        <v>305</v>
      </c>
      <c r="B374" s="2" t="s">
        <v>307</v>
      </c>
      <c r="C374" s="2">
        <v>0</v>
      </c>
      <c r="D374" s="2">
        <v>0</v>
      </c>
      <c r="E374" s="2">
        <v>0</v>
      </c>
      <c r="F374" s="2">
        <v>0</v>
      </c>
      <c r="G374" s="2" t="s">
        <v>147</v>
      </c>
      <c r="H374" s="2" t="s">
        <v>147</v>
      </c>
    </row>
    <row r="375" spans="1:8" ht="15" customHeight="1" x14ac:dyDescent="0.45">
      <c r="A375" s="2" t="s">
        <v>305</v>
      </c>
      <c r="B375" s="2" t="s">
        <v>306</v>
      </c>
      <c r="C375" s="2">
        <v>0.63363800000000003</v>
      </c>
      <c r="D375" s="2">
        <v>189.98699999999999</v>
      </c>
      <c r="E375" s="2">
        <v>2.9547099999999999</v>
      </c>
      <c r="F375" s="2">
        <v>8.6936299999999994E-2</v>
      </c>
      <c r="G375" s="2" t="s">
        <v>433</v>
      </c>
      <c r="H375" s="2" t="s">
        <v>433</v>
      </c>
    </row>
    <row r="376" spans="1:8" ht="15" customHeight="1" x14ac:dyDescent="0.45">
      <c r="A376" s="2" t="s">
        <v>305</v>
      </c>
      <c r="B376" s="2" t="s">
        <v>304</v>
      </c>
      <c r="C376" s="2">
        <v>0.28007500000000002</v>
      </c>
      <c r="D376" s="2">
        <v>36.499099999999999</v>
      </c>
      <c r="E376" s="2">
        <v>20.032399999999999</v>
      </c>
      <c r="F376" s="2">
        <v>8.5255499999999998E-2</v>
      </c>
      <c r="G376" s="2" t="s">
        <v>147</v>
      </c>
      <c r="H376" s="2" t="s">
        <v>433</v>
      </c>
    </row>
    <row r="377" spans="1:8" ht="15" customHeight="1" x14ac:dyDescent="0.45">
      <c r="A377" s="2" t="s">
        <v>120</v>
      </c>
      <c r="B377" s="2" t="s">
        <v>1096</v>
      </c>
      <c r="C377" s="2">
        <v>0</v>
      </c>
      <c r="D377" s="2">
        <v>0</v>
      </c>
      <c r="E377" s="2">
        <v>0</v>
      </c>
      <c r="F377" s="2">
        <v>0</v>
      </c>
      <c r="G377" s="2" t="s">
        <v>147</v>
      </c>
      <c r="H377" s="2" t="s">
        <v>147</v>
      </c>
    </row>
    <row r="378" spans="1:8" ht="15" customHeight="1" x14ac:dyDescent="0.45">
      <c r="A378" s="2" t="s">
        <v>120</v>
      </c>
      <c r="B378" s="2" t="s">
        <v>121</v>
      </c>
      <c r="C378" s="2">
        <v>0</v>
      </c>
      <c r="D378" s="2">
        <v>0</v>
      </c>
      <c r="E378" s="2">
        <v>0</v>
      </c>
      <c r="F378" s="2">
        <v>0</v>
      </c>
      <c r="G378" s="2" t="s">
        <v>147</v>
      </c>
      <c r="H378" s="2" t="s">
        <v>147</v>
      </c>
    </row>
    <row r="379" spans="1:8" ht="15" customHeight="1" x14ac:dyDescent="0.45">
      <c r="A379" s="2" t="s">
        <v>120</v>
      </c>
      <c r="B379" s="2" t="s">
        <v>1095</v>
      </c>
      <c r="C379" s="2">
        <v>0</v>
      </c>
      <c r="D379" s="2">
        <v>0</v>
      </c>
      <c r="E379" s="2">
        <v>0</v>
      </c>
      <c r="F379" s="2">
        <v>0</v>
      </c>
      <c r="G379" s="2" t="s">
        <v>147</v>
      </c>
      <c r="H379" s="2" t="s">
        <v>147</v>
      </c>
    </row>
    <row r="380" spans="1:8" ht="15" customHeight="1" x14ac:dyDescent="0.45">
      <c r="A380" s="2" t="s">
        <v>120</v>
      </c>
      <c r="B380" s="2" t="s">
        <v>1094</v>
      </c>
      <c r="C380" s="2">
        <v>0</v>
      </c>
      <c r="D380" s="2">
        <v>0</v>
      </c>
      <c r="E380" s="2">
        <v>0</v>
      </c>
      <c r="F380" s="2">
        <v>0</v>
      </c>
      <c r="G380" s="2" t="s">
        <v>147</v>
      </c>
      <c r="H380" s="2" t="s">
        <v>147</v>
      </c>
    </row>
    <row r="381" spans="1:8" ht="15" customHeight="1" x14ac:dyDescent="0.45">
      <c r="A381" s="2" t="s">
        <v>123</v>
      </c>
      <c r="B381" s="2" t="s">
        <v>124</v>
      </c>
      <c r="C381" s="2">
        <v>0</v>
      </c>
      <c r="D381" s="2">
        <v>0</v>
      </c>
      <c r="E381" s="2">
        <v>0</v>
      </c>
      <c r="F381" s="2">
        <v>0</v>
      </c>
      <c r="G381" s="2" t="s">
        <v>147</v>
      </c>
      <c r="H381" s="2" t="s">
        <v>147</v>
      </c>
    </row>
    <row r="382" spans="1:8" ht="15" customHeight="1" x14ac:dyDescent="0.45">
      <c r="A382" s="2" t="s">
        <v>1090</v>
      </c>
      <c r="B382" s="2" t="s">
        <v>1093</v>
      </c>
      <c r="C382" s="2">
        <v>0</v>
      </c>
      <c r="D382" s="2">
        <v>0</v>
      </c>
      <c r="E382" s="2">
        <v>0</v>
      </c>
      <c r="F382" s="2">
        <v>0</v>
      </c>
      <c r="G382" s="2" t="s">
        <v>147</v>
      </c>
      <c r="H382" s="2" t="s">
        <v>147</v>
      </c>
    </row>
    <row r="383" spans="1:8" ht="15" customHeight="1" x14ac:dyDescent="0.45">
      <c r="A383" s="2" t="s">
        <v>1090</v>
      </c>
      <c r="B383" s="2" t="s">
        <v>1092</v>
      </c>
      <c r="C383" s="2">
        <v>0</v>
      </c>
      <c r="D383" s="2">
        <v>0</v>
      </c>
      <c r="E383" s="2">
        <v>0</v>
      </c>
      <c r="F383" s="2">
        <v>0</v>
      </c>
      <c r="G383" s="2" t="s">
        <v>147</v>
      </c>
      <c r="H383" s="2" t="s">
        <v>147</v>
      </c>
    </row>
    <row r="384" spans="1:8" ht="15" customHeight="1" x14ac:dyDescent="0.45">
      <c r="A384" s="2" t="s">
        <v>1090</v>
      </c>
      <c r="B384" s="2" t="s">
        <v>1091</v>
      </c>
      <c r="C384" s="2">
        <v>0</v>
      </c>
      <c r="D384" s="2">
        <v>0</v>
      </c>
      <c r="E384" s="2">
        <v>0</v>
      </c>
      <c r="F384" s="2">
        <v>0</v>
      </c>
      <c r="G384" s="2" t="s">
        <v>147</v>
      </c>
      <c r="H384" s="2" t="s">
        <v>147</v>
      </c>
    </row>
    <row r="385" spans="1:8" ht="15" customHeight="1" x14ac:dyDescent="0.45">
      <c r="A385" s="2" t="s">
        <v>1090</v>
      </c>
      <c r="B385" s="2" t="s">
        <v>1089</v>
      </c>
      <c r="C385" s="2">
        <v>0</v>
      </c>
      <c r="D385" s="2">
        <v>0</v>
      </c>
      <c r="E385" s="2">
        <v>0</v>
      </c>
      <c r="F385" s="2">
        <v>0</v>
      </c>
      <c r="G385" s="2" t="s">
        <v>147</v>
      </c>
      <c r="H385" s="2" t="s">
        <v>147</v>
      </c>
    </row>
    <row r="386" spans="1:8" ht="15" customHeight="1" x14ac:dyDescent="0.45">
      <c r="A386" s="2" t="s">
        <v>299</v>
      </c>
      <c r="B386" s="2" t="s">
        <v>302</v>
      </c>
      <c r="C386" s="2">
        <v>6.5351900000000004E-2</v>
      </c>
      <c r="D386" s="2">
        <v>9.2408199999999994</v>
      </c>
      <c r="E386" s="2">
        <v>9.6988900000000005</v>
      </c>
      <c r="F386" s="2">
        <v>1.0724900000000001E-2</v>
      </c>
      <c r="G386" s="2" t="s">
        <v>147</v>
      </c>
      <c r="H386" s="2" t="s">
        <v>433</v>
      </c>
    </row>
    <row r="387" spans="1:8" ht="15" customHeight="1" x14ac:dyDescent="0.45">
      <c r="A387" s="2" t="s">
        <v>299</v>
      </c>
      <c r="B387" s="2" t="s">
        <v>301</v>
      </c>
      <c r="C387" s="2">
        <v>0</v>
      </c>
      <c r="D387" s="2">
        <v>0</v>
      </c>
      <c r="E387" s="2">
        <v>0</v>
      </c>
      <c r="F387" s="2">
        <v>0</v>
      </c>
      <c r="G387" s="2" t="s">
        <v>147</v>
      </c>
      <c r="H387" s="2" t="s">
        <v>147</v>
      </c>
    </row>
    <row r="388" spans="1:8" ht="15" customHeight="1" x14ac:dyDescent="0.45">
      <c r="A388" s="2" t="s">
        <v>299</v>
      </c>
      <c r="B388" s="2" t="s">
        <v>300</v>
      </c>
      <c r="C388" s="2">
        <v>0.188254</v>
      </c>
      <c r="D388" s="2">
        <v>9.93872</v>
      </c>
      <c r="E388" s="2">
        <v>18.3644</v>
      </c>
      <c r="F388" s="2">
        <v>1.3580200000000001E-2</v>
      </c>
      <c r="G388" s="2" t="s">
        <v>433</v>
      </c>
      <c r="H388" s="2" t="s">
        <v>433</v>
      </c>
    </row>
    <row r="389" spans="1:8" ht="15" customHeight="1" x14ac:dyDescent="0.45">
      <c r="A389" s="2" t="s">
        <v>299</v>
      </c>
      <c r="B389" s="2" t="s">
        <v>298</v>
      </c>
      <c r="C389" s="2">
        <v>0.10829900000000001</v>
      </c>
      <c r="D389" s="2">
        <v>4.30898</v>
      </c>
      <c r="E389" s="2">
        <v>7.1756900000000003</v>
      </c>
      <c r="F389" s="2">
        <v>2.1822299999999998E-3</v>
      </c>
      <c r="G389" s="2" t="s">
        <v>433</v>
      </c>
      <c r="H389" s="2" t="s">
        <v>433</v>
      </c>
    </row>
    <row r="390" spans="1:8" ht="15" customHeight="1" x14ac:dyDescent="0.45">
      <c r="A390" s="2" t="s">
        <v>297</v>
      </c>
      <c r="B390" s="2" t="s">
        <v>296</v>
      </c>
      <c r="C390" s="2">
        <v>5.8462300000000002E-2</v>
      </c>
      <c r="D390" s="2">
        <v>24.585599999999999</v>
      </c>
      <c r="E390" s="2">
        <v>3.2412700000000001</v>
      </c>
      <c r="F390" s="2">
        <v>1.02562E-2</v>
      </c>
      <c r="G390" s="2" t="s">
        <v>433</v>
      </c>
      <c r="H390" s="2" t="s">
        <v>433</v>
      </c>
    </row>
    <row r="391" spans="1:8" ht="15" customHeight="1" x14ac:dyDescent="0.45">
      <c r="A391" s="2" t="s">
        <v>295</v>
      </c>
      <c r="B391" s="2" t="s">
        <v>127</v>
      </c>
      <c r="C391" s="2">
        <v>0.157696</v>
      </c>
      <c r="D391" s="2">
        <v>29.6631</v>
      </c>
      <c r="E391" s="2">
        <v>1.8173900000000001</v>
      </c>
      <c r="F391" s="2">
        <v>7.6237100000000002E-2</v>
      </c>
      <c r="G391" s="2" t="s">
        <v>147</v>
      </c>
      <c r="H391" s="2" t="s">
        <v>433</v>
      </c>
    </row>
    <row r="392" spans="1:8" ht="15" customHeight="1" x14ac:dyDescent="0.45">
      <c r="A392" s="2" t="s">
        <v>126</v>
      </c>
      <c r="B392" s="2" t="s">
        <v>1088</v>
      </c>
      <c r="C392" s="2">
        <v>0</v>
      </c>
      <c r="D392" s="2">
        <v>0</v>
      </c>
      <c r="E392" s="2">
        <v>0</v>
      </c>
      <c r="F392" s="2">
        <v>0</v>
      </c>
      <c r="G392" s="2" t="s">
        <v>147</v>
      </c>
      <c r="H392" s="2" t="s">
        <v>147</v>
      </c>
    </row>
    <row r="393" spans="1:8" ht="15" customHeight="1" x14ac:dyDescent="0.45">
      <c r="A393" s="2" t="s">
        <v>289</v>
      </c>
      <c r="B393" s="2" t="s">
        <v>294</v>
      </c>
      <c r="C393" s="2">
        <v>4.2031300000000001E-2</v>
      </c>
      <c r="D393" s="2">
        <v>5.07355</v>
      </c>
      <c r="E393" s="2">
        <v>9.0767000000000007</v>
      </c>
      <c r="F393" s="2">
        <v>0</v>
      </c>
      <c r="G393" s="2" t="s">
        <v>433</v>
      </c>
      <c r="H393" s="2" t="s">
        <v>433</v>
      </c>
    </row>
    <row r="394" spans="1:8" ht="15" customHeight="1" x14ac:dyDescent="0.45">
      <c r="A394" s="2" t="s">
        <v>289</v>
      </c>
      <c r="B394" s="2" t="s">
        <v>293</v>
      </c>
      <c r="C394" s="2">
        <v>5.8329199999999998E-2</v>
      </c>
      <c r="D394" s="2">
        <v>4.9020799999999998</v>
      </c>
      <c r="E394" s="2">
        <v>4.81088</v>
      </c>
      <c r="F394" s="2">
        <v>2.2973500000000001E-3</v>
      </c>
      <c r="G394" s="2" t="s">
        <v>433</v>
      </c>
      <c r="H394" s="2" t="s">
        <v>433</v>
      </c>
    </row>
    <row r="395" spans="1:8" ht="15" customHeight="1" x14ac:dyDescent="0.45">
      <c r="A395" s="2" t="s">
        <v>289</v>
      </c>
      <c r="B395" s="2" t="s">
        <v>292</v>
      </c>
      <c r="C395" s="2">
        <v>9.5509200000000002E-2</v>
      </c>
      <c r="D395" s="2">
        <v>18.661999999999999</v>
      </c>
      <c r="E395" s="2">
        <v>10.5763</v>
      </c>
      <c r="F395" s="2">
        <v>3.5155600000000002E-2</v>
      </c>
      <c r="G395" s="2" t="s">
        <v>433</v>
      </c>
      <c r="H395" s="2" t="s">
        <v>433</v>
      </c>
    </row>
    <row r="396" spans="1:8" ht="15" customHeight="1" x14ac:dyDescent="0.45">
      <c r="A396" s="2" t="s">
        <v>289</v>
      </c>
      <c r="B396" s="2" t="s">
        <v>291</v>
      </c>
      <c r="C396" s="2">
        <v>8.3316000000000001E-2</v>
      </c>
      <c r="D396" s="2">
        <v>99.525800000000004</v>
      </c>
      <c r="E396" s="2">
        <v>3.0600800000000001</v>
      </c>
      <c r="F396" s="2">
        <v>6.2459200000000003E-3</v>
      </c>
      <c r="G396" s="2" t="s">
        <v>433</v>
      </c>
      <c r="H396" s="2" t="s">
        <v>433</v>
      </c>
    </row>
    <row r="397" spans="1:8" ht="15" customHeight="1" x14ac:dyDescent="0.45">
      <c r="A397" s="2" t="s">
        <v>289</v>
      </c>
      <c r="B397" s="2" t="s">
        <v>290</v>
      </c>
      <c r="C397" s="2">
        <v>0.30890699999999999</v>
      </c>
      <c r="D397" s="2">
        <v>67.706599999999995</v>
      </c>
      <c r="E397" s="2">
        <v>8.8831799999999994</v>
      </c>
      <c r="F397" s="2">
        <v>0.16142400000000001</v>
      </c>
      <c r="G397" s="2" t="s">
        <v>433</v>
      </c>
      <c r="H397" s="2" t="s">
        <v>433</v>
      </c>
    </row>
    <row r="398" spans="1:8" ht="15" customHeight="1" x14ac:dyDescent="0.45">
      <c r="A398" s="2" t="s">
        <v>289</v>
      </c>
      <c r="B398" s="2" t="s">
        <v>288</v>
      </c>
      <c r="C398" s="2">
        <v>7.5026800000000005E-2</v>
      </c>
      <c r="D398" s="2">
        <v>10</v>
      </c>
      <c r="E398" s="2">
        <v>5.7117500000000003</v>
      </c>
      <c r="F398" s="2">
        <v>1.42153E-2</v>
      </c>
      <c r="G398" s="2" t="s">
        <v>433</v>
      </c>
      <c r="H398" s="2" t="s">
        <v>433</v>
      </c>
    </row>
    <row r="399" spans="1:8" ht="15" customHeight="1" x14ac:dyDescent="0.45">
      <c r="A399" s="2" t="s">
        <v>286</v>
      </c>
      <c r="B399" s="2" t="s">
        <v>287</v>
      </c>
      <c r="C399" s="2">
        <v>6.5284099999999998E-2</v>
      </c>
      <c r="D399" s="2">
        <v>0.25764700000000001</v>
      </c>
      <c r="E399" s="2">
        <v>1.32064</v>
      </c>
      <c r="F399" s="2">
        <v>0</v>
      </c>
      <c r="G399" s="2" t="s">
        <v>147</v>
      </c>
      <c r="H399" s="2" t="s">
        <v>433</v>
      </c>
    </row>
    <row r="400" spans="1:8" ht="15" customHeight="1" x14ac:dyDescent="0.45">
      <c r="A400" s="2" t="s">
        <v>286</v>
      </c>
      <c r="B400" s="2" t="s">
        <v>285</v>
      </c>
      <c r="C400" s="2">
        <v>5.8662400000000003E-2</v>
      </c>
      <c r="D400" s="2">
        <v>26.299800000000001</v>
      </c>
      <c r="E400" s="2">
        <v>3.3442799999999999</v>
      </c>
      <c r="F400" s="2">
        <v>5.4509399999999996E-3</v>
      </c>
      <c r="G400" s="2" t="s">
        <v>147</v>
      </c>
      <c r="H400" s="2" t="s">
        <v>433</v>
      </c>
    </row>
    <row r="401" spans="1:8" ht="15" customHeight="1" x14ac:dyDescent="0.45">
      <c r="A401" s="2" t="s">
        <v>284</v>
      </c>
      <c r="B401" s="2" t="s">
        <v>283</v>
      </c>
      <c r="C401" s="2">
        <v>9.56761E-2</v>
      </c>
      <c r="D401" s="2">
        <v>4.6312699999999998</v>
      </c>
      <c r="E401" s="2">
        <v>5.0730399999999998</v>
      </c>
      <c r="F401" s="2">
        <v>2.2895200000000002E-3</v>
      </c>
      <c r="G401" s="2" t="s">
        <v>433</v>
      </c>
      <c r="H401" s="2" t="s">
        <v>433</v>
      </c>
    </row>
    <row r="402" spans="1:8" ht="15" customHeight="1" x14ac:dyDescent="0.45">
      <c r="A402" s="2" t="s">
        <v>280</v>
      </c>
      <c r="B402" s="2" t="s">
        <v>282</v>
      </c>
      <c r="C402" s="2">
        <v>0.16406699999999999</v>
      </c>
      <c r="D402" s="2">
        <v>10.669</v>
      </c>
      <c r="E402" s="2">
        <v>15.293799999999999</v>
      </c>
      <c r="F402" s="2">
        <v>2.1919899999999999E-2</v>
      </c>
      <c r="G402" s="2" t="s">
        <v>433</v>
      </c>
      <c r="H402" s="2" t="s">
        <v>433</v>
      </c>
    </row>
    <row r="403" spans="1:8" ht="15" customHeight="1" x14ac:dyDescent="0.45">
      <c r="A403" s="2" t="s">
        <v>280</v>
      </c>
      <c r="B403" s="2" t="s">
        <v>281</v>
      </c>
      <c r="C403" s="2">
        <v>9.6783599999999997E-2</v>
      </c>
      <c r="D403" s="2">
        <v>6.7245299999999997</v>
      </c>
      <c r="E403" s="2">
        <v>11.331</v>
      </c>
      <c r="F403" s="2">
        <v>3.9180899999999999E-3</v>
      </c>
      <c r="G403" s="2" t="s">
        <v>433</v>
      </c>
      <c r="H403" s="2" t="s">
        <v>433</v>
      </c>
    </row>
    <row r="404" spans="1:8" ht="15" customHeight="1" x14ac:dyDescent="0.45">
      <c r="A404" s="2" t="s">
        <v>280</v>
      </c>
      <c r="B404" s="2" t="s">
        <v>279</v>
      </c>
      <c r="C404" s="2">
        <v>0.260521</v>
      </c>
      <c r="D404" s="2">
        <v>4.1198899999999998</v>
      </c>
      <c r="E404" s="2">
        <v>14.419600000000001</v>
      </c>
      <c r="F404" s="2">
        <v>0</v>
      </c>
      <c r="G404" s="2" t="s">
        <v>433</v>
      </c>
      <c r="H404" s="2" t="s">
        <v>433</v>
      </c>
    </row>
    <row r="405" spans="1:8" ht="15" customHeight="1" x14ac:dyDescent="0.45">
      <c r="A405" s="2" t="s">
        <v>1087</v>
      </c>
      <c r="B405" s="2" t="s">
        <v>1086</v>
      </c>
      <c r="C405" s="2">
        <v>0</v>
      </c>
      <c r="D405" s="2">
        <v>0</v>
      </c>
      <c r="E405" s="2">
        <v>0</v>
      </c>
      <c r="F405" s="2">
        <v>0</v>
      </c>
      <c r="G405" s="2" t="s">
        <v>147</v>
      </c>
      <c r="H405" s="2" t="s">
        <v>147</v>
      </c>
    </row>
    <row r="406" spans="1:8" ht="15" customHeight="1" x14ac:dyDescent="0.45">
      <c r="A406" s="2" t="s">
        <v>278</v>
      </c>
      <c r="B406" s="2" t="s">
        <v>278</v>
      </c>
      <c r="C406" s="2">
        <v>0</v>
      </c>
      <c r="D406" s="2">
        <v>0</v>
      </c>
      <c r="E406" s="2">
        <v>0</v>
      </c>
      <c r="F406" s="2">
        <v>0</v>
      </c>
      <c r="G406" s="2" t="s">
        <v>147</v>
      </c>
      <c r="H406" s="2" t="s">
        <v>147</v>
      </c>
    </row>
    <row r="407" spans="1:8" ht="15" customHeight="1" x14ac:dyDescent="0.45">
      <c r="A407" s="2" t="s">
        <v>129</v>
      </c>
      <c r="B407" s="2" t="s">
        <v>131</v>
      </c>
      <c r="C407" s="2">
        <v>0</v>
      </c>
      <c r="D407" s="2">
        <v>0</v>
      </c>
      <c r="E407" s="2">
        <v>0</v>
      </c>
      <c r="F407" s="2">
        <v>0</v>
      </c>
      <c r="G407" s="2" t="s">
        <v>147</v>
      </c>
      <c r="H407" s="2" t="s">
        <v>147</v>
      </c>
    </row>
    <row r="408" spans="1:8" ht="15" customHeight="1" x14ac:dyDescent="0.45">
      <c r="A408" s="2" t="s">
        <v>277</v>
      </c>
      <c r="B408" s="2" t="s">
        <v>130</v>
      </c>
      <c r="C408" s="2">
        <v>0.109415</v>
      </c>
      <c r="D408" s="2">
        <v>13.3127</v>
      </c>
      <c r="E408" s="2">
        <v>10.1302</v>
      </c>
      <c r="F408" s="2">
        <v>7.1081099999999999E-3</v>
      </c>
      <c r="G408" s="2" t="s">
        <v>147</v>
      </c>
      <c r="H408" s="2" t="s">
        <v>433</v>
      </c>
    </row>
    <row r="409" spans="1:8" ht="15" customHeight="1" x14ac:dyDescent="0.45">
      <c r="A409" s="2" t="s">
        <v>1085</v>
      </c>
      <c r="B409" s="2" t="s">
        <v>1084</v>
      </c>
      <c r="C409" s="2">
        <v>0</v>
      </c>
      <c r="D409" s="2">
        <v>0</v>
      </c>
      <c r="E409" s="2">
        <v>0</v>
      </c>
      <c r="F409" s="2">
        <v>0</v>
      </c>
      <c r="G409" s="2" t="s">
        <v>147</v>
      </c>
      <c r="H409" s="2" t="s">
        <v>147</v>
      </c>
    </row>
    <row r="410" spans="1:8" ht="15" customHeight="1" x14ac:dyDescent="0.45">
      <c r="A410" s="2" t="s">
        <v>276</v>
      </c>
      <c r="B410" s="2" t="s">
        <v>275</v>
      </c>
      <c r="C410" s="2">
        <v>7.8239199999999995E-2</v>
      </c>
      <c r="D410" s="2">
        <v>5.0081699999999998</v>
      </c>
      <c r="E410" s="2">
        <v>6.5769299999999999</v>
      </c>
      <c r="F410" s="2">
        <v>4.1560199999999999E-3</v>
      </c>
      <c r="G410" s="2" t="s">
        <v>433</v>
      </c>
      <c r="H410" s="2" t="s">
        <v>433</v>
      </c>
    </row>
    <row r="411" spans="1:8" ht="15" customHeight="1" x14ac:dyDescent="0.45">
      <c r="A411" s="2" t="s">
        <v>273</v>
      </c>
      <c r="B411" s="2" t="s">
        <v>272</v>
      </c>
      <c r="C411" s="2">
        <v>0.105015</v>
      </c>
      <c r="D411" s="2">
        <v>8.2352699999999999</v>
      </c>
      <c r="E411" s="2">
        <v>10.757999999999999</v>
      </c>
      <c r="F411" s="2">
        <v>1.30206E-2</v>
      </c>
      <c r="G411" s="2" t="s">
        <v>433</v>
      </c>
      <c r="H411" s="2" t="s">
        <v>433</v>
      </c>
    </row>
    <row r="412" spans="1:8" ht="15" customHeight="1" x14ac:dyDescent="0.45">
      <c r="A412" s="2" t="s">
        <v>271</v>
      </c>
      <c r="B412" s="2" t="s">
        <v>270</v>
      </c>
      <c r="C412" s="2">
        <v>2.8079199999999999E-2</v>
      </c>
      <c r="D412" s="2">
        <v>3.4</v>
      </c>
      <c r="E412" s="2">
        <v>5.9264000000000001</v>
      </c>
      <c r="F412" s="2">
        <v>3.3444900000000001E-4</v>
      </c>
      <c r="G412" s="2" t="s">
        <v>433</v>
      </c>
      <c r="H412" s="2" t="s">
        <v>433</v>
      </c>
    </row>
    <row r="413" spans="1:8" ht="15" customHeight="1" x14ac:dyDescent="0.45">
      <c r="A413" s="2" t="s">
        <v>267</v>
      </c>
      <c r="B413" s="2" t="s">
        <v>269</v>
      </c>
      <c r="C413" s="2">
        <v>0.18846099999999999</v>
      </c>
      <c r="D413" s="2">
        <v>10.646599999999999</v>
      </c>
      <c r="E413" s="2">
        <v>17.704599999999999</v>
      </c>
      <c r="F413" s="2">
        <v>5.9525200000000002E-3</v>
      </c>
      <c r="G413" s="2" t="s">
        <v>147</v>
      </c>
      <c r="H413" s="2" t="s">
        <v>433</v>
      </c>
    </row>
    <row r="414" spans="1:8" ht="15" customHeight="1" x14ac:dyDescent="0.45">
      <c r="A414" s="2" t="s">
        <v>267</v>
      </c>
      <c r="B414" s="2" t="s">
        <v>268</v>
      </c>
      <c r="C414" s="2">
        <v>0.15215000000000001</v>
      </c>
      <c r="D414" s="2">
        <v>9.8702299999999994</v>
      </c>
      <c r="E414" s="2">
        <v>15.1592</v>
      </c>
      <c r="F414" s="2">
        <v>5.1217900000000002E-3</v>
      </c>
      <c r="G414" s="2" t="s">
        <v>147</v>
      </c>
      <c r="H414" s="2" t="s">
        <v>433</v>
      </c>
    </row>
    <row r="415" spans="1:8" ht="15" customHeight="1" x14ac:dyDescent="0.45">
      <c r="A415" s="2" t="s">
        <v>267</v>
      </c>
      <c r="B415" s="2" t="s">
        <v>266</v>
      </c>
      <c r="C415" s="2">
        <v>0.172737</v>
      </c>
      <c r="D415" s="2">
        <v>109.75</v>
      </c>
      <c r="E415" s="2">
        <v>5.5327400000000004</v>
      </c>
      <c r="F415" s="2">
        <v>1.3356700000000001E-2</v>
      </c>
      <c r="G415" s="2" t="s">
        <v>433</v>
      </c>
      <c r="H415" s="2" t="s">
        <v>433</v>
      </c>
    </row>
    <row r="416" spans="1:8" ht="15" customHeight="1" x14ac:dyDescent="0.45">
      <c r="A416" s="2" t="s">
        <v>263</v>
      </c>
      <c r="B416" s="2" t="s">
        <v>265</v>
      </c>
      <c r="C416" s="2">
        <v>0.18915999999999999</v>
      </c>
      <c r="D416" s="2">
        <v>14.821999999999999</v>
      </c>
      <c r="E416" s="2">
        <v>17.1374</v>
      </c>
      <c r="F416" s="2">
        <v>2.3725699999999999E-2</v>
      </c>
      <c r="G416" s="2" t="s">
        <v>147</v>
      </c>
      <c r="H416" s="2" t="s">
        <v>433</v>
      </c>
    </row>
    <row r="417" spans="1:8" ht="15" customHeight="1" x14ac:dyDescent="0.45">
      <c r="A417" s="2" t="s">
        <v>263</v>
      </c>
      <c r="B417" s="2" t="s">
        <v>264</v>
      </c>
      <c r="C417" s="2">
        <v>0.15484600000000001</v>
      </c>
      <c r="D417" s="2">
        <v>8.0158900000000006</v>
      </c>
      <c r="E417" s="2">
        <v>15.797599999999999</v>
      </c>
      <c r="F417" s="2">
        <v>4.2784700000000004E-3</v>
      </c>
      <c r="G417" s="2" t="s">
        <v>147</v>
      </c>
      <c r="H417" s="2" t="s">
        <v>433</v>
      </c>
    </row>
    <row r="418" spans="1:8" ht="15" customHeight="1" x14ac:dyDescent="0.45">
      <c r="A418" s="2" t="s">
        <v>263</v>
      </c>
      <c r="B418" s="2" t="s">
        <v>262</v>
      </c>
      <c r="C418" s="2">
        <v>5.5099799999999997E-2</v>
      </c>
      <c r="D418" s="2">
        <v>7.4189499999999997</v>
      </c>
      <c r="E418" s="2">
        <v>3.7822300000000002</v>
      </c>
      <c r="F418" s="2">
        <v>1.13224E-2</v>
      </c>
      <c r="G418" s="2" t="s">
        <v>433</v>
      </c>
      <c r="H418" s="2" t="s">
        <v>433</v>
      </c>
    </row>
    <row r="419" spans="1:8" ht="15" customHeight="1" x14ac:dyDescent="0.45">
      <c r="A419" s="2" t="s">
        <v>258</v>
      </c>
      <c r="B419" s="2" t="s">
        <v>261</v>
      </c>
      <c r="C419" s="2">
        <v>0.39340999999999998</v>
      </c>
      <c r="D419" s="2">
        <v>65.859800000000007</v>
      </c>
      <c r="E419" s="2">
        <v>19.493300000000001</v>
      </c>
      <c r="F419" s="2">
        <v>0.17857100000000001</v>
      </c>
      <c r="G419" s="2" t="s">
        <v>433</v>
      </c>
      <c r="H419" s="2" t="s">
        <v>433</v>
      </c>
    </row>
    <row r="420" spans="1:8" ht="15" customHeight="1" x14ac:dyDescent="0.45">
      <c r="A420" s="2" t="s">
        <v>258</v>
      </c>
      <c r="B420" s="2" t="s">
        <v>260</v>
      </c>
      <c r="C420" s="2">
        <v>0.186443</v>
      </c>
      <c r="D420" s="2">
        <v>6.8726599999999998</v>
      </c>
      <c r="E420" s="2">
        <v>19.990200000000002</v>
      </c>
      <c r="F420" s="2">
        <v>2.2442500000000002E-3</v>
      </c>
      <c r="G420" s="2" t="s">
        <v>147</v>
      </c>
      <c r="H420" s="2" t="s">
        <v>433</v>
      </c>
    </row>
    <row r="421" spans="1:8" ht="15" customHeight="1" x14ac:dyDescent="0.45">
      <c r="A421" s="2" t="s">
        <v>258</v>
      </c>
      <c r="B421" s="2" t="s">
        <v>259</v>
      </c>
      <c r="C421" s="2">
        <v>8.2292400000000002E-2</v>
      </c>
      <c r="D421" s="2">
        <v>14.2164</v>
      </c>
      <c r="E421" s="2">
        <v>10.676600000000001</v>
      </c>
      <c r="F421" s="2">
        <v>2.1598099999999999E-2</v>
      </c>
      <c r="G421" s="2" t="s">
        <v>433</v>
      </c>
      <c r="H421" s="2" t="s">
        <v>433</v>
      </c>
    </row>
    <row r="422" spans="1:8" ht="15" customHeight="1" x14ac:dyDescent="0.45">
      <c r="A422" s="2" t="s">
        <v>258</v>
      </c>
      <c r="B422" s="2" t="s">
        <v>257</v>
      </c>
      <c r="C422" s="2">
        <v>0.12786900000000001</v>
      </c>
      <c r="D422" s="2">
        <v>50.061100000000003</v>
      </c>
      <c r="E422" s="2">
        <v>4.7097199999999999</v>
      </c>
      <c r="F422" s="2">
        <v>1.7233100000000001E-2</v>
      </c>
      <c r="G422" s="2" t="s">
        <v>433</v>
      </c>
      <c r="H422" s="2" t="s">
        <v>433</v>
      </c>
    </row>
    <row r="423" spans="1:8" ht="15" customHeight="1" x14ac:dyDescent="0.45">
      <c r="A423" s="2" t="s">
        <v>255</v>
      </c>
      <c r="B423" s="2" t="s">
        <v>256</v>
      </c>
      <c r="C423" s="2">
        <v>0.12223299999999999</v>
      </c>
      <c r="D423" s="2">
        <v>11.102399999999999</v>
      </c>
      <c r="E423" s="2">
        <v>12.4251</v>
      </c>
      <c r="F423" s="2">
        <v>1.4141300000000001E-2</v>
      </c>
      <c r="G423" s="2" t="s">
        <v>433</v>
      </c>
      <c r="H423" s="2" t="s">
        <v>433</v>
      </c>
    </row>
    <row r="424" spans="1:8" ht="15" customHeight="1" x14ac:dyDescent="0.45">
      <c r="A424" s="2" t="s">
        <v>255</v>
      </c>
      <c r="B424" s="2" t="s">
        <v>254</v>
      </c>
      <c r="C424" s="2">
        <v>8.8164699999999999E-2</v>
      </c>
      <c r="D424" s="2">
        <v>9.1612200000000001</v>
      </c>
      <c r="E424" s="2">
        <v>8.7637099999999997</v>
      </c>
      <c r="F424" s="2">
        <v>1.17608E-2</v>
      </c>
      <c r="G424" s="2" t="s">
        <v>433</v>
      </c>
      <c r="H424" s="2" t="s">
        <v>433</v>
      </c>
    </row>
    <row r="425" spans="1:8" ht="15" customHeight="1" x14ac:dyDescent="0.45">
      <c r="A425" s="2" t="s">
        <v>253</v>
      </c>
      <c r="B425" s="2" t="s">
        <v>252</v>
      </c>
      <c r="C425" s="2">
        <v>3.9135099999999999E-2</v>
      </c>
      <c r="D425" s="2">
        <v>5.3198699999999999</v>
      </c>
      <c r="E425" s="2">
        <v>8.9304000000000006</v>
      </c>
      <c r="F425" s="2">
        <v>6.5808999999999996E-4</v>
      </c>
      <c r="G425" s="2" t="s">
        <v>433</v>
      </c>
      <c r="H425" s="2" t="s">
        <v>433</v>
      </c>
    </row>
    <row r="426" spans="1:8" ht="15" customHeight="1" x14ac:dyDescent="0.45">
      <c r="A426" s="2" t="s">
        <v>249</v>
      </c>
      <c r="B426" s="2" t="s">
        <v>251</v>
      </c>
      <c r="C426" s="2">
        <v>0.19287299999999999</v>
      </c>
      <c r="D426" s="2">
        <v>8.4006799999999995</v>
      </c>
      <c r="E426" s="2">
        <v>18.707999999999998</v>
      </c>
      <c r="F426" s="2">
        <v>8.4064299999999995E-3</v>
      </c>
      <c r="G426" s="2" t="s">
        <v>433</v>
      </c>
      <c r="H426" s="2" t="s">
        <v>433</v>
      </c>
    </row>
    <row r="427" spans="1:8" ht="15" customHeight="1" x14ac:dyDescent="0.45">
      <c r="A427" s="2" t="s">
        <v>249</v>
      </c>
      <c r="B427" s="2" t="s">
        <v>250</v>
      </c>
      <c r="C427" s="2">
        <v>2.47887E-2</v>
      </c>
      <c r="D427" s="2">
        <v>0.97631800000000002</v>
      </c>
      <c r="E427" s="2">
        <v>2.40001</v>
      </c>
      <c r="F427" s="2">
        <v>0</v>
      </c>
      <c r="G427" s="2" t="s">
        <v>433</v>
      </c>
      <c r="H427" s="2" t="s">
        <v>433</v>
      </c>
    </row>
    <row r="428" spans="1:8" ht="15" customHeight="1" x14ac:dyDescent="0.45">
      <c r="A428" s="2" t="s">
        <v>249</v>
      </c>
      <c r="B428" s="2" t="s">
        <v>248</v>
      </c>
      <c r="C428" s="2">
        <v>0.20250399999999999</v>
      </c>
      <c r="D428" s="2">
        <v>17.572700000000001</v>
      </c>
      <c r="E428" s="2">
        <v>17.731200000000001</v>
      </c>
      <c r="F428" s="2">
        <v>3.6110900000000001E-2</v>
      </c>
      <c r="G428" s="2" t="s">
        <v>433</v>
      </c>
      <c r="H428" s="2" t="s">
        <v>433</v>
      </c>
    </row>
    <row r="429" spans="1:8" ht="15" customHeight="1" x14ac:dyDescent="0.45">
      <c r="A429" s="2" t="s">
        <v>243</v>
      </c>
      <c r="B429" s="2" t="s">
        <v>247</v>
      </c>
      <c r="C429" s="2">
        <v>0.21942300000000001</v>
      </c>
      <c r="D429" s="2">
        <v>17.8368</v>
      </c>
      <c r="E429" s="2">
        <v>11.391400000000001</v>
      </c>
      <c r="F429" s="2">
        <v>2.5107999999999998E-2</v>
      </c>
      <c r="G429" s="2" t="s">
        <v>147</v>
      </c>
      <c r="H429" s="2" t="s">
        <v>433</v>
      </c>
    </row>
    <row r="430" spans="1:8" ht="15" customHeight="1" x14ac:dyDescent="0.45">
      <c r="A430" s="2" t="s">
        <v>243</v>
      </c>
      <c r="B430" s="2" t="s">
        <v>246</v>
      </c>
      <c r="C430" s="2">
        <v>0.62761</v>
      </c>
      <c r="D430" s="2">
        <v>9.2545199999999994</v>
      </c>
      <c r="E430" s="2">
        <v>23.377300000000002</v>
      </c>
      <c r="F430" s="2">
        <v>6.7086100000000003E-3</v>
      </c>
      <c r="G430" s="2" t="s">
        <v>147</v>
      </c>
      <c r="H430" s="2" t="s">
        <v>433</v>
      </c>
    </row>
    <row r="431" spans="1:8" ht="15" customHeight="1" x14ac:dyDescent="0.45">
      <c r="A431" s="2" t="s">
        <v>243</v>
      </c>
      <c r="B431" s="2" t="s">
        <v>245</v>
      </c>
      <c r="C431" s="2">
        <v>0.14380599999999999</v>
      </c>
      <c r="D431" s="2">
        <v>20.261600000000001</v>
      </c>
      <c r="E431" s="2">
        <v>8.9784699999999997</v>
      </c>
      <c r="F431" s="2">
        <v>2.6553299999999998E-2</v>
      </c>
      <c r="G431" s="2" t="s">
        <v>147</v>
      </c>
      <c r="H431" s="2" t="s">
        <v>433</v>
      </c>
    </row>
    <row r="432" spans="1:8" ht="15" customHeight="1" x14ac:dyDescent="0.45">
      <c r="A432" s="2" t="s">
        <v>243</v>
      </c>
      <c r="B432" s="2" t="s">
        <v>244</v>
      </c>
      <c r="C432" s="2">
        <v>0.17647599999999999</v>
      </c>
      <c r="D432" s="2">
        <v>11.863</v>
      </c>
      <c r="E432" s="2">
        <v>16.0245</v>
      </c>
      <c r="F432" s="2">
        <v>1.41596E-2</v>
      </c>
      <c r="G432" s="2" t="s">
        <v>147</v>
      </c>
      <c r="H432" s="2" t="s">
        <v>433</v>
      </c>
    </row>
    <row r="433" spans="1:8" ht="15" customHeight="1" x14ac:dyDescent="0.45">
      <c r="A433" s="2" t="s">
        <v>243</v>
      </c>
      <c r="B433" s="2" t="s">
        <v>133</v>
      </c>
      <c r="C433" s="2">
        <v>9.6082100000000004E-2</v>
      </c>
      <c r="D433" s="2">
        <v>12.380699999999999</v>
      </c>
      <c r="E433" s="2">
        <v>9.5639299999999992</v>
      </c>
      <c r="F433" s="2">
        <v>8.6654799999999997E-3</v>
      </c>
      <c r="G433" s="2" t="s">
        <v>147</v>
      </c>
      <c r="H433" s="2" t="s">
        <v>433</v>
      </c>
    </row>
    <row r="434" spans="1:8" ht="15" customHeight="1" x14ac:dyDescent="0.45">
      <c r="A434" s="2" t="s">
        <v>232</v>
      </c>
      <c r="B434" s="2" t="s">
        <v>242</v>
      </c>
      <c r="C434" s="2">
        <v>0.15146899999999999</v>
      </c>
      <c r="D434" s="2">
        <v>17.553699999999999</v>
      </c>
      <c r="E434" s="2">
        <v>8.2407199999999996</v>
      </c>
      <c r="F434" s="2">
        <v>3.8375399999999997E-2</v>
      </c>
      <c r="G434" s="2" t="s">
        <v>433</v>
      </c>
      <c r="H434" s="2" t="s">
        <v>433</v>
      </c>
    </row>
    <row r="435" spans="1:8" ht="15" customHeight="1" x14ac:dyDescent="0.45">
      <c r="A435" s="2" t="s">
        <v>232</v>
      </c>
      <c r="B435" s="2" t="s">
        <v>241</v>
      </c>
      <c r="C435" s="2">
        <v>6.4058500000000004E-2</v>
      </c>
      <c r="D435" s="2">
        <v>3.5391900000000001</v>
      </c>
      <c r="E435" s="2">
        <v>5.8372200000000003</v>
      </c>
      <c r="F435" s="2">
        <v>0</v>
      </c>
      <c r="G435" s="2" t="s">
        <v>433</v>
      </c>
      <c r="H435" s="2" t="s">
        <v>433</v>
      </c>
    </row>
    <row r="436" spans="1:8" ht="15" customHeight="1" x14ac:dyDescent="0.45">
      <c r="A436" s="2" t="s">
        <v>232</v>
      </c>
      <c r="B436" s="2" t="s">
        <v>240</v>
      </c>
      <c r="C436" s="2">
        <v>0.11224099999999999</v>
      </c>
      <c r="D436" s="2">
        <v>3.6102599999999998</v>
      </c>
      <c r="E436" s="2">
        <v>8.9222900000000003</v>
      </c>
      <c r="F436" s="2">
        <v>9.4631700000000001E-4</v>
      </c>
      <c r="G436" s="2" t="s">
        <v>433</v>
      </c>
      <c r="H436" s="2" t="s">
        <v>433</v>
      </c>
    </row>
    <row r="437" spans="1:8" ht="15" customHeight="1" x14ac:dyDescent="0.45">
      <c r="A437" s="2" t="s">
        <v>232</v>
      </c>
      <c r="B437" s="2" t="s">
        <v>239</v>
      </c>
      <c r="C437" s="2">
        <v>0.20086799999999999</v>
      </c>
      <c r="D437" s="2">
        <v>26.439</v>
      </c>
      <c r="E437" s="2">
        <v>11.8796</v>
      </c>
      <c r="F437" s="2">
        <v>4.8994799999999998E-2</v>
      </c>
      <c r="G437" s="2" t="s">
        <v>433</v>
      </c>
      <c r="H437" s="2" t="s">
        <v>433</v>
      </c>
    </row>
    <row r="438" spans="1:8" ht="15" customHeight="1" x14ac:dyDescent="0.45">
      <c r="A438" s="2" t="s">
        <v>232</v>
      </c>
      <c r="B438" s="2" t="s">
        <v>238</v>
      </c>
      <c r="C438" s="2">
        <v>5.1315800000000002E-2</v>
      </c>
      <c r="D438" s="2">
        <v>8.9736600000000006</v>
      </c>
      <c r="E438" s="2">
        <v>6.8445</v>
      </c>
      <c r="F438" s="2">
        <v>1.5974700000000001E-2</v>
      </c>
      <c r="G438" s="2" t="s">
        <v>433</v>
      </c>
      <c r="H438" s="2" t="s">
        <v>433</v>
      </c>
    </row>
    <row r="439" spans="1:8" ht="15" customHeight="1" x14ac:dyDescent="0.45">
      <c r="A439" s="2" t="s">
        <v>232</v>
      </c>
      <c r="B439" s="2" t="s">
        <v>237</v>
      </c>
      <c r="C439" s="2">
        <v>7.0700299999999994E-2</v>
      </c>
      <c r="D439" s="2">
        <v>11.1981</v>
      </c>
      <c r="E439" s="2">
        <v>4.2912100000000004</v>
      </c>
      <c r="F439" s="2">
        <v>4.1597099999999998E-2</v>
      </c>
      <c r="G439" s="2" t="s">
        <v>433</v>
      </c>
      <c r="H439" s="2" t="s">
        <v>433</v>
      </c>
    </row>
    <row r="440" spans="1:8" ht="15" customHeight="1" x14ac:dyDescent="0.45">
      <c r="A440" s="2" t="s">
        <v>232</v>
      </c>
      <c r="B440" s="2" t="s">
        <v>236</v>
      </c>
      <c r="C440" s="2">
        <v>8.8584200000000002E-2</v>
      </c>
      <c r="D440" s="2">
        <v>2.2569900000000001</v>
      </c>
      <c r="E440" s="2">
        <v>4.52895</v>
      </c>
      <c r="F440" s="2">
        <v>3.7757899999999998E-3</v>
      </c>
      <c r="G440" s="2" t="s">
        <v>433</v>
      </c>
      <c r="H440" s="2" t="s">
        <v>433</v>
      </c>
    </row>
    <row r="441" spans="1:8" ht="15" customHeight="1" x14ac:dyDescent="0.45">
      <c r="A441" s="2" t="s">
        <v>232</v>
      </c>
      <c r="B441" s="2" t="s">
        <v>235</v>
      </c>
      <c r="C441" s="2">
        <v>0.32588499999999998</v>
      </c>
      <c r="D441" s="2">
        <v>36.061599999999999</v>
      </c>
      <c r="E441" s="2">
        <v>24.9238</v>
      </c>
      <c r="F441" s="2">
        <v>6.3881099999999996E-2</v>
      </c>
      <c r="G441" s="2" t="s">
        <v>433</v>
      </c>
      <c r="H441" s="2" t="s">
        <v>433</v>
      </c>
    </row>
    <row r="442" spans="1:8" ht="15" customHeight="1" x14ac:dyDescent="0.45">
      <c r="A442" s="2" t="s">
        <v>232</v>
      </c>
      <c r="B442" s="2" t="s">
        <v>234</v>
      </c>
      <c r="C442" s="2">
        <v>0.51056900000000005</v>
      </c>
      <c r="D442" s="2">
        <v>180.755</v>
      </c>
      <c r="E442" s="2">
        <v>9.9591799999999999</v>
      </c>
      <c r="F442" s="2">
        <v>5.7671699999999999E-2</v>
      </c>
      <c r="G442" s="2" t="s">
        <v>433</v>
      </c>
      <c r="H442" s="2" t="s">
        <v>433</v>
      </c>
    </row>
    <row r="443" spans="1:8" ht="15" customHeight="1" x14ac:dyDescent="0.45">
      <c r="A443" s="2" t="s">
        <v>232</v>
      </c>
      <c r="B443" s="2" t="s">
        <v>231</v>
      </c>
      <c r="C443" s="2">
        <v>2.45189E-2</v>
      </c>
      <c r="D443" s="2">
        <v>0.22140799999999999</v>
      </c>
      <c r="E443" s="2">
        <v>0.43032700000000002</v>
      </c>
      <c r="F443" s="2">
        <v>2.6892600000000001E-4</v>
      </c>
      <c r="G443" s="2" t="s">
        <v>433</v>
      </c>
      <c r="H443" s="2" t="s">
        <v>433</v>
      </c>
    </row>
    <row r="444" spans="1:8" ht="15" customHeight="1" x14ac:dyDescent="0.45">
      <c r="A444" s="2" t="s">
        <v>7</v>
      </c>
      <c r="B444" s="2" t="s">
        <v>230</v>
      </c>
      <c r="C444" s="2">
        <v>0</v>
      </c>
      <c r="D444" s="2">
        <v>0</v>
      </c>
      <c r="E444" s="2">
        <v>0</v>
      </c>
      <c r="F444" s="2">
        <v>0</v>
      </c>
      <c r="G444" s="2" t="s">
        <v>147</v>
      </c>
      <c r="H444" s="2" t="s">
        <v>147</v>
      </c>
    </row>
    <row r="445" spans="1:8" ht="15" customHeight="1" x14ac:dyDescent="0.45">
      <c r="A445" s="2" t="s">
        <v>7</v>
      </c>
      <c r="B445" s="2" t="s">
        <v>8</v>
      </c>
      <c r="C445" s="2">
        <v>0</v>
      </c>
      <c r="D445" s="2">
        <v>0</v>
      </c>
      <c r="E445" s="2">
        <v>0</v>
      </c>
      <c r="F445" s="2">
        <v>0</v>
      </c>
      <c r="G445" s="2" t="s">
        <v>147</v>
      </c>
      <c r="H445" s="2" t="s">
        <v>147</v>
      </c>
    </row>
    <row r="446" spans="1:8" ht="15" customHeight="1" x14ac:dyDescent="0.45">
      <c r="A446" s="2" t="s">
        <v>225</v>
      </c>
      <c r="B446" s="2" t="s">
        <v>229</v>
      </c>
      <c r="C446" s="2">
        <v>0.110209</v>
      </c>
      <c r="D446" s="2">
        <v>13.4185</v>
      </c>
      <c r="E446" s="2">
        <v>10.3154</v>
      </c>
      <c r="F446" s="2">
        <v>6.9831399999999997E-3</v>
      </c>
      <c r="G446" s="2" t="s">
        <v>433</v>
      </c>
      <c r="H446" s="2" t="s">
        <v>433</v>
      </c>
    </row>
    <row r="447" spans="1:8" ht="15" customHeight="1" x14ac:dyDescent="0.45">
      <c r="A447" s="2" t="s">
        <v>225</v>
      </c>
      <c r="B447" s="2" t="s">
        <v>228</v>
      </c>
      <c r="C447" s="2">
        <v>7.2576799999999997E-2</v>
      </c>
      <c r="D447" s="2">
        <v>5.5949600000000004</v>
      </c>
      <c r="E447" s="2">
        <v>9.8502799999999997</v>
      </c>
      <c r="F447" s="2">
        <v>0</v>
      </c>
      <c r="G447" s="2" t="s">
        <v>433</v>
      </c>
      <c r="H447" s="2" t="s">
        <v>433</v>
      </c>
    </row>
    <row r="448" spans="1:8" ht="15" customHeight="1" x14ac:dyDescent="0.45">
      <c r="A448" s="2" t="s">
        <v>225</v>
      </c>
      <c r="B448" s="2" t="s">
        <v>227</v>
      </c>
      <c r="C448" s="2">
        <v>7.2017499999999998E-2</v>
      </c>
      <c r="D448" s="2">
        <v>6.0974899999999996</v>
      </c>
      <c r="E448" s="2">
        <v>10.714600000000001</v>
      </c>
      <c r="F448" s="2">
        <v>0</v>
      </c>
      <c r="G448" s="2" t="s">
        <v>433</v>
      </c>
      <c r="H448" s="2" t="s">
        <v>433</v>
      </c>
    </row>
    <row r="449" spans="1:8" ht="15" customHeight="1" x14ac:dyDescent="0.45">
      <c r="A449" s="2" t="s">
        <v>225</v>
      </c>
      <c r="B449" s="2" t="s">
        <v>226</v>
      </c>
      <c r="C449" s="2">
        <v>6.3911399999999993E-2</v>
      </c>
      <c r="D449" s="2">
        <v>5.3368000000000002</v>
      </c>
      <c r="E449" s="2">
        <v>9.4125899999999998</v>
      </c>
      <c r="F449" s="2">
        <v>0</v>
      </c>
      <c r="G449" s="2" t="s">
        <v>433</v>
      </c>
      <c r="H449" s="2" t="s">
        <v>433</v>
      </c>
    </row>
    <row r="450" spans="1:8" ht="15" customHeight="1" x14ac:dyDescent="0.45">
      <c r="A450" s="2" t="s">
        <v>225</v>
      </c>
      <c r="B450" s="2" t="s">
        <v>224</v>
      </c>
      <c r="C450" s="2">
        <v>4.7401100000000002E-2</v>
      </c>
      <c r="D450" s="2">
        <v>4.9714299999999998</v>
      </c>
      <c r="E450" s="2">
        <v>6.7755200000000002</v>
      </c>
      <c r="F450" s="2">
        <v>4.3858200000000003E-3</v>
      </c>
      <c r="G450" s="2" t="s">
        <v>433</v>
      </c>
      <c r="H450" s="2" t="s">
        <v>433</v>
      </c>
    </row>
    <row r="451" spans="1:8" ht="15" customHeight="1" x14ac:dyDescent="0.45">
      <c r="A451" s="2" t="s">
        <v>221</v>
      </c>
      <c r="B451" s="2" t="s">
        <v>223</v>
      </c>
      <c r="C451" s="2">
        <v>0.20555599999999999</v>
      </c>
      <c r="D451" s="2">
        <v>14.678000000000001</v>
      </c>
      <c r="E451" s="2">
        <v>18.922899999999998</v>
      </c>
      <c r="F451" s="2">
        <v>2.6185E-2</v>
      </c>
      <c r="G451" s="2" t="s">
        <v>433</v>
      </c>
      <c r="H451" s="2" t="s">
        <v>433</v>
      </c>
    </row>
    <row r="452" spans="1:8" ht="15" customHeight="1" x14ac:dyDescent="0.45">
      <c r="A452" s="2" t="s">
        <v>221</v>
      </c>
      <c r="B452" s="2" t="s">
        <v>222</v>
      </c>
      <c r="C452" s="2">
        <v>4.3762599999999999E-2</v>
      </c>
      <c r="D452" s="2">
        <v>3.9579900000000001</v>
      </c>
      <c r="E452" s="2">
        <v>2.4472100000000001</v>
      </c>
      <c r="F452" s="2">
        <v>2.6704300000000001E-3</v>
      </c>
      <c r="G452" s="2" t="s">
        <v>433</v>
      </c>
      <c r="H452" s="2" t="s">
        <v>433</v>
      </c>
    </row>
    <row r="453" spans="1:8" ht="15" customHeight="1" x14ac:dyDescent="0.45">
      <c r="A453" s="2" t="s">
        <v>221</v>
      </c>
      <c r="B453" s="2" t="s">
        <v>220</v>
      </c>
      <c r="C453" s="2">
        <v>6.3806299999999996E-2</v>
      </c>
      <c r="D453" s="2">
        <v>4.6249099999999999</v>
      </c>
      <c r="E453" s="2">
        <v>8.0935900000000007</v>
      </c>
      <c r="F453" s="2">
        <v>0</v>
      </c>
      <c r="G453" s="2" t="s">
        <v>433</v>
      </c>
      <c r="H453" s="2" t="s">
        <v>433</v>
      </c>
    </row>
    <row r="454" spans="1:8" ht="15" customHeight="1" x14ac:dyDescent="0.45">
      <c r="A454" s="2" t="s">
        <v>48</v>
      </c>
      <c r="B454" s="2" t="s">
        <v>219</v>
      </c>
      <c r="C454" s="2">
        <v>0.166689</v>
      </c>
      <c r="D454" s="2">
        <v>147.166</v>
      </c>
      <c r="E454" s="2">
        <v>4.8564299999999996</v>
      </c>
      <c r="F454" s="2">
        <v>1.59452E-2</v>
      </c>
      <c r="G454" s="2" t="s">
        <v>433</v>
      </c>
      <c r="H454" s="2" t="s">
        <v>433</v>
      </c>
    </row>
    <row r="455" spans="1:8" ht="15" customHeight="1" x14ac:dyDescent="0.45">
      <c r="A455" s="2" t="s">
        <v>48</v>
      </c>
      <c r="B455" s="2" t="s">
        <v>218</v>
      </c>
      <c r="C455" s="2">
        <v>0.13524900000000001</v>
      </c>
      <c r="D455" s="2">
        <v>14.7636</v>
      </c>
      <c r="E455" s="2">
        <v>8.2156199999999995</v>
      </c>
      <c r="F455" s="2">
        <v>2.9763100000000001E-2</v>
      </c>
      <c r="G455" s="2" t="s">
        <v>433</v>
      </c>
      <c r="H455" s="2" t="s">
        <v>433</v>
      </c>
    </row>
    <row r="456" spans="1:8" ht="15" customHeight="1" x14ac:dyDescent="0.45">
      <c r="A456" s="2" t="s">
        <v>48</v>
      </c>
      <c r="B456" s="2" t="s">
        <v>217</v>
      </c>
      <c r="C456" s="2">
        <v>0.12706500000000001</v>
      </c>
      <c r="D456" s="2">
        <v>29.724799999999998</v>
      </c>
      <c r="E456" s="2">
        <v>2.6202200000000002</v>
      </c>
      <c r="F456" s="2">
        <v>8.9265300000000006E-2</v>
      </c>
      <c r="G456" s="2" t="s">
        <v>433</v>
      </c>
      <c r="H456" s="2" t="s">
        <v>433</v>
      </c>
    </row>
    <row r="457" spans="1:8" ht="15" customHeight="1" x14ac:dyDescent="0.45">
      <c r="A457" s="2" t="s">
        <v>48</v>
      </c>
      <c r="B457" s="2" t="s">
        <v>216</v>
      </c>
      <c r="C457" s="2">
        <v>0.222997</v>
      </c>
      <c r="D457" s="2">
        <v>15.8063</v>
      </c>
      <c r="E457" s="2">
        <v>18.900400000000001</v>
      </c>
      <c r="F457" s="2">
        <v>2.9542100000000002E-2</v>
      </c>
      <c r="G457" s="2" t="s">
        <v>433</v>
      </c>
      <c r="H457" s="2" t="s">
        <v>433</v>
      </c>
    </row>
    <row r="458" spans="1:8" ht="15" customHeight="1" x14ac:dyDescent="0.45">
      <c r="A458" s="2" t="s">
        <v>48</v>
      </c>
      <c r="B458" s="2" t="s">
        <v>215</v>
      </c>
      <c r="C458" s="2">
        <v>8.4793199999999999E-2</v>
      </c>
      <c r="D458" s="2">
        <v>6.5837000000000003</v>
      </c>
      <c r="E458" s="2">
        <v>5.5806699999999996</v>
      </c>
      <c r="F458" s="2">
        <v>1.05472E-2</v>
      </c>
      <c r="G458" s="2" t="s">
        <v>433</v>
      </c>
      <c r="H458" s="2" t="s">
        <v>433</v>
      </c>
    </row>
    <row r="459" spans="1:8" ht="15" customHeight="1" x14ac:dyDescent="0.45">
      <c r="A459" s="2" t="s">
        <v>48</v>
      </c>
      <c r="B459" s="2" t="s">
        <v>214</v>
      </c>
      <c r="C459" s="2">
        <v>9.4287399999999993E-2</v>
      </c>
      <c r="D459" s="2">
        <v>4.3794000000000004</v>
      </c>
      <c r="E459" s="2">
        <v>5.6042300000000003</v>
      </c>
      <c r="F459" s="2">
        <v>4.0040900000000001E-3</v>
      </c>
      <c r="G459" s="2" t="s">
        <v>433</v>
      </c>
      <c r="H459" s="2" t="s">
        <v>433</v>
      </c>
    </row>
    <row r="460" spans="1:8" ht="15" customHeight="1" x14ac:dyDescent="0.45">
      <c r="A460" s="2" t="s">
        <v>48</v>
      </c>
      <c r="B460" s="2" t="s">
        <v>213</v>
      </c>
      <c r="C460" s="2">
        <v>0.135266</v>
      </c>
      <c r="D460" s="2">
        <v>15.006600000000001</v>
      </c>
      <c r="E460" s="2">
        <v>7.5379899999999997</v>
      </c>
      <c r="F460" s="2">
        <v>3.04654E-2</v>
      </c>
      <c r="G460" s="2" t="s">
        <v>433</v>
      </c>
      <c r="H460" s="2" t="s">
        <v>433</v>
      </c>
    </row>
    <row r="461" spans="1:8" ht="15" customHeight="1" x14ac:dyDescent="0.45">
      <c r="A461" s="2" t="s">
        <v>48</v>
      </c>
      <c r="B461" s="2" t="s">
        <v>212</v>
      </c>
      <c r="C461" s="2">
        <v>0.108749</v>
      </c>
      <c r="D461" s="2">
        <v>24.4651</v>
      </c>
      <c r="E461" s="2">
        <v>3.6156299999999999</v>
      </c>
      <c r="F461" s="2">
        <v>7.5551599999999997E-2</v>
      </c>
      <c r="G461" s="2" t="s">
        <v>433</v>
      </c>
      <c r="H461" s="2" t="s">
        <v>433</v>
      </c>
    </row>
    <row r="462" spans="1:8" ht="15" customHeight="1" x14ac:dyDescent="0.45">
      <c r="A462" s="2" t="s">
        <v>48</v>
      </c>
      <c r="B462" s="2" t="s">
        <v>211</v>
      </c>
      <c r="C462" s="2">
        <v>0.12958900000000001</v>
      </c>
      <c r="D462" s="2">
        <v>11.8195</v>
      </c>
      <c r="E462" s="2">
        <v>9.91493</v>
      </c>
      <c r="F462" s="2">
        <v>1.8311600000000001E-2</v>
      </c>
      <c r="G462" s="2" t="s">
        <v>433</v>
      </c>
      <c r="H462" s="2" t="s">
        <v>433</v>
      </c>
    </row>
    <row r="463" spans="1:8" ht="15" customHeight="1" x14ac:dyDescent="0.45">
      <c r="A463" s="2" t="s">
        <v>48</v>
      </c>
      <c r="B463" s="2" t="s">
        <v>210</v>
      </c>
      <c r="C463" s="2">
        <v>0.108726</v>
      </c>
      <c r="D463" s="2">
        <v>9.2680600000000002</v>
      </c>
      <c r="E463" s="2">
        <v>8.0729399999999991</v>
      </c>
      <c r="F463" s="2">
        <v>1.2848200000000001E-2</v>
      </c>
      <c r="G463" s="2" t="s">
        <v>433</v>
      </c>
      <c r="H463" s="2" t="s">
        <v>433</v>
      </c>
    </row>
    <row r="464" spans="1:8" ht="15" customHeight="1" x14ac:dyDescent="0.45">
      <c r="A464" s="2" t="s">
        <v>48</v>
      </c>
      <c r="B464" s="2" t="s">
        <v>209</v>
      </c>
      <c r="C464" s="2">
        <v>0.31559900000000002</v>
      </c>
      <c r="D464" s="2">
        <v>21.087900000000001</v>
      </c>
      <c r="E464" s="2">
        <v>4.8853400000000002</v>
      </c>
      <c r="F464" s="2">
        <v>2.49137E-2</v>
      </c>
      <c r="G464" s="2" t="s">
        <v>433</v>
      </c>
      <c r="H464" s="2" t="s">
        <v>433</v>
      </c>
    </row>
    <row r="465" spans="1:8" ht="15" customHeight="1" x14ac:dyDescent="0.45">
      <c r="A465" s="2" t="s">
        <v>48</v>
      </c>
      <c r="B465" s="2" t="s">
        <v>208</v>
      </c>
      <c r="C465" s="2">
        <v>0.252641</v>
      </c>
      <c r="D465" s="2">
        <v>13.1647</v>
      </c>
      <c r="E465" s="2">
        <v>21.290600000000001</v>
      </c>
      <c r="F465" s="2">
        <v>1.7624500000000001E-2</v>
      </c>
      <c r="G465" s="2" t="s">
        <v>433</v>
      </c>
      <c r="H465" s="2" t="s">
        <v>433</v>
      </c>
    </row>
    <row r="466" spans="1:8" ht="15" customHeight="1" x14ac:dyDescent="0.45">
      <c r="A466" s="2" t="s">
        <v>48</v>
      </c>
      <c r="B466" s="2" t="s">
        <v>207</v>
      </c>
      <c r="C466" s="2">
        <v>0.13852600000000001</v>
      </c>
      <c r="D466" s="2">
        <v>10.1366</v>
      </c>
      <c r="E466" s="2">
        <v>10.6532</v>
      </c>
      <c r="F466" s="2">
        <v>2.2140300000000002E-2</v>
      </c>
      <c r="G466" s="2" t="s">
        <v>433</v>
      </c>
      <c r="H466" s="2" t="s">
        <v>433</v>
      </c>
    </row>
    <row r="467" spans="1:8" ht="15" customHeight="1" x14ac:dyDescent="0.45">
      <c r="A467" s="2" t="s">
        <v>48</v>
      </c>
      <c r="B467" s="2" t="s">
        <v>206</v>
      </c>
      <c r="C467" s="2">
        <v>0.15192900000000001</v>
      </c>
      <c r="D467" s="2">
        <v>24.720800000000001</v>
      </c>
      <c r="E467" s="2">
        <v>10.3477</v>
      </c>
      <c r="F467" s="2">
        <v>5.5078599999999998E-2</v>
      </c>
      <c r="G467" s="2" t="s">
        <v>433</v>
      </c>
      <c r="H467" s="2" t="s">
        <v>433</v>
      </c>
    </row>
    <row r="468" spans="1:8" ht="15" customHeight="1" x14ac:dyDescent="0.45">
      <c r="A468" s="2" t="s">
        <v>48</v>
      </c>
      <c r="B468" s="2" t="s">
        <v>205</v>
      </c>
      <c r="C468" s="2">
        <v>6.4076099999999997E-2</v>
      </c>
      <c r="D468" s="2">
        <v>11.6584</v>
      </c>
      <c r="E468" s="2">
        <v>8.3224699999999991</v>
      </c>
      <c r="F468" s="2">
        <v>2.0364899999999998E-2</v>
      </c>
      <c r="G468" s="2" t="s">
        <v>433</v>
      </c>
      <c r="H468" s="2" t="s">
        <v>433</v>
      </c>
    </row>
    <row r="469" spans="1:8" ht="15" customHeight="1" x14ac:dyDescent="0.45">
      <c r="A469" s="2" t="s">
        <v>48</v>
      </c>
      <c r="B469" s="2" t="s">
        <v>204</v>
      </c>
      <c r="C469" s="2">
        <v>0</v>
      </c>
      <c r="D469" s="2">
        <v>0</v>
      </c>
      <c r="E469" s="2">
        <v>0</v>
      </c>
      <c r="F469" s="2">
        <v>0</v>
      </c>
      <c r="G469" s="2" t="s">
        <v>147</v>
      </c>
      <c r="H469" s="2" t="s">
        <v>147</v>
      </c>
    </row>
    <row r="470" spans="1:8" ht="15" customHeight="1" x14ac:dyDescent="0.45">
      <c r="A470" s="2" t="s">
        <v>197</v>
      </c>
      <c r="B470" s="2" t="s">
        <v>203</v>
      </c>
      <c r="C470" s="2">
        <v>0.202651</v>
      </c>
      <c r="D470" s="2">
        <v>11.68</v>
      </c>
      <c r="E470" s="2">
        <v>18.704499999999999</v>
      </c>
      <c r="F470" s="2">
        <v>1.79033E-2</v>
      </c>
      <c r="G470" s="2" t="s">
        <v>433</v>
      </c>
      <c r="H470" s="2" t="s">
        <v>433</v>
      </c>
    </row>
    <row r="471" spans="1:8" ht="15" customHeight="1" x14ac:dyDescent="0.45">
      <c r="A471" s="2" t="s">
        <v>197</v>
      </c>
      <c r="B471" s="2" t="s">
        <v>202</v>
      </c>
      <c r="C471" s="2">
        <v>0.20979999999999999</v>
      </c>
      <c r="D471" s="2">
        <v>10.2173</v>
      </c>
      <c r="E471" s="2">
        <v>15.4839</v>
      </c>
      <c r="F471" s="2">
        <v>1.8182299999999998E-2</v>
      </c>
      <c r="G471" s="2" t="s">
        <v>433</v>
      </c>
      <c r="H471" s="2" t="s">
        <v>433</v>
      </c>
    </row>
    <row r="472" spans="1:8" ht="15" customHeight="1" x14ac:dyDescent="0.45">
      <c r="A472" s="2" t="s">
        <v>197</v>
      </c>
      <c r="B472" s="2" t="s">
        <v>201</v>
      </c>
      <c r="C472" s="2">
        <v>0.22001599999999999</v>
      </c>
      <c r="D472" s="2">
        <v>14.441800000000001</v>
      </c>
      <c r="E472" s="2">
        <v>19.279499999999999</v>
      </c>
      <c r="F472" s="2">
        <v>2.4429200000000002E-2</v>
      </c>
      <c r="G472" s="2" t="s">
        <v>433</v>
      </c>
      <c r="H472" s="2" t="s">
        <v>433</v>
      </c>
    </row>
    <row r="473" spans="1:8" ht="15" customHeight="1" x14ac:dyDescent="0.45">
      <c r="A473" s="2" t="s">
        <v>197</v>
      </c>
      <c r="B473" s="2" t="s">
        <v>199</v>
      </c>
      <c r="C473" s="2">
        <v>0.23127800000000001</v>
      </c>
      <c r="D473" s="2">
        <v>21.682600000000001</v>
      </c>
      <c r="E473" s="2">
        <v>17.6524</v>
      </c>
      <c r="F473" s="2">
        <v>5.0677199999999999E-2</v>
      </c>
      <c r="G473" s="2" t="s">
        <v>433</v>
      </c>
      <c r="H473" s="2" t="s">
        <v>433</v>
      </c>
    </row>
    <row r="474" spans="1:8" ht="15" customHeight="1" x14ac:dyDescent="0.45">
      <c r="A474" s="2" t="s">
        <v>197</v>
      </c>
      <c r="B474" s="2" t="s">
        <v>198</v>
      </c>
      <c r="C474" s="2">
        <v>8.2360699999999995E-2</v>
      </c>
      <c r="D474" s="2">
        <v>7.0414500000000002</v>
      </c>
      <c r="E474" s="2">
        <v>10.6089</v>
      </c>
      <c r="F474" s="2">
        <v>2.49359E-3</v>
      </c>
      <c r="G474" s="2" t="s">
        <v>433</v>
      </c>
      <c r="H474" s="2" t="s">
        <v>433</v>
      </c>
    </row>
    <row r="475" spans="1:8" ht="15" customHeight="1" x14ac:dyDescent="0.45">
      <c r="A475" s="2" t="s">
        <v>197</v>
      </c>
      <c r="B475" s="2" t="s">
        <v>196</v>
      </c>
      <c r="C475" s="2">
        <v>6.5923700000000002E-2</v>
      </c>
      <c r="D475" s="2">
        <v>4.5162500000000003</v>
      </c>
      <c r="E475" s="2">
        <v>6.9142000000000001</v>
      </c>
      <c r="F475" s="2">
        <v>1.94169E-3</v>
      </c>
      <c r="G475" s="2" t="s">
        <v>433</v>
      </c>
      <c r="H475" s="2" t="s">
        <v>433</v>
      </c>
    </row>
    <row r="476" spans="1:8" ht="15" customHeight="1" x14ac:dyDescent="0.45">
      <c r="A476" s="2" t="s">
        <v>191</v>
      </c>
      <c r="B476" s="2" t="s">
        <v>195</v>
      </c>
      <c r="C476" s="2">
        <v>4.7947400000000001E-2</v>
      </c>
      <c r="D476" s="2">
        <v>7.6066000000000003</v>
      </c>
      <c r="E476" s="2">
        <v>7.4795800000000003</v>
      </c>
      <c r="F476" s="2">
        <v>9.0341399999999995E-4</v>
      </c>
      <c r="G476" s="2" t="s">
        <v>433</v>
      </c>
      <c r="H476" s="2" t="s">
        <v>433</v>
      </c>
    </row>
    <row r="477" spans="1:8" ht="15" customHeight="1" x14ac:dyDescent="0.45">
      <c r="A477" s="2" t="s">
        <v>191</v>
      </c>
      <c r="B477" s="2" t="s">
        <v>193</v>
      </c>
      <c r="C477" s="2">
        <v>4.15231E-2</v>
      </c>
      <c r="D477" s="2">
        <v>4.9361800000000002</v>
      </c>
      <c r="E477" s="2">
        <v>8.8547799999999999</v>
      </c>
      <c r="F477" s="2">
        <v>0</v>
      </c>
      <c r="G477" s="2" t="s">
        <v>433</v>
      </c>
      <c r="H477" s="2" t="s">
        <v>433</v>
      </c>
    </row>
    <row r="478" spans="1:8" ht="15" customHeight="1" x14ac:dyDescent="0.45">
      <c r="A478" s="2" t="s">
        <v>191</v>
      </c>
      <c r="B478" s="2" t="s">
        <v>192</v>
      </c>
      <c r="C478" s="2">
        <v>6.2163400000000001E-2</v>
      </c>
      <c r="D478" s="2">
        <v>6.5949400000000002</v>
      </c>
      <c r="E478" s="2">
        <v>4.7486499999999996</v>
      </c>
      <c r="F478" s="2">
        <v>6.1962600000000003E-3</v>
      </c>
      <c r="G478" s="2" t="s">
        <v>433</v>
      </c>
      <c r="H478" s="2" t="s">
        <v>433</v>
      </c>
    </row>
    <row r="479" spans="1:8" ht="15" customHeight="1" x14ac:dyDescent="0.45">
      <c r="A479" s="2" t="s">
        <v>191</v>
      </c>
      <c r="B479" s="2" t="s">
        <v>190</v>
      </c>
      <c r="C479" s="2">
        <v>1.90099E-2</v>
      </c>
      <c r="D479" s="2">
        <v>1.4907699999999999</v>
      </c>
      <c r="E479" s="2">
        <v>1.0659799999999999</v>
      </c>
      <c r="F479" s="2">
        <v>1.4501200000000001E-3</v>
      </c>
      <c r="G479" s="2" t="s">
        <v>433</v>
      </c>
      <c r="H479" s="2" t="s">
        <v>433</v>
      </c>
    </row>
    <row r="480" spans="1:8" ht="15" customHeight="1" x14ac:dyDescent="0.45">
      <c r="A480" s="2" t="s">
        <v>187</v>
      </c>
      <c r="B480" s="2" t="s">
        <v>189</v>
      </c>
      <c r="C480" s="2">
        <v>0.16541800000000001</v>
      </c>
      <c r="D480" s="2">
        <v>22.7181</v>
      </c>
      <c r="E480" s="2">
        <v>11.9994</v>
      </c>
      <c r="F480" s="2">
        <v>3.8156599999999999E-2</v>
      </c>
      <c r="G480" s="2" t="s">
        <v>433</v>
      </c>
      <c r="H480" s="2" t="s">
        <v>433</v>
      </c>
    </row>
    <row r="481" spans="1:8" ht="15" customHeight="1" x14ac:dyDescent="0.45">
      <c r="A481" s="2" t="s">
        <v>187</v>
      </c>
      <c r="B481" s="2" t="s">
        <v>188</v>
      </c>
      <c r="C481" s="2">
        <v>0.17233899999999999</v>
      </c>
      <c r="D481" s="2">
        <v>27.643599999999999</v>
      </c>
      <c r="E481" s="2">
        <v>11.8775</v>
      </c>
      <c r="F481" s="2">
        <v>5.24482E-2</v>
      </c>
      <c r="G481" s="2" t="s">
        <v>433</v>
      </c>
      <c r="H481" s="2" t="s">
        <v>433</v>
      </c>
    </row>
    <row r="482" spans="1:8" ht="15" customHeight="1" x14ac:dyDescent="0.45">
      <c r="A482" s="2" t="s">
        <v>187</v>
      </c>
      <c r="B482" s="2" t="s">
        <v>186</v>
      </c>
      <c r="C482" s="2">
        <v>0.12922</v>
      </c>
      <c r="D482" s="2">
        <v>128.53200000000001</v>
      </c>
      <c r="E482" s="2">
        <v>4.3145899999999999</v>
      </c>
      <c r="F482" s="2">
        <v>1.9873600000000002E-2</v>
      </c>
      <c r="G482" s="2" t="s">
        <v>433</v>
      </c>
      <c r="H482" s="2" t="s">
        <v>433</v>
      </c>
    </row>
    <row r="483" spans="1:8" ht="15" customHeight="1" x14ac:dyDescent="0.45">
      <c r="A483" s="2" t="s">
        <v>182</v>
      </c>
      <c r="B483" s="2" t="s">
        <v>185</v>
      </c>
      <c r="C483" s="2">
        <v>4.6418000000000001E-2</v>
      </c>
      <c r="D483" s="2">
        <v>29.143799999999999</v>
      </c>
      <c r="E483" s="2">
        <v>4.3806900000000004</v>
      </c>
      <c r="F483" s="2">
        <v>0</v>
      </c>
      <c r="G483" s="2" t="s">
        <v>147</v>
      </c>
      <c r="H483" s="2" t="s">
        <v>433</v>
      </c>
    </row>
    <row r="484" spans="1:8" ht="15" customHeight="1" x14ac:dyDescent="0.45">
      <c r="A484" s="2" t="s">
        <v>182</v>
      </c>
      <c r="B484" s="2" t="s">
        <v>184</v>
      </c>
      <c r="C484" s="2">
        <v>0</v>
      </c>
      <c r="D484" s="2">
        <v>0</v>
      </c>
      <c r="E484" s="2">
        <v>0</v>
      </c>
      <c r="F484" s="2">
        <v>0</v>
      </c>
      <c r="G484" s="2" t="s">
        <v>147</v>
      </c>
      <c r="H484" s="2" t="s">
        <v>147</v>
      </c>
    </row>
    <row r="485" spans="1:8" ht="15" customHeight="1" x14ac:dyDescent="0.45">
      <c r="A485" s="2" t="s">
        <v>182</v>
      </c>
      <c r="B485" s="2" t="s">
        <v>183</v>
      </c>
      <c r="C485" s="2">
        <v>0</v>
      </c>
      <c r="D485" s="2">
        <v>0</v>
      </c>
      <c r="E485" s="2">
        <v>0</v>
      </c>
      <c r="F485" s="2">
        <v>0</v>
      </c>
      <c r="G485" s="2" t="s">
        <v>147</v>
      </c>
      <c r="H485" s="2" t="s">
        <v>147</v>
      </c>
    </row>
    <row r="486" spans="1:8" ht="15" customHeight="1" x14ac:dyDescent="0.45">
      <c r="A486" s="2" t="s">
        <v>182</v>
      </c>
      <c r="B486" s="2" t="s">
        <v>181</v>
      </c>
      <c r="C486" s="2">
        <v>0</v>
      </c>
      <c r="D486" s="2">
        <v>0</v>
      </c>
      <c r="E486" s="2">
        <v>0</v>
      </c>
      <c r="F486" s="2">
        <v>0</v>
      </c>
      <c r="G486" s="2" t="s">
        <v>147</v>
      </c>
      <c r="H486" s="2" t="s">
        <v>147</v>
      </c>
    </row>
    <row r="487" spans="1:8" ht="15" customHeight="1" x14ac:dyDescent="0.45">
      <c r="A487" s="2" t="s">
        <v>175</v>
      </c>
      <c r="B487" s="2" t="s">
        <v>180</v>
      </c>
      <c r="C487" s="2">
        <v>6.9419300000000003E-2</v>
      </c>
      <c r="D487" s="2">
        <v>5.5787500000000003</v>
      </c>
      <c r="E487" s="2">
        <v>12.1347</v>
      </c>
      <c r="F487" s="2">
        <v>0</v>
      </c>
      <c r="G487" s="2" t="s">
        <v>433</v>
      </c>
      <c r="H487" s="2" t="s">
        <v>433</v>
      </c>
    </row>
    <row r="488" spans="1:8" ht="15" customHeight="1" x14ac:dyDescent="0.45">
      <c r="A488" s="2" t="s">
        <v>175</v>
      </c>
      <c r="B488" s="2" t="s">
        <v>179</v>
      </c>
      <c r="C488" s="2">
        <v>8.0856999999999998E-2</v>
      </c>
      <c r="D488" s="2">
        <v>5.5185500000000003</v>
      </c>
      <c r="E488" s="2">
        <v>13.0341</v>
      </c>
      <c r="F488" s="2">
        <v>0</v>
      </c>
      <c r="G488" s="2" t="s">
        <v>433</v>
      </c>
      <c r="H488" s="2" t="s">
        <v>433</v>
      </c>
    </row>
    <row r="489" spans="1:8" ht="15" customHeight="1" x14ac:dyDescent="0.45">
      <c r="A489" s="2" t="s">
        <v>175</v>
      </c>
      <c r="B489" s="2" t="s">
        <v>178</v>
      </c>
      <c r="C489" s="2">
        <v>4.4140199999999997E-2</v>
      </c>
      <c r="D489" s="2">
        <v>5.4629599999999998</v>
      </c>
      <c r="E489" s="2">
        <v>9.7795000000000005</v>
      </c>
      <c r="F489" s="2">
        <v>0</v>
      </c>
      <c r="G489" s="2" t="s">
        <v>433</v>
      </c>
      <c r="H489" s="2" t="s">
        <v>433</v>
      </c>
    </row>
    <row r="490" spans="1:8" ht="15" customHeight="1" x14ac:dyDescent="0.45">
      <c r="A490" s="2" t="s">
        <v>175</v>
      </c>
      <c r="B490" s="2" t="s">
        <v>177</v>
      </c>
      <c r="C490" s="2">
        <v>3.6281899999999999E-2</v>
      </c>
      <c r="D490" s="2">
        <v>3.4068800000000001</v>
      </c>
      <c r="E490" s="2">
        <v>5.96204</v>
      </c>
      <c r="F490" s="2">
        <v>0</v>
      </c>
      <c r="G490" s="2" t="s">
        <v>433</v>
      </c>
      <c r="H490" s="2" t="s">
        <v>433</v>
      </c>
    </row>
    <row r="491" spans="1:8" ht="15" customHeight="1" x14ac:dyDescent="0.45">
      <c r="A491" s="2" t="s">
        <v>175</v>
      </c>
      <c r="B491" s="2" t="s">
        <v>174</v>
      </c>
      <c r="C491" s="2">
        <v>7.57129E-2</v>
      </c>
      <c r="D491" s="2">
        <v>22.2913</v>
      </c>
      <c r="E491" s="2">
        <v>7.2649999999999997</v>
      </c>
      <c r="F491" s="2">
        <v>1.32515E-3</v>
      </c>
      <c r="G491" s="2" t="s">
        <v>433</v>
      </c>
      <c r="H491" s="2" t="s">
        <v>433</v>
      </c>
    </row>
    <row r="492" spans="1:8" ht="15" customHeight="1" x14ac:dyDescent="0.45">
      <c r="A492" s="2" t="s">
        <v>1083</v>
      </c>
      <c r="B492" s="2" t="s">
        <v>1082</v>
      </c>
      <c r="C492" s="2">
        <v>0</v>
      </c>
      <c r="D492" s="2">
        <v>0</v>
      </c>
      <c r="E492" s="2">
        <v>0</v>
      </c>
      <c r="F492" s="2">
        <v>0</v>
      </c>
      <c r="G492" s="2" t="s">
        <v>147</v>
      </c>
      <c r="H492" s="2" t="s">
        <v>147</v>
      </c>
    </row>
    <row r="493" spans="1:8" ht="15" customHeight="1" x14ac:dyDescent="0.45">
      <c r="A493" s="2" t="s">
        <v>172</v>
      </c>
      <c r="B493" s="2" t="s">
        <v>171</v>
      </c>
      <c r="C493" s="2">
        <v>5.4930100000000003E-2</v>
      </c>
      <c r="D493" s="2">
        <v>7.01044</v>
      </c>
      <c r="E493" s="2">
        <v>8.1275999999999993</v>
      </c>
      <c r="F493" s="2">
        <v>6.64906E-3</v>
      </c>
      <c r="G493" s="2" t="s">
        <v>433</v>
      </c>
      <c r="H493" s="2" t="s">
        <v>433</v>
      </c>
    </row>
    <row r="494" spans="1:8" ht="15" customHeight="1" x14ac:dyDescent="0.45">
      <c r="A494" s="2" t="s">
        <v>169</v>
      </c>
      <c r="B494" s="2" t="s">
        <v>170</v>
      </c>
      <c r="C494" s="2">
        <v>0.18724399999999999</v>
      </c>
      <c r="D494" s="2">
        <v>7.9687799999999998</v>
      </c>
      <c r="E494" s="2">
        <v>17.156300000000002</v>
      </c>
      <c r="F494" s="2">
        <v>9.4649199999999999E-3</v>
      </c>
      <c r="G494" s="2" t="s">
        <v>433</v>
      </c>
      <c r="H494" s="2" t="s">
        <v>433</v>
      </c>
    </row>
    <row r="495" spans="1:8" ht="15" customHeight="1" x14ac:dyDescent="0.45">
      <c r="A495" s="2" t="s">
        <v>169</v>
      </c>
      <c r="B495" s="2" t="s">
        <v>168</v>
      </c>
      <c r="C495" s="2">
        <v>6.3453899999999994E-2</v>
      </c>
      <c r="D495" s="2">
        <v>2.1691799999999999</v>
      </c>
      <c r="E495" s="2">
        <v>2.9869300000000001</v>
      </c>
      <c r="F495" s="2">
        <v>1.9457999999999999E-3</v>
      </c>
      <c r="G495" s="2" t="s">
        <v>433</v>
      </c>
      <c r="H495" s="2" t="s">
        <v>433</v>
      </c>
    </row>
    <row r="496" spans="1:8" ht="15" customHeight="1" x14ac:dyDescent="0.45">
      <c r="A496" s="2" t="s">
        <v>135</v>
      </c>
      <c r="B496" s="2" t="s">
        <v>137</v>
      </c>
      <c r="C496" s="2">
        <v>0</v>
      </c>
      <c r="D496" s="2">
        <v>0</v>
      </c>
      <c r="E496" s="2">
        <v>0</v>
      </c>
      <c r="F496" s="2">
        <v>0</v>
      </c>
      <c r="G496" s="2" t="s">
        <v>147</v>
      </c>
      <c r="H496" s="2" t="s">
        <v>147</v>
      </c>
    </row>
    <row r="497" spans="1:8" ht="15" customHeight="1" x14ac:dyDescent="0.45">
      <c r="A497" s="2" t="s">
        <v>167</v>
      </c>
      <c r="B497" s="2" t="s">
        <v>136</v>
      </c>
      <c r="C497" s="2">
        <v>0</v>
      </c>
      <c r="D497" s="2">
        <v>0</v>
      </c>
      <c r="E497" s="2">
        <v>0</v>
      </c>
      <c r="F497" s="2">
        <v>0</v>
      </c>
      <c r="G497" s="2" t="s">
        <v>147</v>
      </c>
      <c r="H497" s="2" t="s">
        <v>147</v>
      </c>
    </row>
    <row r="498" spans="1:8" ht="15" customHeight="1" x14ac:dyDescent="0.45">
      <c r="A498" s="2" t="s">
        <v>1081</v>
      </c>
      <c r="B498" s="2" t="s">
        <v>139</v>
      </c>
      <c r="C498" s="2">
        <v>0</v>
      </c>
      <c r="D498" s="2">
        <v>0</v>
      </c>
      <c r="E498" s="2">
        <v>0</v>
      </c>
      <c r="F498" s="2">
        <v>0</v>
      </c>
      <c r="G498" s="2" t="s">
        <v>147</v>
      </c>
      <c r="H498" s="2" t="s">
        <v>147</v>
      </c>
    </row>
    <row r="499" spans="1:8" ht="15" customHeight="1" x14ac:dyDescent="0.45">
      <c r="A499" s="2" t="s">
        <v>138</v>
      </c>
      <c r="B499" s="2" t="s">
        <v>140</v>
      </c>
      <c r="C499" s="2">
        <v>0</v>
      </c>
      <c r="D499" s="2">
        <v>0</v>
      </c>
      <c r="E499" s="2">
        <v>0</v>
      </c>
      <c r="F499" s="2">
        <v>0</v>
      </c>
      <c r="G499" s="2" t="s">
        <v>147</v>
      </c>
      <c r="H499" s="2" t="s">
        <v>147</v>
      </c>
    </row>
    <row r="500" spans="1:8" ht="15" customHeight="1" x14ac:dyDescent="0.45">
      <c r="A500" s="2" t="s">
        <v>162</v>
      </c>
      <c r="B500" s="2" t="s">
        <v>166</v>
      </c>
      <c r="C500" s="2">
        <v>6.5241800000000003E-2</v>
      </c>
      <c r="D500" s="2">
        <v>47.108400000000003</v>
      </c>
      <c r="E500" s="2">
        <v>3.24214</v>
      </c>
      <c r="F500" s="2">
        <v>2.3326900000000001E-3</v>
      </c>
      <c r="G500" s="2" t="s">
        <v>433</v>
      </c>
      <c r="H500" s="2" t="s">
        <v>433</v>
      </c>
    </row>
    <row r="501" spans="1:8" ht="15" customHeight="1" x14ac:dyDescent="0.45">
      <c r="A501" s="2" t="s">
        <v>162</v>
      </c>
      <c r="B501" s="2" t="s">
        <v>164</v>
      </c>
      <c r="C501" s="2">
        <v>0.18904899999999999</v>
      </c>
      <c r="D501" s="2">
        <v>7.1672099999999999</v>
      </c>
      <c r="E501" s="2">
        <v>19.078700000000001</v>
      </c>
      <c r="F501" s="2">
        <v>4.7208800000000002E-3</v>
      </c>
      <c r="G501" s="2" t="s">
        <v>147</v>
      </c>
      <c r="H501" s="2" t="s">
        <v>433</v>
      </c>
    </row>
    <row r="502" spans="1:8" ht="15" customHeight="1" x14ac:dyDescent="0.45">
      <c r="A502" s="2" t="s">
        <v>162</v>
      </c>
      <c r="B502" s="2" t="s">
        <v>163</v>
      </c>
      <c r="C502" s="2">
        <v>0.21837699999999999</v>
      </c>
      <c r="D502" s="2">
        <v>7.5205500000000001</v>
      </c>
      <c r="E502" s="2">
        <v>23.184899999999999</v>
      </c>
      <c r="F502" s="2">
        <v>2.0335100000000001E-3</v>
      </c>
      <c r="G502" s="2" t="s">
        <v>147</v>
      </c>
      <c r="H502" s="2" t="s">
        <v>433</v>
      </c>
    </row>
    <row r="503" spans="1:8" ht="15" customHeight="1" x14ac:dyDescent="0.45">
      <c r="A503" s="2" t="s">
        <v>162</v>
      </c>
      <c r="B503" s="2" t="s">
        <v>161</v>
      </c>
      <c r="C503" s="2">
        <v>0.135268</v>
      </c>
      <c r="D503" s="2">
        <v>9.2236499999999992</v>
      </c>
      <c r="E503" s="2">
        <v>4.7250100000000002</v>
      </c>
      <c r="F503" s="2">
        <v>7.0168100000000001E-3</v>
      </c>
      <c r="G503" s="2" t="s">
        <v>433</v>
      </c>
      <c r="H503" s="2" t="s">
        <v>433</v>
      </c>
    </row>
    <row r="504" spans="1:8" ht="15" customHeight="1" x14ac:dyDescent="0.45">
      <c r="A504" s="2" t="s">
        <v>159</v>
      </c>
      <c r="B504" s="2" t="s">
        <v>158</v>
      </c>
      <c r="C504" s="2">
        <v>0.114703</v>
      </c>
      <c r="D504" s="2">
        <v>14.472300000000001</v>
      </c>
      <c r="E504" s="2">
        <v>10.4664</v>
      </c>
      <c r="F504" s="2">
        <v>8.5240999999999997E-3</v>
      </c>
      <c r="G504" s="2" t="s">
        <v>433</v>
      </c>
      <c r="H504" s="2" t="s">
        <v>433</v>
      </c>
    </row>
    <row r="505" spans="1:8" ht="15" customHeight="1" x14ac:dyDescent="0.45">
      <c r="A505" s="2" t="s">
        <v>157</v>
      </c>
      <c r="B505" s="2" t="s">
        <v>156</v>
      </c>
      <c r="C505" s="2">
        <v>0.11793099999999999</v>
      </c>
      <c r="D505" s="2">
        <v>16.270199999999999</v>
      </c>
      <c r="E505" s="2">
        <v>8.51844</v>
      </c>
      <c r="F505" s="2">
        <v>2.1150200000000001E-2</v>
      </c>
      <c r="G505" s="2" t="s">
        <v>147</v>
      </c>
      <c r="H505" s="2" t="s">
        <v>433</v>
      </c>
    </row>
    <row r="506" spans="1:8" ht="15" customHeight="1" x14ac:dyDescent="0.45">
      <c r="A506" s="2" t="s">
        <v>1080</v>
      </c>
      <c r="B506" s="2" t="s">
        <v>142</v>
      </c>
      <c r="C506" s="2">
        <v>0</v>
      </c>
      <c r="D506" s="2">
        <v>0</v>
      </c>
      <c r="E506" s="2">
        <v>0</v>
      </c>
      <c r="F506" s="2">
        <v>0</v>
      </c>
      <c r="G506" s="2" t="s">
        <v>147</v>
      </c>
      <c r="H506" s="2" t="s">
        <v>147</v>
      </c>
    </row>
    <row r="507" spans="1:8" ht="15" customHeight="1" x14ac:dyDescent="0.45">
      <c r="A507" s="2" t="s">
        <v>141</v>
      </c>
      <c r="B507" s="2" t="s">
        <v>143</v>
      </c>
      <c r="C507" s="2">
        <v>0</v>
      </c>
      <c r="D507" s="2">
        <v>0</v>
      </c>
      <c r="E507" s="2">
        <v>0</v>
      </c>
      <c r="F507" s="2">
        <v>0</v>
      </c>
      <c r="G507" s="2" t="s">
        <v>147</v>
      </c>
      <c r="H507" s="2" t="s">
        <v>147</v>
      </c>
    </row>
    <row r="508" spans="1:8" ht="15" customHeight="1" x14ac:dyDescent="0.45">
      <c r="A508" s="2" t="s">
        <v>144</v>
      </c>
      <c r="B508" s="2" t="s">
        <v>145</v>
      </c>
      <c r="C508" s="2">
        <v>0</v>
      </c>
      <c r="D508" s="2">
        <v>0</v>
      </c>
      <c r="E508" s="2">
        <v>0</v>
      </c>
      <c r="F508" s="2">
        <v>0</v>
      </c>
      <c r="G508" s="2" t="s">
        <v>147</v>
      </c>
      <c r="H508" s="2" t="s">
        <v>147</v>
      </c>
    </row>
    <row r="509" spans="1:8" ht="15" customHeight="1" x14ac:dyDescent="0.45">
      <c r="A509" s="2" t="s">
        <v>12</v>
      </c>
      <c r="B509" s="2" t="s">
        <v>14</v>
      </c>
      <c r="C509" s="2">
        <v>0</v>
      </c>
      <c r="D509" s="2">
        <v>0</v>
      </c>
      <c r="E509" s="2">
        <v>0</v>
      </c>
      <c r="F509" s="2">
        <v>0</v>
      </c>
      <c r="G509" s="2" t="s">
        <v>147</v>
      </c>
      <c r="H509" s="2" t="s">
        <v>147</v>
      </c>
    </row>
    <row r="510" spans="1:8" ht="15" customHeight="1" x14ac:dyDescent="0.45">
      <c r="A510" s="2" t="s">
        <v>149</v>
      </c>
      <c r="B510" s="2" t="s">
        <v>154</v>
      </c>
      <c r="C510" s="2">
        <v>8.0144300000000002E-2</v>
      </c>
      <c r="D510" s="2">
        <v>19.0944</v>
      </c>
      <c r="E510" s="2">
        <v>8.7669300000000003</v>
      </c>
      <c r="F510" s="2">
        <v>2.1246600000000001E-2</v>
      </c>
      <c r="G510" s="2" t="s">
        <v>433</v>
      </c>
      <c r="H510" s="2" t="s">
        <v>433</v>
      </c>
    </row>
    <row r="511" spans="1:8" ht="15" customHeight="1" x14ac:dyDescent="0.45">
      <c r="A511" s="2" t="s">
        <v>149</v>
      </c>
      <c r="B511" s="2" t="s">
        <v>153</v>
      </c>
      <c r="C511" s="2">
        <v>9.1185199999999994E-2</v>
      </c>
      <c r="D511" s="2">
        <v>24.7562</v>
      </c>
      <c r="E511" s="2">
        <v>7.4907700000000004</v>
      </c>
      <c r="F511" s="2">
        <v>3.71142E-2</v>
      </c>
      <c r="G511" s="2" t="s">
        <v>433</v>
      </c>
      <c r="H511" s="2" t="s">
        <v>433</v>
      </c>
    </row>
    <row r="512" spans="1:8" ht="15" customHeight="1" x14ac:dyDescent="0.45">
      <c r="A512" s="2" t="s">
        <v>149</v>
      </c>
      <c r="B512" s="2" t="s">
        <v>152</v>
      </c>
      <c r="C512" s="2">
        <v>0.101759</v>
      </c>
      <c r="D512" s="2">
        <v>14.9811</v>
      </c>
      <c r="E512" s="2">
        <v>3.0325299999999999</v>
      </c>
      <c r="F512" s="2">
        <v>2.35912E-2</v>
      </c>
      <c r="G512" s="2" t="s">
        <v>433</v>
      </c>
      <c r="H512" s="2" t="s">
        <v>433</v>
      </c>
    </row>
    <row r="513" spans="1:8" ht="15" customHeight="1" x14ac:dyDescent="0.45">
      <c r="A513" s="2" t="s">
        <v>149</v>
      </c>
      <c r="B513" s="2" t="s">
        <v>151</v>
      </c>
      <c r="C513" s="2">
        <v>0.184507</v>
      </c>
      <c r="D513" s="2">
        <v>12.1602</v>
      </c>
      <c r="E513" s="2">
        <v>21.219100000000001</v>
      </c>
      <c r="F513" s="2">
        <v>1.0679900000000001E-2</v>
      </c>
      <c r="G513" s="2" t="s">
        <v>433</v>
      </c>
      <c r="H513" s="2" t="s">
        <v>433</v>
      </c>
    </row>
    <row r="514" spans="1:8" ht="15" customHeight="1" x14ac:dyDescent="0.45">
      <c r="A514" s="2" t="s">
        <v>149</v>
      </c>
      <c r="B514" s="2" t="s">
        <v>150</v>
      </c>
      <c r="C514" s="2">
        <v>0.209227</v>
      </c>
      <c r="D514" s="2">
        <v>69.470799999999997</v>
      </c>
      <c r="E514" s="2">
        <v>11.3935</v>
      </c>
      <c r="F514" s="2">
        <v>3.44818E-2</v>
      </c>
      <c r="G514" s="2" t="s">
        <v>433</v>
      </c>
      <c r="H514" s="2" t="s">
        <v>433</v>
      </c>
    </row>
    <row r="515" spans="1:8" ht="15" customHeight="1" x14ac:dyDescent="0.45">
      <c r="A515" s="2" t="s">
        <v>149</v>
      </c>
      <c r="B515" s="2" t="s">
        <v>148</v>
      </c>
      <c r="C515" s="2">
        <v>0.124075</v>
      </c>
      <c r="D515" s="2">
        <v>42.799900000000001</v>
      </c>
      <c r="E515" s="2">
        <v>7.1571699999999998</v>
      </c>
      <c r="F515" s="2">
        <v>6.1113799999999996E-3</v>
      </c>
      <c r="G515" s="2" t="s">
        <v>433</v>
      </c>
      <c r="H515" s="2" t="s">
        <v>433</v>
      </c>
    </row>
    <row r="516" spans="1:8" ht="15" customHeight="1" x14ac:dyDescent="0.45">
      <c r="B516" s="328" t="s">
        <v>1554</v>
      </c>
      <c r="G516" s="2" t="s">
        <v>1568</v>
      </c>
      <c r="H516" s="2" t="s">
        <v>1568</v>
      </c>
    </row>
  </sheetData>
  <autoFilter ref="A2:H515" xr:uid="{CDEE87B2-20AB-4855-86C9-E70F56D62460}"/>
  <mergeCells count="1">
    <mergeCell ref="A1:E1"/>
  </mergeCells>
  <conditionalFormatting sqref="B3:B515 B517:B1048576">
    <cfRule type="duplicateValues" dxfId="16" priority="5"/>
  </conditionalFormatting>
  <conditionalFormatting sqref="B2">
    <cfRule type="duplicateValues" dxfId="15" priority="4"/>
  </conditionalFormatting>
  <conditionalFormatting sqref="B1:B515 B517:B1048576">
    <cfRule type="duplicateValues" dxfId="14" priority="3"/>
  </conditionalFormatting>
  <conditionalFormatting sqref="B516">
    <cfRule type="duplicateValues" dxfId="13" priority="1"/>
    <cfRule type="duplicateValues" dxfId="12" priority="2"/>
  </conditionalFormatting>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C089E-37CC-4020-86D6-01169F9CB80D}">
  <sheetPr codeName="Blad18">
    <tabColor theme="9" tint="0.39997558519241921"/>
  </sheetPr>
  <dimension ref="A1:R411"/>
  <sheetViews>
    <sheetView workbookViewId="0">
      <pane xSplit="2" ySplit="2" topLeftCell="H72" activePane="bottomRight" state="frozen"/>
      <selection pane="topRight" activeCell="C1" sqref="C1"/>
      <selection pane="bottomLeft" activeCell="A3" sqref="A3"/>
      <selection pane="bottomRight" activeCell="B99" sqref="B99"/>
    </sheetView>
  </sheetViews>
  <sheetFormatPr defaultRowHeight="14.25" x14ac:dyDescent="0.45"/>
  <cols>
    <col min="1" max="1" width="43.73046875" style="2" bestFit="1" customWidth="1"/>
    <col min="2" max="2" width="48" style="2" bestFit="1" customWidth="1"/>
    <col min="11" max="11" width="40.265625" customWidth="1"/>
    <col min="12" max="12" width="27.1328125" customWidth="1"/>
    <col min="13" max="13" width="17.73046875" customWidth="1"/>
    <col min="14" max="14" width="13.59765625" customWidth="1"/>
  </cols>
  <sheetData>
    <row r="1" spans="1:18" x14ac:dyDescent="0.45">
      <c r="A1" s="362" t="s">
        <v>1380</v>
      </c>
      <c r="B1" s="363"/>
      <c r="C1" s="363"/>
      <c r="D1" s="363"/>
      <c r="E1" s="364"/>
      <c r="H1" s="46"/>
      <c r="K1" s="146" t="s">
        <v>1381</v>
      </c>
      <c r="L1" s="147"/>
      <c r="M1" s="147"/>
      <c r="N1" s="147"/>
      <c r="R1" t="s">
        <v>1382</v>
      </c>
    </row>
    <row r="2" spans="1:18" ht="85.5" x14ac:dyDescent="0.45">
      <c r="A2" s="148" t="s">
        <v>724</v>
      </c>
      <c r="B2" s="148" t="s">
        <v>2</v>
      </c>
      <c r="C2" s="148" t="s">
        <v>1177</v>
      </c>
      <c r="D2" s="148" t="s">
        <v>1176</v>
      </c>
      <c r="E2" s="148" t="s">
        <v>1175</v>
      </c>
      <c r="F2" s="148" t="s">
        <v>1174</v>
      </c>
      <c r="G2" s="148" t="s">
        <v>1173</v>
      </c>
      <c r="H2" s="149" t="s">
        <v>1172</v>
      </c>
      <c r="J2" s="150"/>
      <c r="K2" s="151" t="s">
        <v>1383</v>
      </c>
      <c r="L2" s="151" t="s">
        <v>1384</v>
      </c>
      <c r="M2" s="151" t="s">
        <v>1385</v>
      </c>
      <c r="N2" s="152" t="s">
        <v>1386</v>
      </c>
      <c r="P2" s="153" t="s">
        <v>1387</v>
      </c>
      <c r="R2">
        <v>1</v>
      </c>
    </row>
    <row r="3" spans="1:18" ht="20.25" customHeight="1" x14ac:dyDescent="0.45">
      <c r="A3" s="2" t="s">
        <v>15</v>
      </c>
      <c r="B3" s="2" t="s">
        <v>16</v>
      </c>
      <c r="C3">
        <f>IFERROR(VLOOKUP($B3,Miljövärden!$B$3:$H$553,MATCH(C$2,Miljövärden!$B$2:$H$2,0),FALSE),"Saknas")</f>
        <v>0.193631</v>
      </c>
      <c r="D3">
        <f>IFERROR(VLOOKUP($B3,Miljövärden!$B$3:$H$553,MATCH(D$2,Miljövärden!$B$2:$H$2,0),FALSE),"Saknas")</f>
        <v>4.5327099999999998</v>
      </c>
      <c r="E3">
        <f>IFERROR(VLOOKUP($B3,Miljövärden!$B$3:$H$553,MATCH(E$2,Miljövärden!$B$2:$H$2,0),FALSE),"Saknas")</f>
        <v>16.595600000000001</v>
      </c>
      <c r="F3">
        <f>IFERROR(VLOOKUP($B3,Miljövärden!$B$3:$H$553,MATCH(F$2,Miljövärden!$B$2:$H$2,0),FALSE),"Saknas")</f>
        <v>0</v>
      </c>
      <c r="G3" t="str">
        <f>IFERROR(VLOOKUP($B3,Miljövärden!$B$3:$H$553,MATCH(G$2,Miljövärden!$B$2:$H$2,0),FALSE),"Nej, saknas")</f>
        <v>Ja</v>
      </c>
      <c r="H3" t="str">
        <f>IFERROR(VLOOKUP($B3,Miljövärden!$B$3:$H$553,MATCH(H$2,Miljövärden!$B$2:$H$2,0),FALSE),"Nej, saknas")</f>
        <v>Ja</v>
      </c>
      <c r="P3" t="str">
        <f>IF(K3="x","nej",
IF(L3="x","ja",
IF(H3="Ja","Ja","nej")))</f>
        <v>Ja</v>
      </c>
      <c r="R3">
        <f>IF(ISERROR(P3),R2,IF(P3="ja",R2+1,R2))</f>
        <v>2</v>
      </c>
    </row>
    <row r="4" spans="1:18" x14ac:dyDescent="0.45">
      <c r="A4" s="2" t="s">
        <v>15</v>
      </c>
      <c r="B4" s="2" t="s">
        <v>18</v>
      </c>
      <c r="C4">
        <f>IFERROR(VLOOKUP($B4,Miljövärden!$B$3:$H$553,MATCH(C$2,Miljövärden!$B$2:$H$2,0),FALSE),"Saknas")</f>
        <v>0.167846</v>
      </c>
      <c r="D4">
        <f>IFERROR(VLOOKUP($B4,Miljövärden!$B$3:$H$553,MATCH(D$2,Miljövärden!$B$2:$H$2,0),FALSE),"Saknas")</f>
        <v>7.4225899999999996</v>
      </c>
      <c r="E4">
        <f>IFERROR(VLOOKUP($B4,Miljövärden!$B$3:$H$553,MATCH(E$2,Miljövärden!$B$2:$H$2,0),FALSE),"Saknas")</f>
        <v>8.6292600000000004</v>
      </c>
      <c r="F4">
        <f>IFERROR(VLOOKUP($B4,Miljövärden!$B$3:$H$553,MATCH(F$2,Miljövärden!$B$2:$H$2,0),FALSE),"Saknas")</f>
        <v>7.79819E-3</v>
      </c>
      <c r="G4" t="str">
        <f>IFERROR(VLOOKUP($B4,Miljövärden!$B$3:$H$553,MATCH(G$2,Miljövärden!$B$2:$H$2,0),FALSE),"Nej, saknas")</f>
        <v>Ja</v>
      </c>
      <c r="H4" t="str">
        <f>IFERROR(VLOOKUP($B4,Miljövärden!$B$3:$H$553,MATCH(H$2,Miljövärden!$B$2:$H$2,0),FALSE),"Nej, saknas")</f>
        <v>Ja</v>
      </c>
      <c r="P4" t="str">
        <f t="shared" ref="P4:P68" si="0">IF(K4="x","nej",
IF(L4="x","ja",
IF(H4="ja","ja","nej")))</f>
        <v>ja</v>
      </c>
      <c r="R4">
        <f t="shared" ref="R4:R67" si="1">IF(ISERROR(P4),R3,IF(P4="ja",R3+1,R3))</f>
        <v>3</v>
      </c>
    </row>
    <row r="5" spans="1:18" x14ac:dyDescent="0.45">
      <c r="A5" s="2" t="s">
        <v>15</v>
      </c>
      <c r="B5" s="2" t="s">
        <v>20</v>
      </c>
      <c r="C5">
        <f>IFERROR(VLOOKUP($B5,Miljövärden!$B$3:$H$553,MATCH(C$2,Miljövärden!$B$2:$H$2,0),FALSE),"Saknas")</f>
        <v>0.16758100000000001</v>
      </c>
      <c r="D5">
        <f>IFERROR(VLOOKUP($B5,Miljövärden!$B$3:$H$553,MATCH(D$2,Miljövärden!$B$2:$H$2,0),FALSE),"Saknas")</f>
        <v>90.596199999999996</v>
      </c>
      <c r="E5">
        <f>IFERROR(VLOOKUP($B5,Miljövärden!$B$3:$H$553,MATCH(E$2,Miljövärden!$B$2:$H$2,0),FALSE),"Saknas")</f>
        <v>5.1046500000000004</v>
      </c>
      <c r="F5">
        <f>IFERROR(VLOOKUP($B5,Miljövärden!$B$3:$H$553,MATCH(F$2,Miljövärden!$B$2:$H$2,0),FALSE),"Saknas")</f>
        <v>6.8488300000000002E-3</v>
      </c>
      <c r="G5" t="str">
        <f>IFERROR(VLOOKUP($B5,Miljövärden!$B$3:$H$553,MATCH(G$2,Miljövärden!$B$2:$H$2,0),FALSE),"Nej, saknas")</f>
        <v>Nej</v>
      </c>
      <c r="H5" t="str">
        <f>IFERROR(VLOOKUP($B5,Miljövärden!$B$3:$H$553,MATCH(H$2,Miljövärden!$B$2:$H$2,0),FALSE),"Nej, saknas")</f>
        <v>Ja</v>
      </c>
      <c r="P5" t="str">
        <f t="shared" si="0"/>
        <v>ja</v>
      </c>
      <c r="R5">
        <f t="shared" si="1"/>
        <v>4</v>
      </c>
    </row>
    <row r="6" spans="1:18" x14ac:dyDescent="0.45">
      <c r="A6" s="2" t="s">
        <v>15</v>
      </c>
      <c r="B6" s="2" t="s">
        <v>22</v>
      </c>
      <c r="C6">
        <f>IFERROR(VLOOKUP($B6,Miljövärden!$B$3:$H$553,MATCH(C$2,Miljövärden!$B$2:$H$2,0),FALSE),"Saknas")</f>
        <v>0.117627</v>
      </c>
      <c r="D6">
        <f>IFERROR(VLOOKUP($B6,Miljövärden!$B$3:$H$553,MATCH(D$2,Miljövärden!$B$2:$H$2,0),FALSE),"Saknas")</f>
        <v>5.7977100000000004</v>
      </c>
      <c r="E6">
        <f>IFERROR(VLOOKUP($B6,Miljövärden!$B$3:$H$553,MATCH(E$2,Miljövärden!$B$2:$H$2,0),FALSE),"Saknas")</f>
        <v>9.0775100000000002</v>
      </c>
      <c r="F6">
        <f>IFERROR(VLOOKUP($B6,Miljövärden!$B$3:$H$553,MATCH(F$2,Miljövärden!$B$2:$H$2,0),FALSE),"Saknas")</f>
        <v>1.6345800000000001E-3</v>
      </c>
      <c r="G6" t="str">
        <f>IFERROR(VLOOKUP($B6,Miljövärden!$B$3:$H$553,MATCH(G$2,Miljövärden!$B$2:$H$2,0),FALSE),"Nej, saknas")</f>
        <v>Ja</v>
      </c>
      <c r="H6" t="str">
        <f>IFERROR(VLOOKUP($B6,Miljövärden!$B$3:$H$553,MATCH(H$2,Miljövärden!$B$2:$H$2,0),FALSE),"Nej, saknas")</f>
        <v>Ja</v>
      </c>
      <c r="P6" t="str">
        <f t="shared" si="0"/>
        <v>ja</v>
      </c>
      <c r="R6">
        <f t="shared" si="1"/>
        <v>5</v>
      </c>
    </row>
    <row r="7" spans="1:18" x14ac:dyDescent="0.45">
      <c r="A7" s="2" t="s">
        <v>15</v>
      </c>
      <c r="B7" s="2" t="s">
        <v>24</v>
      </c>
      <c r="C7">
        <f>IFERROR(VLOOKUP($B7,Miljövärden!$B$3:$H$553,MATCH(C$2,Miljövärden!$B$2:$H$2,0),FALSE),"Saknas")</f>
        <v>0.17210300000000001</v>
      </c>
      <c r="D7">
        <f>IFERROR(VLOOKUP($B7,Miljövärden!$B$3:$H$553,MATCH(D$2,Miljövärden!$B$2:$H$2,0),FALSE),"Saknas")</f>
        <v>10.0288</v>
      </c>
      <c r="E7">
        <f>IFERROR(VLOOKUP($B7,Miljövärden!$B$3:$H$553,MATCH(E$2,Miljövärden!$B$2:$H$2,0),FALSE),"Saknas")</f>
        <v>8.1794799999999999</v>
      </c>
      <c r="F7">
        <f>IFERROR(VLOOKUP($B7,Miljövärden!$B$3:$H$553,MATCH(F$2,Miljövärden!$B$2:$H$2,0),FALSE),"Saknas")</f>
        <v>1.5997999999999998E-2</v>
      </c>
      <c r="G7" t="str">
        <f>IFERROR(VLOOKUP($B7,Miljövärden!$B$3:$H$553,MATCH(G$2,Miljövärden!$B$2:$H$2,0),FALSE),"Nej, saknas")</f>
        <v>Ja</v>
      </c>
      <c r="H7" t="str">
        <f>IFERROR(VLOOKUP($B7,Miljövärden!$B$3:$H$553,MATCH(H$2,Miljövärden!$B$2:$H$2,0),FALSE),"Nej, saknas")</f>
        <v>Ja</v>
      </c>
      <c r="P7" t="str">
        <f t="shared" si="0"/>
        <v>ja</v>
      </c>
      <c r="R7">
        <f t="shared" si="1"/>
        <v>6</v>
      </c>
    </row>
    <row r="8" spans="1:18" x14ac:dyDescent="0.45">
      <c r="A8" s="2" t="s">
        <v>15</v>
      </c>
      <c r="B8" s="2" t="s">
        <v>26</v>
      </c>
      <c r="C8">
        <f>IFERROR(VLOOKUP($B8,Miljövärden!$B$3:$H$553,MATCH(C$2,Miljövärden!$B$2:$H$2,0),FALSE),"Saknas")</f>
        <v>0.15499499999999999</v>
      </c>
      <c r="D8">
        <f>IFERROR(VLOOKUP($B8,Miljövärden!$B$3:$H$553,MATCH(D$2,Miljövärden!$B$2:$H$2,0),FALSE),"Saknas")</f>
        <v>4.3331900000000001</v>
      </c>
      <c r="E8">
        <f>IFERROR(VLOOKUP($B8,Miljövärden!$B$3:$H$553,MATCH(E$2,Miljövärden!$B$2:$H$2,0),FALSE),"Saknas")</f>
        <v>8.1303099999999997</v>
      </c>
      <c r="F8">
        <f>IFERROR(VLOOKUP($B8,Miljövärden!$B$3:$H$553,MATCH(F$2,Miljövärden!$B$2:$H$2,0),FALSE),"Saknas")</f>
        <v>0</v>
      </c>
      <c r="G8" t="str">
        <f>IFERROR(VLOOKUP($B8,Miljövärden!$B$3:$H$553,MATCH(G$2,Miljövärden!$B$2:$H$2,0),FALSE),"Nej, saknas")</f>
        <v>Ja</v>
      </c>
      <c r="H8" t="str">
        <f>IFERROR(VLOOKUP($B8,Miljövärden!$B$3:$H$553,MATCH(H$2,Miljövärden!$B$2:$H$2,0),FALSE),"Nej, saknas")</f>
        <v>Ja</v>
      </c>
      <c r="P8" t="str">
        <f t="shared" si="0"/>
        <v>ja</v>
      </c>
      <c r="R8">
        <f t="shared" si="1"/>
        <v>7</v>
      </c>
    </row>
    <row r="9" spans="1:18" x14ac:dyDescent="0.45">
      <c r="A9" s="2" t="s">
        <v>15</v>
      </c>
      <c r="B9" s="2" t="s">
        <v>28</v>
      </c>
      <c r="C9">
        <f>IFERROR(VLOOKUP($B9,Miljövärden!$B$3:$H$553,MATCH(C$2,Miljövärden!$B$2:$H$2,0),FALSE),"Saknas")</f>
        <v>7.2537099999999993E-2</v>
      </c>
      <c r="D9">
        <f>IFERROR(VLOOKUP($B9,Miljövärden!$B$3:$H$553,MATCH(D$2,Miljövärden!$B$2:$H$2,0),FALSE),"Saknas")</f>
        <v>11.2058</v>
      </c>
      <c r="E9">
        <f>IFERROR(VLOOKUP($B9,Miljövärden!$B$3:$H$553,MATCH(E$2,Miljövärden!$B$2:$H$2,0),FALSE),"Saknas")</f>
        <v>3.2233800000000001</v>
      </c>
      <c r="F9">
        <f>IFERROR(VLOOKUP($B9,Miljövärden!$B$3:$H$553,MATCH(F$2,Miljövärden!$B$2:$H$2,0),FALSE),"Saknas")</f>
        <v>3.2220199999999997E-2</v>
      </c>
      <c r="G9" t="str">
        <f>IFERROR(VLOOKUP($B9,Miljövärden!$B$3:$H$553,MATCH(G$2,Miljövärden!$B$2:$H$2,0),FALSE),"Nej, saknas")</f>
        <v>Ja</v>
      </c>
      <c r="H9" t="str">
        <f>IFERROR(VLOOKUP($B9,Miljövärden!$B$3:$H$553,MATCH(H$2,Miljövärden!$B$2:$H$2,0),FALSE),"Nej, saknas")</f>
        <v>Ja</v>
      </c>
      <c r="P9" t="str">
        <f t="shared" si="0"/>
        <v>ja</v>
      </c>
      <c r="R9">
        <f t="shared" si="1"/>
        <v>8</v>
      </c>
    </row>
    <row r="10" spans="1:18" x14ac:dyDescent="0.45">
      <c r="A10" s="2" t="s">
        <v>15</v>
      </c>
      <c r="B10" s="2" t="s">
        <v>30</v>
      </c>
      <c r="C10">
        <f>IFERROR(VLOOKUP($B10,Miljövärden!$B$3:$H$553,MATCH(C$2,Miljövärden!$B$2:$H$2,0),FALSE),"Saknas")</f>
        <v>0.176458</v>
      </c>
      <c r="D10">
        <f>IFERROR(VLOOKUP($B10,Miljövärden!$B$3:$H$553,MATCH(D$2,Miljövärden!$B$2:$H$2,0),FALSE),"Saknas")</f>
        <v>8.0076099999999997</v>
      </c>
      <c r="E10">
        <f>IFERROR(VLOOKUP($B10,Miljövärden!$B$3:$H$553,MATCH(E$2,Miljövärden!$B$2:$H$2,0),FALSE),"Saknas")</f>
        <v>8.7162400000000009</v>
      </c>
      <c r="F10">
        <f>IFERROR(VLOOKUP($B10,Miljövärden!$B$3:$H$553,MATCH(F$2,Miljövärden!$B$2:$H$2,0),FALSE),"Saknas")</f>
        <v>8.6305900000000005E-3</v>
      </c>
      <c r="G10" t="str">
        <f>IFERROR(VLOOKUP($B10,Miljövärden!$B$3:$H$553,MATCH(G$2,Miljövärden!$B$2:$H$2,0),FALSE),"Nej, saknas")</f>
        <v>Ja</v>
      </c>
      <c r="H10" t="str">
        <f>IFERROR(VLOOKUP($B10,Miljövärden!$B$3:$H$553,MATCH(H$2,Miljövärden!$B$2:$H$2,0),FALSE),"Nej, saknas")</f>
        <v>Ja</v>
      </c>
      <c r="P10" t="str">
        <f t="shared" si="0"/>
        <v>ja</v>
      </c>
      <c r="R10">
        <f t="shared" si="1"/>
        <v>9</v>
      </c>
    </row>
    <row r="11" spans="1:18" x14ac:dyDescent="0.45">
      <c r="A11" s="2" t="s">
        <v>15</v>
      </c>
      <c r="B11" s="2" t="s">
        <v>32</v>
      </c>
      <c r="C11">
        <f>IFERROR(VLOOKUP($B11,Miljövärden!$B$3:$H$553,MATCH(C$2,Miljövärden!$B$2:$H$2,0),FALSE),"Saknas")</f>
        <v>9.8066700000000007E-2</v>
      </c>
      <c r="D11">
        <f>IFERROR(VLOOKUP($B11,Miljövärden!$B$3:$H$553,MATCH(D$2,Miljövärden!$B$2:$H$2,0),FALSE),"Saknas")</f>
        <v>3.8871000000000002</v>
      </c>
      <c r="E11">
        <f>IFERROR(VLOOKUP($B11,Miljövärden!$B$3:$H$553,MATCH(E$2,Miljövärden!$B$2:$H$2,0),FALSE),"Saknas")</f>
        <v>7.03653</v>
      </c>
      <c r="F11">
        <f>IFERROR(VLOOKUP($B11,Miljövärden!$B$3:$H$553,MATCH(F$2,Miljövärden!$B$2:$H$2,0),FALSE),"Saknas")</f>
        <v>7.4288399999999997E-4</v>
      </c>
      <c r="G11" t="str">
        <f>IFERROR(VLOOKUP($B11,Miljövärden!$B$3:$H$553,MATCH(G$2,Miljövärden!$B$2:$H$2,0),FALSE),"Nej, saknas")</f>
        <v>Ja</v>
      </c>
      <c r="H11" t="str">
        <f>IFERROR(VLOOKUP($B11,Miljövärden!$B$3:$H$553,MATCH(H$2,Miljövärden!$B$2:$H$2,0),FALSE),"Nej, saknas")</f>
        <v>Ja</v>
      </c>
      <c r="P11" t="str">
        <f t="shared" si="0"/>
        <v>ja</v>
      </c>
      <c r="R11">
        <f t="shared" si="1"/>
        <v>10</v>
      </c>
    </row>
    <row r="12" spans="1:18" x14ac:dyDescent="0.45">
      <c r="A12" s="2" t="s">
        <v>672</v>
      </c>
      <c r="B12" s="2" t="s">
        <v>681</v>
      </c>
      <c r="C12">
        <f>IFERROR(VLOOKUP($B12,Miljövärden!$B$3:$H$553,MATCH(C$2,Miljövärden!$B$2:$H$2,0),FALSE),"Saknas")</f>
        <v>0.135569</v>
      </c>
      <c r="D12">
        <f>IFERROR(VLOOKUP($B12,Miljövärden!$B$3:$H$553,MATCH(D$2,Miljövärden!$B$2:$H$2,0),FALSE),"Saknas")</f>
        <v>5.6758800000000003</v>
      </c>
      <c r="E12">
        <f>IFERROR(VLOOKUP($B12,Miljövärden!$B$3:$H$553,MATCH(E$2,Miljövärden!$B$2:$H$2,0),FALSE),"Saknas")</f>
        <v>9.9327799999999993</v>
      </c>
      <c r="F12">
        <f>IFERROR(VLOOKUP($B12,Miljövärden!$B$3:$H$553,MATCH(F$2,Miljövärden!$B$2:$H$2,0),FALSE),"Saknas")</f>
        <v>0</v>
      </c>
      <c r="G12" t="str">
        <f>IFERROR(VLOOKUP($B12,Miljövärden!$B$3:$H$553,MATCH(G$2,Miljövärden!$B$2:$H$2,0),FALSE),"Nej, saknas")</f>
        <v>Ja</v>
      </c>
      <c r="H12" t="str">
        <f>IFERROR(VLOOKUP($B12,Miljövärden!$B$3:$H$553,MATCH(H$2,Miljövärden!$B$2:$H$2,0),FALSE),"Nej, saknas")</f>
        <v>Ja</v>
      </c>
      <c r="P12" t="str">
        <f t="shared" si="0"/>
        <v>ja</v>
      </c>
      <c r="R12">
        <f t="shared" si="1"/>
        <v>11</v>
      </c>
    </row>
    <row r="13" spans="1:18" x14ac:dyDescent="0.45">
      <c r="A13" s="2" t="s">
        <v>672</v>
      </c>
      <c r="B13" s="2" t="s">
        <v>680</v>
      </c>
      <c r="C13">
        <f>IFERROR(VLOOKUP($B13,Miljövärden!$B$3:$H$553,MATCH(C$2,Miljövärden!$B$2:$H$2,0),FALSE),"Saknas")</f>
        <v>0.15629999999999999</v>
      </c>
      <c r="D13">
        <f>IFERROR(VLOOKUP($B13,Miljövärden!$B$3:$H$553,MATCH(D$2,Miljövärden!$B$2:$H$2,0),FALSE),"Saknas")</f>
        <v>7.3343699999999998</v>
      </c>
      <c r="E13">
        <f>IFERROR(VLOOKUP($B13,Miljövärden!$B$3:$H$553,MATCH(E$2,Miljövärden!$B$2:$H$2,0),FALSE),"Saknas")</f>
        <v>11.749700000000001</v>
      </c>
      <c r="F13">
        <f>IFERROR(VLOOKUP($B13,Miljövärden!$B$3:$H$553,MATCH(F$2,Miljövärden!$B$2:$H$2,0),FALSE),"Saknas")</f>
        <v>4.4731099999999998E-3</v>
      </c>
      <c r="G13" t="str">
        <f>IFERROR(VLOOKUP($B13,Miljövärden!$B$3:$H$553,MATCH(G$2,Miljövärden!$B$2:$H$2,0),FALSE),"Nej, saknas")</f>
        <v>Ja</v>
      </c>
      <c r="H13" t="str">
        <f>IFERROR(VLOOKUP($B13,Miljövärden!$B$3:$H$553,MATCH(H$2,Miljövärden!$B$2:$H$2,0),FALSE),"Nej, saknas")</f>
        <v>Ja</v>
      </c>
      <c r="P13" t="str">
        <f t="shared" si="0"/>
        <v>ja</v>
      </c>
      <c r="R13">
        <f t="shared" si="1"/>
        <v>12</v>
      </c>
    </row>
    <row r="14" spans="1:18" x14ac:dyDescent="0.45">
      <c r="A14" s="2" t="s">
        <v>672</v>
      </c>
      <c r="B14" s="2" t="s">
        <v>679</v>
      </c>
      <c r="C14">
        <f>IFERROR(VLOOKUP($B14,Miljövärden!$B$3:$H$553,MATCH(C$2,Miljövärden!$B$2:$H$2,0),FALSE),"Saknas")</f>
        <v>0.12046800000000001</v>
      </c>
      <c r="D14">
        <f>IFERROR(VLOOKUP($B14,Miljövärden!$B$3:$H$553,MATCH(D$2,Miljövärden!$B$2:$H$2,0),FALSE),"Saknas")</f>
        <v>8.1338399999999993</v>
      </c>
      <c r="E14">
        <f>IFERROR(VLOOKUP($B14,Miljövärden!$B$3:$H$553,MATCH(E$2,Miljövärden!$B$2:$H$2,0),FALSE),"Saknas")</f>
        <v>10.2813</v>
      </c>
      <c r="F14">
        <f>IFERROR(VLOOKUP($B14,Miljövärden!$B$3:$H$553,MATCH(F$2,Miljövärden!$B$2:$H$2,0),FALSE),"Saknas")</f>
        <v>6.0094199999999997E-3</v>
      </c>
      <c r="G14" t="str">
        <f>IFERROR(VLOOKUP($B14,Miljövärden!$B$3:$H$553,MATCH(G$2,Miljövärden!$B$2:$H$2,0),FALSE),"Nej, saknas")</f>
        <v>Ja</v>
      </c>
      <c r="H14" t="str">
        <f>IFERROR(VLOOKUP($B14,Miljövärden!$B$3:$H$553,MATCH(H$2,Miljövärden!$B$2:$H$2,0),FALSE),"Nej, saknas")</f>
        <v>Ja</v>
      </c>
      <c r="P14" t="str">
        <f t="shared" si="0"/>
        <v>ja</v>
      </c>
      <c r="R14">
        <f t="shared" si="1"/>
        <v>13</v>
      </c>
    </row>
    <row r="15" spans="1:18" x14ac:dyDescent="0.45">
      <c r="A15" s="2" t="s">
        <v>672</v>
      </c>
      <c r="B15" s="2" t="s">
        <v>678</v>
      </c>
      <c r="C15">
        <f>IFERROR(VLOOKUP($B15,Miljövärden!$B$3:$H$553,MATCH(C$2,Miljövärden!$B$2:$H$2,0),FALSE),"Saknas")</f>
        <v>0.120277</v>
      </c>
      <c r="D15">
        <f>IFERROR(VLOOKUP($B15,Miljövärden!$B$3:$H$553,MATCH(D$2,Miljövärden!$B$2:$H$2,0),FALSE),"Saknas")</f>
        <v>6.9286099999999999</v>
      </c>
      <c r="E15">
        <f>IFERROR(VLOOKUP($B15,Miljövärden!$B$3:$H$553,MATCH(E$2,Miljövärden!$B$2:$H$2,0),FALSE),"Saknas")</f>
        <v>9.9656500000000001</v>
      </c>
      <c r="F15">
        <f>IFERROR(VLOOKUP($B15,Miljövärden!$B$3:$H$553,MATCH(F$2,Miljövärden!$B$2:$H$2,0),FALSE),"Saknas")</f>
        <v>3.3623899999999998E-3</v>
      </c>
      <c r="G15" t="str">
        <f>IFERROR(VLOOKUP($B15,Miljövärden!$B$3:$H$553,MATCH(G$2,Miljövärden!$B$2:$H$2,0),FALSE),"Nej, saknas")</f>
        <v>Ja</v>
      </c>
      <c r="H15" t="str">
        <f>IFERROR(VLOOKUP($B15,Miljövärden!$B$3:$H$553,MATCH(H$2,Miljövärden!$B$2:$H$2,0),FALSE),"Nej, saknas")</f>
        <v>Ja</v>
      </c>
      <c r="P15" t="str">
        <f t="shared" si="0"/>
        <v>ja</v>
      </c>
      <c r="R15">
        <f t="shared" si="1"/>
        <v>14</v>
      </c>
    </row>
    <row r="16" spans="1:18" x14ac:dyDescent="0.45">
      <c r="A16" s="2" t="s">
        <v>672</v>
      </c>
      <c r="B16" s="2" t="s">
        <v>677</v>
      </c>
      <c r="C16">
        <f>IFERROR(VLOOKUP($B16,Miljövärden!$B$3:$H$553,MATCH(C$2,Miljövärden!$B$2:$H$2,0),FALSE),"Saknas")</f>
        <v>0.11430999999999999</v>
      </c>
      <c r="D16">
        <f>IFERROR(VLOOKUP($B16,Miljövärden!$B$3:$H$553,MATCH(D$2,Miljövärden!$B$2:$H$2,0),FALSE),"Saknas")</f>
        <v>11.4582</v>
      </c>
      <c r="E16">
        <f>IFERROR(VLOOKUP($B16,Miljövärden!$B$3:$H$553,MATCH(E$2,Miljövärden!$B$2:$H$2,0),FALSE),"Saknas")</f>
        <v>10.9925</v>
      </c>
      <c r="F16">
        <f>IFERROR(VLOOKUP($B16,Miljövärden!$B$3:$H$553,MATCH(F$2,Miljövärden!$B$2:$H$2,0),FALSE),"Saknas")</f>
        <v>1.31434E-2</v>
      </c>
      <c r="G16" t="str">
        <f>IFERROR(VLOOKUP($B16,Miljövärden!$B$3:$H$553,MATCH(G$2,Miljövärden!$B$2:$H$2,0),FALSE),"Nej, saknas")</f>
        <v>Ja</v>
      </c>
      <c r="H16" t="str">
        <f>IFERROR(VLOOKUP($B16,Miljövärden!$B$3:$H$553,MATCH(H$2,Miljövärden!$B$2:$H$2,0),FALSE),"Nej, saknas")</f>
        <v>Ja</v>
      </c>
      <c r="P16" t="str">
        <f t="shared" si="0"/>
        <v>ja</v>
      </c>
      <c r="R16">
        <f t="shared" si="1"/>
        <v>15</v>
      </c>
    </row>
    <row r="17" spans="1:18" x14ac:dyDescent="0.45">
      <c r="A17" s="2" t="s">
        <v>672</v>
      </c>
      <c r="B17" s="2" t="s">
        <v>676</v>
      </c>
      <c r="C17">
        <f>IFERROR(VLOOKUP($B17,Miljövärden!$B$3:$H$553,MATCH(C$2,Miljövärden!$B$2:$H$2,0),FALSE),"Saknas")</f>
        <v>0.13586999999999999</v>
      </c>
      <c r="D17">
        <f>IFERROR(VLOOKUP($B17,Miljövärden!$B$3:$H$553,MATCH(D$2,Miljövärden!$B$2:$H$2,0),FALSE),"Saknas")</f>
        <v>8.2206399999999995</v>
      </c>
      <c r="E17">
        <f>IFERROR(VLOOKUP($B17,Miljövärden!$B$3:$H$553,MATCH(E$2,Miljövärden!$B$2:$H$2,0),FALSE),"Saknas")</f>
        <v>9.9937100000000001</v>
      </c>
      <c r="F17">
        <f>IFERROR(VLOOKUP($B17,Miljövärden!$B$3:$H$553,MATCH(F$2,Miljövärden!$B$2:$H$2,0),FALSE),"Saknas")</f>
        <v>6.8552600000000002E-3</v>
      </c>
      <c r="G17" t="str">
        <f>IFERROR(VLOOKUP($B17,Miljövärden!$B$3:$H$553,MATCH(G$2,Miljövärden!$B$2:$H$2,0),FALSE),"Nej, saknas")</f>
        <v>Ja</v>
      </c>
      <c r="H17" t="str">
        <f>IFERROR(VLOOKUP($B17,Miljövärden!$B$3:$H$553,MATCH(H$2,Miljövärden!$B$2:$H$2,0),FALSE),"Nej, saknas")</f>
        <v>Ja</v>
      </c>
      <c r="P17" t="str">
        <f t="shared" si="0"/>
        <v>ja</v>
      </c>
      <c r="R17">
        <f t="shared" si="1"/>
        <v>16</v>
      </c>
    </row>
    <row r="18" spans="1:18" x14ac:dyDescent="0.45">
      <c r="A18" s="2" t="s">
        <v>672</v>
      </c>
      <c r="B18" s="2" t="s">
        <v>675</v>
      </c>
      <c r="C18">
        <f>IFERROR(VLOOKUP($B18,Miljövärden!$B$3:$H$553,MATCH(C$2,Miljövärden!$B$2:$H$2,0),FALSE),"Saknas")</f>
        <v>0.65646199999999999</v>
      </c>
      <c r="D18">
        <f>IFERROR(VLOOKUP($B18,Miljövärden!$B$3:$H$553,MATCH(D$2,Miljövärden!$B$2:$H$2,0),FALSE),"Saknas")</f>
        <v>45.538499999999999</v>
      </c>
      <c r="E18">
        <f>IFERROR(VLOOKUP($B18,Miljövärden!$B$3:$H$553,MATCH(E$2,Miljövärden!$B$2:$H$2,0),FALSE),"Saknas")</f>
        <v>18.461500000000001</v>
      </c>
      <c r="F18">
        <f>IFERROR(VLOOKUP($B18,Miljövärden!$B$3:$H$553,MATCH(F$2,Miljövärden!$B$2:$H$2,0),FALSE),"Saknas")</f>
        <v>0.114025</v>
      </c>
      <c r="G18" t="str">
        <f>IFERROR(VLOOKUP($B18,Miljövärden!$B$3:$H$553,MATCH(G$2,Miljövärden!$B$2:$H$2,0),FALSE),"Nej, saknas")</f>
        <v>Nej</v>
      </c>
      <c r="H18" t="str">
        <f>IFERROR(VLOOKUP($B18,Miljövärden!$B$3:$H$553,MATCH(H$2,Miljövärden!$B$2:$H$2,0),FALSE),"Nej, saknas")</f>
        <v>Ja</v>
      </c>
      <c r="P18" t="str">
        <f t="shared" si="0"/>
        <v>ja</v>
      </c>
      <c r="R18">
        <f t="shared" si="1"/>
        <v>17</v>
      </c>
    </row>
    <row r="19" spans="1:18" x14ac:dyDescent="0.45">
      <c r="A19" s="2" t="s">
        <v>672</v>
      </c>
      <c r="B19" s="2" t="s">
        <v>674</v>
      </c>
      <c r="C19">
        <f>IFERROR(VLOOKUP($B19,Miljövärden!$B$3:$H$553,MATCH(C$2,Miljövärden!$B$2:$H$2,0),FALSE),"Saknas")</f>
        <v>0.21365600000000001</v>
      </c>
      <c r="D19">
        <f>IFERROR(VLOOKUP($B19,Miljövärden!$B$3:$H$553,MATCH(D$2,Miljövärden!$B$2:$H$2,0),FALSE),"Saknas")</f>
        <v>13.2042</v>
      </c>
      <c r="E19">
        <f>IFERROR(VLOOKUP($B19,Miljövärden!$B$3:$H$553,MATCH(E$2,Miljövärden!$B$2:$H$2,0),FALSE),"Saknas")</f>
        <v>18.137899999999998</v>
      </c>
      <c r="F19">
        <f>IFERROR(VLOOKUP($B19,Miljövärden!$B$3:$H$553,MATCH(F$2,Miljövärden!$B$2:$H$2,0),FALSE),"Saknas")</f>
        <v>2.3728800000000001E-2</v>
      </c>
      <c r="G19" t="str">
        <f>IFERROR(VLOOKUP($B19,Miljövärden!$B$3:$H$553,MATCH(G$2,Miljövärden!$B$2:$H$2,0),FALSE),"Nej, saknas")</f>
        <v>Ja</v>
      </c>
      <c r="H19" t="str">
        <f>IFERROR(VLOOKUP($B19,Miljövärden!$B$3:$H$553,MATCH(H$2,Miljövärden!$B$2:$H$2,0),FALSE),"Nej, saknas")</f>
        <v>Ja</v>
      </c>
      <c r="P19" t="str">
        <f t="shared" si="0"/>
        <v>ja</v>
      </c>
      <c r="R19">
        <f t="shared" si="1"/>
        <v>18</v>
      </c>
    </row>
    <row r="20" spans="1:18" x14ac:dyDescent="0.45">
      <c r="A20" s="2" t="s">
        <v>672</v>
      </c>
      <c r="B20" s="2" t="s">
        <v>673</v>
      </c>
      <c r="C20">
        <f>IFERROR(VLOOKUP($B20,Miljövärden!$B$3:$H$553,MATCH(C$2,Miljövärden!$B$2:$H$2,0),FALSE),"Saknas")</f>
        <v>0.180835</v>
      </c>
      <c r="D20">
        <f>IFERROR(VLOOKUP($B20,Miljövärden!$B$3:$H$553,MATCH(D$2,Miljövärden!$B$2:$H$2,0),FALSE),"Saknas")</f>
        <v>10.5261</v>
      </c>
      <c r="E20">
        <f>IFERROR(VLOOKUP($B20,Miljövärden!$B$3:$H$553,MATCH(E$2,Miljövärden!$B$2:$H$2,0),FALSE),"Saknas")</f>
        <v>11.8589</v>
      </c>
      <c r="F20">
        <f>IFERROR(VLOOKUP($B20,Miljövärden!$B$3:$H$553,MATCH(F$2,Miljövärden!$B$2:$H$2,0),FALSE),"Saknas")</f>
        <v>1.10729E-2</v>
      </c>
      <c r="G20" t="str">
        <f>IFERROR(VLOOKUP($B20,Miljövärden!$B$3:$H$553,MATCH(G$2,Miljövärden!$B$2:$H$2,0),FALSE),"Nej, saknas")</f>
        <v>Ja</v>
      </c>
      <c r="H20" t="str">
        <f>IFERROR(VLOOKUP($B20,Miljövärden!$B$3:$H$553,MATCH(H$2,Miljövärden!$B$2:$H$2,0),FALSE),"Nej, saknas")</f>
        <v>Ja</v>
      </c>
      <c r="P20" t="str">
        <f t="shared" si="0"/>
        <v>ja</v>
      </c>
      <c r="R20">
        <f t="shared" si="1"/>
        <v>19</v>
      </c>
    </row>
    <row r="21" spans="1:18" x14ac:dyDescent="0.45">
      <c r="A21" s="2" t="s">
        <v>672</v>
      </c>
      <c r="B21" s="2" t="s">
        <v>671</v>
      </c>
      <c r="C21">
        <f>IFERROR(VLOOKUP($B21,Miljövärden!$B$3:$H$553,MATCH(C$2,Miljövärden!$B$2:$H$2,0),FALSE),"Saknas")</f>
        <v>0.16189799999999999</v>
      </c>
      <c r="D21">
        <f>IFERROR(VLOOKUP($B21,Miljövärden!$B$3:$H$553,MATCH(D$2,Miljövärden!$B$2:$H$2,0),FALSE),"Saknas")</f>
        <v>15.533799999999999</v>
      </c>
      <c r="E21">
        <f>IFERROR(VLOOKUP($B21,Miljövärden!$B$3:$H$553,MATCH(E$2,Miljövärden!$B$2:$H$2,0),FALSE),"Saknas")</f>
        <v>10.659800000000001</v>
      </c>
      <c r="F21">
        <f>IFERROR(VLOOKUP($B21,Miljövärden!$B$3:$H$553,MATCH(F$2,Miljövärden!$B$2:$H$2,0),FALSE),"Saknas")</f>
        <v>2.5165300000000002E-2</v>
      </c>
      <c r="G21" t="str">
        <f>IFERROR(VLOOKUP($B21,Miljövärden!$B$3:$H$553,MATCH(G$2,Miljövärden!$B$2:$H$2,0),FALSE),"Nej, saknas")</f>
        <v>Nej</v>
      </c>
      <c r="H21" t="str">
        <f>IFERROR(VLOOKUP($B21,Miljövärden!$B$3:$H$553,MATCH(H$2,Miljövärden!$B$2:$H$2,0),FALSE),"Nej, saknas")</f>
        <v>Ja</v>
      </c>
      <c r="P21" t="str">
        <f t="shared" si="0"/>
        <v>ja</v>
      </c>
      <c r="R21">
        <f t="shared" si="1"/>
        <v>20</v>
      </c>
    </row>
    <row r="22" spans="1:18" x14ac:dyDescent="0.45">
      <c r="A22" s="2" t="s">
        <v>666</v>
      </c>
      <c r="B22" s="2" t="s">
        <v>670</v>
      </c>
      <c r="C22">
        <f>IFERROR(VLOOKUP($B22,Miljövärden!$B$3:$H$553,MATCH(C$2,Miljövärden!$B$2:$H$2,0),FALSE),"Saknas")</f>
        <v>0.238897</v>
      </c>
      <c r="D22">
        <f>IFERROR(VLOOKUP($B22,Miljövärden!$B$3:$H$553,MATCH(D$2,Miljövärden!$B$2:$H$2,0),FALSE),"Saknas")</f>
        <v>13.876899999999999</v>
      </c>
      <c r="E22">
        <f>IFERROR(VLOOKUP($B22,Miljövärden!$B$3:$H$553,MATCH(E$2,Miljövärden!$B$2:$H$2,0),FALSE),"Saknas")</f>
        <v>22.7333</v>
      </c>
      <c r="F22">
        <f>IFERROR(VLOOKUP($B22,Miljövärden!$B$3:$H$553,MATCH(F$2,Miljövärden!$B$2:$H$2,0),FALSE),"Saknas")</f>
        <v>1.7214400000000001E-2</v>
      </c>
      <c r="G22" t="str">
        <f>IFERROR(VLOOKUP($B22,Miljövärden!$B$3:$H$553,MATCH(G$2,Miljövärden!$B$2:$H$2,0),FALSE),"Nej, saknas")</f>
        <v>Nej</v>
      </c>
      <c r="H22" t="str">
        <f>IFERROR(VLOOKUP($B22,Miljövärden!$B$3:$H$553,MATCH(H$2,Miljövärden!$B$2:$H$2,0),FALSE),"Nej, saknas")</f>
        <v>Ja</v>
      </c>
      <c r="P22" t="str">
        <f t="shared" si="0"/>
        <v>ja</v>
      </c>
      <c r="R22">
        <f t="shared" si="1"/>
        <v>21</v>
      </c>
    </row>
    <row r="23" spans="1:18" x14ac:dyDescent="0.45">
      <c r="A23" s="2" t="s">
        <v>666</v>
      </c>
      <c r="B23" s="2" t="s">
        <v>669</v>
      </c>
      <c r="C23">
        <f>IFERROR(VLOOKUP($B23,Miljövärden!$B$3:$H$553,MATCH(C$2,Miljövärden!$B$2:$H$2,0),FALSE),"Saknas")</f>
        <v>0.19187000000000001</v>
      </c>
      <c r="D23">
        <f>IFERROR(VLOOKUP($B23,Miljövärden!$B$3:$H$553,MATCH(D$2,Miljövärden!$B$2:$H$2,0),FALSE),"Saknas")</f>
        <v>9.8168000000000006</v>
      </c>
      <c r="E23">
        <f>IFERROR(VLOOKUP($B23,Miljövärden!$B$3:$H$553,MATCH(E$2,Miljövärden!$B$2:$H$2,0),FALSE),"Saknas")</f>
        <v>19.519600000000001</v>
      </c>
      <c r="F23">
        <f>IFERROR(VLOOKUP($B23,Miljövärden!$B$3:$H$553,MATCH(F$2,Miljövärden!$B$2:$H$2,0),FALSE),"Saknas")</f>
        <v>1.15204E-2</v>
      </c>
      <c r="G23" t="str">
        <f>IFERROR(VLOOKUP($B23,Miljövärden!$B$3:$H$553,MATCH(G$2,Miljövärden!$B$2:$H$2,0),FALSE),"Nej, saknas")</f>
        <v>Nej</v>
      </c>
      <c r="H23" t="str">
        <f>IFERROR(VLOOKUP($B23,Miljövärden!$B$3:$H$553,MATCH(H$2,Miljövärden!$B$2:$H$2,0),FALSE),"Nej, saknas")</f>
        <v>Ja</v>
      </c>
      <c r="P23" t="str">
        <f t="shared" si="0"/>
        <v>ja</v>
      </c>
      <c r="R23">
        <f t="shared" si="1"/>
        <v>22</v>
      </c>
    </row>
    <row r="24" spans="1:18" x14ac:dyDescent="0.45">
      <c r="A24" s="2" t="s">
        <v>666</v>
      </c>
      <c r="B24" s="2" t="s">
        <v>668</v>
      </c>
      <c r="C24">
        <f>IFERROR(VLOOKUP($B24,Miljövärden!$B$3:$H$553,MATCH(C$2,Miljövärden!$B$2:$H$2,0),FALSE),"Saknas")</f>
        <v>7.3316599999999996E-2</v>
      </c>
      <c r="D24">
        <f>IFERROR(VLOOKUP($B24,Miljövärden!$B$3:$H$553,MATCH(D$2,Miljövärden!$B$2:$H$2,0),FALSE),"Saknas")</f>
        <v>3.97784</v>
      </c>
      <c r="E24">
        <f>IFERROR(VLOOKUP($B24,Miljövärden!$B$3:$H$553,MATCH(E$2,Miljövärden!$B$2:$H$2,0),FALSE),"Saknas")</f>
        <v>5.8383399999999996</v>
      </c>
      <c r="F24">
        <f>IFERROR(VLOOKUP($B24,Miljövärden!$B$3:$H$553,MATCH(F$2,Miljövärden!$B$2:$H$2,0),FALSE),"Saknas")</f>
        <v>1.0730200000000001E-3</v>
      </c>
      <c r="G24" t="str">
        <f>IFERROR(VLOOKUP($B24,Miljövärden!$B$3:$H$553,MATCH(G$2,Miljövärden!$B$2:$H$2,0),FALSE),"Nej, saknas")</f>
        <v>Nej</v>
      </c>
      <c r="H24" t="str">
        <f>IFERROR(VLOOKUP($B24,Miljövärden!$B$3:$H$553,MATCH(H$2,Miljövärden!$B$2:$H$2,0),FALSE),"Nej, saknas")</f>
        <v>Ja</v>
      </c>
      <c r="P24" t="str">
        <f t="shared" si="0"/>
        <v>ja</v>
      </c>
      <c r="R24">
        <f t="shared" si="1"/>
        <v>23</v>
      </c>
    </row>
    <row r="25" spans="1:18" x14ac:dyDescent="0.45">
      <c r="A25" s="2" t="s">
        <v>666</v>
      </c>
      <c r="B25" s="2" t="s">
        <v>667</v>
      </c>
      <c r="C25">
        <f>IFERROR(VLOOKUP($B25,Miljövärden!$B$3:$H$553,MATCH(C$2,Miljövärden!$B$2:$H$2,0),FALSE),"Saknas")</f>
        <v>0.207759</v>
      </c>
      <c r="D25">
        <f>IFERROR(VLOOKUP($B25,Miljövärden!$B$3:$H$553,MATCH(D$2,Miljövärden!$B$2:$H$2,0),FALSE),"Saknas")</f>
        <v>12.440799999999999</v>
      </c>
      <c r="E25">
        <f>IFERROR(VLOOKUP($B25,Miljövärden!$B$3:$H$553,MATCH(E$2,Miljövärden!$B$2:$H$2,0),FALSE),"Saknas")</f>
        <v>20.188700000000001</v>
      </c>
      <c r="F25">
        <f>IFERROR(VLOOKUP($B25,Miljövärden!$B$3:$H$553,MATCH(F$2,Miljövärden!$B$2:$H$2,0),FALSE),"Saknas")</f>
        <v>1.7578099999999999E-2</v>
      </c>
      <c r="G25" t="str">
        <f>IFERROR(VLOOKUP($B25,Miljövärden!$B$3:$H$553,MATCH(G$2,Miljövärden!$B$2:$H$2,0),FALSE),"Nej, saknas")</f>
        <v>Nej</v>
      </c>
      <c r="H25" t="str">
        <f>IFERROR(VLOOKUP($B25,Miljövärden!$B$3:$H$553,MATCH(H$2,Miljövärden!$B$2:$H$2,0),FALSE),"Nej, saknas")</f>
        <v>Ja</v>
      </c>
      <c r="P25" t="str">
        <f t="shared" si="0"/>
        <v>ja</v>
      </c>
      <c r="R25">
        <f t="shared" si="1"/>
        <v>24</v>
      </c>
    </row>
    <row r="26" spans="1:18" x14ac:dyDescent="0.45">
      <c r="A26" s="2" t="s">
        <v>666</v>
      </c>
      <c r="B26" s="2" t="s">
        <v>665</v>
      </c>
      <c r="C26">
        <f>IFERROR(VLOOKUP($B26,Miljövärden!$B$3:$H$553,MATCH(C$2,Miljövärden!$B$2:$H$2,0),FALSE),"Saknas")</f>
        <v>0.51796799999999998</v>
      </c>
      <c r="D26">
        <f>IFERROR(VLOOKUP($B26,Miljövärden!$B$3:$H$553,MATCH(D$2,Miljövärden!$B$2:$H$2,0),FALSE),"Saknas")</f>
        <v>81.739699999999999</v>
      </c>
      <c r="E26">
        <f>IFERROR(VLOOKUP($B26,Miljövärden!$B$3:$H$553,MATCH(E$2,Miljövärden!$B$2:$H$2,0),FALSE),"Saknas")</f>
        <v>21.466699999999999</v>
      </c>
      <c r="F26">
        <f>IFERROR(VLOOKUP($B26,Miljövärden!$B$3:$H$553,MATCH(F$2,Miljövärden!$B$2:$H$2,0),FALSE),"Saknas")</f>
        <v>0.20066200000000001</v>
      </c>
      <c r="G26" t="str">
        <f>IFERROR(VLOOKUP($B26,Miljövärden!$B$3:$H$553,MATCH(G$2,Miljövärden!$B$2:$H$2,0),FALSE),"Nej, saknas")</f>
        <v>Nej</v>
      </c>
      <c r="H26" t="str">
        <f>IFERROR(VLOOKUP($B26,Miljövärden!$B$3:$H$553,MATCH(H$2,Miljövärden!$B$2:$H$2,0),FALSE),"Nej, saknas")</f>
        <v>Ja</v>
      </c>
      <c r="P26" t="str">
        <f t="shared" si="0"/>
        <v>ja</v>
      </c>
      <c r="R26">
        <f t="shared" si="1"/>
        <v>25</v>
      </c>
    </row>
    <row r="27" spans="1:18" x14ac:dyDescent="0.45">
      <c r="A27" s="2" t="s">
        <v>664</v>
      </c>
      <c r="B27" s="2" t="s">
        <v>663</v>
      </c>
      <c r="C27">
        <f>IFERROR(VLOOKUP($B27,Miljövärden!$B$3:$H$553,MATCH(C$2,Miljövärden!$B$2:$H$2,0),FALSE),"Saknas")</f>
        <v>3.7970999999999998E-2</v>
      </c>
      <c r="D27">
        <f>IFERROR(VLOOKUP($B27,Miljövärden!$B$3:$H$553,MATCH(D$2,Miljövärden!$B$2:$H$2,0),FALSE),"Saknas")</f>
        <v>4.0559599999999998</v>
      </c>
      <c r="E27">
        <f>IFERROR(VLOOKUP($B27,Miljövärden!$B$3:$H$553,MATCH(E$2,Miljövärden!$B$2:$H$2,0),FALSE),"Saknas")</f>
        <v>7.1732899999999997</v>
      </c>
      <c r="F27">
        <f>IFERROR(VLOOKUP($B27,Miljövärden!$B$3:$H$553,MATCH(F$2,Miljövärden!$B$2:$H$2,0),FALSE),"Saknas")</f>
        <v>7.7738300000000001E-5</v>
      </c>
      <c r="G27" t="str">
        <f>IFERROR(VLOOKUP($B27,Miljövärden!$B$3:$H$553,MATCH(G$2,Miljövärden!$B$2:$H$2,0),FALSE),"Nej, saknas")</f>
        <v>Ja</v>
      </c>
      <c r="H27" t="str">
        <f>IFERROR(VLOOKUP($B27,Miljövärden!$B$3:$H$553,MATCH(H$2,Miljövärden!$B$2:$H$2,0),FALSE),"Nej, saknas")</f>
        <v>Ja</v>
      </c>
      <c r="P27" t="str">
        <f t="shared" si="0"/>
        <v>ja</v>
      </c>
      <c r="R27">
        <f t="shared" si="1"/>
        <v>26</v>
      </c>
    </row>
    <row r="28" spans="1:18" x14ac:dyDescent="0.45">
      <c r="A28" s="2" t="s">
        <v>660</v>
      </c>
      <c r="B28" s="2" t="s">
        <v>662</v>
      </c>
      <c r="C28">
        <f>IFERROR(VLOOKUP($B28,Miljövärden!$B$3:$H$553,MATCH(C$2,Miljövärden!$B$2:$H$2,0),FALSE),"Saknas")</f>
        <v>0.109319</v>
      </c>
      <c r="D28">
        <f>IFERROR(VLOOKUP($B28,Miljövärden!$B$3:$H$553,MATCH(D$2,Miljövärden!$B$2:$H$2,0),FALSE),"Saknas")</f>
        <v>13.299899999999999</v>
      </c>
      <c r="E28">
        <f>IFERROR(VLOOKUP($B28,Miljövärden!$B$3:$H$553,MATCH(E$2,Miljövärden!$B$2:$H$2,0),FALSE),"Saknas")</f>
        <v>10.107799999999999</v>
      </c>
      <c r="F28">
        <f>IFERROR(VLOOKUP($B28,Miljövärden!$B$3:$H$553,MATCH(F$2,Miljövärden!$B$2:$H$2,0),FALSE),"Saknas")</f>
        <v>7.12358E-3</v>
      </c>
      <c r="G28" t="str">
        <f>IFERROR(VLOOKUP($B28,Miljövärden!$B$3:$H$553,MATCH(G$2,Miljövärden!$B$2:$H$2,0),FALSE),"Nej, saknas")</f>
        <v>Ja</v>
      </c>
      <c r="H28" t="str">
        <f>IFERROR(VLOOKUP($B28,Miljövärden!$B$3:$H$553,MATCH(H$2,Miljövärden!$B$2:$H$2,0),FALSE),"Nej, saknas")</f>
        <v>Ja</v>
      </c>
      <c r="P28" t="str">
        <f t="shared" si="0"/>
        <v>ja</v>
      </c>
      <c r="R28">
        <f t="shared" si="1"/>
        <v>27</v>
      </c>
    </row>
    <row r="29" spans="1:18" x14ac:dyDescent="0.45">
      <c r="A29" s="2" t="s">
        <v>660</v>
      </c>
      <c r="B29" s="2" t="s">
        <v>661</v>
      </c>
      <c r="C29">
        <f>IFERROR(VLOOKUP($B29,Miljövärden!$B$3:$H$553,MATCH(C$2,Miljövärden!$B$2:$H$2,0),FALSE),"Saknas")</f>
        <v>0.110818</v>
      </c>
      <c r="D29">
        <f>IFERROR(VLOOKUP($B29,Miljövärden!$B$3:$H$553,MATCH(D$2,Miljövärden!$B$2:$H$2,0),FALSE),"Saknas")</f>
        <v>13.499700000000001</v>
      </c>
      <c r="E29">
        <f>IFERROR(VLOOKUP($B29,Miljövärden!$B$3:$H$553,MATCH(E$2,Miljövärden!$B$2:$H$2,0),FALSE),"Saknas")</f>
        <v>10.4575</v>
      </c>
      <c r="F29">
        <f>IFERROR(VLOOKUP($B29,Miljövärden!$B$3:$H$553,MATCH(F$2,Miljövärden!$B$2:$H$2,0),FALSE),"Saknas")</f>
        <v>6.8900799999999998E-3</v>
      </c>
      <c r="G29" t="str">
        <f>IFERROR(VLOOKUP($B29,Miljövärden!$B$3:$H$553,MATCH(G$2,Miljövärden!$B$2:$H$2,0),FALSE),"Nej, saknas")</f>
        <v>Ja</v>
      </c>
      <c r="H29" t="str">
        <f>IFERROR(VLOOKUP($B29,Miljövärden!$B$3:$H$553,MATCH(H$2,Miljövärden!$B$2:$H$2,0),FALSE),"Nej, saknas")</f>
        <v>Ja</v>
      </c>
      <c r="P29" t="str">
        <f t="shared" si="0"/>
        <v>ja</v>
      </c>
      <c r="R29">
        <f t="shared" si="1"/>
        <v>28</v>
      </c>
    </row>
    <row r="30" spans="1:18" x14ac:dyDescent="0.45">
      <c r="A30" s="2" t="s">
        <v>660</v>
      </c>
      <c r="B30" s="2" t="s">
        <v>659</v>
      </c>
      <c r="C30">
        <f>IFERROR(VLOOKUP($B30,Miljövärden!$B$3:$H$553,MATCH(C$2,Miljövärden!$B$2:$H$2,0),FALSE),"Saknas")</f>
        <v>0.10684200000000001</v>
      </c>
      <c r="D30">
        <f>IFERROR(VLOOKUP($B30,Miljövärden!$B$3:$H$553,MATCH(D$2,Miljövärden!$B$2:$H$2,0),FALSE),"Saknas")</f>
        <v>12.9696</v>
      </c>
      <c r="E30">
        <f>IFERROR(VLOOKUP($B30,Miljövärden!$B$3:$H$553,MATCH(E$2,Miljövärden!$B$2:$H$2,0),FALSE),"Saknas")</f>
        <v>9.5297000000000001</v>
      </c>
      <c r="F30">
        <f>IFERROR(VLOOKUP($B30,Miljövärden!$B$3:$H$553,MATCH(F$2,Miljövärden!$B$2:$H$2,0),FALSE),"Saknas")</f>
        <v>7.5464299999999998E-3</v>
      </c>
      <c r="G30" t="str">
        <f>IFERROR(VLOOKUP($B30,Miljövärden!$B$3:$H$553,MATCH(G$2,Miljövärden!$B$2:$H$2,0),FALSE),"Nej, saknas")</f>
        <v>Ja</v>
      </c>
      <c r="H30" t="str">
        <f>IFERROR(VLOOKUP($B30,Miljövärden!$B$3:$H$553,MATCH(H$2,Miljövärden!$B$2:$H$2,0),FALSE),"Nej, saknas")</f>
        <v>Ja</v>
      </c>
      <c r="P30" t="str">
        <f t="shared" si="0"/>
        <v>ja</v>
      </c>
      <c r="R30">
        <f t="shared" si="1"/>
        <v>29</v>
      </c>
    </row>
    <row r="31" spans="1:18" x14ac:dyDescent="0.45">
      <c r="A31" s="2" t="s">
        <v>657</v>
      </c>
      <c r="B31" s="2" t="s">
        <v>656</v>
      </c>
      <c r="C31">
        <f>IFERROR(VLOOKUP($B31,Miljövärden!$B$3:$H$553,MATCH(C$2,Miljövärden!$B$2:$H$2,0),FALSE),"Saknas")</f>
        <v>7.7154600000000004E-2</v>
      </c>
      <c r="D31">
        <f>IFERROR(VLOOKUP($B31,Miljövärden!$B$3:$H$553,MATCH(D$2,Miljövärden!$B$2:$H$2,0),FALSE),"Saknas")</f>
        <v>5.5064900000000003</v>
      </c>
      <c r="E31">
        <f>IFERROR(VLOOKUP($B31,Miljövärden!$B$3:$H$553,MATCH(E$2,Miljövärden!$B$2:$H$2,0),FALSE),"Saknas")</f>
        <v>10.7903</v>
      </c>
      <c r="F31">
        <f>IFERROR(VLOOKUP($B31,Miljövärden!$B$3:$H$553,MATCH(F$2,Miljövärden!$B$2:$H$2,0),FALSE),"Saknas")</f>
        <v>0</v>
      </c>
      <c r="G31" t="str">
        <f>IFERROR(VLOOKUP($B31,Miljövärden!$B$3:$H$553,MATCH(G$2,Miljövärden!$B$2:$H$2,0),FALSE),"Nej, saknas")</f>
        <v>Ja</v>
      </c>
      <c r="H31" t="str">
        <f>IFERROR(VLOOKUP($B31,Miljövärden!$B$3:$H$553,MATCH(H$2,Miljövärden!$B$2:$H$2,0),FALSE),"Nej, saknas")</f>
        <v>Ja</v>
      </c>
      <c r="P31" t="str">
        <f t="shared" si="0"/>
        <v>ja</v>
      </c>
      <c r="R31">
        <f t="shared" si="1"/>
        <v>30</v>
      </c>
    </row>
    <row r="32" spans="1:18" x14ac:dyDescent="0.45">
      <c r="A32" s="2" t="s">
        <v>53</v>
      </c>
      <c r="B32" s="2" t="s">
        <v>54</v>
      </c>
      <c r="C32">
        <f>IFERROR(VLOOKUP($B32,Miljövärden!$B$3:$H$553,MATCH(C$2,Miljövärden!$B$2:$H$2,0),FALSE),"Saknas")</f>
        <v>0.26683699999999999</v>
      </c>
      <c r="D32">
        <f>IFERROR(VLOOKUP($B32,Miljövärden!$B$3:$H$553,MATCH(D$2,Miljövärden!$B$2:$H$2,0),FALSE),"Saknas")</f>
        <v>70.313299999999998</v>
      </c>
      <c r="E32">
        <f>IFERROR(VLOOKUP($B32,Miljövärden!$B$3:$H$553,MATCH(E$2,Miljövärden!$B$2:$H$2,0),FALSE),"Saknas")</f>
        <v>14.5144</v>
      </c>
      <c r="F32">
        <f>IFERROR(VLOOKUP($B32,Miljövärden!$B$3:$H$553,MATCH(F$2,Miljövärden!$B$2:$H$2,0),FALSE),"Saknas")</f>
        <v>7.3070599999999998E-3</v>
      </c>
      <c r="G32" t="str">
        <f>IFERROR(VLOOKUP($B32,Miljövärden!$B$3:$H$553,MATCH(G$2,Miljövärden!$B$2:$H$2,0),FALSE),"Nej, saknas")</f>
        <v>Ja</v>
      </c>
      <c r="H32" t="str">
        <f>IFERROR(VLOOKUP($B32,Miljövärden!$B$3:$H$553,MATCH(H$2,Miljövärden!$B$2:$H$2,0),FALSE),"Nej, saknas")</f>
        <v>Ja</v>
      </c>
      <c r="P32" t="str">
        <f t="shared" si="0"/>
        <v>ja</v>
      </c>
      <c r="R32">
        <f t="shared" si="1"/>
        <v>31</v>
      </c>
    </row>
    <row r="33" spans="1:18" x14ac:dyDescent="0.45">
      <c r="A33" s="2" t="s">
        <v>655</v>
      </c>
      <c r="B33" s="2" t="s">
        <v>654</v>
      </c>
      <c r="C33">
        <f>IFERROR(VLOOKUP($B33,Miljövärden!$B$3:$H$553,MATCH(C$2,Miljövärden!$B$2:$H$2,0),FALSE),"Saknas")</f>
        <v>0.111182</v>
      </c>
      <c r="D33">
        <f>IFERROR(VLOOKUP($B33,Miljövärden!$B$3:$H$553,MATCH(D$2,Miljövärden!$B$2:$H$2,0),FALSE),"Saknas")</f>
        <v>12.4587</v>
      </c>
      <c r="E33">
        <f>IFERROR(VLOOKUP($B33,Miljövärden!$B$3:$H$553,MATCH(E$2,Miljövärden!$B$2:$H$2,0),FALSE),"Saknas")</f>
        <v>8.4339300000000001</v>
      </c>
      <c r="F33">
        <f>IFERROR(VLOOKUP($B33,Miljövärden!$B$3:$H$553,MATCH(F$2,Miljövärden!$B$2:$H$2,0),FALSE),"Saknas")</f>
        <v>2.4979899999999999E-2</v>
      </c>
      <c r="G33" t="str">
        <f>IFERROR(VLOOKUP($B33,Miljövärden!$B$3:$H$553,MATCH(G$2,Miljövärden!$B$2:$H$2,0),FALSE),"Nej, saknas")</f>
        <v>Nej</v>
      </c>
      <c r="H33" t="str">
        <f>IFERROR(VLOOKUP($B33,Miljövärden!$B$3:$H$553,MATCH(H$2,Miljövärden!$B$2:$H$2,0),FALSE),"Nej, saknas")</f>
        <v>Ja</v>
      </c>
      <c r="P33" t="str">
        <f t="shared" si="0"/>
        <v>ja</v>
      </c>
      <c r="R33">
        <f t="shared" si="1"/>
        <v>32</v>
      </c>
    </row>
    <row r="34" spans="1:18" x14ac:dyDescent="0.45">
      <c r="A34" s="2" t="s">
        <v>653</v>
      </c>
      <c r="B34" s="2" t="s">
        <v>652</v>
      </c>
      <c r="C34">
        <f>IFERROR(VLOOKUP($B34,Miljövärden!$B$3:$H$553,MATCH(C$2,Miljövärden!$B$2:$H$2,0),FALSE),"Saknas")</f>
        <v>3.6781599999999998E-2</v>
      </c>
      <c r="D34">
        <f>IFERROR(VLOOKUP($B34,Miljövärden!$B$3:$H$553,MATCH(D$2,Miljövärden!$B$2:$H$2,0),FALSE),"Saknas")</f>
        <v>5.4078200000000001</v>
      </c>
      <c r="E34">
        <f>IFERROR(VLOOKUP($B34,Miljövärden!$B$3:$H$553,MATCH(E$2,Miljövärden!$B$2:$H$2,0),FALSE),"Saknas")</f>
        <v>2.34483</v>
      </c>
      <c r="F34">
        <f>IFERROR(VLOOKUP($B34,Miljövärden!$B$3:$H$553,MATCH(F$2,Miljövärden!$B$2:$H$2,0),FALSE),"Saknas")</f>
        <v>9.9403600000000005E-3</v>
      </c>
      <c r="G34" t="str">
        <f>IFERROR(VLOOKUP($B34,Miljövärden!$B$3:$H$553,MATCH(G$2,Miljövärden!$B$2:$H$2,0),FALSE),"Nej, saknas")</f>
        <v>Ja</v>
      </c>
      <c r="H34" t="str">
        <f>IFERROR(VLOOKUP($B34,Miljövärden!$B$3:$H$553,MATCH(H$2,Miljövärden!$B$2:$H$2,0),FALSE),"Nej, saknas")</f>
        <v>Ja</v>
      </c>
      <c r="P34" t="str">
        <f t="shared" si="0"/>
        <v>ja</v>
      </c>
      <c r="R34">
        <f t="shared" si="1"/>
        <v>33</v>
      </c>
    </row>
    <row r="35" spans="1:18" x14ac:dyDescent="0.45">
      <c r="A35" s="2" t="s">
        <v>651</v>
      </c>
      <c r="B35" s="2" t="s">
        <v>62</v>
      </c>
      <c r="C35">
        <f>IFERROR(VLOOKUP($B35,Miljövärden!$B$3:$H$553,MATCH(C$2,Miljövärden!$B$2:$H$2,0),FALSE),"Saknas")</f>
        <v>0.13353300000000001</v>
      </c>
      <c r="D35">
        <f>IFERROR(VLOOKUP($B35,Miljövärden!$B$3:$H$553,MATCH(D$2,Miljövärden!$B$2:$H$2,0),FALSE),"Saknas")</f>
        <v>154.30799999999999</v>
      </c>
      <c r="E35">
        <f>IFERROR(VLOOKUP($B35,Miljövärden!$B$3:$H$553,MATCH(E$2,Miljövärden!$B$2:$H$2,0),FALSE),"Saknas")</f>
        <v>4.08216</v>
      </c>
      <c r="F35">
        <f>IFERROR(VLOOKUP($B35,Miljövärden!$B$3:$H$553,MATCH(F$2,Miljövärden!$B$2:$H$2,0),FALSE),"Saknas")</f>
        <v>1.6068900000000001E-2</v>
      </c>
      <c r="G35" t="str">
        <f>IFERROR(VLOOKUP($B35,Miljövärden!$B$3:$H$553,MATCH(G$2,Miljövärden!$B$2:$H$2,0),FALSE),"Nej, saknas")</f>
        <v>Ja</v>
      </c>
      <c r="H35" t="str">
        <f>IFERROR(VLOOKUP($B35,Miljövärden!$B$3:$H$553,MATCH(H$2,Miljövärden!$B$2:$H$2,0),FALSE),"Nej, saknas")</f>
        <v>Ja</v>
      </c>
      <c r="P35" t="str">
        <f t="shared" si="0"/>
        <v>ja</v>
      </c>
      <c r="R35">
        <f t="shared" si="1"/>
        <v>34</v>
      </c>
    </row>
    <row r="36" spans="1:18" x14ac:dyDescent="0.45">
      <c r="A36" s="2" t="s">
        <v>647</v>
      </c>
      <c r="B36" s="2" t="s">
        <v>650</v>
      </c>
      <c r="C36">
        <f>IFERROR(VLOOKUP($B36,Miljövärden!$B$3:$H$553,MATCH(C$2,Miljövärden!$B$2:$H$2,0),FALSE),"Saknas")</f>
        <v>0.141706</v>
      </c>
      <c r="D36">
        <f>IFERROR(VLOOKUP($B36,Miljövärden!$B$3:$H$553,MATCH(D$2,Miljövärden!$B$2:$H$2,0),FALSE),"Saknas")</f>
        <v>22.4984</v>
      </c>
      <c r="E36">
        <f>IFERROR(VLOOKUP($B36,Miljövärden!$B$3:$H$553,MATCH(E$2,Miljövärden!$B$2:$H$2,0),FALSE),"Saknas")</f>
        <v>9.7114999999999991</v>
      </c>
      <c r="F36">
        <f>IFERROR(VLOOKUP($B36,Miljövärden!$B$3:$H$553,MATCH(F$2,Miljövärden!$B$2:$H$2,0),FALSE),"Saknas")</f>
        <v>4.5862399999999998E-2</v>
      </c>
      <c r="G36" t="str">
        <f>IFERROR(VLOOKUP($B36,Miljövärden!$B$3:$H$553,MATCH(G$2,Miljövärden!$B$2:$H$2,0),FALSE),"Nej, saknas")</f>
        <v>Ja</v>
      </c>
      <c r="H36" t="str">
        <f>IFERROR(VLOOKUP($B36,Miljövärden!$B$3:$H$553,MATCH(H$2,Miljövärden!$B$2:$H$2,0),FALSE),"Nej, saknas")</f>
        <v>Ja</v>
      </c>
      <c r="P36" t="str">
        <f t="shared" si="0"/>
        <v>ja</v>
      </c>
      <c r="R36">
        <f t="shared" si="1"/>
        <v>35</v>
      </c>
    </row>
    <row r="37" spans="1:18" x14ac:dyDescent="0.45">
      <c r="A37" s="2" t="s">
        <v>647</v>
      </c>
      <c r="B37" s="2" t="s">
        <v>649</v>
      </c>
      <c r="C37">
        <f>IFERROR(VLOOKUP($B37,Miljövärden!$B$3:$H$553,MATCH(C$2,Miljövärden!$B$2:$H$2,0),FALSE),"Saknas")</f>
        <v>0.10227</v>
      </c>
      <c r="D37">
        <f>IFERROR(VLOOKUP($B37,Miljövärden!$B$3:$H$553,MATCH(D$2,Miljövärden!$B$2:$H$2,0),FALSE),"Saknas")</f>
        <v>103.119</v>
      </c>
      <c r="E37">
        <f>IFERROR(VLOOKUP($B37,Miljövärden!$B$3:$H$553,MATCH(E$2,Miljövärden!$B$2:$H$2,0),FALSE),"Saknas")</f>
        <v>3.3507699999999998</v>
      </c>
      <c r="F37">
        <f>IFERROR(VLOOKUP($B37,Miljövärden!$B$3:$H$553,MATCH(F$2,Miljövärden!$B$2:$H$2,0),FALSE),"Saknas")</f>
        <v>5.2167300000000002E-3</v>
      </c>
      <c r="G37" t="str">
        <f>IFERROR(VLOOKUP($B37,Miljövärden!$B$3:$H$553,MATCH(G$2,Miljövärden!$B$2:$H$2,0),FALSE),"Nej, saknas")</f>
        <v>Ja</v>
      </c>
      <c r="H37" t="str">
        <f>IFERROR(VLOOKUP($B37,Miljövärden!$B$3:$H$553,MATCH(H$2,Miljövärden!$B$2:$H$2,0),FALSE),"Nej, saknas")</f>
        <v>Ja</v>
      </c>
      <c r="P37" t="str">
        <f t="shared" si="0"/>
        <v>ja</v>
      </c>
      <c r="R37">
        <f t="shared" si="1"/>
        <v>36</v>
      </c>
    </row>
    <row r="38" spans="1:18" x14ac:dyDescent="0.45">
      <c r="A38" s="2" t="s">
        <v>647</v>
      </c>
      <c r="B38" s="2" t="s">
        <v>646</v>
      </c>
      <c r="C38">
        <f>IFERROR(VLOOKUP($B38,Miljövärden!$B$3:$H$553,MATCH(C$2,Miljövärden!$B$2:$H$2,0),FALSE),"Saknas")</f>
        <v>7.0004499999999997E-2</v>
      </c>
      <c r="D38">
        <f>IFERROR(VLOOKUP($B38,Miljövärden!$B$3:$H$553,MATCH(D$2,Miljövärden!$B$2:$H$2,0),FALSE),"Saknas")</f>
        <v>5.9404899999999996</v>
      </c>
      <c r="E38">
        <f>IFERROR(VLOOKUP($B38,Miljövärden!$B$3:$H$553,MATCH(E$2,Miljövärden!$B$2:$H$2,0),FALSE),"Saknas")</f>
        <v>8.3805200000000006</v>
      </c>
      <c r="F38">
        <f>IFERROR(VLOOKUP($B38,Miljövärden!$B$3:$H$553,MATCH(F$2,Miljövärden!$B$2:$H$2,0),FALSE),"Saknas")</f>
        <v>3.2932700000000001E-3</v>
      </c>
      <c r="G38" t="str">
        <f>IFERROR(VLOOKUP($B38,Miljövärden!$B$3:$H$553,MATCH(G$2,Miljövärden!$B$2:$H$2,0),FALSE),"Nej, saknas")</f>
        <v>Ja</v>
      </c>
      <c r="H38" t="str">
        <f>IFERROR(VLOOKUP($B38,Miljövärden!$B$3:$H$553,MATCH(H$2,Miljövärden!$B$2:$H$2,0),FALSE),"Nej, saknas")</f>
        <v>Ja</v>
      </c>
      <c r="P38" t="str">
        <f t="shared" si="0"/>
        <v>ja</v>
      </c>
      <c r="R38">
        <f t="shared" si="1"/>
        <v>37</v>
      </c>
    </row>
    <row r="39" spans="1:18" x14ac:dyDescent="0.45">
      <c r="A39" s="2" t="s">
        <v>644</v>
      </c>
      <c r="B39" s="2" t="s">
        <v>645</v>
      </c>
      <c r="C39">
        <f>IFERROR(VLOOKUP($B39,Miljövärden!$B$3:$H$553,MATCH(C$2,Miljövärden!$B$2:$H$2,0),FALSE),"Saknas")</f>
        <v>0.101524</v>
      </c>
      <c r="D39">
        <f>IFERROR(VLOOKUP($B39,Miljövärden!$B$3:$H$553,MATCH(D$2,Miljövärden!$B$2:$H$2,0),FALSE),"Saknas")</f>
        <v>12.588100000000001</v>
      </c>
      <c r="E39">
        <f>IFERROR(VLOOKUP($B39,Miljövärden!$B$3:$H$553,MATCH(E$2,Miljövärden!$B$2:$H$2,0),FALSE),"Saknas")</f>
        <v>7.6420700000000004</v>
      </c>
      <c r="F39">
        <f>IFERROR(VLOOKUP($B39,Miljövärden!$B$3:$H$553,MATCH(F$2,Miljövärden!$B$2:$H$2,0),FALSE),"Saknas")</f>
        <v>1.01942E-2</v>
      </c>
      <c r="G39" t="str">
        <f>IFERROR(VLOOKUP($B39,Miljövärden!$B$3:$H$553,MATCH(G$2,Miljövärden!$B$2:$H$2,0),FALSE),"Nej, saknas")</f>
        <v>Ja</v>
      </c>
      <c r="H39" t="str">
        <f>IFERROR(VLOOKUP($B39,Miljövärden!$B$3:$H$553,MATCH(H$2,Miljövärden!$B$2:$H$2,0),FALSE),"Nej, saknas")</f>
        <v>Ja</v>
      </c>
      <c r="P39" t="str">
        <f t="shared" si="0"/>
        <v>ja</v>
      </c>
      <c r="R39">
        <f t="shared" si="1"/>
        <v>38</v>
      </c>
    </row>
    <row r="40" spans="1:18" x14ac:dyDescent="0.45">
      <c r="A40" s="2" t="s">
        <v>644</v>
      </c>
      <c r="B40" s="2" t="s">
        <v>643</v>
      </c>
      <c r="C40">
        <f>IFERROR(VLOOKUP($B40,Miljövärden!$B$3:$H$553,MATCH(C$2,Miljövärden!$B$2:$H$2,0),FALSE),"Saknas")</f>
        <v>0.40405600000000003</v>
      </c>
      <c r="D40">
        <f>IFERROR(VLOOKUP($B40,Miljövärden!$B$3:$H$553,MATCH(D$2,Miljövärden!$B$2:$H$2,0),FALSE),"Saknas")</f>
        <v>85.779899999999998</v>
      </c>
      <c r="E40">
        <f>IFERROR(VLOOKUP($B40,Miljövärden!$B$3:$H$553,MATCH(E$2,Miljövärden!$B$2:$H$2,0),FALSE),"Saknas")</f>
        <v>13.345499999999999</v>
      </c>
      <c r="F40">
        <f>IFERROR(VLOOKUP($B40,Miljövärden!$B$3:$H$553,MATCH(F$2,Miljövärden!$B$2:$H$2,0),FALSE),"Saknas")</f>
        <v>0.213557</v>
      </c>
      <c r="G40" t="str">
        <f>IFERROR(VLOOKUP($B40,Miljövärden!$B$3:$H$553,MATCH(G$2,Miljövärden!$B$2:$H$2,0),FALSE),"Nej, saknas")</f>
        <v>Ja</v>
      </c>
      <c r="H40" t="str">
        <f>IFERROR(VLOOKUP($B40,Miljövärden!$B$3:$H$553,MATCH(H$2,Miljövärden!$B$2:$H$2,0),FALSE),"Nej, saknas")</f>
        <v>Ja</v>
      </c>
      <c r="P40" t="str">
        <f t="shared" si="0"/>
        <v>ja</v>
      </c>
      <c r="R40">
        <f t="shared" si="1"/>
        <v>39</v>
      </c>
    </row>
    <row r="41" spans="1:18" x14ac:dyDescent="0.45">
      <c r="A41" s="2" t="s">
        <v>640</v>
      </c>
      <c r="B41" s="2" t="s">
        <v>642</v>
      </c>
      <c r="C41">
        <f>IFERROR(VLOOKUP($B41,Miljövärden!$B$3:$H$553,MATCH(C$2,Miljövärden!$B$2:$H$2,0),FALSE),"Saknas")</f>
        <v>6.2652299999999994E-2</v>
      </c>
      <c r="D41">
        <f>IFERROR(VLOOKUP($B41,Miljövärden!$B$3:$H$553,MATCH(D$2,Miljövärden!$B$2:$H$2,0),FALSE),"Saknas")</f>
        <v>69.786000000000001</v>
      </c>
      <c r="E41">
        <f>IFERROR(VLOOKUP($B41,Miljövärden!$B$3:$H$553,MATCH(E$2,Miljövärden!$B$2:$H$2,0),FALSE),"Saknas")</f>
        <v>3.8623799999999999</v>
      </c>
      <c r="F41">
        <f>IFERROR(VLOOKUP($B41,Miljövärden!$B$3:$H$553,MATCH(F$2,Miljövärden!$B$2:$H$2,0),FALSE),"Saknas")</f>
        <v>2.7908199999999998E-3</v>
      </c>
      <c r="G41" t="str">
        <f>IFERROR(VLOOKUP($B41,Miljövärden!$B$3:$H$553,MATCH(G$2,Miljövärden!$B$2:$H$2,0),FALSE),"Nej, saknas")</f>
        <v>Ja</v>
      </c>
      <c r="H41" t="str">
        <f>IFERROR(VLOOKUP($B41,Miljövärden!$B$3:$H$553,MATCH(H$2,Miljövärden!$B$2:$H$2,0),FALSE),"Nej, saknas")</f>
        <v>Ja</v>
      </c>
      <c r="P41" t="str">
        <f t="shared" si="0"/>
        <v>ja</v>
      </c>
      <c r="R41">
        <f t="shared" si="1"/>
        <v>40</v>
      </c>
    </row>
    <row r="42" spans="1:18" x14ac:dyDescent="0.45">
      <c r="A42" s="2" t="s">
        <v>640</v>
      </c>
      <c r="B42" s="2" t="s">
        <v>641</v>
      </c>
      <c r="C42">
        <f>IFERROR(VLOOKUP($B42,Miljövärden!$B$3:$H$553,MATCH(C$2,Miljövärden!$B$2:$H$2,0),FALSE),"Saknas")</f>
        <v>0.17810999999999999</v>
      </c>
      <c r="D42">
        <f>IFERROR(VLOOKUP($B42,Miljövärden!$B$3:$H$553,MATCH(D$2,Miljövärden!$B$2:$H$2,0),FALSE),"Saknas")</f>
        <v>6.7600199999999999</v>
      </c>
      <c r="E42">
        <f>IFERROR(VLOOKUP($B42,Miljövärden!$B$3:$H$553,MATCH(E$2,Miljövärden!$B$2:$H$2,0),FALSE),"Saknas")</f>
        <v>22.035799999999998</v>
      </c>
      <c r="F42">
        <f>IFERROR(VLOOKUP($B42,Miljövärden!$B$3:$H$553,MATCH(F$2,Miljövärden!$B$2:$H$2,0),FALSE),"Saknas")</f>
        <v>1.12517E-3</v>
      </c>
      <c r="G42" t="str">
        <f>IFERROR(VLOOKUP($B42,Miljövärden!$B$3:$H$553,MATCH(G$2,Miljövärden!$B$2:$H$2,0),FALSE),"Nej, saknas")</f>
        <v>Nej</v>
      </c>
      <c r="H42" t="str">
        <f>IFERROR(VLOOKUP($B42,Miljövärden!$B$3:$H$553,MATCH(H$2,Miljövärden!$B$2:$H$2,0),FALSE),"Nej, saknas")</f>
        <v>Ja</v>
      </c>
      <c r="P42" t="str">
        <f t="shared" si="0"/>
        <v>ja</v>
      </c>
      <c r="R42">
        <f t="shared" si="1"/>
        <v>41</v>
      </c>
    </row>
    <row r="43" spans="1:18" x14ac:dyDescent="0.45">
      <c r="A43" s="2" t="s">
        <v>640</v>
      </c>
      <c r="B43" s="2" t="s">
        <v>639</v>
      </c>
      <c r="C43">
        <f>IFERROR(VLOOKUP($B43,Miljövärden!$B$3:$H$553,MATCH(C$2,Miljövärden!$B$2:$H$2,0),FALSE),"Saknas")</f>
        <v>0.256577</v>
      </c>
      <c r="D43">
        <f>IFERROR(VLOOKUP($B43,Miljövärden!$B$3:$H$553,MATCH(D$2,Miljövärden!$B$2:$H$2,0),FALSE),"Saknas")</f>
        <v>8.6547400000000003</v>
      </c>
      <c r="E43">
        <f>IFERROR(VLOOKUP($B43,Miljövärden!$B$3:$H$553,MATCH(E$2,Miljövärden!$B$2:$H$2,0),FALSE),"Saknas")</f>
        <v>23.944299999999998</v>
      </c>
      <c r="F43">
        <f>IFERROR(VLOOKUP($B43,Miljövärden!$B$3:$H$553,MATCH(F$2,Miljövärden!$B$2:$H$2,0),FALSE),"Saknas")</f>
        <v>3.9287300000000001E-3</v>
      </c>
      <c r="G43" t="str">
        <f>IFERROR(VLOOKUP($B43,Miljövärden!$B$3:$H$553,MATCH(G$2,Miljövärden!$B$2:$H$2,0),FALSE),"Nej, saknas")</f>
        <v>Ja</v>
      </c>
      <c r="H43" t="str">
        <f>IFERROR(VLOOKUP($B43,Miljövärden!$B$3:$H$553,MATCH(H$2,Miljövärden!$B$2:$H$2,0),FALSE),"Nej, saknas")</f>
        <v>Ja</v>
      </c>
      <c r="P43" t="str">
        <f t="shared" si="0"/>
        <v>ja</v>
      </c>
      <c r="R43">
        <f t="shared" si="1"/>
        <v>42</v>
      </c>
    </row>
    <row r="44" spans="1:18" x14ac:dyDescent="0.45">
      <c r="A44" s="2" t="s">
        <v>637</v>
      </c>
      <c r="B44" s="2" t="s">
        <v>638</v>
      </c>
      <c r="C44">
        <f>IFERROR(VLOOKUP($B44,Miljövärden!$B$3:$H$553,MATCH(C$2,Miljövärden!$B$2:$H$2,0),FALSE),"Saknas")</f>
        <v>9.1184500000000002E-2</v>
      </c>
      <c r="D44">
        <f>IFERROR(VLOOKUP($B44,Miljövärden!$B$3:$H$553,MATCH(D$2,Miljövärden!$B$2:$H$2,0),FALSE),"Saknas")</f>
        <v>49.503500000000003</v>
      </c>
      <c r="E44">
        <f>IFERROR(VLOOKUP($B44,Miljövärden!$B$3:$H$553,MATCH(E$2,Miljövärden!$B$2:$H$2,0),FALSE),"Saknas")</f>
        <v>6.2653499999999998</v>
      </c>
      <c r="F44">
        <f>IFERROR(VLOOKUP($B44,Miljövärden!$B$3:$H$553,MATCH(F$2,Miljövärden!$B$2:$H$2,0),FALSE),"Saknas")</f>
        <v>8.5332900000000007E-3</v>
      </c>
      <c r="G44" t="str">
        <f>IFERROR(VLOOKUP($B44,Miljövärden!$B$3:$H$553,MATCH(G$2,Miljövärden!$B$2:$H$2,0),FALSE),"Nej, saknas")</f>
        <v>Nej</v>
      </c>
      <c r="H44" t="str">
        <f>IFERROR(VLOOKUP($B44,Miljövärden!$B$3:$H$553,MATCH(H$2,Miljövärden!$B$2:$H$2,0),FALSE),"Nej, saknas")</f>
        <v>Ja</v>
      </c>
      <c r="P44" t="str">
        <f t="shared" si="0"/>
        <v>ja</v>
      </c>
      <c r="R44">
        <f t="shared" si="1"/>
        <v>43</v>
      </c>
    </row>
    <row r="45" spans="1:18" x14ac:dyDescent="0.45">
      <c r="A45" s="2" t="s">
        <v>637</v>
      </c>
      <c r="B45" s="2" t="s">
        <v>636</v>
      </c>
      <c r="C45">
        <f>IFERROR(VLOOKUP($B45,Miljövärden!$B$3:$H$553,MATCH(C$2,Miljövärden!$B$2:$H$2,0),FALSE),"Saknas")</f>
        <v>0.244371</v>
      </c>
      <c r="D45">
        <f>IFERROR(VLOOKUP($B45,Miljövärden!$B$3:$H$553,MATCH(D$2,Miljövärden!$B$2:$H$2,0),FALSE),"Saknas")</f>
        <v>30.0427</v>
      </c>
      <c r="E45">
        <f>IFERROR(VLOOKUP($B45,Miljövärden!$B$3:$H$553,MATCH(E$2,Miljövärden!$B$2:$H$2,0),FALSE),"Saknas")</f>
        <v>16.495899999999999</v>
      </c>
      <c r="F45">
        <f>IFERROR(VLOOKUP($B45,Miljövärden!$B$3:$H$553,MATCH(F$2,Miljövärden!$B$2:$H$2,0),FALSE),"Saknas")</f>
        <v>8.4461599999999998E-2</v>
      </c>
      <c r="G45" t="str">
        <f>IFERROR(VLOOKUP($B45,Miljövärden!$B$3:$H$553,MATCH(G$2,Miljövärden!$B$2:$H$2,0),FALSE),"Nej, saknas")</f>
        <v>Nej</v>
      </c>
      <c r="H45" t="str">
        <f>IFERROR(VLOOKUP($B45,Miljövärden!$B$3:$H$553,MATCH(H$2,Miljövärden!$B$2:$H$2,0),FALSE),"Nej, saknas")</f>
        <v>Ja</v>
      </c>
      <c r="P45" t="str">
        <f t="shared" si="0"/>
        <v>ja</v>
      </c>
      <c r="R45">
        <f t="shared" si="1"/>
        <v>44</v>
      </c>
    </row>
    <row r="46" spans="1:18" x14ac:dyDescent="0.45">
      <c r="A46" s="2" t="s">
        <v>635</v>
      </c>
      <c r="B46" s="2" t="s">
        <v>634</v>
      </c>
      <c r="C46">
        <f>IFERROR(VLOOKUP($B46,Miljövärden!$B$3:$H$553,MATCH(C$2,Miljövärden!$B$2:$H$2,0),FALSE),"Saknas")</f>
        <v>4.3294500000000003E-3</v>
      </c>
      <c r="D46">
        <f>IFERROR(VLOOKUP($B46,Miljövärden!$B$3:$H$553,MATCH(D$2,Miljövärden!$B$2:$H$2,0),FALSE),"Saknas")</f>
        <v>0</v>
      </c>
      <c r="E46">
        <f>IFERROR(VLOOKUP($B46,Miljövärden!$B$3:$H$553,MATCH(E$2,Miljövärden!$B$2:$H$2,0),FALSE),"Saknas")</f>
        <v>0</v>
      </c>
      <c r="F46">
        <f>IFERROR(VLOOKUP($B46,Miljövärden!$B$3:$H$553,MATCH(F$2,Miljövärden!$B$2:$H$2,0),FALSE),"Saknas")</f>
        <v>0</v>
      </c>
      <c r="G46" t="str">
        <f>IFERROR(VLOOKUP($B46,Miljövärden!$B$3:$H$553,MATCH(G$2,Miljövärden!$B$2:$H$2,0),FALSE),"Nej, saknas")</f>
        <v>Ja</v>
      </c>
      <c r="H46" t="str">
        <f>IFERROR(VLOOKUP($B46,Miljövärden!$B$3:$H$553,MATCH(H$2,Miljövärden!$B$2:$H$2,0),FALSE),"Nej, saknas")</f>
        <v>Ja</v>
      </c>
      <c r="P46" t="str">
        <f t="shared" si="0"/>
        <v>ja</v>
      </c>
      <c r="R46">
        <f t="shared" si="1"/>
        <v>45</v>
      </c>
    </row>
    <row r="47" spans="1:18" x14ac:dyDescent="0.45">
      <c r="A47" s="2" t="s">
        <v>633</v>
      </c>
      <c r="B47" s="2" t="s">
        <v>65</v>
      </c>
      <c r="C47">
        <f>IFERROR(VLOOKUP($B47,Miljövärden!$B$3:$H$553,MATCH(C$2,Miljövärden!$B$2:$H$2,0),FALSE),"Saknas")</f>
        <v>0.200652</v>
      </c>
      <c r="D47">
        <f>IFERROR(VLOOKUP($B47,Miljövärden!$B$3:$H$553,MATCH(D$2,Miljövärden!$B$2:$H$2,0),FALSE),"Saknas")</f>
        <v>25.904199999999999</v>
      </c>
      <c r="E47">
        <f>IFERROR(VLOOKUP($B47,Miljövärden!$B$3:$H$553,MATCH(E$2,Miljövärden!$B$2:$H$2,0),FALSE),"Saknas")</f>
        <v>9.6864799999999995</v>
      </c>
      <c r="F47">
        <f>IFERROR(VLOOKUP($B47,Miljövärden!$B$3:$H$553,MATCH(F$2,Miljövärden!$B$2:$H$2,0),FALSE),"Saknas")</f>
        <v>3.0705400000000001E-2</v>
      </c>
      <c r="G47" t="str">
        <f>IFERROR(VLOOKUP($B47,Miljövärden!$B$3:$H$553,MATCH(G$2,Miljövärden!$B$2:$H$2,0),FALSE),"Nej, saknas")</f>
        <v>Ja</v>
      </c>
      <c r="H47" t="str">
        <f>IFERROR(VLOOKUP($B47,Miljövärden!$B$3:$H$553,MATCH(H$2,Miljövärden!$B$2:$H$2,0),FALSE),"Nej, saknas")</f>
        <v>Ja</v>
      </c>
      <c r="P47" t="str">
        <f t="shared" si="0"/>
        <v>ja</v>
      </c>
      <c r="R47">
        <f t="shared" si="1"/>
        <v>46</v>
      </c>
    </row>
    <row r="48" spans="1:18" x14ac:dyDescent="0.45">
      <c r="A48" s="2" t="s">
        <v>631</v>
      </c>
      <c r="B48" s="2" t="s">
        <v>632</v>
      </c>
      <c r="C48">
        <f>IFERROR(VLOOKUP($B48,Miljövärden!$B$3:$H$553,MATCH(C$2,Miljövärden!$B$2:$H$2,0),FALSE),"Saknas")</f>
        <v>8.1551600000000002E-2</v>
      </c>
      <c r="D48">
        <f>IFERROR(VLOOKUP($B48,Miljövärden!$B$3:$H$553,MATCH(D$2,Miljövärden!$B$2:$H$2,0),FALSE),"Saknas")</f>
        <v>12.8598</v>
      </c>
      <c r="E48">
        <f>IFERROR(VLOOKUP($B48,Miljövärden!$B$3:$H$553,MATCH(E$2,Miljövärden!$B$2:$H$2,0),FALSE),"Saknas")</f>
        <v>11.132</v>
      </c>
      <c r="F48">
        <f>IFERROR(VLOOKUP($B48,Miljövärden!$B$3:$H$553,MATCH(F$2,Miljövärden!$B$2:$H$2,0),FALSE),"Saknas")</f>
        <v>1.60935E-2</v>
      </c>
      <c r="G48" t="str">
        <f>IFERROR(VLOOKUP($B48,Miljövärden!$B$3:$H$553,MATCH(G$2,Miljövärden!$B$2:$H$2,0),FALSE),"Nej, saknas")</f>
        <v>Nej</v>
      </c>
      <c r="H48" t="str">
        <f>IFERROR(VLOOKUP($B48,Miljövärden!$B$3:$H$553,MATCH(H$2,Miljövärden!$B$2:$H$2,0),FALSE),"Nej, saknas")</f>
        <v>Ja</v>
      </c>
      <c r="P48" t="str">
        <f t="shared" si="0"/>
        <v>ja</v>
      </c>
      <c r="R48">
        <f t="shared" si="1"/>
        <v>47</v>
      </c>
    </row>
    <row r="49" spans="1:18" x14ac:dyDescent="0.45">
      <c r="A49" s="2" t="s">
        <v>631</v>
      </c>
      <c r="B49" s="2" t="s">
        <v>630</v>
      </c>
      <c r="C49">
        <f>IFERROR(VLOOKUP($B49,Miljövärden!$B$3:$H$553,MATCH(C$2,Miljövärden!$B$2:$H$2,0),FALSE),"Saknas")</f>
        <v>3.5710600000000002E-2</v>
      </c>
      <c r="D49">
        <f>IFERROR(VLOOKUP($B49,Miljövärden!$B$3:$H$553,MATCH(D$2,Miljövärden!$B$2:$H$2,0),FALSE),"Saknas")</f>
        <v>3.1125099999999999</v>
      </c>
      <c r="E49">
        <f>IFERROR(VLOOKUP($B49,Miljövärden!$B$3:$H$553,MATCH(E$2,Miljövärden!$B$2:$H$2,0),FALSE),"Saknas")</f>
        <v>5.8116599999999998</v>
      </c>
      <c r="F49">
        <f>IFERROR(VLOOKUP($B49,Miljövärden!$B$3:$H$553,MATCH(F$2,Miljövärden!$B$2:$H$2,0),FALSE),"Saknas")</f>
        <v>6.4146299999999999E-4</v>
      </c>
      <c r="G49" t="str">
        <f>IFERROR(VLOOKUP($B49,Miljövärden!$B$3:$H$553,MATCH(G$2,Miljövärden!$B$2:$H$2,0),FALSE),"Nej, saknas")</f>
        <v>Nej</v>
      </c>
      <c r="H49" t="str">
        <f>IFERROR(VLOOKUP($B49,Miljövärden!$B$3:$H$553,MATCH(H$2,Miljövärden!$B$2:$H$2,0),FALSE),"Nej, saknas")</f>
        <v>Ja</v>
      </c>
      <c r="P49" t="str">
        <f t="shared" si="0"/>
        <v>ja</v>
      </c>
      <c r="R49">
        <f t="shared" si="1"/>
        <v>48</v>
      </c>
    </row>
    <row r="50" spans="1:18" x14ac:dyDescent="0.45">
      <c r="A50" s="2" t="s">
        <v>628</v>
      </c>
      <c r="B50" s="2" t="s">
        <v>629</v>
      </c>
      <c r="C50">
        <f>IFERROR(VLOOKUP($B50,Miljövärden!$B$3:$H$553,MATCH(C$2,Miljövärden!$B$2:$H$2,0),FALSE),"Saknas")</f>
        <v>4.8647999999999997E-2</v>
      </c>
      <c r="D50">
        <f>IFERROR(VLOOKUP($B50,Miljövärden!$B$3:$H$553,MATCH(D$2,Miljövärden!$B$2:$H$2,0),FALSE),"Saknas")</f>
        <v>6.0335200000000002</v>
      </c>
      <c r="E50">
        <f>IFERROR(VLOOKUP($B50,Miljövärden!$B$3:$H$553,MATCH(E$2,Miljövärden!$B$2:$H$2,0),FALSE),"Saknas")</f>
        <v>10.5587</v>
      </c>
      <c r="F50">
        <f>IFERROR(VLOOKUP($B50,Miljövärden!$B$3:$H$553,MATCH(F$2,Miljövärden!$B$2:$H$2,0),FALSE),"Saknas")</f>
        <v>0</v>
      </c>
      <c r="G50" t="str">
        <f>IFERROR(VLOOKUP($B50,Miljövärden!$B$3:$H$553,MATCH(G$2,Miljövärden!$B$2:$H$2,0),FALSE),"Nej, saknas")</f>
        <v>Ja</v>
      </c>
      <c r="H50" t="str">
        <f>IFERROR(VLOOKUP($B50,Miljövärden!$B$3:$H$553,MATCH(H$2,Miljövärden!$B$2:$H$2,0),FALSE),"Nej, saknas")</f>
        <v>Ja</v>
      </c>
      <c r="P50" t="str">
        <f t="shared" si="0"/>
        <v>ja</v>
      </c>
      <c r="R50">
        <f t="shared" si="1"/>
        <v>49</v>
      </c>
    </row>
    <row r="51" spans="1:18" x14ac:dyDescent="0.45">
      <c r="A51" s="2" t="s">
        <v>628</v>
      </c>
      <c r="B51" s="2" t="s">
        <v>627</v>
      </c>
      <c r="C51">
        <f>IFERROR(VLOOKUP($B51,Miljövärden!$B$3:$H$553,MATCH(C$2,Miljövärden!$B$2:$H$2,0),FALSE),"Saknas")</f>
        <v>7.36985E-2</v>
      </c>
      <c r="D51">
        <f>IFERROR(VLOOKUP($B51,Miljövärden!$B$3:$H$553,MATCH(D$2,Miljövärden!$B$2:$H$2,0),FALSE),"Saknas")</f>
        <v>5.1691200000000004</v>
      </c>
      <c r="E51">
        <f>IFERROR(VLOOKUP($B51,Miljövärden!$B$3:$H$553,MATCH(E$2,Miljövärden!$B$2:$H$2,0),FALSE),"Saknas")</f>
        <v>7.9691400000000003</v>
      </c>
      <c r="F51">
        <f>IFERROR(VLOOKUP($B51,Miljövärden!$B$3:$H$553,MATCH(F$2,Miljövärden!$B$2:$H$2,0),FALSE),"Saknas")</f>
        <v>2.0642299999999998E-3</v>
      </c>
      <c r="G51" t="str">
        <f>IFERROR(VLOOKUP($B51,Miljövärden!$B$3:$H$553,MATCH(G$2,Miljövärden!$B$2:$H$2,0),FALSE),"Nej, saknas")</f>
        <v>Ja</v>
      </c>
      <c r="H51" t="str">
        <f>IFERROR(VLOOKUP($B51,Miljövärden!$B$3:$H$553,MATCH(H$2,Miljövärden!$B$2:$H$2,0),FALSE),"Nej, saknas")</f>
        <v>Ja</v>
      </c>
      <c r="P51" t="str">
        <f t="shared" si="0"/>
        <v>ja</v>
      </c>
      <c r="R51">
        <f t="shared" si="1"/>
        <v>50</v>
      </c>
    </row>
    <row r="52" spans="1:18" x14ac:dyDescent="0.45">
      <c r="A52" s="2" t="s">
        <v>623</v>
      </c>
      <c r="B52" s="2" t="s">
        <v>626</v>
      </c>
      <c r="C52">
        <f>IFERROR(VLOOKUP($B52,Miljövärden!$B$3:$H$553,MATCH(C$2,Miljövärden!$B$2:$H$2,0),FALSE),"Saknas")</f>
        <v>7.4011199999999999E-2</v>
      </c>
      <c r="D52">
        <f>IFERROR(VLOOKUP($B52,Miljövärden!$B$3:$H$553,MATCH(D$2,Miljövärden!$B$2:$H$2,0),FALSE),"Saknas")</f>
        <v>4.85703</v>
      </c>
      <c r="E52">
        <f>IFERROR(VLOOKUP($B52,Miljövärden!$B$3:$H$553,MATCH(E$2,Miljövärden!$B$2:$H$2,0),FALSE),"Saknas")</f>
        <v>9.7365600000000008</v>
      </c>
      <c r="F52">
        <f>IFERROR(VLOOKUP($B52,Miljövärden!$B$3:$H$553,MATCH(F$2,Miljövärden!$B$2:$H$2,0),FALSE),"Saknas")</f>
        <v>2.9681999999999999E-4</v>
      </c>
      <c r="G52" t="str">
        <f>IFERROR(VLOOKUP($B52,Miljövärden!$B$3:$H$553,MATCH(G$2,Miljövärden!$B$2:$H$2,0),FALSE),"Nej, saknas")</f>
        <v>Nej</v>
      </c>
      <c r="H52" t="str">
        <f>IFERROR(VLOOKUP($B52,Miljövärden!$B$3:$H$553,MATCH(H$2,Miljövärden!$B$2:$H$2,0),FALSE),"Nej, saknas")</f>
        <v>Ja</v>
      </c>
      <c r="P52" t="str">
        <f t="shared" si="0"/>
        <v>ja</v>
      </c>
      <c r="R52">
        <f t="shared" si="1"/>
        <v>51</v>
      </c>
    </row>
    <row r="53" spans="1:18" x14ac:dyDescent="0.45">
      <c r="A53" s="2" t="s">
        <v>623</v>
      </c>
      <c r="B53" s="2" t="s">
        <v>625</v>
      </c>
      <c r="C53">
        <f>IFERROR(VLOOKUP($B53,Miljövärden!$B$3:$H$553,MATCH(C$2,Miljövärden!$B$2:$H$2,0),FALSE),"Saknas")</f>
        <v>0</v>
      </c>
      <c r="D53">
        <f>IFERROR(VLOOKUP($B53,Miljövärden!$B$3:$H$553,MATCH(D$2,Miljövärden!$B$2:$H$2,0),FALSE),"Saknas")</f>
        <v>0</v>
      </c>
      <c r="E53">
        <f>IFERROR(VLOOKUP($B53,Miljövärden!$B$3:$H$553,MATCH(E$2,Miljövärden!$B$2:$H$2,0),FALSE),"Saknas")</f>
        <v>0</v>
      </c>
      <c r="F53">
        <f>IFERROR(VLOOKUP($B53,Miljövärden!$B$3:$H$553,MATCH(F$2,Miljövärden!$B$2:$H$2,0),FALSE),"Saknas")</f>
        <v>0</v>
      </c>
      <c r="G53" t="str">
        <f>IFERROR(VLOOKUP($B53,Miljövärden!$B$3:$H$553,MATCH(G$2,Miljövärden!$B$2:$H$2,0),FALSE),"Nej, saknas")</f>
        <v>Nej</v>
      </c>
      <c r="H53" t="str">
        <f>IFERROR(VLOOKUP($B53,Miljövärden!$B$3:$H$553,MATCH(H$2,Miljövärden!$B$2:$H$2,0),FALSE),"Nej, saknas")</f>
        <v>Nej</v>
      </c>
      <c r="K53" t="s">
        <v>1529</v>
      </c>
      <c r="P53" t="str">
        <f t="shared" si="0"/>
        <v>nej</v>
      </c>
      <c r="R53">
        <f t="shared" si="1"/>
        <v>51</v>
      </c>
    </row>
    <row r="54" spans="1:18" x14ac:dyDescent="0.45">
      <c r="A54" s="2" t="s">
        <v>623</v>
      </c>
      <c r="B54" s="2" t="s">
        <v>624</v>
      </c>
      <c r="C54">
        <f>IFERROR(VLOOKUP($B54,Miljövärden!$B$3:$H$553,MATCH(C$2,Miljövärden!$B$2:$H$2,0),FALSE),"Saknas")</f>
        <v>0.200768</v>
      </c>
      <c r="D54">
        <f>IFERROR(VLOOKUP($B54,Miljövärden!$B$3:$H$553,MATCH(D$2,Miljövärden!$B$2:$H$2,0),FALSE),"Saknas")</f>
        <v>7.4318799999999996</v>
      </c>
      <c r="E54">
        <f>IFERROR(VLOOKUP($B54,Miljövärden!$B$3:$H$553,MATCH(E$2,Miljövärden!$B$2:$H$2,0),FALSE),"Saknas")</f>
        <v>20.7014</v>
      </c>
      <c r="F54">
        <f>IFERROR(VLOOKUP($B54,Miljövärden!$B$3:$H$553,MATCH(F$2,Miljövärden!$B$2:$H$2,0),FALSE),"Saknas")</f>
        <v>3.8517099999999999E-3</v>
      </c>
      <c r="G54" t="str">
        <f>IFERROR(VLOOKUP($B54,Miljövärden!$B$3:$H$553,MATCH(G$2,Miljövärden!$B$2:$H$2,0),FALSE),"Nej, saknas")</f>
        <v>Nej</v>
      </c>
      <c r="H54" t="str">
        <f>IFERROR(VLOOKUP($B54,Miljövärden!$B$3:$H$553,MATCH(H$2,Miljövärden!$B$2:$H$2,0),FALSE),"Nej, saknas")</f>
        <v>Ja</v>
      </c>
      <c r="P54" t="str">
        <f t="shared" si="0"/>
        <v>ja</v>
      </c>
      <c r="R54">
        <f t="shared" si="1"/>
        <v>52</v>
      </c>
    </row>
    <row r="55" spans="1:18" x14ac:dyDescent="0.45">
      <c r="A55" s="2" t="s">
        <v>623</v>
      </c>
      <c r="B55" s="2" t="s">
        <v>622</v>
      </c>
      <c r="C55">
        <f>IFERROR(VLOOKUP($B55,Miljövärden!$B$3:$H$553,MATCH(C$2,Miljövärden!$B$2:$H$2,0),FALSE),"Saknas")</f>
        <v>0.39284599999999997</v>
      </c>
      <c r="D55">
        <f>IFERROR(VLOOKUP($B55,Miljövärden!$B$3:$H$553,MATCH(D$2,Miljövärden!$B$2:$H$2,0),FALSE),"Saknas")</f>
        <v>58.776400000000002</v>
      </c>
      <c r="E55">
        <f>IFERROR(VLOOKUP($B55,Miljövärden!$B$3:$H$553,MATCH(E$2,Miljövärden!$B$2:$H$2,0),FALSE),"Saknas")</f>
        <v>20.971699999999998</v>
      </c>
      <c r="F55">
        <f>IFERROR(VLOOKUP($B55,Miljövärden!$B$3:$H$553,MATCH(F$2,Miljövärden!$B$2:$H$2,0),FALSE),"Saknas")</f>
        <v>0.128355</v>
      </c>
      <c r="G55" t="str">
        <f>IFERROR(VLOOKUP($B55,Miljövärden!$B$3:$H$553,MATCH(G$2,Miljövärden!$B$2:$H$2,0),FALSE),"Nej, saknas")</f>
        <v>Nej</v>
      </c>
      <c r="H55" t="str">
        <f>IFERROR(VLOOKUP($B55,Miljövärden!$B$3:$H$553,MATCH(H$2,Miljövärden!$B$2:$H$2,0),FALSE),"Nej, saknas")</f>
        <v>Ja</v>
      </c>
      <c r="P55" t="str">
        <f t="shared" si="0"/>
        <v>ja</v>
      </c>
      <c r="R55">
        <f t="shared" si="1"/>
        <v>53</v>
      </c>
    </row>
    <row r="56" spans="1:18" x14ac:dyDescent="0.45">
      <c r="A56" s="2" t="s">
        <v>610</v>
      </c>
      <c r="B56" s="2" t="s">
        <v>621</v>
      </c>
      <c r="C56">
        <f>IFERROR(VLOOKUP($B56,Miljövärden!$B$3:$H$553,MATCH(C$2,Miljövärden!$B$2:$H$2,0),FALSE),"Saknas")</f>
        <v>0</v>
      </c>
      <c r="D56">
        <f>IFERROR(VLOOKUP($B56,Miljövärden!$B$3:$H$553,MATCH(D$2,Miljövärden!$B$2:$H$2,0),FALSE),"Saknas")</f>
        <v>0</v>
      </c>
      <c r="E56">
        <f>IFERROR(VLOOKUP($B56,Miljövärden!$B$3:$H$553,MATCH(E$2,Miljövärden!$B$2:$H$2,0),FALSE),"Saknas")</f>
        <v>0</v>
      </c>
      <c r="F56">
        <f>IFERROR(VLOOKUP($B56,Miljövärden!$B$3:$H$553,MATCH(F$2,Miljövärden!$B$2:$H$2,0),FALSE),"Saknas")</f>
        <v>0</v>
      </c>
      <c r="G56" t="str">
        <f>IFERROR(VLOOKUP($B56,Miljövärden!$B$3:$H$553,MATCH(G$2,Miljövärden!$B$2:$H$2,0),FALSE),"Nej, saknas")</f>
        <v>Nej</v>
      </c>
      <c r="H56" t="str">
        <f>IFERROR(VLOOKUP($B56,Miljövärden!$B$3:$H$553,MATCH(H$2,Miljövärden!$B$2:$H$2,0),FALSE),"Nej, saknas")</f>
        <v>Nej</v>
      </c>
      <c r="K56" t="s">
        <v>1529</v>
      </c>
      <c r="P56" t="str">
        <f t="shared" si="0"/>
        <v>nej</v>
      </c>
      <c r="R56">
        <f t="shared" si="1"/>
        <v>53</v>
      </c>
    </row>
    <row r="57" spans="1:18" x14ac:dyDescent="0.45">
      <c r="A57" s="2" t="s">
        <v>610</v>
      </c>
      <c r="B57" s="2" t="s">
        <v>620</v>
      </c>
      <c r="C57">
        <f>IFERROR(VLOOKUP($B57,Miljövärden!$B$3:$H$553,MATCH(C$2,Miljövärden!$B$2:$H$2,0),FALSE),"Saknas")</f>
        <v>0.133464</v>
      </c>
      <c r="D57">
        <f>IFERROR(VLOOKUP($B57,Miljövärden!$B$3:$H$553,MATCH(D$2,Miljövärden!$B$2:$H$2,0),FALSE),"Saknas")</f>
        <v>15.2577</v>
      </c>
      <c r="E57">
        <f>IFERROR(VLOOKUP($B57,Miljövärden!$B$3:$H$553,MATCH(E$2,Miljövärden!$B$2:$H$2,0),FALSE),"Saknas")</f>
        <v>8.8524100000000008</v>
      </c>
      <c r="F57">
        <f>IFERROR(VLOOKUP($B57,Miljövärden!$B$3:$H$553,MATCH(F$2,Miljövärden!$B$2:$H$2,0),FALSE),"Saknas")</f>
        <v>1.7455499999999999E-2</v>
      </c>
      <c r="G57" t="str">
        <f>IFERROR(VLOOKUP($B57,Miljövärden!$B$3:$H$553,MATCH(G$2,Miljövärden!$B$2:$H$2,0),FALSE),"Nej, saknas")</f>
        <v>Ja</v>
      </c>
      <c r="H57" t="str">
        <f>IFERROR(VLOOKUP($B57,Miljövärden!$B$3:$H$553,MATCH(H$2,Miljövärden!$B$2:$H$2,0),FALSE),"Nej, saknas")</f>
        <v>Ja</v>
      </c>
      <c r="K57" t="s">
        <v>1529</v>
      </c>
      <c r="P57" t="str">
        <f t="shared" si="0"/>
        <v>nej</v>
      </c>
      <c r="R57">
        <f t="shared" si="1"/>
        <v>53</v>
      </c>
    </row>
    <row r="58" spans="1:18" x14ac:dyDescent="0.45">
      <c r="A58" s="2" t="s">
        <v>610</v>
      </c>
      <c r="B58" s="2" t="s">
        <v>619</v>
      </c>
      <c r="C58">
        <f>IFERROR(VLOOKUP($B58,Miljövärden!$B$3:$H$553,MATCH(C$2,Miljövärden!$B$2:$H$2,0),FALSE),"Saknas")</f>
        <v>0</v>
      </c>
      <c r="D58">
        <f>IFERROR(VLOOKUP($B58,Miljövärden!$B$3:$H$553,MATCH(D$2,Miljövärden!$B$2:$H$2,0),FALSE),"Saknas")</f>
        <v>0</v>
      </c>
      <c r="E58">
        <f>IFERROR(VLOOKUP($B58,Miljövärden!$B$3:$H$553,MATCH(E$2,Miljövärden!$B$2:$H$2,0),FALSE),"Saknas")</f>
        <v>0</v>
      </c>
      <c r="F58">
        <f>IFERROR(VLOOKUP($B58,Miljövärden!$B$3:$H$553,MATCH(F$2,Miljövärden!$B$2:$H$2,0),FALSE),"Saknas")</f>
        <v>0</v>
      </c>
      <c r="G58" t="str">
        <f>IFERROR(VLOOKUP($B58,Miljövärden!$B$3:$H$553,MATCH(G$2,Miljövärden!$B$2:$H$2,0),FALSE),"Nej, saknas")</f>
        <v>Nej</v>
      </c>
      <c r="H58" t="str">
        <f>IFERROR(VLOOKUP($B58,Miljövärden!$B$3:$H$553,MATCH(H$2,Miljövärden!$B$2:$H$2,0),FALSE),"Nej, saknas")</f>
        <v>Nej</v>
      </c>
      <c r="K58" t="s">
        <v>1529</v>
      </c>
      <c r="P58" t="str">
        <f t="shared" si="0"/>
        <v>nej</v>
      </c>
      <c r="R58">
        <f t="shared" si="1"/>
        <v>53</v>
      </c>
    </row>
    <row r="59" spans="1:18" x14ac:dyDescent="0.45">
      <c r="A59" s="2" t="s">
        <v>610</v>
      </c>
      <c r="B59" s="2" t="s">
        <v>618</v>
      </c>
      <c r="C59">
        <f>IFERROR(VLOOKUP($B59,Miljövärden!$B$3:$H$553,MATCH(C$2,Miljövärden!$B$2:$H$2,0),FALSE),"Saknas")</f>
        <v>0.214</v>
      </c>
      <c r="D59">
        <f>IFERROR(VLOOKUP($B59,Miljövärden!$B$3:$H$553,MATCH(D$2,Miljövärden!$B$2:$H$2,0),FALSE),"Saknas")</f>
        <v>52.679000000000002</v>
      </c>
      <c r="E59">
        <f>IFERROR(VLOOKUP($B59,Miljövärden!$B$3:$H$553,MATCH(E$2,Miljövärden!$B$2:$H$2,0),FALSE),"Saknas")</f>
        <v>4.4550000000000001</v>
      </c>
      <c r="F59">
        <f>IFERROR(VLOOKUP($B59,Miljövärden!$B$3:$H$553,MATCH(F$2,Miljövärden!$B$2:$H$2,0),FALSE),"Saknas")</f>
        <v>4.1681900000000001E-2</v>
      </c>
      <c r="G59" t="str">
        <f>IFERROR(VLOOKUP($B59,Miljövärden!$B$3:$H$553,MATCH(G$2,Miljövärden!$B$2:$H$2,0),FALSE),"Nej, saknas")</f>
        <v>Ja</v>
      </c>
      <c r="H59" t="str">
        <f>IFERROR(VLOOKUP($B59,Miljövärden!$B$3:$H$553,MATCH(H$2,Miljövärden!$B$2:$H$2,0),FALSE),"Nej, saknas")</f>
        <v>Ja</v>
      </c>
      <c r="K59" t="s">
        <v>1529</v>
      </c>
      <c r="P59" t="str">
        <f t="shared" si="0"/>
        <v>nej</v>
      </c>
      <c r="R59">
        <f t="shared" si="1"/>
        <v>53</v>
      </c>
    </row>
    <row r="60" spans="1:18" x14ac:dyDescent="0.45">
      <c r="A60" s="2" t="s">
        <v>610</v>
      </c>
      <c r="B60" s="2" t="s">
        <v>616</v>
      </c>
      <c r="C60">
        <f>IFERROR(VLOOKUP($B60,Miljövärden!$B$3:$H$553,MATCH(C$2,Miljövärden!$B$2:$H$2,0),FALSE),"Saknas")</f>
        <v>0.37537599999999999</v>
      </c>
      <c r="D60">
        <f>IFERROR(VLOOKUP($B60,Miljövärden!$B$3:$H$553,MATCH(D$2,Miljövärden!$B$2:$H$2,0),FALSE),"Saknas")</f>
        <v>43.571199999999997</v>
      </c>
      <c r="E60">
        <f>IFERROR(VLOOKUP($B60,Miljövärden!$B$3:$H$553,MATCH(E$2,Miljövärden!$B$2:$H$2,0),FALSE),"Saknas")</f>
        <v>4.2995700000000001</v>
      </c>
      <c r="F60">
        <f>IFERROR(VLOOKUP($B60,Miljövärden!$B$3:$H$553,MATCH(F$2,Miljövärden!$B$2:$H$2,0),FALSE),"Saknas")</f>
        <v>1.9E-2</v>
      </c>
      <c r="G60" t="str">
        <f>IFERROR(VLOOKUP($B60,Miljövärden!$B$3:$H$553,MATCH(G$2,Miljövärden!$B$2:$H$2,0),FALSE),"Nej, saknas")</f>
        <v>Ja</v>
      </c>
      <c r="H60" t="str">
        <f>IFERROR(VLOOKUP($B60,Miljövärden!$B$3:$H$553,MATCH(H$2,Miljövärden!$B$2:$H$2,0),FALSE),"Nej, saknas")</f>
        <v>Ja</v>
      </c>
      <c r="K60" t="s">
        <v>1529</v>
      </c>
      <c r="P60" t="str">
        <f t="shared" si="0"/>
        <v>nej</v>
      </c>
      <c r="R60">
        <f t="shared" si="1"/>
        <v>53</v>
      </c>
    </row>
    <row r="61" spans="1:18" x14ac:dyDescent="0.45">
      <c r="A61" s="2" t="s">
        <v>610</v>
      </c>
      <c r="B61" s="2" t="s">
        <v>615</v>
      </c>
      <c r="C61">
        <f>IFERROR(VLOOKUP($B61,Miljövärden!$B$3:$H$553,MATCH(C$2,Miljövärden!$B$2:$H$2,0),FALSE),"Saknas")</f>
        <v>0</v>
      </c>
      <c r="D61">
        <f>IFERROR(VLOOKUP($B61,Miljövärden!$B$3:$H$553,MATCH(D$2,Miljövärden!$B$2:$H$2,0),FALSE),"Saknas")</f>
        <v>0</v>
      </c>
      <c r="E61">
        <f>IFERROR(VLOOKUP($B61,Miljövärden!$B$3:$H$553,MATCH(E$2,Miljövärden!$B$2:$H$2,0),FALSE),"Saknas")</f>
        <v>0</v>
      </c>
      <c r="F61">
        <f>IFERROR(VLOOKUP($B61,Miljövärden!$B$3:$H$553,MATCH(F$2,Miljövärden!$B$2:$H$2,0),FALSE),"Saknas")</f>
        <v>0</v>
      </c>
      <c r="G61" t="str">
        <f>IFERROR(VLOOKUP($B61,Miljövärden!$B$3:$H$553,MATCH(G$2,Miljövärden!$B$2:$H$2,0),FALSE),"Nej, saknas")</f>
        <v>Nej</v>
      </c>
      <c r="H61" t="str">
        <f>IFERROR(VLOOKUP($B61,Miljövärden!$B$3:$H$553,MATCH(H$2,Miljövärden!$B$2:$H$2,0),FALSE),"Nej, saknas")</f>
        <v>Nej</v>
      </c>
      <c r="K61" t="s">
        <v>1529</v>
      </c>
      <c r="P61" t="str">
        <f t="shared" si="0"/>
        <v>nej</v>
      </c>
      <c r="R61">
        <f t="shared" si="1"/>
        <v>53</v>
      </c>
    </row>
    <row r="62" spans="1:18" x14ac:dyDescent="0.45">
      <c r="A62" s="2" t="s">
        <v>610</v>
      </c>
      <c r="B62" s="2" t="s">
        <v>614</v>
      </c>
      <c r="C62">
        <f>IFERROR(VLOOKUP($B62,Miljövärden!$B$3:$H$553,MATCH(C$2,Miljövärden!$B$2:$H$2,0),FALSE),"Saknas")</f>
        <v>0.215</v>
      </c>
      <c r="D62">
        <f>IFERROR(VLOOKUP($B62,Miljövärden!$B$3:$H$553,MATCH(D$2,Miljövärden!$B$2:$H$2,0),FALSE),"Saknas")</f>
        <v>90.760099999999994</v>
      </c>
      <c r="E62">
        <f>IFERROR(VLOOKUP($B62,Miljövärden!$B$3:$H$553,MATCH(E$2,Miljövärden!$B$2:$H$2,0),FALSE),"Saknas")</f>
        <v>7.6332599999999999</v>
      </c>
      <c r="F62">
        <f>IFERROR(VLOOKUP($B62,Miljövärden!$B$3:$H$553,MATCH(F$2,Miljövärden!$B$2:$H$2,0),FALSE),"Saknas")</f>
        <v>0.13800000000000001</v>
      </c>
      <c r="G62" t="str">
        <f>IFERROR(VLOOKUP($B62,Miljövärden!$B$3:$H$553,MATCH(G$2,Miljövärden!$B$2:$H$2,0),FALSE),"Nej, saknas")</f>
        <v>Ja</v>
      </c>
      <c r="H62" t="str">
        <f>IFERROR(VLOOKUP($B62,Miljövärden!$B$3:$H$553,MATCH(H$2,Miljövärden!$B$2:$H$2,0),FALSE),"Nej, saknas")</f>
        <v>Ja</v>
      </c>
      <c r="K62" t="s">
        <v>1529</v>
      </c>
      <c r="P62" t="str">
        <f t="shared" si="0"/>
        <v>nej</v>
      </c>
      <c r="R62">
        <f t="shared" si="1"/>
        <v>53</v>
      </c>
    </row>
    <row r="63" spans="1:18" x14ac:dyDescent="0.45">
      <c r="A63" s="2" t="s">
        <v>610</v>
      </c>
      <c r="B63" s="2" t="s">
        <v>613</v>
      </c>
      <c r="C63">
        <f>IFERROR(VLOOKUP($B63,Miljövärden!$B$3:$H$553,MATCH(C$2,Miljövärden!$B$2:$H$2,0),FALSE),"Saknas")</f>
        <v>0.193854</v>
      </c>
      <c r="D63">
        <f>IFERROR(VLOOKUP($B63,Miljövärden!$B$3:$H$553,MATCH(D$2,Miljövärden!$B$2:$H$2,0),FALSE),"Saknas")</f>
        <v>130.886</v>
      </c>
      <c r="E63">
        <f>IFERROR(VLOOKUP($B63,Miljövärden!$B$3:$H$553,MATCH(E$2,Miljövärden!$B$2:$H$2,0),FALSE),"Saknas")</f>
        <v>3.7294499999999999</v>
      </c>
      <c r="F63">
        <f>IFERROR(VLOOKUP($B63,Miljövärden!$B$3:$H$553,MATCH(F$2,Miljövärden!$B$2:$H$2,0),FALSE),"Saknas")</f>
        <v>6.9570199999999999E-2</v>
      </c>
      <c r="G63" t="str">
        <f>IFERROR(VLOOKUP($B63,Miljövärden!$B$3:$H$553,MATCH(G$2,Miljövärden!$B$2:$H$2,0),FALSE),"Nej, saknas")</f>
        <v>Ja</v>
      </c>
      <c r="H63" t="str">
        <f>IFERROR(VLOOKUP($B63,Miljövärden!$B$3:$H$553,MATCH(H$2,Miljövärden!$B$2:$H$2,0),FALSE),"Nej, saknas")</f>
        <v>Ja</v>
      </c>
      <c r="K63" t="s">
        <v>1529</v>
      </c>
      <c r="P63" t="str">
        <f t="shared" si="0"/>
        <v>nej</v>
      </c>
      <c r="R63">
        <f t="shared" si="1"/>
        <v>53</v>
      </c>
    </row>
    <row r="64" spans="1:18" x14ac:dyDescent="0.45">
      <c r="A64" s="2" t="s">
        <v>610</v>
      </c>
      <c r="B64" s="2" t="s">
        <v>612</v>
      </c>
      <c r="C64">
        <f>IFERROR(VLOOKUP($B64,Miljövärden!$B$3:$H$553,MATCH(C$2,Miljövärden!$B$2:$H$2,0),FALSE),"Saknas")</f>
        <v>0.13090299999999999</v>
      </c>
      <c r="D64">
        <f>IFERROR(VLOOKUP($B64,Miljövärden!$B$3:$H$553,MATCH(D$2,Miljövärden!$B$2:$H$2,0),FALSE),"Saknas")</f>
        <v>18.367000000000001</v>
      </c>
      <c r="E64">
        <f>IFERROR(VLOOKUP($B64,Miljövärden!$B$3:$H$553,MATCH(E$2,Miljövärden!$B$2:$H$2,0),FALSE),"Saknas")</f>
        <v>8.6503200000000007</v>
      </c>
      <c r="F64">
        <f>IFERROR(VLOOKUP($B64,Miljövärden!$B$3:$H$553,MATCH(F$2,Miljövärden!$B$2:$H$2,0),FALSE),"Saknas")</f>
        <v>2.7114900000000001E-2</v>
      </c>
      <c r="G64" t="str">
        <f>IFERROR(VLOOKUP($B64,Miljövärden!$B$3:$H$553,MATCH(G$2,Miljövärden!$B$2:$H$2,0),FALSE),"Nej, saknas")</f>
        <v>Ja</v>
      </c>
      <c r="H64" t="str">
        <f>IFERROR(VLOOKUP($B64,Miljövärden!$B$3:$H$553,MATCH(H$2,Miljövärden!$B$2:$H$2,0),FALSE),"Nej, saknas")</f>
        <v>Ja</v>
      </c>
      <c r="K64" t="s">
        <v>1529</v>
      </c>
      <c r="P64" t="str">
        <f t="shared" si="0"/>
        <v>nej</v>
      </c>
      <c r="R64">
        <f t="shared" si="1"/>
        <v>53</v>
      </c>
    </row>
    <row r="65" spans="1:18" x14ac:dyDescent="0.45">
      <c r="A65" s="2" t="s">
        <v>610</v>
      </c>
      <c r="B65" s="2" t="s">
        <v>611</v>
      </c>
      <c r="C65">
        <f>IFERROR(VLOOKUP($B65,Miljövärden!$B$3:$H$553,MATCH(C$2,Miljövärden!$B$2:$H$2,0),FALSE),"Saknas")</f>
        <v>0.49226199999999998</v>
      </c>
      <c r="D65">
        <f>IFERROR(VLOOKUP($B65,Miljövärden!$B$3:$H$553,MATCH(D$2,Miljövärden!$B$2:$H$2,0),FALSE),"Saknas")</f>
        <v>56.165599999999998</v>
      </c>
      <c r="E65">
        <f>IFERROR(VLOOKUP($B65,Miljövärden!$B$3:$H$553,MATCH(E$2,Miljövärden!$B$2:$H$2,0),FALSE),"Saknas")</f>
        <v>4.9639300000000004</v>
      </c>
      <c r="F65">
        <f>IFERROR(VLOOKUP($B65,Miljövärden!$B$3:$H$553,MATCH(F$2,Miljövärden!$B$2:$H$2,0),FALSE),"Saknas")</f>
        <v>6.3458899999999999E-2</v>
      </c>
      <c r="G65" t="str">
        <f>IFERROR(VLOOKUP($B65,Miljövärden!$B$3:$H$553,MATCH(G$2,Miljövärden!$B$2:$H$2,0),FALSE),"Nej, saknas")</f>
        <v>Ja</v>
      </c>
      <c r="H65" t="str">
        <f>IFERROR(VLOOKUP($B65,Miljövärden!$B$3:$H$553,MATCH(H$2,Miljövärden!$B$2:$H$2,0),FALSE),"Nej, saknas")</f>
        <v>Ja</v>
      </c>
      <c r="K65" t="s">
        <v>1529</v>
      </c>
      <c r="P65" t="str">
        <f t="shared" si="0"/>
        <v>nej</v>
      </c>
      <c r="R65">
        <f t="shared" si="1"/>
        <v>53</v>
      </c>
    </row>
    <row r="66" spans="1:18" x14ac:dyDescent="0.45">
      <c r="A66" s="2" t="s">
        <v>610</v>
      </c>
      <c r="B66" s="2" t="s">
        <v>609</v>
      </c>
      <c r="C66">
        <f>IFERROR(VLOOKUP($B66,Miljövärden!$B$3:$H$553,MATCH(C$2,Miljövärden!$B$2:$H$2,0),FALSE),"Saknas")</f>
        <v>0.12809200000000001</v>
      </c>
      <c r="D66">
        <f>IFERROR(VLOOKUP($B66,Miljövärden!$B$3:$H$553,MATCH(D$2,Miljövärden!$B$2:$H$2,0),FALSE),"Saknas")</f>
        <v>16.651700000000002</v>
      </c>
      <c r="E66">
        <f>IFERROR(VLOOKUP($B66,Miljövärden!$B$3:$H$553,MATCH(E$2,Miljövärden!$B$2:$H$2,0),FALSE),"Saknas")</f>
        <v>9.1999999999999993</v>
      </c>
      <c r="F66">
        <f>IFERROR(VLOOKUP($B66,Miljövärden!$B$3:$H$553,MATCH(F$2,Miljövärden!$B$2:$H$2,0),FALSE),"Saknas")</f>
        <v>2.2119300000000001E-2</v>
      </c>
      <c r="G66" t="str">
        <f>IFERROR(VLOOKUP($B66,Miljövärden!$B$3:$H$553,MATCH(G$2,Miljövärden!$B$2:$H$2,0),FALSE),"Nej, saknas")</f>
        <v>Ja</v>
      </c>
      <c r="H66" t="str">
        <f>IFERROR(VLOOKUP($B66,Miljövärden!$B$3:$H$553,MATCH(H$2,Miljövärden!$B$2:$H$2,0),FALSE),"Nej, saknas")</f>
        <v>Ja</v>
      </c>
      <c r="K66" t="s">
        <v>1529</v>
      </c>
      <c r="P66" t="str">
        <f t="shared" si="0"/>
        <v>nej</v>
      </c>
      <c r="R66">
        <f t="shared" si="1"/>
        <v>53</v>
      </c>
    </row>
    <row r="67" spans="1:18" x14ac:dyDescent="0.45">
      <c r="A67" s="2" t="s">
        <v>610</v>
      </c>
      <c r="B67" s="2" t="s">
        <v>1556</v>
      </c>
      <c r="C67">
        <f>IFERROR(VLOOKUP($B67,Miljövärden!$B$3:$H$553,MATCH(C$2,Miljövärden!$B$2:$H$2,0),FALSE),"Saknas")</f>
        <v>0</v>
      </c>
      <c r="D67">
        <f>IFERROR(VLOOKUP($B67,Miljövärden!$B$3:$H$553,MATCH(D$2,Miljövärden!$B$2:$H$2,0),FALSE),"Saknas")</f>
        <v>0</v>
      </c>
      <c r="E67">
        <f>IFERROR(VLOOKUP($B67,Miljövärden!$B$3:$H$553,MATCH(E$2,Miljövärden!$B$2:$H$2,0),FALSE),"Saknas")</f>
        <v>0</v>
      </c>
      <c r="F67">
        <f>IFERROR(VLOOKUP($B67,Miljövärden!$B$3:$H$553,MATCH(F$2,Miljövärden!$B$2:$H$2,0),FALSE),"Saknas")</f>
        <v>0</v>
      </c>
      <c r="G67" t="s">
        <v>1568</v>
      </c>
      <c r="H67" t="str">
        <f>IFERROR(VLOOKUP($B67,Miljövärden!$B$3:$H$553,MATCH(H$2,Miljövärden!$B$2:$H$2,0),FALSE),"Nej, saknas")</f>
        <v xml:space="preserve">Nej </v>
      </c>
      <c r="L67" t="s">
        <v>1529</v>
      </c>
      <c r="M67" t="s">
        <v>1529</v>
      </c>
      <c r="N67" t="s">
        <v>1555</v>
      </c>
      <c r="P67" t="str">
        <f>IF(K67="x","nej",
IF(L67="x","ja",
IF(H67="ja","ja","nej")))</f>
        <v>ja</v>
      </c>
      <c r="R67">
        <f t="shared" si="1"/>
        <v>54</v>
      </c>
    </row>
    <row r="68" spans="1:18" x14ac:dyDescent="0.45">
      <c r="A68" s="2" t="s">
        <v>608</v>
      </c>
      <c r="B68" s="2" t="s">
        <v>608</v>
      </c>
      <c r="C68">
        <f>IFERROR(VLOOKUP($B68,Miljövärden!$B$3:$H$553,MATCH(C$2,Miljövärden!$B$2:$H$2,0),FALSE),"Saknas")</f>
        <v>0</v>
      </c>
      <c r="D68">
        <f>IFERROR(VLOOKUP($B68,Miljövärden!$B$3:$H$553,MATCH(D$2,Miljövärden!$B$2:$H$2,0),FALSE),"Saknas")</f>
        <v>0</v>
      </c>
      <c r="E68">
        <f>IFERROR(VLOOKUP($B68,Miljövärden!$B$3:$H$553,MATCH(E$2,Miljövärden!$B$2:$H$2,0),FALSE),"Saknas")</f>
        <v>0</v>
      </c>
      <c r="F68">
        <f>IFERROR(VLOOKUP($B68,Miljövärden!$B$3:$H$553,MATCH(F$2,Miljövärden!$B$2:$H$2,0),FALSE),"Saknas")</f>
        <v>0</v>
      </c>
      <c r="G68" t="str">
        <f>IFERROR(VLOOKUP($B68,Miljövärden!$B$3:$H$553,MATCH(G$2,Miljövärden!$B$2:$H$2,0),FALSE),"Nej, saknas")</f>
        <v>Nej</v>
      </c>
      <c r="H68" t="str">
        <f>IFERROR(VLOOKUP($B68,Miljövärden!$B$3:$H$553,MATCH(H$2,Miljövärden!$B$2:$H$2,0),FALSE),"Nej, saknas")</f>
        <v>Nej</v>
      </c>
      <c r="K68" t="s">
        <v>1529</v>
      </c>
      <c r="P68" t="str">
        <f t="shared" si="0"/>
        <v>nej</v>
      </c>
      <c r="R68">
        <f>IF(ISERROR(P68),R67,IF(P68="ja",R67+1,R67))</f>
        <v>54</v>
      </c>
    </row>
    <row r="69" spans="1:18" x14ac:dyDescent="0.45">
      <c r="A69" s="2" t="s">
        <v>605</v>
      </c>
      <c r="B69" s="2" t="s">
        <v>607</v>
      </c>
      <c r="C69">
        <f>IFERROR(VLOOKUP($B69,Miljövärden!$B$3:$H$553,MATCH(C$2,Miljövärden!$B$2:$H$2,0),FALSE),"Saknas")</f>
        <v>0.180118</v>
      </c>
      <c r="D69">
        <f>IFERROR(VLOOKUP($B69,Miljövärden!$B$3:$H$553,MATCH(D$2,Miljövärden!$B$2:$H$2,0),FALSE),"Saknas")</f>
        <v>161.73400000000001</v>
      </c>
      <c r="E69">
        <f>IFERROR(VLOOKUP($B69,Miljövärden!$B$3:$H$553,MATCH(E$2,Miljövärden!$B$2:$H$2,0),FALSE),"Saknas")</f>
        <v>5.1061300000000003</v>
      </c>
      <c r="F69">
        <f>IFERROR(VLOOKUP($B69,Miljövärden!$B$3:$H$553,MATCH(F$2,Miljövärden!$B$2:$H$2,0),FALSE),"Saknas")</f>
        <v>1.43134E-2</v>
      </c>
      <c r="G69" t="str">
        <f>IFERROR(VLOOKUP($B69,Miljövärden!$B$3:$H$553,MATCH(G$2,Miljövärden!$B$2:$H$2,0),FALSE),"Nej, saknas")</f>
        <v>Ja</v>
      </c>
      <c r="H69" t="str">
        <f>IFERROR(VLOOKUP($B69,Miljövärden!$B$3:$H$553,MATCH(H$2,Miljövärden!$B$2:$H$2,0),FALSE),"Nej, saknas")</f>
        <v>Ja</v>
      </c>
      <c r="P69" t="str">
        <f t="shared" ref="P69:P132" si="2">IF(K69="x","nej",
IF(L69="x","ja",
IF(H69="ja","ja","nej")))</f>
        <v>ja</v>
      </c>
      <c r="R69">
        <f t="shared" ref="R69:R131" si="3">IF(ISERROR(P69),R68,IF(P69="ja",R68+1,R68))</f>
        <v>55</v>
      </c>
    </row>
    <row r="70" spans="1:18" x14ac:dyDescent="0.45">
      <c r="A70" s="2" t="s">
        <v>605</v>
      </c>
      <c r="B70" s="2" t="s">
        <v>606</v>
      </c>
      <c r="C70">
        <f>IFERROR(VLOOKUP($B70,Miljövärden!$B$3:$H$553,MATCH(C$2,Miljövärden!$B$2:$H$2,0),FALSE),"Saknas")</f>
        <v>0.13969599999999999</v>
      </c>
      <c r="D70">
        <f>IFERROR(VLOOKUP($B70,Miljövärden!$B$3:$H$553,MATCH(D$2,Miljövärden!$B$2:$H$2,0),FALSE),"Saknas")</f>
        <v>16.742000000000001</v>
      </c>
      <c r="E70">
        <f>IFERROR(VLOOKUP($B70,Miljövärden!$B$3:$H$553,MATCH(E$2,Miljövärden!$B$2:$H$2,0),FALSE),"Saknas")</f>
        <v>10.750400000000001</v>
      </c>
      <c r="F70">
        <f>IFERROR(VLOOKUP($B70,Miljövärden!$B$3:$H$553,MATCH(F$2,Miljövärden!$B$2:$H$2,0),FALSE),"Saknas")</f>
        <v>9.3457899999999997E-3</v>
      </c>
      <c r="G70" t="str">
        <f>IFERROR(VLOOKUP($B70,Miljövärden!$B$3:$H$553,MATCH(G$2,Miljövärden!$B$2:$H$2,0),FALSE),"Nej, saknas")</f>
        <v>Nej</v>
      </c>
      <c r="H70" t="str">
        <f>IFERROR(VLOOKUP($B70,Miljövärden!$B$3:$H$553,MATCH(H$2,Miljövärden!$B$2:$H$2,0),FALSE),"Nej, saknas")</f>
        <v>Ja</v>
      </c>
      <c r="P70" t="str">
        <f t="shared" si="2"/>
        <v>ja</v>
      </c>
      <c r="R70">
        <f t="shared" si="3"/>
        <v>56</v>
      </c>
    </row>
    <row r="71" spans="1:18" x14ac:dyDescent="0.45">
      <c r="A71" s="2" t="s">
        <v>605</v>
      </c>
      <c r="B71" s="2" t="s">
        <v>604</v>
      </c>
      <c r="C71">
        <f>IFERROR(VLOOKUP($B71,Miljövärden!$B$3:$H$553,MATCH(C$2,Miljövärden!$B$2:$H$2,0),FALSE),"Saknas")</f>
        <v>0.103879</v>
      </c>
      <c r="D71">
        <f>IFERROR(VLOOKUP($B71,Miljövärden!$B$3:$H$553,MATCH(D$2,Miljövärden!$B$2:$H$2,0),FALSE),"Saknas")</f>
        <v>12.6568</v>
      </c>
      <c r="E71">
        <f>IFERROR(VLOOKUP($B71,Miljövärden!$B$3:$H$553,MATCH(E$2,Miljövärden!$B$2:$H$2,0),FALSE),"Saknas")</f>
        <v>10.5899</v>
      </c>
      <c r="F71">
        <f>IFERROR(VLOOKUP($B71,Miljövärden!$B$3:$H$553,MATCH(F$2,Miljövärden!$B$2:$H$2,0),FALSE),"Saknas")</f>
        <v>5.9804999999999997E-3</v>
      </c>
      <c r="G71" t="str">
        <f>IFERROR(VLOOKUP($B71,Miljövärden!$B$3:$H$553,MATCH(G$2,Miljövärden!$B$2:$H$2,0),FALSE),"Nej, saknas")</f>
        <v>Nej</v>
      </c>
      <c r="H71" t="str">
        <f>IFERROR(VLOOKUP($B71,Miljövärden!$B$3:$H$553,MATCH(H$2,Miljövärden!$B$2:$H$2,0),FALSE),"Nej, saknas")</f>
        <v>Ja</v>
      </c>
      <c r="P71" t="str">
        <f t="shared" si="2"/>
        <v>ja</v>
      </c>
      <c r="R71">
        <f t="shared" si="3"/>
        <v>57</v>
      </c>
    </row>
    <row r="72" spans="1:18" x14ac:dyDescent="0.45">
      <c r="A72" s="2" t="s">
        <v>603</v>
      </c>
      <c r="B72" s="2" t="s">
        <v>602</v>
      </c>
      <c r="C72">
        <f>IFERROR(VLOOKUP($B72,Miljövärden!$B$3:$H$553,MATCH(C$2,Miljövärden!$B$2:$H$2,0),FALSE),"Saknas")</f>
        <v>9.6868200000000002E-2</v>
      </c>
      <c r="D72">
        <f>IFERROR(VLOOKUP($B72,Miljövärden!$B$3:$H$553,MATCH(D$2,Miljövärden!$B$2:$H$2,0),FALSE),"Saknas")</f>
        <v>8.8781199999999991</v>
      </c>
      <c r="E72">
        <f>IFERROR(VLOOKUP($B72,Miljövärden!$B$3:$H$553,MATCH(E$2,Miljövärden!$B$2:$H$2,0),FALSE),"Saknas")</f>
        <v>8.8559999999999999</v>
      </c>
      <c r="F72">
        <f>IFERROR(VLOOKUP($B72,Miljövärden!$B$3:$H$553,MATCH(F$2,Miljövärden!$B$2:$H$2,0),FALSE),"Saknas")</f>
        <v>1.19854E-2</v>
      </c>
      <c r="G72" t="str">
        <f>IFERROR(VLOOKUP($B72,Miljövärden!$B$3:$H$553,MATCH(G$2,Miljövärden!$B$2:$H$2,0),FALSE),"Nej, saknas")</f>
        <v>Ja</v>
      </c>
      <c r="H72" t="str">
        <f>IFERROR(VLOOKUP($B72,Miljövärden!$B$3:$H$553,MATCH(H$2,Miljövärden!$B$2:$H$2,0),FALSE),"Nej, saknas")</f>
        <v>Ja</v>
      </c>
      <c r="P72" t="str">
        <f t="shared" si="2"/>
        <v>ja</v>
      </c>
      <c r="R72">
        <f t="shared" si="3"/>
        <v>58</v>
      </c>
    </row>
    <row r="73" spans="1:18" x14ac:dyDescent="0.45">
      <c r="A73" s="2" t="s">
        <v>601</v>
      </c>
      <c r="B73" s="2" t="s">
        <v>600</v>
      </c>
      <c r="C73">
        <f>IFERROR(VLOOKUP($B73,Miljövärden!$B$3:$H$553,MATCH(C$2,Miljövärden!$B$2:$H$2,0),FALSE),"Saknas")</f>
        <v>6.7655699999999999E-2</v>
      </c>
      <c r="D73">
        <f>IFERROR(VLOOKUP($B73,Miljövärden!$B$3:$H$553,MATCH(D$2,Miljövärden!$B$2:$H$2,0),FALSE),"Saknas")</f>
        <v>6.1308499999999997</v>
      </c>
      <c r="E73">
        <f>IFERROR(VLOOKUP($B73,Miljövärden!$B$3:$H$553,MATCH(E$2,Miljövärden!$B$2:$H$2,0),FALSE),"Saknas")</f>
        <v>4.867</v>
      </c>
      <c r="F73">
        <f>IFERROR(VLOOKUP($B73,Miljövärden!$B$3:$H$553,MATCH(F$2,Miljövärden!$B$2:$H$2,0),FALSE),"Saknas")</f>
        <v>1.7162400000000001E-2</v>
      </c>
      <c r="G73" t="str">
        <f>IFERROR(VLOOKUP($B73,Miljövärden!$B$3:$H$553,MATCH(G$2,Miljövärden!$B$2:$H$2,0),FALSE),"Nej, saknas")</f>
        <v>Ja</v>
      </c>
      <c r="H73" t="str">
        <f>IFERROR(VLOOKUP($B73,Miljövärden!$B$3:$H$553,MATCH(H$2,Miljövärden!$B$2:$H$2,0),FALSE),"Nej, saknas")</f>
        <v>Ja</v>
      </c>
      <c r="P73" t="str">
        <f t="shared" si="2"/>
        <v>ja</v>
      </c>
      <c r="R73">
        <f t="shared" si="3"/>
        <v>59</v>
      </c>
    </row>
    <row r="74" spans="1:18" x14ac:dyDescent="0.45">
      <c r="A74" s="2" t="s">
        <v>597</v>
      </c>
      <c r="B74" s="2" t="s">
        <v>599</v>
      </c>
      <c r="C74">
        <f>IFERROR(VLOOKUP($B74,Miljövärden!$B$3:$H$553,MATCH(C$2,Miljövärden!$B$2:$H$2,0),FALSE),"Saknas")</f>
        <v>3.8266099999999997E-2</v>
      </c>
      <c r="D74">
        <f>IFERROR(VLOOKUP($B74,Miljövärden!$B$3:$H$553,MATCH(D$2,Miljövärden!$B$2:$H$2,0),FALSE),"Saknas")</f>
        <v>7.4759000000000002</v>
      </c>
      <c r="E74">
        <f>IFERROR(VLOOKUP($B74,Miljövärden!$B$3:$H$553,MATCH(E$2,Miljövärden!$B$2:$H$2,0),FALSE),"Saknas")</f>
        <v>6.1181999999999999</v>
      </c>
      <c r="F74">
        <f>IFERROR(VLOOKUP($B74,Miljövärden!$B$3:$H$553,MATCH(F$2,Miljövärden!$B$2:$H$2,0),FALSE),"Saknas")</f>
        <v>9.4763599999999996E-3</v>
      </c>
      <c r="G74" t="str">
        <f>IFERROR(VLOOKUP($B74,Miljövärden!$B$3:$H$553,MATCH(G$2,Miljövärden!$B$2:$H$2,0),FALSE),"Nej, saknas")</f>
        <v>Ja</v>
      </c>
      <c r="H74" t="str">
        <f>IFERROR(VLOOKUP($B74,Miljövärden!$B$3:$H$553,MATCH(H$2,Miljövärden!$B$2:$H$2,0),FALSE),"Nej, saknas")</f>
        <v>Ja</v>
      </c>
      <c r="P74" t="str">
        <f t="shared" si="2"/>
        <v>ja</v>
      </c>
      <c r="R74">
        <f t="shared" si="3"/>
        <v>60</v>
      </c>
    </row>
    <row r="75" spans="1:18" x14ac:dyDescent="0.45">
      <c r="A75" s="2" t="s">
        <v>597</v>
      </c>
      <c r="B75" s="2" t="s">
        <v>598</v>
      </c>
      <c r="C75">
        <f>IFERROR(VLOOKUP($B75,Miljövärden!$B$3:$H$553,MATCH(C$2,Miljövärden!$B$2:$H$2,0),FALSE),"Saknas")</f>
        <v>0.30552299999999999</v>
      </c>
      <c r="D75">
        <f>IFERROR(VLOOKUP($B75,Miljövärden!$B$3:$H$553,MATCH(D$2,Miljövärden!$B$2:$H$2,0),FALSE),"Saknas")</f>
        <v>53.4529</v>
      </c>
      <c r="E75">
        <f>IFERROR(VLOOKUP($B75,Miljövärden!$B$3:$H$553,MATCH(E$2,Miljövärden!$B$2:$H$2,0),FALSE),"Saknas")</f>
        <v>16.947099999999999</v>
      </c>
      <c r="F75">
        <f>IFERROR(VLOOKUP($B75,Miljövärden!$B$3:$H$553,MATCH(F$2,Miljövärden!$B$2:$H$2,0),FALSE),"Saknas")</f>
        <v>0.162471</v>
      </c>
      <c r="G75" t="str">
        <f>IFERROR(VLOOKUP($B75,Miljövärden!$B$3:$H$553,MATCH(G$2,Miljövärden!$B$2:$H$2,0),FALSE),"Nej, saknas")</f>
        <v>Nej</v>
      </c>
      <c r="H75" t="str">
        <f>IFERROR(VLOOKUP($B75,Miljövärden!$B$3:$H$553,MATCH(H$2,Miljövärden!$B$2:$H$2,0),FALSE),"Nej, saknas")</f>
        <v>Ja</v>
      </c>
      <c r="P75" t="str">
        <f t="shared" si="2"/>
        <v>ja</v>
      </c>
      <c r="R75">
        <f t="shared" si="3"/>
        <v>61</v>
      </c>
    </row>
    <row r="76" spans="1:18" x14ac:dyDescent="0.45">
      <c r="A76" s="2" t="s">
        <v>597</v>
      </c>
      <c r="B76" s="2" t="s">
        <v>596</v>
      </c>
      <c r="C76">
        <f>IFERROR(VLOOKUP($B76,Miljövärden!$B$3:$H$553,MATCH(C$2,Miljövärden!$B$2:$H$2,0),FALSE),"Saknas")</f>
        <v>0.124012</v>
      </c>
      <c r="D76">
        <f>IFERROR(VLOOKUP($B76,Miljövärden!$B$3:$H$553,MATCH(D$2,Miljövärden!$B$2:$H$2,0),FALSE),"Saknas")</f>
        <v>4.8284200000000004</v>
      </c>
      <c r="E76">
        <f>IFERROR(VLOOKUP($B76,Miljövärden!$B$3:$H$553,MATCH(E$2,Miljövärden!$B$2:$H$2,0),FALSE),"Saknas")</f>
        <v>15.0229</v>
      </c>
      <c r="F76">
        <f>IFERROR(VLOOKUP($B76,Miljövärden!$B$3:$H$553,MATCH(F$2,Miljövärden!$B$2:$H$2,0),FALSE),"Saknas")</f>
        <v>0</v>
      </c>
      <c r="G76" t="str">
        <f>IFERROR(VLOOKUP($B76,Miljövärden!$B$3:$H$553,MATCH(G$2,Miljövärden!$B$2:$H$2,0),FALSE),"Nej, saknas")</f>
        <v>Nej</v>
      </c>
      <c r="H76" t="str">
        <f>IFERROR(VLOOKUP($B76,Miljövärden!$B$3:$H$553,MATCH(H$2,Miljövärden!$B$2:$H$2,0),FALSE),"Nej, saknas")</f>
        <v>Ja</v>
      </c>
      <c r="P76" t="str">
        <f t="shared" si="2"/>
        <v>ja</v>
      </c>
      <c r="R76">
        <f t="shared" si="3"/>
        <v>62</v>
      </c>
    </row>
    <row r="77" spans="1:18" x14ac:dyDescent="0.45">
      <c r="A77" s="2" t="s">
        <v>593</v>
      </c>
      <c r="B77" s="2" t="s">
        <v>595</v>
      </c>
      <c r="C77">
        <f>IFERROR(VLOOKUP($B77,Miljövärden!$B$3:$H$553,MATCH(C$2,Miljövärden!$B$2:$H$2,0),FALSE),"Saknas")</f>
        <v>7.7730400000000005E-2</v>
      </c>
      <c r="D77">
        <f>IFERROR(VLOOKUP($B77,Miljövärden!$B$3:$H$553,MATCH(D$2,Miljövärden!$B$2:$H$2,0),FALSE),"Saknas")</f>
        <v>4.4641799999999998</v>
      </c>
      <c r="E77">
        <f>IFERROR(VLOOKUP($B77,Miljövärden!$B$3:$H$553,MATCH(E$2,Miljövärden!$B$2:$H$2,0),FALSE),"Saknas")</f>
        <v>7.9812200000000004</v>
      </c>
      <c r="F77">
        <f>IFERROR(VLOOKUP($B77,Miljövärden!$B$3:$H$553,MATCH(F$2,Miljövärden!$B$2:$H$2,0),FALSE),"Saknas")</f>
        <v>0</v>
      </c>
      <c r="G77" t="str">
        <f>IFERROR(VLOOKUP($B77,Miljövärden!$B$3:$H$553,MATCH(G$2,Miljövärden!$B$2:$H$2,0),FALSE),"Nej, saknas")</f>
        <v>Ja</v>
      </c>
      <c r="H77" t="str">
        <f>IFERROR(VLOOKUP($B77,Miljövärden!$B$3:$H$553,MATCH(H$2,Miljövärden!$B$2:$H$2,0),FALSE),"Nej, saknas")</f>
        <v>Ja</v>
      </c>
      <c r="P77" t="str">
        <f t="shared" si="2"/>
        <v>ja</v>
      </c>
      <c r="R77">
        <f t="shared" si="3"/>
        <v>63</v>
      </c>
    </row>
    <row r="78" spans="1:18" x14ac:dyDescent="0.45">
      <c r="A78" s="2" t="s">
        <v>593</v>
      </c>
      <c r="B78" s="2" t="s">
        <v>594</v>
      </c>
      <c r="C78">
        <f>IFERROR(VLOOKUP($B78,Miljövärden!$B$3:$H$553,MATCH(C$2,Miljövärden!$B$2:$H$2,0),FALSE),"Saknas")</f>
        <v>0.143535</v>
      </c>
      <c r="D78">
        <f>IFERROR(VLOOKUP($B78,Miljövärden!$B$3:$H$553,MATCH(D$2,Miljövärden!$B$2:$H$2,0),FALSE),"Saknas")</f>
        <v>5.36747</v>
      </c>
      <c r="E78">
        <f>IFERROR(VLOOKUP($B78,Miljövärden!$B$3:$H$553,MATCH(E$2,Miljövärden!$B$2:$H$2,0),FALSE),"Saknas")</f>
        <v>17.189299999999999</v>
      </c>
      <c r="F78">
        <f>IFERROR(VLOOKUP($B78,Miljövärden!$B$3:$H$553,MATCH(F$2,Miljövärden!$B$2:$H$2,0),FALSE),"Saknas")</f>
        <v>0</v>
      </c>
      <c r="G78" t="str">
        <f>IFERROR(VLOOKUP($B78,Miljövärden!$B$3:$H$553,MATCH(G$2,Miljövärden!$B$2:$H$2,0),FALSE),"Nej, saknas")</f>
        <v>Ja</v>
      </c>
      <c r="H78" t="str">
        <f>IFERROR(VLOOKUP($B78,Miljövärden!$B$3:$H$553,MATCH(H$2,Miljövärden!$B$2:$H$2,0),FALSE),"Nej, saknas")</f>
        <v>Ja</v>
      </c>
      <c r="P78" t="str">
        <f t="shared" si="2"/>
        <v>ja</v>
      </c>
      <c r="R78">
        <f t="shared" si="3"/>
        <v>64</v>
      </c>
    </row>
    <row r="79" spans="1:18" x14ac:dyDescent="0.45">
      <c r="A79" s="2" t="s">
        <v>593</v>
      </c>
      <c r="B79" s="2" t="s">
        <v>592</v>
      </c>
      <c r="C79">
        <f>IFERROR(VLOOKUP($B79,Miljövärden!$B$3:$H$553,MATCH(C$2,Miljövärden!$B$2:$H$2,0),FALSE),"Saknas")</f>
        <v>0.32309700000000002</v>
      </c>
      <c r="D79">
        <f>IFERROR(VLOOKUP($B79,Miljövärden!$B$3:$H$553,MATCH(D$2,Miljövärden!$B$2:$H$2,0),FALSE),"Saknas")</f>
        <v>5.3615000000000004</v>
      </c>
      <c r="E79">
        <f>IFERROR(VLOOKUP($B79,Miljövärden!$B$3:$H$553,MATCH(E$2,Miljövärden!$B$2:$H$2,0),FALSE),"Saknas")</f>
        <v>15.5715</v>
      </c>
      <c r="F79">
        <f>IFERROR(VLOOKUP($B79,Miljövärden!$B$3:$H$553,MATCH(F$2,Miljövärden!$B$2:$H$2,0),FALSE),"Saknas")</f>
        <v>0</v>
      </c>
      <c r="G79" t="str">
        <f>IFERROR(VLOOKUP($B79,Miljövärden!$B$3:$H$553,MATCH(G$2,Miljövärden!$B$2:$H$2,0),FALSE),"Nej, saknas")</f>
        <v>Ja</v>
      </c>
      <c r="H79" t="str">
        <f>IFERROR(VLOOKUP($B79,Miljövärden!$B$3:$H$553,MATCH(H$2,Miljövärden!$B$2:$H$2,0),FALSE),"Nej, saknas")</f>
        <v>Ja</v>
      </c>
      <c r="P79" t="str">
        <f t="shared" si="2"/>
        <v>ja</v>
      </c>
      <c r="R79">
        <f t="shared" si="3"/>
        <v>65</v>
      </c>
    </row>
    <row r="80" spans="1:18" x14ac:dyDescent="0.45">
      <c r="A80" s="2" t="s">
        <v>589</v>
      </c>
      <c r="B80" s="2" t="s">
        <v>591</v>
      </c>
      <c r="C80">
        <f>IFERROR(VLOOKUP($B80,Miljövärden!$B$3:$H$553,MATCH(C$2,Miljövärden!$B$2:$H$2,0),FALSE),"Saknas")</f>
        <v>6.5662300000000007E-2</v>
      </c>
      <c r="D80">
        <f>IFERROR(VLOOKUP($B80,Miljövärden!$B$3:$H$553,MATCH(D$2,Miljövärden!$B$2:$H$2,0),FALSE),"Saknas")</f>
        <v>4.8877100000000002</v>
      </c>
      <c r="E80">
        <f>IFERROR(VLOOKUP($B80,Miljövärden!$B$3:$H$553,MATCH(E$2,Miljövärden!$B$2:$H$2,0),FALSE),"Saknas")</f>
        <v>8.8487799999999996</v>
      </c>
      <c r="F80">
        <f>IFERROR(VLOOKUP($B80,Miljövärden!$B$3:$H$553,MATCH(F$2,Miljövärden!$B$2:$H$2,0),FALSE),"Saknas")</f>
        <v>0</v>
      </c>
      <c r="G80" t="str">
        <f>IFERROR(VLOOKUP($B80,Miljövärden!$B$3:$H$553,MATCH(G$2,Miljövärden!$B$2:$H$2,0),FALSE),"Nej, saknas")</f>
        <v>Ja</v>
      </c>
      <c r="H80" t="str">
        <f>IFERROR(VLOOKUP($B80,Miljövärden!$B$3:$H$553,MATCH(H$2,Miljövärden!$B$2:$H$2,0),FALSE),"Nej, saknas")</f>
        <v>Ja</v>
      </c>
      <c r="P80" t="str">
        <f t="shared" si="2"/>
        <v>ja</v>
      </c>
      <c r="R80">
        <f t="shared" si="3"/>
        <v>66</v>
      </c>
    </row>
    <row r="81" spans="1:18" x14ac:dyDescent="0.45">
      <c r="A81" s="2" t="s">
        <v>589</v>
      </c>
      <c r="B81" s="2" t="s">
        <v>590</v>
      </c>
      <c r="C81">
        <f>IFERROR(VLOOKUP($B81,Miljövärden!$B$3:$H$553,MATCH(C$2,Miljövärden!$B$2:$H$2,0),FALSE),"Saknas")</f>
        <v>0.18130499999999999</v>
      </c>
      <c r="D81">
        <f>IFERROR(VLOOKUP($B81,Miljövärden!$B$3:$H$553,MATCH(D$2,Miljövärden!$B$2:$H$2,0),FALSE),"Saknas")</f>
        <v>11.1731</v>
      </c>
      <c r="E81">
        <f>IFERROR(VLOOKUP($B81,Miljövärden!$B$3:$H$553,MATCH(E$2,Miljövärden!$B$2:$H$2,0),FALSE),"Saknas")</f>
        <v>17.803599999999999</v>
      </c>
      <c r="F81">
        <f>IFERROR(VLOOKUP($B81,Miljövärden!$B$3:$H$553,MATCH(F$2,Miljövärden!$B$2:$H$2,0),FALSE),"Saknas")</f>
        <v>1.8175699999999999E-2</v>
      </c>
      <c r="G81" t="str">
        <f>IFERROR(VLOOKUP($B81,Miljövärden!$B$3:$H$553,MATCH(G$2,Miljövärden!$B$2:$H$2,0),FALSE),"Nej, saknas")</f>
        <v>Ja</v>
      </c>
      <c r="H81" t="str">
        <f>IFERROR(VLOOKUP($B81,Miljövärden!$B$3:$H$553,MATCH(H$2,Miljövärden!$B$2:$H$2,0),FALSE),"Nej, saknas")</f>
        <v>Ja</v>
      </c>
      <c r="P81" t="str">
        <f t="shared" si="2"/>
        <v>ja</v>
      </c>
      <c r="R81">
        <f t="shared" si="3"/>
        <v>67</v>
      </c>
    </row>
    <row r="82" spans="1:18" x14ac:dyDescent="0.45">
      <c r="A82" s="2" t="s">
        <v>589</v>
      </c>
      <c r="B82" s="2" t="s">
        <v>588</v>
      </c>
      <c r="C82">
        <f>IFERROR(VLOOKUP($B82,Miljövärden!$B$3:$H$553,MATCH(C$2,Miljövärden!$B$2:$H$2,0),FALSE),"Saknas")</f>
        <v>0.17485800000000001</v>
      </c>
      <c r="D82">
        <f>IFERROR(VLOOKUP($B82,Miljövärden!$B$3:$H$553,MATCH(D$2,Miljövärden!$B$2:$H$2,0),FALSE),"Saknas")</f>
        <v>9.8721999999999994</v>
      </c>
      <c r="E82">
        <f>IFERROR(VLOOKUP($B82,Miljövärden!$B$3:$H$553,MATCH(E$2,Miljövärden!$B$2:$H$2,0),FALSE),"Saknas")</f>
        <v>17.6568</v>
      </c>
      <c r="F82">
        <f>IFERROR(VLOOKUP($B82,Miljövärden!$B$3:$H$553,MATCH(F$2,Miljövärden!$B$2:$H$2,0),FALSE),"Saknas")</f>
        <v>1.4684300000000001E-2</v>
      </c>
      <c r="G82" t="str">
        <f>IFERROR(VLOOKUP($B82,Miljövärden!$B$3:$H$553,MATCH(G$2,Miljövärden!$B$2:$H$2,0),FALSE),"Nej, saknas")</f>
        <v>Ja</v>
      </c>
      <c r="H82" t="str">
        <f>IFERROR(VLOOKUP($B82,Miljövärden!$B$3:$H$553,MATCH(H$2,Miljövärden!$B$2:$H$2,0),FALSE),"Nej, saknas")</f>
        <v>Ja</v>
      </c>
      <c r="P82" t="str">
        <f t="shared" si="2"/>
        <v>ja</v>
      </c>
      <c r="R82">
        <f t="shared" si="3"/>
        <v>68</v>
      </c>
    </row>
    <row r="83" spans="1:18" x14ac:dyDescent="0.45">
      <c r="A83" s="2" t="s">
        <v>582</v>
      </c>
      <c r="B83" s="2" t="s">
        <v>586</v>
      </c>
      <c r="C83">
        <f>IFERROR(VLOOKUP($B83,Miljövärden!$B$3:$H$553,MATCH(C$2,Miljövärden!$B$2:$H$2,0),FALSE),"Saknas")</f>
        <v>0.17707100000000001</v>
      </c>
      <c r="D83">
        <f>IFERROR(VLOOKUP($B83,Miljövärden!$B$3:$H$553,MATCH(D$2,Miljövärden!$B$2:$H$2,0),FALSE),"Saknas")</f>
        <v>8.4040400000000002</v>
      </c>
      <c r="E83">
        <f>IFERROR(VLOOKUP($B83,Miljövärden!$B$3:$H$553,MATCH(E$2,Miljövärden!$B$2:$H$2,0),FALSE),"Saknas")</f>
        <v>17.848500000000001</v>
      </c>
      <c r="F83">
        <f>IFERROR(VLOOKUP($B83,Miljövärden!$B$3:$H$553,MATCH(F$2,Miljövärden!$B$2:$H$2,0),FALSE),"Saknas")</f>
        <v>9.83091E-3</v>
      </c>
      <c r="G83" t="str">
        <f>IFERROR(VLOOKUP($B83,Miljövärden!$B$3:$H$553,MATCH(G$2,Miljövärden!$B$2:$H$2,0),FALSE),"Nej, saknas")</f>
        <v>Ja</v>
      </c>
      <c r="H83" t="str">
        <f>IFERROR(VLOOKUP($B83,Miljövärden!$B$3:$H$553,MATCH(H$2,Miljövärden!$B$2:$H$2,0),FALSE),"Nej, saknas")</f>
        <v>Ja</v>
      </c>
      <c r="P83" t="str">
        <f t="shared" si="2"/>
        <v>ja</v>
      </c>
      <c r="R83">
        <f t="shared" si="3"/>
        <v>69</v>
      </c>
    </row>
    <row r="84" spans="1:18" x14ac:dyDescent="0.45">
      <c r="A84" s="2" t="s">
        <v>582</v>
      </c>
      <c r="B84" s="2" t="s">
        <v>585</v>
      </c>
      <c r="C84">
        <f>IFERROR(VLOOKUP($B84,Miljövärden!$B$3:$H$553,MATCH(C$2,Miljövärden!$B$2:$H$2,0),FALSE),"Saknas")</f>
        <v>9.5635399999999995E-2</v>
      </c>
      <c r="D84">
        <f>IFERROR(VLOOKUP($B84,Miljövärden!$B$3:$H$553,MATCH(D$2,Miljövärden!$B$2:$H$2,0),FALSE),"Saknas")</f>
        <v>8.5205800000000007</v>
      </c>
      <c r="E84">
        <f>IFERROR(VLOOKUP($B84,Miljövärden!$B$3:$H$553,MATCH(E$2,Miljövärden!$B$2:$H$2,0),FALSE),"Saknas")</f>
        <v>6.1762600000000001</v>
      </c>
      <c r="F84">
        <f>IFERROR(VLOOKUP($B84,Miljövärden!$B$3:$H$553,MATCH(F$2,Miljövärden!$B$2:$H$2,0),FALSE),"Saknas")</f>
        <v>1.34468E-2</v>
      </c>
      <c r="G84" t="str">
        <f>IFERROR(VLOOKUP($B84,Miljövärden!$B$3:$H$553,MATCH(G$2,Miljövärden!$B$2:$H$2,0),FALSE),"Nej, saknas")</f>
        <v>Ja</v>
      </c>
      <c r="H84" t="str">
        <f>IFERROR(VLOOKUP($B84,Miljövärden!$B$3:$H$553,MATCH(H$2,Miljövärden!$B$2:$H$2,0),FALSE),"Nej, saknas")</f>
        <v>Ja</v>
      </c>
      <c r="P84" t="str">
        <f t="shared" si="2"/>
        <v>ja</v>
      </c>
      <c r="R84">
        <f t="shared" si="3"/>
        <v>70</v>
      </c>
    </row>
    <row r="85" spans="1:18" x14ac:dyDescent="0.45">
      <c r="A85" s="2" t="s">
        <v>582</v>
      </c>
      <c r="B85" s="2" t="s">
        <v>583</v>
      </c>
      <c r="C85">
        <f>IFERROR(VLOOKUP($B85,Miljövärden!$B$3:$H$553,MATCH(C$2,Miljövärden!$B$2:$H$2,0),FALSE),"Saknas")</f>
        <v>0.159859</v>
      </c>
      <c r="D85">
        <f>IFERROR(VLOOKUP($B85,Miljövärden!$B$3:$H$553,MATCH(D$2,Miljövärden!$B$2:$H$2,0),FALSE),"Saknas")</f>
        <v>6.1639299999999997</v>
      </c>
      <c r="E85">
        <f>IFERROR(VLOOKUP($B85,Miljövärden!$B$3:$H$553,MATCH(E$2,Miljövärden!$B$2:$H$2,0),FALSE),"Saknas")</f>
        <v>17.2834</v>
      </c>
      <c r="F85">
        <f>IFERROR(VLOOKUP($B85,Miljövärden!$B$3:$H$553,MATCH(F$2,Miljövärden!$B$2:$H$2,0),FALSE),"Saknas")</f>
        <v>3.7622300000000001E-3</v>
      </c>
      <c r="G85" t="str">
        <f>IFERROR(VLOOKUP($B85,Miljövärden!$B$3:$H$553,MATCH(G$2,Miljövärden!$B$2:$H$2,0),FALSE),"Nej, saknas")</f>
        <v>Ja</v>
      </c>
      <c r="H85" t="str">
        <f>IFERROR(VLOOKUP($B85,Miljövärden!$B$3:$H$553,MATCH(H$2,Miljövärden!$B$2:$H$2,0),FALSE),"Nej, saknas")</f>
        <v>Ja</v>
      </c>
      <c r="P85" t="str">
        <f t="shared" si="2"/>
        <v>ja</v>
      </c>
      <c r="R85">
        <f t="shared" si="3"/>
        <v>71</v>
      </c>
    </row>
    <row r="86" spans="1:18" x14ac:dyDescent="0.45">
      <c r="A86" s="2" t="s">
        <v>582</v>
      </c>
      <c r="B86" s="2" t="s">
        <v>581</v>
      </c>
      <c r="C86">
        <f>IFERROR(VLOOKUP($B86,Miljövärden!$B$3:$H$553,MATCH(C$2,Miljövärden!$B$2:$H$2,0),FALSE),"Saknas")</f>
        <v>0.17385600000000001</v>
      </c>
      <c r="D86">
        <f>IFERROR(VLOOKUP($B86,Miljövärden!$B$3:$H$553,MATCH(D$2,Miljövärden!$B$2:$H$2,0),FALSE),"Saknas")</f>
        <v>6.1360799999999998</v>
      </c>
      <c r="E86">
        <f>IFERROR(VLOOKUP($B86,Miljövärden!$B$3:$H$553,MATCH(E$2,Miljövärden!$B$2:$H$2,0),FALSE),"Saknas")</f>
        <v>17.699000000000002</v>
      </c>
      <c r="F86">
        <f>IFERROR(VLOOKUP($B86,Miljövärden!$B$3:$H$553,MATCH(F$2,Miljövärden!$B$2:$H$2,0),FALSE),"Saknas")</f>
        <v>3.21543E-3</v>
      </c>
      <c r="G86" t="str">
        <f>IFERROR(VLOOKUP($B86,Miljövärden!$B$3:$H$553,MATCH(G$2,Miljövärden!$B$2:$H$2,0),FALSE),"Nej, saknas")</f>
        <v>Ja</v>
      </c>
      <c r="H86" t="str">
        <f>IFERROR(VLOOKUP($B86,Miljövärden!$B$3:$H$553,MATCH(H$2,Miljövärden!$B$2:$H$2,0),FALSE),"Nej, saknas")</f>
        <v>Ja</v>
      </c>
      <c r="P86" t="str">
        <f t="shared" si="2"/>
        <v>ja</v>
      </c>
      <c r="R86">
        <f t="shared" si="3"/>
        <v>72</v>
      </c>
    </row>
    <row r="87" spans="1:18" x14ac:dyDescent="0.45">
      <c r="A87" s="2" t="s">
        <v>580</v>
      </c>
      <c r="B87" s="2" t="s">
        <v>579</v>
      </c>
      <c r="C87">
        <f>IFERROR(VLOOKUP($B87,Miljövärden!$B$3:$H$553,MATCH(C$2,Miljövärden!$B$2:$H$2,0),FALSE),"Saknas")</f>
        <v>9.4536400000000007E-2</v>
      </c>
      <c r="D87">
        <f>IFERROR(VLOOKUP($B87,Miljövärden!$B$3:$H$553,MATCH(D$2,Miljövärden!$B$2:$H$2,0),FALSE),"Saknas")</f>
        <v>88.117599999999996</v>
      </c>
      <c r="E87">
        <f>IFERROR(VLOOKUP($B87,Miljövärden!$B$3:$H$553,MATCH(E$2,Miljövärden!$B$2:$H$2,0),FALSE),"Saknas")</f>
        <v>5.2809100000000004</v>
      </c>
      <c r="F87">
        <f>IFERROR(VLOOKUP($B87,Miljövärden!$B$3:$H$553,MATCH(F$2,Miljövärden!$B$2:$H$2,0),FALSE),"Saknas")</f>
        <v>8.9285700000000003E-3</v>
      </c>
      <c r="G87" t="str">
        <f>IFERROR(VLOOKUP($B87,Miljövärden!$B$3:$H$553,MATCH(G$2,Miljövärden!$B$2:$H$2,0),FALSE),"Nej, saknas")</f>
        <v>Ja</v>
      </c>
      <c r="H87" t="str">
        <f>IFERROR(VLOOKUP($B87,Miljövärden!$B$3:$H$553,MATCH(H$2,Miljövärden!$B$2:$H$2,0),FALSE),"Nej, saknas")</f>
        <v>Ja</v>
      </c>
      <c r="P87" t="str">
        <f t="shared" si="2"/>
        <v>ja</v>
      </c>
      <c r="R87">
        <f t="shared" si="3"/>
        <v>73</v>
      </c>
    </row>
    <row r="88" spans="1:18" x14ac:dyDescent="0.45">
      <c r="A88" s="2" t="s">
        <v>576</v>
      </c>
      <c r="B88" s="2" t="s">
        <v>578</v>
      </c>
      <c r="C88">
        <f>IFERROR(VLOOKUP($B88,Miljövärden!$B$3:$H$553,MATCH(C$2,Miljövärden!$B$2:$H$2,0),FALSE),"Saknas")</f>
        <v>6.9553900000000002E-2</v>
      </c>
      <c r="D88">
        <f>IFERROR(VLOOKUP($B88,Miljövärden!$B$3:$H$553,MATCH(D$2,Miljövärden!$B$2:$H$2,0),FALSE),"Saknas")</f>
        <v>4.7149000000000001</v>
      </c>
      <c r="E88">
        <f>IFERROR(VLOOKUP($B88,Miljövärden!$B$3:$H$553,MATCH(E$2,Miljövärden!$B$2:$H$2,0),FALSE),"Saknas")</f>
        <v>7.8001699999999996</v>
      </c>
      <c r="F88">
        <f>IFERROR(VLOOKUP($B88,Miljövärden!$B$3:$H$553,MATCH(F$2,Miljövärden!$B$2:$H$2,0),FALSE),"Saknas")</f>
        <v>7.5044700000000001E-4</v>
      </c>
      <c r="G88" t="str">
        <f>IFERROR(VLOOKUP($B88,Miljövärden!$B$3:$H$553,MATCH(G$2,Miljövärden!$B$2:$H$2,0),FALSE),"Nej, saknas")</f>
        <v>Ja</v>
      </c>
      <c r="H88" t="str">
        <f>IFERROR(VLOOKUP($B88,Miljövärden!$B$3:$H$553,MATCH(H$2,Miljövärden!$B$2:$H$2,0),FALSE),"Nej, saknas")</f>
        <v>Ja</v>
      </c>
      <c r="P88" t="str">
        <f t="shared" si="2"/>
        <v>ja</v>
      </c>
      <c r="R88">
        <f t="shared" si="3"/>
        <v>74</v>
      </c>
    </row>
    <row r="89" spans="1:18" x14ac:dyDescent="0.45">
      <c r="A89" s="2" t="s">
        <v>576</v>
      </c>
      <c r="B89" s="2" t="s">
        <v>577</v>
      </c>
      <c r="C89">
        <f>IFERROR(VLOOKUP($B89,Miljövärden!$B$3:$H$553,MATCH(C$2,Miljövärden!$B$2:$H$2,0),FALSE),"Saknas")</f>
        <v>0.107208</v>
      </c>
      <c r="D89">
        <f>IFERROR(VLOOKUP($B89,Miljövärden!$B$3:$H$553,MATCH(D$2,Miljövärden!$B$2:$H$2,0),FALSE),"Saknas")</f>
        <v>13.0183</v>
      </c>
      <c r="E89">
        <f>IFERROR(VLOOKUP($B89,Miljövärden!$B$3:$H$553,MATCH(E$2,Miljövärden!$B$2:$H$2,0),FALSE),"Saknas")</f>
        <v>9.6150599999999997</v>
      </c>
      <c r="F89">
        <f>IFERROR(VLOOKUP($B89,Miljövärden!$B$3:$H$553,MATCH(F$2,Miljövärden!$B$2:$H$2,0),FALSE),"Saknas")</f>
        <v>7.4808699999999997E-3</v>
      </c>
      <c r="G89" t="str">
        <f>IFERROR(VLOOKUP($B89,Miljövärden!$B$3:$H$553,MATCH(G$2,Miljövärden!$B$2:$H$2,0),FALSE),"Nej, saknas")</f>
        <v>Ja</v>
      </c>
      <c r="H89" t="str">
        <f>IFERROR(VLOOKUP($B89,Miljövärden!$B$3:$H$553,MATCH(H$2,Miljövärden!$B$2:$H$2,0),FALSE),"Nej, saknas")</f>
        <v>Ja</v>
      </c>
      <c r="P89" t="str">
        <f t="shared" si="2"/>
        <v>ja</v>
      </c>
      <c r="R89">
        <f t="shared" si="3"/>
        <v>75</v>
      </c>
    </row>
    <row r="90" spans="1:18" x14ac:dyDescent="0.45">
      <c r="A90" s="2" t="s">
        <v>576</v>
      </c>
      <c r="B90" s="2" t="s">
        <v>575</v>
      </c>
      <c r="C90">
        <f>IFERROR(VLOOKUP($B90,Miljövärden!$B$3:$H$553,MATCH(C$2,Miljövärden!$B$2:$H$2,0),FALSE),"Saknas")</f>
        <v>0.14893300000000001</v>
      </c>
      <c r="D90">
        <f>IFERROR(VLOOKUP($B90,Miljövärden!$B$3:$H$553,MATCH(D$2,Miljövärden!$B$2:$H$2,0),FALSE),"Saknas")</f>
        <v>4.59</v>
      </c>
      <c r="E90">
        <f>IFERROR(VLOOKUP($B90,Miljövärden!$B$3:$H$553,MATCH(E$2,Miljövärden!$B$2:$H$2,0),FALSE),"Saknas")</f>
        <v>16.065000000000001</v>
      </c>
      <c r="F90">
        <f>IFERROR(VLOOKUP($B90,Miljövärden!$B$3:$H$553,MATCH(F$2,Miljövärden!$B$2:$H$2,0),FALSE),"Saknas")</f>
        <v>0</v>
      </c>
      <c r="G90" t="str">
        <f>IFERROR(VLOOKUP($B90,Miljövärden!$B$3:$H$553,MATCH(G$2,Miljövärden!$B$2:$H$2,0),FALSE),"Nej, saknas")</f>
        <v>Ja</v>
      </c>
      <c r="H90" t="str">
        <f>IFERROR(VLOOKUP($B90,Miljövärden!$B$3:$H$553,MATCH(H$2,Miljövärden!$B$2:$H$2,0),FALSE),"Nej, saknas")</f>
        <v>Ja</v>
      </c>
      <c r="P90" t="str">
        <f t="shared" si="2"/>
        <v>ja</v>
      </c>
      <c r="R90">
        <f t="shared" si="3"/>
        <v>76</v>
      </c>
    </row>
    <row r="91" spans="1:18" x14ac:dyDescent="0.45">
      <c r="A91" s="2" t="s">
        <v>571</v>
      </c>
      <c r="B91" s="2" t="s">
        <v>574</v>
      </c>
      <c r="C91">
        <f>IFERROR(VLOOKUP($B91,Miljövärden!$B$3:$H$553,MATCH(C$2,Miljövärden!$B$2:$H$2,0),FALSE),"Saknas")</f>
        <v>8.3757799999999993E-2</v>
      </c>
      <c r="D91">
        <f>IFERROR(VLOOKUP($B91,Miljövärden!$B$3:$H$553,MATCH(D$2,Miljövärden!$B$2:$H$2,0),FALSE),"Saknas")</f>
        <v>8.4131999999999998</v>
      </c>
      <c r="E91">
        <f>IFERROR(VLOOKUP($B91,Miljövärden!$B$3:$H$553,MATCH(E$2,Miljövärden!$B$2:$H$2,0),FALSE),"Saknas")</f>
        <v>8.5936599999999999</v>
      </c>
      <c r="F91">
        <f>IFERROR(VLOOKUP($B91,Miljövärden!$B$3:$H$553,MATCH(F$2,Miljövärden!$B$2:$H$2,0),FALSE),"Saknas")</f>
        <v>1.1163899999999999E-2</v>
      </c>
      <c r="G91" t="str">
        <f>IFERROR(VLOOKUP($B91,Miljövärden!$B$3:$H$553,MATCH(G$2,Miljövärden!$B$2:$H$2,0),FALSE),"Nej, saknas")</f>
        <v>Ja</v>
      </c>
      <c r="H91" t="str">
        <f>IFERROR(VLOOKUP($B91,Miljövärden!$B$3:$H$553,MATCH(H$2,Miljövärden!$B$2:$H$2,0),FALSE),"Nej, saknas")</f>
        <v>Ja</v>
      </c>
      <c r="P91" t="str">
        <f t="shared" si="2"/>
        <v>ja</v>
      </c>
      <c r="R91">
        <f t="shared" si="3"/>
        <v>77</v>
      </c>
    </row>
    <row r="92" spans="1:18" x14ac:dyDescent="0.45">
      <c r="A92" s="2" t="s">
        <v>571</v>
      </c>
      <c r="B92" s="2" t="s">
        <v>573</v>
      </c>
      <c r="C92">
        <f>IFERROR(VLOOKUP($B92,Miljövärden!$B$3:$H$553,MATCH(C$2,Miljövärden!$B$2:$H$2,0),FALSE),"Saknas")</f>
        <v>1.5380400000000001</v>
      </c>
      <c r="D92">
        <f>IFERROR(VLOOKUP($B92,Miljövärden!$B$3:$H$553,MATCH(D$2,Miljövärden!$B$2:$H$2,0),FALSE),"Saknas")</f>
        <v>16.1188</v>
      </c>
      <c r="E92">
        <f>IFERROR(VLOOKUP($B92,Miljövärden!$B$3:$H$553,MATCH(E$2,Miljövärden!$B$2:$H$2,0),FALSE),"Saknas")</f>
        <v>48.185499999999998</v>
      </c>
      <c r="F92">
        <f>IFERROR(VLOOKUP($B92,Miljövärden!$B$3:$H$553,MATCH(F$2,Miljövärden!$B$2:$H$2,0),FALSE),"Saknas")</f>
        <v>2.69468E-2</v>
      </c>
      <c r="G92" t="str">
        <f>IFERROR(VLOOKUP($B92,Miljövärden!$B$3:$H$553,MATCH(G$2,Miljövärden!$B$2:$H$2,0),FALSE),"Nej, saknas")</f>
        <v>Ja</v>
      </c>
      <c r="H92" t="str">
        <f>IFERROR(VLOOKUP($B92,Miljövärden!$B$3:$H$553,MATCH(H$2,Miljövärden!$B$2:$H$2,0),FALSE),"Nej, saknas")</f>
        <v>Ja</v>
      </c>
      <c r="P92" t="str">
        <f t="shared" si="2"/>
        <v>ja</v>
      </c>
      <c r="R92">
        <f t="shared" si="3"/>
        <v>78</v>
      </c>
    </row>
    <row r="93" spans="1:18" x14ac:dyDescent="0.45">
      <c r="A93" s="2" t="s">
        <v>571</v>
      </c>
      <c r="B93" s="2" t="s">
        <v>572</v>
      </c>
      <c r="C93">
        <f>IFERROR(VLOOKUP($B93,Miljövärden!$B$3:$H$553,MATCH(C$2,Miljövärden!$B$2:$H$2,0),FALSE),"Saknas")</f>
        <v>6.8208299999999999E-2</v>
      </c>
      <c r="D93">
        <f>IFERROR(VLOOKUP($B93,Miljövärden!$B$3:$H$553,MATCH(D$2,Miljövärden!$B$2:$H$2,0),FALSE),"Saknas")</f>
        <v>5.7931699999999999</v>
      </c>
      <c r="E93">
        <f>IFERROR(VLOOKUP($B93,Miljövärden!$B$3:$H$553,MATCH(E$2,Miljövärden!$B$2:$H$2,0),FALSE),"Saknas")</f>
        <v>1.7008300000000001</v>
      </c>
      <c r="F93">
        <f>IFERROR(VLOOKUP($B93,Miljövärden!$B$3:$H$553,MATCH(F$2,Miljövärden!$B$2:$H$2,0),FALSE),"Saknas")</f>
        <v>1.50584E-2</v>
      </c>
      <c r="G93" t="str">
        <f>IFERROR(VLOOKUP($B93,Miljövärden!$B$3:$H$553,MATCH(G$2,Miljövärden!$B$2:$H$2,0),FALSE),"Nej, saknas")</f>
        <v>Ja</v>
      </c>
      <c r="H93" t="str">
        <f>IFERROR(VLOOKUP($B93,Miljövärden!$B$3:$H$553,MATCH(H$2,Miljövärden!$B$2:$H$2,0),FALSE),"Nej, saknas")</f>
        <v>Ja</v>
      </c>
      <c r="P93" t="str">
        <f t="shared" si="2"/>
        <v>ja</v>
      </c>
      <c r="R93">
        <f t="shared" si="3"/>
        <v>79</v>
      </c>
    </row>
    <row r="94" spans="1:18" x14ac:dyDescent="0.45">
      <c r="A94" s="2" t="s">
        <v>571</v>
      </c>
      <c r="B94" s="2" t="s">
        <v>570</v>
      </c>
      <c r="C94">
        <f>IFERROR(VLOOKUP($B94,Miljövärden!$B$3:$H$553,MATCH(C$2,Miljövärden!$B$2:$H$2,0),FALSE),"Saknas")</f>
        <v>0.14344999999999999</v>
      </c>
      <c r="D94">
        <f>IFERROR(VLOOKUP($B94,Miljövärden!$B$3:$H$553,MATCH(D$2,Miljövärden!$B$2:$H$2,0),FALSE),"Saknas")</f>
        <v>3.72885</v>
      </c>
      <c r="E94">
        <f>IFERROR(VLOOKUP($B94,Miljövärden!$B$3:$H$553,MATCH(E$2,Miljövärden!$B$2:$H$2,0),FALSE),"Saknas")</f>
        <v>6.6448299999999998</v>
      </c>
      <c r="F94">
        <f>IFERROR(VLOOKUP($B94,Miljövärden!$B$3:$H$553,MATCH(F$2,Miljövärden!$B$2:$H$2,0),FALSE),"Saknas")</f>
        <v>0</v>
      </c>
      <c r="G94" t="str">
        <f>IFERROR(VLOOKUP($B94,Miljövärden!$B$3:$H$553,MATCH(G$2,Miljövärden!$B$2:$H$2,0),FALSE),"Nej, saknas")</f>
        <v>Ja</v>
      </c>
      <c r="H94" t="str">
        <f>IFERROR(VLOOKUP($B94,Miljövärden!$B$3:$H$553,MATCH(H$2,Miljövärden!$B$2:$H$2,0),FALSE),"Nej, saknas")</f>
        <v>Ja</v>
      </c>
      <c r="P94" t="str">
        <f t="shared" si="2"/>
        <v>ja</v>
      </c>
      <c r="R94">
        <f t="shared" si="3"/>
        <v>80</v>
      </c>
    </row>
    <row r="95" spans="1:18" x14ac:dyDescent="0.45">
      <c r="A95" s="2" t="s">
        <v>568</v>
      </c>
      <c r="B95" s="2" t="s">
        <v>567</v>
      </c>
      <c r="C95">
        <f>IFERROR(VLOOKUP($B95,Miljövärden!$B$3:$H$553,MATCH(C$2,Miljövärden!$B$2:$H$2,0),FALSE),"Saknas")</f>
        <v>0.64263599999999999</v>
      </c>
      <c r="D95">
        <f>IFERROR(VLOOKUP($B95,Miljövärden!$B$3:$H$553,MATCH(D$2,Miljövärden!$B$2:$H$2,0),FALSE),"Saknas")</f>
        <v>225.81</v>
      </c>
      <c r="E95">
        <f>IFERROR(VLOOKUP($B95,Miljövärden!$B$3:$H$553,MATCH(E$2,Miljövärden!$B$2:$H$2,0),FALSE),"Saknas")</f>
        <v>25.698599999999999</v>
      </c>
      <c r="F95">
        <f>IFERROR(VLOOKUP($B95,Miljövärden!$B$3:$H$553,MATCH(F$2,Miljövärden!$B$2:$H$2,0),FALSE),"Saknas")</f>
        <v>1.52456E-2</v>
      </c>
      <c r="G95" t="str">
        <f>IFERROR(VLOOKUP($B95,Miljövärden!$B$3:$H$553,MATCH(G$2,Miljövärden!$B$2:$H$2,0),FALSE),"Nej, saknas")</f>
        <v>Ja</v>
      </c>
      <c r="H95" t="str">
        <f>IFERROR(VLOOKUP($B95,Miljövärden!$B$3:$H$553,MATCH(H$2,Miljövärden!$B$2:$H$2,0),FALSE),"Nej, saknas")</f>
        <v>Ja</v>
      </c>
      <c r="P95" t="str">
        <f t="shared" si="2"/>
        <v>ja</v>
      </c>
      <c r="R95">
        <f t="shared" si="3"/>
        <v>81</v>
      </c>
    </row>
    <row r="96" spans="1:18" x14ac:dyDescent="0.45">
      <c r="A96" s="2" t="s">
        <v>566</v>
      </c>
      <c r="B96" s="2" t="s">
        <v>565</v>
      </c>
      <c r="C96">
        <f>IFERROR(VLOOKUP($B96,Miljövärden!$B$3:$H$553,MATCH(C$2,Miljövärden!$B$2:$H$2,0),FALSE),"Saknas")</f>
        <v>1.6029700000000001E-2</v>
      </c>
      <c r="D96">
        <f>IFERROR(VLOOKUP($B96,Miljövärden!$B$3:$H$553,MATCH(D$2,Miljövärden!$B$2:$H$2,0),FALSE),"Saknas")</f>
        <v>1.86266</v>
      </c>
      <c r="E96">
        <f>IFERROR(VLOOKUP($B96,Miljövärden!$B$3:$H$553,MATCH(E$2,Miljövärden!$B$2:$H$2,0),FALSE),"Saknas")</f>
        <v>2.32917</v>
      </c>
      <c r="F96">
        <f>IFERROR(VLOOKUP($B96,Miljövärden!$B$3:$H$553,MATCH(F$2,Miljövärden!$B$2:$H$2,0),FALSE),"Saknas")</f>
        <v>5.6829700000000005E-4</v>
      </c>
      <c r="G96" t="str">
        <f>IFERROR(VLOOKUP($B96,Miljövärden!$B$3:$H$553,MATCH(G$2,Miljövärden!$B$2:$H$2,0),FALSE),"Nej, saknas")</f>
        <v>Ja</v>
      </c>
      <c r="H96" t="str">
        <f>IFERROR(VLOOKUP($B96,Miljövärden!$B$3:$H$553,MATCH(H$2,Miljövärden!$B$2:$H$2,0),FALSE),"Nej, saknas")</f>
        <v>Ja</v>
      </c>
      <c r="P96" t="str">
        <f t="shared" si="2"/>
        <v>ja</v>
      </c>
      <c r="R96">
        <f t="shared" si="3"/>
        <v>82</v>
      </c>
    </row>
    <row r="97" spans="1:18" x14ac:dyDescent="0.45">
      <c r="A97" s="2" t="s">
        <v>560</v>
      </c>
      <c r="B97" s="2" t="s">
        <v>564</v>
      </c>
      <c r="C97">
        <f>IFERROR(VLOOKUP($B97,Miljövärden!$B$3:$H$553,MATCH(C$2,Miljövärden!$B$2:$H$2,0),FALSE),"Saknas")</f>
        <v>0</v>
      </c>
      <c r="D97">
        <f>IFERROR(VLOOKUP($B97,Miljövärden!$B$3:$H$553,MATCH(D$2,Miljövärden!$B$2:$H$2,0),FALSE),"Saknas")</f>
        <v>0</v>
      </c>
      <c r="E97">
        <f>IFERROR(VLOOKUP($B97,Miljövärden!$B$3:$H$553,MATCH(E$2,Miljövärden!$B$2:$H$2,0),FALSE),"Saknas")</f>
        <v>0</v>
      </c>
      <c r="F97">
        <f>IFERROR(VLOOKUP($B97,Miljövärden!$B$3:$H$553,MATCH(F$2,Miljövärden!$B$2:$H$2,0),FALSE),"Saknas")</f>
        <v>0</v>
      </c>
      <c r="G97" t="str">
        <f>IFERROR(VLOOKUP($B97,Miljövärden!$B$3:$H$553,MATCH(G$2,Miljövärden!$B$2:$H$2,0),FALSE),"Nej, saknas")</f>
        <v>Nej</v>
      </c>
      <c r="H97" t="str">
        <f>IFERROR(VLOOKUP($B97,Miljövärden!$B$3:$H$553,MATCH(H$2,Miljövärden!$B$2:$H$2,0),FALSE),"Nej, saknas")</f>
        <v>Nej</v>
      </c>
      <c r="K97" t="s">
        <v>1529</v>
      </c>
      <c r="P97" t="str">
        <f t="shared" si="2"/>
        <v>nej</v>
      </c>
      <c r="R97">
        <f t="shared" si="3"/>
        <v>82</v>
      </c>
    </row>
    <row r="98" spans="1:18" x14ac:dyDescent="0.45">
      <c r="A98" s="2" t="s">
        <v>560</v>
      </c>
      <c r="B98" s="2" t="s">
        <v>563</v>
      </c>
      <c r="C98">
        <f>IFERROR(VLOOKUP($B98,Miljövärden!$B$3:$H$553,MATCH(C$2,Miljövärden!$B$2:$H$2,0),FALSE),"Saknas")</f>
        <v>0.23119100000000001</v>
      </c>
      <c r="D98">
        <f>IFERROR(VLOOKUP($B98,Miljövärden!$B$3:$H$553,MATCH(D$2,Miljövärden!$B$2:$H$2,0),FALSE),"Saknas")</f>
        <v>66.702799999999996</v>
      </c>
      <c r="E98">
        <f>IFERROR(VLOOKUP($B98,Miljövärden!$B$3:$H$553,MATCH(E$2,Miljövärden!$B$2:$H$2,0),FALSE),"Saknas")</f>
        <v>7.9430899999999998</v>
      </c>
      <c r="F98">
        <f>IFERROR(VLOOKUP($B98,Miljövärden!$B$3:$H$553,MATCH(F$2,Miljövärden!$B$2:$H$2,0),FALSE),"Saknas")</f>
        <v>0.114955</v>
      </c>
      <c r="G98" t="str">
        <f>IFERROR(VLOOKUP($B98,Miljövärden!$B$3:$H$553,MATCH(G$2,Miljövärden!$B$2:$H$2,0),FALSE),"Nej, saknas")</f>
        <v>Ja</v>
      </c>
      <c r="H98" t="str">
        <f>IFERROR(VLOOKUP($B98,Miljövärden!$B$3:$H$553,MATCH(H$2,Miljövärden!$B$2:$H$2,0),FALSE),"Nej, saknas")</f>
        <v>Ja</v>
      </c>
      <c r="M98" t="s">
        <v>1529</v>
      </c>
      <c r="P98" t="str">
        <f t="shared" si="2"/>
        <v>ja</v>
      </c>
      <c r="R98">
        <f t="shared" si="3"/>
        <v>83</v>
      </c>
    </row>
    <row r="99" spans="1:18" x14ac:dyDescent="0.45">
      <c r="A99" s="2" t="s">
        <v>560</v>
      </c>
      <c r="B99" s="2" t="s">
        <v>562</v>
      </c>
      <c r="C99">
        <f>IFERROR(VLOOKUP($B99,Miljövärden!$B$3:$H$553,MATCH(C$2,Miljövärden!$B$2:$H$2,0),FALSE),"Saknas")</f>
        <v>6.1088900000000002E-2</v>
      </c>
      <c r="D99">
        <f>IFERROR(VLOOKUP($B99,Miljövärden!$B$3:$H$553,MATCH(D$2,Miljövärden!$B$2:$H$2,0),FALSE),"Saknas")</f>
        <v>3.37507</v>
      </c>
      <c r="E99">
        <f>IFERROR(VLOOKUP($B99,Miljövärden!$B$3:$H$553,MATCH(E$2,Miljövärden!$B$2:$H$2,0),FALSE),"Saknas")</f>
        <v>5.9133800000000001</v>
      </c>
      <c r="F99">
        <f>IFERROR(VLOOKUP($B99,Miljövärden!$B$3:$H$553,MATCH(F$2,Miljövärden!$B$2:$H$2,0),FALSE),"Saknas")</f>
        <v>0</v>
      </c>
      <c r="G99" t="str">
        <f>IFERROR(VLOOKUP($B99,Miljövärden!$B$3:$H$553,MATCH(G$2,Miljövärden!$B$2:$H$2,0),FALSE),"Nej, saknas")</f>
        <v>Ja</v>
      </c>
      <c r="H99" t="str">
        <f>IFERROR(VLOOKUP($B99,Miljövärden!$B$3:$H$553,MATCH(H$2,Miljövärden!$B$2:$H$2,0),FALSE),"Nej, saknas")</f>
        <v>Ja</v>
      </c>
      <c r="M99" t="s">
        <v>1529</v>
      </c>
      <c r="P99" t="str">
        <f t="shared" si="2"/>
        <v>ja</v>
      </c>
      <c r="R99">
        <f t="shared" si="3"/>
        <v>84</v>
      </c>
    </row>
    <row r="100" spans="1:18" x14ac:dyDescent="0.45">
      <c r="A100" s="2" t="s">
        <v>560</v>
      </c>
      <c r="B100" s="2" t="s">
        <v>560</v>
      </c>
      <c r="C100">
        <f>IFERROR(VLOOKUP($B100,Miljövärden!$B$3:$H$553,MATCH(C$2,Miljövärden!$B$2:$H$2,0),FALSE),"Saknas")</f>
        <v>0</v>
      </c>
      <c r="D100">
        <f>IFERROR(VLOOKUP($B100,Miljövärden!$B$3:$H$553,MATCH(D$2,Miljövärden!$B$2:$H$2,0),FALSE),"Saknas")</f>
        <v>0</v>
      </c>
      <c r="E100">
        <f>IFERROR(VLOOKUP($B100,Miljövärden!$B$3:$H$553,MATCH(E$2,Miljövärden!$B$2:$H$2,0),FALSE),"Saknas")</f>
        <v>0</v>
      </c>
      <c r="F100">
        <f>IFERROR(VLOOKUP($B100,Miljövärden!$B$3:$H$553,MATCH(F$2,Miljövärden!$B$2:$H$2,0),FALSE),"Saknas")</f>
        <v>0</v>
      </c>
      <c r="G100" t="str">
        <f>IFERROR(VLOOKUP($B100,Miljövärden!$B$3:$H$553,MATCH(G$2,Miljövärden!$B$2:$H$2,0),FALSE),"Nej, saknas")</f>
        <v>Nej</v>
      </c>
      <c r="H100" t="str">
        <f>IFERROR(VLOOKUP($B100,Miljövärden!$B$3:$H$553,MATCH(H$2,Miljövärden!$B$2:$H$2,0),FALSE),"Nej, saknas")</f>
        <v>Nej</v>
      </c>
      <c r="K100" t="s">
        <v>1529</v>
      </c>
      <c r="P100" t="str">
        <f t="shared" si="2"/>
        <v>nej</v>
      </c>
      <c r="R100">
        <f t="shared" si="3"/>
        <v>84</v>
      </c>
    </row>
    <row r="101" spans="1:18" x14ac:dyDescent="0.45">
      <c r="A101" s="2" t="s">
        <v>560</v>
      </c>
      <c r="B101" s="2" t="s">
        <v>561</v>
      </c>
      <c r="C101">
        <f>IFERROR(VLOOKUP($B101,Miljövärden!$B$3:$H$553,MATCH(C$2,Miljövärden!$B$2:$H$2,0),FALSE),"Saknas")</f>
        <v>0</v>
      </c>
      <c r="D101">
        <f>IFERROR(VLOOKUP($B101,Miljövärden!$B$3:$H$553,MATCH(D$2,Miljövärden!$B$2:$H$2,0),FALSE),"Saknas")</f>
        <v>0</v>
      </c>
      <c r="E101">
        <f>IFERROR(VLOOKUP($B101,Miljövärden!$B$3:$H$553,MATCH(E$2,Miljövärden!$B$2:$H$2,0),FALSE),"Saknas")</f>
        <v>0</v>
      </c>
      <c r="F101">
        <f>IFERROR(VLOOKUP($B101,Miljövärden!$B$3:$H$553,MATCH(F$2,Miljövärden!$B$2:$H$2,0),FALSE),"Saknas")</f>
        <v>0</v>
      </c>
      <c r="G101" t="str">
        <f>IFERROR(VLOOKUP($B101,Miljövärden!$B$3:$H$553,MATCH(G$2,Miljövärden!$B$2:$H$2,0),FALSE),"Nej, saknas")</f>
        <v>Nej</v>
      </c>
      <c r="H101" t="str">
        <f>IFERROR(VLOOKUP($B101,Miljövärden!$B$3:$H$553,MATCH(H$2,Miljövärden!$B$2:$H$2,0),FALSE),"Nej, saknas")</f>
        <v>Nej</v>
      </c>
      <c r="K101" t="s">
        <v>1529</v>
      </c>
      <c r="P101" t="str">
        <f t="shared" si="2"/>
        <v>nej</v>
      </c>
      <c r="R101">
        <f t="shared" si="3"/>
        <v>84</v>
      </c>
    </row>
    <row r="102" spans="1:18" x14ac:dyDescent="0.45">
      <c r="A102" s="2" t="s">
        <v>560</v>
      </c>
      <c r="B102" s="2" t="s">
        <v>559</v>
      </c>
      <c r="C102">
        <f>IFERROR(VLOOKUP($B102,Miljövärden!$B$3:$H$553,MATCH(C$2,Miljövärden!$B$2:$H$2,0),FALSE),"Saknas")</f>
        <v>0</v>
      </c>
      <c r="D102">
        <f>IFERROR(VLOOKUP($B102,Miljövärden!$B$3:$H$553,MATCH(D$2,Miljövärden!$B$2:$H$2,0),FALSE),"Saknas")</f>
        <v>0</v>
      </c>
      <c r="E102">
        <f>IFERROR(VLOOKUP($B102,Miljövärden!$B$3:$H$553,MATCH(E$2,Miljövärden!$B$2:$H$2,0),FALSE),"Saknas")</f>
        <v>0</v>
      </c>
      <c r="F102">
        <f>IFERROR(VLOOKUP($B102,Miljövärden!$B$3:$H$553,MATCH(F$2,Miljövärden!$B$2:$H$2,0),FALSE),"Saknas")</f>
        <v>0</v>
      </c>
      <c r="G102" t="str">
        <f>IFERROR(VLOOKUP($B102,Miljövärden!$B$3:$H$553,MATCH(G$2,Miljövärden!$B$2:$H$2,0),FALSE),"Nej, saknas")</f>
        <v>Nej</v>
      </c>
      <c r="H102" t="str">
        <f>IFERROR(VLOOKUP($B102,Miljövärden!$B$3:$H$553,MATCH(H$2,Miljövärden!$B$2:$H$2,0),FALSE),"Nej, saknas")</f>
        <v>Nej</v>
      </c>
      <c r="K102" t="s">
        <v>1529</v>
      </c>
      <c r="P102" t="str">
        <f t="shared" si="2"/>
        <v>nej</v>
      </c>
      <c r="R102">
        <f t="shared" si="3"/>
        <v>84</v>
      </c>
    </row>
    <row r="103" spans="1:18" x14ac:dyDescent="0.45">
      <c r="A103" s="2" t="s">
        <v>556</v>
      </c>
      <c r="B103" s="2" t="s">
        <v>558</v>
      </c>
      <c r="C103">
        <f>IFERROR(VLOOKUP($B103,Miljövärden!$B$3:$H$553,MATCH(C$2,Miljövärden!$B$2:$H$2,0),FALSE),"Saknas")</f>
        <v>0.123196</v>
      </c>
      <c r="D103">
        <f>IFERROR(VLOOKUP($B103,Miljövärden!$B$3:$H$553,MATCH(D$2,Miljövärden!$B$2:$H$2,0),FALSE),"Saknas")</f>
        <v>16.849900000000002</v>
      </c>
      <c r="E103">
        <f>IFERROR(VLOOKUP($B103,Miljövärden!$B$3:$H$553,MATCH(E$2,Miljövärden!$B$2:$H$2,0),FALSE),"Saknas")</f>
        <v>9.6179500000000004</v>
      </c>
      <c r="F103">
        <f>IFERROR(VLOOKUP($B103,Miljövärden!$B$3:$H$553,MATCH(F$2,Miljövärden!$B$2:$H$2,0),FALSE),"Saknas")</f>
        <v>3.0741999999999998E-2</v>
      </c>
      <c r="G103" t="str">
        <f>IFERROR(VLOOKUP($B103,Miljövärden!$B$3:$H$553,MATCH(G$2,Miljövärden!$B$2:$H$2,0),FALSE),"Nej, saknas")</f>
        <v>Nej</v>
      </c>
      <c r="H103" t="str">
        <f>IFERROR(VLOOKUP($B103,Miljövärden!$B$3:$H$553,MATCH(H$2,Miljövärden!$B$2:$H$2,0),FALSE),"Nej, saknas")</f>
        <v>Ja</v>
      </c>
      <c r="P103" t="str">
        <f t="shared" si="2"/>
        <v>ja</v>
      </c>
      <c r="R103">
        <f t="shared" si="3"/>
        <v>85</v>
      </c>
    </row>
    <row r="104" spans="1:18" x14ac:dyDescent="0.45">
      <c r="A104" s="2" t="s">
        <v>556</v>
      </c>
      <c r="B104" s="2" t="s">
        <v>555</v>
      </c>
      <c r="C104">
        <f>IFERROR(VLOOKUP($B104,Miljövärden!$B$3:$H$553,MATCH(C$2,Miljövärden!$B$2:$H$2,0),FALSE),"Saknas")</f>
        <v>4.77898E-2</v>
      </c>
      <c r="D104">
        <f>IFERROR(VLOOKUP($B104,Miljövärden!$B$3:$H$553,MATCH(D$2,Miljövärden!$B$2:$H$2,0),FALSE),"Saknas")</f>
        <v>3.1671299999999998</v>
      </c>
      <c r="E104">
        <f>IFERROR(VLOOKUP($B104,Miljövärden!$B$3:$H$553,MATCH(E$2,Miljövärden!$B$2:$H$2,0),FALSE),"Saknas")</f>
        <v>0.60224900000000003</v>
      </c>
      <c r="F104">
        <f>IFERROR(VLOOKUP($B104,Miljövärden!$B$3:$H$553,MATCH(F$2,Miljövärden!$B$2:$H$2,0),FALSE),"Saknas")</f>
        <v>7.7638999999999998E-3</v>
      </c>
      <c r="G104" t="str">
        <f>IFERROR(VLOOKUP($B104,Miljövärden!$B$3:$H$553,MATCH(G$2,Miljövärden!$B$2:$H$2,0),FALSE),"Nej, saknas")</f>
        <v>Nej</v>
      </c>
      <c r="H104" t="str">
        <f>IFERROR(VLOOKUP($B104,Miljövärden!$B$3:$H$553,MATCH(H$2,Miljövärden!$B$2:$H$2,0),FALSE),"Nej, saknas")</f>
        <v>Ja</v>
      </c>
      <c r="P104" t="str">
        <f t="shared" si="2"/>
        <v>ja</v>
      </c>
      <c r="R104">
        <f t="shared" si="3"/>
        <v>86</v>
      </c>
    </row>
    <row r="105" spans="1:18" x14ac:dyDescent="0.45">
      <c r="A105" s="2" t="s">
        <v>554</v>
      </c>
      <c r="B105" s="2" t="s">
        <v>553</v>
      </c>
      <c r="C105">
        <f>IFERROR(VLOOKUP($B105,Miljövärden!$B$3:$H$553,MATCH(C$2,Miljövärden!$B$2:$H$2,0),FALSE),"Saknas")</f>
        <v>5.6179199999999999E-2</v>
      </c>
      <c r="D105">
        <f>IFERROR(VLOOKUP($B105,Miljövärden!$B$3:$H$553,MATCH(D$2,Miljövärden!$B$2:$H$2,0),FALSE),"Saknas")</f>
        <v>5.4952800000000002</v>
      </c>
      <c r="E105">
        <f>IFERROR(VLOOKUP($B105,Miljövärden!$B$3:$H$553,MATCH(E$2,Miljövärden!$B$2:$H$2,0),FALSE),"Saknas")</f>
        <v>9.7547200000000007</v>
      </c>
      <c r="F105">
        <f>IFERROR(VLOOKUP($B105,Miljövärden!$B$3:$H$553,MATCH(F$2,Miljövärden!$B$2:$H$2,0),FALSE),"Saknas")</f>
        <v>0</v>
      </c>
      <c r="G105" t="str">
        <f>IFERROR(VLOOKUP($B105,Miljövärden!$B$3:$H$553,MATCH(G$2,Miljövärden!$B$2:$H$2,0),FALSE),"Nej, saknas")</f>
        <v>Nej</v>
      </c>
      <c r="H105" t="str">
        <f>IFERROR(VLOOKUP($B105,Miljövärden!$B$3:$H$553,MATCH(H$2,Miljövärden!$B$2:$H$2,0),FALSE),"Nej, saknas")</f>
        <v>Ja</v>
      </c>
      <c r="P105" t="str">
        <f t="shared" si="2"/>
        <v>ja</v>
      </c>
      <c r="R105">
        <f t="shared" si="3"/>
        <v>87</v>
      </c>
    </row>
    <row r="106" spans="1:18" x14ac:dyDescent="0.45">
      <c r="A106" s="2" t="s">
        <v>550</v>
      </c>
      <c r="B106" s="2" t="s">
        <v>552</v>
      </c>
      <c r="C106">
        <f>IFERROR(VLOOKUP($B106,Miljövärden!$B$3:$H$553,MATCH(C$2,Miljövärden!$B$2:$H$2,0),FALSE),"Saknas")</f>
        <v>0.139928</v>
      </c>
      <c r="D106">
        <f>IFERROR(VLOOKUP($B106,Miljövärden!$B$3:$H$553,MATCH(D$2,Miljövärden!$B$2:$H$2,0),FALSE),"Saknas")</f>
        <v>23.945599999999999</v>
      </c>
      <c r="E106">
        <f>IFERROR(VLOOKUP($B106,Miljövärden!$B$3:$H$553,MATCH(E$2,Miljövärden!$B$2:$H$2,0),FALSE),"Saknas")</f>
        <v>10.214600000000001</v>
      </c>
      <c r="F106">
        <f>IFERROR(VLOOKUP($B106,Miljövärden!$B$3:$H$553,MATCH(F$2,Miljövärden!$B$2:$H$2,0),FALSE),"Saknas")</f>
        <v>3.6455099999999997E-2</v>
      </c>
      <c r="G106" t="str">
        <f>IFERROR(VLOOKUP($B106,Miljövärden!$B$3:$H$553,MATCH(G$2,Miljövärden!$B$2:$H$2,0),FALSE),"Nej, saknas")</f>
        <v>Ja</v>
      </c>
      <c r="H106" t="str">
        <f>IFERROR(VLOOKUP($B106,Miljövärden!$B$3:$H$553,MATCH(H$2,Miljövärden!$B$2:$H$2,0),FALSE),"Nej, saknas")</f>
        <v>Ja</v>
      </c>
      <c r="P106" t="str">
        <f t="shared" si="2"/>
        <v>ja</v>
      </c>
      <c r="R106">
        <f t="shared" si="3"/>
        <v>88</v>
      </c>
    </row>
    <row r="107" spans="1:18" x14ac:dyDescent="0.45">
      <c r="A107" s="2" t="s">
        <v>550</v>
      </c>
      <c r="B107" s="2" t="s">
        <v>551</v>
      </c>
      <c r="C107">
        <f>IFERROR(VLOOKUP($B107,Miljövärden!$B$3:$H$553,MATCH(C$2,Miljövärden!$B$2:$H$2,0),FALSE),"Saknas")</f>
        <v>0.182617</v>
      </c>
      <c r="D107">
        <f>IFERROR(VLOOKUP($B107,Miljövärden!$B$3:$H$553,MATCH(D$2,Miljövärden!$B$2:$H$2,0),FALSE),"Saknas")</f>
        <v>29.8368</v>
      </c>
      <c r="E107">
        <f>IFERROR(VLOOKUP($B107,Miljövärden!$B$3:$H$553,MATCH(E$2,Miljövärden!$B$2:$H$2,0),FALSE),"Saknas")</f>
        <v>11.632899999999999</v>
      </c>
      <c r="F107">
        <f>IFERROR(VLOOKUP($B107,Miljövärden!$B$3:$H$553,MATCH(F$2,Miljövärden!$B$2:$H$2,0),FALSE),"Saknas")</f>
        <v>8.1342899999999996E-2</v>
      </c>
      <c r="G107" t="str">
        <f>IFERROR(VLOOKUP($B107,Miljövärden!$B$3:$H$553,MATCH(G$2,Miljövärden!$B$2:$H$2,0),FALSE),"Nej, saknas")</f>
        <v>Ja</v>
      </c>
      <c r="H107" t="str">
        <f>IFERROR(VLOOKUP($B107,Miljövärden!$B$3:$H$553,MATCH(H$2,Miljövärden!$B$2:$H$2,0),FALSE),"Nej, saknas")</f>
        <v>Ja</v>
      </c>
      <c r="P107" t="str">
        <f t="shared" si="2"/>
        <v>ja</v>
      </c>
      <c r="R107">
        <f t="shared" si="3"/>
        <v>89</v>
      </c>
    </row>
    <row r="108" spans="1:18" x14ac:dyDescent="0.45">
      <c r="A108" s="2" t="s">
        <v>550</v>
      </c>
      <c r="B108" s="2" t="s">
        <v>549</v>
      </c>
      <c r="C108">
        <f>IFERROR(VLOOKUP($B108,Miljövärden!$B$3:$H$553,MATCH(C$2,Miljövärden!$B$2:$H$2,0),FALSE),"Saknas")</f>
        <v>0.30052200000000001</v>
      </c>
      <c r="D108">
        <f>IFERROR(VLOOKUP($B108,Miljövärden!$B$3:$H$553,MATCH(D$2,Miljövärden!$B$2:$H$2,0),FALSE),"Saknas")</f>
        <v>42.832799999999999</v>
      </c>
      <c r="E108">
        <f>IFERROR(VLOOKUP($B108,Miljövärden!$B$3:$H$553,MATCH(E$2,Miljövärden!$B$2:$H$2,0),FALSE),"Saknas")</f>
        <v>15.8162</v>
      </c>
      <c r="F108">
        <f>IFERROR(VLOOKUP($B108,Miljövärden!$B$3:$H$553,MATCH(F$2,Miljövärden!$B$2:$H$2,0),FALSE),"Saknas")</f>
        <v>0.117297</v>
      </c>
      <c r="G108" t="str">
        <f>IFERROR(VLOOKUP($B108,Miljövärden!$B$3:$H$553,MATCH(G$2,Miljövärden!$B$2:$H$2,0),FALSE),"Nej, saknas")</f>
        <v>Ja</v>
      </c>
      <c r="H108" t="str">
        <f>IFERROR(VLOOKUP($B108,Miljövärden!$B$3:$H$553,MATCH(H$2,Miljövärden!$B$2:$H$2,0),FALSE),"Nej, saknas")</f>
        <v>Ja</v>
      </c>
      <c r="P108" t="str">
        <f t="shared" si="2"/>
        <v>ja</v>
      </c>
      <c r="R108">
        <f t="shared" si="3"/>
        <v>90</v>
      </c>
    </row>
    <row r="109" spans="1:18" x14ac:dyDescent="0.45">
      <c r="A109" s="2" t="s">
        <v>548</v>
      </c>
      <c r="B109" s="2" t="s">
        <v>547</v>
      </c>
      <c r="C109">
        <f>IFERROR(VLOOKUP($B109,Miljövärden!$B$3:$H$553,MATCH(C$2,Miljövärden!$B$2:$H$2,0),FALSE),"Saknas")</f>
        <v>9.0087299999999995E-2</v>
      </c>
      <c r="D109">
        <f>IFERROR(VLOOKUP($B109,Miljövärden!$B$3:$H$553,MATCH(D$2,Miljövärden!$B$2:$H$2,0),FALSE),"Saknas")</f>
        <v>107.09699999999999</v>
      </c>
      <c r="E109">
        <f>IFERROR(VLOOKUP($B109,Miljövärden!$B$3:$H$553,MATCH(E$2,Miljövärden!$B$2:$H$2,0),FALSE),"Saknas")</f>
        <v>4.4981</v>
      </c>
      <c r="F109">
        <f>IFERROR(VLOOKUP($B109,Miljövärden!$B$3:$H$553,MATCH(F$2,Miljövärden!$B$2:$H$2,0),FALSE),"Saknas")</f>
        <v>0</v>
      </c>
      <c r="G109" t="str">
        <f>IFERROR(VLOOKUP($B109,Miljövärden!$B$3:$H$553,MATCH(G$2,Miljövärden!$B$2:$H$2,0),FALSE),"Nej, saknas")</f>
        <v>Ja</v>
      </c>
      <c r="H109" t="str">
        <f>IFERROR(VLOOKUP($B109,Miljövärden!$B$3:$H$553,MATCH(H$2,Miljövärden!$B$2:$H$2,0),FALSE),"Nej, saknas")</f>
        <v>Ja</v>
      </c>
      <c r="P109" t="str">
        <f t="shared" si="2"/>
        <v>ja</v>
      </c>
      <c r="R109">
        <f t="shared" si="3"/>
        <v>91</v>
      </c>
    </row>
    <row r="110" spans="1:18" x14ac:dyDescent="0.45">
      <c r="A110" s="2" t="s">
        <v>546</v>
      </c>
      <c r="B110" s="2" t="s">
        <v>545</v>
      </c>
      <c r="C110">
        <f>IFERROR(VLOOKUP($B110,Miljövärden!$B$3:$H$553,MATCH(C$2,Miljövärden!$B$2:$H$2,0),FALSE),"Saknas")</f>
        <v>0.15926000000000001</v>
      </c>
      <c r="D110">
        <f>IFERROR(VLOOKUP($B110,Miljövärden!$B$3:$H$553,MATCH(D$2,Miljövärden!$B$2:$H$2,0),FALSE),"Saknas")</f>
        <v>49.0715</v>
      </c>
      <c r="E110">
        <f>IFERROR(VLOOKUP($B110,Miljövärden!$B$3:$H$553,MATCH(E$2,Miljövärden!$B$2:$H$2,0),FALSE),"Saknas")</f>
        <v>7.5907600000000004</v>
      </c>
      <c r="F110">
        <f>IFERROR(VLOOKUP($B110,Miljövärden!$B$3:$H$553,MATCH(F$2,Miljövärden!$B$2:$H$2,0),FALSE),"Saknas")</f>
        <v>6.1737399999999996E-3</v>
      </c>
      <c r="G110" t="str">
        <f>IFERROR(VLOOKUP($B110,Miljövärden!$B$3:$H$553,MATCH(G$2,Miljövärden!$B$2:$H$2,0),FALSE),"Nej, saknas")</f>
        <v>Ja</v>
      </c>
      <c r="H110" t="str">
        <f>IFERROR(VLOOKUP($B110,Miljövärden!$B$3:$H$553,MATCH(H$2,Miljövärden!$B$2:$H$2,0),FALSE),"Nej, saknas")</f>
        <v>Ja</v>
      </c>
      <c r="P110" t="str">
        <f t="shared" si="2"/>
        <v>ja</v>
      </c>
      <c r="R110">
        <f t="shared" si="3"/>
        <v>92</v>
      </c>
    </row>
    <row r="111" spans="1:18" x14ac:dyDescent="0.45">
      <c r="A111" s="2" t="s">
        <v>543</v>
      </c>
      <c r="B111" s="2" t="s">
        <v>544</v>
      </c>
      <c r="C111">
        <f>IFERROR(VLOOKUP($B111,Miljövärden!$B$3:$H$553,MATCH(C$2,Miljövärden!$B$2:$H$2,0),FALSE),"Saknas")</f>
        <v>6.9180699999999998E-2</v>
      </c>
      <c r="D111">
        <f>IFERROR(VLOOKUP($B111,Miljövärden!$B$3:$H$553,MATCH(D$2,Miljövärden!$B$2:$H$2,0),FALSE),"Saknas")</f>
        <v>4.5280699999999996</v>
      </c>
      <c r="E111">
        <f>IFERROR(VLOOKUP($B111,Miljövärden!$B$3:$H$553,MATCH(E$2,Miljövärden!$B$2:$H$2,0),FALSE),"Saknas")</f>
        <v>9.8662899999999993</v>
      </c>
      <c r="F111">
        <f>IFERROR(VLOOKUP($B111,Miljövärden!$B$3:$H$553,MATCH(F$2,Miljövärden!$B$2:$H$2,0),FALSE),"Saknas")</f>
        <v>0</v>
      </c>
      <c r="G111" t="str">
        <f>IFERROR(VLOOKUP($B111,Miljövärden!$B$3:$H$553,MATCH(G$2,Miljövärden!$B$2:$H$2,0),FALSE),"Nej, saknas")</f>
        <v>Ja</v>
      </c>
      <c r="H111" t="str">
        <f>IFERROR(VLOOKUP($B111,Miljövärden!$B$3:$H$553,MATCH(H$2,Miljövärden!$B$2:$H$2,0),FALSE),"Nej, saknas")</f>
        <v>Ja</v>
      </c>
      <c r="P111" t="str">
        <f t="shared" si="2"/>
        <v>ja</v>
      </c>
      <c r="R111">
        <f t="shared" si="3"/>
        <v>93</v>
      </c>
    </row>
    <row r="112" spans="1:18" x14ac:dyDescent="0.45">
      <c r="A112" s="2" t="s">
        <v>543</v>
      </c>
      <c r="B112" s="2" t="s">
        <v>542</v>
      </c>
      <c r="C112">
        <f>IFERROR(VLOOKUP($B112,Miljövärden!$B$3:$H$553,MATCH(C$2,Miljövärden!$B$2:$H$2,0),FALSE),"Saknas")</f>
        <v>1.4734</v>
      </c>
      <c r="D112">
        <f>IFERROR(VLOOKUP($B112,Miljövärden!$B$3:$H$553,MATCH(D$2,Miljövärden!$B$2:$H$2,0),FALSE),"Saknas")</f>
        <v>542.23199999999997</v>
      </c>
      <c r="E112">
        <f>IFERROR(VLOOKUP($B112,Miljövärden!$B$3:$H$553,MATCH(E$2,Miljövärden!$B$2:$H$2,0),FALSE),"Saknas")</f>
        <v>54.581400000000002</v>
      </c>
      <c r="F112">
        <f>IFERROR(VLOOKUP($B112,Miljövärden!$B$3:$H$553,MATCH(F$2,Miljövärden!$B$2:$H$2,0),FALSE),"Saknas")</f>
        <v>4.4876899999999997E-2</v>
      </c>
      <c r="G112" t="str">
        <f>IFERROR(VLOOKUP($B112,Miljövärden!$B$3:$H$553,MATCH(G$2,Miljövärden!$B$2:$H$2,0),FALSE),"Nej, saknas")</f>
        <v>Ja</v>
      </c>
      <c r="H112" t="str">
        <f>IFERROR(VLOOKUP($B112,Miljövärden!$B$3:$H$553,MATCH(H$2,Miljövärden!$B$2:$H$2,0),FALSE),"Nej, saknas")</f>
        <v>Ja</v>
      </c>
      <c r="P112" t="str">
        <f t="shared" si="2"/>
        <v>ja</v>
      </c>
      <c r="R112">
        <f t="shared" si="3"/>
        <v>94</v>
      </c>
    </row>
    <row r="113" spans="1:18" x14ac:dyDescent="0.45">
      <c r="A113" s="2" t="s">
        <v>538</v>
      </c>
      <c r="B113" s="2" t="s">
        <v>541</v>
      </c>
      <c r="C113">
        <f>IFERROR(VLOOKUP($B113,Miljövärden!$B$3:$H$553,MATCH(C$2,Miljövärden!$B$2:$H$2,0),FALSE),"Saknas")</f>
        <v>0.121534</v>
      </c>
      <c r="D113">
        <f>IFERROR(VLOOKUP($B113,Miljövärden!$B$3:$H$553,MATCH(D$2,Miljövärden!$B$2:$H$2,0),FALSE),"Saknas")</f>
        <v>15.8735</v>
      </c>
      <c r="E113">
        <f>IFERROR(VLOOKUP($B113,Miljövärden!$B$3:$H$553,MATCH(E$2,Miljövärden!$B$2:$H$2,0),FALSE),"Saknas")</f>
        <v>7.2686000000000002</v>
      </c>
      <c r="F113">
        <f>IFERROR(VLOOKUP($B113,Miljövärden!$B$3:$H$553,MATCH(F$2,Miljövärden!$B$2:$H$2,0),FALSE),"Saknas")</f>
        <v>1.951E-2</v>
      </c>
      <c r="G113" t="str">
        <f>IFERROR(VLOOKUP($B113,Miljövärden!$B$3:$H$553,MATCH(G$2,Miljövärden!$B$2:$H$2,0),FALSE),"Nej, saknas")</f>
        <v>Ja</v>
      </c>
      <c r="H113" t="str">
        <f>IFERROR(VLOOKUP($B113,Miljövärden!$B$3:$H$553,MATCH(H$2,Miljövärden!$B$2:$H$2,0),FALSE),"Nej, saknas")</f>
        <v>Ja</v>
      </c>
      <c r="P113" t="str">
        <f t="shared" si="2"/>
        <v>ja</v>
      </c>
      <c r="R113">
        <f t="shared" si="3"/>
        <v>95</v>
      </c>
    </row>
    <row r="114" spans="1:18" x14ac:dyDescent="0.45">
      <c r="A114" s="2" t="s">
        <v>538</v>
      </c>
      <c r="B114" s="2" t="s">
        <v>540</v>
      </c>
      <c r="C114">
        <f>IFERROR(VLOOKUP($B114,Miljövärden!$B$3:$H$553,MATCH(C$2,Miljövärden!$B$2:$H$2,0),FALSE),"Saknas")</f>
        <v>9.0032899999999999E-2</v>
      </c>
      <c r="D114">
        <f>IFERROR(VLOOKUP($B114,Miljövärden!$B$3:$H$553,MATCH(D$2,Miljövärden!$B$2:$H$2,0),FALSE),"Saknas")</f>
        <v>10.443300000000001</v>
      </c>
      <c r="E114">
        <f>IFERROR(VLOOKUP($B114,Miljövärden!$B$3:$H$553,MATCH(E$2,Miljövärden!$B$2:$H$2,0),FALSE),"Saknas")</f>
        <v>9.6006300000000007</v>
      </c>
      <c r="F114">
        <f>IFERROR(VLOOKUP($B114,Miljövärden!$B$3:$H$553,MATCH(F$2,Miljövärden!$B$2:$H$2,0),FALSE),"Saknas")</f>
        <v>1.3954599999999999E-2</v>
      </c>
      <c r="G114" t="str">
        <f>IFERROR(VLOOKUP($B114,Miljövärden!$B$3:$H$553,MATCH(G$2,Miljövärden!$B$2:$H$2,0),FALSE),"Nej, saknas")</f>
        <v>Nej</v>
      </c>
      <c r="H114" t="str">
        <f>IFERROR(VLOOKUP($B114,Miljövärden!$B$3:$H$553,MATCH(H$2,Miljövärden!$B$2:$H$2,0),FALSE),"Nej, saknas")</f>
        <v>Ja</v>
      </c>
      <c r="P114" t="str">
        <f t="shared" si="2"/>
        <v>ja</v>
      </c>
      <c r="R114">
        <f t="shared" si="3"/>
        <v>96</v>
      </c>
    </row>
    <row r="115" spans="1:18" x14ac:dyDescent="0.45">
      <c r="A115" s="2" t="s">
        <v>538</v>
      </c>
      <c r="B115" s="2" t="s">
        <v>539</v>
      </c>
      <c r="C115">
        <f>IFERROR(VLOOKUP($B115,Miljövärden!$B$3:$H$553,MATCH(C$2,Miljövärden!$B$2:$H$2,0),FALSE),"Saknas")</f>
        <v>8.5339300000000007E-2</v>
      </c>
      <c r="D115">
        <f>IFERROR(VLOOKUP($B115,Miljövärden!$B$3:$H$553,MATCH(D$2,Miljövärden!$B$2:$H$2,0),FALSE),"Saknas")</f>
        <v>11.0143</v>
      </c>
      <c r="E115">
        <f>IFERROR(VLOOKUP($B115,Miljövärden!$B$3:$H$553,MATCH(E$2,Miljövärden!$B$2:$H$2,0),FALSE),"Saknas")</f>
        <v>8.9383900000000001</v>
      </c>
      <c r="F115">
        <f>IFERROR(VLOOKUP($B115,Miljövärden!$B$3:$H$553,MATCH(F$2,Miljövärden!$B$2:$H$2,0),FALSE),"Saknas")</f>
        <v>1.82013E-2</v>
      </c>
      <c r="G115" t="str">
        <f>IFERROR(VLOOKUP($B115,Miljövärden!$B$3:$H$553,MATCH(G$2,Miljövärden!$B$2:$H$2,0),FALSE),"Nej, saknas")</f>
        <v>Nej</v>
      </c>
      <c r="H115" t="str">
        <f>IFERROR(VLOOKUP($B115,Miljövärden!$B$3:$H$553,MATCH(H$2,Miljövärden!$B$2:$H$2,0),FALSE),"Nej, saknas")</f>
        <v>Ja</v>
      </c>
      <c r="P115" t="str">
        <f t="shared" si="2"/>
        <v>ja</v>
      </c>
      <c r="R115">
        <f t="shared" si="3"/>
        <v>97</v>
      </c>
    </row>
    <row r="116" spans="1:18" x14ac:dyDescent="0.45">
      <c r="A116" s="2" t="s">
        <v>538</v>
      </c>
      <c r="B116" s="2" t="s">
        <v>537</v>
      </c>
      <c r="C116">
        <f>IFERROR(VLOOKUP($B116,Miljövärden!$B$3:$H$553,MATCH(C$2,Miljövärden!$B$2:$H$2,0),FALSE),"Saknas")</f>
        <v>0.11283600000000001</v>
      </c>
      <c r="D116">
        <f>IFERROR(VLOOKUP($B116,Miljövärden!$B$3:$H$553,MATCH(D$2,Miljövärden!$B$2:$H$2,0),FALSE),"Saknas")</f>
        <v>12.3393</v>
      </c>
      <c r="E116">
        <f>IFERROR(VLOOKUP($B116,Miljövärden!$B$3:$H$553,MATCH(E$2,Miljövärden!$B$2:$H$2,0),FALSE),"Saknas")</f>
        <v>7.8046199999999999</v>
      </c>
      <c r="F116">
        <f>IFERROR(VLOOKUP($B116,Miljövärden!$B$3:$H$553,MATCH(F$2,Miljövärden!$B$2:$H$2,0),FALSE),"Saknas")</f>
        <v>2.5301899999999999E-2</v>
      </c>
      <c r="G116" t="str">
        <f>IFERROR(VLOOKUP($B116,Miljövärden!$B$3:$H$553,MATCH(G$2,Miljövärden!$B$2:$H$2,0),FALSE),"Nej, saknas")</f>
        <v>Nej</v>
      </c>
      <c r="H116" t="str">
        <f>IFERROR(VLOOKUP($B116,Miljövärden!$B$3:$H$553,MATCH(H$2,Miljövärden!$B$2:$H$2,0),FALSE),"Nej, saknas")</f>
        <v>Ja</v>
      </c>
      <c r="P116" t="str">
        <f t="shared" si="2"/>
        <v>ja</v>
      </c>
      <c r="R116">
        <f t="shared" si="3"/>
        <v>98</v>
      </c>
    </row>
    <row r="117" spans="1:18" x14ac:dyDescent="0.45">
      <c r="A117" s="2" t="s">
        <v>536</v>
      </c>
      <c r="B117" s="2" t="s">
        <v>74</v>
      </c>
      <c r="C117">
        <f>IFERROR(VLOOKUP($B117,Miljövärden!$B$3:$H$553,MATCH(C$2,Miljövärden!$B$2:$H$2,0),FALSE),"Saknas")</f>
        <v>0</v>
      </c>
      <c r="D117">
        <f>IFERROR(VLOOKUP($B117,Miljövärden!$B$3:$H$553,MATCH(D$2,Miljövärden!$B$2:$H$2,0),FALSE),"Saknas")</f>
        <v>0</v>
      </c>
      <c r="E117">
        <f>IFERROR(VLOOKUP($B117,Miljövärden!$B$3:$H$553,MATCH(E$2,Miljövärden!$B$2:$H$2,0),FALSE),"Saknas")</f>
        <v>0</v>
      </c>
      <c r="F117">
        <f>IFERROR(VLOOKUP($B117,Miljövärden!$B$3:$H$553,MATCH(F$2,Miljövärden!$B$2:$H$2,0),FALSE),"Saknas")</f>
        <v>0</v>
      </c>
      <c r="G117" t="str">
        <f>IFERROR(VLOOKUP($B117,Miljövärden!$B$3:$H$553,MATCH(G$2,Miljövärden!$B$2:$H$2,0),FALSE),"Nej, saknas")</f>
        <v>Nej</v>
      </c>
      <c r="H117" t="str">
        <f>IFERROR(VLOOKUP($B117,Miljövärden!$B$3:$H$553,MATCH(H$2,Miljövärden!$B$2:$H$2,0),FALSE),"Nej, saknas")</f>
        <v>Nej</v>
      </c>
      <c r="P117" t="str">
        <f t="shared" si="2"/>
        <v>nej</v>
      </c>
      <c r="R117">
        <f t="shared" si="3"/>
        <v>98</v>
      </c>
    </row>
    <row r="118" spans="1:18" x14ac:dyDescent="0.45">
      <c r="A118" s="2" t="s">
        <v>535</v>
      </c>
      <c r="B118" s="2" t="s">
        <v>534</v>
      </c>
      <c r="C118">
        <f>IFERROR(VLOOKUP($B118,Miljövärden!$B$3:$H$553,MATCH(C$2,Miljövärden!$B$2:$H$2,0),FALSE),"Saknas")</f>
        <v>8.1268300000000002E-2</v>
      </c>
      <c r="D118">
        <f>IFERROR(VLOOKUP($B118,Miljövärden!$B$3:$H$553,MATCH(D$2,Miljövärden!$B$2:$H$2,0),FALSE),"Saknas")</f>
        <v>8.4182100000000002</v>
      </c>
      <c r="E118">
        <f>IFERROR(VLOOKUP($B118,Miljövärden!$B$3:$H$553,MATCH(E$2,Miljövärden!$B$2:$H$2,0),FALSE),"Saknas")</f>
        <v>9.2304899999999996</v>
      </c>
      <c r="F118">
        <f>IFERROR(VLOOKUP($B118,Miljövärden!$B$3:$H$553,MATCH(F$2,Miljövärden!$B$2:$H$2,0),FALSE),"Saknas")</f>
        <v>8.2029400000000006E-3</v>
      </c>
      <c r="G118" t="str">
        <f>IFERROR(VLOOKUP($B118,Miljövärden!$B$3:$H$553,MATCH(G$2,Miljövärden!$B$2:$H$2,0),FALSE),"Nej, saknas")</f>
        <v>Ja</v>
      </c>
      <c r="H118" t="str">
        <f>IFERROR(VLOOKUP($B118,Miljövärden!$B$3:$H$553,MATCH(H$2,Miljövärden!$B$2:$H$2,0),FALSE),"Nej, saknas")</f>
        <v>Ja</v>
      </c>
      <c r="P118" t="str">
        <f t="shared" si="2"/>
        <v>ja</v>
      </c>
      <c r="R118">
        <f t="shared" si="3"/>
        <v>99</v>
      </c>
    </row>
    <row r="119" spans="1:18" x14ac:dyDescent="0.45">
      <c r="A119" s="2" t="s">
        <v>533</v>
      </c>
      <c r="B119" s="2" t="s">
        <v>532</v>
      </c>
      <c r="C119">
        <f>IFERROR(VLOOKUP($B119,Miljövärden!$B$3:$H$553,MATCH(C$2,Miljövärden!$B$2:$H$2,0),FALSE),"Saknas")</f>
        <v>0.15975500000000001</v>
      </c>
      <c r="D119">
        <f>IFERROR(VLOOKUP($B119,Miljövärden!$B$3:$H$553,MATCH(D$2,Miljövärden!$B$2:$H$2,0),FALSE),"Saknas")</f>
        <v>51.645499999999998</v>
      </c>
      <c r="E119">
        <f>IFERROR(VLOOKUP($B119,Miljövärden!$B$3:$H$553,MATCH(E$2,Miljövärden!$B$2:$H$2,0),FALSE),"Saknas")</f>
        <v>9.3951700000000002</v>
      </c>
      <c r="F119">
        <f>IFERROR(VLOOKUP($B119,Miljövärden!$B$3:$H$553,MATCH(F$2,Miljövärden!$B$2:$H$2,0),FALSE),"Saknas")</f>
        <v>8.58978E-3</v>
      </c>
      <c r="G119" t="str">
        <f>IFERROR(VLOOKUP($B119,Miljövärden!$B$3:$H$553,MATCH(G$2,Miljövärden!$B$2:$H$2,0),FALSE),"Nej, saknas")</f>
        <v>Ja</v>
      </c>
      <c r="H119" t="str">
        <f>IFERROR(VLOOKUP($B119,Miljövärden!$B$3:$H$553,MATCH(H$2,Miljövärden!$B$2:$H$2,0),FALSE),"Nej, saknas")</f>
        <v>Ja</v>
      </c>
      <c r="P119" t="str">
        <f t="shared" si="2"/>
        <v>ja</v>
      </c>
      <c r="R119">
        <f t="shared" si="3"/>
        <v>100</v>
      </c>
    </row>
    <row r="120" spans="1:18" x14ac:dyDescent="0.45">
      <c r="A120" s="2" t="s">
        <v>530</v>
      </c>
      <c r="B120" s="2" t="s">
        <v>531</v>
      </c>
      <c r="C120">
        <f>IFERROR(VLOOKUP($B120,Miljövärden!$B$3:$H$553,MATCH(C$2,Miljövärden!$B$2:$H$2,0),FALSE),"Saknas")</f>
        <v>8.7597700000000001E-2</v>
      </c>
      <c r="D120">
        <f>IFERROR(VLOOKUP($B120,Miljövärden!$B$3:$H$553,MATCH(D$2,Miljövärden!$B$2:$H$2,0),FALSE),"Saknas")</f>
        <v>88.103899999999996</v>
      </c>
      <c r="E120">
        <f>IFERROR(VLOOKUP($B120,Miljövärden!$B$3:$H$553,MATCH(E$2,Miljövärden!$B$2:$H$2,0),FALSE),"Saknas")</f>
        <v>5.4176900000000003</v>
      </c>
      <c r="F120">
        <f>IFERROR(VLOOKUP($B120,Miljövärden!$B$3:$H$553,MATCH(F$2,Miljövärden!$B$2:$H$2,0),FALSE),"Saknas")</f>
        <v>0</v>
      </c>
      <c r="G120" t="str">
        <f>IFERROR(VLOOKUP($B120,Miljövärden!$B$3:$H$553,MATCH(G$2,Miljövärden!$B$2:$H$2,0),FALSE),"Nej, saknas")</f>
        <v>Ja</v>
      </c>
      <c r="H120" t="str">
        <f>IFERROR(VLOOKUP($B120,Miljövärden!$B$3:$H$553,MATCH(H$2,Miljövärden!$B$2:$H$2,0),FALSE),"Nej, saknas")</f>
        <v>Ja</v>
      </c>
      <c r="P120" t="str">
        <f t="shared" si="2"/>
        <v>ja</v>
      </c>
      <c r="R120">
        <f t="shared" si="3"/>
        <v>101</v>
      </c>
    </row>
    <row r="121" spans="1:18" x14ac:dyDescent="0.45">
      <c r="A121" s="2" t="s">
        <v>530</v>
      </c>
      <c r="B121" s="2" t="s">
        <v>529</v>
      </c>
      <c r="C121">
        <f>IFERROR(VLOOKUP($B121,Miljövärden!$B$3:$H$553,MATCH(C$2,Miljövärden!$B$2:$H$2,0),FALSE),"Saknas")</f>
        <v>8.38343E-2</v>
      </c>
      <c r="D121">
        <f>IFERROR(VLOOKUP($B121,Miljövärden!$B$3:$H$553,MATCH(D$2,Miljövärden!$B$2:$H$2,0),FALSE),"Saknas")</f>
        <v>5.6291500000000001</v>
      </c>
      <c r="E121">
        <f>IFERROR(VLOOKUP($B121,Miljövärden!$B$3:$H$553,MATCH(E$2,Miljövärden!$B$2:$H$2,0),FALSE),"Saknas")</f>
        <v>9.8923100000000002</v>
      </c>
      <c r="F121">
        <f>IFERROR(VLOOKUP($B121,Miljövärden!$B$3:$H$553,MATCH(F$2,Miljövärden!$B$2:$H$2,0),FALSE),"Saknas")</f>
        <v>0</v>
      </c>
      <c r="G121" t="str">
        <f>IFERROR(VLOOKUP($B121,Miljövärden!$B$3:$H$553,MATCH(G$2,Miljövärden!$B$2:$H$2,0),FALSE),"Nej, saknas")</f>
        <v>Ja</v>
      </c>
      <c r="H121" t="str">
        <f>IFERROR(VLOOKUP($B121,Miljövärden!$B$3:$H$553,MATCH(H$2,Miljövärden!$B$2:$H$2,0),FALSE),"Nej, saknas")</f>
        <v>Ja</v>
      </c>
      <c r="P121" t="str">
        <f t="shared" si="2"/>
        <v>ja</v>
      </c>
      <c r="R121">
        <f t="shared" si="3"/>
        <v>102</v>
      </c>
    </row>
    <row r="122" spans="1:18" x14ac:dyDescent="0.45">
      <c r="A122" s="2" t="s">
        <v>528</v>
      </c>
      <c r="B122" s="2" t="s">
        <v>527</v>
      </c>
      <c r="C122">
        <f>IFERROR(VLOOKUP($B122,Miljövärden!$B$3:$H$553,MATCH(C$2,Miljövärden!$B$2:$H$2,0),FALSE),"Saknas")</f>
        <v>1.9837400000000002E-2</v>
      </c>
      <c r="D122">
        <f>IFERROR(VLOOKUP($B122,Miljövärden!$B$3:$H$553,MATCH(D$2,Miljövärden!$B$2:$H$2,0),FALSE),"Saknas")</f>
        <v>0.25469000000000003</v>
      </c>
      <c r="E122">
        <f>IFERROR(VLOOKUP($B122,Miljövärden!$B$3:$H$553,MATCH(E$2,Miljövärden!$B$2:$H$2,0),FALSE),"Saknas")</f>
        <v>1.0160899999999999</v>
      </c>
      <c r="F122">
        <f>IFERROR(VLOOKUP($B122,Miljövärden!$B$3:$H$553,MATCH(F$2,Miljövärden!$B$2:$H$2,0),FALSE),"Saknas")</f>
        <v>2.8925499999999999E-6</v>
      </c>
      <c r="G122" t="str">
        <f>IFERROR(VLOOKUP($B122,Miljövärden!$B$3:$H$553,MATCH(G$2,Miljövärden!$B$2:$H$2,0),FALSE),"Nej, saknas")</f>
        <v>Ja</v>
      </c>
      <c r="H122" t="str">
        <f>IFERROR(VLOOKUP($B122,Miljövärden!$B$3:$H$553,MATCH(H$2,Miljövärden!$B$2:$H$2,0),FALSE),"Nej, saknas")</f>
        <v>Ja</v>
      </c>
      <c r="P122" t="str">
        <f t="shared" si="2"/>
        <v>ja</v>
      </c>
      <c r="R122">
        <f t="shared" si="3"/>
        <v>103</v>
      </c>
    </row>
    <row r="123" spans="1:18" x14ac:dyDescent="0.45">
      <c r="A123" s="2" t="s">
        <v>526</v>
      </c>
      <c r="B123" s="2" t="s">
        <v>525</v>
      </c>
      <c r="C123">
        <f>IFERROR(VLOOKUP($B123,Miljövärden!$B$3:$H$553,MATCH(C$2,Miljövärden!$B$2:$H$2,0),FALSE),"Saknas")</f>
        <v>0.11052099999999999</v>
      </c>
      <c r="D123">
        <f>IFERROR(VLOOKUP($B123,Miljövärden!$B$3:$H$553,MATCH(D$2,Miljövärden!$B$2:$H$2,0),FALSE),"Saknas")</f>
        <v>9.3139000000000003</v>
      </c>
      <c r="E123">
        <f>IFERROR(VLOOKUP($B123,Miljövärden!$B$3:$H$553,MATCH(E$2,Miljövärden!$B$2:$H$2,0),FALSE),"Saknas")</f>
        <v>10.6411</v>
      </c>
      <c r="F123">
        <f>IFERROR(VLOOKUP($B123,Miljövärden!$B$3:$H$553,MATCH(F$2,Miljövärden!$B$2:$H$2,0),FALSE),"Saknas")</f>
        <v>1.1936199999999999E-2</v>
      </c>
      <c r="G123" t="str">
        <f>IFERROR(VLOOKUP($B123,Miljövärden!$B$3:$H$553,MATCH(G$2,Miljövärden!$B$2:$H$2,0),FALSE),"Nej, saknas")</f>
        <v>Nej</v>
      </c>
      <c r="H123" t="str">
        <f>IFERROR(VLOOKUP($B123,Miljövärden!$B$3:$H$553,MATCH(H$2,Miljövärden!$B$2:$H$2,0),FALSE),"Nej, saknas")</f>
        <v>Ja</v>
      </c>
      <c r="P123" t="str">
        <f t="shared" si="2"/>
        <v>ja</v>
      </c>
      <c r="R123">
        <f t="shared" si="3"/>
        <v>104</v>
      </c>
    </row>
    <row r="124" spans="1:18" x14ac:dyDescent="0.45">
      <c r="A124" s="2" t="s">
        <v>520</v>
      </c>
      <c r="B124" s="2" t="s">
        <v>524</v>
      </c>
      <c r="C124">
        <f>IFERROR(VLOOKUP($B124,Miljövärden!$B$3:$H$553,MATCH(C$2,Miljövärden!$B$2:$H$2,0),FALSE),"Saknas")</f>
        <v>0</v>
      </c>
      <c r="D124">
        <f>IFERROR(VLOOKUP($B124,Miljövärden!$B$3:$H$553,MATCH(D$2,Miljövärden!$B$2:$H$2,0),FALSE),"Saknas")</f>
        <v>0</v>
      </c>
      <c r="E124">
        <f>IFERROR(VLOOKUP($B124,Miljövärden!$B$3:$H$553,MATCH(E$2,Miljövärden!$B$2:$H$2,0),FALSE),"Saknas")</f>
        <v>0</v>
      </c>
      <c r="F124">
        <f>IFERROR(VLOOKUP($B124,Miljövärden!$B$3:$H$553,MATCH(F$2,Miljövärden!$B$2:$H$2,0),FALSE),"Saknas")</f>
        <v>0</v>
      </c>
      <c r="G124" t="str">
        <f>IFERROR(VLOOKUP($B124,Miljövärden!$B$3:$H$553,MATCH(G$2,Miljövärden!$B$2:$H$2,0),FALSE),"Nej, saknas")</f>
        <v>Nej</v>
      </c>
      <c r="H124" t="str">
        <f>IFERROR(VLOOKUP($B124,Miljövärden!$B$3:$H$553,MATCH(H$2,Miljövärden!$B$2:$H$2,0),FALSE),"Nej, saknas")</f>
        <v>Nej</v>
      </c>
      <c r="K124" t="s">
        <v>1529</v>
      </c>
      <c r="P124" t="str">
        <f t="shared" si="2"/>
        <v>nej</v>
      </c>
      <c r="R124">
        <f t="shared" si="3"/>
        <v>104</v>
      </c>
    </row>
    <row r="125" spans="1:18" x14ac:dyDescent="0.45">
      <c r="A125" s="2" t="s">
        <v>520</v>
      </c>
      <c r="B125" s="2" t="s">
        <v>523</v>
      </c>
      <c r="C125">
        <f>IFERROR(VLOOKUP($B125,Miljövärden!$B$3:$H$553,MATCH(C$2,Miljövärden!$B$2:$H$2,0),FALSE),"Saknas")</f>
        <v>0.123557</v>
      </c>
      <c r="D125">
        <f>IFERROR(VLOOKUP($B125,Miljövärden!$B$3:$H$553,MATCH(D$2,Miljövärden!$B$2:$H$2,0),FALSE),"Saknas")</f>
        <v>6.5609099999999998</v>
      </c>
      <c r="E125">
        <f>IFERROR(VLOOKUP($B125,Miljövärden!$B$3:$H$553,MATCH(E$2,Miljövärden!$B$2:$H$2,0),FALSE),"Saknas")</f>
        <v>12.4091</v>
      </c>
      <c r="F125">
        <f>IFERROR(VLOOKUP($B125,Miljövärden!$B$3:$H$553,MATCH(F$2,Miljövärden!$B$2:$H$2,0),FALSE),"Saknas")</f>
        <v>3.13408E-3</v>
      </c>
      <c r="G125" t="str">
        <f>IFERROR(VLOOKUP($B125,Miljövärden!$B$3:$H$553,MATCH(G$2,Miljövärden!$B$2:$H$2,0),FALSE),"Nej, saknas")</f>
        <v>Ja</v>
      </c>
      <c r="H125" t="str">
        <f>IFERROR(VLOOKUP($B125,Miljövärden!$B$3:$H$553,MATCH(H$2,Miljövärden!$B$2:$H$2,0),FALSE),"Nej, saknas")</f>
        <v>Ja</v>
      </c>
      <c r="P125" t="str">
        <f t="shared" si="2"/>
        <v>ja</v>
      </c>
      <c r="R125">
        <f t="shared" si="3"/>
        <v>105</v>
      </c>
    </row>
    <row r="126" spans="1:18" x14ac:dyDescent="0.45">
      <c r="A126" s="2" t="s">
        <v>520</v>
      </c>
      <c r="B126" s="2" t="s">
        <v>522</v>
      </c>
      <c r="C126">
        <f>IFERROR(VLOOKUP($B126,Miljövärden!$B$3:$H$553,MATCH(C$2,Miljövärden!$B$2:$H$2,0),FALSE),"Saknas")</f>
        <v>9.1511899999999993E-2</v>
      </c>
      <c r="D126">
        <f>IFERROR(VLOOKUP($B126,Miljövärden!$B$3:$H$553,MATCH(D$2,Miljövärden!$B$2:$H$2,0),FALSE),"Saknas")</f>
        <v>6.4403199999999998</v>
      </c>
      <c r="E126">
        <f>IFERROR(VLOOKUP($B126,Miljövärden!$B$3:$H$553,MATCH(E$2,Miljövärden!$B$2:$H$2,0),FALSE),"Saknas")</f>
        <v>11.061</v>
      </c>
      <c r="F126">
        <f>IFERROR(VLOOKUP($B126,Miljövärden!$B$3:$H$553,MATCH(F$2,Miljövärden!$B$2:$H$2,0),FALSE),"Saknas")</f>
        <v>2.2650999999999999E-3</v>
      </c>
      <c r="G126" t="str">
        <f>IFERROR(VLOOKUP($B126,Miljövärden!$B$3:$H$553,MATCH(G$2,Miljövärden!$B$2:$H$2,0),FALSE),"Nej, saknas")</f>
        <v>Ja</v>
      </c>
      <c r="H126" t="str">
        <f>IFERROR(VLOOKUP($B126,Miljövärden!$B$3:$H$553,MATCH(H$2,Miljövärden!$B$2:$H$2,0),FALSE),"Nej, saknas")</f>
        <v>Ja</v>
      </c>
      <c r="P126" t="str">
        <f t="shared" si="2"/>
        <v>ja</v>
      </c>
      <c r="R126">
        <f t="shared" si="3"/>
        <v>106</v>
      </c>
    </row>
    <row r="127" spans="1:18" x14ac:dyDescent="0.45">
      <c r="A127" s="2" t="s">
        <v>520</v>
      </c>
      <c r="B127" s="2" t="s">
        <v>521</v>
      </c>
      <c r="C127">
        <f>IFERROR(VLOOKUP($B127,Miljövärden!$B$3:$H$553,MATCH(C$2,Miljövärden!$B$2:$H$2,0),FALSE),"Saknas")</f>
        <v>8.8670499999999999E-2</v>
      </c>
      <c r="D127">
        <f>IFERROR(VLOOKUP($B127,Miljövärden!$B$3:$H$553,MATCH(D$2,Miljövärden!$B$2:$H$2,0),FALSE),"Saknas")</f>
        <v>16.424800000000001</v>
      </c>
      <c r="E127">
        <f>IFERROR(VLOOKUP($B127,Miljövärden!$B$3:$H$553,MATCH(E$2,Miljövärden!$B$2:$H$2,0),FALSE),"Saknas")</f>
        <v>5.8941600000000003</v>
      </c>
      <c r="F127">
        <f>IFERROR(VLOOKUP($B127,Miljövärden!$B$3:$H$553,MATCH(F$2,Miljövärden!$B$2:$H$2,0),FALSE),"Saknas")</f>
        <v>1.9775700000000001E-3</v>
      </c>
      <c r="G127" t="str">
        <f>IFERROR(VLOOKUP($B127,Miljövärden!$B$3:$H$553,MATCH(G$2,Miljövärden!$B$2:$H$2,0),FALSE),"Nej, saknas")</f>
        <v>Ja</v>
      </c>
      <c r="H127" t="str">
        <f>IFERROR(VLOOKUP($B127,Miljövärden!$B$3:$H$553,MATCH(H$2,Miljövärden!$B$2:$H$2,0),FALSE),"Nej, saknas")</f>
        <v>Ja</v>
      </c>
      <c r="P127" t="str">
        <f t="shared" si="2"/>
        <v>ja</v>
      </c>
      <c r="R127">
        <f t="shared" si="3"/>
        <v>107</v>
      </c>
    </row>
    <row r="128" spans="1:18" x14ac:dyDescent="0.45">
      <c r="A128" s="2" t="s">
        <v>520</v>
      </c>
      <c r="B128" s="2" t="s">
        <v>519</v>
      </c>
      <c r="C128">
        <f>IFERROR(VLOOKUP($B128,Miljövärden!$B$3:$H$553,MATCH(C$2,Miljövärden!$B$2:$H$2,0),FALSE),"Saknas")</f>
        <v>2.8805999999999998E-2</v>
      </c>
      <c r="D128">
        <f>IFERROR(VLOOKUP($B128,Miljövärden!$B$3:$H$553,MATCH(D$2,Miljövärden!$B$2:$H$2,0),FALSE),"Saknas")</f>
        <v>0</v>
      </c>
      <c r="E128">
        <f>IFERROR(VLOOKUP($B128,Miljövärden!$B$3:$H$553,MATCH(E$2,Miljövärden!$B$2:$H$2,0),FALSE),"Saknas")</f>
        <v>0</v>
      </c>
      <c r="F128">
        <f>IFERROR(VLOOKUP($B128,Miljövärden!$B$3:$H$553,MATCH(F$2,Miljövärden!$B$2:$H$2,0),FALSE),"Saknas")</f>
        <v>0</v>
      </c>
      <c r="G128" t="str">
        <f>IFERROR(VLOOKUP($B128,Miljövärden!$B$3:$H$553,MATCH(G$2,Miljövärden!$B$2:$H$2,0),FALSE),"Nej, saknas")</f>
        <v>Ja</v>
      </c>
      <c r="H128" t="str">
        <f>IFERROR(VLOOKUP($B128,Miljövärden!$B$3:$H$553,MATCH(H$2,Miljövärden!$B$2:$H$2,0),FALSE),"Nej, saknas")</f>
        <v>Ja</v>
      </c>
      <c r="P128" t="str">
        <f t="shared" si="2"/>
        <v>ja</v>
      </c>
      <c r="R128">
        <f t="shared" si="3"/>
        <v>108</v>
      </c>
    </row>
    <row r="129" spans="1:18" x14ac:dyDescent="0.45">
      <c r="A129" s="2" t="s">
        <v>518</v>
      </c>
      <c r="B129" s="2" t="s">
        <v>77</v>
      </c>
      <c r="C129">
        <f>IFERROR(VLOOKUP($B129,Miljövärden!$B$3:$H$553,MATCH(C$2,Miljövärden!$B$2:$H$2,0),FALSE),"Saknas")</f>
        <v>0.12773200000000001</v>
      </c>
      <c r="D129">
        <f>IFERROR(VLOOKUP($B129,Miljövärden!$B$3:$H$553,MATCH(D$2,Miljövärden!$B$2:$H$2,0),FALSE),"Saknas")</f>
        <v>14.814399999999999</v>
      </c>
      <c r="E129">
        <f>IFERROR(VLOOKUP($B129,Miljövärden!$B$3:$H$553,MATCH(E$2,Miljövärden!$B$2:$H$2,0),FALSE),"Saknas")</f>
        <v>10.567299999999999</v>
      </c>
      <c r="F129">
        <f>IFERROR(VLOOKUP($B129,Miljövärden!$B$3:$H$553,MATCH(F$2,Miljövärden!$B$2:$H$2,0),FALSE),"Saknas")</f>
        <v>1.2519799999999999E-2</v>
      </c>
      <c r="G129" t="str">
        <f>IFERROR(VLOOKUP($B129,Miljövärden!$B$3:$H$553,MATCH(G$2,Miljövärden!$B$2:$H$2,0),FALSE),"Nej, saknas")</f>
        <v>Nej</v>
      </c>
      <c r="H129" t="str">
        <f>IFERROR(VLOOKUP($B129,Miljövärden!$B$3:$H$553,MATCH(H$2,Miljövärden!$B$2:$H$2,0),FALSE),"Nej, saknas")</f>
        <v>Ja</v>
      </c>
      <c r="P129" t="str">
        <f t="shared" si="2"/>
        <v>ja</v>
      </c>
      <c r="R129">
        <f t="shared" si="3"/>
        <v>109</v>
      </c>
    </row>
    <row r="130" spans="1:18" x14ac:dyDescent="0.45">
      <c r="A130" s="2" t="s">
        <v>515</v>
      </c>
      <c r="B130" s="2" t="s">
        <v>517</v>
      </c>
      <c r="C130">
        <f>IFERROR(VLOOKUP($B130,Miljövärden!$B$3:$H$553,MATCH(C$2,Miljövärden!$B$2:$H$2,0),FALSE),"Saknas")</f>
        <v>0.111611</v>
      </c>
      <c r="D130">
        <f>IFERROR(VLOOKUP($B130,Miljövärden!$B$3:$H$553,MATCH(D$2,Miljövärden!$B$2:$H$2,0),FALSE),"Saknas")</f>
        <v>9.0844000000000005</v>
      </c>
      <c r="E130">
        <f>IFERROR(VLOOKUP($B130,Miljövärden!$B$3:$H$553,MATCH(E$2,Miljövärden!$B$2:$H$2,0),FALSE),"Saknas")</f>
        <v>9.0383600000000008</v>
      </c>
      <c r="F130">
        <f>IFERROR(VLOOKUP($B130,Miljövärden!$B$3:$H$553,MATCH(F$2,Miljövärden!$B$2:$H$2,0),FALSE),"Saknas")</f>
        <v>1.0344799999999999E-2</v>
      </c>
      <c r="G130" t="str">
        <f>IFERROR(VLOOKUP($B130,Miljövärden!$B$3:$H$553,MATCH(G$2,Miljövärden!$B$2:$H$2,0),FALSE),"Nej, saknas")</f>
        <v>Ja</v>
      </c>
      <c r="H130" t="str">
        <f>IFERROR(VLOOKUP($B130,Miljövärden!$B$3:$H$553,MATCH(H$2,Miljövärden!$B$2:$H$2,0),FALSE),"Nej, saknas")</f>
        <v>Ja</v>
      </c>
      <c r="P130" t="str">
        <f t="shared" si="2"/>
        <v>ja</v>
      </c>
      <c r="R130">
        <f t="shared" si="3"/>
        <v>110</v>
      </c>
    </row>
    <row r="131" spans="1:18" x14ac:dyDescent="0.45">
      <c r="A131" s="2" t="s">
        <v>515</v>
      </c>
      <c r="B131" s="2" t="s">
        <v>516</v>
      </c>
      <c r="C131">
        <f>IFERROR(VLOOKUP($B131,Miljövärden!$B$3:$H$553,MATCH(C$2,Miljövärden!$B$2:$H$2,0),FALSE),"Saknas")</f>
        <v>0.131276</v>
      </c>
      <c r="D131">
        <f>IFERROR(VLOOKUP($B131,Miljövärden!$B$3:$H$553,MATCH(D$2,Miljövärden!$B$2:$H$2,0),FALSE),"Saknas")</f>
        <v>56.921900000000001</v>
      </c>
      <c r="E131">
        <f>IFERROR(VLOOKUP($B131,Miljövärden!$B$3:$H$553,MATCH(E$2,Miljövärden!$B$2:$H$2,0),FALSE),"Saknas")</f>
        <v>4.6407400000000001</v>
      </c>
      <c r="F131">
        <f>IFERROR(VLOOKUP($B131,Miljövärden!$B$3:$H$553,MATCH(F$2,Miljövärden!$B$2:$H$2,0),FALSE),"Saknas")</f>
        <v>2.4362600000000002E-2</v>
      </c>
      <c r="G131" t="str">
        <f>IFERROR(VLOOKUP($B131,Miljövärden!$B$3:$H$553,MATCH(G$2,Miljövärden!$B$2:$H$2,0),FALSE),"Nej, saknas")</f>
        <v>Ja</v>
      </c>
      <c r="H131" t="str">
        <f>IFERROR(VLOOKUP($B131,Miljövärden!$B$3:$H$553,MATCH(H$2,Miljövärden!$B$2:$H$2,0),FALSE),"Nej, saknas")</f>
        <v>Ja</v>
      </c>
      <c r="P131" t="str">
        <f t="shared" si="2"/>
        <v>ja</v>
      </c>
      <c r="R131">
        <f t="shared" si="3"/>
        <v>111</v>
      </c>
    </row>
    <row r="132" spans="1:18" x14ac:dyDescent="0.45">
      <c r="A132" s="2" t="s">
        <v>515</v>
      </c>
      <c r="B132" s="2" t="s">
        <v>514</v>
      </c>
      <c r="C132">
        <f>IFERROR(VLOOKUP($B132,Miljövärden!$B$3:$H$553,MATCH(C$2,Miljövärden!$B$2:$H$2,0),FALSE),"Saknas")</f>
        <v>0.19362299999999999</v>
      </c>
      <c r="D132">
        <f>IFERROR(VLOOKUP($B132,Miljövärden!$B$3:$H$553,MATCH(D$2,Miljövärden!$B$2:$H$2,0),FALSE),"Saknas")</f>
        <v>9.6376799999999996</v>
      </c>
      <c r="E132">
        <f>IFERROR(VLOOKUP($B132,Miljövärden!$B$3:$H$553,MATCH(E$2,Miljövärden!$B$2:$H$2,0),FALSE),"Saknas")</f>
        <v>18.157900000000001</v>
      </c>
      <c r="F132">
        <f>IFERROR(VLOOKUP($B132,Miljövärden!$B$3:$H$553,MATCH(F$2,Miljövärden!$B$2:$H$2,0),FALSE),"Saknas")</f>
        <v>1.2987E-2</v>
      </c>
      <c r="G132" t="str">
        <f>IFERROR(VLOOKUP($B132,Miljövärden!$B$3:$H$553,MATCH(G$2,Miljövärden!$B$2:$H$2,0),FALSE),"Nej, saknas")</f>
        <v>Ja</v>
      </c>
      <c r="H132" t="str">
        <f>IFERROR(VLOOKUP($B132,Miljövärden!$B$3:$H$553,MATCH(H$2,Miljövärden!$B$2:$H$2,0),FALSE),"Nej, saknas")</f>
        <v>Ja</v>
      </c>
      <c r="P132" t="str">
        <f t="shared" si="2"/>
        <v>ja</v>
      </c>
      <c r="R132">
        <f t="shared" ref="R132:R195" si="4">IF(ISERROR(P132),R131,IF(P132="ja",R131+1,R131))</f>
        <v>112</v>
      </c>
    </row>
    <row r="133" spans="1:18" x14ac:dyDescent="0.45">
      <c r="A133" s="2" t="s">
        <v>513</v>
      </c>
      <c r="B133" s="2" t="s">
        <v>512</v>
      </c>
      <c r="C133">
        <f>IFERROR(VLOOKUP($B133,Miljövärden!$B$3:$H$553,MATCH(C$2,Miljövärden!$B$2:$H$2,0),FALSE),"Saknas")</f>
        <v>0.10427500000000001</v>
      </c>
      <c r="D133">
        <f>IFERROR(VLOOKUP($B133,Miljövärden!$B$3:$H$553,MATCH(D$2,Miljövärden!$B$2:$H$2,0),FALSE),"Saknas")</f>
        <v>7.0238399999999999</v>
      </c>
      <c r="E133">
        <f>IFERROR(VLOOKUP($B133,Miljövärden!$B$3:$H$553,MATCH(E$2,Miljövärden!$B$2:$H$2,0),FALSE),"Saknas")</f>
        <v>6.9589499999999997</v>
      </c>
      <c r="F133">
        <f>IFERROR(VLOOKUP($B133,Miljövärden!$B$3:$H$553,MATCH(F$2,Miljövärden!$B$2:$H$2,0),FALSE),"Saknas")</f>
        <v>1.29584E-2</v>
      </c>
      <c r="G133" t="str">
        <f>IFERROR(VLOOKUP($B133,Miljövärden!$B$3:$H$553,MATCH(G$2,Miljövärden!$B$2:$H$2,0),FALSE),"Nej, saknas")</f>
        <v>Ja</v>
      </c>
      <c r="H133" t="str">
        <f>IFERROR(VLOOKUP($B133,Miljövärden!$B$3:$H$553,MATCH(H$2,Miljövärden!$B$2:$H$2,0),FALSE),"Nej, saknas")</f>
        <v>Ja</v>
      </c>
      <c r="P133" t="str">
        <f t="shared" ref="P133:P196" si="5">IF(K133="x","nej",
IF(L133="x","ja",
IF(H133="ja","ja","nej")))</f>
        <v>ja</v>
      </c>
      <c r="R133">
        <f t="shared" si="4"/>
        <v>113</v>
      </c>
    </row>
    <row r="134" spans="1:18" x14ac:dyDescent="0.45">
      <c r="A134" s="2" t="s">
        <v>511</v>
      </c>
      <c r="B134" s="2" t="s">
        <v>80</v>
      </c>
      <c r="C134">
        <f>IFERROR(VLOOKUP($B134,Miljövärden!$B$3:$H$553,MATCH(C$2,Miljövärden!$B$2:$H$2,0),FALSE),"Saknas")</f>
        <v>0.140676</v>
      </c>
      <c r="D134">
        <f>IFERROR(VLOOKUP($B134,Miljövärden!$B$3:$H$553,MATCH(D$2,Miljövärden!$B$2:$H$2,0),FALSE),"Saknas")</f>
        <v>21.696999999999999</v>
      </c>
      <c r="E134">
        <f>IFERROR(VLOOKUP($B134,Miljövärden!$B$3:$H$553,MATCH(E$2,Miljövärden!$B$2:$H$2,0),FALSE),"Saknas")</f>
        <v>9.0973000000000006</v>
      </c>
      <c r="F134">
        <f>IFERROR(VLOOKUP($B134,Miljövärden!$B$3:$H$553,MATCH(F$2,Miljövärden!$B$2:$H$2,0),FALSE),"Saknas")</f>
        <v>3.6477900000000001E-2</v>
      </c>
      <c r="G134" t="str">
        <f>IFERROR(VLOOKUP($B134,Miljövärden!$B$3:$H$553,MATCH(G$2,Miljövärden!$B$2:$H$2,0),FALSE),"Nej, saknas")</f>
        <v>Nej</v>
      </c>
      <c r="H134" t="str">
        <f>IFERROR(VLOOKUP($B134,Miljövärden!$B$3:$H$553,MATCH(H$2,Miljövärden!$B$2:$H$2,0),FALSE),"Nej, saknas")</f>
        <v>Ja</v>
      </c>
      <c r="P134" t="str">
        <f t="shared" si="5"/>
        <v>ja</v>
      </c>
      <c r="R134">
        <f t="shared" si="4"/>
        <v>114</v>
      </c>
    </row>
    <row r="135" spans="1:18" x14ac:dyDescent="0.45">
      <c r="A135" s="2" t="s">
        <v>510</v>
      </c>
      <c r="B135" s="2" t="s">
        <v>509</v>
      </c>
      <c r="C135">
        <f>IFERROR(VLOOKUP($B135,Miljövärden!$B$3:$H$553,MATCH(C$2,Miljövärden!$B$2:$H$2,0),FALSE),"Saknas")</f>
        <v>8.4213900000000008E-3</v>
      </c>
      <c r="D135">
        <f>IFERROR(VLOOKUP($B135,Miljövärden!$B$3:$H$553,MATCH(D$2,Miljövärden!$B$2:$H$2,0),FALSE),"Saknas")</f>
        <v>0.60836500000000004</v>
      </c>
      <c r="E135">
        <f>IFERROR(VLOOKUP($B135,Miljövärden!$B$3:$H$553,MATCH(E$2,Miljövärden!$B$2:$H$2,0),FALSE),"Saknas")</f>
        <v>0.47080100000000003</v>
      </c>
      <c r="F135">
        <f>IFERROR(VLOOKUP($B135,Miljövärden!$B$3:$H$553,MATCH(F$2,Miljövärden!$B$2:$H$2,0),FALSE),"Saknas")</f>
        <v>1.6567400000000001E-3</v>
      </c>
      <c r="G135" t="str">
        <f>IFERROR(VLOOKUP($B135,Miljövärden!$B$3:$H$553,MATCH(G$2,Miljövärden!$B$2:$H$2,0),FALSE),"Nej, saknas")</f>
        <v>Ja</v>
      </c>
      <c r="H135" t="str">
        <f>IFERROR(VLOOKUP($B135,Miljövärden!$B$3:$H$553,MATCH(H$2,Miljövärden!$B$2:$H$2,0),FALSE),"Nej, saknas")</f>
        <v>Ja</v>
      </c>
      <c r="P135" t="str">
        <f t="shared" si="5"/>
        <v>ja</v>
      </c>
      <c r="R135">
        <f t="shared" si="4"/>
        <v>115</v>
      </c>
    </row>
    <row r="136" spans="1:18" x14ac:dyDescent="0.45">
      <c r="A136" s="2" t="s">
        <v>508</v>
      </c>
      <c r="B136" s="2" t="s">
        <v>83</v>
      </c>
      <c r="C136">
        <f>IFERROR(VLOOKUP($B136,Miljövärden!$B$3:$H$553,MATCH(C$2,Miljövärden!$B$2:$H$2,0),FALSE),"Saknas")</f>
        <v>0.290215</v>
      </c>
      <c r="D136">
        <f>IFERROR(VLOOKUP($B136,Miljövärden!$B$3:$H$553,MATCH(D$2,Miljövärden!$B$2:$H$2,0),FALSE),"Saknas")</f>
        <v>104.07299999999999</v>
      </c>
      <c r="E136">
        <f>IFERROR(VLOOKUP($B136,Miljövärden!$B$3:$H$553,MATCH(E$2,Miljövärden!$B$2:$H$2,0),FALSE),"Saknas")</f>
        <v>9.6360899999999994</v>
      </c>
      <c r="F136">
        <f>IFERROR(VLOOKUP($B136,Miljövärden!$B$3:$H$553,MATCH(F$2,Miljövärden!$B$2:$H$2,0),FALSE),"Saknas")</f>
        <v>3.6522399999999997E-2</v>
      </c>
      <c r="G136" t="str">
        <f>IFERROR(VLOOKUP($B136,Miljövärden!$B$3:$H$553,MATCH(G$2,Miljövärden!$B$2:$H$2,0),FALSE),"Nej, saknas")</f>
        <v>Ja</v>
      </c>
      <c r="H136" t="str">
        <f>IFERROR(VLOOKUP($B136,Miljövärden!$B$3:$H$553,MATCH(H$2,Miljövärden!$B$2:$H$2,0),FALSE),"Nej, saknas")</f>
        <v>Ja</v>
      </c>
      <c r="P136" t="str">
        <f t="shared" si="5"/>
        <v>ja</v>
      </c>
      <c r="R136">
        <f t="shared" si="4"/>
        <v>116</v>
      </c>
    </row>
    <row r="137" spans="1:18" x14ac:dyDescent="0.45">
      <c r="A137" s="2" t="s">
        <v>507</v>
      </c>
      <c r="B137" s="2" t="s">
        <v>506</v>
      </c>
      <c r="C137">
        <f>IFERROR(VLOOKUP($B137,Miljövärden!$B$3:$H$553,MATCH(C$2,Miljövärden!$B$2:$H$2,0),FALSE),"Saknas")</f>
        <v>9.1387899999999994E-2</v>
      </c>
      <c r="D137">
        <f>IFERROR(VLOOKUP($B137,Miljövärden!$B$3:$H$553,MATCH(D$2,Miljövärden!$B$2:$H$2,0),FALSE),"Saknas")</f>
        <v>39.746299999999998</v>
      </c>
      <c r="E137">
        <f>IFERROR(VLOOKUP($B137,Miljövärden!$B$3:$H$553,MATCH(E$2,Miljövärden!$B$2:$H$2,0),FALSE),"Saknas")</f>
        <v>5.1852600000000004</v>
      </c>
      <c r="F137">
        <f>IFERROR(VLOOKUP($B137,Miljövärden!$B$3:$H$553,MATCH(F$2,Miljövärden!$B$2:$H$2,0),FALSE),"Saknas")</f>
        <v>7.3903900000000002E-3</v>
      </c>
      <c r="G137" t="str">
        <f>IFERROR(VLOOKUP($B137,Miljövärden!$B$3:$H$553,MATCH(G$2,Miljövärden!$B$2:$H$2,0),FALSE),"Nej, saknas")</f>
        <v>Ja</v>
      </c>
      <c r="H137" t="str">
        <f>IFERROR(VLOOKUP($B137,Miljövärden!$B$3:$H$553,MATCH(H$2,Miljövärden!$B$2:$H$2,0),FALSE),"Nej, saknas")</f>
        <v>Ja</v>
      </c>
      <c r="P137" t="str">
        <f t="shared" si="5"/>
        <v>ja</v>
      </c>
      <c r="R137">
        <f t="shared" si="4"/>
        <v>117</v>
      </c>
    </row>
    <row r="138" spans="1:18" x14ac:dyDescent="0.45">
      <c r="A138" s="2" t="s">
        <v>505</v>
      </c>
      <c r="B138" s="2" t="s">
        <v>504</v>
      </c>
      <c r="C138">
        <f>IFERROR(VLOOKUP($B138,Miljövärden!$B$3:$H$553,MATCH(C$2,Miljövärden!$B$2:$H$2,0),FALSE),"Saknas")</f>
        <v>0.156939</v>
      </c>
      <c r="D138">
        <f>IFERROR(VLOOKUP($B138,Miljövärden!$B$3:$H$553,MATCH(D$2,Miljövärden!$B$2:$H$2,0),FALSE),"Saknas")</f>
        <v>6.38591</v>
      </c>
      <c r="E138">
        <f>IFERROR(VLOOKUP($B138,Miljövärden!$B$3:$H$553,MATCH(E$2,Miljövärden!$B$2:$H$2,0),FALSE),"Saknas")</f>
        <v>4.7751799999999998</v>
      </c>
      <c r="F138">
        <f>IFERROR(VLOOKUP($B138,Miljövärden!$B$3:$H$553,MATCH(F$2,Miljövärden!$B$2:$H$2,0),FALSE),"Saknas")</f>
        <v>3.6732499999999999E-3</v>
      </c>
      <c r="G138" t="str">
        <f>IFERROR(VLOOKUP($B138,Miljövärden!$B$3:$H$553,MATCH(G$2,Miljövärden!$B$2:$H$2,0),FALSE),"Nej, saknas")</f>
        <v>Ja</v>
      </c>
      <c r="H138" t="str">
        <f>IFERROR(VLOOKUP($B138,Miljövärden!$B$3:$H$553,MATCH(H$2,Miljövärden!$B$2:$H$2,0),FALSE),"Nej, saknas")</f>
        <v>Ja</v>
      </c>
      <c r="P138" t="str">
        <f t="shared" si="5"/>
        <v>ja</v>
      </c>
      <c r="R138">
        <f t="shared" si="4"/>
        <v>118</v>
      </c>
    </row>
    <row r="139" spans="1:18" x14ac:dyDescent="0.45">
      <c r="A139" s="2" t="s">
        <v>502</v>
      </c>
      <c r="B139" s="2" t="s">
        <v>503</v>
      </c>
      <c r="C139">
        <f>IFERROR(VLOOKUP($B139,Miljövärden!$B$3:$H$553,MATCH(C$2,Miljövärden!$B$2:$H$2,0),FALSE),"Saknas")</f>
        <v>0.17883299999999999</v>
      </c>
      <c r="D139">
        <f>IFERROR(VLOOKUP($B139,Miljövärden!$B$3:$H$553,MATCH(D$2,Miljövärden!$B$2:$H$2,0),FALSE),"Saknas")</f>
        <v>108.93899999999999</v>
      </c>
      <c r="E139">
        <f>IFERROR(VLOOKUP($B139,Miljövärden!$B$3:$H$553,MATCH(E$2,Miljövärden!$B$2:$H$2,0),FALSE),"Saknas")</f>
        <v>5.1144100000000003</v>
      </c>
      <c r="F139">
        <f>IFERROR(VLOOKUP($B139,Miljövärden!$B$3:$H$553,MATCH(F$2,Miljövärden!$B$2:$H$2,0),FALSE),"Saknas")</f>
        <v>5.6596300000000002E-2</v>
      </c>
      <c r="G139" t="str">
        <f>IFERROR(VLOOKUP($B139,Miljövärden!$B$3:$H$553,MATCH(G$2,Miljövärden!$B$2:$H$2,0),FALSE),"Nej, saknas")</f>
        <v>Ja</v>
      </c>
      <c r="H139" t="str">
        <f>IFERROR(VLOOKUP($B139,Miljövärden!$B$3:$H$553,MATCH(H$2,Miljövärden!$B$2:$H$2,0),FALSE),"Nej, saknas")</f>
        <v>Ja</v>
      </c>
      <c r="P139" t="str">
        <f t="shared" si="5"/>
        <v>ja</v>
      </c>
      <c r="R139">
        <f t="shared" si="4"/>
        <v>119</v>
      </c>
    </row>
    <row r="140" spans="1:18" x14ac:dyDescent="0.45">
      <c r="A140" s="2" t="s">
        <v>502</v>
      </c>
      <c r="B140" s="2" t="s">
        <v>501</v>
      </c>
      <c r="C140">
        <f>IFERROR(VLOOKUP($B140,Miljövärden!$B$3:$H$553,MATCH(C$2,Miljövärden!$B$2:$H$2,0),FALSE),"Saknas")</f>
        <v>0.345275</v>
      </c>
      <c r="D140">
        <f>IFERROR(VLOOKUP($B140,Miljövärden!$B$3:$H$553,MATCH(D$2,Miljövärden!$B$2:$H$2,0),FALSE),"Saknas")</f>
        <v>52.1952</v>
      </c>
      <c r="E140">
        <f>IFERROR(VLOOKUP($B140,Miljövärden!$B$3:$H$553,MATCH(E$2,Miljövärden!$B$2:$H$2,0),FALSE),"Saknas")</f>
        <v>13.795400000000001</v>
      </c>
      <c r="F140">
        <f>IFERROR(VLOOKUP($B140,Miljövärden!$B$3:$H$553,MATCH(F$2,Miljövärden!$B$2:$H$2,0),FALSE),"Saknas")</f>
        <v>0.10211000000000001</v>
      </c>
      <c r="G140" t="str">
        <f>IFERROR(VLOOKUP($B140,Miljövärden!$B$3:$H$553,MATCH(G$2,Miljövärden!$B$2:$H$2,0),FALSE),"Nej, saknas")</f>
        <v>Ja</v>
      </c>
      <c r="H140" t="str">
        <f>IFERROR(VLOOKUP($B140,Miljövärden!$B$3:$H$553,MATCH(H$2,Miljövärden!$B$2:$H$2,0),FALSE),"Nej, saknas")</f>
        <v>Ja</v>
      </c>
      <c r="P140" t="str">
        <f t="shared" si="5"/>
        <v>ja</v>
      </c>
      <c r="R140">
        <f t="shared" si="4"/>
        <v>120</v>
      </c>
    </row>
    <row r="141" spans="1:18" x14ac:dyDescent="0.45">
      <c r="A141" s="2" t="s">
        <v>498</v>
      </c>
      <c r="B141" s="2" t="s">
        <v>500</v>
      </c>
      <c r="C141">
        <f>IFERROR(VLOOKUP($B141,Miljövärden!$B$3:$H$553,MATCH(C$2,Miljövärden!$B$2:$H$2,0),FALSE),"Saknas")</f>
        <v>0.24697</v>
      </c>
      <c r="D141">
        <f>IFERROR(VLOOKUP($B141,Miljövärden!$B$3:$H$553,MATCH(D$2,Miljövärden!$B$2:$H$2,0),FALSE),"Saknas")</f>
        <v>5.4438599999999999</v>
      </c>
      <c r="E141">
        <f>IFERROR(VLOOKUP($B141,Miljövärden!$B$3:$H$553,MATCH(E$2,Miljövärden!$B$2:$H$2,0),FALSE),"Saknas")</f>
        <v>3.7704800000000001</v>
      </c>
      <c r="F141">
        <f>IFERROR(VLOOKUP($B141,Miljövärden!$B$3:$H$553,MATCH(F$2,Miljövärden!$B$2:$H$2,0),FALSE),"Saknas")</f>
        <v>0</v>
      </c>
      <c r="G141" t="str">
        <f>IFERROR(VLOOKUP($B141,Miljövärden!$B$3:$H$553,MATCH(G$2,Miljövärden!$B$2:$H$2,0),FALSE),"Nej, saknas")</f>
        <v>Ja</v>
      </c>
      <c r="H141" t="str">
        <f>IFERROR(VLOOKUP($B141,Miljövärden!$B$3:$H$553,MATCH(H$2,Miljövärden!$B$2:$H$2,0),FALSE),"Nej, saknas")</f>
        <v>Ja</v>
      </c>
      <c r="P141" t="str">
        <f t="shared" si="5"/>
        <v>ja</v>
      </c>
      <c r="R141">
        <f t="shared" si="4"/>
        <v>121</v>
      </c>
    </row>
    <row r="142" spans="1:18" x14ac:dyDescent="0.45">
      <c r="A142" s="2" t="s">
        <v>498</v>
      </c>
      <c r="B142" s="2" t="s">
        <v>497</v>
      </c>
      <c r="C142">
        <f>IFERROR(VLOOKUP($B142,Miljövärden!$B$3:$H$553,MATCH(C$2,Miljövärden!$B$2:$H$2,0),FALSE),"Saknas")</f>
        <v>0.14330899999999999</v>
      </c>
      <c r="D142">
        <f>IFERROR(VLOOKUP($B142,Miljövärden!$B$3:$H$553,MATCH(D$2,Miljövärden!$B$2:$H$2,0),FALSE),"Saknas")</f>
        <v>4.5735700000000001</v>
      </c>
      <c r="E142">
        <f>IFERROR(VLOOKUP($B142,Miljövärden!$B$3:$H$553,MATCH(E$2,Miljövärden!$B$2:$H$2,0),FALSE),"Saknas")</f>
        <v>11.2441</v>
      </c>
      <c r="F142">
        <f>IFERROR(VLOOKUP($B142,Miljövärden!$B$3:$H$553,MATCH(F$2,Miljövärden!$B$2:$H$2,0),FALSE),"Saknas")</f>
        <v>0</v>
      </c>
      <c r="G142" t="str">
        <f>IFERROR(VLOOKUP($B142,Miljövärden!$B$3:$H$553,MATCH(G$2,Miljövärden!$B$2:$H$2,0),FALSE),"Nej, saknas")</f>
        <v>Ja</v>
      </c>
      <c r="H142" t="str">
        <f>IFERROR(VLOOKUP($B142,Miljövärden!$B$3:$H$553,MATCH(H$2,Miljövärden!$B$2:$H$2,0),FALSE),"Nej, saknas")</f>
        <v>Ja</v>
      </c>
      <c r="P142" t="str">
        <f t="shared" si="5"/>
        <v>ja</v>
      </c>
      <c r="R142">
        <f t="shared" si="4"/>
        <v>122</v>
      </c>
    </row>
    <row r="143" spans="1:18" x14ac:dyDescent="0.45">
      <c r="A143" s="2" t="s">
        <v>493</v>
      </c>
      <c r="B143" s="2" t="s">
        <v>496</v>
      </c>
      <c r="C143">
        <f>IFERROR(VLOOKUP($B143,Miljövärden!$B$3:$H$553,MATCH(C$2,Miljövärden!$B$2:$H$2,0),FALSE),"Saknas")</f>
        <v>0.29650199999999999</v>
      </c>
      <c r="D143">
        <f>IFERROR(VLOOKUP($B143,Miljövärden!$B$3:$H$553,MATCH(D$2,Miljövärden!$B$2:$H$2,0),FALSE),"Saknas")</f>
        <v>43.240200000000002</v>
      </c>
      <c r="E143">
        <f>IFERROR(VLOOKUP($B143,Miljövärden!$B$3:$H$553,MATCH(E$2,Miljövärden!$B$2:$H$2,0),FALSE),"Saknas")</f>
        <v>17.495899999999999</v>
      </c>
      <c r="F143">
        <f>IFERROR(VLOOKUP($B143,Miljövärden!$B$3:$H$553,MATCH(F$2,Miljövärden!$B$2:$H$2,0),FALSE),"Saknas")</f>
        <v>0.123172</v>
      </c>
      <c r="G143" t="str">
        <f>IFERROR(VLOOKUP($B143,Miljövärden!$B$3:$H$553,MATCH(G$2,Miljövärden!$B$2:$H$2,0),FALSE),"Nej, saknas")</f>
        <v>Nej</v>
      </c>
      <c r="H143" t="str">
        <f>IFERROR(VLOOKUP($B143,Miljövärden!$B$3:$H$553,MATCH(H$2,Miljövärden!$B$2:$H$2,0),FALSE),"Nej, saknas")</f>
        <v>Ja</v>
      </c>
      <c r="P143" t="str">
        <f t="shared" si="5"/>
        <v>ja</v>
      </c>
      <c r="R143">
        <f t="shared" si="4"/>
        <v>123</v>
      </c>
    </row>
    <row r="144" spans="1:18" x14ac:dyDescent="0.45">
      <c r="A144" s="2" t="s">
        <v>493</v>
      </c>
      <c r="B144" s="2" t="s">
        <v>495</v>
      </c>
      <c r="C144">
        <f>IFERROR(VLOOKUP($B144,Miljövärden!$B$3:$H$553,MATCH(C$2,Miljövärden!$B$2:$H$2,0),FALSE),"Saknas")</f>
        <v>0.225494</v>
      </c>
      <c r="D144">
        <f>IFERROR(VLOOKUP($B144,Miljövärden!$B$3:$H$553,MATCH(D$2,Miljövärden!$B$2:$H$2,0),FALSE),"Saknas")</f>
        <v>23.189900000000002</v>
      </c>
      <c r="E144">
        <f>IFERROR(VLOOKUP($B144,Miljövärden!$B$3:$H$553,MATCH(E$2,Miljövärden!$B$2:$H$2,0),FALSE),"Saknas")</f>
        <v>17.2578</v>
      </c>
      <c r="F144">
        <f>IFERROR(VLOOKUP($B144,Miljövärden!$B$3:$H$553,MATCH(F$2,Miljövärden!$B$2:$H$2,0),FALSE),"Saknas")</f>
        <v>5.7416300000000003E-2</v>
      </c>
      <c r="G144" t="str">
        <f>IFERROR(VLOOKUP($B144,Miljövärden!$B$3:$H$553,MATCH(G$2,Miljövärden!$B$2:$H$2,0),FALSE),"Nej, saknas")</f>
        <v>Nej</v>
      </c>
      <c r="H144" t="str">
        <f>IFERROR(VLOOKUP($B144,Miljövärden!$B$3:$H$553,MATCH(H$2,Miljövärden!$B$2:$H$2,0),FALSE),"Nej, saknas")</f>
        <v>Ja</v>
      </c>
      <c r="P144" t="str">
        <f t="shared" si="5"/>
        <v>ja</v>
      </c>
      <c r="R144">
        <f t="shared" si="4"/>
        <v>124</v>
      </c>
    </row>
    <row r="145" spans="1:18" x14ac:dyDescent="0.45">
      <c r="A145" s="2" t="s">
        <v>493</v>
      </c>
      <c r="B145" s="2" t="s">
        <v>494</v>
      </c>
      <c r="C145">
        <f>IFERROR(VLOOKUP($B145,Miljövärden!$B$3:$H$553,MATCH(C$2,Miljövärden!$B$2:$H$2,0),FALSE),"Saknas")</f>
        <v>0.177263</v>
      </c>
      <c r="D145">
        <f>IFERROR(VLOOKUP($B145,Miljövärden!$B$3:$H$553,MATCH(D$2,Miljövärden!$B$2:$H$2,0),FALSE),"Saknas")</f>
        <v>9.8415700000000008</v>
      </c>
      <c r="E145">
        <f>IFERROR(VLOOKUP($B145,Miljövärden!$B$3:$H$553,MATCH(E$2,Miljövärden!$B$2:$H$2,0),FALSE),"Saknas")</f>
        <v>17.5624</v>
      </c>
      <c r="F145">
        <f>IFERROR(VLOOKUP($B145,Miljövärden!$B$3:$H$553,MATCH(F$2,Miljövärden!$B$2:$H$2,0),FALSE),"Saknas")</f>
        <v>1.4582700000000001E-2</v>
      </c>
      <c r="G145" t="str">
        <f>IFERROR(VLOOKUP($B145,Miljövärden!$B$3:$H$553,MATCH(G$2,Miljövärden!$B$2:$H$2,0),FALSE),"Nej, saknas")</f>
        <v>Nej</v>
      </c>
      <c r="H145" t="str">
        <f>IFERROR(VLOOKUP($B145,Miljövärden!$B$3:$H$553,MATCH(H$2,Miljövärden!$B$2:$H$2,0),FALSE),"Nej, saknas")</f>
        <v>Ja</v>
      </c>
      <c r="P145" t="str">
        <f t="shared" si="5"/>
        <v>ja</v>
      </c>
      <c r="R145">
        <f t="shared" si="4"/>
        <v>125</v>
      </c>
    </row>
    <row r="146" spans="1:18" x14ac:dyDescent="0.45">
      <c r="A146" s="2" t="s">
        <v>493</v>
      </c>
      <c r="B146" s="2" t="s">
        <v>492</v>
      </c>
      <c r="C146">
        <f>IFERROR(VLOOKUP($B146,Miljövärden!$B$3:$H$553,MATCH(C$2,Miljövärden!$B$2:$H$2,0),FALSE),"Saknas")</f>
        <v>9.8244799999999993E-2</v>
      </c>
      <c r="D146">
        <f>IFERROR(VLOOKUP($B146,Miljövärden!$B$3:$H$553,MATCH(D$2,Miljövärden!$B$2:$H$2,0),FALSE),"Saknas")</f>
        <v>21.082899999999999</v>
      </c>
      <c r="E146">
        <f>IFERROR(VLOOKUP($B146,Miljövärden!$B$3:$H$553,MATCH(E$2,Miljövärden!$B$2:$H$2,0),FALSE),"Saknas")</f>
        <v>9.8586399999999994</v>
      </c>
      <c r="F146">
        <f>IFERROR(VLOOKUP($B146,Miljövärden!$B$3:$H$553,MATCH(F$2,Miljövärden!$B$2:$H$2,0),FALSE),"Saknas")</f>
        <v>1.8906099999999999E-2</v>
      </c>
      <c r="G146" t="str">
        <f>IFERROR(VLOOKUP($B146,Miljövärden!$B$3:$H$553,MATCH(G$2,Miljövärden!$B$2:$H$2,0),FALSE),"Nej, saknas")</f>
        <v>Nej</v>
      </c>
      <c r="H146" t="str">
        <f>IFERROR(VLOOKUP($B146,Miljövärden!$B$3:$H$553,MATCH(H$2,Miljövärden!$B$2:$H$2,0),FALSE),"Nej, saknas")</f>
        <v>Ja</v>
      </c>
      <c r="P146" t="str">
        <f t="shared" si="5"/>
        <v>ja</v>
      </c>
      <c r="R146">
        <f t="shared" si="4"/>
        <v>126</v>
      </c>
    </row>
    <row r="147" spans="1:18" x14ac:dyDescent="0.45">
      <c r="A147" s="2" t="s">
        <v>490</v>
      </c>
      <c r="B147" s="2" t="s">
        <v>489</v>
      </c>
      <c r="C147">
        <f>IFERROR(VLOOKUP($B147,Miljövärden!$B$3:$H$553,MATCH(C$2,Miljövärden!$B$2:$H$2,0),FALSE),"Saknas")</f>
        <v>0.12531900000000001</v>
      </c>
      <c r="D147">
        <f>IFERROR(VLOOKUP($B147,Miljövärden!$B$3:$H$553,MATCH(D$2,Miljövärden!$B$2:$H$2,0),FALSE),"Saknas")</f>
        <v>101.54900000000001</v>
      </c>
      <c r="E147">
        <f>IFERROR(VLOOKUP($B147,Miljövärden!$B$3:$H$553,MATCH(E$2,Miljövärden!$B$2:$H$2,0),FALSE),"Saknas")</f>
        <v>4.4488500000000002</v>
      </c>
      <c r="F147">
        <f>IFERROR(VLOOKUP($B147,Miljövärden!$B$3:$H$553,MATCH(F$2,Miljövärden!$B$2:$H$2,0),FALSE),"Saknas")</f>
        <v>6.8107100000000002E-3</v>
      </c>
      <c r="G147" t="str">
        <f>IFERROR(VLOOKUP($B147,Miljövärden!$B$3:$H$553,MATCH(G$2,Miljövärden!$B$2:$H$2,0),FALSE),"Nej, saknas")</f>
        <v>Ja</v>
      </c>
      <c r="H147" t="str">
        <f>IFERROR(VLOOKUP($B147,Miljövärden!$B$3:$H$553,MATCH(H$2,Miljövärden!$B$2:$H$2,0),FALSE),"Nej, saknas")</f>
        <v>Ja</v>
      </c>
      <c r="P147" t="str">
        <f t="shared" si="5"/>
        <v>ja</v>
      </c>
      <c r="R147">
        <f t="shared" si="4"/>
        <v>127</v>
      </c>
    </row>
    <row r="148" spans="1:18" x14ac:dyDescent="0.45">
      <c r="A148" s="2" t="s">
        <v>480</v>
      </c>
      <c r="B148" s="2" t="s">
        <v>488</v>
      </c>
      <c r="C148">
        <f>IFERROR(VLOOKUP($B148,Miljövärden!$B$3:$H$553,MATCH(C$2,Miljövärden!$B$2:$H$2,0),FALSE),"Saknas")</f>
        <v>0.12034400000000001</v>
      </c>
      <c r="D148">
        <f>IFERROR(VLOOKUP($B148,Miljövärden!$B$3:$H$553,MATCH(D$2,Miljövärden!$B$2:$H$2,0),FALSE),"Saknas")</f>
        <v>19.857700000000001</v>
      </c>
      <c r="E148">
        <f>IFERROR(VLOOKUP($B148,Miljövärden!$B$3:$H$553,MATCH(E$2,Miljövärden!$B$2:$H$2,0),FALSE),"Saknas")</f>
        <v>11.1669</v>
      </c>
      <c r="F148">
        <f>IFERROR(VLOOKUP($B148,Miljövärden!$B$3:$H$553,MATCH(F$2,Miljövärden!$B$2:$H$2,0),FALSE),"Saknas")</f>
        <v>3.5147900000000003E-2</v>
      </c>
      <c r="G148" t="str">
        <f>IFERROR(VLOOKUP($B148,Miljövärden!$B$3:$H$553,MATCH(G$2,Miljövärden!$B$2:$H$2,0),FALSE),"Nej, saknas")</f>
        <v>Nej</v>
      </c>
      <c r="H148" t="str">
        <f>IFERROR(VLOOKUP($B148,Miljövärden!$B$3:$H$553,MATCH(H$2,Miljövärden!$B$2:$H$2,0),FALSE),"Nej, saknas")</f>
        <v>Ja</v>
      </c>
      <c r="P148" t="str">
        <f t="shared" si="5"/>
        <v>ja</v>
      </c>
      <c r="R148">
        <f t="shared" si="4"/>
        <v>128</v>
      </c>
    </row>
    <row r="149" spans="1:18" x14ac:dyDescent="0.45">
      <c r="A149" s="2" t="s">
        <v>480</v>
      </c>
      <c r="B149" s="2" t="s">
        <v>487</v>
      </c>
      <c r="C149">
        <f>IFERROR(VLOOKUP($B149,Miljövärden!$B$3:$H$553,MATCH(C$2,Miljövärden!$B$2:$H$2,0),FALSE),"Saknas")</f>
        <v>0.121863</v>
      </c>
      <c r="D149">
        <f>IFERROR(VLOOKUP($B149,Miljövärden!$B$3:$H$553,MATCH(D$2,Miljövärden!$B$2:$H$2,0),FALSE),"Saknas")</f>
        <v>21.770299999999999</v>
      </c>
      <c r="E149">
        <f>IFERROR(VLOOKUP($B149,Miljövärden!$B$3:$H$553,MATCH(E$2,Miljövärden!$B$2:$H$2,0),FALSE),"Saknas")</f>
        <v>10.7958</v>
      </c>
      <c r="F149">
        <f>IFERROR(VLOOKUP($B149,Miljövärden!$B$3:$H$553,MATCH(F$2,Miljövärden!$B$2:$H$2,0),FALSE),"Saknas")</f>
        <v>4.28645E-2</v>
      </c>
      <c r="G149" t="str">
        <f>IFERROR(VLOOKUP($B149,Miljövärden!$B$3:$H$553,MATCH(G$2,Miljövärden!$B$2:$H$2,0),FALSE),"Nej, saknas")</f>
        <v>Nej</v>
      </c>
      <c r="H149" t="str">
        <f>IFERROR(VLOOKUP($B149,Miljövärden!$B$3:$H$553,MATCH(H$2,Miljövärden!$B$2:$H$2,0),FALSE),"Nej, saknas")</f>
        <v>Ja</v>
      </c>
      <c r="P149" t="str">
        <f t="shared" si="5"/>
        <v>ja</v>
      </c>
      <c r="R149">
        <f t="shared" si="4"/>
        <v>129</v>
      </c>
    </row>
    <row r="150" spans="1:18" x14ac:dyDescent="0.45">
      <c r="A150" s="2" t="s">
        <v>480</v>
      </c>
      <c r="B150" s="2" t="s">
        <v>486</v>
      </c>
      <c r="C150">
        <f>IFERROR(VLOOKUP($B150,Miljövärden!$B$3:$H$553,MATCH(C$2,Miljövärden!$B$2:$H$2,0),FALSE),"Saknas")</f>
        <v>8.2961099999999996E-2</v>
      </c>
      <c r="D150">
        <f>IFERROR(VLOOKUP($B150,Miljövärden!$B$3:$H$553,MATCH(D$2,Miljövärden!$B$2:$H$2,0),FALSE),"Saknas")</f>
        <v>9.8305299999999995</v>
      </c>
      <c r="E150">
        <f>IFERROR(VLOOKUP($B150,Miljövärden!$B$3:$H$553,MATCH(E$2,Miljövärden!$B$2:$H$2,0),FALSE),"Saknas")</f>
        <v>10.67</v>
      </c>
      <c r="F150">
        <f>IFERROR(VLOOKUP($B150,Miljövärden!$B$3:$H$553,MATCH(F$2,Miljövärden!$B$2:$H$2,0),FALSE),"Saknas")</f>
        <v>9.6453200000000006E-3</v>
      </c>
      <c r="G150" t="str">
        <f>IFERROR(VLOOKUP($B150,Miljövärden!$B$3:$H$553,MATCH(G$2,Miljövärden!$B$2:$H$2,0),FALSE),"Nej, saknas")</f>
        <v>Nej</v>
      </c>
      <c r="H150" t="str">
        <f>IFERROR(VLOOKUP($B150,Miljövärden!$B$3:$H$553,MATCH(H$2,Miljövärden!$B$2:$H$2,0),FALSE),"Nej, saknas")</f>
        <v>Ja</v>
      </c>
      <c r="P150" t="str">
        <f t="shared" si="5"/>
        <v>ja</v>
      </c>
      <c r="R150">
        <f t="shared" si="4"/>
        <v>130</v>
      </c>
    </row>
    <row r="151" spans="1:18" x14ac:dyDescent="0.45">
      <c r="A151" s="2" t="s">
        <v>480</v>
      </c>
      <c r="B151" s="2" t="s">
        <v>485</v>
      </c>
      <c r="C151">
        <f>IFERROR(VLOOKUP($B151,Miljövärden!$B$3:$H$553,MATCH(C$2,Miljövärden!$B$2:$H$2,0),FALSE),"Saknas")</f>
        <v>0.208234</v>
      </c>
      <c r="D151">
        <f>IFERROR(VLOOKUP($B151,Miljövärden!$B$3:$H$553,MATCH(D$2,Miljövärden!$B$2:$H$2,0),FALSE),"Saknas")</f>
        <v>11.004300000000001</v>
      </c>
      <c r="E151">
        <f>IFERROR(VLOOKUP($B151,Miljövärden!$B$3:$H$553,MATCH(E$2,Miljövärden!$B$2:$H$2,0),FALSE),"Saknas")</f>
        <v>21.506</v>
      </c>
      <c r="F151">
        <f>IFERROR(VLOOKUP($B151,Miljövärden!$B$3:$H$553,MATCH(F$2,Miljövärden!$B$2:$H$2,0),FALSE),"Saknas")</f>
        <v>1.2E-2</v>
      </c>
      <c r="G151" t="str">
        <f>IFERROR(VLOOKUP($B151,Miljövärden!$B$3:$H$553,MATCH(G$2,Miljövärden!$B$2:$H$2,0),FALSE),"Nej, saknas")</f>
        <v>Nej</v>
      </c>
      <c r="H151" t="str">
        <f>IFERROR(VLOOKUP($B151,Miljövärden!$B$3:$H$553,MATCH(H$2,Miljövärden!$B$2:$H$2,0),FALSE),"Nej, saknas")</f>
        <v>Ja</v>
      </c>
      <c r="P151" t="str">
        <f t="shared" si="5"/>
        <v>ja</v>
      </c>
      <c r="R151">
        <f t="shared" si="4"/>
        <v>131</v>
      </c>
    </row>
    <row r="152" spans="1:18" x14ac:dyDescent="0.45">
      <c r="A152" s="2" t="s">
        <v>480</v>
      </c>
      <c r="B152" s="2" t="s">
        <v>484</v>
      </c>
      <c r="C152">
        <f>IFERROR(VLOOKUP($B152,Miljövärden!$B$3:$H$553,MATCH(C$2,Miljövärden!$B$2:$H$2,0),FALSE),"Saknas")</f>
        <v>0.75588</v>
      </c>
      <c r="D152">
        <f>IFERROR(VLOOKUP($B152,Miljövärden!$B$3:$H$553,MATCH(D$2,Miljövärden!$B$2:$H$2,0),FALSE),"Saknas")</f>
        <v>4.5566899999999997</v>
      </c>
      <c r="E152">
        <f>IFERROR(VLOOKUP($B152,Miljövärden!$B$3:$H$553,MATCH(E$2,Miljövärden!$B$2:$H$2,0),FALSE),"Saknas")</f>
        <v>28.852599999999999</v>
      </c>
      <c r="F152">
        <f>IFERROR(VLOOKUP($B152,Miljövärden!$B$3:$H$553,MATCH(F$2,Miljövärden!$B$2:$H$2,0),FALSE),"Saknas")</f>
        <v>0</v>
      </c>
      <c r="G152" t="str">
        <f>IFERROR(VLOOKUP($B152,Miljövärden!$B$3:$H$553,MATCH(G$2,Miljövärden!$B$2:$H$2,0),FALSE),"Nej, saknas")</f>
        <v>Nej</v>
      </c>
      <c r="H152" t="str">
        <f>IFERROR(VLOOKUP($B152,Miljövärden!$B$3:$H$553,MATCH(H$2,Miljövärden!$B$2:$H$2,0),FALSE),"Nej, saknas")</f>
        <v>Ja</v>
      </c>
      <c r="P152" t="str">
        <f t="shared" si="5"/>
        <v>ja</v>
      </c>
      <c r="R152">
        <f t="shared" si="4"/>
        <v>132</v>
      </c>
    </row>
    <row r="153" spans="1:18" x14ac:dyDescent="0.45">
      <c r="A153" s="2" t="s">
        <v>480</v>
      </c>
      <c r="B153" s="2" t="s">
        <v>483</v>
      </c>
      <c r="C153">
        <f>IFERROR(VLOOKUP($B153,Miljövärden!$B$3:$H$553,MATCH(C$2,Miljövärden!$B$2:$H$2,0),FALSE),"Saknas")</f>
        <v>0.66473300000000002</v>
      </c>
      <c r="D153">
        <f>IFERROR(VLOOKUP($B153,Miljövärden!$B$3:$H$553,MATCH(D$2,Miljövärden!$B$2:$H$2,0),FALSE),"Saknas")</f>
        <v>67.161000000000001</v>
      </c>
      <c r="E153">
        <f>IFERROR(VLOOKUP($B153,Miljövärden!$B$3:$H$553,MATCH(E$2,Miljövärden!$B$2:$H$2,0),FALSE),"Saknas")</f>
        <v>21.289400000000001</v>
      </c>
      <c r="F153">
        <f>IFERROR(VLOOKUP($B153,Miljövärden!$B$3:$H$553,MATCH(F$2,Miljövärden!$B$2:$H$2,0),FALSE),"Saknas")</f>
        <v>0.195217</v>
      </c>
      <c r="G153" t="str">
        <f>IFERROR(VLOOKUP($B153,Miljövärden!$B$3:$H$553,MATCH(G$2,Miljövärden!$B$2:$H$2,0),FALSE),"Nej, saknas")</f>
        <v>Nej</v>
      </c>
      <c r="H153" t="str">
        <f>IFERROR(VLOOKUP($B153,Miljövärden!$B$3:$H$553,MATCH(H$2,Miljövärden!$B$2:$H$2,0),FALSE),"Nej, saknas")</f>
        <v>Ja</v>
      </c>
      <c r="P153" t="str">
        <f t="shared" si="5"/>
        <v>ja</v>
      </c>
      <c r="R153">
        <f t="shared" si="4"/>
        <v>133</v>
      </c>
    </row>
    <row r="154" spans="1:18" x14ac:dyDescent="0.45">
      <c r="A154" s="2" t="s">
        <v>480</v>
      </c>
      <c r="B154" s="2" t="s">
        <v>482</v>
      </c>
      <c r="C154">
        <f>IFERROR(VLOOKUP($B154,Miljövärden!$B$3:$H$553,MATCH(C$2,Miljövärden!$B$2:$H$2,0),FALSE),"Saknas")</f>
        <v>7.9886399999999996E-2</v>
      </c>
      <c r="D154">
        <f>IFERROR(VLOOKUP($B154,Miljövärden!$B$3:$H$553,MATCH(D$2,Miljövärden!$B$2:$H$2,0),FALSE),"Saknas")</f>
        <v>9.0395500000000002</v>
      </c>
      <c r="E154">
        <f>IFERROR(VLOOKUP($B154,Miljövärden!$B$3:$H$553,MATCH(E$2,Miljövärden!$B$2:$H$2,0),FALSE),"Saknas")</f>
        <v>9.4245400000000004</v>
      </c>
      <c r="F154">
        <f>IFERROR(VLOOKUP($B154,Miljövärden!$B$3:$H$553,MATCH(F$2,Miljövärden!$B$2:$H$2,0),FALSE),"Saknas")</f>
        <v>1.0670600000000001E-2</v>
      </c>
      <c r="G154" t="str">
        <f>IFERROR(VLOOKUP($B154,Miljövärden!$B$3:$H$553,MATCH(G$2,Miljövärden!$B$2:$H$2,0),FALSE),"Nej, saknas")</f>
        <v>Nej</v>
      </c>
      <c r="H154" t="str">
        <f>IFERROR(VLOOKUP($B154,Miljövärden!$B$3:$H$553,MATCH(H$2,Miljövärden!$B$2:$H$2,0),FALSE),"Nej, saknas")</f>
        <v>Ja</v>
      </c>
      <c r="P154" t="str">
        <f t="shared" si="5"/>
        <v>ja</v>
      </c>
      <c r="R154">
        <f t="shared" si="4"/>
        <v>134</v>
      </c>
    </row>
    <row r="155" spans="1:18" x14ac:dyDescent="0.45">
      <c r="A155" s="2" t="s">
        <v>480</v>
      </c>
      <c r="B155" s="2" t="s">
        <v>481</v>
      </c>
      <c r="C155">
        <f>IFERROR(VLOOKUP($B155,Miljövärden!$B$3:$H$553,MATCH(C$2,Miljövärden!$B$2:$H$2,0),FALSE),"Saknas")</f>
        <v>6.7192199999999994E-2</v>
      </c>
      <c r="D155">
        <f>IFERROR(VLOOKUP($B155,Miljövärden!$B$3:$H$553,MATCH(D$2,Miljövärden!$B$2:$H$2,0),FALSE),"Saknas")</f>
        <v>6.51539</v>
      </c>
      <c r="E155">
        <f>IFERROR(VLOOKUP($B155,Miljövärden!$B$3:$H$553,MATCH(E$2,Miljövärden!$B$2:$H$2,0),FALSE),"Saknas")</f>
        <v>9.8535599999999999</v>
      </c>
      <c r="F155">
        <f>IFERROR(VLOOKUP($B155,Miljövärden!$B$3:$H$553,MATCH(F$2,Miljövärden!$B$2:$H$2,0),FALSE),"Saknas")</f>
        <v>2.5898700000000002E-3</v>
      </c>
      <c r="G155" t="str">
        <f>IFERROR(VLOOKUP($B155,Miljövärden!$B$3:$H$553,MATCH(G$2,Miljövärden!$B$2:$H$2,0),FALSE),"Nej, saknas")</f>
        <v>Nej</v>
      </c>
      <c r="H155" t="str">
        <f>IFERROR(VLOOKUP($B155,Miljövärden!$B$3:$H$553,MATCH(H$2,Miljövärden!$B$2:$H$2,0),FALSE),"Nej, saknas")</f>
        <v>Ja</v>
      </c>
      <c r="P155" t="str">
        <f t="shared" si="5"/>
        <v>ja</v>
      </c>
      <c r="R155">
        <f t="shared" si="4"/>
        <v>135</v>
      </c>
    </row>
    <row r="156" spans="1:18" x14ac:dyDescent="0.45">
      <c r="A156" s="2" t="s">
        <v>480</v>
      </c>
      <c r="B156" s="2" t="s">
        <v>479</v>
      </c>
      <c r="C156">
        <f>IFERROR(VLOOKUP($B156,Miljövärden!$B$3:$H$553,MATCH(C$2,Miljövärden!$B$2:$H$2,0),FALSE),"Saknas")</f>
        <v>7.3195399999999994E-2</v>
      </c>
      <c r="D156">
        <f>IFERROR(VLOOKUP($B156,Miljövärden!$B$3:$H$553,MATCH(D$2,Miljövärden!$B$2:$H$2,0),FALSE),"Saknas")</f>
        <v>6.9130900000000004</v>
      </c>
      <c r="E156">
        <f>IFERROR(VLOOKUP($B156,Miljövärden!$B$3:$H$553,MATCH(E$2,Miljövärden!$B$2:$H$2,0),FALSE),"Saknas")</f>
        <v>9.9774200000000004</v>
      </c>
      <c r="F156">
        <f>IFERROR(VLOOKUP($B156,Miljövärden!$B$3:$H$553,MATCH(F$2,Miljövärden!$B$2:$H$2,0),FALSE),"Saknas")</f>
        <v>3.2925099999999998E-3</v>
      </c>
      <c r="G156" t="str">
        <f>IFERROR(VLOOKUP($B156,Miljövärden!$B$3:$H$553,MATCH(G$2,Miljövärden!$B$2:$H$2,0),FALSE),"Nej, saknas")</f>
        <v>Nej</v>
      </c>
      <c r="H156" t="str">
        <f>IFERROR(VLOOKUP($B156,Miljövärden!$B$3:$H$553,MATCH(H$2,Miljövärden!$B$2:$H$2,0),FALSE),"Nej, saknas")</f>
        <v>Ja</v>
      </c>
      <c r="P156" t="str">
        <f t="shared" si="5"/>
        <v>ja</v>
      </c>
      <c r="R156">
        <f t="shared" si="4"/>
        <v>136</v>
      </c>
    </row>
    <row r="157" spans="1:18" x14ac:dyDescent="0.45">
      <c r="A157" s="2" t="s">
        <v>478</v>
      </c>
      <c r="B157" s="2" t="s">
        <v>477</v>
      </c>
      <c r="C157">
        <f>IFERROR(VLOOKUP($B157,Miljövärden!$B$3:$H$553,MATCH(C$2,Miljövärden!$B$2:$H$2,0),FALSE),"Saknas")</f>
        <v>0.192055</v>
      </c>
      <c r="D157">
        <f>IFERROR(VLOOKUP($B157,Miljövärden!$B$3:$H$553,MATCH(D$2,Miljövärden!$B$2:$H$2,0),FALSE),"Saknas")</f>
        <v>9.9127899999999993</v>
      </c>
      <c r="E157">
        <f>IFERROR(VLOOKUP($B157,Miljövärden!$B$3:$H$553,MATCH(E$2,Miljövärden!$B$2:$H$2,0),FALSE),"Saknas")</f>
        <v>20.036999999999999</v>
      </c>
      <c r="F157">
        <f>IFERROR(VLOOKUP($B157,Miljövärden!$B$3:$H$553,MATCH(F$2,Miljövärden!$B$2:$H$2,0),FALSE),"Saknas")</f>
        <v>1.1113100000000001E-2</v>
      </c>
      <c r="G157" t="str">
        <f>IFERROR(VLOOKUP($B157,Miljövärden!$B$3:$H$553,MATCH(G$2,Miljövärden!$B$2:$H$2,0),FALSE),"Nej, saknas")</f>
        <v>Ja</v>
      </c>
      <c r="H157" t="str">
        <f>IFERROR(VLOOKUP($B157,Miljövärden!$B$3:$H$553,MATCH(H$2,Miljövärden!$B$2:$H$2,0),FALSE),"Nej, saknas")</f>
        <v>Ja</v>
      </c>
      <c r="P157" t="str">
        <f t="shared" si="5"/>
        <v>ja</v>
      </c>
      <c r="R157">
        <f t="shared" si="4"/>
        <v>137</v>
      </c>
    </row>
    <row r="158" spans="1:18" x14ac:dyDescent="0.45">
      <c r="A158" s="2" t="s">
        <v>476</v>
      </c>
      <c r="B158" s="2" t="s">
        <v>89</v>
      </c>
      <c r="C158">
        <f>IFERROR(VLOOKUP($B158,Miljövärden!$B$3:$H$553,MATCH(C$2,Miljövärden!$B$2:$H$2,0),FALSE),"Saknas")</f>
        <v>0</v>
      </c>
      <c r="D158">
        <f>IFERROR(VLOOKUP($B158,Miljövärden!$B$3:$H$553,MATCH(D$2,Miljövärden!$B$2:$H$2,0),FALSE),"Saknas")</f>
        <v>0</v>
      </c>
      <c r="E158">
        <f>IFERROR(VLOOKUP($B158,Miljövärden!$B$3:$H$553,MATCH(E$2,Miljövärden!$B$2:$H$2,0),FALSE),"Saknas")</f>
        <v>0</v>
      </c>
      <c r="F158">
        <f>IFERROR(VLOOKUP($B158,Miljövärden!$B$3:$H$553,MATCH(F$2,Miljövärden!$B$2:$H$2,0),FALSE),"Saknas")</f>
        <v>0</v>
      </c>
      <c r="G158" t="str">
        <f>IFERROR(VLOOKUP($B158,Miljövärden!$B$3:$H$553,MATCH(G$2,Miljövärden!$B$2:$H$2,0),FALSE),"Nej, saknas")</f>
        <v>Nej</v>
      </c>
      <c r="H158" t="str">
        <f>IFERROR(VLOOKUP($B158,Miljövärden!$B$3:$H$553,MATCH(H$2,Miljövärden!$B$2:$H$2,0),FALSE),"Nej, saknas")</f>
        <v>Nej</v>
      </c>
      <c r="K158" t="s">
        <v>1529</v>
      </c>
      <c r="P158" t="str">
        <f t="shared" si="5"/>
        <v>nej</v>
      </c>
      <c r="R158">
        <f t="shared" si="4"/>
        <v>137</v>
      </c>
    </row>
    <row r="159" spans="1:18" x14ac:dyDescent="0.45">
      <c r="A159" s="2" t="s">
        <v>472</v>
      </c>
      <c r="B159" s="2" t="s">
        <v>475</v>
      </c>
      <c r="C159">
        <f>IFERROR(VLOOKUP($B159,Miljövärden!$B$3:$H$553,MATCH(C$2,Miljövärden!$B$2:$H$2,0),FALSE),"Saknas")</f>
        <v>0.110383</v>
      </c>
      <c r="D159">
        <f>IFERROR(VLOOKUP($B159,Miljövärden!$B$3:$H$553,MATCH(D$2,Miljövärden!$B$2:$H$2,0),FALSE),"Saknas")</f>
        <v>22.6999</v>
      </c>
      <c r="E159">
        <f>IFERROR(VLOOKUP($B159,Miljövärden!$B$3:$H$553,MATCH(E$2,Miljövärden!$B$2:$H$2,0),FALSE),"Saknas")</f>
        <v>8.8476599999999994</v>
      </c>
      <c r="F159">
        <f>IFERROR(VLOOKUP($B159,Miljövärden!$B$3:$H$553,MATCH(F$2,Miljövärden!$B$2:$H$2,0),FALSE),"Saknas")</f>
        <v>6.0648800000000003E-2</v>
      </c>
      <c r="G159" t="str">
        <f>IFERROR(VLOOKUP($B159,Miljövärden!$B$3:$H$553,MATCH(G$2,Miljövärden!$B$2:$H$2,0),FALSE),"Nej, saknas")</f>
        <v>Ja</v>
      </c>
      <c r="H159" t="str">
        <f>IFERROR(VLOOKUP($B159,Miljövärden!$B$3:$H$553,MATCH(H$2,Miljövärden!$B$2:$H$2,0),FALSE),"Nej, saknas")</f>
        <v>Ja</v>
      </c>
      <c r="P159" t="str">
        <f t="shared" si="5"/>
        <v>ja</v>
      </c>
      <c r="R159">
        <f t="shared" si="4"/>
        <v>138</v>
      </c>
    </row>
    <row r="160" spans="1:18" x14ac:dyDescent="0.45">
      <c r="A160" s="2" t="s">
        <v>472</v>
      </c>
      <c r="B160" s="2" t="s">
        <v>474</v>
      </c>
      <c r="C160">
        <f>IFERROR(VLOOKUP($B160,Miljövärden!$B$3:$H$553,MATCH(C$2,Miljövärden!$B$2:$H$2,0),FALSE),"Saknas")</f>
        <v>0.14946000000000001</v>
      </c>
      <c r="D160">
        <f>IFERROR(VLOOKUP($B160,Miljövärden!$B$3:$H$553,MATCH(D$2,Miljövärden!$B$2:$H$2,0),FALSE),"Saknas")</f>
        <v>10.385300000000001</v>
      </c>
      <c r="E160">
        <f>IFERROR(VLOOKUP($B160,Miljövärden!$B$3:$H$553,MATCH(E$2,Miljövärden!$B$2:$H$2,0),FALSE),"Saknas")</f>
        <v>16.1175</v>
      </c>
      <c r="F160">
        <f>IFERROR(VLOOKUP($B160,Miljövärden!$B$3:$H$553,MATCH(F$2,Miljövärden!$B$2:$H$2,0),FALSE),"Saknas")</f>
        <v>1.9042199999999999E-2</v>
      </c>
      <c r="G160" t="str">
        <f>IFERROR(VLOOKUP($B160,Miljövärden!$B$3:$H$553,MATCH(G$2,Miljövärden!$B$2:$H$2,0),FALSE),"Nej, saknas")</f>
        <v>Ja</v>
      </c>
      <c r="H160" t="str">
        <f>IFERROR(VLOOKUP($B160,Miljövärden!$B$3:$H$553,MATCH(H$2,Miljövärden!$B$2:$H$2,0),FALSE),"Nej, saknas")</f>
        <v>Ja</v>
      </c>
      <c r="P160" t="str">
        <f t="shared" si="5"/>
        <v>ja</v>
      </c>
      <c r="R160">
        <f t="shared" si="4"/>
        <v>139</v>
      </c>
    </row>
    <row r="161" spans="1:18" x14ac:dyDescent="0.45">
      <c r="A161" s="2" t="s">
        <v>472</v>
      </c>
      <c r="B161" s="2" t="s">
        <v>473</v>
      </c>
      <c r="C161">
        <f>IFERROR(VLOOKUP($B161,Miljövärden!$B$3:$H$553,MATCH(C$2,Miljövärden!$B$2:$H$2,0),FALSE),"Saknas")</f>
        <v>6.7883600000000002E-2</v>
      </c>
      <c r="D161">
        <f>IFERROR(VLOOKUP($B161,Miljövärden!$B$3:$H$553,MATCH(D$2,Miljövärden!$B$2:$H$2,0),FALSE),"Saknas")</f>
        <v>4.0733199999999998</v>
      </c>
      <c r="E161">
        <f>IFERROR(VLOOKUP($B161,Miljövärden!$B$3:$H$553,MATCH(E$2,Miljövärden!$B$2:$H$2,0),FALSE),"Saknas")</f>
        <v>10.161799999999999</v>
      </c>
      <c r="F161">
        <f>IFERROR(VLOOKUP($B161,Miljövärden!$B$3:$H$553,MATCH(F$2,Miljövärden!$B$2:$H$2,0),FALSE),"Saknas")</f>
        <v>1.05633E-4</v>
      </c>
      <c r="G161" t="str">
        <f>IFERROR(VLOOKUP($B161,Miljövärden!$B$3:$H$553,MATCH(G$2,Miljövärden!$B$2:$H$2,0),FALSE),"Nej, saknas")</f>
        <v>Ja</v>
      </c>
      <c r="H161" t="str">
        <f>IFERROR(VLOOKUP($B161,Miljövärden!$B$3:$H$553,MATCH(H$2,Miljövärden!$B$2:$H$2,0),FALSE),"Nej, saknas")</f>
        <v>Ja</v>
      </c>
      <c r="P161" t="str">
        <f t="shared" si="5"/>
        <v>ja</v>
      </c>
      <c r="R161">
        <f t="shared" si="4"/>
        <v>140</v>
      </c>
    </row>
    <row r="162" spans="1:18" x14ac:dyDescent="0.45">
      <c r="A162" s="2" t="s">
        <v>472</v>
      </c>
      <c r="B162" s="2" t="s">
        <v>471</v>
      </c>
      <c r="C162">
        <f>IFERROR(VLOOKUP($B162,Miljövärden!$B$3:$H$553,MATCH(C$2,Miljövärden!$B$2:$H$2,0),FALSE),"Saknas")</f>
        <v>0.16910500000000001</v>
      </c>
      <c r="D162">
        <f>IFERROR(VLOOKUP($B162,Miljövärden!$B$3:$H$553,MATCH(D$2,Miljövärden!$B$2:$H$2,0),FALSE),"Saknas")</f>
        <v>16.445699999999999</v>
      </c>
      <c r="E162">
        <f>IFERROR(VLOOKUP($B162,Miljövärden!$B$3:$H$553,MATCH(E$2,Miljövärden!$B$2:$H$2,0),FALSE),"Saknas")</f>
        <v>15.9765</v>
      </c>
      <c r="F162">
        <f>IFERROR(VLOOKUP($B162,Miljövärden!$B$3:$H$553,MATCH(F$2,Miljövärden!$B$2:$H$2,0),FALSE),"Saknas")</f>
        <v>4.0332800000000002E-2</v>
      </c>
      <c r="G162" t="str">
        <f>IFERROR(VLOOKUP($B162,Miljövärden!$B$3:$H$553,MATCH(G$2,Miljövärden!$B$2:$H$2,0),FALSE),"Nej, saknas")</f>
        <v>Ja</v>
      </c>
      <c r="H162" t="str">
        <f>IFERROR(VLOOKUP($B162,Miljövärden!$B$3:$H$553,MATCH(H$2,Miljövärden!$B$2:$H$2,0),FALSE),"Nej, saknas")</f>
        <v>Ja</v>
      </c>
      <c r="P162" t="str">
        <f t="shared" si="5"/>
        <v>ja</v>
      </c>
      <c r="R162">
        <f t="shared" si="4"/>
        <v>141</v>
      </c>
    </row>
    <row r="163" spans="1:18" x14ac:dyDescent="0.45">
      <c r="A163" s="2" t="s">
        <v>470</v>
      </c>
      <c r="B163" s="2" t="s">
        <v>469</v>
      </c>
      <c r="C163">
        <f>IFERROR(VLOOKUP($B163,Miljövärden!$B$3:$H$553,MATCH(C$2,Miljövärden!$B$2:$H$2,0),FALSE),"Saknas")</f>
        <v>0.38577</v>
      </c>
      <c r="D163">
        <f>IFERROR(VLOOKUP($B163,Miljövärden!$B$3:$H$553,MATCH(D$2,Miljövärden!$B$2:$H$2,0),FALSE),"Saknas")</f>
        <v>84.729399999999998</v>
      </c>
      <c r="E163">
        <f>IFERROR(VLOOKUP($B163,Miljövärden!$B$3:$H$553,MATCH(E$2,Miljövärden!$B$2:$H$2,0),FALSE),"Saknas")</f>
        <v>6.3377600000000003</v>
      </c>
      <c r="F163">
        <f>IFERROR(VLOOKUP($B163,Miljövärden!$B$3:$H$553,MATCH(F$2,Miljövärden!$B$2:$H$2,0),FALSE),"Saknas")</f>
        <v>0.22489799999999999</v>
      </c>
      <c r="G163" t="str">
        <f>IFERROR(VLOOKUP($B163,Miljövärden!$B$3:$H$553,MATCH(G$2,Miljövärden!$B$2:$H$2,0),FALSE),"Nej, saknas")</f>
        <v>Ja</v>
      </c>
      <c r="H163" t="str">
        <f>IFERROR(VLOOKUP($B163,Miljövärden!$B$3:$H$553,MATCH(H$2,Miljövärden!$B$2:$H$2,0),FALSE),"Nej, saknas")</f>
        <v>Ja</v>
      </c>
      <c r="P163" t="str">
        <f t="shared" si="5"/>
        <v>ja</v>
      </c>
      <c r="R163">
        <f t="shared" si="4"/>
        <v>142</v>
      </c>
    </row>
    <row r="164" spans="1:18" x14ac:dyDescent="0.45">
      <c r="A164" s="2" t="s">
        <v>467</v>
      </c>
      <c r="B164" s="2" t="s">
        <v>468</v>
      </c>
      <c r="C164">
        <f>IFERROR(VLOOKUP($B164,Miljövärden!$B$3:$H$553,MATCH(C$2,Miljövärden!$B$2:$H$2,0),FALSE),"Saknas")</f>
        <v>0.42820000000000003</v>
      </c>
      <c r="D164">
        <f>IFERROR(VLOOKUP($B164,Miljövärden!$B$3:$H$553,MATCH(D$2,Miljövärden!$B$2:$H$2,0),FALSE),"Saknas")</f>
        <v>91.971000000000004</v>
      </c>
      <c r="E164">
        <f>IFERROR(VLOOKUP($B164,Miljövärden!$B$3:$H$553,MATCH(E$2,Miljövärden!$B$2:$H$2,0),FALSE),"Saknas")</f>
        <v>2.0839400000000001</v>
      </c>
      <c r="F164">
        <f>IFERROR(VLOOKUP($B164,Miljövärden!$B$3:$H$553,MATCH(F$2,Miljövärden!$B$2:$H$2,0),FALSE),"Saknas")</f>
        <v>0</v>
      </c>
      <c r="G164" t="str">
        <f>IFERROR(VLOOKUP($B164,Miljövärden!$B$3:$H$553,MATCH(G$2,Miljövärden!$B$2:$H$2,0),FALSE),"Nej, saknas")</f>
        <v>Ja</v>
      </c>
      <c r="H164" t="str">
        <f>IFERROR(VLOOKUP($B164,Miljövärden!$B$3:$H$553,MATCH(H$2,Miljövärden!$B$2:$H$2,0),FALSE),"Nej, saknas")</f>
        <v>Ja</v>
      </c>
      <c r="P164" t="str">
        <f t="shared" si="5"/>
        <v>ja</v>
      </c>
      <c r="R164">
        <f t="shared" si="4"/>
        <v>143</v>
      </c>
    </row>
    <row r="165" spans="1:18" x14ac:dyDescent="0.45">
      <c r="A165" s="2" t="s">
        <v>467</v>
      </c>
      <c r="B165" s="2" t="s">
        <v>466</v>
      </c>
      <c r="C165">
        <f>IFERROR(VLOOKUP($B165,Miljövärden!$B$3:$H$553,MATCH(C$2,Miljövärden!$B$2:$H$2,0),FALSE),"Saknas")</f>
        <v>0.10183</v>
      </c>
      <c r="D165">
        <f>IFERROR(VLOOKUP($B165,Miljövärden!$B$3:$H$553,MATCH(D$2,Miljövärden!$B$2:$H$2,0),FALSE),"Saknas")</f>
        <v>180.91900000000001</v>
      </c>
      <c r="E165">
        <f>IFERROR(VLOOKUP($B165,Miljövärden!$B$3:$H$553,MATCH(E$2,Miljövärden!$B$2:$H$2,0),FALSE),"Saknas")</f>
        <v>4.3646700000000003</v>
      </c>
      <c r="F165">
        <f>IFERROR(VLOOKUP($B165,Miljövärden!$B$3:$H$553,MATCH(F$2,Miljövärden!$B$2:$H$2,0),FALSE),"Saknas")</f>
        <v>9.1929799999999999E-3</v>
      </c>
      <c r="G165" t="str">
        <f>IFERROR(VLOOKUP($B165,Miljövärden!$B$3:$H$553,MATCH(G$2,Miljövärden!$B$2:$H$2,0),FALSE),"Nej, saknas")</f>
        <v>Ja</v>
      </c>
      <c r="H165" t="str">
        <f>IFERROR(VLOOKUP($B165,Miljövärden!$B$3:$H$553,MATCH(H$2,Miljövärden!$B$2:$H$2,0),FALSE),"Nej, saknas")</f>
        <v>Ja</v>
      </c>
      <c r="P165" t="str">
        <f t="shared" si="5"/>
        <v>ja</v>
      </c>
      <c r="R165">
        <f t="shared" si="4"/>
        <v>144</v>
      </c>
    </row>
    <row r="166" spans="1:18" x14ac:dyDescent="0.45">
      <c r="A166" s="2" t="s">
        <v>465</v>
      </c>
      <c r="B166" s="2" t="s">
        <v>464</v>
      </c>
      <c r="C166">
        <f>IFERROR(VLOOKUP($B166,Miljövärden!$B$3:$H$553,MATCH(C$2,Miljövärden!$B$2:$H$2,0),FALSE),"Saknas")</f>
        <v>0.16766300000000001</v>
      </c>
      <c r="D166">
        <f>IFERROR(VLOOKUP($B166,Miljövärden!$B$3:$H$553,MATCH(D$2,Miljövärden!$B$2:$H$2,0),FALSE),"Saknas")</f>
        <v>27.963899999999999</v>
      </c>
      <c r="E166">
        <f>IFERROR(VLOOKUP($B166,Miljövärden!$B$3:$H$553,MATCH(E$2,Miljövärden!$B$2:$H$2,0),FALSE),"Saknas")</f>
        <v>10.1236</v>
      </c>
      <c r="F166">
        <f>IFERROR(VLOOKUP($B166,Miljövärden!$B$3:$H$553,MATCH(F$2,Miljövärden!$B$2:$H$2,0),FALSE),"Saknas")</f>
        <v>5.01553E-2</v>
      </c>
      <c r="G166" t="str">
        <f>IFERROR(VLOOKUP($B166,Miljövärden!$B$3:$H$553,MATCH(G$2,Miljövärden!$B$2:$H$2,0),FALSE),"Nej, saknas")</f>
        <v>Nej</v>
      </c>
      <c r="H166" t="str">
        <f>IFERROR(VLOOKUP($B166,Miljövärden!$B$3:$H$553,MATCH(H$2,Miljövärden!$B$2:$H$2,0),FALSE),"Nej, saknas")</f>
        <v>Ja</v>
      </c>
      <c r="P166" t="str">
        <f t="shared" si="5"/>
        <v>ja</v>
      </c>
      <c r="R166">
        <f t="shared" si="4"/>
        <v>145</v>
      </c>
    </row>
    <row r="167" spans="1:18" x14ac:dyDescent="0.45">
      <c r="A167" s="2" t="s">
        <v>459</v>
      </c>
      <c r="B167" s="2" t="s">
        <v>463</v>
      </c>
      <c r="C167">
        <f>IFERROR(VLOOKUP($B167,Miljövärden!$B$3:$H$553,MATCH(C$2,Miljövärden!$B$2:$H$2,0),FALSE),"Saknas")</f>
        <v>7.7146300000000001E-2</v>
      </c>
      <c r="D167">
        <f>IFERROR(VLOOKUP($B167,Miljövärden!$B$3:$H$553,MATCH(D$2,Miljövärden!$B$2:$H$2,0),FALSE),"Saknas")</f>
        <v>16.9954</v>
      </c>
      <c r="E167">
        <f>IFERROR(VLOOKUP($B167,Miljövärden!$B$3:$H$553,MATCH(E$2,Miljövärden!$B$2:$H$2,0),FALSE),"Saknas")</f>
        <v>1.4953399999999999</v>
      </c>
      <c r="F167">
        <f>IFERROR(VLOOKUP($B167,Miljövärden!$B$3:$H$553,MATCH(F$2,Miljövärden!$B$2:$H$2,0),FALSE),"Saknas")</f>
        <v>4.75789E-2</v>
      </c>
      <c r="G167" t="str">
        <f>IFERROR(VLOOKUP($B167,Miljövärden!$B$3:$H$553,MATCH(G$2,Miljövärden!$B$2:$H$2,0),FALSE),"Nej, saknas")</f>
        <v>Ja</v>
      </c>
      <c r="H167" t="str">
        <f>IFERROR(VLOOKUP($B167,Miljövärden!$B$3:$H$553,MATCH(H$2,Miljövärden!$B$2:$H$2,0),FALSE),"Nej, saknas")</f>
        <v>Ja</v>
      </c>
      <c r="P167" t="str">
        <f t="shared" si="5"/>
        <v>ja</v>
      </c>
      <c r="R167">
        <f t="shared" si="4"/>
        <v>146</v>
      </c>
    </row>
    <row r="168" spans="1:18" x14ac:dyDescent="0.45">
      <c r="A168" s="2" t="s">
        <v>459</v>
      </c>
      <c r="B168" s="2" t="s">
        <v>462</v>
      </c>
      <c r="C168">
        <f>IFERROR(VLOOKUP($B168,Miljövärden!$B$3:$H$553,MATCH(C$2,Miljövärden!$B$2:$H$2,0),FALSE),"Saknas")</f>
        <v>0.13866999999999999</v>
      </c>
      <c r="D168">
        <f>IFERROR(VLOOKUP($B168,Miljövärden!$B$3:$H$553,MATCH(D$2,Miljövärden!$B$2:$H$2,0),FALSE),"Saknas")</f>
        <v>3.2553200000000002</v>
      </c>
      <c r="E168">
        <f>IFERROR(VLOOKUP($B168,Miljövärden!$B$3:$H$553,MATCH(E$2,Miljövärden!$B$2:$H$2,0),FALSE),"Saknas")</f>
        <v>11.393599999999999</v>
      </c>
      <c r="F168">
        <f>IFERROR(VLOOKUP($B168,Miljövärden!$B$3:$H$553,MATCH(F$2,Miljövärden!$B$2:$H$2,0),FALSE),"Saknas")</f>
        <v>0</v>
      </c>
      <c r="G168" t="str">
        <f>IFERROR(VLOOKUP($B168,Miljövärden!$B$3:$H$553,MATCH(G$2,Miljövärden!$B$2:$H$2,0),FALSE),"Nej, saknas")</f>
        <v>Ja</v>
      </c>
      <c r="H168" t="str">
        <f>IFERROR(VLOOKUP($B168,Miljövärden!$B$3:$H$553,MATCH(H$2,Miljövärden!$B$2:$H$2,0),FALSE),"Nej, saknas")</f>
        <v>Ja</v>
      </c>
      <c r="P168" t="str">
        <f t="shared" si="5"/>
        <v>ja</v>
      </c>
      <c r="R168">
        <f t="shared" si="4"/>
        <v>147</v>
      </c>
    </row>
    <row r="169" spans="1:18" x14ac:dyDescent="0.45">
      <c r="A169" s="2" t="s">
        <v>459</v>
      </c>
      <c r="B169" s="2" t="s">
        <v>461</v>
      </c>
      <c r="C169">
        <f>IFERROR(VLOOKUP($B169,Miljövärden!$B$3:$H$553,MATCH(C$2,Miljövärden!$B$2:$H$2,0),FALSE),"Saknas")</f>
        <v>7.2358599999999995E-2</v>
      </c>
      <c r="D169">
        <f>IFERROR(VLOOKUP($B169,Miljövärden!$B$3:$H$553,MATCH(D$2,Miljövärden!$B$2:$H$2,0),FALSE),"Saknas")</f>
        <v>5.8705499999999997</v>
      </c>
      <c r="E169">
        <f>IFERROR(VLOOKUP($B169,Miljövärden!$B$3:$H$553,MATCH(E$2,Miljövärden!$B$2:$H$2,0),FALSE),"Saknas")</f>
        <v>1.93072</v>
      </c>
      <c r="F169">
        <f>IFERROR(VLOOKUP($B169,Miljövärden!$B$3:$H$553,MATCH(F$2,Miljövärden!$B$2:$H$2,0),FALSE),"Saknas")</f>
        <v>1.6946099999999999E-2</v>
      </c>
      <c r="G169" t="str">
        <f>IFERROR(VLOOKUP($B169,Miljövärden!$B$3:$H$553,MATCH(G$2,Miljövärden!$B$2:$H$2,0),FALSE),"Nej, saknas")</f>
        <v>Ja</v>
      </c>
      <c r="H169" t="str">
        <f>IFERROR(VLOOKUP($B169,Miljövärden!$B$3:$H$553,MATCH(H$2,Miljövärden!$B$2:$H$2,0),FALSE),"Nej, saknas")</f>
        <v>Ja</v>
      </c>
      <c r="P169" t="str">
        <f t="shared" si="5"/>
        <v>ja</v>
      </c>
      <c r="R169">
        <f t="shared" si="4"/>
        <v>148</v>
      </c>
    </row>
    <row r="170" spans="1:18" x14ac:dyDescent="0.45">
      <c r="A170" s="2" t="s">
        <v>459</v>
      </c>
      <c r="B170" s="2" t="s">
        <v>460</v>
      </c>
      <c r="C170">
        <f>IFERROR(VLOOKUP($B170,Miljövärden!$B$3:$H$553,MATCH(C$2,Miljövärden!$B$2:$H$2,0),FALSE),"Saknas")</f>
        <v>0</v>
      </c>
      <c r="D170">
        <f>IFERROR(VLOOKUP($B170,Miljövärden!$B$3:$H$553,MATCH(D$2,Miljövärden!$B$2:$H$2,0),FALSE),"Saknas")</f>
        <v>0</v>
      </c>
      <c r="E170">
        <f>IFERROR(VLOOKUP($B170,Miljövärden!$B$3:$H$553,MATCH(E$2,Miljövärden!$B$2:$H$2,0),FALSE),"Saknas")</f>
        <v>0</v>
      </c>
      <c r="F170">
        <f>IFERROR(VLOOKUP($B170,Miljövärden!$B$3:$H$553,MATCH(F$2,Miljövärden!$B$2:$H$2,0),FALSE),"Saknas")</f>
        <v>0</v>
      </c>
      <c r="G170" t="str">
        <f>IFERROR(VLOOKUP($B170,Miljövärden!$B$3:$H$553,MATCH(G$2,Miljövärden!$B$2:$H$2,0),FALSE),"Nej, saknas")</f>
        <v>Ja</v>
      </c>
      <c r="H170" t="str">
        <f>IFERROR(VLOOKUP($B170,Miljövärden!$B$3:$H$553,MATCH(H$2,Miljövärden!$B$2:$H$2,0),FALSE),"Nej, saknas")</f>
        <v>Nej</v>
      </c>
      <c r="K170" t="s">
        <v>1529</v>
      </c>
      <c r="P170" t="str">
        <f t="shared" si="5"/>
        <v>nej</v>
      </c>
      <c r="R170">
        <f t="shared" si="4"/>
        <v>148</v>
      </c>
    </row>
    <row r="171" spans="1:18" x14ac:dyDescent="0.45">
      <c r="A171" s="2" t="s">
        <v>459</v>
      </c>
      <c r="B171" s="2" t="s">
        <v>458</v>
      </c>
      <c r="C171">
        <f>IFERROR(VLOOKUP($B171,Miljövärden!$B$3:$H$553,MATCH(C$2,Miljövärden!$B$2:$H$2,0),FALSE),"Saknas")</f>
        <v>8.0374600000000004E-2</v>
      </c>
      <c r="D171">
        <f>IFERROR(VLOOKUP($B171,Miljövärden!$B$3:$H$553,MATCH(D$2,Miljövärden!$B$2:$H$2,0),FALSE),"Saknas")</f>
        <v>16.577999999999999</v>
      </c>
      <c r="E171">
        <f>IFERROR(VLOOKUP($B171,Miljövärden!$B$3:$H$553,MATCH(E$2,Miljövärden!$B$2:$H$2,0),FALSE),"Saknas")</f>
        <v>2.0628500000000001</v>
      </c>
      <c r="F171">
        <f>IFERROR(VLOOKUP($B171,Miljövärden!$B$3:$H$553,MATCH(F$2,Miljövärden!$B$2:$H$2,0),FALSE),"Saknas")</f>
        <v>5.1742099999999999E-2</v>
      </c>
      <c r="G171" t="str">
        <f>IFERROR(VLOOKUP($B171,Miljövärden!$B$3:$H$553,MATCH(G$2,Miljövärden!$B$2:$H$2,0),FALSE),"Nej, saknas")</f>
        <v>Ja</v>
      </c>
      <c r="H171" t="str">
        <f>IFERROR(VLOOKUP($B171,Miljövärden!$B$3:$H$553,MATCH(H$2,Miljövärden!$B$2:$H$2,0),FALSE),"Nej, saknas")</f>
        <v>Ja</v>
      </c>
      <c r="P171" t="str">
        <f t="shared" si="5"/>
        <v>ja</v>
      </c>
      <c r="R171">
        <f t="shared" si="4"/>
        <v>149</v>
      </c>
    </row>
    <row r="172" spans="1:18" x14ac:dyDescent="0.45">
      <c r="A172" s="2" t="s">
        <v>457</v>
      </c>
      <c r="B172" s="2" t="s">
        <v>456</v>
      </c>
      <c r="C172">
        <f>IFERROR(VLOOKUP($B172,Miljövärden!$B$3:$H$553,MATCH(C$2,Miljövärden!$B$2:$H$2,0),FALSE),"Saknas")</f>
        <v>0.101046</v>
      </c>
      <c r="D172">
        <f>IFERROR(VLOOKUP($B172,Miljövärden!$B$3:$H$553,MATCH(D$2,Miljövärden!$B$2:$H$2,0),FALSE),"Saknas")</f>
        <v>110.595</v>
      </c>
      <c r="E172">
        <f>IFERROR(VLOOKUP($B172,Miljövärden!$B$3:$H$553,MATCH(E$2,Miljövärden!$B$2:$H$2,0),FALSE),"Saknas")</f>
        <v>6.09396</v>
      </c>
      <c r="F172">
        <f>IFERROR(VLOOKUP($B172,Miljövärden!$B$3:$H$553,MATCH(F$2,Miljövärden!$B$2:$H$2,0),FALSE),"Saknas")</f>
        <v>9.6403400000000007E-3</v>
      </c>
      <c r="G172" t="str">
        <f>IFERROR(VLOOKUP($B172,Miljövärden!$B$3:$H$553,MATCH(G$2,Miljövärden!$B$2:$H$2,0),FALSE),"Nej, saknas")</f>
        <v>Ja</v>
      </c>
      <c r="H172" t="str">
        <f>IFERROR(VLOOKUP($B172,Miljövärden!$B$3:$H$553,MATCH(H$2,Miljövärden!$B$2:$H$2,0),FALSE),"Nej, saknas")</f>
        <v>Ja</v>
      </c>
      <c r="P172" t="str">
        <f t="shared" si="5"/>
        <v>ja</v>
      </c>
      <c r="R172">
        <f t="shared" si="4"/>
        <v>150</v>
      </c>
    </row>
    <row r="173" spans="1:18" x14ac:dyDescent="0.45">
      <c r="A173" s="2" t="s">
        <v>453</v>
      </c>
      <c r="B173" s="2" t="s">
        <v>455</v>
      </c>
      <c r="C173">
        <f>IFERROR(VLOOKUP($B173,Miljövärden!$B$3:$H$553,MATCH(C$2,Miljövärden!$B$2:$H$2,0),FALSE),"Saknas")</f>
        <v>0.10621</v>
      </c>
      <c r="D173">
        <f>IFERROR(VLOOKUP($B173,Miljövärden!$B$3:$H$553,MATCH(D$2,Miljövärden!$B$2:$H$2,0),FALSE),"Saknas")</f>
        <v>12.498799999999999</v>
      </c>
      <c r="E173">
        <f>IFERROR(VLOOKUP($B173,Miljövärden!$B$3:$H$553,MATCH(E$2,Miljövärden!$B$2:$H$2,0),FALSE),"Saknas")</f>
        <v>10.387700000000001</v>
      </c>
      <c r="F173">
        <f>IFERROR(VLOOKUP($B173,Miljövärden!$B$3:$H$553,MATCH(F$2,Miljövärden!$B$2:$H$2,0),FALSE),"Saknas")</f>
        <v>1.19487E-2</v>
      </c>
      <c r="G173" t="str">
        <f>IFERROR(VLOOKUP($B173,Miljövärden!$B$3:$H$553,MATCH(G$2,Miljövärden!$B$2:$H$2,0),FALSE),"Nej, saknas")</f>
        <v>Ja</v>
      </c>
      <c r="H173" t="str">
        <f>IFERROR(VLOOKUP($B173,Miljövärden!$B$3:$H$553,MATCH(H$2,Miljövärden!$B$2:$H$2,0),FALSE),"Nej, saknas")</f>
        <v>Ja</v>
      </c>
      <c r="P173" t="str">
        <f t="shared" si="5"/>
        <v>ja</v>
      </c>
      <c r="R173">
        <f t="shared" si="4"/>
        <v>151</v>
      </c>
    </row>
    <row r="174" spans="1:18" x14ac:dyDescent="0.45">
      <c r="A174" s="2" t="s">
        <v>453</v>
      </c>
      <c r="B174" s="2" t="s">
        <v>454</v>
      </c>
      <c r="C174">
        <f>IFERROR(VLOOKUP($B174,Miljövärden!$B$3:$H$553,MATCH(C$2,Miljövärden!$B$2:$H$2,0),FALSE),"Saknas")</f>
        <v>8.1342300000000006E-2</v>
      </c>
      <c r="D174">
        <f>IFERROR(VLOOKUP($B174,Miljövärden!$B$3:$H$553,MATCH(D$2,Miljövärden!$B$2:$H$2,0),FALSE),"Saknas")</f>
        <v>6.24505</v>
      </c>
      <c r="E174">
        <f>IFERROR(VLOOKUP($B174,Miljövärden!$B$3:$H$553,MATCH(E$2,Miljövärden!$B$2:$H$2,0),FALSE),"Saknas")</f>
        <v>7.49369</v>
      </c>
      <c r="F174">
        <f>IFERROR(VLOOKUP($B174,Miljövärden!$B$3:$H$553,MATCH(F$2,Miljövärden!$B$2:$H$2,0),FALSE),"Saknas")</f>
        <v>6.7214299999999996E-3</v>
      </c>
      <c r="G174" t="str">
        <f>IFERROR(VLOOKUP($B174,Miljövärden!$B$3:$H$553,MATCH(G$2,Miljövärden!$B$2:$H$2,0),FALSE),"Nej, saknas")</f>
        <v>Ja</v>
      </c>
      <c r="H174" t="str">
        <f>IFERROR(VLOOKUP($B174,Miljövärden!$B$3:$H$553,MATCH(H$2,Miljövärden!$B$2:$H$2,0),FALSE),"Nej, saknas")</f>
        <v>Ja</v>
      </c>
      <c r="P174" t="str">
        <f t="shared" si="5"/>
        <v>ja</v>
      </c>
      <c r="R174">
        <f t="shared" si="4"/>
        <v>152</v>
      </c>
    </row>
    <row r="175" spans="1:18" x14ac:dyDescent="0.45">
      <c r="A175" s="2" t="s">
        <v>453</v>
      </c>
      <c r="B175" s="2" t="s">
        <v>452</v>
      </c>
      <c r="C175">
        <f>IFERROR(VLOOKUP($B175,Miljövärden!$B$3:$H$553,MATCH(C$2,Miljövärden!$B$2:$H$2,0),FALSE),"Saknas")</f>
        <v>6.7624500000000004E-2</v>
      </c>
      <c r="D175">
        <f>IFERROR(VLOOKUP($B175,Miljövärden!$B$3:$H$553,MATCH(D$2,Miljövärden!$B$2:$H$2,0),FALSE),"Saknas")</f>
        <v>4.0499799999999997</v>
      </c>
      <c r="E175">
        <f>IFERROR(VLOOKUP($B175,Miljövärden!$B$3:$H$553,MATCH(E$2,Miljövärden!$B$2:$H$2,0),FALSE),"Saknas")</f>
        <v>6.99329</v>
      </c>
      <c r="F175">
        <f>IFERROR(VLOOKUP($B175,Miljövärden!$B$3:$H$553,MATCH(F$2,Miljövärden!$B$2:$H$2,0),FALSE),"Saknas")</f>
        <v>1.7147500000000001E-4</v>
      </c>
      <c r="G175" t="str">
        <f>IFERROR(VLOOKUP($B175,Miljövärden!$B$3:$H$553,MATCH(G$2,Miljövärden!$B$2:$H$2,0),FALSE),"Nej, saknas")</f>
        <v>Ja</v>
      </c>
      <c r="H175" t="str">
        <f>IFERROR(VLOOKUP($B175,Miljövärden!$B$3:$H$553,MATCH(H$2,Miljövärden!$B$2:$H$2,0),FALSE),"Nej, saknas")</f>
        <v>Ja</v>
      </c>
      <c r="P175" t="str">
        <f t="shared" si="5"/>
        <v>ja</v>
      </c>
      <c r="R175">
        <f t="shared" si="4"/>
        <v>153</v>
      </c>
    </row>
    <row r="176" spans="1:18" x14ac:dyDescent="0.45">
      <c r="A176" s="2" t="s">
        <v>449</v>
      </c>
      <c r="B176" s="2" t="s">
        <v>451</v>
      </c>
      <c r="C176">
        <f>IFERROR(VLOOKUP($B176,Miljövärden!$B$3:$H$553,MATCH(C$2,Miljövärden!$B$2:$H$2,0),FALSE),"Saknas")</f>
        <v>8.7359800000000001E-2</v>
      </c>
      <c r="D176">
        <f>IFERROR(VLOOKUP($B176,Miljövärden!$B$3:$H$553,MATCH(D$2,Miljövärden!$B$2:$H$2,0),FALSE),"Saknas")</f>
        <v>20.225999999999999</v>
      </c>
      <c r="E176">
        <f>IFERROR(VLOOKUP($B176,Miljövärden!$B$3:$H$553,MATCH(E$2,Miljövärden!$B$2:$H$2,0),FALSE),"Saknas")</f>
        <v>2.2755399999999999</v>
      </c>
      <c r="F176">
        <f>IFERROR(VLOOKUP($B176,Miljövärden!$B$3:$H$553,MATCH(F$2,Miljövärden!$B$2:$H$2,0),FALSE),"Saknas")</f>
        <v>6.5451400000000007E-2</v>
      </c>
      <c r="G176" t="str">
        <f>IFERROR(VLOOKUP($B176,Miljövärden!$B$3:$H$553,MATCH(G$2,Miljövärden!$B$2:$H$2,0),FALSE),"Nej, saknas")</f>
        <v>Ja</v>
      </c>
      <c r="H176" t="str">
        <f>IFERROR(VLOOKUP($B176,Miljövärden!$B$3:$H$553,MATCH(H$2,Miljövärden!$B$2:$H$2,0),FALSE),"Nej, saknas")</f>
        <v>Ja</v>
      </c>
      <c r="P176" t="str">
        <f t="shared" si="5"/>
        <v>ja</v>
      </c>
      <c r="R176">
        <f t="shared" si="4"/>
        <v>154</v>
      </c>
    </row>
    <row r="177" spans="1:18" x14ac:dyDescent="0.45">
      <c r="A177" s="2" t="s">
        <v>449</v>
      </c>
      <c r="B177" s="2" t="s">
        <v>450</v>
      </c>
      <c r="C177">
        <f>IFERROR(VLOOKUP($B177,Miljövärden!$B$3:$H$553,MATCH(C$2,Miljövärden!$B$2:$H$2,0),FALSE),"Saknas")</f>
        <v>7.5074599999999997E-3</v>
      </c>
      <c r="D177">
        <f>IFERROR(VLOOKUP($B177,Miljövärden!$B$3:$H$553,MATCH(D$2,Miljövärden!$B$2:$H$2,0),FALSE),"Saknas")</f>
        <v>0.23432800000000001</v>
      </c>
      <c r="E177">
        <f>IFERROR(VLOOKUP($B177,Miljövärden!$B$3:$H$553,MATCH(E$2,Miljövärden!$B$2:$H$2,0),FALSE),"Saknas")</f>
        <v>0.82686599999999999</v>
      </c>
      <c r="F177">
        <f>IFERROR(VLOOKUP($B177,Miljövärden!$B$3:$H$553,MATCH(F$2,Miljövärden!$B$2:$H$2,0),FALSE),"Saknas")</f>
        <v>0</v>
      </c>
      <c r="G177" t="str">
        <f>IFERROR(VLOOKUP($B177,Miljövärden!$B$3:$H$553,MATCH(G$2,Miljövärden!$B$2:$H$2,0),FALSE),"Nej, saknas")</f>
        <v>Ja</v>
      </c>
      <c r="H177" t="str">
        <f>IFERROR(VLOOKUP($B177,Miljövärden!$B$3:$H$553,MATCH(H$2,Miljövärden!$B$2:$H$2,0),FALSE),"Nej, saknas")</f>
        <v>Ja</v>
      </c>
      <c r="P177" t="str">
        <f t="shared" si="5"/>
        <v>ja</v>
      </c>
      <c r="R177">
        <f t="shared" si="4"/>
        <v>155</v>
      </c>
    </row>
    <row r="178" spans="1:18" x14ac:dyDescent="0.45">
      <c r="A178" s="2" t="s">
        <v>449</v>
      </c>
      <c r="B178" s="2" t="s">
        <v>448</v>
      </c>
      <c r="C178">
        <f>IFERROR(VLOOKUP($B178,Miljövärden!$B$3:$H$553,MATCH(C$2,Miljövärden!$B$2:$H$2,0),FALSE),"Saknas")</f>
        <v>0.228964</v>
      </c>
      <c r="D178">
        <f>IFERROR(VLOOKUP($B178,Miljövärden!$B$3:$H$553,MATCH(D$2,Miljövärden!$B$2:$H$2,0),FALSE),"Saknas")</f>
        <v>38.864899999999999</v>
      </c>
      <c r="E178">
        <f>IFERROR(VLOOKUP($B178,Miljövärden!$B$3:$H$553,MATCH(E$2,Miljövärden!$B$2:$H$2,0),FALSE),"Saknas")</f>
        <v>15.8919</v>
      </c>
      <c r="F178">
        <f>IFERROR(VLOOKUP($B178,Miljövärden!$B$3:$H$553,MATCH(F$2,Miljövärden!$B$2:$H$2,0),FALSE),"Saknas")</f>
        <v>8.9115200000000006E-2</v>
      </c>
      <c r="G178" t="str">
        <f>IFERROR(VLOOKUP($B178,Miljövärden!$B$3:$H$553,MATCH(G$2,Miljövärden!$B$2:$H$2,0),FALSE),"Nej, saknas")</f>
        <v>Ja</v>
      </c>
      <c r="H178" t="str">
        <f>IFERROR(VLOOKUP($B178,Miljövärden!$B$3:$H$553,MATCH(H$2,Miljövärden!$B$2:$H$2,0),FALSE),"Nej, saknas")</f>
        <v>Ja</v>
      </c>
      <c r="P178" t="str">
        <f t="shared" si="5"/>
        <v>ja</v>
      </c>
      <c r="R178">
        <f t="shared" si="4"/>
        <v>156</v>
      </c>
    </row>
    <row r="179" spans="1:18" x14ac:dyDescent="0.45">
      <c r="A179" s="2" t="s">
        <v>447</v>
      </c>
      <c r="B179" s="2" t="s">
        <v>446</v>
      </c>
      <c r="C179">
        <f>IFERROR(VLOOKUP($B179,Miljövärden!$B$3:$H$553,MATCH(C$2,Miljövärden!$B$2:$H$2,0),FALSE),"Saknas")</f>
        <v>5.5218499999999997E-2</v>
      </c>
      <c r="D179">
        <f>IFERROR(VLOOKUP($B179,Miljövärden!$B$3:$H$553,MATCH(D$2,Miljövärden!$B$2:$H$2,0),FALSE),"Saknas")</f>
        <v>5.8859300000000001</v>
      </c>
      <c r="E179">
        <f>IFERROR(VLOOKUP($B179,Miljövärden!$B$3:$H$553,MATCH(E$2,Miljövärden!$B$2:$H$2,0),FALSE),"Saknas")</f>
        <v>7.1548100000000003</v>
      </c>
      <c r="F179">
        <f>IFERROR(VLOOKUP($B179,Miljövärden!$B$3:$H$553,MATCH(F$2,Miljövärden!$B$2:$H$2,0),FALSE),"Saknas")</f>
        <v>5.9393600000000003E-3</v>
      </c>
      <c r="G179" t="str">
        <f>IFERROR(VLOOKUP($B179,Miljövärden!$B$3:$H$553,MATCH(G$2,Miljövärden!$B$2:$H$2,0),FALSE),"Nej, saknas")</f>
        <v>Nej</v>
      </c>
      <c r="H179" t="str">
        <f>IFERROR(VLOOKUP($B179,Miljövärden!$B$3:$H$553,MATCH(H$2,Miljövärden!$B$2:$H$2,0),FALSE),"Nej, saknas")</f>
        <v>Ja</v>
      </c>
      <c r="P179" t="str">
        <f t="shared" si="5"/>
        <v>ja</v>
      </c>
      <c r="R179">
        <f t="shared" si="4"/>
        <v>157</v>
      </c>
    </row>
    <row r="180" spans="1:18" x14ac:dyDescent="0.45">
      <c r="A180" s="2" t="s">
        <v>444</v>
      </c>
      <c r="B180" s="2" t="s">
        <v>445</v>
      </c>
      <c r="C180">
        <f>IFERROR(VLOOKUP($B180,Miljövärden!$B$3:$H$553,MATCH(C$2,Miljövärden!$B$2:$H$2,0),FALSE),"Saknas")</f>
        <v>8.473E-2</v>
      </c>
      <c r="D180">
        <f>IFERROR(VLOOKUP($B180,Miljövärden!$B$3:$H$553,MATCH(D$2,Miljövärden!$B$2:$H$2,0),FALSE),"Saknas")</f>
        <v>10.463900000000001</v>
      </c>
      <c r="E180">
        <f>IFERROR(VLOOKUP($B180,Miljövärden!$B$3:$H$553,MATCH(E$2,Miljövärden!$B$2:$H$2,0),FALSE),"Saknas")</f>
        <v>9.36829</v>
      </c>
      <c r="F180">
        <f>IFERROR(VLOOKUP($B180,Miljövärden!$B$3:$H$553,MATCH(F$2,Miljövärden!$B$2:$H$2,0),FALSE),"Saknas")</f>
        <v>1.4257000000000001E-2</v>
      </c>
      <c r="G180" t="str">
        <f>IFERROR(VLOOKUP($B180,Miljövärden!$B$3:$H$553,MATCH(G$2,Miljövärden!$B$2:$H$2,0),FALSE),"Nej, saknas")</f>
        <v>Nej</v>
      </c>
      <c r="H180" t="str">
        <f>IFERROR(VLOOKUP($B180,Miljövärden!$B$3:$H$553,MATCH(H$2,Miljövärden!$B$2:$H$2,0),FALSE),"Nej, saknas")</f>
        <v>Ja</v>
      </c>
      <c r="P180" t="str">
        <f t="shared" si="5"/>
        <v>ja</v>
      </c>
      <c r="R180">
        <f t="shared" si="4"/>
        <v>158</v>
      </c>
    </row>
    <row r="181" spans="1:18" x14ac:dyDescent="0.45">
      <c r="A181" s="2" t="s">
        <v>444</v>
      </c>
      <c r="B181" s="2" t="s">
        <v>443</v>
      </c>
      <c r="C181">
        <f>IFERROR(VLOOKUP($B181,Miljövärden!$B$3:$H$553,MATCH(C$2,Miljövärden!$B$2:$H$2,0),FALSE),"Saknas")</f>
        <v>0.223721</v>
      </c>
      <c r="D181">
        <f>IFERROR(VLOOKUP($B181,Miljövärden!$B$3:$H$553,MATCH(D$2,Miljövärden!$B$2:$H$2,0),FALSE),"Saknas")</f>
        <v>14.2323</v>
      </c>
      <c r="E181">
        <f>IFERROR(VLOOKUP($B181,Miljövärden!$B$3:$H$553,MATCH(E$2,Miljövärden!$B$2:$H$2,0),FALSE),"Saknas")</f>
        <v>20.0487</v>
      </c>
      <c r="F181">
        <f>IFERROR(VLOOKUP($B181,Miljövärden!$B$3:$H$553,MATCH(F$2,Miljövärden!$B$2:$H$2,0),FALSE),"Saknas")</f>
        <v>2.24719E-2</v>
      </c>
      <c r="G181" t="str">
        <f>IFERROR(VLOOKUP($B181,Miljövärden!$B$3:$H$553,MATCH(G$2,Miljövärden!$B$2:$H$2,0),FALSE),"Nej, saknas")</f>
        <v>Nej</v>
      </c>
      <c r="H181" t="str">
        <f>IFERROR(VLOOKUP($B181,Miljövärden!$B$3:$H$553,MATCH(H$2,Miljövärden!$B$2:$H$2,0),FALSE),"Nej, saknas")</f>
        <v>Ja</v>
      </c>
      <c r="P181" t="str">
        <f t="shared" si="5"/>
        <v>ja</v>
      </c>
      <c r="R181">
        <f t="shared" si="4"/>
        <v>159</v>
      </c>
    </row>
    <row r="182" spans="1:18" x14ac:dyDescent="0.45">
      <c r="A182" s="2" t="s">
        <v>442</v>
      </c>
      <c r="B182" s="2" t="s">
        <v>441</v>
      </c>
      <c r="C182">
        <f>IFERROR(VLOOKUP($B182,Miljövärden!$B$3:$H$553,MATCH(C$2,Miljövärden!$B$2:$H$2,0),FALSE),"Saknas")</f>
        <v>6.2534999999999993E-2</v>
      </c>
      <c r="D182">
        <f>IFERROR(VLOOKUP($B182,Miljövärden!$B$3:$H$553,MATCH(D$2,Miljövärden!$B$2:$H$2,0),FALSE),"Saknas")</f>
        <v>49.311500000000002</v>
      </c>
      <c r="E182">
        <f>IFERROR(VLOOKUP($B182,Miljövärden!$B$3:$H$553,MATCH(E$2,Miljövärden!$B$2:$H$2,0),FALSE),"Saknas")</f>
        <v>6.3441799999999997</v>
      </c>
      <c r="F182">
        <f>IFERROR(VLOOKUP($B182,Miljövärden!$B$3:$H$553,MATCH(F$2,Miljövärden!$B$2:$H$2,0),FALSE),"Saknas")</f>
        <v>1.0584400000000001E-2</v>
      </c>
      <c r="G182" t="str">
        <f>IFERROR(VLOOKUP($B182,Miljövärden!$B$3:$H$553,MATCH(G$2,Miljövärden!$B$2:$H$2,0),FALSE),"Nej, saknas")</f>
        <v>Ja</v>
      </c>
      <c r="H182" t="str">
        <f>IFERROR(VLOOKUP($B182,Miljövärden!$B$3:$H$553,MATCH(H$2,Miljövärden!$B$2:$H$2,0),FALSE),"Nej, saknas")</f>
        <v>Ja</v>
      </c>
      <c r="P182" t="str">
        <f t="shared" si="5"/>
        <v>ja</v>
      </c>
      <c r="R182">
        <f t="shared" si="4"/>
        <v>160</v>
      </c>
    </row>
    <row r="183" spans="1:18" x14ac:dyDescent="0.45">
      <c r="A183" s="2" t="s">
        <v>440</v>
      </c>
      <c r="B183" s="2" t="s">
        <v>439</v>
      </c>
      <c r="C183">
        <f>IFERROR(VLOOKUP($B183,Miljövärden!$B$3:$H$553,MATCH(C$2,Miljövärden!$B$2:$H$2,0),FALSE),"Saknas")</f>
        <v>0</v>
      </c>
      <c r="D183">
        <f>IFERROR(VLOOKUP($B183,Miljövärden!$B$3:$H$553,MATCH(D$2,Miljövärden!$B$2:$H$2,0),FALSE),"Saknas")</f>
        <v>0</v>
      </c>
      <c r="E183">
        <f>IFERROR(VLOOKUP($B183,Miljövärden!$B$3:$H$553,MATCH(E$2,Miljövärden!$B$2:$H$2,0),FALSE),"Saknas")</f>
        <v>0</v>
      </c>
      <c r="F183">
        <f>IFERROR(VLOOKUP($B183,Miljövärden!$B$3:$H$553,MATCH(F$2,Miljövärden!$B$2:$H$2,0),FALSE),"Saknas")</f>
        <v>0</v>
      </c>
      <c r="G183" t="str">
        <f>IFERROR(VLOOKUP($B183,Miljövärden!$B$3:$H$553,MATCH(G$2,Miljövärden!$B$2:$H$2,0),FALSE),"Nej, saknas")</f>
        <v>Nej</v>
      </c>
      <c r="H183" t="str">
        <f>IFERROR(VLOOKUP($B183,Miljövärden!$B$3:$H$553,MATCH(H$2,Miljövärden!$B$2:$H$2,0),FALSE),"Nej, saknas")</f>
        <v>Nej</v>
      </c>
      <c r="K183" t="s">
        <v>1529</v>
      </c>
      <c r="P183" t="str">
        <f t="shared" si="5"/>
        <v>nej</v>
      </c>
      <c r="R183">
        <f t="shared" si="4"/>
        <v>160</v>
      </c>
    </row>
    <row r="184" spans="1:18" x14ac:dyDescent="0.45">
      <c r="A184" s="2" t="s">
        <v>438</v>
      </c>
      <c r="B184" s="2" t="s">
        <v>437</v>
      </c>
      <c r="C184">
        <f>IFERROR(VLOOKUP($B184,Miljövärden!$B$3:$H$553,MATCH(C$2,Miljövärden!$B$2:$H$2,0),FALSE),"Saknas")</f>
        <v>0</v>
      </c>
      <c r="D184">
        <f>IFERROR(VLOOKUP($B184,Miljövärden!$B$3:$H$553,MATCH(D$2,Miljövärden!$B$2:$H$2,0),FALSE),"Saknas")</f>
        <v>0</v>
      </c>
      <c r="E184">
        <f>IFERROR(VLOOKUP($B184,Miljövärden!$B$3:$H$553,MATCH(E$2,Miljövärden!$B$2:$H$2,0),FALSE),"Saknas")</f>
        <v>0</v>
      </c>
      <c r="F184">
        <f>IFERROR(VLOOKUP($B184,Miljövärden!$B$3:$H$553,MATCH(F$2,Miljövärden!$B$2:$H$2,0),FALSE),"Saknas")</f>
        <v>0</v>
      </c>
      <c r="G184" t="str">
        <f>IFERROR(VLOOKUP($B184,Miljövärden!$B$3:$H$553,MATCH(G$2,Miljövärden!$B$2:$H$2,0),FALSE),"Nej, saknas")</f>
        <v>Nej</v>
      </c>
      <c r="H184" t="str">
        <f>IFERROR(VLOOKUP($B184,Miljövärden!$B$3:$H$553,MATCH(H$2,Miljövärden!$B$2:$H$2,0),FALSE),"Nej, saknas")</f>
        <v>Nej</v>
      </c>
      <c r="P184" t="str">
        <f t="shared" si="5"/>
        <v>nej</v>
      </c>
      <c r="R184">
        <f t="shared" si="4"/>
        <v>160</v>
      </c>
    </row>
    <row r="185" spans="1:18" x14ac:dyDescent="0.45">
      <c r="A185" s="2" t="s">
        <v>432</v>
      </c>
      <c r="B185" s="2" t="s">
        <v>436</v>
      </c>
      <c r="C185">
        <f>IFERROR(VLOOKUP($B185,Miljövärden!$B$3:$H$553,MATCH(C$2,Miljövärden!$B$2:$H$2,0),FALSE),"Saknas")</f>
        <v>9.1245999999999994E-2</v>
      </c>
      <c r="D185">
        <f>IFERROR(VLOOKUP($B185,Miljövärden!$B$3:$H$553,MATCH(D$2,Miljövärden!$B$2:$H$2,0),FALSE),"Saknas")</f>
        <v>9.4600500000000007</v>
      </c>
      <c r="E185">
        <f>IFERROR(VLOOKUP($B185,Miljövärden!$B$3:$H$553,MATCH(E$2,Miljövärden!$B$2:$H$2,0),FALSE),"Saknas")</f>
        <v>6.8736300000000004</v>
      </c>
      <c r="F185">
        <f>IFERROR(VLOOKUP($B185,Miljövärden!$B$3:$H$553,MATCH(F$2,Miljövärden!$B$2:$H$2,0),FALSE),"Saknas")</f>
        <v>1.4705299999999999E-2</v>
      </c>
      <c r="G185" t="str">
        <f>IFERROR(VLOOKUP($B185,Miljövärden!$B$3:$H$553,MATCH(G$2,Miljövärden!$B$2:$H$2,0),FALSE),"Nej, saknas")</f>
        <v>Ja</v>
      </c>
      <c r="H185" t="str">
        <f>IFERROR(VLOOKUP($B185,Miljövärden!$B$3:$H$553,MATCH(H$2,Miljövärden!$B$2:$H$2,0),FALSE),"Nej, saknas")</f>
        <v>Ja</v>
      </c>
      <c r="P185" t="str">
        <f t="shared" si="5"/>
        <v>ja</v>
      </c>
      <c r="R185">
        <f t="shared" si="4"/>
        <v>161</v>
      </c>
    </row>
    <row r="186" spans="1:18" x14ac:dyDescent="0.45">
      <c r="A186" s="2" t="s">
        <v>432</v>
      </c>
      <c r="B186" s="2" t="s">
        <v>435</v>
      </c>
      <c r="C186">
        <f>IFERROR(VLOOKUP($B186,Miljövärden!$B$3:$H$553,MATCH(C$2,Miljövärden!$B$2:$H$2,0),FALSE),"Saknas")</f>
        <v>0</v>
      </c>
      <c r="D186">
        <f>IFERROR(VLOOKUP($B186,Miljövärden!$B$3:$H$553,MATCH(D$2,Miljövärden!$B$2:$H$2,0),FALSE),"Saknas")</f>
        <v>0</v>
      </c>
      <c r="E186">
        <f>IFERROR(VLOOKUP($B186,Miljövärden!$B$3:$H$553,MATCH(E$2,Miljövärden!$B$2:$H$2,0),FALSE),"Saknas")</f>
        <v>0</v>
      </c>
      <c r="F186">
        <f>IFERROR(VLOOKUP($B186,Miljövärden!$B$3:$H$553,MATCH(F$2,Miljövärden!$B$2:$H$2,0),FALSE),"Saknas")</f>
        <v>0</v>
      </c>
      <c r="G186" t="str">
        <f>IFERROR(VLOOKUP($B186,Miljövärden!$B$3:$H$553,MATCH(G$2,Miljövärden!$B$2:$H$2,0),FALSE),"Nej, saknas")</f>
        <v>Ja</v>
      </c>
      <c r="H186" t="str">
        <f>IFERROR(VLOOKUP($B186,Miljövärden!$B$3:$H$553,MATCH(H$2,Miljövärden!$B$2:$H$2,0),FALSE),"Nej, saknas")</f>
        <v>Nej</v>
      </c>
      <c r="K186" t="s">
        <v>1529</v>
      </c>
      <c r="P186" t="str">
        <f t="shared" si="5"/>
        <v>nej</v>
      </c>
      <c r="R186">
        <f t="shared" si="4"/>
        <v>161</v>
      </c>
    </row>
    <row r="187" spans="1:18" x14ac:dyDescent="0.45">
      <c r="A187" s="2" t="s">
        <v>432</v>
      </c>
      <c r="B187" s="2" t="s">
        <v>434</v>
      </c>
      <c r="C187">
        <f>IFERROR(VLOOKUP($B187,Miljövärden!$B$3:$H$553,MATCH(C$2,Miljövärden!$B$2:$H$2,0),FALSE),"Saknas")</f>
        <v>0.133549</v>
      </c>
      <c r="D187">
        <f>IFERROR(VLOOKUP($B187,Miljövärden!$B$3:$H$553,MATCH(D$2,Miljövärden!$B$2:$H$2,0),FALSE),"Saknas")</f>
        <v>84.153599999999997</v>
      </c>
      <c r="E187">
        <f>IFERROR(VLOOKUP($B187,Miljövärden!$B$3:$H$553,MATCH(E$2,Miljövärden!$B$2:$H$2,0),FALSE),"Saknas")</f>
        <v>5.2758900000000004</v>
      </c>
      <c r="F187">
        <f>IFERROR(VLOOKUP($B187,Miljövärden!$B$3:$H$553,MATCH(F$2,Miljövärden!$B$2:$H$2,0),FALSE),"Saknas")</f>
        <v>6.4638799999999996E-2</v>
      </c>
      <c r="G187" t="str">
        <f>IFERROR(VLOOKUP($B187,Miljövärden!$B$3:$H$553,MATCH(G$2,Miljövärden!$B$2:$H$2,0),FALSE),"Nej, saknas")</f>
        <v>Ja</v>
      </c>
      <c r="H187" t="str">
        <f>IFERROR(VLOOKUP($B187,Miljövärden!$B$3:$H$553,MATCH(H$2,Miljövärden!$B$2:$H$2,0),FALSE),"Nej, saknas")</f>
        <v>Ja</v>
      </c>
      <c r="P187" t="str">
        <f t="shared" si="5"/>
        <v>ja</v>
      </c>
      <c r="R187">
        <f t="shared" si="4"/>
        <v>162</v>
      </c>
    </row>
    <row r="188" spans="1:18" x14ac:dyDescent="0.45">
      <c r="A188" s="2" t="s">
        <v>432</v>
      </c>
      <c r="B188" s="2" t="s">
        <v>431</v>
      </c>
      <c r="C188">
        <f>IFERROR(VLOOKUP($B188,Miljövärden!$B$3:$H$553,MATCH(C$2,Miljövärden!$B$2:$H$2,0),FALSE),"Saknas")</f>
        <v>0.108209</v>
      </c>
      <c r="D188">
        <f>IFERROR(VLOOKUP($B188,Miljövärden!$B$3:$H$553,MATCH(D$2,Miljövärden!$B$2:$H$2,0),FALSE),"Saknas")</f>
        <v>76.772199999999998</v>
      </c>
      <c r="E188">
        <f>IFERROR(VLOOKUP($B188,Miljövärden!$B$3:$H$553,MATCH(E$2,Miljövärden!$B$2:$H$2,0),FALSE),"Saknas")</f>
        <v>4.5964999999999998</v>
      </c>
      <c r="F188">
        <f>IFERROR(VLOOKUP($B188,Miljövärden!$B$3:$H$553,MATCH(F$2,Miljövärden!$B$2:$H$2,0),FALSE),"Saknas")</f>
        <v>4.9079200000000003E-2</v>
      </c>
      <c r="G188" t="str">
        <f>IFERROR(VLOOKUP($B188,Miljövärden!$B$3:$H$553,MATCH(G$2,Miljövärden!$B$2:$H$2,0),FALSE),"Nej, saknas")</f>
        <v>Ja</v>
      </c>
      <c r="H188" t="str">
        <f>IFERROR(VLOOKUP($B188,Miljövärden!$B$3:$H$553,MATCH(H$2,Miljövärden!$B$2:$H$2,0),FALSE),"Nej, saknas")</f>
        <v>Ja</v>
      </c>
      <c r="P188" t="str">
        <f t="shared" si="5"/>
        <v>ja</v>
      </c>
      <c r="R188">
        <f t="shared" si="4"/>
        <v>163</v>
      </c>
    </row>
    <row r="189" spans="1:18" x14ac:dyDescent="0.45">
      <c r="A189" s="2" t="s">
        <v>428</v>
      </c>
      <c r="B189" s="2" t="s">
        <v>430</v>
      </c>
      <c r="C189">
        <f>IFERROR(VLOOKUP($B189,Miljövärden!$B$3:$H$553,MATCH(C$2,Miljövärden!$B$2:$H$2,0),FALSE),"Saknas")</f>
        <v>3.3735300000000003E-2</v>
      </c>
      <c r="D189">
        <f>IFERROR(VLOOKUP($B189,Miljövärden!$B$3:$H$553,MATCH(D$2,Miljövärden!$B$2:$H$2,0),FALSE),"Saknas")</f>
        <v>9.8249999999999993</v>
      </c>
      <c r="E189">
        <f>IFERROR(VLOOKUP($B189,Miljövärden!$B$3:$H$553,MATCH(E$2,Miljövärden!$B$2:$H$2,0),FALSE),"Saknas")</f>
        <v>2.6153200000000001</v>
      </c>
      <c r="F189">
        <f>IFERROR(VLOOKUP($B189,Miljövärden!$B$3:$H$553,MATCH(F$2,Miljövärden!$B$2:$H$2,0),FALSE),"Saknas")</f>
        <v>1.0567400000000001E-4</v>
      </c>
      <c r="G189" t="str">
        <f>IFERROR(VLOOKUP($B189,Miljövärden!$B$3:$H$553,MATCH(G$2,Miljövärden!$B$2:$H$2,0),FALSE),"Nej, saknas")</f>
        <v>Ja</v>
      </c>
      <c r="H189" t="str">
        <f>IFERROR(VLOOKUP($B189,Miljövärden!$B$3:$H$553,MATCH(H$2,Miljövärden!$B$2:$H$2,0),FALSE),"Nej, saknas")</f>
        <v>Ja</v>
      </c>
      <c r="P189" t="str">
        <f t="shared" si="5"/>
        <v>ja</v>
      </c>
      <c r="R189">
        <f t="shared" si="4"/>
        <v>164</v>
      </c>
    </row>
    <row r="190" spans="1:18" x14ac:dyDescent="0.45">
      <c r="A190" s="2" t="s">
        <v>428</v>
      </c>
      <c r="B190" s="2" t="s">
        <v>429</v>
      </c>
      <c r="C190">
        <f>IFERROR(VLOOKUP($B190,Miljövärden!$B$3:$H$553,MATCH(C$2,Miljövärden!$B$2:$H$2,0),FALSE),"Saknas")</f>
        <v>2.0492400000000001E-2</v>
      </c>
      <c r="D190">
        <f>IFERROR(VLOOKUP($B190,Miljövärden!$B$3:$H$553,MATCH(D$2,Miljövärden!$B$2:$H$2,0),FALSE),"Saknas")</f>
        <v>2.4415300000000002</v>
      </c>
      <c r="E190">
        <f>IFERROR(VLOOKUP($B190,Miljövärden!$B$3:$H$553,MATCH(E$2,Miljövärden!$B$2:$H$2,0),FALSE),"Saknas")</f>
        <v>4.2726800000000003</v>
      </c>
      <c r="F190">
        <f>IFERROR(VLOOKUP($B190,Miljövärden!$B$3:$H$553,MATCH(F$2,Miljövärden!$B$2:$H$2,0),FALSE),"Saknas")</f>
        <v>0</v>
      </c>
      <c r="G190" t="str">
        <f>IFERROR(VLOOKUP($B190,Miljövärden!$B$3:$H$553,MATCH(G$2,Miljövärden!$B$2:$H$2,0),FALSE),"Nej, saknas")</f>
        <v>Ja</v>
      </c>
      <c r="H190" t="str">
        <f>IFERROR(VLOOKUP($B190,Miljövärden!$B$3:$H$553,MATCH(H$2,Miljövärden!$B$2:$H$2,0),FALSE),"Nej, saknas")</f>
        <v>Ja</v>
      </c>
      <c r="P190" t="str">
        <f t="shared" si="5"/>
        <v>ja</v>
      </c>
      <c r="R190">
        <f t="shared" si="4"/>
        <v>165</v>
      </c>
    </row>
    <row r="191" spans="1:18" x14ac:dyDescent="0.45">
      <c r="A191" s="2" t="s">
        <v>428</v>
      </c>
      <c r="B191" s="2" t="s">
        <v>427</v>
      </c>
      <c r="C191">
        <f>IFERROR(VLOOKUP($B191,Miljövärden!$B$3:$H$553,MATCH(C$2,Miljövärden!$B$2:$H$2,0),FALSE),"Saknas")</f>
        <v>0</v>
      </c>
      <c r="D191">
        <f>IFERROR(VLOOKUP($B191,Miljövärden!$B$3:$H$553,MATCH(D$2,Miljövärden!$B$2:$H$2,0),FALSE),"Saknas")</f>
        <v>0</v>
      </c>
      <c r="E191">
        <f>IFERROR(VLOOKUP($B191,Miljövärden!$B$3:$H$553,MATCH(E$2,Miljövärden!$B$2:$H$2,0),FALSE),"Saknas")</f>
        <v>0</v>
      </c>
      <c r="F191">
        <f>IFERROR(VLOOKUP($B191,Miljövärden!$B$3:$H$553,MATCH(F$2,Miljövärden!$B$2:$H$2,0),FALSE),"Saknas")</f>
        <v>0</v>
      </c>
      <c r="G191" t="str">
        <f>IFERROR(VLOOKUP($B191,Miljövärden!$B$3:$H$553,MATCH(G$2,Miljövärden!$B$2:$H$2,0),FALSE),"Nej, saknas")</f>
        <v>Nej</v>
      </c>
      <c r="H191" t="str">
        <f>IFERROR(VLOOKUP($B191,Miljövärden!$B$3:$H$553,MATCH(H$2,Miljövärden!$B$2:$H$2,0),FALSE),"Nej, saknas")</f>
        <v>Nej</v>
      </c>
      <c r="K191" t="s">
        <v>1529</v>
      </c>
      <c r="P191" t="str">
        <f t="shared" si="5"/>
        <v>nej</v>
      </c>
      <c r="R191">
        <f t="shared" si="4"/>
        <v>165</v>
      </c>
    </row>
    <row r="192" spans="1:18" x14ac:dyDescent="0.45">
      <c r="A192" s="2" t="s">
        <v>418</v>
      </c>
      <c r="B192" s="2" t="s">
        <v>426</v>
      </c>
      <c r="C192">
        <f>IFERROR(VLOOKUP($B192,Miljövärden!$B$3:$H$553,MATCH(C$2,Miljövärden!$B$2:$H$2,0),FALSE),"Saknas")</f>
        <v>0.17263700000000001</v>
      </c>
      <c r="D192">
        <f>IFERROR(VLOOKUP($B192,Miljövärden!$B$3:$H$553,MATCH(D$2,Miljövärden!$B$2:$H$2,0),FALSE),"Saknas")</f>
        <v>8.2536699999999996</v>
      </c>
      <c r="E192">
        <f>IFERROR(VLOOKUP($B192,Miljövärden!$B$3:$H$553,MATCH(E$2,Miljövärden!$B$2:$H$2,0),FALSE),"Saknas")</f>
        <v>17.072700000000001</v>
      </c>
      <c r="F192">
        <f>IFERROR(VLOOKUP($B192,Miljövärden!$B$3:$H$553,MATCH(F$2,Miljövärden!$B$2:$H$2,0),FALSE),"Saknas")</f>
        <v>1.0434799999999999E-2</v>
      </c>
      <c r="G192" t="str">
        <f>IFERROR(VLOOKUP($B192,Miljövärden!$B$3:$H$553,MATCH(G$2,Miljövärden!$B$2:$H$2,0),FALSE),"Nej, saknas")</f>
        <v>Ja</v>
      </c>
      <c r="H192" t="str">
        <f>IFERROR(VLOOKUP($B192,Miljövärden!$B$3:$H$553,MATCH(H$2,Miljövärden!$B$2:$H$2,0),FALSE),"Nej, saknas")</f>
        <v>Ja</v>
      </c>
      <c r="P192" t="str">
        <f t="shared" si="5"/>
        <v>ja</v>
      </c>
      <c r="R192">
        <f t="shared" si="4"/>
        <v>166</v>
      </c>
    </row>
    <row r="193" spans="1:18" x14ac:dyDescent="0.45">
      <c r="A193" s="2" t="s">
        <v>418</v>
      </c>
      <c r="B193" s="2" t="s">
        <v>424</v>
      </c>
      <c r="C193">
        <f>IFERROR(VLOOKUP($B193,Miljövärden!$B$3:$H$553,MATCH(C$2,Miljövärden!$B$2:$H$2,0),FALSE),"Saknas")</f>
        <v>0.125111</v>
      </c>
      <c r="D193">
        <f>IFERROR(VLOOKUP($B193,Miljövärden!$B$3:$H$553,MATCH(D$2,Miljövärden!$B$2:$H$2,0),FALSE),"Saknas")</f>
        <v>14.9278</v>
      </c>
      <c r="E193">
        <f>IFERROR(VLOOKUP($B193,Miljövärden!$B$3:$H$553,MATCH(E$2,Miljövärden!$B$2:$H$2,0),FALSE),"Saknas")</f>
        <v>10.311999999999999</v>
      </c>
      <c r="F193">
        <f>IFERROR(VLOOKUP($B193,Miljövärden!$B$3:$H$553,MATCH(F$2,Miljövärden!$B$2:$H$2,0),FALSE),"Saknas")</f>
        <v>3.3354599999999998E-2</v>
      </c>
      <c r="G193" t="str">
        <f>IFERROR(VLOOKUP($B193,Miljövärden!$B$3:$H$553,MATCH(G$2,Miljövärden!$B$2:$H$2,0),FALSE),"Nej, saknas")</f>
        <v>Ja</v>
      </c>
      <c r="H193" t="str">
        <f>IFERROR(VLOOKUP($B193,Miljövärden!$B$3:$H$553,MATCH(H$2,Miljövärden!$B$2:$H$2,0),FALSE),"Nej, saknas")</f>
        <v>Ja</v>
      </c>
      <c r="P193" t="str">
        <f t="shared" si="5"/>
        <v>ja</v>
      </c>
      <c r="R193">
        <f t="shared" si="4"/>
        <v>167</v>
      </c>
    </row>
    <row r="194" spans="1:18" x14ac:dyDescent="0.45">
      <c r="A194" s="2" t="s">
        <v>418</v>
      </c>
      <c r="B194" s="2" t="s">
        <v>423</v>
      </c>
      <c r="C194">
        <f>IFERROR(VLOOKUP($B194,Miljövärden!$B$3:$H$553,MATCH(C$2,Miljövärden!$B$2:$H$2,0),FALSE),"Saknas")</f>
        <v>9.6100599999999994E-2</v>
      </c>
      <c r="D194">
        <f>IFERROR(VLOOKUP($B194,Miljövärden!$B$3:$H$553,MATCH(D$2,Miljövärden!$B$2:$H$2,0),FALSE),"Saknas")</f>
        <v>14.7425</v>
      </c>
      <c r="E194">
        <f>IFERROR(VLOOKUP($B194,Miljövärden!$B$3:$H$553,MATCH(E$2,Miljövärden!$B$2:$H$2,0),FALSE),"Saknas")</f>
        <v>10.179600000000001</v>
      </c>
      <c r="F194">
        <f>IFERROR(VLOOKUP($B194,Miljövärden!$B$3:$H$553,MATCH(F$2,Miljövärden!$B$2:$H$2,0),FALSE),"Saknas")</f>
        <v>2.5053300000000001E-2</v>
      </c>
      <c r="G194" t="str">
        <f>IFERROR(VLOOKUP($B194,Miljövärden!$B$3:$H$553,MATCH(G$2,Miljövärden!$B$2:$H$2,0),FALSE),"Nej, saknas")</f>
        <v>Ja</v>
      </c>
      <c r="H194" t="str">
        <f>IFERROR(VLOOKUP($B194,Miljövärden!$B$3:$H$553,MATCH(H$2,Miljövärden!$B$2:$H$2,0),FALSE),"Nej, saknas")</f>
        <v>Ja</v>
      </c>
      <c r="P194" t="str">
        <f t="shared" si="5"/>
        <v>ja</v>
      </c>
      <c r="R194">
        <f t="shared" si="4"/>
        <v>168</v>
      </c>
    </row>
    <row r="195" spans="1:18" x14ac:dyDescent="0.45">
      <c r="A195" s="2" t="s">
        <v>418</v>
      </c>
      <c r="B195" s="2" t="s">
        <v>422</v>
      </c>
      <c r="C195">
        <f>IFERROR(VLOOKUP($B195,Miljövärden!$B$3:$H$553,MATCH(C$2,Miljövärden!$B$2:$H$2,0),FALSE),"Saknas")</f>
        <v>0.15668899999999999</v>
      </c>
      <c r="D195">
        <f>IFERROR(VLOOKUP($B195,Miljövärden!$B$3:$H$553,MATCH(D$2,Miljövärden!$B$2:$H$2,0),FALSE),"Saknas")</f>
        <v>5.5427999999999997</v>
      </c>
      <c r="E195">
        <f>IFERROR(VLOOKUP($B195,Miljövärden!$B$3:$H$553,MATCH(E$2,Miljövärden!$B$2:$H$2,0),FALSE),"Saknas")</f>
        <v>19.399799999999999</v>
      </c>
      <c r="F195">
        <f>IFERROR(VLOOKUP($B195,Miljövärden!$B$3:$H$553,MATCH(F$2,Miljövärden!$B$2:$H$2,0),FALSE),"Saknas")</f>
        <v>0</v>
      </c>
      <c r="G195" t="str">
        <f>IFERROR(VLOOKUP($B195,Miljövärden!$B$3:$H$553,MATCH(G$2,Miljövärden!$B$2:$H$2,0),FALSE),"Nej, saknas")</f>
        <v>Ja</v>
      </c>
      <c r="H195" t="str">
        <f>IFERROR(VLOOKUP($B195,Miljövärden!$B$3:$H$553,MATCH(H$2,Miljövärden!$B$2:$H$2,0),FALSE),"Nej, saknas")</f>
        <v>Ja</v>
      </c>
      <c r="P195" t="str">
        <f t="shared" si="5"/>
        <v>ja</v>
      </c>
      <c r="R195">
        <f t="shared" si="4"/>
        <v>169</v>
      </c>
    </row>
    <row r="196" spans="1:18" x14ac:dyDescent="0.45">
      <c r="A196" s="2" t="s">
        <v>418</v>
      </c>
      <c r="B196" s="2" t="s">
        <v>1181</v>
      </c>
      <c r="C196">
        <f>IFERROR(VLOOKUP($B196,Miljövärden!$B$3:$H$553,MATCH(C$2,Miljövärden!$B$2:$H$2,0),FALSE),"Saknas")</f>
        <v>0.26840599999999998</v>
      </c>
      <c r="D196">
        <f>IFERROR(VLOOKUP($B196,Miljövärden!$B$3:$H$553,MATCH(D$2,Miljövärden!$B$2:$H$2,0),FALSE),"Saknas")</f>
        <v>9.3427399999999992</v>
      </c>
      <c r="E196">
        <f>IFERROR(VLOOKUP($B196,Miljövärden!$B$3:$H$553,MATCH(E$2,Miljövärden!$B$2:$H$2,0),FALSE),"Saknas")</f>
        <v>18.488</v>
      </c>
      <c r="F196">
        <f>IFERROR(VLOOKUP($B196,Miljövärden!$B$3:$H$553,MATCH(F$2,Miljövärden!$B$2:$H$2,0),FALSE),"Saknas")</f>
        <v>1.0999999999999999E-2</v>
      </c>
      <c r="G196" t="str">
        <f>IFERROR(VLOOKUP($B196,Miljövärden!$B$3:$H$553,MATCH(G$2,Miljövärden!$B$2:$H$2,0),FALSE),"Nej, saknas")</f>
        <v>Ja</v>
      </c>
      <c r="H196" t="str">
        <f>IFERROR(VLOOKUP($B196,Miljövärden!$B$3:$H$553,MATCH(H$2,Miljövärden!$B$2:$H$2,0),FALSE),"Nej, saknas")</f>
        <v>Ja</v>
      </c>
      <c r="P196" t="str">
        <f t="shared" si="5"/>
        <v>ja</v>
      </c>
      <c r="R196">
        <f t="shared" ref="R196:R259" si="6">IF(ISERROR(P196),R195,IF(P196="ja",R195+1,R195))</f>
        <v>170</v>
      </c>
    </row>
    <row r="197" spans="1:18" x14ac:dyDescent="0.45">
      <c r="A197" s="2" t="s">
        <v>418</v>
      </c>
      <c r="B197" s="2" t="s">
        <v>97</v>
      </c>
      <c r="C197">
        <f>IFERROR(VLOOKUP($B197,Miljövärden!$B$3:$H$553,MATCH(C$2,Miljövärden!$B$2:$H$2,0),FALSE),"Saknas")</f>
        <v>6.0981300000000002E-2</v>
      </c>
      <c r="D197">
        <f>IFERROR(VLOOKUP($B197,Miljövärden!$B$3:$H$553,MATCH(D$2,Miljövärden!$B$2:$H$2,0),FALSE),"Saknas")</f>
        <v>5.3272000000000004</v>
      </c>
      <c r="E197">
        <f>IFERROR(VLOOKUP($B197,Miljövärden!$B$3:$H$553,MATCH(E$2,Miljövärden!$B$2:$H$2,0),FALSE),"Saknas")</f>
        <v>8.4749300000000005</v>
      </c>
      <c r="F197">
        <f>IFERROR(VLOOKUP($B197,Miljövärden!$B$3:$H$553,MATCH(F$2,Miljövärden!$B$2:$H$2,0),FALSE),"Saknas")</f>
        <v>1.5451499999999999E-3</v>
      </c>
      <c r="G197" t="str">
        <f>IFERROR(VLOOKUP($B197,Miljövärden!$B$3:$H$553,MATCH(G$2,Miljövärden!$B$2:$H$2,0),FALSE),"Nej, saknas")</f>
        <v>Ja</v>
      </c>
      <c r="H197" t="str">
        <f>IFERROR(VLOOKUP($B197,Miljövärden!$B$3:$H$553,MATCH(H$2,Miljövärden!$B$2:$H$2,0),FALSE),"Nej, saknas")</f>
        <v>Ja</v>
      </c>
      <c r="P197" t="str">
        <f t="shared" ref="P197:P260" si="7">IF(K197="x","nej",
IF(L197="x","ja",
IF(H197="ja","ja","nej")))</f>
        <v>ja</v>
      </c>
      <c r="R197">
        <f t="shared" si="6"/>
        <v>171</v>
      </c>
    </row>
    <row r="198" spans="1:18" x14ac:dyDescent="0.45">
      <c r="A198" s="2" t="s">
        <v>418</v>
      </c>
      <c r="B198" s="2" t="s">
        <v>99</v>
      </c>
      <c r="C198">
        <f>IFERROR(VLOOKUP($B198,Miljövärden!$B$3:$H$553,MATCH(C$2,Miljövärden!$B$2:$H$2,0),FALSE),"Saknas")</f>
        <v>0.31016500000000002</v>
      </c>
      <c r="D198">
        <f>IFERROR(VLOOKUP($B198,Miljövärden!$B$3:$H$553,MATCH(D$2,Miljövärden!$B$2:$H$2,0),FALSE),"Saknas")</f>
        <v>89.426900000000003</v>
      </c>
      <c r="E198">
        <f>IFERROR(VLOOKUP($B198,Miljövärden!$B$3:$H$553,MATCH(E$2,Miljövärden!$B$2:$H$2,0),FALSE),"Saknas")</f>
        <v>16.3169</v>
      </c>
      <c r="F198">
        <f>IFERROR(VLOOKUP($B198,Miljövärden!$B$3:$H$553,MATCH(F$2,Miljövärden!$B$2:$H$2,0),FALSE),"Saknas")</f>
        <v>1.4800900000000001E-2</v>
      </c>
      <c r="G198" t="str">
        <f>IFERROR(VLOOKUP($B198,Miljövärden!$B$3:$H$553,MATCH(G$2,Miljövärden!$B$2:$H$2,0),FALSE),"Nej, saknas")</f>
        <v>Ja</v>
      </c>
      <c r="H198" t="str">
        <f>IFERROR(VLOOKUP($B198,Miljövärden!$B$3:$H$553,MATCH(H$2,Miljövärden!$B$2:$H$2,0),FALSE),"Nej, saknas")</f>
        <v>Ja</v>
      </c>
      <c r="P198" t="str">
        <f t="shared" si="7"/>
        <v>ja</v>
      </c>
      <c r="R198">
        <f t="shared" si="6"/>
        <v>172</v>
      </c>
    </row>
    <row r="199" spans="1:18" x14ac:dyDescent="0.45">
      <c r="A199" s="2" t="s">
        <v>418</v>
      </c>
      <c r="B199" s="2" t="s">
        <v>421</v>
      </c>
      <c r="C199">
        <f>IFERROR(VLOOKUP($B199,Miljövärden!$B$3:$H$553,MATCH(C$2,Miljövärden!$B$2:$H$2,0),FALSE),"Saknas")</f>
        <v>0.168715</v>
      </c>
      <c r="D199">
        <f>IFERROR(VLOOKUP($B199,Miljövärden!$B$3:$H$553,MATCH(D$2,Miljövärden!$B$2:$H$2,0),FALSE),"Saknas")</f>
        <v>7.6417000000000002</v>
      </c>
      <c r="E199">
        <f>IFERROR(VLOOKUP($B199,Miljövärden!$B$3:$H$553,MATCH(E$2,Miljövärden!$B$2:$H$2,0),FALSE),"Saknas")</f>
        <v>17.7896</v>
      </c>
      <c r="F199">
        <f>IFERROR(VLOOKUP($B199,Miljövärden!$B$3:$H$553,MATCH(F$2,Miljövärden!$B$2:$H$2,0),FALSE),"Saknas")</f>
        <v>7.62045E-3</v>
      </c>
      <c r="G199" t="str">
        <f>IFERROR(VLOOKUP($B199,Miljövärden!$B$3:$H$553,MATCH(G$2,Miljövärden!$B$2:$H$2,0),FALSE),"Nej, saknas")</f>
        <v>Ja</v>
      </c>
      <c r="H199" t="str">
        <f>IFERROR(VLOOKUP($B199,Miljövärden!$B$3:$H$553,MATCH(H$2,Miljövärden!$B$2:$H$2,0),FALSE),"Nej, saknas")</f>
        <v>Ja</v>
      </c>
      <c r="P199" t="str">
        <f t="shared" si="7"/>
        <v>ja</v>
      </c>
      <c r="R199">
        <f t="shared" si="6"/>
        <v>173</v>
      </c>
    </row>
    <row r="200" spans="1:18" x14ac:dyDescent="0.45">
      <c r="A200" s="2" t="s">
        <v>418</v>
      </c>
      <c r="B200" s="2" t="s">
        <v>101</v>
      </c>
      <c r="C200">
        <f>IFERROR(VLOOKUP($B200,Miljövärden!$B$3:$H$553,MATCH(C$2,Miljövärden!$B$2:$H$2,0),FALSE),"Saknas")</f>
        <v>0.157911</v>
      </c>
      <c r="D200">
        <f>IFERROR(VLOOKUP($B200,Miljövärden!$B$3:$H$553,MATCH(D$2,Miljövärden!$B$2:$H$2,0),FALSE),"Saknas")</f>
        <v>5.8852200000000003</v>
      </c>
      <c r="E200">
        <f>IFERROR(VLOOKUP($B200,Miljövärden!$B$3:$H$553,MATCH(E$2,Miljövärden!$B$2:$H$2,0),FALSE),"Saknas")</f>
        <v>17.756599999999999</v>
      </c>
      <c r="F200">
        <f>IFERROR(VLOOKUP($B200,Miljövärden!$B$3:$H$553,MATCH(F$2,Miljövärden!$B$2:$H$2,0),FALSE),"Saknas")</f>
        <v>2.4224400000000001E-3</v>
      </c>
      <c r="G200" t="str">
        <f>IFERROR(VLOOKUP($B200,Miljövärden!$B$3:$H$553,MATCH(G$2,Miljövärden!$B$2:$H$2,0),FALSE),"Nej, saknas")</f>
        <v>Ja</v>
      </c>
      <c r="H200" t="str">
        <f>IFERROR(VLOOKUP($B200,Miljövärden!$B$3:$H$553,MATCH(H$2,Miljövärden!$B$2:$H$2,0),FALSE),"Nej, saknas")</f>
        <v>Ja</v>
      </c>
      <c r="P200" t="str">
        <f t="shared" si="7"/>
        <v>ja</v>
      </c>
      <c r="R200">
        <f t="shared" si="6"/>
        <v>174</v>
      </c>
    </row>
    <row r="201" spans="1:18" x14ac:dyDescent="0.45">
      <c r="A201" s="2" t="s">
        <v>418</v>
      </c>
      <c r="B201" s="2" t="s">
        <v>103</v>
      </c>
      <c r="C201">
        <f>IFERROR(VLOOKUP($B201,Miljövärden!$B$3:$H$553,MATCH(C$2,Miljövärden!$B$2:$H$2,0),FALSE),"Saknas")</f>
        <v>7.8527E-2</v>
      </c>
      <c r="D201">
        <f>IFERROR(VLOOKUP($B201,Miljövärden!$B$3:$H$553,MATCH(D$2,Miljövärden!$B$2:$H$2,0),FALSE),"Saknas")</f>
        <v>5.8212799999999998</v>
      </c>
      <c r="E201">
        <f>IFERROR(VLOOKUP($B201,Miljövärden!$B$3:$H$553,MATCH(E$2,Miljövärden!$B$2:$H$2,0),FALSE),"Saknas")</f>
        <v>9.8939299999999992</v>
      </c>
      <c r="F201">
        <f>IFERROR(VLOOKUP($B201,Miljövärden!$B$3:$H$553,MATCH(F$2,Miljövärden!$B$2:$H$2,0),FALSE),"Saknas")</f>
        <v>3.1779199999999999E-3</v>
      </c>
      <c r="G201" t="str">
        <f>IFERROR(VLOOKUP($B201,Miljövärden!$B$3:$H$553,MATCH(G$2,Miljövärden!$B$2:$H$2,0),FALSE),"Nej, saknas")</f>
        <v>Ja</v>
      </c>
      <c r="H201" t="str">
        <f>IFERROR(VLOOKUP($B201,Miljövärden!$B$3:$H$553,MATCH(H$2,Miljövärden!$B$2:$H$2,0),FALSE),"Nej, saknas")</f>
        <v>Ja</v>
      </c>
      <c r="P201" t="str">
        <f t="shared" si="7"/>
        <v>ja</v>
      </c>
      <c r="R201">
        <f t="shared" si="6"/>
        <v>175</v>
      </c>
    </row>
    <row r="202" spans="1:18" x14ac:dyDescent="0.45">
      <c r="A202" s="2" t="s">
        <v>418</v>
      </c>
      <c r="B202" s="2" t="s">
        <v>105</v>
      </c>
      <c r="C202">
        <f>IFERROR(VLOOKUP($B202,Miljövärden!$B$3:$H$553,MATCH(C$2,Miljövärden!$B$2:$H$2,0),FALSE),"Saknas")</f>
        <v>0.138906</v>
      </c>
      <c r="D202">
        <f>IFERROR(VLOOKUP($B202,Miljövärden!$B$3:$H$553,MATCH(D$2,Miljövärden!$B$2:$H$2,0),FALSE),"Saknas")</f>
        <v>5.0284500000000003</v>
      </c>
      <c r="E202">
        <f>IFERROR(VLOOKUP($B202,Miljövärden!$B$3:$H$553,MATCH(E$2,Miljövärden!$B$2:$H$2,0),FALSE),"Saknas")</f>
        <v>14.5204</v>
      </c>
      <c r="F202">
        <f>IFERROR(VLOOKUP($B202,Miljövärden!$B$3:$H$553,MATCH(F$2,Miljövärden!$B$2:$H$2,0),FALSE),"Saknas")</f>
        <v>1.77571E-3</v>
      </c>
      <c r="G202" t="str">
        <f>IFERROR(VLOOKUP($B202,Miljövärden!$B$3:$H$553,MATCH(G$2,Miljövärden!$B$2:$H$2,0),FALSE),"Nej, saknas")</f>
        <v>Ja</v>
      </c>
      <c r="H202" t="str">
        <f>IFERROR(VLOOKUP($B202,Miljövärden!$B$3:$H$553,MATCH(H$2,Miljövärden!$B$2:$H$2,0),FALSE),"Nej, saknas")</f>
        <v>Ja</v>
      </c>
      <c r="P202" t="str">
        <f t="shared" si="7"/>
        <v>ja</v>
      </c>
      <c r="R202">
        <f t="shared" si="6"/>
        <v>176</v>
      </c>
    </row>
    <row r="203" spans="1:18" x14ac:dyDescent="0.45">
      <c r="A203" s="2" t="s">
        <v>418</v>
      </c>
      <c r="B203" s="2" t="s">
        <v>1183</v>
      </c>
      <c r="C203">
        <f>IFERROR(VLOOKUP($B203,Miljövärden!$B$3:$H$553,MATCH(C$2,Miljövärden!$B$2:$H$2,0),FALSE),"Saknas")</f>
        <v>0.249417</v>
      </c>
      <c r="D203">
        <f>IFERROR(VLOOKUP($B203,Miljövärden!$B$3:$H$553,MATCH(D$2,Miljövärden!$B$2:$H$2,0),FALSE),"Saknas")</f>
        <v>21.462</v>
      </c>
      <c r="E203">
        <f>IFERROR(VLOOKUP($B203,Miljövärden!$B$3:$H$553,MATCH(E$2,Miljövärden!$B$2:$H$2,0),FALSE),"Saknas")</f>
        <v>20.4222</v>
      </c>
      <c r="F203">
        <f>IFERROR(VLOOKUP($B203,Miljövärden!$B$3:$H$553,MATCH(F$2,Miljövärden!$B$2:$H$2,0),FALSE),"Saknas")</f>
        <v>4.1049200000000001E-2</v>
      </c>
      <c r="G203" t="str">
        <f>IFERROR(VLOOKUP($B203,Miljövärden!$B$3:$H$553,MATCH(G$2,Miljövärden!$B$2:$H$2,0),FALSE),"Nej, saknas")</f>
        <v>Ja</v>
      </c>
      <c r="H203" t="str">
        <f>IFERROR(VLOOKUP($B203,Miljövärden!$B$3:$H$553,MATCH(H$2,Miljövärden!$B$2:$H$2,0),FALSE),"Nej, saknas")</f>
        <v>Ja</v>
      </c>
      <c r="P203" t="str">
        <f t="shared" si="7"/>
        <v>ja</v>
      </c>
      <c r="R203">
        <f t="shared" si="6"/>
        <v>177</v>
      </c>
    </row>
    <row r="204" spans="1:18" x14ac:dyDescent="0.45">
      <c r="A204" s="2" t="s">
        <v>418</v>
      </c>
      <c r="B204" s="2" t="s">
        <v>107</v>
      </c>
      <c r="C204">
        <f>IFERROR(VLOOKUP($B204,Miljövärden!$B$3:$H$553,MATCH(C$2,Miljövärden!$B$2:$H$2,0),FALSE),"Saknas")</f>
        <v>0.14821400000000001</v>
      </c>
      <c r="D204">
        <f>IFERROR(VLOOKUP($B204,Miljövärden!$B$3:$H$553,MATCH(D$2,Miljövärden!$B$2:$H$2,0),FALSE),"Saknas")</f>
        <v>24.300799999999999</v>
      </c>
      <c r="E204">
        <f>IFERROR(VLOOKUP($B204,Miljövärden!$B$3:$H$553,MATCH(E$2,Miljövärden!$B$2:$H$2,0),FALSE),"Saknas")</f>
        <v>12.1059</v>
      </c>
      <c r="F204">
        <f>IFERROR(VLOOKUP($B204,Miljövärden!$B$3:$H$553,MATCH(F$2,Miljövärden!$B$2:$H$2,0),FALSE),"Saknas")</f>
        <v>5.6894500000000001E-2</v>
      </c>
      <c r="G204" t="str">
        <f>IFERROR(VLOOKUP($B204,Miljövärden!$B$3:$H$553,MATCH(G$2,Miljövärden!$B$2:$H$2,0),FALSE),"Nej, saknas")</f>
        <v>Nej</v>
      </c>
      <c r="H204" t="str">
        <f>IFERROR(VLOOKUP($B204,Miljövärden!$B$3:$H$553,MATCH(H$2,Miljövärden!$B$2:$H$2,0),FALSE),"Nej, saknas")</f>
        <v>Ja</v>
      </c>
      <c r="P204" t="str">
        <f t="shared" si="7"/>
        <v>ja</v>
      </c>
      <c r="R204">
        <f t="shared" si="6"/>
        <v>178</v>
      </c>
    </row>
    <row r="205" spans="1:18" x14ac:dyDescent="0.45">
      <c r="A205" s="2" t="s">
        <v>418</v>
      </c>
      <c r="B205" s="2" t="s">
        <v>420</v>
      </c>
      <c r="C205">
        <f>IFERROR(VLOOKUP($B205,Miljövärden!$B$3:$H$553,MATCH(C$2,Miljövärden!$B$2:$H$2,0),FALSE),"Saknas")</f>
        <v>9.4445799999999996E-2</v>
      </c>
      <c r="D205">
        <f>IFERROR(VLOOKUP($B205,Miljövärden!$B$3:$H$553,MATCH(D$2,Miljövärden!$B$2:$H$2,0),FALSE),"Saknas")</f>
        <v>7.91561</v>
      </c>
      <c r="E205">
        <f>IFERROR(VLOOKUP($B205,Miljövärden!$B$3:$H$553,MATCH(E$2,Miljövärden!$B$2:$H$2,0),FALSE),"Saknas")</f>
        <v>6.7168799999999997</v>
      </c>
      <c r="F205">
        <f>IFERROR(VLOOKUP($B205,Miljövärden!$B$3:$H$553,MATCH(F$2,Miljövärden!$B$2:$H$2,0),FALSE),"Saknas")</f>
        <v>1.64516E-2</v>
      </c>
      <c r="G205" t="str">
        <f>IFERROR(VLOOKUP($B205,Miljövärden!$B$3:$H$553,MATCH(G$2,Miljövärden!$B$2:$H$2,0),FALSE),"Nej, saknas")</f>
        <v>Ja</v>
      </c>
      <c r="H205" t="str">
        <f>IFERROR(VLOOKUP($B205,Miljövärden!$B$3:$H$553,MATCH(H$2,Miljövärden!$B$2:$H$2,0),FALSE),"Nej, saknas")</f>
        <v>Ja</v>
      </c>
      <c r="P205" t="str">
        <f t="shared" si="7"/>
        <v>ja</v>
      </c>
      <c r="R205">
        <f t="shared" si="6"/>
        <v>179</v>
      </c>
    </row>
    <row r="206" spans="1:18" x14ac:dyDescent="0.45">
      <c r="A206" s="2" t="s">
        <v>418</v>
      </c>
      <c r="B206" s="2" t="s">
        <v>419</v>
      </c>
      <c r="C206">
        <f>IFERROR(VLOOKUP($B206,Miljövärden!$B$3:$H$553,MATCH(C$2,Miljövärden!$B$2:$H$2,0),FALSE),"Saknas")</f>
        <v>0.14341200000000001</v>
      </c>
      <c r="D206">
        <f>IFERROR(VLOOKUP($B206,Miljövärden!$B$3:$H$553,MATCH(D$2,Miljövärden!$B$2:$H$2,0),FALSE),"Saknas")</f>
        <v>21.938500000000001</v>
      </c>
      <c r="E206">
        <f>IFERROR(VLOOKUP($B206,Miljövärden!$B$3:$H$553,MATCH(E$2,Miljövärden!$B$2:$H$2,0),FALSE),"Saknas")</f>
        <v>11.989800000000001</v>
      </c>
      <c r="F206">
        <f>IFERROR(VLOOKUP($B206,Miljövärden!$B$3:$H$553,MATCH(F$2,Miljövärden!$B$2:$H$2,0),FALSE),"Saknas")</f>
        <v>3.6564600000000003E-2</v>
      </c>
      <c r="G206" t="str">
        <f>IFERROR(VLOOKUP($B206,Miljövärden!$B$3:$H$553,MATCH(G$2,Miljövärden!$B$2:$H$2,0),FALSE),"Nej, saknas")</f>
        <v>Ja</v>
      </c>
      <c r="H206" t="str">
        <f>IFERROR(VLOOKUP($B206,Miljövärden!$B$3:$H$553,MATCH(H$2,Miljövärden!$B$2:$H$2,0),FALSE),"Nej, saknas")</f>
        <v>Ja</v>
      </c>
      <c r="P206" t="str">
        <f t="shared" si="7"/>
        <v>ja</v>
      </c>
      <c r="R206">
        <f t="shared" si="6"/>
        <v>180</v>
      </c>
    </row>
    <row r="207" spans="1:18" x14ac:dyDescent="0.45">
      <c r="A207" s="2" t="s">
        <v>418</v>
      </c>
      <c r="B207" s="2" t="s">
        <v>109</v>
      </c>
      <c r="C207">
        <f>IFERROR(VLOOKUP($B207,Miljövärden!$B$3:$H$553,MATCH(C$2,Miljövärden!$B$2:$H$2,0),FALSE),"Saknas")</f>
        <v>0.17988899999999999</v>
      </c>
      <c r="D207">
        <f>IFERROR(VLOOKUP($B207,Miljövärden!$B$3:$H$553,MATCH(D$2,Miljövärden!$B$2:$H$2,0),FALSE),"Saknas")</f>
        <v>12.503299999999999</v>
      </c>
      <c r="E207">
        <f>IFERROR(VLOOKUP($B207,Miljövärden!$B$3:$H$553,MATCH(E$2,Miljövärden!$B$2:$H$2,0),FALSE),"Saknas")</f>
        <v>17.005600000000001</v>
      </c>
      <c r="F207">
        <f>IFERROR(VLOOKUP($B207,Miljövärden!$B$3:$H$553,MATCH(F$2,Miljövärden!$B$2:$H$2,0),FALSE),"Saknas")</f>
        <v>2.40374E-2</v>
      </c>
      <c r="G207" t="str">
        <f>IFERROR(VLOOKUP($B207,Miljövärden!$B$3:$H$553,MATCH(G$2,Miljövärden!$B$2:$H$2,0),FALSE),"Nej, saknas")</f>
        <v>Nej</v>
      </c>
      <c r="H207" t="str">
        <f>IFERROR(VLOOKUP($B207,Miljövärden!$B$3:$H$553,MATCH(H$2,Miljövärden!$B$2:$H$2,0),FALSE),"Nej, saknas")</f>
        <v>Ja</v>
      </c>
      <c r="P207" t="str">
        <f t="shared" si="7"/>
        <v>ja</v>
      </c>
      <c r="R207">
        <f t="shared" si="6"/>
        <v>181</v>
      </c>
    </row>
    <row r="208" spans="1:18" x14ac:dyDescent="0.45">
      <c r="A208" s="2" t="s">
        <v>416</v>
      </c>
      <c r="B208" s="2" t="s">
        <v>417</v>
      </c>
      <c r="C208">
        <f>IFERROR(VLOOKUP($B208,Miljövärden!$B$3:$H$553,MATCH(C$2,Miljövärden!$B$2:$H$2,0),FALSE),"Saknas")</f>
        <v>0.109096</v>
      </c>
      <c r="D208">
        <f>IFERROR(VLOOKUP($B208,Miljövärden!$B$3:$H$553,MATCH(D$2,Miljövärden!$B$2:$H$2,0),FALSE),"Saknas")</f>
        <v>13.270099999999999</v>
      </c>
      <c r="E208">
        <f>IFERROR(VLOOKUP($B208,Miljövärden!$B$3:$H$553,MATCH(E$2,Miljövärden!$B$2:$H$2,0),FALSE),"Saknas")</f>
        <v>10.0556</v>
      </c>
      <c r="F208">
        <f>IFERROR(VLOOKUP($B208,Miljövärden!$B$3:$H$553,MATCH(F$2,Miljövärden!$B$2:$H$2,0),FALSE),"Saknas")</f>
        <v>7.1598199999999999E-3</v>
      </c>
      <c r="G208" t="str">
        <f>IFERROR(VLOOKUP($B208,Miljövärden!$B$3:$H$553,MATCH(G$2,Miljövärden!$B$2:$H$2,0),FALSE),"Nej, saknas")</f>
        <v>Ja</v>
      </c>
      <c r="H208" t="str">
        <f>IFERROR(VLOOKUP($B208,Miljövärden!$B$3:$H$553,MATCH(H$2,Miljövärden!$B$2:$H$2,0),FALSE),"Nej, saknas")</f>
        <v>Ja</v>
      </c>
      <c r="P208" t="str">
        <f t="shared" si="7"/>
        <v>ja</v>
      </c>
      <c r="R208">
        <f t="shared" si="6"/>
        <v>182</v>
      </c>
    </row>
    <row r="209" spans="1:18" x14ac:dyDescent="0.45">
      <c r="A209" s="2" t="s">
        <v>416</v>
      </c>
      <c r="B209" s="2" t="s">
        <v>415</v>
      </c>
      <c r="C209">
        <f>IFERROR(VLOOKUP($B209,Miljövärden!$B$3:$H$553,MATCH(C$2,Miljövärden!$B$2:$H$2,0),FALSE),"Saknas")</f>
        <v>0.116586</v>
      </c>
      <c r="D209">
        <f>IFERROR(VLOOKUP($B209,Miljövärden!$B$3:$H$553,MATCH(D$2,Miljövärden!$B$2:$H$2,0),FALSE),"Saknas")</f>
        <v>15.273300000000001</v>
      </c>
      <c r="E209">
        <f>IFERROR(VLOOKUP($B209,Miljövärden!$B$3:$H$553,MATCH(E$2,Miljövärden!$B$2:$H$2,0),FALSE),"Saknas")</f>
        <v>9.7674199999999995</v>
      </c>
      <c r="F209">
        <f>IFERROR(VLOOKUP($B209,Miljövärden!$B$3:$H$553,MATCH(F$2,Miljövärden!$B$2:$H$2,0),FALSE),"Saknas")</f>
        <v>1.35269E-2</v>
      </c>
      <c r="G209" t="str">
        <f>IFERROR(VLOOKUP($B209,Miljövärden!$B$3:$H$553,MATCH(G$2,Miljövärden!$B$2:$H$2,0),FALSE),"Nej, saknas")</f>
        <v>Ja</v>
      </c>
      <c r="H209" t="str">
        <f>IFERROR(VLOOKUP($B209,Miljövärden!$B$3:$H$553,MATCH(H$2,Miljövärden!$B$2:$H$2,0),FALSE),"Nej, saknas")</f>
        <v>Ja</v>
      </c>
      <c r="P209" t="str">
        <f t="shared" si="7"/>
        <v>ja</v>
      </c>
      <c r="R209">
        <f t="shared" si="6"/>
        <v>183</v>
      </c>
    </row>
    <row r="210" spans="1:18" x14ac:dyDescent="0.45">
      <c r="A210" s="2" t="s">
        <v>413</v>
      </c>
      <c r="B210" s="2" t="s">
        <v>414</v>
      </c>
      <c r="C210">
        <f>IFERROR(VLOOKUP($B210,Miljövärden!$B$3:$H$553,MATCH(C$2,Miljövärden!$B$2:$H$2,0),FALSE),"Saknas")</f>
        <v>0.14789099999999999</v>
      </c>
      <c r="D210">
        <f>IFERROR(VLOOKUP($B210,Miljövärden!$B$3:$H$553,MATCH(D$2,Miljövärden!$B$2:$H$2,0),FALSE),"Saknas")</f>
        <v>23.072600000000001</v>
      </c>
      <c r="E210">
        <f>IFERROR(VLOOKUP($B210,Miljövärden!$B$3:$H$553,MATCH(E$2,Miljövärden!$B$2:$H$2,0),FALSE),"Saknas")</f>
        <v>9.9638299999999997</v>
      </c>
      <c r="F210">
        <f>IFERROR(VLOOKUP($B210,Miljövärden!$B$3:$H$553,MATCH(F$2,Miljövärden!$B$2:$H$2,0),FALSE),"Saknas")</f>
        <v>3.5807199999999997E-2</v>
      </c>
      <c r="G210" t="str">
        <f>IFERROR(VLOOKUP($B210,Miljövärden!$B$3:$H$553,MATCH(G$2,Miljövärden!$B$2:$H$2,0),FALSE),"Nej, saknas")</f>
        <v>Ja</v>
      </c>
      <c r="H210" t="str">
        <f>IFERROR(VLOOKUP($B210,Miljövärden!$B$3:$H$553,MATCH(H$2,Miljövärden!$B$2:$H$2,0),FALSE),"Nej, saknas")</f>
        <v>Ja</v>
      </c>
      <c r="P210" t="str">
        <f t="shared" si="7"/>
        <v>ja</v>
      </c>
      <c r="R210">
        <f t="shared" si="6"/>
        <v>184</v>
      </c>
    </row>
    <row r="211" spans="1:18" x14ac:dyDescent="0.45">
      <c r="A211" s="2" t="s">
        <v>413</v>
      </c>
      <c r="B211" s="2" t="s">
        <v>412</v>
      </c>
      <c r="C211">
        <f>IFERROR(VLOOKUP($B211,Miljövärden!$B$3:$H$553,MATCH(C$2,Miljövärden!$B$2:$H$2,0),FALSE),"Saknas")</f>
        <v>0.13358600000000001</v>
      </c>
      <c r="D211">
        <f>IFERROR(VLOOKUP($B211,Miljövärden!$B$3:$H$553,MATCH(D$2,Miljövärden!$B$2:$H$2,0),FALSE),"Saknas")</f>
        <v>16.720700000000001</v>
      </c>
      <c r="E211">
        <f>IFERROR(VLOOKUP($B211,Miljövärden!$B$3:$H$553,MATCH(E$2,Miljövärden!$B$2:$H$2,0),FALSE),"Saknas")</f>
        <v>5.6951400000000003</v>
      </c>
      <c r="F211">
        <f>IFERROR(VLOOKUP($B211,Miljövärden!$B$3:$H$553,MATCH(F$2,Miljövärden!$B$2:$H$2,0),FALSE),"Saknas")</f>
        <v>2.0570000000000001E-2</v>
      </c>
      <c r="G211" t="str">
        <f>IFERROR(VLOOKUP($B211,Miljövärden!$B$3:$H$553,MATCH(G$2,Miljövärden!$B$2:$H$2,0),FALSE),"Nej, saknas")</f>
        <v>Ja</v>
      </c>
      <c r="H211" t="str">
        <f>IFERROR(VLOOKUP($B211,Miljövärden!$B$3:$H$553,MATCH(H$2,Miljövärden!$B$2:$H$2,0),FALSE),"Nej, saknas")</f>
        <v>Ja</v>
      </c>
      <c r="P211" t="str">
        <f t="shared" si="7"/>
        <v>ja</v>
      </c>
      <c r="R211">
        <f t="shared" si="6"/>
        <v>185</v>
      </c>
    </row>
    <row r="212" spans="1:18" x14ac:dyDescent="0.45">
      <c r="A212" s="2" t="s">
        <v>411</v>
      </c>
      <c r="B212" s="2" t="s">
        <v>410</v>
      </c>
      <c r="C212">
        <f>IFERROR(VLOOKUP($B212,Miljövärden!$B$3:$H$553,MATCH(C$2,Miljövärden!$B$2:$H$2,0),FALSE),"Saknas")</f>
        <v>0.203902</v>
      </c>
      <c r="D212">
        <f>IFERROR(VLOOKUP($B212,Miljövärden!$B$3:$H$553,MATCH(D$2,Miljövärden!$B$2:$H$2,0),FALSE),"Saknas")</f>
        <v>36.447099999999999</v>
      </c>
      <c r="E212">
        <f>IFERROR(VLOOKUP($B212,Miljövärden!$B$3:$H$553,MATCH(E$2,Miljövärden!$B$2:$H$2,0),FALSE),"Saknas")</f>
        <v>10.223800000000001</v>
      </c>
      <c r="F212">
        <f>IFERROR(VLOOKUP($B212,Miljövärden!$B$3:$H$553,MATCH(F$2,Miljövärden!$B$2:$H$2,0),FALSE),"Saknas")</f>
        <v>8.04343E-2</v>
      </c>
      <c r="G212" t="str">
        <f>IFERROR(VLOOKUP($B212,Miljövärden!$B$3:$H$553,MATCH(G$2,Miljövärden!$B$2:$H$2,0),FALSE),"Nej, saknas")</f>
        <v>Nej</v>
      </c>
      <c r="H212" t="str">
        <f>IFERROR(VLOOKUP($B212,Miljövärden!$B$3:$H$553,MATCH(H$2,Miljövärden!$B$2:$H$2,0),FALSE),"Nej, saknas")</f>
        <v>Ja</v>
      </c>
      <c r="P212" t="str">
        <f t="shared" si="7"/>
        <v>ja</v>
      </c>
      <c r="R212">
        <f t="shared" si="6"/>
        <v>186</v>
      </c>
    </row>
    <row r="213" spans="1:18" x14ac:dyDescent="0.45">
      <c r="A213" s="2" t="s">
        <v>111</v>
      </c>
      <c r="B213" s="2" t="s">
        <v>409</v>
      </c>
      <c r="C213">
        <f>IFERROR(VLOOKUP($B213,Miljövärden!$B$3:$H$553,MATCH(C$2,Miljövärden!$B$2:$H$2,0),FALSE),"Saknas")</f>
        <v>0.33292500000000003</v>
      </c>
      <c r="D213">
        <f>IFERROR(VLOOKUP($B213,Miljövärden!$B$3:$H$553,MATCH(D$2,Miljövärden!$B$2:$H$2,0),FALSE),"Saknas")</f>
        <v>1.2020599999999999</v>
      </c>
      <c r="E213">
        <f>IFERROR(VLOOKUP($B213,Miljövärden!$B$3:$H$553,MATCH(E$2,Miljövärden!$B$2:$H$2,0),FALSE),"Saknas")</f>
        <v>2.33745</v>
      </c>
      <c r="F213">
        <f>IFERROR(VLOOKUP($B213,Miljövärden!$B$3:$H$553,MATCH(F$2,Miljövärden!$B$2:$H$2,0),FALSE),"Saknas")</f>
        <v>1.84987E-3</v>
      </c>
      <c r="G213" t="str">
        <f>IFERROR(VLOOKUP($B213,Miljövärden!$B$3:$H$553,MATCH(G$2,Miljövärden!$B$2:$H$2,0),FALSE),"Nej, saknas")</f>
        <v>Nej</v>
      </c>
      <c r="H213" t="str">
        <f>IFERROR(VLOOKUP($B213,Miljövärden!$B$3:$H$553,MATCH(H$2,Miljövärden!$B$2:$H$2,0),FALSE),"Nej, saknas")</f>
        <v>Ja</v>
      </c>
      <c r="P213" t="str">
        <f t="shared" si="7"/>
        <v>ja</v>
      </c>
      <c r="R213">
        <f t="shared" si="6"/>
        <v>187</v>
      </c>
    </row>
    <row r="214" spans="1:18" x14ac:dyDescent="0.45">
      <c r="A214" s="2" t="s">
        <v>406</v>
      </c>
      <c r="B214" s="2" t="s">
        <v>408</v>
      </c>
      <c r="C214">
        <f>IFERROR(VLOOKUP($B214,Miljövärden!$B$3:$H$553,MATCH(C$2,Miljövärden!$B$2:$H$2,0),FALSE),"Saknas")</f>
        <v>0.119855</v>
      </c>
      <c r="D214">
        <f>IFERROR(VLOOKUP($B214,Miljövärden!$B$3:$H$553,MATCH(D$2,Miljövärden!$B$2:$H$2,0),FALSE),"Saknas")</f>
        <v>3.2405499999999998</v>
      </c>
      <c r="E214">
        <f>IFERROR(VLOOKUP($B214,Miljövärden!$B$3:$H$553,MATCH(E$2,Miljövärden!$B$2:$H$2,0),FALSE),"Saknas")</f>
        <v>11.0122</v>
      </c>
      <c r="F214">
        <f>IFERROR(VLOOKUP($B214,Miljövärden!$B$3:$H$553,MATCH(F$2,Miljövärden!$B$2:$H$2,0),FALSE),"Saknas")</f>
        <v>2.90444E-4</v>
      </c>
      <c r="G214" t="str">
        <f>IFERROR(VLOOKUP($B214,Miljövärden!$B$3:$H$553,MATCH(G$2,Miljövärden!$B$2:$H$2,0),FALSE),"Nej, saknas")</f>
        <v>Ja</v>
      </c>
      <c r="H214" t="str">
        <f>IFERROR(VLOOKUP($B214,Miljövärden!$B$3:$H$553,MATCH(H$2,Miljövärden!$B$2:$H$2,0),FALSE),"Nej, saknas")</f>
        <v>Ja</v>
      </c>
      <c r="P214" t="str">
        <f t="shared" si="7"/>
        <v>ja</v>
      </c>
      <c r="R214">
        <f t="shared" si="6"/>
        <v>188</v>
      </c>
    </row>
    <row r="215" spans="1:18" x14ac:dyDescent="0.45">
      <c r="A215" s="2" t="s">
        <v>406</v>
      </c>
      <c r="B215" s="2" t="s">
        <v>407</v>
      </c>
      <c r="C215">
        <f>IFERROR(VLOOKUP($B215,Miljövärden!$B$3:$H$553,MATCH(C$2,Miljövärden!$B$2:$H$2,0),FALSE),"Saknas")</f>
        <v>8.5508200000000006E-2</v>
      </c>
      <c r="D215">
        <f>IFERROR(VLOOKUP($B215,Miljövärden!$B$3:$H$553,MATCH(D$2,Miljövärden!$B$2:$H$2,0),FALSE),"Saknas")</f>
        <v>4.1139299999999999</v>
      </c>
      <c r="E215">
        <f>IFERROR(VLOOKUP($B215,Miljövärden!$B$3:$H$553,MATCH(E$2,Miljövärden!$B$2:$H$2,0),FALSE),"Saknas")</f>
        <v>7.0422399999999996</v>
      </c>
      <c r="F215">
        <f>IFERROR(VLOOKUP($B215,Miljövärden!$B$3:$H$553,MATCH(F$2,Miljövärden!$B$2:$H$2,0),FALSE),"Saknas")</f>
        <v>2.7094700000000001E-4</v>
      </c>
      <c r="G215" t="str">
        <f>IFERROR(VLOOKUP($B215,Miljövärden!$B$3:$H$553,MATCH(G$2,Miljövärden!$B$2:$H$2,0),FALSE),"Nej, saknas")</f>
        <v>Ja</v>
      </c>
      <c r="H215" t="str">
        <f>IFERROR(VLOOKUP($B215,Miljövärden!$B$3:$H$553,MATCH(H$2,Miljövärden!$B$2:$H$2,0),FALSE),"Nej, saknas")</f>
        <v>Ja</v>
      </c>
      <c r="P215" t="str">
        <f t="shared" si="7"/>
        <v>ja</v>
      </c>
      <c r="R215">
        <f t="shared" si="6"/>
        <v>189</v>
      </c>
    </row>
    <row r="216" spans="1:18" x14ac:dyDescent="0.45">
      <c r="A216" s="2" t="s">
        <v>406</v>
      </c>
      <c r="B216" s="2" t="s">
        <v>405</v>
      </c>
      <c r="C216">
        <f>IFERROR(VLOOKUP($B216,Miljövärden!$B$3:$H$553,MATCH(C$2,Miljövärden!$B$2:$H$2,0),FALSE),"Saknas")</f>
        <v>0.111107</v>
      </c>
      <c r="D216">
        <f>IFERROR(VLOOKUP($B216,Miljövärden!$B$3:$H$553,MATCH(D$2,Miljövärden!$B$2:$H$2,0),FALSE),"Saknas")</f>
        <v>14.5943</v>
      </c>
      <c r="E216">
        <f>IFERROR(VLOOKUP($B216,Miljövärden!$B$3:$H$553,MATCH(E$2,Miljövärden!$B$2:$H$2,0),FALSE),"Saknas")</f>
        <v>9.0793599999999994</v>
      </c>
      <c r="F216">
        <f>IFERROR(VLOOKUP($B216,Miljövärden!$B$3:$H$553,MATCH(F$2,Miljövärden!$B$2:$H$2,0),FALSE),"Saknas")</f>
        <v>2.56557E-2</v>
      </c>
      <c r="G216" t="str">
        <f>IFERROR(VLOOKUP($B216,Miljövärden!$B$3:$H$553,MATCH(G$2,Miljövärden!$B$2:$H$2,0),FALSE),"Nej, saknas")</f>
        <v>Ja</v>
      </c>
      <c r="H216" t="str">
        <f>IFERROR(VLOOKUP($B216,Miljövärden!$B$3:$H$553,MATCH(H$2,Miljövärden!$B$2:$H$2,0),FALSE),"Nej, saknas")</f>
        <v>Ja</v>
      </c>
      <c r="P216" t="str">
        <f t="shared" si="7"/>
        <v>ja</v>
      </c>
      <c r="R216">
        <f t="shared" si="6"/>
        <v>190</v>
      </c>
    </row>
    <row r="217" spans="1:18" x14ac:dyDescent="0.45">
      <c r="A217" s="2" t="s">
        <v>404</v>
      </c>
      <c r="B217" s="2" t="s">
        <v>403</v>
      </c>
      <c r="C217">
        <f>IFERROR(VLOOKUP($B217,Miljövärden!$B$3:$H$553,MATCH(C$2,Miljövärden!$B$2:$H$2,0),FALSE),"Saknas")</f>
        <v>8.9407E-2</v>
      </c>
      <c r="D217">
        <f>IFERROR(VLOOKUP($B217,Miljövärden!$B$3:$H$553,MATCH(D$2,Miljövärden!$B$2:$H$2,0),FALSE),"Saknas")</f>
        <v>5.7788899999999996</v>
      </c>
      <c r="E217">
        <f>IFERROR(VLOOKUP($B217,Miljövärden!$B$3:$H$553,MATCH(E$2,Miljövärden!$B$2:$H$2,0),FALSE),"Saknas")</f>
        <v>11.2563</v>
      </c>
      <c r="F217">
        <f>IFERROR(VLOOKUP($B217,Miljövärden!$B$3:$H$553,MATCH(F$2,Miljövärden!$B$2:$H$2,0),FALSE),"Saknas")</f>
        <v>0</v>
      </c>
      <c r="G217" t="str">
        <f>IFERROR(VLOOKUP($B217,Miljövärden!$B$3:$H$553,MATCH(G$2,Miljövärden!$B$2:$H$2,0),FALSE),"Nej, saknas")</f>
        <v>Nej</v>
      </c>
      <c r="H217" t="str">
        <f>IFERROR(VLOOKUP($B217,Miljövärden!$B$3:$H$553,MATCH(H$2,Miljövärden!$B$2:$H$2,0),FALSE),"Nej, saknas")</f>
        <v>Ja</v>
      </c>
      <c r="P217" t="str">
        <f t="shared" si="7"/>
        <v>ja</v>
      </c>
      <c r="R217">
        <f t="shared" si="6"/>
        <v>191</v>
      </c>
    </row>
    <row r="218" spans="1:18" x14ac:dyDescent="0.45">
      <c r="A218" s="2" t="s">
        <v>402</v>
      </c>
      <c r="B218" s="2" t="s">
        <v>401</v>
      </c>
      <c r="C218">
        <f>IFERROR(VLOOKUP($B218,Miljövärden!$B$3:$H$553,MATCH(C$2,Miljövärden!$B$2:$H$2,0),FALSE),"Saknas")</f>
        <v>0.14930499999999999</v>
      </c>
      <c r="D218">
        <f>IFERROR(VLOOKUP($B218,Miljövärden!$B$3:$H$553,MATCH(D$2,Miljövärden!$B$2:$H$2,0),FALSE),"Saknas")</f>
        <v>141.976</v>
      </c>
      <c r="E218">
        <f>IFERROR(VLOOKUP($B218,Miljövärden!$B$3:$H$553,MATCH(E$2,Miljövärden!$B$2:$H$2,0),FALSE),"Saknas")</f>
        <v>6.1639200000000001</v>
      </c>
      <c r="F218">
        <f>IFERROR(VLOOKUP($B218,Miljövärden!$B$3:$H$553,MATCH(F$2,Miljövärden!$B$2:$H$2,0),FALSE),"Saknas")</f>
        <v>2.2276799999999999E-2</v>
      </c>
      <c r="G218" t="str">
        <f>IFERROR(VLOOKUP($B218,Miljövärden!$B$3:$H$553,MATCH(G$2,Miljövärden!$B$2:$H$2,0),FALSE),"Nej, saknas")</f>
        <v>Ja</v>
      </c>
      <c r="H218" t="str">
        <f>IFERROR(VLOOKUP($B218,Miljövärden!$B$3:$H$553,MATCH(H$2,Miljövärden!$B$2:$H$2,0),FALSE),"Nej, saknas")</f>
        <v>Ja</v>
      </c>
      <c r="P218" t="str">
        <f t="shared" si="7"/>
        <v>ja</v>
      </c>
      <c r="R218">
        <f t="shared" si="6"/>
        <v>192</v>
      </c>
    </row>
    <row r="219" spans="1:18" x14ac:dyDescent="0.45">
      <c r="A219" s="2" t="s">
        <v>398</v>
      </c>
      <c r="B219" s="2" t="s">
        <v>400</v>
      </c>
      <c r="C219">
        <f>IFERROR(VLOOKUP($B219,Miljövärden!$B$3:$H$553,MATCH(C$2,Miljövärden!$B$2:$H$2,0),FALSE),"Saknas")</f>
        <v>0.227575</v>
      </c>
      <c r="D219">
        <f>IFERROR(VLOOKUP($B219,Miljövärden!$B$3:$H$553,MATCH(D$2,Miljövärden!$B$2:$H$2,0),FALSE),"Saknas")</f>
        <v>18.79</v>
      </c>
      <c r="E219">
        <f>IFERROR(VLOOKUP($B219,Miljövärden!$B$3:$H$553,MATCH(E$2,Miljövärden!$B$2:$H$2,0),FALSE),"Saknas")</f>
        <v>20.537500000000001</v>
      </c>
      <c r="F219">
        <f>IFERROR(VLOOKUP($B219,Miljövärden!$B$3:$H$553,MATCH(F$2,Miljövärden!$B$2:$H$2,0),FALSE),"Saknas")</f>
        <v>3.3890999999999998E-2</v>
      </c>
      <c r="G219" t="str">
        <f>IFERROR(VLOOKUP($B219,Miljövärden!$B$3:$H$553,MATCH(G$2,Miljövärden!$B$2:$H$2,0),FALSE),"Nej, saknas")</f>
        <v>Ja</v>
      </c>
      <c r="H219" t="str">
        <f>IFERROR(VLOOKUP($B219,Miljövärden!$B$3:$H$553,MATCH(H$2,Miljövärden!$B$2:$H$2,0),FALSE),"Nej, saknas")</f>
        <v>Ja</v>
      </c>
      <c r="P219" t="str">
        <f t="shared" si="7"/>
        <v>ja</v>
      </c>
      <c r="R219">
        <f t="shared" si="6"/>
        <v>193</v>
      </c>
    </row>
    <row r="220" spans="1:18" x14ac:dyDescent="0.45">
      <c r="A220" s="2" t="s">
        <v>398</v>
      </c>
      <c r="B220" s="2" t="s">
        <v>399</v>
      </c>
      <c r="C220">
        <f>IFERROR(VLOOKUP($B220,Miljövärden!$B$3:$H$553,MATCH(C$2,Miljövärden!$B$2:$H$2,0),FALSE),"Saknas")</f>
        <v>0.112231</v>
      </c>
      <c r="D220">
        <f>IFERROR(VLOOKUP($B220,Miljövärden!$B$3:$H$553,MATCH(D$2,Miljövärden!$B$2:$H$2,0),FALSE),"Saknas")</f>
        <v>15.6012</v>
      </c>
      <c r="E220">
        <f>IFERROR(VLOOKUP($B220,Miljövärden!$B$3:$H$553,MATCH(E$2,Miljövärden!$B$2:$H$2,0),FALSE),"Saknas")</f>
        <v>9.9162199999999991</v>
      </c>
      <c r="F220">
        <f>IFERROR(VLOOKUP($B220,Miljövärden!$B$3:$H$553,MATCH(F$2,Miljövärden!$B$2:$H$2,0),FALSE),"Saknas")</f>
        <v>2.5792300000000001E-2</v>
      </c>
      <c r="G220" t="str">
        <f>IFERROR(VLOOKUP($B220,Miljövärden!$B$3:$H$553,MATCH(G$2,Miljövärden!$B$2:$H$2,0),FALSE),"Nej, saknas")</f>
        <v>Ja</v>
      </c>
      <c r="H220" t="str">
        <f>IFERROR(VLOOKUP($B220,Miljövärden!$B$3:$H$553,MATCH(H$2,Miljövärden!$B$2:$H$2,0),FALSE),"Nej, saknas")</f>
        <v>Ja</v>
      </c>
      <c r="P220" t="str">
        <f t="shared" si="7"/>
        <v>ja</v>
      </c>
      <c r="R220">
        <f t="shared" si="6"/>
        <v>194</v>
      </c>
    </row>
    <row r="221" spans="1:18" x14ac:dyDescent="0.45">
      <c r="A221" s="2" t="s">
        <v>398</v>
      </c>
      <c r="B221" s="2" t="s">
        <v>397</v>
      </c>
      <c r="C221">
        <f>IFERROR(VLOOKUP($B221,Miljövärden!$B$3:$H$553,MATCH(C$2,Miljövärden!$B$2:$H$2,0),FALSE),"Saknas")</f>
        <v>0.100596</v>
      </c>
      <c r="D221">
        <f>IFERROR(VLOOKUP($B221,Miljövärden!$B$3:$H$553,MATCH(D$2,Miljövärden!$B$2:$H$2,0),FALSE),"Saknas")</f>
        <v>14.1218</v>
      </c>
      <c r="E221">
        <f>IFERROR(VLOOKUP($B221,Miljövärden!$B$3:$H$553,MATCH(E$2,Miljövärden!$B$2:$H$2,0),FALSE),"Saknas")</f>
        <v>6.7162800000000002</v>
      </c>
      <c r="F221">
        <f>IFERROR(VLOOKUP($B221,Miljövärden!$B$3:$H$553,MATCH(F$2,Miljövärden!$B$2:$H$2,0),FALSE),"Saknas")</f>
        <v>3.6135899999999999E-2</v>
      </c>
      <c r="G221" t="str">
        <f>IFERROR(VLOOKUP($B221,Miljövärden!$B$3:$H$553,MATCH(G$2,Miljövärden!$B$2:$H$2,0),FALSE),"Nej, saknas")</f>
        <v>Ja</v>
      </c>
      <c r="H221" t="str">
        <f>IFERROR(VLOOKUP($B221,Miljövärden!$B$3:$H$553,MATCH(H$2,Miljövärden!$B$2:$H$2,0),FALSE),"Nej, saknas")</f>
        <v>Ja</v>
      </c>
      <c r="P221" t="str">
        <f t="shared" si="7"/>
        <v>ja</v>
      </c>
      <c r="R221">
        <f t="shared" si="6"/>
        <v>195</v>
      </c>
    </row>
    <row r="222" spans="1:18" x14ac:dyDescent="0.45">
      <c r="A222" s="2" t="s">
        <v>396</v>
      </c>
      <c r="B222" s="2" t="s">
        <v>395</v>
      </c>
      <c r="C222">
        <f>IFERROR(VLOOKUP($B222,Miljövärden!$B$3:$H$553,MATCH(C$2,Miljövärden!$B$2:$H$2,0),FALSE),"Saknas")</f>
        <v>0.109304</v>
      </c>
      <c r="D222">
        <f>IFERROR(VLOOKUP($B222,Miljövärden!$B$3:$H$553,MATCH(D$2,Miljövärden!$B$2:$H$2,0),FALSE),"Saknas")</f>
        <v>12.7059</v>
      </c>
      <c r="E222">
        <f>IFERROR(VLOOKUP($B222,Miljövärden!$B$3:$H$553,MATCH(E$2,Miljövärden!$B$2:$H$2,0),FALSE),"Saknas")</f>
        <v>10.337400000000001</v>
      </c>
      <c r="F222">
        <f>IFERROR(VLOOKUP($B222,Miljövärden!$B$3:$H$553,MATCH(F$2,Miljövärden!$B$2:$H$2,0),FALSE),"Saknas")</f>
        <v>1.95514E-2</v>
      </c>
      <c r="G222" t="str">
        <f>IFERROR(VLOOKUP($B222,Miljövärden!$B$3:$H$553,MATCH(G$2,Miljövärden!$B$2:$H$2,0),FALSE),"Nej, saknas")</f>
        <v>Ja</v>
      </c>
      <c r="H222" t="str">
        <f>IFERROR(VLOOKUP($B222,Miljövärden!$B$3:$H$553,MATCH(H$2,Miljövärden!$B$2:$H$2,0),FALSE),"Nej, saknas")</f>
        <v>Ja</v>
      </c>
      <c r="P222" t="str">
        <f t="shared" si="7"/>
        <v>ja</v>
      </c>
      <c r="R222">
        <f t="shared" si="6"/>
        <v>196</v>
      </c>
    </row>
    <row r="223" spans="1:18" x14ac:dyDescent="0.45">
      <c r="A223" s="2" t="s">
        <v>393</v>
      </c>
      <c r="B223" s="2" t="s">
        <v>394</v>
      </c>
      <c r="C223">
        <f>IFERROR(VLOOKUP($B223,Miljövärden!$B$3:$H$553,MATCH(C$2,Miljövärden!$B$2:$H$2,0),FALSE),"Saknas")</f>
        <v>0</v>
      </c>
      <c r="D223">
        <f>IFERROR(VLOOKUP($B223,Miljövärden!$B$3:$H$553,MATCH(D$2,Miljövärden!$B$2:$H$2,0),FALSE),"Saknas")</f>
        <v>0</v>
      </c>
      <c r="E223">
        <f>IFERROR(VLOOKUP($B223,Miljövärden!$B$3:$H$553,MATCH(E$2,Miljövärden!$B$2:$H$2,0),FALSE),"Saknas")</f>
        <v>0</v>
      </c>
      <c r="F223">
        <f>IFERROR(VLOOKUP($B223,Miljövärden!$B$3:$H$553,MATCH(F$2,Miljövärden!$B$2:$H$2,0),FALSE),"Saknas")</f>
        <v>0</v>
      </c>
      <c r="G223" t="str">
        <f>IFERROR(VLOOKUP($B223,Miljövärden!$B$3:$H$553,MATCH(G$2,Miljövärden!$B$2:$H$2,0),FALSE),"Nej, saknas")</f>
        <v>Nej</v>
      </c>
      <c r="H223" t="str">
        <f>IFERROR(VLOOKUP($B223,Miljövärden!$B$3:$H$553,MATCH(H$2,Miljövärden!$B$2:$H$2,0),FALSE),"Nej, saknas")</f>
        <v>Nej</v>
      </c>
      <c r="K223" t="s">
        <v>1529</v>
      </c>
      <c r="P223" t="str">
        <f t="shared" si="7"/>
        <v>nej</v>
      </c>
      <c r="R223">
        <f t="shared" si="6"/>
        <v>196</v>
      </c>
    </row>
    <row r="224" spans="1:18" x14ac:dyDescent="0.45">
      <c r="A224" s="2" t="s">
        <v>393</v>
      </c>
      <c r="B224" s="2" t="s">
        <v>392</v>
      </c>
      <c r="C224">
        <f>IFERROR(VLOOKUP($B224,Miljövärden!$B$3:$H$553,MATCH(C$2,Miljövärden!$B$2:$H$2,0),FALSE),"Saknas")</f>
        <v>0</v>
      </c>
      <c r="D224">
        <f>IFERROR(VLOOKUP($B224,Miljövärden!$B$3:$H$553,MATCH(D$2,Miljövärden!$B$2:$H$2,0),FALSE),"Saknas")</f>
        <v>0</v>
      </c>
      <c r="E224">
        <f>IFERROR(VLOOKUP($B224,Miljövärden!$B$3:$H$553,MATCH(E$2,Miljövärden!$B$2:$H$2,0),FALSE),"Saknas")</f>
        <v>0</v>
      </c>
      <c r="F224">
        <f>IFERROR(VLOOKUP($B224,Miljövärden!$B$3:$H$553,MATCH(F$2,Miljövärden!$B$2:$H$2,0),FALSE),"Saknas")</f>
        <v>0</v>
      </c>
      <c r="G224" t="str">
        <f>IFERROR(VLOOKUP($B224,Miljövärden!$B$3:$H$553,MATCH(G$2,Miljövärden!$B$2:$H$2,0),FALSE),"Nej, saknas")</f>
        <v>Nej</v>
      </c>
      <c r="H224" t="str">
        <f>IFERROR(VLOOKUP($B224,Miljövärden!$B$3:$H$553,MATCH(H$2,Miljövärden!$B$2:$H$2,0),FALSE),"Nej, saknas")</f>
        <v>Nej</v>
      </c>
      <c r="K224" t="s">
        <v>1529</v>
      </c>
      <c r="P224" t="str">
        <f t="shared" si="7"/>
        <v>nej</v>
      </c>
      <c r="R224">
        <f t="shared" si="6"/>
        <v>196</v>
      </c>
    </row>
    <row r="225" spans="1:18" x14ac:dyDescent="0.45">
      <c r="A225" s="2" t="s">
        <v>391</v>
      </c>
      <c r="B225" s="2" t="s">
        <v>390</v>
      </c>
      <c r="C225">
        <f>IFERROR(VLOOKUP($B225,Miljövärden!$B$3:$H$553,MATCH(C$2,Miljövärden!$B$2:$H$2,0),FALSE),"Saknas")</f>
        <v>8.2848199999999997E-2</v>
      </c>
      <c r="D225">
        <f>IFERROR(VLOOKUP($B225,Miljövärden!$B$3:$H$553,MATCH(D$2,Miljövärden!$B$2:$H$2,0),FALSE),"Saknas")</f>
        <v>4.6421599999999996</v>
      </c>
      <c r="E225">
        <f>IFERROR(VLOOKUP($B225,Miljövärden!$B$3:$H$553,MATCH(E$2,Miljövärden!$B$2:$H$2,0),FALSE),"Saknas")</f>
        <v>6.7529300000000001</v>
      </c>
      <c r="F225">
        <f>IFERROR(VLOOKUP($B225,Miljövärden!$B$3:$H$553,MATCH(F$2,Miljövärden!$B$2:$H$2,0),FALSE),"Saknas")</f>
        <v>2.9397899999999999E-3</v>
      </c>
      <c r="G225" t="str">
        <f>IFERROR(VLOOKUP($B225,Miljövärden!$B$3:$H$553,MATCH(G$2,Miljövärden!$B$2:$H$2,0),FALSE),"Nej, saknas")</f>
        <v>Ja</v>
      </c>
      <c r="H225" t="str">
        <f>IFERROR(VLOOKUP($B225,Miljövärden!$B$3:$H$553,MATCH(H$2,Miljövärden!$B$2:$H$2,0),FALSE),"Nej, saknas")</f>
        <v>Ja</v>
      </c>
      <c r="P225" t="str">
        <f t="shared" si="7"/>
        <v>ja</v>
      </c>
      <c r="R225">
        <f t="shared" si="6"/>
        <v>197</v>
      </c>
    </row>
    <row r="226" spans="1:18" x14ac:dyDescent="0.45">
      <c r="A226" s="2" t="s">
        <v>389</v>
      </c>
      <c r="B226" s="2" t="s">
        <v>388</v>
      </c>
      <c r="C226">
        <f>IFERROR(VLOOKUP($B226,Miljövärden!$B$3:$H$553,MATCH(C$2,Miljövärden!$B$2:$H$2,0),FALSE),"Saknas")</f>
        <v>6.62132E-2</v>
      </c>
      <c r="D226">
        <f>IFERROR(VLOOKUP($B226,Miljövärden!$B$3:$H$553,MATCH(D$2,Miljövärden!$B$2:$H$2,0),FALSE),"Saknas")</f>
        <v>7.5754799999999998</v>
      </c>
      <c r="E226">
        <f>IFERROR(VLOOKUP($B226,Miljövärden!$B$3:$H$553,MATCH(E$2,Miljövärden!$B$2:$H$2,0),FALSE),"Saknas")</f>
        <v>4.2255299999999999E-3</v>
      </c>
      <c r="F226">
        <f>IFERROR(VLOOKUP($B226,Miljövärden!$B$3:$H$553,MATCH(F$2,Miljövärden!$B$2:$H$2,0),FALSE),"Saknas")</f>
        <v>8.6948900000000003E-3</v>
      </c>
      <c r="G226" t="str">
        <f>IFERROR(VLOOKUP($B226,Miljövärden!$B$3:$H$553,MATCH(G$2,Miljövärden!$B$2:$H$2,0),FALSE),"Nej, saknas")</f>
        <v>Nej</v>
      </c>
      <c r="H226" t="str">
        <f>IFERROR(VLOOKUP($B226,Miljövärden!$B$3:$H$553,MATCH(H$2,Miljövärden!$B$2:$H$2,0),FALSE),"Nej, saknas")</f>
        <v>Ja</v>
      </c>
      <c r="P226" t="str">
        <f t="shared" si="7"/>
        <v>ja</v>
      </c>
      <c r="R226">
        <f t="shared" si="6"/>
        <v>198</v>
      </c>
    </row>
    <row r="227" spans="1:18" x14ac:dyDescent="0.45">
      <c r="A227" s="2" t="s">
        <v>387</v>
      </c>
      <c r="B227" s="2" t="s">
        <v>114</v>
      </c>
      <c r="C227">
        <f>IFERROR(VLOOKUP($B227,Miljövärden!$B$3:$H$553,MATCH(C$2,Miljövärden!$B$2:$H$2,0),FALSE),"Saknas")</f>
        <v>0.130222</v>
      </c>
      <c r="D227">
        <f>IFERROR(VLOOKUP($B227,Miljövärden!$B$3:$H$553,MATCH(D$2,Miljövärden!$B$2:$H$2,0),FALSE),"Saknas")</f>
        <v>20.245999999999999</v>
      </c>
      <c r="E227">
        <f>IFERROR(VLOOKUP($B227,Miljövärden!$B$3:$H$553,MATCH(E$2,Miljövärden!$B$2:$H$2,0),FALSE),"Saknas")</f>
        <v>11.623699999999999</v>
      </c>
      <c r="F227">
        <f>IFERROR(VLOOKUP($B227,Miljövärden!$B$3:$H$553,MATCH(F$2,Miljövärden!$B$2:$H$2,0),FALSE),"Saknas")</f>
        <v>3.66866E-2</v>
      </c>
      <c r="G227" t="str">
        <f>IFERROR(VLOOKUP($B227,Miljövärden!$B$3:$H$553,MATCH(G$2,Miljövärden!$B$2:$H$2,0),FALSE),"Nej, saknas")</f>
        <v>Nej</v>
      </c>
      <c r="H227" t="str">
        <f>IFERROR(VLOOKUP($B227,Miljövärden!$B$3:$H$553,MATCH(H$2,Miljövärden!$B$2:$H$2,0),FALSE),"Nej, saknas")</f>
        <v>Ja</v>
      </c>
      <c r="P227" t="str">
        <f t="shared" si="7"/>
        <v>ja</v>
      </c>
      <c r="R227">
        <f t="shared" si="6"/>
        <v>199</v>
      </c>
    </row>
    <row r="228" spans="1:18" x14ac:dyDescent="0.45">
      <c r="A228" s="2" t="s">
        <v>386</v>
      </c>
      <c r="B228" s="2" t="s">
        <v>385</v>
      </c>
      <c r="C228">
        <f>IFERROR(VLOOKUP($B228,Miljövärden!$B$3:$H$553,MATCH(C$2,Miljövärden!$B$2:$H$2,0),FALSE),"Saknas")</f>
        <v>0.22595699999999999</v>
      </c>
      <c r="D228">
        <f>IFERROR(VLOOKUP($B228,Miljövärden!$B$3:$H$553,MATCH(D$2,Miljövärden!$B$2:$H$2,0),FALSE),"Saknas")</f>
        <v>70.765000000000001</v>
      </c>
      <c r="E228">
        <f>IFERROR(VLOOKUP($B228,Miljövärden!$B$3:$H$553,MATCH(E$2,Miljövärden!$B$2:$H$2,0),FALSE),"Saknas")</f>
        <v>8.4270099999999992</v>
      </c>
      <c r="F228">
        <f>IFERROR(VLOOKUP($B228,Miljövärden!$B$3:$H$553,MATCH(F$2,Miljövärden!$B$2:$H$2,0),FALSE),"Saknas")</f>
        <v>0.115</v>
      </c>
      <c r="G228" t="str">
        <f>IFERROR(VLOOKUP($B228,Miljövärden!$B$3:$H$553,MATCH(G$2,Miljövärden!$B$2:$H$2,0),FALSE),"Nej, saknas")</f>
        <v>Ja</v>
      </c>
      <c r="H228" t="str">
        <f>IFERROR(VLOOKUP($B228,Miljövärden!$B$3:$H$553,MATCH(H$2,Miljövärden!$B$2:$H$2,0),FALSE),"Nej, saknas")</f>
        <v>Ja</v>
      </c>
      <c r="P228" t="str">
        <f t="shared" si="7"/>
        <v>ja</v>
      </c>
      <c r="R228">
        <f t="shared" si="6"/>
        <v>200</v>
      </c>
    </row>
    <row r="229" spans="1:18" x14ac:dyDescent="0.45">
      <c r="A229" s="2" t="s">
        <v>4</v>
      </c>
      <c r="B229" s="2" t="s">
        <v>383</v>
      </c>
      <c r="C229">
        <f>IFERROR(VLOOKUP($B229,Miljövärden!$B$3:$H$553,MATCH(C$2,Miljövärden!$B$2:$H$2,0),FALSE),"Saknas")</f>
        <v>0</v>
      </c>
      <c r="D229">
        <f>IFERROR(VLOOKUP($B229,Miljövärden!$B$3:$H$553,MATCH(D$2,Miljövärden!$B$2:$H$2,0),FALSE),"Saknas")</f>
        <v>0</v>
      </c>
      <c r="E229">
        <f>IFERROR(VLOOKUP($B229,Miljövärden!$B$3:$H$553,MATCH(E$2,Miljövärden!$B$2:$H$2,0),FALSE),"Saknas")</f>
        <v>0</v>
      </c>
      <c r="F229">
        <f>IFERROR(VLOOKUP($B229,Miljövärden!$B$3:$H$553,MATCH(F$2,Miljövärden!$B$2:$H$2,0),FALSE),"Saknas")</f>
        <v>0</v>
      </c>
      <c r="G229" t="str">
        <f>IFERROR(VLOOKUP($B229,Miljövärden!$B$3:$H$553,MATCH(G$2,Miljövärden!$B$2:$H$2,0),FALSE),"Nej, saknas")</f>
        <v>Nej</v>
      </c>
      <c r="H229" t="str">
        <f>IFERROR(VLOOKUP($B229,Miljövärden!$B$3:$H$553,MATCH(H$2,Miljövärden!$B$2:$H$2,0),FALSE),"Nej, saknas")</f>
        <v>Nej</v>
      </c>
      <c r="K229" t="s">
        <v>1529</v>
      </c>
      <c r="P229" t="str">
        <f t="shared" si="7"/>
        <v>nej</v>
      </c>
      <c r="R229">
        <f t="shared" si="6"/>
        <v>200</v>
      </c>
    </row>
    <row r="230" spans="1:18" x14ac:dyDescent="0.45">
      <c r="A230" s="2" t="s">
        <v>4</v>
      </c>
      <c r="B230" s="2" t="s">
        <v>382</v>
      </c>
      <c r="C230">
        <f>IFERROR(VLOOKUP($B230,Miljövärden!$B$3:$H$553,MATCH(C$2,Miljövärden!$B$2:$H$2,0),FALSE),"Saknas")</f>
        <v>0</v>
      </c>
      <c r="D230">
        <f>IFERROR(VLOOKUP($B230,Miljövärden!$B$3:$H$553,MATCH(D$2,Miljövärden!$B$2:$H$2,0),FALSE),"Saknas")</f>
        <v>0</v>
      </c>
      <c r="E230">
        <f>IFERROR(VLOOKUP($B230,Miljövärden!$B$3:$H$553,MATCH(E$2,Miljövärden!$B$2:$H$2,0),FALSE),"Saknas")</f>
        <v>0</v>
      </c>
      <c r="F230">
        <f>IFERROR(VLOOKUP($B230,Miljövärden!$B$3:$H$553,MATCH(F$2,Miljövärden!$B$2:$H$2,0),FALSE),"Saknas")</f>
        <v>0</v>
      </c>
      <c r="G230" t="str">
        <f>IFERROR(VLOOKUP($B230,Miljövärden!$B$3:$H$553,MATCH(G$2,Miljövärden!$B$2:$H$2,0),FALSE),"Nej, saknas")</f>
        <v>Nej</v>
      </c>
      <c r="H230" t="str">
        <f>IFERROR(VLOOKUP($B230,Miljövärden!$B$3:$H$553,MATCH(H$2,Miljövärden!$B$2:$H$2,0),FALSE),"Nej, saknas")</f>
        <v>Nej</v>
      </c>
      <c r="K230" t="s">
        <v>1529</v>
      </c>
      <c r="P230" t="str">
        <f t="shared" si="7"/>
        <v>nej</v>
      </c>
      <c r="R230">
        <f t="shared" si="6"/>
        <v>200</v>
      </c>
    </row>
    <row r="231" spans="1:18" x14ac:dyDescent="0.45">
      <c r="A231" s="2" t="s">
        <v>4</v>
      </c>
      <c r="B231" s="2" t="s">
        <v>5</v>
      </c>
      <c r="C231">
        <f>IFERROR(VLOOKUP($B231,Miljövärden!$B$3:$H$553,MATCH(C$2,Miljövärden!$B$2:$H$2,0),FALSE),"Saknas")</f>
        <v>0</v>
      </c>
      <c r="D231">
        <f>IFERROR(VLOOKUP($B231,Miljövärden!$B$3:$H$553,MATCH(D$2,Miljövärden!$B$2:$H$2,0),FALSE),"Saknas")</f>
        <v>0</v>
      </c>
      <c r="E231">
        <f>IFERROR(VLOOKUP($B231,Miljövärden!$B$3:$H$553,MATCH(E$2,Miljövärden!$B$2:$H$2,0),FALSE),"Saknas")</f>
        <v>0</v>
      </c>
      <c r="F231">
        <f>IFERROR(VLOOKUP($B231,Miljövärden!$B$3:$H$553,MATCH(F$2,Miljövärden!$B$2:$H$2,0),FALSE),"Saknas")</f>
        <v>0</v>
      </c>
      <c r="G231" t="str">
        <f>IFERROR(VLOOKUP($B231,Miljövärden!$B$3:$H$553,MATCH(G$2,Miljövärden!$B$2:$H$2,0),FALSE),"Nej, saknas")</f>
        <v>Nej</v>
      </c>
      <c r="H231" t="str">
        <f>IFERROR(VLOOKUP($B231,Miljövärden!$B$3:$H$553,MATCH(H$2,Miljövärden!$B$2:$H$2,0),FALSE),"Nej, saknas")</f>
        <v>Nej</v>
      </c>
      <c r="K231" t="s">
        <v>1529</v>
      </c>
      <c r="P231" t="str">
        <f t="shared" si="7"/>
        <v>nej</v>
      </c>
      <c r="R231">
        <f t="shared" si="6"/>
        <v>200</v>
      </c>
    </row>
    <row r="232" spans="1:18" x14ac:dyDescent="0.45">
      <c r="A232" s="2" t="s">
        <v>381</v>
      </c>
      <c r="B232" s="2" t="s">
        <v>380</v>
      </c>
      <c r="C232">
        <f>IFERROR(VLOOKUP($B232,Miljövärden!$B$3:$H$553,MATCH(C$2,Miljövärden!$B$2:$H$2,0),FALSE),"Saknas")</f>
        <v>3.57969E-2</v>
      </c>
      <c r="D232">
        <f>IFERROR(VLOOKUP($B232,Miljövärden!$B$3:$H$553,MATCH(D$2,Miljövärden!$B$2:$H$2,0),FALSE),"Saknas")</f>
        <v>4.5208000000000004</v>
      </c>
      <c r="E232">
        <f>IFERROR(VLOOKUP($B232,Miljövärden!$B$3:$H$553,MATCH(E$2,Miljövärden!$B$2:$H$2,0),FALSE),"Saknas")</f>
        <v>7.7122900000000003</v>
      </c>
      <c r="F232">
        <f>IFERROR(VLOOKUP($B232,Miljövärden!$B$3:$H$553,MATCH(F$2,Miljövärden!$B$2:$H$2,0),FALSE),"Saknas")</f>
        <v>3.3604400000000002E-4</v>
      </c>
      <c r="G232" t="str">
        <f>IFERROR(VLOOKUP($B232,Miljövärden!$B$3:$H$553,MATCH(G$2,Miljövärden!$B$2:$H$2,0),FALSE),"Nej, saknas")</f>
        <v>Ja</v>
      </c>
      <c r="H232" t="str">
        <f>IFERROR(VLOOKUP($B232,Miljövärden!$B$3:$H$553,MATCH(H$2,Miljövärden!$B$2:$H$2,0),FALSE),"Nej, saknas")</f>
        <v>Ja</v>
      </c>
      <c r="P232" t="str">
        <f t="shared" si="7"/>
        <v>ja</v>
      </c>
      <c r="R232">
        <f t="shared" si="6"/>
        <v>201</v>
      </c>
    </row>
    <row r="233" spans="1:18" x14ac:dyDescent="0.45">
      <c r="A233" s="2" t="s">
        <v>376</v>
      </c>
      <c r="B233" s="2" t="s">
        <v>379</v>
      </c>
      <c r="C233">
        <f>IFERROR(VLOOKUP($B233,Miljövärden!$B$3:$H$553,MATCH(C$2,Miljövärden!$B$2:$H$2,0),FALSE),"Saknas")</f>
        <v>0.24321899999999999</v>
      </c>
      <c r="D233">
        <f>IFERROR(VLOOKUP($B233,Miljövärden!$B$3:$H$553,MATCH(D$2,Miljövärden!$B$2:$H$2,0),FALSE),"Saknas")</f>
        <v>5.5559099999999999</v>
      </c>
      <c r="E233">
        <f>IFERROR(VLOOKUP($B233,Miljövärden!$B$3:$H$553,MATCH(E$2,Miljövärden!$B$2:$H$2,0),FALSE),"Saknas")</f>
        <v>17.250800000000002</v>
      </c>
      <c r="F233">
        <f>IFERROR(VLOOKUP($B233,Miljövärden!$B$3:$H$553,MATCH(F$2,Miljövärden!$B$2:$H$2,0),FALSE),"Saknas")</f>
        <v>1.8061399999999999E-3</v>
      </c>
      <c r="G233" t="str">
        <f>IFERROR(VLOOKUP($B233,Miljövärden!$B$3:$H$553,MATCH(G$2,Miljövärden!$B$2:$H$2,0),FALSE),"Nej, saknas")</f>
        <v>Ja</v>
      </c>
      <c r="H233" t="str">
        <f>IFERROR(VLOOKUP($B233,Miljövärden!$B$3:$H$553,MATCH(H$2,Miljövärden!$B$2:$H$2,0),FALSE),"Nej, saknas")</f>
        <v>Ja</v>
      </c>
      <c r="P233" t="str">
        <f t="shared" si="7"/>
        <v>ja</v>
      </c>
      <c r="R233">
        <f t="shared" si="6"/>
        <v>202</v>
      </c>
    </row>
    <row r="234" spans="1:18" x14ac:dyDescent="0.45">
      <c r="A234" s="2" t="s">
        <v>376</v>
      </c>
      <c r="B234" s="2" t="s">
        <v>378</v>
      </c>
      <c r="C234">
        <f>IFERROR(VLOOKUP($B234,Miljövärden!$B$3:$H$553,MATCH(C$2,Miljövärden!$B$2:$H$2,0),FALSE),"Saknas")</f>
        <v>2.5564199999999999E-2</v>
      </c>
      <c r="D234">
        <f>IFERROR(VLOOKUP($B234,Miljövärden!$B$3:$H$553,MATCH(D$2,Miljövärden!$B$2:$H$2,0),FALSE),"Saknas")</f>
        <v>4.1406000000000001</v>
      </c>
      <c r="E234">
        <f>IFERROR(VLOOKUP($B234,Miljövärden!$B$3:$H$553,MATCH(E$2,Miljövärden!$B$2:$H$2,0),FALSE),"Saknas")</f>
        <v>0.33623900000000001</v>
      </c>
      <c r="F234">
        <f>IFERROR(VLOOKUP($B234,Miljövärden!$B$3:$H$553,MATCH(F$2,Miljövärden!$B$2:$H$2,0),FALSE),"Saknas")</f>
        <v>1.2781499999999999E-2</v>
      </c>
      <c r="G234" t="str">
        <f>IFERROR(VLOOKUP($B234,Miljövärden!$B$3:$H$553,MATCH(G$2,Miljövärden!$B$2:$H$2,0),FALSE),"Nej, saknas")</f>
        <v>Ja</v>
      </c>
      <c r="H234" t="str">
        <f>IFERROR(VLOOKUP($B234,Miljövärden!$B$3:$H$553,MATCH(H$2,Miljövärden!$B$2:$H$2,0),FALSE),"Nej, saknas")</f>
        <v>Ja</v>
      </c>
      <c r="P234" t="str">
        <f t="shared" si="7"/>
        <v>ja</v>
      </c>
      <c r="R234">
        <f t="shared" si="6"/>
        <v>203</v>
      </c>
    </row>
    <row r="235" spans="1:18" x14ac:dyDescent="0.45">
      <c r="A235" s="2" t="s">
        <v>376</v>
      </c>
      <c r="B235" s="2" t="s">
        <v>377</v>
      </c>
      <c r="C235">
        <f>IFERROR(VLOOKUP($B235,Miljövärden!$B$3:$H$553,MATCH(C$2,Miljövärden!$B$2:$H$2,0),FALSE),"Saknas")</f>
        <v>7.3670100000000002E-2</v>
      </c>
      <c r="D235">
        <f>IFERROR(VLOOKUP($B235,Miljövärden!$B$3:$H$553,MATCH(D$2,Miljövärden!$B$2:$H$2,0),FALSE),"Saknas")</f>
        <v>5.4226799999999997</v>
      </c>
      <c r="E235">
        <f>IFERROR(VLOOKUP($B235,Miljövärden!$B$3:$H$553,MATCH(E$2,Miljövärden!$B$2:$H$2,0),FALSE),"Saknas")</f>
        <v>9.4896700000000003</v>
      </c>
      <c r="F235">
        <f>IFERROR(VLOOKUP($B235,Miljövärden!$B$3:$H$553,MATCH(F$2,Miljövärden!$B$2:$H$2,0),FALSE),"Saknas")</f>
        <v>0</v>
      </c>
      <c r="G235" t="str">
        <f>IFERROR(VLOOKUP($B235,Miljövärden!$B$3:$H$553,MATCH(G$2,Miljövärden!$B$2:$H$2,0),FALSE),"Nej, saknas")</f>
        <v>Ja</v>
      </c>
      <c r="H235" t="str">
        <f>IFERROR(VLOOKUP($B235,Miljövärden!$B$3:$H$553,MATCH(H$2,Miljövärden!$B$2:$H$2,0),FALSE),"Nej, saknas")</f>
        <v>Ja</v>
      </c>
      <c r="P235" t="str">
        <f t="shared" si="7"/>
        <v>ja</v>
      </c>
      <c r="R235">
        <f t="shared" si="6"/>
        <v>204</v>
      </c>
    </row>
    <row r="236" spans="1:18" x14ac:dyDescent="0.45">
      <c r="A236" s="2" t="s">
        <v>376</v>
      </c>
      <c r="B236" s="2" t="s">
        <v>375</v>
      </c>
      <c r="C236">
        <f>IFERROR(VLOOKUP($B236,Miljövärden!$B$3:$H$553,MATCH(C$2,Miljövärden!$B$2:$H$2,0),FALSE),"Saknas")</f>
        <v>0.36553099999999999</v>
      </c>
      <c r="D236">
        <f>IFERROR(VLOOKUP($B236,Miljövärden!$B$3:$H$553,MATCH(D$2,Miljövärden!$B$2:$H$2,0),FALSE),"Saknas")</f>
        <v>15.4184</v>
      </c>
      <c r="E236">
        <f>IFERROR(VLOOKUP($B236,Miljövärden!$B$3:$H$553,MATCH(E$2,Miljövärden!$B$2:$H$2,0),FALSE),"Saknas")</f>
        <v>16.793199999999999</v>
      </c>
      <c r="F236">
        <f>IFERROR(VLOOKUP($B236,Miljövärden!$B$3:$H$553,MATCH(F$2,Miljövärden!$B$2:$H$2,0),FALSE),"Saknas")</f>
        <v>2.9967899999999999E-2</v>
      </c>
      <c r="G236" t="str">
        <f>IFERROR(VLOOKUP($B236,Miljövärden!$B$3:$H$553,MATCH(G$2,Miljövärden!$B$2:$H$2,0),FALSE),"Nej, saknas")</f>
        <v>Ja</v>
      </c>
      <c r="H236" t="str">
        <f>IFERROR(VLOOKUP($B236,Miljövärden!$B$3:$H$553,MATCH(H$2,Miljövärden!$B$2:$H$2,0),FALSE),"Nej, saknas")</f>
        <v>Ja</v>
      </c>
      <c r="P236" t="str">
        <f t="shared" si="7"/>
        <v>ja</v>
      </c>
      <c r="R236">
        <f t="shared" si="6"/>
        <v>205</v>
      </c>
    </row>
    <row r="237" spans="1:18" x14ac:dyDescent="0.45">
      <c r="A237" s="2" t="s">
        <v>374</v>
      </c>
      <c r="B237" s="2" t="s">
        <v>373</v>
      </c>
      <c r="C237">
        <f>IFERROR(VLOOKUP($B237,Miljövärden!$B$3:$H$553,MATCH(C$2,Miljövärden!$B$2:$H$2,0),FALSE),"Saknas")</f>
        <v>0</v>
      </c>
      <c r="D237">
        <f>IFERROR(VLOOKUP($B237,Miljövärden!$B$3:$H$553,MATCH(D$2,Miljövärden!$B$2:$H$2,0),FALSE),"Saknas")</f>
        <v>0</v>
      </c>
      <c r="E237">
        <f>IFERROR(VLOOKUP($B237,Miljövärden!$B$3:$H$553,MATCH(E$2,Miljövärden!$B$2:$H$2,0),FALSE),"Saknas")</f>
        <v>0</v>
      </c>
      <c r="F237">
        <f>IFERROR(VLOOKUP($B237,Miljövärden!$B$3:$H$553,MATCH(F$2,Miljövärden!$B$2:$H$2,0),FALSE),"Saknas")</f>
        <v>0</v>
      </c>
      <c r="G237" t="str">
        <f>IFERROR(VLOOKUP($B237,Miljövärden!$B$3:$H$553,MATCH(G$2,Miljövärden!$B$2:$H$2,0),FALSE),"Nej, saknas")</f>
        <v>Nej</v>
      </c>
      <c r="H237" t="str">
        <f>IFERROR(VLOOKUP($B237,Miljövärden!$B$3:$H$553,MATCH(H$2,Miljövärden!$B$2:$H$2,0),FALSE),"Nej, saknas")</f>
        <v>Nej</v>
      </c>
      <c r="K237" t="s">
        <v>1529</v>
      </c>
      <c r="P237" t="str">
        <f t="shared" si="7"/>
        <v>nej</v>
      </c>
      <c r="R237">
        <f t="shared" si="6"/>
        <v>205</v>
      </c>
    </row>
    <row r="238" spans="1:18" x14ac:dyDescent="0.45">
      <c r="A238" s="2" t="s">
        <v>371</v>
      </c>
      <c r="B238" s="2" t="s">
        <v>372</v>
      </c>
      <c r="C238">
        <f>IFERROR(VLOOKUP($B238,Miljövärden!$B$3:$H$553,MATCH(C$2,Miljövärden!$B$2:$H$2,0),FALSE),"Saknas")</f>
        <v>9.6119399999999994E-2</v>
      </c>
      <c r="D238">
        <f>IFERROR(VLOOKUP($B238,Miljövärden!$B$3:$H$553,MATCH(D$2,Miljövärden!$B$2:$H$2,0),FALSE),"Saknas")</f>
        <v>7.8019400000000001</v>
      </c>
      <c r="E238">
        <f>IFERROR(VLOOKUP($B238,Miljövärden!$B$3:$H$553,MATCH(E$2,Miljövärden!$B$2:$H$2,0),FALSE),"Saknas")</f>
        <v>11.1343</v>
      </c>
      <c r="F238">
        <f>IFERROR(VLOOKUP($B238,Miljövärden!$B$3:$H$553,MATCH(F$2,Miljövärden!$B$2:$H$2,0),FALSE),"Saknas")</f>
        <v>5.0454100000000002E-3</v>
      </c>
      <c r="G238" t="str">
        <f>IFERROR(VLOOKUP($B238,Miljövärden!$B$3:$H$553,MATCH(G$2,Miljövärden!$B$2:$H$2,0),FALSE),"Nej, saknas")</f>
        <v>Ja</v>
      </c>
      <c r="H238" t="str">
        <f>IFERROR(VLOOKUP($B238,Miljövärden!$B$3:$H$553,MATCH(H$2,Miljövärden!$B$2:$H$2,0),FALSE),"Nej, saknas")</f>
        <v>Ja</v>
      </c>
      <c r="P238" t="str">
        <f t="shared" si="7"/>
        <v>ja</v>
      </c>
      <c r="R238">
        <f t="shared" si="6"/>
        <v>206</v>
      </c>
    </row>
    <row r="239" spans="1:18" x14ac:dyDescent="0.45">
      <c r="A239" s="2" t="s">
        <v>371</v>
      </c>
      <c r="B239" s="2" t="s">
        <v>370</v>
      </c>
      <c r="C239">
        <f>IFERROR(VLOOKUP($B239,Miljövärden!$B$3:$H$553,MATCH(C$2,Miljövärden!$B$2:$H$2,0),FALSE),"Saknas")</f>
        <v>0.10961899999999999</v>
      </c>
      <c r="D239">
        <f>IFERROR(VLOOKUP($B239,Miljövärden!$B$3:$H$553,MATCH(D$2,Miljövärden!$B$2:$H$2,0),FALSE),"Saknas")</f>
        <v>8.4294700000000002</v>
      </c>
      <c r="E239">
        <f>IFERROR(VLOOKUP($B239,Miljövärden!$B$3:$H$553,MATCH(E$2,Miljövärden!$B$2:$H$2,0),FALSE),"Saknas")</f>
        <v>10.910299999999999</v>
      </c>
      <c r="F239">
        <f>IFERROR(VLOOKUP($B239,Miljövärden!$B$3:$H$553,MATCH(F$2,Miljövärden!$B$2:$H$2,0),FALSE),"Saknas")</f>
        <v>1.1267299999999999E-2</v>
      </c>
      <c r="G239" t="str">
        <f>IFERROR(VLOOKUP($B239,Miljövärden!$B$3:$H$553,MATCH(G$2,Miljövärden!$B$2:$H$2,0),FALSE),"Nej, saknas")</f>
        <v>Ja</v>
      </c>
      <c r="H239" t="str">
        <f>IFERROR(VLOOKUP($B239,Miljövärden!$B$3:$H$553,MATCH(H$2,Miljövärden!$B$2:$H$2,0),FALSE),"Nej, saknas")</f>
        <v>Ja</v>
      </c>
      <c r="P239" t="str">
        <f t="shared" si="7"/>
        <v>ja</v>
      </c>
      <c r="R239">
        <f t="shared" si="6"/>
        <v>207</v>
      </c>
    </row>
    <row r="240" spans="1:18" x14ac:dyDescent="0.45">
      <c r="A240" s="2" t="s">
        <v>369</v>
      </c>
      <c r="B240" s="2" t="s">
        <v>368</v>
      </c>
      <c r="C240">
        <f>IFERROR(VLOOKUP($B240,Miljövärden!$B$3:$H$553,MATCH(C$2,Miljövärden!$B$2:$H$2,0),FALSE),"Saknas")</f>
        <v>0.12485499999999999</v>
      </c>
      <c r="D240">
        <f>IFERROR(VLOOKUP($B240,Miljövärden!$B$3:$H$553,MATCH(D$2,Miljövärden!$B$2:$H$2,0),FALSE),"Saknas")</f>
        <v>16.261299999999999</v>
      </c>
      <c r="E240">
        <f>IFERROR(VLOOKUP($B240,Miljövärden!$B$3:$H$553,MATCH(E$2,Miljövärden!$B$2:$H$2,0),FALSE),"Saknas")</f>
        <v>8.6375799999999998</v>
      </c>
      <c r="F240">
        <f>IFERROR(VLOOKUP($B240,Miljövärden!$B$3:$H$553,MATCH(F$2,Miljövärden!$B$2:$H$2,0),FALSE),"Saknas")</f>
        <v>1.4860699999999999E-2</v>
      </c>
      <c r="G240" t="str">
        <f>IFERROR(VLOOKUP($B240,Miljövärden!$B$3:$H$553,MATCH(G$2,Miljövärden!$B$2:$H$2,0),FALSE),"Nej, saknas")</f>
        <v>Ja</v>
      </c>
      <c r="H240" t="str">
        <f>IFERROR(VLOOKUP($B240,Miljövärden!$B$3:$H$553,MATCH(H$2,Miljövärden!$B$2:$H$2,0),FALSE),"Nej, saknas")</f>
        <v>Ja</v>
      </c>
      <c r="P240" t="str">
        <f t="shared" si="7"/>
        <v>ja</v>
      </c>
      <c r="R240">
        <f t="shared" si="6"/>
        <v>208</v>
      </c>
    </row>
    <row r="241" spans="1:18" x14ac:dyDescent="0.45">
      <c r="A241" s="2" t="s">
        <v>367</v>
      </c>
      <c r="B241" s="2" t="s">
        <v>366</v>
      </c>
      <c r="C241">
        <f>IFERROR(VLOOKUP($B241,Miljövärden!$B$3:$H$553,MATCH(C$2,Miljövärden!$B$2:$H$2,0),FALSE),"Saknas")</f>
        <v>9.2565099999999997E-2</v>
      </c>
      <c r="D241">
        <f>IFERROR(VLOOKUP($B241,Miljövärden!$B$3:$H$553,MATCH(D$2,Miljövärden!$B$2:$H$2,0),FALSE),"Saknas")</f>
        <v>4.3016500000000004</v>
      </c>
      <c r="E241">
        <f>IFERROR(VLOOKUP($B241,Miljövärden!$B$3:$H$553,MATCH(E$2,Miljövärden!$B$2:$H$2,0),FALSE),"Saknas")</f>
        <v>10.3795</v>
      </c>
      <c r="F241">
        <f>IFERROR(VLOOKUP($B241,Miljövärden!$B$3:$H$553,MATCH(F$2,Miljövärden!$B$2:$H$2,0),FALSE),"Saknas")</f>
        <v>0</v>
      </c>
      <c r="G241" t="str">
        <f>IFERROR(VLOOKUP($B241,Miljövärden!$B$3:$H$553,MATCH(G$2,Miljövärden!$B$2:$H$2,0),FALSE),"Nej, saknas")</f>
        <v>Nej</v>
      </c>
      <c r="H241" t="str">
        <f>IFERROR(VLOOKUP($B241,Miljövärden!$B$3:$H$553,MATCH(H$2,Miljövärden!$B$2:$H$2,0),FALSE),"Nej, saknas")</f>
        <v>Ja</v>
      </c>
      <c r="P241" t="str">
        <f t="shared" si="7"/>
        <v>ja</v>
      </c>
      <c r="R241">
        <f t="shared" si="6"/>
        <v>209</v>
      </c>
    </row>
    <row r="242" spans="1:18" x14ac:dyDescent="0.45">
      <c r="A242" s="2" t="s">
        <v>364</v>
      </c>
      <c r="B242" s="2" t="s">
        <v>363</v>
      </c>
      <c r="C242">
        <f>IFERROR(VLOOKUP($B242,Miljövärden!$B$3:$H$553,MATCH(C$2,Miljövärden!$B$2:$H$2,0),FALSE),"Saknas")</f>
        <v>0.58060900000000004</v>
      </c>
      <c r="D242">
        <f>IFERROR(VLOOKUP($B242,Miljövärden!$B$3:$H$553,MATCH(D$2,Miljövärden!$B$2:$H$2,0),FALSE),"Saknas")</f>
        <v>180.96600000000001</v>
      </c>
      <c r="E242">
        <f>IFERROR(VLOOKUP($B242,Miljövärden!$B$3:$H$553,MATCH(E$2,Miljövärden!$B$2:$H$2,0),FALSE),"Saknas")</f>
        <v>22.6342</v>
      </c>
      <c r="F242">
        <f>IFERROR(VLOOKUP($B242,Miljövärden!$B$3:$H$553,MATCH(F$2,Miljövärden!$B$2:$H$2,0),FALSE),"Saknas")</f>
        <v>3.0034600000000002E-2</v>
      </c>
      <c r="G242" t="str">
        <f>IFERROR(VLOOKUP($B242,Miljövärden!$B$3:$H$553,MATCH(G$2,Miljövärden!$B$2:$H$2,0),FALSE),"Nej, saknas")</f>
        <v>Ja</v>
      </c>
      <c r="H242" t="str">
        <f>IFERROR(VLOOKUP($B242,Miljövärden!$B$3:$H$553,MATCH(H$2,Miljövärden!$B$2:$H$2,0),FALSE),"Nej, saknas")</f>
        <v>Ja</v>
      </c>
      <c r="P242" t="str">
        <f t="shared" si="7"/>
        <v>ja</v>
      </c>
      <c r="R242">
        <f t="shared" si="6"/>
        <v>210</v>
      </c>
    </row>
    <row r="243" spans="1:18" x14ac:dyDescent="0.45">
      <c r="A243" s="2" t="s">
        <v>362</v>
      </c>
      <c r="B243" s="2" t="s">
        <v>361</v>
      </c>
      <c r="C243">
        <f>IFERROR(VLOOKUP($B243,Miljövärden!$B$3:$H$553,MATCH(C$2,Miljövärden!$B$2:$H$2,0),FALSE),"Saknas")</f>
        <v>8.9110400000000006E-2</v>
      </c>
      <c r="D243">
        <f>IFERROR(VLOOKUP($B243,Miljövärden!$B$3:$H$553,MATCH(D$2,Miljövärden!$B$2:$H$2,0),FALSE),"Saknas")</f>
        <v>13.1821</v>
      </c>
      <c r="E243">
        <f>IFERROR(VLOOKUP($B243,Miljövärden!$B$3:$H$553,MATCH(E$2,Miljövärden!$B$2:$H$2,0),FALSE),"Saknas")</f>
        <v>5.8871000000000002</v>
      </c>
      <c r="F243">
        <f>IFERROR(VLOOKUP($B243,Miljövärden!$B$3:$H$553,MATCH(F$2,Miljövärden!$B$2:$H$2,0),FALSE),"Saknas")</f>
        <v>2.46E-2</v>
      </c>
      <c r="G243" t="str">
        <f>IFERROR(VLOOKUP($B243,Miljövärden!$B$3:$H$553,MATCH(G$2,Miljövärden!$B$2:$H$2,0),FALSE),"Nej, saknas")</f>
        <v>Nej</v>
      </c>
      <c r="H243" t="str">
        <f>IFERROR(VLOOKUP($B243,Miljövärden!$B$3:$H$553,MATCH(H$2,Miljövärden!$B$2:$H$2,0),FALSE),"Nej, saknas")</f>
        <v>Ja</v>
      </c>
      <c r="P243" t="str">
        <f t="shared" si="7"/>
        <v>ja</v>
      </c>
      <c r="R243">
        <f t="shared" si="6"/>
        <v>211</v>
      </c>
    </row>
    <row r="244" spans="1:18" x14ac:dyDescent="0.45">
      <c r="A244" s="2" t="s">
        <v>360</v>
      </c>
      <c r="B244" s="2" t="s">
        <v>359</v>
      </c>
      <c r="C244">
        <f>IFERROR(VLOOKUP($B244,Miljövärden!$B$3:$H$553,MATCH(C$2,Miljövärden!$B$2:$H$2,0),FALSE),"Saknas")</f>
        <v>9.5108200000000004E-2</v>
      </c>
      <c r="D244">
        <f>IFERROR(VLOOKUP($B244,Miljövärden!$B$3:$H$553,MATCH(D$2,Miljövärden!$B$2:$H$2,0),FALSE),"Saknas")</f>
        <v>12.089499999999999</v>
      </c>
      <c r="E244">
        <f>IFERROR(VLOOKUP($B244,Miljövärden!$B$3:$H$553,MATCH(E$2,Miljövärden!$B$2:$H$2,0),FALSE),"Saknas")</f>
        <v>8.6093399999999995</v>
      </c>
      <c r="F244">
        <f>IFERROR(VLOOKUP($B244,Miljövärden!$B$3:$H$553,MATCH(F$2,Miljövärden!$B$2:$H$2,0),FALSE),"Saknas")</f>
        <v>9.1496400000000006E-3</v>
      </c>
      <c r="G244" t="str">
        <f>IFERROR(VLOOKUP($B244,Miljövärden!$B$3:$H$553,MATCH(G$2,Miljövärden!$B$2:$H$2,0),FALSE),"Nej, saknas")</f>
        <v>Nej</v>
      </c>
      <c r="H244" t="str">
        <f>IFERROR(VLOOKUP($B244,Miljövärden!$B$3:$H$553,MATCH(H$2,Miljövärden!$B$2:$H$2,0),FALSE),"Nej, saknas")</f>
        <v>Ja</v>
      </c>
      <c r="P244" t="str">
        <f t="shared" si="7"/>
        <v>ja</v>
      </c>
      <c r="R244">
        <f t="shared" si="6"/>
        <v>212</v>
      </c>
    </row>
    <row r="245" spans="1:18" x14ac:dyDescent="0.45">
      <c r="A245" s="2" t="s">
        <v>342</v>
      </c>
      <c r="B245" s="2" t="s">
        <v>358</v>
      </c>
      <c r="C245">
        <f>IFERROR(VLOOKUP($B245,Miljövärden!$B$3:$H$553,MATCH(C$2,Miljövärden!$B$2:$H$2,0),FALSE),"Saknas")</f>
        <v>0.18199499999999999</v>
      </c>
      <c r="D245">
        <f>IFERROR(VLOOKUP($B245,Miljövärden!$B$3:$H$553,MATCH(D$2,Miljövärden!$B$2:$H$2,0),FALSE),"Saknas")</f>
        <v>13.940799999999999</v>
      </c>
      <c r="E245">
        <f>IFERROR(VLOOKUP($B245,Miljövärden!$B$3:$H$553,MATCH(E$2,Miljövärden!$B$2:$H$2,0),FALSE),"Saknas")</f>
        <v>17.696400000000001</v>
      </c>
      <c r="F245">
        <f>IFERROR(VLOOKUP($B245,Miljövärden!$B$3:$H$553,MATCH(F$2,Miljövärden!$B$2:$H$2,0),FALSE),"Saknas")</f>
        <v>2.6945199999999999E-2</v>
      </c>
      <c r="G245" t="str">
        <f>IFERROR(VLOOKUP($B245,Miljövärden!$B$3:$H$553,MATCH(G$2,Miljövärden!$B$2:$H$2,0),FALSE),"Nej, saknas")</f>
        <v>Nej</v>
      </c>
      <c r="H245" t="str">
        <f>IFERROR(VLOOKUP($B245,Miljövärden!$B$3:$H$553,MATCH(H$2,Miljövärden!$B$2:$H$2,0),FALSE),"Nej, saknas")</f>
        <v>Ja</v>
      </c>
      <c r="P245" t="str">
        <f t="shared" si="7"/>
        <v>ja</v>
      </c>
      <c r="R245">
        <f t="shared" si="6"/>
        <v>213</v>
      </c>
    </row>
    <row r="246" spans="1:18" x14ac:dyDescent="0.45">
      <c r="A246" s="2" t="s">
        <v>342</v>
      </c>
      <c r="B246" s="2" t="s">
        <v>357</v>
      </c>
      <c r="C246">
        <f>IFERROR(VLOOKUP($B246,Miljövärden!$B$3:$H$553,MATCH(C$2,Miljövärden!$B$2:$H$2,0),FALSE),"Saknas")</f>
        <v>0.158252</v>
      </c>
      <c r="D246">
        <f>IFERROR(VLOOKUP($B246,Miljövärden!$B$3:$H$553,MATCH(D$2,Miljövärden!$B$2:$H$2,0),FALSE),"Saknas")</f>
        <v>8.2372599999999991</v>
      </c>
      <c r="E246">
        <f>IFERROR(VLOOKUP($B246,Miljövärden!$B$3:$H$553,MATCH(E$2,Miljövärden!$B$2:$H$2,0),FALSE),"Saknas")</f>
        <v>17.4161</v>
      </c>
      <c r="F246">
        <f>IFERROR(VLOOKUP($B246,Miljövärden!$B$3:$H$553,MATCH(F$2,Miljövärden!$B$2:$H$2,0),FALSE),"Saknas")</f>
        <v>9.9671099999999995E-3</v>
      </c>
      <c r="G246" t="str">
        <f>IFERROR(VLOOKUP($B246,Miljövärden!$B$3:$H$553,MATCH(G$2,Miljövärden!$B$2:$H$2,0),FALSE),"Nej, saknas")</f>
        <v>Nej</v>
      </c>
      <c r="H246" t="str">
        <f>IFERROR(VLOOKUP($B246,Miljövärden!$B$3:$H$553,MATCH(H$2,Miljövärden!$B$2:$H$2,0),FALSE),"Nej, saknas")</f>
        <v>Ja</v>
      </c>
      <c r="P246" t="str">
        <f t="shared" si="7"/>
        <v>ja</v>
      </c>
      <c r="R246">
        <f t="shared" si="6"/>
        <v>214</v>
      </c>
    </row>
    <row r="247" spans="1:18" x14ac:dyDescent="0.45">
      <c r="A247" s="2" t="s">
        <v>342</v>
      </c>
      <c r="B247" s="2" t="s">
        <v>356</v>
      </c>
      <c r="C247">
        <f>IFERROR(VLOOKUP($B247,Miljövärden!$B$3:$H$553,MATCH(C$2,Miljövärden!$B$2:$H$2,0),FALSE),"Saknas")</f>
        <v>0.10749599999999999</v>
      </c>
      <c r="D247">
        <f>IFERROR(VLOOKUP($B247,Miljövärden!$B$3:$H$553,MATCH(D$2,Miljövärden!$B$2:$H$2,0),FALSE),"Saknas")</f>
        <v>9.2196499999999997</v>
      </c>
      <c r="E247">
        <f>IFERROR(VLOOKUP($B247,Miljövärden!$B$3:$H$553,MATCH(E$2,Miljövärden!$B$2:$H$2,0),FALSE),"Saknas")</f>
        <v>13.234500000000001</v>
      </c>
      <c r="F247">
        <f>IFERROR(VLOOKUP($B247,Miljövärden!$B$3:$H$553,MATCH(F$2,Miljövärden!$B$2:$H$2,0),FALSE),"Saknas")</f>
        <v>8.7815099999999993E-3</v>
      </c>
      <c r="G247" t="str">
        <f>IFERROR(VLOOKUP($B247,Miljövärden!$B$3:$H$553,MATCH(G$2,Miljövärden!$B$2:$H$2,0),FALSE),"Nej, saknas")</f>
        <v>Nej</v>
      </c>
      <c r="H247" t="str">
        <f>IFERROR(VLOOKUP($B247,Miljövärden!$B$3:$H$553,MATCH(H$2,Miljövärden!$B$2:$H$2,0),FALSE),"Nej, saknas")</f>
        <v>Ja</v>
      </c>
      <c r="P247" t="str">
        <f t="shared" si="7"/>
        <v>ja</v>
      </c>
      <c r="R247">
        <f t="shared" si="6"/>
        <v>215</v>
      </c>
    </row>
    <row r="248" spans="1:18" x14ac:dyDescent="0.45">
      <c r="A248" s="2" t="s">
        <v>342</v>
      </c>
      <c r="B248" s="2" t="s">
        <v>355</v>
      </c>
      <c r="C248">
        <f>IFERROR(VLOOKUP($B248,Miljövärden!$B$3:$H$553,MATCH(C$2,Miljövärden!$B$2:$H$2,0),FALSE),"Saknas")</f>
        <v>0.15398899999999999</v>
      </c>
      <c r="D248">
        <f>IFERROR(VLOOKUP($B248,Miljövärden!$B$3:$H$553,MATCH(D$2,Miljövärden!$B$2:$H$2,0),FALSE),"Saknas")</f>
        <v>9.1578499999999998</v>
      </c>
      <c r="E248">
        <f>IFERROR(VLOOKUP($B248,Miljövärden!$B$3:$H$553,MATCH(E$2,Miljövärden!$B$2:$H$2,0),FALSE),"Saknas")</f>
        <v>16.5701</v>
      </c>
      <c r="F248">
        <f>IFERROR(VLOOKUP($B248,Miljövärden!$B$3:$H$553,MATCH(F$2,Miljövärden!$B$2:$H$2,0),FALSE),"Saknas")</f>
        <v>1.4265699999999999E-2</v>
      </c>
      <c r="G248" t="str">
        <f>IFERROR(VLOOKUP($B248,Miljövärden!$B$3:$H$553,MATCH(G$2,Miljövärden!$B$2:$H$2,0),FALSE),"Nej, saknas")</f>
        <v>Nej</v>
      </c>
      <c r="H248" t="str">
        <f>IFERROR(VLOOKUP($B248,Miljövärden!$B$3:$H$553,MATCH(H$2,Miljövärden!$B$2:$H$2,0),FALSE),"Nej, saknas")</f>
        <v>Ja</v>
      </c>
      <c r="P248" t="str">
        <f t="shared" si="7"/>
        <v>ja</v>
      </c>
      <c r="R248">
        <f t="shared" si="6"/>
        <v>216</v>
      </c>
    </row>
    <row r="249" spans="1:18" x14ac:dyDescent="0.45">
      <c r="A249" s="2" t="s">
        <v>342</v>
      </c>
      <c r="B249" s="2" t="s">
        <v>354</v>
      </c>
      <c r="C249">
        <f>IFERROR(VLOOKUP($B249,Miljövärden!$B$3:$H$553,MATCH(C$2,Miljövärden!$B$2:$H$2,0),FALSE),"Saknas")</f>
        <v>0.154446</v>
      </c>
      <c r="D249">
        <f>IFERROR(VLOOKUP($B249,Miljövärden!$B$3:$H$553,MATCH(D$2,Miljövärden!$B$2:$H$2,0),FALSE),"Saknas")</f>
        <v>6.3660500000000004</v>
      </c>
      <c r="E249">
        <f>IFERROR(VLOOKUP($B249,Miljövärden!$B$3:$H$553,MATCH(E$2,Miljövärden!$B$2:$H$2,0),FALSE),"Saknas")</f>
        <v>17.6403</v>
      </c>
      <c r="F249">
        <f>IFERROR(VLOOKUP($B249,Miljövärden!$B$3:$H$553,MATCH(F$2,Miljövärden!$B$2:$H$2,0),FALSE),"Saknas")</f>
        <v>3.9820799999999998E-3</v>
      </c>
      <c r="G249" t="str">
        <f>IFERROR(VLOOKUP($B249,Miljövärden!$B$3:$H$553,MATCH(G$2,Miljövärden!$B$2:$H$2,0),FALSE),"Nej, saknas")</f>
        <v>Nej</v>
      </c>
      <c r="H249" t="str">
        <f>IFERROR(VLOOKUP($B249,Miljövärden!$B$3:$H$553,MATCH(H$2,Miljövärden!$B$2:$H$2,0),FALSE),"Nej, saknas")</f>
        <v>Ja</v>
      </c>
      <c r="P249" t="str">
        <f t="shared" si="7"/>
        <v>ja</v>
      </c>
      <c r="R249">
        <f t="shared" si="6"/>
        <v>217</v>
      </c>
    </row>
    <row r="250" spans="1:18" x14ac:dyDescent="0.45">
      <c r="A250" s="2" t="s">
        <v>342</v>
      </c>
      <c r="B250" s="2" t="s">
        <v>353</v>
      </c>
      <c r="C250">
        <f>IFERROR(VLOOKUP($B250,Miljövärden!$B$3:$H$553,MATCH(C$2,Miljövärden!$B$2:$H$2,0),FALSE),"Saknas")</f>
        <v>0.15866</v>
      </c>
      <c r="D250">
        <f>IFERROR(VLOOKUP($B250,Miljövärden!$B$3:$H$553,MATCH(D$2,Miljövärden!$B$2:$H$2,0),FALSE),"Saknas")</f>
        <v>6.0014599999999998</v>
      </c>
      <c r="E250">
        <f>IFERROR(VLOOKUP($B250,Miljövärden!$B$3:$H$553,MATCH(E$2,Miljövärden!$B$2:$H$2,0),FALSE),"Saknas")</f>
        <v>18.672599999999999</v>
      </c>
      <c r="F250">
        <f>IFERROR(VLOOKUP($B250,Miljövärden!$B$3:$H$553,MATCH(F$2,Miljövärden!$B$2:$H$2,0),FALSE),"Saknas")</f>
        <v>1.89266E-3</v>
      </c>
      <c r="G250" t="str">
        <f>IFERROR(VLOOKUP($B250,Miljövärden!$B$3:$H$553,MATCH(G$2,Miljövärden!$B$2:$H$2,0),FALSE),"Nej, saknas")</f>
        <v>Nej</v>
      </c>
      <c r="H250" t="str">
        <f>IFERROR(VLOOKUP($B250,Miljövärden!$B$3:$H$553,MATCH(H$2,Miljövärden!$B$2:$H$2,0),FALSE),"Nej, saknas")</f>
        <v>Ja</v>
      </c>
      <c r="P250" t="str">
        <f t="shared" si="7"/>
        <v>ja</v>
      </c>
      <c r="R250">
        <f t="shared" si="6"/>
        <v>218</v>
      </c>
    </row>
    <row r="251" spans="1:18" x14ac:dyDescent="0.45">
      <c r="A251" s="2" t="s">
        <v>342</v>
      </c>
      <c r="B251" s="2" t="s">
        <v>352</v>
      </c>
      <c r="C251">
        <f>IFERROR(VLOOKUP($B251,Miljövärden!$B$3:$H$553,MATCH(C$2,Miljövärden!$B$2:$H$2,0),FALSE),"Saknas")</f>
        <v>0.173591</v>
      </c>
      <c r="D251">
        <f>IFERROR(VLOOKUP($B251,Miljövärden!$B$3:$H$553,MATCH(D$2,Miljövärden!$B$2:$H$2,0),FALSE),"Saknas")</f>
        <v>11.1799</v>
      </c>
      <c r="E251">
        <f>IFERROR(VLOOKUP($B251,Miljövärden!$B$3:$H$553,MATCH(E$2,Miljövärden!$B$2:$H$2,0),FALSE),"Saknas")</f>
        <v>18.013300000000001</v>
      </c>
      <c r="F251">
        <f>IFERROR(VLOOKUP($B251,Miljövärden!$B$3:$H$553,MATCH(F$2,Miljövärden!$B$2:$H$2,0),FALSE),"Saknas")</f>
        <v>1.7900699999999999E-2</v>
      </c>
      <c r="G251" t="str">
        <f>IFERROR(VLOOKUP($B251,Miljövärden!$B$3:$H$553,MATCH(G$2,Miljövärden!$B$2:$H$2,0),FALSE),"Nej, saknas")</f>
        <v>Nej</v>
      </c>
      <c r="H251" t="str">
        <f>IFERROR(VLOOKUP($B251,Miljövärden!$B$3:$H$553,MATCH(H$2,Miljövärden!$B$2:$H$2,0),FALSE),"Nej, saknas")</f>
        <v>Ja</v>
      </c>
      <c r="P251" t="str">
        <f t="shared" si="7"/>
        <v>ja</v>
      </c>
      <c r="R251">
        <f t="shared" si="6"/>
        <v>219</v>
      </c>
    </row>
    <row r="252" spans="1:18" x14ac:dyDescent="0.45">
      <c r="A252" s="2" t="s">
        <v>342</v>
      </c>
      <c r="B252" s="2" t="s">
        <v>351</v>
      </c>
      <c r="C252">
        <f>IFERROR(VLOOKUP($B252,Miljövärden!$B$3:$H$553,MATCH(C$2,Miljövärden!$B$2:$H$2,0),FALSE),"Saknas")</f>
        <v>0.281748</v>
      </c>
      <c r="D252">
        <f>IFERROR(VLOOKUP($B252,Miljövärden!$B$3:$H$553,MATCH(D$2,Miljövärden!$B$2:$H$2,0),FALSE),"Saknas")</f>
        <v>97.835999999999999</v>
      </c>
      <c r="E252">
        <f>IFERROR(VLOOKUP($B252,Miljövärden!$B$3:$H$553,MATCH(E$2,Miljövärden!$B$2:$H$2,0),FALSE),"Saknas")</f>
        <v>15.4236</v>
      </c>
      <c r="F252">
        <f>IFERROR(VLOOKUP($B252,Miljövärden!$B$3:$H$553,MATCH(F$2,Miljövärden!$B$2:$H$2,0),FALSE),"Saknas")</f>
        <v>0</v>
      </c>
      <c r="G252" t="str">
        <f>IFERROR(VLOOKUP($B252,Miljövärden!$B$3:$H$553,MATCH(G$2,Miljövärden!$B$2:$H$2,0),FALSE),"Nej, saknas")</f>
        <v>Nej</v>
      </c>
      <c r="H252" t="str">
        <f>IFERROR(VLOOKUP($B252,Miljövärden!$B$3:$H$553,MATCH(H$2,Miljövärden!$B$2:$H$2,0),FALSE),"Nej, saknas")</f>
        <v>Ja</v>
      </c>
      <c r="P252" t="str">
        <f t="shared" si="7"/>
        <v>ja</v>
      </c>
      <c r="R252">
        <f t="shared" si="6"/>
        <v>220</v>
      </c>
    </row>
    <row r="253" spans="1:18" x14ac:dyDescent="0.45">
      <c r="A253" s="2" t="s">
        <v>342</v>
      </c>
      <c r="B253" s="2" t="s">
        <v>350</v>
      </c>
      <c r="C253">
        <f>IFERROR(VLOOKUP($B253,Miljövärden!$B$3:$H$553,MATCH(C$2,Miljövärden!$B$2:$H$2,0),FALSE),"Saknas")</f>
        <v>0.180953</v>
      </c>
      <c r="D253">
        <f>IFERROR(VLOOKUP($B253,Miljövärden!$B$3:$H$553,MATCH(D$2,Miljövärden!$B$2:$H$2,0),FALSE),"Saknas")</f>
        <v>12.181699999999999</v>
      </c>
      <c r="E253">
        <f>IFERROR(VLOOKUP($B253,Miljövärden!$B$3:$H$553,MATCH(E$2,Miljövärden!$B$2:$H$2,0),FALSE),"Saknas")</f>
        <v>18.392800000000001</v>
      </c>
      <c r="F253">
        <f>IFERROR(VLOOKUP($B253,Miljövärden!$B$3:$H$553,MATCH(F$2,Miljövärden!$B$2:$H$2,0),FALSE),"Saknas")</f>
        <v>2.01327E-2</v>
      </c>
      <c r="G253" t="str">
        <f>IFERROR(VLOOKUP($B253,Miljövärden!$B$3:$H$553,MATCH(G$2,Miljövärden!$B$2:$H$2,0),FALSE),"Nej, saknas")</f>
        <v>Nej</v>
      </c>
      <c r="H253" t="str">
        <f>IFERROR(VLOOKUP($B253,Miljövärden!$B$3:$H$553,MATCH(H$2,Miljövärden!$B$2:$H$2,0),FALSE),"Nej, saknas")</f>
        <v>Ja</v>
      </c>
      <c r="P253" t="str">
        <f t="shared" si="7"/>
        <v>ja</v>
      </c>
      <c r="R253">
        <f t="shared" si="6"/>
        <v>221</v>
      </c>
    </row>
    <row r="254" spans="1:18" x14ac:dyDescent="0.45">
      <c r="A254" s="2" t="s">
        <v>342</v>
      </c>
      <c r="B254" s="2" t="s">
        <v>349</v>
      </c>
      <c r="C254">
        <f>IFERROR(VLOOKUP($B254,Miljövärden!$B$3:$H$553,MATCH(C$2,Miljövärden!$B$2:$H$2,0),FALSE),"Saknas")</f>
        <v>5.0590900000000001E-2</v>
      </c>
      <c r="D254">
        <f>IFERROR(VLOOKUP($B254,Miljövärden!$B$3:$H$553,MATCH(D$2,Miljövärden!$B$2:$H$2,0),FALSE),"Saknas")</f>
        <v>6.1176700000000004</v>
      </c>
      <c r="E254">
        <f>IFERROR(VLOOKUP($B254,Miljövärden!$B$3:$H$553,MATCH(E$2,Miljövärden!$B$2:$H$2,0),FALSE),"Saknas")</f>
        <v>7.1573200000000003</v>
      </c>
      <c r="F254">
        <f>IFERROR(VLOOKUP($B254,Miljövärden!$B$3:$H$553,MATCH(F$2,Miljövärden!$B$2:$H$2,0),FALSE),"Saknas")</f>
        <v>9.93256E-3</v>
      </c>
      <c r="G254" t="str">
        <f>IFERROR(VLOOKUP($B254,Miljövärden!$B$3:$H$553,MATCH(G$2,Miljövärden!$B$2:$H$2,0),FALSE),"Nej, saknas")</f>
        <v>Nej</v>
      </c>
      <c r="H254" t="str">
        <f>IFERROR(VLOOKUP($B254,Miljövärden!$B$3:$H$553,MATCH(H$2,Miljövärden!$B$2:$H$2,0),FALSE),"Nej, saknas")</f>
        <v>Ja</v>
      </c>
      <c r="P254" t="str">
        <f t="shared" si="7"/>
        <v>ja</v>
      </c>
      <c r="R254">
        <f t="shared" si="6"/>
        <v>222</v>
      </c>
    </row>
    <row r="255" spans="1:18" x14ac:dyDescent="0.45">
      <c r="A255" s="2" t="s">
        <v>342</v>
      </c>
      <c r="B255" s="2" t="s">
        <v>348</v>
      </c>
      <c r="C255">
        <f>IFERROR(VLOOKUP($B255,Miljövärden!$B$3:$H$553,MATCH(C$2,Miljövärden!$B$2:$H$2,0),FALSE),"Saknas")</f>
        <v>0.10546899999999999</v>
      </c>
      <c r="D255">
        <f>IFERROR(VLOOKUP($B255,Miljövärden!$B$3:$H$553,MATCH(D$2,Miljövärden!$B$2:$H$2,0),FALSE),"Saknas")</f>
        <v>9.4772999999999996</v>
      </c>
      <c r="E255">
        <f>IFERROR(VLOOKUP($B255,Miljövärden!$B$3:$H$553,MATCH(E$2,Miljövärden!$B$2:$H$2,0),FALSE),"Saknas")</f>
        <v>9.3904300000000003</v>
      </c>
      <c r="F255">
        <f>IFERROR(VLOOKUP($B255,Miljövärden!$B$3:$H$553,MATCH(F$2,Miljövärden!$B$2:$H$2,0),FALSE),"Saknas")</f>
        <v>2.1546800000000001E-2</v>
      </c>
      <c r="G255" t="str">
        <f>IFERROR(VLOOKUP($B255,Miljövärden!$B$3:$H$553,MATCH(G$2,Miljövärden!$B$2:$H$2,0),FALSE),"Nej, saknas")</f>
        <v>Nej</v>
      </c>
      <c r="H255" t="str">
        <f>IFERROR(VLOOKUP($B255,Miljövärden!$B$3:$H$553,MATCH(H$2,Miljövärden!$B$2:$H$2,0),FALSE),"Nej, saknas")</f>
        <v>Ja</v>
      </c>
      <c r="P255" t="str">
        <f t="shared" si="7"/>
        <v>ja</v>
      </c>
      <c r="R255">
        <f t="shared" si="6"/>
        <v>223</v>
      </c>
    </row>
    <row r="256" spans="1:18" x14ac:dyDescent="0.45">
      <c r="A256" s="2" t="s">
        <v>342</v>
      </c>
      <c r="B256" s="2" t="s">
        <v>347</v>
      </c>
      <c r="C256">
        <f>IFERROR(VLOOKUP($B256,Miljövärden!$B$3:$H$553,MATCH(C$2,Miljövärden!$B$2:$H$2,0),FALSE),"Saknas")</f>
        <v>0.17888000000000001</v>
      </c>
      <c r="D256">
        <f>IFERROR(VLOOKUP($B256,Miljövärden!$B$3:$H$553,MATCH(D$2,Miljövärden!$B$2:$H$2,0),FALSE),"Saknas")</f>
        <v>13.6449</v>
      </c>
      <c r="E256">
        <f>IFERROR(VLOOKUP($B256,Miljövärden!$B$3:$H$553,MATCH(E$2,Miljövärden!$B$2:$H$2,0),FALSE),"Saknas")</f>
        <v>17.708400000000001</v>
      </c>
      <c r="F256">
        <f>IFERROR(VLOOKUP($B256,Miljövärden!$B$3:$H$553,MATCH(F$2,Miljövärden!$B$2:$H$2,0),FALSE),"Saknas")</f>
        <v>2.6067E-2</v>
      </c>
      <c r="G256" t="str">
        <f>IFERROR(VLOOKUP($B256,Miljövärden!$B$3:$H$553,MATCH(G$2,Miljövärden!$B$2:$H$2,0),FALSE),"Nej, saknas")</f>
        <v>Nej</v>
      </c>
      <c r="H256" t="str">
        <f>IFERROR(VLOOKUP($B256,Miljövärden!$B$3:$H$553,MATCH(H$2,Miljövärden!$B$2:$H$2,0),FALSE),"Nej, saknas")</f>
        <v>Ja</v>
      </c>
      <c r="P256" t="str">
        <f t="shared" si="7"/>
        <v>ja</v>
      </c>
      <c r="R256">
        <f t="shared" si="6"/>
        <v>224</v>
      </c>
    </row>
    <row r="257" spans="1:18" x14ac:dyDescent="0.45">
      <c r="A257" s="2" t="s">
        <v>342</v>
      </c>
      <c r="B257" s="2" t="s">
        <v>346</v>
      </c>
      <c r="C257">
        <f>IFERROR(VLOOKUP($B257,Miljövärden!$B$3:$H$553,MATCH(C$2,Miljövärden!$B$2:$H$2,0),FALSE),"Saknas")</f>
        <v>0.15498000000000001</v>
      </c>
      <c r="D257">
        <f>IFERROR(VLOOKUP($B257,Miljövärden!$B$3:$H$553,MATCH(D$2,Miljövärden!$B$2:$H$2,0),FALSE),"Saknas")</f>
        <v>45.999899999999997</v>
      </c>
      <c r="E257">
        <f>IFERROR(VLOOKUP($B257,Miljövärden!$B$3:$H$553,MATCH(E$2,Miljövärden!$B$2:$H$2,0),FALSE),"Saknas")</f>
        <v>8.7885000000000009</v>
      </c>
      <c r="F257">
        <f>IFERROR(VLOOKUP($B257,Miljövärden!$B$3:$H$553,MATCH(F$2,Miljövärden!$B$2:$H$2,0),FALSE),"Saknas")</f>
        <v>1.7167000000000002E-2</v>
      </c>
      <c r="G257" t="str">
        <f>IFERROR(VLOOKUP($B257,Miljövärden!$B$3:$H$553,MATCH(G$2,Miljövärden!$B$2:$H$2,0),FALSE),"Nej, saknas")</f>
        <v>Nej</v>
      </c>
      <c r="H257" t="str">
        <f>IFERROR(VLOOKUP($B257,Miljövärden!$B$3:$H$553,MATCH(H$2,Miljövärden!$B$2:$H$2,0),FALSE),"Nej, saknas")</f>
        <v>Ja</v>
      </c>
      <c r="P257" t="str">
        <f t="shared" si="7"/>
        <v>ja</v>
      </c>
      <c r="R257">
        <f t="shared" si="6"/>
        <v>225</v>
      </c>
    </row>
    <row r="258" spans="1:18" x14ac:dyDescent="0.45">
      <c r="A258" s="2" t="s">
        <v>342</v>
      </c>
      <c r="B258" s="2" t="s">
        <v>345</v>
      </c>
      <c r="C258">
        <f>IFERROR(VLOOKUP($B258,Miljövärden!$B$3:$H$553,MATCH(C$2,Miljövärden!$B$2:$H$2,0),FALSE),"Saknas")</f>
        <v>0.225163</v>
      </c>
      <c r="D258">
        <f>IFERROR(VLOOKUP($B258,Miljövärden!$B$3:$H$553,MATCH(D$2,Miljövärden!$B$2:$H$2,0),FALSE),"Saknas")</f>
        <v>19.4346</v>
      </c>
      <c r="E258">
        <f>IFERROR(VLOOKUP($B258,Miljövärden!$B$3:$H$553,MATCH(E$2,Miljövärden!$B$2:$H$2,0),FALSE),"Saknas")</f>
        <v>20.338699999999999</v>
      </c>
      <c r="F258">
        <f>IFERROR(VLOOKUP($B258,Miljövärden!$B$3:$H$553,MATCH(F$2,Miljövärden!$B$2:$H$2,0),FALSE),"Saknas")</f>
        <v>3.6006200000000002E-2</v>
      </c>
      <c r="G258" t="str">
        <f>IFERROR(VLOOKUP($B258,Miljövärden!$B$3:$H$553,MATCH(G$2,Miljövärden!$B$2:$H$2,0),FALSE),"Nej, saknas")</f>
        <v>Nej</v>
      </c>
      <c r="H258" t="str">
        <f>IFERROR(VLOOKUP($B258,Miljövärden!$B$3:$H$553,MATCH(H$2,Miljövärden!$B$2:$H$2,0),FALSE),"Nej, saknas")</f>
        <v>Ja</v>
      </c>
      <c r="P258" t="str">
        <f t="shared" si="7"/>
        <v>ja</v>
      </c>
      <c r="R258">
        <f t="shared" si="6"/>
        <v>226</v>
      </c>
    </row>
    <row r="259" spans="1:18" x14ac:dyDescent="0.45">
      <c r="A259" s="2" t="s">
        <v>342</v>
      </c>
      <c r="B259" s="2" t="s">
        <v>344</v>
      </c>
      <c r="C259">
        <f>IFERROR(VLOOKUP($B259,Miljövärden!$B$3:$H$553,MATCH(C$2,Miljövärden!$B$2:$H$2,0),FALSE),"Saknas")</f>
        <v>2.1899999999999999E-2</v>
      </c>
      <c r="D259">
        <f>IFERROR(VLOOKUP($B259,Miljövärden!$B$3:$H$553,MATCH(D$2,Miljövärden!$B$2:$H$2,0),FALSE),"Saknas")</f>
        <v>0</v>
      </c>
      <c r="E259">
        <f>IFERROR(VLOOKUP($B259,Miljövärden!$B$3:$H$553,MATCH(E$2,Miljövärden!$B$2:$H$2,0),FALSE),"Saknas")</f>
        <v>0</v>
      </c>
      <c r="F259">
        <f>IFERROR(VLOOKUP($B259,Miljövärden!$B$3:$H$553,MATCH(F$2,Miljövärden!$B$2:$H$2,0),FALSE),"Saknas")</f>
        <v>0</v>
      </c>
      <c r="G259" t="str">
        <f>IFERROR(VLOOKUP($B259,Miljövärden!$B$3:$H$553,MATCH(G$2,Miljövärden!$B$2:$H$2,0),FALSE),"Nej, saknas")</f>
        <v>Ja</v>
      </c>
      <c r="H259" t="str">
        <f>IFERROR(VLOOKUP($B259,Miljövärden!$B$3:$H$553,MATCH(H$2,Miljövärden!$B$2:$H$2,0),FALSE),"Nej, saknas")</f>
        <v>Ja</v>
      </c>
      <c r="P259" t="str">
        <f t="shared" si="7"/>
        <v>ja</v>
      </c>
      <c r="R259">
        <f t="shared" si="6"/>
        <v>227</v>
      </c>
    </row>
    <row r="260" spans="1:18" x14ac:dyDescent="0.45">
      <c r="A260" s="2" t="s">
        <v>342</v>
      </c>
      <c r="B260" s="2" t="s">
        <v>343</v>
      </c>
      <c r="C260">
        <f>IFERROR(VLOOKUP($B260,Miljövärden!$B$3:$H$553,MATCH(C$2,Miljövärden!$B$2:$H$2,0),FALSE),"Saknas")</f>
        <v>0.216</v>
      </c>
      <c r="D260">
        <f>IFERROR(VLOOKUP($B260,Miljövärden!$B$3:$H$553,MATCH(D$2,Miljövärden!$B$2:$H$2,0),FALSE),"Saknas")</f>
        <v>16.633500000000002</v>
      </c>
      <c r="E260">
        <f>IFERROR(VLOOKUP($B260,Miljövärden!$B$3:$H$553,MATCH(E$2,Miljövärden!$B$2:$H$2,0),FALSE),"Saknas")</f>
        <v>21.738499999999998</v>
      </c>
      <c r="F260">
        <f>IFERROR(VLOOKUP($B260,Miljövärden!$B$3:$H$553,MATCH(F$2,Miljövärden!$B$2:$H$2,0),FALSE),"Saknas")</f>
        <v>2.5846600000000001E-2</v>
      </c>
      <c r="G260" t="str">
        <f>IFERROR(VLOOKUP($B260,Miljövärden!$B$3:$H$553,MATCH(G$2,Miljövärden!$B$2:$H$2,0),FALSE),"Nej, saknas")</f>
        <v>Nej</v>
      </c>
      <c r="H260" t="str">
        <f>IFERROR(VLOOKUP($B260,Miljövärden!$B$3:$H$553,MATCH(H$2,Miljövärden!$B$2:$H$2,0),FALSE),"Nej, saknas")</f>
        <v>Ja</v>
      </c>
      <c r="P260" t="str">
        <f t="shared" si="7"/>
        <v>ja</v>
      </c>
      <c r="R260">
        <f t="shared" ref="R260:R323" si="8">IF(ISERROR(P260),R259,IF(P260="ja",R259+1,R259))</f>
        <v>228</v>
      </c>
    </row>
    <row r="261" spans="1:18" x14ac:dyDescent="0.45">
      <c r="A261" s="2" t="s">
        <v>342</v>
      </c>
      <c r="B261" s="2" t="s">
        <v>341</v>
      </c>
      <c r="C261">
        <f>IFERROR(VLOOKUP($B261,Miljövärden!$B$3:$H$553,MATCH(C$2,Miljövärden!$B$2:$H$2,0),FALSE),"Saknas")</f>
        <v>0.188809</v>
      </c>
      <c r="D261">
        <f>IFERROR(VLOOKUP($B261,Miljövärden!$B$3:$H$553,MATCH(D$2,Miljövärden!$B$2:$H$2,0),FALSE),"Saknas")</f>
        <v>8.6860400000000002</v>
      </c>
      <c r="E261">
        <f>IFERROR(VLOOKUP($B261,Miljövärden!$B$3:$H$553,MATCH(E$2,Miljövärden!$B$2:$H$2,0),FALSE),"Saknas")</f>
        <v>21.198399999999999</v>
      </c>
      <c r="F261">
        <f>IFERROR(VLOOKUP($B261,Miljövärden!$B$3:$H$553,MATCH(F$2,Miljövärden!$B$2:$H$2,0),FALSE),"Saknas")</f>
        <v>6.5835900000000003E-3</v>
      </c>
      <c r="G261" t="str">
        <f>IFERROR(VLOOKUP($B261,Miljövärden!$B$3:$H$553,MATCH(G$2,Miljövärden!$B$2:$H$2,0),FALSE),"Nej, saknas")</f>
        <v>Nej</v>
      </c>
      <c r="H261" t="str">
        <f>IFERROR(VLOOKUP($B261,Miljövärden!$B$3:$H$553,MATCH(H$2,Miljövärden!$B$2:$H$2,0),FALSE),"Nej, saknas")</f>
        <v>Ja</v>
      </c>
      <c r="P261" t="str">
        <f t="shared" ref="P261:P324" si="9">IF(K261="x","nej",
IF(L261="x","ja",
IF(H261="ja","ja","nej")))</f>
        <v>ja</v>
      </c>
      <c r="R261">
        <f t="shared" si="8"/>
        <v>229</v>
      </c>
    </row>
    <row r="262" spans="1:18" x14ac:dyDescent="0.45">
      <c r="A262" s="2" t="s">
        <v>336</v>
      </c>
      <c r="B262" s="2" t="s">
        <v>340</v>
      </c>
      <c r="C262">
        <f>IFERROR(VLOOKUP($B262,Miljövärden!$B$3:$H$553,MATCH(C$2,Miljövärden!$B$2:$H$2,0),FALSE),"Saknas")</f>
        <v>0.16117699999999999</v>
      </c>
      <c r="D262">
        <f>IFERROR(VLOOKUP($B262,Miljövärden!$B$3:$H$553,MATCH(D$2,Miljövärden!$B$2:$H$2,0),FALSE),"Saknas")</f>
        <v>7.04101</v>
      </c>
      <c r="E262">
        <f>IFERROR(VLOOKUP($B262,Miljövärden!$B$3:$H$553,MATCH(E$2,Miljövärden!$B$2:$H$2,0),FALSE),"Saknas")</f>
        <v>18.207000000000001</v>
      </c>
      <c r="F262">
        <f>IFERROR(VLOOKUP($B262,Miljövärden!$B$3:$H$553,MATCH(F$2,Miljövärden!$B$2:$H$2,0),FALSE),"Saknas")</f>
        <v>5.3763400000000003E-3</v>
      </c>
      <c r="G262" t="str">
        <f>IFERROR(VLOOKUP($B262,Miljövärden!$B$3:$H$553,MATCH(G$2,Miljövärden!$B$2:$H$2,0),FALSE),"Nej, saknas")</f>
        <v>Nej</v>
      </c>
      <c r="H262" t="str">
        <f>IFERROR(VLOOKUP($B262,Miljövärden!$B$3:$H$553,MATCH(H$2,Miljövärden!$B$2:$H$2,0),FALSE),"Nej, saknas")</f>
        <v>Ja</v>
      </c>
      <c r="P262" t="str">
        <f t="shared" si="9"/>
        <v>ja</v>
      </c>
      <c r="R262">
        <f t="shared" si="8"/>
        <v>230</v>
      </c>
    </row>
    <row r="263" spans="1:18" x14ac:dyDescent="0.45">
      <c r="A263" s="2" t="s">
        <v>336</v>
      </c>
      <c r="B263" s="2" t="s">
        <v>339</v>
      </c>
      <c r="C263">
        <f>IFERROR(VLOOKUP($B263,Miljövärden!$B$3:$H$553,MATCH(C$2,Miljövärden!$B$2:$H$2,0),FALSE),"Saknas")</f>
        <v>8.6628200000000002E-2</v>
      </c>
      <c r="D263">
        <f>IFERROR(VLOOKUP($B263,Miljövärden!$B$3:$H$553,MATCH(D$2,Miljövärden!$B$2:$H$2,0),FALSE),"Saknas")</f>
        <v>57.988399999999999</v>
      </c>
      <c r="E263">
        <f>IFERROR(VLOOKUP($B263,Miljövärden!$B$3:$H$553,MATCH(E$2,Miljövärden!$B$2:$H$2,0),FALSE),"Saknas")</f>
        <v>5.9853500000000004</v>
      </c>
      <c r="F263">
        <f>IFERROR(VLOOKUP($B263,Miljövärden!$B$3:$H$553,MATCH(F$2,Miljövärden!$B$2:$H$2,0),FALSE),"Saknas")</f>
        <v>4.2181199999999997E-3</v>
      </c>
      <c r="G263" t="str">
        <f>IFERROR(VLOOKUP($B263,Miljövärden!$B$3:$H$553,MATCH(G$2,Miljövärden!$B$2:$H$2,0),FALSE),"Nej, saknas")</f>
        <v>Nej</v>
      </c>
      <c r="H263" t="str">
        <f>IFERROR(VLOOKUP($B263,Miljövärden!$B$3:$H$553,MATCH(H$2,Miljövärden!$B$2:$H$2,0),FALSE),"Nej, saknas")</f>
        <v>Ja</v>
      </c>
      <c r="P263" t="str">
        <f t="shared" si="9"/>
        <v>ja</v>
      </c>
      <c r="R263">
        <f t="shared" si="8"/>
        <v>231</v>
      </c>
    </row>
    <row r="264" spans="1:18" x14ac:dyDescent="0.45">
      <c r="A264" s="2" t="s">
        <v>336</v>
      </c>
      <c r="B264" s="2" t="s">
        <v>338</v>
      </c>
      <c r="C264">
        <f>IFERROR(VLOOKUP($B264,Miljövärden!$B$3:$H$553,MATCH(C$2,Miljövärden!$B$2:$H$2,0),FALSE),"Saknas")</f>
        <v>0.17199600000000001</v>
      </c>
      <c r="D264">
        <f>IFERROR(VLOOKUP($B264,Miljövärden!$B$3:$H$553,MATCH(D$2,Miljövärden!$B$2:$H$2,0),FALSE),"Saknas")</f>
        <v>10.9754</v>
      </c>
      <c r="E264">
        <f>IFERROR(VLOOKUP($B264,Miljövärden!$B$3:$H$553,MATCH(E$2,Miljövärden!$B$2:$H$2,0),FALSE),"Saknas")</f>
        <v>17.538699999999999</v>
      </c>
      <c r="F264">
        <f>IFERROR(VLOOKUP($B264,Miljövärden!$B$3:$H$553,MATCH(F$2,Miljövärden!$B$2:$H$2,0),FALSE),"Saknas")</f>
        <v>1.8211000000000001E-2</v>
      </c>
      <c r="G264" t="str">
        <f>IFERROR(VLOOKUP($B264,Miljövärden!$B$3:$H$553,MATCH(G$2,Miljövärden!$B$2:$H$2,0),FALSE),"Nej, saknas")</f>
        <v>Nej</v>
      </c>
      <c r="H264" t="str">
        <f>IFERROR(VLOOKUP($B264,Miljövärden!$B$3:$H$553,MATCH(H$2,Miljövärden!$B$2:$H$2,0),FALSE),"Nej, saknas")</f>
        <v>Ja</v>
      </c>
      <c r="P264" t="str">
        <f t="shared" si="9"/>
        <v>ja</v>
      </c>
      <c r="R264">
        <f t="shared" si="8"/>
        <v>232</v>
      </c>
    </row>
    <row r="265" spans="1:18" x14ac:dyDescent="0.45">
      <c r="A265" s="2" t="s">
        <v>336</v>
      </c>
      <c r="B265" s="2" t="s">
        <v>337</v>
      </c>
      <c r="C265">
        <f>IFERROR(VLOOKUP($B265,Miljövärden!$B$3:$H$553,MATCH(C$2,Miljövärden!$B$2:$H$2,0),FALSE),"Saknas")</f>
        <v>0.165663</v>
      </c>
      <c r="D265">
        <f>IFERROR(VLOOKUP($B265,Miljövärden!$B$3:$H$553,MATCH(D$2,Miljövärden!$B$2:$H$2,0),FALSE),"Saknas")</f>
        <v>9.3231400000000004</v>
      </c>
      <c r="E265">
        <f>IFERROR(VLOOKUP($B265,Miljövärden!$B$3:$H$553,MATCH(E$2,Miljövärden!$B$2:$H$2,0),FALSE),"Saknas")</f>
        <v>17.517900000000001</v>
      </c>
      <c r="F265">
        <f>IFERROR(VLOOKUP($B265,Miljövärden!$B$3:$H$553,MATCH(F$2,Miljövärden!$B$2:$H$2,0),FALSE),"Saknas")</f>
        <v>1.3164800000000001E-2</v>
      </c>
      <c r="G265" t="str">
        <f>IFERROR(VLOOKUP($B265,Miljövärden!$B$3:$H$553,MATCH(G$2,Miljövärden!$B$2:$H$2,0),FALSE),"Nej, saknas")</f>
        <v>Nej</v>
      </c>
      <c r="H265" t="str">
        <f>IFERROR(VLOOKUP($B265,Miljövärden!$B$3:$H$553,MATCH(H$2,Miljövärden!$B$2:$H$2,0),FALSE),"Nej, saknas")</f>
        <v>Ja</v>
      </c>
      <c r="P265" t="str">
        <f t="shared" si="9"/>
        <v>ja</v>
      </c>
      <c r="R265">
        <f t="shared" si="8"/>
        <v>233</v>
      </c>
    </row>
    <row r="266" spans="1:18" x14ac:dyDescent="0.45">
      <c r="A266" s="2" t="s">
        <v>336</v>
      </c>
      <c r="B266" s="2" t="s">
        <v>335</v>
      </c>
      <c r="C266">
        <f>IFERROR(VLOOKUP($B266,Miljövärden!$B$3:$H$553,MATCH(C$2,Miljövärden!$B$2:$H$2,0),FALSE),"Saknas")</f>
        <v>0.18264900000000001</v>
      </c>
      <c r="D266">
        <f>IFERROR(VLOOKUP($B266,Miljövärden!$B$3:$H$553,MATCH(D$2,Miljövärden!$B$2:$H$2,0),FALSE),"Saknas")</f>
        <v>11.015499999999999</v>
      </c>
      <c r="E266">
        <f>IFERROR(VLOOKUP($B266,Miljövärden!$B$3:$H$553,MATCH(E$2,Miljövärden!$B$2:$H$2,0),FALSE),"Saknas")</f>
        <v>18.168500000000002</v>
      </c>
      <c r="F266">
        <f>IFERROR(VLOOKUP($B266,Miljövärden!$B$3:$H$553,MATCH(F$2,Miljövärden!$B$2:$H$2,0),FALSE),"Saknas")</f>
        <v>1.7088599999999999E-2</v>
      </c>
      <c r="G266" t="str">
        <f>IFERROR(VLOOKUP($B266,Miljövärden!$B$3:$H$553,MATCH(G$2,Miljövärden!$B$2:$H$2,0),FALSE),"Nej, saknas")</f>
        <v>Nej</v>
      </c>
      <c r="H266" t="str">
        <f>IFERROR(VLOOKUP($B266,Miljövärden!$B$3:$H$553,MATCH(H$2,Miljövärden!$B$2:$H$2,0),FALSE),"Nej, saknas")</f>
        <v>Ja</v>
      </c>
      <c r="P266" t="str">
        <f t="shared" si="9"/>
        <v>ja</v>
      </c>
      <c r="R266">
        <f t="shared" si="8"/>
        <v>234</v>
      </c>
    </row>
    <row r="267" spans="1:18" x14ac:dyDescent="0.45">
      <c r="A267" s="2" t="s">
        <v>333</v>
      </c>
      <c r="B267" s="2" t="s">
        <v>334</v>
      </c>
      <c r="C267">
        <f>IFERROR(VLOOKUP($B267,Miljövärden!$B$3:$H$553,MATCH(C$2,Miljövärden!$B$2:$H$2,0),FALSE),"Saknas")</f>
        <v>9.8960900000000004E-2</v>
      </c>
      <c r="D267">
        <f>IFERROR(VLOOKUP($B267,Miljövärden!$B$3:$H$553,MATCH(D$2,Miljövärden!$B$2:$H$2,0),FALSE),"Saknas")</f>
        <v>8.1172799999999992</v>
      </c>
      <c r="E267">
        <f>IFERROR(VLOOKUP($B267,Miljövärden!$B$3:$H$553,MATCH(E$2,Miljövärden!$B$2:$H$2,0),FALSE),"Saknas")</f>
        <v>6.2057099999999998</v>
      </c>
      <c r="F267">
        <f>IFERROR(VLOOKUP($B267,Miljövärden!$B$3:$H$553,MATCH(F$2,Miljövärden!$B$2:$H$2,0),FALSE),"Saknas")</f>
        <v>1.0895200000000001E-2</v>
      </c>
      <c r="G267" t="str">
        <f>IFERROR(VLOOKUP($B267,Miljövärden!$B$3:$H$553,MATCH(G$2,Miljövärden!$B$2:$H$2,0),FALSE),"Nej, saknas")</f>
        <v>Nej</v>
      </c>
      <c r="H267" t="str">
        <f>IFERROR(VLOOKUP($B267,Miljövärden!$B$3:$H$553,MATCH(H$2,Miljövärden!$B$2:$H$2,0),FALSE),"Nej, saknas")</f>
        <v>Ja</v>
      </c>
      <c r="P267" t="str">
        <f t="shared" si="9"/>
        <v>ja</v>
      </c>
      <c r="R267">
        <f t="shared" si="8"/>
        <v>235</v>
      </c>
    </row>
    <row r="268" spans="1:18" x14ac:dyDescent="0.45">
      <c r="A268" s="2" t="s">
        <v>333</v>
      </c>
      <c r="B268" s="2" t="s">
        <v>332</v>
      </c>
      <c r="C268">
        <f>IFERROR(VLOOKUP($B268,Miljövärden!$B$3:$H$553,MATCH(C$2,Miljövärden!$B$2:$H$2,0),FALSE),"Saknas")</f>
        <v>0.110292</v>
      </c>
      <c r="D268">
        <f>IFERROR(VLOOKUP($B268,Miljövärden!$B$3:$H$553,MATCH(D$2,Miljövärden!$B$2:$H$2,0),FALSE),"Saknas")</f>
        <v>15.3468</v>
      </c>
      <c r="E268">
        <f>IFERROR(VLOOKUP($B268,Miljövärden!$B$3:$H$553,MATCH(E$2,Miljövärden!$B$2:$H$2,0),FALSE),"Saknas")</f>
        <v>9.6608099999999997</v>
      </c>
      <c r="F268">
        <f>IFERROR(VLOOKUP($B268,Miljövärden!$B$3:$H$553,MATCH(F$2,Miljövärden!$B$2:$H$2,0),FALSE),"Saknas")</f>
        <v>1.6590799999999999E-2</v>
      </c>
      <c r="G268" t="str">
        <f>IFERROR(VLOOKUP($B268,Miljövärden!$B$3:$H$553,MATCH(G$2,Miljövärden!$B$2:$H$2,0),FALSE),"Nej, saknas")</f>
        <v>Nej</v>
      </c>
      <c r="H268" t="str">
        <f>IFERROR(VLOOKUP($B268,Miljövärden!$B$3:$H$553,MATCH(H$2,Miljövärden!$B$2:$H$2,0),FALSE),"Nej, saknas")</f>
        <v>Ja</v>
      </c>
      <c r="P268" t="str">
        <f t="shared" si="9"/>
        <v>ja</v>
      </c>
      <c r="R268">
        <f t="shared" si="8"/>
        <v>236</v>
      </c>
    </row>
    <row r="269" spans="1:18" x14ac:dyDescent="0.45">
      <c r="A269" s="2" t="s">
        <v>331</v>
      </c>
      <c r="B269" s="2" t="s">
        <v>330</v>
      </c>
      <c r="C269">
        <f>IFERROR(VLOOKUP($B269,Miljövärden!$B$3:$H$553,MATCH(C$2,Miljövärden!$B$2:$H$2,0),FALSE),"Saknas")</f>
        <v>5.84685E-2</v>
      </c>
      <c r="D269">
        <f>IFERROR(VLOOKUP($B269,Miljövärden!$B$3:$H$553,MATCH(D$2,Miljövärden!$B$2:$H$2,0),FALSE),"Saknas")</f>
        <v>92.110900000000001</v>
      </c>
      <c r="E269">
        <f>IFERROR(VLOOKUP($B269,Miljövärden!$B$3:$H$553,MATCH(E$2,Miljövärden!$B$2:$H$2,0),FALSE),"Saknas")</f>
        <v>5.0804600000000004</v>
      </c>
      <c r="F269">
        <f>IFERROR(VLOOKUP($B269,Miljövärden!$B$3:$H$553,MATCH(F$2,Miljövärden!$B$2:$H$2,0),FALSE),"Saknas")</f>
        <v>0</v>
      </c>
      <c r="G269" t="str">
        <f>IFERROR(VLOOKUP($B269,Miljövärden!$B$3:$H$553,MATCH(G$2,Miljövärden!$B$2:$H$2,0),FALSE),"Nej, saknas")</f>
        <v>Ja</v>
      </c>
      <c r="H269" t="str">
        <f>IFERROR(VLOOKUP($B269,Miljövärden!$B$3:$H$553,MATCH(H$2,Miljövärden!$B$2:$H$2,0),FALSE),"Nej, saknas")</f>
        <v>Ja</v>
      </c>
      <c r="P269" t="str">
        <f t="shared" si="9"/>
        <v>ja</v>
      </c>
      <c r="R269">
        <f t="shared" si="8"/>
        <v>237</v>
      </c>
    </row>
    <row r="270" spans="1:18" x14ac:dyDescent="0.45">
      <c r="A270" s="2" t="s">
        <v>329</v>
      </c>
      <c r="B270" s="2" t="s">
        <v>328</v>
      </c>
      <c r="C270">
        <f>IFERROR(VLOOKUP($B270,Miljövärden!$B$3:$H$553,MATCH(C$2,Miljövärden!$B$2:$H$2,0),FALSE),"Saknas")</f>
        <v>0</v>
      </c>
      <c r="D270">
        <f>IFERROR(VLOOKUP($B270,Miljövärden!$B$3:$H$553,MATCH(D$2,Miljövärden!$B$2:$H$2,0),FALSE),"Saknas")</f>
        <v>0</v>
      </c>
      <c r="E270">
        <f>IFERROR(VLOOKUP($B270,Miljövärden!$B$3:$H$553,MATCH(E$2,Miljövärden!$B$2:$H$2,0),FALSE),"Saknas")</f>
        <v>0</v>
      </c>
      <c r="F270">
        <f>IFERROR(VLOOKUP($B270,Miljövärden!$B$3:$H$553,MATCH(F$2,Miljövärden!$B$2:$H$2,0),FALSE),"Saknas")</f>
        <v>0</v>
      </c>
      <c r="G270" t="str">
        <f>IFERROR(VLOOKUP($B270,Miljövärden!$B$3:$H$553,MATCH(G$2,Miljövärden!$B$2:$H$2,0),FALSE),"Nej, saknas")</f>
        <v>Nej</v>
      </c>
      <c r="H270" t="str">
        <f>IFERROR(VLOOKUP($B270,Miljövärden!$B$3:$H$553,MATCH(H$2,Miljövärden!$B$2:$H$2,0),FALSE),"Nej, saknas")</f>
        <v>Nej</v>
      </c>
      <c r="K270" t="s">
        <v>1529</v>
      </c>
      <c r="P270" t="str">
        <f t="shared" si="9"/>
        <v>nej</v>
      </c>
      <c r="R270">
        <f t="shared" si="8"/>
        <v>237</v>
      </c>
    </row>
    <row r="271" spans="1:18" x14ac:dyDescent="0.45">
      <c r="A271" s="2" t="s">
        <v>324</v>
      </c>
      <c r="B271" s="2" t="s">
        <v>327</v>
      </c>
      <c r="C271">
        <f>IFERROR(VLOOKUP($B271,Miljövärden!$B$3:$H$553,MATCH(C$2,Miljövärden!$B$2:$H$2,0),FALSE),"Saknas")</f>
        <v>6.4868300000000004E-2</v>
      </c>
      <c r="D271">
        <f>IFERROR(VLOOKUP($B271,Miljövärden!$B$3:$H$553,MATCH(D$2,Miljövärden!$B$2:$H$2,0),FALSE),"Saknas")</f>
        <v>4.35032</v>
      </c>
      <c r="E271">
        <f>IFERROR(VLOOKUP($B271,Miljövärden!$B$3:$H$553,MATCH(E$2,Miljövärden!$B$2:$H$2,0),FALSE),"Saknas")</f>
        <v>7.6320300000000003</v>
      </c>
      <c r="F271">
        <f>IFERROR(VLOOKUP($B271,Miljövärden!$B$3:$H$553,MATCH(F$2,Miljövärden!$B$2:$H$2,0),FALSE),"Saknas")</f>
        <v>0</v>
      </c>
      <c r="G271" t="str">
        <f>IFERROR(VLOOKUP($B271,Miljövärden!$B$3:$H$553,MATCH(G$2,Miljövärden!$B$2:$H$2,0),FALSE),"Nej, saknas")</f>
        <v>Ja</v>
      </c>
      <c r="H271" t="str">
        <f>IFERROR(VLOOKUP($B271,Miljövärden!$B$3:$H$553,MATCH(H$2,Miljövärden!$B$2:$H$2,0),FALSE),"Nej, saknas")</f>
        <v>Ja</v>
      </c>
      <c r="P271" t="str">
        <f t="shared" si="9"/>
        <v>ja</v>
      </c>
      <c r="R271">
        <f t="shared" si="8"/>
        <v>238</v>
      </c>
    </row>
    <row r="272" spans="1:18" x14ac:dyDescent="0.45">
      <c r="A272" s="2" t="s">
        <v>324</v>
      </c>
      <c r="B272" s="2" t="s">
        <v>326</v>
      </c>
      <c r="C272">
        <f>IFERROR(VLOOKUP($B272,Miljövärden!$B$3:$H$553,MATCH(C$2,Miljövärden!$B$2:$H$2,0),FALSE),"Saknas")</f>
        <v>7.1965100000000004E-2</v>
      </c>
      <c r="D272">
        <f>IFERROR(VLOOKUP($B272,Miljövärden!$B$3:$H$553,MATCH(D$2,Miljövärden!$B$2:$H$2,0),FALSE),"Saknas")</f>
        <v>4.59917</v>
      </c>
      <c r="E272">
        <f>IFERROR(VLOOKUP($B272,Miljövärden!$B$3:$H$553,MATCH(E$2,Miljövärden!$B$2:$H$2,0),FALSE),"Saknas")</f>
        <v>8.1363599999999998</v>
      </c>
      <c r="F272">
        <f>IFERROR(VLOOKUP($B272,Miljövärden!$B$3:$H$553,MATCH(F$2,Miljövärden!$B$2:$H$2,0),FALSE),"Saknas")</f>
        <v>0</v>
      </c>
      <c r="G272" t="str">
        <f>IFERROR(VLOOKUP($B272,Miljövärden!$B$3:$H$553,MATCH(G$2,Miljövärden!$B$2:$H$2,0),FALSE),"Nej, saknas")</f>
        <v>Ja</v>
      </c>
      <c r="H272" t="str">
        <f>IFERROR(VLOOKUP($B272,Miljövärden!$B$3:$H$553,MATCH(H$2,Miljövärden!$B$2:$H$2,0),FALSE),"Nej, saknas")</f>
        <v>Ja</v>
      </c>
      <c r="P272" t="str">
        <f t="shared" si="9"/>
        <v>ja</v>
      </c>
      <c r="R272">
        <f t="shared" si="8"/>
        <v>239</v>
      </c>
    </row>
    <row r="273" spans="1:18" x14ac:dyDescent="0.45">
      <c r="A273" s="2" t="s">
        <v>324</v>
      </c>
      <c r="B273" s="2" t="s">
        <v>325</v>
      </c>
      <c r="C273">
        <f>IFERROR(VLOOKUP($B273,Miljövärden!$B$3:$H$553,MATCH(C$2,Miljövärden!$B$2:$H$2,0),FALSE),"Saknas")</f>
        <v>6.5418900000000002E-2</v>
      </c>
      <c r="D273">
        <f>IFERROR(VLOOKUP($B273,Miljövärden!$B$3:$H$553,MATCH(D$2,Miljövärden!$B$2:$H$2,0),FALSE),"Saknas")</f>
        <v>4.8706300000000002</v>
      </c>
      <c r="E273">
        <f>IFERROR(VLOOKUP($B273,Miljövärden!$B$3:$H$553,MATCH(E$2,Miljövärden!$B$2:$H$2,0),FALSE),"Saknas")</f>
        <v>8.6405100000000008</v>
      </c>
      <c r="F273">
        <f>IFERROR(VLOOKUP($B273,Miljövärden!$B$3:$H$553,MATCH(F$2,Miljövärden!$B$2:$H$2,0),FALSE),"Saknas")</f>
        <v>0</v>
      </c>
      <c r="G273" t="str">
        <f>IFERROR(VLOOKUP($B273,Miljövärden!$B$3:$H$553,MATCH(G$2,Miljövärden!$B$2:$H$2,0),FALSE),"Nej, saknas")</f>
        <v>Ja</v>
      </c>
      <c r="H273" t="str">
        <f>IFERROR(VLOOKUP($B273,Miljövärden!$B$3:$H$553,MATCH(H$2,Miljövärden!$B$2:$H$2,0),FALSE),"Nej, saknas")</f>
        <v>Ja</v>
      </c>
      <c r="P273" t="str">
        <f t="shared" si="9"/>
        <v>ja</v>
      </c>
      <c r="R273">
        <f t="shared" si="8"/>
        <v>240</v>
      </c>
    </row>
    <row r="274" spans="1:18" x14ac:dyDescent="0.45">
      <c r="A274" s="2" t="s">
        <v>324</v>
      </c>
      <c r="B274" s="2" t="s">
        <v>323</v>
      </c>
      <c r="C274">
        <f>IFERROR(VLOOKUP($B274,Miljövärden!$B$3:$H$553,MATCH(C$2,Miljövärden!$B$2:$H$2,0),FALSE),"Saknas")</f>
        <v>5.8845700000000001E-2</v>
      </c>
      <c r="D274">
        <f>IFERROR(VLOOKUP($B274,Miljövärden!$B$3:$H$553,MATCH(D$2,Miljövärden!$B$2:$H$2,0),FALSE),"Saknas")</f>
        <v>4.6817599999999997</v>
      </c>
      <c r="E274">
        <f>IFERROR(VLOOKUP($B274,Miljövärden!$B$3:$H$553,MATCH(E$2,Miljövärden!$B$2:$H$2,0),FALSE),"Saknas")</f>
        <v>7.4383400000000002</v>
      </c>
      <c r="F274">
        <f>IFERROR(VLOOKUP($B274,Miljövärden!$B$3:$H$553,MATCH(F$2,Miljövärden!$B$2:$H$2,0),FALSE),"Saknas")</f>
        <v>1.6130199999999999E-3</v>
      </c>
      <c r="G274" t="str">
        <f>IFERROR(VLOOKUP($B274,Miljövärden!$B$3:$H$553,MATCH(G$2,Miljövärden!$B$2:$H$2,0),FALSE),"Nej, saknas")</f>
        <v>Ja</v>
      </c>
      <c r="H274" t="str">
        <f>IFERROR(VLOOKUP($B274,Miljövärden!$B$3:$H$553,MATCH(H$2,Miljövärden!$B$2:$H$2,0),FALSE),"Nej, saknas")</f>
        <v>Ja</v>
      </c>
      <c r="P274" t="str">
        <f t="shared" si="9"/>
        <v>ja</v>
      </c>
      <c r="R274">
        <f t="shared" si="8"/>
        <v>241</v>
      </c>
    </row>
    <row r="275" spans="1:18" x14ac:dyDescent="0.45">
      <c r="A275" s="2" t="s">
        <v>321</v>
      </c>
      <c r="B275" s="2" t="s">
        <v>322</v>
      </c>
      <c r="C275">
        <f>IFERROR(VLOOKUP($B275,Miljövärden!$B$3:$H$553,MATCH(C$2,Miljövärden!$B$2:$H$2,0),FALSE),"Saknas")</f>
        <v>2.1093400000000002E-2</v>
      </c>
      <c r="D275">
        <f>IFERROR(VLOOKUP($B275,Miljövärden!$B$3:$H$553,MATCH(D$2,Miljövärden!$B$2:$H$2,0),FALSE),"Saknas")</f>
        <v>0.14511399999999999</v>
      </c>
      <c r="E275">
        <f>IFERROR(VLOOKUP($B275,Miljövärden!$B$3:$H$553,MATCH(E$2,Miljövärden!$B$2:$H$2,0),FALSE),"Saknas")</f>
        <v>0.48616999999999999</v>
      </c>
      <c r="F275">
        <f>IFERROR(VLOOKUP($B275,Miljövärden!$B$3:$H$553,MATCH(F$2,Miljövärden!$B$2:$H$2,0),FALSE),"Saknas")</f>
        <v>4.1379600000000002E-4</v>
      </c>
      <c r="G275" t="str">
        <f>IFERROR(VLOOKUP($B275,Miljövärden!$B$3:$H$553,MATCH(G$2,Miljövärden!$B$2:$H$2,0),FALSE),"Nej, saknas")</f>
        <v>Ja</v>
      </c>
      <c r="H275" t="str">
        <f>IFERROR(VLOOKUP($B275,Miljövärden!$B$3:$H$553,MATCH(H$2,Miljövärden!$B$2:$H$2,0),FALSE),"Nej, saknas")</f>
        <v>Ja</v>
      </c>
      <c r="P275" t="str">
        <f t="shared" si="9"/>
        <v>ja</v>
      </c>
      <c r="R275">
        <f t="shared" si="8"/>
        <v>242</v>
      </c>
    </row>
    <row r="276" spans="1:18" x14ac:dyDescent="0.45">
      <c r="A276" s="2" t="s">
        <v>321</v>
      </c>
      <c r="B276" s="2" t="s">
        <v>320</v>
      </c>
      <c r="C276">
        <f>IFERROR(VLOOKUP($B276,Miljövärden!$B$3:$H$553,MATCH(C$2,Miljövärden!$B$2:$H$2,0),FALSE),"Saknas")</f>
        <v>0.14397799999999999</v>
      </c>
      <c r="D276">
        <f>IFERROR(VLOOKUP($B276,Miljövärden!$B$3:$H$553,MATCH(D$2,Miljövärden!$B$2:$H$2,0),FALSE),"Saknas")</f>
        <v>6.63957</v>
      </c>
      <c r="E276">
        <f>IFERROR(VLOOKUP($B276,Miljövärden!$B$3:$H$553,MATCH(E$2,Miljövärden!$B$2:$H$2,0),FALSE),"Saknas")</f>
        <v>14.0785</v>
      </c>
      <c r="F276">
        <f>IFERROR(VLOOKUP($B276,Miljövärden!$B$3:$H$553,MATCH(F$2,Miljövärden!$B$2:$H$2,0),FALSE),"Saknas")</f>
        <v>9.7875900000000005E-3</v>
      </c>
      <c r="G276" t="str">
        <f>IFERROR(VLOOKUP($B276,Miljövärden!$B$3:$H$553,MATCH(G$2,Miljövärden!$B$2:$H$2,0),FALSE),"Nej, saknas")</f>
        <v>Ja</v>
      </c>
      <c r="H276" t="str">
        <f>IFERROR(VLOOKUP($B276,Miljövärden!$B$3:$H$553,MATCH(H$2,Miljövärden!$B$2:$H$2,0),FALSE),"Nej, saknas")</f>
        <v>Ja</v>
      </c>
      <c r="P276" t="str">
        <f t="shared" si="9"/>
        <v>ja</v>
      </c>
      <c r="R276">
        <f t="shared" si="8"/>
        <v>243</v>
      </c>
    </row>
    <row r="277" spans="1:18" x14ac:dyDescent="0.45">
      <c r="A277" s="2" t="s">
        <v>312</v>
      </c>
      <c r="B277" s="2" t="s">
        <v>319</v>
      </c>
      <c r="C277">
        <f>IFERROR(VLOOKUP($B277,Miljövärden!$B$3:$H$553,MATCH(C$2,Miljövärden!$B$2:$H$2,0),FALSE),"Saknas")</f>
        <v>0</v>
      </c>
      <c r="D277">
        <f>IFERROR(VLOOKUP($B277,Miljövärden!$B$3:$H$553,MATCH(D$2,Miljövärden!$B$2:$H$2,0),FALSE),"Saknas")</f>
        <v>0</v>
      </c>
      <c r="E277">
        <f>IFERROR(VLOOKUP($B277,Miljövärden!$B$3:$H$553,MATCH(E$2,Miljövärden!$B$2:$H$2,0),FALSE),"Saknas")</f>
        <v>0</v>
      </c>
      <c r="F277">
        <f>IFERROR(VLOOKUP($B277,Miljövärden!$B$3:$H$553,MATCH(F$2,Miljövärden!$B$2:$H$2,0),FALSE),"Saknas")</f>
        <v>0</v>
      </c>
      <c r="G277" t="str">
        <f>IFERROR(VLOOKUP($B277,Miljövärden!$B$3:$H$553,MATCH(G$2,Miljövärden!$B$2:$H$2,0),FALSE),"Nej, saknas")</f>
        <v>Nej</v>
      </c>
      <c r="H277" t="str">
        <f>IFERROR(VLOOKUP($B277,Miljövärden!$B$3:$H$553,MATCH(H$2,Miljövärden!$B$2:$H$2,0),FALSE),"Nej, saknas")</f>
        <v>Nej</v>
      </c>
      <c r="K277" t="s">
        <v>1529</v>
      </c>
      <c r="P277" t="str">
        <f t="shared" si="9"/>
        <v>nej</v>
      </c>
      <c r="R277">
        <f t="shared" si="8"/>
        <v>243</v>
      </c>
    </row>
    <row r="278" spans="1:18" x14ac:dyDescent="0.45">
      <c r="A278" s="2" t="s">
        <v>312</v>
      </c>
      <c r="B278" s="2" t="s">
        <v>318</v>
      </c>
      <c r="C278">
        <f>IFERROR(VLOOKUP($B278,Miljövärden!$B$3:$H$553,MATCH(C$2,Miljövärden!$B$2:$H$2,0),FALSE),"Saknas")</f>
        <v>0</v>
      </c>
      <c r="D278">
        <f>IFERROR(VLOOKUP($B278,Miljövärden!$B$3:$H$553,MATCH(D$2,Miljövärden!$B$2:$H$2,0),FALSE),"Saknas")</f>
        <v>0</v>
      </c>
      <c r="E278">
        <f>IFERROR(VLOOKUP($B278,Miljövärden!$B$3:$H$553,MATCH(E$2,Miljövärden!$B$2:$H$2,0),FALSE),"Saknas")</f>
        <v>0</v>
      </c>
      <c r="F278">
        <f>IFERROR(VLOOKUP($B278,Miljövärden!$B$3:$H$553,MATCH(F$2,Miljövärden!$B$2:$H$2,0),FALSE),"Saknas")</f>
        <v>0</v>
      </c>
      <c r="G278" t="str">
        <f>IFERROR(VLOOKUP($B278,Miljövärden!$B$3:$H$553,MATCH(G$2,Miljövärden!$B$2:$H$2,0),FALSE),"Nej, saknas")</f>
        <v>Nej</v>
      </c>
      <c r="H278" t="str">
        <f>IFERROR(VLOOKUP($B278,Miljövärden!$B$3:$H$553,MATCH(H$2,Miljövärden!$B$2:$H$2,0),FALSE),"Nej, saknas")</f>
        <v>Nej</v>
      </c>
      <c r="K278" t="s">
        <v>1529</v>
      </c>
      <c r="P278" t="str">
        <f t="shared" si="9"/>
        <v>nej</v>
      </c>
      <c r="R278">
        <f t="shared" si="8"/>
        <v>243</v>
      </c>
    </row>
    <row r="279" spans="1:18" x14ac:dyDescent="0.45">
      <c r="A279" s="2" t="s">
        <v>312</v>
      </c>
      <c r="B279" s="2" t="s">
        <v>317</v>
      </c>
      <c r="C279">
        <f>IFERROR(VLOOKUP($B279,Miljövärden!$B$3:$H$553,MATCH(C$2,Miljövärden!$B$2:$H$2,0),FALSE),"Saknas")</f>
        <v>0</v>
      </c>
      <c r="D279">
        <f>IFERROR(VLOOKUP($B279,Miljövärden!$B$3:$H$553,MATCH(D$2,Miljövärden!$B$2:$H$2,0),FALSE),"Saknas")</f>
        <v>0</v>
      </c>
      <c r="E279">
        <f>IFERROR(VLOOKUP($B279,Miljövärden!$B$3:$H$553,MATCH(E$2,Miljövärden!$B$2:$H$2,0),FALSE),"Saknas")</f>
        <v>0</v>
      </c>
      <c r="F279">
        <f>IFERROR(VLOOKUP($B279,Miljövärden!$B$3:$H$553,MATCH(F$2,Miljövärden!$B$2:$H$2,0),FALSE),"Saknas")</f>
        <v>0</v>
      </c>
      <c r="G279" t="str">
        <f>IFERROR(VLOOKUP($B279,Miljövärden!$B$3:$H$553,MATCH(G$2,Miljövärden!$B$2:$H$2,0),FALSE),"Nej, saknas")</f>
        <v>Nej</v>
      </c>
      <c r="H279" t="str">
        <f>IFERROR(VLOOKUP($B279,Miljövärden!$B$3:$H$553,MATCH(H$2,Miljövärden!$B$2:$H$2,0),FALSE),"Nej, saknas")</f>
        <v>Nej</v>
      </c>
      <c r="K279" t="s">
        <v>1529</v>
      </c>
      <c r="P279" t="str">
        <f t="shared" si="9"/>
        <v>nej</v>
      </c>
      <c r="R279">
        <f t="shared" si="8"/>
        <v>243</v>
      </c>
    </row>
    <row r="280" spans="1:18" x14ac:dyDescent="0.45">
      <c r="A280" s="2" t="s">
        <v>312</v>
      </c>
      <c r="B280" s="2" t="s">
        <v>112</v>
      </c>
      <c r="C280">
        <f>IFERROR(VLOOKUP($B280,Miljövärden!$B$3:$H$553,MATCH(C$2,Miljövärden!$B$2:$H$2,0),FALSE),"Saknas")</f>
        <v>0.11820799999999999</v>
      </c>
      <c r="D280">
        <f>IFERROR(VLOOKUP($B280,Miljövärden!$B$3:$H$553,MATCH(D$2,Miljövärden!$B$2:$H$2,0),FALSE),"Saknas")</f>
        <v>61.205399999999997</v>
      </c>
      <c r="E280">
        <f>IFERROR(VLOOKUP($B280,Miljövärden!$B$3:$H$553,MATCH(E$2,Miljövärden!$B$2:$H$2,0),FALSE),"Saknas")</f>
        <v>4.1541499999999996</v>
      </c>
      <c r="F280">
        <f>IFERROR(VLOOKUP($B280,Miljövärden!$B$3:$H$553,MATCH(F$2,Miljövärden!$B$2:$H$2,0),FALSE),"Saknas")</f>
        <v>7.4309799999999995E-2</v>
      </c>
      <c r="G280" t="str">
        <f>IFERROR(VLOOKUP($B280,Miljövärden!$B$3:$H$553,MATCH(G$2,Miljövärden!$B$2:$H$2,0),FALSE),"Nej, saknas")</f>
        <v>Ja</v>
      </c>
      <c r="H280" t="str">
        <f>IFERROR(VLOOKUP($B280,Miljövärden!$B$3:$H$553,MATCH(H$2,Miljövärden!$B$2:$H$2,0),FALSE),"Nej, saknas")</f>
        <v>Ja</v>
      </c>
      <c r="P280" t="str">
        <f t="shared" si="9"/>
        <v>ja</v>
      </c>
      <c r="R280">
        <f t="shared" si="8"/>
        <v>244</v>
      </c>
    </row>
    <row r="281" spans="1:18" x14ac:dyDescent="0.45">
      <c r="A281" s="2" t="s">
        <v>312</v>
      </c>
      <c r="B281" s="2" t="s">
        <v>316</v>
      </c>
      <c r="C281">
        <f>IFERROR(VLOOKUP($B281,Miljövärden!$B$3:$H$553,MATCH(C$2,Miljövärden!$B$2:$H$2,0),FALSE),"Saknas")</f>
        <v>0</v>
      </c>
      <c r="D281">
        <f>IFERROR(VLOOKUP($B281,Miljövärden!$B$3:$H$553,MATCH(D$2,Miljövärden!$B$2:$H$2,0),FALSE),"Saknas")</f>
        <v>0</v>
      </c>
      <c r="E281">
        <f>IFERROR(VLOOKUP($B281,Miljövärden!$B$3:$H$553,MATCH(E$2,Miljövärden!$B$2:$H$2,0),FALSE),"Saknas")</f>
        <v>0</v>
      </c>
      <c r="F281">
        <f>IFERROR(VLOOKUP($B281,Miljövärden!$B$3:$H$553,MATCH(F$2,Miljövärden!$B$2:$H$2,0),FALSE),"Saknas")</f>
        <v>0</v>
      </c>
      <c r="G281" t="str">
        <f>IFERROR(VLOOKUP($B281,Miljövärden!$B$3:$H$553,MATCH(G$2,Miljövärden!$B$2:$H$2,0),FALSE),"Nej, saknas")</f>
        <v>Nej</v>
      </c>
      <c r="H281" t="str">
        <f>IFERROR(VLOOKUP($B281,Miljövärden!$B$3:$H$553,MATCH(H$2,Miljövärden!$B$2:$H$2,0),FALSE),"Nej, saknas")</f>
        <v>Nej</v>
      </c>
      <c r="K281" t="s">
        <v>1529</v>
      </c>
      <c r="P281" t="str">
        <f t="shared" si="9"/>
        <v>nej</v>
      </c>
      <c r="R281">
        <f t="shared" si="8"/>
        <v>244</v>
      </c>
    </row>
    <row r="282" spans="1:18" x14ac:dyDescent="0.45">
      <c r="A282" s="2" t="s">
        <v>312</v>
      </c>
      <c r="B282" s="2" t="s">
        <v>315</v>
      </c>
      <c r="C282">
        <f>IFERROR(VLOOKUP($B282,Miljövärden!$B$3:$H$553,MATCH(C$2,Miljövärden!$B$2:$H$2,0),FALSE),"Saknas")</f>
        <v>0</v>
      </c>
      <c r="D282">
        <f>IFERROR(VLOOKUP($B282,Miljövärden!$B$3:$H$553,MATCH(D$2,Miljövärden!$B$2:$H$2,0),FALSE),"Saknas")</f>
        <v>0</v>
      </c>
      <c r="E282">
        <f>IFERROR(VLOOKUP($B282,Miljövärden!$B$3:$H$553,MATCH(E$2,Miljövärden!$B$2:$H$2,0),FALSE),"Saknas")</f>
        <v>0</v>
      </c>
      <c r="F282">
        <f>IFERROR(VLOOKUP($B282,Miljövärden!$B$3:$H$553,MATCH(F$2,Miljövärden!$B$2:$H$2,0),FALSE),"Saknas")</f>
        <v>0</v>
      </c>
      <c r="G282" t="str">
        <f>IFERROR(VLOOKUP($B282,Miljövärden!$B$3:$H$553,MATCH(G$2,Miljövärden!$B$2:$H$2,0),FALSE),"Nej, saknas")</f>
        <v>Nej</v>
      </c>
      <c r="H282" t="str">
        <f>IFERROR(VLOOKUP($B282,Miljövärden!$B$3:$H$553,MATCH(H$2,Miljövärden!$B$2:$H$2,0),FALSE),"Nej, saknas")</f>
        <v>Nej</v>
      </c>
      <c r="K282" t="s">
        <v>1529</v>
      </c>
      <c r="P282" t="str">
        <f t="shared" si="9"/>
        <v>nej</v>
      </c>
      <c r="R282">
        <f t="shared" si="8"/>
        <v>244</v>
      </c>
    </row>
    <row r="283" spans="1:18" x14ac:dyDescent="0.45">
      <c r="A283" s="2" t="s">
        <v>312</v>
      </c>
      <c r="B283" s="2" t="s">
        <v>314</v>
      </c>
      <c r="C283">
        <f>IFERROR(VLOOKUP($B283,Miljövärden!$B$3:$H$553,MATCH(C$2,Miljövärden!$B$2:$H$2,0),FALSE),"Saknas")</f>
        <v>0</v>
      </c>
      <c r="D283">
        <f>IFERROR(VLOOKUP($B283,Miljövärden!$B$3:$H$553,MATCH(D$2,Miljövärden!$B$2:$H$2,0),FALSE),"Saknas")</f>
        <v>0</v>
      </c>
      <c r="E283">
        <f>IFERROR(VLOOKUP($B283,Miljövärden!$B$3:$H$553,MATCH(E$2,Miljövärden!$B$2:$H$2,0),FALSE),"Saknas")</f>
        <v>0</v>
      </c>
      <c r="F283">
        <f>IFERROR(VLOOKUP($B283,Miljövärden!$B$3:$H$553,MATCH(F$2,Miljövärden!$B$2:$H$2,0),FALSE),"Saknas")</f>
        <v>0</v>
      </c>
      <c r="G283" t="str">
        <f>IFERROR(VLOOKUP($B283,Miljövärden!$B$3:$H$553,MATCH(G$2,Miljövärden!$B$2:$H$2,0),FALSE),"Nej, saknas")</f>
        <v>Nej</v>
      </c>
      <c r="H283" t="str">
        <f>IFERROR(VLOOKUP($B283,Miljövärden!$B$3:$H$553,MATCH(H$2,Miljövärden!$B$2:$H$2,0),FALSE),"Nej, saknas")</f>
        <v>Nej</v>
      </c>
      <c r="K283" t="s">
        <v>1529</v>
      </c>
      <c r="P283" t="str">
        <f t="shared" si="9"/>
        <v>nej</v>
      </c>
      <c r="R283">
        <f t="shared" si="8"/>
        <v>244</v>
      </c>
    </row>
    <row r="284" spans="1:18" x14ac:dyDescent="0.45">
      <c r="A284" s="2" t="s">
        <v>312</v>
      </c>
      <c r="B284" s="2" t="s">
        <v>313</v>
      </c>
      <c r="C284">
        <f>IFERROR(VLOOKUP($B284,Miljövärden!$B$3:$H$553,MATCH(C$2,Miljövärden!$B$2:$H$2,0),FALSE),"Saknas")</f>
        <v>0.54410400000000003</v>
      </c>
      <c r="D284">
        <f>IFERROR(VLOOKUP($B284,Miljövärden!$B$3:$H$553,MATCH(D$2,Miljövärden!$B$2:$H$2,0),FALSE),"Saknas")</f>
        <v>57.253999999999998</v>
      </c>
      <c r="E284">
        <f>IFERROR(VLOOKUP($B284,Miljövärden!$B$3:$H$553,MATCH(E$2,Miljövärden!$B$2:$H$2,0),FALSE),"Saknas")</f>
        <v>7.17117</v>
      </c>
      <c r="F284">
        <f>IFERROR(VLOOKUP($B284,Miljövärden!$B$3:$H$553,MATCH(F$2,Miljövärden!$B$2:$H$2,0),FALSE),"Saknas")</f>
        <v>6.7371399999999998E-2</v>
      </c>
      <c r="G284" t="str">
        <f>IFERROR(VLOOKUP($B284,Miljövärden!$B$3:$H$553,MATCH(G$2,Miljövärden!$B$2:$H$2,0),FALSE),"Nej, saknas")</f>
        <v>Ja</v>
      </c>
      <c r="H284" t="str">
        <f>IFERROR(VLOOKUP($B284,Miljövärden!$B$3:$H$553,MATCH(H$2,Miljövärden!$B$2:$H$2,0),FALSE),"Nej, saknas")</f>
        <v>ja</v>
      </c>
      <c r="P284" t="str">
        <f t="shared" si="9"/>
        <v>ja</v>
      </c>
      <c r="R284">
        <f t="shared" si="8"/>
        <v>245</v>
      </c>
    </row>
    <row r="285" spans="1:18" x14ac:dyDescent="0.45">
      <c r="A285" s="2" t="s">
        <v>312</v>
      </c>
      <c r="B285" s="2" t="s">
        <v>311</v>
      </c>
      <c r="C285">
        <f>IFERROR(VLOOKUP($B285,Miljövärden!$B$3:$H$553,MATCH(C$2,Miljövärden!$B$2:$H$2,0),FALSE),"Saknas")</f>
        <v>0</v>
      </c>
      <c r="D285">
        <f>IFERROR(VLOOKUP($B285,Miljövärden!$B$3:$H$553,MATCH(D$2,Miljövärden!$B$2:$H$2,0),FALSE),"Saknas")</f>
        <v>0</v>
      </c>
      <c r="E285">
        <f>IFERROR(VLOOKUP($B285,Miljövärden!$B$3:$H$553,MATCH(E$2,Miljövärden!$B$2:$H$2,0),FALSE),"Saknas")</f>
        <v>0</v>
      </c>
      <c r="F285">
        <f>IFERROR(VLOOKUP($B285,Miljövärden!$B$3:$H$553,MATCH(F$2,Miljövärden!$B$2:$H$2,0),FALSE),"Saknas")</f>
        <v>0</v>
      </c>
      <c r="G285" t="str">
        <f>IFERROR(VLOOKUP($B285,Miljövärden!$B$3:$H$553,MATCH(G$2,Miljövärden!$B$2:$H$2,0),FALSE),"Nej, saknas")</f>
        <v>Nej</v>
      </c>
      <c r="H285" t="str">
        <f>IFERROR(VLOOKUP($B285,Miljövärden!$B$3:$H$553,MATCH(H$2,Miljövärden!$B$2:$H$2,0),FALSE),"Nej, saknas")</f>
        <v>Nej</v>
      </c>
      <c r="K285" t="s">
        <v>1529</v>
      </c>
      <c r="P285" t="str">
        <f t="shared" si="9"/>
        <v>nej</v>
      </c>
      <c r="R285">
        <f t="shared" si="8"/>
        <v>245</v>
      </c>
    </row>
    <row r="286" spans="1:18" x14ac:dyDescent="0.45">
      <c r="A286" s="2" t="s">
        <v>305</v>
      </c>
      <c r="B286" s="2" t="s">
        <v>310</v>
      </c>
      <c r="C286">
        <f>IFERROR(VLOOKUP($B286,Miljövärden!$B$3:$H$553,MATCH(C$2,Miljövärden!$B$2:$H$2,0),FALSE),"Saknas")</f>
        <v>0.34172999999999998</v>
      </c>
      <c r="D286">
        <f>IFERROR(VLOOKUP($B286,Miljövärden!$B$3:$H$553,MATCH(D$2,Miljövärden!$B$2:$H$2,0),FALSE),"Saknas")</f>
        <v>70.140100000000004</v>
      </c>
      <c r="E286">
        <f>IFERROR(VLOOKUP($B286,Miljövärden!$B$3:$H$553,MATCH(E$2,Miljövärden!$B$2:$H$2,0),FALSE),"Saknas")</f>
        <v>11.589499999999999</v>
      </c>
      <c r="F286">
        <f>IFERROR(VLOOKUP($B286,Miljövärden!$B$3:$H$553,MATCH(F$2,Miljövärden!$B$2:$H$2,0),FALSE),"Saknas")</f>
        <v>0.15393000000000001</v>
      </c>
      <c r="G286" t="str">
        <f>IFERROR(VLOOKUP($B286,Miljövärden!$B$3:$H$553,MATCH(G$2,Miljövärden!$B$2:$H$2,0),FALSE),"Nej, saknas")</f>
        <v>Nej</v>
      </c>
      <c r="H286" t="str">
        <f>IFERROR(VLOOKUP($B286,Miljövärden!$B$3:$H$553,MATCH(H$2,Miljövärden!$B$2:$H$2,0),FALSE),"Nej, saknas")</f>
        <v>Ja</v>
      </c>
      <c r="P286" t="str">
        <f t="shared" si="9"/>
        <v>ja</v>
      </c>
      <c r="R286">
        <f t="shared" si="8"/>
        <v>246</v>
      </c>
    </row>
    <row r="287" spans="1:18" x14ac:dyDescent="0.45">
      <c r="A287" s="2" t="s">
        <v>305</v>
      </c>
      <c r="B287" s="2" t="s">
        <v>309</v>
      </c>
      <c r="C287">
        <f>IFERROR(VLOOKUP($B287,Miljövärden!$B$3:$H$553,MATCH(C$2,Miljövärden!$B$2:$H$2,0),FALSE),"Saknas")</f>
        <v>0.136957</v>
      </c>
      <c r="D287">
        <f>IFERROR(VLOOKUP($B287,Miljövärden!$B$3:$H$553,MATCH(D$2,Miljövärden!$B$2:$H$2,0),FALSE),"Saknas")</f>
        <v>19.784600000000001</v>
      </c>
      <c r="E287">
        <f>IFERROR(VLOOKUP($B287,Miljövärden!$B$3:$H$553,MATCH(E$2,Miljövärden!$B$2:$H$2,0),FALSE),"Saknas")</f>
        <v>7.7416099999999997</v>
      </c>
      <c r="F287">
        <f>IFERROR(VLOOKUP($B287,Miljövärden!$B$3:$H$553,MATCH(F$2,Miljövärden!$B$2:$H$2,0),FALSE),"Saknas")</f>
        <v>3.1819899999999998E-2</v>
      </c>
      <c r="G287" t="str">
        <f>IFERROR(VLOOKUP($B287,Miljövärden!$B$3:$H$553,MATCH(G$2,Miljövärden!$B$2:$H$2,0),FALSE),"Nej, saknas")</f>
        <v>Nej</v>
      </c>
      <c r="H287" t="str">
        <f>IFERROR(VLOOKUP($B287,Miljövärden!$B$3:$H$553,MATCH(H$2,Miljövärden!$B$2:$H$2,0),FALSE),"Nej, saknas")</f>
        <v>Ja</v>
      </c>
      <c r="P287" t="str">
        <f t="shared" si="9"/>
        <v>ja</v>
      </c>
      <c r="R287">
        <f t="shared" si="8"/>
        <v>247</v>
      </c>
    </row>
    <row r="288" spans="1:18" x14ac:dyDescent="0.45">
      <c r="A288" s="2" t="s">
        <v>305</v>
      </c>
      <c r="B288" s="2" t="s">
        <v>308</v>
      </c>
      <c r="C288">
        <f>IFERROR(VLOOKUP($B288,Miljövärden!$B$3:$H$553,MATCH(C$2,Miljövärden!$B$2:$H$2,0),FALSE),"Saknas")</f>
        <v>0.15995999999999999</v>
      </c>
      <c r="D288">
        <f>IFERROR(VLOOKUP($B288,Miljövärden!$B$3:$H$553,MATCH(D$2,Miljövärden!$B$2:$H$2,0),FALSE),"Saknas")</f>
        <v>100.102</v>
      </c>
      <c r="E288">
        <f>IFERROR(VLOOKUP($B288,Miljövärden!$B$3:$H$553,MATCH(E$2,Miljövärden!$B$2:$H$2,0),FALSE),"Saknas")</f>
        <v>5.7476200000000004</v>
      </c>
      <c r="F288">
        <f>IFERROR(VLOOKUP($B288,Miljövärden!$B$3:$H$553,MATCH(F$2,Miljövärden!$B$2:$H$2,0),FALSE),"Saknas")</f>
        <v>1.5902699999999999E-2</v>
      </c>
      <c r="G288" t="str">
        <f>IFERROR(VLOOKUP($B288,Miljövärden!$B$3:$H$553,MATCH(G$2,Miljövärden!$B$2:$H$2,0),FALSE),"Nej, saknas")</f>
        <v>Ja</v>
      </c>
      <c r="H288" t="str">
        <f>IFERROR(VLOOKUP($B288,Miljövärden!$B$3:$H$553,MATCH(H$2,Miljövärden!$B$2:$H$2,0),FALSE),"Nej, saknas")</f>
        <v>Ja</v>
      </c>
      <c r="P288" t="str">
        <f t="shared" si="9"/>
        <v>ja</v>
      </c>
      <c r="R288">
        <f t="shared" si="8"/>
        <v>248</v>
      </c>
    </row>
    <row r="289" spans="1:18" x14ac:dyDescent="0.45">
      <c r="A289" s="2" t="s">
        <v>305</v>
      </c>
      <c r="B289" s="2" t="s">
        <v>307</v>
      </c>
      <c r="C289">
        <f>IFERROR(VLOOKUP($B289,Miljövärden!$B$3:$H$553,MATCH(C$2,Miljövärden!$B$2:$H$2,0),FALSE),"Saknas")</f>
        <v>0</v>
      </c>
      <c r="D289">
        <f>IFERROR(VLOOKUP($B289,Miljövärden!$B$3:$H$553,MATCH(D$2,Miljövärden!$B$2:$H$2,0),FALSE),"Saknas")</f>
        <v>0</v>
      </c>
      <c r="E289">
        <f>IFERROR(VLOOKUP($B289,Miljövärden!$B$3:$H$553,MATCH(E$2,Miljövärden!$B$2:$H$2,0),FALSE),"Saknas")</f>
        <v>0</v>
      </c>
      <c r="F289">
        <f>IFERROR(VLOOKUP($B289,Miljövärden!$B$3:$H$553,MATCH(F$2,Miljövärden!$B$2:$H$2,0),FALSE),"Saknas")</f>
        <v>0</v>
      </c>
      <c r="G289" t="str">
        <f>IFERROR(VLOOKUP($B289,Miljövärden!$B$3:$H$553,MATCH(G$2,Miljövärden!$B$2:$H$2,0),FALSE),"Nej, saknas")</f>
        <v>Nej</v>
      </c>
      <c r="H289" t="str">
        <f>IFERROR(VLOOKUP($B289,Miljövärden!$B$3:$H$553,MATCH(H$2,Miljövärden!$B$2:$H$2,0),FALSE),"Nej, saknas")</f>
        <v>Nej</v>
      </c>
      <c r="K289" t="s">
        <v>1529</v>
      </c>
      <c r="P289" t="str">
        <f t="shared" si="9"/>
        <v>nej</v>
      </c>
      <c r="R289">
        <f t="shared" si="8"/>
        <v>248</v>
      </c>
    </row>
    <row r="290" spans="1:18" x14ac:dyDescent="0.45">
      <c r="A290" s="2" t="s">
        <v>305</v>
      </c>
      <c r="B290" s="2" t="s">
        <v>306</v>
      </c>
      <c r="C290">
        <f>IFERROR(VLOOKUP($B290,Miljövärden!$B$3:$H$553,MATCH(C$2,Miljövärden!$B$2:$H$2,0),FALSE),"Saknas")</f>
        <v>0.63363800000000003</v>
      </c>
      <c r="D290">
        <f>IFERROR(VLOOKUP($B290,Miljövärden!$B$3:$H$553,MATCH(D$2,Miljövärden!$B$2:$H$2,0),FALSE),"Saknas")</f>
        <v>189.98699999999999</v>
      </c>
      <c r="E290">
        <f>IFERROR(VLOOKUP($B290,Miljövärden!$B$3:$H$553,MATCH(E$2,Miljövärden!$B$2:$H$2,0),FALSE),"Saknas")</f>
        <v>2.9547099999999999</v>
      </c>
      <c r="F290">
        <f>IFERROR(VLOOKUP($B290,Miljövärden!$B$3:$H$553,MATCH(F$2,Miljövärden!$B$2:$H$2,0),FALSE),"Saknas")</f>
        <v>8.6936299999999994E-2</v>
      </c>
      <c r="G290" t="str">
        <f>IFERROR(VLOOKUP($B290,Miljövärden!$B$3:$H$553,MATCH(G$2,Miljövärden!$B$2:$H$2,0),FALSE),"Nej, saknas")</f>
        <v>Ja</v>
      </c>
      <c r="H290" t="str">
        <f>IFERROR(VLOOKUP($B290,Miljövärden!$B$3:$H$553,MATCH(H$2,Miljövärden!$B$2:$H$2,0),FALSE),"Nej, saknas")</f>
        <v>Ja</v>
      </c>
      <c r="P290" t="str">
        <f t="shared" si="9"/>
        <v>ja</v>
      </c>
      <c r="R290">
        <f t="shared" si="8"/>
        <v>249</v>
      </c>
    </row>
    <row r="291" spans="1:18" x14ac:dyDescent="0.45">
      <c r="A291" s="2" t="s">
        <v>305</v>
      </c>
      <c r="B291" s="2" t="s">
        <v>304</v>
      </c>
      <c r="C291">
        <f>IFERROR(VLOOKUP($B291,Miljövärden!$B$3:$H$553,MATCH(C$2,Miljövärden!$B$2:$H$2,0),FALSE),"Saknas")</f>
        <v>0.28007500000000002</v>
      </c>
      <c r="D291">
        <f>IFERROR(VLOOKUP($B291,Miljövärden!$B$3:$H$553,MATCH(D$2,Miljövärden!$B$2:$H$2,0),FALSE),"Saknas")</f>
        <v>36.499099999999999</v>
      </c>
      <c r="E291">
        <f>IFERROR(VLOOKUP($B291,Miljövärden!$B$3:$H$553,MATCH(E$2,Miljövärden!$B$2:$H$2,0),FALSE),"Saknas")</f>
        <v>20.032399999999999</v>
      </c>
      <c r="F291">
        <f>IFERROR(VLOOKUP($B291,Miljövärden!$B$3:$H$553,MATCH(F$2,Miljövärden!$B$2:$H$2,0),FALSE),"Saknas")</f>
        <v>8.5255499999999998E-2</v>
      </c>
      <c r="G291" t="str">
        <f>IFERROR(VLOOKUP($B291,Miljövärden!$B$3:$H$553,MATCH(G$2,Miljövärden!$B$2:$H$2,0),FALSE),"Nej, saknas")</f>
        <v>Nej</v>
      </c>
      <c r="H291" t="str">
        <f>IFERROR(VLOOKUP($B291,Miljövärden!$B$3:$H$553,MATCH(H$2,Miljövärden!$B$2:$H$2,0),FALSE),"Nej, saknas")</f>
        <v>Ja</v>
      </c>
      <c r="P291" t="str">
        <f t="shared" si="9"/>
        <v>ja</v>
      </c>
      <c r="R291">
        <f t="shared" si="8"/>
        <v>250</v>
      </c>
    </row>
    <row r="292" spans="1:18" x14ac:dyDescent="0.45">
      <c r="A292" s="2" t="s">
        <v>303</v>
      </c>
      <c r="B292" s="2" t="s">
        <v>35</v>
      </c>
      <c r="C292" t="str">
        <f>IFERROR(VLOOKUP($B292,Miljövärden!$B$3:$H$553,MATCH(C$2,Miljövärden!$B$2:$H$2,0),FALSE),"Saknas")</f>
        <v>Saknas</v>
      </c>
      <c r="D292" t="str">
        <f>IFERROR(VLOOKUP($B292,Miljövärden!$B$3:$H$553,MATCH(D$2,Miljövärden!$B$2:$H$2,0),FALSE),"Saknas")</f>
        <v>Saknas</v>
      </c>
      <c r="E292" t="str">
        <f>IFERROR(VLOOKUP($B292,Miljövärden!$B$3:$H$553,MATCH(E$2,Miljövärden!$B$2:$H$2,0),FALSE),"Saknas")</f>
        <v>Saknas</v>
      </c>
      <c r="F292" t="str">
        <f>IFERROR(VLOOKUP($B292,Miljövärden!$B$3:$H$553,MATCH(F$2,Miljövärden!$B$2:$H$2,0),FALSE),"Saknas")</f>
        <v>Saknas</v>
      </c>
      <c r="G292" t="str">
        <f>IFERROR(VLOOKUP($B292,Miljövärden!$B$3:$H$553,MATCH(G$2,Miljövärden!$B$2:$H$2,0),FALSE),"Nej, saknas")</f>
        <v>Nej, saknas</v>
      </c>
      <c r="H292" t="str">
        <f>IFERROR(VLOOKUP($B292,Miljövärden!$B$3:$H$553,MATCH(H$2,Miljövärden!$B$2:$H$2,0),FALSE),"Nej, saknas")</f>
        <v>Nej, saknas</v>
      </c>
      <c r="K292" t="s">
        <v>1529</v>
      </c>
      <c r="P292" t="str">
        <f t="shared" si="9"/>
        <v>nej</v>
      </c>
      <c r="R292">
        <f t="shared" si="8"/>
        <v>250</v>
      </c>
    </row>
    <row r="293" spans="1:18" x14ac:dyDescent="0.45">
      <c r="A293" s="2" t="s">
        <v>299</v>
      </c>
      <c r="B293" s="2" t="s">
        <v>302</v>
      </c>
      <c r="C293">
        <f>IFERROR(VLOOKUP($B293,Miljövärden!$B$3:$H$553,MATCH(C$2,Miljövärden!$B$2:$H$2,0),FALSE),"Saknas")</f>
        <v>6.5351900000000004E-2</v>
      </c>
      <c r="D293">
        <f>IFERROR(VLOOKUP($B293,Miljövärden!$B$3:$H$553,MATCH(D$2,Miljövärden!$B$2:$H$2,0),FALSE),"Saknas")</f>
        <v>9.2408199999999994</v>
      </c>
      <c r="E293">
        <f>IFERROR(VLOOKUP($B293,Miljövärden!$B$3:$H$553,MATCH(E$2,Miljövärden!$B$2:$H$2,0),FALSE),"Saknas")</f>
        <v>9.6988900000000005</v>
      </c>
      <c r="F293">
        <f>IFERROR(VLOOKUP($B293,Miljövärden!$B$3:$H$553,MATCH(F$2,Miljövärden!$B$2:$H$2,0),FALSE),"Saknas")</f>
        <v>1.0724900000000001E-2</v>
      </c>
      <c r="G293" t="str">
        <f>IFERROR(VLOOKUP($B293,Miljövärden!$B$3:$H$553,MATCH(G$2,Miljövärden!$B$2:$H$2,0),FALSE),"Nej, saknas")</f>
        <v>Nej</v>
      </c>
      <c r="H293" t="str">
        <f>IFERROR(VLOOKUP($B293,Miljövärden!$B$3:$H$553,MATCH(H$2,Miljövärden!$B$2:$H$2,0),FALSE),"Nej, saknas")</f>
        <v>Ja</v>
      </c>
      <c r="P293" t="str">
        <f t="shared" si="9"/>
        <v>ja</v>
      </c>
      <c r="R293">
        <f t="shared" si="8"/>
        <v>251</v>
      </c>
    </row>
    <row r="294" spans="1:18" x14ac:dyDescent="0.45">
      <c r="A294" s="2" t="s">
        <v>299</v>
      </c>
      <c r="B294" s="2" t="s">
        <v>301</v>
      </c>
      <c r="C294">
        <f>IFERROR(VLOOKUP($B294,Miljövärden!$B$3:$H$553,MATCH(C$2,Miljövärden!$B$2:$H$2,0),FALSE),"Saknas")</f>
        <v>0</v>
      </c>
      <c r="D294">
        <f>IFERROR(VLOOKUP($B294,Miljövärden!$B$3:$H$553,MATCH(D$2,Miljövärden!$B$2:$H$2,0),FALSE),"Saknas")</f>
        <v>0</v>
      </c>
      <c r="E294">
        <f>IFERROR(VLOOKUP($B294,Miljövärden!$B$3:$H$553,MATCH(E$2,Miljövärden!$B$2:$H$2,0),FALSE),"Saknas")</f>
        <v>0</v>
      </c>
      <c r="F294">
        <f>IFERROR(VLOOKUP($B294,Miljövärden!$B$3:$H$553,MATCH(F$2,Miljövärden!$B$2:$H$2,0),FALSE),"Saknas")</f>
        <v>0</v>
      </c>
      <c r="G294" t="str">
        <f>IFERROR(VLOOKUP($B294,Miljövärden!$B$3:$H$553,MATCH(G$2,Miljövärden!$B$2:$H$2,0),FALSE),"Nej, saknas")</f>
        <v>Nej</v>
      </c>
      <c r="H294" t="str">
        <f>IFERROR(VLOOKUP($B294,Miljövärden!$B$3:$H$553,MATCH(H$2,Miljövärden!$B$2:$H$2,0),FALSE),"Nej, saknas")</f>
        <v>Nej</v>
      </c>
      <c r="K294" t="s">
        <v>1529</v>
      </c>
      <c r="P294" t="str">
        <f t="shared" si="9"/>
        <v>nej</v>
      </c>
      <c r="R294">
        <f t="shared" si="8"/>
        <v>251</v>
      </c>
    </row>
    <row r="295" spans="1:18" x14ac:dyDescent="0.45">
      <c r="A295" s="2" t="s">
        <v>299</v>
      </c>
      <c r="B295" s="2" t="s">
        <v>300</v>
      </c>
      <c r="C295">
        <f>IFERROR(VLOOKUP($B295,Miljövärden!$B$3:$H$553,MATCH(C$2,Miljövärden!$B$2:$H$2,0),FALSE),"Saknas")</f>
        <v>0.188254</v>
      </c>
      <c r="D295">
        <f>IFERROR(VLOOKUP($B295,Miljövärden!$B$3:$H$553,MATCH(D$2,Miljövärden!$B$2:$H$2,0),FALSE),"Saknas")</f>
        <v>9.93872</v>
      </c>
      <c r="E295">
        <f>IFERROR(VLOOKUP($B295,Miljövärden!$B$3:$H$553,MATCH(E$2,Miljövärden!$B$2:$H$2,0),FALSE),"Saknas")</f>
        <v>18.3644</v>
      </c>
      <c r="F295">
        <f>IFERROR(VLOOKUP($B295,Miljövärden!$B$3:$H$553,MATCH(F$2,Miljövärden!$B$2:$H$2,0),FALSE),"Saknas")</f>
        <v>1.3580200000000001E-2</v>
      </c>
      <c r="G295" t="str">
        <f>IFERROR(VLOOKUP($B295,Miljövärden!$B$3:$H$553,MATCH(G$2,Miljövärden!$B$2:$H$2,0),FALSE),"Nej, saknas")</f>
        <v>Ja</v>
      </c>
      <c r="H295" t="str">
        <f>IFERROR(VLOOKUP($B295,Miljövärden!$B$3:$H$553,MATCH(H$2,Miljövärden!$B$2:$H$2,0),FALSE),"Nej, saknas")</f>
        <v>Ja</v>
      </c>
      <c r="P295" t="str">
        <f t="shared" si="9"/>
        <v>ja</v>
      </c>
      <c r="R295">
        <f t="shared" si="8"/>
        <v>252</v>
      </c>
    </row>
    <row r="296" spans="1:18" x14ac:dyDescent="0.45">
      <c r="A296" s="2" t="s">
        <v>299</v>
      </c>
      <c r="B296" s="2" t="s">
        <v>298</v>
      </c>
      <c r="C296">
        <f>IFERROR(VLOOKUP($B296,Miljövärden!$B$3:$H$553,MATCH(C$2,Miljövärden!$B$2:$H$2,0),FALSE),"Saknas")</f>
        <v>0.10829900000000001</v>
      </c>
      <c r="D296">
        <f>IFERROR(VLOOKUP($B296,Miljövärden!$B$3:$H$553,MATCH(D$2,Miljövärden!$B$2:$H$2,0),FALSE),"Saknas")</f>
        <v>4.30898</v>
      </c>
      <c r="E296">
        <f>IFERROR(VLOOKUP($B296,Miljövärden!$B$3:$H$553,MATCH(E$2,Miljövärden!$B$2:$H$2,0),FALSE),"Saknas")</f>
        <v>7.1756900000000003</v>
      </c>
      <c r="F296">
        <f>IFERROR(VLOOKUP($B296,Miljövärden!$B$3:$H$553,MATCH(F$2,Miljövärden!$B$2:$H$2,0),FALSE),"Saknas")</f>
        <v>2.1822299999999998E-3</v>
      </c>
      <c r="G296" t="str">
        <f>IFERROR(VLOOKUP($B296,Miljövärden!$B$3:$H$553,MATCH(G$2,Miljövärden!$B$2:$H$2,0),FALSE),"Nej, saknas")</f>
        <v>Ja</v>
      </c>
      <c r="H296" t="str">
        <f>IFERROR(VLOOKUP($B296,Miljövärden!$B$3:$H$553,MATCH(H$2,Miljövärden!$B$2:$H$2,0),FALSE),"Nej, saknas")</f>
        <v>Ja</v>
      </c>
      <c r="P296" t="str">
        <f t="shared" si="9"/>
        <v>ja</v>
      </c>
      <c r="R296">
        <f t="shared" si="8"/>
        <v>253</v>
      </c>
    </row>
    <row r="297" spans="1:18" x14ac:dyDescent="0.45">
      <c r="A297" s="2" t="s">
        <v>297</v>
      </c>
      <c r="B297" s="2" t="s">
        <v>296</v>
      </c>
      <c r="C297">
        <f>IFERROR(VLOOKUP($B297,Miljövärden!$B$3:$H$553,MATCH(C$2,Miljövärden!$B$2:$H$2,0),FALSE),"Saknas")</f>
        <v>5.8462300000000002E-2</v>
      </c>
      <c r="D297">
        <f>IFERROR(VLOOKUP($B297,Miljövärden!$B$3:$H$553,MATCH(D$2,Miljövärden!$B$2:$H$2,0),FALSE),"Saknas")</f>
        <v>24.585599999999999</v>
      </c>
      <c r="E297">
        <f>IFERROR(VLOOKUP($B297,Miljövärden!$B$3:$H$553,MATCH(E$2,Miljövärden!$B$2:$H$2,0),FALSE),"Saknas")</f>
        <v>3.2412700000000001</v>
      </c>
      <c r="F297">
        <f>IFERROR(VLOOKUP($B297,Miljövärden!$B$3:$H$553,MATCH(F$2,Miljövärden!$B$2:$H$2,0),FALSE),"Saknas")</f>
        <v>1.02562E-2</v>
      </c>
      <c r="G297" t="str">
        <f>IFERROR(VLOOKUP($B297,Miljövärden!$B$3:$H$553,MATCH(G$2,Miljövärden!$B$2:$H$2,0),FALSE),"Nej, saknas")</f>
        <v>Ja</v>
      </c>
      <c r="H297" t="str">
        <f>IFERROR(VLOOKUP($B297,Miljövärden!$B$3:$H$553,MATCH(H$2,Miljövärden!$B$2:$H$2,0),FALSE),"Nej, saknas")</f>
        <v>Ja</v>
      </c>
      <c r="P297" t="str">
        <f t="shared" si="9"/>
        <v>ja</v>
      </c>
      <c r="R297">
        <f t="shared" si="8"/>
        <v>254</v>
      </c>
    </row>
    <row r="298" spans="1:18" x14ac:dyDescent="0.45">
      <c r="A298" s="2" t="s">
        <v>295</v>
      </c>
      <c r="B298" s="2" t="s">
        <v>127</v>
      </c>
      <c r="C298">
        <f>IFERROR(VLOOKUP($B298,Miljövärden!$B$3:$H$553,MATCH(C$2,Miljövärden!$B$2:$H$2,0),FALSE),"Saknas")</f>
        <v>0.157696</v>
      </c>
      <c r="D298">
        <f>IFERROR(VLOOKUP($B298,Miljövärden!$B$3:$H$553,MATCH(D$2,Miljövärden!$B$2:$H$2,0),FALSE),"Saknas")</f>
        <v>29.6631</v>
      </c>
      <c r="E298">
        <f>IFERROR(VLOOKUP($B298,Miljövärden!$B$3:$H$553,MATCH(E$2,Miljövärden!$B$2:$H$2,0),FALSE),"Saknas")</f>
        <v>1.8173900000000001</v>
      </c>
      <c r="F298">
        <f>IFERROR(VLOOKUP($B298,Miljövärden!$B$3:$H$553,MATCH(F$2,Miljövärden!$B$2:$H$2,0),FALSE),"Saknas")</f>
        <v>7.6237100000000002E-2</v>
      </c>
      <c r="G298" t="str">
        <f>IFERROR(VLOOKUP($B298,Miljövärden!$B$3:$H$553,MATCH(G$2,Miljövärden!$B$2:$H$2,0),FALSE),"Nej, saknas")</f>
        <v>Nej</v>
      </c>
      <c r="H298" t="str">
        <f>IFERROR(VLOOKUP($B298,Miljövärden!$B$3:$H$553,MATCH(H$2,Miljövärden!$B$2:$H$2,0),FALSE),"Nej, saknas")</f>
        <v>Ja</v>
      </c>
      <c r="P298" t="str">
        <f t="shared" si="9"/>
        <v>ja</v>
      </c>
      <c r="R298">
        <f t="shared" si="8"/>
        <v>255</v>
      </c>
    </row>
    <row r="299" spans="1:18" x14ac:dyDescent="0.45">
      <c r="A299" s="2" t="s">
        <v>289</v>
      </c>
      <c r="B299" s="2" t="s">
        <v>294</v>
      </c>
      <c r="C299">
        <f>IFERROR(VLOOKUP($B299,Miljövärden!$B$3:$H$553,MATCH(C$2,Miljövärden!$B$2:$H$2,0),FALSE),"Saknas")</f>
        <v>4.2031300000000001E-2</v>
      </c>
      <c r="D299">
        <f>IFERROR(VLOOKUP($B299,Miljövärden!$B$3:$H$553,MATCH(D$2,Miljövärden!$B$2:$H$2,0),FALSE),"Saknas")</f>
        <v>5.07355</v>
      </c>
      <c r="E299">
        <f>IFERROR(VLOOKUP($B299,Miljövärden!$B$3:$H$553,MATCH(E$2,Miljövärden!$B$2:$H$2,0),FALSE),"Saknas")</f>
        <v>9.0767000000000007</v>
      </c>
      <c r="F299">
        <f>IFERROR(VLOOKUP($B299,Miljövärden!$B$3:$H$553,MATCH(F$2,Miljövärden!$B$2:$H$2,0),FALSE),"Saknas")</f>
        <v>0</v>
      </c>
      <c r="G299" t="str">
        <f>IFERROR(VLOOKUP($B299,Miljövärden!$B$3:$H$553,MATCH(G$2,Miljövärden!$B$2:$H$2,0),FALSE),"Nej, saknas")</f>
        <v>Ja</v>
      </c>
      <c r="H299" t="str">
        <f>IFERROR(VLOOKUP($B299,Miljövärden!$B$3:$H$553,MATCH(H$2,Miljövärden!$B$2:$H$2,0),FALSE),"Nej, saknas")</f>
        <v>Ja</v>
      </c>
      <c r="P299" t="str">
        <f t="shared" si="9"/>
        <v>ja</v>
      </c>
      <c r="R299">
        <f t="shared" si="8"/>
        <v>256</v>
      </c>
    </row>
    <row r="300" spans="1:18" x14ac:dyDescent="0.45">
      <c r="A300" s="2" t="s">
        <v>289</v>
      </c>
      <c r="B300" s="2" t="s">
        <v>293</v>
      </c>
      <c r="C300">
        <f>IFERROR(VLOOKUP($B300,Miljövärden!$B$3:$H$553,MATCH(C$2,Miljövärden!$B$2:$H$2,0),FALSE),"Saknas")</f>
        <v>5.8329199999999998E-2</v>
      </c>
      <c r="D300">
        <f>IFERROR(VLOOKUP($B300,Miljövärden!$B$3:$H$553,MATCH(D$2,Miljövärden!$B$2:$H$2,0),FALSE),"Saknas")</f>
        <v>4.9020799999999998</v>
      </c>
      <c r="E300">
        <f>IFERROR(VLOOKUP($B300,Miljövärden!$B$3:$H$553,MATCH(E$2,Miljövärden!$B$2:$H$2,0),FALSE),"Saknas")</f>
        <v>4.81088</v>
      </c>
      <c r="F300">
        <f>IFERROR(VLOOKUP($B300,Miljövärden!$B$3:$H$553,MATCH(F$2,Miljövärden!$B$2:$H$2,0),FALSE),"Saknas")</f>
        <v>2.2973500000000001E-3</v>
      </c>
      <c r="G300" t="str">
        <f>IFERROR(VLOOKUP($B300,Miljövärden!$B$3:$H$553,MATCH(G$2,Miljövärden!$B$2:$H$2,0),FALSE),"Nej, saknas")</f>
        <v>Ja</v>
      </c>
      <c r="H300" t="str">
        <f>IFERROR(VLOOKUP($B300,Miljövärden!$B$3:$H$553,MATCH(H$2,Miljövärden!$B$2:$H$2,0),FALSE),"Nej, saknas")</f>
        <v>Ja</v>
      </c>
      <c r="P300" t="str">
        <f t="shared" si="9"/>
        <v>ja</v>
      </c>
      <c r="R300">
        <f t="shared" si="8"/>
        <v>257</v>
      </c>
    </row>
    <row r="301" spans="1:18" x14ac:dyDescent="0.45">
      <c r="A301" s="2" t="s">
        <v>289</v>
      </c>
      <c r="B301" s="2" t="s">
        <v>292</v>
      </c>
      <c r="C301">
        <f>IFERROR(VLOOKUP($B301,Miljövärden!$B$3:$H$553,MATCH(C$2,Miljövärden!$B$2:$H$2,0),FALSE),"Saknas")</f>
        <v>9.5509200000000002E-2</v>
      </c>
      <c r="D301">
        <f>IFERROR(VLOOKUP($B301,Miljövärden!$B$3:$H$553,MATCH(D$2,Miljövärden!$B$2:$H$2,0),FALSE),"Saknas")</f>
        <v>18.661999999999999</v>
      </c>
      <c r="E301">
        <f>IFERROR(VLOOKUP($B301,Miljövärden!$B$3:$H$553,MATCH(E$2,Miljövärden!$B$2:$H$2,0),FALSE),"Saknas")</f>
        <v>10.5763</v>
      </c>
      <c r="F301">
        <f>IFERROR(VLOOKUP($B301,Miljövärden!$B$3:$H$553,MATCH(F$2,Miljövärden!$B$2:$H$2,0),FALSE),"Saknas")</f>
        <v>3.5155600000000002E-2</v>
      </c>
      <c r="G301" t="str">
        <f>IFERROR(VLOOKUP($B301,Miljövärden!$B$3:$H$553,MATCH(G$2,Miljövärden!$B$2:$H$2,0),FALSE),"Nej, saknas")</f>
        <v>Ja</v>
      </c>
      <c r="H301" t="str">
        <f>IFERROR(VLOOKUP($B301,Miljövärden!$B$3:$H$553,MATCH(H$2,Miljövärden!$B$2:$H$2,0),FALSE),"Nej, saknas")</f>
        <v>Ja</v>
      </c>
      <c r="P301" t="str">
        <f t="shared" si="9"/>
        <v>ja</v>
      </c>
      <c r="R301">
        <f t="shared" si="8"/>
        <v>258</v>
      </c>
    </row>
    <row r="302" spans="1:18" x14ac:dyDescent="0.45">
      <c r="A302" s="2" t="s">
        <v>289</v>
      </c>
      <c r="B302" s="2" t="s">
        <v>291</v>
      </c>
      <c r="C302">
        <f>IFERROR(VLOOKUP($B302,Miljövärden!$B$3:$H$553,MATCH(C$2,Miljövärden!$B$2:$H$2,0),FALSE),"Saknas")</f>
        <v>8.3316000000000001E-2</v>
      </c>
      <c r="D302">
        <f>IFERROR(VLOOKUP($B302,Miljövärden!$B$3:$H$553,MATCH(D$2,Miljövärden!$B$2:$H$2,0),FALSE),"Saknas")</f>
        <v>99.525800000000004</v>
      </c>
      <c r="E302">
        <f>IFERROR(VLOOKUP($B302,Miljövärden!$B$3:$H$553,MATCH(E$2,Miljövärden!$B$2:$H$2,0),FALSE),"Saknas")</f>
        <v>3.0600800000000001</v>
      </c>
      <c r="F302">
        <f>IFERROR(VLOOKUP($B302,Miljövärden!$B$3:$H$553,MATCH(F$2,Miljövärden!$B$2:$H$2,0),FALSE),"Saknas")</f>
        <v>6.2459200000000003E-3</v>
      </c>
      <c r="G302" t="str">
        <f>IFERROR(VLOOKUP($B302,Miljövärden!$B$3:$H$553,MATCH(G$2,Miljövärden!$B$2:$H$2,0),FALSE),"Nej, saknas")</f>
        <v>Ja</v>
      </c>
      <c r="H302" t="str">
        <f>IFERROR(VLOOKUP($B302,Miljövärden!$B$3:$H$553,MATCH(H$2,Miljövärden!$B$2:$H$2,0),FALSE),"Nej, saknas")</f>
        <v>Ja</v>
      </c>
      <c r="P302" t="str">
        <f t="shared" si="9"/>
        <v>ja</v>
      </c>
      <c r="R302">
        <f t="shared" si="8"/>
        <v>259</v>
      </c>
    </row>
    <row r="303" spans="1:18" x14ac:dyDescent="0.45">
      <c r="A303" s="2" t="s">
        <v>289</v>
      </c>
      <c r="B303" s="2" t="s">
        <v>290</v>
      </c>
      <c r="C303">
        <f>IFERROR(VLOOKUP($B303,Miljövärden!$B$3:$H$553,MATCH(C$2,Miljövärden!$B$2:$H$2,0),FALSE),"Saknas")</f>
        <v>0.30890699999999999</v>
      </c>
      <c r="D303">
        <f>IFERROR(VLOOKUP($B303,Miljövärden!$B$3:$H$553,MATCH(D$2,Miljövärden!$B$2:$H$2,0),FALSE),"Saknas")</f>
        <v>67.706599999999995</v>
      </c>
      <c r="E303">
        <f>IFERROR(VLOOKUP($B303,Miljövärden!$B$3:$H$553,MATCH(E$2,Miljövärden!$B$2:$H$2,0),FALSE),"Saknas")</f>
        <v>8.8831799999999994</v>
      </c>
      <c r="F303">
        <f>IFERROR(VLOOKUP($B303,Miljövärden!$B$3:$H$553,MATCH(F$2,Miljövärden!$B$2:$H$2,0),FALSE),"Saknas")</f>
        <v>0.16142400000000001</v>
      </c>
      <c r="G303" t="str">
        <f>IFERROR(VLOOKUP($B303,Miljövärden!$B$3:$H$553,MATCH(G$2,Miljövärden!$B$2:$H$2,0),FALSE),"Nej, saknas")</f>
        <v>Ja</v>
      </c>
      <c r="H303" t="str">
        <f>IFERROR(VLOOKUP($B303,Miljövärden!$B$3:$H$553,MATCH(H$2,Miljövärden!$B$2:$H$2,0),FALSE),"Nej, saknas")</f>
        <v>Ja</v>
      </c>
      <c r="P303" t="str">
        <f t="shared" si="9"/>
        <v>ja</v>
      </c>
      <c r="R303">
        <f t="shared" si="8"/>
        <v>260</v>
      </c>
    </row>
    <row r="304" spans="1:18" x14ac:dyDescent="0.45">
      <c r="A304" s="2" t="s">
        <v>289</v>
      </c>
      <c r="B304" s="2" t="s">
        <v>288</v>
      </c>
      <c r="C304">
        <f>IFERROR(VLOOKUP($B304,Miljövärden!$B$3:$H$553,MATCH(C$2,Miljövärden!$B$2:$H$2,0),FALSE),"Saknas")</f>
        <v>7.5026800000000005E-2</v>
      </c>
      <c r="D304">
        <f>IFERROR(VLOOKUP($B304,Miljövärden!$B$3:$H$553,MATCH(D$2,Miljövärden!$B$2:$H$2,0),FALSE),"Saknas")</f>
        <v>10</v>
      </c>
      <c r="E304">
        <f>IFERROR(VLOOKUP($B304,Miljövärden!$B$3:$H$553,MATCH(E$2,Miljövärden!$B$2:$H$2,0),FALSE),"Saknas")</f>
        <v>5.7117500000000003</v>
      </c>
      <c r="F304">
        <f>IFERROR(VLOOKUP($B304,Miljövärden!$B$3:$H$553,MATCH(F$2,Miljövärden!$B$2:$H$2,0),FALSE),"Saknas")</f>
        <v>1.42153E-2</v>
      </c>
      <c r="G304" t="str">
        <f>IFERROR(VLOOKUP($B304,Miljövärden!$B$3:$H$553,MATCH(G$2,Miljövärden!$B$2:$H$2,0),FALSE),"Nej, saknas")</f>
        <v>Ja</v>
      </c>
      <c r="H304" t="str">
        <f>IFERROR(VLOOKUP($B304,Miljövärden!$B$3:$H$553,MATCH(H$2,Miljövärden!$B$2:$H$2,0),FALSE),"Nej, saknas")</f>
        <v>Ja</v>
      </c>
      <c r="P304" t="str">
        <f t="shared" si="9"/>
        <v>ja</v>
      </c>
      <c r="R304">
        <f t="shared" si="8"/>
        <v>261</v>
      </c>
    </row>
    <row r="305" spans="1:18" x14ac:dyDescent="0.45">
      <c r="A305" s="2" t="s">
        <v>286</v>
      </c>
      <c r="B305" s="2" t="s">
        <v>287</v>
      </c>
      <c r="C305">
        <f>IFERROR(VLOOKUP($B305,Miljövärden!$B$3:$H$553,MATCH(C$2,Miljövärden!$B$2:$H$2,0),FALSE),"Saknas")</f>
        <v>6.5284099999999998E-2</v>
      </c>
      <c r="D305">
        <f>IFERROR(VLOOKUP($B305,Miljövärden!$B$3:$H$553,MATCH(D$2,Miljövärden!$B$2:$H$2,0),FALSE),"Saknas")</f>
        <v>0.25764700000000001</v>
      </c>
      <c r="E305">
        <f>IFERROR(VLOOKUP($B305,Miljövärden!$B$3:$H$553,MATCH(E$2,Miljövärden!$B$2:$H$2,0),FALSE),"Saknas")</f>
        <v>1.32064</v>
      </c>
      <c r="F305">
        <f>IFERROR(VLOOKUP($B305,Miljövärden!$B$3:$H$553,MATCH(F$2,Miljövärden!$B$2:$H$2,0),FALSE),"Saknas")</f>
        <v>0</v>
      </c>
      <c r="G305" t="str">
        <f>IFERROR(VLOOKUP($B305,Miljövärden!$B$3:$H$553,MATCH(G$2,Miljövärden!$B$2:$H$2,0),FALSE),"Nej, saknas")</f>
        <v>Nej</v>
      </c>
      <c r="H305" t="str">
        <f>IFERROR(VLOOKUP($B305,Miljövärden!$B$3:$H$553,MATCH(H$2,Miljövärden!$B$2:$H$2,0),FALSE),"Nej, saknas")</f>
        <v>Ja</v>
      </c>
      <c r="P305" t="str">
        <f t="shared" si="9"/>
        <v>ja</v>
      </c>
      <c r="R305">
        <f t="shared" si="8"/>
        <v>262</v>
      </c>
    </row>
    <row r="306" spans="1:18" x14ac:dyDescent="0.45">
      <c r="A306" s="2" t="s">
        <v>286</v>
      </c>
      <c r="B306" s="2" t="s">
        <v>285</v>
      </c>
      <c r="C306">
        <f>IFERROR(VLOOKUP($B306,Miljövärden!$B$3:$H$553,MATCH(C$2,Miljövärden!$B$2:$H$2,0),FALSE),"Saknas")</f>
        <v>5.8662400000000003E-2</v>
      </c>
      <c r="D306">
        <f>IFERROR(VLOOKUP($B306,Miljövärden!$B$3:$H$553,MATCH(D$2,Miljövärden!$B$2:$H$2,0),FALSE),"Saknas")</f>
        <v>26.299800000000001</v>
      </c>
      <c r="E306">
        <f>IFERROR(VLOOKUP($B306,Miljövärden!$B$3:$H$553,MATCH(E$2,Miljövärden!$B$2:$H$2,0),FALSE),"Saknas")</f>
        <v>3.3442799999999999</v>
      </c>
      <c r="F306">
        <f>IFERROR(VLOOKUP($B306,Miljövärden!$B$3:$H$553,MATCH(F$2,Miljövärden!$B$2:$H$2,0),FALSE),"Saknas")</f>
        <v>5.4509399999999996E-3</v>
      </c>
      <c r="G306" t="str">
        <f>IFERROR(VLOOKUP($B306,Miljövärden!$B$3:$H$553,MATCH(G$2,Miljövärden!$B$2:$H$2,0),FALSE),"Nej, saknas")</f>
        <v>Nej</v>
      </c>
      <c r="H306" t="str">
        <f>IFERROR(VLOOKUP($B306,Miljövärden!$B$3:$H$553,MATCH(H$2,Miljövärden!$B$2:$H$2,0),FALSE),"Nej, saknas")</f>
        <v>Ja</v>
      </c>
      <c r="P306" t="str">
        <f t="shared" si="9"/>
        <v>ja</v>
      </c>
      <c r="R306">
        <f t="shared" si="8"/>
        <v>263</v>
      </c>
    </row>
    <row r="307" spans="1:18" x14ac:dyDescent="0.45">
      <c r="A307" s="2" t="s">
        <v>284</v>
      </c>
      <c r="B307" s="2" t="s">
        <v>283</v>
      </c>
      <c r="C307">
        <f>IFERROR(VLOOKUP($B307,Miljövärden!$B$3:$H$553,MATCH(C$2,Miljövärden!$B$2:$H$2,0),FALSE),"Saknas")</f>
        <v>9.56761E-2</v>
      </c>
      <c r="D307">
        <f>IFERROR(VLOOKUP($B307,Miljövärden!$B$3:$H$553,MATCH(D$2,Miljövärden!$B$2:$H$2,0),FALSE),"Saknas")</f>
        <v>4.6312699999999998</v>
      </c>
      <c r="E307">
        <f>IFERROR(VLOOKUP($B307,Miljövärden!$B$3:$H$553,MATCH(E$2,Miljövärden!$B$2:$H$2,0),FALSE),"Saknas")</f>
        <v>5.0730399999999998</v>
      </c>
      <c r="F307">
        <f>IFERROR(VLOOKUP($B307,Miljövärden!$B$3:$H$553,MATCH(F$2,Miljövärden!$B$2:$H$2,0),FALSE),"Saknas")</f>
        <v>2.2895200000000002E-3</v>
      </c>
      <c r="G307" t="str">
        <f>IFERROR(VLOOKUP($B307,Miljövärden!$B$3:$H$553,MATCH(G$2,Miljövärden!$B$2:$H$2,0),FALSE),"Nej, saknas")</f>
        <v>Ja</v>
      </c>
      <c r="H307" t="str">
        <f>IFERROR(VLOOKUP($B307,Miljövärden!$B$3:$H$553,MATCH(H$2,Miljövärden!$B$2:$H$2,0),FALSE),"Nej, saknas")</f>
        <v>Ja</v>
      </c>
      <c r="P307" t="str">
        <f t="shared" si="9"/>
        <v>ja</v>
      </c>
      <c r="R307">
        <f t="shared" si="8"/>
        <v>264</v>
      </c>
    </row>
    <row r="308" spans="1:18" x14ac:dyDescent="0.45">
      <c r="A308" s="2" t="s">
        <v>280</v>
      </c>
      <c r="B308" s="2" t="s">
        <v>282</v>
      </c>
      <c r="C308">
        <f>IFERROR(VLOOKUP($B308,Miljövärden!$B$3:$H$553,MATCH(C$2,Miljövärden!$B$2:$H$2,0),FALSE),"Saknas")</f>
        <v>0.16406699999999999</v>
      </c>
      <c r="D308">
        <f>IFERROR(VLOOKUP($B308,Miljövärden!$B$3:$H$553,MATCH(D$2,Miljövärden!$B$2:$H$2,0),FALSE),"Saknas")</f>
        <v>10.669</v>
      </c>
      <c r="E308">
        <f>IFERROR(VLOOKUP($B308,Miljövärden!$B$3:$H$553,MATCH(E$2,Miljövärden!$B$2:$H$2,0),FALSE),"Saknas")</f>
        <v>15.293799999999999</v>
      </c>
      <c r="F308">
        <f>IFERROR(VLOOKUP($B308,Miljövärden!$B$3:$H$553,MATCH(F$2,Miljövärden!$B$2:$H$2,0),FALSE),"Saknas")</f>
        <v>2.1919899999999999E-2</v>
      </c>
      <c r="G308" t="str">
        <f>IFERROR(VLOOKUP($B308,Miljövärden!$B$3:$H$553,MATCH(G$2,Miljövärden!$B$2:$H$2,0),FALSE),"Nej, saknas")</f>
        <v>Ja</v>
      </c>
      <c r="H308" t="str">
        <f>IFERROR(VLOOKUP($B308,Miljövärden!$B$3:$H$553,MATCH(H$2,Miljövärden!$B$2:$H$2,0),FALSE),"Nej, saknas")</f>
        <v>Ja</v>
      </c>
      <c r="P308" t="str">
        <f t="shared" si="9"/>
        <v>ja</v>
      </c>
      <c r="R308">
        <f t="shared" si="8"/>
        <v>265</v>
      </c>
    </row>
    <row r="309" spans="1:18" x14ac:dyDescent="0.45">
      <c r="A309" s="2" t="s">
        <v>280</v>
      </c>
      <c r="B309" s="2" t="s">
        <v>281</v>
      </c>
      <c r="C309">
        <f>IFERROR(VLOOKUP($B309,Miljövärden!$B$3:$H$553,MATCH(C$2,Miljövärden!$B$2:$H$2,0),FALSE),"Saknas")</f>
        <v>9.6783599999999997E-2</v>
      </c>
      <c r="D309">
        <f>IFERROR(VLOOKUP($B309,Miljövärden!$B$3:$H$553,MATCH(D$2,Miljövärden!$B$2:$H$2,0),FALSE),"Saknas")</f>
        <v>6.7245299999999997</v>
      </c>
      <c r="E309">
        <f>IFERROR(VLOOKUP($B309,Miljövärden!$B$3:$H$553,MATCH(E$2,Miljövärden!$B$2:$H$2,0),FALSE),"Saknas")</f>
        <v>11.331</v>
      </c>
      <c r="F309">
        <f>IFERROR(VLOOKUP($B309,Miljövärden!$B$3:$H$553,MATCH(F$2,Miljövärden!$B$2:$H$2,0),FALSE),"Saknas")</f>
        <v>3.9180899999999999E-3</v>
      </c>
      <c r="G309" t="str">
        <f>IFERROR(VLOOKUP($B309,Miljövärden!$B$3:$H$553,MATCH(G$2,Miljövärden!$B$2:$H$2,0),FALSE),"Nej, saknas")</f>
        <v>Ja</v>
      </c>
      <c r="H309" t="str">
        <f>IFERROR(VLOOKUP($B309,Miljövärden!$B$3:$H$553,MATCH(H$2,Miljövärden!$B$2:$H$2,0),FALSE),"Nej, saknas")</f>
        <v>Ja</v>
      </c>
      <c r="P309" t="str">
        <f t="shared" si="9"/>
        <v>ja</v>
      </c>
      <c r="R309">
        <f t="shared" si="8"/>
        <v>266</v>
      </c>
    </row>
    <row r="310" spans="1:18" x14ac:dyDescent="0.45">
      <c r="A310" s="2" t="s">
        <v>280</v>
      </c>
      <c r="B310" s="2" t="s">
        <v>279</v>
      </c>
      <c r="C310">
        <f>IFERROR(VLOOKUP($B310,Miljövärden!$B$3:$H$553,MATCH(C$2,Miljövärden!$B$2:$H$2,0),FALSE),"Saknas")</f>
        <v>0.260521</v>
      </c>
      <c r="D310">
        <f>IFERROR(VLOOKUP($B310,Miljövärden!$B$3:$H$553,MATCH(D$2,Miljövärden!$B$2:$H$2,0),FALSE),"Saknas")</f>
        <v>4.1198899999999998</v>
      </c>
      <c r="E310">
        <f>IFERROR(VLOOKUP($B310,Miljövärden!$B$3:$H$553,MATCH(E$2,Miljövärden!$B$2:$H$2,0),FALSE),"Saknas")</f>
        <v>14.419600000000001</v>
      </c>
      <c r="F310">
        <f>IFERROR(VLOOKUP($B310,Miljövärden!$B$3:$H$553,MATCH(F$2,Miljövärden!$B$2:$H$2,0),FALSE),"Saknas")</f>
        <v>0</v>
      </c>
      <c r="G310" t="str">
        <f>IFERROR(VLOOKUP($B310,Miljövärden!$B$3:$H$553,MATCH(G$2,Miljövärden!$B$2:$H$2,0),FALSE),"Nej, saknas")</f>
        <v>Ja</v>
      </c>
      <c r="H310" t="str">
        <f>IFERROR(VLOOKUP($B310,Miljövärden!$B$3:$H$553,MATCH(H$2,Miljövärden!$B$2:$H$2,0),FALSE),"Nej, saknas")</f>
        <v>Ja</v>
      </c>
      <c r="P310" t="str">
        <f t="shared" si="9"/>
        <v>ja</v>
      </c>
      <c r="R310">
        <f t="shared" si="8"/>
        <v>267</v>
      </c>
    </row>
    <row r="311" spans="1:18" x14ac:dyDescent="0.45">
      <c r="A311" s="2" t="s">
        <v>278</v>
      </c>
      <c r="B311" s="2" t="s">
        <v>278</v>
      </c>
      <c r="C311">
        <f>IFERROR(VLOOKUP($B311,Miljövärden!$B$3:$H$553,MATCH(C$2,Miljövärden!$B$2:$H$2,0),FALSE),"Saknas")</f>
        <v>0</v>
      </c>
      <c r="D311">
        <f>IFERROR(VLOOKUP($B311,Miljövärden!$B$3:$H$553,MATCH(D$2,Miljövärden!$B$2:$H$2,0),FALSE),"Saknas")</f>
        <v>0</v>
      </c>
      <c r="E311">
        <f>IFERROR(VLOOKUP($B311,Miljövärden!$B$3:$H$553,MATCH(E$2,Miljövärden!$B$2:$H$2,0),FALSE),"Saknas")</f>
        <v>0</v>
      </c>
      <c r="F311">
        <f>IFERROR(VLOOKUP($B311,Miljövärden!$B$3:$H$553,MATCH(F$2,Miljövärden!$B$2:$H$2,0),FALSE),"Saknas")</f>
        <v>0</v>
      </c>
      <c r="G311" t="str">
        <f>IFERROR(VLOOKUP($B311,Miljövärden!$B$3:$H$553,MATCH(G$2,Miljövärden!$B$2:$H$2,0),FALSE),"Nej, saknas")</f>
        <v>Nej</v>
      </c>
      <c r="H311" t="str">
        <f>IFERROR(VLOOKUP($B311,Miljövärden!$B$3:$H$553,MATCH(H$2,Miljövärden!$B$2:$H$2,0),FALSE),"Nej, saknas")</f>
        <v>Nej</v>
      </c>
      <c r="K311" t="s">
        <v>1529</v>
      </c>
      <c r="P311" t="str">
        <f t="shared" si="9"/>
        <v>nej</v>
      </c>
      <c r="R311">
        <f t="shared" si="8"/>
        <v>267</v>
      </c>
    </row>
    <row r="312" spans="1:18" x14ac:dyDescent="0.45">
      <c r="A312" s="2" t="s">
        <v>277</v>
      </c>
      <c r="B312" s="2" t="s">
        <v>130</v>
      </c>
      <c r="C312">
        <f>IFERROR(VLOOKUP($B312,Miljövärden!$B$3:$H$553,MATCH(C$2,Miljövärden!$B$2:$H$2,0),FALSE),"Saknas")</f>
        <v>0.109415</v>
      </c>
      <c r="D312">
        <f>IFERROR(VLOOKUP($B312,Miljövärden!$B$3:$H$553,MATCH(D$2,Miljövärden!$B$2:$H$2,0),FALSE),"Saknas")</f>
        <v>13.3127</v>
      </c>
      <c r="E312">
        <f>IFERROR(VLOOKUP($B312,Miljövärden!$B$3:$H$553,MATCH(E$2,Miljövärden!$B$2:$H$2,0),FALSE),"Saknas")</f>
        <v>10.1302</v>
      </c>
      <c r="F312">
        <f>IFERROR(VLOOKUP($B312,Miljövärden!$B$3:$H$553,MATCH(F$2,Miljövärden!$B$2:$H$2,0),FALSE),"Saknas")</f>
        <v>7.1081099999999999E-3</v>
      </c>
      <c r="G312" t="str">
        <f>IFERROR(VLOOKUP($B312,Miljövärden!$B$3:$H$553,MATCH(G$2,Miljövärden!$B$2:$H$2,0),FALSE),"Nej, saknas")</f>
        <v>Nej</v>
      </c>
      <c r="H312" t="str">
        <f>IFERROR(VLOOKUP($B312,Miljövärden!$B$3:$H$553,MATCH(H$2,Miljövärden!$B$2:$H$2,0),FALSE),"Nej, saknas")</f>
        <v>Ja</v>
      </c>
      <c r="P312" t="str">
        <f t="shared" si="9"/>
        <v>ja</v>
      </c>
      <c r="R312">
        <f t="shared" si="8"/>
        <v>268</v>
      </c>
    </row>
    <row r="313" spans="1:18" x14ac:dyDescent="0.45">
      <c r="A313" s="2" t="s">
        <v>276</v>
      </c>
      <c r="B313" s="2" t="s">
        <v>275</v>
      </c>
      <c r="C313">
        <f>IFERROR(VLOOKUP($B313,Miljövärden!$B$3:$H$553,MATCH(C$2,Miljövärden!$B$2:$H$2,0),FALSE),"Saknas")</f>
        <v>7.8239199999999995E-2</v>
      </c>
      <c r="D313">
        <f>IFERROR(VLOOKUP($B313,Miljövärden!$B$3:$H$553,MATCH(D$2,Miljövärden!$B$2:$H$2,0),FALSE),"Saknas")</f>
        <v>5.0081699999999998</v>
      </c>
      <c r="E313">
        <f>IFERROR(VLOOKUP($B313,Miljövärden!$B$3:$H$553,MATCH(E$2,Miljövärden!$B$2:$H$2,0),FALSE),"Saknas")</f>
        <v>6.5769299999999999</v>
      </c>
      <c r="F313">
        <f>IFERROR(VLOOKUP($B313,Miljövärden!$B$3:$H$553,MATCH(F$2,Miljövärden!$B$2:$H$2,0),FALSE),"Saknas")</f>
        <v>4.1560199999999999E-3</v>
      </c>
      <c r="G313" t="str">
        <f>IFERROR(VLOOKUP($B313,Miljövärden!$B$3:$H$553,MATCH(G$2,Miljövärden!$B$2:$H$2,0),FALSE),"Nej, saknas")</f>
        <v>Ja</v>
      </c>
      <c r="H313" t="str">
        <f>IFERROR(VLOOKUP($B313,Miljövärden!$B$3:$H$553,MATCH(H$2,Miljövärden!$B$2:$H$2,0),FALSE),"Nej, saknas")</f>
        <v>Ja</v>
      </c>
      <c r="P313" t="str">
        <f t="shared" si="9"/>
        <v>ja</v>
      </c>
      <c r="R313">
        <f t="shared" si="8"/>
        <v>269</v>
      </c>
    </row>
    <row r="314" spans="1:18" x14ac:dyDescent="0.45">
      <c r="A314" s="2" t="s">
        <v>273</v>
      </c>
      <c r="B314" s="2" t="s">
        <v>272</v>
      </c>
      <c r="C314">
        <f>IFERROR(VLOOKUP($B314,Miljövärden!$B$3:$H$553,MATCH(C$2,Miljövärden!$B$2:$H$2,0),FALSE),"Saknas")</f>
        <v>0.105015</v>
      </c>
      <c r="D314">
        <f>IFERROR(VLOOKUP($B314,Miljövärden!$B$3:$H$553,MATCH(D$2,Miljövärden!$B$2:$H$2,0),FALSE),"Saknas")</f>
        <v>8.2352699999999999</v>
      </c>
      <c r="E314">
        <f>IFERROR(VLOOKUP($B314,Miljövärden!$B$3:$H$553,MATCH(E$2,Miljövärden!$B$2:$H$2,0),FALSE),"Saknas")</f>
        <v>10.757999999999999</v>
      </c>
      <c r="F314">
        <f>IFERROR(VLOOKUP($B314,Miljövärden!$B$3:$H$553,MATCH(F$2,Miljövärden!$B$2:$H$2,0),FALSE),"Saknas")</f>
        <v>1.30206E-2</v>
      </c>
      <c r="G314" t="str">
        <f>IFERROR(VLOOKUP($B314,Miljövärden!$B$3:$H$553,MATCH(G$2,Miljövärden!$B$2:$H$2,0),FALSE),"Nej, saknas")</f>
        <v>Ja</v>
      </c>
      <c r="H314" t="str">
        <f>IFERROR(VLOOKUP($B314,Miljövärden!$B$3:$H$553,MATCH(H$2,Miljövärden!$B$2:$H$2,0),FALSE),"Nej, saknas")</f>
        <v>Ja</v>
      </c>
      <c r="P314" t="str">
        <f t="shared" si="9"/>
        <v>ja</v>
      </c>
      <c r="R314">
        <f t="shared" si="8"/>
        <v>270</v>
      </c>
    </row>
    <row r="315" spans="1:18" x14ac:dyDescent="0.45">
      <c r="A315" s="2" t="s">
        <v>271</v>
      </c>
      <c r="B315" s="2" t="s">
        <v>270</v>
      </c>
      <c r="C315">
        <f>IFERROR(VLOOKUP($B315,Miljövärden!$B$3:$H$553,MATCH(C$2,Miljövärden!$B$2:$H$2,0),FALSE),"Saknas")</f>
        <v>2.8079199999999999E-2</v>
      </c>
      <c r="D315">
        <f>IFERROR(VLOOKUP($B315,Miljövärden!$B$3:$H$553,MATCH(D$2,Miljövärden!$B$2:$H$2,0),FALSE),"Saknas")</f>
        <v>3.4</v>
      </c>
      <c r="E315">
        <f>IFERROR(VLOOKUP($B315,Miljövärden!$B$3:$H$553,MATCH(E$2,Miljövärden!$B$2:$H$2,0),FALSE),"Saknas")</f>
        <v>5.9264000000000001</v>
      </c>
      <c r="F315">
        <f>IFERROR(VLOOKUP($B315,Miljövärden!$B$3:$H$553,MATCH(F$2,Miljövärden!$B$2:$H$2,0),FALSE),"Saknas")</f>
        <v>3.3444900000000001E-4</v>
      </c>
      <c r="G315" t="str">
        <f>IFERROR(VLOOKUP($B315,Miljövärden!$B$3:$H$553,MATCH(G$2,Miljövärden!$B$2:$H$2,0),FALSE),"Nej, saknas")</f>
        <v>Ja</v>
      </c>
      <c r="H315" t="str">
        <f>IFERROR(VLOOKUP($B315,Miljövärden!$B$3:$H$553,MATCH(H$2,Miljövärden!$B$2:$H$2,0),FALSE),"Nej, saknas")</f>
        <v>Ja</v>
      </c>
      <c r="P315" t="str">
        <f t="shared" si="9"/>
        <v>ja</v>
      </c>
      <c r="R315">
        <f t="shared" si="8"/>
        <v>271</v>
      </c>
    </row>
    <row r="316" spans="1:18" x14ac:dyDescent="0.45">
      <c r="A316" s="2" t="s">
        <v>267</v>
      </c>
      <c r="B316" s="2" t="s">
        <v>269</v>
      </c>
      <c r="C316">
        <f>IFERROR(VLOOKUP($B316,Miljövärden!$B$3:$H$553,MATCH(C$2,Miljövärden!$B$2:$H$2,0),FALSE),"Saknas")</f>
        <v>0.18846099999999999</v>
      </c>
      <c r="D316">
        <f>IFERROR(VLOOKUP($B316,Miljövärden!$B$3:$H$553,MATCH(D$2,Miljövärden!$B$2:$H$2,0),FALSE),"Saknas")</f>
        <v>10.646599999999999</v>
      </c>
      <c r="E316">
        <f>IFERROR(VLOOKUP($B316,Miljövärden!$B$3:$H$553,MATCH(E$2,Miljövärden!$B$2:$H$2,0),FALSE),"Saknas")</f>
        <v>17.704599999999999</v>
      </c>
      <c r="F316">
        <f>IFERROR(VLOOKUP($B316,Miljövärden!$B$3:$H$553,MATCH(F$2,Miljövärden!$B$2:$H$2,0),FALSE),"Saknas")</f>
        <v>5.9525200000000002E-3</v>
      </c>
      <c r="G316" t="str">
        <f>IFERROR(VLOOKUP($B316,Miljövärden!$B$3:$H$553,MATCH(G$2,Miljövärden!$B$2:$H$2,0),FALSE),"Nej, saknas")</f>
        <v>Nej</v>
      </c>
      <c r="H316" t="str">
        <f>IFERROR(VLOOKUP($B316,Miljövärden!$B$3:$H$553,MATCH(H$2,Miljövärden!$B$2:$H$2,0),FALSE),"Nej, saknas")</f>
        <v>Ja</v>
      </c>
      <c r="P316" t="str">
        <f t="shared" si="9"/>
        <v>ja</v>
      </c>
      <c r="R316">
        <f t="shared" si="8"/>
        <v>272</v>
      </c>
    </row>
    <row r="317" spans="1:18" x14ac:dyDescent="0.45">
      <c r="A317" s="2" t="s">
        <v>267</v>
      </c>
      <c r="B317" s="2" t="s">
        <v>268</v>
      </c>
      <c r="C317">
        <f>IFERROR(VLOOKUP($B317,Miljövärden!$B$3:$H$553,MATCH(C$2,Miljövärden!$B$2:$H$2,0),FALSE),"Saknas")</f>
        <v>0.15215000000000001</v>
      </c>
      <c r="D317">
        <f>IFERROR(VLOOKUP($B317,Miljövärden!$B$3:$H$553,MATCH(D$2,Miljövärden!$B$2:$H$2,0),FALSE),"Saknas")</f>
        <v>9.8702299999999994</v>
      </c>
      <c r="E317">
        <f>IFERROR(VLOOKUP($B317,Miljövärden!$B$3:$H$553,MATCH(E$2,Miljövärden!$B$2:$H$2,0),FALSE),"Saknas")</f>
        <v>15.1592</v>
      </c>
      <c r="F317">
        <f>IFERROR(VLOOKUP($B317,Miljövärden!$B$3:$H$553,MATCH(F$2,Miljövärden!$B$2:$H$2,0),FALSE),"Saknas")</f>
        <v>5.1217900000000002E-3</v>
      </c>
      <c r="G317" t="str">
        <f>IFERROR(VLOOKUP($B317,Miljövärden!$B$3:$H$553,MATCH(G$2,Miljövärden!$B$2:$H$2,0),FALSE),"Nej, saknas")</f>
        <v>Nej</v>
      </c>
      <c r="H317" t="str">
        <f>IFERROR(VLOOKUP($B317,Miljövärden!$B$3:$H$553,MATCH(H$2,Miljövärden!$B$2:$H$2,0),FALSE),"Nej, saknas")</f>
        <v>Ja</v>
      </c>
      <c r="P317" t="str">
        <f t="shared" si="9"/>
        <v>ja</v>
      </c>
      <c r="R317">
        <f t="shared" si="8"/>
        <v>273</v>
      </c>
    </row>
    <row r="318" spans="1:18" x14ac:dyDescent="0.45">
      <c r="A318" s="2" t="s">
        <v>267</v>
      </c>
      <c r="B318" s="2" t="s">
        <v>266</v>
      </c>
      <c r="C318">
        <f>IFERROR(VLOOKUP($B318,Miljövärden!$B$3:$H$553,MATCH(C$2,Miljövärden!$B$2:$H$2,0),FALSE),"Saknas")</f>
        <v>0.172737</v>
      </c>
      <c r="D318">
        <f>IFERROR(VLOOKUP($B318,Miljövärden!$B$3:$H$553,MATCH(D$2,Miljövärden!$B$2:$H$2,0),FALSE),"Saknas")</f>
        <v>109.75</v>
      </c>
      <c r="E318">
        <f>IFERROR(VLOOKUP($B318,Miljövärden!$B$3:$H$553,MATCH(E$2,Miljövärden!$B$2:$H$2,0),FALSE),"Saknas")</f>
        <v>5.5327400000000004</v>
      </c>
      <c r="F318">
        <f>IFERROR(VLOOKUP($B318,Miljövärden!$B$3:$H$553,MATCH(F$2,Miljövärden!$B$2:$H$2,0),FALSE),"Saknas")</f>
        <v>1.3356700000000001E-2</v>
      </c>
      <c r="G318" t="str">
        <f>IFERROR(VLOOKUP($B318,Miljövärden!$B$3:$H$553,MATCH(G$2,Miljövärden!$B$2:$H$2,0),FALSE),"Nej, saknas")</f>
        <v>Ja</v>
      </c>
      <c r="H318" t="str">
        <f>IFERROR(VLOOKUP($B318,Miljövärden!$B$3:$H$553,MATCH(H$2,Miljövärden!$B$2:$H$2,0),FALSE),"Nej, saknas")</f>
        <v>Ja</v>
      </c>
      <c r="P318" t="str">
        <f t="shared" si="9"/>
        <v>ja</v>
      </c>
      <c r="R318">
        <f t="shared" si="8"/>
        <v>274</v>
      </c>
    </row>
    <row r="319" spans="1:18" x14ac:dyDescent="0.45">
      <c r="A319" s="2" t="s">
        <v>263</v>
      </c>
      <c r="B319" s="2" t="s">
        <v>265</v>
      </c>
      <c r="C319">
        <f>IFERROR(VLOOKUP($B319,Miljövärden!$B$3:$H$553,MATCH(C$2,Miljövärden!$B$2:$H$2,0),FALSE),"Saknas")</f>
        <v>0.18915999999999999</v>
      </c>
      <c r="D319">
        <f>IFERROR(VLOOKUP($B319,Miljövärden!$B$3:$H$553,MATCH(D$2,Miljövärden!$B$2:$H$2,0),FALSE),"Saknas")</f>
        <v>14.821999999999999</v>
      </c>
      <c r="E319">
        <f>IFERROR(VLOOKUP($B319,Miljövärden!$B$3:$H$553,MATCH(E$2,Miljövärden!$B$2:$H$2,0),FALSE),"Saknas")</f>
        <v>17.1374</v>
      </c>
      <c r="F319">
        <f>IFERROR(VLOOKUP($B319,Miljövärden!$B$3:$H$553,MATCH(F$2,Miljövärden!$B$2:$H$2,0),FALSE),"Saknas")</f>
        <v>2.3725699999999999E-2</v>
      </c>
      <c r="G319" t="str">
        <f>IFERROR(VLOOKUP($B319,Miljövärden!$B$3:$H$553,MATCH(G$2,Miljövärden!$B$2:$H$2,0),FALSE),"Nej, saknas")</f>
        <v>Nej</v>
      </c>
      <c r="H319" t="str">
        <f>IFERROR(VLOOKUP($B319,Miljövärden!$B$3:$H$553,MATCH(H$2,Miljövärden!$B$2:$H$2,0),FALSE),"Nej, saknas")</f>
        <v>Ja</v>
      </c>
      <c r="P319" t="str">
        <f t="shared" si="9"/>
        <v>ja</v>
      </c>
      <c r="R319">
        <f t="shared" si="8"/>
        <v>275</v>
      </c>
    </row>
    <row r="320" spans="1:18" x14ac:dyDescent="0.45">
      <c r="A320" s="2" t="s">
        <v>263</v>
      </c>
      <c r="B320" s="2" t="s">
        <v>264</v>
      </c>
      <c r="C320">
        <f>IFERROR(VLOOKUP($B320,Miljövärden!$B$3:$H$553,MATCH(C$2,Miljövärden!$B$2:$H$2,0),FALSE),"Saknas")</f>
        <v>0.15484600000000001</v>
      </c>
      <c r="D320">
        <f>IFERROR(VLOOKUP($B320,Miljövärden!$B$3:$H$553,MATCH(D$2,Miljövärden!$B$2:$H$2,0),FALSE),"Saknas")</f>
        <v>8.0158900000000006</v>
      </c>
      <c r="E320">
        <f>IFERROR(VLOOKUP($B320,Miljövärden!$B$3:$H$553,MATCH(E$2,Miljövärden!$B$2:$H$2,0),FALSE),"Saknas")</f>
        <v>15.797599999999999</v>
      </c>
      <c r="F320">
        <f>IFERROR(VLOOKUP($B320,Miljövärden!$B$3:$H$553,MATCH(F$2,Miljövärden!$B$2:$H$2,0),FALSE),"Saknas")</f>
        <v>4.2784700000000004E-3</v>
      </c>
      <c r="G320" t="str">
        <f>IFERROR(VLOOKUP($B320,Miljövärden!$B$3:$H$553,MATCH(G$2,Miljövärden!$B$2:$H$2,0),FALSE),"Nej, saknas")</f>
        <v>Nej</v>
      </c>
      <c r="H320" t="str">
        <f>IFERROR(VLOOKUP($B320,Miljövärden!$B$3:$H$553,MATCH(H$2,Miljövärden!$B$2:$H$2,0),FALSE),"Nej, saknas")</f>
        <v>Ja</v>
      </c>
      <c r="P320" t="str">
        <f t="shared" si="9"/>
        <v>ja</v>
      </c>
      <c r="R320">
        <f t="shared" si="8"/>
        <v>276</v>
      </c>
    </row>
    <row r="321" spans="1:18" x14ac:dyDescent="0.45">
      <c r="A321" s="2" t="s">
        <v>263</v>
      </c>
      <c r="B321" s="2" t="s">
        <v>262</v>
      </c>
      <c r="C321">
        <f>IFERROR(VLOOKUP($B321,Miljövärden!$B$3:$H$553,MATCH(C$2,Miljövärden!$B$2:$H$2,0),FALSE),"Saknas")</f>
        <v>5.5099799999999997E-2</v>
      </c>
      <c r="D321">
        <f>IFERROR(VLOOKUP($B321,Miljövärden!$B$3:$H$553,MATCH(D$2,Miljövärden!$B$2:$H$2,0),FALSE),"Saknas")</f>
        <v>7.4189499999999997</v>
      </c>
      <c r="E321">
        <f>IFERROR(VLOOKUP($B321,Miljövärden!$B$3:$H$553,MATCH(E$2,Miljövärden!$B$2:$H$2,0),FALSE),"Saknas")</f>
        <v>3.7822300000000002</v>
      </c>
      <c r="F321">
        <f>IFERROR(VLOOKUP($B321,Miljövärden!$B$3:$H$553,MATCH(F$2,Miljövärden!$B$2:$H$2,0),FALSE),"Saknas")</f>
        <v>1.13224E-2</v>
      </c>
      <c r="G321" t="str">
        <f>IFERROR(VLOOKUP($B321,Miljövärden!$B$3:$H$553,MATCH(G$2,Miljövärden!$B$2:$H$2,0),FALSE),"Nej, saknas")</f>
        <v>Ja</v>
      </c>
      <c r="H321" t="str">
        <f>IFERROR(VLOOKUP($B321,Miljövärden!$B$3:$H$553,MATCH(H$2,Miljövärden!$B$2:$H$2,0),FALSE),"Nej, saknas")</f>
        <v>Ja</v>
      </c>
      <c r="P321" t="str">
        <f t="shared" si="9"/>
        <v>ja</v>
      </c>
      <c r="R321">
        <f t="shared" si="8"/>
        <v>277</v>
      </c>
    </row>
    <row r="322" spans="1:18" x14ac:dyDescent="0.45">
      <c r="A322" s="2" t="s">
        <v>258</v>
      </c>
      <c r="B322" s="2" t="s">
        <v>261</v>
      </c>
      <c r="C322">
        <f>IFERROR(VLOOKUP($B322,Miljövärden!$B$3:$H$553,MATCH(C$2,Miljövärden!$B$2:$H$2,0),FALSE),"Saknas")</f>
        <v>0.39340999999999998</v>
      </c>
      <c r="D322">
        <f>IFERROR(VLOOKUP($B322,Miljövärden!$B$3:$H$553,MATCH(D$2,Miljövärden!$B$2:$H$2,0),FALSE),"Saknas")</f>
        <v>65.859800000000007</v>
      </c>
      <c r="E322">
        <f>IFERROR(VLOOKUP($B322,Miljövärden!$B$3:$H$553,MATCH(E$2,Miljövärden!$B$2:$H$2,0),FALSE),"Saknas")</f>
        <v>19.493300000000001</v>
      </c>
      <c r="F322">
        <f>IFERROR(VLOOKUP($B322,Miljövärden!$B$3:$H$553,MATCH(F$2,Miljövärden!$B$2:$H$2,0),FALSE),"Saknas")</f>
        <v>0.17857100000000001</v>
      </c>
      <c r="G322" t="str">
        <f>IFERROR(VLOOKUP($B322,Miljövärden!$B$3:$H$553,MATCH(G$2,Miljövärden!$B$2:$H$2,0),FALSE),"Nej, saknas")</f>
        <v>Ja</v>
      </c>
      <c r="H322" t="str">
        <f>IFERROR(VLOOKUP($B322,Miljövärden!$B$3:$H$553,MATCH(H$2,Miljövärden!$B$2:$H$2,0),FALSE),"Nej, saknas")</f>
        <v>Ja</v>
      </c>
      <c r="P322" t="str">
        <f t="shared" si="9"/>
        <v>ja</v>
      </c>
      <c r="R322">
        <f t="shared" si="8"/>
        <v>278</v>
      </c>
    </row>
    <row r="323" spans="1:18" x14ac:dyDescent="0.45">
      <c r="A323" s="2" t="s">
        <v>258</v>
      </c>
      <c r="B323" s="2" t="s">
        <v>260</v>
      </c>
      <c r="C323">
        <f>IFERROR(VLOOKUP($B323,Miljövärden!$B$3:$H$553,MATCH(C$2,Miljövärden!$B$2:$H$2,0),FALSE),"Saknas")</f>
        <v>0.186443</v>
      </c>
      <c r="D323">
        <f>IFERROR(VLOOKUP($B323,Miljövärden!$B$3:$H$553,MATCH(D$2,Miljövärden!$B$2:$H$2,0),FALSE),"Saknas")</f>
        <v>6.8726599999999998</v>
      </c>
      <c r="E323">
        <f>IFERROR(VLOOKUP($B323,Miljövärden!$B$3:$H$553,MATCH(E$2,Miljövärden!$B$2:$H$2,0),FALSE),"Saknas")</f>
        <v>19.990200000000002</v>
      </c>
      <c r="F323">
        <f>IFERROR(VLOOKUP($B323,Miljövärden!$B$3:$H$553,MATCH(F$2,Miljövärden!$B$2:$H$2,0),FALSE),"Saknas")</f>
        <v>2.2442500000000002E-3</v>
      </c>
      <c r="G323" t="str">
        <f>IFERROR(VLOOKUP($B323,Miljövärden!$B$3:$H$553,MATCH(G$2,Miljövärden!$B$2:$H$2,0),FALSE),"Nej, saknas")</f>
        <v>Nej</v>
      </c>
      <c r="H323" t="str">
        <f>IFERROR(VLOOKUP($B323,Miljövärden!$B$3:$H$553,MATCH(H$2,Miljövärden!$B$2:$H$2,0),FALSE),"Nej, saknas")</f>
        <v>Ja</v>
      </c>
      <c r="P323" t="str">
        <f t="shared" si="9"/>
        <v>ja</v>
      </c>
      <c r="R323">
        <f t="shared" si="8"/>
        <v>279</v>
      </c>
    </row>
    <row r="324" spans="1:18" x14ac:dyDescent="0.45">
      <c r="A324" s="2" t="s">
        <v>258</v>
      </c>
      <c r="B324" s="2" t="s">
        <v>259</v>
      </c>
      <c r="C324">
        <f>IFERROR(VLOOKUP($B324,Miljövärden!$B$3:$H$553,MATCH(C$2,Miljövärden!$B$2:$H$2,0),FALSE),"Saknas")</f>
        <v>8.2292400000000002E-2</v>
      </c>
      <c r="D324">
        <f>IFERROR(VLOOKUP($B324,Miljövärden!$B$3:$H$553,MATCH(D$2,Miljövärden!$B$2:$H$2,0),FALSE),"Saknas")</f>
        <v>14.2164</v>
      </c>
      <c r="E324">
        <f>IFERROR(VLOOKUP($B324,Miljövärden!$B$3:$H$553,MATCH(E$2,Miljövärden!$B$2:$H$2,0),FALSE),"Saknas")</f>
        <v>10.676600000000001</v>
      </c>
      <c r="F324">
        <f>IFERROR(VLOOKUP($B324,Miljövärden!$B$3:$H$553,MATCH(F$2,Miljövärden!$B$2:$H$2,0),FALSE),"Saknas")</f>
        <v>2.1598099999999999E-2</v>
      </c>
      <c r="G324" t="str">
        <f>IFERROR(VLOOKUP($B324,Miljövärden!$B$3:$H$553,MATCH(G$2,Miljövärden!$B$2:$H$2,0),FALSE),"Nej, saknas")</f>
        <v>Ja</v>
      </c>
      <c r="H324" t="str">
        <f>IFERROR(VLOOKUP($B324,Miljövärden!$B$3:$H$553,MATCH(H$2,Miljövärden!$B$2:$H$2,0),FALSE),"Nej, saknas")</f>
        <v>Ja</v>
      </c>
      <c r="P324" t="str">
        <f t="shared" si="9"/>
        <v>ja</v>
      </c>
      <c r="R324">
        <f t="shared" ref="R324:R387" si="10">IF(ISERROR(P324),R323,IF(P324="ja",R323+1,R323))</f>
        <v>280</v>
      </c>
    </row>
    <row r="325" spans="1:18" x14ac:dyDescent="0.45">
      <c r="A325" s="2" t="s">
        <v>258</v>
      </c>
      <c r="B325" s="2" t="s">
        <v>257</v>
      </c>
      <c r="C325">
        <f>IFERROR(VLOOKUP($B325,Miljövärden!$B$3:$H$553,MATCH(C$2,Miljövärden!$B$2:$H$2,0),FALSE),"Saknas")</f>
        <v>0.12786900000000001</v>
      </c>
      <c r="D325">
        <f>IFERROR(VLOOKUP($B325,Miljövärden!$B$3:$H$553,MATCH(D$2,Miljövärden!$B$2:$H$2,0),FALSE),"Saknas")</f>
        <v>50.061100000000003</v>
      </c>
      <c r="E325">
        <f>IFERROR(VLOOKUP($B325,Miljövärden!$B$3:$H$553,MATCH(E$2,Miljövärden!$B$2:$H$2,0),FALSE),"Saknas")</f>
        <v>4.7097199999999999</v>
      </c>
      <c r="F325">
        <f>IFERROR(VLOOKUP($B325,Miljövärden!$B$3:$H$553,MATCH(F$2,Miljövärden!$B$2:$H$2,0),FALSE),"Saknas")</f>
        <v>1.7233100000000001E-2</v>
      </c>
      <c r="G325" t="str">
        <f>IFERROR(VLOOKUP($B325,Miljövärden!$B$3:$H$553,MATCH(G$2,Miljövärden!$B$2:$H$2,0),FALSE),"Nej, saknas")</f>
        <v>Ja</v>
      </c>
      <c r="H325" t="str">
        <f>IFERROR(VLOOKUP($B325,Miljövärden!$B$3:$H$553,MATCH(H$2,Miljövärden!$B$2:$H$2,0),FALSE),"Nej, saknas")</f>
        <v>Ja</v>
      </c>
      <c r="P325" t="str">
        <f t="shared" ref="P325:P388" si="11">IF(K325="x","nej",
IF(L325="x","ja",
IF(H325="ja","ja","nej")))</f>
        <v>ja</v>
      </c>
      <c r="R325">
        <f t="shared" si="10"/>
        <v>281</v>
      </c>
    </row>
    <row r="326" spans="1:18" x14ac:dyDescent="0.45">
      <c r="A326" s="2" t="s">
        <v>255</v>
      </c>
      <c r="B326" s="2" t="s">
        <v>256</v>
      </c>
      <c r="C326">
        <f>IFERROR(VLOOKUP($B326,Miljövärden!$B$3:$H$553,MATCH(C$2,Miljövärden!$B$2:$H$2,0),FALSE),"Saknas")</f>
        <v>0.12223299999999999</v>
      </c>
      <c r="D326">
        <f>IFERROR(VLOOKUP($B326,Miljövärden!$B$3:$H$553,MATCH(D$2,Miljövärden!$B$2:$H$2,0),FALSE),"Saknas")</f>
        <v>11.102399999999999</v>
      </c>
      <c r="E326">
        <f>IFERROR(VLOOKUP($B326,Miljövärden!$B$3:$H$553,MATCH(E$2,Miljövärden!$B$2:$H$2,0),FALSE),"Saknas")</f>
        <v>12.4251</v>
      </c>
      <c r="F326">
        <f>IFERROR(VLOOKUP($B326,Miljövärden!$B$3:$H$553,MATCH(F$2,Miljövärden!$B$2:$H$2,0),FALSE),"Saknas")</f>
        <v>1.4141300000000001E-2</v>
      </c>
      <c r="G326" t="str">
        <f>IFERROR(VLOOKUP($B326,Miljövärden!$B$3:$H$553,MATCH(G$2,Miljövärden!$B$2:$H$2,0),FALSE),"Nej, saknas")</f>
        <v>Ja</v>
      </c>
      <c r="H326" t="str">
        <f>IFERROR(VLOOKUP($B326,Miljövärden!$B$3:$H$553,MATCH(H$2,Miljövärden!$B$2:$H$2,0),FALSE),"Nej, saknas")</f>
        <v>Ja</v>
      </c>
      <c r="P326" t="str">
        <f t="shared" si="11"/>
        <v>ja</v>
      </c>
      <c r="R326">
        <f t="shared" si="10"/>
        <v>282</v>
      </c>
    </row>
    <row r="327" spans="1:18" x14ac:dyDescent="0.45">
      <c r="A327" s="2" t="s">
        <v>255</v>
      </c>
      <c r="B327" s="2" t="s">
        <v>254</v>
      </c>
      <c r="C327">
        <f>IFERROR(VLOOKUP($B327,Miljövärden!$B$3:$H$553,MATCH(C$2,Miljövärden!$B$2:$H$2,0),FALSE),"Saknas")</f>
        <v>8.8164699999999999E-2</v>
      </c>
      <c r="D327">
        <f>IFERROR(VLOOKUP($B327,Miljövärden!$B$3:$H$553,MATCH(D$2,Miljövärden!$B$2:$H$2,0),FALSE),"Saknas")</f>
        <v>9.1612200000000001</v>
      </c>
      <c r="E327">
        <f>IFERROR(VLOOKUP($B327,Miljövärden!$B$3:$H$553,MATCH(E$2,Miljövärden!$B$2:$H$2,0),FALSE),"Saknas")</f>
        <v>8.7637099999999997</v>
      </c>
      <c r="F327">
        <f>IFERROR(VLOOKUP($B327,Miljövärden!$B$3:$H$553,MATCH(F$2,Miljövärden!$B$2:$H$2,0),FALSE),"Saknas")</f>
        <v>1.17608E-2</v>
      </c>
      <c r="G327" t="str">
        <f>IFERROR(VLOOKUP($B327,Miljövärden!$B$3:$H$553,MATCH(G$2,Miljövärden!$B$2:$H$2,0),FALSE),"Nej, saknas")</f>
        <v>Ja</v>
      </c>
      <c r="H327" t="str">
        <f>IFERROR(VLOOKUP($B327,Miljövärden!$B$3:$H$553,MATCH(H$2,Miljövärden!$B$2:$H$2,0),FALSE),"Nej, saknas")</f>
        <v>Ja</v>
      </c>
      <c r="P327" t="str">
        <f t="shared" si="11"/>
        <v>ja</v>
      </c>
      <c r="R327">
        <f t="shared" si="10"/>
        <v>283</v>
      </c>
    </row>
    <row r="328" spans="1:18" x14ac:dyDescent="0.45">
      <c r="A328" s="2" t="s">
        <v>253</v>
      </c>
      <c r="B328" s="2" t="s">
        <v>252</v>
      </c>
      <c r="C328">
        <f>IFERROR(VLOOKUP($B328,Miljövärden!$B$3:$H$553,MATCH(C$2,Miljövärden!$B$2:$H$2,0),FALSE),"Saknas")</f>
        <v>3.9135099999999999E-2</v>
      </c>
      <c r="D328">
        <f>IFERROR(VLOOKUP($B328,Miljövärden!$B$3:$H$553,MATCH(D$2,Miljövärden!$B$2:$H$2,0),FALSE),"Saknas")</f>
        <v>5.3198699999999999</v>
      </c>
      <c r="E328">
        <f>IFERROR(VLOOKUP($B328,Miljövärden!$B$3:$H$553,MATCH(E$2,Miljövärden!$B$2:$H$2,0),FALSE),"Saknas")</f>
        <v>8.9304000000000006</v>
      </c>
      <c r="F328">
        <f>IFERROR(VLOOKUP($B328,Miljövärden!$B$3:$H$553,MATCH(F$2,Miljövärden!$B$2:$H$2,0),FALSE),"Saknas")</f>
        <v>6.5808999999999996E-4</v>
      </c>
      <c r="G328" t="str">
        <f>IFERROR(VLOOKUP($B328,Miljövärden!$B$3:$H$553,MATCH(G$2,Miljövärden!$B$2:$H$2,0),FALSE),"Nej, saknas")</f>
        <v>Ja</v>
      </c>
      <c r="H328" t="str">
        <f>IFERROR(VLOOKUP($B328,Miljövärden!$B$3:$H$553,MATCH(H$2,Miljövärden!$B$2:$H$2,0),FALSE),"Nej, saknas")</f>
        <v>Ja</v>
      </c>
      <c r="P328" t="str">
        <f t="shared" si="11"/>
        <v>ja</v>
      </c>
      <c r="R328">
        <f t="shared" si="10"/>
        <v>284</v>
      </c>
    </row>
    <row r="329" spans="1:18" x14ac:dyDescent="0.45">
      <c r="A329" s="2" t="s">
        <v>249</v>
      </c>
      <c r="B329" s="2" t="s">
        <v>251</v>
      </c>
      <c r="C329">
        <f>IFERROR(VLOOKUP($B329,Miljövärden!$B$3:$H$553,MATCH(C$2,Miljövärden!$B$2:$H$2,0),FALSE),"Saknas")</f>
        <v>0.19287299999999999</v>
      </c>
      <c r="D329">
        <f>IFERROR(VLOOKUP($B329,Miljövärden!$B$3:$H$553,MATCH(D$2,Miljövärden!$B$2:$H$2,0),FALSE),"Saknas")</f>
        <v>8.4006799999999995</v>
      </c>
      <c r="E329">
        <f>IFERROR(VLOOKUP($B329,Miljövärden!$B$3:$H$553,MATCH(E$2,Miljövärden!$B$2:$H$2,0),FALSE),"Saknas")</f>
        <v>18.707999999999998</v>
      </c>
      <c r="F329">
        <f>IFERROR(VLOOKUP($B329,Miljövärden!$B$3:$H$553,MATCH(F$2,Miljövärden!$B$2:$H$2,0),FALSE),"Saknas")</f>
        <v>8.4064299999999995E-3</v>
      </c>
      <c r="G329" t="str">
        <f>IFERROR(VLOOKUP($B329,Miljövärden!$B$3:$H$553,MATCH(G$2,Miljövärden!$B$2:$H$2,0),FALSE),"Nej, saknas")</f>
        <v>Ja</v>
      </c>
      <c r="H329" t="str">
        <f>IFERROR(VLOOKUP($B329,Miljövärden!$B$3:$H$553,MATCH(H$2,Miljövärden!$B$2:$H$2,0),FALSE),"Nej, saknas")</f>
        <v>Ja</v>
      </c>
      <c r="P329" t="str">
        <f t="shared" si="11"/>
        <v>ja</v>
      </c>
      <c r="R329">
        <f t="shared" si="10"/>
        <v>285</v>
      </c>
    </row>
    <row r="330" spans="1:18" x14ac:dyDescent="0.45">
      <c r="A330" s="2" t="s">
        <v>249</v>
      </c>
      <c r="B330" s="2" t="s">
        <v>250</v>
      </c>
      <c r="C330">
        <f>IFERROR(VLOOKUP($B330,Miljövärden!$B$3:$H$553,MATCH(C$2,Miljövärden!$B$2:$H$2,0),FALSE),"Saknas")</f>
        <v>2.47887E-2</v>
      </c>
      <c r="D330">
        <f>IFERROR(VLOOKUP($B330,Miljövärden!$B$3:$H$553,MATCH(D$2,Miljövärden!$B$2:$H$2,0),FALSE),"Saknas")</f>
        <v>0.97631800000000002</v>
      </c>
      <c r="E330">
        <f>IFERROR(VLOOKUP($B330,Miljövärden!$B$3:$H$553,MATCH(E$2,Miljövärden!$B$2:$H$2,0),FALSE),"Saknas")</f>
        <v>2.40001</v>
      </c>
      <c r="F330">
        <f>IFERROR(VLOOKUP($B330,Miljövärden!$B$3:$H$553,MATCH(F$2,Miljövärden!$B$2:$H$2,0),FALSE),"Saknas")</f>
        <v>0</v>
      </c>
      <c r="G330" t="str">
        <f>IFERROR(VLOOKUP($B330,Miljövärden!$B$3:$H$553,MATCH(G$2,Miljövärden!$B$2:$H$2,0),FALSE),"Nej, saknas")</f>
        <v>Ja</v>
      </c>
      <c r="H330" t="str">
        <f>IFERROR(VLOOKUP($B330,Miljövärden!$B$3:$H$553,MATCH(H$2,Miljövärden!$B$2:$H$2,0),FALSE),"Nej, saknas")</f>
        <v>Ja</v>
      </c>
      <c r="P330" t="str">
        <f t="shared" si="11"/>
        <v>ja</v>
      </c>
      <c r="R330">
        <f t="shared" si="10"/>
        <v>286</v>
      </c>
    </row>
    <row r="331" spans="1:18" x14ac:dyDescent="0.45">
      <c r="A331" s="2" t="s">
        <v>249</v>
      </c>
      <c r="B331" s="2" t="s">
        <v>248</v>
      </c>
      <c r="C331">
        <f>IFERROR(VLOOKUP($B331,Miljövärden!$B$3:$H$553,MATCH(C$2,Miljövärden!$B$2:$H$2,0),FALSE),"Saknas")</f>
        <v>0.20250399999999999</v>
      </c>
      <c r="D331">
        <f>IFERROR(VLOOKUP($B331,Miljövärden!$B$3:$H$553,MATCH(D$2,Miljövärden!$B$2:$H$2,0),FALSE),"Saknas")</f>
        <v>17.572700000000001</v>
      </c>
      <c r="E331">
        <f>IFERROR(VLOOKUP($B331,Miljövärden!$B$3:$H$553,MATCH(E$2,Miljövärden!$B$2:$H$2,0),FALSE),"Saknas")</f>
        <v>17.731200000000001</v>
      </c>
      <c r="F331">
        <f>IFERROR(VLOOKUP($B331,Miljövärden!$B$3:$H$553,MATCH(F$2,Miljövärden!$B$2:$H$2,0),FALSE),"Saknas")</f>
        <v>3.6110900000000001E-2</v>
      </c>
      <c r="G331" t="str">
        <f>IFERROR(VLOOKUP($B331,Miljövärden!$B$3:$H$553,MATCH(G$2,Miljövärden!$B$2:$H$2,0),FALSE),"Nej, saknas")</f>
        <v>Ja</v>
      </c>
      <c r="H331" t="str">
        <f>IFERROR(VLOOKUP($B331,Miljövärden!$B$3:$H$553,MATCH(H$2,Miljövärden!$B$2:$H$2,0),FALSE),"Nej, saknas")</f>
        <v>Ja</v>
      </c>
      <c r="P331" t="str">
        <f t="shared" si="11"/>
        <v>ja</v>
      </c>
      <c r="R331">
        <f t="shared" si="10"/>
        <v>287</v>
      </c>
    </row>
    <row r="332" spans="1:18" x14ac:dyDescent="0.45">
      <c r="A332" s="2" t="s">
        <v>243</v>
      </c>
      <c r="B332" s="2" t="s">
        <v>247</v>
      </c>
      <c r="C332">
        <f>IFERROR(VLOOKUP($B332,Miljövärden!$B$3:$H$553,MATCH(C$2,Miljövärden!$B$2:$H$2,0),FALSE),"Saknas")</f>
        <v>0.21942300000000001</v>
      </c>
      <c r="D332">
        <f>IFERROR(VLOOKUP($B332,Miljövärden!$B$3:$H$553,MATCH(D$2,Miljövärden!$B$2:$H$2,0),FALSE),"Saknas")</f>
        <v>17.8368</v>
      </c>
      <c r="E332">
        <f>IFERROR(VLOOKUP($B332,Miljövärden!$B$3:$H$553,MATCH(E$2,Miljövärden!$B$2:$H$2,0),FALSE),"Saknas")</f>
        <v>11.391400000000001</v>
      </c>
      <c r="F332">
        <f>IFERROR(VLOOKUP($B332,Miljövärden!$B$3:$H$553,MATCH(F$2,Miljövärden!$B$2:$H$2,0),FALSE),"Saknas")</f>
        <v>2.5107999999999998E-2</v>
      </c>
      <c r="G332" t="str">
        <f>IFERROR(VLOOKUP($B332,Miljövärden!$B$3:$H$553,MATCH(G$2,Miljövärden!$B$2:$H$2,0),FALSE),"Nej, saknas")</f>
        <v>Nej</v>
      </c>
      <c r="H332" t="str">
        <f>IFERROR(VLOOKUP($B332,Miljövärden!$B$3:$H$553,MATCH(H$2,Miljövärden!$B$2:$H$2,0),FALSE),"Nej, saknas")</f>
        <v>Ja</v>
      </c>
      <c r="P332" t="str">
        <f t="shared" si="11"/>
        <v>ja</v>
      </c>
      <c r="R332">
        <f t="shared" si="10"/>
        <v>288</v>
      </c>
    </row>
    <row r="333" spans="1:18" x14ac:dyDescent="0.45">
      <c r="A333" s="2" t="s">
        <v>243</v>
      </c>
      <c r="B333" s="2" t="s">
        <v>246</v>
      </c>
      <c r="C333">
        <f>IFERROR(VLOOKUP($B333,Miljövärden!$B$3:$H$553,MATCH(C$2,Miljövärden!$B$2:$H$2,0),FALSE),"Saknas")</f>
        <v>0.62761</v>
      </c>
      <c r="D333">
        <f>IFERROR(VLOOKUP($B333,Miljövärden!$B$3:$H$553,MATCH(D$2,Miljövärden!$B$2:$H$2,0),FALSE),"Saknas")</f>
        <v>9.2545199999999994</v>
      </c>
      <c r="E333">
        <f>IFERROR(VLOOKUP($B333,Miljövärden!$B$3:$H$553,MATCH(E$2,Miljövärden!$B$2:$H$2,0),FALSE),"Saknas")</f>
        <v>23.377300000000002</v>
      </c>
      <c r="F333">
        <f>IFERROR(VLOOKUP($B333,Miljövärden!$B$3:$H$553,MATCH(F$2,Miljövärden!$B$2:$H$2,0),FALSE),"Saknas")</f>
        <v>6.7086100000000003E-3</v>
      </c>
      <c r="G333" t="str">
        <f>IFERROR(VLOOKUP($B333,Miljövärden!$B$3:$H$553,MATCH(G$2,Miljövärden!$B$2:$H$2,0),FALSE),"Nej, saknas")</f>
        <v>Nej</v>
      </c>
      <c r="H333" t="str">
        <f>IFERROR(VLOOKUP($B333,Miljövärden!$B$3:$H$553,MATCH(H$2,Miljövärden!$B$2:$H$2,0),FALSE),"Nej, saknas")</f>
        <v>Ja</v>
      </c>
      <c r="P333" t="str">
        <f t="shared" si="11"/>
        <v>ja</v>
      </c>
      <c r="R333">
        <f t="shared" si="10"/>
        <v>289</v>
      </c>
    </row>
    <row r="334" spans="1:18" x14ac:dyDescent="0.45">
      <c r="A334" s="2" t="s">
        <v>243</v>
      </c>
      <c r="B334" s="2" t="s">
        <v>245</v>
      </c>
      <c r="C334">
        <f>IFERROR(VLOOKUP($B334,Miljövärden!$B$3:$H$553,MATCH(C$2,Miljövärden!$B$2:$H$2,0),FALSE),"Saknas")</f>
        <v>0.14380599999999999</v>
      </c>
      <c r="D334">
        <f>IFERROR(VLOOKUP($B334,Miljövärden!$B$3:$H$553,MATCH(D$2,Miljövärden!$B$2:$H$2,0),FALSE),"Saknas")</f>
        <v>20.261600000000001</v>
      </c>
      <c r="E334">
        <f>IFERROR(VLOOKUP($B334,Miljövärden!$B$3:$H$553,MATCH(E$2,Miljövärden!$B$2:$H$2,0),FALSE),"Saknas")</f>
        <v>8.9784699999999997</v>
      </c>
      <c r="F334">
        <f>IFERROR(VLOOKUP($B334,Miljövärden!$B$3:$H$553,MATCH(F$2,Miljövärden!$B$2:$H$2,0),FALSE),"Saknas")</f>
        <v>2.6553299999999998E-2</v>
      </c>
      <c r="G334" t="str">
        <f>IFERROR(VLOOKUP($B334,Miljövärden!$B$3:$H$553,MATCH(G$2,Miljövärden!$B$2:$H$2,0),FALSE),"Nej, saknas")</f>
        <v>Nej</v>
      </c>
      <c r="H334" t="str">
        <f>IFERROR(VLOOKUP($B334,Miljövärden!$B$3:$H$553,MATCH(H$2,Miljövärden!$B$2:$H$2,0),FALSE),"Nej, saknas")</f>
        <v>Ja</v>
      </c>
      <c r="P334" t="str">
        <f t="shared" si="11"/>
        <v>ja</v>
      </c>
      <c r="R334">
        <f t="shared" si="10"/>
        <v>290</v>
      </c>
    </row>
    <row r="335" spans="1:18" x14ac:dyDescent="0.45">
      <c r="A335" s="2" t="s">
        <v>243</v>
      </c>
      <c r="B335" s="2" t="s">
        <v>244</v>
      </c>
      <c r="C335">
        <f>IFERROR(VLOOKUP($B335,Miljövärden!$B$3:$H$553,MATCH(C$2,Miljövärden!$B$2:$H$2,0),FALSE),"Saknas")</f>
        <v>0.17647599999999999</v>
      </c>
      <c r="D335">
        <f>IFERROR(VLOOKUP($B335,Miljövärden!$B$3:$H$553,MATCH(D$2,Miljövärden!$B$2:$H$2,0),FALSE),"Saknas")</f>
        <v>11.863</v>
      </c>
      <c r="E335">
        <f>IFERROR(VLOOKUP($B335,Miljövärden!$B$3:$H$553,MATCH(E$2,Miljövärden!$B$2:$H$2,0),FALSE),"Saknas")</f>
        <v>16.0245</v>
      </c>
      <c r="F335">
        <f>IFERROR(VLOOKUP($B335,Miljövärden!$B$3:$H$553,MATCH(F$2,Miljövärden!$B$2:$H$2,0),FALSE),"Saknas")</f>
        <v>1.41596E-2</v>
      </c>
      <c r="G335" t="str">
        <f>IFERROR(VLOOKUP($B335,Miljövärden!$B$3:$H$553,MATCH(G$2,Miljövärden!$B$2:$H$2,0),FALSE),"Nej, saknas")</f>
        <v>Nej</v>
      </c>
      <c r="H335" t="str">
        <f>IFERROR(VLOOKUP($B335,Miljövärden!$B$3:$H$553,MATCH(H$2,Miljövärden!$B$2:$H$2,0),FALSE),"Nej, saknas")</f>
        <v>Ja</v>
      </c>
      <c r="P335" t="str">
        <f t="shared" si="11"/>
        <v>ja</v>
      </c>
      <c r="R335">
        <f t="shared" si="10"/>
        <v>291</v>
      </c>
    </row>
    <row r="336" spans="1:18" x14ac:dyDescent="0.45">
      <c r="A336" s="2" t="s">
        <v>243</v>
      </c>
      <c r="B336" s="2" t="s">
        <v>133</v>
      </c>
      <c r="C336">
        <f>IFERROR(VLOOKUP($B336,Miljövärden!$B$3:$H$553,MATCH(C$2,Miljövärden!$B$2:$H$2,0),FALSE),"Saknas")</f>
        <v>9.6082100000000004E-2</v>
      </c>
      <c r="D336">
        <f>IFERROR(VLOOKUP($B336,Miljövärden!$B$3:$H$553,MATCH(D$2,Miljövärden!$B$2:$H$2,0),FALSE),"Saknas")</f>
        <v>12.380699999999999</v>
      </c>
      <c r="E336">
        <f>IFERROR(VLOOKUP($B336,Miljövärden!$B$3:$H$553,MATCH(E$2,Miljövärden!$B$2:$H$2,0),FALSE),"Saknas")</f>
        <v>9.5639299999999992</v>
      </c>
      <c r="F336">
        <f>IFERROR(VLOOKUP($B336,Miljövärden!$B$3:$H$553,MATCH(F$2,Miljövärden!$B$2:$H$2,0),FALSE),"Saknas")</f>
        <v>8.6654799999999997E-3</v>
      </c>
      <c r="G336" t="str">
        <f>IFERROR(VLOOKUP($B336,Miljövärden!$B$3:$H$553,MATCH(G$2,Miljövärden!$B$2:$H$2,0),FALSE),"Nej, saknas")</f>
        <v>Nej</v>
      </c>
      <c r="H336" t="str">
        <f>IFERROR(VLOOKUP($B336,Miljövärden!$B$3:$H$553,MATCH(H$2,Miljövärden!$B$2:$H$2,0),FALSE),"Nej, saknas")</f>
        <v>Ja</v>
      </c>
      <c r="P336" t="str">
        <f t="shared" si="11"/>
        <v>ja</v>
      </c>
      <c r="R336">
        <f t="shared" si="10"/>
        <v>292</v>
      </c>
    </row>
    <row r="337" spans="1:18" x14ac:dyDescent="0.45">
      <c r="A337" s="2" t="s">
        <v>232</v>
      </c>
      <c r="B337" s="2" t="s">
        <v>242</v>
      </c>
      <c r="C337">
        <f>IFERROR(VLOOKUP($B337,Miljövärden!$B$3:$H$553,MATCH(C$2,Miljövärden!$B$2:$H$2,0),FALSE),"Saknas")</f>
        <v>0.15146899999999999</v>
      </c>
      <c r="D337">
        <f>IFERROR(VLOOKUP($B337,Miljövärden!$B$3:$H$553,MATCH(D$2,Miljövärden!$B$2:$H$2,0),FALSE),"Saknas")</f>
        <v>17.553699999999999</v>
      </c>
      <c r="E337">
        <f>IFERROR(VLOOKUP($B337,Miljövärden!$B$3:$H$553,MATCH(E$2,Miljövärden!$B$2:$H$2,0),FALSE),"Saknas")</f>
        <v>8.2407199999999996</v>
      </c>
      <c r="F337">
        <f>IFERROR(VLOOKUP($B337,Miljövärden!$B$3:$H$553,MATCH(F$2,Miljövärden!$B$2:$H$2,0),FALSE),"Saknas")</f>
        <v>3.8375399999999997E-2</v>
      </c>
      <c r="G337" t="str">
        <f>IFERROR(VLOOKUP($B337,Miljövärden!$B$3:$H$553,MATCH(G$2,Miljövärden!$B$2:$H$2,0),FALSE),"Nej, saknas")</f>
        <v>Ja</v>
      </c>
      <c r="H337" t="str">
        <f>IFERROR(VLOOKUP($B337,Miljövärden!$B$3:$H$553,MATCH(H$2,Miljövärden!$B$2:$H$2,0),FALSE),"Nej, saknas")</f>
        <v>Ja</v>
      </c>
      <c r="P337" t="str">
        <f t="shared" si="11"/>
        <v>ja</v>
      </c>
      <c r="R337">
        <f t="shared" si="10"/>
        <v>293</v>
      </c>
    </row>
    <row r="338" spans="1:18" x14ac:dyDescent="0.45">
      <c r="A338" s="2" t="s">
        <v>232</v>
      </c>
      <c r="B338" s="2" t="s">
        <v>241</v>
      </c>
      <c r="C338">
        <f>IFERROR(VLOOKUP($B338,Miljövärden!$B$3:$H$553,MATCH(C$2,Miljövärden!$B$2:$H$2,0),FALSE),"Saknas")</f>
        <v>6.4058500000000004E-2</v>
      </c>
      <c r="D338">
        <f>IFERROR(VLOOKUP($B338,Miljövärden!$B$3:$H$553,MATCH(D$2,Miljövärden!$B$2:$H$2,0),FALSE),"Saknas")</f>
        <v>3.5391900000000001</v>
      </c>
      <c r="E338">
        <f>IFERROR(VLOOKUP($B338,Miljövärden!$B$3:$H$553,MATCH(E$2,Miljövärden!$B$2:$H$2,0),FALSE),"Saknas")</f>
        <v>5.8372200000000003</v>
      </c>
      <c r="F338">
        <f>IFERROR(VLOOKUP($B338,Miljövärden!$B$3:$H$553,MATCH(F$2,Miljövärden!$B$2:$H$2,0),FALSE),"Saknas")</f>
        <v>0</v>
      </c>
      <c r="G338" t="str">
        <f>IFERROR(VLOOKUP($B338,Miljövärden!$B$3:$H$553,MATCH(G$2,Miljövärden!$B$2:$H$2,0),FALSE),"Nej, saknas")</f>
        <v>Ja</v>
      </c>
      <c r="H338" t="str">
        <f>IFERROR(VLOOKUP($B338,Miljövärden!$B$3:$H$553,MATCH(H$2,Miljövärden!$B$2:$H$2,0),FALSE),"Nej, saknas")</f>
        <v>Ja</v>
      </c>
      <c r="P338" t="str">
        <f t="shared" si="11"/>
        <v>ja</v>
      </c>
      <c r="R338">
        <f t="shared" si="10"/>
        <v>294</v>
      </c>
    </row>
    <row r="339" spans="1:18" x14ac:dyDescent="0.45">
      <c r="A339" s="2" t="s">
        <v>232</v>
      </c>
      <c r="B339" s="2" t="s">
        <v>240</v>
      </c>
      <c r="C339">
        <f>IFERROR(VLOOKUP($B339,Miljövärden!$B$3:$H$553,MATCH(C$2,Miljövärden!$B$2:$H$2,0),FALSE),"Saknas")</f>
        <v>0.11224099999999999</v>
      </c>
      <c r="D339">
        <f>IFERROR(VLOOKUP($B339,Miljövärden!$B$3:$H$553,MATCH(D$2,Miljövärden!$B$2:$H$2,0),FALSE),"Saknas")</f>
        <v>3.6102599999999998</v>
      </c>
      <c r="E339">
        <f>IFERROR(VLOOKUP($B339,Miljövärden!$B$3:$H$553,MATCH(E$2,Miljövärden!$B$2:$H$2,0),FALSE),"Saknas")</f>
        <v>8.9222900000000003</v>
      </c>
      <c r="F339">
        <f>IFERROR(VLOOKUP($B339,Miljövärden!$B$3:$H$553,MATCH(F$2,Miljövärden!$B$2:$H$2,0),FALSE),"Saknas")</f>
        <v>9.4631700000000001E-4</v>
      </c>
      <c r="G339" t="str">
        <f>IFERROR(VLOOKUP($B339,Miljövärden!$B$3:$H$553,MATCH(G$2,Miljövärden!$B$2:$H$2,0),FALSE),"Nej, saknas")</f>
        <v>Ja</v>
      </c>
      <c r="H339" t="str">
        <f>IFERROR(VLOOKUP($B339,Miljövärden!$B$3:$H$553,MATCH(H$2,Miljövärden!$B$2:$H$2,0),FALSE),"Nej, saknas")</f>
        <v>Ja</v>
      </c>
      <c r="P339" t="str">
        <f t="shared" si="11"/>
        <v>ja</v>
      </c>
      <c r="R339">
        <f t="shared" si="10"/>
        <v>295</v>
      </c>
    </row>
    <row r="340" spans="1:18" x14ac:dyDescent="0.45">
      <c r="A340" s="2" t="s">
        <v>232</v>
      </c>
      <c r="B340" s="2" t="s">
        <v>239</v>
      </c>
      <c r="C340">
        <f>IFERROR(VLOOKUP($B340,Miljövärden!$B$3:$H$553,MATCH(C$2,Miljövärden!$B$2:$H$2,0),FALSE),"Saknas")</f>
        <v>0.20086799999999999</v>
      </c>
      <c r="D340">
        <f>IFERROR(VLOOKUP($B340,Miljövärden!$B$3:$H$553,MATCH(D$2,Miljövärden!$B$2:$H$2,0),FALSE),"Saknas")</f>
        <v>26.439</v>
      </c>
      <c r="E340">
        <f>IFERROR(VLOOKUP($B340,Miljövärden!$B$3:$H$553,MATCH(E$2,Miljövärden!$B$2:$H$2,0),FALSE),"Saknas")</f>
        <v>11.8796</v>
      </c>
      <c r="F340">
        <f>IFERROR(VLOOKUP($B340,Miljövärden!$B$3:$H$553,MATCH(F$2,Miljövärden!$B$2:$H$2,0),FALSE),"Saknas")</f>
        <v>4.8994799999999998E-2</v>
      </c>
      <c r="G340" t="str">
        <f>IFERROR(VLOOKUP($B340,Miljövärden!$B$3:$H$553,MATCH(G$2,Miljövärden!$B$2:$H$2,0),FALSE),"Nej, saknas")</f>
        <v>Ja</v>
      </c>
      <c r="H340" t="str">
        <f>IFERROR(VLOOKUP($B340,Miljövärden!$B$3:$H$553,MATCH(H$2,Miljövärden!$B$2:$H$2,0),FALSE),"Nej, saknas")</f>
        <v>Ja</v>
      </c>
      <c r="P340" t="str">
        <f t="shared" si="11"/>
        <v>ja</v>
      </c>
      <c r="R340">
        <f t="shared" si="10"/>
        <v>296</v>
      </c>
    </row>
    <row r="341" spans="1:18" x14ac:dyDescent="0.45">
      <c r="A341" s="2" t="s">
        <v>232</v>
      </c>
      <c r="B341" s="2" t="s">
        <v>238</v>
      </c>
      <c r="C341">
        <f>IFERROR(VLOOKUP($B341,Miljövärden!$B$3:$H$553,MATCH(C$2,Miljövärden!$B$2:$H$2,0),FALSE),"Saknas")</f>
        <v>5.1315800000000002E-2</v>
      </c>
      <c r="D341">
        <f>IFERROR(VLOOKUP($B341,Miljövärden!$B$3:$H$553,MATCH(D$2,Miljövärden!$B$2:$H$2,0),FALSE),"Saknas")</f>
        <v>8.9736600000000006</v>
      </c>
      <c r="E341">
        <f>IFERROR(VLOOKUP($B341,Miljövärden!$B$3:$H$553,MATCH(E$2,Miljövärden!$B$2:$H$2,0),FALSE),"Saknas")</f>
        <v>6.8445</v>
      </c>
      <c r="F341">
        <f>IFERROR(VLOOKUP($B341,Miljövärden!$B$3:$H$553,MATCH(F$2,Miljövärden!$B$2:$H$2,0),FALSE),"Saknas")</f>
        <v>1.5974700000000001E-2</v>
      </c>
      <c r="G341" t="str">
        <f>IFERROR(VLOOKUP($B341,Miljövärden!$B$3:$H$553,MATCH(G$2,Miljövärden!$B$2:$H$2,0),FALSE),"Nej, saknas")</f>
        <v>Ja</v>
      </c>
      <c r="H341" t="str">
        <f>IFERROR(VLOOKUP($B341,Miljövärden!$B$3:$H$553,MATCH(H$2,Miljövärden!$B$2:$H$2,0),FALSE),"Nej, saknas")</f>
        <v>Ja</v>
      </c>
      <c r="P341" t="str">
        <f t="shared" si="11"/>
        <v>ja</v>
      </c>
      <c r="R341">
        <f t="shared" si="10"/>
        <v>297</v>
      </c>
    </row>
    <row r="342" spans="1:18" x14ac:dyDescent="0.45">
      <c r="A342" s="2" t="s">
        <v>232</v>
      </c>
      <c r="B342" s="2" t="s">
        <v>237</v>
      </c>
      <c r="C342">
        <f>IFERROR(VLOOKUP($B342,Miljövärden!$B$3:$H$553,MATCH(C$2,Miljövärden!$B$2:$H$2,0),FALSE),"Saknas")</f>
        <v>7.0700299999999994E-2</v>
      </c>
      <c r="D342">
        <f>IFERROR(VLOOKUP($B342,Miljövärden!$B$3:$H$553,MATCH(D$2,Miljövärden!$B$2:$H$2,0),FALSE),"Saknas")</f>
        <v>11.1981</v>
      </c>
      <c r="E342">
        <f>IFERROR(VLOOKUP($B342,Miljövärden!$B$3:$H$553,MATCH(E$2,Miljövärden!$B$2:$H$2,0),FALSE),"Saknas")</f>
        <v>4.2912100000000004</v>
      </c>
      <c r="F342">
        <f>IFERROR(VLOOKUP($B342,Miljövärden!$B$3:$H$553,MATCH(F$2,Miljövärden!$B$2:$H$2,0),FALSE),"Saknas")</f>
        <v>4.1597099999999998E-2</v>
      </c>
      <c r="G342" t="str">
        <f>IFERROR(VLOOKUP($B342,Miljövärden!$B$3:$H$553,MATCH(G$2,Miljövärden!$B$2:$H$2,0),FALSE),"Nej, saknas")</f>
        <v>Ja</v>
      </c>
      <c r="H342" t="str">
        <f>IFERROR(VLOOKUP($B342,Miljövärden!$B$3:$H$553,MATCH(H$2,Miljövärden!$B$2:$H$2,0),FALSE),"Nej, saknas")</f>
        <v>Ja</v>
      </c>
      <c r="P342" t="str">
        <f t="shared" si="11"/>
        <v>ja</v>
      </c>
      <c r="R342">
        <f t="shared" si="10"/>
        <v>298</v>
      </c>
    </row>
    <row r="343" spans="1:18" x14ac:dyDescent="0.45">
      <c r="A343" s="2" t="s">
        <v>232</v>
      </c>
      <c r="B343" s="2" t="s">
        <v>236</v>
      </c>
      <c r="C343">
        <f>IFERROR(VLOOKUP($B343,Miljövärden!$B$3:$H$553,MATCH(C$2,Miljövärden!$B$2:$H$2,0),FALSE),"Saknas")</f>
        <v>8.8584200000000002E-2</v>
      </c>
      <c r="D343">
        <f>IFERROR(VLOOKUP($B343,Miljövärden!$B$3:$H$553,MATCH(D$2,Miljövärden!$B$2:$H$2,0),FALSE),"Saknas")</f>
        <v>2.2569900000000001</v>
      </c>
      <c r="E343">
        <f>IFERROR(VLOOKUP($B343,Miljövärden!$B$3:$H$553,MATCH(E$2,Miljövärden!$B$2:$H$2,0),FALSE),"Saknas")</f>
        <v>4.52895</v>
      </c>
      <c r="F343">
        <f>IFERROR(VLOOKUP($B343,Miljövärden!$B$3:$H$553,MATCH(F$2,Miljövärden!$B$2:$H$2,0),FALSE),"Saknas")</f>
        <v>3.7757899999999998E-3</v>
      </c>
      <c r="G343" t="str">
        <f>IFERROR(VLOOKUP($B343,Miljövärden!$B$3:$H$553,MATCH(G$2,Miljövärden!$B$2:$H$2,0),FALSE),"Nej, saknas")</f>
        <v>Ja</v>
      </c>
      <c r="H343" t="str">
        <f>IFERROR(VLOOKUP($B343,Miljövärden!$B$3:$H$553,MATCH(H$2,Miljövärden!$B$2:$H$2,0),FALSE),"Nej, saknas")</f>
        <v>Ja</v>
      </c>
      <c r="P343" t="str">
        <f t="shared" si="11"/>
        <v>ja</v>
      </c>
      <c r="R343">
        <f t="shared" si="10"/>
        <v>299</v>
      </c>
    </row>
    <row r="344" spans="1:18" x14ac:dyDescent="0.45">
      <c r="A344" s="2" t="s">
        <v>232</v>
      </c>
      <c r="B344" s="2" t="s">
        <v>235</v>
      </c>
      <c r="C344">
        <f>IFERROR(VLOOKUP($B344,Miljövärden!$B$3:$H$553,MATCH(C$2,Miljövärden!$B$2:$H$2,0),FALSE),"Saknas")</f>
        <v>0.32588499999999998</v>
      </c>
      <c r="D344">
        <f>IFERROR(VLOOKUP($B344,Miljövärden!$B$3:$H$553,MATCH(D$2,Miljövärden!$B$2:$H$2,0),FALSE),"Saknas")</f>
        <v>36.061599999999999</v>
      </c>
      <c r="E344">
        <f>IFERROR(VLOOKUP($B344,Miljövärden!$B$3:$H$553,MATCH(E$2,Miljövärden!$B$2:$H$2,0),FALSE),"Saknas")</f>
        <v>24.9238</v>
      </c>
      <c r="F344">
        <f>IFERROR(VLOOKUP($B344,Miljövärden!$B$3:$H$553,MATCH(F$2,Miljövärden!$B$2:$H$2,0),FALSE),"Saknas")</f>
        <v>6.3881099999999996E-2</v>
      </c>
      <c r="G344" t="str">
        <f>IFERROR(VLOOKUP($B344,Miljövärden!$B$3:$H$553,MATCH(G$2,Miljövärden!$B$2:$H$2,0),FALSE),"Nej, saknas")</f>
        <v>Ja</v>
      </c>
      <c r="H344" t="str">
        <f>IFERROR(VLOOKUP($B344,Miljövärden!$B$3:$H$553,MATCH(H$2,Miljövärden!$B$2:$H$2,0),FALSE),"Nej, saknas")</f>
        <v>Ja</v>
      </c>
      <c r="P344" t="str">
        <f t="shared" si="11"/>
        <v>ja</v>
      </c>
      <c r="R344">
        <f t="shared" si="10"/>
        <v>300</v>
      </c>
    </row>
    <row r="345" spans="1:18" x14ac:dyDescent="0.45">
      <c r="A345" s="2" t="s">
        <v>232</v>
      </c>
      <c r="B345" s="2" t="s">
        <v>234</v>
      </c>
      <c r="C345">
        <f>IFERROR(VLOOKUP($B345,Miljövärden!$B$3:$H$553,MATCH(C$2,Miljövärden!$B$2:$H$2,0),FALSE),"Saknas")</f>
        <v>0.51056900000000005</v>
      </c>
      <c r="D345">
        <f>IFERROR(VLOOKUP($B345,Miljövärden!$B$3:$H$553,MATCH(D$2,Miljövärden!$B$2:$H$2,0),FALSE),"Saknas")</f>
        <v>180.755</v>
      </c>
      <c r="E345">
        <f>IFERROR(VLOOKUP($B345,Miljövärden!$B$3:$H$553,MATCH(E$2,Miljövärden!$B$2:$H$2,0),FALSE),"Saknas")</f>
        <v>9.9591799999999999</v>
      </c>
      <c r="F345">
        <f>IFERROR(VLOOKUP($B345,Miljövärden!$B$3:$H$553,MATCH(F$2,Miljövärden!$B$2:$H$2,0),FALSE),"Saknas")</f>
        <v>5.7671699999999999E-2</v>
      </c>
      <c r="G345" t="str">
        <f>IFERROR(VLOOKUP($B345,Miljövärden!$B$3:$H$553,MATCH(G$2,Miljövärden!$B$2:$H$2,0),FALSE),"Nej, saknas")</f>
        <v>Ja</v>
      </c>
      <c r="H345" t="str">
        <f>IFERROR(VLOOKUP($B345,Miljövärden!$B$3:$H$553,MATCH(H$2,Miljövärden!$B$2:$H$2,0),FALSE),"Nej, saknas")</f>
        <v>Ja</v>
      </c>
      <c r="P345" t="str">
        <f t="shared" si="11"/>
        <v>ja</v>
      </c>
      <c r="R345">
        <f t="shared" si="10"/>
        <v>301</v>
      </c>
    </row>
    <row r="346" spans="1:18" x14ac:dyDescent="0.45">
      <c r="A346" s="2" t="s">
        <v>232</v>
      </c>
      <c r="B346" s="2" t="s">
        <v>231</v>
      </c>
      <c r="C346">
        <f>IFERROR(VLOOKUP($B346,Miljövärden!$B$3:$H$553,MATCH(C$2,Miljövärden!$B$2:$H$2,0),FALSE),"Saknas")</f>
        <v>2.45189E-2</v>
      </c>
      <c r="D346">
        <f>IFERROR(VLOOKUP($B346,Miljövärden!$B$3:$H$553,MATCH(D$2,Miljövärden!$B$2:$H$2,0),FALSE),"Saknas")</f>
        <v>0.22140799999999999</v>
      </c>
      <c r="E346">
        <f>IFERROR(VLOOKUP($B346,Miljövärden!$B$3:$H$553,MATCH(E$2,Miljövärden!$B$2:$H$2,0),FALSE),"Saknas")</f>
        <v>0.43032700000000002</v>
      </c>
      <c r="F346">
        <f>IFERROR(VLOOKUP($B346,Miljövärden!$B$3:$H$553,MATCH(F$2,Miljövärden!$B$2:$H$2,0),FALSE),"Saknas")</f>
        <v>2.6892600000000001E-4</v>
      </c>
      <c r="G346" t="str">
        <f>IFERROR(VLOOKUP($B346,Miljövärden!$B$3:$H$553,MATCH(G$2,Miljövärden!$B$2:$H$2,0),FALSE),"Nej, saknas")</f>
        <v>Ja</v>
      </c>
      <c r="H346" t="str">
        <f>IFERROR(VLOOKUP($B346,Miljövärden!$B$3:$H$553,MATCH(H$2,Miljövärden!$B$2:$H$2,0),FALSE),"Nej, saknas")</f>
        <v>Ja</v>
      </c>
      <c r="P346" t="str">
        <f t="shared" si="11"/>
        <v>ja</v>
      </c>
      <c r="R346">
        <f t="shared" si="10"/>
        <v>302</v>
      </c>
    </row>
    <row r="347" spans="1:18" x14ac:dyDescent="0.45">
      <c r="A347" s="2" t="s">
        <v>7</v>
      </c>
      <c r="B347" s="2" t="s">
        <v>230</v>
      </c>
      <c r="C347">
        <f>IFERROR(VLOOKUP($B347,Miljövärden!$B$3:$H$553,MATCH(C$2,Miljövärden!$B$2:$H$2,0),FALSE),"Saknas")</f>
        <v>0</v>
      </c>
      <c r="D347">
        <f>IFERROR(VLOOKUP($B347,Miljövärden!$B$3:$H$553,MATCH(D$2,Miljövärden!$B$2:$H$2,0),FALSE),"Saknas")</f>
        <v>0</v>
      </c>
      <c r="E347">
        <f>IFERROR(VLOOKUP($B347,Miljövärden!$B$3:$H$553,MATCH(E$2,Miljövärden!$B$2:$H$2,0),FALSE),"Saknas")</f>
        <v>0</v>
      </c>
      <c r="F347">
        <f>IFERROR(VLOOKUP($B347,Miljövärden!$B$3:$H$553,MATCH(F$2,Miljövärden!$B$2:$H$2,0),FALSE),"Saknas")</f>
        <v>0</v>
      </c>
      <c r="G347" t="str">
        <f>IFERROR(VLOOKUP($B347,Miljövärden!$B$3:$H$553,MATCH(G$2,Miljövärden!$B$2:$H$2,0),FALSE),"Nej, saknas")</f>
        <v>Nej</v>
      </c>
      <c r="H347" t="str">
        <f>IFERROR(VLOOKUP($B347,Miljövärden!$B$3:$H$553,MATCH(H$2,Miljövärden!$B$2:$H$2,0),FALSE),"Nej, saknas")</f>
        <v>Nej</v>
      </c>
      <c r="K347" t="s">
        <v>1529</v>
      </c>
      <c r="P347" t="str">
        <f t="shared" si="11"/>
        <v>nej</v>
      </c>
      <c r="R347">
        <f t="shared" si="10"/>
        <v>302</v>
      </c>
    </row>
    <row r="348" spans="1:18" x14ac:dyDescent="0.45">
      <c r="A348" s="2" t="s">
        <v>7</v>
      </c>
      <c r="B348" s="2" t="s">
        <v>8</v>
      </c>
      <c r="C348">
        <f>IFERROR(VLOOKUP($B348,Miljövärden!$B$3:$H$553,MATCH(C$2,Miljövärden!$B$2:$H$2,0),FALSE),"Saknas")</f>
        <v>0</v>
      </c>
      <c r="D348">
        <f>IFERROR(VLOOKUP($B348,Miljövärden!$B$3:$H$553,MATCH(D$2,Miljövärden!$B$2:$H$2,0),FALSE),"Saknas")</f>
        <v>0</v>
      </c>
      <c r="E348">
        <f>IFERROR(VLOOKUP($B348,Miljövärden!$B$3:$H$553,MATCH(E$2,Miljövärden!$B$2:$H$2,0),FALSE),"Saknas")</f>
        <v>0</v>
      </c>
      <c r="F348">
        <f>IFERROR(VLOOKUP($B348,Miljövärden!$B$3:$H$553,MATCH(F$2,Miljövärden!$B$2:$H$2,0),FALSE),"Saknas")</f>
        <v>0</v>
      </c>
      <c r="G348" t="str">
        <f>IFERROR(VLOOKUP($B348,Miljövärden!$B$3:$H$553,MATCH(G$2,Miljövärden!$B$2:$H$2,0),FALSE),"Nej, saknas")</f>
        <v>Nej</v>
      </c>
      <c r="H348" t="str">
        <f>IFERROR(VLOOKUP($B348,Miljövärden!$B$3:$H$553,MATCH(H$2,Miljövärden!$B$2:$H$2,0),FALSE),"Nej, saknas")</f>
        <v>Nej</v>
      </c>
      <c r="K348" t="s">
        <v>1529</v>
      </c>
      <c r="P348" t="str">
        <f t="shared" si="11"/>
        <v>nej</v>
      </c>
      <c r="R348">
        <f t="shared" si="10"/>
        <v>302</v>
      </c>
    </row>
    <row r="349" spans="1:18" x14ac:dyDescent="0.45">
      <c r="A349" s="2" t="s">
        <v>225</v>
      </c>
      <c r="B349" s="2" t="s">
        <v>229</v>
      </c>
      <c r="C349">
        <f>IFERROR(VLOOKUP($B349,Miljövärden!$B$3:$H$553,MATCH(C$2,Miljövärden!$B$2:$H$2,0),FALSE),"Saknas")</f>
        <v>0.110209</v>
      </c>
      <c r="D349">
        <f>IFERROR(VLOOKUP($B349,Miljövärden!$B$3:$H$553,MATCH(D$2,Miljövärden!$B$2:$H$2,0),FALSE),"Saknas")</f>
        <v>13.4185</v>
      </c>
      <c r="E349">
        <f>IFERROR(VLOOKUP($B349,Miljövärden!$B$3:$H$553,MATCH(E$2,Miljövärden!$B$2:$H$2,0),FALSE),"Saknas")</f>
        <v>10.3154</v>
      </c>
      <c r="F349">
        <f>IFERROR(VLOOKUP($B349,Miljövärden!$B$3:$H$553,MATCH(F$2,Miljövärden!$B$2:$H$2,0),FALSE),"Saknas")</f>
        <v>6.9831399999999997E-3</v>
      </c>
      <c r="G349" t="str">
        <f>IFERROR(VLOOKUP($B349,Miljövärden!$B$3:$H$553,MATCH(G$2,Miljövärden!$B$2:$H$2,0),FALSE),"Nej, saknas")</f>
        <v>Ja</v>
      </c>
      <c r="H349" t="str">
        <f>IFERROR(VLOOKUP($B349,Miljövärden!$B$3:$H$553,MATCH(H$2,Miljövärden!$B$2:$H$2,0),FALSE),"Nej, saknas")</f>
        <v>Ja</v>
      </c>
      <c r="P349" t="str">
        <f t="shared" si="11"/>
        <v>ja</v>
      </c>
      <c r="R349">
        <f t="shared" si="10"/>
        <v>303</v>
      </c>
    </row>
    <row r="350" spans="1:18" x14ac:dyDescent="0.45">
      <c r="A350" s="2" t="s">
        <v>225</v>
      </c>
      <c r="B350" s="2" t="s">
        <v>228</v>
      </c>
      <c r="C350">
        <f>IFERROR(VLOOKUP($B350,Miljövärden!$B$3:$H$553,MATCH(C$2,Miljövärden!$B$2:$H$2,0),FALSE),"Saknas")</f>
        <v>7.2576799999999997E-2</v>
      </c>
      <c r="D350">
        <f>IFERROR(VLOOKUP($B350,Miljövärden!$B$3:$H$553,MATCH(D$2,Miljövärden!$B$2:$H$2,0),FALSE),"Saknas")</f>
        <v>5.5949600000000004</v>
      </c>
      <c r="E350">
        <f>IFERROR(VLOOKUP($B350,Miljövärden!$B$3:$H$553,MATCH(E$2,Miljövärden!$B$2:$H$2,0),FALSE),"Saknas")</f>
        <v>9.8502799999999997</v>
      </c>
      <c r="F350">
        <f>IFERROR(VLOOKUP($B350,Miljövärden!$B$3:$H$553,MATCH(F$2,Miljövärden!$B$2:$H$2,0),FALSE),"Saknas")</f>
        <v>0</v>
      </c>
      <c r="G350" t="str">
        <f>IFERROR(VLOOKUP($B350,Miljövärden!$B$3:$H$553,MATCH(G$2,Miljövärden!$B$2:$H$2,0),FALSE),"Nej, saknas")</f>
        <v>Ja</v>
      </c>
      <c r="H350" t="str">
        <f>IFERROR(VLOOKUP($B350,Miljövärden!$B$3:$H$553,MATCH(H$2,Miljövärden!$B$2:$H$2,0),FALSE),"Nej, saknas")</f>
        <v>Ja</v>
      </c>
      <c r="P350" t="str">
        <f t="shared" si="11"/>
        <v>ja</v>
      </c>
      <c r="R350">
        <f t="shared" si="10"/>
        <v>304</v>
      </c>
    </row>
    <row r="351" spans="1:18" x14ac:dyDescent="0.45">
      <c r="A351" s="2" t="s">
        <v>225</v>
      </c>
      <c r="B351" s="2" t="s">
        <v>227</v>
      </c>
      <c r="C351">
        <f>IFERROR(VLOOKUP($B351,Miljövärden!$B$3:$H$553,MATCH(C$2,Miljövärden!$B$2:$H$2,0),FALSE),"Saknas")</f>
        <v>7.2017499999999998E-2</v>
      </c>
      <c r="D351">
        <f>IFERROR(VLOOKUP($B351,Miljövärden!$B$3:$H$553,MATCH(D$2,Miljövärden!$B$2:$H$2,0),FALSE),"Saknas")</f>
        <v>6.0974899999999996</v>
      </c>
      <c r="E351">
        <f>IFERROR(VLOOKUP($B351,Miljövärden!$B$3:$H$553,MATCH(E$2,Miljövärden!$B$2:$H$2,0),FALSE),"Saknas")</f>
        <v>10.714600000000001</v>
      </c>
      <c r="F351">
        <f>IFERROR(VLOOKUP($B351,Miljövärden!$B$3:$H$553,MATCH(F$2,Miljövärden!$B$2:$H$2,0),FALSE),"Saknas")</f>
        <v>0</v>
      </c>
      <c r="G351" t="str">
        <f>IFERROR(VLOOKUP($B351,Miljövärden!$B$3:$H$553,MATCH(G$2,Miljövärden!$B$2:$H$2,0),FALSE),"Nej, saknas")</f>
        <v>Ja</v>
      </c>
      <c r="H351" t="str">
        <f>IFERROR(VLOOKUP($B351,Miljövärden!$B$3:$H$553,MATCH(H$2,Miljövärden!$B$2:$H$2,0),FALSE),"Nej, saknas")</f>
        <v>Ja</v>
      </c>
      <c r="P351" t="str">
        <f t="shared" si="11"/>
        <v>ja</v>
      </c>
      <c r="R351">
        <f t="shared" si="10"/>
        <v>305</v>
      </c>
    </row>
    <row r="352" spans="1:18" x14ac:dyDescent="0.45">
      <c r="A352" s="2" t="s">
        <v>225</v>
      </c>
      <c r="B352" s="2" t="s">
        <v>226</v>
      </c>
      <c r="C352">
        <f>IFERROR(VLOOKUP($B352,Miljövärden!$B$3:$H$553,MATCH(C$2,Miljövärden!$B$2:$H$2,0),FALSE),"Saknas")</f>
        <v>6.3911399999999993E-2</v>
      </c>
      <c r="D352">
        <f>IFERROR(VLOOKUP($B352,Miljövärden!$B$3:$H$553,MATCH(D$2,Miljövärden!$B$2:$H$2,0),FALSE),"Saknas")</f>
        <v>5.3368000000000002</v>
      </c>
      <c r="E352">
        <f>IFERROR(VLOOKUP($B352,Miljövärden!$B$3:$H$553,MATCH(E$2,Miljövärden!$B$2:$H$2,0),FALSE),"Saknas")</f>
        <v>9.4125899999999998</v>
      </c>
      <c r="F352">
        <f>IFERROR(VLOOKUP($B352,Miljövärden!$B$3:$H$553,MATCH(F$2,Miljövärden!$B$2:$H$2,0),FALSE),"Saknas")</f>
        <v>0</v>
      </c>
      <c r="G352" t="str">
        <f>IFERROR(VLOOKUP($B352,Miljövärden!$B$3:$H$553,MATCH(G$2,Miljövärden!$B$2:$H$2,0),FALSE),"Nej, saknas")</f>
        <v>Ja</v>
      </c>
      <c r="H352" t="str">
        <f>IFERROR(VLOOKUP($B352,Miljövärden!$B$3:$H$553,MATCH(H$2,Miljövärden!$B$2:$H$2,0),FALSE),"Nej, saknas")</f>
        <v>Ja</v>
      </c>
      <c r="P352" t="str">
        <f t="shared" si="11"/>
        <v>ja</v>
      </c>
      <c r="R352">
        <f t="shared" si="10"/>
        <v>306</v>
      </c>
    </row>
    <row r="353" spans="1:18" x14ac:dyDescent="0.45">
      <c r="A353" s="2" t="s">
        <v>225</v>
      </c>
      <c r="B353" s="2" t="s">
        <v>224</v>
      </c>
      <c r="C353">
        <f>IFERROR(VLOOKUP($B353,Miljövärden!$B$3:$H$553,MATCH(C$2,Miljövärden!$B$2:$H$2,0),FALSE),"Saknas")</f>
        <v>4.7401100000000002E-2</v>
      </c>
      <c r="D353">
        <f>IFERROR(VLOOKUP($B353,Miljövärden!$B$3:$H$553,MATCH(D$2,Miljövärden!$B$2:$H$2,0),FALSE),"Saknas")</f>
        <v>4.9714299999999998</v>
      </c>
      <c r="E353">
        <f>IFERROR(VLOOKUP($B353,Miljövärden!$B$3:$H$553,MATCH(E$2,Miljövärden!$B$2:$H$2,0),FALSE),"Saknas")</f>
        <v>6.7755200000000002</v>
      </c>
      <c r="F353">
        <f>IFERROR(VLOOKUP($B353,Miljövärden!$B$3:$H$553,MATCH(F$2,Miljövärden!$B$2:$H$2,0),FALSE),"Saknas")</f>
        <v>4.3858200000000003E-3</v>
      </c>
      <c r="G353" t="str">
        <f>IFERROR(VLOOKUP($B353,Miljövärden!$B$3:$H$553,MATCH(G$2,Miljövärden!$B$2:$H$2,0),FALSE),"Nej, saknas")</f>
        <v>Ja</v>
      </c>
      <c r="H353" t="str">
        <f>IFERROR(VLOOKUP($B353,Miljövärden!$B$3:$H$553,MATCH(H$2,Miljövärden!$B$2:$H$2,0),FALSE),"Nej, saknas")</f>
        <v>Ja</v>
      </c>
      <c r="P353" t="str">
        <f t="shared" si="11"/>
        <v>ja</v>
      </c>
      <c r="R353">
        <f t="shared" si="10"/>
        <v>307</v>
      </c>
    </row>
    <row r="354" spans="1:18" x14ac:dyDescent="0.45">
      <c r="A354" s="2" t="s">
        <v>221</v>
      </c>
      <c r="B354" s="2" t="s">
        <v>223</v>
      </c>
      <c r="C354">
        <f>IFERROR(VLOOKUP($B354,Miljövärden!$B$3:$H$553,MATCH(C$2,Miljövärden!$B$2:$H$2,0),FALSE),"Saknas")</f>
        <v>0.20555599999999999</v>
      </c>
      <c r="D354">
        <f>IFERROR(VLOOKUP($B354,Miljövärden!$B$3:$H$553,MATCH(D$2,Miljövärden!$B$2:$H$2,0),FALSE),"Saknas")</f>
        <v>14.678000000000001</v>
      </c>
      <c r="E354">
        <f>IFERROR(VLOOKUP($B354,Miljövärden!$B$3:$H$553,MATCH(E$2,Miljövärden!$B$2:$H$2,0),FALSE),"Saknas")</f>
        <v>18.922899999999998</v>
      </c>
      <c r="F354">
        <f>IFERROR(VLOOKUP($B354,Miljövärden!$B$3:$H$553,MATCH(F$2,Miljövärden!$B$2:$H$2,0),FALSE),"Saknas")</f>
        <v>2.6185E-2</v>
      </c>
      <c r="G354" t="str">
        <f>IFERROR(VLOOKUP($B354,Miljövärden!$B$3:$H$553,MATCH(G$2,Miljövärden!$B$2:$H$2,0),FALSE),"Nej, saknas")</f>
        <v>Ja</v>
      </c>
      <c r="H354" t="str">
        <f>IFERROR(VLOOKUP($B354,Miljövärden!$B$3:$H$553,MATCH(H$2,Miljövärden!$B$2:$H$2,0),FALSE),"Nej, saknas")</f>
        <v>Ja</v>
      </c>
      <c r="P354" t="str">
        <f t="shared" si="11"/>
        <v>ja</v>
      </c>
      <c r="R354">
        <f t="shared" si="10"/>
        <v>308</v>
      </c>
    </row>
    <row r="355" spans="1:18" x14ac:dyDescent="0.45">
      <c r="A355" s="2" t="s">
        <v>221</v>
      </c>
      <c r="B355" s="2" t="s">
        <v>222</v>
      </c>
      <c r="C355">
        <f>IFERROR(VLOOKUP($B355,Miljövärden!$B$3:$H$553,MATCH(C$2,Miljövärden!$B$2:$H$2,0),FALSE),"Saknas")</f>
        <v>4.3762599999999999E-2</v>
      </c>
      <c r="D355">
        <f>IFERROR(VLOOKUP($B355,Miljövärden!$B$3:$H$553,MATCH(D$2,Miljövärden!$B$2:$H$2,0),FALSE),"Saknas")</f>
        <v>3.9579900000000001</v>
      </c>
      <c r="E355">
        <f>IFERROR(VLOOKUP($B355,Miljövärden!$B$3:$H$553,MATCH(E$2,Miljövärden!$B$2:$H$2,0),FALSE),"Saknas")</f>
        <v>2.4472100000000001</v>
      </c>
      <c r="F355">
        <f>IFERROR(VLOOKUP($B355,Miljövärden!$B$3:$H$553,MATCH(F$2,Miljövärden!$B$2:$H$2,0),FALSE),"Saknas")</f>
        <v>2.6704300000000001E-3</v>
      </c>
      <c r="G355" t="str">
        <f>IFERROR(VLOOKUP($B355,Miljövärden!$B$3:$H$553,MATCH(G$2,Miljövärden!$B$2:$H$2,0),FALSE),"Nej, saknas")</f>
        <v>Ja</v>
      </c>
      <c r="H355" t="str">
        <f>IFERROR(VLOOKUP($B355,Miljövärden!$B$3:$H$553,MATCH(H$2,Miljövärden!$B$2:$H$2,0),FALSE),"Nej, saknas")</f>
        <v>Ja</v>
      </c>
      <c r="P355" t="str">
        <f t="shared" si="11"/>
        <v>ja</v>
      </c>
      <c r="R355">
        <f t="shared" si="10"/>
        <v>309</v>
      </c>
    </row>
    <row r="356" spans="1:18" x14ac:dyDescent="0.45">
      <c r="A356" s="2" t="s">
        <v>221</v>
      </c>
      <c r="B356" s="2" t="s">
        <v>220</v>
      </c>
      <c r="C356">
        <f>IFERROR(VLOOKUP($B356,Miljövärden!$B$3:$H$553,MATCH(C$2,Miljövärden!$B$2:$H$2,0),FALSE),"Saknas")</f>
        <v>6.3806299999999996E-2</v>
      </c>
      <c r="D356">
        <f>IFERROR(VLOOKUP($B356,Miljövärden!$B$3:$H$553,MATCH(D$2,Miljövärden!$B$2:$H$2,0),FALSE),"Saknas")</f>
        <v>4.6249099999999999</v>
      </c>
      <c r="E356">
        <f>IFERROR(VLOOKUP($B356,Miljövärden!$B$3:$H$553,MATCH(E$2,Miljövärden!$B$2:$H$2,0),FALSE),"Saknas")</f>
        <v>8.0935900000000007</v>
      </c>
      <c r="F356">
        <f>IFERROR(VLOOKUP($B356,Miljövärden!$B$3:$H$553,MATCH(F$2,Miljövärden!$B$2:$H$2,0),FALSE),"Saknas")</f>
        <v>0</v>
      </c>
      <c r="G356" t="str">
        <f>IFERROR(VLOOKUP($B356,Miljövärden!$B$3:$H$553,MATCH(G$2,Miljövärden!$B$2:$H$2,0),FALSE),"Nej, saknas")</f>
        <v>Ja</v>
      </c>
      <c r="H356" t="str">
        <f>IFERROR(VLOOKUP($B356,Miljövärden!$B$3:$H$553,MATCH(H$2,Miljövärden!$B$2:$H$2,0),FALSE),"Nej, saknas")</f>
        <v>Ja</v>
      </c>
      <c r="P356" t="str">
        <f t="shared" si="11"/>
        <v>ja</v>
      </c>
      <c r="R356">
        <f t="shared" si="10"/>
        <v>310</v>
      </c>
    </row>
    <row r="357" spans="1:18" x14ac:dyDescent="0.45">
      <c r="A357" s="2" t="s">
        <v>48</v>
      </c>
      <c r="B357" s="2" t="s">
        <v>219</v>
      </c>
      <c r="C357">
        <f>IFERROR(VLOOKUP($B357,Miljövärden!$B$3:$H$553,MATCH(C$2,Miljövärden!$B$2:$H$2,0),FALSE),"Saknas")</f>
        <v>0.166689</v>
      </c>
      <c r="D357">
        <f>IFERROR(VLOOKUP($B357,Miljövärden!$B$3:$H$553,MATCH(D$2,Miljövärden!$B$2:$H$2,0),FALSE),"Saknas")</f>
        <v>147.166</v>
      </c>
      <c r="E357">
        <f>IFERROR(VLOOKUP($B357,Miljövärden!$B$3:$H$553,MATCH(E$2,Miljövärden!$B$2:$H$2,0),FALSE),"Saknas")</f>
        <v>4.8564299999999996</v>
      </c>
      <c r="F357">
        <f>IFERROR(VLOOKUP($B357,Miljövärden!$B$3:$H$553,MATCH(F$2,Miljövärden!$B$2:$H$2,0),FALSE),"Saknas")</f>
        <v>1.59452E-2</v>
      </c>
      <c r="G357" t="str">
        <f>IFERROR(VLOOKUP($B357,Miljövärden!$B$3:$H$553,MATCH(G$2,Miljövärden!$B$2:$H$2,0),FALSE),"Nej, saknas")</f>
        <v>Ja</v>
      </c>
      <c r="H357" t="str">
        <f>IFERROR(VLOOKUP($B357,Miljövärden!$B$3:$H$553,MATCH(H$2,Miljövärden!$B$2:$H$2,0),FALSE),"Nej, saknas")</f>
        <v>Ja</v>
      </c>
      <c r="P357" t="str">
        <f t="shared" si="11"/>
        <v>ja</v>
      </c>
      <c r="R357">
        <f t="shared" si="10"/>
        <v>311</v>
      </c>
    </row>
    <row r="358" spans="1:18" x14ac:dyDescent="0.45">
      <c r="A358" s="2" t="s">
        <v>48</v>
      </c>
      <c r="B358" s="2" t="s">
        <v>218</v>
      </c>
      <c r="C358">
        <f>IFERROR(VLOOKUP($B358,Miljövärden!$B$3:$H$553,MATCH(C$2,Miljövärden!$B$2:$H$2,0),FALSE),"Saknas")</f>
        <v>0.13524900000000001</v>
      </c>
      <c r="D358">
        <f>IFERROR(VLOOKUP($B358,Miljövärden!$B$3:$H$553,MATCH(D$2,Miljövärden!$B$2:$H$2,0),FALSE),"Saknas")</f>
        <v>14.7636</v>
      </c>
      <c r="E358">
        <f>IFERROR(VLOOKUP($B358,Miljövärden!$B$3:$H$553,MATCH(E$2,Miljövärden!$B$2:$H$2,0),FALSE),"Saknas")</f>
        <v>8.2156199999999995</v>
      </c>
      <c r="F358">
        <f>IFERROR(VLOOKUP($B358,Miljövärden!$B$3:$H$553,MATCH(F$2,Miljövärden!$B$2:$H$2,0),FALSE),"Saknas")</f>
        <v>2.9763100000000001E-2</v>
      </c>
      <c r="G358" t="str">
        <f>IFERROR(VLOOKUP($B358,Miljövärden!$B$3:$H$553,MATCH(G$2,Miljövärden!$B$2:$H$2,0),FALSE),"Nej, saknas")</f>
        <v>Ja</v>
      </c>
      <c r="H358" t="str">
        <f>IFERROR(VLOOKUP($B358,Miljövärden!$B$3:$H$553,MATCH(H$2,Miljövärden!$B$2:$H$2,0),FALSE),"Nej, saknas")</f>
        <v>Ja</v>
      </c>
      <c r="P358" t="str">
        <f t="shared" si="11"/>
        <v>ja</v>
      </c>
      <c r="R358">
        <f t="shared" si="10"/>
        <v>312</v>
      </c>
    </row>
    <row r="359" spans="1:18" x14ac:dyDescent="0.45">
      <c r="A359" s="2" t="s">
        <v>48</v>
      </c>
      <c r="B359" s="2" t="s">
        <v>217</v>
      </c>
      <c r="C359">
        <f>IFERROR(VLOOKUP($B359,Miljövärden!$B$3:$H$553,MATCH(C$2,Miljövärden!$B$2:$H$2,0),FALSE),"Saknas")</f>
        <v>0.12706500000000001</v>
      </c>
      <c r="D359">
        <f>IFERROR(VLOOKUP($B359,Miljövärden!$B$3:$H$553,MATCH(D$2,Miljövärden!$B$2:$H$2,0),FALSE),"Saknas")</f>
        <v>29.724799999999998</v>
      </c>
      <c r="E359">
        <f>IFERROR(VLOOKUP($B359,Miljövärden!$B$3:$H$553,MATCH(E$2,Miljövärden!$B$2:$H$2,0),FALSE),"Saknas")</f>
        <v>2.6202200000000002</v>
      </c>
      <c r="F359">
        <f>IFERROR(VLOOKUP($B359,Miljövärden!$B$3:$H$553,MATCH(F$2,Miljövärden!$B$2:$H$2,0),FALSE),"Saknas")</f>
        <v>8.9265300000000006E-2</v>
      </c>
      <c r="G359" t="str">
        <f>IFERROR(VLOOKUP($B359,Miljövärden!$B$3:$H$553,MATCH(G$2,Miljövärden!$B$2:$H$2,0),FALSE),"Nej, saknas")</f>
        <v>Ja</v>
      </c>
      <c r="H359" t="str">
        <f>IFERROR(VLOOKUP($B359,Miljövärden!$B$3:$H$553,MATCH(H$2,Miljövärden!$B$2:$H$2,0),FALSE),"Nej, saknas")</f>
        <v>Ja</v>
      </c>
      <c r="P359" t="str">
        <f t="shared" si="11"/>
        <v>ja</v>
      </c>
      <c r="R359">
        <f t="shared" si="10"/>
        <v>313</v>
      </c>
    </row>
    <row r="360" spans="1:18" x14ac:dyDescent="0.45">
      <c r="A360" s="2" t="s">
        <v>48</v>
      </c>
      <c r="B360" s="2" t="s">
        <v>216</v>
      </c>
      <c r="C360">
        <f>IFERROR(VLOOKUP($B360,Miljövärden!$B$3:$H$553,MATCH(C$2,Miljövärden!$B$2:$H$2,0),FALSE),"Saknas")</f>
        <v>0.222997</v>
      </c>
      <c r="D360">
        <f>IFERROR(VLOOKUP($B360,Miljövärden!$B$3:$H$553,MATCH(D$2,Miljövärden!$B$2:$H$2,0),FALSE),"Saknas")</f>
        <v>15.8063</v>
      </c>
      <c r="E360">
        <f>IFERROR(VLOOKUP($B360,Miljövärden!$B$3:$H$553,MATCH(E$2,Miljövärden!$B$2:$H$2,0),FALSE),"Saknas")</f>
        <v>18.900400000000001</v>
      </c>
      <c r="F360">
        <f>IFERROR(VLOOKUP($B360,Miljövärden!$B$3:$H$553,MATCH(F$2,Miljövärden!$B$2:$H$2,0),FALSE),"Saknas")</f>
        <v>2.9542100000000002E-2</v>
      </c>
      <c r="G360" t="str">
        <f>IFERROR(VLOOKUP($B360,Miljövärden!$B$3:$H$553,MATCH(G$2,Miljövärden!$B$2:$H$2,0),FALSE),"Nej, saknas")</f>
        <v>Ja</v>
      </c>
      <c r="H360" t="str">
        <f>IFERROR(VLOOKUP($B360,Miljövärden!$B$3:$H$553,MATCH(H$2,Miljövärden!$B$2:$H$2,0),FALSE),"Nej, saknas")</f>
        <v>Ja</v>
      </c>
      <c r="P360" t="str">
        <f t="shared" si="11"/>
        <v>ja</v>
      </c>
      <c r="R360">
        <f t="shared" si="10"/>
        <v>314</v>
      </c>
    </row>
    <row r="361" spans="1:18" x14ac:dyDescent="0.45">
      <c r="A361" s="2" t="s">
        <v>48</v>
      </c>
      <c r="B361" s="2" t="s">
        <v>215</v>
      </c>
      <c r="C361">
        <f>IFERROR(VLOOKUP($B361,Miljövärden!$B$3:$H$553,MATCH(C$2,Miljövärden!$B$2:$H$2,0),FALSE),"Saknas")</f>
        <v>8.4793199999999999E-2</v>
      </c>
      <c r="D361">
        <f>IFERROR(VLOOKUP($B361,Miljövärden!$B$3:$H$553,MATCH(D$2,Miljövärden!$B$2:$H$2,0),FALSE),"Saknas")</f>
        <v>6.5837000000000003</v>
      </c>
      <c r="E361">
        <f>IFERROR(VLOOKUP($B361,Miljövärden!$B$3:$H$553,MATCH(E$2,Miljövärden!$B$2:$H$2,0),FALSE),"Saknas")</f>
        <v>5.5806699999999996</v>
      </c>
      <c r="F361">
        <f>IFERROR(VLOOKUP($B361,Miljövärden!$B$3:$H$553,MATCH(F$2,Miljövärden!$B$2:$H$2,0),FALSE),"Saknas")</f>
        <v>1.05472E-2</v>
      </c>
      <c r="G361" t="str">
        <f>IFERROR(VLOOKUP($B361,Miljövärden!$B$3:$H$553,MATCH(G$2,Miljövärden!$B$2:$H$2,0),FALSE),"Nej, saknas")</f>
        <v>Ja</v>
      </c>
      <c r="H361" t="str">
        <f>IFERROR(VLOOKUP($B361,Miljövärden!$B$3:$H$553,MATCH(H$2,Miljövärden!$B$2:$H$2,0),FALSE),"Nej, saknas")</f>
        <v>Ja</v>
      </c>
      <c r="P361" t="str">
        <f t="shared" si="11"/>
        <v>ja</v>
      </c>
      <c r="R361">
        <f t="shared" si="10"/>
        <v>315</v>
      </c>
    </row>
    <row r="362" spans="1:18" x14ac:dyDescent="0.45">
      <c r="A362" s="2" t="s">
        <v>48</v>
      </c>
      <c r="B362" s="2" t="s">
        <v>214</v>
      </c>
      <c r="C362">
        <f>IFERROR(VLOOKUP($B362,Miljövärden!$B$3:$H$553,MATCH(C$2,Miljövärden!$B$2:$H$2,0),FALSE),"Saknas")</f>
        <v>9.4287399999999993E-2</v>
      </c>
      <c r="D362">
        <f>IFERROR(VLOOKUP($B362,Miljövärden!$B$3:$H$553,MATCH(D$2,Miljövärden!$B$2:$H$2,0),FALSE),"Saknas")</f>
        <v>4.3794000000000004</v>
      </c>
      <c r="E362">
        <f>IFERROR(VLOOKUP($B362,Miljövärden!$B$3:$H$553,MATCH(E$2,Miljövärden!$B$2:$H$2,0),FALSE),"Saknas")</f>
        <v>5.6042300000000003</v>
      </c>
      <c r="F362">
        <f>IFERROR(VLOOKUP($B362,Miljövärden!$B$3:$H$553,MATCH(F$2,Miljövärden!$B$2:$H$2,0),FALSE),"Saknas")</f>
        <v>4.0040900000000001E-3</v>
      </c>
      <c r="G362" t="str">
        <f>IFERROR(VLOOKUP($B362,Miljövärden!$B$3:$H$553,MATCH(G$2,Miljövärden!$B$2:$H$2,0),FALSE),"Nej, saknas")</f>
        <v>Ja</v>
      </c>
      <c r="H362" t="str">
        <f>IFERROR(VLOOKUP($B362,Miljövärden!$B$3:$H$553,MATCH(H$2,Miljövärden!$B$2:$H$2,0),FALSE),"Nej, saknas")</f>
        <v>Ja</v>
      </c>
      <c r="P362" t="str">
        <f t="shared" si="11"/>
        <v>ja</v>
      </c>
      <c r="R362">
        <f t="shared" si="10"/>
        <v>316</v>
      </c>
    </row>
    <row r="363" spans="1:18" x14ac:dyDescent="0.45">
      <c r="A363" s="2" t="s">
        <v>48</v>
      </c>
      <c r="B363" s="2" t="s">
        <v>213</v>
      </c>
      <c r="C363">
        <f>IFERROR(VLOOKUP($B363,Miljövärden!$B$3:$H$553,MATCH(C$2,Miljövärden!$B$2:$H$2,0),FALSE),"Saknas")</f>
        <v>0.135266</v>
      </c>
      <c r="D363">
        <f>IFERROR(VLOOKUP($B363,Miljövärden!$B$3:$H$553,MATCH(D$2,Miljövärden!$B$2:$H$2,0),FALSE),"Saknas")</f>
        <v>15.006600000000001</v>
      </c>
      <c r="E363">
        <f>IFERROR(VLOOKUP($B363,Miljövärden!$B$3:$H$553,MATCH(E$2,Miljövärden!$B$2:$H$2,0),FALSE),"Saknas")</f>
        <v>7.5379899999999997</v>
      </c>
      <c r="F363">
        <f>IFERROR(VLOOKUP($B363,Miljövärden!$B$3:$H$553,MATCH(F$2,Miljövärden!$B$2:$H$2,0),FALSE),"Saknas")</f>
        <v>3.04654E-2</v>
      </c>
      <c r="G363" t="str">
        <f>IFERROR(VLOOKUP($B363,Miljövärden!$B$3:$H$553,MATCH(G$2,Miljövärden!$B$2:$H$2,0),FALSE),"Nej, saknas")</f>
        <v>Ja</v>
      </c>
      <c r="H363" t="str">
        <f>IFERROR(VLOOKUP($B363,Miljövärden!$B$3:$H$553,MATCH(H$2,Miljövärden!$B$2:$H$2,0),FALSE),"Nej, saknas")</f>
        <v>Ja</v>
      </c>
      <c r="P363" t="str">
        <f t="shared" si="11"/>
        <v>ja</v>
      </c>
      <c r="R363">
        <f t="shared" si="10"/>
        <v>317</v>
      </c>
    </row>
    <row r="364" spans="1:18" x14ac:dyDescent="0.45">
      <c r="A364" s="2" t="s">
        <v>48</v>
      </c>
      <c r="B364" s="2" t="s">
        <v>212</v>
      </c>
      <c r="C364">
        <f>IFERROR(VLOOKUP($B364,Miljövärden!$B$3:$H$553,MATCH(C$2,Miljövärden!$B$2:$H$2,0),FALSE),"Saknas")</f>
        <v>0.108749</v>
      </c>
      <c r="D364">
        <f>IFERROR(VLOOKUP($B364,Miljövärden!$B$3:$H$553,MATCH(D$2,Miljövärden!$B$2:$H$2,0),FALSE),"Saknas")</f>
        <v>24.4651</v>
      </c>
      <c r="E364">
        <f>IFERROR(VLOOKUP($B364,Miljövärden!$B$3:$H$553,MATCH(E$2,Miljövärden!$B$2:$H$2,0),FALSE),"Saknas")</f>
        <v>3.6156299999999999</v>
      </c>
      <c r="F364">
        <f>IFERROR(VLOOKUP($B364,Miljövärden!$B$3:$H$553,MATCH(F$2,Miljövärden!$B$2:$H$2,0),FALSE),"Saknas")</f>
        <v>7.5551599999999997E-2</v>
      </c>
      <c r="G364" t="str">
        <f>IFERROR(VLOOKUP($B364,Miljövärden!$B$3:$H$553,MATCH(G$2,Miljövärden!$B$2:$H$2,0),FALSE),"Nej, saknas")</f>
        <v>Ja</v>
      </c>
      <c r="H364" t="str">
        <f>IFERROR(VLOOKUP($B364,Miljövärden!$B$3:$H$553,MATCH(H$2,Miljövärden!$B$2:$H$2,0),FALSE),"Nej, saknas")</f>
        <v>Ja</v>
      </c>
      <c r="P364" t="str">
        <f t="shared" si="11"/>
        <v>ja</v>
      </c>
      <c r="R364">
        <f t="shared" si="10"/>
        <v>318</v>
      </c>
    </row>
    <row r="365" spans="1:18" x14ac:dyDescent="0.45">
      <c r="A365" s="2" t="s">
        <v>48</v>
      </c>
      <c r="B365" s="2" t="s">
        <v>211</v>
      </c>
      <c r="C365">
        <f>IFERROR(VLOOKUP($B365,Miljövärden!$B$3:$H$553,MATCH(C$2,Miljövärden!$B$2:$H$2,0),FALSE),"Saknas")</f>
        <v>0.12958900000000001</v>
      </c>
      <c r="D365">
        <f>IFERROR(VLOOKUP($B365,Miljövärden!$B$3:$H$553,MATCH(D$2,Miljövärden!$B$2:$H$2,0),FALSE),"Saknas")</f>
        <v>11.8195</v>
      </c>
      <c r="E365">
        <f>IFERROR(VLOOKUP($B365,Miljövärden!$B$3:$H$553,MATCH(E$2,Miljövärden!$B$2:$H$2,0),FALSE),"Saknas")</f>
        <v>9.91493</v>
      </c>
      <c r="F365">
        <f>IFERROR(VLOOKUP($B365,Miljövärden!$B$3:$H$553,MATCH(F$2,Miljövärden!$B$2:$H$2,0),FALSE),"Saknas")</f>
        <v>1.8311600000000001E-2</v>
      </c>
      <c r="G365" t="str">
        <f>IFERROR(VLOOKUP($B365,Miljövärden!$B$3:$H$553,MATCH(G$2,Miljövärden!$B$2:$H$2,0),FALSE),"Nej, saknas")</f>
        <v>Ja</v>
      </c>
      <c r="H365" t="str">
        <f>IFERROR(VLOOKUP($B365,Miljövärden!$B$3:$H$553,MATCH(H$2,Miljövärden!$B$2:$H$2,0),FALSE),"Nej, saknas")</f>
        <v>Ja</v>
      </c>
      <c r="P365" t="str">
        <f t="shared" si="11"/>
        <v>ja</v>
      </c>
      <c r="R365">
        <f t="shared" si="10"/>
        <v>319</v>
      </c>
    </row>
    <row r="366" spans="1:18" x14ac:dyDescent="0.45">
      <c r="A366" s="2" t="s">
        <v>48</v>
      </c>
      <c r="B366" s="2" t="s">
        <v>210</v>
      </c>
      <c r="C366">
        <f>IFERROR(VLOOKUP($B366,Miljövärden!$B$3:$H$553,MATCH(C$2,Miljövärden!$B$2:$H$2,0),FALSE),"Saknas")</f>
        <v>0.108726</v>
      </c>
      <c r="D366">
        <f>IFERROR(VLOOKUP($B366,Miljövärden!$B$3:$H$553,MATCH(D$2,Miljövärden!$B$2:$H$2,0),FALSE),"Saknas")</f>
        <v>9.2680600000000002</v>
      </c>
      <c r="E366">
        <f>IFERROR(VLOOKUP($B366,Miljövärden!$B$3:$H$553,MATCH(E$2,Miljövärden!$B$2:$H$2,0),FALSE),"Saknas")</f>
        <v>8.0729399999999991</v>
      </c>
      <c r="F366">
        <f>IFERROR(VLOOKUP($B366,Miljövärden!$B$3:$H$553,MATCH(F$2,Miljövärden!$B$2:$H$2,0),FALSE),"Saknas")</f>
        <v>1.2848200000000001E-2</v>
      </c>
      <c r="G366" t="str">
        <f>IFERROR(VLOOKUP($B366,Miljövärden!$B$3:$H$553,MATCH(G$2,Miljövärden!$B$2:$H$2,0),FALSE),"Nej, saknas")</f>
        <v>Ja</v>
      </c>
      <c r="H366" t="str">
        <f>IFERROR(VLOOKUP($B366,Miljövärden!$B$3:$H$553,MATCH(H$2,Miljövärden!$B$2:$H$2,0),FALSE),"Nej, saknas")</f>
        <v>Ja</v>
      </c>
      <c r="P366" t="str">
        <f t="shared" si="11"/>
        <v>ja</v>
      </c>
      <c r="R366">
        <f t="shared" si="10"/>
        <v>320</v>
      </c>
    </row>
    <row r="367" spans="1:18" x14ac:dyDescent="0.45">
      <c r="A367" s="2" t="s">
        <v>48</v>
      </c>
      <c r="B367" s="2" t="s">
        <v>209</v>
      </c>
      <c r="C367">
        <f>IFERROR(VLOOKUP($B367,Miljövärden!$B$3:$H$553,MATCH(C$2,Miljövärden!$B$2:$H$2,0),FALSE),"Saknas")</f>
        <v>0.31559900000000002</v>
      </c>
      <c r="D367">
        <f>IFERROR(VLOOKUP($B367,Miljövärden!$B$3:$H$553,MATCH(D$2,Miljövärden!$B$2:$H$2,0),FALSE),"Saknas")</f>
        <v>21.087900000000001</v>
      </c>
      <c r="E367">
        <f>IFERROR(VLOOKUP($B367,Miljövärden!$B$3:$H$553,MATCH(E$2,Miljövärden!$B$2:$H$2,0),FALSE),"Saknas")</f>
        <v>4.8853400000000002</v>
      </c>
      <c r="F367">
        <f>IFERROR(VLOOKUP($B367,Miljövärden!$B$3:$H$553,MATCH(F$2,Miljövärden!$B$2:$H$2,0),FALSE),"Saknas")</f>
        <v>2.49137E-2</v>
      </c>
      <c r="G367" t="str">
        <f>IFERROR(VLOOKUP($B367,Miljövärden!$B$3:$H$553,MATCH(G$2,Miljövärden!$B$2:$H$2,0),FALSE),"Nej, saknas")</f>
        <v>Ja</v>
      </c>
      <c r="H367" t="str">
        <f>IFERROR(VLOOKUP($B367,Miljövärden!$B$3:$H$553,MATCH(H$2,Miljövärden!$B$2:$H$2,0),FALSE),"Nej, saknas")</f>
        <v>Ja</v>
      </c>
      <c r="P367" t="str">
        <f t="shared" si="11"/>
        <v>ja</v>
      </c>
      <c r="R367">
        <f t="shared" si="10"/>
        <v>321</v>
      </c>
    </row>
    <row r="368" spans="1:18" x14ac:dyDescent="0.45">
      <c r="A368" s="2" t="s">
        <v>48</v>
      </c>
      <c r="B368" s="2" t="s">
        <v>208</v>
      </c>
      <c r="C368">
        <f>IFERROR(VLOOKUP($B368,Miljövärden!$B$3:$H$553,MATCH(C$2,Miljövärden!$B$2:$H$2,0),FALSE),"Saknas")</f>
        <v>0.252641</v>
      </c>
      <c r="D368">
        <f>IFERROR(VLOOKUP($B368,Miljövärden!$B$3:$H$553,MATCH(D$2,Miljövärden!$B$2:$H$2,0),FALSE),"Saknas")</f>
        <v>13.1647</v>
      </c>
      <c r="E368">
        <f>IFERROR(VLOOKUP($B368,Miljövärden!$B$3:$H$553,MATCH(E$2,Miljövärden!$B$2:$H$2,0),FALSE),"Saknas")</f>
        <v>21.290600000000001</v>
      </c>
      <c r="F368">
        <f>IFERROR(VLOOKUP($B368,Miljövärden!$B$3:$H$553,MATCH(F$2,Miljövärden!$B$2:$H$2,0),FALSE),"Saknas")</f>
        <v>1.7624500000000001E-2</v>
      </c>
      <c r="G368" t="str">
        <f>IFERROR(VLOOKUP($B368,Miljövärden!$B$3:$H$553,MATCH(G$2,Miljövärden!$B$2:$H$2,0),FALSE),"Nej, saknas")</f>
        <v>Ja</v>
      </c>
      <c r="H368" t="str">
        <f>IFERROR(VLOOKUP($B368,Miljövärden!$B$3:$H$553,MATCH(H$2,Miljövärden!$B$2:$H$2,0),FALSE),"Nej, saknas")</f>
        <v>Ja</v>
      </c>
      <c r="P368" t="str">
        <f t="shared" si="11"/>
        <v>ja</v>
      </c>
      <c r="R368">
        <f t="shared" si="10"/>
        <v>322</v>
      </c>
    </row>
    <row r="369" spans="1:18" x14ac:dyDescent="0.45">
      <c r="A369" s="2" t="s">
        <v>48</v>
      </c>
      <c r="B369" s="2" t="s">
        <v>207</v>
      </c>
      <c r="C369">
        <f>IFERROR(VLOOKUP($B369,Miljövärden!$B$3:$H$553,MATCH(C$2,Miljövärden!$B$2:$H$2,0),FALSE),"Saknas")</f>
        <v>0.13852600000000001</v>
      </c>
      <c r="D369">
        <f>IFERROR(VLOOKUP($B369,Miljövärden!$B$3:$H$553,MATCH(D$2,Miljövärden!$B$2:$H$2,0),FALSE),"Saknas")</f>
        <v>10.1366</v>
      </c>
      <c r="E369">
        <f>IFERROR(VLOOKUP($B369,Miljövärden!$B$3:$H$553,MATCH(E$2,Miljövärden!$B$2:$H$2,0),FALSE),"Saknas")</f>
        <v>10.6532</v>
      </c>
      <c r="F369">
        <f>IFERROR(VLOOKUP($B369,Miljövärden!$B$3:$H$553,MATCH(F$2,Miljövärden!$B$2:$H$2,0),FALSE),"Saknas")</f>
        <v>2.2140300000000002E-2</v>
      </c>
      <c r="G369" t="str">
        <f>IFERROR(VLOOKUP($B369,Miljövärden!$B$3:$H$553,MATCH(G$2,Miljövärden!$B$2:$H$2,0),FALSE),"Nej, saknas")</f>
        <v>Ja</v>
      </c>
      <c r="H369" t="str">
        <f>IFERROR(VLOOKUP($B369,Miljövärden!$B$3:$H$553,MATCH(H$2,Miljövärden!$B$2:$H$2,0),FALSE),"Nej, saknas")</f>
        <v>Ja</v>
      </c>
      <c r="P369" t="str">
        <f t="shared" si="11"/>
        <v>ja</v>
      </c>
      <c r="R369">
        <f t="shared" si="10"/>
        <v>323</v>
      </c>
    </row>
    <row r="370" spans="1:18" x14ac:dyDescent="0.45">
      <c r="A370" s="2" t="s">
        <v>48</v>
      </c>
      <c r="B370" s="2" t="s">
        <v>206</v>
      </c>
      <c r="C370">
        <f>IFERROR(VLOOKUP($B370,Miljövärden!$B$3:$H$553,MATCH(C$2,Miljövärden!$B$2:$H$2,0),FALSE),"Saknas")</f>
        <v>0.15192900000000001</v>
      </c>
      <c r="D370">
        <f>IFERROR(VLOOKUP($B370,Miljövärden!$B$3:$H$553,MATCH(D$2,Miljövärden!$B$2:$H$2,0),FALSE),"Saknas")</f>
        <v>24.720800000000001</v>
      </c>
      <c r="E370">
        <f>IFERROR(VLOOKUP($B370,Miljövärden!$B$3:$H$553,MATCH(E$2,Miljövärden!$B$2:$H$2,0),FALSE),"Saknas")</f>
        <v>10.3477</v>
      </c>
      <c r="F370">
        <f>IFERROR(VLOOKUP($B370,Miljövärden!$B$3:$H$553,MATCH(F$2,Miljövärden!$B$2:$H$2,0),FALSE),"Saknas")</f>
        <v>5.5078599999999998E-2</v>
      </c>
      <c r="G370" t="str">
        <f>IFERROR(VLOOKUP($B370,Miljövärden!$B$3:$H$553,MATCH(G$2,Miljövärden!$B$2:$H$2,0),FALSE),"Nej, saknas")</f>
        <v>Ja</v>
      </c>
      <c r="H370" t="str">
        <f>IFERROR(VLOOKUP($B370,Miljövärden!$B$3:$H$553,MATCH(H$2,Miljövärden!$B$2:$H$2,0),FALSE),"Nej, saknas")</f>
        <v>Ja</v>
      </c>
      <c r="P370" t="str">
        <f t="shared" si="11"/>
        <v>ja</v>
      </c>
      <c r="R370">
        <f t="shared" si="10"/>
        <v>324</v>
      </c>
    </row>
    <row r="371" spans="1:18" x14ac:dyDescent="0.45">
      <c r="A371" s="2" t="s">
        <v>48</v>
      </c>
      <c r="B371" s="2" t="s">
        <v>205</v>
      </c>
      <c r="C371">
        <f>IFERROR(VLOOKUP($B371,Miljövärden!$B$3:$H$553,MATCH(C$2,Miljövärden!$B$2:$H$2,0),FALSE),"Saknas")</f>
        <v>6.4076099999999997E-2</v>
      </c>
      <c r="D371">
        <f>IFERROR(VLOOKUP($B371,Miljövärden!$B$3:$H$553,MATCH(D$2,Miljövärden!$B$2:$H$2,0),FALSE),"Saknas")</f>
        <v>11.6584</v>
      </c>
      <c r="E371">
        <f>IFERROR(VLOOKUP($B371,Miljövärden!$B$3:$H$553,MATCH(E$2,Miljövärden!$B$2:$H$2,0),FALSE),"Saknas")</f>
        <v>8.3224699999999991</v>
      </c>
      <c r="F371">
        <f>IFERROR(VLOOKUP($B371,Miljövärden!$B$3:$H$553,MATCH(F$2,Miljövärden!$B$2:$H$2,0),FALSE),"Saknas")</f>
        <v>2.0364899999999998E-2</v>
      </c>
      <c r="G371" t="str">
        <f>IFERROR(VLOOKUP($B371,Miljövärden!$B$3:$H$553,MATCH(G$2,Miljövärden!$B$2:$H$2,0),FALSE),"Nej, saknas")</f>
        <v>Ja</v>
      </c>
      <c r="H371" t="str">
        <f>IFERROR(VLOOKUP($B371,Miljövärden!$B$3:$H$553,MATCH(H$2,Miljövärden!$B$2:$H$2,0),FALSE),"Nej, saknas")</f>
        <v>Ja</v>
      </c>
      <c r="P371" t="str">
        <f t="shared" si="11"/>
        <v>ja</v>
      </c>
      <c r="R371">
        <f t="shared" si="10"/>
        <v>325</v>
      </c>
    </row>
    <row r="372" spans="1:18" x14ac:dyDescent="0.45">
      <c r="A372" s="2" t="s">
        <v>48</v>
      </c>
      <c r="B372" s="2" t="s">
        <v>204</v>
      </c>
      <c r="C372">
        <f>IFERROR(VLOOKUP($B372,Miljövärden!$B$3:$H$553,MATCH(C$2,Miljövärden!$B$2:$H$2,0),FALSE),"Saknas")</f>
        <v>0</v>
      </c>
      <c r="D372">
        <f>IFERROR(VLOOKUP($B372,Miljövärden!$B$3:$H$553,MATCH(D$2,Miljövärden!$B$2:$H$2,0),FALSE),"Saknas")</f>
        <v>0</v>
      </c>
      <c r="E372">
        <f>IFERROR(VLOOKUP($B372,Miljövärden!$B$3:$H$553,MATCH(E$2,Miljövärden!$B$2:$H$2,0),FALSE),"Saknas")</f>
        <v>0</v>
      </c>
      <c r="F372">
        <f>IFERROR(VLOOKUP($B372,Miljövärden!$B$3:$H$553,MATCH(F$2,Miljövärden!$B$2:$H$2,0),FALSE),"Saknas")</f>
        <v>0</v>
      </c>
      <c r="G372" t="str">
        <f>IFERROR(VLOOKUP($B372,Miljövärden!$B$3:$H$553,MATCH(G$2,Miljövärden!$B$2:$H$2,0),FALSE),"Nej, saknas")</f>
        <v>Nej</v>
      </c>
      <c r="H372" t="str">
        <f>IFERROR(VLOOKUP($B372,Miljövärden!$B$3:$H$553,MATCH(H$2,Miljövärden!$B$2:$H$2,0),FALSE),"Nej, saknas")</f>
        <v>Nej</v>
      </c>
      <c r="P372" t="str">
        <f t="shared" si="11"/>
        <v>nej</v>
      </c>
      <c r="R372">
        <f t="shared" si="10"/>
        <v>325</v>
      </c>
    </row>
    <row r="373" spans="1:18" x14ac:dyDescent="0.45">
      <c r="A373" s="2" t="s">
        <v>197</v>
      </c>
      <c r="B373" s="2" t="s">
        <v>203</v>
      </c>
      <c r="C373">
        <f>IFERROR(VLOOKUP($B373,Miljövärden!$B$3:$H$553,MATCH(C$2,Miljövärden!$B$2:$H$2,0),FALSE),"Saknas")</f>
        <v>0.202651</v>
      </c>
      <c r="D373">
        <f>IFERROR(VLOOKUP($B373,Miljövärden!$B$3:$H$553,MATCH(D$2,Miljövärden!$B$2:$H$2,0),FALSE),"Saknas")</f>
        <v>11.68</v>
      </c>
      <c r="E373">
        <f>IFERROR(VLOOKUP($B373,Miljövärden!$B$3:$H$553,MATCH(E$2,Miljövärden!$B$2:$H$2,0),FALSE),"Saknas")</f>
        <v>18.704499999999999</v>
      </c>
      <c r="F373">
        <f>IFERROR(VLOOKUP($B373,Miljövärden!$B$3:$H$553,MATCH(F$2,Miljövärden!$B$2:$H$2,0),FALSE),"Saknas")</f>
        <v>1.79033E-2</v>
      </c>
      <c r="G373" t="str">
        <f>IFERROR(VLOOKUP($B373,Miljövärden!$B$3:$H$553,MATCH(G$2,Miljövärden!$B$2:$H$2,0),FALSE),"Nej, saknas")</f>
        <v>Ja</v>
      </c>
      <c r="H373" t="str">
        <f>IFERROR(VLOOKUP($B373,Miljövärden!$B$3:$H$553,MATCH(H$2,Miljövärden!$B$2:$H$2,0),FALSE),"Nej, saknas")</f>
        <v>Ja</v>
      </c>
      <c r="P373" t="str">
        <f t="shared" si="11"/>
        <v>ja</v>
      </c>
      <c r="R373">
        <f t="shared" si="10"/>
        <v>326</v>
      </c>
    </row>
    <row r="374" spans="1:18" x14ac:dyDescent="0.45">
      <c r="A374" s="2" t="s">
        <v>197</v>
      </c>
      <c r="B374" s="2" t="s">
        <v>202</v>
      </c>
      <c r="C374">
        <f>IFERROR(VLOOKUP($B374,Miljövärden!$B$3:$H$553,MATCH(C$2,Miljövärden!$B$2:$H$2,0),FALSE),"Saknas")</f>
        <v>0.20979999999999999</v>
      </c>
      <c r="D374">
        <f>IFERROR(VLOOKUP($B374,Miljövärden!$B$3:$H$553,MATCH(D$2,Miljövärden!$B$2:$H$2,0),FALSE),"Saknas")</f>
        <v>10.2173</v>
      </c>
      <c r="E374">
        <f>IFERROR(VLOOKUP($B374,Miljövärden!$B$3:$H$553,MATCH(E$2,Miljövärden!$B$2:$H$2,0),FALSE),"Saknas")</f>
        <v>15.4839</v>
      </c>
      <c r="F374">
        <f>IFERROR(VLOOKUP($B374,Miljövärden!$B$3:$H$553,MATCH(F$2,Miljövärden!$B$2:$H$2,0),FALSE),"Saknas")</f>
        <v>1.8182299999999998E-2</v>
      </c>
      <c r="G374" t="str">
        <f>IFERROR(VLOOKUP($B374,Miljövärden!$B$3:$H$553,MATCH(G$2,Miljövärden!$B$2:$H$2,0),FALSE),"Nej, saknas")</f>
        <v>Ja</v>
      </c>
      <c r="H374" t="str">
        <f>IFERROR(VLOOKUP($B374,Miljövärden!$B$3:$H$553,MATCH(H$2,Miljövärden!$B$2:$H$2,0),FALSE),"Nej, saknas")</f>
        <v>Ja</v>
      </c>
      <c r="P374" t="str">
        <f t="shared" si="11"/>
        <v>ja</v>
      </c>
      <c r="R374">
        <f t="shared" si="10"/>
        <v>327</v>
      </c>
    </row>
    <row r="375" spans="1:18" x14ac:dyDescent="0.45">
      <c r="A375" s="2" t="s">
        <v>197</v>
      </c>
      <c r="B375" s="2" t="s">
        <v>201</v>
      </c>
      <c r="C375">
        <f>IFERROR(VLOOKUP($B375,Miljövärden!$B$3:$H$553,MATCH(C$2,Miljövärden!$B$2:$H$2,0),FALSE),"Saknas")</f>
        <v>0.22001599999999999</v>
      </c>
      <c r="D375">
        <f>IFERROR(VLOOKUP($B375,Miljövärden!$B$3:$H$553,MATCH(D$2,Miljövärden!$B$2:$H$2,0),FALSE),"Saknas")</f>
        <v>14.441800000000001</v>
      </c>
      <c r="E375">
        <f>IFERROR(VLOOKUP($B375,Miljövärden!$B$3:$H$553,MATCH(E$2,Miljövärden!$B$2:$H$2,0),FALSE),"Saknas")</f>
        <v>19.279499999999999</v>
      </c>
      <c r="F375">
        <f>IFERROR(VLOOKUP($B375,Miljövärden!$B$3:$H$553,MATCH(F$2,Miljövärden!$B$2:$H$2,0),FALSE),"Saknas")</f>
        <v>2.4429200000000002E-2</v>
      </c>
      <c r="G375" t="str">
        <f>IFERROR(VLOOKUP($B375,Miljövärden!$B$3:$H$553,MATCH(G$2,Miljövärden!$B$2:$H$2,0),FALSE),"Nej, saknas")</f>
        <v>Ja</v>
      </c>
      <c r="H375" t="str">
        <f>IFERROR(VLOOKUP($B375,Miljövärden!$B$3:$H$553,MATCH(H$2,Miljövärden!$B$2:$H$2,0),FALSE),"Nej, saknas")</f>
        <v>Ja</v>
      </c>
      <c r="P375" t="str">
        <f t="shared" si="11"/>
        <v>ja</v>
      </c>
      <c r="R375">
        <f t="shared" si="10"/>
        <v>328</v>
      </c>
    </row>
    <row r="376" spans="1:18" x14ac:dyDescent="0.45">
      <c r="A376" s="2" t="s">
        <v>197</v>
      </c>
      <c r="B376" s="2" t="s">
        <v>199</v>
      </c>
      <c r="C376">
        <f>IFERROR(VLOOKUP($B376,Miljövärden!$B$3:$H$553,MATCH(C$2,Miljövärden!$B$2:$H$2,0),FALSE),"Saknas")</f>
        <v>0.23127800000000001</v>
      </c>
      <c r="D376">
        <f>IFERROR(VLOOKUP($B376,Miljövärden!$B$3:$H$553,MATCH(D$2,Miljövärden!$B$2:$H$2,0),FALSE),"Saknas")</f>
        <v>21.682600000000001</v>
      </c>
      <c r="E376">
        <f>IFERROR(VLOOKUP($B376,Miljövärden!$B$3:$H$553,MATCH(E$2,Miljövärden!$B$2:$H$2,0),FALSE),"Saknas")</f>
        <v>17.6524</v>
      </c>
      <c r="F376">
        <f>IFERROR(VLOOKUP($B376,Miljövärden!$B$3:$H$553,MATCH(F$2,Miljövärden!$B$2:$H$2,0),FALSE),"Saknas")</f>
        <v>5.0677199999999999E-2</v>
      </c>
      <c r="G376" t="str">
        <f>IFERROR(VLOOKUP($B376,Miljövärden!$B$3:$H$553,MATCH(G$2,Miljövärden!$B$2:$H$2,0),FALSE),"Nej, saknas")</f>
        <v>Ja</v>
      </c>
      <c r="H376" t="str">
        <f>IFERROR(VLOOKUP($B376,Miljövärden!$B$3:$H$553,MATCH(H$2,Miljövärden!$B$2:$H$2,0),FALSE),"Nej, saknas")</f>
        <v>Ja</v>
      </c>
      <c r="P376" t="str">
        <f t="shared" si="11"/>
        <v>ja</v>
      </c>
      <c r="R376">
        <f t="shared" si="10"/>
        <v>329</v>
      </c>
    </row>
    <row r="377" spans="1:18" x14ac:dyDescent="0.45">
      <c r="A377" s="2" t="s">
        <v>197</v>
      </c>
      <c r="B377" s="2" t="s">
        <v>198</v>
      </c>
      <c r="C377">
        <f>IFERROR(VLOOKUP($B377,Miljövärden!$B$3:$H$553,MATCH(C$2,Miljövärden!$B$2:$H$2,0),FALSE),"Saknas")</f>
        <v>8.2360699999999995E-2</v>
      </c>
      <c r="D377">
        <f>IFERROR(VLOOKUP($B377,Miljövärden!$B$3:$H$553,MATCH(D$2,Miljövärden!$B$2:$H$2,0),FALSE),"Saknas")</f>
        <v>7.0414500000000002</v>
      </c>
      <c r="E377">
        <f>IFERROR(VLOOKUP($B377,Miljövärden!$B$3:$H$553,MATCH(E$2,Miljövärden!$B$2:$H$2,0),FALSE),"Saknas")</f>
        <v>10.6089</v>
      </c>
      <c r="F377">
        <f>IFERROR(VLOOKUP($B377,Miljövärden!$B$3:$H$553,MATCH(F$2,Miljövärden!$B$2:$H$2,0),FALSE),"Saknas")</f>
        <v>2.49359E-3</v>
      </c>
      <c r="G377" t="str">
        <f>IFERROR(VLOOKUP($B377,Miljövärden!$B$3:$H$553,MATCH(G$2,Miljövärden!$B$2:$H$2,0),FALSE),"Nej, saknas")</f>
        <v>Ja</v>
      </c>
      <c r="H377" t="str">
        <f>IFERROR(VLOOKUP($B377,Miljövärden!$B$3:$H$553,MATCH(H$2,Miljövärden!$B$2:$H$2,0),FALSE),"Nej, saknas")</f>
        <v>Ja</v>
      </c>
      <c r="P377" t="str">
        <f t="shared" si="11"/>
        <v>ja</v>
      </c>
      <c r="R377">
        <f t="shared" si="10"/>
        <v>330</v>
      </c>
    </row>
    <row r="378" spans="1:18" x14ac:dyDescent="0.45">
      <c r="A378" s="2" t="s">
        <v>197</v>
      </c>
      <c r="B378" s="2" t="s">
        <v>196</v>
      </c>
      <c r="C378">
        <f>IFERROR(VLOOKUP($B378,Miljövärden!$B$3:$H$553,MATCH(C$2,Miljövärden!$B$2:$H$2,0),FALSE),"Saknas")</f>
        <v>6.5923700000000002E-2</v>
      </c>
      <c r="D378">
        <f>IFERROR(VLOOKUP($B378,Miljövärden!$B$3:$H$553,MATCH(D$2,Miljövärden!$B$2:$H$2,0),FALSE),"Saknas")</f>
        <v>4.5162500000000003</v>
      </c>
      <c r="E378">
        <f>IFERROR(VLOOKUP($B378,Miljövärden!$B$3:$H$553,MATCH(E$2,Miljövärden!$B$2:$H$2,0),FALSE),"Saknas")</f>
        <v>6.9142000000000001</v>
      </c>
      <c r="F378">
        <f>IFERROR(VLOOKUP($B378,Miljövärden!$B$3:$H$553,MATCH(F$2,Miljövärden!$B$2:$H$2,0),FALSE),"Saknas")</f>
        <v>1.94169E-3</v>
      </c>
      <c r="G378" t="str">
        <f>IFERROR(VLOOKUP($B378,Miljövärden!$B$3:$H$553,MATCH(G$2,Miljövärden!$B$2:$H$2,0),FALSE),"Nej, saknas")</f>
        <v>Ja</v>
      </c>
      <c r="H378" t="str">
        <f>IFERROR(VLOOKUP($B378,Miljövärden!$B$3:$H$553,MATCH(H$2,Miljövärden!$B$2:$H$2,0),FALSE),"Nej, saknas")</f>
        <v>Ja</v>
      </c>
      <c r="P378" t="str">
        <f t="shared" si="11"/>
        <v>ja</v>
      </c>
      <c r="R378">
        <f t="shared" si="10"/>
        <v>331</v>
      </c>
    </row>
    <row r="379" spans="1:18" x14ac:dyDescent="0.45">
      <c r="A379" s="2" t="s">
        <v>191</v>
      </c>
      <c r="B379" s="2" t="s">
        <v>195</v>
      </c>
      <c r="C379">
        <f>IFERROR(VLOOKUP($B379,Miljövärden!$B$3:$H$553,MATCH(C$2,Miljövärden!$B$2:$H$2,0),FALSE),"Saknas")</f>
        <v>4.7947400000000001E-2</v>
      </c>
      <c r="D379">
        <f>IFERROR(VLOOKUP($B379,Miljövärden!$B$3:$H$553,MATCH(D$2,Miljövärden!$B$2:$H$2,0),FALSE),"Saknas")</f>
        <v>7.6066000000000003</v>
      </c>
      <c r="E379">
        <f>IFERROR(VLOOKUP($B379,Miljövärden!$B$3:$H$553,MATCH(E$2,Miljövärden!$B$2:$H$2,0),FALSE),"Saknas")</f>
        <v>7.4795800000000003</v>
      </c>
      <c r="F379">
        <f>IFERROR(VLOOKUP($B379,Miljövärden!$B$3:$H$553,MATCH(F$2,Miljövärden!$B$2:$H$2,0),FALSE),"Saknas")</f>
        <v>9.0341399999999995E-4</v>
      </c>
      <c r="G379" t="str">
        <f>IFERROR(VLOOKUP($B379,Miljövärden!$B$3:$H$553,MATCH(G$2,Miljövärden!$B$2:$H$2,0),FALSE),"Nej, saknas")</f>
        <v>Ja</v>
      </c>
      <c r="H379" t="str">
        <f>IFERROR(VLOOKUP($B379,Miljövärden!$B$3:$H$553,MATCH(H$2,Miljövärden!$B$2:$H$2,0),FALSE),"Nej, saknas")</f>
        <v>Ja</v>
      </c>
      <c r="P379" t="str">
        <f t="shared" si="11"/>
        <v>ja</v>
      </c>
      <c r="R379">
        <f t="shared" si="10"/>
        <v>332</v>
      </c>
    </row>
    <row r="380" spans="1:18" x14ac:dyDescent="0.45">
      <c r="A380" s="2" t="s">
        <v>191</v>
      </c>
      <c r="B380" s="2" t="s">
        <v>193</v>
      </c>
      <c r="C380">
        <f>IFERROR(VLOOKUP($B380,Miljövärden!$B$3:$H$553,MATCH(C$2,Miljövärden!$B$2:$H$2,0),FALSE),"Saknas")</f>
        <v>4.15231E-2</v>
      </c>
      <c r="D380">
        <f>IFERROR(VLOOKUP($B380,Miljövärden!$B$3:$H$553,MATCH(D$2,Miljövärden!$B$2:$H$2,0),FALSE),"Saknas")</f>
        <v>4.9361800000000002</v>
      </c>
      <c r="E380">
        <f>IFERROR(VLOOKUP($B380,Miljövärden!$B$3:$H$553,MATCH(E$2,Miljövärden!$B$2:$H$2,0),FALSE),"Saknas")</f>
        <v>8.8547799999999999</v>
      </c>
      <c r="F380">
        <f>IFERROR(VLOOKUP($B380,Miljövärden!$B$3:$H$553,MATCH(F$2,Miljövärden!$B$2:$H$2,0),FALSE),"Saknas")</f>
        <v>0</v>
      </c>
      <c r="G380" t="str">
        <f>IFERROR(VLOOKUP($B380,Miljövärden!$B$3:$H$553,MATCH(G$2,Miljövärden!$B$2:$H$2,0),FALSE),"Nej, saknas")</f>
        <v>Ja</v>
      </c>
      <c r="H380" t="str">
        <f>IFERROR(VLOOKUP($B380,Miljövärden!$B$3:$H$553,MATCH(H$2,Miljövärden!$B$2:$H$2,0),FALSE),"Nej, saknas")</f>
        <v>Ja</v>
      </c>
      <c r="P380" t="str">
        <f t="shared" si="11"/>
        <v>ja</v>
      </c>
      <c r="R380">
        <f t="shared" si="10"/>
        <v>333</v>
      </c>
    </row>
    <row r="381" spans="1:18" x14ac:dyDescent="0.45">
      <c r="A381" s="2" t="s">
        <v>191</v>
      </c>
      <c r="B381" s="2" t="s">
        <v>192</v>
      </c>
      <c r="C381">
        <f>IFERROR(VLOOKUP($B381,Miljövärden!$B$3:$H$553,MATCH(C$2,Miljövärden!$B$2:$H$2,0),FALSE),"Saknas")</f>
        <v>6.2163400000000001E-2</v>
      </c>
      <c r="D381">
        <f>IFERROR(VLOOKUP($B381,Miljövärden!$B$3:$H$553,MATCH(D$2,Miljövärden!$B$2:$H$2,0),FALSE),"Saknas")</f>
        <v>6.5949400000000002</v>
      </c>
      <c r="E381">
        <f>IFERROR(VLOOKUP($B381,Miljövärden!$B$3:$H$553,MATCH(E$2,Miljövärden!$B$2:$H$2,0),FALSE),"Saknas")</f>
        <v>4.7486499999999996</v>
      </c>
      <c r="F381">
        <f>IFERROR(VLOOKUP($B381,Miljövärden!$B$3:$H$553,MATCH(F$2,Miljövärden!$B$2:$H$2,0),FALSE),"Saknas")</f>
        <v>6.1962600000000003E-3</v>
      </c>
      <c r="G381" t="str">
        <f>IFERROR(VLOOKUP($B381,Miljövärden!$B$3:$H$553,MATCH(G$2,Miljövärden!$B$2:$H$2,0),FALSE),"Nej, saknas")</f>
        <v>Ja</v>
      </c>
      <c r="H381" t="str">
        <f>IFERROR(VLOOKUP($B381,Miljövärden!$B$3:$H$553,MATCH(H$2,Miljövärden!$B$2:$H$2,0),FALSE),"Nej, saknas")</f>
        <v>Ja</v>
      </c>
      <c r="P381" t="str">
        <f t="shared" si="11"/>
        <v>ja</v>
      </c>
      <c r="R381">
        <f t="shared" si="10"/>
        <v>334</v>
      </c>
    </row>
    <row r="382" spans="1:18" x14ac:dyDescent="0.45">
      <c r="A382" s="2" t="s">
        <v>191</v>
      </c>
      <c r="B382" s="2" t="s">
        <v>190</v>
      </c>
      <c r="C382">
        <f>IFERROR(VLOOKUP($B382,Miljövärden!$B$3:$H$553,MATCH(C$2,Miljövärden!$B$2:$H$2,0),FALSE),"Saknas")</f>
        <v>1.90099E-2</v>
      </c>
      <c r="D382">
        <f>IFERROR(VLOOKUP($B382,Miljövärden!$B$3:$H$553,MATCH(D$2,Miljövärden!$B$2:$H$2,0),FALSE),"Saknas")</f>
        <v>1.4907699999999999</v>
      </c>
      <c r="E382">
        <f>IFERROR(VLOOKUP($B382,Miljövärden!$B$3:$H$553,MATCH(E$2,Miljövärden!$B$2:$H$2,0),FALSE),"Saknas")</f>
        <v>1.0659799999999999</v>
      </c>
      <c r="F382">
        <f>IFERROR(VLOOKUP($B382,Miljövärden!$B$3:$H$553,MATCH(F$2,Miljövärden!$B$2:$H$2,0),FALSE),"Saknas")</f>
        <v>1.4501200000000001E-3</v>
      </c>
      <c r="G382" t="str">
        <f>IFERROR(VLOOKUP($B382,Miljövärden!$B$3:$H$553,MATCH(G$2,Miljövärden!$B$2:$H$2,0),FALSE),"Nej, saknas")</f>
        <v>Ja</v>
      </c>
      <c r="H382" t="str">
        <f>IFERROR(VLOOKUP($B382,Miljövärden!$B$3:$H$553,MATCH(H$2,Miljövärden!$B$2:$H$2,0),FALSE),"Nej, saknas")</f>
        <v>Ja</v>
      </c>
      <c r="P382" t="str">
        <f t="shared" si="11"/>
        <v>ja</v>
      </c>
      <c r="R382">
        <f t="shared" si="10"/>
        <v>335</v>
      </c>
    </row>
    <row r="383" spans="1:18" x14ac:dyDescent="0.45">
      <c r="A383" s="2" t="s">
        <v>187</v>
      </c>
      <c r="B383" s="2" t="s">
        <v>189</v>
      </c>
      <c r="C383">
        <f>IFERROR(VLOOKUP($B383,Miljövärden!$B$3:$H$553,MATCH(C$2,Miljövärden!$B$2:$H$2,0),FALSE),"Saknas")</f>
        <v>0.16541800000000001</v>
      </c>
      <c r="D383">
        <f>IFERROR(VLOOKUP($B383,Miljövärden!$B$3:$H$553,MATCH(D$2,Miljövärden!$B$2:$H$2,0),FALSE),"Saknas")</f>
        <v>22.7181</v>
      </c>
      <c r="E383">
        <f>IFERROR(VLOOKUP($B383,Miljövärden!$B$3:$H$553,MATCH(E$2,Miljövärden!$B$2:$H$2,0),FALSE),"Saknas")</f>
        <v>11.9994</v>
      </c>
      <c r="F383">
        <f>IFERROR(VLOOKUP($B383,Miljövärden!$B$3:$H$553,MATCH(F$2,Miljövärden!$B$2:$H$2,0),FALSE),"Saknas")</f>
        <v>3.8156599999999999E-2</v>
      </c>
      <c r="G383" t="str">
        <f>IFERROR(VLOOKUP($B383,Miljövärden!$B$3:$H$553,MATCH(G$2,Miljövärden!$B$2:$H$2,0),FALSE),"Nej, saknas")</f>
        <v>Ja</v>
      </c>
      <c r="H383" t="str">
        <f>IFERROR(VLOOKUP($B383,Miljövärden!$B$3:$H$553,MATCH(H$2,Miljövärden!$B$2:$H$2,0),FALSE),"Nej, saknas")</f>
        <v>Ja</v>
      </c>
      <c r="P383" t="str">
        <f t="shared" si="11"/>
        <v>ja</v>
      </c>
      <c r="R383">
        <f t="shared" si="10"/>
        <v>336</v>
      </c>
    </row>
    <row r="384" spans="1:18" x14ac:dyDescent="0.45">
      <c r="A384" s="2" t="s">
        <v>187</v>
      </c>
      <c r="B384" s="2" t="s">
        <v>188</v>
      </c>
      <c r="C384">
        <f>IFERROR(VLOOKUP($B384,Miljövärden!$B$3:$H$553,MATCH(C$2,Miljövärden!$B$2:$H$2,0),FALSE),"Saknas")</f>
        <v>0.17233899999999999</v>
      </c>
      <c r="D384">
        <f>IFERROR(VLOOKUP($B384,Miljövärden!$B$3:$H$553,MATCH(D$2,Miljövärden!$B$2:$H$2,0),FALSE),"Saknas")</f>
        <v>27.643599999999999</v>
      </c>
      <c r="E384">
        <f>IFERROR(VLOOKUP($B384,Miljövärden!$B$3:$H$553,MATCH(E$2,Miljövärden!$B$2:$H$2,0),FALSE),"Saknas")</f>
        <v>11.8775</v>
      </c>
      <c r="F384">
        <f>IFERROR(VLOOKUP($B384,Miljövärden!$B$3:$H$553,MATCH(F$2,Miljövärden!$B$2:$H$2,0),FALSE),"Saknas")</f>
        <v>5.24482E-2</v>
      </c>
      <c r="G384" t="str">
        <f>IFERROR(VLOOKUP($B384,Miljövärden!$B$3:$H$553,MATCH(G$2,Miljövärden!$B$2:$H$2,0),FALSE),"Nej, saknas")</f>
        <v>Ja</v>
      </c>
      <c r="H384" t="str">
        <f>IFERROR(VLOOKUP($B384,Miljövärden!$B$3:$H$553,MATCH(H$2,Miljövärden!$B$2:$H$2,0),FALSE),"Nej, saknas")</f>
        <v>Ja</v>
      </c>
      <c r="P384" t="str">
        <f t="shared" si="11"/>
        <v>ja</v>
      </c>
      <c r="R384">
        <f t="shared" si="10"/>
        <v>337</v>
      </c>
    </row>
    <row r="385" spans="1:18" x14ac:dyDescent="0.45">
      <c r="A385" s="2" t="s">
        <v>187</v>
      </c>
      <c r="B385" s="2" t="s">
        <v>186</v>
      </c>
      <c r="C385">
        <f>IFERROR(VLOOKUP($B385,Miljövärden!$B$3:$H$553,MATCH(C$2,Miljövärden!$B$2:$H$2,0),FALSE),"Saknas")</f>
        <v>0.12922</v>
      </c>
      <c r="D385">
        <f>IFERROR(VLOOKUP($B385,Miljövärden!$B$3:$H$553,MATCH(D$2,Miljövärden!$B$2:$H$2,0),FALSE),"Saknas")</f>
        <v>128.53200000000001</v>
      </c>
      <c r="E385">
        <f>IFERROR(VLOOKUP($B385,Miljövärden!$B$3:$H$553,MATCH(E$2,Miljövärden!$B$2:$H$2,0),FALSE),"Saknas")</f>
        <v>4.3145899999999999</v>
      </c>
      <c r="F385">
        <f>IFERROR(VLOOKUP($B385,Miljövärden!$B$3:$H$553,MATCH(F$2,Miljövärden!$B$2:$H$2,0),FALSE),"Saknas")</f>
        <v>1.9873600000000002E-2</v>
      </c>
      <c r="G385" t="str">
        <f>IFERROR(VLOOKUP($B385,Miljövärden!$B$3:$H$553,MATCH(G$2,Miljövärden!$B$2:$H$2,0),FALSE),"Nej, saknas")</f>
        <v>Ja</v>
      </c>
      <c r="H385" t="str">
        <f>IFERROR(VLOOKUP($B385,Miljövärden!$B$3:$H$553,MATCH(H$2,Miljövärden!$B$2:$H$2,0),FALSE),"Nej, saknas")</f>
        <v>Ja</v>
      </c>
      <c r="P385" t="str">
        <f t="shared" si="11"/>
        <v>ja</v>
      </c>
      <c r="R385">
        <f t="shared" si="10"/>
        <v>338</v>
      </c>
    </row>
    <row r="386" spans="1:18" x14ac:dyDescent="0.45">
      <c r="A386" s="2" t="s">
        <v>182</v>
      </c>
      <c r="B386" s="2" t="s">
        <v>185</v>
      </c>
      <c r="C386">
        <f>IFERROR(VLOOKUP($B386,Miljövärden!$B$3:$H$553,MATCH(C$2,Miljövärden!$B$2:$H$2,0),FALSE),"Saknas")</f>
        <v>4.6418000000000001E-2</v>
      </c>
      <c r="D386">
        <f>IFERROR(VLOOKUP($B386,Miljövärden!$B$3:$H$553,MATCH(D$2,Miljövärden!$B$2:$H$2,0),FALSE),"Saknas")</f>
        <v>29.143799999999999</v>
      </c>
      <c r="E386">
        <f>IFERROR(VLOOKUP($B386,Miljövärden!$B$3:$H$553,MATCH(E$2,Miljövärden!$B$2:$H$2,0),FALSE),"Saknas")</f>
        <v>4.3806900000000004</v>
      </c>
      <c r="F386">
        <f>IFERROR(VLOOKUP($B386,Miljövärden!$B$3:$H$553,MATCH(F$2,Miljövärden!$B$2:$H$2,0),FALSE),"Saknas")</f>
        <v>0</v>
      </c>
      <c r="G386" t="str">
        <f>IFERROR(VLOOKUP($B386,Miljövärden!$B$3:$H$553,MATCH(G$2,Miljövärden!$B$2:$H$2,0),FALSE),"Nej, saknas")</f>
        <v>Nej</v>
      </c>
      <c r="H386" t="str">
        <f>IFERROR(VLOOKUP($B386,Miljövärden!$B$3:$H$553,MATCH(H$2,Miljövärden!$B$2:$H$2,0),FALSE),"Nej, saknas")</f>
        <v>Ja</v>
      </c>
      <c r="P386" t="str">
        <f t="shared" si="11"/>
        <v>ja</v>
      </c>
      <c r="R386">
        <f t="shared" si="10"/>
        <v>339</v>
      </c>
    </row>
    <row r="387" spans="1:18" x14ac:dyDescent="0.45">
      <c r="A387" s="2" t="s">
        <v>182</v>
      </c>
      <c r="B387" s="2" t="s">
        <v>184</v>
      </c>
      <c r="C387">
        <f>IFERROR(VLOOKUP($B387,Miljövärden!$B$3:$H$553,MATCH(C$2,Miljövärden!$B$2:$H$2,0),FALSE),"Saknas")</f>
        <v>0</v>
      </c>
      <c r="D387">
        <f>IFERROR(VLOOKUP($B387,Miljövärden!$B$3:$H$553,MATCH(D$2,Miljövärden!$B$2:$H$2,0),FALSE),"Saknas")</f>
        <v>0</v>
      </c>
      <c r="E387">
        <f>IFERROR(VLOOKUP($B387,Miljövärden!$B$3:$H$553,MATCH(E$2,Miljövärden!$B$2:$H$2,0),FALSE),"Saknas")</f>
        <v>0</v>
      </c>
      <c r="F387">
        <f>IFERROR(VLOOKUP($B387,Miljövärden!$B$3:$H$553,MATCH(F$2,Miljövärden!$B$2:$H$2,0),FALSE),"Saknas")</f>
        <v>0</v>
      </c>
      <c r="G387" t="str">
        <f>IFERROR(VLOOKUP($B387,Miljövärden!$B$3:$H$553,MATCH(G$2,Miljövärden!$B$2:$H$2,0),FALSE),"Nej, saknas")</f>
        <v>Nej</v>
      </c>
      <c r="H387" t="str">
        <f>IFERROR(VLOOKUP($B387,Miljövärden!$B$3:$H$553,MATCH(H$2,Miljövärden!$B$2:$H$2,0),FALSE),"Nej, saknas")</f>
        <v>Nej</v>
      </c>
      <c r="P387" t="str">
        <f t="shared" si="11"/>
        <v>nej</v>
      </c>
      <c r="R387">
        <f t="shared" si="10"/>
        <v>339</v>
      </c>
    </row>
    <row r="388" spans="1:18" x14ac:dyDescent="0.45">
      <c r="A388" s="2" t="s">
        <v>182</v>
      </c>
      <c r="B388" s="2" t="s">
        <v>183</v>
      </c>
      <c r="C388">
        <f>IFERROR(VLOOKUP($B388,Miljövärden!$B$3:$H$553,MATCH(C$2,Miljövärden!$B$2:$H$2,0),FALSE),"Saknas")</f>
        <v>0</v>
      </c>
      <c r="D388">
        <f>IFERROR(VLOOKUP($B388,Miljövärden!$B$3:$H$553,MATCH(D$2,Miljövärden!$B$2:$H$2,0),FALSE),"Saknas")</f>
        <v>0</v>
      </c>
      <c r="E388">
        <f>IFERROR(VLOOKUP($B388,Miljövärden!$B$3:$H$553,MATCH(E$2,Miljövärden!$B$2:$H$2,0),FALSE),"Saknas")</f>
        <v>0</v>
      </c>
      <c r="F388">
        <f>IFERROR(VLOOKUP($B388,Miljövärden!$B$3:$H$553,MATCH(F$2,Miljövärden!$B$2:$H$2,0),FALSE),"Saknas")</f>
        <v>0</v>
      </c>
      <c r="G388" t="str">
        <f>IFERROR(VLOOKUP($B388,Miljövärden!$B$3:$H$553,MATCH(G$2,Miljövärden!$B$2:$H$2,0),FALSE),"Nej, saknas")</f>
        <v>Nej</v>
      </c>
      <c r="H388" t="str">
        <f>IFERROR(VLOOKUP($B388,Miljövärden!$B$3:$H$553,MATCH(H$2,Miljövärden!$B$2:$H$2,0),FALSE),"Nej, saknas")</f>
        <v>Nej</v>
      </c>
      <c r="P388" t="str">
        <f t="shared" si="11"/>
        <v>nej</v>
      </c>
      <c r="R388">
        <f t="shared" ref="R388:R411" si="12">IF(ISERROR(P388),R387,IF(P388="ja",R387+1,R387))</f>
        <v>339</v>
      </c>
    </row>
    <row r="389" spans="1:18" x14ac:dyDescent="0.45">
      <c r="A389" s="2" t="s">
        <v>182</v>
      </c>
      <c r="B389" s="2" t="s">
        <v>181</v>
      </c>
      <c r="C389">
        <f>IFERROR(VLOOKUP($B389,Miljövärden!$B$3:$H$553,MATCH(C$2,Miljövärden!$B$2:$H$2,0),FALSE),"Saknas")</f>
        <v>0</v>
      </c>
      <c r="D389">
        <f>IFERROR(VLOOKUP($B389,Miljövärden!$B$3:$H$553,MATCH(D$2,Miljövärden!$B$2:$H$2,0),FALSE),"Saknas")</f>
        <v>0</v>
      </c>
      <c r="E389">
        <f>IFERROR(VLOOKUP($B389,Miljövärden!$B$3:$H$553,MATCH(E$2,Miljövärden!$B$2:$H$2,0),FALSE),"Saknas")</f>
        <v>0</v>
      </c>
      <c r="F389">
        <f>IFERROR(VLOOKUP($B389,Miljövärden!$B$3:$H$553,MATCH(F$2,Miljövärden!$B$2:$H$2,0),FALSE),"Saknas")</f>
        <v>0</v>
      </c>
      <c r="G389" t="str">
        <f>IFERROR(VLOOKUP($B389,Miljövärden!$B$3:$H$553,MATCH(G$2,Miljövärden!$B$2:$H$2,0),FALSE),"Nej, saknas")</f>
        <v>Nej</v>
      </c>
      <c r="H389" t="str">
        <f>IFERROR(VLOOKUP($B389,Miljövärden!$B$3:$H$553,MATCH(H$2,Miljövärden!$B$2:$H$2,0),FALSE),"Nej, saknas")</f>
        <v>Nej</v>
      </c>
      <c r="P389" t="str">
        <f t="shared" ref="P389:P411" si="13">IF(K389="x","nej",
IF(L389="x","ja",
IF(H389="ja","ja","nej")))</f>
        <v>nej</v>
      </c>
      <c r="R389">
        <f t="shared" si="12"/>
        <v>339</v>
      </c>
    </row>
    <row r="390" spans="1:18" x14ac:dyDescent="0.45">
      <c r="A390" s="2" t="s">
        <v>175</v>
      </c>
      <c r="B390" s="2" t="s">
        <v>180</v>
      </c>
      <c r="C390">
        <f>IFERROR(VLOOKUP($B390,Miljövärden!$B$3:$H$553,MATCH(C$2,Miljövärden!$B$2:$H$2,0),FALSE),"Saknas")</f>
        <v>6.9419300000000003E-2</v>
      </c>
      <c r="D390">
        <f>IFERROR(VLOOKUP($B390,Miljövärden!$B$3:$H$553,MATCH(D$2,Miljövärden!$B$2:$H$2,0),FALSE),"Saknas")</f>
        <v>5.5787500000000003</v>
      </c>
      <c r="E390">
        <f>IFERROR(VLOOKUP($B390,Miljövärden!$B$3:$H$553,MATCH(E$2,Miljövärden!$B$2:$H$2,0),FALSE),"Saknas")</f>
        <v>12.1347</v>
      </c>
      <c r="F390">
        <f>IFERROR(VLOOKUP($B390,Miljövärden!$B$3:$H$553,MATCH(F$2,Miljövärden!$B$2:$H$2,0),FALSE),"Saknas")</f>
        <v>0</v>
      </c>
      <c r="G390" t="str">
        <f>IFERROR(VLOOKUP($B390,Miljövärden!$B$3:$H$553,MATCH(G$2,Miljövärden!$B$2:$H$2,0),FALSE),"Nej, saknas")</f>
        <v>Ja</v>
      </c>
      <c r="H390" t="str">
        <f>IFERROR(VLOOKUP($B390,Miljövärden!$B$3:$H$553,MATCH(H$2,Miljövärden!$B$2:$H$2,0),FALSE),"Nej, saknas")</f>
        <v>Ja</v>
      </c>
      <c r="P390" t="str">
        <f t="shared" si="13"/>
        <v>ja</v>
      </c>
      <c r="R390">
        <f t="shared" si="12"/>
        <v>340</v>
      </c>
    </row>
    <row r="391" spans="1:18" x14ac:dyDescent="0.45">
      <c r="A391" s="2" t="s">
        <v>175</v>
      </c>
      <c r="B391" s="2" t="s">
        <v>179</v>
      </c>
      <c r="C391">
        <f>IFERROR(VLOOKUP($B391,Miljövärden!$B$3:$H$553,MATCH(C$2,Miljövärden!$B$2:$H$2,0),FALSE),"Saknas")</f>
        <v>8.0856999999999998E-2</v>
      </c>
      <c r="D391">
        <f>IFERROR(VLOOKUP($B391,Miljövärden!$B$3:$H$553,MATCH(D$2,Miljövärden!$B$2:$H$2,0),FALSE),"Saknas")</f>
        <v>5.5185500000000003</v>
      </c>
      <c r="E391">
        <f>IFERROR(VLOOKUP($B391,Miljövärden!$B$3:$H$553,MATCH(E$2,Miljövärden!$B$2:$H$2,0),FALSE),"Saknas")</f>
        <v>13.0341</v>
      </c>
      <c r="F391">
        <f>IFERROR(VLOOKUP($B391,Miljövärden!$B$3:$H$553,MATCH(F$2,Miljövärden!$B$2:$H$2,0),FALSE),"Saknas")</f>
        <v>0</v>
      </c>
      <c r="G391" t="str">
        <f>IFERROR(VLOOKUP($B391,Miljövärden!$B$3:$H$553,MATCH(G$2,Miljövärden!$B$2:$H$2,0),FALSE),"Nej, saknas")</f>
        <v>Ja</v>
      </c>
      <c r="H391" t="str">
        <f>IFERROR(VLOOKUP($B391,Miljövärden!$B$3:$H$553,MATCH(H$2,Miljövärden!$B$2:$H$2,0),FALSE),"Nej, saknas")</f>
        <v>Ja</v>
      </c>
      <c r="P391" t="str">
        <f t="shared" si="13"/>
        <v>ja</v>
      </c>
      <c r="R391">
        <f t="shared" si="12"/>
        <v>341</v>
      </c>
    </row>
    <row r="392" spans="1:18" x14ac:dyDescent="0.45">
      <c r="A392" s="2" t="s">
        <v>175</v>
      </c>
      <c r="B392" s="2" t="s">
        <v>178</v>
      </c>
      <c r="C392">
        <f>IFERROR(VLOOKUP($B392,Miljövärden!$B$3:$H$553,MATCH(C$2,Miljövärden!$B$2:$H$2,0),FALSE),"Saknas")</f>
        <v>4.4140199999999997E-2</v>
      </c>
      <c r="D392">
        <f>IFERROR(VLOOKUP($B392,Miljövärden!$B$3:$H$553,MATCH(D$2,Miljövärden!$B$2:$H$2,0),FALSE),"Saknas")</f>
        <v>5.4629599999999998</v>
      </c>
      <c r="E392">
        <f>IFERROR(VLOOKUP($B392,Miljövärden!$B$3:$H$553,MATCH(E$2,Miljövärden!$B$2:$H$2,0),FALSE),"Saknas")</f>
        <v>9.7795000000000005</v>
      </c>
      <c r="F392">
        <f>IFERROR(VLOOKUP($B392,Miljövärden!$B$3:$H$553,MATCH(F$2,Miljövärden!$B$2:$H$2,0),FALSE),"Saknas")</f>
        <v>0</v>
      </c>
      <c r="G392" t="str">
        <f>IFERROR(VLOOKUP($B392,Miljövärden!$B$3:$H$553,MATCH(G$2,Miljövärden!$B$2:$H$2,0),FALSE),"Nej, saknas")</f>
        <v>Ja</v>
      </c>
      <c r="H392" t="str">
        <f>IFERROR(VLOOKUP($B392,Miljövärden!$B$3:$H$553,MATCH(H$2,Miljövärden!$B$2:$H$2,0),FALSE),"Nej, saknas")</f>
        <v>Ja</v>
      </c>
      <c r="P392" t="str">
        <f t="shared" si="13"/>
        <v>ja</v>
      </c>
      <c r="R392">
        <f t="shared" si="12"/>
        <v>342</v>
      </c>
    </row>
    <row r="393" spans="1:18" x14ac:dyDescent="0.45">
      <c r="A393" s="2" t="s">
        <v>175</v>
      </c>
      <c r="B393" s="2" t="s">
        <v>177</v>
      </c>
      <c r="C393">
        <f>IFERROR(VLOOKUP($B393,Miljövärden!$B$3:$H$553,MATCH(C$2,Miljövärden!$B$2:$H$2,0),FALSE),"Saknas")</f>
        <v>3.6281899999999999E-2</v>
      </c>
      <c r="D393">
        <f>IFERROR(VLOOKUP($B393,Miljövärden!$B$3:$H$553,MATCH(D$2,Miljövärden!$B$2:$H$2,0),FALSE),"Saknas")</f>
        <v>3.4068800000000001</v>
      </c>
      <c r="E393">
        <f>IFERROR(VLOOKUP($B393,Miljövärden!$B$3:$H$553,MATCH(E$2,Miljövärden!$B$2:$H$2,0),FALSE),"Saknas")</f>
        <v>5.96204</v>
      </c>
      <c r="F393">
        <f>IFERROR(VLOOKUP($B393,Miljövärden!$B$3:$H$553,MATCH(F$2,Miljövärden!$B$2:$H$2,0),FALSE),"Saknas")</f>
        <v>0</v>
      </c>
      <c r="G393" t="str">
        <f>IFERROR(VLOOKUP($B393,Miljövärden!$B$3:$H$553,MATCH(G$2,Miljövärden!$B$2:$H$2,0),FALSE),"Nej, saknas")</f>
        <v>Ja</v>
      </c>
      <c r="H393" t="str">
        <f>IFERROR(VLOOKUP($B393,Miljövärden!$B$3:$H$553,MATCH(H$2,Miljövärden!$B$2:$H$2,0),FALSE),"Nej, saknas")</f>
        <v>Ja</v>
      </c>
      <c r="P393" t="str">
        <f t="shared" si="13"/>
        <v>ja</v>
      </c>
      <c r="R393">
        <f t="shared" si="12"/>
        <v>343</v>
      </c>
    </row>
    <row r="394" spans="1:18" x14ac:dyDescent="0.45">
      <c r="A394" s="2" t="s">
        <v>175</v>
      </c>
      <c r="B394" s="2" t="s">
        <v>174</v>
      </c>
      <c r="C394">
        <f>IFERROR(VLOOKUP($B394,Miljövärden!$B$3:$H$553,MATCH(C$2,Miljövärden!$B$2:$H$2,0),FALSE),"Saknas")</f>
        <v>7.57129E-2</v>
      </c>
      <c r="D394">
        <f>IFERROR(VLOOKUP($B394,Miljövärden!$B$3:$H$553,MATCH(D$2,Miljövärden!$B$2:$H$2,0),FALSE),"Saknas")</f>
        <v>22.2913</v>
      </c>
      <c r="E394">
        <f>IFERROR(VLOOKUP($B394,Miljövärden!$B$3:$H$553,MATCH(E$2,Miljövärden!$B$2:$H$2,0),FALSE),"Saknas")</f>
        <v>7.2649999999999997</v>
      </c>
      <c r="F394">
        <f>IFERROR(VLOOKUP($B394,Miljövärden!$B$3:$H$553,MATCH(F$2,Miljövärden!$B$2:$H$2,0),FALSE),"Saknas")</f>
        <v>1.32515E-3</v>
      </c>
      <c r="G394" t="str">
        <f>IFERROR(VLOOKUP($B394,Miljövärden!$B$3:$H$553,MATCH(G$2,Miljövärden!$B$2:$H$2,0),FALSE),"Nej, saknas")</f>
        <v>Ja</v>
      </c>
      <c r="H394" t="str">
        <f>IFERROR(VLOOKUP($B394,Miljövärden!$B$3:$H$553,MATCH(H$2,Miljövärden!$B$2:$H$2,0),FALSE),"Nej, saknas")</f>
        <v>Ja</v>
      </c>
      <c r="P394" t="str">
        <f t="shared" si="13"/>
        <v>ja</v>
      </c>
      <c r="R394">
        <f t="shared" si="12"/>
        <v>344</v>
      </c>
    </row>
    <row r="395" spans="1:18" x14ac:dyDescent="0.45">
      <c r="A395" s="2" t="s">
        <v>172</v>
      </c>
      <c r="B395" s="2" t="s">
        <v>171</v>
      </c>
      <c r="C395">
        <f>IFERROR(VLOOKUP($B395,Miljövärden!$B$3:$H$553,MATCH(C$2,Miljövärden!$B$2:$H$2,0),FALSE),"Saknas")</f>
        <v>5.4930100000000003E-2</v>
      </c>
      <c r="D395">
        <f>IFERROR(VLOOKUP($B395,Miljövärden!$B$3:$H$553,MATCH(D$2,Miljövärden!$B$2:$H$2,0),FALSE),"Saknas")</f>
        <v>7.01044</v>
      </c>
      <c r="E395">
        <f>IFERROR(VLOOKUP($B395,Miljövärden!$B$3:$H$553,MATCH(E$2,Miljövärden!$B$2:$H$2,0),FALSE),"Saknas")</f>
        <v>8.1275999999999993</v>
      </c>
      <c r="F395">
        <f>IFERROR(VLOOKUP($B395,Miljövärden!$B$3:$H$553,MATCH(F$2,Miljövärden!$B$2:$H$2,0),FALSE),"Saknas")</f>
        <v>6.64906E-3</v>
      </c>
      <c r="G395" t="str">
        <f>IFERROR(VLOOKUP($B395,Miljövärden!$B$3:$H$553,MATCH(G$2,Miljövärden!$B$2:$H$2,0),FALSE),"Nej, saknas")</f>
        <v>Ja</v>
      </c>
      <c r="H395" t="str">
        <f>IFERROR(VLOOKUP($B395,Miljövärden!$B$3:$H$553,MATCH(H$2,Miljövärden!$B$2:$H$2,0),FALSE),"Nej, saknas")</f>
        <v>Ja</v>
      </c>
      <c r="P395" t="str">
        <f t="shared" si="13"/>
        <v>ja</v>
      </c>
      <c r="R395">
        <f t="shared" si="12"/>
        <v>345</v>
      </c>
    </row>
    <row r="396" spans="1:18" x14ac:dyDescent="0.45">
      <c r="A396" s="2" t="s">
        <v>169</v>
      </c>
      <c r="B396" s="2" t="s">
        <v>170</v>
      </c>
      <c r="C396">
        <f>IFERROR(VLOOKUP($B396,Miljövärden!$B$3:$H$553,MATCH(C$2,Miljövärden!$B$2:$H$2,0),FALSE),"Saknas")</f>
        <v>0.18724399999999999</v>
      </c>
      <c r="D396">
        <f>IFERROR(VLOOKUP($B396,Miljövärden!$B$3:$H$553,MATCH(D$2,Miljövärden!$B$2:$H$2,0),FALSE),"Saknas")</f>
        <v>7.9687799999999998</v>
      </c>
      <c r="E396">
        <f>IFERROR(VLOOKUP($B396,Miljövärden!$B$3:$H$553,MATCH(E$2,Miljövärden!$B$2:$H$2,0),FALSE),"Saknas")</f>
        <v>17.156300000000002</v>
      </c>
      <c r="F396">
        <f>IFERROR(VLOOKUP($B396,Miljövärden!$B$3:$H$553,MATCH(F$2,Miljövärden!$B$2:$H$2,0),FALSE),"Saknas")</f>
        <v>9.4649199999999999E-3</v>
      </c>
      <c r="G396" t="str">
        <f>IFERROR(VLOOKUP($B396,Miljövärden!$B$3:$H$553,MATCH(G$2,Miljövärden!$B$2:$H$2,0),FALSE),"Nej, saknas")</f>
        <v>Ja</v>
      </c>
      <c r="H396" t="str">
        <f>IFERROR(VLOOKUP($B396,Miljövärden!$B$3:$H$553,MATCH(H$2,Miljövärden!$B$2:$H$2,0),FALSE),"Nej, saknas")</f>
        <v>Ja</v>
      </c>
      <c r="P396" t="str">
        <f t="shared" si="13"/>
        <v>ja</v>
      </c>
      <c r="R396">
        <f t="shared" si="12"/>
        <v>346</v>
      </c>
    </row>
    <row r="397" spans="1:18" x14ac:dyDescent="0.45">
      <c r="A397" s="2" t="s">
        <v>169</v>
      </c>
      <c r="B397" s="2" t="s">
        <v>168</v>
      </c>
      <c r="C397">
        <f>IFERROR(VLOOKUP($B397,Miljövärden!$B$3:$H$553,MATCH(C$2,Miljövärden!$B$2:$H$2,0),FALSE),"Saknas")</f>
        <v>6.3453899999999994E-2</v>
      </c>
      <c r="D397">
        <f>IFERROR(VLOOKUP($B397,Miljövärden!$B$3:$H$553,MATCH(D$2,Miljövärden!$B$2:$H$2,0),FALSE),"Saknas")</f>
        <v>2.1691799999999999</v>
      </c>
      <c r="E397">
        <f>IFERROR(VLOOKUP($B397,Miljövärden!$B$3:$H$553,MATCH(E$2,Miljövärden!$B$2:$H$2,0),FALSE),"Saknas")</f>
        <v>2.9869300000000001</v>
      </c>
      <c r="F397">
        <f>IFERROR(VLOOKUP($B397,Miljövärden!$B$3:$H$553,MATCH(F$2,Miljövärden!$B$2:$H$2,0),FALSE),"Saknas")</f>
        <v>1.9457999999999999E-3</v>
      </c>
      <c r="G397" t="str">
        <f>IFERROR(VLOOKUP($B397,Miljövärden!$B$3:$H$553,MATCH(G$2,Miljövärden!$B$2:$H$2,0),FALSE),"Nej, saknas")</f>
        <v>Ja</v>
      </c>
      <c r="H397" t="str">
        <f>IFERROR(VLOOKUP($B397,Miljövärden!$B$3:$H$553,MATCH(H$2,Miljövärden!$B$2:$H$2,0),FALSE),"Nej, saknas")</f>
        <v>Ja</v>
      </c>
      <c r="P397" t="str">
        <f t="shared" si="13"/>
        <v>ja</v>
      </c>
      <c r="R397">
        <f t="shared" si="12"/>
        <v>347</v>
      </c>
    </row>
    <row r="398" spans="1:18" x14ac:dyDescent="0.45">
      <c r="A398" s="2" t="s">
        <v>167</v>
      </c>
      <c r="B398" s="2" t="s">
        <v>136</v>
      </c>
      <c r="C398">
        <f>IFERROR(VLOOKUP($B398,Miljövärden!$B$3:$H$553,MATCH(C$2,Miljövärden!$B$2:$H$2,0),FALSE),"Saknas")</f>
        <v>0</v>
      </c>
      <c r="D398">
        <f>IFERROR(VLOOKUP($B398,Miljövärden!$B$3:$H$553,MATCH(D$2,Miljövärden!$B$2:$H$2,0),FALSE),"Saknas")</f>
        <v>0</v>
      </c>
      <c r="E398">
        <f>IFERROR(VLOOKUP($B398,Miljövärden!$B$3:$H$553,MATCH(E$2,Miljövärden!$B$2:$H$2,0),FALSE),"Saknas")</f>
        <v>0</v>
      </c>
      <c r="F398">
        <f>IFERROR(VLOOKUP($B398,Miljövärden!$B$3:$H$553,MATCH(F$2,Miljövärden!$B$2:$H$2,0),FALSE),"Saknas")</f>
        <v>0</v>
      </c>
      <c r="G398" t="str">
        <f>IFERROR(VLOOKUP($B398,Miljövärden!$B$3:$H$553,MATCH(G$2,Miljövärden!$B$2:$H$2,0),FALSE),"Nej, saknas")</f>
        <v>Nej</v>
      </c>
      <c r="H398" t="str">
        <f>IFERROR(VLOOKUP($B398,Miljövärden!$B$3:$H$553,MATCH(H$2,Miljövärden!$B$2:$H$2,0),FALSE),"Nej, saknas")</f>
        <v>Nej</v>
      </c>
      <c r="K398" t="s">
        <v>1529</v>
      </c>
      <c r="P398" t="str">
        <f t="shared" si="13"/>
        <v>nej</v>
      </c>
      <c r="R398">
        <f t="shared" si="12"/>
        <v>347</v>
      </c>
    </row>
    <row r="399" spans="1:18" x14ac:dyDescent="0.45">
      <c r="A399" s="2" t="s">
        <v>162</v>
      </c>
      <c r="B399" s="2" t="s">
        <v>166</v>
      </c>
      <c r="C399">
        <f>IFERROR(VLOOKUP($B399,Miljövärden!$B$3:$H$553,MATCH(C$2,Miljövärden!$B$2:$H$2,0),FALSE),"Saknas")</f>
        <v>6.5241800000000003E-2</v>
      </c>
      <c r="D399">
        <f>IFERROR(VLOOKUP($B399,Miljövärden!$B$3:$H$553,MATCH(D$2,Miljövärden!$B$2:$H$2,0),FALSE),"Saknas")</f>
        <v>47.108400000000003</v>
      </c>
      <c r="E399">
        <f>IFERROR(VLOOKUP($B399,Miljövärden!$B$3:$H$553,MATCH(E$2,Miljövärden!$B$2:$H$2,0),FALSE),"Saknas")</f>
        <v>3.24214</v>
      </c>
      <c r="F399">
        <f>IFERROR(VLOOKUP($B399,Miljövärden!$B$3:$H$553,MATCH(F$2,Miljövärden!$B$2:$H$2,0),FALSE),"Saknas")</f>
        <v>2.3326900000000001E-3</v>
      </c>
      <c r="G399" t="str">
        <f>IFERROR(VLOOKUP($B399,Miljövärden!$B$3:$H$553,MATCH(G$2,Miljövärden!$B$2:$H$2,0),FALSE),"Nej, saknas")</f>
        <v>Ja</v>
      </c>
      <c r="H399" t="str">
        <f>IFERROR(VLOOKUP($B399,Miljövärden!$B$3:$H$553,MATCH(H$2,Miljövärden!$B$2:$H$2,0),FALSE),"Nej, saknas")</f>
        <v>Ja</v>
      </c>
      <c r="P399" t="str">
        <f t="shared" si="13"/>
        <v>ja</v>
      </c>
      <c r="R399">
        <f t="shared" si="12"/>
        <v>348</v>
      </c>
    </row>
    <row r="400" spans="1:18" x14ac:dyDescent="0.45">
      <c r="A400" s="2" t="s">
        <v>162</v>
      </c>
      <c r="B400" s="2" t="s">
        <v>164</v>
      </c>
      <c r="C400">
        <f>IFERROR(VLOOKUP($B400,Miljövärden!$B$3:$H$553,MATCH(C$2,Miljövärden!$B$2:$H$2,0),FALSE),"Saknas")</f>
        <v>0.18904899999999999</v>
      </c>
      <c r="D400">
        <f>IFERROR(VLOOKUP($B400,Miljövärden!$B$3:$H$553,MATCH(D$2,Miljövärden!$B$2:$H$2,0),FALSE),"Saknas")</f>
        <v>7.1672099999999999</v>
      </c>
      <c r="E400">
        <f>IFERROR(VLOOKUP($B400,Miljövärden!$B$3:$H$553,MATCH(E$2,Miljövärden!$B$2:$H$2,0),FALSE),"Saknas")</f>
        <v>19.078700000000001</v>
      </c>
      <c r="F400">
        <f>IFERROR(VLOOKUP($B400,Miljövärden!$B$3:$H$553,MATCH(F$2,Miljövärden!$B$2:$H$2,0),FALSE),"Saknas")</f>
        <v>4.7208800000000002E-3</v>
      </c>
      <c r="G400" t="str">
        <f>IFERROR(VLOOKUP($B400,Miljövärden!$B$3:$H$553,MATCH(G$2,Miljövärden!$B$2:$H$2,0),FALSE),"Nej, saknas")</f>
        <v>Nej</v>
      </c>
      <c r="H400" t="str">
        <f>IFERROR(VLOOKUP($B400,Miljövärden!$B$3:$H$553,MATCH(H$2,Miljövärden!$B$2:$H$2,0),FALSE),"Nej, saknas")</f>
        <v>Ja</v>
      </c>
      <c r="P400" t="str">
        <f t="shared" si="13"/>
        <v>ja</v>
      </c>
      <c r="R400">
        <f t="shared" si="12"/>
        <v>349</v>
      </c>
    </row>
    <row r="401" spans="1:18" x14ac:dyDescent="0.45">
      <c r="A401" s="2" t="s">
        <v>162</v>
      </c>
      <c r="B401" s="2" t="s">
        <v>163</v>
      </c>
      <c r="C401">
        <f>IFERROR(VLOOKUP($B401,Miljövärden!$B$3:$H$553,MATCH(C$2,Miljövärden!$B$2:$H$2,0),FALSE),"Saknas")</f>
        <v>0.21837699999999999</v>
      </c>
      <c r="D401">
        <f>IFERROR(VLOOKUP($B401,Miljövärden!$B$3:$H$553,MATCH(D$2,Miljövärden!$B$2:$H$2,0),FALSE),"Saknas")</f>
        <v>7.5205500000000001</v>
      </c>
      <c r="E401">
        <f>IFERROR(VLOOKUP($B401,Miljövärden!$B$3:$H$553,MATCH(E$2,Miljövärden!$B$2:$H$2,0),FALSE),"Saknas")</f>
        <v>23.184899999999999</v>
      </c>
      <c r="F401">
        <f>IFERROR(VLOOKUP($B401,Miljövärden!$B$3:$H$553,MATCH(F$2,Miljövärden!$B$2:$H$2,0),FALSE),"Saknas")</f>
        <v>2.0335100000000001E-3</v>
      </c>
      <c r="G401" t="str">
        <f>IFERROR(VLOOKUP($B401,Miljövärden!$B$3:$H$553,MATCH(G$2,Miljövärden!$B$2:$H$2,0),FALSE),"Nej, saknas")</f>
        <v>Nej</v>
      </c>
      <c r="H401" t="str">
        <f>IFERROR(VLOOKUP($B401,Miljövärden!$B$3:$H$553,MATCH(H$2,Miljövärden!$B$2:$H$2,0),FALSE),"Nej, saknas")</f>
        <v>Ja</v>
      </c>
      <c r="P401" t="str">
        <f t="shared" si="13"/>
        <v>ja</v>
      </c>
      <c r="R401">
        <f t="shared" si="12"/>
        <v>350</v>
      </c>
    </row>
    <row r="402" spans="1:18" x14ac:dyDescent="0.45">
      <c r="A402" s="2" t="s">
        <v>162</v>
      </c>
      <c r="B402" s="2" t="s">
        <v>161</v>
      </c>
      <c r="C402">
        <f>IFERROR(VLOOKUP($B402,Miljövärden!$B$3:$H$553,MATCH(C$2,Miljövärden!$B$2:$H$2,0),FALSE),"Saknas")</f>
        <v>0.135268</v>
      </c>
      <c r="D402">
        <f>IFERROR(VLOOKUP($B402,Miljövärden!$B$3:$H$553,MATCH(D$2,Miljövärden!$B$2:$H$2,0),FALSE),"Saknas")</f>
        <v>9.2236499999999992</v>
      </c>
      <c r="E402">
        <f>IFERROR(VLOOKUP($B402,Miljövärden!$B$3:$H$553,MATCH(E$2,Miljövärden!$B$2:$H$2,0),FALSE),"Saknas")</f>
        <v>4.7250100000000002</v>
      </c>
      <c r="F402">
        <f>IFERROR(VLOOKUP($B402,Miljövärden!$B$3:$H$553,MATCH(F$2,Miljövärden!$B$2:$H$2,0),FALSE),"Saknas")</f>
        <v>7.0168100000000001E-3</v>
      </c>
      <c r="G402" t="str">
        <f>IFERROR(VLOOKUP($B402,Miljövärden!$B$3:$H$553,MATCH(G$2,Miljövärden!$B$2:$H$2,0),FALSE),"Nej, saknas")</f>
        <v>Ja</v>
      </c>
      <c r="H402" t="str">
        <f>IFERROR(VLOOKUP($B402,Miljövärden!$B$3:$H$553,MATCH(H$2,Miljövärden!$B$2:$H$2,0),FALSE),"Nej, saknas")</f>
        <v>Ja</v>
      </c>
      <c r="P402" t="str">
        <f t="shared" si="13"/>
        <v>ja</v>
      </c>
      <c r="R402">
        <f t="shared" si="12"/>
        <v>351</v>
      </c>
    </row>
    <row r="403" spans="1:18" x14ac:dyDescent="0.45">
      <c r="A403" s="2" t="s">
        <v>159</v>
      </c>
      <c r="B403" s="2" t="s">
        <v>158</v>
      </c>
      <c r="C403">
        <f>IFERROR(VLOOKUP($B403,Miljövärden!$B$3:$H$553,MATCH(C$2,Miljövärden!$B$2:$H$2,0),FALSE),"Saknas")</f>
        <v>0.114703</v>
      </c>
      <c r="D403">
        <f>IFERROR(VLOOKUP($B403,Miljövärden!$B$3:$H$553,MATCH(D$2,Miljövärden!$B$2:$H$2,0),FALSE),"Saknas")</f>
        <v>14.472300000000001</v>
      </c>
      <c r="E403">
        <f>IFERROR(VLOOKUP($B403,Miljövärden!$B$3:$H$553,MATCH(E$2,Miljövärden!$B$2:$H$2,0),FALSE),"Saknas")</f>
        <v>10.4664</v>
      </c>
      <c r="F403">
        <f>IFERROR(VLOOKUP($B403,Miljövärden!$B$3:$H$553,MATCH(F$2,Miljövärden!$B$2:$H$2,0),FALSE),"Saknas")</f>
        <v>8.5240999999999997E-3</v>
      </c>
      <c r="G403" t="str">
        <f>IFERROR(VLOOKUP($B403,Miljövärden!$B$3:$H$553,MATCH(G$2,Miljövärden!$B$2:$H$2,0),FALSE),"Nej, saknas")</f>
        <v>Ja</v>
      </c>
      <c r="H403" t="str">
        <f>IFERROR(VLOOKUP($B403,Miljövärden!$B$3:$H$553,MATCH(H$2,Miljövärden!$B$2:$H$2,0),FALSE),"Nej, saknas")</f>
        <v>Ja</v>
      </c>
      <c r="P403" t="str">
        <f t="shared" si="13"/>
        <v>ja</v>
      </c>
      <c r="R403">
        <f t="shared" si="12"/>
        <v>352</v>
      </c>
    </row>
    <row r="404" spans="1:18" x14ac:dyDescent="0.45">
      <c r="A404" s="2" t="s">
        <v>157</v>
      </c>
      <c r="B404" s="2" t="s">
        <v>156</v>
      </c>
      <c r="C404">
        <f>IFERROR(VLOOKUP($B404,Miljövärden!$B$3:$H$553,MATCH(C$2,Miljövärden!$B$2:$H$2,0),FALSE),"Saknas")</f>
        <v>0.11793099999999999</v>
      </c>
      <c r="D404">
        <f>IFERROR(VLOOKUP($B404,Miljövärden!$B$3:$H$553,MATCH(D$2,Miljövärden!$B$2:$H$2,0),FALSE),"Saknas")</f>
        <v>16.270199999999999</v>
      </c>
      <c r="E404">
        <f>IFERROR(VLOOKUP($B404,Miljövärden!$B$3:$H$553,MATCH(E$2,Miljövärden!$B$2:$H$2,0),FALSE),"Saknas")</f>
        <v>8.51844</v>
      </c>
      <c r="F404">
        <f>IFERROR(VLOOKUP($B404,Miljövärden!$B$3:$H$553,MATCH(F$2,Miljövärden!$B$2:$H$2,0),FALSE),"Saknas")</f>
        <v>2.1150200000000001E-2</v>
      </c>
      <c r="G404" t="str">
        <f>IFERROR(VLOOKUP($B404,Miljövärden!$B$3:$H$553,MATCH(G$2,Miljövärden!$B$2:$H$2,0),FALSE),"Nej, saknas")</f>
        <v>Nej</v>
      </c>
      <c r="H404" t="str">
        <f>IFERROR(VLOOKUP($B404,Miljövärden!$B$3:$H$553,MATCH(H$2,Miljövärden!$B$2:$H$2,0),FALSE),"Nej, saknas")</f>
        <v>Ja</v>
      </c>
      <c r="P404" t="str">
        <f t="shared" si="13"/>
        <v>ja</v>
      </c>
      <c r="R404">
        <f t="shared" si="12"/>
        <v>353</v>
      </c>
    </row>
    <row r="405" spans="1:18" x14ac:dyDescent="0.45">
      <c r="A405" s="2" t="s">
        <v>12</v>
      </c>
      <c r="B405" s="2" t="s">
        <v>14</v>
      </c>
      <c r="C405">
        <f>IFERROR(VLOOKUP($B405,Miljövärden!$B$3:$H$553,MATCH(C$2,Miljövärden!$B$2:$H$2,0),FALSE),"Saknas")</f>
        <v>0</v>
      </c>
      <c r="D405">
        <f>IFERROR(VLOOKUP($B405,Miljövärden!$B$3:$H$553,MATCH(D$2,Miljövärden!$B$2:$H$2,0),FALSE),"Saknas")</f>
        <v>0</v>
      </c>
      <c r="E405">
        <f>IFERROR(VLOOKUP($B405,Miljövärden!$B$3:$H$553,MATCH(E$2,Miljövärden!$B$2:$H$2,0),FALSE),"Saknas")</f>
        <v>0</v>
      </c>
      <c r="F405">
        <f>IFERROR(VLOOKUP($B405,Miljövärden!$B$3:$H$553,MATCH(F$2,Miljövärden!$B$2:$H$2,0),FALSE),"Saknas")</f>
        <v>0</v>
      </c>
      <c r="G405" t="str">
        <f>IFERROR(VLOOKUP($B405,Miljövärden!$B$3:$H$553,MATCH(G$2,Miljövärden!$B$2:$H$2,0),FALSE),"Nej, saknas")</f>
        <v>Nej</v>
      </c>
      <c r="H405" t="str">
        <f>IFERROR(VLOOKUP($B405,Miljövärden!$B$3:$H$553,MATCH(H$2,Miljövärden!$B$2:$H$2,0),FALSE),"Nej, saknas")</f>
        <v>Nej</v>
      </c>
      <c r="K405" t="s">
        <v>1529</v>
      </c>
      <c r="P405" t="str">
        <f t="shared" si="13"/>
        <v>nej</v>
      </c>
      <c r="R405">
        <f t="shared" si="12"/>
        <v>353</v>
      </c>
    </row>
    <row r="406" spans="1:18" x14ac:dyDescent="0.45">
      <c r="A406" s="2" t="s">
        <v>149</v>
      </c>
      <c r="B406" s="2" t="s">
        <v>154</v>
      </c>
      <c r="C406">
        <f>IFERROR(VLOOKUP($B406,Miljövärden!$B$3:$H$553,MATCH(C$2,Miljövärden!$B$2:$H$2,0),FALSE),"Saknas")</f>
        <v>8.0144300000000002E-2</v>
      </c>
      <c r="D406">
        <f>IFERROR(VLOOKUP($B406,Miljövärden!$B$3:$H$553,MATCH(D$2,Miljövärden!$B$2:$H$2,0),FALSE),"Saknas")</f>
        <v>19.0944</v>
      </c>
      <c r="E406">
        <f>IFERROR(VLOOKUP($B406,Miljövärden!$B$3:$H$553,MATCH(E$2,Miljövärden!$B$2:$H$2,0),FALSE),"Saknas")</f>
        <v>8.7669300000000003</v>
      </c>
      <c r="F406">
        <f>IFERROR(VLOOKUP($B406,Miljövärden!$B$3:$H$553,MATCH(F$2,Miljövärden!$B$2:$H$2,0),FALSE),"Saknas")</f>
        <v>2.1246600000000001E-2</v>
      </c>
      <c r="G406" t="str">
        <f>IFERROR(VLOOKUP($B406,Miljövärden!$B$3:$H$553,MATCH(G$2,Miljövärden!$B$2:$H$2,0),FALSE),"Nej, saknas")</f>
        <v>Ja</v>
      </c>
      <c r="H406" t="str">
        <f>IFERROR(VLOOKUP($B406,Miljövärden!$B$3:$H$553,MATCH(H$2,Miljövärden!$B$2:$H$2,0),FALSE),"Nej, saknas")</f>
        <v>Ja</v>
      </c>
      <c r="P406" t="str">
        <f t="shared" si="13"/>
        <v>ja</v>
      </c>
      <c r="R406">
        <f t="shared" si="12"/>
        <v>354</v>
      </c>
    </row>
    <row r="407" spans="1:18" x14ac:dyDescent="0.45">
      <c r="A407" s="2" t="s">
        <v>149</v>
      </c>
      <c r="B407" s="2" t="s">
        <v>153</v>
      </c>
      <c r="C407">
        <f>IFERROR(VLOOKUP($B407,Miljövärden!$B$3:$H$553,MATCH(C$2,Miljövärden!$B$2:$H$2,0),FALSE),"Saknas")</f>
        <v>9.1185199999999994E-2</v>
      </c>
      <c r="D407">
        <f>IFERROR(VLOOKUP($B407,Miljövärden!$B$3:$H$553,MATCH(D$2,Miljövärden!$B$2:$H$2,0),FALSE),"Saknas")</f>
        <v>24.7562</v>
      </c>
      <c r="E407">
        <f>IFERROR(VLOOKUP($B407,Miljövärden!$B$3:$H$553,MATCH(E$2,Miljövärden!$B$2:$H$2,0),FALSE),"Saknas")</f>
        <v>7.4907700000000004</v>
      </c>
      <c r="F407">
        <f>IFERROR(VLOOKUP($B407,Miljövärden!$B$3:$H$553,MATCH(F$2,Miljövärden!$B$2:$H$2,0),FALSE),"Saknas")</f>
        <v>3.71142E-2</v>
      </c>
      <c r="G407" t="str">
        <f>IFERROR(VLOOKUP($B407,Miljövärden!$B$3:$H$553,MATCH(G$2,Miljövärden!$B$2:$H$2,0),FALSE),"Nej, saknas")</f>
        <v>Ja</v>
      </c>
      <c r="H407" t="str">
        <f>IFERROR(VLOOKUP($B407,Miljövärden!$B$3:$H$553,MATCH(H$2,Miljövärden!$B$2:$H$2,0),FALSE),"Nej, saknas")</f>
        <v>Ja</v>
      </c>
      <c r="P407" t="str">
        <f t="shared" si="13"/>
        <v>ja</v>
      </c>
      <c r="R407">
        <f t="shared" si="12"/>
        <v>355</v>
      </c>
    </row>
    <row r="408" spans="1:18" x14ac:dyDescent="0.45">
      <c r="A408" s="2" t="s">
        <v>149</v>
      </c>
      <c r="B408" s="2" t="s">
        <v>152</v>
      </c>
      <c r="C408">
        <f>IFERROR(VLOOKUP($B408,Miljövärden!$B$3:$H$553,MATCH(C$2,Miljövärden!$B$2:$H$2,0),FALSE),"Saknas")</f>
        <v>0.101759</v>
      </c>
      <c r="D408">
        <f>IFERROR(VLOOKUP($B408,Miljövärden!$B$3:$H$553,MATCH(D$2,Miljövärden!$B$2:$H$2,0),FALSE),"Saknas")</f>
        <v>14.9811</v>
      </c>
      <c r="E408">
        <f>IFERROR(VLOOKUP($B408,Miljövärden!$B$3:$H$553,MATCH(E$2,Miljövärden!$B$2:$H$2,0),FALSE),"Saknas")</f>
        <v>3.0325299999999999</v>
      </c>
      <c r="F408">
        <f>IFERROR(VLOOKUP($B408,Miljövärden!$B$3:$H$553,MATCH(F$2,Miljövärden!$B$2:$H$2,0),FALSE),"Saknas")</f>
        <v>2.35912E-2</v>
      </c>
      <c r="G408" t="str">
        <f>IFERROR(VLOOKUP($B408,Miljövärden!$B$3:$H$553,MATCH(G$2,Miljövärden!$B$2:$H$2,0),FALSE),"Nej, saknas")</f>
        <v>Ja</v>
      </c>
      <c r="H408" t="str">
        <f>IFERROR(VLOOKUP($B408,Miljövärden!$B$3:$H$553,MATCH(H$2,Miljövärden!$B$2:$H$2,0),FALSE),"Nej, saknas")</f>
        <v>Ja</v>
      </c>
      <c r="P408" t="str">
        <f t="shared" si="13"/>
        <v>ja</v>
      </c>
      <c r="R408">
        <f t="shared" si="12"/>
        <v>356</v>
      </c>
    </row>
    <row r="409" spans="1:18" x14ac:dyDescent="0.45">
      <c r="A409" s="2" t="s">
        <v>149</v>
      </c>
      <c r="B409" s="2" t="s">
        <v>151</v>
      </c>
      <c r="C409">
        <f>IFERROR(VLOOKUP($B409,Miljövärden!$B$3:$H$553,MATCH(C$2,Miljövärden!$B$2:$H$2,0),FALSE),"Saknas")</f>
        <v>0.184507</v>
      </c>
      <c r="D409">
        <f>IFERROR(VLOOKUP($B409,Miljövärden!$B$3:$H$553,MATCH(D$2,Miljövärden!$B$2:$H$2,0),FALSE),"Saknas")</f>
        <v>12.1602</v>
      </c>
      <c r="E409">
        <f>IFERROR(VLOOKUP($B409,Miljövärden!$B$3:$H$553,MATCH(E$2,Miljövärden!$B$2:$H$2,0),FALSE),"Saknas")</f>
        <v>21.219100000000001</v>
      </c>
      <c r="F409">
        <f>IFERROR(VLOOKUP($B409,Miljövärden!$B$3:$H$553,MATCH(F$2,Miljövärden!$B$2:$H$2,0),FALSE),"Saknas")</f>
        <v>1.0679900000000001E-2</v>
      </c>
      <c r="G409" t="str">
        <f>IFERROR(VLOOKUP($B409,Miljövärden!$B$3:$H$553,MATCH(G$2,Miljövärden!$B$2:$H$2,0),FALSE),"Nej, saknas")</f>
        <v>Ja</v>
      </c>
      <c r="H409" t="str">
        <f>IFERROR(VLOOKUP($B409,Miljövärden!$B$3:$H$553,MATCH(H$2,Miljövärden!$B$2:$H$2,0),FALSE),"Nej, saknas")</f>
        <v>Ja</v>
      </c>
      <c r="P409" t="str">
        <f t="shared" si="13"/>
        <v>ja</v>
      </c>
      <c r="R409">
        <f t="shared" si="12"/>
        <v>357</v>
      </c>
    </row>
    <row r="410" spans="1:18" x14ac:dyDescent="0.45">
      <c r="A410" s="2" t="s">
        <v>149</v>
      </c>
      <c r="B410" s="2" t="s">
        <v>150</v>
      </c>
      <c r="C410">
        <f>IFERROR(VLOOKUP($B410,Miljövärden!$B$3:$H$553,MATCH(C$2,Miljövärden!$B$2:$H$2,0),FALSE),"Saknas")</f>
        <v>0.209227</v>
      </c>
      <c r="D410">
        <f>IFERROR(VLOOKUP($B410,Miljövärden!$B$3:$H$553,MATCH(D$2,Miljövärden!$B$2:$H$2,0),FALSE),"Saknas")</f>
        <v>69.470799999999997</v>
      </c>
      <c r="E410">
        <f>IFERROR(VLOOKUP($B410,Miljövärden!$B$3:$H$553,MATCH(E$2,Miljövärden!$B$2:$H$2,0),FALSE),"Saknas")</f>
        <v>11.3935</v>
      </c>
      <c r="F410">
        <f>IFERROR(VLOOKUP($B410,Miljövärden!$B$3:$H$553,MATCH(F$2,Miljövärden!$B$2:$H$2,0),FALSE),"Saknas")</f>
        <v>3.44818E-2</v>
      </c>
      <c r="G410" t="str">
        <f>IFERROR(VLOOKUP($B410,Miljövärden!$B$3:$H$553,MATCH(G$2,Miljövärden!$B$2:$H$2,0),FALSE),"Nej, saknas")</f>
        <v>Ja</v>
      </c>
      <c r="H410" t="str">
        <f>IFERROR(VLOOKUP($B410,Miljövärden!$B$3:$H$553,MATCH(H$2,Miljövärden!$B$2:$H$2,0),FALSE),"Nej, saknas")</f>
        <v>Ja</v>
      </c>
      <c r="P410" t="str">
        <f t="shared" si="13"/>
        <v>ja</v>
      </c>
      <c r="R410">
        <f t="shared" si="12"/>
        <v>358</v>
      </c>
    </row>
    <row r="411" spans="1:18" x14ac:dyDescent="0.45">
      <c r="A411" s="2" t="s">
        <v>149</v>
      </c>
      <c r="B411" s="2" t="s">
        <v>148</v>
      </c>
      <c r="C411">
        <f>IFERROR(VLOOKUP($B411,Miljövärden!$B$3:$H$553,MATCH(C$2,Miljövärden!$B$2:$H$2,0),FALSE),"Saknas")</f>
        <v>0.124075</v>
      </c>
      <c r="D411">
        <f>IFERROR(VLOOKUP($B411,Miljövärden!$B$3:$H$553,MATCH(D$2,Miljövärden!$B$2:$H$2,0),FALSE),"Saknas")</f>
        <v>42.799900000000001</v>
      </c>
      <c r="E411">
        <f>IFERROR(VLOOKUP($B411,Miljövärden!$B$3:$H$553,MATCH(E$2,Miljövärden!$B$2:$H$2,0),FALSE),"Saknas")</f>
        <v>7.1571699999999998</v>
      </c>
      <c r="F411">
        <f>IFERROR(VLOOKUP($B411,Miljövärden!$B$3:$H$553,MATCH(F$2,Miljövärden!$B$2:$H$2,0),FALSE),"Saknas")</f>
        <v>6.1113799999999996E-3</v>
      </c>
      <c r="G411" t="str">
        <f>IFERROR(VLOOKUP($B411,Miljövärden!$B$3:$H$553,MATCH(G$2,Miljövärden!$B$2:$H$2,0),FALSE),"Nej, saknas")</f>
        <v>Ja</v>
      </c>
      <c r="H411" t="str">
        <f>IFERROR(VLOOKUP($B411,Miljövärden!$B$3:$H$553,MATCH(H$2,Miljövärden!$B$2:$H$2,0),FALSE),"Nej, saknas")</f>
        <v>Ja</v>
      </c>
      <c r="P411" t="str">
        <f t="shared" si="13"/>
        <v>ja</v>
      </c>
      <c r="R411">
        <f t="shared" si="12"/>
        <v>359</v>
      </c>
    </row>
  </sheetData>
  <autoFilter ref="A2:R411" xr:uid="{C7E7F389-A332-4DA6-BD5E-A20D2578A65E}"/>
  <mergeCells count="1">
    <mergeCell ref="A1:E1"/>
  </mergeCells>
  <conditionalFormatting sqref="B3:B1048576">
    <cfRule type="duplicateValues" dxfId="11" priority="5"/>
  </conditionalFormatting>
  <conditionalFormatting sqref="B2">
    <cfRule type="duplicateValues" dxfId="10" priority="2"/>
  </conditionalFormatting>
  <conditionalFormatting sqref="B1:B1048576">
    <cfRule type="duplicateValues" dxfId="9" priority="1"/>
  </conditionalFormatting>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D20F-FB65-4D93-A7F6-8C7207F68D1A}">
  <sheetPr codeName="Blad19">
    <tabColor theme="9" tint="0.39997558519241921"/>
  </sheetPr>
  <dimension ref="A1:S620"/>
  <sheetViews>
    <sheetView workbookViewId="0">
      <pane xSplit="3" ySplit="4" topLeftCell="D191" activePane="bottomRight" state="frozen"/>
      <selection pane="topRight" activeCell="D1" sqref="D1"/>
      <selection pane="bottomLeft" activeCell="A5" sqref="A5"/>
      <selection pane="bottomRight" activeCell="A209" sqref="A209"/>
    </sheetView>
  </sheetViews>
  <sheetFormatPr defaultRowHeight="14.25" x14ac:dyDescent="0.45"/>
  <cols>
    <col min="1" max="1" width="19.59765625" customWidth="1"/>
    <col min="2" max="2" width="24.265625" customWidth="1"/>
    <col min="3" max="3" width="31.73046875" customWidth="1"/>
    <col min="4" max="4" width="22.1328125" customWidth="1"/>
    <col min="5" max="5" width="27.73046875" customWidth="1"/>
    <col min="6" max="7" width="24.86328125" customWidth="1"/>
    <col min="14" max="14" width="32.86328125" customWidth="1"/>
    <col min="17" max="17" width="24.86328125" customWidth="1"/>
    <col min="18" max="18" width="28.265625" customWidth="1"/>
    <col min="19" max="19" width="19.73046875" customWidth="1"/>
  </cols>
  <sheetData>
    <row r="1" spans="1:19" ht="28.5" x14ac:dyDescent="0.45">
      <c r="A1" s="63"/>
      <c r="B1" s="154" t="s">
        <v>1388</v>
      </c>
      <c r="C1" s="63"/>
      <c r="D1" s="63"/>
      <c r="E1" s="63"/>
      <c r="F1" s="63"/>
      <c r="G1" s="63"/>
      <c r="H1" s="63"/>
      <c r="I1" s="154"/>
      <c r="J1" s="154" t="s">
        <v>1389</v>
      </c>
      <c r="K1" s="63"/>
      <c r="L1" s="63"/>
      <c r="P1" s="155"/>
      <c r="Q1" s="156" t="s">
        <v>1390</v>
      </c>
    </row>
    <row r="2" spans="1:19" ht="28.5" x14ac:dyDescent="0.45">
      <c r="A2" s="63"/>
      <c r="B2" s="63"/>
      <c r="C2" s="63"/>
      <c r="D2" s="63"/>
      <c r="E2" s="63"/>
      <c r="F2" s="63"/>
      <c r="G2" s="63"/>
      <c r="H2" s="63"/>
      <c r="I2" s="63"/>
      <c r="J2" s="157"/>
      <c r="K2" s="63"/>
      <c r="L2" s="63"/>
      <c r="P2" s="155"/>
      <c r="Q2" s="150" t="s">
        <v>1391</v>
      </c>
      <c r="R2" s="158" t="str">
        <f>'Redovisning för kunder'!B4</f>
        <v>Välj företag:</v>
      </c>
    </row>
    <row r="3" spans="1:19" x14ac:dyDescent="0.45">
      <c r="A3" s="159" t="s">
        <v>1392</v>
      </c>
      <c r="B3" s="63"/>
      <c r="C3" s="63"/>
      <c r="D3" s="63"/>
      <c r="E3" s="63"/>
      <c r="F3" s="63"/>
      <c r="G3" s="63"/>
      <c r="H3" s="159"/>
      <c r="I3" s="63"/>
      <c r="J3" s="157" t="s">
        <v>1393</v>
      </c>
      <c r="K3" s="63"/>
      <c r="L3" s="63"/>
      <c r="M3" t="s">
        <v>1394</v>
      </c>
      <c r="P3" s="155" t="s">
        <v>1395</v>
      </c>
      <c r="Q3" s="58" t="s">
        <v>1396</v>
      </c>
      <c r="R3" s="58"/>
      <c r="S3" t="s">
        <v>1397</v>
      </c>
    </row>
    <row r="4" spans="1:19" ht="28.5" x14ac:dyDescent="0.45">
      <c r="A4" s="160">
        <v>1</v>
      </c>
      <c r="B4" s="154" t="s">
        <v>1</v>
      </c>
      <c r="C4" s="154" t="s">
        <v>2</v>
      </c>
      <c r="D4" s="161" t="s">
        <v>1177</v>
      </c>
      <c r="E4" s="161" t="s">
        <v>1176</v>
      </c>
      <c r="F4" s="161" t="s">
        <v>1175</v>
      </c>
      <c r="G4" s="161" t="s">
        <v>1174</v>
      </c>
      <c r="H4" s="160"/>
      <c r="I4" s="154"/>
      <c r="J4" s="157">
        <v>0</v>
      </c>
      <c r="K4" s="161"/>
      <c r="L4" s="161"/>
      <c r="N4" t="s">
        <v>1398</v>
      </c>
      <c r="P4" s="155">
        <v>0</v>
      </c>
      <c r="Q4" s="150" t="str">
        <f>IF(B4=$R$2,C4,"")</f>
        <v/>
      </c>
      <c r="R4" s="150"/>
      <c r="S4" t="s">
        <v>1399</v>
      </c>
    </row>
    <row r="5" spans="1:19" x14ac:dyDescent="0.45">
      <c r="A5">
        <v>2</v>
      </c>
      <c r="B5" s="2" t="str">
        <f>IFERROR(INDEX('Miljövärden urval för publ'!$A$2:$AA$420,MATCH('Miljövärden för publ företag'!$A5,'Miljövärden urval för publ'!$R$2:$R$417,0),1),"")</f>
        <v>Adven Energilösningar AB</v>
      </c>
      <c r="C5" s="2" t="str">
        <f>IFERROR(INDEX('Miljövärden urval för publ'!$A$2:$AA$420,MATCH('Miljövärden för publ företag'!$A5,'Miljövärden urval för publ'!$R$2:$R$417,0),2),"")</f>
        <v>Bara</v>
      </c>
      <c r="D5">
        <f>IFERROR(VLOOKUP($C5,'Miljövärden urval för publ'!$B$2:$H$417,MATCH('Miljövärden för publ företag'!D$4,'Miljövärden urval för publ'!$B$2:$H$2,0),FALSE),"")</f>
        <v>0.193631</v>
      </c>
      <c r="E5">
        <f>IFERROR(VLOOKUP($C5,'Miljövärden urval för publ'!$B$2:$H$417,MATCH('Miljövärden för publ företag'!E$4,'Miljövärden urval för publ'!$B$2:$H$2,0),FALSE),"")</f>
        <v>4.5327099999999998</v>
      </c>
      <c r="F5">
        <f>IFERROR(VLOOKUP($C5,'Miljövärden urval för publ'!$B$2:$H$417,MATCH('Miljövärden för publ företag'!F$4,'Miljövärden urval för publ'!$B$2:$H$2,0),FALSE),"")</f>
        <v>16.595600000000001</v>
      </c>
      <c r="G5">
        <f>IFERROR(VLOOKUP($C5,'Miljövärden urval för publ'!$B$2:$H$417,MATCH('Miljövärden för publ företag'!G$4,'Miljövärden urval för publ'!$B$2:$H$2,0),FALSE),"")</f>
        <v>0</v>
      </c>
      <c r="J5">
        <f>IF(B5=B4,J4,J4+1)</f>
        <v>1</v>
      </c>
      <c r="M5">
        <v>1</v>
      </c>
      <c r="N5" t="str">
        <f>IFERROR(INDEX($B$4:$J$487,MATCH(M5,$J$4:$J$487,0),1),"")</f>
        <v>Adven Energilösningar AB</v>
      </c>
      <c r="P5" s="155">
        <f>IF(Q5="",P4,P4+1)</f>
        <v>0</v>
      </c>
      <c r="Q5" s="150" t="str">
        <f>IF(B5=$R$2,C5,"")</f>
        <v/>
      </c>
      <c r="R5">
        <v>1</v>
      </c>
      <c r="S5" t="str">
        <f>IFERROR(INDEX($P$4:$Q$468,MATCH(R5,$P$4:$P$468,0),2),"")</f>
        <v/>
      </c>
    </row>
    <row r="6" spans="1:19" x14ac:dyDescent="0.45">
      <c r="A6">
        <v>3</v>
      </c>
      <c r="B6" s="2" t="str">
        <f>IFERROR(INDEX('Miljövärden urval för publ'!$A$2:$AA$420,MATCH('Miljövärden för publ företag'!$A6,'Miljövärden urval för publ'!$R$2:$R$417,0),1),"")</f>
        <v>Adven Energilösningar AB</v>
      </c>
      <c r="C6" s="2" t="str">
        <f>IFERROR(INDEX('Miljövärden urval för publ'!$A$2:$AA$420,MATCH('Miljövärden för publ företag'!$A6,'Miljövärden urval för publ'!$R$2:$R$417,0),2),"")</f>
        <v>Boxholm</v>
      </c>
      <c r="D6">
        <f>IFERROR(VLOOKUP($C6,'Miljövärden urval för publ'!$B$2:$H$417,MATCH('Miljövärden för publ företag'!D$4,'Miljövärden urval för publ'!$B$2:$H$2,0),FALSE),"")</f>
        <v>0.167846</v>
      </c>
      <c r="E6">
        <f>IFERROR(VLOOKUP($C6,'Miljövärden urval för publ'!$B$2:$H$417,MATCH('Miljövärden för publ företag'!E$4,'Miljövärden urval för publ'!$B$2:$H$2,0),FALSE),"")</f>
        <v>7.4225899999999996</v>
      </c>
      <c r="F6">
        <f>IFERROR(VLOOKUP($C6,'Miljövärden urval för publ'!$B$2:$H$417,MATCH('Miljövärden för publ företag'!F$4,'Miljövärden urval för publ'!$B$2:$H$2,0),FALSE),"")</f>
        <v>8.6292600000000004</v>
      </c>
      <c r="G6">
        <f>IFERROR(VLOOKUP($C6,'Miljövärden urval för publ'!$B$2:$H$417,MATCH('Miljövärden för publ företag'!G$4,'Miljövärden urval för publ'!$B$2:$H$2,0),FALSE),"")</f>
        <v>7.79819E-3</v>
      </c>
      <c r="J6">
        <f t="shared" ref="J6:J69" si="0">IF(B6=B5,J5,J5+1)</f>
        <v>1</v>
      </c>
      <c r="M6">
        <v>2</v>
      </c>
      <c r="N6" t="str">
        <f t="shared" ref="N6:N69" si="1">IFERROR(INDEX($B$4:$J$487,MATCH(M6,$J$4:$J$487,0),1),"")</f>
        <v>Adven Värme AB.</v>
      </c>
      <c r="P6" s="155">
        <f t="shared" ref="P6:P69" si="2">IF(Q6="",P5,P5+1)</f>
        <v>0</v>
      </c>
      <c r="Q6" s="150" t="str">
        <f t="shared" ref="Q6:Q68" si="3">IF(B6=$R$2,C6,"")</f>
        <v/>
      </c>
      <c r="R6">
        <v>2</v>
      </c>
      <c r="S6" t="str">
        <f t="shared" ref="S6:S34" si="4">IFERROR(INDEX($P$4:$Q$468,MATCH(R6,$P$4:$P$468,0),2),"")</f>
        <v/>
      </c>
    </row>
    <row r="7" spans="1:19" x14ac:dyDescent="0.45">
      <c r="A7" s="160">
        <v>4</v>
      </c>
      <c r="B7" s="2" t="str">
        <f>IFERROR(INDEX('Miljövärden urval för publ'!$A$2:$AA$420,MATCH('Miljövärden för publ företag'!$A7,'Miljövärden urval för publ'!$R$2:$R$417,0),1),"")</f>
        <v>Adven Energilösningar AB</v>
      </c>
      <c r="C7" s="2" t="str">
        <f>IFERROR(INDEX('Miljövärden urval för publ'!$A$2:$AA$420,MATCH('Miljövärden för publ företag'!$A7,'Miljövärden urval för publ'!$R$2:$R$417,0),2),"")</f>
        <v>Mora</v>
      </c>
      <c r="D7">
        <f>IFERROR(VLOOKUP($C7,'Miljövärden urval för publ'!$B$2:$H$417,MATCH('Miljövärden för publ företag'!D$4,'Miljövärden urval för publ'!$B$2:$H$2,0),FALSE),"")</f>
        <v>0.16758100000000001</v>
      </c>
      <c r="E7">
        <f>IFERROR(VLOOKUP($C7,'Miljövärden urval för publ'!$B$2:$H$417,MATCH('Miljövärden för publ företag'!E$4,'Miljövärden urval för publ'!$B$2:$H$2,0),FALSE),"")</f>
        <v>90.596199999999996</v>
      </c>
      <c r="F7">
        <f>IFERROR(VLOOKUP($C7,'Miljövärden urval för publ'!$B$2:$H$417,MATCH('Miljövärden för publ företag'!F$4,'Miljövärden urval för publ'!$B$2:$H$2,0),FALSE),"")</f>
        <v>5.1046500000000004</v>
      </c>
      <c r="G7">
        <f>IFERROR(VLOOKUP($C7,'Miljövärden urval för publ'!$B$2:$H$417,MATCH('Miljövärden för publ företag'!G$4,'Miljövärden urval för publ'!$B$2:$H$2,0),FALSE),"")</f>
        <v>6.8488300000000002E-3</v>
      </c>
      <c r="J7">
        <f>IF(B7=B6,J6,J6+1)</f>
        <v>1</v>
      </c>
      <c r="M7">
        <v>3</v>
      </c>
      <c r="N7" t="str">
        <f t="shared" si="1"/>
        <v>Affärsverken Karlskrona AB</v>
      </c>
      <c r="P7" s="155">
        <f t="shared" si="2"/>
        <v>0</v>
      </c>
      <c r="Q7" s="150" t="str">
        <f t="shared" si="3"/>
        <v/>
      </c>
      <c r="R7">
        <v>3</v>
      </c>
      <c r="S7" t="str">
        <f t="shared" si="4"/>
        <v/>
      </c>
    </row>
    <row r="8" spans="1:19" x14ac:dyDescent="0.45">
      <c r="A8">
        <v>5</v>
      </c>
      <c r="B8" s="2" t="str">
        <f>IFERROR(INDEX('Miljövärden urval för publ'!$A$2:$AA$420,MATCH('Miljövärden för publ företag'!$A8,'Miljövärden urval för publ'!$R$2:$R$417,0),1),"")</f>
        <v>Adven Energilösningar AB</v>
      </c>
      <c r="C8" s="2" t="str">
        <f>IFERROR(INDEX('Miljövärden urval för publ'!$A$2:$AA$420,MATCH('Miljövärden för publ företag'!$A8,'Miljövärden urval för publ'!$R$2:$R$417,0),2),"")</f>
        <v>Orsa</v>
      </c>
      <c r="D8">
        <f>IFERROR(VLOOKUP($C8,'Miljövärden urval för publ'!$B$2:$H$417,MATCH('Miljövärden för publ företag'!D$4,'Miljövärden urval för publ'!$B$2:$H$2,0),FALSE),"")</f>
        <v>0.117627</v>
      </c>
      <c r="E8">
        <f>IFERROR(VLOOKUP($C8,'Miljövärden urval för publ'!$B$2:$H$417,MATCH('Miljövärden för publ företag'!E$4,'Miljövärden urval för publ'!$B$2:$H$2,0),FALSE),"")</f>
        <v>5.7977100000000004</v>
      </c>
      <c r="F8">
        <f>IFERROR(VLOOKUP($C8,'Miljövärden urval för publ'!$B$2:$H$417,MATCH('Miljövärden för publ företag'!F$4,'Miljövärden urval för publ'!$B$2:$H$2,0),FALSE),"")</f>
        <v>9.0775100000000002</v>
      </c>
      <c r="G8">
        <f>IFERROR(VLOOKUP($C8,'Miljövärden urval för publ'!$B$2:$H$417,MATCH('Miljövärden för publ företag'!G$4,'Miljövärden urval för publ'!$B$2:$H$2,0),FALSE),"")</f>
        <v>1.6345800000000001E-3</v>
      </c>
      <c r="J8">
        <f t="shared" si="0"/>
        <v>1</v>
      </c>
      <c r="M8">
        <v>4</v>
      </c>
      <c r="N8" t="str">
        <f t="shared" si="1"/>
        <v>Alingsås Energi Nät AB</v>
      </c>
      <c r="P8" s="155">
        <f t="shared" si="2"/>
        <v>0</v>
      </c>
      <c r="Q8" s="150" t="str">
        <f t="shared" si="3"/>
        <v/>
      </c>
      <c r="R8">
        <v>4</v>
      </c>
      <c r="S8" t="str">
        <f t="shared" si="4"/>
        <v/>
      </c>
    </row>
    <row r="9" spans="1:19" x14ac:dyDescent="0.45">
      <c r="A9">
        <v>6</v>
      </c>
      <c r="B9" s="2" t="str">
        <f>IFERROR(INDEX('Miljövärden urval för publ'!$A$2:$AA$420,MATCH('Miljövärden för publ företag'!$A9,'Miljövärden urval för publ'!$R$2:$R$417,0),1),"")</f>
        <v>Adven Energilösningar AB</v>
      </c>
      <c r="C9" s="2" t="str">
        <f>IFERROR(INDEX('Miljövärden urval för publ'!$A$2:$AA$420,MATCH('Miljövärden för publ företag'!$A9,'Miljövärden urval för publ'!$R$2:$R$417,0),2),"")</f>
        <v>Sollefteå</v>
      </c>
      <c r="D9">
        <f>IFERROR(VLOOKUP($C9,'Miljövärden urval för publ'!$B$2:$H$417,MATCH('Miljövärden för publ företag'!D$4,'Miljövärden urval för publ'!$B$2:$H$2,0),FALSE),"")</f>
        <v>0.17210300000000001</v>
      </c>
      <c r="E9">
        <f>IFERROR(VLOOKUP($C9,'Miljövärden urval för publ'!$B$2:$H$417,MATCH('Miljövärden för publ företag'!E$4,'Miljövärden urval för publ'!$B$2:$H$2,0),FALSE),"")</f>
        <v>10.0288</v>
      </c>
      <c r="F9">
        <f>IFERROR(VLOOKUP($C9,'Miljövärden urval för publ'!$B$2:$H$417,MATCH('Miljövärden för publ företag'!F$4,'Miljövärden urval för publ'!$B$2:$H$2,0),FALSE),"")</f>
        <v>8.1794799999999999</v>
      </c>
      <c r="G9">
        <f>IFERROR(VLOOKUP($C9,'Miljövärden urval för publ'!$B$2:$H$417,MATCH('Miljövärden för publ företag'!G$4,'Miljövärden urval för publ'!$B$2:$H$2,0),FALSE),"")</f>
        <v>1.5997999999999998E-2</v>
      </c>
      <c r="J9">
        <f t="shared" si="0"/>
        <v>1</v>
      </c>
      <c r="M9">
        <v>5</v>
      </c>
      <c r="N9" t="str">
        <f t="shared" si="1"/>
        <v>Alvesta Energi AB</v>
      </c>
      <c r="P9" s="155">
        <f t="shared" si="2"/>
        <v>0</v>
      </c>
      <c r="Q9" s="150" t="str">
        <f t="shared" si="3"/>
        <v/>
      </c>
      <c r="R9">
        <v>5</v>
      </c>
      <c r="S9" t="str">
        <f t="shared" si="4"/>
        <v/>
      </c>
    </row>
    <row r="10" spans="1:19" x14ac:dyDescent="0.45">
      <c r="A10" s="160">
        <v>7</v>
      </c>
      <c r="B10" s="2" t="str">
        <f>IFERROR(INDEX('Miljövärden urval för publ'!$A$2:$AA$420,MATCH('Miljövärden för publ företag'!$A10,'Miljövärden urval för publ'!$R$2:$R$417,0),1),"")</f>
        <v>Adven Energilösningar AB</v>
      </c>
      <c r="C10" s="2" t="str">
        <f>IFERROR(INDEX('Miljövärden urval för publ'!$A$2:$AA$420,MATCH('Miljövärden för publ företag'!$A10,'Miljövärden urval för publ'!$R$2:$R$417,0),2),"")</f>
        <v>Staffanstorp</v>
      </c>
      <c r="D10">
        <f>IFERROR(VLOOKUP($C10,'Miljövärden urval för publ'!$B$2:$H$417,MATCH('Miljövärden för publ företag'!D$4,'Miljövärden urval för publ'!$B$2:$H$2,0),FALSE),"")</f>
        <v>0.15499499999999999</v>
      </c>
      <c r="E10">
        <f>IFERROR(VLOOKUP($C10,'Miljövärden urval för publ'!$B$2:$H$417,MATCH('Miljövärden för publ företag'!E$4,'Miljövärden urval för publ'!$B$2:$H$2,0),FALSE),"")</f>
        <v>4.3331900000000001</v>
      </c>
      <c r="F10">
        <f>IFERROR(VLOOKUP($C10,'Miljövärden urval för publ'!$B$2:$H$417,MATCH('Miljövärden för publ företag'!F$4,'Miljövärden urval för publ'!$B$2:$H$2,0),FALSE),"")</f>
        <v>8.1303099999999997</v>
      </c>
      <c r="G10">
        <f>IFERROR(VLOOKUP($C10,'Miljövärden urval för publ'!$B$2:$H$417,MATCH('Miljövärden för publ företag'!G$4,'Miljövärden urval för publ'!$B$2:$H$2,0),FALSE),"")</f>
        <v>0</v>
      </c>
      <c r="J10">
        <f t="shared" si="0"/>
        <v>1</v>
      </c>
      <c r="M10">
        <v>6</v>
      </c>
      <c r="N10" t="str">
        <f t="shared" si="1"/>
        <v>Aneby Miljö &amp; Vatten AB</v>
      </c>
      <c r="P10" s="155">
        <f t="shared" si="2"/>
        <v>0</v>
      </c>
      <c r="Q10" s="150" t="str">
        <f t="shared" si="3"/>
        <v/>
      </c>
      <c r="R10">
        <v>6</v>
      </c>
      <c r="S10" t="str">
        <f t="shared" si="4"/>
        <v/>
      </c>
    </row>
    <row r="11" spans="1:19" x14ac:dyDescent="0.45">
      <c r="A11">
        <v>8</v>
      </c>
      <c r="B11" s="2" t="str">
        <f>IFERROR(INDEX('Miljövärden urval för publ'!$A$2:$AA$420,MATCH('Miljövärden för publ företag'!$A11,'Miljövärden urval för publ'!$R$2:$R$417,0),1),"")</f>
        <v>Adven Energilösningar AB</v>
      </c>
      <c r="C11" s="2" t="str">
        <f>IFERROR(INDEX('Miljövärden urval för publ'!$A$2:$AA$420,MATCH('Miljövärden för publ företag'!$A11,'Miljövärden urval för publ'!$R$2:$R$417,0),2),"")</f>
        <v>Timrå</v>
      </c>
      <c r="D11">
        <f>IFERROR(VLOOKUP($C11,'Miljövärden urval för publ'!$B$2:$H$417,MATCH('Miljövärden för publ företag'!D$4,'Miljövärden urval för publ'!$B$2:$H$2,0),FALSE),"")</f>
        <v>7.2537099999999993E-2</v>
      </c>
      <c r="E11">
        <f>IFERROR(VLOOKUP($C11,'Miljövärden urval för publ'!$B$2:$H$417,MATCH('Miljövärden för publ företag'!E$4,'Miljövärden urval för publ'!$B$2:$H$2,0),FALSE),"")</f>
        <v>11.2058</v>
      </c>
      <c r="F11">
        <f>IFERROR(VLOOKUP($C11,'Miljövärden urval för publ'!$B$2:$H$417,MATCH('Miljövärden för publ företag'!F$4,'Miljövärden urval för publ'!$B$2:$H$2,0),FALSE),"")</f>
        <v>3.2233800000000001</v>
      </c>
      <c r="G11">
        <f>IFERROR(VLOOKUP($C11,'Miljövärden urval för publ'!$B$2:$H$417,MATCH('Miljövärden för publ företag'!G$4,'Miljövärden urval för publ'!$B$2:$H$2,0),FALSE),"")</f>
        <v>3.2220199999999997E-2</v>
      </c>
      <c r="J11">
        <f t="shared" si="0"/>
        <v>1</v>
      </c>
      <c r="M11">
        <v>7</v>
      </c>
      <c r="N11" t="str">
        <f t="shared" si="1"/>
        <v>Arvidsjaurs Energi AB</v>
      </c>
      <c r="P11" s="155">
        <f t="shared" si="2"/>
        <v>0</v>
      </c>
      <c r="Q11" s="150" t="str">
        <f t="shared" si="3"/>
        <v/>
      </c>
      <c r="R11">
        <v>7</v>
      </c>
      <c r="S11" t="str">
        <f t="shared" si="4"/>
        <v/>
      </c>
    </row>
    <row r="12" spans="1:19" x14ac:dyDescent="0.45">
      <c r="A12">
        <v>9</v>
      </c>
      <c r="B12" s="2" t="str">
        <f>IFERROR(INDEX('Miljövärden urval för publ'!$A$2:$AA$420,MATCH('Miljövärden för publ företag'!$A12,'Miljövärden urval för publ'!$R$2:$R$417,0),1),"")</f>
        <v>Adven Energilösningar AB</v>
      </c>
      <c r="C12" s="2" t="str">
        <f>IFERROR(INDEX('Miljövärden urval för publ'!$A$2:$AA$420,MATCH('Miljövärden för publ företag'!$A12,'Miljövärden urval för publ'!$R$2:$R$417,0),2),"")</f>
        <v>Vaxholm</v>
      </c>
      <c r="D12">
        <f>IFERROR(VLOOKUP($C12,'Miljövärden urval för publ'!$B$2:$H$417,MATCH('Miljövärden för publ företag'!D$4,'Miljövärden urval för publ'!$B$2:$H$2,0),FALSE),"")</f>
        <v>0.176458</v>
      </c>
      <c r="E12">
        <f>IFERROR(VLOOKUP($C12,'Miljövärden urval för publ'!$B$2:$H$417,MATCH('Miljövärden för publ företag'!E$4,'Miljövärden urval för publ'!$B$2:$H$2,0),FALSE),"")</f>
        <v>8.0076099999999997</v>
      </c>
      <c r="F12">
        <f>IFERROR(VLOOKUP($C12,'Miljövärden urval för publ'!$B$2:$H$417,MATCH('Miljövärden för publ företag'!F$4,'Miljövärden urval för publ'!$B$2:$H$2,0),FALSE),"")</f>
        <v>8.7162400000000009</v>
      </c>
      <c r="G12">
        <f>IFERROR(VLOOKUP($C12,'Miljövärden urval för publ'!$B$2:$H$417,MATCH('Miljövärden för publ företag'!G$4,'Miljövärden urval för publ'!$B$2:$H$2,0),FALSE),"")</f>
        <v>8.6305900000000005E-3</v>
      </c>
      <c r="J12">
        <f t="shared" si="0"/>
        <v>1</v>
      </c>
      <c r="M12">
        <v>8</v>
      </c>
      <c r="N12" t="str">
        <f t="shared" si="1"/>
        <v>Arvika Fjärrvärme AB</v>
      </c>
      <c r="P12" s="155">
        <f t="shared" si="2"/>
        <v>0</v>
      </c>
      <c r="Q12" s="150" t="str">
        <f t="shared" si="3"/>
        <v/>
      </c>
      <c r="R12">
        <v>8</v>
      </c>
      <c r="S12" t="str">
        <f t="shared" si="4"/>
        <v/>
      </c>
    </row>
    <row r="13" spans="1:19" x14ac:dyDescent="0.45">
      <c r="A13" s="160">
        <v>10</v>
      </c>
      <c r="B13" s="2" t="str">
        <f>IFERROR(INDEX('Miljövärden urval för publ'!$A$2:$AA$420,MATCH('Miljövärden för publ företag'!$A13,'Miljövärden urval för publ'!$R$2:$R$417,0),1),"")</f>
        <v>Adven Energilösningar AB</v>
      </c>
      <c r="C13" s="2" t="str">
        <f>IFERROR(INDEX('Miljövärden urval för publ'!$A$2:$AA$420,MATCH('Miljövärden för publ företag'!$A13,'Miljövärden urval för publ'!$R$2:$R$417,0),2),"")</f>
        <v>Älmhult</v>
      </c>
      <c r="D13">
        <f>IFERROR(VLOOKUP($C13,'Miljövärden urval för publ'!$B$2:$H$417,MATCH('Miljövärden för publ företag'!D$4,'Miljövärden urval för publ'!$B$2:$H$2,0),FALSE),"")</f>
        <v>9.8066700000000007E-2</v>
      </c>
      <c r="E13">
        <f>IFERROR(VLOOKUP($C13,'Miljövärden urval för publ'!$B$2:$H$417,MATCH('Miljövärden för publ företag'!E$4,'Miljövärden urval för publ'!$B$2:$H$2,0),FALSE),"")</f>
        <v>3.8871000000000002</v>
      </c>
      <c r="F13">
        <f>IFERROR(VLOOKUP($C13,'Miljövärden urval för publ'!$B$2:$H$417,MATCH('Miljövärden för publ företag'!F$4,'Miljövärden urval för publ'!$B$2:$H$2,0),FALSE),"")</f>
        <v>7.03653</v>
      </c>
      <c r="G13">
        <f>IFERROR(VLOOKUP($C13,'Miljövärden urval för publ'!$B$2:$H$417,MATCH('Miljövärden för publ företag'!G$4,'Miljövärden urval för publ'!$B$2:$H$2,0),FALSE),"")</f>
        <v>7.4288399999999997E-4</v>
      </c>
      <c r="J13">
        <f t="shared" si="0"/>
        <v>1</v>
      </c>
      <c r="M13">
        <v>9</v>
      </c>
      <c r="N13" t="str">
        <f t="shared" si="1"/>
        <v>Bengtsfors Energi</v>
      </c>
      <c r="P13" s="155">
        <f t="shared" si="2"/>
        <v>0</v>
      </c>
      <c r="Q13" s="150" t="str">
        <f t="shared" si="3"/>
        <v/>
      </c>
      <c r="R13">
        <v>9</v>
      </c>
      <c r="S13" t="str">
        <f t="shared" si="4"/>
        <v/>
      </c>
    </row>
    <row r="14" spans="1:19" x14ac:dyDescent="0.45">
      <c r="A14">
        <v>11</v>
      </c>
      <c r="B14" s="2" t="str">
        <f>IFERROR(INDEX('Miljövärden urval för publ'!$A$2:$AA$420,MATCH('Miljövärden för publ företag'!$A14,'Miljövärden urval för publ'!$R$2:$R$417,0),1),"")</f>
        <v>Adven Värme AB.</v>
      </c>
      <c r="C14" s="2" t="str">
        <f>IFERROR(INDEX('Miljövärden urval för publ'!$A$2:$AA$420,MATCH('Miljövärden för publ företag'!$A14,'Miljövärden urval för publ'!$R$2:$R$417,0),2),"")</f>
        <v>Bollstabruk</v>
      </c>
      <c r="D14">
        <f>IFERROR(VLOOKUP($C14,'Miljövärden urval för publ'!$B$2:$H$417,MATCH('Miljövärden för publ företag'!D$4,'Miljövärden urval för publ'!$B$2:$H$2,0),FALSE),"")</f>
        <v>0.135569</v>
      </c>
      <c r="E14">
        <f>IFERROR(VLOOKUP($C14,'Miljövärden urval för publ'!$B$2:$H$417,MATCH('Miljövärden för publ företag'!E$4,'Miljövärden urval för publ'!$B$2:$H$2,0),FALSE),"")</f>
        <v>5.6758800000000003</v>
      </c>
      <c r="F14">
        <f>IFERROR(VLOOKUP($C14,'Miljövärden urval för publ'!$B$2:$H$417,MATCH('Miljövärden för publ företag'!F$4,'Miljövärden urval för publ'!$B$2:$H$2,0),FALSE),"")</f>
        <v>9.9327799999999993</v>
      </c>
      <c r="G14">
        <f>IFERROR(VLOOKUP($C14,'Miljövärden urval för publ'!$B$2:$H$417,MATCH('Miljövärden för publ företag'!G$4,'Miljövärden urval för publ'!$B$2:$H$2,0),FALSE),"")</f>
        <v>0</v>
      </c>
      <c r="J14">
        <f t="shared" si="0"/>
        <v>2</v>
      </c>
      <c r="M14">
        <v>10</v>
      </c>
      <c r="N14" t="str">
        <f t="shared" si="1"/>
        <v>Bodens Energi AB</v>
      </c>
      <c r="P14" s="155">
        <f t="shared" si="2"/>
        <v>0</v>
      </c>
      <c r="Q14" s="150" t="str">
        <f t="shared" si="3"/>
        <v/>
      </c>
      <c r="R14">
        <v>10</v>
      </c>
      <c r="S14" t="str">
        <f t="shared" si="4"/>
        <v/>
      </c>
    </row>
    <row r="15" spans="1:19" x14ac:dyDescent="0.45">
      <c r="A15">
        <v>12</v>
      </c>
      <c r="B15" s="2" t="str">
        <f>IFERROR(INDEX('Miljövärden urval för publ'!$A$2:$AA$420,MATCH('Miljövärden för publ företag'!$A15,'Miljövärden urval för publ'!$R$2:$R$417,0),1),"")</f>
        <v>Adven Värme AB.</v>
      </c>
      <c r="C15" s="2" t="str">
        <f>IFERROR(INDEX('Miljövärden urval för publ'!$A$2:$AA$420,MATCH('Miljövärden för publ företag'!$A15,'Miljövärden urval för publ'!$R$2:$R$417,0),2),"")</f>
        <v>Bräcke, Enycon</v>
      </c>
      <c r="D15">
        <f>IFERROR(VLOOKUP($C15,'Miljövärden urval för publ'!$B$2:$H$417,MATCH('Miljövärden för publ företag'!D$4,'Miljövärden urval för publ'!$B$2:$H$2,0),FALSE),"")</f>
        <v>0.15629999999999999</v>
      </c>
      <c r="E15">
        <f>IFERROR(VLOOKUP($C15,'Miljövärden urval för publ'!$B$2:$H$417,MATCH('Miljövärden för publ företag'!E$4,'Miljövärden urval för publ'!$B$2:$H$2,0),FALSE),"")</f>
        <v>7.3343699999999998</v>
      </c>
      <c r="F15">
        <f>IFERROR(VLOOKUP($C15,'Miljövärden urval för publ'!$B$2:$H$417,MATCH('Miljövärden för publ företag'!F$4,'Miljövärden urval för publ'!$B$2:$H$2,0),FALSE),"")</f>
        <v>11.749700000000001</v>
      </c>
      <c r="G15">
        <f>IFERROR(VLOOKUP($C15,'Miljövärden urval för publ'!$B$2:$H$417,MATCH('Miljövärden för publ företag'!G$4,'Miljövärden urval för publ'!$B$2:$H$2,0),FALSE),"")</f>
        <v>4.4731099999999998E-3</v>
      </c>
      <c r="J15">
        <f t="shared" si="0"/>
        <v>2</v>
      </c>
      <c r="M15">
        <v>11</v>
      </c>
      <c r="N15" t="str">
        <f t="shared" si="1"/>
        <v>Bollnäs Energi AB</v>
      </c>
      <c r="P15" s="155">
        <f t="shared" si="2"/>
        <v>0</v>
      </c>
      <c r="Q15" s="150" t="str">
        <f t="shared" si="3"/>
        <v/>
      </c>
      <c r="R15">
        <v>11</v>
      </c>
      <c r="S15" t="str">
        <f t="shared" si="4"/>
        <v/>
      </c>
    </row>
    <row r="16" spans="1:19" x14ac:dyDescent="0.45">
      <c r="A16" s="160">
        <v>13</v>
      </c>
      <c r="B16" s="2" t="str">
        <f>IFERROR(INDEX('Miljövärden urval för publ'!$A$2:$AA$420,MATCH('Miljövärden för publ företag'!$A16,'Miljövärden urval för publ'!$R$2:$R$417,0),1),"")</f>
        <v>Adven Värme AB.</v>
      </c>
      <c r="C16" s="2" t="str">
        <f>IFERROR(INDEX('Miljövärden urval för publ'!$A$2:$AA$420,MATCH('Miljövärden för publ företag'!$A16,'Miljövärden urval för publ'!$R$2:$R$417,0),2),"")</f>
        <v>Friggesund</v>
      </c>
      <c r="D16">
        <f>IFERROR(VLOOKUP($C16,'Miljövärden urval för publ'!$B$2:$H$417,MATCH('Miljövärden för publ företag'!D$4,'Miljövärden urval för publ'!$B$2:$H$2,0),FALSE),"")</f>
        <v>0.12046800000000001</v>
      </c>
      <c r="E16">
        <f>IFERROR(VLOOKUP($C16,'Miljövärden urval för publ'!$B$2:$H$417,MATCH('Miljövärden för publ företag'!E$4,'Miljövärden urval för publ'!$B$2:$H$2,0),FALSE),"")</f>
        <v>8.1338399999999993</v>
      </c>
      <c r="F16">
        <f>IFERROR(VLOOKUP($C16,'Miljövärden urval för publ'!$B$2:$H$417,MATCH('Miljövärden för publ företag'!F$4,'Miljövärden urval för publ'!$B$2:$H$2,0),FALSE),"")</f>
        <v>10.2813</v>
      </c>
      <c r="G16">
        <f>IFERROR(VLOOKUP($C16,'Miljövärden urval för publ'!$B$2:$H$417,MATCH('Miljövärden för publ företag'!G$4,'Miljövärden urval för publ'!$B$2:$H$2,0),FALSE),"")</f>
        <v>6.0094199999999997E-3</v>
      </c>
      <c r="J16">
        <f t="shared" si="0"/>
        <v>2</v>
      </c>
      <c r="M16">
        <v>12</v>
      </c>
      <c r="N16" t="str">
        <f t="shared" si="1"/>
        <v>Borgholm Energi AB</v>
      </c>
      <c r="P16" s="155">
        <f t="shared" si="2"/>
        <v>0</v>
      </c>
      <c r="Q16" s="150" t="str">
        <f t="shared" si="3"/>
        <v/>
      </c>
      <c r="R16">
        <v>12</v>
      </c>
      <c r="S16" t="str">
        <f t="shared" si="4"/>
        <v/>
      </c>
    </row>
    <row r="17" spans="1:19" x14ac:dyDescent="0.45">
      <c r="A17">
        <v>14</v>
      </c>
      <c r="B17" s="2" t="str">
        <f>IFERROR(INDEX('Miljövärden urval för publ'!$A$2:$AA$420,MATCH('Miljövärden för publ företag'!$A17,'Miljövärden urval för publ'!$R$2:$R$417,0),1),"")</f>
        <v>Adven Värme AB.</v>
      </c>
      <c r="C17" s="2" t="str">
        <f>IFERROR(INDEX('Miljövärden urval för publ'!$A$2:$AA$420,MATCH('Miljövärden för publ företag'!$A17,'Miljövärden urval för publ'!$R$2:$R$417,0),2),"")</f>
        <v>Funäsdalen</v>
      </c>
      <c r="D17">
        <f>IFERROR(VLOOKUP($C17,'Miljövärden urval för publ'!$B$2:$H$417,MATCH('Miljövärden för publ företag'!D$4,'Miljövärden urval för publ'!$B$2:$H$2,0),FALSE),"")</f>
        <v>0.120277</v>
      </c>
      <c r="E17">
        <f>IFERROR(VLOOKUP($C17,'Miljövärden urval för publ'!$B$2:$H$417,MATCH('Miljövärden för publ företag'!E$4,'Miljövärden urval för publ'!$B$2:$H$2,0),FALSE),"")</f>
        <v>6.9286099999999999</v>
      </c>
      <c r="F17">
        <f>IFERROR(VLOOKUP($C17,'Miljövärden urval för publ'!$B$2:$H$417,MATCH('Miljövärden för publ företag'!F$4,'Miljövärden urval för publ'!$B$2:$H$2,0),FALSE),"")</f>
        <v>9.9656500000000001</v>
      </c>
      <c r="G17">
        <f>IFERROR(VLOOKUP($C17,'Miljövärden urval för publ'!$B$2:$H$417,MATCH('Miljövärden för publ företag'!G$4,'Miljövärden urval för publ'!$B$2:$H$2,0),FALSE),"")</f>
        <v>3.3623899999999998E-3</v>
      </c>
      <c r="J17">
        <f t="shared" si="0"/>
        <v>2</v>
      </c>
      <c r="M17">
        <v>13</v>
      </c>
      <c r="N17" t="str">
        <f t="shared" si="1"/>
        <v>Borlänge Energi AB</v>
      </c>
      <c r="P17" s="155">
        <f t="shared" si="2"/>
        <v>0</v>
      </c>
      <c r="Q17" s="150" t="str">
        <f t="shared" si="3"/>
        <v/>
      </c>
      <c r="R17">
        <v>13</v>
      </c>
      <c r="S17" t="str">
        <f t="shared" si="4"/>
        <v/>
      </c>
    </row>
    <row r="18" spans="1:19" x14ac:dyDescent="0.45">
      <c r="A18">
        <v>15</v>
      </c>
      <c r="B18" s="2" t="str">
        <f>IFERROR(INDEX('Miljövärden urval för publ'!$A$2:$AA$420,MATCH('Miljövärden för publ företag'!$A18,'Miljövärden urval för publ'!$R$2:$R$417,0),1),"")</f>
        <v>Adven Värme AB.</v>
      </c>
      <c r="C18" s="2" t="str">
        <f>IFERROR(INDEX('Miljövärden urval för publ'!$A$2:$AA$420,MATCH('Miljövärden för publ företag'!$A18,'Miljövärden urval för publ'!$R$2:$R$417,0),2),"")</f>
        <v>Hede</v>
      </c>
      <c r="D18">
        <f>IFERROR(VLOOKUP($C18,'Miljövärden urval för publ'!$B$2:$H$417,MATCH('Miljövärden för publ företag'!D$4,'Miljövärden urval för publ'!$B$2:$H$2,0),FALSE),"")</f>
        <v>0.11430999999999999</v>
      </c>
      <c r="E18">
        <f>IFERROR(VLOOKUP($C18,'Miljövärden urval för publ'!$B$2:$H$417,MATCH('Miljövärden för publ företag'!E$4,'Miljövärden urval för publ'!$B$2:$H$2,0),FALSE),"")</f>
        <v>11.4582</v>
      </c>
      <c r="F18">
        <f>IFERROR(VLOOKUP($C18,'Miljövärden urval för publ'!$B$2:$H$417,MATCH('Miljövärden för publ företag'!F$4,'Miljövärden urval för publ'!$B$2:$H$2,0),FALSE),"")</f>
        <v>10.9925</v>
      </c>
      <c r="G18">
        <f>IFERROR(VLOOKUP($C18,'Miljövärden urval för publ'!$B$2:$H$417,MATCH('Miljövärden för publ företag'!G$4,'Miljövärden urval för publ'!$B$2:$H$2,0),FALSE),"")</f>
        <v>1.31434E-2</v>
      </c>
      <c r="J18">
        <f t="shared" si="0"/>
        <v>2</v>
      </c>
      <c r="M18">
        <v>14</v>
      </c>
      <c r="N18" t="str">
        <f t="shared" si="1"/>
        <v>Borås Energi &amp; Miljö AB</v>
      </c>
      <c r="P18" s="155">
        <f t="shared" si="2"/>
        <v>0</v>
      </c>
      <c r="Q18" s="150" t="str">
        <f t="shared" si="3"/>
        <v/>
      </c>
      <c r="R18">
        <v>14</v>
      </c>
      <c r="S18" t="str">
        <f t="shared" si="4"/>
        <v/>
      </c>
    </row>
    <row r="19" spans="1:19" x14ac:dyDescent="0.45">
      <c r="A19" s="160">
        <v>16</v>
      </c>
      <c r="B19" s="2" t="str">
        <f>IFERROR(INDEX('Miljövärden urval för publ'!$A$2:$AA$420,MATCH('Miljövärden för publ företag'!$A19,'Miljövärden urval för publ'!$R$2:$R$417,0),1),"")</f>
        <v>Adven Värme AB.</v>
      </c>
      <c r="C19" s="2" t="str">
        <f>IFERROR(INDEX('Miljövärden urval för publ'!$A$2:$AA$420,MATCH('Miljövärden för publ företag'!$A19,'Miljövärden urval för publ'!$R$2:$R$417,0),2),"")</f>
        <v>Lenhovda</v>
      </c>
      <c r="D19">
        <f>IFERROR(VLOOKUP($C19,'Miljövärden urval för publ'!$B$2:$H$417,MATCH('Miljövärden för publ företag'!D$4,'Miljövärden urval för publ'!$B$2:$H$2,0),FALSE),"")</f>
        <v>0.13586999999999999</v>
      </c>
      <c r="E19">
        <f>IFERROR(VLOOKUP($C19,'Miljövärden urval för publ'!$B$2:$H$417,MATCH('Miljövärden för publ företag'!E$4,'Miljövärden urval för publ'!$B$2:$H$2,0),FALSE),"")</f>
        <v>8.2206399999999995</v>
      </c>
      <c r="F19">
        <f>IFERROR(VLOOKUP($C19,'Miljövärden urval för publ'!$B$2:$H$417,MATCH('Miljövärden för publ företag'!F$4,'Miljövärden urval för publ'!$B$2:$H$2,0),FALSE),"")</f>
        <v>9.9937100000000001</v>
      </c>
      <c r="G19">
        <f>IFERROR(VLOOKUP($C19,'Miljövärden urval för publ'!$B$2:$H$417,MATCH('Miljövärden för publ företag'!G$4,'Miljövärden urval för publ'!$B$2:$H$2,0),FALSE),"")</f>
        <v>6.8552600000000002E-3</v>
      </c>
      <c r="J19">
        <f t="shared" si="0"/>
        <v>2</v>
      </c>
      <c r="M19">
        <v>15</v>
      </c>
      <c r="N19" t="str">
        <f t="shared" si="1"/>
        <v>Bromölla Fjärrvärme AB</v>
      </c>
      <c r="P19" s="155">
        <f t="shared" si="2"/>
        <v>0</v>
      </c>
      <c r="Q19" s="150" t="str">
        <f t="shared" si="3"/>
        <v/>
      </c>
      <c r="R19">
        <v>15</v>
      </c>
      <c r="S19" t="str">
        <f t="shared" si="4"/>
        <v/>
      </c>
    </row>
    <row r="20" spans="1:19" x14ac:dyDescent="0.45">
      <c r="A20">
        <v>17</v>
      </c>
      <c r="B20" s="2" t="str">
        <f>IFERROR(INDEX('Miljövärden urval för publ'!$A$2:$AA$420,MATCH('Miljövärden för publ företag'!$A20,'Miljövärden urval för publ'!$R$2:$R$417,0),1),"")</f>
        <v>Adven Värme AB.</v>
      </c>
      <c r="C20" s="2" t="str">
        <f>IFERROR(INDEX('Miljövärden urval för publ'!$A$2:$AA$420,MATCH('Miljövärden för publ företag'!$A20,'Miljövärden urval för publ'!$R$2:$R$417,0),2),"")</f>
        <v>Långsele</v>
      </c>
      <c r="D20">
        <f>IFERROR(VLOOKUP($C20,'Miljövärden urval för publ'!$B$2:$H$417,MATCH('Miljövärden för publ företag'!D$4,'Miljövärden urval för publ'!$B$2:$H$2,0),FALSE),"")</f>
        <v>0.65646199999999999</v>
      </c>
      <c r="E20">
        <f>IFERROR(VLOOKUP($C20,'Miljövärden urval för publ'!$B$2:$H$417,MATCH('Miljövärden för publ företag'!E$4,'Miljövärden urval för publ'!$B$2:$H$2,0),FALSE),"")</f>
        <v>45.538499999999999</v>
      </c>
      <c r="F20">
        <f>IFERROR(VLOOKUP($C20,'Miljövärden urval för publ'!$B$2:$H$417,MATCH('Miljövärden för publ företag'!F$4,'Miljövärden urval för publ'!$B$2:$H$2,0),FALSE),"")</f>
        <v>18.461500000000001</v>
      </c>
      <c r="G20">
        <f>IFERROR(VLOOKUP($C20,'Miljövärden urval för publ'!$B$2:$H$417,MATCH('Miljövärden för publ företag'!G$4,'Miljövärden urval för publ'!$B$2:$H$2,0),FALSE),"")</f>
        <v>0.114025</v>
      </c>
      <c r="J20">
        <f t="shared" si="0"/>
        <v>2</v>
      </c>
      <c r="M20">
        <v>16</v>
      </c>
      <c r="N20" t="str">
        <f t="shared" si="1"/>
        <v>BTEA Energi AB</v>
      </c>
      <c r="P20" s="155">
        <f t="shared" si="2"/>
        <v>0</v>
      </c>
      <c r="Q20" s="150" t="str">
        <f t="shared" si="3"/>
        <v/>
      </c>
      <c r="R20">
        <v>16</v>
      </c>
      <c r="S20" t="str">
        <f t="shared" si="4"/>
        <v/>
      </c>
    </row>
    <row r="21" spans="1:19" x14ac:dyDescent="0.45">
      <c r="A21">
        <v>18</v>
      </c>
      <c r="B21" s="2" t="str">
        <f>IFERROR(INDEX('Miljövärden urval för publ'!$A$2:$AA$420,MATCH('Miljövärden för publ företag'!$A21,'Miljövärden urval för publ'!$R$2:$R$417,0),1),"")</f>
        <v>Adven Värme AB.</v>
      </c>
      <c r="C21" s="2" t="str">
        <f>IFERROR(INDEX('Miljövärden urval för publ'!$A$2:$AA$420,MATCH('Miljövärden för publ företag'!$A21,'Miljövärden urval för publ'!$R$2:$R$417,0),2),"")</f>
        <v>Näsåker</v>
      </c>
      <c r="D21">
        <f>IFERROR(VLOOKUP($C21,'Miljövärden urval för publ'!$B$2:$H$417,MATCH('Miljövärden för publ företag'!D$4,'Miljövärden urval för publ'!$B$2:$H$2,0),FALSE),"")</f>
        <v>0.21365600000000001</v>
      </c>
      <c r="E21">
        <f>IFERROR(VLOOKUP($C21,'Miljövärden urval för publ'!$B$2:$H$417,MATCH('Miljövärden för publ företag'!E$4,'Miljövärden urval för publ'!$B$2:$H$2,0),FALSE),"")</f>
        <v>13.2042</v>
      </c>
      <c r="F21">
        <f>IFERROR(VLOOKUP($C21,'Miljövärden urval för publ'!$B$2:$H$417,MATCH('Miljövärden för publ företag'!F$4,'Miljövärden urval för publ'!$B$2:$H$2,0),FALSE),"")</f>
        <v>18.137899999999998</v>
      </c>
      <c r="G21">
        <f>IFERROR(VLOOKUP($C21,'Miljövärden urval för publ'!$B$2:$H$417,MATCH('Miljövärden för publ företag'!G$4,'Miljövärden urval för publ'!$B$2:$H$2,0),FALSE),"")</f>
        <v>2.3728800000000001E-2</v>
      </c>
      <c r="J21">
        <f t="shared" si="0"/>
        <v>2</v>
      </c>
      <c r="M21">
        <v>17</v>
      </c>
      <c r="N21" t="str">
        <f t="shared" si="1"/>
        <v>C4 Energi AB</v>
      </c>
      <c r="P21" s="155">
        <f t="shared" si="2"/>
        <v>0</v>
      </c>
      <c r="Q21" s="150" t="str">
        <f t="shared" si="3"/>
        <v/>
      </c>
      <c r="R21">
        <v>17</v>
      </c>
      <c r="S21" t="str">
        <f t="shared" si="4"/>
        <v/>
      </c>
    </row>
    <row r="22" spans="1:19" x14ac:dyDescent="0.45">
      <c r="A22" s="160">
        <v>19</v>
      </c>
      <c r="B22" s="2" t="str">
        <f>IFERROR(INDEX('Miljövärden urval för publ'!$A$2:$AA$420,MATCH('Miljövärden för publ företag'!$A22,'Miljövärden urval för publ'!$R$2:$R$417,0),1),"")</f>
        <v>Adven Värme AB.</v>
      </c>
      <c r="C22" s="2" t="str">
        <f>IFERROR(INDEX('Miljövärden urval för publ'!$A$2:$AA$420,MATCH('Miljövärden för publ företag'!$A22,'Miljövärden urval för publ'!$R$2:$R$417,0),2),"")</f>
        <v>Ramsele</v>
      </c>
      <c r="D22">
        <f>IFERROR(VLOOKUP($C22,'Miljövärden urval för publ'!$B$2:$H$417,MATCH('Miljövärden för publ företag'!D$4,'Miljövärden urval för publ'!$B$2:$H$2,0),FALSE),"")</f>
        <v>0.180835</v>
      </c>
      <c r="E22">
        <f>IFERROR(VLOOKUP($C22,'Miljövärden urval för publ'!$B$2:$H$417,MATCH('Miljövärden för publ företag'!E$4,'Miljövärden urval för publ'!$B$2:$H$2,0),FALSE),"")</f>
        <v>10.5261</v>
      </c>
      <c r="F22">
        <f>IFERROR(VLOOKUP($C22,'Miljövärden urval för publ'!$B$2:$H$417,MATCH('Miljövärden för publ företag'!F$4,'Miljövärden urval för publ'!$B$2:$H$2,0),FALSE),"")</f>
        <v>11.8589</v>
      </c>
      <c r="G22">
        <f>IFERROR(VLOOKUP($C22,'Miljövärden urval för publ'!$B$2:$H$417,MATCH('Miljövärden för publ företag'!G$4,'Miljövärden urval för publ'!$B$2:$H$2,0),FALSE),"")</f>
        <v>1.10729E-2</v>
      </c>
      <c r="J22">
        <f t="shared" si="0"/>
        <v>2</v>
      </c>
      <c r="M22">
        <v>18</v>
      </c>
      <c r="N22" t="str">
        <f t="shared" si="1"/>
        <v>Dala Energi Värme AB</v>
      </c>
      <c r="P22" s="155">
        <f t="shared" si="2"/>
        <v>0</v>
      </c>
      <c r="Q22" s="150" t="str">
        <f t="shared" si="3"/>
        <v/>
      </c>
      <c r="R22">
        <v>18</v>
      </c>
      <c r="S22" t="str">
        <f t="shared" si="4"/>
        <v/>
      </c>
    </row>
    <row r="23" spans="1:19" x14ac:dyDescent="0.45">
      <c r="A23">
        <v>20</v>
      </c>
      <c r="B23" s="2" t="str">
        <f>IFERROR(INDEX('Miljövärden urval för publ'!$A$2:$AA$420,MATCH('Miljövärden för publ företag'!$A23,'Miljövärden urval för publ'!$R$2:$R$417,0),1),"")</f>
        <v>Adven Värme AB.</v>
      </c>
      <c r="C23" s="2" t="str">
        <f>IFERROR(INDEX('Miljövärden urval för publ'!$A$2:$AA$420,MATCH('Miljövärden för publ företag'!$A23,'Miljövärden urval för publ'!$R$2:$R$417,0),2),"")</f>
        <v>Sösdala</v>
      </c>
      <c r="D23">
        <f>IFERROR(VLOOKUP($C23,'Miljövärden urval för publ'!$B$2:$H$417,MATCH('Miljövärden för publ företag'!D$4,'Miljövärden urval för publ'!$B$2:$H$2,0),FALSE),"")</f>
        <v>0.16189799999999999</v>
      </c>
      <c r="E23">
        <f>IFERROR(VLOOKUP($C23,'Miljövärden urval för publ'!$B$2:$H$417,MATCH('Miljövärden för publ företag'!E$4,'Miljövärden urval för publ'!$B$2:$H$2,0),FALSE),"")</f>
        <v>15.533799999999999</v>
      </c>
      <c r="F23">
        <f>IFERROR(VLOOKUP($C23,'Miljövärden urval för publ'!$B$2:$H$417,MATCH('Miljövärden för publ företag'!F$4,'Miljövärden urval för publ'!$B$2:$H$2,0),FALSE),"")</f>
        <v>10.659800000000001</v>
      </c>
      <c r="G23">
        <f>IFERROR(VLOOKUP($C23,'Miljövärden urval för publ'!$B$2:$H$417,MATCH('Miljövärden för publ företag'!G$4,'Miljövärden urval för publ'!$B$2:$H$2,0),FALSE),"")</f>
        <v>2.5165300000000002E-2</v>
      </c>
      <c r="J23">
        <f t="shared" si="0"/>
        <v>2</v>
      </c>
      <c r="M23">
        <v>19</v>
      </c>
      <c r="N23" t="str">
        <f t="shared" si="1"/>
        <v>Degerfors Energi AB</v>
      </c>
      <c r="P23" s="155">
        <f t="shared" si="2"/>
        <v>0</v>
      </c>
      <c r="Q23" s="150" t="str">
        <f t="shared" si="3"/>
        <v/>
      </c>
      <c r="R23">
        <v>19</v>
      </c>
      <c r="S23" t="str">
        <f t="shared" si="4"/>
        <v/>
      </c>
    </row>
    <row r="24" spans="1:19" x14ac:dyDescent="0.45">
      <c r="A24">
        <v>21</v>
      </c>
      <c r="B24" s="2" t="str">
        <f>IFERROR(INDEX('Miljövärden urval för publ'!$A$2:$AA$420,MATCH('Miljövärden för publ företag'!$A24,'Miljövärden urval för publ'!$R$2:$R$417,0),1),"")</f>
        <v>Affärsverken Karlskrona AB</v>
      </c>
      <c r="C24" s="2" t="str">
        <f>IFERROR(INDEX('Miljövärden urval för publ'!$A$2:$AA$420,MATCH('Miljövärden för publ företag'!$A24,'Miljövärden urval för publ'!$R$2:$R$417,0),2),"")</f>
        <v>Fridlevstad</v>
      </c>
      <c r="D24">
        <f>IFERROR(VLOOKUP($C24,'Miljövärden urval för publ'!$B$2:$H$417,MATCH('Miljövärden för publ företag'!D$4,'Miljövärden urval för publ'!$B$2:$H$2,0),FALSE),"")</f>
        <v>0.238897</v>
      </c>
      <c r="E24">
        <f>IFERROR(VLOOKUP($C24,'Miljövärden urval för publ'!$B$2:$H$417,MATCH('Miljövärden för publ företag'!E$4,'Miljövärden urval för publ'!$B$2:$H$2,0),FALSE),"")</f>
        <v>13.876899999999999</v>
      </c>
      <c r="F24">
        <f>IFERROR(VLOOKUP($C24,'Miljövärden urval för publ'!$B$2:$H$417,MATCH('Miljövärden för publ företag'!F$4,'Miljövärden urval för publ'!$B$2:$H$2,0),FALSE),"")</f>
        <v>22.7333</v>
      </c>
      <c r="G24">
        <f>IFERROR(VLOOKUP($C24,'Miljövärden urval för publ'!$B$2:$H$417,MATCH('Miljövärden för publ företag'!G$4,'Miljövärden urval för publ'!$B$2:$H$2,0),FALSE),"")</f>
        <v>1.7214400000000001E-2</v>
      </c>
      <c r="J24">
        <f t="shared" si="0"/>
        <v>3</v>
      </c>
      <c r="M24">
        <v>20</v>
      </c>
      <c r="N24" t="str">
        <f>IFERROR(INDEX($B$4:$J$487,MATCH(M24,$J$4:$J$487,0),1),"")</f>
        <v>E.ON Värme Sverige AB</v>
      </c>
      <c r="P24" s="155">
        <f t="shared" si="2"/>
        <v>0</v>
      </c>
      <c r="Q24" s="150" t="str">
        <f>IF(B24=$R$2,C24,"")</f>
        <v/>
      </c>
      <c r="R24">
        <v>20</v>
      </c>
      <c r="S24" t="str">
        <f t="shared" si="4"/>
        <v/>
      </c>
    </row>
    <row r="25" spans="1:19" x14ac:dyDescent="0.45">
      <c r="A25" s="160">
        <v>22</v>
      </c>
      <c r="B25" s="2" t="str">
        <f>IFERROR(INDEX('Miljövärden urval för publ'!$A$2:$AA$420,MATCH('Miljövärden för publ företag'!$A25,'Miljövärden urval för publ'!$R$2:$R$417,0),1),"")</f>
        <v>Affärsverken Karlskrona AB</v>
      </c>
      <c r="C25" s="2" t="str">
        <f>IFERROR(INDEX('Miljövärden urval för publ'!$A$2:$AA$420,MATCH('Miljövärden för publ företag'!$A25,'Miljövärden urval för publ'!$R$2:$R$417,0),2),"")</f>
        <v>Jämjö</v>
      </c>
      <c r="D25">
        <f>IFERROR(VLOOKUP($C25,'Miljövärden urval för publ'!$B$2:$H$417,MATCH('Miljövärden för publ företag'!D$4,'Miljövärden urval för publ'!$B$2:$H$2,0),FALSE),"")</f>
        <v>0.19187000000000001</v>
      </c>
      <c r="E25">
        <f>IFERROR(VLOOKUP($C25,'Miljövärden urval för publ'!$B$2:$H$417,MATCH('Miljövärden för publ företag'!E$4,'Miljövärden urval för publ'!$B$2:$H$2,0),FALSE),"")</f>
        <v>9.8168000000000006</v>
      </c>
      <c r="F25">
        <f>IFERROR(VLOOKUP($C25,'Miljövärden urval för publ'!$B$2:$H$417,MATCH('Miljövärden för publ företag'!F$4,'Miljövärden urval för publ'!$B$2:$H$2,0),FALSE),"")</f>
        <v>19.519600000000001</v>
      </c>
      <c r="G25">
        <f>IFERROR(VLOOKUP($C25,'Miljövärden urval för publ'!$B$2:$H$417,MATCH('Miljövärden för publ företag'!G$4,'Miljövärden urval för publ'!$B$2:$H$2,0),FALSE),"")</f>
        <v>1.15204E-2</v>
      </c>
      <c r="J25">
        <f t="shared" si="0"/>
        <v>3</v>
      </c>
      <c r="M25">
        <v>21</v>
      </c>
      <c r="N25" t="str">
        <f t="shared" si="1"/>
        <v>Eksjö Energi AB</v>
      </c>
      <c r="P25" s="155">
        <f t="shared" si="2"/>
        <v>0</v>
      </c>
      <c r="Q25" s="150" t="str">
        <f t="shared" si="3"/>
        <v/>
      </c>
      <c r="R25">
        <v>21</v>
      </c>
      <c r="S25" t="str">
        <f t="shared" si="4"/>
        <v/>
      </c>
    </row>
    <row r="26" spans="1:19" x14ac:dyDescent="0.45">
      <c r="A26">
        <v>23</v>
      </c>
      <c r="B26" s="2" t="str">
        <f>IFERROR(INDEX('Miljövärden urval för publ'!$A$2:$AA$420,MATCH('Miljövärden för publ företag'!$A26,'Miljövärden urval för publ'!$R$2:$R$417,0),1),"")</f>
        <v>Affärsverken Karlskrona AB</v>
      </c>
      <c r="C26" s="2" t="str">
        <f>IFERROR(INDEX('Miljövärden urval för publ'!$A$2:$AA$420,MATCH('Miljövärden för publ företag'!$A26,'Miljövärden urval för publ'!$R$2:$R$417,0),2),"")</f>
        <v>Karlskrona</v>
      </c>
      <c r="D26">
        <f>IFERROR(VLOOKUP($C26,'Miljövärden urval för publ'!$B$2:$H$417,MATCH('Miljövärden för publ företag'!D$4,'Miljövärden urval för publ'!$B$2:$H$2,0),FALSE),"")</f>
        <v>7.3316599999999996E-2</v>
      </c>
      <c r="E26">
        <f>IFERROR(VLOOKUP($C26,'Miljövärden urval för publ'!$B$2:$H$417,MATCH('Miljövärden för publ företag'!E$4,'Miljövärden urval för publ'!$B$2:$H$2,0),FALSE),"")</f>
        <v>3.97784</v>
      </c>
      <c r="F26">
        <f>IFERROR(VLOOKUP($C26,'Miljövärden urval för publ'!$B$2:$H$417,MATCH('Miljövärden för publ företag'!F$4,'Miljövärden urval för publ'!$B$2:$H$2,0),FALSE),"")</f>
        <v>5.8383399999999996</v>
      </c>
      <c r="G26">
        <f>IFERROR(VLOOKUP($C26,'Miljövärden urval för publ'!$B$2:$H$417,MATCH('Miljövärden för publ företag'!G$4,'Miljövärden urval för publ'!$B$2:$H$2,0),FALSE),"")</f>
        <v>1.0730200000000001E-3</v>
      </c>
      <c r="J26">
        <f t="shared" si="0"/>
        <v>3</v>
      </c>
      <c r="M26">
        <v>22</v>
      </c>
      <c r="N26" t="str">
        <f t="shared" si="1"/>
        <v>Emmaboda Energi och Miljö AB</v>
      </c>
      <c r="P26" s="155">
        <f t="shared" si="2"/>
        <v>0</v>
      </c>
      <c r="Q26" s="150" t="str">
        <f t="shared" si="3"/>
        <v/>
      </c>
      <c r="R26">
        <v>22</v>
      </c>
      <c r="S26" t="str">
        <f t="shared" si="4"/>
        <v/>
      </c>
    </row>
    <row r="27" spans="1:19" x14ac:dyDescent="0.45">
      <c r="A27">
        <v>24</v>
      </c>
      <c r="B27" s="2" t="str">
        <f>IFERROR(INDEX('Miljövärden urval för publ'!$A$2:$AA$420,MATCH('Miljövärden för publ företag'!$A27,'Miljövärden urval för publ'!$R$2:$R$417,0),1),"")</f>
        <v>Affärsverken Karlskrona AB</v>
      </c>
      <c r="C27" s="2" t="str">
        <f>IFERROR(INDEX('Miljövärden urval för publ'!$A$2:$AA$420,MATCH('Miljövärden för publ företag'!$A27,'Miljövärden urval för publ'!$R$2:$R$417,0),2),"")</f>
        <v>Nättraby</v>
      </c>
      <c r="D27">
        <f>IFERROR(VLOOKUP($C27,'Miljövärden urval för publ'!$B$2:$H$417,MATCH('Miljövärden för publ företag'!D$4,'Miljövärden urval för publ'!$B$2:$H$2,0),FALSE),"")</f>
        <v>0.207759</v>
      </c>
      <c r="E27">
        <f>IFERROR(VLOOKUP($C27,'Miljövärden urval för publ'!$B$2:$H$417,MATCH('Miljövärden för publ företag'!E$4,'Miljövärden urval för publ'!$B$2:$H$2,0),FALSE),"")</f>
        <v>12.440799999999999</v>
      </c>
      <c r="F27">
        <f>IFERROR(VLOOKUP($C27,'Miljövärden urval för publ'!$B$2:$H$417,MATCH('Miljövärden för publ företag'!F$4,'Miljövärden urval för publ'!$B$2:$H$2,0),FALSE),"")</f>
        <v>20.188700000000001</v>
      </c>
      <c r="G27">
        <f>IFERROR(VLOOKUP($C27,'Miljövärden urval för publ'!$B$2:$H$417,MATCH('Miljövärden för publ företag'!G$4,'Miljövärden urval för publ'!$B$2:$H$2,0),FALSE),"")</f>
        <v>1.7578099999999999E-2</v>
      </c>
      <c r="J27">
        <f t="shared" si="0"/>
        <v>3</v>
      </c>
      <c r="M27">
        <v>23</v>
      </c>
      <c r="N27" t="str">
        <f t="shared" si="1"/>
        <v>Ena Energi AB</v>
      </c>
      <c r="P27" s="155">
        <f t="shared" si="2"/>
        <v>0</v>
      </c>
      <c r="Q27" s="150" t="str">
        <f t="shared" si="3"/>
        <v/>
      </c>
      <c r="R27">
        <v>23</v>
      </c>
      <c r="S27" t="str">
        <f t="shared" si="4"/>
        <v/>
      </c>
    </row>
    <row r="28" spans="1:19" x14ac:dyDescent="0.45">
      <c r="A28" s="160">
        <v>25</v>
      </c>
      <c r="B28" s="2" t="str">
        <f>IFERROR(INDEX('Miljövärden urval för publ'!$A$2:$AA$420,MATCH('Miljövärden för publ företag'!$A28,'Miljövärden urval för publ'!$R$2:$R$417,0),1),"")</f>
        <v>Affärsverken Karlskrona AB</v>
      </c>
      <c r="C28" s="2" t="str">
        <f>IFERROR(INDEX('Miljövärden urval för publ'!$A$2:$AA$420,MATCH('Miljövärden för publ företag'!$A28,'Miljövärden urval för publ'!$R$2:$R$417,0),2),"")</f>
        <v>Sturkö</v>
      </c>
      <c r="D28">
        <f>IFERROR(VLOOKUP($C28,'Miljövärden urval för publ'!$B$2:$H$417,MATCH('Miljövärden för publ företag'!D$4,'Miljövärden urval för publ'!$B$2:$H$2,0),FALSE),"")</f>
        <v>0.51796799999999998</v>
      </c>
      <c r="E28">
        <f>IFERROR(VLOOKUP($C28,'Miljövärden urval för publ'!$B$2:$H$417,MATCH('Miljövärden för publ företag'!E$4,'Miljövärden urval för publ'!$B$2:$H$2,0),FALSE),"")</f>
        <v>81.739699999999999</v>
      </c>
      <c r="F28">
        <f>IFERROR(VLOOKUP($C28,'Miljövärden urval för publ'!$B$2:$H$417,MATCH('Miljövärden för publ företag'!F$4,'Miljövärden urval för publ'!$B$2:$H$2,0),FALSE),"")</f>
        <v>21.466699999999999</v>
      </c>
      <c r="G28">
        <f>IFERROR(VLOOKUP($C28,'Miljövärden urval för publ'!$B$2:$H$417,MATCH('Miljövärden för publ företag'!G$4,'Miljövärden urval för publ'!$B$2:$H$2,0),FALSE),"")</f>
        <v>0.20066200000000001</v>
      </c>
      <c r="J28">
        <f t="shared" si="0"/>
        <v>3</v>
      </c>
      <c r="M28">
        <v>24</v>
      </c>
      <c r="N28" t="str">
        <f t="shared" si="1"/>
        <v>Eskilstuna Energi &amp; Miljö AB</v>
      </c>
      <c r="P28" s="155">
        <f t="shared" si="2"/>
        <v>0</v>
      </c>
      <c r="Q28" s="150" t="str">
        <f t="shared" si="3"/>
        <v/>
      </c>
      <c r="R28">
        <v>24</v>
      </c>
      <c r="S28" t="str">
        <f t="shared" si="4"/>
        <v/>
      </c>
    </row>
    <row r="29" spans="1:19" x14ac:dyDescent="0.45">
      <c r="A29">
        <v>26</v>
      </c>
      <c r="B29" s="2" t="str">
        <f>IFERROR(INDEX('Miljövärden urval för publ'!$A$2:$AA$420,MATCH('Miljövärden för publ företag'!$A29,'Miljövärden urval för publ'!$R$2:$R$417,0),1),"")</f>
        <v>Alingsås Energi Nät AB</v>
      </c>
      <c r="C29" s="2" t="str">
        <f>IFERROR(INDEX('Miljövärden urval för publ'!$A$2:$AA$420,MATCH('Miljövärden för publ företag'!$A29,'Miljövärden urval för publ'!$R$2:$R$417,0),2),"")</f>
        <v>Alingsås</v>
      </c>
      <c r="D29">
        <f>IFERROR(VLOOKUP($C29,'Miljövärden urval för publ'!$B$2:$H$417,MATCH('Miljövärden för publ företag'!D$4,'Miljövärden urval för publ'!$B$2:$H$2,0),FALSE),"")</f>
        <v>3.7970999999999998E-2</v>
      </c>
      <c r="E29">
        <f>IFERROR(VLOOKUP($C29,'Miljövärden urval för publ'!$B$2:$H$417,MATCH('Miljövärden för publ företag'!E$4,'Miljövärden urval för publ'!$B$2:$H$2,0),FALSE),"")</f>
        <v>4.0559599999999998</v>
      </c>
      <c r="F29">
        <f>IFERROR(VLOOKUP($C29,'Miljövärden urval för publ'!$B$2:$H$417,MATCH('Miljövärden för publ företag'!F$4,'Miljövärden urval för publ'!$B$2:$H$2,0),FALSE),"")</f>
        <v>7.1732899999999997</v>
      </c>
      <c r="G29">
        <f>IFERROR(VLOOKUP($C29,'Miljövärden urval för publ'!$B$2:$H$417,MATCH('Miljövärden för publ företag'!G$4,'Miljövärden urval för publ'!$B$2:$H$2,0),FALSE),"")</f>
        <v>7.7738300000000001E-5</v>
      </c>
      <c r="J29">
        <f t="shared" si="0"/>
        <v>4</v>
      </c>
      <c r="M29">
        <v>25</v>
      </c>
      <c r="N29" t="str">
        <f t="shared" si="1"/>
        <v>Falbygdens Energi AB</v>
      </c>
      <c r="P29" s="155">
        <f t="shared" si="2"/>
        <v>0</v>
      </c>
      <c r="Q29" s="150" t="str">
        <f t="shared" si="3"/>
        <v/>
      </c>
      <c r="R29">
        <v>25</v>
      </c>
      <c r="S29" t="str">
        <f t="shared" si="4"/>
        <v/>
      </c>
    </row>
    <row r="30" spans="1:19" x14ac:dyDescent="0.45">
      <c r="A30">
        <v>27</v>
      </c>
      <c r="B30" s="2" t="str">
        <f>IFERROR(INDEX('Miljövärden urval för publ'!$A$2:$AA$420,MATCH('Miljövärden för publ företag'!$A30,'Miljövärden urval för publ'!$R$2:$R$417,0),1),"")</f>
        <v>Alvesta Energi AB</v>
      </c>
      <c r="C30" s="2" t="str">
        <f>IFERROR(INDEX('Miljövärden urval för publ'!$A$2:$AA$420,MATCH('Miljövärden för publ företag'!$A30,'Miljövärden urval för publ'!$R$2:$R$417,0),2),"")</f>
        <v>Alvesta</v>
      </c>
      <c r="D30">
        <f>IFERROR(VLOOKUP($C30,'Miljövärden urval för publ'!$B$2:$H$417,MATCH('Miljövärden för publ företag'!D$4,'Miljövärden urval för publ'!$B$2:$H$2,0),FALSE),"")</f>
        <v>0.109319</v>
      </c>
      <c r="E30">
        <f>IFERROR(VLOOKUP($C30,'Miljövärden urval för publ'!$B$2:$H$417,MATCH('Miljövärden för publ företag'!E$4,'Miljövärden urval för publ'!$B$2:$H$2,0),FALSE),"")</f>
        <v>13.299899999999999</v>
      </c>
      <c r="F30">
        <f>IFERROR(VLOOKUP($C30,'Miljövärden urval för publ'!$B$2:$H$417,MATCH('Miljövärden för publ företag'!F$4,'Miljövärden urval för publ'!$B$2:$H$2,0),FALSE),"")</f>
        <v>10.107799999999999</v>
      </c>
      <c r="G30">
        <f>IFERROR(VLOOKUP($C30,'Miljövärden urval för publ'!$B$2:$H$417,MATCH('Miljövärden för publ företag'!G$4,'Miljövärden urval för publ'!$B$2:$H$2,0),FALSE),"")</f>
        <v>7.12358E-3</v>
      </c>
      <c r="J30">
        <f t="shared" si="0"/>
        <v>5</v>
      </c>
      <c r="M30">
        <v>26</v>
      </c>
      <c r="N30" t="str">
        <f t="shared" si="1"/>
        <v>Falkenberg Energi AB</v>
      </c>
      <c r="P30" s="155">
        <f t="shared" si="2"/>
        <v>0</v>
      </c>
      <c r="Q30" s="150" t="str">
        <f t="shared" si="3"/>
        <v/>
      </c>
      <c r="R30">
        <v>26</v>
      </c>
      <c r="S30" t="str">
        <f t="shared" si="4"/>
        <v/>
      </c>
    </row>
    <row r="31" spans="1:19" x14ac:dyDescent="0.45">
      <c r="A31" s="160">
        <v>28</v>
      </c>
      <c r="B31" s="2" t="str">
        <f>IFERROR(INDEX('Miljövärden urval för publ'!$A$2:$AA$420,MATCH('Miljövärden för publ företag'!$A31,'Miljövärden urval för publ'!$R$2:$R$417,0),1),"")</f>
        <v>Alvesta Energi AB</v>
      </c>
      <c r="C31" s="2" t="str">
        <f>IFERROR(INDEX('Miljövärden urval för publ'!$A$2:$AA$420,MATCH('Miljövärden för publ företag'!$A31,'Miljövärden urval för publ'!$R$2:$R$417,0),2),"")</f>
        <v>Moheda</v>
      </c>
      <c r="D31">
        <f>IFERROR(VLOOKUP($C31,'Miljövärden urval för publ'!$B$2:$H$417,MATCH('Miljövärden för publ företag'!D$4,'Miljövärden urval för publ'!$B$2:$H$2,0),FALSE),"")</f>
        <v>0.110818</v>
      </c>
      <c r="E31">
        <f>IFERROR(VLOOKUP($C31,'Miljövärden urval för publ'!$B$2:$H$417,MATCH('Miljövärden för publ företag'!E$4,'Miljövärden urval för publ'!$B$2:$H$2,0),FALSE),"")</f>
        <v>13.499700000000001</v>
      </c>
      <c r="F31">
        <f>IFERROR(VLOOKUP($C31,'Miljövärden urval för publ'!$B$2:$H$417,MATCH('Miljövärden för publ företag'!F$4,'Miljövärden urval för publ'!$B$2:$H$2,0),FALSE),"")</f>
        <v>10.4575</v>
      </c>
      <c r="G31">
        <f>IFERROR(VLOOKUP($C31,'Miljövärden urval för publ'!$B$2:$H$417,MATCH('Miljövärden för publ företag'!G$4,'Miljövärden urval för publ'!$B$2:$H$2,0),FALSE),"")</f>
        <v>6.8900799999999998E-3</v>
      </c>
      <c r="J31">
        <f t="shared" si="0"/>
        <v>5</v>
      </c>
      <c r="M31">
        <v>27</v>
      </c>
      <c r="N31" t="str">
        <f t="shared" si="1"/>
        <v>Falu Energi &amp; Vatten AB</v>
      </c>
      <c r="P31" s="155">
        <f t="shared" si="2"/>
        <v>0</v>
      </c>
      <c r="Q31" s="150" t="str">
        <f t="shared" si="3"/>
        <v/>
      </c>
      <c r="R31">
        <v>27</v>
      </c>
      <c r="S31" t="str">
        <f t="shared" si="4"/>
        <v/>
      </c>
    </row>
    <row r="32" spans="1:19" x14ac:dyDescent="0.45">
      <c r="A32">
        <v>29</v>
      </c>
      <c r="B32" s="2" t="str">
        <f>IFERROR(INDEX('Miljövärden urval för publ'!$A$2:$AA$420,MATCH('Miljövärden för publ företag'!$A32,'Miljövärden urval för publ'!$R$2:$R$417,0),1),"")</f>
        <v>Alvesta Energi AB</v>
      </c>
      <c r="C32" s="2" t="str">
        <f>IFERROR(INDEX('Miljövärden urval för publ'!$A$2:$AA$420,MATCH('Miljövärden för publ företag'!$A32,'Miljövärden urval för publ'!$R$2:$R$417,0),2),"")</f>
        <v>Vislanda</v>
      </c>
      <c r="D32">
        <f>IFERROR(VLOOKUP($C32,'Miljövärden urval för publ'!$B$2:$H$417,MATCH('Miljövärden för publ företag'!D$4,'Miljövärden urval för publ'!$B$2:$H$2,0),FALSE),"")</f>
        <v>0.10684200000000001</v>
      </c>
      <c r="E32">
        <f>IFERROR(VLOOKUP($C32,'Miljövärden urval för publ'!$B$2:$H$417,MATCH('Miljövärden för publ företag'!E$4,'Miljövärden urval för publ'!$B$2:$H$2,0),FALSE),"")</f>
        <v>12.9696</v>
      </c>
      <c r="F32">
        <f>IFERROR(VLOOKUP($C32,'Miljövärden urval för publ'!$B$2:$H$417,MATCH('Miljövärden för publ företag'!F$4,'Miljövärden urval för publ'!$B$2:$H$2,0),FALSE),"")</f>
        <v>9.5297000000000001</v>
      </c>
      <c r="G32">
        <f>IFERROR(VLOOKUP($C32,'Miljövärden urval för publ'!$B$2:$H$417,MATCH('Miljövärden för publ företag'!G$4,'Miljövärden urval för publ'!$B$2:$H$2,0),FALSE),"")</f>
        <v>7.5464299999999998E-3</v>
      </c>
      <c r="J32">
        <f t="shared" si="0"/>
        <v>5</v>
      </c>
      <c r="M32">
        <v>28</v>
      </c>
      <c r="N32" t="str">
        <f t="shared" si="1"/>
        <v>Finspångs Tekniska Verk AB</v>
      </c>
      <c r="P32" s="155">
        <f t="shared" si="2"/>
        <v>0</v>
      </c>
      <c r="Q32" s="150" t="str">
        <f t="shared" si="3"/>
        <v/>
      </c>
      <c r="R32">
        <v>28</v>
      </c>
      <c r="S32" t="str">
        <f t="shared" si="4"/>
        <v/>
      </c>
    </row>
    <row r="33" spans="1:19" x14ac:dyDescent="0.45">
      <c r="A33">
        <v>30</v>
      </c>
      <c r="B33" s="2" t="str">
        <f>IFERROR(INDEX('Miljövärden urval för publ'!$A$2:$AA$420,MATCH('Miljövärden för publ företag'!$A33,'Miljövärden urval för publ'!$R$2:$R$417,0),1),"")</f>
        <v>Aneby Miljö &amp; Vatten AB</v>
      </c>
      <c r="C33" s="2" t="str">
        <f>IFERROR(INDEX('Miljövärden urval för publ'!$A$2:$AA$420,MATCH('Miljövärden för publ företag'!$A33,'Miljövärden urval för publ'!$R$2:$R$417,0),2),"")</f>
        <v xml:space="preserve">Aneby </v>
      </c>
      <c r="D33">
        <f>IFERROR(VLOOKUP($C33,'Miljövärden urval för publ'!$B$2:$H$417,MATCH('Miljövärden för publ företag'!D$4,'Miljövärden urval för publ'!$B$2:$H$2,0),FALSE),"")</f>
        <v>7.7154600000000004E-2</v>
      </c>
      <c r="E33">
        <f>IFERROR(VLOOKUP($C33,'Miljövärden urval för publ'!$B$2:$H$417,MATCH('Miljövärden för publ företag'!E$4,'Miljövärden urval för publ'!$B$2:$H$2,0),FALSE),"")</f>
        <v>5.5064900000000003</v>
      </c>
      <c r="F33">
        <f>IFERROR(VLOOKUP($C33,'Miljövärden urval för publ'!$B$2:$H$417,MATCH('Miljövärden för publ företag'!F$4,'Miljövärden urval för publ'!$B$2:$H$2,0),FALSE),"")</f>
        <v>10.7903</v>
      </c>
      <c r="G33">
        <f>IFERROR(VLOOKUP($C33,'Miljövärden urval för publ'!$B$2:$H$417,MATCH('Miljövärden för publ företag'!G$4,'Miljövärden urval för publ'!$B$2:$H$2,0),FALSE),"")</f>
        <v>0</v>
      </c>
      <c r="J33">
        <f t="shared" si="0"/>
        <v>6</v>
      </c>
      <c r="M33">
        <v>29</v>
      </c>
      <c r="N33" t="str">
        <f t="shared" si="1"/>
        <v>Gislaved Energi AB</v>
      </c>
      <c r="P33" s="155">
        <f t="shared" si="2"/>
        <v>0</v>
      </c>
      <c r="Q33" s="150" t="str">
        <f t="shared" si="3"/>
        <v/>
      </c>
      <c r="R33">
        <v>29</v>
      </c>
      <c r="S33" t="str">
        <f t="shared" si="4"/>
        <v/>
      </c>
    </row>
    <row r="34" spans="1:19" x14ac:dyDescent="0.45">
      <c r="A34" s="160">
        <v>31</v>
      </c>
      <c r="B34" s="2" t="str">
        <f>IFERROR(INDEX('Miljövärden urval för publ'!$A$2:$AA$420,MATCH('Miljövärden för publ företag'!$A34,'Miljövärden urval för publ'!$R$2:$R$417,0),1),"")</f>
        <v>Arvidsjaurs Energi AB</v>
      </c>
      <c r="C34" s="2" t="str">
        <f>IFERROR(INDEX('Miljövärden urval för publ'!$A$2:$AA$420,MATCH('Miljövärden för publ företag'!$A34,'Miljövärden urval för publ'!$R$2:$R$417,0),2),"")</f>
        <v>Arvidsjaur</v>
      </c>
      <c r="D34">
        <f>IFERROR(VLOOKUP($C34,'Miljövärden urval för publ'!$B$2:$H$417,MATCH('Miljövärden för publ företag'!D$4,'Miljövärden urval för publ'!$B$2:$H$2,0),FALSE),"")</f>
        <v>0.26683699999999999</v>
      </c>
      <c r="E34">
        <f>IFERROR(VLOOKUP($C34,'Miljövärden urval för publ'!$B$2:$H$417,MATCH('Miljövärden för publ företag'!E$4,'Miljövärden urval för publ'!$B$2:$H$2,0),FALSE),"")</f>
        <v>70.313299999999998</v>
      </c>
      <c r="F34">
        <f>IFERROR(VLOOKUP($C34,'Miljövärden urval för publ'!$B$2:$H$417,MATCH('Miljövärden för publ företag'!F$4,'Miljövärden urval för publ'!$B$2:$H$2,0),FALSE),"")</f>
        <v>14.5144</v>
      </c>
      <c r="G34">
        <f>IFERROR(VLOOKUP($C34,'Miljövärden urval för publ'!$B$2:$H$417,MATCH('Miljövärden för publ företag'!G$4,'Miljövärden urval för publ'!$B$2:$H$2,0),FALSE),"")</f>
        <v>7.3070599999999998E-3</v>
      </c>
      <c r="J34">
        <f t="shared" si="0"/>
        <v>7</v>
      </c>
      <c r="M34">
        <v>30</v>
      </c>
      <c r="N34" t="str">
        <f t="shared" si="1"/>
        <v>Gotlands Energi AB</v>
      </c>
      <c r="P34" s="155">
        <f t="shared" si="2"/>
        <v>0</v>
      </c>
      <c r="Q34" s="150" t="str">
        <f t="shared" si="3"/>
        <v/>
      </c>
      <c r="R34">
        <v>30</v>
      </c>
      <c r="S34" t="str">
        <f t="shared" si="4"/>
        <v/>
      </c>
    </row>
    <row r="35" spans="1:19" x14ac:dyDescent="0.45">
      <c r="A35">
        <v>32</v>
      </c>
      <c r="B35" s="2" t="str">
        <f>IFERROR(INDEX('Miljövärden urval för publ'!$A$2:$AA$420,MATCH('Miljövärden för publ företag'!$A35,'Miljövärden urval för publ'!$R$2:$R$417,0),1),"")</f>
        <v>Arvika Fjärrvärme AB</v>
      </c>
      <c r="C35" s="2" t="str">
        <f>IFERROR(INDEX('Miljövärden urval för publ'!$A$2:$AA$420,MATCH('Miljövärden för publ företag'!$A35,'Miljövärden urval för publ'!$R$2:$R$417,0),2),"")</f>
        <v>Arvika</v>
      </c>
      <c r="D35">
        <f>IFERROR(VLOOKUP($C35,'Miljövärden urval för publ'!$B$2:$H$417,MATCH('Miljövärden för publ företag'!D$4,'Miljövärden urval för publ'!$B$2:$H$2,0),FALSE),"")</f>
        <v>0.111182</v>
      </c>
      <c r="E35">
        <f>IFERROR(VLOOKUP($C35,'Miljövärden urval för publ'!$B$2:$H$417,MATCH('Miljövärden för publ företag'!E$4,'Miljövärden urval för publ'!$B$2:$H$2,0),FALSE),"")</f>
        <v>12.4587</v>
      </c>
      <c r="F35">
        <f>IFERROR(VLOOKUP($C35,'Miljövärden urval för publ'!$B$2:$H$417,MATCH('Miljövärden för publ företag'!F$4,'Miljövärden urval för publ'!$B$2:$H$2,0),FALSE),"")</f>
        <v>8.4339300000000001</v>
      </c>
      <c r="G35">
        <f>IFERROR(VLOOKUP($C35,'Miljövärden urval för publ'!$B$2:$H$417,MATCH('Miljövärden för publ företag'!G$4,'Miljövärden urval för publ'!$B$2:$H$2,0),FALSE),"")</f>
        <v>2.4979899999999999E-2</v>
      </c>
      <c r="J35">
        <f t="shared" si="0"/>
        <v>8</v>
      </c>
      <c r="M35">
        <v>31</v>
      </c>
      <c r="N35" t="str">
        <f t="shared" si="1"/>
        <v>Gällivare Energi AB</v>
      </c>
      <c r="P35" s="155">
        <f t="shared" si="2"/>
        <v>0</v>
      </c>
      <c r="Q35" s="150" t="str">
        <f t="shared" si="3"/>
        <v/>
      </c>
    </row>
    <row r="36" spans="1:19" x14ac:dyDescent="0.45">
      <c r="A36">
        <v>33</v>
      </c>
      <c r="B36" s="2" t="str">
        <f>IFERROR(INDEX('Miljövärden urval för publ'!$A$2:$AA$420,MATCH('Miljövärden för publ företag'!$A36,'Miljövärden urval för publ'!$R$2:$R$417,0),1),"")</f>
        <v>Bengtsfors Energi</v>
      </c>
      <c r="C36" s="2" t="str">
        <f>IFERROR(INDEX('Miljövärden urval för publ'!$A$2:$AA$420,MATCH('Miljövärden för publ företag'!$A36,'Miljövärden urval för publ'!$R$2:$R$417,0),2),"")</f>
        <v>Bengtsfors</v>
      </c>
      <c r="D36">
        <f>IFERROR(VLOOKUP($C36,'Miljövärden urval för publ'!$B$2:$H$417,MATCH('Miljövärden för publ företag'!D$4,'Miljövärden urval för publ'!$B$2:$H$2,0),FALSE),"")</f>
        <v>3.6781599999999998E-2</v>
      </c>
      <c r="E36">
        <f>IFERROR(VLOOKUP($C36,'Miljövärden urval för publ'!$B$2:$H$417,MATCH('Miljövärden för publ företag'!E$4,'Miljövärden urval för publ'!$B$2:$H$2,0),FALSE),"")</f>
        <v>5.4078200000000001</v>
      </c>
      <c r="F36">
        <f>IFERROR(VLOOKUP($C36,'Miljövärden urval för publ'!$B$2:$H$417,MATCH('Miljövärden för publ företag'!F$4,'Miljövärden urval för publ'!$B$2:$H$2,0),FALSE),"")</f>
        <v>2.34483</v>
      </c>
      <c r="G36">
        <f>IFERROR(VLOOKUP($C36,'Miljövärden urval för publ'!$B$2:$H$417,MATCH('Miljövärden för publ företag'!G$4,'Miljövärden urval för publ'!$B$2:$H$2,0),FALSE),"")</f>
        <v>9.9403600000000005E-3</v>
      </c>
      <c r="J36">
        <f t="shared" si="0"/>
        <v>9</v>
      </c>
      <c r="M36">
        <v>32</v>
      </c>
      <c r="N36" t="str">
        <f t="shared" si="1"/>
        <v>Gävle Energi AB</v>
      </c>
      <c r="P36" s="155">
        <f t="shared" si="2"/>
        <v>0</v>
      </c>
      <c r="Q36" s="150" t="str">
        <f t="shared" si="3"/>
        <v/>
      </c>
    </row>
    <row r="37" spans="1:19" x14ac:dyDescent="0.45">
      <c r="A37" s="160">
        <v>34</v>
      </c>
      <c r="B37" s="2" t="str">
        <f>IFERROR(INDEX('Miljövärden urval för publ'!$A$2:$AA$420,MATCH('Miljövärden för publ företag'!$A37,'Miljövärden urval för publ'!$R$2:$R$417,0),1),"")</f>
        <v>Bodens Energi AB</v>
      </c>
      <c r="C37" s="2" t="str">
        <f>IFERROR(INDEX('Miljövärden urval för publ'!$A$2:$AA$420,MATCH('Miljövärden för publ företag'!$A37,'Miljövärden urval för publ'!$R$2:$R$417,0),2),"")</f>
        <v>Boden</v>
      </c>
      <c r="D37">
        <f>IFERROR(VLOOKUP($C37,'Miljövärden urval för publ'!$B$2:$H$417,MATCH('Miljövärden för publ företag'!D$4,'Miljövärden urval för publ'!$B$2:$H$2,0),FALSE),"")</f>
        <v>0.13353300000000001</v>
      </c>
      <c r="E37">
        <f>IFERROR(VLOOKUP($C37,'Miljövärden urval för publ'!$B$2:$H$417,MATCH('Miljövärden för publ företag'!E$4,'Miljövärden urval för publ'!$B$2:$H$2,0),FALSE),"")</f>
        <v>154.30799999999999</v>
      </c>
      <c r="F37">
        <f>IFERROR(VLOOKUP($C37,'Miljövärden urval för publ'!$B$2:$H$417,MATCH('Miljövärden för publ företag'!F$4,'Miljövärden urval för publ'!$B$2:$H$2,0),FALSE),"")</f>
        <v>4.08216</v>
      </c>
      <c r="G37">
        <f>IFERROR(VLOOKUP($C37,'Miljövärden urval för publ'!$B$2:$H$417,MATCH('Miljövärden för publ företag'!G$4,'Miljövärden urval för publ'!$B$2:$H$2,0),FALSE),"")</f>
        <v>1.6068900000000001E-2</v>
      </c>
      <c r="J37">
        <f t="shared" si="0"/>
        <v>10</v>
      </c>
      <c r="M37">
        <v>33</v>
      </c>
      <c r="N37" t="str">
        <f t="shared" si="1"/>
        <v>Göteborg Energi AB</v>
      </c>
      <c r="P37" s="155">
        <f t="shared" si="2"/>
        <v>0</v>
      </c>
      <c r="Q37" s="150" t="str">
        <f t="shared" si="3"/>
        <v/>
      </c>
    </row>
    <row r="38" spans="1:19" x14ac:dyDescent="0.45">
      <c r="A38">
        <v>35</v>
      </c>
      <c r="B38" s="2" t="str">
        <f>IFERROR(INDEX('Miljövärden urval för publ'!$A$2:$AA$420,MATCH('Miljövärden för publ företag'!$A38,'Miljövärden urval för publ'!$R$2:$R$417,0),1),"")</f>
        <v>Bollnäs Energi AB</v>
      </c>
      <c r="C38" s="2" t="str">
        <f>IFERROR(INDEX('Miljövärden urval för publ'!$A$2:$AA$420,MATCH('Miljövärden för publ företag'!$A38,'Miljövärden urval för publ'!$R$2:$R$417,0),2),"")</f>
        <v>Arbrå</v>
      </c>
      <c r="D38">
        <f>IFERROR(VLOOKUP($C38,'Miljövärden urval för publ'!$B$2:$H$417,MATCH('Miljövärden för publ företag'!D$4,'Miljövärden urval för publ'!$B$2:$H$2,0),FALSE),"")</f>
        <v>0.141706</v>
      </c>
      <c r="E38">
        <f>IFERROR(VLOOKUP($C38,'Miljövärden urval för publ'!$B$2:$H$417,MATCH('Miljövärden för publ företag'!E$4,'Miljövärden urval för publ'!$B$2:$H$2,0),FALSE),"")</f>
        <v>22.4984</v>
      </c>
      <c r="F38">
        <f>IFERROR(VLOOKUP($C38,'Miljövärden urval för publ'!$B$2:$H$417,MATCH('Miljövärden för publ företag'!F$4,'Miljövärden urval för publ'!$B$2:$H$2,0),FALSE),"")</f>
        <v>9.7114999999999991</v>
      </c>
      <c r="G38">
        <f>IFERROR(VLOOKUP($C38,'Miljövärden urval för publ'!$B$2:$H$417,MATCH('Miljövärden för publ företag'!G$4,'Miljövärden urval för publ'!$B$2:$H$2,0),FALSE),"")</f>
        <v>4.5862399999999998E-2</v>
      </c>
      <c r="J38">
        <f t="shared" si="0"/>
        <v>11</v>
      </c>
      <c r="M38">
        <v>34</v>
      </c>
      <c r="N38" t="str">
        <f t="shared" si="1"/>
        <v>Götene Vatten &amp; Värme AB</v>
      </c>
      <c r="P38" s="155">
        <f t="shared" si="2"/>
        <v>0</v>
      </c>
      <c r="Q38" s="150" t="str">
        <f t="shared" si="3"/>
        <v/>
      </c>
    </row>
    <row r="39" spans="1:19" x14ac:dyDescent="0.45">
      <c r="A39">
        <v>36</v>
      </c>
      <c r="B39" s="2" t="str">
        <f>IFERROR(INDEX('Miljövärden urval för publ'!$A$2:$AA$420,MATCH('Miljövärden för publ företag'!$A39,'Miljövärden urval för publ'!$R$2:$R$417,0),1),"")</f>
        <v>Bollnäs Energi AB</v>
      </c>
      <c r="C39" s="2" t="str">
        <f>IFERROR(INDEX('Miljövärden urval för publ'!$A$2:$AA$420,MATCH('Miljövärden för publ företag'!$A39,'Miljövärden urval för publ'!$R$2:$R$417,0),2),"")</f>
        <v>Bollnäs</v>
      </c>
      <c r="D39">
        <f>IFERROR(VLOOKUP($C39,'Miljövärden urval för publ'!$B$2:$H$417,MATCH('Miljövärden för publ företag'!D$4,'Miljövärden urval för publ'!$B$2:$H$2,0),FALSE),"")</f>
        <v>0.10227</v>
      </c>
      <c r="E39">
        <f>IFERROR(VLOOKUP($C39,'Miljövärden urval för publ'!$B$2:$H$417,MATCH('Miljövärden för publ företag'!E$4,'Miljövärden urval för publ'!$B$2:$H$2,0),FALSE),"")</f>
        <v>103.119</v>
      </c>
      <c r="F39">
        <f>IFERROR(VLOOKUP($C39,'Miljövärden urval för publ'!$B$2:$H$417,MATCH('Miljövärden för publ företag'!F$4,'Miljövärden urval för publ'!$B$2:$H$2,0),FALSE),"")</f>
        <v>3.3507699999999998</v>
      </c>
      <c r="G39">
        <f>IFERROR(VLOOKUP($C39,'Miljövärden urval för publ'!$B$2:$H$417,MATCH('Miljövärden för publ företag'!G$4,'Miljövärden urval för publ'!$B$2:$H$2,0),FALSE),"")</f>
        <v>5.2167300000000002E-3</v>
      </c>
      <c r="J39">
        <f t="shared" si="0"/>
        <v>11</v>
      </c>
      <c r="M39">
        <v>35</v>
      </c>
      <c r="N39" t="str">
        <f t="shared" si="1"/>
        <v>Habo Energi AB</v>
      </c>
      <c r="P39" s="155">
        <f t="shared" si="2"/>
        <v>0</v>
      </c>
      <c r="Q39" s="150" t="str">
        <f t="shared" si="3"/>
        <v/>
      </c>
    </row>
    <row r="40" spans="1:19" x14ac:dyDescent="0.45">
      <c r="A40" s="160">
        <v>37</v>
      </c>
      <c r="B40" s="2" t="str">
        <f>IFERROR(INDEX('Miljövärden urval för publ'!$A$2:$AA$420,MATCH('Miljövärden för publ företag'!$A40,'Miljövärden urval för publ'!$R$2:$R$417,0),1),"")</f>
        <v>Bollnäs Energi AB</v>
      </c>
      <c r="C40" s="2" t="str">
        <f>IFERROR(INDEX('Miljövärden urval för publ'!$A$2:$AA$420,MATCH('Miljövärden för publ företag'!$A40,'Miljövärden urval för publ'!$R$2:$R$417,0),2),"")</f>
        <v>Kilafors</v>
      </c>
      <c r="D40">
        <f>IFERROR(VLOOKUP($C40,'Miljövärden urval för publ'!$B$2:$H$417,MATCH('Miljövärden för publ företag'!D$4,'Miljövärden urval för publ'!$B$2:$H$2,0),FALSE),"")</f>
        <v>7.0004499999999997E-2</v>
      </c>
      <c r="E40">
        <f>IFERROR(VLOOKUP($C40,'Miljövärden urval för publ'!$B$2:$H$417,MATCH('Miljövärden för publ företag'!E$4,'Miljövärden urval för publ'!$B$2:$H$2,0),FALSE),"")</f>
        <v>5.9404899999999996</v>
      </c>
      <c r="F40">
        <f>IFERROR(VLOOKUP($C40,'Miljövärden urval för publ'!$B$2:$H$417,MATCH('Miljövärden för publ företag'!F$4,'Miljövärden urval för publ'!$B$2:$H$2,0),FALSE),"")</f>
        <v>8.3805200000000006</v>
      </c>
      <c r="G40">
        <f>IFERROR(VLOOKUP($C40,'Miljövärden urval för publ'!$B$2:$H$417,MATCH('Miljövärden för publ företag'!G$4,'Miljövärden urval för publ'!$B$2:$H$2,0),FALSE),"")</f>
        <v>3.2932700000000001E-3</v>
      </c>
      <c r="J40">
        <f t="shared" si="0"/>
        <v>11</v>
      </c>
      <c r="M40">
        <v>36</v>
      </c>
      <c r="N40" t="str">
        <f t="shared" si="1"/>
        <v>Hagfors Energi</v>
      </c>
      <c r="P40" s="155">
        <f t="shared" si="2"/>
        <v>0</v>
      </c>
      <c r="Q40" s="150" t="str">
        <f t="shared" si="3"/>
        <v/>
      </c>
    </row>
    <row r="41" spans="1:19" x14ac:dyDescent="0.45">
      <c r="A41">
        <v>38</v>
      </c>
      <c r="B41" s="2" t="str">
        <f>IFERROR(INDEX('Miljövärden urval för publ'!$A$2:$AA$420,MATCH('Miljövärden för publ företag'!$A41,'Miljövärden urval för publ'!$R$2:$R$417,0),1),"")</f>
        <v>Borgholm Energi AB</v>
      </c>
      <c r="C41" s="2" t="str">
        <f>IFERROR(INDEX('Miljövärden urval för publ'!$A$2:$AA$420,MATCH('Miljövärden för publ företag'!$A41,'Miljövärden urval för publ'!$R$2:$R$417,0),2),"")</f>
        <v>Borgholm</v>
      </c>
      <c r="D41">
        <f>IFERROR(VLOOKUP($C41,'Miljövärden urval för publ'!$B$2:$H$417,MATCH('Miljövärden för publ företag'!D$4,'Miljövärden urval för publ'!$B$2:$H$2,0),FALSE),"")</f>
        <v>0.101524</v>
      </c>
      <c r="E41">
        <f>IFERROR(VLOOKUP($C41,'Miljövärden urval för publ'!$B$2:$H$417,MATCH('Miljövärden för publ företag'!E$4,'Miljövärden urval för publ'!$B$2:$H$2,0),FALSE),"")</f>
        <v>12.588100000000001</v>
      </c>
      <c r="F41">
        <f>IFERROR(VLOOKUP($C41,'Miljövärden urval för publ'!$B$2:$H$417,MATCH('Miljövärden för publ företag'!F$4,'Miljövärden urval för publ'!$B$2:$H$2,0),FALSE),"")</f>
        <v>7.6420700000000004</v>
      </c>
      <c r="G41">
        <f>IFERROR(VLOOKUP($C41,'Miljövärden urval för publ'!$B$2:$H$417,MATCH('Miljövärden för publ företag'!G$4,'Miljövärden urval för publ'!$B$2:$H$2,0),FALSE),"")</f>
        <v>1.01942E-2</v>
      </c>
      <c r="J41">
        <f t="shared" si="0"/>
        <v>12</v>
      </c>
      <c r="M41">
        <v>37</v>
      </c>
      <c r="N41" t="str">
        <f t="shared" si="1"/>
        <v>Halmstads Energi och Miljö AB</v>
      </c>
      <c r="P41" s="155">
        <f t="shared" si="2"/>
        <v>0</v>
      </c>
      <c r="Q41" s="150" t="str">
        <f t="shared" si="3"/>
        <v/>
      </c>
    </row>
    <row r="42" spans="1:19" x14ac:dyDescent="0.45">
      <c r="A42">
        <v>39</v>
      </c>
      <c r="B42" s="2" t="str">
        <f>IFERROR(INDEX('Miljövärden urval för publ'!$A$2:$AA$420,MATCH('Miljövärden för publ företag'!$A42,'Miljövärden urval för publ'!$R$2:$R$417,0),1),"")</f>
        <v>Borgholm Energi AB</v>
      </c>
      <c r="C42" s="2" t="str">
        <f>IFERROR(INDEX('Miljövärden urval för publ'!$A$2:$AA$420,MATCH('Miljövärden för publ företag'!$A42,'Miljövärden urval för publ'!$R$2:$R$417,0),2),"")</f>
        <v>Löttorp</v>
      </c>
      <c r="D42">
        <f>IFERROR(VLOOKUP($C42,'Miljövärden urval för publ'!$B$2:$H$417,MATCH('Miljövärden för publ företag'!D$4,'Miljövärden urval för publ'!$B$2:$H$2,0),FALSE),"")</f>
        <v>0.40405600000000003</v>
      </c>
      <c r="E42">
        <f>IFERROR(VLOOKUP($C42,'Miljövärden urval för publ'!$B$2:$H$417,MATCH('Miljövärden för publ företag'!E$4,'Miljövärden urval för publ'!$B$2:$H$2,0),FALSE),"")</f>
        <v>85.779899999999998</v>
      </c>
      <c r="F42">
        <f>IFERROR(VLOOKUP($C42,'Miljövärden urval för publ'!$B$2:$H$417,MATCH('Miljövärden för publ företag'!F$4,'Miljövärden urval för publ'!$B$2:$H$2,0),FALSE),"")</f>
        <v>13.345499999999999</v>
      </c>
      <c r="G42">
        <f>IFERROR(VLOOKUP($C42,'Miljövärden urval för publ'!$B$2:$H$417,MATCH('Miljövärden för publ företag'!G$4,'Miljövärden urval för publ'!$B$2:$H$2,0),FALSE),"")</f>
        <v>0.213557</v>
      </c>
      <c r="J42">
        <f t="shared" si="0"/>
        <v>12</v>
      </c>
      <c r="M42">
        <v>38</v>
      </c>
      <c r="N42" t="str">
        <f t="shared" si="1"/>
        <v>Hammarö Energi AB</v>
      </c>
      <c r="P42" s="155">
        <f t="shared" si="2"/>
        <v>0</v>
      </c>
      <c r="Q42" s="150" t="str">
        <f t="shared" si="3"/>
        <v/>
      </c>
    </row>
    <row r="43" spans="1:19" x14ac:dyDescent="0.45">
      <c r="A43" s="160">
        <v>40</v>
      </c>
      <c r="B43" s="2" t="str">
        <f>IFERROR(INDEX('Miljövärden urval för publ'!$A$2:$AA$420,MATCH('Miljövärden för publ företag'!$A43,'Miljövärden urval för publ'!$R$2:$R$417,0),1),"")</f>
        <v>Borlänge Energi AB</v>
      </c>
      <c r="C43" s="2" t="str">
        <f>IFERROR(INDEX('Miljövärden urval för publ'!$A$2:$AA$420,MATCH('Miljövärden för publ företag'!$A43,'Miljövärden urval för publ'!$R$2:$R$417,0),2),"")</f>
        <v>Borlänge</v>
      </c>
      <c r="D43">
        <f>IFERROR(VLOOKUP($C43,'Miljövärden urval för publ'!$B$2:$H$417,MATCH('Miljövärden för publ företag'!D$4,'Miljövärden urval för publ'!$B$2:$H$2,0),FALSE),"")</f>
        <v>6.2652299999999994E-2</v>
      </c>
      <c r="E43">
        <f>IFERROR(VLOOKUP($C43,'Miljövärden urval för publ'!$B$2:$H$417,MATCH('Miljövärden för publ företag'!E$4,'Miljövärden urval för publ'!$B$2:$H$2,0),FALSE),"")</f>
        <v>69.786000000000001</v>
      </c>
      <c r="F43">
        <f>IFERROR(VLOOKUP($C43,'Miljövärden urval för publ'!$B$2:$H$417,MATCH('Miljövärden för publ företag'!F$4,'Miljövärden urval för publ'!$B$2:$H$2,0),FALSE),"")</f>
        <v>3.8623799999999999</v>
      </c>
      <c r="G43">
        <f>IFERROR(VLOOKUP($C43,'Miljövärden urval för publ'!$B$2:$H$417,MATCH('Miljövärden för publ företag'!G$4,'Miljövärden urval för publ'!$B$2:$H$2,0),FALSE),"")</f>
        <v>2.7908199999999998E-3</v>
      </c>
      <c r="J43">
        <f t="shared" si="0"/>
        <v>13</v>
      </c>
      <c r="M43">
        <v>39</v>
      </c>
      <c r="N43" t="str">
        <f t="shared" si="1"/>
        <v>Haparanda Värmeverk AB</v>
      </c>
      <c r="P43" s="155">
        <f t="shared" si="2"/>
        <v>0</v>
      </c>
      <c r="Q43" s="150" t="str">
        <f t="shared" si="3"/>
        <v/>
      </c>
    </row>
    <row r="44" spans="1:19" x14ac:dyDescent="0.45">
      <c r="A44">
        <v>41</v>
      </c>
      <c r="B44" s="2" t="str">
        <f>IFERROR(INDEX('Miljövärden urval för publ'!$A$2:$AA$420,MATCH('Miljövärden för publ företag'!$A44,'Miljövärden urval för publ'!$R$2:$R$417,0),1),"")</f>
        <v>Borlänge Energi AB</v>
      </c>
      <c r="C44" s="2" t="str">
        <f>IFERROR(INDEX('Miljövärden urval för publ'!$A$2:$AA$420,MATCH('Miljövärden för publ företag'!$A44,'Miljövärden urval för publ'!$R$2:$R$417,0),2),"")</f>
        <v>Ornäs</v>
      </c>
      <c r="D44">
        <f>IFERROR(VLOOKUP($C44,'Miljövärden urval för publ'!$B$2:$H$417,MATCH('Miljövärden för publ företag'!D$4,'Miljövärden urval för publ'!$B$2:$H$2,0),FALSE),"")</f>
        <v>0.17810999999999999</v>
      </c>
      <c r="E44">
        <f>IFERROR(VLOOKUP($C44,'Miljövärden urval för publ'!$B$2:$H$417,MATCH('Miljövärden för publ företag'!E$4,'Miljövärden urval för publ'!$B$2:$H$2,0),FALSE),"")</f>
        <v>6.7600199999999999</v>
      </c>
      <c r="F44">
        <f>IFERROR(VLOOKUP($C44,'Miljövärden urval för publ'!$B$2:$H$417,MATCH('Miljövärden för publ företag'!F$4,'Miljövärden urval för publ'!$B$2:$H$2,0),FALSE),"")</f>
        <v>22.035799999999998</v>
      </c>
      <c r="G44">
        <f>IFERROR(VLOOKUP($C44,'Miljövärden urval för publ'!$B$2:$H$417,MATCH('Miljövärden för publ företag'!G$4,'Miljövärden urval för publ'!$B$2:$H$2,0),FALSE),"")</f>
        <v>1.12517E-3</v>
      </c>
      <c r="J44">
        <f t="shared" si="0"/>
        <v>13</v>
      </c>
      <c r="M44">
        <v>40</v>
      </c>
      <c r="N44" t="str">
        <f t="shared" si="1"/>
        <v>Hedemora Energi AB</v>
      </c>
      <c r="P44" s="155">
        <f t="shared" si="2"/>
        <v>0</v>
      </c>
      <c r="Q44" s="150" t="str">
        <f t="shared" si="3"/>
        <v/>
      </c>
    </row>
    <row r="45" spans="1:19" x14ac:dyDescent="0.45">
      <c r="A45">
        <v>42</v>
      </c>
      <c r="B45" s="2" t="str">
        <f>IFERROR(INDEX('Miljövärden urval för publ'!$A$2:$AA$420,MATCH('Miljövärden för publ företag'!$A45,'Miljövärden urval för publ'!$R$2:$R$417,0),1),"")</f>
        <v>Borlänge Energi AB</v>
      </c>
      <c r="C45" s="2" t="str">
        <f>IFERROR(INDEX('Miljövärden urval för publ'!$A$2:$AA$420,MATCH('Miljövärden för publ företag'!$A45,'Miljövärden urval för publ'!$R$2:$R$417,0),2),"")</f>
        <v>Torsång</v>
      </c>
      <c r="D45">
        <f>IFERROR(VLOOKUP($C45,'Miljövärden urval för publ'!$B$2:$H$417,MATCH('Miljövärden för publ företag'!D$4,'Miljövärden urval för publ'!$B$2:$H$2,0),FALSE),"")</f>
        <v>0.256577</v>
      </c>
      <c r="E45">
        <f>IFERROR(VLOOKUP($C45,'Miljövärden urval för publ'!$B$2:$H$417,MATCH('Miljövärden för publ företag'!E$4,'Miljövärden urval för publ'!$B$2:$H$2,0),FALSE),"")</f>
        <v>8.6547400000000003</v>
      </c>
      <c r="F45">
        <f>IFERROR(VLOOKUP($C45,'Miljövärden urval för publ'!$B$2:$H$417,MATCH('Miljövärden för publ företag'!F$4,'Miljövärden urval för publ'!$B$2:$H$2,0),FALSE),"")</f>
        <v>23.944299999999998</v>
      </c>
      <c r="G45">
        <f>IFERROR(VLOOKUP($C45,'Miljövärden urval för publ'!$B$2:$H$417,MATCH('Miljövärden för publ företag'!G$4,'Miljövärden urval för publ'!$B$2:$H$2,0),FALSE),"")</f>
        <v>3.9287300000000001E-3</v>
      </c>
      <c r="J45">
        <f t="shared" si="0"/>
        <v>13</v>
      </c>
      <c r="M45">
        <v>41</v>
      </c>
      <c r="N45" t="str">
        <f t="shared" si="1"/>
        <v>Hjo Energi AB</v>
      </c>
      <c r="P45" s="155">
        <f t="shared" si="2"/>
        <v>0</v>
      </c>
      <c r="Q45" s="150" t="str">
        <f t="shared" si="3"/>
        <v/>
      </c>
    </row>
    <row r="46" spans="1:19" x14ac:dyDescent="0.45">
      <c r="A46" s="160">
        <v>43</v>
      </c>
      <c r="B46" s="2" t="str">
        <f>IFERROR(INDEX('Miljövärden urval för publ'!$A$2:$AA$420,MATCH('Miljövärden för publ företag'!$A46,'Miljövärden urval för publ'!$R$2:$R$417,0),1),"")</f>
        <v>Borås Energi &amp; Miljö AB</v>
      </c>
      <c r="C46" s="2" t="str">
        <f>IFERROR(INDEX('Miljövärden urval för publ'!$A$2:$AA$420,MATCH('Miljövärden för publ företag'!$A46,'Miljövärden urval för publ'!$R$2:$R$417,0),2),"")</f>
        <v>Borås</v>
      </c>
      <c r="D46">
        <f>IFERROR(VLOOKUP($C46,'Miljövärden urval för publ'!$B$2:$H$417,MATCH('Miljövärden för publ företag'!D$4,'Miljövärden urval för publ'!$B$2:$H$2,0),FALSE),"")</f>
        <v>9.1184500000000002E-2</v>
      </c>
      <c r="E46">
        <f>IFERROR(VLOOKUP($C46,'Miljövärden urval för publ'!$B$2:$H$417,MATCH('Miljövärden för publ företag'!E$4,'Miljövärden urval för publ'!$B$2:$H$2,0),FALSE),"")</f>
        <v>49.503500000000003</v>
      </c>
      <c r="F46">
        <f>IFERROR(VLOOKUP($C46,'Miljövärden urval för publ'!$B$2:$H$417,MATCH('Miljövärden för publ företag'!F$4,'Miljövärden urval för publ'!$B$2:$H$2,0),FALSE),"")</f>
        <v>6.2653499999999998</v>
      </c>
      <c r="G46">
        <f>IFERROR(VLOOKUP($C46,'Miljövärden urval för publ'!$B$2:$H$417,MATCH('Miljövärden för publ företag'!G$4,'Miljövärden urval för publ'!$B$2:$H$2,0),FALSE),"")</f>
        <v>8.5332900000000007E-3</v>
      </c>
      <c r="J46">
        <f t="shared" si="0"/>
        <v>14</v>
      </c>
      <c r="M46">
        <v>42</v>
      </c>
      <c r="N46" t="str">
        <f t="shared" si="1"/>
        <v>Härnösand Energi &amp; Miljö AB</v>
      </c>
      <c r="P46" s="155">
        <f t="shared" si="2"/>
        <v>0</v>
      </c>
      <c r="Q46" s="150" t="str">
        <f t="shared" si="3"/>
        <v/>
      </c>
    </row>
    <row r="47" spans="1:19" x14ac:dyDescent="0.45">
      <c r="A47">
        <v>44</v>
      </c>
      <c r="B47" s="2" t="str">
        <f>IFERROR(INDEX('Miljövärden urval för publ'!$A$2:$AA$420,MATCH('Miljövärden för publ företag'!$A47,'Miljövärden urval för publ'!$R$2:$R$417,0),1),"")</f>
        <v>Borås Energi &amp; Miljö AB</v>
      </c>
      <c r="C47" s="2" t="str">
        <f>IFERROR(INDEX('Miljövärden urval för publ'!$A$2:$AA$420,MATCH('Miljövärden för publ företag'!$A47,'Miljövärden urval för publ'!$R$2:$R$417,0),2),"")</f>
        <v>Fristad</v>
      </c>
      <c r="D47">
        <f>IFERROR(VLOOKUP($C47,'Miljövärden urval för publ'!$B$2:$H$417,MATCH('Miljövärden för publ företag'!D$4,'Miljövärden urval för publ'!$B$2:$H$2,0),FALSE),"")</f>
        <v>0.244371</v>
      </c>
      <c r="E47">
        <f>IFERROR(VLOOKUP($C47,'Miljövärden urval för publ'!$B$2:$H$417,MATCH('Miljövärden för publ företag'!E$4,'Miljövärden urval för publ'!$B$2:$H$2,0),FALSE),"")</f>
        <v>30.0427</v>
      </c>
      <c r="F47">
        <f>IFERROR(VLOOKUP($C47,'Miljövärden urval för publ'!$B$2:$H$417,MATCH('Miljövärden för publ företag'!F$4,'Miljövärden urval för publ'!$B$2:$H$2,0),FALSE),"")</f>
        <v>16.495899999999999</v>
      </c>
      <c r="G47">
        <f>IFERROR(VLOOKUP($C47,'Miljövärden urval för publ'!$B$2:$H$417,MATCH('Miljövärden för publ företag'!G$4,'Miljövärden urval för publ'!$B$2:$H$2,0),FALSE),"")</f>
        <v>8.4461599999999998E-2</v>
      </c>
      <c r="J47">
        <f t="shared" si="0"/>
        <v>14</v>
      </c>
      <c r="M47">
        <v>43</v>
      </c>
      <c r="N47" t="str">
        <f t="shared" si="1"/>
        <v>Hässleholm Miljö AB</v>
      </c>
      <c r="P47" s="155">
        <f t="shared" si="2"/>
        <v>0</v>
      </c>
      <c r="Q47" s="150" t="str">
        <f t="shared" si="3"/>
        <v/>
      </c>
    </row>
    <row r="48" spans="1:19" x14ac:dyDescent="0.45">
      <c r="A48">
        <v>45</v>
      </c>
      <c r="B48" s="2" t="str">
        <f>IFERROR(INDEX('Miljövärden urval för publ'!$A$2:$AA$420,MATCH('Miljövärden för publ företag'!$A48,'Miljövärden urval för publ'!$R$2:$R$417,0),1),"")</f>
        <v>Bromölla Fjärrvärme AB</v>
      </c>
      <c r="C48" s="2" t="str">
        <f>IFERROR(INDEX('Miljövärden urval för publ'!$A$2:$AA$420,MATCH('Miljövärden för publ företag'!$A48,'Miljövärden urval för publ'!$R$2:$R$417,0),2),"")</f>
        <v>Bromölla</v>
      </c>
      <c r="D48">
        <f>IFERROR(VLOOKUP($C48,'Miljövärden urval för publ'!$B$2:$H$417,MATCH('Miljövärden för publ företag'!D$4,'Miljövärden urval för publ'!$B$2:$H$2,0),FALSE),"")</f>
        <v>4.3294500000000003E-3</v>
      </c>
      <c r="E48">
        <f>IFERROR(VLOOKUP($C48,'Miljövärden urval för publ'!$B$2:$H$417,MATCH('Miljövärden för publ företag'!E$4,'Miljövärden urval för publ'!$B$2:$H$2,0),FALSE),"")</f>
        <v>0</v>
      </c>
      <c r="F48">
        <f>IFERROR(VLOOKUP($C48,'Miljövärden urval för publ'!$B$2:$H$417,MATCH('Miljövärden för publ företag'!F$4,'Miljövärden urval för publ'!$B$2:$H$2,0),FALSE),"")</f>
        <v>0</v>
      </c>
      <c r="G48">
        <f>IFERROR(VLOOKUP($C48,'Miljövärden urval för publ'!$B$2:$H$417,MATCH('Miljövärden för publ företag'!G$4,'Miljövärden urval för publ'!$B$2:$H$2,0),FALSE),"")</f>
        <v>0</v>
      </c>
      <c r="J48">
        <f t="shared" si="0"/>
        <v>15</v>
      </c>
      <c r="M48">
        <v>44</v>
      </c>
      <c r="N48" t="str">
        <f t="shared" si="1"/>
        <v>Höganäs Energi AB</v>
      </c>
      <c r="P48" s="155">
        <f t="shared" si="2"/>
        <v>0</v>
      </c>
      <c r="Q48" s="150" t="str">
        <f t="shared" si="3"/>
        <v/>
      </c>
    </row>
    <row r="49" spans="1:17" x14ac:dyDescent="0.45">
      <c r="A49" s="160">
        <v>46</v>
      </c>
      <c r="B49" s="2" t="str">
        <f>IFERROR(INDEX('Miljövärden urval för publ'!$A$2:$AA$420,MATCH('Miljövärden för publ företag'!$A49,'Miljövärden urval för publ'!$R$2:$R$417,0),1),"")</f>
        <v>BTEA Energi AB</v>
      </c>
      <c r="C49" s="2" t="str">
        <f>IFERROR(INDEX('Miljövärden urval för publ'!$A$2:$AA$420,MATCH('Miljövärden för publ företag'!$A49,'Miljövärden urval för publ'!$R$2:$R$417,0),2),"")</f>
        <v>Berg</v>
      </c>
      <c r="D49">
        <f>IFERROR(VLOOKUP($C49,'Miljövärden urval för publ'!$B$2:$H$417,MATCH('Miljövärden för publ företag'!D$4,'Miljövärden urval för publ'!$B$2:$H$2,0),FALSE),"")</f>
        <v>0.200652</v>
      </c>
      <c r="E49">
        <f>IFERROR(VLOOKUP($C49,'Miljövärden urval för publ'!$B$2:$H$417,MATCH('Miljövärden för publ företag'!E$4,'Miljövärden urval för publ'!$B$2:$H$2,0),FALSE),"")</f>
        <v>25.904199999999999</v>
      </c>
      <c r="F49">
        <f>IFERROR(VLOOKUP($C49,'Miljövärden urval för publ'!$B$2:$H$417,MATCH('Miljövärden för publ företag'!F$4,'Miljövärden urval för publ'!$B$2:$H$2,0),FALSE),"")</f>
        <v>9.6864799999999995</v>
      </c>
      <c r="G49">
        <f>IFERROR(VLOOKUP($C49,'Miljövärden urval för publ'!$B$2:$H$417,MATCH('Miljövärden för publ företag'!G$4,'Miljövärden urval för publ'!$B$2:$H$2,0),FALSE),"")</f>
        <v>3.0705400000000001E-2</v>
      </c>
      <c r="J49">
        <f t="shared" si="0"/>
        <v>16</v>
      </c>
      <c r="M49">
        <v>45</v>
      </c>
      <c r="N49" t="str">
        <f t="shared" si="1"/>
        <v>Jokkmokks Värmeverk AB</v>
      </c>
      <c r="P49" s="155">
        <f t="shared" si="2"/>
        <v>0</v>
      </c>
      <c r="Q49" s="150" t="str">
        <f t="shared" si="3"/>
        <v/>
      </c>
    </row>
    <row r="50" spans="1:17" x14ac:dyDescent="0.45">
      <c r="A50">
        <v>47</v>
      </c>
      <c r="B50" s="2" t="str">
        <f>IFERROR(INDEX('Miljövärden urval för publ'!$A$2:$AA$420,MATCH('Miljövärden för publ företag'!$A50,'Miljövärden urval för publ'!$R$2:$R$417,0),1),"")</f>
        <v>C4 Energi AB</v>
      </c>
      <c r="C50" s="2" t="str">
        <f>IFERROR(INDEX('Miljövärden urval för publ'!$A$2:$AA$420,MATCH('Miljövärden för publ företag'!$A50,'Miljövärden urval för publ'!$R$2:$R$417,0),2),"")</f>
        <v>Fjälkinge</v>
      </c>
      <c r="D50">
        <f>IFERROR(VLOOKUP($C50,'Miljövärden urval för publ'!$B$2:$H$417,MATCH('Miljövärden för publ företag'!D$4,'Miljövärden urval för publ'!$B$2:$H$2,0),FALSE),"")</f>
        <v>8.1551600000000002E-2</v>
      </c>
      <c r="E50">
        <f>IFERROR(VLOOKUP($C50,'Miljövärden urval för publ'!$B$2:$H$417,MATCH('Miljövärden för publ företag'!E$4,'Miljövärden urval för publ'!$B$2:$H$2,0),FALSE),"")</f>
        <v>12.8598</v>
      </c>
      <c r="F50">
        <f>IFERROR(VLOOKUP($C50,'Miljövärden urval för publ'!$B$2:$H$417,MATCH('Miljövärden för publ företag'!F$4,'Miljövärden urval för publ'!$B$2:$H$2,0),FALSE),"")</f>
        <v>11.132</v>
      </c>
      <c r="G50">
        <f>IFERROR(VLOOKUP($C50,'Miljövärden urval för publ'!$B$2:$H$417,MATCH('Miljövärden för publ företag'!G$4,'Miljövärden urval för publ'!$B$2:$H$2,0),FALSE),"")</f>
        <v>1.60935E-2</v>
      </c>
      <c r="J50">
        <f t="shared" si="0"/>
        <v>17</v>
      </c>
      <c r="M50">
        <v>46</v>
      </c>
      <c r="N50" t="str">
        <f t="shared" si="1"/>
        <v>Jämtkraft AB</v>
      </c>
      <c r="P50" s="155">
        <f t="shared" si="2"/>
        <v>0</v>
      </c>
      <c r="Q50" s="150" t="str">
        <f t="shared" si="3"/>
        <v/>
      </c>
    </row>
    <row r="51" spans="1:17" x14ac:dyDescent="0.45">
      <c r="A51">
        <v>48</v>
      </c>
      <c r="B51" s="2" t="str">
        <f>IFERROR(INDEX('Miljövärden urval för publ'!$A$2:$AA$420,MATCH('Miljövärden för publ företag'!$A51,'Miljövärden urval för publ'!$R$2:$R$417,0),1),"")</f>
        <v>C4 Energi AB</v>
      </c>
      <c r="C51" s="2" t="str">
        <f>IFERROR(INDEX('Miljövärden urval för publ'!$A$2:$AA$420,MATCH('Miljövärden för publ företag'!$A51,'Miljövärden urval för publ'!$R$2:$R$417,0),2),"")</f>
        <v>Kristianstad</v>
      </c>
      <c r="D51">
        <f>IFERROR(VLOOKUP($C51,'Miljövärden urval för publ'!$B$2:$H$417,MATCH('Miljövärden för publ företag'!D$4,'Miljövärden urval för publ'!$B$2:$H$2,0),FALSE),"")</f>
        <v>3.5710600000000002E-2</v>
      </c>
      <c r="E51">
        <f>IFERROR(VLOOKUP($C51,'Miljövärden urval för publ'!$B$2:$H$417,MATCH('Miljövärden för publ företag'!E$4,'Miljövärden urval för publ'!$B$2:$H$2,0),FALSE),"")</f>
        <v>3.1125099999999999</v>
      </c>
      <c r="F51">
        <f>IFERROR(VLOOKUP($C51,'Miljövärden urval för publ'!$B$2:$H$417,MATCH('Miljövärden för publ företag'!F$4,'Miljövärden urval för publ'!$B$2:$H$2,0),FALSE),"")</f>
        <v>5.8116599999999998</v>
      </c>
      <c r="G51">
        <f>IFERROR(VLOOKUP($C51,'Miljövärden urval för publ'!$B$2:$H$417,MATCH('Miljövärden för publ företag'!G$4,'Miljövärden urval för publ'!$B$2:$H$2,0),FALSE),"")</f>
        <v>6.4146299999999999E-4</v>
      </c>
      <c r="J51">
        <f t="shared" si="0"/>
        <v>17</v>
      </c>
      <c r="M51">
        <v>47</v>
      </c>
      <c r="N51" t="str">
        <f t="shared" si="1"/>
        <v>Jämtlands Värme AB</v>
      </c>
      <c r="P51" s="155">
        <f t="shared" si="2"/>
        <v>0</v>
      </c>
      <c r="Q51" s="150" t="str">
        <f t="shared" si="3"/>
        <v/>
      </c>
    </row>
    <row r="52" spans="1:17" x14ac:dyDescent="0.45">
      <c r="A52" s="160">
        <v>49</v>
      </c>
      <c r="B52" s="2" t="str">
        <f>IFERROR(INDEX('Miljövärden urval för publ'!$A$2:$AA$420,MATCH('Miljövärden för publ företag'!$A52,'Miljövärden urval för publ'!$R$2:$R$417,0),1),"")</f>
        <v>Dala Energi Värme AB</v>
      </c>
      <c r="C52" s="2" t="str">
        <f>IFERROR(INDEX('Miljövärden urval för publ'!$A$2:$AA$420,MATCH('Miljövärden för publ företag'!$A52,'Miljövärden urval för publ'!$R$2:$R$417,0),2),"")</f>
        <v>Insjön</v>
      </c>
      <c r="D52">
        <f>IFERROR(VLOOKUP($C52,'Miljövärden urval för publ'!$B$2:$H$417,MATCH('Miljövärden för publ företag'!D$4,'Miljövärden urval för publ'!$B$2:$H$2,0),FALSE),"")</f>
        <v>4.8647999999999997E-2</v>
      </c>
      <c r="E52">
        <f>IFERROR(VLOOKUP($C52,'Miljövärden urval för publ'!$B$2:$H$417,MATCH('Miljövärden för publ företag'!E$4,'Miljövärden urval för publ'!$B$2:$H$2,0),FALSE),"")</f>
        <v>6.0335200000000002</v>
      </c>
      <c r="F52">
        <f>IFERROR(VLOOKUP($C52,'Miljövärden urval för publ'!$B$2:$H$417,MATCH('Miljövärden för publ företag'!F$4,'Miljövärden urval för publ'!$B$2:$H$2,0),FALSE),"")</f>
        <v>10.5587</v>
      </c>
      <c r="G52">
        <f>IFERROR(VLOOKUP($C52,'Miljövärden urval för publ'!$B$2:$H$417,MATCH('Miljövärden för publ företag'!G$4,'Miljövärden urval för publ'!$B$2:$H$2,0),FALSE),"")</f>
        <v>0</v>
      </c>
      <c r="J52">
        <f t="shared" si="0"/>
        <v>18</v>
      </c>
      <c r="M52">
        <v>48</v>
      </c>
      <c r="N52" t="str">
        <f t="shared" si="1"/>
        <v>Jönköping Energi AB</v>
      </c>
      <c r="P52" s="155">
        <f t="shared" si="2"/>
        <v>0</v>
      </c>
      <c r="Q52" s="150" t="str">
        <f t="shared" si="3"/>
        <v/>
      </c>
    </row>
    <row r="53" spans="1:17" x14ac:dyDescent="0.45">
      <c r="A53">
        <v>50</v>
      </c>
      <c r="B53" s="2" t="str">
        <f>IFERROR(INDEX('Miljövärden urval för publ'!$A$2:$AA$420,MATCH('Miljövärden för publ företag'!$A53,'Miljövärden urval för publ'!$R$2:$R$417,0),1),"")</f>
        <v>Dala Energi Värme AB</v>
      </c>
      <c r="C53" s="2" t="str">
        <f>IFERROR(INDEX('Miljövärden urval för publ'!$A$2:$AA$420,MATCH('Miljövärden för publ företag'!$A53,'Miljövärden urval för publ'!$R$2:$R$417,0),2),"")</f>
        <v>Leksand</v>
      </c>
      <c r="D53">
        <f>IFERROR(VLOOKUP($C53,'Miljövärden urval för publ'!$B$2:$H$417,MATCH('Miljövärden för publ företag'!D$4,'Miljövärden urval för publ'!$B$2:$H$2,0),FALSE),"")</f>
        <v>7.36985E-2</v>
      </c>
      <c r="E53">
        <f>IFERROR(VLOOKUP($C53,'Miljövärden urval för publ'!$B$2:$H$417,MATCH('Miljövärden för publ företag'!E$4,'Miljövärden urval för publ'!$B$2:$H$2,0),FALSE),"")</f>
        <v>5.1691200000000004</v>
      </c>
      <c r="F53">
        <f>IFERROR(VLOOKUP($C53,'Miljövärden urval för publ'!$B$2:$H$417,MATCH('Miljövärden för publ företag'!F$4,'Miljövärden urval för publ'!$B$2:$H$2,0),FALSE),"")</f>
        <v>7.9691400000000003</v>
      </c>
      <c r="G53">
        <f>IFERROR(VLOOKUP($C53,'Miljövärden urval för publ'!$B$2:$H$417,MATCH('Miljövärden för publ företag'!G$4,'Miljövärden urval för publ'!$B$2:$H$2,0),FALSE),"")</f>
        <v>2.0642299999999998E-3</v>
      </c>
      <c r="J53">
        <f t="shared" si="0"/>
        <v>18</v>
      </c>
      <c r="M53">
        <v>49</v>
      </c>
      <c r="N53" t="str">
        <f t="shared" si="1"/>
        <v>Kalmar Energi Värme AB</v>
      </c>
      <c r="P53" s="155">
        <f t="shared" si="2"/>
        <v>0</v>
      </c>
      <c r="Q53" s="150" t="str">
        <f t="shared" si="3"/>
        <v/>
      </c>
    </row>
    <row r="54" spans="1:17" x14ac:dyDescent="0.45">
      <c r="A54">
        <v>51</v>
      </c>
      <c r="B54" s="2" t="str">
        <f>IFERROR(INDEX('Miljövärden urval för publ'!$A$2:$AA$420,MATCH('Miljövärden för publ företag'!$A54,'Miljövärden urval för publ'!$R$2:$R$417,0),1),"")</f>
        <v>Degerfors Energi AB</v>
      </c>
      <c r="C54" s="2" t="str">
        <f>IFERROR(INDEX('Miljövärden urval för publ'!$A$2:$AA$420,MATCH('Miljövärden för publ företag'!$A54,'Miljövärden urval för publ'!$R$2:$R$417,0),2),"")</f>
        <v>HVC Degerfors</v>
      </c>
      <c r="D54">
        <f>IFERROR(VLOOKUP($C54,'Miljövärden urval för publ'!$B$2:$H$417,MATCH('Miljövärden för publ företag'!D$4,'Miljövärden urval för publ'!$B$2:$H$2,0),FALSE),"")</f>
        <v>7.4011199999999999E-2</v>
      </c>
      <c r="E54">
        <f>IFERROR(VLOOKUP($C54,'Miljövärden urval för publ'!$B$2:$H$417,MATCH('Miljövärden för publ företag'!E$4,'Miljövärden urval för publ'!$B$2:$H$2,0),FALSE),"")</f>
        <v>4.85703</v>
      </c>
      <c r="F54">
        <f>IFERROR(VLOOKUP($C54,'Miljövärden urval för publ'!$B$2:$H$417,MATCH('Miljövärden för publ företag'!F$4,'Miljövärden urval för publ'!$B$2:$H$2,0),FALSE),"")</f>
        <v>9.7365600000000008</v>
      </c>
      <c r="G54">
        <f>IFERROR(VLOOKUP($C54,'Miljövärden urval för publ'!$B$2:$H$417,MATCH('Miljövärden för publ företag'!G$4,'Miljövärden urval för publ'!$B$2:$H$2,0),FALSE),"")</f>
        <v>2.9681999999999999E-4</v>
      </c>
      <c r="J54">
        <f t="shared" si="0"/>
        <v>19</v>
      </c>
      <c r="M54">
        <v>50</v>
      </c>
      <c r="N54" t="str">
        <f t="shared" si="1"/>
        <v>Karlsborgs Värme AB</v>
      </c>
      <c r="P54" s="155">
        <f t="shared" si="2"/>
        <v>0</v>
      </c>
      <c r="Q54" s="150" t="str">
        <f t="shared" si="3"/>
        <v/>
      </c>
    </row>
    <row r="55" spans="1:17" x14ac:dyDescent="0.45">
      <c r="A55" s="160">
        <v>52</v>
      </c>
      <c r="B55" s="2" t="str">
        <f>IFERROR(INDEX('Miljövärden urval för publ'!$A$2:$AA$420,MATCH('Miljövärden för publ företag'!$A55,'Miljövärden urval för publ'!$R$2:$R$417,0),1),"")</f>
        <v>Degerfors Energi AB</v>
      </c>
      <c r="C55" s="2" t="str">
        <f>IFERROR(INDEX('Miljövärden urval för publ'!$A$2:$AA$420,MATCH('Miljövärden för publ företag'!$A55,'Miljövärden urval för publ'!$R$2:$R$417,0),2),"")</f>
        <v>Svartå</v>
      </c>
      <c r="D55">
        <f>IFERROR(VLOOKUP($C55,'Miljövärden urval för publ'!$B$2:$H$417,MATCH('Miljövärden för publ företag'!D$4,'Miljövärden urval för publ'!$B$2:$H$2,0),FALSE),"")</f>
        <v>0.200768</v>
      </c>
      <c r="E55">
        <f>IFERROR(VLOOKUP($C55,'Miljövärden urval för publ'!$B$2:$H$417,MATCH('Miljövärden för publ företag'!E$4,'Miljövärden urval för publ'!$B$2:$H$2,0),FALSE),"")</f>
        <v>7.4318799999999996</v>
      </c>
      <c r="F55">
        <f>IFERROR(VLOOKUP($C55,'Miljövärden urval för publ'!$B$2:$H$417,MATCH('Miljövärden för publ företag'!F$4,'Miljövärden urval för publ'!$B$2:$H$2,0),FALSE),"")</f>
        <v>20.7014</v>
      </c>
      <c r="G55">
        <f>IFERROR(VLOOKUP($C55,'Miljövärden urval för publ'!$B$2:$H$417,MATCH('Miljövärden för publ företag'!G$4,'Miljövärden urval för publ'!$B$2:$H$2,0),FALSE),"")</f>
        <v>3.8517099999999999E-3</v>
      </c>
      <c r="J55">
        <f t="shared" si="0"/>
        <v>19</v>
      </c>
      <c r="M55">
        <v>51</v>
      </c>
      <c r="N55" t="str">
        <f t="shared" si="1"/>
        <v>Karlshamn Energi AB</v>
      </c>
      <c r="P55" s="155">
        <f t="shared" si="2"/>
        <v>0</v>
      </c>
      <c r="Q55" s="150" t="str">
        <f t="shared" si="3"/>
        <v/>
      </c>
    </row>
    <row r="56" spans="1:17" x14ac:dyDescent="0.45">
      <c r="A56">
        <v>53</v>
      </c>
      <c r="B56" s="2" t="str">
        <f>IFERROR(INDEX('Miljövärden urval för publ'!$A$2:$AA$420,MATCH('Miljövärden för publ företag'!$A56,'Miljövärden urval för publ'!$R$2:$R$417,0),1),"")</f>
        <v>Degerfors Energi AB</v>
      </c>
      <c r="C56" s="2" t="str">
        <f>IFERROR(INDEX('Miljövärden urval för publ'!$A$2:$AA$420,MATCH('Miljövärden för publ företag'!$A56,'Miljövärden urval för publ'!$R$2:$R$417,0),2),"")</f>
        <v>Åtorp</v>
      </c>
      <c r="D56">
        <f>IFERROR(VLOOKUP($C56,'Miljövärden urval för publ'!$B$2:$H$417,MATCH('Miljövärden för publ företag'!D$4,'Miljövärden urval för publ'!$B$2:$H$2,0),FALSE),"")</f>
        <v>0.39284599999999997</v>
      </c>
      <c r="E56">
        <f>IFERROR(VLOOKUP($C56,'Miljövärden urval för publ'!$B$2:$H$417,MATCH('Miljövärden för publ företag'!E$4,'Miljövärden urval för publ'!$B$2:$H$2,0),FALSE),"")</f>
        <v>58.776400000000002</v>
      </c>
      <c r="F56">
        <f>IFERROR(VLOOKUP($C56,'Miljövärden urval för publ'!$B$2:$H$417,MATCH('Miljövärden för publ företag'!F$4,'Miljövärden urval för publ'!$B$2:$H$2,0),FALSE),"")</f>
        <v>20.971699999999998</v>
      </c>
      <c r="G56">
        <f>IFERROR(VLOOKUP($C56,'Miljövärden urval för publ'!$B$2:$H$417,MATCH('Miljövärden för publ företag'!G$4,'Miljövärden urval för publ'!$B$2:$H$2,0),FALSE),"")</f>
        <v>0.128355</v>
      </c>
      <c r="J56">
        <f t="shared" si="0"/>
        <v>19</v>
      </c>
      <c r="M56">
        <v>52</v>
      </c>
      <c r="N56" t="str">
        <f t="shared" si="1"/>
        <v>Karlskoga Kraftvärmeverk AB</v>
      </c>
      <c r="P56" s="155">
        <f t="shared" si="2"/>
        <v>0</v>
      </c>
      <c r="Q56" s="150" t="str">
        <f t="shared" si="3"/>
        <v/>
      </c>
    </row>
    <row r="57" spans="1:17" x14ac:dyDescent="0.45">
      <c r="A57">
        <v>54</v>
      </c>
      <c r="B57" s="2" t="str">
        <f>IFERROR(INDEX('Miljövärden urval för publ'!$A$2:$AA$420,MATCH('Miljövärden för publ företag'!$A57,'Miljövärden urval för publ'!$R$2:$R$417,0),1),"")</f>
        <v>E.ON Värme Sverige AB</v>
      </c>
      <c r="C57" s="2" t="str">
        <f>IFERROR(INDEX('Miljövärden urval för publ'!$A$2:$AA$420,MATCH('Miljövärden för publ företag'!$A57,'Miljövärden urval för publ'!$R$2:$R$417,0),2),"")</f>
        <v>Sverige</v>
      </c>
      <c r="D57">
        <f>IFERROR(VLOOKUP($C57,'Miljövärden urval för publ'!$B$2:$H$417,MATCH('Miljövärden för publ företag'!D$4,'Miljövärden urval för publ'!$B$2:$H$2,0),FALSE),"")</f>
        <v>0</v>
      </c>
      <c r="E57">
        <f>IFERROR(VLOOKUP($C57,'Miljövärden urval för publ'!$B$2:$H$417,MATCH('Miljövärden för publ företag'!E$4,'Miljövärden urval för publ'!$B$2:$H$2,0),FALSE),"")</f>
        <v>0</v>
      </c>
      <c r="F57">
        <f>IFERROR(VLOOKUP($C57,'Miljövärden urval för publ'!$B$2:$H$417,MATCH('Miljövärden för publ företag'!F$4,'Miljövärden urval för publ'!$B$2:$H$2,0),FALSE),"")</f>
        <v>0</v>
      </c>
      <c r="G57">
        <f>IFERROR(VLOOKUP($C57,'Miljövärden urval för publ'!$B$2:$H$417,MATCH('Miljövärden för publ företag'!G$4,'Miljövärden urval för publ'!$B$2:$H$2,0),FALSE),"")</f>
        <v>0</v>
      </c>
      <c r="J57">
        <f t="shared" si="0"/>
        <v>20</v>
      </c>
      <c r="M57">
        <v>53</v>
      </c>
      <c r="N57" t="str">
        <f t="shared" si="1"/>
        <v>Karlstads Energi AB</v>
      </c>
      <c r="P57" s="155">
        <f t="shared" si="2"/>
        <v>0</v>
      </c>
      <c r="Q57" s="150" t="str">
        <f>IF(B57=$R$2,C57,"")</f>
        <v/>
      </c>
    </row>
    <row r="58" spans="1:17" x14ac:dyDescent="0.45">
      <c r="A58" s="160">
        <v>55</v>
      </c>
      <c r="B58" s="2" t="str">
        <f>IFERROR(INDEX('Miljövärden urval för publ'!$A$2:$AA$420,MATCH('Miljövärden för publ företag'!$A58,'Miljövärden urval för publ'!$R$2:$R$417,0),1),"")</f>
        <v>Eksjö Energi AB</v>
      </c>
      <c r="C58" s="2" t="str">
        <f>IFERROR(INDEX('Miljövärden urval för publ'!$A$2:$AA$420,MATCH('Miljövärden för publ företag'!$A58,'Miljövärden urval för publ'!$R$2:$R$417,0),2),"")</f>
        <v>Eksjö</v>
      </c>
      <c r="D58">
        <f>IFERROR(VLOOKUP($C58,'Miljövärden urval för publ'!$B$2:$H$417,MATCH('Miljövärden för publ företag'!D$4,'Miljövärden urval för publ'!$B$2:$H$2,0),FALSE),"")</f>
        <v>0.180118</v>
      </c>
      <c r="E58">
        <f>IFERROR(VLOOKUP($C58,'Miljövärden urval för publ'!$B$2:$H$417,MATCH('Miljövärden för publ företag'!E$4,'Miljövärden urval för publ'!$B$2:$H$2,0),FALSE),"")</f>
        <v>161.73400000000001</v>
      </c>
      <c r="F58">
        <f>IFERROR(VLOOKUP($C58,'Miljövärden urval för publ'!$B$2:$H$417,MATCH('Miljövärden för publ företag'!F$4,'Miljövärden urval för publ'!$B$2:$H$2,0),FALSE),"")</f>
        <v>5.1061300000000003</v>
      </c>
      <c r="G58">
        <f>IFERROR(VLOOKUP($C58,'Miljövärden urval för publ'!$B$2:$H$417,MATCH('Miljövärden för publ företag'!G$4,'Miljövärden urval för publ'!$B$2:$H$2,0),FALSE),"")</f>
        <v>1.43134E-2</v>
      </c>
      <c r="J58">
        <f t="shared" si="0"/>
        <v>21</v>
      </c>
      <c r="M58">
        <v>54</v>
      </c>
      <c r="N58" t="str">
        <f t="shared" si="1"/>
        <v>Kils Energi AB</v>
      </c>
      <c r="P58" s="155">
        <f t="shared" si="2"/>
        <v>0</v>
      </c>
      <c r="Q58" s="150" t="str">
        <f t="shared" si="3"/>
        <v/>
      </c>
    </row>
    <row r="59" spans="1:17" x14ac:dyDescent="0.45">
      <c r="A59">
        <v>56</v>
      </c>
      <c r="B59" s="2" t="str">
        <f>IFERROR(INDEX('Miljövärden urval för publ'!$A$2:$AA$420,MATCH('Miljövärden för publ företag'!$A59,'Miljövärden urval för publ'!$R$2:$R$417,0),1),"")</f>
        <v>Eksjö Energi AB</v>
      </c>
      <c r="C59" s="2" t="str">
        <f>IFERROR(INDEX('Miljövärden urval för publ'!$A$2:$AA$420,MATCH('Miljövärden för publ företag'!$A59,'Miljövärden urval för publ'!$R$2:$R$417,0),2),"")</f>
        <v>Ingatorp</v>
      </c>
      <c r="D59">
        <f>IFERROR(VLOOKUP($C59,'Miljövärden urval för publ'!$B$2:$H$417,MATCH('Miljövärden för publ företag'!D$4,'Miljövärden urval för publ'!$B$2:$H$2,0),FALSE),"")</f>
        <v>0.13969599999999999</v>
      </c>
      <c r="E59">
        <f>IFERROR(VLOOKUP($C59,'Miljövärden urval för publ'!$B$2:$H$417,MATCH('Miljövärden för publ företag'!E$4,'Miljövärden urval för publ'!$B$2:$H$2,0),FALSE),"")</f>
        <v>16.742000000000001</v>
      </c>
      <c r="F59">
        <f>IFERROR(VLOOKUP($C59,'Miljövärden urval för publ'!$B$2:$H$417,MATCH('Miljövärden för publ företag'!F$4,'Miljövärden urval för publ'!$B$2:$H$2,0),FALSE),"")</f>
        <v>10.750400000000001</v>
      </c>
      <c r="G59">
        <f>IFERROR(VLOOKUP($C59,'Miljövärden urval för publ'!$B$2:$H$417,MATCH('Miljövärden för publ företag'!G$4,'Miljövärden urval för publ'!$B$2:$H$2,0),FALSE),"")</f>
        <v>9.3457899999999997E-3</v>
      </c>
      <c r="J59">
        <f t="shared" si="0"/>
        <v>21</v>
      </c>
      <c r="M59">
        <v>55</v>
      </c>
      <c r="N59" t="str">
        <f t="shared" si="1"/>
        <v>Kiruna Kraft AB</v>
      </c>
      <c r="P59" s="155">
        <f t="shared" si="2"/>
        <v>0</v>
      </c>
      <c r="Q59" s="150" t="str">
        <f t="shared" si="3"/>
        <v/>
      </c>
    </row>
    <row r="60" spans="1:17" x14ac:dyDescent="0.45">
      <c r="A60">
        <v>57</v>
      </c>
      <c r="B60" s="2" t="str">
        <f>IFERROR(INDEX('Miljövärden urval för publ'!$A$2:$AA$420,MATCH('Miljövärden för publ företag'!$A60,'Miljövärden urval för publ'!$R$2:$R$417,0),1),"")</f>
        <v>Eksjö Energi AB</v>
      </c>
      <c r="C60" s="2" t="str">
        <f>IFERROR(INDEX('Miljövärden urval för publ'!$A$2:$AA$420,MATCH('Miljövärden för publ företag'!$A60,'Miljövärden urval för publ'!$R$2:$R$417,0),2),"")</f>
        <v>Mariannelund</v>
      </c>
      <c r="D60">
        <f>IFERROR(VLOOKUP($C60,'Miljövärden urval för publ'!$B$2:$H$417,MATCH('Miljövärden för publ företag'!D$4,'Miljövärden urval för publ'!$B$2:$H$2,0),FALSE),"")</f>
        <v>0.103879</v>
      </c>
      <c r="E60">
        <f>IFERROR(VLOOKUP($C60,'Miljövärden urval för publ'!$B$2:$H$417,MATCH('Miljövärden för publ företag'!E$4,'Miljövärden urval för publ'!$B$2:$H$2,0),FALSE),"")</f>
        <v>12.6568</v>
      </c>
      <c r="F60">
        <f>IFERROR(VLOOKUP($C60,'Miljövärden urval för publ'!$B$2:$H$417,MATCH('Miljövärden för publ företag'!F$4,'Miljövärden urval för publ'!$B$2:$H$2,0),FALSE),"")</f>
        <v>10.5899</v>
      </c>
      <c r="G60">
        <f>IFERROR(VLOOKUP($C60,'Miljövärden urval för publ'!$B$2:$H$417,MATCH('Miljövärden för publ företag'!G$4,'Miljövärden urval för publ'!$B$2:$H$2,0),FALSE),"")</f>
        <v>5.9804999999999997E-3</v>
      </c>
      <c r="J60">
        <f t="shared" si="0"/>
        <v>21</v>
      </c>
      <c r="M60">
        <v>56</v>
      </c>
      <c r="N60" t="str">
        <f t="shared" si="1"/>
        <v>Kraftringen Energi AB (publ)</v>
      </c>
      <c r="P60" s="155">
        <f t="shared" si="2"/>
        <v>0</v>
      </c>
      <c r="Q60" s="150" t="str">
        <f t="shared" si="3"/>
        <v/>
      </c>
    </row>
    <row r="61" spans="1:17" x14ac:dyDescent="0.45">
      <c r="A61" s="160">
        <v>58</v>
      </c>
      <c r="B61" s="2" t="str">
        <f>IFERROR(INDEX('Miljövärden urval för publ'!$A$2:$AA$420,MATCH('Miljövärden för publ företag'!$A61,'Miljövärden urval för publ'!$R$2:$R$417,0),1),"")</f>
        <v>Emmaboda Energi och Miljö AB</v>
      </c>
      <c r="C61" s="2" t="str">
        <f>IFERROR(INDEX('Miljövärden urval för publ'!$A$2:$AA$420,MATCH('Miljövärden för publ företag'!$A61,'Miljövärden urval för publ'!$R$2:$R$417,0),2),"")</f>
        <v>Emmaboda</v>
      </c>
      <c r="D61">
        <f>IFERROR(VLOOKUP($C61,'Miljövärden urval för publ'!$B$2:$H$417,MATCH('Miljövärden för publ företag'!D$4,'Miljövärden urval för publ'!$B$2:$H$2,0),FALSE),"")</f>
        <v>9.6868200000000002E-2</v>
      </c>
      <c r="E61">
        <f>IFERROR(VLOOKUP($C61,'Miljövärden urval för publ'!$B$2:$H$417,MATCH('Miljövärden för publ företag'!E$4,'Miljövärden urval för publ'!$B$2:$H$2,0),FALSE),"")</f>
        <v>8.8781199999999991</v>
      </c>
      <c r="F61">
        <f>IFERROR(VLOOKUP($C61,'Miljövärden urval för publ'!$B$2:$H$417,MATCH('Miljövärden för publ företag'!F$4,'Miljövärden urval för publ'!$B$2:$H$2,0),FALSE),"")</f>
        <v>8.8559999999999999</v>
      </c>
      <c r="G61">
        <f>IFERROR(VLOOKUP($C61,'Miljövärden urval för publ'!$B$2:$H$417,MATCH('Miljövärden för publ företag'!G$4,'Miljövärden urval för publ'!$B$2:$H$2,0),FALSE),"")</f>
        <v>1.19854E-2</v>
      </c>
      <c r="J61">
        <f t="shared" si="0"/>
        <v>22</v>
      </c>
      <c r="M61">
        <v>57</v>
      </c>
      <c r="N61" t="str">
        <f t="shared" si="1"/>
        <v>Kungälv Energi AB</v>
      </c>
      <c r="P61" s="155">
        <f t="shared" si="2"/>
        <v>0</v>
      </c>
      <c r="Q61" s="150" t="str">
        <f t="shared" si="3"/>
        <v/>
      </c>
    </row>
    <row r="62" spans="1:17" x14ac:dyDescent="0.45">
      <c r="A62">
        <v>59</v>
      </c>
      <c r="B62" s="2" t="str">
        <f>IFERROR(INDEX('Miljövärden urval för publ'!$A$2:$AA$420,MATCH('Miljövärden för publ företag'!$A62,'Miljövärden urval för publ'!$R$2:$R$417,0),1),"")</f>
        <v>Ena Energi AB</v>
      </c>
      <c r="C62" s="2" t="str">
        <f>IFERROR(INDEX('Miljövärden urval för publ'!$A$2:$AA$420,MATCH('Miljövärden för publ företag'!$A62,'Miljövärden urval för publ'!$R$2:$R$417,0),2),"")</f>
        <v>Enköping</v>
      </c>
      <c r="D62">
        <f>IFERROR(VLOOKUP($C62,'Miljövärden urval för publ'!$B$2:$H$417,MATCH('Miljövärden för publ företag'!D$4,'Miljövärden urval för publ'!$B$2:$H$2,0),FALSE),"")</f>
        <v>6.7655699999999999E-2</v>
      </c>
      <c r="E62">
        <f>IFERROR(VLOOKUP($C62,'Miljövärden urval för publ'!$B$2:$H$417,MATCH('Miljövärden för publ företag'!E$4,'Miljövärden urval för publ'!$B$2:$H$2,0),FALSE),"")</f>
        <v>6.1308499999999997</v>
      </c>
      <c r="F62">
        <f>IFERROR(VLOOKUP($C62,'Miljövärden urval för publ'!$B$2:$H$417,MATCH('Miljövärden för publ företag'!F$4,'Miljövärden urval för publ'!$B$2:$H$2,0),FALSE),"")</f>
        <v>4.867</v>
      </c>
      <c r="G62">
        <f>IFERROR(VLOOKUP($C62,'Miljövärden urval för publ'!$B$2:$H$417,MATCH('Miljövärden för publ företag'!G$4,'Miljövärden urval för publ'!$B$2:$H$2,0),FALSE),"")</f>
        <v>1.7162400000000001E-2</v>
      </c>
      <c r="J62">
        <f t="shared" si="0"/>
        <v>23</v>
      </c>
      <c r="M62">
        <v>58</v>
      </c>
      <c r="N62" t="str">
        <f t="shared" si="1"/>
        <v>Landskrona Energi AB</v>
      </c>
      <c r="P62" s="155">
        <f t="shared" si="2"/>
        <v>0</v>
      </c>
      <c r="Q62" s="150" t="str">
        <f t="shared" si="3"/>
        <v/>
      </c>
    </row>
    <row r="63" spans="1:17" x14ac:dyDescent="0.45">
      <c r="A63">
        <v>60</v>
      </c>
      <c r="B63" s="2" t="str">
        <f>IFERROR(INDEX('Miljövärden urval för publ'!$A$2:$AA$420,MATCH('Miljövärden för publ företag'!$A63,'Miljövärden urval för publ'!$R$2:$R$417,0),1),"")</f>
        <v>Eskilstuna Energi &amp; Miljö AB</v>
      </c>
      <c r="C63" s="2" t="str">
        <f>IFERROR(INDEX('Miljövärden urval för publ'!$A$2:$AA$420,MATCH('Miljövärden för publ företag'!$A63,'Miljövärden urval för publ'!$R$2:$R$417,0),2),"")</f>
        <v>Eskilstuna-Torshälla</v>
      </c>
      <c r="D63">
        <f>IFERROR(VLOOKUP($C63,'Miljövärden urval för publ'!$B$2:$H$417,MATCH('Miljövärden för publ företag'!D$4,'Miljövärden urval för publ'!$B$2:$H$2,0),FALSE),"")</f>
        <v>3.8266099999999997E-2</v>
      </c>
      <c r="E63">
        <f>IFERROR(VLOOKUP($C63,'Miljövärden urval för publ'!$B$2:$H$417,MATCH('Miljövärden för publ företag'!E$4,'Miljövärden urval för publ'!$B$2:$H$2,0),FALSE),"")</f>
        <v>7.4759000000000002</v>
      </c>
      <c r="F63">
        <f>IFERROR(VLOOKUP($C63,'Miljövärden urval för publ'!$B$2:$H$417,MATCH('Miljövärden för publ företag'!F$4,'Miljövärden urval för publ'!$B$2:$H$2,0),FALSE),"")</f>
        <v>6.1181999999999999</v>
      </c>
      <c r="G63">
        <f>IFERROR(VLOOKUP($C63,'Miljövärden urval för publ'!$B$2:$H$417,MATCH('Miljövärden för publ företag'!G$4,'Miljövärden urval för publ'!$B$2:$H$2,0),FALSE),"")</f>
        <v>9.4763599999999996E-3</v>
      </c>
      <c r="J63">
        <f t="shared" si="0"/>
        <v>24</v>
      </c>
      <c r="M63">
        <v>59</v>
      </c>
      <c r="N63" t="str">
        <f t="shared" si="1"/>
        <v>Lantmännen Agrovärme AB</v>
      </c>
      <c r="P63" s="155">
        <f t="shared" si="2"/>
        <v>0</v>
      </c>
      <c r="Q63" s="150" t="str">
        <f t="shared" si="3"/>
        <v/>
      </c>
    </row>
    <row r="64" spans="1:17" x14ac:dyDescent="0.45">
      <c r="A64" s="160">
        <v>61</v>
      </c>
      <c r="B64" s="2" t="str">
        <f>IFERROR(INDEX('Miljövärden urval för publ'!$A$2:$AA$420,MATCH('Miljövärden för publ företag'!$A64,'Miljövärden urval för publ'!$R$2:$R$417,0),1),"")</f>
        <v>Eskilstuna Energi &amp; Miljö AB</v>
      </c>
      <c r="C64" s="2" t="str">
        <f>IFERROR(INDEX('Miljövärden urval för publ'!$A$2:$AA$420,MATCH('Miljövärden för publ företag'!$A64,'Miljövärden urval för publ'!$R$2:$R$417,0),2),"")</f>
        <v>Kvicksund</v>
      </c>
      <c r="D64">
        <f>IFERROR(VLOOKUP($C64,'Miljövärden urval för publ'!$B$2:$H$417,MATCH('Miljövärden för publ företag'!D$4,'Miljövärden urval för publ'!$B$2:$H$2,0),FALSE),"")</f>
        <v>0.30552299999999999</v>
      </c>
      <c r="E64">
        <f>IFERROR(VLOOKUP($C64,'Miljövärden urval för publ'!$B$2:$H$417,MATCH('Miljövärden för publ företag'!E$4,'Miljövärden urval för publ'!$B$2:$H$2,0),FALSE),"")</f>
        <v>53.4529</v>
      </c>
      <c r="F64">
        <f>IFERROR(VLOOKUP($C64,'Miljövärden urval för publ'!$B$2:$H$417,MATCH('Miljövärden för publ företag'!F$4,'Miljövärden urval för publ'!$B$2:$H$2,0),FALSE),"")</f>
        <v>16.947099999999999</v>
      </c>
      <c r="G64">
        <f>IFERROR(VLOOKUP($C64,'Miljövärden urval för publ'!$B$2:$H$417,MATCH('Miljövärden för publ företag'!G$4,'Miljövärden urval för publ'!$B$2:$H$2,0),FALSE),"")</f>
        <v>0.162471</v>
      </c>
      <c r="J64">
        <f t="shared" si="0"/>
        <v>24</v>
      </c>
      <c r="M64">
        <v>60</v>
      </c>
      <c r="N64" t="str">
        <f t="shared" si="1"/>
        <v>Laxå Värme AB</v>
      </c>
      <c r="P64" s="155">
        <f t="shared" si="2"/>
        <v>0</v>
      </c>
      <c r="Q64" s="150" t="str">
        <f t="shared" si="3"/>
        <v/>
      </c>
    </row>
    <row r="65" spans="1:17" x14ac:dyDescent="0.45">
      <c r="A65">
        <v>62</v>
      </c>
      <c r="B65" s="2" t="str">
        <f>IFERROR(INDEX('Miljövärden urval för publ'!$A$2:$AA$420,MATCH('Miljövärden för publ företag'!$A65,'Miljövärden urval för publ'!$R$2:$R$417,0),1),"")</f>
        <v>Eskilstuna Energi &amp; Miljö AB</v>
      </c>
      <c r="C65" s="2" t="str">
        <f>IFERROR(INDEX('Miljövärden urval för publ'!$A$2:$AA$420,MATCH('Miljövärden för publ företag'!$A65,'Miljövärden urval för publ'!$R$2:$R$417,0),2),"")</f>
        <v>Ärla</v>
      </c>
      <c r="D65">
        <f>IFERROR(VLOOKUP($C65,'Miljövärden urval för publ'!$B$2:$H$417,MATCH('Miljövärden för publ företag'!D$4,'Miljövärden urval för publ'!$B$2:$H$2,0),FALSE),"")</f>
        <v>0.124012</v>
      </c>
      <c r="E65">
        <f>IFERROR(VLOOKUP($C65,'Miljövärden urval för publ'!$B$2:$H$417,MATCH('Miljövärden för publ företag'!E$4,'Miljövärden urval för publ'!$B$2:$H$2,0),FALSE),"")</f>
        <v>4.8284200000000004</v>
      </c>
      <c r="F65">
        <f>IFERROR(VLOOKUP($C65,'Miljövärden urval för publ'!$B$2:$H$417,MATCH('Miljövärden för publ företag'!F$4,'Miljövärden urval för publ'!$B$2:$H$2,0),FALSE),"")</f>
        <v>15.0229</v>
      </c>
      <c r="G65">
        <f>IFERROR(VLOOKUP($C65,'Miljövärden urval för publ'!$B$2:$H$417,MATCH('Miljövärden för publ företag'!G$4,'Miljövärden urval för publ'!$B$2:$H$2,0),FALSE),"")</f>
        <v>0</v>
      </c>
      <c r="J65">
        <f t="shared" si="0"/>
        <v>24</v>
      </c>
      <c r="M65">
        <v>61</v>
      </c>
      <c r="N65" t="str">
        <f t="shared" si="1"/>
        <v>Lerum Fjärrvärme AB</v>
      </c>
      <c r="P65" s="155">
        <f t="shared" si="2"/>
        <v>0</v>
      </c>
      <c r="Q65" s="150" t="str">
        <f t="shared" si="3"/>
        <v/>
      </c>
    </row>
    <row r="66" spans="1:17" x14ac:dyDescent="0.45">
      <c r="A66">
        <v>63</v>
      </c>
      <c r="B66" s="2" t="str">
        <f>IFERROR(INDEX('Miljövärden urval för publ'!$A$2:$AA$420,MATCH('Miljövärden för publ företag'!$A66,'Miljövärden urval för publ'!$R$2:$R$417,0),1),"")</f>
        <v>Falbygdens Energi AB</v>
      </c>
      <c r="C66" s="2" t="str">
        <f>IFERROR(INDEX('Miljövärden urval för publ'!$A$2:$AA$420,MATCH('Miljövärden för publ företag'!$A66,'Miljövärden urval för publ'!$R$2:$R$417,0),2),"")</f>
        <v>Falköping</v>
      </c>
      <c r="D66">
        <f>IFERROR(VLOOKUP($C66,'Miljövärden urval för publ'!$B$2:$H$417,MATCH('Miljövärden för publ företag'!D$4,'Miljövärden urval för publ'!$B$2:$H$2,0),FALSE),"")</f>
        <v>7.7730400000000005E-2</v>
      </c>
      <c r="E66">
        <f>IFERROR(VLOOKUP($C66,'Miljövärden urval för publ'!$B$2:$H$417,MATCH('Miljövärden för publ företag'!E$4,'Miljövärden urval för publ'!$B$2:$H$2,0),FALSE),"")</f>
        <v>4.4641799999999998</v>
      </c>
      <c r="F66">
        <f>IFERROR(VLOOKUP($C66,'Miljövärden urval för publ'!$B$2:$H$417,MATCH('Miljövärden för publ företag'!F$4,'Miljövärden urval för publ'!$B$2:$H$2,0),FALSE),"")</f>
        <v>7.9812200000000004</v>
      </c>
      <c r="G66">
        <f>IFERROR(VLOOKUP($C66,'Miljövärden urval för publ'!$B$2:$H$417,MATCH('Miljövärden för publ företag'!G$4,'Miljövärden urval för publ'!$B$2:$H$2,0),FALSE),"")</f>
        <v>0</v>
      </c>
      <c r="J66">
        <f t="shared" si="0"/>
        <v>25</v>
      </c>
      <c r="M66">
        <v>62</v>
      </c>
      <c r="N66" t="str">
        <f t="shared" si="1"/>
        <v>LEVA i Lysekil AB</v>
      </c>
      <c r="P66" s="155">
        <f t="shared" si="2"/>
        <v>0</v>
      </c>
      <c r="Q66" s="150" t="str">
        <f t="shared" si="3"/>
        <v/>
      </c>
    </row>
    <row r="67" spans="1:17" x14ac:dyDescent="0.45">
      <c r="A67" s="160">
        <v>64</v>
      </c>
      <c r="B67" s="2" t="str">
        <f>IFERROR(INDEX('Miljövärden urval för publ'!$A$2:$AA$420,MATCH('Miljövärden för publ företag'!$A67,'Miljövärden urval för publ'!$R$2:$R$417,0),1),"")</f>
        <v>Falbygdens Energi AB</v>
      </c>
      <c r="C67" s="2" t="str">
        <f>IFERROR(INDEX('Miljövärden urval för publ'!$A$2:$AA$420,MATCH('Miljövärden för publ företag'!$A67,'Miljövärden urval för publ'!$R$2:$R$417,0),2),"")</f>
        <v>Floby</v>
      </c>
      <c r="D67">
        <f>IFERROR(VLOOKUP($C67,'Miljövärden urval för publ'!$B$2:$H$417,MATCH('Miljövärden för publ företag'!D$4,'Miljövärden urval för publ'!$B$2:$H$2,0),FALSE),"")</f>
        <v>0.143535</v>
      </c>
      <c r="E67">
        <f>IFERROR(VLOOKUP($C67,'Miljövärden urval för publ'!$B$2:$H$417,MATCH('Miljövärden för publ företag'!E$4,'Miljövärden urval för publ'!$B$2:$H$2,0),FALSE),"")</f>
        <v>5.36747</v>
      </c>
      <c r="F67">
        <f>IFERROR(VLOOKUP($C67,'Miljövärden urval för publ'!$B$2:$H$417,MATCH('Miljövärden för publ företag'!F$4,'Miljövärden urval för publ'!$B$2:$H$2,0),FALSE),"")</f>
        <v>17.189299999999999</v>
      </c>
      <c r="G67">
        <f>IFERROR(VLOOKUP($C67,'Miljövärden urval för publ'!$B$2:$H$417,MATCH('Miljövärden för publ företag'!G$4,'Miljövärden urval för publ'!$B$2:$H$2,0),FALSE),"")</f>
        <v>0</v>
      </c>
      <c r="J67">
        <f t="shared" si="0"/>
        <v>25</v>
      </c>
      <c r="M67">
        <v>63</v>
      </c>
      <c r="N67" t="str">
        <f t="shared" si="1"/>
        <v>Lidköping Energi AB</v>
      </c>
      <c r="P67" s="155">
        <f t="shared" si="2"/>
        <v>0</v>
      </c>
      <c r="Q67" s="150" t="str">
        <f t="shared" si="3"/>
        <v/>
      </c>
    </row>
    <row r="68" spans="1:17" x14ac:dyDescent="0.45">
      <c r="A68">
        <v>65</v>
      </c>
      <c r="B68" s="2" t="str">
        <f>IFERROR(INDEX('Miljövärden urval för publ'!$A$2:$AA$420,MATCH('Miljövärden för publ företag'!$A68,'Miljövärden urval för publ'!$R$2:$R$417,0),1),"")</f>
        <v>Falbygdens Energi AB</v>
      </c>
      <c r="C68" s="2" t="str">
        <f>IFERROR(INDEX('Miljövärden urval för publ'!$A$2:$AA$420,MATCH('Miljövärden för publ företag'!$A68,'Miljövärden urval för publ'!$R$2:$R$417,0),2),"")</f>
        <v>Stenstorp</v>
      </c>
      <c r="D68">
        <f>IFERROR(VLOOKUP($C68,'Miljövärden urval för publ'!$B$2:$H$417,MATCH('Miljövärden för publ företag'!D$4,'Miljövärden urval för publ'!$B$2:$H$2,0),FALSE),"")</f>
        <v>0.32309700000000002</v>
      </c>
      <c r="E68">
        <f>IFERROR(VLOOKUP($C68,'Miljövärden urval för publ'!$B$2:$H$417,MATCH('Miljövärden för publ företag'!E$4,'Miljövärden urval för publ'!$B$2:$H$2,0),FALSE),"")</f>
        <v>5.3615000000000004</v>
      </c>
      <c r="F68">
        <f>IFERROR(VLOOKUP($C68,'Miljövärden urval för publ'!$B$2:$H$417,MATCH('Miljövärden för publ företag'!F$4,'Miljövärden urval för publ'!$B$2:$H$2,0),FALSE),"")</f>
        <v>15.5715</v>
      </c>
      <c r="G68">
        <f>IFERROR(VLOOKUP($C68,'Miljövärden urval för publ'!$B$2:$H$417,MATCH('Miljövärden för publ företag'!G$4,'Miljövärden urval för publ'!$B$2:$H$2,0),FALSE),"")</f>
        <v>0</v>
      </c>
      <c r="J68">
        <f t="shared" si="0"/>
        <v>25</v>
      </c>
      <c r="M68">
        <v>64</v>
      </c>
      <c r="N68" t="str">
        <f t="shared" si="1"/>
        <v>Lilla Edets Fjärrvärme AB</v>
      </c>
      <c r="P68" s="155">
        <f t="shared" si="2"/>
        <v>0</v>
      </c>
      <c r="Q68" s="150" t="str">
        <f t="shared" si="3"/>
        <v/>
      </c>
    </row>
    <row r="69" spans="1:17" x14ac:dyDescent="0.45">
      <c r="A69">
        <v>66</v>
      </c>
      <c r="B69" s="2" t="str">
        <f>IFERROR(INDEX('Miljövärden urval för publ'!$A$2:$AA$420,MATCH('Miljövärden för publ företag'!$A69,'Miljövärden urval för publ'!$R$2:$R$417,0),1),"")</f>
        <v>Falkenberg Energi AB</v>
      </c>
      <c r="C69" s="2" t="str">
        <f>IFERROR(INDEX('Miljövärden urval för publ'!$A$2:$AA$420,MATCH('Miljövärden för publ företag'!$A69,'Miljövärden urval för publ'!$R$2:$R$417,0),2),"")</f>
        <v>Falkenberg</v>
      </c>
      <c r="D69">
        <f>IFERROR(VLOOKUP($C69,'Miljövärden urval för publ'!$B$2:$H$417,MATCH('Miljövärden för publ företag'!D$4,'Miljövärden urval för publ'!$B$2:$H$2,0),FALSE),"")</f>
        <v>6.5662300000000007E-2</v>
      </c>
      <c r="E69">
        <f>IFERROR(VLOOKUP($C69,'Miljövärden urval för publ'!$B$2:$H$417,MATCH('Miljövärden för publ företag'!E$4,'Miljövärden urval för publ'!$B$2:$H$2,0),FALSE),"")</f>
        <v>4.8877100000000002</v>
      </c>
      <c r="F69">
        <f>IFERROR(VLOOKUP($C69,'Miljövärden urval för publ'!$B$2:$H$417,MATCH('Miljövärden för publ företag'!F$4,'Miljövärden urval för publ'!$B$2:$H$2,0),FALSE),"")</f>
        <v>8.8487799999999996</v>
      </c>
      <c r="G69">
        <f>IFERROR(VLOOKUP($C69,'Miljövärden urval för publ'!$B$2:$H$417,MATCH('Miljövärden för publ företag'!G$4,'Miljövärden urval för publ'!$B$2:$H$2,0),FALSE),"")</f>
        <v>0</v>
      </c>
      <c r="J69">
        <f t="shared" si="0"/>
        <v>26</v>
      </c>
      <c r="M69">
        <v>65</v>
      </c>
      <c r="N69" t="str">
        <f t="shared" si="1"/>
        <v>Linde Energi AB</v>
      </c>
      <c r="P69" s="155">
        <f t="shared" si="2"/>
        <v>0</v>
      </c>
      <c r="Q69" s="150" t="str">
        <f t="shared" ref="Q69:Q132" si="5">IF(B69=$R$2,C69,"")</f>
        <v/>
      </c>
    </row>
    <row r="70" spans="1:17" x14ac:dyDescent="0.45">
      <c r="A70" s="160">
        <v>67</v>
      </c>
      <c r="B70" s="2" t="str">
        <f>IFERROR(INDEX('Miljövärden urval för publ'!$A$2:$AA$420,MATCH('Miljövärden för publ företag'!$A70,'Miljövärden urval för publ'!$R$2:$R$417,0),1),"")</f>
        <v>Falkenberg Energi AB</v>
      </c>
      <c r="C70" s="2" t="str">
        <f>IFERROR(INDEX('Miljövärden urval för publ'!$A$2:$AA$420,MATCH('Miljövärden för publ företag'!$A70,'Miljövärden urval för publ'!$R$2:$R$417,0),2),"")</f>
        <v>Ullared-närvärme</v>
      </c>
      <c r="D70">
        <f>IFERROR(VLOOKUP($C70,'Miljövärden urval för publ'!$B$2:$H$417,MATCH('Miljövärden för publ företag'!D$4,'Miljövärden urval för publ'!$B$2:$H$2,0),FALSE),"")</f>
        <v>0.18130499999999999</v>
      </c>
      <c r="E70">
        <f>IFERROR(VLOOKUP($C70,'Miljövärden urval för publ'!$B$2:$H$417,MATCH('Miljövärden för publ företag'!E$4,'Miljövärden urval för publ'!$B$2:$H$2,0),FALSE),"")</f>
        <v>11.1731</v>
      </c>
      <c r="F70">
        <f>IFERROR(VLOOKUP($C70,'Miljövärden urval för publ'!$B$2:$H$417,MATCH('Miljövärden för publ företag'!F$4,'Miljövärden urval för publ'!$B$2:$H$2,0),FALSE),"")</f>
        <v>17.803599999999999</v>
      </c>
      <c r="G70">
        <f>IFERROR(VLOOKUP($C70,'Miljövärden urval för publ'!$B$2:$H$417,MATCH('Miljövärden för publ företag'!G$4,'Miljövärden urval för publ'!$B$2:$H$2,0),FALSE),"")</f>
        <v>1.8175699999999999E-2</v>
      </c>
      <c r="J70">
        <f t="shared" ref="J70:J133" si="6">IF(B70=B69,J69,J69+1)</f>
        <v>26</v>
      </c>
      <c r="M70">
        <v>66</v>
      </c>
      <c r="N70" t="str">
        <f t="shared" ref="N70:N133" si="7">IFERROR(INDEX($B$4:$J$487,MATCH(M70,$J$4:$J$487,0),1),"")</f>
        <v>Ljungby Energi AB</v>
      </c>
      <c r="P70" s="155">
        <f t="shared" ref="P70:P133" si="8">IF(Q70="",P69,P69+1)</f>
        <v>0</v>
      </c>
      <c r="Q70" s="150" t="str">
        <f t="shared" si="5"/>
        <v/>
      </c>
    </row>
    <row r="71" spans="1:17" x14ac:dyDescent="0.45">
      <c r="A71">
        <v>68</v>
      </c>
      <c r="B71" s="2" t="str">
        <f>IFERROR(INDEX('Miljövärden urval för publ'!$A$2:$AA$420,MATCH('Miljövärden för publ företag'!$A71,'Miljövärden urval för publ'!$R$2:$R$417,0),1),"")</f>
        <v>Falkenberg Energi AB</v>
      </c>
      <c r="C71" s="2" t="str">
        <f>IFERROR(INDEX('Miljövärden urval för publ'!$A$2:$AA$420,MATCH('Miljövärden för publ företag'!$A71,'Miljövärden urval för publ'!$R$2:$R$417,0),2),"")</f>
        <v>Vessigebro-närvärme</v>
      </c>
      <c r="D71">
        <f>IFERROR(VLOOKUP($C71,'Miljövärden urval för publ'!$B$2:$H$417,MATCH('Miljövärden för publ företag'!D$4,'Miljövärden urval för publ'!$B$2:$H$2,0),FALSE),"")</f>
        <v>0.17485800000000001</v>
      </c>
      <c r="E71">
        <f>IFERROR(VLOOKUP($C71,'Miljövärden urval för publ'!$B$2:$H$417,MATCH('Miljövärden för publ företag'!E$4,'Miljövärden urval för publ'!$B$2:$H$2,0),FALSE),"")</f>
        <v>9.8721999999999994</v>
      </c>
      <c r="F71">
        <f>IFERROR(VLOOKUP($C71,'Miljövärden urval för publ'!$B$2:$H$417,MATCH('Miljövärden för publ företag'!F$4,'Miljövärden urval för publ'!$B$2:$H$2,0),FALSE),"")</f>
        <v>17.6568</v>
      </c>
      <c r="G71">
        <f>IFERROR(VLOOKUP($C71,'Miljövärden urval för publ'!$B$2:$H$417,MATCH('Miljövärden för publ företag'!G$4,'Miljövärden urval för publ'!$B$2:$H$2,0),FALSE),"")</f>
        <v>1.4684300000000001E-2</v>
      </c>
      <c r="J71">
        <f t="shared" si="6"/>
        <v>26</v>
      </c>
      <c r="M71">
        <v>67</v>
      </c>
      <c r="N71" t="str">
        <f t="shared" si="7"/>
        <v>Ljusdal Energi AB</v>
      </c>
      <c r="P71" s="155">
        <f t="shared" si="8"/>
        <v>0</v>
      </c>
      <c r="Q71" s="150" t="str">
        <f t="shared" si="5"/>
        <v/>
      </c>
    </row>
    <row r="72" spans="1:17" x14ac:dyDescent="0.45">
      <c r="A72">
        <v>69</v>
      </c>
      <c r="B72" s="2" t="str">
        <f>IFERROR(INDEX('Miljövärden urval för publ'!$A$2:$AA$420,MATCH('Miljövärden för publ företag'!$A72,'Miljövärden urval för publ'!$R$2:$R$417,0),1),"")</f>
        <v>Falu Energi &amp; Vatten AB</v>
      </c>
      <c r="C72" s="2" t="str">
        <f>IFERROR(INDEX('Miljövärden urval för publ'!$A$2:$AA$420,MATCH('Miljövärden för publ företag'!$A72,'Miljövärden urval för publ'!$R$2:$R$417,0),2),"")</f>
        <v>Bjursås</v>
      </c>
      <c r="D72">
        <f>IFERROR(VLOOKUP($C72,'Miljövärden urval för publ'!$B$2:$H$417,MATCH('Miljövärden för publ företag'!D$4,'Miljövärden urval för publ'!$B$2:$H$2,0),FALSE),"")</f>
        <v>0.17707100000000001</v>
      </c>
      <c r="E72">
        <f>IFERROR(VLOOKUP($C72,'Miljövärden urval för publ'!$B$2:$H$417,MATCH('Miljövärden för publ företag'!E$4,'Miljövärden urval för publ'!$B$2:$H$2,0),FALSE),"")</f>
        <v>8.4040400000000002</v>
      </c>
      <c r="F72">
        <f>IFERROR(VLOOKUP($C72,'Miljövärden urval för publ'!$B$2:$H$417,MATCH('Miljövärden för publ företag'!F$4,'Miljövärden urval för publ'!$B$2:$H$2,0),FALSE),"")</f>
        <v>17.848500000000001</v>
      </c>
      <c r="G72">
        <f>IFERROR(VLOOKUP($C72,'Miljövärden urval för publ'!$B$2:$H$417,MATCH('Miljövärden för publ företag'!G$4,'Miljövärden urval för publ'!$B$2:$H$2,0),FALSE),"")</f>
        <v>9.83091E-3</v>
      </c>
      <c r="J72">
        <f t="shared" si="6"/>
        <v>27</v>
      </c>
      <c r="M72">
        <v>68</v>
      </c>
      <c r="N72" t="str">
        <f t="shared" si="7"/>
        <v>Luleå Energi AB</v>
      </c>
      <c r="P72" s="155">
        <f t="shared" si="8"/>
        <v>0</v>
      </c>
      <c r="Q72" s="150" t="str">
        <f t="shared" si="5"/>
        <v/>
      </c>
    </row>
    <row r="73" spans="1:17" x14ac:dyDescent="0.45">
      <c r="A73" s="160">
        <v>70</v>
      </c>
      <c r="B73" s="2" t="str">
        <f>IFERROR(INDEX('Miljövärden urval för publ'!$A$2:$AA$420,MATCH('Miljövärden för publ företag'!$A73,'Miljövärden urval för publ'!$R$2:$R$417,0),1),"")</f>
        <v>Falu Energi &amp; Vatten AB</v>
      </c>
      <c r="C73" s="2" t="str">
        <f>IFERROR(INDEX('Miljövärden urval för publ'!$A$2:$AA$420,MATCH('Miljövärden för publ företag'!$A73,'Miljövärden urval för publ'!$R$2:$R$417,0),2),"")</f>
        <v>Falun</v>
      </c>
      <c r="D73">
        <f>IFERROR(VLOOKUP($C73,'Miljövärden urval för publ'!$B$2:$H$417,MATCH('Miljövärden för publ företag'!D$4,'Miljövärden urval för publ'!$B$2:$H$2,0),FALSE),"")</f>
        <v>9.5635399999999995E-2</v>
      </c>
      <c r="E73">
        <f>IFERROR(VLOOKUP($C73,'Miljövärden urval för publ'!$B$2:$H$417,MATCH('Miljövärden för publ företag'!E$4,'Miljövärden urval för publ'!$B$2:$H$2,0),FALSE),"")</f>
        <v>8.5205800000000007</v>
      </c>
      <c r="F73">
        <f>IFERROR(VLOOKUP($C73,'Miljövärden urval för publ'!$B$2:$H$417,MATCH('Miljövärden för publ företag'!F$4,'Miljövärden urval för publ'!$B$2:$H$2,0),FALSE),"")</f>
        <v>6.1762600000000001</v>
      </c>
      <c r="G73">
        <f>IFERROR(VLOOKUP($C73,'Miljövärden urval för publ'!$B$2:$H$417,MATCH('Miljövärden för publ företag'!G$4,'Miljövärden urval för publ'!$B$2:$H$2,0),FALSE),"")</f>
        <v>1.34468E-2</v>
      </c>
      <c r="J73">
        <f t="shared" si="6"/>
        <v>27</v>
      </c>
      <c r="M73">
        <v>69</v>
      </c>
      <c r="N73" t="str">
        <f t="shared" si="7"/>
        <v>Malung-Sälens kommun</v>
      </c>
      <c r="P73" s="155">
        <f t="shared" si="8"/>
        <v>0</v>
      </c>
      <c r="Q73" s="150" t="str">
        <f t="shared" si="5"/>
        <v/>
      </c>
    </row>
    <row r="74" spans="1:17" x14ac:dyDescent="0.45">
      <c r="A74">
        <v>71</v>
      </c>
      <c r="B74" s="2" t="str">
        <f>IFERROR(INDEX('Miljövärden urval för publ'!$A$2:$AA$420,MATCH('Miljövärden för publ företag'!$A74,'Miljövärden urval för publ'!$R$2:$R$417,0),1),"")</f>
        <v>Falu Energi &amp; Vatten AB</v>
      </c>
      <c r="C74" s="2" t="str">
        <f>IFERROR(INDEX('Miljövärden urval för publ'!$A$2:$AA$420,MATCH('Miljövärden för publ företag'!$A74,'Miljövärden urval för publ'!$R$2:$R$417,0),2),"")</f>
        <v>Grycksbo</v>
      </c>
      <c r="D74">
        <f>IFERROR(VLOOKUP($C74,'Miljövärden urval för publ'!$B$2:$H$417,MATCH('Miljövärden för publ företag'!D$4,'Miljövärden urval för publ'!$B$2:$H$2,0),FALSE),"")</f>
        <v>0.159859</v>
      </c>
      <c r="E74">
        <f>IFERROR(VLOOKUP($C74,'Miljövärden urval för publ'!$B$2:$H$417,MATCH('Miljövärden för publ företag'!E$4,'Miljövärden urval för publ'!$B$2:$H$2,0),FALSE),"")</f>
        <v>6.1639299999999997</v>
      </c>
      <c r="F74">
        <f>IFERROR(VLOOKUP($C74,'Miljövärden urval för publ'!$B$2:$H$417,MATCH('Miljövärden för publ företag'!F$4,'Miljövärden urval för publ'!$B$2:$H$2,0),FALSE),"")</f>
        <v>17.2834</v>
      </c>
      <c r="G74">
        <f>IFERROR(VLOOKUP($C74,'Miljövärden urval för publ'!$B$2:$H$417,MATCH('Miljövärden för publ företag'!G$4,'Miljövärden urval för publ'!$B$2:$H$2,0),FALSE),"")</f>
        <v>3.7622300000000001E-3</v>
      </c>
      <c r="J74">
        <f t="shared" si="6"/>
        <v>27</v>
      </c>
      <c r="M74">
        <v>70</v>
      </c>
      <c r="N74" t="str">
        <f t="shared" si="7"/>
        <v>Mark Kraftvärme AB</v>
      </c>
      <c r="P74" s="155">
        <f t="shared" si="8"/>
        <v>0</v>
      </c>
      <c r="Q74" s="150" t="str">
        <f t="shared" si="5"/>
        <v/>
      </c>
    </row>
    <row r="75" spans="1:17" x14ac:dyDescent="0.45">
      <c r="A75">
        <v>72</v>
      </c>
      <c r="B75" s="2" t="str">
        <f>IFERROR(INDEX('Miljövärden urval för publ'!$A$2:$AA$420,MATCH('Miljövärden för publ företag'!$A75,'Miljövärden urval för publ'!$R$2:$R$417,0),1),"")</f>
        <v>Falu Energi &amp; Vatten AB</v>
      </c>
      <c r="C75" s="2" t="str">
        <f>IFERROR(INDEX('Miljövärden urval för publ'!$A$2:$AA$420,MATCH('Miljövärden för publ företag'!$A75,'Miljövärden urval för publ'!$R$2:$R$417,0),2),"")</f>
        <v>Svärdsjö</v>
      </c>
      <c r="D75">
        <f>IFERROR(VLOOKUP($C75,'Miljövärden urval för publ'!$B$2:$H$417,MATCH('Miljövärden för publ företag'!D$4,'Miljövärden urval för publ'!$B$2:$H$2,0),FALSE),"")</f>
        <v>0.17385600000000001</v>
      </c>
      <c r="E75">
        <f>IFERROR(VLOOKUP($C75,'Miljövärden urval för publ'!$B$2:$H$417,MATCH('Miljövärden för publ företag'!E$4,'Miljövärden urval för publ'!$B$2:$H$2,0),FALSE),"")</f>
        <v>6.1360799999999998</v>
      </c>
      <c r="F75">
        <f>IFERROR(VLOOKUP($C75,'Miljövärden urval för publ'!$B$2:$H$417,MATCH('Miljövärden för publ företag'!F$4,'Miljövärden urval för publ'!$B$2:$H$2,0),FALSE),"")</f>
        <v>17.699000000000002</v>
      </c>
      <c r="G75">
        <f>IFERROR(VLOOKUP($C75,'Miljövärden urval för publ'!$B$2:$H$417,MATCH('Miljövärden för publ företag'!G$4,'Miljövärden urval för publ'!$B$2:$H$2,0),FALSE),"")</f>
        <v>3.21543E-3</v>
      </c>
      <c r="J75">
        <f t="shared" si="6"/>
        <v>27</v>
      </c>
      <c r="M75">
        <v>71</v>
      </c>
      <c r="N75" t="str">
        <f t="shared" si="7"/>
        <v>Mjölby-Svartådalen Energi AB</v>
      </c>
      <c r="P75" s="155">
        <f t="shared" si="8"/>
        <v>0</v>
      </c>
      <c r="Q75" s="150" t="str">
        <f t="shared" si="5"/>
        <v/>
      </c>
    </row>
    <row r="76" spans="1:17" x14ac:dyDescent="0.45">
      <c r="A76" s="160">
        <v>73</v>
      </c>
      <c r="B76" s="2" t="str">
        <f>IFERROR(INDEX('Miljövärden urval för publ'!$A$2:$AA$420,MATCH('Miljövärden för publ företag'!$A76,'Miljövärden urval för publ'!$R$2:$R$417,0),1),"")</f>
        <v>Finspångs Tekniska Verk AB</v>
      </c>
      <c r="C76" s="2" t="str">
        <f>IFERROR(INDEX('Miljövärden urval för publ'!$A$2:$AA$420,MATCH('Miljövärden för publ företag'!$A76,'Miljövärden urval för publ'!$R$2:$R$417,0),2),"")</f>
        <v>Finspång</v>
      </c>
      <c r="D76">
        <f>IFERROR(VLOOKUP($C76,'Miljövärden urval för publ'!$B$2:$H$417,MATCH('Miljövärden för publ företag'!D$4,'Miljövärden urval för publ'!$B$2:$H$2,0),FALSE),"")</f>
        <v>9.4536400000000007E-2</v>
      </c>
      <c r="E76">
        <f>IFERROR(VLOOKUP($C76,'Miljövärden urval för publ'!$B$2:$H$417,MATCH('Miljövärden för publ företag'!E$4,'Miljövärden urval för publ'!$B$2:$H$2,0),FALSE),"")</f>
        <v>88.117599999999996</v>
      </c>
      <c r="F76">
        <f>IFERROR(VLOOKUP($C76,'Miljövärden urval för publ'!$B$2:$H$417,MATCH('Miljövärden för publ företag'!F$4,'Miljövärden urval för publ'!$B$2:$H$2,0),FALSE),"")</f>
        <v>5.2809100000000004</v>
      </c>
      <c r="G76">
        <f>IFERROR(VLOOKUP($C76,'Miljövärden urval för publ'!$B$2:$H$417,MATCH('Miljövärden för publ företag'!G$4,'Miljövärden urval för publ'!$B$2:$H$2,0),FALSE),"")</f>
        <v>8.9285700000000003E-3</v>
      </c>
      <c r="J76">
        <f t="shared" si="6"/>
        <v>28</v>
      </c>
      <c r="M76">
        <v>72</v>
      </c>
      <c r="N76" t="str">
        <f t="shared" si="7"/>
        <v>Mälarenergi AB</v>
      </c>
      <c r="P76" s="155">
        <f t="shared" si="8"/>
        <v>0</v>
      </c>
      <c r="Q76" s="150" t="str">
        <f t="shared" si="5"/>
        <v/>
      </c>
    </row>
    <row r="77" spans="1:17" x14ac:dyDescent="0.45">
      <c r="A77">
        <v>74</v>
      </c>
      <c r="B77" s="2" t="str">
        <f>IFERROR(INDEX('Miljövärden urval för publ'!$A$2:$AA$420,MATCH('Miljövärden för publ företag'!$A77,'Miljövärden urval för publ'!$R$2:$R$417,0),1),"")</f>
        <v>Gislaved Energi AB</v>
      </c>
      <c r="C77" s="2" t="str">
        <f>IFERROR(INDEX('Miljövärden urval för publ'!$A$2:$AA$420,MATCH('Miljövärden för publ företag'!$A77,'Miljövärden urval för publ'!$R$2:$R$417,0),2),"")</f>
        <v>Gislaved</v>
      </c>
      <c r="D77">
        <f>IFERROR(VLOOKUP($C77,'Miljövärden urval för publ'!$B$2:$H$417,MATCH('Miljövärden för publ företag'!D$4,'Miljövärden urval för publ'!$B$2:$H$2,0),FALSE),"")</f>
        <v>6.9553900000000002E-2</v>
      </c>
      <c r="E77">
        <f>IFERROR(VLOOKUP($C77,'Miljövärden urval för publ'!$B$2:$H$417,MATCH('Miljövärden för publ företag'!E$4,'Miljövärden urval för publ'!$B$2:$H$2,0),FALSE),"")</f>
        <v>4.7149000000000001</v>
      </c>
      <c r="F77">
        <f>IFERROR(VLOOKUP($C77,'Miljövärden urval för publ'!$B$2:$H$417,MATCH('Miljövärden för publ företag'!F$4,'Miljövärden urval för publ'!$B$2:$H$2,0),FALSE),"")</f>
        <v>7.8001699999999996</v>
      </c>
      <c r="G77">
        <f>IFERROR(VLOOKUP($C77,'Miljövärden urval för publ'!$B$2:$H$417,MATCH('Miljövärden för publ företag'!G$4,'Miljövärden urval för publ'!$B$2:$H$2,0),FALSE),"")</f>
        <v>7.5044700000000001E-4</v>
      </c>
      <c r="J77">
        <f t="shared" si="6"/>
        <v>29</v>
      </c>
      <c r="M77">
        <v>73</v>
      </c>
      <c r="N77" t="str">
        <f t="shared" si="7"/>
        <v>Mölndal Energi AB</v>
      </c>
      <c r="P77" s="155">
        <f t="shared" si="8"/>
        <v>0</v>
      </c>
      <c r="Q77" s="150" t="str">
        <f t="shared" si="5"/>
        <v/>
      </c>
    </row>
    <row r="78" spans="1:17" x14ac:dyDescent="0.45">
      <c r="A78">
        <v>75</v>
      </c>
      <c r="B78" s="2" t="str">
        <f>IFERROR(INDEX('Miljövärden urval för publ'!$A$2:$AA$420,MATCH('Miljövärden för publ företag'!$A78,'Miljövärden urval för publ'!$R$2:$R$417,0),1),"")</f>
        <v>Gislaved Energi AB</v>
      </c>
      <c r="C78" s="2" t="str">
        <f>IFERROR(INDEX('Miljövärden urval för publ'!$A$2:$AA$420,MATCH('Miljövärden för publ företag'!$A78,'Miljövärden urval för publ'!$R$2:$R$417,0),2),"")</f>
        <v>Hestra</v>
      </c>
      <c r="D78">
        <f>IFERROR(VLOOKUP($C78,'Miljövärden urval för publ'!$B$2:$H$417,MATCH('Miljövärden för publ företag'!D$4,'Miljövärden urval för publ'!$B$2:$H$2,0),FALSE),"")</f>
        <v>0.107208</v>
      </c>
      <c r="E78">
        <f>IFERROR(VLOOKUP($C78,'Miljövärden urval för publ'!$B$2:$H$417,MATCH('Miljövärden för publ företag'!E$4,'Miljövärden urval för publ'!$B$2:$H$2,0),FALSE),"")</f>
        <v>13.0183</v>
      </c>
      <c r="F78">
        <f>IFERROR(VLOOKUP($C78,'Miljövärden urval för publ'!$B$2:$H$417,MATCH('Miljövärden för publ företag'!F$4,'Miljövärden urval för publ'!$B$2:$H$2,0),FALSE),"")</f>
        <v>9.6150599999999997</v>
      </c>
      <c r="G78">
        <f>IFERROR(VLOOKUP($C78,'Miljövärden urval för publ'!$B$2:$H$417,MATCH('Miljövärden för publ företag'!G$4,'Miljövärden urval för publ'!$B$2:$H$2,0),FALSE),"")</f>
        <v>7.4808699999999997E-3</v>
      </c>
      <c r="J78">
        <f t="shared" si="6"/>
        <v>29</v>
      </c>
      <c r="M78">
        <v>74</v>
      </c>
      <c r="N78" t="str">
        <f t="shared" si="7"/>
        <v>Nevel AB</v>
      </c>
      <c r="P78" s="155">
        <f t="shared" si="8"/>
        <v>0</v>
      </c>
      <c r="Q78" s="150" t="str">
        <f t="shared" si="5"/>
        <v/>
      </c>
    </row>
    <row r="79" spans="1:17" x14ac:dyDescent="0.45">
      <c r="A79" s="160">
        <v>76</v>
      </c>
      <c r="B79" s="2" t="str">
        <f>IFERROR(INDEX('Miljövärden urval för publ'!$A$2:$AA$420,MATCH('Miljövärden för publ företag'!$A79,'Miljövärden urval för publ'!$R$2:$R$417,0),1),"")</f>
        <v>Gislaved Energi AB</v>
      </c>
      <c r="C79" s="2" t="str">
        <f>IFERROR(INDEX('Miljövärden urval för publ'!$A$2:$AA$420,MATCH('Miljövärden för publ företag'!$A79,'Miljövärden urval för publ'!$R$2:$R$417,0),2),"")</f>
        <v>Reftele</v>
      </c>
      <c r="D79">
        <f>IFERROR(VLOOKUP($C79,'Miljövärden urval för publ'!$B$2:$H$417,MATCH('Miljövärden för publ företag'!D$4,'Miljövärden urval för publ'!$B$2:$H$2,0),FALSE),"")</f>
        <v>0.14893300000000001</v>
      </c>
      <c r="E79">
        <f>IFERROR(VLOOKUP($C79,'Miljövärden urval för publ'!$B$2:$H$417,MATCH('Miljövärden för publ företag'!E$4,'Miljövärden urval för publ'!$B$2:$H$2,0),FALSE),"")</f>
        <v>4.59</v>
      </c>
      <c r="F79">
        <f>IFERROR(VLOOKUP($C79,'Miljövärden urval för publ'!$B$2:$H$417,MATCH('Miljövärden för publ företag'!F$4,'Miljövärden urval för publ'!$B$2:$H$2,0),FALSE),"")</f>
        <v>16.065000000000001</v>
      </c>
      <c r="G79">
        <f>IFERROR(VLOOKUP($C79,'Miljövärden urval för publ'!$B$2:$H$417,MATCH('Miljövärden för publ företag'!G$4,'Miljövärden urval för publ'!$B$2:$H$2,0),FALSE),"")</f>
        <v>0</v>
      </c>
      <c r="J79">
        <f t="shared" si="6"/>
        <v>29</v>
      </c>
      <c r="M79">
        <v>75</v>
      </c>
      <c r="N79" t="str">
        <f t="shared" si="7"/>
        <v>Njudung Energi Sävsjö AB</v>
      </c>
      <c r="P79" s="155">
        <f t="shared" si="8"/>
        <v>0</v>
      </c>
      <c r="Q79" s="150" t="str">
        <f t="shared" si="5"/>
        <v/>
      </c>
    </row>
    <row r="80" spans="1:17" x14ac:dyDescent="0.45">
      <c r="A80">
        <v>77</v>
      </c>
      <c r="B80" s="2" t="str">
        <f>IFERROR(INDEX('Miljövärden urval för publ'!$A$2:$AA$420,MATCH('Miljövärden för publ företag'!$A80,'Miljövärden urval för publ'!$R$2:$R$417,0),1),"")</f>
        <v>Gotlands Energi AB</v>
      </c>
      <c r="C80" s="2" t="str">
        <f>IFERROR(INDEX('Miljövärden urval för publ'!$A$2:$AA$420,MATCH('Miljövärden för publ företag'!$A80,'Miljövärden urval för publ'!$R$2:$R$417,0),2),"")</f>
        <v>Hemse</v>
      </c>
      <c r="D80">
        <f>IFERROR(VLOOKUP($C80,'Miljövärden urval för publ'!$B$2:$H$417,MATCH('Miljövärden för publ företag'!D$4,'Miljövärden urval för publ'!$B$2:$H$2,0),FALSE),"")</f>
        <v>8.3757799999999993E-2</v>
      </c>
      <c r="E80">
        <f>IFERROR(VLOOKUP($C80,'Miljövärden urval för publ'!$B$2:$H$417,MATCH('Miljövärden för publ företag'!E$4,'Miljövärden urval för publ'!$B$2:$H$2,0),FALSE),"")</f>
        <v>8.4131999999999998</v>
      </c>
      <c r="F80">
        <f>IFERROR(VLOOKUP($C80,'Miljövärden urval för publ'!$B$2:$H$417,MATCH('Miljövärden för publ företag'!F$4,'Miljövärden urval för publ'!$B$2:$H$2,0),FALSE),"")</f>
        <v>8.5936599999999999</v>
      </c>
      <c r="G80">
        <f>IFERROR(VLOOKUP($C80,'Miljövärden urval för publ'!$B$2:$H$417,MATCH('Miljövärden för publ företag'!G$4,'Miljövärden urval för publ'!$B$2:$H$2,0),FALSE),"")</f>
        <v>1.1163899999999999E-2</v>
      </c>
      <c r="J80">
        <f t="shared" si="6"/>
        <v>30</v>
      </c>
      <c r="M80">
        <v>76</v>
      </c>
      <c r="N80" t="str">
        <f t="shared" si="7"/>
        <v>Njudung Energi Vetlanda AB</v>
      </c>
      <c r="P80" s="155">
        <f t="shared" si="8"/>
        <v>0</v>
      </c>
      <c r="Q80" s="150" t="str">
        <f t="shared" si="5"/>
        <v/>
      </c>
    </row>
    <row r="81" spans="1:17" x14ac:dyDescent="0.45">
      <c r="A81">
        <v>78</v>
      </c>
      <c r="B81" s="2" t="str">
        <f>IFERROR(INDEX('Miljövärden urval för publ'!$A$2:$AA$420,MATCH('Miljövärden för publ företag'!$A81,'Miljövärden urval för publ'!$R$2:$R$417,0),1),"")</f>
        <v>Gotlands Energi AB</v>
      </c>
      <c r="C81" s="2" t="str">
        <f>IFERROR(INDEX('Miljövärden urval för publ'!$A$2:$AA$420,MATCH('Miljövärden för publ företag'!$A81,'Miljövärden urval för publ'!$R$2:$R$417,0),2),"")</f>
        <v>Klintehamn</v>
      </c>
      <c r="D81">
        <f>IFERROR(VLOOKUP($C81,'Miljövärden urval för publ'!$B$2:$H$417,MATCH('Miljövärden för publ företag'!D$4,'Miljövärden urval för publ'!$B$2:$H$2,0),FALSE),"")</f>
        <v>1.5380400000000001</v>
      </c>
      <c r="E81">
        <f>IFERROR(VLOOKUP($C81,'Miljövärden urval för publ'!$B$2:$H$417,MATCH('Miljövärden för publ företag'!E$4,'Miljövärden urval för publ'!$B$2:$H$2,0),FALSE),"")</f>
        <v>16.1188</v>
      </c>
      <c r="F81">
        <f>IFERROR(VLOOKUP($C81,'Miljövärden urval för publ'!$B$2:$H$417,MATCH('Miljövärden för publ företag'!F$4,'Miljövärden urval för publ'!$B$2:$H$2,0),FALSE),"")</f>
        <v>48.185499999999998</v>
      </c>
      <c r="G81">
        <f>IFERROR(VLOOKUP($C81,'Miljövärden urval för publ'!$B$2:$H$417,MATCH('Miljövärden för publ företag'!G$4,'Miljövärden urval för publ'!$B$2:$H$2,0),FALSE),"")</f>
        <v>2.69468E-2</v>
      </c>
      <c r="J81">
        <f t="shared" si="6"/>
        <v>30</v>
      </c>
      <c r="M81">
        <v>77</v>
      </c>
      <c r="N81" t="str">
        <f t="shared" si="7"/>
        <v>Nordanstigs Fjärrvärme AB</v>
      </c>
      <c r="P81" s="155">
        <f t="shared" si="8"/>
        <v>0</v>
      </c>
      <c r="Q81" s="150" t="str">
        <f t="shared" si="5"/>
        <v/>
      </c>
    </row>
    <row r="82" spans="1:17" x14ac:dyDescent="0.45">
      <c r="A82" s="160">
        <v>79</v>
      </c>
      <c r="B82" s="2" t="str">
        <f>IFERROR(INDEX('Miljövärden urval för publ'!$A$2:$AA$420,MATCH('Miljövärden för publ företag'!$A82,'Miljövärden urval för publ'!$R$2:$R$417,0),1),"")</f>
        <v>Gotlands Energi AB</v>
      </c>
      <c r="C82" s="2" t="str">
        <f>IFERROR(INDEX('Miljövärden urval för publ'!$A$2:$AA$420,MATCH('Miljövärden för publ företag'!$A82,'Miljövärden urval för publ'!$R$2:$R$417,0),2),"")</f>
        <v>Slite</v>
      </c>
      <c r="D82">
        <f>IFERROR(VLOOKUP($C82,'Miljövärden urval för publ'!$B$2:$H$417,MATCH('Miljövärden för publ företag'!D$4,'Miljövärden urval för publ'!$B$2:$H$2,0),FALSE),"")</f>
        <v>6.8208299999999999E-2</v>
      </c>
      <c r="E82">
        <f>IFERROR(VLOOKUP($C82,'Miljövärden urval för publ'!$B$2:$H$417,MATCH('Miljövärden för publ företag'!E$4,'Miljövärden urval för publ'!$B$2:$H$2,0),FALSE),"")</f>
        <v>5.7931699999999999</v>
      </c>
      <c r="F82">
        <f>IFERROR(VLOOKUP($C82,'Miljövärden urval för publ'!$B$2:$H$417,MATCH('Miljövärden för publ företag'!F$4,'Miljövärden urval för publ'!$B$2:$H$2,0),FALSE),"")</f>
        <v>1.7008300000000001</v>
      </c>
      <c r="G82">
        <f>IFERROR(VLOOKUP($C82,'Miljövärden urval för publ'!$B$2:$H$417,MATCH('Miljövärden för publ företag'!G$4,'Miljövärden urval för publ'!$B$2:$H$2,0),FALSE),"")</f>
        <v>1.50584E-2</v>
      </c>
      <c r="J82">
        <f t="shared" si="6"/>
        <v>30</v>
      </c>
      <c r="M82">
        <v>78</v>
      </c>
      <c r="N82" t="str">
        <f t="shared" si="7"/>
        <v>Norrenergi AB</v>
      </c>
      <c r="P82" s="155">
        <f t="shared" si="8"/>
        <v>0</v>
      </c>
      <c r="Q82" s="150" t="str">
        <f t="shared" si="5"/>
        <v/>
      </c>
    </row>
    <row r="83" spans="1:17" x14ac:dyDescent="0.45">
      <c r="A83">
        <v>80</v>
      </c>
      <c r="B83" s="2" t="str">
        <f>IFERROR(INDEX('Miljövärden urval för publ'!$A$2:$AA$420,MATCH('Miljövärden för publ företag'!$A83,'Miljövärden urval för publ'!$R$2:$R$417,0),1),"")</f>
        <v>Gotlands Energi AB</v>
      </c>
      <c r="C83" s="2" t="str">
        <f>IFERROR(INDEX('Miljövärden urval för publ'!$A$2:$AA$420,MATCH('Miljövärden för publ företag'!$A83,'Miljövärden urval för publ'!$R$2:$R$417,0),2),"")</f>
        <v>Visby</v>
      </c>
      <c r="D83">
        <f>IFERROR(VLOOKUP($C83,'Miljövärden urval för publ'!$B$2:$H$417,MATCH('Miljövärden för publ företag'!D$4,'Miljövärden urval för publ'!$B$2:$H$2,0),FALSE),"")</f>
        <v>0.14344999999999999</v>
      </c>
      <c r="E83">
        <f>IFERROR(VLOOKUP($C83,'Miljövärden urval för publ'!$B$2:$H$417,MATCH('Miljövärden för publ företag'!E$4,'Miljövärden urval för publ'!$B$2:$H$2,0),FALSE),"")</f>
        <v>3.72885</v>
      </c>
      <c r="F83">
        <f>IFERROR(VLOOKUP($C83,'Miljövärden urval för publ'!$B$2:$H$417,MATCH('Miljövärden för publ företag'!F$4,'Miljövärden urval för publ'!$B$2:$H$2,0),FALSE),"")</f>
        <v>6.6448299999999998</v>
      </c>
      <c r="G83">
        <f>IFERROR(VLOOKUP($C83,'Miljövärden urval för publ'!$B$2:$H$417,MATCH('Miljövärden för publ företag'!G$4,'Miljövärden urval för publ'!$B$2:$H$2,0),FALSE),"")</f>
        <v>0</v>
      </c>
      <c r="J83">
        <f t="shared" si="6"/>
        <v>30</v>
      </c>
      <c r="M83">
        <v>79</v>
      </c>
      <c r="N83" t="str">
        <f t="shared" si="7"/>
        <v>Norrtälje Energi AB</v>
      </c>
      <c r="P83" s="155">
        <f t="shared" si="8"/>
        <v>0</v>
      </c>
      <c r="Q83" s="150" t="str">
        <f t="shared" si="5"/>
        <v/>
      </c>
    </row>
    <row r="84" spans="1:17" x14ac:dyDescent="0.45">
      <c r="A84">
        <v>81</v>
      </c>
      <c r="B84" s="2" t="str">
        <f>IFERROR(INDEX('Miljövärden urval för publ'!$A$2:$AA$420,MATCH('Miljövärden för publ företag'!$A84,'Miljövärden urval för publ'!$R$2:$R$417,0),1),"")</f>
        <v>Gällivare Energi AB</v>
      </c>
      <c r="C84" s="2" t="str">
        <f>IFERROR(INDEX('Miljövärden urval för publ'!$A$2:$AA$420,MATCH('Miljövärden för publ företag'!$A84,'Miljövärden urval för publ'!$R$2:$R$417,0),2),"")</f>
        <v>Gällivare-Malmberget</v>
      </c>
      <c r="D84">
        <f>IFERROR(VLOOKUP($C84,'Miljövärden urval för publ'!$B$2:$H$417,MATCH('Miljövärden för publ företag'!D$4,'Miljövärden urval för publ'!$B$2:$H$2,0),FALSE),"")</f>
        <v>0.64263599999999999</v>
      </c>
      <c r="E84">
        <f>IFERROR(VLOOKUP($C84,'Miljövärden urval för publ'!$B$2:$H$417,MATCH('Miljövärden för publ företag'!E$4,'Miljövärden urval för publ'!$B$2:$H$2,0),FALSE),"")</f>
        <v>225.81</v>
      </c>
      <c r="F84">
        <f>IFERROR(VLOOKUP($C84,'Miljövärden urval för publ'!$B$2:$H$417,MATCH('Miljövärden för publ företag'!F$4,'Miljövärden urval för publ'!$B$2:$H$2,0),FALSE),"")</f>
        <v>25.698599999999999</v>
      </c>
      <c r="G84">
        <f>IFERROR(VLOOKUP($C84,'Miljövärden urval för publ'!$B$2:$H$417,MATCH('Miljövärden för publ företag'!G$4,'Miljövärden urval för publ'!$B$2:$H$2,0),FALSE),"")</f>
        <v>1.52456E-2</v>
      </c>
      <c r="J84">
        <f t="shared" si="6"/>
        <v>31</v>
      </c>
      <c r="M84">
        <v>80</v>
      </c>
      <c r="N84" t="str">
        <f t="shared" si="7"/>
        <v>Nossebro Energi Värme AB</v>
      </c>
      <c r="P84" s="155">
        <f t="shared" si="8"/>
        <v>0</v>
      </c>
      <c r="Q84" s="150" t="str">
        <f t="shared" si="5"/>
        <v/>
      </c>
    </row>
    <row r="85" spans="1:17" x14ac:dyDescent="0.45">
      <c r="A85" s="160">
        <v>82</v>
      </c>
      <c r="B85" s="2" t="str">
        <f>IFERROR(INDEX('Miljövärden urval för publ'!$A$2:$AA$420,MATCH('Miljövärden för publ företag'!$A85,'Miljövärden urval för publ'!$R$2:$R$417,0),1),"")</f>
        <v>Gävle Energi AB</v>
      </c>
      <c r="C85" s="2" t="str">
        <f>IFERROR(INDEX('Miljövärden urval för publ'!$A$2:$AA$420,MATCH('Miljövärden för publ företag'!$A85,'Miljövärden urval för publ'!$R$2:$R$417,0),2),"")</f>
        <v>Gävle</v>
      </c>
      <c r="D85">
        <f>IFERROR(VLOOKUP($C85,'Miljövärden urval för publ'!$B$2:$H$417,MATCH('Miljövärden för publ företag'!D$4,'Miljövärden urval för publ'!$B$2:$H$2,0),FALSE),"")</f>
        <v>1.6029700000000001E-2</v>
      </c>
      <c r="E85">
        <f>IFERROR(VLOOKUP($C85,'Miljövärden urval för publ'!$B$2:$H$417,MATCH('Miljövärden för publ företag'!E$4,'Miljövärden urval för publ'!$B$2:$H$2,0),FALSE),"")</f>
        <v>1.86266</v>
      </c>
      <c r="F85">
        <f>IFERROR(VLOOKUP($C85,'Miljövärden urval för publ'!$B$2:$H$417,MATCH('Miljövärden för publ företag'!F$4,'Miljövärden urval för publ'!$B$2:$H$2,0),FALSE),"")</f>
        <v>2.32917</v>
      </c>
      <c r="G85">
        <f>IFERROR(VLOOKUP($C85,'Miljövärden urval för publ'!$B$2:$H$417,MATCH('Miljövärden för publ företag'!G$4,'Miljövärden urval för publ'!$B$2:$H$2,0),FALSE),"")</f>
        <v>5.6829700000000005E-4</v>
      </c>
      <c r="J85">
        <f t="shared" si="6"/>
        <v>32</v>
      </c>
      <c r="M85">
        <v>81</v>
      </c>
      <c r="N85" t="str">
        <f t="shared" si="7"/>
        <v>Nybro Energi AB</v>
      </c>
      <c r="P85" s="155">
        <f t="shared" si="8"/>
        <v>0</v>
      </c>
      <c r="Q85" s="150" t="str">
        <f t="shared" si="5"/>
        <v/>
      </c>
    </row>
    <row r="86" spans="1:17" x14ac:dyDescent="0.45">
      <c r="A86">
        <v>83</v>
      </c>
      <c r="B86" s="2" t="str">
        <f>IFERROR(INDEX('Miljövärden urval för publ'!$A$2:$AA$420,MATCH('Miljövärden för publ företag'!$A86,'Miljövärden urval för publ'!$R$2:$R$417,0),1),"")</f>
        <v>Göteborg Energi AB</v>
      </c>
      <c r="C86" s="2" t="str">
        <f>IFERROR(INDEX('Miljövärden urval för publ'!$A$2:$AA$420,MATCH('Miljövärden för publ företag'!$A86,'Miljövärden urval för publ'!$R$2:$R$417,0),2),"")</f>
        <v>Göteborg Ale</v>
      </c>
      <c r="D86">
        <f>IFERROR(VLOOKUP($C86,'Miljövärden urval för publ'!$B$2:$H$417,MATCH('Miljövärden för publ företag'!D$4,'Miljövärden urval för publ'!$B$2:$H$2,0),FALSE),"")</f>
        <v>0.23119100000000001</v>
      </c>
      <c r="E86">
        <f>IFERROR(VLOOKUP($C86,'Miljövärden urval för publ'!$B$2:$H$417,MATCH('Miljövärden för publ företag'!E$4,'Miljövärden urval för publ'!$B$2:$H$2,0),FALSE),"")</f>
        <v>66.702799999999996</v>
      </c>
      <c r="F86">
        <f>IFERROR(VLOOKUP($C86,'Miljövärden urval för publ'!$B$2:$H$417,MATCH('Miljövärden för publ företag'!F$4,'Miljövärden urval för publ'!$B$2:$H$2,0),FALSE),"")</f>
        <v>7.9430899999999998</v>
      </c>
      <c r="G86">
        <f>IFERROR(VLOOKUP($C86,'Miljövärden urval för publ'!$B$2:$H$417,MATCH('Miljövärden för publ företag'!G$4,'Miljövärden urval för publ'!$B$2:$H$2,0),FALSE),"")</f>
        <v>0.114955</v>
      </c>
      <c r="J86">
        <f t="shared" si="6"/>
        <v>33</v>
      </c>
      <c r="M86">
        <v>82</v>
      </c>
      <c r="N86" t="str">
        <f t="shared" si="7"/>
        <v>Nässjö Affärsverk AB</v>
      </c>
      <c r="P86" s="155">
        <f t="shared" si="8"/>
        <v>0</v>
      </c>
      <c r="Q86" s="150" t="str">
        <f t="shared" si="5"/>
        <v/>
      </c>
    </row>
    <row r="87" spans="1:17" x14ac:dyDescent="0.45">
      <c r="A87">
        <v>84</v>
      </c>
      <c r="B87" s="2" t="str">
        <f>IFERROR(INDEX('Miljövärden urval för publ'!$A$2:$AA$420,MATCH('Miljövärden för publ företag'!$A87,'Miljövärden urval för publ'!$R$2:$R$417,0),1),"")</f>
        <v>Göteborg Energi AB</v>
      </c>
      <c r="C87" s="2" t="str">
        <f>IFERROR(INDEX('Miljövärden urval för publ'!$A$2:$AA$420,MATCH('Miljövärden för publ företag'!$A87,'Miljövärden urval för publ'!$R$2:$R$417,0),2),"")</f>
        <v>Göteborg Ale Bra Miljöval</v>
      </c>
      <c r="D87">
        <f>IFERROR(VLOOKUP($C87,'Miljövärden urval för publ'!$B$2:$H$417,MATCH('Miljövärden för publ företag'!D$4,'Miljövärden urval för publ'!$B$2:$H$2,0),FALSE),"")</f>
        <v>6.1088900000000002E-2</v>
      </c>
      <c r="E87">
        <f>IFERROR(VLOOKUP($C87,'Miljövärden urval för publ'!$B$2:$H$417,MATCH('Miljövärden för publ företag'!E$4,'Miljövärden urval för publ'!$B$2:$H$2,0),FALSE),"")</f>
        <v>3.37507</v>
      </c>
      <c r="F87">
        <f>IFERROR(VLOOKUP($C87,'Miljövärden urval för publ'!$B$2:$H$417,MATCH('Miljövärden för publ företag'!F$4,'Miljövärden urval för publ'!$B$2:$H$2,0),FALSE),"")</f>
        <v>5.9133800000000001</v>
      </c>
      <c r="G87">
        <f>IFERROR(VLOOKUP($C87,'Miljövärden urval för publ'!$B$2:$H$417,MATCH('Miljövärden för publ företag'!G$4,'Miljövärden urval för publ'!$B$2:$H$2,0),FALSE),"")</f>
        <v>0</v>
      </c>
      <c r="J87">
        <f t="shared" si="6"/>
        <v>33</v>
      </c>
      <c r="M87">
        <v>83</v>
      </c>
      <c r="N87" t="str">
        <f t="shared" si="7"/>
        <v>Olofströms Kraft AB</v>
      </c>
      <c r="P87" s="155">
        <f t="shared" si="8"/>
        <v>0</v>
      </c>
      <c r="Q87" s="150" t="str">
        <f t="shared" si="5"/>
        <v/>
      </c>
    </row>
    <row r="88" spans="1:17" x14ac:dyDescent="0.45">
      <c r="A88" s="160">
        <v>85</v>
      </c>
      <c r="B88" s="2" t="str">
        <f>IFERROR(INDEX('Miljövärden urval för publ'!$A$2:$AA$420,MATCH('Miljövärden för publ företag'!$A88,'Miljövärden urval för publ'!$R$2:$R$417,0),1),"")</f>
        <v>Götene Vatten &amp; Värme AB</v>
      </c>
      <c r="C88" s="2" t="str">
        <f>IFERROR(INDEX('Miljövärden urval för publ'!$A$2:$AA$420,MATCH('Miljövärden för publ företag'!$A88,'Miljövärden urval för publ'!$R$2:$R$417,0),2),"")</f>
        <v>Götene</v>
      </c>
      <c r="D88">
        <f>IFERROR(VLOOKUP($C88,'Miljövärden urval för publ'!$B$2:$H$417,MATCH('Miljövärden för publ företag'!D$4,'Miljövärden urval för publ'!$B$2:$H$2,0),FALSE),"")</f>
        <v>0.123196</v>
      </c>
      <c r="E88">
        <f>IFERROR(VLOOKUP($C88,'Miljövärden urval för publ'!$B$2:$H$417,MATCH('Miljövärden för publ företag'!E$4,'Miljövärden urval för publ'!$B$2:$H$2,0),FALSE),"")</f>
        <v>16.849900000000002</v>
      </c>
      <c r="F88">
        <f>IFERROR(VLOOKUP($C88,'Miljövärden urval för publ'!$B$2:$H$417,MATCH('Miljövärden för publ företag'!F$4,'Miljövärden urval för publ'!$B$2:$H$2,0),FALSE),"")</f>
        <v>9.6179500000000004</v>
      </c>
      <c r="G88">
        <f>IFERROR(VLOOKUP($C88,'Miljövärden urval för publ'!$B$2:$H$417,MATCH('Miljövärden för publ företag'!G$4,'Miljövärden urval för publ'!$B$2:$H$2,0),FALSE),"")</f>
        <v>3.0741999999999998E-2</v>
      </c>
      <c r="J88">
        <f t="shared" si="6"/>
        <v>34</v>
      </c>
      <c r="M88">
        <v>84</v>
      </c>
      <c r="N88" t="str">
        <f t="shared" si="7"/>
        <v>Oskarshamn Energi AB</v>
      </c>
      <c r="P88" s="155">
        <f t="shared" si="8"/>
        <v>0</v>
      </c>
      <c r="Q88" s="150" t="str">
        <f t="shared" si="5"/>
        <v/>
      </c>
    </row>
    <row r="89" spans="1:17" x14ac:dyDescent="0.45">
      <c r="A89">
        <v>86</v>
      </c>
      <c r="B89" s="2" t="str">
        <f>IFERROR(INDEX('Miljövärden urval för publ'!$A$2:$AA$420,MATCH('Miljövärden för publ företag'!$A89,'Miljövärden urval för publ'!$R$2:$R$417,0),1),"")</f>
        <v>Götene Vatten &amp; Värme AB</v>
      </c>
      <c r="C89" s="2" t="str">
        <f>IFERROR(INDEX('Miljövärden urval för publ'!$A$2:$AA$420,MATCH('Miljövärden för publ företag'!$A89,'Miljövärden urval för publ'!$R$2:$R$417,0),2),"")</f>
        <v>Hällekis</v>
      </c>
      <c r="D89">
        <f>IFERROR(VLOOKUP($C89,'Miljövärden urval för publ'!$B$2:$H$417,MATCH('Miljövärden för publ företag'!D$4,'Miljövärden urval för publ'!$B$2:$H$2,0),FALSE),"")</f>
        <v>4.77898E-2</v>
      </c>
      <c r="E89">
        <f>IFERROR(VLOOKUP($C89,'Miljövärden urval för publ'!$B$2:$H$417,MATCH('Miljövärden för publ företag'!E$4,'Miljövärden urval för publ'!$B$2:$H$2,0),FALSE),"")</f>
        <v>3.1671299999999998</v>
      </c>
      <c r="F89">
        <f>IFERROR(VLOOKUP($C89,'Miljövärden urval för publ'!$B$2:$H$417,MATCH('Miljövärden för publ företag'!F$4,'Miljövärden urval för publ'!$B$2:$H$2,0),FALSE),"")</f>
        <v>0.60224900000000003</v>
      </c>
      <c r="G89">
        <f>IFERROR(VLOOKUP($C89,'Miljövärden urval för publ'!$B$2:$H$417,MATCH('Miljövärden för publ företag'!G$4,'Miljövärden urval för publ'!$B$2:$H$2,0),FALSE),"")</f>
        <v>7.7638999999999998E-3</v>
      </c>
      <c r="J89">
        <f t="shared" si="6"/>
        <v>34</v>
      </c>
      <c r="M89">
        <v>85</v>
      </c>
      <c r="N89" t="str">
        <f t="shared" si="7"/>
        <v>Oxelö Energi AB</v>
      </c>
      <c r="P89" s="155">
        <f t="shared" si="8"/>
        <v>0</v>
      </c>
      <c r="Q89" s="150" t="str">
        <f t="shared" si="5"/>
        <v/>
      </c>
    </row>
    <row r="90" spans="1:17" x14ac:dyDescent="0.45">
      <c r="A90">
        <v>87</v>
      </c>
      <c r="B90" s="2" t="str">
        <f>IFERROR(INDEX('Miljövärden urval för publ'!$A$2:$AA$420,MATCH('Miljövärden för publ företag'!$A90,'Miljövärden urval för publ'!$R$2:$R$417,0),1),"")</f>
        <v>Habo Energi AB</v>
      </c>
      <c r="C90" s="2" t="str">
        <f>IFERROR(INDEX('Miljövärden urval för publ'!$A$2:$AA$420,MATCH('Miljövärden för publ företag'!$A90,'Miljövärden urval för publ'!$R$2:$R$417,0),2),"")</f>
        <v>Habo</v>
      </c>
      <c r="D90">
        <f>IFERROR(VLOOKUP($C90,'Miljövärden urval för publ'!$B$2:$H$417,MATCH('Miljövärden för publ företag'!D$4,'Miljövärden urval för publ'!$B$2:$H$2,0),FALSE),"")</f>
        <v>5.6179199999999999E-2</v>
      </c>
      <c r="E90">
        <f>IFERROR(VLOOKUP($C90,'Miljövärden urval för publ'!$B$2:$H$417,MATCH('Miljövärden för publ företag'!E$4,'Miljövärden urval för publ'!$B$2:$H$2,0),FALSE),"")</f>
        <v>5.4952800000000002</v>
      </c>
      <c r="F90">
        <f>IFERROR(VLOOKUP($C90,'Miljövärden urval för publ'!$B$2:$H$417,MATCH('Miljövärden för publ företag'!F$4,'Miljövärden urval för publ'!$B$2:$H$2,0),FALSE),"")</f>
        <v>9.7547200000000007</v>
      </c>
      <c r="G90">
        <f>IFERROR(VLOOKUP($C90,'Miljövärden urval för publ'!$B$2:$H$417,MATCH('Miljövärden för publ företag'!G$4,'Miljövärden urval för publ'!$B$2:$H$2,0),FALSE),"")</f>
        <v>0</v>
      </c>
      <c r="J90">
        <f t="shared" si="6"/>
        <v>35</v>
      </c>
      <c r="M90">
        <v>86</v>
      </c>
      <c r="N90" t="str">
        <f t="shared" si="7"/>
        <v>Pajala Värmeverk AB</v>
      </c>
      <c r="P90" s="155">
        <f t="shared" si="8"/>
        <v>0</v>
      </c>
      <c r="Q90" s="150" t="str">
        <f t="shared" si="5"/>
        <v/>
      </c>
    </row>
    <row r="91" spans="1:17" x14ac:dyDescent="0.45">
      <c r="A91" s="160">
        <v>88</v>
      </c>
      <c r="B91" s="2" t="str">
        <f>IFERROR(INDEX('Miljövärden urval för publ'!$A$2:$AA$420,MATCH('Miljövärden för publ företag'!$A91,'Miljövärden urval för publ'!$R$2:$R$417,0),1),"")</f>
        <v>Hagfors Energi</v>
      </c>
      <c r="C91" s="2" t="str">
        <f>IFERROR(INDEX('Miljövärden urval för publ'!$A$2:$AA$420,MATCH('Miljövärden för publ företag'!$A91,'Miljövärden urval för publ'!$R$2:$R$417,0),2),"")</f>
        <v>Ekshärad</v>
      </c>
      <c r="D91">
        <f>IFERROR(VLOOKUP($C91,'Miljövärden urval för publ'!$B$2:$H$417,MATCH('Miljövärden för publ företag'!D$4,'Miljövärden urval för publ'!$B$2:$H$2,0),FALSE),"")</f>
        <v>0.139928</v>
      </c>
      <c r="E91">
        <f>IFERROR(VLOOKUP($C91,'Miljövärden urval för publ'!$B$2:$H$417,MATCH('Miljövärden för publ företag'!E$4,'Miljövärden urval för publ'!$B$2:$H$2,0),FALSE),"")</f>
        <v>23.945599999999999</v>
      </c>
      <c r="F91">
        <f>IFERROR(VLOOKUP($C91,'Miljövärden urval för publ'!$B$2:$H$417,MATCH('Miljövärden för publ företag'!F$4,'Miljövärden urval för publ'!$B$2:$H$2,0),FALSE),"")</f>
        <v>10.214600000000001</v>
      </c>
      <c r="G91">
        <f>IFERROR(VLOOKUP($C91,'Miljövärden urval för publ'!$B$2:$H$417,MATCH('Miljövärden för publ företag'!G$4,'Miljövärden urval för publ'!$B$2:$H$2,0),FALSE),"")</f>
        <v>3.6455099999999997E-2</v>
      </c>
      <c r="J91">
        <f t="shared" si="6"/>
        <v>36</v>
      </c>
      <c r="M91">
        <v>87</v>
      </c>
      <c r="N91" t="str">
        <f t="shared" si="7"/>
        <v>Partille Energi AB</v>
      </c>
      <c r="P91" s="155">
        <f t="shared" si="8"/>
        <v>0</v>
      </c>
      <c r="Q91" s="150" t="str">
        <f t="shared" si="5"/>
        <v/>
      </c>
    </row>
    <row r="92" spans="1:17" x14ac:dyDescent="0.45">
      <c r="A92">
        <v>89</v>
      </c>
      <c r="B92" s="2" t="str">
        <f>IFERROR(INDEX('Miljövärden urval för publ'!$A$2:$AA$420,MATCH('Miljövärden för publ företag'!$A92,'Miljövärden urval för publ'!$R$2:$R$417,0),1),"")</f>
        <v>Hagfors Energi</v>
      </c>
      <c r="C92" s="2" t="str">
        <f>IFERROR(INDEX('Miljövärden urval för publ'!$A$2:$AA$420,MATCH('Miljövärden för publ företag'!$A92,'Miljövärden urval för publ'!$R$2:$R$417,0),2),"")</f>
        <v>Hagfors</v>
      </c>
      <c r="D92">
        <f>IFERROR(VLOOKUP($C92,'Miljövärden urval för publ'!$B$2:$H$417,MATCH('Miljövärden för publ företag'!D$4,'Miljövärden urval för publ'!$B$2:$H$2,0),FALSE),"")</f>
        <v>0.182617</v>
      </c>
      <c r="E92">
        <f>IFERROR(VLOOKUP($C92,'Miljövärden urval för publ'!$B$2:$H$417,MATCH('Miljövärden för publ företag'!E$4,'Miljövärden urval för publ'!$B$2:$H$2,0),FALSE),"")</f>
        <v>29.8368</v>
      </c>
      <c r="F92">
        <f>IFERROR(VLOOKUP($C92,'Miljövärden urval för publ'!$B$2:$H$417,MATCH('Miljövärden för publ företag'!F$4,'Miljövärden urval för publ'!$B$2:$H$2,0),FALSE),"")</f>
        <v>11.632899999999999</v>
      </c>
      <c r="G92">
        <f>IFERROR(VLOOKUP($C92,'Miljövärden urval för publ'!$B$2:$H$417,MATCH('Miljövärden för publ företag'!G$4,'Miljövärden urval för publ'!$B$2:$H$2,0),FALSE),"")</f>
        <v>8.1342899999999996E-2</v>
      </c>
      <c r="J92">
        <f t="shared" si="6"/>
        <v>36</v>
      </c>
      <c r="M92">
        <v>88</v>
      </c>
      <c r="N92" t="str">
        <f t="shared" si="7"/>
        <v>Perstorps Fjärrvärme AB</v>
      </c>
      <c r="P92" s="155">
        <f t="shared" si="8"/>
        <v>0</v>
      </c>
      <c r="Q92" s="150" t="str">
        <f t="shared" si="5"/>
        <v/>
      </c>
    </row>
    <row r="93" spans="1:17" x14ac:dyDescent="0.45">
      <c r="A93">
        <v>90</v>
      </c>
      <c r="B93" s="2" t="str">
        <f>IFERROR(INDEX('Miljövärden urval för publ'!$A$2:$AA$420,MATCH('Miljövärden för publ företag'!$A93,'Miljövärden urval för publ'!$R$2:$R$417,0),1),"")</f>
        <v>Hagfors Energi</v>
      </c>
      <c r="C93" s="2" t="str">
        <f>IFERROR(INDEX('Miljövärden urval för publ'!$A$2:$AA$420,MATCH('Miljövärden för publ företag'!$A93,'Miljövärden urval för publ'!$R$2:$R$417,0),2),"")</f>
        <v>Sunnemo</v>
      </c>
      <c r="D93">
        <f>IFERROR(VLOOKUP($C93,'Miljövärden urval för publ'!$B$2:$H$417,MATCH('Miljövärden för publ företag'!D$4,'Miljövärden urval för publ'!$B$2:$H$2,0),FALSE),"")</f>
        <v>0.30052200000000001</v>
      </c>
      <c r="E93">
        <f>IFERROR(VLOOKUP($C93,'Miljövärden urval för publ'!$B$2:$H$417,MATCH('Miljövärden för publ företag'!E$4,'Miljövärden urval för publ'!$B$2:$H$2,0),FALSE),"")</f>
        <v>42.832799999999999</v>
      </c>
      <c r="F93">
        <f>IFERROR(VLOOKUP($C93,'Miljövärden urval för publ'!$B$2:$H$417,MATCH('Miljövärden för publ företag'!F$4,'Miljövärden urval för publ'!$B$2:$H$2,0),FALSE),"")</f>
        <v>15.8162</v>
      </c>
      <c r="G93">
        <f>IFERROR(VLOOKUP($C93,'Miljövärden urval för publ'!$B$2:$H$417,MATCH('Miljövärden för publ företag'!G$4,'Miljövärden urval för publ'!$B$2:$H$2,0),FALSE),"")</f>
        <v>0.117297</v>
      </c>
      <c r="J93">
        <f t="shared" si="6"/>
        <v>36</v>
      </c>
      <c r="M93">
        <v>89</v>
      </c>
      <c r="N93" t="str">
        <f t="shared" si="7"/>
        <v>PiteEnergi AB</v>
      </c>
      <c r="P93" s="155">
        <f t="shared" si="8"/>
        <v>0</v>
      </c>
      <c r="Q93" s="150" t="str">
        <f t="shared" si="5"/>
        <v/>
      </c>
    </row>
    <row r="94" spans="1:17" x14ac:dyDescent="0.45">
      <c r="A94" s="160">
        <v>91</v>
      </c>
      <c r="B94" s="2" t="str">
        <f>IFERROR(INDEX('Miljövärden urval för publ'!$A$2:$AA$420,MATCH('Miljövärden för publ företag'!$A94,'Miljövärden urval för publ'!$R$2:$R$417,0),1),"")</f>
        <v>Halmstads Energi och Miljö AB</v>
      </c>
      <c r="C94" s="2" t="str">
        <f>IFERROR(INDEX('Miljövärden urval för publ'!$A$2:$AA$420,MATCH('Miljövärden för publ företag'!$A94,'Miljövärden urval för publ'!$R$2:$R$417,0),2),"")</f>
        <v>Halmstad</v>
      </c>
      <c r="D94">
        <f>IFERROR(VLOOKUP($C94,'Miljövärden urval för publ'!$B$2:$H$417,MATCH('Miljövärden för publ företag'!D$4,'Miljövärden urval för publ'!$B$2:$H$2,0),FALSE),"")</f>
        <v>9.0087299999999995E-2</v>
      </c>
      <c r="E94">
        <f>IFERROR(VLOOKUP($C94,'Miljövärden urval för publ'!$B$2:$H$417,MATCH('Miljövärden för publ företag'!E$4,'Miljövärden urval för publ'!$B$2:$H$2,0),FALSE),"")</f>
        <v>107.09699999999999</v>
      </c>
      <c r="F94">
        <f>IFERROR(VLOOKUP($C94,'Miljövärden urval för publ'!$B$2:$H$417,MATCH('Miljövärden för publ företag'!F$4,'Miljövärden urval för publ'!$B$2:$H$2,0),FALSE),"")</f>
        <v>4.4981</v>
      </c>
      <c r="G94">
        <f>IFERROR(VLOOKUP($C94,'Miljövärden urval för publ'!$B$2:$H$417,MATCH('Miljövärden för publ företag'!G$4,'Miljövärden urval för publ'!$B$2:$H$2,0),FALSE),"")</f>
        <v>0</v>
      </c>
      <c r="J94">
        <f t="shared" si="6"/>
        <v>37</v>
      </c>
      <c r="M94">
        <v>90</v>
      </c>
      <c r="N94" t="str">
        <f t="shared" si="7"/>
        <v>Ronneby Miljö och Teknik AB</v>
      </c>
      <c r="P94" s="155">
        <f t="shared" si="8"/>
        <v>0</v>
      </c>
      <c r="Q94" s="150" t="str">
        <f t="shared" si="5"/>
        <v/>
      </c>
    </row>
    <row r="95" spans="1:17" x14ac:dyDescent="0.45">
      <c r="A95">
        <v>92</v>
      </c>
      <c r="B95" s="2" t="str">
        <f>IFERROR(INDEX('Miljövärden urval för publ'!$A$2:$AA$420,MATCH('Miljövärden för publ företag'!$A95,'Miljövärden urval för publ'!$R$2:$R$417,0),1),"")</f>
        <v>Hammarö Energi AB</v>
      </c>
      <c r="C95" s="2" t="str">
        <f>IFERROR(INDEX('Miljövärden urval för publ'!$A$2:$AA$420,MATCH('Miljövärden för publ företag'!$A95,'Miljövärden urval för publ'!$R$2:$R$417,0),2),"")</f>
        <v>Skoghall</v>
      </c>
      <c r="D95">
        <f>IFERROR(VLOOKUP($C95,'Miljövärden urval för publ'!$B$2:$H$417,MATCH('Miljövärden för publ företag'!D$4,'Miljövärden urval för publ'!$B$2:$H$2,0),FALSE),"")</f>
        <v>0.15926000000000001</v>
      </c>
      <c r="E95">
        <f>IFERROR(VLOOKUP($C95,'Miljövärden urval för publ'!$B$2:$H$417,MATCH('Miljövärden för publ företag'!E$4,'Miljövärden urval för publ'!$B$2:$H$2,0),FALSE),"")</f>
        <v>49.0715</v>
      </c>
      <c r="F95">
        <f>IFERROR(VLOOKUP($C95,'Miljövärden urval för publ'!$B$2:$H$417,MATCH('Miljövärden för publ företag'!F$4,'Miljövärden urval för publ'!$B$2:$H$2,0),FALSE),"")</f>
        <v>7.5907600000000004</v>
      </c>
      <c r="G95">
        <f>IFERROR(VLOOKUP($C95,'Miljövärden urval för publ'!$B$2:$H$417,MATCH('Miljövärden för publ företag'!G$4,'Miljövärden urval för publ'!$B$2:$H$2,0),FALSE),"")</f>
        <v>6.1737399999999996E-3</v>
      </c>
      <c r="J95">
        <f t="shared" si="6"/>
        <v>38</v>
      </c>
      <c r="M95">
        <v>91</v>
      </c>
      <c r="N95" t="str">
        <f t="shared" si="7"/>
        <v>Rättvik Energi AB</v>
      </c>
      <c r="P95" s="155">
        <f t="shared" si="8"/>
        <v>0</v>
      </c>
      <c r="Q95" s="150" t="str">
        <f t="shared" si="5"/>
        <v/>
      </c>
    </row>
    <row r="96" spans="1:17" x14ac:dyDescent="0.45">
      <c r="A96">
        <v>93</v>
      </c>
      <c r="B96" s="2" t="str">
        <f>IFERROR(INDEX('Miljövärden urval för publ'!$A$2:$AA$420,MATCH('Miljövärden för publ företag'!$A96,'Miljövärden urval för publ'!$R$2:$R$417,0),1),"")</f>
        <v>Haparanda Värmeverk AB</v>
      </c>
      <c r="C96" s="2" t="str">
        <f>IFERROR(INDEX('Miljövärden urval för publ'!$A$2:$AA$420,MATCH('Miljövärden för publ företag'!$A96,'Miljövärden urval för publ'!$R$2:$R$417,0),2),"")</f>
        <v>Haparanda Miljö</v>
      </c>
      <c r="D96">
        <f>IFERROR(VLOOKUP($C96,'Miljövärden urval för publ'!$B$2:$H$417,MATCH('Miljövärden för publ företag'!D$4,'Miljövärden urval för publ'!$B$2:$H$2,0),FALSE),"")</f>
        <v>6.9180699999999998E-2</v>
      </c>
      <c r="E96">
        <f>IFERROR(VLOOKUP($C96,'Miljövärden urval för publ'!$B$2:$H$417,MATCH('Miljövärden för publ företag'!E$4,'Miljövärden urval för publ'!$B$2:$H$2,0),FALSE),"")</f>
        <v>4.5280699999999996</v>
      </c>
      <c r="F96">
        <f>IFERROR(VLOOKUP($C96,'Miljövärden urval för publ'!$B$2:$H$417,MATCH('Miljövärden för publ företag'!F$4,'Miljövärden urval för publ'!$B$2:$H$2,0),FALSE),"")</f>
        <v>9.8662899999999993</v>
      </c>
      <c r="G96">
        <f>IFERROR(VLOOKUP($C96,'Miljövärden urval för publ'!$B$2:$H$417,MATCH('Miljövärden för publ företag'!G$4,'Miljövärden urval för publ'!$B$2:$H$2,0),FALSE),"")</f>
        <v>0</v>
      </c>
      <c r="J96">
        <f t="shared" si="6"/>
        <v>39</v>
      </c>
      <c r="M96">
        <v>92</v>
      </c>
      <c r="N96" t="str">
        <f t="shared" si="7"/>
        <v>Sala-Heby Energi AB</v>
      </c>
      <c r="P96" s="155">
        <f t="shared" si="8"/>
        <v>0</v>
      </c>
      <c r="Q96" s="150" t="str">
        <f t="shared" si="5"/>
        <v/>
      </c>
    </row>
    <row r="97" spans="1:17" x14ac:dyDescent="0.45">
      <c r="A97" s="160">
        <v>94</v>
      </c>
      <c r="B97" s="2" t="str">
        <f>IFERROR(INDEX('Miljövärden urval för publ'!$A$2:$AA$420,MATCH('Miljövärden för publ företag'!$A97,'Miljövärden urval för publ'!$R$2:$R$417,0),1),"")</f>
        <v>Haparanda Värmeverk AB</v>
      </c>
      <c r="C97" s="2" t="str">
        <f>IFERROR(INDEX('Miljövärden urval för publ'!$A$2:$AA$420,MATCH('Miljövärden för publ företag'!$A97,'Miljövärden urval för publ'!$R$2:$R$417,0),2),"")</f>
        <v>Haparanda Residual</v>
      </c>
      <c r="D97">
        <f>IFERROR(VLOOKUP($C97,'Miljövärden urval för publ'!$B$2:$H$417,MATCH('Miljövärden för publ företag'!D$4,'Miljövärden urval för publ'!$B$2:$H$2,0),FALSE),"")</f>
        <v>1.4734</v>
      </c>
      <c r="E97">
        <f>IFERROR(VLOOKUP($C97,'Miljövärden urval för publ'!$B$2:$H$417,MATCH('Miljövärden för publ företag'!E$4,'Miljövärden urval för publ'!$B$2:$H$2,0),FALSE),"")</f>
        <v>542.23199999999997</v>
      </c>
      <c r="F97">
        <f>IFERROR(VLOOKUP($C97,'Miljövärden urval för publ'!$B$2:$H$417,MATCH('Miljövärden för publ företag'!F$4,'Miljövärden urval för publ'!$B$2:$H$2,0),FALSE),"")</f>
        <v>54.581400000000002</v>
      </c>
      <c r="G97">
        <f>IFERROR(VLOOKUP($C97,'Miljövärden urval för publ'!$B$2:$H$417,MATCH('Miljövärden för publ företag'!G$4,'Miljövärden urval för publ'!$B$2:$H$2,0),FALSE),"")</f>
        <v>4.4876899999999997E-2</v>
      </c>
      <c r="J97">
        <f t="shared" si="6"/>
        <v>39</v>
      </c>
      <c r="M97">
        <v>93</v>
      </c>
      <c r="N97" t="str">
        <f t="shared" si="7"/>
        <v>Sandviken Energi AB</v>
      </c>
      <c r="P97" s="155">
        <f t="shared" si="8"/>
        <v>0</v>
      </c>
      <c r="Q97" s="150" t="str">
        <f t="shared" si="5"/>
        <v/>
      </c>
    </row>
    <row r="98" spans="1:17" x14ac:dyDescent="0.45">
      <c r="A98">
        <v>95</v>
      </c>
      <c r="B98" s="2" t="str">
        <f>IFERROR(INDEX('Miljövärden urval för publ'!$A$2:$AA$420,MATCH('Miljövärden för publ företag'!$A98,'Miljövärden urval för publ'!$R$2:$R$417,0),1),"")</f>
        <v>Hedemora Energi AB</v>
      </c>
      <c r="C98" s="2" t="str">
        <f>IFERROR(INDEX('Miljövärden urval för publ'!$A$2:$AA$420,MATCH('Miljövärden för publ företag'!$A98,'Miljövärden urval för publ'!$R$2:$R$417,0),2),"")</f>
        <v>Hedemora</v>
      </c>
      <c r="D98">
        <f>IFERROR(VLOOKUP($C98,'Miljövärden urval för publ'!$B$2:$H$417,MATCH('Miljövärden för publ företag'!D$4,'Miljövärden urval för publ'!$B$2:$H$2,0),FALSE),"")</f>
        <v>0.121534</v>
      </c>
      <c r="E98">
        <f>IFERROR(VLOOKUP($C98,'Miljövärden urval för publ'!$B$2:$H$417,MATCH('Miljövärden för publ företag'!E$4,'Miljövärden urval för publ'!$B$2:$H$2,0),FALSE),"")</f>
        <v>15.8735</v>
      </c>
      <c r="F98">
        <f>IFERROR(VLOOKUP($C98,'Miljövärden urval för publ'!$B$2:$H$417,MATCH('Miljövärden för publ företag'!F$4,'Miljövärden urval för publ'!$B$2:$H$2,0),FALSE),"")</f>
        <v>7.2686000000000002</v>
      </c>
      <c r="G98">
        <f>IFERROR(VLOOKUP($C98,'Miljövärden urval för publ'!$B$2:$H$417,MATCH('Miljövärden för publ företag'!G$4,'Miljövärden urval för publ'!$B$2:$H$2,0),FALSE),"")</f>
        <v>1.951E-2</v>
      </c>
      <c r="J98">
        <f t="shared" si="6"/>
        <v>40</v>
      </c>
      <c r="M98">
        <v>94</v>
      </c>
      <c r="N98" t="str">
        <f t="shared" si="7"/>
        <v>SEVAB Strängnäs Energi AB</v>
      </c>
      <c r="P98" s="155">
        <f t="shared" si="8"/>
        <v>0</v>
      </c>
      <c r="Q98" s="150" t="str">
        <f t="shared" si="5"/>
        <v/>
      </c>
    </row>
    <row r="99" spans="1:17" x14ac:dyDescent="0.45">
      <c r="A99">
        <v>96</v>
      </c>
      <c r="B99" s="2" t="str">
        <f>IFERROR(INDEX('Miljövärden urval för publ'!$A$2:$AA$420,MATCH('Miljövärden för publ företag'!$A99,'Miljövärden urval för publ'!$R$2:$R$417,0),1),"")</f>
        <v>Hedemora Energi AB</v>
      </c>
      <c r="C99" s="2" t="str">
        <f>IFERROR(INDEX('Miljövärden urval för publ'!$A$2:$AA$420,MATCH('Miljövärden för publ företag'!$A99,'Miljövärden urval för publ'!$R$2:$R$417,0),2),"")</f>
        <v>Långshyttan</v>
      </c>
      <c r="D99">
        <f>IFERROR(VLOOKUP($C99,'Miljövärden urval för publ'!$B$2:$H$417,MATCH('Miljövärden för publ företag'!D$4,'Miljövärden urval för publ'!$B$2:$H$2,0),FALSE),"")</f>
        <v>9.0032899999999999E-2</v>
      </c>
      <c r="E99">
        <f>IFERROR(VLOOKUP($C99,'Miljövärden urval för publ'!$B$2:$H$417,MATCH('Miljövärden för publ företag'!E$4,'Miljövärden urval för publ'!$B$2:$H$2,0),FALSE),"")</f>
        <v>10.443300000000001</v>
      </c>
      <c r="F99">
        <f>IFERROR(VLOOKUP($C99,'Miljövärden urval för publ'!$B$2:$H$417,MATCH('Miljövärden för publ företag'!F$4,'Miljövärden urval för publ'!$B$2:$H$2,0),FALSE),"")</f>
        <v>9.6006300000000007</v>
      </c>
      <c r="G99">
        <f>IFERROR(VLOOKUP($C99,'Miljövärden urval för publ'!$B$2:$H$417,MATCH('Miljövärden för publ företag'!G$4,'Miljövärden urval för publ'!$B$2:$H$2,0),FALSE),"")</f>
        <v>1.3954599999999999E-2</v>
      </c>
      <c r="J99">
        <f t="shared" si="6"/>
        <v>40</v>
      </c>
      <c r="M99">
        <v>95</v>
      </c>
      <c r="N99" t="str">
        <f t="shared" si="7"/>
        <v>Skara Energi AB</v>
      </c>
      <c r="P99" s="155">
        <f t="shared" si="8"/>
        <v>0</v>
      </c>
      <c r="Q99" s="150" t="str">
        <f t="shared" si="5"/>
        <v/>
      </c>
    </row>
    <row r="100" spans="1:17" x14ac:dyDescent="0.45">
      <c r="A100" s="160">
        <v>97</v>
      </c>
      <c r="B100" s="2" t="str">
        <f>IFERROR(INDEX('Miljövärden urval för publ'!$A$2:$AA$420,MATCH('Miljövärden för publ företag'!$A100,'Miljövärden urval för publ'!$R$2:$R$417,0),1),"")</f>
        <v>Hedemora Energi AB</v>
      </c>
      <c r="C100" s="2" t="str">
        <f>IFERROR(INDEX('Miljövärden urval för publ'!$A$2:$AA$420,MATCH('Miljövärden för publ företag'!$A100,'Miljövärden urval för publ'!$R$2:$R$417,0),2),"")</f>
        <v>St Skedvi</v>
      </c>
      <c r="D100">
        <f>IFERROR(VLOOKUP($C100,'Miljövärden urval för publ'!$B$2:$H$417,MATCH('Miljövärden för publ företag'!D$4,'Miljövärden urval för publ'!$B$2:$H$2,0),FALSE),"")</f>
        <v>8.5339300000000007E-2</v>
      </c>
      <c r="E100">
        <f>IFERROR(VLOOKUP($C100,'Miljövärden urval för publ'!$B$2:$H$417,MATCH('Miljövärden för publ företag'!E$4,'Miljövärden urval för publ'!$B$2:$H$2,0),FALSE),"")</f>
        <v>11.0143</v>
      </c>
      <c r="F100">
        <f>IFERROR(VLOOKUP($C100,'Miljövärden urval för publ'!$B$2:$H$417,MATCH('Miljövärden för publ företag'!F$4,'Miljövärden urval för publ'!$B$2:$H$2,0),FALSE),"")</f>
        <v>8.9383900000000001</v>
      </c>
      <c r="G100">
        <f>IFERROR(VLOOKUP($C100,'Miljövärden urval för publ'!$B$2:$H$417,MATCH('Miljövärden för publ företag'!G$4,'Miljövärden urval för publ'!$B$2:$H$2,0),FALSE),"")</f>
        <v>1.82013E-2</v>
      </c>
      <c r="J100">
        <f t="shared" si="6"/>
        <v>40</v>
      </c>
      <c r="M100">
        <v>96</v>
      </c>
      <c r="N100" t="str">
        <f t="shared" si="7"/>
        <v>Skellefteå Kraft AB</v>
      </c>
      <c r="P100" s="155">
        <f t="shared" si="8"/>
        <v>0</v>
      </c>
      <c r="Q100" s="150" t="str">
        <f t="shared" si="5"/>
        <v/>
      </c>
    </row>
    <row r="101" spans="1:17" x14ac:dyDescent="0.45">
      <c r="A101">
        <v>98</v>
      </c>
      <c r="B101" s="2" t="str">
        <f>IFERROR(INDEX('Miljövärden urval för publ'!$A$2:$AA$420,MATCH('Miljövärden för publ företag'!$A101,'Miljövärden urval för publ'!$R$2:$R$417,0),1),"")</f>
        <v>Hedemora Energi AB</v>
      </c>
      <c r="C101" s="2" t="str">
        <f>IFERROR(INDEX('Miljövärden urval för publ'!$A$2:$AA$420,MATCH('Miljövärden för publ företag'!$A101,'Miljövärden urval för publ'!$R$2:$R$417,0),2),"")</f>
        <v>Säter</v>
      </c>
      <c r="D101">
        <f>IFERROR(VLOOKUP($C101,'Miljövärden urval för publ'!$B$2:$H$417,MATCH('Miljövärden för publ företag'!D$4,'Miljövärden urval för publ'!$B$2:$H$2,0),FALSE),"")</f>
        <v>0.11283600000000001</v>
      </c>
      <c r="E101">
        <f>IFERROR(VLOOKUP($C101,'Miljövärden urval för publ'!$B$2:$H$417,MATCH('Miljövärden för publ företag'!E$4,'Miljövärden urval för publ'!$B$2:$H$2,0),FALSE),"")</f>
        <v>12.3393</v>
      </c>
      <c r="F101">
        <f>IFERROR(VLOOKUP($C101,'Miljövärden urval för publ'!$B$2:$H$417,MATCH('Miljövärden för publ företag'!F$4,'Miljövärden urval för publ'!$B$2:$H$2,0),FALSE),"")</f>
        <v>7.8046199999999999</v>
      </c>
      <c r="G101">
        <f>IFERROR(VLOOKUP($C101,'Miljövärden urval för publ'!$B$2:$H$417,MATCH('Miljövärden för publ företag'!G$4,'Miljövärden urval för publ'!$B$2:$H$2,0),FALSE),"")</f>
        <v>2.5301899999999999E-2</v>
      </c>
      <c r="J101">
        <f t="shared" si="6"/>
        <v>40</v>
      </c>
      <c r="M101">
        <v>97</v>
      </c>
      <c r="N101" t="str">
        <f t="shared" si="7"/>
        <v>Skövde Energi AB</v>
      </c>
      <c r="P101" s="155">
        <f t="shared" si="8"/>
        <v>0</v>
      </c>
      <c r="Q101" s="150" t="str">
        <f t="shared" si="5"/>
        <v/>
      </c>
    </row>
    <row r="102" spans="1:17" x14ac:dyDescent="0.45">
      <c r="A102">
        <v>99</v>
      </c>
      <c r="B102" s="2" t="str">
        <f>IFERROR(INDEX('Miljövärden urval för publ'!$A$2:$AA$420,MATCH('Miljövärden för publ företag'!$A102,'Miljövärden urval för publ'!$R$2:$R$417,0),1),"")</f>
        <v>Hjo Energi AB</v>
      </c>
      <c r="C102" s="2" t="str">
        <f>IFERROR(INDEX('Miljövärden urval för publ'!$A$2:$AA$420,MATCH('Miljövärden för publ företag'!$A102,'Miljövärden urval för publ'!$R$2:$R$417,0),2),"")</f>
        <v>Hjo</v>
      </c>
      <c r="D102">
        <f>IFERROR(VLOOKUP($C102,'Miljövärden urval för publ'!$B$2:$H$417,MATCH('Miljövärden för publ företag'!D$4,'Miljövärden urval för publ'!$B$2:$H$2,0),FALSE),"")</f>
        <v>8.1268300000000002E-2</v>
      </c>
      <c r="E102">
        <f>IFERROR(VLOOKUP($C102,'Miljövärden urval för publ'!$B$2:$H$417,MATCH('Miljövärden för publ företag'!E$4,'Miljövärden urval för publ'!$B$2:$H$2,0),FALSE),"")</f>
        <v>8.4182100000000002</v>
      </c>
      <c r="F102">
        <f>IFERROR(VLOOKUP($C102,'Miljövärden urval för publ'!$B$2:$H$417,MATCH('Miljövärden för publ företag'!F$4,'Miljövärden urval för publ'!$B$2:$H$2,0),FALSE),"")</f>
        <v>9.2304899999999996</v>
      </c>
      <c r="G102">
        <f>IFERROR(VLOOKUP($C102,'Miljövärden urval för publ'!$B$2:$H$417,MATCH('Miljövärden för publ företag'!G$4,'Miljövärden urval för publ'!$B$2:$H$2,0),FALSE),"")</f>
        <v>8.2029400000000006E-3</v>
      </c>
      <c r="J102">
        <f t="shared" si="6"/>
        <v>41</v>
      </c>
      <c r="M102">
        <v>98</v>
      </c>
      <c r="N102" t="str">
        <f t="shared" si="7"/>
        <v>Smedjebacken Energi AB</v>
      </c>
      <c r="P102" s="155">
        <f t="shared" si="8"/>
        <v>0</v>
      </c>
      <c r="Q102" s="150" t="str">
        <f t="shared" si="5"/>
        <v/>
      </c>
    </row>
    <row r="103" spans="1:17" x14ac:dyDescent="0.45">
      <c r="A103" s="160">
        <v>100</v>
      </c>
      <c r="B103" s="2" t="str">
        <f>IFERROR(INDEX('Miljövärden urval för publ'!$A$2:$AA$420,MATCH('Miljövärden för publ företag'!$A103,'Miljövärden urval för publ'!$R$2:$R$417,0),1),"")</f>
        <v>Härnösand Energi &amp; Miljö AB</v>
      </c>
      <c r="C103" s="2" t="str">
        <f>IFERROR(INDEX('Miljövärden urval för publ'!$A$2:$AA$420,MATCH('Miljövärden för publ företag'!$A103,'Miljövärden urval för publ'!$R$2:$R$417,0),2),"")</f>
        <v>Härnösand</v>
      </c>
      <c r="D103">
        <f>IFERROR(VLOOKUP($C103,'Miljövärden urval för publ'!$B$2:$H$417,MATCH('Miljövärden för publ företag'!D$4,'Miljövärden urval för publ'!$B$2:$H$2,0),FALSE),"")</f>
        <v>0.15975500000000001</v>
      </c>
      <c r="E103">
        <f>IFERROR(VLOOKUP($C103,'Miljövärden urval för publ'!$B$2:$H$417,MATCH('Miljövärden för publ företag'!E$4,'Miljövärden urval för publ'!$B$2:$H$2,0),FALSE),"")</f>
        <v>51.645499999999998</v>
      </c>
      <c r="F103">
        <f>IFERROR(VLOOKUP($C103,'Miljövärden urval för publ'!$B$2:$H$417,MATCH('Miljövärden för publ företag'!F$4,'Miljövärden urval för publ'!$B$2:$H$2,0),FALSE),"")</f>
        <v>9.3951700000000002</v>
      </c>
      <c r="G103">
        <f>IFERROR(VLOOKUP($C103,'Miljövärden urval för publ'!$B$2:$H$417,MATCH('Miljövärden för publ företag'!G$4,'Miljövärden urval för publ'!$B$2:$H$2,0),FALSE),"")</f>
        <v>8.58978E-3</v>
      </c>
      <c r="J103">
        <f t="shared" si="6"/>
        <v>42</v>
      </c>
      <c r="M103">
        <v>99</v>
      </c>
      <c r="N103" t="str">
        <f t="shared" si="7"/>
        <v>Sollentuna Energi &amp; Miljö AB</v>
      </c>
      <c r="P103" s="155">
        <f t="shared" si="8"/>
        <v>0</v>
      </c>
      <c r="Q103" s="150" t="str">
        <f t="shared" si="5"/>
        <v/>
      </c>
    </row>
    <row r="104" spans="1:17" x14ac:dyDescent="0.45">
      <c r="A104">
        <v>101</v>
      </c>
      <c r="B104" s="2" t="str">
        <f>IFERROR(INDEX('Miljövärden urval för publ'!$A$2:$AA$420,MATCH('Miljövärden för publ företag'!$A104,'Miljövärden urval för publ'!$R$2:$R$417,0),1),"")</f>
        <v>Hässleholm Miljö AB</v>
      </c>
      <c r="C104" s="2" t="str">
        <f>IFERROR(INDEX('Miljövärden urval för publ'!$A$2:$AA$420,MATCH('Miljövärden för publ företag'!$A104,'Miljövärden urval för publ'!$R$2:$R$417,0),2),"")</f>
        <v>Hässleholm</v>
      </c>
      <c r="D104">
        <f>IFERROR(VLOOKUP($C104,'Miljövärden urval för publ'!$B$2:$H$417,MATCH('Miljövärden för publ företag'!D$4,'Miljövärden urval för publ'!$B$2:$H$2,0),FALSE),"")</f>
        <v>8.7597700000000001E-2</v>
      </c>
      <c r="E104">
        <f>IFERROR(VLOOKUP($C104,'Miljövärden urval för publ'!$B$2:$H$417,MATCH('Miljövärden för publ företag'!E$4,'Miljövärden urval för publ'!$B$2:$H$2,0),FALSE),"")</f>
        <v>88.103899999999996</v>
      </c>
      <c r="F104">
        <f>IFERROR(VLOOKUP($C104,'Miljövärden urval för publ'!$B$2:$H$417,MATCH('Miljövärden för publ företag'!F$4,'Miljövärden urval för publ'!$B$2:$H$2,0),FALSE),"")</f>
        <v>5.4176900000000003</v>
      </c>
      <c r="G104">
        <f>IFERROR(VLOOKUP($C104,'Miljövärden urval för publ'!$B$2:$H$417,MATCH('Miljövärden för publ företag'!G$4,'Miljövärden urval för publ'!$B$2:$H$2,0),FALSE),"")</f>
        <v>0</v>
      </c>
      <c r="J104">
        <f t="shared" si="6"/>
        <v>43</v>
      </c>
      <c r="M104">
        <v>100</v>
      </c>
      <c r="N104" t="str">
        <f t="shared" si="7"/>
        <v>Statkraft Värme AB</v>
      </c>
      <c r="P104" s="155">
        <f t="shared" si="8"/>
        <v>0</v>
      </c>
      <c r="Q104" s="150" t="str">
        <f t="shared" si="5"/>
        <v/>
      </c>
    </row>
    <row r="105" spans="1:17" x14ac:dyDescent="0.45">
      <c r="A105">
        <v>102</v>
      </c>
      <c r="B105" s="2" t="str">
        <f>IFERROR(INDEX('Miljövärden urval för publ'!$A$2:$AA$420,MATCH('Miljövärden för publ företag'!$A105,'Miljövärden urval för publ'!$R$2:$R$417,0),1),"")</f>
        <v>Hässleholm Miljö AB</v>
      </c>
      <c r="C105" s="2" t="str">
        <f>IFERROR(INDEX('Miljövärden urval för publ'!$A$2:$AA$420,MATCH('Miljövärden för publ företag'!$A105,'Miljövärden urval för publ'!$R$2:$R$417,0),2),"")</f>
        <v>Tyringe</v>
      </c>
      <c r="D105">
        <f>IFERROR(VLOOKUP($C105,'Miljövärden urval för publ'!$B$2:$H$417,MATCH('Miljövärden för publ företag'!D$4,'Miljövärden urval för publ'!$B$2:$H$2,0),FALSE),"")</f>
        <v>8.38343E-2</v>
      </c>
      <c r="E105">
        <f>IFERROR(VLOOKUP($C105,'Miljövärden urval för publ'!$B$2:$H$417,MATCH('Miljövärden för publ företag'!E$4,'Miljövärden urval för publ'!$B$2:$H$2,0),FALSE),"")</f>
        <v>5.6291500000000001</v>
      </c>
      <c r="F105">
        <f>IFERROR(VLOOKUP($C105,'Miljövärden urval för publ'!$B$2:$H$417,MATCH('Miljövärden för publ företag'!F$4,'Miljövärden urval för publ'!$B$2:$H$2,0),FALSE),"")</f>
        <v>9.8923100000000002</v>
      </c>
      <c r="G105">
        <f>IFERROR(VLOOKUP($C105,'Miljövärden urval för publ'!$B$2:$H$417,MATCH('Miljövärden för publ företag'!G$4,'Miljövärden urval för publ'!$B$2:$H$2,0),FALSE),"")</f>
        <v>0</v>
      </c>
      <c r="J105">
        <f t="shared" si="6"/>
        <v>43</v>
      </c>
      <c r="M105">
        <v>101</v>
      </c>
      <c r="N105" t="str">
        <f t="shared" si="7"/>
        <v>Stenungsunds Energi och Miljö AB</v>
      </c>
      <c r="P105" s="155">
        <f t="shared" si="8"/>
        <v>0</v>
      </c>
      <c r="Q105" s="150" t="str">
        <f t="shared" si="5"/>
        <v/>
      </c>
    </row>
    <row r="106" spans="1:17" x14ac:dyDescent="0.45">
      <c r="A106" s="160">
        <v>103</v>
      </c>
      <c r="B106" s="2" t="str">
        <f>IFERROR(INDEX('Miljövärden urval för publ'!$A$2:$AA$420,MATCH('Miljövärden för publ företag'!$A106,'Miljövärden urval för publ'!$R$2:$R$417,0),1),"")</f>
        <v>Höganäs Energi AB</v>
      </c>
      <c r="C106" s="2" t="str">
        <f>IFERROR(INDEX('Miljövärden urval för publ'!$A$2:$AA$420,MATCH('Miljövärden för publ företag'!$A106,'Miljövärden urval för publ'!$R$2:$R$417,0),2),"")</f>
        <v>Höganäs</v>
      </c>
      <c r="D106">
        <f>IFERROR(VLOOKUP($C106,'Miljövärden urval för publ'!$B$2:$H$417,MATCH('Miljövärden för publ företag'!D$4,'Miljövärden urval för publ'!$B$2:$H$2,0),FALSE),"")</f>
        <v>1.9837400000000002E-2</v>
      </c>
      <c r="E106">
        <f>IFERROR(VLOOKUP($C106,'Miljövärden urval för publ'!$B$2:$H$417,MATCH('Miljövärden för publ företag'!E$4,'Miljövärden urval för publ'!$B$2:$H$2,0),FALSE),"")</f>
        <v>0.25469000000000003</v>
      </c>
      <c r="F106">
        <f>IFERROR(VLOOKUP($C106,'Miljövärden urval för publ'!$B$2:$H$417,MATCH('Miljövärden för publ företag'!F$4,'Miljövärden urval för publ'!$B$2:$H$2,0),FALSE),"")</f>
        <v>1.0160899999999999</v>
      </c>
      <c r="G106">
        <f>IFERROR(VLOOKUP($C106,'Miljövärden urval för publ'!$B$2:$H$417,MATCH('Miljövärden för publ företag'!G$4,'Miljövärden urval för publ'!$B$2:$H$2,0),FALSE),"")</f>
        <v>2.8925499999999999E-6</v>
      </c>
      <c r="J106">
        <f t="shared" si="6"/>
        <v>44</v>
      </c>
      <c r="M106">
        <v>102</v>
      </c>
      <c r="N106" t="str">
        <f t="shared" si="7"/>
        <v>Stockholm Exergi AB</v>
      </c>
      <c r="P106" s="155">
        <f t="shared" si="8"/>
        <v>0</v>
      </c>
      <c r="Q106" s="150" t="str">
        <f t="shared" si="5"/>
        <v/>
      </c>
    </row>
    <row r="107" spans="1:17" x14ac:dyDescent="0.45">
      <c r="A107">
        <v>104</v>
      </c>
      <c r="B107" s="2" t="str">
        <f>IFERROR(INDEX('Miljövärden urval för publ'!$A$2:$AA$420,MATCH('Miljövärden för publ företag'!$A107,'Miljövärden urval för publ'!$R$2:$R$417,0),1),"")</f>
        <v>Jokkmokks Värmeverk AB</v>
      </c>
      <c r="C107" s="2" t="str">
        <f>IFERROR(INDEX('Miljövärden urval för publ'!$A$2:$AA$420,MATCH('Miljövärden för publ företag'!$A107,'Miljövärden urval för publ'!$R$2:$R$417,0),2),"")</f>
        <v>Jokkmokk</v>
      </c>
      <c r="D107">
        <f>IFERROR(VLOOKUP($C107,'Miljövärden urval för publ'!$B$2:$H$417,MATCH('Miljövärden för publ företag'!D$4,'Miljövärden urval för publ'!$B$2:$H$2,0),FALSE),"")</f>
        <v>0.11052099999999999</v>
      </c>
      <c r="E107">
        <f>IFERROR(VLOOKUP($C107,'Miljövärden urval för publ'!$B$2:$H$417,MATCH('Miljövärden för publ företag'!E$4,'Miljövärden urval för publ'!$B$2:$H$2,0),FALSE),"")</f>
        <v>9.3139000000000003</v>
      </c>
      <c r="F107">
        <f>IFERROR(VLOOKUP($C107,'Miljövärden urval för publ'!$B$2:$H$417,MATCH('Miljövärden för publ företag'!F$4,'Miljövärden urval för publ'!$B$2:$H$2,0),FALSE),"")</f>
        <v>10.6411</v>
      </c>
      <c r="G107">
        <f>IFERROR(VLOOKUP($C107,'Miljövärden urval för publ'!$B$2:$H$417,MATCH('Miljövärden för publ företag'!G$4,'Miljövärden urval för publ'!$B$2:$H$2,0),FALSE),"")</f>
        <v>1.1936199999999999E-2</v>
      </c>
      <c r="J107">
        <f t="shared" si="6"/>
        <v>45</v>
      </c>
      <c r="M107">
        <v>103</v>
      </c>
      <c r="N107" t="str">
        <f t="shared" si="7"/>
        <v>Sundsvall Energi AB</v>
      </c>
      <c r="P107" s="155">
        <f t="shared" si="8"/>
        <v>0</v>
      </c>
      <c r="Q107" s="150" t="str">
        <f t="shared" si="5"/>
        <v/>
      </c>
    </row>
    <row r="108" spans="1:17" x14ac:dyDescent="0.45">
      <c r="A108">
        <v>105</v>
      </c>
      <c r="B108" s="2" t="str">
        <f>IFERROR(INDEX('Miljövärden urval för publ'!$A$2:$AA$420,MATCH('Miljövärden för publ företag'!$A108,'Miljövärden urval för publ'!$R$2:$R$417,0),1),"")</f>
        <v>Jämtkraft AB</v>
      </c>
      <c r="C108" s="2" t="str">
        <f>IFERROR(INDEX('Miljövärden urval för publ'!$A$2:$AA$420,MATCH('Miljövärden för publ företag'!$A108,'Miljövärden urval för publ'!$R$2:$R$417,0),2),"")</f>
        <v>Krokom</v>
      </c>
      <c r="D108">
        <f>IFERROR(VLOOKUP($C108,'Miljövärden urval för publ'!$B$2:$H$417,MATCH('Miljövärden för publ företag'!D$4,'Miljövärden urval för publ'!$B$2:$H$2,0),FALSE),"")</f>
        <v>0.123557</v>
      </c>
      <c r="E108">
        <f>IFERROR(VLOOKUP($C108,'Miljövärden urval för publ'!$B$2:$H$417,MATCH('Miljövärden för publ företag'!E$4,'Miljövärden urval för publ'!$B$2:$H$2,0),FALSE),"")</f>
        <v>6.5609099999999998</v>
      </c>
      <c r="F108">
        <f>IFERROR(VLOOKUP($C108,'Miljövärden urval för publ'!$B$2:$H$417,MATCH('Miljövärden för publ företag'!F$4,'Miljövärden urval för publ'!$B$2:$H$2,0),FALSE),"")</f>
        <v>12.4091</v>
      </c>
      <c r="G108">
        <f>IFERROR(VLOOKUP($C108,'Miljövärden urval för publ'!$B$2:$H$417,MATCH('Miljövärden för publ företag'!G$4,'Miljövärden urval för publ'!$B$2:$H$2,0),FALSE),"")</f>
        <v>3.13408E-3</v>
      </c>
      <c r="J108">
        <f t="shared" si="6"/>
        <v>46</v>
      </c>
      <c r="M108">
        <v>104</v>
      </c>
      <c r="N108" t="str">
        <f t="shared" si="7"/>
        <v>Söderhamn Nära AB</v>
      </c>
      <c r="P108" s="155">
        <f t="shared" si="8"/>
        <v>0</v>
      </c>
      <c r="Q108" s="150" t="str">
        <f t="shared" si="5"/>
        <v/>
      </c>
    </row>
    <row r="109" spans="1:17" x14ac:dyDescent="0.45">
      <c r="A109" s="160">
        <v>106</v>
      </c>
      <c r="B109" s="2" t="str">
        <f>IFERROR(INDEX('Miljövärden urval för publ'!$A$2:$AA$420,MATCH('Miljövärden för publ företag'!$A109,'Miljövärden urval för publ'!$R$2:$R$417,0),1),"")</f>
        <v>Jämtkraft AB</v>
      </c>
      <c r="C109" s="2" t="str">
        <f>IFERROR(INDEX('Miljövärden urval för publ'!$A$2:$AA$420,MATCH('Miljövärden för publ företag'!$A109,'Miljövärden urval för publ'!$R$2:$R$417,0),2),"")</f>
        <v>Åre</v>
      </c>
      <c r="D109">
        <f>IFERROR(VLOOKUP($C109,'Miljövärden urval för publ'!$B$2:$H$417,MATCH('Miljövärden för publ företag'!D$4,'Miljövärden urval för publ'!$B$2:$H$2,0),FALSE),"")</f>
        <v>9.1511899999999993E-2</v>
      </c>
      <c r="E109">
        <f>IFERROR(VLOOKUP($C109,'Miljövärden urval för publ'!$B$2:$H$417,MATCH('Miljövärden för publ företag'!E$4,'Miljövärden urval för publ'!$B$2:$H$2,0),FALSE),"")</f>
        <v>6.4403199999999998</v>
      </c>
      <c r="F109">
        <f>IFERROR(VLOOKUP($C109,'Miljövärden urval för publ'!$B$2:$H$417,MATCH('Miljövärden för publ företag'!F$4,'Miljövärden urval för publ'!$B$2:$H$2,0),FALSE),"")</f>
        <v>11.061</v>
      </c>
      <c r="G109">
        <f>IFERROR(VLOOKUP($C109,'Miljövärden urval för publ'!$B$2:$H$417,MATCH('Miljövärden för publ företag'!G$4,'Miljövärden urval för publ'!$B$2:$H$2,0),FALSE),"")</f>
        <v>2.2650999999999999E-3</v>
      </c>
      <c r="J109">
        <f t="shared" si="6"/>
        <v>46</v>
      </c>
      <c r="M109">
        <v>105</v>
      </c>
      <c r="N109" t="str">
        <f t="shared" si="7"/>
        <v>Södertörns Fjärrvärme AB</v>
      </c>
      <c r="P109" s="155">
        <f t="shared" si="8"/>
        <v>0</v>
      </c>
      <c r="Q109" s="150" t="str">
        <f t="shared" si="5"/>
        <v/>
      </c>
    </row>
    <row r="110" spans="1:17" x14ac:dyDescent="0.45">
      <c r="A110">
        <v>107</v>
      </c>
      <c r="B110" s="2" t="str">
        <f>IFERROR(INDEX('Miljövärden urval för publ'!$A$2:$AA$420,MATCH('Miljövärden för publ företag'!$A110,'Miljövärden urval för publ'!$R$2:$R$417,0),1),"")</f>
        <v>Jämtkraft AB</v>
      </c>
      <c r="C110" s="2" t="str">
        <f>IFERROR(INDEX('Miljövärden urval för publ'!$A$2:$AA$420,MATCH('Miljövärden för publ företag'!$A110,'Miljövärden urval för publ'!$R$2:$R$417,0),2),"")</f>
        <v>Östersund</v>
      </c>
      <c r="D110">
        <f>IFERROR(VLOOKUP($C110,'Miljövärden urval för publ'!$B$2:$H$417,MATCH('Miljövärden för publ företag'!D$4,'Miljövärden urval för publ'!$B$2:$H$2,0),FALSE),"")</f>
        <v>8.8670499999999999E-2</v>
      </c>
      <c r="E110">
        <f>IFERROR(VLOOKUP($C110,'Miljövärden urval för publ'!$B$2:$H$417,MATCH('Miljövärden för publ företag'!E$4,'Miljövärden urval för publ'!$B$2:$H$2,0),FALSE),"")</f>
        <v>16.424800000000001</v>
      </c>
      <c r="F110">
        <f>IFERROR(VLOOKUP($C110,'Miljövärden urval för publ'!$B$2:$H$417,MATCH('Miljövärden för publ företag'!F$4,'Miljövärden urval för publ'!$B$2:$H$2,0),FALSE),"")</f>
        <v>5.8941600000000003</v>
      </c>
      <c r="G110">
        <f>IFERROR(VLOOKUP($C110,'Miljövärden urval för publ'!$B$2:$H$417,MATCH('Miljövärden för publ företag'!G$4,'Miljövärden urval för publ'!$B$2:$H$2,0),FALSE),"")</f>
        <v>1.9775700000000001E-3</v>
      </c>
      <c r="J110">
        <f t="shared" si="6"/>
        <v>46</v>
      </c>
      <c r="M110">
        <v>106</v>
      </c>
      <c r="N110" t="str">
        <f t="shared" si="7"/>
        <v xml:space="preserve">Sölvesborgs Energi och Vatten AB  </v>
      </c>
      <c r="P110" s="155">
        <f t="shared" si="8"/>
        <v>0</v>
      </c>
      <c r="Q110" s="150" t="str">
        <f t="shared" si="5"/>
        <v/>
      </c>
    </row>
    <row r="111" spans="1:17" x14ac:dyDescent="0.45">
      <c r="A111">
        <v>108</v>
      </c>
      <c r="B111" s="2" t="str">
        <f>IFERROR(INDEX('Miljövärden urval för publ'!$A$2:$AA$420,MATCH('Miljövärden för publ företag'!$A111,'Miljövärden urval för publ'!$R$2:$R$417,0),1),"")</f>
        <v>Jämtkraft AB</v>
      </c>
      <c r="C111" s="2" t="str">
        <f>IFERROR(INDEX('Miljövärden urval för publ'!$A$2:$AA$420,MATCH('Miljövärden för publ företag'!$A111,'Miljövärden urval för publ'!$R$2:$R$417,0),2),"")</f>
        <v>Östersund Produktspecifik</v>
      </c>
      <c r="D111">
        <f>IFERROR(VLOOKUP($C111,'Miljövärden urval för publ'!$B$2:$H$417,MATCH('Miljövärden för publ företag'!D$4,'Miljövärden urval för publ'!$B$2:$H$2,0),FALSE),"")</f>
        <v>2.8805999999999998E-2</v>
      </c>
      <c r="E111">
        <f>IFERROR(VLOOKUP($C111,'Miljövärden urval för publ'!$B$2:$H$417,MATCH('Miljövärden för publ företag'!E$4,'Miljövärden urval för publ'!$B$2:$H$2,0),FALSE),"")</f>
        <v>0</v>
      </c>
      <c r="F111">
        <f>IFERROR(VLOOKUP($C111,'Miljövärden urval för publ'!$B$2:$H$417,MATCH('Miljövärden för publ företag'!F$4,'Miljövärden urval för publ'!$B$2:$H$2,0),FALSE),"")</f>
        <v>0</v>
      </c>
      <c r="G111">
        <f>IFERROR(VLOOKUP($C111,'Miljövärden urval för publ'!$B$2:$H$417,MATCH('Miljövärden för publ företag'!G$4,'Miljövärden urval för publ'!$B$2:$H$2,0),FALSE),"")</f>
        <v>0</v>
      </c>
      <c r="J111">
        <f t="shared" si="6"/>
        <v>46</v>
      </c>
      <c r="M111">
        <v>107</v>
      </c>
      <c r="N111" t="str">
        <f t="shared" si="7"/>
        <v>Tekniska Verken i Linköping AB</v>
      </c>
      <c r="P111" s="155">
        <f t="shared" si="8"/>
        <v>0</v>
      </c>
      <c r="Q111" s="150" t="str">
        <f t="shared" si="5"/>
        <v/>
      </c>
    </row>
    <row r="112" spans="1:17" x14ac:dyDescent="0.45">
      <c r="A112" s="160">
        <v>109</v>
      </c>
      <c r="B112" s="2" t="str">
        <f>IFERROR(INDEX('Miljövärden urval för publ'!$A$2:$AA$420,MATCH('Miljövärden för publ företag'!$A112,'Miljövärden urval för publ'!$R$2:$R$417,0),1),"")</f>
        <v>Jämtlands Värme AB</v>
      </c>
      <c r="C112" s="2" t="str">
        <f>IFERROR(INDEX('Miljövärden urval för publ'!$A$2:$AA$420,MATCH('Miljövärden för publ företag'!$A112,'Miljövärden urval för publ'!$R$2:$R$417,0),2),"")</f>
        <v>Strömsund</v>
      </c>
      <c r="D112">
        <f>IFERROR(VLOOKUP($C112,'Miljövärden urval för publ'!$B$2:$H$417,MATCH('Miljövärden för publ företag'!D$4,'Miljövärden urval för publ'!$B$2:$H$2,0),FALSE),"")</f>
        <v>0.12773200000000001</v>
      </c>
      <c r="E112">
        <f>IFERROR(VLOOKUP($C112,'Miljövärden urval för publ'!$B$2:$H$417,MATCH('Miljövärden för publ företag'!E$4,'Miljövärden urval för publ'!$B$2:$H$2,0),FALSE),"")</f>
        <v>14.814399999999999</v>
      </c>
      <c r="F112">
        <f>IFERROR(VLOOKUP($C112,'Miljövärden urval för publ'!$B$2:$H$417,MATCH('Miljövärden för publ företag'!F$4,'Miljövärden urval för publ'!$B$2:$H$2,0),FALSE),"")</f>
        <v>10.567299999999999</v>
      </c>
      <c r="G112">
        <f>IFERROR(VLOOKUP($C112,'Miljövärden urval för publ'!$B$2:$H$417,MATCH('Miljövärden för publ företag'!G$4,'Miljövärden urval för publ'!$B$2:$H$2,0),FALSE),"")</f>
        <v>1.2519799999999999E-2</v>
      </c>
      <c r="J112">
        <f t="shared" si="6"/>
        <v>47</v>
      </c>
      <c r="M112">
        <v>108</v>
      </c>
      <c r="N112" t="str">
        <f t="shared" si="7"/>
        <v>Telge Nät AB</v>
      </c>
      <c r="P112" s="155">
        <f t="shared" si="8"/>
        <v>0</v>
      </c>
      <c r="Q112" s="150" t="str">
        <f t="shared" si="5"/>
        <v/>
      </c>
    </row>
    <row r="113" spans="1:17" x14ac:dyDescent="0.45">
      <c r="A113">
        <v>110</v>
      </c>
      <c r="B113" s="2" t="str">
        <f>IFERROR(INDEX('Miljövärden urval för publ'!$A$2:$AA$420,MATCH('Miljövärden för publ företag'!$A113,'Miljövärden urval för publ'!$R$2:$R$417,0),1),"")</f>
        <v>Jönköping Energi AB</v>
      </c>
      <c r="C113" s="2" t="str">
        <f>IFERROR(INDEX('Miljövärden urval för publ'!$A$2:$AA$420,MATCH('Miljövärden för publ företag'!$A113,'Miljövärden urval för publ'!$R$2:$R$417,0),2),"")</f>
        <v>Gränna</v>
      </c>
      <c r="D113">
        <f>IFERROR(VLOOKUP($C113,'Miljövärden urval för publ'!$B$2:$H$417,MATCH('Miljövärden för publ företag'!D$4,'Miljövärden urval för publ'!$B$2:$H$2,0),FALSE),"")</f>
        <v>0.111611</v>
      </c>
      <c r="E113">
        <f>IFERROR(VLOOKUP($C113,'Miljövärden urval för publ'!$B$2:$H$417,MATCH('Miljövärden för publ företag'!E$4,'Miljövärden urval för publ'!$B$2:$H$2,0),FALSE),"")</f>
        <v>9.0844000000000005</v>
      </c>
      <c r="F113">
        <f>IFERROR(VLOOKUP($C113,'Miljövärden urval för publ'!$B$2:$H$417,MATCH('Miljövärden för publ företag'!F$4,'Miljövärden urval för publ'!$B$2:$H$2,0),FALSE),"")</f>
        <v>9.0383600000000008</v>
      </c>
      <c r="G113">
        <f>IFERROR(VLOOKUP($C113,'Miljövärden urval för publ'!$B$2:$H$417,MATCH('Miljövärden för publ företag'!G$4,'Miljövärden urval för publ'!$B$2:$H$2,0),FALSE),"")</f>
        <v>1.0344799999999999E-2</v>
      </c>
      <c r="J113">
        <f t="shared" si="6"/>
        <v>48</v>
      </c>
      <c r="M113">
        <v>109</v>
      </c>
      <c r="N113" t="str">
        <f t="shared" si="7"/>
        <v>Tidaholms Energi AB</v>
      </c>
      <c r="P113" s="155">
        <f t="shared" si="8"/>
        <v>0</v>
      </c>
      <c r="Q113" s="150" t="str">
        <f t="shared" si="5"/>
        <v/>
      </c>
    </row>
    <row r="114" spans="1:17" x14ac:dyDescent="0.45">
      <c r="A114">
        <v>111</v>
      </c>
      <c r="B114" s="2" t="str">
        <f>IFERROR(INDEX('Miljövärden urval för publ'!$A$2:$AA$420,MATCH('Miljövärden för publ företag'!$A114,'Miljövärden urval för publ'!$R$2:$R$417,0),1),"")</f>
        <v>Jönköping Energi AB</v>
      </c>
      <c r="C114" s="2" t="str">
        <f>IFERROR(INDEX('Miljövärden urval för publ'!$A$2:$AA$420,MATCH('Miljövärden för publ företag'!$A114,'Miljövärden urval för publ'!$R$2:$R$417,0),2),"")</f>
        <v>Jönköping</v>
      </c>
      <c r="D114">
        <f>IFERROR(VLOOKUP($C114,'Miljövärden urval för publ'!$B$2:$H$417,MATCH('Miljövärden för publ företag'!D$4,'Miljövärden urval för publ'!$B$2:$H$2,0),FALSE),"")</f>
        <v>0.131276</v>
      </c>
      <c r="E114">
        <f>IFERROR(VLOOKUP($C114,'Miljövärden urval för publ'!$B$2:$H$417,MATCH('Miljövärden för publ företag'!E$4,'Miljövärden urval för publ'!$B$2:$H$2,0),FALSE),"")</f>
        <v>56.921900000000001</v>
      </c>
      <c r="F114">
        <f>IFERROR(VLOOKUP($C114,'Miljövärden urval för publ'!$B$2:$H$417,MATCH('Miljövärden för publ företag'!F$4,'Miljövärden urval för publ'!$B$2:$H$2,0),FALSE),"")</f>
        <v>4.6407400000000001</v>
      </c>
      <c r="G114">
        <f>IFERROR(VLOOKUP($C114,'Miljövärden urval för publ'!$B$2:$H$417,MATCH('Miljövärden för publ företag'!G$4,'Miljövärden urval för publ'!$B$2:$H$2,0),FALSE),"")</f>
        <v>2.4362600000000002E-2</v>
      </c>
      <c r="J114">
        <f t="shared" si="6"/>
        <v>48</v>
      </c>
      <c r="M114">
        <v>110</v>
      </c>
      <c r="N114" t="str">
        <f t="shared" si="7"/>
        <v>Tierps Fjärrvärme AB</v>
      </c>
      <c r="P114" s="155">
        <f t="shared" si="8"/>
        <v>0</v>
      </c>
      <c r="Q114" s="150" t="str">
        <f t="shared" si="5"/>
        <v/>
      </c>
    </row>
    <row r="115" spans="1:17" x14ac:dyDescent="0.45">
      <c r="A115" s="160">
        <v>112</v>
      </c>
      <c r="B115" s="2" t="str">
        <f>IFERROR(INDEX('Miljövärden urval för publ'!$A$2:$AA$420,MATCH('Miljövärden för publ företag'!$A115,'Miljövärden urval för publ'!$R$2:$R$417,0),1),"")</f>
        <v>Jönköping Energi AB</v>
      </c>
      <c r="C115" s="2" t="str">
        <f>IFERROR(INDEX('Miljövärden urval för publ'!$A$2:$AA$420,MATCH('Miljövärden för publ företag'!$A115,'Miljövärden urval för publ'!$R$2:$R$417,0),2),"")</f>
        <v>Stigamo</v>
      </c>
      <c r="D115">
        <f>IFERROR(VLOOKUP($C115,'Miljövärden urval för publ'!$B$2:$H$417,MATCH('Miljövärden för publ företag'!D$4,'Miljövärden urval för publ'!$B$2:$H$2,0),FALSE),"")</f>
        <v>0.19362299999999999</v>
      </c>
      <c r="E115">
        <f>IFERROR(VLOOKUP($C115,'Miljövärden urval för publ'!$B$2:$H$417,MATCH('Miljövärden för publ företag'!E$4,'Miljövärden urval för publ'!$B$2:$H$2,0),FALSE),"")</f>
        <v>9.6376799999999996</v>
      </c>
      <c r="F115">
        <f>IFERROR(VLOOKUP($C115,'Miljövärden urval för publ'!$B$2:$H$417,MATCH('Miljövärden för publ företag'!F$4,'Miljövärden urval för publ'!$B$2:$H$2,0),FALSE),"")</f>
        <v>18.157900000000001</v>
      </c>
      <c r="G115">
        <f>IFERROR(VLOOKUP($C115,'Miljövärden urval för publ'!$B$2:$H$417,MATCH('Miljövärden för publ företag'!G$4,'Miljövärden urval för publ'!$B$2:$H$2,0),FALSE),"")</f>
        <v>1.2987E-2</v>
      </c>
      <c r="J115">
        <f t="shared" si="6"/>
        <v>48</v>
      </c>
      <c r="M115">
        <v>111</v>
      </c>
      <c r="N115" t="str">
        <f t="shared" si="7"/>
        <v>Torsås fjärrvärmenät AB</v>
      </c>
      <c r="P115" s="155">
        <f t="shared" si="8"/>
        <v>0</v>
      </c>
      <c r="Q115" s="150" t="str">
        <f t="shared" si="5"/>
        <v/>
      </c>
    </row>
    <row r="116" spans="1:17" x14ac:dyDescent="0.45">
      <c r="A116">
        <v>113</v>
      </c>
      <c r="B116" s="2" t="str">
        <f>IFERROR(INDEX('Miljövärden urval för publ'!$A$2:$AA$420,MATCH('Miljövärden för publ företag'!$A116,'Miljövärden urval för publ'!$R$2:$R$417,0),1),"")</f>
        <v>Kalmar Energi Värme AB</v>
      </c>
      <c r="C116" s="2" t="str">
        <f>IFERROR(INDEX('Miljövärden urval för publ'!$A$2:$AA$420,MATCH('Miljövärden för publ företag'!$A116,'Miljövärden urval för publ'!$R$2:$R$417,0),2),"")</f>
        <v>Kalmar</v>
      </c>
      <c r="D116">
        <f>IFERROR(VLOOKUP($C116,'Miljövärden urval för publ'!$B$2:$H$417,MATCH('Miljövärden för publ företag'!D$4,'Miljövärden urval för publ'!$B$2:$H$2,0),FALSE),"")</f>
        <v>0.10427500000000001</v>
      </c>
      <c r="E116">
        <f>IFERROR(VLOOKUP($C116,'Miljövärden urval för publ'!$B$2:$H$417,MATCH('Miljövärden för publ företag'!E$4,'Miljövärden urval för publ'!$B$2:$H$2,0),FALSE),"")</f>
        <v>7.0238399999999999</v>
      </c>
      <c r="F116">
        <f>IFERROR(VLOOKUP($C116,'Miljövärden urval för publ'!$B$2:$H$417,MATCH('Miljövärden för publ företag'!F$4,'Miljövärden urval för publ'!$B$2:$H$2,0),FALSE),"")</f>
        <v>6.9589499999999997</v>
      </c>
      <c r="G116">
        <f>IFERROR(VLOOKUP($C116,'Miljövärden urval för publ'!$B$2:$H$417,MATCH('Miljövärden för publ företag'!G$4,'Miljövärden urval för publ'!$B$2:$H$2,0),FALSE),"")</f>
        <v>1.29584E-2</v>
      </c>
      <c r="J116">
        <f t="shared" si="6"/>
        <v>49</v>
      </c>
      <c r="M116">
        <v>112</v>
      </c>
      <c r="N116" t="str">
        <f t="shared" si="7"/>
        <v>Tranås Energi AB</v>
      </c>
      <c r="P116" s="155">
        <f t="shared" si="8"/>
        <v>0</v>
      </c>
      <c r="Q116" s="150" t="str">
        <f t="shared" si="5"/>
        <v/>
      </c>
    </row>
    <row r="117" spans="1:17" x14ac:dyDescent="0.45">
      <c r="A117">
        <v>114</v>
      </c>
      <c r="B117" s="2" t="str">
        <f>IFERROR(INDEX('Miljövärden urval för publ'!$A$2:$AA$420,MATCH('Miljövärden för publ företag'!$A117,'Miljövärden urval för publ'!$R$2:$R$417,0),1),"")</f>
        <v>Karlsborgs Värme AB</v>
      </c>
      <c r="C117" s="2" t="str">
        <f>IFERROR(INDEX('Miljövärden urval för publ'!$A$2:$AA$420,MATCH('Miljövärden för publ företag'!$A117,'Miljövärden urval för publ'!$R$2:$R$417,0),2),"")</f>
        <v>Karlsborg</v>
      </c>
      <c r="D117">
        <f>IFERROR(VLOOKUP($C117,'Miljövärden urval för publ'!$B$2:$H$417,MATCH('Miljövärden för publ företag'!D$4,'Miljövärden urval för publ'!$B$2:$H$2,0),FALSE),"")</f>
        <v>0.140676</v>
      </c>
      <c r="E117">
        <f>IFERROR(VLOOKUP($C117,'Miljövärden urval för publ'!$B$2:$H$417,MATCH('Miljövärden för publ företag'!E$4,'Miljövärden urval för publ'!$B$2:$H$2,0),FALSE),"")</f>
        <v>21.696999999999999</v>
      </c>
      <c r="F117">
        <f>IFERROR(VLOOKUP($C117,'Miljövärden urval för publ'!$B$2:$H$417,MATCH('Miljövärden för publ företag'!F$4,'Miljövärden urval för publ'!$B$2:$H$2,0),FALSE),"")</f>
        <v>9.0973000000000006</v>
      </c>
      <c r="G117">
        <f>IFERROR(VLOOKUP($C117,'Miljövärden urval för publ'!$B$2:$H$417,MATCH('Miljövärden för publ företag'!G$4,'Miljövärden urval för publ'!$B$2:$H$2,0),FALSE),"")</f>
        <v>3.6477900000000001E-2</v>
      </c>
      <c r="J117">
        <f t="shared" si="6"/>
        <v>50</v>
      </c>
      <c r="M117">
        <v>113</v>
      </c>
      <c r="N117" t="str">
        <f t="shared" si="7"/>
        <v>Trelleborgs Fjärrvärme AB</v>
      </c>
      <c r="P117" s="155">
        <f t="shared" si="8"/>
        <v>0</v>
      </c>
      <c r="Q117" s="150" t="str">
        <f t="shared" si="5"/>
        <v/>
      </c>
    </row>
    <row r="118" spans="1:17" x14ac:dyDescent="0.45">
      <c r="A118" s="160">
        <v>115</v>
      </c>
      <c r="B118" s="2" t="str">
        <f>IFERROR(INDEX('Miljövärden urval för publ'!$A$2:$AA$420,MATCH('Miljövärden för publ företag'!$A118,'Miljövärden urval för publ'!$R$2:$R$417,0),1),"")</f>
        <v>Karlshamn Energi AB</v>
      </c>
      <c r="C118" s="2" t="str">
        <f>IFERROR(INDEX('Miljövärden urval för publ'!$A$2:$AA$420,MATCH('Miljövärden för publ företag'!$A118,'Miljövärden urval för publ'!$R$2:$R$417,0),2),"")</f>
        <v>Karlshamn</v>
      </c>
      <c r="D118">
        <f>IFERROR(VLOOKUP($C118,'Miljövärden urval för publ'!$B$2:$H$417,MATCH('Miljövärden för publ företag'!D$4,'Miljövärden urval för publ'!$B$2:$H$2,0),FALSE),"")</f>
        <v>8.4213900000000008E-3</v>
      </c>
      <c r="E118">
        <f>IFERROR(VLOOKUP($C118,'Miljövärden urval för publ'!$B$2:$H$417,MATCH('Miljövärden för publ företag'!E$4,'Miljövärden urval för publ'!$B$2:$H$2,0),FALSE),"")</f>
        <v>0.60836500000000004</v>
      </c>
      <c r="F118">
        <f>IFERROR(VLOOKUP($C118,'Miljövärden urval för publ'!$B$2:$H$417,MATCH('Miljövärden för publ företag'!F$4,'Miljövärden urval för publ'!$B$2:$H$2,0),FALSE),"")</f>
        <v>0.47080100000000003</v>
      </c>
      <c r="G118">
        <f>IFERROR(VLOOKUP($C118,'Miljövärden urval för publ'!$B$2:$H$417,MATCH('Miljövärden för publ företag'!G$4,'Miljövärden urval för publ'!$B$2:$H$2,0),FALSE),"")</f>
        <v>1.6567400000000001E-3</v>
      </c>
      <c r="J118">
        <f t="shared" si="6"/>
        <v>51</v>
      </c>
      <c r="M118">
        <v>114</v>
      </c>
      <c r="N118" t="str">
        <f t="shared" si="7"/>
        <v>Trollhättan Energi AB</v>
      </c>
      <c r="P118" s="155">
        <f t="shared" si="8"/>
        <v>0</v>
      </c>
      <c r="Q118" s="150" t="str">
        <f t="shared" si="5"/>
        <v/>
      </c>
    </row>
    <row r="119" spans="1:17" x14ac:dyDescent="0.45">
      <c r="A119">
        <v>116</v>
      </c>
      <c r="B119" s="2" t="str">
        <f>IFERROR(INDEX('Miljövärden urval för publ'!$A$2:$AA$420,MATCH('Miljövärden för publ företag'!$A119,'Miljövärden urval för publ'!$R$2:$R$417,0),1),"")</f>
        <v>Karlskoga Kraftvärmeverk AB</v>
      </c>
      <c r="C119" s="2" t="str">
        <f>IFERROR(INDEX('Miljövärden urval för publ'!$A$2:$AA$420,MATCH('Miljövärden för publ företag'!$A119,'Miljövärden urval för publ'!$R$2:$R$417,0),2),"")</f>
        <v>Karlskoga</v>
      </c>
      <c r="D119">
        <f>IFERROR(VLOOKUP($C119,'Miljövärden urval för publ'!$B$2:$H$417,MATCH('Miljövärden för publ företag'!D$4,'Miljövärden urval för publ'!$B$2:$H$2,0),FALSE),"")</f>
        <v>0.290215</v>
      </c>
      <c r="E119">
        <f>IFERROR(VLOOKUP($C119,'Miljövärden urval för publ'!$B$2:$H$417,MATCH('Miljövärden för publ företag'!E$4,'Miljövärden urval för publ'!$B$2:$H$2,0),FALSE),"")</f>
        <v>104.07299999999999</v>
      </c>
      <c r="F119">
        <f>IFERROR(VLOOKUP($C119,'Miljövärden urval för publ'!$B$2:$H$417,MATCH('Miljövärden för publ företag'!F$4,'Miljövärden urval för publ'!$B$2:$H$2,0),FALSE),"")</f>
        <v>9.6360899999999994</v>
      </c>
      <c r="G119">
        <f>IFERROR(VLOOKUP($C119,'Miljövärden urval för publ'!$B$2:$H$417,MATCH('Miljövärden för publ företag'!G$4,'Miljövärden urval för publ'!$B$2:$H$2,0),FALSE),"")</f>
        <v>3.6522399999999997E-2</v>
      </c>
      <c r="J119">
        <f t="shared" si="6"/>
        <v>52</v>
      </c>
      <c r="M119">
        <v>115</v>
      </c>
      <c r="N119" t="str">
        <f t="shared" si="7"/>
        <v>Uddevalla Energi AB</v>
      </c>
      <c r="P119" s="155">
        <f t="shared" si="8"/>
        <v>0</v>
      </c>
      <c r="Q119" s="150" t="str">
        <f t="shared" si="5"/>
        <v/>
      </c>
    </row>
    <row r="120" spans="1:17" x14ac:dyDescent="0.45">
      <c r="A120">
        <v>117</v>
      </c>
      <c r="B120" s="2" t="str">
        <f>IFERROR(INDEX('Miljövärden urval för publ'!$A$2:$AA$420,MATCH('Miljövärden för publ företag'!$A120,'Miljövärden urval för publ'!$R$2:$R$417,0),1),"")</f>
        <v>Karlstads Energi AB</v>
      </c>
      <c r="C120" s="2" t="str">
        <f>IFERROR(INDEX('Miljövärden urval för publ'!$A$2:$AA$420,MATCH('Miljövärden för publ företag'!$A120,'Miljövärden urval för publ'!$R$2:$R$417,0),2),"")</f>
        <v>Karlstad</v>
      </c>
      <c r="D120">
        <f>IFERROR(VLOOKUP($C120,'Miljövärden urval för publ'!$B$2:$H$417,MATCH('Miljövärden för publ företag'!D$4,'Miljövärden urval för publ'!$B$2:$H$2,0),FALSE),"")</f>
        <v>9.1387899999999994E-2</v>
      </c>
      <c r="E120">
        <f>IFERROR(VLOOKUP($C120,'Miljövärden urval för publ'!$B$2:$H$417,MATCH('Miljövärden för publ företag'!E$4,'Miljövärden urval för publ'!$B$2:$H$2,0),FALSE),"")</f>
        <v>39.746299999999998</v>
      </c>
      <c r="F120">
        <f>IFERROR(VLOOKUP($C120,'Miljövärden urval för publ'!$B$2:$H$417,MATCH('Miljövärden för publ företag'!F$4,'Miljövärden urval för publ'!$B$2:$H$2,0),FALSE),"")</f>
        <v>5.1852600000000004</v>
      </c>
      <c r="G120">
        <f>IFERROR(VLOOKUP($C120,'Miljövärden urval för publ'!$B$2:$H$417,MATCH('Miljövärden för publ företag'!G$4,'Miljövärden urval för publ'!$B$2:$H$2,0),FALSE),"")</f>
        <v>7.3903900000000002E-3</v>
      </c>
      <c r="J120">
        <f t="shared" si="6"/>
        <v>53</v>
      </c>
      <c r="M120">
        <v>116</v>
      </c>
      <c r="N120" t="str">
        <f t="shared" si="7"/>
        <v>Ulricehamns Energi AB</v>
      </c>
      <c r="P120" s="155">
        <f t="shared" si="8"/>
        <v>0</v>
      </c>
      <c r="Q120" s="150" t="str">
        <f t="shared" si="5"/>
        <v/>
      </c>
    </row>
    <row r="121" spans="1:17" x14ac:dyDescent="0.45">
      <c r="A121" s="160">
        <v>118</v>
      </c>
      <c r="B121" s="2" t="str">
        <f>IFERROR(INDEX('Miljövärden urval för publ'!$A$2:$AA$420,MATCH('Miljövärden för publ företag'!$A121,'Miljövärden urval för publ'!$R$2:$R$417,0),1),"")</f>
        <v>Kils Energi AB</v>
      </c>
      <c r="C121" s="2" t="str">
        <f>IFERROR(INDEX('Miljövärden urval för publ'!$A$2:$AA$420,MATCH('Miljövärden för publ företag'!$A121,'Miljövärden urval för publ'!$R$2:$R$417,0),2),"")</f>
        <v>Kil</v>
      </c>
      <c r="D121">
        <f>IFERROR(VLOOKUP($C121,'Miljövärden urval för publ'!$B$2:$H$417,MATCH('Miljövärden för publ företag'!D$4,'Miljövärden urval för publ'!$B$2:$H$2,0),FALSE),"")</f>
        <v>0.156939</v>
      </c>
      <c r="E121">
        <f>IFERROR(VLOOKUP($C121,'Miljövärden urval för publ'!$B$2:$H$417,MATCH('Miljövärden för publ företag'!E$4,'Miljövärden urval för publ'!$B$2:$H$2,0),FALSE),"")</f>
        <v>6.38591</v>
      </c>
      <c r="F121">
        <f>IFERROR(VLOOKUP($C121,'Miljövärden urval för publ'!$B$2:$H$417,MATCH('Miljövärden för publ företag'!F$4,'Miljövärden urval för publ'!$B$2:$H$2,0),FALSE),"")</f>
        <v>4.7751799999999998</v>
      </c>
      <c r="G121">
        <f>IFERROR(VLOOKUP($C121,'Miljövärden urval för publ'!$B$2:$H$417,MATCH('Miljövärden för publ företag'!G$4,'Miljövärden urval för publ'!$B$2:$H$2,0),FALSE),"")</f>
        <v>3.6732499999999999E-3</v>
      </c>
      <c r="J121">
        <f t="shared" si="6"/>
        <v>54</v>
      </c>
      <c r="M121">
        <v>117</v>
      </c>
      <c r="N121" t="str">
        <f t="shared" si="7"/>
        <v>Umeå Energi AB</v>
      </c>
      <c r="P121" s="155">
        <f t="shared" si="8"/>
        <v>0</v>
      </c>
      <c r="Q121" s="150" t="str">
        <f t="shared" si="5"/>
        <v/>
      </c>
    </row>
    <row r="122" spans="1:17" x14ac:dyDescent="0.45">
      <c r="A122">
        <v>119</v>
      </c>
      <c r="B122" s="2" t="str">
        <f>IFERROR(INDEX('Miljövärden urval för publ'!$A$2:$AA$420,MATCH('Miljövärden för publ företag'!$A122,'Miljövärden urval för publ'!$R$2:$R$417,0),1),"")</f>
        <v>Kiruna Kraft AB</v>
      </c>
      <c r="C122" s="2" t="str">
        <f>IFERROR(INDEX('Miljövärden urval för publ'!$A$2:$AA$420,MATCH('Miljövärden för publ företag'!$A122,'Miljövärden urval för publ'!$R$2:$R$417,0),2),"")</f>
        <v>Kiruna C</v>
      </c>
      <c r="D122">
        <f>IFERROR(VLOOKUP($C122,'Miljövärden urval för publ'!$B$2:$H$417,MATCH('Miljövärden för publ företag'!D$4,'Miljövärden urval för publ'!$B$2:$H$2,0),FALSE),"")</f>
        <v>0.17883299999999999</v>
      </c>
      <c r="E122">
        <f>IFERROR(VLOOKUP($C122,'Miljövärden urval för publ'!$B$2:$H$417,MATCH('Miljövärden för publ företag'!E$4,'Miljövärden urval för publ'!$B$2:$H$2,0),FALSE),"")</f>
        <v>108.93899999999999</v>
      </c>
      <c r="F122">
        <f>IFERROR(VLOOKUP($C122,'Miljövärden urval för publ'!$B$2:$H$417,MATCH('Miljövärden för publ företag'!F$4,'Miljövärden urval för publ'!$B$2:$H$2,0),FALSE),"")</f>
        <v>5.1144100000000003</v>
      </c>
      <c r="G122">
        <f>IFERROR(VLOOKUP($C122,'Miljövärden urval för publ'!$B$2:$H$417,MATCH('Miljövärden för publ företag'!G$4,'Miljövärden urval för publ'!$B$2:$H$2,0),FALSE),"")</f>
        <v>5.6596300000000002E-2</v>
      </c>
      <c r="J122">
        <f t="shared" si="6"/>
        <v>55</v>
      </c>
      <c r="M122">
        <v>118</v>
      </c>
      <c r="N122" t="str">
        <f t="shared" si="7"/>
        <v>Vaggeryds Energi AB</v>
      </c>
      <c r="P122" s="155">
        <f t="shared" si="8"/>
        <v>0</v>
      </c>
      <c r="Q122" s="150" t="str">
        <f t="shared" si="5"/>
        <v/>
      </c>
    </row>
    <row r="123" spans="1:17" x14ac:dyDescent="0.45">
      <c r="A123">
        <v>120</v>
      </c>
      <c r="B123" s="2" t="str">
        <f>IFERROR(INDEX('Miljövärden urval för publ'!$A$2:$AA$420,MATCH('Miljövärden för publ företag'!$A123,'Miljövärden urval för publ'!$R$2:$R$417,0),1),"")</f>
        <v>Kiruna Kraft AB</v>
      </c>
      <c r="C123" s="2" t="str">
        <f>IFERROR(INDEX('Miljövärden urval för publ'!$A$2:$AA$420,MATCH('Miljövärden för publ företag'!$A123,'Miljövärden urval för publ'!$R$2:$R$417,0),2),"")</f>
        <v>Vittangi</v>
      </c>
      <c r="D123">
        <f>IFERROR(VLOOKUP($C123,'Miljövärden urval för publ'!$B$2:$H$417,MATCH('Miljövärden för publ företag'!D$4,'Miljövärden urval för publ'!$B$2:$H$2,0),FALSE),"")</f>
        <v>0.345275</v>
      </c>
      <c r="E123">
        <f>IFERROR(VLOOKUP($C123,'Miljövärden urval för publ'!$B$2:$H$417,MATCH('Miljövärden för publ företag'!E$4,'Miljövärden urval för publ'!$B$2:$H$2,0),FALSE),"")</f>
        <v>52.1952</v>
      </c>
      <c r="F123">
        <f>IFERROR(VLOOKUP($C123,'Miljövärden urval för publ'!$B$2:$H$417,MATCH('Miljövärden för publ företag'!F$4,'Miljövärden urval för publ'!$B$2:$H$2,0),FALSE),"")</f>
        <v>13.795400000000001</v>
      </c>
      <c r="G123">
        <f>IFERROR(VLOOKUP($C123,'Miljövärden urval för publ'!$B$2:$H$417,MATCH('Miljövärden för publ företag'!G$4,'Miljövärden urval för publ'!$B$2:$H$2,0),FALSE),"")</f>
        <v>0.10211000000000001</v>
      </c>
      <c r="J123">
        <f t="shared" si="6"/>
        <v>55</v>
      </c>
      <c r="M123">
        <v>119</v>
      </c>
      <c r="N123" t="str">
        <f t="shared" si="7"/>
        <v>Vara Energi Värme AB</v>
      </c>
      <c r="P123" s="155">
        <f t="shared" si="8"/>
        <v>0</v>
      </c>
      <c r="Q123" s="150" t="str">
        <f t="shared" si="5"/>
        <v/>
      </c>
    </row>
    <row r="124" spans="1:17" x14ac:dyDescent="0.45">
      <c r="A124" s="160">
        <v>121</v>
      </c>
      <c r="B124" s="2" t="str">
        <f>IFERROR(INDEX('Miljövärden urval för publ'!$A$2:$AA$420,MATCH('Miljövärden för publ företag'!$A124,'Miljövärden urval för publ'!$R$2:$R$417,0),1),"")</f>
        <v>Kraftringen Energi AB (publ)</v>
      </c>
      <c r="C124" s="2" t="str">
        <f>IFERROR(INDEX('Miljövärden urval för publ'!$A$2:$AA$420,MATCH('Miljövärden för publ företag'!$A124,'Miljövärden urval för publ'!$R$2:$R$417,0),2),"")</f>
        <v>Eslöv-Lund-Lomma m fl</v>
      </c>
      <c r="D124">
        <f>IFERROR(VLOOKUP($C124,'Miljövärden urval för publ'!$B$2:$H$417,MATCH('Miljövärden för publ företag'!D$4,'Miljövärden urval för publ'!$B$2:$H$2,0),FALSE),"")</f>
        <v>0.24697</v>
      </c>
      <c r="E124">
        <f>IFERROR(VLOOKUP($C124,'Miljövärden urval för publ'!$B$2:$H$417,MATCH('Miljövärden för publ företag'!E$4,'Miljövärden urval för publ'!$B$2:$H$2,0),FALSE),"")</f>
        <v>5.4438599999999999</v>
      </c>
      <c r="F124">
        <f>IFERROR(VLOOKUP($C124,'Miljövärden urval för publ'!$B$2:$H$417,MATCH('Miljövärden för publ företag'!F$4,'Miljövärden urval för publ'!$B$2:$H$2,0),FALSE),"")</f>
        <v>3.7704800000000001</v>
      </c>
      <c r="G124">
        <f>IFERROR(VLOOKUP($C124,'Miljövärden urval för publ'!$B$2:$H$417,MATCH('Miljövärden för publ företag'!G$4,'Miljövärden urval för publ'!$B$2:$H$2,0),FALSE),"")</f>
        <v>0</v>
      </c>
      <c r="J124">
        <f t="shared" si="6"/>
        <v>56</v>
      </c>
      <c r="M124">
        <v>120</v>
      </c>
      <c r="N124" t="str">
        <f t="shared" si="7"/>
        <v>Varberg Energi AB</v>
      </c>
      <c r="P124" s="155">
        <f t="shared" si="8"/>
        <v>0</v>
      </c>
      <c r="Q124" s="150" t="str">
        <f t="shared" si="5"/>
        <v/>
      </c>
    </row>
    <row r="125" spans="1:17" x14ac:dyDescent="0.45">
      <c r="A125">
        <v>122</v>
      </c>
      <c r="B125" s="2" t="str">
        <f>IFERROR(INDEX('Miljövärden urval för publ'!$A$2:$AA$420,MATCH('Miljövärden för publ företag'!$A125,'Miljövärden urval för publ'!$R$2:$R$417,0),1),"")</f>
        <v>Kraftringen Energi AB (publ)</v>
      </c>
      <c r="C125" s="2" t="str">
        <f>IFERROR(INDEX('Miljövärden urval för publ'!$A$2:$AA$420,MATCH('Miljövärden för publ företag'!$A125,'Miljövärden urval för publ'!$R$2:$R$417,0),2),"")</f>
        <v>Klippan-Ljungbyhed-Östra Ljungby</v>
      </c>
      <c r="D125">
        <f>IFERROR(VLOOKUP($C125,'Miljövärden urval för publ'!$B$2:$H$417,MATCH('Miljövärden för publ företag'!D$4,'Miljövärden urval för publ'!$B$2:$H$2,0),FALSE),"")</f>
        <v>0.14330899999999999</v>
      </c>
      <c r="E125">
        <f>IFERROR(VLOOKUP($C125,'Miljövärden urval för publ'!$B$2:$H$417,MATCH('Miljövärden för publ företag'!E$4,'Miljövärden urval för publ'!$B$2:$H$2,0),FALSE),"")</f>
        <v>4.5735700000000001</v>
      </c>
      <c r="F125">
        <f>IFERROR(VLOOKUP($C125,'Miljövärden urval för publ'!$B$2:$H$417,MATCH('Miljövärden för publ företag'!F$4,'Miljövärden urval för publ'!$B$2:$H$2,0),FALSE),"")</f>
        <v>11.2441</v>
      </c>
      <c r="G125">
        <f>IFERROR(VLOOKUP($C125,'Miljövärden urval för publ'!$B$2:$H$417,MATCH('Miljövärden för publ företag'!G$4,'Miljövärden urval för publ'!$B$2:$H$2,0),FALSE),"")</f>
        <v>0</v>
      </c>
      <c r="J125">
        <f t="shared" si="6"/>
        <v>56</v>
      </c>
      <c r="M125">
        <v>121</v>
      </c>
      <c r="N125" t="str">
        <f t="shared" si="7"/>
        <v>Vasa Värme Holding AB</v>
      </c>
      <c r="P125" s="155">
        <f t="shared" si="8"/>
        <v>0</v>
      </c>
      <c r="Q125" s="150" t="str">
        <f t="shared" si="5"/>
        <v/>
      </c>
    </row>
    <row r="126" spans="1:17" x14ac:dyDescent="0.45">
      <c r="A126">
        <v>123</v>
      </c>
      <c r="B126" s="2" t="str">
        <f>IFERROR(INDEX('Miljövärden urval för publ'!$A$2:$AA$420,MATCH('Miljövärden för publ företag'!$A126,'Miljövärden urval för publ'!$R$2:$R$417,0),1),"")</f>
        <v>Kungälv Energi AB</v>
      </c>
      <c r="C126" s="2" t="str">
        <f>IFERROR(INDEX('Miljövärden urval för publ'!$A$2:$AA$420,MATCH('Miljövärden för publ företag'!$A126,'Miljövärden urval för publ'!$R$2:$R$417,0),2),"")</f>
        <v>HVC Kode</v>
      </c>
      <c r="D126">
        <f>IFERROR(VLOOKUP($C126,'Miljövärden urval för publ'!$B$2:$H$417,MATCH('Miljövärden för publ företag'!D$4,'Miljövärden urval för publ'!$B$2:$H$2,0),FALSE),"")</f>
        <v>0.29650199999999999</v>
      </c>
      <c r="E126">
        <f>IFERROR(VLOOKUP($C126,'Miljövärden urval för publ'!$B$2:$H$417,MATCH('Miljövärden för publ företag'!E$4,'Miljövärden urval för publ'!$B$2:$H$2,0),FALSE),"")</f>
        <v>43.240200000000002</v>
      </c>
      <c r="F126">
        <f>IFERROR(VLOOKUP($C126,'Miljövärden urval för publ'!$B$2:$H$417,MATCH('Miljövärden för publ företag'!F$4,'Miljövärden urval för publ'!$B$2:$H$2,0),FALSE),"")</f>
        <v>17.495899999999999</v>
      </c>
      <c r="G126">
        <f>IFERROR(VLOOKUP($C126,'Miljövärden urval för publ'!$B$2:$H$417,MATCH('Miljövärden för publ företag'!G$4,'Miljövärden urval för publ'!$B$2:$H$2,0),FALSE),"")</f>
        <v>0.123172</v>
      </c>
      <c r="J126">
        <f t="shared" si="6"/>
        <v>57</v>
      </c>
      <c r="M126">
        <v>122</v>
      </c>
      <c r="N126" t="str">
        <f t="shared" si="7"/>
        <v>Vattenfall AB</v>
      </c>
      <c r="P126" s="155">
        <f t="shared" si="8"/>
        <v>0</v>
      </c>
      <c r="Q126" s="150" t="str">
        <f t="shared" si="5"/>
        <v/>
      </c>
    </row>
    <row r="127" spans="1:17" x14ac:dyDescent="0.45">
      <c r="A127" s="160">
        <v>124</v>
      </c>
      <c r="B127" s="2" t="str">
        <f>IFERROR(INDEX('Miljövärden urval för publ'!$A$2:$AA$420,MATCH('Miljövärden för publ företag'!$A127,'Miljövärden urval för publ'!$R$2:$R$417,0),1),"")</f>
        <v>Kungälv Energi AB</v>
      </c>
      <c r="C127" s="2" t="str">
        <f>IFERROR(INDEX('Miljövärden urval för publ'!$A$2:$AA$420,MATCH('Miljövärden för publ företag'!$A127,'Miljövärden urval för publ'!$R$2:$R$417,0),2),"")</f>
        <v>HVC Kärna</v>
      </c>
      <c r="D127">
        <f>IFERROR(VLOOKUP($C127,'Miljövärden urval för publ'!$B$2:$H$417,MATCH('Miljövärden för publ företag'!D$4,'Miljövärden urval för publ'!$B$2:$H$2,0),FALSE),"")</f>
        <v>0.225494</v>
      </c>
      <c r="E127">
        <f>IFERROR(VLOOKUP($C127,'Miljövärden urval för publ'!$B$2:$H$417,MATCH('Miljövärden för publ företag'!E$4,'Miljövärden urval för publ'!$B$2:$H$2,0),FALSE),"")</f>
        <v>23.189900000000002</v>
      </c>
      <c r="F127">
        <f>IFERROR(VLOOKUP($C127,'Miljövärden urval för publ'!$B$2:$H$417,MATCH('Miljövärden för publ företag'!F$4,'Miljövärden urval för publ'!$B$2:$H$2,0),FALSE),"")</f>
        <v>17.2578</v>
      </c>
      <c r="G127">
        <f>IFERROR(VLOOKUP($C127,'Miljövärden urval för publ'!$B$2:$H$417,MATCH('Miljövärden för publ företag'!G$4,'Miljövärden urval för publ'!$B$2:$H$2,0),FALSE),"")</f>
        <v>5.7416300000000003E-2</v>
      </c>
      <c r="J127">
        <f t="shared" si="6"/>
        <v>57</v>
      </c>
      <c r="M127">
        <v>123</v>
      </c>
      <c r="N127" t="str">
        <f t="shared" si="7"/>
        <v>Vimmerby Energi &amp; Miljö AB</v>
      </c>
      <c r="P127" s="155">
        <f t="shared" si="8"/>
        <v>0</v>
      </c>
      <c r="Q127" s="150" t="str">
        <f t="shared" si="5"/>
        <v/>
      </c>
    </row>
    <row r="128" spans="1:17" x14ac:dyDescent="0.45">
      <c r="A128">
        <v>125</v>
      </c>
      <c r="B128" s="2" t="str">
        <f>IFERROR(INDEX('Miljövärden urval för publ'!$A$2:$AA$420,MATCH('Miljövärden för publ företag'!$A128,'Miljövärden urval för publ'!$R$2:$R$417,0),1),"")</f>
        <v>Kungälv Energi AB</v>
      </c>
      <c r="C128" s="2" t="str">
        <f>IFERROR(INDEX('Miljövärden urval för publ'!$A$2:$AA$420,MATCH('Miljövärden för publ företag'!$A128,'Miljövärden urval för publ'!$R$2:$R$417,0),2),"")</f>
        <v>HVC Stålkullen</v>
      </c>
      <c r="D128">
        <f>IFERROR(VLOOKUP($C128,'Miljövärden urval för publ'!$B$2:$H$417,MATCH('Miljövärden för publ företag'!D$4,'Miljövärden urval för publ'!$B$2:$H$2,0),FALSE),"")</f>
        <v>0.177263</v>
      </c>
      <c r="E128">
        <f>IFERROR(VLOOKUP($C128,'Miljövärden urval för publ'!$B$2:$H$417,MATCH('Miljövärden för publ företag'!E$4,'Miljövärden urval för publ'!$B$2:$H$2,0),FALSE),"")</f>
        <v>9.8415700000000008</v>
      </c>
      <c r="F128">
        <f>IFERROR(VLOOKUP($C128,'Miljövärden urval för publ'!$B$2:$H$417,MATCH('Miljövärden för publ företag'!F$4,'Miljövärden urval för publ'!$B$2:$H$2,0),FALSE),"")</f>
        <v>17.5624</v>
      </c>
      <c r="G128">
        <f>IFERROR(VLOOKUP($C128,'Miljövärden urval för publ'!$B$2:$H$417,MATCH('Miljövärden för publ företag'!G$4,'Miljövärden urval för publ'!$B$2:$H$2,0),FALSE),"")</f>
        <v>1.4582700000000001E-2</v>
      </c>
      <c r="J128">
        <f t="shared" si="6"/>
        <v>57</v>
      </c>
      <c r="M128">
        <v>124</v>
      </c>
      <c r="N128" t="str">
        <f t="shared" si="7"/>
        <v>VänerEnergi AB</v>
      </c>
      <c r="P128" s="155">
        <f t="shared" si="8"/>
        <v>0</v>
      </c>
      <c r="Q128" s="150" t="str">
        <f t="shared" si="5"/>
        <v/>
      </c>
    </row>
    <row r="129" spans="1:17" x14ac:dyDescent="0.45">
      <c r="A129">
        <v>126</v>
      </c>
      <c r="B129" s="2" t="str">
        <f>IFERROR(INDEX('Miljövärden urval för publ'!$A$2:$AA$420,MATCH('Miljövärden för publ företag'!$A129,'Miljövärden urval för publ'!$R$2:$R$417,0),1),"")</f>
        <v>Kungälv Energi AB</v>
      </c>
      <c r="C129" s="2" t="str">
        <f>IFERROR(INDEX('Miljövärden urval för publ'!$A$2:$AA$420,MATCH('Miljövärden för publ företag'!$A129,'Miljövärden urval för publ'!$R$2:$R$417,0),2),"")</f>
        <v>Kungälv</v>
      </c>
      <c r="D129">
        <f>IFERROR(VLOOKUP($C129,'Miljövärden urval för publ'!$B$2:$H$417,MATCH('Miljövärden för publ företag'!D$4,'Miljövärden urval för publ'!$B$2:$H$2,0),FALSE),"")</f>
        <v>9.8244799999999993E-2</v>
      </c>
      <c r="E129">
        <f>IFERROR(VLOOKUP($C129,'Miljövärden urval för publ'!$B$2:$H$417,MATCH('Miljövärden för publ företag'!E$4,'Miljövärden urval för publ'!$B$2:$H$2,0),FALSE),"")</f>
        <v>21.082899999999999</v>
      </c>
      <c r="F129">
        <f>IFERROR(VLOOKUP($C129,'Miljövärden urval för publ'!$B$2:$H$417,MATCH('Miljövärden för publ företag'!F$4,'Miljövärden urval för publ'!$B$2:$H$2,0),FALSE),"")</f>
        <v>9.8586399999999994</v>
      </c>
      <c r="G129">
        <f>IFERROR(VLOOKUP($C129,'Miljövärden urval för publ'!$B$2:$H$417,MATCH('Miljövärden för publ företag'!G$4,'Miljövärden urval för publ'!$B$2:$H$2,0),FALSE),"")</f>
        <v>1.8906099999999999E-2</v>
      </c>
      <c r="J129">
        <f t="shared" si="6"/>
        <v>57</v>
      </c>
      <c r="M129">
        <v>125</v>
      </c>
      <c r="N129" t="str">
        <f t="shared" si="7"/>
        <v>Värmevärden AB</v>
      </c>
      <c r="P129" s="155">
        <f t="shared" si="8"/>
        <v>0</v>
      </c>
      <c r="Q129" s="150" t="str">
        <f t="shared" si="5"/>
        <v/>
      </c>
    </row>
    <row r="130" spans="1:17" x14ac:dyDescent="0.45">
      <c r="A130" s="160">
        <v>127</v>
      </c>
      <c r="B130" s="2" t="str">
        <f>IFERROR(INDEX('Miljövärden urval för publ'!$A$2:$AA$420,MATCH('Miljövärden för publ företag'!$A130,'Miljövärden urval för publ'!$R$2:$R$417,0),1),"")</f>
        <v>Landskrona Energi AB</v>
      </c>
      <c r="C130" s="2" t="str">
        <f>IFERROR(INDEX('Miljövärden urval för publ'!$A$2:$AA$420,MATCH('Miljövärden för publ företag'!$A130,'Miljövärden urval för publ'!$R$2:$R$417,0),2),"")</f>
        <v>Landskrona</v>
      </c>
      <c r="D130">
        <f>IFERROR(VLOOKUP($C130,'Miljövärden urval för publ'!$B$2:$H$417,MATCH('Miljövärden för publ företag'!D$4,'Miljövärden urval för publ'!$B$2:$H$2,0),FALSE),"")</f>
        <v>0.12531900000000001</v>
      </c>
      <c r="E130">
        <f>IFERROR(VLOOKUP($C130,'Miljövärden urval för publ'!$B$2:$H$417,MATCH('Miljövärden för publ företag'!E$4,'Miljövärden urval för publ'!$B$2:$H$2,0),FALSE),"")</f>
        <v>101.54900000000001</v>
      </c>
      <c r="F130">
        <f>IFERROR(VLOOKUP($C130,'Miljövärden urval för publ'!$B$2:$H$417,MATCH('Miljövärden för publ företag'!F$4,'Miljövärden urval för publ'!$B$2:$H$2,0),FALSE),"")</f>
        <v>4.4488500000000002</v>
      </c>
      <c r="G130">
        <f>IFERROR(VLOOKUP($C130,'Miljövärden urval för publ'!$B$2:$H$417,MATCH('Miljövärden för publ företag'!G$4,'Miljövärden urval för publ'!$B$2:$H$2,0),FALSE),"")</f>
        <v>6.8107100000000002E-3</v>
      </c>
      <c r="J130">
        <f t="shared" si="6"/>
        <v>58</v>
      </c>
      <c r="M130">
        <v>126</v>
      </c>
      <c r="N130" t="str">
        <f t="shared" si="7"/>
        <v>Värnamo Energi AB</v>
      </c>
      <c r="P130" s="155">
        <f t="shared" si="8"/>
        <v>0</v>
      </c>
      <c r="Q130" s="150" t="str">
        <f t="shared" si="5"/>
        <v/>
      </c>
    </row>
    <row r="131" spans="1:17" x14ac:dyDescent="0.45">
      <c r="A131">
        <v>128</v>
      </c>
      <c r="B131" s="2" t="str">
        <f>IFERROR(INDEX('Miljövärden urval för publ'!$A$2:$AA$420,MATCH('Miljövärden för publ företag'!$A131,'Miljövärden urval för publ'!$R$2:$R$417,0),1),"")</f>
        <v>Lantmännen Agrovärme AB</v>
      </c>
      <c r="C131" s="2" t="str">
        <f>IFERROR(INDEX('Miljövärden urval för publ'!$A$2:$AA$420,MATCH('Miljövärden för publ företag'!$A131,'Miljövärden urval för publ'!$R$2:$R$417,0),2),"")</f>
        <v>Bjärnum</v>
      </c>
      <c r="D131">
        <f>IFERROR(VLOOKUP($C131,'Miljövärden urval för publ'!$B$2:$H$417,MATCH('Miljövärden för publ företag'!D$4,'Miljövärden urval för publ'!$B$2:$H$2,0),FALSE),"")</f>
        <v>0.12034400000000001</v>
      </c>
      <c r="E131">
        <f>IFERROR(VLOOKUP($C131,'Miljövärden urval för publ'!$B$2:$H$417,MATCH('Miljövärden för publ företag'!E$4,'Miljövärden urval för publ'!$B$2:$H$2,0),FALSE),"")</f>
        <v>19.857700000000001</v>
      </c>
      <c r="F131">
        <f>IFERROR(VLOOKUP($C131,'Miljövärden urval för publ'!$B$2:$H$417,MATCH('Miljövärden för publ företag'!F$4,'Miljövärden urval för publ'!$B$2:$H$2,0),FALSE),"")</f>
        <v>11.1669</v>
      </c>
      <c r="G131">
        <f>IFERROR(VLOOKUP($C131,'Miljövärden urval för publ'!$B$2:$H$417,MATCH('Miljövärden för publ företag'!G$4,'Miljövärden urval för publ'!$B$2:$H$2,0),FALSE),"")</f>
        <v>3.5147900000000003E-2</v>
      </c>
      <c r="J131">
        <f t="shared" si="6"/>
        <v>59</v>
      </c>
      <c r="M131">
        <v>127</v>
      </c>
      <c r="N131" t="str">
        <f t="shared" si="7"/>
        <v>Västerbergslagens Energi AB</v>
      </c>
      <c r="P131" s="155">
        <f t="shared" si="8"/>
        <v>0</v>
      </c>
      <c r="Q131" s="150" t="str">
        <f t="shared" si="5"/>
        <v/>
      </c>
    </row>
    <row r="132" spans="1:17" x14ac:dyDescent="0.45">
      <c r="A132">
        <v>129</v>
      </c>
      <c r="B132" s="2" t="str">
        <f>IFERROR(INDEX('Miljövärden urval för publ'!$A$2:$AA$420,MATCH('Miljövärden för publ företag'!$A132,'Miljövärden urval för publ'!$R$2:$R$417,0),1),"")</f>
        <v>Lantmännen Agrovärme AB</v>
      </c>
      <c r="C132" s="2" t="str">
        <f>IFERROR(INDEX('Miljövärden urval för publ'!$A$2:$AA$420,MATCH('Miljövärden för publ företag'!$A132,'Miljövärden urval för publ'!$R$2:$R$417,0),2),"")</f>
        <v>Ed</v>
      </c>
      <c r="D132">
        <f>IFERROR(VLOOKUP($C132,'Miljövärden urval för publ'!$B$2:$H$417,MATCH('Miljövärden för publ företag'!D$4,'Miljövärden urval för publ'!$B$2:$H$2,0),FALSE),"")</f>
        <v>0.121863</v>
      </c>
      <c r="E132">
        <f>IFERROR(VLOOKUP($C132,'Miljövärden urval för publ'!$B$2:$H$417,MATCH('Miljövärden för publ företag'!E$4,'Miljövärden urval för publ'!$B$2:$H$2,0),FALSE),"")</f>
        <v>21.770299999999999</v>
      </c>
      <c r="F132">
        <f>IFERROR(VLOOKUP($C132,'Miljövärden urval för publ'!$B$2:$H$417,MATCH('Miljövärden för publ företag'!F$4,'Miljövärden urval för publ'!$B$2:$H$2,0),FALSE),"")</f>
        <v>10.7958</v>
      </c>
      <c r="G132">
        <f>IFERROR(VLOOKUP($C132,'Miljövärden urval för publ'!$B$2:$H$417,MATCH('Miljövärden för publ företag'!G$4,'Miljövärden urval för publ'!$B$2:$H$2,0),FALSE),"")</f>
        <v>4.28645E-2</v>
      </c>
      <c r="J132">
        <f t="shared" si="6"/>
        <v>59</v>
      </c>
      <c r="M132">
        <v>128</v>
      </c>
      <c r="N132" t="str">
        <f t="shared" si="7"/>
        <v>Västervik Miljö &amp; Energi AB</v>
      </c>
      <c r="P132" s="155">
        <f t="shared" si="8"/>
        <v>0</v>
      </c>
      <c r="Q132" s="150" t="str">
        <f t="shared" si="5"/>
        <v/>
      </c>
    </row>
    <row r="133" spans="1:17" x14ac:dyDescent="0.45">
      <c r="A133" s="160">
        <v>130</v>
      </c>
      <c r="B133" s="2" t="str">
        <f>IFERROR(INDEX('Miljövärden urval för publ'!$A$2:$AA$420,MATCH('Miljövärden för publ företag'!$A133,'Miljövärden urval för publ'!$R$2:$R$417,0),1),"")</f>
        <v>Lantmännen Agrovärme AB</v>
      </c>
      <c r="C133" s="2" t="str">
        <f>IFERROR(INDEX('Miljövärden urval för publ'!$A$2:$AA$420,MATCH('Miljövärden för publ företag'!$A133,'Miljövärden urval för publ'!$R$2:$R$417,0),2),"")</f>
        <v>Grästorp</v>
      </c>
      <c r="D133">
        <f>IFERROR(VLOOKUP($C133,'Miljövärden urval för publ'!$B$2:$H$417,MATCH('Miljövärden för publ företag'!D$4,'Miljövärden urval för publ'!$B$2:$H$2,0),FALSE),"")</f>
        <v>8.2961099999999996E-2</v>
      </c>
      <c r="E133">
        <f>IFERROR(VLOOKUP($C133,'Miljövärden urval för publ'!$B$2:$H$417,MATCH('Miljövärden för publ företag'!E$4,'Miljövärden urval för publ'!$B$2:$H$2,0),FALSE),"")</f>
        <v>9.8305299999999995</v>
      </c>
      <c r="F133">
        <f>IFERROR(VLOOKUP($C133,'Miljövärden urval för publ'!$B$2:$H$417,MATCH('Miljövärden för publ företag'!F$4,'Miljövärden urval för publ'!$B$2:$H$2,0),FALSE),"")</f>
        <v>10.67</v>
      </c>
      <c r="G133">
        <f>IFERROR(VLOOKUP($C133,'Miljövärden urval för publ'!$B$2:$H$417,MATCH('Miljövärden för publ företag'!G$4,'Miljövärden urval för publ'!$B$2:$H$2,0),FALSE),"")</f>
        <v>9.6453200000000006E-3</v>
      </c>
      <c r="J133">
        <f t="shared" si="6"/>
        <v>59</v>
      </c>
      <c r="M133">
        <v>129</v>
      </c>
      <c r="N133" t="str">
        <f t="shared" si="7"/>
        <v>Västra Mälardalens Energi och Miljö AB</v>
      </c>
      <c r="P133" s="155">
        <f t="shared" si="8"/>
        <v>0</v>
      </c>
      <c r="Q133" s="150" t="str">
        <f t="shared" ref="Q133:Q196" si="9">IF(B133=$R$2,C133,"")</f>
        <v/>
      </c>
    </row>
    <row r="134" spans="1:17" x14ac:dyDescent="0.45">
      <c r="A134">
        <v>131</v>
      </c>
      <c r="B134" s="2" t="str">
        <f>IFERROR(INDEX('Miljövärden urval för publ'!$A$2:$AA$420,MATCH('Miljövärden för publ företag'!$A134,'Miljövärden urval för publ'!$R$2:$R$417,0),1),"")</f>
        <v>Lantmännen Agrovärme AB</v>
      </c>
      <c r="C134" s="2" t="str">
        <f>IFERROR(INDEX('Miljövärden urval för publ'!$A$2:$AA$420,MATCH('Miljövärden för publ företag'!$A134,'Miljövärden urval för publ'!$R$2:$R$417,0),2),"")</f>
        <v>Horred</v>
      </c>
      <c r="D134">
        <f>IFERROR(VLOOKUP($C134,'Miljövärden urval för publ'!$B$2:$H$417,MATCH('Miljövärden för publ företag'!D$4,'Miljövärden urval för publ'!$B$2:$H$2,0),FALSE),"")</f>
        <v>0.208234</v>
      </c>
      <c r="E134">
        <f>IFERROR(VLOOKUP($C134,'Miljövärden urval för publ'!$B$2:$H$417,MATCH('Miljövärden för publ företag'!E$4,'Miljövärden urval för publ'!$B$2:$H$2,0),FALSE),"")</f>
        <v>11.004300000000001</v>
      </c>
      <c r="F134">
        <f>IFERROR(VLOOKUP($C134,'Miljövärden urval för publ'!$B$2:$H$417,MATCH('Miljövärden för publ företag'!F$4,'Miljövärden urval för publ'!$B$2:$H$2,0),FALSE),"")</f>
        <v>21.506</v>
      </c>
      <c r="G134">
        <f>IFERROR(VLOOKUP($C134,'Miljövärden urval för publ'!$B$2:$H$417,MATCH('Miljövärden för publ företag'!G$4,'Miljövärden urval för publ'!$B$2:$H$2,0),FALSE),"")</f>
        <v>1.2E-2</v>
      </c>
      <c r="J134">
        <f t="shared" ref="J134:J197" si="10">IF(B134=B133,J133,J133+1)</f>
        <v>59</v>
      </c>
      <c r="M134">
        <v>130</v>
      </c>
      <c r="N134" t="str">
        <f t="shared" ref="N134:N197" si="11">IFERROR(INDEX($B$4:$J$487,MATCH(M134,$J$4:$J$487,0),1),"")</f>
        <v>Växjö Energi AB</v>
      </c>
      <c r="P134" s="155">
        <f t="shared" ref="P134:P197" si="12">IF(Q134="",P133,P133+1)</f>
        <v>0</v>
      </c>
      <c r="Q134" s="150" t="str">
        <f t="shared" si="9"/>
        <v/>
      </c>
    </row>
    <row r="135" spans="1:17" x14ac:dyDescent="0.45">
      <c r="A135">
        <v>132</v>
      </c>
      <c r="B135" s="2" t="str">
        <f>IFERROR(INDEX('Miljövärden urval för publ'!$A$2:$AA$420,MATCH('Miljövärden för publ företag'!$A135,'Miljövärden urval för publ'!$R$2:$R$417,0),1),"")</f>
        <v>Lantmännen Agrovärme AB</v>
      </c>
      <c r="C135" s="2" t="str">
        <f>IFERROR(INDEX('Miljövärden urval för publ'!$A$2:$AA$420,MATCH('Miljövärden för publ företag'!$A135,'Miljövärden urval för publ'!$R$2:$R$417,0),2),"")</f>
        <v>Kvänum</v>
      </c>
      <c r="D135">
        <f>IFERROR(VLOOKUP($C135,'Miljövärden urval för publ'!$B$2:$H$417,MATCH('Miljövärden för publ företag'!D$4,'Miljövärden urval för publ'!$B$2:$H$2,0),FALSE),"")</f>
        <v>0.75588</v>
      </c>
      <c r="E135">
        <f>IFERROR(VLOOKUP($C135,'Miljövärden urval för publ'!$B$2:$H$417,MATCH('Miljövärden för publ företag'!E$4,'Miljövärden urval för publ'!$B$2:$H$2,0),FALSE),"")</f>
        <v>4.5566899999999997</v>
      </c>
      <c r="F135">
        <f>IFERROR(VLOOKUP($C135,'Miljövärden urval för publ'!$B$2:$H$417,MATCH('Miljövärden för publ företag'!F$4,'Miljövärden urval för publ'!$B$2:$H$2,0),FALSE),"")</f>
        <v>28.852599999999999</v>
      </c>
      <c r="G135">
        <f>IFERROR(VLOOKUP($C135,'Miljövärden urval för publ'!$B$2:$H$417,MATCH('Miljövärden för publ företag'!G$4,'Miljövärden urval för publ'!$B$2:$H$2,0),FALSE),"")</f>
        <v>0</v>
      </c>
      <c r="J135">
        <f t="shared" si="10"/>
        <v>59</v>
      </c>
      <c r="M135">
        <v>131</v>
      </c>
      <c r="N135" t="str">
        <f t="shared" si="11"/>
        <v>Ystad Energi AB</v>
      </c>
      <c r="P135" s="155">
        <f t="shared" si="12"/>
        <v>0</v>
      </c>
      <c r="Q135" s="150" t="str">
        <f t="shared" si="9"/>
        <v/>
      </c>
    </row>
    <row r="136" spans="1:17" x14ac:dyDescent="0.45">
      <c r="A136" s="160">
        <v>133</v>
      </c>
      <c r="B136" s="2" t="str">
        <f>IFERROR(INDEX('Miljövärden urval för publ'!$A$2:$AA$420,MATCH('Miljövärden för publ företag'!$A136,'Miljövärden urval för publ'!$R$2:$R$417,0),1),"")</f>
        <v>Lantmännen Agrovärme AB</v>
      </c>
      <c r="C136" s="2" t="str">
        <f>IFERROR(INDEX('Miljövärden urval för publ'!$A$2:$AA$420,MATCH('Miljövärden för publ företag'!$A136,'Miljövärden urval för publ'!$R$2:$R$417,0),2),"")</f>
        <v>Skurup</v>
      </c>
      <c r="D136">
        <f>IFERROR(VLOOKUP($C136,'Miljövärden urval för publ'!$B$2:$H$417,MATCH('Miljövärden för publ företag'!D$4,'Miljövärden urval för publ'!$B$2:$H$2,0),FALSE),"")</f>
        <v>0.66473300000000002</v>
      </c>
      <c r="E136">
        <f>IFERROR(VLOOKUP($C136,'Miljövärden urval för publ'!$B$2:$H$417,MATCH('Miljövärden för publ företag'!E$4,'Miljövärden urval för publ'!$B$2:$H$2,0),FALSE),"")</f>
        <v>67.161000000000001</v>
      </c>
      <c r="F136">
        <f>IFERROR(VLOOKUP($C136,'Miljövärden urval för publ'!$B$2:$H$417,MATCH('Miljövärden för publ företag'!F$4,'Miljövärden urval för publ'!$B$2:$H$2,0),FALSE),"")</f>
        <v>21.289400000000001</v>
      </c>
      <c r="G136">
        <f>IFERROR(VLOOKUP($C136,'Miljövärden urval för publ'!$B$2:$H$417,MATCH('Miljövärden för publ företag'!G$4,'Miljövärden urval för publ'!$B$2:$H$2,0),FALSE),"")</f>
        <v>0.195217</v>
      </c>
      <c r="J136">
        <f t="shared" si="10"/>
        <v>59</v>
      </c>
      <c r="M136">
        <v>132</v>
      </c>
      <c r="N136" t="str">
        <f t="shared" si="11"/>
        <v>Ånge Energi AB</v>
      </c>
      <c r="P136" s="155">
        <f t="shared" si="12"/>
        <v>0</v>
      </c>
      <c r="Q136" s="150" t="str">
        <f t="shared" si="9"/>
        <v/>
      </c>
    </row>
    <row r="137" spans="1:17" x14ac:dyDescent="0.45">
      <c r="A137">
        <v>134</v>
      </c>
      <c r="B137" s="2" t="str">
        <f>IFERROR(INDEX('Miljövärden urval för publ'!$A$2:$AA$420,MATCH('Miljövärden för publ företag'!$A137,'Miljövärden urval för publ'!$R$2:$R$417,0),1),"")</f>
        <v>Lantmännen Agrovärme AB</v>
      </c>
      <c r="C137" s="2" t="str">
        <f>IFERROR(INDEX('Miljövärden urval för publ'!$A$2:$AA$420,MATCH('Miljövärden för publ företag'!$A137,'Miljövärden urval för publ'!$R$2:$R$417,0),2),"")</f>
        <v>Vinslöv</v>
      </c>
      <c r="D137">
        <f>IFERROR(VLOOKUP($C137,'Miljövärden urval för publ'!$B$2:$H$417,MATCH('Miljövärden för publ företag'!D$4,'Miljövärden urval för publ'!$B$2:$H$2,0),FALSE),"")</f>
        <v>7.9886399999999996E-2</v>
      </c>
      <c r="E137">
        <f>IFERROR(VLOOKUP($C137,'Miljövärden urval för publ'!$B$2:$H$417,MATCH('Miljövärden för publ företag'!E$4,'Miljövärden urval för publ'!$B$2:$H$2,0),FALSE),"")</f>
        <v>9.0395500000000002</v>
      </c>
      <c r="F137">
        <f>IFERROR(VLOOKUP($C137,'Miljövärden urval för publ'!$B$2:$H$417,MATCH('Miljövärden för publ företag'!F$4,'Miljövärden urval för publ'!$B$2:$H$2,0),FALSE),"")</f>
        <v>9.4245400000000004</v>
      </c>
      <c r="G137">
        <f>IFERROR(VLOOKUP($C137,'Miljövärden urval för publ'!$B$2:$H$417,MATCH('Miljövärden för publ företag'!G$4,'Miljövärden urval för publ'!$B$2:$H$2,0),FALSE),"")</f>
        <v>1.0670600000000001E-2</v>
      </c>
      <c r="J137">
        <f t="shared" si="10"/>
        <v>59</v>
      </c>
      <c r="M137">
        <v>133</v>
      </c>
      <c r="N137" t="str">
        <f t="shared" si="11"/>
        <v>Öresundskraft AB</v>
      </c>
      <c r="P137" s="155">
        <f t="shared" si="12"/>
        <v>0</v>
      </c>
      <c r="Q137" s="150" t="str">
        <f t="shared" si="9"/>
        <v/>
      </c>
    </row>
    <row r="138" spans="1:17" x14ac:dyDescent="0.45">
      <c r="A138">
        <v>135</v>
      </c>
      <c r="B138" s="2" t="str">
        <f>IFERROR(INDEX('Miljövärden urval för publ'!$A$2:$AA$420,MATCH('Miljövärden för publ företag'!$A138,'Miljövärden urval för publ'!$R$2:$R$417,0),1),"")</f>
        <v>Lantmännen Agrovärme AB</v>
      </c>
      <c r="C138" s="2" t="str">
        <f>IFERROR(INDEX('Miljövärden urval för publ'!$A$2:$AA$420,MATCH('Miljövärden för publ företag'!$A138,'Miljövärden urval för publ'!$R$2:$R$417,0),2),"")</f>
        <v>Ödeshög</v>
      </c>
      <c r="D138">
        <f>IFERROR(VLOOKUP($C138,'Miljövärden urval för publ'!$B$2:$H$417,MATCH('Miljövärden för publ företag'!D$4,'Miljövärden urval för publ'!$B$2:$H$2,0),FALSE),"")</f>
        <v>6.7192199999999994E-2</v>
      </c>
      <c r="E138">
        <f>IFERROR(VLOOKUP($C138,'Miljövärden urval för publ'!$B$2:$H$417,MATCH('Miljövärden för publ företag'!E$4,'Miljövärden urval för publ'!$B$2:$H$2,0),FALSE),"")</f>
        <v>6.51539</v>
      </c>
      <c r="F138">
        <f>IFERROR(VLOOKUP($C138,'Miljövärden urval för publ'!$B$2:$H$417,MATCH('Miljövärden för publ företag'!F$4,'Miljövärden urval för publ'!$B$2:$H$2,0),FALSE),"")</f>
        <v>9.8535599999999999</v>
      </c>
      <c r="G138">
        <f>IFERROR(VLOOKUP($C138,'Miljövärden urval för publ'!$B$2:$H$417,MATCH('Miljövärden för publ företag'!G$4,'Miljövärden urval för publ'!$B$2:$H$2,0),FALSE),"")</f>
        <v>2.5898700000000002E-3</v>
      </c>
      <c r="J138">
        <f t="shared" si="10"/>
        <v>59</v>
      </c>
      <c r="M138">
        <v>134</v>
      </c>
      <c r="N138" t="str">
        <f t="shared" si="11"/>
        <v>Örkelljunga Fjärrvärmeverk AB</v>
      </c>
      <c r="P138" s="155">
        <f t="shared" si="12"/>
        <v>0</v>
      </c>
      <c r="Q138" s="150" t="str">
        <f t="shared" si="9"/>
        <v/>
      </c>
    </row>
    <row r="139" spans="1:17" x14ac:dyDescent="0.45">
      <c r="A139" s="160">
        <v>136</v>
      </c>
      <c r="B139" s="2" t="str">
        <f>IFERROR(INDEX('Miljövärden urval för publ'!$A$2:$AA$420,MATCH('Miljövärden för publ företag'!$A139,'Miljövärden urval för publ'!$R$2:$R$417,0),1),"")</f>
        <v>Lantmännen Agrovärme AB</v>
      </c>
      <c r="C139" s="2" t="str">
        <f>IFERROR(INDEX('Miljövärden urval för publ'!$A$2:$AA$420,MATCH('Miljövärden för publ företag'!$A139,'Miljövärden urval för publ'!$R$2:$R$417,0),2),"")</f>
        <v>Örsundsbro</v>
      </c>
      <c r="D139">
        <f>IFERROR(VLOOKUP($C139,'Miljövärden urval för publ'!$B$2:$H$417,MATCH('Miljövärden för publ företag'!D$4,'Miljövärden urval för publ'!$B$2:$H$2,0),FALSE),"")</f>
        <v>7.3195399999999994E-2</v>
      </c>
      <c r="E139">
        <f>IFERROR(VLOOKUP($C139,'Miljövärden urval för publ'!$B$2:$H$417,MATCH('Miljövärden för publ företag'!E$4,'Miljövärden urval för publ'!$B$2:$H$2,0),FALSE),"")</f>
        <v>6.9130900000000004</v>
      </c>
      <c r="F139">
        <f>IFERROR(VLOOKUP($C139,'Miljövärden urval för publ'!$B$2:$H$417,MATCH('Miljövärden för publ företag'!F$4,'Miljövärden urval för publ'!$B$2:$H$2,0),FALSE),"")</f>
        <v>9.9774200000000004</v>
      </c>
      <c r="G139">
        <f>IFERROR(VLOOKUP($C139,'Miljövärden urval för publ'!$B$2:$H$417,MATCH('Miljövärden för publ företag'!G$4,'Miljövärden urval för publ'!$B$2:$H$2,0),FALSE),"")</f>
        <v>3.2925099999999998E-3</v>
      </c>
      <c r="J139">
        <f t="shared" si="10"/>
        <v>59</v>
      </c>
      <c r="M139">
        <v>135</v>
      </c>
      <c r="N139" t="str">
        <f t="shared" si="11"/>
        <v>Österlens Kraft AB</v>
      </c>
      <c r="P139" s="155">
        <f t="shared" si="12"/>
        <v>0</v>
      </c>
      <c r="Q139" s="150" t="str">
        <f t="shared" si="9"/>
        <v/>
      </c>
    </row>
    <row r="140" spans="1:17" x14ac:dyDescent="0.45">
      <c r="A140">
        <v>137</v>
      </c>
      <c r="B140" s="2" t="str">
        <f>IFERROR(INDEX('Miljövärden urval för publ'!$A$2:$AA$420,MATCH('Miljövärden för publ företag'!$A140,'Miljövärden urval för publ'!$R$2:$R$417,0),1),"")</f>
        <v>Laxå Värme AB</v>
      </c>
      <c r="C140" s="2" t="str">
        <f>IFERROR(INDEX('Miljövärden urval för publ'!$A$2:$AA$420,MATCH('Miljövärden för publ företag'!$A140,'Miljövärden urval för publ'!$R$2:$R$417,0),2),"")</f>
        <v>Laxå</v>
      </c>
      <c r="D140">
        <f>IFERROR(VLOOKUP($C140,'Miljövärden urval för publ'!$B$2:$H$417,MATCH('Miljövärden för publ företag'!D$4,'Miljövärden urval för publ'!$B$2:$H$2,0),FALSE),"")</f>
        <v>0.192055</v>
      </c>
      <c r="E140">
        <f>IFERROR(VLOOKUP($C140,'Miljövärden urval för publ'!$B$2:$H$417,MATCH('Miljövärden för publ företag'!E$4,'Miljövärden urval för publ'!$B$2:$H$2,0),FALSE),"")</f>
        <v>9.9127899999999993</v>
      </c>
      <c r="F140">
        <f>IFERROR(VLOOKUP($C140,'Miljövärden urval för publ'!$B$2:$H$417,MATCH('Miljövärden för publ företag'!F$4,'Miljövärden urval för publ'!$B$2:$H$2,0),FALSE),"")</f>
        <v>20.036999999999999</v>
      </c>
      <c r="G140">
        <f>IFERROR(VLOOKUP($C140,'Miljövärden urval för publ'!$B$2:$H$417,MATCH('Miljövärden för publ företag'!G$4,'Miljövärden urval för publ'!$B$2:$H$2,0),FALSE),"")</f>
        <v>1.1113100000000001E-2</v>
      </c>
      <c r="J140">
        <f t="shared" si="10"/>
        <v>60</v>
      </c>
      <c r="M140">
        <v>136</v>
      </c>
      <c r="N140" t="str">
        <f t="shared" si="11"/>
        <v>Övik Energi AB</v>
      </c>
      <c r="P140" s="155">
        <f t="shared" si="12"/>
        <v>0</v>
      </c>
      <c r="Q140" s="150" t="str">
        <f>IF(B140=$R$2,C140,"")</f>
        <v/>
      </c>
    </row>
    <row r="141" spans="1:17" x14ac:dyDescent="0.45">
      <c r="A141">
        <v>138</v>
      </c>
      <c r="B141" s="2" t="str">
        <f>IFERROR(INDEX('Miljövärden urval för publ'!$A$2:$AA$420,MATCH('Miljövärden för publ företag'!$A141,'Miljövärden urval för publ'!$R$2:$R$417,0),1),"")</f>
        <v>Lerum Fjärrvärme AB</v>
      </c>
      <c r="C141" s="2" t="str">
        <f>IFERROR(INDEX('Miljövärden urval för publ'!$A$2:$AA$420,MATCH('Miljövärden för publ företag'!$A141,'Miljövärden urval för publ'!$R$2:$R$417,0),2),"")</f>
        <v>Floda</v>
      </c>
      <c r="D141">
        <f>IFERROR(VLOOKUP($C141,'Miljövärden urval för publ'!$B$2:$H$417,MATCH('Miljövärden för publ företag'!D$4,'Miljövärden urval för publ'!$B$2:$H$2,0),FALSE),"")</f>
        <v>0.110383</v>
      </c>
      <c r="E141">
        <f>IFERROR(VLOOKUP($C141,'Miljövärden urval för publ'!$B$2:$H$417,MATCH('Miljövärden för publ företag'!E$4,'Miljövärden urval för publ'!$B$2:$H$2,0),FALSE),"")</f>
        <v>22.6999</v>
      </c>
      <c r="F141">
        <f>IFERROR(VLOOKUP($C141,'Miljövärden urval för publ'!$B$2:$H$417,MATCH('Miljövärden för publ företag'!F$4,'Miljövärden urval för publ'!$B$2:$H$2,0),FALSE),"")</f>
        <v>8.8476599999999994</v>
      </c>
      <c r="G141">
        <f>IFERROR(VLOOKUP($C141,'Miljövärden urval för publ'!$B$2:$H$417,MATCH('Miljövärden för publ företag'!G$4,'Miljövärden urval för publ'!$B$2:$H$2,0),FALSE),"")</f>
        <v>6.0648800000000003E-2</v>
      </c>
      <c r="J141">
        <f t="shared" si="10"/>
        <v>61</v>
      </c>
      <c r="M141">
        <v>137</v>
      </c>
      <c r="N141" t="str">
        <f t="shared" si="11"/>
        <v/>
      </c>
      <c r="P141" s="155">
        <f t="shared" si="12"/>
        <v>0</v>
      </c>
      <c r="Q141" s="150" t="str">
        <f t="shared" si="9"/>
        <v/>
      </c>
    </row>
    <row r="142" spans="1:17" x14ac:dyDescent="0.45">
      <c r="A142" s="160">
        <v>139</v>
      </c>
      <c r="B142" s="2" t="str">
        <f>IFERROR(INDEX('Miljövärden urval för publ'!$A$2:$AA$420,MATCH('Miljövärden för publ företag'!$A142,'Miljövärden urval för publ'!$R$2:$R$417,0),1),"")</f>
        <v>Lerum Fjärrvärme AB</v>
      </c>
      <c r="C142" s="2" t="str">
        <f>IFERROR(INDEX('Miljövärden urval för publ'!$A$2:$AA$420,MATCH('Miljövärden för publ företag'!$A142,'Miljövärden urval för publ'!$R$2:$R$417,0),2),"")</f>
        <v>Gråbo</v>
      </c>
      <c r="D142">
        <f>IFERROR(VLOOKUP($C142,'Miljövärden urval för publ'!$B$2:$H$417,MATCH('Miljövärden för publ företag'!D$4,'Miljövärden urval för publ'!$B$2:$H$2,0),FALSE),"")</f>
        <v>0.14946000000000001</v>
      </c>
      <c r="E142">
        <f>IFERROR(VLOOKUP($C142,'Miljövärden urval för publ'!$B$2:$H$417,MATCH('Miljövärden för publ företag'!E$4,'Miljövärden urval för publ'!$B$2:$H$2,0),FALSE),"")</f>
        <v>10.385300000000001</v>
      </c>
      <c r="F142">
        <f>IFERROR(VLOOKUP($C142,'Miljövärden urval för publ'!$B$2:$H$417,MATCH('Miljövärden för publ företag'!F$4,'Miljövärden urval för publ'!$B$2:$H$2,0),FALSE),"")</f>
        <v>16.1175</v>
      </c>
      <c r="G142">
        <f>IFERROR(VLOOKUP($C142,'Miljövärden urval för publ'!$B$2:$H$417,MATCH('Miljövärden för publ företag'!G$4,'Miljövärden urval för publ'!$B$2:$H$2,0),FALSE),"")</f>
        <v>1.9042199999999999E-2</v>
      </c>
      <c r="J142">
        <f t="shared" si="10"/>
        <v>61</v>
      </c>
      <c r="M142">
        <v>138</v>
      </c>
      <c r="N142" t="str">
        <f t="shared" si="11"/>
        <v/>
      </c>
      <c r="P142" s="155">
        <f t="shared" si="12"/>
        <v>0</v>
      </c>
      <c r="Q142" s="150" t="str">
        <f t="shared" si="9"/>
        <v/>
      </c>
    </row>
    <row r="143" spans="1:17" x14ac:dyDescent="0.45">
      <c r="A143">
        <v>140</v>
      </c>
      <c r="B143" s="2" t="str">
        <f>IFERROR(INDEX('Miljövärden urval för publ'!$A$2:$AA$420,MATCH('Miljövärden för publ företag'!$A143,'Miljövärden urval för publ'!$R$2:$R$417,0),1),"")</f>
        <v>Lerum Fjärrvärme AB</v>
      </c>
      <c r="C143" s="2" t="str">
        <f>IFERROR(INDEX('Miljövärden urval för publ'!$A$2:$AA$420,MATCH('Miljövärden för publ företag'!$A143,'Miljövärden urval för publ'!$R$2:$R$417,0),2),"")</f>
        <v>Lerum</v>
      </c>
      <c r="D143">
        <f>IFERROR(VLOOKUP($C143,'Miljövärden urval för publ'!$B$2:$H$417,MATCH('Miljövärden för publ företag'!D$4,'Miljövärden urval för publ'!$B$2:$H$2,0),FALSE),"")</f>
        <v>6.7883600000000002E-2</v>
      </c>
      <c r="E143">
        <f>IFERROR(VLOOKUP($C143,'Miljövärden urval för publ'!$B$2:$H$417,MATCH('Miljövärden för publ företag'!E$4,'Miljövärden urval för publ'!$B$2:$H$2,0),FALSE),"")</f>
        <v>4.0733199999999998</v>
      </c>
      <c r="F143">
        <f>IFERROR(VLOOKUP($C143,'Miljövärden urval för publ'!$B$2:$H$417,MATCH('Miljövärden för publ företag'!F$4,'Miljövärden urval för publ'!$B$2:$H$2,0),FALSE),"")</f>
        <v>10.161799999999999</v>
      </c>
      <c r="G143">
        <f>IFERROR(VLOOKUP($C143,'Miljövärden urval för publ'!$B$2:$H$417,MATCH('Miljövärden för publ företag'!G$4,'Miljövärden urval för publ'!$B$2:$H$2,0),FALSE),"")</f>
        <v>1.05633E-4</v>
      </c>
      <c r="J143">
        <f t="shared" si="10"/>
        <v>61</v>
      </c>
      <c r="M143">
        <v>139</v>
      </c>
      <c r="N143" t="str">
        <f t="shared" si="11"/>
        <v/>
      </c>
      <c r="P143" s="155">
        <f t="shared" si="12"/>
        <v>0</v>
      </c>
      <c r="Q143" s="150" t="str">
        <f t="shared" si="9"/>
        <v/>
      </c>
    </row>
    <row r="144" spans="1:17" x14ac:dyDescent="0.45">
      <c r="A144">
        <v>141</v>
      </c>
      <c r="B144" s="2" t="str">
        <f>IFERROR(INDEX('Miljövärden urval för publ'!$A$2:$AA$420,MATCH('Miljövärden för publ företag'!$A144,'Miljövärden urval för publ'!$R$2:$R$417,0),1),"")</f>
        <v>Lerum Fjärrvärme AB</v>
      </c>
      <c r="C144" s="2" t="str">
        <f>IFERROR(INDEX('Miljövärden urval för publ'!$A$2:$AA$420,MATCH('Miljövärden för publ företag'!$A144,'Miljövärden urval för publ'!$R$2:$R$417,0),2),"")</f>
        <v>Stenkullen</v>
      </c>
      <c r="D144">
        <f>IFERROR(VLOOKUP($C144,'Miljövärden urval för publ'!$B$2:$H$417,MATCH('Miljövärden för publ företag'!D$4,'Miljövärden urval för publ'!$B$2:$H$2,0),FALSE),"")</f>
        <v>0.16910500000000001</v>
      </c>
      <c r="E144">
        <f>IFERROR(VLOOKUP($C144,'Miljövärden urval för publ'!$B$2:$H$417,MATCH('Miljövärden för publ företag'!E$4,'Miljövärden urval för publ'!$B$2:$H$2,0),FALSE),"")</f>
        <v>16.445699999999999</v>
      </c>
      <c r="F144">
        <f>IFERROR(VLOOKUP($C144,'Miljövärden urval för publ'!$B$2:$H$417,MATCH('Miljövärden för publ företag'!F$4,'Miljövärden urval för publ'!$B$2:$H$2,0),FALSE),"")</f>
        <v>15.9765</v>
      </c>
      <c r="G144">
        <f>IFERROR(VLOOKUP($C144,'Miljövärden urval för publ'!$B$2:$H$417,MATCH('Miljövärden för publ företag'!G$4,'Miljövärden urval för publ'!$B$2:$H$2,0),FALSE),"")</f>
        <v>4.0332800000000002E-2</v>
      </c>
      <c r="J144">
        <f t="shared" si="10"/>
        <v>61</v>
      </c>
      <c r="M144">
        <v>140</v>
      </c>
      <c r="N144" t="str">
        <f t="shared" si="11"/>
        <v/>
      </c>
      <c r="P144" s="155">
        <f t="shared" si="12"/>
        <v>0</v>
      </c>
      <c r="Q144" s="150" t="str">
        <f t="shared" si="9"/>
        <v/>
      </c>
    </row>
    <row r="145" spans="1:17" x14ac:dyDescent="0.45">
      <c r="A145" s="160">
        <v>142</v>
      </c>
      <c r="B145" s="2" t="str">
        <f>IFERROR(INDEX('Miljövärden urval för publ'!$A$2:$AA$420,MATCH('Miljövärden för publ företag'!$A145,'Miljövärden urval för publ'!$R$2:$R$417,0),1),"")</f>
        <v>LEVA i Lysekil AB</v>
      </c>
      <c r="C145" s="2" t="str">
        <f>IFERROR(INDEX('Miljövärden urval för publ'!$A$2:$AA$420,MATCH('Miljövärden för publ företag'!$A145,'Miljövärden urval för publ'!$R$2:$R$417,0),2),"")</f>
        <v>Lysekil</v>
      </c>
      <c r="D145">
        <f>IFERROR(VLOOKUP($C145,'Miljövärden urval för publ'!$B$2:$H$417,MATCH('Miljövärden för publ företag'!D$4,'Miljövärden urval för publ'!$B$2:$H$2,0),FALSE),"")</f>
        <v>0.38577</v>
      </c>
      <c r="E145">
        <f>IFERROR(VLOOKUP($C145,'Miljövärden urval för publ'!$B$2:$H$417,MATCH('Miljövärden för publ företag'!E$4,'Miljövärden urval för publ'!$B$2:$H$2,0),FALSE),"")</f>
        <v>84.729399999999998</v>
      </c>
      <c r="F145">
        <f>IFERROR(VLOOKUP($C145,'Miljövärden urval för publ'!$B$2:$H$417,MATCH('Miljövärden för publ företag'!F$4,'Miljövärden urval för publ'!$B$2:$H$2,0),FALSE),"")</f>
        <v>6.3377600000000003</v>
      </c>
      <c r="G145">
        <f>IFERROR(VLOOKUP($C145,'Miljövärden urval för publ'!$B$2:$H$417,MATCH('Miljövärden för publ företag'!G$4,'Miljövärden urval för publ'!$B$2:$H$2,0),FALSE),"")</f>
        <v>0.22489799999999999</v>
      </c>
      <c r="J145">
        <f t="shared" si="10"/>
        <v>62</v>
      </c>
      <c r="M145">
        <v>141</v>
      </c>
      <c r="N145" t="str">
        <f t="shared" si="11"/>
        <v/>
      </c>
      <c r="P145" s="155">
        <f t="shared" si="12"/>
        <v>0</v>
      </c>
      <c r="Q145" s="150" t="str">
        <f t="shared" si="9"/>
        <v/>
      </c>
    </row>
    <row r="146" spans="1:17" x14ac:dyDescent="0.45">
      <c r="A146">
        <v>143</v>
      </c>
      <c r="B146" s="2" t="str">
        <f>IFERROR(INDEX('Miljövärden urval för publ'!$A$2:$AA$420,MATCH('Miljövärden för publ företag'!$A146,'Miljövärden urval för publ'!$R$2:$R$417,0),1),"")</f>
        <v>Lidköping Energi AB</v>
      </c>
      <c r="C146" s="2" t="str">
        <f>IFERROR(INDEX('Miljövärden urval för publ'!$A$2:$AA$420,MATCH('Miljövärden för publ företag'!$A146,'Miljövärden urval för publ'!$R$2:$R$417,0),2),"")</f>
        <v>Klimateffektiv fjärrvärme</v>
      </c>
      <c r="D146">
        <f>IFERROR(VLOOKUP($C146,'Miljövärden urval för publ'!$B$2:$H$417,MATCH('Miljövärden för publ företag'!D$4,'Miljövärden urval för publ'!$B$2:$H$2,0),FALSE),"")</f>
        <v>0.42820000000000003</v>
      </c>
      <c r="E146">
        <f>IFERROR(VLOOKUP($C146,'Miljövärden urval för publ'!$B$2:$H$417,MATCH('Miljövärden för publ företag'!E$4,'Miljövärden urval för publ'!$B$2:$H$2,0),FALSE),"")</f>
        <v>91.971000000000004</v>
      </c>
      <c r="F146">
        <f>IFERROR(VLOOKUP($C146,'Miljövärden urval för publ'!$B$2:$H$417,MATCH('Miljövärden för publ företag'!F$4,'Miljövärden urval för publ'!$B$2:$H$2,0),FALSE),"")</f>
        <v>2.0839400000000001</v>
      </c>
      <c r="G146">
        <f>IFERROR(VLOOKUP($C146,'Miljövärden urval för publ'!$B$2:$H$417,MATCH('Miljövärden för publ företag'!G$4,'Miljövärden urval för publ'!$B$2:$H$2,0),FALSE),"")</f>
        <v>0</v>
      </c>
      <c r="J146">
        <f t="shared" si="10"/>
        <v>63</v>
      </c>
      <c r="M146">
        <v>142</v>
      </c>
      <c r="N146" t="str">
        <f t="shared" si="11"/>
        <v/>
      </c>
      <c r="P146" s="155">
        <f t="shared" si="12"/>
        <v>0</v>
      </c>
      <c r="Q146" s="150" t="str">
        <f t="shared" si="9"/>
        <v/>
      </c>
    </row>
    <row r="147" spans="1:17" x14ac:dyDescent="0.45">
      <c r="A147">
        <v>144</v>
      </c>
      <c r="B147" s="2" t="str">
        <f>IFERROR(INDEX('Miljövärden urval för publ'!$A$2:$AA$420,MATCH('Miljövärden för publ företag'!$A147,'Miljövärden urval för publ'!$R$2:$R$417,0),1),"")</f>
        <v>Lidköping Energi AB</v>
      </c>
      <c r="C147" s="2" t="str">
        <f>IFERROR(INDEX('Miljövärden urval för publ'!$A$2:$AA$420,MATCH('Miljövärden för publ företag'!$A147,'Miljövärden urval för publ'!$R$2:$R$417,0),2),"")</f>
        <v>Lidköping</v>
      </c>
      <c r="D147">
        <f>IFERROR(VLOOKUP($C147,'Miljövärden urval för publ'!$B$2:$H$417,MATCH('Miljövärden för publ företag'!D$4,'Miljövärden urval för publ'!$B$2:$H$2,0),FALSE),"")</f>
        <v>0.10183</v>
      </c>
      <c r="E147">
        <f>IFERROR(VLOOKUP($C147,'Miljövärden urval för publ'!$B$2:$H$417,MATCH('Miljövärden för publ företag'!E$4,'Miljövärden urval för publ'!$B$2:$H$2,0),FALSE),"")</f>
        <v>180.91900000000001</v>
      </c>
      <c r="F147">
        <f>IFERROR(VLOOKUP($C147,'Miljövärden urval för publ'!$B$2:$H$417,MATCH('Miljövärden för publ företag'!F$4,'Miljövärden urval för publ'!$B$2:$H$2,0),FALSE),"")</f>
        <v>4.3646700000000003</v>
      </c>
      <c r="G147">
        <f>IFERROR(VLOOKUP($C147,'Miljövärden urval för publ'!$B$2:$H$417,MATCH('Miljövärden för publ företag'!G$4,'Miljövärden urval för publ'!$B$2:$H$2,0),FALSE),"")</f>
        <v>9.1929799999999999E-3</v>
      </c>
      <c r="J147">
        <f t="shared" si="10"/>
        <v>63</v>
      </c>
      <c r="M147">
        <v>143</v>
      </c>
      <c r="N147" t="str">
        <f t="shared" si="11"/>
        <v/>
      </c>
      <c r="P147" s="155">
        <f t="shared" si="12"/>
        <v>0</v>
      </c>
      <c r="Q147" s="150" t="str">
        <f t="shared" si="9"/>
        <v/>
      </c>
    </row>
    <row r="148" spans="1:17" x14ac:dyDescent="0.45">
      <c r="A148" s="160">
        <v>145</v>
      </c>
      <c r="B148" s="2" t="str">
        <f>IFERROR(INDEX('Miljövärden urval för publ'!$A$2:$AA$420,MATCH('Miljövärden för publ företag'!$A148,'Miljövärden urval för publ'!$R$2:$R$417,0),1),"")</f>
        <v>Lilla Edets Fjärrvärme AB</v>
      </c>
      <c r="C148" s="2" t="str">
        <f>IFERROR(INDEX('Miljövärden urval för publ'!$A$2:$AA$420,MATCH('Miljövärden för publ företag'!$A148,'Miljövärden urval för publ'!$R$2:$R$417,0),2),"")</f>
        <v>Lilla Edet</v>
      </c>
      <c r="D148">
        <f>IFERROR(VLOOKUP($C148,'Miljövärden urval för publ'!$B$2:$H$417,MATCH('Miljövärden för publ företag'!D$4,'Miljövärden urval för publ'!$B$2:$H$2,0),FALSE),"")</f>
        <v>0.16766300000000001</v>
      </c>
      <c r="E148">
        <f>IFERROR(VLOOKUP($C148,'Miljövärden urval för publ'!$B$2:$H$417,MATCH('Miljövärden för publ företag'!E$4,'Miljövärden urval för publ'!$B$2:$H$2,0),FALSE),"")</f>
        <v>27.963899999999999</v>
      </c>
      <c r="F148">
        <f>IFERROR(VLOOKUP($C148,'Miljövärden urval för publ'!$B$2:$H$417,MATCH('Miljövärden för publ företag'!F$4,'Miljövärden urval för publ'!$B$2:$H$2,0),FALSE),"")</f>
        <v>10.1236</v>
      </c>
      <c r="G148">
        <f>IFERROR(VLOOKUP($C148,'Miljövärden urval för publ'!$B$2:$H$417,MATCH('Miljövärden för publ företag'!G$4,'Miljövärden urval för publ'!$B$2:$H$2,0),FALSE),"")</f>
        <v>5.01553E-2</v>
      </c>
      <c r="J148">
        <f t="shared" si="10"/>
        <v>64</v>
      </c>
      <c r="M148">
        <v>144</v>
      </c>
      <c r="N148" t="str">
        <f t="shared" si="11"/>
        <v/>
      </c>
      <c r="P148" s="155">
        <f t="shared" si="12"/>
        <v>0</v>
      </c>
      <c r="Q148" s="150" t="str">
        <f t="shared" si="9"/>
        <v/>
      </c>
    </row>
    <row r="149" spans="1:17" x14ac:dyDescent="0.45">
      <c r="A149">
        <v>146</v>
      </c>
      <c r="B149" s="2" t="str">
        <f>IFERROR(INDEX('Miljövärden urval för publ'!$A$2:$AA$420,MATCH('Miljövärden för publ företag'!$A149,'Miljövärden urval för publ'!$R$2:$R$417,0),1),"")</f>
        <v>Linde Energi AB</v>
      </c>
      <c r="C149" s="2" t="str">
        <f>IFERROR(INDEX('Miljövärden urval för publ'!$A$2:$AA$420,MATCH('Miljövärden för publ företag'!$A149,'Miljövärden urval för publ'!$R$2:$R$417,0),2),"")</f>
        <v>Frövi</v>
      </c>
      <c r="D149">
        <f>IFERROR(VLOOKUP($C149,'Miljövärden urval för publ'!$B$2:$H$417,MATCH('Miljövärden för publ företag'!D$4,'Miljövärden urval för publ'!$B$2:$H$2,0),FALSE),"")</f>
        <v>7.7146300000000001E-2</v>
      </c>
      <c r="E149">
        <f>IFERROR(VLOOKUP($C149,'Miljövärden urval för publ'!$B$2:$H$417,MATCH('Miljövärden för publ företag'!E$4,'Miljövärden urval för publ'!$B$2:$H$2,0),FALSE),"")</f>
        <v>16.9954</v>
      </c>
      <c r="F149">
        <f>IFERROR(VLOOKUP($C149,'Miljövärden urval för publ'!$B$2:$H$417,MATCH('Miljövärden för publ företag'!F$4,'Miljövärden urval för publ'!$B$2:$H$2,0),FALSE),"")</f>
        <v>1.4953399999999999</v>
      </c>
      <c r="G149">
        <f>IFERROR(VLOOKUP($C149,'Miljövärden urval för publ'!$B$2:$H$417,MATCH('Miljövärden för publ företag'!G$4,'Miljövärden urval för publ'!$B$2:$H$2,0),FALSE),"")</f>
        <v>4.75789E-2</v>
      </c>
      <c r="J149">
        <f t="shared" si="10"/>
        <v>65</v>
      </c>
      <c r="M149">
        <v>145</v>
      </c>
      <c r="N149" t="str">
        <f t="shared" si="11"/>
        <v/>
      </c>
      <c r="P149" s="155">
        <f t="shared" si="12"/>
        <v>0</v>
      </c>
      <c r="Q149" s="150" t="str">
        <f t="shared" si="9"/>
        <v/>
      </c>
    </row>
    <row r="150" spans="1:17" x14ac:dyDescent="0.45">
      <c r="A150">
        <v>147</v>
      </c>
      <c r="B150" s="2" t="str">
        <f>IFERROR(INDEX('Miljövärden urval för publ'!$A$2:$AA$420,MATCH('Miljövärden för publ företag'!$A150,'Miljövärden urval för publ'!$R$2:$R$417,0),1),"")</f>
        <v>Linde Energi AB</v>
      </c>
      <c r="C150" s="2" t="str">
        <f>IFERROR(INDEX('Miljövärden urval för publ'!$A$2:$AA$420,MATCH('Miljövärden för publ företag'!$A150,'Miljövärden urval för publ'!$R$2:$R$417,0),2),"")</f>
        <v>Guldsmedhyttan</v>
      </c>
      <c r="D150">
        <f>IFERROR(VLOOKUP($C150,'Miljövärden urval för publ'!$B$2:$H$417,MATCH('Miljövärden för publ företag'!D$4,'Miljövärden urval för publ'!$B$2:$H$2,0),FALSE),"")</f>
        <v>0.13866999999999999</v>
      </c>
      <c r="E150">
        <f>IFERROR(VLOOKUP($C150,'Miljövärden urval för publ'!$B$2:$H$417,MATCH('Miljövärden för publ företag'!E$4,'Miljövärden urval för publ'!$B$2:$H$2,0),FALSE),"")</f>
        <v>3.2553200000000002</v>
      </c>
      <c r="F150">
        <f>IFERROR(VLOOKUP($C150,'Miljövärden urval för publ'!$B$2:$H$417,MATCH('Miljövärden för publ företag'!F$4,'Miljövärden urval för publ'!$B$2:$H$2,0),FALSE),"")</f>
        <v>11.393599999999999</v>
      </c>
      <c r="G150">
        <f>IFERROR(VLOOKUP($C150,'Miljövärden urval för publ'!$B$2:$H$417,MATCH('Miljövärden för publ företag'!G$4,'Miljövärden urval för publ'!$B$2:$H$2,0),FALSE),"")</f>
        <v>0</v>
      </c>
      <c r="J150">
        <f t="shared" si="10"/>
        <v>65</v>
      </c>
      <c r="M150">
        <v>146</v>
      </c>
      <c r="N150" t="str">
        <f t="shared" si="11"/>
        <v/>
      </c>
      <c r="P150" s="155">
        <f t="shared" si="12"/>
        <v>0</v>
      </c>
      <c r="Q150" s="150" t="str">
        <f t="shared" si="9"/>
        <v/>
      </c>
    </row>
    <row r="151" spans="1:17" x14ac:dyDescent="0.45">
      <c r="A151" s="160">
        <v>148</v>
      </c>
      <c r="B151" s="2" t="str">
        <f>IFERROR(INDEX('Miljövärden urval för publ'!$A$2:$AA$420,MATCH('Miljövärden för publ företag'!$A151,'Miljövärden urval för publ'!$R$2:$R$417,0),1),"")</f>
        <v>Linde Energi AB</v>
      </c>
      <c r="C151" s="2" t="str">
        <f>IFERROR(INDEX('Miljövärden urval för publ'!$A$2:$AA$420,MATCH('Miljövärden för publ företag'!$A151,'Miljövärden urval för publ'!$R$2:$R$417,0),2),"")</f>
        <v>Lindesberg</v>
      </c>
      <c r="D151">
        <f>IFERROR(VLOOKUP($C151,'Miljövärden urval för publ'!$B$2:$H$417,MATCH('Miljövärden för publ företag'!D$4,'Miljövärden urval för publ'!$B$2:$H$2,0),FALSE),"")</f>
        <v>7.2358599999999995E-2</v>
      </c>
      <c r="E151">
        <f>IFERROR(VLOOKUP($C151,'Miljövärden urval för publ'!$B$2:$H$417,MATCH('Miljövärden för publ företag'!E$4,'Miljövärden urval för publ'!$B$2:$H$2,0),FALSE),"")</f>
        <v>5.8705499999999997</v>
      </c>
      <c r="F151">
        <f>IFERROR(VLOOKUP($C151,'Miljövärden urval för publ'!$B$2:$H$417,MATCH('Miljövärden för publ företag'!F$4,'Miljövärden urval för publ'!$B$2:$H$2,0),FALSE),"")</f>
        <v>1.93072</v>
      </c>
      <c r="G151">
        <f>IFERROR(VLOOKUP($C151,'Miljövärden urval för publ'!$B$2:$H$417,MATCH('Miljövärden för publ företag'!G$4,'Miljövärden urval för publ'!$B$2:$H$2,0),FALSE),"")</f>
        <v>1.6946099999999999E-2</v>
      </c>
      <c r="J151">
        <f t="shared" si="10"/>
        <v>65</v>
      </c>
      <c r="M151">
        <v>147</v>
      </c>
      <c r="N151" t="str">
        <f t="shared" si="11"/>
        <v/>
      </c>
      <c r="P151" s="155">
        <f t="shared" si="12"/>
        <v>0</v>
      </c>
      <c r="Q151" s="150" t="str">
        <f t="shared" si="9"/>
        <v/>
      </c>
    </row>
    <row r="152" spans="1:17" x14ac:dyDescent="0.45">
      <c r="A152">
        <v>149</v>
      </c>
      <c r="B152" s="2" t="str">
        <f>IFERROR(INDEX('Miljövärden urval för publ'!$A$2:$AA$420,MATCH('Miljövärden för publ företag'!$A152,'Miljövärden urval för publ'!$R$2:$R$417,0),1),"")</f>
        <v>Linde Energi AB</v>
      </c>
      <c r="C152" s="2" t="str">
        <f>IFERROR(INDEX('Miljövärden urval för publ'!$A$2:$AA$420,MATCH('Miljövärden för publ företag'!$A152,'Miljövärden urval för publ'!$R$2:$R$417,0),2),"")</f>
        <v>Vedevåg</v>
      </c>
      <c r="D152">
        <f>IFERROR(VLOOKUP($C152,'Miljövärden urval för publ'!$B$2:$H$417,MATCH('Miljövärden för publ företag'!D$4,'Miljövärden urval för publ'!$B$2:$H$2,0),FALSE),"")</f>
        <v>8.0374600000000004E-2</v>
      </c>
      <c r="E152">
        <f>IFERROR(VLOOKUP($C152,'Miljövärden urval för publ'!$B$2:$H$417,MATCH('Miljövärden för publ företag'!E$4,'Miljövärden urval för publ'!$B$2:$H$2,0),FALSE),"")</f>
        <v>16.577999999999999</v>
      </c>
      <c r="F152">
        <f>IFERROR(VLOOKUP($C152,'Miljövärden urval för publ'!$B$2:$H$417,MATCH('Miljövärden för publ företag'!F$4,'Miljövärden urval för publ'!$B$2:$H$2,0),FALSE),"")</f>
        <v>2.0628500000000001</v>
      </c>
      <c r="G152">
        <f>IFERROR(VLOOKUP($C152,'Miljövärden urval för publ'!$B$2:$H$417,MATCH('Miljövärden för publ företag'!G$4,'Miljövärden urval för publ'!$B$2:$H$2,0),FALSE),"")</f>
        <v>5.1742099999999999E-2</v>
      </c>
      <c r="J152">
        <f t="shared" si="10"/>
        <v>65</v>
      </c>
      <c r="M152">
        <v>148</v>
      </c>
      <c r="N152" t="str">
        <f t="shared" si="11"/>
        <v/>
      </c>
      <c r="P152" s="155">
        <f t="shared" si="12"/>
        <v>0</v>
      </c>
      <c r="Q152" s="150" t="str">
        <f t="shared" si="9"/>
        <v/>
      </c>
    </row>
    <row r="153" spans="1:17" x14ac:dyDescent="0.45">
      <c r="A153">
        <v>150</v>
      </c>
      <c r="B153" s="2" t="str">
        <f>IFERROR(INDEX('Miljövärden urval för publ'!$A$2:$AA$420,MATCH('Miljövärden för publ företag'!$A153,'Miljövärden urval för publ'!$R$2:$R$417,0),1),"")</f>
        <v>Ljungby Energi AB</v>
      </c>
      <c r="C153" s="2" t="str">
        <f>IFERROR(INDEX('Miljövärden urval för publ'!$A$2:$AA$420,MATCH('Miljövärden för publ företag'!$A153,'Miljövärden urval för publ'!$R$2:$R$417,0),2),"")</f>
        <v>Ljungby</v>
      </c>
      <c r="D153">
        <f>IFERROR(VLOOKUP($C153,'Miljövärden urval för publ'!$B$2:$H$417,MATCH('Miljövärden för publ företag'!D$4,'Miljövärden urval för publ'!$B$2:$H$2,0),FALSE),"")</f>
        <v>0.101046</v>
      </c>
      <c r="E153">
        <f>IFERROR(VLOOKUP($C153,'Miljövärden urval för publ'!$B$2:$H$417,MATCH('Miljövärden för publ företag'!E$4,'Miljövärden urval för publ'!$B$2:$H$2,0),FALSE),"")</f>
        <v>110.595</v>
      </c>
      <c r="F153">
        <f>IFERROR(VLOOKUP($C153,'Miljövärden urval för publ'!$B$2:$H$417,MATCH('Miljövärden för publ företag'!F$4,'Miljövärden urval för publ'!$B$2:$H$2,0),FALSE),"")</f>
        <v>6.09396</v>
      </c>
      <c r="G153">
        <f>IFERROR(VLOOKUP($C153,'Miljövärden urval för publ'!$B$2:$H$417,MATCH('Miljövärden för publ företag'!G$4,'Miljövärden urval för publ'!$B$2:$H$2,0),FALSE),"")</f>
        <v>9.6403400000000007E-3</v>
      </c>
      <c r="J153">
        <f t="shared" si="10"/>
        <v>66</v>
      </c>
      <c r="M153">
        <v>149</v>
      </c>
      <c r="N153" t="str">
        <f t="shared" si="11"/>
        <v/>
      </c>
      <c r="P153" s="155">
        <f t="shared" si="12"/>
        <v>0</v>
      </c>
      <c r="Q153" s="150" t="str">
        <f t="shared" si="9"/>
        <v/>
      </c>
    </row>
    <row r="154" spans="1:17" x14ac:dyDescent="0.45">
      <c r="A154" s="160">
        <v>151</v>
      </c>
      <c r="B154" s="2" t="str">
        <f>IFERROR(INDEX('Miljövärden urval för publ'!$A$2:$AA$420,MATCH('Miljövärden för publ företag'!$A154,'Miljövärden urval för publ'!$R$2:$R$417,0),1),"")</f>
        <v>Ljusdal Energi AB</v>
      </c>
      <c r="C154" s="2" t="str">
        <f>IFERROR(INDEX('Miljövärden urval för publ'!$A$2:$AA$420,MATCH('Miljövärden för publ företag'!$A154,'Miljövärden urval för publ'!$R$2:$R$417,0),2),"")</f>
        <v>Färila</v>
      </c>
      <c r="D154">
        <f>IFERROR(VLOOKUP($C154,'Miljövärden urval för publ'!$B$2:$H$417,MATCH('Miljövärden för publ företag'!D$4,'Miljövärden urval för publ'!$B$2:$H$2,0),FALSE),"")</f>
        <v>0.10621</v>
      </c>
      <c r="E154">
        <f>IFERROR(VLOOKUP($C154,'Miljövärden urval för publ'!$B$2:$H$417,MATCH('Miljövärden för publ företag'!E$4,'Miljövärden urval för publ'!$B$2:$H$2,0),FALSE),"")</f>
        <v>12.498799999999999</v>
      </c>
      <c r="F154">
        <f>IFERROR(VLOOKUP($C154,'Miljövärden urval för publ'!$B$2:$H$417,MATCH('Miljövärden för publ företag'!F$4,'Miljövärden urval för publ'!$B$2:$H$2,0),FALSE),"")</f>
        <v>10.387700000000001</v>
      </c>
      <c r="G154">
        <f>IFERROR(VLOOKUP($C154,'Miljövärden urval för publ'!$B$2:$H$417,MATCH('Miljövärden för publ företag'!G$4,'Miljövärden urval för publ'!$B$2:$H$2,0),FALSE),"")</f>
        <v>1.19487E-2</v>
      </c>
      <c r="J154">
        <f t="shared" si="10"/>
        <v>67</v>
      </c>
      <c r="M154">
        <v>150</v>
      </c>
      <c r="N154" t="str">
        <f t="shared" si="11"/>
        <v/>
      </c>
      <c r="P154" s="155">
        <f t="shared" si="12"/>
        <v>0</v>
      </c>
      <c r="Q154" s="150" t="str">
        <f t="shared" si="9"/>
        <v/>
      </c>
    </row>
    <row r="155" spans="1:17" x14ac:dyDescent="0.45">
      <c r="A155">
        <v>152</v>
      </c>
      <c r="B155" s="2" t="str">
        <f>IFERROR(INDEX('Miljövärden urval för publ'!$A$2:$AA$420,MATCH('Miljövärden för publ företag'!$A155,'Miljövärden urval för publ'!$R$2:$R$417,0),1),"")</f>
        <v>Ljusdal Energi AB</v>
      </c>
      <c r="C155" s="2" t="str">
        <f>IFERROR(INDEX('Miljövärden urval för publ'!$A$2:$AA$420,MATCH('Miljövärden för publ företag'!$A155,'Miljövärden urval för publ'!$R$2:$R$417,0),2),"")</f>
        <v>Järvsö</v>
      </c>
      <c r="D155">
        <f>IFERROR(VLOOKUP($C155,'Miljövärden urval för publ'!$B$2:$H$417,MATCH('Miljövärden för publ företag'!D$4,'Miljövärden urval för publ'!$B$2:$H$2,0),FALSE),"")</f>
        <v>8.1342300000000006E-2</v>
      </c>
      <c r="E155">
        <f>IFERROR(VLOOKUP($C155,'Miljövärden urval för publ'!$B$2:$H$417,MATCH('Miljövärden för publ företag'!E$4,'Miljövärden urval för publ'!$B$2:$H$2,0),FALSE),"")</f>
        <v>6.24505</v>
      </c>
      <c r="F155">
        <f>IFERROR(VLOOKUP($C155,'Miljövärden urval för publ'!$B$2:$H$417,MATCH('Miljövärden för publ företag'!F$4,'Miljövärden urval för publ'!$B$2:$H$2,0),FALSE),"")</f>
        <v>7.49369</v>
      </c>
      <c r="G155">
        <f>IFERROR(VLOOKUP($C155,'Miljövärden urval för publ'!$B$2:$H$417,MATCH('Miljövärden för publ företag'!G$4,'Miljövärden urval för publ'!$B$2:$H$2,0),FALSE),"")</f>
        <v>6.7214299999999996E-3</v>
      </c>
      <c r="J155">
        <f t="shared" si="10"/>
        <v>67</v>
      </c>
      <c r="M155">
        <v>151</v>
      </c>
      <c r="N155" t="str">
        <f t="shared" si="11"/>
        <v/>
      </c>
      <c r="P155" s="155">
        <f t="shared" si="12"/>
        <v>0</v>
      </c>
      <c r="Q155" s="150" t="str">
        <f t="shared" si="9"/>
        <v/>
      </c>
    </row>
    <row r="156" spans="1:17" x14ac:dyDescent="0.45">
      <c r="A156">
        <v>153</v>
      </c>
      <c r="B156" s="2" t="str">
        <f>IFERROR(INDEX('Miljövärden urval för publ'!$A$2:$AA$420,MATCH('Miljövärden för publ företag'!$A156,'Miljövärden urval för publ'!$R$2:$R$417,0),1),"")</f>
        <v>Ljusdal Energi AB</v>
      </c>
      <c r="C156" s="2" t="str">
        <f>IFERROR(INDEX('Miljövärden urval för publ'!$A$2:$AA$420,MATCH('Miljövärden för publ företag'!$A156,'Miljövärden urval för publ'!$R$2:$R$417,0),2),"")</f>
        <v>Ljusdal</v>
      </c>
      <c r="D156">
        <f>IFERROR(VLOOKUP($C156,'Miljövärden urval för publ'!$B$2:$H$417,MATCH('Miljövärden för publ företag'!D$4,'Miljövärden urval för publ'!$B$2:$H$2,0),FALSE),"")</f>
        <v>6.7624500000000004E-2</v>
      </c>
      <c r="E156">
        <f>IFERROR(VLOOKUP($C156,'Miljövärden urval för publ'!$B$2:$H$417,MATCH('Miljövärden för publ företag'!E$4,'Miljövärden urval för publ'!$B$2:$H$2,0),FALSE),"")</f>
        <v>4.0499799999999997</v>
      </c>
      <c r="F156">
        <f>IFERROR(VLOOKUP($C156,'Miljövärden urval för publ'!$B$2:$H$417,MATCH('Miljövärden för publ företag'!F$4,'Miljövärden urval för publ'!$B$2:$H$2,0),FALSE),"")</f>
        <v>6.99329</v>
      </c>
      <c r="G156">
        <f>IFERROR(VLOOKUP($C156,'Miljövärden urval för publ'!$B$2:$H$417,MATCH('Miljövärden för publ företag'!G$4,'Miljövärden urval för publ'!$B$2:$H$2,0),FALSE),"")</f>
        <v>1.7147500000000001E-4</v>
      </c>
      <c r="J156">
        <f t="shared" si="10"/>
        <v>67</v>
      </c>
      <c r="M156">
        <v>152</v>
      </c>
      <c r="N156" t="str">
        <f t="shared" si="11"/>
        <v/>
      </c>
      <c r="P156" s="155">
        <f t="shared" si="12"/>
        <v>0</v>
      </c>
      <c r="Q156" s="150" t="str">
        <f t="shared" si="9"/>
        <v/>
      </c>
    </row>
    <row r="157" spans="1:17" x14ac:dyDescent="0.45">
      <c r="A157" s="160">
        <v>154</v>
      </c>
      <c r="B157" s="2" t="str">
        <f>IFERROR(INDEX('Miljövärden urval för publ'!$A$2:$AA$420,MATCH('Miljövärden för publ företag'!$A157,'Miljövärden urval för publ'!$R$2:$R$417,0),1),"")</f>
        <v>Luleå Energi AB</v>
      </c>
      <c r="C157" s="2" t="str">
        <f>IFERROR(INDEX('Miljövärden urval för publ'!$A$2:$AA$420,MATCH('Miljövärden för publ företag'!$A157,'Miljövärden urval för publ'!$R$2:$R$417,0),2),"")</f>
        <v>Luleå</v>
      </c>
      <c r="D157">
        <f>IFERROR(VLOOKUP($C157,'Miljövärden urval för publ'!$B$2:$H$417,MATCH('Miljövärden för publ företag'!D$4,'Miljövärden urval för publ'!$B$2:$H$2,0),FALSE),"")</f>
        <v>8.7359800000000001E-2</v>
      </c>
      <c r="E157">
        <f>IFERROR(VLOOKUP($C157,'Miljövärden urval för publ'!$B$2:$H$417,MATCH('Miljövärden för publ företag'!E$4,'Miljövärden urval för publ'!$B$2:$H$2,0),FALSE),"")</f>
        <v>20.225999999999999</v>
      </c>
      <c r="F157">
        <f>IFERROR(VLOOKUP($C157,'Miljövärden urval för publ'!$B$2:$H$417,MATCH('Miljövärden för publ företag'!F$4,'Miljövärden urval för publ'!$B$2:$H$2,0),FALSE),"")</f>
        <v>2.2755399999999999</v>
      </c>
      <c r="G157">
        <f>IFERROR(VLOOKUP($C157,'Miljövärden urval för publ'!$B$2:$H$417,MATCH('Miljövärden för publ företag'!G$4,'Miljövärden urval för publ'!$B$2:$H$2,0),FALSE),"")</f>
        <v>6.5451400000000007E-2</v>
      </c>
      <c r="J157">
        <f t="shared" si="10"/>
        <v>68</v>
      </c>
      <c r="M157">
        <v>153</v>
      </c>
      <c r="N157" t="str">
        <f t="shared" si="11"/>
        <v/>
      </c>
      <c r="P157" s="155">
        <f t="shared" si="12"/>
        <v>0</v>
      </c>
      <c r="Q157" s="150" t="str">
        <f t="shared" si="9"/>
        <v/>
      </c>
    </row>
    <row r="158" spans="1:17" x14ac:dyDescent="0.45">
      <c r="A158">
        <v>155</v>
      </c>
      <c r="B158" s="2" t="str">
        <f>IFERROR(INDEX('Miljövärden urval för publ'!$A$2:$AA$420,MATCH('Miljövärden för publ företag'!$A158,'Miljövärden urval för publ'!$R$2:$R$417,0),1),"")</f>
        <v>Luleå Energi AB</v>
      </c>
      <c r="C158" s="2" t="str">
        <f>IFERROR(INDEX('Miljövärden urval för publ'!$A$2:$AA$420,MATCH('Miljövärden för publ företag'!$A158,'Miljövärden urval för publ'!$R$2:$R$417,0),2),"")</f>
        <v>Luleå Klimatneutral</v>
      </c>
      <c r="D158">
        <f>IFERROR(VLOOKUP($C158,'Miljövärden urval för publ'!$B$2:$H$417,MATCH('Miljövärden för publ företag'!D$4,'Miljövärden urval för publ'!$B$2:$H$2,0),FALSE),"")</f>
        <v>7.5074599999999997E-3</v>
      </c>
      <c r="E158">
        <f>IFERROR(VLOOKUP($C158,'Miljövärden urval för publ'!$B$2:$H$417,MATCH('Miljövärden för publ företag'!E$4,'Miljövärden urval för publ'!$B$2:$H$2,0),FALSE),"")</f>
        <v>0.23432800000000001</v>
      </c>
      <c r="F158">
        <f>IFERROR(VLOOKUP($C158,'Miljövärden urval för publ'!$B$2:$H$417,MATCH('Miljövärden för publ företag'!F$4,'Miljövärden urval för publ'!$B$2:$H$2,0),FALSE),"")</f>
        <v>0.82686599999999999</v>
      </c>
      <c r="G158">
        <f>IFERROR(VLOOKUP($C158,'Miljövärden urval för publ'!$B$2:$H$417,MATCH('Miljövärden för publ företag'!G$4,'Miljövärden urval för publ'!$B$2:$H$2,0),FALSE),"")</f>
        <v>0</v>
      </c>
      <c r="J158">
        <f t="shared" si="10"/>
        <v>68</v>
      </c>
      <c r="M158">
        <v>154</v>
      </c>
      <c r="N158" t="str">
        <f t="shared" si="11"/>
        <v/>
      </c>
      <c r="P158" s="155">
        <f t="shared" si="12"/>
        <v>0</v>
      </c>
      <c r="Q158" s="150" t="str">
        <f t="shared" si="9"/>
        <v/>
      </c>
    </row>
    <row r="159" spans="1:17" x14ac:dyDescent="0.45">
      <c r="A159">
        <v>156</v>
      </c>
      <c r="B159" s="2" t="str">
        <f>IFERROR(INDEX('Miljövärden urval för publ'!$A$2:$AA$420,MATCH('Miljövärden för publ företag'!$A159,'Miljövärden urval för publ'!$R$2:$R$417,0),1),"")</f>
        <v>Luleå Energi AB</v>
      </c>
      <c r="C159" s="2" t="str">
        <f>IFERROR(INDEX('Miljövärden urval för publ'!$A$2:$AA$420,MATCH('Miljövärden för publ företag'!$A159,'Miljövärden urval för publ'!$R$2:$R$417,0),2),"")</f>
        <v>Råneå</v>
      </c>
      <c r="D159">
        <f>IFERROR(VLOOKUP($C159,'Miljövärden urval för publ'!$B$2:$H$417,MATCH('Miljövärden för publ företag'!D$4,'Miljövärden urval för publ'!$B$2:$H$2,0),FALSE),"")</f>
        <v>0.228964</v>
      </c>
      <c r="E159">
        <f>IFERROR(VLOOKUP($C159,'Miljövärden urval för publ'!$B$2:$H$417,MATCH('Miljövärden för publ företag'!E$4,'Miljövärden urval för publ'!$B$2:$H$2,0),FALSE),"")</f>
        <v>38.864899999999999</v>
      </c>
      <c r="F159">
        <f>IFERROR(VLOOKUP($C159,'Miljövärden urval för publ'!$B$2:$H$417,MATCH('Miljövärden för publ företag'!F$4,'Miljövärden urval för publ'!$B$2:$H$2,0),FALSE),"")</f>
        <v>15.8919</v>
      </c>
      <c r="G159">
        <f>IFERROR(VLOOKUP($C159,'Miljövärden urval för publ'!$B$2:$H$417,MATCH('Miljövärden för publ företag'!G$4,'Miljövärden urval för publ'!$B$2:$H$2,0),FALSE),"")</f>
        <v>8.9115200000000006E-2</v>
      </c>
      <c r="J159">
        <f t="shared" si="10"/>
        <v>68</v>
      </c>
      <c r="M159">
        <v>155</v>
      </c>
      <c r="N159" t="str">
        <f t="shared" si="11"/>
        <v/>
      </c>
      <c r="P159" s="155">
        <f t="shared" si="12"/>
        <v>0</v>
      </c>
      <c r="Q159" s="150" t="str">
        <f t="shared" si="9"/>
        <v/>
      </c>
    </row>
    <row r="160" spans="1:17" x14ac:dyDescent="0.45">
      <c r="A160" s="160">
        <v>157</v>
      </c>
      <c r="B160" s="2" t="str">
        <f>IFERROR(INDEX('Miljövärden urval för publ'!$A$2:$AA$420,MATCH('Miljövärden för publ företag'!$A160,'Miljövärden urval för publ'!$R$2:$R$417,0),1),"")</f>
        <v>Malung-Sälens kommun</v>
      </c>
      <c r="C160" s="2" t="str">
        <f>IFERROR(INDEX('Miljövärden urval för publ'!$A$2:$AA$420,MATCH('Miljövärden för publ företag'!$A160,'Miljövärden urval för publ'!$R$2:$R$417,0),2),"")</f>
        <v>Malung</v>
      </c>
      <c r="D160">
        <f>IFERROR(VLOOKUP($C160,'Miljövärden urval för publ'!$B$2:$H$417,MATCH('Miljövärden för publ företag'!D$4,'Miljövärden urval för publ'!$B$2:$H$2,0),FALSE),"")</f>
        <v>5.5218499999999997E-2</v>
      </c>
      <c r="E160">
        <f>IFERROR(VLOOKUP($C160,'Miljövärden urval för publ'!$B$2:$H$417,MATCH('Miljövärden för publ företag'!E$4,'Miljövärden urval för publ'!$B$2:$H$2,0),FALSE),"")</f>
        <v>5.8859300000000001</v>
      </c>
      <c r="F160">
        <f>IFERROR(VLOOKUP($C160,'Miljövärden urval för publ'!$B$2:$H$417,MATCH('Miljövärden för publ företag'!F$4,'Miljövärden urval för publ'!$B$2:$H$2,0),FALSE),"")</f>
        <v>7.1548100000000003</v>
      </c>
      <c r="G160">
        <f>IFERROR(VLOOKUP($C160,'Miljövärden urval för publ'!$B$2:$H$417,MATCH('Miljövärden för publ företag'!G$4,'Miljövärden urval för publ'!$B$2:$H$2,0),FALSE),"")</f>
        <v>5.9393600000000003E-3</v>
      </c>
      <c r="J160">
        <f t="shared" si="10"/>
        <v>69</v>
      </c>
      <c r="M160">
        <v>156</v>
      </c>
      <c r="N160" t="str">
        <f t="shared" si="11"/>
        <v/>
      </c>
      <c r="P160" s="155">
        <f t="shared" si="12"/>
        <v>0</v>
      </c>
      <c r="Q160" s="150" t="str">
        <f t="shared" si="9"/>
        <v/>
      </c>
    </row>
    <row r="161" spans="1:17" x14ac:dyDescent="0.45">
      <c r="A161">
        <v>158</v>
      </c>
      <c r="B161" s="2" t="str">
        <f>IFERROR(INDEX('Miljövärden urval för publ'!$A$2:$AA$420,MATCH('Miljövärden för publ företag'!$A161,'Miljövärden urval för publ'!$R$2:$R$417,0),1),"")</f>
        <v>Mark Kraftvärme AB</v>
      </c>
      <c r="C161" s="2" t="str">
        <f>IFERROR(INDEX('Miljövärden urval för publ'!$A$2:$AA$420,MATCH('Miljövärden för publ företag'!$A161,'Miljövärden urval för publ'!$R$2:$R$417,0),2),"")</f>
        <v>Assberg - Fritslanäten</v>
      </c>
      <c r="D161">
        <f>IFERROR(VLOOKUP($C161,'Miljövärden urval för publ'!$B$2:$H$417,MATCH('Miljövärden för publ företag'!D$4,'Miljövärden urval för publ'!$B$2:$H$2,0),FALSE),"")</f>
        <v>8.473E-2</v>
      </c>
      <c r="E161">
        <f>IFERROR(VLOOKUP($C161,'Miljövärden urval för publ'!$B$2:$H$417,MATCH('Miljövärden för publ företag'!E$4,'Miljövärden urval för publ'!$B$2:$H$2,0),FALSE),"")</f>
        <v>10.463900000000001</v>
      </c>
      <c r="F161">
        <f>IFERROR(VLOOKUP($C161,'Miljövärden urval för publ'!$B$2:$H$417,MATCH('Miljövärden för publ företag'!F$4,'Miljövärden urval för publ'!$B$2:$H$2,0),FALSE),"")</f>
        <v>9.36829</v>
      </c>
      <c r="G161">
        <f>IFERROR(VLOOKUP($C161,'Miljövärden urval för publ'!$B$2:$H$417,MATCH('Miljövärden för publ företag'!G$4,'Miljövärden urval för publ'!$B$2:$H$2,0),FALSE),"")</f>
        <v>1.4257000000000001E-2</v>
      </c>
      <c r="J161">
        <f t="shared" si="10"/>
        <v>70</v>
      </c>
      <c r="M161">
        <v>157</v>
      </c>
      <c r="N161" t="str">
        <f t="shared" si="11"/>
        <v/>
      </c>
      <c r="P161" s="155">
        <f t="shared" si="12"/>
        <v>0</v>
      </c>
      <c r="Q161" s="150" t="str">
        <f t="shared" si="9"/>
        <v/>
      </c>
    </row>
    <row r="162" spans="1:17" x14ac:dyDescent="0.45">
      <c r="A162">
        <v>159</v>
      </c>
      <c r="B162" s="2" t="str">
        <f>IFERROR(INDEX('Miljövärden urval för publ'!$A$2:$AA$420,MATCH('Miljövärden för publ företag'!$A162,'Miljövärden urval för publ'!$R$2:$R$417,0),1),"")</f>
        <v>Mark Kraftvärme AB</v>
      </c>
      <c r="C162" s="2" t="str">
        <f>IFERROR(INDEX('Miljövärden urval för publ'!$A$2:$AA$420,MATCH('Miljövärden för publ företag'!$A162,'Miljövärden urval för publ'!$R$2:$R$417,0),2),"")</f>
        <v>Hyssna</v>
      </c>
      <c r="D162">
        <f>IFERROR(VLOOKUP($C162,'Miljövärden urval för publ'!$B$2:$H$417,MATCH('Miljövärden för publ företag'!D$4,'Miljövärden urval för publ'!$B$2:$H$2,0),FALSE),"")</f>
        <v>0.223721</v>
      </c>
      <c r="E162">
        <f>IFERROR(VLOOKUP($C162,'Miljövärden urval för publ'!$B$2:$H$417,MATCH('Miljövärden för publ företag'!E$4,'Miljövärden urval för publ'!$B$2:$H$2,0),FALSE),"")</f>
        <v>14.2323</v>
      </c>
      <c r="F162">
        <f>IFERROR(VLOOKUP($C162,'Miljövärden urval för publ'!$B$2:$H$417,MATCH('Miljövärden för publ företag'!F$4,'Miljövärden urval för publ'!$B$2:$H$2,0),FALSE),"")</f>
        <v>20.0487</v>
      </c>
      <c r="G162">
        <f>IFERROR(VLOOKUP($C162,'Miljövärden urval för publ'!$B$2:$H$417,MATCH('Miljövärden för publ företag'!G$4,'Miljövärden urval för publ'!$B$2:$H$2,0),FALSE),"")</f>
        <v>2.24719E-2</v>
      </c>
      <c r="J162">
        <f t="shared" si="10"/>
        <v>70</v>
      </c>
      <c r="M162">
        <v>158</v>
      </c>
      <c r="N162" t="str">
        <f t="shared" si="11"/>
        <v/>
      </c>
      <c r="P162" s="155">
        <f t="shared" si="12"/>
        <v>0</v>
      </c>
      <c r="Q162" s="150" t="str">
        <f t="shared" si="9"/>
        <v/>
      </c>
    </row>
    <row r="163" spans="1:17" x14ac:dyDescent="0.45">
      <c r="A163" s="160">
        <v>160</v>
      </c>
      <c r="B163" s="2" t="str">
        <f>IFERROR(INDEX('Miljövärden urval för publ'!$A$2:$AA$420,MATCH('Miljövärden för publ företag'!$A163,'Miljövärden urval för publ'!$R$2:$R$417,0),1),"")</f>
        <v>Mjölby-Svartådalen Energi AB</v>
      </c>
      <c r="C163" s="2" t="str">
        <f>IFERROR(INDEX('Miljövärden urval för publ'!$A$2:$AA$420,MATCH('Miljövärden för publ företag'!$A163,'Miljövärden urval för publ'!$R$2:$R$417,0),2),"")</f>
        <v>Mjölby</v>
      </c>
      <c r="D163">
        <f>IFERROR(VLOOKUP($C163,'Miljövärden urval för publ'!$B$2:$H$417,MATCH('Miljövärden för publ företag'!D$4,'Miljövärden urval för publ'!$B$2:$H$2,0),FALSE),"")</f>
        <v>6.2534999999999993E-2</v>
      </c>
      <c r="E163">
        <f>IFERROR(VLOOKUP($C163,'Miljövärden urval för publ'!$B$2:$H$417,MATCH('Miljövärden för publ företag'!E$4,'Miljövärden urval för publ'!$B$2:$H$2,0),FALSE),"")</f>
        <v>49.311500000000002</v>
      </c>
      <c r="F163">
        <f>IFERROR(VLOOKUP($C163,'Miljövärden urval för publ'!$B$2:$H$417,MATCH('Miljövärden för publ företag'!F$4,'Miljövärden urval för publ'!$B$2:$H$2,0),FALSE),"")</f>
        <v>6.3441799999999997</v>
      </c>
      <c r="G163">
        <f>IFERROR(VLOOKUP($C163,'Miljövärden urval för publ'!$B$2:$H$417,MATCH('Miljövärden för publ företag'!G$4,'Miljövärden urval för publ'!$B$2:$H$2,0),FALSE),"")</f>
        <v>1.0584400000000001E-2</v>
      </c>
      <c r="J163">
        <f t="shared" si="10"/>
        <v>71</v>
      </c>
      <c r="M163">
        <v>159</v>
      </c>
      <c r="N163" t="str">
        <f t="shared" si="11"/>
        <v/>
      </c>
      <c r="P163" s="155">
        <f t="shared" si="12"/>
        <v>0</v>
      </c>
      <c r="Q163" s="150" t="str">
        <f t="shared" si="9"/>
        <v/>
      </c>
    </row>
    <row r="164" spans="1:17" x14ac:dyDescent="0.45">
      <c r="A164">
        <v>161</v>
      </c>
      <c r="B164" s="2" t="str">
        <f>IFERROR(INDEX('Miljövärden urval för publ'!$A$2:$AA$420,MATCH('Miljövärden för publ företag'!$A164,'Miljövärden urval för publ'!$R$2:$R$417,0),1),"")</f>
        <v>Mälarenergi AB</v>
      </c>
      <c r="C164" s="2" t="str">
        <f>IFERROR(INDEX('Miljövärden urval för publ'!$A$2:$AA$420,MATCH('Miljövärden för publ företag'!$A164,'Miljövärden urval för publ'!$R$2:$R$417,0),2),"")</f>
        <v>Kungsör</v>
      </c>
      <c r="D164">
        <f>IFERROR(VLOOKUP($C164,'Miljövärden urval för publ'!$B$2:$H$417,MATCH('Miljövärden för publ företag'!D$4,'Miljövärden urval för publ'!$B$2:$H$2,0),FALSE),"")</f>
        <v>9.1245999999999994E-2</v>
      </c>
      <c r="E164">
        <f>IFERROR(VLOOKUP($C164,'Miljövärden urval för publ'!$B$2:$H$417,MATCH('Miljövärden för publ företag'!E$4,'Miljövärden urval för publ'!$B$2:$H$2,0),FALSE),"")</f>
        <v>9.4600500000000007</v>
      </c>
      <c r="F164">
        <f>IFERROR(VLOOKUP($C164,'Miljövärden urval för publ'!$B$2:$H$417,MATCH('Miljövärden för publ företag'!F$4,'Miljövärden urval för publ'!$B$2:$H$2,0),FALSE),"")</f>
        <v>6.8736300000000004</v>
      </c>
      <c r="G164">
        <f>IFERROR(VLOOKUP($C164,'Miljövärden urval för publ'!$B$2:$H$417,MATCH('Miljövärden för publ företag'!G$4,'Miljövärden urval för publ'!$B$2:$H$2,0),FALSE),"")</f>
        <v>1.4705299999999999E-2</v>
      </c>
      <c r="J164">
        <f t="shared" si="10"/>
        <v>72</v>
      </c>
      <c r="M164">
        <v>160</v>
      </c>
      <c r="N164" t="str">
        <f t="shared" si="11"/>
        <v/>
      </c>
      <c r="P164" s="155">
        <f t="shared" si="12"/>
        <v>0</v>
      </c>
      <c r="Q164" s="150" t="str">
        <f t="shared" si="9"/>
        <v/>
      </c>
    </row>
    <row r="165" spans="1:17" x14ac:dyDescent="0.45">
      <c r="A165">
        <v>162</v>
      </c>
      <c r="B165" s="2" t="str">
        <f>IFERROR(INDEX('Miljövärden urval för publ'!$A$2:$AA$420,MATCH('Miljövärden för publ företag'!$A165,'Miljövärden urval för publ'!$R$2:$R$417,0),1),"")</f>
        <v>Mälarenergi AB</v>
      </c>
      <c r="C165" s="2" t="str">
        <f>IFERROR(INDEX('Miljövärden urval för publ'!$A$2:$AA$420,MATCH('Miljövärden för publ företag'!$A165,'Miljövärden urval för publ'!$R$2:$R$417,0),2),"")</f>
        <v>Västerås</v>
      </c>
      <c r="D165">
        <f>IFERROR(VLOOKUP($C165,'Miljövärden urval för publ'!$B$2:$H$417,MATCH('Miljövärden för publ företag'!D$4,'Miljövärden urval för publ'!$B$2:$H$2,0),FALSE),"")</f>
        <v>0.133549</v>
      </c>
      <c r="E165">
        <f>IFERROR(VLOOKUP($C165,'Miljövärden urval för publ'!$B$2:$H$417,MATCH('Miljövärden för publ företag'!E$4,'Miljövärden urval för publ'!$B$2:$H$2,0),FALSE),"")</f>
        <v>84.153599999999997</v>
      </c>
      <c r="F165">
        <f>IFERROR(VLOOKUP($C165,'Miljövärden urval för publ'!$B$2:$H$417,MATCH('Miljövärden för publ företag'!F$4,'Miljövärden urval för publ'!$B$2:$H$2,0),FALSE),"")</f>
        <v>5.2758900000000004</v>
      </c>
      <c r="G165">
        <f>IFERROR(VLOOKUP($C165,'Miljövärden urval för publ'!$B$2:$H$417,MATCH('Miljövärden för publ företag'!G$4,'Miljövärden urval för publ'!$B$2:$H$2,0),FALSE),"")</f>
        <v>6.4638799999999996E-2</v>
      </c>
      <c r="J165">
        <f t="shared" si="10"/>
        <v>72</v>
      </c>
      <c r="M165">
        <v>161</v>
      </c>
      <c r="N165" t="str">
        <f t="shared" si="11"/>
        <v/>
      </c>
      <c r="P165" s="155">
        <f t="shared" si="12"/>
        <v>0</v>
      </c>
      <c r="Q165" s="150" t="str">
        <f t="shared" si="9"/>
        <v/>
      </c>
    </row>
    <row r="166" spans="1:17" x14ac:dyDescent="0.45">
      <c r="A166" s="160">
        <v>163</v>
      </c>
      <c r="B166" s="2" t="str">
        <f>IFERROR(INDEX('Miljövärden urval för publ'!$A$2:$AA$420,MATCH('Miljövärden för publ företag'!$A166,'Miljövärden urval för publ'!$R$2:$R$417,0),1),"")</f>
        <v>Mälarenergi AB</v>
      </c>
      <c r="C166" s="2" t="str">
        <f>IFERROR(INDEX('Miljövärden urval för publ'!$A$2:$AA$420,MATCH('Miljövärden för publ företag'!$A166,'Miljövärden urval för publ'!$R$2:$R$417,0),2),"")</f>
        <v>Västerås Miljömärkt</v>
      </c>
      <c r="D166">
        <f>IFERROR(VLOOKUP($C166,'Miljövärden urval för publ'!$B$2:$H$417,MATCH('Miljövärden för publ företag'!D$4,'Miljövärden urval för publ'!$B$2:$H$2,0),FALSE),"")</f>
        <v>0.108209</v>
      </c>
      <c r="E166">
        <f>IFERROR(VLOOKUP($C166,'Miljövärden urval för publ'!$B$2:$H$417,MATCH('Miljövärden för publ företag'!E$4,'Miljövärden urval för publ'!$B$2:$H$2,0),FALSE),"")</f>
        <v>76.772199999999998</v>
      </c>
      <c r="F166">
        <f>IFERROR(VLOOKUP($C166,'Miljövärden urval för publ'!$B$2:$H$417,MATCH('Miljövärden för publ företag'!F$4,'Miljövärden urval för publ'!$B$2:$H$2,0),FALSE),"")</f>
        <v>4.5964999999999998</v>
      </c>
      <c r="G166">
        <f>IFERROR(VLOOKUP($C166,'Miljövärden urval för publ'!$B$2:$H$417,MATCH('Miljövärden för publ företag'!G$4,'Miljövärden urval för publ'!$B$2:$H$2,0),FALSE),"")</f>
        <v>4.9079200000000003E-2</v>
      </c>
      <c r="J166">
        <f t="shared" si="10"/>
        <v>72</v>
      </c>
      <c r="M166">
        <v>162</v>
      </c>
      <c r="N166" t="str">
        <f t="shared" si="11"/>
        <v/>
      </c>
      <c r="P166" s="155">
        <f t="shared" si="12"/>
        <v>0</v>
      </c>
      <c r="Q166" s="150" t="str">
        <f t="shared" si="9"/>
        <v/>
      </c>
    </row>
    <row r="167" spans="1:17" x14ac:dyDescent="0.45">
      <c r="A167">
        <v>164</v>
      </c>
      <c r="B167" s="2" t="str">
        <f>IFERROR(INDEX('Miljövärden urval för publ'!$A$2:$AA$420,MATCH('Miljövärden för publ företag'!$A167,'Miljövärden urval för publ'!$R$2:$R$417,0),1),"")</f>
        <v>Mölndal Energi AB</v>
      </c>
      <c r="C167" s="2" t="str">
        <f>IFERROR(INDEX('Miljövärden urval för publ'!$A$2:$AA$420,MATCH('Miljövärden för publ företag'!$A167,'Miljövärden urval för publ'!$R$2:$R$417,0),2),"")</f>
        <v>Mölndal</v>
      </c>
      <c r="D167">
        <f>IFERROR(VLOOKUP($C167,'Miljövärden urval för publ'!$B$2:$H$417,MATCH('Miljövärden för publ företag'!D$4,'Miljövärden urval för publ'!$B$2:$H$2,0),FALSE),"")</f>
        <v>3.3735300000000003E-2</v>
      </c>
      <c r="E167">
        <f>IFERROR(VLOOKUP($C167,'Miljövärden urval för publ'!$B$2:$H$417,MATCH('Miljövärden för publ företag'!E$4,'Miljövärden urval för publ'!$B$2:$H$2,0),FALSE),"")</f>
        <v>9.8249999999999993</v>
      </c>
      <c r="F167">
        <f>IFERROR(VLOOKUP($C167,'Miljövärden urval för publ'!$B$2:$H$417,MATCH('Miljövärden för publ företag'!F$4,'Miljövärden urval för publ'!$B$2:$H$2,0),FALSE),"")</f>
        <v>2.6153200000000001</v>
      </c>
      <c r="G167">
        <f>IFERROR(VLOOKUP($C167,'Miljövärden urval för publ'!$B$2:$H$417,MATCH('Miljövärden för publ företag'!G$4,'Miljövärden urval för publ'!$B$2:$H$2,0),FALSE),"")</f>
        <v>1.0567400000000001E-4</v>
      </c>
      <c r="J167">
        <f t="shared" si="10"/>
        <v>73</v>
      </c>
      <c r="M167">
        <v>163</v>
      </c>
      <c r="N167" t="str">
        <f t="shared" si="11"/>
        <v/>
      </c>
      <c r="P167" s="155">
        <f t="shared" si="12"/>
        <v>0</v>
      </c>
      <c r="Q167" s="150" t="str">
        <f t="shared" si="9"/>
        <v/>
      </c>
    </row>
    <row r="168" spans="1:17" x14ac:dyDescent="0.45">
      <c r="A168">
        <v>165</v>
      </c>
      <c r="B168" s="2" t="str">
        <f>IFERROR(INDEX('Miljövärden urval för publ'!$A$2:$AA$420,MATCH('Miljövärden för publ företag'!$A168,'Miljövärden urval för publ'!$R$2:$R$417,0),1),"")</f>
        <v>Mölndal Energi AB</v>
      </c>
      <c r="C168" s="2" t="str">
        <f>IFERROR(INDEX('Miljövärden urval för publ'!$A$2:$AA$420,MATCH('Miljövärden för publ företag'!$A168,'Miljövärden urval för publ'!$R$2:$R$417,0),2),"")</f>
        <v>Mölndal Biovärmepaket</v>
      </c>
      <c r="D168">
        <f>IFERROR(VLOOKUP($C168,'Miljövärden urval för publ'!$B$2:$H$417,MATCH('Miljövärden för publ företag'!D$4,'Miljövärden urval för publ'!$B$2:$H$2,0),FALSE),"")</f>
        <v>2.0492400000000001E-2</v>
      </c>
      <c r="E168">
        <f>IFERROR(VLOOKUP($C168,'Miljövärden urval för publ'!$B$2:$H$417,MATCH('Miljövärden för publ företag'!E$4,'Miljövärden urval för publ'!$B$2:$H$2,0),FALSE),"")</f>
        <v>2.4415300000000002</v>
      </c>
      <c r="F168">
        <f>IFERROR(VLOOKUP($C168,'Miljövärden urval för publ'!$B$2:$H$417,MATCH('Miljövärden för publ företag'!F$4,'Miljövärden urval för publ'!$B$2:$H$2,0),FALSE),"")</f>
        <v>4.2726800000000003</v>
      </c>
      <c r="G168">
        <f>IFERROR(VLOOKUP($C168,'Miljövärden urval för publ'!$B$2:$H$417,MATCH('Miljövärden för publ företag'!G$4,'Miljövärden urval för publ'!$B$2:$H$2,0),FALSE),"")</f>
        <v>0</v>
      </c>
      <c r="J168">
        <f t="shared" si="10"/>
        <v>73</v>
      </c>
      <c r="M168">
        <v>164</v>
      </c>
      <c r="N168" t="str">
        <f t="shared" si="11"/>
        <v/>
      </c>
      <c r="P168" s="155">
        <f t="shared" si="12"/>
        <v>0</v>
      </c>
      <c r="Q168" s="150" t="str">
        <f t="shared" si="9"/>
        <v/>
      </c>
    </row>
    <row r="169" spans="1:17" x14ac:dyDescent="0.45">
      <c r="A169" s="160">
        <v>166</v>
      </c>
      <c r="B169" s="2" t="str">
        <f>IFERROR(INDEX('Miljövärden urval för publ'!$A$2:$AA$420,MATCH('Miljövärden för publ företag'!$A169,'Miljövärden urval för publ'!$R$2:$R$417,0),1),"")</f>
        <v>Nevel AB</v>
      </c>
      <c r="C169" s="2" t="str">
        <f>IFERROR(INDEX('Miljövärden urval för publ'!$A$2:$AA$420,MATCH('Miljövärden för publ företag'!$A169,'Miljövärden urval för publ'!$R$2:$R$417,0),2),"")</f>
        <v>Billesholm</v>
      </c>
      <c r="D169">
        <f>IFERROR(VLOOKUP($C169,'Miljövärden urval för publ'!$B$2:$H$417,MATCH('Miljövärden för publ företag'!D$4,'Miljövärden urval för publ'!$B$2:$H$2,0),FALSE),"")</f>
        <v>0.17263700000000001</v>
      </c>
      <c r="E169">
        <f>IFERROR(VLOOKUP($C169,'Miljövärden urval för publ'!$B$2:$H$417,MATCH('Miljövärden för publ företag'!E$4,'Miljövärden urval för publ'!$B$2:$H$2,0),FALSE),"")</f>
        <v>8.2536699999999996</v>
      </c>
      <c r="F169">
        <f>IFERROR(VLOOKUP($C169,'Miljövärden urval för publ'!$B$2:$H$417,MATCH('Miljövärden för publ företag'!F$4,'Miljövärden urval för publ'!$B$2:$H$2,0),FALSE),"")</f>
        <v>17.072700000000001</v>
      </c>
      <c r="G169">
        <f>IFERROR(VLOOKUP($C169,'Miljövärden urval för publ'!$B$2:$H$417,MATCH('Miljövärden för publ företag'!G$4,'Miljövärden urval för publ'!$B$2:$H$2,0),FALSE),"")</f>
        <v>1.0434799999999999E-2</v>
      </c>
      <c r="J169">
        <f t="shared" si="10"/>
        <v>74</v>
      </c>
      <c r="M169">
        <v>165</v>
      </c>
      <c r="N169" t="str">
        <f t="shared" si="11"/>
        <v/>
      </c>
      <c r="P169" s="155">
        <f t="shared" si="12"/>
        <v>0</v>
      </c>
      <c r="Q169" s="150" t="str">
        <f t="shared" si="9"/>
        <v/>
      </c>
    </row>
    <row r="170" spans="1:17" x14ac:dyDescent="0.45">
      <c r="A170">
        <v>167</v>
      </c>
      <c r="B170" s="2" t="str">
        <f>IFERROR(INDEX('Miljövärden urval för publ'!$A$2:$AA$420,MATCH('Miljövärden för publ företag'!$A170,'Miljövärden urval för publ'!$R$2:$R$417,0),1),"")</f>
        <v>Nevel AB</v>
      </c>
      <c r="C170" s="2" t="str">
        <f>IFERROR(INDEX('Miljövärden urval för publ'!$A$2:$AA$420,MATCH('Miljövärden för publ företag'!$A170,'Miljövärden urval för publ'!$R$2:$R$417,0),2),"")</f>
        <v>Bjuv</v>
      </c>
      <c r="D170">
        <f>IFERROR(VLOOKUP($C170,'Miljövärden urval för publ'!$B$2:$H$417,MATCH('Miljövärden för publ företag'!D$4,'Miljövärden urval för publ'!$B$2:$H$2,0),FALSE),"")</f>
        <v>0.125111</v>
      </c>
      <c r="E170">
        <f>IFERROR(VLOOKUP($C170,'Miljövärden urval för publ'!$B$2:$H$417,MATCH('Miljövärden för publ företag'!E$4,'Miljövärden urval för publ'!$B$2:$H$2,0),FALSE),"")</f>
        <v>14.9278</v>
      </c>
      <c r="F170">
        <f>IFERROR(VLOOKUP($C170,'Miljövärden urval för publ'!$B$2:$H$417,MATCH('Miljövärden för publ företag'!F$4,'Miljövärden urval för publ'!$B$2:$H$2,0),FALSE),"")</f>
        <v>10.311999999999999</v>
      </c>
      <c r="G170">
        <f>IFERROR(VLOOKUP($C170,'Miljövärden urval för publ'!$B$2:$H$417,MATCH('Miljövärden för publ företag'!G$4,'Miljövärden urval för publ'!$B$2:$H$2,0),FALSE),"")</f>
        <v>3.3354599999999998E-2</v>
      </c>
      <c r="J170">
        <f t="shared" si="10"/>
        <v>74</v>
      </c>
      <c r="M170">
        <v>166</v>
      </c>
      <c r="N170" t="str">
        <f t="shared" si="11"/>
        <v/>
      </c>
      <c r="P170" s="155">
        <f t="shared" si="12"/>
        <v>0</v>
      </c>
      <c r="Q170" s="150" t="str">
        <f t="shared" si="9"/>
        <v/>
      </c>
    </row>
    <row r="171" spans="1:17" x14ac:dyDescent="0.45">
      <c r="A171">
        <v>168</v>
      </c>
      <c r="B171" s="2" t="str">
        <f>IFERROR(INDEX('Miljövärden urval för publ'!$A$2:$AA$420,MATCH('Miljövärden för publ företag'!$A171,'Miljövärden urval för publ'!$R$2:$R$417,0),1),"")</f>
        <v>Nevel AB</v>
      </c>
      <c r="C171" s="2" t="str">
        <f>IFERROR(INDEX('Miljövärden urval för publ'!$A$2:$AA$420,MATCH('Miljövärden för publ företag'!$A171,'Miljövärden urval för publ'!$R$2:$R$417,0),2),"")</f>
        <v>Gimo</v>
      </c>
      <c r="D171">
        <f>IFERROR(VLOOKUP($C171,'Miljövärden urval för publ'!$B$2:$H$417,MATCH('Miljövärden för publ företag'!D$4,'Miljövärden urval för publ'!$B$2:$H$2,0),FALSE),"")</f>
        <v>9.6100599999999994E-2</v>
      </c>
      <c r="E171">
        <f>IFERROR(VLOOKUP($C171,'Miljövärden urval för publ'!$B$2:$H$417,MATCH('Miljövärden för publ företag'!E$4,'Miljövärden urval för publ'!$B$2:$H$2,0),FALSE),"")</f>
        <v>14.7425</v>
      </c>
      <c r="F171">
        <f>IFERROR(VLOOKUP($C171,'Miljövärden urval för publ'!$B$2:$H$417,MATCH('Miljövärden för publ företag'!F$4,'Miljövärden urval för publ'!$B$2:$H$2,0),FALSE),"")</f>
        <v>10.179600000000001</v>
      </c>
      <c r="G171">
        <f>IFERROR(VLOOKUP($C171,'Miljövärden urval för publ'!$B$2:$H$417,MATCH('Miljövärden för publ företag'!G$4,'Miljövärden urval för publ'!$B$2:$H$2,0),FALSE),"")</f>
        <v>2.5053300000000001E-2</v>
      </c>
      <c r="J171">
        <f t="shared" si="10"/>
        <v>74</v>
      </c>
      <c r="M171">
        <v>167</v>
      </c>
      <c r="N171" t="str">
        <f t="shared" si="11"/>
        <v/>
      </c>
      <c r="P171" s="155">
        <f t="shared" si="12"/>
        <v>0</v>
      </c>
      <c r="Q171" s="150" t="str">
        <f t="shared" si="9"/>
        <v/>
      </c>
    </row>
    <row r="172" spans="1:17" x14ac:dyDescent="0.45">
      <c r="A172" s="160">
        <v>169</v>
      </c>
      <c r="B172" s="2" t="str">
        <f>IFERROR(INDEX('Miljövärden urval för publ'!$A$2:$AA$420,MATCH('Miljövärden för publ företag'!$A172,'Miljövärden urval för publ'!$R$2:$R$417,0),1),"")</f>
        <v>Nevel AB</v>
      </c>
      <c r="C172" s="2" t="str">
        <f>IFERROR(INDEX('Miljövärden urval för publ'!$A$2:$AA$420,MATCH('Miljövärden för publ företag'!$A172,'Miljövärden urval för publ'!$R$2:$R$417,0),2),"")</f>
        <v>Gnosjö</v>
      </c>
      <c r="D172">
        <f>IFERROR(VLOOKUP($C172,'Miljövärden urval för publ'!$B$2:$H$417,MATCH('Miljövärden för publ företag'!D$4,'Miljövärden urval för publ'!$B$2:$H$2,0),FALSE),"")</f>
        <v>0.15668899999999999</v>
      </c>
      <c r="E172">
        <f>IFERROR(VLOOKUP($C172,'Miljövärden urval för publ'!$B$2:$H$417,MATCH('Miljövärden för publ företag'!E$4,'Miljövärden urval för publ'!$B$2:$H$2,0),FALSE),"")</f>
        <v>5.5427999999999997</v>
      </c>
      <c r="F172">
        <f>IFERROR(VLOOKUP($C172,'Miljövärden urval för publ'!$B$2:$H$417,MATCH('Miljövärden för publ företag'!F$4,'Miljövärden urval för publ'!$B$2:$H$2,0),FALSE),"")</f>
        <v>19.399799999999999</v>
      </c>
      <c r="G172">
        <f>IFERROR(VLOOKUP($C172,'Miljövärden urval för publ'!$B$2:$H$417,MATCH('Miljövärden för publ företag'!G$4,'Miljövärden urval för publ'!$B$2:$H$2,0),FALSE),"")</f>
        <v>0</v>
      </c>
      <c r="J172">
        <f t="shared" si="10"/>
        <v>74</v>
      </c>
      <c r="M172">
        <v>168</v>
      </c>
      <c r="N172" t="str">
        <f t="shared" si="11"/>
        <v/>
      </c>
      <c r="P172" s="155">
        <f t="shared" si="12"/>
        <v>0</v>
      </c>
      <c r="Q172" s="150" t="str">
        <f t="shared" si="9"/>
        <v/>
      </c>
    </row>
    <row r="173" spans="1:17" x14ac:dyDescent="0.45">
      <c r="A173">
        <v>170</v>
      </c>
      <c r="B173" s="2" t="str">
        <f>IFERROR(INDEX('Miljövärden urval för publ'!$A$2:$AA$420,MATCH('Miljövärden för publ företag'!$A173,'Miljövärden urval för publ'!$R$2:$R$417,0),1),"")</f>
        <v>Nevel AB</v>
      </c>
      <c r="C173" s="2" t="str">
        <f>IFERROR(INDEX('Miljövärden urval för publ'!$A$2:$AA$420,MATCH('Miljövärden för publ företag'!$A173,'Miljövärden urval för publ'!$R$2:$R$417,0),2),"")</f>
        <v>Hjärnarp-x</v>
      </c>
      <c r="D173">
        <f>IFERROR(VLOOKUP($C173,'Miljövärden urval för publ'!$B$2:$H$417,MATCH('Miljövärden för publ företag'!D$4,'Miljövärden urval för publ'!$B$2:$H$2,0),FALSE),"")</f>
        <v>0.26840599999999998</v>
      </c>
      <c r="E173">
        <f>IFERROR(VLOOKUP($C173,'Miljövärden urval för publ'!$B$2:$H$417,MATCH('Miljövärden för publ företag'!E$4,'Miljövärden urval för publ'!$B$2:$H$2,0),FALSE),"")</f>
        <v>9.3427399999999992</v>
      </c>
      <c r="F173">
        <f>IFERROR(VLOOKUP($C173,'Miljövärden urval för publ'!$B$2:$H$417,MATCH('Miljövärden för publ företag'!F$4,'Miljövärden urval för publ'!$B$2:$H$2,0),FALSE),"")</f>
        <v>18.488</v>
      </c>
      <c r="G173">
        <f>IFERROR(VLOOKUP($C173,'Miljövärden urval för publ'!$B$2:$H$417,MATCH('Miljövärden för publ företag'!G$4,'Miljövärden urval för publ'!$B$2:$H$2,0),FALSE),"")</f>
        <v>1.0999999999999999E-2</v>
      </c>
      <c r="J173">
        <f t="shared" si="10"/>
        <v>74</v>
      </c>
      <c r="M173">
        <v>169</v>
      </c>
      <c r="N173" t="str">
        <f t="shared" si="11"/>
        <v/>
      </c>
      <c r="P173" s="155">
        <f t="shared" si="12"/>
        <v>0</v>
      </c>
      <c r="Q173" s="150" t="str">
        <f t="shared" si="9"/>
        <v/>
      </c>
    </row>
    <row r="174" spans="1:17" x14ac:dyDescent="0.45">
      <c r="A174">
        <v>171</v>
      </c>
      <c r="B174" s="2" t="str">
        <f>IFERROR(INDEX('Miljövärden urval för publ'!$A$2:$AA$420,MATCH('Miljövärden för publ företag'!$A174,'Miljövärden urval för publ'!$R$2:$R$417,0),1),"")</f>
        <v>Nevel AB</v>
      </c>
      <c r="C174" s="2" t="str">
        <f>IFERROR(INDEX('Miljövärden urval för publ'!$A$2:$AA$420,MATCH('Miljövärden för publ företag'!$A174,'Miljövärden urval för publ'!$R$2:$R$417,0),2),"")</f>
        <v>Hultsfred</v>
      </c>
      <c r="D174">
        <f>IFERROR(VLOOKUP($C174,'Miljövärden urval för publ'!$B$2:$H$417,MATCH('Miljövärden för publ företag'!D$4,'Miljövärden urval för publ'!$B$2:$H$2,0),FALSE),"")</f>
        <v>6.0981300000000002E-2</v>
      </c>
      <c r="E174">
        <f>IFERROR(VLOOKUP($C174,'Miljövärden urval för publ'!$B$2:$H$417,MATCH('Miljövärden för publ företag'!E$4,'Miljövärden urval för publ'!$B$2:$H$2,0),FALSE),"")</f>
        <v>5.3272000000000004</v>
      </c>
      <c r="F174">
        <f>IFERROR(VLOOKUP($C174,'Miljövärden urval för publ'!$B$2:$H$417,MATCH('Miljövärden för publ företag'!F$4,'Miljövärden urval för publ'!$B$2:$H$2,0),FALSE),"")</f>
        <v>8.4749300000000005</v>
      </c>
      <c r="G174">
        <f>IFERROR(VLOOKUP($C174,'Miljövärden urval för publ'!$B$2:$H$417,MATCH('Miljövärden för publ företag'!G$4,'Miljövärden urval för publ'!$B$2:$H$2,0),FALSE),"")</f>
        <v>1.5451499999999999E-3</v>
      </c>
      <c r="J174">
        <f t="shared" si="10"/>
        <v>74</v>
      </c>
      <c r="M174">
        <v>170</v>
      </c>
      <c r="N174" t="str">
        <f t="shared" si="11"/>
        <v/>
      </c>
      <c r="P174" s="155">
        <f t="shared" si="12"/>
        <v>0</v>
      </c>
      <c r="Q174" s="150" t="str">
        <f t="shared" si="9"/>
        <v/>
      </c>
    </row>
    <row r="175" spans="1:17" x14ac:dyDescent="0.45">
      <c r="A175" s="160">
        <v>172</v>
      </c>
      <c r="B175" s="2" t="str">
        <f>IFERROR(INDEX('Miljövärden urval för publ'!$A$2:$AA$420,MATCH('Miljövärden för publ företag'!$A175,'Miljövärden urval för publ'!$R$2:$R$417,0),1),"")</f>
        <v>Nevel AB</v>
      </c>
      <c r="C175" s="2" t="str">
        <f>IFERROR(INDEX('Miljövärden urval för publ'!$A$2:$AA$420,MATCH('Miljövärden för publ företag'!$A175,'Miljövärden urval för publ'!$R$2:$R$417,0),2),"")</f>
        <v>Kramfors</v>
      </c>
      <c r="D175">
        <f>IFERROR(VLOOKUP($C175,'Miljövärden urval för publ'!$B$2:$H$417,MATCH('Miljövärden för publ företag'!D$4,'Miljövärden urval för publ'!$B$2:$H$2,0),FALSE),"")</f>
        <v>0.31016500000000002</v>
      </c>
      <c r="E175">
        <f>IFERROR(VLOOKUP($C175,'Miljövärden urval för publ'!$B$2:$H$417,MATCH('Miljövärden för publ företag'!E$4,'Miljövärden urval för publ'!$B$2:$H$2,0),FALSE),"")</f>
        <v>89.426900000000003</v>
      </c>
      <c r="F175">
        <f>IFERROR(VLOOKUP($C175,'Miljövärden urval för publ'!$B$2:$H$417,MATCH('Miljövärden för publ företag'!F$4,'Miljövärden urval för publ'!$B$2:$H$2,0),FALSE),"")</f>
        <v>16.3169</v>
      </c>
      <c r="G175">
        <f>IFERROR(VLOOKUP($C175,'Miljövärden urval för publ'!$B$2:$H$417,MATCH('Miljövärden för publ företag'!G$4,'Miljövärden urval för publ'!$B$2:$H$2,0),FALSE),"")</f>
        <v>1.4800900000000001E-2</v>
      </c>
      <c r="J175">
        <f t="shared" si="10"/>
        <v>74</v>
      </c>
      <c r="M175">
        <v>171</v>
      </c>
      <c r="N175" t="str">
        <f t="shared" si="11"/>
        <v/>
      </c>
      <c r="P175" s="155">
        <f t="shared" si="12"/>
        <v>0</v>
      </c>
      <c r="Q175" s="150" t="str">
        <f t="shared" si="9"/>
        <v/>
      </c>
    </row>
    <row r="176" spans="1:17" x14ac:dyDescent="0.45">
      <c r="A176">
        <v>173</v>
      </c>
      <c r="B176" s="2" t="str">
        <f>IFERROR(INDEX('Miljövärden urval för publ'!$A$2:$AA$420,MATCH('Miljövärden för publ företag'!$A176,'Miljövärden urval för publ'!$R$2:$R$417,0),1),"")</f>
        <v>Nevel AB</v>
      </c>
      <c r="C176" s="2" t="str">
        <f>IFERROR(INDEX('Miljövärden urval för publ'!$A$2:$AA$420,MATCH('Miljövärden för publ företag'!$A176,'Miljövärden urval för publ'!$R$2:$R$417,0),2),"")</f>
        <v>Smålandsstenar</v>
      </c>
      <c r="D176">
        <f>IFERROR(VLOOKUP($C176,'Miljövärden urval för publ'!$B$2:$H$417,MATCH('Miljövärden för publ företag'!D$4,'Miljövärden urval för publ'!$B$2:$H$2,0),FALSE),"")</f>
        <v>0.168715</v>
      </c>
      <c r="E176">
        <f>IFERROR(VLOOKUP($C176,'Miljövärden urval för publ'!$B$2:$H$417,MATCH('Miljövärden för publ företag'!E$4,'Miljövärden urval för publ'!$B$2:$H$2,0),FALSE),"")</f>
        <v>7.6417000000000002</v>
      </c>
      <c r="F176">
        <f>IFERROR(VLOOKUP($C176,'Miljövärden urval för publ'!$B$2:$H$417,MATCH('Miljövärden för publ företag'!F$4,'Miljövärden urval för publ'!$B$2:$H$2,0),FALSE),"")</f>
        <v>17.7896</v>
      </c>
      <c r="G176">
        <f>IFERROR(VLOOKUP($C176,'Miljövärden urval för publ'!$B$2:$H$417,MATCH('Miljövärden för publ företag'!G$4,'Miljövärden urval för publ'!$B$2:$H$2,0),FALSE),"")</f>
        <v>7.62045E-3</v>
      </c>
      <c r="J176">
        <f t="shared" si="10"/>
        <v>74</v>
      </c>
      <c r="M176">
        <v>172</v>
      </c>
      <c r="N176" t="str">
        <f t="shared" si="11"/>
        <v/>
      </c>
      <c r="P176" s="155">
        <f t="shared" si="12"/>
        <v>0</v>
      </c>
      <c r="Q176" s="150" t="str">
        <f t="shared" si="9"/>
        <v/>
      </c>
    </row>
    <row r="177" spans="1:17" x14ac:dyDescent="0.45">
      <c r="A177">
        <v>174</v>
      </c>
      <c r="B177" s="2" t="str">
        <f>IFERROR(INDEX('Miljövärden urval för publ'!$A$2:$AA$420,MATCH('Miljövärden för publ företag'!$A177,'Miljövärden urval för publ'!$R$2:$R$417,0),1),"")</f>
        <v>Nevel AB</v>
      </c>
      <c r="C177" s="2" t="str">
        <f>IFERROR(INDEX('Miljövärden urval för publ'!$A$2:$AA$420,MATCH('Miljövärden för publ företag'!$A177,'Miljövärden urval för publ'!$R$2:$R$417,0),2),"")</f>
        <v>Tanum</v>
      </c>
      <c r="D177">
        <f>IFERROR(VLOOKUP($C177,'Miljövärden urval för publ'!$B$2:$H$417,MATCH('Miljövärden för publ företag'!D$4,'Miljövärden urval för publ'!$B$2:$H$2,0),FALSE),"")</f>
        <v>0.157911</v>
      </c>
      <c r="E177">
        <f>IFERROR(VLOOKUP($C177,'Miljövärden urval för publ'!$B$2:$H$417,MATCH('Miljövärden för publ företag'!E$4,'Miljövärden urval för publ'!$B$2:$H$2,0),FALSE),"")</f>
        <v>5.8852200000000003</v>
      </c>
      <c r="F177">
        <f>IFERROR(VLOOKUP($C177,'Miljövärden urval för publ'!$B$2:$H$417,MATCH('Miljövärden för publ företag'!F$4,'Miljövärden urval för publ'!$B$2:$H$2,0),FALSE),"")</f>
        <v>17.756599999999999</v>
      </c>
      <c r="G177">
        <f>IFERROR(VLOOKUP($C177,'Miljövärden urval för publ'!$B$2:$H$417,MATCH('Miljövärden för publ företag'!G$4,'Miljövärden urval för publ'!$B$2:$H$2,0),FALSE),"")</f>
        <v>2.4224400000000001E-3</v>
      </c>
      <c r="J177">
        <f t="shared" si="10"/>
        <v>74</v>
      </c>
      <c r="M177">
        <v>173</v>
      </c>
      <c r="N177" t="str">
        <f t="shared" si="11"/>
        <v/>
      </c>
      <c r="P177" s="155">
        <f t="shared" si="12"/>
        <v>0</v>
      </c>
      <c r="Q177" s="150" t="str">
        <f t="shared" si="9"/>
        <v/>
      </c>
    </row>
    <row r="178" spans="1:17" x14ac:dyDescent="0.45">
      <c r="A178" s="160">
        <v>175</v>
      </c>
      <c r="B178" s="2" t="str">
        <f>IFERROR(INDEX('Miljövärden urval för publ'!$A$2:$AA$420,MATCH('Miljövärden för publ företag'!$A178,'Miljövärden urval för publ'!$R$2:$R$417,0),1),"")</f>
        <v>Nevel AB</v>
      </c>
      <c r="C178" s="2" t="str">
        <f>IFERROR(INDEX('Miljövärden urval för publ'!$A$2:$AA$420,MATCH('Miljövärden för publ företag'!$A178,'Miljövärden urval för publ'!$R$2:$R$417,0),2),"")</f>
        <v>Tibro</v>
      </c>
      <c r="D178">
        <f>IFERROR(VLOOKUP($C178,'Miljövärden urval för publ'!$B$2:$H$417,MATCH('Miljövärden för publ företag'!D$4,'Miljövärden urval för publ'!$B$2:$H$2,0),FALSE),"")</f>
        <v>7.8527E-2</v>
      </c>
      <c r="E178">
        <f>IFERROR(VLOOKUP($C178,'Miljövärden urval för publ'!$B$2:$H$417,MATCH('Miljövärden för publ företag'!E$4,'Miljövärden urval för publ'!$B$2:$H$2,0),FALSE),"")</f>
        <v>5.8212799999999998</v>
      </c>
      <c r="F178">
        <f>IFERROR(VLOOKUP($C178,'Miljövärden urval för publ'!$B$2:$H$417,MATCH('Miljövärden för publ företag'!F$4,'Miljövärden urval för publ'!$B$2:$H$2,0),FALSE),"")</f>
        <v>9.8939299999999992</v>
      </c>
      <c r="G178">
        <f>IFERROR(VLOOKUP($C178,'Miljövärden urval för publ'!$B$2:$H$417,MATCH('Miljövärden för publ företag'!G$4,'Miljövärden urval för publ'!$B$2:$H$2,0),FALSE),"")</f>
        <v>3.1779199999999999E-3</v>
      </c>
      <c r="J178">
        <f t="shared" si="10"/>
        <v>74</v>
      </c>
      <c r="M178">
        <v>174</v>
      </c>
      <c r="N178" t="str">
        <f t="shared" si="11"/>
        <v/>
      </c>
      <c r="P178" s="155">
        <f t="shared" si="12"/>
        <v>0</v>
      </c>
      <c r="Q178" s="150" t="str">
        <f t="shared" si="9"/>
        <v/>
      </c>
    </row>
    <row r="179" spans="1:17" x14ac:dyDescent="0.45">
      <c r="A179">
        <v>176</v>
      </c>
      <c r="B179" s="2" t="str">
        <f>IFERROR(INDEX('Miljövärden urval för publ'!$A$2:$AA$420,MATCH('Miljövärden för publ företag'!$A179,'Miljövärden urval för publ'!$R$2:$R$417,0),1),"")</f>
        <v>Nevel AB</v>
      </c>
      <c r="C179" s="2" t="str">
        <f>IFERROR(INDEX('Miljövärden urval för publ'!$A$2:$AA$420,MATCH('Miljövärden för publ företag'!$A179,'Miljövärden urval för publ'!$R$2:$R$417,0),2),"")</f>
        <v>Valdemarsvik</v>
      </c>
      <c r="D179">
        <f>IFERROR(VLOOKUP($C179,'Miljövärden urval för publ'!$B$2:$H$417,MATCH('Miljövärden för publ företag'!D$4,'Miljövärden urval för publ'!$B$2:$H$2,0),FALSE),"")</f>
        <v>0.138906</v>
      </c>
      <c r="E179">
        <f>IFERROR(VLOOKUP($C179,'Miljövärden urval för publ'!$B$2:$H$417,MATCH('Miljövärden för publ företag'!E$4,'Miljövärden urval för publ'!$B$2:$H$2,0),FALSE),"")</f>
        <v>5.0284500000000003</v>
      </c>
      <c r="F179">
        <f>IFERROR(VLOOKUP($C179,'Miljövärden urval för publ'!$B$2:$H$417,MATCH('Miljövärden för publ företag'!F$4,'Miljövärden urval för publ'!$B$2:$H$2,0),FALSE),"")</f>
        <v>14.5204</v>
      </c>
      <c r="G179">
        <f>IFERROR(VLOOKUP($C179,'Miljövärden urval för publ'!$B$2:$H$417,MATCH('Miljövärden för publ företag'!G$4,'Miljövärden urval för publ'!$B$2:$H$2,0),FALSE),"")</f>
        <v>1.77571E-3</v>
      </c>
      <c r="J179">
        <f t="shared" si="10"/>
        <v>74</v>
      </c>
      <c r="M179">
        <v>175</v>
      </c>
      <c r="N179" t="str">
        <f t="shared" si="11"/>
        <v/>
      </c>
      <c r="P179" s="155">
        <f t="shared" si="12"/>
        <v>0</v>
      </c>
      <c r="Q179" s="150" t="str">
        <f t="shared" si="9"/>
        <v/>
      </c>
    </row>
    <row r="180" spans="1:17" x14ac:dyDescent="0.45">
      <c r="A180">
        <v>177</v>
      </c>
      <c r="B180" s="2" t="str">
        <f>IFERROR(INDEX('Miljövärden urval för publ'!$A$2:$AA$420,MATCH('Miljövärden för publ företag'!$A180,'Miljövärden urval för publ'!$R$2:$R$417,0),1),"")</f>
        <v>Nevel AB</v>
      </c>
      <c r="C180" s="2" t="str">
        <f>IFERROR(INDEX('Miljövärden urval för publ'!$A$2:$AA$420,MATCH('Miljövärden för publ företag'!$A180,'Miljövärden urval för publ'!$R$2:$R$417,0),2),"")</f>
        <v>Vejbystrand-x</v>
      </c>
      <c r="D180">
        <f>IFERROR(VLOOKUP($C180,'Miljövärden urval för publ'!$B$2:$H$417,MATCH('Miljövärden för publ företag'!D$4,'Miljövärden urval för publ'!$B$2:$H$2,0),FALSE),"")</f>
        <v>0.249417</v>
      </c>
      <c r="E180">
        <f>IFERROR(VLOOKUP($C180,'Miljövärden urval för publ'!$B$2:$H$417,MATCH('Miljövärden för publ företag'!E$4,'Miljövärden urval för publ'!$B$2:$H$2,0),FALSE),"")</f>
        <v>21.462</v>
      </c>
      <c r="F180">
        <f>IFERROR(VLOOKUP($C180,'Miljövärden urval för publ'!$B$2:$H$417,MATCH('Miljövärden för publ företag'!F$4,'Miljövärden urval för publ'!$B$2:$H$2,0),FALSE),"")</f>
        <v>20.4222</v>
      </c>
      <c r="G180">
        <f>IFERROR(VLOOKUP($C180,'Miljövärden urval för publ'!$B$2:$H$417,MATCH('Miljövärden för publ företag'!G$4,'Miljövärden urval för publ'!$B$2:$H$2,0),FALSE),"")</f>
        <v>4.1049200000000001E-2</v>
      </c>
      <c r="J180">
        <f t="shared" si="10"/>
        <v>74</v>
      </c>
      <c r="M180">
        <v>176</v>
      </c>
      <c r="N180" t="str">
        <f t="shared" si="11"/>
        <v/>
      </c>
      <c r="P180" s="155">
        <f t="shared" si="12"/>
        <v>0</v>
      </c>
      <c r="Q180" s="150" t="str">
        <f t="shared" si="9"/>
        <v/>
      </c>
    </row>
    <row r="181" spans="1:17" x14ac:dyDescent="0.45">
      <c r="A181" s="160">
        <v>178</v>
      </c>
      <c r="B181" s="2" t="str">
        <f>IFERROR(INDEX('Miljövärden urval för publ'!$A$2:$AA$420,MATCH('Miljövärden för publ företag'!$A181,'Miljövärden urval för publ'!$R$2:$R$417,0),1),"")</f>
        <v>Nevel AB</v>
      </c>
      <c r="C181" s="2" t="str">
        <f>IFERROR(INDEX('Miljövärden urval för publ'!$A$2:$AA$420,MATCH('Miljövärden för publ företag'!$A181,'Miljövärden urval för publ'!$R$2:$R$417,0),2),"")</f>
        <v>Årjäng</v>
      </c>
      <c r="D181">
        <f>IFERROR(VLOOKUP($C181,'Miljövärden urval för publ'!$B$2:$H$417,MATCH('Miljövärden för publ företag'!D$4,'Miljövärden urval för publ'!$B$2:$H$2,0),FALSE),"")</f>
        <v>0.14821400000000001</v>
      </c>
      <c r="E181">
        <f>IFERROR(VLOOKUP($C181,'Miljövärden urval för publ'!$B$2:$H$417,MATCH('Miljövärden för publ företag'!E$4,'Miljövärden urval för publ'!$B$2:$H$2,0),FALSE),"")</f>
        <v>24.300799999999999</v>
      </c>
      <c r="F181">
        <f>IFERROR(VLOOKUP($C181,'Miljövärden urval för publ'!$B$2:$H$417,MATCH('Miljövärden för publ företag'!F$4,'Miljövärden urval för publ'!$B$2:$H$2,0),FALSE),"")</f>
        <v>12.1059</v>
      </c>
      <c r="G181">
        <f>IFERROR(VLOOKUP($C181,'Miljövärden urval för publ'!$B$2:$H$417,MATCH('Miljövärden för publ företag'!G$4,'Miljövärden urval för publ'!$B$2:$H$2,0),FALSE),"")</f>
        <v>5.6894500000000001E-2</v>
      </c>
      <c r="J181">
        <f t="shared" si="10"/>
        <v>74</v>
      </c>
      <c r="M181">
        <v>177</v>
      </c>
      <c r="N181" t="str">
        <f t="shared" si="11"/>
        <v/>
      </c>
      <c r="P181" s="155">
        <f t="shared" si="12"/>
        <v>0</v>
      </c>
      <c r="Q181" s="150" t="str">
        <f t="shared" si="9"/>
        <v/>
      </c>
    </row>
    <row r="182" spans="1:17" x14ac:dyDescent="0.45">
      <c r="A182">
        <v>179</v>
      </c>
      <c r="B182" s="2" t="str">
        <f>IFERROR(INDEX('Miljövärden urval för publ'!$A$2:$AA$420,MATCH('Miljövärden för publ företag'!$A182,'Miljövärden urval för publ'!$R$2:$R$417,0),1),"")</f>
        <v>Nevel AB</v>
      </c>
      <c r="C182" s="2" t="str">
        <f>IFERROR(INDEX('Miljövärden urval för publ'!$A$2:$AA$420,MATCH('Miljövärden för publ företag'!$A182,'Miljövärden urval för publ'!$R$2:$R$417,0),2),"")</f>
        <v>Åstorp</v>
      </c>
      <c r="D182">
        <f>IFERROR(VLOOKUP($C182,'Miljövärden urval för publ'!$B$2:$H$417,MATCH('Miljövärden för publ företag'!D$4,'Miljövärden urval för publ'!$B$2:$H$2,0),FALSE),"")</f>
        <v>9.4445799999999996E-2</v>
      </c>
      <c r="E182">
        <f>IFERROR(VLOOKUP($C182,'Miljövärden urval för publ'!$B$2:$H$417,MATCH('Miljövärden för publ företag'!E$4,'Miljövärden urval för publ'!$B$2:$H$2,0),FALSE),"")</f>
        <v>7.91561</v>
      </c>
      <c r="F182">
        <f>IFERROR(VLOOKUP($C182,'Miljövärden urval för publ'!$B$2:$H$417,MATCH('Miljövärden för publ företag'!F$4,'Miljövärden urval för publ'!$B$2:$H$2,0),FALSE),"")</f>
        <v>6.7168799999999997</v>
      </c>
      <c r="G182">
        <f>IFERROR(VLOOKUP($C182,'Miljövärden urval för publ'!$B$2:$H$417,MATCH('Miljövärden för publ företag'!G$4,'Miljövärden urval för publ'!$B$2:$H$2,0),FALSE),"")</f>
        <v>1.64516E-2</v>
      </c>
      <c r="J182">
        <f t="shared" si="10"/>
        <v>74</v>
      </c>
      <c r="M182">
        <v>178</v>
      </c>
      <c r="N182" t="str">
        <f t="shared" si="11"/>
        <v/>
      </c>
      <c r="P182" s="155">
        <f t="shared" si="12"/>
        <v>0</v>
      </c>
      <c r="Q182" s="150" t="str">
        <f t="shared" si="9"/>
        <v/>
      </c>
    </row>
    <row r="183" spans="1:17" x14ac:dyDescent="0.45">
      <c r="A183">
        <v>180</v>
      </c>
      <c r="B183" s="2" t="str">
        <f>IFERROR(INDEX('Miljövärden urval för publ'!$A$2:$AA$420,MATCH('Miljövärden för publ företag'!$A183,'Miljövärden urval för publ'!$R$2:$R$417,0),1),"")</f>
        <v>Nevel AB</v>
      </c>
      <c r="C183" s="2" t="str">
        <f>IFERROR(INDEX('Miljövärden urval för publ'!$A$2:$AA$420,MATCH('Miljövärden för publ företag'!$A183,'Miljövärden urval för publ'!$R$2:$R$417,0),2),"")</f>
        <v>Österbybruk</v>
      </c>
      <c r="D183">
        <f>IFERROR(VLOOKUP($C183,'Miljövärden urval för publ'!$B$2:$H$417,MATCH('Miljövärden för publ företag'!D$4,'Miljövärden urval för publ'!$B$2:$H$2,0),FALSE),"")</f>
        <v>0.14341200000000001</v>
      </c>
      <c r="E183">
        <f>IFERROR(VLOOKUP($C183,'Miljövärden urval för publ'!$B$2:$H$417,MATCH('Miljövärden för publ företag'!E$4,'Miljövärden urval för publ'!$B$2:$H$2,0),FALSE),"")</f>
        <v>21.938500000000001</v>
      </c>
      <c r="F183">
        <f>IFERROR(VLOOKUP($C183,'Miljövärden urval för publ'!$B$2:$H$417,MATCH('Miljövärden för publ företag'!F$4,'Miljövärden urval för publ'!$B$2:$H$2,0),FALSE),"")</f>
        <v>11.989800000000001</v>
      </c>
      <c r="G183">
        <f>IFERROR(VLOOKUP($C183,'Miljövärden urval för publ'!$B$2:$H$417,MATCH('Miljövärden för publ företag'!G$4,'Miljövärden urval för publ'!$B$2:$H$2,0),FALSE),"")</f>
        <v>3.6564600000000003E-2</v>
      </c>
      <c r="J183">
        <f t="shared" si="10"/>
        <v>74</v>
      </c>
      <c r="M183">
        <v>179</v>
      </c>
      <c r="N183" t="str">
        <f t="shared" si="11"/>
        <v/>
      </c>
      <c r="P183" s="155">
        <f t="shared" si="12"/>
        <v>0</v>
      </c>
      <c r="Q183" s="150" t="str">
        <f t="shared" si="9"/>
        <v/>
      </c>
    </row>
    <row r="184" spans="1:17" x14ac:dyDescent="0.45">
      <c r="A184" s="160">
        <v>181</v>
      </c>
      <c r="B184" s="2" t="str">
        <f>IFERROR(INDEX('Miljövärden urval för publ'!$A$2:$AA$420,MATCH('Miljövärden för publ företag'!$A184,'Miljövärden urval för publ'!$R$2:$R$417,0),1),"")</f>
        <v>Nevel AB</v>
      </c>
      <c r="C184" s="2" t="str">
        <f>IFERROR(INDEX('Miljövärden urval för publ'!$A$2:$AA$420,MATCH('Miljövärden för publ företag'!$A184,'Miljövärden urval för publ'!$R$2:$R$417,0),2),"")</f>
        <v>Östhammar</v>
      </c>
      <c r="D184">
        <f>IFERROR(VLOOKUP($C184,'Miljövärden urval för publ'!$B$2:$H$417,MATCH('Miljövärden för publ företag'!D$4,'Miljövärden urval för publ'!$B$2:$H$2,0),FALSE),"")</f>
        <v>0.17988899999999999</v>
      </c>
      <c r="E184">
        <f>IFERROR(VLOOKUP($C184,'Miljövärden urval för publ'!$B$2:$H$417,MATCH('Miljövärden för publ företag'!E$4,'Miljövärden urval för publ'!$B$2:$H$2,0),FALSE),"")</f>
        <v>12.503299999999999</v>
      </c>
      <c r="F184">
        <f>IFERROR(VLOOKUP($C184,'Miljövärden urval för publ'!$B$2:$H$417,MATCH('Miljövärden för publ företag'!F$4,'Miljövärden urval för publ'!$B$2:$H$2,0),FALSE),"")</f>
        <v>17.005600000000001</v>
      </c>
      <c r="G184">
        <f>IFERROR(VLOOKUP($C184,'Miljövärden urval för publ'!$B$2:$H$417,MATCH('Miljövärden för publ företag'!G$4,'Miljövärden urval för publ'!$B$2:$H$2,0),FALSE),"")</f>
        <v>2.40374E-2</v>
      </c>
      <c r="J184">
        <f t="shared" si="10"/>
        <v>74</v>
      </c>
      <c r="M184">
        <v>180</v>
      </c>
      <c r="N184" t="str">
        <f t="shared" si="11"/>
        <v/>
      </c>
      <c r="P184" s="155">
        <f t="shared" si="12"/>
        <v>0</v>
      </c>
      <c r="Q184" s="150" t="str">
        <f t="shared" si="9"/>
        <v/>
      </c>
    </row>
    <row r="185" spans="1:17" x14ac:dyDescent="0.45">
      <c r="A185">
        <v>182</v>
      </c>
      <c r="B185" s="2" t="str">
        <f>IFERROR(INDEX('Miljövärden urval för publ'!$A$2:$AA$420,MATCH('Miljövärden för publ företag'!$A185,'Miljövärden urval för publ'!$R$2:$R$417,0),1),"")</f>
        <v>Njudung Energi Sävsjö AB</v>
      </c>
      <c r="C185" s="2" t="str">
        <f>IFERROR(INDEX('Miljövärden urval för publ'!$A$2:$AA$420,MATCH('Miljövärden för publ företag'!$A185,'Miljövärden urval för publ'!$R$2:$R$417,0),2),"")</f>
        <v>Rörvik</v>
      </c>
      <c r="D185">
        <f>IFERROR(VLOOKUP($C185,'Miljövärden urval för publ'!$B$2:$H$417,MATCH('Miljövärden för publ företag'!D$4,'Miljövärden urval för publ'!$B$2:$H$2,0),FALSE),"")</f>
        <v>0.109096</v>
      </c>
      <c r="E185">
        <f>IFERROR(VLOOKUP($C185,'Miljövärden urval för publ'!$B$2:$H$417,MATCH('Miljövärden för publ företag'!E$4,'Miljövärden urval för publ'!$B$2:$H$2,0),FALSE),"")</f>
        <v>13.270099999999999</v>
      </c>
      <c r="F185">
        <f>IFERROR(VLOOKUP($C185,'Miljövärden urval för publ'!$B$2:$H$417,MATCH('Miljövärden för publ företag'!F$4,'Miljövärden urval för publ'!$B$2:$H$2,0),FALSE),"")</f>
        <v>10.0556</v>
      </c>
      <c r="G185">
        <f>IFERROR(VLOOKUP($C185,'Miljövärden urval för publ'!$B$2:$H$417,MATCH('Miljövärden för publ företag'!G$4,'Miljövärden urval för publ'!$B$2:$H$2,0),FALSE),"")</f>
        <v>7.1598199999999999E-3</v>
      </c>
      <c r="J185">
        <f t="shared" si="10"/>
        <v>75</v>
      </c>
      <c r="M185">
        <v>181</v>
      </c>
      <c r="N185" t="str">
        <f t="shared" si="11"/>
        <v/>
      </c>
      <c r="P185" s="155">
        <f t="shared" si="12"/>
        <v>0</v>
      </c>
      <c r="Q185" s="150" t="str">
        <f t="shared" si="9"/>
        <v/>
      </c>
    </row>
    <row r="186" spans="1:17" x14ac:dyDescent="0.45">
      <c r="A186">
        <v>183</v>
      </c>
      <c r="B186" s="2" t="str">
        <f>IFERROR(INDEX('Miljövärden urval för publ'!$A$2:$AA$420,MATCH('Miljövärden för publ företag'!$A186,'Miljövärden urval för publ'!$R$2:$R$417,0),1),"")</f>
        <v>Njudung Energi Sävsjö AB</v>
      </c>
      <c r="C186" s="2" t="str">
        <f>IFERROR(INDEX('Miljövärden urval för publ'!$A$2:$AA$420,MATCH('Miljövärden för publ företag'!$A186,'Miljövärden urval för publ'!$R$2:$R$417,0),2),"")</f>
        <v>Sävsjö</v>
      </c>
      <c r="D186">
        <f>IFERROR(VLOOKUP($C186,'Miljövärden urval för publ'!$B$2:$H$417,MATCH('Miljövärden för publ företag'!D$4,'Miljövärden urval för publ'!$B$2:$H$2,0),FALSE),"")</f>
        <v>0.116586</v>
      </c>
      <c r="E186">
        <f>IFERROR(VLOOKUP($C186,'Miljövärden urval för publ'!$B$2:$H$417,MATCH('Miljövärden för publ företag'!E$4,'Miljövärden urval för publ'!$B$2:$H$2,0),FALSE),"")</f>
        <v>15.273300000000001</v>
      </c>
      <c r="F186">
        <f>IFERROR(VLOOKUP($C186,'Miljövärden urval för publ'!$B$2:$H$417,MATCH('Miljövärden för publ företag'!F$4,'Miljövärden urval för publ'!$B$2:$H$2,0),FALSE),"")</f>
        <v>9.7674199999999995</v>
      </c>
      <c r="G186">
        <f>IFERROR(VLOOKUP($C186,'Miljövärden urval för publ'!$B$2:$H$417,MATCH('Miljövärden för publ företag'!G$4,'Miljövärden urval för publ'!$B$2:$H$2,0),FALSE),"")</f>
        <v>1.35269E-2</v>
      </c>
      <c r="J186">
        <f t="shared" si="10"/>
        <v>75</v>
      </c>
      <c r="M186">
        <v>182</v>
      </c>
      <c r="N186" t="str">
        <f t="shared" si="11"/>
        <v/>
      </c>
      <c r="P186" s="155">
        <f t="shared" si="12"/>
        <v>0</v>
      </c>
      <c r="Q186" s="150" t="str">
        <f t="shared" si="9"/>
        <v/>
      </c>
    </row>
    <row r="187" spans="1:17" x14ac:dyDescent="0.45">
      <c r="A187" s="160">
        <v>184</v>
      </c>
      <c r="B187" s="2" t="str">
        <f>IFERROR(INDEX('Miljövärden urval för publ'!$A$2:$AA$420,MATCH('Miljövärden för publ företag'!$A187,'Miljövärden urval för publ'!$R$2:$R$417,0),1),"")</f>
        <v>Njudung Energi Vetlanda AB</v>
      </c>
      <c r="C187" s="2" t="str">
        <f>IFERROR(INDEX('Miljövärden urval för publ'!$A$2:$AA$420,MATCH('Miljövärden för publ företag'!$A187,'Miljövärden urval för publ'!$R$2:$R$417,0),2),"")</f>
        <v>Holsby</v>
      </c>
      <c r="D187">
        <f>IFERROR(VLOOKUP($C187,'Miljövärden urval för publ'!$B$2:$H$417,MATCH('Miljövärden för publ företag'!D$4,'Miljövärden urval för publ'!$B$2:$H$2,0),FALSE),"")</f>
        <v>0.14789099999999999</v>
      </c>
      <c r="E187">
        <f>IFERROR(VLOOKUP($C187,'Miljövärden urval för publ'!$B$2:$H$417,MATCH('Miljövärden för publ företag'!E$4,'Miljövärden urval för publ'!$B$2:$H$2,0),FALSE),"")</f>
        <v>23.072600000000001</v>
      </c>
      <c r="F187">
        <f>IFERROR(VLOOKUP($C187,'Miljövärden urval för publ'!$B$2:$H$417,MATCH('Miljövärden för publ företag'!F$4,'Miljövärden urval för publ'!$B$2:$H$2,0),FALSE),"")</f>
        <v>9.9638299999999997</v>
      </c>
      <c r="G187">
        <f>IFERROR(VLOOKUP($C187,'Miljövärden urval för publ'!$B$2:$H$417,MATCH('Miljövärden för publ företag'!G$4,'Miljövärden urval för publ'!$B$2:$H$2,0),FALSE),"")</f>
        <v>3.5807199999999997E-2</v>
      </c>
      <c r="J187">
        <f t="shared" si="10"/>
        <v>76</v>
      </c>
      <c r="M187">
        <v>183</v>
      </c>
      <c r="N187" t="str">
        <f t="shared" si="11"/>
        <v/>
      </c>
      <c r="P187" s="155">
        <f t="shared" si="12"/>
        <v>0</v>
      </c>
      <c r="Q187" s="150" t="str">
        <f t="shared" si="9"/>
        <v/>
      </c>
    </row>
    <row r="188" spans="1:17" x14ac:dyDescent="0.45">
      <c r="A188">
        <v>185</v>
      </c>
      <c r="B188" s="2" t="str">
        <f>IFERROR(INDEX('Miljövärden urval för publ'!$A$2:$AA$420,MATCH('Miljövärden för publ företag'!$A188,'Miljövärden urval för publ'!$R$2:$R$417,0),1),"")</f>
        <v>Njudung Energi Vetlanda AB</v>
      </c>
      <c r="C188" s="2" t="str">
        <f>IFERROR(INDEX('Miljövärden urval för publ'!$A$2:$AA$420,MATCH('Miljövärden för publ företag'!$A188,'Miljövärden urval för publ'!$R$2:$R$417,0),2),"")</f>
        <v>Vetlanda</v>
      </c>
      <c r="D188">
        <f>IFERROR(VLOOKUP($C188,'Miljövärden urval för publ'!$B$2:$H$417,MATCH('Miljövärden för publ företag'!D$4,'Miljövärden urval för publ'!$B$2:$H$2,0),FALSE),"")</f>
        <v>0.13358600000000001</v>
      </c>
      <c r="E188">
        <f>IFERROR(VLOOKUP($C188,'Miljövärden urval för publ'!$B$2:$H$417,MATCH('Miljövärden för publ företag'!E$4,'Miljövärden urval för publ'!$B$2:$H$2,0),FALSE),"")</f>
        <v>16.720700000000001</v>
      </c>
      <c r="F188">
        <f>IFERROR(VLOOKUP($C188,'Miljövärden urval för publ'!$B$2:$H$417,MATCH('Miljövärden för publ företag'!F$4,'Miljövärden urval för publ'!$B$2:$H$2,0),FALSE),"")</f>
        <v>5.6951400000000003</v>
      </c>
      <c r="G188">
        <f>IFERROR(VLOOKUP($C188,'Miljövärden urval för publ'!$B$2:$H$417,MATCH('Miljövärden för publ företag'!G$4,'Miljövärden urval för publ'!$B$2:$H$2,0),FALSE),"")</f>
        <v>2.0570000000000001E-2</v>
      </c>
      <c r="J188">
        <f t="shared" si="10"/>
        <v>76</v>
      </c>
      <c r="M188">
        <v>184</v>
      </c>
      <c r="N188" t="str">
        <f t="shared" si="11"/>
        <v/>
      </c>
      <c r="P188" s="155">
        <f t="shared" si="12"/>
        <v>0</v>
      </c>
      <c r="Q188" s="150" t="str">
        <f t="shared" si="9"/>
        <v/>
      </c>
    </row>
    <row r="189" spans="1:17" x14ac:dyDescent="0.45">
      <c r="A189">
        <v>186</v>
      </c>
      <c r="B189" s="2" t="str">
        <f>IFERROR(INDEX('Miljövärden urval för publ'!$A$2:$AA$420,MATCH('Miljövärden för publ företag'!$A189,'Miljövärden urval för publ'!$R$2:$R$417,0),1),"")</f>
        <v>Nordanstigs Fjärrvärme AB</v>
      </c>
      <c r="C189" s="2" t="str">
        <f>IFERROR(INDEX('Miljövärden urval för publ'!$A$2:$AA$420,MATCH('Miljövärden för publ företag'!$A189,'Miljövärden urval för publ'!$R$2:$R$417,0),2),"")</f>
        <v>Nordanstig</v>
      </c>
      <c r="D189">
        <f>IFERROR(VLOOKUP($C189,'Miljövärden urval för publ'!$B$2:$H$417,MATCH('Miljövärden för publ företag'!D$4,'Miljövärden urval för publ'!$B$2:$H$2,0),FALSE),"")</f>
        <v>0.203902</v>
      </c>
      <c r="E189">
        <f>IFERROR(VLOOKUP($C189,'Miljövärden urval för publ'!$B$2:$H$417,MATCH('Miljövärden för publ företag'!E$4,'Miljövärden urval för publ'!$B$2:$H$2,0),FALSE),"")</f>
        <v>36.447099999999999</v>
      </c>
      <c r="F189">
        <f>IFERROR(VLOOKUP($C189,'Miljövärden urval för publ'!$B$2:$H$417,MATCH('Miljövärden för publ företag'!F$4,'Miljövärden urval för publ'!$B$2:$H$2,0),FALSE),"")</f>
        <v>10.223800000000001</v>
      </c>
      <c r="G189">
        <f>IFERROR(VLOOKUP($C189,'Miljövärden urval för publ'!$B$2:$H$417,MATCH('Miljövärden för publ företag'!G$4,'Miljövärden urval för publ'!$B$2:$H$2,0),FALSE),"")</f>
        <v>8.04343E-2</v>
      </c>
      <c r="J189">
        <f t="shared" si="10"/>
        <v>77</v>
      </c>
      <c r="M189">
        <v>185</v>
      </c>
      <c r="N189" t="str">
        <f t="shared" si="11"/>
        <v/>
      </c>
      <c r="P189" s="155">
        <f t="shared" si="12"/>
        <v>0</v>
      </c>
      <c r="Q189" s="150" t="str">
        <f t="shared" si="9"/>
        <v/>
      </c>
    </row>
    <row r="190" spans="1:17" x14ac:dyDescent="0.45">
      <c r="A190" s="160">
        <v>187</v>
      </c>
      <c r="B190" s="2" t="str">
        <f>IFERROR(INDEX('Miljövärden urval för publ'!$A$2:$AA$420,MATCH('Miljövärden för publ företag'!$A190,'Miljövärden urval för publ'!$R$2:$R$417,0),1),"")</f>
        <v>Norrenergi AB</v>
      </c>
      <c r="C190" s="2" t="str">
        <f>IFERROR(INDEX('Miljövärden urval för publ'!$A$2:$AA$420,MATCH('Miljövärden för publ företag'!$A190,'Miljövärden urval för publ'!$R$2:$R$417,0),2),"")</f>
        <v>Sundbyberg-Solna</v>
      </c>
      <c r="D190">
        <f>IFERROR(VLOOKUP($C190,'Miljövärden urval för publ'!$B$2:$H$417,MATCH('Miljövärden för publ företag'!D$4,'Miljövärden urval för publ'!$B$2:$H$2,0),FALSE),"")</f>
        <v>0.33292500000000003</v>
      </c>
      <c r="E190">
        <f>IFERROR(VLOOKUP($C190,'Miljövärden urval för publ'!$B$2:$H$417,MATCH('Miljövärden för publ företag'!E$4,'Miljövärden urval för publ'!$B$2:$H$2,0),FALSE),"")</f>
        <v>1.2020599999999999</v>
      </c>
      <c r="F190">
        <f>IFERROR(VLOOKUP($C190,'Miljövärden urval för publ'!$B$2:$H$417,MATCH('Miljövärden för publ företag'!F$4,'Miljövärden urval för publ'!$B$2:$H$2,0),FALSE),"")</f>
        <v>2.33745</v>
      </c>
      <c r="G190">
        <f>IFERROR(VLOOKUP($C190,'Miljövärden urval för publ'!$B$2:$H$417,MATCH('Miljövärden för publ företag'!G$4,'Miljövärden urval för publ'!$B$2:$H$2,0),FALSE),"")</f>
        <v>1.84987E-3</v>
      </c>
      <c r="J190">
        <f t="shared" si="10"/>
        <v>78</v>
      </c>
      <c r="M190">
        <v>186</v>
      </c>
      <c r="N190" t="str">
        <f t="shared" si="11"/>
        <v/>
      </c>
      <c r="P190" s="155">
        <f t="shared" si="12"/>
        <v>0</v>
      </c>
      <c r="Q190" s="150" t="str">
        <f t="shared" si="9"/>
        <v/>
      </c>
    </row>
    <row r="191" spans="1:17" x14ac:dyDescent="0.45">
      <c r="A191">
        <v>188</v>
      </c>
      <c r="B191" s="2" t="str">
        <f>IFERROR(INDEX('Miljövärden urval för publ'!$A$2:$AA$420,MATCH('Miljövärden för publ företag'!$A191,'Miljövärden urval för publ'!$R$2:$R$417,0),1),"")</f>
        <v>Norrtälje Energi AB</v>
      </c>
      <c r="C191" s="2" t="str">
        <f>IFERROR(INDEX('Miljövärden urval för publ'!$A$2:$AA$420,MATCH('Miljövärden för publ företag'!$A191,'Miljövärden urval för publ'!$R$2:$R$417,0),2),"")</f>
        <v>Hallstavik</v>
      </c>
      <c r="D191">
        <f>IFERROR(VLOOKUP($C191,'Miljövärden urval för publ'!$B$2:$H$417,MATCH('Miljövärden för publ företag'!D$4,'Miljövärden urval för publ'!$B$2:$H$2,0),FALSE),"")</f>
        <v>0.119855</v>
      </c>
      <c r="E191">
        <f>IFERROR(VLOOKUP($C191,'Miljövärden urval för publ'!$B$2:$H$417,MATCH('Miljövärden för publ företag'!E$4,'Miljövärden urval för publ'!$B$2:$H$2,0),FALSE),"")</f>
        <v>3.2405499999999998</v>
      </c>
      <c r="F191">
        <f>IFERROR(VLOOKUP($C191,'Miljövärden urval för publ'!$B$2:$H$417,MATCH('Miljövärden för publ företag'!F$4,'Miljövärden urval för publ'!$B$2:$H$2,0),FALSE),"")</f>
        <v>11.0122</v>
      </c>
      <c r="G191">
        <f>IFERROR(VLOOKUP($C191,'Miljövärden urval för publ'!$B$2:$H$417,MATCH('Miljövärden för publ företag'!G$4,'Miljövärden urval för publ'!$B$2:$H$2,0),FALSE),"")</f>
        <v>2.90444E-4</v>
      </c>
      <c r="J191">
        <f t="shared" si="10"/>
        <v>79</v>
      </c>
      <c r="M191">
        <v>187</v>
      </c>
      <c r="N191" t="str">
        <f t="shared" si="11"/>
        <v/>
      </c>
      <c r="P191" s="155">
        <f t="shared" si="12"/>
        <v>0</v>
      </c>
      <c r="Q191" s="150" t="str">
        <f t="shared" si="9"/>
        <v/>
      </c>
    </row>
    <row r="192" spans="1:17" x14ac:dyDescent="0.45">
      <c r="A192">
        <v>189</v>
      </c>
      <c r="B192" s="2" t="str">
        <f>IFERROR(INDEX('Miljövärden urval för publ'!$A$2:$AA$420,MATCH('Miljövärden för publ företag'!$A192,'Miljövärden urval för publ'!$R$2:$R$417,0),1),"")</f>
        <v>Norrtälje Energi AB</v>
      </c>
      <c r="C192" s="2" t="str">
        <f>IFERROR(INDEX('Miljövärden urval för publ'!$A$2:$AA$420,MATCH('Miljövärden för publ företag'!$A192,'Miljövärden urval för publ'!$R$2:$R$417,0),2),"")</f>
        <v>Norrtälje</v>
      </c>
      <c r="D192">
        <f>IFERROR(VLOOKUP($C192,'Miljövärden urval för publ'!$B$2:$H$417,MATCH('Miljövärden för publ företag'!D$4,'Miljövärden urval för publ'!$B$2:$H$2,0),FALSE),"")</f>
        <v>8.5508200000000006E-2</v>
      </c>
      <c r="E192">
        <f>IFERROR(VLOOKUP($C192,'Miljövärden urval för publ'!$B$2:$H$417,MATCH('Miljövärden för publ företag'!E$4,'Miljövärden urval för publ'!$B$2:$H$2,0),FALSE),"")</f>
        <v>4.1139299999999999</v>
      </c>
      <c r="F192">
        <f>IFERROR(VLOOKUP($C192,'Miljövärden urval för publ'!$B$2:$H$417,MATCH('Miljövärden för publ företag'!F$4,'Miljövärden urval för publ'!$B$2:$H$2,0),FALSE),"")</f>
        <v>7.0422399999999996</v>
      </c>
      <c r="G192">
        <f>IFERROR(VLOOKUP($C192,'Miljövärden urval för publ'!$B$2:$H$417,MATCH('Miljövärden för publ företag'!G$4,'Miljövärden urval för publ'!$B$2:$H$2,0),FALSE),"")</f>
        <v>2.7094700000000001E-4</v>
      </c>
      <c r="J192">
        <f t="shared" si="10"/>
        <v>79</v>
      </c>
      <c r="M192">
        <v>188</v>
      </c>
      <c r="N192" t="str">
        <f t="shared" si="11"/>
        <v/>
      </c>
      <c r="P192" s="155">
        <f t="shared" si="12"/>
        <v>0</v>
      </c>
      <c r="Q192" s="150" t="str">
        <f t="shared" si="9"/>
        <v/>
      </c>
    </row>
    <row r="193" spans="1:17" x14ac:dyDescent="0.45">
      <c r="A193" s="160">
        <v>190</v>
      </c>
      <c r="B193" s="2" t="str">
        <f>IFERROR(INDEX('Miljövärden urval för publ'!$A$2:$AA$420,MATCH('Miljövärden för publ företag'!$A193,'Miljövärden urval för publ'!$R$2:$R$417,0),1),"")</f>
        <v>Norrtälje Energi AB</v>
      </c>
      <c r="C193" s="2" t="str">
        <f>IFERROR(INDEX('Miljövärden urval för publ'!$A$2:$AA$420,MATCH('Miljövärden för publ företag'!$A193,'Miljövärden urval för publ'!$R$2:$R$417,0),2),"")</f>
        <v>Rimbo</v>
      </c>
      <c r="D193">
        <f>IFERROR(VLOOKUP($C193,'Miljövärden urval för publ'!$B$2:$H$417,MATCH('Miljövärden för publ företag'!D$4,'Miljövärden urval för publ'!$B$2:$H$2,0),FALSE),"")</f>
        <v>0.111107</v>
      </c>
      <c r="E193">
        <f>IFERROR(VLOOKUP($C193,'Miljövärden urval för publ'!$B$2:$H$417,MATCH('Miljövärden för publ företag'!E$4,'Miljövärden urval för publ'!$B$2:$H$2,0),FALSE),"")</f>
        <v>14.5943</v>
      </c>
      <c r="F193">
        <f>IFERROR(VLOOKUP($C193,'Miljövärden urval för publ'!$B$2:$H$417,MATCH('Miljövärden för publ företag'!F$4,'Miljövärden urval för publ'!$B$2:$H$2,0),FALSE),"")</f>
        <v>9.0793599999999994</v>
      </c>
      <c r="G193">
        <f>IFERROR(VLOOKUP($C193,'Miljövärden urval för publ'!$B$2:$H$417,MATCH('Miljövärden för publ företag'!G$4,'Miljövärden urval för publ'!$B$2:$H$2,0),FALSE),"")</f>
        <v>2.56557E-2</v>
      </c>
      <c r="J193">
        <f t="shared" si="10"/>
        <v>79</v>
      </c>
      <c r="M193">
        <v>189</v>
      </c>
      <c r="N193" t="str">
        <f t="shared" si="11"/>
        <v/>
      </c>
      <c r="P193" s="155">
        <f t="shared" si="12"/>
        <v>0</v>
      </c>
      <c r="Q193" s="150" t="str">
        <f t="shared" si="9"/>
        <v/>
      </c>
    </row>
    <row r="194" spans="1:17" x14ac:dyDescent="0.45">
      <c r="A194">
        <v>191</v>
      </c>
      <c r="B194" s="2" t="str">
        <f>IFERROR(INDEX('Miljövärden urval för publ'!$A$2:$AA$420,MATCH('Miljövärden för publ företag'!$A194,'Miljövärden urval för publ'!$R$2:$R$417,0),1),"")</f>
        <v>Nossebro Energi Värme AB</v>
      </c>
      <c r="C194" s="2" t="str">
        <f>IFERROR(INDEX('Miljövärden urval för publ'!$A$2:$AA$420,MATCH('Miljövärden för publ företag'!$A194,'Miljövärden urval för publ'!$R$2:$R$417,0),2),"")</f>
        <v>Essunga</v>
      </c>
      <c r="D194">
        <f>IFERROR(VLOOKUP($C194,'Miljövärden urval för publ'!$B$2:$H$417,MATCH('Miljövärden för publ företag'!D$4,'Miljövärden urval för publ'!$B$2:$H$2,0),FALSE),"")</f>
        <v>8.9407E-2</v>
      </c>
      <c r="E194">
        <f>IFERROR(VLOOKUP($C194,'Miljövärden urval för publ'!$B$2:$H$417,MATCH('Miljövärden för publ företag'!E$4,'Miljövärden urval för publ'!$B$2:$H$2,0),FALSE),"")</f>
        <v>5.7788899999999996</v>
      </c>
      <c r="F194">
        <f>IFERROR(VLOOKUP($C194,'Miljövärden urval för publ'!$B$2:$H$417,MATCH('Miljövärden för publ företag'!F$4,'Miljövärden urval för publ'!$B$2:$H$2,0),FALSE),"")</f>
        <v>11.2563</v>
      </c>
      <c r="G194">
        <f>IFERROR(VLOOKUP($C194,'Miljövärden urval för publ'!$B$2:$H$417,MATCH('Miljövärden för publ företag'!G$4,'Miljövärden urval för publ'!$B$2:$H$2,0),FALSE),"")</f>
        <v>0</v>
      </c>
      <c r="J194">
        <f t="shared" si="10"/>
        <v>80</v>
      </c>
      <c r="M194">
        <v>190</v>
      </c>
      <c r="N194" t="str">
        <f t="shared" si="11"/>
        <v/>
      </c>
      <c r="P194" s="155">
        <f t="shared" si="12"/>
        <v>0</v>
      </c>
      <c r="Q194" s="150" t="str">
        <f t="shared" si="9"/>
        <v/>
      </c>
    </row>
    <row r="195" spans="1:17" x14ac:dyDescent="0.45">
      <c r="A195">
        <v>192</v>
      </c>
      <c r="B195" s="2" t="str">
        <f>IFERROR(INDEX('Miljövärden urval för publ'!$A$2:$AA$420,MATCH('Miljövärden för publ företag'!$A195,'Miljövärden urval för publ'!$R$2:$R$417,0),1),"")</f>
        <v>Nybro Energi AB</v>
      </c>
      <c r="C195" s="2" t="str">
        <f>IFERROR(INDEX('Miljövärden urval för publ'!$A$2:$AA$420,MATCH('Miljövärden för publ företag'!$A195,'Miljövärden urval för publ'!$R$2:$R$417,0),2),"")</f>
        <v>Nybro stadsnät</v>
      </c>
      <c r="D195">
        <f>IFERROR(VLOOKUP($C195,'Miljövärden urval för publ'!$B$2:$H$417,MATCH('Miljövärden för publ företag'!D$4,'Miljövärden urval för publ'!$B$2:$H$2,0),FALSE),"")</f>
        <v>0.14930499999999999</v>
      </c>
      <c r="E195">
        <f>IFERROR(VLOOKUP($C195,'Miljövärden urval för publ'!$B$2:$H$417,MATCH('Miljövärden för publ företag'!E$4,'Miljövärden urval för publ'!$B$2:$H$2,0),FALSE),"")</f>
        <v>141.976</v>
      </c>
      <c r="F195">
        <f>IFERROR(VLOOKUP($C195,'Miljövärden urval för publ'!$B$2:$H$417,MATCH('Miljövärden för publ företag'!F$4,'Miljövärden urval för publ'!$B$2:$H$2,0),FALSE),"")</f>
        <v>6.1639200000000001</v>
      </c>
      <c r="G195">
        <f>IFERROR(VLOOKUP($C195,'Miljövärden urval för publ'!$B$2:$H$417,MATCH('Miljövärden för publ företag'!G$4,'Miljövärden urval för publ'!$B$2:$H$2,0),FALSE),"")</f>
        <v>2.2276799999999999E-2</v>
      </c>
      <c r="J195">
        <f t="shared" si="10"/>
        <v>81</v>
      </c>
      <c r="M195">
        <v>191</v>
      </c>
      <c r="N195" t="str">
        <f t="shared" si="11"/>
        <v/>
      </c>
      <c r="P195" s="155">
        <f t="shared" si="12"/>
        <v>0</v>
      </c>
      <c r="Q195" s="150" t="str">
        <f t="shared" si="9"/>
        <v/>
      </c>
    </row>
    <row r="196" spans="1:17" x14ac:dyDescent="0.45">
      <c r="A196" s="160">
        <v>193</v>
      </c>
      <c r="B196" s="2" t="str">
        <f>IFERROR(INDEX('Miljövärden urval för publ'!$A$2:$AA$420,MATCH('Miljövärden för publ företag'!$A196,'Miljövärden urval för publ'!$R$2:$R$417,0),1),"")</f>
        <v>Nässjö Affärsverk AB</v>
      </c>
      <c r="C196" s="2" t="str">
        <f>IFERROR(INDEX('Miljövärden urval för publ'!$A$2:$AA$420,MATCH('Miljövärden för publ företag'!$A196,'Miljövärden urval för publ'!$R$2:$R$417,0),2),"")</f>
        <v>Anneberg</v>
      </c>
      <c r="D196">
        <f>IFERROR(VLOOKUP($C196,'Miljövärden urval för publ'!$B$2:$H$417,MATCH('Miljövärden för publ företag'!D$4,'Miljövärden urval för publ'!$B$2:$H$2,0),FALSE),"")</f>
        <v>0.227575</v>
      </c>
      <c r="E196">
        <f>IFERROR(VLOOKUP($C196,'Miljövärden urval för publ'!$B$2:$H$417,MATCH('Miljövärden för publ företag'!E$4,'Miljövärden urval för publ'!$B$2:$H$2,0),FALSE),"")</f>
        <v>18.79</v>
      </c>
      <c r="F196">
        <f>IFERROR(VLOOKUP($C196,'Miljövärden urval för publ'!$B$2:$H$417,MATCH('Miljövärden för publ företag'!F$4,'Miljövärden urval för publ'!$B$2:$H$2,0),FALSE),"")</f>
        <v>20.537500000000001</v>
      </c>
      <c r="G196">
        <f>IFERROR(VLOOKUP($C196,'Miljövärden urval för publ'!$B$2:$H$417,MATCH('Miljövärden för publ företag'!G$4,'Miljövärden urval för publ'!$B$2:$H$2,0),FALSE),"")</f>
        <v>3.3890999999999998E-2</v>
      </c>
      <c r="J196">
        <f t="shared" si="10"/>
        <v>82</v>
      </c>
      <c r="M196">
        <v>192</v>
      </c>
      <c r="N196" t="str">
        <f t="shared" si="11"/>
        <v/>
      </c>
      <c r="P196" s="155">
        <f t="shared" si="12"/>
        <v>0</v>
      </c>
      <c r="Q196" s="150" t="str">
        <f t="shared" si="9"/>
        <v/>
      </c>
    </row>
    <row r="197" spans="1:17" x14ac:dyDescent="0.45">
      <c r="A197">
        <v>194</v>
      </c>
      <c r="B197" s="2" t="str">
        <f>IFERROR(INDEX('Miljövärden urval för publ'!$A$2:$AA$420,MATCH('Miljövärden för publ företag'!$A197,'Miljövärden urval för publ'!$R$2:$R$417,0),1),"")</f>
        <v>Nässjö Affärsverk AB</v>
      </c>
      <c r="C197" s="2" t="str">
        <f>IFERROR(INDEX('Miljövärden urval för publ'!$A$2:$AA$420,MATCH('Miljövärden för publ företag'!$A197,'Miljövärden urval för publ'!$R$2:$R$417,0),2),"")</f>
        <v>Bodafors</v>
      </c>
      <c r="D197">
        <f>IFERROR(VLOOKUP($C197,'Miljövärden urval för publ'!$B$2:$H$417,MATCH('Miljövärden för publ företag'!D$4,'Miljövärden urval för publ'!$B$2:$H$2,0),FALSE),"")</f>
        <v>0.112231</v>
      </c>
      <c r="E197">
        <f>IFERROR(VLOOKUP($C197,'Miljövärden urval för publ'!$B$2:$H$417,MATCH('Miljövärden för publ företag'!E$4,'Miljövärden urval för publ'!$B$2:$H$2,0),FALSE),"")</f>
        <v>15.6012</v>
      </c>
      <c r="F197">
        <f>IFERROR(VLOOKUP($C197,'Miljövärden urval för publ'!$B$2:$H$417,MATCH('Miljövärden för publ företag'!F$4,'Miljövärden urval för publ'!$B$2:$H$2,0),FALSE),"")</f>
        <v>9.9162199999999991</v>
      </c>
      <c r="G197">
        <f>IFERROR(VLOOKUP($C197,'Miljövärden urval för publ'!$B$2:$H$417,MATCH('Miljövärden för publ företag'!G$4,'Miljövärden urval för publ'!$B$2:$H$2,0),FALSE),"")</f>
        <v>2.5792300000000001E-2</v>
      </c>
      <c r="J197">
        <f t="shared" si="10"/>
        <v>82</v>
      </c>
      <c r="M197">
        <v>193</v>
      </c>
      <c r="N197" t="str">
        <f t="shared" si="11"/>
        <v/>
      </c>
      <c r="P197" s="155">
        <f t="shared" si="12"/>
        <v>0</v>
      </c>
      <c r="Q197" s="150" t="str">
        <f t="shared" ref="Q197:Q260" si="13">IF(B197=$R$2,C197,"")</f>
        <v/>
      </c>
    </row>
    <row r="198" spans="1:17" x14ac:dyDescent="0.45">
      <c r="A198">
        <v>195</v>
      </c>
      <c r="B198" s="2" t="str">
        <f>IFERROR(INDEX('Miljövärden urval för publ'!$A$2:$AA$420,MATCH('Miljövärden för publ företag'!$A198,'Miljövärden urval för publ'!$R$2:$R$417,0),1),"")</f>
        <v>Nässjö Affärsverk AB</v>
      </c>
      <c r="C198" s="2" t="str">
        <f>IFERROR(INDEX('Miljövärden urval för publ'!$A$2:$AA$420,MATCH('Miljövärden för publ företag'!$A198,'Miljövärden urval för publ'!$R$2:$R$417,0),2),"")</f>
        <v>Nässjö</v>
      </c>
      <c r="D198">
        <f>IFERROR(VLOOKUP($C198,'Miljövärden urval för publ'!$B$2:$H$417,MATCH('Miljövärden för publ företag'!D$4,'Miljövärden urval för publ'!$B$2:$H$2,0),FALSE),"")</f>
        <v>0.100596</v>
      </c>
      <c r="E198">
        <f>IFERROR(VLOOKUP($C198,'Miljövärden urval för publ'!$B$2:$H$417,MATCH('Miljövärden för publ företag'!E$4,'Miljövärden urval för publ'!$B$2:$H$2,0),FALSE),"")</f>
        <v>14.1218</v>
      </c>
      <c r="F198">
        <f>IFERROR(VLOOKUP($C198,'Miljövärden urval för publ'!$B$2:$H$417,MATCH('Miljövärden för publ företag'!F$4,'Miljövärden urval för publ'!$B$2:$H$2,0),FALSE),"")</f>
        <v>6.7162800000000002</v>
      </c>
      <c r="G198">
        <f>IFERROR(VLOOKUP($C198,'Miljövärden urval för publ'!$B$2:$H$417,MATCH('Miljövärden för publ företag'!G$4,'Miljövärden urval för publ'!$B$2:$H$2,0),FALSE),"")</f>
        <v>3.6135899999999999E-2</v>
      </c>
      <c r="J198">
        <f t="shared" ref="J198:J261" si="14">IF(B198=B197,J197,J197+1)</f>
        <v>82</v>
      </c>
      <c r="M198">
        <v>194</v>
      </c>
      <c r="N198" t="str">
        <f t="shared" ref="N198:N261" si="15">IFERROR(INDEX($B$4:$J$487,MATCH(M198,$J$4:$J$487,0),1),"")</f>
        <v/>
      </c>
      <c r="P198" s="155">
        <f t="shared" ref="P198:P261" si="16">IF(Q198="",P197,P197+1)</f>
        <v>0</v>
      </c>
      <c r="Q198" s="150" t="str">
        <f t="shared" si="13"/>
        <v/>
      </c>
    </row>
    <row r="199" spans="1:17" x14ac:dyDescent="0.45">
      <c r="A199" s="160">
        <v>196</v>
      </c>
      <c r="B199" s="2" t="str">
        <f>IFERROR(INDEX('Miljövärden urval för publ'!$A$2:$AA$420,MATCH('Miljövärden för publ företag'!$A199,'Miljövärden urval för publ'!$R$2:$R$417,0),1),"")</f>
        <v>Olofströms Kraft AB</v>
      </c>
      <c r="C199" s="2" t="str">
        <f>IFERROR(INDEX('Miljövärden urval för publ'!$A$2:$AA$420,MATCH('Miljövärden för publ företag'!$A199,'Miljövärden urval för publ'!$R$2:$R$417,0),2),"")</f>
        <v>Olofström</v>
      </c>
      <c r="D199">
        <f>IFERROR(VLOOKUP($C199,'Miljövärden urval för publ'!$B$2:$H$417,MATCH('Miljövärden för publ företag'!D$4,'Miljövärden urval för publ'!$B$2:$H$2,0),FALSE),"")</f>
        <v>0.109304</v>
      </c>
      <c r="E199">
        <f>IFERROR(VLOOKUP($C199,'Miljövärden urval för publ'!$B$2:$H$417,MATCH('Miljövärden för publ företag'!E$4,'Miljövärden urval för publ'!$B$2:$H$2,0),FALSE),"")</f>
        <v>12.7059</v>
      </c>
      <c r="F199">
        <f>IFERROR(VLOOKUP($C199,'Miljövärden urval för publ'!$B$2:$H$417,MATCH('Miljövärden för publ företag'!F$4,'Miljövärden urval för publ'!$B$2:$H$2,0),FALSE),"")</f>
        <v>10.337400000000001</v>
      </c>
      <c r="G199">
        <f>IFERROR(VLOOKUP($C199,'Miljövärden urval för publ'!$B$2:$H$417,MATCH('Miljövärden för publ företag'!G$4,'Miljövärden urval för publ'!$B$2:$H$2,0),FALSE),"")</f>
        <v>1.95514E-2</v>
      </c>
      <c r="J199">
        <f t="shared" si="14"/>
        <v>83</v>
      </c>
      <c r="M199">
        <v>195</v>
      </c>
      <c r="N199" t="str">
        <f t="shared" si="15"/>
        <v/>
      </c>
      <c r="P199" s="155">
        <f t="shared" si="16"/>
        <v>0</v>
      </c>
      <c r="Q199" s="150" t="str">
        <f t="shared" si="13"/>
        <v/>
      </c>
    </row>
    <row r="200" spans="1:17" x14ac:dyDescent="0.45">
      <c r="A200">
        <v>197</v>
      </c>
      <c r="B200" s="2" t="str">
        <f>IFERROR(INDEX('Miljövärden urval för publ'!$A$2:$AA$420,MATCH('Miljövärden för publ företag'!$A200,'Miljövärden urval för publ'!$R$2:$R$417,0),1),"")</f>
        <v>Oskarshamn Energi AB</v>
      </c>
      <c r="C200" s="2" t="str">
        <f>IFERROR(INDEX('Miljövärden urval för publ'!$A$2:$AA$420,MATCH('Miljövärden för publ företag'!$A200,'Miljövärden urval för publ'!$R$2:$R$417,0),2),"")</f>
        <v>Oskarshamn</v>
      </c>
      <c r="D200">
        <f>IFERROR(VLOOKUP($C200,'Miljövärden urval för publ'!$B$2:$H$417,MATCH('Miljövärden för publ företag'!D$4,'Miljövärden urval för publ'!$B$2:$H$2,0),FALSE),"")</f>
        <v>8.2848199999999997E-2</v>
      </c>
      <c r="E200">
        <f>IFERROR(VLOOKUP($C200,'Miljövärden urval för publ'!$B$2:$H$417,MATCH('Miljövärden för publ företag'!E$4,'Miljövärden urval för publ'!$B$2:$H$2,0),FALSE),"")</f>
        <v>4.6421599999999996</v>
      </c>
      <c r="F200">
        <f>IFERROR(VLOOKUP($C200,'Miljövärden urval för publ'!$B$2:$H$417,MATCH('Miljövärden för publ företag'!F$4,'Miljövärden urval för publ'!$B$2:$H$2,0),FALSE),"")</f>
        <v>6.7529300000000001</v>
      </c>
      <c r="G200">
        <f>IFERROR(VLOOKUP($C200,'Miljövärden urval för publ'!$B$2:$H$417,MATCH('Miljövärden för publ företag'!G$4,'Miljövärden urval för publ'!$B$2:$H$2,0),FALSE),"")</f>
        <v>2.9397899999999999E-3</v>
      </c>
      <c r="J200">
        <f t="shared" si="14"/>
        <v>84</v>
      </c>
      <c r="M200">
        <v>196</v>
      </c>
      <c r="N200" t="str">
        <f t="shared" si="15"/>
        <v/>
      </c>
      <c r="P200" s="155">
        <f t="shared" si="16"/>
        <v>0</v>
      </c>
      <c r="Q200" s="150" t="str">
        <f t="shared" si="13"/>
        <v/>
      </c>
    </row>
    <row r="201" spans="1:17" x14ac:dyDescent="0.45">
      <c r="A201">
        <v>198</v>
      </c>
      <c r="B201" s="2" t="str">
        <f>IFERROR(INDEX('Miljövärden urval för publ'!$A$2:$AA$420,MATCH('Miljövärden för publ företag'!$A201,'Miljövärden urval för publ'!$R$2:$R$417,0),1),"")</f>
        <v>Oxelö Energi AB</v>
      </c>
      <c r="C201" s="2" t="str">
        <f>IFERROR(INDEX('Miljövärden urval för publ'!$A$2:$AA$420,MATCH('Miljövärden för publ företag'!$A201,'Miljövärden urval för publ'!$R$2:$R$417,0),2),"")</f>
        <v>Oxelösund</v>
      </c>
      <c r="D201">
        <f>IFERROR(VLOOKUP($C201,'Miljövärden urval för publ'!$B$2:$H$417,MATCH('Miljövärden för publ företag'!D$4,'Miljövärden urval för publ'!$B$2:$H$2,0),FALSE),"")</f>
        <v>6.62132E-2</v>
      </c>
      <c r="E201">
        <f>IFERROR(VLOOKUP($C201,'Miljövärden urval för publ'!$B$2:$H$417,MATCH('Miljövärden för publ företag'!E$4,'Miljövärden urval för publ'!$B$2:$H$2,0),FALSE),"")</f>
        <v>7.5754799999999998</v>
      </c>
      <c r="F201">
        <f>IFERROR(VLOOKUP($C201,'Miljövärden urval för publ'!$B$2:$H$417,MATCH('Miljövärden för publ företag'!F$4,'Miljövärden urval för publ'!$B$2:$H$2,0),FALSE),"")</f>
        <v>4.2255299999999999E-3</v>
      </c>
      <c r="G201">
        <f>IFERROR(VLOOKUP($C201,'Miljövärden urval för publ'!$B$2:$H$417,MATCH('Miljövärden för publ företag'!G$4,'Miljövärden urval för publ'!$B$2:$H$2,0),FALSE),"")</f>
        <v>8.6948900000000003E-3</v>
      </c>
      <c r="J201">
        <f t="shared" si="14"/>
        <v>85</v>
      </c>
      <c r="M201">
        <v>197</v>
      </c>
      <c r="N201" t="str">
        <f t="shared" si="15"/>
        <v/>
      </c>
      <c r="P201" s="155">
        <f t="shared" si="16"/>
        <v>0</v>
      </c>
      <c r="Q201" s="150" t="str">
        <f t="shared" si="13"/>
        <v/>
      </c>
    </row>
    <row r="202" spans="1:17" x14ac:dyDescent="0.45">
      <c r="A202" s="160">
        <v>199</v>
      </c>
      <c r="B202" s="2" t="str">
        <f>IFERROR(INDEX('Miljövärden urval för publ'!$A$2:$AA$420,MATCH('Miljövärden för publ företag'!$A202,'Miljövärden urval för publ'!$R$2:$R$417,0),1),"")</f>
        <v>Pajala Värmeverk AB</v>
      </c>
      <c r="C202" s="2" t="str">
        <f>IFERROR(INDEX('Miljövärden urval för publ'!$A$2:$AA$420,MATCH('Miljövärden för publ företag'!$A202,'Miljövärden urval för publ'!$R$2:$R$417,0),2),"")</f>
        <v>Pajala</v>
      </c>
      <c r="D202">
        <f>IFERROR(VLOOKUP($C202,'Miljövärden urval för publ'!$B$2:$H$417,MATCH('Miljövärden för publ företag'!D$4,'Miljövärden urval för publ'!$B$2:$H$2,0),FALSE),"")</f>
        <v>0.130222</v>
      </c>
      <c r="E202">
        <f>IFERROR(VLOOKUP($C202,'Miljövärden urval för publ'!$B$2:$H$417,MATCH('Miljövärden för publ företag'!E$4,'Miljövärden urval för publ'!$B$2:$H$2,0),FALSE),"")</f>
        <v>20.245999999999999</v>
      </c>
      <c r="F202">
        <f>IFERROR(VLOOKUP($C202,'Miljövärden urval för publ'!$B$2:$H$417,MATCH('Miljövärden för publ företag'!F$4,'Miljövärden urval för publ'!$B$2:$H$2,0),FALSE),"")</f>
        <v>11.623699999999999</v>
      </c>
      <c r="G202">
        <f>IFERROR(VLOOKUP($C202,'Miljövärden urval för publ'!$B$2:$H$417,MATCH('Miljövärden för publ företag'!G$4,'Miljövärden urval för publ'!$B$2:$H$2,0),FALSE),"")</f>
        <v>3.66866E-2</v>
      </c>
      <c r="J202">
        <f t="shared" si="14"/>
        <v>86</v>
      </c>
      <c r="M202">
        <v>198</v>
      </c>
      <c r="N202" t="str">
        <f t="shared" si="15"/>
        <v/>
      </c>
      <c r="P202" s="155">
        <f t="shared" si="16"/>
        <v>0</v>
      </c>
      <c r="Q202" s="150" t="str">
        <f t="shared" si="13"/>
        <v/>
      </c>
    </row>
    <row r="203" spans="1:17" x14ac:dyDescent="0.45">
      <c r="A203">
        <v>200</v>
      </c>
      <c r="B203" s="2" t="str">
        <f>IFERROR(INDEX('Miljövärden urval för publ'!$A$2:$AA$420,MATCH('Miljövärden för publ företag'!$A203,'Miljövärden urval för publ'!$R$2:$R$417,0),1),"")</f>
        <v>Partille Energi AB</v>
      </c>
      <c r="C203" s="2" t="str">
        <f>IFERROR(INDEX('Miljövärden urval för publ'!$A$2:$AA$420,MATCH('Miljövärden för publ företag'!$A203,'Miljövärden urval för publ'!$R$2:$R$417,0),2),"")</f>
        <v>Partille</v>
      </c>
      <c r="D203">
        <f>IFERROR(VLOOKUP($C203,'Miljövärden urval för publ'!$B$2:$H$417,MATCH('Miljövärden för publ företag'!D$4,'Miljövärden urval för publ'!$B$2:$H$2,0),FALSE),"")</f>
        <v>0.22595699999999999</v>
      </c>
      <c r="E203">
        <f>IFERROR(VLOOKUP($C203,'Miljövärden urval för publ'!$B$2:$H$417,MATCH('Miljövärden för publ företag'!E$4,'Miljövärden urval för publ'!$B$2:$H$2,0),FALSE),"")</f>
        <v>70.765000000000001</v>
      </c>
      <c r="F203">
        <f>IFERROR(VLOOKUP($C203,'Miljövärden urval för publ'!$B$2:$H$417,MATCH('Miljövärden för publ företag'!F$4,'Miljövärden urval för publ'!$B$2:$H$2,0),FALSE),"")</f>
        <v>8.4270099999999992</v>
      </c>
      <c r="G203">
        <f>IFERROR(VLOOKUP($C203,'Miljövärden urval för publ'!$B$2:$H$417,MATCH('Miljövärden för publ företag'!G$4,'Miljövärden urval för publ'!$B$2:$H$2,0),FALSE),"")</f>
        <v>0.115</v>
      </c>
      <c r="J203">
        <f t="shared" si="14"/>
        <v>87</v>
      </c>
      <c r="M203">
        <v>199</v>
      </c>
      <c r="N203" t="str">
        <f t="shared" si="15"/>
        <v/>
      </c>
      <c r="P203" s="155">
        <f t="shared" si="16"/>
        <v>0</v>
      </c>
      <c r="Q203" s="150" t="str">
        <f t="shared" si="13"/>
        <v/>
      </c>
    </row>
    <row r="204" spans="1:17" x14ac:dyDescent="0.45">
      <c r="A204">
        <v>201</v>
      </c>
      <c r="B204" s="2" t="str">
        <f>IFERROR(INDEX('Miljövärden urval för publ'!$A$2:$AA$420,MATCH('Miljövärden för publ företag'!$A204,'Miljövärden urval för publ'!$R$2:$R$417,0),1),"")</f>
        <v>Perstorps Fjärrvärme AB</v>
      </c>
      <c r="C204" s="2" t="str">
        <f>IFERROR(INDEX('Miljövärden urval för publ'!$A$2:$AA$420,MATCH('Miljövärden för publ företag'!$A204,'Miljövärden urval för publ'!$R$2:$R$417,0),2),"")</f>
        <v>Perstorp</v>
      </c>
      <c r="D204">
        <f>IFERROR(VLOOKUP($C204,'Miljövärden urval för publ'!$B$2:$H$417,MATCH('Miljövärden för publ företag'!D$4,'Miljövärden urval för publ'!$B$2:$H$2,0),FALSE),"")</f>
        <v>3.57969E-2</v>
      </c>
      <c r="E204">
        <f>IFERROR(VLOOKUP($C204,'Miljövärden urval för publ'!$B$2:$H$417,MATCH('Miljövärden för publ företag'!E$4,'Miljövärden urval för publ'!$B$2:$H$2,0),FALSE),"")</f>
        <v>4.5208000000000004</v>
      </c>
      <c r="F204">
        <f>IFERROR(VLOOKUP($C204,'Miljövärden urval för publ'!$B$2:$H$417,MATCH('Miljövärden för publ företag'!F$4,'Miljövärden urval för publ'!$B$2:$H$2,0),FALSE),"")</f>
        <v>7.7122900000000003</v>
      </c>
      <c r="G204">
        <f>IFERROR(VLOOKUP($C204,'Miljövärden urval för publ'!$B$2:$H$417,MATCH('Miljövärden för publ företag'!G$4,'Miljövärden urval för publ'!$B$2:$H$2,0),FALSE),"")</f>
        <v>3.3604400000000002E-4</v>
      </c>
      <c r="J204">
        <f t="shared" si="14"/>
        <v>88</v>
      </c>
      <c r="M204">
        <v>200</v>
      </c>
      <c r="N204" t="str">
        <f t="shared" si="15"/>
        <v/>
      </c>
      <c r="P204" s="155">
        <f t="shared" si="16"/>
        <v>0</v>
      </c>
      <c r="Q204" s="150" t="str">
        <f t="shared" si="13"/>
        <v/>
      </c>
    </row>
    <row r="205" spans="1:17" x14ac:dyDescent="0.45">
      <c r="A205" s="160">
        <v>202</v>
      </c>
      <c r="B205" s="2" t="str">
        <f>IFERROR(INDEX('Miljövärden urval för publ'!$A$2:$AA$420,MATCH('Miljövärden för publ företag'!$A205,'Miljövärden urval för publ'!$R$2:$R$417,0),1),"")</f>
        <v>PiteEnergi AB</v>
      </c>
      <c r="C205" s="2" t="str">
        <f>IFERROR(INDEX('Miljövärden urval för publ'!$A$2:$AA$420,MATCH('Miljövärden för publ företag'!$A205,'Miljövärden urval för publ'!$R$2:$R$417,0),2),"")</f>
        <v>Norrfjärden</v>
      </c>
      <c r="D205">
        <f>IFERROR(VLOOKUP($C205,'Miljövärden urval för publ'!$B$2:$H$417,MATCH('Miljövärden för publ företag'!D$4,'Miljövärden urval för publ'!$B$2:$H$2,0),FALSE),"")</f>
        <v>0.24321899999999999</v>
      </c>
      <c r="E205">
        <f>IFERROR(VLOOKUP($C205,'Miljövärden urval för publ'!$B$2:$H$417,MATCH('Miljövärden för publ företag'!E$4,'Miljövärden urval för publ'!$B$2:$H$2,0),FALSE),"")</f>
        <v>5.5559099999999999</v>
      </c>
      <c r="F205">
        <f>IFERROR(VLOOKUP($C205,'Miljövärden urval för publ'!$B$2:$H$417,MATCH('Miljövärden för publ företag'!F$4,'Miljövärden urval för publ'!$B$2:$H$2,0),FALSE),"")</f>
        <v>17.250800000000002</v>
      </c>
      <c r="G205">
        <f>IFERROR(VLOOKUP($C205,'Miljövärden urval för publ'!$B$2:$H$417,MATCH('Miljövärden för publ företag'!G$4,'Miljövärden urval för publ'!$B$2:$H$2,0),FALSE),"")</f>
        <v>1.8061399999999999E-3</v>
      </c>
      <c r="J205">
        <f t="shared" si="14"/>
        <v>89</v>
      </c>
      <c r="M205">
        <v>201</v>
      </c>
      <c r="N205" t="str">
        <f t="shared" si="15"/>
        <v/>
      </c>
      <c r="P205" s="155">
        <f t="shared" si="16"/>
        <v>0</v>
      </c>
      <c r="Q205" s="150" t="str">
        <f t="shared" si="13"/>
        <v/>
      </c>
    </row>
    <row r="206" spans="1:17" x14ac:dyDescent="0.45">
      <c r="A206">
        <v>203</v>
      </c>
      <c r="B206" s="2" t="str">
        <f>IFERROR(INDEX('Miljövärden urval för publ'!$A$2:$AA$420,MATCH('Miljövärden för publ företag'!$A206,'Miljövärden urval för publ'!$R$2:$R$417,0),1),"")</f>
        <v>PiteEnergi AB</v>
      </c>
      <c r="C206" s="2" t="str">
        <f>IFERROR(INDEX('Miljövärden urval för publ'!$A$2:$AA$420,MATCH('Miljövärden för publ företag'!$A206,'Miljövärden urval för publ'!$R$2:$R$417,0),2),"")</f>
        <v>Piteå</v>
      </c>
      <c r="D206">
        <f>IFERROR(VLOOKUP($C206,'Miljövärden urval för publ'!$B$2:$H$417,MATCH('Miljövärden för publ företag'!D$4,'Miljövärden urval för publ'!$B$2:$H$2,0),FALSE),"")</f>
        <v>2.5564199999999999E-2</v>
      </c>
      <c r="E206">
        <f>IFERROR(VLOOKUP($C206,'Miljövärden urval för publ'!$B$2:$H$417,MATCH('Miljövärden för publ företag'!E$4,'Miljövärden urval för publ'!$B$2:$H$2,0),FALSE),"")</f>
        <v>4.1406000000000001</v>
      </c>
      <c r="F206">
        <f>IFERROR(VLOOKUP($C206,'Miljövärden urval för publ'!$B$2:$H$417,MATCH('Miljövärden för publ företag'!F$4,'Miljövärden urval för publ'!$B$2:$H$2,0),FALSE),"")</f>
        <v>0.33623900000000001</v>
      </c>
      <c r="G206">
        <f>IFERROR(VLOOKUP($C206,'Miljövärden urval för publ'!$B$2:$H$417,MATCH('Miljövärden för publ företag'!G$4,'Miljövärden urval för publ'!$B$2:$H$2,0),FALSE),"")</f>
        <v>1.2781499999999999E-2</v>
      </c>
      <c r="J206">
        <f t="shared" si="14"/>
        <v>89</v>
      </c>
      <c r="M206">
        <v>202</v>
      </c>
      <c r="N206" t="str">
        <f t="shared" si="15"/>
        <v/>
      </c>
      <c r="P206" s="155">
        <f t="shared" si="16"/>
        <v>0</v>
      </c>
      <c r="Q206" s="150" t="str">
        <f t="shared" si="13"/>
        <v/>
      </c>
    </row>
    <row r="207" spans="1:17" x14ac:dyDescent="0.45">
      <c r="A207">
        <v>204</v>
      </c>
      <c r="B207" s="2" t="str">
        <f>IFERROR(INDEX('Miljövärden urval för publ'!$A$2:$AA$420,MATCH('Miljövärden för publ företag'!$A207,'Miljövärden urval för publ'!$R$2:$R$417,0),1),"")</f>
        <v>PiteEnergi AB</v>
      </c>
      <c r="C207" s="2" t="str">
        <f>IFERROR(INDEX('Miljövärden urval för publ'!$A$2:$AA$420,MATCH('Miljövärden för publ företag'!$A207,'Miljövärden urval för publ'!$R$2:$R$417,0),2),"")</f>
        <v>Rosvik</v>
      </c>
      <c r="D207">
        <f>IFERROR(VLOOKUP($C207,'Miljövärden urval för publ'!$B$2:$H$417,MATCH('Miljövärden för publ företag'!D$4,'Miljövärden urval för publ'!$B$2:$H$2,0),FALSE),"")</f>
        <v>7.3670100000000002E-2</v>
      </c>
      <c r="E207">
        <f>IFERROR(VLOOKUP($C207,'Miljövärden urval för publ'!$B$2:$H$417,MATCH('Miljövärden för publ företag'!E$4,'Miljövärden urval för publ'!$B$2:$H$2,0),FALSE),"")</f>
        <v>5.4226799999999997</v>
      </c>
      <c r="F207">
        <f>IFERROR(VLOOKUP($C207,'Miljövärden urval för publ'!$B$2:$H$417,MATCH('Miljövärden för publ företag'!F$4,'Miljövärden urval för publ'!$B$2:$H$2,0),FALSE),"")</f>
        <v>9.4896700000000003</v>
      </c>
      <c r="G207">
        <f>IFERROR(VLOOKUP($C207,'Miljövärden urval för publ'!$B$2:$H$417,MATCH('Miljövärden för publ företag'!G$4,'Miljövärden urval för publ'!$B$2:$H$2,0),FALSE),"")</f>
        <v>0</v>
      </c>
      <c r="J207">
        <f t="shared" si="14"/>
        <v>89</v>
      </c>
      <c r="M207">
        <v>203</v>
      </c>
      <c r="N207" t="str">
        <f t="shared" si="15"/>
        <v/>
      </c>
      <c r="P207" s="155">
        <f t="shared" si="16"/>
        <v>0</v>
      </c>
      <c r="Q207" s="150" t="str">
        <f t="shared" si="13"/>
        <v/>
      </c>
    </row>
    <row r="208" spans="1:17" x14ac:dyDescent="0.45">
      <c r="A208" s="160">
        <v>205</v>
      </c>
      <c r="B208" s="2" t="str">
        <f>IFERROR(INDEX('Miljövärden urval för publ'!$A$2:$AA$420,MATCH('Miljövärden för publ företag'!$A208,'Miljövärden urval för publ'!$R$2:$R$417,0),1),"")</f>
        <v>PiteEnergi AB</v>
      </c>
      <c r="C208" s="2" t="str">
        <f>IFERROR(INDEX('Miljövärden urval för publ'!$A$2:$AA$420,MATCH('Miljövärden för publ företag'!$A208,'Miljövärden urval för publ'!$R$2:$R$417,0),2),"")</f>
        <v>Sjulnäs</v>
      </c>
      <c r="D208">
        <f>IFERROR(VLOOKUP($C208,'Miljövärden urval för publ'!$B$2:$H$417,MATCH('Miljövärden för publ företag'!D$4,'Miljövärden urval för publ'!$B$2:$H$2,0),FALSE),"")</f>
        <v>0.36553099999999999</v>
      </c>
      <c r="E208">
        <f>IFERROR(VLOOKUP($C208,'Miljövärden urval för publ'!$B$2:$H$417,MATCH('Miljövärden för publ företag'!E$4,'Miljövärden urval för publ'!$B$2:$H$2,0),FALSE),"")</f>
        <v>15.4184</v>
      </c>
      <c r="F208">
        <f>IFERROR(VLOOKUP($C208,'Miljövärden urval för publ'!$B$2:$H$417,MATCH('Miljövärden för publ företag'!F$4,'Miljövärden urval för publ'!$B$2:$H$2,0),FALSE),"")</f>
        <v>16.793199999999999</v>
      </c>
      <c r="G208">
        <f>IFERROR(VLOOKUP($C208,'Miljövärden urval för publ'!$B$2:$H$417,MATCH('Miljövärden för publ företag'!G$4,'Miljövärden urval för publ'!$B$2:$H$2,0),FALSE),"")</f>
        <v>2.9967899999999999E-2</v>
      </c>
      <c r="J208">
        <f t="shared" si="14"/>
        <v>89</v>
      </c>
      <c r="M208">
        <v>204</v>
      </c>
      <c r="N208" t="str">
        <f t="shared" si="15"/>
        <v/>
      </c>
      <c r="P208" s="155">
        <f t="shared" si="16"/>
        <v>0</v>
      </c>
      <c r="Q208" s="150" t="str">
        <f t="shared" si="13"/>
        <v/>
      </c>
    </row>
    <row r="209" spans="1:17" x14ac:dyDescent="0.45">
      <c r="A209">
        <v>206</v>
      </c>
      <c r="B209" s="2" t="str">
        <f>IFERROR(INDEX('Miljövärden urval för publ'!$A$2:$AA$420,MATCH('Miljövärden för publ företag'!$A209,'Miljövärden urval för publ'!$R$2:$R$417,0),1),"")</f>
        <v>Ronneby Miljö och Teknik AB</v>
      </c>
      <c r="C209" s="2" t="str">
        <f>IFERROR(INDEX('Miljövärden urval för publ'!$A$2:$AA$420,MATCH('Miljövärden för publ företag'!$A209,'Miljövärden urval för publ'!$R$2:$R$417,0),2),"")</f>
        <v>Bräkne-Hoby</v>
      </c>
      <c r="D209">
        <f>IFERROR(VLOOKUP($C209,'Miljövärden urval för publ'!$B$2:$H$417,MATCH('Miljövärden för publ företag'!D$4,'Miljövärden urval för publ'!$B$2:$H$2,0),FALSE),"")</f>
        <v>9.6119399999999994E-2</v>
      </c>
      <c r="E209">
        <f>IFERROR(VLOOKUP($C209,'Miljövärden urval för publ'!$B$2:$H$417,MATCH('Miljövärden för publ företag'!E$4,'Miljövärden urval för publ'!$B$2:$H$2,0),FALSE),"")</f>
        <v>7.8019400000000001</v>
      </c>
      <c r="F209">
        <f>IFERROR(VLOOKUP($C209,'Miljövärden urval för publ'!$B$2:$H$417,MATCH('Miljövärden för publ företag'!F$4,'Miljövärden urval för publ'!$B$2:$H$2,0),FALSE),"")</f>
        <v>11.1343</v>
      </c>
      <c r="G209">
        <f>IFERROR(VLOOKUP($C209,'Miljövärden urval för publ'!$B$2:$H$417,MATCH('Miljövärden för publ företag'!G$4,'Miljövärden urval för publ'!$B$2:$H$2,0),FALSE),"")</f>
        <v>5.0454100000000002E-3</v>
      </c>
      <c r="J209">
        <f t="shared" si="14"/>
        <v>90</v>
      </c>
      <c r="M209">
        <v>205</v>
      </c>
      <c r="N209" t="str">
        <f t="shared" si="15"/>
        <v/>
      </c>
      <c r="P209" s="155">
        <f t="shared" si="16"/>
        <v>0</v>
      </c>
      <c r="Q209" s="150" t="str">
        <f t="shared" si="13"/>
        <v/>
      </c>
    </row>
    <row r="210" spans="1:17" x14ac:dyDescent="0.45">
      <c r="A210">
        <v>207</v>
      </c>
      <c r="B210" s="2" t="str">
        <f>IFERROR(INDEX('Miljövärden urval för publ'!$A$2:$AA$420,MATCH('Miljövärden för publ företag'!$A210,'Miljövärden urval för publ'!$R$2:$R$417,0),1),"")</f>
        <v>Ronneby Miljö och Teknik AB</v>
      </c>
      <c r="C210" s="2" t="str">
        <f>IFERROR(INDEX('Miljövärden urval för publ'!$A$2:$AA$420,MATCH('Miljövärden för publ företag'!$A210,'Miljövärden urval för publ'!$R$2:$R$417,0),2),"")</f>
        <v>Ronneby-Kallinge</v>
      </c>
      <c r="D210">
        <f>IFERROR(VLOOKUP($C210,'Miljövärden urval för publ'!$B$2:$H$417,MATCH('Miljövärden för publ företag'!D$4,'Miljövärden urval för publ'!$B$2:$H$2,0),FALSE),"")</f>
        <v>0.10961899999999999</v>
      </c>
      <c r="E210">
        <f>IFERROR(VLOOKUP($C210,'Miljövärden urval för publ'!$B$2:$H$417,MATCH('Miljövärden för publ företag'!E$4,'Miljövärden urval för publ'!$B$2:$H$2,0),FALSE),"")</f>
        <v>8.4294700000000002</v>
      </c>
      <c r="F210">
        <f>IFERROR(VLOOKUP($C210,'Miljövärden urval för publ'!$B$2:$H$417,MATCH('Miljövärden för publ företag'!F$4,'Miljövärden urval för publ'!$B$2:$H$2,0),FALSE),"")</f>
        <v>10.910299999999999</v>
      </c>
      <c r="G210">
        <f>IFERROR(VLOOKUP($C210,'Miljövärden urval för publ'!$B$2:$H$417,MATCH('Miljövärden för publ företag'!G$4,'Miljövärden urval för publ'!$B$2:$H$2,0),FALSE),"")</f>
        <v>1.1267299999999999E-2</v>
      </c>
      <c r="J210">
        <f t="shared" si="14"/>
        <v>90</v>
      </c>
      <c r="M210">
        <v>206</v>
      </c>
      <c r="N210" t="str">
        <f t="shared" si="15"/>
        <v/>
      </c>
      <c r="P210" s="155">
        <f t="shared" si="16"/>
        <v>0</v>
      </c>
      <c r="Q210" s="150" t="str">
        <f t="shared" si="13"/>
        <v/>
      </c>
    </row>
    <row r="211" spans="1:17" x14ac:dyDescent="0.45">
      <c r="A211" s="160">
        <v>208</v>
      </c>
      <c r="B211" s="2" t="str">
        <f>IFERROR(INDEX('Miljövärden urval för publ'!$A$2:$AA$420,MATCH('Miljövärden för publ företag'!$A211,'Miljövärden urval för publ'!$R$2:$R$417,0),1),"")</f>
        <v>Rättvik Energi AB</v>
      </c>
      <c r="C211" s="2" t="str">
        <f>IFERROR(INDEX('Miljövärden urval för publ'!$A$2:$AA$420,MATCH('Miljövärden för publ företag'!$A211,'Miljövärden urval för publ'!$R$2:$R$417,0),2),"")</f>
        <v>Rättvik</v>
      </c>
      <c r="D211">
        <f>IFERROR(VLOOKUP($C211,'Miljövärden urval för publ'!$B$2:$H$417,MATCH('Miljövärden för publ företag'!D$4,'Miljövärden urval för publ'!$B$2:$H$2,0),FALSE),"")</f>
        <v>0.12485499999999999</v>
      </c>
      <c r="E211">
        <f>IFERROR(VLOOKUP($C211,'Miljövärden urval för publ'!$B$2:$H$417,MATCH('Miljövärden för publ företag'!E$4,'Miljövärden urval för publ'!$B$2:$H$2,0),FALSE),"")</f>
        <v>16.261299999999999</v>
      </c>
      <c r="F211">
        <f>IFERROR(VLOOKUP($C211,'Miljövärden urval för publ'!$B$2:$H$417,MATCH('Miljövärden för publ företag'!F$4,'Miljövärden urval för publ'!$B$2:$H$2,0),FALSE),"")</f>
        <v>8.6375799999999998</v>
      </c>
      <c r="G211">
        <f>IFERROR(VLOOKUP($C211,'Miljövärden urval för publ'!$B$2:$H$417,MATCH('Miljövärden för publ företag'!G$4,'Miljövärden urval för publ'!$B$2:$H$2,0),FALSE),"")</f>
        <v>1.4860699999999999E-2</v>
      </c>
      <c r="J211">
        <f t="shared" si="14"/>
        <v>91</v>
      </c>
      <c r="M211">
        <v>207</v>
      </c>
      <c r="N211" t="str">
        <f t="shared" si="15"/>
        <v/>
      </c>
      <c r="P211" s="155">
        <f t="shared" si="16"/>
        <v>0</v>
      </c>
      <c r="Q211" s="150" t="str">
        <f t="shared" si="13"/>
        <v/>
      </c>
    </row>
    <row r="212" spans="1:17" x14ac:dyDescent="0.45">
      <c r="A212">
        <v>209</v>
      </c>
      <c r="B212" s="2" t="str">
        <f>IFERROR(INDEX('Miljövärden urval för publ'!$A$2:$AA$420,MATCH('Miljövärden för publ företag'!$A212,'Miljövärden urval för publ'!$R$2:$R$417,0),1),"")</f>
        <v>Sala-Heby Energi AB</v>
      </c>
      <c r="C212" s="2" t="str">
        <f>IFERROR(INDEX('Miljövärden urval för publ'!$A$2:$AA$420,MATCH('Miljövärden för publ företag'!$A212,'Miljövärden urval för publ'!$R$2:$R$417,0),2),"")</f>
        <v>Sala-Heby</v>
      </c>
      <c r="D212">
        <f>IFERROR(VLOOKUP($C212,'Miljövärden urval för publ'!$B$2:$H$417,MATCH('Miljövärden för publ företag'!D$4,'Miljövärden urval för publ'!$B$2:$H$2,0),FALSE),"")</f>
        <v>9.2565099999999997E-2</v>
      </c>
      <c r="E212">
        <f>IFERROR(VLOOKUP($C212,'Miljövärden urval för publ'!$B$2:$H$417,MATCH('Miljövärden för publ företag'!E$4,'Miljövärden urval för publ'!$B$2:$H$2,0),FALSE),"")</f>
        <v>4.3016500000000004</v>
      </c>
      <c r="F212">
        <f>IFERROR(VLOOKUP($C212,'Miljövärden urval för publ'!$B$2:$H$417,MATCH('Miljövärden för publ företag'!F$4,'Miljövärden urval för publ'!$B$2:$H$2,0),FALSE),"")</f>
        <v>10.3795</v>
      </c>
      <c r="G212">
        <f>IFERROR(VLOOKUP($C212,'Miljövärden urval för publ'!$B$2:$H$417,MATCH('Miljövärden för publ företag'!G$4,'Miljövärden urval för publ'!$B$2:$H$2,0),FALSE),"")</f>
        <v>0</v>
      </c>
      <c r="J212">
        <f t="shared" si="14"/>
        <v>92</v>
      </c>
      <c r="M212">
        <v>208</v>
      </c>
      <c r="N212" t="str">
        <f t="shared" si="15"/>
        <v/>
      </c>
      <c r="P212" s="155">
        <f t="shared" si="16"/>
        <v>0</v>
      </c>
      <c r="Q212" s="150" t="str">
        <f t="shared" si="13"/>
        <v/>
      </c>
    </row>
    <row r="213" spans="1:17" x14ac:dyDescent="0.45">
      <c r="A213">
        <v>210</v>
      </c>
      <c r="B213" s="2" t="str">
        <f>IFERROR(INDEX('Miljövärden urval för publ'!$A$2:$AA$420,MATCH('Miljövärden för publ företag'!$A213,'Miljövärden urval för publ'!$R$2:$R$417,0),1),"")</f>
        <v>Sandviken Energi AB</v>
      </c>
      <c r="C213" s="2" t="str">
        <f>IFERROR(INDEX('Miljövärden urval för publ'!$A$2:$AA$420,MATCH('Miljövärden för publ företag'!$A213,'Miljövärden urval för publ'!$R$2:$R$417,0),2),"")</f>
        <v>Sandviken</v>
      </c>
      <c r="D213">
        <f>IFERROR(VLOOKUP($C213,'Miljövärden urval för publ'!$B$2:$H$417,MATCH('Miljövärden för publ företag'!D$4,'Miljövärden urval för publ'!$B$2:$H$2,0),FALSE),"")</f>
        <v>0.58060900000000004</v>
      </c>
      <c r="E213">
        <f>IFERROR(VLOOKUP($C213,'Miljövärden urval för publ'!$B$2:$H$417,MATCH('Miljövärden för publ företag'!E$4,'Miljövärden urval för publ'!$B$2:$H$2,0),FALSE),"")</f>
        <v>180.96600000000001</v>
      </c>
      <c r="F213">
        <f>IFERROR(VLOOKUP($C213,'Miljövärden urval för publ'!$B$2:$H$417,MATCH('Miljövärden för publ företag'!F$4,'Miljövärden urval för publ'!$B$2:$H$2,0),FALSE),"")</f>
        <v>22.6342</v>
      </c>
      <c r="G213">
        <f>IFERROR(VLOOKUP($C213,'Miljövärden urval för publ'!$B$2:$H$417,MATCH('Miljövärden för publ företag'!G$4,'Miljövärden urval för publ'!$B$2:$H$2,0),FALSE),"")</f>
        <v>3.0034600000000002E-2</v>
      </c>
      <c r="J213">
        <f t="shared" si="14"/>
        <v>93</v>
      </c>
      <c r="M213">
        <v>209</v>
      </c>
      <c r="N213" t="str">
        <f t="shared" si="15"/>
        <v/>
      </c>
      <c r="P213" s="155">
        <f t="shared" si="16"/>
        <v>0</v>
      </c>
      <c r="Q213" s="150" t="str">
        <f t="shared" si="13"/>
        <v/>
      </c>
    </row>
    <row r="214" spans="1:17" x14ac:dyDescent="0.45">
      <c r="A214" s="160">
        <v>211</v>
      </c>
      <c r="B214" s="2" t="str">
        <f>IFERROR(INDEX('Miljövärden urval för publ'!$A$2:$AA$420,MATCH('Miljövärden för publ företag'!$A214,'Miljövärden urval för publ'!$R$2:$R$417,0),1),"")</f>
        <v>SEVAB Strängnäs Energi AB</v>
      </c>
      <c r="C214" s="2" t="str">
        <f>IFERROR(INDEX('Miljövärden urval för publ'!$A$2:$AA$420,MATCH('Miljövärden för publ företag'!$A214,'Miljövärden urval för publ'!$R$2:$R$417,0),2),"")</f>
        <v>Strängnäs</v>
      </c>
      <c r="D214">
        <f>IFERROR(VLOOKUP($C214,'Miljövärden urval för publ'!$B$2:$H$417,MATCH('Miljövärden för publ företag'!D$4,'Miljövärden urval för publ'!$B$2:$H$2,0),FALSE),"")</f>
        <v>8.9110400000000006E-2</v>
      </c>
      <c r="E214">
        <f>IFERROR(VLOOKUP($C214,'Miljövärden urval för publ'!$B$2:$H$417,MATCH('Miljövärden för publ företag'!E$4,'Miljövärden urval för publ'!$B$2:$H$2,0),FALSE),"")</f>
        <v>13.1821</v>
      </c>
      <c r="F214">
        <f>IFERROR(VLOOKUP($C214,'Miljövärden urval för publ'!$B$2:$H$417,MATCH('Miljövärden för publ företag'!F$4,'Miljövärden urval för publ'!$B$2:$H$2,0),FALSE),"")</f>
        <v>5.8871000000000002</v>
      </c>
      <c r="G214">
        <f>IFERROR(VLOOKUP($C214,'Miljövärden urval för publ'!$B$2:$H$417,MATCH('Miljövärden för publ företag'!G$4,'Miljövärden urval för publ'!$B$2:$H$2,0),FALSE),"")</f>
        <v>2.46E-2</v>
      </c>
      <c r="J214">
        <f t="shared" si="14"/>
        <v>94</v>
      </c>
      <c r="M214">
        <v>210</v>
      </c>
      <c r="N214" t="str">
        <f t="shared" si="15"/>
        <v/>
      </c>
      <c r="P214" s="155">
        <f t="shared" si="16"/>
        <v>0</v>
      </c>
      <c r="Q214" s="150" t="str">
        <f t="shared" si="13"/>
        <v/>
      </c>
    </row>
    <row r="215" spans="1:17" x14ac:dyDescent="0.45">
      <c r="A215">
        <v>212</v>
      </c>
      <c r="B215" s="2" t="str">
        <f>IFERROR(INDEX('Miljövärden urval för publ'!$A$2:$AA$420,MATCH('Miljövärden för publ företag'!$A215,'Miljövärden urval för publ'!$R$2:$R$417,0),1),"")</f>
        <v>Skara Energi AB</v>
      </c>
      <c r="C215" s="2" t="str">
        <f>IFERROR(INDEX('Miljövärden urval för publ'!$A$2:$AA$420,MATCH('Miljövärden för publ företag'!$A215,'Miljövärden urval för publ'!$R$2:$R$417,0),2),"")</f>
        <v>Skara</v>
      </c>
      <c r="D215">
        <f>IFERROR(VLOOKUP($C215,'Miljövärden urval för publ'!$B$2:$H$417,MATCH('Miljövärden för publ företag'!D$4,'Miljövärden urval för publ'!$B$2:$H$2,0),FALSE),"")</f>
        <v>9.5108200000000004E-2</v>
      </c>
      <c r="E215">
        <f>IFERROR(VLOOKUP($C215,'Miljövärden urval för publ'!$B$2:$H$417,MATCH('Miljövärden för publ företag'!E$4,'Miljövärden urval för publ'!$B$2:$H$2,0),FALSE),"")</f>
        <v>12.089499999999999</v>
      </c>
      <c r="F215">
        <f>IFERROR(VLOOKUP($C215,'Miljövärden urval för publ'!$B$2:$H$417,MATCH('Miljövärden för publ företag'!F$4,'Miljövärden urval för publ'!$B$2:$H$2,0),FALSE),"")</f>
        <v>8.6093399999999995</v>
      </c>
      <c r="G215">
        <f>IFERROR(VLOOKUP($C215,'Miljövärden urval för publ'!$B$2:$H$417,MATCH('Miljövärden för publ företag'!G$4,'Miljövärden urval för publ'!$B$2:$H$2,0),FALSE),"")</f>
        <v>9.1496400000000006E-3</v>
      </c>
      <c r="J215">
        <f t="shared" si="14"/>
        <v>95</v>
      </c>
      <c r="M215">
        <v>211</v>
      </c>
      <c r="N215" t="str">
        <f t="shared" si="15"/>
        <v/>
      </c>
      <c r="P215" s="155">
        <f t="shared" si="16"/>
        <v>0</v>
      </c>
      <c r="Q215" s="150" t="str">
        <f t="shared" si="13"/>
        <v/>
      </c>
    </row>
    <row r="216" spans="1:17" x14ac:dyDescent="0.45">
      <c r="A216">
        <v>213</v>
      </c>
      <c r="B216" s="2" t="str">
        <f>IFERROR(INDEX('Miljövärden urval för publ'!$A$2:$AA$420,MATCH('Miljövärden för publ företag'!$A216,'Miljövärden urval för publ'!$R$2:$R$417,0),1),"")</f>
        <v>Skellefteå Kraft AB</v>
      </c>
      <c r="C216" s="2" t="str">
        <f>IFERROR(INDEX('Miljövärden urval för publ'!$A$2:$AA$420,MATCH('Miljövärden för publ företag'!$A216,'Miljövärden urval för publ'!$R$2:$R$417,0),2),"")</f>
        <v>Boliden</v>
      </c>
      <c r="D216">
        <f>IFERROR(VLOOKUP($C216,'Miljövärden urval för publ'!$B$2:$H$417,MATCH('Miljövärden för publ företag'!D$4,'Miljövärden urval för publ'!$B$2:$H$2,0),FALSE),"")</f>
        <v>0.18199499999999999</v>
      </c>
      <c r="E216">
        <f>IFERROR(VLOOKUP($C216,'Miljövärden urval för publ'!$B$2:$H$417,MATCH('Miljövärden för publ företag'!E$4,'Miljövärden urval för publ'!$B$2:$H$2,0),FALSE),"")</f>
        <v>13.940799999999999</v>
      </c>
      <c r="F216">
        <f>IFERROR(VLOOKUP($C216,'Miljövärden urval för publ'!$B$2:$H$417,MATCH('Miljövärden för publ företag'!F$4,'Miljövärden urval för publ'!$B$2:$H$2,0),FALSE),"")</f>
        <v>17.696400000000001</v>
      </c>
      <c r="G216">
        <f>IFERROR(VLOOKUP($C216,'Miljövärden urval för publ'!$B$2:$H$417,MATCH('Miljövärden för publ företag'!G$4,'Miljövärden urval för publ'!$B$2:$H$2,0),FALSE),"")</f>
        <v>2.6945199999999999E-2</v>
      </c>
      <c r="J216">
        <f t="shared" si="14"/>
        <v>96</v>
      </c>
      <c r="M216">
        <v>212</v>
      </c>
      <c r="N216" t="str">
        <f t="shared" si="15"/>
        <v/>
      </c>
      <c r="P216" s="155">
        <f t="shared" si="16"/>
        <v>0</v>
      </c>
      <c r="Q216" s="150" t="str">
        <f t="shared" si="13"/>
        <v/>
      </c>
    </row>
    <row r="217" spans="1:17" x14ac:dyDescent="0.45">
      <c r="A217" s="160">
        <v>214</v>
      </c>
      <c r="B217" s="2" t="str">
        <f>IFERROR(INDEX('Miljövärden urval för publ'!$A$2:$AA$420,MATCH('Miljövärden för publ företag'!$A217,'Miljövärden urval för publ'!$R$2:$R$417,0),1),"")</f>
        <v>Skellefteå Kraft AB</v>
      </c>
      <c r="C217" s="2" t="str">
        <f>IFERROR(INDEX('Miljövärden urval för publ'!$A$2:$AA$420,MATCH('Miljövärden för publ företag'!$A217,'Miljövärden urval för publ'!$R$2:$R$417,0),2),"")</f>
        <v>Bureå</v>
      </c>
      <c r="D217">
        <f>IFERROR(VLOOKUP($C217,'Miljövärden urval för publ'!$B$2:$H$417,MATCH('Miljövärden för publ företag'!D$4,'Miljövärden urval för publ'!$B$2:$H$2,0),FALSE),"")</f>
        <v>0.158252</v>
      </c>
      <c r="E217">
        <f>IFERROR(VLOOKUP($C217,'Miljövärden urval för publ'!$B$2:$H$417,MATCH('Miljövärden för publ företag'!E$4,'Miljövärden urval för publ'!$B$2:$H$2,0),FALSE),"")</f>
        <v>8.2372599999999991</v>
      </c>
      <c r="F217">
        <f>IFERROR(VLOOKUP($C217,'Miljövärden urval för publ'!$B$2:$H$417,MATCH('Miljövärden för publ företag'!F$4,'Miljövärden urval för publ'!$B$2:$H$2,0),FALSE),"")</f>
        <v>17.4161</v>
      </c>
      <c r="G217">
        <f>IFERROR(VLOOKUP($C217,'Miljövärden urval för publ'!$B$2:$H$417,MATCH('Miljövärden för publ företag'!G$4,'Miljövärden urval för publ'!$B$2:$H$2,0),FALSE),"")</f>
        <v>9.9671099999999995E-3</v>
      </c>
      <c r="J217">
        <f t="shared" si="14"/>
        <v>96</v>
      </c>
      <c r="M217">
        <v>213</v>
      </c>
      <c r="N217" t="str">
        <f t="shared" si="15"/>
        <v/>
      </c>
      <c r="P217" s="155">
        <f t="shared" si="16"/>
        <v>0</v>
      </c>
      <c r="Q217" s="150" t="str">
        <f t="shared" si="13"/>
        <v/>
      </c>
    </row>
    <row r="218" spans="1:17" x14ac:dyDescent="0.45">
      <c r="A218">
        <v>215</v>
      </c>
      <c r="B218" s="2" t="str">
        <f>IFERROR(INDEX('Miljövärden urval för publ'!$A$2:$AA$420,MATCH('Miljövärden för publ företag'!$A218,'Miljövärden urval för publ'!$R$2:$R$417,0),1),"")</f>
        <v>Skellefteå Kraft AB</v>
      </c>
      <c r="C218" s="2" t="str">
        <f>IFERROR(INDEX('Miljövärden urval för publ'!$A$2:$AA$420,MATCH('Miljövärden för publ företag'!$A218,'Miljövärden urval för publ'!$R$2:$R$417,0),2),"")</f>
        <v>Burträsk</v>
      </c>
      <c r="D218">
        <f>IFERROR(VLOOKUP($C218,'Miljövärden urval för publ'!$B$2:$H$417,MATCH('Miljövärden för publ företag'!D$4,'Miljövärden urval för publ'!$B$2:$H$2,0),FALSE),"")</f>
        <v>0.10749599999999999</v>
      </c>
      <c r="E218">
        <f>IFERROR(VLOOKUP($C218,'Miljövärden urval för publ'!$B$2:$H$417,MATCH('Miljövärden för publ företag'!E$4,'Miljövärden urval för publ'!$B$2:$H$2,0),FALSE),"")</f>
        <v>9.2196499999999997</v>
      </c>
      <c r="F218">
        <f>IFERROR(VLOOKUP($C218,'Miljövärden urval för publ'!$B$2:$H$417,MATCH('Miljövärden för publ företag'!F$4,'Miljövärden urval för publ'!$B$2:$H$2,0),FALSE),"")</f>
        <v>13.234500000000001</v>
      </c>
      <c r="G218">
        <f>IFERROR(VLOOKUP($C218,'Miljövärden urval för publ'!$B$2:$H$417,MATCH('Miljövärden för publ företag'!G$4,'Miljövärden urval för publ'!$B$2:$H$2,0),FALSE),"")</f>
        <v>8.7815099999999993E-3</v>
      </c>
      <c r="J218">
        <f t="shared" si="14"/>
        <v>96</v>
      </c>
      <c r="M218">
        <v>214</v>
      </c>
      <c r="N218" t="str">
        <f t="shared" si="15"/>
        <v/>
      </c>
      <c r="P218" s="155">
        <f t="shared" si="16"/>
        <v>0</v>
      </c>
      <c r="Q218" s="150" t="str">
        <f t="shared" si="13"/>
        <v/>
      </c>
    </row>
    <row r="219" spans="1:17" x14ac:dyDescent="0.45">
      <c r="A219">
        <v>216</v>
      </c>
      <c r="B219" s="2" t="str">
        <f>IFERROR(INDEX('Miljövärden urval för publ'!$A$2:$AA$420,MATCH('Miljövärden för publ företag'!$A219,'Miljövärden urval för publ'!$R$2:$R$417,0),1),"")</f>
        <v>Skellefteå Kraft AB</v>
      </c>
      <c r="C219" s="2" t="str">
        <f>IFERROR(INDEX('Miljövärden urval för publ'!$A$2:$AA$420,MATCH('Miljövärden för publ företag'!$A219,'Miljövärden urval för publ'!$R$2:$R$417,0),2),"")</f>
        <v>Byske</v>
      </c>
      <c r="D219">
        <f>IFERROR(VLOOKUP($C219,'Miljövärden urval för publ'!$B$2:$H$417,MATCH('Miljövärden för publ företag'!D$4,'Miljövärden urval för publ'!$B$2:$H$2,0),FALSE),"")</f>
        <v>0.15398899999999999</v>
      </c>
      <c r="E219">
        <f>IFERROR(VLOOKUP($C219,'Miljövärden urval för publ'!$B$2:$H$417,MATCH('Miljövärden för publ företag'!E$4,'Miljövärden urval för publ'!$B$2:$H$2,0),FALSE),"")</f>
        <v>9.1578499999999998</v>
      </c>
      <c r="F219">
        <f>IFERROR(VLOOKUP($C219,'Miljövärden urval för publ'!$B$2:$H$417,MATCH('Miljövärden för publ företag'!F$4,'Miljövärden urval för publ'!$B$2:$H$2,0),FALSE),"")</f>
        <v>16.5701</v>
      </c>
      <c r="G219">
        <f>IFERROR(VLOOKUP($C219,'Miljövärden urval för publ'!$B$2:$H$417,MATCH('Miljövärden för publ företag'!G$4,'Miljövärden urval för publ'!$B$2:$H$2,0),FALSE),"")</f>
        <v>1.4265699999999999E-2</v>
      </c>
      <c r="J219">
        <f t="shared" si="14"/>
        <v>96</v>
      </c>
      <c r="M219">
        <v>215</v>
      </c>
      <c r="N219" t="str">
        <f t="shared" si="15"/>
        <v/>
      </c>
      <c r="P219" s="155">
        <f t="shared" si="16"/>
        <v>0</v>
      </c>
      <c r="Q219" s="150" t="str">
        <f t="shared" si="13"/>
        <v/>
      </c>
    </row>
    <row r="220" spans="1:17" x14ac:dyDescent="0.45">
      <c r="A220" s="160">
        <v>217</v>
      </c>
      <c r="B220" s="2" t="str">
        <f>IFERROR(INDEX('Miljövärden urval för publ'!$A$2:$AA$420,MATCH('Miljövärden för publ företag'!$A220,'Miljövärden urval för publ'!$R$2:$R$417,0),1),"")</f>
        <v>Skellefteå Kraft AB</v>
      </c>
      <c r="C220" s="2" t="str">
        <f>IFERROR(INDEX('Miljövärden urval för publ'!$A$2:$AA$420,MATCH('Miljövärden för publ företag'!$A220,'Miljövärden urval för publ'!$R$2:$R$417,0),2),"")</f>
        <v>Jörn</v>
      </c>
      <c r="D220">
        <f>IFERROR(VLOOKUP($C220,'Miljövärden urval för publ'!$B$2:$H$417,MATCH('Miljövärden för publ företag'!D$4,'Miljövärden urval för publ'!$B$2:$H$2,0),FALSE),"")</f>
        <v>0.154446</v>
      </c>
      <c r="E220">
        <f>IFERROR(VLOOKUP($C220,'Miljövärden urval för publ'!$B$2:$H$417,MATCH('Miljövärden för publ företag'!E$4,'Miljövärden urval för publ'!$B$2:$H$2,0),FALSE),"")</f>
        <v>6.3660500000000004</v>
      </c>
      <c r="F220">
        <f>IFERROR(VLOOKUP($C220,'Miljövärden urval för publ'!$B$2:$H$417,MATCH('Miljövärden för publ företag'!F$4,'Miljövärden urval för publ'!$B$2:$H$2,0),FALSE),"")</f>
        <v>17.6403</v>
      </c>
      <c r="G220">
        <f>IFERROR(VLOOKUP($C220,'Miljövärden urval för publ'!$B$2:$H$417,MATCH('Miljövärden för publ företag'!G$4,'Miljövärden urval för publ'!$B$2:$H$2,0),FALSE),"")</f>
        <v>3.9820799999999998E-3</v>
      </c>
      <c r="J220">
        <f t="shared" si="14"/>
        <v>96</v>
      </c>
      <c r="M220">
        <v>216</v>
      </c>
      <c r="N220" t="str">
        <f t="shared" si="15"/>
        <v/>
      </c>
      <c r="P220" s="155">
        <f t="shared" si="16"/>
        <v>0</v>
      </c>
      <c r="Q220" s="150" t="str">
        <f t="shared" si="13"/>
        <v/>
      </c>
    </row>
    <row r="221" spans="1:17" x14ac:dyDescent="0.45">
      <c r="A221">
        <v>218</v>
      </c>
      <c r="B221" s="2" t="str">
        <f>IFERROR(INDEX('Miljövärden urval för publ'!$A$2:$AA$420,MATCH('Miljövärden för publ företag'!$A221,'Miljövärden urval för publ'!$R$2:$R$417,0),1),"")</f>
        <v>Skellefteå Kraft AB</v>
      </c>
      <c r="C221" s="2" t="str">
        <f>IFERROR(INDEX('Miljövärden urval för publ'!$A$2:$AA$420,MATCH('Miljövärden för publ företag'!$A221,'Miljövärden urval för publ'!$R$2:$R$417,0),2),"")</f>
        <v>Kåge</v>
      </c>
      <c r="D221">
        <f>IFERROR(VLOOKUP($C221,'Miljövärden urval för publ'!$B$2:$H$417,MATCH('Miljövärden för publ företag'!D$4,'Miljövärden urval för publ'!$B$2:$H$2,0),FALSE),"")</f>
        <v>0.15866</v>
      </c>
      <c r="E221">
        <f>IFERROR(VLOOKUP($C221,'Miljövärden urval för publ'!$B$2:$H$417,MATCH('Miljövärden för publ företag'!E$4,'Miljövärden urval för publ'!$B$2:$H$2,0),FALSE),"")</f>
        <v>6.0014599999999998</v>
      </c>
      <c r="F221">
        <f>IFERROR(VLOOKUP($C221,'Miljövärden urval för publ'!$B$2:$H$417,MATCH('Miljövärden för publ företag'!F$4,'Miljövärden urval för publ'!$B$2:$H$2,0),FALSE),"")</f>
        <v>18.672599999999999</v>
      </c>
      <c r="G221">
        <f>IFERROR(VLOOKUP($C221,'Miljövärden urval för publ'!$B$2:$H$417,MATCH('Miljövärden för publ företag'!G$4,'Miljövärden urval för publ'!$B$2:$H$2,0),FALSE),"")</f>
        <v>1.89266E-3</v>
      </c>
      <c r="J221">
        <f t="shared" si="14"/>
        <v>96</v>
      </c>
      <c r="M221">
        <v>217</v>
      </c>
      <c r="N221" t="str">
        <f t="shared" si="15"/>
        <v/>
      </c>
      <c r="P221" s="155">
        <f t="shared" si="16"/>
        <v>0</v>
      </c>
      <c r="Q221" s="150" t="str">
        <f t="shared" si="13"/>
        <v/>
      </c>
    </row>
    <row r="222" spans="1:17" x14ac:dyDescent="0.45">
      <c r="A222">
        <v>219</v>
      </c>
      <c r="B222" s="2" t="str">
        <f>IFERROR(INDEX('Miljövärden urval för publ'!$A$2:$AA$420,MATCH('Miljövärden för publ företag'!$A222,'Miljövärden urval för publ'!$R$2:$R$417,0),1),"")</f>
        <v>Skellefteå Kraft AB</v>
      </c>
      <c r="C222" s="2" t="str">
        <f>IFERROR(INDEX('Miljövärden urval för publ'!$A$2:$AA$420,MATCH('Miljövärden för publ företag'!$A222,'Miljövärden urval för publ'!$R$2:$R$417,0),2),"")</f>
        <v>Lidbacken</v>
      </c>
      <c r="D222">
        <f>IFERROR(VLOOKUP($C222,'Miljövärden urval för publ'!$B$2:$H$417,MATCH('Miljövärden för publ företag'!D$4,'Miljövärden urval för publ'!$B$2:$H$2,0),FALSE),"")</f>
        <v>0.173591</v>
      </c>
      <c r="E222">
        <f>IFERROR(VLOOKUP($C222,'Miljövärden urval för publ'!$B$2:$H$417,MATCH('Miljövärden för publ företag'!E$4,'Miljövärden urval för publ'!$B$2:$H$2,0),FALSE),"")</f>
        <v>11.1799</v>
      </c>
      <c r="F222">
        <f>IFERROR(VLOOKUP($C222,'Miljövärden urval för publ'!$B$2:$H$417,MATCH('Miljövärden för publ företag'!F$4,'Miljövärden urval för publ'!$B$2:$H$2,0),FALSE),"")</f>
        <v>18.013300000000001</v>
      </c>
      <c r="G222">
        <f>IFERROR(VLOOKUP($C222,'Miljövärden urval för publ'!$B$2:$H$417,MATCH('Miljövärden för publ företag'!G$4,'Miljövärden urval för publ'!$B$2:$H$2,0),FALSE),"")</f>
        <v>1.7900699999999999E-2</v>
      </c>
      <c r="J222">
        <f t="shared" si="14"/>
        <v>96</v>
      </c>
      <c r="M222">
        <v>218</v>
      </c>
      <c r="N222" t="str">
        <f t="shared" si="15"/>
        <v/>
      </c>
      <c r="P222" s="155">
        <f t="shared" si="16"/>
        <v>0</v>
      </c>
      <c r="Q222" s="150" t="str">
        <f t="shared" si="13"/>
        <v/>
      </c>
    </row>
    <row r="223" spans="1:17" x14ac:dyDescent="0.45">
      <c r="A223" s="160">
        <v>220</v>
      </c>
      <c r="B223" s="2" t="str">
        <f>IFERROR(INDEX('Miljövärden urval för publ'!$A$2:$AA$420,MATCH('Miljövärden för publ företag'!$A223,'Miljövärden urval för publ'!$R$2:$R$417,0),1),"")</f>
        <v>Skellefteå Kraft AB</v>
      </c>
      <c r="C223" s="2" t="str">
        <f>IFERROR(INDEX('Miljövärden urval för publ'!$A$2:$AA$420,MATCH('Miljövärden för publ företag'!$A223,'Miljövärden urval för publ'!$R$2:$R$417,0),2),"")</f>
        <v>Lycksele</v>
      </c>
      <c r="D223">
        <f>IFERROR(VLOOKUP($C223,'Miljövärden urval för publ'!$B$2:$H$417,MATCH('Miljövärden för publ företag'!D$4,'Miljövärden urval för publ'!$B$2:$H$2,0),FALSE),"")</f>
        <v>0.281748</v>
      </c>
      <c r="E223">
        <f>IFERROR(VLOOKUP($C223,'Miljövärden urval för publ'!$B$2:$H$417,MATCH('Miljövärden för publ företag'!E$4,'Miljövärden urval för publ'!$B$2:$H$2,0),FALSE),"")</f>
        <v>97.835999999999999</v>
      </c>
      <c r="F223">
        <f>IFERROR(VLOOKUP($C223,'Miljövärden urval för publ'!$B$2:$H$417,MATCH('Miljövärden för publ företag'!F$4,'Miljövärden urval för publ'!$B$2:$H$2,0),FALSE),"")</f>
        <v>15.4236</v>
      </c>
      <c r="G223">
        <f>IFERROR(VLOOKUP($C223,'Miljövärden urval för publ'!$B$2:$H$417,MATCH('Miljövärden för publ företag'!G$4,'Miljövärden urval för publ'!$B$2:$H$2,0),FALSE),"")</f>
        <v>0</v>
      </c>
      <c r="J223">
        <f t="shared" si="14"/>
        <v>96</v>
      </c>
      <c r="M223">
        <v>219</v>
      </c>
      <c r="N223" t="str">
        <f t="shared" si="15"/>
        <v/>
      </c>
      <c r="P223" s="155">
        <f t="shared" si="16"/>
        <v>0</v>
      </c>
      <c r="Q223" s="150" t="str">
        <f t="shared" si="13"/>
        <v/>
      </c>
    </row>
    <row r="224" spans="1:17" x14ac:dyDescent="0.45">
      <c r="A224">
        <v>221</v>
      </c>
      <c r="B224" s="2" t="str">
        <f>IFERROR(INDEX('Miljövärden urval för publ'!$A$2:$AA$420,MATCH('Miljövärden för publ företag'!$A224,'Miljövärden urval för publ'!$R$2:$R$417,0),1),"")</f>
        <v>Skellefteå Kraft AB</v>
      </c>
      <c r="C224" s="2" t="str">
        <f>IFERROR(INDEX('Miljövärden urval för publ'!$A$2:$AA$420,MATCH('Miljövärden för publ företag'!$A224,'Miljövärden urval för publ'!$R$2:$R$417,0),2),"")</f>
        <v>Lövånger</v>
      </c>
      <c r="D224">
        <f>IFERROR(VLOOKUP($C224,'Miljövärden urval för publ'!$B$2:$H$417,MATCH('Miljövärden för publ företag'!D$4,'Miljövärden urval för publ'!$B$2:$H$2,0),FALSE),"")</f>
        <v>0.180953</v>
      </c>
      <c r="E224">
        <f>IFERROR(VLOOKUP($C224,'Miljövärden urval för publ'!$B$2:$H$417,MATCH('Miljövärden för publ företag'!E$4,'Miljövärden urval för publ'!$B$2:$H$2,0),FALSE),"")</f>
        <v>12.181699999999999</v>
      </c>
      <c r="F224">
        <f>IFERROR(VLOOKUP($C224,'Miljövärden urval för publ'!$B$2:$H$417,MATCH('Miljövärden för publ företag'!F$4,'Miljövärden urval för publ'!$B$2:$H$2,0),FALSE),"")</f>
        <v>18.392800000000001</v>
      </c>
      <c r="G224">
        <f>IFERROR(VLOOKUP($C224,'Miljövärden urval för publ'!$B$2:$H$417,MATCH('Miljövärden för publ företag'!G$4,'Miljövärden urval för publ'!$B$2:$H$2,0),FALSE),"")</f>
        <v>2.01327E-2</v>
      </c>
      <c r="J224">
        <f t="shared" si="14"/>
        <v>96</v>
      </c>
      <c r="M224">
        <v>220</v>
      </c>
      <c r="N224" t="str">
        <f t="shared" si="15"/>
        <v/>
      </c>
      <c r="P224" s="155">
        <f t="shared" si="16"/>
        <v>0</v>
      </c>
      <c r="Q224" s="150" t="str">
        <f t="shared" si="13"/>
        <v/>
      </c>
    </row>
    <row r="225" spans="1:17" x14ac:dyDescent="0.45">
      <c r="A225">
        <v>222</v>
      </c>
      <c r="B225" s="2" t="str">
        <f>IFERROR(INDEX('Miljövärden urval för publ'!$A$2:$AA$420,MATCH('Miljövärden för publ företag'!$A225,'Miljövärden urval för publ'!$R$2:$R$417,0),1),"")</f>
        <v>Skellefteå Kraft AB</v>
      </c>
      <c r="C225" s="2" t="str">
        <f>IFERROR(INDEX('Miljövärden urval för publ'!$A$2:$AA$420,MATCH('Miljövärden för publ företag'!$A225,'Miljövärden urval för publ'!$R$2:$R$417,0),2),"")</f>
        <v>Malå</v>
      </c>
      <c r="D225">
        <f>IFERROR(VLOOKUP($C225,'Miljövärden urval för publ'!$B$2:$H$417,MATCH('Miljövärden för publ företag'!D$4,'Miljövärden urval för publ'!$B$2:$H$2,0),FALSE),"")</f>
        <v>5.0590900000000001E-2</v>
      </c>
      <c r="E225">
        <f>IFERROR(VLOOKUP($C225,'Miljövärden urval för publ'!$B$2:$H$417,MATCH('Miljövärden för publ företag'!E$4,'Miljövärden urval för publ'!$B$2:$H$2,0),FALSE),"")</f>
        <v>6.1176700000000004</v>
      </c>
      <c r="F225">
        <f>IFERROR(VLOOKUP($C225,'Miljövärden urval för publ'!$B$2:$H$417,MATCH('Miljövärden för publ företag'!F$4,'Miljövärden urval för publ'!$B$2:$H$2,0),FALSE),"")</f>
        <v>7.1573200000000003</v>
      </c>
      <c r="G225">
        <f>IFERROR(VLOOKUP($C225,'Miljövärden urval för publ'!$B$2:$H$417,MATCH('Miljövärden för publ företag'!G$4,'Miljövärden urval för publ'!$B$2:$H$2,0),FALSE),"")</f>
        <v>9.93256E-3</v>
      </c>
      <c r="J225">
        <f t="shared" si="14"/>
        <v>96</v>
      </c>
      <c r="M225">
        <v>221</v>
      </c>
      <c r="N225" t="str">
        <f t="shared" si="15"/>
        <v/>
      </c>
      <c r="P225" s="155">
        <f t="shared" si="16"/>
        <v>0</v>
      </c>
      <c r="Q225" s="150" t="str">
        <f t="shared" si="13"/>
        <v/>
      </c>
    </row>
    <row r="226" spans="1:17" x14ac:dyDescent="0.45">
      <c r="A226" s="160">
        <v>223</v>
      </c>
      <c r="B226" s="2" t="str">
        <f>IFERROR(INDEX('Miljövärden urval för publ'!$A$2:$AA$420,MATCH('Miljövärden för publ företag'!$A226,'Miljövärden urval för publ'!$R$2:$R$417,0),1),"")</f>
        <v>Skellefteå Kraft AB</v>
      </c>
      <c r="C226" s="2" t="str">
        <f>IFERROR(INDEX('Miljövärden urval för publ'!$A$2:$AA$420,MATCH('Miljövärden för publ företag'!$A226,'Miljövärden urval för publ'!$R$2:$R$417,0),2),"")</f>
        <v>Norsjö</v>
      </c>
      <c r="D226">
        <f>IFERROR(VLOOKUP($C226,'Miljövärden urval för publ'!$B$2:$H$417,MATCH('Miljövärden för publ företag'!D$4,'Miljövärden urval för publ'!$B$2:$H$2,0),FALSE),"")</f>
        <v>0.10546899999999999</v>
      </c>
      <c r="E226">
        <f>IFERROR(VLOOKUP($C226,'Miljövärden urval för publ'!$B$2:$H$417,MATCH('Miljövärden för publ företag'!E$4,'Miljövärden urval för publ'!$B$2:$H$2,0),FALSE),"")</f>
        <v>9.4772999999999996</v>
      </c>
      <c r="F226">
        <f>IFERROR(VLOOKUP($C226,'Miljövärden urval för publ'!$B$2:$H$417,MATCH('Miljövärden för publ företag'!F$4,'Miljövärden urval för publ'!$B$2:$H$2,0),FALSE),"")</f>
        <v>9.3904300000000003</v>
      </c>
      <c r="G226">
        <f>IFERROR(VLOOKUP($C226,'Miljövärden urval för publ'!$B$2:$H$417,MATCH('Miljövärden för publ företag'!G$4,'Miljövärden urval för publ'!$B$2:$H$2,0),FALSE),"")</f>
        <v>2.1546800000000001E-2</v>
      </c>
      <c r="J226">
        <f t="shared" si="14"/>
        <v>96</v>
      </c>
      <c r="M226">
        <v>222</v>
      </c>
      <c r="N226" t="str">
        <f t="shared" si="15"/>
        <v/>
      </c>
      <c r="P226" s="155">
        <f t="shared" si="16"/>
        <v>0</v>
      </c>
      <c r="Q226" s="150" t="str">
        <f t="shared" si="13"/>
        <v/>
      </c>
    </row>
    <row r="227" spans="1:17" x14ac:dyDescent="0.45">
      <c r="A227">
        <v>224</v>
      </c>
      <c r="B227" s="2" t="str">
        <f>IFERROR(INDEX('Miljövärden urval för publ'!$A$2:$AA$420,MATCH('Miljövärden för publ företag'!$A227,'Miljövärden urval för publ'!$R$2:$R$417,0),1),"")</f>
        <v>Skellefteå Kraft AB</v>
      </c>
      <c r="C227" s="2" t="str">
        <f>IFERROR(INDEX('Miljövärden urval för publ'!$A$2:$AA$420,MATCH('Miljövärden för publ företag'!$A227,'Miljövärden urval för publ'!$R$2:$R$417,0),2),"")</f>
        <v>Robertsfors</v>
      </c>
      <c r="D227">
        <f>IFERROR(VLOOKUP($C227,'Miljövärden urval för publ'!$B$2:$H$417,MATCH('Miljövärden för publ företag'!D$4,'Miljövärden urval för publ'!$B$2:$H$2,0),FALSE),"")</f>
        <v>0.17888000000000001</v>
      </c>
      <c r="E227">
        <f>IFERROR(VLOOKUP($C227,'Miljövärden urval för publ'!$B$2:$H$417,MATCH('Miljövärden för publ företag'!E$4,'Miljövärden urval för publ'!$B$2:$H$2,0),FALSE),"")</f>
        <v>13.6449</v>
      </c>
      <c r="F227">
        <f>IFERROR(VLOOKUP($C227,'Miljövärden urval för publ'!$B$2:$H$417,MATCH('Miljövärden för publ företag'!F$4,'Miljövärden urval för publ'!$B$2:$H$2,0),FALSE),"")</f>
        <v>17.708400000000001</v>
      </c>
      <c r="G227">
        <f>IFERROR(VLOOKUP($C227,'Miljövärden urval för publ'!$B$2:$H$417,MATCH('Miljövärden för publ företag'!G$4,'Miljövärden urval för publ'!$B$2:$H$2,0),FALSE),"")</f>
        <v>2.6067E-2</v>
      </c>
      <c r="J227">
        <f t="shared" si="14"/>
        <v>96</v>
      </c>
      <c r="M227">
        <v>223</v>
      </c>
      <c r="N227" t="str">
        <f t="shared" si="15"/>
        <v/>
      </c>
      <c r="P227" s="155">
        <f t="shared" si="16"/>
        <v>0</v>
      </c>
      <c r="Q227" s="150" t="str">
        <f t="shared" si="13"/>
        <v/>
      </c>
    </row>
    <row r="228" spans="1:17" x14ac:dyDescent="0.45">
      <c r="A228">
        <v>225</v>
      </c>
      <c r="B228" s="2" t="str">
        <f>IFERROR(INDEX('Miljövärden urval för publ'!$A$2:$AA$420,MATCH('Miljövärden för publ företag'!$A228,'Miljövärden urval för publ'!$R$2:$R$417,0),1),"")</f>
        <v>Skellefteå Kraft AB</v>
      </c>
      <c r="C228" s="2" t="str">
        <f>IFERROR(INDEX('Miljövärden urval för publ'!$A$2:$AA$420,MATCH('Miljövärden för publ företag'!$A228,'Miljövärden urval för publ'!$R$2:$R$417,0),2),"")</f>
        <v>Skellefteå</v>
      </c>
      <c r="D228">
        <f>IFERROR(VLOOKUP($C228,'Miljövärden urval för publ'!$B$2:$H$417,MATCH('Miljövärden för publ företag'!D$4,'Miljövärden urval för publ'!$B$2:$H$2,0),FALSE),"")</f>
        <v>0.15498000000000001</v>
      </c>
      <c r="E228">
        <f>IFERROR(VLOOKUP($C228,'Miljövärden urval för publ'!$B$2:$H$417,MATCH('Miljövärden för publ företag'!E$4,'Miljövärden urval för publ'!$B$2:$H$2,0),FALSE),"")</f>
        <v>45.999899999999997</v>
      </c>
      <c r="F228">
        <f>IFERROR(VLOOKUP($C228,'Miljövärden urval för publ'!$B$2:$H$417,MATCH('Miljövärden för publ företag'!F$4,'Miljövärden urval för publ'!$B$2:$H$2,0),FALSE),"")</f>
        <v>8.7885000000000009</v>
      </c>
      <c r="G228">
        <f>IFERROR(VLOOKUP($C228,'Miljövärden urval för publ'!$B$2:$H$417,MATCH('Miljövärden för publ företag'!G$4,'Miljövärden urval för publ'!$B$2:$H$2,0),FALSE),"")</f>
        <v>1.7167000000000002E-2</v>
      </c>
      <c r="J228">
        <f t="shared" si="14"/>
        <v>96</v>
      </c>
      <c r="M228">
        <v>224</v>
      </c>
      <c r="N228" t="str">
        <f t="shared" si="15"/>
        <v/>
      </c>
      <c r="P228" s="155">
        <f t="shared" si="16"/>
        <v>0</v>
      </c>
      <c r="Q228" s="150" t="str">
        <f t="shared" si="13"/>
        <v/>
      </c>
    </row>
    <row r="229" spans="1:17" x14ac:dyDescent="0.45">
      <c r="A229" s="160">
        <v>226</v>
      </c>
      <c r="B229" s="2" t="str">
        <f>IFERROR(INDEX('Miljövärden urval för publ'!$A$2:$AA$420,MATCH('Miljövärden för publ företag'!$A229,'Miljövärden urval för publ'!$R$2:$R$417,0),1),"")</f>
        <v>Skellefteå Kraft AB</v>
      </c>
      <c r="C229" s="2" t="str">
        <f>IFERROR(INDEX('Miljövärden urval för publ'!$A$2:$AA$420,MATCH('Miljövärden för publ företag'!$A229,'Miljövärden urval för publ'!$R$2:$R$417,0),2),"")</f>
        <v>Storuman</v>
      </c>
      <c r="D229">
        <f>IFERROR(VLOOKUP($C229,'Miljövärden urval för publ'!$B$2:$H$417,MATCH('Miljövärden för publ företag'!D$4,'Miljövärden urval för publ'!$B$2:$H$2,0),FALSE),"")</f>
        <v>0.225163</v>
      </c>
      <c r="E229">
        <f>IFERROR(VLOOKUP($C229,'Miljövärden urval för publ'!$B$2:$H$417,MATCH('Miljövärden för publ företag'!E$4,'Miljövärden urval för publ'!$B$2:$H$2,0),FALSE),"")</f>
        <v>19.4346</v>
      </c>
      <c r="F229">
        <f>IFERROR(VLOOKUP($C229,'Miljövärden urval för publ'!$B$2:$H$417,MATCH('Miljövärden för publ företag'!F$4,'Miljövärden urval för publ'!$B$2:$H$2,0),FALSE),"")</f>
        <v>20.338699999999999</v>
      </c>
      <c r="G229">
        <f>IFERROR(VLOOKUP($C229,'Miljövärden urval för publ'!$B$2:$H$417,MATCH('Miljövärden för publ företag'!G$4,'Miljövärden urval för publ'!$B$2:$H$2,0),FALSE),"")</f>
        <v>3.6006200000000002E-2</v>
      </c>
      <c r="J229">
        <f t="shared" si="14"/>
        <v>96</v>
      </c>
      <c r="M229">
        <v>225</v>
      </c>
      <c r="N229" t="str">
        <f t="shared" si="15"/>
        <v/>
      </c>
      <c r="P229" s="155">
        <f t="shared" si="16"/>
        <v>0</v>
      </c>
      <c r="Q229" s="150" t="str">
        <f t="shared" si="13"/>
        <v/>
      </c>
    </row>
    <row r="230" spans="1:17" x14ac:dyDescent="0.45">
      <c r="A230">
        <v>227</v>
      </c>
      <c r="B230" s="2" t="str">
        <f>IFERROR(INDEX('Miljövärden urval för publ'!$A$2:$AA$420,MATCH('Miljövärden för publ företag'!$A230,'Miljövärden urval för publ'!$R$2:$R$417,0),1),"")</f>
        <v>Skellefteå Kraft AB</v>
      </c>
      <c r="C230" s="2" t="str">
        <f>IFERROR(INDEX('Miljövärden urval för publ'!$A$2:$AA$420,MATCH('Miljövärden för publ företag'!$A230,'Miljövärden urval för publ'!$R$2:$R$417,0),2),"")</f>
        <v>Ursviken-Skelleftehamn</v>
      </c>
      <c r="D230">
        <f>IFERROR(VLOOKUP($C230,'Miljövärden urval för publ'!$B$2:$H$417,MATCH('Miljövärden för publ företag'!D$4,'Miljövärden urval för publ'!$B$2:$H$2,0),FALSE),"")</f>
        <v>2.1899999999999999E-2</v>
      </c>
      <c r="E230">
        <f>IFERROR(VLOOKUP($C230,'Miljövärden urval för publ'!$B$2:$H$417,MATCH('Miljövärden för publ företag'!E$4,'Miljövärden urval för publ'!$B$2:$H$2,0),FALSE),"")</f>
        <v>0</v>
      </c>
      <c r="F230">
        <f>IFERROR(VLOOKUP($C230,'Miljövärden urval för publ'!$B$2:$H$417,MATCH('Miljövärden för publ företag'!F$4,'Miljövärden urval för publ'!$B$2:$H$2,0),FALSE),"")</f>
        <v>0</v>
      </c>
      <c r="G230">
        <f>IFERROR(VLOOKUP($C230,'Miljövärden urval för publ'!$B$2:$H$417,MATCH('Miljövärden för publ företag'!G$4,'Miljövärden urval för publ'!$B$2:$H$2,0),FALSE),"")</f>
        <v>0</v>
      </c>
      <c r="J230">
        <f t="shared" si="14"/>
        <v>96</v>
      </c>
      <c r="M230">
        <v>226</v>
      </c>
      <c r="N230" t="str">
        <f t="shared" si="15"/>
        <v/>
      </c>
      <c r="P230" s="155">
        <f t="shared" si="16"/>
        <v>0</v>
      </c>
      <c r="Q230" s="150" t="str">
        <f t="shared" si="13"/>
        <v/>
      </c>
    </row>
    <row r="231" spans="1:17" x14ac:dyDescent="0.45">
      <c r="A231">
        <v>228</v>
      </c>
      <c r="B231" s="2" t="str">
        <f>IFERROR(INDEX('Miljövärden urval för publ'!$A$2:$AA$420,MATCH('Miljövärden för publ företag'!$A231,'Miljövärden urval för publ'!$R$2:$R$417,0),1),"")</f>
        <v>Skellefteå Kraft AB</v>
      </c>
      <c r="C231" s="2" t="str">
        <f>IFERROR(INDEX('Miljövärden urval för publ'!$A$2:$AA$420,MATCH('Miljövärden för publ företag'!$A231,'Miljövärden urval för publ'!$R$2:$R$417,0),2),"")</f>
        <v>Vindeln</v>
      </c>
      <c r="D231">
        <f>IFERROR(VLOOKUP($C231,'Miljövärden urval för publ'!$B$2:$H$417,MATCH('Miljövärden för publ företag'!D$4,'Miljövärden urval för publ'!$B$2:$H$2,0),FALSE),"")</f>
        <v>0.216</v>
      </c>
      <c r="E231">
        <f>IFERROR(VLOOKUP($C231,'Miljövärden urval för publ'!$B$2:$H$417,MATCH('Miljövärden för publ företag'!E$4,'Miljövärden urval för publ'!$B$2:$H$2,0),FALSE),"")</f>
        <v>16.633500000000002</v>
      </c>
      <c r="F231">
        <f>IFERROR(VLOOKUP($C231,'Miljövärden urval för publ'!$B$2:$H$417,MATCH('Miljövärden för publ företag'!F$4,'Miljövärden urval för publ'!$B$2:$H$2,0),FALSE),"")</f>
        <v>21.738499999999998</v>
      </c>
      <c r="G231">
        <f>IFERROR(VLOOKUP($C231,'Miljövärden urval för publ'!$B$2:$H$417,MATCH('Miljövärden för publ företag'!G$4,'Miljövärden urval för publ'!$B$2:$H$2,0),FALSE),"")</f>
        <v>2.5846600000000001E-2</v>
      </c>
      <c r="J231">
        <f t="shared" si="14"/>
        <v>96</v>
      </c>
      <c r="M231">
        <v>227</v>
      </c>
      <c r="N231" t="str">
        <f t="shared" si="15"/>
        <v/>
      </c>
      <c r="P231" s="155">
        <f t="shared" si="16"/>
        <v>0</v>
      </c>
      <c r="Q231" s="150" t="str">
        <f t="shared" si="13"/>
        <v/>
      </c>
    </row>
    <row r="232" spans="1:17" x14ac:dyDescent="0.45">
      <c r="A232" s="160">
        <v>229</v>
      </c>
      <c r="B232" s="2" t="str">
        <f>IFERROR(INDEX('Miljövärden urval för publ'!$A$2:$AA$420,MATCH('Miljövärden för publ företag'!$A232,'Miljövärden urval för publ'!$R$2:$R$417,0),1),"")</f>
        <v>Skellefteå Kraft AB</v>
      </c>
      <c r="C232" s="2" t="str">
        <f>IFERROR(INDEX('Miljövärden urval för publ'!$A$2:$AA$420,MATCH('Miljövärden för publ företag'!$A232,'Miljövärden urval för publ'!$R$2:$R$417,0),2),"")</f>
        <v>Ånäset</v>
      </c>
      <c r="D232">
        <f>IFERROR(VLOOKUP($C232,'Miljövärden urval för publ'!$B$2:$H$417,MATCH('Miljövärden för publ företag'!D$4,'Miljövärden urval för publ'!$B$2:$H$2,0),FALSE),"")</f>
        <v>0.188809</v>
      </c>
      <c r="E232">
        <f>IFERROR(VLOOKUP($C232,'Miljövärden urval för publ'!$B$2:$H$417,MATCH('Miljövärden för publ företag'!E$4,'Miljövärden urval för publ'!$B$2:$H$2,0),FALSE),"")</f>
        <v>8.6860400000000002</v>
      </c>
      <c r="F232">
        <f>IFERROR(VLOOKUP($C232,'Miljövärden urval för publ'!$B$2:$H$417,MATCH('Miljövärden för publ företag'!F$4,'Miljövärden urval för publ'!$B$2:$H$2,0),FALSE),"")</f>
        <v>21.198399999999999</v>
      </c>
      <c r="G232">
        <f>IFERROR(VLOOKUP($C232,'Miljövärden urval för publ'!$B$2:$H$417,MATCH('Miljövärden för publ företag'!G$4,'Miljövärden urval för publ'!$B$2:$H$2,0),FALSE),"")</f>
        <v>6.5835900000000003E-3</v>
      </c>
      <c r="J232">
        <f t="shared" si="14"/>
        <v>96</v>
      </c>
      <c r="M232">
        <v>228</v>
      </c>
      <c r="N232" t="str">
        <f t="shared" si="15"/>
        <v/>
      </c>
      <c r="P232" s="155">
        <f t="shared" si="16"/>
        <v>0</v>
      </c>
      <c r="Q232" s="150" t="str">
        <f t="shared" si="13"/>
        <v/>
      </c>
    </row>
    <row r="233" spans="1:17" x14ac:dyDescent="0.45">
      <c r="A233">
        <v>230</v>
      </c>
      <c r="B233" s="2" t="str">
        <f>IFERROR(INDEX('Miljövärden urval för publ'!$A$2:$AA$420,MATCH('Miljövärden för publ företag'!$A233,'Miljövärden urval för publ'!$R$2:$R$417,0),1),"")</f>
        <v>Skövde Energi AB</v>
      </c>
      <c r="C233" s="2" t="str">
        <f>IFERROR(INDEX('Miljövärden urval för publ'!$A$2:$AA$420,MATCH('Miljövärden för publ företag'!$A233,'Miljövärden urval för publ'!$R$2:$R$417,0),2),"")</f>
        <v>Skultorp</v>
      </c>
      <c r="D233">
        <f>IFERROR(VLOOKUP($C233,'Miljövärden urval för publ'!$B$2:$H$417,MATCH('Miljövärden för publ företag'!D$4,'Miljövärden urval för publ'!$B$2:$H$2,0),FALSE),"")</f>
        <v>0.16117699999999999</v>
      </c>
      <c r="E233">
        <f>IFERROR(VLOOKUP($C233,'Miljövärden urval för publ'!$B$2:$H$417,MATCH('Miljövärden för publ företag'!E$4,'Miljövärden urval för publ'!$B$2:$H$2,0),FALSE),"")</f>
        <v>7.04101</v>
      </c>
      <c r="F233">
        <f>IFERROR(VLOOKUP($C233,'Miljövärden urval för publ'!$B$2:$H$417,MATCH('Miljövärden för publ företag'!F$4,'Miljövärden urval för publ'!$B$2:$H$2,0),FALSE),"")</f>
        <v>18.207000000000001</v>
      </c>
      <c r="G233">
        <f>IFERROR(VLOOKUP($C233,'Miljövärden urval för publ'!$B$2:$H$417,MATCH('Miljövärden för publ företag'!G$4,'Miljövärden urval för publ'!$B$2:$H$2,0),FALSE),"")</f>
        <v>5.3763400000000003E-3</v>
      </c>
      <c r="J233">
        <f t="shared" si="14"/>
        <v>97</v>
      </c>
      <c r="M233">
        <v>229</v>
      </c>
      <c r="N233" t="str">
        <f t="shared" si="15"/>
        <v/>
      </c>
      <c r="P233" s="155">
        <f t="shared" si="16"/>
        <v>0</v>
      </c>
      <c r="Q233" s="150" t="str">
        <f t="shared" si="13"/>
        <v/>
      </c>
    </row>
    <row r="234" spans="1:17" x14ac:dyDescent="0.45">
      <c r="A234">
        <v>231</v>
      </c>
      <c r="B234" s="2" t="str">
        <f>IFERROR(INDEX('Miljövärden urval för publ'!$A$2:$AA$420,MATCH('Miljövärden för publ företag'!$A234,'Miljövärden urval för publ'!$R$2:$R$417,0),1),"")</f>
        <v>Skövde Energi AB</v>
      </c>
      <c r="C234" s="2" t="str">
        <f>IFERROR(INDEX('Miljövärden urval för publ'!$A$2:$AA$420,MATCH('Miljövärden för publ företag'!$A234,'Miljövärden urval för publ'!$R$2:$R$417,0),2),"")</f>
        <v>Skövde</v>
      </c>
      <c r="D234">
        <f>IFERROR(VLOOKUP($C234,'Miljövärden urval för publ'!$B$2:$H$417,MATCH('Miljövärden för publ företag'!D$4,'Miljövärden urval för publ'!$B$2:$H$2,0),FALSE),"")</f>
        <v>8.6628200000000002E-2</v>
      </c>
      <c r="E234">
        <f>IFERROR(VLOOKUP($C234,'Miljövärden urval för publ'!$B$2:$H$417,MATCH('Miljövärden för publ företag'!E$4,'Miljövärden urval för publ'!$B$2:$H$2,0),FALSE),"")</f>
        <v>57.988399999999999</v>
      </c>
      <c r="F234">
        <f>IFERROR(VLOOKUP($C234,'Miljövärden urval för publ'!$B$2:$H$417,MATCH('Miljövärden för publ företag'!F$4,'Miljövärden urval för publ'!$B$2:$H$2,0),FALSE),"")</f>
        <v>5.9853500000000004</v>
      </c>
      <c r="G234">
        <f>IFERROR(VLOOKUP($C234,'Miljövärden urval för publ'!$B$2:$H$417,MATCH('Miljövärden för publ företag'!G$4,'Miljövärden urval för publ'!$B$2:$H$2,0),FALSE),"")</f>
        <v>4.2181199999999997E-3</v>
      </c>
      <c r="J234">
        <f t="shared" si="14"/>
        <v>97</v>
      </c>
      <c r="M234">
        <v>230</v>
      </c>
      <c r="N234" t="str">
        <f t="shared" si="15"/>
        <v/>
      </c>
      <c r="P234" s="155">
        <f t="shared" si="16"/>
        <v>0</v>
      </c>
      <c r="Q234" s="150" t="str">
        <f t="shared" si="13"/>
        <v/>
      </c>
    </row>
    <row r="235" spans="1:17" x14ac:dyDescent="0.45">
      <c r="A235" s="160">
        <v>232</v>
      </c>
      <c r="B235" s="2" t="str">
        <f>IFERROR(INDEX('Miljövärden urval för publ'!$A$2:$AA$420,MATCH('Miljövärden för publ företag'!$A235,'Miljövärden urval för publ'!$R$2:$R$417,0),1),"")</f>
        <v>Skövde Energi AB</v>
      </c>
      <c r="C235" s="2" t="str">
        <f>IFERROR(INDEX('Miljövärden urval för publ'!$A$2:$AA$420,MATCH('Miljövärden för publ företag'!$A235,'Miljövärden urval för publ'!$R$2:$R$417,0),2),"")</f>
        <v>Stöpen</v>
      </c>
      <c r="D235">
        <f>IFERROR(VLOOKUP($C235,'Miljövärden urval för publ'!$B$2:$H$417,MATCH('Miljövärden för publ företag'!D$4,'Miljövärden urval för publ'!$B$2:$H$2,0),FALSE),"")</f>
        <v>0.17199600000000001</v>
      </c>
      <c r="E235">
        <f>IFERROR(VLOOKUP($C235,'Miljövärden urval för publ'!$B$2:$H$417,MATCH('Miljövärden för publ företag'!E$4,'Miljövärden urval för publ'!$B$2:$H$2,0),FALSE),"")</f>
        <v>10.9754</v>
      </c>
      <c r="F235">
        <f>IFERROR(VLOOKUP($C235,'Miljövärden urval för publ'!$B$2:$H$417,MATCH('Miljövärden för publ företag'!F$4,'Miljövärden urval för publ'!$B$2:$H$2,0),FALSE),"")</f>
        <v>17.538699999999999</v>
      </c>
      <c r="G235">
        <f>IFERROR(VLOOKUP($C235,'Miljövärden urval för publ'!$B$2:$H$417,MATCH('Miljövärden för publ företag'!G$4,'Miljövärden urval för publ'!$B$2:$H$2,0),FALSE),"")</f>
        <v>1.8211000000000001E-2</v>
      </c>
      <c r="J235">
        <f t="shared" si="14"/>
        <v>97</v>
      </c>
      <c r="M235">
        <v>231</v>
      </c>
      <c r="N235" t="str">
        <f t="shared" si="15"/>
        <v/>
      </c>
      <c r="P235" s="155">
        <f t="shared" si="16"/>
        <v>0</v>
      </c>
      <c r="Q235" s="150" t="str">
        <f t="shared" si="13"/>
        <v/>
      </c>
    </row>
    <row r="236" spans="1:17" x14ac:dyDescent="0.45">
      <c r="A236">
        <v>233</v>
      </c>
      <c r="B236" s="2" t="str">
        <f>IFERROR(INDEX('Miljövärden urval för publ'!$A$2:$AA$420,MATCH('Miljövärden för publ företag'!$A236,'Miljövärden urval för publ'!$R$2:$R$417,0),1),"")</f>
        <v>Skövde Energi AB</v>
      </c>
      <c r="C236" s="2" t="str">
        <f>IFERROR(INDEX('Miljövärden urval för publ'!$A$2:$AA$420,MATCH('Miljövärden för publ företag'!$A236,'Miljövärden urval för publ'!$R$2:$R$417,0),2),"")</f>
        <v>Tidan</v>
      </c>
      <c r="D236">
        <f>IFERROR(VLOOKUP($C236,'Miljövärden urval för publ'!$B$2:$H$417,MATCH('Miljövärden för publ företag'!D$4,'Miljövärden urval för publ'!$B$2:$H$2,0),FALSE),"")</f>
        <v>0.165663</v>
      </c>
      <c r="E236">
        <f>IFERROR(VLOOKUP($C236,'Miljövärden urval för publ'!$B$2:$H$417,MATCH('Miljövärden för publ företag'!E$4,'Miljövärden urval för publ'!$B$2:$H$2,0),FALSE),"")</f>
        <v>9.3231400000000004</v>
      </c>
      <c r="F236">
        <f>IFERROR(VLOOKUP($C236,'Miljövärden urval för publ'!$B$2:$H$417,MATCH('Miljövärden för publ företag'!F$4,'Miljövärden urval för publ'!$B$2:$H$2,0),FALSE),"")</f>
        <v>17.517900000000001</v>
      </c>
      <c r="G236">
        <f>IFERROR(VLOOKUP($C236,'Miljövärden urval för publ'!$B$2:$H$417,MATCH('Miljövärden för publ företag'!G$4,'Miljövärden urval för publ'!$B$2:$H$2,0),FALSE),"")</f>
        <v>1.3164800000000001E-2</v>
      </c>
      <c r="J236">
        <f t="shared" si="14"/>
        <v>97</v>
      </c>
      <c r="M236">
        <v>232</v>
      </c>
      <c r="N236" t="str">
        <f t="shared" si="15"/>
        <v/>
      </c>
      <c r="P236" s="155">
        <f t="shared" si="16"/>
        <v>0</v>
      </c>
      <c r="Q236" s="150" t="str">
        <f t="shared" si="13"/>
        <v/>
      </c>
    </row>
    <row r="237" spans="1:17" x14ac:dyDescent="0.45">
      <c r="A237">
        <v>234</v>
      </c>
      <c r="B237" s="2" t="str">
        <f>IFERROR(INDEX('Miljövärden urval för publ'!$A$2:$AA$420,MATCH('Miljövärden för publ företag'!$A237,'Miljövärden urval för publ'!$R$2:$R$417,0),1),"")</f>
        <v>Skövde Energi AB</v>
      </c>
      <c r="C237" s="2" t="str">
        <f>IFERROR(INDEX('Miljövärden urval för publ'!$A$2:$AA$420,MATCH('Miljövärden för publ företag'!$A237,'Miljövärden urval för publ'!$R$2:$R$417,0),2),"")</f>
        <v>Timmersdala</v>
      </c>
      <c r="D237">
        <f>IFERROR(VLOOKUP($C237,'Miljövärden urval för publ'!$B$2:$H$417,MATCH('Miljövärden för publ företag'!D$4,'Miljövärden urval för publ'!$B$2:$H$2,0),FALSE),"")</f>
        <v>0.18264900000000001</v>
      </c>
      <c r="E237">
        <f>IFERROR(VLOOKUP($C237,'Miljövärden urval för publ'!$B$2:$H$417,MATCH('Miljövärden för publ företag'!E$4,'Miljövärden urval för publ'!$B$2:$H$2,0),FALSE),"")</f>
        <v>11.015499999999999</v>
      </c>
      <c r="F237">
        <f>IFERROR(VLOOKUP($C237,'Miljövärden urval för publ'!$B$2:$H$417,MATCH('Miljövärden för publ företag'!F$4,'Miljövärden urval för publ'!$B$2:$H$2,0),FALSE),"")</f>
        <v>18.168500000000002</v>
      </c>
      <c r="G237">
        <f>IFERROR(VLOOKUP($C237,'Miljövärden urval för publ'!$B$2:$H$417,MATCH('Miljövärden för publ företag'!G$4,'Miljövärden urval för publ'!$B$2:$H$2,0),FALSE),"")</f>
        <v>1.7088599999999999E-2</v>
      </c>
      <c r="J237">
        <f t="shared" si="14"/>
        <v>97</v>
      </c>
      <c r="M237">
        <v>233</v>
      </c>
      <c r="N237" t="str">
        <f t="shared" si="15"/>
        <v/>
      </c>
      <c r="P237" s="155">
        <f t="shared" si="16"/>
        <v>0</v>
      </c>
      <c r="Q237" s="150" t="str">
        <f t="shared" si="13"/>
        <v/>
      </c>
    </row>
    <row r="238" spans="1:17" x14ac:dyDescent="0.45">
      <c r="A238" s="160">
        <v>235</v>
      </c>
      <c r="B238" s="2" t="str">
        <f>IFERROR(INDEX('Miljövärden urval för publ'!$A$2:$AA$420,MATCH('Miljövärden för publ företag'!$A238,'Miljövärden urval för publ'!$R$2:$R$417,0),1),"")</f>
        <v>Smedjebacken Energi AB</v>
      </c>
      <c r="C238" s="2" t="str">
        <f>IFERROR(INDEX('Miljövärden urval för publ'!$A$2:$AA$420,MATCH('Miljövärden för publ företag'!$A238,'Miljövärden urval för publ'!$R$2:$R$417,0),2),"")</f>
        <v>Smedjebacken</v>
      </c>
      <c r="D238">
        <f>IFERROR(VLOOKUP($C238,'Miljövärden urval för publ'!$B$2:$H$417,MATCH('Miljövärden för publ företag'!D$4,'Miljövärden urval för publ'!$B$2:$H$2,0),FALSE),"")</f>
        <v>9.8960900000000004E-2</v>
      </c>
      <c r="E238">
        <f>IFERROR(VLOOKUP($C238,'Miljövärden urval för publ'!$B$2:$H$417,MATCH('Miljövärden för publ företag'!E$4,'Miljövärden urval för publ'!$B$2:$H$2,0),FALSE),"")</f>
        <v>8.1172799999999992</v>
      </c>
      <c r="F238">
        <f>IFERROR(VLOOKUP($C238,'Miljövärden urval för publ'!$B$2:$H$417,MATCH('Miljövärden för publ företag'!F$4,'Miljövärden urval för publ'!$B$2:$H$2,0),FALSE),"")</f>
        <v>6.2057099999999998</v>
      </c>
      <c r="G238">
        <f>IFERROR(VLOOKUP($C238,'Miljövärden urval för publ'!$B$2:$H$417,MATCH('Miljövärden för publ företag'!G$4,'Miljövärden urval för publ'!$B$2:$H$2,0),FALSE),"")</f>
        <v>1.0895200000000001E-2</v>
      </c>
      <c r="J238">
        <f t="shared" si="14"/>
        <v>98</v>
      </c>
      <c r="M238">
        <v>234</v>
      </c>
      <c r="N238" t="str">
        <f t="shared" si="15"/>
        <v/>
      </c>
      <c r="P238" s="155">
        <f t="shared" si="16"/>
        <v>0</v>
      </c>
      <c r="Q238" s="150" t="str">
        <f t="shared" si="13"/>
        <v/>
      </c>
    </row>
    <row r="239" spans="1:17" x14ac:dyDescent="0.45">
      <c r="A239">
        <v>236</v>
      </c>
      <c r="B239" s="2" t="str">
        <f>IFERROR(INDEX('Miljövärden urval för publ'!$A$2:$AA$420,MATCH('Miljövärden för publ företag'!$A239,'Miljövärden urval för publ'!$R$2:$R$417,0),1),"")</f>
        <v>Smedjebacken Energi AB</v>
      </c>
      <c r="C239" s="2" t="str">
        <f>IFERROR(INDEX('Miljövärden urval för publ'!$A$2:$AA$420,MATCH('Miljövärden för publ företag'!$A239,'Miljövärden urval för publ'!$R$2:$R$417,0),2),"")</f>
        <v>Söderbärke</v>
      </c>
      <c r="D239">
        <f>IFERROR(VLOOKUP($C239,'Miljövärden urval för publ'!$B$2:$H$417,MATCH('Miljövärden för publ företag'!D$4,'Miljövärden urval för publ'!$B$2:$H$2,0),FALSE),"")</f>
        <v>0.110292</v>
      </c>
      <c r="E239">
        <f>IFERROR(VLOOKUP($C239,'Miljövärden urval för publ'!$B$2:$H$417,MATCH('Miljövärden för publ företag'!E$4,'Miljövärden urval för publ'!$B$2:$H$2,0),FALSE),"")</f>
        <v>15.3468</v>
      </c>
      <c r="F239">
        <f>IFERROR(VLOOKUP($C239,'Miljövärden urval för publ'!$B$2:$H$417,MATCH('Miljövärden för publ företag'!F$4,'Miljövärden urval för publ'!$B$2:$H$2,0),FALSE),"")</f>
        <v>9.6608099999999997</v>
      </c>
      <c r="G239">
        <f>IFERROR(VLOOKUP($C239,'Miljövärden urval för publ'!$B$2:$H$417,MATCH('Miljövärden för publ företag'!G$4,'Miljövärden urval för publ'!$B$2:$H$2,0),FALSE),"")</f>
        <v>1.6590799999999999E-2</v>
      </c>
      <c r="J239">
        <f t="shared" si="14"/>
        <v>98</v>
      </c>
      <c r="M239">
        <v>235</v>
      </c>
      <c r="N239" t="str">
        <f t="shared" si="15"/>
        <v/>
      </c>
      <c r="P239" s="155">
        <f t="shared" si="16"/>
        <v>0</v>
      </c>
      <c r="Q239" s="150" t="str">
        <f t="shared" si="13"/>
        <v/>
      </c>
    </row>
    <row r="240" spans="1:17" x14ac:dyDescent="0.45">
      <c r="A240">
        <v>237</v>
      </c>
      <c r="B240" s="2" t="str">
        <f>IFERROR(INDEX('Miljövärden urval för publ'!$A$2:$AA$420,MATCH('Miljövärden för publ företag'!$A240,'Miljövärden urval för publ'!$R$2:$R$417,0),1),"")</f>
        <v>Sollentuna Energi &amp; Miljö AB</v>
      </c>
      <c r="C240" s="2" t="str">
        <f>IFERROR(INDEX('Miljövärden urval för publ'!$A$2:$AA$420,MATCH('Miljövärden för publ företag'!$A240,'Miljövärden urval för publ'!$R$2:$R$417,0),2),"")</f>
        <v>Sollentuna</v>
      </c>
      <c r="D240">
        <f>IFERROR(VLOOKUP($C240,'Miljövärden urval för publ'!$B$2:$H$417,MATCH('Miljövärden för publ företag'!D$4,'Miljövärden urval för publ'!$B$2:$H$2,0),FALSE),"")</f>
        <v>5.84685E-2</v>
      </c>
      <c r="E240">
        <f>IFERROR(VLOOKUP($C240,'Miljövärden urval för publ'!$B$2:$H$417,MATCH('Miljövärden för publ företag'!E$4,'Miljövärden urval för publ'!$B$2:$H$2,0),FALSE),"")</f>
        <v>92.110900000000001</v>
      </c>
      <c r="F240">
        <f>IFERROR(VLOOKUP($C240,'Miljövärden urval för publ'!$B$2:$H$417,MATCH('Miljövärden för publ företag'!F$4,'Miljövärden urval för publ'!$B$2:$H$2,0),FALSE),"")</f>
        <v>5.0804600000000004</v>
      </c>
      <c r="G240">
        <f>IFERROR(VLOOKUP($C240,'Miljövärden urval för publ'!$B$2:$H$417,MATCH('Miljövärden för publ företag'!G$4,'Miljövärden urval för publ'!$B$2:$H$2,0),FALSE),"")</f>
        <v>0</v>
      </c>
      <c r="J240">
        <f t="shared" si="14"/>
        <v>99</v>
      </c>
      <c r="M240">
        <v>236</v>
      </c>
      <c r="N240" t="str">
        <f t="shared" si="15"/>
        <v/>
      </c>
      <c r="P240" s="155">
        <f t="shared" si="16"/>
        <v>0</v>
      </c>
      <c r="Q240" s="150" t="str">
        <f t="shared" si="13"/>
        <v/>
      </c>
    </row>
    <row r="241" spans="1:17" x14ac:dyDescent="0.45">
      <c r="A241" s="160">
        <v>238</v>
      </c>
      <c r="B241" s="2" t="str">
        <f>IFERROR(INDEX('Miljövärden urval för publ'!$A$2:$AA$420,MATCH('Miljövärden för publ företag'!$A241,'Miljövärden urval för publ'!$R$2:$R$417,0),1),"")</f>
        <v>Statkraft Värme AB</v>
      </c>
      <c r="C241" s="2" t="str">
        <f>IFERROR(INDEX('Miljövärden urval för publ'!$A$2:$AA$420,MATCH('Miljövärden för publ företag'!$A241,'Miljövärden urval för publ'!$R$2:$R$417,0),2),"")</f>
        <v>Kungsbacka</v>
      </c>
      <c r="D241">
        <f>IFERROR(VLOOKUP($C241,'Miljövärden urval för publ'!$B$2:$H$417,MATCH('Miljövärden för publ företag'!D$4,'Miljövärden urval för publ'!$B$2:$H$2,0),FALSE),"")</f>
        <v>6.4868300000000004E-2</v>
      </c>
      <c r="E241">
        <f>IFERROR(VLOOKUP($C241,'Miljövärden urval för publ'!$B$2:$H$417,MATCH('Miljövärden för publ företag'!E$4,'Miljövärden urval för publ'!$B$2:$H$2,0),FALSE),"")</f>
        <v>4.35032</v>
      </c>
      <c r="F241">
        <f>IFERROR(VLOOKUP($C241,'Miljövärden urval för publ'!$B$2:$H$417,MATCH('Miljövärden för publ företag'!F$4,'Miljövärden urval för publ'!$B$2:$H$2,0),FALSE),"")</f>
        <v>7.6320300000000003</v>
      </c>
      <c r="G241">
        <f>IFERROR(VLOOKUP($C241,'Miljövärden urval för publ'!$B$2:$H$417,MATCH('Miljövärden för publ företag'!G$4,'Miljövärden urval för publ'!$B$2:$H$2,0),FALSE),"")</f>
        <v>0</v>
      </c>
      <c r="J241">
        <f t="shared" si="14"/>
        <v>100</v>
      </c>
      <c r="M241">
        <v>237</v>
      </c>
      <c r="N241" t="str">
        <f t="shared" si="15"/>
        <v/>
      </c>
      <c r="P241" s="155">
        <f t="shared" si="16"/>
        <v>0</v>
      </c>
      <c r="Q241" s="150" t="str">
        <f t="shared" si="13"/>
        <v/>
      </c>
    </row>
    <row r="242" spans="1:17" x14ac:dyDescent="0.45">
      <c r="A242">
        <v>239</v>
      </c>
      <c r="B242" s="2" t="str">
        <f>IFERROR(INDEX('Miljövärden urval för publ'!$A$2:$AA$420,MATCH('Miljövärden för publ företag'!$A242,'Miljövärden urval för publ'!$R$2:$R$417,0),1),"")</f>
        <v>Statkraft Värme AB</v>
      </c>
      <c r="C242" s="2" t="str">
        <f>IFERROR(INDEX('Miljövärden urval för publ'!$A$2:$AA$420,MATCH('Miljövärden för publ företag'!$A242,'Miljövärden urval för publ'!$R$2:$R$417,0),2),"")</f>
        <v>Trosa</v>
      </c>
      <c r="D242">
        <f>IFERROR(VLOOKUP($C242,'Miljövärden urval för publ'!$B$2:$H$417,MATCH('Miljövärden för publ företag'!D$4,'Miljövärden urval för publ'!$B$2:$H$2,0),FALSE),"")</f>
        <v>7.1965100000000004E-2</v>
      </c>
      <c r="E242">
        <f>IFERROR(VLOOKUP($C242,'Miljövärden urval för publ'!$B$2:$H$417,MATCH('Miljövärden för publ företag'!E$4,'Miljövärden urval för publ'!$B$2:$H$2,0),FALSE),"")</f>
        <v>4.59917</v>
      </c>
      <c r="F242">
        <f>IFERROR(VLOOKUP($C242,'Miljövärden urval för publ'!$B$2:$H$417,MATCH('Miljövärden för publ företag'!F$4,'Miljövärden urval för publ'!$B$2:$H$2,0),FALSE),"")</f>
        <v>8.1363599999999998</v>
      </c>
      <c r="G242">
        <f>IFERROR(VLOOKUP($C242,'Miljövärden urval för publ'!$B$2:$H$417,MATCH('Miljövärden för publ företag'!G$4,'Miljövärden urval för publ'!$B$2:$H$2,0),FALSE),"")</f>
        <v>0</v>
      </c>
      <c r="J242">
        <f t="shared" si="14"/>
        <v>100</v>
      </c>
      <c r="M242">
        <v>238</v>
      </c>
      <c r="N242" t="str">
        <f t="shared" si="15"/>
        <v/>
      </c>
      <c r="P242" s="155">
        <f t="shared" si="16"/>
        <v>0</v>
      </c>
      <c r="Q242" s="150" t="str">
        <f t="shared" si="13"/>
        <v/>
      </c>
    </row>
    <row r="243" spans="1:17" x14ac:dyDescent="0.45">
      <c r="A243">
        <v>240</v>
      </c>
      <c r="B243" s="2" t="str">
        <f>IFERROR(INDEX('Miljövärden urval för publ'!$A$2:$AA$420,MATCH('Miljövärden för publ företag'!$A243,'Miljövärden urval för publ'!$R$2:$R$417,0),1),"")</f>
        <v>Statkraft Värme AB</v>
      </c>
      <c r="C243" s="2" t="str">
        <f>IFERROR(INDEX('Miljövärden urval för publ'!$A$2:$AA$420,MATCH('Miljövärden för publ företag'!$A243,'Miljövärden urval för publ'!$R$2:$R$417,0),2),"")</f>
        <v>Vagnhärad</v>
      </c>
      <c r="D243">
        <f>IFERROR(VLOOKUP($C243,'Miljövärden urval för publ'!$B$2:$H$417,MATCH('Miljövärden för publ företag'!D$4,'Miljövärden urval för publ'!$B$2:$H$2,0),FALSE),"")</f>
        <v>6.5418900000000002E-2</v>
      </c>
      <c r="E243">
        <f>IFERROR(VLOOKUP($C243,'Miljövärden urval för publ'!$B$2:$H$417,MATCH('Miljövärden för publ företag'!E$4,'Miljövärden urval för publ'!$B$2:$H$2,0),FALSE),"")</f>
        <v>4.8706300000000002</v>
      </c>
      <c r="F243">
        <f>IFERROR(VLOOKUP($C243,'Miljövärden urval för publ'!$B$2:$H$417,MATCH('Miljövärden för publ företag'!F$4,'Miljövärden urval för publ'!$B$2:$H$2,0),FALSE),"")</f>
        <v>8.6405100000000008</v>
      </c>
      <c r="G243">
        <f>IFERROR(VLOOKUP($C243,'Miljövärden urval för publ'!$B$2:$H$417,MATCH('Miljövärden för publ företag'!G$4,'Miljövärden urval för publ'!$B$2:$H$2,0),FALSE),"")</f>
        <v>0</v>
      </c>
      <c r="J243">
        <f t="shared" si="14"/>
        <v>100</v>
      </c>
      <c r="M243">
        <v>239</v>
      </c>
      <c r="N243" t="str">
        <f t="shared" si="15"/>
        <v/>
      </c>
      <c r="P243" s="155">
        <f t="shared" si="16"/>
        <v>0</v>
      </c>
      <c r="Q243" s="150" t="str">
        <f t="shared" si="13"/>
        <v/>
      </c>
    </row>
    <row r="244" spans="1:17" x14ac:dyDescent="0.45">
      <c r="A244" s="160">
        <v>241</v>
      </c>
      <c r="B244" s="2" t="str">
        <f>IFERROR(INDEX('Miljövärden urval för publ'!$A$2:$AA$420,MATCH('Miljövärden för publ företag'!$A244,'Miljövärden urval för publ'!$R$2:$R$417,0),1),"")</f>
        <v>Statkraft Värme AB</v>
      </c>
      <c r="C244" s="2" t="str">
        <f>IFERROR(INDEX('Miljövärden urval för publ'!$A$2:$AA$420,MATCH('Miljövärden för publ företag'!$A244,'Miljövärden urval för publ'!$R$2:$R$417,0),2),"")</f>
        <v>Åmål</v>
      </c>
      <c r="D244">
        <f>IFERROR(VLOOKUP($C244,'Miljövärden urval för publ'!$B$2:$H$417,MATCH('Miljövärden för publ företag'!D$4,'Miljövärden urval för publ'!$B$2:$H$2,0),FALSE),"")</f>
        <v>5.8845700000000001E-2</v>
      </c>
      <c r="E244">
        <f>IFERROR(VLOOKUP($C244,'Miljövärden urval för publ'!$B$2:$H$417,MATCH('Miljövärden för publ företag'!E$4,'Miljövärden urval för publ'!$B$2:$H$2,0),FALSE),"")</f>
        <v>4.6817599999999997</v>
      </c>
      <c r="F244">
        <f>IFERROR(VLOOKUP($C244,'Miljövärden urval för publ'!$B$2:$H$417,MATCH('Miljövärden för publ företag'!F$4,'Miljövärden urval för publ'!$B$2:$H$2,0),FALSE),"")</f>
        <v>7.4383400000000002</v>
      </c>
      <c r="G244">
        <f>IFERROR(VLOOKUP($C244,'Miljövärden urval för publ'!$B$2:$H$417,MATCH('Miljövärden för publ företag'!G$4,'Miljövärden urval för publ'!$B$2:$H$2,0),FALSE),"")</f>
        <v>1.6130199999999999E-3</v>
      </c>
      <c r="J244">
        <f t="shared" si="14"/>
        <v>100</v>
      </c>
      <c r="M244">
        <v>240</v>
      </c>
      <c r="N244" t="str">
        <f t="shared" si="15"/>
        <v/>
      </c>
      <c r="P244" s="155">
        <f t="shared" si="16"/>
        <v>0</v>
      </c>
      <c r="Q244" s="150" t="str">
        <f t="shared" si="13"/>
        <v/>
      </c>
    </row>
    <row r="245" spans="1:17" x14ac:dyDescent="0.45">
      <c r="A245">
        <v>242</v>
      </c>
      <c r="B245" s="2" t="str">
        <f>IFERROR(INDEX('Miljövärden urval för publ'!$A$2:$AA$420,MATCH('Miljövärden för publ företag'!$A245,'Miljövärden urval för publ'!$R$2:$R$417,0),1),"")</f>
        <v>Stenungsunds Energi och Miljö AB</v>
      </c>
      <c r="C245" s="2" t="str">
        <f>IFERROR(INDEX('Miljövärden urval för publ'!$A$2:$AA$420,MATCH('Miljövärden för publ företag'!$A245,'Miljövärden urval för publ'!$R$2:$R$417,0),2),"")</f>
        <v>Stenungsund</v>
      </c>
      <c r="D245">
        <f>IFERROR(VLOOKUP($C245,'Miljövärden urval för publ'!$B$2:$H$417,MATCH('Miljövärden för publ företag'!D$4,'Miljövärden urval för publ'!$B$2:$H$2,0),FALSE),"")</f>
        <v>2.1093400000000002E-2</v>
      </c>
      <c r="E245">
        <f>IFERROR(VLOOKUP($C245,'Miljövärden urval för publ'!$B$2:$H$417,MATCH('Miljövärden för publ företag'!E$4,'Miljövärden urval för publ'!$B$2:$H$2,0),FALSE),"")</f>
        <v>0.14511399999999999</v>
      </c>
      <c r="F245">
        <f>IFERROR(VLOOKUP($C245,'Miljövärden urval för publ'!$B$2:$H$417,MATCH('Miljövärden för publ företag'!F$4,'Miljövärden urval för publ'!$B$2:$H$2,0),FALSE),"")</f>
        <v>0.48616999999999999</v>
      </c>
      <c r="G245">
        <f>IFERROR(VLOOKUP($C245,'Miljövärden urval för publ'!$B$2:$H$417,MATCH('Miljövärden för publ företag'!G$4,'Miljövärden urval för publ'!$B$2:$H$2,0),FALSE),"")</f>
        <v>4.1379600000000002E-4</v>
      </c>
      <c r="J245">
        <f t="shared" si="14"/>
        <v>101</v>
      </c>
      <c r="M245">
        <v>241</v>
      </c>
      <c r="N245" t="str">
        <f t="shared" si="15"/>
        <v/>
      </c>
      <c r="P245" s="155">
        <f t="shared" si="16"/>
        <v>0</v>
      </c>
      <c r="Q245" s="150" t="str">
        <f t="shared" si="13"/>
        <v/>
      </c>
    </row>
    <row r="246" spans="1:17" x14ac:dyDescent="0.45">
      <c r="A246">
        <v>243</v>
      </c>
      <c r="B246" s="2" t="str">
        <f>IFERROR(INDEX('Miljövärden urval för publ'!$A$2:$AA$420,MATCH('Miljövärden för publ företag'!$A246,'Miljövärden urval för publ'!$R$2:$R$417,0),1),"")</f>
        <v>Stenungsunds Energi och Miljö AB</v>
      </c>
      <c r="C246" s="2" t="str">
        <f>IFERROR(INDEX('Miljövärden urval för publ'!$A$2:$AA$420,MATCH('Miljövärden för publ företag'!$A246,'Miljövärden urval för publ'!$R$2:$R$417,0),2),"")</f>
        <v>Stora Höga</v>
      </c>
      <c r="D246">
        <f>IFERROR(VLOOKUP($C246,'Miljövärden urval för publ'!$B$2:$H$417,MATCH('Miljövärden för publ företag'!D$4,'Miljövärden urval för publ'!$B$2:$H$2,0),FALSE),"")</f>
        <v>0.14397799999999999</v>
      </c>
      <c r="E246">
        <f>IFERROR(VLOOKUP($C246,'Miljövärden urval för publ'!$B$2:$H$417,MATCH('Miljövärden för publ företag'!E$4,'Miljövärden urval för publ'!$B$2:$H$2,0),FALSE),"")</f>
        <v>6.63957</v>
      </c>
      <c r="F246">
        <f>IFERROR(VLOOKUP($C246,'Miljövärden urval för publ'!$B$2:$H$417,MATCH('Miljövärden för publ företag'!F$4,'Miljövärden urval för publ'!$B$2:$H$2,0),FALSE),"")</f>
        <v>14.0785</v>
      </c>
      <c r="G246">
        <f>IFERROR(VLOOKUP($C246,'Miljövärden urval för publ'!$B$2:$H$417,MATCH('Miljövärden för publ företag'!G$4,'Miljövärden urval för publ'!$B$2:$H$2,0),FALSE),"")</f>
        <v>9.7875900000000005E-3</v>
      </c>
      <c r="J246">
        <f t="shared" si="14"/>
        <v>101</v>
      </c>
      <c r="M246">
        <v>242</v>
      </c>
      <c r="N246" t="str">
        <f t="shared" si="15"/>
        <v/>
      </c>
      <c r="P246" s="155">
        <f t="shared" si="16"/>
        <v>0</v>
      </c>
      <c r="Q246" s="150" t="str">
        <f t="shared" si="13"/>
        <v/>
      </c>
    </row>
    <row r="247" spans="1:17" x14ac:dyDescent="0.45">
      <c r="A247" s="160">
        <v>244</v>
      </c>
      <c r="B247" s="2" t="str">
        <f>IFERROR(INDEX('Miljövärden urval för publ'!$A$2:$AA$420,MATCH('Miljövärden för publ företag'!$A247,'Miljövärden urval för publ'!$R$2:$R$417,0),1),"")</f>
        <v>Stockholm Exergi AB</v>
      </c>
      <c r="C247" s="2" t="str">
        <f>IFERROR(INDEX('Miljövärden urval för publ'!$A$2:$AA$420,MATCH('Miljövärden för publ företag'!$A247,'Miljövärden urval för publ'!$R$2:$R$417,0),2),"")</f>
        <v>Stockholm</v>
      </c>
      <c r="D247">
        <f>IFERROR(VLOOKUP($C247,'Miljövärden urval för publ'!$B$2:$H$417,MATCH('Miljövärden för publ företag'!D$4,'Miljövärden urval för publ'!$B$2:$H$2,0),FALSE),"")</f>
        <v>0.11820799999999999</v>
      </c>
      <c r="E247">
        <f>IFERROR(VLOOKUP($C247,'Miljövärden urval för publ'!$B$2:$H$417,MATCH('Miljövärden för publ företag'!E$4,'Miljövärden urval för publ'!$B$2:$H$2,0),FALSE),"")</f>
        <v>61.205399999999997</v>
      </c>
      <c r="F247">
        <f>IFERROR(VLOOKUP($C247,'Miljövärden urval för publ'!$B$2:$H$417,MATCH('Miljövärden för publ företag'!F$4,'Miljövärden urval för publ'!$B$2:$H$2,0),FALSE),"")</f>
        <v>4.1541499999999996</v>
      </c>
      <c r="G247">
        <f>IFERROR(VLOOKUP($C247,'Miljövärden urval för publ'!$B$2:$H$417,MATCH('Miljövärden för publ företag'!G$4,'Miljövärden urval för publ'!$B$2:$H$2,0),FALSE),"")</f>
        <v>7.4309799999999995E-2</v>
      </c>
      <c r="J247">
        <f t="shared" si="14"/>
        <v>102</v>
      </c>
      <c r="M247">
        <v>243</v>
      </c>
      <c r="N247" t="str">
        <f t="shared" si="15"/>
        <v/>
      </c>
      <c r="P247" s="155">
        <f t="shared" si="16"/>
        <v>0</v>
      </c>
      <c r="Q247" s="150" t="str">
        <f t="shared" si="13"/>
        <v/>
      </c>
    </row>
    <row r="248" spans="1:17" x14ac:dyDescent="0.45">
      <c r="A248">
        <v>245</v>
      </c>
      <c r="B248" s="2" t="str">
        <f>IFERROR(INDEX('Miljövärden urval för publ'!$A$2:$AA$420,MATCH('Miljövärden för publ företag'!$A248,'Miljövärden urval för publ'!$R$2:$R$417,0),1),"")</f>
        <v>Stockholm Exergi AB</v>
      </c>
      <c r="C248" s="2" t="str">
        <f>IFERROR(INDEX('Miljövärden urval för publ'!$A$2:$AA$420,MATCH('Miljövärden för publ företag'!$A248,'Miljövärden urval för publ'!$R$2:$R$417,0),2),"")</f>
        <v>Täby</v>
      </c>
      <c r="D248">
        <f>IFERROR(VLOOKUP($C248,'Miljövärden urval för publ'!$B$2:$H$417,MATCH('Miljövärden för publ företag'!D$4,'Miljövärden urval för publ'!$B$2:$H$2,0),FALSE),"")</f>
        <v>0.54410400000000003</v>
      </c>
      <c r="E248">
        <f>IFERROR(VLOOKUP($C248,'Miljövärden urval för publ'!$B$2:$H$417,MATCH('Miljövärden för publ företag'!E$4,'Miljövärden urval för publ'!$B$2:$H$2,0),FALSE),"")</f>
        <v>57.253999999999998</v>
      </c>
      <c r="F248">
        <f>IFERROR(VLOOKUP($C248,'Miljövärden urval för publ'!$B$2:$H$417,MATCH('Miljövärden för publ företag'!F$4,'Miljövärden urval för publ'!$B$2:$H$2,0),FALSE),"")</f>
        <v>7.17117</v>
      </c>
      <c r="G248">
        <f>IFERROR(VLOOKUP($C248,'Miljövärden urval för publ'!$B$2:$H$417,MATCH('Miljövärden för publ företag'!G$4,'Miljövärden urval för publ'!$B$2:$H$2,0),FALSE),"")</f>
        <v>6.7371399999999998E-2</v>
      </c>
      <c r="J248">
        <f t="shared" si="14"/>
        <v>102</v>
      </c>
      <c r="M248">
        <v>244</v>
      </c>
      <c r="N248" t="str">
        <f t="shared" si="15"/>
        <v/>
      </c>
      <c r="P248" s="155">
        <f t="shared" si="16"/>
        <v>0</v>
      </c>
      <c r="Q248" s="150" t="str">
        <f t="shared" si="13"/>
        <v/>
      </c>
    </row>
    <row r="249" spans="1:17" x14ac:dyDescent="0.45">
      <c r="A249">
        <v>246</v>
      </c>
      <c r="B249" s="2" t="str">
        <f>IFERROR(INDEX('Miljövärden urval för publ'!$A$2:$AA$420,MATCH('Miljövärden för publ företag'!$A249,'Miljövärden urval för publ'!$R$2:$R$417,0),1),"")</f>
        <v>Sundsvall Energi AB</v>
      </c>
      <c r="C249" s="2" t="str">
        <f>IFERROR(INDEX('Miljövärden urval för publ'!$A$2:$AA$420,MATCH('Miljövärden för publ företag'!$A249,'Miljövärden urval för publ'!$R$2:$R$417,0),2),"")</f>
        <v>Kvissleby</v>
      </c>
      <c r="D249">
        <f>IFERROR(VLOOKUP($C249,'Miljövärden urval för publ'!$B$2:$H$417,MATCH('Miljövärden för publ företag'!D$4,'Miljövärden urval för publ'!$B$2:$H$2,0),FALSE),"")</f>
        <v>0.34172999999999998</v>
      </c>
      <c r="E249">
        <f>IFERROR(VLOOKUP($C249,'Miljövärden urval för publ'!$B$2:$H$417,MATCH('Miljövärden för publ företag'!E$4,'Miljövärden urval för publ'!$B$2:$H$2,0),FALSE),"")</f>
        <v>70.140100000000004</v>
      </c>
      <c r="F249">
        <f>IFERROR(VLOOKUP($C249,'Miljövärden urval för publ'!$B$2:$H$417,MATCH('Miljövärden för publ företag'!F$4,'Miljövärden urval för publ'!$B$2:$H$2,0),FALSE),"")</f>
        <v>11.589499999999999</v>
      </c>
      <c r="G249">
        <f>IFERROR(VLOOKUP($C249,'Miljövärden urval för publ'!$B$2:$H$417,MATCH('Miljövärden för publ företag'!G$4,'Miljövärden urval för publ'!$B$2:$H$2,0),FALSE),"")</f>
        <v>0.15393000000000001</v>
      </c>
      <c r="J249">
        <f t="shared" si="14"/>
        <v>103</v>
      </c>
      <c r="M249">
        <v>245</v>
      </c>
      <c r="N249" t="str">
        <f t="shared" si="15"/>
        <v/>
      </c>
      <c r="P249" s="155">
        <f t="shared" si="16"/>
        <v>0</v>
      </c>
      <c r="Q249" s="150" t="str">
        <f t="shared" si="13"/>
        <v/>
      </c>
    </row>
    <row r="250" spans="1:17" x14ac:dyDescent="0.45">
      <c r="A250" s="160">
        <v>247</v>
      </c>
      <c r="B250" s="2" t="str">
        <f>IFERROR(INDEX('Miljövärden urval för publ'!$A$2:$AA$420,MATCH('Miljövärden för publ företag'!$A250,'Miljövärden urval för publ'!$R$2:$R$417,0),1),"")</f>
        <v>Sundsvall Energi AB</v>
      </c>
      <c r="C250" s="2" t="str">
        <f>IFERROR(INDEX('Miljövärden urval för publ'!$A$2:$AA$420,MATCH('Miljövärden för publ företag'!$A250,'Miljövärden urval för publ'!$R$2:$R$417,0),2),"")</f>
        <v>Matfors</v>
      </c>
      <c r="D250">
        <f>IFERROR(VLOOKUP($C250,'Miljövärden urval för publ'!$B$2:$H$417,MATCH('Miljövärden för publ företag'!D$4,'Miljövärden urval för publ'!$B$2:$H$2,0),FALSE),"")</f>
        <v>0.136957</v>
      </c>
      <c r="E250">
        <f>IFERROR(VLOOKUP($C250,'Miljövärden urval för publ'!$B$2:$H$417,MATCH('Miljövärden för publ företag'!E$4,'Miljövärden urval för publ'!$B$2:$H$2,0),FALSE),"")</f>
        <v>19.784600000000001</v>
      </c>
      <c r="F250">
        <f>IFERROR(VLOOKUP($C250,'Miljövärden urval för publ'!$B$2:$H$417,MATCH('Miljövärden för publ företag'!F$4,'Miljövärden urval för publ'!$B$2:$H$2,0),FALSE),"")</f>
        <v>7.7416099999999997</v>
      </c>
      <c r="G250">
        <f>IFERROR(VLOOKUP($C250,'Miljövärden urval för publ'!$B$2:$H$417,MATCH('Miljövärden för publ företag'!G$4,'Miljövärden urval för publ'!$B$2:$H$2,0),FALSE),"")</f>
        <v>3.1819899999999998E-2</v>
      </c>
      <c r="J250">
        <f t="shared" si="14"/>
        <v>103</v>
      </c>
      <c r="M250">
        <v>246</v>
      </c>
      <c r="N250" t="str">
        <f t="shared" si="15"/>
        <v/>
      </c>
      <c r="P250" s="155">
        <f t="shared" si="16"/>
        <v>0</v>
      </c>
      <c r="Q250" s="150" t="str">
        <f t="shared" si="13"/>
        <v/>
      </c>
    </row>
    <row r="251" spans="1:17" x14ac:dyDescent="0.45">
      <c r="A251">
        <v>248</v>
      </c>
      <c r="B251" s="2" t="str">
        <f>IFERROR(INDEX('Miljövärden urval för publ'!$A$2:$AA$420,MATCH('Miljövärden för publ företag'!$A251,'Miljövärden urval för publ'!$R$2:$R$417,0),1),"")</f>
        <v>Sundsvall Energi AB</v>
      </c>
      <c r="C251" s="2" t="str">
        <f>IFERROR(INDEX('Miljövärden urval för publ'!$A$2:$AA$420,MATCH('Miljövärden för publ företag'!$A251,'Miljövärden urval för publ'!$R$2:$R$417,0),2),"")</f>
        <v>Sundsvall</v>
      </c>
      <c r="D251">
        <f>IFERROR(VLOOKUP($C251,'Miljövärden urval för publ'!$B$2:$H$417,MATCH('Miljövärden för publ företag'!D$4,'Miljövärden urval för publ'!$B$2:$H$2,0),FALSE),"")</f>
        <v>0.15995999999999999</v>
      </c>
      <c r="E251">
        <f>IFERROR(VLOOKUP($C251,'Miljövärden urval för publ'!$B$2:$H$417,MATCH('Miljövärden för publ företag'!E$4,'Miljövärden urval för publ'!$B$2:$H$2,0),FALSE),"")</f>
        <v>100.102</v>
      </c>
      <c r="F251">
        <f>IFERROR(VLOOKUP($C251,'Miljövärden urval för publ'!$B$2:$H$417,MATCH('Miljövärden för publ företag'!F$4,'Miljövärden urval för publ'!$B$2:$H$2,0),FALSE),"")</f>
        <v>5.7476200000000004</v>
      </c>
      <c r="G251">
        <f>IFERROR(VLOOKUP($C251,'Miljövärden urval för publ'!$B$2:$H$417,MATCH('Miljövärden för publ företag'!G$4,'Miljövärden urval för publ'!$B$2:$H$2,0),FALSE),"")</f>
        <v>1.5902699999999999E-2</v>
      </c>
      <c r="J251">
        <f t="shared" si="14"/>
        <v>103</v>
      </c>
      <c r="M251">
        <v>247</v>
      </c>
      <c r="N251" t="str">
        <f t="shared" si="15"/>
        <v/>
      </c>
      <c r="P251" s="155">
        <f t="shared" si="16"/>
        <v>0</v>
      </c>
      <c r="Q251" s="150" t="str">
        <f t="shared" si="13"/>
        <v/>
      </c>
    </row>
    <row r="252" spans="1:17" x14ac:dyDescent="0.45">
      <c r="A252">
        <v>249</v>
      </c>
      <c r="B252" s="2" t="str">
        <f>IFERROR(INDEX('Miljövärden urval för publ'!$A$2:$AA$420,MATCH('Miljövärden för publ företag'!$A252,'Miljövärden urval för publ'!$R$2:$R$417,0),1),"")</f>
        <v>Sundsvall Energi AB</v>
      </c>
      <c r="C252" s="2" t="str">
        <f>IFERROR(INDEX('Miljövärden urval för publ'!$A$2:$AA$420,MATCH('Miljövärden för publ företag'!$A252,'Miljövärden urval för publ'!$R$2:$R$417,0),2),"")</f>
        <v>Tunadal</v>
      </c>
      <c r="D252">
        <f>IFERROR(VLOOKUP($C252,'Miljövärden urval för publ'!$B$2:$H$417,MATCH('Miljövärden för publ företag'!D$4,'Miljövärden urval för publ'!$B$2:$H$2,0),FALSE),"")</f>
        <v>0.63363800000000003</v>
      </c>
      <c r="E252">
        <f>IFERROR(VLOOKUP($C252,'Miljövärden urval för publ'!$B$2:$H$417,MATCH('Miljövärden för publ företag'!E$4,'Miljövärden urval för publ'!$B$2:$H$2,0),FALSE),"")</f>
        <v>189.98699999999999</v>
      </c>
      <c r="F252">
        <f>IFERROR(VLOOKUP($C252,'Miljövärden urval för publ'!$B$2:$H$417,MATCH('Miljövärden för publ företag'!F$4,'Miljövärden urval för publ'!$B$2:$H$2,0),FALSE),"")</f>
        <v>2.9547099999999999</v>
      </c>
      <c r="G252">
        <f>IFERROR(VLOOKUP($C252,'Miljövärden urval för publ'!$B$2:$H$417,MATCH('Miljövärden för publ företag'!G$4,'Miljövärden urval för publ'!$B$2:$H$2,0),FALSE),"")</f>
        <v>8.6936299999999994E-2</v>
      </c>
      <c r="J252">
        <f t="shared" si="14"/>
        <v>103</v>
      </c>
      <c r="M252">
        <v>248</v>
      </c>
      <c r="N252" t="str">
        <f t="shared" si="15"/>
        <v/>
      </c>
      <c r="P252" s="155">
        <f t="shared" si="16"/>
        <v>0</v>
      </c>
      <c r="Q252" s="150" t="str">
        <f t="shared" si="13"/>
        <v/>
      </c>
    </row>
    <row r="253" spans="1:17" x14ac:dyDescent="0.45">
      <c r="A253" s="160">
        <v>250</v>
      </c>
      <c r="B253" s="2" t="str">
        <f>IFERROR(INDEX('Miljövärden urval för publ'!$A$2:$AA$420,MATCH('Miljövärden för publ företag'!$A253,'Miljövärden urval för publ'!$R$2:$R$417,0),1),"")</f>
        <v>Sundsvall Energi AB</v>
      </c>
      <c r="C253" s="2" t="str">
        <f>IFERROR(INDEX('Miljövärden urval för publ'!$A$2:$AA$420,MATCH('Miljövärden för publ företag'!$A253,'Miljövärden urval för publ'!$R$2:$R$417,0),2),"")</f>
        <v>Övriga nät Sundsvall energi</v>
      </c>
      <c r="D253">
        <f>IFERROR(VLOOKUP($C253,'Miljövärden urval för publ'!$B$2:$H$417,MATCH('Miljövärden för publ företag'!D$4,'Miljövärden urval för publ'!$B$2:$H$2,0),FALSE),"")</f>
        <v>0.28007500000000002</v>
      </c>
      <c r="E253">
        <f>IFERROR(VLOOKUP($C253,'Miljövärden urval för publ'!$B$2:$H$417,MATCH('Miljövärden för publ företag'!E$4,'Miljövärden urval för publ'!$B$2:$H$2,0),FALSE),"")</f>
        <v>36.499099999999999</v>
      </c>
      <c r="F253">
        <f>IFERROR(VLOOKUP($C253,'Miljövärden urval för publ'!$B$2:$H$417,MATCH('Miljövärden för publ företag'!F$4,'Miljövärden urval för publ'!$B$2:$H$2,0),FALSE),"")</f>
        <v>20.032399999999999</v>
      </c>
      <c r="G253">
        <f>IFERROR(VLOOKUP($C253,'Miljövärden urval för publ'!$B$2:$H$417,MATCH('Miljövärden för publ företag'!G$4,'Miljövärden urval för publ'!$B$2:$H$2,0),FALSE),"")</f>
        <v>8.5255499999999998E-2</v>
      </c>
      <c r="J253">
        <f t="shared" si="14"/>
        <v>103</v>
      </c>
      <c r="M253">
        <v>249</v>
      </c>
      <c r="N253" t="str">
        <f t="shared" si="15"/>
        <v/>
      </c>
      <c r="P253" s="155">
        <f t="shared" si="16"/>
        <v>0</v>
      </c>
      <c r="Q253" s="150" t="str">
        <f t="shared" si="13"/>
        <v/>
      </c>
    </row>
    <row r="254" spans="1:17" x14ac:dyDescent="0.45">
      <c r="A254">
        <v>251</v>
      </c>
      <c r="B254" s="2" t="str">
        <f>IFERROR(INDEX('Miljövärden urval för publ'!$A$2:$AA$420,MATCH('Miljövärden för publ företag'!$A254,'Miljövärden urval för publ'!$R$2:$R$417,0),1),"")</f>
        <v>Söderhamn Nära AB</v>
      </c>
      <c r="C254" s="2" t="str">
        <f>IFERROR(INDEX('Miljövärden urval för publ'!$A$2:$AA$420,MATCH('Miljövärden för publ företag'!$A254,'Miljövärden urval för publ'!$R$2:$R$417,0),2),"")</f>
        <v>Ljusne</v>
      </c>
      <c r="D254">
        <f>IFERROR(VLOOKUP($C254,'Miljövärden urval för publ'!$B$2:$H$417,MATCH('Miljövärden för publ företag'!D$4,'Miljövärden urval för publ'!$B$2:$H$2,0),FALSE),"")</f>
        <v>6.5351900000000004E-2</v>
      </c>
      <c r="E254">
        <f>IFERROR(VLOOKUP($C254,'Miljövärden urval för publ'!$B$2:$H$417,MATCH('Miljövärden för publ företag'!E$4,'Miljövärden urval för publ'!$B$2:$H$2,0),FALSE),"")</f>
        <v>9.2408199999999994</v>
      </c>
      <c r="F254">
        <f>IFERROR(VLOOKUP($C254,'Miljövärden urval för publ'!$B$2:$H$417,MATCH('Miljövärden för publ företag'!F$4,'Miljövärden urval för publ'!$B$2:$H$2,0),FALSE),"")</f>
        <v>9.6988900000000005</v>
      </c>
      <c r="G254">
        <f>IFERROR(VLOOKUP($C254,'Miljövärden urval för publ'!$B$2:$H$417,MATCH('Miljövärden för publ företag'!G$4,'Miljövärden urval för publ'!$B$2:$H$2,0),FALSE),"")</f>
        <v>1.0724900000000001E-2</v>
      </c>
      <c r="J254">
        <f t="shared" si="14"/>
        <v>104</v>
      </c>
      <c r="M254">
        <v>250</v>
      </c>
      <c r="N254" t="str">
        <f t="shared" si="15"/>
        <v/>
      </c>
      <c r="P254" s="155">
        <f t="shared" si="16"/>
        <v>0</v>
      </c>
      <c r="Q254" s="150" t="str">
        <f t="shared" si="13"/>
        <v/>
      </c>
    </row>
    <row r="255" spans="1:17" x14ac:dyDescent="0.45">
      <c r="A255">
        <v>252</v>
      </c>
      <c r="B255" s="2" t="str">
        <f>IFERROR(INDEX('Miljövärden urval för publ'!$A$2:$AA$420,MATCH('Miljövärden för publ företag'!$A255,'Miljövärden urval för publ'!$R$2:$R$417,0),1),"")</f>
        <v>Söderhamn Nära AB</v>
      </c>
      <c r="C255" s="2" t="str">
        <f>IFERROR(INDEX('Miljövärden urval för publ'!$A$2:$AA$420,MATCH('Miljövärden för publ företag'!$A255,'Miljövärden urval för publ'!$R$2:$R$417,0),2),"")</f>
        <v>Sandarne</v>
      </c>
      <c r="D255">
        <f>IFERROR(VLOOKUP($C255,'Miljövärden urval för publ'!$B$2:$H$417,MATCH('Miljövärden för publ företag'!D$4,'Miljövärden urval för publ'!$B$2:$H$2,0),FALSE),"")</f>
        <v>0.188254</v>
      </c>
      <c r="E255">
        <f>IFERROR(VLOOKUP($C255,'Miljövärden urval för publ'!$B$2:$H$417,MATCH('Miljövärden för publ företag'!E$4,'Miljövärden urval för publ'!$B$2:$H$2,0),FALSE),"")</f>
        <v>9.93872</v>
      </c>
      <c r="F255">
        <f>IFERROR(VLOOKUP($C255,'Miljövärden urval för publ'!$B$2:$H$417,MATCH('Miljövärden för publ företag'!F$4,'Miljövärden urval för publ'!$B$2:$H$2,0),FALSE),"")</f>
        <v>18.3644</v>
      </c>
      <c r="G255">
        <f>IFERROR(VLOOKUP($C255,'Miljövärden urval för publ'!$B$2:$H$417,MATCH('Miljövärden för publ företag'!G$4,'Miljövärden urval för publ'!$B$2:$H$2,0),FALSE),"")</f>
        <v>1.3580200000000001E-2</v>
      </c>
      <c r="J255">
        <f t="shared" si="14"/>
        <v>104</v>
      </c>
      <c r="M255">
        <v>251</v>
      </c>
      <c r="N255" t="str">
        <f t="shared" si="15"/>
        <v/>
      </c>
      <c r="P255" s="155">
        <f t="shared" si="16"/>
        <v>0</v>
      </c>
      <c r="Q255" s="150" t="str">
        <f t="shared" si="13"/>
        <v/>
      </c>
    </row>
    <row r="256" spans="1:17" x14ac:dyDescent="0.45">
      <c r="A256" s="160">
        <v>253</v>
      </c>
      <c r="B256" s="2" t="str">
        <f>IFERROR(INDEX('Miljövärden urval för publ'!$A$2:$AA$420,MATCH('Miljövärden för publ företag'!$A256,'Miljövärden urval för publ'!$R$2:$R$417,0),1),"")</f>
        <v>Söderhamn Nära AB</v>
      </c>
      <c r="C256" s="2" t="str">
        <f>IFERROR(INDEX('Miljövärden urval för publ'!$A$2:$AA$420,MATCH('Miljövärden för publ företag'!$A256,'Miljövärden urval för publ'!$R$2:$R$417,0),2),"")</f>
        <v>Söderhamn</v>
      </c>
      <c r="D256">
        <f>IFERROR(VLOOKUP($C256,'Miljövärden urval för publ'!$B$2:$H$417,MATCH('Miljövärden för publ företag'!D$4,'Miljövärden urval för publ'!$B$2:$H$2,0),FALSE),"")</f>
        <v>0.10829900000000001</v>
      </c>
      <c r="E256">
        <f>IFERROR(VLOOKUP($C256,'Miljövärden urval för publ'!$B$2:$H$417,MATCH('Miljövärden för publ företag'!E$4,'Miljövärden urval för publ'!$B$2:$H$2,0),FALSE),"")</f>
        <v>4.30898</v>
      </c>
      <c r="F256">
        <f>IFERROR(VLOOKUP($C256,'Miljövärden urval för publ'!$B$2:$H$417,MATCH('Miljövärden för publ företag'!F$4,'Miljövärden urval för publ'!$B$2:$H$2,0),FALSE),"")</f>
        <v>7.1756900000000003</v>
      </c>
      <c r="G256">
        <f>IFERROR(VLOOKUP($C256,'Miljövärden urval för publ'!$B$2:$H$417,MATCH('Miljövärden för publ företag'!G$4,'Miljövärden urval för publ'!$B$2:$H$2,0),FALSE),"")</f>
        <v>2.1822299999999998E-3</v>
      </c>
      <c r="J256">
        <f t="shared" si="14"/>
        <v>104</v>
      </c>
      <c r="M256">
        <v>252</v>
      </c>
      <c r="N256" t="str">
        <f t="shared" si="15"/>
        <v/>
      </c>
      <c r="P256" s="155">
        <f t="shared" si="16"/>
        <v>0</v>
      </c>
      <c r="Q256" s="150" t="str">
        <f t="shared" si="13"/>
        <v/>
      </c>
    </row>
    <row r="257" spans="1:17" x14ac:dyDescent="0.45">
      <c r="A257">
        <v>254</v>
      </c>
      <c r="B257" s="2" t="str">
        <f>IFERROR(INDEX('Miljövärden urval för publ'!$A$2:$AA$420,MATCH('Miljövärden för publ företag'!$A257,'Miljövärden urval för publ'!$R$2:$R$417,0),1),"")</f>
        <v>Södertörns Fjärrvärme AB</v>
      </c>
      <c r="C257" s="2" t="str">
        <f>IFERROR(INDEX('Miljövärden urval för publ'!$A$2:$AA$420,MATCH('Miljövärden för publ företag'!$A257,'Miljövärden urval för publ'!$R$2:$R$417,0),2),"")</f>
        <v>Södertörn Fjärrvärme Totalt</v>
      </c>
      <c r="D257">
        <f>IFERROR(VLOOKUP($C257,'Miljövärden urval för publ'!$B$2:$H$417,MATCH('Miljövärden för publ företag'!D$4,'Miljövärden urval för publ'!$B$2:$H$2,0),FALSE),"")</f>
        <v>5.8462300000000002E-2</v>
      </c>
      <c r="E257">
        <f>IFERROR(VLOOKUP($C257,'Miljövärden urval för publ'!$B$2:$H$417,MATCH('Miljövärden för publ företag'!E$4,'Miljövärden urval för publ'!$B$2:$H$2,0),FALSE),"")</f>
        <v>24.585599999999999</v>
      </c>
      <c r="F257">
        <f>IFERROR(VLOOKUP($C257,'Miljövärden urval för publ'!$B$2:$H$417,MATCH('Miljövärden för publ företag'!F$4,'Miljövärden urval för publ'!$B$2:$H$2,0),FALSE),"")</f>
        <v>3.2412700000000001</v>
      </c>
      <c r="G257">
        <f>IFERROR(VLOOKUP($C257,'Miljövärden urval för publ'!$B$2:$H$417,MATCH('Miljövärden för publ företag'!G$4,'Miljövärden urval för publ'!$B$2:$H$2,0),FALSE),"")</f>
        <v>1.02562E-2</v>
      </c>
      <c r="J257">
        <f t="shared" si="14"/>
        <v>105</v>
      </c>
      <c r="M257">
        <v>253</v>
      </c>
      <c r="N257" t="str">
        <f t="shared" si="15"/>
        <v/>
      </c>
      <c r="P257" s="155">
        <f t="shared" si="16"/>
        <v>0</v>
      </c>
      <c r="Q257" s="150" t="str">
        <f t="shared" si="13"/>
        <v/>
      </c>
    </row>
    <row r="258" spans="1:17" x14ac:dyDescent="0.45">
      <c r="A258">
        <v>255</v>
      </c>
      <c r="B258" s="2" t="str">
        <f>IFERROR(INDEX('Miljövärden urval för publ'!$A$2:$AA$420,MATCH('Miljövärden för publ företag'!$A258,'Miljövärden urval för publ'!$R$2:$R$417,0),1),"")</f>
        <v xml:space="preserve">Sölvesborgs Energi och Vatten AB  </v>
      </c>
      <c r="C258" s="2" t="str">
        <f>IFERROR(INDEX('Miljövärden urval för publ'!$A$2:$AA$420,MATCH('Miljövärden för publ företag'!$A258,'Miljövärden urval för publ'!$R$2:$R$417,0),2),"")</f>
        <v>Sölvesborg</v>
      </c>
      <c r="D258">
        <f>IFERROR(VLOOKUP($C258,'Miljövärden urval för publ'!$B$2:$H$417,MATCH('Miljövärden för publ företag'!D$4,'Miljövärden urval för publ'!$B$2:$H$2,0),FALSE),"")</f>
        <v>0.157696</v>
      </c>
      <c r="E258">
        <f>IFERROR(VLOOKUP($C258,'Miljövärden urval för publ'!$B$2:$H$417,MATCH('Miljövärden för publ företag'!E$4,'Miljövärden urval för publ'!$B$2:$H$2,0),FALSE),"")</f>
        <v>29.6631</v>
      </c>
      <c r="F258">
        <f>IFERROR(VLOOKUP($C258,'Miljövärden urval för publ'!$B$2:$H$417,MATCH('Miljövärden för publ företag'!F$4,'Miljövärden urval för publ'!$B$2:$H$2,0),FALSE),"")</f>
        <v>1.8173900000000001</v>
      </c>
      <c r="G258">
        <f>IFERROR(VLOOKUP($C258,'Miljövärden urval för publ'!$B$2:$H$417,MATCH('Miljövärden för publ företag'!G$4,'Miljövärden urval för publ'!$B$2:$H$2,0),FALSE),"")</f>
        <v>7.6237100000000002E-2</v>
      </c>
      <c r="J258">
        <f t="shared" si="14"/>
        <v>106</v>
      </c>
      <c r="M258">
        <v>254</v>
      </c>
      <c r="N258" t="str">
        <f t="shared" si="15"/>
        <v/>
      </c>
      <c r="P258" s="155">
        <f t="shared" si="16"/>
        <v>0</v>
      </c>
      <c r="Q258" s="150" t="str">
        <f t="shared" si="13"/>
        <v/>
      </c>
    </row>
    <row r="259" spans="1:17" x14ac:dyDescent="0.45">
      <c r="A259" s="160">
        <v>256</v>
      </c>
      <c r="B259" s="2" t="str">
        <f>IFERROR(INDEX('Miljövärden urval för publ'!$A$2:$AA$420,MATCH('Miljövärden för publ företag'!$A259,'Miljövärden urval för publ'!$R$2:$R$417,0),1),"")</f>
        <v>Tekniska Verken i Linköping AB</v>
      </c>
      <c r="C259" s="2" t="str">
        <f>IFERROR(INDEX('Miljövärden urval för publ'!$A$2:$AA$420,MATCH('Miljövärden för publ företag'!$A259,'Miljövärden urval för publ'!$R$2:$R$417,0),2),"")</f>
        <v>Borensberg</v>
      </c>
      <c r="D259">
        <f>IFERROR(VLOOKUP($C259,'Miljövärden urval för publ'!$B$2:$H$417,MATCH('Miljövärden för publ företag'!D$4,'Miljövärden urval för publ'!$B$2:$H$2,0),FALSE),"")</f>
        <v>4.2031300000000001E-2</v>
      </c>
      <c r="E259">
        <f>IFERROR(VLOOKUP($C259,'Miljövärden urval för publ'!$B$2:$H$417,MATCH('Miljövärden för publ företag'!E$4,'Miljövärden urval för publ'!$B$2:$H$2,0),FALSE),"")</f>
        <v>5.07355</v>
      </c>
      <c r="F259">
        <f>IFERROR(VLOOKUP($C259,'Miljövärden urval för publ'!$B$2:$H$417,MATCH('Miljövärden för publ företag'!F$4,'Miljövärden urval för publ'!$B$2:$H$2,0),FALSE),"")</f>
        <v>9.0767000000000007</v>
      </c>
      <c r="G259">
        <f>IFERROR(VLOOKUP($C259,'Miljövärden urval för publ'!$B$2:$H$417,MATCH('Miljövärden för publ företag'!G$4,'Miljövärden urval för publ'!$B$2:$H$2,0),FALSE),"")</f>
        <v>0</v>
      </c>
      <c r="J259">
        <f t="shared" si="14"/>
        <v>107</v>
      </c>
      <c r="M259">
        <v>255</v>
      </c>
      <c r="N259" t="str">
        <f t="shared" si="15"/>
        <v/>
      </c>
      <c r="P259" s="155">
        <f t="shared" si="16"/>
        <v>0</v>
      </c>
      <c r="Q259" s="150" t="str">
        <f t="shared" si="13"/>
        <v/>
      </c>
    </row>
    <row r="260" spans="1:17" x14ac:dyDescent="0.45">
      <c r="A260">
        <v>257</v>
      </c>
      <c r="B260" s="2" t="str">
        <f>IFERROR(INDEX('Miljövärden urval för publ'!$A$2:$AA$420,MATCH('Miljövärden för publ företag'!$A260,'Miljövärden urval för publ'!$R$2:$R$417,0),1),"")</f>
        <v>Tekniska Verken i Linköping AB</v>
      </c>
      <c r="C260" s="2" t="str">
        <f>IFERROR(INDEX('Miljövärden urval för publ'!$A$2:$AA$420,MATCH('Miljövärden för publ företag'!$A260,'Miljövärden urval för publ'!$R$2:$R$417,0),2),"")</f>
        <v>Katrineholm</v>
      </c>
      <c r="D260">
        <f>IFERROR(VLOOKUP($C260,'Miljövärden urval för publ'!$B$2:$H$417,MATCH('Miljövärden för publ företag'!D$4,'Miljövärden urval för publ'!$B$2:$H$2,0),FALSE),"")</f>
        <v>5.8329199999999998E-2</v>
      </c>
      <c r="E260">
        <f>IFERROR(VLOOKUP($C260,'Miljövärden urval för publ'!$B$2:$H$417,MATCH('Miljövärden för publ företag'!E$4,'Miljövärden urval för publ'!$B$2:$H$2,0),FALSE),"")</f>
        <v>4.9020799999999998</v>
      </c>
      <c r="F260">
        <f>IFERROR(VLOOKUP($C260,'Miljövärden urval för publ'!$B$2:$H$417,MATCH('Miljövärden för publ företag'!F$4,'Miljövärden urval för publ'!$B$2:$H$2,0),FALSE),"")</f>
        <v>4.81088</v>
      </c>
      <c r="G260">
        <f>IFERROR(VLOOKUP($C260,'Miljövärden urval för publ'!$B$2:$H$417,MATCH('Miljövärden för publ företag'!G$4,'Miljövärden urval för publ'!$B$2:$H$2,0),FALSE),"")</f>
        <v>2.2973500000000001E-3</v>
      </c>
      <c r="J260">
        <f t="shared" si="14"/>
        <v>107</v>
      </c>
      <c r="M260">
        <v>256</v>
      </c>
      <c r="N260" t="str">
        <f t="shared" si="15"/>
        <v/>
      </c>
      <c r="P260" s="155">
        <f t="shared" si="16"/>
        <v>0</v>
      </c>
      <c r="Q260" s="150" t="str">
        <f t="shared" si="13"/>
        <v/>
      </c>
    </row>
    <row r="261" spans="1:17" x14ac:dyDescent="0.45">
      <c r="A261">
        <v>258</v>
      </c>
      <c r="B261" s="2" t="str">
        <f>IFERROR(INDEX('Miljövärden urval för publ'!$A$2:$AA$420,MATCH('Miljövärden för publ företag'!$A261,'Miljövärden urval för publ'!$R$2:$R$417,0),1),"")</f>
        <v>Tekniska Verken i Linköping AB</v>
      </c>
      <c r="C261" s="2" t="str">
        <f>IFERROR(INDEX('Miljövärden urval för publ'!$A$2:$AA$420,MATCH('Miljövärden för publ företag'!$A261,'Miljövärden urval för publ'!$R$2:$R$417,0),2),"")</f>
        <v>Kisa</v>
      </c>
      <c r="D261">
        <f>IFERROR(VLOOKUP($C261,'Miljövärden urval för publ'!$B$2:$H$417,MATCH('Miljövärden för publ företag'!D$4,'Miljövärden urval för publ'!$B$2:$H$2,0),FALSE),"")</f>
        <v>9.5509200000000002E-2</v>
      </c>
      <c r="E261">
        <f>IFERROR(VLOOKUP($C261,'Miljövärden urval för publ'!$B$2:$H$417,MATCH('Miljövärden för publ företag'!E$4,'Miljövärden urval för publ'!$B$2:$H$2,0),FALSE),"")</f>
        <v>18.661999999999999</v>
      </c>
      <c r="F261">
        <f>IFERROR(VLOOKUP($C261,'Miljövärden urval för publ'!$B$2:$H$417,MATCH('Miljövärden för publ företag'!F$4,'Miljövärden urval för publ'!$B$2:$H$2,0),FALSE),"")</f>
        <v>10.5763</v>
      </c>
      <c r="G261">
        <f>IFERROR(VLOOKUP($C261,'Miljövärden urval för publ'!$B$2:$H$417,MATCH('Miljövärden för publ företag'!G$4,'Miljövärden urval för publ'!$B$2:$H$2,0),FALSE),"")</f>
        <v>3.5155600000000002E-2</v>
      </c>
      <c r="J261">
        <f t="shared" si="14"/>
        <v>107</v>
      </c>
      <c r="M261">
        <v>257</v>
      </c>
      <c r="N261" t="str">
        <f t="shared" si="15"/>
        <v/>
      </c>
      <c r="P261" s="155">
        <f t="shared" si="16"/>
        <v>0</v>
      </c>
      <c r="Q261" s="150" t="str">
        <f t="shared" ref="Q261:Q324" si="17">IF(B261=$R$2,C261,"")</f>
        <v/>
      </c>
    </row>
    <row r="262" spans="1:17" x14ac:dyDescent="0.45">
      <c r="A262" s="160">
        <v>259</v>
      </c>
      <c r="B262" s="2" t="str">
        <f>IFERROR(INDEX('Miljövärden urval för publ'!$A$2:$AA$420,MATCH('Miljövärden för publ företag'!$A262,'Miljövärden urval för publ'!$R$2:$R$417,0),1),"")</f>
        <v>Tekniska Verken i Linköping AB</v>
      </c>
      <c r="C262" s="2" t="str">
        <f>IFERROR(INDEX('Miljövärden urval för publ'!$A$2:$AA$420,MATCH('Miljövärden för publ företag'!$A262,'Miljövärden urval för publ'!$R$2:$R$417,0),2),"")</f>
        <v>Linköping</v>
      </c>
      <c r="D262">
        <f>IFERROR(VLOOKUP($C262,'Miljövärden urval för publ'!$B$2:$H$417,MATCH('Miljövärden för publ företag'!D$4,'Miljövärden urval för publ'!$B$2:$H$2,0),FALSE),"")</f>
        <v>8.3316000000000001E-2</v>
      </c>
      <c r="E262">
        <f>IFERROR(VLOOKUP($C262,'Miljövärden urval för publ'!$B$2:$H$417,MATCH('Miljövärden för publ företag'!E$4,'Miljövärden urval för publ'!$B$2:$H$2,0),FALSE),"")</f>
        <v>99.525800000000004</v>
      </c>
      <c r="F262">
        <f>IFERROR(VLOOKUP($C262,'Miljövärden urval för publ'!$B$2:$H$417,MATCH('Miljövärden för publ företag'!F$4,'Miljövärden urval för publ'!$B$2:$H$2,0),FALSE),"")</f>
        <v>3.0600800000000001</v>
      </c>
      <c r="G262">
        <f>IFERROR(VLOOKUP($C262,'Miljövärden urval för publ'!$B$2:$H$417,MATCH('Miljövärden för publ företag'!G$4,'Miljövärden urval för publ'!$B$2:$H$2,0),FALSE),"")</f>
        <v>6.2459200000000003E-3</v>
      </c>
      <c r="J262">
        <f t="shared" ref="J262:J325" si="18">IF(B262=B261,J261,J261+1)</f>
        <v>107</v>
      </c>
      <c r="M262">
        <v>258</v>
      </c>
      <c r="N262" t="str">
        <f t="shared" ref="N262:N325" si="19">IFERROR(INDEX($B$4:$J$487,MATCH(M262,$J$4:$J$487,0),1),"")</f>
        <v/>
      </c>
      <c r="P262" s="155">
        <f t="shared" ref="P262:P325" si="20">IF(Q262="",P261,P261+1)</f>
        <v>0</v>
      </c>
      <c r="Q262" s="150" t="str">
        <f t="shared" si="17"/>
        <v/>
      </c>
    </row>
    <row r="263" spans="1:17" x14ac:dyDescent="0.45">
      <c r="A263">
        <v>260</v>
      </c>
      <c r="B263" s="2" t="str">
        <f>IFERROR(INDEX('Miljövärden urval för publ'!$A$2:$AA$420,MATCH('Miljövärden för publ företag'!$A263,'Miljövärden urval för publ'!$R$2:$R$417,0),1),"")</f>
        <v>Tekniska Verken i Linköping AB</v>
      </c>
      <c r="C263" s="2" t="str">
        <f>IFERROR(INDEX('Miljövärden urval för publ'!$A$2:$AA$420,MATCH('Miljövärden för publ företag'!$A263,'Miljövärden urval för publ'!$R$2:$R$417,0),2),"")</f>
        <v>Skärblacka</v>
      </c>
      <c r="D263">
        <f>IFERROR(VLOOKUP($C263,'Miljövärden urval för publ'!$B$2:$H$417,MATCH('Miljövärden för publ företag'!D$4,'Miljövärden urval för publ'!$B$2:$H$2,0),FALSE),"")</f>
        <v>0.30890699999999999</v>
      </c>
      <c r="E263">
        <f>IFERROR(VLOOKUP($C263,'Miljövärden urval för publ'!$B$2:$H$417,MATCH('Miljövärden för publ företag'!E$4,'Miljövärden urval för publ'!$B$2:$H$2,0),FALSE),"")</f>
        <v>67.706599999999995</v>
      </c>
      <c r="F263">
        <f>IFERROR(VLOOKUP($C263,'Miljövärden urval för publ'!$B$2:$H$417,MATCH('Miljövärden för publ företag'!F$4,'Miljövärden urval för publ'!$B$2:$H$2,0),FALSE),"")</f>
        <v>8.8831799999999994</v>
      </c>
      <c r="G263">
        <f>IFERROR(VLOOKUP($C263,'Miljövärden urval för publ'!$B$2:$H$417,MATCH('Miljövärden för publ företag'!G$4,'Miljövärden urval för publ'!$B$2:$H$2,0),FALSE),"")</f>
        <v>0.16142400000000001</v>
      </c>
      <c r="J263">
        <f t="shared" si="18"/>
        <v>107</v>
      </c>
      <c r="M263">
        <v>259</v>
      </c>
      <c r="N263" t="str">
        <f t="shared" si="19"/>
        <v/>
      </c>
      <c r="P263" s="155">
        <f t="shared" si="20"/>
        <v>0</v>
      </c>
      <c r="Q263" s="150" t="str">
        <f t="shared" si="17"/>
        <v/>
      </c>
    </row>
    <row r="264" spans="1:17" x14ac:dyDescent="0.45">
      <c r="A264">
        <v>261</v>
      </c>
      <c r="B264" s="2" t="str">
        <f>IFERROR(INDEX('Miljövärden urval för publ'!$A$2:$AA$420,MATCH('Miljövärden för publ företag'!$A264,'Miljövärden urval för publ'!$R$2:$R$417,0),1),"")</f>
        <v>Tekniska Verken i Linköping AB</v>
      </c>
      <c r="C264" s="2" t="str">
        <f>IFERROR(INDEX('Miljövärden urval för publ'!$A$2:$AA$420,MATCH('Miljövärden för publ företag'!$A264,'Miljövärden urval för publ'!$R$2:$R$417,0),2),"")</f>
        <v>Åtvidaberg</v>
      </c>
      <c r="D264">
        <f>IFERROR(VLOOKUP($C264,'Miljövärden urval för publ'!$B$2:$H$417,MATCH('Miljövärden för publ företag'!D$4,'Miljövärden urval för publ'!$B$2:$H$2,0),FALSE),"")</f>
        <v>7.5026800000000005E-2</v>
      </c>
      <c r="E264">
        <f>IFERROR(VLOOKUP($C264,'Miljövärden urval för publ'!$B$2:$H$417,MATCH('Miljövärden för publ företag'!E$4,'Miljövärden urval för publ'!$B$2:$H$2,0),FALSE),"")</f>
        <v>10</v>
      </c>
      <c r="F264">
        <f>IFERROR(VLOOKUP($C264,'Miljövärden urval för publ'!$B$2:$H$417,MATCH('Miljövärden för publ företag'!F$4,'Miljövärden urval för publ'!$B$2:$H$2,0),FALSE),"")</f>
        <v>5.7117500000000003</v>
      </c>
      <c r="G264">
        <f>IFERROR(VLOOKUP($C264,'Miljövärden urval för publ'!$B$2:$H$417,MATCH('Miljövärden för publ företag'!G$4,'Miljövärden urval för publ'!$B$2:$H$2,0),FALSE),"")</f>
        <v>1.42153E-2</v>
      </c>
      <c r="J264">
        <f t="shared" si="18"/>
        <v>107</v>
      </c>
      <c r="M264">
        <v>260</v>
      </c>
      <c r="N264" t="str">
        <f t="shared" si="19"/>
        <v/>
      </c>
      <c r="P264" s="155">
        <f t="shared" si="20"/>
        <v>0</v>
      </c>
      <c r="Q264" s="150" t="str">
        <f t="shared" si="17"/>
        <v/>
      </c>
    </row>
    <row r="265" spans="1:17" x14ac:dyDescent="0.45">
      <c r="A265" s="160">
        <v>262</v>
      </c>
      <c r="B265" s="2" t="str">
        <f>IFERROR(INDEX('Miljövärden urval för publ'!$A$2:$AA$420,MATCH('Miljövärden för publ företag'!$A265,'Miljövärden urval för publ'!$R$2:$R$417,0),1),"")</f>
        <v>Telge Nät AB</v>
      </c>
      <c r="C265" s="2" t="str">
        <f>IFERROR(INDEX('Miljövärden urval för publ'!$A$2:$AA$420,MATCH('Miljövärden för publ företag'!$A265,'Miljövärden urval för publ'!$R$2:$R$417,0),2),"")</f>
        <v>Järna</v>
      </c>
      <c r="D265">
        <f>IFERROR(VLOOKUP($C265,'Miljövärden urval för publ'!$B$2:$H$417,MATCH('Miljövärden för publ företag'!D$4,'Miljövärden urval för publ'!$B$2:$H$2,0),FALSE),"")</f>
        <v>6.5284099999999998E-2</v>
      </c>
      <c r="E265">
        <f>IFERROR(VLOOKUP($C265,'Miljövärden urval för publ'!$B$2:$H$417,MATCH('Miljövärden för publ företag'!E$4,'Miljövärden urval för publ'!$B$2:$H$2,0),FALSE),"")</f>
        <v>0.25764700000000001</v>
      </c>
      <c r="F265">
        <f>IFERROR(VLOOKUP($C265,'Miljövärden urval för publ'!$B$2:$H$417,MATCH('Miljövärden för publ företag'!F$4,'Miljövärden urval för publ'!$B$2:$H$2,0),FALSE),"")</f>
        <v>1.32064</v>
      </c>
      <c r="G265">
        <f>IFERROR(VLOOKUP($C265,'Miljövärden urval för publ'!$B$2:$H$417,MATCH('Miljövärden för publ företag'!G$4,'Miljövärden urval för publ'!$B$2:$H$2,0),FALSE),"")</f>
        <v>0</v>
      </c>
      <c r="J265">
        <f t="shared" si="18"/>
        <v>108</v>
      </c>
      <c r="M265">
        <v>261</v>
      </c>
      <c r="N265" t="str">
        <f t="shared" si="19"/>
        <v/>
      </c>
      <c r="P265" s="155">
        <f t="shared" si="20"/>
        <v>0</v>
      </c>
      <c r="Q265" s="150" t="str">
        <f t="shared" si="17"/>
        <v/>
      </c>
    </row>
    <row r="266" spans="1:17" x14ac:dyDescent="0.45">
      <c r="A266">
        <v>263</v>
      </c>
      <c r="B266" s="2" t="str">
        <f>IFERROR(INDEX('Miljövärden urval för publ'!$A$2:$AA$420,MATCH('Miljövärden för publ företag'!$A266,'Miljövärden urval för publ'!$R$2:$R$417,0),1),"")</f>
        <v>Telge Nät AB</v>
      </c>
      <c r="C266" s="2" t="str">
        <f>IFERROR(INDEX('Miljövärden urval för publ'!$A$2:$AA$420,MATCH('Miljövärden för publ företag'!$A266,'Miljövärden urval för publ'!$R$2:$R$417,0),2),"")</f>
        <v>Södertälje</v>
      </c>
      <c r="D266">
        <f>IFERROR(VLOOKUP($C266,'Miljövärden urval för publ'!$B$2:$H$417,MATCH('Miljövärden för publ företag'!D$4,'Miljövärden urval för publ'!$B$2:$H$2,0),FALSE),"")</f>
        <v>5.8662400000000003E-2</v>
      </c>
      <c r="E266">
        <f>IFERROR(VLOOKUP($C266,'Miljövärden urval för publ'!$B$2:$H$417,MATCH('Miljövärden för publ företag'!E$4,'Miljövärden urval för publ'!$B$2:$H$2,0),FALSE),"")</f>
        <v>26.299800000000001</v>
      </c>
      <c r="F266">
        <f>IFERROR(VLOOKUP($C266,'Miljövärden urval för publ'!$B$2:$H$417,MATCH('Miljövärden för publ företag'!F$4,'Miljövärden urval för publ'!$B$2:$H$2,0),FALSE),"")</f>
        <v>3.3442799999999999</v>
      </c>
      <c r="G266">
        <f>IFERROR(VLOOKUP($C266,'Miljövärden urval för publ'!$B$2:$H$417,MATCH('Miljövärden för publ företag'!G$4,'Miljövärden urval för publ'!$B$2:$H$2,0),FALSE),"")</f>
        <v>5.4509399999999996E-3</v>
      </c>
      <c r="J266">
        <f t="shared" si="18"/>
        <v>108</v>
      </c>
      <c r="M266">
        <v>262</v>
      </c>
      <c r="N266" t="str">
        <f t="shared" si="19"/>
        <v/>
      </c>
      <c r="P266" s="155">
        <f t="shared" si="20"/>
        <v>0</v>
      </c>
      <c r="Q266" s="150" t="str">
        <f t="shared" si="17"/>
        <v/>
      </c>
    </row>
    <row r="267" spans="1:17" x14ac:dyDescent="0.45">
      <c r="A267">
        <v>264</v>
      </c>
      <c r="B267" s="2" t="str">
        <f>IFERROR(INDEX('Miljövärden urval för publ'!$A$2:$AA$420,MATCH('Miljövärden för publ företag'!$A267,'Miljövärden urval för publ'!$R$2:$R$417,0),1),"")</f>
        <v>Tidaholms Energi AB</v>
      </c>
      <c r="C267" s="2" t="str">
        <f>IFERROR(INDEX('Miljövärden urval för publ'!$A$2:$AA$420,MATCH('Miljövärden för publ företag'!$A267,'Miljövärden urval för publ'!$R$2:$R$417,0),2),"")</f>
        <v>Tidaholm</v>
      </c>
      <c r="D267">
        <f>IFERROR(VLOOKUP($C267,'Miljövärden urval för publ'!$B$2:$H$417,MATCH('Miljövärden för publ företag'!D$4,'Miljövärden urval för publ'!$B$2:$H$2,0),FALSE),"")</f>
        <v>9.56761E-2</v>
      </c>
      <c r="E267">
        <f>IFERROR(VLOOKUP($C267,'Miljövärden urval för publ'!$B$2:$H$417,MATCH('Miljövärden för publ företag'!E$4,'Miljövärden urval för publ'!$B$2:$H$2,0),FALSE),"")</f>
        <v>4.6312699999999998</v>
      </c>
      <c r="F267">
        <f>IFERROR(VLOOKUP($C267,'Miljövärden urval för publ'!$B$2:$H$417,MATCH('Miljövärden för publ företag'!F$4,'Miljövärden urval för publ'!$B$2:$H$2,0),FALSE),"")</f>
        <v>5.0730399999999998</v>
      </c>
      <c r="G267">
        <f>IFERROR(VLOOKUP($C267,'Miljövärden urval för publ'!$B$2:$H$417,MATCH('Miljövärden för publ företag'!G$4,'Miljövärden urval för publ'!$B$2:$H$2,0),FALSE),"")</f>
        <v>2.2895200000000002E-3</v>
      </c>
      <c r="J267">
        <f t="shared" si="18"/>
        <v>109</v>
      </c>
      <c r="M267">
        <v>263</v>
      </c>
      <c r="N267" t="str">
        <f t="shared" si="19"/>
        <v/>
      </c>
      <c r="P267" s="155">
        <f t="shared" si="20"/>
        <v>0</v>
      </c>
      <c r="Q267" s="150" t="str">
        <f t="shared" si="17"/>
        <v/>
      </c>
    </row>
    <row r="268" spans="1:17" x14ac:dyDescent="0.45">
      <c r="A268" s="160">
        <v>265</v>
      </c>
      <c r="B268" s="2" t="str">
        <f>IFERROR(INDEX('Miljövärden urval för publ'!$A$2:$AA$420,MATCH('Miljövärden för publ företag'!$A268,'Miljövärden urval för publ'!$R$2:$R$417,0),1),"")</f>
        <v>Tierps Fjärrvärme AB</v>
      </c>
      <c r="C268" s="2" t="str">
        <f>IFERROR(INDEX('Miljövärden urval för publ'!$A$2:$AA$420,MATCH('Miljövärden för publ företag'!$A268,'Miljövärden urval för publ'!$R$2:$R$417,0),2),"")</f>
        <v>Karlholmsbruk</v>
      </c>
      <c r="D268">
        <f>IFERROR(VLOOKUP($C268,'Miljövärden urval för publ'!$B$2:$H$417,MATCH('Miljövärden för publ företag'!D$4,'Miljövärden urval för publ'!$B$2:$H$2,0),FALSE),"")</f>
        <v>0.16406699999999999</v>
      </c>
      <c r="E268">
        <f>IFERROR(VLOOKUP($C268,'Miljövärden urval för publ'!$B$2:$H$417,MATCH('Miljövärden för publ företag'!E$4,'Miljövärden urval för publ'!$B$2:$H$2,0),FALSE),"")</f>
        <v>10.669</v>
      </c>
      <c r="F268">
        <f>IFERROR(VLOOKUP($C268,'Miljövärden urval för publ'!$B$2:$H$417,MATCH('Miljövärden för publ företag'!F$4,'Miljövärden urval för publ'!$B$2:$H$2,0),FALSE),"")</f>
        <v>15.293799999999999</v>
      </c>
      <c r="G268">
        <f>IFERROR(VLOOKUP($C268,'Miljövärden urval för publ'!$B$2:$H$417,MATCH('Miljövärden för publ företag'!G$4,'Miljövärden urval för publ'!$B$2:$H$2,0),FALSE),"")</f>
        <v>2.1919899999999999E-2</v>
      </c>
      <c r="J268">
        <f t="shared" si="18"/>
        <v>110</v>
      </c>
      <c r="M268">
        <v>264</v>
      </c>
      <c r="N268" t="str">
        <f t="shared" si="19"/>
        <v/>
      </c>
      <c r="P268" s="155">
        <f t="shared" si="20"/>
        <v>0</v>
      </c>
      <c r="Q268" s="150" t="str">
        <f t="shared" si="17"/>
        <v/>
      </c>
    </row>
    <row r="269" spans="1:17" x14ac:dyDescent="0.45">
      <c r="A269">
        <v>266</v>
      </c>
      <c r="B269" s="2" t="str">
        <f>IFERROR(INDEX('Miljövärden urval för publ'!$A$2:$AA$420,MATCH('Miljövärden för publ företag'!$A269,'Miljövärden urval för publ'!$R$2:$R$417,0),1),"")</f>
        <v>Tierps Fjärrvärme AB</v>
      </c>
      <c r="C269" s="2" t="str">
        <f>IFERROR(INDEX('Miljövärden urval för publ'!$A$2:$AA$420,MATCH('Miljövärden för publ företag'!$A269,'Miljövärden urval för publ'!$R$2:$R$417,0),2),"")</f>
        <v>Tierp</v>
      </c>
      <c r="D269">
        <f>IFERROR(VLOOKUP($C269,'Miljövärden urval för publ'!$B$2:$H$417,MATCH('Miljövärden för publ företag'!D$4,'Miljövärden urval för publ'!$B$2:$H$2,0),FALSE),"")</f>
        <v>9.6783599999999997E-2</v>
      </c>
      <c r="E269">
        <f>IFERROR(VLOOKUP($C269,'Miljövärden urval för publ'!$B$2:$H$417,MATCH('Miljövärden för publ företag'!E$4,'Miljövärden urval för publ'!$B$2:$H$2,0),FALSE),"")</f>
        <v>6.7245299999999997</v>
      </c>
      <c r="F269">
        <f>IFERROR(VLOOKUP($C269,'Miljövärden urval för publ'!$B$2:$H$417,MATCH('Miljövärden för publ företag'!F$4,'Miljövärden urval för publ'!$B$2:$H$2,0),FALSE),"")</f>
        <v>11.331</v>
      </c>
      <c r="G269">
        <f>IFERROR(VLOOKUP($C269,'Miljövärden urval för publ'!$B$2:$H$417,MATCH('Miljövärden för publ företag'!G$4,'Miljövärden urval för publ'!$B$2:$H$2,0),FALSE),"")</f>
        <v>3.9180899999999999E-3</v>
      </c>
      <c r="J269">
        <f t="shared" si="18"/>
        <v>110</v>
      </c>
      <c r="M269">
        <v>265</v>
      </c>
      <c r="N269" t="str">
        <f t="shared" si="19"/>
        <v/>
      </c>
      <c r="P269" s="155">
        <f t="shared" si="20"/>
        <v>0</v>
      </c>
      <c r="Q269" s="150" t="str">
        <f t="shared" si="17"/>
        <v/>
      </c>
    </row>
    <row r="270" spans="1:17" x14ac:dyDescent="0.45">
      <c r="A270">
        <v>267</v>
      </c>
      <c r="B270" s="2" t="str">
        <f>IFERROR(INDEX('Miljövärden urval för publ'!$A$2:$AA$420,MATCH('Miljövärden för publ företag'!$A270,'Miljövärden urval för publ'!$R$2:$R$417,0),1),"")</f>
        <v>Tierps Fjärrvärme AB</v>
      </c>
      <c r="C270" s="2" t="str">
        <f>IFERROR(INDEX('Miljövärden urval för publ'!$A$2:$AA$420,MATCH('Miljövärden för publ företag'!$A270,'Miljövärden urval för publ'!$R$2:$R$417,0),2),"")</f>
        <v>Örbyhus</v>
      </c>
      <c r="D270">
        <f>IFERROR(VLOOKUP($C270,'Miljövärden urval för publ'!$B$2:$H$417,MATCH('Miljövärden för publ företag'!D$4,'Miljövärden urval för publ'!$B$2:$H$2,0),FALSE),"")</f>
        <v>0.260521</v>
      </c>
      <c r="E270">
        <f>IFERROR(VLOOKUP($C270,'Miljövärden urval för publ'!$B$2:$H$417,MATCH('Miljövärden för publ företag'!E$4,'Miljövärden urval för publ'!$B$2:$H$2,0),FALSE),"")</f>
        <v>4.1198899999999998</v>
      </c>
      <c r="F270">
        <f>IFERROR(VLOOKUP($C270,'Miljövärden urval för publ'!$B$2:$H$417,MATCH('Miljövärden för publ företag'!F$4,'Miljövärden urval för publ'!$B$2:$H$2,0),FALSE),"")</f>
        <v>14.419600000000001</v>
      </c>
      <c r="G270">
        <f>IFERROR(VLOOKUP($C270,'Miljövärden urval för publ'!$B$2:$H$417,MATCH('Miljövärden för publ företag'!G$4,'Miljövärden urval för publ'!$B$2:$H$2,0),FALSE),"")</f>
        <v>0</v>
      </c>
      <c r="J270">
        <f t="shared" si="18"/>
        <v>110</v>
      </c>
      <c r="M270">
        <v>266</v>
      </c>
      <c r="N270" t="str">
        <f t="shared" si="19"/>
        <v/>
      </c>
      <c r="P270" s="155">
        <f t="shared" si="20"/>
        <v>0</v>
      </c>
      <c r="Q270" s="150" t="str">
        <f t="shared" si="17"/>
        <v/>
      </c>
    </row>
    <row r="271" spans="1:17" x14ac:dyDescent="0.45">
      <c r="A271" s="160">
        <v>268</v>
      </c>
      <c r="B271" s="2" t="str">
        <f>IFERROR(INDEX('Miljövärden urval för publ'!$A$2:$AA$420,MATCH('Miljövärden för publ företag'!$A271,'Miljövärden urval för publ'!$R$2:$R$417,0),1),"")</f>
        <v>Torsås fjärrvärmenät AB</v>
      </c>
      <c r="C271" s="2" t="str">
        <f>IFERROR(INDEX('Miljövärden urval för publ'!$A$2:$AA$420,MATCH('Miljövärden för publ företag'!$A271,'Miljövärden urval för publ'!$R$2:$R$417,0),2),"")</f>
        <v>Torsås</v>
      </c>
      <c r="D271">
        <f>IFERROR(VLOOKUP($C271,'Miljövärden urval för publ'!$B$2:$H$417,MATCH('Miljövärden för publ företag'!D$4,'Miljövärden urval för publ'!$B$2:$H$2,0),FALSE),"")</f>
        <v>0.109415</v>
      </c>
      <c r="E271">
        <f>IFERROR(VLOOKUP($C271,'Miljövärden urval för publ'!$B$2:$H$417,MATCH('Miljövärden för publ företag'!E$4,'Miljövärden urval för publ'!$B$2:$H$2,0),FALSE),"")</f>
        <v>13.3127</v>
      </c>
      <c r="F271">
        <f>IFERROR(VLOOKUP($C271,'Miljövärden urval för publ'!$B$2:$H$417,MATCH('Miljövärden för publ företag'!F$4,'Miljövärden urval för publ'!$B$2:$H$2,0),FALSE),"")</f>
        <v>10.1302</v>
      </c>
      <c r="G271">
        <f>IFERROR(VLOOKUP($C271,'Miljövärden urval för publ'!$B$2:$H$417,MATCH('Miljövärden för publ företag'!G$4,'Miljövärden urval för publ'!$B$2:$H$2,0),FALSE),"")</f>
        <v>7.1081099999999999E-3</v>
      </c>
      <c r="J271">
        <f t="shared" si="18"/>
        <v>111</v>
      </c>
      <c r="M271">
        <v>267</v>
      </c>
      <c r="N271" t="str">
        <f t="shared" si="19"/>
        <v/>
      </c>
      <c r="P271" s="155">
        <f t="shared" si="20"/>
        <v>0</v>
      </c>
      <c r="Q271" s="150" t="str">
        <f t="shared" si="17"/>
        <v/>
      </c>
    </row>
    <row r="272" spans="1:17" x14ac:dyDescent="0.45">
      <c r="A272">
        <v>269</v>
      </c>
      <c r="B272" s="2" t="str">
        <f>IFERROR(INDEX('Miljövärden urval för publ'!$A$2:$AA$420,MATCH('Miljövärden för publ företag'!$A272,'Miljövärden urval för publ'!$R$2:$R$417,0),1),"")</f>
        <v>Tranås Energi AB</v>
      </c>
      <c r="C272" s="2" t="str">
        <f>IFERROR(INDEX('Miljövärden urval för publ'!$A$2:$AA$420,MATCH('Miljövärden för publ företag'!$A272,'Miljövärden urval för publ'!$R$2:$R$417,0),2),"")</f>
        <v>Tranås</v>
      </c>
      <c r="D272">
        <f>IFERROR(VLOOKUP($C272,'Miljövärden urval för publ'!$B$2:$H$417,MATCH('Miljövärden för publ företag'!D$4,'Miljövärden urval för publ'!$B$2:$H$2,0),FALSE),"")</f>
        <v>7.8239199999999995E-2</v>
      </c>
      <c r="E272">
        <f>IFERROR(VLOOKUP($C272,'Miljövärden urval för publ'!$B$2:$H$417,MATCH('Miljövärden för publ företag'!E$4,'Miljövärden urval för publ'!$B$2:$H$2,0),FALSE),"")</f>
        <v>5.0081699999999998</v>
      </c>
      <c r="F272">
        <f>IFERROR(VLOOKUP($C272,'Miljövärden urval för publ'!$B$2:$H$417,MATCH('Miljövärden för publ företag'!F$4,'Miljövärden urval för publ'!$B$2:$H$2,0),FALSE),"")</f>
        <v>6.5769299999999999</v>
      </c>
      <c r="G272">
        <f>IFERROR(VLOOKUP($C272,'Miljövärden urval för publ'!$B$2:$H$417,MATCH('Miljövärden för publ företag'!G$4,'Miljövärden urval för publ'!$B$2:$H$2,0),FALSE),"")</f>
        <v>4.1560199999999999E-3</v>
      </c>
      <c r="J272">
        <f t="shared" si="18"/>
        <v>112</v>
      </c>
      <c r="M272">
        <v>268</v>
      </c>
      <c r="N272" t="str">
        <f t="shared" si="19"/>
        <v/>
      </c>
      <c r="P272" s="155">
        <f t="shared" si="20"/>
        <v>0</v>
      </c>
      <c r="Q272" s="150" t="str">
        <f t="shared" si="17"/>
        <v/>
      </c>
    </row>
    <row r="273" spans="1:17" x14ac:dyDescent="0.45">
      <c r="A273">
        <v>270</v>
      </c>
      <c r="B273" s="2" t="str">
        <f>IFERROR(INDEX('Miljövärden urval för publ'!$A$2:$AA$420,MATCH('Miljövärden för publ företag'!$A273,'Miljövärden urval för publ'!$R$2:$R$417,0),1),"")</f>
        <v>Trelleborgs Fjärrvärme AB</v>
      </c>
      <c r="C273" s="2" t="str">
        <f>IFERROR(INDEX('Miljövärden urval för publ'!$A$2:$AA$420,MATCH('Miljövärden för publ företag'!$A273,'Miljövärden urval för publ'!$R$2:$R$417,0),2),"")</f>
        <v>Trelleborg</v>
      </c>
      <c r="D273">
        <f>IFERROR(VLOOKUP($C273,'Miljövärden urval för publ'!$B$2:$H$417,MATCH('Miljövärden för publ företag'!D$4,'Miljövärden urval för publ'!$B$2:$H$2,0),FALSE),"")</f>
        <v>0.105015</v>
      </c>
      <c r="E273">
        <f>IFERROR(VLOOKUP($C273,'Miljövärden urval för publ'!$B$2:$H$417,MATCH('Miljövärden för publ företag'!E$4,'Miljövärden urval för publ'!$B$2:$H$2,0),FALSE),"")</f>
        <v>8.2352699999999999</v>
      </c>
      <c r="F273">
        <f>IFERROR(VLOOKUP($C273,'Miljövärden urval för publ'!$B$2:$H$417,MATCH('Miljövärden för publ företag'!F$4,'Miljövärden urval för publ'!$B$2:$H$2,0),FALSE),"")</f>
        <v>10.757999999999999</v>
      </c>
      <c r="G273">
        <f>IFERROR(VLOOKUP($C273,'Miljövärden urval för publ'!$B$2:$H$417,MATCH('Miljövärden för publ företag'!G$4,'Miljövärden urval för publ'!$B$2:$H$2,0),FALSE),"")</f>
        <v>1.30206E-2</v>
      </c>
      <c r="J273">
        <f t="shared" si="18"/>
        <v>113</v>
      </c>
      <c r="M273">
        <v>269</v>
      </c>
      <c r="N273" t="str">
        <f t="shared" si="19"/>
        <v/>
      </c>
      <c r="P273" s="155">
        <f t="shared" si="20"/>
        <v>0</v>
      </c>
      <c r="Q273" s="150" t="str">
        <f t="shared" si="17"/>
        <v/>
      </c>
    </row>
    <row r="274" spans="1:17" x14ac:dyDescent="0.45">
      <c r="A274" s="160">
        <v>271</v>
      </c>
      <c r="B274" s="2" t="str">
        <f>IFERROR(INDEX('Miljövärden urval för publ'!$A$2:$AA$420,MATCH('Miljövärden för publ företag'!$A274,'Miljövärden urval för publ'!$R$2:$R$417,0),1),"")</f>
        <v>Trollhättan Energi AB</v>
      </c>
      <c r="C274" s="2" t="str">
        <f>IFERROR(INDEX('Miljövärden urval för publ'!$A$2:$AA$420,MATCH('Miljövärden för publ företag'!$A274,'Miljövärden urval för publ'!$R$2:$R$417,0),2),"")</f>
        <v>Trollhättan</v>
      </c>
      <c r="D274">
        <f>IFERROR(VLOOKUP($C274,'Miljövärden urval för publ'!$B$2:$H$417,MATCH('Miljövärden för publ företag'!D$4,'Miljövärden urval för publ'!$B$2:$H$2,0),FALSE),"")</f>
        <v>2.8079199999999999E-2</v>
      </c>
      <c r="E274">
        <f>IFERROR(VLOOKUP($C274,'Miljövärden urval för publ'!$B$2:$H$417,MATCH('Miljövärden för publ företag'!E$4,'Miljövärden urval för publ'!$B$2:$H$2,0),FALSE),"")</f>
        <v>3.4</v>
      </c>
      <c r="F274">
        <f>IFERROR(VLOOKUP($C274,'Miljövärden urval för publ'!$B$2:$H$417,MATCH('Miljövärden för publ företag'!F$4,'Miljövärden urval för publ'!$B$2:$H$2,0),FALSE),"")</f>
        <v>5.9264000000000001</v>
      </c>
      <c r="G274">
        <f>IFERROR(VLOOKUP($C274,'Miljövärden urval för publ'!$B$2:$H$417,MATCH('Miljövärden för publ företag'!G$4,'Miljövärden urval för publ'!$B$2:$H$2,0),FALSE),"")</f>
        <v>3.3444900000000001E-4</v>
      </c>
      <c r="J274">
        <f t="shared" si="18"/>
        <v>114</v>
      </c>
      <c r="M274">
        <v>270</v>
      </c>
      <c r="N274" t="str">
        <f t="shared" si="19"/>
        <v/>
      </c>
      <c r="P274" s="155">
        <f t="shared" si="20"/>
        <v>0</v>
      </c>
      <c r="Q274" s="150" t="str">
        <f t="shared" si="17"/>
        <v/>
      </c>
    </row>
    <row r="275" spans="1:17" x14ac:dyDescent="0.45">
      <c r="A275">
        <v>272</v>
      </c>
      <c r="B275" s="2" t="str">
        <f>IFERROR(INDEX('Miljövärden urval för publ'!$A$2:$AA$420,MATCH('Miljövärden för publ företag'!$A275,'Miljövärden urval för publ'!$R$2:$R$417,0),1),"")</f>
        <v>Uddevalla Energi AB</v>
      </c>
      <c r="C275" s="2" t="str">
        <f>IFERROR(INDEX('Miljövärden urval för publ'!$A$2:$AA$420,MATCH('Miljövärden för publ företag'!$A275,'Miljövärden urval för publ'!$R$2:$R$417,0),2),"")</f>
        <v>Ljungskile</v>
      </c>
      <c r="D275">
        <f>IFERROR(VLOOKUP($C275,'Miljövärden urval för publ'!$B$2:$H$417,MATCH('Miljövärden för publ företag'!D$4,'Miljövärden urval för publ'!$B$2:$H$2,0),FALSE),"")</f>
        <v>0.18846099999999999</v>
      </c>
      <c r="E275">
        <f>IFERROR(VLOOKUP($C275,'Miljövärden urval för publ'!$B$2:$H$417,MATCH('Miljövärden för publ företag'!E$4,'Miljövärden urval för publ'!$B$2:$H$2,0),FALSE),"")</f>
        <v>10.646599999999999</v>
      </c>
      <c r="F275">
        <f>IFERROR(VLOOKUP($C275,'Miljövärden urval för publ'!$B$2:$H$417,MATCH('Miljövärden för publ företag'!F$4,'Miljövärden urval för publ'!$B$2:$H$2,0),FALSE),"")</f>
        <v>17.704599999999999</v>
      </c>
      <c r="G275">
        <f>IFERROR(VLOOKUP($C275,'Miljövärden urval för publ'!$B$2:$H$417,MATCH('Miljövärden för publ företag'!G$4,'Miljövärden urval för publ'!$B$2:$H$2,0),FALSE),"")</f>
        <v>5.9525200000000002E-3</v>
      </c>
      <c r="J275">
        <f t="shared" si="18"/>
        <v>115</v>
      </c>
      <c r="M275">
        <v>271</v>
      </c>
      <c r="N275" t="str">
        <f t="shared" si="19"/>
        <v/>
      </c>
      <c r="P275" s="155">
        <f t="shared" si="20"/>
        <v>0</v>
      </c>
      <c r="Q275" s="150" t="str">
        <f t="shared" si="17"/>
        <v/>
      </c>
    </row>
    <row r="276" spans="1:17" x14ac:dyDescent="0.45">
      <c r="A276">
        <v>273</v>
      </c>
      <c r="B276" s="2" t="str">
        <f>IFERROR(INDEX('Miljövärden urval för publ'!$A$2:$AA$420,MATCH('Miljövärden för publ företag'!$A276,'Miljövärden urval för publ'!$R$2:$R$417,0),1),"")</f>
        <v>Uddevalla Energi AB</v>
      </c>
      <c r="C276" s="2" t="str">
        <f>IFERROR(INDEX('Miljövärden urval för publ'!$A$2:$AA$420,MATCH('Miljövärden för publ företag'!$A276,'Miljövärden urval för publ'!$R$2:$R$417,0),2),"")</f>
        <v>Munkedal</v>
      </c>
      <c r="D276">
        <f>IFERROR(VLOOKUP($C276,'Miljövärden urval för publ'!$B$2:$H$417,MATCH('Miljövärden för publ företag'!D$4,'Miljövärden urval för publ'!$B$2:$H$2,0),FALSE),"")</f>
        <v>0.15215000000000001</v>
      </c>
      <c r="E276">
        <f>IFERROR(VLOOKUP($C276,'Miljövärden urval för publ'!$B$2:$H$417,MATCH('Miljövärden för publ företag'!E$4,'Miljövärden urval för publ'!$B$2:$H$2,0),FALSE),"")</f>
        <v>9.8702299999999994</v>
      </c>
      <c r="F276">
        <f>IFERROR(VLOOKUP($C276,'Miljövärden urval för publ'!$B$2:$H$417,MATCH('Miljövärden för publ företag'!F$4,'Miljövärden urval för publ'!$B$2:$H$2,0),FALSE),"")</f>
        <v>15.1592</v>
      </c>
      <c r="G276">
        <f>IFERROR(VLOOKUP($C276,'Miljövärden urval för publ'!$B$2:$H$417,MATCH('Miljövärden för publ företag'!G$4,'Miljövärden urval för publ'!$B$2:$H$2,0),FALSE),"")</f>
        <v>5.1217900000000002E-3</v>
      </c>
      <c r="J276">
        <f t="shared" si="18"/>
        <v>115</v>
      </c>
      <c r="M276">
        <v>272</v>
      </c>
      <c r="N276" t="str">
        <f t="shared" si="19"/>
        <v/>
      </c>
      <c r="P276" s="155">
        <f t="shared" si="20"/>
        <v>0</v>
      </c>
      <c r="Q276" s="150" t="str">
        <f t="shared" si="17"/>
        <v/>
      </c>
    </row>
    <row r="277" spans="1:17" x14ac:dyDescent="0.45">
      <c r="A277" s="160">
        <v>274</v>
      </c>
      <c r="B277" s="2" t="str">
        <f>IFERROR(INDEX('Miljövärden urval för publ'!$A$2:$AA$420,MATCH('Miljövärden för publ företag'!$A277,'Miljövärden urval för publ'!$R$2:$R$417,0),1),"")</f>
        <v>Uddevalla Energi AB</v>
      </c>
      <c r="C277" s="2" t="str">
        <f>IFERROR(INDEX('Miljövärden urval för publ'!$A$2:$AA$420,MATCH('Miljövärden för publ företag'!$A277,'Miljövärden urval för publ'!$R$2:$R$417,0),2),"")</f>
        <v>Uddevalla</v>
      </c>
      <c r="D277">
        <f>IFERROR(VLOOKUP($C277,'Miljövärden urval för publ'!$B$2:$H$417,MATCH('Miljövärden för publ företag'!D$4,'Miljövärden urval för publ'!$B$2:$H$2,0),FALSE),"")</f>
        <v>0.172737</v>
      </c>
      <c r="E277">
        <f>IFERROR(VLOOKUP($C277,'Miljövärden urval för publ'!$B$2:$H$417,MATCH('Miljövärden för publ företag'!E$4,'Miljövärden urval för publ'!$B$2:$H$2,0),FALSE),"")</f>
        <v>109.75</v>
      </c>
      <c r="F277">
        <f>IFERROR(VLOOKUP($C277,'Miljövärden urval för publ'!$B$2:$H$417,MATCH('Miljövärden för publ företag'!F$4,'Miljövärden urval för publ'!$B$2:$H$2,0),FALSE),"")</f>
        <v>5.5327400000000004</v>
      </c>
      <c r="G277">
        <f>IFERROR(VLOOKUP($C277,'Miljövärden urval för publ'!$B$2:$H$417,MATCH('Miljövärden för publ företag'!G$4,'Miljövärden urval för publ'!$B$2:$H$2,0),FALSE),"")</f>
        <v>1.3356700000000001E-2</v>
      </c>
      <c r="J277">
        <f t="shared" si="18"/>
        <v>115</v>
      </c>
      <c r="M277">
        <v>273</v>
      </c>
      <c r="N277" t="str">
        <f t="shared" si="19"/>
        <v/>
      </c>
      <c r="P277" s="155">
        <f t="shared" si="20"/>
        <v>0</v>
      </c>
      <c r="Q277" s="150" t="str">
        <f t="shared" si="17"/>
        <v/>
      </c>
    </row>
    <row r="278" spans="1:17" x14ac:dyDescent="0.45">
      <c r="A278">
        <v>275</v>
      </c>
      <c r="B278" s="2" t="str">
        <f>IFERROR(INDEX('Miljövärden urval för publ'!$A$2:$AA$420,MATCH('Miljövärden för publ företag'!$A278,'Miljövärden urval för publ'!$R$2:$R$417,0),1),"")</f>
        <v>Ulricehamns Energi AB</v>
      </c>
      <c r="C278" s="2" t="str">
        <f>IFERROR(INDEX('Miljövärden urval för publ'!$A$2:$AA$420,MATCH('Miljövärden för publ företag'!$A278,'Miljövärden urval för publ'!$R$2:$R$417,0),2),"")</f>
        <v>Gällstad</v>
      </c>
      <c r="D278">
        <f>IFERROR(VLOOKUP($C278,'Miljövärden urval för publ'!$B$2:$H$417,MATCH('Miljövärden för publ företag'!D$4,'Miljövärden urval för publ'!$B$2:$H$2,0),FALSE),"")</f>
        <v>0.18915999999999999</v>
      </c>
      <c r="E278">
        <f>IFERROR(VLOOKUP($C278,'Miljövärden urval för publ'!$B$2:$H$417,MATCH('Miljövärden för publ företag'!E$4,'Miljövärden urval för publ'!$B$2:$H$2,0),FALSE),"")</f>
        <v>14.821999999999999</v>
      </c>
      <c r="F278">
        <f>IFERROR(VLOOKUP($C278,'Miljövärden urval för publ'!$B$2:$H$417,MATCH('Miljövärden för publ företag'!F$4,'Miljövärden urval för publ'!$B$2:$H$2,0),FALSE),"")</f>
        <v>17.1374</v>
      </c>
      <c r="G278">
        <f>IFERROR(VLOOKUP($C278,'Miljövärden urval för publ'!$B$2:$H$417,MATCH('Miljövärden för publ företag'!G$4,'Miljövärden urval för publ'!$B$2:$H$2,0),FALSE),"")</f>
        <v>2.3725699999999999E-2</v>
      </c>
      <c r="J278">
        <f t="shared" si="18"/>
        <v>116</v>
      </c>
      <c r="M278">
        <v>274</v>
      </c>
      <c r="N278" t="str">
        <f t="shared" si="19"/>
        <v/>
      </c>
      <c r="P278" s="155">
        <f t="shared" si="20"/>
        <v>0</v>
      </c>
      <c r="Q278" s="150" t="str">
        <f t="shared" si="17"/>
        <v/>
      </c>
    </row>
    <row r="279" spans="1:17" x14ac:dyDescent="0.45">
      <c r="A279">
        <v>276</v>
      </c>
      <c r="B279" s="2" t="str">
        <f>IFERROR(INDEX('Miljövärden urval för publ'!$A$2:$AA$420,MATCH('Miljövärden för publ företag'!$A279,'Miljövärden urval för publ'!$R$2:$R$417,0),1),"")</f>
        <v>Ulricehamns Energi AB</v>
      </c>
      <c r="C279" s="2" t="str">
        <f>IFERROR(INDEX('Miljövärden urval för publ'!$A$2:$AA$420,MATCH('Miljövärden för publ företag'!$A279,'Miljövärden urval för publ'!$R$2:$R$417,0),2),"")</f>
        <v>Timmele</v>
      </c>
      <c r="D279">
        <f>IFERROR(VLOOKUP($C279,'Miljövärden urval för publ'!$B$2:$H$417,MATCH('Miljövärden för publ företag'!D$4,'Miljövärden urval för publ'!$B$2:$H$2,0),FALSE),"")</f>
        <v>0.15484600000000001</v>
      </c>
      <c r="E279">
        <f>IFERROR(VLOOKUP($C279,'Miljövärden urval för publ'!$B$2:$H$417,MATCH('Miljövärden för publ företag'!E$4,'Miljövärden urval för publ'!$B$2:$H$2,0),FALSE),"")</f>
        <v>8.0158900000000006</v>
      </c>
      <c r="F279">
        <f>IFERROR(VLOOKUP($C279,'Miljövärden urval för publ'!$B$2:$H$417,MATCH('Miljövärden för publ företag'!F$4,'Miljövärden urval för publ'!$B$2:$H$2,0),FALSE),"")</f>
        <v>15.797599999999999</v>
      </c>
      <c r="G279">
        <f>IFERROR(VLOOKUP($C279,'Miljövärden urval för publ'!$B$2:$H$417,MATCH('Miljövärden för publ företag'!G$4,'Miljövärden urval för publ'!$B$2:$H$2,0),FALSE),"")</f>
        <v>4.2784700000000004E-3</v>
      </c>
      <c r="J279">
        <f t="shared" si="18"/>
        <v>116</v>
      </c>
      <c r="M279">
        <v>275</v>
      </c>
      <c r="N279" t="str">
        <f t="shared" si="19"/>
        <v/>
      </c>
      <c r="P279" s="155">
        <f t="shared" si="20"/>
        <v>0</v>
      </c>
      <c r="Q279" s="150" t="str">
        <f t="shared" si="17"/>
        <v/>
      </c>
    </row>
    <row r="280" spans="1:17" x14ac:dyDescent="0.45">
      <c r="A280" s="160">
        <v>277</v>
      </c>
      <c r="B280" s="2" t="str">
        <f>IFERROR(INDEX('Miljövärden urval för publ'!$A$2:$AA$420,MATCH('Miljövärden för publ företag'!$A280,'Miljövärden urval för publ'!$R$2:$R$417,0),1),"")</f>
        <v>Ulricehamns Energi AB</v>
      </c>
      <c r="C280" s="2" t="str">
        <f>IFERROR(INDEX('Miljövärden urval för publ'!$A$2:$AA$420,MATCH('Miljövärden för publ företag'!$A280,'Miljövärden urval för publ'!$R$2:$R$417,0),2),"")</f>
        <v>Ulricehamn</v>
      </c>
      <c r="D280">
        <f>IFERROR(VLOOKUP($C280,'Miljövärden urval för publ'!$B$2:$H$417,MATCH('Miljövärden för publ företag'!D$4,'Miljövärden urval för publ'!$B$2:$H$2,0),FALSE),"")</f>
        <v>5.5099799999999997E-2</v>
      </c>
      <c r="E280">
        <f>IFERROR(VLOOKUP($C280,'Miljövärden urval för publ'!$B$2:$H$417,MATCH('Miljövärden för publ företag'!E$4,'Miljövärden urval för publ'!$B$2:$H$2,0),FALSE),"")</f>
        <v>7.4189499999999997</v>
      </c>
      <c r="F280">
        <f>IFERROR(VLOOKUP($C280,'Miljövärden urval för publ'!$B$2:$H$417,MATCH('Miljövärden för publ företag'!F$4,'Miljövärden urval för publ'!$B$2:$H$2,0),FALSE),"")</f>
        <v>3.7822300000000002</v>
      </c>
      <c r="G280">
        <f>IFERROR(VLOOKUP($C280,'Miljövärden urval för publ'!$B$2:$H$417,MATCH('Miljövärden för publ företag'!G$4,'Miljövärden urval för publ'!$B$2:$H$2,0),FALSE),"")</f>
        <v>1.13224E-2</v>
      </c>
      <c r="J280">
        <f t="shared" si="18"/>
        <v>116</v>
      </c>
      <c r="M280">
        <v>276</v>
      </c>
      <c r="N280" t="str">
        <f t="shared" si="19"/>
        <v/>
      </c>
      <c r="P280" s="155">
        <f t="shared" si="20"/>
        <v>0</v>
      </c>
      <c r="Q280" s="150" t="str">
        <f t="shared" si="17"/>
        <v/>
      </c>
    </row>
    <row r="281" spans="1:17" x14ac:dyDescent="0.45">
      <c r="A281">
        <v>278</v>
      </c>
      <c r="B281" s="2" t="str">
        <f>IFERROR(INDEX('Miljövärden urval för publ'!$A$2:$AA$420,MATCH('Miljövärden för publ företag'!$A281,'Miljövärden urval för publ'!$R$2:$R$417,0),1),"")</f>
        <v>Umeå Energi AB</v>
      </c>
      <c r="C281" s="2" t="str">
        <f>IFERROR(INDEX('Miljövärden urval för publ'!$A$2:$AA$420,MATCH('Miljövärden för publ företag'!$A281,'Miljövärden urval för publ'!$R$2:$R$417,0),2),"")</f>
        <v>Bjurholm</v>
      </c>
      <c r="D281">
        <f>IFERROR(VLOOKUP($C281,'Miljövärden urval för publ'!$B$2:$H$417,MATCH('Miljövärden för publ företag'!D$4,'Miljövärden urval för publ'!$B$2:$H$2,0),FALSE),"")</f>
        <v>0.39340999999999998</v>
      </c>
      <c r="E281">
        <f>IFERROR(VLOOKUP($C281,'Miljövärden urval för publ'!$B$2:$H$417,MATCH('Miljövärden för publ företag'!E$4,'Miljövärden urval för publ'!$B$2:$H$2,0),FALSE),"")</f>
        <v>65.859800000000007</v>
      </c>
      <c r="F281">
        <f>IFERROR(VLOOKUP($C281,'Miljövärden urval för publ'!$B$2:$H$417,MATCH('Miljövärden för publ företag'!F$4,'Miljövärden urval för publ'!$B$2:$H$2,0),FALSE),"")</f>
        <v>19.493300000000001</v>
      </c>
      <c r="G281">
        <f>IFERROR(VLOOKUP($C281,'Miljövärden urval för publ'!$B$2:$H$417,MATCH('Miljövärden för publ företag'!G$4,'Miljövärden urval för publ'!$B$2:$H$2,0),FALSE),"")</f>
        <v>0.17857100000000001</v>
      </c>
      <c r="J281">
        <f t="shared" si="18"/>
        <v>117</v>
      </c>
      <c r="M281">
        <v>277</v>
      </c>
      <c r="N281" t="str">
        <f t="shared" si="19"/>
        <v/>
      </c>
      <c r="P281" s="155">
        <f t="shared" si="20"/>
        <v>0</v>
      </c>
      <c r="Q281" s="150" t="str">
        <f t="shared" si="17"/>
        <v/>
      </c>
    </row>
    <row r="282" spans="1:17" x14ac:dyDescent="0.45">
      <c r="A282">
        <v>279</v>
      </c>
      <c r="B282" s="2" t="str">
        <f>IFERROR(INDEX('Miljövärden urval för publ'!$A$2:$AA$420,MATCH('Miljövärden för publ företag'!$A282,'Miljövärden urval för publ'!$R$2:$R$417,0),1),"")</f>
        <v>Umeå Energi AB</v>
      </c>
      <c r="C282" s="2" t="str">
        <f>IFERROR(INDEX('Miljövärden urval för publ'!$A$2:$AA$420,MATCH('Miljövärden för publ företag'!$A282,'Miljövärden urval för publ'!$R$2:$R$417,0),2),"")</f>
        <v>Hörnefors</v>
      </c>
      <c r="D282">
        <f>IFERROR(VLOOKUP($C282,'Miljövärden urval för publ'!$B$2:$H$417,MATCH('Miljövärden för publ företag'!D$4,'Miljövärden urval för publ'!$B$2:$H$2,0),FALSE),"")</f>
        <v>0.186443</v>
      </c>
      <c r="E282">
        <f>IFERROR(VLOOKUP($C282,'Miljövärden urval för publ'!$B$2:$H$417,MATCH('Miljövärden för publ företag'!E$4,'Miljövärden urval för publ'!$B$2:$H$2,0),FALSE),"")</f>
        <v>6.8726599999999998</v>
      </c>
      <c r="F282">
        <f>IFERROR(VLOOKUP($C282,'Miljövärden urval för publ'!$B$2:$H$417,MATCH('Miljövärden för publ företag'!F$4,'Miljövärden urval för publ'!$B$2:$H$2,0),FALSE),"")</f>
        <v>19.990200000000002</v>
      </c>
      <c r="G282">
        <f>IFERROR(VLOOKUP($C282,'Miljövärden urval för publ'!$B$2:$H$417,MATCH('Miljövärden för publ företag'!G$4,'Miljövärden urval för publ'!$B$2:$H$2,0),FALSE),"")</f>
        <v>2.2442500000000002E-3</v>
      </c>
      <c r="J282">
        <f t="shared" si="18"/>
        <v>117</v>
      </c>
      <c r="M282">
        <v>278</v>
      </c>
      <c r="N282" t="str">
        <f t="shared" si="19"/>
        <v/>
      </c>
      <c r="P282" s="155">
        <f t="shared" si="20"/>
        <v>0</v>
      </c>
      <c r="Q282" s="150" t="str">
        <f t="shared" si="17"/>
        <v/>
      </c>
    </row>
    <row r="283" spans="1:17" x14ac:dyDescent="0.45">
      <c r="A283" s="160">
        <v>280</v>
      </c>
      <c r="B283" s="2" t="str">
        <f>IFERROR(INDEX('Miljövärden urval för publ'!$A$2:$AA$420,MATCH('Miljövärden för publ företag'!$A283,'Miljövärden urval för publ'!$R$2:$R$417,0),1),"")</f>
        <v>Umeå Energi AB</v>
      </c>
      <c r="C283" s="2" t="str">
        <f>IFERROR(INDEX('Miljövärden urval för publ'!$A$2:$AA$420,MATCH('Miljövärden för publ företag'!$A283,'Miljövärden urval för publ'!$R$2:$R$417,0),2),"")</f>
        <v>Sävar</v>
      </c>
      <c r="D283">
        <f>IFERROR(VLOOKUP($C283,'Miljövärden urval för publ'!$B$2:$H$417,MATCH('Miljövärden för publ företag'!D$4,'Miljövärden urval för publ'!$B$2:$H$2,0),FALSE),"")</f>
        <v>8.2292400000000002E-2</v>
      </c>
      <c r="E283">
        <f>IFERROR(VLOOKUP($C283,'Miljövärden urval för publ'!$B$2:$H$417,MATCH('Miljövärden för publ företag'!E$4,'Miljövärden urval för publ'!$B$2:$H$2,0),FALSE),"")</f>
        <v>14.2164</v>
      </c>
      <c r="F283">
        <f>IFERROR(VLOOKUP($C283,'Miljövärden urval för publ'!$B$2:$H$417,MATCH('Miljövärden för publ företag'!F$4,'Miljövärden urval för publ'!$B$2:$H$2,0),FALSE),"")</f>
        <v>10.676600000000001</v>
      </c>
      <c r="G283">
        <f>IFERROR(VLOOKUP($C283,'Miljövärden urval för publ'!$B$2:$H$417,MATCH('Miljövärden för publ företag'!G$4,'Miljövärden urval för publ'!$B$2:$H$2,0),FALSE),"")</f>
        <v>2.1598099999999999E-2</v>
      </c>
      <c r="J283">
        <f t="shared" si="18"/>
        <v>117</v>
      </c>
      <c r="M283">
        <v>279</v>
      </c>
      <c r="N283" t="str">
        <f t="shared" si="19"/>
        <v/>
      </c>
      <c r="P283" s="155">
        <f t="shared" si="20"/>
        <v>0</v>
      </c>
      <c r="Q283" s="150" t="str">
        <f t="shared" si="17"/>
        <v/>
      </c>
    </row>
    <row r="284" spans="1:17" x14ac:dyDescent="0.45">
      <c r="A284">
        <v>281</v>
      </c>
      <c r="B284" s="2" t="str">
        <f>IFERROR(INDEX('Miljövärden urval för publ'!$A$2:$AA$420,MATCH('Miljövärden för publ företag'!$A284,'Miljövärden urval för publ'!$R$2:$R$417,0),1),"")</f>
        <v>Umeå Energi AB</v>
      </c>
      <c r="C284" s="2" t="str">
        <f>IFERROR(INDEX('Miljövärden urval för publ'!$A$2:$AA$420,MATCH('Miljövärden för publ företag'!$A284,'Miljövärden urval för publ'!$R$2:$R$417,0),2),"")</f>
        <v>Umeå</v>
      </c>
      <c r="D284">
        <f>IFERROR(VLOOKUP($C284,'Miljövärden urval för publ'!$B$2:$H$417,MATCH('Miljövärden för publ företag'!D$4,'Miljövärden urval för publ'!$B$2:$H$2,0),FALSE),"")</f>
        <v>0.12786900000000001</v>
      </c>
      <c r="E284">
        <f>IFERROR(VLOOKUP($C284,'Miljövärden urval för publ'!$B$2:$H$417,MATCH('Miljövärden för publ företag'!E$4,'Miljövärden urval för publ'!$B$2:$H$2,0),FALSE),"")</f>
        <v>50.061100000000003</v>
      </c>
      <c r="F284">
        <f>IFERROR(VLOOKUP($C284,'Miljövärden urval för publ'!$B$2:$H$417,MATCH('Miljövärden för publ företag'!F$4,'Miljövärden urval för publ'!$B$2:$H$2,0),FALSE),"")</f>
        <v>4.7097199999999999</v>
      </c>
      <c r="G284">
        <f>IFERROR(VLOOKUP($C284,'Miljövärden urval för publ'!$B$2:$H$417,MATCH('Miljövärden för publ företag'!G$4,'Miljövärden urval för publ'!$B$2:$H$2,0),FALSE),"")</f>
        <v>1.7233100000000001E-2</v>
      </c>
      <c r="J284">
        <f t="shared" si="18"/>
        <v>117</v>
      </c>
      <c r="M284">
        <v>280</v>
      </c>
      <c r="N284" t="str">
        <f t="shared" si="19"/>
        <v/>
      </c>
      <c r="P284" s="155">
        <f t="shared" si="20"/>
        <v>0</v>
      </c>
      <c r="Q284" s="150" t="str">
        <f t="shared" si="17"/>
        <v/>
      </c>
    </row>
    <row r="285" spans="1:17" x14ac:dyDescent="0.45">
      <c r="A285">
        <v>282</v>
      </c>
      <c r="B285" s="2" t="str">
        <f>IFERROR(INDEX('Miljövärden urval för publ'!$A$2:$AA$420,MATCH('Miljövärden för publ företag'!$A285,'Miljövärden urval för publ'!$R$2:$R$417,0),1),"")</f>
        <v>Vaggeryds Energi AB</v>
      </c>
      <c r="C285" s="2" t="str">
        <f>IFERROR(INDEX('Miljövärden urval för publ'!$A$2:$AA$420,MATCH('Miljövärden för publ företag'!$A285,'Miljövärden urval för publ'!$R$2:$R$417,0),2),"")</f>
        <v>Skillingaryd</v>
      </c>
      <c r="D285">
        <f>IFERROR(VLOOKUP($C285,'Miljövärden urval för publ'!$B$2:$H$417,MATCH('Miljövärden för publ företag'!D$4,'Miljövärden urval för publ'!$B$2:$H$2,0),FALSE),"")</f>
        <v>0.12223299999999999</v>
      </c>
      <c r="E285">
        <f>IFERROR(VLOOKUP($C285,'Miljövärden urval för publ'!$B$2:$H$417,MATCH('Miljövärden för publ företag'!E$4,'Miljövärden urval för publ'!$B$2:$H$2,0),FALSE),"")</f>
        <v>11.102399999999999</v>
      </c>
      <c r="F285">
        <f>IFERROR(VLOOKUP($C285,'Miljövärden urval för publ'!$B$2:$H$417,MATCH('Miljövärden för publ företag'!F$4,'Miljövärden urval för publ'!$B$2:$H$2,0),FALSE),"")</f>
        <v>12.4251</v>
      </c>
      <c r="G285">
        <f>IFERROR(VLOOKUP($C285,'Miljövärden urval för publ'!$B$2:$H$417,MATCH('Miljövärden för publ företag'!G$4,'Miljövärden urval för publ'!$B$2:$H$2,0),FALSE),"")</f>
        <v>1.4141300000000001E-2</v>
      </c>
      <c r="J285">
        <f t="shared" si="18"/>
        <v>118</v>
      </c>
      <c r="M285">
        <v>281</v>
      </c>
      <c r="N285" t="str">
        <f t="shared" si="19"/>
        <v/>
      </c>
      <c r="P285" s="155">
        <f t="shared" si="20"/>
        <v>0</v>
      </c>
      <c r="Q285" s="150" t="str">
        <f t="shared" si="17"/>
        <v/>
      </c>
    </row>
    <row r="286" spans="1:17" x14ac:dyDescent="0.45">
      <c r="A286" s="160">
        <v>283</v>
      </c>
      <c r="B286" s="2" t="str">
        <f>IFERROR(INDEX('Miljövärden urval för publ'!$A$2:$AA$420,MATCH('Miljövärden för publ företag'!$A286,'Miljövärden urval för publ'!$R$2:$R$417,0),1),"")</f>
        <v>Vaggeryds Energi AB</v>
      </c>
      <c r="C286" s="2" t="str">
        <f>IFERROR(INDEX('Miljövärden urval för publ'!$A$2:$AA$420,MATCH('Miljövärden för publ företag'!$A286,'Miljövärden urval för publ'!$R$2:$R$417,0),2),"")</f>
        <v>Vaggeryd</v>
      </c>
      <c r="D286">
        <f>IFERROR(VLOOKUP($C286,'Miljövärden urval för publ'!$B$2:$H$417,MATCH('Miljövärden för publ företag'!D$4,'Miljövärden urval för publ'!$B$2:$H$2,0),FALSE),"")</f>
        <v>8.8164699999999999E-2</v>
      </c>
      <c r="E286">
        <f>IFERROR(VLOOKUP($C286,'Miljövärden urval för publ'!$B$2:$H$417,MATCH('Miljövärden för publ företag'!E$4,'Miljövärden urval för publ'!$B$2:$H$2,0),FALSE),"")</f>
        <v>9.1612200000000001</v>
      </c>
      <c r="F286">
        <f>IFERROR(VLOOKUP($C286,'Miljövärden urval för publ'!$B$2:$H$417,MATCH('Miljövärden för publ företag'!F$4,'Miljövärden urval för publ'!$B$2:$H$2,0),FALSE),"")</f>
        <v>8.7637099999999997</v>
      </c>
      <c r="G286">
        <f>IFERROR(VLOOKUP($C286,'Miljövärden urval för publ'!$B$2:$H$417,MATCH('Miljövärden för publ företag'!G$4,'Miljövärden urval för publ'!$B$2:$H$2,0),FALSE),"")</f>
        <v>1.17608E-2</v>
      </c>
      <c r="J286">
        <f t="shared" si="18"/>
        <v>118</v>
      </c>
      <c r="M286">
        <v>282</v>
      </c>
      <c r="N286" t="str">
        <f t="shared" si="19"/>
        <v/>
      </c>
      <c r="P286" s="155">
        <f t="shared" si="20"/>
        <v>0</v>
      </c>
      <c r="Q286" s="150" t="str">
        <f t="shared" si="17"/>
        <v/>
      </c>
    </row>
    <row r="287" spans="1:17" x14ac:dyDescent="0.45">
      <c r="A287">
        <v>284</v>
      </c>
      <c r="B287" s="2" t="str">
        <f>IFERROR(INDEX('Miljövärden urval för publ'!$A$2:$AA$420,MATCH('Miljövärden för publ företag'!$A287,'Miljövärden urval för publ'!$R$2:$R$417,0),1),"")</f>
        <v>Vara Energi Värme AB</v>
      </c>
      <c r="C287" s="2" t="str">
        <f>IFERROR(INDEX('Miljövärden urval för publ'!$A$2:$AA$420,MATCH('Miljövärden för publ företag'!$A287,'Miljövärden urval för publ'!$R$2:$R$417,0),2),"")</f>
        <v>Vara</v>
      </c>
      <c r="D287">
        <f>IFERROR(VLOOKUP($C287,'Miljövärden urval för publ'!$B$2:$H$417,MATCH('Miljövärden för publ företag'!D$4,'Miljövärden urval för publ'!$B$2:$H$2,0),FALSE),"")</f>
        <v>3.9135099999999999E-2</v>
      </c>
      <c r="E287">
        <f>IFERROR(VLOOKUP($C287,'Miljövärden urval för publ'!$B$2:$H$417,MATCH('Miljövärden för publ företag'!E$4,'Miljövärden urval för publ'!$B$2:$H$2,0),FALSE),"")</f>
        <v>5.3198699999999999</v>
      </c>
      <c r="F287">
        <f>IFERROR(VLOOKUP($C287,'Miljövärden urval för publ'!$B$2:$H$417,MATCH('Miljövärden för publ företag'!F$4,'Miljövärden urval för publ'!$B$2:$H$2,0),FALSE),"")</f>
        <v>8.9304000000000006</v>
      </c>
      <c r="G287">
        <f>IFERROR(VLOOKUP($C287,'Miljövärden urval för publ'!$B$2:$H$417,MATCH('Miljövärden för publ företag'!G$4,'Miljövärden urval för publ'!$B$2:$H$2,0),FALSE),"")</f>
        <v>6.5808999999999996E-4</v>
      </c>
      <c r="J287">
        <f t="shared" si="18"/>
        <v>119</v>
      </c>
      <c r="M287">
        <v>283</v>
      </c>
      <c r="N287" t="str">
        <f t="shared" si="19"/>
        <v/>
      </c>
      <c r="P287" s="155">
        <f t="shared" si="20"/>
        <v>0</v>
      </c>
      <c r="Q287" s="150" t="str">
        <f t="shared" si="17"/>
        <v/>
      </c>
    </row>
    <row r="288" spans="1:17" x14ac:dyDescent="0.45">
      <c r="A288">
        <v>285</v>
      </c>
      <c r="B288" s="2" t="str">
        <f>IFERROR(INDEX('Miljövärden urval för publ'!$A$2:$AA$420,MATCH('Miljövärden för publ företag'!$A288,'Miljövärden urval för publ'!$R$2:$R$417,0),1),"")</f>
        <v>Varberg Energi AB</v>
      </c>
      <c r="C288" s="2" t="str">
        <f>IFERROR(INDEX('Miljövärden urval för publ'!$A$2:$AA$420,MATCH('Miljövärden för publ företag'!$A288,'Miljövärden urval för publ'!$R$2:$R$417,0),2),"")</f>
        <v>Tvååker (Närv)</v>
      </c>
      <c r="D288">
        <f>IFERROR(VLOOKUP($C288,'Miljövärden urval för publ'!$B$2:$H$417,MATCH('Miljövärden för publ företag'!D$4,'Miljövärden urval för publ'!$B$2:$H$2,0),FALSE),"")</f>
        <v>0.19287299999999999</v>
      </c>
      <c r="E288">
        <f>IFERROR(VLOOKUP($C288,'Miljövärden urval för publ'!$B$2:$H$417,MATCH('Miljövärden för publ företag'!E$4,'Miljövärden urval för publ'!$B$2:$H$2,0),FALSE),"")</f>
        <v>8.4006799999999995</v>
      </c>
      <c r="F288">
        <f>IFERROR(VLOOKUP($C288,'Miljövärden urval för publ'!$B$2:$H$417,MATCH('Miljövärden för publ företag'!F$4,'Miljövärden urval för publ'!$B$2:$H$2,0),FALSE),"")</f>
        <v>18.707999999999998</v>
      </c>
      <c r="G288">
        <f>IFERROR(VLOOKUP($C288,'Miljövärden urval för publ'!$B$2:$H$417,MATCH('Miljövärden för publ företag'!G$4,'Miljövärden urval för publ'!$B$2:$H$2,0),FALSE),"")</f>
        <v>8.4064299999999995E-3</v>
      </c>
      <c r="J288">
        <f t="shared" si="18"/>
        <v>120</v>
      </c>
      <c r="M288">
        <v>284</v>
      </c>
      <c r="N288" t="str">
        <f t="shared" si="19"/>
        <v/>
      </c>
      <c r="P288" s="155">
        <f t="shared" si="20"/>
        <v>0</v>
      </c>
      <c r="Q288" s="150" t="str">
        <f t="shared" si="17"/>
        <v/>
      </c>
    </row>
    <row r="289" spans="1:17" x14ac:dyDescent="0.45">
      <c r="A289" s="160">
        <v>286</v>
      </c>
      <c r="B289" s="2" t="str">
        <f>IFERROR(INDEX('Miljövärden urval för publ'!$A$2:$AA$420,MATCH('Miljövärden för publ företag'!$A289,'Miljövärden urval för publ'!$R$2:$R$417,0),1),"")</f>
        <v>Varberg Energi AB</v>
      </c>
      <c r="C289" s="2" t="str">
        <f>IFERROR(INDEX('Miljövärden urval för publ'!$A$2:$AA$420,MATCH('Miljövärden för publ företag'!$A289,'Miljövärden urval för publ'!$R$2:$R$417,0),2),"")</f>
        <v>Varberg (Fjv)</v>
      </c>
      <c r="D289">
        <f>IFERROR(VLOOKUP($C289,'Miljövärden urval för publ'!$B$2:$H$417,MATCH('Miljövärden för publ företag'!D$4,'Miljövärden urval för publ'!$B$2:$H$2,0),FALSE),"")</f>
        <v>2.47887E-2</v>
      </c>
      <c r="E289">
        <f>IFERROR(VLOOKUP($C289,'Miljövärden urval för publ'!$B$2:$H$417,MATCH('Miljövärden för publ företag'!E$4,'Miljövärden urval för publ'!$B$2:$H$2,0),FALSE),"")</f>
        <v>0.97631800000000002</v>
      </c>
      <c r="F289">
        <f>IFERROR(VLOOKUP($C289,'Miljövärden urval för publ'!$B$2:$H$417,MATCH('Miljövärden för publ företag'!F$4,'Miljövärden urval för publ'!$B$2:$H$2,0),FALSE),"")</f>
        <v>2.40001</v>
      </c>
      <c r="G289">
        <f>IFERROR(VLOOKUP($C289,'Miljövärden urval för publ'!$B$2:$H$417,MATCH('Miljövärden för publ företag'!G$4,'Miljövärden urval för publ'!$B$2:$H$2,0),FALSE),"")</f>
        <v>0</v>
      </c>
      <c r="J289">
        <f t="shared" si="18"/>
        <v>120</v>
      </c>
      <c r="M289">
        <v>285</v>
      </c>
      <c r="N289" t="str">
        <f t="shared" si="19"/>
        <v/>
      </c>
      <c r="P289" s="155">
        <f t="shared" si="20"/>
        <v>0</v>
      </c>
      <c r="Q289" s="150" t="str">
        <f t="shared" si="17"/>
        <v/>
      </c>
    </row>
    <row r="290" spans="1:17" x14ac:dyDescent="0.45">
      <c r="A290">
        <v>287</v>
      </c>
      <c r="B290" s="2" t="str">
        <f>IFERROR(INDEX('Miljövärden urval för publ'!$A$2:$AA$420,MATCH('Miljövärden för publ företag'!$A290,'Miljövärden urval för publ'!$R$2:$R$417,0),1),"")</f>
        <v>Varberg Energi AB</v>
      </c>
      <c r="C290" s="2" t="str">
        <f>IFERROR(INDEX('Miljövärden urval för publ'!$A$2:$AA$420,MATCH('Miljövärden för publ företag'!$A290,'Miljövärden urval för publ'!$R$2:$R$417,0),2),"")</f>
        <v>Veddige</v>
      </c>
      <c r="D290">
        <f>IFERROR(VLOOKUP($C290,'Miljövärden urval för publ'!$B$2:$H$417,MATCH('Miljövärden för publ företag'!D$4,'Miljövärden urval för publ'!$B$2:$H$2,0),FALSE),"")</f>
        <v>0.20250399999999999</v>
      </c>
      <c r="E290">
        <f>IFERROR(VLOOKUP($C290,'Miljövärden urval för publ'!$B$2:$H$417,MATCH('Miljövärden för publ företag'!E$4,'Miljövärden urval för publ'!$B$2:$H$2,0),FALSE),"")</f>
        <v>17.572700000000001</v>
      </c>
      <c r="F290">
        <f>IFERROR(VLOOKUP($C290,'Miljövärden urval för publ'!$B$2:$H$417,MATCH('Miljövärden för publ företag'!F$4,'Miljövärden urval för publ'!$B$2:$H$2,0),FALSE),"")</f>
        <v>17.731200000000001</v>
      </c>
      <c r="G290">
        <f>IFERROR(VLOOKUP($C290,'Miljövärden urval för publ'!$B$2:$H$417,MATCH('Miljövärden för publ företag'!G$4,'Miljövärden urval för publ'!$B$2:$H$2,0),FALSE),"")</f>
        <v>3.6110900000000001E-2</v>
      </c>
      <c r="J290">
        <f t="shared" si="18"/>
        <v>120</v>
      </c>
      <c r="M290">
        <v>286</v>
      </c>
      <c r="N290" t="str">
        <f t="shared" si="19"/>
        <v/>
      </c>
      <c r="P290" s="155">
        <f t="shared" si="20"/>
        <v>0</v>
      </c>
      <c r="Q290" s="150" t="str">
        <f t="shared" si="17"/>
        <v/>
      </c>
    </row>
    <row r="291" spans="1:17" x14ac:dyDescent="0.45">
      <c r="A291">
        <v>288</v>
      </c>
      <c r="B291" s="2" t="str">
        <f>IFERROR(INDEX('Miljövärden urval för publ'!$A$2:$AA$420,MATCH('Miljövärden för publ företag'!$A291,'Miljövärden urval för publ'!$R$2:$R$417,0),1),"")</f>
        <v>Vasa Värme Holding AB</v>
      </c>
      <c r="C291" s="2" t="str">
        <f>IFERROR(INDEX('Miljövärden urval för publ'!$A$2:$AA$420,MATCH('Miljövärden för publ företag'!$A291,'Miljövärden urval för publ'!$R$2:$R$417,0),2),"")</f>
        <v>Alfta</v>
      </c>
      <c r="D291">
        <f>IFERROR(VLOOKUP($C291,'Miljövärden urval för publ'!$B$2:$H$417,MATCH('Miljövärden för publ företag'!D$4,'Miljövärden urval för publ'!$B$2:$H$2,0),FALSE),"")</f>
        <v>0.21942300000000001</v>
      </c>
      <c r="E291">
        <f>IFERROR(VLOOKUP($C291,'Miljövärden urval för publ'!$B$2:$H$417,MATCH('Miljövärden för publ företag'!E$4,'Miljövärden urval för publ'!$B$2:$H$2,0),FALSE),"")</f>
        <v>17.8368</v>
      </c>
      <c r="F291">
        <f>IFERROR(VLOOKUP($C291,'Miljövärden urval för publ'!$B$2:$H$417,MATCH('Miljövärden för publ företag'!F$4,'Miljövärden urval för publ'!$B$2:$H$2,0),FALSE),"")</f>
        <v>11.391400000000001</v>
      </c>
      <c r="G291">
        <f>IFERROR(VLOOKUP($C291,'Miljövärden urval för publ'!$B$2:$H$417,MATCH('Miljövärden för publ företag'!G$4,'Miljövärden urval för publ'!$B$2:$H$2,0),FALSE),"")</f>
        <v>2.5107999999999998E-2</v>
      </c>
      <c r="J291">
        <f t="shared" si="18"/>
        <v>121</v>
      </c>
      <c r="M291">
        <v>287</v>
      </c>
      <c r="N291" t="str">
        <f t="shared" si="19"/>
        <v/>
      </c>
      <c r="P291" s="155">
        <f t="shared" si="20"/>
        <v>0</v>
      </c>
      <c r="Q291" s="150" t="str">
        <f t="shared" si="17"/>
        <v/>
      </c>
    </row>
    <row r="292" spans="1:17" x14ac:dyDescent="0.45">
      <c r="A292" s="160">
        <v>289</v>
      </c>
      <c r="B292" s="2" t="str">
        <f>IFERROR(INDEX('Miljövärden urval för publ'!$A$2:$AA$420,MATCH('Miljövärden för publ företag'!$A292,'Miljövärden urval för publ'!$R$2:$R$417,0),1),"")</f>
        <v>Vasa Värme Holding AB</v>
      </c>
      <c r="C292" s="2" t="str">
        <f>IFERROR(INDEX('Miljövärden urval för publ'!$A$2:$AA$420,MATCH('Miljövärden för publ företag'!$A292,'Miljövärden urval för publ'!$R$2:$R$417,0),2),"")</f>
        <v>Edsbyn</v>
      </c>
      <c r="D292">
        <f>IFERROR(VLOOKUP($C292,'Miljövärden urval för publ'!$B$2:$H$417,MATCH('Miljövärden för publ företag'!D$4,'Miljövärden urval för publ'!$B$2:$H$2,0),FALSE),"")</f>
        <v>0.62761</v>
      </c>
      <c r="E292">
        <f>IFERROR(VLOOKUP($C292,'Miljövärden urval för publ'!$B$2:$H$417,MATCH('Miljövärden för publ företag'!E$4,'Miljövärden urval för publ'!$B$2:$H$2,0),FALSE),"")</f>
        <v>9.2545199999999994</v>
      </c>
      <c r="F292">
        <f>IFERROR(VLOOKUP($C292,'Miljövärden urval för publ'!$B$2:$H$417,MATCH('Miljövärden för publ företag'!F$4,'Miljövärden urval för publ'!$B$2:$H$2,0),FALSE),"")</f>
        <v>23.377300000000002</v>
      </c>
      <c r="G292">
        <f>IFERROR(VLOOKUP($C292,'Miljövärden urval för publ'!$B$2:$H$417,MATCH('Miljövärden för publ företag'!G$4,'Miljövärden urval för publ'!$B$2:$H$2,0),FALSE),"")</f>
        <v>6.7086100000000003E-3</v>
      </c>
      <c r="J292">
        <f t="shared" si="18"/>
        <v>121</v>
      </c>
      <c r="M292">
        <v>288</v>
      </c>
      <c r="N292" t="str">
        <f t="shared" si="19"/>
        <v/>
      </c>
      <c r="P292" s="155">
        <f t="shared" si="20"/>
        <v>0</v>
      </c>
      <c r="Q292" s="150" t="str">
        <f t="shared" si="17"/>
        <v/>
      </c>
    </row>
    <row r="293" spans="1:17" x14ac:dyDescent="0.45">
      <c r="A293">
        <v>290</v>
      </c>
      <c r="B293" s="2" t="str">
        <f>IFERROR(INDEX('Miljövärden urval för publ'!$A$2:$AA$420,MATCH('Miljövärden för publ företag'!$A293,'Miljövärden urval för publ'!$R$2:$R$417,0),1),"")</f>
        <v>Vasa Värme Holding AB</v>
      </c>
      <c r="C293" s="2" t="str">
        <f>IFERROR(INDEX('Miljövärden urval för publ'!$A$2:$AA$420,MATCH('Miljövärden för publ företag'!$A293,'Miljövärden urval för publ'!$R$2:$R$417,0),2),"")</f>
        <v>Kalix</v>
      </c>
      <c r="D293">
        <f>IFERROR(VLOOKUP($C293,'Miljövärden urval för publ'!$B$2:$H$417,MATCH('Miljövärden för publ företag'!D$4,'Miljövärden urval för publ'!$B$2:$H$2,0),FALSE),"")</f>
        <v>0.14380599999999999</v>
      </c>
      <c r="E293">
        <f>IFERROR(VLOOKUP($C293,'Miljövärden urval för publ'!$B$2:$H$417,MATCH('Miljövärden för publ företag'!E$4,'Miljövärden urval för publ'!$B$2:$H$2,0),FALSE),"")</f>
        <v>20.261600000000001</v>
      </c>
      <c r="F293">
        <f>IFERROR(VLOOKUP($C293,'Miljövärden urval för publ'!$B$2:$H$417,MATCH('Miljövärden för publ företag'!F$4,'Miljövärden urval för publ'!$B$2:$H$2,0),FALSE),"")</f>
        <v>8.9784699999999997</v>
      </c>
      <c r="G293">
        <f>IFERROR(VLOOKUP($C293,'Miljövärden urval för publ'!$B$2:$H$417,MATCH('Miljövärden för publ företag'!G$4,'Miljövärden urval för publ'!$B$2:$H$2,0),FALSE),"")</f>
        <v>2.6553299999999998E-2</v>
      </c>
      <c r="J293">
        <f t="shared" si="18"/>
        <v>121</v>
      </c>
      <c r="M293">
        <v>289</v>
      </c>
      <c r="N293" t="str">
        <f t="shared" si="19"/>
        <v/>
      </c>
      <c r="P293" s="155">
        <f t="shared" si="20"/>
        <v>0</v>
      </c>
      <c r="Q293" s="150" t="str">
        <f t="shared" si="17"/>
        <v/>
      </c>
    </row>
    <row r="294" spans="1:17" x14ac:dyDescent="0.45">
      <c r="A294">
        <v>291</v>
      </c>
      <c r="B294" s="2" t="str">
        <f>IFERROR(INDEX('Miljövärden urval för publ'!$A$2:$AA$420,MATCH('Miljövärden för publ företag'!$A294,'Miljövärden urval för publ'!$R$2:$R$417,0),1),"")</f>
        <v>Vasa Värme Holding AB</v>
      </c>
      <c r="C294" s="2" t="str">
        <f>IFERROR(INDEX('Miljövärden urval för publ'!$A$2:$AA$420,MATCH('Miljövärden för publ företag'!$A294,'Miljövärden urval för publ'!$R$2:$R$417,0),2),"")</f>
        <v>Krokek</v>
      </c>
      <c r="D294">
        <f>IFERROR(VLOOKUP($C294,'Miljövärden urval för publ'!$B$2:$H$417,MATCH('Miljövärden för publ företag'!D$4,'Miljövärden urval för publ'!$B$2:$H$2,0),FALSE),"")</f>
        <v>0.17647599999999999</v>
      </c>
      <c r="E294">
        <f>IFERROR(VLOOKUP($C294,'Miljövärden urval för publ'!$B$2:$H$417,MATCH('Miljövärden för publ företag'!E$4,'Miljövärden urval för publ'!$B$2:$H$2,0),FALSE),"")</f>
        <v>11.863</v>
      </c>
      <c r="F294">
        <f>IFERROR(VLOOKUP($C294,'Miljövärden urval för publ'!$B$2:$H$417,MATCH('Miljövärden för publ företag'!F$4,'Miljövärden urval för publ'!$B$2:$H$2,0),FALSE),"")</f>
        <v>16.0245</v>
      </c>
      <c r="G294">
        <f>IFERROR(VLOOKUP($C294,'Miljövärden urval för publ'!$B$2:$H$417,MATCH('Miljövärden för publ företag'!G$4,'Miljövärden urval för publ'!$B$2:$H$2,0),FALSE),"")</f>
        <v>1.41596E-2</v>
      </c>
      <c r="J294">
        <f t="shared" si="18"/>
        <v>121</v>
      </c>
      <c r="M294">
        <v>290</v>
      </c>
      <c r="N294" t="str">
        <f t="shared" si="19"/>
        <v/>
      </c>
      <c r="P294" s="155">
        <f t="shared" si="20"/>
        <v>0</v>
      </c>
      <c r="Q294" s="150" t="str">
        <f t="shared" si="17"/>
        <v/>
      </c>
    </row>
    <row r="295" spans="1:17" x14ac:dyDescent="0.45">
      <c r="A295" s="160">
        <v>292</v>
      </c>
      <c r="B295" s="2" t="str">
        <f>IFERROR(INDEX('Miljövärden urval för publ'!$A$2:$AA$420,MATCH('Miljövärden för publ företag'!$A295,'Miljövärden urval för publ'!$R$2:$R$417,0),1),"")</f>
        <v>Vasa Värme Holding AB</v>
      </c>
      <c r="C295" s="2" t="str">
        <f>IFERROR(INDEX('Miljövärden urval för publ'!$A$2:$AA$420,MATCH('Miljövärden för publ företag'!$A295,'Miljövärden urval för publ'!$R$2:$R$417,0),2),"")</f>
        <v>Malmköping</v>
      </c>
      <c r="D295">
        <f>IFERROR(VLOOKUP($C295,'Miljövärden urval för publ'!$B$2:$H$417,MATCH('Miljövärden för publ företag'!D$4,'Miljövärden urval för publ'!$B$2:$H$2,0),FALSE),"")</f>
        <v>9.6082100000000004E-2</v>
      </c>
      <c r="E295">
        <f>IFERROR(VLOOKUP($C295,'Miljövärden urval för publ'!$B$2:$H$417,MATCH('Miljövärden för publ företag'!E$4,'Miljövärden urval för publ'!$B$2:$H$2,0),FALSE),"")</f>
        <v>12.380699999999999</v>
      </c>
      <c r="F295">
        <f>IFERROR(VLOOKUP($C295,'Miljövärden urval för publ'!$B$2:$H$417,MATCH('Miljövärden för publ företag'!F$4,'Miljövärden urval för publ'!$B$2:$H$2,0),FALSE),"")</f>
        <v>9.5639299999999992</v>
      </c>
      <c r="G295">
        <f>IFERROR(VLOOKUP($C295,'Miljövärden urval för publ'!$B$2:$H$417,MATCH('Miljövärden för publ företag'!G$4,'Miljövärden urval för publ'!$B$2:$H$2,0),FALSE),"")</f>
        <v>8.6654799999999997E-3</v>
      </c>
      <c r="J295">
        <f t="shared" si="18"/>
        <v>121</v>
      </c>
      <c r="M295">
        <v>291</v>
      </c>
      <c r="N295" t="str">
        <f t="shared" si="19"/>
        <v/>
      </c>
      <c r="P295" s="155">
        <f t="shared" si="20"/>
        <v>0</v>
      </c>
      <c r="Q295" s="150" t="str">
        <f t="shared" si="17"/>
        <v/>
      </c>
    </row>
    <row r="296" spans="1:17" x14ac:dyDescent="0.45">
      <c r="A296">
        <v>293</v>
      </c>
      <c r="B296" s="2" t="str">
        <f>IFERROR(INDEX('Miljövärden urval för publ'!$A$2:$AA$420,MATCH('Miljövärden för publ företag'!$A296,'Miljövärden urval för publ'!$R$2:$R$417,0),1),"")</f>
        <v>Vattenfall AB</v>
      </c>
      <c r="C296" s="2" t="str">
        <f>IFERROR(INDEX('Miljövärden urval för publ'!$A$2:$AA$420,MATCH('Miljövärden för publ företag'!$A296,'Miljövärden urval för publ'!$R$2:$R$417,0),2),"")</f>
        <v>Askersund</v>
      </c>
      <c r="D296">
        <f>IFERROR(VLOOKUP($C296,'Miljövärden urval för publ'!$B$2:$H$417,MATCH('Miljövärden för publ företag'!D$4,'Miljövärden urval för publ'!$B$2:$H$2,0),FALSE),"")</f>
        <v>0.15146899999999999</v>
      </c>
      <c r="E296">
        <f>IFERROR(VLOOKUP($C296,'Miljövärden urval för publ'!$B$2:$H$417,MATCH('Miljövärden för publ företag'!E$4,'Miljövärden urval för publ'!$B$2:$H$2,0),FALSE),"")</f>
        <v>17.553699999999999</v>
      </c>
      <c r="F296">
        <f>IFERROR(VLOOKUP($C296,'Miljövärden urval för publ'!$B$2:$H$417,MATCH('Miljövärden för publ företag'!F$4,'Miljövärden urval för publ'!$B$2:$H$2,0),FALSE),"")</f>
        <v>8.2407199999999996</v>
      </c>
      <c r="G296">
        <f>IFERROR(VLOOKUP($C296,'Miljövärden urval för publ'!$B$2:$H$417,MATCH('Miljövärden för publ företag'!G$4,'Miljövärden urval för publ'!$B$2:$H$2,0),FALSE),"")</f>
        <v>3.8375399999999997E-2</v>
      </c>
      <c r="J296">
        <f t="shared" si="18"/>
        <v>122</v>
      </c>
      <c r="M296">
        <v>292</v>
      </c>
      <c r="N296" t="str">
        <f t="shared" si="19"/>
        <v/>
      </c>
      <c r="P296" s="155">
        <f t="shared" si="20"/>
        <v>0</v>
      </c>
      <c r="Q296" s="150" t="str">
        <f t="shared" si="17"/>
        <v/>
      </c>
    </row>
    <row r="297" spans="1:17" x14ac:dyDescent="0.45">
      <c r="A297">
        <v>294</v>
      </c>
      <c r="B297" s="2" t="str">
        <f>IFERROR(INDEX('Miljövärden urval för publ'!$A$2:$AA$420,MATCH('Miljövärden för publ företag'!$A297,'Miljövärden urval för publ'!$R$2:$R$417,0),1),"")</f>
        <v>Vattenfall AB</v>
      </c>
      <c r="C297" s="2" t="str">
        <f>IFERROR(INDEX('Miljövärden urval för publ'!$A$2:$AA$420,MATCH('Miljövärden för publ företag'!$A297,'Miljövärden urval för publ'!$R$2:$R$417,0),2),"")</f>
        <v>Drefviken</v>
      </c>
      <c r="D297">
        <f>IFERROR(VLOOKUP($C297,'Miljövärden urval för publ'!$B$2:$H$417,MATCH('Miljövärden för publ företag'!D$4,'Miljövärden urval för publ'!$B$2:$H$2,0),FALSE),"")</f>
        <v>6.4058500000000004E-2</v>
      </c>
      <c r="E297">
        <f>IFERROR(VLOOKUP($C297,'Miljövärden urval för publ'!$B$2:$H$417,MATCH('Miljövärden för publ företag'!E$4,'Miljövärden urval för publ'!$B$2:$H$2,0),FALSE),"")</f>
        <v>3.5391900000000001</v>
      </c>
      <c r="F297">
        <f>IFERROR(VLOOKUP($C297,'Miljövärden urval för publ'!$B$2:$H$417,MATCH('Miljövärden för publ företag'!F$4,'Miljövärden urval för publ'!$B$2:$H$2,0),FALSE),"")</f>
        <v>5.8372200000000003</v>
      </c>
      <c r="G297">
        <f>IFERROR(VLOOKUP($C297,'Miljövärden urval för publ'!$B$2:$H$417,MATCH('Miljövärden för publ företag'!G$4,'Miljövärden urval för publ'!$B$2:$H$2,0),FALSE),"")</f>
        <v>0</v>
      </c>
      <c r="J297">
        <f t="shared" si="18"/>
        <v>122</v>
      </c>
      <c r="M297">
        <v>293</v>
      </c>
      <c r="N297" t="str">
        <f t="shared" si="19"/>
        <v/>
      </c>
      <c r="P297" s="155">
        <f t="shared" si="20"/>
        <v>0</v>
      </c>
      <c r="Q297" s="150" t="str">
        <f t="shared" si="17"/>
        <v/>
      </c>
    </row>
    <row r="298" spans="1:17" x14ac:dyDescent="0.45">
      <c r="A298" s="160">
        <v>295</v>
      </c>
      <c r="B298" s="2" t="str">
        <f>IFERROR(INDEX('Miljövärden urval för publ'!$A$2:$AA$420,MATCH('Miljövärden för publ företag'!$A298,'Miljövärden urval för publ'!$R$2:$R$417,0),1),"")</f>
        <v>Vattenfall AB</v>
      </c>
      <c r="C298" s="2" t="str">
        <f>IFERROR(INDEX('Miljövärden urval för publ'!$A$2:$AA$420,MATCH('Miljövärden för publ företag'!$A298,'Miljövärden urval för publ'!$R$2:$R$417,0),2),"")</f>
        <v>Gustavsberg</v>
      </c>
      <c r="D298">
        <f>IFERROR(VLOOKUP($C298,'Miljövärden urval för publ'!$B$2:$H$417,MATCH('Miljövärden för publ företag'!D$4,'Miljövärden urval för publ'!$B$2:$H$2,0),FALSE),"")</f>
        <v>0.11224099999999999</v>
      </c>
      <c r="E298">
        <f>IFERROR(VLOOKUP($C298,'Miljövärden urval för publ'!$B$2:$H$417,MATCH('Miljövärden för publ företag'!E$4,'Miljövärden urval för publ'!$B$2:$H$2,0),FALSE),"")</f>
        <v>3.6102599999999998</v>
      </c>
      <c r="F298">
        <f>IFERROR(VLOOKUP($C298,'Miljövärden urval för publ'!$B$2:$H$417,MATCH('Miljövärden för publ företag'!F$4,'Miljövärden urval för publ'!$B$2:$H$2,0),FALSE),"")</f>
        <v>8.9222900000000003</v>
      </c>
      <c r="G298">
        <f>IFERROR(VLOOKUP($C298,'Miljövärden urval för publ'!$B$2:$H$417,MATCH('Miljövärden för publ företag'!G$4,'Miljövärden urval för publ'!$B$2:$H$2,0),FALSE),"")</f>
        <v>9.4631700000000001E-4</v>
      </c>
      <c r="J298">
        <f t="shared" si="18"/>
        <v>122</v>
      </c>
      <c r="M298">
        <v>294</v>
      </c>
      <c r="N298" t="str">
        <f t="shared" si="19"/>
        <v/>
      </c>
      <c r="P298" s="155">
        <f t="shared" si="20"/>
        <v>0</v>
      </c>
      <c r="Q298" s="150" t="str">
        <f t="shared" si="17"/>
        <v/>
      </c>
    </row>
    <row r="299" spans="1:17" x14ac:dyDescent="0.45">
      <c r="A299">
        <v>296</v>
      </c>
      <c r="B299" s="2" t="str">
        <f>IFERROR(INDEX('Miljövärden urval för publ'!$A$2:$AA$420,MATCH('Miljövärden för publ företag'!$A299,'Miljövärden urval för publ'!$R$2:$R$417,0),1),"")</f>
        <v>Vattenfall AB</v>
      </c>
      <c r="C299" s="2" t="str">
        <f>IFERROR(INDEX('Miljövärden urval för publ'!$A$2:$AA$420,MATCH('Miljövärden för publ företag'!$A299,'Miljövärden urval för publ'!$R$2:$R$417,0),2),"")</f>
        <v>Knivsta (Vattenfall AB)</v>
      </c>
      <c r="D299">
        <f>IFERROR(VLOOKUP($C299,'Miljövärden urval för publ'!$B$2:$H$417,MATCH('Miljövärden för publ företag'!D$4,'Miljövärden urval för publ'!$B$2:$H$2,0),FALSE),"")</f>
        <v>0.20086799999999999</v>
      </c>
      <c r="E299">
        <f>IFERROR(VLOOKUP($C299,'Miljövärden urval för publ'!$B$2:$H$417,MATCH('Miljövärden för publ företag'!E$4,'Miljövärden urval för publ'!$B$2:$H$2,0),FALSE),"")</f>
        <v>26.439</v>
      </c>
      <c r="F299">
        <f>IFERROR(VLOOKUP($C299,'Miljövärden urval för publ'!$B$2:$H$417,MATCH('Miljövärden för publ företag'!F$4,'Miljövärden urval för publ'!$B$2:$H$2,0),FALSE),"")</f>
        <v>11.8796</v>
      </c>
      <c r="G299">
        <f>IFERROR(VLOOKUP($C299,'Miljövärden urval för publ'!$B$2:$H$417,MATCH('Miljövärden för publ företag'!G$4,'Miljövärden urval för publ'!$B$2:$H$2,0),FALSE),"")</f>
        <v>4.8994799999999998E-2</v>
      </c>
      <c r="J299">
        <f t="shared" si="18"/>
        <v>122</v>
      </c>
      <c r="M299">
        <v>295</v>
      </c>
      <c r="N299" t="str">
        <f t="shared" si="19"/>
        <v/>
      </c>
      <c r="P299" s="155">
        <f t="shared" si="20"/>
        <v>0</v>
      </c>
      <c r="Q299" s="150" t="str">
        <f t="shared" si="17"/>
        <v/>
      </c>
    </row>
    <row r="300" spans="1:17" x14ac:dyDescent="0.45">
      <c r="A300">
        <v>297</v>
      </c>
      <c r="B300" s="2" t="str">
        <f>IFERROR(INDEX('Miljövärden urval för publ'!$A$2:$AA$420,MATCH('Miljövärden för publ företag'!$A300,'Miljövärden urval för publ'!$R$2:$R$417,0),1),"")</f>
        <v>Vattenfall AB</v>
      </c>
      <c r="C300" s="2" t="str">
        <f>IFERROR(INDEX('Miljövärden urval för publ'!$A$2:$AA$420,MATCH('Miljövärden för publ företag'!$A300,'Miljövärden urval för publ'!$R$2:$R$417,0),2),"")</f>
        <v>Motala</v>
      </c>
      <c r="D300">
        <f>IFERROR(VLOOKUP($C300,'Miljövärden urval för publ'!$B$2:$H$417,MATCH('Miljövärden för publ företag'!D$4,'Miljövärden urval för publ'!$B$2:$H$2,0),FALSE),"")</f>
        <v>5.1315800000000002E-2</v>
      </c>
      <c r="E300">
        <f>IFERROR(VLOOKUP($C300,'Miljövärden urval för publ'!$B$2:$H$417,MATCH('Miljövärden för publ företag'!E$4,'Miljövärden urval för publ'!$B$2:$H$2,0),FALSE),"")</f>
        <v>8.9736600000000006</v>
      </c>
      <c r="F300">
        <f>IFERROR(VLOOKUP($C300,'Miljövärden urval för publ'!$B$2:$H$417,MATCH('Miljövärden för publ företag'!F$4,'Miljövärden urval för publ'!$B$2:$H$2,0),FALSE),"")</f>
        <v>6.8445</v>
      </c>
      <c r="G300">
        <f>IFERROR(VLOOKUP($C300,'Miljövärden urval för publ'!$B$2:$H$417,MATCH('Miljövärden för publ företag'!G$4,'Miljövärden urval för publ'!$B$2:$H$2,0),FALSE),"")</f>
        <v>1.5974700000000001E-2</v>
      </c>
      <c r="J300">
        <f t="shared" si="18"/>
        <v>122</v>
      </c>
      <c r="M300">
        <v>296</v>
      </c>
      <c r="N300" t="str">
        <f t="shared" si="19"/>
        <v/>
      </c>
      <c r="P300" s="155">
        <f t="shared" si="20"/>
        <v>0</v>
      </c>
      <c r="Q300" s="150" t="str">
        <f t="shared" si="17"/>
        <v/>
      </c>
    </row>
    <row r="301" spans="1:17" x14ac:dyDescent="0.45">
      <c r="A301" s="160">
        <v>298</v>
      </c>
      <c r="B301" s="2" t="str">
        <f>IFERROR(INDEX('Miljövärden urval för publ'!$A$2:$AA$420,MATCH('Miljövärden för publ företag'!$A301,'Miljövärden urval för publ'!$R$2:$R$417,0),1),"")</f>
        <v>Vattenfall AB</v>
      </c>
      <c r="C301" s="2" t="str">
        <f>IFERROR(INDEX('Miljövärden urval för publ'!$A$2:$AA$420,MATCH('Miljövärden för publ företag'!$A301,'Miljövärden urval för publ'!$R$2:$R$417,0),2),"")</f>
        <v>Nyköping</v>
      </c>
      <c r="D301">
        <f>IFERROR(VLOOKUP($C301,'Miljövärden urval för publ'!$B$2:$H$417,MATCH('Miljövärden för publ företag'!D$4,'Miljövärden urval för publ'!$B$2:$H$2,0),FALSE),"")</f>
        <v>7.0700299999999994E-2</v>
      </c>
      <c r="E301">
        <f>IFERROR(VLOOKUP($C301,'Miljövärden urval för publ'!$B$2:$H$417,MATCH('Miljövärden för publ företag'!E$4,'Miljövärden urval för publ'!$B$2:$H$2,0),FALSE),"")</f>
        <v>11.1981</v>
      </c>
      <c r="F301">
        <f>IFERROR(VLOOKUP($C301,'Miljövärden urval för publ'!$B$2:$H$417,MATCH('Miljövärden för publ företag'!F$4,'Miljövärden urval för publ'!$B$2:$H$2,0),FALSE),"")</f>
        <v>4.2912100000000004</v>
      </c>
      <c r="G301">
        <f>IFERROR(VLOOKUP($C301,'Miljövärden urval för publ'!$B$2:$H$417,MATCH('Miljövärden för publ företag'!G$4,'Miljövärden urval för publ'!$B$2:$H$2,0),FALSE),"")</f>
        <v>4.1597099999999998E-2</v>
      </c>
      <c r="J301">
        <f t="shared" si="18"/>
        <v>122</v>
      </c>
      <c r="M301">
        <v>297</v>
      </c>
      <c r="N301" t="str">
        <f t="shared" si="19"/>
        <v/>
      </c>
      <c r="P301" s="155">
        <f t="shared" si="20"/>
        <v>0</v>
      </c>
      <c r="Q301" s="150" t="str">
        <f t="shared" si="17"/>
        <v/>
      </c>
    </row>
    <row r="302" spans="1:17" x14ac:dyDescent="0.45">
      <c r="A302">
        <v>299</v>
      </c>
      <c r="B302" s="2" t="str">
        <f>IFERROR(INDEX('Miljövärden urval för publ'!$A$2:$AA$420,MATCH('Miljövärden för publ företag'!$A302,'Miljövärden urval för publ'!$R$2:$R$417,0),1),"")</f>
        <v>Vattenfall AB</v>
      </c>
      <c r="C302" s="2" t="str">
        <f>IFERROR(INDEX('Miljövärden urval för publ'!$A$2:$AA$420,MATCH('Miljövärden för publ företag'!$A302,'Miljövärden urval för publ'!$R$2:$R$417,0),2),"")</f>
        <v>Saltsjöbaden</v>
      </c>
      <c r="D302">
        <f>IFERROR(VLOOKUP($C302,'Miljövärden urval för publ'!$B$2:$H$417,MATCH('Miljövärden för publ företag'!D$4,'Miljövärden urval för publ'!$B$2:$H$2,0),FALSE),"")</f>
        <v>8.8584200000000002E-2</v>
      </c>
      <c r="E302">
        <f>IFERROR(VLOOKUP($C302,'Miljövärden urval för publ'!$B$2:$H$417,MATCH('Miljövärden för publ företag'!E$4,'Miljövärden urval för publ'!$B$2:$H$2,0),FALSE),"")</f>
        <v>2.2569900000000001</v>
      </c>
      <c r="F302">
        <f>IFERROR(VLOOKUP($C302,'Miljövärden urval för publ'!$B$2:$H$417,MATCH('Miljövärden för publ företag'!F$4,'Miljövärden urval för publ'!$B$2:$H$2,0),FALSE),"")</f>
        <v>4.52895</v>
      </c>
      <c r="G302">
        <f>IFERROR(VLOOKUP($C302,'Miljövärden urval för publ'!$B$2:$H$417,MATCH('Miljövärden för publ företag'!G$4,'Miljövärden urval för publ'!$B$2:$H$2,0),FALSE),"")</f>
        <v>3.7757899999999998E-3</v>
      </c>
      <c r="J302">
        <f t="shared" si="18"/>
        <v>122</v>
      </c>
      <c r="M302">
        <v>298</v>
      </c>
      <c r="N302" t="str">
        <f t="shared" si="19"/>
        <v/>
      </c>
      <c r="P302" s="155">
        <f t="shared" si="20"/>
        <v>0</v>
      </c>
      <c r="Q302" s="150" t="str">
        <f t="shared" si="17"/>
        <v/>
      </c>
    </row>
    <row r="303" spans="1:17" x14ac:dyDescent="0.45">
      <c r="A303">
        <v>300</v>
      </c>
      <c r="B303" s="2" t="str">
        <f>IFERROR(INDEX('Miljövärden urval för publ'!$A$2:$AA$420,MATCH('Miljövärden för publ företag'!$A303,'Miljövärden urval för publ'!$R$2:$R$417,0),1),"")</f>
        <v>Vattenfall AB</v>
      </c>
      <c r="C303" s="2" t="str">
        <f>IFERROR(INDEX('Miljövärden urval för publ'!$A$2:$AA$420,MATCH('Miljövärden för publ företag'!$A303,'Miljövärden urval för publ'!$R$2:$R$417,0),2),"")</f>
        <v>Storvreta</v>
      </c>
      <c r="D303">
        <f>IFERROR(VLOOKUP($C303,'Miljövärden urval för publ'!$B$2:$H$417,MATCH('Miljövärden för publ företag'!D$4,'Miljövärden urval för publ'!$B$2:$H$2,0),FALSE),"")</f>
        <v>0.32588499999999998</v>
      </c>
      <c r="E303">
        <f>IFERROR(VLOOKUP($C303,'Miljövärden urval för publ'!$B$2:$H$417,MATCH('Miljövärden för publ företag'!E$4,'Miljövärden urval för publ'!$B$2:$H$2,0),FALSE),"")</f>
        <v>36.061599999999999</v>
      </c>
      <c r="F303">
        <f>IFERROR(VLOOKUP($C303,'Miljövärden urval för publ'!$B$2:$H$417,MATCH('Miljövärden för publ företag'!F$4,'Miljövärden urval för publ'!$B$2:$H$2,0),FALSE),"")</f>
        <v>24.9238</v>
      </c>
      <c r="G303">
        <f>IFERROR(VLOOKUP($C303,'Miljövärden urval för publ'!$B$2:$H$417,MATCH('Miljövärden för publ företag'!G$4,'Miljövärden urval för publ'!$B$2:$H$2,0),FALSE),"")</f>
        <v>6.3881099999999996E-2</v>
      </c>
      <c r="J303">
        <f t="shared" si="18"/>
        <v>122</v>
      </c>
      <c r="M303">
        <v>299</v>
      </c>
      <c r="N303" t="str">
        <f t="shared" si="19"/>
        <v/>
      </c>
      <c r="P303" s="155">
        <f t="shared" si="20"/>
        <v>0</v>
      </c>
      <c r="Q303" s="150" t="str">
        <f t="shared" si="17"/>
        <v/>
      </c>
    </row>
    <row r="304" spans="1:17" x14ac:dyDescent="0.45">
      <c r="A304" s="160">
        <v>301</v>
      </c>
      <c r="B304" s="2" t="str">
        <f>IFERROR(INDEX('Miljövärden urval för publ'!$A$2:$AA$420,MATCH('Miljövärden för publ företag'!$A304,'Miljövärden urval för publ'!$R$2:$R$417,0),1),"")</f>
        <v>Vattenfall AB</v>
      </c>
      <c r="C304" s="2" t="str">
        <f>IFERROR(INDEX('Miljövärden urval för publ'!$A$2:$AA$420,MATCH('Miljövärden för publ företag'!$A304,'Miljövärden urval för publ'!$R$2:$R$417,0),2),"")</f>
        <v>Uppsala</v>
      </c>
      <c r="D304">
        <f>IFERROR(VLOOKUP($C304,'Miljövärden urval för publ'!$B$2:$H$417,MATCH('Miljövärden för publ företag'!D$4,'Miljövärden urval för publ'!$B$2:$H$2,0),FALSE),"")</f>
        <v>0.51056900000000005</v>
      </c>
      <c r="E304">
        <f>IFERROR(VLOOKUP($C304,'Miljövärden urval för publ'!$B$2:$H$417,MATCH('Miljövärden för publ företag'!E$4,'Miljövärden urval för publ'!$B$2:$H$2,0),FALSE),"")</f>
        <v>180.755</v>
      </c>
      <c r="F304">
        <f>IFERROR(VLOOKUP($C304,'Miljövärden urval för publ'!$B$2:$H$417,MATCH('Miljövärden för publ företag'!F$4,'Miljövärden urval för publ'!$B$2:$H$2,0),FALSE),"")</f>
        <v>9.9591799999999999</v>
      </c>
      <c r="G304">
        <f>IFERROR(VLOOKUP($C304,'Miljövärden urval för publ'!$B$2:$H$417,MATCH('Miljövärden för publ företag'!G$4,'Miljövärden urval för publ'!$B$2:$H$2,0),FALSE),"")</f>
        <v>5.7671699999999999E-2</v>
      </c>
      <c r="J304">
        <f t="shared" si="18"/>
        <v>122</v>
      </c>
      <c r="M304">
        <v>300</v>
      </c>
      <c r="N304" t="str">
        <f t="shared" si="19"/>
        <v/>
      </c>
      <c r="P304" s="155">
        <f t="shared" si="20"/>
        <v>0</v>
      </c>
      <c r="Q304" s="150" t="str">
        <f t="shared" si="17"/>
        <v/>
      </c>
    </row>
    <row r="305" spans="1:17" x14ac:dyDescent="0.45">
      <c r="A305">
        <v>302</v>
      </c>
      <c r="B305" s="2" t="str">
        <f>IFERROR(INDEX('Miljövärden urval för publ'!$A$2:$AA$420,MATCH('Miljövärden för publ företag'!$A305,'Miljövärden urval för publ'!$R$2:$R$417,0),1),"")</f>
        <v>Vattenfall AB</v>
      </c>
      <c r="C305" s="2" t="str">
        <f>IFERROR(INDEX('Miljövärden urval för publ'!$A$2:$AA$420,MATCH('Miljövärden för publ företag'!$A305,'Miljövärden urval för publ'!$R$2:$R$417,0),2),"")</f>
        <v>Vänersborg</v>
      </c>
      <c r="D305">
        <f>IFERROR(VLOOKUP($C305,'Miljövärden urval för publ'!$B$2:$H$417,MATCH('Miljövärden för publ företag'!D$4,'Miljövärden urval för publ'!$B$2:$H$2,0),FALSE),"")</f>
        <v>2.45189E-2</v>
      </c>
      <c r="E305">
        <f>IFERROR(VLOOKUP($C305,'Miljövärden urval för publ'!$B$2:$H$417,MATCH('Miljövärden för publ företag'!E$4,'Miljövärden urval för publ'!$B$2:$H$2,0),FALSE),"")</f>
        <v>0.22140799999999999</v>
      </c>
      <c r="F305">
        <f>IFERROR(VLOOKUP($C305,'Miljövärden urval för publ'!$B$2:$H$417,MATCH('Miljövärden för publ företag'!F$4,'Miljövärden urval för publ'!$B$2:$H$2,0),FALSE),"")</f>
        <v>0.43032700000000002</v>
      </c>
      <c r="G305">
        <f>IFERROR(VLOOKUP($C305,'Miljövärden urval för publ'!$B$2:$H$417,MATCH('Miljövärden för publ företag'!G$4,'Miljövärden urval för publ'!$B$2:$H$2,0),FALSE),"")</f>
        <v>2.6892600000000001E-4</v>
      </c>
      <c r="J305">
        <f t="shared" si="18"/>
        <v>122</v>
      </c>
      <c r="M305">
        <v>301</v>
      </c>
      <c r="N305" t="str">
        <f t="shared" si="19"/>
        <v/>
      </c>
      <c r="P305" s="155">
        <f t="shared" si="20"/>
        <v>0</v>
      </c>
      <c r="Q305" s="150" t="str">
        <f t="shared" si="17"/>
        <v/>
      </c>
    </row>
    <row r="306" spans="1:17" x14ac:dyDescent="0.45">
      <c r="A306">
        <v>303</v>
      </c>
      <c r="B306" s="2" t="str">
        <f>IFERROR(INDEX('Miljövärden urval för publ'!$A$2:$AA$420,MATCH('Miljövärden för publ företag'!$A306,'Miljövärden urval för publ'!$R$2:$R$417,0),1),"")</f>
        <v>Vimmerby Energi &amp; Miljö AB</v>
      </c>
      <c r="C306" s="2" t="str">
        <f>IFERROR(INDEX('Miljövärden urval för publ'!$A$2:$AA$420,MATCH('Miljövärden för publ företag'!$A306,'Miljövärden urval för publ'!$R$2:$R$417,0),2),"")</f>
        <v>Frödinge</v>
      </c>
      <c r="D306">
        <f>IFERROR(VLOOKUP($C306,'Miljövärden urval för publ'!$B$2:$H$417,MATCH('Miljövärden för publ företag'!D$4,'Miljövärden urval för publ'!$B$2:$H$2,0),FALSE),"")</f>
        <v>0.110209</v>
      </c>
      <c r="E306">
        <f>IFERROR(VLOOKUP($C306,'Miljövärden urval för publ'!$B$2:$H$417,MATCH('Miljövärden för publ företag'!E$4,'Miljövärden urval för publ'!$B$2:$H$2,0),FALSE),"")</f>
        <v>13.4185</v>
      </c>
      <c r="F306">
        <f>IFERROR(VLOOKUP($C306,'Miljövärden urval för publ'!$B$2:$H$417,MATCH('Miljövärden för publ företag'!F$4,'Miljövärden urval för publ'!$B$2:$H$2,0),FALSE),"")</f>
        <v>10.3154</v>
      </c>
      <c r="G306">
        <f>IFERROR(VLOOKUP($C306,'Miljövärden urval för publ'!$B$2:$H$417,MATCH('Miljövärden för publ företag'!G$4,'Miljövärden urval för publ'!$B$2:$H$2,0),FALSE),"")</f>
        <v>6.9831399999999997E-3</v>
      </c>
      <c r="J306">
        <f t="shared" si="18"/>
        <v>123</v>
      </c>
      <c r="M306">
        <v>302</v>
      </c>
      <c r="N306" t="str">
        <f t="shared" si="19"/>
        <v/>
      </c>
      <c r="P306" s="155">
        <f t="shared" si="20"/>
        <v>0</v>
      </c>
      <c r="Q306" s="150" t="str">
        <f t="shared" si="17"/>
        <v/>
      </c>
    </row>
    <row r="307" spans="1:17" x14ac:dyDescent="0.45">
      <c r="A307" s="160">
        <v>304</v>
      </c>
      <c r="B307" s="2" t="str">
        <f>IFERROR(INDEX('Miljövärden urval för publ'!$A$2:$AA$420,MATCH('Miljövärden för publ företag'!$A307,'Miljövärden urval för publ'!$R$2:$R$417,0),1),"")</f>
        <v>Vimmerby Energi &amp; Miljö AB</v>
      </c>
      <c r="C307" s="2" t="str">
        <f>IFERROR(INDEX('Miljövärden urval för publ'!$A$2:$AA$420,MATCH('Miljövärden för publ företag'!$A307,'Miljövärden urval för publ'!$R$2:$R$417,0),2),"")</f>
        <v>Gullringen</v>
      </c>
      <c r="D307">
        <f>IFERROR(VLOOKUP($C307,'Miljövärden urval för publ'!$B$2:$H$417,MATCH('Miljövärden för publ företag'!D$4,'Miljövärden urval för publ'!$B$2:$H$2,0),FALSE),"")</f>
        <v>7.2576799999999997E-2</v>
      </c>
      <c r="E307">
        <f>IFERROR(VLOOKUP($C307,'Miljövärden urval för publ'!$B$2:$H$417,MATCH('Miljövärden för publ företag'!E$4,'Miljövärden urval för publ'!$B$2:$H$2,0),FALSE),"")</f>
        <v>5.5949600000000004</v>
      </c>
      <c r="F307">
        <f>IFERROR(VLOOKUP($C307,'Miljövärden urval för publ'!$B$2:$H$417,MATCH('Miljövärden för publ företag'!F$4,'Miljövärden urval för publ'!$B$2:$H$2,0),FALSE),"")</f>
        <v>9.8502799999999997</v>
      </c>
      <c r="G307">
        <f>IFERROR(VLOOKUP($C307,'Miljövärden urval för publ'!$B$2:$H$417,MATCH('Miljövärden för publ företag'!G$4,'Miljövärden urval för publ'!$B$2:$H$2,0),FALSE),"")</f>
        <v>0</v>
      </c>
      <c r="J307">
        <f t="shared" si="18"/>
        <v>123</v>
      </c>
      <c r="M307">
        <v>303</v>
      </c>
      <c r="N307" t="str">
        <f t="shared" si="19"/>
        <v/>
      </c>
      <c r="P307" s="155">
        <f t="shared" si="20"/>
        <v>0</v>
      </c>
      <c r="Q307" s="150" t="str">
        <f t="shared" si="17"/>
        <v/>
      </c>
    </row>
    <row r="308" spans="1:17" x14ac:dyDescent="0.45">
      <c r="A308">
        <v>305</v>
      </c>
      <c r="B308" s="2" t="str">
        <f>IFERROR(INDEX('Miljövärden urval för publ'!$A$2:$AA$420,MATCH('Miljövärden för publ företag'!$A308,'Miljövärden urval för publ'!$R$2:$R$417,0),1),"")</f>
        <v>Vimmerby Energi &amp; Miljö AB</v>
      </c>
      <c r="C308" s="2" t="str">
        <f>IFERROR(INDEX('Miljövärden urval för publ'!$A$2:$AA$420,MATCH('Miljövärden för publ företag'!$A308,'Miljövärden urval för publ'!$R$2:$R$417,0),2),"")</f>
        <v>Storebro</v>
      </c>
      <c r="D308">
        <f>IFERROR(VLOOKUP($C308,'Miljövärden urval för publ'!$B$2:$H$417,MATCH('Miljövärden för publ företag'!D$4,'Miljövärden urval för publ'!$B$2:$H$2,0),FALSE),"")</f>
        <v>7.2017499999999998E-2</v>
      </c>
      <c r="E308">
        <f>IFERROR(VLOOKUP($C308,'Miljövärden urval för publ'!$B$2:$H$417,MATCH('Miljövärden för publ företag'!E$4,'Miljövärden urval för publ'!$B$2:$H$2,0),FALSE),"")</f>
        <v>6.0974899999999996</v>
      </c>
      <c r="F308">
        <f>IFERROR(VLOOKUP($C308,'Miljövärden urval för publ'!$B$2:$H$417,MATCH('Miljövärden för publ företag'!F$4,'Miljövärden urval för publ'!$B$2:$H$2,0),FALSE),"")</f>
        <v>10.714600000000001</v>
      </c>
      <c r="G308">
        <f>IFERROR(VLOOKUP($C308,'Miljövärden urval för publ'!$B$2:$H$417,MATCH('Miljövärden för publ företag'!G$4,'Miljövärden urval för publ'!$B$2:$H$2,0),FALSE),"")</f>
        <v>0</v>
      </c>
      <c r="J308">
        <f t="shared" si="18"/>
        <v>123</v>
      </c>
      <c r="M308">
        <v>304</v>
      </c>
      <c r="N308" t="str">
        <f t="shared" si="19"/>
        <v/>
      </c>
      <c r="P308" s="155">
        <f t="shared" si="20"/>
        <v>0</v>
      </c>
      <c r="Q308" s="150" t="str">
        <f t="shared" si="17"/>
        <v/>
      </c>
    </row>
    <row r="309" spans="1:17" x14ac:dyDescent="0.45">
      <c r="A309">
        <v>306</v>
      </c>
      <c r="B309" s="2" t="str">
        <f>IFERROR(INDEX('Miljövärden urval för publ'!$A$2:$AA$420,MATCH('Miljövärden för publ företag'!$A309,'Miljövärden urval för publ'!$R$2:$R$417,0),1),"")</f>
        <v>Vimmerby Energi &amp; Miljö AB</v>
      </c>
      <c r="C309" s="2" t="str">
        <f>IFERROR(INDEX('Miljövärden urval för publ'!$A$2:$AA$420,MATCH('Miljövärden för publ företag'!$A309,'Miljövärden urval för publ'!$R$2:$R$417,0),2),"")</f>
        <v>Södra Vi</v>
      </c>
      <c r="D309">
        <f>IFERROR(VLOOKUP($C309,'Miljövärden urval för publ'!$B$2:$H$417,MATCH('Miljövärden för publ företag'!D$4,'Miljövärden urval för publ'!$B$2:$H$2,0),FALSE),"")</f>
        <v>6.3911399999999993E-2</v>
      </c>
      <c r="E309">
        <f>IFERROR(VLOOKUP($C309,'Miljövärden urval för publ'!$B$2:$H$417,MATCH('Miljövärden för publ företag'!E$4,'Miljövärden urval för publ'!$B$2:$H$2,0),FALSE),"")</f>
        <v>5.3368000000000002</v>
      </c>
      <c r="F309">
        <f>IFERROR(VLOOKUP($C309,'Miljövärden urval för publ'!$B$2:$H$417,MATCH('Miljövärden för publ företag'!F$4,'Miljövärden urval för publ'!$B$2:$H$2,0),FALSE),"")</f>
        <v>9.4125899999999998</v>
      </c>
      <c r="G309">
        <f>IFERROR(VLOOKUP($C309,'Miljövärden urval för publ'!$B$2:$H$417,MATCH('Miljövärden för publ företag'!G$4,'Miljövärden urval för publ'!$B$2:$H$2,0),FALSE),"")</f>
        <v>0</v>
      </c>
      <c r="J309">
        <f t="shared" si="18"/>
        <v>123</v>
      </c>
      <c r="M309">
        <v>305</v>
      </c>
      <c r="N309" t="str">
        <f t="shared" si="19"/>
        <v/>
      </c>
      <c r="P309" s="155">
        <f t="shared" si="20"/>
        <v>0</v>
      </c>
      <c r="Q309" s="150" t="str">
        <f t="shared" si="17"/>
        <v/>
      </c>
    </row>
    <row r="310" spans="1:17" x14ac:dyDescent="0.45">
      <c r="A310" s="160">
        <v>307</v>
      </c>
      <c r="B310" s="2" t="str">
        <f>IFERROR(INDEX('Miljövärden urval för publ'!$A$2:$AA$420,MATCH('Miljövärden för publ företag'!$A310,'Miljövärden urval för publ'!$R$2:$R$417,0),1),"")</f>
        <v>Vimmerby Energi &amp; Miljö AB</v>
      </c>
      <c r="C310" s="2" t="str">
        <f>IFERROR(INDEX('Miljövärden urval för publ'!$A$2:$AA$420,MATCH('Miljövärden för publ företag'!$A310,'Miljövärden urval för publ'!$R$2:$R$417,0),2),"")</f>
        <v>Vimmerby</v>
      </c>
      <c r="D310">
        <f>IFERROR(VLOOKUP($C310,'Miljövärden urval för publ'!$B$2:$H$417,MATCH('Miljövärden för publ företag'!D$4,'Miljövärden urval för publ'!$B$2:$H$2,0),FALSE),"")</f>
        <v>4.7401100000000002E-2</v>
      </c>
      <c r="E310">
        <f>IFERROR(VLOOKUP($C310,'Miljövärden urval för publ'!$B$2:$H$417,MATCH('Miljövärden för publ företag'!E$4,'Miljövärden urval för publ'!$B$2:$H$2,0),FALSE),"")</f>
        <v>4.9714299999999998</v>
      </c>
      <c r="F310">
        <f>IFERROR(VLOOKUP($C310,'Miljövärden urval för publ'!$B$2:$H$417,MATCH('Miljövärden för publ företag'!F$4,'Miljövärden urval för publ'!$B$2:$H$2,0),FALSE),"")</f>
        <v>6.7755200000000002</v>
      </c>
      <c r="G310">
        <f>IFERROR(VLOOKUP($C310,'Miljövärden urval för publ'!$B$2:$H$417,MATCH('Miljövärden för publ företag'!G$4,'Miljövärden urval för publ'!$B$2:$H$2,0),FALSE),"")</f>
        <v>4.3858200000000003E-3</v>
      </c>
      <c r="J310">
        <f t="shared" si="18"/>
        <v>123</v>
      </c>
      <c r="M310">
        <v>306</v>
      </c>
      <c r="N310" t="str">
        <f t="shared" si="19"/>
        <v/>
      </c>
      <c r="P310" s="155">
        <f t="shared" si="20"/>
        <v>0</v>
      </c>
      <c r="Q310" s="150" t="str">
        <f t="shared" si="17"/>
        <v/>
      </c>
    </row>
    <row r="311" spans="1:17" x14ac:dyDescent="0.45">
      <c r="A311">
        <v>308</v>
      </c>
      <c r="B311" s="2" t="str">
        <f>IFERROR(INDEX('Miljövärden urval för publ'!$A$2:$AA$420,MATCH('Miljövärden för publ företag'!$A311,'Miljövärden urval för publ'!$R$2:$R$417,0),1),"")</f>
        <v>VänerEnergi AB</v>
      </c>
      <c r="C311" s="2" t="str">
        <f>IFERROR(INDEX('Miljövärden urval för publ'!$A$2:$AA$420,MATCH('Miljövärden för publ företag'!$A311,'Miljövärden urval för publ'!$R$2:$R$417,0),2),"")</f>
        <v>Lyrestad</v>
      </c>
      <c r="D311">
        <f>IFERROR(VLOOKUP($C311,'Miljövärden urval för publ'!$B$2:$H$417,MATCH('Miljövärden för publ företag'!D$4,'Miljövärden urval för publ'!$B$2:$H$2,0),FALSE),"")</f>
        <v>0.20555599999999999</v>
      </c>
      <c r="E311">
        <f>IFERROR(VLOOKUP($C311,'Miljövärden urval för publ'!$B$2:$H$417,MATCH('Miljövärden för publ företag'!E$4,'Miljövärden urval för publ'!$B$2:$H$2,0),FALSE),"")</f>
        <v>14.678000000000001</v>
      </c>
      <c r="F311">
        <f>IFERROR(VLOOKUP($C311,'Miljövärden urval för publ'!$B$2:$H$417,MATCH('Miljövärden för publ företag'!F$4,'Miljövärden urval för publ'!$B$2:$H$2,0),FALSE),"")</f>
        <v>18.922899999999998</v>
      </c>
      <c r="G311">
        <f>IFERROR(VLOOKUP($C311,'Miljövärden urval för publ'!$B$2:$H$417,MATCH('Miljövärden för publ företag'!G$4,'Miljövärden urval för publ'!$B$2:$H$2,0),FALSE),"")</f>
        <v>2.6185E-2</v>
      </c>
      <c r="J311">
        <f t="shared" si="18"/>
        <v>124</v>
      </c>
      <c r="M311">
        <v>307</v>
      </c>
      <c r="N311" t="str">
        <f t="shared" si="19"/>
        <v/>
      </c>
      <c r="P311" s="155">
        <f t="shared" si="20"/>
        <v>0</v>
      </c>
      <c r="Q311" s="150" t="str">
        <f t="shared" si="17"/>
        <v/>
      </c>
    </row>
    <row r="312" spans="1:17" x14ac:dyDescent="0.45">
      <c r="A312">
        <v>309</v>
      </c>
      <c r="B312" s="2" t="str">
        <f>IFERROR(INDEX('Miljövärden urval för publ'!$A$2:$AA$420,MATCH('Miljövärden för publ företag'!$A312,'Miljövärden urval för publ'!$R$2:$R$417,0),1),"")</f>
        <v>VänerEnergi AB</v>
      </c>
      <c r="C312" s="2" t="str">
        <f>IFERROR(INDEX('Miljövärden urval för publ'!$A$2:$AA$420,MATCH('Miljövärden för publ företag'!$A312,'Miljövärden urval för publ'!$R$2:$R$417,0),2),"")</f>
        <v>Mariestad</v>
      </c>
      <c r="D312">
        <f>IFERROR(VLOOKUP($C312,'Miljövärden urval för publ'!$B$2:$H$417,MATCH('Miljövärden för publ företag'!D$4,'Miljövärden urval för publ'!$B$2:$H$2,0),FALSE),"")</f>
        <v>4.3762599999999999E-2</v>
      </c>
      <c r="E312">
        <f>IFERROR(VLOOKUP($C312,'Miljövärden urval för publ'!$B$2:$H$417,MATCH('Miljövärden för publ företag'!E$4,'Miljövärden urval för publ'!$B$2:$H$2,0),FALSE),"")</f>
        <v>3.9579900000000001</v>
      </c>
      <c r="F312">
        <f>IFERROR(VLOOKUP($C312,'Miljövärden urval för publ'!$B$2:$H$417,MATCH('Miljövärden för publ företag'!F$4,'Miljövärden urval för publ'!$B$2:$H$2,0),FALSE),"")</f>
        <v>2.4472100000000001</v>
      </c>
      <c r="G312">
        <f>IFERROR(VLOOKUP($C312,'Miljövärden urval för publ'!$B$2:$H$417,MATCH('Miljövärden för publ företag'!G$4,'Miljövärden urval för publ'!$B$2:$H$2,0),FALSE),"")</f>
        <v>2.6704300000000001E-3</v>
      </c>
      <c r="J312">
        <f t="shared" si="18"/>
        <v>124</v>
      </c>
      <c r="M312">
        <v>308</v>
      </c>
      <c r="N312" t="str">
        <f t="shared" si="19"/>
        <v/>
      </c>
      <c r="P312" s="155">
        <f t="shared" si="20"/>
        <v>0</v>
      </c>
      <c r="Q312" s="150" t="str">
        <f t="shared" si="17"/>
        <v/>
      </c>
    </row>
    <row r="313" spans="1:17" x14ac:dyDescent="0.45">
      <c r="A313" s="160">
        <v>310</v>
      </c>
      <c r="B313" s="2" t="str">
        <f>IFERROR(INDEX('Miljövärden urval för publ'!$A$2:$AA$420,MATCH('Miljövärden för publ företag'!$A313,'Miljövärden urval för publ'!$R$2:$R$417,0),1),"")</f>
        <v>VänerEnergi AB</v>
      </c>
      <c r="C313" s="2" t="str">
        <f>IFERROR(INDEX('Miljövärden urval för publ'!$A$2:$AA$420,MATCH('Miljövärden för publ företag'!$A313,'Miljövärden urval för publ'!$R$2:$R$417,0),2),"")</f>
        <v>Töreboda</v>
      </c>
      <c r="D313">
        <f>IFERROR(VLOOKUP($C313,'Miljövärden urval för publ'!$B$2:$H$417,MATCH('Miljövärden för publ företag'!D$4,'Miljövärden urval för publ'!$B$2:$H$2,0),FALSE),"")</f>
        <v>6.3806299999999996E-2</v>
      </c>
      <c r="E313">
        <f>IFERROR(VLOOKUP($C313,'Miljövärden urval för publ'!$B$2:$H$417,MATCH('Miljövärden för publ företag'!E$4,'Miljövärden urval för publ'!$B$2:$H$2,0),FALSE),"")</f>
        <v>4.6249099999999999</v>
      </c>
      <c r="F313">
        <f>IFERROR(VLOOKUP($C313,'Miljövärden urval för publ'!$B$2:$H$417,MATCH('Miljövärden för publ företag'!F$4,'Miljövärden urval för publ'!$B$2:$H$2,0),FALSE),"")</f>
        <v>8.0935900000000007</v>
      </c>
      <c r="G313">
        <f>IFERROR(VLOOKUP($C313,'Miljövärden urval för publ'!$B$2:$H$417,MATCH('Miljövärden för publ företag'!G$4,'Miljövärden urval för publ'!$B$2:$H$2,0),FALSE),"")</f>
        <v>0</v>
      </c>
      <c r="J313">
        <f t="shared" si="18"/>
        <v>124</v>
      </c>
      <c r="M313">
        <v>309</v>
      </c>
      <c r="N313" t="str">
        <f t="shared" si="19"/>
        <v/>
      </c>
      <c r="P313" s="155">
        <f t="shared" si="20"/>
        <v>0</v>
      </c>
      <c r="Q313" s="150" t="str">
        <f t="shared" si="17"/>
        <v/>
      </c>
    </row>
    <row r="314" spans="1:17" x14ac:dyDescent="0.45">
      <c r="A314">
        <v>311</v>
      </c>
      <c r="B314" s="2" t="str">
        <f>IFERROR(INDEX('Miljövärden urval för publ'!$A$2:$AA$420,MATCH('Miljövärden för publ företag'!$A314,'Miljövärden urval för publ'!$R$2:$R$417,0),1),"")</f>
        <v>Värmevärden AB</v>
      </c>
      <c r="C314" s="2" t="str">
        <f>IFERROR(INDEX('Miljövärden urval för publ'!$A$2:$AA$420,MATCH('Miljövärden för publ företag'!$A314,'Miljövärden urval för publ'!$R$2:$R$417,0),2),"")</f>
        <v>Avesta</v>
      </c>
      <c r="D314">
        <f>IFERROR(VLOOKUP($C314,'Miljövärden urval för publ'!$B$2:$H$417,MATCH('Miljövärden för publ företag'!D$4,'Miljövärden urval för publ'!$B$2:$H$2,0),FALSE),"")</f>
        <v>0.166689</v>
      </c>
      <c r="E314">
        <f>IFERROR(VLOOKUP($C314,'Miljövärden urval för publ'!$B$2:$H$417,MATCH('Miljövärden för publ företag'!E$4,'Miljövärden urval för publ'!$B$2:$H$2,0),FALSE),"")</f>
        <v>147.166</v>
      </c>
      <c r="F314">
        <f>IFERROR(VLOOKUP($C314,'Miljövärden urval för publ'!$B$2:$H$417,MATCH('Miljövärden för publ företag'!F$4,'Miljövärden urval för publ'!$B$2:$H$2,0),FALSE),"")</f>
        <v>4.8564299999999996</v>
      </c>
      <c r="G314">
        <f>IFERROR(VLOOKUP($C314,'Miljövärden urval för publ'!$B$2:$H$417,MATCH('Miljövärden för publ företag'!G$4,'Miljövärden urval för publ'!$B$2:$H$2,0),FALSE),"")</f>
        <v>1.59452E-2</v>
      </c>
      <c r="J314">
        <f t="shared" si="18"/>
        <v>125</v>
      </c>
      <c r="M314">
        <v>310</v>
      </c>
      <c r="N314" t="str">
        <f t="shared" si="19"/>
        <v/>
      </c>
      <c r="P314" s="155">
        <f t="shared" si="20"/>
        <v>0</v>
      </c>
      <c r="Q314" s="150" t="str">
        <f t="shared" si="17"/>
        <v/>
      </c>
    </row>
    <row r="315" spans="1:17" x14ac:dyDescent="0.45">
      <c r="A315">
        <v>312</v>
      </c>
      <c r="B315" s="2" t="str">
        <f>IFERROR(INDEX('Miljövärden urval för publ'!$A$2:$AA$420,MATCH('Miljövärden för publ företag'!$A315,'Miljövärden urval för publ'!$R$2:$R$417,0),1),"")</f>
        <v>Värmevärden AB</v>
      </c>
      <c r="C315" s="2" t="str">
        <f>IFERROR(INDEX('Miljövärden urval för publ'!$A$2:$AA$420,MATCH('Miljövärden för publ företag'!$A315,'Miljövärden urval för publ'!$R$2:$R$417,0),2),"")</f>
        <v>Delsbo</v>
      </c>
      <c r="D315">
        <f>IFERROR(VLOOKUP($C315,'Miljövärden urval för publ'!$B$2:$H$417,MATCH('Miljövärden för publ företag'!D$4,'Miljövärden urval för publ'!$B$2:$H$2,0),FALSE),"")</f>
        <v>0.13524900000000001</v>
      </c>
      <c r="E315">
        <f>IFERROR(VLOOKUP($C315,'Miljövärden urval för publ'!$B$2:$H$417,MATCH('Miljövärden för publ företag'!E$4,'Miljövärden urval för publ'!$B$2:$H$2,0),FALSE),"")</f>
        <v>14.7636</v>
      </c>
      <c r="F315">
        <f>IFERROR(VLOOKUP($C315,'Miljövärden urval för publ'!$B$2:$H$417,MATCH('Miljövärden för publ företag'!F$4,'Miljövärden urval för publ'!$B$2:$H$2,0),FALSE),"")</f>
        <v>8.2156199999999995</v>
      </c>
      <c r="G315">
        <f>IFERROR(VLOOKUP($C315,'Miljövärden urval för publ'!$B$2:$H$417,MATCH('Miljövärden för publ företag'!G$4,'Miljövärden urval för publ'!$B$2:$H$2,0),FALSE),"")</f>
        <v>2.9763100000000001E-2</v>
      </c>
      <c r="J315">
        <f t="shared" si="18"/>
        <v>125</v>
      </c>
      <c r="M315">
        <v>311</v>
      </c>
      <c r="N315" t="str">
        <f t="shared" si="19"/>
        <v/>
      </c>
      <c r="P315" s="155">
        <f t="shared" si="20"/>
        <v>0</v>
      </c>
      <c r="Q315" s="150" t="str">
        <f t="shared" si="17"/>
        <v/>
      </c>
    </row>
    <row r="316" spans="1:17" x14ac:dyDescent="0.45">
      <c r="A316" s="160">
        <v>313</v>
      </c>
      <c r="B316" s="2" t="str">
        <f>IFERROR(INDEX('Miljövärden urval för publ'!$A$2:$AA$420,MATCH('Miljövärden för publ företag'!$A316,'Miljövärden urval för publ'!$R$2:$R$417,0),1),"")</f>
        <v>Värmevärden AB</v>
      </c>
      <c r="C316" s="2" t="str">
        <f>IFERROR(INDEX('Miljövärden urval för publ'!$A$2:$AA$420,MATCH('Miljövärden för publ företag'!$A316,'Miljövärden urval för publ'!$R$2:$R$417,0),2),"")</f>
        <v>Grums</v>
      </c>
      <c r="D316">
        <f>IFERROR(VLOOKUP($C316,'Miljövärden urval för publ'!$B$2:$H$417,MATCH('Miljövärden för publ företag'!D$4,'Miljövärden urval för publ'!$B$2:$H$2,0),FALSE),"")</f>
        <v>0.12706500000000001</v>
      </c>
      <c r="E316">
        <f>IFERROR(VLOOKUP($C316,'Miljövärden urval för publ'!$B$2:$H$417,MATCH('Miljövärden för publ företag'!E$4,'Miljövärden urval för publ'!$B$2:$H$2,0),FALSE),"")</f>
        <v>29.724799999999998</v>
      </c>
      <c r="F316">
        <f>IFERROR(VLOOKUP($C316,'Miljövärden urval för publ'!$B$2:$H$417,MATCH('Miljövärden för publ företag'!F$4,'Miljövärden urval för publ'!$B$2:$H$2,0),FALSE),"")</f>
        <v>2.6202200000000002</v>
      </c>
      <c r="G316">
        <f>IFERROR(VLOOKUP($C316,'Miljövärden urval för publ'!$B$2:$H$417,MATCH('Miljövärden för publ företag'!G$4,'Miljövärden urval för publ'!$B$2:$H$2,0),FALSE),"")</f>
        <v>8.9265300000000006E-2</v>
      </c>
      <c r="J316">
        <f t="shared" si="18"/>
        <v>125</v>
      </c>
      <c r="M316">
        <v>312</v>
      </c>
      <c r="N316" t="str">
        <f t="shared" si="19"/>
        <v/>
      </c>
      <c r="P316" s="155">
        <f t="shared" si="20"/>
        <v>0</v>
      </c>
      <c r="Q316" s="150" t="str">
        <f t="shared" si="17"/>
        <v/>
      </c>
    </row>
    <row r="317" spans="1:17" x14ac:dyDescent="0.45">
      <c r="A317">
        <v>314</v>
      </c>
      <c r="B317" s="2" t="str">
        <f>IFERROR(INDEX('Miljövärden urval för publ'!$A$2:$AA$420,MATCH('Miljövärden för publ företag'!$A317,'Miljövärden urval för publ'!$R$2:$R$417,0),1),"")</f>
        <v>Värmevärden AB</v>
      </c>
      <c r="C317" s="2" t="str">
        <f>IFERROR(INDEX('Miljövärden urval för publ'!$A$2:$AA$420,MATCH('Miljövärden för publ företag'!$A317,'Miljövärden urval för publ'!$R$2:$R$417,0),2),"")</f>
        <v>Grythyttan</v>
      </c>
      <c r="D317">
        <f>IFERROR(VLOOKUP($C317,'Miljövärden urval för publ'!$B$2:$H$417,MATCH('Miljövärden för publ företag'!D$4,'Miljövärden urval för publ'!$B$2:$H$2,0),FALSE),"")</f>
        <v>0.222997</v>
      </c>
      <c r="E317">
        <f>IFERROR(VLOOKUP($C317,'Miljövärden urval för publ'!$B$2:$H$417,MATCH('Miljövärden för publ företag'!E$4,'Miljövärden urval för publ'!$B$2:$H$2,0),FALSE),"")</f>
        <v>15.8063</v>
      </c>
      <c r="F317">
        <f>IFERROR(VLOOKUP($C317,'Miljövärden urval för publ'!$B$2:$H$417,MATCH('Miljövärden för publ företag'!F$4,'Miljövärden urval för publ'!$B$2:$H$2,0),FALSE),"")</f>
        <v>18.900400000000001</v>
      </c>
      <c r="G317">
        <f>IFERROR(VLOOKUP($C317,'Miljövärden urval för publ'!$B$2:$H$417,MATCH('Miljövärden för publ företag'!G$4,'Miljövärden urval för publ'!$B$2:$H$2,0),FALSE),"")</f>
        <v>2.9542100000000002E-2</v>
      </c>
      <c r="J317">
        <f t="shared" si="18"/>
        <v>125</v>
      </c>
      <c r="M317">
        <v>313</v>
      </c>
      <c r="N317" t="str">
        <f t="shared" si="19"/>
        <v/>
      </c>
      <c r="P317" s="155">
        <f t="shared" si="20"/>
        <v>0</v>
      </c>
      <c r="Q317" s="150" t="str">
        <f t="shared" si="17"/>
        <v/>
      </c>
    </row>
    <row r="318" spans="1:17" x14ac:dyDescent="0.45">
      <c r="A318">
        <v>315</v>
      </c>
      <c r="B318" s="2" t="str">
        <f>IFERROR(INDEX('Miljövärden urval för publ'!$A$2:$AA$420,MATCH('Miljövärden för publ företag'!$A318,'Miljövärden urval för publ'!$R$2:$R$417,0),1),"")</f>
        <v>Värmevärden AB</v>
      </c>
      <c r="C318" s="2" t="str">
        <f>IFERROR(INDEX('Miljövärden urval för publ'!$A$2:$AA$420,MATCH('Miljövärden för publ företag'!$A318,'Miljövärden urval för publ'!$R$2:$R$417,0),2),"")</f>
        <v>Hofors(Värmevärden)</v>
      </c>
      <c r="D318">
        <f>IFERROR(VLOOKUP($C318,'Miljövärden urval för publ'!$B$2:$H$417,MATCH('Miljövärden för publ företag'!D$4,'Miljövärden urval för publ'!$B$2:$H$2,0),FALSE),"")</f>
        <v>8.4793199999999999E-2</v>
      </c>
      <c r="E318">
        <f>IFERROR(VLOOKUP($C318,'Miljövärden urval för publ'!$B$2:$H$417,MATCH('Miljövärden för publ företag'!E$4,'Miljövärden urval för publ'!$B$2:$H$2,0),FALSE),"")</f>
        <v>6.5837000000000003</v>
      </c>
      <c r="F318">
        <f>IFERROR(VLOOKUP($C318,'Miljövärden urval för publ'!$B$2:$H$417,MATCH('Miljövärden för publ företag'!F$4,'Miljövärden urval för publ'!$B$2:$H$2,0),FALSE),"")</f>
        <v>5.5806699999999996</v>
      </c>
      <c r="G318">
        <f>IFERROR(VLOOKUP($C318,'Miljövärden urval för publ'!$B$2:$H$417,MATCH('Miljövärden för publ företag'!G$4,'Miljövärden urval för publ'!$B$2:$H$2,0),FALSE),"")</f>
        <v>1.05472E-2</v>
      </c>
      <c r="J318">
        <f t="shared" si="18"/>
        <v>125</v>
      </c>
      <c r="M318">
        <v>314</v>
      </c>
      <c r="N318" t="str">
        <f t="shared" si="19"/>
        <v/>
      </c>
      <c r="P318" s="155">
        <f t="shared" si="20"/>
        <v>0</v>
      </c>
      <c r="Q318" s="150" t="str">
        <f t="shared" si="17"/>
        <v/>
      </c>
    </row>
    <row r="319" spans="1:17" x14ac:dyDescent="0.45">
      <c r="A319" s="160">
        <v>316</v>
      </c>
      <c r="B319" s="2" t="str">
        <f>IFERROR(INDEX('Miljövärden urval för publ'!$A$2:$AA$420,MATCH('Miljövärden för publ företag'!$A319,'Miljövärden urval för publ'!$R$2:$R$417,0),1),"")</f>
        <v>Värmevärden AB</v>
      </c>
      <c r="C319" s="2" t="str">
        <f>IFERROR(INDEX('Miljövärden urval för publ'!$A$2:$AA$420,MATCH('Miljövärden för publ företag'!$A319,'Miljövärden urval för publ'!$R$2:$R$417,0),2),"")</f>
        <v>Hudiksvall</v>
      </c>
      <c r="D319">
        <f>IFERROR(VLOOKUP($C319,'Miljövärden urval för publ'!$B$2:$H$417,MATCH('Miljövärden för publ företag'!D$4,'Miljövärden urval för publ'!$B$2:$H$2,0),FALSE),"")</f>
        <v>9.4287399999999993E-2</v>
      </c>
      <c r="E319">
        <f>IFERROR(VLOOKUP($C319,'Miljövärden urval för publ'!$B$2:$H$417,MATCH('Miljövärden för publ företag'!E$4,'Miljövärden urval för publ'!$B$2:$H$2,0),FALSE),"")</f>
        <v>4.3794000000000004</v>
      </c>
      <c r="F319">
        <f>IFERROR(VLOOKUP($C319,'Miljövärden urval för publ'!$B$2:$H$417,MATCH('Miljövärden för publ företag'!F$4,'Miljövärden urval för publ'!$B$2:$H$2,0),FALSE),"")</f>
        <v>5.6042300000000003</v>
      </c>
      <c r="G319">
        <f>IFERROR(VLOOKUP($C319,'Miljövärden urval för publ'!$B$2:$H$417,MATCH('Miljövärden för publ företag'!G$4,'Miljövärden urval för publ'!$B$2:$H$2,0),FALSE),"")</f>
        <v>4.0040900000000001E-3</v>
      </c>
      <c r="J319">
        <f t="shared" si="18"/>
        <v>125</v>
      </c>
      <c r="M319">
        <v>315</v>
      </c>
      <c r="N319" t="str">
        <f t="shared" si="19"/>
        <v/>
      </c>
      <c r="P319" s="155">
        <f t="shared" si="20"/>
        <v>0</v>
      </c>
      <c r="Q319" s="150" t="str">
        <f t="shared" si="17"/>
        <v/>
      </c>
    </row>
    <row r="320" spans="1:17" x14ac:dyDescent="0.45">
      <c r="A320">
        <v>317</v>
      </c>
      <c r="B320" s="2" t="str">
        <f>IFERROR(INDEX('Miljövärden urval för publ'!$A$2:$AA$420,MATCH('Miljövärden för publ företag'!$A320,'Miljövärden urval för publ'!$R$2:$R$417,0),1),"")</f>
        <v>Värmevärden AB</v>
      </c>
      <c r="C320" s="2" t="str">
        <f>IFERROR(INDEX('Miljövärden urval för publ'!$A$2:$AA$420,MATCH('Miljövärden för publ företag'!$A320,'Miljövärden urval för publ'!$R$2:$R$417,0),2),"")</f>
        <v>Hällefors</v>
      </c>
      <c r="D320">
        <f>IFERROR(VLOOKUP($C320,'Miljövärden urval för publ'!$B$2:$H$417,MATCH('Miljövärden för publ företag'!D$4,'Miljövärden urval för publ'!$B$2:$H$2,0),FALSE),"")</f>
        <v>0.135266</v>
      </c>
      <c r="E320">
        <f>IFERROR(VLOOKUP($C320,'Miljövärden urval för publ'!$B$2:$H$417,MATCH('Miljövärden för publ företag'!E$4,'Miljövärden urval för publ'!$B$2:$H$2,0),FALSE),"")</f>
        <v>15.006600000000001</v>
      </c>
      <c r="F320">
        <f>IFERROR(VLOOKUP($C320,'Miljövärden urval för publ'!$B$2:$H$417,MATCH('Miljövärden för publ företag'!F$4,'Miljövärden urval för publ'!$B$2:$H$2,0),FALSE),"")</f>
        <v>7.5379899999999997</v>
      </c>
      <c r="G320">
        <f>IFERROR(VLOOKUP($C320,'Miljövärden urval för publ'!$B$2:$H$417,MATCH('Miljövärden för publ företag'!G$4,'Miljövärden urval för publ'!$B$2:$H$2,0),FALSE),"")</f>
        <v>3.04654E-2</v>
      </c>
      <c r="J320">
        <f t="shared" si="18"/>
        <v>125</v>
      </c>
      <c r="M320">
        <v>316</v>
      </c>
      <c r="N320" t="str">
        <f t="shared" si="19"/>
        <v/>
      </c>
      <c r="P320" s="155">
        <f t="shared" si="20"/>
        <v>0</v>
      </c>
      <c r="Q320" s="150" t="str">
        <f t="shared" si="17"/>
        <v/>
      </c>
    </row>
    <row r="321" spans="1:17" x14ac:dyDescent="0.45">
      <c r="A321">
        <v>318</v>
      </c>
      <c r="B321" s="2" t="str">
        <f>IFERROR(INDEX('Miljövärden urval för publ'!$A$2:$AA$420,MATCH('Miljövärden för publ företag'!$A321,'Miljövärden urval för publ'!$R$2:$R$417,0),1),"")</f>
        <v>Värmevärden AB</v>
      </c>
      <c r="C321" s="2" t="str">
        <f>IFERROR(INDEX('Miljövärden urval för publ'!$A$2:$AA$420,MATCH('Miljövärden för publ företag'!$A321,'Miljövärden urval för publ'!$R$2:$R$417,0),2),"")</f>
        <v>Iggesund</v>
      </c>
      <c r="D321">
        <f>IFERROR(VLOOKUP($C321,'Miljövärden urval för publ'!$B$2:$H$417,MATCH('Miljövärden för publ företag'!D$4,'Miljövärden urval för publ'!$B$2:$H$2,0),FALSE),"")</f>
        <v>0.108749</v>
      </c>
      <c r="E321">
        <f>IFERROR(VLOOKUP($C321,'Miljövärden urval för publ'!$B$2:$H$417,MATCH('Miljövärden för publ företag'!E$4,'Miljövärden urval för publ'!$B$2:$H$2,0),FALSE),"")</f>
        <v>24.4651</v>
      </c>
      <c r="F321">
        <f>IFERROR(VLOOKUP($C321,'Miljövärden urval för publ'!$B$2:$H$417,MATCH('Miljövärden för publ företag'!F$4,'Miljövärden urval för publ'!$B$2:$H$2,0),FALSE),"")</f>
        <v>3.6156299999999999</v>
      </c>
      <c r="G321">
        <f>IFERROR(VLOOKUP($C321,'Miljövärden urval för publ'!$B$2:$H$417,MATCH('Miljövärden för publ företag'!G$4,'Miljövärden urval för publ'!$B$2:$H$2,0),FALSE),"")</f>
        <v>7.5551599999999997E-2</v>
      </c>
      <c r="J321">
        <f t="shared" si="18"/>
        <v>125</v>
      </c>
      <c r="M321">
        <v>317</v>
      </c>
      <c r="N321" t="str">
        <f t="shared" si="19"/>
        <v/>
      </c>
      <c r="P321" s="155">
        <f t="shared" si="20"/>
        <v>0</v>
      </c>
      <c r="Q321" s="150" t="str">
        <f t="shared" si="17"/>
        <v/>
      </c>
    </row>
    <row r="322" spans="1:17" x14ac:dyDescent="0.45">
      <c r="A322" s="160">
        <v>319</v>
      </c>
      <c r="B322" s="2" t="str">
        <f>IFERROR(INDEX('Miljövärden urval för publ'!$A$2:$AA$420,MATCH('Miljövärden för publ företag'!$A322,'Miljövärden urval för publ'!$R$2:$R$417,0),1),"")</f>
        <v>Värmevärden AB</v>
      </c>
      <c r="C322" s="2" t="str">
        <f>IFERROR(INDEX('Miljövärden urval för publ'!$A$2:$AA$420,MATCH('Miljövärden för publ företag'!$A322,'Miljövärden urval för publ'!$R$2:$R$417,0),2),"")</f>
        <v>Kopparberg</v>
      </c>
      <c r="D322">
        <f>IFERROR(VLOOKUP($C322,'Miljövärden urval för publ'!$B$2:$H$417,MATCH('Miljövärden för publ företag'!D$4,'Miljövärden urval för publ'!$B$2:$H$2,0),FALSE),"")</f>
        <v>0.12958900000000001</v>
      </c>
      <c r="E322">
        <f>IFERROR(VLOOKUP($C322,'Miljövärden urval för publ'!$B$2:$H$417,MATCH('Miljövärden för publ företag'!E$4,'Miljövärden urval för publ'!$B$2:$H$2,0),FALSE),"")</f>
        <v>11.8195</v>
      </c>
      <c r="F322">
        <f>IFERROR(VLOOKUP($C322,'Miljövärden urval för publ'!$B$2:$H$417,MATCH('Miljövärden för publ företag'!F$4,'Miljövärden urval för publ'!$B$2:$H$2,0),FALSE),"")</f>
        <v>9.91493</v>
      </c>
      <c r="G322">
        <f>IFERROR(VLOOKUP($C322,'Miljövärden urval för publ'!$B$2:$H$417,MATCH('Miljövärden för publ företag'!G$4,'Miljövärden urval för publ'!$B$2:$H$2,0),FALSE),"")</f>
        <v>1.8311600000000001E-2</v>
      </c>
      <c r="J322">
        <f t="shared" si="18"/>
        <v>125</v>
      </c>
      <c r="M322">
        <v>318</v>
      </c>
      <c r="N322" t="str">
        <f t="shared" si="19"/>
        <v/>
      </c>
      <c r="P322" s="155">
        <f t="shared" si="20"/>
        <v>0</v>
      </c>
      <c r="Q322" s="150" t="str">
        <f t="shared" si="17"/>
        <v/>
      </c>
    </row>
    <row r="323" spans="1:17" x14ac:dyDescent="0.45">
      <c r="A323">
        <v>320</v>
      </c>
      <c r="B323" s="2" t="str">
        <f>IFERROR(INDEX('Miljövärden urval för publ'!$A$2:$AA$420,MATCH('Miljövärden för publ företag'!$A323,'Miljövärden urval för publ'!$R$2:$R$417,0),1),"")</f>
        <v>Värmevärden AB</v>
      </c>
      <c r="C323" s="2" t="str">
        <f>IFERROR(INDEX('Miljövärden urval för publ'!$A$2:$AA$420,MATCH('Miljövärden för publ företag'!$A323,'Miljövärden urval för publ'!$R$2:$R$417,0),2),"")</f>
        <v>Kristinehamn(Värmevärden)</v>
      </c>
      <c r="D323">
        <f>IFERROR(VLOOKUP($C323,'Miljövärden urval för publ'!$B$2:$H$417,MATCH('Miljövärden för publ företag'!D$4,'Miljövärden urval för publ'!$B$2:$H$2,0),FALSE),"")</f>
        <v>0.108726</v>
      </c>
      <c r="E323">
        <f>IFERROR(VLOOKUP($C323,'Miljövärden urval för publ'!$B$2:$H$417,MATCH('Miljövärden för publ företag'!E$4,'Miljövärden urval för publ'!$B$2:$H$2,0),FALSE),"")</f>
        <v>9.2680600000000002</v>
      </c>
      <c r="F323">
        <f>IFERROR(VLOOKUP($C323,'Miljövärden urval för publ'!$B$2:$H$417,MATCH('Miljövärden för publ företag'!F$4,'Miljövärden urval för publ'!$B$2:$H$2,0),FALSE),"")</f>
        <v>8.0729399999999991</v>
      </c>
      <c r="G323">
        <f>IFERROR(VLOOKUP($C323,'Miljövärden urval för publ'!$B$2:$H$417,MATCH('Miljövärden för publ företag'!G$4,'Miljövärden urval för publ'!$B$2:$H$2,0),FALSE),"")</f>
        <v>1.2848200000000001E-2</v>
      </c>
      <c r="J323">
        <f t="shared" si="18"/>
        <v>125</v>
      </c>
      <c r="M323">
        <v>319</v>
      </c>
      <c r="N323" t="str">
        <f t="shared" si="19"/>
        <v/>
      </c>
      <c r="P323" s="155">
        <f t="shared" si="20"/>
        <v>0</v>
      </c>
      <c r="Q323" s="150" t="str">
        <f t="shared" si="17"/>
        <v/>
      </c>
    </row>
    <row r="324" spans="1:17" x14ac:dyDescent="0.45">
      <c r="A324">
        <v>321</v>
      </c>
      <c r="B324" s="2" t="str">
        <f>IFERROR(INDEX('Miljövärden urval för publ'!$A$2:$AA$420,MATCH('Miljövärden för publ företag'!$A324,'Miljövärden urval för publ'!$R$2:$R$417,0),1),"")</f>
        <v>Värmevärden AB</v>
      </c>
      <c r="C324" s="2" t="str">
        <f>IFERROR(INDEX('Miljövärden urval för publ'!$A$2:$AA$420,MATCH('Miljövärden för publ företag'!$A324,'Miljövärden urval för publ'!$R$2:$R$417,0),2),"")</f>
        <v>Nynäshamn</v>
      </c>
      <c r="D324">
        <f>IFERROR(VLOOKUP($C324,'Miljövärden urval för publ'!$B$2:$H$417,MATCH('Miljövärden för publ företag'!D$4,'Miljövärden urval för publ'!$B$2:$H$2,0),FALSE),"")</f>
        <v>0.31559900000000002</v>
      </c>
      <c r="E324">
        <f>IFERROR(VLOOKUP($C324,'Miljövärden urval för publ'!$B$2:$H$417,MATCH('Miljövärden för publ företag'!E$4,'Miljövärden urval för publ'!$B$2:$H$2,0),FALSE),"")</f>
        <v>21.087900000000001</v>
      </c>
      <c r="F324">
        <f>IFERROR(VLOOKUP($C324,'Miljövärden urval för publ'!$B$2:$H$417,MATCH('Miljövärden för publ företag'!F$4,'Miljövärden urval för publ'!$B$2:$H$2,0),FALSE),"")</f>
        <v>4.8853400000000002</v>
      </c>
      <c r="G324">
        <f>IFERROR(VLOOKUP($C324,'Miljövärden urval för publ'!$B$2:$H$417,MATCH('Miljövärden för publ företag'!G$4,'Miljövärden urval för publ'!$B$2:$H$2,0),FALSE),"")</f>
        <v>2.49137E-2</v>
      </c>
      <c r="J324">
        <f t="shared" si="18"/>
        <v>125</v>
      </c>
      <c r="M324">
        <v>320</v>
      </c>
      <c r="N324" t="str">
        <f t="shared" si="19"/>
        <v/>
      </c>
      <c r="P324" s="155">
        <f t="shared" si="20"/>
        <v>0</v>
      </c>
      <c r="Q324" s="150" t="str">
        <f t="shared" si="17"/>
        <v/>
      </c>
    </row>
    <row r="325" spans="1:17" x14ac:dyDescent="0.45">
      <c r="A325" s="160">
        <v>322</v>
      </c>
      <c r="B325" s="2" t="str">
        <f>IFERROR(INDEX('Miljövärden urval för publ'!$A$2:$AA$420,MATCH('Miljövärden för publ företag'!$A325,'Miljövärden urval för publ'!$R$2:$R$417,0),1),"")</f>
        <v>Värmevärden AB</v>
      </c>
      <c r="C325" s="2" t="str">
        <f>IFERROR(INDEX('Miljövärden urval för publ'!$A$2:$AA$420,MATCH('Miljövärden för publ företag'!$A325,'Miljövärden urval för publ'!$R$2:$R$417,0),2),"")</f>
        <v>Stöllet</v>
      </c>
      <c r="D325">
        <f>IFERROR(VLOOKUP($C325,'Miljövärden urval för publ'!$B$2:$H$417,MATCH('Miljövärden för publ företag'!D$4,'Miljövärden urval för publ'!$B$2:$H$2,0),FALSE),"")</f>
        <v>0.252641</v>
      </c>
      <c r="E325">
        <f>IFERROR(VLOOKUP($C325,'Miljövärden urval för publ'!$B$2:$H$417,MATCH('Miljövärden för publ företag'!E$4,'Miljövärden urval för publ'!$B$2:$H$2,0),FALSE),"")</f>
        <v>13.1647</v>
      </c>
      <c r="F325">
        <f>IFERROR(VLOOKUP($C325,'Miljövärden urval för publ'!$B$2:$H$417,MATCH('Miljövärden för publ företag'!F$4,'Miljövärden urval för publ'!$B$2:$H$2,0),FALSE),"")</f>
        <v>21.290600000000001</v>
      </c>
      <c r="G325">
        <f>IFERROR(VLOOKUP($C325,'Miljövärden urval för publ'!$B$2:$H$417,MATCH('Miljövärden för publ företag'!G$4,'Miljövärden urval för publ'!$B$2:$H$2,0),FALSE),"")</f>
        <v>1.7624500000000001E-2</v>
      </c>
      <c r="J325">
        <f t="shared" si="18"/>
        <v>125</v>
      </c>
      <c r="M325">
        <v>321</v>
      </c>
      <c r="N325" t="str">
        <f t="shared" si="19"/>
        <v/>
      </c>
      <c r="P325" s="155">
        <f t="shared" si="20"/>
        <v>0</v>
      </c>
      <c r="Q325" s="150" t="str">
        <f t="shared" ref="Q325:Q363" si="21">IF(B325=$R$2,C325,"")</f>
        <v/>
      </c>
    </row>
    <row r="326" spans="1:17" x14ac:dyDescent="0.45">
      <c r="A326">
        <v>323</v>
      </c>
      <c r="B326" s="2" t="str">
        <f>IFERROR(INDEX('Miljövärden urval för publ'!$A$2:$AA$420,MATCH('Miljövärden för publ företag'!$A326,'Miljövärden urval för publ'!$R$2:$R$417,0),1),"")</f>
        <v>Värmevärden AB</v>
      </c>
      <c r="C326" s="2" t="str">
        <f>IFERROR(INDEX('Miljövärden urval för publ'!$A$2:$AA$420,MATCH('Miljövärden för publ företag'!$A326,'Miljövärden urval för publ'!$R$2:$R$417,0),2),"")</f>
        <v xml:space="preserve">Säffle </v>
      </c>
      <c r="D326">
        <f>IFERROR(VLOOKUP($C326,'Miljövärden urval för publ'!$B$2:$H$417,MATCH('Miljövärden för publ företag'!D$4,'Miljövärden urval för publ'!$B$2:$H$2,0),FALSE),"")</f>
        <v>0.13852600000000001</v>
      </c>
      <c r="E326">
        <f>IFERROR(VLOOKUP($C326,'Miljövärden urval för publ'!$B$2:$H$417,MATCH('Miljövärden för publ företag'!E$4,'Miljövärden urval för publ'!$B$2:$H$2,0),FALSE),"")</f>
        <v>10.1366</v>
      </c>
      <c r="F326">
        <f>IFERROR(VLOOKUP($C326,'Miljövärden urval för publ'!$B$2:$H$417,MATCH('Miljövärden för publ företag'!F$4,'Miljövärden urval för publ'!$B$2:$H$2,0),FALSE),"")</f>
        <v>10.6532</v>
      </c>
      <c r="G326">
        <f>IFERROR(VLOOKUP($C326,'Miljövärden urval för publ'!$B$2:$H$417,MATCH('Miljövärden för publ företag'!G$4,'Miljövärden urval för publ'!$B$2:$H$2,0),FALSE),"")</f>
        <v>2.2140300000000002E-2</v>
      </c>
      <c r="J326">
        <f t="shared" ref="J326:J364" si="22">IF(B326=B325,J325,J325+1)</f>
        <v>125</v>
      </c>
      <c r="M326">
        <v>322</v>
      </c>
      <c r="N326" t="str">
        <f t="shared" ref="N326:N364" si="23">IFERROR(INDEX($B$4:$J$487,MATCH(M326,$J$4:$J$487,0),1),"")</f>
        <v/>
      </c>
      <c r="P326" s="155">
        <f t="shared" ref="P326:P369" si="24">IF(Q326="",P325,P325+1)</f>
        <v>0</v>
      </c>
      <c r="Q326" s="150" t="str">
        <f t="shared" si="21"/>
        <v/>
      </c>
    </row>
    <row r="327" spans="1:17" x14ac:dyDescent="0.45">
      <c r="A327">
        <v>324</v>
      </c>
      <c r="B327" s="2" t="str">
        <f>IFERROR(INDEX('Miljövärden urval för publ'!$A$2:$AA$420,MATCH('Miljövärden för publ företag'!$A327,'Miljövärden urval för publ'!$R$2:$R$417,0),1),"")</f>
        <v>Värmevärden AB</v>
      </c>
      <c r="C327" s="2" t="str">
        <f>IFERROR(INDEX('Miljövärden urval för publ'!$A$2:$AA$420,MATCH('Miljövärden för publ företag'!$A327,'Miljövärden urval för publ'!$R$2:$R$417,0),2),"")</f>
        <v>Sörforsa</v>
      </c>
      <c r="D327">
        <f>IFERROR(VLOOKUP($C327,'Miljövärden urval för publ'!$B$2:$H$417,MATCH('Miljövärden för publ företag'!D$4,'Miljövärden urval för publ'!$B$2:$H$2,0),FALSE),"")</f>
        <v>0.15192900000000001</v>
      </c>
      <c r="E327">
        <f>IFERROR(VLOOKUP($C327,'Miljövärden urval för publ'!$B$2:$H$417,MATCH('Miljövärden för publ företag'!E$4,'Miljövärden urval för publ'!$B$2:$H$2,0),FALSE),"")</f>
        <v>24.720800000000001</v>
      </c>
      <c r="F327">
        <f>IFERROR(VLOOKUP($C327,'Miljövärden urval för publ'!$B$2:$H$417,MATCH('Miljövärden för publ företag'!F$4,'Miljövärden urval för publ'!$B$2:$H$2,0),FALSE),"")</f>
        <v>10.3477</v>
      </c>
      <c r="G327">
        <f>IFERROR(VLOOKUP($C327,'Miljövärden urval för publ'!$B$2:$H$417,MATCH('Miljövärden för publ företag'!G$4,'Miljövärden urval för publ'!$B$2:$H$2,0),FALSE),"")</f>
        <v>5.5078599999999998E-2</v>
      </c>
      <c r="J327">
        <f t="shared" si="22"/>
        <v>125</v>
      </c>
      <c r="M327">
        <v>323</v>
      </c>
      <c r="N327" t="str">
        <f t="shared" si="23"/>
        <v/>
      </c>
      <c r="P327" s="155">
        <f t="shared" si="24"/>
        <v>0</v>
      </c>
      <c r="Q327" s="150" t="str">
        <f t="shared" si="21"/>
        <v/>
      </c>
    </row>
    <row r="328" spans="1:17" x14ac:dyDescent="0.45">
      <c r="A328" s="160">
        <v>325</v>
      </c>
      <c r="B328" s="2" t="str">
        <f>IFERROR(INDEX('Miljövärden urval för publ'!$A$2:$AA$420,MATCH('Miljövärden för publ företag'!$A328,'Miljövärden urval för publ'!$R$2:$R$417,0),1),"")</f>
        <v>Värmevärden AB</v>
      </c>
      <c r="C328" s="2" t="str">
        <f>IFERROR(INDEX('Miljövärden urval för publ'!$A$2:$AA$420,MATCH('Miljövärden för publ företag'!$A328,'Miljövärden urval för publ'!$R$2:$R$417,0),2),"")</f>
        <v>Torsby</v>
      </c>
      <c r="D328">
        <f>IFERROR(VLOOKUP($C328,'Miljövärden urval för publ'!$B$2:$H$417,MATCH('Miljövärden för publ företag'!D$4,'Miljövärden urval för publ'!$B$2:$H$2,0),FALSE),"")</f>
        <v>6.4076099999999997E-2</v>
      </c>
      <c r="E328">
        <f>IFERROR(VLOOKUP($C328,'Miljövärden urval för publ'!$B$2:$H$417,MATCH('Miljövärden för publ företag'!E$4,'Miljövärden urval för publ'!$B$2:$H$2,0),FALSE),"")</f>
        <v>11.6584</v>
      </c>
      <c r="F328">
        <f>IFERROR(VLOOKUP($C328,'Miljövärden urval för publ'!$B$2:$H$417,MATCH('Miljövärden för publ företag'!F$4,'Miljövärden urval för publ'!$B$2:$H$2,0),FALSE),"")</f>
        <v>8.3224699999999991</v>
      </c>
      <c r="G328">
        <f>IFERROR(VLOOKUP($C328,'Miljövärden urval för publ'!$B$2:$H$417,MATCH('Miljövärden för publ företag'!G$4,'Miljövärden urval för publ'!$B$2:$H$2,0),FALSE),"")</f>
        <v>2.0364899999999998E-2</v>
      </c>
      <c r="J328">
        <f t="shared" si="22"/>
        <v>125</v>
      </c>
      <c r="M328">
        <v>324</v>
      </c>
      <c r="N328" t="str">
        <f t="shared" si="23"/>
        <v/>
      </c>
      <c r="P328" s="155">
        <f t="shared" si="24"/>
        <v>0</v>
      </c>
      <c r="Q328" s="150" t="str">
        <f t="shared" si="21"/>
        <v/>
      </c>
    </row>
    <row r="329" spans="1:17" x14ac:dyDescent="0.45">
      <c r="A329">
        <v>326</v>
      </c>
      <c r="B329" s="2" t="str">
        <f>IFERROR(INDEX('Miljövärden urval för publ'!$A$2:$AA$420,MATCH('Miljövärden för publ företag'!$A329,'Miljövärden urval för publ'!$R$2:$R$417,0),1),"")</f>
        <v>Värnamo Energi AB</v>
      </c>
      <c r="C329" s="2" t="str">
        <f>IFERROR(INDEX('Miljövärden urval för publ'!$A$2:$AA$420,MATCH('Miljövärden för publ företag'!$A329,'Miljövärden urval för publ'!$R$2:$R$417,0),2),"")</f>
        <v>Bor</v>
      </c>
      <c r="D329">
        <f>IFERROR(VLOOKUP($C329,'Miljövärden urval för publ'!$B$2:$H$417,MATCH('Miljövärden för publ företag'!D$4,'Miljövärden urval för publ'!$B$2:$H$2,0),FALSE),"")</f>
        <v>0.202651</v>
      </c>
      <c r="E329">
        <f>IFERROR(VLOOKUP($C329,'Miljövärden urval för publ'!$B$2:$H$417,MATCH('Miljövärden för publ företag'!E$4,'Miljövärden urval för publ'!$B$2:$H$2,0),FALSE),"")</f>
        <v>11.68</v>
      </c>
      <c r="F329">
        <f>IFERROR(VLOOKUP($C329,'Miljövärden urval för publ'!$B$2:$H$417,MATCH('Miljövärden för publ företag'!F$4,'Miljövärden urval för publ'!$B$2:$H$2,0),FALSE),"")</f>
        <v>18.704499999999999</v>
      </c>
      <c r="G329">
        <f>IFERROR(VLOOKUP($C329,'Miljövärden urval för publ'!$B$2:$H$417,MATCH('Miljövärden för publ företag'!G$4,'Miljövärden urval för publ'!$B$2:$H$2,0),FALSE),"")</f>
        <v>1.79033E-2</v>
      </c>
      <c r="J329">
        <f t="shared" si="22"/>
        <v>126</v>
      </c>
      <c r="M329">
        <v>325</v>
      </c>
      <c r="N329" t="str">
        <f t="shared" si="23"/>
        <v/>
      </c>
      <c r="P329" s="155">
        <f t="shared" si="24"/>
        <v>0</v>
      </c>
      <c r="Q329" s="150" t="str">
        <f t="shared" si="21"/>
        <v/>
      </c>
    </row>
    <row r="330" spans="1:17" x14ac:dyDescent="0.45">
      <c r="A330">
        <v>327</v>
      </c>
      <c r="B330" s="2" t="str">
        <f>IFERROR(INDEX('Miljövärden urval för publ'!$A$2:$AA$420,MATCH('Miljövärden för publ företag'!$A330,'Miljövärden urval för publ'!$R$2:$R$417,0),1),"")</f>
        <v>Värnamo Energi AB</v>
      </c>
      <c r="C330" s="2" t="str">
        <f>IFERROR(INDEX('Miljövärden urval för publ'!$A$2:$AA$420,MATCH('Miljövärden för publ företag'!$A330,'Miljövärden urval för publ'!$R$2:$R$417,0),2),"")</f>
        <v>Bredaryd</v>
      </c>
      <c r="D330">
        <f>IFERROR(VLOOKUP($C330,'Miljövärden urval för publ'!$B$2:$H$417,MATCH('Miljövärden för publ företag'!D$4,'Miljövärden urval för publ'!$B$2:$H$2,0),FALSE),"")</f>
        <v>0.20979999999999999</v>
      </c>
      <c r="E330">
        <f>IFERROR(VLOOKUP($C330,'Miljövärden urval för publ'!$B$2:$H$417,MATCH('Miljövärden för publ företag'!E$4,'Miljövärden urval för publ'!$B$2:$H$2,0),FALSE),"")</f>
        <v>10.2173</v>
      </c>
      <c r="F330">
        <f>IFERROR(VLOOKUP($C330,'Miljövärden urval för publ'!$B$2:$H$417,MATCH('Miljövärden för publ företag'!F$4,'Miljövärden urval för publ'!$B$2:$H$2,0),FALSE),"")</f>
        <v>15.4839</v>
      </c>
      <c r="G330">
        <f>IFERROR(VLOOKUP($C330,'Miljövärden urval för publ'!$B$2:$H$417,MATCH('Miljövärden för publ företag'!G$4,'Miljövärden urval för publ'!$B$2:$H$2,0),FALSE),"")</f>
        <v>1.8182299999999998E-2</v>
      </c>
      <c r="J330">
        <f t="shared" si="22"/>
        <v>126</v>
      </c>
      <c r="M330">
        <v>326</v>
      </c>
      <c r="N330" t="str">
        <f t="shared" si="23"/>
        <v/>
      </c>
      <c r="P330" s="155">
        <f t="shared" si="24"/>
        <v>0</v>
      </c>
      <c r="Q330" s="150" t="str">
        <f t="shared" si="21"/>
        <v/>
      </c>
    </row>
    <row r="331" spans="1:17" x14ac:dyDescent="0.45">
      <c r="A331" s="160">
        <v>328</v>
      </c>
      <c r="B331" s="2" t="str">
        <f>IFERROR(INDEX('Miljövärden urval för publ'!$A$2:$AA$420,MATCH('Miljövärden för publ företag'!$A331,'Miljövärden urval för publ'!$R$2:$R$417,0),1),"")</f>
        <v>Värnamo Energi AB</v>
      </c>
      <c r="C331" s="2" t="str">
        <f>IFERROR(INDEX('Miljövärden urval för publ'!$A$2:$AA$420,MATCH('Miljövärden för publ företag'!$A331,'Miljövärden urval för publ'!$R$2:$R$417,0),2),"")</f>
        <v>Forsheda</v>
      </c>
      <c r="D331">
        <f>IFERROR(VLOOKUP($C331,'Miljövärden urval för publ'!$B$2:$H$417,MATCH('Miljövärden för publ företag'!D$4,'Miljövärden urval för publ'!$B$2:$H$2,0),FALSE),"")</f>
        <v>0.22001599999999999</v>
      </c>
      <c r="E331">
        <f>IFERROR(VLOOKUP($C331,'Miljövärden urval för publ'!$B$2:$H$417,MATCH('Miljövärden för publ företag'!E$4,'Miljövärden urval för publ'!$B$2:$H$2,0),FALSE),"")</f>
        <v>14.441800000000001</v>
      </c>
      <c r="F331">
        <f>IFERROR(VLOOKUP($C331,'Miljövärden urval för publ'!$B$2:$H$417,MATCH('Miljövärden för publ företag'!F$4,'Miljövärden urval för publ'!$B$2:$H$2,0),FALSE),"")</f>
        <v>19.279499999999999</v>
      </c>
      <c r="G331">
        <f>IFERROR(VLOOKUP($C331,'Miljövärden urval för publ'!$B$2:$H$417,MATCH('Miljövärden för publ företag'!G$4,'Miljövärden urval för publ'!$B$2:$H$2,0),FALSE),"")</f>
        <v>2.4429200000000002E-2</v>
      </c>
      <c r="J331">
        <f t="shared" si="22"/>
        <v>126</v>
      </c>
      <c r="M331">
        <v>327</v>
      </c>
      <c r="N331" t="str">
        <f t="shared" si="23"/>
        <v/>
      </c>
      <c r="P331" s="155">
        <f t="shared" si="24"/>
        <v>0</v>
      </c>
      <c r="Q331" s="150" t="str">
        <f t="shared" si="21"/>
        <v/>
      </c>
    </row>
    <row r="332" spans="1:17" x14ac:dyDescent="0.45">
      <c r="A332">
        <v>329</v>
      </c>
      <c r="B332" s="2" t="str">
        <f>IFERROR(INDEX('Miljövärden urval för publ'!$A$2:$AA$420,MATCH('Miljövärden för publ företag'!$A332,'Miljövärden urval för publ'!$R$2:$R$417,0),1),"")</f>
        <v>Värnamo Energi AB</v>
      </c>
      <c r="C332" s="2" t="str">
        <f>IFERROR(INDEX('Miljövärden urval för publ'!$A$2:$AA$420,MATCH('Miljövärden för publ företag'!$A332,'Miljövärden urval för publ'!$R$2:$R$417,0),2),"")</f>
        <v>Lanna</v>
      </c>
      <c r="D332">
        <f>IFERROR(VLOOKUP($C332,'Miljövärden urval för publ'!$B$2:$H$417,MATCH('Miljövärden för publ företag'!D$4,'Miljövärden urval för publ'!$B$2:$H$2,0),FALSE),"")</f>
        <v>0.23127800000000001</v>
      </c>
      <c r="E332">
        <f>IFERROR(VLOOKUP($C332,'Miljövärden urval för publ'!$B$2:$H$417,MATCH('Miljövärden för publ företag'!E$4,'Miljövärden urval för publ'!$B$2:$H$2,0),FALSE),"")</f>
        <v>21.682600000000001</v>
      </c>
      <c r="F332">
        <f>IFERROR(VLOOKUP($C332,'Miljövärden urval för publ'!$B$2:$H$417,MATCH('Miljövärden för publ företag'!F$4,'Miljövärden urval för publ'!$B$2:$H$2,0),FALSE),"")</f>
        <v>17.6524</v>
      </c>
      <c r="G332">
        <f>IFERROR(VLOOKUP($C332,'Miljövärden urval för publ'!$B$2:$H$417,MATCH('Miljövärden för publ företag'!G$4,'Miljövärden urval för publ'!$B$2:$H$2,0),FALSE),"")</f>
        <v>5.0677199999999999E-2</v>
      </c>
      <c r="J332">
        <f t="shared" si="22"/>
        <v>126</v>
      </c>
      <c r="M332">
        <v>328</v>
      </c>
      <c r="N332" t="str">
        <f t="shared" si="23"/>
        <v/>
      </c>
      <c r="P332" s="155">
        <f t="shared" si="24"/>
        <v>0</v>
      </c>
      <c r="Q332" s="150" t="str">
        <f t="shared" si="21"/>
        <v/>
      </c>
    </row>
    <row r="333" spans="1:17" x14ac:dyDescent="0.45">
      <c r="A333">
        <v>330</v>
      </c>
      <c r="B333" s="2" t="str">
        <f>IFERROR(INDEX('Miljövärden urval för publ'!$A$2:$AA$420,MATCH('Miljövärden för publ företag'!$A333,'Miljövärden urval för publ'!$R$2:$R$417,0),1),"")</f>
        <v>Värnamo Energi AB</v>
      </c>
      <c r="C333" s="2" t="str">
        <f>IFERROR(INDEX('Miljövärden urval för publ'!$A$2:$AA$420,MATCH('Miljövärden för publ företag'!$A333,'Miljövärden urval för publ'!$R$2:$R$417,0),2),"")</f>
        <v>Rydaholm</v>
      </c>
      <c r="D333">
        <f>IFERROR(VLOOKUP($C333,'Miljövärden urval för publ'!$B$2:$H$417,MATCH('Miljövärden för publ företag'!D$4,'Miljövärden urval för publ'!$B$2:$H$2,0),FALSE),"")</f>
        <v>8.2360699999999995E-2</v>
      </c>
      <c r="E333">
        <f>IFERROR(VLOOKUP($C333,'Miljövärden urval för publ'!$B$2:$H$417,MATCH('Miljövärden för publ företag'!E$4,'Miljövärden urval för publ'!$B$2:$H$2,0),FALSE),"")</f>
        <v>7.0414500000000002</v>
      </c>
      <c r="F333">
        <f>IFERROR(VLOOKUP($C333,'Miljövärden urval för publ'!$B$2:$H$417,MATCH('Miljövärden för publ företag'!F$4,'Miljövärden urval för publ'!$B$2:$H$2,0),FALSE),"")</f>
        <v>10.6089</v>
      </c>
      <c r="G333">
        <f>IFERROR(VLOOKUP($C333,'Miljövärden urval för publ'!$B$2:$H$417,MATCH('Miljövärden för publ företag'!G$4,'Miljövärden urval för publ'!$B$2:$H$2,0),FALSE),"")</f>
        <v>2.49359E-3</v>
      </c>
      <c r="J333">
        <f t="shared" si="22"/>
        <v>126</v>
      </c>
      <c r="M333">
        <v>329</v>
      </c>
      <c r="N333" t="str">
        <f t="shared" si="23"/>
        <v/>
      </c>
      <c r="P333" s="155">
        <f t="shared" si="24"/>
        <v>0</v>
      </c>
      <c r="Q333" s="150" t="str">
        <f t="shared" si="21"/>
        <v/>
      </c>
    </row>
    <row r="334" spans="1:17" x14ac:dyDescent="0.45">
      <c r="A334" s="160">
        <v>331</v>
      </c>
      <c r="B334" s="2" t="str">
        <f>IFERROR(INDEX('Miljövärden urval för publ'!$A$2:$AA$420,MATCH('Miljövärden för publ företag'!$A334,'Miljövärden urval för publ'!$R$2:$R$417,0),1),"")</f>
        <v>Värnamo Energi AB</v>
      </c>
      <c r="C334" s="2" t="str">
        <f>IFERROR(INDEX('Miljövärden urval för publ'!$A$2:$AA$420,MATCH('Miljövärden för publ företag'!$A334,'Miljövärden urval för publ'!$R$2:$R$417,0),2),"")</f>
        <v>Värnamo</v>
      </c>
      <c r="D334">
        <f>IFERROR(VLOOKUP($C334,'Miljövärden urval för publ'!$B$2:$H$417,MATCH('Miljövärden för publ företag'!D$4,'Miljövärden urval för publ'!$B$2:$H$2,0),FALSE),"")</f>
        <v>6.5923700000000002E-2</v>
      </c>
      <c r="E334">
        <f>IFERROR(VLOOKUP($C334,'Miljövärden urval för publ'!$B$2:$H$417,MATCH('Miljövärden för publ företag'!E$4,'Miljövärden urval för publ'!$B$2:$H$2,0),FALSE),"")</f>
        <v>4.5162500000000003</v>
      </c>
      <c r="F334">
        <f>IFERROR(VLOOKUP($C334,'Miljövärden urval för publ'!$B$2:$H$417,MATCH('Miljövärden för publ företag'!F$4,'Miljövärden urval för publ'!$B$2:$H$2,0),FALSE),"")</f>
        <v>6.9142000000000001</v>
      </c>
      <c r="G334">
        <f>IFERROR(VLOOKUP($C334,'Miljövärden urval för publ'!$B$2:$H$417,MATCH('Miljövärden för publ företag'!G$4,'Miljövärden urval för publ'!$B$2:$H$2,0),FALSE),"")</f>
        <v>1.94169E-3</v>
      </c>
      <c r="J334">
        <f t="shared" si="22"/>
        <v>126</v>
      </c>
      <c r="M334">
        <v>330</v>
      </c>
      <c r="N334" t="str">
        <f t="shared" si="23"/>
        <v/>
      </c>
      <c r="P334" s="155">
        <f t="shared" si="24"/>
        <v>0</v>
      </c>
      <c r="Q334" s="150" t="str">
        <f t="shared" si="21"/>
        <v/>
      </c>
    </row>
    <row r="335" spans="1:17" x14ac:dyDescent="0.45">
      <c r="A335">
        <v>332</v>
      </c>
      <c r="B335" s="2" t="str">
        <f>IFERROR(INDEX('Miljövärden urval för publ'!$A$2:$AA$420,MATCH('Miljövärden för publ företag'!$A335,'Miljövärden urval för publ'!$R$2:$R$417,0),1),"")</f>
        <v>Västerbergslagens Energi AB</v>
      </c>
      <c r="C335" s="2" t="str">
        <f>IFERROR(INDEX('Miljövärden urval för publ'!$A$2:$AA$420,MATCH('Miljövärden för publ företag'!$A335,'Miljövärden urval för publ'!$R$2:$R$417,0),2),"")</f>
        <v>Fagersta</v>
      </c>
      <c r="D335">
        <f>IFERROR(VLOOKUP($C335,'Miljövärden urval för publ'!$B$2:$H$417,MATCH('Miljövärden för publ företag'!D$4,'Miljövärden urval för publ'!$B$2:$H$2,0),FALSE),"")</f>
        <v>4.7947400000000001E-2</v>
      </c>
      <c r="E335">
        <f>IFERROR(VLOOKUP($C335,'Miljövärden urval för publ'!$B$2:$H$417,MATCH('Miljövärden för publ företag'!E$4,'Miljövärden urval för publ'!$B$2:$H$2,0),FALSE),"")</f>
        <v>7.6066000000000003</v>
      </c>
      <c r="F335">
        <f>IFERROR(VLOOKUP($C335,'Miljövärden urval för publ'!$B$2:$H$417,MATCH('Miljövärden för publ företag'!F$4,'Miljövärden urval för publ'!$B$2:$H$2,0),FALSE),"")</f>
        <v>7.4795800000000003</v>
      </c>
      <c r="G335">
        <f>IFERROR(VLOOKUP($C335,'Miljövärden urval för publ'!$B$2:$H$417,MATCH('Miljövärden för publ företag'!G$4,'Miljövärden urval för publ'!$B$2:$H$2,0),FALSE),"")</f>
        <v>9.0341399999999995E-4</v>
      </c>
      <c r="J335">
        <f t="shared" si="22"/>
        <v>127</v>
      </c>
      <c r="M335">
        <v>331</v>
      </c>
      <c r="N335" t="str">
        <f t="shared" si="23"/>
        <v/>
      </c>
      <c r="P335" s="155">
        <f t="shared" si="24"/>
        <v>0</v>
      </c>
      <c r="Q335" s="150" t="str">
        <f t="shared" si="21"/>
        <v/>
      </c>
    </row>
    <row r="336" spans="1:17" x14ac:dyDescent="0.45">
      <c r="A336">
        <v>333</v>
      </c>
      <c r="B336" s="2" t="str">
        <f>IFERROR(INDEX('Miljövärden urval för publ'!$A$2:$AA$420,MATCH('Miljövärden för publ företag'!$A336,'Miljövärden urval för publ'!$R$2:$R$417,0),1),"")</f>
        <v>Västerbergslagens Energi AB</v>
      </c>
      <c r="C336" s="2" t="str">
        <f>IFERROR(INDEX('Miljövärden urval för publ'!$A$2:$AA$420,MATCH('Miljövärden för publ företag'!$A336,'Miljövärden urval för publ'!$R$2:$R$417,0),2),"")</f>
        <v>Grängesberg</v>
      </c>
      <c r="D336">
        <f>IFERROR(VLOOKUP($C336,'Miljövärden urval för publ'!$B$2:$H$417,MATCH('Miljövärden för publ företag'!D$4,'Miljövärden urval för publ'!$B$2:$H$2,0),FALSE),"")</f>
        <v>4.15231E-2</v>
      </c>
      <c r="E336">
        <f>IFERROR(VLOOKUP($C336,'Miljövärden urval för publ'!$B$2:$H$417,MATCH('Miljövärden för publ företag'!E$4,'Miljövärden urval för publ'!$B$2:$H$2,0),FALSE),"")</f>
        <v>4.9361800000000002</v>
      </c>
      <c r="F336">
        <f>IFERROR(VLOOKUP($C336,'Miljövärden urval för publ'!$B$2:$H$417,MATCH('Miljövärden för publ företag'!F$4,'Miljövärden urval för publ'!$B$2:$H$2,0),FALSE),"")</f>
        <v>8.8547799999999999</v>
      </c>
      <c r="G336">
        <f>IFERROR(VLOOKUP($C336,'Miljövärden urval för publ'!$B$2:$H$417,MATCH('Miljövärden för publ företag'!G$4,'Miljövärden urval för publ'!$B$2:$H$2,0),FALSE),"")</f>
        <v>0</v>
      </c>
      <c r="J336">
        <f t="shared" si="22"/>
        <v>127</v>
      </c>
      <c r="M336">
        <v>332</v>
      </c>
      <c r="N336" t="str">
        <f t="shared" si="23"/>
        <v/>
      </c>
      <c r="P336" s="155">
        <f t="shared" si="24"/>
        <v>0</v>
      </c>
      <c r="Q336" s="150" t="str">
        <f t="shared" si="21"/>
        <v/>
      </c>
    </row>
    <row r="337" spans="1:17" x14ac:dyDescent="0.45">
      <c r="A337" s="160">
        <v>334</v>
      </c>
      <c r="B337" s="2" t="str">
        <f>IFERROR(INDEX('Miljövärden urval för publ'!$A$2:$AA$420,MATCH('Miljövärden för publ företag'!$A337,'Miljövärden urval för publ'!$R$2:$R$417,0),1),"")</f>
        <v>Västerbergslagens Energi AB</v>
      </c>
      <c r="C337" s="2" t="str">
        <f>IFERROR(INDEX('Miljövärden urval för publ'!$A$2:$AA$420,MATCH('Miljövärden för publ företag'!$A337,'Miljövärden urval för publ'!$R$2:$R$417,0),2),"")</f>
        <v>Ludvika</v>
      </c>
      <c r="D337">
        <f>IFERROR(VLOOKUP($C337,'Miljövärden urval för publ'!$B$2:$H$417,MATCH('Miljövärden för publ företag'!D$4,'Miljövärden urval för publ'!$B$2:$H$2,0),FALSE),"")</f>
        <v>6.2163400000000001E-2</v>
      </c>
      <c r="E337">
        <f>IFERROR(VLOOKUP($C337,'Miljövärden urval för publ'!$B$2:$H$417,MATCH('Miljövärden för publ företag'!E$4,'Miljövärden urval för publ'!$B$2:$H$2,0),FALSE),"")</f>
        <v>6.5949400000000002</v>
      </c>
      <c r="F337">
        <f>IFERROR(VLOOKUP($C337,'Miljövärden urval för publ'!$B$2:$H$417,MATCH('Miljövärden för publ företag'!F$4,'Miljövärden urval för publ'!$B$2:$H$2,0),FALSE),"")</f>
        <v>4.7486499999999996</v>
      </c>
      <c r="G337">
        <f>IFERROR(VLOOKUP($C337,'Miljövärden urval för publ'!$B$2:$H$417,MATCH('Miljövärden för publ företag'!G$4,'Miljövärden urval för publ'!$B$2:$H$2,0),FALSE),"")</f>
        <v>6.1962600000000003E-3</v>
      </c>
      <c r="J337">
        <f t="shared" si="22"/>
        <v>127</v>
      </c>
      <c r="M337">
        <v>333</v>
      </c>
      <c r="N337" t="str">
        <f t="shared" si="23"/>
        <v/>
      </c>
      <c r="P337" s="155">
        <f t="shared" si="24"/>
        <v>0</v>
      </c>
      <c r="Q337" s="150" t="str">
        <f t="shared" si="21"/>
        <v/>
      </c>
    </row>
    <row r="338" spans="1:17" x14ac:dyDescent="0.45">
      <c r="A338">
        <v>335</v>
      </c>
      <c r="B338" s="2" t="str">
        <f>IFERROR(INDEX('Miljövärden urval för publ'!$A$2:$AA$420,MATCH('Miljövärden för publ företag'!$A338,'Miljövärden urval för publ'!$R$2:$R$417,0),1),"")</f>
        <v>Västerbergslagens Energi AB</v>
      </c>
      <c r="C338" s="2" t="str">
        <f>IFERROR(INDEX('Miljövärden urval för publ'!$A$2:$AA$420,MATCH('Miljövärden för publ företag'!$A338,'Miljövärden urval för publ'!$R$2:$R$417,0),2),"")</f>
        <v>Norberg</v>
      </c>
      <c r="D338">
        <f>IFERROR(VLOOKUP($C338,'Miljövärden urval för publ'!$B$2:$H$417,MATCH('Miljövärden för publ företag'!D$4,'Miljövärden urval för publ'!$B$2:$H$2,0),FALSE),"")</f>
        <v>1.90099E-2</v>
      </c>
      <c r="E338">
        <f>IFERROR(VLOOKUP($C338,'Miljövärden urval för publ'!$B$2:$H$417,MATCH('Miljövärden för publ företag'!E$4,'Miljövärden urval för publ'!$B$2:$H$2,0),FALSE),"")</f>
        <v>1.4907699999999999</v>
      </c>
      <c r="F338">
        <f>IFERROR(VLOOKUP($C338,'Miljövärden urval för publ'!$B$2:$H$417,MATCH('Miljövärden för publ företag'!F$4,'Miljövärden urval för publ'!$B$2:$H$2,0),FALSE),"")</f>
        <v>1.0659799999999999</v>
      </c>
      <c r="G338">
        <f>IFERROR(VLOOKUP($C338,'Miljövärden urval för publ'!$B$2:$H$417,MATCH('Miljövärden för publ företag'!G$4,'Miljövärden urval för publ'!$B$2:$H$2,0),FALSE),"")</f>
        <v>1.4501200000000001E-3</v>
      </c>
      <c r="J338">
        <f t="shared" si="22"/>
        <v>127</v>
      </c>
      <c r="M338">
        <v>334</v>
      </c>
      <c r="N338" t="str">
        <f t="shared" si="23"/>
        <v/>
      </c>
      <c r="P338" s="155">
        <f t="shared" si="24"/>
        <v>0</v>
      </c>
      <c r="Q338" s="150" t="str">
        <f t="shared" si="21"/>
        <v/>
      </c>
    </row>
    <row r="339" spans="1:17" x14ac:dyDescent="0.45">
      <c r="A339">
        <v>336</v>
      </c>
      <c r="B339" s="2" t="str">
        <f>IFERROR(INDEX('Miljövärden urval för publ'!$A$2:$AA$420,MATCH('Miljövärden för publ företag'!$A339,'Miljövärden urval för publ'!$R$2:$R$417,0),1),"")</f>
        <v>Västervik Miljö &amp; Energi AB</v>
      </c>
      <c r="C339" s="2" t="str">
        <f>IFERROR(INDEX('Miljövärden urval för publ'!$A$2:$AA$420,MATCH('Miljövärden för publ företag'!$A339,'Miljövärden urval för publ'!$R$2:$R$417,0),2),"")</f>
        <v>Ankarsrum</v>
      </c>
      <c r="D339">
        <f>IFERROR(VLOOKUP($C339,'Miljövärden urval för publ'!$B$2:$H$417,MATCH('Miljövärden för publ företag'!D$4,'Miljövärden urval för publ'!$B$2:$H$2,0),FALSE),"")</f>
        <v>0.16541800000000001</v>
      </c>
      <c r="E339">
        <f>IFERROR(VLOOKUP($C339,'Miljövärden urval för publ'!$B$2:$H$417,MATCH('Miljövärden för publ företag'!E$4,'Miljövärden urval för publ'!$B$2:$H$2,0),FALSE),"")</f>
        <v>22.7181</v>
      </c>
      <c r="F339">
        <f>IFERROR(VLOOKUP($C339,'Miljövärden urval för publ'!$B$2:$H$417,MATCH('Miljövärden för publ företag'!F$4,'Miljövärden urval för publ'!$B$2:$H$2,0),FALSE),"")</f>
        <v>11.9994</v>
      </c>
      <c r="G339">
        <f>IFERROR(VLOOKUP($C339,'Miljövärden urval för publ'!$B$2:$H$417,MATCH('Miljövärden för publ företag'!G$4,'Miljövärden urval för publ'!$B$2:$H$2,0),FALSE),"")</f>
        <v>3.8156599999999999E-2</v>
      </c>
      <c r="J339">
        <f t="shared" si="22"/>
        <v>128</v>
      </c>
      <c r="M339">
        <v>335</v>
      </c>
      <c r="N339" t="str">
        <f t="shared" si="23"/>
        <v/>
      </c>
      <c r="P339" s="155">
        <f t="shared" si="24"/>
        <v>0</v>
      </c>
      <c r="Q339" s="150" t="str">
        <f t="shared" si="21"/>
        <v/>
      </c>
    </row>
    <row r="340" spans="1:17" x14ac:dyDescent="0.45">
      <c r="A340" s="160">
        <v>337</v>
      </c>
      <c r="B340" s="2" t="str">
        <f>IFERROR(INDEX('Miljövärden urval för publ'!$A$2:$AA$420,MATCH('Miljövärden för publ företag'!$A340,'Miljövärden urval för publ'!$R$2:$R$417,0),1),"")</f>
        <v>Västervik Miljö &amp; Energi AB</v>
      </c>
      <c r="C340" s="2" t="str">
        <f>IFERROR(INDEX('Miljövärden urval för publ'!$A$2:$AA$420,MATCH('Miljövärden för publ företag'!$A340,'Miljövärden urval för publ'!$R$2:$R$417,0),2),"")</f>
        <v>Gamleby</v>
      </c>
      <c r="D340">
        <f>IFERROR(VLOOKUP($C340,'Miljövärden urval för publ'!$B$2:$H$417,MATCH('Miljövärden för publ företag'!D$4,'Miljövärden urval för publ'!$B$2:$H$2,0),FALSE),"")</f>
        <v>0.17233899999999999</v>
      </c>
      <c r="E340">
        <f>IFERROR(VLOOKUP($C340,'Miljövärden urval för publ'!$B$2:$H$417,MATCH('Miljövärden för publ företag'!E$4,'Miljövärden urval för publ'!$B$2:$H$2,0),FALSE),"")</f>
        <v>27.643599999999999</v>
      </c>
      <c r="F340">
        <f>IFERROR(VLOOKUP($C340,'Miljövärden urval för publ'!$B$2:$H$417,MATCH('Miljövärden för publ företag'!F$4,'Miljövärden urval för publ'!$B$2:$H$2,0),FALSE),"")</f>
        <v>11.8775</v>
      </c>
      <c r="G340">
        <f>IFERROR(VLOOKUP($C340,'Miljövärden urval för publ'!$B$2:$H$417,MATCH('Miljövärden för publ företag'!G$4,'Miljövärden urval för publ'!$B$2:$H$2,0),FALSE),"")</f>
        <v>5.24482E-2</v>
      </c>
      <c r="J340">
        <f t="shared" si="22"/>
        <v>128</v>
      </c>
      <c r="M340">
        <v>336</v>
      </c>
      <c r="N340" t="str">
        <f t="shared" si="23"/>
        <v/>
      </c>
      <c r="P340" s="155">
        <f t="shared" si="24"/>
        <v>0</v>
      </c>
      <c r="Q340" s="150" t="str">
        <f t="shared" si="21"/>
        <v/>
      </c>
    </row>
    <row r="341" spans="1:17" x14ac:dyDescent="0.45">
      <c r="A341">
        <v>338</v>
      </c>
      <c r="B341" s="2" t="str">
        <f>IFERROR(INDEX('Miljövärden urval för publ'!$A$2:$AA$420,MATCH('Miljövärden för publ företag'!$A341,'Miljövärden urval för publ'!$R$2:$R$417,0),1),"")</f>
        <v>Västervik Miljö &amp; Energi AB</v>
      </c>
      <c r="C341" s="2" t="str">
        <f>IFERROR(INDEX('Miljövärden urval för publ'!$A$2:$AA$420,MATCH('Miljövärden för publ företag'!$A341,'Miljövärden urval för publ'!$R$2:$R$417,0),2),"")</f>
        <v>Västervik</v>
      </c>
      <c r="D341">
        <f>IFERROR(VLOOKUP($C341,'Miljövärden urval för publ'!$B$2:$H$417,MATCH('Miljövärden för publ företag'!D$4,'Miljövärden urval för publ'!$B$2:$H$2,0),FALSE),"")</f>
        <v>0.12922</v>
      </c>
      <c r="E341">
        <f>IFERROR(VLOOKUP($C341,'Miljövärden urval för publ'!$B$2:$H$417,MATCH('Miljövärden för publ företag'!E$4,'Miljövärden urval för publ'!$B$2:$H$2,0),FALSE),"")</f>
        <v>128.53200000000001</v>
      </c>
      <c r="F341">
        <f>IFERROR(VLOOKUP($C341,'Miljövärden urval för publ'!$B$2:$H$417,MATCH('Miljövärden för publ företag'!F$4,'Miljövärden urval för publ'!$B$2:$H$2,0),FALSE),"")</f>
        <v>4.3145899999999999</v>
      </c>
      <c r="G341">
        <f>IFERROR(VLOOKUP($C341,'Miljövärden urval för publ'!$B$2:$H$417,MATCH('Miljövärden för publ företag'!G$4,'Miljövärden urval för publ'!$B$2:$H$2,0),FALSE),"")</f>
        <v>1.9873600000000002E-2</v>
      </c>
      <c r="J341">
        <f t="shared" si="22"/>
        <v>128</v>
      </c>
      <c r="M341">
        <v>337</v>
      </c>
      <c r="N341" t="str">
        <f t="shared" si="23"/>
        <v/>
      </c>
      <c r="P341" s="155">
        <f t="shared" si="24"/>
        <v>0</v>
      </c>
      <c r="Q341" s="150" t="str">
        <f t="shared" si="21"/>
        <v/>
      </c>
    </row>
    <row r="342" spans="1:17" x14ac:dyDescent="0.45">
      <c r="A342">
        <v>339</v>
      </c>
      <c r="B342" s="2" t="str">
        <f>IFERROR(INDEX('Miljövärden urval för publ'!$A$2:$AA$420,MATCH('Miljövärden för publ företag'!$A342,'Miljövärden urval för publ'!$R$2:$R$417,0),1),"")</f>
        <v>Västra Mälardalens Energi och Miljö AB</v>
      </c>
      <c r="C342" s="2" t="str">
        <f>IFERROR(INDEX('Miljövärden urval för publ'!$A$2:$AA$420,MATCH('Miljövärden för publ företag'!$A342,'Miljövärden urval för publ'!$R$2:$R$417,0),2),"")</f>
        <v>Arboga - Köping</v>
      </c>
      <c r="D342">
        <f>IFERROR(VLOOKUP($C342,'Miljövärden urval för publ'!$B$2:$H$417,MATCH('Miljövärden för publ företag'!D$4,'Miljövärden urval för publ'!$B$2:$H$2,0),FALSE),"")</f>
        <v>4.6418000000000001E-2</v>
      </c>
      <c r="E342">
        <f>IFERROR(VLOOKUP($C342,'Miljövärden urval för publ'!$B$2:$H$417,MATCH('Miljövärden för publ företag'!E$4,'Miljövärden urval för publ'!$B$2:$H$2,0),FALSE),"")</f>
        <v>29.143799999999999</v>
      </c>
      <c r="F342">
        <f>IFERROR(VLOOKUP($C342,'Miljövärden urval för publ'!$B$2:$H$417,MATCH('Miljövärden för publ företag'!F$4,'Miljövärden urval för publ'!$B$2:$H$2,0),FALSE),"")</f>
        <v>4.3806900000000004</v>
      </c>
      <c r="G342">
        <f>IFERROR(VLOOKUP($C342,'Miljövärden urval för publ'!$B$2:$H$417,MATCH('Miljövärden för publ företag'!G$4,'Miljövärden urval för publ'!$B$2:$H$2,0),FALSE),"")</f>
        <v>0</v>
      </c>
      <c r="J342">
        <f t="shared" si="22"/>
        <v>129</v>
      </c>
      <c r="M342">
        <v>338</v>
      </c>
      <c r="N342" t="str">
        <f t="shared" si="23"/>
        <v/>
      </c>
      <c r="P342" s="155">
        <f t="shared" si="24"/>
        <v>0</v>
      </c>
      <c r="Q342" s="150" t="str">
        <f t="shared" si="21"/>
        <v/>
      </c>
    </row>
    <row r="343" spans="1:17" x14ac:dyDescent="0.45">
      <c r="A343" s="160">
        <v>340</v>
      </c>
      <c r="B343" s="2" t="str">
        <f>IFERROR(INDEX('Miljövärden urval för publ'!$A$2:$AA$420,MATCH('Miljövärden för publ företag'!$A343,'Miljövärden urval för publ'!$R$2:$R$417,0),1),"")</f>
        <v>Växjö Energi AB</v>
      </c>
      <c r="C343" s="2" t="str">
        <f>IFERROR(INDEX('Miljövärden urval för publ'!$A$2:$AA$420,MATCH('Miljövärden för publ företag'!$A343,'Miljövärden urval för publ'!$R$2:$R$417,0),2),"")</f>
        <v>Braås</v>
      </c>
      <c r="D343">
        <f>IFERROR(VLOOKUP($C343,'Miljövärden urval för publ'!$B$2:$H$417,MATCH('Miljövärden för publ företag'!D$4,'Miljövärden urval för publ'!$B$2:$H$2,0),FALSE),"")</f>
        <v>6.9419300000000003E-2</v>
      </c>
      <c r="E343">
        <f>IFERROR(VLOOKUP($C343,'Miljövärden urval för publ'!$B$2:$H$417,MATCH('Miljövärden för publ företag'!E$4,'Miljövärden urval för publ'!$B$2:$H$2,0),FALSE),"")</f>
        <v>5.5787500000000003</v>
      </c>
      <c r="F343">
        <f>IFERROR(VLOOKUP($C343,'Miljövärden urval för publ'!$B$2:$H$417,MATCH('Miljövärden för publ företag'!F$4,'Miljövärden urval för publ'!$B$2:$H$2,0),FALSE),"")</f>
        <v>12.1347</v>
      </c>
      <c r="G343">
        <f>IFERROR(VLOOKUP($C343,'Miljövärden urval för publ'!$B$2:$H$417,MATCH('Miljövärden för publ företag'!G$4,'Miljövärden urval för publ'!$B$2:$H$2,0),FALSE),"")</f>
        <v>0</v>
      </c>
      <c r="J343">
        <f t="shared" si="22"/>
        <v>130</v>
      </c>
      <c r="M343">
        <v>339</v>
      </c>
      <c r="N343" t="str">
        <f t="shared" si="23"/>
        <v/>
      </c>
      <c r="P343" s="155">
        <f t="shared" si="24"/>
        <v>0</v>
      </c>
      <c r="Q343" s="150" t="str">
        <f t="shared" si="21"/>
        <v/>
      </c>
    </row>
    <row r="344" spans="1:17" x14ac:dyDescent="0.45">
      <c r="A344">
        <v>341</v>
      </c>
      <c r="B344" s="2" t="str">
        <f>IFERROR(INDEX('Miljövärden urval för publ'!$A$2:$AA$420,MATCH('Miljövärden för publ företag'!$A344,'Miljövärden urval för publ'!$R$2:$R$417,0),1),"")</f>
        <v>Växjö Energi AB</v>
      </c>
      <c r="C344" s="2" t="str">
        <f>IFERROR(INDEX('Miljövärden urval för publ'!$A$2:$AA$420,MATCH('Miljövärden för publ företag'!$A344,'Miljövärden urval för publ'!$R$2:$R$417,0),2),"")</f>
        <v>Ingelstad</v>
      </c>
      <c r="D344">
        <f>IFERROR(VLOOKUP($C344,'Miljövärden urval för publ'!$B$2:$H$417,MATCH('Miljövärden för publ företag'!D$4,'Miljövärden urval för publ'!$B$2:$H$2,0),FALSE),"")</f>
        <v>8.0856999999999998E-2</v>
      </c>
      <c r="E344">
        <f>IFERROR(VLOOKUP($C344,'Miljövärden urval för publ'!$B$2:$H$417,MATCH('Miljövärden för publ företag'!E$4,'Miljövärden urval för publ'!$B$2:$H$2,0),FALSE),"")</f>
        <v>5.5185500000000003</v>
      </c>
      <c r="F344">
        <f>IFERROR(VLOOKUP($C344,'Miljövärden urval för publ'!$B$2:$H$417,MATCH('Miljövärden för publ företag'!F$4,'Miljövärden urval för publ'!$B$2:$H$2,0),FALSE),"")</f>
        <v>13.0341</v>
      </c>
      <c r="G344">
        <f>IFERROR(VLOOKUP($C344,'Miljövärden urval för publ'!$B$2:$H$417,MATCH('Miljövärden för publ företag'!G$4,'Miljövärden urval för publ'!$B$2:$H$2,0),FALSE),"")</f>
        <v>0</v>
      </c>
      <c r="J344">
        <f t="shared" si="22"/>
        <v>130</v>
      </c>
      <c r="M344">
        <v>340</v>
      </c>
      <c r="N344" t="str">
        <f t="shared" si="23"/>
        <v/>
      </c>
      <c r="P344" s="155">
        <f t="shared" si="24"/>
        <v>0</v>
      </c>
      <c r="Q344" s="150" t="str">
        <f t="shared" si="21"/>
        <v/>
      </c>
    </row>
    <row r="345" spans="1:17" x14ac:dyDescent="0.45">
      <c r="A345">
        <v>342</v>
      </c>
      <c r="B345" s="2" t="str">
        <f>IFERROR(INDEX('Miljövärden urval för publ'!$A$2:$AA$420,MATCH('Miljövärden för publ företag'!$A345,'Miljövärden urval för publ'!$R$2:$R$417,0),1),"")</f>
        <v>Växjö Energi AB</v>
      </c>
      <c r="C345" s="2" t="str">
        <f>IFERROR(INDEX('Miljövärden urval för publ'!$A$2:$AA$420,MATCH('Miljövärden för publ företag'!$A345,'Miljövärden urval för publ'!$R$2:$R$417,0),2),"")</f>
        <v>Rottne</v>
      </c>
      <c r="D345">
        <f>IFERROR(VLOOKUP($C345,'Miljövärden urval för publ'!$B$2:$H$417,MATCH('Miljövärden för publ företag'!D$4,'Miljövärden urval för publ'!$B$2:$H$2,0),FALSE),"")</f>
        <v>4.4140199999999997E-2</v>
      </c>
      <c r="E345">
        <f>IFERROR(VLOOKUP($C345,'Miljövärden urval för publ'!$B$2:$H$417,MATCH('Miljövärden för publ företag'!E$4,'Miljövärden urval för publ'!$B$2:$H$2,0),FALSE),"")</f>
        <v>5.4629599999999998</v>
      </c>
      <c r="F345">
        <f>IFERROR(VLOOKUP($C345,'Miljövärden urval för publ'!$B$2:$H$417,MATCH('Miljövärden för publ företag'!F$4,'Miljövärden urval för publ'!$B$2:$H$2,0),FALSE),"")</f>
        <v>9.7795000000000005</v>
      </c>
      <c r="G345">
        <f>IFERROR(VLOOKUP($C345,'Miljövärden urval för publ'!$B$2:$H$417,MATCH('Miljövärden för publ företag'!G$4,'Miljövärden urval för publ'!$B$2:$H$2,0),FALSE),"")</f>
        <v>0</v>
      </c>
      <c r="J345">
        <f t="shared" si="22"/>
        <v>130</v>
      </c>
      <c r="M345">
        <v>341</v>
      </c>
      <c r="N345" t="str">
        <f t="shared" si="23"/>
        <v/>
      </c>
      <c r="P345" s="155">
        <f t="shared" si="24"/>
        <v>0</v>
      </c>
      <c r="Q345" s="150" t="str">
        <f t="shared" si="21"/>
        <v/>
      </c>
    </row>
    <row r="346" spans="1:17" x14ac:dyDescent="0.45">
      <c r="A346" s="160">
        <v>343</v>
      </c>
      <c r="B346" s="2" t="str">
        <f>IFERROR(INDEX('Miljövärden urval för publ'!$A$2:$AA$420,MATCH('Miljövärden för publ företag'!$A346,'Miljövärden urval för publ'!$R$2:$R$417,0),1),"")</f>
        <v>Växjö Energi AB</v>
      </c>
      <c r="C346" s="2" t="str">
        <f>IFERROR(INDEX('Miljövärden urval för publ'!$A$2:$AA$420,MATCH('Miljövärden för publ företag'!$A346,'Miljövärden urval för publ'!$R$2:$R$417,0),2),"")</f>
        <v>Växjö fjärrkyla</v>
      </c>
      <c r="D346">
        <f>IFERROR(VLOOKUP($C346,'Miljövärden urval för publ'!$B$2:$H$417,MATCH('Miljövärden för publ företag'!D$4,'Miljövärden urval för publ'!$B$2:$H$2,0),FALSE),"")</f>
        <v>3.6281899999999999E-2</v>
      </c>
      <c r="E346">
        <f>IFERROR(VLOOKUP($C346,'Miljövärden urval för publ'!$B$2:$H$417,MATCH('Miljövärden för publ företag'!E$4,'Miljövärden urval för publ'!$B$2:$H$2,0),FALSE),"")</f>
        <v>3.4068800000000001</v>
      </c>
      <c r="F346">
        <f>IFERROR(VLOOKUP($C346,'Miljövärden urval för publ'!$B$2:$H$417,MATCH('Miljövärden för publ företag'!F$4,'Miljövärden urval för publ'!$B$2:$H$2,0),FALSE),"")</f>
        <v>5.96204</v>
      </c>
      <c r="G346">
        <f>IFERROR(VLOOKUP($C346,'Miljövärden urval för publ'!$B$2:$H$417,MATCH('Miljövärden för publ företag'!G$4,'Miljövärden urval för publ'!$B$2:$H$2,0),FALSE),"")</f>
        <v>0</v>
      </c>
      <c r="J346">
        <f t="shared" si="22"/>
        <v>130</v>
      </c>
      <c r="M346">
        <v>342</v>
      </c>
      <c r="N346" t="str">
        <f t="shared" si="23"/>
        <v/>
      </c>
      <c r="P346" s="155">
        <f t="shared" si="24"/>
        <v>0</v>
      </c>
      <c r="Q346" s="150" t="str">
        <f t="shared" si="21"/>
        <v/>
      </c>
    </row>
    <row r="347" spans="1:17" x14ac:dyDescent="0.45">
      <c r="A347">
        <v>344</v>
      </c>
      <c r="B347" s="2" t="str">
        <f>IFERROR(INDEX('Miljövärden urval för publ'!$A$2:$AA$420,MATCH('Miljövärden för publ företag'!$A347,'Miljövärden urval för publ'!$R$2:$R$417,0),1),"")</f>
        <v>Växjö Energi AB</v>
      </c>
      <c r="C347" s="2" t="str">
        <f>IFERROR(INDEX('Miljövärden urval för publ'!$A$2:$AA$420,MATCH('Miljövärden för publ företag'!$A347,'Miljövärden urval för publ'!$R$2:$R$417,0),2),"")</f>
        <v>Växjö fjärrvärme</v>
      </c>
      <c r="D347">
        <f>IFERROR(VLOOKUP($C347,'Miljövärden urval för publ'!$B$2:$H$417,MATCH('Miljövärden för publ företag'!D$4,'Miljövärden urval för publ'!$B$2:$H$2,0),FALSE),"")</f>
        <v>7.57129E-2</v>
      </c>
      <c r="E347">
        <f>IFERROR(VLOOKUP($C347,'Miljövärden urval för publ'!$B$2:$H$417,MATCH('Miljövärden för publ företag'!E$4,'Miljövärden urval för publ'!$B$2:$H$2,0),FALSE),"")</f>
        <v>22.2913</v>
      </c>
      <c r="F347">
        <f>IFERROR(VLOOKUP($C347,'Miljövärden urval för publ'!$B$2:$H$417,MATCH('Miljövärden för publ företag'!F$4,'Miljövärden urval för publ'!$B$2:$H$2,0),FALSE),"")</f>
        <v>7.2649999999999997</v>
      </c>
      <c r="G347">
        <f>IFERROR(VLOOKUP($C347,'Miljövärden urval för publ'!$B$2:$H$417,MATCH('Miljövärden för publ företag'!G$4,'Miljövärden urval för publ'!$B$2:$H$2,0),FALSE),"")</f>
        <v>1.32515E-3</v>
      </c>
      <c r="J347">
        <f t="shared" si="22"/>
        <v>130</v>
      </c>
      <c r="M347">
        <v>343</v>
      </c>
      <c r="N347" t="str">
        <f t="shared" si="23"/>
        <v/>
      </c>
      <c r="P347" s="155">
        <f t="shared" si="24"/>
        <v>0</v>
      </c>
      <c r="Q347" s="150" t="str">
        <f t="shared" si="21"/>
        <v/>
      </c>
    </row>
    <row r="348" spans="1:17" x14ac:dyDescent="0.45">
      <c r="A348">
        <v>345</v>
      </c>
      <c r="B348" s="2" t="str">
        <f>IFERROR(INDEX('Miljövärden urval för publ'!$A$2:$AA$420,MATCH('Miljövärden för publ företag'!$A348,'Miljövärden urval för publ'!$R$2:$R$417,0),1),"")</f>
        <v>Ystad Energi AB</v>
      </c>
      <c r="C348" s="2" t="str">
        <f>IFERROR(INDEX('Miljövärden urval för publ'!$A$2:$AA$420,MATCH('Miljövärden för publ företag'!$A348,'Miljövärden urval för publ'!$R$2:$R$417,0),2),"")</f>
        <v>Ystad</v>
      </c>
      <c r="D348">
        <f>IFERROR(VLOOKUP($C348,'Miljövärden urval för publ'!$B$2:$H$417,MATCH('Miljövärden för publ företag'!D$4,'Miljövärden urval för publ'!$B$2:$H$2,0),FALSE),"")</f>
        <v>5.4930100000000003E-2</v>
      </c>
      <c r="E348">
        <f>IFERROR(VLOOKUP($C348,'Miljövärden urval för publ'!$B$2:$H$417,MATCH('Miljövärden för publ företag'!E$4,'Miljövärden urval för publ'!$B$2:$H$2,0),FALSE),"")</f>
        <v>7.01044</v>
      </c>
      <c r="F348">
        <f>IFERROR(VLOOKUP($C348,'Miljövärden urval för publ'!$B$2:$H$417,MATCH('Miljövärden för publ företag'!F$4,'Miljövärden urval för publ'!$B$2:$H$2,0),FALSE),"")</f>
        <v>8.1275999999999993</v>
      </c>
      <c r="G348">
        <f>IFERROR(VLOOKUP($C348,'Miljövärden urval för publ'!$B$2:$H$417,MATCH('Miljövärden för publ företag'!G$4,'Miljövärden urval för publ'!$B$2:$H$2,0),FALSE),"")</f>
        <v>6.64906E-3</v>
      </c>
      <c r="J348">
        <f t="shared" si="22"/>
        <v>131</v>
      </c>
      <c r="M348">
        <v>344</v>
      </c>
      <c r="N348" t="str">
        <f t="shared" si="23"/>
        <v/>
      </c>
      <c r="P348" s="155">
        <f t="shared" si="24"/>
        <v>0</v>
      </c>
      <c r="Q348" s="150" t="str">
        <f t="shared" si="21"/>
        <v/>
      </c>
    </row>
    <row r="349" spans="1:17" x14ac:dyDescent="0.45">
      <c r="A349" s="160">
        <v>346</v>
      </c>
      <c r="B349" s="2" t="str">
        <f>IFERROR(INDEX('Miljövärden urval för publ'!$A$2:$AA$420,MATCH('Miljövärden för publ företag'!$A349,'Miljövärden urval för publ'!$R$2:$R$417,0),1),"")</f>
        <v>Ånge Energi AB</v>
      </c>
      <c r="C349" s="2" t="str">
        <f>IFERROR(INDEX('Miljövärden urval för publ'!$A$2:$AA$420,MATCH('Miljövärden för publ företag'!$A349,'Miljövärden urval för publ'!$R$2:$R$417,0),2),"")</f>
        <v>Fränsta</v>
      </c>
      <c r="D349">
        <f>IFERROR(VLOOKUP($C349,'Miljövärden urval för publ'!$B$2:$H$417,MATCH('Miljövärden för publ företag'!D$4,'Miljövärden urval för publ'!$B$2:$H$2,0),FALSE),"")</f>
        <v>0.18724399999999999</v>
      </c>
      <c r="E349">
        <f>IFERROR(VLOOKUP($C349,'Miljövärden urval för publ'!$B$2:$H$417,MATCH('Miljövärden för publ företag'!E$4,'Miljövärden urval för publ'!$B$2:$H$2,0),FALSE),"")</f>
        <v>7.9687799999999998</v>
      </c>
      <c r="F349">
        <f>IFERROR(VLOOKUP($C349,'Miljövärden urval för publ'!$B$2:$H$417,MATCH('Miljövärden för publ företag'!F$4,'Miljövärden urval för publ'!$B$2:$H$2,0),FALSE),"")</f>
        <v>17.156300000000002</v>
      </c>
      <c r="G349">
        <f>IFERROR(VLOOKUP($C349,'Miljövärden urval för publ'!$B$2:$H$417,MATCH('Miljövärden för publ företag'!G$4,'Miljövärden urval för publ'!$B$2:$H$2,0),FALSE),"")</f>
        <v>9.4649199999999999E-3</v>
      </c>
      <c r="J349">
        <f t="shared" si="22"/>
        <v>132</v>
      </c>
      <c r="M349">
        <v>345</v>
      </c>
      <c r="N349" t="str">
        <f t="shared" si="23"/>
        <v/>
      </c>
      <c r="P349" s="155">
        <f t="shared" si="24"/>
        <v>0</v>
      </c>
      <c r="Q349" s="150" t="str">
        <f t="shared" si="21"/>
        <v/>
      </c>
    </row>
    <row r="350" spans="1:17" x14ac:dyDescent="0.45">
      <c r="A350">
        <v>347</v>
      </c>
      <c r="B350" s="2" t="str">
        <f>IFERROR(INDEX('Miljövärden urval för publ'!$A$2:$AA$420,MATCH('Miljövärden för publ företag'!$A350,'Miljövärden urval för publ'!$R$2:$R$417,0),1),"")</f>
        <v>Ånge Energi AB</v>
      </c>
      <c r="C350" s="2" t="str">
        <f>IFERROR(INDEX('Miljövärden urval för publ'!$A$2:$AA$420,MATCH('Miljövärden för publ företag'!$A350,'Miljövärden urval för publ'!$R$2:$R$417,0),2),"")</f>
        <v>Ånge</v>
      </c>
      <c r="D350">
        <f>IFERROR(VLOOKUP($C350,'Miljövärden urval för publ'!$B$2:$H$417,MATCH('Miljövärden för publ företag'!D$4,'Miljövärden urval för publ'!$B$2:$H$2,0),FALSE),"")</f>
        <v>6.3453899999999994E-2</v>
      </c>
      <c r="E350">
        <f>IFERROR(VLOOKUP($C350,'Miljövärden urval för publ'!$B$2:$H$417,MATCH('Miljövärden för publ företag'!E$4,'Miljövärden urval för publ'!$B$2:$H$2,0),FALSE),"")</f>
        <v>2.1691799999999999</v>
      </c>
      <c r="F350">
        <f>IFERROR(VLOOKUP($C350,'Miljövärden urval för publ'!$B$2:$H$417,MATCH('Miljövärden för publ företag'!F$4,'Miljövärden urval för publ'!$B$2:$H$2,0),FALSE),"")</f>
        <v>2.9869300000000001</v>
      </c>
      <c r="G350">
        <f>IFERROR(VLOOKUP($C350,'Miljövärden urval för publ'!$B$2:$H$417,MATCH('Miljövärden för publ företag'!G$4,'Miljövärden urval för publ'!$B$2:$H$2,0),FALSE),"")</f>
        <v>1.9457999999999999E-3</v>
      </c>
      <c r="J350">
        <f t="shared" si="22"/>
        <v>132</v>
      </c>
      <c r="M350">
        <v>346</v>
      </c>
      <c r="N350" t="str">
        <f t="shared" si="23"/>
        <v/>
      </c>
      <c r="P350" s="155">
        <f t="shared" si="24"/>
        <v>0</v>
      </c>
      <c r="Q350" s="150" t="str">
        <f t="shared" si="21"/>
        <v/>
      </c>
    </row>
    <row r="351" spans="1:17" x14ac:dyDescent="0.45">
      <c r="A351">
        <v>348</v>
      </c>
      <c r="B351" s="2" t="str">
        <f>IFERROR(INDEX('Miljövärden urval för publ'!$A$2:$AA$420,MATCH('Miljövärden för publ företag'!$A351,'Miljövärden urval för publ'!$R$2:$R$417,0),1),"")</f>
        <v>Öresundskraft AB</v>
      </c>
      <c r="C351" s="2" t="str">
        <f>IFERROR(INDEX('Miljövärden urval för publ'!$A$2:$AA$420,MATCH('Miljövärden för publ företag'!$A351,'Miljövärden urval för publ'!$R$2:$R$417,0),2),"")</f>
        <v>Helsingborg</v>
      </c>
      <c r="D351">
        <f>IFERROR(VLOOKUP($C351,'Miljövärden urval för publ'!$B$2:$H$417,MATCH('Miljövärden för publ företag'!D$4,'Miljövärden urval för publ'!$B$2:$H$2,0),FALSE),"")</f>
        <v>6.5241800000000003E-2</v>
      </c>
      <c r="E351">
        <f>IFERROR(VLOOKUP($C351,'Miljövärden urval för publ'!$B$2:$H$417,MATCH('Miljövärden för publ företag'!E$4,'Miljövärden urval för publ'!$B$2:$H$2,0),FALSE),"")</f>
        <v>47.108400000000003</v>
      </c>
      <c r="F351">
        <f>IFERROR(VLOOKUP($C351,'Miljövärden urval för publ'!$B$2:$H$417,MATCH('Miljövärden för publ företag'!F$4,'Miljövärden urval för publ'!$B$2:$H$2,0),FALSE),"")</f>
        <v>3.24214</v>
      </c>
      <c r="G351">
        <f>IFERROR(VLOOKUP($C351,'Miljövärden urval för publ'!$B$2:$H$417,MATCH('Miljövärden för publ företag'!G$4,'Miljövärden urval för publ'!$B$2:$H$2,0),FALSE),"")</f>
        <v>2.3326900000000001E-3</v>
      </c>
      <c r="J351">
        <f t="shared" si="22"/>
        <v>133</v>
      </c>
      <c r="M351">
        <v>347</v>
      </c>
      <c r="N351" t="str">
        <f t="shared" si="23"/>
        <v/>
      </c>
      <c r="P351" s="155">
        <f t="shared" si="24"/>
        <v>0</v>
      </c>
      <c r="Q351" s="150" t="str">
        <f t="shared" si="21"/>
        <v/>
      </c>
    </row>
    <row r="352" spans="1:17" x14ac:dyDescent="0.45">
      <c r="A352" s="160">
        <v>349</v>
      </c>
      <c r="B352" s="2" t="str">
        <f>IFERROR(INDEX('Miljövärden urval för publ'!$A$2:$AA$420,MATCH('Miljövärden för publ företag'!$A352,'Miljövärden urval för publ'!$R$2:$R$417,0),1),"")</f>
        <v>Öresundskraft AB</v>
      </c>
      <c r="C352" s="2" t="str">
        <f>IFERROR(INDEX('Miljövärden urval för publ'!$A$2:$AA$420,MATCH('Miljövärden för publ företag'!$A352,'Miljövärden urval för publ'!$R$2:$R$417,0),2),"")</f>
        <v>Hjärnarp</v>
      </c>
      <c r="D352">
        <f>IFERROR(VLOOKUP($C352,'Miljövärden urval för publ'!$B$2:$H$417,MATCH('Miljövärden för publ företag'!D$4,'Miljövärden urval för publ'!$B$2:$H$2,0),FALSE),"")</f>
        <v>0.18904899999999999</v>
      </c>
      <c r="E352">
        <f>IFERROR(VLOOKUP($C352,'Miljövärden urval för publ'!$B$2:$H$417,MATCH('Miljövärden för publ företag'!E$4,'Miljövärden urval för publ'!$B$2:$H$2,0),FALSE),"")</f>
        <v>7.1672099999999999</v>
      </c>
      <c r="F352">
        <f>IFERROR(VLOOKUP($C352,'Miljövärden urval för publ'!$B$2:$H$417,MATCH('Miljövärden för publ företag'!F$4,'Miljövärden urval för publ'!$B$2:$H$2,0),FALSE),"")</f>
        <v>19.078700000000001</v>
      </c>
      <c r="G352">
        <f>IFERROR(VLOOKUP($C352,'Miljövärden urval för publ'!$B$2:$H$417,MATCH('Miljövärden för publ företag'!G$4,'Miljövärden urval för publ'!$B$2:$H$2,0),FALSE),"")</f>
        <v>4.7208800000000002E-3</v>
      </c>
      <c r="J352">
        <f t="shared" si="22"/>
        <v>133</v>
      </c>
      <c r="M352">
        <v>348</v>
      </c>
      <c r="N352" t="str">
        <f t="shared" si="23"/>
        <v/>
      </c>
      <c r="P352" s="155">
        <f t="shared" si="24"/>
        <v>0</v>
      </c>
      <c r="Q352" s="150" t="str">
        <f t="shared" si="21"/>
        <v/>
      </c>
    </row>
    <row r="353" spans="1:17" x14ac:dyDescent="0.45">
      <c r="A353">
        <v>350</v>
      </c>
      <c r="B353" s="2" t="str">
        <f>IFERROR(INDEX('Miljövärden urval för publ'!$A$2:$AA$420,MATCH('Miljövärden för publ företag'!$A353,'Miljövärden urval för publ'!$R$2:$R$417,0),1),"")</f>
        <v>Öresundskraft AB</v>
      </c>
      <c r="C353" s="2" t="str">
        <f>IFERROR(INDEX('Miljövärden urval för publ'!$A$2:$AA$420,MATCH('Miljövärden för publ företag'!$A353,'Miljövärden urval för publ'!$R$2:$R$417,0),2),"")</f>
        <v>Vejbystrand</v>
      </c>
      <c r="D353">
        <f>IFERROR(VLOOKUP($C353,'Miljövärden urval för publ'!$B$2:$H$417,MATCH('Miljövärden för publ företag'!D$4,'Miljövärden urval för publ'!$B$2:$H$2,0),FALSE),"")</f>
        <v>0.21837699999999999</v>
      </c>
      <c r="E353">
        <f>IFERROR(VLOOKUP($C353,'Miljövärden urval för publ'!$B$2:$H$417,MATCH('Miljövärden för publ företag'!E$4,'Miljövärden urval för publ'!$B$2:$H$2,0),FALSE),"")</f>
        <v>7.5205500000000001</v>
      </c>
      <c r="F353">
        <f>IFERROR(VLOOKUP($C353,'Miljövärden urval för publ'!$B$2:$H$417,MATCH('Miljövärden för publ företag'!F$4,'Miljövärden urval för publ'!$B$2:$H$2,0),FALSE),"")</f>
        <v>23.184899999999999</v>
      </c>
      <c r="G353">
        <f>IFERROR(VLOOKUP($C353,'Miljövärden urval för publ'!$B$2:$H$417,MATCH('Miljövärden för publ företag'!G$4,'Miljövärden urval för publ'!$B$2:$H$2,0),FALSE),"")</f>
        <v>2.0335100000000001E-3</v>
      </c>
      <c r="J353">
        <f t="shared" si="22"/>
        <v>133</v>
      </c>
      <c r="M353">
        <v>349</v>
      </c>
      <c r="N353" t="str">
        <f t="shared" si="23"/>
        <v/>
      </c>
      <c r="P353" s="155">
        <f t="shared" si="24"/>
        <v>0</v>
      </c>
      <c r="Q353" s="150" t="str">
        <f t="shared" si="21"/>
        <v/>
      </c>
    </row>
    <row r="354" spans="1:17" x14ac:dyDescent="0.45">
      <c r="A354">
        <v>351</v>
      </c>
      <c r="B354" s="2" t="str">
        <f>IFERROR(INDEX('Miljövärden urval för publ'!$A$2:$AA$420,MATCH('Miljövärden för publ företag'!$A354,'Miljövärden urval för publ'!$R$2:$R$417,0),1),"")</f>
        <v>Öresundskraft AB</v>
      </c>
      <c r="C354" s="2" t="str">
        <f>IFERROR(INDEX('Miljövärden urval för publ'!$A$2:$AA$420,MATCH('Miljövärden för publ företag'!$A354,'Miljövärden urval för publ'!$R$2:$R$417,0),2),"")</f>
        <v>Ängelholm</v>
      </c>
      <c r="D354">
        <f>IFERROR(VLOOKUP($C354,'Miljövärden urval för publ'!$B$2:$H$417,MATCH('Miljövärden för publ företag'!D$4,'Miljövärden urval för publ'!$B$2:$H$2,0),FALSE),"")</f>
        <v>0.135268</v>
      </c>
      <c r="E354">
        <f>IFERROR(VLOOKUP($C354,'Miljövärden urval för publ'!$B$2:$H$417,MATCH('Miljövärden för publ företag'!E$4,'Miljövärden urval för publ'!$B$2:$H$2,0),FALSE),"")</f>
        <v>9.2236499999999992</v>
      </c>
      <c r="F354">
        <f>IFERROR(VLOOKUP($C354,'Miljövärden urval för publ'!$B$2:$H$417,MATCH('Miljövärden för publ företag'!F$4,'Miljövärden urval för publ'!$B$2:$H$2,0),FALSE),"")</f>
        <v>4.7250100000000002</v>
      </c>
      <c r="G354">
        <f>IFERROR(VLOOKUP($C354,'Miljövärden urval för publ'!$B$2:$H$417,MATCH('Miljövärden för publ företag'!G$4,'Miljövärden urval för publ'!$B$2:$H$2,0),FALSE),"")</f>
        <v>7.0168100000000001E-3</v>
      </c>
      <c r="J354">
        <f t="shared" si="22"/>
        <v>133</v>
      </c>
      <c r="M354">
        <v>350</v>
      </c>
      <c r="N354" t="str">
        <f t="shared" si="23"/>
        <v/>
      </c>
      <c r="P354" s="155">
        <f t="shared" si="24"/>
        <v>0</v>
      </c>
      <c r="Q354" s="150" t="str">
        <f t="shared" si="21"/>
        <v/>
      </c>
    </row>
    <row r="355" spans="1:17" x14ac:dyDescent="0.45">
      <c r="A355" s="160">
        <v>352</v>
      </c>
      <c r="B355" s="2" t="str">
        <f>IFERROR(INDEX('Miljövärden urval för publ'!$A$2:$AA$420,MATCH('Miljövärden för publ företag'!$A355,'Miljövärden urval för publ'!$R$2:$R$417,0),1),"")</f>
        <v>Örkelljunga Fjärrvärmeverk AB</v>
      </c>
      <c r="C355" s="2" t="str">
        <f>IFERROR(INDEX('Miljövärden urval för publ'!$A$2:$AA$420,MATCH('Miljövärden för publ företag'!$A355,'Miljövärden urval för publ'!$R$2:$R$417,0),2),"")</f>
        <v>Örkelljunga</v>
      </c>
      <c r="D355">
        <f>IFERROR(VLOOKUP($C355,'Miljövärden urval för publ'!$B$2:$H$417,MATCH('Miljövärden för publ företag'!D$4,'Miljövärden urval för publ'!$B$2:$H$2,0),FALSE),"")</f>
        <v>0.114703</v>
      </c>
      <c r="E355">
        <f>IFERROR(VLOOKUP($C355,'Miljövärden urval för publ'!$B$2:$H$417,MATCH('Miljövärden för publ företag'!E$4,'Miljövärden urval för publ'!$B$2:$H$2,0),FALSE),"")</f>
        <v>14.472300000000001</v>
      </c>
      <c r="F355">
        <f>IFERROR(VLOOKUP($C355,'Miljövärden urval för publ'!$B$2:$H$417,MATCH('Miljövärden för publ företag'!F$4,'Miljövärden urval för publ'!$B$2:$H$2,0),FALSE),"")</f>
        <v>10.4664</v>
      </c>
      <c r="G355">
        <f>IFERROR(VLOOKUP($C355,'Miljövärden urval för publ'!$B$2:$H$417,MATCH('Miljövärden för publ företag'!G$4,'Miljövärden urval för publ'!$B$2:$H$2,0),FALSE),"")</f>
        <v>8.5240999999999997E-3</v>
      </c>
      <c r="J355">
        <f t="shared" si="22"/>
        <v>134</v>
      </c>
      <c r="M355">
        <v>351</v>
      </c>
      <c r="N355" t="str">
        <f t="shared" si="23"/>
        <v/>
      </c>
      <c r="P355" s="155">
        <f t="shared" si="24"/>
        <v>0</v>
      </c>
      <c r="Q355" s="150" t="str">
        <f t="shared" si="21"/>
        <v/>
      </c>
    </row>
    <row r="356" spans="1:17" x14ac:dyDescent="0.45">
      <c r="A356">
        <v>353</v>
      </c>
      <c r="B356" s="2" t="str">
        <f>IFERROR(INDEX('Miljövärden urval för publ'!$A$2:$AA$420,MATCH('Miljövärden för publ företag'!$A356,'Miljövärden urval för publ'!$R$2:$R$417,0),1),"")</f>
        <v>Österlens Kraft AB</v>
      </c>
      <c r="C356" s="2" t="str">
        <f>IFERROR(INDEX('Miljövärden urval för publ'!$A$2:$AA$420,MATCH('Miljövärden för publ företag'!$A356,'Miljövärden urval för publ'!$R$2:$R$417,0),2),"")</f>
        <v>Simrishamn</v>
      </c>
      <c r="D356">
        <f>IFERROR(VLOOKUP($C356,'Miljövärden urval för publ'!$B$2:$H$417,MATCH('Miljövärden för publ företag'!D$4,'Miljövärden urval för publ'!$B$2:$H$2,0),FALSE),"")</f>
        <v>0.11793099999999999</v>
      </c>
      <c r="E356">
        <f>IFERROR(VLOOKUP($C356,'Miljövärden urval för publ'!$B$2:$H$417,MATCH('Miljövärden för publ företag'!E$4,'Miljövärden urval för publ'!$B$2:$H$2,0),FALSE),"")</f>
        <v>16.270199999999999</v>
      </c>
      <c r="F356">
        <f>IFERROR(VLOOKUP($C356,'Miljövärden urval för publ'!$B$2:$H$417,MATCH('Miljövärden för publ företag'!F$4,'Miljövärden urval för publ'!$B$2:$H$2,0),FALSE),"")</f>
        <v>8.51844</v>
      </c>
      <c r="G356">
        <f>IFERROR(VLOOKUP($C356,'Miljövärden urval för publ'!$B$2:$H$417,MATCH('Miljövärden för publ företag'!G$4,'Miljövärden urval för publ'!$B$2:$H$2,0),FALSE),"")</f>
        <v>2.1150200000000001E-2</v>
      </c>
      <c r="J356">
        <f t="shared" si="22"/>
        <v>135</v>
      </c>
      <c r="M356">
        <v>352</v>
      </c>
      <c r="N356" t="str">
        <f t="shared" si="23"/>
        <v/>
      </c>
      <c r="P356" s="155">
        <f t="shared" si="24"/>
        <v>0</v>
      </c>
      <c r="Q356" s="150" t="str">
        <f t="shared" si="21"/>
        <v/>
      </c>
    </row>
    <row r="357" spans="1:17" x14ac:dyDescent="0.45">
      <c r="A357">
        <v>354</v>
      </c>
      <c r="B357" s="2" t="str">
        <f>IFERROR(INDEX('Miljövärden urval för publ'!$A$2:$AA$420,MATCH('Miljövärden för publ företag'!$A357,'Miljövärden urval för publ'!$R$2:$R$417,0),1),"")</f>
        <v>Övik Energi AB</v>
      </c>
      <c r="C357" s="2" t="str">
        <f>IFERROR(INDEX('Miljövärden urval för publ'!$A$2:$AA$420,MATCH('Miljövärden för publ företag'!$A357,'Miljövärden urval för publ'!$R$2:$R$417,0),2),"")</f>
        <v>Bjästa</v>
      </c>
      <c r="D357">
        <f>IFERROR(VLOOKUP($C357,'Miljövärden urval för publ'!$B$2:$H$417,MATCH('Miljövärden för publ företag'!D$4,'Miljövärden urval för publ'!$B$2:$H$2,0),FALSE),"")</f>
        <v>8.0144300000000002E-2</v>
      </c>
      <c r="E357">
        <f>IFERROR(VLOOKUP($C357,'Miljövärden urval för publ'!$B$2:$H$417,MATCH('Miljövärden för publ företag'!E$4,'Miljövärden urval för publ'!$B$2:$H$2,0),FALSE),"")</f>
        <v>19.0944</v>
      </c>
      <c r="F357">
        <f>IFERROR(VLOOKUP($C357,'Miljövärden urval för publ'!$B$2:$H$417,MATCH('Miljövärden för publ företag'!F$4,'Miljövärden urval för publ'!$B$2:$H$2,0),FALSE),"")</f>
        <v>8.7669300000000003</v>
      </c>
      <c r="G357">
        <f>IFERROR(VLOOKUP($C357,'Miljövärden urval för publ'!$B$2:$H$417,MATCH('Miljövärden för publ företag'!G$4,'Miljövärden urval för publ'!$B$2:$H$2,0),FALSE),"")</f>
        <v>2.1246600000000001E-2</v>
      </c>
      <c r="J357">
        <f t="shared" si="22"/>
        <v>136</v>
      </c>
      <c r="M357">
        <v>353</v>
      </c>
      <c r="N357" t="str">
        <f t="shared" si="23"/>
        <v/>
      </c>
      <c r="P357" s="155">
        <f t="shared" si="24"/>
        <v>0</v>
      </c>
      <c r="Q357" s="150" t="str">
        <f t="shared" si="21"/>
        <v/>
      </c>
    </row>
    <row r="358" spans="1:17" x14ac:dyDescent="0.45">
      <c r="A358" s="160">
        <v>355</v>
      </c>
      <c r="B358" s="2" t="str">
        <f>IFERROR(INDEX('Miljövärden urval för publ'!$A$2:$AA$420,MATCH('Miljövärden för publ företag'!$A358,'Miljövärden urval för publ'!$R$2:$R$417,0),1),"")</f>
        <v>Övik Energi AB</v>
      </c>
      <c r="C358" s="2" t="str">
        <f>IFERROR(INDEX('Miljövärden urval för publ'!$A$2:$AA$420,MATCH('Miljövärden för publ företag'!$A358,'Miljövärden urval för publ'!$R$2:$R$417,0),2),"")</f>
        <v>Bredbyn</v>
      </c>
      <c r="D358">
        <f>IFERROR(VLOOKUP($C358,'Miljövärden urval för publ'!$B$2:$H$417,MATCH('Miljövärden för publ företag'!D$4,'Miljövärden urval för publ'!$B$2:$H$2,0),FALSE),"")</f>
        <v>9.1185199999999994E-2</v>
      </c>
      <c r="E358">
        <f>IFERROR(VLOOKUP($C358,'Miljövärden urval för publ'!$B$2:$H$417,MATCH('Miljövärden för publ företag'!E$4,'Miljövärden urval för publ'!$B$2:$H$2,0),FALSE),"")</f>
        <v>24.7562</v>
      </c>
      <c r="F358">
        <f>IFERROR(VLOOKUP($C358,'Miljövärden urval för publ'!$B$2:$H$417,MATCH('Miljövärden för publ företag'!F$4,'Miljövärden urval för publ'!$B$2:$H$2,0),FALSE),"")</f>
        <v>7.4907700000000004</v>
      </c>
      <c r="G358">
        <f>IFERROR(VLOOKUP($C358,'Miljövärden urval för publ'!$B$2:$H$417,MATCH('Miljövärden för publ företag'!G$4,'Miljövärden urval för publ'!$B$2:$H$2,0),FALSE),"")</f>
        <v>3.71142E-2</v>
      </c>
      <c r="J358">
        <f t="shared" si="22"/>
        <v>136</v>
      </c>
      <c r="M358">
        <v>354</v>
      </c>
      <c r="N358" t="str">
        <f t="shared" si="23"/>
        <v/>
      </c>
      <c r="P358" s="155">
        <f t="shared" si="24"/>
        <v>0</v>
      </c>
      <c r="Q358" s="150" t="str">
        <f t="shared" si="21"/>
        <v/>
      </c>
    </row>
    <row r="359" spans="1:17" x14ac:dyDescent="0.45">
      <c r="A359">
        <v>356</v>
      </c>
      <c r="B359" s="2" t="str">
        <f>IFERROR(INDEX('Miljövärden urval för publ'!$A$2:$AA$420,MATCH('Miljövärden för publ företag'!$A359,'Miljövärden urval för publ'!$R$2:$R$417,0),1),"")</f>
        <v>Övik Energi AB</v>
      </c>
      <c r="C359" s="2" t="str">
        <f>IFERROR(INDEX('Miljövärden urval för publ'!$A$2:$AA$420,MATCH('Miljövärden för publ företag'!$A359,'Miljövärden urval för publ'!$R$2:$R$417,0),2),"")</f>
        <v>Husum</v>
      </c>
      <c r="D359">
        <f>IFERROR(VLOOKUP($C359,'Miljövärden urval för publ'!$B$2:$H$417,MATCH('Miljövärden för publ företag'!D$4,'Miljövärden urval för publ'!$B$2:$H$2,0),FALSE),"")</f>
        <v>0.101759</v>
      </c>
      <c r="E359">
        <f>IFERROR(VLOOKUP($C359,'Miljövärden urval för publ'!$B$2:$H$417,MATCH('Miljövärden för publ företag'!E$4,'Miljövärden urval för publ'!$B$2:$H$2,0),FALSE),"")</f>
        <v>14.9811</v>
      </c>
      <c r="F359">
        <f>IFERROR(VLOOKUP($C359,'Miljövärden urval för publ'!$B$2:$H$417,MATCH('Miljövärden för publ företag'!F$4,'Miljövärden urval för publ'!$B$2:$H$2,0),FALSE),"")</f>
        <v>3.0325299999999999</v>
      </c>
      <c r="G359">
        <f>IFERROR(VLOOKUP($C359,'Miljövärden urval för publ'!$B$2:$H$417,MATCH('Miljövärden för publ företag'!G$4,'Miljövärden urval för publ'!$B$2:$H$2,0),FALSE),"")</f>
        <v>2.35912E-2</v>
      </c>
      <c r="J359">
        <f t="shared" si="22"/>
        <v>136</v>
      </c>
      <c r="M359">
        <v>355</v>
      </c>
      <c r="N359" t="str">
        <f t="shared" si="23"/>
        <v/>
      </c>
      <c r="P359" s="155">
        <f t="shared" si="24"/>
        <v>0</v>
      </c>
      <c r="Q359" s="150" t="str">
        <f t="shared" si="21"/>
        <v/>
      </c>
    </row>
    <row r="360" spans="1:17" x14ac:dyDescent="0.45">
      <c r="A360">
        <v>357</v>
      </c>
      <c r="B360" s="2" t="str">
        <f>IFERROR(INDEX('Miljövärden urval för publ'!$A$2:$AA$420,MATCH('Miljövärden för publ företag'!$A360,'Miljövärden urval för publ'!$R$2:$R$417,0),1),"")</f>
        <v>Övik Energi AB</v>
      </c>
      <c r="C360" s="2" t="str">
        <f>IFERROR(INDEX('Miljövärden urval för publ'!$A$2:$AA$420,MATCH('Miljövärden för publ företag'!$A360,'Miljövärden urval för publ'!$R$2:$R$417,0),2),"")</f>
        <v>Moliden</v>
      </c>
      <c r="D360">
        <f>IFERROR(VLOOKUP($C360,'Miljövärden urval för publ'!$B$2:$H$417,MATCH('Miljövärden för publ företag'!D$4,'Miljövärden urval för publ'!$B$2:$H$2,0),FALSE),"")</f>
        <v>0.184507</v>
      </c>
      <c r="E360">
        <f>IFERROR(VLOOKUP($C360,'Miljövärden urval för publ'!$B$2:$H$417,MATCH('Miljövärden för publ företag'!E$4,'Miljövärden urval för publ'!$B$2:$H$2,0),FALSE),"")</f>
        <v>12.1602</v>
      </c>
      <c r="F360">
        <f>IFERROR(VLOOKUP($C360,'Miljövärden urval för publ'!$B$2:$H$417,MATCH('Miljövärden för publ företag'!F$4,'Miljövärden urval för publ'!$B$2:$H$2,0),FALSE),"")</f>
        <v>21.219100000000001</v>
      </c>
      <c r="G360">
        <f>IFERROR(VLOOKUP($C360,'Miljövärden urval för publ'!$B$2:$H$417,MATCH('Miljövärden för publ företag'!G$4,'Miljövärden urval för publ'!$B$2:$H$2,0),FALSE),"")</f>
        <v>1.0679900000000001E-2</v>
      </c>
      <c r="J360">
        <f t="shared" si="22"/>
        <v>136</v>
      </c>
      <c r="M360">
        <v>356</v>
      </c>
      <c r="N360" t="str">
        <f t="shared" si="23"/>
        <v/>
      </c>
      <c r="P360" s="155">
        <f t="shared" si="24"/>
        <v>0</v>
      </c>
      <c r="Q360" s="150" t="str">
        <f t="shared" si="21"/>
        <v/>
      </c>
    </row>
    <row r="361" spans="1:17" x14ac:dyDescent="0.45">
      <c r="A361" s="160">
        <v>358</v>
      </c>
      <c r="B361" s="2" t="str">
        <f>IFERROR(INDEX('Miljövärden urval för publ'!$A$2:$AA$420,MATCH('Miljövärden för publ företag'!$A361,'Miljövärden urval för publ'!$R$2:$R$417,0),1),"")</f>
        <v>Övik Energi AB</v>
      </c>
      <c r="C361" s="2" t="str">
        <f>IFERROR(INDEX('Miljövärden urval för publ'!$A$2:$AA$420,MATCH('Miljövärden för publ företag'!$A361,'Miljövärden urval för publ'!$R$2:$R$417,0),2),"")</f>
        <v>Processånga</v>
      </c>
      <c r="D361">
        <f>IFERROR(VLOOKUP($C361,'Miljövärden urval för publ'!$B$2:$H$417,MATCH('Miljövärden för publ företag'!D$4,'Miljövärden urval för publ'!$B$2:$H$2,0),FALSE),"")</f>
        <v>0.209227</v>
      </c>
      <c r="E361">
        <f>IFERROR(VLOOKUP($C361,'Miljövärden urval för publ'!$B$2:$H$417,MATCH('Miljövärden för publ företag'!E$4,'Miljövärden urval för publ'!$B$2:$H$2,0),FALSE),"")</f>
        <v>69.470799999999997</v>
      </c>
      <c r="F361">
        <f>IFERROR(VLOOKUP($C361,'Miljövärden urval för publ'!$B$2:$H$417,MATCH('Miljövärden för publ företag'!F$4,'Miljövärden urval för publ'!$B$2:$H$2,0),FALSE),"")</f>
        <v>11.3935</v>
      </c>
      <c r="G361">
        <f>IFERROR(VLOOKUP($C361,'Miljövärden urval för publ'!$B$2:$H$417,MATCH('Miljövärden för publ företag'!G$4,'Miljövärden urval för publ'!$B$2:$H$2,0),FALSE),"")</f>
        <v>3.44818E-2</v>
      </c>
      <c r="J361">
        <f t="shared" si="22"/>
        <v>136</v>
      </c>
      <c r="M361">
        <v>357</v>
      </c>
      <c r="N361" t="str">
        <f t="shared" si="23"/>
        <v/>
      </c>
      <c r="P361" s="155">
        <f t="shared" si="24"/>
        <v>0</v>
      </c>
      <c r="Q361" s="150" t="str">
        <f t="shared" si="21"/>
        <v/>
      </c>
    </row>
    <row r="362" spans="1:17" x14ac:dyDescent="0.45">
      <c r="A362">
        <v>359</v>
      </c>
      <c r="B362" s="2" t="str">
        <f>IFERROR(INDEX('Miljövärden urval för publ'!$A$2:$AA$420,MATCH('Miljövärden för publ företag'!$A362,'Miljövärden urval för publ'!$R$2:$R$417,0),1),"")</f>
        <v>Övik Energi AB</v>
      </c>
      <c r="C362" s="2" t="str">
        <f>IFERROR(INDEX('Miljövärden urval för publ'!$A$2:$AA$420,MATCH('Miljövärden för publ företag'!$A362,'Miljövärden urval för publ'!$R$2:$R$417,0),2),"")</f>
        <v>Örnsköldsvik</v>
      </c>
      <c r="D362">
        <f>IFERROR(VLOOKUP($C362,'Miljövärden urval för publ'!$B$2:$H$417,MATCH('Miljövärden för publ företag'!D$4,'Miljövärden urval för publ'!$B$2:$H$2,0),FALSE),"")</f>
        <v>0.124075</v>
      </c>
      <c r="E362">
        <f>IFERROR(VLOOKUP($C362,'Miljövärden urval för publ'!$B$2:$H$417,MATCH('Miljövärden för publ företag'!E$4,'Miljövärden urval för publ'!$B$2:$H$2,0),FALSE),"")</f>
        <v>42.799900000000001</v>
      </c>
      <c r="F362">
        <f>IFERROR(VLOOKUP($C362,'Miljövärden urval för publ'!$B$2:$H$417,MATCH('Miljövärden för publ företag'!F$4,'Miljövärden urval för publ'!$B$2:$H$2,0),FALSE),"")</f>
        <v>7.1571699999999998</v>
      </c>
      <c r="G362">
        <f>IFERROR(VLOOKUP($C362,'Miljövärden urval för publ'!$B$2:$H$417,MATCH('Miljövärden för publ företag'!G$4,'Miljövärden urval för publ'!$B$2:$H$2,0),FALSE),"")</f>
        <v>6.1113799999999996E-3</v>
      </c>
      <c r="J362">
        <f t="shared" si="22"/>
        <v>136</v>
      </c>
      <c r="M362">
        <v>357</v>
      </c>
      <c r="N362" t="str">
        <f t="shared" si="23"/>
        <v/>
      </c>
      <c r="P362" s="155">
        <f t="shared" si="24"/>
        <v>0</v>
      </c>
      <c r="Q362" s="150" t="str">
        <f t="shared" si="21"/>
        <v/>
      </c>
    </row>
    <row r="363" spans="1:17" x14ac:dyDescent="0.45">
      <c r="A363">
        <v>360</v>
      </c>
      <c r="B363" s="2" t="str">
        <f>IFERROR(INDEX('Miljövärden urval för publ'!$A$2:$AA$420,MATCH('Miljövärden för publ företag'!$A363,'Miljövärden urval för publ'!$R$2:$R$417,0),1),"")</f>
        <v/>
      </c>
      <c r="C363" s="2" t="str">
        <f>IFERROR(INDEX('Miljövärden urval för publ'!$A$2:$AA$420,MATCH('Miljövärden för publ företag'!$A363,'Miljövärden urval för publ'!$R$2:$R$417,0),2),"")</f>
        <v/>
      </c>
      <c r="D363" t="str">
        <f>IFERROR(VLOOKUP($C363,'Miljövärden urval för publ'!$B$2:$H$417,MATCH('Miljövärden för publ företag'!D$4,'Miljövärden urval för publ'!$B$2:$H$2,0),FALSE),"")</f>
        <v/>
      </c>
      <c r="E363" t="str">
        <f>IFERROR(VLOOKUP($C363,'Miljövärden urval för publ'!$B$2:$H$417,MATCH('Miljövärden för publ företag'!E$4,'Miljövärden urval för publ'!$B$2:$H$2,0),FALSE),"")</f>
        <v/>
      </c>
      <c r="F363" t="str">
        <f>IFERROR(VLOOKUP($C363,'Miljövärden urval för publ'!$B$2:$H$417,MATCH('Miljövärden för publ företag'!F$4,'Miljövärden urval för publ'!$B$2:$H$2,0),FALSE),"")</f>
        <v/>
      </c>
      <c r="G363" t="str">
        <f>IFERROR(VLOOKUP($C363,'Miljövärden urval för publ'!$B$2:$H$417,MATCH('Miljövärden för publ företag'!G$4,'Miljövärden urval för publ'!$B$2:$H$2,0),FALSE),"")</f>
        <v/>
      </c>
      <c r="J363">
        <f t="shared" si="22"/>
        <v>137</v>
      </c>
      <c r="M363">
        <v>357</v>
      </c>
      <c r="N363" t="str">
        <f t="shared" si="23"/>
        <v/>
      </c>
      <c r="P363" s="155">
        <f t="shared" si="24"/>
        <v>0</v>
      </c>
      <c r="Q363" s="150" t="str">
        <f t="shared" si="21"/>
        <v/>
      </c>
    </row>
    <row r="364" spans="1:17" x14ac:dyDescent="0.45">
      <c r="A364" s="160">
        <v>361</v>
      </c>
      <c r="B364" s="2" t="str">
        <f>IFERROR(INDEX('Miljövärden urval för publ'!$A$2:$AA$420,MATCH('Miljövärden för publ företag'!$A364,'Miljövärden urval för publ'!$R$2:$R$417,0),1),"")</f>
        <v/>
      </c>
      <c r="C364" s="2" t="str">
        <f>IFERROR(INDEX('Miljövärden urval för publ'!$A$2:$AA$420,MATCH('Miljövärden för publ företag'!$A364,'Miljövärden urval för publ'!$R$2:$R$417,0),2),"")</f>
        <v/>
      </c>
      <c r="D364" t="str">
        <f>IFERROR(VLOOKUP($C364,'Miljövärden urval för publ'!$B$2:$H$417,MATCH('Miljövärden för publ företag'!D$4,'Miljövärden urval för publ'!$B$2:$H$2,0),FALSE),"")</f>
        <v/>
      </c>
      <c r="E364" t="str">
        <f>IFERROR(VLOOKUP($C364,'Miljövärden urval för publ'!$B$2:$H$417,MATCH('Miljövärden för publ företag'!E$4,'Miljövärden urval för publ'!$B$2:$H$2,0),FALSE),"")</f>
        <v/>
      </c>
      <c r="F364" t="str">
        <f>IFERROR(VLOOKUP($C364,'Miljövärden urval för publ'!$B$2:$H$417,MATCH('Miljövärden för publ företag'!F$4,'Miljövärden urval för publ'!$B$2:$H$2,0),FALSE),"")</f>
        <v/>
      </c>
      <c r="G364" t="str">
        <f>IFERROR(VLOOKUP($C364,'Miljövärden urval för publ'!$B$2:$H$417,MATCH('Miljövärden för publ företag'!G$4,'Miljövärden urval för publ'!$B$2:$H$2,0),FALSE),"")</f>
        <v/>
      </c>
      <c r="J364">
        <f t="shared" si="22"/>
        <v>137</v>
      </c>
      <c r="M364">
        <v>357</v>
      </c>
      <c r="N364" t="str">
        <f t="shared" si="23"/>
        <v/>
      </c>
      <c r="P364" s="155">
        <f t="shared" si="24"/>
        <v>0</v>
      </c>
      <c r="Q364" s="150" t="str">
        <f>IF(B364=$R$2,C364,"")</f>
        <v/>
      </c>
    </row>
    <row r="365" spans="1:17" x14ac:dyDescent="0.45">
      <c r="A365" s="160">
        <v>362</v>
      </c>
      <c r="B365" s="2" t="str">
        <f>IFERROR(INDEX('Miljövärden urval för publ'!$A$2:$AA$420,MATCH('Miljövärden för publ företag'!$A365,'Miljövärden urval för publ'!$R$2:$R$417,0),1),"")</f>
        <v/>
      </c>
      <c r="C365" s="2" t="str">
        <f>IFERROR(INDEX('Miljövärden urval för publ'!$A$2:$AA$420,MATCH('Miljövärden för publ företag'!$A365,'Miljövärden urval för publ'!$R$2:$R$417,0),2),"")</f>
        <v/>
      </c>
      <c r="D365" t="str">
        <f>IFERROR(VLOOKUP($C365,'Miljövärden urval för publ'!$B$2:$H$417,MATCH('Miljövärden för publ företag'!D$4,'Miljövärden urval för publ'!$B$2:$H$2,0),FALSE),"")</f>
        <v/>
      </c>
      <c r="E365" t="str">
        <f>IFERROR(VLOOKUP($C365,'Miljövärden urval för publ'!$B$2:$H$417,MATCH('Miljövärden för publ företag'!E$4,'Miljövärden urval för publ'!$B$2:$H$2,0),FALSE),"")</f>
        <v/>
      </c>
      <c r="F365" t="str">
        <f>IFERROR(VLOOKUP($C365,'Miljövärden urval för publ'!$B$2:$H$417,MATCH('Miljövärden för publ företag'!F$4,'Miljövärden urval för publ'!$B$2:$H$2,0),FALSE),"")</f>
        <v/>
      </c>
      <c r="G365" t="str">
        <f>IFERROR(VLOOKUP($C365,'Miljövärden urval för publ'!$B$2:$H$417,MATCH('Miljövärden för publ företag'!G$4,'Miljövärden urval för publ'!$B$2:$H$2,0),FALSE),"")</f>
        <v/>
      </c>
      <c r="J365">
        <f t="shared" ref="J365:J368" si="25">IF(B365=B364,J364,J364+1)</f>
        <v>137</v>
      </c>
      <c r="M365">
        <v>358</v>
      </c>
      <c r="P365" s="155">
        <f t="shared" si="24"/>
        <v>0</v>
      </c>
      <c r="Q365" s="150" t="str">
        <f t="shared" ref="Q365:Q369" si="26">IF(B365=$R$2,C365,"")</f>
        <v/>
      </c>
    </row>
    <row r="366" spans="1:17" x14ac:dyDescent="0.45">
      <c r="A366" s="160">
        <v>363</v>
      </c>
      <c r="B366" s="2" t="str">
        <f>IFERROR(INDEX('Miljövärden urval för publ'!$A$2:$AA$420,MATCH('Miljövärden för publ företag'!$A366,'Miljövärden urval för publ'!$R$2:$R$417,0),1),"")</f>
        <v/>
      </c>
      <c r="C366" s="2" t="str">
        <f>IFERROR(INDEX('Miljövärden urval för publ'!$A$2:$AA$420,MATCH('Miljövärden för publ företag'!$A366,'Miljövärden urval för publ'!$R$2:$R$417,0),2),"")</f>
        <v/>
      </c>
      <c r="D366" t="str">
        <f>IFERROR(VLOOKUP($C366,'Miljövärden urval för publ'!$B$2:$H$417,MATCH('Miljövärden för publ företag'!D$4,'Miljövärden urval för publ'!$B$2:$H$2,0),FALSE),"")</f>
        <v/>
      </c>
      <c r="E366" t="str">
        <f>IFERROR(VLOOKUP($C366,'Miljövärden urval för publ'!$B$2:$H$417,MATCH('Miljövärden för publ företag'!E$4,'Miljövärden urval för publ'!$B$2:$H$2,0),FALSE),"")</f>
        <v/>
      </c>
      <c r="F366" t="str">
        <f>IFERROR(VLOOKUP($C366,'Miljövärden urval för publ'!$B$2:$H$417,MATCH('Miljövärden för publ företag'!F$4,'Miljövärden urval för publ'!$B$2:$H$2,0),FALSE),"")</f>
        <v/>
      </c>
      <c r="G366" t="str">
        <f>IFERROR(VLOOKUP($C366,'Miljövärden urval för publ'!$B$2:$H$417,MATCH('Miljövärden för publ företag'!G$4,'Miljövärden urval för publ'!$B$2:$H$2,0),FALSE),"")</f>
        <v/>
      </c>
      <c r="J366">
        <f t="shared" si="25"/>
        <v>137</v>
      </c>
      <c r="M366">
        <v>359</v>
      </c>
      <c r="P366" s="155">
        <f t="shared" si="24"/>
        <v>0</v>
      </c>
      <c r="Q366" s="150" t="str">
        <f t="shared" si="26"/>
        <v/>
      </c>
    </row>
    <row r="367" spans="1:17" x14ac:dyDescent="0.45">
      <c r="A367" s="160">
        <v>364</v>
      </c>
      <c r="B367" s="2" t="str">
        <f>IFERROR(INDEX('Miljövärden urval för publ'!$A$2:$AA$420,MATCH('Miljövärden för publ företag'!$A367,'Miljövärden urval för publ'!$R$2:$R$417,0),1),"")</f>
        <v/>
      </c>
      <c r="C367" s="2" t="str">
        <f>IFERROR(INDEX('Miljövärden urval för publ'!$A$2:$AA$420,MATCH('Miljövärden för publ företag'!$A367,'Miljövärden urval för publ'!$R$2:$R$417,0),2),"")</f>
        <v/>
      </c>
      <c r="D367" t="str">
        <f>IFERROR(VLOOKUP($C367,'Miljövärden urval för publ'!$B$2:$H$417,MATCH('Miljövärden för publ företag'!D$4,'Miljövärden urval för publ'!$B$2:$H$2,0),FALSE),"")</f>
        <v/>
      </c>
      <c r="E367" t="str">
        <f>IFERROR(VLOOKUP($C367,'Miljövärden urval för publ'!$B$2:$H$417,MATCH('Miljövärden för publ företag'!E$4,'Miljövärden urval för publ'!$B$2:$H$2,0),FALSE),"")</f>
        <v/>
      </c>
      <c r="F367" t="str">
        <f>IFERROR(VLOOKUP($C367,'Miljövärden urval för publ'!$B$2:$H$417,MATCH('Miljövärden för publ företag'!F$4,'Miljövärden urval för publ'!$B$2:$H$2,0),FALSE),"")</f>
        <v/>
      </c>
      <c r="G367" t="str">
        <f>IFERROR(VLOOKUP($C367,'Miljövärden urval för publ'!$B$2:$H$417,MATCH('Miljövärden för publ företag'!G$4,'Miljövärden urval för publ'!$B$2:$H$2,0),FALSE),"")</f>
        <v/>
      </c>
      <c r="J367">
        <f t="shared" si="25"/>
        <v>137</v>
      </c>
      <c r="M367">
        <v>360</v>
      </c>
      <c r="P367" s="155">
        <f t="shared" si="24"/>
        <v>0</v>
      </c>
      <c r="Q367" s="150" t="str">
        <f t="shared" si="26"/>
        <v/>
      </c>
    </row>
    <row r="368" spans="1:17" x14ac:dyDescent="0.45">
      <c r="A368" s="160">
        <v>365</v>
      </c>
      <c r="B368" s="2" t="str">
        <f>IFERROR(INDEX('Miljövärden urval för publ'!$A$2:$AA$420,MATCH('Miljövärden för publ företag'!$A368,'Miljövärden urval för publ'!$R$2:$R$417,0),1),"")</f>
        <v/>
      </c>
      <c r="C368" s="2" t="str">
        <f>IFERROR(INDEX('Miljövärden urval för publ'!$A$2:$AA$420,MATCH('Miljövärden för publ företag'!$A368,'Miljövärden urval för publ'!$R$2:$R$417,0),2),"")</f>
        <v/>
      </c>
      <c r="D368" t="str">
        <f>IFERROR(VLOOKUP($C368,'Miljövärden urval för publ'!$B$2:$H$417,MATCH('Miljövärden för publ företag'!D$4,'Miljövärden urval för publ'!$B$2:$H$2,0),FALSE),"")</f>
        <v/>
      </c>
      <c r="E368" t="str">
        <f>IFERROR(VLOOKUP($C368,'Miljövärden urval för publ'!$B$2:$H$417,MATCH('Miljövärden för publ företag'!E$4,'Miljövärden urval för publ'!$B$2:$H$2,0),FALSE),"")</f>
        <v/>
      </c>
      <c r="F368" t="str">
        <f>IFERROR(VLOOKUP($C368,'Miljövärden urval för publ'!$B$2:$H$417,MATCH('Miljövärden för publ företag'!F$4,'Miljövärden urval för publ'!$B$2:$H$2,0),FALSE),"")</f>
        <v/>
      </c>
      <c r="G368" t="str">
        <f>IFERROR(VLOOKUP($C368,'Miljövärden urval för publ'!$B$2:$H$417,MATCH('Miljövärden för publ företag'!G$4,'Miljövärden urval för publ'!$B$2:$H$2,0),FALSE),"")</f>
        <v/>
      </c>
      <c r="J368">
        <f t="shared" si="25"/>
        <v>137</v>
      </c>
      <c r="M368">
        <v>361</v>
      </c>
      <c r="P368" s="155">
        <f t="shared" si="24"/>
        <v>0</v>
      </c>
      <c r="Q368" s="150" t="str">
        <f t="shared" si="26"/>
        <v/>
      </c>
    </row>
    <row r="369" spans="1:17" x14ac:dyDescent="0.45">
      <c r="A369" s="160">
        <v>366</v>
      </c>
      <c r="B369" s="2" t="str">
        <f>IFERROR(INDEX('Miljövärden urval för publ'!$A$2:$AA$420,MATCH('Miljövärden för publ företag'!$A369,'Miljövärden urval för publ'!$R$2:$R$417,0),1),"")</f>
        <v/>
      </c>
      <c r="C369" s="2" t="str">
        <f>IFERROR(INDEX('Miljövärden urval för publ'!$A$2:$AA$420,MATCH('Miljövärden för publ företag'!$A369,'Miljövärden urval för publ'!$R$2:$R$417,0),2),"")</f>
        <v/>
      </c>
      <c r="D369" t="str">
        <f>IFERROR(VLOOKUP($C369,'Miljövärden urval för publ'!$B$2:$H$417,MATCH('Miljövärden för publ företag'!D$4,'Miljövärden urval för publ'!$B$2:$H$2,0),FALSE),"")</f>
        <v/>
      </c>
      <c r="E369" t="str">
        <f>IFERROR(VLOOKUP($C369,'Miljövärden urval för publ'!$B$2:$H$417,MATCH('Miljövärden för publ företag'!E$4,'Miljövärden urval för publ'!$B$2:$H$2,0),FALSE),"")</f>
        <v/>
      </c>
      <c r="F369" t="str">
        <f>IFERROR(VLOOKUP($C369,'Miljövärden urval för publ'!$B$2:$H$417,MATCH('Miljövärden för publ företag'!F$4,'Miljövärden urval för publ'!$B$2:$H$2,0),FALSE),"")</f>
        <v/>
      </c>
      <c r="G369" t="str">
        <f>IFERROR(VLOOKUP($C369,'Miljövärden urval för publ'!$B$2:$H$417,MATCH('Miljövärden för publ företag'!G$4,'Miljövärden urval för publ'!$B$2:$H$2,0),FALSE),"")</f>
        <v/>
      </c>
      <c r="J369">
        <f>IF(B369=B368,J368,J368+1)</f>
        <v>137</v>
      </c>
      <c r="M369">
        <v>362</v>
      </c>
      <c r="P369" s="155">
        <f t="shared" si="24"/>
        <v>0</v>
      </c>
      <c r="Q369" s="150" t="str">
        <f t="shared" si="26"/>
        <v/>
      </c>
    </row>
    <row r="370" spans="1:17" x14ac:dyDescent="0.45">
      <c r="A370" s="160"/>
      <c r="B370" s="2"/>
      <c r="C370" s="2"/>
      <c r="P370" s="155"/>
      <c r="Q370" s="150"/>
    </row>
    <row r="371" spans="1:17" x14ac:dyDescent="0.45">
      <c r="A371" s="160"/>
      <c r="B371" s="2"/>
      <c r="C371" s="2"/>
      <c r="P371" s="155"/>
      <c r="Q371" s="150"/>
    </row>
    <row r="372" spans="1:17" x14ac:dyDescent="0.45">
      <c r="A372" s="160"/>
      <c r="B372" s="2"/>
      <c r="C372" s="2"/>
      <c r="P372" s="155"/>
      <c r="Q372" s="150"/>
    </row>
    <row r="373" spans="1:17" x14ac:dyDescent="0.45">
      <c r="A373" s="160"/>
      <c r="B373" s="2"/>
      <c r="C373" s="2"/>
      <c r="Q373" s="150"/>
    </row>
    <row r="374" spans="1:17" x14ac:dyDescent="0.45">
      <c r="A374" s="160"/>
      <c r="B374" s="2"/>
      <c r="C374" s="2"/>
    </row>
    <row r="375" spans="1:17" x14ac:dyDescent="0.45">
      <c r="A375" s="160"/>
      <c r="B375" s="2"/>
      <c r="C375" s="2"/>
    </row>
    <row r="376" spans="1:17" x14ac:dyDescent="0.45">
      <c r="A376" s="160"/>
      <c r="B376" s="2"/>
      <c r="C376" s="2"/>
    </row>
    <row r="377" spans="1:17" x14ac:dyDescent="0.45">
      <c r="A377" s="160"/>
      <c r="B377" s="2"/>
      <c r="C377" s="2"/>
    </row>
    <row r="378" spans="1:17" x14ac:dyDescent="0.45">
      <c r="A378" s="160"/>
      <c r="B378" s="2"/>
      <c r="C378" s="2"/>
    </row>
    <row r="379" spans="1:17" x14ac:dyDescent="0.45">
      <c r="A379" s="160"/>
      <c r="B379" s="2"/>
      <c r="C379" s="2"/>
    </row>
    <row r="380" spans="1:17" x14ac:dyDescent="0.45">
      <c r="B380" s="2" t="str">
        <f>IFERROR(INDEX('Miljövärden urval för publ'!$A$2:$AA$420,MATCH('Miljövärden för publ företag'!$A380,'Miljövärden urval för publ'!$R$2:$R$417,0),1),"")</f>
        <v/>
      </c>
      <c r="C380" s="2" t="str">
        <f>IFERROR(INDEX('Miljövärden urval för publ'!$A$2:$AA$420,MATCH('Miljövärden för publ företag'!$A380,'Miljövärden urval för publ'!$R$2:$R$417,0),2),"")</f>
        <v/>
      </c>
      <c r="D380" t="str">
        <f>IFERROR(VLOOKUP($C380,'Miljövärden urval för publ'!$B$2:$H$417,MATCH('Miljövärden för publ företag'!D$4,'Miljövärden urval för publ'!$B$2:$H$2,0),FALSE),"")</f>
        <v/>
      </c>
      <c r="E380" t="str">
        <f>IFERROR(VLOOKUP($C380,'Miljövärden urval för publ'!$B$2:$H$417,MATCH('Miljövärden för publ företag'!E$4,'Miljövärden urval för publ'!$B$2:$H$2,0),FALSE),"")</f>
        <v/>
      </c>
      <c r="F380" t="str">
        <f>IFERROR(VLOOKUP($C380,'Miljövärden urval för publ'!$B$2:$H$417,MATCH('Miljövärden för publ företag'!F$4,'Miljövärden urval för publ'!$B$2:$H$2,0),FALSE),"")</f>
        <v/>
      </c>
      <c r="G380" t="str">
        <f>IFERROR(VLOOKUP($C380,'Miljövärden urval för publ'!$B$2:$H$417,MATCH('Miljövärden för publ företag'!G$4,'Miljövärden urval för publ'!$B$2:$H$2,0),FALSE),"")</f>
        <v/>
      </c>
    </row>
    <row r="381" spans="1:17" x14ac:dyDescent="0.45">
      <c r="B381" s="2" t="str">
        <f>IFERROR(INDEX('Miljövärden urval för publ'!$A$2:$AA$420,MATCH('Miljövärden för publ företag'!$A381,'Miljövärden urval för publ'!$R$2:$R$417,0),1),"")</f>
        <v/>
      </c>
      <c r="C381" s="2" t="str">
        <f>IFERROR(INDEX('Miljövärden urval för publ'!$A$2:$AA$420,MATCH('Miljövärden för publ företag'!$A381,'Miljövärden urval för publ'!$R$2:$R$417,0),2),"")</f>
        <v/>
      </c>
      <c r="D381" t="str">
        <f>IFERROR(VLOOKUP($C381,'Miljövärden urval för publ'!$B$2:$H$417,MATCH('Miljövärden för publ företag'!D$4,'Miljövärden urval för publ'!$B$2:$H$2,0),FALSE),"")</f>
        <v/>
      </c>
      <c r="E381" t="str">
        <f>IFERROR(VLOOKUP($C381,'Miljövärden urval för publ'!$B$2:$H$417,MATCH('Miljövärden för publ företag'!E$4,'Miljövärden urval för publ'!$B$2:$H$2,0),FALSE),"")</f>
        <v/>
      </c>
      <c r="F381" t="str">
        <f>IFERROR(VLOOKUP($C381,'Miljövärden urval för publ'!$B$2:$H$417,MATCH('Miljövärden för publ företag'!F$4,'Miljövärden urval för publ'!$B$2:$H$2,0),FALSE),"")</f>
        <v/>
      </c>
      <c r="G381" t="str">
        <f>IFERROR(VLOOKUP($C381,'Miljövärden urval för publ'!$B$2:$H$417,MATCH('Miljövärden för publ företag'!G$4,'Miljövärden urval för publ'!$B$2:$H$2,0),FALSE),"")</f>
        <v/>
      </c>
    </row>
    <row r="382" spans="1:17" x14ac:dyDescent="0.45">
      <c r="B382" s="2" t="str">
        <f>IFERROR(INDEX('Miljövärden urval för publ'!$A$2:$AA$420,MATCH('Miljövärden för publ företag'!$A382,'Miljövärden urval för publ'!$R$2:$R$417,0),1),"")</f>
        <v/>
      </c>
      <c r="C382" s="2" t="str">
        <f>IFERROR(INDEX('Miljövärden urval för publ'!$A$2:$AA$420,MATCH('Miljövärden för publ företag'!$A382,'Miljövärden urval för publ'!$R$2:$R$417,0),2),"")</f>
        <v/>
      </c>
      <c r="D382" t="str">
        <f>IFERROR(VLOOKUP($C382,'Miljövärden urval för publ'!$B$2:$H$417,MATCH('Miljövärden för publ företag'!D$4,'Miljövärden urval för publ'!$B$2:$H$2,0),FALSE),"")</f>
        <v/>
      </c>
      <c r="E382" t="str">
        <f>IFERROR(VLOOKUP($C382,'Miljövärden urval för publ'!$B$2:$H$417,MATCH('Miljövärden för publ företag'!E$4,'Miljövärden urval för publ'!$B$2:$H$2,0),FALSE),"")</f>
        <v/>
      </c>
      <c r="F382" t="str">
        <f>IFERROR(VLOOKUP($C382,'Miljövärden urval för publ'!$B$2:$H$417,MATCH('Miljövärden för publ företag'!F$4,'Miljövärden urval för publ'!$B$2:$H$2,0),FALSE),"")</f>
        <v/>
      </c>
      <c r="G382" t="str">
        <f>IFERROR(VLOOKUP($C382,'Miljövärden urval för publ'!$B$2:$H$417,MATCH('Miljövärden för publ företag'!G$4,'Miljövärden urval för publ'!$B$2:$H$2,0),FALSE),"")</f>
        <v/>
      </c>
    </row>
    <row r="383" spans="1:17" x14ac:dyDescent="0.45">
      <c r="B383" s="2" t="str">
        <f>IFERROR(INDEX('Miljövärden urval för publ'!$A$2:$AA$420,MATCH('Miljövärden för publ företag'!$A383,'Miljövärden urval för publ'!$R$2:$R$417,0),1),"")</f>
        <v/>
      </c>
      <c r="C383" s="2" t="str">
        <f>IFERROR(INDEX('Miljövärden urval för publ'!$A$2:$AA$420,MATCH('Miljövärden för publ företag'!$A383,'Miljövärden urval för publ'!$R$2:$R$417,0),2),"")</f>
        <v/>
      </c>
      <c r="D383" t="str">
        <f>IFERROR(VLOOKUP($C383,'Miljövärden urval för publ'!$B$2:$H$417,MATCH('Miljövärden för publ företag'!D$4,'Miljövärden urval för publ'!$B$2:$H$2,0),FALSE),"")</f>
        <v/>
      </c>
      <c r="E383" t="str">
        <f>IFERROR(VLOOKUP($C383,'Miljövärden urval för publ'!$B$2:$H$417,MATCH('Miljövärden för publ företag'!E$4,'Miljövärden urval för publ'!$B$2:$H$2,0),FALSE),"")</f>
        <v/>
      </c>
      <c r="F383" t="str">
        <f>IFERROR(VLOOKUP($C383,'Miljövärden urval för publ'!$B$2:$H$417,MATCH('Miljövärden för publ företag'!F$4,'Miljövärden urval för publ'!$B$2:$H$2,0),FALSE),"")</f>
        <v/>
      </c>
      <c r="G383" t="str">
        <f>IFERROR(VLOOKUP($C383,'Miljövärden urval för publ'!$B$2:$H$417,MATCH('Miljövärden för publ företag'!G$4,'Miljövärden urval för publ'!$B$2:$H$2,0),FALSE),"")</f>
        <v/>
      </c>
    </row>
    <row r="384" spans="1:17" x14ac:dyDescent="0.45">
      <c r="B384" s="2" t="str">
        <f>IFERROR(INDEX('Miljövärden urval för publ'!$A$2:$AA$420,MATCH('Miljövärden för publ företag'!$A384,'Miljövärden urval för publ'!$R$2:$R$417,0),1),"")</f>
        <v/>
      </c>
      <c r="C384" s="2" t="str">
        <f>IFERROR(INDEX('Miljövärden urval för publ'!$A$2:$AA$420,MATCH('Miljövärden för publ företag'!$A384,'Miljövärden urval för publ'!$R$2:$R$417,0),2),"")</f>
        <v/>
      </c>
      <c r="D384" t="str">
        <f>IFERROR(VLOOKUP($C384,'Miljövärden urval för publ'!$B$2:$H$417,MATCH('Miljövärden för publ företag'!D$4,'Miljövärden urval för publ'!$B$2:$H$2,0),FALSE),"")</f>
        <v/>
      </c>
      <c r="E384" t="str">
        <f>IFERROR(VLOOKUP($C384,'Miljövärden urval för publ'!$B$2:$H$417,MATCH('Miljövärden för publ företag'!E$4,'Miljövärden urval för publ'!$B$2:$H$2,0),FALSE),"")</f>
        <v/>
      </c>
      <c r="F384" t="str">
        <f>IFERROR(VLOOKUP($C384,'Miljövärden urval för publ'!$B$2:$H$417,MATCH('Miljövärden för publ företag'!F$4,'Miljövärden urval för publ'!$B$2:$H$2,0),FALSE),"")</f>
        <v/>
      </c>
      <c r="G384" t="str">
        <f>IFERROR(VLOOKUP($C384,'Miljövärden urval för publ'!$B$2:$H$417,MATCH('Miljövärden för publ företag'!G$4,'Miljövärden urval för publ'!$B$2:$H$2,0),FALSE),"")</f>
        <v/>
      </c>
    </row>
    <row r="385" spans="2:7" x14ac:dyDescent="0.45">
      <c r="B385" s="2" t="str">
        <f>IFERROR(INDEX('Miljövärden urval för publ'!$A$2:$AA$420,MATCH('Miljövärden för publ företag'!$A385,'Miljövärden urval för publ'!$R$2:$R$417,0),1),"")</f>
        <v/>
      </c>
      <c r="C385" s="2" t="str">
        <f>IFERROR(INDEX('Miljövärden urval för publ'!$A$2:$AA$420,MATCH('Miljövärden för publ företag'!$A385,'Miljövärden urval för publ'!$R$2:$R$417,0),2),"")</f>
        <v/>
      </c>
      <c r="D385" t="str">
        <f>IFERROR(VLOOKUP($C385,'Miljövärden urval för publ'!$B$2:$H$417,MATCH('Miljövärden för publ företag'!D$4,'Miljövärden urval för publ'!$B$2:$H$2,0),FALSE),"")</f>
        <v/>
      </c>
      <c r="E385" t="str">
        <f>IFERROR(VLOOKUP($C385,'Miljövärden urval för publ'!$B$2:$H$417,MATCH('Miljövärden för publ företag'!E$4,'Miljövärden urval för publ'!$B$2:$H$2,0),FALSE),"")</f>
        <v/>
      </c>
      <c r="F385" t="str">
        <f>IFERROR(VLOOKUP($C385,'Miljövärden urval för publ'!$B$2:$H$417,MATCH('Miljövärden för publ företag'!F$4,'Miljövärden urval för publ'!$B$2:$H$2,0),FALSE),"")</f>
        <v/>
      </c>
      <c r="G385" t="str">
        <f>IFERROR(VLOOKUP($C385,'Miljövärden urval för publ'!$B$2:$H$417,MATCH('Miljövärden för publ företag'!G$4,'Miljövärden urval för publ'!$B$2:$H$2,0),FALSE),"")</f>
        <v/>
      </c>
    </row>
    <row r="386" spans="2:7" x14ac:dyDescent="0.45">
      <c r="B386" s="2" t="str">
        <f>IFERROR(INDEX('Miljövärden urval för publ'!$A$2:$AA$420,MATCH('Miljövärden för publ företag'!$A386,'Miljövärden urval för publ'!$R$2:$R$417,0),1),"")</f>
        <v/>
      </c>
      <c r="C386" s="2" t="str">
        <f>IFERROR(INDEX('Miljövärden urval för publ'!$A$2:$AA$420,MATCH('Miljövärden för publ företag'!$A386,'Miljövärden urval för publ'!$R$2:$R$417,0),2),"")</f>
        <v/>
      </c>
      <c r="D386" t="str">
        <f>IFERROR(VLOOKUP($C386,'Miljövärden urval för publ'!$B$2:$H$417,MATCH('Miljövärden för publ företag'!D$4,'Miljövärden urval för publ'!$B$2:$H$2,0),FALSE),"")</f>
        <v/>
      </c>
      <c r="E386" t="str">
        <f>IFERROR(VLOOKUP($C386,'Miljövärden urval för publ'!$B$2:$H$417,MATCH('Miljövärden för publ företag'!E$4,'Miljövärden urval för publ'!$B$2:$H$2,0),FALSE),"")</f>
        <v/>
      </c>
      <c r="F386" t="str">
        <f>IFERROR(VLOOKUP($C386,'Miljövärden urval för publ'!$B$2:$H$417,MATCH('Miljövärden för publ företag'!F$4,'Miljövärden urval för publ'!$B$2:$H$2,0),FALSE),"")</f>
        <v/>
      </c>
      <c r="G386" t="str">
        <f>IFERROR(VLOOKUP($C386,'Miljövärden urval för publ'!$B$2:$H$417,MATCH('Miljövärden för publ företag'!G$4,'Miljövärden urval för publ'!$B$2:$H$2,0),FALSE),"")</f>
        <v/>
      </c>
    </row>
    <row r="387" spans="2:7" x14ac:dyDescent="0.45">
      <c r="B387" s="2" t="str">
        <f>IFERROR(INDEX('Miljövärden urval för publ'!$A$2:$AA$420,MATCH('Miljövärden för publ företag'!$A387,'Miljövärden urval för publ'!$R$2:$R$417,0),1),"")</f>
        <v/>
      </c>
      <c r="C387" s="2" t="str">
        <f>IFERROR(INDEX('Miljövärden urval för publ'!$A$2:$AA$420,MATCH('Miljövärden för publ företag'!$A387,'Miljövärden urval för publ'!$R$2:$R$417,0),2),"")</f>
        <v/>
      </c>
      <c r="D387" t="str">
        <f>IFERROR(VLOOKUP($C387,'Miljövärden urval för publ'!$B$2:$H$417,MATCH('Miljövärden för publ företag'!D$4,'Miljövärden urval för publ'!$B$2:$H$2,0),FALSE),"")</f>
        <v/>
      </c>
      <c r="E387" t="str">
        <f>IFERROR(VLOOKUP($C387,'Miljövärden urval för publ'!$B$2:$H$417,MATCH('Miljövärden för publ företag'!E$4,'Miljövärden urval för publ'!$B$2:$H$2,0),FALSE),"")</f>
        <v/>
      </c>
      <c r="F387" t="str">
        <f>IFERROR(VLOOKUP($C387,'Miljövärden urval för publ'!$B$2:$H$417,MATCH('Miljövärden för publ företag'!F$4,'Miljövärden urval för publ'!$B$2:$H$2,0),FALSE),"")</f>
        <v/>
      </c>
      <c r="G387" t="str">
        <f>IFERROR(VLOOKUP($C387,'Miljövärden urval för publ'!$B$2:$H$417,MATCH('Miljövärden för publ företag'!G$4,'Miljövärden urval för publ'!$B$2:$H$2,0),FALSE),"")</f>
        <v/>
      </c>
    </row>
    <row r="388" spans="2:7" x14ac:dyDescent="0.45">
      <c r="B388" s="2" t="str">
        <f>IFERROR(INDEX('Miljövärden urval för publ'!$A$2:$AA$420,MATCH('Miljövärden för publ företag'!$A388,'Miljövärden urval för publ'!$R$2:$R$417,0),1),"")</f>
        <v/>
      </c>
      <c r="C388" s="2" t="str">
        <f>IFERROR(INDEX('Miljövärden urval för publ'!$A$2:$AA$420,MATCH('Miljövärden för publ företag'!$A388,'Miljövärden urval för publ'!$R$2:$R$417,0),2),"")</f>
        <v/>
      </c>
      <c r="D388" t="str">
        <f>IFERROR(VLOOKUP($C388,'Miljövärden urval för publ'!$B$2:$H$417,MATCH('Miljövärden för publ företag'!D$4,'Miljövärden urval för publ'!$B$2:$H$2,0),FALSE),"")</f>
        <v/>
      </c>
      <c r="E388" t="str">
        <f>IFERROR(VLOOKUP($C388,'Miljövärden urval för publ'!$B$2:$H$417,MATCH('Miljövärden för publ företag'!E$4,'Miljövärden urval för publ'!$B$2:$H$2,0),FALSE),"")</f>
        <v/>
      </c>
      <c r="F388" t="str">
        <f>IFERROR(VLOOKUP($C388,'Miljövärden urval för publ'!$B$2:$H$417,MATCH('Miljövärden för publ företag'!F$4,'Miljövärden urval för publ'!$B$2:$H$2,0),FALSE),"")</f>
        <v/>
      </c>
      <c r="G388" t="str">
        <f>IFERROR(VLOOKUP($C388,'Miljövärden urval för publ'!$B$2:$H$417,MATCH('Miljövärden för publ företag'!G$4,'Miljövärden urval för publ'!$B$2:$H$2,0),FALSE),"")</f>
        <v/>
      </c>
    </row>
    <row r="389" spans="2:7" x14ac:dyDescent="0.45">
      <c r="B389" s="2" t="str">
        <f>IFERROR(INDEX('Miljövärden urval för publ'!$A$2:$AA$420,MATCH('Miljövärden för publ företag'!$A389,'Miljövärden urval för publ'!$R$2:$R$417,0),1),"")</f>
        <v/>
      </c>
      <c r="C389" s="2" t="str">
        <f>IFERROR(INDEX('Miljövärden urval för publ'!$A$2:$AA$420,MATCH('Miljövärden för publ företag'!$A389,'Miljövärden urval för publ'!$R$2:$R$417,0),2),"")</f>
        <v/>
      </c>
      <c r="D389" t="str">
        <f>IFERROR(VLOOKUP($C389,'Miljövärden urval för publ'!$B$2:$H$417,MATCH('Miljövärden för publ företag'!D$4,'Miljövärden urval för publ'!$B$2:$H$2,0),FALSE),"")</f>
        <v/>
      </c>
      <c r="E389" t="str">
        <f>IFERROR(VLOOKUP($C389,'Miljövärden urval för publ'!$B$2:$H$417,MATCH('Miljövärden för publ företag'!E$4,'Miljövärden urval för publ'!$B$2:$H$2,0),FALSE),"")</f>
        <v/>
      </c>
      <c r="F389" t="str">
        <f>IFERROR(VLOOKUP($C389,'Miljövärden urval för publ'!$B$2:$H$417,MATCH('Miljövärden för publ företag'!F$4,'Miljövärden urval för publ'!$B$2:$H$2,0),FALSE),"")</f>
        <v/>
      </c>
      <c r="G389" t="str">
        <f>IFERROR(VLOOKUP($C389,'Miljövärden urval för publ'!$B$2:$H$417,MATCH('Miljövärden för publ företag'!G$4,'Miljövärden urval för publ'!$B$2:$H$2,0),FALSE),"")</f>
        <v/>
      </c>
    </row>
    <row r="390" spans="2:7" x14ac:dyDescent="0.45">
      <c r="B390" s="2" t="str">
        <f>IFERROR(INDEX('Miljövärden urval för publ'!$A$2:$AA$420,MATCH('Miljövärden för publ företag'!$A390,'Miljövärden urval för publ'!$R$2:$R$417,0),1),"")</f>
        <v/>
      </c>
      <c r="C390" s="2" t="str">
        <f>IFERROR(INDEX('Miljövärden urval för publ'!$A$2:$AA$420,MATCH('Miljövärden för publ företag'!$A390,'Miljövärden urval för publ'!$R$2:$R$417,0),2),"")</f>
        <v/>
      </c>
      <c r="D390" t="str">
        <f>IFERROR(VLOOKUP($C390,'Miljövärden urval för publ'!$B$2:$H$417,MATCH('Miljövärden för publ företag'!D$4,'Miljövärden urval för publ'!$B$2:$H$2,0),FALSE),"")</f>
        <v/>
      </c>
      <c r="E390" t="str">
        <f>IFERROR(VLOOKUP($C390,'Miljövärden urval för publ'!$B$2:$H$417,MATCH('Miljövärden för publ företag'!E$4,'Miljövärden urval för publ'!$B$2:$H$2,0),FALSE),"")</f>
        <v/>
      </c>
      <c r="F390" t="str">
        <f>IFERROR(VLOOKUP($C390,'Miljövärden urval för publ'!$B$2:$H$417,MATCH('Miljövärden för publ företag'!F$4,'Miljövärden urval för publ'!$B$2:$H$2,0),FALSE),"")</f>
        <v/>
      </c>
      <c r="G390" t="str">
        <f>IFERROR(VLOOKUP($C390,'Miljövärden urval för publ'!$B$2:$H$417,MATCH('Miljövärden för publ företag'!G$4,'Miljövärden urval för publ'!$B$2:$H$2,0),FALSE),"")</f>
        <v/>
      </c>
    </row>
    <row r="391" spans="2:7" x14ac:dyDescent="0.45">
      <c r="B391" s="2" t="str">
        <f>IFERROR(INDEX('Miljövärden urval för publ'!$A$2:$AA$420,MATCH('Miljövärden för publ företag'!$A391,'Miljövärden urval för publ'!$R$2:$R$417,0),1),"")</f>
        <v/>
      </c>
      <c r="C391" s="2" t="str">
        <f>IFERROR(INDEX('Miljövärden urval för publ'!$A$2:$AA$420,MATCH('Miljövärden för publ företag'!$A391,'Miljövärden urval för publ'!$R$2:$R$417,0),2),"")</f>
        <v/>
      </c>
      <c r="D391" t="str">
        <f>IFERROR(VLOOKUP($C391,'Miljövärden urval för publ'!$B$2:$H$417,MATCH('Miljövärden för publ företag'!D$4,'Miljövärden urval för publ'!$B$2:$H$2,0),FALSE),"")</f>
        <v/>
      </c>
      <c r="E391" t="str">
        <f>IFERROR(VLOOKUP($C391,'Miljövärden urval för publ'!$B$2:$H$417,MATCH('Miljövärden för publ företag'!E$4,'Miljövärden urval för publ'!$B$2:$H$2,0),FALSE),"")</f>
        <v/>
      </c>
      <c r="F391" t="str">
        <f>IFERROR(VLOOKUP($C391,'Miljövärden urval för publ'!$B$2:$H$417,MATCH('Miljövärden för publ företag'!F$4,'Miljövärden urval för publ'!$B$2:$H$2,0),FALSE),"")</f>
        <v/>
      </c>
      <c r="G391" t="str">
        <f>IFERROR(VLOOKUP($C391,'Miljövärden urval för publ'!$B$2:$H$417,MATCH('Miljövärden för publ företag'!G$4,'Miljövärden urval för publ'!$B$2:$H$2,0),FALSE),"")</f>
        <v/>
      </c>
    </row>
    <row r="392" spans="2:7" x14ac:dyDescent="0.45">
      <c r="B392" s="2" t="str">
        <f>IFERROR(INDEX('Miljövärden urval för publ'!$A$2:$AA$420,MATCH('Miljövärden för publ företag'!$A392,'Miljövärden urval för publ'!$R$2:$R$417,0),1),"")</f>
        <v/>
      </c>
      <c r="C392" s="2" t="str">
        <f>IFERROR(INDEX('Miljövärden urval för publ'!$A$2:$AA$420,MATCH('Miljövärden för publ företag'!$A392,'Miljövärden urval för publ'!$R$2:$R$417,0),2),"")</f>
        <v/>
      </c>
      <c r="D392" t="str">
        <f>IFERROR(VLOOKUP($C392,'Miljövärden urval för publ'!$B$2:$H$417,MATCH('Miljövärden för publ företag'!D$4,'Miljövärden urval för publ'!$B$2:$H$2,0),FALSE),"")</f>
        <v/>
      </c>
      <c r="E392" t="str">
        <f>IFERROR(VLOOKUP($C392,'Miljövärden urval för publ'!$B$2:$H$417,MATCH('Miljövärden för publ företag'!E$4,'Miljövärden urval för publ'!$B$2:$H$2,0),FALSE),"")</f>
        <v/>
      </c>
      <c r="F392" t="str">
        <f>IFERROR(VLOOKUP($C392,'Miljövärden urval för publ'!$B$2:$H$417,MATCH('Miljövärden för publ företag'!F$4,'Miljövärden urval för publ'!$B$2:$H$2,0),FALSE),"")</f>
        <v/>
      </c>
      <c r="G392" t="str">
        <f>IFERROR(VLOOKUP($C392,'Miljövärden urval för publ'!$B$2:$H$417,MATCH('Miljövärden för publ företag'!G$4,'Miljövärden urval för publ'!$B$2:$H$2,0),FALSE),"")</f>
        <v/>
      </c>
    </row>
    <row r="393" spans="2:7" x14ac:dyDescent="0.45">
      <c r="B393" s="2" t="str">
        <f>IFERROR(INDEX('Miljövärden urval för publ'!$A$2:$AA$420,MATCH('Miljövärden för publ företag'!$A393,'Miljövärden urval för publ'!$R$2:$R$417,0),1),"")</f>
        <v/>
      </c>
      <c r="C393" s="2" t="str">
        <f>IFERROR(INDEX('Miljövärden urval för publ'!$A$2:$AA$420,MATCH('Miljövärden för publ företag'!$A393,'Miljövärden urval för publ'!$R$2:$R$417,0),2),"")</f>
        <v/>
      </c>
      <c r="D393" t="str">
        <f>IFERROR(VLOOKUP($C393,'Miljövärden urval för publ'!$B$2:$H$417,MATCH('Miljövärden för publ företag'!D$4,'Miljövärden urval för publ'!$B$2:$H$2,0),FALSE),"")</f>
        <v/>
      </c>
      <c r="E393" t="str">
        <f>IFERROR(VLOOKUP($C393,'Miljövärden urval för publ'!$B$2:$H$417,MATCH('Miljövärden för publ företag'!E$4,'Miljövärden urval för publ'!$B$2:$H$2,0),FALSE),"")</f>
        <v/>
      </c>
      <c r="F393" t="str">
        <f>IFERROR(VLOOKUP($C393,'Miljövärden urval för publ'!$B$2:$H$417,MATCH('Miljövärden för publ företag'!F$4,'Miljövärden urval för publ'!$B$2:$H$2,0),FALSE),"")</f>
        <v/>
      </c>
      <c r="G393" t="str">
        <f>IFERROR(VLOOKUP($C393,'Miljövärden urval för publ'!$B$2:$H$417,MATCH('Miljövärden för publ företag'!G$4,'Miljövärden urval för publ'!$B$2:$H$2,0),FALSE),"")</f>
        <v/>
      </c>
    </row>
    <row r="394" spans="2:7" x14ac:dyDescent="0.45">
      <c r="B394" s="2" t="str">
        <f>IFERROR(INDEX('Miljövärden urval för publ'!$A$2:$AA$420,MATCH('Miljövärden för publ företag'!$A394,'Miljövärden urval för publ'!$R$2:$R$417,0),1),"")</f>
        <v/>
      </c>
      <c r="C394" s="2" t="str">
        <f>IFERROR(INDEX('Miljövärden urval för publ'!$A$2:$AA$420,MATCH('Miljövärden för publ företag'!$A394,'Miljövärden urval för publ'!$R$2:$R$417,0),2),"")</f>
        <v/>
      </c>
      <c r="D394" t="str">
        <f>IFERROR(VLOOKUP($C394,'Miljövärden urval för publ'!$B$2:$H$417,MATCH('Miljövärden för publ företag'!D$4,'Miljövärden urval för publ'!$B$2:$H$2,0),FALSE),"")</f>
        <v/>
      </c>
      <c r="E394" t="str">
        <f>IFERROR(VLOOKUP($C394,'Miljövärden urval för publ'!$B$2:$H$417,MATCH('Miljövärden för publ företag'!E$4,'Miljövärden urval för publ'!$B$2:$H$2,0),FALSE),"")</f>
        <v/>
      </c>
      <c r="F394" t="str">
        <f>IFERROR(VLOOKUP($C394,'Miljövärden urval för publ'!$B$2:$H$417,MATCH('Miljövärden för publ företag'!F$4,'Miljövärden urval för publ'!$B$2:$H$2,0),FALSE),"")</f>
        <v/>
      </c>
      <c r="G394" t="str">
        <f>IFERROR(VLOOKUP($C394,'Miljövärden urval för publ'!$B$2:$H$417,MATCH('Miljövärden för publ företag'!G$4,'Miljövärden urval för publ'!$B$2:$H$2,0),FALSE),"")</f>
        <v/>
      </c>
    </row>
    <row r="395" spans="2:7" x14ac:dyDescent="0.45">
      <c r="B395" s="2" t="str">
        <f>IFERROR(INDEX('Miljövärden urval för publ'!$A$2:$AA$420,MATCH('Miljövärden för publ företag'!$A395,'Miljövärden urval för publ'!$R$2:$R$417,0),1),"")</f>
        <v/>
      </c>
      <c r="C395" s="2" t="str">
        <f>IFERROR(INDEX('Miljövärden urval för publ'!$A$2:$AA$420,MATCH('Miljövärden för publ företag'!$A395,'Miljövärden urval för publ'!$R$2:$R$417,0),2),"")</f>
        <v/>
      </c>
      <c r="D395" t="str">
        <f>IFERROR(VLOOKUP($C395,'Miljövärden urval för publ'!$B$2:$H$417,MATCH('Miljövärden för publ företag'!D$4,'Miljövärden urval för publ'!$B$2:$H$2,0),FALSE),"")</f>
        <v/>
      </c>
      <c r="E395" t="str">
        <f>IFERROR(VLOOKUP($C395,'Miljövärden urval för publ'!$B$2:$H$417,MATCH('Miljövärden för publ företag'!E$4,'Miljövärden urval för publ'!$B$2:$H$2,0),FALSE),"")</f>
        <v/>
      </c>
      <c r="F395" t="str">
        <f>IFERROR(VLOOKUP($C395,'Miljövärden urval för publ'!$B$2:$H$417,MATCH('Miljövärden för publ företag'!F$4,'Miljövärden urval för publ'!$B$2:$H$2,0),FALSE),"")</f>
        <v/>
      </c>
      <c r="G395" t="str">
        <f>IFERROR(VLOOKUP($C395,'Miljövärden urval för publ'!$B$2:$H$417,MATCH('Miljövärden för publ företag'!G$4,'Miljövärden urval för publ'!$B$2:$H$2,0),FALSE),"")</f>
        <v/>
      </c>
    </row>
    <row r="396" spans="2:7" x14ac:dyDescent="0.45">
      <c r="B396" s="2" t="str">
        <f>IFERROR(INDEX('Miljövärden urval för publ'!$A$2:$AA$420,MATCH('Miljövärden för publ företag'!$A396,'Miljövärden urval för publ'!$R$2:$R$417,0),1),"")</f>
        <v/>
      </c>
      <c r="C396" s="2" t="str">
        <f>IFERROR(INDEX('Miljövärden urval för publ'!$A$2:$AA$420,MATCH('Miljövärden för publ företag'!$A396,'Miljövärden urval för publ'!$R$2:$R$417,0),2),"")</f>
        <v/>
      </c>
      <c r="D396" t="str">
        <f>IFERROR(VLOOKUP($C396,'Miljövärden urval för publ'!$B$2:$H$417,MATCH('Miljövärden för publ företag'!D$4,'Miljövärden urval för publ'!$B$2:$H$2,0),FALSE),"")</f>
        <v/>
      </c>
      <c r="E396" t="str">
        <f>IFERROR(VLOOKUP($C396,'Miljövärden urval för publ'!$B$2:$H$417,MATCH('Miljövärden för publ företag'!E$4,'Miljövärden urval för publ'!$B$2:$H$2,0),FALSE),"")</f>
        <v/>
      </c>
      <c r="F396" t="str">
        <f>IFERROR(VLOOKUP($C396,'Miljövärden urval för publ'!$B$2:$H$417,MATCH('Miljövärden för publ företag'!F$4,'Miljövärden urval för publ'!$B$2:$H$2,0),FALSE),"")</f>
        <v/>
      </c>
      <c r="G396" t="str">
        <f>IFERROR(VLOOKUP($C396,'Miljövärden urval för publ'!$B$2:$H$417,MATCH('Miljövärden för publ företag'!G$4,'Miljövärden urval för publ'!$B$2:$H$2,0),FALSE),"")</f>
        <v/>
      </c>
    </row>
    <row r="397" spans="2:7" x14ac:dyDescent="0.45">
      <c r="B397" s="2" t="str">
        <f>IFERROR(INDEX('Miljövärden urval för publ'!$A$2:$AA$420,MATCH('Miljövärden för publ företag'!$A397,'Miljövärden urval för publ'!$R$2:$R$417,0),1),"")</f>
        <v/>
      </c>
      <c r="C397" s="2" t="str">
        <f>IFERROR(INDEX('Miljövärden urval för publ'!$A$2:$AA$420,MATCH('Miljövärden för publ företag'!$A397,'Miljövärden urval för publ'!$R$2:$R$417,0),2),"")</f>
        <v/>
      </c>
      <c r="D397" t="str">
        <f>IFERROR(VLOOKUP($C397,'Miljövärden urval för publ'!$B$2:$H$417,MATCH('Miljövärden för publ företag'!D$4,'Miljövärden urval för publ'!$B$2:$H$2,0),FALSE),"")</f>
        <v/>
      </c>
      <c r="E397" t="str">
        <f>IFERROR(VLOOKUP($C397,'Miljövärden urval för publ'!$B$2:$H$417,MATCH('Miljövärden för publ företag'!E$4,'Miljövärden urval för publ'!$B$2:$H$2,0),FALSE),"")</f>
        <v/>
      </c>
      <c r="F397" t="str">
        <f>IFERROR(VLOOKUP($C397,'Miljövärden urval för publ'!$B$2:$H$417,MATCH('Miljövärden för publ företag'!F$4,'Miljövärden urval för publ'!$B$2:$H$2,0),FALSE),"")</f>
        <v/>
      </c>
      <c r="G397" t="str">
        <f>IFERROR(VLOOKUP($C397,'Miljövärden urval för publ'!$B$2:$H$417,MATCH('Miljövärden för publ företag'!G$4,'Miljövärden urval för publ'!$B$2:$H$2,0),FALSE),"")</f>
        <v/>
      </c>
    </row>
    <row r="398" spans="2:7" x14ac:dyDescent="0.45">
      <c r="B398" s="2" t="str">
        <f>IFERROR(INDEX('Miljövärden urval för publ'!$A$2:$AA$420,MATCH('Miljövärden för publ företag'!$A398,'Miljövärden urval för publ'!$R$2:$R$417,0),1),"")</f>
        <v/>
      </c>
      <c r="C398" s="2" t="str">
        <f>IFERROR(INDEX('Miljövärden urval för publ'!$A$2:$AA$420,MATCH('Miljövärden för publ företag'!$A398,'Miljövärden urval för publ'!$R$2:$R$417,0),2),"")</f>
        <v/>
      </c>
      <c r="D398" t="str">
        <f>IFERROR(VLOOKUP($C398,'Miljövärden urval för publ'!$B$2:$H$417,MATCH('Miljövärden för publ företag'!D$4,'Miljövärden urval för publ'!$B$2:$H$2,0),FALSE),"")</f>
        <v/>
      </c>
      <c r="E398" t="str">
        <f>IFERROR(VLOOKUP($C398,'Miljövärden urval för publ'!$B$2:$H$417,MATCH('Miljövärden för publ företag'!E$4,'Miljövärden urval för publ'!$B$2:$H$2,0),FALSE),"")</f>
        <v/>
      </c>
      <c r="F398" t="str">
        <f>IFERROR(VLOOKUP($C398,'Miljövärden urval för publ'!$B$2:$H$417,MATCH('Miljövärden för publ företag'!F$4,'Miljövärden urval för publ'!$B$2:$H$2,0),FALSE),"")</f>
        <v/>
      </c>
      <c r="G398" t="str">
        <f>IFERROR(VLOOKUP($C398,'Miljövärden urval för publ'!$B$2:$H$417,MATCH('Miljövärden för publ företag'!G$4,'Miljövärden urval för publ'!$B$2:$H$2,0),FALSE),"")</f>
        <v/>
      </c>
    </row>
    <row r="399" spans="2:7" x14ac:dyDescent="0.45">
      <c r="B399" s="2" t="str">
        <f>IFERROR(INDEX('Miljövärden urval för publ'!$A$2:$AA$420,MATCH('Miljövärden för publ företag'!$A399,'Miljövärden urval för publ'!$R$2:$R$417,0),1),"")</f>
        <v/>
      </c>
      <c r="C399" s="2" t="str">
        <f>IFERROR(INDEX('Miljövärden urval för publ'!$A$2:$AA$420,MATCH('Miljövärden för publ företag'!$A399,'Miljövärden urval för publ'!$R$2:$R$417,0),2),"")</f>
        <v/>
      </c>
      <c r="D399" t="str">
        <f>IFERROR(VLOOKUP($C399,'Miljövärden urval för publ'!$B$2:$H$417,MATCH('Miljövärden för publ företag'!D$4,'Miljövärden urval för publ'!$B$2:$H$2,0),FALSE),"")</f>
        <v/>
      </c>
      <c r="E399" t="str">
        <f>IFERROR(VLOOKUP($C399,'Miljövärden urval för publ'!$B$2:$H$417,MATCH('Miljövärden för publ företag'!E$4,'Miljövärden urval för publ'!$B$2:$H$2,0),FALSE),"")</f>
        <v/>
      </c>
      <c r="F399" t="str">
        <f>IFERROR(VLOOKUP($C399,'Miljövärden urval för publ'!$B$2:$H$417,MATCH('Miljövärden för publ företag'!F$4,'Miljövärden urval för publ'!$B$2:$H$2,0),FALSE),"")</f>
        <v/>
      </c>
      <c r="G399" t="str">
        <f>IFERROR(VLOOKUP($C399,'Miljövärden urval för publ'!$B$2:$H$417,MATCH('Miljövärden för publ företag'!G$4,'Miljövärden urval för publ'!$B$2:$H$2,0),FALSE),"")</f>
        <v/>
      </c>
    </row>
    <row r="400" spans="2:7" x14ac:dyDescent="0.45">
      <c r="B400" s="2" t="str">
        <f>IFERROR(INDEX('Miljövärden urval för publ'!$A$2:$AA$420,MATCH('Miljövärden för publ företag'!$A400,'Miljövärden urval för publ'!$R$2:$R$417,0),1),"")</f>
        <v/>
      </c>
      <c r="C400" s="2" t="str">
        <f>IFERROR(INDEX('Miljövärden urval för publ'!$A$2:$AA$420,MATCH('Miljövärden för publ företag'!$A400,'Miljövärden urval för publ'!$R$2:$R$417,0),2),"")</f>
        <v/>
      </c>
      <c r="D400" t="str">
        <f>IFERROR(VLOOKUP($C400,'Miljövärden urval för publ'!$B$2:$H$417,MATCH('Miljövärden för publ företag'!D$4,'Miljövärden urval för publ'!$B$2:$H$2,0),FALSE),"")</f>
        <v/>
      </c>
      <c r="E400" t="str">
        <f>IFERROR(VLOOKUP($C400,'Miljövärden urval för publ'!$B$2:$H$417,MATCH('Miljövärden för publ företag'!E$4,'Miljövärden urval för publ'!$B$2:$H$2,0),FALSE),"")</f>
        <v/>
      </c>
      <c r="F400" t="str">
        <f>IFERROR(VLOOKUP($C400,'Miljövärden urval för publ'!$B$2:$H$417,MATCH('Miljövärden för publ företag'!F$4,'Miljövärden urval för publ'!$B$2:$H$2,0),FALSE),"")</f>
        <v/>
      </c>
      <c r="G400" t="str">
        <f>IFERROR(VLOOKUP($C400,'Miljövärden urval för publ'!$B$2:$H$417,MATCH('Miljövärden för publ företag'!G$4,'Miljövärden urval för publ'!$B$2:$H$2,0),FALSE),"")</f>
        <v/>
      </c>
    </row>
    <row r="401" spans="2:7" x14ac:dyDescent="0.45">
      <c r="B401" s="2" t="str">
        <f>IFERROR(INDEX('Miljövärden urval för publ'!$A$2:$AA$420,MATCH('Miljövärden för publ företag'!$A401,'Miljövärden urval för publ'!$R$2:$R$417,0),1),"")</f>
        <v/>
      </c>
      <c r="C401" s="2" t="str">
        <f>IFERROR(INDEX('Miljövärden urval för publ'!$A$2:$AA$420,MATCH('Miljövärden för publ företag'!$A401,'Miljövärden urval för publ'!$R$2:$R$417,0),2),"")</f>
        <v/>
      </c>
      <c r="D401" t="str">
        <f>IFERROR(VLOOKUP($C401,'Miljövärden urval för publ'!$B$2:$H$417,MATCH('Miljövärden för publ företag'!D$4,'Miljövärden urval för publ'!$B$2:$H$2,0),FALSE),"")</f>
        <v/>
      </c>
      <c r="E401" t="str">
        <f>IFERROR(VLOOKUP($C401,'Miljövärden urval för publ'!$B$2:$H$417,MATCH('Miljövärden för publ företag'!E$4,'Miljövärden urval för publ'!$B$2:$H$2,0),FALSE),"")</f>
        <v/>
      </c>
      <c r="F401" t="str">
        <f>IFERROR(VLOOKUP($C401,'Miljövärden urval för publ'!$B$2:$H$417,MATCH('Miljövärden för publ företag'!F$4,'Miljövärden urval för publ'!$B$2:$H$2,0),FALSE),"")</f>
        <v/>
      </c>
      <c r="G401" t="str">
        <f>IFERROR(VLOOKUP($C401,'Miljövärden urval för publ'!$B$2:$H$417,MATCH('Miljövärden för publ företag'!G$4,'Miljövärden urval för publ'!$B$2:$H$2,0),FALSE),"")</f>
        <v/>
      </c>
    </row>
    <row r="402" spans="2:7" x14ac:dyDescent="0.45">
      <c r="B402" s="2" t="str">
        <f>IFERROR(INDEX('Miljövärden urval för publ'!$A$2:$AA$420,MATCH('Miljövärden för publ företag'!$A402,'Miljövärden urval för publ'!$R$2:$R$417,0),1),"")</f>
        <v/>
      </c>
      <c r="C402" s="2" t="str">
        <f>IFERROR(INDEX('Miljövärden urval för publ'!$A$2:$AA$420,MATCH('Miljövärden för publ företag'!$A402,'Miljövärden urval för publ'!$R$2:$R$417,0),2),"")</f>
        <v/>
      </c>
      <c r="D402" t="str">
        <f>IFERROR(VLOOKUP($C402,'Miljövärden urval för publ'!$B$2:$H$417,MATCH('Miljövärden för publ företag'!D$4,'Miljövärden urval för publ'!$B$2:$H$2,0),FALSE),"")</f>
        <v/>
      </c>
      <c r="E402" t="str">
        <f>IFERROR(VLOOKUP($C402,'Miljövärden urval för publ'!$B$2:$H$417,MATCH('Miljövärden för publ företag'!E$4,'Miljövärden urval för publ'!$B$2:$H$2,0),FALSE),"")</f>
        <v/>
      </c>
      <c r="F402" t="str">
        <f>IFERROR(VLOOKUP($C402,'Miljövärden urval för publ'!$B$2:$H$417,MATCH('Miljövärden för publ företag'!F$4,'Miljövärden urval för publ'!$B$2:$H$2,0),FALSE),"")</f>
        <v/>
      </c>
      <c r="G402" t="str">
        <f>IFERROR(VLOOKUP($C402,'Miljövärden urval för publ'!$B$2:$H$417,MATCH('Miljövärden för publ företag'!G$4,'Miljövärden urval för publ'!$B$2:$H$2,0),FALSE),"")</f>
        <v/>
      </c>
    </row>
    <row r="403" spans="2:7" x14ac:dyDescent="0.45">
      <c r="B403" s="2" t="str">
        <f>IFERROR(INDEX('Miljövärden urval för publ'!$A$2:$AA$420,MATCH('Miljövärden för publ företag'!$A403,'Miljövärden urval för publ'!$R$2:$R$417,0),1),"")</f>
        <v/>
      </c>
      <c r="C403" s="2" t="str">
        <f>IFERROR(INDEX('Miljövärden urval för publ'!$A$2:$AA$420,MATCH('Miljövärden för publ företag'!$A403,'Miljövärden urval för publ'!$R$2:$R$417,0),2),"")</f>
        <v/>
      </c>
      <c r="D403" t="str">
        <f>IFERROR(VLOOKUP($C403,'Miljövärden urval för publ'!$B$2:$H$417,MATCH('Miljövärden för publ företag'!D$4,'Miljövärden urval för publ'!$B$2:$H$2,0),FALSE),"")</f>
        <v/>
      </c>
      <c r="E403" t="str">
        <f>IFERROR(VLOOKUP($C403,'Miljövärden urval för publ'!$B$2:$H$417,MATCH('Miljövärden för publ företag'!E$4,'Miljövärden urval för publ'!$B$2:$H$2,0),FALSE),"")</f>
        <v/>
      </c>
      <c r="F403" t="str">
        <f>IFERROR(VLOOKUP($C403,'Miljövärden urval för publ'!$B$2:$H$417,MATCH('Miljövärden för publ företag'!F$4,'Miljövärden urval för publ'!$B$2:$H$2,0),FALSE),"")</f>
        <v/>
      </c>
      <c r="G403" t="str">
        <f>IFERROR(VLOOKUP($C403,'Miljövärden urval för publ'!$B$2:$H$417,MATCH('Miljövärden för publ företag'!G$4,'Miljövärden urval för publ'!$B$2:$H$2,0),FALSE),"")</f>
        <v/>
      </c>
    </row>
    <row r="404" spans="2:7" x14ac:dyDescent="0.45">
      <c r="B404" s="2" t="str">
        <f>IFERROR(INDEX('Miljövärden urval för publ'!$A$2:$AA$420,MATCH('Miljövärden för publ företag'!$A404,'Miljövärden urval för publ'!$R$2:$R$417,0),1),"")</f>
        <v/>
      </c>
      <c r="C404" s="2" t="str">
        <f>IFERROR(INDEX('Miljövärden urval för publ'!$A$2:$AA$420,MATCH('Miljövärden för publ företag'!$A404,'Miljövärden urval för publ'!$R$2:$R$417,0),2),"")</f>
        <v/>
      </c>
      <c r="D404" t="str">
        <f>IFERROR(VLOOKUP($C404,'Miljövärden urval för publ'!$B$2:$H$417,MATCH('Miljövärden för publ företag'!D$4,'Miljövärden urval för publ'!$B$2:$H$2,0),FALSE),"")</f>
        <v/>
      </c>
      <c r="E404" t="str">
        <f>IFERROR(VLOOKUP($C404,'Miljövärden urval för publ'!$B$2:$H$417,MATCH('Miljövärden för publ företag'!E$4,'Miljövärden urval för publ'!$B$2:$H$2,0),FALSE),"")</f>
        <v/>
      </c>
      <c r="F404" t="str">
        <f>IFERROR(VLOOKUP($C404,'Miljövärden urval för publ'!$B$2:$H$417,MATCH('Miljövärden för publ företag'!F$4,'Miljövärden urval för publ'!$B$2:$H$2,0),FALSE),"")</f>
        <v/>
      </c>
      <c r="G404" t="str">
        <f>IFERROR(VLOOKUP($C404,'Miljövärden urval för publ'!$B$2:$H$417,MATCH('Miljövärden för publ företag'!G$4,'Miljövärden urval för publ'!$B$2:$H$2,0),FALSE),"")</f>
        <v/>
      </c>
    </row>
    <row r="405" spans="2:7" x14ac:dyDescent="0.45">
      <c r="B405" s="2" t="str">
        <f>IFERROR(INDEX('Miljövärden urval för publ'!$A$2:$AA$420,MATCH('Miljövärden för publ företag'!$A405,'Miljövärden urval för publ'!$R$2:$R$417,0),1),"")</f>
        <v/>
      </c>
      <c r="C405" s="2" t="str">
        <f>IFERROR(INDEX('Miljövärden urval för publ'!$A$2:$AA$420,MATCH('Miljövärden för publ företag'!$A405,'Miljövärden urval för publ'!$R$2:$R$417,0),2),"")</f>
        <v/>
      </c>
      <c r="D405" t="str">
        <f>IFERROR(VLOOKUP($C405,'Miljövärden urval för publ'!$B$2:$H$417,MATCH('Miljövärden för publ företag'!D$4,'Miljövärden urval för publ'!$B$2:$H$2,0),FALSE),"")</f>
        <v/>
      </c>
      <c r="E405" t="str">
        <f>IFERROR(VLOOKUP($C405,'Miljövärden urval för publ'!$B$2:$H$417,MATCH('Miljövärden för publ företag'!E$4,'Miljövärden urval för publ'!$B$2:$H$2,0),FALSE),"")</f>
        <v/>
      </c>
      <c r="F405" t="str">
        <f>IFERROR(VLOOKUP($C405,'Miljövärden urval för publ'!$B$2:$H$417,MATCH('Miljövärden för publ företag'!F$4,'Miljövärden urval för publ'!$B$2:$H$2,0),FALSE),"")</f>
        <v/>
      </c>
      <c r="G405" t="str">
        <f>IFERROR(VLOOKUP($C405,'Miljövärden urval för publ'!$B$2:$H$417,MATCH('Miljövärden för publ företag'!G$4,'Miljövärden urval för publ'!$B$2:$H$2,0),FALSE),"")</f>
        <v/>
      </c>
    </row>
    <row r="406" spans="2:7" x14ac:dyDescent="0.45">
      <c r="B406" s="2" t="str">
        <f>IFERROR(INDEX('Miljövärden urval för publ'!$A$2:$AA$420,MATCH('Miljövärden för publ företag'!$A406,'Miljövärden urval för publ'!$R$2:$R$417,0),1),"")</f>
        <v/>
      </c>
      <c r="C406" s="2" t="str">
        <f>IFERROR(INDEX('Miljövärden urval för publ'!$A$2:$AA$420,MATCH('Miljövärden för publ företag'!$A406,'Miljövärden urval för publ'!$R$2:$R$417,0),2),"")</f>
        <v/>
      </c>
      <c r="D406" t="str">
        <f>IFERROR(VLOOKUP($C406,'Miljövärden urval för publ'!$B$2:$H$417,MATCH('Miljövärden för publ företag'!D$4,'Miljövärden urval för publ'!$B$2:$H$2,0),FALSE),"")</f>
        <v/>
      </c>
      <c r="E406" t="str">
        <f>IFERROR(VLOOKUP($C406,'Miljövärden urval för publ'!$B$2:$H$417,MATCH('Miljövärden för publ företag'!E$4,'Miljövärden urval för publ'!$B$2:$H$2,0),FALSE),"")</f>
        <v/>
      </c>
      <c r="F406" t="str">
        <f>IFERROR(VLOOKUP($C406,'Miljövärden urval för publ'!$B$2:$H$417,MATCH('Miljövärden för publ företag'!F$4,'Miljövärden urval för publ'!$B$2:$H$2,0),FALSE),"")</f>
        <v/>
      </c>
      <c r="G406" t="str">
        <f>IFERROR(VLOOKUP($C406,'Miljövärden urval för publ'!$B$2:$H$417,MATCH('Miljövärden för publ företag'!G$4,'Miljövärden urval för publ'!$B$2:$H$2,0),FALSE),"")</f>
        <v/>
      </c>
    </row>
    <row r="407" spans="2:7" x14ac:dyDescent="0.45">
      <c r="B407" s="2" t="str">
        <f>IFERROR(INDEX('Miljövärden urval för publ'!$A$2:$AA$420,MATCH('Miljövärden för publ företag'!$A407,'Miljövärden urval för publ'!$R$2:$R$417,0),1),"")</f>
        <v/>
      </c>
      <c r="C407" s="2" t="str">
        <f>IFERROR(INDEX('Miljövärden urval för publ'!$A$2:$AA$420,MATCH('Miljövärden för publ företag'!$A407,'Miljövärden urval för publ'!$R$2:$R$417,0),2),"")</f>
        <v/>
      </c>
      <c r="D407" t="str">
        <f>IFERROR(VLOOKUP($C407,'Miljövärden urval för publ'!$B$2:$H$417,MATCH('Miljövärden för publ företag'!D$4,'Miljövärden urval för publ'!$B$2:$H$2,0),FALSE),"")</f>
        <v/>
      </c>
      <c r="E407" t="str">
        <f>IFERROR(VLOOKUP($C407,'Miljövärden urval för publ'!$B$2:$H$417,MATCH('Miljövärden för publ företag'!E$4,'Miljövärden urval för publ'!$B$2:$H$2,0),FALSE),"")</f>
        <v/>
      </c>
      <c r="F407" t="str">
        <f>IFERROR(VLOOKUP($C407,'Miljövärden urval för publ'!$B$2:$H$417,MATCH('Miljövärden för publ företag'!F$4,'Miljövärden urval för publ'!$B$2:$H$2,0),FALSE),"")</f>
        <v/>
      </c>
      <c r="G407" t="str">
        <f>IFERROR(VLOOKUP($C407,'Miljövärden urval för publ'!$B$2:$H$417,MATCH('Miljövärden för publ företag'!G$4,'Miljövärden urval för publ'!$B$2:$H$2,0),FALSE),"")</f>
        <v/>
      </c>
    </row>
    <row r="408" spans="2:7" x14ac:dyDescent="0.45">
      <c r="B408" s="2" t="str">
        <f>IFERROR(INDEX('Miljövärden urval för publ'!$A$2:$AA$420,MATCH('Miljövärden för publ företag'!$A408,'Miljövärden urval för publ'!$R$2:$R$417,0),1),"")</f>
        <v/>
      </c>
      <c r="C408" s="2" t="str">
        <f>IFERROR(INDEX('Miljövärden urval för publ'!$A$2:$AA$420,MATCH('Miljövärden för publ företag'!$A408,'Miljövärden urval för publ'!$R$2:$R$417,0),2),"")</f>
        <v/>
      </c>
      <c r="D408" t="str">
        <f>IFERROR(VLOOKUP($C408,'Miljövärden urval för publ'!$B$2:$H$417,MATCH('Miljövärden för publ företag'!D$4,'Miljövärden urval för publ'!$B$2:$H$2,0),FALSE),"")</f>
        <v/>
      </c>
      <c r="E408" t="str">
        <f>IFERROR(VLOOKUP($C408,'Miljövärden urval för publ'!$B$2:$H$417,MATCH('Miljövärden för publ företag'!E$4,'Miljövärden urval för publ'!$B$2:$H$2,0),FALSE),"")</f>
        <v/>
      </c>
      <c r="F408" t="str">
        <f>IFERROR(VLOOKUP($C408,'Miljövärden urval för publ'!$B$2:$H$417,MATCH('Miljövärden för publ företag'!F$4,'Miljövärden urval för publ'!$B$2:$H$2,0),FALSE),"")</f>
        <v/>
      </c>
      <c r="G408" t="str">
        <f>IFERROR(VLOOKUP($C408,'Miljövärden urval för publ'!$B$2:$H$417,MATCH('Miljövärden för publ företag'!G$4,'Miljövärden urval för publ'!$B$2:$H$2,0),FALSE),"")</f>
        <v/>
      </c>
    </row>
    <row r="409" spans="2:7" x14ac:dyDescent="0.45">
      <c r="B409" s="2" t="str">
        <f>IFERROR(INDEX('Miljövärden urval för publ'!$A$2:$AA$420,MATCH('Miljövärden för publ företag'!$A409,'Miljövärden urval för publ'!$R$2:$R$417,0),1),"")</f>
        <v/>
      </c>
      <c r="C409" s="2" t="str">
        <f>IFERROR(INDEX('Miljövärden urval för publ'!$A$2:$AA$420,MATCH('Miljövärden för publ företag'!$A409,'Miljövärden urval för publ'!$R$2:$R$417,0),2),"")</f>
        <v/>
      </c>
      <c r="D409" t="str">
        <f>IFERROR(VLOOKUP($C409,'Miljövärden urval för publ'!$B$2:$H$417,MATCH('Miljövärden för publ företag'!D$4,'Miljövärden urval för publ'!$B$2:$H$2,0),FALSE),"")</f>
        <v/>
      </c>
      <c r="E409" t="str">
        <f>IFERROR(VLOOKUP($C409,'Miljövärden urval för publ'!$B$2:$H$417,MATCH('Miljövärden för publ företag'!E$4,'Miljövärden urval för publ'!$B$2:$H$2,0),FALSE),"")</f>
        <v/>
      </c>
      <c r="F409" t="str">
        <f>IFERROR(VLOOKUP($C409,'Miljövärden urval för publ'!$B$2:$H$417,MATCH('Miljövärden för publ företag'!F$4,'Miljövärden urval för publ'!$B$2:$H$2,0),FALSE),"")</f>
        <v/>
      </c>
      <c r="G409" t="str">
        <f>IFERROR(VLOOKUP($C409,'Miljövärden urval för publ'!$B$2:$H$417,MATCH('Miljövärden för publ företag'!G$4,'Miljövärden urval för publ'!$B$2:$H$2,0),FALSE),"")</f>
        <v/>
      </c>
    </row>
    <row r="410" spans="2:7" x14ac:dyDescent="0.45">
      <c r="B410" s="2" t="str">
        <f>IFERROR(INDEX('Miljövärden urval för publ'!$A$2:$AA$420,MATCH('Miljövärden för publ företag'!$A410,'Miljövärden urval för publ'!$R$2:$R$417,0),1),"")</f>
        <v/>
      </c>
      <c r="C410" s="2" t="str">
        <f>IFERROR(INDEX('Miljövärden urval för publ'!$A$2:$AA$420,MATCH('Miljövärden för publ företag'!$A410,'Miljövärden urval för publ'!$R$2:$R$417,0),2),"")</f>
        <v/>
      </c>
      <c r="D410" t="str">
        <f>IFERROR(VLOOKUP($C410,'Miljövärden urval för publ'!$B$2:$H$417,MATCH('Miljövärden för publ företag'!D$4,'Miljövärden urval för publ'!$B$2:$H$2,0),FALSE),"")</f>
        <v/>
      </c>
      <c r="E410" t="str">
        <f>IFERROR(VLOOKUP($C410,'Miljövärden urval för publ'!$B$2:$H$417,MATCH('Miljövärden för publ företag'!E$4,'Miljövärden urval för publ'!$B$2:$H$2,0),FALSE),"")</f>
        <v/>
      </c>
      <c r="F410" t="str">
        <f>IFERROR(VLOOKUP($C410,'Miljövärden urval för publ'!$B$2:$H$417,MATCH('Miljövärden för publ företag'!F$4,'Miljövärden urval för publ'!$B$2:$H$2,0),FALSE),"")</f>
        <v/>
      </c>
      <c r="G410" t="str">
        <f>IFERROR(VLOOKUP($C410,'Miljövärden urval för publ'!$B$2:$H$417,MATCH('Miljövärden för publ företag'!G$4,'Miljövärden urval för publ'!$B$2:$H$2,0),FALSE),"")</f>
        <v/>
      </c>
    </row>
    <row r="411" spans="2:7" x14ac:dyDescent="0.45">
      <c r="B411" s="2" t="str">
        <f>IFERROR(INDEX('Miljövärden urval för publ'!$A$2:$AA$420,MATCH('Miljövärden för publ företag'!$A411,'Miljövärden urval för publ'!$R$2:$R$417,0),1),"")</f>
        <v/>
      </c>
      <c r="C411" s="2" t="str">
        <f>IFERROR(INDEX('Miljövärden urval för publ'!$A$2:$AA$420,MATCH('Miljövärden för publ företag'!$A411,'Miljövärden urval för publ'!$R$2:$R$417,0),2),"")</f>
        <v/>
      </c>
      <c r="D411" t="str">
        <f>IFERROR(VLOOKUP($C411,'Miljövärden urval för publ'!$B$2:$H$417,MATCH('Miljövärden för publ företag'!D$4,'Miljövärden urval för publ'!$B$2:$H$2,0),FALSE),"")</f>
        <v/>
      </c>
      <c r="E411" t="str">
        <f>IFERROR(VLOOKUP($C411,'Miljövärden urval för publ'!$B$2:$H$417,MATCH('Miljövärden för publ företag'!E$4,'Miljövärden urval för publ'!$B$2:$H$2,0),FALSE),"")</f>
        <v/>
      </c>
      <c r="F411" t="str">
        <f>IFERROR(VLOOKUP($C411,'Miljövärden urval för publ'!$B$2:$H$417,MATCH('Miljövärden för publ företag'!F$4,'Miljövärden urval för publ'!$B$2:$H$2,0),FALSE),"")</f>
        <v/>
      </c>
      <c r="G411" t="str">
        <f>IFERROR(VLOOKUP($C411,'Miljövärden urval för publ'!$B$2:$H$417,MATCH('Miljövärden för publ företag'!G$4,'Miljövärden urval för publ'!$B$2:$H$2,0),FALSE),"")</f>
        <v/>
      </c>
    </row>
    <row r="412" spans="2:7" x14ac:dyDescent="0.45">
      <c r="B412" s="2" t="str">
        <f>IFERROR(INDEX('Miljövärden urval för publ'!$A$2:$AA$420,MATCH('Miljövärden för publ företag'!$A412,'Miljövärden urval för publ'!$R$2:$R$417,0),1),"")</f>
        <v/>
      </c>
      <c r="C412" s="2" t="str">
        <f>IFERROR(INDEX('Miljövärden urval för publ'!$A$2:$AA$420,MATCH('Miljövärden för publ företag'!$A412,'Miljövärden urval för publ'!$R$2:$R$417,0),2),"")</f>
        <v/>
      </c>
      <c r="D412" t="str">
        <f>IFERROR(VLOOKUP($C412,'Miljövärden urval för publ'!$B$2:$H$417,MATCH('Miljövärden för publ företag'!D$4,'Miljövärden urval för publ'!$B$2:$H$2,0),FALSE),"")</f>
        <v/>
      </c>
      <c r="E412" t="str">
        <f>IFERROR(VLOOKUP($C412,'Miljövärden urval för publ'!$B$2:$H$417,MATCH('Miljövärden för publ företag'!E$4,'Miljövärden urval för publ'!$B$2:$H$2,0),FALSE),"")</f>
        <v/>
      </c>
      <c r="F412" t="str">
        <f>IFERROR(VLOOKUP($C412,'Miljövärden urval för publ'!$B$2:$H$417,MATCH('Miljövärden för publ företag'!F$4,'Miljövärden urval för publ'!$B$2:$H$2,0),FALSE),"")</f>
        <v/>
      </c>
      <c r="G412" t="str">
        <f>IFERROR(VLOOKUP($C412,'Miljövärden urval för publ'!$B$2:$H$417,MATCH('Miljövärden för publ företag'!G$4,'Miljövärden urval för publ'!$B$2:$H$2,0),FALSE),"")</f>
        <v/>
      </c>
    </row>
    <row r="413" spans="2:7" x14ac:dyDescent="0.45">
      <c r="B413" s="2" t="str">
        <f>IFERROR(INDEX('Miljövärden urval för publ'!$A$2:$AA$420,MATCH('Miljövärden för publ företag'!$A413,'Miljövärden urval för publ'!$R$2:$R$417,0),1),"")</f>
        <v/>
      </c>
      <c r="C413" s="2" t="str">
        <f>IFERROR(INDEX('Miljövärden urval för publ'!$A$2:$AA$420,MATCH('Miljövärden för publ företag'!$A413,'Miljövärden urval för publ'!$R$2:$R$417,0),2),"")</f>
        <v/>
      </c>
      <c r="D413" t="str">
        <f>IFERROR(VLOOKUP($C413,'Miljövärden urval för publ'!$B$2:$H$417,MATCH('Miljövärden för publ företag'!D$4,'Miljövärden urval för publ'!$B$2:$H$2,0),FALSE),"")</f>
        <v/>
      </c>
      <c r="E413" t="str">
        <f>IFERROR(VLOOKUP($C413,'Miljövärden urval för publ'!$B$2:$H$417,MATCH('Miljövärden för publ företag'!E$4,'Miljövärden urval för publ'!$B$2:$H$2,0),FALSE),"")</f>
        <v/>
      </c>
      <c r="F413" t="str">
        <f>IFERROR(VLOOKUP($C413,'Miljövärden urval för publ'!$B$2:$H$417,MATCH('Miljövärden för publ företag'!F$4,'Miljövärden urval för publ'!$B$2:$H$2,0),FALSE),"")</f>
        <v/>
      </c>
      <c r="G413" t="str">
        <f>IFERROR(VLOOKUP($C413,'Miljövärden urval för publ'!$B$2:$H$417,MATCH('Miljövärden för publ företag'!G$4,'Miljövärden urval för publ'!$B$2:$H$2,0),FALSE),"")</f>
        <v/>
      </c>
    </row>
    <row r="414" spans="2:7" x14ac:dyDescent="0.45">
      <c r="B414" s="2" t="str">
        <f>IFERROR(INDEX('Miljövärden urval för publ'!$A$2:$AA$420,MATCH('Miljövärden för publ företag'!$A414,'Miljövärden urval för publ'!$R$2:$R$417,0),1),"")</f>
        <v/>
      </c>
      <c r="C414" s="2" t="str">
        <f>IFERROR(INDEX('Miljövärden urval för publ'!$A$2:$AA$420,MATCH('Miljövärden för publ företag'!$A414,'Miljövärden urval för publ'!$R$2:$R$417,0),2),"")</f>
        <v/>
      </c>
      <c r="D414" t="str">
        <f>IFERROR(VLOOKUP($C414,'Miljövärden urval för publ'!$B$2:$H$417,MATCH('Miljövärden för publ företag'!D$4,'Miljövärden urval för publ'!$B$2:$H$2,0),FALSE),"")</f>
        <v/>
      </c>
      <c r="E414" t="str">
        <f>IFERROR(VLOOKUP($C414,'Miljövärden urval för publ'!$B$2:$H$417,MATCH('Miljövärden för publ företag'!E$4,'Miljövärden urval för publ'!$B$2:$H$2,0),FALSE),"")</f>
        <v/>
      </c>
      <c r="F414" t="str">
        <f>IFERROR(VLOOKUP($C414,'Miljövärden urval för publ'!$B$2:$H$417,MATCH('Miljövärden för publ företag'!F$4,'Miljövärden urval för publ'!$B$2:$H$2,0),FALSE),"")</f>
        <v/>
      </c>
      <c r="G414" t="str">
        <f>IFERROR(VLOOKUP($C414,'Miljövärden urval för publ'!$B$2:$H$417,MATCH('Miljövärden för publ företag'!G$4,'Miljövärden urval för publ'!$B$2:$H$2,0),FALSE),"")</f>
        <v/>
      </c>
    </row>
    <row r="415" spans="2:7" x14ac:dyDescent="0.45">
      <c r="B415" s="2" t="str">
        <f>IFERROR(INDEX('Miljövärden urval för publ'!$A$2:$AA$420,MATCH('Miljövärden för publ företag'!$A415,'Miljövärden urval för publ'!$R$2:$R$417,0),1),"")</f>
        <v/>
      </c>
      <c r="C415" s="2" t="str">
        <f>IFERROR(INDEX('Miljövärden urval för publ'!$A$2:$AA$420,MATCH('Miljövärden för publ företag'!$A415,'Miljövärden urval för publ'!$R$2:$R$417,0),2),"")</f>
        <v/>
      </c>
      <c r="D415" t="str">
        <f>IFERROR(VLOOKUP($C415,'Miljövärden urval för publ'!$B$2:$H$417,MATCH('Miljövärden för publ företag'!D$4,'Miljövärden urval för publ'!$B$2:$H$2,0),FALSE),"")</f>
        <v/>
      </c>
      <c r="E415" t="str">
        <f>IFERROR(VLOOKUP($C415,'Miljövärden urval för publ'!$B$2:$H$417,MATCH('Miljövärden för publ företag'!E$4,'Miljövärden urval för publ'!$B$2:$H$2,0),FALSE),"")</f>
        <v/>
      </c>
      <c r="F415" t="str">
        <f>IFERROR(VLOOKUP($C415,'Miljövärden urval för publ'!$B$2:$H$417,MATCH('Miljövärden för publ företag'!F$4,'Miljövärden urval för publ'!$B$2:$H$2,0),FALSE),"")</f>
        <v/>
      </c>
      <c r="G415" t="str">
        <f>IFERROR(VLOOKUP($C415,'Miljövärden urval för publ'!$B$2:$H$417,MATCH('Miljövärden för publ företag'!G$4,'Miljövärden urval för publ'!$B$2:$H$2,0),FALSE),"")</f>
        <v/>
      </c>
    </row>
    <row r="416" spans="2:7" x14ac:dyDescent="0.45">
      <c r="B416" s="2" t="str">
        <f>IFERROR(INDEX('Miljövärden urval för publ'!$A$2:$AA$420,MATCH('Miljövärden för publ företag'!$A416,'Miljövärden urval för publ'!$R$2:$R$417,0),1),"")</f>
        <v/>
      </c>
      <c r="C416" s="2" t="str">
        <f>IFERROR(INDEX('Miljövärden urval för publ'!$A$2:$AA$420,MATCH('Miljövärden för publ företag'!$A416,'Miljövärden urval för publ'!$R$2:$R$417,0),2),"")</f>
        <v/>
      </c>
      <c r="D416" t="str">
        <f>IFERROR(VLOOKUP($C416,'Miljövärden urval för publ'!$B$2:$H$417,MATCH('Miljövärden för publ företag'!D$4,'Miljövärden urval för publ'!$B$2:$H$2,0),FALSE),"")</f>
        <v/>
      </c>
      <c r="E416" t="str">
        <f>IFERROR(VLOOKUP($C416,'Miljövärden urval för publ'!$B$2:$H$417,MATCH('Miljövärden för publ företag'!E$4,'Miljövärden urval för publ'!$B$2:$H$2,0),FALSE),"")</f>
        <v/>
      </c>
      <c r="F416" t="str">
        <f>IFERROR(VLOOKUP($C416,'Miljövärden urval för publ'!$B$2:$H$417,MATCH('Miljövärden för publ företag'!F$4,'Miljövärden urval för publ'!$B$2:$H$2,0),FALSE),"")</f>
        <v/>
      </c>
      <c r="G416" t="str">
        <f>IFERROR(VLOOKUP($C416,'Miljövärden urval för publ'!$B$2:$H$417,MATCH('Miljövärden för publ företag'!G$4,'Miljövärden urval för publ'!$B$2:$H$2,0),FALSE),"")</f>
        <v/>
      </c>
    </row>
    <row r="417" spans="2:7" x14ac:dyDescent="0.45">
      <c r="B417" s="2" t="str">
        <f>IFERROR(INDEX('Miljövärden urval för publ'!$A$2:$AA$420,MATCH('Miljövärden för publ företag'!$A417,'Miljövärden urval för publ'!$R$2:$R$417,0),1),"")</f>
        <v/>
      </c>
      <c r="C417" s="2" t="str">
        <f>IFERROR(INDEX('Miljövärden urval för publ'!$A$2:$AA$420,MATCH('Miljövärden för publ företag'!$A417,'Miljövärden urval för publ'!$R$2:$R$417,0),2),"")</f>
        <v/>
      </c>
      <c r="D417" t="str">
        <f>IFERROR(VLOOKUP($C417,'Miljövärden urval för publ'!$B$2:$H$417,MATCH('Miljövärden för publ företag'!D$4,'Miljövärden urval för publ'!$B$2:$H$2,0),FALSE),"")</f>
        <v/>
      </c>
      <c r="E417" t="str">
        <f>IFERROR(VLOOKUP($C417,'Miljövärden urval för publ'!$B$2:$H$417,MATCH('Miljövärden för publ företag'!E$4,'Miljövärden urval för publ'!$B$2:$H$2,0),FALSE),"")</f>
        <v/>
      </c>
      <c r="F417" t="str">
        <f>IFERROR(VLOOKUP($C417,'Miljövärden urval för publ'!$B$2:$H$417,MATCH('Miljövärden för publ företag'!F$4,'Miljövärden urval för publ'!$B$2:$H$2,0),FALSE),"")</f>
        <v/>
      </c>
      <c r="G417" t="str">
        <f>IFERROR(VLOOKUP($C417,'Miljövärden urval för publ'!$B$2:$H$417,MATCH('Miljövärden för publ företag'!G$4,'Miljövärden urval för publ'!$B$2:$H$2,0),FALSE),"")</f>
        <v/>
      </c>
    </row>
    <row r="418" spans="2:7" x14ac:dyDescent="0.45">
      <c r="B418" s="2" t="str">
        <f>IFERROR(INDEX('Miljövärden urval för publ'!$A$2:$AA$420,MATCH('Miljövärden för publ företag'!$A418,'Miljövärden urval för publ'!$R$2:$R$417,0),1),"")</f>
        <v/>
      </c>
      <c r="C418" s="2" t="str">
        <f>IFERROR(INDEX('Miljövärden urval för publ'!$A$2:$AA$420,MATCH('Miljövärden för publ företag'!$A418,'Miljövärden urval för publ'!$R$2:$R$417,0),2),"")</f>
        <v/>
      </c>
      <c r="D418" t="str">
        <f>IFERROR(VLOOKUP($C418,'Miljövärden urval för publ'!$B$2:$H$417,MATCH('Miljövärden för publ företag'!D$4,'Miljövärden urval för publ'!$B$2:$H$2,0),FALSE),"")</f>
        <v/>
      </c>
      <c r="E418" t="str">
        <f>IFERROR(VLOOKUP($C418,'Miljövärden urval för publ'!$B$2:$H$417,MATCH('Miljövärden för publ företag'!E$4,'Miljövärden urval för publ'!$B$2:$H$2,0),FALSE),"")</f>
        <v/>
      </c>
      <c r="F418" t="str">
        <f>IFERROR(VLOOKUP($C418,'Miljövärden urval för publ'!$B$2:$H$417,MATCH('Miljövärden för publ företag'!F$4,'Miljövärden urval för publ'!$B$2:$H$2,0),FALSE),"")</f>
        <v/>
      </c>
      <c r="G418" t="str">
        <f>IFERROR(VLOOKUP($C418,'Miljövärden urval för publ'!$B$2:$H$417,MATCH('Miljövärden för publ företag'!G$4,'Miljövärden urval för publ'!$B$2:$H$2,0),FALSE),"")</f>
        <v/>
      </c>
    </row>
    <row r="419" spans="2:7" x14ac:dyDescent="0.45">
      <c r="B419" s="2" t="str">
        <f>IFERROR(INDEX('Miljövärden urval för publ'!$A$2:$AA$420,MATCH('Miljövärden för publ företag'!$A419,'Miljövärden urval för publ'!$R$2:$R$417,0),1),"")</f>
        <v/>
      </c>
      <c r="C419" s="2" t="str">
        <f>IFERROR(INDEX('Miljövärden urval för publ'!$A$2:$AA$420,MATCH('Miljövärden för publ företag'!$A419,'Miljövärden urval för publ'!$R$2:$R$417,0),2),"")</f>
        <v/>
      </c>
      <c r="D419" t="str">
        <f>IFERROR(VLOOKUP($C419,'Miljövärden urval för publ'!$B$2:$H$417,MATCH('Miljövärden för publ företag'!D$4,'Miljövärden urval för publ'!$B$2:$H$2,0),FALSE),"")</f>
        <v/>
      </c>
      <c r="E419" t="str">
        <f>IFERROR(VLOOKUP($C419,'Miljövärden urval för publ'!$B$2:$H$417,MATCH('Miljövärden för publ företag'!E$4,'Miljövärden urval för publ'!$B$2:$H$2,0),FALSE),"")</f>
        <v/>
      </c>
      <c r="F419" t="str">
        <f>IFERROR(VLOOKUP($C419,'Miljövärden urval för publ'!$B$2:$H$417,MATCH('Miljövärden för publ företag'!F$4,'Miljövärden urval för publ'!$B$2:$H$2,0),FALSE),"")</f>
        <v/>
      </c>
      <c r="G419" t="str">
        <f>IFERROR(VLOOKUP($C419,'Miljövärden urval för publ'!$B$2:$H$417,MATCH('Miljövärden för publ företag'!G$4,'Miljövärden urval för publ'!$B$2:$H$2,0),FALSE),"")</f>
        <v/>
      </c>
    </row>
    <row r="420" spans="2:7" x14ac:dyDescent="0.45">
      <c r="B420" s="2" t="str">
        <f>IFERROR(INDEX('Miljövärden urval för publ'!$A$2:$AA$420,MATCH('Miljövärden för publ företag'!$A420,'Miljövärden urval för publ'!$R$2:$R$417,0),1),"")</f>
        <v/>
      </c>
      <c r="C420" s="2" t="str">
        <f>IFERROR(INDEX('Miljövärden urval för publ'!$A$2:$AA$420,MATCH('Miljövärden för publ företag'!$A420,'Miljövärden urval för publ'!$R$2:$R$417,0),2),"")</f>
        <v/>
      </c>
      <c r="D420" t="str">
        <f>IFERROR(VLOOKUP($C420,'Miljövärden urval för publ'!$B$2:$H$417,MATCH('Miljövärden för publ företag'!D$4,'Miljövärden urval för publ'!$B$2:$H$2,0),FALSE),"")</f>
        <v/>
      </c>
      <c r="E420" t="str">
        <f>IFERROR(VLOOKUP($C420,'Miljövärden urval för publ'!$B$2:$H$417,MATCH('Miljövärden för publ företag'!E$4,'Miljövärden urval för publ'!$B$2:$H$2,0),FALSE),"")</f>
        <v/>
      </c>
      <c r="F420" t="str">
        <f>IFERROR(VLOOKUP($C420,'Miljövärden urval för publ'!$B$2:$H$417,MATCH('Miljövärden för publ företag'!F$4,'Miljövärden urval för publ'!$B$2:$H$2,0),FALSE),"")</f>
        <v/>
      </c>
      <c r="G420" t="str">
        <f>IFERROR(VLOOKUP($C420,'Miljövärden urval för publ'!$B$2:$H$417,MATCH('Miljövärden för publ företag'!G$4,'Miljövärden urval för publ'!$B$2:$H$2,0),FALSE),"")</f>
        <v/>
      </c>
    </row>
    <row r="421" spans="2:7" x14ac:dyDescent="0.45">
      <c r="B421" s="2" t="str">
        <f>IFERROR(INDEX('Miljövärden urval för publ'!$A$2:$AA$420,MATCH('Miljövärden för publ företag'!$A421,'Miljövärden urval för publ'!$R$2:$R$417,0),1),"")</f>
        <v/>
      </c>
      <c r="C421" s="2" t="str">
        <f>IFERROR(INDEX('Miljövärden urval för publ'!$A$2:$AA$420,MATCH('Miljövärden för publ företag'!$A421,'Miljövärden urval för publ'!$R$2:$R$417,0),2),"")</f>
        <v/>
      </c>
      <c r="D421" t="str">
        <f>IFERROR(VLOOKUP($C421,'Miljövärden urval för publ'!$B$2:$H$417,MATCH('Miljövärden för publ företag'!D$4,'Miljövärden urval för publ'!$B$2:$H$2,0),FALSE),"")</f>
        <v/>
      </c>
      <c r="E421" t="str">
        <f>IFERROR(VLOOKUP($C421,'Miljövärden urval för publ'!$B$2:$H$417,MATCH('Miljövärden för publ företag'!E$4,'Miljövärden urval för publ'!$B$2:$H$2,0),FALSE),"")</f>
        <v/>
      </c>
      <c r="F421" t="str">
        <f>IFERROR(VLOOKUP($C421,'Miljövärden urval för publ'!$B$2:$H$417,MATCH('Miljövärden för publ företag'!F$4,'Miljövärden urval för publ'!$B$2:$H$2,0),FALSE),"")</f>
        <v/>
      </c>
      <c r="G421" t="str">
        <f>IFERROR(VLOOKUP($C421,'Miljövärden urval för publ'!$B$2:$H$417,MATCH('Miljövärden för publ företag'!G$4,'Miljövärden urval för publ'!$B$2:$H$2,0),FALSE),"")</f>
        <v/>
      </c>
    </row>
    <row r="422" spans="2:7" x14ac:dyDescent="0.45">
      <c r="B422" s="2" t="str">
        <f>IFERROR(INDEX('Miljövärden urval för publ'!$A$2:$AA$420,MATCH('Miljövärden för publ företag'!$A422,'Miljövärden urval för publ'!$R$2:$R$417,0),1),"")</f>
        <v/>
      </c>
      <c r="C422" s="2" t="str">
        <f>IFERROR(INDEX('Miljövärden urval för publ'!$A$2:$AA$420,MATCH('Miljövärden för publ företag'!$A422,'Miljövärden urval för publ'!$R$2:$R$417,0),2),"")</f>
        <v/>
      </c>
      <c r="D422" t="str">
        <f>IFERROR(VLOOKUP($C422,'Miljövärden urval för publ'!$B$2:$H$417,MATCH('Miljövärden för publ företag'!D$4,'Miljövärden urval för publ'!$B$2:$H$2,0),FALSE),"")</f>
        <v/>
      </c>
      <c r="E422" t="str">
        <f>IFERROR(VLOOKUP($C422,'Miljövärden urval för publ'!$B$2:$H$417,MATCH('Miljövärden för publ företag'!E$4,'Miljövärden urval för publ'!$B$2:$H$2,0),FALSE),"")</f>
        <v/>
      </c>
      <c r="F422" t="str">
        <f>IFERROR(VLOOKUP($C422,'Miljövärden urval för publ'!$B$2:$H$417,MATCH('Miljövärden för publ företag'!F$4,'Miljövärden urval för publ'!$B$2:$H$2,0),FALSE),"")</f>
        <v/>
      </c>
      <c r="G422" t="str">
        <f>IFERROR(VLOOKUP($C422,'Miljövärden urval för publ'!$B$2:$H$417,MATCH('Miljövärden för publ företag'!G$4,'Miljövärden urval för publ'!$B$2:$H$2,0),FALSE),"")</f>
        <v/>
      </c>
    </row>
    <row r="423" spans="2:7" x14ac:dyDescent="0.45">
      <c r="B423" s="2" t="str">
        <f>IFERROR(INDEX('Miljövärden urval för publ'!$A$2:$AA$420,MATCH('Miljövärden för publ företag'!$A423,'Miljövärden urval för publ'!$R$2:$R$417,0),1),"")</f>
        <v/>
      </c>
      <c r="C423" s="2" t="str">
        <f>IFERROR(INDEX('Miljövärden urval för publ'!$A$2:$AA$420,MATCH('Miljövärden för publ företag'!$A423,'Miljövärden urval för publ'!$R$2:$R$417,0),2),"")</f>
        <v/>
      </c>
      <c r="D423" t="str">
        <f>IFERROR(VLOOKUP($C423,'Miljövärden urval för publ'!$B$2:$H$417,MATCH('Miljövärden för publ företag'!D$4,'Miljövärden urval för publ'!$B$2:$H$2,0),FALSE),"")</f>
        <v/>
      </c>
      <c r="E423" t="str">
        <f>IFERROR(VLOOKUP($C423,'Miljövärden urval för publ'!$B$2:$H$417,MATCH('Miljövärden för publ företag'!E$4,'Miljövärden urval för publ'!$B$2:$H$2,0),FALSE),"")</f>
        <v/>
      </c>
      <c r="F423" t="str">
        <f>IFERROR(VLOOKUP($C423,'Miljövärden urval för publ'!$B$2:$H$417,MATCH('Miljövärden för publ företag'!F$4,'Miljövärden urval för publ'!$B$2:$H$2,0),FALSE),"")</f>
        <v/>
      </c>
      <c r="G423" t="str">
        <f>IFERROR(VLOOKUP($C423,'Miljövärden urval för publ'!$B$2:$H$417,MATCH('Miljövärden för publ företag'!G$4,'Miljövärden urval för publ'!$B$2:$H$2,0),FALSE),"")</f>
        <v/>
      </c>
    </row>
    <row r="424" spans="2:7" x14ac:dyDescent="0.45">
      <c r="B424" s="2" t="str">
        <f>IFERROR(INDEX('Miljövärden urval för publ'!$A$2:$AA$420,MATCH('Miljövärden för publ företag'!$A424,'Miljövärden urval för publ'!$R$2:$R$417,0),1),"")</f>
        <v/>
      </c>
      <c r="C424" s="2" t="str">
        <f>IFERROR(INDEX('Miljövärden urval för publ'!$A$2:$AA$420,MATCH('Miljövärden för publ företag'!$A424,'Miljövärden urval för publ'!$R$2:$R$417,0),2),"")</f>
        <v/>
      </c>
      <c r="D424" t="str">
        <f>IFERROR(VLOOKUP($C424,'Miljövärden urval för publ'!$B$2:$H$417,MATCH('Miljövärden för publ företag'!D$4,'Miljövärden urval för publ'!$B$2:$H$2,0),FALSE),"")</f>
        <v/>
      </c>
      <c r="E424" t="str">
        <f>IFERROR(VLOOKUP($C424,'Miljövärden urval för publ'!$B$2:$H$417,MATCH('Miljövärden för publ företag'!E$4,'Miljövärden urval för publ'!$B$2:$H$2,0),FALSE),"")</f>
        <v/>
      </c>
      <c r="F424" t="str">
        <f>IFERROR(VLOOKUP($C424,'Miljövärden urval för publ'!$B$2:$H$417,MATCH('Miljövärden för publ företag'!F$4,'Miljövärden urval för publ'!$B$2:$H$2,0),FALSE),"")</f>
        <v/>
      </c>
      <c r="G424" t="str">
        <f>IFERROR(VLOOKUP($C424,'Miljövärden urval för publ'!$B$2:$H$417,MATCH('Miljövärden för publ företag'!G$4,'Miljövärden urval för publ'!$B$2:$H$2,0),FALSE),"")</f>
        <v/>
      </c>
    </row>
    <row r="425" spans="2:7" x14ac:dyDescent="0.45">
      <c r="B425" s="2" t="str">
        <f>IFERROR(INDEX('Miljövärden urval för publ'!$A$2:$AA$420,MATCH('Miljövärden för publ företag'!$A425,'Miljövärden urval för publ'!$R$2:$R$417,0),1),"")</f>
        <v/>
      </c>
      <c r="C425" s="2" t="str">
        <f>IFERROR(INDEX('Miljövärden urval för publ'!$A$2:$AA$420,MATCH('Miljövärden för publ företag'!$A425,'Miljövärden urval för publ'!$R$2:$R$417,0),2),"")</f>
        <v/>
      </c>
      <c r="D425" t="str">
        <f>IFERROR(VLOOKUP($C425,'Miljövärden urval för publ'!$B$2:$H$417,MATCH('Miljövärden för publ företag'!D$4,'Miljövärden urval för publ'!$B$2:$H$2,0),FALSE),"")</f>
        <v/>
      </c>
      <c r="E425" t="str">
        <f>IFERROR(VLOOKUP($C425,'Miljövärden urval för publ'!$B$2:$H$417,MATCH('Miljövärden för publ företag'!E$4,'Miljövärden urval för publ'!$B$2:$H$2,0),FALSE),"")</f>
        <v/>
      </c>
      <c r="F425" t="str">
        <f>IFERROR(VLOOKUP($C425,'Miljövärden urval för publ'!$B$2:$H$417,MATCH('Miljövärden för publ företag'!F$4,'Miljövärden urval för publ'!$B$2:$H$2,0),FALSE),"")</f>
        <v/>
      </c>
      <c r="G425" t="str">
        <f>IFERROR(VLOOKUP($C425,'Miljövärden urval för publ'!$B$2:$H$417,MATCH('Miljövärden för publ företag'!G$4,'Miljövärden urval för publ'!$B$2:$H$2,0),FALSE),"")</f>
        <v/>
      </c>
    </row>
    <row r="426" spans="2:7" x14ac:dyDescent="0.45">
      <c r="B426" s="2" t="str">
        <f>IFERROR(INDEX('Miljövärden urval för publ'!$A$2:$AA$420,MATCH('Miljövärden för publ företag'!$A426,'Miljövärden urval för publ'!$R$2:$R$417,0),1),"")</f>
        <v/>
      </c>
      <c r="C426" s="2" t="str">
        <f>IFERROR(INDEX('Miljövärden urval för publ'!$A$2:$AA$420,MATCH('Miljövärden för publ företag'!$A426,'Miljövärden urval för publ'!$R$2:$R$417,0),2),"")</f>
        <v/>
      </c>
      <c r="D426" t="str">
        <f>IFERROR(VLOOKUP($C426,'Miljövärden urval för publ'!$B$2:$H$417,MATCH('Miljövärden för publ företag'!D$4,'Miljövärden urval för publ'!$B$2:$H$2,0),FALSE),"")</f>
        <v/>
      </c>
      <c r="E426" t="str">
        <f>IFERROR(VLOOKUP($C426,'Miljövärden urval för publ'!$B$2:$H$417,MATCH('Miljövärden för publ företag'!E$4,'Miljövärden urval för publ'!$B$2:$H$2,0),FALSE),"")</f>
        <v/>
      </c>
      <c r="F426" t="str">
        <f>IFERROR(VLOOKUP($C426,'Miljövärden urval för publ'!$B$2:$H$417,MATCH('Miljövärden för publ företag'!F$4,'Miljövärden urval för publ'!$B$2:$H$2,0),FALSE),"")</f>
        <v/>
      </c>
      <c r="G426" t="str">
        <f>IFERROR(VLOOKUP($C426,'Miljövärden urval för publ'!$B$2:$H$417,MATCH('Miljövärden för publ företag'!G$4,'Miljövärden urval för publ'!$B$2:$H$2,0),FALSE),"")</f>
        <v/>
      </c>
    </row>
    <row r="427" spans="2:7" x14ac:dyDescent="0.45">
      <c r="B427" s="2" t="str">
        <f>IFERROR(INDEX('Miljövärden urval för publ'!$A$2:$AA$420,MATCH('Miljövärden för publ företag'!$A427,'Miljövärden urval för publ'!$R$2:$R$417,0),1),"")</f>
        <v/>
      </c>
      <c r="C427" s="2" t="str">
        <f>IFERROR(INDEX('Miljövärden urval för publ'!$A$2:$AA$420,MATCH('Miljövärden för publ företag'!$A427,'Miljövärden urval för publ'!$R$2:$R$417,0),2),"")</f>
        <v/>
      </c>
      <c r="D427" t="str">
        <f>IFERROR(VLOOKUP($C427,'Miljövärden urval för publ'!$B$2:$H$417,MATCH('Miljövärden för publ företag'!D$4,'Miljövärden urval för publ'!$B$2:$H$2,0),FALSE),"")</f>
        <v/>
      </c>
      <c r="E427" t="str">
        <f>IFERROR(VLOOKUP($C427,'Miljövärden urval för publ'!$B$2:$H$417,MATCH('Miljövärden för publ företag'!E$4,'Miljövärden urval för publ'!$B$2:$H$2,0),FALSE),"")</f>
        <v/>
      </c>
      <c r="F427" t="str">
        <f>IFERROR(VLOOKUP($C427,'Miljövärden urval för publ'!$B$2:$H$417,MATCH('Miljövärden för publ företag'!F$4,'Miljövärden urval för publ'!$B$2:$H$2,0),FALSE),"")</f>
        <v/>
      </c>
      <c r="G427" t="str">
        <f>IFERROR(VLOOKUP($C427,'Miljövärden urval för publ'!$B$2:$H$417,MATCH('Miljövärden för publ företag'!G$4,'Miljövärden urval för publ'!$B$2:$H$2,0),FALSE),"")</f>
        <v/>
      </c>
    </row>
    <row r="428" spans="2:7" x14ac:dyDescent="0.45">
      <c r="B428" s="2" t="str">
        <f>IFERROR(INDEX('Miljövärden urval för publ'!$A$2:$AA$420,MATCH('Miljövärden för publ företag'!$A428,'Miljövärden urval för publ'!$R$2:$R$417,0),1),"")</f>
        <v/>
      </c>
      <c r="C428" s="2" t="str">
        <f>IFERROR(INDEX('Miljövärden urval för publ'!$A$2:$AA$420,MATCH('Miljövärden för publ företag'!$A428,'Miljövärden urval för publ'!$R$2:$R$417,0),2),"")</f>
        <v/>
      </c>
      <c r="D428" t="str">
        <f>IFERROR(VLOOKUP($C428,'Miljövärden urval för publ'!$B$2:$H$417,MATCH('Miljövärden för publ företag'!D$4,'Miljövärden urval för publ'!$B$2:$H$2,0),FALSE),"")</f>
        <v/>
      </c>
      <c r="E428" t="str">
        <f>IFERROR(VLOOKUP($C428,'Miljövärden urval för publ'!$B$2:$H$417,MATCH('Miljövärden för publ företag'!E$4,'Miljövärden urval för publ'!$B$2:$H$2,0),FALSE),"")</f>
        <v/>
      </c>
      <c r="F428" t="str">
        <f>IFERROR(VLOOKUP($C428,'Miljövärden urval för publ'!$B$2:$H$417,MATCH('Miljövärden för publ företag'!F$4,'Miljövärden urval för publ'!$B$2:$H$2,0),FALSE),"")</f>
        <v/>
      </c>
      <c r="G428" t="str">
        <f>IFERROR(VLOOKUP($C428,'Miljövärden urval för publ'!$B$2:$H$417,MATCH('Miljövärden för publ företag'!G$4,'Miljövärden urval för publ'!$B$2:$H$2,0),FALSE),"")</f>
        <v/>
      </c>
    </row>
    <row r="429" spans="2:7" x14ac:dyDescent="0.45">
      <c r="B429" s="2" t="str">
        <f>IFERROR(INDEX('Miljövärden urval för publ'!$A$2:$AA$420,MATCH('Miljövärden för publ företag'!$A429,'Miljövärden urval för publ'!$R$2:$R$417,0),1),"")</f>
        <v/>
      </c>
      <c r="C429" s="2" t="str">
        <f>IFERROR(INDEX('Miljövärden urval för publ'!$A$2:$AA$420,MATCH('Miljövärden för publ företag'!$A429,'Miljövärden urval för publ'!$R$2:$R$417,0),2),"")</f>
        <v/>
      </c>
      <c r="D429" t="str">
        <f>IFERROR(VLOOKUP($C429,'Miljövärden urval för publ'!$B$2:$H$417,MATCH('Miljövärden för publ företag'!D$4,'Miljövärden urval för publ'!$B$2:$H$2,0),FALSE),"")</f>
        <v/>
      </c>
      <c r="E429" t="str">
        <f>IFERROR(VLOOKUP($C429,'Miljövärden urval för publ'!$B$2:$H$417,MATCH('Miljövärden för publ företag'!E$4,'Miljövärden urval för publ'!$B$2:$H$2,0),FALSE),"")</f>
        <v/>
      </c>
      <c r="F429" t="str">
        <f>IFERROR(VLOOKUP($C429,'Miljövärden urval för publ'!$B$2:$H$417,MATCH('Miljövärden för publ företag'!F$4,'Miljövärden urval för publ'!$B$2:$H$2,0),FALSE),"")</f>
        <v/>
      </c>
      <c r="G429" t="str">
        <f>IFERROR(VLOOKUP($C429,'Miljövärden urval för publ'!$B$2:$H$417,MATCH('Miljövärden för publ företag'!G$4,'Miljövärden urval för publ'!$B$2:$H$2,0),FALSE),"")</f>
        <v/>
      </c>
    </row>
    <row r="430" spans="2:7" x14ac:dyDescent="0.45">
      <c r="B430" s="2" t="str">
        <f>IFERROR(INDEX('Miljövärden urval för publ'!$A$2:$AA$420,MATCH('Miljövärden för publ företag'!$A430,'Miljövärden urval för publ'!$R$2:$R$417,0),1),"")</f>
        <v/>
      </c>
      <c r="C430" s="2" t="str">
        <f>IFERROR(INDEX('Miljövärden urval för publ'!$A$2:$AA$420,MATCH('Miljövärden för publ företag'!$A430,'Miljövärden urval för publ'!$R$2:$R$417,0),2),"")</f>
        <v/>
      </c>
      <c r="D430" t="str">
        <f>IFERROR(VLOOKUP($C430,'Miljövärden urval för publ'!$B$2:$H$417,MATCH('Miljövärden för publ företag'!D$4,'Miljövärden urval för publ'!$B$2:$H$2,0),FALSE),"")</f>
        <v/>
      </c>
      <c r="E430" t="str">
        <f>IFERROR(VLOOKUP($C430,'Miljövärden urval för publ'!$B$2:$H$417,MATCH('Miljövärden för publ företag'!E$4,'Miljövärden urval för publ'!$B$2:$H$2,0),FALSE),"")</f>
        <v/>
      </c>
      <c r="F430" t="str">
        <f>IFERROR(VLOOKUP($C430,'Miljövärden urval för publ'!$B$2:$H$417,MATCH('Miljövärden för publ företag'!F$4,'Miljövärden urval för publ'!$B$2:$H$2,0),FALSE),"")</f>
        <v/>
      </c>
      <c r="G430" t="str">
        <f>IFERROR(VLOOKUP($C430,'Miljövärden urval för publ'!$B$2:$H$417,MATCH('Miljövärden för publ företag'!G$4,'Miljövärden urval för publ'!$B$2:$H$2,0),FALSE),"")</f>
        <v/>
      </c>
    </row>
    <row r="431" spans="2:7" x14ac:dyDescent="0.45">
      <c r="B431" s="2" t="str">
        <f>IFERROR(INDEX('Miljövärden urval för publ'!$A$2:$AA$420,MATCH('Miljövärden för publ företag'!$A431,'Miljövärden urval för publ'!$R$2:$R$417,0),1),"")</f>
        <v/>
      </c>
      <c r="C431" s="2" t="str">
        <f>IFERROR(INDEX('Miljövärden urval för publ'!$A$2:$AA$420,MATCH('Miljövärden för publ företag'!$A431,'Miljövärden urval för publ'!$R$2:$R$417,0),2),"")</f>
        <v/>
      </c>
      <c r="D431" t="str">
        <f>IFERROR(VLOOKUP($C431,'Miljövärden urval för publ'!$B$2:$H$417,MATCH('Miljövärden för publ företag'!D$4,'Miljövärden urval för publ'!$B$2:$H$2,0),FALSE),"")</f>
        <v/>
      </c>
      <c r="E431" t="str">
        <f>IFERROR(VLOOKUP($C431,'Miljövärden urval för publ'!$B$2:$H$417,MATCH('Miljövärden för publ företag'!E$4,'Miljövärden urval för publ'!$B$2:$H$2,0),FALSE),"")</f>
        <v/>
      </c>
      <c r="F431" t="str">
        <f>IFERROR(VLOOKUP($C431,'Miljövärden urval för publ'!$B$2:$H$417,MATCH('Miljövärden för publ företag'!F$4,'Miljövärden urval för publ'!$B$2:$H$2,0),FALSE),"")</f>
        <v/>
      </c>
      <c r="G431" t="str">
        <f>IFERROR(VLOOKUP($C431,'Miljövärden urval för publ'!$B$2:$H$417,MATCH('Miljövärden för publ företag'!G$4,'Miljövärden urval för publ'!$B$2:$H$2,0),FALSE),"")</f>
        <v/>
      </c>
    </row>
    <row r="432" spans="2:7" x14ac:dyDescent="0.45">
      <c r="B432" s="2" t="str">
        <f>IFERROR(INDEX('Miljövärden urval för publ'!$A$2:$AA$420,MATCH('Miljövärden för publ företag'!$A432,'Miljövärden urval för publ'!$R$2:$R$417,0),1),"")</f>
        <v/>
      </c>
      <c r="C432" s="2" t="str">
        <f>IFERROR(INDEX('Miljövärden urval för publ'!$A$2:$AA$420,MATCH('Miljövärden för publ företag'!$A432,'Miljövärden urval för publ'!$R$2:$R$417,0),2),"")</f>
        <v/>
      </c>
      <c r="D432" t="str">
        <f>IFERROR(VLOOKUP($C432,'Miljövärden urval för publ'!$B$2:$H$417,MATCH('Miljövärden för publ företag'!D$4,'Miljövärden urval för publ'!$B$2:$H$2,0),FALSE),"")</f>
        <v/>
      </c>
      <c r="E432" t="str">
        <f>IFERROR(VLOOKUP($C432,'Miljövärden urval för publ'!$B$2:$H$417,MATCH('Miljövärden för publ företag'!E$4,'Miljövärden urval för publ'!$B$2:$H$2,0),FALSE),"")</f>
        <v/>
      </c>
      <c r="F432" t="str">
        <f>IFERROR(VLOOKUP($C432,'Miljövärden urval för publ'!$B$2:$H$417,MATCH('Miljövärden för publ företag'!F$4,'Miljövärden urval för publ'!$B$2:$H$2,0),FALSE),"")</f>
        <v/>
      </c>
      <c r="G432" t="str">
        <f>IFERROR(VLOOKUP($C432,'Miljövärden urval för publ'!$B$2:$H$417,MATCH('Miljövärden för publ företag'!G$4,'Miljövärden urval för publ'!$B$2:$H$2,0),FALSE),"")</f>
        <v/>
      </c>
    </row>
    <row r="433" spans="2:7" x14ac:dyDescent="0.45">
      <c r="B433" s="2" t="str">
        <f>IFERROR(INDEX('Miljövärden urval för publ'!$A$2:$AA$420,MATCH('Miljövärden för publ företag'!$A433,'Miljövärden urval för publ'!$R$2:$R$417,0),1),"")</f>
        <v/>
      </c>
      <c r="C433" s="2" t="str">
        <f>IFERROR(INDEX('Miljövärden urval för publ'!$A$2:$AA$420,MATCH('Miljövärden för publ företag'!$A433,'Miljövärden urval för publ'!$R$2:$R$417,0),2),"")</f>
        <v/>
      </c>
      <c r="D433" t="str">
        <f>IFERROR(VLOOKUP($C433,'Miljövärden urval för publ'!$B$2:$H$417,MATCH('Miljövärden för publ företag'!D$4,'Miljövärden urval för publ'!$B$2:$H$2,0),FALSE),"")</f>
        <v/>
      </c>
      <c r="E433" t="str">
        <f>IFERROR(VLOOKUP($C433,'Miljövärden urval för publ'!$B$2:$H$417,MATCH('Miljövärden för publ företag'!E$4,'Miljövärden urval för publ'!$B$2:$H$2,0),FALSE),"")</f>
        <v/>
      </c>
      <c r="F433" t="str">
        <f>IFERROR(VLOOKUP($C433,'Miljövärden urval för publ'!$B$2:$H$417,MATCH('Miljövärden för publ företag'!F$4,'Miljövärden urval för publ'!$B$2:$H$2,0),FALSE),"")</f>
        <v/>
      </c>
      <c r="G433" t="str">
        <f>IFERROR(VLOOKUP($C433,'Miljövärden urval för publ'!$B$2:$H$417,MATCH('Miljövärden för publ företag'!G$4,'Miljövärden urval för publ'!$B$2:$H$2,0),FALSE),"")</f>
        <v/>
      </c>
    </row>
    <row r="434" spans="2:7" x14ac:dyDescent="0.45">
      <c r="B434" s="2" t="str">
        <f>IFERROR(INDEX('Miljövärden urval för publ'!$A$2:$AA$420,MATCH('Miljövärden för publ företag'!$A434,'Miljövärden urval för publ'!$R$2:$R$417,0),1),"")</f>
        <v/>
      </c>
      <c r="C434" s="2" t="str">
        <f>IFERROR(INDEX('Miljövärden urval för publ'!$A$2:$AA$420,MATCH('Miljövärden för publ företag'!$A434,'Miljövärden urval för publ'!$R$2:$R$417,0),2),"")</f>
        <v/>
      </c>
      <c r="D434" t="str">
        <f>IFERROR(VLOOKUP($C434,'Miljövärden urval för publ'!$B$2:$H$417,MATCH('Miljövärden för publ företag'!D$4,'Miljövärden urval för publ'!$B$2:$H$2,0),FALSE),"")</f>
        <v/>
      </c>
      <c r="E434" t="str">
        <f>IFERROR(VLOOKUP($C434,'Miljövärden urval för publ'!$B$2:$H$417,MATCH('Miljövärden för publ företag'!E$4,'Miljövärden urval för publ'!$B$2:$H$2,0),FALSE),"")</f>
        <v/>
      </c>
      <c r="F434" t="str">
        <f>IFERROR(VLOOKUP($C434,'Miljövärden urval för publ'!$B$2:$H$417,MATCH('Miljövärden för publ företag'!F$4,'Miljövärden urval för publ'!$B$2:$H$2,0),FALSE),"")</f>
        <v/>
      </c>
      <c r="G434" t="str">
        <f>IFERROR(VLOOKUP($C434,'Miljövärden urval för publ'!$B$2:$H$417,MATCH('Miljövärden för publ företag'!G$4,'Miljövärden urval för publ'!$B$2:$H$2,0),FALSE),"")</f>
        <v/>
      </c>
    </row>
    <row r="435" spans="2:7" x14ac:dyDescent="0.45">
      <c r="B435" s="2" t="str">
        <f>IFERROR(INDEX('Miljövärden urval för publ'!$A$2:$AA$420,MATCH('Miljövärden för publ företag'!$A435,'Miljövärden urval för publ'!$R$2:$R$417,0),1),"")</f>
        <v/>
      </c>
      <c r="C435" s="2" t="str">
        <f>IFERROR(INDEX('Miljövärden urval för publ'!$A$2:$AA$420,MATCH('Miljövärden för publ företag'!$A435,'Miljövärden urval för publ'!$R$2:$R$417,0),2),"")</f>
        <v/>
      </c>
      <c r="D435" t="str">
        <f>IFERROR(VLOOKUP($C435,'Miljövärden urval för publ'!$B$2:$H$417,MATCH('Miljövärden för publ företag'!D$4,'Miljövärden urval för publ'!$B$2:$H$2,0),FALSE),"")</f>
        <v/>
      </c>
      <c r="E435" t="str">
        <f>IFERROR(VLOOKUP($C435,'Miljövärden urval för publ'!$B$2:$H$417,MATCH('Miljövärden för publ företag'!E$4,'Miljövärden urval för publ'!$B$2:$H$2,0),FALSE),"")</f>
        <v/>
      </c>
      <c r="F435" t="str">
        <f>IFERROR(VLOOKUP($C435,'Miljövärden urval för publ'!$B$2:$H$417,MATCH('Miljövärden för publ företag'!F$4,'Miljövärden urval för publ'!$B$2:$H$2,0),FALSE),"")</f>
        <v/>
      </c>
      <c r="G435" t="str">
        <f>IFERROR(VLOOKUP($C435,'Miljövärden urval för publ'!$B$2:$H$417,MATCH('Miljövärden för publ företag'!G$4,'Miljövärden urval för publ'!$B$2:$H$2,0),FALSE),"")</f>
        <v/>
      </c>
    </row>
    <row r="436" spans="2:7" x14ac:dyDescent="0.45">
      <c r="B436" s="2" t="str">
        <f>IFERROR(INDEX('Miljövärden urval för publ'!$A$2:$AA$420,MATCH('Miljövärden för publ företag'!$A436,'Miljövärden urval för publ'!$R$2:$R$417,0),1),"")</f>
        <v/>
      </c>
      <c r="C436" s="2" t="str">
        <f>IFERROR(INDEX('Miljövärden urval för publ'!$A$2:$AA$420,MATCH('Miljövärden för publ företag'!$A436,'Miljövärden urval för publ'!$R$2:$R$417,0),2),"")</f>
        <v/>
      </c>
      <c r="D436" t="str">
        <f>IFERROR(VLOOKUP($C436,'Miljövärden urval för publ'!$B$2:$H$417,MATCH('Miljövärden för publ företag'!D$4,'Miljövärden urval för publ'!$B$2:$H$2,0),FALSE),"")</f>
        <v/>
      </c>
      <c r="E436" t="str">
        <f>IFERROR(VLOOKUP($C436,'Miljövärden urval för publ'!$B$2:$H$417,MATCH('Miljövärden för publ företag'!E$4,'Miljövärden urval för publ'!$B$2:$H$2,0),FALSE),"")</f>
        <v/>
      </c>
      <c r="F436" t="str">
        <f>IFERROR(VLOOKUP($C436,'Miljövärden urval för publ'!$B$2:$H$417,MATCH('Miljövärden för publ företag'!F$4,'Miljövärden urval för publ'!$B$2:$H$2,0),FALSE),"")</f>
        <v/>
      </c>
      <c r="G436" t="str">
        <f>IFERROR(VLOOKUP($C436,'Miljövärden urval för publ'!$B$2:$H$417,MATCH('Miljövärden för publ företag'!G$4,'Miljövärden urval för publ'!$B$2:$H$2,0),FALSE),"")</f>
        <v/>
      </c>
    </row>
    <row r="437" spans="2:7" x14ac:dyDescent="0.45">
      <c r="B437" s="2" t="str">
        <f>IFERROR(INDEX('Miljövärden urval för publ'!$A$2:$AA$420,MATCH('Miljövärden för publ företag'!$A437,'Miljövärden urval för publ'!$R$2:$R$417,0),1),"")</f>
        <v/>
      </c>
      <c r="C437" s="2" t="str">
        <f>IFERROR(INDEX('Miljövärden urval för publ'!$A$2:$AA$420,MATCH('Miljövärden för publ företag'!$A437,'Miljövärden urval för publ'!$R$2:$R$417,0),2),"")</f>
        <v/>
      </c>
      <c r="D437" t="str">
        <f>IFERROR(VLOOKUP($C437,'Miljövärden urval för publ'!$B$2:$H$417,MATCH('Miljövärden för publ företag'!D$4,'Miljövärden urval för publ'!$B$2:$H$2,0),FALSE),"")</f>
        <v/>
      </c>
      <c r="E437" t="str">
        <f>IFERROR(VLOOKUP($C437,'Miljövärden urval för publ'!$B$2:$H$417,MATCH('Miljövärden för publ företag'!E$4,'Miljövärden urval för publ'!$B$2:$H$2,0),FALSE),"")</f>
        <v/>
      </c>
      <c r="F437" t="str">
        <f>IFERROR(VLOOKUP($C437,'Miljövärden urval för publ'!$B$2:$H$417,MATCH('Miljövärden för publ företag'!F$4,'Miljövärden urval för publ'!$B$2:$H$2,0),FALSE),"")</f>
        <v/>
      </c>
      <c r="G437" t="str">
        <f>IFERROR(VLOOKUP($C437,'Miljövärden urval för publ'!$B$2:$H$417,MATCH('Miljövärden för publ företag'!G$4,'Miljövärden urval för publ'!$B$2:$H$2,0),FALSE),"")</f>
        <v/>
      </c>
    </row>
    <row r="438" spans="2:7" x14ac:dyDescent="0.45">
      <c r="B438" s="2" t="str">
        <f>IFERROR(INDEX('Miljövärden urval för publ'!$A$2:$AA$420,MATCH('Miljövärden för publ företag'!$A438,'Miljövärden urval för publ'!$R$2:$R$417,0),1),"")</f>
        <v/>
      </c>
      <c r="C438" s="2" t="str">
        <f>IFERROR(INDEX('Miljövärden urval för publ'!$A$2:$AA$420,MATCH('Miljövärden för publ företag'!$A438,'Miljövärden urval för publ'!$R$2:$R$417,0),2),"")</f>
        <v/>
      </c>
      <c r="D438" t="str">
        <f>IFERROR(VLOOKUP($C438,'Miljövärden urval för publ'!$B$2:$H$417,MATCH('Miljövärden för publ företag'!D$4,'Miljövärden urval för publ'!$B$2:$H$2,0),FALSE),"")</f>
        <v/>
      </c>
      <c r="E438" t="str">
        <f>IFERROR(VLOOKUP($C438,'Miljövärden urval för publ'!$B$2:$H$417,MATCH('Miljövärden för publ företag'!E$4,'Miljövärden urval för publ'!$B$2:$H$2,0),FALSE),"")</f>
        <v/>
      </c>
      <c r="F438" t="str">
        <f>IFERROR(VLOOKUP($C438,'Miljövärden urval för publ'!$B$2:$H$417,MATCH('Miljövärden för publ företag'!F$4,'Miljövärden urval för publ'!$B$2:$H$2,0),FALSE),"")</f>
        <v/>
      </c>
      <c r="G438" t="str">
        <f>IFERROR(VLOOKUP($C438,'Miljövärden urval för publ'!$B$2:$H$417,MATCH('Miljövärden för publ företag'!G$4,'Miljövärden urval för publ'!$B$2:$H$2,0),FALSE),"")</f>
        <v/>
      </c>
    </row>
    <row r="439" spans="2:7" x14ac:dyDescent="0.45">
      <c r="B439" s="2" t="str">
        <f>IFERROR(INDEX('Miljövärden urval för publ'!$A$2:$AA$420,MATCH('Miljövärden för publ företag'!$A439,'Miljövärden urval för publ'!$R$2:$R$417,0),1),"")</f>
        <v/>
      </c>
      <c r="C439" s="2" t="str">
        <f>IFERROR(INDEX('Miljövärden urval för publ'!$A$2:$AA$420,MATCH('Miljövärden för publ företag'!$A439,'Miljövärden urval för publ'!$R$2:$R$417,0),2),"")</f>
        <v/>
      </c>
      <c r="D439" t="str">
        <f>IFERROR(VLOOKUP($C439,'Miljövärden urval för publ'!$B$2:$H$417,MATCH('Miljövärden för publ företag'!D$4,'Miljövärden urval för publ'!$B$2:$H$2,0),FALSE),"")</f>
        <v/>
      </c>
      <c r="E439" t="str">
        <f>IFERROR(VLOOKUP($C439,'Miljövärden urval för publ'!$B$2:$H$417,MATCH('Miljövärden för publ företag'!E$4,'Miljövärden urval för publ'!$B$2:$H$2,0),FALSE),"")</f>
        <v/>
      </c>
      <c r="F439" t="str">
        <f>IFERROR(VLOOKUP($C439,'Miljövärden urval för publ'!$B$2:$H$417,MATCH('Miljövärden för publ företag'!F$4,'Miljövärden urval för publ'!$B$2:$H$2,0),FALSE),"")</f>
        <v/>
      </c>
      <c r="G439" t="str">
        <f>IFERROR(VLOOKUP($C439,'Miljövärden urval för publ'!$B$2:$H$417,MATCH('Miljövärden för publ företag'!G$4,'Miljövärden urval för publ'!$B$2:$H$2,0),FALSE),"")</f>
        <v/>
      </c>
    </row>
    <row r="440" spans="2:7" x14ac:dyDescent="0.45">
      <c r="B440" s="2" t="str">
        <f>IFERROR(INDEX('Miljövärden urval för publ'!$A$2:$AA$420,MATCH('Miljövärden för publ företag'!$A440,'Miljövärden urval för publ'!$R$2:$R$417,0),1),"")</f>
        <v/>
      </c>
      <c r="C440" s="2" t="str">
        <f>IFERROR(INDEX('Miljövärden urval för publ'!$A$2:$AA$420,MATCH('Miljövärden för publ företag'!$A440,'Miljövärden urval för publ'!$R$2:$R$417,0),2),"")</f>
        <v/>
      </c>
      <c r="D440" t="str">
        <f>IFERROR(VLOOKUP($C440,'Miljövärden urval för publ'!$B$2:$H$417,MATCH('Miljövärden för publ företag'!D$4,'Miljövärden urval för publ'!$B$2:$H$2,0),FALSE),"")</f>
        <v/>
      </c>
      <c r="E440" t="str">
        <f>IFERROR(VLOOKUP($C440,'Miljövärden urval för publ'!$B$2:$H$417,MATCH('Miljövärden för publ företag'!E$4,'Miljövärden urval för publ'!$B$2:$H$2,0),FALSE),"")</f>
        <v/>
      </c>
      <c r="F440" t="str">
        <f>IFERROR(VLOOKUP($C440,'Miljövärden urval för publ'!$B$2:$H$417,MATCH('Miljövärden för publ företag'!F$4,'Miljövärden urval för publ'!$B$2:$H$2,0),FALSE),"")</f>
        <v/>
      </c>
      <c r="G440" t="str">
        <f>IFERROR(VLOOKUP($C440,'Miljövärden urval för publ'!$B$2:$H$417,MATCH('Miljövärden för publ företag'!G$4,'Miljövärden urval för publ'!$B$2:$H$2,0),FALSE),"")</f>
        <v/>
      </c>
    </row>
    <row r="441" spans="2:7" x14ac:dyDescent="0.45">
      <c r="B441" s="2" t="str">
        <f>IFERROR(INDEX('Miljövärden urval för publ'!$A$2:$AA$420,MATCH('Miljövärden för publ företag'!$A441,'Miljövärden urval för publ'!$R$2:$R$417,0),1),"")</f>
        <v/>
      </c>
      <c r="C441" s="2" t="str">
        <f>IFERROR(INDEX('Miljövärden urval för publ'!$A$2:$AA$420,MATCH('Miljövärden för publ företag'!$A441,'Miljövärden urval för publ'!$R$2:$R$417,0),2),"")</f>
        <v/>
      </c>
      <c r="D441" t="str">
        <f>IFERROR(VLOOKUP($C441,'Miljövärden urval för publ'!$B$2:$H$417,MATCH('Miljövärden för publ företag'!D$4,'Miljövärden urval för publ'!$B$2:$H$2,0),FALSE),"")</f>
        <v/>
      </c>
      <c r="E441" t="str">
        <f>IFERROR(VLOOKUP($C441,'Miljövärden urval för publ'!$B$2:$H$417,MATCH('Miljövärden för publ företag'!E$4,'Miljövärden urval för publ'!$B$2:$H$2,0),FALSE),"")</f>
        <v/>
      </c>
      <c r="F441" t="str">
        <f>IFERROR(VLOOKUP($C441,'Miljövärden urval för publ'!$B$2:$H$417,MATCH('Miljövärden för publ företag'!F$4,'Miljövärden urval för publ'!$B$2:$H$2,0),FALSE),"")</f>
        <v/>
      </c>
      <c r="G441" t="str">
        <f>IFERROR(VLOOKUP($C441,'Miljövärden urval för publ'!$B$2:$H$417,MATCH('Miljövärden för publ företag'!G$4,'Miljövärden urval för publ'!$B$2:$H$2,0),FALSE),"")</f>
        <v/>
      </c>
    </row>
    <row r="442" spans="2:7" x14ac:dyDescent="0.45">
      <c r="B442" s="2" t="str">
        <f>IFERROR(INDEX('Miljövärden urval för publ'!$A$2:$AA$420,MATCH('Miljövärden för publ företag'!$A442,'Miljövärden urval för publ'!$R$2:$R$417,0),1),"")</f>
        <v/>
      </c>
      <c r="C442" s="2" t="str">
        <f>IFERROR(INDEX('Miljövärden urval för publ'!$A$2:$AA$420,MATCH('Miljövärden för publ företag'!$A442,'Miljövärden urval för publ'!$R$2:$R$417,0),2),"")</f>
        <v/>
      </c>
      <c r="D442" t="str">
        <f>IFERROR(VLOOKUP($C442,'Miljövärden urval för publ'!$B$2:$H$417,MATCH('Miljövärden för publ företag'!D$4,'Miljövärden urval för publ'!$B$2:$H$2,0),FALSE),"")</f>
        <v/>
      </c>
      <c r="E442" t="str">
        <f>IFERROR(VLOOKUP($C442,'Miljövärden urval för publ'!$B$2:$H$417,MATCH('Miljövärden för publ företag'!E$4,'Miljövärden urval för publ'!$B$2:$H$2,0),FALSE),"")</f>
        <v/>
      </c>
      <c r="F442" t="str">
        <f>IFERROR(VLOOKUP($C442,'Miljövärden urval för publ'!$B$2:$H$417,MATCH('Miljövärden för publ företag'!F$4,'Miljövärden urval för publ'!$B$2:$H$2,0),FALSE),"")</f>
        <v/>
      </c>
      <c r="G442" t="str">
        <f>IFERROR(VLOOKUP($C442,'Miljövärden urval för publ'!$B$2:$H$417,MATCH('Miljövärden för publ företag'!G$4,'Miljövärden urval för publ'!$B$2:$H$2,0),FALSE),"")</f>
        <v/>
      </c>
    </row>
    <row r="443" spans="2:7" x14ac:dyDescent="0.45">
      <c r="B443" s="2" t="str">
        <f>IFERROR(INDEX('Miljövärden urval för publ'!$A$2:$AA$420,MATCH('Miljövärden för publ företag'!$A443,'Miljövärden urval för publ'!$R$2:$R$417,0),1),"")</f>
        <v/>
      </c>
      <c r="C443" s="2" t="str">
        <f>IFERROR(INDEX('Miljövärden urval för publ'!$A$2:$AA$420,MATCH('Miljövärden för publ företag'!$A443,'Miljövärden urval för publ'!$R$2:$R$417,0),2),"")</f>
        <v/>
      </c>
      <c r="D443" t="str">
        <f>IFERROR(VLOOKUP($C443,'Miljövärden urval för publ'!$B$2:$H$417,MATCH('Miljövärden för publ företag'!D$4,'Miljövärden urval för publ'!$B$2:$H$2,0),FALSE),"")</f>
        <v/>
      </c>
      <c r="E443" t="str">
        <f>IFERROR(VLOOKUP($C443,'Miljövärden urval för publ'!$B$2:$H$417,MATCH('Miljövärden för publ företag'!E$4,'Miljövärden urval för publ'!$B$2:$H$2,0),FALSE),"")</f>
        <v/>
      </c>
      <c r="F443" t="str">
        <f>IFERROR(VLOOKUP($C443,'Miljövärden urval för publ'!$B$2:$H$417,MATCH('Miljövärden för publ företag'!F$4,'Miljövärden urval för publ'!$B$2:$H$2,0),FALSE),"")</f>
        <v/>
      </c>
      <c r="G443" t="str">
        <f>IFERROR(VLOOKUP($C443,'Miljövärden urval för publ'!$B$2:$H$417,MATCH('Miljövärden för publ företag'!G$4,'Miljövärden urval för publ'!$B$2:$H$2,0),FALSE),"")</f>
        <v/>
      </c>
    </row>
    <row r="444" spans="2:7" x14ac:dyDescent="0.45">
      <c r="B444" s="2" t="str">
        <f>IFERROR(INDEX('Miljövärden urval för publ'!$A$2:$AA$420,MATCH('Miljövärden för publ företag'!$A444,'Miljövärden urval för publ'!$R$2:$R$417,0),1),"")</f>
        <v/>
      </c>
      <c r="C444" s="2" t="str">
        <f>IFERROR(INDEX('Miljövärden urval för publ'!$A$2:$AA$420,MATCH('Miljövärden för publ företag'!$A444,'Miljövärden urval för publ'!$R$2:$R$417,0),2),"")</f>
        <v/>
      </c>
      <c r="D444" t="str">
        <f>IFERROR(VLOOKUP($C444,'Miljövärden urval för publ'!$B$2:$H$417,MATCH('Miljövärden för publ företag'!D$4,'Miljövärden urval för publ'!$B$2:$H$2,0),FALSE),"")</f>
        <v/>
      </c>
      <c r="E444" t="str">
        <f>IFERROR(VLOOKUP($C444,'Miljövärden urval för publ'!$B$2:$H$417,MATCH('Miljövärden för publ företag'!E$4,'Miljövärden urval för publ'!$B$2:$H$2,0),FALSE),"")</f>
        <v/>
      </c>
      <c r="F444" t="str">
        <f>IFERROR(VLOOKUP($C444,'Miljövärden urval för publ'!$B$2:$H$417,MATCH('Miljövärden för publ företag'!F$4,'Miljövärden urval för publ'!$B$2:$H$2,0),FALSE),"")</f>
        <v/>
      </c>
      <c r="G444" t="str">
        <f>IFERROR(VLOOKUP($C444,'Miljövärden urval för publ'!$B$2:$H$417,MATCH('Miljövärden för publ företag'!G$4,'Miljövärden urval för publ'!$B$2:$H$2,0),FALSE),"")</f>
        <v/>
      </c>
    </row>
    <row r="445" spans="2:7" x14ac:dyDescent="0.45">
      <c r="B445" s="2" t="str">
        <f>IFERROR(INDEX('Miljövärden urval för publ'!$A$2:$AA$420,MATCH('Miljövärden för publ företag'!$A445,'Miljövärden urval för publ'!$R$2:$R$417,0),1),"")</f>
        <v/>
      </c>
      <c r="C445" s="2" t="str">
        <f>IFERROR(INDEX('Miljövärden urval för publ'!$A$2:$AA$420,MATCH('Miljövärden för publ företag'!$A445,'Miljövärden urval för publ'!$R$2:$R$417,0),2),"")</f>
        <v/>
      </c>
      <c r="D445" t="str">
        <f>IFERROR(VLOOKUP($C445,'Miljövärden urval för publ'!$B$2:$H$417,MATCH('Miljövärden för publ företag'!D$4,'Miljövärden urval för publ'!$B$2:$H$2,0),FALSE),"")</f>
        <v/>
      </c>
      <c r="E445" t="str">
        <f>IFERROR(VLOOKUP($C445,'Miljövärden urval för publ'!$B$2:$H$417,MATCH('Miljövärden för publ företag'!E$4,'Miljövärden urval för publ'!$B$2:$H$2,0),FALSE),"")</f>
        <v/>
      </c>
      <c r="F445" t="str">
        <f>IFERROR(VLOOKUP($C445,'Miljövärden urval för publ'!$B$2:$H$417,MATCH('Miljövärden för publ företag'!F$4,'Miljövärden urval för publ'!$B$2:$H$2,0),FALSE),"")</f>
        <v/>
      </c>
      <c r="G445" t="str">
        <f>IFERROR(VLOOKUP($C445,'Miljövärden urval för publ'!$B$2:$H$417,MATCH('Miljövärden för publ företag'!G$4,'Miljövärden urval för publ'!$B$2:$H$2,0),FALSE),"")</f>
        <v/>
      </c>
    </row>
    <row r="446" spans="2:7" x14ac:dyDescent="0.45">
      <c r="B446" s="2" t="str">
        <f>IFERROR(INDEX('Miljövärden urval för publ'!$A$2:$AA$420,MATCH('Miljövärden för publ företag'!$A446,'Miljövärden urval för publ'!$R$2:$R$417,0),1),"")</f>
        <v/>
      </c>
      <c r="C446" s="2" t="str">
        <f>IFERROR(INDEX('Miljövärden urval för publ'!$A$2:$AA$420,MATCH('Miljövärden för publ företag'!$A446,'Miljövärden urval för publ'!$R$2:$R$417,0),2),"")</f>
        <v/>
      </c>
      <c r="D446" t="str">
        <f>IFERROR(VLOOKUP($C446,'Miljövärden urval för publ'!$B$2:$H$417,MATCH('Miljövärden för publ företag'!D$4,'Miljövärden urval för publ'!$B$2:$H$2,0),FALSE),"")</f>
        <v/>
      </c>
      <c r="E446" t="str">
        <f>IFERROR(VLOOKUP($C446,'Miljövärden urval för publ'!$B$2:$H$417,MATCH('Miljövärden för publ företag'!E$4,'Miljövärden urval för publ'!$B$2:$H$2,0),FALSE),"")</f>
        <v/>
      </c>
      <c r="F446" t="str">
        <f>IFERROR(VLOOKUP($C446,'Miljövärden urval för publ'!$B$2:$H$417,MATCH('Miljövärden för publ företag'!F$4,'Miljövärden urval för publ'!$B$2:$H$2,0),FALSE),"")</f>
        <v/>
      </c>
      <c r="G446" t="str">
        <f>IFERROR(VLOOKUP($C446,'Miljövärden urval för publ'!$B$2:$H$417,MATCH('Miljövärden för publ företag'!G$4,'Miljövärden urval för publ'!$B$2:$H$2,0),FALSE),"")</f>
        <v/>
      </c>
    </row>
    <row r="447" spans="2:7" x14ac:dyDescent="0.45">
      <c r="B447" s="2" t="str">
        <f>IFERROR(INDEX('Miljövärden urval för publ'!$A$2:$AA$420,MATCH('Miljövärden för publ företag'!$A447,'Miljövärden urval för publ'!$R$2:$R$417,0),1),"")</f>
        <v/>
      </c>
      <c r="C447" s="2" t="str">
        <f>IFERROR(INDEX('Miljövärden urval för publ'!$A$2:$AA$420,MATCH('Miljövärden för publ företag'!$A447,'Miljövärden urval för publ'!$R$2:$R$417,0),2),"")</f>
        <v/>
      </c>
      <c r="D447" t="str">
        <f>IFERROR(VLOOKUP($C447,'Miljövärden urval för publ'!$B$2:$H$417,MATCH('Miljövärden för publ företag'!D$4,'Miljövärden urval för publ'!$B$2:$H$2,0),FALSE),"")</f>
        <v/>
      </c>
      <c r="E447" t="str">
        <f>IFERROR(VLOOKUP($C447,'Miljövärden urval för publ'!$B$2:$H$417,MATCH('Miljövärden för publ företag'!E$4,'Miljövärden urval för publ'!$B$2:$H$2,0),FALSE),"")</f>
        <v/>
      </c>
      <c r="F447" t="str">
        <f>IFERROR(VLOOKUP($C447,'Miljövärden urval för publ'!$B$2:$H$417,MATCH('Miljövärden för publ företag'!F$4,'Miljövärden urval för publ'!$B$2:$H$2,0),FALSE),"")</f>
        <v/>
      </c>
      <c r="G447" t="str">
        <f>IFERROR(VLOOKUP($C447,'Miljövärden urval för publ'!$B$2:$H$417,MATCH('Miljövärden för publ företag'!G$4,'Miljövärden urval för publ'!$B$2:$H$2,0),FALSE),"")</f>
        <v/>
      </c>
    </row>
    <row r="448" spans="2:7" x14ac:dyDescent="0.45">
      <c r="B448" s="2" t="str">
        <f>IFERROR(INDEX('Miljövärden urval för publ'!$A$2:$AA$420,MATCH('Miljövärden för publ företag'!$A448,'Miljövärden urval för publ'!$R$2:$R$417,0),1),"")</f>
        <v/>
      </c>
      <c r="C448" s="2" t="str">
        <f>IFERROR(INDEX('Miljövärden urval för publ'!$A$2:$AA$420,MATCH('Miljövärden för publ företag'!$A448,'Miljövärden urval för publ'!$R$2:$R$417,0),2),"")</f>
        <v/>
      </c>
      <c r="D448" t="str">
        <f>IFERROR(VLOOKUP($C448,'Miljövärden urval för publ'!$B$2:$H$417,MATCH('Miljövärden för publ företag'!D$4,'Miljövärden urval för publ'!$B$2:$H$2,0),FALSE),"")</f>
        <v/>
      </c>
      <c r="E448" t="str">
        <f>IFERROR(VLOOKUP($C448,'Miljövärden urval för publ'!$B$2:$H$417,MATCH('Miljövärden för publ företag'!E$4,'Miljövärden urval för publ'!$B$2:$H$2,0),FALSE),"")</f>
        <v/>
      </c>
      <c r="F448" t="str">
        <f>IFERROR(VLOOKUP($C448,'Miljövärden urval för publ'!$B$2:$H$417,MATCH('Miljövärden för publ företag'!F$4,'Miljövärden urval för publ'!$B$2:$H$2,0),FALSE),"")</f>
        <v/>
      </c>
      <c r="G448" t="str">
        <f>IFERROR(VLOOKUP($C448,'Miljövärden urval för publ'!$B$2:$H$417,MATCH('Miljövärden för publ företag'!G$4,'Miljövärden urval för publ'!$B$2:$H$2,0),FALSE),"")</f>
        <v/>
      </c>
    </row>
    <row r="449" spans="2:7" x14ac:dyDescent="0.45">
      <c r="B449" s="2" t="str">
        <f>IFERROR(INDEX('Miljövärden urval för publ'!$A$2:$AA$420,MATCH('Miljövärden för publ företag'!$A449,'Miljövärden urval för publ'!$R$2:$R$417,0),1),"")</f>
        <v/>
      </c>
      <c r="C449" s="2" t="str">
        <f>IFERROR(INDEX('Miljövärden urval för publ'!$A$2:$AA$420,MATCH('Miljövärden för publ företag'!$A449,'Miljövärden urval för publ'!$R$2:$R$417,0),2),"")</f>
        <v/>
      </c>
      <c r="D449" t="str">
        <f>IFERROR(VLOOKUP($C449,'Miljövärden urval för publ'!$B$2:$H$417,MATCH('Miljövärden för publ företag'!D$4,'Miljövärden urval för publ'!$B$2:$H$2,0),FALSE),"")</f>
        <v/>
      </c>
      <c r="E449" t="str">
        <f>IFERROR(VLOOKUP($C449,'Miljövärden urval för publ'!$B$2:$H$417,MATCH('Miljövärden för publ företag'!E$4,'Miljövärden urval för publ'!$B$2:$H$2,0),FALSE),"")</f>
        <v/>
      </c>
      <c r="F449" t="str">
        <f>IFERROR(VLOOKUP($C449,'Miljövärden urval för publ'!$B$2:$H$417,MATCH('Miljövärden för publ företag'!F$4,'Miljövärden urval för publ'!$B$2:$H$2,0),FALSE),"")</f>
        <v/>
      </c>
      <c r="G449" t="str">
        <f>IFERROR(VLOOKUP($C449,'Miljövärden urval för publ'!$B$2:$H$417,MATCH('Miljövärden för publ företag'!G$4,'Miljövärden urval för publ'!$B$2:$H$2,0),FALSE),"")</f>
        <v/>
      </c>
    </row>
    <row r="450" spans="2:7" x14ac:dyDescent="0.45">
      <c r="B450" s="2" t="str">
        <f>IFERROR(INDEX('Miljövärden urval för publ'!$A$2:$AA$420,MATCH('Miljövärden för publ företag'!$A450,'Miljövärden urval för publ'!$R$2:$R$417,0),1),"")</f>
        <v/>
      </c>
      <c r="C450" s="2" t="str">
        <f>IFERROR(INDEX('Miljövärden urval för publ'!$A$2:$AA$420,MATCH('Miljövärden för publ företag'!$A450,'Miljövärden urval för publ'!$R$2:$R$417,0),2),"")</f>
        <v/>
      </c>
      <c r="D450" t="str">
        <f>IFERROR(VLOOKUP($C450,'Miljövärden urval för publ'!$B$2:$H$417,MATCH('Miljövärden för publ företag'!D$4,'Miljövärden urval för publ'!$B$2:$H$2,0),FALSE),"")</f>
        <v/>
      </c>
      <c r="E450" t="str">
        <f>IFERROR(VLOOKUP($C450,'Miljövärden urval för publ'!$B$2:$H$417,MATCH('Miljövärden för publ företag'!E$4,'Miljövärden urval för publ'!$B$2:$H$2,0),FALSE),"")</f>
        <v/>
      </c>
      <c r="F450" t="str">
        <f>IFERROR(VLOOKUP($C450,'Miljövärden urval för publ'!$B$2:$H$417,MATCH('Miljövärden för publ företag'!F$4,'Miljövärden urval för publ'!$B$2:$H$2,0),FALSE),"")</f>
        <v/>
      </c>
      <c r="G450" t="str">
        <f>IFERROR(VLOOKUP($C450,'Miljövärden urval för publ'!$B$2:$H$417,MATCH('Miljövärden för publ företag'!G$4,'Miljövärden urval för publ'!$B$2:$H$2,0),FALSE),"")</f>
        <v/>
      </c>
    </row>
    <row r="451" spans="2:7" x14ac:dyDescent="0.45">
      <c r="B451" s="2" t="str">
        <f>IFERROR(INDEX('Miljövärden urval för publ'!$A$2:$AA$420,MATCH('Miljövärden för publ företag'!$A451,'Miljövärden urval för publ'!$R$2:$R$417,0),1),"")</f>
        <v/>
      </c>
      <c r="C451" s="2" t="str">
        <f>IFERROR(INDEX('Miljövärden urval för publ'!$A$2:$AA$420,MATCH('Miljövärden för publ företag'!$A451,'Miljövärden urval för publ'!$R$2:$R$417,0),2),"")</f>
        <v/>
      </c>
      <c r="D451" t="str">
        <f>IFERROR(VLOOKUP($C451,'Miljövärden urval för publ'!$B$2:$H$417,MATCH('Miljövärden för publ företag'!D$4,'Miljövärden urval för publ'!$B$2:$H$2,0),FALSE),"")</f>
        <v/>
      </c>
      <c r="E451" t="str">
        <f>IFERROR(VLOOKUP($C451,'Miljövärden urval för publ'!$B$2:$H$417,MATCH('Miljövärden för publ företag'!E$4,'Miljövärden urval för publ'!$B$2:$H$2,0),FALSE),"")</f>
        <v/>
      </c>
      <c r="F451" t="str">
        <f>IFERROR(VLOOKUP($C451,'Miljövärden urval för publ'!$B$2:$H$417,MATCH('Miljövärden för publ företag'!F$4,'Miljövärden urval för publ'!$B$2:$H$2,0),FALSE),"")</f>
        <v/>
      </c>
      <c r="G451" t="str">
        <f>IFERROR(VLOOKUP($C451,'Miljövärden urval för publ'!$B$2:$H$417,MATCH('Miljövärden för publ företag'!G$4,'Miljövärden urval för publ'!$B$2:$H$2,0),FALSE),"")</f>
        <v/>
      </c>
    </row>
    <row r="452" spans="2:7" x14ac:dyDescent="0.45">
      <c r="B452" s="2" t="str">
        <f>IFERROR(INDEX('Miljövärden urval för publ'!$A$2:$AA$420,MATCH('Miljövärden för publ företag'!$A452,'Miljövärden urval för publ'!$R$2:$R$417,0),1),"")</f>
        <v/>
      </c>
      <c r="C452" s="2" t="str">
        <f>IFERROR(INDEX('Miljövärden urval för publ'!$A$2:$AA$420,MATCH('Miljövärden för publ företag'!$A452,'Miljövärden urval för publ'!$R$2:$R$417,0),2),"")</f>
        <v/>
      </c>
      <c r="D452" t="str">
        <f>IFERROR(VLOOKUP($C452,'Miljövärden urval för publ'!$B$2:$H$417,MATCH('Miljövärden för publ företag'!D$4,'Miljövärden urval för publ'!$B$2:$H$2,0),FALSE),"")</f>
        <v/>
      </c>
      <c r="E452" t="str">
        <f>IFERROR(VLOOKUP($C452,'Miljövärden urval för publ'!$B$2:$H$417,MATCH('Miljövärden för publ företag'!E$4,'Miljövärden urval för publ'!$B$2:$H$2,0),FALSE),"")</f>
        <v/>
      </c>
      <c r="F452" t="str">
        <f>IFERROR(VLOOKUP($C452,'Miljövärden urval för publ'!$B$2:$H$417,MATCH('Miljövärden för publ företag'!F$4,'Miljövärden urval för publ'!$B$2:$H$2,0),FALSE),"")</f>
        <v/>
      </c>
      <c r="G452" t="str">
        <f>IFERROR(VLOOKUP($C452,'Miljövärden urval för publ'!$B$2:$H$417,MATCH('Miljövärden för publ företag'!G$4,'Miljövärden urval för publ'!$B$2:$H$2,0),FALSE),"")</f>
        <v/>
      </c>
    </row>
    <row r="453" spans="2:7" x14ac:dyDescent="0.45">
      <c r="B453" s="2" t="str">
        <f>IFERROR(INDEX('Miljövärden urval för publ'!$A$2:$AA$420,MATCH('Miljövärden för publ företag'!$A453,'Miljövärden urval för publ'!$R$2:$R$417,0),1),"")</f>
        <v/>
      </c>
      <c r="C453" s="2" t="str">
        <f>IFERROR(INDEX('Miljövärden urval för publ'!$A$2:$AA$420,MATCH('Miljövärden för publ företag'!$A453,'Miljövärden urval för publ'!$R$2:$R$417,0),2),"")</f>
        <v/>
      </c>
      <c r="D453" t="str">
        <f>IFERROR(VLOOKUP($C453,'Miljövärden urval för publ'!$B$2:$H$417,MATCH('Miljövärden för publ företag'!D$4,'Miljövärden urval för publ'!$B$2:$H$2,0),FALSE),"")</f>
        <v/>
      </c>
      <c r="E453" t="str">
        <f>IFERROR(VLOOKUP($C453,'Miljövärden urval för publ'!$B$2:$H$417,MATCH('Miljövärden för publ företag'!E$4,'Miljövärden urval för publ'!$B$2:$H$2,0),FALSE),"")</f>
        <v/>
      </c>
      <c r="F453" t="str">
        <f>IFERROR(VLOOKUP($C453,'Miljövärden urval för publ'!$B$2:$H$417,MATCH('Miljövärden för publ företag'!F$4,'Miljövärden urval för publ'!$B$2:$H$2,0),FALSE),"")</f>
        <v/>
      </c>
      <c r="G453" t="str">
        <f>IFERROR(VLOOKUP($C453,'Miljövärden urval för publ'!$B$2:$H$417,MATCH('Miljövärden för publ företag'!G$4,'Miljövärden urval för publ'!$B$2:$H$2,0),FALSE),"")</f>
        <v/>
      </c>
    </row>
    <row r="454" spans="2:7" x14ac:dyDescent="0.45">
      <c r="B454" s="2" t="str">
        <f>IFERROR(INDEX('Miljövärden urval för publ'!$A$2:$AA$420,MATCH('Miljövärden för publ företag'!$A454,'Miljövärden urval för publ'!$R$2:$R$417,0),1),"")</f>
        <v/>
      </c>
      <c r="C454" s="2" t="str">
        <f>IFERROR(INDEX('Miljövärden urval för publ'!$A$2:$AA$420,MATCH('Miljövärden för publ företag'!$A454,'Miljövärden urval för publ'!$R$2:$R$417,0),2),"")</f>
        <v/>
      </c>
      <c r="D454" t="str">
        <f>IFERROR(VLOOKUP($C454,'Miljövärden urval för publ'!$B$2:$H$417,MATCH('Miljövärden för publ företag'!D$4,'Miljövärden urval för publ'!$B$2:$H$2,0),FALSE),"")</f>
        <v/>
      </c>
      <c r="E454" t="str">
        <f>IFERROR(VLOOKUP($C454,'Miljövärden urval för publ'!$B$2:$H$417,MATCH('Miljövärden för publ företag'!E$4,'Miljövärden urval för publ'!$B$2:$H$2,0),FALSE),"")</f>
        <v/>
      </c>
      <c r="F454" t="str">
        <f>IFERROR(VLOOKUP($C454,'Miljövärden urval för publ'!$B$2:$H$417,MATCH('Miljövärden för publ företag'!F$4,'Miljövärden urval för publ'!$B$2:$H$2,0),FALSE),"")</f>
        <v/>
      </c>
      <c r="G454" t="str">
        <f>IFERROR(VLOOKUP($C454,'Miljövärden urval för publ'!$B$2:$H$417,MATCH('Miljövärden för publ företag'!G$4,'Miljövärden urval för publ'!$B$2:$H$2,0),FALSE),"")</f>
        <v/>
      </c>
    </row>
    <row r="455" spans="2:7" x14ac:dyDescent="0.45">
      <c r="B455" s="2" t="str">
        <f>IFERROR(INDEX('Miljövärden urval för publ'!$A$2:$AA$420,MATCH('Miljövärden för publ företag'!$A455,'Miljövärden urval för publ'!$R$2:$R$417,0),1),"")</f>
        <v/>
      </c>
      <c r="C455" s="2" t="str">
        <f>IFERROR(INDEX('Miljövärden urval för publ'!$A$2:$AA$420,MATCH('Miljövärden för publ företag'!$A455,'Miljövärden urval för publ'!$R$2:$R$417,0),2),"")</f>
        <v/>
      </c>
      <c r="D455" t="str">
        <f>IFERROR(VLOOKUP($C455,'Miljövärden urval för publ'!$B$2:$H$417,MATCH('Miljövärden för publ företag'!D$4,'Miljövärden urval för publ'!$B$2:$H$2,0),FALSE),"")</f>
        <v/>
      </c>
      <c r="E455" t="str">
        <f>IFERROR(VLOOKUP($C455,'Miljövärden urval för publ'!$B$2:$H$417,MATCH('Miljövärden för publ företag'!E$4,'Miljövärden urval för publ'!$B$2:$H$2,0),FALSE),"")</f>
        <v/>
      </c>
      <c r="F455" t="str">
        <f>IFERROR(VLOOKUP($C455,'Miljövärden urval för publ'!$B$2:$H$417,MATCH('Miljövärden för publ företag'!F$4,'Miljövärden urval för publ'!$B$2:$H$2,0),FALSE),"")</f>
        <v/>
      </c>
      <c r="G455" t="str">
        <f>IFERROR(VLOOKUP($C455,'Miljövärden urval för publ'!$B$2:$H$417,MATCH('Miljövärden för publ företag'!G$4,'Miljövärden urval för publ'!$B$2:$H$2,0),FALSE),"")</f>
        <v/>
      </c>
    </row>
    <row r="456" spans="2:7" x14ac:dyDescent="0.45">
      <c r="B456" s="2" t="str">
        <f>IFERROR(INDEX('Miljövärden urval för publ'!$A$2:$AA$420,MATCH('Miljövärden för publ företag'!$A456,'Miljövärden urval för publ'!$R$2:$R$417,0),1),"")</f>
        <v/>
      </c>
      <c r="C456" s="2" t="str">
        <f>IFERROR(INDEX('Miljövärden urval för publ'!$A$2:$AA$420,MATCH('Miljövärden för publ företag'!$A456,'Miljövärden urval för publ'!$R$2:$R$417,0),2),"")</f>
        <v/>
      </c>
      <c r="D456" t="str">
        <f>IFERROR(VLOOKUP($C456,'Miljövärden urval för publ'!$B$2:$H$417,MATCH('Miljövärden för publ företag'!D$4,'Miljövärden urval för publ'!$B$2:$H$2,0),FALSE),"")</f>
        <v/>
      </c>
      <c r="E456" t="str">
        <f>IFERROR(VLOOKUP($C456,'Miljövärden urval för publ'!$B$2:$H$417,MATCH('Miljövärden för publ företag'!E$4,'Miljövärden urval för publ'!$B$2:$H$2,0),FALSE),"")</f>
        <v/>
      </c>
      <c r="F456" t="str">
        <f>IFERROR(VLOOKUP($C456,'Miljövärden urval för publ'!$B$2:$H$417,MATCH('Miljövärden för publ företag'!F$4,'Miljövärden urval för publ'!$B$2:$H$2,0),FALSE),"")</f>
        <v/>
      </c>
      <c r="G456" t="str">
        <f>IFERROR(VLOOKUP($C456,'Miljövärden urval för publ'!$B$2:$H$417,MATCH('Miljövärden för publ företag'!G$4,'Miljövärden urval för publ'!$B$2:$H$2,0),FALSE),"")</f>
        <v/>
      </c>
    </row>
    <row r="457" spans="2:7" x14ac:dyDescent="0.45">
      <c r="B457" s="2" t="str">
        <f>IFERROR(INDEX('Miljövärden urval för publ'!$A$2:$AA$420,MATCH('Miljövärden för publ företag'!$A457,'Miljövärden urval för publ'!$R$2:$R$417,0),1),"")</f>
        <v/>
      </c>
      <c r="C457" s="2" t="str">
        <f>IFERROR(INDEX('Miljövärden urval för publ'!$A$2:$AA$420,MATCH('Miljövärden för publ företag'!$A457,'Miljövärden urval för publ'!$R$2:$R$417,0),2),"")</f>
        <v/>
      </c>
      <c r="D457" t="str">
        <f>IFERROR(VLOOKUP($C457,'Miljövärden urval för publ'!$B$2:$H$417,MATCH('Miljövärden för publ företag'!D$4,'Miljövärden urval för publ'!$B$2:$H$2,0),FALSE),"")</f>
        <v/>
      </c>
      <c r="E457" t="str">
        <f>IFERROR(VLOOKUP($C457,'Miljövärden urval för publ'!$B$2:$H$417,MATCH('Miljövärden för publ företag'!E$4,'Miljövärden urval för publ'!$B$2:$H$2,0),FALSE),"")</f>
        <v/>
      </c>
      <c r="F457" t="str">
        <f>IFERROR(VLOOKUP($C457,'Miljövärden urval för publ'!$B$2:$H$417,MATCH('Miljövärden för publ företag'!F$4,'Miljövärden urval för publ'!$B$2:$H$2,0),FALSE),"")</f>
        <v/>
      </c>
      <c r="G457" t="str">
        <f>IFERROR(VLOOKUP($C457,'Miljövärden urval för publ'!$B$2:$H$417,MATCH('Miljövärden för publ företag'!G$4,'Miljövärden urval för publ'!$B$2:$H$2,0),FALSE),"")</f>
        <v/>
      </c>
    </row>
    <row r="458" spans="2:7" x14ac:dyDescent="0.45">
      <c r="B458" s="2" t="str">
        <f>IFERROR(INDEX('Miljövärden urval för publ'!$A$2:$AA$420,MATCH('Miljövärden för publ företag'!$A458,'Miljövärden urval för publ'!$R$2:$R$417,0),1),"")</f>
        <v/>
      </c>
      <c r="C458" s="2" t="str">
        <f>IFERROR(INDEX('Miljövärden urval för publ'!$A$2:$AA$420,MATCH('Miljövärden för publ företag'!$A458,'Miljövärden urval för publ'!$R$2:$R$417,0),2),"")</f>
        <v/>
      </c>
      <c r="D458" t="str">
        <f>IFERROR(VLOOKUP($C458,'Miljövärden urval för publ'!$B$2:$H$417,MATCH('Miljövärden för publ företag'!D$4,'Miljövärden urval för publ'!$B$2:$H$2,0),FALSE),"")</f>
        <v/>
      </c>
      <c r="E458" t="str">
        <f>IFERROR(VLOOKUP($C458,'Miljövärden urval för publ'!$B$2:$H$417,MATCH('Miljövärden för publ företag'!E$4,'Miljövärden urval för publ'!$B$2:$H$2,0),FALSE),"")</f>
        <v/>
      </c>
      <c r="F458" t="str">
        <f>IFERROR(VLOOKUP($C458,'Miljövärden urval för publ'!$B$2:$H$417,MATCH('Miljövärden för publ företag'!F$4,'Miljövärden urval för publ'!$B$2:$H$2,0),FALSE),"")</f>
        <v/>
      </c>
      <c r="G458" t="str">
        <f>IFERROR(VLOOKUP($C458,'Miljövärden urval för publ'!$B$2:$H$417,MATCH('Miljövärden för publ företag'!G$4,'Miljövärden urval för publ'!$B$2:$H$2,0),FALSE),"")</f>
        <v/>
      </c>
    </row>
    <row r="459" spans="2:7" x14ac:dyDescent="0.45">
      <c r="B459" s="2" t="str">
        <f>IFERROR(INDEX('Miljövärden urval för publ'!$A$2:$AA$420,MATCH('Miljövärden för publ företag'!$A459,'Miljövärden urval för publ'!$R$2:$R$417,0),1),"")</f>
        <v/>
      </c>
      <c r="C459" s="2" t="str">
        <f>IFERROR(INDEX('Miljövärden urval för publ'!$A$2:$AA$420,MATCH('Miljövärden för publ företag'!$A459,'Miljövärden urval för publ'!$R$2:$R$417,0),2),"")</f>
        <v/>
      </c>
      <c r="D459" t="str">
        <f>IFERROR(VLOOKUP($C459,'Miljövärden urval för publ'!$B$2:$H$417,MATCH('Miljövärden för publ företag'!D$4,'Miljövärden urval för publ'!$B$2:$H$2,0),FALSE),"")</f>
        <v/>
      </c>
      <c r="E459" t="str">
        <f>IFERROR(VLOOKUP($C459,'Miljövärden urval för publ'!$B$2:$H$417,MATCH('Miljövärden för publ företag'!E$4,'Miljövärden urval för publ'!$B$2:$H$2,0),FALSE),"")</f>
        <v/>
      </c>
      <c r="F459" t="str">
        <f>IFERROR(VLOOKUP($C459,'Miljövärden urval för publ'!$B$2:$H$417,MATCH('Miljövärden för publ företag'!F$4,'Miljövärden urval för publ'!$B$2:$H$2,0),FALSE),"")</f>
        <v/>
      </c>
      <c r="G459" t="str">
        <f>IFERROR(VLOOKUP($C459,'Miljövärden urval för publ'!$B$2:$H$417,MATCH('Miljövärden för publ företag'!G$4,'Miljövärden urval för publ'!$B$2:$H$2,0),FALSE),"")</f>
        <v/>
      </c>
    </row>
    <row r="460" spans="2:7" x14ac:dyDescent="0.45">
      <c r="B460" s="2" t="str">
        <f>IFERROR(INDEX('Miljövärden urval för publ'!$A$2:$AA$420,MATCH('Miljövärden för publ företag'!$A460,'Miljövärden urval för publ'!$R$2:$R$417,0),1),"")</f>
        <v/>
      </c>
      <c r="C460" s="2" t="str">
        <f>IFERROR(INDEX('Miljövärden urval för publ'!$A$2:$AA$420,MATCH('Miljövärden för publ företag'!$A460,'Miljövärden urval för publ'!$R$2:$R$417,0),2),"")</f>
        <v/>
      </c>
      <c r="D460" t="str">
        <f>IFERROR(VLOOKUP($C460,'Miljövärden urval för publ'!$B$2:$H$417,MATCH('Miljövärden för publ företag'!D$4,'Miljövärden urval för publ'!$B$2:$H$2,0),FALSE),"")</f>
        <v/>
      </c>
      <c r="E460" t="str">
        <f>IFERROR(VLOOKUP($C460,'Miljövärden urval för publ'!$B$2:$H$417,MATCH('Miljövärden för publ företag'!E$4,'Miljövärden urval för publ'!$B$2:$H$2,0),FALSE),"")</f>
        <v/>
      </c>
      <c r="F460" t="str">
        <f>IFERROR(VLOOKUP($C460,'Miljövärden urval för publ'!$B$2:$H$417,MATCH('Miljövärden för publ företag'!F$4,'Miljövärden urval för publ'!$B$2:$H$2,0),FALSE),"")</f>
        <v/>
      </c>
      <c r="G460" t="str">
        <f>IFERROR(VLOOKUP($C460,'Miljövärden urval för publ'!$B$2:$H$417,MATCH('Miljövärden för publ företag'!G$4,'Miljövärden urval för publ'!$B$2:$H$2,0),FALSE),"")</f>
        <v/>
      </c>
    </row>
    <row r="461" spans="2:7" x14ac:dyDescent="0.45">
      <c r="B461" s="2" t="str">
        <f>IFERROR(INDEX('Miljövärden urval för publ'!$A$2:$AA$420,MATCH('Miljövärden för publ företag'!$A461,'Miljövärden urval för publ'!$R$2:$R$417,0),1),"")</f>
        <v/>
      </c>
      <c r="C461" s="2" t="str">
        <f>IFERROR(INDEX('Miljövärden urval för publ'!$A$2:$AA$420,MATCH('Miljövärden för publ företag'!$A461,'Miljövärden urval för publ'!$R$2:$R$417,0),2),"")</f>
        <v/>
      </c>
      <c r="D461" t="str">
        <f>IFERROR(VLOOKUP($C461,'Miljövärden urval för publ'!$B$2:$H$417,MATCH('Miljövärden för publ företag'!D$4,'Miljövärden urval för publ'!$B$2:$H$2,0),FALSE),"")</f>
        <v/>
      </c>
      <c r="E461" t="str">
        <f>IFERROR(VLOOKUP($C461,'Miljövärden urval för publ'!$B$2:$H$417,MATCH('Miljövärden för publ företag'!E$4,'Miljövärden urval för publ'!$B$2:$H$2,0),FALSE),"")</f>
        <v/>
      </c>
      <c r="F461" t="str">
        <f>IFERROR(VLOOKUP($C461,'Miljövärden urval för publ'!$B$2:$H$417,MATCH('Miljövärden för publ företag'!F$4,'Miljövärden urval för publ'!$B$2:$H$2,0),FALSE),"")</f>
        <v/>
      </c>
      <c r="G461" t="str">
        <f>IFERROR(VLOOKUP($C461,'Miljövärden urval för publ'!$B$2:$H$417,MATCH('Miljövärden för publ företag'!G$4,'Miljövärden urval för publ'!$B$2:$H$2,0),FALSE),"")</f>
        <v/>
      </c>
    </row>
    <row r="462" spans="2:7" x14ac:dyDescent="0.45">
      <c r="B462" s="2" t="str">
        <f>IFERROR(INDEX('Miljövärden urval för publ'!$A$2:$AA$420,MATCH('Miljövärden för publ företag'!$A462,'Miljövärden urval för publ'!$R$2:$R$417,0),1),"")</f>
        <v/>
      </c>
      <c r="C462" s="2" t="str">
        <f>IFERROR(INDEX('Miljövärden urval för publ'!$A$2:$AA$420,MATCH('Miljövärden för publ företag'!$A462,'Miljövärden urval för publ'!$R$2:$R$417,0),2),"")</f>
        <v/>
      </c>
      <c r="D462" t="str">
        <f>IFERROR(VLOOKUP($C462,'Miljövärden urval för publ'!$B$2:$H$417,MATCH('Miljövärden för publ företag'!D$4,'Miljövärden urval för publ'!$B$2:$H$2,0),FALSE),"")</f>
        <v/>
      </c>
      <c r="E462" t="str">
        <f>IFERROR(VLOOKUP($C462,'Miljövärden urval för publ'!$B$2:$H$417,MATCH('Miljövärden för publ företag'!E$4,'Miljövärden urval för publ'!$B$2:$H$2,0),FALSE),"")</f>
        <v/>
      </c>
      <c r="F462" t="str">
        <f>IFERROR(VLOOKUP($C462,'Miljövärden urval för publ'!$B$2:$H$417,MATCH('Miljövärden för publ företag'!F$4,'Miljövärden urval för publ'!$B$2:$H$2,0),FALSE),"")</f>
        <v/>
      </c>
      <c r="G462" t="str">
        <f>IFERROR(VLOOKUP($C462,'Miljövärden urval för publ'!$B$2:$H$417,MATCH('Miljövärden för publ företag'!G$4,'Miljövärden urval för publ'!$B$2:$H$2,0),FALSE),"")</f>
        <v/>
      </c>
    </row>
    <row r="463" spans="2:7" x14ac:dyDescent="0.45">
      <c r="B463" s="2" t="str">
        <f>IFERROR(INDEX('Miljövärden urval för publ'!$A$2:$AA$420,MATCH('Miljövärden för publ företag'!$A463,'Miljövärden urval för publ'!$R$2:$R$417,0),1),"")</f>
        <v/>
      </c>
      <c r="C463" s="2" t="str">
        <f>IFERROR(INDEX('Miljövärden urval för publ'!$A$2:$AA$420,MATCH('Miljövärden för publ företag'!$A463,'Miljövärden urval för publ'!$R$2:$R$417,0),2),"")</f>
        <v/>
      </c>
      <c r="D463" t="str">
        <f>IFERROR(VLOOKUP($C463,'Miljövärden urval för publ'!$B$2:$H$417,MATCH('Miljövärden för publ företag'!D$4,'Miljövärden urval för publ'!$B$2:$H$2,0),FALSE),"")</f>
        <v/>
      </c>
      <c r="E463" t="str">
        <f>IFERROR(VLOOKUP($C463,'Miljövärden urval för publ'!$B$2:$H$417,MATCH('Miljövärden för publ företag'!E$4,'Miljövärden urval för publ'!$B$2:$H$2,0),FALSE),"")</f>
        <v/>
      </c>
      <c r="F463" t="str">
        <f>IFERROR(VLOOKUP($C463,'Miljövärden urval för publ'!$B$2:$H$417,MATCH('Miljövärden för publ företag'!F$4,'Miljövärden urval för publ'!$B$2:$H$2,0),FALSE),"")</f>
        <v/>
      </c>
      <c r="G463" t="str">
        <f>IFERROR(VLOOKUP($C463,'Miljövärden urval för publ'!$B$2:$H$417,MATCH('Miljövärden för publ företag'!G$4,'Miljövärden urval för publ'!$B$2:$H$2,0),FALSE),"")</f>
        <v/>
      </c>
    </row>
    <row r="464" spans="2:7" x14ac:dyDescent="0.45">
      <c r="B464" s="2" t="str">
        <f>IFERROR(INDEX('Miljövärden urval för publ'!$A$2:$AA$420,MATCH('Miljövärden för publ företag'!$A464,'Miljövärden urval för publ'!$R$2:$R$417,0),1),"")</f>
        <v/>
      </c>
      <c r="C464" s="2" t="str">
        <f>IFERROR(INDEX('Miljövärden urval för publ'!$A$2:$AA$420,MATCH('Miljövärden för publ företag'!$A464,'Miljövärden urval för publ'!$R$2:$R$417,0),2),"")</f>
        <v/>
      </c>
      <c r="D464" t="str">
        <f>IFERROR(VLOOKUP($C464,'Miljövärden urval för publ'!$B$2:$H$417,MATCH('Miljövärden för publ företag'!D$4,'Miljövärden urval för publ'!$B$2:$H$2,0),FALSE),"")</f>
        <v/>
      </c>
      <c r="E464" t="str">
        <f>IFERROR(VLOOKUP($C464,'Miljövärden urval för publ'!$B$2:$H$417,MATCH('Miljövärden för publ företag'!E$4,'Miljövärden urval för publ'!$B$2:$H$2,0),FALSE),"")</f>
        <v/>
      </c>
      <c r="F464" t="str">
        <f>IFERROR(VLOOKUP($C464,'Miljövärden urval för publ'!$B$2:$H$417,MATCH('Miljövärden för publ företag'!F$4,'Miljövärden urval för publ'!$B$2:$H$2,0),FALSE),"")</f>
        <v/>
      </c>
      <c r="G464" t="str">
        <f>IFERROR(VLOOKUP($C464,'Miljövärden urval för publ'!$B$2:$H$417,MATCH('Miljövärden för publ företag'!G$4,'Miljövärden urval för publ'!$B$2:$H$2,0),FALSE),"")</f>
        <v/>
      </c>
    </row>
    <row r="465" spans="2:7" x14ac:dyDescent="0.45">
      <c r="B465" s="2" t="str">
        <f>IFERROR(INDEX('Miljövärden urval för publ'!$A$2:$AA$420,MATCH('Miljövärden för publ företag'!$A465,'Miljövärden urval för publ'!$R$2:$R$417,0),1),"")</f>
        <v/>
      </c>
      <c r="C465" s="2" t="str">
        <f>IFERROR(INDEX('Miljövärden urval för publ'!$A$2:$AA$420,MATCH('Miljövärden för publ företag'!$A465,'Miljövärden urval för publ'!$R$2:$R$417,0),2),"")</f>
        <v/>
      </c>
      <c r="D465" t="str">
        <f>IFERROR(VLOOKUP($C465,'Miljövärden urval för publ'!$B$2:$H$417,MATCH('Miljövärden för publ företag'!D$4,'Miljövärden urval för publ'!$B$2:$H$2,0),FALSE),"")</f>
        <v/>
      </c>
      <c r="E465" t="str">
        <f>IFERROR(VLOOKUP($C465,'Miljövärden urval för publ'!$B$2:$H$417,MATCH('Miljövärden för publ företag'!E$4,'Miljövärden urval för publ'!$B$2:$H$2,0),FALSE),"")</f>
        <v/>
      </c>
      <c r="F465" t="str">
        <f>IFERROR(VLOOKUP($C465,'Miljövärden urval för publ'!$B$2:$H$417,MATCH('Miljövärden för publ företag'!F$4,'Miljövärden urval för publ'!$B$2:$H$2,0),FALSE),"")</f>
        <v/>
      </c>
      <c r="G465" t="str">
        <f>IFERROR(VLOOKUP($C465,'Miljövärden urval för publ'!$B$2:$H$417,MATCH('Miljövärden för publ företag'!G$4,'Miljövärden urval för publ'!$B$2:$H$2,0),FALSE),"")</f>
        <v/>
      </c>
    </row>
    <row r="466" spans="2:7" x14ac:dyDescent="0.45">
      <c r="B466" s="2" t="str">
        <f>IFERROR(INDEX('Miljövärden urval för publ'!$A$2:$AA$420,MATCH('Miljövärden för publ företag'!$A466,'Miljövärden urval för publ'!$R$2:$R$417,0),1),"")</f>
        <v/>
      </c>
      <c r="C466" s="2" t="str">
        <f>IFERROR(INDEX('Miljövärden urval för publ'!$A$2:$AA$420,MATCH('Miljövärden för publ företag'!$A466,'Miljövärden urval för publ'!$R$2:$R$417,0),2),"")</f>
        <v/>
      </c>
      <c r="D466" t="str">
        <f>IFERROR(VLOOKUP($C466,'Miljövärden urval för publ'!$B$2:$H$417,MATCH('Miljövärden för publ företag'!D$4,'Miljövärden urval för publ'!$B$2:$H$2,0),FALSE),"")</f>
        <v/>
      </c>
      <c r="E466" t="str">
        <f>IFERROR(VLOOKUP($C466,'Miljövärden urval för publ'!$B$2:$H$417,MATCH('Miljövärden för publ företag'!E$4,'Miljövärden urval för publ'!$B$2:$H$2,0),FALSE),"")</f>
        <v/>
      </c>
      <c r="F466" t="str">
        <f>IFERROR(VLOOKUP($C466,'Miljövärden urval för publ'!$B$2:$H$417,MATCH('Miljövärden för publ företag'!F$4,'Miljövärden urval för publ'!$B$2:$H$2,0),FALSE),"")</f>
        <v/>
      </c>
      <c r="G466" t="str">
        <f>IFERROR(VLOOKUP($C466,'Miljövärden urval för publ'!$B$2:$H$417,MATCH('Miljövärden för publ företag'!G$4,'Miljövärden urval för publ'!$B$2:$H$2,0),FALSE),"")</f>
        <v/>
      </c>
    </row>
    <row r="467" spans="2:7" x14ac:dyDescent="0.45">
      <c r="B467" s="2" t="str">
        <f>IFERROR(INDEX('Miljövärden urval för publ'!$A$2:$AA$420,MATCH('Miljövärden för publ företag'!$A467,'Miljövärden urval för publ'!$R$2:$R$417,0),1),"")</f>
        <v/>
      </c>
      <c r="C467" s="2" t="str">
        <f>IFERROR(INDEX('Miljövärden urval för publ'!$A$2:$AA$420,MATCH('Miljövärden för publ företag'!$A467,'Miljövärden urval för publ'!$R$2:$R$417,0),2),"")</f>
        <v/>
      </c>
      <c r="D467" t="str">
        <f>IFERROR(VLOOKUP($C467,'Miljövärden urval för publ'!$B$2:$H$417,MATCH('Miljövärden för publ företag'!D$4,'Miljövärden urval för publ'!$B$2:$H$2,0),FALSE),"")</f>
        <v/>
      </c>
      <c r="E467" t="str">
        <f>IFERROR(VLOOKUP($C467,'Miljövärden urval för publ'!$B$2:$H$417,MATCH('Miljövärden för publ företag'!E$4,'Miljövärden urval för publ'!$B$2:$H$2,0),FALSE),"")</f>
        <v/>
      </c>
      <c r="F467" t="str">
        <f>IFERROR(VLOOKUP($C467,'Miljövärden urval för publ'!$B$2:$H$417,MATCH('Miljövärden för publ företag'!F$4,'Miljövärden urval för publ'!$B$2:$H$2,0),FALSE),"")</f>
        <v/>
      </c>
      <c r="G467" t="str">
        <f>IFERROR(VLOOKUP($C467,'Miljövärden urval för publ'!$B$2:$H$417,MATCH('Miljövärden för publ företag'!G$4,'Miljövärden urval för publ'!$B$2:$H$2,0),FALSE),"")</f>
        <v/>
      </c>
    </row>
    <row r="468" spans="2:7" x14ac:dyDescent="0.45">
      <c r="B468" s="2" t="str">
        <f>IFERROR(INDEX('Miljövärden urval för publ'!$A$2:$AA$420,MATCH('Miljövärden för publ företag'!$A468,'Miljövärden urval för publ'!$R$2:$R$417,0),1),"")</f>
        <v/>
      </c>
      <c r="C468" s="2" t="str">
        <f>IFERROR(INDEX('Miljövärden urval för publ'!$A$2:$AA$420,MATCH('Miljövärden för publ företag'!$A468,'Miljövärden urval för publ'!$R$2:$R$417,0),2),"")</f>
        <v/>
      </c>
      <c r="D468" t="str">
        <f>IFERROR(VLOOKUP($C468,'Miljövärden urval för publ'!$B$2:$H$417,MATCH('Miljövärden för publ företag'!D$4,'Miljövärden urval för publ'!$B$2:$H$2,0),FALSE),"")</f>
        <v/>
      </c>
      <c r="E468" t="str">
        <f>IFERROR(VLOOKUP($C468,'Miljövärden urval för publ'!$B$2:$H$417,MATCH('Miljövärden för publ företag'!E$4,'Miljövärden urval för publ'!$B$2:$H$2,0),FALSE),"")</f>
        <v/>
      </c>
      <c r="F468" t="str">
        <f>IFERROR(VLOOKUP($C468,'Miljövärden urval för publ'!$B$2:$H$417,MATCH('Miljövärden för publ företag'!F$4,'Miljövärden urval för publ'!$B$2:$H$2,0),FALSE),"")</f>
        <v/>
      </c>
      <c r="G468" t="str">
        <f>IFERROR(VLOOKUP($C468,'Miljövärden urval för publ'!$B$2:$H$417,MATCH('Miljövärden för publ företag'!G$4,'Miljövärden urval för publ'!$B$2:$H$2,0),FALSE),"")</f>
        <v/>
      </c>
    </row>
    <row r="469" spans="2:7" x14ac:dyDescent="0.45">
      <c r="B469" s="2" t="str">
        <f>IFERROR(INDEX('Miljövärden urval för publ'!$A$2:$AA$420,MATCH('Miljövärden för publ företag'!$A469,'Miljövärden urval för publ'!$R$2:$R$417,0),1),"")</f>
        <v/>
      </c>
      <c r="C469" s="2" t="str">
        <f>IFERROR(INDEX('Miljövärden urval för publ'!$A$2:$AA$420,MATCH('Miljövärden för publ företag'!$A469,'Miljövärden urval för publ'!$R$2:$R$417,0),2),"")</f>
        <v/>
      </c>
      <c r="D469" t="str">
        <f>IFERROR(VLOOKUP($C469,'Miljövärden urval för publ'!$B$2:$H$417,MATCH('Miljövärden för publ företag'!D$4,'Miljövärden urval för publ'!$B$2:$H$2,0),FALSE),"")</f>
        <v/>
      </c>
      <c r="E469" t="str">
        <f>IFERROR(VLOOKUP($C469,'Miljövärden urval för publ'!$B$2:$H$417,MATCH('Miljövärden för publ företag'!E$4,'Miljövärden urval för publ'!$B$2:$H$2,0),FALSE),"")</f>
        <v/>
      </c>
      <c r="F469" t="str">
        <f>IFERROR(VLOOKUP($C469,'Miljövärden urval för publ'!$B$2:$H$417,MATCH('Miljövärden för publ företag'!F$4,'Miljövärden urval för publ'!$B$2:$H$2,0),FALSE),"")</f>
        <v/>
      </c>
      <c r="G469" t="str">
        <f>IFERROR(VLOOKUP($C469,'Miljövärden urval för publ'!$B$2:$H$417,MATCH('Miljövärden för publ företag'!G$4,'Miljövärden urval för publ'!$B$2:$H$2,0),FALSE),"")</f>
        <v/>
      </c>
    </row>
    <row r="470" spans="2:7" x14ac:dyDescent="0.45">
      <c r="B470" s="2" t="str">
        <f>IFERROR(INDEX('Miljövärden urval för publ'!$A$2:$AA$420,MATCH('Miljövärden för publ företag'!$A470,'Miljövärden urval för publ'!$R$2:$R$417,0),1),"")</f>
        <v/>
      </c>
      <c r="C470" s="2" t="str">
        <f>IFERROR(INDEX('Miljövärden urval för publ'!$A$2:$AA$420,MATCH('Miljövärden för publ företag'!$A470,'Miljövärden urval för publ'!$R$2:$R$417,0),2),"")</f>
        <v/>
      </c>
      <c r="D470" t="str">
        <f>IFERROR(VLOOKUP($C470,'Miljövärden urval för publ'!$B$2:$H$417,MATCH('Miljövärden för publ företag'!D$4,'Miljövärden urval för publ'!$B$2:$H$2,0),FALSE),"")</f>
        <v/>
      </c>
      <c r="E470" t="str">
        <f>IFERROR(VLOOKUP($C470,'Miljövärden urval för publ'!$B$2:$H$417,MATCH('Miljövärden för publ företag'!E$4,'Miljövärden urval för publ'!$B$2:$H$2,0),FALSE),"")</f>
        <v/>
      </c>
      <c r="F470" t="str">
        <f>IFERROR(VLOOKUP($C470,'Miljövärden urval för publ'!$B$2:$H$417,MATCH('Miljövärden för publ företag'!F$4,'Miljövärden urval för publ'!$B$2:$H$2,0),FALSE),"")</f>
        <v/>
      </c>
      <c r="G470" t="str">
        <f>IFERROR(VLOOKUP($C470,'Miljövärden urval för publ'!$B$2:$H$417,MATCH('Miljövärden för publ företag'!G$4,'Miljövärden urval för publ'!$B$2:$H$2,0),FALSE),"")</f>
        <v/>
      </c>
    </row>
    <row r="471" spans="2:7" x14ac:dyDescent="0.45">
      <c r="B471" s="2" t="str">
        <f>IFERROR(INDEX('Miljövärden urval för publ'!$A$2:$AA$420,MATCH('Miljövärden för publ företag'!$A471,'Miljövärden urval för publ'!$R$2:$R$417,0),1),"")</f>
        <v/>
      </c>
      <c r="C471" s="2" t="str">
        <f>IFERROR(INDEX('Miljövärden urval för publ'!$A$2:$AA$420,MATCH('Miljövärden för publ företag'!$A471,'Miljövärden urval för publ'!$R$2:$R$417,0),2),"")</f>
        <v/>
      </c>
      <c r="D471" t="str">
        <f>IFERROR(VLOOKUP($C471,'Miljövärden urval för publ'!$B$2:$H$417,MATCH('Miljövärden för publ företag'!D$4,'Miljövärden urval för publ'!$B$2:$H$2,0),FALSE),"")</f>
        <v/>
      </c>
      <c r="E471" t="str">
        <f>IFERROR(VLOOKUP($C471,'Miljövärden urval för publ'!$B$2:$H$417,MATCH('Miljövärden för publ företag'!E$4,'Miljövärden urval för publ'!$B$2:$H$2,0),FALSE),"")</f>
        <v/>
      </c>
      <c r="F471" t="str">
        <f>IFERROR(VLOOKUP($C471,'Miljövärden urval för publ'!$B$2:$H$417,MATCH('Miljövärden för publ företag'!F$4,'Miljövärden urval för publ'!$B$2:$H$2,0),FALSE),"")</f>
        <v/>
      </c>
      <c r="G471" t="str">
        <f>IFERROR(VLOOKUP($C471,'Miljövärden urval för publ'!$B$2:$H$417,MATCH('Miljövärden för publ företag'!G$4,'Miljövärden urval för publ'!$B$2:$H$2,0),FALSE),"")</f>
        <v/>
      </c>
    </row>
    <row r="472" spans="2:7" x14ac:dyDescent="0.45">
      <c r="B472" s="2" t="str">
        <f>IFERROR(INDEX('Miljövärden urval för publ'!$A$2:$AA$420,MATCH('Miljövärden för publ företag'!$A472,'Miljövärden urval för publ'!$R$2:$R$417,0),1),"")</f>
        <v/>
      </c>
      <c r="C472" s="2" t="str">
        <f>IFERROR(INDEX('Miljövärden urval för publ'!$A$2:$AA$420,MATCH('Miljövärden för publ företag'!$A472,'Miljövärden urval för publ'!$R$2:$R$417,0),2),"")</f>
        <v/>
      </c>
      <c r="D472" t="str">
        <f>IFERROR(VLOOKUP($C472,'Miljövärden urval för publ'!$B$2:$H$417,MATCH('Miljövärden för publ företag'!D$4,'Miljövärden urval för publ'!$B$2:$H$2,0),FALSE),"")</f>
        <v/>
      </c>
      <c r="E472" t="str">
        <f>IFERROR(VLOOKUP($C472,'Miljövärden urval för publ'!$B$2:$H$417,MATCH('Miljövärden för publ företag'!E$4,'Miljövärden urval för publ'!$B$2:$H$2,0),FALSE),"")</f>
        <v/>
      </c>
      <c r="F472" t="str">
        <f>IFERROR(VLOOKUP($C472,'Miljövärden urval för publ'!$B$2:$H$417,MATCH('Miljövärden för publ företag'!F$4,'Miljövärden urval för publ'!$B$2:$H$2,0),FALSE),"")</f>
        <v/>
      </c>
      <c r="G472" t="str">
        <f>IFERROR(VLOOKUP($C472,'Miljövärden urval för publ'!$B$2:$H$417,MATCH('Miljövärden för publ företag'!G$4,'Miljövärden urval för publ'!$B$2:$H$2,0),FALSE),"")</f>
        <v/>
      </c>
    </row>
    <row r="473" spans="2:7" x14ac:dyDescent="0.45">
      <c r="B473" s="2" t="str">
        <f>IFERROR(INDEX('Miljövärden urval för publ'!$A$2:$AA$420,MATCH('Miljövärden för publ företag'!$A473,'Miljövärden urval för publ'!$R$2:$R$417,0),1),"")</f>
        <v/>
      </c>
      <c r="C473" s="2" t="str">
        <f>IFERROR(INDEX('Miljövärden urval för publ'!$A$2:$AA$420,MATCH('Miljövärden för publ företag'!$A473,'Miljövärden urval för publ'!$R$2:$R$417,0),2),"")</f>
        <v/>
      </c>
      <c r="D473" t="str">
        <f>IFERROR(VLOOKUP($C473,'Miljövärden urval för publ'!$B$2:$H$417,MATCH('Miljövärden för publ företag'!D$4,'Miljövärden urval för publ'!$B$2:$H$2,0),FALSE),"")</f>
        <v/>
      </c>
      <c r="E473" t="str">
        <f>IFERROR(VLOOKUP($C473,'Miljövärden urval för publ'!$B$2:$H$417,MATCH('Miljövärden för publ företag'!E$4,'Miljövärden urval för publ'!$B$2:$H$2,0),FALSE),"")</f>
        <v/>
      </c>
      <c r="F473" t="str">
        <f>IFERROR(VLOOKUP($C473,'Miljövärden urval för publ'!$B$2:$H$417,MATCH('Miljövärden för publ företag'!F$4,'Miljövärden urval för publ'!$B$2:$H$2,0),FALSE),"")</f>
        <v/>
      </c>
      <c r="G473" t="str">
        <f>IFERROR(VLOOKUP($C473,'Miljövärden urval för publ'!$B$2:$H$417,MATCH('Miljövärden för publ företag'!G$4,'Miljövärden urval för publ'!$B$2:$H$2,0),FALSE),"")</f>
        <v/>
      </c>
    </row>
    <row r="474" spans="2:7" x14ac:dyDescent="0.45">
      <c r="B474" s="2" t="str">
        <f>IFERROR(INDEX('Miljövärden urval för publ'!$A$2:$AA$420,MATCH('Miljövärden för publ företag'!$A474,'Miljövärden urval för publ'!$R$2:$R$417,0),1),"")</f>
        <v/>
      </c>
      <c r="C474" s="2" t="str">
        <f>IFERROR(INDEX('Miljövärden urval för publ'!$A$2:$AA$420,MATCH('Miljövärden för publ företag'!$A474,'Miljövärden urval för publ'!$R$2:$R$417,0),2),"")</f>
        <v/>
      </c>
      <c r="D474" t="str">
        <f>IFERROR(VLOOKUP($C474,'Miljövärden urval för publ'!$B$2:$H$417,MATCH('Miljövärden för publ företag'!D$4,'Miljövärden urval för publ'!$B$2:$H$2,0),FALSE),"")</f>
        <v/>
      </c>
      <c r="E474" t="str">
        <f>IFERROR(VLOOKUP($C474,'Miljövärden urval för publ'!$B$2:$H$417,MATCH('Miljövärden för publ företag'!E$4,'Miljövärden urval för publ'!$B$2:$H$2,0),FALSE),"")</f>
        <v/>
      </c>
      <c r="F474" t="str">
        <f>IFERROR(VLOOKUP($C474,'Miljövärden urval för publ'!$B$2:$H$417,MATCH('Miljövärden för publ företag'!F$4,'Miljövärden urval för publ'!$B$2:$H$2,0),FALSE),"")</f>
        <v/>
      </c>
      <c r="G474" t="str">
        <f>IFERROR(VLOOKUP($C474,'Miljövärden urval för publ'!$B$2:$H$417,MATCH('Miljövärden för publ företag'!G$4,'Miljövärden urval för publ'!$B$2:$H$2,0),FALSE),"")</f>
        <v/>
      </c>
    </row>
    <row r="475" spans="2:7" x14ac:dyDescent="0.45">
      <c r="B475" s="2" t="str">
        <f>IFERROR(INDEX('Miljövärden urval för publ'!$A$2:$AA$420,MATCH('Miljövärden för publ företag'!$A475,'Miljövärden urval för publ'!$R$2:$R$417,0),1),"")</f>
        <v/>
      </c>
      <c r="C475" s="2" t="str">
        <f>IFERROR(INDEX('Miljövärden urval för publ'!$A$2:$AA$420,MATCH('Miljövärden för publ företag'!$A475,'Miljövärden urval för publ'!$R$2:$R$417,0),2),"")</f>
        <v/>
      </c>
      <c r="D475" t="str">
        <f>IFERROR(VLOOKUP($C475,'Miljövärden urval för publ'!$B$2:$H$417,MATCH('Miljövärden för publ företag'!D$4,'Miljövärden urval för publ'!$B$2:$H$2,0),FALSE),"")</f>
        <v/>
      </c>
      <c r="E475" t="str">
        <f>IFERROR(VLOOKUP($C475,'Miljövärden urval för publ'!$B$2:$H$417,MATCH('Miljövärden för publ företag'!E$4,'Miljövärden urval för publ'!$B$2:$H$2,0),FALSE),"")</f>
        <v/>
      </c>
      <c r="F475" t="str">
        <f>IFERROR(VLOOKUP($C475,'Miljövärden urval för publ'!$B$2:$H$417,MATCH('Miljövärden för publ företag'!F$4,'Miljövärden urval för publ'!$B$2:$H$2,0),FALSE),"")</f>
        <v/>
      </c>
      <c r="G475" t="str">
        <f>IFERROR(VLOOKUP($C475,'Miljövärden urval för publ'!$B$2:$H$417,MATCH('Miljövärden för publ företag'!G$4,'Miljövärden urval för publ'!$B$2:$H$2,0),FALSE),"")</f>
        <v/>
      </c>
    </row>
    <row r="476" spans="2:7" x14ac:dyDescent="0.45">
      <c r="B476" s="2" t="str">
        <f>IFERROR(INDEX('Miljövärden urval för publ'!$A$2:$AA$420,MATCH('Miljövärden för publ företag'!$A476,'Miljövärden urval för publ'!$R$2:$R$417,0),1),"")</f>
        <v/>
      </c>
      <c r="C476" s="2" t="str">
        <f>IFERROR(INDEX('Miljövärden urval för publ'!$A$2:$AA$420,MATCH('Miljövärden för publ företag'!$A476,'Miljövärden urval för publ'!$R$2:$R$417,0),2),"")</f>
        <v/>
      </c>
      <c r="D476" t="str">
        <f>IFERROR(VLOOKUP($C476,'Miljövärden urval för publ'!$B$2:$H$417,MATCH('Miljövärden för publ företag'!D$4,'Miljövärden urval för publ'!$B$2:$H$2,0),FALSE),"")</f>
        <v/>
      </c>
      <c r="E476" t="str">
        <f>IFERROR(VLOOKUP($C476,'Miljövärden urval för publ'!$B$2:$H$417,MATCH('Miljövärden för publ företag'!E$4,'Miljövärden urval för publ'!$B$2:$H$2,0),FALSE),"")</f>
        <v/>
      </c>
      <c r="F476" t="str">
        <f>IFERROR(VLOOKUP($C476,'Miljövärden urval för publ'!$B$2:$H$417,MATCH('Miljövärden för publ företag'!F$4,'Miljövärden urval för publ'!$B$2:$H$2,0),FALSE),"")</f>
        <v/>
      </c>
      <c r="G476" t="str">
        <f>IFERROR(VLOOKUP($C476,'Miljövärden urval för publ'!$B$2:$H$417,MATCH('Miljövärden för publ företag'!G$4,'Miljövärden urval för publ'!$B$2:$H$2,0),FALSE),"")</f>
        <v/>
      </c>
    </row>
    <row r="477" spans="2:7" x14ac:dyDescent="0.45">
      <c r="B477" s="2" t="str">
        <f>IFERROR(INDEX('Miljövärden urval för publ'!$A$2:$AA$420,MATCH('Miljövärden för publ företag'!$A477,'Miljövärden urval för publ'!$R$2:$R$417,0),1),"")</f>
        <v/>
      </c>
      <c r="C477" s="2" t="str">
        <f>IFERROR(INDEX('Miljövärden urval för publ'!$A$2:$AA$420,MATCH('Miljövärden för publ företag'!$A477,'Miljövärden urval för publ'!$R$2:$R$417,0),2),"")</f>
        <v/>
      </c>
      <c r="D477" t="str">
        <f>IFERROR(VLOOKUP($C477,'Miljövärden urval för publ'!$B$2:$H$417,MATCH('Miljövärden för publ företag'!D$4,'Miljövärden urval för publ'!$B$2:$H$2,0),FALSE),"")</f>
        <v/>
      </c>
      <c r="E477" t="str">
        <f>IFERROR(VLOOKUP($C477,'Miljövärden urval för publ'!$B$2:$H$417,MATCH('Miljövärden för publ företag'!E$4,'Miljövärden urval för publ'!$B$2:$H$2,0),FALSE),"")</f>
        <v/>
      </c>
      <c r="F477" t="str">
        <f>IFERROR(VLOOKUP($C477,'Miljövärden urval för publ'!$B$2:$H$417,MATCH('Miljövärden för publ företag'!F$4,'Miljövärden urval för publ'!$B$2:$H$2,0),FALSE),"")</f>
        <v/>
      </c>
      <c r="G477" t="str">
        <f>IFERROR(VLOOKUP($C477,'Miljövärden urval för publ'!$B$2:$H$417,MATCH('Miljövärden för publ företag'!G$4,'Miljövärden urval för publ'!$B$2:$H$2,0),FALSE),"")</f>
        <v/>
      </c>
    </row>
    <row r="478" spans="2:7" x14ac:dyDescent="0.45">
      <c r="B478" s="2" t="str">
        <f>IFERROR(INDEX('Miljövärden urval för publ'!$A$2:$AA$420,MATCH('Miljövärden för publ företag'!$A478,'Miljövärden urval för publ'!$R$2:$R$417,0),1),"")</f>
        <v/>
      </c>
      <c r="C478" s="2" t="str">
        <f>IFERROR(INDEX('Miljövärden urval för publ'!$A$2:$AA$420,MATCH('Miljövärden för publ företag'!$A478,'Miljövärden urval för publ'!$R$2:$R$417,0),2),"")</f>
        <v/>
      </c>
      <c r="D478" t="str">
        <f>IFERROR(VLOOKUP($C478,'Miljövärden urval för publ'!$B$2:$H$417,MATCH('Miljövärden för publ företag'!D$4,'Miljövärden urval för publ'!$B$2:$H$2,0),FALSE),"")</f>
        <v/>
      </c>
      <c r="E478" t="str">
        <f>IFERROR(VLOOKUP($C478,'Miljövärden urval för publ'!$B$2:$H$417,MATCH('Miljövärden för publ företag'!E$4,'Miljövärden urval för publ'!$B$2:$H$2,0),FALSE),"")</f>
        <v/>
      </c>
      <c r="F478" t="str">
        <f>IFERROR(VLOOKUP($C478,'Miljövärden urval för publ'!$B$2:$H$417,MATCH('Miljövärden för publ företag'!F$4,'Miljövärden urval för publ'!$B$2:$H$2,0),FALSE),"")</f>
        <v/>
      </c>
      <c r="G478" t="str">
        <f>IFERROR(VLOOKUP($C478,'Miljövärden urval för publ'!$B$2:$H$417,MATCH('Miljövärden för publ företag'!G$4,'Miljövärden urval för publ'!$B$2:$H$2,0),FALSE),"")</f>
        <v/>
      </c>
    </row>
    <row r="479" spans="2:7" x14ac:dyDescent="0.45">
      <c r="B479" s="2" t="str">
        <f>IFERROR(INDEX('Miljövärden urval för publ'!$A$2:$AA$420,MATCH('Miljövärden för publ företag'!$A479,'Miljövärden urval för publ'!$R$2:$R$417,0),1),"")</f>
        <v/>
      </c>
      <c r="C479" s="2" t="str">
        <f>IFERROR(INDEX('Miljövärden urval för publ'!$A$2:$AA$420,MATCH('Miljövärden för publ företag'!$A479,'Miljövärden urval för publ'!$R$2:$R$417,0),2),"")</f>
        <v/>
      </c>
      <c r="D479" t="str">
        <f>IFERROR(VLOOKUP($C479,'Miljövärden urval för publ'!$B$2:$H$417,MATCH('Miljövärden för publ företag'!D$4,'Miljövärden urval för publ'!$B$2:$H$2,0),FALSE),"")</f>
        <v/>
      </c>
      <c r="E479" t="str">
        <f>IFERROR(VLOOKUP($C479,'Miljövärden urval för publ'!$B$2:$H$417,MATCH('Miljövärden för publ företag'!E$4,'Miljövärden urval för publ'!$B$2:$H$2,0),FALSE),"")</f>
        <v/>
      </c>
      <c r="F479" t="str">
        <f>IFERROR(VLOOKUP($C479,'Miljövärden urval för publ'!$B$2:$H$417,MATCH('Miljövärden för publ företag'!F$4,'Miljövärden urval för publ'!$B$2:$H$2,0),FALSE),"")</f>
        <v/>
      </c>
      <c r="G479" t="str">
        <f>IFERROR(VLOOKUP($C479,'Miljövärden urval för publ'!$B$2:$H$417,MATCH('Miljövärden för publ företag'!G$4,'Miljövärden urval för publ'!$B$2:$H$2,0),FALSE),"")</f>
        <v/>
      </c>
    </row>
    <row r="480" spans="2:7" x14ac:dyDescent="0.45">
      <c r="B480" s="2" t="str">
        <f>IFERROR(INDEX('Miljövärden urval för publ'!$A$2:$AA$420,MATCH('Miljövärden för publ företag'!$A480,'Miljövärden urval för publ'!$R$2:$R$417,0),1),"")</f>
        <v/>
      </c>
      <c r="C480" s="2" t="str">
        <f>IFERROR(INDEX('Miljövärden urval för publ'!$A$2:$AA$420,MATCH('Miljövärden för publ företag'!$A480,'Miljövärden urval för publ'!$R$2:$R$417,0),2),"")</f>
        <v/>
      </c>
      <c r="D480" t="str">
        <f>IFERROR(VLOOKUP($C480,'Miljövärden urval för publ'!$B$2:$H$417,MATCH('Miljövärden för publ företag'!D$4,'Miljövärden urval för publ'!$B$2:$H$2,0),FALSE),"")</f>
        <v/>
      </c>
      <c r="E480" t="str">
        <f>IFERROR(VLOOKUP($C480,'Miljövärden urval för publ'!$B$2:$H$417,MATCH('Miljövärden för publ företag'!E$4,'Miljövärden urval för publ'!$B$2:$H$2,0),FALSE),"")</f>
        <v/>
      </c>
      <c r="F480" t="str">
        <f>IFERROR(VLOOKUP($C480,'Miljövärden urval för publ'!$B$2:$H$417,MATCH('Miljövärden för publ företag'!F$4,'Miljövärden urval för publ'!$B$2:$H$2,0),FALSE),"")</f>
        <v/>
      </c>
      <c r="G480" t="str">
        <f>IFERROR(VLOOKUP($C480,'Miljövärden urval för publ'!$B$2:$H$417,MATCH('Miljövärden för publ företag'!G$4,'Miljövärden urval för publ'!$B$2:$H$2,0),FALSE),"")</f>
        <v/>
      </c>
    </row>
    <row r="481" spans="2:7" x14ac:dyDescent="0.45">
      <c r="B481" s="2" t="str">
        <f>IFERROR(INDEX('Miljövärden urval för publ'!$A$2:$AA$420,MATCH('Miljövärden för publ företag'!$A481,'Miljövärden urval för publ'!$R$2:$R$417,0),1),"")</f>
        <v/>
      </c>
      <c r="C481" s="2" t="str">
        <f>IFERROR(INDEX('Miljövärden urval för publ'!$A$2:$AA$420,MATCH('Miljövärden för publ företag'!$A481,'Miljövärden urval för publ'!$R$2:$R$417,0),2),"")</f>
        <v/>
      </c>
      <c r="D481" t="str">
        <f>IFERROR(VLOOKUP($C481,'Miljövärden urval för publ'!$B$2:$H$417,MATCH('Miljövärden för publ företag'!D$4,'Miljövärden urval för publ'!$B$2:$H$2,0),FALSE),"")</f>
        <v/>
      </c>
      <c r="E481" t="str">
        <f>IFERROR(VLOOKUP($C481,'Miljövärden urval för publ'!$B$2:$H$417,MATCH('Miljövärden för publ företag'!E$4,'Miljövärden urval för publ'!$B$2:$H$2,0),FALSE),"")</f>
        <v/>
      </c>
      <c r="F481" t="str">
        <f>IFERROR(VLOOKUP($C481,'Miljövärden urval för publ'!$B$2:$H$417,MATCH('Miljövärden för publ företag'!F$4,'Miljövärden urval för publ'!$B$2:$H$2,0),FALSE),"")</f>
        <v/>
      </c>
      <c r="G481" t="str">
        <f>IFERROR(VLOOKUP($C481,'Miljövärden urval för publ'!$B$2:$H$417,MATCH('Miljövärden för publ företag'!G$4,'Miljövärden urval för publ'!$B$2:$H$2,0),FALSE),"")</f>
        <v/>
      </c>
    </row>
    <row r="482" spans="2:7" x14ac:dyDescent="0.45">
      <c r="B482" s="2" t="str">
        <f>IFERROR(INDEX('Miljövärden urval för publ'!$A$2:$AA$420,MATCH('Miljövärden för publ företag'!$A482,'Miljövärden urval för publ'!$R$2:$R$417,0),1),"")</f>
        <v/>
      </c>
      <c r="C482" s="2" t="str">
        <f>IFERROR(INDEX('Miljövärden urval för publ'!$A$2:$AA$420,MATCH('Miljövärden för publ företag'!$A482,'Miljövärden urval för publ'!$R$2:$R$417,0),2),"")</f>
        <v/>
      </c>
      <c r="D482" t="str">
        <f>IFERROR(VLOOKUP($C482,'Miljövärden urval för publ'!$B$2:$H$417,MATCH('Miljövärden för publ företag'!D$4,'Miljövärden urval för publ'!$B$2:$H$2,0),FALSE),"")</f>
        <v/>
      </c>
      <c r="E482" t="str">
        <f>IFERROR(VLOOKUP($C482,'Miljövärden urval för publ'!$B$2:$H$417,MATCH('Miljövärden för publ företag'!E$4,'Miljövärden urval för publ'!$B$2:$H$2,0),FALSE),"")</f>
        <v/>
      </c>
      <c r="F482" t="str">
        <f>IFERROR(VLOOKUP($C482,'Miljövärden urval för publ'!$B$2:$H$417,MATCH('Miljövärden för publ företag'!F$4,'Miljövärden urval för publ'!$B$2:$H$2,0),FALSE),"")</f>
        <v/>
      </c>
      <c r="G482" t="str">
        <f>IFERROR(VLOOKUP($C482,'Miljövärden urval för publ'!$B$2:$H$417,MATCH('Miljövärden för publ företag'!G$4,'Miljövärden urval för publ'!$B$2:$H$2,0),FALSE),"")</f>
        <v/>
      </c>
    </row>
    <row r="483" spans="2:7" x14ac:dyDescent="0.45">
      <c r="B483" s="2" t="str">
        <f>IFERROR(INDEX('Miljövärden urval för publ'!$A$2:$AA$420,MATCH('Miljövärden för publ företag'!$A483,'Miljövärden urval för publ'!$R$2:$R$417,0),1),"")</f>
        <v/>
      </c>
      <c r="C483" s="2" t="str">
        <f>IFERROR(INDEX('Miljövärden urval för publ'!$A$2:$AA$420,MATCH('Miljövärden för publ företag'!$A483,'Miljövärden urval för publ'!$R$2:$R$417,0),2),"")</f>
        <v/>
      </c>
      <c r="D483" t="str">
        <f>IFERROR(VLOOKUP($C483,'Miljövärden urval för publ'!$B$2:$H$417,MATCH('Miljövärden för publ företag'!D$4,'Miljövärden urval för publ'!$B$2:$H$2,0),FALSE),"")</f>
        <v/>
      </c>
      <c r="E483" t="str">
        <f>IFERROR(VLOOKUP($C483,'Miljövärden urval för publ'!$B$2:$H$417,MATCH('Miljövärden för publ företag'!E$4,'Miljövärden urval för publ'!$B$2:$H$2,0),FALSE),"")</f>
        <v/>
      </c>
      <c r="F483" t="str">
        <f>IFERROR(VLOOKUP($C483,'Miljövärden urval för publ'!$B$2:$H$417,MATCH('Miljövärden för publ företag'!F$4,'Miljövärden urval för publ'!$B$2:$H$2,0),FALSE),"")</f>
        <v/>
      </c>
      <c r="G483" t="str">
        <f>IFERROR(VLOOKUP($C483,'Miljövärden urval för publ'!$B$2:$H$417,MATCH('Miljövärden för publ företag'!G$4,'Miljövärden urval för publ'!$B$2:$H$2,0),FALSE),"")</f>
        <v/>
      </c>
    </row>
    <row r="484" spans="2:7" x14ac:dyDescent="0.45">
      <c r="B484" s="2" t="str">
        <f>IFERROR(INDEX('Miljövärden urval för publ'!$A$2:$AA$420,MATCH('Miljövärden för publ företag'!$A484,'Miljövärden urval för publ'!$R$2:$R$417,0),1),"")</f>
        <v/>
      </c>
      <c r="C484" s="2" t="str">
        <f>IFERROR(INDEX('Miljövärden urval för publ'!$A$2:$AA$420,MATCH('Miljövärden för publ företag'!$A484,'Miljövärden urval för publ'!$R$2:$R$417,0),2),"")</f>
        <v/>
      </c>
      <c r="D484" t="str">
        <f>IFERROR(VLOOKUP($C484,'Miljövärden urval för publ'!$B$2:$H$417,MATCH('Miljövärden för publ företag'!D$4,'Miljövärden urval för publ'!$B$2:$H$2,0),FALSE),"")</f>
        <v/>
      </c>
      <c r="E484" t="str">
        <f>IFERROR(VLOOKUP($C484,'Miljövärden urval för publ'!$B$2:$H$417,MATCH('Miljövärden för publ företag'!E$4,'Miljövärden urval för publ'!$B$2:$H$2,0),FALSE),"")</f>
        <v/>
      </c>
      <c r="F484" t="str">
        <f>IFERROR(VLOOKUP($C484,'Miljövärden urval för publ'!$B$2:$H$417,MATCH('Miljövärden för publ företag'!F$4,'Miljövärden urval för publ'!$B$2:$H$2,0),FALSE),"")</f>
        <v/>
      </c>
      <c r="G484" t="str">
        <f>IFERROR(VLOOKUP($C484,'Miljövärden urval för publ'!$B$2:$H$417,MATCH('Miljövärden för publ företag'!G$4,'Miljövärden urval för publ'!$B$2:$H$2,0),FALSE),"")</f>
        <v/>
      </c>
    </row>
    <row r="485" spans="2:7" x14ac:dyDescent="0.45">
      <c r="B485" s="2" t="str">
        <f>IFERROR(INDEX('Miljövärden urval för publ'!$A$2:$AA$420,MATCH('Miljövärden för publ företag'!$A485,'Miljövärden urval för publ'!$R$2:$R$417,0),1),"")</f>
        <v/>
      </c>
      <c r="C485" s="2" t="str">
        <f>IFERROR(INDEX('Miljövärden urval för publ'!$A$2:$AA$420,MATCH('Miljövärden för publ företag'!$A485,'Miljövärden urval för publ'!$R$2:$R$417,0),2),"")</f>
        <v/>
      </c>
      <c r="D485" t="str">
        <f>IFERROR(VLOOKUP($C485,'Miljövärden urval för publ'!$B$2:$H$417,MATCH('Miljövärden för publ företag'!D$4,'Miljövärden urval för publ'!$B$2:$H$2,0),FALSE),"")</f>
        <v/>
      </c>
      <c r="E485" t="str">
        <f>IFERROR(VLOOKUP($C485,'Miljövärden urval för publ'!$B$2:$H$417,MATCH('Miljövärden för publ företag'!E$4,'Miljövärden urval för publ'!$B$2:$H$2,0),FALSE),"")</f>
        <v/>
      </c>
      <c r="F485" t="str">
        <f>IFERROR(VLOOKUP($C485,'Miljövärden urval för publ'!$B$2:$H$417,MATCH('Miljövärden för publ företag'!F$4,'Miljövärden urval för publ'!$B$2:$H$2,0),FALSE),"")</f>
        <v/>
      </c>
      <c r="G485" t="str">
        <f>IFERROR(VLOOKUP($C485,'Miljövärden urval för publ'!$B$2:$H$417,MATCH('Miljövärden för publ företag'!G$4,'Miljövärden urval för publ'!$B$2:$H$2,0),FALSE),"")</f>
        <v/>
      </c>
    </row>
    <row r="486" spans="2:7" x14ac:dyDescent="0.45">
      <c r="B486" s="2" t="str">
        <f>IFERROR(INDEX('Miljövärden urval för publ'!$A$2:$AA$420,MATCH('Miljövärden för publ företag'!$A486,'Miljövärden urval för publ'!$R$2:$R$417,0),1),"")</f>
        <v/>
      </c>
      <c r="C486" s="2" t="str">
        <f>IFERROR(INDEX('Miljövärden urval för publ'!$A$2:$AA$420,MATCH('Miljövärden för publ företag'!$A486,'Miljövärden urval för publ'!$R$2:$R$417,0),2),"")</f>
        <v/>
      </c>
      <c r="D486" t="str">
        <f>IFERROR(VLOOKUP($C486,'Miljövärden urval för publ'!$B$2:$H$417,MATCH('Miljövärden för publ företag'!D$4,'Miljövärden urval för publ'!$B$2:$H$2,0),FALSE),"")</f>
        <v/>
      </c>
      <c r="E486" t="str">
        <f>IFERROR(VLOOKUP($C486,'Miljövärden urval för publ'!$B$2:$H$417,MATCH('Miljövärden för publ företag'!E$4,'Miljövärden urval för publ'!$B$2:$H$2,0),FALSE),"")</f>
        <v/>
      </c>
      <c r="F486" t="str">
        <f>IFERROR(VLOOKUP($C486,'Miljövärden urval för publ'!$B$2:$H$417,MATCH('Miljövärden för publ företag'!F$4,'Miljövärden urval för publ'!$B$2:$H$2,0),FALSE),"")</f>
        <v/>
      </c>
      <c r="G486" t="str">
        <f>IFERROR(VLOOKUP($C486,'Miljövärden urval för publ'!$B$2:$H$417,MATCH('Miljövärden för publ företag'!G$4,'Miljövärden urval för publ'!$B$2:$H$2,0),FALSE),"")</f>
        <v/>
      </c>
    </row>
    <row r="487" spans="2:7" x14ac:dyDescent="0.45">
      <c r="B487" s="2" t="str">
        <f>IFERROR(INDEX('Miljövärden urval för publ'!$A$2:$AA$420,MATCH('Miljövärden för publ företag'!$A487,'Miljövärden urval för publ'!$R$2:$R$417,0),1),"")</f>
        <v/>
      </c>
      <c r="C487" s="2" t="str">
        <f>IFERROR(INDEX('Miljövärden urval för publ'!$A$2:$AA$420,MATCH('Miljövärden för publ företag'!$A487,'Miljövärden urval för publ'!$R$2:$R$417,0),2),"")</f>
        <v/>
      </c>
      <c r="D487" t="str">
        <f>IFERROR(VLOOKUP($C487,'Miljövärden urval för publ'!$B$2:$H$417,MATCH('Miljövärden för publ företag'!D$4,'Miljövärden urval för publ'!$B$2:$H$2,0),FALSE),"")</f>
        <v/>
      </c>
      <c r="E487" t="str">
        <f>IFERROR(VLOOKUP($C487,'Miljövärden urval för publ'!$B$2:$H$417,MATCH('Miljövärden för publ företag'!E$4,'Miljövärden urval för publ'!$B$2:$H$2,0),FALSE),"")</f>
        <v/>
      </c>
      <c r="F487" t="str">
        <f>IFERROR(VLOOKUP($C487,'Miljövärden urval för publ'!$B$2:$H$417,MATCH('Miljövärden för publ företag'!F$4,'Miljövärden urval för publ'!$B$2:$H$2,0),FALSE),"")</f>
        <v/>
      </c>
      <c r="G487" t="str">
        <f>IFERROR(VLOOKUP($C487,'Miljövärden urval för publ'!$B$2:$H$417,MATCH('Miljövärden för publ företag'!G$4,'Miljövärden urval för publ'!$B$2:$H$2,0),FALSE),"")</f>
        <v/>
      </c>
    </row>
    <row r="488" spans="2:7" x14ac:dyDescent="0.45">
      <c r="B488" s="2" t="str">
        <f>IFERROR(INDEX('Miljövärden urval för publ'!$A$2:$AA$420,MATCH('Miljövärden för publ företag'!$A488,'Miljövärden urval för publ'!$R$2:$R$417,0),1),"")</f>
        <v/>
      </c>
      <c r="C488" s="2" t="str">
        <f>IFERROR(INDEX('Miljövärden urval för publ'!$A$2:$AA$420,MATCH('Miljövärden för publ företag'!$A488,'Miljövärden urval för publ'!$R$2:$R$417,0),2),"")</f>
        <v/>
      </c>
      <c r="D488" t="str">
        <f>IFERROR(VLOOKUP($C488,'Miljövärden urval för publ'!$B$2:$H$417,MATCH('Miljövärden för publ företag'!D$4,'Miljövärden urval för publ'!$B$2:$H$2,0),FALSE),"")</f>
        <v/>
      </c>
      <c r="E488" t="str">
        <f>IFERROR(VLOOKUP($C488,'Miljövärden urval för publ'!$B$2:$H$417,MATCH('Miljövärden för publ företag'!E$4,'Miljövärden urval för publ'!$B$2:$H$2,0),FALSE),"")</f>
        <v/>
      </c>
      <c r="F488" t="str">
        <f>IFERROR(VLOOKUP($C488,'Miljövärden urval för publ'!$B$2:$H$417,MATCH('Miljövärden för publ företag'!F$4,'Miljövärden urval för publ'!$B$2:$H$2,0),FALSE),"")</f>
        <v/>
      </c>
      <c r="G488" t="str">
        <f>IFERROR(VLOOKUP($C488,'Miljövärden urval för publ'!$B$2:$H$417,MATCH('Miljövärden för publ företag'!G$4,'Miljövärden urval för publ'!$B$2:$H$2,0),FALSE),"")</f>
        <v/>
      </c>
    </row>
    <row r="489" spans="2:7" x14ac:dyDescent="0.45">
      <c r="B489" s="2" t="str">
        <f>IFERROR(INDEX('Miljövärden urval för publ'!$A$2:$AA$420,MATCH('Miljövärden för publ företag'!$A489,'Miljövärden urval för publ'!$R$2:$R$417,0),1),"")</f>
        <v/>
      </c>
      <c r="C489" s="2" t="str">
        <f>IFERROR(INDEX('Miljövärden urval för publ'!$A$2:$AA$420,MATCH('Miljövärden för publ företag'!$A489,'Miljövärden urval för publ'!$R$2:$R$417,0),2),"")</f>
        <v/>
      </c>
      <c r="D489" t="str">
        <f>IFERROR(VLOOKUP($C489,'Miljövärden urval för publ'!$B$2:$H$417,MATCH('Miljövärden för publ företag'!D$4,'Miljövärden urval för publ'!$B$2:$H$2,0),FALSE),"")</f>
        <v/>
      </c>
      <c r="E489" t="str">
        <f>IFERROR(VLOOKUP($C489,'Miljövärden urval för publ'!$B$2:$H$417,MATCH('Miljövärden för publ företag'!E$4,'Miljövärden urval för publ'!$B$2:$H$2,0),FALSE),"")</f>
        <v/>
      </c>
      <c r="F489" t="str">
        <f>IFERROR(VLOOKUP($C489,'Miljövärden urval för publ'!$B$2:$H$417,MATCH('Miljövärden för publ företag'!F$4,'Miljövärden urval för publ'!$B$2:$H$2,0),FALSE),"")</f>
        <v/>
      </c>
      <c r="G489" t="str">
        <f>IFERROR(VLOOKUP($C489,'Miljövärden urval för publ'!$B$2:$H$417,MATCH('Miljövärden för publ företag'!G$4,'Miljövärden urval för publ'!$B$2:$H$2,0),FALSE),"")</f>
        <v/>
      </c>
    </row>
    <row r="490" spans="2:7" x14ac:dyDescent="0.45">
      <c r="B490" s="2" t="str">
        <f>IFERROR(INDEX('Miljövärden urval för publ'!$A$2:$AA$420,MATCH('Miljövärden för publ företag'!$A490,'Miljövärden urval för publ'!$R$2:$R$417,0),1),"")</f>
        <v/>
      </c>
      <c r="C490" s="2" t="str">
        <f>IFERROR(INDEX('Miljövärden urval för publ'!$A$2:$AA$420,MATCH('Miljövärden för publ företag'!$A490,'Miljövärden urval för publ'!$R$2:$R$417,0),2),"")</f>
        <v/>
      </c>
      <c r="D490" t="str">
        <f>IFERROR(VLOOKUP($C490,'Miljövärden urval för publ'!$B$2:$H$417,MATCH('Miljövärden för publ företag'!D$4,'Miljövärden urval för publ'!$B$2:$H$2,0),FALSE),"")</f>
        <v/>
      </c>
      <c r="E490" t="str">
        <f>IFERROR(VLOOKUP($C490,'Miljövärden urval för publ'!$B$2:$H$417,MATCH('Miljövärden för publ företag'!E$4,'Miljövärden urval för publ'!$B$2:$H$2,0),FALSE),"")</f>
        <v/>
      </c>
      <c r="F490" t="str">
        <f>IFERROR(VLOOKUP($C490,'Miljövärden urval för publ'!$B$2:$H$417,MATCH('Miljövärden för publ företag'!F$4,'Miljövärden urval för publ'!$B$2:$H$2,0),FALSE),"")</f>
        <v/>
      </c>
      <c r="G490" t="str">
        <f>IFERROR(VLOOKUP($C490,'Miljövärden urval för publ'!$B$2:$H$417,MATCH('Miljövärden för publ företag'!G$4,'Miljövärden urval för publ'!$B$2:$H$2,0),FALSE),"")</f>
        <v/>
      </c>
    </row>
    <row r="491" spans="2:7" x14ac:dyDescent="0.45">
      <c r="B491" s="2" t="str">
        <f>IFERROR(INDEX('Miljövärden urval för publ'!$A$2:$AA$420,MATCH('Miljövärden för publ företag'!$A491,'Miljövärden urval för publ'!$R$2:$R$417,0),1),"")</f>
        <v/>
      </c>
      <c r="C491" s="2" t="str">
        <f>IFERROR(INDEX('Miljövärden urval för publ'!$A$2:$AA$420,MATCH('Miljövärden för publ företag'!$A491,'Miljövärden urval för publ'!$R$2:$R$417,0),2),"")</f>
        <v/>
      </c>
      <c r="D491" t="str">
        <f>IFERROR(VLOOKUP($C491,'Miljövärden urval för publ'!$B$2:$H$417,MATCH('Miljövärden för publ företag'!D$4,'Miljövärden urval för publ'!$B$2:$H$2,0),FALSE),"")</f>
        <v/>
      </c>
      <c r="E491" t="str">
        <f>IFERROR(VLOOKUP($C491,'Miljövärden urval för publ'!$B$2:$H$417,MATCH('Miljövärden för publ företag'!E$4,'Miljövärden urval för publ'!$B$2:$H$2,0),FALSE),"")</f>
        <v/>
      </c>
      <c r="F491" t="str">
        <f>IFERROR(VLOOKUP($C491,'Miljövärden urval för publ'!$B$2:$H$417,MATCH('Miljövärden för publ företag'!F$4,'Miljövärden urval för publ'!$B$2:$H$2,0),FALSE),"")</f>
        <v/>
      </c>
      <c r="G491" t="str">
        <f>IFERROR(VLOOKUP($C491,'Miljövärden urval för publ'!$B$2:$H$417,MATCH('Miljövärden för publ företag'!G$4,'Miljövärden urval för publ'!$B$2:$H$2,0),FALSE),"")</f>
        <v/>
      </c>
    </row>
    <row r="492" spans="2:7" x14ac:dyDescent="0.45">
      <c r="B492" s="2" t="str">
        <f>IFERROR(INDEX('Miljövärden urval för publ'!$A$2:$AA$420,MATCH('Miljövärden för publ företag'!$A492,'Miljövärden urval för publ'!$R$2:$R$417,0),1),"")</f>
        <v/>
      </c>
      <c r="C492" s="2" t="str">
        <f>IFERROR(INDEX('Miljövärden urval för publ'!$A$2:$AA$420,MATCH('Miljövärden för publ företag'!$A492,'Miljövärden urval för publ'!$R$2:$R$417,0),2),"")</f>
        <v/>
      </c>
      <c r="D492" t="str">
        <f>IFERROR(VLOOKUP($C492,'Miljövärden urval för publ'!$B$2:$H$417,MATCH('Miljövärden för publ företag'!D$4,'Miljövärden urval för publ'!$B$2:$H$2,0),FALSE),"")</f>
        <v/>
      </c>
      <c r="E492" t="str">
        <f>IFERROR(VLOOKUP($C492,'Miljövärden urval för publ'!$B$2:$H$417,MATCH('Miljövärden för publ företag'!E$4,'Miljövärden urval för publ'!$B$2:$H$2,0),FALSE),"")</f>
        <v/>
      </c>
      <c r="F492" t="str">
        <f>IFERROR(VLOOKUP($C492,'Miljövärden urval för publ'!$B$2:$H$417,MATCH('Miljövärden för publ företag'!F$4,'Miljövärden urval för publ'!$B$2:$H$2,0),FALSE),"")</f>
        <v/>
      </c>
      <c r="G492" t="str">
        <f>IFERROR(VLOOKUP($C492,'Miljövärden urval för publ'!$B$2:$H$417,MATCH('Miljövärden för publ företag'!G$4,'Miljövärden urval för publ'!$B$2:$H$2,0),FALSE),"")</f>
        <v/>
      </c>
    </row>
    <row r="493" spans="2:7" x14ac:dyDescent="0.45">
      <c r="B493" s="2" t="str">
        <f>IFERROR(INDEX('Miljövärden urval för publ'!$A$2:$AA$420,MATCH('Miljövärden för publ företag'!$A493,'Miljövärden urval för publ'!$R$2:$R$417,0),1),"")</f>
        <v/>
      </c>
      <c r="C493" s="2" t="str">
        <f>IFERROR(INDEX('Miljövärden urval för publ'!$A$2:$AA$420,MATCH('Miljövärden för publ företag'!$A493,'Miljövärden urval för publ'!$R$2:$R$417,0),2),"")</f>
        <v/>
      </c>
      <c r="D493" t="str">
        <f>IFERROR(VLOOKUP($C493,'Miljövärden urval för publ'!$B$2:$H$417,MATCH('Miljövärden för publ företag'!D$4,'Miljövärden urval för publ'!$B$2:$H$2,0),FALSE),"")</f>
        <v/>
      </c>
      <c r="E493" t="str">
        <f>IFERROR(VLOOKUP($C493,'Miljövärden urval för publ'!$B$2:$H$417,MATCH('Miljövärden för publ företag'!E$4,'Miljövärden urval för publ'!$B$2:$H$2,0),FALSE),"")</f>
        <v/>
      </c>
      <c r="F493" t="str">
        <f>IFERROR(VLOOKUP($C493,'Miljövärden urval för publ'!$B$2:$H$417,MATCH('Miljövärden för publ företag'!F$4,'Miljövärden urval för publ'!$B$2:$H$2,0),FALSE),"")</f>
        <v/>
      </c>
      <c r="G493" t="str">
        <f>IFERROR(VLOOKUP($C493,'Miljövärden urval för publ'!$B$2:$H$417,MATCH('Miljövärden för publ företag'!G$4,'Miljövärden urval för publ'!$B$2:$H$2,0),FALSE),"")</f>
        <v/>
      </c>
    </row>
    <row r="494" spans="2:7" x14ac:dyDescent="0.45">
      <c r="B494" s="2" t="str">
        <f>IFERROR(INDEX('Miljövärden urval för publ'!$A$2:$AA$420,MATCH('Miljövärden för publ företag'!$A494,'Miljövärden urval för publ'!$R$2:$R$417,0),1),"")</f>
        <v/>
      </c>
      <c r="C494" s="2" t="str">
        <f>IFERROR(INDEX('Miljövärden urval för publ'!$A$2:$AA$420,MATCH('Miljövärden för publ företag'!$A494,'Miljövärden urval för publ'!$R$2:$R$417,0),2),"")</f>
        <v/>
      </c>
      <c r="D494" t="str">
        <f>IFERROR(VLOOKUP($C494,'Miljövärden urval för publ'!$B$2:$H$417,MATCH('Miljövärden för publ företag'!D$4,'Miljövärden urval för publ'!$B$2:$H$2,0),FALSE),"")</f>
        <v/>
      </c>
      <c r="E494" t="str">
        <f>IFERROR(VLOOKUP($C494,'Miljövärden urval för publ'!$B$2:$H$417,MATCH('Miljövärden för publ företag'!E$4,'Miljövärden urval för publ'!$B$2:$H$2,0),FALSE),"")</f>
        <v/>
      </c>
      <c r="F494" t="str">
        <f>IFERROR(VLOOKUP($C494,'Miljövärden urval för publ'!$B$2:$H$417,MATCH('Miljövärden för publ företag'!F$4,'Miljövärden urval för publ'!$B$2:$H$2,0),FALSE),"")</f>
        <v/>
      </c>
      <c r="G494" t="str">
        <f>IFERROR(VLOOKUP($C494,'Miljövärden urval för publ'!$B$2:$H$417,MATCH('Miljövärden för publ företag'!G$4,'Miljövärden urval för publ'!$B$2:$H$2,0),FALSE),"")</f>
        <v/>
      </c>
    </row>
    <row r="495" spans="2:7" x14ac:dyDescent="0.45">
      <c r="B495" s="2" t="str">
        <f>IFERROR(INDEX('Miljövärden urval för publ'!$A$2:$AA$420,MATCH('Miljövärden för publ företag'!$A495,'Miljövärden urval för publ'!$R$2:$R$417,0),1),"")</f>
        <v/>
      </c>
      <c r="C495" s="2" t="str">
        <f>IFERROR(INDEX('Miljövärden urval för publ'!$A$2:$AA$420,MATCH('Miljövärden för publ företag'!$A495,'Miljövärden urval för publ'!$R$2:$R$417,0),2),"")</f>
        <v/>
      </c>
      <c r="D495" t="str">
        <f>IFERROR(VLOOKUP($C495,'Miljövärden urval för publ'!$B$2:$H$417,MATCH('Miljövärden för publ företag'!D$4,'Miljövärden urval för publ'!$B$2:$H$2,0),FALSE),"")</f>
        <v/>
      </c>
      <c r="E495" t="str">
        <f>IFERROR(VLOOKUP($C495,'Miljövärden urval för publ'!$B$2:$H$417,MATCH('Miljövärden för publ företag'!E$4,'Miljövärden urval för publ'!$B$2:$H$2,0),FALSE),"")</f>
        <v/>
      </c>
      <c r="F495" t="str">
        <f>IFERROR(VLOOKUP($C495,'Miljövärden urval för publ'!$B$2:$H$417,MATCH('Miljövärden för publ företag'!F$4,'Miljövärden urval för publ'!$B$2:$H$2,0),FALSE),"")</f>
        <v/>
      </c>
      <c r="G495" t="str">
        <f>IFERROR(VLOOKUP($C495,'Miljövärden urval för publ'!$B$2:$H$417,MATCH('Miljövärden för publ företag'!G$4,'Miljövärden urval för publ'!$B$2:$H$2,0),FALSE),"")</f>
        <v/>
      </c>
    </row>
    <row r="496" spans="2:7" x14ac:dyDescent="0.45">
      <c r="B496" s="2" t="str">
        <f>IFERROR(INDEX('Miljövärden urval för publ'!$A$2:$AA$420,MATCH('Miljövärden för publ företag'!$A496,'Miljövärden urval för publ'!$R$2:$R$417,0),1),"")</f>
        <v/>
      </c>
      <c r="C496" s="2" t="str">
        <f>IFERROR(INDEX('Miljövärden urval för publ'!$A$2:$AA$420,MATCH('Miljövärden för publ företag'!$A496,'Miljövärden urval för publ'!$R$2:$R$417,0),2),"")</f>
        <v/>
      </c>
      <c r="D496" t="str">
        <f>IFERROR(VLOOKUP($C496,'Miljövärden urval för publ'!$B$2:$H$417,MATCH('Miljövärden för publ företag'!D$4,'Miljövärden urval för publ'!$B$2:$H$2,0),FALSE),"")</f>
        <v/>
      </c>
      <c r="E496" t="str">
        <f>IFERROR(VLOOKUP($C496,'Miljövärden urval för publ'!$B$2:$H$417,MATCH('Miljövärden för publ företag'!E$4,'Miljövärden urval för publ'!$B$2:$H$2,0),FALSE),"")</f>
        <v/>
      </c>
      <c r="F496" t="str">
        <f>IFERROR(VLOOKUP($C496,'Miljövärden urval för publ'!$B$2:$H$417,MATCH('Miljövärden för publ företag'!F$4,'Miljövärden urval för publ'!$B$2:$H$2,0),FALSE),"")</f>
        <v/>
      </c>
      <c r="G496" t="str">
        <f>IFERROR(VLOOKUP($C496,'Miljövärden urval för publ'!$B$2:$H$417,MATCH('Miljövärden för publ företag'!G$4,'Miljövärden urval för publ'!$B$2:$H$2,0),FALSE),"")</f>
        <v/>
      </c>
    </row>
    <row r="497" spans="2:7" x14ac:dyDescent="0.45">
      <c r="B497" s="2" t="str">
        <f>IFERROR(INDEX('Miljövärden urval för publ'!$A$2:$AA$420,MATCH('Miljövärden för publ företag'!$A497,'Miljövärden urval för publ'!$R$2:$R$417,0),1),"")</f>
        <v/>
      </c>
      <c r="C497" s="2" t="str">
        <f>IFERROR(INDEX('Miljövärden urval för publ'!$A$2:$AA$420,MATCH('Miljövärden för publ företag'!$A497,'Miljövärden urval för publ'!$R$2:$R$417,0),2),"")</f>
        <v/>
      </c>
      <c r="D497" t="str">
        <f>IFERROR(VLOOKUP($C497,'Miljövärden urval för publ'!$B$2:$H$417,MATCH('Miljövärden för publ företag'!D$4,'Miljövärden urval för publ'!$B$2:$H$2,0),FALSE),"")</f>
        <v/>
      </c>
      <c r="E497" t="str">
        <f>IFERROR(VLOOKUP($C497,'Miljövärden urval för publ'!$B$2:$H$417,MATCH('Miljövärden för publ företag'!E$4,'Miljövärden urval för publ'!$B$2:$H$2,0),FALSE),"")</f>
        <v/>
      </c>
      <c r="F497" t="str">
        <f>IFERROR(VLOOKUP($C497,'Miljövärden urval för publ'!$B$2:$H$417,MATCH('Miljövärden för publ företag'!F$4,'Miljövärden urval för publ'!$B$2:$H$2,0),FALSE),"")</f>
        <v/>
      </c>
      <c r="G497" t="str">
        <f>IFERROR(VLOOKUP($C497,'Miljövärden urval för publ'!$B$2:$H$417,MATCH('Miljövärden för publ företag'!G$4,'Miljövärden urval för publ'!$B$2:$H$2,0),FALSE),"")</f>
        <v/>
      </c>
    </row>
    <row r="498" spans="2:7" x14ac:dyDescent="0.45">
      <c r="B498" s="2" t="str">
        <f>IFERROR(INDEX('Miljövärden urval för publ'!$A$2:$AA$420,MATCH('Miljövärden för publ företag'!$A498,'Miljövärden urval för publ'!$R$2:$R$417,0),1),"")</f>
        <v/>
      </c>
      <c r="C498" s="2" t="str">
        <f>IFERROR(INDEX('Miljövärden urval för publ'!$A$2:$AA$420,MATCH('Miljövärden för publ företag'!$A498,'Miljövärden urval för publ'!$R$2:$R$417,0),2),"")</f>
        <v/>
      </c>
      <c r="D498" t="str">
        <f>IFERROR(VLOOKUP($C498,'Miljövärden urval för publ'!$B$2:$H$417,MATCH('Miljövärden för publ företag'!D$4,'Miljövärden urval för publ'!$B$2:$H$2,0),FALSE),"")</f>
        <v/>
      </c>
      <c r="E498" t="str">
        <f>IFERROR(VLOOKUP($C498,'Miljövärden urval för publ'!$B$2:$H$417,MATCH('Miljövärden för publ företag'!E$4,'Miljövärden urval för publ'!$B$2:$H$2,0),FALSE),"")</f>
        <v/>
      </c>
      <c r="F498" t="str">
        <f>IFERROR(VLOOKUP($C498,'Miljövärden urval för publ'!$B$2:$H$417,MATCH('Miljövärden för publ företag'!F$4,'Miljövärden urval för publ'!$B$2:$H$2,0),FALSE),"")</f>
        <v/>
      </c>
      <c r="G498" t="str">
        <f>IFERROR(VLOOKUP($C498,'Miljövärden urval för publ'!$B$2:$H$417,MATCH('Miljövärden för publ företag'!G$4,'Miljövärden urval för publ'!$B$2:$H$2,0),FALSE),"")</f>
        <v/>
      </c>
    </row>
    <row r="499" spans="2:7" x14ac:dyDescent="0.45">
      <c r="B499" s="2" t="str">
        <f>IFERROR(INDEX('Miljövärden urval för publ'!$A$2:$AA$420,MATCH('Miljövärden för publ företag'!$A499,'Miljövärden urval för publ'!$R$2:$R$417,0),1),"")</f>
        <v/>
      </c>
      <c r="C499" s="2" t="str">
        <f>IFERROR(INDEX('Miljövärden urval för publ'!$A$2:$AA$420,MATCH('Miljövärden för publ företag'!$A499,'Miljövärden urval för publ'!$R$2:$R$417,0),2),"")</f>
        <v/>
      </c>
      <c r="D499" t="str">
        <f>IFERROR(VLOOKUP($C499,'Miljövärden urval för publ'!$B$2:$H$417,MATCH('Miljövärden för publ företag'!D$4,'Miljövärden urval för publ'!$B$2:$H$2,0),FALSE),"")</f>
        <v/>
      </c>
      <c r="E499" t="str">
        <f>IFERROR(VLOOKUP($C499,'Miljövärden urval för publ'!$B$2:$H$417,MATCH('Miljövärden för publ företag'!E$4,'Miljövärden urval för publ'!$B$2:$H$2,0),FALSE),"")</f>
        <v/>
      </c>
      <c r="F499" t="str">
        <f>IFERROR(VLOOKUP($C499,'Miljövärden urval för publ'!$B$2:$H$417,MATCH('Miljövärden för publ företag'!F$4,'Miljövärden urval för publ'!$B$2:$H$2,0),FALSE),"")</f>
        <v/>
      </c>
      <c r="G499" t="str">
        <f>IFERROR(VLOOKUP($C499,'Miljövärden urval för publ'!$B$2:$H$417,MATCH('Miljövärden för publ företag'!G$4,'Miljövärden urval för publ'!$B$2:$H$2,0),FALSE),"")</f>
        <v/>
      </c>
    </row>
    <row r="500" spans="2:7" x14ac:dyDescent="0.45">
      <c r="B500" s="2" t="str">
        <f>IFERROR(INDEX('Miljövärden urval för publ'!$A$2:$AA$420,MATCH('Miljövärden för publ företag'!$A500,'Miljövärden urval för publ'!$R$2:$R$417,0),1),"")</f>
        <v/>
      </c>
      <c r="C500" s="2" t="str">
        <f>IFERROR(INDEX('Miljövärden urval för publ'!$A$2:$AA$420,MATCH('Miljövärden för publ företag'!$A500,'Miljövärden urval för publ'!$R$2:$R$417,0),2),"")</f>
        <v/>
      </c>
      <c r="D500" t="str">
        <f>IFERROR(VLOOKUP($C500,'Miljövärden urval för publ'!$B$2:$H$417,MATCH('Miljövärden för publ företag'!D$4,'Miljövärden urval för publ'!$B$2:$H$2,0),FALSE),"")</f>
        <v/>
      </c>
      <c r="E500" t="str">
        <f>IFERROR(VLOOKUP($C500,'Miljövärden urval för publ'!$B$2:$H$417,MATCH('Miljövärden för publ företag'!E$4,'Miljövärden urval för publ'!$B$2:$H$2,0),FALSE),"")</f>
        <v/>
      </c>
      <c r="F500" t="str">
        <f>IFERROR(VLOOKUP($C500,'Miljövärden urval för publ'!$B$2:$H$417,MATCH('Miljövärden för publ företag'!F$4,'Miljövärden urval för publ'!$B$2:$H$2,0),FALSE),"")</f>
        <v/>
      </c>
      <c r="G500" t="str">
        <f>IFERROR(VLOOKUP($C500,'Miljövärden urval för publ'!$B$2:$H$417,MATCH('Miljövärden för publ företag'!G$4,'Miljövärden urval för publ'!$B$2:$H$2,0),FALSE),"")</f>
        <v/>
      </c>
    </row>
    <row r="501" spans="2:7" x14ac:dyDescent="0.45">
      <c r="B501" s="2" t="str">
        <f>IFERROR(INDEX('Miljövärden urval för publ'!$A$2:$AA$420,MATCH('Miljövärden för publ företag'!$A501,'Miljövärden urval för publ'!$R$2:$R$417,0),1),"")</f>
        <v/>
      </c>
      <c r="C501" s="2" t="str">
        <f>IFERROR(INDEX('Miljövärden urval för publ'!$A$2:$AA$420,MATCH('Miljövärden för publ företag'!$A501,'Miljövärden urval för publ'!$R$2:$R$417,0),2),"")</f>
        <v/>
      </c>
      <c r="D501" t="str">
        <f>IFERROR(VLOOKUP($C501,'Miljövärden urval för publ'!$B$2:$H$417,MATCH('Miljövärden för publ företag'!D$4,'Miljövärden urval för publ'!$B$2:$H$2,0),FALSE),"")</f>
        <v/>
      </c>
      <c r="E501" t="str">
        <f>IFERROR(VLOOKUP($C501,'Miljövärden urval för publ'!$B$2:$H$417,MATCH('Miljövärden för publ företag'!E$4,'Miljövärden urval för publ'!$B$2:$H$2,0),FALSE),"")</f>
        <v/>
      </c>
      <c r="F501" t="str">
        <f>IFERROR(VLOOKUP($C501,'Miljövärden urval för publ'!$B$2:$H$417,MATCH('Miljövärden för publ företag'!F$4,'Miljövärden urval för publ'!$B$2:$H$2,0),FALSE),"")</f>
        <v/>
      </c>
      <c r="G501" t="str">
        <f>IFERROR(VLOOKUP($C501,'Miljövärden urval för publ'!$B$2:$H$417,MATCH('Miljövärden för publ företag'!G$4,'Miljövärden urval för publ'!$B$2:$H$2,0),FALSE),"")</f>
        <v/>
      </c>
    </row>
    <row r="502" spans="2:7" x14ac:dyDescent="0.45">
      <c r="B502" s="2" t="str">
        <f>IFERROR(INDEX('Miljövärden urval för publ'!$A$2:$AA$420,MATCH('Miljövärden för publ företag'!$A502,'Miljövärden urval för publ'!$R$2:$R$417,0),1),"")</f>
        <v/>
      </c>
      <c r="C502" s="2" t="str">
        <f>IFERROR(INDEX('Miljövärden urval för publ'!$A$2:$AA$420,MATCH('Miljövärden för publ företag'!$A502,'Miljövärden urval för publ'!$R$2:$R$417,0),2),"")</f>
        <v/>
      </c>
      <c r="D502" t="str">
        <f>IFERROR(VLOOKUP($C502,'Miljövärden urval för publ'!$B$2:$H$417,MATCH('Miljövärden för publ företag'!D$4,'Miljövärden urval för publ'!$B$2:$H$2,0),FALSE),"")</f>
        <v/>
      </c>
      <c r="E502" t="str">
        <f>IFERROR(VLOOKUP($C502,'Miljövärden urval för publ'!$B$2:$H$417,MATCH('Miljövärden för publ företag'!E$4,'Miljövärden urval för publ'!$B$2:$H$2,0),FALSE),"")</f>
        <v/>
      </c>
      <c r="F502" t="str">
        <f>IFERROR(VLOOKUP($C502,'Miljövärden urval för publ'!$B$2:$H$417,MATCH('Miljövärden för publ företag'!F$4,'Miljövärden urval för publ'!$B$2:$H$2,0),FALSE),"")</f>
        <v/>
      </c>
      <c r="G502" t="str">
        <f>IFERROR(VLOOKUP($C502,'Miljövärden urval för publ'!$B$2:$H$417,MATCH('Miljövärden för publ företag'!G$4,'Miljövärden urval för publ'!$B$2:$H$2,0),FALSE),"")</f>
        <v/>
      </c>
    </row>
    <row r="503" spans="2:7" x14ac:dyDescent="0.45">
      <c r="B503" s="2" t="str">
        <f>IFERROR(INDEX('Miljövärden urval för publ'!$A$2:$AA$420,MATCH('Miljövärden för publ företag'!$A503,'Miljövärden urval för publ'!$R$2:$R$417,0),1),"")</f>
        <v/>
      </c>
      <c r="C503" s="2" t="str">
        <f>IFERROR(INDEX('Miljövärden urval för publ'!$A$2:$AA$420,MATCH('Miljövärden för publ företag'!$A503,'Miljövärden urval för publ'!$R$2:$R$417,0),2),"")</f>
        <v/>
      </c>
      <c r="D503" t="str">
        <f>IFERROR(VLOOKUP($C503,'Miljövärden urval för publ'!$B$2:$H$417,MATCH('Miljövärden för publ företag'!D$4,'Miljövärden urval för publ'!$B$2:$H$2,0),FALSE),"")</f>
        <v/>
      </c>
      <c r="E503" t="str">
        <f>IFERROR(VLOOKUP($C503,'Miljövärden urval för publ'!$B$2:$H$417,MATCH('Miljövärden för publ företag'!E$4,'Miljövärden urval för publ'!$B$2:$H$2,0),FALSE),"")</f>
        <v/>
      </c>
      <c r="F503" t="str">
        <f>IFERROR(VLOOKUP($C503,'Miljövärden urval för publ'!$B$2:$H$417,MATCH('Miljövärden för publ företag'!F$4,'Miljövärden urval för publ'!$B$2:$H$2,0),FALSE),"")</f>
        <v/>
      </c>
      <c r="G503" t="str">
        <f>IFERROR(VLOOKUP($C503,'Miljövärden urval för publ'!$B$2:$H$417,MATCH('Miljövärden för publ företag'!G$4,'Miljövärden urval för publ'!$B$2:$H$2,0),FALSE),"")</f>
        <v/>
      </c>
    </row>
    <row r="504" spans="2:7" x14ac:dyDescent="0.45">
      <c r="B504" s="2" t="str">
        <f>IFERROR(INDEX('Miljövärden urval för publ'!$A$2:$AA$420,MATCH('Miljövärden för publ företag'!$A504,'Miljövärden urval för publ'!$R$2:$R$417,0),1),"")</f>
        <v/>
      </c>
      <c r="C504" s="2" t="str">
        <f>IFERROR(INDEX('Miljövärden urval för publ'!$A$2:$AA$420,MATCH('Miljövärden för publ företag'!$A504,'Miljövärden urval för publ'!$R$2:$R$417,0),2),"")</f>
        <v/>
      </c>
      <c r="D504" t="str">
        <f>IFERROR(VLOOKUP($C504,'Miljövärden urval för publ'!$B$2:$H$417,MATCH('Miljövärden för publ företag'!D$4,'Miljövärden urval för publ'!$B$2:$H$2,0),FALSE),"")</f>
        <v/>
      </c>
      <c r="E504" t="str">
        <f>IFERROR(VLOOKUP($C504,'Miljövärden urval för publ'!$B$2:$H$417,MATCH('Miljövärden för publ företag'!E$4,'Miljövärden urval för publ'!$B$2:$H$2,0),FALSE),"")</f>
        <v/>
      </c>
      <c r="F504" t="str">
        <f>IFERROR(VLOOKUP($C504,'Miljövärden urval för publ'!$B$2:$H$417,MATCH('Miljövärden för publ företag'!F$4,'Miljövärden urval för publ'!$B$2:$H$2,0),FALSE),"")</f>
        <v/>
      </c>
      <c r="G504" t="str">
        <f>IFERROR(VLOOKUP($C504,'Miljövärden urval för publ'!$B$2:$H$417,MATCH('Miljövärden för publ företag'!G$4,'Miljövärden urval för publ'!$B$2:$H$2,0),FALSE),"")</f>
        <v/>
      </c>
    </row>
    <row r="505" spans="2:7" x14ac:dyDescent="0.45">
      <c r="B505" s="2" t="str">
        <f>IFERROR(INDEX('Miljövärden urval för publ'!$A$2:$AA$420,MATCH('Miljövärden för publ företag'!$A505,'Miljövärden urval för publ'!$R$2:$R$417,0),1),"")</f>
        <v/>
      </c>
      <c r="C505" s="2" t="str">
        <f>IFERROR(INDEX('Miljövärden urval för publ'!$A$2:$AA$420,MATCH('Miljövärden för publ företag'!$A505,'Miljövärden urval för publ'!$R$2:$R$417,0),2),"")</f>
        <v/>
      </c>
      <c r="D505" t="str">
        <f>IFERROR(VLOOKUP($C505,'Miljövärden urval för publ'!$B$2:$H$417,MATCH('Miljövärden för publ företag'!D$4,'Miljövärden urval för publ'!$B$2:$H$2,0),FALSE),"")</f>
        <v/>
      </c>
      <c r="E505" t="str">
        <f>IFERROR(VLOOKUP($C505,'Miljövärden urval för publ'!$B$2:$H$417,MATCH('Miljövärden för publ företag'!E$4,'Miljövärden urval för publ'!$B$2:$H$2,0),FALSE),"")</f>
        <v/>
      </c>
      <c r="F505" t="str">
        <f>IFERROR(VLOOKUP($C505,'Miljövärden urval för publ'!$B$2:$H$417,MATCH('Miljövärden för publ företag'!F$4,'Miljövärden urval för publ'!$B$2:$H$2,0),FALSE),"")</f>
        <v/>
      </c>
      <c r="G505" t="str">
        <f>IFERROR(VLOOKUP($C505,'Miljövärden urval för publ'!$B$2:$H$417,MATCH('Miljövärden för publ företag'!G$4,'Miljövärden urval för publ'!$B$2:$H$2,0),FALSE),"")</f>
        <v/>
      </c>
    </row>
    <row r="506" spans="2:7" x14ac:dyDescent="0.45">
      <c r="B506" s="2" t="str">
        <f>IFERROR(INDEX('Miljövärden urval för publ'!$A$2:$AA$420,MATCH('Miljövärden för publ företag'!$A506,'Miljövärden urval för publ'!$R$2:$R$417,0),1),"")</f>
        <v/>
      </c>
      <c r="C506" s="2" t="str">
        <f>IFERROR(INDEX('Miljövärden urval för publ'!$A$2:$AA$420,MATCH('Miljövärden för publ företag'!$A506,'Miljövärden urval för publ'!$R$2:$R$417,0),2),"")</f>
        <v/>
      </c>
      <c r="D506" t="str">
        <f>IFERROR(VLOOKUP($C506,'Miljövärden urval för publ'!$B$2:$H$417,MATCH('Miljövärden för publ företag'!D$4,'Miljövärden urval för publ'!$B$2:$H$2,0),FALSE),"")</f>
        <v/>
      </c>
      <c r="E506" t="str">
        <f>IFERROR(VLOOKUP($C506,'Miljövärden urval för publ'!$B$2:$H$417,MATCH('Miljövärden för publ företag'!E$4,'Miljövärden urval för publ'!$B$2:$H$2,0),FALSE),"")</f>
        <v/>
      </c>
      <c r="F506" t="str">
        <f>IFERROR(VLOOKUP($C506,'Miljövärden urval för publ'!$B$2:$H$417,MATCH('Miljövärden för publ företag'!F$4,'Miljövärden urval för publ'!$B$2:$H$2,0),FALSE),"")</f>
        <v/>
      </c>
      <c r="G506" t="str">
        <f>IFERROR(VLOOKUP($C506,'Miljövärden urval för publ'!$B$2:$H$417,MATCH('Miljövärden för publ företag'!G$4,'Miljövärden urval för publ'!$B$2:$H$2,0),FALSE),"")</f>
        <v/>
      </c>
    </row>
    <row r="507" spans="2:7" x14ac:dyDescent="0.45">
      <c r="B507" s="2" t="str">
        <f>IFERROR(INDEX('Miljövärden urval för publ'!$A$2:$AA$420,MATCH('Miljövärden för publ företag'!$A507,'Miljövärden urval för publ'!$R$2:$R$417,0),1),"")</f>
        <v/>
      </c>
      <c r="C507" s="2" t="str">
        <f>IFERROR(INDEX('Miljövärden urval för publ'!$A$2:$AA$420,MATCH('Miljövärden för publ företag'!$A507,'Miljövärden urval för publ'!$R$2:$R$417,0),2),"")</f>
        <v/>
      </c>
      <c r="D507" t="str">
        <f>IFERROR(VLOOKUP($C507,'Miljövärden urval för publ'!$B$2:$H$417,MATCH('Miljövärden för publ företag'!D$4,'Miljövärden urval för publ'!$B$2:$H$2,0),FALSE),"")</f>
        <v/>
      </c>
      <c r="E507" t="str">
        <f>IFERROR(VLOOKUP($C507,'Miljövärden urval för publ'!$B$2:$H$417,MATCH('Miljövärden för publ företag'!E$4,'Miljövärden urval för publ'!$B$2:$H$2,0),FALSE),"")</f>
        <v/>
      </c>
      <c r="F507" t="str">
        <f>IFERROR(VLOOKUP($C507,'Miljövärden urval för publ'!$B$2:$H$417,MATCH('Miljövärden för publ företag'!F$4,'Miljövärden urval för publ'!$B$2:$H$2,0),FALSE),"")</f>
        <v/>
      </c>
      <c r="G507" t="str">
        <f>IFERROR(VLOOKUP($C507,'Miljövärden urval för publ'!$B$2:$H$417,MATCH('Miljövärden för publ företag'!G$4,'Miljövärden urval för publ'!$B$2:$H$2,0),FALSE),"")</f>
        <v/>
      </c>
    </row>
    <row r="508" spans="2:7" x14ac:dyDescent="0.45">
      <c r="B508" s="2" t="str">
        <f>IFERROR(INDEX('Miljövärden urval för publ'!$A$2:$AA$420,MATCH('Miljövärden för publ företag'!$A508,'Miljövärden urval för publ'!$R$2:$R$417,0),1),"")</f>
        <v/>
      </c>
      <c r="C508" s="2" t="str">
        <f>IFERROR(INDEX('Miljövärden urval för publ'!$A$2:$AA$420,MATCH('Miljövärden för publ företag'!$A508,'Miljövärden urval för publ'!$R$2:$R$417,0),2),"")</f>
        <v/>
      </c>
      <c r="D508" t="str">
        <f>IFERROR(VLOOKUP($C508,'Miljövärden urval för publ'!$B$2:$H$417,MATCH('Miljövärden för publ företag'!D$4,'Miljövärden urval för publ'!$B$2:$H$2,0),FALSE),"")</f>
        <v/>
      </c>
      <c r="E508" t="str">
        <f>IFERROR(VLOOKUP($C508,'Miljövärden urval för publ'!$B$2:$H$417,MATCH('Miljövärden för publ företag'!E$4,'Miljövärden urval för publ'!$B$2:$H$2,0),FALSE),"")</f>
        <v/>
      </c>
      <c r="F508" t="str">
        <f>IFERROR(VLOOKUP($C508,'Miljövärden urval för publ'!$B$2:$H$417,MATCH('Miljövärden för publ företag'!F$4,'Miljövärden urval för publ'!$B$2:$H$2,0),FALSE),"")</f>
        <v/>
      </c>
      <c r="G508" t="str">
        <f>IFERROR(VLOOKUP($C508,'Miljövärden urval för publ'!$B$2:$H$417,MATCH('Miljövärden för publ företag'!G$4,'Miljövärden urval för publ'!$B$2:$H$2,0),FALSE),"")</f>
        <v/>
      </c>
    </row>
    <row r="509" spans="2:7" x14ac:dyDescent="0.45">
      <c r="B509" s="2" t="str">
        <f>IFERROR(INDEX('Miljövärden urval för publ'!$A$2:$AA$420,MATCH('Miljövärden för publ företag'!$A509,'Miljövärden urval för publ'!$R$2:$R$417,0),1),"")</f>
        <v/>
      </c>
      <c r="C509" s="2" t="str">
        <f>IFERROR(INDEX('Miljövärden urval för publ'!$A$2:$AA$420,MATCH('Miljövärden för publ företag'!$A509,'Miljövärden urval för publ'!$R$2:$R$417,0),2),"")</f>
        <v/>
      </c>
      <c r="D509" t="str">
        <f>IFERROR(VLOOKUP($C509,'Miljövärden urval för publ'!$B$2:$H$417,MATCH('Miljövärden för publ företag'!D$4,'Miljövärden urval för publ'!$B$2:$H$2,0),FALSE),"")</f>
        <v/>
      </c>
      <c r="E509" t="str">
        <f>IFERROR(VLOOKUP($C509,'Miljövärden urval för publ'!$B$2:$H$417,MATCH('Miljövärden för publ företag'!E$4,'Miljövärden urval för publ'!$B$2:$H$2,0),FALSE),"")</f>
        <v/>
      </c>
      <c r="F509" t="str">
        <f>IFERROR(VLOOKUP($C509,'Miljövärden urval för publ'!$B$2:$H$417,MATCH('Miljövärden för publ företag'!F$4,'Miljövärden urval för publ'!$B$2:$H$2,0),FALSE),"")</f>
        <v/>
      </c>
      <c r="G509" t="str">
        <f>IFERROR(VLOOKUP($C509,'Miljövärden urval för publ'!$B$2:$H$417,MATCH('Miljövärden för publ företag'!G$4,'Miljövärden urval för publ'!$B$2:$H$2,0),FALSE),"")</f>
        <v/>
      </c>
    </row>
    <row r="510" spans="2:7" x14ac:dyDescent="0.45">
      <c r="B510" s="2" t="str">
        <f>IFERROR(INDEX('Miljövärden urval för publ'!$A$2:$AA$420,MATCH('Miljövärden för publ företag'!$A510,'Miljövärden urval för publ'!$R$2:$R$417,0),1),"")</f>
        <v/>
      </c>
      <c r="C510" s="2" t="str">
        <f>IFERROR(INDEX('Miljövärden urval för publ'!$A$2:$AA$420,MATCH('Miljövärden för publ företag'!$A510,'Miljövärden urval för publ'!$R$2:$R$417,0),2),"")</f>
        <v/>
      </c>
      <c r="D510" t="str">
        <f>IFERROR(VLOOKUP($C510,'Miljövärden urval för publ'!$B$2:$H$417,MATCH('Miljövärden för publ företag'!D$4,'Miljövärden urval för publ'!$B$2:$H$2,0),FALSE),"")</f>
        <v/>
      </c>
      <c r="E510" t="str">
        <f>IFERROR(VLOOKUP($C510,'Miljövärden urval för publ'!$B$2:$H$417,MATCH('Miljövärden för publ företag'!E$4,'Miljövärden urval för publ'!$B$2:$H$2,0),FALSE),"")</f>
        <v/>
      </c>
      <c r="F510" t="str">
        <f>IFERROR(VLOOKUP($C510,'Miljövärden urval för publ'!$B$2:$H$417,MATCH('Miljövärden för publ företag'!F$4,'Miljövärden urval för publ'!$B$2:$H$2,0),FALSE),"")</f>
        <v/>
      </c>
      <c r="G510" t="str">
        <f>IFERROR(VLOOKUP($C510,'Miljövärden urval för publ'!$B$2:$H$417,MATCH('Miljövärden för publ företag'!G$4,'Miljövärden urval för publ'!$B$2:$H$2,0),FALSE),"")</f>
        <v/>
      </c>
    </row>
    <row r="511" spans="2:7" x14ac:dyDescent="0.45">
      <c r="B511" s="2" t="str">
        <f>IFERROR(INDEX('Miljövärden urval för publ'!$A$2:$AA$420,MATCH('Miljövärden för publ företag'!$A511,'Miljövärden urval för publ'!$R$2:$R$417,0),1),"")</f>
        <v/>
      </c>
      <c r="C511" s="2" t="str">
        <f>IFERROR(INDEX('Miljövärden urval för publ'!$A$2:$AA$420,MATCH('Miljövärden för publ företag'!$A511,'Miljövärden urval för publ'!$R$2:$R$417,0),2),"")</f>
        <v/>
      </c>
      <c r="D511" t="str">
        <f>IFERROR(VLOOKUP($C511,'Miljövärden urval för publ'!$B$2:$H$417,MATCH('Miljövärden för publ företag'!D$4,'Miljövärden urval för publ'!$B$2:$H$2,0),FALSE),"")</f>
        <v/>
      </c>
      <c r="E511" t="str">
        <f>IFERROR(VLOOKUP($C511,'Miljövärden urval för publ'!$B$2:$H$417,MATCH('Miljövärden för publ företag'!E$4,'Miljövärden urval för publ'!$B$2:$H$2,0),FALSE),"")</f>
        <v/>
      </c>
      <c r="F511" t="str">
        <f>IFERROR(VLOOKUP($C511,'Miljövärden urval för publ'!$B$2:$H$417,MATCH('Miljövärden för publ företag'!F$4,'Miljövärden urval för publ'!$B$2:$H$2,0),FALSE),"")</f>
        <v/>
      </c>
      <c r="G511" t="str">
        <f>IFERROR(VLOOKUP($C511,'Miljövärden urval för publ'!$B$2:$H$417,MATCH('Miljövärden för publ företag'!G$4,'Miljövärden urval för publ'!$B$2:$H$2,0),FALSE),"")</f>
        <v/>
      </c>
    </row>
    <row r="512" spans="2:7" x14ac:dyDescent="0.45">
      <c r="B512" s="2" t="str">
        <f>IFERROR(INDEX('Miljövärden urval för publ'!$A$2:$AA$420,MATCH('Miljövärden för publ företag'!$A512,'Miljövärden urval för publ'!$R$2:$R$417,0),1),"")</f>
        <v/>
      </c>
      <c r="C512" s="2" t="str">
        <f>IFERROR(INDEX('Miljövärden urval för publ'!$A$2:$AA$420,MATCH('Miljövärden för publ företag'!$A512,'Miljövärden urval för publ'!$R$2:$R$417,0),2),"")</f>
        <v/>
      </c>
      <c r="D512" t="str">
        <f>IFERROR(VLOOKUP($C512,'Miljövärden urval för publ'!$B$2:$H$417,MATCH('Miljövärden för publ företag'!D$4,'Miljövärden urval för publ'!$B$2:$H$2,0),FALSE),"")</f>
        <v/>
      </c>
      <c r="E512" t="str">
        <f>IFERROR(VLOOKUP($C512,'Miljövärden urval för publ'!$B$2:$H$417,MATCH('Miljövärden för publ företag'!E$4,'Miljövärden urval för publ'!$B$2:$H$2,0),FALSE),"")</f>
        <v/>
      </c>
      <c r="F512" t="str">
        <f>IFERROR(VLOOKUP($C512,'Miljövärden urval för publ'!$B$2:$H$417,MATCH('Miljövärden för publ företag'!F$4,'Miljövärden urval för publ'!$B$2:$H$2,0),FALSE),"")</f>
        <v/>
      </c>
      <c r="G512" t="str">
        <f>IFERROR(VLOOKUP($C512,'Miljövärden urval för publ'!$B$2:$H$417,MATCH('Miljövärden för publ företag'!G$4,'Miljövärden urval för publ'!$B$2:$H$2,0),FALSE),"")</f>
        <v/>
      </c>
    </row>
    <row r="513" spans="2:7" x14ac:dyDescent="0.45">
      <c r="B513" s="2" t="str">
        <f>IFERROR(INDEX('Miljövärden urval för publ'!$A$2:$AA$420,MATCH('Miljövärden för publ företag'!$A513,'Miljövärden urval för publ'!$R$2:$R$417,0),1),"")</f>
        <v/>
      </c>
      <c r="C513" s="2" t="str">
        <f>IFERROR(INDEX('Miljövärden urval för publ'!$A$2:$AA$420,MATCH('Miljövärden för publ företag'!$A513,'Miljövärden urval för publ'!$R$2:$R$417,0),2),"")</f>
        <v/>
      </c>
      <c r="D513" t="str">
        <f>IFERROR(VLOOKUP($C513,'Miljövärden urval för publ'!$B$2:$H$417,MATCH('Miljövärden för publ företag'!D$4,'Miljövärden urval för publ'!$B$2:$H$2,0),FALSE),"")</f>
        <v/>
      </c>
      <c r="E513" t="str">
        <f>IFERROR(VLOOKUP($C513,'Miljövärden urval för publ'!$B$2:$H$417,MATCH('Miljövärden för publ företag'!E$4,'Miljövärden urval för publ'!$B$2:$H$2,0),FALSE),"")</f>
        <v/>
      </c>
      <c r="F513" t="str">
        <f>IFERROR(VLOOKUP($C513,'Miljövärden urval för publ'!$B$2:$H$417,MATCH('Miljövärden för publ företag'!F$4,'Miljövärden urval för publ'!$B$2:$H$2,0),FALSE),"")</f>
        <v/>
      </c>
      <c r="G513" t="str">
        <f>IFERROR(VLOOKUP($C513,'Miljövärden urval för publ'!$B$2:$H$417,MATCH('Miljövärden för publ företag'!G$4,'Miljövärden urval för publ'!$B$2:$H$2,0),FALSE),"")</f>
        <v/>
      </c>
    </row>
    <row r="514" spans="2:7" x14ac:dyDescent="0.45">
      <c r="B514" s="2" t="str">
        <f>IFERROR(INDEX('Miljövärden urval för publ'!$A$2:$AA$420,MATCH('Miljövärden för publ företag'!$A514,'Miljövärden urval för publ'!$R$2:$R$417,0),1),"")</f>
        <v/>
      </c>
      <c r="C514" s="2" t="str">
        <f>IFERROR(INDEX('Miljövärden urval för publ'!$A$2:$AA$420,MATCH('Miljövärden för publ företag'!$A514,'Miljövärden urval för publ'!$R$2:$R$417,0),2),"")</f>
        <v/>
      </c>
      <c r="D514" t="str">
        <f>IFERROR(VLOOKUP($C514,'Miljövärden urval för publ'!$B$2:$H$417,MATCH('Miljövärden för publ företag'!D$4,'Miljövärden urval för publ'!$B$2:$H$2,0),FALSE),"")</f>
        <v/>
      </c>
      <c r="E514" t="str">
        <f>IFERROR(VLOOKUP($C514,'Miljövärden urval för publ'!$B$2:$H$417,MATCH('Miljövärden för publ företag'!E$4,'Miljövärden urval för publ'!$B$2:$H$2,0),FALSE),"")</f>
        <v/>
      </c>
      <c r="F514" t="str">
        <f>IFERROR(VLOOKUP($C514,'Miljövärden urval för publ'!$B$2:$H$417,MATCH('Miljövärden för publ företag'!F$4,'Miljövärden urval för publ'!$B$2:$H$2,0),FALSE),"")</f>
        <v/>
      </c>
      <c r="G514" t="str">
        <f>IFERROR(VLOOKUP($C514,'Miljövärden urval för publ'!$B$2:$H$417,MATCH('Miljövärden för publ företag'!G$4,'Miljövärden urval för publ'!$B$2:$H$2,0),FALSE),"")</f>
        <v/>
      </c>
    </row>
    <row r="515" spans="2:7" x14ac:dyDescent="0.45">
      <c r="B515" s="2" t="str">
        <f>IFERROR(INDEX('Miljövärden urval för publ'!$A$2:$AA$420,MATCH('Miljövärden för publ företag'!$A515,'Miljövärden urval för publ'!$R$2:$R$417,0),1),"")</f>
        <v/>
      </c>
      <c r="C515" s="2" t="str">
        <f>IFERROR(INDEX('Miljövärden urval för publ'!$A$2:$AA$420,MATCH('Miljövärden för publ företag'!$A515,'Miljövärden urval för publ'!$R$2:$R$417,0),2),"")</f>
        <v/>
      </c>
      <c r="D515" t="str">
        <f>IFERROR(VLOOKUP($C515,'Miljövärden urval för publ'!$B$2:$H$417,MATCH('Miljövärden för publ företag'!D$4,'Miljövärden urval för publ'!$B$2:$H$2,0),FALSE),"")</f>
        <v/>
      </c>
      <c r="E515" t="str">
        <f>IFERROR(VLOOKUP($C515,'Miljövärden urval för publ'!$B$2:$H$417,MATCH('Miljövärden för publ företag'!E$4,'Miljövärden urval för publ'!$B$2:$H$2,0),FALSE),"")</f>
        <v/>
      </c>
      <c r="F515" t="str">
        <f>IFERROR(VLOOKUP($C515,'Miljövärden urval för publ'!$B$2:$H$417,MATCH('Miljövärden för publ företag'!F$4,'Miljövärden urval för publ'!$B$2:$H$2,0),FALSE),"")</f>
        <v/>
      </c>
      <c r="G515" t="str">
        <f>IFERROR(VLOOKUP($C515,'Miljövärden urval för publ'!$B$2:$H$417,MATCH('Miljövärden för publ företag'!G$4,'Miljövärden urval för publ'!$B$2:$H$2,0),FALSE),"")</f>
        <v/>
      </c>
    </row>
    <row r="516" spans="2:7" x14ac:dyDescent="0.45">
      <c r="B516" s="2" t="str">
        <f>IFERROR(INDEX('Miljövärden urval för publ'!$A$2:$AA$420,MATCH('Miljövärden för publ företag'!$A516,'Miljövärden urval för publ'!$R$2:$R$417,0),1),"")</f>
        <v/>
      </c>
      <c r="C516" s="2" t="str">
        <f>IFERROR(INDEX('Miljövärden urval för publ'!$A$2:$AA$420,MATCH('Miljövärden för publ företag'!$A516,'Miljövärden urval för publ'!$R$2:$R$417,0),2),"")</f>
        <v/>
      </c>
      <c r="D516" t="str">
        <f>IFERROR(VLOOKUP($C516,'Miljövärden urval för publ'!$B$2:$H$417,MATCH('Miljövärden för publ företag'!D$4,'Miljövärden urval för publ'!$B$2:$H$2,0),FALSE),"")</f>
        <v/>
      </c>
      <c r="E516" t="str">
        <f>IFERROR(VLOOKUP($C516,'Miljövärden urval för publ'!$B$2:$H$417,MATCH('Miljövärden för publ företag'!E$4,'Miljövärden urval för publ'!$B$2:$H$2,0),FALSE),"")</f>
        <v/>
      </c>
      <c r="F516" t="str">
        <f>IFERROR(VLOOKUP($C516,'Miljövärden urval för publ'!$B$2:$H$417,MATCH('Miljövärden för publ företag'!F$4,'Miljövärden urval för publ'!$B$2:$H$2,0),FALSE),"")</f>
        <v/>
      </c>
      <c r="G516" t="str">
        <f>IFERROR(VLOOKUP($C516,'Miljövärden urval för publ'!$B$2:$H$417,MATCH('Miljövärden för publ företag'!G$4,'Miljövärden urval för publ'!$B$2:$H$2,0),FALSE),"")</f>
        <v/>
      </c>
    </row>
    <row r="517" spans="2:7" x14ac:dyDescent="0.45">
      <c r="B517" s="2" t="str">
        <f>IFERROR(INDEX('Miljövärden urval för publ'!$A$2:$AA$420,MATCH('Miljövärden för publ företag'!$A517,'Miljövärden urval för publ'!$R$2:$R$417,0),1),"")</f>
        <v/>
      </c>
      <c r="C517" s="2" t="str">
        <f>IFERROR(INDEX('Miljövärden urval för publ'!$A$2:$AA$420,MATCH('Miljövärden för publ företag'!$A517,'Miljövärden urval för publ'!$R$2:$R$417,0),2),"")</f>
        <v/>
      </c>
      <c r="D517" t="str">
        <f>IFERROR(VLOOKUP($C517,'Miljövärden urval för publ'!$B$2:$H$417,MATCH('Miljövärden för publ företag'!D$4,'Miljövärden urval för publ'!$B$2:$H$2,0),FALSE),"")</f>
        <v/>
      </c>
      <c r="E517" t="str">
        <f>IFERROR(VLOOKUP($C517,'Miljövärden urval för publ'!$B$2:$H$417,MATCH('Miljövärden för publ företag'!E$4,'Miljövärden urval för publ'!$B$2:$H$2,0),FALSE),"")</f>
        <v/>
      </c>
      <c r="F517" t="str">
        <f>IFERROR(VLOOKUP($C517,'Miljövärden urval för publ'!$B$2:$H$417,MATCH('Miljövärden för publ företag'!F$4,'Miljövärden urval för publ'!$B$2:$H$2,0),FALSE),"")</f>
        <v/>
      </c>
      <c r="G517" t="str">
        <f>IFERROR(VLOOKUP($C517,'Miljövärden urval för publ'!$B$2:$H$417,MATCH('Miljövärden för publ företag'!G$4,'Miljövärden urval för publ'!$B$2:$H$2,0),FALSE),"")</f>
        <v/>
      </c>
    </row>
    <row r="518" spans="2:7" x14ac:dyDescent="0.45">
      <c r="B518" s="2" t="str">
        <f>IFERROR(INDEX('Miljövärden urval för publ'!$A$2:$AA$420,MATCH('Miljövärden för publ företag'!$A518,'Miljövärden urval för publ'!$R$2:$R$417,0),1),"")</f>
        <v/>
      </c>
      <c r="C518" s="2" t="str">
        <f>IFERROR(INDEX('Miljövärden urval för publ'!$A$2:$AA$420,MATCH('Miljövärden för publ företag'!$A518,'Miljövärden urval för publ'!$R$2:$R$417,0),2),"")</f>
        <v/>
      </c>
      <c r="D518" t="str">
        <f>IFERROR(VLOOKUP($C518,'Miljövärden urval för publ'!$B$2:$H$417,MATCH('Miljövärden för publ företag'!D$4,'Miljövärden urval för publ'!$B$2:$H$2,0),FALSE),"")</f>
        <v/>
      </c>
      <c r="E518" t="str">
        <f>IFERROR(VLOOKUP($C518,'Miljövärden urval för publ'!$B$2:$H$417,MATCH('Miljövärden för publ företag'!E$4,'Miljövärden urval för publ'!$B$2:$H$2,0),FALSE),"")</f>
        <v/>
      </c>
      <c r="F518" t="str">
        <f>IFERROR(VLOOKUP($C518,'Miljövärden urval för publ'!$B$2:$H$417,MATCH('Miljövärden för publ företag'!F$4,'Miljövärden urval för publ'!$B$2:$H$2,0),FALSE),"")</f>
        <v/>
      </c>
      <c r="G518" t="str">
        <f>IFERROR(VLOOKUP($C518,'Miljövärden urval för publ'!$B$2:$H$417,MATCH('Miljövärden för publ företag'!G$4,'Miljövärden urval för publ'!$B$2:$H$2,0),FALSE),"")</f>
        <v/>
      </c>
    </row>
    <row r="519" spans="2:7" x14ac:dyDescent="0.45">
      <c r="B519" s="2" t="str">
        <f>IFERROR(INDEX('Miljövärden urval för publ'!$A$2:$AA$420,MATCH('Miljövärden för publ företag'!$A519,'Miljövärden urval för publ'!$R$2:$R$417,0),1),"")</f>
        <v/>
      </c>
      <c r="C519" s="2" t="str">
        <f>IFERROR(INDEX('Miljövärden urval för publ'!$A$2:$AA$420,MATCH('Miljövärden för publ företag'!$A519,'Miljövärden urval för publ'!$R$2:$R$417,0),2),"")</f>
        <v/>
      </c>
      <c r="D519" t="str">
        <f>IFERROR(VLOOKUP($C519,'Miljövärden urval för publ'!$B$2:$H$417,MATCH('Miljövärden för publ företag'!D$4,'Miljövärden urval för publ'!$B$2:$H$2,0),FALSE),"")</f>
        <v/>
      </c>
      <c r="E519" t="str">
        <f>IFERROR(VLOOKUP($C519,'Miljövärden urval för publ'!$B$2:$H$417,MATCH('Miljövärden för publ företag'!E$4,'Miljövärden urval för publ'!$B$2:$H$2,0),FALSE),"")</f>
        <v/>
      </c>
      <c r="F519" t="str">
        <f>IFERROR(VLOOKUP($C519,'Miljövärden urval för publ'!$B$2:$H$417,MATCH('Miljövärden för publ företag'!F$4,'Miljövärden urval för publ'!$B$2:$H$2,0),FALSE),"")</f>
        <v/>
      </c>
      <c r="G519" t="str">
        <f>IFERROR(VLOOKUP($C519,'Miljövärden urval för publ'!$B$2:$H$417,MATCH('Miljövärden för publ företag'!G$4,'Miljövärden urval för publ'!$B$2:$H$2,0),FALSE),"")</f>
        <v/>
      </c>
    </row>
    <row r="520" spans="2:7" x14ac:dyDescent="0.45">
      <c r="B520" s="2" t="str">
        <f>IFERROR(INDEX('Miljövärden urval för publ'!$A$2:$AA$420,MATCH('Miljövärden för publ företag'!$A520,'Miljövärden urval för publ'!$R$2:$R$417,0),1),"")</f>
        <v/>
      </c>
      <c r="C520" s="2" t="str">
        <f>IFERROR(INDEX('Miljövärden urval för publ'!$A$2:$AA$420,MATCH('Miljövärden för publ företag'!$A520,'Miljövärden urval för publ'!$R$2:$R$417,0),2),"")</f>
        <v/>
      </c>
      <c r="D520" t="str">
        <f>IFERROR(VLOOKUP($C520,'Miljövärden urval för publ'!$B$2:$H$417,MATCH('Miljövärden för publ företag'!D$4,'Miljövärden urval för publ'!$B$2:$H$2,0),FALSE),"")</f>
        <v/>
      </c>
      <c r="E520" t="str">
        <f>IFERROR(VLOOKUP($C520,'Miljövärden urval för publ'!$B$2:$H$417,MATCH('Miljövärden för publ företag'!E$4,'Miljövärden urval för publ'!$B$2:$H$2,0),FALSE),"")</f>
        <v/>
      </c>
      <c r="F520" t="str">
        <f>IFERROR(VLOOKUP($C520,'Miljövärden urval för publ'!$B$2:$H$417,MATCH('Miljövärden för publ företag'!F$4,'Miljövärden urval för publ'!$B$2:$H$2,0),FALSE),"")</f>
        <v/>
      </c>
      <c r="G520" t="str">
        <f>IFERROR(VLOOKUP($C520,'Miljövärden urval för publ'!$B$2:$H$417,MATCH('Miljövärden för publ företag'!G$4,'Miljövärden urval för publ'!$B$2:$H$2,0),FALSE),"")</f>
        <v/>
      </c>
    </row>
    <row r="521" spans="2:7" x14ac:dyDescent="0.45">
      <c r="B521" s="2" t="str">
        <f>IFERROR(INDEX('Miljövärden urval för publ'!$A$2:$AA$420,MATCH('Miljövärden för publ företag'!$A521,'Miljövärden urval för publ'!$R$2:$R$417,0),1),"")</f>
        <v/>
      </c>
      <c r="C521" s="2" t="str">
        <f>IFERROR(INDEX('Miljövärden urval för publ'!$A$2:$AA$420,MATCH('Miljövärden för publ företag'!$A521,'Miljövärden urval för publ'!$R$2:$R$417,0),2),"")</f>
        <v/>
      </c>
      <c r="D521" t="str">
        <f>IFERROR(VLOOKUP($C521,'Miljövärden urval för publ'!$B$2:$H$417,MATCH('Miljövärden för publ företag'!D$4,'Miljövärden urval för publ'!$B$2:$H$2,0),FALSE),"")</f>
        <v/>
      </c>
      <c r="E521" t="str">
        <f>IFERROR(VLOOKUP($C521,'Miljövärden urval för publ'!$B$2:$H$417,MATCH('Miljövärden för publ företag'!E$4,'Miljövärden urval för publ'!$B$2:$H$2,0),FALSE),"")</f>
        <v/>
      </c>
      <c r="F521" t="str">
        <f>IFERROR(VLOOKUP($C521,'Miljövärden urval för publ'!$B$2:$H$417,MATCH('Miljövärden för publ företag'!F$4,'Miljövärden urval för publ'!$B$2:$H$2,0),FALSE),"")</f>
        <v/>
      </c>
      <c r="G521" t="str">
        <f>IFERROR(VLOOKUP($C521,'Miljövärden urval för publ'!$B$2:$H$417,MATCH('Miljövärden för publ företag'!G$4,'Miljövärden urval för publ'!$B$2:$H$2,0),FALSE),"")</f>
        <v/>
      </c>
    </row>
    <row r="522" spans="2:7" x14ac:dyDescent="0.45">
      <c r="B522" s="2" t="str">
        <f>IFERROR(INDEX('Miljövärden urval för publ'!$A$2:$AA$420,MATCH('Miljövärden för publ företag'!$A522,'Miljövärden urval för publ'!$R$2:$R$417,0),1),"")</f>
        <v/>
      </c>
      <c r="C522" s="2" t="str">
        <f>IFERROR(INDEX('Miljövärden urval för publ'!$A$2:$AA$420,MATCH('Miljövärden för publ företag'!$A522,'Miljövärden urval för publ'!$R$2:$R$417,0),2),"")</f>
        <v/>
      </c>
      <c r="D522" t="str">
        <f>IFERROR(VLOOKUP($C522,'Miljövärden urval för publ'!$B$2:$H$417,MATCH('Miljövärden för publ företag'!D$4,'Miljövärden urval för publ'!$B$2:$H$2,0),FALSE),"")</f>
        <v/>
      </c>
      <c r="E522" t="str">
        <f>IFERROR(VLOOKUP($C522,'Miljövärden urval för publ'!$B$2:$H$417,MATCH('Miljövärden för publ företag'!E$4,'Miljövärden urval för publ'!$B$2:$H$2,0),FALSE),"")</f>
        <v/>
      </c>
      <c r="F522" t="str">
        <f>IFERROR(VLOOKUP($C522,'Miljövärden urval för publ'!$B$2:$H$417,MATCH('Miljövärden för publ företag'!F$4,'Miljövärden urval för publ'!$B$2:$H$2,0),FALSE),"")</f>
        <v/>
      </c>
      <c r="G522" t="str">
        <f>IFERROR(VLOOKUP($C522,'Miljövärden urval för publ'!$B$2:$H$417,MATCH('Miljövärden för publ företag'!G$4,'Miljövärden urval för publ'!$B$2:$H$2,0),FALSE),"")</f>
        <v/>
      </c>
    </row>
    <row r="523" spans="2:7" x14ac:dyDescent="0.45">
      <c r="B523" s="2" t="str">
        <f>IFERROR(INDEX('Miljövärden urval för publ'!$A$2:$AA$420,MATCH('Miljövärden för publ företag'!$A523,'Miljövärden urval för publ'!$R$2:$R$417,0),1),"")</f>
        <v/>
      </c>
      <c r="C523" s="2" t="str">
        <f>IFERROR(INDEX('Miljövärden urval för publ'!$A$2:$AA$420,MATCH('Miljövärden för publ företag'!$A523,'Miljövärden urval för publ'!$R$2:$R$417,0),2),"")</f>
        <v/>
      </c>
      <c r="D523" t="str">
        <f>IFERROR(VLOOKUP($C523,'Miljövärden urval för publ'!$B$2:$H$417,MATCH('Miljövärden för publ företag'!D$4,'Miljövärden urval för publ'!$B$2:$H$2,0),FALSE),"")</f>
        <v/>
      </c>
      <c r="E523" t="str">
        <f>IFERROR(VLOOKUP($C523,'Miljövärden urval för publ'!$B$2:$H$417,MATCH('Miljövärden för publ företag'!E$4,'Miljövärden urval för publ'!$B$2:$H$2,0),FALSE),"")</f>
        <v/>
      </c>
      <c r="F523" t="str">
        <f>IFERROR(VLOOKUP($C523,'Miljövärden urval för publ'!$B$2:$H$417,MATCH('Miljövärden för publ företag'!F$4,'Miljövärden urval för publ'!$B$2:$H$2,0),FALSE),"")</f>
        <v/>
      </c>
      <c r="G523" t="str">
        <f>IFERROR(VLOOKUP($C523,'Miljövärden urval för publ'!$B$2:$H$417,MATCH('Miljövärden för publ företag'!G$4,'Miljövärden urval för publ'!$B$2:$H$2,0),FALSE),"")</f>
        <v/>
      </c>
    </row>
    <row r="524" spans="2:7" x14ac:dyDescent="0.45">
      <c r="B524" s="2" t="str">
        <f>IFERROR(INDEX('Miljövärden urval för publ'!$A$2:$AA$420,MATCH('Miljövärden för publ företag'!$A524,'Miljövärden urval för publ'!$R$2:$R$417,0),1),"")</f>
        <v/>
      </c>
      <c r="C524" s="2" t="str">
        <f>IFERROR(INDEX('Miljövärden urval för publ'!$A$2:$AA$420,MATCH('Miljövärden för publ företag'!$A524,'Miljövärden urval för publ'!$R$2:$R$417,0),2),"")</f>
        <v/>
      </c>
      <c r="D524" t="str">
        <f>IFERROR(VLOOKUP($C524,'Miljövärden urval för publ'!$B$2:$H$417,MATCH('Miljövärden för publ företag'!D$4,'Miljövärden urval för publ'!$B$2:$H$2,0),FALSE),"")</f>
        <v/>
      </c>
      <c r="E524" t="str">
        <f>IFERROR(VLOOKUP($C524,'Miljövärden urval för publ'!$B$2:$H$417,MATCH('Miljövärden för publ företag'!E$4,'Miljövärden urval för publ'!$B$2:$H$2,0),FALSE),"")</f>
        <v/>
      </c>
      <c r="F524" t="str">
        <f>IFERROR(VLOOKUP($C524,'Miljövärden urval för publ'!$B$2:$H$417,MATCH('Miljövärden för publ företag'!F$4,'Miljövärden urval för publ'!$B$2:$H$2,0),FALSE),"")</f>
        <v/>
      </c>
      <c r="G524" t="str">
        <f>IFERROR(VLOOKUP($C524,'Miljövärden urval för publ'!$B$2:$H$417,MATCH('Miljövärden för publ företag'!G$4,'Miljövärden urval för publ'!$B$2:$H$2,0),FALSE),"")</f>
        <v/>
      </c>
    </row>
    <row r="525" spans="2:7" x14ac:dyDescent="0.45">
      <c r="B525" s="2" t="str">
        <f>IFERROR(INDEX('Miljövärden urval för publ'!$A$2:$AA$420,MATCH('Miljövärden för publ företag'!$A525,'Miljövärden urval för publ'!$R$2:$R$417,0),1),"")</f>
        <v/>
      </c>
      <c r="C525" s="2" t="str">
        <f>IFERROR(INDEX('Miljövärden urval för publ'!$A$2:$AA$420,MATCH('Miljövärden för publ företag'!$A525,'Miljövärden urval för publ'!$R$2:$R$417,0),2),"")</f>
        <v/>
      </c>
      <c r="D525" t="str">
        <f>IFERROR(VLOOKUP($C525,'Miljövärden urval för publ'!$B$2:$H$417,MATCH('Miljövärden för publ företag'!D$4,'Miljövärden urval för publ'!$B$2:$H$2,0),FALSE),"")</f>
        <v/>
      </c>
      <c r="E525" t="str">
        <f>IFERROR(VLOOKUP($C525,'Miljövärden urval för publ'!$B$2:$H$417,MATCH('Miljövärden för publ företag'!E$4,'Miljövärden urval för publ'!$B$2:$H$2,0),FALSE),"")</f>
        <v/>
      </c>
      <c r="F525" t="str">
        <f>IFERROR(VLOOKUP($C525,'Miljövärden urval för publ'!$B$2:$H$417,MATCH('Miljövärden för publ företag'!F$4,'Miljövärden urval för publ'!$B$2:$H$2,0),FALSE),"")</f>
        <v/>
      </c>
      <c r="G525" t="str">
        <f>IFERROR(VLOOKUP($C525,'Miljövärden urval för publ'!$B$2:$H$417,MATCH('Miljövärden för publ företag'!G$4,'Miljövärden urval för publ'!$B$2:$H$2,0),FALSE),"")</f>
        <v/>
      </c>
    </row>
    <row r="526" spans="2:7" x14ac:dyDescent="0.45">
      <c r="B526" s="2" t="str">
        <f>IFERROR(INDEX('Miljövärden urval för publ'!$A$2:$AA$420,MATCH('Miljövärden för publ företag'!$A526,'Miljövärden urval för publ'!$R$2:$R$417,0),1),"")</f>
        <v/>
      </c>
      <c r="C526" s="2" t="str">
        <f>IFERROR(INDEX('Miljövärden urval för publ'!$A$2:$AA$420,MATCH('Miljövärden för publ företag'!$A526,'Miljövärden urval för publ'!$R$2:$R$417,0),2),"")</f>
        <v/>
      </c>
      <c r="D526" t="str">
        <f>IFERROR(VLOOKUP($C526,'Miljövärden urval för publ'!$B$2:$H$417,MATCH('Miljövärden för publ företag'!D$4,'Miljövärden urval för publ'!$B$2:$H$2,0),FALSE),"")</f>
        <v/>
      </c>
      <c r="E526" t="str">
        <f>IFERROR(VLOOKUP($C526,'Miljövärden urval för publ'!$B$2:$H$417,MATCH('Miljövärden för publ företag'!E$4,'Miljövärden urval för publ'!$B$2:$H$2,0),FALSE),"")</f>
        <v/>
      </c>
      <c r="F526" t="str">
        <f>IFERROR(VLOOKUP($C526,'Miljövärden urval för publ'!$B$2:$H$417,MATCH('Miljövärden för publ företag'!F$4,'Miljövärden urval för publ'!$B$2:$H$2,0),FALSE),"")</f>
        <v/>
      </c>
      <c r="G526" t="str">
        <f>IFERROR(VLOOKUP($C526,'Miljövärden urval för publ'!$B$2:$H$417,MATCH('Miljövärden för publ företag'!G$4,'Miljövärden urval för publ'!$B$2:$H$2,0),FALSE),"")</f>
        <v/>
      </c>
    </row>
    <row r="527" spans="2:7" x14ac:dyDescent="0.45">
      <c r="B527" s="2" t="str">
        <f>IFERROR(INDEX('Miljövärden urval för publ'!$A$2:$AA$420,MATCH('Miljövärden för publ företag'!$A527,'Miljövärden urval för publ'!$R$2:$R$417,0),1),"")</f>
        <v/>
      </c>
      <c r="C527" s="2" t="str">
        <f>IFERROR(INDEX('Miljövärden urval för publ'!$A$2:$AA$420,MATCH('Miljövärden för publ företag'!$A527,'Miljövärden urval för publ'!$R$2:$R$417,0),2),"")</f>
        <v/>
      </c>
      <c r="D527" t="str">
        <f>IFERROR(VLOOKUP($C527,'Miljövärden urval för publ'!$B$2:$H$417,MATCH('Miljövärden för publ företag'!D$4,'Miljövärden urval för publ'!$B$2:$H$2,0),FALSE),"")</f>
        <v/>
      </c>
      <c r="E527" t="str">
        <f>IFERROR(VLOOKUP($C527,'Miljövärden urval för publ'!$B$2:$H$417,MATCH('Miljövärden för publ företag'!E$4,'Miljövärden urval för publ'!$B$2:$H$2,0),FALSE),"")</f>
        <v/>
      </c>
      <c r="F527" t="str">
        <f>IFERROR(VLOOKUP($C527,'Miljövärden urval för publ'!$B$2:$H$417,MATCH('Miljövärden för publ företag'!F$4,'Miljövärden urval för publ'!$B$2:$H$2,0),FALSE),"")</f>
        <v/>
      </c>
      <c r="G527" t="str">
        <f>IFERROR(VLOOKUP($C527,'Miljövärden urval för publ'!$B$2:$H$417,MATCH('Miljövärden för publ företag'!G$4,'Miljövärden urval för publ'!$B$2:$H$2,0),FALSE),"")</f>
        <v/>
      </c>
    </row>
    <row r="528" spans="2:7" x14ac:dyDescent="0.45">
      <c r="B528" s="2" t="str">
        <f>IFERROR(INDEX('Miljövärden urval för publ'!$A$2:$AA$420,MATCH('Miljövärden för publ företag'!$A528,'Miljövärden urval för publ'!$R$2:$R$417,0),1),"")</f>
        <v/>
      </c>
      <c r="C528" s="2" t="str">
        <f>IFERROR(INDEX('Miljövärden urval för publ'!$A$2:$AA$420,MATCH('Miljövärden för publ företag'!$A528,'Miljövärden urval för publ'!$R$2:$R$417,0),2),"")</f>
        <v/>
      </c>
      <c r="D528" t="str">
        <f>IFERROR(VLOOKUP($C528,'Miljövärden urval för publ'!$B$2:$H$417,MATCH('Miljövärden för publ företag'!D$4,'Miljövärden urval för publ'!$B$2:$H$2,0),FALSE),"")</f>
        <v/>
      </c>
      <c r="E528" t="str">
        <f>IFERROR(VLOOKUP($C528,'Miljövärden urval för publ'!$B$2:$H$417,MATCH('Miljövärden för publ företag'!E$4,'Miljövärden urval för publ'!$B$2:$H$2,0),FALSE),"")</f>
        <v/>
      </c>
      <c r="F528" t="str">
        <f>IFERROR(VLOOKUP($C528,'Miljövärden urval för publ'!$B$2:$H$417,MATCH('Miljövärden för publ företag'!F$4,'Miljövärden urval för publ'!$B$2:$H$2,0),FALSE),"")</f>
        <v/>
      </c>
      <c r="G528" t="str">
        <f>IFERROR(VLOOKUP($C528,'Miljövärden urval för publ'!$B$2:$H$417,MATCH('Miljövärden för publ företag'!G$4,'Miljövärden urval för publ'!$B$2:$H$2,0),FALSE),"")</f>
        <v/>
      </c>
    </row>
    <row r="529" spans="2:7" x14ac:dyDescent="0.45">
      <c r="B529" s="2" t="str">
        <f>IFERROR(INDEX('Miljövärden urval för publ'!$A$2:$AA$420,MATCH('Miljövärden för publ företag'!$A529,'Miljövärden urval för publ'!$R$2:$R$417,0),1),"")</f>
        <v/>
      </c>
      <c r="C529" s="2" t="str">
        <f>IFERROR(INDEX('Miljövärden urval för publ'!$A$2:$AA$420,MATCH('Miljövärden för publ företag'!$A529,'Miljövärden urval för publ'!$R$2:$R$417,0),2),"")</f>
        <v/>
      </c>
      <c r="D529" t="str">
        <f>IFERROR(VLOOKUP($C529,'Miljövärden urval för publ'!$B$2:$H$417,MATCH('Miljövärden för publ företag'!D$4,'Miljövärden urval för publ'!$B$2:$H$2,0),FALSE),"")</f>
        <v/>
      </c>
      <c r="E529" t="str">
        <f>IFERROR(VLOOKUP($C529,'Miljövärden urval för publ'!$B$2:$H$417,MATCH('Miljövärden för publ företag'!E$4,'Miljövärden urval för publ'!$B$2:$H$2,0),FALSE),"")</f>
        <v/>
      </c>
      <c r="F529" t="str">
        <f>IFERROR(VLOOKUP($C529,'Miljövärden urval för publ'!$B$2:$H$417,MATCH('Miljövärden för publ företag'!F$4,'Miljövärden urval för publ'!$B$2:$H$2,0),FALSE),"")</f>
        <v/>
      </c>
      <c r="G529" t="str">
        <f>IFERROR(VLOOKUP($C529,'Miljövärden urval för publ'!$B$2:$H$417,MATCH('Miljövärden för publ företag'!G$4,'Miljövärden urval för publ'!$B$2:$H$2,0),FALSE),"")</f>
        <v/>
      </c>
    </row>
    <row r="530" spans="2:7" x14ac:dyDescent="0.45">
      <c r="B530" s="2" t="str">
        <f>IFERROR(INDEX('Miljövärden urval för publ'!$A$2:$AA$420,MATCH('Miljövärden för publ företag'!$A530,'Miljövärden urval för publ'!$R$2:$R$417,0),1),"")</f>
        <v/>
      </c>
      <c r="C530" s="2" t="str">
        <f>IFERROR(INDEX('Miljövärden urval för publ'!$A$2:$AA$420,MATCH('Miljövärden för publ företag'!$A530,'Miljövärden urval för publ'!$R$2:$R$417,0),2),"")</f>
        <v/>
      </c>
      <c r="D530" t="str">
        <f>IFERROR(VLOOKUP($C530,'Miljövärden urval för publ'!$B$2:$H$417,MATCH('Miljövärden för publ företag'!D$4,'Miljövärden urval för publ'!$B$2:$H$2,0),FALSE),"")</f>
        <v/>
      </c>
      <c r="E530" t="str">
        <f>IFERROR(VLOOKUP($C530,'Miljövärden urval för publ'!$B$2:$H$417,MATCH('Miljövärden för publ företag'!E$4,'Miljövärden urval för publ'!$B$2:$H$2,0),FALSE),"")</f>
        <v/>
      </c>
      <c r="F530" t="str">
        <f>IFERROR(VLOOKUP($C530,'Miljövärden urval för publ'!$B$2:$H$417,MATCH('Miljövärden för publ företag'!F$4,'Miljövärden urval för publ'!$B$2:$H$2,0),FALSE),"")</f>
        <v/>
      </c>
      <c r="G530" t="str">
        <f>IFERROR(VLOOKUP($C530,'Miljövärden urval för publ'!$B$2:$H$417,MATCH('Miljövärden för publ företag'!G$4,'Miljövärden urval för publ'!$B$2:$H$2,0),FALSE),"")</f>
        <v/>
      </c>
    </row>
    <row r="531" spans="2:7" x14ac:dyDescent="0.45">
      <c r="B531" s="2" t="str">
        <f>IFERROR(INDEX('Miljövärden urval för publ'!$A$2:$AA$420,MATCH('Miljövärden för publ företag'!$A531,'Miljövärden urval för publ'!$R$2:$R$417,0),1),"")</f>
        <v/>
      </c>
      <c r="C531" s="2" t="str">
        <f>IFERROR(INDEX('Miljövärden urval för publ'!$A$2:$AA$420,MATCH('Miljövärden för publ företag'!$A531,'Miljövärden urval för publ'!$R$2:$R$417,0),2),"")</f>
        <v/>
      </c>
      <c r="D531" t="str">
        <f>IFERROR(VLOOKUP($C531,'Miljövärden urval för publ'!$B$2:$H$417,MATCH('Miljövärden för publ företag'!D$4,'Miljövärden urval för publ'!$B$2:$H$2,0),FALSE),"")</f>
        <v/>
      </c>
      <c r="E531" t="str">
        <f>IFERROR(VLOOKUP($C531,'Miljövärden urval för publ'!$B$2:$H$417,MATCH('Miljövärden för publ företag'!E$4,'Miljövärden urval för publ'!$B$2:$H$2,0),FALSE),"")</f>
        <v/>
      </c>
      <c r="F531" t="str">
        <f>IFERROR(VLOOKUP($C531,'Miljövärden urval för publ'!$B$2:$H$417,MATCH('Miljövärden för publ företag'!F$4,'Miljövärden urval för publ'!$B$2:$H$2,0),FALSE),"")</f>
        <v/>
      </c>
      <c r="G531" t="str">
        <f>IFERROR(VLOOKUP($C531,'Miljövärden urval för publ'!$B$2:$H$417,MATCH('Miljövärden för publ företag'!G$4,'Miljövärden urval för publ'!$B$2:$H$2,0),FALSE),"")</f>
        <v/>
      </c>
    </row>
    <row r="532" spans="2:7" x14ac:dyDescent="0.45">
      <c r="B532" s="2" t="str">
        <f>IFERROR(INDEX('Miljövärden urval för publ'!$A$2:$AA$420,MATCH('Miljövärden för publ företag'!$A532,'Miljövärden urval för publ'!$R$2:$R$417,0),1),"")</f>
        <v/>
      </c>
      <c r="C532" s="2" t="str">
        <f>IFERROR(INDEX('Miljövärden urval för publ'!$A$2:$AA$420,MATCH('Miljövärden för publ företag'!$A532,'Miljövärden urval för publ'!$R$2:$R$417,0),2),"")</f>
        <v/>
      </c>
      <c r="D532" t="str">
        <f>IFERROR(VLOOKUP($C532,'Miljövärden urval för publ'!$B$2:$H$417,MATCH('Miljövärden för publ företag'!D$4,'Miljövärden urval för publ'!$B$2:$H$2,0),FALSE),"")</f>
        <v/>
      </c>
      <c r="E532" t="str">
        <f>IFERROR(VLOOKUP($C532,'Miljövärden urval för publ'!$B$2:$H$417,MATCH('Miljövärden för publ företag'!E$4,'Miljövärden urval för publ'!$B$2:$H$2,0),FALSE),"")</f>
        <v/>
      </c>
      <c r="F532" t="str">
        <f>IFERROR(VLOOKUP($C532,'Miljövärden urval för publ'!$B$2:$H$417,MATCH('Miljövärden för publ företag'!F$4,'Miljövärden urval för publ'!$B$2:$H$2,0),FALSE),"")</f>
        <v/>
      </c>
      <c r="G532" t="str">
        <f>IFERROR(VLOOKUP($C532,'Miljövärden urval för publ'!$B$2:$H$417,MATCH('Miljövärden för publ företag'!G$4,'Miljövärden urval för publ'!$B$2:$H$2,0),FALSE),"")</f>
        <v/>
      </c>
    </row>
    <row r="533" spans="2:7" x14ac:dyDescent="0.45">
      <c r="B533" s="2" t="str">
        <f>IFERROR(INDEX('Miljövärden urval för publ'!$A$2:$AA$420,MATCH('Miljövärden för publ företag'!$A533,'Miljövärden urval för publ'!$R$2:$R$417,0),1),"")</f>
        <v/>
      </c>
      <c r="C533" s="2" t="str">
        <f>IFERROR(INDEX('Miljövärden urval för publ'!$A$2:$AA$420,MATCH('Miljövärden för publ företag'!$A533,'Miljövärden urval för publ'!$R$2:$R$417,0),2),"")</f>
        <v/>
      </c>
      <c r="D533" t="str">
        <f>IFERROR(VLOOKUP($C533,'Miljövärden urval för publ'!$B$2:$H$417,MATCH('Miljövärden för publ företag'!D$4,'Miljövärden urval för publ'!$B$2:$H$2,0),FALSE),"")</f>
        <v/>
      </c>
      <c r="E533" t="str">
        <f>IFERROR(VLOOKUP($C533,'Miljövärden urval för publ'!$B$2:$H$417,MATCH('Miljövärden för publ företag'!E$4,'Miljövärden urval för publ'!$B$2:$H$2,0),FALSE),"")</f>
        <v/>
      </c>
      <c r="F533" t="str">
        <f>IFERROR(VLOOKUP($C533,'Miljövärden urval för publ'!$B$2:$H$417,MATCH('Miljövärden för publ företag'!F$4,'Miljövärden urval för publ'!$B$2:$H$2,0),FALSE),"")</f>
        <v/>
      </c>
      <c r="G533" t="str">
        <f>IFERROR(VLOOKUP($C533,'Miljövärden urval för publ'!$B$2:$H$417,MATCH('Miljövärden för publ företag'!G$4,'Miljövärden urval för publ'!$B$2:$H$2,0),FALSE),"")</f>
        <v/>
      </c>
    </row>
    <row r="534" spans="2:7" x14ac:dyDescent="0.45">
      <c r="B534" s="2" t="str">
        <f>IFERROR(INDEX('Miljövärden urval för publ'!$A$2:$AA$420,MATCH('Miljövärden för publ företag'!$A534,'Miljövärden urval för publ'!$R$2:$R$417,0),1),"")</f>
        <v/>
      </c>
      <c r="C534" s="2" t="str">
        <f>IFERROR(INDEX('Miljövärden urval för publ'!$A$2:$AA$420,MATCH('Miljövärden för publ företag'!$A534,'Miljövärden urval för publ'!$R$2:$R$417,0),2),"")</f>
        <v/>
      </c>
      <c r="D534" t="str">
        <f>IFERROR(VLOOKUP($C534,'Miljövärden urval för publ'!$B$2:$H$417,MATCH('Miljövärden för publ företag'!D$4,'Miljövärden urval för publ'!$B$2:$H$2,0),FALSE),"")</f>
        <v/>
      </c>
      <c r="E534" t="str">
        <f>IFERROR(VLOOKUP($C534,'Miljövärden urval för publ'!$B$2:$H$417,MATCH('Miljövärden för publ företag'!E$4,'Miljövärden urval för publ'!$B$2:$H$2,0),FALSE),"")</f>
        <v/>
      </c>
      <c r="F534" t="str">
        <f>IFERROR(VLOOKUP($C534,'Miljövärden urval för publ'!$B$2:$H$417,MATCH('Miljövärden för publ företag'!F$4,'Miljövärden urval för publ'!$B$2:$H$2,0),FALSE),"")</f>
        <v/>
      </c>
      <c r="G534" t="str">
        <f>IFERROR(VLOOKUP($C534,'Miljövärden urval för publ'!$B$2:$H$417,MATCH('Miljövärden för publ företag'!G$4,'Miljövärden urval för publ'!$B$2:$H$2,0),FALSE),"")</f>
        <v/>
      </c>
    </row>
    <row r="535" spans="2:7" x14ac:dyDescent="0.45">
      <c r="B535" s="2" t="str">
        <f>IFERROR(INDEX('Miljövärden urval för publ'!$A$2:$AA$420,MATCH('Miljövärden för publ företag'!$A535,'Miljövärden urval för publ'!$R$2:$R$417,0),1),"")</f>
        <v/>
      </c>
      <c r="C535" s="2" t="str">
        <f>IFERROR(INDEX('Miljövärden urval för publ'!$A$2:$AA$420,MATCH('Miljövärden för publ företag'!$A535,'Miljövärden urval för publ'!$R$2:$R$417,0),2),"")</f>
        <v/>
      </c>
      <c r="D535" t="str">
        <f>IFERROR(VLOOKUP($C535,'Miljövärden urval för publ'!$B$2:$H$417,MATCH('Miljövärden för publ företag'!D$4,'Miljövärden urval för publ'!$B$2:$H$2,0),FALSE),"")</f>
        <v/>
      </c>
      <c r="E535" t="str">
        <f>IFERROR(VLOOKUP($C535,'Miljövärden urval för publ'!$B$2:$H$417,MATCH('Miljövärden för publ företag'!E$4,'Miljövärden urval för publ'!$B$2:$H$2,0),FALSE),"")</f>
        <v/>
      </c>
      <c r="F535" t="str">
        <f>IFERROR(VLOOKUP($C535,'Miljövärden urval för publ'!$B$2:$H$417,MATCH('Miljövärden för publ företag'!F$4,'Miljövärden urval för publ'!$B$2:$H$2,0),FALSE),"")</f>
        <v/>
      </c>
      <c r="G535" t="str">
        <f>IFERROR(VLOOKUP($C535,'Miljövärden urval för publ'!$B$2:$H$417,MATCH('Miljövärden för publ företag'!G$4,'Miljövärden urval för publ'!$B$2:$H$2,0),FALSE),"")</f>
        <v/>
      </c>
    </row>
    <row r="536" spans="2:7" x14ac:dyDescent="0.45">
      <c r="B536" s="2" t="str">
        <f>IFERROR(INDEX('Miljövärden urval för publ'!$A$2:$AA$420,MATCH('Miljövärden för publ företag'!$A536,'Miljövärden urval för publ'!$R$2:$R$417,0),1),"")</f>
        <v/>
      </c>
      <c r="C536" s="2" t="str">
        <f>IFERROR(INDEX('Miljövärden urval för publ'!$A$2:$AA$420,MATCH('Miljövärden för publ företag'!$A536,'Miljövärden urval för publ'!$R$2:$R$417,0),2),"")</f>
        <v/>
      </c>
      <c r="D536" t="str">
        <f>IFERROR(VLOOKUP($C536,'Miljövärden urval för publ'!$B$2:$H$417,MATCH('Miljövärden för publ företag'!D$4,'Miljövärden urval för publ'!$B$2:$H$2,0),FALSE),"")</f>
        <v/>
      </c>
      <c r="E536" t="str">
        <f>IFERROR(VLOOKUP($C536,'Miljövärden urval för publ'!$B$2:$H$417,MATCH('Miljövärden för publ företag'!E$4,'Miljövärden urval för publ'!$B$2:$H$2,0),FALSE),"")</f>
        <v/>
      </c>
      <c r="F536" t="str">
        <f>IFERROR(VLOOKUP($C536,'Miljövärden urval för publ'!$B$2:$H$417,MATCH('Miljövärden för publ företag'!F$4,'Miljövärden urval för publ'!$B$2:$H$2,0),FALSE),"")</f>
        <v/>
      </c>
      <c r="G536" t="str">
        <f>IFERROR(VLOOKUP($C536,'Miljövärden urval för publ'!$B$2:$H$417,MATCH('Miljövärden för publ företag'!G$4,'Miljövärden urval för publ'!$B$2:$H$2,0),FALSE),"")</f>
        <v/>
      </c>
    </row>
    <row r="537" spans="2:7" x14ac:dyDescent="0.45">
      <c r="B537" s="2" t="str">
        <f>IFERROR(INDEX('Miljövärden urval för publ'!$A$2:$AA$420,MATCH('Miljövärden för publ företag'!$A537,'Miljövärden urval för publ'!$R$2:$R$417,0),1),"")</f>
        <v/>
      </c>
      <c r="C537" s="2" t="str">
        <f>IFERROR(INDEX('Miljövärden urval för publ'!$A$2:$AA$420,MATCH('Miljövärden för publ företag'!$A537,'Miljövärden urval för publ'!$R$2:$R$417,0),2),"")</f>
        <v/>
      </c>
      <c r="D537" t="str">
        <f>IFERROR(VLOOKUP($C537,'Miljövärden urval för publ'!$B$2:$H$417,MATCH('Miljövärden för publ företag'!D$4,'Miljövärden urval för publ'!$B$2:$H$2,0),FALSE),"")</f>
        <v/>
      </c>
      <c r="E537" t="str">
        <f>IFERROR(VLOOKUP($C537,'Miljövärden urval för publ'!$B$2:$H$417,MATCH('Miljövärden för publ företag'!E$4,'Miljövärden urval för publ'!$B$2:$H$2,0),FALSE),"")</f>
        <v/>
      </c>
      <c r="F537" t="str">
        <f>IFERROR(VLOOKUP($C537,'Miljövärden urval för publ'!$B$2:$H$417,MATCH('Miljövärden för publ företag'!F$4,'Miljövärden urval för publ'!$B$2:$H$2,0),FALSE),"")</f>
        <v/>
      </c>
      <c r="G537" t="str">
        <f>IFERROR(VLOOKUP($C537,'Miljövärden urval för publ'!$B$2:$H$417,MATCH('Miljövärden för publ företag'!G$4,'Miljövärden urval för publ'!$B$2:$H$2,0),FALSE),"")</f>
        <v/>
      </c>
    </row>
    <row r="538" spans="2:7" x14ac:dyDescent="0.45">
      <c r="B538" s="2" t="str">
        <f>IFERROR(INDEX('Miljövärden urval för publ'!$A$2:$AA$420,MATCH('Miljövärden för publ företag'!$A538,'Miljövärden urval för publ'!$R$2:$R$417,0),1),"")</f>
        <v/>
      </c>
      <c r="C538" s="2" t="str">
        <f>IFERROR(INDEX('Miljövärden urval för publ'!$A$2:$AA$420,MATCH('Miljövärden för publ företag'!$A538,'Miljövärden urval för publ'!$R$2:$R$417,0),2),"")</f>
        <v/>
      </c>
      <c r="D538" t="str">
        <f>IFERROR(VLOOKUP($C538,'Miljövärden urval för publ'!$B$2:$H$417,MATCH('Miljövärden för publ företag'!D$4,'Miljövärden urval för publ'!$B$2:$H$2,0),FALSE),"")</f>
        <v/>
      </c>
      <c r="E538" t="str">
        <f>IFERROR(VLOOKUP($C538,'Miljövärden urval för publ'!$B$2:$H$417,MATCH('Miljövärden för publ företag'!E$4,'Miljövärden urval för publ'!$B$2:$H$2,0),FALSE),"")</f>
        <v/>
      </c>
      <c r="F538" t="str">
        <f>IFERROR(VLOOKUP($C538,'Miljövärden urval för publ'!$B$2:$H$417,MATCH('Miljövärden för publ företag'!F$4,'Miljövärden urval för publ'!$B$2:$H$2,0),FALSE),"")</f>
        <v/>
      </c>
      <c r="G538" t="str">
        <f>IFERROR(VLOOKUP($C538,'Miljövärden urval för publ'!$B$2:$H$417,MATCH('Miljövärden för publ företag'!G$4,'Miljövärden urval för publ'!$B$2:$H$2,0),FALSE),"")</f>
        <v/>
      </c>
    </row>
    <row r="539" spans="2:7" x14ac:dyDescent="0.45">
      <c r="B539" s="2" t="str">
        <f>IFERROR(INDEX('Miljövärden urval för publ'!$A$2:$AA$420,MATCH('Miljövärden för publ företag'!$A539,'Miljövärden urval för publ'!$R$2:$R$417,0),1),"")</f>
        <v/>
      </c>
      <c r="C539" s="2" t="str">
        <f>IFERROR(INDEX('Miljövärden urval för publ'!$A$2:$AA$420,MATCH('Miljövärden för publ företag'!$A539,'Miljövärden urval för publ'!$R$2:$R$417,0),2),"")</f>
        <v/>
      </c>
      <c r="D539" t="str">
        <f>IFERROR(VLOOKUP($C539,'Miljövärden urval för publ'!$B$2:$H$417,MATCH('Miljövärden för publ företag'!D$4,'Miljövärden urval för publ'!$B$2:$H$2,0),FALSE),"")</f>
        <v/>
      </c>
      <c r="E539" t="str">
        <f>IFERROR(VLOOKUP($C539,'Miljövärden urval för publ'!$B$2:$H$417,MATCH('Miljövärden för publ företag'!E$4,'Miljövärden urval för publ'!$B$2:$H$2,0),FALSE),"")</f>
        <v/>
      </c>
      <c r="F539" t="str">
        <f>IFERROR(VLOOKUP($C539,'Miljövärden urval för publ'!$B$2:$H$417,MATCH('Miljövärden för publ företag'!F$4,'Miljövärden urval för publ'!$B$2:$H$2,0),FALSE),"")</f>
        <v/>
      </c>
      <c r="G539" t="str">
        <f>IFERROR(VLOOKUP($C539,'Miljövärden urval för publ'!$B$2:$H$417,MATCH('Miljövärden för publ företag'!G$4,'Miljövärden urval för publ'!$B$2:$H$2,0),FALSE),"")</f>
        <v/>
      </c>
    </row>
    <row r="540" spans="2:7" x14ac:dyDescent="0.45">
      <c r="B540" s="2" t="str">
        <f>IFERROR(INDEX('Miljövärden urval för publ'!$A$2:$AA$420,MATCH('Miljövärden för publ företag'!$A540,'Miljövärden urval för publ'!$R$2:$R$417,0),1),"")</f>
        <v/>
      </c>
      <c r="C540" s="2" t="str">
        <f>IFERROR(INDEX('Miljövärden urval för publ'!$A$2:$AA$420,MATCH('Miljövärden för publ företag'!$A540,'Miljövärden urval för publ'!$R$2:$R$417,0),2),"")</f>
        <v/>
      </c>
      <c r="D540" t="str">
        <f>IFERROR(VLOOKUP($C540,'Miljövärden urval för publ'!$B$2:$H$417,MATCH('Miljövärden för publ företag'!D$4,'Miljövärden urval för publ'!$B$2:$H$2,0),FALSE),"")</f>
        <v/>
      </c>
      <c r="E540" t="str">
        <f>IFERROR(VLOOKUP($C540,'Miljövärden urval för publ'!$B$2:$H$417,MATCH('Miljövärden för publ företag'!E$4,'Miljövärden urval för publ'!$B$2:$H$2,0),FALSE),"")</f>
        <v/>
      </c>
      <c r="F540" t="str">
        <f>IFERROR(VLOOKUP($C540,'Miljövärden urval för publ'!$B$2:$H$417,MATCH('Miljövärden för publ företag'!F$4,'Miljövärden urval för publ'!$B$2:$H$2,0),FALSE),"")</f>
        <v/>
      </c>
      <c r="G540" t="str">
        <f>IFERROR(VLOOKUP($C540,'Miljövärden urval för publ'!$B$2:$H$417,MATCH('Miljövärden för publ företag'!G$4,'Miljövärden urval för publ'!$B$2:$H$2,0),FALSE),"")</f>
        <v/>
      </c>
    </row>
    <row r="541" spans="2:7" x14ac:dyDescent="0.45">
      <c r="B541" s="2" t="str">
        <f>IFERROR(INDEX('Miljövärden urval för publ'!$A$2:$AA$420,MATCH('Miljövärden för publ företag'!$A541,'Miljövärden urval för publ'!$R$2:$R$417,0),1),"")</f>
        <v/>
      </c>
      <c r="C541" s="2" t="str">
        <f>IFERROR(INDEX('Miljövärden urval för publ'!$A$2:$AA$420,MATCH('Miljövärden för publ företag'!$A541,'Miljövärden urval för publ'!$R$2:$R$417,0),2),"")</f>
        <v/>
      </c>
      <c r="D541" t="str">
        <f>IFERROR(VLOOKUP($C541,'Miljövärden urval för publ'!$B$2:$H$417,MATCH('Miljövärden för publ företag'!D$4,'Miljövärden urval för publ'!$B$2:$H$2,0),FALSE),"")</f>
        <v/>
      </c>
      <c r="E541" t="str">
        <f>IFERROR(VLOOKUP($C541,'Miljövärden urval för publ'!$B$2:$H$417,MATCH('Miljövärden för publ företag'!E$4,'Miljövärden urval för publ'!$B$2:$H$2,0),FALSE),"")</f>
        <v/>
      </c>
      <c r="F541" t="str">
        <f>IFERROR(VLOOKUP($C541,'Miljövärden urval för publ'!$B$2:$H$417,MATCH('Miljövärden för publ företag'!F$4,'Miljövärden urval för publ'!$B$2:$H$2,0),FALSE),"")</f>
        <v/>
      </c>
      <c r="G541" t="str">
        <f>IFERROR(VLOOKUP($C541,'Miljövärden urval för publ'!$B$2:$H$417,MATCH('Miljövärden för publ företag'!G$4,'Miljövärden urval för publ'!$B$2:$H$2,0),FALSE),"")</f>
        <v/>
      </c>
    </row>
    <row r="542" spans="2:7" x14ac:dyDescent="0.45">
      <c r="B542" s="2" t="str">
        <f>IFERROR(INDEX('Miljövärden urval för publ'!$A$2:$AA$420,MATCH('Miljövärden för publ företag'!$A542,'Miljövärden urval för publ'!$R$2:$R$417,0),1),"")</f>
        <v/>
      </c>
      <c r="C542" s="2" t="str">
        <f>IFERROR(INDEX('Miljövärden urval för publ'!$A$2:$AA$420,MATCH('Miljövärden för publ företag'!$A542,'Miljövärden urval för publ'!$R$2:$R$417,0),2),"")</f>
        <v/>
      </c>
      <c r="D542" t="str">
        <f>IFERROR(VLOOKUP($C542,'Miljövärden urval för publ'!$B$2:$H$417,MATCH('Miljövärden för publ företag'!D$4,'Miljövärden urval för publ'!$B$2:$H$2,0),FALSE),"")</f>
        <v/>
      </c>
      <c r="E542" t="str">
        <f>IFERROR(VLOOKUP($C542,'Miljövärden urval för publ'!$B$2:$H$417,MATCH('Miljövärden för publ företag'!E$4,'Miljövärden urval för publ'!$B$2:$H$2,0),FALSE),"")</f>
        <v/>
      </c>
      <c r="F542" t="str">
        <f>IFERROR(VLOOKUP($C542,'Miljövärden urval för publ'!$B$2:$H$417,MATCH('Miljövärden för publ företag'!F$4,'Miljövärden urval för publ'!$B$2:$H$2,0),FALSE),"")</f>
        <v/>
      </c>
      <c r="G542" t="str">
        <f>IFERROR(VLOOKUP($C542,'Miljövärden urval för publ'!$B$2:$H$417,MATCH('Miljövärden för publ företag'!G$4,'Miljövärden urval för publ'!$B$2:$H$2,0),FALSE),"")</f>
        <v/>
      </c>
    </row>
    <row r="543" spans="2:7" x14ac:dyDescent="0.45">
      <c r="B543" s="2" t="str">
        <f>IFERROR(INDEX('Miljövärden urval för publ'!$A$2:$AA$420,MATCH('Miljövärden för publ företag'!$A543,'Miljövärden urval för publ'!$R$2:$R$417,0),1),"")</f>
        <v/>
      </c>
      <c r="C543" s="2" t="str">
        <f>IFERROR(INDEX('Miljövärden urval för publ'!$A$2:$AA$420,MATCH('Miljövärden för publ företag'!$A543,'Miljövärden urval för publ'!$R$2:$R$417,0),2),"")</f>
        <v/>
      </c>
      <c r="D543" t="str">
        <f>IFERROR(VLOOKUP($C543,'Miljövärden urval för publ'!$B$2:$H$417,MATCH('Miljövärden för publ företag'!D$4,'Miljövärden urval för publ'!$B$2:$H$2,0),FALSE),"")</f>
        <v/>
      </c>
      <c r="E543" t="str">
        <f>IFERROR(VLOOKUP($C543,'Miljövärden urval för publ'!$B$2:$H$417,MATCH('Miljövärden för publ företag'!E$4,'Miljövärden urval för publ'!$B$2:$H$2,0),FALSE),"")</f>
        <v/>
      </c>
      <c r="F543" t="str">
        <f>IFERROR(VLOOKUP($C543,'Miljövärden urval för publ'!$B$2:$H$417,MATCH('Miljövärden för publ företag'!F$4,'Miljövärden urval för publ'!$B$2:$H$2,0),FALSE),"")</f>
        <v/>
      </c>
      <c r="G543" t="str">
        <f>IFERROR(VLOOKUP($C543,'Miljövärden urval för publ'!$B$2:$H$417,MATCH('Miljövärden för publ företag'!G$4,'Miljövärden urval för publ'!$B$2:$H$2,0),FALSE),"")</f>
        <v/>
      </c>
    </row>
    <row r="544" spans="2:7" x14ac:dyDescent="0.45">
      <c r="B544" s="2" t="str">
        <f>IFERROR(INDEX('Miljövärden urval för publ'!$A$2:$AA$420,MATCH('Miljövärden för publ företag'!$A544,'Miljövärden urval för publ'!$R$2:$R$417,0),1),"")</f>
        <v/>
      </c>
      <c r="C544" s="2" t="str">
        <f>IFERROR(INDEX('Miljövärden urval för publ'!$A$2:$AA$420,MATCH('Miljövärden för publ företag'!$A544,'Miljövärden urval för publ'!$R$2:$R$417,0),2),"")</f>
        <v/>
      </c>
      <c r="D544" t="str">
        <f>IFERROR(VLOOKUP($C544,'Miljövärden urval för publ'!$B$2:$H$417,MATCH('Miljövärden för publ företag'!D$4,'Miljövärden urval för publ'!$B$2:$H$2,0),FALSE),"")</f>
        <v/>
      </c>
      <c r="E544" t="str">
        <f>IFERROR(VLOOKUP($C544,'Miljövärden urval för publ'!$B$2:$H$417,MATCH('Miljövärden för publ företag'!E$4,'Miljövärden urval för publ'!$B$2:$H$2,0),FALSE),"")</f>
        <v/>
      </c>
      <c r="F544" t="str">
        <f>IFERROR(VLOOKUP($C544,'Miljövärden urval för publ'!$B$2:$H$417,MATCH('Miljövärden för publ företag'!F$4,'Miljövärden urval för publ'!$B$2:$H$2,0),FALSE),"")</f>
        <v/>
      </c>
      <c r="G544" t="str">
        <f>IFERROR(VLOOKUP($C544,'Miljövärden urval för publ'!$B$2:$H$417,MATCH('Miljövärden för publ företag'!G$4,'Miljövärden urval för publ'!$B$2:$H$2,0),FALSE),"")</f>
        <v/>
      </c>
    </row>
    <row r="545" spans="2:7" x14ac:dyDescent="0.45">
      <c r="B545" s="2" t="str">
        <f>IFERROR(INDEX('Miljövärden urval för publ'!$A$2:$AA$420,MATCH('Miljövärden för publ företag'!$A545,'Miljövärden urval för publ'!$R$2:$R$417,0),1),"")</f>
        <v/>
      </c>
      <c r="C545" s="2" t="str">
        <f>IFERROR(INDEX('Miljövärden urval för publ'!$A$2:$AA$420,MATCH('Miljövärden för publ företag'!$A545,'Miljövärden urval för publ'!$R$2:$R$417,0),2),"")</f>
        <v/>
      </c>
      <c r="D545" t="str">
        <f>IFERROR(VLOOKUP($C545,'Miljövärden urval för publ'!$B$2:$H$417,MATCH('Miljövärden för publ företag'!D$4,'Miljövärden urval för publ'!$B$2:$H$2,0),FALSE),"")</f>
        <v/>
      </c>
      <c r="E545" t="str">
        <f>IFERROR(VLOOKUP($C545,'Miljövärden urval för publ'!$B$2:$H$417,MATCH('Miljövärden för publ företag'!E$4,'Miljövärden urval för publ'!$B$2:$H$2,0),FALSE),"")</f>
        <v/>
      </c>
      <c r="F545" t="str">
        <f>IFERROR(VLOOKUP($C545,'Miljövärden urval för publ'!$B$2:$H$417,MATCH('Miljövärden för publ företag'!F$4,'Miljövärden urval för publ'!$B$2:$H$2,0),FALSE),"")</f>
        <v/>
      </c>
      <c r="G545" t="str">
        <f>IFERROR(VLOOKUP($C545,'Miljövärden urval för publ'!$B$2:$H$417,MATCH('Miljövärden för publ företag'!G$4,'Miljövärden urval för publ'!$B$2:$H$2,0),FALSE),"")</f>
        <v/>
      </c>
    </row>
    <row r="546" spans="2:7" x14ac:dyDescent="0.45">
      <c r="B546" s="2" t="str">
        <f>IFERROR(INDEX('Miljövärden urval för publ'!$A$2:$AA$420,MATCH('Miljövärden för publ företag'!$A546,'Miljövärden urval för publ'!$R$2:$R$417,0),1),"")</f>
        <v/>
      </c>
      <c r="C546" s="2" t="str">
        <f>IFERROR(INDEX('Miljövärden urval för publ'!$A$2:$AA$420,MATCH('Miljövärden för publ företag'!$A546,'Miljövärden urval för publ'!$R$2:$R$417,0),2),"")</f>
        <v/>
      </c>
      <c r="D546" t="str">
        <f>IFERROR(VLOOKUP($C546,'Miljövärden urval för publ'!$B$2:$H$417,MATCH('Miljövärden för publ företag'!D$4,'Miljövärden urval för publ'!$B$2:$H$2,0),FALSE),"")</f>
        <v/>
      </c>
      <c r="E546" t="str">
        <f>IFERROR(VLOOKUP($C546,'Miljövärden urval för publ'!$B$2:$H$417,MATCH('Miljövärden för publ företag'!E$4,'Miljövärden urval för publ'!$B$2:$H$2,0),FALSE),"")</f>
        <v/>
      </c>
      <c r="F546" t="str">
        <f>IFERROR(VLOOKUP($C546,'Miljövärden urval för publ'!$B$2:$H$417,MATCH('Miljövärden för publ företag'!F$4,'Miljövärden urval för publ'!$B$2:$H$2,0),FALSE),"")</f>
        <v/>
      </c>
      <c r="G546" t="str">
        <f>IFERROR(VLOOKUP($C546,'Miljövärden urval för publ'!$B$2:$H$417,MATCH('Miljövärden för publ företag'!G$4,'Miljövärden urval för publ'!$B$2:$H$2,0),FALSE),"")</f>
        <v/>
      </c>
    </row>
    <row r="547" spans="2:7" x14ac:dyDescent="0.45">
      <c r="B547" s="2" t="str">
        <f>IFERROR(INDEX('Miljövärden urval för publ'!$A$2:$AA$420,MATCH('Miljövärden för publ företag'!$A547,'Miljövärden urval för publ'!$R$2:$R$417,0),1),"")</f>
        <v/>
      </c>
      <c r="C547" s="2" t="str">
        <f>IFERROR(INDEX('Miljövärden urval för publ'!$A$2:$AA$420,MATCH('Miljövärden för publ företag'!$A547,'Miljövärden urval för publ'!$R$2:$R$417,0),2),"")</f>
        <v/>
      </c>
      <c r="D547" t="str">
        <f>IFERROR(VLOOKUP($C547,'Miljövärden urval för publ'!$B$2:$H$417,MATCH('Miljövärden för publ företag'!D$4,'Miljövärden urval för publ'!$B$2:$H$2,0),FALSE),"")</f>
        <v/>
      </c>
      <c r="E547" t="str">
        <f>IFERROR(VLOOKUP($C547,'Miljövärden urval för publ'!$B$2:$H$417,MATCH('Miljövärden för publ företag'!E$4,'Miljövärden urval för publ'!$B$2:$H$2,0),FALSE),"")</f>
        <v/>
      </c>
      <c r="F547" t="str">
        <f>IFERROR(VLOOKUP($C547,'Miljövärden urval för publ'!$B$2:$H$417,MATCH('Miljövärden för publ företag'!F$4,'Miljövärden urval för publ'!$B$2:$H$2,0),FALSE),"")</f>
        <v/>
      </c>
      <c r="G547" t="str">
        <f>IFERROR(VLOOKUP($C547,'Miljövärden urval för publ'!$B$2:$H$417,MATCH('Miljövärden för publ företag'!G$4,'Miljövärden urval för publ'!$B$2:$H$2,0),FALSE),"")</f>
        <v/>
      </c>
    </row>
    <row r="548" spans="2:7" x14ac:dyDescent="0.45">
      <c r="B548" s="2" t="str">
        <f>IFERROR(INDEX('Miljövärden urval för publ'!$A$2:$AA$420,MATCH('Miljövärden för publ företag'!$A548,'Miljövärden urval för publ'!$R$2:$R$417,0),1),"")</f>
        <v/>
      </c>
      <c r="C548" s="2" t="str">
        <f>IFERROR(INDEX('Miljövärden urval för publ'!$A$2:$AA$420,MATCH('Miljövärden för publ företag'!$A548,'Miljövärden urval för publ'!$R$2:$R$417,0),2),"")</f>
        <v/>
      </c>
      <c r="D548" t="str">
        <f>IFERROR(VLOOKUP($C548,'Miljövärden urval för publ'!$B$2:$H$417,MATCH('Miljövärden för publ företag'!D$4,'Miljövärden urval för publ'!$B$2:$H$2,0),FALSE),"")</f>
        <v/>
      </c>
      <c r="E548" t="str">
        <f>IFERROR(VLOOKUP($C548,'Miljövärden urval för publ'!$B$2:$H$417,MATCH('Miljövärden för publ företag'!E$4,'Miljövärden urval för publ'!$B$2:$H$2,0),FALSE),"")</f>
        <v/>
      </c>
      <c r="F548" t="str">
        <f>IFERROR(VLOOKUP($C548,'Miljövärden urval för publ'!$B$2:$H$417,MATCH('Miljövärden för publ företag'!F$4,'Miljövärden urval för publ'!$B$2:$H$2,0),FALSE),"")</f>
        <v/>
      </c>
      <c r="G548" t="str">
        <f>IFERROR(VLOOKUP($C548,'Miljövärden urval för publ'!$B$2:$H$417,MATCH('Miljövärden för publ företag'!G$4,'Miljövärden urval för publ'!$B$2:$H$2,0),FALSE),"")</f>
        <v/>
      </c>
    </row>
    <row r="549" spans="2:7" x14ac:dyDescent="0.45">
      <c r="B549" s="2" t="str">
        <f>IFERROR(INDEX('Miljövärden urval för publ'!$A$2:$AA$420,MATCH('Miljövärden för publ företag'!$A549,'Miljövärden urval för publ'!$R$2:$R$417,0),1),"")</f>
        <v/>
      </c>
      <c r="C549" s="2" t="str">
        <f>IFERROR(INDEX('Miljövärden urval för publ'!$A$2:$AA$420,MATCH('Miljövärden för publ företag'!$A549,'Miljövärden urval för publ'!$R$2:$R$417,0),2),"")</f>
        <v/>
      </c>
      <c r="D549" t="str">
        <f>IFERROR(VLOOKUP($C549,'Miljövärden urval för publ'!$B$2:$H$417,MATCH('Miljövärden för publ företag'!D$4,'Miljövärden urval för publ'!$B$2:$H$2,0),FALSE),"")</f>
        <v/>
      </c>
      <c r="E549" t="str">
        <f>IFERROR(VLOOKUP($C549,'Miljövärden urval för publ'!$B$2:$H$417,MATCH('Miljövärden för publ företag'!E$4,'Miljövärden urval för publ'!$B$2:$H$2,0),FALSE),"")</f>
        <v/>
      </c>
      <c r="F549" t="str">
        <f>IFERROR(VLOOKUP($C549,'Miljövärden urval för publ'!$B$2:$H$417,MATCH('Miljövärden för publ företag'!F$4,'Miljövärden urval för publ'!$B$2:$H$2,0),FALSE),"")</f>
        <v/>
      </c>
      <c r="G549" t="str">
        <f>IFERROR(VLOOKUP($C549,'Miljövärden urval för publ'!$B$2:$H$417,MATCH('Miljövärden för publ företag'!G$4,'Miljövärden urval för publ'!$B$2:$H$2,0),FALSE),"")</f>
        <v/>
      </c>
    </row>
    <row r="550" spans="2:7" x14ac:dyDescent="0.45">
      <c r="B550" s="2" t="str">
        <f>IFERROR(INDEX('Miljövärden urval för publ'!$A$2:$AA$420,MATCH('Miljövärden för publ företag'!$A550,'Miljövärden urval för publ'!$R$2:$R$417,0),1),"")</f>
        <v/>
      </c>
      <c r="C550" s="2" t="str">
        <f>IFERROR(INDEX('Miljövärden urval för publ'!$A$2:$AA$420,MATCH('Miljövärden för publ företag'!$A550,'Miljövärden urval för publ'!$R$2:$R$417,0),2),"")</f>
        <v/>
      </c>
      <c r="D550" t="str">
        <f>IFERROR(VLOOKUP($C550,'Miljövärden urval för publ'!$B$2:$H$417,MATCH('Miljövärden för publ företag'!D$4,'Miljövärden urval för publ'!$B$2:$H$2,0),FALSE),"")</f>
        <v/>
      </c>
      <c r="E550" t="str">
        <f>IFERROR(VLOOKUP($C550,'Miljövärden urval för publ'!$B$2:$H$417,MATCH('Miljövärden för publ företag'!E$4,'Miljövärden urval för publ'!$B$2:$H$2,0),FALSE),"")</f>
        <v/>
      </c>
      <c r="F550" t="str">
        <f>IFERROR(VLOOKUP($C550,'Miljövärden urval för publ'!$B$2:$H$417,MATCH('Miljövärden för publ företag'!F$4,'Miljövärden urval för publ'!$B$2:$H$2,0),FALSE),"")</f>
        <v/>
      </c>
      <c r="G550" t="str">
        <f>IFERROR(VLOOKUP($C550,'Miljövärden urval för publ'!$B$2:$H$417,MATCH('Miljövärden för publ företag'!G$4,'Miljövärden urval för publ'!$B$2:$H$2,0),FALSE),"")</f>
        <v/>
      </c>
    </row>
    <row r="551" spans="2:7" x14ac:dyDescent="0.45">
      <c r="B551" s="2" t="str">
        <f>IFERROR(INDEX('Miljövärden urval för publ'!$A$2:$AA$420,MATCH('Miljövärden för publ företag'!$A551,'Miljövärden urval för publ'!$R$2:$R$417,0),1),"")</f>
        <v/>
      </c>
      <c r="C551" s="2" t="str">
        <f>IFERROR(INDEX('Miljövärden urval för publ'!$A$2:$AA$420,MATCH('Miljövärden för publ företag'!$A551,'Miljövärden urval för publ'!$R$2:$R$417,0),2),"")</f>
        <v/>
      </c>
      <c r="D551" t="str">
        <f>IFERROR(VLOOKUP($C551,'Miljövärden urval för publ'!$B$2:$H$417,MATCH('Miljövärden för publ företag'!D$4,'Miljövärden urval för publ'!$B$2:$H$2,0),FALSE),"")</f>
        <v/>
      </c>
      <c r="E551" t="str">
        <f>IFERROR(VLOOKUP($C551,'Miljövärden urval för publ'!$B$2:$H$417,MATCH('Miljövärden för publ företag'!E$4,'Miljövärden urval för publ'!$B$2:$H$2,0),FALSE),"")</f>
        <v/>
      </c>
      <c r="F551" t="str">
        <f>IFERROR(VLOOKUP($C551,'Miljövärden urval för publ'!$B$2:$H$417,MATCH('Miljövärden för publ företag'!F$4,'Miljövärden urval för publ'!$B$2:$H$2,0),FALSE),"")</f>
        <v/>
      </c>
      <c r="G551" t="str">
        <f>IFERROR(VLOOKUP($C551,'Miljövärden urval för publ'!$B$2:$H$417,MATCH('Miljövärden för publ företag'!G$4,'Miljövärden urval för publ'!$B$2:$H$2,0),FALSE),"")</f>
        <v/>
      </c>
    </row>
    <row r="552" spans="2:7" x14ac:dyDescent="0.45">
      <c r="B552" s="2" t="str">
        <f>IFERROR(INDEX('Miljövärden urval för publ'!$A$2:$AA$420,MATCH('Miljövärden för publ företag'!$A552,'Miljövärden urval för publ'!$R$2:$R$417,0),1),"")</f>
        <v/>
      </c>
      <c r="C552" s="2" t="str">
        <f>IFERROR(INDEX('Miljövärden urval för publ'!$A$2:$AA$420,MATCH('Miljövärden för publ företag'!$A552,'Miljövärden urval för publ'!$R$2:$R$417,0),2),"")</f>
        <v/>
      </c>
      <c r="D552" t="str">
        <f>IFERROR(VLOOKUP($C552,'Miljövärden urval för publ'!$B$2:$H$417,MATCH('Miljövärden för publ företag'!D$4,'Miljövärden urval för publ'!$B$2:$H$2,0),FALSE),"")</f>
        <v/>
      </c>
      <c r="E552" t="str">
        <f>IFERROR(VLOOKUP($C552,'Miljövärden urval för publ'!$B$2:$H$417,MATCH('Miljövärden för publ företag'!E$4,'Miljövärden urval för publ'!$B$2:$H$2,0),FALSE),"")</f>
        <v/>
      </c>
      <c r="F552" t="str">
        <f>IFERROR(VLOOKUP($C552,'Miljövärden urval för publ'!$B$2:$H$417,MATCH('Miljövärden för publ företag'!F$4,'Miljövärden urval för publ'!$B$2:$H$2,0),FALSE),"")</f>
        <v/>
      </c>
      <c r="G552" t="str">
        <f>IFERROR(VLOOKUP($C552,'Miljövärden urval för publ'!$B$2:$H$417,MATCH('Miljövärden för publ företag'!G$4,'Miljövärden urval för publ'!$B$2:$H$2,0),FALSE),"")</f>
        <v/>
      </c>
    </row>
    <row r="553" spans="2:7" x14ac:dyDescent="0.45">
      <c r="B553" s="2" t="str">
        <f>IFERROR(INDEX('Miljövärden urval för publ'!$A$2:$AA$420,MATCH('Miljövärden för publ företag'!$A553,'Miljövärden urval för publ'!$R$2:$R$417,0),1),"")</f>
        <v/>
      </c>
      <c r="C553" s="2" t="str">
        <f>IFERROR(INDEX('Miljövärden urval för publ'!$A$2:$AA$420,MATCH('Miljövärden för publ företag'!$A553,'Miljövärden urval för publ'!$R$2:$R$417,0),2),"")</f>
        <v/>
      </c>
      <c r="D553" t="str">
        <f>IFERROR(VLOOKUP($C553,'Miljövärden urval för publ'!$B$2:$H$417,MATCH('Miljövärden för publ företag'!D$4,'Miljövärden urval för publ'!$B$2:$H$2,0),FALSE),"")</f>
        <v/>
      </c>
      <c r="E553" t="str">
        <f>IFERROR(VLOOKUP($C553,'Miljövärden urval för publ'!$B$2:$H$417,MATCH('Miljövärden för publ företag'!E$4,'Miljövärden urval för publ'!$B$2:$H$2,0),FALSE),"")</f>
        <v/>
      </c>
      <c r="F553" t="str">
        <f>IFERROR(VLOOKUP($C553,'Miljövärden urval för publ'!$B$2:$H$417,MATCH('Miljövärden för publ företag'!F$4,'Miljövärden urval för publ'!$B$2:$H$2,0),FALSE),"")</f>
        <v/>
      </c>
      <c r="G553" t="str">
        <f>IFERROR(VLOOKUP($C553,'Miljövärden urval för publ'!$B$2:$H$417,MATCH('Miljövärden för publ företag'!G$4,'Miljövärden urval för publ'!$B$2:$H$2,0),FALSE),"")</f>
        <v/>
      </c>
    </row>
    <row r="554" spans="2:7" x14ac:dyDescent="0.45">
      <c r="B554" s="2" t="str">
        <f>IFERROR(INDEX('Miljövärden urval för publ'!$A$2:$AA$420,MATCH('Miljövärden för publ företag'!$A554,'Miljövärden urval för publ'!$R$2:$R$417,0),1),"")</f>
        <v/>
      </c>
      <c r="C554" s="2" t="str">
        <f>IFERROR(INDEX('Miljövärden urval för publ'!$A$2:$AA$420,MATCH('Miljövärden för publ företag'!$A554,'Miljövärden urval för publ'!$R$2:$R$417,0),2),"")</f>
        <v/>
      </c>
      <c r="D554" t="str">
        <f>IFERROR(VLOOKUP($C554,'Miljövärden urval för publ'!$B$2:$H$417,MATCH('Miljövärden för publ företag'!D$4,'Miljövärden urval för publ'!$B$2:$H$2,0),FALSE),"")</f>
        <v/>
      </c>
      <c r="E554" t="str">
        <f>IFERROR(VLOOKUP($C554,'Miljövärden urval för publ'!$B$2:$H$417,MATCH('Miljövärden för publ företag'!E$4,'Miljövärden urval för publ'!$B$2:$H$2,0),FALSE),"")</f>
        <v/>
      </c>
      <c r="F554" t="str">
        <f>IFERROR(VLOOKUP($C554,'Miljövärden urval för publ'!$B$2:$H$417,MATCH('Miljövärden för publ företag'!F$4,'Miljövärden urval för publ'!$B$2:$H$2,0),FALSE),"")</f>
        <v/>
      </c>
      <c r="G554" t="str">
        <f>IFERROR(VLOOKUP($C554,'Miljövärden urval för publ'!$B$2:$H$417,MATCH('Miljövärden för publ företag'!G$4,'Miljövärden urval för publ'!$B$2:$H$2,0),FALSE),"")</f>
        <v/>
      </c>
    </row>
    <row r="555" spans="2:7" x14ac:dyDescent="0.45">
      <c r="B555" s="2" t="str">
        <f>IFERROR(INDEX('Miljövärden urval för publ'!$A$2:$AA$420,MATCH('Miljövärden för publ företag'!$A555,'Miljövärden urval för publ'!$R$2:$R$417,0),1),"")</f>
        <v/>
      </c>
      <c r="C555" s="2" t="str">
        <f>IFERROR(INDEX('Miljövärden urval för publ'!$A$2:$AA$420,MATCH('Miljövärden för publ företag'!$A555,'Miljövärden urval för publ'!$R$2:$R$417,0),2),"")</f>
        <v/>
      </c>
      <c r="D555" t="str">
        <f>IFERROR(VLOOKUP($C555,'Miljövärden urval för publ'!$B$2:$H$417,MATCH('Miljövärden för publ företag'!D$4,'Miljövärden urval för publ'!$B$2:$H$2,0),FALSE),"")</f>
        <v/>
      </c>
      <c r="E555" t="str">
        <f>IFERROR(VLOOKUP($C555,'Miljövärden urval för publ'!$B$2:$H$417,MATCH('Miljövärden för publ företag'!E$4,'Miljövärden urval för publ'!$B$2:$H$2,0),FALSE),"")</f>
        <v/>
      </c>
      <c r="F555" t="str">
        <f>IFERROR(VLOOKUP($C555,'Miljövärden urval för publ'!$B$2:$H$417,MATCH('Miljövärden för publ företag'!F$4,'Miljövärden urval för publ'!$B$2:$H$2,0),FALSE),"")</f>
        <v/>
      </c>
      <c r="G555" t="str">
        <f>IFERROR(VLOOKUP($C555,'Miljövärden urval för publ'!$B$2:$H$417,MATCH('Miljövärden för publ företag'!G$4,'Miljövärden urval för publ'!$B$2:$H$2,0),FALSE),"")</f>
        <v/>
      </c>
    </row>
    <row r="556" spans="2:7" x14ac:dyDescent="0.45">
      <c r="B556" s="2" t="str">
        <f>IFERROR(INDEX('Miljövärden urval för publ'!$A$2:$AA$420,MATCH('Miljövärden för publ företag'!$A556,'Miljövärden urval för publ'!$R$2:$R$417,0),1),"")</f>
        <v/>
      </c>
      <c r="C556" s="2" t="str">
        <f>IFERROR(INDEX('Miljövärden urval för publ'!$A$2:$AA$420,MATCH('Miljövärden för publ företag'!$A556,'Miljövärden urval för publ'!$R$2:$R$417,0),2),"")</f>
        <v/>
      </c>
      <c r="D556" t="str">
        <f>IFERROR(VLOOKUP($C556,'Miljövärden urval för publ'!$B$2:$H$417,MATCH('Miljövärden för publ företag'!D$4,'Miljövärden urval för publ'!$B$2:$H$2,0),FALSE),"")</f>
        <v/>
      </c>
      <c r="E556" t="str">
        <f>IFERROR(VLOOKUP($C556,'Miljövärden urval för publ'!$B$2:$H$417,MATCH('Miljövärden för publ företag'!E$4,'Miljövärden urval för publ'!$B$2:$H$2,0),FALSE),"")</f>
        <v/>
      </c>
      <c r="F556" t="str">
        <f>IFERROR(VLOOKUP($C556,'Miljövärden urval för publ'!$B$2:$H$417,MATCH('Miljövärden för publ företag'!F$4,'Miljövärden urval för publ'!$B$2:$H$2,0),FALSE),"")</f>
        <v/>
      </c>
      <c r="G556" t="str">
        <f>IFERROR(VLOOKUP($C556,'Miljövärden urval för publ'!$B$2:$H$417,MATCH('Miljövärden för publ företag'!G$4,'Miljövärden urval för publ'!$B$2:$H$2,0),FALSE),"")</f>
        <v/>
      </c>
    </row>
    <row r="557" spans="2:7" x14ac:dyDescent="0.45">
      <c r="B557" s="2" t="str">
        <f>IFERROR(INDEX('Miljövärden urval för publ'!$A$2:$AA$420,MATCH('Miljövärden för publ företag'!$A557,'Miljövärden urval för publ'!$R$2:$R$417,0),1),"")</f>
        <v/>
      </c>
      <c r="C557" s="2" t="str">
        <f>IFERROR(INDEX('Miljövärden urval för publ'!$A$2:$AA$420,MATCH('Miljövärden för publ företag'!$A557,'Miljövärden urval för publ'!$R$2:$R$417,0),2),"")</f>
        <v/>
      </c>
      <c r="D557" t="str">
        <f>IFERROR(VLOOKUP($C557,'Miljövärden urval för publ'!$B$2:$H$417,MATCH('Miljövärden för publ företag'!D$4,'Miljövärden urval för publ'!$B$2:$H$2,0),FALSE),"")</f>
        <v/>
      </c>
      <c r="E557" t="str">
        <f>IFERROR(VLOOKUP($C557,'Miljövärden urval för publ'!$B$2:$H$417,MATCH('Miljövärden för publ företag'!E$4,'Miljövärden urval för publ'!$B$2:$H$2,0),FALSE),"")</f>
        <v/>
      </c>
      <c r="F557" t="str">
        <f>IFERROR(VLOOKUP($C557,'Miljövärden urval för publ'!$B$2:$H$417,MATCH('Miljövärden för publ företag'!F$4,'Miljövärden urval för publ'!$B$2:$H$2,0),FALSE),"")</f>
        <v/>
      </c>
      <c r="G557" t="str">
        <f>IFERROR(VLOOKUP($C557,'Miljövärden urval för publ'!$B$2:$H$417,MATCH('Miljövärden för publ företag'!G$4,'Miljövärden urval för publ'!$B$2:$H$2,0),FALSE),"")</f>
        <v/>
      </c>
    </row>
    <row r="558" spans="2:7" x14ac:dyDescent="0.45">
      <c r="B558" s="2" t="str">
        <f>IFERROR(INDEX('Miljövärden urval för publ'!$A$2:$AA$420,MATCH('Miljövärden för publ företag'!$A558,'Miljövärden urval för publ'!$R$2:$R$417,0),1),"")</f>
        <v/>
      </c>
      <c r="C558" s="2" t="str">
        <f>IFERROR(INDEX('Miljövärden urval för publ'!$A$2:$AA$420,MATCH('Miljövärden för publ företag'!$A558,'Miljövärden urval för publ'!$R$2:$R$417,0),2),"")</f>
        <v/>
      </c>
      <c r="D558" t="str">
        <f>IFERROR(VLOOKUP($C558,'Miljövärden urval för publ'!$B$2:$H$417,MATCH('Miljövärden för publ företag'!D$4,'Miljövärden urval för publ'!$B$2:$H$2,0),FALSE),"")</f>
        <v/>
      </c>
      <c r="E558" t="str">
        <f>IFERROR(VLOOKUP($C558,'Miljövärden urval för publ'!$B$2:$H$417,MATCH('Miljövärden för publ företag'!E$4,'Miljövärden urval för publ'!$B$2:$H$2,0),FALSE),"")</f>
        <v/>
      </c>
      <c r="F558" t="str">
        <f>IFERROR(VLOOKUP($C558,'Miljövärden urval för publ'!$B$2:$H$417,MATCH('Miljövärden för publ företag'!F$4,'Miljövärden urval för publ'!$B$2:$H$2,0),FALSE),"")</f>
        <v/>
      </c>
      <c r="G558" t="str">
        <f>IFERROR(VLOOKUP($C558,'Miljövärden urval för publ'!$B$2:$H$417,MATCH('Miljövärden för publ företag'!G$4,'Miljövärden urval för publ'!$B$2:$H$2,0),FALSE),"")</f>
        <v/>
      </c>
    </row>
    <row r="559" spans="2:7" x14ac:dyDescent="0.45">
      <c r="B559" s="2" t="str">
        <f>IFERROR(INDEX('Miljövärden urval för publ'!$A$2:$AA$420,MATCH('Miljövärden för publ företag'!$A559,'Miljövärden urval för publ'!$R$2:$R$417,0),1),"")</f>
        <v/>
      </c>
      <c r="C559" s="2" t="str">
        <f>IFERROR(INDEX('Miljövärden urval för publ'!$A$2:$AA$420,MATCH('Miljövärden för publ företag'!$A559,'Miljövärden urval för publ'!$R$2:$R$417,0),2),"")</f>
        <v/>
      </c>
      <c r="D559" t="str">
        <f>IFERROR(VLOOKUP($C559,'Miljövärden urval för publ'!$B$2:$H$417,MATCH('Miljövärden för publ företag'!D$4,'Miljövärden urval för publ'!$B$2:$H$2,0),FALSE),"")</f>
        <v/>
      </c>
      <c r="E559" t="str">
        <f>IFERROR(VLOOKUP($C559,'Miljövärden urval för publ'!$B$2:$H$417,MATCH('Miljövärden för publ företag'!E$4,'Miljövärden urval för publ'!$B$2:$H$2,0),FALSE),"")</f>
        <v/>
      </c>
      <c r="F559" t="str">
        <f>IFERROR(VLOOKUP($C559,'Miljövärden urval för publ'!$B$2:$H$417,MATCH('Miljövärden för publ företag'!F$4,'Miljövärden urval för publ'!$B$2:$H$2,0),FALSE),"")</f>
        <v/>
      </c>
      <c r="G559" t="str">
        <f>IFERROR(VLOOKUP($C559,'Miljövärden urval för publ'!$B$2:$H$417,MATCH('Miljövärden för publ företag'!G$4,'Miljövärden urval för publ'!$B$2:$H$2,0),FALSE),"")</f>
        <v/>
      </c>
    </row>
    <row r="560" spans="2:7" x14ac:dyDescent="0.45">
      <c r="B560" s="2" t="str">
        <f>IFERROR(INDEX('Miljövärden urval för publ'!$A$2:$AA$420,MATCH('Miljövärden för publ företag'!$A560,'Miljövärden urval för publ'!$R$2:$R$417,0),1),"")</f>
        <v/>
      </c>
      <c r="C560" s="2" t="str">
        <f>IFERROR(INDEX('Miljövärden urval för publ'!$A$2:$AA$420,MATCH('Miljövärden för publ företag'!$A560,'Miljövärden urval för publ'!$R$2:$R$417,0),2),"")</f>
        <v/>
      </c>
      <c r="D560" t="str">
        <f>IFERROR(VLOOKUP($C560,'Miljövärden urval för publ'!$B$2:$H$417,MATCH('Miljövärden för publ företag'!D$4,'Miljövärden urval för publ'!$B$2:$H$2,0),FALSE),"")</f>
        <v/>
      </c>
      <c r="E560" t="str">
        <f>IFERROR(VLOOKUP($C560,'Miljövärden urval för publ'!$B$2:$H$417,MATCH('Miljövärden för publ företag'!E$4,'Miljövärden urval för publ'!$B$2:$H$2,0),FALSE),"")</f>
        <v/>
      </c>
      <c r="F560" t="str">
        <f>IFERROR(VLOOKUP($C560,'Miljövärden urval för publ'!$B$2:$H$417,MATCH('Miljövärden för publ företag'!F$4,'Miljövärden urval för publ'!$B$2:$H$2,0),FALSE),"")</f>
        <v/>
      </c>
      <c r="G560" t="str">
        <f>IFERROR(VLOOKUP($C560,'Miljövärden urval för publ'!$B$2:$H$417,MATCH('Miljövärden för publ företag'!G$4,'Miljövärden urval för publ'!$B$2:$H$2,0),FALSE),"")</f>
        <v/>
      </c>
    </row>
    <row r="561" spans="2:7" x14ac:dyDescent="0.45">
      <c r="B561" s="2" t="str">
        <f>IFERROR(INDEX('Miljövärden urval för publ'!$A$2:$AA$420,MATCH('Miljövärden för publ företag'!$A561,'Miljövärden urval för publ'!$R$2:$R$417,0),1),"")</f>
        <v/>
      </c>
      <c r="C561" s="2" t="str">
        <f>IFERROR(INDEX('Miljövärden urval för publ'!$A$2:$AA$420,MATCH('Miljövärden för publ företag'!$A561,'Miljövärden urval för publ'!$R$2:$R$417,0),2),"")</f>
        <v/>
      </c>
      <c r="D561" t="str">
        <f>IFERROR(VLOOKUP($C561,'Miljövärden urval för publ'!$B$2:$H$417,MATCH('Miljövärden för publ företag'!D$4,'Miljövärden urval för publ'!$B$2:$H$2,0),FALSE),"")</f>
        <v/>
      </c>
      <c r="E561" t="str">
        <f>IFERROR(VLOOKUP($C561,'Miljövärden urval för publ'!$B$2:$H$417,MATCH('Miljövärden för publ företag'!E$4,'Miljövärden urval för publ'!$B$2:$H$2,0),FALSE),"")</f>
        <v/>
      </c>
      <c r="F561" t="str">
        <f>IFERROR(VLOOKUP($C561,'Miljövärden urval för publ'!$B$2:$H$417,MATCH('Miljövärden för publ företag'!F$4,'Miljövärden urval för publ'!$B$2:$H$2,0),FALSE),"")</f>
        <v/>
      </c>
      <c r="G561" t="str">
        <f>IFERROR(VLOOKUP($C561,'Miljövärden urval för publ'!$B$2:$H$417,MATCH('Miljövärden för publ företag'!G$4,'Miljövärden urval för publ'!$B$2:$H$2,0),FALSE),"")</f>
        <v/>
      </c>
    </row>
    <row r="562" spans="2:7" x14ac:dyDescent="0.45">
      <c r="B562" s="2" t="str">
        <f>IFERROR(INDEX('Miljövärden urval för publ'!$A$2:$AA$420,MATCH('Miljövärden för publ företag'!$A562,'Miljövärden urval för publ'!$R$2:$R$417,0),1),"")</f>
        <v/>
      </c>
      <c r="C562" s="2" t="str">
        <f>IFERROR(INDEX('Miljövärden urval för publ'!$A$2:$AA$420,MATCH('Miljövärden för publ företag'!$A562,'Miljövärden urval för publ'!$R$2:$R$417,0),2),"")</f>
        <v/>
      </c>
      <c r="D562" t="str">
        <f>IFERROR(VLOOKUP($C562,'Miljövärden urval för publ'!$B$2:$H$417,MATCH('Miljövärden för publ företag'!D$4,'Miljövärden urval för publ'!$B$2:$H$2,0),FALSE),"")</f>
        <v/>
      </c>
      <c r="E562" t="str">
        <f>IFERROR(VLOOKUP($C562,'Miljövärden urval för publ'!$B$2:$H$417,MATCH('Miljövärden för publ företag'!E$4,'Miljövärden urval för publ'!$B$2:$H$2,0),FALSE),"")</f>
        <v/>
      </c>
      <c r="F562" t="str">
        <f>IFERROR(VLOOKUP($C562,'Miljövärden urval för publ'!$B$2:$H$417,MATCH('Miljövärden för publ företag'!F$4,'Miljövärden urval för publ'!$B$2:$H$2,0),FALSE),"")</f>
        <v/>
      </c>
      <c r="G562" t="str">
        <f>IFERROR(VLOOKUP($C562,'Miljövärden urval för publ'!$B$2:$H$417,MATCH('Miljövärden för publ företag'!G$4,'Miljövärden urval för publ'!$B$2:$H$2,0),FALSE),"")</f>
        <v/>
      </c>
    </row>
    <row r="563" spans="2:7" x14ac:dyDescent="0.45">
      <c r="B563" s="2" t="str">
        <f>IFERROR(INDEX('Miljövärden urval för publ'!$A$2:$AA$420,MATCH('Miljövärden för publ företag'!$A563,'Miljövärden urval för publ'!$R$2:$R$417,0),1),"")</f>
        <v/>
      </c>
      <c r="C563" s="2" t="str">
        <f>IFERROR(INDEX('Miljövärden urval för publ'!$A$2:$AA$420,MATCH('Miljövärden för publ företag'!$A563,'Miljövärden urval för publ'!$R$2:$R$417,0),2),"")</f>
        <v/>
      </c>
      <c r="D563" t="str">
        <f>IFERROR(VLOOKUP($C563,'Miljövärden urval för publ'!$B$2:$H$417,MATCH('Miljövärden för publ företag'!D$4,'Miljövärden urval för publ'!$B$2:$H$2,0),FALSE),"")</f>
        <v/>
      </c>
      <c r="E563" t="str">
        <f>IFERROR(VLOOKUP($C563,'Miljövärden urval för publ'!$B$2:$H$417,MATCH('Miljövärden för publ företag'!E$4,'Miljövärden urval för publ'!$B$2:$H$2,0),FALSE),"")</f>
        <v/>
      </c>
      <c r="F563" t="str">
        <f>IFERROR(VLOOKUP($C563,'Miljövärden urval för publ'!$B$2:$H$417,MATCH('Miljövärden för publ företag'!F$4,'Miljövärden urval för publ'!$B$2:$H$2,0),FALSE),"")</f>
        <v/>
      </c>
      <c r="G563" t="str">
        <f>IFERROR(VLOOKUP($C563,'Miljövärden urval för publ'!$B$2:$H$417,MATCH('Miljövärden för publ företag'!G$4,'Miljövärden urval för publ'!$B$2:$H$2,0),FALSE),"")</f>
        <v/>
      </c>
    </row>
    <row r="564" spans="2:7" x14ac:dyDescent="0.45">
      <c r="B564" s="2" t="str">
        <f>IFERROR(INDEX('Miljövärden urval för publ'!$A$2:$AA$420,MATCH('Miljövärden för publ företag'!$A564,'Miljövärden urval för publ'!$R$2:$R$417,0),1),"")</f>
        <v/>
      </c>
      <c r="C564" s="2" t="str">
        <f>IFERROR(INDEX('Miljövärden urval för publ'!$A$2:$AA$420,MATCH('Miljövärden för publ företag'!$A564,'Miljövärden urval för publ'!$R$2:$R$417,0),2),"")</f>
        <v/>
      </c>
      <c r="D564" t="str">
        <f>IFERROR(VLOOKUP($C564,'Miljövärden urval för publ'!$B$2:$H$417,MATCH('Miljövärden för publ företag'!D$4,'Miljövärden urval för publ'!$B$2:$H$2,0),FALSE),"")</f>
        <v/>
      </c>
      <c r="E564" t="str">
        <f>IFERROR(VLOOKUP($C564,'Miljövärden urval för publ'!$B$2:$H$417,MATCH('Miljövärden för publ företag'!E$4,'Miljövärden urval för publ'!$B$2:$H$2,0),FALSE),"")</f>
        <v/>
      </c>
      <c r="F564" t="str">
        <f>IFERROR(VLOOKUP($C564,'Miljövärden urval för publ'!$B$2:$H$417,MATCH('Miljövärden för publ företag'!F$4,'Miljövärden urval för publ'!$B$2:$H$2,0),FALSE),"")</f>
        <v/>
      </c>
      <c r="G564" t="str">
        <f>IFERROR(VLOOKUP($C564,'Miljövärden urval för publ'!$B$2:$H$417,MATCH('Miljövärden för publ företag'!G$4,'Miljövärden urval för publ'!$B$2:$H$2,0),FALSE),"")</f>
        <v/>
      </c>
    </row>
    <row r="565" spans="2:7" x14ac:dyDescent="0.45">
      <c r="B565" s="2" t="str">
        <f>IFERROR(INDEX('Miljövärden urval för publ'!$A$2:$AA$420,MATCH('Miljövärden för publ företag'!$A565,'Miljövärden urval för publ'!$R$2:$R$417,0),1),"")</f>
        <v/>
      </c>
      <c r="C565" s="2" t="str">
        <f>IFERROR(INDEX('Miljövärden urval för publ'!$A$2:$AA$420,MATCH('Miljövärden för publ företag'!$A565,'Miljövärden urval för publ'!$R$2:$R$417,0),2),"")</f>
        <v/>
      </c>
      <c r="D565" t="str">
        <f>IFERROR(VLOOKUP($C565,'Miljövärden urval för publ'!$B$2:$H$417,MATCH('Miljövärden för publ företag'!D$4,'Miljövärden urval för publ'!$B$2:$H$2,0),FALSE),"")</f>
        <v/>
      </c>
      <c r="E565" t="str">
        <f>IFERROR(VLOOKUP($C565,'Miljövärden urval för publ'!$B$2:$H$417,MATCH('Miljövärden för publ företag'!E$4,'Miljövärden urval för publ'!$B$2:$H$2,0),FALSE),"")</f>
        <v/>
      </c>
      <c r="F565" t="str">
        <f>IFERROR(VLOOKUP($C565,'Miljövärden urval för publ'!$B$2:$H$417,MATCH('Miljövärden för publ företag'!F$4,'Miljövärden urval för publ'!$B$2:$H$2,0),FALSE),"")</f>
        <v/>
      </c>
      <c r="G565" t="str">
        <f>IFERROR(VLOOKUP($C565,'Miljövärden urval för publ'!$B$2:$H$417,MATCH('Miljövärden för publ företag'!G$4,'Miljövärden urval för publ'!$B$2:$H$2,0),FALSE),"")</f>
        <v/>
      </c>
    </row>
    <row r="566" spans="2:7" x14ac:dyDescent="0.45">
      <c r="B566" s="2" t="str">
        <f>IFERROR(INDEX('Miljövärden urval för publ'!$A$2:$AA$420,MATCH('Miljövärden för publ företag'!$A566,'Miljövärden urval för publ'!$R$2:$R$417,0),1),"")</f>
        <v/>
      </c>
      <c r="C566" s="2" t="str">
        <f>IFERROR(INDEX('Miljövärden urval för publ'!$A$2:$AA$420,MATCH('Miljövärden för publ företag'!$A566,'Miljövärden urval för publ'!$R$2:$R$417,0),2),"")</f>
        <v/>
      </c>
      <c r="D566" t="str">
        <f>IFERROR(VLOOKUP($C566,'Miljövärden urval för publ'!$B$2:$H$417,MATCH('Miljövärden för publ företag'!D$4,'Miljövärden urval för publ'!$B$2:$H$2,0),FALSE),"")</f>
        <v/>
      </c>
      <c r="E566" t="str">
        <f>IFERROR(VLOOKUP($C566,'Miljövärden urval för publ'!$B$2:$H$417,MATCH('Miljövärden för publ företag'!E$4,'Miljövärden urval för publ'!$B$2:$H$2,0),FALSE),"")</f>
        <v/>
      </c>
      <c r="F566" t="str">
        <f>IFERROR(VLOOKUP($C566,'Miljövärden urval för publ'!$B$2:$H$417,MATCH('Miljövärden för publ företag'!F$4,'Miljövärden urval för publ'!$B$2:$H$2,0),FALSE),"")</f>
        <v/>
      </c>
      <c r="G566" t="str">
        <f>IFERROR(VLOOKUP($C566,'Miljövärden urval för publ'!$B$2:$H$417,MATCH('Miljövärden för publ företag'!G$4,'Miljövärden urval för publ'!$B$2:$H$2,0),FALSE),"")</f>
        <v/>
      </c>
    </row>
    <row r="567" spans="2:7" x14ac:dyDescent="0.45">
      <c r="B567" s="2" t="str">
        <f>IFERROR(INDEX('Miljövärden urval för publ'!$A$2:$AA$420,MATCH('Miljövärden för publ företag'!$A567,'Miljövärden urval för publ'!$R$2:$R$417,0),1),"")</f>
        <v/>
      </c>
      <c r="C567" s="2" t="str">
        <f>IFERROR(INDEX('Miljövärden urval för publ'!$A$2:$AA$420,MATCH('Miljövärden för publ företag'!$A567,'Miljövärden urval för publ'!$R$2:$R$417,0),2),"")</f>
        <v/>
      </c>
      <c r="D567" t="str">
        <f>IFERROR(VLOOKUP($C567,'Miljövärden urval för publ'!$B$2:$H$417,MATCH('Miljövärden för publ företag'!D$4,'Miljövärden urval för publ'!$B$2:$H$2,0),FALSE),"")</f>
        <v/>
      </c>
      <c r="E567" t="str">
        <f>IFERROR(VLOOKUP($C567,'Miljövärden urval för publ'!$B$2:$H$417,MATCH('Miljövärden för publ företag'!E$4,'Miljövärden urval för publ'!$B$2:$H$2,0),FALSE),"")</f>
        <v/>
      </c>
      <c r="F567" t="str">
        <f>IFERROR(VLOOKUP($C567,'Miljövärden urval för publ'!$B$2:$H$417,MATCH('Miljövärden för publ företag'!F$4,'Miljövärden urval för publ'!$B$2:$H$2,0),FALSE),"")</f>
        <v/>
      </c>
      <c r="G567" t="str">
        <f>IFERROR(VLOOKUP($C567,'Miljövärden urval för publ'!$B$2:$H$417,MATCH('Miljövärden för publ företag'!G$4,'Miljövärden urval för publ'!$B$2:$H$2,0),FALSE),"")</f>
        <v/>
      </c>
    </row>
    <row r="568" spans="2:7" x14ac:dyDescent="0.45">
      <c r="B568" s="2" t="str">
        <f>IFERROR(INDEX('Miljövärden urval för publ'!$A$2:$AA$420,MATCH('Miljövärden för publ företag'!$A568,'Miljövärden urval för publ'!$R$2:$R$417,0),1),"")</f>
        <v/>
      </c>
      <c r="C568" s="2" t="str">
        <f>IFERROR(INDEX('Miljövärden urval för publ'!$A$2:$AA$420,MATCH('Miljövärden för publ företag'!$A568,'Miljövärden urval för publ'!$R$2:$R$417,0),2),"")</f>
        <v/>
      </c>
      <c r="D568" t="str">
        <f>IFERROR(VLOOKUP($C568,'Miljövärden urval för publ'!$B$2:$H$417,MATCH('Miljövärden för publ företag'!D$4,'Miljövärden urval för publ'!$B$2:$H$2,0),FALSE),"")</f>
        <v/>
      </c>
      <c r="E568" t="str">
        <f>IFERROR(VLOOKUP($C568,'Miljövärden urval för publ'!$B$2:$H$417,MATCH('Miljövärden för publ företag'!E$4,'Miljövärden urval för publ'!$B$2:$H$2,0),FALSE),"")</f>
        <v/>
      </c>
      <c r="F568" t="str">
        <f>IFERROR(VLOOKUP($C568,'Miljövärden urval för publ'!$B$2:$H$417,MATCH('Miljövärden för publ företag'!F$4,'Miljövärden urval för publ'!$B$2:$H$2,0),FALSE),"")</f>
        <v/>
      </c>
      <c r="G568" t="str">
        <f>IFERROR(VLOOKUP($C568,'Miljövärden urval för publ'!$B$2:$H$417,MATCH('Miljövärden för publ företag'!G$4,'Miljövärden urval för publ'!$B$2:$H$2,0),FALSE),"")</f>
        <v/>
      </c>
    </row>
    <row r="569" spans="2:7" x14ac:dyDescent="0.45">
      <c r="B569" s="2" t="str">
        <f>IFERROR(INDEX('Miljövärden urval för publ'!$A$2:$AA$420,MATCH('Miljövärden för publ företag'!$A569,'Miljövärden urval för publ'!$R$2:$R$417,0),1),"")</f>
        <v/>
      </c>
      <c r="C569" s="2" t="str">
        <f>IFERROR(INDEX('Miljövärden urval för publ'!$A$2:$AA$420,MATCH('Miljövärden för publ företag'!$A569,'Miljövärden urval för publ'!$R$2:$R$417,0),2),"")</f>
        <v/>
      </c>
      <c r="D569" t="str">
        <f>IFERROR(VLOOKUP($C569,'Miljövärden urval för publ'!$B$2:$H$417,MATCH('Miljövärden för publ företag'!D$4,'Miljövärden urval för publ'!$B$2:$H$2,0),FALSE),"")</f>
        <v/>
      </c>
      <c r="E569" t="str">
        <f>IFERROR(VLOOKUP($C569,'Miljövärden urval för publ'!$B$2:$H$417,MATCH('Miljövärden för publ företag'!E$4,'Miljövärden urval för publ'!$B$2:$H$2,0),FALSE),"")</f>
        <v/>
      </c>
      <c r="F569" t="str">
        <f>IFERROR(VLOOKUP($C569,'Miljövärden urval för publ'!$B$2:$H$417,MATCH('Miljövärden för publ företag'!F$4,'Miljövärden urval för publ'!$B$2:$H$2,0),FALSE),"")</f>
        <v/>
      </c>
      <c r="G569" t="str">
        <f>IFERROR(VLOOKUP($C569,'Miljövärden urval för publ'!$B$2:$H$417,MATCH('Miljövärden för publ företag'!G$4,'Miljövärden urval för publ'!$B$2:$H$2,0),FALSE),"")</f>
        <v/>
      </c>
    </row>
    <row r="570" spans="2:7" x14ac:dyDescent="0.45">
      <c r="B570" s="2" t="str">
        <f>IFERROR(INDEX('Miljövärden urval för publ'!$A$2:$AA$420,MATCH('Miljövärden för publ företag'!$A570,'Miljövärden urval för publ'!$R$2:$R$417,0),1),"")</f>
        <v/>
      </c>
      <c r="C570" s="2" t="str">
        <f>IFERROR(INDEX('Miljövärden urval för publ'!$A$2:$AA$420,MATCH('Miljövärden för publ företag'!$A570,'Miljövärden urval för publ'!$R$2:$R$417,0),2),"")</f>
        <v/>
      </c>
      <c r="D570" t="str">
        <f>IFERROR(VLOOKUP($C570,'Miljövärden urval för publ'!$B$2:$H$417,MATCH('Miljövärden för publ företag'!D$4,'Miljövärden urval för publ'!$B$2:$H$2,0),FALSE),"")</f>
        <v/>
      </c>
      <c r="E570" t="str">
        <f>IFERROR(VLOOKUP($C570,'Miljövärden urval för publ'!$B$2:$H$417,MATCH('Miljövärden för publ företag'!E$4,'Miljövärden urval för publ'!$B$2:$H$2,0),FALSE),"")</f>
        <v/>
      </c>
      <c r="F570" t="str">
        <f>IFERROR(VLOOKUP($C570,'Miljövärden urval för publ'!$B$2:$H$417,MATCH('Miljövärden för publ företag'!F$4,'Miljövärden urval för publ'!$B$2:$H$2,0),FALSE),"")</f>
        <v/>
      </c>
      <c r="G570" t="str">
        <f>IFERROR(VLOOKUP($C570,'Miljövärden urval för publ'!$B$2:$H$417,MATCH('Miljövärden för publ företag'!G$4,'Miljövärden urval för publ'!$B$2:$H$2,0),FALSE),"")</f>
        <v/>
      </c>
    </row>
    <row r="571" spans="2:7" x14ac:dyDescent="0.45">
      <c r="B571" s="2" t="str">
        <f>IFERROR(INDEX('Miljövärden urval för publ'!$A$2:$AA$420,MATCH('Miljövärden för publ företag'!$A571,'Miljövärden urval för publ'!$R$2:$R$417,0),1),"")</f>
        <v/>
      </c>
      <c r="C571" s="2" t="str">
        <f>IFERROR(INDEX('Miljövärden urval för publ'!$A$2:$AA$420,MATCH('Miljövärden för publ företag'!$A571,'Miljövärden urval för publ'!$R$2:$R$417,0),2),"")</f>
        <v/>
      </c>
      <c r="D571" t="str">
        <f>IFERROR(VLOOKUP($C571,'Miljövärden urval för publ'!$B$2:$H$417,MATCH('Miljövärden för publ företag'!D$4,'Miljövärden urval för publ'!$B$2:$H$2,0),FALSE),"")</f>
        <v/>
      </c>
      <c r="E571" t="str">
        <f>IFERROR(VLOOKUP($C571,'Miljövärden urval för publ'!$B$2:$H$417,MATCH('Miljövärden för publ företag'!E$4,'Miljövärden urval för publ'!$B$2:$H$2,0),FALSE),"")</f>
        <v/>
      </c>
      <c r="F571" t="str">
        <f>IFERROR(VLOOKUP($C571,'Miljövärden urval för publ'!$B$2:$H$417,MATCH('Miljövärden för publ företag'!F$4,'Miljövärden urval för publ'!$B$2:$H$2,0),FALSE),"")</f>
        <v/>
      </c>
      <c r="G571" t="str">
        <f>IFERROR(VLOOKUP($C571,'Miljövärden urval för publ'!$B$2:$H$417,MATCH('Miljövärden för publ företag'!G$4,'Miljövärden urval för publ'!$B$2:$H$2,0),FALSE),"")</f>
        <v/>
      </c>
    </row>
    <row r="572" spans="2:7" x14ac:dyDescent="0.45">
      <c r="B572" s="2" t="str">
        <f>IFERROR(INDEX('Miljövärden urval för publ'!$A$2:$AA$420,MATCH('Miljövärden för publ företag'!$A572,'Miljövärden urval för publ'!$R$2:$R$417,0),1),"")</f>
        <v/>
      </c>
      <c r="C572" s="2" t="str">
        <f>IFERROR(INDEX('Miljövärden urval för publ'!$A$2:$AA$420,MATCH('Miljövärden för publ företag'!$A572,'Miljövärden urval för publ'!$R$2:$R$417,0),2),"")</f>
        <v/>
      </c>
      <c r="D572" t="str">
        <f>IFERROR(VLOOKUP($C572,'Miljövärden urval för publ'!$B$2:$H$417,MATCH('Miljövärden för publ företag'!D$4,'Miljövärden urval för publ'!$B$2:$H$2,0),FALSE),"")</f>
        <v/>
      </c>
      <c r="E572" t="str">
        <f>IFERROR(VLOOKUP($C572,'Miljövärden urval för publ'!$B$2:$H$417,MATCH('Miljövärden för publ företag'!E$4,'Miljövärden urval för publ'!$B$2:$H$2,0),FALSE),"")</f>
        <v/>
      </c>
      <c r="F572" t="str">
        <f>IFERROR(VLOOKUP($C572,'Miljövärden urval för publ'!$B$2:$H$417,MATCH('Miljövärden för publ företag'!F$4,'Miljövärden urval för publ'!$B$2:$H$2,0),FALSE),"")</f>
        <v/>
      </c>
      <c r="G572" t="str">
        <f>IFERROR(VLOOKUP($C572,'Miljövärden urval för publ'!$B$2:$H$417,MATCH('Miljövärden för publ företag'!G$4,'Miljövärden urval för publ'!$B$2:$H$2,0),FALSE),"")</f>
        <v/>
      </c>
    </row>
    <row r="573" spans="2:7" x14ac:dyDescent="0.45">
      <c r="B573" s="2" t="str">
        <f>IFERROR(INDEX('Miljövärden urval för publ'!$A$2:$AA$420,MATCH('Miljövärden för publ företag'!$A573,'Miljövärden urval för publ'!$R$2:$R$417,0),1),"")</f>
        <v/>
      </c>
      <c r="C573" s="2" t="str">
        <f>IFERROR(INDEX('Miljövärden urval för publ'!$A$2:$AA$420,MATCH('Miljövärden för publ företag'!$A573,'Miljövärden urval för publ'!$R$2:$R$417,0),2),"")</f>
        <v/>
      </c>
      <c r="D573" t="str">
        <f>IFERROR(VLOOKUP($C573,'Miljövärden urval för publ'!$B$2:$H$417,MATCH('Miljövärden för publ företag'!D$4,'Miljövärden urval för publ'!$B$2:$H$2,0),FALSE),"")</f>
        <v/>
      </c>
      <c r="E573" t="str">
        <f>IFERROR(VLOOKUP($C573,'Miljövärden urval för publ'!$B$2:$H$417,MATCH('Miljövärden för publ företag'!E$4,'Miljövärden urval för publ'!$B$2:$H$2,0),FALSE),"")</f>
        <v/>
      </c>
      <c r="F573" t="str">
        <f>IFERROR(VLOOKUP($C573,'Miljövärden urval för publ'!$B$2:$H$417,MATCH('Miljövärden för publ företag'!F$4,'Miljövärden urval för publ'!$B$2:$H$2,0),FALSE),"")</f>
        <v/>
      </c>
      <c r="G573" t="str">
        <f>IFERROR(VLOOKUP($C573,'Miljövärden urval för publ'!$B$2:$H$417,MATCH('Miljövärden för publ företag'!G$4,'Miljövärden urval för publ'!$B$2:$H$2,0),FALSE),"")</f>
        <v/>
      </c>
    </row>
    <row r="574" spans="2:7" x14ac:dyDescent="0.45">
      <c r="B574" s="2" t="str">
        <f>IFERROR(INDEX('Miljövärden urval för publ'!$A$2:$AA$420,MATCH('Miljövärden för publ företag'!$A574,'Miljövärden urval för publ'!$R$2:$R$417,0),1),"")</f>
        <v/>
      </c>
      <c r="C574" s="2" t="str">
        <f>IFERROR(INDEX('Miljövärden urval för publ'!$A$2:$AA$420,MATCH('Miljövärden för publ företag'!$A574,'Miljövärden urval för publ'!$R$2:$R$417,0),2),"")</f>
        <v/>
      </c>
      <c r="D574" t="str">
        <f>IFERROR(VLOOKUP($C574,'Miljövärden urval för publ'!$B$2:$H$417,MATCH('Miljövärden för publ företag'!D$4,'Miljövärden urval för publ'!$B$2:$H$2,0),FALSE),"")</f>
        <v/>
      </c>
      <c r="E574" t="str">
        <f>IFERROR(VLOOKUP($C574,'Miljövärden urval för publ'!$B$2:$H$417,MATCH('Miljövärden för publ företag'!E$4,'Miljövärden urval för publ'!$B$2:$H$2,0),FALSE),"")</f>
        <v/>
      </c>
      <c r="F574" t="str">
        <f>IFERROR(VLOOKUP($C574,'Miljövärden urval för publ'!$B$2:$H$417,MATCH('Miljövärden för publ företag'!F$4,'Miljövärden urval för publ'!$B$2:$H$2,0),FALSE),"")</f>
        <v/>
      </c>
      <c r="G574" t="str">
        <f>IFERROR(VLOOKUP($C574,'Miljövärden urval för publ'!$B$2:$H$417,MATCH('Miljövärden för publ företag'!G$4,'Miljövärden urval för publ'!$B$2:$H$2,0),FALSE),"")</f>
        <v/>
      </c>
    </row>
    <row r="575" spans="2:7" x14ac:dyDescent="0.45">
      <c r="B575" s="2" t="str">
        <f>IFERROR(INDEX('Miljövärden urval för publ'!$A$2:$AA$420,MATCH('Miljövärden för publ företag'!$A575,'Miljövärden urval för publ'!$R$2:$R$417,0),1),"")</f>
        <v/>
      </c>
      <c r="C575" s="2" t="str">
        <f>IFERROR(INDEX('Miljövärden urval för publ'!$A$2:$AA$420,MATCH('Miljövärden för publ företag'!$A575,'Miljövärden urval för publ'!$R$2:$R$417,0),2),"")</f>
        <v/>
      </c>
      <c r="D575" t="str">
        <f>IFERROR(VLOOKUP($C575,'Miljövärden urval för publ'!$B$2:$H$417,MATCH('Miljövärden för publ företag'!D$4,'Miljövärden urval för publ'!$B$2:$H$2,0),FALSE),"")</f>
        <v/>
      </c>
      <c r="E575" t="str">
        <f>IFERROR(VLOOKUP($C575,'Miljövärden urval för publ'!$B$2:$H$417,MATCH('Miljövärden för publ företag'!E$4,'Miljövärden urval för publ'!$B$2:$H$2,0),FALSE),"")</f>
        <v/>
      </c>
      <c r="F575" t="str">
        <f>IFERROR(VLOOKUP($C575,'Miljövärden urval för publ'!$B$2:$H$417,MATCH('Miljövärden för publ företag'!F$4,'Miljövärden urval för publ'!$B$2:$H$2,0),FALSE),"")</f>
        <v/>
      </c>
      <c r="G575" t="str">
        <f>IFERROR(VLOOKUP($C575,'Miljövärden urval för publ'!$B$2:$H$417,MATCH('Miljövärden för publ företag'!G$4,'Miljövärden urval för publ'!$B$2:$H$2,0),FALSE),"")</f>
        <v/>
      </c>
    </row>
    <row r="576" spans="2:7" x14ac:dyDescent="0.45">
      <c r="B576" s="2" t="str">
        <f>IFERROR(INDEX('Miljövärden urval för publ'!$A$2:$AA$420,MATCH('Miljövärden för publ företag'!$A576,'Miljövärden urval för publ'!$R$2:$R$417,0),1),"")</f>
        <v/>
      </c>
      <c r="C576" s="2" t="str">
        <f>IFERROR(INDEX('Miljövärden urval för publ'!$A$2:$AA$420,MATCH('Miljövärden för publ företag'!$A576,'Miljövärden urval för publ'!$R$2:$R$417,0),2),"")</f>
        <v/>
      </c>
      <c r="D576" t="str">
        <f>IFERROR(VLOOKUP($C576,'Miljövärden urval för publ'!$B$2:$H$417,MATCH('Miljövärden för publ företag'!D$4,'Miljövärden urval för publ'!$B$2:$H$2,0),FALSE),"")</f>
        <v/>
      </c>
      <c r="E576" t="str">
        <f>IFERROR(VLOOKUP($C576,'Miljövärden urval för publ'!$B$2:$H$417,MATCH('Miljövärden för publ företag'!E$4,'Miljövärden urval för publ'!$B$2:$H$2,0),FALSE),"")</f>
        <v/>
      </c>
      <c r="F576" t="str">
        <f>IFERROR(VLOOKUP($C576,'Miljövärden urval för publ'!$B$2:$H$417,MATCH('Miljövärden för publ företag'!F$4,'Miljövärden urval för publ'!$B$2:$H$2,0),FALSE),"")</f>
        <v/>
      </c>
      <c r="G576" t="str">
        <f>IFERROR(VLOOKUP($C576,'Miljövärden urval för publ'!$B$2:$H$417,MATCH('Miljövärden för publ företag'!G$4,'Miljövärden urval för publ'!$B$2:$H$2,0),FALSE),"")</f>
        <v/>
      </c>
    </row>
    <row r="577" spans="2:7" x14ac:dyDescent="0.45">
      <c r="B577" s="2" t="str">
        <f>IFERROR(INDEX('Miljövärden urval för publ'!$A$2:$AA$420,MATCH('Miljövärden för publ företag'!$A577,'Miljövärden urval för publ'!$R$2:$R$417,0),1),"")</f>
        <v/>
      </c>
      <c r="C577" s="2" t="str">
        <f>IFERROR(INDEX('Miljövärden urval för publ'!$A$2:$AA$420,MATCH('Miljövärden för publ företag'!$A577,'Miljövärden urval för publ'!$R$2:$R$417,0),2),"")</f>
        <v/>
      </c>
      <c r="D577" t="str">
        <f>IFERROR(VLOOKUP($C577,'Miljövärden urval för publ'!$B$2:$H$417,MATCH('Miljövärden för publ företag'!D$4,'Miljövärden urval för publ'!$B$2:$H$2,0),FALSE),"")</f>
        <v/>
      </c>
      <c r="E577" t="str">
        <f>IFERROR(VLOOKUP($C577,'Miljövärden urval för publ'!$B$2:$H$417,MATCH('Miljövärden för publ företag'!E$4,'Miljövärden urval för publ'!$B$2:$H$2,0),FALSE),"")</f>
        <v/>
      </c>
      <c r="F577" t="str">
        <f>IFERROR(VLOOKUP($C577,'Miljövärden urval för publ'!$B$2:$H$417,MATCH('Miljövärden för publ företag'!F$4,'Miljövärden urval för publ'!$B$2:$H$2,0),FALSE),"")</f>
        <v/>
      </c>
      <c r="G577" t="str">
        <f>IFERROR(VLOOKUP($C577,'Miljövärden urval för publ'!$B$2:$H$417,MATCH('Miljövärden för publ företag'!G$4,'Miljövärden urval för publ'!$B$2:$H$2,0),FALSE),"")</f>
        <v/>
      </c>
    </row>
    <row r="578" spans="2:7" x14ac:dyDescent="0.45">
      <c r="B578" s="2" t="str">
        <f>IFERROR(INDEX('Miljövärden urval för publ'!$A$2:$AA$420,MATCH('Miljövärden för publ företag'!$A578,'Miljövärden urval för publ'!$R$2:$R$417,0),1),"")</f>
        <v/>
      </c>
      <c r="C578" s="2" t="str">
        <f>IFERROR(INDEX('Miljövärden urval för publ'!$A$2:$AA$420,MATCH('Miljövärden för publ företag'!$A578,'Miljövärden urval för publ'!$R$2:$R$417,0),2),"")</f>
        <v/>
      </c>
      <c r="D578" t="str">
        <f>IFERROR(VLOOKUP($C578,'Miljövärden urval för publ'!$B$2:$H$417,MATCH('Miljövärden för publ företag'!D$4,'Miljövärden urval för publ'!$B$2:$H$2,0),FALSE),"")</f>
        <v/>
      </c>
      <c r="E578" t="str">
        <f>IFERROR(VLOOKUP($C578,'Miljövärden urval för publ'!$B$2:$H$417,MATCH('Miljövärden för publ företag'!E$4,'Miljövärden urval för publ'!$B$2:$H$2,0),FALSE),"")</f>
        <v/>
      </c>
      <c r="F578" t="str">
        <f>IFERROR(VLOOKUP($C578,'Miljövärden urval för publ'!$B$2:$H$417,MATCH('Miljövärden för publ företag'!F$4,'Miljövärden urval för publ'!$B$2:$H$2,0),FALSE),"")</f>
        <v/>
      </c>
      <c r="G578" t="str">
        <f>IFERROR(VLOOKUP($C578,'Miljövärden urval för publ'!$B$2:$H$417,MATCH('Miljövärden för publ företag'!G$4,'Miljövärden urval för publ'!$B$2:$H$2,0),FALSE),"")</f>
        <v/>
      </c>
    </row>
    <row r="579" spans="2:7" x14ac:dyDescent="0.45">
      <c r="B579" s="2" t="str">
        <f>IFERROR(INDEX('Miljövärden urval för publ'!$A$2:$AA$420,MATCH('Miljövärden för publ företag'!$A579,'Miljövärden urval för publ'!$R$2:$R$417,0),1),"")</f>
        <v/>
      </c>
      <c r="C579" s="2" t="str">
        <f>IFERROR(INDEX('Miljövärden urval för publ'!$A$2:$AA$420,MATCH('Miljövärden för publ företag'!$A579,'Miljövärden urval för publ'!$R$2:$R$417,0),2),"")</f>
        <v/>
      </c>
      <c r="D579" t="str">
        <f>IFERROR(VLOOKUP($C579,'Miljövärden urval för publ'!$B$2:$H$417,MATCH('Miljövärden för publ företag'!D$4,'Miljövärden urval för publ'!$B$2:$H$2,0),FALSE),"")</f>
        <v/>
      </c>
      <c r="E579" t="str">
        <f>IFERROR(VLOOKUP($C579,'Miljövärden urval för publ'!$B$2:$H$417,MATCH('Miljövärden för publ företag'!E$4,'Miljövärden urval för publ'!$B$2:$H$2,0),FALSE),"")</f>
        <v/>
      </c>
      <c r="F579" t="str">
        <f>IFERROR(VLOOKUP($C579,'Miljövärden urval för publ'!$B$2:$H$417,MATCH('Miljövärden för publ företag'!F$4,'Miljövärden urval för publ'!$B$2:$H$2,0),FALSE),"")</f>
        <v/>
      </c>
      <c r="G579" t="str">
        <f>IFERROR(VLOOKUP($C579,'Miljövärden urval för publ'!$B$2:$H$417,MATCH('Miljövärden för publ företag'!G$4,'Miljövärden urval för publ'!$B$2:$H$2,0),FALSE),"")</f>
        <v/>
      </c>
    </row>
    <row r="580" spans="2:7" x14ac:dyDescent="0.45">
      <c r="B580" s="2" t="str">
        <f>IFERROR(INDEX('Miljövärden urval för publ'!$A$2:$AA$420,MATCH('Miljövärden för publ företag'!$A580,'Miljövärden urval för publ'!$R$2:$R$417,0),1),"")</f>
        <v/>
      </c>
      <c r="C580" s="2" t="str">
        <f>IFERROR(INDEX('Miljövärden urval för publ'!$A$2:$AA$420,MATCH('Miljövärden för publ företag'!$A580,'Miljövärden urval för publ'!$R$2:$R$417,0),2),"")</f>
        <v/>
      </c>
      <c r="D580" t="str">
        <f>IFERROR(VLOOKUP($C580,'Miljövärden urval för publ'!$B$2:$H$417,MATCH('Miljövärden för publ företag'!D$4,'Miljövärden urval för publ'!$B$2:$H$2,0),FALSE),"")</f>
        <v/>
      </c>
      <c r="E580" t="str">
        <f>IFERROR(VLOOKUP($C580,'Miljövärden urval för publ'!$B$2:$H$417,MATCH('Miljövärden för publ företag'!E$4,'Miljövärden urval för publ'!$B$2:$H$2,0),FALSE),"")</f>
        <v/>
      </c>
      <c r="F580" t="str">
        <f>IFERROR(VLOOKUP($C580,'Miljövärden urval för publ'!$B$2:$H$417,MATCH('Miljövärden för publ företag'!F$4,'Miljövärden urval för publ'!$B$2:$H$2,0),FALSE),"")</f>
        <v/>
      </c>
      <c r="G580" t="str">
        <f>IFERROR(VLOOKUP($C580,'Miljövärden urval för publ'!$B$2:$H$417,MATCH('Miljövärden för publ företag'!G$4,'Miljövärden urval för publ'!$B$2:$H$2,0),FALSE),"")</f>
        <v/>
      </c>
    </row>
    <row r="581" spans="2:7" x14ac:dyDescent="0.45">
      <c r="B581" s="2" t="str">
        <f>IFERROR(INDEX('Miljövärden urval för publ'!$A$2:$AA$420,MATCH('Miljövärden för publ företag'!$A581,'Miljövärden urval för publ'!$R$2:$R$417,0),1),"")</f>
        <v/>
      </c>
      <c r="C581" s="2" t="str">
        <f>IFERROR(INDEX('Miljövärden urval för publ'!$A$2:$AA$420,MATCH('Miljövärden för publ företag'!$A581,'Miljövärden urval för publ'!$R$2:$R$417,0),2),"")</f>
        <v/>
      </c>
      <c r="D581" t="str">
        <f>IFERROR(VLOOKUP($C581,'Miljövärden urval för publ'!$B$2:$H$417,MATCH('Miljövärden för publ företag'!D$4,'Miljövärden urval för publ'!$B$2:$H$2,0),FALSE),"")</f>
        <v/>
      </c>
      <c r="E581" t="str">
        <f>IFERROR(VLOOKUP($C581,'Miljövärden urval för publ'!$B$2:$H$417,MATCH('Miljövärden för publ företag'!E$4,'Miljövärden urval för publ'!$B$2:$H$2,0),FALSE),"")</f>
        <v/>
      </c>
      <c r="F581" t="str">
        <f>IFERROR(VLOOKUP($C581,'Miljövärden urval för publ'!$B$2:$H$417,MATCH('Miljövärden för publ företag'!F$4,'Miljövärden urval för publ'!$B$2:$H$2,0),FALSE),"")</f>
        <v/>
      </c>
      <c r="G581" t="str">
        <f>IFERROR(VLOOKUP($C581,'Miljövärden urval för publ'!$B$2:$H$417,MATCH('Miljövärden för publ företag'!G$4,'Miljövärden urval för publ'!$B$2:$H$2,0),FALSE),"")</f>
        <v/>
      </c>
    </row>
    <row r="582" spans="2:7" x14ac:dyDescent="0.45">
      <c r="B582" s="2" t="str">
        <f>IFERROR(INDEX('Miljövärden urval för publ'!$A$2:$AA$420,MATCH('Miljövärden för publ företag'!$A582,'Miljövärden urval för publ'!$R$2:$R$417,0),1),"")</f>
        <v/>
      </c>
      <c r="C582" s="2" t="str">
        <f>IFERROR(INDEX('Miljövärden urval för publ'!$A$2:$AA$420,MATCH('Miljövärden för publ företag'!$A582,'Miljövärden urval för publ'!$R$2:$R$417,0),2),"")</f>
        <v/>
      </c>
      <c r="D582" t="str">
        <f>IFERROR(VLOOKUP($C582,'Miljövärden urval för publ'!$B$2:$H$417,MATCH('Miljövärden för publ företag'!D$4,'Miljövärden urval för publ'!$B$2:$H$2,0),FALSE),"")</f>
        <v/>
      </c>
      <c r="E582" t="str">
        <f>IFERROR(VLOOKUP($C582,'Miljövärden urval för publ'!$B$2:$H$417,MATCH('Miljövärden för publ företag'!E$4,'Miljövärden urval för publ'!$B$2:$H$2,0),FALSE),"")</f>
        <v/>
      </c>
      <c r="F582" t="str">
        <f>IFERROR(VLOOKUP($C582,'Miljövärden urval för publ'!$B$2:$H$417,MATCH('Miljövärden för publ företag'!F$4,'Miljövärden urval för publ'!$B$2:$H$2,0),FALSE),"")</f>
        <v/>
      </c>
      <c r="G582" t="str">
        <f>IFERROR(VLOOKUP($C582,'Miljövärden urval för publ'!$B$2:$H$417,MATCH('Miljövärden för publ företag'!G$4,'Miljövärden urval för publ'!$B$2:$H$2,0),FALSE),"")</f>
        <v/>
      </c>
    </row>
    <row r="583" spans="2:7" x14ac:dyDescent="0.45">
      <c r="B583" s="2" t="str">
        <f>IFERROR(INDEX('Miljövärden urval för publ'!$A$2:$AA$420,MATCH('Miljövärden för publ företag'!$A583,'Miljövärden urval för publ'!$R$2:$R$417,0),1),"")</f>
        <v/>
      </c>
      <c r="C583" s="2" t="str">
        <f>IFERROR(INDEX('Miljövärden urval för publ'!$A$2:$AA$420,MATCH('Miljövärden för publ företag'!$A583,'Miljövärden urval för publ'!$R$2:$R$417,0),2),"")</f>
        <v/>
      </c>
      <c r="D583" t="str">
        <f>IFERROR(VLOOKUP($C583,'Miljövärden urval för publ'!$B$2:$H$417,MATCH('Miljövärden för publ företag'!D$4,'Miljövärden urval för publ'!$B$2:$H$2,0),FALSE),"")</f>
        <v/>
      </c>
      <c r="E583" t="str">
        <f>IFERROR(VLOOKUP($C583,'Miljövärden urval för publ'!$B$2:$H$417,MATCH('Miljövärden för publ företag'!E$4,'Miljövärden urval för publ'!$B$2:$H$2,0),FALSE),"")</f>
        <v/>
      </c>
      <c r="F583" t="str">
        <f>IFERROR(VLOOKUP($C583,'Miljövärden urval för publ'!$B$2:$H$417,MATCH('Miljövärden för publ företag'!F$4,'Miljövärden urval för publ'!$B$2:$H$2,0),FALSE),"")</f>
        <v/>
      </c>
      <c r="G583" t="str">
        <f>IFERROR(VLOOKUP($C583,'Miljövärden urval för publ'!$B$2:$H$417,MATCH('Miljövärden för publ företag'!G$4,'Miljövärden urval för publ'!$B$2:$H$2,0),FALSE),"")</f>
        <v/>
      </c>
    </row>
    <row r="584" spans="2:7" x14ac:dyDescent="0.45">
      <c r="B584" s="2" t="str">
        <f>IFERROR(INDEX('Miljövärden urval för publ'!$A$2:$AA$420,MATCH('Miljövärden för publ företag'!$A584,'Miljövärden urval för publ'!$R$2:$R$417,0),1),"")</f>
        <v/>
      </c>
      <c r="C584" s="2" t="str">
        <f>IFERROR(INDEX('Miljövärden urval för publ'!$A$2:$AA$420,MATCH('Miljövärden för publ företag'!$A584,'Miljövärden urval för publ'!$R$2:$R$417,0),2),"")</f>
        <v/>
      </c>
      <c r="D584" t="str">
        <f>IFERROR(VLOOKUP($C584,'Miljövärden urval för publ'!$B$2:$H$417,MATCH('Miljövärden för publ företag'!D$4,'Miljövärden urval för publ'!$B$2:$H$2,0),FALSE),"")</f>
        <v/>
      </c>
      <c r="E584" t="str">
        <f>IFERROR(VLOOKUP($C584,'Miljövärden urval för publ'!$B$2:$H$417,MATCH('Miljövärden för publ företag'!E$4,'Miljövärden urval för publ'!$B$2:$H$2,0),FALSE),"")</f>
        <v/>
      </c>
      <c r="F584" t="str">
        <f>IFERROR(VLOOKUP($C584,'Miljövärden urval för publ'!$B$2:$H$417,MATCH('Miljövärden för publ företag'!F$4,'Miljövärden urval för publ'!$B$2:$H$2,0),FALSE),"")</f>
        <v/>
      </c>
      <c r="G584" t="str">
        <f>IFERROR(VLOOKUP($C584,'Miljövärden urval för publ'!$B$2:$H$417,MATCH('Miljövärden för publ företag'!G$4,'Miljövärden urval för publ'!$B$2:$H$2,0),FALSE),"")</f>
        <v/>
      </c>
    </row>
    <row r="585" spans="2:7" x14ac:dyDescent="0.45">
      <c r="B585" s="2" t="str">
        <f>IFERROR(INDEX('Miljövärden urval för publ'!$A$2:$AA$420,MATCH('Miljövärden för publ företag'!$A585,'Miljövärden urval för publ'!$R$2:$R$417,0),1),"")</f>
        <v/>
      </c>
      <c r="C585" s="2" t="str">
        <f>IFERROR(INDEX('Miljövärden urval för publ'!$A$2:$AA$420,MATCH('Miljövärden för publ företag'!$A585,'Miljövärden urval för publ'!$R$2:$R$417,0),2),"")</f>
        <v/>
      </c>
      <c r="D585" t="str">
        <f>IFERROR(VLOOKUP($C585,'Miljövärden urval för publ'!$B$2:$H$417,MATCH('Miljövärden för publ företag'!D$4,'Miljövärden urval för publ'!$B$2:$H$2,0),FALSE),"")</f>
        <v/>
      </c>
      <c r="E585" t="str">
        <f>IFERROR(VLOOKUP($C585,'Miljövärden urval för publ'!$B$2:$H$417,MATCH('Miljövärden för publ företag'!E$4,'Miljövärden urval för publ'!$B$2:$H$2,0),FALSE),"")</f>
        <v/>
      </c>
      <c r="F585" t="str">
        <f>IFERROR(VLOOKUP($C585,'Miljövärden urval för publ'!$B$2:$H$417,MATCH('Miljövärden för publ företag'!F$4,'Miljövärden urval för publ'!$B$2:$H$2,0),FALSE),"")</f>
        <v/>
      </c>
      <c r="G585" t="str">
        <f>IFERROR(VLOOKUP($C585,'Miljövärden urval för publ'!$B$2:$H$417,MATCH('Miljövärden för publ företag'!G$4,'Miljövärden urval för publ'!$B$2:$H$2,0),FALSE),"")</f>
        <v/>
      </c>
    </row>
    <row r="586" spans="2:7" x14ac:dyDescent="0.45">
      <c r="B586" s="2" t="str">
        <f>IFERROR(INDEX('Miljövärden urval för publ'!$A$2:$AA$420,MATCH('Miljövärden för publ företag'!$A586,'Miljövärden urval för publ'!$R$2:$R$417,0),1),"")</f>
        <v/>
      </c>
      <c r="C586" s="2" t="str">
        <f>IFERROR(INDEX('Miljövärden urval för publ'!$A$2:$AA$420,MATCH('Miljövärden för publ företag'!$A586,'Miljövärden urval för publ'!$R$2:$R$417,0),2),"")</f>
        <v/>
      </c>
      <c r="D586" t="str">
        <f>IFERROR(VLOOKUP($C586,'Miljövärden urval för publ'!$B$2:$H$417,MATCH('Miljövärden för publ företag'!D$4,'Miljövärden urval för publ'!$B$2:$H$2,0),FALSE),"")</f>
        <v/>
      </c>
      <c r="E586" t="str">
        <f>IFERROR(VLOOKUP($C586,'Miljövärden urval för publ'!$B$2:$H$417,MATCH('Miljövärden för publ företag'!E$4,'Miljövärden urval för publ'!$B$2:$H$2,0),FALSE),"")</f>
        <v/>
      </c>
      <c r="F586" t="str">
        <f>IFERROR(VLOOKUP($C586,'Miljövärden urval för publ'!$B$2:$H$417,MATCH('Miljövärden för publ företag'!F$4,'Miljövärden urval för publ'!$B$2:$H$2,0),FALSE),"")</f>
        <v/>
      </c>
      <c r="G586" t="str">
        <f>IFERROR(VLOOKUP($C586,'Miljövärden urval för publ'!$B$2:$H$417,MATCH('Miljövärden för publ företag'!G$4,'Miljövärden urval för publ'!$B$2:$H$2,0),FALSE),"")</f>
        <v/>
      </c>
    </row>
    <row r="587" spans="2:7" x14ac:dyDescent="0.45">
      <c r="B587" s="2" t="str">
        <f>IFERROR(INDEX('Miljövärden urval för publ'!$A$2:$AA$420,MATCH('Miljövärden för publ företag'!$A587,'Miljövärden urval för publ'!$R$2:$R$417,0),1),"")</f>
        <v/>
      </c>
      <c r="C587" s="2" t="str">
        <f>IFERROR(INDEX('Miljövärden urval för publ'!$A$2:$AA$420,MATCH('Miljövärden för publ företag'!$A587,'Miljövärden urval för publ'!$R$2:$R$417,0),2),"")</f>
        <v/>
      </c>
      <c r="D587" t="str">
        <f>IFERROR(VLOOKUP($C587,'Miljövärden urval för publ'!$B$2:$H$417,MATCH('Miljövärden för publ företag'!D$4,'Miljövärden urval för publ'!$B$2:$H$2,0),FALSE),"")</f>
        <v/>
      </c>
      <c r="E587" t="str">
        <f>IFERROR(VLOOKUP($C587,'Miljövärden urval för publ'!$B$2:$H$417,MATCH('Miljövärden för publ företag'!E$4,'Miljövärden urval för publ'!$B$2:$H$2,0),FALSE),"")</f>
        <v/>
      </c>
      <c r="F587" t="str">
        <f>IFERROR(VLOOKUP($C587,'Miljövärden urval för publ'!$B$2:$H$417,MATCH('Miljövärden för publ företag'!F$4,'Miljövärden urval för publ'!$B$2:$H$2,0),FALSE),"")</f>
        <v/>
      </c>
      <c r="G587" t="str">
        <f>IFERROR(VLOOKUP($C587,'Miljövärden urval för publ'!$B$2:$H$417,MATCH('Miljövärden för publ företag'!G$4,'Miljövärden urval för publ'!$B$2:$H$2,0),FALSE),"")</f>
        <v/>
      </c>
    </row>
    <row r="588" spans="2:7" x14ac:dyDescent="0.45">
      <c r="B588" s="2" t="str">
        <f>IFERROR(INDEX('Miljövärden urval för publ'!$A$2:$AA$420,MATCH('Miljövärden för publ företag'!$A588,'Miljövärden urval för publ'!$R$2:$R$417,0),1),"")</f>
        <v/>
      </c>
      <c r="C588" s="2" t="str">
        <f>IFERROR(INDEX('Miljövärden urval för publ'!$A$2:$AA$420,MATCH('Miljövärden för publ företag'!$A588,'Miljövärden urval för publ'!$R$2:$R$417,0),2),"")</f>
        <v/>
      </c>
      <c r="D588" t="str">
        <f>IFERROR(VLOOKUP($C588,'Miljövärden urval för publ'!$B$2:$H$417,MATCH('Miljövärden för publ företag'!D$4,'Miljövärden urval för publ'!$B$2:$H$2,0),FALSE),"")</f>
        <v/>
      </c>
      <c r="E588" t="str">
        <f>IFERROR(VLOOKUP($C588,'Miljövärden urval för publ'!$B$2:$H$417,MATCH('Miljövärden för publ företag'!E$4,'Miljövärden urval för publ'!$B$2:$H$2,0),FALSE),"")</f>
        <v/>
      </c>
      <c r="F588" t="str">
        <f>IFERROR(VLOOKUP($C588,'Miljövärden urval för publ'!$B$2:$H$417,MATCH('Miljövärden för publ företag'!F$4,'Miljövärden urval för publ'!$B$2:$H$2,0),FALSE),"")</f>
        <v/>
      </c>
      <c r="G588" t="str">
        <f>IFERROR(VLOOKUP($C588,'Miljövärden urval för publ'!$B$2:$H$417,MATCH('Miljövärden för publ företag'!G$4,'Miljövärden urval för publ'!$B$2:$H$2,0),FALSE),"")</f>
        <v/>
      </c>
    </row>
    <row r="589" spans="2:7" x14ac:dyDescent="0.45">
      <c r="B589" s="2" t="str">
        <f>IFERROR(INDEX('Miljövärden urval för publ'!$A$2:$AA$420,MATCH('Miljövärden för publ företag'!$A589,'Miljövärden urval för publ'!$R$2:$R$417,0),1),"")</f>
        <v/>
      </c>
      <c r="C589" s="2" t="str">
        <f>IFERROR(INDEX('Miljövärden urval för publ'!$A$2:$AA$420,MATCH('Miljövärden för publ företag'!$A589,'Miljövärden urval för publ'!$R$2:$R$417,0),2),"")</f>
        <v/>
      </c>
      <c r="D589" t="str">
        <f>IFERROR(VLOOKUP($C589,'Miljövärden urval för publ'!$B$2:$H$417,MATCH('Miljövärden för publ företag'!D$4,'Miljövärden urval för publ'!$B$2:$H$2,0),FALSE),"")</f>
        <v/>
      </c>
      <c r="E589" t="str">
        <f>IFERROR(VLOOKUP($C589,'Miljövärden urval för publ'!$B$2:$H$417,MATCH('Miljövärden för publ företag'!E$4,'Miljövärden urval för publ'!$B$2:$H$2,0),FALSE),"")</f>
        <v/>
      </c>
      <c r="F589" t="str">
        <f>IFERROR(VLOOKUP($C589,'Miljövärden urval för publ'!$B$2:$H$417,MATCH('Miljövärden för publ företag'!F$4,'Miljövärden urval för publ'!$B$2:$H$2,0),FALSE),"")</f>
        <v/>
      </c>
      <c r="G589" t="str">
        <f>IFERROR(VLOOKUP($C589,'Miljövärden urval för publ'!$B$2:$H$417,MATCH('Miljövärden för publ företag'!G$4,'Miljövärden urval för publ'!$B$2:$H$2,0),FALSE),"")</f>
        <v/>
      </c>
    </row>
    <row r="590" spans="2:7" x14ac:dyDescent="0.45">
      <c r="B590" s="2" t="str">
        <f>IFERROR(INDEX('Miljövärden urval för publ'!$A$2:$AA$420,MATCH('Miljövärden för publ företag'!$A590,'Miljövärden urval för publ'!$R$2:$R$417,0),1),"")</f>
        <v/>
      </c>
      <c r="C590" s="2" t="str">
        <f>IFERROR(INDEX('Miljövärden urval för publ'!$A$2:$AA$420,MATCH('Miljövärden för publ företag'!$A590,'Miljövärden urval för publ'!$R$2:$R$417,0),2),"")</f>
        <v/>
      </c>
      <c r="D590" t="str">
        <f>IFERROR(VLOOKUP($C590,'Miljövärden urval för publ'!$B$2:$H$417,MATCH('Miljövärden för publ företag'!D$4,'Miljövärden urval för publ'!$B$2:$H$2,0),FALSE),"")</f>
        <v/>
      </c>
      <c r="E590" t="str">
        <f>IFERROR(VLOOKUP($C590,'Miljövärden urval för publ'!$B$2:$H$417,MATCH('Miljövärden för publ företag'!E$4,'Miljövärden urval för publ'!$B$2:$H$2,0),FALSE),"")</f>
        <v/>
      </c>
      <c r="F590" t="str">
        <f>IFERROR(VLOOKUP($C590,'Miljövärden urval för publ'!$B$2:$H$417,MATCH('Miljövärden för publ företag'!F$4,'Miljövärden urval för publ'!$B$2:$H$2,0),FALSE),"")</f>
        <v/>
      </c>
      <c r="G590" t="str">
        <f>IFERROR(VLOOKUP($C590,'Miljövärden urval för publ'!$B$2:$H$417,MATCH('Miljövärden för publ företag'!G$4,'Miljövärden urval för publ'!$B$2:$H$2,0),FALSE),"")</f>
        <v/>
      </c>
    </row>
    <row r="591" spans="2:7" x14ac:dyDescent="0.45">
      <c r="B591" s="2" t="str">
        <f>IFERROR(INDEX('Miljövärden urval för publ'!$A$2:$AA$420,MATCH('Miljövärden för publ företag'!$A591,'Miljövärden urval för publ'!$R$2:$R$417,0),1),"")</f>
        <v/>
      </c>
      <c r="C591" s="2" t="str">
        <f>IFERROR(INDEX('Miljövärden urval för publ'!$A$2:$AA$420,MATCH('Miljövärden för publ företag'!$A591,'Miljövärden urval för publ'!$R$2:$R$417,0),2),"")</f>
        <v/>
      </c>
      <c r="D591" t="str">
        <f>IFERROR(VLOOKUP($C591,'Miljövärden urval för publ'!$B$2:$H$417,MATCH('Miljövärden för publ företag'!D$4,'Miljövärden urval för publ'!$B$2:$H$2,0),FALSE),"")</f>
        <v/>
      </c>
      <c r="E591" t="str">
        <f>IFERROR(VLOOKUP($C591,'Miljövärden urval för publ'!$B$2:$H$417,MATCH('Miljövärden för publ företag'!E$4,'Miljövärden urval för publ'!$B$2:$H$2,0),FALSE),"")</f>
        <v/>
      </c>
      <c r="F591" t="str">
        <f>IFERROR(VLOOKUP($C591,'Miljövärden urval för publ'!$B$2:$H$417,MATCH('Miljövärden för publ företag'!F$4,'Miljövärden urval för publ'!$B$2:$H$2,0),FALSE),"")</f>
        <v/>
      </c>
      <c r="G591" t="str">
        <f>IFERROR(VLOOKUP($C591,'Miljövärden urval för publ'!$B$2:$H$417,MATCH('Miljövärden för publ företag'!G$4,'Miljövärden urval för publ'!$B$2:$H$2,0),FALSE),"")</f>
        <v/>
      </c>
    </row>
    <row r="592" spans="2:7" x14ac:dyDescent="0.45">
      <c r="B592" s="2" t="str">
        <f>IFERROR(INDEX('Miljövärden urval för publ'!$A$2:$AA$420,MATCH('Miljövärden för publ företag'!$A592,'Miljövärden urval för publ'!$R$2:$R$417,0),1),"")</f>
        <v/>
      </c>
      <c r="C592" s="2" t="str">
        <f>IFERROR(INDEX('Miljövärden urval för publ'!$A$2:$AA$420,MATCH('Miljövärden för publ företag'!$A592,'Miljövärden urval för publ'!$R$2:$R$417,0),2),"")</f>
        <v/>
      </c>
      <c r="D592" t="str">
        <f>IFERROR(VLOOKUP($C592,'Miljövärden urval för publ'!$B$2:$H$417,MATCH('Miljövärden för publ företag'!D$4,'Miljövärden urval för publ'!$B$2:$H$2,0),FALSE),"")</f>
        <v/>
      </c>
      <c r="E592" t="str">
        <f>IFERROR(VLOOKUP($C592,'Miljövärden urval för publ'!$B$2:$H$417,MATCH('Miljövärden för publ företag'!E$4,'Miljövärden urval för publ'!$B$2:$H$2,0),FALSE),"")</f>
        <v/>
      </c>
      <c r="F592" t="str">
        <f>IFERROR(VLOOKUP($C592,'Miljövärden urval för publ'!$B$2:$H$417,MATCH('Miljövärden för publ företag'!F$4,'Miljövärden urval för publ'!$B$2:$H$2,0),FALSE),"")</f>
        <v/>
      </c>
      <c r="G592" t="str">
        <f>IFERROR(VLOOKUP($C592,'Miljövärden urval för publ'!$B$2:$H$417,MATCH('Miljövärden för publ företag'!G$4,'Miljövärden urval för publ'!$B$2:$H$2,0),FALSE),"")</f>
        <v/>
      </c>
    </row>
    <row r="593" spans="2:7" x14ac:dyDescent="0.45">
      <c r="B593" s="2" t="str">
        <f>IFERROR(INDEX('Miljövärden urval för publ'!$A$2:$AA$420,MATCH('Miljövärden för publ företag'!$A593,'Miljövärden urval för publ'!$R$2:$R$417,0),1),"")</f>
        <v/>
      </c>
      <c r="C593" s="2" t="str">
        <f>IFERROR(INDEX('Miljövärden urval för publ'!$A$2:$AA$420,MATCH('Miljövärden för publ företag'!$A593,'Miljövärden urval för publ'!$R$2:$R$417,0),2),"")</f>
        <v/>
      </c>
      <c r="D593" t="str">
        <f>IFERROR(VLOOKUP($C593,'Miljövärden urval för publ'!$B$2:$H$417,MATCH('Miljövärden för publ företag'!D$4,'Miljövärden urval för publ'!$B$2:$H$2,0),FALSE),"")</f>
        <v/>
      </c>
      <c r="E593" t="str">
        <f>IFERROR(VLOOKUP($C593,'Miljövärden urval för publ'!$B$2:$H$417,MATCH('Miljövärden för publ företag'!E$4,'Miljövärden urval för publ'!$B$2:$H$2,0),FALSE),"")</f>
        <v/>
      </c>
      <c r="F593" t="str">
        <f>IFERROR(VLOOKUP($C593,'Miljövärden urval för publ'!$B$2:$H$417,MATCH('Miljövärden för publ företag'!F$4,'Miljövärden urval för publ'!$B$2:$H$2,0),FALSE),"")</f>
        <v/>
      </c>
      <c r="G593" t="str">
        <f>IFERROR(VLOOKUP($C593,'Miljövärden urval för publ'!$B$2:$H$417,MATCH('Miljövärden för publ företag'!G$4,'Miljövärden urval för publ'!$B$2:$H$2,0),FALSE),"")</f>
        <v/>
      </c>
    </row>
    <row r="594" spans="2:7" x14ac:dyDescent="0.45">
      <c r="B594" s="2" t="str">
        <f>IFERROR(INDEX('Miljövärden urval för publ'!$A$2:$AA$420,MATCH('Miljövärden för publ företag'!$A594,'Miljövärden urval för publ'!$R$2:$R$417,0),1),"")</f>
        <v/>
      </c>
      <c r="C594" s="2" t="str">
        <f>IFERROR(INDEX('Miljövärden urval för publ'!$A$2:$AA$420,MATCH('Miljövärden för publ företag'!$A594,'Miljövärden urval för publ'!$R$2:$R$417,0),2),"")</f>
        <v/>
      </c>
      <c r="D594" t="str">
        <f>IFERROR(VLOOKUP($C594,'Miljövärden urval för publ'!$B$2:$H$417,MATCH('Miljövärden för publ företag'!D$4,'Miljövärden urval för publ'!$B$2:$H$2,0),FALSE),"")</f>
        <v/>
      </c>
      <c r="E594" t="str">
        <f>IFERROR(VLOOKUP($C594,'Miljövärden urval för publ'!$B$2:$H$417,MATCH('Miljövärden för publ företag'!E$4,'Miljövärden urval för publ'!$B$2:$H$2,0),FALSE),"")</f>
        <v/>
      </c>
      <c r="F594" t="str">
        <f>IFERROR(VLOOKUP($C594,'Miljövärden urval för publ'!$B$2:$H$417,MATCH('Miljövärden för publ företag'!F$4,'Miljövärden urval för publ'!$B$2:$H$2,0),FALSE),"")</f>
        <v/>
      </c>
      <c r="G594" t="str">
        <f>IFERROR(VLOOKUP($C594,'Miljövärden urval för publ'!$B$2:$H$417,MATCH('Miljövärden för publ företag'!G$4,'Miljövärden urval för publ'!$B$2:$H$2,0),FALSE),"")</f>
        <v/>
      </c>
    </row>
    <row r="595" spans="2:7" x14ac:dyDescent="0.45">
      <c r="B595" s="2" t="str">
        <f>IFERROR(INDEX('Miljövärden urval för publ'!$A$2:$AA$420,MATCH('Miljövärden för publ företag'!$A595,'Miljövärden urval för publ'!$R$2:$R$417,0),1),"")</f>
        <v/>
      </c>
      <c r="C595" s="2" t="str">
        <f>IFERROR(INDEX('Miljövärden urval för publ'!$A$2:$AA$420,MATCH('Miljövärden för publ företag'!$A595,'Miljövärden urval för publ'!$R$2:$R$417,0),2),"")</f>
        <v/>
      </c>
      <c r="D595" t="str">
        <f>IFERROR(VLOOKUP($C595,'Miljövärden urval för publ'!$B$2:$H$417,MATCH('Miljövärden för publ företag'!D$4,'Miljövärden urval för publ'!$B$2:$H$2,0),FALSE),"")</f>
        <v/>
      </c>
      <c r="E595" t="str">
        <f>IFERROR(VLOOKUP($C595,'Miljövärden urval för publ'!$B$2:$H$417,MATCH('Miljövärden för publ företag'!E$4,'Miljövärden urval för publ'!$B$2:$H$2,0),FALSE),"")</f>
        <v/>
      </c>
      <c r="F595" t="str">
        <f>IFERROR(VLOOKUP($C595,'Miljövärden urval för publ'!$B$2:$H$417,MATCH('Miljövärden för publ företag'!F$4,'Miljövärden urval för publ'!$B$2:$H$2,0),FALSE),"")</f>
        <v/>
      </c>
      <c r="G595" t="str">
        <f>IFERROR(VLOOKUP($C595,'Miljövärden urval för publ'!$B$2:$H$417,MATCH('Miljövärden för publ företag'!G$4,'Miljövärden urval för publ'!$B$2:$H$2,0),FALSE),"")</f>
        <v/>
      </c>
    </row>
    <row r="596" spans="2:7" x14ac:dyDescent="0.45">
      <c r="B596" s="2" t="str">
        <f>IFERROR(INDEX('Miljövärden urval för publ'!$A$2:$AA$420,MATCH('Miljövärden för publ företag'!$A596,'Miljövärden urval för publ'!$R$2:$R$417,0),1),"")</f>
        <v/>
      </c>
      <c r="C596" s="2" t="str">
        <f>IFERROR(INDEX('Miljövärden urval för publ'!$A$2:$AA$420,MATCH('Miljövärden för publ företag'!$A596,'Miljövärden urval för publ'!$R$2:$R$417,0),2),"")</f>
        <v/>
      </c>
      <c r="D596" t="str">
        <f>IFERROR(VLOOKUP($C596,'Miljövärden urval för publ'!$B$2:$H$417,MATCH('Miljövärden för publ företag'!D$4,'Miljövärden urval för publ'!$B$2:$H$2,0),FALSE),"")</f>
        <v/>
      </c>
      <c r="E596" t="str">
        <f>IFERROR(VLOOKUP($C596,'Miljövärden urval för publ'!$B$2:$H$417,MATCH('Miljövärden för publ företag'!E$4,'Miljövärden urval för publ'!$B$2:$H$2,0),FALSE),"")</f>
        <v/>
      </c>
      <c r="F596" t="str">
        <f>IFERROR(VLOOKUP($C596,'Miljövärden urval för publ'!$B$2:$H$417,MATCH('Miljövärden för publ företag'!F$4,'Miljövärden urval för publ'!$B$2:$H$2,0),FALSE),"")</f>
        <v/>
      </c>
      <c r="G596" t="str">
        <f>IFERROR(VLOOKUP($C596,'Miljövärden urval för publ'!$B$2:$H$417,MATCH('Miljövärden för publ företag'!G$4,'Miljövärden urval för publ'!$B$2:$H$2,0),FALSE),"")</f>
        <v/>
      </c>
    </row>
    <row r="597" spans="2:7" x14ac:dyDescent="0.45">
      <c r="B597" s="2" t="str">
        <f>IFERROR(INDEX('Miljövärden urval för publ'!$A$2:$AA$420,MATCH('Miljövärden för publ företag'!$A597,'Miljövärden urval för publ'!$R$2:$R$417,0),1),"")</f>
        <v/>
      </c>
      <c r="C597" s="2" t="str">
        <f>IFERROR(INDEX('Miljövärden urval för publ'!$A$2:$AA$420,MATCH('Miljövärden för publ företag'!$A597,'Miljövärden urval för publ'!$R$2:$R$417,0),2),"")</f>
        <v/>
      </c>
      <c r="D597" t="str">
        <f>IFERROR(VLOOKUP($C597,'Miljövärden urval för publ'!$B$2:$H$417,MATCH('Miljövärden för publ företag'!D$4,'Miljövärden urval för publ'!$B$2:$H$2,0),FALSE),"")</f>
        <v/>
      </c>
      <c r="E597" t="str">
        <f>IFERROR(VLOOKUP($C597,'Miljövärden urval för publ'!$B$2:$H$417,MATCH('Miljövärden för publ företag'!E$4,'Miljövärden urval för publ'!$B$2:$H$2,0),FALSE),"")</f>
        <v/>
      </c>
      <c r="F597" t="str">
        <f>IFERROR(VLOOKUP($C597,'Miljövärden urval för publ'!$B$2:$H$417,MATCH('Miljövärden för publ företag'!F$4,'Miljövärden urval för publ'!$B$2:$H$2,0),FALSE),"")</f>
        <v/>
      </c>
      <c r="G597" t="str">
        <f>IFERROR(VLOOKUP($C597,'Miljövärden urval för publ'!$B$2:$H$417,MATCH('Miljövärden för publ företag'!G$4,'Miljövärden urval för publ'!$B$2:$H$2,0),FALSE),"")</f>
        <v/>
      </c>
    </row>
    <row r="598" spans="2:7" x14ac:dyDescent="0.45">
      <c r="B598" s="2" t="str">
        <f>IFERROR(INDEX('Miljövärden urval för publ'!$A$2:$AA$420,MATCH('Miljövärden för publ företag'!$A598,'Miljövärden urval för publ'!$R$2:$R$417,0),1),"")</f>
        <v/>
      </c>
      <c r="C598" s="2" t="str">
        <f>IFERROR(INDEX('Miljövärden urval för publ'!$A$2:$AA$420,MATCH('Miljövärden för publ företag'!$A598,'Miljövärden urval för publ'!$R$2:$R$417,0),2),"")</f>
        <v/>
      </c>
      <c r="D598" t="str">
        <f>IFERROR(VLOOKUP($C598,'Miljövärden urval för publ'!$B$2:$H$417,MATCH('Miljövärden för publ företag'!D$4,'Miljövärden urval för publ'!$B$2:$H$2,0),FALSE),"")</f>
        <v/>
      </c>
      <c r="E598" t="str">
        <f>IFERROR(VLOOKUP($C598,'Miljövärden urval för publ'!$B$2:$H$417,MATCH('Miljövärden för publ företag'!E$4,'Miljövärden urval för publ'!$B$2:$H$2,0),FALSE),"")</f>
        <v/>
      </c>
      <c r="F598" t="str">
        <f>IFERROR(VLOOKUP($C598,'Miljövärden urval för publ'!$B$2:$H$417,MATCH('Miljövärden för publ företag'!F$4,'Miljövärden urval för publ'!$B$2:$H$2,0),FALSE),"")</f>
        <v/>
      </c>
      <c r="G598" t="str">
        <f>IFERROR(VLOOKUP($C598,'Miljövärden urval för publ'!$B$2:$H$417,MATCH('Miljövärden för publ företag'!G$4,'Miljövärden urval för publ'!$B$2:$H$2,0),FALSE),"")</f>
        <v/>
      </c>
    </row>
    <row r="599" spans="2:7" x14ac:dyDescent="0.45">
      <c r="B599" s="2" t="str">
        <f>IFERROR(INDEX('Miljövärden urval för publ'!$A$2:$AA$420,MATCH('Miljövärden för publ företag'!$A599,'Miljövärden urval för publ'!$R$2:$R$417,0),1),"")</f>
        <v/>
      </c>
      <c r="C599" s="2" t="str">
        <f>IFERROR(INDEX('Miljövärden urval för publ'!$A$2:$AA$420,MATCH('Miljövärden för publ företag'!$A599,'Miljövärden urval för publ'!$R$2:$R$417,0),2),"")</f>
        <v/>
      </c>
      <c r="D599" t="str">
        <f>IFERROR(VLOOKUP($C599,'Miljövärden urval för publ'!$B$2:$H$417,MATCH('Miljövärden för publ företag'!D$4,'Miljövärden urval för publ'!$B$2:$H$2,0),FALSE),"")</f>
        <v/>
      </c>
      <c r="E599" t="str">
        <f>IFERROR(VLOOKUP($C599,'Miljövärden urval för publ'!$B$2:$H$417,MATCH('Miljövärden för publ företag'!E$4,'Miljövärden urval för publ'!$B$2:$H$2,0),FALSE),"")</f>
        <v/>
      </c>
      <c r="F599" t="str">
        <f>IFERROR(VLOOKUP($C599,'Miljövärden urval för publ'!$B$2:$H$417,MATCH('Miljövärden för publ företag'!F$4,'Miljövärden urval för publ'!$B$2:$H$2,0),FALSE),"")</f>
        <v/>
      </c>
      <c r="G599" t="str">
        <f>IFERROR(VLOOKUP($C599,'Miljövärden urval för publ'!$B$2:$H$417,MATCH('Miljövärden för publ företag'!G$4,'Miljövärden urval för publ'!$B$2:$H$2,0),FALSE),"")</f>
        <v/>
      </c>
    </row>
    <row r="600" spans="2:7" x14ac:dyDescent="0.45">
      <c r="B600" s="2" t="str">
        <f>IFERROR(INDEX('Miljövärden urval för publ'!$A$2:$AA$420,MATCH('Miljövärden för publ företag'!$A600,'Miljövärden urval för publ'!$R$2:$R$417,0),1),"")</f>
        <v/>
      </c>
      <c r="C600" s="2" t="str">
        <f>IFERROR(INDEX('Miljövärden urval för publ'!$A$2:$AA$420,MATCH('Miljövärden för publ företag'!$A600,'Miljövärden urval för publ'!$R$2:$R$417,0),2),"")</f>
        <v/>
      </c>
      <c r="D600" t="str">
        <f>IFERROR(VLOOKUP($C600,'Miljövärden urval för publ'!$B$2:$H$417,MATCH('Miljövärden för publ företag'!D$4,'Miljövärden urval för publ'!$B$2:$H$2,0),FALSE),"")</f>
        <v/>
      </c>
      <c r="E600" t="str">
        <f>IFERROR(VLOOKUP($C600,'Miljövärden urval för publ'!$B$2:$H$417,MATCH('Miljövärden för publ företag'!E$4,'Miljövärden urval för publ'!$B$2:$H$2,0),FALSE),"")</f>
        <v/>
      </c>
      <c r="F600" t="str">
        <f>IFERROR(VLOOKUP($C600,'Miljövärden urval för publ'!$B$2:$H$417,MATCH('Miljövärden för publ företag'!F$4,'Miljövärden urval för publ'!$B$2:$H$2,0),FALSE),"")</f>
        <v/>
      </c>
      <c r="G600" t="str">
        <f>IFERROR(VLOOKUP($C600,'Miljövärden urval för publ'!$B$2:$H$417,MATCH('Miljövärden för publ företag'!G$4,'Miljövärden urval för publ'!$B$2:$H$2,0),FALSE),"")</f>
        <v/>
      </c>
    </row>
    <row r="601" spans="2:7" x14ac:dyDescent="0.45">
      <c r="B601" s="2" t="str">
        <f>IFERROR(INDEX('Miljövärden urval för publ'!$A$2:$AA$420,MATCH('Miljövärden för publ företag'!$A601,'Miljövärden urval för publ'!$R$2:$R$417,0),1),"")</f>
        <v/>
      </c>
      <c r="C601" s="2" t="str">
        <f>IFERROR(INDEX('Miljövärden urval för publ'!$A$2:$AA$420,MATCH('Miljövärden för publ företag'!$A601,'Miljövärden urval för publ'!$R$2:$R$417,0),2),"")</f>
        <v/>
      </c>
      <c r="D601" t="str">
        <f>IFERROR(VLOOKUP($C601,'Miljövärden urval för publ'!$B$2:$H$417,MATCH('Miljövärden för publ företag'!D$4,'Miljövärden urval för publ'!$B$2:$H$2,0),FALSE),"")</f>
        <v/>
      </c>
      <c r="E601" t="str">
        <f>IFERROR(VLOOKUP($C601,'Miljövärden urval för publ'!$B$2:$H$417,MATCH('Miljövärden för publ företag'!E$4,'Miljövärden urval för publ'!$B$2:$H$2,0),FALSE),"")</f>
        <v/>
      </c>
      <c r="F601" t="str">
        <f>IFERROR(VLOOKUP($C601,'Miljövärden urval för publ'!$B$2:$H$417,MATCH('Miljövärden för publ företag'!F$4,'Miljövärden urval för publ'!$B$2:$H$2,0),FALSE),"")</f>
        <v/>
      </c>
      <c r="G601" t="str">
        <f>IFERROR(VLOOKUP($C601,'Miljövärden urval för publ'!$B$2:$H$417,MATCH('Miljövärden för publ företag'!G$4,'Miljövärden urval för publ'!$B$2:$H$2,0),FALSE),"")</f>
        <v/>
      </c>
    </row>
    <row r="602" spans="2:7" x14ac:dyDescent="0.45">
      <c r="B602" s="2" t="str">
        <f>IFERROR(INDEX('Miljövärden urval för publ'!$A$2:$AA$420,MATCH('Miljövärden för publ företag'!$A602,'Miljövärden urval för publ'!$R$2:$R$417,0),1),"")</f>
        <v/>
      </c>
      <c r="C602" s="2" t="str">
        <f>IFERROR(INDEX('Miljövärden urval för publ'!$A$2:$AA$420,MATCH('Miljövärden för publ företag'!$A602,'Miljövärden urval för publ'!$R$2:$R$417,0),2),"")</f>
        <v/>
      </c>
      <c r="D602" t="str">
        <f>IFERROR(VLOOKUP($C602,'Miljövärden urval för publ'!$B$2:$H$417,MATCH('Miljövärden för publ företag'!D$4,'Miljövärden urval för publ'!$B$2:$H$2,0),FALSE),"")</f>
        <v/>
      </c>
      <c r="E602" t="str">
        <f>IFERROR(VLOOKUP($C602,'Miljövärden urval för publ'!$B$2:$H$417,MATCH('Miljövärden för publ företag'!E$4,'Miljövärden urval för publ'!$B$2:$H$2,0),FALSE),"")</f>
        <v/>
      </c>
      <c r="F602" t="str">
        <f>IFERROR(VLOOKUP($C602,'Miljövärden urval för publ'!$B$2:$H$417,MATCH('Miljövärden för publ företag'!F$4,'Miljövärden urval för publ'!$B$2:$H$2,0),FALSE),"")</f>
        <v/>
      </c>
      <c r="G602" t="str">
        <f>IFERROR(VLOOKUP($C602,'Miljövärden urval för publ'!$B$2:$H$417,MATCH('Miljövärden för publ företag'!G$4,'Miljövärden urval för publ'!$B$2:$H$2,0),FALSE),"")</f>
        <v/>
      </c>
    </row>
    <row r="603" spans="2:7" x14ac:dyDescent="0.45">
      <c r="B603" s="2" t="str">
        <f>IFERROR(INDEX('Miljövärden urval för publ'!$A$2:$AA$420,MATCH('Miljövärden för publ företag'!$A603,'Miljövärden urval för publ'!$R$2:$R$417,0),1),"")</f>
        <v/>
      </c>
      <c r="C603" s="2" t="str">
        <f>IFERROR(INDEX('Miljövärden urval för publ'!$A$2:$AA$420,MATCH('Miljövärden för publ företag'!$A603,'Miljövärden urval för publ'!$R$2:$R$417,0),2),"")</f>
        <v/>
      </c>
      <c r="D603" t="str">
        <f>IFERROR(VLOOKUP($C603,'Miljövärden urval för publ'!$B$2:$H$417,MATCH('Miljövärden för publ företag'!D$4,'Miljövärden urval för publ'!$B$2:$H$2,0),FALSE),"")</f>
        <v/>
      </c>
      <c r="E603" t="str">
        <f>IFERROR(VLOOKUP($C603,'Miljövärden urval för publ'!$B$2:$H$417,MATCH('Miljövärden för publ företag'!E$4,'Miljövärden urval för publ'!$B$2:$H$2,0),FALSE),"")</f>
        <v/>
      </c>
      <c r="F603" t="str">
        <f>IFERROR(VLOOKUP($C603,'Miljövärden urval för publ'!$B$2:$H$417,MATCH('Miljövärden för publ företag'!F$4,'Miljövärden urval för publ'!$B$2:$H$2,0),FALSE),"")</f>
        <v/>
      </c>
      <c r="G603" t="str">
        <f>IFERROR(VLOOKUP($C603,'Miljövärden urval för publ'!$B$2:$H$417,MATCH('Miljövärden för publ företag'!G$4,'Miljövärden urval för publ'!$B$2:$H$2,0),FALSE),"")</f>
        <v/>
      </c>
    </row>
    <row r="604" spans="2:7" x14ac:dyDescent="0.45">
      <c r="B604" s="2" t="str">
        <f>IFERROR(INDEX('Miljövärden urval för publ'!$A$2:$AA$420,MATCH('Miljövärden för publ företag'!$A604,'Miljövärden urval för publ'!$R$2:$R$417,0),1),"")</f>
        <v/>
      </c>
      <c r="C604" s="2" t="str">
        <f>IFERROR(INDEX('Miljövärden urval för publ'!$A$2:$AA$420,MATCH('Miljövärden för publ företag'!$A604,'Miljövärden urval för publ'!$R$2:$R$417,0),2),"")</f>
        <v/>
      </c>
      <c r="D604" t="str">
        <f>IFERROR(VLOOKUP($C604,'Miljövärden urval för publ'!$B$2:$H$417,MATCH('Miljövärden för publ företag'!D$4,'Miljövärden urval för publ'!$B$2:$H$2,0),FALSE),"")</f>
        <v/>
      </c>
      <c r="E604" t="str">
        <f>IFERROR(VLOOKUP($C604,'Miljövärden urval för publ'!$B$2:$H$417,MATCH('Miljövärden för publ företag'!E$4,'Miljövärden urval för publ'!$B$2:$H$2,0),FALSE),"")</f>
        <v/>
      </c>
      <c r="F604" t="str">
        <f>IFERROR(VLOOKUP($C604,'Miljövärden urval för publ'!$B$2:$H$417,MATCH('Miljövärden för publ företag'!F$4,'Miljövärden urval för publ'!$B$2:$H$2,0),FALSE),"")</f>
        <v/>
      </c>
      <c r="G604" t="str">
        <f>IFERROR(VLOOKUP($C604,'Miljövärden urval för publ'!$B$2:$H$417,MATCH('Miljövärden för publ företag'!G$4,'Miljövärden urval för publ'!$B$2:$H$2,0),FALSE),"")</f>
        <v/>
      </c>
    </row>
    <row r="605" spans="2:7" x14ac:dyDescent="0.45">
      <c r="B605" s="2" t="str">
        <f>IFERROR(INDEX('Miljövärden urval för publ'!$A$2:$AA$420,MATCH('Miljövärden för publ företag'!$A605,'Miljövärden urval för publ'!$R$2:$R$417,0),1),"")</f>
        <v/>
      </c>
      <c r="C605" s="2" t="str">
        <f>IFERROR(INDEX('Miljövärden urval för publ'!$A$2:$AA$420,MATCH('Miljövärden för publ företag'!$A605,'Miljövärden urval för publ'!$R$2:$R$417,0),2),"")</f>
        <v/>
      </c>
      <c r="D605" t="str">
        <f>IFERROR(VLOOKUP($C605,'Miljövärden urval för publ'!$B$2:$H$417,MATCH('Miljövärden för publ företag'!D$4,'Miljövärden urval för publ'!$B$2:$H$2,0),FALSE),"")</f>
        <v/>
      </c>
      <c r="E605" t="str">
        <f>IFERROR(VLOOKUP($C605,'Miljövärden urval för publ'!$B$2:$H$417,MATCH('Miljövärden för publ företag'!E$4,'Miljövärden urval för publ'!$B$2:$H$2,0),FALSE),"")</f>
        <v/>
      </c>
      <c r="F605" t="str">
        <f>IFERROR(VLOOKUP($C605,'Miljövärden urval för publ'!$B$2:$H$417,MATCH('Miljövärden för publ företag'!F$4,'Miljövärden urval för publ'!$B$2:$H$2,0),FALSE),"")</f>
        <v/>
      </c>
      <c r="G605" t="str">
        <f>IFERROR(VLOOKUP($C605,'Miljövärden urval för publ'!$B$2:$H$417,MATCH('Miljövärden för publ företag'!G$4,'Miljövärden urval för publ'!$B$2:$H$2,0),FALSE),"")</f>
        <v/>
      </c>
    </row>
    <row r="606" spans="2:7" x14ac:dyDescent="0.45">
      <c r="B606" s="2" t="str">
        <f>IFERROR(INDEX('Miljövärden urval för publ'!$A$2:$AA$420,MATCH('Miljövärden för publ företag'!$A606,'Miljövärden urval för publ'!$R$2:$R$417,0),1),"")</f>
        <v/>
      </c>
      <c r="C606" s="2" t="str">
        <f>IFERROR(INDEX('Miljövärden urval för publ'!$A$2:$AA$420,MATCH('Miljövärden för publ företag'!$A606,'Miljövärden urval för publ'!$R$2:$R$417,0),2),"")</f>
        <v/>
      </c>
      <c r="D606" t="str">
        <f>IFERROR(VLOOKUP($C606,'Miljövärden urval för publ'!$B$2:$H$417,MATCH('Miljövärden för publ företag'!D$4,'Miljövärden urval för publ'!$B$2:$H$2,0),FALSE),"")</f>
        <v/>
      </c>
      <c r="E606" t="str">
        <f>IFERROR(VLOOKUP($C606,'Miljövärden urval för publ'!$B$2:$H$417,MATCH('Miljövärden för publ företag'!E$4,'Miljövärden urval för publ'!$B$2:$H$2,0),FALSE),"")</f>
        <v/>
      </c>
      <c r="F606" t="str">
        <f>IFERROR(VLOOKUP($C606,'Miljövärden urval för publ'!$B$2:$H$417,MATCH('Miljövärden för publ företag'!F$4,'Miljövärden urval för publ'!$B$2:$H$2,0),FALSE),"")</f>
        <v/>
      </c>
      <c r="G606" t="str">
        <f>IFERROR(VLOOKUP($C606,'Miljövärden urval för publ'!$B$2:$H$417,MATCH('Miljövärden för publ företag'!G$4,'Miljövärden urval för publ'!$B$2:$H$2,0),FALSE),"")</f>
        <v/>
      </c>
    </row>
    <row r="607" spans="2:7" x14ac:dyDescent="0.45">
      <c r="B607" s="2" t="str">
        <f>IFERROR(INDEX('Miljövärden urval för publ'!$A$2:$AA$420,MATCH('Miljövärden för publ företag'!$A607,'Miljövärden urval för publ'!$R$2:$R$417,0),1),"")</f>
        <v/>
      </c>
      <c r="C607" s="2" t="str">
        <f>IFERROR(INDEX('Miljövärden urval för publ'!$A$2:$AA$420,MATCH('Miljövärden för publ företag'!$A607,'Miljövärden urval för publ'!$R$2:$R$417,0),2),"")</f>
        <v/>
      </c>
      <c r="D607" t="str">
        <f>IFERROR(VLOOKUP($C607,'Miljövärden urval för publ'!$B$2:$H$417,MATCH('Miljövärden för publ företag'!D$4,'Miljövärden urval för publ'!$B$2:$H$2,0),FALSE),"")</f>
        <v/>
      </c>
      <c r="E607" t="str">
        <f>IFERROR(VLOOKUP($C607,'Miljövärden urval för publ'!$B$2:$H$417,MATCH('Miljövärden för publ företag'!E$4,'Miljövärden urval för publ'!$B$2:$H$2,0),FALSE),"")</f>
        <v/>
      </c>
      <c r="F607" t="str">
        <f>IFERROR(VLOOKUP($C607,'Miljövärden urval för publ'!$B$2:$H$417,MATCH('Miljövärden för publ företag'!F$4,'Miljövärden urval för publ'!$B$2:$H$2,0),FALSE),"")</f>
        <v/>
      </c>
      <c r="G607" t="str">
        <f>IFERROR(VLOOKUP($C607,'Miljövärden urval för publ'!$B$2:$H$417,MATCH('Miljövärden för publ företag'!G$4,'Miljövärden urval för publ'!$B$2:$H$2,0),FALSE),"")</f>
        <v/>
      </c>
    </row>
    <row r="608" spans="2:7" x14ac:dyDescent="0.45">
      <c r="B608" s="2" t="str">
        <f>IFERROR(INDEX('Miljövärden urval för publ'!$A$2:$AA$420,MATCH('Miljövärden för publ företag'!$A608,'Miljövärden urval för publ'!$R$2:$R$417,0),1),"")</f>
        <v/>
      </c>
      <c r="C608" s="2" t="str">
        <f>IFERROR(INDEX('Miljövärden urval för publ'!$A$2:$AA$420,MATCH('Miljövärden för publ företag'!$A608,'Miljövärden urval för publ'!$R$2:$R$417,0),2),"")</f>
        <v/>
      </c>
      <c r="D608" t="str">
        <f>IFERROR(VLOOKUP($C608,'Miljövärden urval för publ'!$B$2:$H$417,MATCH('Miljövärden för publ företag'!D$4,'Miljövärden urval för publ'!$B$2:$H$2,0),FALSE),"")</f>
        <v/>
      </c>
      <c r="E608" t="str">
        <f>IFERROR(VLOOKUP($C608,'Miljövärden urval för publ'!$B$2:$H$417,MATCH('Miljövärden för publ företag'!E$4,'Miljövärden urval för publ'!$B$2:$H$2,0),FALSE),"")</f>
        <v/>
      </c>
      <c r="F608" t="str">
        <f>IFERROR(VLOOKUP($C608,'Miljövärden urval för publ'!$B$2:$H$417,MATCH('Miljövärden för publ företag'!F$4,'Miljövärden urval för publ'!$B$2:$H$2,0),FALSE),"")</f>
        <v/>
      </c>
      <c r="G608" t="str">
        <f>IFERROR(VLOOKUP($C608,'Miljövärden urval för publ'!$B$2:$H$417,MATCH('Miljövärden för publ företag'!G$4,'Miljövärden urval för publ'!$B$2:$H$2,0),FALSE),"")</f>
        <v/>
      </c>
    </row>
    <row r="609" spans="2:7" x14ac:dyDescent="0.45">
      <c r="B609" s="2" t="str">
        <f>IFERROR(INDEX('Miljövärden urval för publ'!$A$2:$AA$420,MATCH('Miljövärden för publ företag'!$A609,'Miljövärden urval för publ'!$R$2:$R$417,0),1),"")</f>
        <v/>
      </c>
      <c r="C609" s="2" t="str">
        <f>IFERROR(INDEX('Miljövärden urval för publ'!$A$2:$AA$420,MATCH('Miljövärden för publ företag'!$A609,'Miljövärden urval för publ'!$R$2:$R$417,0),2),"")</f>
        <v/>
      </c>
      <c r="D609" t="str">
        <f>IFERROR(VLOOKUP($C609,'Miljövärden urval för publ'!$B$2:$H$417,MATCH('Miljövärden för publ företag'!D$4,'Miljövärden urval för publ'!$B$2:$H$2,0),FALSE),"")</f>
        <v/>
      </c>
      <c r="E609" t="str">
        <f>IFERROR(VLOOKUP($C609,'Miljövärden urval för publ'!$B$2:$H$417,MATCH('Miljövärden för publ företag'!E$4,'Miljövärden urval för publ'!$B$2:$H$2,0),FALSE),"")</f>
        <v/>
      </c>
      <c r="F609" t="str">
        <f>IFERROR(VLOOKUP($C609,'Miljövärden urval för publ'!$B$2:$H$417,MATCH('Miljövärden för publ företag'!F$4,'Miljövärden urval för publ'!$B$2:$H$2,0),FALSE),"")</f>
        <v/>
      </c>
      <c r="G609" t="str">
        <f>IFERROR(VLOOKUP($C609,'Miljövärden urval för publ'!$B$2:$H$417,MATCH('Miljövärden för publ företag'!G$4,'Miljövärden urval för publ'!$B$2:$H$2,0),FALSE),"")</f>
        <v/>
      </c>
    </row>
    <row r="610" spans="2:7" x14ac:dyDescent="0.45">
      <c r="B610" s="2" t="str">
        <f>IFERROR(INDEX('Miljövärden urval för publ'!$A$2:$AA$420,MATCH('Miljövärden för publ företag'!$A610,'Miljövärden urval för publ'!$R$2:$R$417,0),1),"")</f>
        <v/>
      </c>
      <c r="C610" s="2" t="str">
        <f>IFERROR(INDEX('Miljövärden urval för publ'!$A$2:$AA$420,MATCH('Miljövärden för publ företag'!$A610,'Miljövärden urval för publ'!$R$2:$R$417,0),2),"")</f>
        <v/>
      </c>
      <c r="D610" t="str">
        <f>IFERROR(VLOOKUP($C610,'Miljövärden urval för publ'!$B$2:$H$417,MATCH('Miljövärden för publ företag'!D$4,'Miljövärden urval för publ'!$B$2:$H$2,0),FALSE),"")</f>
        <v/>
      </c>
      <c r="E610" t="str">
        <f>IFERROR(VLOOKUP($C610,'Miljövärden urval för publ'!$B$2:$H$417,MATCH('Miljövärden för publ företag'!E$4,'Miljövärden urval för publ'!$B$2:$H$2,0),FALSE),"")</f>
        <v/>
      </c>
      <c r="F610" t="str">
        <f>IFERROR(VLOOKUP($C610,'Miljövärden urval för publ'!$B$2:$H$417,MATCH('Miljövärden för publ företag'!F$4,'Miljövärden urval för publ'!$B$2:$H$2,0),FALSE),"")</f>
        <v/>
      </c>
      <c r="G610" t="str">
        <f>IFERROR(VLOOKUP($C610,'Miljövärden urval för publ'!$B$2:$H$417,MATCH('Miljövärden för publ företag'!G$4,'Miljövärden urval för publ'!$B$2:$H$2,0),FALSE),"")</f>
        <v/>
      </c>
    </row>
    <row r="611" spans="2:7" x14ac:dyDescent="0.45">
      <c r="B611" s="2" t="str">
        <f>IFERROR(INDEX('Miljövärden urval för publ'!$A$2:$AA$420,MATCH('Miljövärden för publ företag'!$A611,'Miljövärden urval för publ'!$R$2:$R$417,0),1),"")</f>
        <v/>
      </c>
      <c r="C611" s="2" t="str">
        <f>IFERROR(INDEX('Miljövärden urval för publ'!$A$2:$AA$420,MATCH('Miljövärden för publ företag'!$A611,'Miljövärden urval för publ'!$R$2:$R$417,0),2),"")</f>
        <v/>
      </c>
      <c r="D611" t="str">
        <f>IFERROR(VLOOKUP($C611,'Miljövärden urval för publ'!$B$2:$H$417,MATCH('Miljövärden för publ företag'!D$4,'Miljövärden urval för publ'!$B$2:$H$2,0),FALSE),"")</f>
        <v/>
      </c>
      <c r="E611" t="str">
        <f>IFERROR(VLOOKUP($C611,'Miljövärden urval för publ'!$B$2:$H$417,MATCH('Miljövärden för publ företag'!E$4,'Miljövärden urval för publ'!$B$2:$H$2,0),FALSE),"")</f>
        <v/>
      </c>
      <c r="F611" t="str">
        <f>IFERROR(VLOOKUP($C611,'Miljövärden urval för publ'!$B$2:$H$417,MATCH('Miljövärden för publ företag'!F$4,'Miljövärden urval för publ'!$B$2:$H$2,0),FALSE),"")</f>
        <v/>
      </c>
      <c r="G611" t="str">
        <f>IFERROR(VLOOKUP($C611,'Miljövärden urval för publ'!$B$2:$H$417,MATCH('Miljövärden för publ företag'!G$4,'Miljövärden urval för publ'!$B$2:$H$2,0),FALSE),"")</f>
        <v/>
      </c>
    </row>
    <row r="612" spans="2:7" x14ac:dyDescent="0.45">
      <c r="B612" s="2" t="str">
        <f>IFERROR(INDEX('Miljövärden urval för publ'!$A$2:$AA$420,MATCH('Miljövärden för publ företag'!$A612,'Miljövärden urval för publ'!$R$2:$R$417,0),1),"")</f>
        <v/>
      </c>
      <c r="C612" s="2" t="str">
        <f>IFERROR(INDEX('Miljövärden urval för publ'!$A$2:$AA$420,MATCH('Miljövärden för publ företag'!$A612,'Miljövärden urval för publ'!$R$2:$R$417,0),2),"")</f>
        <v/>
      </c>
      <c r="D612" t="str">
        <f>IFERROR(VLOOKUP($C612,'Miljövärden urval för publ'!$B$2:$H$417,MATCH('Miljövärden för publ företag'!D$4,'Miljövärden urval för publ'!$B$2:$H$2,0),FALSE),"")</f>
        <v/>
      </c>
      <c r="E612" t="str">
        <f>IFERROR(VLOOKUP($C612,'Miljövärden urval för publ'!$B$2:$H$417,MATCH('Miljövärden för publ företag'!E$4,'Miljövärden urval för publ'!$B$2:$H$2,0),FALSE),"")</f>
        <v/>
      </c>
      <c r="F612" t="str">
        <f>IFERROR(VLOOKUP($C612,'Miljövärden urval för publ'!$B$2:$H$417,MATCH('Miljövärden för publ företag'!F$4,'Miljövärden urval för publ'!$B$2:$H$2,0),FALSE),"")</f>
        <v/>
      </c>
      <c r="G612" t="str">
        <f>IFERROR(VLOOKUP($C612,'Miljövärden urval för publ'!$B$2:$H$417,MATCH('Miljövärden för publ företag'!G$4,'Miljövärden urval för publ'!$B$2:$H$2,0),FALSE),"")</f>
        <v/>
      </c>
    </row>
    <row r="613" spans="2:7" x14ac:dyDescent="0.45">
      <c r="B613" s="2" t="str">
        <f>IFERROR(INDEX('Miljövärden urval för publ'!$A$2:$AA$420,MATCH('Miljövärden för publ företag'!$A613,'Miljövärden urval för publ'!$R$2:$R$417,0),1),"")</f>
        <v/>
      </c>
      <c r="C613" s="2" t="str">
        <f>IFERROR(INDEX('Miljövärden urval för publ'!$A$2:$AA$420,MATCH('Miljövärden för publ företag'!$A613,'Miljövärden urval för publ'!$R$2:$R$417,0),2),"")</f>
        <v/>
      </c>
      <c r="D613" t="str">
        <f>IFERROR(VLOOKUP($C613,'Miljövärden urval för publ'!$B$2:$H$417,MATCH('Miljövärden för publ företag'!D$4,'Miljövärden urval för publ'!$B$2:$H$2,0),FALSE),"")</f>
        <v/>
      </c>
      <c r="E613" t="str">
        <f>IFERROR(VLOOKUP($C613,'Miljövärden urval för publ'!$B$2:$H$417,MATCH('Miljövärden för publ företag'!E$4,'Miljövärden urval för publ'!$B$2:$H$2,0),FALSE),"")</f>
        <v/>
      </c>
      <c r="F613" t="str">
        <f>IFERROR(VLOOKUP($C613,'Miljövärden urval för publ'!$B$2:$H$417,MATCH('Miljövärden för publ företag'!F$4,'Miljövärden urval för publ'!$B$2:$H$2,0),FALSE),"")</f>
        <v/>
      </c>
      <c r="G613" t="str">
        <f>IFERROR(VLOOKUP($C613,'Miljövärden urval för publ'!$B$2:$H$417,MATCH('Miljövärden för publ företag'!G$4,'Miljövärden urval för publ'!$B$2:$H$2,0),FALSE),"")</f>
        <v/>
      </c>
    </row>
    <row r="614" spans="2:7" x14ac:dyDescent="0.45">
      <c r="B614" s="2" t="str">
        <f>IFERROR(INDEX('Miljövärden urval för publ'!$A$2:$AA$420,MATCH('Miljövärden för publ företag'!$A614,'Miljövärden urval för publ'!$R$2:$R$417,0),1),"")</f>
        <v/>
      </c>
      <c r="C614" s="2" t="str">
        <f>IFERROR(INDEX('Miljövärden urval för publ'!$A$2:$AA$420,MATCH('Miljövärden för publ företag'!$A614,'Miljövärden urval för publ'!$R$2:$R$417,0),2),"")</f>
        <v/>
      </c>
      <c r="D614" t="str">
        <f>IFERROR(VLOOKUP($C614,'Miljövärden urval för publ'!$B$2:$H$417,MATCH('Miljövärden för publ företag'!D$4,'Miljövärden urval för publ'!$B$2:$H$2,0),FALSE),"")</f>
        <v/>
      </c>
      <c r="E614" t="str">
        <f>IFERROR(VLOOKUP($C614,'Miljövärden urval för publ'!$B$2:$H$417,MATCH('Miljövärden för publ företag'!E$4,'Miljövärden urval för publ'!$B$2:$H$2,0),FALSE),"")</f>
        <v/>
      </c>
      <c r="F614" t="str">
        <f>IFERROR(VLOOKUP($C614,'Miljövärden urval för publ'!$B$2:$H$417,MATCH('Miljövärden för publ företag'!F$4,'Miljövärden urval för publ'!$B$2:$H$2,0),FALSE),"")</f>
        <v/>
      </c>
      <c r="G614" t="str">
        <f>IFERROR(VLOOKUP($C614,'Miljövärden urval för publ'!$B$2:$H$417,MATCH('Miljövärden för publ företag'!G$4,'Miljövärden urval för publ'!$B$2:$H$2,0),FALSE),"")</f>
        <v/>
      </c>
    </row>
    <row r="615" spans="2:7" x14ac:dyDescent="0.45">
      <c r="B615" s="2" t="str">
        <f>IFERROR(INDEX('Miljövärden urval för publ'!$A$2:$AA$420,MATCH('Miljövärden för publ företag'!$A615,'Miljövärden urval för publ'!$R$2:$R$417,0),1),"")</f>
        <v/>
      </c>
      <c r="C615" s="2" t="str">
        <f>IFERROR(INDEX('Miljövärden urval för publ'!$A$2:$AA$420,MATCH('Miljövärden för publ företag'!$A615,'Miljövärden urval för publ'!$R$2:$R$417,0),2),"")</f>
        <v/>
      </c>
      <c r="D615" t="str">
        <f>IFERROR(VLOOKUP($C615,'Miljövärden urval för publ'!$B$2:$H$417,MATCH('Miljövärden för publ företag'!D$4,'Miljövärden urval för publ'!$B$2:$H$2,0),FALSE),"")</f>
        <v/>
      </c>
      <c r="E615" t="str">
        <f>IFERROR(VLOOKUP($C615,'Miljövärden urval för publ'!$B$2:$H$417,MATCH('Miljövärden för publ företag'!E$4,'Miljövärden urval för publ'!$B$2:$H$2,0),FALSE),"")</f>
        <v/>
      </c>
      <c r="F615" t="str">
        <f>IFERROR(VLOOKUP($C615,'Miljövärden urval för publ'!$B$2:$H$417,MATCH('Miljövärden för publ företag'!F$4,'Miljövärden urval för publ'!$B$2:$H$2,0),FALSE),"")</f>
        <v/>
      </c>
      <c r="G615" t="str">
        <f>IFERROR(VLOOKUP($C615,'Miljövärden urval för publ'!$B$2:$H$417,MATCH('Miljövärden för publ företag'!G$4,'Miljövärden urval för publ'!$B$2:$H$2,0),FALSE),"")</f>
        <v/>
      </c>
    </row>
    <row r="616" spans="2:7" x14ac:dyDescent="0.45">
      <c r="B616" s="2" t="str">
        <f>IFERROR(INDEX('Miljövärden urval för publ'!$A$2:$AA$420,MATCH('Miljövärden för publ företag'!$A616,'Miljövärden urval för publ'!$R$2:$R$417,0),1),"")</f>
        <v/>
      </c>
      <c r="C616" s="2" t="str">
        <f>IFERROR(INDEX('Miljövärden urval för publ'!$A$2:$AA$420,MATCH('Miljövärden för publ företag'!$A616,'Miljövärden urval för publ'!$R$2:$R$417,0),2),"")</f>
        <v/>
      </c>
      <c r="D616" t="str">
        <f>IFERROR(VLOOKUP($C616,'Miljövärden urval för publ'!$B$2:$H$417,MATCH('Miljövärden för publ företag'!D$4,'Miljövärden urval för publ'!$B$2:$H$2,0),FALSE),"")</f>
        <v/>
      </c>
      <c r="E616" t="str">
        <f>IFERROR(VLOOKUP($C616,'Miljövärden urval för publ'!$B$2:$H$417,MATCH('Miljövärden för publ företag'!E$4,'Miljövärden urval för publ'!$B$2:$H$2,0),FALSE),"")</f>
        <v/>
      </c>
      <c r="F616" t="str">
        <f>IFERROR(VLOOKUP($C616,'Miljövärden urval för publ'!$B$2:$H$417,MATCH('Miljövärden för publ företag'!F$4,'Miljövärden urval för publ'!$B$2:$H$2,0),FALSE),"")</f>
        <v/>
      </c>
      <c r="G616" t="str">
        <f>IFERROR(VLOOKUP($C616,'Miljövärden urval för publ'!$B$2:$H$417,MATCH('Miljövärden för publ företag'!G$4,'Miljövärden urval för publ'!$B$2:$H$2,0),FALSE),"")</f>
        <v/>
      </c>
    </row>
    <row r="617" spans="2:7" x14ac:dyDescent="0.45">
      <c r="B617" s="2" t="str">
        <f>IFERROR(INDEX('Miljövärden urval för publ'!$A$2:$AA$420,MATCH('Miljövärden för publ företag'!$A617,'Miljövärden urval för publ'!$R$2:$R$417,0),1),"")</f>
        <v/>
      </c>
      <c r="C617" s="2" t="str">
        <f>IFERROR(INDEX('Miljövärden urval för publ'!$A$2:$AA$420,MATCH('Miljövärden för publ företag'!$A617,'Miljövärden urval för publ'!$R$2:$R$417,0),2),"")</f>
        <v/>
      </c>
      <c r="D617" t="str">
        <f>IFERROR(VLOOKUP($C617,'Miljövärden urval för publ'!$B$2:$H$417,MATCH('Miljövärden för publ företag'!D$4,'Miljövärden urval för publ'!$B$2:$H$2,0),FALSE),"")</f>
        <v/>
      </c>
      <c r="E617" t="str">
        <f>IFERROR(VLOOKUP($C617,'Miljövärden urval för publ'!$B$2:$H$417,MATCH('Miljövärden för publ företag'!E$4,'Miljövärden urval för publ'!$B$2:$H$2,0),FALSE),"")</f>
        <v/>
      </c>
      <c r="F617" t="str">
        <f>IFERROR(VLOOKUP($C617,'Miljövärden urval för publ'!$B$2:$H$417,MATCH('Miljövärden för publ företag'!F$4,'Miljövärden urval för publ'!$B$2:$H$2,0),FALSE),"")</f>
        <v/>
      </c>
      <c r="G617" t="str">
        <f>IFERROR(VLOOKUP($C617,'Miljövärden urval för publ'!$B$2:$H$417,MATCH('Miljövärden för publ företag'!G$4,'Miljövärden urval för publ'!$B$2:$H$2,0),FALSE),"")</f>
        <v/>
      </c>
    </row>
    <row r="618" spans="2:7" x14ac:dyDescent="0.45">
      <c r="B618" s="2" t="str">
        <f>IFERROR(INDEX('Miljövärden urval för publ'!$A$2:$AA$420,MATCH('Miljövärden för publ företag'!$A618,'Miljövärden urval för publ'!$R$2:$R$417,0),1),"")</f>
        <v/>
      </c>
      <c r="C618" s="2" t="str">
        <f>IFERROR(INDEX('Miljövärden urval för publ'!$A$2:$AA$420,MATCH('Miljövärden för publ företag'!$A618,'Miljövärden urval för publ'!$R$2:$R$417,0),2),"")</f>
        <v/>
      </c>
      <c r="D618" t="str">
        <f>IFERROR(VLOOKUP($C618,'Miljövärden urval för publ'!$B$2:$H$417,MATCH('Miljövärden för publ företag'!D$4,'Miljövärden urval för publ'!$B$2:$H$2,0),FALSE),"")</f>
        <v/>
      </c>
      <c r="E618" t="str">
        <f>IFERROR(VLOOKUP($C618,'Miljövärden urval för publ'!$B$2:$H$417,MATCH('Miljövärden för publ företag'!E$4,'Miljövärden urval för publ'!$B$2:$H$2,0),FALSE),"")</f>
        <v/>
      </c>
      <c r="F618" t="str">
        <f>IFERROR(VLOOKUP($C618,'Miljövärden urval för publ'!$B$2:$H$417,MATCH('Miljövärden för publ företag'!F$4,'Miljövärden urval för publ'!$B$2:$H$2,0),FALSE),"")</f>
        <v/>
      </c>
      <c r="G618" t="str">
        <f>IFERROR(VLOOKUP($C618,'Miljövärden urval för publ'!$B$2:$H$417,MATCH('Miljövärden för publ företag'!G$4,'Miljövärden urval för publ'!$B$2:$H$2,0),FALSE),"")</f>
        <v/>
      </c>
    </row>
    <row r="619" spans="2:7" x14ac:dyDescent="0.45">
      <c r="B619" s="2" t="str">
        <f>IFERROR(INDEX('Miljövärden urval för publ'!$A$2:$AA$420,MATCH('Miljövärden för publ företag'!$A619,'Miljövärden urval för publ'!$R$2:$R$417,0),1),"")</f>
        <v/>
      </c>
      <c r="C619" s="2" t="str">
        <f>IFERROR(INDEX('Miljövärden urval för publ'!$A$2:$AA$420,MATCH('Miljövärden för publ företag'!$A619,'Miljövärden urval för publ'!$R$2:$R$417,0),2),"")</f>
        <v/>
      </c>
      <c r="D619" t="str">
        <f>IFERROR(VLOOKUP($C619,'Miljövärden urval för publ'!$B$2:$H$417,MATCH('Miljövärden för publ företag'!D$4,'Miljövärden urval för publ'!$B$2:$H$2,0),FALSE),"")</f>
        <v/>
      </c>
      <c r="E619" t="str">
        <f>IFERROR(VLOOKUP($C619,'Miljövärden urval för publ'!$B$2:$H$417,MATCH('Miljövärden för publ företag'!E$4,'Miljövärden urval för publ'!$B$2:$H$2,0),FALSE),"")</f>
        <v/>
      </c>
      <c r="F619" t="str">
        <f>IFERROR(VLOOKUP($C619,'Miljövärden urval för publ'!$B$2:$H$417,MATCH('Miljövärden för publ företag'!F$4,'Miljövärden urval för publ'!$B$2:$H$2,0),FALSE),"")</f>
        <v/>
      </c>
      <c r="G619" t="str">
        <f>IFERROR(VLOOKUP($C619,'Miljövärden urval för publ'!$B$2:$H$417,MATCH('Miljövärden för publ företag'!G$4,'Miljövärden urval för publ'!$B$2:$H$2,0),FALSE),"")</f>
        <v/>
      </c>
    </row>
    <row r="620" spans="2:7" x14ac:dyDescent="0.45">
      <c r="B620" s="2" t="str">
        <f>IFERROR(INDEX('Miljövärden urval för publ'!$A$2:$AA$420,MATCH('Miljövärden för publ företag'!$A620,'Miljövärden urval för publ'!$R$2:$R$417,0),1),"")</f>
        <v/>
      </c>
      <c r="C620" s="2" t="str">
        <f>IFERROR(INDEX('Miljövärden urval för publ'!$A$2:$AA$420,MATCH('Miljövärden för publ företag'!$A620,'Miljövärden urval för publ'!$R$2:$R$417,0),2),"")</f>
        <v/>
      </c>
      <c r="D620" t="str">
        <f>IFERROR(VLOOKUP($C620,'Miljövärden urval för publ'!$B$2:$H$417,MATCH('Miljövärden för publ företag'!D$4,'Miljövärden urval för publ'!$B$2:$H$2,0),FALSE),"")</f>
        <v/>
      </c>
      <c r="E620" t="str">
        <f>IFERROR(VLOOKUP($C620,'Miljövärden urval för publ'!$B$2:$H$417,MATCH('Miljövärden för publ företag'!E$4,'Miljövärden urval för publ'!$B$2:$H$2,0),FALSE),"")</f>
        <v/>
      </c>
      <c r="F620" t="str">
        <f>IFERROR(VLOOKUP($C620,'Miljövärden urval för publ'!$B$2:$H$417,MATCH('Miljövärden för publ företag'!F$4,'Miljövärden urval för publ'!$B$2:$H$2,0),FALSE),"")</f>
        <v/>
      </c>
      <c r="G620" t="str">
        <f>IFERROR(VLOOKUP($C620,'Miljövärden urval för publ'!$B$2:$H$417,MATCH('Miljövärden för publ företag'!G$4,'Miljövärden urval för publ'!$B$2:$H$2,0),FALSE),"")</f>
        <v/>
      </c>
    </row>
  </sheetData>
  <conditionalFormatting sqref="C5:C620">
    <cfRule type="duplicateValues" dxfId="8" priority="2"/>
  </conditionalFormatting>
  <conditionalFormatting sqref="C1:C1048576">
    <cfRule type="duplicateValues" dxfId="7"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022BA-1718-46E6-A387-04878D023537}">
  <sheetPr codeName="Blad20">
    <tabColor theme="9" tint="0.39997558519241921"/>
  </sheetPr>
  <dimension ref="A1:J410"/>
  <sheetViews>
    <sheetView topLeftCell="A73" workbookViewId="0">
      <selection activeCell="B98" sqref="B98"/>
    </sheetView>
  </sheetViews>
  <sheetFormatPr defaultRowHeight="14.25" x14ac:dyDescent="0.45"/>
  <cols>
    <col min="1" max="1" width="30.3984375" customWidth="1"/>
    <col min="2" max="2" width="12.265625" customWidth="1"/>
    <col min="3" max="3" width="29.1328125" customWidth="1"/>
    <col min="4" max="4" width="25.3984375" customWidth="1"/>
    <col min="5" max="5" width="31.265625" customWidth="1"/>
    <col min="6" max="6" width="15.86328125" customWidth="1"/>
    <col min="7" max="7" width="18.265625" customWidth="1"/>
    <col min="8" max="8" width="18.3984375" customWidth="1"/>
    <col min="10" max="10" width="17.86328125" customWidth="1"/>
  </cols>
  <sheetData>
    <row r="1" spans="1:10" s="302" customFormat="1" ht="52.5" customHeight="1" x14ac:dyDescent="0.45">
      <c r="A1" s="297" t="s">
        <v>724</v>
      </c>
      <c r="B1" s="298" t="s">
        <v>2</v>
      </c>
      <c r="C1" s="299" t="s">
        <v>1522</v>
      </c>
      <c r="D1" s="299" t="s">
        <v>1523</v>
      </c>
      <c r="E1" s="299" t="s">
        <v>1208</v>
      </c>
      <c r="F1" s="299" t="s">
        <v>1524</v>
      </c>
      <c r="G1" s="300" t="s">
        <v>1525</v>
      </c>
      <c r="H1" s="301" t="s">
        <v>1526</v>
      </c>
      <c r="I1" s="299"/>
      <c r="J1" s="299" t="s">
        <v>1527</v>
      </c>
    </row>
    <row r="2" spans="1:10" x14ac:dyDescent="0.45">
      <c r="A2" s="2" t="s">
        <v>15</v>
      </c>
      <c r="B2" s="2" t="s">
        <v>16</v>
      </c>
      <c r="D2" t="str">
        <f>IF(ISERROR(1/VLOOKUP($B2,Kraftvärmeprod!$B$1:$D$479,MATCH("Total värmeproduktion i kraftvärmeverk i kombinerad drift (GWh)",Kraftvärmeprod!$B$1:$AV$1,0),FALSE)),"Ej kraftvärme","Alternativproduktionsmetoden")</f>
        <v>Ej kraftvärme</v>
      </c>
      <c r="E2" t="str">
        <f>IF(ISERROR(1/VLOOKUP($B2,Kraftvärmeprod!$B$1:$BD$479,MATCH("Total värmeproduktion i kraftvärmeverk i kombinerad drift (GWh)",Kraftvärmeprod!$B$1:$AV$1,0),FALSE)),"",VLOOKUP($B2,'Slutlig allokering kvv'!$B$1:$BC$479,MATCH(E$1,'Slutlig allokering kvv'!$B$1:$AU$1,0),FALSE))</f>
        <v/>
      </c>
      <c r="F2" t="str">
        <f>IF(ISERROR(1/VLOOKUP($B2,Kraftvärmeprod!$B$1:$AV$479,MATCH("Producerad elenergi i kraftvärmeverk (GWh)",Kraftvärmeprod!$B$1:$AV$1,0),FALSE)),"",VLOOKUP($B2,Kraftvärmeprod!$B$1:$AV$479,MATCH("Producerad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Energilösningar AB</v>
      </c>
    </row>
    <row r="3" spans="1:10" x14ac:dyDescent="0.45">
      <c r="A3" s="2" t="s">
        <v>15</v>
      </c>
      <c r="B3" s="2" t="s">
        <v>18</v>
      </c>
      <c r="D3" t="str">
        <f>IF(ISERROR(1/VLOOKUP($B3,Kraftvärmeprod!$B$1:$D$479,MATCH("Total värmeproduktion i kraftvärmeverk i kombinerad drift (GWh)",Kraftvärmeprod!$B$1:$AV$1,0),FALSE)),"Ej kraftvärme","Alternativproduktionsmetoden")</f>
        <v>Ej kraftvärme</v>
      </c>
      <c r="E3" t="str">
        <f>IF(ISERROR(1/VLOOKUP($B3,Kraftvärmeprod!$B$1:$BD$479,MATCH("Total värmeproduktion i kraftvärmeverk i kombinerad drift (GWh)",Kraftvärmeprod!$B$1:$AV$1,0),FALSE)),"",VLOOKUP($B3,'Slutlig allokering kvv'!$B$1:$BC$479,MATCH(E$1,'Slutlig allokering kvv'!$B$1:$AU$1,0),FALSE))</f>
        <v/>
      </c>
      <c r="F3" t="str">
        <f>IF(ISERROR(1/VLOOKUP($B3,Kraftvärmeprod!$B$1:$AV$479,MATCH("Producerad elenergi i kraftvärmeverk (GWh)",Kraftvärmeprod!$B$1:$AV$1,0),FALSE)),"",VLOOKUP($B3,Kraftvärmeprod!$B$1:$AV$479,MATCH("Producerad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7" si="0">A3</f>
        <v>Adven Energilösningar AB</v>
      </c>
    </row>
    <row r="4" spans="1:10" x14ac:dyDescent="0.45">
      <c r="A4" s="2" t="s">
        <v>15</v>
      </c>
      <c r="B4" s="2" t="s">
        <v>20</v>
      </c>
      <c r="D4" t="str">
        <f>IF(ISERROR(1/VLOOKUP($B4,Kraftvärmeprod!$B$1:$D$479,MATCH("Total värmeproduktion i kraftvärmeverk i kombinerad drift (GWh)",Kraftvärmeprod!$B$1:$AV$1,0),FALSE)),"Ej kraftvärme","Alternativproduktionsmetoden")</f>
        <v>Ej kraftvärme</v>
      </c>
      <c r="E4" t="str">
        <f>IF(ISERROR(1/VLOOKUP($B4,Kraftvärmeprod!$B$1:$BD$479,MATCH("Total värmeproduktion i kraftvärmeverk i kombinerad drift (GWh)",Kraftvärmeprod!$B$1:$AV$1,0),FALSE)),"",VLOOKUP($B4,'Slutlig allokering kvv'!$B$1:$BC$479,MATCH(E$1,'Slutlig allokering kvv'!$B$1:$AU$1,0),FALSE))</f>
        <v/>
      </c>
      <c r="F4" t="str">
        <f>IF(ISERROR(1/VLOOKUP($B4,Kraftvärmeprod!$B$1:$AV$479,MATCH("Producerad elenergi i kraftvärmeverk (GWh)",Kraftvärmeprod!$B$1:$AV$1,0),FALSE)),"",VLOOKUP($B4,Kraftvärmeprod!$B$1:$AV$479,MATCH("Producerad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Energilösningar AB</v>
      </c>
    </row>
    <row r="5" spans="1:10" x14ac:dyDescent="0.45">
      <c r="A5" s="2" t="s">
        <v>15</v>
      </c>
      <c r="B5" s="2" t="s">
        <v>22</v>
      </c>
      <c r="D5" t="str">
        <f>IF(ISERROR(1/VLOOKUP($B5,Kraftvärmeprod!$B$1:$D$479,MATCH("Total värmeproduktion i kraftvärmeverk i kombinerad drift (GWh)",Kraftvärmeprod!$B$1:$AV$1,0),FALSE)),"Ej kraftvärme","Alternativproduktionsmetoden")</f>
        <v>Ej kraftvärme</v>
      </c>
      <c r="E5" t="str">
        <f>IF(ISERROR(1/VLOOKUP($B5,Kraftvärmeprod!$B$1:$BD$479,MATCH("Total värmeproduktion i kraftvärmeverk i kombinerad drift (GWh)",Kraftvärmeprod!$B$1:$AV$1,0),FALSE)),"",VLOOKUP($B5,'Slutlig allokering kvv'!$B$1:$BC$479,MATCH(E$1,'Slutlig allokering kvv'!$B$1:$AU$1,0),FALSE))</f>
        <v/>
      </c>
      <c r="F5" t="str">
        <f>IF(ISERROR(1/VLOOKUP($B5,Kraftvärmeprod!$B$1:$AV$479,MATCH("Producerad elenergi i kraftvärmeverk (GWh)",Kraftvärmeprod!$B$1:$AV$1,0),FALSE)),"",VLOOKUP($B5,Kraftvärmeprod!$B$1:$AV$479,MATCH("Producerad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Energilösningar AB</v>
      </c>
    </row>
    <row r="6" spans="1:10" x14ac:dyDescent="0.45">
      <c r="A6" s="2" t="s">
        <v>15</v>
      </c>
      <c r="B6" s="2" t="s">
        <v>24</v>
      </c>
      <c r="D6" t="str">
        <f>IF(ISERROR(1/VLOOKUP($B6,Kraftvärmeprod!$B$1:$D$479,MATCH("Total värmeproduktion i kraftvärmeverk i kombinerad drift (GWh)",Kraftvärmeprod!$B$1:$AV$1,0),FALSE)),"Ej kraftvärme","Alternativproduktionsmetoden")</f>
        <v>Ej kraftvärme</v>
      </c>
      <c r="E6" t="str">
        <f>IF(ISERROR(1/VLOOKUP($B6,Kraftvärmeprod!$B$1:$BD$479,MATCH("Total värmeproduktion i kraftvärmeverk i kombinerad drift (GWh)",Kraftvärmeprod!$B$1:$AV$1,0),FALSE)),"",VLOOKUP($B6,'Slutlig allokering kvv'!$B$1:$BC$479,MATCH(E$1,'Slutlig allokering kvv'!$B$1:$AU$1,0),FALSE))</f>
        <v/>
      </c>
      <c r="F6" t="str">
        <f>IF(ISERROR(1/VLOOKUP($B6,Kraftvärmeprod!$B$1:$AV$479,MATCH("Producerad elenergi i kraftvärmeverk (GWh)",Kraftvärmeprod!$B$1:$AV$1,0),FALSE)),"",VLOOKUP($B6,Kraftvärmeprod!$B$1:$AV$479,MATCH("Producerad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Energilösningar AB</v>
      </c>
    </row>
    <row r="7" spans="1:10" x14ac:dyDescent="0.45">
      <c r="A7" s="2" t="s">
        <v>15</v>
      </c>
      <c r="B7" s="2" t="s">
        <v>26</v>
      </c>
      <c r="D7" t="str">
        <f>IF(ISERROR(1/VLOOKUP($B7,Kraftvärmeprod!$B$1:$D$479,MATCH("Total värmeproduktion i kraftvärmeverk i kombinerad drift (GWh)",Kraftvärmeprod!$B$1:$AV$1,0),FALSE)),"Ej kraftvärme","Alternativproduktionsmetoden")</f>
        <v>Ej kraftvärme</v>
      </c>
      <c r="E7" t="str">
        <f>IF(ISERROR(1/VLOOKUP($B7,Kraftvärmeprod!$B$1:$BD$479,MATCH("Total värmeproduktion i kraftvärmeverk i kombinerad drift (GWh)",Kraftvärmeprod!$B$1:$AV$1,0),FALSE)),"",VLOOKUP($B7,'Slutlig allokering kvv'!$B$1:$BC$479,MATCH(E$1,'Slutlig allokering kvv'!$B$1:$AU$1,0),FALSE))</f>
        <v/>
      </c>
      <c r="F7" t="str">
        <f>IF(ISERROR(1/VLOOKUP($B7,Kraftvärmeprod!$B$1:$AV$479,MATCH("Producerad elenergi i kraftvärmeverk (GWh)",Kraftvärmeprod!$B$1:$AV$1,0),FALSE)),"",VLOOKUP($B7,Kraftvärmeprod!$B$1:$AV$479,MATCH("Producerad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Energilösningar AB</v>
      </c>
    </row>
    <row r="8" spans="1:10" x14ac:dyDescent="0.45">
      <c r="A8" s="2" t="s">
        <v>15</v>
      </c>
      <c r="B8" s="2" t="s">
        <v>28</v>
      </c>
      <c r="D8" t="str">
        <f>IF(ISERROR(1/VLOOKUP($B8,Kraftvärmeprod!$B$1:$D$479,MATCH("Total värmeproduktion i kraftvärmeverk i kombinerad drift (GWh)",Kraftvärmeprod!$B$1:$AV$1,0),FALSE)),"Ej kraftvärme","Alternativproduktionsmetoden")</f>
        <v>Ej kraftvärme</v>
      </c>
      <c r="E8" t="str">
        <f>IF(ISERROR(1/VLOOKUP($B8,Kraftvärmeprod!$B$1:$BD$479,MATCH("Total värmeproduktion i kraftvärmeverk i kombinerad drift (GWh)",Kraftvärmeprod!$B$1:$AV$1,0),FALSE)),"",VLOOKUP($B8,'Slutlig allokering kvv'!$B$1:$BC$479,MATCH(E$1,'Slutlig allokering kvv'!$B$1:$AU$1,0),FALSE))</f>
        <v/>
      </c>
      <c r="F8" t="str">
        <f>IF(ISERROR(1/VLOOKUP($B8,Kraftvärmeprod!$B$1:$AV$479,MATCH("Producerad elenergi i kraftvärmeverk (GWh)",Kraftvärmeprod!$B$1:$AV$1,0),FALSE)),"",VLOOKUP($B8,Kraftvärmeprod!$B$1:$AV$479,MATCH("Producerad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Energilösningar AB</v>
      </c>
    </row>
    <row r="9" spans="1:10" x14ac:dyDescent="0.45">
      <c r="A9" s="2" t="s">
        <v>15</v>
      </c>
      <c r="B9" s="2" t="s">
        <v>30</v>
      </c>
      <c r="D9" t="str">
        <f>IF(ISERROR(1/VLOOKUP($B9,Kraftvärmeprod!$B$1:$D$479,MATCH("Total värmeproduktion i kraftvärmeverk i kombinerad drift (GWh)",Kraftvärmeprod!$B$1:$AV$1,0),FALSE)),"Ej kraftvärme","Alternativproduktionsmetoden")</f>
        <v>Ej kraftvärme</v>
      </c>
      <c r="E9" t="str">
        <f>IF(ISERROR(1/VLOOKUP($B9,Kraftvärmeprod!$B$1:$BD$479,MATCH("Total värmeproduktion i kraftvärmeverk i kombinerad drift (GWh)",Kraftvärmeprod!$B$1:$AV$1,0),FALSE)),"",VLOOKUP($B9,'Slutlig allokering kvv'!$B$1:$BC$479,MATCH(E$1,'Slutlig allokering kvv'!$B$1:$AU$1,0),FALSE))</f>
        <v/>
      </c>
      <c r="F9" t="str">
        <f>IF(ISERROR(1/VLOOKUP($B9,Kraftvärmeprod!$B$1:$AV$479,MATCH("Producerad elenergi i kraftvärmeverk (GWh)",Kraftvärmeprod!$B$1:$AV$1,0),FALSE)),"",VLOOKUP($B9,Kraftvärmeprod!$B$1:$AV$479,MATCH("Producerad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Energilösningar AB</v>
      </c>
    </row>
    <row r="10" spans="1:10" x14ac:dyDescent="0.45">
      <c r="A10" s="2" t="s">
        <v>15</v>
      </c>
      <c r="B10" s="2" t="s">
        <v>32</v>
      </c>
      <c r="D10" t="str">
        <f>IF(ISERROR(1/VLOOKUP($B10,Kraftvärmeprod!$B$1:$D$479,MATCH("Total värmeproduktion i kraftvärmeverk i kombinerad drift (GWh)",Kraftvärmeprod!$B$1:$AV$1,0),FALSE)),"Ej kraftvärme","Alternativproduktionsmetoden")</f>
        <v>Ej kraftvärme</v>
      </c>
      <c r="E10" t="str">
        <f>IF(ISERROR(1/VLOOKUP($B10,Kraftvärmeprod!$B$1:$BD$479,MATCH("Total värmeproduktion i kraftvärmeverk i kombinerad drift (GWh)",Kraftvärmeprod!$B$1:$AV$1,0),FALSE)),"",VLOOKUP($B10,'Slutlig allokering kvv'!$B$1:$BC$479,MATCH(E$1,'Slutlig allokering kvv'!$B$1:$AU$1,0),FALSE))</f>
        <v/>
      </c>
      <c r="F10" t="str">
        <f>IF(ISERROR(1/VLOOKUP($B10,Kraftvärmeprod!$B$1:$AV$479,MATCH("Producerad elenergi i kraftvärmeverk (GWh)",Kraftvärmeprod!$B$1:$AV$1,0),FALSE)),"",VLOOKUP($B10,Kraftvärmeprod!$B$1:$AV$479,MATCH("Producerad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Adven Energilösningar AB</v>
      </c>
    </row>
    <row r="11" spans="1:10" x14ac:dyDescent="0.45">
      <c r="A11" s="2" t="s">
        <v>672</v>
      </c>
      <c r="B11" s="2" t="s">
        <v>681</v>
      </c>
      <c r="D11" t="str">
        <f>IF(ISERROR(1/VLOOKUP($B11,Kraftvärmeprod!$B$1:$D$479,MATCH("Total värmeproduktion i kraftvärmeverk i kombinerad drift (GWh)",Kraftvärmeprod!$B$1:$AV$1,0),FALSE)),"Ej kraftvärme","Alternativproduktionsmetoden")</f>
        <v>Ej kraftvärme</v>
      </c>
      <c r="E11" t="str">
        <f>IF(ISERROR(1/VLOOKUP($B11,Kraftvärmeprod!$B$1:$BD$479,MATCH("Total värmeproduktion i kraftvärmeverk i kombinerad drift (GWh)",Kraftvärmeprod!$B$1:$AV$1,0),FALSE)),"",VLOOKUP($B11,'Slutlig allokering kvv'!$B$1:$BC$479,MATCH(E$1,'Slutlig allokering kvv'!$B$1:$AU$1,0),FALSE))</f>
        <v/>
      </c>
      <c r="F11" t="str">
        <f>IF(ISERROR(1/VLOOKUP($B11,Kraftvärmeprod!$B$1:$AV$479,MATCH("Producerad elenergi i kraftvärmeverk (GWh)",Kraftvärmeprod!$B$1:$AV$1,0),FALSE)),"",VLOOKUP($B11,Kraftvärmeprod!$B$1:$AV$479,MATCH("Producerad elenergi i kraftvärmeverk (GWh)",Kraftvärmeprod!$B$1:$AV$1,0),FALSE))</f>
        <v/>
      </c>
      <c r="G11" t="str">
        <f>IF(ISERROR(1/VLOOKUP($B11,Miljö!$B$1:$T$480,MATCH("Såld mängd produktionsspecifik fjärrvärme (GWh)",Miljö!$B$1:$T$1,0),FALSE)),"",VLOOKUP($B11,Miljö!$B$1:$T$480,MATCH("Såld mängd produktionsspecifik fjärrvärme (GWh)",Miljö!$B$1:$T$1,0),FALSE))</f>
        <v/>
      </c>
      <c r="J11" t="str">
        <f t="shared" si="0"/>
        <v>Adven Värme AB.</v>
      </c>
    </row>
    <row r="12" spans="1:10" x14ac:dyDescent="0.45">
      <c r="A12" s="2" t="s">
        <v>672</v>
      </c>
      <c r="B12" s="2" t="s">
        <v>680</v>
      </c>
      <c r="D12" t="str">
        <f>IF(ISERROR(1/VLOOKUP($B12,Kraftvärmeprod!$B$1:$D$479,MATCH("Total värmeproduktion i kraftvärmeverk i kombinerad drift (GWh)",Kraftvärmeprod!$B$1:$AV$1,0),FALSE)),"Ej kraftvärme","Alternativproduktionsmetoden")</f>
        <v>Ej kraftvärme</v>
      </c>
      <c r="E12" t="str">
        <f>IF(ISERROR(1/VLOOKUP($B12,Kraftvärmeprod!$B$1:$BD$479,MATCH("Total värmeproduktion i kraftvärmeverk i kombinerad drift (GWh)",Kraftvärmeprod!$B$1:$AV$1,0),FALSE)),"",VLOOKUP($B12,'Slutlig allokering kvv'!$B$1:$BC$479,MATCH(E$1,'Slutlig allokering kvv'!$B$1:$AU$1,0),FALSE))</f>
        <v/>
      </c>
      <c r="F12" t="str">
        <f>IF(ISERROR(1/VLOOKUP($B12,Kraftvärmeprod!$B$1:$AV$479,MATCH("Producerad elenergi i kraftvärmeverk (GWh)",Kraftvärmeprod!$B$1:$AV$1,0),FALSE)),"",VLOOKUP($B12,Kraftvärmeprod!$B$1:$AV$479,MATCH("Producerad elenergi i kraftvärmeverk (GWh)",Kraftvärmeprod!$B$1:$AV$1,0),FALSE))</f>
        <v/>
      </c>
      <c r="G12" t="str">
        <f>IF(ISERROR(1/VLOOKUP($B12,Miljö!$B$1:$T$480,MATCH("Såld mängd produktionsspecifik fjärrvärme (GWh)",Miljö!$B$1:$T$1,0),FALSE)),"",VLOOKUP($B12,Miljö!$B$1:$T$480,MATCH("Såld mängd produktionsspecifik fjärrvärme (GWh)",Miljö!$B$1:$T$1,0),FALSE))</f>
        <v/>
      </c>
      <c r="J12" t="str">
        <f t="shared" si="0"/>
        <v>Adven Värme AB.</v>
      </c>
    </row>
    <row r="13" spans="1:10" x14ac:dyDescent="0.45">
      <c r="A13" s="2" t="s">
        <v>672</v>
      </c>
      <c r="B13" s="2" t="s">
        <v>679</v>
      </c>
      <c r="D13" t="str">
        <f>IF(ISERROR(1/VLOOKUP($B13,Kraftvärmeprod!$B$1:$D$479,MATCH("Total värmeproduktion i kraftvärmeverk i kombinerad drift (GWh)",Kraftvärmeprod!$B$1:$AV$1,0),FALSE)),"Ej kraftvärme","Alternativproduktionsmetoden")</f>
        <v>Ej kraftvärme</v>
      </c>
      <c r="E13" t="str">
        <f>IF(ISERROR(1/VLOOKUP($B13,Kraftvärmeprod!$B$1:$BD$479,MATCH("Total värmeproduktion i kraftvärmeverk i kombinerad drift (GWh)",Kraftvärmeprod!$B$1:$AV$1,0),FALSE)),"",VLOOKUP($B13,'Slutlig allokering kvv'!$B$1:$BC$479,MATCH(E$1,'Slutlig allokering kvv'!$B$1:$AU$1,0),FALSE))</f>
        <v/>
      </c>
      <c r="F13" t="str">
        <f>IF(ISERROR(1/VLOOKUP($B13,Kraftvärmeprod!$B$1:$AV$479,MATCH("Producerad elenergi i kraftvärmeverk (GWh)",Kraftvärmeprod!$B$1:$AV$1,0),FALSE)),"",VLOOKUP($B13,Kraftvärmeprod!$B$1:$AV$479,MATCH("Producerad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Adven Värme AB.</v>
      </c>
    </row>
    <row r="14" spans="1:10" x14ac:dyDescent="0.45">
      <c r="A14" s="2" t="s">
        <v>672</v>
      </c>
      <c r="B14" s="2" t="s">
        <v>678</v>
      </c>
      <c r="D14" t="str">
        <f>IF(ISERROR(1/VLOOKUP($B14,Kraftvärmeprod!$B$1:$D$479,MATCH("Total värmeproduktion i kraftvärmeverk i kombinerad drift (GWh)",Kraftvärmeprod!$B$1:$AV$1,0),FALSE)),"Ej kraftvärme","Alternativproduktionsmetoden")</f>
        <v>Ej kraftvärme</v>
      </c>
      <c r="E14" t="str">
        <f>IF(ISERROR(1/VLOOKUP($B14,Kraftvärmeprod!$B$1:$BD$479,MATCH("Total värmeproduktion i kraftvärmeverk i kombinerad drift (GWh)",Kraftvärmeprod!$B$1:$AV$1,0),FALSE)),"",VLOOKUP($B14,'Slutlig allokering kvv'!$B$1:$BC$479,MATCH(E$1,'Slutlig allokering kvv'!$B$1:$AU$1,0),FALSE))</f>
        <v/>
      </c>
      <c r="F14" t="str">
        <f>IF(ISERROR(1/VLOOKUP($B14,Kraftvärmeprod!$B$1:$AV$479,MATCH("Producerad elenergi i kraftvärmeverk (GWh)",Kraftvärmeprod!$B$1:$AV$1,0),FALSE)),"",VLOOKUP($B14,Kraftvärmeprod!$B$1:$AV$479,MATCH("Producerad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Adven Värme AB.</v>
      </c>
    </row>
    <row r="15" spans="1:10" x14ac:dyDescent="0.45">
      <c r="A15" s="2" t="s">
        <v>672</v>
      </c>
      <c r="B15" s="2" t="s">
        <v>677</v>
      </c>
      <c r="D15" t="str">
        <f>IF(ISERROR(1/VLOOKUP($B15,Kraftvärmeprod!$B$1:$D$479,MATCH("Total värmeproduktion i kraftvärmeverk i kombinerad drift (GWh)",Kraftvärmeprod!$B$1:$AV$1,0),FALSE)),"Ej kraftvärme","Alternativproduktionsmetoden")</f>
        <v>Ej kraftvärme</v>
      </c>
      <c r="E15" t="str">
        <f>IF(ISERROR(1/VLOOKUP($B15,Kraftvärmeprod!$B$1:$BD$479,MATCH("Total värmeproduktion i kraftvärmeverk i kombinerad drift (GWh)",Kraftvärmeprod!$B$1:$AV$1,0),FALSE)),"",VLOOKUP($B15,'Slutlig allokering kvv'!$B$1:$BC$479,MATCH(E$1,'Slutlig allokering kvv'!$B$1:$AU$1,0),FALSE))</f>
        <v/>
      </c>
      <c r="F15" t="str">
        <f>IF(ISERROR(1/VLOOKUP($B15,Kraftvärmeprod!$B$1:$AV$479,MATCH("Producerad elenergi i kraftvärmeverk (GWh)",Kraftvärmeprod!$B$1:$AV$1,0),FALSE)),"",VLOOKUP($B15,Kraftvärmeprod!$B$1:$AV$479,MATCH("Producerad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Adven Värme AB.</v>
      </c>
    </row>
    <row r="16" spans="1:10" x14ac:dyDescent="0.45">
      <c r="A16" s="2" t="s">
        <v>672</v>
      </c>
      <c r="B16" s="2" t="s">
        <v>676</v>
      </c>
      <c r="D16" t="str">
        <f>IF(ISERROR(1/VLOOKUP($B16,Kraftvärmeprod!$B$1:$D$479,MATCH("Total värmeproduktion i kraftvärmeverk i kombinerad drift (GWh)",Kraftvärmeprod!$B$1:$AV$1,0),FALSE)),"Ej kraftvärme","Alternativproduktionsmetoden")</f>
        <v>Ej kraftvärme</v>
      </c>
      <c r="E16" t="str">
        <f>IF(ISERROR(1/VLOOKUP($B16,Kraftvärmeprod!$B$1:$BD$479,MATCH("Total värmeproduktion i kraftvärmeverk i kombinerad drift (GWh)",Kraftvärmeprod!$B$1:$AV$1,0),FALSE)),"",VLOOKUP($B16,'Slutlig allokering kvv'!$B$1:$BC$479,MATCH(E$1,'Slutlig allokering kvv'!$B$1:$AU$1,0),FALSE))</f>
        <v/>
      </c>
      <c r="F16" t="str">
        <f>IF(ISERROR(1/VLOOKUP($B16,Kraftvärmeprod!$B$1:$AV$479,MATCH("Producerad elenergi i kraftvärmeverk (GWh)",Kraftvärmeprod!$B$1:$AV$1,0),FALSE)),"",VLOOKUP($B16,Kraftvärmeprod!$B$1:$AV$479,MATCH("Producerad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Adven Värme AB.</v>
      </c>
    </row>
    <row r="17" spans="1:10" x14ac:dyDescent="0.45">
      <c r="A17" s="2" t="s">
        <v>672</v>
      </c>
      <c r="B17" s="2" t="s">
        <v>675</v>
      </c>
      <c r="D17" t="str">
        <f>IF(ISERROR(1/VLOOKUP($B17,Kraftvärmeprod!$B$1:$D$479,MATCH("Total värmeproduktion i kraftvärmeverk i kombinerad drift (GWh)",Kraftvärmeprod!$B$1:$AV$1,0),FALSE)),"Ej kraftvärme","Alternativproduktionsmetoden")</f>
        <v>Ej kraftvärme</v>
      </c>
      <c r="E17" t="str">
        <f>IF(ISERROR(1/VLOOKUP($B17,Kraftvärmeprod!$B$1:$BD$479,MATCH("Total värmeproduktion i kraftvärmeverk i kombinerad drift (GWh)",Kraftvärmeprod!$B$1:$AV$1,0),FALSE)),"",VLOOKUP($B17,'Slutlig allokering kvv'!$B$1:$BC$479,MATCH(E$1,'Slutlig allokering kvv'!$B$1:$AU$1,0),FALSE))</f>
        <v/>
      </c>
      <c r="F17" t="str">
        <f>IF(ISERROR(1/VLOOKUP($B17,Kraftvärmeprod!$B$1:$AV$479,MATCH("Producerad elenergi i kraftvärmeverk (GWh)",Kraftvärmeprod!$B$1:$AV$1,0),FALSE)),"",VLOOKUP($B17,Kraftvärmeprod!$B$1:$AV$479,MATCH("Producerad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Adven Värme AB.</v>
      </c>
    </row>
    <row r="18" spans="1:10" x14ac:dyDescent="0.45">
      <c r="A18" s="2" t="s">
        <v>672</v>
      </c>
      <c r="B18" s="2" t="s">
        <v>674</v>
      </c>
      <c r="D18" t="str">
        <f>IF(ISERROR(1/VLOOKUP($B18,Kraftvärmeprod!$B$1:$D$479,MATCH("Total värmeproduktion i kraftvärmeverk i kombinerad drift (GWh)",Kraftvärmeprod!$B$1:$AV$1,0),FALSE)),"Ej kraftvärme","Alternativproduktionsmetoden")</f>
        <v>Ej kraftvärme</v>
      </c>
      <c r="E18" t="str">
        <f>IF(ISERROR(1/VLOOKUP($B18,Kraftvärmeprod!$B$1:$BD$479,MATCH("Total värmeproduktion i kraftvärmeverk i kombinerad drift (GWh)",Kraftvärmeprod!$B$1:$AV$1,0),FALSE)),"",VLOOKUP($B18,'Slutlig allokering kvv'!$B$1:$BC$479,MATCH(E$1,'Slutlig allokering kvv'!$B$1:$AU$1,0),FALSE))</f>
        <v/>
      </c>
      <c r="F18" t="str">
        <f>IF(ISERROR(1/VLOOKUP($B18,Kraftvärmeprod!$B$1:$AV$479,MATCH("Producerad elenergi i kraftvärmeverk (GWh)",Kraftvärmeprod!$B$1:$AV$1,0),FALSE)),"",VLOOKUP($B18,Kraftvärmeprod!$B$1:$AV$479,MATCH("Producerad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Adven Värme AB.</v>
      </c>
    </row>
    <row r="19" spans="1:10" x14ac:dyDescent="0.45">
      <c r="A19" s="2" t="s">
        <v>672</v>
      </c>
      <c r="B19" s="2" t="s">
        <v>673</v>
      </c>
      <c r="D19" t="str">
        <f>IF(ISERROR(1/VLOOKUP($B19,Kraftvärmeprod!$B$1:$D$479,MATCH("Total värmeproduktion i kraftvärmeverk i kombinerad drift (GWh)",Kraftvärmeprod!$B$1:$AV$1,0),FALSE)),"Ej kraftvärme","Alternativproduktionsmetoden")</f>
        <v>Ej kraftvärme</v>
      </c>
      <c r="E19" t="str">
        <f>IF(ISERROR(1/VLOOKUP($B19,Kraftvärmeprod!$B$1:$BD$479,MATCH("Total värmeproduktion i kraftvärmeverk i kombinerad drift (GWh)",Kraftvärmeprod!$B$1:$AV$1,0),FALSE)),"",VLOOKUP($B19,'Slutlig allokering kvv'!$B$1:$BC$479,MATCH(E$1,'Slutlig allokering kvv'!$B$1:$AU$1,0),FALSE))</f>
        <v/>
      </c>
      <c r="F19" t="str">
        <f>IF(ISERROR(1/VLOOKUP($B19,Kraftvärmeprod!$B$1:$AV$479,MATCH("Producerad elenergi i kraftvärmeverk (GWh)",Kraftvärmeprod!$B$1:$AV$1,0),FALSE)),"",VLOOKUP($B19,Kraftvärmeprod!$B$1:$AV$479,MATCH("Producerad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Adven Värme AB.</v>
      </c>
    </row>
    <row r="20" spans="1:10" x14ac:dyDescent="0.45">
      <c r="A20" s="2" t="s">
        <v>672</v>
      </c>
      <c r="B20" s="2" t="s">
        <v>671</v>
      </c>
      <c r="D20" t="str">
        <f>IF(ISERROR(1/VLOOKUP($B20,Kraftvärmeprod!$B$1:$D$479,MATCH("Total värmeproduktion i kraftvärmeverk i kombinerad drift (GWh)",Kraftvärmeprod!$B$1:$AV$1,0),FALSE)),"Ej kraftvärme","Alternativproduktionsmetoden")</f>
        <v>Ej kraftvärme</v>
      </c>
      <c r="E20" t="str">
        <f>IF(ISERROR(1/VLOOKUP($B20,Kraftvärmeprod!$B$1:$BD$479,MATCH("Total värmeproduktion i kraftvärmeverk i kombinerad drift (GWh)",Kraftvärmeprod!$B$1:$AV$1,0),FALSE)),"",VLOOKUP($B20,'Slutlig allokering kvv'!$B$1:$BC$479,MATCH(E$1,'Slutlig allokering kvv'!$B$1:$AU$1,0),FALSE))</f>
        <v/>
      </c>
      <c r="F20" t="str">
        <f>IF(ISERROR(1/VLOOKUP($B20,Kraftvärmeprod!$B$1:$AV$479,MATCH("Producerad elenergi i kraftvärmeverk (GWh)",Kraftvärmeprod!$B$1:$AV$1,0),FALSE)),"",VLOOKUP($B20,Kraftvärmeprod!$B$1:$AV$479,MATCH("Producerad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Adven Värme AB.</v>
      </c>
    </row>
    <row r="21" spans="1:10" x14ac:dyDescent="0.45">
      <c r="A21" s="2" t="s">
        <v>666</v>
      </c>
      <c r="B21" s="2" t="s">
        <v>670</v>
      </c>
      <c r="D21" t="str">
        <f>IF(ISERROR(1/VLOOKUP($B21,Kraftvärmeprod!$B$1:$D$479,MATCH("Total värmeproduktion i kraftvärmeverk i kombinerad drift (GWh)",Kraftvärmeprod!$B$1:$AV$1,0),FALSE)),"Ej kraftvärme","Alternativproduktionsmetoden")</f>
        <v>Ej kraftvärme</v>
      </c>
      <c r="E21" t="str">
        <f>IF(ISERROR(1/VLOOKUP($B21,Kraftvärmeprod!$B$1:$BD$479,MATCH("Total värmeproduktion i kraftvärmeverk i kombinerad drift (GWh)",Kraftvärmeprod!$B$1:$AV$1,0),FALSE)),"",VLOOKUP($B21,'Slutlig allokering kvv'!$B$1:$BC$479,MATCH(E$1,'Slutlig allokering kvv'!$B$1:$AU$1,0),FALSE))</f>
        <v/>
      </c>
      <c r="F21" t="str">
        <f>IF(ISERROR(1/VLOOKUP($B21,Kraftvärmeprod!$B$1:$AV$479,MATCH("Producerad elenergi i kraftvärmeverk (GWh)",Kraftvärmeprod!$B$1:$AV$1,0),FALSE)),"",VLOOKUP($B21,Kraftvärmeprod!$B$1:$AV$479,MATCH("Producerad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Affärsverken Karlskrona AB</v>
      </c>
    </row>
    <row r="22" spans="1:10" x14ac:dyDescent="0.45">
      <c r="A22" s="2" t="s">
        <v>666</v>
      </c>
      <c r="B22" s="2" t="s">
        <v>669</v>
      </c>
      <c r="D22" t="str">
        <f>IF(ISERROR(1/VLOOKUP($B22,Kraftvärmeprod!$B$1:$D$479,MATCH("Total värmeproduktion i kraftvärmeverk i kombinerad drift (GWh)",Kraftvärmeprod!$B$1:$AV$1,0),FALSE)),"Ej kraftvärme","Alternativproduktionsmetoden")</f>
        <v>Ej kraftvärme</v>
      </c>
      <c r="E22" t="str">
        <f>IF(ISERROR(1/VLOOKUP($B22,Kraftvärmeprod!$B$1:$BD$479,MATCH("Total värmeproduktion i kraftvärmeverk i kombinerad drift (GWh)",Kraftvärmeprod!$B$1:$AV$1,0),FALSE)),"",VLOOKUP($B22,'Slutlig allokering kvv'!$B$1:$BC$479,MATCH(E$1,'Slutlig allokering kvv'!$B$1:$AU$1,0),FALSE))</f>
        <v/>
      </c>
      <c r="F22" t="str">
        <f>IF(ISERROR(1/VLOOKUP($B22,Kraftvärmeprod!$B$1:$AV$479,MATCH("Producerad elenergi i kraftvärmeverk (GWh)",Kraftvärmeprod!$B$1:$AV$1,0),FALSE)),"",VLOOKUP($B22,Kraftvärmeprod!$B$1:$AV$479,MATCH("Producerad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Affärsverken Karlskrona AB</v>
      </c>
    </row>
    <row r="23" spans="1:10" x14ac:dyDescent="0.45">
      <c r="A23" s="2" t="s">
        <v>666</v>
      </c>
      <c r="B23" s="2" t="s">
        <v>668</v>
      </c>
      <c r="D23" t="str">
        <f>IF(ISERROR(1/VLOOKUP($B23,Kraftvärmeprod!$B$1:$D$479,MATCH("Total värmeproduktion i kraftvärmeverk i kombinerad drift (GWh)",Kraftvärmeprod!$B$1:$AV$1,0),FALSE)),"Ej kraftvärme","Alternativproduktionsmetoden")</f>
        <v>Alternativproduktionsmetoden</v>
      </c>
      <c r="E23">
        <f>IF(ISERROR(1/VLOOKUP($B23,Kraftvärmeprod!$B$1:$BD$479,MATCH("Total värmeproduktion i kraftvärmeverk i kombinerad drift (GWh)",Kraftvärmeprod!$B$1:$AV$1,0),FALSE)),"",VLOOKUP($B23,'Slutlig allokering kvv'!$B$1:$BC$479,MATCH(E$1,'Slutlig allokering kvv'!$B$1:$AU$1,0),FALSE))</f>
        <v>0.58388732647657549</v>
      </c>
      <c r="F23">
        <f>IF(ISERROR(1/VLOOKUP($B23,Kraftvärmeprod!$B$1:$AV$479,MATCH("Producerad elenergi i kraftvärmeverk (GWh)",Kraftvärmeprod!$B$1:$AV$1,0),FALSE)),"",VLOOKUP($B23,Kraftvärmeprod!$B$1:$AV$479,MATCH("Producerad elenergi i kraftvärmeverk (GWh)",Kraftvärmeprod!$B$1:$AV$1,0),FALSE))</f>
        <v>63.77</v>
      </c>
      <c r="G23" t="str">
        <f>IF(ISERROR(1/VLOOKUP($B23,Miljö!$B$1:$T$480,MATCH("Såld mängd produktionsspecifik fjärrvärme (GWh)",Miljö!$B$1:$T$1,0),FALSE)),"",VLOOKUP($B23,Miljö!$B$1:$T$480,MATCH("Såld mängd produktionsspecifik fjärrvärme (GWh)",Miljö!$B$1:$T$1,0),FALSE))</f>
        <v/>
      </c>
      <c r="J23" t="str">
        <f t="shared" si="0"/>
        <v>Affärsverken Karlskrona AB</v>
      </c>
    </row>
    <row r="24" spans="1:10" x14ac:dyDescent="0.45">
      <c r="A24" s="2" t="s">
        <v>666</v>
      </c>
      <c r="B24" s="2" t="s">
        <v>667</v>
      </c>
      <c r="D24" t="str">
        <f>IF(ISERROR(1/VLOOKUP($B24,Kraftvärmeprod!$B$1:$D$479,MATCH("Total värmeproduktion i kraftvärmeverk i kombinerad drift (GWh)",Kraftvärmeprod!$B$1:$AV$1,0),FALSE)),"Ej kraftvärme","Alternativproduktionsmetoden")</f>
        <v>Ej kraftvärme</v>
      </c>
      <c r="E24" t="str">
        <f>IF(ISERROR(1/VLOOKUP($B24,Kraftvärmeprod!$B$1:$BD$479,MATCH("Total värmeproduktion i kraftvärmeverk i kombinerad drift (GWh)",Kraftvärmeprod!$B$1:$AV$1,0),FALSE)),"",VLOOKUP($B24,'Slutlig allokering kvv'!$B$1:$BC$479,MATCH(E$1,'Slutlig allokering kvv'!$B$1:$AU$1,0),FALSE))</f>
        <v/>
      </c>
      <c r="F24" t="str">
        <f>IF(ISERROR(1/VLOOKUP($B24,Kraftvärmeprod!$B$1:$AV$479,MATCH("Producerad elenergi i kraftvärmeverk (GWh)",Kraftvärmeprod!$B$1:$AV$1,0),FALSE)),"",VLOOKUP($B24,Kraftvärmeprod!$B$1:$AV$479,MATCH("Producerad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Affärsverken Karlskrona AB</v>
      </c>
    </row>
    <row r="25" spans="1:10" x14ac:dyDescent="0.45">
      <c r="A25" s="2" t="s">
        <v>666</v>
      </c>
      <c r="B25" s="2" t="s">
        <v>665</v>
      </c>
      <c r="D25" t="str">
        <f>IF(ISERROR(1/VLOOKUP($B25,Kraftvärmeprod!$B$1:$D$479,MATCH("Total värmeproduktion i kraftvärmeverk i kombinerad drift (GWh)",Kraftvärmeprod!$B$1:$AV$1,0),FALSE)),"Ej kraftvärme","Alternativproduktionsmetoden")</f>
        <v>Ej kraftvärme</v>
      </c>
      <c r="E25" t="str">
        <f>IF(ISERROR(1/VLOOKUP($B25,Kraftvärmeprod!$B$1:$BD$479,MATCH("Total värmeproduktion i kraftvärmeverk i kombinerad drift (GWh)",Kraftvärmeprod!$B$1:$AV$1,0),FALSE)),"",VLOOKUP($B25,'Slutlig allokering kvv'!$B$1:$BC$479,MATCH(E$1,'Slutlig allokering kvv'!$B$1:$AU$1,0),FALSE))</f>
        <v/>
      </c>
      <c r="F25" t="str">
        <f>IF(ISERROR(1/VLOOKUP($B25,Kraftvärmeprod!$B$1:$AV$479,MATCH("Producerad elenergi i kraftvärmeverk (GWh)",Kraftvärmeprod!$B$1:$AV$1,0),FALSE)),"",VLOOKUP($B25,Kraftvärmeprod!$B$1:$AV$479,MATCH("Producerad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Affärsverken Karlskrona AB</v>
      </c>
    </row>
    <row r="26" spans="1:10" x14ac:dyDescent="0.45">
      <c r="A26" s="2" t="s">
        <v>664</v>
      </c>
      <c r="B26" s="2" t="s">
        <v>663</v>
      </c>
      <c r="D26" t="str">
        <f>IF(ISERROR(1/VLOOKUP($B26,Kraftvärmeprod!$B$1:$D$479,MATCH("Total värmeproduktion i kraftvärmeverk i kombinerad drift (GWh)",Kraftvärmeprod!$B$1:$AV$1,0),FALSE)),"Ej kraftvärme","Alternativproduktionsmetoden")</f>
        <v>Ej kraftvärme</v>
      </c>
      <c r="E26" t="str">
        <f>IF(ISERROR(1/VLOOKUP($B26,Kraftvärmeprod!$B$1:$BD$479,MATCH("Total värmeproduktion i kraftvärmeverk i kombinerad drift (GWh)",Kraftvärmeprod!$B$1:$AV$1,0),FALSE)),"",VLOOKUP($B26,'Slutlig allokering kvv'!$B$1:$BC$479,MATCH(E$1,'Slutlig allokering kvv'!$B$1:$AU$1,0),FALSE))</f>
        <v/>
      </c>
      <c r="F26" t="str">
        <f>IF(ISERROR(1/VLOOKUP($B26,Kraftvärmeprod!$B$1:$AV$479,MATCH("Producerad elenergi i kraftvärmeverk (GWh)",Kraftvärmeprod!$B$1:$AV$1,0),FALSE)),"",VLOOKUP($B26,Kraftvärmeprod!$B$1:$AV$479,MATCH("Producerad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Alingsås Energi Nät AB</v>
      </c>
    </row>
    <row r="27" spans="1:10" x14ac:dyDescent="0.45">
      <c r="A27" s="2" t="s">
        <v>660</v>
      </c>
      <c r="B27" s="2" t="s">
        <v>662</v>
      </c>
      <c r="D27" t="str">
        <f>IF(ISERROR(1/VLOOKUP($B27,Kraftvärmeprod!$B$1:$D$479,MATCH("Total värmeproduktion i kraftvärmeverk i kombinerad drift (GWh)",Kraftvärmeprod!$B$1:$AV$1,0),FALSE)),"Ej kraftvärme","Alternativproduktionsmetoden")</f>
        <v>Ej kraftvärme</v>
      </c>
      <c r="E27" t="str">
        <f>IF(ISERROR(1/VLOOKUP($B27,Kraftvärmeprod!$B$1:$BD$479,MATCH("Total värmeproduktion i kraftvärmeverk i kombinerad drift (GWh)",Kraftvärmeprod!$B$1:$AV$1,0),FALSE)),"",VLOOKUP($B27,'Slutlig allokering kvv'!$B$1:$BC$479,MATCH(E$1,'Slutlig allokering kvv'!$B$1:$AU$1,0),FALSE))</f>
        <v/>
      </c>
      <c r="F27" t="str">
        <f>IF(ISERROR(1/VLOOKUP($B27,Kraftvärmeprod!$B$1:$AV$479,MATCH("Producerad elenergi i kraftvärmeverk (GWh)",Kraftvärmeprod!$B$1:$AV$1,0),FALSE)),"",VLOOKUP($B27,Kraftvärmeprod!$B$1:$AV$479,MATCH("Producerad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Alvesta Energi AB</v>
      </c>
    </row>
    <row r="28" spans="1:10" x14ac:dyDescent="0.45">
      <c r="A28" s="2" t="s">
        <v>660</v>
      </c>
      <c r="B28" s="2" t="s">
        <v>661</v>
      </c>
      <c r="D28" t="str">
        <f>IF(ISERROR(1/VLOOKUP($B28,Kraftvärmeprod!$B$1:$D$479,MATCH("Total värmeproduktion i kraftvärmeverk i kombinerad drift (GWh)",Kraftvärmeprod!$B$1:$AV$1,0),FALSE)),"Ej kraftvärme","Alternativproduktionsmetoden")</f>
        <v>Ej kraftvärme</v>
      </c>
      <c r="E28" t="str">
        <f>IF(ISERROR(1/VLOOKUP($B28,Kraftvärmeprod!$B$1:$BD$479,MATCH("Total värmeproduktion i kraftvärmeverk i kombinerad drift (GWh)",Kraftvärmeprod!$B$1:$AV$1,0),FALSE)),"",VLOOKUP($B28,'Slutlig allokering kvv'!$B$1:$BC$479,MATCH(E$1,'Slutlig allokering kvv'!$B$1:$AU$1,0),FALSE))</f>
        <v/>
      </c>
      <c r="F28" t="str">
        <f>IF(ISERROR(1/VLOOKUP($B28,Kraftvärmeprod!$B$1:$AV$479,MATCH("Producerad elenergi i kraftvärmeverk (GWh)",Kraftvärmeprod!$B$1:$AV$1,0),FALSE)),"",VLOOKUP($B28,Kraftvärmeprod!$B$1:$AV$479,MATCH("Producerad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Alvesta Energi AB</v>
      </c>
    </row>
    <row r="29" spans="1:10" x14ac:dyDescent="0.45">
      <c r="A29" s="2" t="s">
        <v>660</v>
      </c>
      <c r="B29" s="2" t="s">
        <v>659</v>
      </c>
      <c r="D29" t="str">
        <f>IF(ISERROR(1/VLOOKUP($B29,Kraftvärmeprod!$B$1:$D$479,MATCH("Total värmeproduktion i kraftvärmeverk i kombinerad drift (GWh)",Kraftvärmeprod!$B$1:$AV$1,0),FALSE)),"Ej kraftvärme","Alternativproduktionsmetoden")</f>
        <v>Ej kraftvärme</v>
      </c>
      <c r="E29" t="str">
        <f>IF(ISERROR(1/VLOOKUP($B29,Kraftvärmeprod!$B$1:$BD$479,MATCH("Total värmeproduktion i kraftvärmeverk i kombinerad drift (GWh)",Kraftvärmeprod!$B$1:$AV$1,0),FALSE)),"",VLOOKUP($B29,'Slutlig allokering kvv'!$B$1:$BC$479,MATCH(E$1,'Slutlig allokering kvv'!$B$1:$AU$1,0),FALSE))</f>
        <v/>
      </c>
      <c r="F29" t="str">
        <f>IF(ISERROR(1/VLOOKUP($B29,Kraftvärmeprod!$B$1:$AV$479,MATCH("Producerad elenergi i kraftvärmeverk (GWh)",Kraftvärmeprod!$B$1:$AV$1,0),FALSE)),"",VLOOKUP($B29,Kraftvärmeprod!$B$1:$AV$479,MATCH("Producerad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Alvesta Energi AB</v>
      </c>
    </row>
    <row r="30" spans="1:10" x14ac:dyDescent="0.45">
      <c r="A30" s="2" t="s">
        <v>657</v>
      </c>
      <c r="B30" s="2" t="s">
        <v>656</v>
      </c>
      <c r="D30" t="str">
        <f>IF(ISERROR(1/VLOOKUP($B30,Kraftvärmeprod!$B$1:$D$479,MATCH("Total värmeproduktion i kraftvärmeverk i kombinerad drift (GWh)",Kraftvärmeprod!$B$1:$AV$1,0),FALSE)),"Ej kraftvärme","Alternativproduktionsmetoden")</f>
        <v>Ej kraftvärme</v>
      </c>
      <c r="E30" t="str">
        <f>IF(ISERROR(1/VLOOKUP($B30,Kraftvärmeprod!$B$1:$BD$479,MATCH("Total värmeproduktion i kraftvärmeverk i kombinerad drift (GWh)",Kraftvärmeprod!$B$1:$AV$1,0),FALSE)),"",VLOOKUP($B30,'Slutlig allokering kvv'!$B$1:$BC$479,MATCH(E$1,'Slutlig allokering kvv'!$B$1:$AU$1,0),FALSE))</f>
        <v/>
      </c>
      <c r="F30" t="str">
        <f>IF(ISERROR(1/VLOOKUP($B30,Kraftvärmeprod!$B$1:$AV$479,MATCH("Producerad elenergi i kraftvärmeverk (GWh)",Kraftvärmeprod!$B$1:$AV$1,0),FALSE)),"",VLOOKUP($B30,Kraftvärmeprod!$B$1:$AV$479,MATCH("Producerad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Aneby Miljö &amp; Vatten AB</v>
      </c>
    </row>
    <row r="31" spans="1:10" x14ac:dyDescent="0.45">
      <c r="A31" s="2" t="s">
        <v>53</v>
      </c>
      <c r="B31" s="2" t="s">
        <v>54</v>
      </c>
      <c r="D31" t="str">
        <f>IF(ISERROR(1/VLOOKUP($B31,Kraftvärmeprod!$B$1:$D$479,MATCH("Total värmeproduktion i kraftvärmeverk i kombinerad drift (GWh)",Kraftvärmeprod!$B$1:$AV$1,0),FALSE)),"Ej kraftvärme","Alternativproduktionsmetoden")</f>
        <v>Ej kraftvärme</v>
      </c>
      <c r="E31" t="str">
        <f>IF(ISERROR(1/VLOOKUP($B31,Kraftvärmeprod!$B$1:$BD$479,MATCH("Total värmeproduktion i kraftvärmeverk i kombinerad drift (GWh)",Kraftvärmeprod!$B$1:$AV$1,0),FALSE)),"",VLOOKUP($B31,'Slutlig allokering kvv'!$B$1:$BC$479,MATCH(E$1,'Slutlig allokering kvv'!$B$1:$AU$1,0),FALSE))</f>
        <v/>
      </c>
      <c r="F31" t="str">
        <f>IF(ISERROR(1/VLOOKUP($B31,Kraftvärmeprod!$B$1:$AV$479,MATCH("Producerad elenergi i kraftvärmeverk (GWh)",Kraftvärmeprod!$B$1:$AV$1,0),FALSE)),"",VLOOKUP($B31,Kraftvärmeprod!$B$1:$AV$479,MATCH("Producerad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Arvidsjaurs Energi AB</v>
      </c>
    </row>
    <row r="32" spans="1:10" x14ac:dyDescent="0.45">
      <c r="A32" s="2" t="s">
        <v>655</v>
      </c>
      <c r="B32" s="2" t="s">
        <v>654</v>
      </c>
      <c r="D32" t="str">
        <f>IF(ISERROR(1/VLOOKUP($B32,Kraftvärmeprod!$B$1:$D$479,MATCH("Total värmeproduktion i kraftvärmeverk i kombinerad drift (GWh)",Kraftvärmeprod!$B$1:$AV$1,0),FALSE)),"Ej kraftvärme","Alternativproduktionsmetoden")</f>
        <v>Ej kraftvärme</v>
      </c>
      <c r="E32" t="str">
        <f>IF(ISERROR(1/VLOOKUP($B32,Kraftvärmeprod!$B$1:$BD$479,MATCH("Total värmeproduktion i kraftvärmeverk i kombinerad drift (GWh)",Kraftvärmeprod!$B$1:$AV$1,0),FALSE)),"",VLOOKUP($B32,'Slutlig allokering kvv'!$B$1:$BC$479,MATCH(E$1,'Slutlig allokering kvv'!$B$1:$AU$1,0),FALSE))</f>
        <v/>
      </c>
      <c r="F32" t="str">
        <f>IF(ISERROR(1/VLOOKUP($B32,Kraftvärmeprod!$B$1:$AV$479,MATCH("Producerad elenergi i kraftvärmeverk (GWh)",Kraftvärmeprod!$B$1:$AV$1,0),FALSE)),"",VLOOKUP($B32,Kraftvärmeprod!$B$1:$AV$479,MATCH("Producerad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Arvika Fjärrvärme AB</v>
      </c>
    </row>
    <row r="33" spans="1:10" x14ac:dyDescent="0.45">
      <c r="A33" s="2" t="s">
        <v>653</v>
      </c>
      <c r="B33" s="2" t="s">
        <v>652</v>
      </c>
      <c r="D33" t="str">
        <f>IF(ISERROR(1/VLOOKUP($B33,Kraftvärmeprod!$B$1:$D$479,MATCH("Total värmeproduktion i kraftvärmeverk i kombinerad drift (GWh)",Kraftvärmeprod!$B$1:$AV$1,0),FALSE)),"Ej kraftvärme","Alternativproduktionsmetoden")</f>
        <v>Ej kraftvärme</v>
      </c>
      <c r="E33" t="str">
        <f>IF(ISERROR(1/VLOOKUP($B33,Kraftvärmeprod!$B$1:$BD$479,MATCH("Total värmeproduktion i kraftvärmeverk i kombinerad drift (GWh)",Kraftvärmeprod!$B$1:$AV$1,0),FALSE)),"",VLOOKUP($B33,'Slutlig allokering kvv'!$B$1:$BC$479,MATCH(E$1,'Slutlig allokering kvv'!$B$1:$AU$1,0),FALSE))</f>
        <v/>
      </c>
      <c r="F33" t="str">
        <f>IF(ISERROR(1/VLOOKUP($B33,Kraftvärmeprod!$B$1:$AV$479,MATCH("Producerad elenergi i kraftvärmeverk (GWh)",Kraftvärmeprod!$B$1:$AV$1,0),FALSE)),"",VLOOKUP($B33,Kraftvärmeprod!$B$1:$AV$479,MATCH("Producerad elenergi i kraftvärmeverk (GWh)",Kraftvärmeprod!$B$1:$AV$1,0),FALSE))</f>
        <v/>
      </c>
      <c r="G33" t="str">
        <f>IF(ISERROR(1/VLOOKUP($B33,Miljö!$B$1:$T$480,MATCH("Såld mängd produktionsspecifik fjärrvärme (GWh)",Miljö!$B$1:$T$1,0),FALSE)),"",VLOOKUP($B33,Miljö!$B$1:$T$480,MATCH("Såld mängd produktionsspecifik fjärrvärme (GWh)",Miljö!$B$1:$T$1,0),FALSE))</f>
        <v/>
      </c>
      <c r="J33" t="str">
        <f t="shared" si="0"/>
        <v>Bengtsfors Energi</v>
      </c>
    </row>
    <row r="34" spans="1:10" x14ac:dyDescent="0.45">
      <c r="A34" s="2" t="s">
        <v>651</v>
      </c>
      <c r="B34" s="2" t="s">
        <v>62</v>
      </c>
      <c r="D34" t="str">
        <f>IF(ISERROR(1/VLOOKUP($B34,Kraftvärmeprod!$B$1:$D$479,MATCH("Total värmeproduktion i kraftvärmeverk i kombinerad drift (GWh)",Kraftvärmeprod!$B$1:$AV$1,0),FALSE)),"Ej kraftvärme","Alternativproduktionsmetoden")</f>
        <v>Alternativproduktionsmetoden</v>
      </c>
      <c r="E34">
        <f>IF(ISERROR(1/VLOOKUP($B34,Kraftvärmeprod!$B$1:$BD$479,MATCH("Total värmeproduktion i kraftvärmeverk i kombinerad drift (GWh)",Kraftvärmeprod!$B$1:$AV$1,0),FALSE)),"",VLOOKUP($B34,'Slutlig allokering kvv'!$B$1:$BC$479,MATCH(E$1,'Slutlig allokering kvv'!$B$1:$AU$1,0),FALSE))</f>
        <v>0.61224064171122994</v>
      </c>
      <c r="F34">
        <f>IF(ISERROR(1/VLOOKUP($B34,Kraftvärmeprod!$B$1:$AV$479,MATCH("Producerad elenergi i kraftvärmeverk (GWh)",Kraftvärmeprod!$B$1:$AV$1,0),FALSE)),"",VLOOKUP($B34,Kraftvärmeprod!$B$1:$AV$479,MATCH("Producerad elenergi i kraftvärmeverk (GWh)",Kraftvärmeprod!$B$1:$AV$1,0),FALSE))</f>
        <v>55</v>
      </c>
      <c r="G34" t="str">
        <f>IF(ISERROR(1/VLOOKUP($B34,Miljö!$B$1:$T$480,MATCH("Såld mängd produktionsspecifik fjärrvärme (GWh)",Miljö!$B$1:$T$1,0),FALSE)),"",VLOOKUP($B34,Miljö!$B$1:$T$480,MATCH("Såld mängd produktionsspecifik fjärrvärme (GWh)",Miljö!$B$1:$T$1,0),FALSE))</f>
        <v/>
      </c>
      <c r="J34" t="str">
        <f t="shared" si="0"/>
        <v>Bodens Energi AB</v>
      </c>
    </row>
    <row r="35" spans="1:10" x14ac:dyDescent="0.45">
      <c r="A35" s="2" t="s">
        <v>647</v>
      </c>
      <c r="B35" s="2" t="s">
        <v>650</v>
      </c>
      <c r="D35" t="str">
        <f>IF(ISERROR(1/VLOOKUP($B35,Kraftvärmeprod!$B$1:$D$479,MATCH("Total värmeproduktion i kraftvärmeverk i kombinerad drift (GWh)",Kraftvärmeprod!$B$1:$AV$1,0),FALSE)),"Ej kraftvärme","Alternativproduktionsmetoden")</f>
        <v>Ej kraftvärme</v>
      </c>
      <c r="E35" t="str">
        <f>IF(ISERROR(1/VLOOKUP($B35,Kraftvärmeprod!$B$1:$BD$479,MATCH("Total värmeproduktion i kraftvärmeverk i kombinerad drift (GWh)",Kraftvärmeprod!$B$1:$AV$1,0),FALSE)),"",VLOOKUP($B35,'Slutlig allokering kvv'!$B$1:$BC$479,MATCH(E$1,'Slutlig allokering kvv'!$B$1:$AU$1,0),FALSE))</f>
        <v/>
      </c>
      <c r="F35" t="str">
        <f>IF(ISERROR(1/VLOOKUP($B35,Kraftvärmeprod!$B$1:$AV$479,MATCH("Producerad elenergi i kraftvärmeverk (GWh)",Kraftvärmeprod!$B$1:$AV$1,0),FALSE)),"",VLOOKUP($B35,Kraftvärmeprod!$B$1:$AV$479,MATCH("Producerad elenergi i kraftvärmeverk (GWh)",Kraftvärmeprod!$B$1:$AV$1,0),FALSE))</f>
        <v/>
      </c>
      <c r="G35" t="str">
        <f>IF(ISERROR(1/VLOOKUP($B35,Miljö!$B$1:$T$480,MATCH("Såld mängd produktionsspecifik fjärrvärme (GWh)",Miljö!$B$1:$T$1,0),FALSE)),"",VLOOKUP($B35,Miljö!$B$1:$T$480,MATCH("Såld mängd produktionsspecifik fjärrvärme (GWh)",Miljö!$B$1:$T$1,0),FALSE))</f>
        <v/>
      </c>
      <c r="J35" t="str">
        <f t="shared" si="0"/>
        <v>Bollnäs Energi AB</v>
      </c>
    </row>
    <row r="36" spans="1:10" x14ac:dyDescent="0.45">
      <c r="A36" s="2" t="s">
        <v>647</v>
      </c>
      <c r="B36" s="2" t="s">
        <v>649</v>
      </c>
      <c r="D36" t="str">
        <f>IF(ISERROR(1/VLOOKUP($B36,Kraftvärmeprod!$B$1:$D$479,MATCH("Total värmeproduktion i kraftvärmeverk i kombinerad drift (GWh)",Kraftvärmeprod!$B$1:$AV$1,0),FALSE)),"Ej kraftvärme","Alternativproduktionsmetoden")</f>
        <v>Alternativproduktionsmetoden</v>
      </c>
      <c r="E36">
        <f>IF(ISERROR(1/VLOOKUP($B36,Kraftvärmeprod!$B$1:$BD$479,MATCH("Total värmeproduktion i kraftvärmeverk i kombinerad drift (GWh)",Kraftvärmeprod!$B$1:$AV$1,0),FALSE)),"",VLOOKUP($B36,'Slutlig allokering kvv'!$B$1:$BC$479,MATCH(E$1,'Slutlig allokering kvv'!$B$1:$AU$1,0),FALSE))</f>
        <v>0.55851588597113799</v>
      </c>
      <c r="F36">
        <f>IF(ISERROR(1/VLOOKUP($B36,Kraftvärmeprod!$B$1:$AV$479,MATCH("Producerad elenergi i kraftvärmeverk (GWh)",Kraftvärmeprod!$B$1:$AV$1,0),FALSE)),"",VLOOKUP($B36,Kraftvärmeprod!$B$1:$AV$479,MATCH("Producerad elenergi i kraftvärmeverk (GWh)",Kraftvärmeprod!$B$1:$AV$1,0),FALSE))</f>
        <v>32.6</v>
      </c>
      <c r="G36" t="str">
        <f>IF(ISERROR(1/VLOOKUP($B36,Miljö!$B$1:$T$480,MATCH("Såld mängd produktionsspecifik fjärrvärme (GWh)",Miljö!$B$1:$T$1,0),FALSE)),"",VLOOKUP($B36,Miljö!$B$1:$T$480,MATCH("Såld mängd produktionsspecifik fjärrvärme (GWh)",Miljö!$B$1:$T$1,0),FALSE))</f>
        <v/>
      </c>
      <c r="J36" t="str">
        <f t="shared" si="0"/>
        <v>Bollnäs Energi AB</v>
      </c>
    </row>
    <row r="37" spans="1:10" x14ac:dyDescent="0.45">
      <c r="A37" s="2" t="s">
        <v>647</v>
      </c>
      <c r="B37" s="2" t="s">
        <v>646</v>
      </c>
      <c r="D37" t="str">
        <f>IF(ISERROR(1/VLOOKUP($B37,Kraftvärmeprod!$B$1:$D$479,MATCH("Total värmeproduktion i kraftvärmeverk i kombinerad drift (GWh)",Kraftvärmeprod!$B$1:$AV$1,0),FALSE)),"Ej kraftvärme","Alternativproduktionsmetoden")</f>
        <v>Ej kraftvärme</v>
      </c>
      <c r="E37" t="str">
        <f>IF(ISERROR(1/VLOOKUP($B37,Kraftvärmeprod!$B$1:$BD$479,MATCH("Total värmeproduktion i kraftvärmeverk i kombinerad drift (GWh)",Kraftvärmeprod!$B$1:$AV$1,0),FALSE)),"",VLOOKUP($B37,'Slutlig allokering kvv'!$B$1:$BC$479,MATCH(E$1,'Slutlig allokering kvv'!$B$1:$AU$1,0),FALSE))</f>
        <v/>
      </c>
      <c r="F37" t="str">
        <f>IF(ISERROR(1/VLOOKUP($B37,Kraftvärmeprod!$B$1:$AV$479,MATCH("Producerad elenergi i kraftvärmeverk (GWh)",Kraftvärmeprod!$B$1:$AV$1,0),FALSE)),"",VLOOKUP($B37,Kraftvärmeprod!$B$1:$AV$479,MATCH("Producerad elenergi i kraftvärmeverk (GWh)",Kraftvärmeprod!$B$1:$AV$1,0),FALSE))</f>
        <v/>
      </c>
      <c r="G37" t="str">
        <f>IF(ISERROR(1/VLOOKUP($B37,Miljö!$B$1:$T$480,MATCH("Såld mängd produktionsspecifik fjärrvärme (GWh)",Miljö!$B$1:$T$1,0),FALSE)),"",VLOOKUP($B37,Miljö!$B$1:$T$480,MATCH("Såld mängd produktionsspecifik fjärrvärme (GWh)",Miljö!$B$1:$T$1,0),FALSE))</f>
        <v/>
      </c>
      <c r="J37" t="str">
        <f t="shared" si="0"/>
        <v>Bollnäs Energi AB</v>
      </c>
    </row>
    <row r="38" spans="1:10" x14ac:dyDescent="0.45">
      <c r="A38" s="2" t="s">
        <v>644</v>
      </c>
      <c r="B38" s="2" t="s">
        <v>645</v>
      </c>
      <c r="D38" t="str">
        <f>IF(ISERROR(1/VLOOKUP($B38,Kraftvärmeprod!$B$1:$D$479,MATCH("Total värmeproduktion i kraftvärmeverk i kombinerad drift (GWh)",Kraftvärmeprod!$B$1:$AV$1,0),FALSE)),"Ej kraftvärme","Alternativproduktionsmetoden")</f>
        <v>Ej kraftvärme</v>
      </c>
      <c r="E38" t="str">
        <f>IF(ISERROR(1/VLOOKUP($B38,Kraftvärmeprod!$B$1:$BD$479,MATCH("Total värmeproduktion i kraftvärmeverk i kombinerad drift (GWh)",Kraftvärmeprod!$B$1:$AV$1,0),FALSE)),"",VLOOKUP($B38,'Slutlig allokering kvv'!$B$1:$BC$479,MATCH(E$1,'Slutlig allokering kvv'!$B$1:$AU$1,0),FALSE))</f>
        <v/>
      </c>
      <c r="F38" t="str">
        <f>IF(ISERROR(1/VLOOKUP($B38,Kraftvärmeprod!$B$1:$AV$479,MATCH("Producerad elenergi i kraftvärmeverk (GWh)",Kraftvärmeprod!$B$1:$AV$1,0),FALSE)),"",VLOOKUP($B38,Kraftvärmeprod!$B$1:$AV$479,MATCH("Producerad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Borgholm Energi AB</v>
      </c>
    </row>
    <row r="39" spans="1:10" x14ac:dyDescent="0.45">
      <c r="A39" s="2" t="s">
        <v>644</v>
      </c>
      <c r="B39" s="2" t="s">
        <v>643</v>
      </c>
      <c r="D39" t="str">
        <f>IF(ISERROR(1/VLOOKUP($B39,Kraftvärmeprod!$B$1:$D$479,MATCH("Total värmeproduktion i kraftvärmeverk i kombinerad drift (GWh)",Kraftvärmeprod!$B$1:$AV$1,0),FALSE)),"Ej kraftvärme","Alternativproduktionsmetoden")</f>
        <v>Ej kraftvärme</v>
      </c>
      <c r="E39" t="str">
        <f>IF(ISERROR(1/VLOOKUP($B39,Kraftvärmeprod!$B$1:$BD$479,MATCH("Total värmeproduktion i kraftvärmeverk i kombinerad drift (GWh)",Kraftvärmeprod!$B$1:$AV$1,0),FALSE)),"",VLOOKUP($B39,'Slutlig allokering kvv'!$B$1:$BC$479,MATCH(E$1,'Slutlig allokering kvv'!$B$1:$AU$1,0),FALSE))</f>
        <v/>
      </c>
      <c r="F39" t="str">
        <f>IF(ISERROR(1/VLOOKUP($B39,Kraftvärmeprod!$B$1:$AV$479,MATCH("Producerad elenergi i kraftvärmeverk (GWh)",Kraftvärmeprod!$B$1:$AV$1,0),FALSE)),"",VLOOKUP($B39,Kraftvärmeprod!$B$1:$AV$479,MATCH("Producerad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Borgholm Energi AB</v>
      </c>
    </row>
    <row r="40" spans="1:10" x14ac:dyDescent="0.45">
      <c r="A40" s="2" t="s">
        <v>640</v>
      </c>
      <c r="B40" s="2" t="s">
        <v>642</v>
      </c>
      <c r="D40" t="str">
        <f>IF(ISERROR(1/VLOOKUP($B40,Kraftvärmeprod!$B$1:$D$479,MATCH("Total värmeproduktion i kraftvärmeverk i kombinerad drift (GWh)",Kraftvärmeprod!$B$1:$AV$1,0),FALSE)),"Ej kraftvärme","Alternativproduktionsmetoden")</f>
        <v>Alternativproduktionsmetoden</v>
      </c>
      <c r="E40">
        <f>IF(ISERROR(1/VLOOKUP($B40,Kraftvärmeprod!$B$1:$BD$479,MATCH("Total värmeproduktion i kraftvärmeverk i kombinerad drift (GWh)",Kraftvärmeprod!$B$1:$AV$1,0),FALSE)),"",VLOOKUP($B40,'Slutlig allokering kvv'!$B$1:$BC$479,MATCH(E$1,'Slutlig allokering kvv'!$B$1:$AU$1,0),FALSE))</f>
        <v>0.58739386439608465</v>
      </c>
      <c r="F40">
        <f>IF(ISERROR(1/VLOOKUP($B40,Kraftvärmeprod!$B$1:$AV$479,MATCH("Producerad elenergi i kraftvärmeverk (GWh)",Kraftvärmeprod!$B$1:$AV$1,0),FALSE)),"",VLOOKUP($B40,Kraftvärmeprod!$B$1:$AV$479,MATCH("Producerad elenergi i kraftvärmeverk (GWh)",Kraftvärmeprod!$B$1:$AV$1,0),FALSE))</f>
        <v>40.698999999999998</v>
      </c>
      <c r="G40">
        <f>IF(ISERROR(1/VLOOKUP($B40,Miljö!$B$1:$T$480,MATCH("Såld mängd produktionsspecifik fjärrvärme (GWh)",Miljö!$B$1:$T$1,0),FALSE)),"",VLOOKUP($B40,Miljö!$B$1:$T$480,MATCH("Såld mängd produktionsspecifik fjärrvärme (GWh)",Miljö!$B$1:$T$1,0),FALSE))</f>
        <v>50.125</v>
      </c>
      <c r="J40" t="str">
        <f t="shared" si="0"/>
        <v>Borlänge Energi AB</v>
      </c>
    </row>
    <row r="41" spans="1:10" x14ac:dyDescent="0.45">
      <c r="A41" s="2" t="s">
        <v>640</v>
      </c>
      <c r="B41" s="2" t="s">
        <v>641</v>
      </c>
      <c r="D41" t="str">
        <f>IF(ISERROR(1/VLOOKUP($B41,Kraftvärmeprod!$B$1:$D$479,MATCH("Total värmeproduktion i kraftvärmeverk i kombinerad drift (GWh)",Kraftvärmeprod!$B$1:$AV$1,0),FALSE)),"Ej kraftvärme","Alternativproduktionsmetoden")</f>
        <v>Ej kraftvärme</v>
      </c>
      <c r="E41" t="str">
        <f>IF(ISERROR(1/VLOOKUP($B41,Kraftvärmeprod!$B$1:$BD$479,MATCH("Total värmeproduktion i kraftvärmeverk i kombinerad drift (GWh)",Kraftvärmeprod!$B$1:$AV$1,0),FALSE)),"",VLOOKUP($B41,'Slutlig allokering kvv'!$B$1:$BC$479,MATCH(E$1,'Slutlig allokering kvv'!$B$1:$AU$1,0),FALSE))</f>
        <v/>
      </c>
      <c r="F41" t="str">
        <f>IF(ISERROR(1/VLOOKUP($B41,Kraftvärmeprod!$B$1:$AV$479,MATCH("Producerad elenergi i kraftvärmeverk (GWh)",Kraftvärmeprod!$B$1:$AV$1,0),FALSE)),"",VLOOKUP($B41,Kraftvärmeprod!$B$1:$AV$479,MATCH("Producerad elenergi i kraftvärmeverk (GWh)",Kraftvärmeprod!$B$1:$AV$1,0),FALSE))</f>
        <v/>
      </c>
      <c r="G41" t="str">
        <f>IF(ISERROR(1/VLOOKUP($B41,Miljö!$B$1:$T$480,MATCH("Såld mängd produktionsspecifik fjärrvärme (GWh)",Miljö!$B$1:$T$1,0),FALSE)),"",VLOOKUP($B41,Miljö!$B$1:$T$480,MATCH("Såld mängd produktionsspecifik fjärrvärme (GWh)",Miljö!$B$1:$T$1,0),FALSE))</f>
        <v/>
      </c>
      <c r="J41" t="str">
        <f t="shared" si="0"/>
        <v>Borlänge Energi AB</v>
      </c>
    </row>
    <row r="42" spans="1:10" x14ac:dyDescent="0.45">
      <c r="A42" s="2" t="s">
        <v>640</v>
      </c>
      <c r="B42" s="2" t="s">
        <v>639</v>
      </c>
      <c r="D42" t="str">
        <f>IF(ISERROR(1/VLOOKUP($B42,Kraftvärmeprod!$B$1:$D$479,MATCH("Total värmeproduktion i kraftvärmeverk i kombinerad drift (GWh)",Kraftvärmeprod!$B$1:$AV$1,0),FALSE)),"Ej kraftvärme","Alternativproduktionsmetoden")</f>
        <v>Ej kraftvärme</v>
      </c>
      <c r="E42" t="str">
        <f>IF(ISERROR(1/VLOOKUP($B42,Kraftvärmeprod!$B$1:$BD$479,MATCH("Total värmeproduktion i kraftvärmeverk i kombinerad drift (GWh)",Kraftvärmeprod!$B$1:$AV$1,0),FALSE)),"",VLOOKUP($B42,'Slutlig allokering kvv'!$B$1:$BC$479,MATCH(E$1,'Slutlig allokering kvv'!$B$1:$AU$1,0),FALSE))</f>
        <v/>
      </c>
      <c r="F42" t="str">
        <f>IF(ISERROR(1/VLOOKUP($B42,Kraftvärmeprod!$B$1:$AV$479,MATCH("Producerad elenergi i kraftvärmeverk (GWh)",Kraftvärmeprod!$B$1:$AV$1,0),FALSE)),"",VLOOKUP($B42,Kraftvärmeprod!$B$1:$AV$479,MATCH("Producerad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Borlänge Energi AB</v>
      </c>
    </row>
    <row r="43" spans="1:10" x14ac:dyDescent="0.45">
      <c r="A43" s="2" t="s">
        <v>637</v>
      </c>
      <c r="B43" s="2" t="s">
        <v>638</v>
      </c>
      <c r="D43" t="str">
        <f>IF(ISERROR(1/VLOOKUP($B43,Kraftvärmeprod!$B$1:$D$479,MATCH("Total värmeproduktion i kraftvärmeverk i kombinerad drift (GWh)",Kraftvärmeprod!$B$1:$AV$1,0),FALSE)),"Ej kraftvärme","Alternativproduktionsmetoden")</f>
        <v>Alternativproduktionsmetoden</v>
      </c>
      <c r="E43">
        <f>IF(ISERROR(1/VLOOKUP($B43,Kraftvärmeprod!$B$1:$BD$479,MATCH("Total värmeproduktion i kraftvärmeverk i kombinerad drift (GWh)",Kraftvärmeprod!$B$1:$AV$1,0),FALSE)),"",VLOOKUP($B43,'Slutlig allokering kvv'!$B$1:$BC$479,MATCH(E$1,'Slutlig allokering kvv'!$B$1:$AU$1,0),FALSE))</f>
        <v>0.65395215522916894</v>
      </c>
      <c r="F43">
        <f>IF(ISERROR(1/VLOOKUP($B43,Kraftvärmeprod!$B$1:$AV$479,MATCH("Producerad elenergi i kraftvärmeverk (GWh)",Kraftvärmeprod!$B$1:$AV$1,0),FALSE)),"",VLOOKUP($B43,Kraftvärmeprod!$B$1:$AV$479,MATCH("Producerad elenergi i kraftvärmeverk (GWh)",Kraftvärmeprod!$B$1:$AV$1,0),FALSE))</f>
        <v>110.44</v>
      </c>
      <c r="G43">
        <f>IF(ISERROR(1/VLOOKUP($B43,Miljö!$B$1:$T$480,MATCH("Såld mängd produktionsspecifik fjärrvärme (GWh)",Miljö!$B$1:$T$1,0),FALSE)),"",VLOOKUP($B43,Miljö!$B$1:$T$480,MATCH("Såld mängd produktionsspecifik fjärrvärme (GWh)",Miljö!$B$1:$T$1,0),FALSE))</f>
        <v>5.6719999999999997</v>
      </c>
      <c r="J43" t="str">
        <f t="shared" si="0"/>
        <v>Borås Energi &amp; Miljö AB</v>
      </c>
    </row>
    <row r="44" spans="1:10" x14ac:dyDescent="0.45">
      <c r="A44" s="2" t="s">
        <v>637</v>
      </c>
      <c r="B44" s="2" t="s">
        <v>636</v>
      </c>
      <c r="D44" t="str">
        <f>IF(ISERROR(1/VLOOKUP($B44,Kraftvärmeprod!$B$1:$D$479,MATCH("Total värmeproduktion i kraftvärmeverk i kombinerad drift (GWh)",Kraftvärmeprod!$B$1:$AV$1,0),FALSE)),"Ej kraftvärme","Alternativproduktionsmetoden")</f>
        <v>Ej kraftvärme</v>
      </c>
      <c r="E44" t="str">
        <f>IF(ISERROR(1/VLOOKUP($B44,Kraftvärmeprod!$B$1:$BD$479,MATCH("Total värmeproduktion i kraftvärmeverk i kombinerad drift (GWh)",Kraftvärmeprod!$B$1:$AV$1,0),FALSE)),"",VLOOKUP($B44,'Slutlig allokering kvv'!$B$1:$BC$479,MATCH(E$1,'Slutlig allokering kvv'!$B$1:$AU$1,0),FALSE))</f>
        <v/>
      </c>
      <c r="F44" t="str">
        <f>IF(ISERROR(1/VLOOKUP($B44,Kraftvärmeprod!$B$1:$AV$479,MATCH("Producerad elenergi i kraftvärmeverk (GWh)",Kraftvärmeprod!$B$1:$AV$1,0),FALSE)),"",VLOOKUP($B44,Kraftvärmeprod!$B$1:$AV$479,MATCH("Producerad elenergi i kraftvärmeverk (GWh)",Kraftvärmeprod!$B$1:$AV$1,0),FALSE))</f>
        <v/>
      </c>
      <c r="G44" t="str">
        <f>IF(ISERROR(1/VLOOKUP($B44,Miljö!$B$1:$T$480,MATCH("Såld mängd produktionsspecifik fjärrvärme (GWh)",Miljö!$B$1:$T$1,0),FALSE)),"",VLOOKUP($B44,Miljö!$B$1:$T$480,MATCH("Såld mängd produktionsspecifik fjärrvärme (GWh)",Miljö!$B$1:$T$1,0),FALSE))</f>
        <v/>
      </c>
      <c r="J44" t="str">
        <f t="shared" si="0"/>
        <v>Borås Energi &amp; Miljö AB</v>
      </c>
    </row>
    <row r="45" spans="1:10" x14ac:dyDescent="0.45">
      <c r="A45" s="2" t="s">
        <v>635</v>
      </c>
      <c r="B45" s="2" t="s">
        <v>634</v>
      </c>
      <c r="D45" t="str">
        <f>IF(ISERROR(1/VLOOKUP($B45,Kraftvärmeprod!$B$1:$D$479,MATCH("Total värmeproduktion i kraftvärmeverk i kombinerad drift (GWh)",Kraftvärmeprod!$B$1:$AV$1,0),FALSE)),"Ej kraftvärme","Alternativproduktionsmetoden")</f>
        <v>Ej kraftvärme</v>
      </c>
      <c r="E45" t="str">
        <f>IF(ISERROR(1/VLOOKUP($B45,Kraftvärmeprod!$B$1:$BD$479,MATCH("Total värmeproduktion i kraftvärmeverk i kombinerad drift (GWh)",Kraftvärmeprod!$B$1:$AV$1,0),FALSE)),"",VLOOKUP($B45,'Slutlig allokering kvv'!$B$1:$BC$479,MATCH(E$1,'Slutlig allokering kvv'!$B$1:$AU$1,0),FALSE))</f>
        <v/>
      </c>
      <c r="F45" t="str">
        <f>IF(ISERROR(1/VLOOKUP($B45,Kraftvärmeprod!$B$1:$AV$479,MATCH("Producerad elenergi i kraftvärmeverk (GWh)",Kraftvärmeprod!$B$1:$AV$1,0),FALSE)),"",VLOOKUP($B45,Kraftvärmeprod!$B$1:$AV$479,MATCH("Producerad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Bromölla Fjärrvärme AB</v>
      </c>
    </row>
    <row r="46" spans="1:10" x14ac:dyDescent="0.45">
      <c r="A46" s="2" t="s">
        <v>633</v>
      </c>
      <c r="B46" s="2" t="s">
        <v>65</v>
      </c>
      <c r="D46" t="str">
        <f>IF(ISERROR(1/VLOOKUP($B46,Kraftvärmeprod!$B$1:$D$479,MATCH("Total värmeproduktion i kraftvärmeverk i kombinerad drift (GWh)",Kraftvärmeprod!$B$1:$AV$1,0),FALSE)),"Ej kraftvärme","Alternativproduktionsmetoden")</f>
        <v>Ej kraftvärme</v>
      </c>
      <c r="E46" t="str">
        <f>IF(ISERROR(1/VLOOKUP($B46,Kraftvärmeprod!$B$1:$BD$479,MATCH("Total värmeproduktion i kraftvärmeverk i kombinerad drift (GWh)",Kraftvärmeprod!$B$1:$AV$1,0),FALSE)),"",VLOOKUP($B46,'Slutlig allokering kvv'!$B$1:$BC$479,MATCH(E$1,'Slutlig allokering kvv'!$B$1:$AU$1,0),FALSE))</f>
        <v/>
      </c>
      <c r="F46" t="str">
        <f>IF(ISERROR(1/VLOOKUP($B46,Kraftvärmeprod!$B$1:$AV$479,MATCH("Producerad elenergi i kraftvärmeverk (GWh)",Kraftvärmeprod!$B$1:$AV$1,0),FALSE)),"",VLOOKUP($B46,Kraftvärmeprod!$B$1:$AV$479,MATCH("Producerad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BTEA Energi AB</v>
      </c>
    </row>
    <row r="47" spans="1:10" x14ac:dyDescent="0.45">
      <c r="A47" s="2" t="s">
        <v>631</v>
      </c>
      <c r="B47" s="2" t="s">
        <v>632</v>
      </c>
      <c r="D47" t="str">
        <f>IF(ISERROR(1/VLOOKUP($B47,Kraftvärmeprod!$B$1:$D$479,MATCH("Total värmeproduktion i kraftvärmeverk i kombinerad drift (GWh)",Kraftvärmeprod!$B$1:$AV$1,0),FALSE)),"Ej kraftvärme","Alternativproduktionsmetoden")</f>
        <v>Ej kraftvärme</v>
      </c>
      <c r="E47" t="str">
        <f>IF(ISERROR(1/VLOOKUP($B47,Kraftvärmeprod!$B$1:$BD$479,MATCH("Total värmeproduktion i kraftvärmeverk i kombinerad drift (GWh)",Kraftvärmeprod!$B$1:$AV$1,0),FALSE)),"",VLOOKUP($B47,'Slutlig allokering kvv'!$B$1:$BC$479,MATCH(E$1,'Slutlig allokering kvv'!$B$1:$AU$1,0),FALSE))</f>
        <v/>
      </c>
      <c r="F47" t="str">
        <f>IF(ISERROR(1/VLOOKUP($B47,Kraftvärmeprod!$B$1:$AV$479,MATCH("Producerad elenergi i kraftvärmeverk (GWh)",Kraftvärmeprod!$B$1:$AV$1,0),FALSE)),"",VLOOKUP($B47,Kraftvärmeprod!$B$1:$AV$479,MATCH("Producerad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C4 Energi AB</v>
      </c>
    </row>
    <row r="48" spans="1:10" x14ac:dyDescent="0.45">
      <c r="A48" s="2" t="s">
        <v>631</v>
      </c>
      <c r="B48" s="2" t="s">
        <v>630</v>
      </c>
      <c r="D48" t="str">
        <f>IF(ISERROR(1/VLOOKUP($B48,Kraftvärmeprod!$B$1:$D$479,MATCH("Total värmeproduktion i kraftvärmeverk i kombinerad drift (GWh)",Kraftvärmeprod!$B$1:$AV$1,0),FALSE)),"Ej kraftvärme","Alternativproduktionsmetoden")</f>
        <v>Alternativproduktionsmetoden</v>
      </c>
      <c r="E48">
        <f>IF(ISERROR(1/VLOOKUP($B48,Kraftvärmeprod!$B$1:$BD$479,MATCH("Total värmeproduktion i kraftvärmeverk i kombinerad drift (GWh)",Kraftvärmeprod!$B$1:$AV$1,0),FALSE)),"",VLOOKUP($B48,'Slutlig allokering kvv'!$B$1:$BC$479,MATCH(E$1,'Slutlig allokering kvv'!$B$1:$AU$1,0),FALSE))</f>
        <v>0.5858768221308559</v>
      </c>
      <c r="F48">
        <f>IF(ISERROR(1/VLOOKUP($B48,Kraftvärmeprod!$B$1:$AV$479,MATCH("Producerad elenergi i kraftvärmeverk (GWh)",Kraftvärmeprod!$B$1:$AV$1,0),FALSE)),"",VLOOKUP($B48,Kraftvärmeprod!$B$1:$AV$479,MATCH("Producerad elenergi i kraftvärmeverk (GWh)",Kraftvärmeprod!$B$1:$AV$1,0),FALSE))</f>
        <v>85.875</v>
      </c>
      <c r="G48" t="str">
        <f>IF(ISERROR(1/VLOOKUP($B48,Miljö!$B$1:$T$480,MATCH("Såld mängd produktionsspecifik fjärrvärme (GWh)",Miljö!$B$1:$T$1,0),FALSE)),"",VLOOKUP($B48,Miljö!$B$1:$T$480,MATCH("Såld mängd produktionsspecifik fjärrvärme (GWh)",Miljö!$B$1:$T$1,0),FALSE))</f>
        <v/>
      </c>
      <c r="J48" t="str">
        <f t="shared" si="0"/>
        <v>C4 Energi AB</v>
      </c>
    </row>
    <row r="49" spans="1:10" x14ac:dyDescent="0.45">
      <c r="A49" s="2" t="s">
        <v>628</v>
      </c>
      <c r="B49" s="2" t="s">
        <v>629</v>
      </c>
      <c r="D49" t="str">
        <f>IF(ISERROR(1/VLOOKUP($B49,Kraftvärmeprod!$B$1:$D$479,MATCH("Total värmeproduktion i kraftvärmeverk i kombinerad drift (GWh)",Kraftvärmeprod!$B$1:$AV$1,0),FALSE)),"Ej kraftvärme","Alternativproduktionsmetoden")</f>
        <v>Ej kraftvärme</v>
      </c>
      <c r="E49" t="str">
        <f>IF(ISERROR(1/VLOOKUP($B49,Kraftvärmeprod!$B$1:$BD$479,MATCH("Total värmeproduktion i kraftvärmeverk i kombinerad drift (GWh)",Kraftvärmeprod!$B$1:$AV$1,0),FALSE)),"",VLOOKUP($B49,'Slutlig allokering kvv'!$B$1:$BC$479,MATCH(E$1,'Slutlig allokering kvv'!$B$1:$AU$1,0),FALSE))</f>
        <v/>
      </c>
      <c r="F49" t="str">
        <f>IF(ISERROR(1/VLOOKUP($B49,Kraftvärmeprod!$B$1:$AV$479,MATCH("Producerad elenergi i kraftvärmeverk (GWh)",Kraftvärmeprod!$B$1:$AV$1,0),FALSE)),"",VLOOKUP($B49,Kraftvärmeprod!$B$1:$AV$479,MATCH("Producerad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Dala Energi Värme AB</v>
      </c>
    </row>
    <row r="50" spans="1:10" x14ac:dyDescent="0.45">
      <c r="A50" s="2" t="s">
        <v>628</v>
      </c>
      <c r="B50" s="2" t="s">
        <v>627</v>
      </c>
      <c r="D50" t="str">
        <f>IF(ISERROR(1/VLOOKUP($B50,Kraftvärmeprod!$B$1:$D$479,MATCH("Total värmeproduktion i kraftvärmeverk i kombinerad drift (GWh)",Kraftvärmeprod!$B$1:$AV$1,0),FALSE)),"Ej kraftvärme","Alternativproduktionsmetoden")</f>
        <v>Ej kraftvärme</v>
      </c>
      <c r="E50" t="str">
        <f>IF(ISERROR(1/VLOOKUP($B50,Kraftvärmeprod!$B$1:$BD$479,MATCH("Total värmeproduktion i kraftvärmeverk i kombinerad drift (GWh)",Kraftvärmeprod!$B$1:$AV$1,0),FALSE)),"",VLOOKUP($B50,'Slutlig allokering kvv'!$B$1:$BC$479,MATCH(E$1,'Slutlig allokering kvv'!$B$1:$AU$1,0),FALSE))</f>
        <v/>
      </c>
      <c r="F50" t="str">
        <f>IF(ISERROR(1/VLOOKUP($B50,Kraftvärmeprod!$B$1:$AV$479,MATCH("Producerad elenergi i kraftvärmeverk (GWh)",Kraftvärmeprod!$B$1:$AV$1,0),FALSE)),"",VLOOKUP($B50,Kraftvärmeprod!$B$1:$AV$479,MATCH("Producerad elenergi i kraftvärmeverk (GWh)",Kraftvärmeprod!$B$1:$AV$1,0),FALSE))</f>
        <v/>
      </c>
      <c r="G50" t="str">
        <f>IF(ISERROR(1/VLOOKUP($B50,Miljö!$B$1:$T$480,MATCH("Såld mängd produktionsspecifik fjärrvärme (GWh)",Miljö!$B$1:$T$1,0),FALSE)),"",VLOOKUP($B50,Miljö!$B$1:$T$480,MATCH("Såld mängd produktionsspecifik fjärrvärme (GWh)",Miljö!$B$1:$T$1,0),FALSE))</f>
        <v/>
      </c>
      <c r="J50" t="str">
        <f t="shared" si="0"/>
        <v>Dala Energi Värme AB</v>
      </c>
    </row>
    <row r="51" spans="1:10" x14ac:dyDescent="0.45">
      <c r="A51" s="2" t="s">
        <v>623</v>
      </c>
      <c r="B51" s="2" t="s">
        <v>626</v>
      </c>
      <c r="D51" t="str">
        <f>IF(ISERROR(1/VLOOKUP($B51,Kraftvärmeprod!$B$1:$D$479,MATCH("Total värmeproduktion i kraftvärmeverk i kombinerad drift (GWh)",Kraftvärmeprod!$B$1:$AV$1,0),FALSE)),"Ej kraftvärme","Alternativproduktionsmetoden")</f>
        <v>Ej kraftvärme</v>
      </c>
      <c r="E51" t="str">
        <f>IF(ISERROR(1/VLOOKUP($B51,Kraftvärmeprod!$B$1:$BD$479,MATCH("Total värmeproduktion i kraftvärmeverk i kombinerad drift (GWh)",Kraftvärmeprod!$B$1:$AV$1,0),FALSE)),"",VLOOKUP($B51,'Slutlig allokering kvv'!$B$1:$BC$479,MATCH(E$1,'Slutlig allokering kvv'!$B$1:$AU$1,0),FALSE))</f>
        <v/>
      </c>
      <c r="F51" t="str">
        <f>IF(ISERROR(1/VLOOKUP($B51,Kraftvärmeprod!$B$1:$AV$479,MATCH("Producerad elenergi i kraftvärmeverk (GWh)",Kraftvärmeprod!$B$1:$AV$1,0),FALSE)),"",VLOOKUP($B51,Kraftvärmeprod!$B$1:$AV$479,MATCH("Producerad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Degerfors Energi AB</v>
      </c>
    </row>
    <row r="52" spans="1:10" x14ac:dyDescent="0.45">
      <c r="A52" s="2" t="s">
        <v>623</v>
      </c>
      <c r="B52" s="2" t="s">
        <v>625</v>
      </c>
      <c r="D52" t="str">
        <f>IF(ISERROR(1/VLOOKUP($B52,Kraftvärmeprod!$B$1:$D$479,MATCH("Total värmeproduktion i kraftvärmeverk i kombinerad drift (GWh)",Kraftvärmeprod!$B$1:$AV$1,0),FALSE)),"Ej kraftvärme","Alternativproduktionsmetoden")</f>
        <v>Ej kraftvärme</v>
      </c>
      <c r="E52" t="str">
        <f>IF(ISERROR(1/VLOOKUP($B52,Kraftvärmeprod!$B$1:$BD$479,MATCH("Total värmeproduktion i kraftvärmeverk i kombinerad drift (GWh)",Kraftvärmeprod!$B$1:$AV$1,0),FALSE)),"",VLOOKUP($B52,'Slutlig allokering kvv'!$B$1:$BC$479,MATCH(E$1,'Slutlig allokering kvv'!$B$1:$AU$1,0),FALSE))</f>
        <v/>
      </c>
      <c r="F52" t="str">
        <f>IF(ISERROR(1/VLOOKUP($B52,Kraftvärmeprod!$B$1:$AV$479,MATCH("Producerad elenergi i kraftvärmeverk (GWh)",Kraftvärmeprod!$B$1:$AV$1,0),FALSE)),"",VLOOKUP($B52,Kraftvärmeprod!$B$1:$AV$479,MATCH("Producerad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Degerfors Energi AB</v>
      </c>
    </row>
    <row r="53" spans="1:10" x14ac:dyDescent="0.45">
      <c r="A53" s="2" t="s">
        <v>623</v>
      </c>
      <c r="B53" s="2" t="s">
        <v>624</v>
      </c>
      <c r="D53" t="str">
        <f>IF(ISERROR(1/VLOOKUP($B53,Kraftvärmeprod!$B$1:$D$479,MATCH("Total värmeproduktion i kraftvärmeverk i kombinerad drift (GWh)",Kraftvärmeprod!$B$1:$AV$1,0),FALSE)),"Ej kraftvärme","Alternativproduktionsmetoden")</f>
        <v>Ej kraftvärme</v>
      </c>
      <c r="E53" t="str">
        <f>IF(ISERROR(1/VLOOKUP($B53,Kraftvärmeprod!$B$1:$BD$479,MATCH("Total värmeproduktion i kraftvärmeverk i kombinerad drift (GWh)",Kraftvärmeprod!$B$1:$AV$1,0),FALSE)),"",VLOOKUP($B53,'Slutlig allokering kvv'!$B$1:$BC$479,MATCH(E$1,'Slutlig allokering kvv'!$B$1:$AU$1,0),FALSE))</f>
        <v/>
      </c>
      <c r="F53" t="str">
        <f>IF(ISERROR(1/VLOOKUP($B53,Kraftvärmeprod!$B$1:$AV$479,MATCH("Producerad elenergi i kraftvärmeverk (GWh)",Kraftvärmeprod!$B$1:$AV$1,0),FALSE)),"",VLOOKUP($B53,Kraftvärmeprod!$B$1:$AV$479,MATCH("Producerad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Degerfors Energi AB</v>
      </c>
    </row>
    <row r="54" spans="1:10" x14ac:dyDescent="0.45">
      <c r="A54" s="2" t="s">
        <v>623</v>
      </c>
      <c r="B54" s="2" t="s">
        <v>622</v>
      </c>
      <c r="D54" t="str">
        <f>IF(ISERROR(1/VLOOKUP($B54,Kraftvärmeprod!$B$1:$D$479,MATCH("Total värmeproduktion i kraftvärmeverk i kombinerad drift (GWh)",Kraftvärmeprod!$B$1:$AV$1,0),FALSE)),"Ej kraftvärme","Alternativproduktionsmetoden")</f>
        <v>Ej kraftvärme</v>
      </c>
      <c r="E54" t="str">
        <f>IF(ISERROR(1/VLOOKUP($B54,Kraftvärmeprod!$B$1:$BD$479,MATCH("Total värmeproduktion i kraftvärmeverk i kombinerad drift (GWh)",Kraftvärmeprod!$B$1:$AV$1,0),FALSE)),"",VLOOKUP($B54,'Slutlig allokering kvv'!$B$1:$BC$479,MATCH(E$1,'Slutlig allokering kvv'!$B$1:$AU$1,0),FALSE))</f>
        <v/>
      </c>
      <c r="F54" t="str">
        <f>IF(ISERROR(1/VLOOKUP($B54,Kraftvärmeprod!$B$1:$AV$479,MATCH("Producerad elenergi i kraftvärmeverk (GWh)",Kraftvärmeprod!$B$1:$AV$1,0),FALSE)),"",VLOOKUP($B54,Kraftvärmeprod!$B$1:$AV$479,MATCH("Producerad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Degerfors Energi AB</v>
      </c>
    </row>
    <row r="55" spans="1:10" x14ac:dyDescent="0.45">
      <c r="A55" s="2" t="s">
        <v>610</v>
      </c>
      <c r="B55" s="2" t="s">
        <v>621</v>
      </c>
      <c r="C55" t="s">
        <v>1531</v>
      </c>
      <c r="D55" t="str">
        <f>IF(ISERROR(1/VLOOKUP($B55,Kraftvärmeprod!$B$1:$D$479,MATCH("Total värmeproduktion i kraftvärmeverk i kombinerad drift (GWh)",Kraftvärmeprod!$B$1:$AV$1,0),FALSE)),"Ej kraftvärme","Alternativproduktionsmetoden")</f>
        <v>Ej kraftvärme</v>
      </c>
      <c r="E55" t="str">
        <f>IF(ISERROR(1/VLOOKUP($B55,Kraftvärmeprod!$B$1:$BD$479,MATCH("Total värmeproduktion i kraftvärmeverk i kombinerad drift (GWh)",Kraftvärmeprod!$B$1:$AV$1,0),FALSE)),"",VLOOKUP($B55,'Slutlig allokering kvv'!$B$1:$BC$479,MATCH(E$1,'Slutlig allokering kvv'!$B$1:$AU$1,0),FALSE))</f>
        <v/>
      </c>
      <c r="F55" t="str">
        <f>IF(ISERROR(1/VLOOKUP($B55,Kraftvärmeprod!$B$1:$AV$479,MATCH("Producerad elenergi i kraftvärmeverk (GWh)",Kraftvärmeprod!$B$1:$AV$1,0),FALSE)),"",VLOOKUP($B55,Kraftvärmeprod!$B$1:$AV$479,MATCH("Producerad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E.ON Värme Sverige AB</v>
      </c>
    </row>
    <row r="56" spans="1:10" x14ac:dyDescent="0.45">
      <c r="A56" s="2" t="s">
        <v>610</v>
      </c>
      <c r="B56" s="2" t="s">
        <v>620</v>
      </c>
      <c r="C56" t="s">
        <v>1531</v>
      </c>
      <c r="D56" t="str">
        <f>IF(ISERROR(1/VLOOKUP($B56,Kraftvärmeprod!$B$1:$D$479,MATCH("Total värmeproduktion i kraftvärmeverk i kombinerad drift (GWh)",Kraftvärmeprod!$B$1:$AV$1,0),FALSE)),"Ej kraftvärme","Alternativproduktionsmetoden")</f>
        <v>Ej kraftvärme</v>
      </c>
      <c r="E56" t="str">
        <f>IF(ISERROR(1/VLOOKUP($B56,Kraftvärmeprod!$B$1:$BD$479,MATCH("Total värmeproduktion i kraftvärmeverk i kombinerad drift (GWh)",Kraftvärmeprod!$B$1:$AV$1,0),FALSE)),"",VLOOKUP($B56,'Slutlig allokering kvv'!$B$1:$BC$479,MATCH(E$1,'Slutlig allokering kvv'!$B$1:$AU$1,0),FALSE))</f>
        <v/>
      </c>
      <c r="F56" t="str">
        <f>IF(ISERROR(1/VLOOKUP($B56,Kraftvärmeprod!$B$1:$AV$479,MATCH("Producerad elenergi i kraftvärmeverk (GWh)",Kraftvärmeprod!$B$1:$AV$1,0),FALSE)),"",VLOOKUP($B56,Kraftvärmeprod!$B$1:$AV$479,MATCH("Producerad elenergi i kraftvärmeverk (GWh)",Kraftvärmeprod!$B$1:$AV$1,0),FALSE))</f>
        <v/>
      </c>
      <c r="G56" t="str">
        <f>IF(ISERROR(1/VLOOKUP($B56,Miljö!$B$1:$T$480,MATCH("Såld mängd produktionsspecifik fjärrvärme (GWh)",Miljö!$B$1:$T$1,0),FALSE)),"",VLOOKUP($B56,Miljö!$B$1:$T$480,MATCH("Såld mängd produktionsspecifik fjärrvärme (GWh)",Miljö!$B$1:$T$1,0),FALSE))</f>
        <v/>
      </c>
      <c r="J56" t="str">
        <f t="shared" si="0"/>
        <v>E.ON Värme Sverige AB</v>
      </c>
    </row>
    <row r="57" spans="1:10" x14ac:dyDescent="0.45">
      <c r="A57" s="2" t="s">
        <v>610</v>
      </c>
      <c r="B57" s="2" t="s">
        <v>619</v>
      </c>
      <c r="D57" t="str">
        <f>IF(ISERROR(1/VLOOKUP($B57,Kraftvärmeprod!$B$1:$D$479,MATCH("Total värmeproduktion i kraftvärmeverk i kombinerad drift (GWh)",Kraftvärmeprod!$B$1:$AV$1,0),FALSE)),"Ej kraftvärme","Alternativproduktionsmetoden")</f>
        <v>Ej kraftvärme</v>
      </c>
      <c r="E57" t="str">
        <f>IF(ISERROR(1/VLOOKUP($B57,Kraftvärmeprod!$B$1:$BD$479,MATCH("Total värmeproduktion i kraftvärmeverk i kombinerad drift (GWh)",Kraftvärmeprod!$B$1:$AV$1,0),FALSE)),"",VLOOKUP($B57,'Slutlig allokering kvv'!$B$1:$BC$479,MATCH(E$1,'Slutlig allokering kvv'!$B$1:$AU$1,0),FALSE))</f>
        <v/>
      </c>
      <c r="F57" t="str">
        <f>IF(ISERROR(1/VLOOKUP($B57,Kraftvärmeprod!$B$1:$AV$479,MATCH("Producerad elenergi i kraftvärmeverk (GWh)",Kraftvärmeprod!$B$1:$AV$1,0),FALSE)),"",VLOOKUP($B57,Kraftvärmeprod!$B$1:$AV$479,MATCH("Producerad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45">
      <c r="A58" s="2" t="s">
        <v>610</v>
      </c>
      <c r="B58" s="2" t="s">
        <v>618</v>
      </c>
      <c r="C58" t="s">
        <v>1531</v>
      </c>
      <c r="D58" t="str">
        <f>IF(ISERROR(1/VLOOKUP($B58,Kraftvärmeprod!$B$1:$D$479,MATCH("Total värmeproduktion i kraftvärmeverk i kombinerad drift (GWh)",Kraftvärmeprod!$B$1:$AV$1,0),FALSE)),"Ej kraftvärme","Alternativproduktionsmetoden")</f>
        <v>Alternativproduktionsmetoden</v>
      </c>
      <c r="E58">
        <f>IF(ISERROR(1/VLOOKUP($B58,Kraftvärmeprod!$B$1:$BD$479,MATCH("Total värmeproduktion i kraftvärmeverk i kombinerad drift (GWh)",Kraftvärmeprod!$B$1:$AV$1,0),FALSE)),"",VLOOKUP($B58,'Slutlig allokering kvv'!$B$1:$BC$479,MATCH(E$1,'Slutlig allokering kvv'!$B$1:$AU$1,0),FALSE))</f>
        <v>0.47312247301921551</v>
      </c>
      <c r="F58">
        <f>IF(ISERROR(1/VLOOKUP($B58,Kraftvärmeprod!$B$1:$AV$479,MATCH("Producerad elenergi i kraftvärmeverk (GWh)",Kraftvärmeprod!$B$1:$AV$1,0),FALSE)),"",VLOOKUP($B58,Kraftvärmeprod!$B$1:$AV$479,MATCH("Producerad elenergi i kraftvärmeverk (GWh)",Kraftvärmeprod!$B$1:$AV$1,0),FALSE))</f>
        <v>272.8</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45">
      <c r="A59" s="2" t="s">
        <v>610</v>
      </c>
      <c r="B59" s="2" t="s">
        <v>616</v>
      </c>
      <c r="C59" t="s">
        <v>1531</v>
      </c>
      <c r="D59" t="str">
        <f>IF(ISERROR(1/VLOOKUP($B59,Kraftvärmeprod!$B$1:$D$479,MATCH("Total värmeproduktion i kraftvärmeverk i kombinerad drift (GWh)",Kraftvärmeprod!$B$1:$AV$1,0),FALSE)),"Ej kraftvärme","Alternativproduktionsmetoden")</f>
        <v>Ej kraftvärme</v>
      </c>
      <c r="E59" t="str">
        <f>IF(ISERROR(1/VLOOKUP($B59,Kraftvärmeprod!$B$1:$BD$479,MATCH("Total värmeproduktion i kraftvärmeverk i kombinerad drift (GWh)",Kraftvärmeprod!$B$1:$AV$1,0),FALSE)),"",VLOOKUP($B59,'Slutlig allokering kvv'!$B$1:$BC$479,MATCH(E$1,'Slutlig allokering kvv'!$B$1:$AU$1,0),FALSE))</f>
        <v/>
      </c>
      <c r="F59" t="str">
        <f>IF(ISERROR(1/VLOOKUP($B59,Kraftvärmeprod!$B$1:$AV$479,MATCH("Producerad elenergi i kraftvärmeverk (GWh)",Kraftvärmeprod!$B$1:$AV$1,0),FALSE)),"",VLOOKUP($B59,Kraftvärmeprod!$B$1:$AV$479,MATCH("Producerad elenergi i kraftvärmeverk (GWh)",Kraftvärmeprod!$B$1:$AV$1,0),FALSE))</f>
        <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45">
      <c r="A60" s="2" t="s">
        <v>610</v>
      </c>
      <c r="B60" s="2" t="s">
        <v>615</v>
      </c>
      <c r="D60" t="str">
        <f>IF(ISERROR(1/VLOOKUP($B60,Kraftvärmeprod!$B$1:$D$479,MATCH("Total värmeproduktion i kraftvärmeverk i kombinerad drift (GWh)",Kraftvärmeprod!$B$1:$AV$1,0),FALSE)),"Ej kraftvärme","Alternativproduktionsmetoden")</f>
        <v>Ej kraftvärme</v>
      </c>
      <c r="E60" t="str">
        <f>IF(ISERROR(1/VLOOKUP($B60,Kraftvärmeprod!$B$1:$BD$479,MATCH("Total värmeproduktion i kraftvärmeverk i kombinerad drift (GWh)",Kraftvärmeprod!$B$1:$AV$1,0),FALSE)),"",VLOOKUP($B60,'Slutlig allokering kvv'!$B$1:$BC$479,MATCH(E$1,'Slutlig allokering kvv'!$B$1:$AU$1,0),FALSE))</f>
        <v/>
      </c>
      <c r="F60" t="str">
        <f>IF(ISERROR(1/VLOOKUP($B60,Kraftvärmeprod!$B$1:$AV$479,MATCH("Producerad elenergi i kraftvärmeverk (GWh)",Kraftvärmeprod!$B$1:$AV$1,0),FALSE)),"",VLOOKUP($B60,Kraftvärmeprod!$B$1:$AV$479,MATCH("Producerad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45">
      <c r="A61" s="2" t="s">
        <v>610</v>
      </c>
      <c r="B61" s="2" t="s">
        <v>614</v>
      </c>
      <c r="C61" t="s">
        <v>1531</v>
      </c>
      <c r="D61" t="str">
        <f>IF(ISERROR(1/VLOOKUP($B61,Kraftvärmeprod!$B$1:$D$479,MATCH("Total värmeproduktion i kraftvärmeverk i kombinerad drift (GWh)",Kraftvärmeprod!$B$1:$AV$1,0),FALSE)),"Ej kraftvärme","Alternativproduktionsmetoden")</f>
        <v>Alternativproduktionsmetoden</v>
      </c>
      <c r="E61">
        <f>IF(ISERROR(1/VLOOKUP($B61,Kraftvärmeprod!$B$1:$BD$479,MATCH("Total värmeproduktion i kraftvärmeverk i kombinerad drift (GWh)",Kraftvärmeprod!$B$1:$AV$1,0),FALSE)),"",VLOOKUP($B61,'Slutlig allokering kvv'!$B$1:$BC$479,MATCH(E$1,'Slutlig allokering kvv'!$B$1:$AU$1,0),FALSE))</f>
        <v>0.61921623984616536</v>
      </c>
      <c r="F61">
        <f>IF(ISERROR(1/VLOOKUP($B61,Kraftvärmeprod!$B$1:$AV$479,MATCH("Producerad elenergi i kraftvärmeverk (GWh)",Kraftvärmeprod!$B$1:$AV$1,0),FALSE)),"",VLOOKUP($B61,Kraftvärmeprod!$B$1:$AV$479,MATCH("Producerad elenergi i kraftvärmeverk (GWh)",Kraftvärmeprod!$B$1:$AV$1,0),FALSE))</f>
        <v>359</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45">
      <c r="A62" s="2" t="s">
        <v>610</v>
      </c>
      <c r="B62" s="2" t="s">
        <v>613</v>
      </c>
      <c r="C62" t="s">
        <v>1531</v>
      </c>
      <c r="D62" t="str">
        <f>IF(ISERROR(1/VLOOKUP($B62,Kraftvärmeprod!$B$1:$D$479,MATCH("Total värmeproduktion i kraftvärmeverk i kombinerad drift (GWh)",Kraftvärmeprod!$B$1:$AV$1,0),FALSE)),"Ej kraftvärme","Alternativproduktionsmetoden")</f>
        <v>Alternativproduktionsmetoden</v>
      </c>
      <c r="E62">
        <f>IF(ISERROR(1/VLOOKUP($B62,Kraftvärmeprod!$B$1:$BD$479,MATCH("Total värmeproduktion i kraftvärmeverk i kombinerad drift (GWh)",Kraftvärmeprod!$B$1:$AV$1,0),FALSE)),"",VLOOKUP($B62,'Slutlig allokering kvv'!$B$1:$BC$479,MATCH(E$1,'Slutlig allokering kvv'!$B$1:$AU$1,0),FALSE))</f>
        <v>0.46992931878584421</v>
      </c>
      <c r="F62">
        <f>IF(ISERROR(1/VLOOKUP($B62,Kraftvärmeprod!$B$1:$AV$479,MATCH("Producerad elenergi i kraftvärmeverk (GWh)",Kraftvärmeprod!$B$1:$AV$1,0),FALSE)),"",VLOOKUP($B62,Kraftvärmeprod!$B$1:$AV$479,MATCH("Producerad elenergi i kraftvärmeverk (GWh)",Kraftvärmeprod!$B$1:$AV$1,0),FALSE))</f>
        <v>338.1</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45">
      <c r="A63" s="2" t="s">
        <v>610</v>
      </c>
      <c r="B63" s="2" t="s">
        <v>612</v>
      </c>
      <c r="C63" t="s">
        <v>1531</v>
      </c>
      <c r="D63" t="str">
        <f>IF(ISERROR(1/VLOOKUP($B63,Kraftvärmeprod!$B$1:$D$479,MATCH("Total värmeproduktion i kraftvärmeverk i kombinerad drift (GWh)",Kraftvärmeprod!$B$1:$AV$1,0),FALSE)),"Ej kraftvärme","Alternativproduktionsmetoden")</f>
        <v>Ej kraftvärme</v>
      </c>
      <c r="E63" t="str">
        <f>IF(ISERROR(1/VLOOKUP($B63,Kraftvärmeprod!$B$1:$BD$479,MATCH("Total värmeproduktion i kraftvärmeverk i kombinerad drift (GWh)",Kraftvärmeprod!$B$1:$AV$1,0),FALSE)),"",VLOOKUP($B63,'Slutlig allokering kvv'!$B$1:$BC$479,MATCH(E$1,'Slutlig allokering kvv'!$B$1:$AU$1,0),FALSE))</f>
        <v/>
      </c>
      <c r="F63" t="str">
        <f>IF(ISERROR(1/VLOOKUP($B63,Kraftvärmeprod!$B$1:$AV$479,MATCH("Producerad elenergi i kraftvärmeverk (GWh)",Kraftvärmeprod!$B$1:$AV$1,0),FALSE)),"",VLOOKUP($B63,Kraftvärmeprod!$B$1:$AV$479,MATCH("Producerad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45">
      <c r="A64" s="2" t="s">
        <v>610</v>
      </c>
      <c r="B64" s="2" t="s">
        <v>611</v>
      </c>
      <c r="C64" t="s">
        <v>1531</v>
      </c>
      <c r="D64" t="str">
        <f>IF(ISERROR(1/VLOOKUP($B64,Kraftvärmeprod!$B$1:$D$479,MATCH("Total värmeproduktion i kraftvärmeverk i kombinerad drift (GWh)",Kraftvärmeprod!$B$1:$AV$1,0),FALSE)),"Ej kraftvärme","Alternativproduktionsmetoden")</f>
        <v>Ej kraftvärme</v>
      </c>
      <c r="E64" t="str">
        <f>IF(ISERROR(1/VLOOKUP($B64,Kraftvärmeprod!$B$1:$BD$479,MATCH("Total värmeproduktion i kraftvärmeverk i kombinerad drift (GWh)",Kraftvärmeprod!$B$1:$AV$1,0),FALSE)),"",VLOOKUP($B64,'Slutlig allokering kvv'!$B$1:$BC$479,MATCH(E$1,'Slutlig allokering kvv'!$B$1:$AU$1,0),FALSE))</f>
        <v/>
      </c>
      <c r="F64" t="str">
        <f>IF(ISERROR(1/VLOOKUP($B64,Kraftvärmeprod!$B$1:$AV$479,MATCH("Producerad elenergi i kraftvärmeverk (GWh)",Kraftvärmeprod!$B$1:$AV$1,0),FALSE)),"",VLOOKUP($B64,Kraftvärmeprod!$B$1:$AV$479,MATCH("Producerad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45">
      <c r="A65" s="2" t="s">
        <v>610</v>
      </c>
      <c r="B65" s="2" t="s">
        <v>609</v>
      </c>
      <c r="C65" t="s">
        <v>1531</v>
      </c>
      <c r="D65" t="str">
        <f>IF(ISERROR(1/VLOOKUP($B65,Kraftvärmeprod!$B$1:$D$479,MATCH("Total värmeproduktion i kraftvärmeverk i kombinerad drift (GWh)",Kraftvärmeprod!$B$1:$AV$1,0),FALSE)),"Ej kraftvärme","Alternativproduktionsmetoden")</f>
        <v>Ej kraftvärme</v>
      </c>
      <c r="E65" t="str">
        <f>IF(ISERROR(1/VLOOKUP($B65,Kraftvärmeprod!$B$1:$BD$479,MATCH("Total värmeproduktion i kraftvärmeverk i kombinerad drift (GWh)",Kraftvärmeprod!$B$1:$AV$1,0),FALSE)),"",VLOOKUP($B65,'Slutlig allokering kvv'!$B$1:$BC$479,MATCH(E$1,'Slutlig allokering kvv'!$B$1:$AU$1,0),FALSE))</f>
        <v/>
      </c>
      <c r="F65" t="str">
        <f>IF(ISERROR(1/VLOOKUP($B65,Kraftvärmeprod!$B$1:$AV$479,MATCH("Producerad elenergi i kraftvärmeverk (GWh)",Kraftvärmeprod!$B$1:$AV$1,0),FALSE)),"",VLOOKUP($B65,Kraftvärmeprod!$B$1:$AV$479,MATCH("Producerad elenergi i kraftvärmeverk (GWh)",Kraftvärmeprod!$B$1:$AV$1,0),FALSE))</f>
        <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45">
      <c r="A66" s="2" t="s">
        <v>610</v>
      </c>
      <c r="B66" s="2" t="s">
        <v>1556</v>
      </c>
      <c r="C66" s="341" t="s">
        <v>1567</v>
      </c>
      <c r="D66" t="str">
        <f>IF(ISERROR(1/VLOOKUP($B66,Kraftvärmeprod!$B$1:$D$479,MATCH("Total värmeproduktion i kraftvärmeverk i kombinerad drift (GWh)",Kraftvärmeprod!$B$1:$AV$1,0),FALSE)),"Ej kraftvärme","Alternativproduktionsmetoden")</f>
        <v>Ej kraftvärme</v>
      </c>
      <c r="E66" t="str">
        <f>IF(ISERROR(1/VLOOKUP($B66,Kraftvärmeprod!$B$1:$BD$479,MATCH("Total värmeproduktion i kraftvärmeverk i kombinerad drift (GWh)",Kraftvärmeprod!$B$1:$AV$1,0),FALSE)),"",VLOOKUP($B66,'Slutlig allokering kvv'!$B$1:$BC$479,MATCH(E$1,'Slutlig allokering kvv'!$B$1:$AU$1,0),FALSE))</f>
        <v/>
      </c>
      <c r="F66" t="str">
        <f>IF(ISERROR(1/VLOOKUP($B66,Kraftvärmeprod!$B$1:$AV$479,MATCH("Producerad elenergi i kraftvärmeverk (GWh)",Kraftvärmeprod!$B$1:$AV$1,0),FALSE)),"",VLOOKUP($B66,Kraftvärmeprod!$B$1:$AV$479,MATCH("Producerad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45">
      <c r="A67" s="2" t="s">
        <v>608</v>
      </c>
      <c r="B67" s="2" t="s">
        <v>608</v>
      </c>
      <c r="D67" t="str">
        <f>IF(ISERROR(1/VLOOKUP($B67,Kraftvärmeprod!$B$1:$D$479,MATCH("Total värmeproduktion i kraftvärmeverk i kombinerad drift (GWh)",Kraftvärmeprod!$B$1:$AV$1,0),FALSE)),"Ej kraftvärme","Alternativproduktionsmetoden")</f>
        <v>Ej kraftvärme</v>
      </c>
      <c r="E67" t="str">
        <f>IF(ISERROR(1/VLOOKUP($B67,Kraftvärmeprod!$B$1:$BD$479,MATCH("Total värmeproduktion i kraftvärmeverk i kombinerad drift (GWh)",Kraftvärmeprod!$B$1:$AV$1,0),FALSE)),"",VLOOKUP($B67,'Slutlig allokering kvv'!$B$1:$BC$479,MATCH(E$1,'Slutlig allokering kvv'!$B$1:$AU$1,0),FALSE))</f>
        <v/>
      </c>
      <c r="F67" t="str">
        <f>IF(ISERROR(1/VLOOKUP($B67,Kraftvärmeprod!$B$1:$AV$479,MATCH("Producerad elenergi i kraftvärmeverk (GWh)",Kraftvärmeprod!$B$1:$AV$1,0),FALSE)),"",VLOOKUP($B67,Kraftvärmeprod!$B$1:$AV$479,MATCH("Producerad elenergi i kraftvärmeverk (GWh)",Kraftvärmeprod!$B$1:$AV$1,0),FALSE))</f>
        <v/>
      </c>
      <c r="G67" t="str">
        <f>IF(ISERROR(1/VLOOKUP($B67,Miljö!$B$1:$T$480,MATCH("Såld mängd produktionsspecifik fjärrvärme (GWh)",Miljö!$B$1:$T$1,0),FALSE)),"",VLOOKUP($B67,Miljö!$B$1:$T$480,MATCH("Såld mängd produktionsspecifik fjärrvärme (GWh)",Miljö!$B$1:$T$1,0),FALSE))</f>
        <v/>
      </c>
      <c r="J67" t="str">
        <f t="shared" si="0"/>
        <v>Eda Energi AB</v>
      </c>
    </row>
    <row r="68" spans="1:10" x14ac:dyDescent="0.45">
      <c r="A68" s="2" t="s">
        <v>605</v>
      </c>
      <c r="B68" s="2" t="s">
        <v>607</v>
      </c>
      <c r="D68" t="str">
        <f>IF(ISERROR(1/VLOOKUP($B68,Kraftvärmeprod!$B$1:$D$479,MATCH("Total värmeproduktion i kraftvärmeverk i kombinerad drift (GWh)",Kraftvärmeprod!$B$1:$AV$1,0),FALSE)),"Ej kraftvärme","Alternativproduktionsmetoden")</f>
        <v>Alternativproduktionsmetoden</v>
      </c>
      <c r="E68">
        <f>IF(ISERROR(1/VLOOKUP($B68,Kraftvärmeprod!$B$1:$BD$479,MATCH("Total värmeproduktion i kraftvärmeverk i kombinerad drift (GWh)",Kraftvärmeprod!$B$1:$AV$1,0),FALSE)),"",VLOOKUP($B68,'Slutlig allokering kvv'!$B$1:$BC$479,MATCH(E$1,'Slutlig allokering kvv'!$B$1:$AU$1,0),FALSE))</f>
        <v>0.74120711771607362</v>
      </c>
      <c r="F68">
        <f>IF(ISERROR(1/VLOOKUP($B68,Kraftvärmeprod!$B$1:$AV$479,MATCH("Producerad elenergi i kraftvärmeverk (GWh)",Kraftvärmeprod!$B$1:$AV$1,0),FALSE)),"",VLOOKUP($B68,Kraftvärmeprod!$B$1:$AV$479,MATCH("Producerad elenergi i kraftvärmeverk (GWh)",Kraftvärmeprod!$B$1:$AV$1,0),FALSE))</f>
        <v>14.2</v>
      </c>
      <c r="G68" t="str">
        <f>IF(ISERROR(1/VLOOKUP($B68,Miljö!$B$1:$T$480,MATCH("Såld mängd produktionsspecifik fjärrvärme (GWh)",Miljö!$B$1:$T$1,0),FALSE)),"",VLOOKUP($B68,Miljö!$B$1:$T$480,MATCH("Såld mängd produktionsspecifik fjärrvärme (GWh)",Miljö!$B$1:$T$1,0),FALSE))</f>
        <v/>
      </c>
      <c r="J68" t="str">
        <f t="shared" ref="J68:J131" si="1">A68</f>
        <v>Eksjö Energi AB</v>
      </c>
    </row>
    <row r="69" spans="1:10" x14ac:dyDescent="0.45">
      <c r="A69" s="2" t="s">
        <v>605</v>
      </c>
      <c r="B69" s="2" t="s">
        <v>606</v>
      </c>
      <c r="D69" t="str">
        <f>IF(ISERROR(1/VLOOKUP($B69,Kraftvärmeprod!$B$1:$D$479,MATCH("Total värmeproduktion i kraftvärmeverk i kombinerad drift (GWh)",Kraftvärmeprod!$B$1:$AV$1,0),FALSE)),"Ej kraftvärme","Alternativproduktionsmetoden")</f>
        <v>Ej kraftvärme</v>
      </c>
      <c r="E69" t="str">
        <f>IF(ISERROR(1/VLOOKUP($B69,Kraftvärmeprod!$B$1:$BD$479,MATCH("Total värmeproduktion i kraftvärmeverk i kombinerad drift (GWh)",Kraftvärmeprod!$B$1:$AV$1,0),FALSE)),"",VLOOKUP($B69,'Slutlig allokering kvv'!$B$1:$BC$479,MATCH(E$1,'Slutlig allokering kvv'!$B$1:$AU$1,0),FALSE))</f>
        <v/>
      </c>
      <c r="F69" t="str">
        <f>IF(ISERROR(1/VLOOKUP($B69,Kraftvärmeprod!$B$1:$AV$479,MATCH("Producerad elenergi i kraftvärmeverk (GWh)",Kraftvärmeprod!$B$1:$AV$1,0),FALSE)),"",VLOOKUP($B69,Kraftvärmeprod!$B$1:$AV$479,MATCH("Producerad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Eksjö Energi AB</v>
      </c>
    </row>
    <row r="70" spans="1:10" x14ac:dyDescent="0.45">
      <c r="A70" s="2" t="s">
        <v>605</v>
      </c>
      <c r="B70" s="2" t="s">
        <v>604</v>
      </c>
      <c r="D70" t="str">
        <f>IF(ISERROR(1/VLOOKUP($B70,Kraftvärmeprod!$B$1:$D$479,MATCH("Total värmeproduktion i kraftvärmeverk i kombinerad drift (GWh)",Kraftvärmeprod!$B$1:$AV$1,0),FALSE)),"Ej kraftvärme","Alternativproduktionsmetoden")</f>
        <v>Ej kraftvärme</v>
      </c>
      <c r="E70" t="str">
        <f>IF(ISERROR(1/VLOOKUP($B70,Kraftvärmeprod!$B$1:$BD$479,MATCH("Total värmeproduktion i kraftvärmeverk i kombinerad drift (GWh)",Kraftvärmeprod!$B$1:$AV$1,0),FALSE)),"",VLOOKUP($B70,'Slutlig allokering kvv'!$B$1:$BC$479,MATCH(E$1,'Slutlig allokering kvv'!$B$1:$AU$1,0),FALSE))</f>
        <v/>
      </c>
      <c r="F70" t="str">
        <f>IF(ISERROR(1/VLOOKUP($B70,Kraftvärmeprod!$B$1:$AV$479,MATCH("Producerad elenergi i kraftvärmeverk (GWh)",Kraftvärmeprod!$B$1:$AV$1,0),FALSE)),"",VLOOKUP($B70,Kraftvärmeprod!$B$1:$AV$479,MATCH("Producerad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Eksjö Energi AB</v>
      </c>
    </row>
    <row r="71" spans="1:10" x14ac:dyDescent="0.45">
      <c r="A71" s="2" t="s">
        <v>603</v>
      </c>
      <c r="B71" s="2" t="s">
        <v>602</v>
      </c>
      <c r="D71" t="str">
        <f>IF(ISERROR(1/VLOOKUP($B71,Kraftvärmeprod!$B$1:$D$479,MATCH("Total värmeproduktion i kraftvärmeverk i kombinerad drift (GWh)",Kraftvärmeprod!$B$1:$AV$1,0),FALSE)),"Ej kraftvärme","Alternativproduktionsmetoden")</f>
        <v>Ej kraftvärme</v>
      </c>
      <c r="E71" t="str">
        <f>IF(ISERROR(1/VLOOKUP($B71,Kraftvärmeprod!$B$1:$BD$479,MATCH("Total värmeproduktion i kraftvärmeverk i kombinerad drift (GWh)",Kraftvärmeprod!$B$1:$AV$1,0),FALSE)),"",VLOOKUP($B71,'Slutlig allokering kvv'!$B$1:$BC$479,MATCH(E$1,'Slutlig allokering kvv'!$B$1:$AU$1,0),FALSE))</f>
        <v/>
      </c>
      <c r="F71" t="str">
        <f>IF(ISERROR(1/VLOOKUP($B71,Kraftvärmeprod!$B$1:$AV$479,MATCH("Producerad elenergi i kraftvärmeverk (GWh)",Kraftvärmeprod!$B$1:$AV$1,0),FALSE)),"",VLOOKUP($B71,Kraftvärmeprod!$B$1:$AV$479,MATCH("Producerad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Emmaboda Energi och Miljö AB</v>
      </c>
    </row>
    <row r="72" spans="1:10" x14ac:dyDescent="0.45">
      <c r="A72" s="2" t="s">
        <v>601</v>
      </c>
      <c r="B72" s="2" t="s">
        <v>600</v>
      </c>
      <c r="D72" t="str">
        <f>IF(ISERROR(1/VLOOKUP($B72,Kraftvärmeprod!$B$1:$D$479,MATCH("Total värmeproduktion i kraftvärmeverk i kombinerad drift (GWh)",Kraftvärmeprod!$B$1:$AV$1,0),FALSE)),"Ej kraftvärme","Alternativproduktionsmetoden")</f>
        <v>Alternativproduktionsmetoden</v>
      </c>
      <c r="E72">
        <f>IF(ISERROR(1/VLOOKUP($B72,Kraftvärmeprod!$B$1:$BD$479,MATCH("Total värmeproduktion i kraftvärmeverk i kombinerad drift (GWh)",Kraftvärmeprod!$B$1:$AV$1,0),FALSE)),"",VLOOKUP($B72,'Slutlig allokering kvv'!$B$1:$BC$479,MATCH(E$1,'Slutlig allokering kvv'!$B$1:$AU$1,0),FALSE))</f>
        <v>0.49516907295233076</v>
      </c>
      <c r="F72">
        <f>IF(ISERROR(1/VLOOKUP($B72,Kraftvärmeprod!$B$1:$AV$479,MATCH("Producerad elenergi i kraftvärmeverk (GWh)",Kraftvärmeprod!$B$1:$AV$1,0),FALSE)),"",VLOOKUP($B72,Kraftvärmeprod!$B$1:$AV$479,MATCH("Producerad elenergi i kraftvärmeverk (GWh)",Kraftvärmeprod!$B$1:$AV$1,0),FALSE))</f>
        <v>77.5</v>
      </c>
      <c r="G72" t="str">
        <f>IF(ISERROR(1/VLOOKUP($B72,Miljö!$B$1:$T$480,MATCH("Såld mängd produktionsspecifik fjärrvärme (GWh)",Miljö!$B$1:$T$1,0),FALSE)),"",VLOOKUP($B72,Miljö!$B$1:$T$480,MATCH("Såld mängd produktionsspecifik fjärrvärme (GWh)",Miljö!$B$1:$T$1,0),FALSE))</f>
        <v/>
      </c>
      <c r="J72" t="str">
        <f t="shared" si="1"/>
        <v>Ena Energi AB</v>
      </c>
    </row>
    <row r="73" spans="1:10" x14ac:dyDescent="0.45">
      <c r="A73" s="2" t="s">
        <v>597</v>
      </c>
      <c r="B73" s="2" t="s">
        <v>599</v>
      </c>
      <c r="D73" t="str">
        <f>IF(ISERROR(1/VLOOKUP($B73,Kraftvärmeprod!$B$1:$D$479,MATCH("Total värmeproduktion i kraftvärmeverk i kombinerad drift (GWh)",Kraftvärmeprod!$B$1:$AV$1,0),FALSE)),"Ej kraftvärme","Alternativproduktionsmetoden")</f>
        <v>Alternativproduktionsmetoden</v>
      </c>
      <c r="E73">
        <f>IF(ISERROR(1/VLOOKUP($B73,Kraftvärmeprod!$B$1:$BD$479,MATCH("Total värmeproduktion i kraftvärmeverk i kombinerad drift (GWh)",Kraftvärmeprod!$B$1:$AV$1,0),FALSE)),"",VLOOKUP($B73,'Slutlig allokering kvv'!$B$1:$BC$479,MATCH(E$1,'Slutlig allokering kvv'!$B$1:$AU$1,0),FALSE))</f>
        <v>0.53776561341515361</v>
      </c>
      <c r="F73">
        <f>IF(ISERROR(1/VLOOKUP($B73,Kraftvärmeprod!$B$1:$AV$479,MATCH("Producerad elenergi i kraftvärmeverk (GWh)",Kraftvärmeprod!$B$1:$AV$1,0),FALSE)),"",VLOOKUP($B73,Kraftvärmeprod!$B$1:$AV$479,MATCH("Producerad elenergi i kraftvärmeverk (GWh)",Kraftvärmeprod!$B$1:$AV$1,0),FALSE))</f>
        <v>183.82400000000001</v>
      </c>
      <c r="G73" t="str">
        <f>IF(ISERROR(1/VLOOKUP($B73,Miljö!$B$1:$T$480,MATCH("Såld mängd produktionsspecifik fjärrvärme (GWh)",Miljö!$B$1:$T$1,0),FALSE)),"",VLOOKUP($B73,Miljö!$B$1:$T$480,MATCH("Såld mängd produktionsspecifik fjärrvärme (GWh)",Miljö!$B$1:$T$1,0),FALSE))</f>
        <v/>
      </c>
      <c r="J73" t="str">
        <f t="shared" si="1"/>
        <v>Eskilstuna Energi &amp; Miljö AB</v>
      </c>
    </row>
    <row r="74" spans="1:10" x14ac:dyDescent="0.45">
      <c r="A74" s="2" t="s">
        <v>597</v>
      </c>
      <c r="B74" s="2" t="s">
        <v>598</v>
      </c>
      <c r="D74" t="str">
        <f>IF(ISERROR(1/VLOOKUP($B74,Kraftvärmeprod!$B$1:$D$479,MATCH("Total värmeproduktion i kraftvärmeverk i kombinerad drift (GWh)",Kraftvärmeprod!$B$1:$AV$1,0),FALSE)),"Ej kraftvärme","Alternativproduktionsmetoden")</f>
        <v>Ej kraftvärme</v>
      </c>
      <c r="E74" t="str">
        <f>IF(ISERROR(1/VLOOKUP($B74,Kraftvärmeprod!$B$1:$BD$479,MATCH("Total värmeproduktion i kraftvärmeverk i kombinerad drift (GWh)",Kraftvärmeprod!$B$1:$AV$1,0),FALSE)),"",VLOOKUP($B74,'Slutlig allokering kvv'!$B$1:$BC$479,MATCH(E$1,'Slutlig allokering kvv'!$B$1:$AU$1,0),FALSE))</f>
        <v/>
      </c>
      <c r="F74" t="str">
        <f>IF(ISERROR(1/VLOOKUP($B74,Kraftvärmeprod!$B$1:$AV$479,MATCH("Producerad elenergi i kraftvärmeverk (GWh)",Kraftvärmeprod!$B$1:$AV$1,0),FALSE)),"",VLOOKUP($B74,Kraftvärmeprod!$B$1:$AV$479,MATCH("Producerad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Eskilstuna Energi &amp; Miljö AB</v>
      </c>
    </row>
    <row r="75" spans="1:10" x14ac:dyDescent="0.45">
      <c r="A75" s="2" t="s">
        <v>597</v>
      </c>
      <c r="B75" s="2" t="s">
        <v>596</v>
      </c>
      <c r="D75" t="str">
        <f>IF(ISERROR(1/VLOOKUP($B75,Kraftvärmeprod!$B$1:$D$479,MATCH("Total värmeproduktion i kraftvärmeverk i kombinerad drift (GWh)",Kraftvärmeprod!$B$1:$AV$1,0),FALSE)),"Ej kraftvärme","Alternativproduktionsmetoden")</f>
        <v>Ej kraftvärme</v>
      </c>
      <c r="E75" t="str">
        <f>IF(ISERROR(1/VLOOKUP($B75,Kraftvärmeprod!$B$1:$BD$479,MATCH("Total värmeproduktion i kraftvärmeverk i kombinerad drift (GWh)",Kraftvärmeprod!$B$1:$AV$1,0),FALSE)),"",VLOOKUP($B75,'Slutlig allokering kvv'!$B$1:$BC$479,MATCH(E$1,'Slutlig allokering kvv'!$B$1:$AU$1,0),FALSE))</f>
        <v/>
      </c>
      <c r="F75" t="str">
        <f>IF(ISERROR(1/VLOOKUP($B75,Kraftvärmeprod!$B$1:$AV$479,MATCH("Producerad elenergi i kraftvärmeverk (GWh)",Kraftvärmeprod!$B$1:$AV$1,0),FALSE)),"",VLOOKUP($B75,Kraftvärmeprod!$B$1:$AV$479,MATCH("Producerad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Eskilstuna Energi &amp; Miljö AB</v>
      </c>
    </row>
    <row r="76" spans="1:10" x14ac:dyDescent="0.45">
      <c r="A76" s="2" t="s">
        <v>593</v>
      </c>
      <c r="B76" s="2" t="s">
        <v>595</v>
      </c>
      <c r="D76" t="str">
        <f>IF(ISERROR(1/VLOOKUP($B76,Kraftvärmeprod!$B$1:$D$479,MATCH("Total värmeproduktion i kraftvärmeverk i kombinerad drift (GWh)",Kraftvärmeprod!$B$1:$AV$1,0),FALSE)),"Ej kraftvärme","Alternativproduktionsmetoden")</f>
        <v>Alternativproduktionsmetoden</v>
      </c>
      <c r="E76">
        <f>IF(ISERROR(1/VLOOKUP($B76,Kraftvärmeprod!$B$1:$BD$479,MATCH("Total värmeproduktion i kraftvärmeverk i kombinerad drift (GWh)",Kraftvärmeprod!$B$1:$AV$1,0),FALSE)),"",VLOOKUP($B76,'Slutlig allokering kvv'!$B$1:$BC$479,MATCH(E$1,'Slutlig allokering kvv'!$B$1:$AU$1,0),FALSE))</f>
        <v>0.74707092776203976</v>
      </c>
      <c r="F76">
        <f>IF(ISERROR(1/VLOOKUP($B76,Kraftvärmeprod!$B$1:$AV$479,MATCH("Producerad elenergi i kraftvärmeverk (GWh)",Kraftvärmeprod!$B$1:$AV$1,0),FALSE)),"",VLOOKUP($B76,Kraftvärmeprod!$B$1:$AV$479,MATCH("Producerad elenergi i kraftvärmeverk (GWh)",Kraftvärmeprod!$B$1:$AV$1,0),FALSE))</f>
        <v>11.7</v>
      </c>
      <c r="G76" t="str">
        <f>IF(ISERROR(1/VLOOKUP($B76,Miljö!$B$1:$T$480,MATCH("Såld mängd produktionsspecifik fjärrvärme (GWh)",Miljö!$B$1:$T$1,0),FALSE)),"",VLOOKUP($B76,Miljö!$B$1:$T$480,MATCH("Såld mängd produktionsspecifik fjärrvärme (GWh)",Miljö!$B$1:$T$1,0),FALSE))</f>
        <v/>
      </c>
      <c r="J76" t="str">
        <f t="shared" si="1"/>
        <v>Falbygdens Energi AB</v>
      </c>
    </row>
    <row r="77" spans="1:10" x14ac:dyDescent="0.45">
      <c r="A77" s="2" t="s">
        <v>593</v>
      </c>
      <c r="B77" s="2" t="s">
        <v>594</v>
      </c>
      <c r="D77" t="str">
        <f>IF(ISERROR(1/VLOOKUP($B77,Kraftvärmeprod!$B$1:$D$479,MATCH("Total värmeproduktion i kraftvärmeverk i kombinerad drift (GWh)",Kraftvärmeprod!$B$1:$AV$1,0),FALSE)),"Ej kraftvärme","Alternativproduktionsmetoden")</f>
        <v>Ej kraftvärme</v>
      </c>
      <c r="E77" t="str">
        <f>IF(ISERROR(1/VLOOKUP($B77,Kraftvärmeprod!$B$1:$BD$479,MATCH("Total värmeproduktion i kraftvärmeverk i kombinerad drift (GWh)",Kraftvärmeprod!$B$1:$AV$1,0),FALSE)),"",VLOOKUP($B77,'Slutlig allokering kvv'!$B$1:$BC$479,MATCH(E$1,'Slutlig allokering kvv'!$B$1:$AU$1,0),FALSE))</f>
        <v/>
      </c>
      <c r="F77" t="str">
        <f>IF(ISERROR(1/VLOOKUP($B77,Kraftvärmeprod!$B$1:$AV$479,MATCH("Producerad elenergi i kraftvärmeverk (GWh)",Kraftvärmeprod!$B$1:$AV$1,0),FALSE)),"",VLOOKUP($B77,Kraftvärmeprod!$B$1:$AV$479,MATCH("Producerad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Falbygdens Energi AB</v>
      </c>
    </row>
    <row r="78" spans="1:10" x14ac:dyDescent="0.45">
      <c r="A78" s="2" t="s">
        <v>593</v>
      </c>
      <c r="B78" s="2" t="s">
        <v>592</v>
      </c>
      <c r="D78" t="str">
        <f>IF(ISERROR(1/VLOOKUP($B78,Kraftvärmeprod!$B$1:$D$479,MATCH("Total värmeproduktion i kraftvärmeverk i kombinerad drift (GWh)",Kraftvärmeprod!$B$1:$AV$1,0),FALSE)),"Ej kraftvärme","Alternativproduktionsmetoden")</f>
        <v>Ej kraftvärme</v>
      </c>
      <c r="E78" t="str">
        <f>IF(ISERROR(1/VLOOKUP($B78,Kraftvärmeprod!$B$1:$BD$479,MATCH("Total värmeproduktion i kraftvärmeverk i kombinerad drift (GWh)",Kraftvärmeprod!$B$1:$AV$1,0),FALSE)),"",VLOOKUP($B78,'Slutlig allokering kvv'!$B$1:$BC$479,MATCH(E$1,'Slutlig allokering kvv'!$B$1:$AU$1,0),FALSE))</f>
        <v/>
      </c>
      <c r="F78" t="str">
        <f>IF(ISERROR(1/VLOOKUP($B78,Kraftvärmeprod!$B$1:$AV$479,MATCH("Producerad elenergi i kraftvärmeverk (GWh)",Kraftvärmeprod!$B$1:$AV$1,0),FALSE)),"",VLOOKUP($B78,Kraftvärmeprod!$B$1:$AV$479,MATCH("Producerad elenergi i kraftvärmeverk (GWh)",Kraftvärmeprod!$B$1:$AV$1,0),FALSE))</f>
        <v/>
      </c>
      <c r="G78" t="str">
        <f>IF(ISERROR(1/VLOOKUP($B78,Miljö!$B$1:$T$480,MATCH("Såld mängd produktionsspecifik fjärrvärme (GWh)",Miljö!$B$1:$T$1,0),FALSE)),"",VLOOKUP($B78,Miljö!$B$1:$T$480,MATCH("Såld mängd produktionsspecifik fjärrvärme (GWh)",Miljö!$B$1:$T$1,0),FALSE))</f>
        <v/>
      </c>
      <c r="J78" t="str">
        <f t="shared" si="1"/>
        <v>Falbygdens Energi AB</v>
      </c>
    </row>
    <row r="79" spans="1:10" x14ac:dyDescent="0.45">
      <c r="A79" s="2" t="s">
        <v>589</v>
      </c>
      <c r="B79" s="2" t="s">
        <v>591</v>
      </c>
      <c r="D79" t="str">
        <f>IF(ISERROR(1/VLOOKUP($B79,Kraftvärmeprod!$B$1:$D$479,MATCH("Total värmeproduktion i kraftvärmeverk i kombinerad drift (GWh)",Kraftvärmeprod!$B$1:$AV$1,0),FALSE)),"Ej kraftvärme","Alternativproduktionsmetoden")</f>
        <v>Ej kraftvärme</v>
      </c>
      <c r="E79" t="str">
        <f>IF(ISERROR(1/VLOOKUP($B79,Kraftvärmeprod!$B$1:$BD$479,MATCH("Total värmeproduktion i kraftvärmeverk i kombinerad drift (GWh)",Kraftvärmeprod!$B$1:$AV$1,0),FALSE)),"",VLOOKUP($B79,'Slutlig allokering kvv'!$B$1:$BC$479,MATCH(E$1,'Slutlig allokering kvv'!$B$1:$AU$1,0),FALSE))</f>
        <v/>
      </c>
      <c r="F79" t="str">
        <f>IF(ISERROR(1/VLOOKUP($B79,Kraftvärmeprod!$B$1:$AV$479,MATCH("Producerad elenergi i kraftvärmeverk (GWh)",Kraftvärmeprod!$B$1:$AV$1,0),FALSE)),"",VLOOKUP($B79,Kraftvärmeprod!$B$1:$AV$479,MATCH("Producerad elenergi i kraftvärmeverk (GWh)",Kraftvärmeprod!$B$1:$AV$1,0),FALSE))</f>
        <v/>
      </c>
      <c r="G79" t="str">
        <f>IF(ISERROR(1/VLOOKUP($B79,Miljö!$B$1:$T$480,MATCH("Såld mängd produktionsspecifik fjärrvärme (GWh)",Miljö!$B$1:$T$1,0),FALSE)),"",VLOOKUP($B79,Miljö!$B$1:$T$480,MATCH("Såld mängd produktionsspecifik fjärrvärme (GWh)",Miljö!$B$1:$T$1,0),FALSE))</f>
        <v/>
      </c>
      <c r="J79" t="str">
        <f t="shared" si="1"/>
        <v>Falkenberg Energi AB</v>
      </c>
    </row>
    <row r="80" spans="1:10" x14ac:dyDescent="0.45">
      <c r="A80" s="2" t="s">
        <v>589</v>
      </c>
      <c r="B80" s="2" t="s">
        <v>590</v>
      </c>
      <c r="D80" t="str">
        <f>IF(ISERROR(1/VLOOKUP($B80,Kraftvärmeprod!$B$1:$D$479,MATCH("Total värmeproduktion i kraftvärmeverk i kombinerad drift (GWh)",Kraftvärmeprod!$B$1:$AV$1,0),FALSE)),"Ej kraftvärme","Alternativproduktionsmetoden")</f>
        <v>Ej kraftvärme</v>
      </c>
      <c r="E80" t="str">
        <f>IF(ISERROR(1/VLOOKUP($B80,Kraftvärmeprod!$B$1:$BD$479,MATCH("Total värmeproduktion i kraftvärmeverk i kombinerad drift (GWh)",Kraftvärmeprod!$B$1:$AV$1,0),FALSE)),"",VLOOKUP($B80,'Slutlig allokering kvv'!$B$1:$BC$479,MATCH(E$1,'Slutlig allokering kvv'!$B$1:$AU$1,0),FALSE))</f>
        <v/>
      </c>
      <c r="F80" t="str">
        <f>IF(ISERROR(1/VLOOKUP($B80,Kraftvärmeprod!$B$1:$AV$479,MATCH("Producerad elenergi i kraftvärmeverk (GWh)",Kraftvärmeprod!$B$1:$AV$1,0),FALSE)),"",VLOOKUP($B80,Kraftvärmeprod!$B$1:$AV$479,MATCH("Producerad elenergi i kraftvärmeverk (GWh)",Kraftvärmeprod!$B$1:$AV$1,0),FALSE))</f>
        <v/>
      </c>
      <c r="G80" t="str">
        <f>IF(ISERROR(1/VLOOKUP($B80,Miljö!$B$1:$T$480,MATCH("Såld mängd produktionsspecifik fjärrvärme (GWh)",Miljö!$B$1:$T$1,0),FALSE)),"",VLOOKUP($B80,Miljö!$B$1:$T$480,MATCH("Såld mängd produktionsspecifik fjärrvärme (GWh)",Miljö!$B$1:$T$1,0),FALSE))</f>
        <v/>
      </c>
      <c r="J80" t="str">
        <f t="shared" si="1"/>
        <v>Falkenberg Energi AB</v>
      </c>
    </row>
    <row r="81" spans="1:10" x14ac:dyDescent="0.45">
      <c r="A81" s="2" t="s">
        <v>589</v>
      </c>
      <c r="B81" s="2" t="s">
        <v>588</v>
      </c>
      <c r="D81" t="str">
        <f>IF(ISERROR(1/VLOOKUP($B81,Kraftvärmeprod!$B$1:$D$479,MATCH("Total värmeproduktion i kraftvärmeverk i kombinerad drift (GWh)",Kraftvärmeprod!$B$1:$AV$1,0),FALSE)),"Ej kraftvärme","Alternativproduktionsmetoden")</f>
        <v>Ej kraftvärme</v>
      </c>
      <c r="E81" t="str">
        <f>IF(ISERROR(1/VLOOKUP($B81,Kraftvärmeprod!$B$1:$BD$479,MATCH("Total värmeproduktion i kraftvärmeverk i kombinerad drift (GWh)",Kraftvärmeprod!$B$1:$AV$1,0),FALSE)),"",VLOOKUP($B81,'Slutlig allokering kvv'!$B$1:$BC$479,MATCH(E$1,'Slutlig allokering kvv'!$B$1:$AU$1,0),FALSE))</f>
        <v/>
      </c>
      <c r="F81" t="str">
        <f>IF(ISERROR(1/VLOOKUP($B81,Kraftvärmeprod!$B$1:$AV$479,MATCH("Producerad elenergi i kraftvärmeverk (GWh)",Kraftvärmeprod!$B$1:$AV$1,0),FALSE)),"",VLOOKUP($B81,Kraftvärmeprod!$B$1:$AV$479,MATCH("Producerad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Falkenberg Energi AB</v>
      </c>
    </row>
    <row r="82" spans="1:10" x14ac:dyDescent="0.45">
      <c r="A82" s="2" t="s">
        <v>582</v>
      </c>
      <c r="B82" s="2" t="s">
        <v>586</v>
      </c>
      <c r="D82" t="str">
        <f>IF(ISERROR(1/VLOOKUP($B82,Kraftvärmeprod!$B$1:$D$479,MATCH("Total värmeproduktion i kraftvärmeverk i kombinerad drift (GWh)",Kraftvärmeprod!$B$1:$AV$1,0),FALSE)),"Ej kraftvärme","Alternativproduktionsmetoden")</f>
        <v>Ej kraftvärme</v>
      </c>
      <c r="E82" t="str">
        <f>IF(ISERROR(1/VLOOKUP($B82,Kraftvärmeprod!$B$1:$BD$479,MATCH("Total värmeproduktion i kraftvärmeverk i kombinerad drift (GWh)",Kraftvärmeprod!$B$1:$AV$1,0),FALSE)),"",VLOOKUP($B82,'Slutlig allokering kvv'!$B$1:$BC$479,MATCH(E$1,'Slutlig allokering kvv'!$B$1:$AU$1,0),FALSE))</f>
        <v/>
      </c>
      <c r="F82" t="str">
        <f>IF(ISERROR(1/VLOOKUP($B82,Kraftvärmeprod!$B$1:$AV$479,MATCH("Producerad elenergi i kraftvärmeverk (GWh)",Kraftvärmeprod!$B$1:$AV$1,0),FALSE)),"",VLOOKUP($B82,Kraftvärmeprod!$B$1:$AV$479,MATCH("Producerad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Falu Energi &amp; Vatten AB</v>
      </c>
    </row>
    <row r="83" spans="1:10" x14ac:dyDescent="0.45">
      <c r="A83" s="2" t="s">
        <v>582</v>
      </c>
      <c r="B83" s="2" t="s">
        <v>585</v>
      </c>
      <c r="D83" t="str">
        <f>IF(ISERROR(1/VLOOKUP($B83,Kraftvärmeprod!$B$1:$D$479,MATCH("Total värmeproduktion i kraftvärmeverk i kombinerad drift (GWh)",Kraftvärmeprod!$B$1:$AV$1,0),FALSE)),"Ej kraftvärme","Alternativproduktionsmetoden")</f>
        <v>Alternativproduktionsmetoden</v>
      </c>
      <c r="E83">
        <f>IF(ISERROR(1/VLOOKUP($B83,Kraftvärmeprod!$B$1:$BD$479,MATCH("Total värmeproduktion i kraftvärmeverk i kombinerad drift (GWh)",Kraftvärmeprod!$B$1:$AV$1,0),FALSE)),"",VLOOKUP($B83,'Slutlig allokering kvv'!$B$1:$BC$479,MATCH(E$1,'Slutlig allokering kvv'!$B$1:$AU$1,0),FALSE))</f>
        <v>0.65658887388752663</v>
      </c>
      <c r="F83">
        <f>IF(ISERROR(1/VLOOKUP($B83,Kraftvärmeprod!$B$1:$AV$479,MATCH("Producerad elenergi i kraftvärmeverk (GWh)",Kraftvärmeprod!$B$1:$AV$1,0),FALSE)),"",VLOOKUP($B83,Kraftvärmeprod!$B$1:$AV$479,MATCH("Producerad elenergi i kraftvärmeverk (GWh)",Kraftvärmeprod!$B$1:$AV$1,0),FALSE))</f>
        <v>52.1</v>
      </c>
      <c r="G83">
        <f>IF(ISERROR(1/VLOOKUP($B83,Miljö!$B$1:$T$480,MATCH("Såld mängd produktionsspecifik fjärrvärme (GWh)",Miljö!$B$1:$T$1,0),FALSE)),"",VLOOKUP($B83,Miljö!$B$1:$T$480,MATCH("Såld mängd produktionsspecifik fjärrvärme (GWh)",Miljö!$B$1:$T$1,0),FALSE))</f>
        <v>2.85</v>
      </c>
      <c r="J83" t="str">
        <f t="shared" si="1"/>
        <v>Falu Energi &amp; Vatten AB</v>
      </c>
    </row>
    <row r="84" spans="1:10" x14ac:dyDescent="0.45">
      <c r="A84" s="2" t="s">
        <v>582</v>
      </c>
      <c r="B84" s="2" t="s">
        <v>583</v>
      </c>
      <c r="D84" t="str">
        <f>IF(ISERROR(1/VLOOKUP($B84,Kraftvärmeprod!$B$1:$D$479,MATCH("Total värmeproduktion i kraftvärmeverk i kombinerad drift (GWh)",Kraftvärmeprod!$B$1:$AV$1,0),FALSE)),"Ej kraftvärme","Alternativproduktionsmetoden")</f>
        <v>Ej kraftvärme</v>
      </c>
      <c r="E84" t="str">
        <f>IF(ISERROR(1/VLOOKUP($B84,Kraftvärmeprod!$B$1:$BD$479,MATCH("Total värmeproduktion i kraftvärmeverk i kombinerad drift (GWh)",Kraftvärmeprod!$B$1:$AV$1,0),FALSE)),"",VLOOKUP($B84,'Slutlig allokering kvv'!$B$1:$BC$479,MATCH(E$1,'Slutlig allokering kvv'!$B$1:$AU$1,0),FALSE))</f>
        <v/>
      </c>
      <c r="F84" t="str">
        <f>IF(ISERROR(1/VLOOKUP($B84,Kraftvärmeprod!$B$1:$AV$479,MATCH("Producerad elenergi i kraftvärmeverk (GWh)",Kraftvärmeprod!$B$1:$AV$1,0),FALSE)),"",VLOOKUP($B84,Kraftvärmeprod!$B$1:$AV$479,MATCH("Producerad elenergi i kraftvärmeverk (GWh)",Kraftvärmeprod!$B$1:$AV$1,0),FALSE))</f>
        <v/>
      </c>
      <c r="G84" t="str">
        <f>IF(ISERROR(1/VLOOKUP($B84,Miljö!$B$1:$T$480,MATCH("Såld mängd produktionsspecifik fjärrvärme (GWh)",Miljö!$B$1:$T$1,0),FALSE)),"",VLOOKUP($B84,Miljö!$B$1:$T$480,MATCH("Såld mängd produktionsspecifik fjärrvärme (GWh)",Miljö!$B$1:$T$1,0),FALSE))</f>
        <v/>
      </c>
      <c r="J84" t="str">
        <f t="shared" si="1"/>
        <v>Falu Energi &amp; Vatten AB</v>
      </c>
    </row>
    <row r="85" spans="1:10" x14ac:dyDescent="0.45">
      <c r="A85" s="2" t="s">
        <v>582</v>
      </c>
      <c r="B85" s="2" t="s">
        <v>581</v>
      </c>
      <c r="D85" t="str">
        <f>IF(ISERROR(1/VLOOKUP($B85,Kraftvärmeprod!$B$1:$D$479,MATCH("Total värmeproduktion i kraftvärmeverk i kombinerad drift (GWh)",Kraftvärmeprod!$B$1:$AV$1,0),FALSE)),"Ej kraftvärme","Alternativproduktionsmetoden")</f>
        <v>Ej kraftvärme</v>
      </c>
      <c r="E85" t="str">
        <f>IF(ISERROR(1/VLOOKUP($B85,Kraftvärmeprod!$B$1:$BD$479,MATCH("Total värmeproduktion i kraftvärmeverk i kombinerad drift (GWh)",Kraftvärmeprod!$B$1:$AV$1,0),FALSE)),"",VLOOKUP($B85,'Slutlig allokering kvv'!$B$1:$BC$479,MATCH(E$1,'Slutlig allokering kvv'!$B$1:$AU$1,0),FALSE))</f>
        <v/>
      </c>
      <c r="F85" t="str">
        <f>IF(ISERROR(1/VLOOKUP($B85,Kraftvärmeprod!$B$1:$AV$479,MATCH("Producerad elenergi i kraftvärmeverk (GWh)",Kraftvärmeprod!$B$1:$AV$1,0),FALSE)),"",VLOOKUP($B85,Kraftvärmeprod!$B$1:$AV$479,MATCH("Producerad elenergi i kraftvärmeverk (GWh)",Kraftvärmeprod!$B$1:$AV$1,0),FALSE))</f>
        <v/>
      </c>
      <c r="G85" t="str">
        <f>IF(ISERROR(1/VLOOKUP($B85,Miljö!$B$1:$T$480,MATCH("Såld mängd produktionsspecifik fjärrvärme (GWh)",Miljö!$B$1:$T$1,0),FALSE)),"",VLOOKUP($B85,Miljö!$B$1:$T$480,MATCH("Såld mängd produktionsspecifik fjärrvärme (GWh)",Miljö!$B$1:$T$1,0),FALSE))</f>
        <v/>
      </c>
      <c r="J85" t="str">
        <f t="shared" si="1"/>
        <v>Falu Energi &amp; Vatten AB</v>
      </c>
    </row>
    <row r="86" spans="1:10" x14ac:dyDescent="0.45">
      <c r="A86" s="2" t="s">
        <v>580</v>
      </c>
      <c r="B86" s="2" t="s">
        <v>579</v>
      </c>
      <c r="D86" t="str">
        <f>IF(ISERROR(1/VLOOKUP($B86,Kraftvärmeprod!$B$1:$D$479,MATCH("Total värmeproduktion i kraftvärmeverk i kombinerad drift (GWh)",Kraftvärmeprod!$B$1:$AV$1,0),FALSE)),"Ej kraftvärme","Alternativproduktionsmetoden")</f>
        <v>Ej kraftvärme</v>
      </c>
      <c r="E86" t="str">
        <f>IF(ISERROR(1/VLOOKUP($B86,Kraftvärmeprod!$B$1:$BD$479,MATCH("Total värmeproduktion i kraftvärmeverk i kombinerad drift (GWh)",Kraftvärmeprod!$B$1:$AV$1,0),FALSE)),"",VLOOKUP($B86,'Slutlig allokering kvv'!$B$1:$BC$479,MATCH(E$1,'Slutlig allokering kvv'!$B$1:$AU$1,0),FALSE))</f>
        <v/>
      </c>
      <c r="F86" t="str">
        <f>IF(ISERROR(1/VLOOKUP($B86,Kraftvärmeprod!$B$1:$AV$479,MATCH("Producerad elenergi i kraftvärmeverk (GWh)",Kraftvärmeprod!$B$1:$AV$1,0),FALSE)),"",VLOOKUP($B86,Kraftvärmeprod!$B$1:$AV$479,MATCH("Producerad elenergi i kraftvärmeverk (GWh)",Kraftvärmeprod!$B$1:$AV$1,0),FALSE))</f>
        <v/>
      </c>
      <c r="G86" t="str">
        <f>IF(ISERROR(1/VLOOKUP($B86,Miljö!$B$1:$T$480,MATCH("Såld mängd produktionsspecifik fjärrvärme (GWh)",Miljö!$B$1:$T$1,0),FALSE)),"",VLOOKUP($B86,Miljö!$B$1:$T$480,MATCH("Såld mängd produktionsspecifik fjärrvärme (GWh)",Miljö!$B$1:$T$1,0),FALSE))</f>
        <v/>
      </c>
      <c r="J86" t="str">
        <f t="shared" si="1"/>
        <v>Finspångs Tekniska Verk AB</v>
      </c>
    </row>
    <row r="87" spans="1:10" x14ac:dyDescent="0.45">
      <c r="A87" s="2" t="s">
        <v>576</v>
      </c>
      <c r="B87" s="2" t="s">
        <v>578</v>
      </c>
      <c r="D87" t="str">
        <f>IF(ISERROR(1/VLOOKUP($B87,Kraftvärmeprod!$B$1:$D$479,MATCH("Total värmeproduktion i kraftvärmeverk i kombinerad drift (GWh)",Kraftvärmeprod!$B$1:$AV$1,0),FALSE)),"Ej kraftvärme","Alternativproduktionsmetoden")</f>
        <v>Ej kraftvärme</v>
      </c>
      <c r="E87" t="str">
        <f>IF(ISERROR(1/VLOOKUP($B87,Kraftvärmeprod!$B$1:$BD$479,MATCH("Total värmeproduktion i kraftvärmeverk i kombinerad drift (GWh)",Kraftvärmeprod!$B$1:$AV$1,0),FALSE)),"",VLOOKUP($B87,'Slutlig allokering kvv'!$B$1:$BC$479,MATCH(E$1,'Slutlig allokering kvv'!$B$1:$AU$1,0),FALSE))</f>
        <v/>
      </c>
      <c r="F87" t="str">
        <f>IF(ISERROR(1/VLOOKUP($B87,Kraftvärmeprod!$B$1:$AV$479,MATCH("Producerad elenergi i kraftvärmeverk (GWh)",Kraftvärmeprod!$B$1:$AV$1,0),FALSE)),"",VLOOKUP($B87,Kraftvärmeprod!$B$1:$AV$479,MATCH("Producerad elenergi i kraftvärmeverk (GWh)",Kraftvärmeprod!$B$1:$AV$1,0),FALSE))</f>
        <v/>
      </c>
      <c r="G87" t="str">
        <f>IF(ISERROR(1/VLOOKUP($B87,Miljö!$B$1:$T$480,MATCH("Såld mängd produktionsspecifik fjärrvärme (GWh)",Miljö!$B$1:$T$1,0),FALSE)),"",VLOOKUP($B87,Miljö!$B$1:$T$480,MATCH("Såld mängd produktionsspecifik fjärrvärme (GWh)",Miljö!$B$1:$T$1,0),FALSE))</f>
        <v/>
      </c>
      <c r="J87" t="str">
        <f t="shared" si="1"/>
        <v>Gislaved Energi AB</v>
      </c>
    </row>
    <row r="88" spans="1:10" x14ac:dyDescent="0.45">
      <c r="A88" s="2" t="s">
        <v>576</v>
      </c>
      <c r="B88" s="2" t="s">
        <v>577</v>
      </c>
      <c r="D88" t="str">
        <f>IF(ISERROR(1/VLOOKUP($B88,Kraftvärmeprod!$B$1:$D$479,MATCH("Total värmeproduktion i kraftvärmeverk i kombinerad drift (GWh)",Kraftvärmeprod!$B$1:$AV$1,0),FALSE)),"Ej kraftvärme","Alternativproduktionsmetoden")</f>
        <v>Ej kraftvärme</v>
      </c>
      <c r="E88" t="str">
        <f>IF(ISERROR(1/VLOOKUP($B88,Kraftvärmeprod!$B$1:$BD$479,MATCH("Total värmeproduktion i kraftvärmeverk i kombinerad drift (GWh)",Kraftvärmeprod!$B$1:$AV$1,0),FALSE)),"",VLOOKUP($B88,'Slutlig allokering kvv'!$B$1:$BC$479,MATCH(E$1,'Slutlig allokering kvv'!$B$1:$AU$1,0),FALSE))</f>
        <v/>
      </c>
      <c r="F88" t="str">
        <f>IF(ISERROR(1/VLOOKUP($B88,Kraftvärmeprod!$B$1:$AV$479,MATCH("Producerad elenergi i kraftvärmeverk (GWh)",Kraftvärmeprod!$B$1:$AV$1,0),FALSE)),"",VLOOKUP($B88,Kraftvärmeprod!$B$1:$AV$479,MATCH("Producerad elenergi i kraftvärmeverk (GWh)",Kraftvärmeprod!$B$1:$AV$1,0),FALSE))</f>
        <v/>
      </c>
      <c r="G88" t="str">
        <f>IF(ISERROR(1/VLOOKUP($B88,Miljö!$B$1:$T$480,MATCH("Såld mängd produktionsspecifik fjärrvärme (GWh)",Miljö!$B$1:$T$1,0),FALSE)),"",VLOOKUP($B88,Miljö!$B$1:$T$480,MATCH("Såld mängd produktionsspecifik fjärrvärme (GWh)",Miljö!$B$1:$T$1,0),FALSE))</f>
        <v/>
      </c>
      <c r="J88" t="str">
        <f t="shared" si="1"/>
        <v>Gislaved Energi AB</v>
      </c>
    </row>
    <row r="89" spans="1:10" x14ac:dyDescent="0.45">
      <c r="A89" s="2" t="s">
        <v>576</v>
      </c>
      <c r="B89" s="2" t="s">
        <v>575</v>
      </c>
      <c r="D89" t="str">
        <f>IF(ISERROR(1/VLOOKUP($B89,Kraftvärmeprod!$B$1:$D$479,MATCH("Total värmeproduktion i kraftvärmeverk i kombinerad drift (GWh)",Kraftvärmeprod!$B$1:$AV$1,0),FALSE)),"Ej kraftvärme","Alternativproduktionsmetoden")</f>
        <v>Ej kraftvärme</v>
      </c>
      <c r="E89" t="str">
        <f>IF(ISERROR(1/VLOOKUP($B89,Kraftvärmeprod!$B$1:$BD$479,MATCH("Total värmeproduktion i kraftvärmeverk i kombinerad drift (GWh)",Kraftvärmeprod!$B$1:$AV$1,0),FALSE)),"",VLOOKUP($B89,'Slutlig allokering kvv'!$B$1:$BC$479,MATCH(E$1,'Slutlig allokering kvv'!$B$1:$AU$1,0),FALSE))</f>
        <v/>
      </c>
      <c r="F89" t="str">
        <f>IF(ISERROR(1/VLOOKUP($B89,Kraftvärmeprod!$B$1:$AV$479,MATCH("Producerad elenergi i kraftvärmeverk (GWh)",Kraftvärmeprod!$B$1:$AV$1,0),FALSE)),"",VLOOKUP($B89,Kraftvärmeprod!$B$1:$AV$479,MATCH("Producerad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Gislaved Energi AB</v>
      </c>
    </row>
    <row r="90" spans="1:10" x14ac:dyDescent="0.45">
      <c r="A90" s="2" t="s">
        <v>571</v>
      </c>
      <c r="B90" s="2" t="s">
        <v>574</v>
      </c>
      <c r="D90" t="str">
        <f>IF(ISERROR(1/VLOOKUP($B90,Kraftvärmeprod!$B$1:$D$479,MATCH("Total värmeproduktion i kraftvärmeverk i kombinerad drift (GWh)",Kraftvärmeprod!$B$1:$AV$1,0),FALSE)),"Ej kraftvärme","Alternativproduktionsmetoden")</f>
        <v>Ej kraftvärme</v>
      </c>
      <c r="E90" t="str">
        <f>IF(ISERROR(1/VLOOKUP($B90,Kraftvärmeprod!$B$1:$BD$479,MATCH("Total värmeproduktion i kraftvärmeverk i kombinerad drift (GWh)",Kraftvärmeprod!$B$1:$AV$1,0),FALSE)),"",VLOOKUP($B90,'Slutlig allokering kvv'!$B$1:$BC$479,MATCH(E$1,'Slutlig allokering kvv'!$B$1:$AU$1,0),FALSE))</f>
        <v/>
      </c>
      <c r="F90" t="str">
        <f>IF(ISERROR(1/VLOOKUP($B90,Kraftvärmeprod!$B$1:$AV$479,MATCH("Producerad elenergi i kraftvärmeverk (GWh)",Kraftvärmeprod!$B$1:$AV$1,0),FALSE)),"",VLOOKUP($B90,Kraftvärmeprod!$B$1:$AV$479,MATCH("Producerad elenergi i kraftvärmeverk (GWh)",Kraftvärmeprod!$B$1:$AV$1,0),FALSE))</f>
        <v/>
      </c>
      <c r="G90" t="str">
        <f>IF(ISERROR(1/VLOOKUP($B90,Miljö!$B$1:$T$480,MATCH("Såld mängd produktionsspecifik fjärrvärme (GWh)",Miljö!$B$1:$T$1,0),FALSE)),"",VLOOKUP($B90,Miljö!$B$1:$T$480,MATCH("Såld mängd produktionsspecifik fjärrvärme (GWh)",Miljö!$B$1:$T$1,0),FALSE))</f>
        <v/>
      </c>
      <c r="J90" t="str">
        <f t="shared" si="1"/>
        <v>Gotlands Energi AB</v>
      </c>
    </row>
    <row r="91" spans="1:10" x14ac:dyDescent="0.45">
      <c r="A91" s="2" t="s">
        <v>571</v>
      </c>
      <c r="B91" s="2" t="s">
        <v>573</v>
      </c>
      <c r="D91" t="str">
        <f>IF(ISERROR(1/VLOOKUP($B91,Kraftvärmeprod!$B$1:$D$479,MATCH("Total värmeproduktion i kraftvärmeverk i kombinerad drift (GWh)",Kraftvärmeprod!$B$1:$AV$1,0),FALSE)),"Ej kraftvärme","Alternativproduktionsmetoden")</f>
        <v>Ej kraftvärme</v>
      </c>
      <c r="E91" t="str">
        <f>IF(ISERROR(1/VLOOKUP($B91,Kraftvärmeprod!$B$1:$BD$479,MATCH("Total värmeproduktion i kraftvärmeverk i kombinerad drift (GWh)",Kraftvärmeprod!$B$1:$AV$1,0),FALSE)),"",VLOOKUP($B91,'Slutlig allokering kvv'!$B$1:$BC$479,MATCH(E$1,'Slutlig allokering kvv'!$B$1:$AU$1,0),FALSE))</f>
        <v/>
      </c>
      <c r="F91" t="str">
        <f>IF(ISERROR(1/VLOOKUP($B91,Kraftvärmeprod!$B$1:$AV$479,MATCH("Producerad elenergi i kraftvärmeverk (GWh)",Kraftvärmeprod!$B$1:$AV$1,0),FALSE)),"",VLOOKUP($B91,Kraftvärmeprod!$B$1:$AV$479,MATCH("Producerad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Gotlands Energi AB</v>
      </c>
    </row>
    <row r="92" spans="1:10" x14ac:dyDescent="0.45">
      <c r="A92" s="2" t="s">
        <v>571</v>
      </c>
      <c r="B92" s="2" t="s">
        <v>572</v>
      </c>
      <c r="D92" t="str">
        <f>IF(ISERROR(1/VLOOKUP($B92,Kraftvärmeprod!$B$1:$D$479,MATCH("Total värmeproduktion i kraftvärmeverk i kombinerad drift (GWh)",Kraftvärmeprod!$B$1:$AV$1,0),FALSE)),"Ej kraftvärme","Alternativproduktionsmetoden")</f>
        <v>Ej kraftvärme</v>
      </c>
      <c r="E92" t="str">
        <f>IF(ISERROR(1/VLOOKUP($B92,Kraftvärmeprod!$B$1:$BD$479,MATCH("Total värmeproduktion i kraftvärmeverk i kombinerad drift (GWh)",Kraftvärmeprod!$B$1:$AV$1,0),FALSE)),"",VLOOKUP($B92,'Slutlig allokering kvv'!$B$1:$BC$479,MATCH(E$1,'Slutlig allokering kvv'!$B$1:$AU$1,0),FALSE))</f>
        <v/>
      </c>
      <c r="F92" t="str">
        <f>IF(ISERROR(1/VLOOKUP($B92,Kraftvärmeprod!$B$1:$AV$479,MATCH("Producerad elenergi i kraftvärmeverk (GWh)",Kraftvärmeprod!$B$1:$AV$1,0),FALSE)),"",VLOOKUP($B92,Kraftvärmeprod!$B$1:$AV$479,MATCH("Producerad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Gotlands Energi AB</v>
      </c>
    </row>
    <row r="93" spans="1:10" x14ac:dyDescent="0.45">
      <c r="A93" s="2" t="s">
        <v>571</v>
      </c>
      <c r="B93" s="2" t="s">
        <v>570</v>
      </c>
      <c r="D93" t="str">
        <f>IF(ISERROR(1/VLOOKUP($B93,Kraftvärmeprod!$B$1:$D$479,MATCH("Total värmeproduktion i kraftvärmeverk i kombinerad drift (GWh)",Kraftvärmeprod!$B$1:$AV$1,0),FALSE)),"Ej kraftvärme","Alternativproduktionsmetoden")</f>
        <v>Ej kraftvärme</v>
      </c>
      <c r="E93" t="str">
        <f>IF(ISERROR(1/VLOOKUP($B93,Kraftvärmeprod!$B$1:$BD$479,MATCH("Total värmeproduktion i kraftvärmeverk i kombinerad drift (GWh)",Kraftvärmeprod!$B$1:$AV$1,0),FALSE)),"",VLOOKUP($B93,'Slutlig allokering kvv'!$B$1:$BC$479,MATCH(E$1,'Slutlig allokering kvv'!$B$1:$AU$1,0),FALSE))</f>
        <v/>
      </c>
      <c r="F93" t="str">
        <f>IF(ISERROR(1/VLOOKUP($B93,Kraftvärmeprod!$B$1:$AV$479,MATCH("Producerad elenergi i kraftvärmeverk (GWh)",Kraftvärmeprod!$B$1:$AV$1,0),FALSE)),"",VLOOKUP($B93,Kraftvärmeprod!$B$1:$AV$479,MATCH("Producerad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Gotlands Energi AB</v>
      </c>
    </row>
    <row r="94" spans="1:10" x14ac:dyDescent="0.45">
      <c r="A94" s="2" t="s">
        <v>568</v>
      </c>
      <c r="B94" s="2" t="s">
        <v>567</v>
      </c>
      <c r="D94" t="str">
        <f>IF(ISERROR(1/VLOOKUP($B94,Kraftvärmeprod!$B$1:$D$479,MATCH("Total värmeproduktion i kraftvärmeverk i kombinerad drift (GWh)",Kraftvärmeprod!$B$1:$AV$1,0),FALSE)),"Ej kraftvärme","Alternativproduktionsmetoden")</f>
        <v>Alternativproduktionsmetoden</v>
      </c>
      <c r="E94">
        <f>IF(ISERROR(1/VLOOKUP($B94,Kraftvärmeprod!$B$1:$BD$479,MATCH("Total värmeproduktion i kraftvärmeverk i kombinerad drift (GWh)",Kraftvärmeprod!$B$1:$AV$1,0),FALSE)),"",VLOOKUP($B94,'Slutlig allokering kvv'!$B$1:$BC$479,MATCH(E$1,'Slutlig allokering kvv'!$B$1:$AU$1,0),FALSE))</f>
        <v>0.67566584967320265</v>
      </c>
      <c r="F94">
        <f>IF(ISERROR(1/VLOOKUP($B94,Kraftvärmeprod!$B$1:$AV$479,MATCH("Producerad elenergi i kraftvärmeverk (GWh)",Kraftvärmeprod!$B$1:$AV$1,0),FALSE)),"",VLOOKUP($B94,Kraftvärmeprod!$B$1:$AV$479,MATCH("Producerad elenergi i kraftvärmeverk (GWh)",Kraftvärmeprod!$B$1:$AV$1,0),FALSE))</f>
        <v>32.799999999999997</v>
      </c>
      <c r="G94">
        <f>IF(ISERROR(1/VLOOKUP($B94,Miljö!$B$1:$T$480,MATCH("Såld mängd produktionsspecifik fjärrvärme (GWh)",Miljö!$B$1:$T$1,0),FALSE)),"",VLOOKUP($B94,Miljö!$B$1:$T$480,MATCH("Såld mängd produktionsspecifik fjärrvärme (GWh)",Miljö!$B$1:$T$1,0),FALSE))</f>
        <v>2.391</v>
      </c>
      <c r="J94" t="str">
        <f t="shared" si="1"/>
        <v>Gällivare Energi AB</v>
      </c>
    </row>
    <row r="95" spans="1:10" x14ac:dyDescent="0.45">
      <c r="A95" s="2" t="s">
        <v>566</v>
      </c>
      <c r="B95" s="2" t="s">
        <v>565</v>
      </c>
      <c r="D95" t="str">
        <f>IF(ISERROR(1/VLOOKUP($B95,Kraftvärmeprod!$B$1:$D$479,MATCH("Total värmeproduktion i kraftvärmeverk i kombinerad drift (GWh)",Kraftvärmeprod!$B$1:$AV$1,0),FALSE)),"Ej kraftvärme","Alternativproduktionsmetoden")</f>
        <v>Alternativproduktionsmetoden</v>
      </c>
      <c r="E95">
        <f>IF(ISERROR(1/VLOOKUP($B95,Kraftvärmeprod!$B$1:$BD$479,MATCH("Total värmeproduktion i kraftvärmeverk i kombinerad drift (GWh)",Kraftvärmeprod!$B$1:$AV$1,0),FALSE)),"",VLOOKUP($B95,'Slutlig allokering kvv'!$B$1:$BC$479,MATCH(E$1,'Slutlig allokering kvv'!$B$1:$AU$1,0),FALSE))</f>
        <v>0.52753536168251514</v>
      </c>
      <c r="F95">
        <f>IF(ISERROR(1/VLOOKUP($B95,Kraftvärmeprod!$B$1:$AV$479,MATCH("Producerad elenergi i kraftvärmeverk (GWh)",Kraftvärmeprod!$B$1:$AV$1,0),FALSE)),"",VLOOKUP($B95,Kraftvärmeprod!$B$1:$AV$479,MATCH("Producerad elenergi i kraftvärmeverk (GWh)",Kraftvärmeprod!$B$1:$AV$1,0),FALSE))</f>
        <v>73.155000000000001</v>
      </c>
      <c r="G95" t="str">
        <f>IF(ISERROR(1/VLOOKUP($B95,Miljö!$B$1:$T$480,MATCH("Såld mängd produktionsspecifik fjärrvärme (GWh)",Miljö!$B$1:$T$1,0),FALSE)),"",VLOOKUP($B95,Miljö!$B$1:$T$480,MATCH("Såld mängd produktionsspecifik fjärrvärme (GWh)",Miljö!$B$1:$T$1,0),FALSE))</f>
        <v/>
      </c>
      <c r="J95" t="str">
        <f t="shared" si="1"/>
        <v>Gävle Energi AB</v>
      </c>
    </row>
    <row r="96" spans="1:10" x14ac:dyDescent="0.45">
      <c r="A96" s="2" t="s">
        <v>560</v>
      </c>
      <c r="B96" s="2" t="s">
        <v>564</v>
      </c>
      <c r="C96" s="341"/>
      <c r="D96" t="str">
        <f>IF(ISERROR(1/VLOOKUP($B96,Kraftvärmeprod!$B$1:$D$479,MATCH("Total värmeproduktion i kraftvärmeverk i kombinerad drift (GWh)",Kraftvärmeprod!$B$1:$AV$1,0),FALSE)),"Ej kraftvärme","Alternativproduktionsmetoden")</f>
        <v>Ej kraftvärme</v>
      </c>
      <c r="E96" t="str">
        <f>IF(ISERROR(1/VLOOKUP($B96,Kraftvärmeprod!$B$1:$BD$479,MATCH("Total värmeproduktion i kraftvärmeverk i kombinerad drift (GWh)",Kraftvärmeprod!$B$1:$AV$1,0),FALSE)),"",VLOOKUP($B96,'Slutlig allokering kvv'!$B$1:$BC$479,MATCH(E$1,'Slutlig allokering kvv'!$B$1:$AU$1,0),FALSE))</f>
        <v/>
      </c>
      <c r="F96" t="str">
        <f>IF(ISERROR(1/VLOOKUP($B96,Kraftvärmeprod!$B$1:$AV$479,MATCH("Producerad elenergi i kraftvärmeverk (GWh)",Kraftvärmeprod!$B$1:$AV$1,0),FALSE)),"",VLOOKUP($B96,Kraftvärmeprod!$B$1:$AV$479,MATCH("Producerad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Göteborg Energi AB</v>
      </c>
    </row>
    <row r="97" spans="1:10" x14ac:dyDescent="0.45">
      <c r="A97" s="2" t="s">
        <v>560</v>
      </c>
      <c r="B97" s="2" t="s">
        <v>563</v>
      </c>
      <c r="C97" s="346" t="s">
        <v>1574</v>
      </c>
      <c r="D97" t="str">
        <f>IF(ISERROR(1/VLOOKUP($B97,Kraftvärmeprod!$B$1:$D$479,MATCH("Total värmeproduktion i kraftvärmeverk i kombinerad drift (GWh)",Kraftvärmeprod!$B$1:$AV$1,0),FALSE)),"Ej kraftvärme","Alternativproduktionsmetoden")</f>
        <v>Alternativproduktionsmetoden</v>
      </c>
      <c r="E97">
        <f>IF(ISERROR(1/VLOOKUP($B97,Kraftvärmeprod!$B$1:$BD$479,MATCH("Total värmeproduktion i kraftvärmeverk i kombinerad drift (GWh)",Kraftvärmeprod!$B$1:$AV$1,0),FALSE)),"",VLOOKUP($B97,'Slutlig allokering kvv'!$B$1:$BC$479,MATCH(E$1,'Slutlig allokering kvv'!$B$1:$AU$1,0),FALSE))</f>
        <v>0.47735200716554027</v>
      </c>
      <c r="F97">
        <f>IF(ISERROR(1/VLOOKUP($B97,Kraftvärmeprod!$B$1:$AV$479,MATCH("Producerad elenergi i kraftvärmeverk (GWh)",Kraftvärmeprod!$B$1:$AV$1,0),FALSE)),"",VLOOKUP($B97,Kraftvärmeprod!$B$1:$AV$479,MATCH("Producerad elenergi i kraftvärmeverk (GWh)",Kraftvärmeprod!$B$1:$AV$1,0),FALSE))</f>
        <v>430.16199999999998</v>
      </c>
      <c r="G97">
        <f>IF(ISERROR(1/VLOOKUP($B97,Miljö!$B$1:$T$480,MATCH("Såld mängd produktionsspecifik fjärrvärme (GWh)",Miljö!$B$1:$T$1,0),FALSE)),"",VLOOKUP($B97,Miljö!$B$1:$T$480,MATCH("Såld mängd produktionsspecifik fjärrvärme (GWh)",Miljö!$B$1:$T$1,0),FALSE))</f>
        <v>114.73</v>
      </c>
      <c r="J97" t="str">
        <f t="shared" si="1"/>
        <v>Göteborg Energi AB</v>
      </c>
    </row>
    <row r="98" spans="1:10" x14ac:dyDescent="0.45">
      <c r="A98" s="2" t="s">
        <v>560</v>
      </c>
      <c r="B98" s="2" t="s">
        <v>562</v>
      </c>
      <c r="C98" s="346" t="s">
        <v>1574</v>
      </c>
      <c r="D98" t="str">
        <f>IF(ISERROR(1/VLOOKUP($B98,Kraftvärmeprod!$B$1:$D$479,MATCH("Total värmeproduktion i kraftvärmeverk i kombinerad drift (GWh)",Kraftvärmeprod!$B$1:$AV$1,0),FALSE)),"Ej kraftvärme","Alternativproduktionsmetoden")</f>
        <v>Alternativproduktionsmetoden</v>
      </c>
      <c r="E98">
        <f>IF(ISERROR(1/VLOOKUP($B98,Kraftvärmeprod!$B$1:$BD$479,MATCH("Total värmeproduktion i kraftvärmeverk i kombinerad drift (GWh)",Kraftvärmeprod!$B$1:$AV$1,0),FALSE)),"",VLOOKUP($B98,'Slutlig allokering kvv'!$B$1:$BC$479,MATCH(E$1,'Slutlig allokering kvv'!$B$1:$AU$1,0),FALSE))</f>
        <v>0.75215514825402174</v>
      </c>
      <c r="F98">
        <f>IF(ISERROR(1/VLOOKUP($B98,Kraftvärmeprod!$B$1:$AV$479,MATCH("Producerad elenergi i kraftvärmeverk (GWh)",Kraftvärmeprod!$B$1:$AV$1,0),FALSE)),"",VLOOKUP($B98,Kraftvärmeprod!$B$1:$AV$479,MATCH("Producerad elenergi i kraftvärmeverk (GWh)",Kraftvärmeprod!$B$1:$AV$1,0),FALSE))</f>
        <v>17.5</v>
      </c>
      <c r="G98" t="str">
        <f>IF(ISERROR(1/VLOOKUP($B98,Miljö!$B$1:$T$480,MATCH("Såld mängd produktionsspecifik fjärrvärme (GWh)",Miljö!$B$1:$T$1,0),FALSE)),"",VLOOKUP($B98,Miljö!$B$1:$T$480,MATCH("Såld mängd produktionsspecifik fjärrvärme (GWh)",Miljö!$B$1:$T$1,0),FALSE))</f>
        <v/>
      </c>
      <c r="J98" t="str">
        <f t="shared" si="1"/>
        <v>Göteborg Energi AB</v>
      </c>
    </row>
    <row r="99" spans="1:10" x14ac:dyDescent="0.45">
      <c r="A99" s="2" t="s">
        <v>560</v>
      </c>
      <c r="B99" s="2" t="s">
        <v>560</v>
      </c>
      <c r="D99" t="str">
        <f>IF(ISERROR(1/VLOOKUP($B99,Kraftvärmeprod!$B$1:$D$479,MATCH("Total värmeproduktion i kraftvärmeverk i kombinerad drift (GWh)",Kraftvärmeprod!$B$1:$AV$1,0),FALSE)),"Ej kraftvärme","Alternativproduktionsmetoden")</f>
        <v>Ej kraftvärme</v>
      </c>
      <c r="E99" t="str">
        <f>IF(ISERROR(1/VLOOKUP($B99,Kraftvärmeprod!$B$1:$BD$479,MATCH("Total värmeproduktion i kraftvärmeverk i kombinerad drift (GWh)",Kraftvärmeprod!$B$1:$AV$1,0),FALSE)),"",VLOOKUP($B99,'Slutlig allokering kvv'!$B$1:$BC$479,MATCH(E$1,'Slutlig allokering kvv'!$B$1:$AU$1,0),FALSE))</f>
        <v/>
      </c>
      <c r="F99" t="str">
        <f>IF(ISERROR(1/VLOOKUP($B99,Kraftvärmeprod!$B$1:$AV$479,MATCH("Producerad elenergi i kraftvärmeverk (GWh)",Kraftvärmeprod!$B$1:$AV$1,0),FALSE)),"",VLOOKUP($B99,Kraftvärmeprod!$B$1:$AV$479,MATCH("Producerad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Göteborg Energi AB</v>
      </c>
    </row>
    <row r="100" spans="1:10" x14ac:dyDescent="0.45">
      <c r="A100" s="2" t="s">
        <v>560</v>
      </c>
      <c r="B100" s="2" t="s">
        <v>561</v>
      </c>
      <c r="D100" t="str">
        <f>IF(ISERROR(1/VLOOKUP($B100,Kraftvärmeprod!$B$1:$D$479,MATCH("Total värmeproduktion i kraftvärmeverk i kombinerad drift (GWh)",Kraftvärmeprod!$B$1:$AV$1,0),FALSE)),"Ej kraftvärme","Alternativproduktionsmetoden")</f>
        <v>Ej kraftvärme</v>
      </c>
      <c r="E100" t="str">
        <f>IF(ISERROR(1/VLOOKUP($B100,Kraftvärmeprod!$B$1:$BD$479,MATCH("Total värmeproduktion i kraftvärmeverk i kombinerad drift (GWh)",Kraftvärmeprod!$B$1:$AV$1,0),FALSE)),"",VLOOKUP($B100,'Slutlig allokering kvv'!$B$1:$BC$479,MATCH(E$1,'Slutlig allokering kvv'!$B$1:$AU$1,0),FALSE))</f>
        <v/>
      </c>
      <c r="F100" t="str">
        <f>IF(ISERROR(1/VLOOKUP($B100,Kraftvärmeprod!$B$1:$AV$479,MATCH("Producerad elenergi i kraftvärmeverk (GWh)",Kraftvärmeprod!$B$1:$AV$1,0),FALSE)),"",VLOOKUP($B100,Kraftvärmeprod!$B$1:$AV$479,MATCH("Producerad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Göteborg Energi AB</v>
      </c>
    </row>
    <row r="101" spans="1:10" x14ac:dyDescent="0.45">
      <c r="A101" s="2" t="s">
        <v>560</v>
      </c>
      <c r="B101" s="2" t="s">
        <v>559</v>
      </c>
      <c r="D101" t="str">
        <f>IF(ISERROR(1/VLOOKUP($B101,Kraftvärmeprod!$B$1:$D$479,MATCH("Total värmeproduktion i kraftvärmeverk i kombinerad drift (GWh)",Kraftvärmeprod!$B$1:$AV$1,0),FALSE)),"Ej kraftvärme","Alternativproduktionsmetoden")</f>
        <v>Ej kraftvärme</v>
      </c>
      <c r="E101" t="str">
        <f>IF(ISERROR(1/VLOOKUP($B101,Kraftvärmeprod!$B$1:$BD$479,MATCH("Total värmeproduktion i kraftvärmeverk i kombinerad drift (GWh)",Kraftvärmeprod!$B$1:$AV$1,0),FALSE)),"",VLOOKUP($B101,'Slutlig allokering kvv'!$B$1:$BC$479,MATCH(E$1,'Slutlig allokering kvv'!$B$1:$AU$1,0),FALSE))</f>
        <v/>
      </c>
      <c r="F101" t="str">
        <f>IF(ISERROR(1/VLOOKUP($B101,Kraftvärmeprod!$B$1:$AV$479,MATCH("Producerad elenergi i kraftvärmeverk (GWh)",Kraftvärmeprod!$B$1:$AV$1,0),FALSE)),"",VLOOKUP($B101,Kraftvärmeprod!$B$1:$AV$479,MATCH("Producerad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Göteborg Energi AB</v>
      </c>
    </row>
    <row r="102" spans="1:10" x14ac:dyDescent="0.45">
      <c r="A102" s="2" t="s">
        <v>556</v>
      </c>
      <c r="B102" s="2" t="s">
        <v>558</v>
      </c>
      <c r="D102" t="str">
        <f>IF(ISERROR(1/VLOOKUP($B102,Kraftvärmeprod!$B$1:$D$479,MATCH("Total värmeproduktion i kraftvärmeverk i kombinerad drift (GWh)",Kraftvärmeprod!$B$1:$AV$1,0),FALSE)),"Ej kraftvärme","Alternativproduktionsmetoden")</f>
        <v>Ej kraftvärme</v>
      </c>
      <c r="E102" t="str">
        <f>IF(ISERROR(1/VLOOKUP($B102,Kraftvärmeprod!$B$1:$BD$479,MATCH("Total värmeproduktion i kraftvärmeverk i kombinerad drift (GWh)",Kraftvärmeprod!$B$1:$AV$1,0),FALSE)),"",VLOOKUP($B102,'Slutlig allokering kvv'!$B$1:$BC$479,MATCH(E$1,'Slutlig allokering kvv'!$B$1:$AU$1,0),FALSE))</f>
        <v/>
      </c>
      <c r="F102" t="str">
        <f>IF(ISERROR(1/VLOOKUP($B102,Kraftvärmeprod!$B$1:$AV$479,MATCH("Producerad elenergi i kraftvärmeverk (GWh)",Kraftvärmeprod!$B$1:$AV$1,0),FALSE)),"",VLOOKUP($B102,Kraftvärmeprod!$B$1:$AV$479,MATCH("Producerad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Götene Vatten &amp; Värme AB</v>
      </c>
    </row>
    <row r="103" spans="1:10" x14ac:dyDescent="0.45">
      <c r="A103" s="2" t="s">
        <v>556</v>
      </c>
      <c r="B103" s="2" t="s">
        <v>555</v>
      </c>
      <c r="D103" t="str">
        <f>IF(ISERROR(1/VLOOKUP($B103,Kraftvärmeprod!$B$1:$D$479,MATCH("Total värmeproduktion i kraftvärmeverk i kombinerad drift (GWh)",Kraftvärmeprod!$B$1:$AV$1,0),FALSE)),"Ej kraftvärme","Alternativproduktionsmetoden")</f>
        <v>Ej kraftvärme</v>
      </c>
      <c r="E103" t="str">
        <f>IF(ISERROR(1/VLOOKUP($B103,Kraftvärmeprod!$B$1:$BD$479,MATCH("Total värmeproduktion i kraftvärmeverk i kombinerad drift (GWh)",Kraftvärmeprod!$B$1:$AV$1,0),FALSE)),"",VLOOKUP($B103,'Slutlig allokering kvv'!$B$1:$BC$479,MATCH(E$1,'Slutlig allokering kvv'!$B$1:$AU$1,0),FALSE))</f>
        <v/>
      </c>
      <c r="F103" t="str">
        <f>IF(ISERROR(1/VLOOKUP($B103,Kraftvärmeprod!$B$1:$AV$479,MATCH("Producerad elenergi i kraftvärmeverk (GWh)",Kraftvärmeprod!$B$1:$AV$1,0),FALSE)),"",VLOOKUP($B103,Kraftvärmeprod!$B$1:$AV$479,MATCH("Producerad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Götene Vatten &amp; Värme AB</v>
      </c>
    </row>
    <row r="104" spans="1:10" x14ac:dyDescent="0.45">
      <c r="A104" s="2" t="s">
        <v>554</v>
      </c>
      <c r="B104" s="2" t="s">
        <v>553</v>
      </c>
      <c r="D104" t="str">
        <f>IF(ISERROR(1/VLOOKUP($B104,Kraftvärmeprod!$B$1:$D$479,MATCH("Total värmeproduktion i kraftvärmeverk i kombinerad drift (GWh)",Kraftvärmeprod!$B$1:$AV$1,0),FALSE)),"Ej kraftvärme","Alternativproduktionsmetoden")</f>
        <v>Ej kraftvärme</v>
      </c>
      <c r="E104" t="str">
        <f>IF(ISERROR(1/VLOOKUP($B104,Kraftvärmeprod!$B$1:$BD$479,MATCH("Total värmeproduktion i kraftvärmeverk i kombinerad drift (GWh)",Kraftvärmeprod!$B$1:$AV$1,0),FALSE)),"",VLOOKUP($B104,'Slutlig allokering kvv'!$B$1:$BC$479,MATCH(E$1,'Slutlig allokering kvv'!$B$1:$AU$1,0),FALSE))</f>
        <v/>
      </c>
      <c r="F104" t="str">
        <f>IF(ISERROR(1/VLOOKUP($B104,Kraftvärmeprod!$B$1:$AV$479,MATCH("Producerad elenergi i kraftvärmeverk (GWh)",Kraftvärmeprod!$B$1:$AV$1,0),FALSE)),"",VLOOKUP($B104,Kraftvärmeprod!$B$1:$AV$479,MATCH("Producerad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Habo Energi AB</v>
      </c>
    </row>
    <row r="105" spans="1:10" x14ac:dyDescent="0.45">
      <c r="A105" s="2" t="s">
        <v>550</v>
      </c>
      <c r="B105" s="2" t="s">
        <v>552</v>
      </c>
      <c r="D105" t="str">
        <f>IF(ISERROR(1/VLOOKUP($B105,Kraftvärmeprod!$B$1:$D$479,MATCH("Total värmeproduktion i kraftvärmeverk i kombinerad drift (GWh)",Kraftvärmeprod!$B$1:$AV$1,0),FALSE)),"Ej kraftvärme","Alternativproduktionsmetoden")</f>
        <v>Ej kraftvärme</v>
      </c>
      <c r="E105" t="str">
        <f>IF(ISERROR(1/VLOOKUP($B105,Kraftvärmeprod!$B$1:$BD$479,MATCH("Total värmeproduktion i kraftvärmeverk i kombinerad drift (GWh)",Kraftvärmeprod!$B$1:$AV$1,0),FALSE)),"",VLOOKUP($B105,'Slutlig allokering kvv'!$B$1:$BC$479,MATCH(E$1,'Slutlig allokering kvv'!$B$1:$AU$1,0),FALSE))</f>
        <v/>
      </c>
      <c r="F105" t="str">
        <f>IF(ISERROR(1/VLOOKUP($B105,Kraftvärmeprod!$B$1:$AV$479,MATCH("Producerad elenergi i kraftvärmeverk (GWh)",Kraftvärmeprod!$B$1:$AV$1,0),FALSE)),"",VLOOKUP($B105,Kraftvärmeprod!$B$1:$AV$479,MATCH("Producerad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Hagfors Energi</v>
      </c>
    </row>
    <row r="106" spans="1:10" x14ac:dyDescent="0.45">
      <c r="A106" s="2" t="s">
        <v>550</v>
      </c>
      <c r="B106" s="2" t="s">
        <v>551</v>
      </c>
      <c r="D106" t="str">
        <f>IF(ISERROR(1/VLOOKUP($B106,Kraftvärmeprod!$B$1:$D$479,MATCH("Total värmeproduktion i kraftvärmeverk i kombinerad drift (GWh)",Kraftvärmeprod!$B$1:$AV$1,0),FALSE)),"Ej kraftvärme","Alternativproduktionsmetoden")</f>
        <v>Ej kraftvärme</v>
      </c>
      <c r="E106" t="str">
        <f>IF(ISERROR(1/VLOOKUP($B106,Kraftvärmeprod!$B$1:$BD$479,MATCH("Total värmeproduktion i kraftvärmeverk i kombinerad drift (GWh)",Kraftvärmeprod!$B$1:$AV$1,0),FALSE)),"",VLOOKUP($B106,'Slutlig allokering kvv'!$B$1:$BC$479,MATCH(E$1,'Slutlig allokering kvv'!$B$1:$AU$1,0),FALSE))</f>
        <v/>
      </c>
      <c r="F106" t="str">
        <f>IF(ISERROR(1/VLOOKUP($B106,Kraftvärmeprod!$B$1:$AV$479,MATCH("Producerad elenergi i kraftvärmeverk (GWh)",Kraftvärmeprod!$B$1:$AV$1,0),FALSE)),"",VLOOKUP($B106,Kraftvärmeprod!$B$1:$AV$479,MATCH("Producerad elenergi i kraftvärmeverk (GWh)",Kraftvärmeprod!$B$1:$AV$1,0),FALSE))</f>
        <v/>
      </c>
      <c r="G106" t="str">
        <f>IF(ISERROR(1/VLOOKUP($B106,Miljö!$B$1:$T$480,MATCH("Såld mängd produktionsspecifik fjärrvärme (GWh)",Miljö!$B$1:$T$1,0),FALSE)),"",VLOOKUP($B106,Miljö!$B$1:$T$480,MATCH("Såld mängd produktionsspecifik fjärrvärme (GWh)",Miljö!$B$1:$T$1,0),FALSE))</f>
        <v/>
      </c>
      <c r="J106" t="str">
        <f t="shared" si="1"/>
        <v>Hagfors Energi</v>
      </c>
    </row>
    <row r="107" spans="1:10" x14ac:dyDescent="0.45">
      <c r="A107" s="2" t="s">
        <v>550</v>
      </c>
      <c r="B107" s="2" t="s">
        <v>549</v>
      </c>
      <c r="D107" t="str">
        <f>IF(ISERROR(1/VLOOKUP($B107,Kraftvärmeprod!$B$1:$D$479,MATCH("Total värmeproduktion i kraftvärmeverk i kombinerad drift (GWh)",Kraftvärmeprod!$B$1:$AV$1,0),FALSE)),"Ej kraftvärme","Alternativproduktionsmetoden")</f>
        <v>Ej kraftvärme</v>
      </c>
      <c r="E107" t="str">
        <f>IF(ISERROR(1/VLOOKUP($B107,Kraftvärmeprod!$B$1:$BD$479,MATCH("Total värmeproduktion i kraftvärmeverk i kombinerad drift (GWh)",Kraftvärmeprod!$B$1:$AV$1,0),FALSE)),"",VLOOKUP($B107,'Slutlig allokering kvv'!$B$1:$BC$479,MATCH(E$1,'Slutlig allokering kvv'!$B$1:$AU$1,0),FALSE))</f>
        <v/>
      </c>
      <c r="F107" t="str">
        <f>IF(ISERROR(1/VLOOKUP($B107,Kraftvärmeprod!$B$1:$AV$479,MATCH("Producerad elenergi i kraftvärmeverk (GWh)",Kraftvärmeprod!$B$1:$AV$1,0),FALSE)),"",VLOOKUP($B107,Kraftvärmeprod!$B$1:$AV$479,MATCH("Producerad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Hagfors Energi</v>
      </c>
    </row>
    <row r="108" spans="1:10" x14ac:dyDescent="0.45">
      <c r="A108" s="2" t="s">
        <v>548</v>
      </c>
      <c r="B108" s="2" t="s">
        <v>547</v>
      </c>
      <c r="D108" t="str">
        <f>IF(ISERROR(1/VLOOKUP($B108,Kraftvärmeprod!$B$1:$D$479,MATCH("Total värmeproduktion i kraftvärmeverk i kombinerad drift (GWh)",Kraftvärmeprod!$B$1:$AV$1,0),FALSE)),"Ej kraftvärme","Alternativproduktionsmetoden")</f>
        <v>Alternativproduktionsmetoden</v>
      </c>
      <c r="E108">
        <f>IF(ISERROR(1/VLOOKUP($B108,Kraftvärmeprod!$B$1:$BD$479,MATCH("Total värmeproduktion i kraftvärmeverk i kombinerad drift (GWh)",Kraftvärmeprod!$B$1:$AV$1,0),FALSE)),"",VLOOKUP($B108,'Slutlig allokering kvv'!$B$1:$BC$479,MATCH(E$1,'Slutlig allokering kvv'!$B$1:$AU$1,0),FALSE))</f>
        <v>0.57261423281351509</v>
      </c>
      <c r="F108">
        <f>IF(ISERROR(1/VLOOKUP($B108,Kraftvärmeprod!$B$1:$AV$479,MATCH("Producerad elenergi i kraftvärmeverk (GWh)",Kraftvärmeprod!$B$1:$AV$1,0),FALSE)),"",VLOOKUP($B108,Kraftvärmeprod!$B$1:$AV$479,MATCH("Producerad elenergi i kraftvärmeverk (GWh)",Kraftvärmeprod!$B$1:$AV$1,0),FALSE))</f>
        <v>75.099999999999994</v>
      </c>
      <c r="G108">
        <f>IF(ISERROR(1/VLOOKUP($B108,Miljö!$B$1:$T$480,MATCH("Såld mängd produktionsspecifik fjärrvärme (GWh)",Miljö!$B$1:$T$1,0),FALSE)),"",VLOOKUP($B108,Miljö!$B$1:$T$480,MATCH("Såld mängd produktionsspecifik fjärrvärme (GWh)",Miljö!$B$1:$T$1,0),FALSE))</f>
        <v>3.7</v>
      </c>
      <c r="J108" t="str">
        <f t="shared" si="1"/>
        <v>Halmstads Energi och Miljö AB</v>
      </c>
    </row>
    <row r="109" spans="1:10" x14ac:dyDescent="0.45">
      <c r="A109" s="2" t="s">
        <v>546</v>
      </c>
      <c r="B109" s="2" t="s">
        <v>545</v>
      </c>
      <c r="D109" t="str">
        <f>IF(ISERROR(1/VLOOKUP($B109,Kraftvärmeprod!$B$1:$D$479,MATCH("Total värmeproduktion i kraftvärmeverk i kombinerad drift (GWh)",Kraftvärmeprod!$B$1:$AV$1,0),FALSE)),"Ej kraftvärme","Alternativproduktionsmetoden")</f>
        <v>Ej kraftvärme</v>
      </c>
      <c r="E109" t="str">
        <f>IF(ISERROR(1/VLOOKUP($B109,Kraftvärmeprod!$B$1:$BD$479,MATCH("Total värmeproduktion i kraftvärmeverk i kombinerad drift (GWh)",Kraftvärmeprod!$B$1:$AV$1,0),FALSE)),"",VLOOKUP($B109,'Slutlig allokering kvv'!$B$1:$BC$479,MATCH(E$1,'Slutlig allokering kvv'!$B$1:$AU$1,0),FALSE))</f>
        <v/>
      </c>
      <c r="F109" t="str">
        <f>IF(ISERROR(1/VLOOKUP($B109,Kraftvärmeprod!$B$1:$AV$479,MATCH("Producerad elenergi i kraftvärmeverk (GWh)",Kraftvärmeprod!$B$1:$AV$1,0),FALSE)),"",VLOOKUP($B109,Kraftvärmeprod!$B$1:$AV$479,MATCH("Producerad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Hammarö Energi AB</v>
      </c>
    </row>
    <row r="110" spans="1:10" x14ac:dyDescent="0.45">
      <c r="A110" s="2" t="s">
        <v>543</v>
      </c>
      <c r="B110" s="2" t="s">
        <v>544</v>
      </c>
      <c r="D110" t="str">
        <f>IF(ISERROR(1/VLOOKUP($B110,Kraftvärmeprod!$B$1:$D$479,MATCH("Total värmeproduktion i kraftvärmeverk i kombinerad drift (GWh)",Kraftvärmeprod!$B$1:$AV$1,0),FALSE)),"Ej kraftvärme","Alternativproduktionsmetoden")</f>
        <v>Ej kraftvärme</v>
      </c>
      <c r="E110" t="str">
        <f>IF(ISERROR(1/VLOOKUP($B110,Kraftvärmeprod!$B$1:$BD$479,MATCH("Total värmeproduktion i kraftvärmeverk i kombinerad drift (GWh)",Kraftvärmeprod!$B$1:$AV$1,0),FALSE)),"",VLOOKUP($B110,'Slutlig allokering kvv'!$B$1:$BC$479,MATCH(E$1,'Slutlig allokering kvv'!$B$1:$AU$1,0),FALSE))</f>
        <v/>
      </c>
      <c r="F110" t="str">
        <f>IF(ISERROR(1/VLOOKUP($B110,Kraftvärmeprod!$B$1:$AV$479,MATCH("Producerad elenergi i kraftvärmeverk (GWh)",Kraftvärmeprod!$B$1:$AV$1,0),FALSE)),"",VLOOKUP($B110,Kraftvärmeprod!$B$1:$AV$479,MATCH("Producerad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Haparanda Värmeverk AB</v>
      </c>
    </row>
    <row r="111" spans="1:10" x14ac:dyDescent="0.45">
      <c r="A111" s="2" t="s">
        <v>543</v>
      </c>
      <c r="B111" s="2" t="s">
        <v>542</v>
      </c>
      <c r="D111" t="str">
        <f>IF(ISERROR(1/VLOOKUP($B111,Kraftvärmeprod!$B$1:$D$479,MATCH("Total värmeproduktion i kraftvärmeverk i kombinerad drift (GWh)",Kraftvärmeprod!$B$1:$AV$1,0),FALSE)),"Ej kraftvärme","Alternativproduktionsmetoden")</f>
        <v>Ej kraftvärme</v>
      </c>
      <c r="E111" t="str">
        <f>IF(ISERROR(1/VLOOKUP($B111,Kraftvärmeprod!$B$1:$BD$479,MATCH("Total värmeproduktion i kraftvärmeverk i kombinerad drift (GWh)",Kraftvärmeprod!$B$1:$AV$1,0),FALSE)),"",VLOOKUP($B111,'Slutlig allokering kvv'!$B$1:$BC$479,MATCH(E$1,'Slutlig allokering kvv'!$B$1:$AU$1,0),FALSE))</f>
        <v/>
      </c>
      <c r="F111" t="str">
        <f>IF(ISERROR(1/VLOOKUP($B111,Kraftvärmeprod!$B$1:$AV$479,MATCH("Producerad elenergi i kraftvärmeverk (GWh)",Kraftvärmeprod!$B$1:$AV$1,0),FALSE)),"",VLOOKUP($B111,Kraftvärmeprod!$B$1:$AV$479,MATCH("Producerad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Haparanda Värmeverk AB</v>
      </c>
    </row>
    <row r="112" spans="1:10" x14ac:dyDescent="0.45">
      <c r="A112" s="2" t="s">
        <v>538</v>
      </c>
      <c r="B112" s="2" t="s">
        <v>541</v>
      </c>
      <c r="D112" t="str">
        <f>IF(ISERROR(1/VLOOKUP($B112,Kraftvärmeprod!$B$1:$D$479,MATCH("Total värmeproduktion i kraftvärmeverk i kombinerad drift (GWh)",Kraftvärmeprod!$B$1:$AV$1,0),FALSE)),"Ej kraftvärme","Alternativproduktionsmetoden")</f>
        <v>Alternativproduktionsmetoden</v>
      </c>
      <c r="E112">
        <f>IF(ISERROR(1/VLOOKUP($B112,Kraftvärmeprod!$B$1:$BD$479,MATCH("Total värmeproduktion i kraftvärmeverk i kombinerad drift (GWh)",Kraftvärmeprod!$B$1:$AV$1,0),FALSE)),"",VLOOKUP($B112,'Slutlig allokering kvv'!$B$1:$BC$479,MATCH(E$1,'Slutlig allokering kvv'!$B$1:$AU$1,0),FALSE))</f>
        <v>0.68984186046511631</v>
      </c>
      <c r="F112">
        <f>IF(ISERROR(1/VLOOKUP($B112,Kraftvärmeprod!$B$1:$AV$479,MATCH("Producerad elenergi i kraftvärmeverk (GWh)",Kraftvärmeprod!$B$1:$AV$1,0),FALSE)),"",VLOOKUP($B112,Kraftvärmeprod!$B$1:$AV$479,MATCH("Producerad elenergi i kraftvärmeverk (GWh)",Kraftvärmeprod!$B$1:$AV$1,0),FALSE))</f>
        <v>5.4</v>
      </c>
      <c r="G112" t="str">
        <f>IF(ISERROR(1/VLOOKUP($B112,Miljö!$B$1:$T$480,MATCH("Såld mängd produktionsspecifik fjärrvärme (GWh)",Miljö!$B$1:$T$1,0),FALSE)),"",VLOOKUP($B112,Miljö!$B$1:$T$480,MATCH("Såld mängd produktionsspecifik fjärrvärme (GWh)",Miljö!$B$1:$T$1,0),FALSE))</f>
        <v/>
      </c>
      <c r="J112" t="str">
        <f t="shared" si="1"/>
        <v>Hedemora Energi AB</v>
      </c>
    </row>
    <row r="113" spans="1:10" x14ac:dyDescent="0.45">
      <c r="A113" s="2" t="s">
        <v>538</v>
      </c>
      <c r="B113" s="2" t="s">
        <v>540</v>
      </c>
      <c r="D113" t="str">
        <f>IF(ISERROR(1/VLOOKUP($B113,Kraftvärmeprod!$B$1:$D$479,MATCH("Total värmeproduktion i kraftvärmeverk i kombinerad drift (GWh)",Kraftvärmeprod!$B$1:$AV$1,0),FALSE)),"Ej kraftvärme","Alternativproduktionsmetoden")</f>
        <v>Ej kraftvärme</v>
      </c>
      <c r="E113" t="str">
        <f>IF(ISERROR(1/VLOOKUP($B113,Kraftvärmeprod!$B$1:$BD$479,MATCH("Total värmeproduktion i kraftvärmeverk i kombinerad drift (GWh)",Kraftvärmeprod!$B$1:$AV$1,0),FALSE)),"",VLOOKUP($B113,'Slutlig allokering kvv'!$B$1:$BC$479,MATCH(E$1,'Slutlig allokering kvv'!$B$1:$AU$1,0),FALSE))</f>
        <v/>
      </c>
      <c r="F113" t="str">
        <f>IF(ISERROR(1/VLOOKUP($B113,Kraftvärmeprod!$B$1:$AV$479,MATCH("Producerad elenergi i kraftvärmeverk (GWh)",Kraftvärmeprod!$B$1:$AV$1,0),FALSE)),"",VLOOKUP($B113,Kraftvärmeprod!$B$1:$AV$479,MATCH("Producerad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Hedemora Energi AB</v>
      </c>
    </row>
    <row r="114" spans="1:10" x14ac:dyDescent="0.45">
      <c r="A114" s="2" t="s">
        <v>538</v>
      </c>
      <c r="B114" s="2" t="s">
        <v>539</v>
      </c>
      <c r="D114" t="str">
        <f>IF(ISERROR(1/VLOOKUP($B114,Kraftvärmeprod!$B$1:$D$479,MATCH("Total värmeproduktion i kraftvärmeverk i kombinerad drift (GWh)",Kraftvärmeprod!$B$1:$AV$1,0),FALSE)),"Ej kraftvärme","Alternativproduktionsmetoden")</f>
        <v>Ej kraftvärme</v>
      </c>
      <c r="E114" t="str">
        <f>IF(ISERROR(1/VLOOKUP($B114,Kraftvärmeprod!$B$1:$BD$479,MATCH("Total värmeproduktion i kraftvärmeverk i kombinerad drift (GWh)",Kraftvärmeprod!$B$1:$AV$1,0),FALSE)),"",VLOOKUP($B114,'Slutlig allokering kvv'!$B$1:$BC$479,MATCH(E$1,'Slutlig allokering kvv'!$B$1:$AU$1,0),FALSE))</f>
        <v/>
      </c>
      <c r="F114" t="str">
        <f>IF(ISERROR(1/VLOOKUP($B114,Kraftvärmeprod!$B$1:$AV$479,MATCH("Producerad elenergi i kraftvärmeverk (GWh)",Kraftvärmeprod!$B$1:$AV$1,0),FALSE)),"",VLOOKUP($B114,Kraftvärmeprod!$B$1:$AV$479,MATCH("Producerad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Hedemora Energi AB</v>
      </c>
    </row>
    <row r="115" spans="1:10" x14ac:dyDescent="0.45">
      <c r="A115" s="2" t="s">
        <v>538</v>
      </c>
      <c r="B115" s="2" t="s">
        <v>537</v>
      </c>
      <c r="D115" t="str">
        <f>IF(ISERROR(1/VLOOKUP($B115,Kraftvärmeprod!$B$1:$D$479,MATCH("Total värmeproduktion i kraftvärmeverk i kombinerad drift (GWh)",Kraftvärmeprod!$B$1:$AV$1,0),FALSE)),"Ej kraftvärme","Alternativproduktionsmetoden")</f>
        <v>Alternativproduktionsmetoden</v>
      </c>
      <c r="E115">
        <f>IF(ISERROR(1/VLOOKUP($B115,Kraftvärmeprod!$B$1:$BD$479,MATCH("Total värmeproduktion i kraftvärmeverk i kombinerad drift (GWh)",Kraftvärmeprod!$B$1:$AV$1,0),FALSE)),"",VLOOKUP($B115,'Slutlig allokering kvv'!$B$1:$BC$479,MATCH(E$1,'Slutlig allokering kvv'!$B$1:$AU$1,0),FALSE))</f>
        <v>0.68528620689655162</v>
      </c>
      <c r="F115">
        <f>IF(ISERROR(1/VLOOKUP($B115,Kraftvärmeprod!$B$1:$AV$479,MATCH("Producerad elenergi i kraftvärmeverk (GWh)",Kraftvärmeprod!$B$1:$AV$1,0),FALSE)),"",VLOOKUP($B115,Kraftvärmeprod!$B$1:$AV$479,MATCH("Producerad elenergi i kraftvärmeverk (GWh)",Kraftvärmeprod!$B$1:$AV$1,0),FALSE))</f>
        <v>5.41</v>
      </c>
      <c r="G115" t="str">
        <f>IF(ISERROR(1/VLOOKUP($B115,Miljö!$B$1:$T$480,MATCH("Såld mängd produktionsspecifik fjärrvärme (GWh)",Miljö!$B$1:$T$1,0),FALSE)),"",VLOOKUP($B115,Miljö!$B$1:$T$480,MATCH("Såld mängd produktionsspecifik fjärrvärme (GWh)",Miljö!$B$1:$T$1,0),FALSE))</f>
        <v/>
      </c>
      <c r="J115" t="str">
        <f t="shared" si="1"/>
        <v>Hedemora Energi AB</v>
      </c>
    </row>
    <row r="116" spans="1:10" x14ac:dyDescent="0.45">
      <c r="A116" s="2" t="s">
        <v>536</v>
      </c>
      <c r="B116" s="2" t="s">
        <v>74</v>
      </c>
      <c r="D116" t="str">
        <f>IF(ISERROR(1/VLOOKUP($B116,Kraftvärmeprod!$B$1:$D$479,MATCH("Total värmeproduktion i kraftvärmeverk i kombinerad drift (GWh)",Kraftvärmeprod!$B$1:$AV$1,0),FALSE)),"Ej kraftvärme","Alternativproduktionsmetoden")</f>
        <v>Ej kraftvärme</v>
      </c>
      <c r="E116" t="str">
        <f>IF(ISERROR(1/VLOOKUP($B116,Kraftvärmeprod!$B$1:$BD$479,MATCH("Total värmeproduktion i kraftvärmeverk i kombinerad drift (GWh)",Kraftvärmeprod!$B$1:$AV$1,0),FALSE)),"",VLOOKUP($B116,'Slutlig allokering kvv'!$B$1:$BC$479,MATCH(E$1,'Slutlig allokering kvv'!$B$1:$AU$1,0),FALSE))</f>
        <v/>
      </c>
      <c r="F116" t="str">
        <f>IF(ISERROR(1/VLOOKUP($B116,Kraftvärmeprod!$B$1:$AV$479,MATCH("Producerad elenergi i kraftvärmeverk (GWh)",Kraftvärmeprod!$B$1:$AV$1,0),FALSE)),"",VLOOKUP($B116,Kraftvärmeprod!$B$1:$AV$479,MATCH("Producerad elenergi i kraftvärmeverk (GWh)",Kraftvärmeprod!$B$1:$AV$1,0),FALSE))</f>
        <v/>
      </c>
      <c r="G116" t="str">
        <f>IF(ISERROR(1/VLOOKUP($B116,Miljö!$B$1:$T$480,MATCH("Såld mängd produktionsspecifik fjärrvärme (GWh)",Miljö!$B$1:$T$1,0),FALSE)),"",VLOOKUP($B116,Miljö!$B$1:$T$480,MATCH("Såld mängd produktionsspecifik fjärrvärme (GWh)",Miljö!$B$1:$T$1,0),FALSE))</f>
        <v/>
      </c>
      <c r="J116" t="str">
        <f t="shared" si="1"/>
        <v>Herrljunga Elektriska AB</v>
      </c>
    </row>
    <row r="117" spans="1:10" x14ac:dyDescent="0.45">
      <c r="A117" s="2" t="s">
        <v>535</v>
      </c>
      <c r="B117" s="2" t="s">
        <v>534</v>
      </c>
      <c r="D117" t="str">
        <f>IF(ISERROR(1/VLOOKUP($B117,Kraftvärmeprod!$B$1:$D$479,MATCH("Total värmeproduktion i kraftvärmeverk i kombinerad drift (GWh)",Kraftvärmeprod!$B$1:$AV$1,0),FALSE)),"Ej kraftvärme","Alternativproduktionsmetoden")</f>
        <v>Ej kraftvärme</v>
      </c>
      <c r="E117" t="str">
        <f>IF(ISERROR(1/VLOOKUP($B117,Kraftvärmeprod!$B$1:$BD$479,MATCH("Total värmeproduktion i kraftvärmeverk i kombinerad drift (GWh)",Kraftvärmeprod!$B$1:$AV$1,0),FALSE)),"",VLOOKUP($B117,'Slutlig allokering kvv'!$B$1:$BC$479,MATCH(E$1,'Slutlig allokering kvv'!$B$1:$AU$1,0),FALSE))</f>
        <v/>
      </c>
      <c r="F117" t="str">
        <f>IF(ISERROR(1/VLOOKUP($B117,Kraftvärmeprod!$B$1:$AV$479,MATCH("Producerad elenergi i kraftvärmeverk (GWh)",Kraftvärmeprod!$B$1:$AV$1,0),FALSE)),"",VLOOKUP($B117,Kraftvärmeprod!$B$1:$AV$479,MATCH("Producerad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Hjo Energi AB</v>
      </c>
    </row>
    <row r="118" spans="1:10" x14ac:dyDescent="0.45">
      <c r="A118" s="2" t="s">
        <v>533</v>
      </c>
      <c r="B118" s="2" t="s">
        <v>532</v>
      </c>
      <c r="D118" t="str">
        <f>IF(ISERROR(1/VLOOKUP($B118,Kraftvärmeprod!$B$1:$D$479,MATCH("Total värmeproduktion i kraftvärmeverk i kombinerad drift (GWh)",Kraftvärmeprod!$B$1:$AV$1,0),FALSE)),"Ej kraftvärme","Alternativproduktionsmetoden")</f>
        <v>Alternativproduktionsmetoden</v>
      </c>
      <c r="E118">
        <f>IF(ISERROR(1/VLOOKUP($B118,Kraftvärmeprod!$B$1:$BD$479,MATCH("Total värmeproduktion i kraftvärmeverk i kombinerad drift (GWh)",Kraftvärmeprod!$B$1:$AV$1,0),FALSE)),"",VLOOKUP($B118,'Slutlig allokering kvv'!$B$1:$BC$479,MATCH(E$1,'Slutlig allokering kvv'!$B$1:$AU$1,0),FALSE))</f>
        <v>0.55898166204986155</v>
      </c>
      <c r="F118">
        <f>IF(ISERROR(1/VLOOKUP($B118,Kraftvärmeprod!$B$1:$AV$479,MATCH("Producerad elenergi i kraftvärmeverk (GWh)",Kraftvärmeprod!$B$1:$AV$1,0),FALSE)),"",VLOOKUP($B118,Kraftvärmeprod!$B$1:$AV$479,MATCH("Producerad elenergi i kraftvärmeverk (GWh)",Kraftvärmeprod!$B$1:$AV$1,0),FALSE))</f>
        <v>33.200000000000003</v>
      </c>
      <c r="G118" t="str">
        <f>IF(ISERROR(1/VLOOKUP($B118,Miljö!$B$1:$T$480,MATCH("Såld mängd produktionsspecifik fjärrvärme (GWh)",Miljö!$B$1:$T$1,0),FALSE)),"",VLOOKUP($B118,Miljö!$B$1:$T$480,MATCH("Såld mängd produktionsspecifik fjärrvärme (GWh)",Miljö!$B$1:$T$1,0),FALSE))</f>
        <v/>
      </c>
      <c r="J118" t="str">
        <f t="shared" si="1"/>
        <v>Härnösand Energi &amp; Miljö AB</v>
      </c>
    </row>
    <row r="119" spans="1:10" x14ac:dyDescent="0.45">
      <c r="A119" s="2" t="s">
        <v>530</v>
      </c>
      <c r="B119" s="2" t="s">
        <v>531</v>
      </c>
      <c r="D119" t="str">
        <f>IF(ISERROR(1/VLOOKUP($B119,Kraftvärmeprod!$B$1:$D$479,MATCH("Total värmeproduktion i kraftvärmeverk i kombinerad drift (GWh)",Kraftvärmeprod!$B$1:$AV$1,0),FALSE)),"Ej kraftvärme","Alternativproduktionsmetoden")</f>
        <v>Alternativproduktionsmetoden</v>
      </c>
      <c r="E119">
        <f>IF(ISERROR(1/VLOOKUP($B119,Kraftvärmeprod!$B$1:$BD$479,MATCH("Total värmeproduktion i kraftvärmeverk i kombinerad drift (GWh)",Kraftvärmeprod!$B$1:$AV$1,0),FALSE)),"",VLOOKUP($B119,'Slutlig allokering kvv'!$B$1:$BC$479,MATCH(E$1,'Slutlig allokering kvv'!$B$1:$AU$1,0),FALSE))</f>
        <v>0.76600523928789011</v>
      </c>
      <c r="F119">
        <f>IF(ISERROR(1/VLOOKUP($B119,Kraftvärmeprod!$B$1:$AV$479,MATCH("Producerad elenergi i kraftvärmeverk (GWh)",Kraftvärmeprod!$B$1:$AV$1,0),FALSE)),"",VLOOKUP($B119,Kraftvärmeprod!$B$1:$AV$479,MATCH("Producerad elenergi i kraftvärmeverk (GWh)",Kraftvärmeprod!$B$1:$AV$1,0),FALSE))</f>
        <v>10.6</v>
      </c>
      <c r="G119" t="str">
        <f>IF(ISERROR(1/VLOOKUP($B119,Miljö!$B$1:$T$480,MATCH("Såld mängd produktionsspecifik fjärrvärme (GWh)",Miljö!$B$1:$T$1,0),FALSE)),"",VLOOKUP($B119,Miljö!$B$1:$T$480,MATCH("Såld mängd produktionsspecifik fjärrvärme (GWh)",Miljö!$B$1:$T$1,0),FALSE))</f>
        <v/>
      </c>
      <c r="J119" t="str">
        <f t="shared" si="1"/>
        <v>Hässleholm Miljö AB</v>
      </c>
    </row>
    <row r="120" spans="1:10" x14ac:dyDescent="0.45">
      <c r="A120" s="2" t="s">
        <v>530</v>
      </c>
      <c r="B120" s="2" t="s">
        <v>529</v>
      </c>
      <c r="D120" t="str">
        <f>IF(ISERROR(1/VLOOKUP($B120,Kraftvärmeprod!$B$1:$D$479,MATCH("Total värmeproduktion i kraftvärmeverk i kombinerad drift (GWh)",Kraftvärmeprod!$B$1:$AV$1,0),FALSE)),"Ej kraftvärme","Alternativproduktionsmetoden")</f>
        <v>Ej kraftvärme</v>
      </c>
      <c r="E120" t="str">
        <f>IF(ISERROR(1/VLOOKUP($B120,Kraftvärmeprod!$B$1:$BD$479,MATCH("Total värmeproduktion i kraftvärmeverk i kombinerad drift (GWh)",Kraftvärmeprod!$B$1:$AV$1,0),FALSE)),"",VLOOKUP($B120,'Slutlig allokering kvv'!$B$1:$BC$479,MATCH(E$1,'Slutlig allokering kvv'!$B$1:$AU$1,0),FALSE))</f>
        <v/>
      </c>
      <c r="F120" t="str">
        <f>IF(ISERROR(1/VLOOKUP($B120,Kraftvärmeprod!$B$1:$AV$479,MATCH("Producerad elenergi i kraftvärmeverk (GWh)",Kraftvärmeprod!$B$1:$AV$1,0),FALSE)),"",VLOOKUP($B120,Kraftvärmeprod!$B$1:$AV$479,MATCH("Producerad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Hässleholm Miljö AB</v>
      </c>
    </row>
    <row r="121" spans="1:10" x14ac:dyDescent="0.45">
      <c r="A121" s="2" t="s">
        <v>528</v>
      </c>
      <c r="B121" s="2" t="s">
        <v>527</v>
      </c>
      <c r="D121" t="str">
        <f>IF(ISERROR(1/VLOOKUP($B121,Kraftvärmeprod!$B$1:$D$479,MATCH("Total värmeproduktion i kraftvärmeverk i kombinerad drift (GWh)",Kraftvärmeprod!$B$1:$AV$1,0),FALSE)),"Ej kraftvärme","Alternativproduktionsmetoden")</f>
        <v>Ej kraftvärme</v>
      </c>
      <c r="E121" t="str">
        <f>IF(ISERROR(1/VLOOKUP($B121,Kraftvärmeprod!$B$1:$BD$479,MATCH("Total värmeproduktion i kraftvärmeverk i kombinerad drift (GWh)",Kraftvärmeprod!$B$1:$AV$1,0),FALSE)),"",VLOOKUP($B121,'Slutlig allokering kvv'!$B$1:$BC$479,MATCH(E$1,'Slutlig allokering kvv'!$B$1:$AU$1,0),FALSE))</f>
        <v/>
      </c>
      <c r="F121" t="str">
        <f>IF(ISERROR(1/VLOOKUP($B121,Kraftvärmeprod!$B$1:$AV$479,MATCH("Producerad elenergi i kraftvärmeverk (GWh)",Kraftvärmeprod!$B$1:$AV$1,0),FALSE)),"",VLOOKUP($B121,Kraftvärmeprod!$B$1:$AV$479,MATCH("Producerad elenergi i kraftvärmeverk (GWh)",Kraftvärmeprod!$B$1:$AV$1,0),FALSE))</f>
        <v/>
      </c>
      <c r="G121" t="str">
        <f>IF(ISERROR(1/VLOOKUP($B121,Miljö!$B$1:$T$480,MATCH("Såld mängd produktionsspecifik fjärrvärme (GWh)",Miljö!$B$1:$T$1,0),FALSE)),"",VLOOKUP($B121,Miljö!$B$1:$T$480,MATCH("Såld mängd produktionsspecifik fjärrvärme (GWh)",Miljö!$B$1:$T$1,0),FALSE))</f>
        <v/>
      </c>
      <c r="J121" t="str">
        <f t="shared" si="1"/>
        <v>Höganäs Energi AB</v>
      </c>
    </row>
    <row r="122" spans="1:10" x14ac:dyDescent="0.45">
      <c r="A122" s="2" t="s">
        <v>526</v>
      </c>
      <c r="B122" s="2" t="s">
        <v>525</v>
      </c>
      <c r="D122" t="str">
        <f>IF(ISERROR(1/VLOOKUP($B122,Kraftvärmeprod!$B$1:$D$479,MATCH("Total värmeproduktion i kraftvärmeverk i kombinerad drift (GWh)",Kraftvärmeprod!$B$1:$AV$1,0),FALSE)),"Ej kraftvärme","Alternativproduktionsmetoden")</f>
        <v>Ej kraftvärme</v>
      </c>
      <c r="E122" t="str">
        <f>IF(ISERROR(1/VLOOKUP($B122,Kraftvärmeprod!$B$1:$BD$479,MATCH("Total värmeproduktion i kraftvärmeverk i kombinerad drift (GWh)",Kraftvärmeprod!$B$1:$AV$1,0),FALSE)),"",VLOOKUP($B122,'Slutlig allokering kvv'!$B$1:$BC$479,MATCH(E$1,'Slutlig allokering kvv'!$B$1:$AU$1,0),FALSE))</f>
        <v/>
      </c>
      <c r="F122" t="str">
        <f>IF(ISERROR(1/VLOOKUP($B122,Kraftvärmeprod!$B$1:$AV$479,MATCH("Producerad elenergi i kraftvärmeverk (GWh)",Kraftvärmeprod!$B$1:$AV$1,0),FALSE)),"",VLOOKUP($B122,Kraftvärmeprod!$B$1:$AV$479,MATCH("Producerad elenergi i kraftvärmeverk (GWh)",Kraftvärmeprod!$B$1:$AV$1,0),FALSE))</f>
        <v/>
      </c>
      <c r="G122" t="str">
        <f>IF(ISERROR(1/VLOOKUP($B122,Miljö!$B$1:$T$480,MATCH("Såld mängd produktionsspecifik fjärrvärme (GWh)",Miljö!$B$1:$T$1,0),FALSE)),"",VLOOKUP($B122,Miljö!$B$1:$T$480,MATCH("Såld mängd produktionsspecifik fjärrvärme (GWh)",Miljö!$B$1:$T$1,0),FALSE))</f>
        <v/>
      </c>
      <c r="J122" t="str">
        <f t="shared" si="1"/>
        <v>Jokkmokks Värmeverk AB</v>
      </c>
    </row>
    <row r="123" spans="1:10" x14ac:dyDescent="0.45">
      <c r="A123" s="2" t="s">
        <v>520</v>
      </c>
      <c r="B123" s="2" t="s">
        <v>524</v>
      </c>
      <c r="D123" t="str">
        <f>IF(ISERROR(1/VLOOKUP($B123,Kraftvärmeprod!$B$1:$D$479,MATCH("Total värmeproduktion i kraftvärmeverk i kombinerad drift (GWh)",Kraftvärmeprod!$B$1:$AV$1,0),FALSE)),"Ej kraftvärme","Alternativproduktionsmetoden")</f>
        <v>Ej kraftvärme</v>
      </c>
      <c r="E123" t="str">
        <f>IF(ISERROR(1/VLOOKUP($B123,Kraftvärmeprod!$B$1:$BD$479,MATCH("Total värmeproduktion i kraftvärmeverk i kombinerad drift (GWh)",Kraftvärmeprod!$B$1:$AV$1,0),FALSE)),"",VLOOKUP($B123,'Slutlig allokering kvv'!$B$1:$BC$479,MATCH(E$1,'Slutlig allokering kvv'!$B$1:$AU$1,0),FALSE))</f>
        <v/>
      </c>
      <c r="F123" t="str">
        <f>IF(ISERROR(1/VLOOKUP($B123,Kraftvärmeprod!$B$1:$AV$479,MATCH("Producerad elenergi i kraftvärmeverk (GWh)",Kraftvärmeprod!$B$1:$AV$1,0),FALSE)),"",VLOOKUP($B123,Kraftvärmeprod!$B$1:$AV$479,MATCH("Producerad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Jämtkraft AB</v>
      </c>
    </row>
    <row r="124" spans="1:10" x14ac:dyDescent="0.45">
      <c r="A124" s="2" t="s">
        <v>520</v>
      </c>
      <c r="B124" s="2" t="s">
        <v>523</v>
      </c>
      <c r="D124" t="str">
        <f>IF(ISERROR(1/VLOOKUP($B124,Kraftvärmeprod!$B$1:$D$479,MATCH("Total värmeproduktion i kraftvärmeverk i kombinerad drift (GWh)",Kraftvärmeprod!$B$1:$AV$1,0),FALSE)),"Ej kraftvärme","Alternativproduktionsmetoden")</f>
        <v>Ej kraftvärme</v>
      </c>
      <c r="E124" t="str">
        <f>IF(ISERROR(1/VLOOKUP($B124,Kraftvärmeprod!$B$1:$BD$479,MATCH("Total värmeproduktion i kraftvärmeverk i kombinerad drift (GWh)",Kraftvärmeprod!$B$1:$AV$1,0),FALSE)),"",VLOOKUP($B124,'Slutlig allokering kvv'!$B$1:$BC$479,MATCH(E$1,'Slutlig allokering kvv'!$B$1:$AU$1,0),FALSE))</f>
        <v/>
      </c>
      <c r="F124" t="str">
        <f>IF(ISERROR(1/VLOOKUP($B124,Kraftvärmeprod!$B$1:$AV$479,MATCH("Producerad elenergi i kraftvärmeverk (GWh)",Kraftvärmeprod!$B$1:$AV$1,0),FALSE)),"",VLOOKUP($B124,Kraftvärmeprod!$B$1:$AV$479,MATCH("Producerad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Jämtkraft AB</v>
      </c>
    </row>
    <row r="125" spans="1:10" x14ac:dyDescent="0.45">
      <c r="A125" s="2" t="s">
        <v>520</v>
      </c>
      <c r="B125" s="2" t="s">
        <v>522</v>
      </c>
      <c r="D125" t="str">
        <f>IF(ISERROR(1/VLOOKUP($B125,Kraftvärmeprod!$B$1:$D$479,MATCH("Total värmeproduktion i kraftvärmeverk i kombinerad drift (GWh)",Kraftvärmeprod!$B$1:$AV$1,0),FALSE)),"Ej kraftvärme","Alternativproduktionsmetoden")</f>
        <v>Ej kraftvärme</v>
      </c>
      <c r="E125" t="str">
        <f>IF(ISERROR(1/VLOOKUP($B125,Kraftvärmeprod!$B$1:$BD$479,MATCH("Total värmeproduktion i kraftvärmeverk i kombinerad drift (GWh)",Kraftvärmeprod!$B$1:$AV$1,0),FALSE)),"",VLOOKUP($B125,'Slutlig allokering kvv'!$B$1:$BC$479,MATCH(E$1,'Slutlig allokering kvv'!$B$1:$AU$1,0),FALSE))</f>
        <v/>
      </c>
      <c r="F125" t="str">
        <f>IF(ISERROR(1/VLOOKUP($B125,Kraftvärmeprod!$B$1:$AV$479,MATCH("Producerad elenergi i kraftvärmeverk (GWh)",Kraftvärmeprod!$B$1:$AV$1,0),FALSE)),"",VLOOKUP($B125,Kraftvärmeprod!$B$1:$AV$479,MATCH("Producerad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Jämtkraft AB</v>
      </c>
    </row>
    <row r="126" spans="1:10" x14ac:dyDescent="0.45">
      <c r="A126" s="2" t="s">
        <v>520</v>
      </c>
      <c r="B126" s="2" t="s">
        <v>521</v>
      </c>
      <c r="D126" t="str">
        <f>IF(ISERROR(1/VLOOKUP($B126,Kraftvärmeprod!$B$1:$D$479,MATCH("Total värmeproduktion i kraftvärmeverk i kombinerad drift (GWh)",Kraftvärmeprod!$B$1:$AV$1,0),FALSE)),"Ej kraftvärme","Alternativproduktionsmetoden")</f>
        <v>Alternativproduktionsmetoden</v>
      </c>
      <c r="E126">
        <f>IF(ISERROR(1/VLOOKUP($B126,Kraftvärmeprod!$B$1:$BD$479,MATCH("Total värmeproduktion i kraftvärmeverk i kombinerad drift (GWh)",Kraftvärmeprod!$B$1:$AV$1,0),FALSE)),"",VLOOKUP($B126,'Slutlig allokering kvv'!$B$1:$BC$479,MATCH(E$1,'Slutlig allokering kvv'!$B$1:$AU$1,0),FALSE))</f>
        <v>0.44250392099912872</v>
      </c>
      <c r="F126">
        <f>IF(ISERROR(1/VLOOKUP($B126,Kraftvärmeprod!$B$1:$AV$479,MATCH("Producerad elenergi i kraftvärmeverk (GWh)",Kraftvärmeprod!$B$1:$AV$1,0),FALSE)),"",VLOOKUP($B126,Kraftvärmeprod!$B$1:$AV$479,MATCH("Producerad elenergi i kraftvärmeverk (GWh)",Kraftvärmeprod!$B$1:$AV$1,0),FALSE))</f>
        <v>191</v>
      </c>
      <c r="G126" t="str">
        <f>IF(ISERROR(1/VLOOKUP($B126,Miljö!$B$1:$T$480,MATCH("Såld mängd produktionsspecifik fjärrvärme (GWh)",Miljö!$B$1:$T$1,0),FALSE)),"",VLOOKUP($B126,Miljö!$B$1:$T$480,MATCH("Såld mängd produktionsspecifik fjärrvärme (GWh)",Miljö!$B$1:$T$1,0),FALSE))</f>
        <v/>
      </c>
      <c r="J126" t="str">
        <f t="shared" si="1"/>
        <v>Jämtkraft AB</v>
      </c>
    </row>
    <row r="127" spans="1:10" x14ac:dyDescent="0.45">
      <c r="A127" s="2" t="s">
        <v>520</v>
      </c>
      <c r="B127" s="2" t="s">
        <v>519</v>
      </c>
      <c r="D127" t="str">
        <f>IF(ISERROR(1/VLOOKUP($B127,Kraftvärmeprod!$B$1:$D$479,MATCH("Total värmeproduktion i kraftvärmeverk i kombinerad drift (GWh)",Kraftvärmeprod!$B$1:$AV$1,0),FALSE)),"Ej kraftvärme","Alternativproduktionsmetoden")</f>
        <v>Ej kraftvärme</v>
      </c>
      <c r="E127" t="str">
        <f>IF(ISERROR(1/VLOOKUP($B127,Kraftvärmeprod!$B$1:$BD$479,MATCH("Total värmeproduktion i kraftvärmeverk i kombinerad drift (GWh)",Kraftvärmeprod!$B$1:$AV$1,0),FALSE)),"",VLOOKUP($B127,'Slutlig allokering kvv'!$B$1:$BC$479,MATCH(E$1,'Slutlig allokering kvv'!$B$1:$AU$1,0),FALSE))</f>
        <v/>
      </c>
      <c r="F127" t="str">
        <f>IF(ISERROR(1/VLOOKUP($B127,Kraftvärmeprod!$B$1:$AV$479,MATCH("Producerad elenergi i kraftvärmeverk (GWh)",Kraftvärmeprod!$B$1:$AV$1,0),FALSE)),"",VLOOKUP($B127,Kraftvärmeprod!$B$1:$AV$479,MATCH("Producerad elenergi i kraftvärmeverk (GWh)",Kraftvärmeprod!$B$1:$AV$1,0),FALSE))</f>
        <v/>
      </c>
      <c r="G127" t="str">
        <f>IF(ISERROR(1/VLOOKUP($B127,Miljö!$B$1:$T$480,MATCH("Såld mängd produktionsspecifik fjärrvärme (GWh)",Miljö!$B$1:$T$1,0),FALSE)),"",VLOOKUP($B127,Miljö!$B$1:$T$480,MATCH("Såld mängd produktionsspecifik fjärrvärme (GWh)",Miljö!$B$1:$T$1,0),FALSE))</f>
        <v/>
      </c>
      <c r="J127" t="str">
        <f t="shared" si="1"/>
        <v>Jämtkraft AB</v>
      </c>
    </row>
    <row r="128" spans="1:10" x14ac:dyDescent="0.45">
      <c r="A128" s="2" t="s">
        <v>518</v>
      </c>
      <c r="B128" s="2" t="s">
        <v>77</v>
      </c>
      <c r="D128" t="str">
        <f>IF(ISERROR(1/VLOOKUP($B128,Kraftvärmeprod!$B$1:$D$479,MATCH("Total värmeproduktion i kraftvärmeverk i kombinerad drift (GWh)",Kraftvärmeprod!$B$1:$AV$1,0),FALSE)),"Ej kraftvärme","Alternativproduktionsmetoden")</f>
        <v>Ej kraftvärme</v>
      </c>
      <c r="E128" t="str">
        <f>IF(ISERROR(1/VLOOKUP($B128,Kraftvärmeprod!$B$1:$BD$479,MATCH("Total värmeproduktion i kraftvärmeverk i kombinerad drift (GWh)",Kraftvärmeprod!$B$1:$AV$1,0),FALSE)),"",VLOOKUP($B128,'Slutlig allokering kvv'!$B$1:$BC$479,MATCH(E$1,'Slutlig allokering kvv'!$B$1:$AU$1,0),FALSE))</f>
        <v/>
      </c>
      <c r="F128" t="str">
        <f>IF(ISERROR(1/VLOOKUP($B128,Kraftvärmeprod!$B$1:$AV$479,MATCH("Producerad elenergi i kraftvärmeverk (GWh)",Kraftvärmeprod!$B$1:$AV$1,0),FALSE)),"",VLOOKUP($B128,Kraftvärmeprod!$B$1:$AV$479,MATCH("Producerad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Jämtlands Värme AB</v>
      </c>
    </row>
    <row r="129" spans="1:10" x14ac:dyDescent="0.45">
      <c r="A129" s="2" t="s">
        <v>515</v>
      </c>
      <c r="B129" s="2" t="s">
        <v>517</v>
      </c>
      <c r="D129" t="str">
        <f>IF(ISERROR(1/VLOOKUP($B129,Kraftvärmeprod!$B$1:$D$479,MATCH("Total värmeproduktion i kraftvärmeverk i kombinerad drift (GWh)",Kraftvärmeprod!$B$1:$AV$1,0),FALSE)),"Ej kraftvärme","Alternativproduktionsmetoden")</f>
        <v>Ej kraftvärme</v>
      </c>
      <c r="E129" t="str">
        <f>IF(ISERROR(1/VLOOKUP($B129,Kraftvärmeprod!$B$1:$BD$479,MATCH("Total värmeproduktion i kraftvärmeverk i kombinerad drift (GWh)",Kraftvärmeprod!$B$1:$AV$1,0),FALSE)),"",VLOOKUP($B129,'Slutlig allokering kvv'!$B$1:$BC$479,MATCH(E$1,'Slutlig allokering kvv'!$B$1:$AU$1,0),FALSE))</f>
        <v/>
      </c>
      <c r="F129" t="str">
        <f>IF(ISERROR(1/VLOOKUP($B129,Kraftvärmeprod!$B$1:$AV$479,MATCH("Producerad elenergi i kraftvärmeverk (GWh)",Kraftvärmeprod!$B$1:$AV$1,0),FALSE)),"",VLOOKUP($B129,Kraftvärmeprod!$B$1:$AV$479,MATCH("Producerad elenergi i kraftvärmeverk (GWh)",Kraftvärmeprod!$B$1:$AV$1,0),FALSE))</f>
        <v/>
      </c>
      <c r="G129" t="str">
        <f>IF(ISERROR(1/VLOOKUP($B129,Miljö!$B$1:$T$480,MATCH("Såld mängd produktionsspecifik fjärrvärme (GWh)",Miljö!$B$1:$T$1,0),FALSE)),"",VLOOKUP($B129,Miljö!$B$1:$T$480,MATCH("Såld mängd produktionsspecifik fjärrvärme (GWh)",Miljö!$B$1:$T$1,0),FALSE))</f>
        <v/>
      </c>
      <c r="J129" t="str">
        <f t="shared" si="1"/>
        <v>Jönköping Energi AB</v>
      </c>
    </row>
    <row r="130" spans="1:10" x14ac:dyDescent="0.45">
      <c r="A130" s="2" t="s">
        <v>515</v>
      </c>
      <c r="B130" s="2" t="s">
        <v>516</v>
      </c>
      <c r="D130" t="str">
        <f>IF(ISERROR(1/VLOOKUP($B130,Kraftvärmeprod!$B$1:$D$479,MATCH("Total värmeproduktion i kraftvärmeverk i kombinerad drift (GWh)",Kraftvärmeprod!$B$1:$AV$1,0),FALSE)),"Ej kraftvärme","Alternativproduktionsmetoden")</f>
        <v>Alternativproduktionsmetoden</v>
      </c>
      <c r="E130">
        <f>IF(ISERROR(1/VLOOKUP($B130,Kraftvärmeprod!$B$1:$BD$479,MATCH("Total värmeproduktion i kraftvärmeverk i kombinerad drift (GWh)",Kraftvärmeprod!$B$1:$AV$1,0),FALSE)),"",VLOOKUP($B130,'Slutlig allokering kvv'!$B$1:$BC$479,MATCH(E$1,'Slutlig allokering kvv'!$B$1:$AU$1,0),FALSE))</f>
        <v>0.47729523972671756</v>
      </c>
      <c r="F130">
        <f>IF(ISERROR(1/VLOOKUP($B130,Kraftvärmeprod!$B$1:$AV$479,MATCH("Producerad elenergi i kraftvärmeverk (GWh)",Kraftvärmeprod!$B$1:$AV$1,0),FALSE)),"",VLOOKUP($B130,Kraftvärmeprod!$B$1:$AV$479,MATCH("Producerad elenergi i kraftvärmeverk (GWh)",Kraftvärmeprod!$B$1:$AV$1,0),FALSE))</f>
        <v>235.59899999999999</v>
      </c>
      <c r="G130">
        <f>IF(ISERROR(1/VLOOKUP($B130,Miljö!$B$1:$T$480,MATCH("Såld mängd produktionsspecifik fjärrvärme (GWh)",Miljö!$B$1:$T$1,0),FALSE)),"",VLOOKUP($B130,Miljö!$B$1:$T$480,MATCH("Såld mängd produktionsspecifik fjärrvärme (GWh)",Miljö!$B$1:$T$1,0),FALSE))</f>
        <v>9.9179999999999993</v>
      </c>
      <c r="J130" t="str">
        <f t="shared" si="1"/>
        <v>Jönköping Energi AB</v>
      </c>
    </row>
    <row r="131" spans="1:10" x14ac:dyDescent="0.45">
      <c r="A131" s="2" t="s">
        <v>515</v>
      </c>
      <c r="B131" s="2" t="s">
        <v>514</v>
      </c>
      <c r="D131" t="str">
        <f>IF(ISERROR(1/VLOOKUP($B131,Kraftvärmeprod!$B$1:$D$479,MATCH("Total värmeproduktion i kraftvärmeverk i kombinerad drift (GWh)",Kraftvärmeprod!$B$1:$AV$1,0),FALSE)),"Ej kraftvärme","Alternativproduktionsmetoden")</f>
        <v>Ej kraftvärme</v>
      </c>
      <c r="E131" t="str">
        <f>IF(ISERROR(1/VLOOKUP($B131,Kraftvärmeprod!$B$1:$BD$479,MATCH("Total värmeproduktion i kraftvärmeverk i kombinerad drift (GWh)",Kraftvärmeprod!$B$1:$AV$1,0),FALSE)),"",VLOOKUP($B131,'Slutlig allokering kvv'!$B$1:$BC$479,MATCH(E$1,'Slutlig allokering kvv'!$B$1:$AU$1,0),FALSE))</f>
        <v/>
      </c>
      <c r="F131" t="str">
        <f>IF(ISERROR(1/VLOOKUP($B131,Kraftvärmeprod!$B$1:$AV$479,MATCH("Producerad elenergi i kraftvärmeverk (GWh)",Kraftvärmeprod!$B$1:$AV$1,0),FALSE)),"",VLOOKUP($B131,Kraftvärmeprod!$B$1:$AV$479,MATCH("Producerad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si="1"/>
        <v>Jönköping Energi AB</v>
      </c>
    </row>
    <row r="132" spans="1:10" x14ac:dyDescent="0.45">
      <c r="A132" s="2" t="s">
        <v>513</v>
      </c>
      <c r="B132" s="2" t="s">
        <v>512</v>
      </c>
      <c r="D132" t="str">
        <f>IF(ISERROR(1/VLOOKUP($B132,Kraftvärmeprod!$B$1:$D$479,MATCH("Total värmeproduktion i kraftvärmeverk i kombinerad drift (GWh)",Kraftvärmeprod!$B$1:$AV$1,0),FALSE)),"Ej kraftvärme","Alternativproduktionsmetoden")</f>
        <v>Alternativproduktionsmetoden</v>
      </c>
      <c r="E132">
        <f>IF(ISERROR(1/VLOOKUP($B132,Kraftvärmeprod!$B$1:$BD$479,MATCH("Total värmeproduktion i kraftvärmeverk i kombinerad drift (GWh)",Kraftvärmeprod!$B$1:$AV$1,0),FALSE)),"",VLOOKUP($B132,'Slutlig allokering kvv'!$B$1:$BC$479,MATCH(E$1,'Slutlig allokering kvv'!$B$1:$AU$1,0),FALSE))</f>
        <v>0.53724981805123306</v>
      </c>
      <c r="F132">
        <f>IF(ISERROR(1/VLOOKUP($B132,Kraftvärmeprod!$B$1:$AV$479,MATCH("Producerad elenergi i kraftvärmeverk (GWh)",Kraftvärmeprod!$B$1:$AV$1,0),FALSE)),"",VLOOKUP($B132,Kraftvärmeprod!$B$1:$AV$479,MATCH("Producerad elenergi i kraftvärmeverk (GWh)",Kraftvärmeprod!$B$1:$AV$1,0),FALSE))</f>
        <v>89.8</v>
      </c>
      <c r="G132" t="str">
        <f>IF(ISERROR(1/VLOOKUP($B132,Miljö!$B$1:$T$480,MATCH("Såld mängd produktionsspecifik fjärrvärme (GWh)",Miljö!$B$1:$T$1,0),FALSE)),"",VLOOKUP($B132,Miljö!$B$1:$T$480,MATCH("Såld mängd produktionsspecifik fjärrvärme (GWh)",Miljö!$B$1:$T$1,0),FALSE))</f>
        <v/>
      </c>
      <c r="J132" t="str">
        <f t="shared" ref="J132:J195" si="2">A132</f>
        <v>Kalmar Energi Värme AB</v>
      </c>
    </row>
    <row r="133" spans="1:10" x14ac:dyDescent="0.45">
      <c r="A133" s="2" t="s">
        <v>511</v>
      </c>
      <c r="B133" s="2" t="s">
        <v>80</v>
      </c>
      <c r="D133" t="str">
        <f>IF(ISERROR(1/VLOOKUP($B133,Kraftvärmeprod!$B$1:$D$479,MATCH("Total värmeproduktion i kraftvärmeverk i kombinerad drift (GWh)",Kraftvärmeprod!$B$1:$AV$1,0),FALSE)),"Ej kraftvärme","Alternativproduktionsmetoden")</f>
        <v>Ej kraftvärme</v>
      </c>
      <c r="E133" t="str">
        <f>IF(ISERROR(1/VLOOKUP($B133,Kraftvärmeprod!$B$1:$BD$479,MATCH("Total värmeproduktion i kraftvärmeverk i kombinerad drift (GWh)",Kraftvärmeprod!$B$1:$AV$1,0),FALSE)),"",VLOOKUP($B133,'Slutlig allokering kvv'!$B$1:$BC$479,MATCH(E$1,'Slutlig allokering kvv'!$B$1:$AU$1,0),FALSE))</f>
        <v/>
      </c>
      <c r="F133" t="str">
        <f>IF(ISERROR(1/VLOOKUP($B133,Kraftvärmeprod!$B$1:$AV$479,MATCH("Producerad elenergi i kraftvärmeverk (GWh)",Kraftvärmeprod!$B$1:$AV$1,0),FALSE)),"",VLOOKUP($B133,Kraftvärmeprod!$B$1:$AV$479,MATCH("Producerad elenergi i kraftvärmeverk (GWh)",Kraftvärmeprod!$B$1:$AV$1,0),FALSE))</f>
        <v/>
      </c>
      <c r="G133" t="str">
        <f>IF(ISERROR(1/VLOOKUP($B133,Miljö!$B$1:$T$480,MATCH("Såld mängd produktionsspecifik fjärrvärme (GWh)",Miljö!$B$1:$T$1,0),FALSE)),"",VLOOKUP($B133,Miljö!$B$1:$T$480,MATCH("Såld mängd produktionsspecifik fjärrvärme (GWh)",Miljö!$B$1:$T$1,0),FALSE))</f>
        <v/>
      </c>
      <c r="J133" t="str">
        <f t="shared" si="2"/>
        <v>Karlsborgs Värme AB</v>
      </c>
    </row>
    <row r="134" spans="1:10" x14ac:dyDescent="0.45">
      <c r="A134" s="2" t="s">
        <v>510</v>
      </c>
      <c r="B134" s="2" t="s">
        <v>509</v>
      </c>
      <c r="D134" t="str">
        <f>IF(ISERROR(1/VLOOKUP($B134,Kraftvärmeprod!$B$1:$D$479,MATCH("Total värmeproduktion i kraftvärmeverk i kombinerad drift (GWh)",Kraftvärmeprod!$B$1:$AV$1,0),FALSE)),"Ej kraftvärme","Alternativproduktionsmetoden")</f>
        <v>Ej kraftvärme</v>
      </c>
      <c r="E134" t="str">
        <f>IF(ISERROR(1/VLOOKUP($B134,Kraftvärmeprod!$B$1:$BD$479,MATCH("Total värmeproduktion i kraftvärmeverk i kombinerad drift (GWh)",Kraftvärmeprod!$B$1:$AV$1,0),FALSE)),"",VLOOKUP($B134,'Slutlig allokering kvv'!$B$1:$BC$479,MATCH(E$1,'Slutlig allokering kvv'!$B$1:$AU$1,0),FALSE))</f>
        <v/>
      </c>
      <c r="F134" t="str">
        <f>IF(ISERROR(1/VLOOKUP($B134,Kraftvärmeprod!$B$1:$AV$479,MATCH("Producerad elenergi i kraftvärmeverk (GWh)",Kraftvärmeprod!$B$1:$AV$1,0),FALSE)),"",VLOOKUP($B134,Kraftvärmeprod!$B$1:$AV$479,MATCH("Producerad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Karlshamn Energi AB</v>
      </c>
    </row>
    <row r="135" spans="1:10" x14ac:dyDescent="0.45">
      <c r="A135" s="2" t="s">
        <v>508</v>
      </c>
      <c r="B135" s="2" t="s">
        <v>83</v>
      </c>
      <c r="D135" t="str">
        <f>IF(ISERROR(1/VLOOKUP($B135,Kraftvärmeprod!$B$1:$D$479,MATCH("Total värmeproduktion i kraftvärmeverk i kombinerad drift (GWh)",Kraftvärmeprod!$B$1:$AV$1,0),FALSE)),"Ej kraftvärme","Alternativproduktionsmetoden")</f>
        <v>Alternativproduktionsmetoden</v>
      </c>
      <c r="E135">
        <f>IF(ISERROR(1/VLOOKUP($B135,Kraftvärmeprod!$B$1:$BD$479,MATCH("Total värmeproduktion i kraftvärmeverk i kombinerad drift (GWh)",Kraftvärmeprod!$B$1:$AV$1,0),FALSE)),"",VLOOKUP($B135,'Slutlig allokering kvv'!$B$1:$BC$479,MATCH(E$1,'Slutlig allokering kvv'!$B$1:$AU$1,0),FALSE))</f>
        <v>0.86911864270386263</v>
      </c>
      <c r="F135">
        <f>IF(ISERROR(1/VLOOKUP($B135,Kraftvärmeprod!$B$1:$AV$479,MATCH("Producerad elenergi i kraftvärmeverk (GWh)",Kraftvärmeprod!$B$1:$AV$1,0),FALSE)),"",VLOOKUP($B135,Kraftvärmeprod!$B$1:$AV$479,MATCH("Producerad elenergi i kraftvärmeverk (GWh)",Kraftvärmeprod!$B$1:$AV$1,0),FALSE))</f>
        <v>18.3</v>
      </c>
      <c r="G135" t="str">
        <f>IF(ISERROR(1/VLOOKUP($B135,Miljö!$B$1:$T$480,MATCH("Såld mängd produktionsspecifik fjärrvärme (GWh)",Miljö!$B$1:$T$1,0),FALSE)),"",VLOOKUP($B135,Miljö!$B$1:$T$480,MATCH("Såld mängd produktionsspecifik fjärrvärme (GWh)",Miljö!$B$1:$T$1,0),FALSE))</f>
        <v/>
      </c>
      <c r="J135" t="str">
        <f t="shared" si="2"/>
        <v>Karlskoga Kraftvärmeverk AB</v>
      </c>
    </row>
    <row r="136" spans="1:10" x14ac:dyDescent="0.45">
      <c r="A136" s="2" t="s">
        <v>507</v>
      </c>
      <c r="B136" s="2" t="s">
        <v>506</v>
      </c>
      <c r="D136" t="str">
        <f>IF(ISERROR(1/VLOOKUP($B136,Kraftvärmeprod!$B$1:$D$479,MATCH("Total värmeproduktion i kraftvärmeverk i kombinerad drift (GWh)",Kraftvärmeprod!$B$1:$AV$1,0),FALSE)),"Ej kraftvärme","Alternativproduktionsmetoden")</f>
        <v>Alternativproduktionsmetoden</v>
      </c>
      <c r="E136">
        <f>IF(ISERROR(1/VLOOKUP($B136,Kraftvärmeprod!$B$1:$BD$479,MATCH("Total värmeproduktion i kraftvärmeverk i kombinerad drift (GWh)",Kraftvärmeprod!$B$1:$AV$1,0),FALSE)),"",VLOOKUP($B136,'Slutlig allokering kvv'!$B$1:$BC$479,MATCH(E$1,'Slutlig allokering kvv'!$B$1:$AU$1,0),FALSE))</f>
        <v>0.58090146254398833</v>
      </c>
      <c r="F136">
        <f>IF(ISERROR(1/VLOOKUP($B136,Kraftvärmeprod!$B$1:$AV$479,MATCH("Producerad elenergi i kraftvärmeverk (GWh)",Kraftvärmeprod!$B$1:$AV$1,0),FALSE)),"",VLOOKUP($B136,Kraftvärmeprod!$B$1:$AV$479,MATCH("Producerad elenergi i kraftvärmeverk (GWh)",Kraftvärmeprod!$B$1:$AV$1,0),FALSE))</f>
        <v>130.47499999999999</v>
      </c>
      <c r="G136" t="str">
        <f>IF(ISERROR(1/VLOOKUP($B136,Miljö!$B$1:$T$480,MATCH("Såld mängd produktionsspecifik fjärrvärme (GWh)",Miljö!$B$1:$T$1,0),FALSE)),"",VLOOKUP($B136,Miljö!$B$1:$T$480,MATCH("Såld mängd produktionsspecifik fjärrvärme (GWh)",Miljö!$B$1:$T$1,0),FALSE))</f>
        <v/>
      </c>
      <c r="J136" t="str">
        <f t="shared" si="2"/>
        <v>Karlstads Energi AB</v>
      </c>
    </row>
    <row r="137" spans="1:10" x14ac:dyDescent="0.45">
      <c r="A137" s="2" t="s">
        <v>505</v>
      </c>
      <c r="B137" s="2" t="s">
        <v>504</v>
      </c>
      <c r="D137" t="str">
        <f>IF(ISERROR(1/VLOOKUP($B137,Kraftvärmeprod!$B$1:$D$479,MATCH("Total värmeproduktion i kraftvärmeverk i kombinerad drift (GWh)",Kraftvärmeprod!$B$1:$AV$1,0),FALSE)),"Ej kraftvärme","Alternativproduktionsmetoden")</f>
        <v>Ej kraftvärme</v>
      </c>
      <c r="E137" t="str">
        <f>IF(ISERROR(1/VLOOKUP($B137,Kraftvärmeprod!$B$1:$BD$479,MATCH("Total värmeproduktion i kraftvärmeverk i kombinerad drift (GWh)",Kraftvärmeprod!$B$1:$AV$1,0),FALSE)),"",VLOOKUP($B137,'Slutlig allokering kvv'!$B$1:$BC$479,MATCH(E$1,'Slutlig allokering kvv'!$B$1:$AU$1,0),FALSE))</f>
        <v/>
      </c>
      <c r="F137" t="str">
        <f>IF(ISERROR(1/VLOOKUP($B137,Kraftvärmeprod!$B$1:$AV$479,MATCH("Producerad elenergi i kraftvärmeverk (GWh)",Kraftvärmeprod!$B$1:$AV$1,0),FALSE)),"",VLOOKUP($B137,Kraftvärmeprod!$B$1:$AV$479,MATCH("Producerad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Kils Energi AB</v>
      </c>
    </row>
    <row r="138" spans="1:10" x14ac:dyDescent="0.45">
      <c r="A138" s="2" t="s">
        <v>502</v>
      </c>
      <c r="B138" s="2" t="s">
        <v>503</v>
      </c>
      <c r="D138" t="str">
        <f>IF(ISERROR(1/VLOOKUP($B138,Kraftvärmeprod!$B$1:$D$479,MATCH("Total värmeproduktion i kraftvärmeverk i kombinerad drift (GWh)",Kraftvärmeprod!$B$1:$AV$1,0),FALSE)),"Ej kraftvärme","Alternativproduktionsmetoden")</f>
        <v>Alternativproduktionsmetoden</v>
      </c>
      <c r="E138">
        <f>IF(ISERROR(1/VLOOKUP($B138,Kraftvärmeprod!$B$1:$BD$479,MATCH("Total värmeproduktion i kraftvärmeverk i kombinerad drift (GWh)",Kraftvärmeprod!$B$1:$AV$1,0),FALSE)),"",VLOOKUP($B138,'Slutlig allokering kvv'!$B$1:$BC$479,MATCH(E$1,'Slutlig allokering kvv'!$B$1:$AU$1,0),FALSE))</f>
        <v>0.71747565951981018</v>
      </c>
      <c r="F138">
        <f>IF(ISERROR(1/VLOOKUP($B138,Kraftvärmeprod!$B$1:$AV$479,MATCH("Producerad elenergi i kraftvärmeverk (GWh)",Kraftvärmeprod!$B$1:$AV$1,0),FALSE)),"",VLOOKUP($B138,Kraftvärmeprod!$B$1:$AV$479,MATCH("Producerad elenergi i kraftvärmeverk (GWh)",Kraftvärmeprod!$B$1:$AV$1,0),FALSE))</f>
        <v>18.359000000000002</v>
      </c>
      <c r="G138" t="str">
        <f>IF(ISERROR(1/VLOOKUP($B138,Miljö!$B$1:$T$480,MATCH("Såld mängd produktionsspecifik fjärrvärme (GWh)",Miljö!$B$1:$T$1,0),FALSE)),"",VLOOKUP($B138,Miljö!$B$1:$T$480,MATCH("Såld mängd produktionsspecifik fjärrvärme (GWh)",Miljö!$B$1:$T$1,0),FALSE))</f>
        <v/>
      </c>
      <c r="J138" t="str">
        <f t="shared" si="2"/>
        <v>Kiruna Kraft AB</v>
      </c>
    </row>
    <row r="139" spans="1:10" x14ac:dyDescent="0.45">
      <c r="A139" s="2" t="s">
        <v>502</v>
      </c>
      <c r="B139" s="2" t="s">
        <v>501</v>
      </c>
      <c r="D139" t="str">
        <f>IF(ISERROR(1/VLOOKUP($B139,Kraftvärmeprod!$B$1:$D$479,MATCH("Total värmeproduktion i kraftvärmeverk i kombinerad drift (GWh)",Kraftvärmeprod!$B$1:$AV$1,0),FALSE)),"Ej kraftvärme","Alternativproduktionsmetoden")</f>
        <v>Ej kraftvärme</v>
      </c>
      <c r="E139" t="str">
        <f>IF(ISERROR(1/VLOOKUP($B139,Kraftvärmeprod!$B$1:$BD$479,MATCH("Total värmeproduktion i kraftvärmeverk i kombinerad drift (GWh)",Kraftvärmeprod!$B$1:$AV$1,0),FALSE)),"",VLOOKUP($B139,'Slutlig allokering kvv'!$B$1:$BC$479,MATCH(E$1,'Slutlig allokering kvv'!$B$1:$AU$1,0),FALSE))</f>
        <v/>
      </c>
      <c r="F139" t="str">
        <f>IF(ISERROR(1/VLOOKUP($B139,Kraftvärmeprod!$B$1:$AV$479,MATCH("Producerad elenergi i kraftvärmeverk (GWh)",Kraftvärmeprod!$B$1:$AV$1,0),FALSE)),"",VLOOKUP($B139,Kraftvärmeprod!$B$1:$AV$479,MATCH("Producerad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Kiruna Kraft AB</v>
      </c>
    </row>
    <row r="140" spans="1:10" x14ac:dyDescent="0.45">
      <c r="A140" s="2" t="s">
        <v>498</v>
      </c>
      <c r="B140" s="2" t="s">
        <v>500</v>
      </c>
      <c r="D140" t="str">
        <f>IF(ISERROR(1/VLOOKUP($B140,Kraftvärmeprod!$B$1:$D$479,MATCH("Total värmeproduktion i kraftvärmeverk i kombinerad drift (GWh)",Kraftvärmeprod!$B$1:$AV$1,0),FALSE)),"Ej kraftvärme","Alternativproduktionsmetoden")</f>
        <v>Alternativproduktionsmetoden</v>
      </c>
      <c r="E140">
        <f>IF(ISERROR(1/VLOOKUP($B140,Kraftvärmeprod!$B$1:$BD$479,MATCH("Total värmeproduktion i kraftvärmeverk i kombinerad drift (GWh)",Kraftvärmeprod!$B$1:$AV$1,0),FALSE)),"",VLOOKUP($B140,'Slutlig allokering kvv'!$B$1:$BC$479,MATCH(E$1,'Slutlig allokering kvv'!$B$1:$AU$1,0),FALSE))</f>
        <v>0.51068459180571391</v>
      </c>
      <c r="F140">
        <f>IF(ISERROR(1/VLOOKUP($B140,Kraftvärmeprod!$B$1:$AV$479,MATCH("Producerad elenergi i kraftvärmeverk (GWh)",Kraftvärmeprod!$B$1:$AV$1,0),FALSE)),"",VLOOKUP($B140,Kraftvärmeprod!$B$1:$AV$479,MATCH("Producerad elenergi i kraftvärmeverk (GWh)",Kraftvärmeprod!$B$1:$AV$1,0),FALSE))</f>
        <v>179.71600000000001</v>
      </c>
      <c r="G140">
        <f>IF(ISERROR(1/VLOOKUP($B140,Miljö!$B$1:$T$480,MATCH("Såld mängd produktionsspecifik fjärrvärme (GWh)",Miljö!$B$1:$T$1,0),FALSE)),"",VLOOKUP($B140,Miljö!$B$1:$T$480,MATCH("Såld mängd produktionsspecifik fjärrvärme (GWh)",Miljö!$B$1:$T$1,0),FALSE))</f>
        <v>24.021000000000001</v>
      </c>
      <c r="J140" t="str">
        <f t="shared" si="2"/>
        <v>Kraftringen Energi AB (publ)</v>
      </c>
    </row>
    <row r="141" spans="1:10" x14ac:dyDescent="0.45">
      <c r="A141" s="2" t="s">
        <v>498</v>
      </c>
      <c r="B141" s="2" t="s">
        <v>497</v>
      </c>
      <c r="D141" t="str">
        <f>IF(ISERROR(1/VLOOKUP($B141,Kraftvärmeprod!$B$1:$D$479,MATCH("Total värmeproduktion i kraftvärmeverk i kombinerad drift (GWh)",Kraftvärmeprod!$B$1:$AV$1,0),FALSE)),"Ej kraftvärme","Alternativproduktionsmetoden")</f>
        <v>Ej kraftvärme</v>
      </c>
      <c r="E141" t="str">
        <f>IF(ISERROR(1/VLOOKUP($B141,Kraftvärmeprod!$B$1:$BD$479,MATCH("Total värmeproduktion i kraftvärmeverk i kombinerad drift (GWh)",Kraftvärmeprod!$B$1:$AV$1,0),FALSE)),"",VLOOKUP($B141,'Slutlig allokering kvv'!$B$1:$BC$479,MATCH(E$1,'Slutlig allokering kvv'!$B$1:$AU$1,0),FALSE))</f>
        <v/>
      </c>
      <c r="F141" t="str">
        <f>IF(ISERROR(1/VLOOKUP($B141,Kraftvärmeprod!$B$1:$AV$479,MATCH("Producerad elenergi i kraftvärmeverk (GWh)",Kraftvärmeprod!$B$1:$AV$1,0),FALSE)),"",VLOOKUP($B141,Kraftvärmeprod!$B$1:$AV$479,MATCH("Producerad elenergi i kraftvärmeverk (GWh)",Kraftvärmeprod!$B$1:$AV$1,0),FALSE))</f>
        <v/>
      </c>
      <c r="G141" t="str">
        <f>IF(ISERROR(1/VLOOKUP($B141,Miljö!$B$1:$T$480,MATCH("Såld mängd produktionsspecifik fjärrvärme (GWh)",Miljö!$B$1:$T$1,0),FALSE)),"",VLOOKUP($B141,Miljö!$B$1:$T$480,MATCH("Såld mängd produktionsspecifik fjärrvärme (GWh)",Miljö!$B$1:$T$1,0),FALSE))</f>
        <v/>
      </c>
      <c r="J141" t="str">
        <f t="shared" si="2"/>
        <v>Kraftringen Energi AB (publ)</v>
      </c>
    </row>
    <row r="142" spans="1:10" x14ac:dyDescent="0.45">
      <c r="A142" s="2" t="s">
        <v>493</v>
      </c>
      <c r="B142" s="2" t="s">
        <v>496</v>
      </c>
      <c r="D142" t="str">
        <f>IF(ISERROR(1/VLOOKUP($B142,Kraftvärmeprod!$B$1:$D$479,MATCH("Total värmeproduktion i kraftvärmeverk i kombinerad drift (GWh)",Kraftvärmeprod!$B$1:$AV$1,0),FALSE)),"Ej kraftvärme","Alternativproduktionsmetoden")</f>
        <v>Ej kraftvärme</v>
      </c>
      <c r="E142" t="str">
        <f>IF(ISERROR(1/VLOOKUP($B142,Kraftvärmeprod!$B$1:$BD$479,MATCH("Total värmeproduktion i kraftvärmeverk i kombinerad drift (GWh)",Kraftvärmeprod!$B$1:$AV$1,0),FALSE)),"",VLOOKUP($B142,'Slutlig allokering kvv'!$B$1:$BC$479,MATCH(E$1,'Slutlig allokering kvv'!$B$1:$AU$1,0),FALSE))</f>
        <v/>
      </c>
      <c r="F142" t="str">
        <f>IF(ISERROR(1/VLOOKUP($B142,Kraftvärmeprod!$B$1:$AV$479,MATCH("Producerad elenergi i kraftvärmeverk (GWh)",Kraftvärmeprod!$B$1:$AV$1,0),FALSE)),"",VLOOKUP($B142,Kraftvärmeprod!$B$1:$AV$479,MATCH("Producerad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Kungälv Energi AB</v>
      </c>
    </row>
    <row r="143" spans="1:10" x14ac:dyDescent="0.45">
      <c r="A143" s="2" t="s">
        <v>493</v>
      </c>
      <c r="B143" s="2" t="s">
        <v>495</v>
      </c>
      <c r="D143" t="str">
        <f>IF(ISERROR(1/VLOOKUP($B143,Kraftvärmeprod!$B$1:$D$479,MATCH("Total värmeproduktion i kraftvärmeverk i kombinerad drift (GWh)",Kraftvärmeprod!$B$1:$AV$1,0),FALSE)),"Ej kraftvärme","Alternativproduktionsmetoden")</f>
        <v>Ej kraftvärme</v>
      </c>
      <c r="E143" t="str">
        <f>IF(ISERROR(1/VLOOKUP($B143,Kraftvärmeprod!$B$1:$BD$479,MATCH("Total värmeproduktion i kraftvärmeverk i kombinerad drift (GWh)",Kraftvärmeprod!$B$1:$AV$1,0),FALSE)),"",VLOOKUP($B143,'Slutlig allokering kvv'!$B$1:$BC$479,MATCH(E$1,'Slutlig allokering kvv'!$B$1:$AU$1,0),FALSE))</f>
        <v/>
      </c>
      <c r="F143" t="str">
        <f>IF(ISERROR(1/VLOOKUP($B143,Kraftvärmeprod!$B$1:$AV$479,MATCH("Producerad elenergi i kraftvärmeverk (GWh)",Kraftvärmeprod!$B$1:$AV$1,0),FALSE)),"",VLOOKUP($B143,Kraftvärmeprod!$B$1:$AV$479,MATCH("Producerad elenergi i kraftvärmeverk (GWh)",Kraftvärmeprod!$B$1:$AV$1,0),FALSE))</f>
        <v/>
      </c>
      <c r="G143" t="str">
        <f>IF(ISERROR(1/VLOOKUP($B143,Miljö!$B$1:$T$480,MATCH("Såld mängd produktionsspecifik fjärrvärme (GWh)",Miljö!$B$1:$T$1,0),FALSE)),"",VLOOKUP($B143,Miljö!$B$1:$T$480,MATCH("Såld mängd produktionsspecifik fjärrvärme (GWh)",Miljö!$B$1:$T$1,0),FALSE))</f>
        <v/>
      </c>
      <c r="J143" t="str">
        <f t="shared" si="2"/>
        <v>Kungälv Energi AB</v>
      </c>
    </row>
    <row r="144" spans="1:10" x14ac:dyDescent="0.45">
      <c r="A144" s="2" t="s">
        <v>493</v>
      </c>
      <c r="B144" s="2" t="s">
        <v>494</v>
      </c>
      <c r="D144" t="str">
        <f>IF(ISERROR(1/VLOOKUP($B144,Kraftvärmeprod!$B$1:$D$479,MATCH("Total värmeproduktion i kraftvärmeverk i kombinerad drift (GWh)",Kraftvärmeprod!$B$1:$AV$1,0),FALSE)),"Ej kraftvärme","Alternativproduktionsmetoden")</f>
        <v>Ej kraftvärme</v>
      </c>
      <c r="E144" t="str">
        <f>IF(ISERROR(1/VLOOKUP($B144,Kraftvärmeprod!$B$1:$BD$479,MATCH("Total värmeproduktion i kraftvärmeverk i kombinerad drift (GWh)",Kraftvärmeprod!$B$1:$AV$1,0),FALSE)),"",VLOOKUP($B144,'Slutlig allokering kvv'!$B$1:$BC$479,MATCH(E$1,'Slutlig allokering kvv'!$B$1:$AU$1,0),FALSE))</f>
        <v/>
      </c>
      <c r="F144" t="str">
        <f>IF(ISERROR(1/VLOOKUP($B144,Kraftvärmeprod!$B$1:$AV$479,MATCH("Producerad elenergi i kraftvärmeverk (GWh)",Kraftvärmeprod!$B$1:$AV$1,0),FALSE)),"",VLOOKUP($B144,Kraftvärmeprod!$B$1:$AV$479,MATCH("Producerad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Kungälv Energi AB</v>
      </c>
    </row>
    <row r="145" spans="1:10" x14ac:dyDescent="0.45">
      <c r="A145" s="2" t="s">
        <v>493</v>
      </c>
      <c r="B145" s="2" t="s">
        <v>492</v>
      </c>
      <c r="D145" t="str">
        <f>IF(ISERROR(1/VLOOKUP($B145,Kraftvärmeprod!$B$1:$D$479,MATCH("Total värmeproduktion i kraftvärmeverk i kombinerad drift (GWh)",Kraftvärmeprod!$B$1:$AV$1,0),FALSE)),"Ej kraftvärme","Alternativproduktionsmetoden")</f>
        <v>Alternativproduktionsmetoden</v>
      </c>
      <c r="E145">
        <f>IF(ISERROR(1/VLOOKUP($B145,Kraftvärmeprod!$B$1:$BD$479,MATCH("Total värmeproduktion i kraftvärmeverk i kombinerad drift (GWh)",Kraftvärmeprod!$B$1:$AV$1,0),FALSE)),"",VLOOKUP($B145,'Slutlig allokering kvv'!$B$1:$BC$479,MATCH(E$1,'Slutlig allokering kvv'!$B$1:$AU$1,0),FALSE))</f>
        <v>1.1660579044117645</v>
      </c>
      <c r="F145">
        <f>IF(ISERROR(1/VLOOKUP($B145,Kraftvärmeprod!$B$1:$AV$479,MATCH("Producerad elenergi i kraftvärmeverk (GWh)",Kraftvärmeprod!$B$1:$AV$1,0),FALSE)),"",VLOOKUP($B145,Kraftvärmeprod!$B$1:$AV$479,MATCH("Producerad elenergi i kraftvärmeverk (GWh)",Kraftvärmeprod!$B$1:$AV$1,0),FALSE))</f>
        <v>7.35</v>
      </c>
      <c r="G145" t="str">
        <f>IF(ISERROR(1/VLOOKUP($B145,Miljö!$B$1:$T$480,MATCH("Såld mängd produktionsspecifik fjärrvärme (GWh)",Miljö!$B$1:$T$1,0),FALSE)),"",VLOOKUP($B145,Miljö!$B$1:$T$480,MATCH("Såld mängd produktionsspecifik fjärrvärme (GWh)",Miljö!$B$1:$T$1,0),FALSE))</f>
        <v/>
      </c>
      <c r="J145" t="str">
        <f t="shared" si="2"/>
        <v>Kungälv Energi AB</v>
      </c>
    </row>
    <row r="146" spans="1:10" x14ac:dyDescent="0.45">
      <c r="A146" s="2" t="s">
        <v>490</v>
      </c>
      <c r="B146" s="2" t="s">
        <v>489</v>
      </c>
      <c r="D146" t="str">
        <f>IF(ISERROR(1/VLOOKUP($B146,Kraftvärmeprod!$B$1:$D$479,MATCH("Total värmeproduktion i kraftvärmeverk i kombinerad drift (GWh)",Kraftvärmeprod!$B$1:$AV$1,0),FALSE)),"Ej kraftvärme","Alternativproduktionsmetoden")</f>
        <v>Alternativproduktionsmetoden</v>
      </c>
      <c r="E146">
        <f>IF(ISERROR(1/VLOOKUP($B146,Kraftvärmeprod!$B$1:$BD$479,MATCH("Total värmeproduktion i kraftvärmeverk i kombinerad drift (GWh)",Kraftvärmeprod!$B$1:$AV$1,0),FALSE)),"",VLOOKUP($B146,'Slutlig allokering kvv'!$B$1:$BC$479,MATCH(E$1,'Slutlig allokering kvv'!$B$1:$AU$1,0),FALSE))</f>
        <v>0.71927936466148923</v>
      </c>
      <c r="F146">
        <f>IF(ISERROR(1/VLOOKUP($B146,Kraftvärmeprod!$B$1:$AV$479,MATCH("Producerad elenergi i kraftvärmeverk (GWh)",Kraftvärmeprod!$B$1:$AV$1,0),FALSE)),"",VLOOKUP($B146,Kraftvärmeprod!$B$1:$AV$479,MATCH("Producerad elenergi i kraftvärmeverk (GWh)",Kraftvärmeprod!$B$1:$AV$1,0),FALSE))</f>
        <v>23.18</v>
      </c>
      <c r="G146">
        <f>IF(ISERROR(1/VLOOKUP($B146,Miljö!$B$1:$T$480,MATCH("Såld mängd produktionsspecifik fjärrvärme (GWh)",Miljö!$B$1:$T$1,0),FALSE)),"",VLOOKUP($B146,Miljö!$B$1:$T$480,MATCH("Såld mängd produktionsspecifik fjärrvärme (GWh)",Miljö!$B$1:$T$1,0),FALSE))</f>
        <v>50.6</v>
      </c>
      <c r="J146" t="str">
        <f t="shared" si="2"/>
        <v>Landskrona Energi AB</v>
      </c>
    </row>
    <row r="147" spans="1:10" x14ac:dyDescent="0.45">
      <c r="A147" s="2" t="s">
        <v>480</v>
      </c>
      <c r="B147" s="2" t="s">
        <v>488</v>
      </c>
      <c r="D147" t="str">
        <f>IF(ISERROR(1/VLOOKUP($B147,Kraftvärmeprod!$B$1:$D$479,MATCH("Total värmeproduktion i kraftvärmeverk i kombinerad drift (GWh)",Kraftvärmeprod!$B$1:$AV$1,0),FALSE)),"Ej kraftvärme","Alternativproduktionsmetoden")</f>
        <v>Ej kraftvärme</v>
      </c>
      <c r="E147" t="str">
        <f>IF(ISERROR(1/VLOOKUP($B147,Kraftvärmeprod!$B$1:$BD$479,MATCH("Total värmeproduktion i kraftvärmeverk i kombinerad drift (GWh)",Kraftvärmeprod!$B$1:$AV$1,0),FALSE)),"",VLOOKUP($B147,'Slutlig allokering kvv'!$B$1:$BC$479,MATCH(E$1,'Slutlig allokering kvv'!$B$1:$AU$1,0),FALSE))</f>
        <v/>
      </c>
      <c r="F147" t="str">
        <f>IF(ISERROR(1/VLOOKUP($B147,Kraftvärmeprod!$B$1:$AV$479,MATCH("Producerad elenergi i kraftvärmeverk (GWh)",Kraftvärmeprod!$B$1:$AV$1,0),FALSE)),"",VLOOKUP($B147,Kraftvärmeprod!$B$1:$AV$479,MATCH("Producerad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Lantmännen Agrovärme AB</v>
      </c>
    </row>
    <row r="148" spans="1:10" x14ac:dyDescent="0.45">
      <c r="A148" s="2" t="s">
        <v>480</v>
      </c>
      <c r="B148" s="2" t="s">
        <v>487</v>
      </c>
      <c r="D148" t="str">
        <f>IF(ISERROR(1/VLOOKUP($B148,Kraftvärmeprod!$B$1:$D$479,MATCH("Total värmeproduktion i kraftvärmeverk i kombinerad drift (GWh)",Kraftvärmeprod!$B$1:$AV$1,0),FALSE)),"Ej kraftvärme","Alternativproduktionsmetoden")</f>
        <v>Ej kraftvärme</v>
      </c>
      <c r="E148" t="str">
        <f>IF(ISERROR(1/VLOOKUP($B148,Kraftvärmeprod!$B$1:$BD$479,MATCH("Total värmeproduktion i kraftvärmeverk i kombinerad drift (GWh)",Kraftvärmeprod!$B$1:$AV$1,0),FALSE)),"",VLOOKUP($B148,'Slutlig allokering kvv'!$B$1:$BC$479,MATCH(E$1,'Slutlig allokering kvv'!$B$1:$AU$1,0),FALSE))</f>
        <v/>
      </c>
      <c r="F148" t="str">
        <f>IF(ISERROR(1/VLOOKUP($B148,Kraftvärmeprod!$B$1:$AV$479,MATCH("Producerad elenergi i kraftvärmeverk (GWh)",Kraftvärmeprod!$B$1:$AV$1,0),FALSE)),"",VLOOKUP($B148,Kraftvärmeprod!$B$1:$AV$479,MATCH("Producerad elenergi i kraftvärmeverk (GWh)",Kraftvärmeprod!$B$1:$AV$1,0),FALSE))</f>
        <v/>
      </c>
      <c r="G148" t="str">
        <f>IF(ISERROR(1/VLOOKUP($B148,Miljö!$B$1:$T$480,MATCH("Såld mängd produktionsspecifik fjärrvärme (GWh)",Miljö!$B$1:$T$1,0),FALSE)),"",VLOOKUP($B148,Miljö!$B$1:$T$480,MATCH("Såld mängd produktionsspecifik fjärrvärme (GWh)",Miljö!$B$1:$T$1,0),FALSE))</f>
        <v/>
      </c>
      <c r="J148" t="str">
        <f t="shared" si="2"/>
        <v>Lantmännen Agrovärme AB</v>
      </c>
    </row>
    <row r="149" spans="1:10" x14ac:dyDescent="0.45">
      <c r="A149" s="2" t="s">
        <v>480</v>
      </c>
      <c r="B149" s="2" t="s">
        <v>486</v>
      </c>
      <c r="D149" t="str">
        <f>IF(ISERROR(1/VLOOKUP($B149,Kraftvärmeprod!$B$1:$D$479,MATCH("Total värmeproduktion i kraftvärmeverk i kombinerad drift (GWh)",Kraftvärmeprod!$B$1:$AV$1,0),FALSE)),"Ej kraftvärme","Alternativproduktionsmetoden")</f>
        <v>Ej kraftvärme</v>
      </c>
      <c r="E149" t="str">
        <f>IF(ISERROR(1/VLOOKUP($B149,Kraftvärmeprod!$B$1:$BD$479,MATCH("Total värmeproduktion i kraftvärmeverk i kombinerad drift (GWh)",Kraftvärmeprod!$B$1:$AV$1,0),FALSE)),"",VLOOKUP($B149,'Slutlig allokering kvv'!$B$1:$BC$479,MATCH(E$1,'Slutlig allokering kvv'!$B$1:$AU$1,0),FALSE))</f>
        <v/>
      </c>
      <c r="F149" t="str">
        <f>IF(ISERROR(1/VLOOKUP($B149,Kraftvärmeprod!$B$1:$AV$479,MATCH("Producerad elenergi i kraftvärmeverk (GWh)",Kraftvärmeprod!$B$1:$AV$1,0),FALSE)),"",VLOOKUP($B149,Kraftvärmeprod!$B$1:$AV$479,MATCH("Producerad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Lantmännen Agrovärme AB</v>
      </c>
    </row>
    <row r="150" spans="1:10" x14ac:dyDescent="0.45">
      <c r="A150" s="2" t="s">
        <v>480</v>
      </c>
      <c r="B150" s="2" t="s">
        <v>485</v>
      </c>
      <c r="D150" t="str">
        <f>IF(ISERROR(1/VLOOKUP($B150,Kraftvärmeprod!$B$1:$D$479,MATCH("Total värmeproduktion i kraftvärmeverk i kombinerad drift (GWh)",Kraftvärmeprod!$B$1:$AV$1,0),FALSE)),"Ej kraftvärme","Alternativproduktionsmetoden")</f>
        <v>Ej kraftvärme</v>
      </c>
      <c r="E150" t="str">
        <f>IF(ISERROR(1/VLOOKUP($B150,Kraftvärmeprod!$B$1:$BD$479,MATCH("Total värmeproduktion i kraftvärmeverk i kombinerad drift (GWh)",Kraftvärmeprod!$B$1:$AV$1,0),FALSE)),"",VLOOKUP($B150,'Slutlig allokering kvv'!$B$1:$BC$479,MATCH(E$1,'Slutlig allokering kvv'!$B$1:$AU$1,0),FALSE))</f>
        <v/>
      </c>
      <c r="F150" t="str">
        <f>IF(ISERROR(1/VLOOKUP($B150,Kraftvärmeprod!$B$1:$AV$479,MATCH("Producerad elenergi i kraftvärmeverk (GWh)",Kraftvärmeprod!$B$1:$AV$1,0),FALSE)),"",VLOOKUP($B150,Kraftvärmeprod!$B$1:$AV$479,MATCH("Producerad elenergi i kraftvärmeverk (GWh)",Kraftvärmeprod!$B$1:$AV$1,0),FALSE))</f>
        <v/>
      </c>
      <c r="G150" t="str">
        <f>IF(ISERROR(1/VLOOKUP($B150,Miljö!$B$1:$T$480,MATCH("Såld mängd produktionsspecifik fjärrvärme (GWh)",Miljö!$B$1:$T$1,0),FALSE)),"",VLOOKUP($B150,Miljö!$B$1:$T$480,MATCH("Såld mängd produktionsspecifik fjärrvärme (GWh)",Miljö!$B$1:$T$1,0),FALSE))</f>
        <v/>
      </c>
      <c r="J150" t="str">
        <f t="shared" si="2"/>
        <v>Lantmännen Agrovärme AB</v>
      </c>
    </row>
    <row r="151" spans="1:10" x14ac:dyDescent="0.45">
      <c r="A151" s="2" t="s">
        <v>480</v>
      </c>
      <c r="B151" s="2" t="s">
        <v>484</v>
      </c>
      <c r="D151" t="str">
        <f>IF(ISERROR(1/VLOOKUP($B151,Kraftvärmeprod!$B$1:$D$479,MATCH("Total värmeproduktion i kraftvärmeverk i kombinerad drift (GWh)",Kraftvärmeprod!$B$1:$AV$1,0),FALSE)),"Ej kraftvärme","Alternativproduktionsmetoden")</f>
        <v>Ej kraftvärme</v>
      </c>
      <c r="E151" t="str">
        <f>IF(ISERROR(1/VLOOKUP($B151,Kraftvärmeprod!$B$1:$BD$479,MATCH("Total värmeproduktion i kraftvärmeverk i kombinerad drift (GWh)",Kraftvärmeprod!$B$1:$AV$1,0),FALSE)),"",VLOOKUP($B151,'Slutlig allokering kvv'!$B$1:$BC$479,MATCH(E$1,'Slutlig allokering kvv'!$B$1:$AU$1,0),FALSE))</f>
        <v/>
      </c>
      <c r="F151" t="str">
        <f>IF(ISERROR(1/VLOOKUP($B151,Kraftvärmeprod!$B$1:$AV$479,MATCH("Producerad elenergi i kraftvärmeverk (GWh)",Kraftvärmeprod!$B$1:$AV$1,0),FALSE)),"",VLOOKUP($B151,Kraftvärmeprod!$B$1:$AV$479,MATCH("Producerad elenergi i kraftvärmeverk (GWh)",Kraftvärmeprod!$B$1:$AV$1,0),FALSE))</f>
        <v/>
      </c>
      <c r="G151" t="str">
        <f>IF(ISERROR(1/VLOOKUP($B151,Miljö!$B$1:$T$480,MATCH("Såld mängd produktionsspecifik fjärrvärme (GWh)",Miljö!$B$1:$T$1,0),FALSE)),"",VLOOKUP($B151,Miljö!$B$1:$T$480,MATCH("Såld mängd produktionsspecifik fjärrvärme (GWh)",Miljö!$B$1:$T$1,0),FALSE))</f>
        <v/>
      </c>
      <c r="J151" t="str">
        <f t="shared" si="2"/>
        <v>Lantmännen Agrovärme AB</v>
      </c>
    </row>
    <row r="152" spans="1:10" x14ac:dyDescent="0.45">
      <c r="A152" s="2" t="s">
        <v>480</v>
      </c>
      <c r="B152" s="2" t="s">
        <v>483</v>
      </c>
      <c r="D152" t="str">
        <f>IF(ISERROR(1/VLOOKUP($B152,Kraftvärmeprod!$B$1:$D$479,MATCH("Total värmeproduktion i kraftvärmeverk i kombinerad drift (GWh)",Kraftvärmeprod!$B$1:$AV$1,0),FALSE)),"Ej kraftvärme","Alternativproduktionsmetoden")</f>
        <v>Ej kraftvärme</v>
      </c>
      <c r="E152" t="str">
        <f>IF(ISERROR(1/VLOOKUP($B152,Kraftvärmeprod!$B$1:$BD$479,MATCH("Total värmeproduktion i kraftvärmeverk i kombinerad drift (GWh)",Kraftvärmeprod!$B$1:$AV$1,0),FALSE)),"",VLOOKUP($B152,'Slutlig allokering kvv'!$B$1:$BC$479,MATCH(E$1,'Slutlig allokering kvv'!$B$1:$AU$1,0),FALSE))</f>
        <v/>
      </c>
      <c r="F152" t="str">
        <f>IF(ISERROR(1/VLOOKUP($B152,Kraftvärmeprod!$B$1:$AV$479,MATCH("Producerad elenergi i kraftvärmeverk (GWh)",Kraftvärmeprod!$B$1:$AV$1,0),FALSE)),"",VLOOKUP($B152,Kraftvärmeprod!$B$1:$AV$479,MATCH("Producerad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Lantmännen Agrovärme AB</v>
      </c>
    </row>
    <row r="153" spans="1:10" x14ac:dyDescent="0.45">
      <c r="A153" s="2" t="s">
        <v>480</v>
      </c>
      <c r="B153" s="2" t="s">
        <v>482</v>
      </c>
      <c r="D153" t="str">
        <f>IF(ISERROR(1/VLOOKUP($B153,Kraftvärmeprod!$B$1:$D$479,MATCH("Total värmeproduktion i kraftvärmeverk i kombinerad drift (GWh)",Kraftvärmeprod!$B$1:$AV$1,0),FALSE)),"Ej kraftvärme","Alternativproduktionsmetoden")</f>
        <v>Ej kraftvärme</v>
      </c>
      <c r="E153" t="str">
        <f>IF(ISERROR(1/VLOOKUP($B153,Kraftvärmeprod!$B$1:$BD$479,MATCH("Total värmeproduktion i kraftvärmeverk i kombinerad drift (GWh)",Kraftvärmeprod!$B$1:$AV$1,0),FALSE)),"",VLOOKUP($B153,'Slutlig allokering kvv'!$B$1:$BC$479,MATCH(E$1,'Slutlig allokering kvv'!$B$1:$AU$1,0),FALSE))</f>
        <v/>
      </c>
      <c r="F153" t="str">
        <f>IF(ISERROR(1/VLOOKUP($B153,Kraftvärmeprod!$B$1:$AV$479,MATCH("Producerad elenergi i kraftvärmeverk (GWh)",Kraftvärmeprod!$B$1:$AV$1,0),FALSE)),"",VLOOKUP($B153,Kraftvärmeprod!$B$1:$AV$479,MATCH("Producerad elenergi i kraftvärmeverk (GWh)",Kraftvärmeprod!$B$1:$AV$1,0),FALSE))</f>
        <v/>
      </c>
      <c r="G153" t="str">
        <f>IF(ISERROR(1/VLOOKUP($B153,Miljö!$B$1:$T$480,MATCH("Såld mängd produktionsspecifik fjärrvärme (GWh)",Miljö!$B$1:$T$1,0),FALSE)),"",VLOOKUP($B153,Miljö!$B$1:$T$480,MATCH("Såld mängd produktionsspecifik fjärrvärme (GWh)",Miljö!$B$1:$T$1,0),FALSE))</f>
        <v/>
      </c>
      <c r="J153" t="str">
        <f t="shared" si="2"/>
        <v>Lantmännen Agrovärme AB</v>
      </c>
    </row>
    <row r="154" spans="1:10" x14ac:dyDescent="0.45">
      <c r="A154" s="2" t="s">
        <v>480</v>
      </c>
      <c r="B154" s="2" t="s">
        <v>481</v>
      </c>
      <c r="D154" t="str">
        <f>IF(ISERROR(1/VLOOKUP($B154,Kraftvärmeprod!$B$1:$D$479,MATCH("Total värmeproduktion i kraftvärmeverk i kombinerad drift (GWh)",Kraftvärmeprod!$B$1:$AV$1,0),FALSE)),"Ej kraftvärme","Alternativproduktionsmetoden")</f>
        <v>Ej kraftvärme</v>
      </c>
      <c r="E154" t="str">
        <f>IF(ISERROR(1/VLOOKUP($B154,Kraftvärmeprod!$B$1:$BD$479,MATCH("Total värmeproduktion i kraftvärmeverk i kombinerad drift (GWh)",Kraftvärmeprod!$B$1:$AV$1,0),FALSE)),"",VLOOKUP($B154,'Slutlig allokering kvv'!$B$1:$BC$479,MATCH(E$1,'Slutlig allokering kvv'!$B$1:$AU$1,0),FALSE))</f>
        <v/>
      </c>
      <c r="F154" t="str">
        <f>IF(ISERROR(1/VLOOKUP($B154,Kraftvärmeprod!$B$1:$AV$479,MATCH("Producerad elenergi i kraftvärmeverk (GWh)",Kraftvärmeprod!$B$1:$AV$1,0),FALSE)),"",VLOOKUP($B154,Kraftvärmeprod!$B$1:$AV$479,MATCH("Producerad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Lantmännen Agrovärme AB</v>
      </c>
    </row>
    <row r="155" spans="1:10" x14ac:dyDescent="0.45">
      <c r="A155" s="2" t="s">
        <v>480</v>
      </c>
      <c r="B155" s="2" t="s">
        <v>479</v>
      </c>
      <c r="D155" t="str">
        <f>IF(ISERROR(1/VLOOKUP($B155,Kraftvärmeprod!$B$1:$D$479,MATCH("Total värmeproduktion i kraftvärmeverk i kombinerad drift (GWh)",Kraftvärmeprod!$B$1:$AV$1,0),FALSE)),"Ej kraftvärme","Alternativproduktionsmetoden")</f>
        <v>Ej kraftvärme</v>
      </c>
      <c r="E155" t="str">
        <f>IF(ISERROR(1/VLOOKUP($B155,Kraftvärmeprod!$B$1:$BD$479,MATCH("Total värmeproduktion i kraftvärmeverk i kombinerad drift (GWh)",Kraftvärmeprod!$B$1:$AV$1,0),FALSE)),"",VLOOKUP($B155,'Slutlig allokering kvv'!$B$1:$BC$479,MATCH(E$1,'Slutlig allokering kvv'!$B$1:$AU$1,0),FALSE))</f>
        <v/>
      </c>
      <c r="F155" t="str">
        <f>IF(ISERROR(1/VLOOKUP($B155,Kraftvärmeprod!$B$1:$AV$479,MATCH("Producerad elenergi i kraftvärmeverk (GWh)",Kraftvärmeprod!$B$1:$AV$1,0),FALSE)),"",VLOOKUP($B155,Kraftvärmeprod!$B$1:$AV$479,MATCH("Producerad elenergi i kraftvärmeverk (GWh)",Kraftvärmeprod!$B$1:$AV$1,0),FALSE))</f>
        <v/>
      </c>
      <c r="G155" t="str">
        <f>IF(ISERROR(1/VLOOKUP($B155,Miljö!$B$1:$T$480,MATCH("Såld mängd produktionsspecifik fjärrvärme (GWh)",Miljö!$B$1:$T$1,0),FALSE)),"",VLOOKUP($B155,Miljö!$B$1:$T$480,MATCH("Såld mängd produktionsspecifik fjärrvärme (GWh)",Miljö!$B$1:$T$1,0),FALSE))</f>
        <v/>
      </c>
      <c r="J155" t="str">
        <f t="shared" si="2"/>
        <v>Lantmännen Agrovärme AB</v>
      </c>
    </row>
    <row r="156" spans="1:10" x14ac:dyDescent="0.45">
      <c r="A156" s="2" t="s">
        <v>478</v>
      </c>
      <c r="B156" s="2" t="s">
        <v>477</v>
      </c>
      <c r="D156" t="str">
        <f>IF(ISERROR(1/VLOOKUP($B156,Kraftvärmeprod!$B$1:$D$479,MATCH("Total värmeproduktion i kraftvärmeverk i kombinerad drift (GWh)",Kraftvärmeprod!$B$1:$AV$1,0),FALSE)),"Ej kraftvärme","Alternativproduktionsmetoden")</f>
        <v>Ej kraftvärme</v>
      </c>
      <c r="E156" t="str">
        <f>IF(ISERROR(1/VLOOKUP($B156,Kraftvärmeprod!$B$1:$BD$479,MATCH("Total värmeproduktion i kraftvärmeverk i kombinerad drift (GWh)",Kraftvärmeprod!$B$1:$AV$1,0),FALSE)),"",VLOOKUP($B156,'Slutlig allokering kvv'!$B$1:$BC$479,MATCH(E$1,'Slutlig allokering kvv'!$B$1:$AU$1,0),FALSE))</f>
        <v/>
      </c>
      <c r="F156" t="str">
        <f>IF(ISERROR(1/VLOOKUP($B156,Kraftvärmeprod!$B$1:$AV$479,MATCH("Producerad elenergi i kraftvärmeverk (GWh)",Kraftvärmeprod!$B$1:$AV$1,0),FALSE)),"",VLOOKUP($B156,Kraftvärmeprod!$B$1:$AV$479,MATCH("Producerad elenergi i kraftvärmeverk (GWh)",Kraftvärmeprod!$B$1:$AV$1,0),FALSE))</f>
        <v/>
      </c>
      <c r="G156" t="str">
        <f>IF(ISERROR(1/VLOOKUP($B156,Miljö!$B$1:$T$480,MATCH("Såld mängd produktionsspecifik fjärrvärme (GWh)",Miljö!$B$1:$T$1,0),FALSE)),"",VLOOKUP($B156,Miljö!$B$1:$T$480,MATCH("Såld mängd produktionsspecifik fjärrvärme (GWh)",Miljö!$B$1:$T$1,0),FALSE))</f>
        <v/>
      </c>
      <c r="J156" t="str">
        <f t="shared" si="2"/>
        <v>Laxå Värme AB</v>
      </c>
    </row>
    <row r="157" spans="1:10" x14ac:dyDescent="0.45">
      <c r="A157" s="2" t="s">
        <v>476</v>
      </c>
      <c r="B157" s="2" t="s">
        <v>89</v>
      </c>
      <c r="D157" t="str">
        <f>IF(ISERROR(1/VLOOKUP($B157,Kraftvärmeprod!$B$1:$D$479,MATCH("Total värmeproduktion i kraftvärmeverk i kombinerad drift (GWh)",Kraftvärmeprod!$B$1:$AV$1,0),FALSE)),"Ej kraftvärme","Alternativproduktionsmetoden")</f>
        <v>Ej kraftvärme</v>
      </c>
      <c r="E157" t="str">
        <f>IF(ISERROR(1/VLOOKUP($B157,Kraftvärmeprod!$B$1:$BD$479,MATCH("Total värmeproduktion i kraftvärmeverk i kombinerad drift (GWh)",Kraftvärmeprod!$B$1:$AV$1,0),FALSE)),"",VLOOKUP($B157,'Slutlig allokering kvv'!$B$1:$BC$479,MATCH(E$1,'Slutlig allokering kvv'!$B$1:$AU$1,0),FALSE))</f>
        <v/>
      </c>
      <c r="F157" t="str">
        <f>IF(ISERROR(1/VLOOKUP($B157,Kraftvärmeprod!$B$1:$AV$479,MATCH("Producerad elenergi i kraftvärmeverk (GWh)",Kraftvärmeprod!$B$1:$AV$1,0),FALSE)),"",VLOOKUP($B157,Kraftvärmeprod!$B$1:$AV$479,MATCH("Producerad elenergi i kraftvärmeverk (GWh)",Kraftvärmeprod!$B$1:$AV$1,0),FALSE))</f>
        <v/>
      </c>
      <c r="G157" t="str">
        <f>IF(ISERROR(1/VLOOKUP($B157,Miljö!$B$1:$T$480,MATCH("Såld mängd produktionsspecifik fjärrvärme (GWh)",Miljö!$B$1:$T$1,0),FALSE)),"",VLOOKUP($B157,Miljö!$B$1:$T$480,MATCH("Såld mängd produktionsspecifik fjärrvärme (GWh)",Miljö!$B$1:$T$1,0),FALSE))</f>
        <v/>
      </c>
      <c r="J157" t="str">
        <f t="shared" si="2"/>
        <v>Lekeberg Bioenergi AB</v>
      </c>
    </row>
    <row r="158" spans="1:10" x14ac:dyDescent="0.45">
      <c r="A158" s="2" t="s">
        <v>472</v>
      </c>
      <c r="B158" s="2" t="s">
        <v>475</v>
      </c>
      <c r="D158" t="str">
        <f>IF(ISERROR(1/VLOOKUP($B158,Kraftvärmeprod!$B$1:$D$479,MATCH("Total värmeproduktion i kraftvärmeverk i kombinerad drift (GWh)",Kraftvärmeprod!$B$1:$AV$1,0),FALSE)),"Ej kraftvärme","Alternativproduktionsmetoden")</f>
        <v>Ej kraftvärme</v>
      </c>
      <c r="E158" t="str">
        <f>IF(ISERROR(1/VLOOKUP($B158,Kraftvärmeprod!$B$1:$BD$479,MATCH("Total värmeproduktion i kraftvärmeverk i kombinerad drift (GWh)",Kraftvärmeprod!$B$1:$AV$1,0),FALSE)),"",VLOOKUP($B158,'Slutlig allokering kvv'!$B$1:$BC$479,MATCH(E$1,'Slutlig allokering kvv'!$B$1:$AU$1,0),FALSE))</f>
        <v/>
      </c>
      <c r="F158" t="str">
        <f>IF(ISERROR(1/VLOOKUP($B158,Kraftvärmeprod!$B$1:$AV$479,MATCH("Producerad elenergi i kraftvärmeverk (GWh)",Kraftvärmeprod!$B$1:$AV$1,0),FALSE)),"",VLOOKUP($B158,Kraftvärmeprod!$B$1:$AV$479,MATCH("Producerad elenergi i kraftvärmeverk (GWh)",Kraftvärmeprod!$B$1:$AV$1,0),FALSE))</f>
        <v/>
      </c>
      <c r="G158" t="str">
        <f>IF(ISERROR(1/VLOOKUP($B158,Miljö!$B$1:$T$480,MATCH("Såld mängd produktionsspecifik fjärrvärme (GWh)",Miljö!$B$1:$T$1,0),FALSE)),"",VLOOKUP($B158,Miljö!$B$1:$T$480,MATCH("Såld mängd produktionsspecifik fjärrvärme (GWh)",Miljö!$B$1:$T$1,0),FALSE))</f>
        <v/>
      </c>
      <c r="J158" t="str">
        <f t="shared" si="2"/>
        <v>Lerum Fjärrvärme AB</v>
      </c>
    </row>
    <row r="159" spans="1:10" x14ac:dyDescent="0.45">
      <c r="A159" s="2" t="s">
        <v>472</v>
      </c>
      <c r="B159" s="2" t="s">
        <v>474</v>
      </c>
      <c r="D159" t="str">
        <f>IF(ISERROR(1/VLOOKUP($B159,Kraftvärmeprod!$B$1:$D$479,MATCH("Total värmeproduktion i kraftvärmeverk i kombinerad drift (GWh)",Kraftvärmeprod!$B$1:$AV$1,0),FALSE)),"Ej kraftvärme","Alternativproduktionsmetoden")</f>
        <v>Ej kraftvärme</v>
      </c>
      <c r="E159" t="str">
        <f>IF(ISERROR(1/VLOOKUP($B159,Kraftvärmeprod!$B$1:$BD$479,MATCH("Total värmeproduktion i kraftvärmeverk i kombinerad drift (GWh)",Kraftvärmeprod!$B$1:$AV$1,0),FALSE)),"",VLOOKUP($B159,'Slutlig allokering kvv'!$B$1:$BC$479,MATCH(E$1,'Slutlig allokering kvv'!$B$1:$AU$1,0),FALSE))</f>
        <v/>
      </c>
      <c r="F159" t="str">
        <f>IF(ISERROR(1/VLOOKUP($B159,Kraftvärmeprod!$B$1:$AV$479,MATCH("Producerad elenergi i kraftvärmeverk (GWh)",Kraftvärmeprod!$B$1:$AV$1,0),FALSE)),"",VLOOKUP($B159,Kraftvärmeprod!$B$1:$AV$479,MATCH("Producerad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Lerum Fjärrvärme AB</v>
      </c>
    </row>
    <row r="160" spans="1:10" x14ac:dyDescent="0.45">
      <c r="A160" s="2" t="s">
        <v>472</v>
      </c>
      <c r="B160" s="2" t="s">
        <v>473</v>
      </c>
      <c r="D160" t="str">
        <f>IF(ISERROR(1/VLOOKUP($B160,Kraftvärmeprod!$B$1:$D$479,MATCH("Total värmeproduktion i kraftvärmeverk i kombinerad drift (GWh)",Kraftvärmeprod!$B$1:$AV$1,0),FALSE)),"Ej kraftvärme","Alternativproduktionsmetoden")</f>
        <v>Ej kraftvärme</v>
      </c>
      <c r="E160" t="str">
        <f>IF(ISERROR(1/VLOOKUP($B160,Kraftvärmeprod!$B$1:$BD$479,MATCH("Total värmeproduktion i kraftvärmeverk i kombinerad drift (GWh)",Kraftvärmeprod!$B$1:$AV$1,0),FALSE)),"",VLOOKUP($B160,'Slutlig allokering kvv'!$B$1:$BC$479,MATCH(E$1,'Slutlig allokering kvv'!$B$1:$AU$1,0),FALSE))</f>
        <v/>
      </c>
      <c r="F160" t="str">
        <f>IF(ISERROR(1/VLOOKUP($B160,Kraftvärmeprod!$B$1:$AV$479,MATCH("Producerad elenergi i kraftvärmeverk (GWh)",Kraftvärmeprod!$B$1:$AV$1,0),FALSE)),"",VLOOKUP($B160,Kraftvärmeprod!$B$1:$AV$479,MATCH("Producerad elenergi i kraftvärmeverk (GWh)",Kraftvärmeprod!$B$1:$AV$1,0),FALSE))</f>
        <v/>
      </c>
      <c r="G160" t="str">
        <f>IF(ISERROR(1/VLOOKUP($B160,Miljö!$B$1:$T$480,MATCH("Såld mängd produktionsspecifik fjärrvärme (GWh)",Miljö!$B$1:$T$1,0),FALSE)),"",VLOOKUP($B160,Miljö!$B$1:$T$480,MATCH("Såld mängd produktionsspecifik fjärrvärme (GWh)",Miljö!$B$1:$T$1,0),FALSE))</f>
        <v/>
      </c>
      <c r="J160" t="str">
        <f t="shared" si="2"/>
        <v>Lerum Fjärrvärme AB</v>
      </c>
    </row>
    <row r="161" spans="1:10" x14ac:dyDescent="0.45">
      <c r="A161" s="2" t="s">
        <v>472</v>
      </c>
      <c r="B161" s="2" t="s">
        <v>471</v>
      </c>
      <c r="D161" t="str">
        <f>IF(ISERROR(1/VLOOKUP($B161,Kraftvärmeprod!$B$1:$D$479,MATCH("Total värmeproduktion i kraftvärmeverk i kombinerad drift (GWh)",Kraftvärmeprod!$B$1:$AV$1,0),FALSE)),"Ej kraftvärme","Alternativproduktionsmetoden")</f>
        <v>Ej kraftvärme</v>
      </c>
      <c r="E161" t="str">
        <f>IF(ISERROR(1/VLOOKUP($B161,Kraftvärmeprod!$B$1:$BD$479,MATCH("Total värmeproduktion i kraftvärmeverk i kombinerad drift (GWh)",Kraftvärmeprod!$B$1:$AV$1,0),FALSE)),"",VLOOKUP($B161,'Slutlig allokering kvv'!$B$1:$BC$479,MATCH(E$1,'Slutlig allokering kvv'!$B$1:$AU$1,0),FALSE))</f>
        <v/>
      </c>
      <c r="F161" t="str">
        <f>IF(ISERROR(1/VLOOKUP($B161,Kraftvärmeprod!$B$1:$AV$479,MATCH("Producerad elenergi i kraftvärmeverk (GWh)",Kraftvärmeprod!$B$1:$AV$1,0),FALSE)),"",VLOOKUP($B161,Kraftvärmeprod!$B$1:$AV$479,MATCH("Producerad elenergi i kraftvärmeverk (GWh)",Kraftvärmeprod!$B$1:$AV$1,0),FALSE))</f>
        <v/>
      </c>
      <c r="G161" t="str">
        <f>IF(ISERROR(1/VLOOKUP($B161,Miljö!$B$1:$T$480,MATCH("Såld mängd produktionsspecifik fjärrvärme (GWh)",Miljö!$B$1:$T$1,0),FALSE)),"",VLOOKUP($B161,Miljö!$B$1:$T$480,MATCH("Såld mängd produktionsspecifik fjärrvärme (GWh)",Miljö!$B$1:$T$1,0),FALSE))</f>
        <v/>
      </c>
      <c r="J161" t="str">
        <f t="shared" si="2"/>
        <v>Lerum Fjärrvärme AB</v>
      </c>
    </row>
    <row r="162" spans="1:10" x14ac:dyDescent="0.45">
      <c r="A162" s="2" t="s">
        <v>470</v>
      </c>
      <c r="B162" s="2" t="s">
        <v>469</v>
      </c>
      <c r="D162" t="str">
        <f>IF(ISERROR(1/VLOOKUP($B162,Kraftvärmeprod!$B$1:$D$479,MATCH("Total värmeproduktion i kraftvärmeverk i kombinerad drift (GWh)",Kraftvärmeprod!$B$1:$AV$1,0),FALSE)),"Ej kraftvärme","Alternativproduktionsmetoden")</f>
        <v>Ej kraftvärme</v>
      </c>
      <c r="E162" t="str">
        <f>IF(ISERROR(1/VLOOKUP($B162,Kraftvärmeprod!$B$1:$BD$479,MATCH("Total värmeproduktion i kraftvärmeverk i kombinerad drift (GWh)",Kraftvärmeprod!$B$1:$AV$1,0),FALSE)),"",VLOOKUP($B162,'Slutlig allokering kvv'!$B$1:$BC$479,MATCH(E$1,'Slutlig allokering kvv'!$B$1:$AU$1,0),FALSE))</f>
        <v/>
      </c>
      <c r="F162" t="str">
        <f>IF(ISERROR(1/VLOOKUP($B162,Kraftvärmeprod!$B$1:$AV$479,MATCH("Producerad elenergi i kraftvärmeverk (GWh)",Kraftvärmeprod!$B$1:$AV$1,0),FALSE)),"",VLOOKUP($B162,Kraftvärmeprod!$B$1:$AV$479,MATCH("Producerad elenergi i kraftvärmeverk (GWh)",Kraftvärmeprod!$B$1:$AV$1,0),FALSE))</f>
        <v/>
      </c>
      <c r="G162" t="str">
        <f>IF(ISERROR(1/VLOOKUP($B162,Miljö!$B$1:$T$480,MATCH("Såld mängd produktionsspecifik fjärrvärme (GWh)",Miljö!$B$1:$T$1,0),FALSE)),"",VLOOKUP($B162,Miljö!$B$1:$T$480,MATCH("Såld mängd produktionsspecifik fjärrvärme (GWh)",Miljö!$B$1:$T$1,0),FALSE))</f>
        <v/>
      </c>
      <c r="J162" t="str">
        <f t="shared" si="2"/>
        <v>LEVA i Lysekil AB</v>
      </c>
    </row>
    <row r="163" spans="1:10" x14ac:dyDescent="0.45">
      <c r="A163" s="2" t="s">
        <v>467</v>
      </c>
      <c r="B163" s="2" t="s">
        <v>468</v>
      </c>
      <c r="D163" t="str">
        <f>IF(ISERROR(1/VLOOKUP($B163,Kraftvärmeprod!$B$1:$D$479,MATCH("Total värmeproduktion i kraftvärmeverk i kombinerad drift (GWh)",Kraftvärmeprod!$B$1:$AV$1,0),FALSE)),"Ej kraftvärme","Alternativproduktionsmetoden")</f>
        <v>Alternativproduktionsmetoden</v>
      </c>
      <c r="E163">
        <f>IF(ISERROR(1/VLOOKUP($B163,Kraftvärmeprod!$B$1:$BD$479,MATCH("Total värmeproduktion i kraftvärmeverk i kombinerad drift (GWh)",Kraftvärmeprod!$B$1:$AV$1,0),FALSE)),"",VLOOKUP($B163,'Slutlig allokering kvv'!$B$1:$BC$479,MATCH(E$1,'Slutlig allokering kvv'!$B$1:$AU$1,0),FALSE))</f>
        <v>1</v>
      </c>
      <c r="F163" t="str">
        <f>IF(ISERROR(1/VLOOKUP($B163,Kraftvärmeprod!$B$1:$AV$479,MATCH("Producerad elenergi i kraftvärmeverk (GWh)",Kraftvärmeprod!$B$1:$AV$1,0),FALSE)),"",VLOOKUP($B163,Kraftvärmeprod!$B$1:$AV$479,MATCH("Producerad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Lidköping Energi AB</v>
      </c>
    </row>
    <row r="164" spans="1:10" x14ac:dyDescent="0.45">
      <c r="A164" s="2" t="s">
        <v>467</v>
      </c>
      <c r="B164" s="2" t="s">
        <v>466</v>
      </c>
      <c r="D164" t="str">
        <f>IF(ISERROR(1/VLOOKUP($B164,Kraftvärmeprod!$B$1:$D$479,MATCH("Total värmeproduktion i kraftvärmeverk i kombinerad drift (GWh)",Kraftvärmeprod!$B$1:$AV$1,0),FALSE)),"Ej kraftvärme","Alternativproduktionsmetoden")</f>
        <v>Alternativproduktionsmetoden</v>
      </c>
      <c r="E164">
        <f>IF(ISERROR(1/VLOOKUP($B164,Kraftvärmeprod!$B$1:$BD$479,MATCH("Total värmeproduktion i kraftvärmeverk i kombinerad drift (GWh)",Kraftvärmeprod!$B$1:$AV$1,0),FALSE)),"",VLOOKUP($B164,'Slutlig allokering kvv'!$B$1:$BC$479,MATCH(E$1,'Slutlig allokering kvv'!$B$1:$AU$1,0),FALSE))</f>
        <v>0.67281971369711047</v>
      </c>
      <c r="F164">
        <f>IF(ISERROR(1/VLOOKUP($B164,Kraftvärmeprod!$B$1:$AV$479,MATCH("Producerad elenergi i kraftvärmeverk (GWh)",Kraftvärmeprod!$B$1:$AV$1,0),FALSE)),"",VLOOKUP($B164,Kraftvärmeprod!$B$1:$AV$479,MATCH("Producerad elenergi i kraftvärmeverk (GWh)",Kraftvärmeprod!$B$1:$AV$1,0),FALSE))</f>
        <v>10.099</v>
      </c>
      <c r="G164" t="str">
        <f>IF(ISERROR(1/VLOOKUP($B164,Miljö!$B$1:$T$480,MATCH("Såld mängd produktionsspecifik fjärrvärme (GWh)",Miljö!$B$1:$T$1,0),FALSE)),"",VLOOKUP($B164,Miljö!$B$1:$T$480,MATCH("Såld mängd produktionsspecifik fjärrvärme (GWh)",Miljö!$B$1:$T$1,0),FALSE))</f>
        <v/>
      </c>
      <c r="J164" t="str">
        <f t="shared" si="2"/>
        <v>Lidköping Energi AB</v>
      </c>
    </row>
    <row r="165" spans="1:10" x14ac:dyDescent="0.45">
      <c r="A165" s="2" t="s">
        <v>465</v>
      </c>
      <c r="B165" s="2" t="s">
        <v>464</v>
      </c>
      <c r="D165" t="str">
        <f>IF(ISERROR(1/VLOOKUP($B165,Kraftvärmeprod!$B$1:$D$479,MATCH("Total värmeproduktion i kraftvärmeverk i kombinerad drift (GWh)",Kraftvärmeprod!$B$1:$AV$1,0),FALSE)),"Ej kraftvärme","Alternativproduktionsmetoden")</f>
        <v>Ej kraftvärme</v>
      </c>
      <c r="E165" t="str">
        <f>IF(ISERROR(1/VLOOKUP($B165,Kraftvärmeprod!$B$1:$BD$479,MATCH("Total värmeproduktion i kraftvärmeverk i kombinerad drift (GWh)",Kraftvärmeprod!$B$1:$AV$1,0),FALSE)),"",VLOOKUP($B165,'Slutlig allokering kvv'!$B$1:$BC$479,MATCH(E$1,'Slutlig allokering kvv'!$B$1:$AU$1,0),FALSE))</f>
        <v/>
      </c>
      <c r="F165" t="str">
        <f>IF(ISERROR(1/VLOOKUP($B165,Kraftvärmeprod!$B$1:$AV$479,MATCH("Producerad elenergi i kraftvärmeverk (GWh)",Kraftvärmeprod!$B$1:$AV$1,0),FALSE)),"",VLOOKUP($B165,Kraftvärmeprod!$B$1:$AV$479,MATCH("Producerad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Lilla Edets Fjärrvärme AB</v>
      </c>
    </row>
    <row r="166" spans="1:10" x14ac:dyDescent="0.45">
      <c r="A166" s="2" t="s">
        <v>459</v>
      </c>
      <c r="B166" s="2" t="s">
        <v>463</v>
      </c>
      <c r="D166" t="str">
        <f>IF(ISERROR(1/VLOOKUP($B166,Kraftvärmeprod!$B$1:$D$479,MATCH("Total värmeproduktion i kraftvärmeverk i kombinerad drift (GWh)",Kraftvärmeprod!$B$1:$AV$1,0),FALSE)),"Ej kraftvärme","Alternativproduktionsmetoden")</f>
        <v>Ej kraftvärme</v>
      </c>
      <c r="E166" t="str">
        <f>IF(ISERROR(1/VLOOKUP($B166,Kraftvärmeprod!$B$1:$BD$479,MATCH("Total värmeproduktion i kraftvärmeverk i kombinerad drift (GWh)",Kraftvärmeprod!$B$1:$AV$1,0),FALSE)),"",VLOOKUP($B166,'Slutlig allokering kvv'!$B$1:$BC$479,MATCH(E$1,'Slutlig allokering kvv'!$B$1:$AU$1,0),FALSE))</f>
        <v/>
      </c>
      <c r="F166" t="str">
        <f>IF(ISERROR(1/VLOOKUP($B166,Kraftvärmeprod!$B$1:$AV$479,MATCH("Producerad elenergi i kraftvärmeverk (GWh)",Kraftvärmeprod!$B$1:$AV$1,0),FALSE)),"",VLOOKUP($B166,Kraftvärmeprod!$B$1:$AV$479,MATCH("Producerad elenergi i kraftvärmeverk (GWh)",Kraftvärmeprod!$B$1:$AV$1,0),FALSE))</f>
        <v/>
      </c>
      <c r="G166" t="str">
        <f>IF(ISERROR(1/VLOOKUP($B166,Miljö!$B$1:$T$480,MATCH("Såld mängd produktionsspecifik fjärrvärme (GWh)",Miljö!$B$1:$T$1,0),FALSE)),"",VLOOKUP($B166,Miljö!$B$1:$T$480,MATCH("Såld mängd produktionsspecifik fjärrvärme (GWh)",Miljö!$B$1:$T$1,0),FALSE))</f>
        <v/>
      </c>
      <c r="J166" t="str">
        <f t="shared" si="2"/>
        <v>Linde Energi AB</v>
      </c>
    </row>
    <row r="167" spans="1:10" x14ac:dyDescent="0.45">
      <c r="A167" s="2" t="s">
        <v>459</v>
      </c>
      <c r="B167" s="2" t="s">
        <v>462</v>
      </c>
      <c r="D167" t="str">
        <f>IF(ISERROR(1/VLOOKUP($B167,Kraftvärmeprod!$B$1:$D$479,MATCH("Total värmeproduktion i kraftvärmeverk i kombinerad drift (GWh)",Kraftvärmeprod!$B$1:$AV$1,0),FALSE)),"Ej kraftvärme","Alternativproduktionsmetoden")</f>
        <v>Ej kraftvärme</v>
      </c>
      <c r="E167" t="str">
        <f>IF(ISERROR(1/VLOOKUP($B167,Kraftvärmeprod!$B$1:$BD$479,MATCH("Total värmeproduktion i kraftvärmeverk i kombinerad drift (GWh)",Kraftvärmeprod!$B$1:$AV$1,0),FALSE)),"",VLOOKUP($B167,'Slutlig allokering kvv'!$B$1:$BC$479,MATCH(E$1,'Slutlig allokering kvv'!$B$1:$AU$1,0),FALSE))</f>
        <v/>
      </c>
      <c r="F167" t="str">
        <f>IF(ISERROR(1/VLOOKUP($B167,Kraftvärmeprod!$B$1:$AV$479,MATCH("Producerad elenergi i kraftvärmeverk (GWh)",Kraftvärmeprod!$B$1:$AV$1,0),FALSE)),"",VLOOKUP($B167,Kraftvärmeprod!$B$1:$AV$479,MATCH("Producerad elenergi i kraftvärmeverk (GWh)",Kraftvärmeprod!$B$1:$AV$1,0),FALSE))</f>
        <v/>
      </c>
      <c r="G167" t="str">
        <f>IF(ISERROR(1/VLOOKUP($B167,Miljö!$B$1:$T$480,MATCH("Såld mängd produktionsspecifik fjärrvärme (GWh)",Miljö!$B$1:$T$1,0),FALSE)),"",VLOOKUP($B167,Miljö!$B$1:$T$480,MATCH("Såld mängd produktionsspecifik fjärrvärme (GWh)",Miljö!$B$1:$T$1,0),FALSE))</f>
        <v/>
      </c>
      <c r="J167" t="str">
        <f t="shared" si="2"/>
        <v>Linde Energi AB</v>
      </c>
    </row>
    <row r="168" spans="1:10" x14ac:dyDescent="0.45">
      <c r="A168" s="2" t="s">
        <v>459</v>
      </c>
      <c r="B168" s="2" t="s">
        <v>461</v>
      </c>
      <c r="D168" t="str">
        <f>IF(ISERROR(1/VLOOKUP($B168,Kraftvärmeprod!$B$1:$D$479,MATCH("Total värmeproduktion i kraftvärmeverk i kombinerad drift (GWh)",Kraftvärmeprod!$B$1:$AV$1,0),FALSE)),"Ej kraftvärme","Alternativproduktionsmetoden")</f>
        <v>Ej kraftvärme</v>
      </c>
      <c r="E168" t="str">
        <f>IF(ISERROR(1/VLOOKUP($B168,Kraftvärmeprod!$B$1:$BD$479,MATCH("Total värmeproduktion i kraftvärmeverk i kombinerad drift (GWh)",Kraftvärmeprod!$B$1:$AV$1,0),FALSE)),"",VLOOKUP($B168,'Slutlig allokering kvv'!$B$1:$BC$479,MATCH(E$1,'Slutlig allokering kvv'!$B$1:$AU$1,0),FALSE))</f>
        <v/>
      </c>
      <c r="F168" t="str">
        <f>IF(ISERROR(1/VLOOKUP($B168,Kraftvärmeprod!$B$1:$AV$479,MATCH("Producerad elenergi i kraftvärmeverk (GWh)",Kraftvärmeprod!$B$1:$AV$1,0),FALSE)),"",VLOOKUP($B168,Kraftvärmeprod!$B$1:$AV$479,MATCH("Producerad elenergi i kraftvärmeverk (GWh)",Kraftvärmeprod!$B$1:$AV$1,0),FALSE))</f>
        <v/>
      </c>
      <c r="G168" t="str">
        <f>IF(ISERROR(1/VLOOKUP($B168,Miljö!$B$1:$T$480,MATCH("Såld mängd produktionsspecifik fjärrvärme (GWh)",Miljö!$B$1:$T$1,0),FALSE)),"",VLOOKUP($B168,Miljö!$B$1:$T$480,MATCH("Såld mängd produktionsspecifik fjärrvärme (GWh)",Miljö!$B$1:$T$1,0),FALSE))</f>
        <v/>
      </c>
      <c r="J168" t="str">
        <f t="shared" si="2"/>
        <v>Linde Energi AB</v>
      </c>
    </row>
    <row r="169" spans="1:10" x14ac:dyDescent="0.45">
      <c r="A169" s="2" t="s">
        <v>459</v>
      </c>
      <c r="B169" s="2" t="s">
        <v>460</v>
      </c>
      <c r="D169" t="str">
        <f>IF(ISERROR(1/VLOOKUP($B169,Kraftvärmeprod!$B$1:$D$479,MATCH("Total värmeproduktion i kraftvärmeverk i kombinerad drift (GWh)",Kraftvärmeprod!$B$1:$AV$1,0),FALSE)),"Ej kraftvärme","Alternativproduktionsmetoden")</f>
        <v>Ej kraftvärme</v>
      </c>
      <c r="E169" t="str">
        <f>IF(ISERROR(1/VLOOKUP($B169,Kraftvärmeprod!$B$1:$BD$479,MATCH("Total värmeproduktion i kraftvärmeverk i kombinerad drift (GWh)",Kraftvärmeprod!$B$1:$AV$1,0),FALSE)),"",VLOOKUP($B169,'Slutlig allokering kvv'!$B$1:$BC$479,MATCH(E$1,'Slutlig allokering kvv'!$B$1:$AU$1,0),FALSE))</f>
        <v/>
      </c>
      <c r="F169" t="str">
        <f>IF(ISERROR(1/VLOOKUP($B169,Kraftvärmeprod!$B$1:$AV$479,MATCH("Producerad elenergi i kraftvärmeverk (GWh)",Kraftvärmeprod!$B$1:$AV$1,0),FALSE)),"",VLOOKUP($B169,Kraftvärmeprod!$B$1:$AV$479,MATCH("Producerad elenergi i kraftvärmeverk (GWh)",Kraftvärmeprod!$B$1:$AV$1,0),FALSE))</f>
        <v/>
      </c>
      <c r="G169" t="str">
        <f>IF(ISERROR(1/VLOOKUP($B169,Miljö!$B$1:$T$480,MATCH("Såld mängd produktionsspecifik fjärrvärme (GWh)",Miljö!$B$1:$T$1,0),FALSE)),"",VLOOKUP($B169,Miljö!$B$1:$T$480,MATCH("Såld mängd produktionsspecifik fjärrvärme (GWh)",Miljö!$B$1:$T$1,0),FALSE))</f>
        <v/>
      </c>
      <c r="J169" t="str">
        <f t="shared" si="2"/>
        <v>Linde Energi AB</v>
      </c>
    </row>
    <row r="170" spans="1:10" x14ac:dyDescent="0.45">
      <c r="A170" s="2" t="s">
        <v>459</v>
      </c>
      <c r="B170" s="2" t="s">
        <v>458</v>
      </c>
      <c r="D170" t="str">
        <f>IF(ISERROR(1/VLOOKUP($B170,Kraftvärmeprod!$B$1:$D$479,MATCH("Total värmeproduktion i kraftvärmeverk i kombinerad drift (GWh)",Kraftvärmeprod!$B$1:$AV$1,0),FALSE)),"Ej kraftvärme","Alternativproduktionsmetoden")</f>
        <v>Ej kraftvärme</v>
      </c>
      <c r="E170" t="str">
        <f>IF(ISERROR(1/VLOOKUP($B170,Kraftvärmeprod!$B$1:$BD$479,MATCH("Total värmeproduktion i kraftvärmeverk i kombinerad drift (GWh)",Kraftvärmeprod!$B$1:$AV$1,0),FALSE)),"",VLOOKUP($B170,'Slutlig allokering kvv'!$B$1:$BC$479,MATCH(E$1,'Slutlig allokering kvv'!$B$1:$AU$1,0),FALSE))</f>
        <v/>
      </c>
      <c r="F170" t="str">
        <f>IF(ISERROR(1/VLOOKUP($B170,Kraftvärmeprod!$B$1:$AV$479,MATCH("Producerad elenergi i kraftvärmeverk (GWh)",Kraftvärmeprod!$B$1:$AV$1,0),FALSE)),"",VLOOKUP($B170,Kraftvärmeprod!$B$1:$AV$479,MATCH("Producerad elenergi i kraftvärmeverk (GWh)",Kraftvärmeprod!$B$1:$AV$1,0),FALSE))</f>
        <v/>
      </c>
      <c r="G170" t="str">
        <f>IF(ISERROR(1/VLOOKUP($B170,Miljö!$B$1:$T$480,MATCH("Såld mängd produktionsspecifik fjärrvärme (GWh)",Miljö!$B$1:$T$1,0),FALSE)),"",VLOOKUP($B170,Miljö!$B$1:$T$480,MATCH("Såld mängd produktionsspecifik fjärrvärme (GWh)",Miljö!$B$1:$T$1,0),FALSE))</f>
        <v/>
      </c>
      <c r="J170" t="str">
        <f t="shared" si="2"/>
        <v>Linde Energi AB</v>
      </c>
    </row>
    <row r="171" spans="1:10" x14ac:dyDescent="0.45">
      <c r="A171" s="2" t="s">
        <v>457</v>
      </c>
      <c r="B171" s="2" t="s">
        <v>456</v>
      </c>
      <c r="D171" t="str">
        <f>IF(ISERROR(1/VLOOKUP($B171,Kraftvärmeprod!$B$1:$D$479,MATCH("Total värmeproduktion i kraftvärmeverk i kombinerad drift (GWh)",Kraftvärmeprod!$B$1:$AV$1,0),FALSE)),"Ej kraftvärme","Alternativproduktionsmetoden")</f>
        <v>Alternativproduktionsmetoden</v>
      </c>
      <c r="E171">
        <f>IF(ISERROR(1/VLOOKUP($B171,Kraftvärmeprod!$B$1:$BD$479,MATCH("Total värmeproduktion i kraftvärmeverk i kombinerad drift (GWh)",Kraftvärmeprod!$B$1:$AV$1,0),FALSE)),"",VLOOKUP($B171,'Slutlig allokering kvv'!$B$1:$BC$479,MATCH(E$1,'Slutlig allokering kvv'!$B$1:$AU$1,0),FALSE))</f>
        <v>0.74617026919506679</v>
      </c>
      <c r="F171">
        <f>IF(ISERROR(1/VLOOKUP($B171,Kraftvärmeprod!$B$1:$AV$479,MATCH("Producerad elenergi i kraftvärmeverk (GWh)",Kraftvärmeprod!$B$1:$AV$1,0),FALSE)),"",VLOOKUP($B171,Kraftvärmeprod!$B$1:$AV$479,MATCH("Producerad elenergi i kraftvärmeverk (GWh)",Kraftvärmeprod!$B$1:$AV$1,0),FALSE))</f>
        <v>22.58</v>
      </c>
      <c r="G171" t="str">
        <f>IF(ISERROR(1/VLOOKUP($B171,Miljö!$B$1:$T$480,MATCH("Såld mängd produktionsspecifik fjärrvärme (GWh)",Miljö!$B$1:$T$1,0),FALSE)),"",VLOOKUP($B171,Miljö!$B$1:$T$480,MATCH("Såld mängd produktionsspecifik fjärrvärme (GWh)",Miljö!$B$1:$T$1,0),FALSE))</f>
        <v/>
      </c>
      <c r="J171" t="str">
        <f t="shared" si="2"/>
        <v>Ljungby Energi AB</v>
      </c>
    </row>
    <row r="172" spans="1:10" x14ac:dyDescent="0.45">
      <c r="A172" s="2" t="s">
        <v>453</v>
      </c>
      <c r="B172" s="2" t="s">
        <v>455</v>
      </c>
      <c r="D172" t="str">
        <f>IF(ISERROR(1/VLOOKUP($B172,Kraftvärmeprod!$B$1:$D$479,MATCH("Total värmeproduktion i kraftvärmeverk i kombinerad drift (GWh)",Kraftvärmeprod!$B$1:$AV$1,0),FALSE)),"Ej kraftvärme","Alternativproduktionsmetoden")</f>
        <v>Ej kraftvärme</v>
      </c>
      <c r="E172" t="str">
        <f>IF(ISERROR(1/VLOOKUP($B172,Kraftvärmeprod!$B$1:$BD$479,MATCH("Total värmeproduktion i kraftvärmeverk i kombinerad drift (GWh)",Kraftvärmeprod!$B$1:$AV$1,0),FALSE)),"",VLOOKUP($B172,'Slutlig allokering kvv'!$B$1:$BC$479,MATCH(E$1,'Slutlig allokering kvv'!$B$1:$AU$1,0),FALSE))</f>
        <v/>
      </c>
      <c r="F172" t="str">
        <f>IF(ISERROR(1/VLOOKUP($B172,Kraftvärmeprod!$B$1:$AV$479,MATCH("Producerad elenergi i kraftvärmeverk (GWh)",Kraftvärmeprod!$B$1:$AV$1,0),FALSE)),"",VLOOKUP($B172,Kraftvärmeprod!$B$1:$AV$479,MATCH("Producerad elenergi i kraftvärmeverk (GWh)",Kraftvärmeprod!$B$1:$AV$1,0),FALSE))</f>
        <v/>
      </c>
      <c r="G172" t="str">
        <f>IF(ISERROR(1/VLOOKUP($B172,Miljö!$B$1:$T$480,MATCH("Såld mängd produktionsspecifik fjärrvärme (GWh)",Miljö!$B$1:$T$1,0),FALSE)),"",VLOOKUP($B172,Miljö!$B$1:$T$480,MATCH("Såld mängd produktionsspecifik fjärrvärme (GWh)",Miljö!$B$1:$T$1,0),FALSE))</f>
        <v/>
      </c>
      <c r="J172" t="str">
        <f t="shared" si="2"/>
        <v>Ljusdal Energi AB</v>
      </c>
    </row>
    <row r="173" spans="1:10" x14ac:dyDescent="0.45">
      <c r="A173" s="2" t="s">
        <v>453</v>
      </c>
      <c r="B173" s="2" t="s">
        <v>454</v>
      </c>
      <c r="D173" t="str">
        <f>IF(ISERROR(1/VLOOKUP($B173,Kraftvärmeprod!$B$1:$D$479,MATCH("Total värmeproduktion i kraftvärmeverk i kombinerad drift (GWh)",Kraftvärmeprod!$B$1:$AV$1,0),FALSE)),"Ej kraftvärme","Alternativproduktionsmetoden")</f>
        <v>Ej kraftvärme</v>
      </c>
      <c r="E173" t="str">
        <f>IF(ISERROR(1/VLOOKUP($B173,Kraftvärmeprod!$B$1:$BD$479,MATCH("Total värmeproduktion i kraftvärmeverk i kombinerad drift (GWh)",Kraftvärmeprod!$B$1:$AV$1,0),FALSE)),"",VLOOKUP($B173,'Slutlig allokering kvv'!$B$1:$BC$479,MATCH(E$1,'Slutlig allokering kvv'!$B$1:$AU$1,0),FALSE))</f>
        <v/>
      </c>
      <c r="F173" t="str">
        <f>IF(ISERROR(1/VLOOKUP($B173,Kraftvärmeprod!$B$1:$AV$479,MATCH("Producerad elenergi i kraftvärmeverk (GWh)",Kraftvärmeprod!$B$1:$AV$1,0),FALSE)),"",VLOOKUP($B173,Kraftvärmeprod!$B$1:$AV$479,MATCH("Producerad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Ljusdal Energi AB</v>
      </c>
    </row>
    <row r="174" spans="1:10" x14ac:dyDescent="0.45">
      <c r="A174" s="2" t="s">
        <v>453</v>
      </c>
      <c r="B174" s="2" t="s">
        <v>452</v>
      </c>
      <c r="D174" t="str">
        <f>IF(ISERROR(1/VLOOKUP($B174,Kraftvärmeprod!$B$1:$D$479,MATCH("Total värmeproduktion i kraftvärmeverk i kombinerad drift (GWh)",Kraftvärmeprod!$B$1:$AV$1,0),FALSE)),"Ej kraftvärme","Alternativproduktionsmetoden")</f>
        <v>Ej kraftvärme</v>
      </c>
      <c r="E174" t="str">
        <f>IF(ISERROR(1/VLOOKUP($B174,Kraftvärmeprod!$B$1:$BD$479,MATCH("Total värmeproduktion i kraftvärmeverk i kombinerad drift (GWh)",Kraftvärmeprod!$B$1:$AV$1,0),FALSE)),"",VLOOKUP($B174,'Slutlig allokering kvv'!$B$1:$BC$479,MATCH(E$1,'Slutlig allokering kvv'!$B$1:$AU$1,0),FALSE))</f>
        <v/>
      </c>
      <c r="F174" t="str">
        <f>IF(ISERROR(1/VLOOKUP($B174,Kraftvärmeprod!$B$1:$AV$479,MATCH("Producerad elenergi i kraftvärmeverk (GWh)",Kraftvärmeprod!$B$1:$AV$1,0),FALSE)),"",VLOOKUP($B174,Kraftvärmeprod!$B$1:$AV$479,MATCH("Producerad elenergi i kraftvärmeverk (GWh)",Kraftvärmeprod!$B$1:$AV$1,0),FALSE))</f>
        <v/>
      </c>
      <c r="G174" t="str">
        <f>IF(ISERROR(1/VLOOKUP($B174,Miljö!$B$1:$T$480,MATCH("Såld mängd produktionsspecifik fjärrvärme (GWh)",Miljö!$B$1:$T$1,0),FALSE)),"",VLOOKUP($B174,Miljö!$B$1:$T$480,MATCH("Såld mängd produktionsspecifik fjärrvärme (GWh)",Miljö!$B$1:$T$1,0),FALSE))</f>
        <v/>
      </c>
      <c r="J174" t="str">
        <f t="shared" si="2"/>
        <v>Ljusdal Energi AB</v>
      </c>
    </row>
    <row r="175" spans="1:10" x14ac:dyDescent="0.45">
      <c r="A175" s="2" t="s">
        <v>449</v>
      </c>
      <c r="B175" s="2" t="s">
        <v>451</v>
      </c>
      <c r="D175" t="str">
        <f>IF(ISERROR(1/VLOOKUP($B175,Kraftvärmeprod!$B$1:$D$479,MATCH("Total värmeproduktion i kraftvärmeverk i kombinerad drift (GWh)",Kraftvärmeprod!$B$1:$AV$1,0),FALSE)),"Ej kraftvärme","Alternativproduktionsmetoden")</f>
        <v>Ej kraftvärme</v>
      </c>
      <c r="E175" t="str">
        <f>IF(ISERROR(1/VLOOKUP($B175,Kraftvärmeprod!$B$1:$BD$479,MATCH("Total värmeproduktion i kraftvärmeverk i kombinerad drift (GWh)",Kraftvärmeprod!$B$1:$AV$1,0),FALSE)),"",VLOOKUP($B175,'Slutlig allokering kvv'!$B$1:$BC$479,MATCH(E$1,'Slutlig allokering kvv'!$B$1:$AU$1,0),FALSE))</f>
        <v/>
      </c>
      <c r="F175" t="str">
        <f>IF(ISERROR(1/VLOOKUP($B175,Kraftvärmeprod!$B$1:$AV$479,MATCH("Producerad elenergi i kraftvärmeverk (GWh)",Kraftvärmeprod!$B$1:$AV$1,0),FALSE)),"",VLOOKUP($B175,Kraftvärmeprod!$B$1:$AV$479,MATCH("Producerad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Luleå Energi AB</v>
      </c>
    </row>
    <row r="176" spans="1:10" x14ac:dyDescent="0.45">
      <c r="A176" s="2" t="s">
        <v>449</v>
      </c>
      <c r="B176" s="2" t="s">
        <v>450</v>
      </c>
      <c r="D176" t="str">
        <f>IF(ISERROR(1/VLOOKUP($B176,Kraftvärmeprod!$B$1:$D$479,MATCH("Total värmeproduktion i kraftvärmeverk i kombinerad drift (GWh)",Kraftvärmeprod!$B$1:$AV$1,0),FALSE)),"Ej kraftvärme","Alternativproduktionsmetoden")</f>
        <v>Ej kraftvärme</v>
      </c>
      <c r="E176" t="str">
        <f>IF(ISERROR(1/VLOOKUP($B176,Kraftvärmeprod!$B$1:$BD$479,MATCH("Total värmeproduktion i kraftvärmeverk i kombinerad drift (GWh)",Kraftvärmeprod!$B$1:$AV$1,0),FALSE)),"",VLOOKUP($B176,'Slutlig allokering kvv'!$B$1:$BC$479,MATCH(E$1,'Slutlig allokering kvv'!$B$1:$AU$1,0),FALSE))</f>
        <v/>
      </c>
      <c r="F176" t="str">
        <f>IF(ISERROR(1/VLOOKUP($B176,Kraftvärmeprod!$B$1:$AV$479,MATCH("Producerad elenergi i kraftvärmeverk (GWh)",Kraftvärmeprod!$B$1:$AV$1,0),FALSE)),"",VLOOKUP($B176,Kraftvärmeprod!$B$1:$AV$479,MATCH("Producerad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Luleå Energi AB</v>
      </c>
    </row>
    <row r="177" spans="1:10" x14ac:dyDescent="0.45">
      <c r="A177" s="2" t="s">
        <v>449</v>
      </c>
      <c r="B177" s="2" t="s">
        <v>448</v>
      </c>
      <c r="D177" t="str">
        <f>IF(ISERROR(1/VLOOKUP($B177,Kraftvärmeprod!$B$1:$D$479,MATCH("Total värmeproduktion i kraftvärmeverk i kombinerad drift (GWh)",Kraftvärmeprod!$B$1:$AV$1,0),FALSE)),"Ej kraftvärme","Alternativproduktionsmetoden")</f>
        <v>Ej kraftvärme</v>
      </c>
      <c r="E177" t="str">
        <f>IF(ISERROR(1/VLOOKUP($B177,Kraftvärmeprod!$B$1:$BD$479,MATCH("Total värmeproduktion i kraftvärmeverk i kombinerad drift (GWh)",Kraftvärmeprod!$B$1:$AV$1,0),FALSE)),"",VLOOKUP($B177,'Slutlig allokering kvv'!$B$1:$BC$479,MATCH(E$1,'Slutlig allokering kvv'!$B$1:$AU$1,0),FALSE))</f>
        <v/>
      </c>
      <c r="F177" t="str">
        <f>IF(ISERROR(1/VLOOKUP($B177,Kraftvärmeprod!$B$1:$AV$479,MATCH("Producerad elenergi i kraftvärmeverk (GWh)",Kraftvärmeprod!$B$1:$AV$1,0),FALSE)),"",VLOOKUP($B177,Kraftvärmeprod!$B$1:$AV$479,MATCH("Producerad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Luleå Energi AB</v>
      </c>
    </row>
    <row r="178" spans="1:10" x14ac:dyDescent="0.45">
      <c r="A178" s="2" t="s">
        <v>447</v>
      </c>
      <c r="B178" s="2" t="s">
        <v>446</v>
      </c>
      <c r="D178" t="str">
        <f>IF(ISERROR(1/VLOOKUP($B178,Kraftvärmeprod!$B$1:$D$479,MATCH("Total värmeproduktion i kraftvärmeverk i kombinerad drift (GWh)",Kraftvärmeprod!$B$1:$AV$1,0),FALSE)),"Ej kraftvärme","Alternativproduktionsmetoden")</f>
        <v>Ej kraftvärme</v>
      </c>
      <c r="E178" t="str">
        <f>IF(ISERROR(1/VLOOKUP($B178,Kraftvärmeprod!$B$1:$BD$479,MATCH("Total värmeproduktion i kraftvärmeverk i kombinerad drift (GWh)",Kraftvärmeprod!$B$1:$AV$1,0),FALSE)),"",VLOOKUP($B178,'Slutlig allokering kvv'!$B$1:$BC$479,MATCH(E$1,'Slutlig allokering kvv'!$B$1:$AU$1,0),FALSE))</f>
        <v/>
      </c>
      <c r="F178" t="str">
        <f>IF(ISERROR(1/VLOOKUP($B178,Kraftvärmeprod!$B$1:$AV$479,MATCH("Producerad elenergi i kraftvärmeverk (GWh)",Kraftvärmeprod!$B$1:$AV$1,0),FALSE)),"",VLOOKUP($B178,Kraftvärmeprod!$B$1:$AV$479,MATCH("Producerad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Malung-Sälens kommun</v>
      </c>
    </row>
    <row r="179" spans="1:10" x14ac:dyDescent="0.45">
      <c r="A179" s="2" t="s">
        <v>444</v>
      </c>
      <c r="B179" s="2" t="s">
        <v>445</v>
      </c>
      <c r="D179" t="str">
        <f>IF(ISERROR(1/VLOOKUP($B179,Kraftvärmeprod!$B$1:$D$479,MATCH("Total värmeproduktion i kraftvärmeverk i kombinerad drift (GWh)",Kraftvärmeprod!$B$1:$AV$1,0),FALSE)),"Ej kraftvärme","Alternativproduktionsmetoden")</f>
        <v>Alternativproduktionsmetoden</v>
      </c>
      <c r="E179">
        <f>IF(ISERROR(1/VLOOKUP($B179,Kraftvärmeprod!$B$1:$BD$479,MATCH("Total värmeproduktion i kraftvärmeverk i kombinerad drift (GWh)",Kraftvärmeprod!$B$1:$AV$1,0),FALSE)),"",VLOOKUP($B179,'Slutlig allokering kvv'!$B$1:$BC$479,MATCH(E$1,'Slutlig allokering kvv'!$B$1:$AU$1,0),FALSE))</f>
        <v>0.72712862444908366</v>
      </c>
      <c r="F179">
        <f>IF(ISERROR(1/VLOOKUP($B179,Kraftvärmeprod!$B$1:$AV$479,MATCH("Producerad elenergi i kraftvärmeverk (GWh)",Kraftvärmeprod!$B$1:$AV$1,0),FALSE)),"",VLOOKUP($B179,Kraftvärmeprod!$B$1:$AV$479,MATCH("Producerad elenergi i kraftvärmeverk (GWh)",Kraftvärmeprod!$B$1:$AV$1,0),FALSE))</f>
        <v>9</v>
      </c>
      <c r="G179" t="str">
        <f>IF(ISERROR(1/VLOOKUP($B179,Miljö!$B$1:$T$480,MATCH("Såld mängd produktionsspecifik fjärrvärme (GWh)",Miljö!$B$1:$T$1,0),FALSE)),"",VLOOKUP($B179,Miljö!$B$1:$T$480,MATCH("Såld mängd produktionsspecifik fjärrvärme (GWh)",Miljö!$B$1:$T$1,0),FALSE))</f>
        <v/>
      </c>
      <c r="J179" t="str">
        <f t="shared" si="2"/>
        <v>Mark Kraftvärme AB</v>
      </c>
    </row>
    <row r="180" spans="1:10" x14ac:dyDescent="0.45">
      <c r="A180" s="2" t="s">
        <v>444</v>
      </c>
      <c r="B180" s="2" t="s">
        <v>443</v>
      </c>
      <c r="D180" t="str">
        <f>IF(ISERROR(1/VLOOKUP($B180,Kraftvärmeprod!$B$1:$D$479,MATCH("Total värmeproduktion i kraftvärmeverk i kombinerad drift (GWh)",Kraftvärmeprod!$B$1:$AV$1,0),FALSE)),"Ej kraftvärme","Alternativproduktionsmetoden")</f>
        <v>Ej kraftvärme</v>
      </c>
      <c r="E180" t="str">
        <f>IF(ISERROR(1/VLOOKUP($B180,Kraftvärmeprod!$B$1:$BD$479,MATCH("Total värmeproduktion i kraftvärmeverk i kombinerad drift (GWh)",Kraftvärmeprod!$B$1:$AV$1,0),FALSE)),"",VLOOKUP($B180,'Slutlig allokering kvv'!$B$1:$BC$479,MATCH(E$1,'Slutlig allokering kvv'!$B$1:$AU$1,0),FALSE))</f>
        <v/>
      </c>
      <c r="F180" t="str">
        <f>IF(ISERROR(1/VLOOKUP($B180,Kraftvärmeprod!$B$1:$AV$479,MATCH("Producerad elenergi i kraftvärmeverk (GWh)",Kraftvärmeprod!$B$1:$AV$1,0),FALSE)),"",VLOOKUP($B180,Kraftvärmeprod!$B$1:$AV$479,MATCH("Producerad elenergi i kraftvärmeverk (GWh)",Kraftvärmeprod!$B$1:$AV$1,0),FALSE))</f>
        <v/>
      </c>
      <c r="G180" t="str">
        <f>IF(ISERROR(1/VLOOKUP($B180,Miljö!$B$1:$T$480,MATCH("Såld mängd produktionsspecifik fjärrvärme (GWh)",Miljö!$B$1:$T$1,0),FALSE)),"",VLOOKUP($B180,Miljö!$B$1:$T$480,MATCH("Såld mängd produktionsspecifik fjärrvärme (GWh)",Miljö!$B$1:$T$1,0),FALSE))</f>
        <v/>
      </c>
      <c r="J180" t="str">
        <f t="shared" si="2"/>
        <v>Mark Kraftvärme AB</v>
      </c>
    </row>
    <row r="181" spans="1:10" x14ac:dyDescent="0.45">
      <c r="A181" s="2" t="s">
        <v>442</v>
      </c>
      <c r="B181" s="2" t="s">
        <v>441</v>
      </c>
      <c r="D181" t="str">
        <f>IF(ISERROR(1/VLOOKUP($B181,Kraftvärmeprod!$B$1:$D$479,MATCH("Total värmeproduktion i kraftvärmeverk i kombinerad drift (GWh)",Kraftvärmeprod!$B$1:$AV$1,0),FALSE)),"Ej kraftvärme","Alternativproduktionsmetoden")</f>
        <v>Alternativproduktionsmetoden</v>
      </c>
      <c r="E181">
        <f>IF(ISERROR(1/VLOOKUP($B181,Kraftvärmeprod!$B$1:$BD$479,MATCH("Total värmeproduktion i kraftvärmeverk i kombinerad drift (GWh)",Kraftvärmeprod!$B$1:$AV$1,0),FALSE)),"",VLOOKUP($B181,'Slutlig allokering kvv'!$B$1:$BC$479,MATCH(E$1,'Slutlig allokering kvv'!$B$1:$AU$1,0),FALSE))</f>
        <v>0.49015275816993453</v>
      </c>
      <c r="F181">
        <f>IF(ISERROR(1/VLOOKUP($B181,Kraftvärmeprod!$B$1:$AV$479,MATCH("Producerad elenergi i kraftvärmeverk (GWh)",Kraftvärmeprod!$B$1:$AV$1,0),FALSE)),"",VLOOKUP($B181,Kraftvärmeprod!$B$1:$AV$479,MATCH("Producerad elenergi i kraftvärmeverk (GWh)",Kraftvärmeprod!$B$1:$AV$1,0),FALSE))</f>
        <v>36.1</v>
      </c>
      <c r="G181" t="str">
        <f>IF(ISERROR(1/VLOOKUP($B181,Miljö!$B$1:$T$480,MATCH("Såld mängd produktionsspecifik fjärrvärme (GWh)",Miljö!$B$1:$T$1,0),FALSE)),"",VLOOKUP($B181,Miljö!$B$1:$T$480,MATCH("Såld mängd produktionsspecifik fjärrvärme (GWh)",Miljö!$B$1:$T$1,0),FALSE))</f>
        <v/>
      </c>
      <c r="J181" t="str">
        <f t="shared" si="2"/>
        <v>Mjölby-Svartådalen Energi AB</v>
      </c>
    </row>
    <row r="182" spans="1:10" x14ac:dyDescent="0.45">
      <c r="A182" s="2" t="s">
        <v>440</v>
      </c>
      <c r="B182" s="2" t="s">
        <v>439</v>
      </c>
      <c r="D182" t="str">
        <f>IF(ISERROR(1/VLOOKUP($B182,Kraftvärmeprod!$B$1:$D$479,MATCH("Total värmeproduktion i kraftvärmeverk i kombinerad drift (GWh)",Kraftvärmeprod!$B$1:$AV$1,0),FALSE)),"Ej kraftvärme","Alternativproduktionsmetoden")</f>
        <v>Ej kraftvärme</v>
      </c>
      <c r="E182" t="str">
        <f>IF(ISERROR(1/VLOOKUP($B182,Kraftvärmeprod!$B$1:$BD$479,MATCH("Total värmeproduktion i kraftvärmeverk i kombinerad drift (GWh)",Kraftvärmeprod!$B$1:$AV$1,0),FALSE)),"",VLOOKUP($B182,'Slutlig allokering kvv'!$B$1:$BC$479,MATCH(E$1,'Slutlig allokering kvv'!$B$1:$AU$1,0),FALSE))</f>
        <v/>
      </c>
      <c r="F182" t="str">
        <f>IF(ISERROR(1/VLOOKUP($B182,Kraftvärmeprod!$B$1:$AV$479,MATCH("Producerad elenergi i kraftvärmeverk (GWh)",Kraftvärmeprod!$B$1:$AV$1,0),FALSE)),"",VLOOKUP($B182,Kraftvärmeprod!$B$1:$AV$479,MATCH("Producerad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Mullsjö Energi &amp; Miljö AB</v>
      </c>
    </row>
    <row r="183" spans="1:10" x14ac:dyDescent="0.45">
      <c r="A183" s="2" t="s">
        <v>438</v>
      </c>
      <c r="B183" s="2" t="s">
        <v>437</v>
      </c>
      <c r="D183" t="str">
        <f>IF(ISERROR(1/VLOOKUP($B183,Kraftvärmeprod!$B$1:$D$479,MATCH("Total värmeproduktion i kraftvärmeverk i kombinerad drift (GWh)",Kraftvärmeprod!$B$1:$AV$1,0),FALSE)),"Ej kraftvärme","Alternativproduktionsmetoden")</f>
        <v>Ej kraftvärme</v>
      </c>
      <c r="E183" t="str">
        <f>IF(ISERROR(1/VLOOKUP($B183,Kraftvärmeprod!$B$1:$BD$479,MATCH("Total värmeproduktion i kraftvärmeverk i kombinerad drift (GWh)",Kraftvärmeprod!$B$1:$AV$1,0),FALSE)),"",VLOOKUP($B183,'Slutlig allokering kvv'!$B$1:$BC$479,MATCH(E$1,'Slutlig allokering kvv'!$B$1:$AU$1,0),FALSE))</f>
        <v/>
      </c>
      <c r="F183" t="str">
        <f>IF(ISERROR(1/VLOOKUP($B183,Kraftvärmeprod!$B$1:$AV$479,MATCH("Producerad elenergi i kraftvärmeverk (GWh)",Kraftvärmeprod!$B$1:$AV$1,0),FALSE)),"",VLOOKUP($B183,Kraftvärmeprod!$B$1:$AV$479,MATCH("Producerad elenergi i kraftvärmeverk (GWh)",Kraftvärmeprod!$B$1:$AV$1,0),FALSE))</f>
        <v/>
      </c>
      <c r="G183" t="str">
        <f>IF(ISERROR(1/VLOOKUP($B183,Miljö!$B$1:$T$480,MATCH("Såld mängd produktionsspecifik fjärrvärme (GWh)",Miljö!$B$1:$T$1,0),FALSE)),"",VLOOKUP($B183,Miljö!$B$1:$T$480,MATCH("Såld mängd produktionsspecifik fjärrvärme (GWh)",Miljö!$B$1:$T$1,0),FALSE))</f>
        <v/>
      </c>
      <c r="J183" t="str">
        <f t="shared" si="2"/>
        <v>Munkfors Energi AB</v>
      </c>
    </row>
    <row r="184" spans="1:10" x14ac:dyDescent="0.45">
      <c r="A184" s="2" t="s">
        <v>432</v>
      </c>
      <c r="B184" s="2" t="s">
        <v>436</v>
      </c>
      <c r="D184" t="str">
        <f>IF(ISERROR(1/VLOOKUP($B184,Kraftvärmeprod!$B$1:$D$479,MATCH("Total värmeproduktion i kraftvärmeverk i kombinerad drift (GWh)",Kraftvärmeprod!$B$1:$AV$1,0),FALSE)),"Ej kraftvärme","Alternativproduktionsmetoden")</f>
        <v>Ej kraftvärme</v>
      </c>
      <c r="E184" t="str">
        <f>IF(ISERROR(1/VLOOKUP($B184,Kraftvärmeprod!$B$1:$BD$479,MATCH("Total värmeproduktion i kraftvärmeverk i kombinerad drift (GWh)",Kraftvärmeprod!$B$1:$AV$1,0),FALSE)),"",VLOOKUP($B184,'Slutlig allokering kvv'!$B$1:$BC$479,MATCH(E$1,'Slutlig allokering kvv'!$B$1:$AU$1,0),FALSE))</f>
        <v/>
      </c>
      <c r="F184" t="str">
        <f>IF(ISERROR(1/VLOOKUP($B184,Kraftvärmeprod!$B$1:$AV$479,MATCH("Producerad elenergi i kraftvärmeverk (GWh)",Kraftvärmeprod!$B$1:$AV$1,0),FALSE)),"",VLOOKUP($B184,Kraftvärmeprod!$B$1:$AV$479,MATCH("Producerad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Mälarenergi AB</v>
      </c>
    </row>
    <row r="185" spans="1:10" x14ac:dyDescent="0.45">
      <c r="A185" s="2" t="s">
        <v>432</v>
      </c>
      <c r="B185" s="2" t="s">
        <v>435</v>
      </c>
      <c r="D185" t="str">
        <f>IF(ISERROR(1/VLOOKUP($B185,Kraftvärmeprod!$B$1:$D$479,MATCH("Total värmeproduktion i kraftvärmeverk i kombinerad drift (GWh)",Kraftvärmeprod!$B$1:$AV$1,0),FALSE)),"Ej kraftvärme","Alternativproduktionsmetoden")</f>
        <v>Ej kraftvärme</v>
      </c>
      <c r="E185" t="str">
        <f>IF(ISERROR(1/VLOOKUP($B185,Kraftvärmeprod!$B$1:$BD$479,MATCH("Total värmeproduktion i kraftvärmeverk i kombinerad drift (GWh)",Kraftvärmeprod!$B$1:$AV$1,0),FALSE)),"",VLOOKUP($B185,'Slutlig allokering kvv'!$B$1:$BC$479,MATCH(E$1,'Slutlig allokering kvv'!$B$1:$AU$1,0),FALSE))</f>
        <v/>
      </c>
      <c r="F185" t="str">
        <f>IF(ISERROR(1/VLOOKUP($B185,Kraftvärmeprod!$B$1:$AV$479,MATCH("Producerad elenergi i kraftvärmeverk (GWh)",Kraftvärmeprod!$B$1:$AV$1,0),FALSE)),"",VLOOKUP($B185,Kraftvärmeprod!$B$1:$AV$479,MATCH("Producerad elenergi i kraftvärmeverk (GWh)",Kraftvärmeprod!$B$1:$AV$1,0),FALSE))</f>
        <v/>
      </c>
      <c r="G185" t="str">
        <f>IF(ISERROR(1/VLOOKUP($B185,Miljö!$B$1:$T$480,MATCH("Såld mängd produktionsspecifik fjärrvärme (GWh)",Miljö!$B$1:$T$1,0),FALSE)),"",VLOOKUP($B185,Miljö!$B$1:$T$480,MATCH("Såld mängd produktionsspecifik fjärrvärme (GWh)",Miljö!$B$1:$T$1,0),FALSE))</f>
        <v/>
      </c>
      <c r="J185" t="str">
        <f t="shared" si="2"/>
        <v>Mälarenergi AB</v>
      </c>
    </row>
    <row r="186" spans="1:10" x14ac:dyDescent="0.45">
      <c r="A186" s="2" t="s">
        <v>432</v>
      </c>
      <c r="B186" s="2" t="s">
        <v>434</v>
      </c>
      <c r="D186" t="str">
        <f>IF(ISERROR(1/VLOOKUP($B186,Kraftvärmeprod!$B$1:$D$479,MATCH("Total värmeproduktion i kraftvärmeverk i kombinerad drift (GWh)",Kraftvärmeprod!$B$1:$AV$1,0),FALSE)),"Ej kraftvärme","Alternativproduktionsmetoden")</f>
        <v>Alternativproduktionsmetoden</v>
      </c>
      <c r="E186">
        <f>IF(ISERROR(1/VLOOKUP($B186,Kraftvärmeprod!$B$1:$BD$479,MATCH("Total värmeproduktion i kraftvärmeverk i kombinerad drift (GWh)",Kraftvärmeprod!$B$1:$AV$1,0),FALSE)),"",VLOOKUP($B186,'Slutlig allokering kvv'!$B$1:$BC$479,MATCH(E$1,'Slutlig allokering kvv'!$B$1:$AU$1,0),FALSE))</f>
        <v>0.43224214706944281</v>
      </c>
      <c r="F186">
        <f>IF(ISERROR(1/VLOOKUP($B186,Kraftvärmeprod!$B$1:$AV$479,MATCH("Producerad elenergi i kraftvärmeverk (GWh)",Kraftvärmeprod!$B$1:$AV$1,0),FALSE)),"",VLOOKUP($B186,Kraftvärmeprod!$B$1:$AV$479,MATCH("Producerad elenergi i kraftvärmeverk (GWh)",Kraftvärmeprod!$B$1:$AV$1,0),FALSE))</f>
        <v>499.4</v>
      </c>
      <c r="G186" t="str">
        <f>IF(ISERROR(1/VLOOKUP($B186,Miljö!$B$1:$T$480,MATCH("Såld mängd produktionsspecifik fjärrvärme (GWh)",Miljö!$B$1:$T$1,0),FALSE)),"",VLOOKUP($B186,Miljö!$B$1:$T$480,MATCH("Såld mängd produktionsspecifik fjärrvärme (GWh)",Miljö!$B$1:$T$1,0),FALSE))</f>
        <v/>
      </c>
      <c r="J186" t="str">
        <f t="shared" si="2"/>
        <v>Mälarenergi AB</v>
      </c>
    </row>
    <row r="187" spans="1:10" x14ac:dyDescent="0.45">
      <c r="A187" s="2" t="s">
        <v>432</v>
      </c>
      <c r="B187" s="2" t="s">
        <v>431</v>
      </c>
      <c r="D187" t="str">
        <f>IF(ISERROR(1/VLOOKUP($B187,Kraftvärmeprod!$B$1:$D$479,MATCH("Total värmeproduktion i kraftvärmeverk i kombinerad drift (GWh)",Kraftvärmeprod!$B$1:$AV$1,0),FALSE)),"Ej kraftvärme","Alternativproduktionsmetoden")</f>
        <v>Alternativproduktionsmetoden</v>
      </c>
      <c r="E187">
        <f>IF(ISERROR(1/VLOOKUP($B187,Kraftvärmeprod!$B$1:$BD$479,MATCH("Total värmeproduktion i kraftvärmeverk i kombinerad drift (GWh)",Kraftvärmeprod!$B$1:$AV$1,0),FALSE)),"",VLOOKUP($B187,'Slutlig allokering kvv'!$B$1:$BC$479,MATCH(E$1,'Slutlig allokering kvv'!$B$1:$AU$1,0),FALSE))</f>
        <v>0.47752199413489743</v>
      </c>
      <c r="F187">
        <f>IF(ISERROR(1/VLOOKUP($B187,Kraftvärmeprod!$B$1:$AV$479,MATCH("Producerad elenergi i kraftvärmeverk (GWh)",Kraftvärmeprod!$B$1:$AV$1,0),FALSE)),"",VLOOKUP($B187,Kraftvärmeprod!$B$1:$AV$479,MATCH("Producerad elenergi i kraftvärmeverk (GWh)",Kraftvärmeprod!$B$1:$AV$1,0),FALSE))</f>
        <v>18.98</v>
      </c>
      <c r="G187" t="str">
        <f>IF(ISERROR(1/VLOOKUP($B187,Miljö!$B$1:$T$480,MATCH("Såld mängd produktionsspecifik fjärrvärme (GWh)",Miljö!$B$1:$T$1,0),FALSE)),"",VLOOKUP($B187,Miljö!$B$1:$T$480,MATCH("Såld mängd produktionsspecifik fjärrvärme (GWh)",Miljö!$B$1:$T$1,0),FALSE))</f>
        <v/>
      </c>
      <c r="J187" t="str">
        <f t="shared" si="2"/>
        <v>Mälarenergi AB</v>
      </c>
    </row>
    <row r="188" spans="1:10" x14ac:dyDescent="0.45">
      <c r="A188" s="2" t="s">
        <v>428</v>
      </c>
      <c r="B188" s="2" t="s">
        <v>430</v>
      </c>
      <c r="D188" t="str">
        <f>IF(ISERROR(1/VLOOKUP($B188,Kraftvärmeprod!$B$1:$D$479,MATCH("Total värmeproduktion i kraftvärmeverk i kombinerad drift (GWh)",Kraftvärmeprod!$B$1:$AV$1,0),FALSE)),"Ej kraftvärme","Alternativproduktionsmetoden")</f>
        <v>Alternativproduktionsmetoden</v>
      </c>
      <c r="E188">
        <f>IF(ISERROR(1/VLOOKUP($B188,Kraftvärmeprod!$B$1:$BD$479,MATCH("Total värmeproduktion i kraftvärmeverk i kombinerad drift (GWh)",Kraftvärmeprod!$B$1:$AV$1,0),FALSE)),"",VLOOKUP($B188,'Slutlig allokering kvv'!$B$1:$BC$479,MATCH(E$1,'Slutlig allokering kvv'!$B$1:$AU$1,0),FALSE))</f>
        <v>0.45671867497604518</v>
      </c>
      <c r="F188">
        <f>IF(ISERROR(1/VLOOKUP($B188,Kraftvärmeprod!$B$1:$AV$479,MATCH("Producerad elenergi i kraftvärmeverk (GWh)",Kraftvärmeprod!$B$1:$AV$1,0),FALSE)),"",VLOOKUP($B188,Kraftvärmeprod!$B$1:$AV$479,MATCH("Producerad elenergi i kraftvärmeverk (GWh)",Kraftvärmeprod!$B$1:$AV$1,0),FALSE))</f>
        <v>101.744</v>
      </c>
      <c r="G188">
        <f>IF(ISERROR(1/VLOOKUP($B188,Miljö!$B$1:$T$480,MATCH("Såld mängd produktionsspecifik fjärrvärme (GWh)",Miljö!$B$1:$T$1,0),FALSE)),"",VLOOKUP($B188,Miljö!$B$1:$T$480,MATCH("Såld mängd produktionsspecifik fjärrvärme (GWh)",Miljö!$B$1:$T$1,0),FALSE))</f>
        <v>109.63500000000001</v>
      </c>
      <c r="J188" t="str">
        <f t="shared" si="2"/>
        <v>Mölndal Energi AB</v>
      </c>
    </row>
    <row r="189" spans="1:10" x14ac:dyDescent="0.45">
      <c r="A189" s="2" t="s">
        <v>428</v>
      </c>
      <c r="B189" s="2" t="s">
        <v>429</v>
      </c>
      <c r="D189" t="str">
        <f>IF(ISERROR(1/VLOOKUP($B189,Kraftvärmeprod!$B$1:$D$479,MATCH("Total värmeproduktion i kraftvärmeverk i kombinerad drift (GWh)",Kraftvärmeprod!$B$1:$AV$1,0),FALSE)),"Ej kraftvärme","Alternativproduktionsmetoden")</f>
        <v>Alternativproduktionsmetoden</v>
      </c>
      <c r="E189">
        <f>IF(ISERROR(1/VLOOKUP($B189,Kraftvärmeprod!$B$1:$BD$479,MATCH("Total värmeproduktion i kraftvärmeverk i kombinerad drift (GWh)",Kraftvärmeprod!$B$1:$AV$1,0),FALSE)),"",VLOOKUP($B189,'Slutlig allokering kvv'!$B$1:$BC$479,MATCH(E$1,'Slutlig allokering kvv'!$B$1:$AU$1,0),FALSE))</f>
        <v>0.45670547617624208</v>
      </c>
      <c r="F189">
        <f>IF(ISERROR(1/VLOOKUP($B189,Kraftvärmeprod!$B$1:$AV$479,MATCH("Producerad elenergi i kraftvärmeverk (GWh)",Kraftvärmeprod!$B$1:$AV$1,0),FALSE)),"",VLOOKUP($B189,Kraftvärmeprod!$B$1:$AV$479,MATCH("Producerad elenergi i kraftvärmeverk (GWh)",Kraftvärmeprod!$B$1:$AV$1,0),FALSE))</f>
        <v>20.544</v>
      </c>
      <c r="G189" t="str">
        <f>IF(ISERROR(1/VLOOKUP($B189,Miljö!$B$1:$T$480,MATCH("Såld mängd produktionsspecifik fjärrvärme (GWh)",Miljö!$B$1:$T$1,0),FALSE)),"",VLOOKUP($B189,Miljö!$B$1:$T$480,MATCH("Såld mängd produktionsspecifik fjärrvärme (GWh)",Miljö!$B$1:$T$1,0),FALSE))</f>
        <v/>
      </c>
      <c r="J189" t="str">
        <f t="shared" si="2"/>
        <v>Mölndal Energi AB</v>
      </c>
    </row>
    <row r="190" spans="1:10" x14ac:dyDescent="0.45">
      <c r="A190" s="2" t="s">
        <v>428</v>
      </c>
      <c r="B190" s="2" t="s">
        <v>427</v>
      </c>
      <c r="D190" t="str">
        <f>IF(ISERROR(1/VLOOKUP($B190,Kraftvärmeprod!$B$1:$D$479,MATCH("Total värmeproduktion i kraftvärmeverk i kombinerad drift (GWh)",Kraftvärmeprod!$B$1:$AV$1,0),FALSE)),"Ej kraftvärme","Alternativproduktionsmetoden")</f>
        <v>Ej kraftvärme</v>
      </c>
      <c r="E190" t="str">
        <f>IF(ISERROR(1/VLOOKUP($B190,Kraftvärmeprod!$B$1:$BD$479,MATCH("Total värmeproduktion i kraftvärmeverk i kombinerad drift (GWh)",Kraftvärmeprod!$B$1:$AV$1,0),FALSE)),"",VLOOKUP($B190,'Slutlig allokering kvv'!$B$1:$BC$479,MATCH(E$1,'Slutlig allokering kvv'!$B$1:$AU$1,0),FALSE))</f>
        <v/>
      </c>
      <c r="F190" t="str">
        <f>IF(ISERROR(1/VLOOKUP($B190,Kraftvärmeprod!$B$1:$AV$479,MATCH("Producerad elenergi i kraftvärmeverk (GWh)",Kraftvärmeprod!$B$1:$AV$1,0),FALSE)),"",VLOOKUP($B190,Kraftvärmeprod!$B$1:$AV$479,MATCH("Producerad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Mölndal Energi AB</v>
      </c>
    </row>
    <row r="191" spans="1:10" x14ac:dyDescent="0.45">
      <c r="A191" s="2" t="s">
        <v>418</v>
      </c>
      <c r="B191" s="2" t="s">
        <v>426</v>
      </c>
      <c r="D191" t="str">
        <f>IF(ISERROR(1/VLOOKUP($B191,Kraftvärmeprod!$B$1:$D$479,MATCH("Total värmeproduktion i kraftvärmeverk i kombinerad drift (GWh)",Kraftvärmeprod!$B$1:$AV$1,0),FALSE)),"Ej kraftvärme","Alternativproduktionsmetoden")</f>
        <v>Ej kraftvärme</v>
      </c>
      <c r="E191" t="str">
        <f>IF(ISERROR(1/VLOOKUP($B191,Kraftvärmeprod!$B$1:$BD$479,MATCH("Total värmeproduktion i kraftvärmeverk i kombinerad drift (GWh)",Kraftvärmeprod!$B$1:$AV$1,0),FALSE)),"",VLOOKUP($B191,'Slutlig allokering kvv'!$B$1:$BC$479,MATCH(E$1,'Slutlig allokering kvv'!$B$1:$AU$1,0),FALSE))</f>
        <v/>
      </c>
      <c r="F191" t="str">
        <f>IF(ISERROR(1/VLOOKUP($B191,Kraftvärmeprod!$B$1:$AV$479,MATCH("Producerad elenergi i kraftvärmeverk (GWh)",Kraftvärmeprod!$B$1:$AV$1,0),FALSE)),"",VLOOKUP($B191,Kraftvärmeprod!$B$1:$AV$479,MATCH("Producerad elenergi i kraftvärmeverk (GWh)",Kraftvärmeprod!$B$1:$AV$1,0),FALSE))</f>
        <v/>
      </c>
      <c r="G191" t="str">
        <f>IF(ISERROR(1/VLOOKUP($B191,Miljö!$B$1:$T$480,MATCH("Såld mängd produktionsspecifik fjärrvärme (GWh)",Miljö!$B$1:$T$1,0),FALSE)),"",VLOOKUP($B191,Miljö!$B$1:$T$480,MATCH("Såld mängd produktionsspecifik fjärrvärme (GWh)",Miljö!$B$1:$T$1,0),FALSE))</f>
        <v/>
      </c>
      <c r="J191" t="str">
        <f t="shared" si="2"/>
        <v>Nevel AB</v>
      </c>
    </row>
    <row r="192" spans="1:10" x14ac:dyDescent="0.45">
      <c r="A192" s="2" t="s">
        <v>418</v>
      </c>
      <c r="B192" s="2" t="s">
        <v>424</v>
      </c>
      <c r="D192" t="str">
        <f>IF(ISERROR(1/VLOOKUP($B192,Kraftvärmeprod!$B$1:$D$479,MATCH("Total värmeproduktion i kraftvärmeverk i kombinerad drift (GWh)",Kraftvärmeprod!$B$1:$AV$1,0),FALSE)),"Ej kraftvärme","Alternativproduktionsmetoden")</f>
        <v>Ej kraftvärme</v>
      </c>
      <c r="E192" t="str">
        <f>IF(ISERROR(1/VLOOKUP($B192,Kraftvärmeprod!$B$1:$BD$479,MATCH("Total värmeproduktion i kraftvärmeverk i kombinerad drift (GWh)",Kraftvärmeprod!$B$1:$AV$1,0),FALSE)),"",VLOOKUP($B192,'Slutlig allokering kvv'!$B$1:$BC$479,MATCH(E$1,'Slutlig allokering kvv'!$B$1:$AU$1,0),FALSE))</f>
        <v/>
      </c>
      <c r="F192" t="str">
        <f>IF(ISERROR(1/VLOOKUP($B192,Kraftvärmeprod!$B$1:$AV$479,MATCH("Producerad elenergi i kraftvärmeverk (GWh)",Kraftvärmeprod!$B$1:$AV$1,0),FALSE)),"",VLOOKUP($B192,Kraftvärmeprod!$B$1:$AV$479,MATCH("Producerad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Nevel AB</v>
      </c>
    </row>
    <row r="193" spans="1:10" x14ac:dyDescent="0.45">
      <c r="A193" s="2" t="s">
        <v>418</v>
      </c>
      <c r="B193" s="2" t="s">
        <v>423</v>
      </c>
      <c r="D193" t="str">
        <f>IF(ISERROR(1/VLOOKUP($B193,Kraftvärmeprod!$B$1:$D$479,MATCH("Total värmeproduktion i kraftvärmeverk i kombinerad drift (GWh)",Kraftvärmeprod!$B$1:$AV$1,0),FALSE)),"Ej kraftvärme","Alternativproduktionsmetoden")</f>
        <v>Ej kraftvärme</v>
      </c>
      <c r="E193" t="str">
        <f>IF(ISERROR(1/VLOOKUP($B193,Kraftvärmeprod!$B$1:$BD$479,MATCH("Total värmeproduktion i kraftvärmeverk i kombinerad drift (GWh)",Kraftvärmeprod!$B$1:$AV$1,0),FALSE)),"",VLOOKUP($B193,'Slutlig allokering kvv'!$B$1:$BC$479,MATCH(E$1,'Slutlig allokering kvv'!$B$1:$AU$1,0),FALSE))</f>
        <v/>
      </c>
      <c r="F193" t="str">
        <f>IF(ISERROR(1/VLOOKUP($B193,Kraftvärmeprod!$B$1:$AV$479,MATCH("Producerad elenergi i kraftvärmeverk (GWh)",Kraftvärmeprod!$B$1:$AV$1,0),FALSE)),"",VLOOKUP($B193,Kraftvärmeprod!$B$1:$AV$479,MATCH("Producerad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Nevel AB</v>
      </c>
    </row>
    <row r="194" spans="1:10" x14ac:dyDescent="0.45">
      <c r="A194" s="2" t="s">
        <v>418</v>
      </c>
      <c r="B194" s="2" t="s">
        <v>422</v>
      </c>
      <c r="D194" t="str">
        <f>IF(ISERROR(1/VLOOKUP($B194,Kraftvärmeprod!$B$1:$D$479,MATCH("Total värmeproduktion i kraftvärmeverk i kombinerad drift (GWh)",Kraftvärmeprod!$B$1:$AV$1,0),FALSE)),"Ej kraftvärme","Alternativproduktionsmetoden")</f>
        <v>Ej kraftvärme</v>
      </c>
      <c r="E194" t="str">
        <f>IF(ISERROR(1/VLOOKUP($B194,Kraftvärmeprod!$B$1:$BD$479,MATCH("Total värmeproduktion i kraftvärmeverk i kombinerad drift (GWh)",Kraftvärmeprod!$B$1:$AV$1,0),FALSE)),"",VLOOKUP($B194,'Slutlig allokering kvv'!$B$1:$BC$479,MATCH(E$1,'Slutlig allokering kvv'!$B$1:$AU$1,0),FALSE))</f>
        <v/>
      </c>
      <c r="F194" t="str">
        <f>IF(ISERROR(1/VLOOKUP($B194,Kraftvärmeprod!$B$1:$AV$479,MATCH("Producerad elenergi i kraftvärmeverk (GWh)",Kraftvärmeprod!$B$1:$AV$1,0),FALSE)),"",VLOOKUP($B194,Kraftvärmeprod!$B$1:$AV$479,MATCH("Producerad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Nevel AB</v>
      </c>
    </row>
    <row r="195" spans="1:10" x14ac:dyDescent="0.45">
      <c r="A195" s="2" t="s">
        <v>418</v>
      </c>
      <c r="B195" s="2" t="s">
        <v>1181</v>
      </c>
      <c r="D195" t="str">
        <f>IF(ISERROR(1/VLOOKUP($B195,Kraftvärmeprod!$B$1:$D$479,MATCH("Total värmeproduktion i kraftvärmeverk i kombinerad drift (GWh)",Kraftvärmeprod!$B$1:$AV$1,0),FALSE)),"Ej kraftvärme","Alternativproduktionsmetoden")</f>
        <v>Ej kraftvärme</v>
      </c>
      <c r="E195" t="str">
        <f>IF(ISERROR(1/VLOOKUP($B195,Kraftvärmeprod!$B$1:$BD$479,MATCH("Total värmeproduktion i kraftvärmeverk i kombinerad drift (GWh)",Kraftvärmeprod!$B$1:$AV$1,0),FALSE)),"",VLOOKUP($B195,'Slutlig allokering kvv'!$B$1:$BC$479,MATCH(E$1,'Slutlig allokering kvv'!$B$1:$AU$1,0),FALSE))</f>
        <v/>
      </c>
      <c r="F195" t="str">
        <f>IF(ISERROR(1/VLOOKUP($B195,Kraftvärmeprod!$B$1:$AV$479,MATCH("Producerad elenergi i kraftvärmeverk (GWh)",Kraftvärmeprod!$B$1:$AV$1,0),FALSE)),"",VLOOKUP($B195,Kraftvärmeprod!$B$1:$AV$479,MATCH("Producerad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si="2"/>
        <v>Nevel AB</v>
      </c>
    </row>
    <row r="196" spans="1:10" x14ac:dyDescent="0.45">
      <c r="A196" s="2" t="s">
        <v>418</v>
      </c>
      <c r="B196" s="2" t="s">
        <v>97</v>
      </c>
      <c r="D196" t="str">
        <f>IF(ISERROR(1/VLOOKUP($B196,Kraftvärmeprod!$B$1:$D$479,MATCH("Total värmeproduktion i kraftvärmeverk i kombinerad drift (GWh)",Kraftvärmeprod!$B$1:$AV$1,0),FALSE)),"Ej kraftvärme","Alternativproduktionsmetoden")</f>
        <v>Ej kraftvärme</v>
      </c>
      <c r="E196" t="str">
        <f>IF(ISERROR(1/VLOOKUP($B196,Kraftvärmeprod!$B$1:$BD$479,MATCH("Total värmeproduktion i kraftvärmeverk i kombinerad drift (GWh)",Kraftvärmeprod!$B$1:$AV$1,0),FALSE)),"",VLOOKUP($B196,'Slutlig allokering kvv'!$B$1:$BC$479,MATCH(E$1,'Slutlig allokering kvv'!$B$1:$AU$1,0),FALSE))</f>
        <v/>
      </c>
      <c r="F196" t="str">
        <f>IF(ISERROR(1/VLOOKUP($B196,Kraftvärmeprod!$B$1:$AV$479,MATCH("Producerad elenergi i kraftvärmeverk (GWh)",Kraftvärmeprod!$B$1:$AV$1,0),FALSE)),"",VLOOKUP($B196,Kraftvärmeprod!$B$1:$AV$479,MATCH("Producerad elenergi i kraftvärmeverk (GWh)",Kraftvärmeprod!$B$1:$AV$1,0),FALSE))</f>
        <v/>
      </c>
      <c r="G196" t="str">
        <f>IF(ISERROR(1/VLOOKUP($B196,Miljö!$B$1:$T$480,MATCH("Såld mängd produktionsspecifik fjärrvärme (GWh)",Miljö!$B$1:$T$1,0),FALSE)),"",VLOOKUP($B196,Miljö!$B$1:$T$480,MATCH("Såld mängd produktionsspecifik fjärrvärme (GWh)",Miljö!$B$1:$T$1,0),FALSE))</f>
        <v/>
      </c>
      <c r="J196" t="str">
        <f t="shared" ref="J196:J259" si="3">A196</f>
        <v>Nevel AB</v>
      </c>
    </row>
    <row r="197" spans="1:10" x14ac:dyDescent="0.45">
      <c r="A197" s="2" t="s">
        <v>418</v>
      </c>
      <c r="B197" s="2" t="s">
        <v>99</v>
      </c>
      <c r="D197" t="str">
        <f>IF(ISERROR(1/VLOOKUP($B197,Kraftvärmeprod!$B$1:$D$479,MATCH("Total värmeproduktion i kraftvärmeverk i kombinerad drift (GWh)",Kraftvärmeprod!$B$1:$AV$1,0),FALSE)),"Ej kraftvärme","Alternativproduktionsmetoden")</f>
        <v>Ej kraftvärme</v>
      </c>
      <c r="E197" t="str">
        <f>IF(ISERROR(1/VLOOKUP($B197,Kraftvärmeprod!$B$1:$BD$479,MATCH("Total värmeproduktion i kraftvärmeverk i kombinerad drift (GWh)",Kraftvärmeprod!$B$1:$AV$1,0),FALSE)),"",VLOOKUP($B197,'Slutlig allokering kvv'!$B$1:$BC$479,MATCH(E$1,'Slutlig allokering kvv'!$B$1:$AU$1,0),FALSE))</f>
        <v/>
      </c>
      <c r="F197" t="str">
        <f>IF(ISERROR(1/VLOOKUP($B197,Kraftvärmeprod!$B$1:$AV$479,MATCH("Producerad elenergi i kraftvärmeverk (GWh)",Kraftvärmeprod!$B$1:$AV$1,0),FALSE)),"",VLOOKUP($B197,Kraftvärmeprod!$B$1:$AV$479,MATCH("Producerad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Nevel AB</v>
      </c>
    </row>
    <row r="198" spans="1:10" x14ac:dyDescent="0.45">
      <c r="A198" s="2" t="s">
        <v>418</v>
      </c>
      <c r="B198" s="2" t="s">
        <v>421</v>
      </c>
      <c r="D198" t="str">
        <f>IF(ISERROR(1/VLOOKUP($B198,Kraftvärmeprod!$B$1:$D$479,MATCH("Total värmeproduktion i kraftvärmeverk i kombinerad drift (GWh)",Kraftvärmeprod!$B$1:$AV$1,0),FALSE)),"Ej kraftvärme","Alternativproduktionsmetoden")</f>
        <v>Ej kraftvärme</v>
      </c>
      <c r="E198" t="str">
        <f>IF(ISERROR(1/VLOOKUP($B198,Kraftvärmeprod!$B$1:$BD$479,MATCH("Total värmeproduktion i kraftvärmeverk i kombinerad drift (GWh)",Kraftvärmeprod!$B$1:$AV$1,0),FALSE)),"",VLOOKUP($B198,'Slutlig allokering kvv'!$B$1:$BC$479,MATCH(E$1,'Slutlig allokering kvv'!$B$1:$AU$1,0),FALSE))</f>
        <v/>
      </c>
      <c r="F198" t="str">
        <f>IF(ISERROR(1/VLOOKUP($B198,Kraftvärmeprod!$B$1:$AV$479,MATCH("Producerad elenergi i kraftvärmeverk (GWh)",Kraftvärmeprod!$B$1:$AV$1,0),FALSE)),"",VLOOKUP($B198,Kraftvärmeprod!$B$1:$AV$479,MATCH("Producerad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Nevel AB</v>
      </c>
    </row>
    <row r="199" spans="1:10" x14ac:dyDescent="0.45">
      <c r="A199" s="2" t="s">
        <v>418</v>
      </c>
      <c r="B199" s="2" t="s">
        <v>101</v>
      </c>
      <c r="D199" t="str">
        <f>IF(ISERROR(1/VLOOKUP($B199,Kraftvärmeprod!$B$1:$D$479,MATCH("Total värmeproduktion i kraftvärmeverk i kombinerad drift (GWh)",Kraftvärmeprod!$B$1:$AV$1,0),FALSE)),"Ej kraftvärme","Alternativproduktionsmetoden")</f>
        <v>Ej kraftvärme</v>
      </c>
      <c r="E199" t="str">
        <f>IF(ISERROR(1/VLOOKUP($B199,Kraftvärmeprod!$B$1:$BD$479,MATCH("Total värmeproduktion i kraftvärmeverk i kombinerad drift (GWh)",Kraftvärmeprod!$B$1:$AV$1,0),FALSE)),"",VLOOKUP($B199,'Slutlig allokering kvv'!$B$1:$BC$479,MATCH(E$1,'Slutlig allokering kvv'!$B$1:$AU$1,0),FALSE))</f>
        <v/>
      </c>
      <c r="F199" t="str">
        <f>IF(ISERROR(1/VLOOKUP($B199,Kraftvärmeprod!$B$1:$AV$479,MATCH("Producerad elenergi i kraftvärmeverk (GWh)",Kraftvärmeprod!$B$1:$AV$1,0),FALSE)),"",VLOOKUP($B199,Kraftvärmeprod!$B$1:$AV$479,MATCH("Producerad elenergi i kraftvärmeverk (GWh)",Kraftvärmeprod!$B$1:$AV$1,0),FALSE))</f>
        <v/>
      </c>
      <c r="G199" t="str">
        <f>IF(ISERROR(1/VLOOKUP($B199,Miljö!$B$1:$T$480,MATCH("Såld mängd produktionsspecifik fjärrvärme (GWh)",Miljö!$B$1:$T$1,0),FALSE)),"",VLOOKUP($B199,Miljö!$B$1:$T$480,MATCH("Såld mängd produktionsspecifik fjärrvärme (GWh)",Miljö!$B$1:$T$1,0),FALSE))</f>
        <v/>
      </c>
      <c r="J199" t="str">
        <f t="shared" si="3"/>
        <v>Nevel AB</v>
      </c>
    </row>
    <row r="200" spans="1:10" x14ac:dyDescent="0.45">
      <c r="A200" s="2" t="s">
        <v>418</v>
      </c>
      <c r="B200" s="2" t="s">
        <v>103</v>
      </c>
      <c r="D200" t="str">
        <f>IF(ISERROR(1/VLOOKUP($B200,Kraftvärmeprod!$B$1:$D$479,MATCH("Total värmeproduktion i kraftvärmeverk i kombinerad drift (GWh)",Kraftvärmeprod!$B$1:$AV$1,0),FALSE)),"Ej kraftvärme","Alternativproduktionsmetoden")</f>
        <v>Ej kraftvärme</v>
      </c>
      <c r="E200" t="str">
        <f>IF(ISERROR(1/VLOOKUP($B200,Kraftvärmeprod!$B$1:$BD$479,MATCH("Total värmeproduktion i kraftvärmeverk i kombinerad drift (GWh)",Kraftvärmeprod!$B$1:$AV$1,0),FALSE)),"",VLOOKUP($B200,'Slutlig allokering kvv'!$B$1:$BC$479,MATCH(E$1,'Slutlig allokering kvv'!$B$1:$AU$1,0),FALSE))</f>
        <v/>
      </c>
      <c r="F200" t="str">
        <f>IF(ISERROR(1/VLOOKUP($B200,Kraftvärmeprod!$B$1:$AV$479,MATCH("Producerad elenergi i kraftvärmeverk (GWh)",Kraftvärmeprod!$B$1:$AV$1,0),FALSE)),"",VLOOKUP($B200,Kraftvärmeprod!$B$1:$AV$479,MATCH("Producerad elenergi i kraftvärmeverk (GWh)",Kraftvärmeprod!$B$1:$AV$1,0),FALSE))</f>
        <v/>
      </c>
      <c r="G200" t="str">
        <f>IF(ISERROR(1/VLOOKUP($B200,Miljö!$B$1:$T$480,MATCH("Såld mängd produktionsspecifik fjärrvärme (GWh)",Miljö!$B$1:$T$1,0),FALSE)),"",VLOOKUP($B200,Miljö!$B$1:$T$480,MATCH("Såld mängd produktionsspecifik fjärrvärme (GWh)",Miljö!$B$1:$T$1,0),FALSE))</f>
        <v/>
      </c>
      <c r="J200" t="str">
        <f t="shared" si="3"/>
        <v>Nevel AB</v>
      </c>
    </row>
    <row r="201" spans="1:10" x14ac:dyDescent="0.45">
      <c r="A201" s="2" t="s">
        <v>418</v>
      </c>
      <c r="B201" s="2" t="s">
        <v>105</v>
      </c>
      <c r="D201" t="str">
        <f>IF(ISERROR(1/VLOOKUP($B201,Kraftvärmeprod!$B$1:$D$479,MATCH("Total värmeproduktion i kraftvärmeverk i kombinerad drift (GWh)",Kraftvärmeprod!$B$1:$AV$1,0),FALSE)),"Ej kraftvärme","Alternativproduktionsmetoden")</f>
        <v>Ej kraftvärme</v>
      </c>
      <c r="E201" t="str">
        <f>IF(ISERROR(1/VLOOKUP($B201,Kraftvärmeprod!$B$1:$BD$479,MATCH("Total värmeproduktion i kraftvärmeverk i kombinerad drift (GWh)",Kraftvärmeprod!$B$1:$AV$1,0),FALSE)),"",VLOOKUP($B201,'Slutlig allokering kvv'!$B$1:$BC$479,MATCH(E$1,'Slutlig allokering kvv'!$B$1:$AU$1,0),FALSE))</f>
        <v/>
      </c>
      <c r="F201" t="str">
        <f>IF(ISERROR(1/VLOOKUP($B201,Kraftvärmeprod!$B$1:$AV$479,MATCH("Producerad elenergi i kraftvärmeverk (GWh)",Kraftvärmeprod!$B$1:$AV$1,0),FALSE)),"",VLOOKUP($B201,Kraftvärmeprod!$B$1:$AV$479,MATCH("Producerad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Nevel AB</v>
      </c>
    </row>
    <row r="202" spans="1:10" x14ac:dyDescent="0.45">
      <c r="A202" s="2" t="s">
        <v>418</v>
      </c>
      <c r="B202" s="2" t="s">
        <v>1183</v>
      </c>
      <c r="D202" t="str">
        <f>IF(ISERROR(1/VLOOKUP($B202,Kraftvärmeprod!$B$1:$D$479,MATCH("Total värmeproduktion i kraftvärmeverk i kombinerad drift (GWh)",Kraftvärmeprod!$B$1:$AV$1,0),FALSE)),"Ej kraftvärme","Alternativproduktionsmetoden")</f>
        <v>Ej kraftvärme</v>
      </c>
      <c r="E202" t="str">
        <f>IF(ISERROR(1/VLOOKUP($B202,Kraftvärmeprod!$B$1:$BD$479,MATCH("Total värmeproduktion i kraftvärmeverk i kombinerad drift (GWh)",Kraftvärmeprod!$B$1:$AV$1,0),FALSE)),"",VLOOKUP($B202,'Slutlig allokering kvv'!$B$1:$BC$479,MATCH(E$1,'Slutlig allokering kvv'!$B$1:$AU$1,0),FALSE))</f>
        <v/>
      </c>
      <c r="F202" t="str">
        <f>IF(ISERROR(1/VLOOKUP($B202,Kraftvärmeprod!$B$1:$AV$479,MATCH("Producerad elenergi i kraftvärmeverk (GWh)",Kraftvärmeprod!$B$1:$AV$1,0),FALSE)),"",VLOOKUP($B202,Kraftvärmeprod!$B$1:$AV$479,MATCH("Producerad elenergi i kraftvärmeverk (GWh)",Kraftvärmeprod!$B$1:$AV$1,0),FALSE))</f>
        <v/>
      </c>
      <c r="G202" t="str">
        <f>IF(ISERROR(1/VLOOKUP($B202,Miljö!$B$1:$T$480,MATCH("Såld mängd produktionsspecifik fjärrvärme (GWh)",Miljö!$B$1:$T$1,0),FALSE)),"",VLOOKUP($B202,Miljö!$B$1:$T$480,MATCH("Såld mängd produktionsspecifik fjärrvärme (GWh)",Miljö!$B$1:$T$1,0),FALSE))</f>
        <v/>
      </c>
      <c r="J202" t="str">
        <f t="shared" si="3"/>
        <v>Nevel AB</v>
      </c>
    </row>
    <row r="203" spans="1:10" x14ac:dyDescent="0.45">
      <c r="A203" s="2" t="s">
        <v>418</v>
      </c>
      <c r="B203" s="2" t="s">
        <v>107</v>
      </c>
      <c r="D203" t="str">
        <f>IF(ISERROR(1/VLOOKUP($B203,Kraftvärmeprod!$B$1:$D$479,MATCH("Total värmeproduktion i kraftvärmeverk i kombinerad drift (GWh)",Kraftvärmeprod!$B$1:$AV$1,0),FALSE)),"Ej kraftvärme","Alternativproduktionsmetoden")</f>
        <v>Ej kraftvärme</v>
      </c>
      <c r="E203" t="str">
        <f>IF(ISERROR(1/VLOOKUP($B203,Kraftvärmeprod!$B$1:$BD$479,MATCH("Total värmeproduktion i kraftvärmeverk i kombinerad drift (GWh)",Kraftvärmeprod!$B$1:$AV$1,0),FALSE)),"",VLOOKUP($B203,'Slutlig allokering kvv'!$B$1:$BC$479,MATCH(E$1,'Slutlig allokering kvv'!$B$1:$AU$1,0),FALSE))</f>
        <v/>
      </c>
      <c r="F203" t="str">
        <f>IF(ISERROR(1/VLOOKUP($B203,Kraftvärmeprod!$B$1:$AV$479,MATCH("Producerad elenergi i kraftvärmeverk (GWh)",Kraftvärmeprod!$B$1:$AV$1,0),FALSE)),"",VLOOKUP($B203,Kraftvärmeprod!$B$1:$AV$479,MATCH("Producerad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Nevel AB</v>
      </c>
    </row>
    <row r="204" spans="1:10" x14ac:dyDescent="0.45">
      <c r="A204" s="2" t="s">
        <v>418</v>
      </c>
      <c r="B204" s="2" t="s">
        <v>420</v>
      </c>
      <c r="D204" t="str">
        <f>IF(ISERROR(1/VLOOKUP($B204,Kraftvärmeprod!$B$1:$D$479,MATCH("Total värmeproduktion i kraftvärmeverk i kombinerad drift (GWh)",Kraftvärmeprod!$B$1:$AV$1,0),FALSE)),"Ej kraftvärme","Alternativproduktionsmetoden")</f>
        <v>Ej kraftvärme</v>
      </c>
      <c r="E204" t="str">
        <f>IF(ISERROR(1/VLOOKUP($B204,Kraftvärmeprod!$B$1:$BD$479,MATCH("Total värmeproduktion i kraftvärmeverk i kombinerad drift (GWh)",Kraftvärmeprod!$B$1:$AV$1,0),FALSE)),"",VLOOKUP($B204,'Slutlig allokering kvv'!$B$1:$BC$479,MATCH(E$1,'Slutlig allokering kvv'!$B$1:$AU$1,0),FALSE))</f>
        <v/>
      </c>
      <c r="F204" t="str">
        <f>IF(ISERROR(1/VLOOKUP($B204,Kraftvärmeprod!$B$1:$AV$479,MATCH("Producerad elenergi i kraftvärmeverk (GWh)",Kraftvärmeprod!$B$1:$AV$1,0),FALSE)),"",VLOOKUP($B204,Kraftvärmeprod!$B$1:$AV$479,MATCH("Producerad elenergi i kraftvärmeverk (GWh)",Kraftvärmeprod!$B$1:$AV$1,0),FALSE))</f>
        <v/>
      </c>
      <c r="G204" t="str">
        <f>IF(ISERROR(1/VLOOKUP($B204,Miljö!$B$1:$T$480,MATCH("Såld mängd produktionsspecifik fjärrvärme (GWh)",Miljö!$B$1:$T$1,0),FALSE)),"",VLOOKUP($B204,Miljö!$B$1:$T$480,MATCH("Såld mängd produktionsspecifik fjärrvärme (GWh)",Miljö!$B$1:$T$1,0),FALSE))</f>
        <v/>
      </c>
      <c r="J204" t="str">
        <f t="shared" si="3"/>
        <v>Nevel AB</v>
      </c>
    </row>
    <row r="205" spans="1:10" x14ac:dyDescent="0.45">
      <c r="A205" s="2" t="s">
        <v>418</v>
      </c>
      <c r="B205" s="2" t="s">
        <v>419</v>
      </c>
      <c r="D205" t="str">
        <f>IF(ISERROR(1/VLOOKUP($B205,Kraftvärmeprod!$B$1:$D$479,MATCH("Total värmeproduktion i kraftvärmeverk i kombinerad drift (GWh)",Kraftvärmeprod!$B$1:$AV$1,0),FALSE)),"Ej kraftvärme","Alternativproduktionsmetoden")</f>
        <v>Ej kraftvärme</v>
      </c>
      <c r="E205" t="str">
        <f>IF(ISERROR(1/VLOOKUP($B205,Kraftvärmeprod!$B$1:$BD$479,MATCH("Total värmeproduktion i kraftvärmeverk i kombinerad drift (GWh)",Kraftvärmeprod!$B$1:$AV$1,0),FALSE)),"",VLOOKUP($B205,'Slutlig allokering kvv'!$B$1:$BC$479,MATCH(E$1,'Slutlig allokering kvv'!$B$1:$AU$1,0),FALSE))</f>
        <v/>
      </c>
      <c r="F205" t="str">
        <f>IF(ISERROR(1/VLOOKUP($B205,Kraftvärmeprod!$B$1:$AV$479,MATCH("Producerad elenergi i kraftvärmeverk (GWh)",Kraftvärmeprod!$B$1:$AV$1,0),FALSE)),"",VLOOKUP($B205,Kraftvärmeprod!$B$1:$AV$479,MATCH("Producerad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Nevel AB</v>
      </c>
    </row>
    <row r="206" spans="1:10" x14ac:dyDescent="0.45">
      <c r="A206" s="2" t="s">
        <v>418</v>
      </c>
      <c r="B206" s="2" t="s">
        <v>109</v>
      </c>
      <c r="D206" t="str">
        <f>IF(ISERROR(1/VLOOKUP($B206,Kraftvärmeprod!$B$1:$D$479,MATCH("Total värmeproduktion i kraftvärmeverk i kombinerad drift (GWh)",Kraftvärmeprod!$B$1:$AV$1,0),FALSE)),"Ej kraftvärme","Alternativproduktionsmetoden")</f>
        <v>Ej kraftvärme</v>
      </c>
      <c r="E206" t="str">
        <f>IF(ISERROR(1/VLOOKUP($B206,Kraftvärmeprod!$B$1:$BD$479,MATCH("Total värmeproduktion i kraftvärmeverk i kombinerad drift (GWh)",Kraftvärmeprod!$B$1:$AV$1,0),FALSE)),"",VLOOKUP($B206,'Slutlig allokering kvv'!$B$1:$BC$479,MATCH(E$1,'Slutlig allokering kvv'!$B$1:$AU$1,0),FALSE))</f>
        <v/>
      </c>
      <c r="F206" t="str">
        <f>IF(ISERROR(1/VLOOKUP($B206,Kraftvärmeprod!$B$1:$AV$479,MATCH("Producerad elenergi i kraftvärmeverk (GWh)",Kraftvärmeprod!$B$1:$AV$1,0),FALSE)),"",VLOOKUP($B206,Kraftvärmeprod!$B$1:$AV$479,MATCH("Producerad elenergi i kraftvärmeverk (GWh)",Kraftvärmeprod!$B$1:$AV$1,0),FALSE))</f>
        <v/>
      </c>
      <c r="G206" t="str">
        <f>IF(ISERROR(1/VLOOKUP($B206,Miljö!$B$1:$T$480,MATCH("Såld mängd produktionsspecifik fjärrvärme (GWh)",Miljö!$B$1:$T$1,0),FALSE)),"",VLOOKUP($B206,Miljö!$B$1:$T$480,MATCH("Såld mängd produktionsspecifik fjärrvärme (GWh)",Miljö!$B$1:$T$1,0),FALSE))</f>
        <v/>
      </c>
      <c r="J206" t="str">
        <f t="shared" si="3"/>
        <v>Nevel AB</v>
      </c>
    </row>
    <row r="207" spans="1:10" x14ac:dyDescent="0.45">
      <c r="A207" s="2" t="s">
        <v>416</v>
      </c>
      <c r="B207" s="2" t="s">
        <v>417</v>
      </c>
      <c r="D207" t="str">
        <f>IF(ISERROR(1/VLOOKUP($B207,Kraftvärmeprod!$B$1:$D$479,MATCH("Total värmeproduktion i kraftvärmeverk i kombinerad drift (GWh)",Kraftvärmeprod!$B$1:$AV$1,0),FALSE)),"Ej kraftvärme","Alternativproduktionsmetoden")</f>
        <v>Ej kraftvärme</v>
      </c>
      <c r="E207" t="str">
        <f>IF(ISERROR(1/VLOOKUP($B207,Kraftvärmeprod!$B$1:$BD$479,MATCH("Total värmeproduktion i kraftvärmeverk i kombinerad drift (GWh)",Kraftvärmeprod!$B$1:$AV$1,0),FALSE)),"",VLOOKUP($B207,'Slutlig allokering kvv'!$B$1:$BC$479,MATCH(E$1,'Slutlig allokering kvv'!$B$1:$AU$1,0),FALSE))</f>
        <v/>
      </c>
      <c r="F207" t="str">
        <f>IF(ISERROR(1/VLOOKUP($B207,Kraftvärmeprod!$B$1:$AV$479,MATCH("Producerad elenergi i kraftvärmeverk (GWh)",Kraftvärmeprod!$B$1:$AV$1,0),FALSE)),"",VLOOKUP($B207,Kraftvärmeprod!$B$1:$AV$479,MATCH("Producerad elenergi i kraftvärmeverk (GWh)",Kraftvärmeprod!$B$1:$AV$1,0),FALSE))</f>
        <v/>
      </c>
      <c r="G207" t="str">
        <f>IF(ISERROR(1/VLOOKUP($B207,Miljö!$B$1:$T$480,MATCH("Såld mängd produktionsspecifik fjärrvärme (GWh)",Miljö!$B$1:$T$1,0),FALSE)),"",VLOOKUP($B207,Miljö!$B$1:$T$480,MATCH("Såld mängd produktionsspecifik fjärrvärme (GWh)",Miljö!$B$1:$T$1,0),FALSE))</f>
        <v/>
      </c>
      <c r="J207" t="str">
        <f t="shared" si="3"/>
        <v>Njudung Energi Sävsjö AB</v>
      </c>
    </row>
    <row r="208" spans="1:10" x14ac:dyDescent="0.45">
      <c r="A208" s="2" t="s">
        <v>416</v>
      </c>
      <c r="B208" s="2" t="s">
        <v>415</v>
      </c>
      <c r="D208" t="str">
        <f>IF(ISERROR(1/VLOOKUP($B208,Kraftvärmeprod!$B$1:$D$479,MATCH("Total värmeproduktion i kraftvärmeverk i kombinerad drift (GWh)",Kraftvärmeprod!$B$1:$AV$1,0),FALSE)),"Ej kraftvärme","Alternativproduktionsmetoden")</f>
        <v>Ej kraftvärme</v>
      </c>
      <c r="E208" t="str">
        <f>IF(ISERROR(1/VLOOKUP($B208,Kraftvärmeprod!$B$1:$BD$479,MATCH("Total värmeproduktion i kraftvärmeverk i kombinerad drift (GWh)",Kraftvärmeprod!$B$1:$AV$1,0),FALSE)),"",VLOOKUP($B208,'Slutlig allokering kvv'!$B$1:$BC$479,MATCH(E$1,'Slutlig allokering kvv'!$B$1:$AU$1,0),FALSE))</f>
        <v/>
      </c>
      <c r="F208" t="str">
        <f>IF(ISERROR(1/VLOOKUP($B208,Kraftvärmeprod!$B$1:$AV$479,MATCH("Producerad elenergi i kraftvärmeverk (GWh)",Kraftvärmeprod!$B$1:$AV$1,0),FALSE)),"",VLOOKUP($B208,Kraftvärmeprod!$B$1:$AV$479,MATCH("Producerad elenergi i kraftvärmeverk (GWh)",Kraftvärmeprod!$B$1:$AV$1,0),FALSE))</f>
        <v/>
      </c>
      <c r="G208" t="str">
        <f>IF(ISERROR(1/VLOOKUP($B208,Miljö!$B$1:$T$480,MATCH("Såld mängd produktionsspecifik fjärrvärme (GWh)",Miljö!$B$1:$T$1,0),FALSE)),"",VLOOKUP($B208,Miljö!$B$1:$T$480,MATCH("Såld mängd produktionsspecifik fjärrvärme (GWh)",Miljö!$B$1:$T$1,0),FALSE))</f>
        <v/>
      </c>
      <c r="J208" t="str">
        <f t="shared" si="3"/>
        <v>Njudung Energi Sävsjö AB</v>
      </c>
    </row>
    <row r="209" spans="1:10" x14ac:dyDescent="0.45">
      <c r="A209" s="2" t="s">
        <v>413</v>
      </c>
      <c r="B209" s="2" t="s">
        <v>414</v>
      </c>
      <c r="D209" t="str">
        <f>IF(ISERROR(1/VLOOKUP($B209,Kraftvärmeprod!$B$1:$D$479,MATCH("Total värmeproduktion i kraftvärmeverk i kombinerad drift (GWh)",Kraftvärmeprod!$B$1:$AV$1,0),FALSE)),"Ej kraftvärme","Alternativproduktionsmetoden")</f>
        <v>Ej kraftvärme</v>
      </c>
      <c r="E209" t="str">
        <f>IF(ISERROR(1/VLOOKUP($B209,Kraftvärmeprod!$B$1:$BD$479,MATCH("Total värmeproduktion i kraftvärmeverk i kombinerad drift (GWh)",Kraftvärmeprod!$B$1:$AV$1,0),FALSE)),"",VLOOKUP($B209,'Slutlig allokering kvv'!$B$1:$BC$479,MATCH(E$1,'Slutlig allokering kvv'!$B$1:$AU$1,0),FALSE))</f>
        <v/>
      </c>
      <c r="F209" t="str">
        <f>IF(ISERROR(1/VLOOKUP($B209,Kraftvärmeprod!$B$1:$AV$479,MATCH("Producerad elenergi i kraftvärmeverk (GWh)",Kraftvärmeprod!$B$1:$AV$1,0),FALSE)),"",VLOOKUP($B209,Kraftvärmeprod!$B$1:$AV$479,MATCH("Producerad elenergi i kraftvärmeverk (GWh)",Kraftvärmeprod!$B$1:$AV$1,0),FALSE))</f>
        <v/>
      </c>
      <c r="G209" t="str">
        <f>IF(ISERROR(1/VLOOKUP($B209,Miljö!$B$1:$T$480,MATCH("Såld mängd produktionsspecifik fjärrvärme (GWh)",Miljö!$B$1:$T$1,0),FALSE)),"",VLOOKUP($B209,Miljö!$B$1:$T$480,MATCH("Såld mängd produktionsspecifik fjärrvärme (GWh)",Miljö!$B$1:$T$1,0),FALSE))</f>
        <v/>
      </c>
      <c r="J209" t="str">
        <f t="shared" si="3"/>
        <v>Njudung Energi Vetlanda AB</v>
      </c>
    </row>
    <row r="210" spans="1:10" x14ac:dyDescent="0.45">
      <c r="A210" s="2" t="s">
        <v>413</v>
      </c>
      <c r="B210" s="2" t="s">
        <v>412</v>
      </c>
      <c r="D210" t="str">
        <f>IF(ISERROR(1/VLOOKUP($B210,Kraftvärmeprod!$B$1:$D$479,MATCH("Total värmeproduktion i kraftvärmeverk i kombinerad drift (GWh)",Kraftvärmeprod!$B$1:$AV$1,0),FALSE)),"Ej kraftvärme","Alternativproduktionsmetoden")</f>
        <v>Alternativproduktionsmetoden</v>
      </c>
      <c r="E210">
        <f>IF(ISERROR(1/VLOOKUP($B210,Kraftvärmeprod!$B$1:$BD$479,MATCH("Total värmeproduktion i kraftvärmeverk i kombinerad drift (GWh)",Kraftvärmeprod!$B$1:$AV$1,0),FALSE)),"",VLOOKUP($B210,'Slutlig allokering kvv'!$B$1:$BC$479,MATCH(E$1,'Slutlig allokering kvv'!$B$1:$AU$1,0),FALSE))</f>
        <v>0.67091711180124214</v>
      </c>
      <c r="F210">
        <f>IF(ISERROR(1/VLOOKUP($B210,Kraftvärmeprod!$B$1:$AV$479,MATCH("Producerad elenergi i kraftvärmeverk (GWh)",Kraftvärmeprod!$B$1:$AV$1,0),FALSE)),"",VLOOKUP($B210,Kraftvärmeprod!$B$1:$AV$479,MATCH("Producerad elenergi i kraftvärmeverk (GWh)",Kraftvärmeprod!$B$1:$AV$1,0),FALSE))</f>
        <v>18</v>
      </c>
      <c r="G210" t="str">
        <f>IF(ISERROR(1/VLOOKUP($B210,Miljö!$B$1:$T$480,MATCH("Såld mängd produktionsspecifik fjärrvärme (GWh)",Miljö!$B$1:$T$1,0),FALSE)),"",VLOOKUP($B210,Miljö!$B$1:$T$480,MATCH("Såld mängd produktionsspecifik fjärrvärme (GWh)",Miljö!$B$1:$T$1,0),FALSE))</f>
        <v/>
      </c>
      <c r="J210" t="str">
        <f t="shared" si="3"/>
        <v>Njudung Energi Vetlanda AB</v>
      </c>
    </row>
    <row r="211" spans="1:10" x14ac:dyDescent="0.45">
      <c r="A211" s="2" t="s">
        <v>411</v>
      </c>
      <c r="B211" s="2" t="s">
        <v>410</v>
      </c>
      <c r="D211" t="str">
        <f>IF(ISERROR(1/VLOOKUP($B211,Kraftvärmeprod!$B$1:$D$479,MATCH("Total värmeproduktion i kraftvärmeverk i kombinerad drift (GWh)",Kraftvärmeprod!$B$1:$AV$1,0),FALSE)),"Ej kraftvärme","Alternativproduktionsmetoden")</f>
        <v>Ej kraftvärme</v>
      </c>
      <c r="E211" t="str">
        <f>IF(ISERROR(1/VLOOKUP($B211,Kraftvärmeprod!$B$1:$BD$479,MATCH("Total värmeproduktion i kraftvärmeverk i kombinerad drift (GWh)",Kraftvärmeprod!$B$1:$AV$1,0),FALSE)),"",VLOOKUP($B211,'Slutlig allokering kvv'!$B$1:$BC$479,MATCH(E$1,'Slutlig allokering kvv'!$B$1:$AU$1,0),FALSE))</f>
        <v/>
      </c>
      <c r="F211" t="str">
        <f>IF(ISERROR(1/VLOOKUP($B211,Kraftvärmeprod!$B$1:$AV$479,MATCH("Producerad elenergi i kraftvärmeverk (GWh)",Kraftvärmeprod!$B$1:$AV$1,0),FALSE)),"",VLOOKUP($B211,Kraftvärmeprod!$B$1:$AV$479,MATCH("Producerad elenergi i kraftvärmeverk (GWh)",Kraftvärmeprod!$B$1:$AV$1,0),FALSE))</f>
        <v/>
      </c>
      <c r="G211" t="str">
        <f>IF(ISERROR(1/VLOOKUP($B211,Miljö!$B$1:$T$480,MATCH("Såld mängd produktionsspecifik fjärrvärme (GWh)",Miljö!$B$1:$T$1,0),FALSE)),"",VLOOKUP($B211,Miljö!$B$1:$T$480,MATCH("Såld mängd produktionsspecifik fjärrvärme (GWh)",Miljö!$B$1:$T$1,0),FALSE))</f>
        <v/>
      </c>
      <c r="J211" t="str">
        <f t="shared" si="3"/>
        <v>Nordanstigs Fjärrvärme AB</v>
      </c>
    </row>
    <row r="212" spans="1:10" x14ac:dyDescent="0.45">
      <c r="A212" s="2" t="s">
        <v>111</v>
      </c>
      <c r="B212" s="2" t="s">
        <v>409</v>
      </c>
      <c r="D212" t="str">
        <f>IF(ISERROR(1/VLOOKUP($B212,Kraftvärmeprod!$B$1:$D$479,MATCH("Total värmeproduktion i kraftvärmeverk i kombinerad drift (GWh)",Kraftvärmeprod!$B$1:$AV$1,0),FALSE)),"Ej kraftvärme","Alternativproduktionsmetoden")</f>
        <v>Ej kraftvärme</v>
      </c>
      <c r="E212" t="str">
        <f>IF(ISERROR(1/VLOOKUP($B212,Kraftvärmeprod!$B$1:$BD$479,MATCH("Total värmeproduktion i kraftvärmeverk i kombinerad drift (GWh)",Kraftvärmeprod!$B$1:$AV$1,0),FALSE)),"",VLOOKUP($B212,'Slutlig allokering kvv'!$B$1:$BC$479,MATCH(E$1,'Slutlig allokering kvv'!$B$1:$AU$1,0),FALSE))</f>
        <v/>
      </c>
      <c r="F212" t="str">
        <f>IF(ISERROR(1/VLOOKUP($B212,Kraftvärmeprod!$B$1:$AV$479,MATCH("Producerad elenergi i kraftvärmeverk (GWh)",Kraftvärmeprod!$B$1:$AV$1,0),FALSE)),"",VLOOKUP($B212,Kraftvärmeprod!$B$1:$AV$479,MATCH("Producerad elenergi i kraftvärmeverk (GWh)",Kraftvärmeprod!$B$1:$AV$1,0),FALSE))</f>
        <v/>
      </c>
      <c r="G212">
        <f>IF(ISERROR(1/VLOOKUP($B212,Miljö!$B$1:$T$480,MATCH("Såld mängd produktionsspecifik fjärrvärme (GWh)",Miljö!$B$1:$T$1,0),FALSE)),"",VLOOKUP($B212,Miljö!$B$1:$T$480,MATCH("Såld mängd produktionsspecifik fjärrvärme (GWh)",Miljö!$B$1:$T$1,0),FALSE))</f>
        <v>4.2750000000000004</v>
      </c>
      <c r="J212" t="str">
        <f t="shared" si="3"/>
        <v>Norrenergi AB</v>
      </c>
    </row>
    <row r="213" spans="1:10" x14ac:dyDescent="0.45">
      <c r="A213" s="2" t="s">
        <v>406</v>
      </c>
      <c r="B213" s="2" t="s">
        <v>408</v>
      </c>
      <c r="D213" t="str">
        <f>IF(ISERROR(1/VLOOKUP($B213,Kraftvärmeprod!$B$1:$D$479,MATCH("Total värmeproduktion i kraftvärmeverk i kombinerad drift (GWh)",Kraftvärmeprod!$B$1:$AV$1,0),FALSE)),"Ej kraftvärme","Alternativproduktionsmetoden")</f>
        <v>Ej kraftvärme</v>
      </c>
      <c r="E213" t="str">
        <f>IF(ISERROR(1/VLOOKUP($B213,Kraftvärmeprod!$B$1:$BD$479,MATCH("Total värmeproduktion i kraftvärmeverk i kombinerad drift (GWh)",Kraftvärmeprod!$B$1:$AV$1,0),FALSE)),"",VLOOKUP($B213,'Slutlig allokering kvv'!$B$1:$BC$479,MATCH(E$1,'Slutlig allokering kvv'!$B$1:$AU$1,0),FALSE))</f>
        <v/>
      </c>
      <c r="F213" t="str">
        <f>IF(ISERROR(1/VLOOKUP($B213,Kraftvärmeprod!$B$1:$AV$479,MATCH("Producerad elenergi i kraftvärmeverk (GWh)",Kraftvärmeprod!$B$1:$AV$1,0),FALSE)),"",VLOOKUP($B213,Kraftvärmeprod!$B$1:$AV$479,MATCH("Producerad elenergi i kraftvärmeverk (GWh)",Kraftvärmeprod!$B$1:$AV$1,0),FALSE))</f>
        <v/>
      </c>
      <c r="G213" t="str">
        <f>IF(ISERROR(1/VLOOKUP($B213,Miljö!$B$1:$T$480,MATCH("Såld mängd produktionsspecifik fjärrvärme (GWh)",Miljö!$B$1:$T$1,0),FALSE)),"",VLOOKUP($B213,Miljö!$B$1:$T$480,MATCH("Såld mängd produktionsspecifik fjärrvärme (GWh)",Miljö!$B$1:$T$1,0),FALSE))</f>
        <v/>
      </c>
      <c r="J213" t="str">
        <f t="shared" si="3"/>
        <v>Norrtälje Energi AB</v>
      </c>
    </row>
    <row r="214" spans="1:10" x14ac:dyDescent="0.45">
      <c r="A214" s="2" t="s">
        <v>406</v>
      </c>
      <c r="B214" s="2" t="s">
        <v>407</v>
      </c>
      <c r="D214" t="str">
        <f>IF(ISERROR(1/VLOOKUP($B214,Kraftvärmeprod!$B$1:$D$479,MATCH("Total värmeproduktion i kraftvärmeverk i kombinerad drift (GWh)",Kraftvärmeprod!$B$1:$AV$1,0),FALSE)),"Ej kraftvärme","Alternativproduktionsmetoden")</f>
        <v>Alternativproduktionsmetoden</v>
      </c>
      <c r="E214">
        <f>IF(ISERROR(1/VLOOKUP($B214,Kraftvärmeprod!$B$1:$BD$479,MATCH("Total värmeproduktion i kraftvärmeverk i kombinerad drift (GWh)",Kraftvärmeprod!$B$1:$AV$1,0),FALSE)),"",VLOOKUP($B214,'Slutlig allokering kvv'!$B$1:$BC$479,MATCH(E$1,'Slutlig allokering kvv'!$B$1:$AU$1,0),FALSE))</f>
        <v>0.62969925887988432</v>
      </c>
      <c r="F214">
        <f>IF(ISERROR(1/VLOOKUP($B214,Kraftvärmeprod!$B$1:$AV$479,MATCH("Producerad elenergi i kraftvärmeverk (GWh)",Kraftvärmeprod!$B$1:$AV$1,0),FALSE)),"",VLOOKUP($B214,Kraftvärmeprod!$B$1:$AV$479,MATCH("Producerad elenergi i kraftvärmeverk (GWh)",Kraftvärmeprod!$B$1:$AV$1,0),FALSE))</f>
        <v>19.443000000000001</v>
      </c>
      <c r="G214" t="str">
        <f>IF(ISERROR(1/VLOOKUP($B214,Miljö!$B$1:$T$480,MATCH("Såld mängd produktionsspecifik fjärrvärme (GWh)",Miljö!$B$1:$T$1,0),FALSE)),"",VLOOKUP($B214,Miljö!$B$1:$T$480,MATCH("Såld mängd produktionsspecifik fjärrvärme (GWh)",Miljö!$B$1:$T$1,0),FALSE))</f>
        <v/>
      </c>
      <c r="J214" t="str">
        <f t="shared" si="3"/>
        <v>Norrtälje Energi AB</v>
      </c>
    </row>
    <row r="215" spans="1:10" x14ac:dyDescent="0.45">
      <c r="A215" s="2" t="s">
        <v>406</v>
      </c>
      <c r="B215" s="2" t="s">
        <v>405</v>
      </c>
      <c r="D215" t="str">
        <f>IF(ISERROR(1/VLOOKUP($B215,Kraftvärmeprod!$B$1:$D$479,MATCH("Total värmeproduktion i kraftvärmeverk i kombinerad drift (GWh)",Kraftvärmeprod!$B$1:$AV$1,0),FALSE)),"Ej kraftvärme","Alternativproduktionsmetoden")</f>
        <v>Ej kraftvärme</v>
      </c>
      <c r="E215" t="str">
        <f>IF(ISERROR(1/VLOOKUP($B215,Kraftvärmeprod!$B$1:$BD$479,MATCH("Total värmeproduktion i kraftvärmeverk i kombinerad drift (GWh)",Kraftvärmeprod!$B$1:$AV$1,0),FALSE)),"",VLOOKUP($B215,'Slutlig allokering kvv'!$B$1:$BC$479,MATCH(E$1,'Slutlig allokering kvv'!$B$1:$AU$1,0),FALSE))</f>
        <v/>
      </c>
      <c r="F215" t="str">
        <f>IF(ISERROR(1/VLOOKUP($B215,Kraftvärmeprod!$B$1:$AV$479,MATCH("Producerad elenergi i kraftvärmeverk (GWh)",Kraftvärmeprod!$B$1:$AV$1,0),FALSE)),"",VLOOKUP($B215,Kraftvärmeprod!$B$1:$AV$479,MATCH("Producerad elenergi i kraftvärmeverk (GWh)",Kraftvärmeprod!$B$1:$AV$1,0),FALSE))</f>
        <v/>
      </c>
      <c r="G215" t="str">
        <f>IF(ISERROR(1/VLOOKUP($B215,Miljö!$B$1:$T$480,MATCH("Såld mängd produktionsspecifik fjärrvärme (GWh)",Miljö!$B$1:$T$1,0),FALSE)),"",VLOOKUP($B215,Miljö!$B$1:$T$480,MATCH("Såld mängd produktionsspecifik fjärrvärme (GWh)",Miljö!$B$1:$T$1,0),FALSE))</f>
        <v/>
      </c>
      <c r="J215" t="str">
        <f t="shared" si="3"/>
        <v>Norrtälje Energi AB</v>
      </c>
    </row>
    <row r="216" spans="1:10" x14ac:dyDescent="0.45">
      <c r="A216" s="2" t="s">
        <v>404</v>
      </c>
      <c r="B216" s="2" t="s">
        <v>403</v>
      </c>
      <c r="D216" t="str">
        <f>IF(ISERROR(1/VLOOKUP($B216,Kraftvärmeprod!$B$1:$D$479,MATCH("Total värmeproduktion i kraftvärmeverk i kombinerad drift (GWh)",Kraftvärmeprod!$B$1:$AV$1,0),FALSE)),"Ej kraftvärme","Alternativproduktionsmetoden")</f>
        <v>Ej kraftvärme</v>
      </c>
      <c r="E216" t="str">
        <f>IF(ISERROR(1/VLOOKUP($B216,Kraftvärmeprod!$B$1:$BD$479,MATCH("Total värmeproduktion i kraftvärmeverk i kombinerad drift (GWh)",Kraftvärmeprod!$B$1:$AV$1,0),FALSE)),"",VLOOKUP($B216,'Slutlig allokering kvv'!$B$1:$BC$479,MATCH(E$1,'Slutlig allokering kvv'!$B$1:$AU$1,0),FALSE))</f>
        <v/>
      </c>
      <c r="F216" t="str">
        <f>IF(ISERROR(1/VLOOKUP($B216,Kraftvärmeprod!$B$1:$AV$479,MATCH("Producerad elenergi i kraftvärmeverk (GWh)",Kraftvärmeprod!$B$1:$AV$1,0),FALSE)),"",VLOOKUP($B216,Kraftvärmeprod!$B$1:$AV$479,MATCH("Producerad elenergi i kraftvärmeverk (GWh)",Kraftvärmeprod!$B$1:$AV$1,0),FALSE))</f>
        <v/>
      </c>
      <c r="G216" t="str">
        <f>IF(ISERROR(1/VLOOKUP($B216,Miljö!$B$1:$T$480,MATCH("Såld mängd produktionsspecifik fjärrvärme (GWh)",Miljö!$B$1:$T$1,0),FALSE)),"",VLOOKUP($B216,Miljö!$B$1:$T$480,MATCH("Såld mängd produktionsspecifik fjärrvärme (GWh)",Miljö!$B$1:$T$1,0),FALSE))</f>
        <v/>
      </c>
      <c r="J216" t="str">
        <f t="shared" si="3"/>
        <v>Nossebro Energi Värme AB</v>
      </c>
    </row>
    <row r="217" spans="1:10" x14ac:dyDescent="0.45">
      <c r="A217" s="2" t="s">
        <v>402</v>
      </c>
      <c r="B217" s="2" t="s">
        <v>401</v>
      </c>
      <c r="D217" t="str">
        <f>IF(ISERROR(1/VLOOKUP($B217,Kraftvärmeprod!$B$1:$D$479,MATCH("Total värmeproduktion i kraftvärmeverk i kombinerad drift (GWh)",Kraftvärmeprod!$B$1:$AV$1,0),FALSE)),"Ej kraftvärme","Alternativproduktionsmetoden")</f>
        <v>Alternativproduktionsmetoden</v>
      </c>
      <c r="E217">
        <f>IF(ISERROR(1/VLOOKUP($B217,Kraftvärmeprod!$B$1:$BD$479,MATCH("Total värmeproduktion i kraftvärmeverk i kombinerad drift (GWh)",Kraftvärmeprod!$B$1:$AV$1,0),FALSE)),"",VLOOKUP($B217,'Slutlig allokering kvv'!$B$1:$BC$479,MATCH(E$1,'Slutlig allokering kvv'!$B$1:$AU$1,0),FALSE))</f>
        <v>0.73906753528773073</v>
      </c>
      <c r="F217">
        <f>IF(ISERROR(1/VLOOKUP($B217,Kraftvärmeprod!$B$1:$AV$479,MATCH("Producerad elenergi i kraftvärmeverk (GWh)",Kraftvärmeprod!$B$1:$AV$1,0),FALSE)),"",VLOOKUP($B217,Kraftvärmeprod!$B$1:$AV$479,MATCH("Producerad elenergi i kraftvärmeverk (GWh)",Kraftvärmeprod!$B$1:$AV$1,0),FALSE))</f>
        <v>17.899999999999999</v>
      </c>
      <c r="G217" t="str">
        <f>IF(ISERROR(1/VLOOKUP($B217,Miljö!$B$1:$T$480,MATCH("Såld mängd produktionsspecifik fjärrvärme (GWh)",Miljö!$B$1:$T$1,0),FALSE)),"",VLOOKUP($B217,Miljö!$B$1:$T$480,MATCH("Såld mängd produktionsspecifik fjärrvärme (GWh)",Miljö!$B$1:$T$1,0),FALSE))</f>
        <v/>
      </c>
      <c r="J217" t="str">
        <f t="shared" si="3"/>
        <v>Nybro Energi AB</v>
      </c>
    </row>
    <row r="218" spans="1:10" x14ac:dyDescent="0.45">
      <c r="A218" s="2" t="s">
        <v>398</v>
      </c>
      <c r="B218" s="2" t="s">
        <v>400</v>
      </c>
      <c r="D218" t="str">
        <f>IF(ISERROR(1/VLOOKUP($B218,Kraftvärmeprod!$B$1:$D$479,MATCH("Total värmeproduktion i kraftvärmeverk i kombinerad drift (GWh)",Kraftvärmeprod!$B$1:$AV$1,0),FALSE)),"Ej kraftvärme","Alternativproduktionsmetoden")</f>
        <v>Ej kraftvärme</v>
      </c>
      <c r="E218" t="str">
        <f>IF(ISERROR(1/VLOOKUP($B218,Kraftvärmeprod!$B$1:$BD$479,MATCH("Total värmeproduktion i kraftvärmeverk i kombinerad drift (GWh)",Kraftvärmeprod!$B$1:$AV$1,0),FALSE)),"",VLOOKUP($B218,'Slutlig allokering kvv'!$B$1:$BC$479,MATCH(E$1,'Slutlig allokering kvv'!$B$1:$AU$1,0),FALSE))</f>
        <v/>
      </c>
      <c r="F218" t="str">
        <f>IF(ISERROR(1/VLOOKUP($B218,Kraftvärmeprod!$B$1:$AV$479,MATCH("Producerad elenergi i kraftvärmeverk (GWh)",Kraftvärmeprod!$B$1:$AV$1,0),FALSE)),"",VLOOKUP($B218,Kraftvärmeprod!$B$1:$AV$479,MATCH("Producerad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Nässjö Affärsverk AB</v>
      </c>
    </row>
    <row r="219" spans="1:10" x14ac:dyDescent="0.45">
      <c r="A219" s="2" t="s">
        <v>398</v>
      </c>
      <c r="B219" s="2" t="s">
        <v>399</v>
      </c>
      <c r="D219" t="str">
        <f>IF(ISERROR(1/VLOOKUP($B219,Kraftvärmeprod!$B$1:$D$479,MATCH("Total värmeproduktion i kraftvärmeverk i kombinerad drift (GWh)",Kraftvärmeprod!$B$1:$AV$1,0),FALSE)),"Ej kraftvärme","Alternativproduktionsmetoden")</f>
        <v>Ej kraftvärme</v>
      </c>
      <c r="E219" t="str">
        <f>IF(ISERROR(1/VLOOKUP($B219,Kraftvärmeprod!$B$1:$BD$479,MATCH("Total värmeproduktion i kraftvärmeverk i kombinerad drift (GWh)",Kraftvärmeprod!$B$1:$AV$1,0),FALSE)),"",VLOOKUP($B219,'Slutlig allokering kvv'!$B$1:$BC$479,MATCH(E$1,'Slutlig allokering kvv'!$B$1:$AU$1,0),FALSE))</f>
        <v/>
      </c>
      <c r="F219" t="str">
        <f>IF(ISERROR(1/VLOOKUP($B219,Kraftvärmeprod!$B$1:$AV$479,MATCH("Producerad elenergi i kraftvärmeverk (GWh)",Kraftvärmeprod!$B$1:$AV$1,0),FALSE)),"",VLOOKUP($B219,Kraftvärmeprod!$B$1:$AV$479,MATCH("Producerad elenergi i kraftvärmeverk (GWh)",Kraftvärmeprod!$B$1:$AV$1,0),FALSE))</f>
        <v/>
      </c>
      <c r="G219" t="str">
        <f>IF(ISERROR(1/VLOOKUP($B219,Miljö!$B$1:$T$480,MATCH("Såld mängd produktionsspecifik fjärrvärme (GWh)",Miljö!$B$1:$T$1,0),FALSE)),"",VLOOKUP($B219,Miljö!$B$1:$T$480,MATCH("Såld mängd produktionsspecifik fjärrvärme (GWh)",Miljö!$B$1:$T$1,0),FALSE))</f>
        <v/>
      </c>
      <c r="J219" t="str">
        <f t="shared" si="3"/>
        <v>Nässjö Affärsverk AB</v>
      </c>
    </row>
    <row r="220" spans="1:10" x14ac:dyDescent="0.45">
      <c r="A220" s="2" t="s">
        <v>398</v>
      </c>
      <c r="B220" s="2" t="s">
        <v>397</v>
      </c>
      <c r="D220" t="str">
        <f>IF(ISERROR(1/VLOOKUP($B220,Kraftvärmeprod!$B$1:$D$479,MATCH("Total värmeproduktion i kraftvärmeverk i kombinerad drift (GWh)",Kraftvärmeprod!$B$1:$AV$1,0),FALSE)),"Ej kraftvärme","Alternativproduktionsmetoden")</f>
        <v>Alternativproduktionsmetoden</v>
      </c>
      <c r="E220">
        <f>IF(ISERROR(1/VLOOKUP($B220,Kraftvärmeprod!$B$1:$BD$479,MATCH("Total värmeproduktion i kraftvärmeverk i kombinerad drift (GWh)",Kraftvärmeprod!$B$1:$AV$1,0),FALSE)),"",VLOOKUP($B220,'Slutlig allokering kvv'!$B$1:$BC$479,MATCH(E$1,'Slutlig allokering kvv'!$B$1:$AU$1,0),FALSE))</f>
        <v>0.54650371076462168</v>
      </c>
      <c r="F220">
        <f>IF(ISERROR(1/VLOOKUP($B220,Kraftvärmeprod!$B$1:$AV$479,MATCH("Producerad elenergi i kraftvärmeverk (GWh)",Kraftvärmeprod!$B$1:$AV$1,0),FALSE)),"",VLOOKUP($B220,Kraftvärmeprod!$B$1:$AV$479,MATCH("Producerad elenergi i kraftvärmeverk (GWh)",Kraftvärmeprod!$B$1:$AV$1,0),FALSE))</f>
        <v>30.17</v>
      </c>
      <c r="G220" t="str">
        <f>IF(ISERROR(1/VLOOKUP($B220,Miljö!$B$1:$T$480,MATCH("Såld mängd produktionsspecifik fjärrvärme (GWh)",Miljö!$B$1:$T$1,0),FALSE)),"",VLOOKUP($B220,Miljö!$B$1:$T$480,MATCH("Såld mängd produktionsspecifik fjärrvärme (GWh)",Miljö!$B$1:$T$1,0),FALSE))</f>
        <v/>
      </c>
      <c r="J220" t="str">
        <f t="shared" si="3"/>
        <v>Nässjö Affärsverk AB</v>
      </c>
    </row>
    <row r="221" spans="1:10" x14ac:dyDescent="0.45">
      <c r="A221" s="2" t="s">
        <v>396</v>
      </c>
      <c r="B221" s="2" t="s">
        <v>395</v>
      </c>
      <c r="D221" t="str">
        <f>IF(ISERROR(1/VLOOKUP($B221,Kraftvärmeprod!$B$1:$D$479,MATCH("Total värmeproduktion i kraftvärmeverk i kombinerad drift (GWh)",Kraftvärmeprod!$B$1:$AV$1,0),FALSE)),"Ej kraftvärme","Alternativproduktionsmetoden")</f>
        <v>Ej kraftvärme</v>
      </c>
      <c r="E221" t="str">
        <f>IF(ISERROR(1/VLOOKUP($B221,Kraftvärmeprod!$B$1:$BD$479,MATCH("Total värmeproduktion i kraftvärmeverk i kombinerad drift (GWh)",Kraftvärmeprod!$B$1:$AV$1,0),FALSE)),"",VLOOKUP($B221,'Slutlig allokering kvv'!$B$1:$BC$479,MATCH(E$1,'Slutlig allokering kvv'!$B$1:$AU$1,0),FALSE))</f>
        <v/>
      </c>
      <c r="F221" t="str">
        <f>IF(ISERROR(1/VLOOKUP($B221,Kraftvärmeprod!$B$1:$AV$479,MATCH("Producerad elenergi i kraftvärmeverk (GWh)",Kraftvärmeprod!$B$1:$AV$1,0),FALSE)),"",VLOOKUP($B221,Kraftvärmeprod!$B$1:$AV$479,MATCH("Producerad elenergi i kraftvärmeverk (GWh)",Kraftvärmeprod!$B$1:$AV$1,0),FALSE))</f>
        <v/>
      </c>
      <c r="G221" t="str">
        <f>IF(ISERROR(1/VLOOKUP($B221,Miljö!$B$1:$T$480,MATCH("Såld mängd produktionsspecifik fjärrvärme (GWh)",Miljö!$B$1:$T$1,0),FALSE)),"",VLOOKUP($B221,Miljö!$B$1:$T$480,MATCH("Såld mängd produktionsspecifik fjärrvärme (GWh)",Miljö!$B$1:$T$1,0),FALSE))</f>
        <v/>
      </c>
      <c r="J221" t="str">
        <f t="shared" si="3"/>
        <v>Olofströms Kraft AB</v>
      </c>
    </row>
    <row r="222" spans="1:10" x14ac:dyDescent="0.45">
      <c r="A222" s="2" t="s">
        <v>393</v>
      </c>
      <c r="B222" s="2" t="s">
        <v>394</v>
      </c>
      <c r="D222" t="str">
        <f>IF(ISERROR(1/VLOOKUP($B222,Kraftvärmeprod!$B$1:$D$479,MATCH("Total värmeproduktion i kraftvärmeverk i kombinerad drift (GWh)",Kraftvärmeprod!$B$1:$AV$1,0),FALSE)),"Ej kraftvärme","Alternativproduktionsmetoden")</f>
        <v>Ej kraftvärme</v>
      </c>
      <c r="E222" t="str">
        <f>IF(ISERROR(1/VLOOKUP($B222,Kraftvärmeprod!$B$1:$BD$479,MATCH("Total värmeproduktion i kraftvärmeverk i kombinerad drift (GWh)",Kraftvärmeprod!$B$1:$AV$1,0),FALSE)),"",VLOOKUP($B222,'Slutlig allokering kvv'!$B$1:$BC$479,MATCH(E$1,'Slutlig allokering kvv'!$B$1:$AU$1,0),FALSE))</f>
        <v/>
      </c>
      <c r="F222" t="str">
        <f>IF(ISERROR(1/VLOOKUP($B222,Kraftvärmeprod!$B$1:$AV$479,MATCH("Producerad elenergi i kraftvärmeverk (GWh)",Kraftvärmeprod!$B$1:$AV$1,0),FALSE)),"",VLOOKUP($B222,Kraftvärmeprod!$B$1:$AV$479,MATCH("Producerad elenergi i kraftvärmeverk (GWh)",Kraftvärmeprod!$B$1:$AV$1,0),FALSE))</f>
        <v/>
      </c>
      <c r="G222" t="str">
        <f>IF(ISERROR(1/VLOOKUP($B222,Miljö!$B$1:$T$480,MATCH("Såld mängd produktionsspecifik fjärrvärme (GWh)",Miljö!$B$1:$T$1,0),FALSE)),"",VLOOKUP($B222,Miljö!$B$1:$T$480,MATCH("Såld mängd produktionsspecifik fjärrvärme (GWh)",Miljö!$B$1:$T$1,0),FALSE))</f>
        <v/>
      </c>
      <c r="J222" t="str">
        <f t="shared" si="3"/>
        <v>Orust Kommun</v>
      </c>
    </row>
    <row r="223" spans="1:10" x14ac:dyDescent="0.45">
      <c r="A223" s="2" t="s">
        <v>393</v>
      </c>
      <c r="B223" s="2" t="s">
        <v>392</v>
      </c>
      <c r="D223" t="str">
        <f>IF(ISERROR(1/VLOOKUP($B223,Kraftvärmeprod!$B$1:$D$479,MATCH("Total värmeproduktion i kraftvärmeverk i kombinerad drift (GWh)",Kraftvärmeprod!$B$1:$AV$1,0),FALSE)),"Ej kraftvärme","Alternativproduktionsmetoden")</f>
        <v>Ej kraftvärme</v>
      </c>
      <c r="E223" t="str">
        <f>IF(ISERROR(1/VLOOKUP($B223,Kraftvärmeprod!$B$1:$BD$479,MATCH("Total värmeproduktion i kraftvärmeverk i kombinerad drift (GWh)",Kraftvärmeprod!$B$1:$AV$1,0),FALSE)),"",VLOOKUP($B223,'Slutlig allokering kvv'!$B$1:$BC$479,MATCH(E$1,'Slutlig allokering kvv'!$B$1:$AU$1,0),FALSE))</f>
        <v/>
      </c>
      <c r="F223" t="str">
        <f>IF(ISERROR(1/VLOOKUP($B223,Kraftvärmeprod!$B$1:$AV$479,MATCH("Producerad elenergi i kraftvärmeverk (GWh)",Kraftvärmeprod!$B$1:$AV$1,0),FALSE)),"",VLOOKUP($B223,Kraftvärmeprod!$B$1:$AV$479,MATCH("Producerad elenergi i kraftvärmeverk (GWh)",Kraftvärmeprod!$B$1:$AV$1,0),FALSE))</f>
        <v/>
      </c>
      <c r="G223" t="str">
        <f>IF(ISERROR(1/VLOOKUP($B223,Miljö!$B$1:$T$480,MATCH("Såld mängd produktionsspecifik fjärrvärme (GWh)",Miljö!$B$1:$T$1,0),FALSE)),"",VLOOKUP($B223,Miljö!$B$1:$T$480,MATCH("Såld mängd produktionsspecifik fjärrvärme (GWh)",Miljö!$B$1:$T$1,0),FALSE))</f>
        <v/>
      </c>
      <c r="J223" t="str">
        <f t="shared" si="3"/>
        <v>Orust Kommun</v>
      </c>
    </row>
    <row r="224" spans="1:10" x14ac:dyDescent="0.45">
      <c r="A224" s="2" t="s">
        <v>391</v>
      </c>
      <c r="B224" s="2" t="s">
        <v>390</v>
      </c>
      <c r="D224" t="str">
        <f>IF(ISERROR(1/VLOOKUP($B224,Kraftvärmeprod!$B$1:$D$479,MATCH("Total värmeproduktion i kraftvärmeverk i kombinerad drift (GWh)",Kraftvärmeprod!$B$1:$AV$1,0),FALSE)),"Ej kraftvärme","Alternativproduktionsmetoden")</f>
        <v>Alternativproduktionsmetoden</v>
      </c>
      <c r="E224">
        <f>IF(ISERROR(1/VLOOKUP($B224,Kraftvärmeprod!$B$1:$BD$479,MATCH("Total värmeproduktion i kraftvärmeverk i kombinerad drift (GWh)",Kraftvärmeprod!$B$1:$AV$1,0),FALSE)),"",VLOOKUP($B224,'Slutlig allokering kvv'!$B$1:$BC$479,MATCH(E$1,'Slutlig allokering kvv'!$B$1:$AU$1,0),FALSE))</f>
        <v>0.67637552742616025</v>
      </c>
      <c r="F224">
        <f>IF(ISERROR(1/VLOOKUP($B224,Kraftvärmeprod!$B$1:$AV$479,MATCH("Producerad elenergi i kraftvärmeverk (GWh)",Kraftvärmeprod!$B$1:$AV$1,0),FALSE)),"",VLOOKUP($B224,Kraftvärmeprod!$B$1:$AV$479,MATCH("Producerad elenergi i kraftvärmeverk (GWh)",Kraftvärmeprod!$B$1:$AV$1,0),FALSE))</f>
        <v>15</v>
      </c>
      <c r="G224" t="str">
        <f>IF(ISERROR(1/VLOOKUP($B224,Miljö!$B$1:$T$480,MATCH("Såld mängd produktionsspecifik fjärrvärme (GWh)",Miljö!$B$1:$T$1,0),FALSE)),"",VLOOKUP($B224,Miljö!$B$1:$T$480,MATCH("Såld mängd produktionsspecifik fjärrvärme (GWh)",Miljö!$B$1:$T$1,0),FALSE))</f>
        <v/>
      </c>
      <c r="J224" t="str">
        <f t="shared" si="3"/>
        <v>Oskarshamn Energi AB</v>
      </c>
    </row>
    <row r="225" spans="1:10" x14ac:dyDescent="0.45">
      <c r="A225" s="2" t="s">
        <v>389</v>
      </c>
      <c r="B225" s="2" t="s">
        <v>388</v>
      </c>
      <c r="D225" t="str">
        <f>IF(ISERROR(1/VLOOKUP($B225,Kraftvärmeprod!$B$1:$D$479,MATCH("Total värmeproduktion i kraftvärmeverk i kombinerad drift (GWh)",Kraftvärmeprod!$B$1:$AV$1,0),FALSE)),"Ej kraftvärme","Alternativproduktionsmetoden")</f>
        <v>Ej kraftvärme</v>
      </c>
      <c r="E225" t="str">
        <f>IF(ISERROR(1/VLOOKUP($B225,Kraftvärmeprod!$B$1:$BD$479,MATCH("Total värmeproduktion i kraftvärmeverk i kombinerad drift (GWh)",Kraftvärmeprod!$B$1:$AV$1,0),FALSE)),"",VLOOKUP($B225,'Slutlig allokering kvv'!$B$1:$BC$479,MATCH(E$1,'Slutlig allokering kvv'!$B$1:$AU$1,0),FALSE))</f>
        <v/>
      </c>
      <c r="F225" t="str">
        <f>IF(ISERROR(1/VLOOKUP($B225,Kraftvärmeprod!$B$1:$AV$479,MATCH("Producerad elenergi i kraftvärmeverk (GWh)",Kraftvärmeprod!$B$1:$AV$1,0),FALSE)),"",VLOOKUP($B225,Kraftvärmeprod!$B$1:$AV$479,MATCH("Producerad elenergi i kraftvärmeverk (GWh)",Kraftvärmeprod!$B$1:$AV$1,0),FALSE))</f>
        <v/>
      </c>
      <c r="G225" t="str">
        <f>IF(ISERROR(1/VLOOKUP($B225,Miljö!$B$1:$T$480,MATCH("Såld mängd produktionsspecifik fjärrvärme (GWh)",Miljö!$B$1:$T$1,0),FALSE)),"",VLOOKUP($B225,Miljö!$B$1:$T$480,MATCH("Såld mängd produktionsspecifik fjärrvärme (GWh)",Miljö!$B$1:$T$1,0),FALSE))</f>
        <v/>
      </c>
      <c r="J225" t="str">
        <f t="shared" si="3"/>
        <v>Oxelö Energi AB</v>
      </c>
    </row>
    <row r="226" spans="1:10" x14ac:dyDescent="0.45">
      <c r="A226" s="2" t="s">
        <v>387</v>
      </c>
      <c r="B226" s="2" t="s">
        <v>114</v>
      </c>
      <c r="D226" t="str">
        <f>IF(ISERROR(1/VLOOKUP($B226,Kraftvärmeprod!$B$1:$D$479,MATCH("Total värmeproduktion i kraftvärmeverk i kombinerad drift (GWh)",Kraftvärmeprod!$B$1:$AV$1,0),FALSE)),"Ej kraftvärme","Alternativproduktionsmetoden")</f>
        <v>Ej kraftvärme</v>
      </c>
      <c r="E226" t="str">
        <f>IF(ISERROR(1/VLOOKUP($B226,Kraftvärmeprod!$B$1:$BD$479,MATCH("Total värmeproduktion i kraftvärmeverk i kombinerad drift (GWh)",Kraftvärmeprod!$B$1:$AV$1,0),FALSE)),"",VLOOKUP($B226,'Slutlig allokering kvv'!$B$1:$BC$479,MATCH(E$1,'Slutlig allokering kvv'!$B$1:$AU$1,0),FALSE))</f>
        <v/>
      </c>
      <c r="F226" t="str">
        <f>IF(ISERROR(1/VLOOKUP($B226,Kraftvärmeprod!$B$1:$AV$479,MATCH("Producerad elenergi i kraftvärmeverk (GWh)",Kraftvärmeprod!$B$1:$AV$1,0),FALSE)),"",VLOOKUP($B226,Kraftvärmeprod!$B$1:$AV$479,MATCH("Producerad elenergi i kraftvärmeverk (GWh)",Kraftvärmeprod!$B$1:$AV$1,0),FALSE))</f>
        <v/>
      </c>
      <c r="G226" t="str">
        <f>IF(ISERROR(1/VLOOKUP($B226,Miljö!$B$1:$T$480,MATCH("Såld mängd produktionsspecifik fjärrvärme (GWh)",Miljö!$B$1:$T$1,0),FALSE)),"",VLOOKUP($B226,Miljö!$B$1:$T$480,MATCH("Såld mängd produktionsspecifik fjärrvärme (GWh)",Miljö!$B$1:$T$1,0),FALSE))</f>
        <v/>
      </c>
      <c r="J226" t="str">
        <f t="shared" si="3"/>
        <v>Pajala Värmeverk AB</v>
      </c>
    </row>
    <row r="227" spans="1:10" x14ac:dyDescent="0.45">
      <c r="A227" s="2" t="s">
        <v>386</v>
      </c>
      <c r="B227" s="2" t="s">
        <v>385</v>
      </c>
      <c r="D227" t="str">
        <f>IF(ISERROR(1/VLOOKUP($B227,Kraftvärmeprod!$B$1:$D$479,MATCH("Total värmeproduktion i kraftvärmeverk i kombinerad drift (GWh)",Kraftvärmeprod!$B$1:$AV$1,0),FALSE)),"Ej kraftvärme","Alternativproduktionsmetoden")</f>
        <v>Ej kraftvärme</v>
      </c>
      <c r="E227" t="str">
        <f>IF(ISERROR(1/VLOOKUP($B227,Kraftvärmeprod!$B$1:$BD$479,MATCH("Total värmeproduktion i kraftvärmeverk i kombinerad drift (GWh)",Kraftvärmeprod!$B$1:$AV$1,0),FALSE)),"",VLOOKUP($B227,'Slutlig allokering kvv'!$B$1:$BC$479,MATCH(E$1,'Slutlig allokering kvv'!$B$1:$AU$1,0),FALSE))</f>
        <v/>
      </c>
      <c r="F227" t="str">
        <f>IF(ISERROR(1/VLOOKUP($B227,Kraftvärmeprod!$B$1:$AV$479,MATCH("Producerad elenergi i kraftvärmeverk (GWh)",Kraftvärmeprod!$B$1:$AV$1,0),FALSE)),"",VLOOKUP($B227,Kraftvärmeprod!$B$1:$AV$479,MATCH("Producerad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Partille Energi AB</v>
      </c>
    </row>
    <row r="228" spans="1:10" x14ac:dyDescent="0.45">
      <c r="A228" s="2" t="s">
        <v>4</v>
      </c>
      <c r="B228" s="2" t="s">
        <v>383</v>
      </c>
      <c r="D228" t="str">
        <f>IF(ISERROR(1/VLOOKUP($B228,Kraftvärmeprod!$B$1:$D$479,MATCH("Total värmeproduktion i kraftvärmeverk i kombinerad drift (GWh)",Kraftvärmeprod!$B$1:$AV$1,0),FALSE)),"Ej kraftvärme","Alternativproduktionsmetoden")</f>
        <v>Ej kraftvärme</v>
      </c>
      <c r="E228" t="str">
        <f>IF(ISERROR(1/VLOOKUP($B228,Kraftvärmeprod!$B$1:$BD$479,MATCH("Total värmeproduktion i kraftvärmeverk i kombinerad drift (GWh)",Kraftvärmeprod!$B$1:$AV$1,0),FALSE)),"",VLOOKUP($B228,'Slutlig allokering kvv'!$B$1:$BC$479,MATCH(E$1,'Slutlig allokering kvv'!$B$1:$AU$1,0),FALSE))</f>
        <v/>
      </c>
      <c r="F228" t="str">
        <f>IF(ISERROR(1/VLOOKUP($B228,Kraftvärmeprod!$B$1:$AV$479,MATCH("Producerad elenergi i kraftvärmeverk (GWh)",Kraftvärmeprod!$B$1:$AV$1,0),FALSE)),"",VLOOKUP($B228,Kraftvärmeprod!$B$1:$AV$479,MATCH("Producerad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Pemco Energi</v>
      </c>
    </row>
    <row r="229" spans="1:10" x14ac:dyDescent="0.45">
      <c r="A229" s="2" t="s">
        <v>4</v>
      </c>
      <c r="B229" s="2" t="s">
        <v>382</v>
      </c>
      <c r="D229" t="str">
        <f>IF(ISERROR(1/VLOOKUP($B229,Kraftvärmeprod!$B$1:$D$479,MATCH("Total värmeproduktion i kraftvärmeverk i kombinerad drift (GWh)",Kraftvärmeprod!$B$1:$AV$1,0),FALSE)),"Ej kraftvärme","Alternativproduktionsmetoden")</f>
        <v>Ej kraftvärme</v>
      </c>
      <c r="E229" t="str">
        <f>IF(ISERROR(1/VLOOKUP($B229,Kraftvärmeprod!$B$1:$BD$479,MATCH("Total värmeproduktion i kraftvärmeverk i kombinerad drift (GWh)",Kraftvärmeprod!$B$1:$AV$1,0),FALSE)),"",VLOOKUP($B229,'Slutlig allokering kvv'!$B$1:$BC$479,MATCH(E$1,'Slutlig allokering kvv'!$B$1:$AU$1,0),FALSE))</f>
        <v/>
      </c>
      <c r="F229" t="str">
        <f>IF(ISERROR(1/VLOOKUP($B229,Kraftvärmeprod!$B$1:$AV$479,MATCH("Producerad elenergi i kraftvärmeverk (GWh)",Kraftvärmeprod!$B$1:$AV$1,0),FALSE)),"",VLOOKUP($B229,Kraftvärmeprod!$B$1:$AV$479,MATCH("Producerad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Pemco Energi</v>
      </c>
    </row>
    <row r="230" spans="1:10" x14ac:dyDescent="0.45">
      <c r="A230" s="2" t="s">
        <v>4</v>
      </c>
      <c r="B230" s="2" t="s">
        <v>5</v>
      </c>
      <c r="D230" t="str">
        <f>IF(ISERROR(1/VLOOKUP($B230,Kraftvärmeprod!$B$1:$D$479,MATCH("Total värmeproduktion i kraftvärmeverk i kombinerad drift (GWh)",Kraftvärmeprod!$B$1:$AV$1,0),FALSE)),"Ej kraftvärme","Alternativproduktionsmetoden")</f>
        <v>Ej kraftvärme</v>
      </c>
      <c r="E230" t="str">
        <f>IF(ISERROR(1/VLOOKUP($B230,Kraftvärmeprod!$B$1:$BD$479,MATCH("Total värmeproduktion i kraftvärmeverk i kombinerad drift (GWh)",Kraftvärmeprod!$B$1:$AV$1,0),FALSE)),"",VLOOKUP($B230,'Slutlig allokering kvv'!$B$1:$BC$479,MATCH(E$1,'Slutlig allokering kvv'!$B$1:$AU$1,0),FALSE))</f>
        <v/>
      </c>
      <c r="F230" t="str">
        <f>IF(ISERROR(1/VLOOKUP($B230,Kraftvärmeprod!$B$1:$AV$479,MATCH("Producerad elenergi i kraftvärmeverk (GWh)",Kraftvärmeprod!$B$1:$AV$1,0),FALSE)),"",VLOOKUP($B230,Kraftvärmeprod!$B$1:$AV$479,MATCH("Producerad elenergi i kraftvärmeverk (GWh)",Kraftvärmeprod!$B$1:$AV$1,0),FALSE))</f>
        <v/>
      </c>
      <c r="G230" t="str">
        <f>IF(ISERROR(1/VLOOKUP($B230,Miljö!$B$1:$T$480,MATCH("Såld mängd produktionsspecifik fjärrvärme (GWh)",Miljö!$B$1:$T$1,0),FALSE)),"",VLOOKUP($B230,Miljö!$B$1:$T$480,MATCH("Såld mängd produktionsspecifik fjärrvärme (GWh)",Miljö!$B$1:$T$1,0),FALSE))</f>
        <v/>
      </c>
      <c r="J230" t="str">
        <f t="shared" si="3"/>
        <v>Pemco Energi</v>
      </c>
    </row>
    <row r="231" spans="1:10" x14ac:dyDescent="0.45">
      <c r="A231" s="2" t="s">
        <v>381</v>
      </c>
      <c r="B231" s="2" t="s">
        <v>380</v>
      </c>
      <c r="D231" t="str">
        <f>IF(ISERROR(1/VLOOKUP($B231,Kraftvärmeprod!$B$1:$D$479,MATCH("Total värmeproduktion i kraftvärmeverk i kombinerad drift (GWh)",Kraftvärmeprod!$B$1:$AV$1,0),FALSE)),"Ej kraftvärme","Alternativproduktionsmetoden")</f>
        <v>Ej kraftvärme</v>
      </c>
      <c r="E231" t="str">
        <f>IF(ISERROR(1/VLOOKUP($B231,Kraftvärmeprod!$B$1:$BD$479,MATCH("Total värmeproduktion i kraftvärmeverk i kombinerad drift (GWh)",Kraftvärmeprod!$B$1:$AV$1,0),FALSE)),"",VLOOKUP($B231,'Slutlig allokering kvv'!$B$1:$BC$479,MATCH(E$1,'Slutlig allokering kvv'!$B$1:$AU$1,0),FALSE))</f>
        <v/>
      </c>
      <c r="F231" t="str">
        <f>IF(ISERROR(1/VLOOKUP($B231,Kraftvärmeprod!$B$1:$AV$479,MATCH("Producerad elenergi i kraftvärmeverk (GWh)",Kraftvärmeprod!$B$1:$AV$1,0),FALSE)),"",VLOOKUP($B231,Kraftvärmeprod!$B$1:$AV$479,MATCH("Producerad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Perstorps Fjärrvärme AB</v>
      </c>
    </row>
    <row r="232" spans="1:10" x14ac:dyDescent="0.45">
      <c r="A232" s="2" t="s">
        <v>376</v>
      </c>
      <c r="B232" s="2" t="s">
        <v>379</v>
      </c>
      <c r="D232" t="str">
        <f>IF(ISERROR(1/VLOOKUP($B232,Kraftvärmeprod!$B$1:$D$479,MATCH("Total värmeproduktion i kraftvärmeverk i kombinerad drift (GWh)",Kraftvärmeprod!$B$1:$AV$1,0),FALSE)),"Ej kraftvärme","Alternativproduktionsmetoden")</f>
        <v>Ej kraftvärme</v>
      </c>
      <c r="E232" t="str">
        <f>IF(ISERROR(1/VLOOKUP($B232,Kraftvärmeprod!$B$1:$BD$479,MATCH("Total värmeproduktion i kraftvärmeverk i kombinerad drift (GWh)",Kraftvärmeprod!$B$1:$AV$1,0),FALSE)),"",VLOOKUP($B232,'Slutlig allokering kvv'!$B$1:$BC$479,MATCH(E$1,'Slutlig allokering kvv'!$B$1:$AU$1,0),FALSE))</f>
        <v/>
      </c>
      <c r="F232" t="str">
        <f>IF(ISERROR(1/VLOOKUP($B232,Kraftvärmeprod!$B$1:$AV$479,MATCH("Producerad elenergi i kraftvärmeverk (GWh)",Kraftvärmeprod!$B$1:$AV$1,0),FALSE)),"",VLOOKUP($B232,Kraftvärmeprod!$B$1:$AV$479,MATCH("Producerad elenergi i kraftvärmeverk (GWh)",Kraftvärmeprod!$B$1:$AV$1,0),FALSE))</f>
        <v/>
      </c>
      <c r="G232" t="str">
        <f>IF(ISERROR(1/VLOOKUP($B232,Miljö!$B$1:$T$480,MATCH("Såld mängd produktionsspecifik fjärrvärme (GWh)",Miljö!$B$1:$T$1,0),FALSE)),"",VLOOKUP($B232,Miljö!$B$1:$T$480,MATCH("Såld mängd produktionsspecifik fjärrvärme (GWh)",Miljö!$B$1:$T$1,0),FALSE))</f>
        <v/>
      </c>
      <c r="J232" t="str">
        <f t="shared" si="3"/>
        <v>PiteEnergi AB</v>
      </c>
    </row>
    <row r="233" spans="1:10" x14ac:dyDescent="0.45">
      <c r="A233" s="2" t="s">
        <v>376</v>
      </c>
      <c r="B233" s="2" t="s">
        <v>378</v>
      </c>
      <c r="D233" t="str">
        <f>IF(ISERROR(1/VLOOKUP($B233,Kraftvärmeprod!$B$1:$D$479,MATCH("Total värmeproduktion i kraftvärmeverk i kombinerad drift (GWh)",Kraftvärmeprod!$B$1:$AV$1,0),FALSE)),"Ej kraftvärme","Alternativproduktionsmetoden")</f>
        <v>Ej kraftvärme</v>
      </c>
      <c r="E233" t="str">
        <f>IF(ISERROR(1/VLOOKUP($B233,Kraftvärmeprod!$B$1:$BD$479,MATCH("Total värmeproduktion i kraftvärmeverk i kombinerad drift (GWh)",Kraftvärmeprod!$B$1:$AV$1,0),FALSE)),"",VLOOKUP($B233,'Slutlig allokering kvv'!$B$1:$BC$479,MATCH(E$1,'Slutlig allokering kvv'!$B$1:$AU$1,0),FALSE))</f>
        <v/>
      </c>
      <c r="F233" t="str">
        <f>IF(ISERROR(1/VLOOKUP($B233,Kraftvärmeprod!$B$1:$AV$479,MATCH("Producerad elenergi i kraftvärmeverk (GWh)",Kraftvärmeprod!$B$1:$AV$1,0),FALSE)),"",VLOOKUP($B233,Kraftvärmeprod!$B$1:$AV$479,MATCH("Producerad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PiteEnergi AB</v>
      </c>
    </row>
    <row r="234" spans="1:10" x14ac:dyDescent="0.45">
      <c r="A234" s="2" t="s">
        <v>376</v>
      </c>
      <c r="B234" s="2" t="s">
        <v>377</v>
      </c>
      <c r="D234" t="str">
        <f>IF(ISERROR(1/VLOOKUP($B234,Kraftvärmeprod!$B$1:$D$479,MATCH("Total värmeproduktion i kraftvärmeverk i kombinerad drift (GWh)",Kraftvärmeprod!$B$1:$AV$1,0),FALSE)),"Ej kraftvärme","Alternativproduktionsmetoden")</f>
        <v>Ej kraftvärme</v>
      </c>
      <c r="E234" t="str">
        <f>IF(ISERROR(1/VLOOKUP($B234,Kraftvärmeprod!$B$1:$BD$479,MATCH("Total värmeproduktion i kraftvärmeverk i kombinerad drift (GWh)",Kraftvärmeprod!$B$1:$AV$1,0),FALSE)),"",VLOOKUP($B234,'Slutlig allokering kvv'!$B$1:$BC$479,MATCH(E$1,'Slutlig allokering kvv'!$B$1:$AU$1,0),FALSE))</f>
        <v/>
      </c>
      <c r="F234" t="str">
        <f>IF(ISERROR(1/VLOOKUP($B234,Kraftvärmeprod!$B$1:$AV$479,MATCH("Producerad elenergi i kraftvärmeverk (GWh)",Kraftvärmeprod!$B$1:$AV$1,0),FALSE)),"",VLOOKUP($B234,Kraftvärmeprod!$B$1:$AV$479,MATCH("Producerad elenergi i kraftvärmeverk (GWh)",Kraftvärmeprod!$B$1:$AV$1,0),FALSE))</f>
        <v/>
      </c>
      <c r="G234" t="str">
        <f>IF(ISERROR(1/VLOOKUP($B234,Miljö!$B$1:$T$480,MATCH("Såld mängd produktionsspecifik fjärrvärme (GWh)",Miljö!$B$1:$T$1,0),FALSE)),"",VLOOKUP($B234,Miljö!$B$1:$T$480,MATCH("Såld mängd produktionsspecifik fjärrvärme (GWh)",Miljö!$B$1:$T$1,0),FALSE))</f>
        <v/>
      </c>
      <c r="J234" t="str">
        <f t="shared" si="3"/>
        <v>PiteEnergi AB</v>
      </c>
    </row>
    <row r="235" spans="1:10" x14ac:dyDescent="0.45">
      <c r="A235" s="2" t="s">
        <v>376</v>
      </c>
      <c r="B235" s="2" t="s">
        <v>375</v>
      </c>
      <c r="D235" t="str">
        <f>IF(ISERROR(1/VLOOKUP($B235,Kraftvärmeprod!$B$1:$D$479,MATCH("Total värmeproduktion i kraftvärmeverk i kombinerad drift (GWh)",Kraftvärmeprod!$B$1:$AV$1,0),FALSE)),"Ej kraftvärme","Alternativproduktionsmetoden")</f>
        <v>Ej kraftvärme</v>
      </c>
      <c r="E235" t="str">
        <f>IF(ISERROR(1/VLOOKUP($B235,Kraftvärmeprod!$B$1:$BD$479,MATCH("Total värmeproduktion i kraftvärmeverk i kombinerad drift (GWh)",Kraftvärmeprod!$B$1:$AV$1,0),FALSE)),"",VLOOKUP($B235,'Slutlig allokering kvv'!$B$1:$BC$479,MATCH(E$1,'Slutlig allokering kvv'!$B$1:$AU$1,0),FALSE))</f>
        <v/>
      </c>
      <c r="F235" t="str">
        <f>IF(ISERROR(1/VLOOKUP($B235,Kraftvärmeprod!$B$1:$AV$479,MATCH("Producerad elenergi i kraftvärmeverk (GWh)",Kraftvärmeprod!$B$1:$AV$1,0),FALSE)),"",VLOOKUP($B235,Kraftvärmeprod!$B$1:$AV$479,MATCH("Producerad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PiteEnergi AB</v>
      </c>
    </row>
    <row r="236" spans="1:10" x14ac:dyDescent="0.45">
      <c r="A236" s="2" t="s">
        <v>374</v>
      </c>
      <c r="B236" s="2" t="s">
        <v>373</v>
      </c>
      <c r="D236" t="str">
        <f>IF(ISERROR(1/VLOOKUP($B236,Kraftvärmeprod!$B$1:$D$479,MATCH("Total värmeproduktion i kraftvärmeverk i kombinerad drift (GWh)",Kraftvärmeprod!$B$1:$AV$1,0),FALSE)),"Ej kraftvärme","Alternativproduktionsmetoden")</f>
        <v>Ej kraftvärme</v>
      </c>
      <c r="E236" t="str">
        <f>IF(ISERROR(1/VLOOKUP($B236,Kraftvärmeprod!$B$1:$BD$479,MATCH("Total värmeproduktion i kraftvärmeverk i kombinerad drift (GWh)",Kraftvärmeprod!$B$1:$AV$1,0),FALSE)),"",VLOOKUP($B236,'Slutlig allokering kvv'!$B$1:$BC$479,MATCH(E$1,'Slutlig allokering kvv'!$B$1:$AU$1,0),FALSE))</f>
        <v/>
      </c>
      <c r="F236" t="str">
        <f>IF(ISERROR(1/VLOOKUP($B236,Kraftvärmeprod!$B$1:$AV$479,MATCH("Producerad elenergi i kraftvärmeverk (GWh)",Kraftvärmeprod!$B$1:$AV$1,0),FALSE)),"",VLOOKUP($B236,Kraftvärmeprod!$B$1:$AV$479,MATCH("Producerad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Ragunda Energi och Teknik AB</v>
      </c>
    </row>
    <row r="237" spans="1:10" x14ac:dyDescent="0.45">
      <c r="A237" s="2" t="s">
        <v>371</v>
      </c>
      <c r="B237" s="2" t="s">
        <v>372</v>
      </c>
      <c r="D237" t="str">
        <f>IF(ISERROR(1/VLOOKUP($B237,Kraftvärmeprod!$B$1:$D$479,MATCH("Total värmeproduktion i kraftvärmeverk i kombinerad drift (GWh)",Kraftvärmeprod!$B$1:$AV$1,0),FALSE)),"Ej kraftvärme","Alternativproduktionsmetoden")</f>
        <v>Ej kraftvärme</v>
      </c>
      <c r="E237" t="str">
        <f>IF(ISERROR(1/VLOOKUP($B237,Kraftvärmeprod!$B$1:$BD$479,MATCH("Total värmeproduktion i kraftvärmeverk i kombinerad drift (GWh)",Kraftvärmeprod!$B$1:$AV$1,0),FALSE)),"",VLOOKUP($B237,'Slutlig allokering kvv'!$B$1:$BC$479,MATCH(E$1,'Slutlig allokering kvv'!$B$1:$AU$1,0),FALSE))</f>
        <v/>
      </c>
      <c r="F237" t="str">
        <f>IF(ISERROR(1/VLOOKUP($B237,Kraftvärmeprod!$B$1:$AV$479,MATCH("Producerad elenergi i kraftvärmeverk (GWh)",Kraftvärmeprod!$B$1:$AV$1,0),FALSE)),"",VLOOKUP($B237,Kraftvärmeprod!$B$1:$AV$479,MATCH("Producerad elenergi i kraftvärmeverk (GWh)",Kraftvärmeprod!$B$1:$AV$1,0),FALSE))</f>
        <v/>
      </c>
      <c r="G237" t="str">
        <f>IF(ISERROR(1/VLOOKUP($B237,Miljö!$B$1:$T$480,MATCH("Såld mängd produktionsspecifik fjärrvärme (GWh)",Miljö!$B$1:$T$1,0),FALSE)),"",VLOOKUP($B237,Miljö!$B$1:$T$480,MATCH("Såld mängd produktionsspecifik fjärrvärme (GWh)",Miljö!$B$1:$T$1,0),FALSE))</f>
        <v/>
      </c>
      <c r="J237" t="str">
        <f t="shared" si="3"/>
        <v>Ronneby Miljö och Teknik AB</v>
      </c>
    </row>
    <row r="238" spans="1:10" x14ac:dyDescent="0.45">
      <c r="A238" s="2" t="s">
        <v>371</v>
      </c>
      <c r="B238" s="2" t="s">
        <v>370</v>
      </c>
      <c r="D238" t="str">
        <f>IF(ISERROR(1/VLOOKUP($B238,Kraftvärmeprod!$B$1:$D$479,MATCH("Total värmeproduktion i kraftvärmeverk i kombinerad drift (GWh)",Kraftvärmeprod!$B$1:$AV$1,0),FALSE)),"Ej kraftvärme","Alternativproduktionsmetoden")</f>
        <v>Alternativproduktionsmetoden</v>
      </c>
      <c r="E238">
        <f>IF(ISERROR(1/VLOOKUP($B238,Kraftvärmeprod!$B$1:$BD$479,MATCH("Total värmeproduktion i kraftvärmeverk i kombinerad drift (GWh)",Kraftvärmeprod!$B$1:$AV$1,0),FALSE)),"",VLOOKUP($B238,'Slutlig allokering kvv'!$B$1:$BC$479,MATCH(E$1,'Slutlig allokering kvv'!$B$1:$AU$1,0),FALSE))</f>
        <v>0.83819377289377273</v>
      </c>
      <c r="F238">
        <f>IF(ISERROR(1/VLOOKUP($B238,Kraftvärmeprod!$B$1:$AV$479,MATCH("Producerad elenergi i kraftvärmeverk (GWh)",Kraftvärmeprod!$B$1:$AV$1,0),FALSE)),"",VLOOKUP($B238,Kraftvärmeprod!$B$1:$AV$479,MATCH("Producerad elenergi i kraftvärmeverk (GWh)",Kraftvärmeprod!$B$1:$AV$1,0),FALSE))</f>
        <v>1.4</v>
      </c>
      <c r="G238" t="str">
        <f>IF(ISERROR(1/VLOOKUP($B238,Miljö!$B$1:$T$480,MATCH("Såld mängd produktionsspecifik fjärrvärme (GWh)",Miljö!$B$1:$T$1,0),FALSE)),"",VLOOKUP($B238,Miljö!$B$1:$T$480,MATCH("Såld mängd produktionsspecifik fjärrvärme (GWh)",Miljö!$B$1:$T$1,0),FALSE))</f>
        <v/>
      </c>
      <c r="J238" t="str">
        <f t="shared" si="3"/>
        <v>Ronneby Miljö och Teknik AB</v>
      </c>
    </row>
    <row r="239" spans="1:10" x14ac:dyDescent="0.45">
      <c r="A239" s="2" t="s">
        <v>369</v>
      </c>
      <c r="B239" s="2" t="s">
        <v>368</v>
      </c>
      <c r="D239" t="str">
        <f>IF(ISERROR(1/VLOOKUP($B239,Kraftvärmeprod!$B$1:$D$479,MATCH("Total värmeproduktion i kraftvärmeverk i kombinerad drift (GWh)",Kraftvärmeprod!$B$1:$AV$1,0),FALSE)),"Ej kraftvärme","Alternativproduktionsmetoden")</f>
        <v>Ej kraftvärme</v>
      </c>
      <c r="E239" t="str">
        <f>IF(ISERROR(1/VLOOKUP($B239,Kraftvärmeprod!$B$1:$BD$479,MATCH("Total värmeproduktion i kraftvärmeverk i kombinerad drift (GWh)",Kraftvärmeprod!$B$1:$AV$1,0),FALSE)),"",VLOOKUP($B239,'Slutlig allokering kvv'!$B$1:$BC$479,MATCH(E$1,'Slutlig allokering kvv'!$B$1:$AU$1,0),FALSE))</f>
        <v/>
      </c>
      <c r="F239" t="str">
        <f>IF(ISERROR(1/VLOOKUP($B239,Kraftvärmeprod!$B$1:$AV$479,MATCH("Producerad elenergi i kraftvärmeverk (GWh)",Kraftvärmeprod!$B$1:$AV$1,0),FALSE)),"",VLOOKUP($B239,Kraftvärmeprod!$B$1:$AV$479,MATCH("Producerad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Rättvik Energi AB</v>
      </c>
    </row>
    <row r="240" spans="1:10" x14ac:dyDescent="0.45">
      <c r="A240" s="2" t="s">
        <v>367</v>
      </c>
      <c r="B240" s="2" t="s">
        <v>366</v>
      </c>
      <c r="D240" t="str">
        <f>IF(ISERROR(1/VLOOKUP($B240,Kraftvärmeprod!$B$1:$D$479,MATCH("Total värmeproduktion i kraftvärmeverk i kombinerad drift (GWh)",Kraftvärmeprod!$B$1:$AV$1,0),FALSE)),"Ej kraftvärme","Alternativproduktionsmetoden")</f>
        <v>Alternativproduktionsmetoden</v>
      </c>
      <c r="E240">
        <f>IF(ISERROR(1/VLOOKUP($B240,Kraftvärmeprod!$B$1:$BD$479,MATCH("Total värmeproduktion i kraftvärmeverk i kombinerad drift (GWh)",Kraftvärmeprod!$B$1:$AV$1,0),FALSE)),"",VLOOKUP($B240,'Slutlig allokering kvv'!$B$1:$BC$479,MATCH(E$1,'Slutlig allokering kvv'!$B$1:$AU$1,0),FALSE))</f>
        <v>0.60636844961030278</v>
      </c>
      <c r="F240">
        <f>IF(ISERROR(1/VLOOKUP($B240,Kraftvärmeprod!$B$1:$AV$479,MATCH("Producerad elenergi i kraftvärmeverk (GWh)",Kraftvärmeprod!$B$1:$AV$1,0),FALSE)),"",VLOOKUP($B240,Kraftvärmeprod!$B$1:$AV$479,MATCH("Producerad elenergi i kraftvärmeverk (GWh)",Kraftvärmeprod!$B$1:$AV$1,0),FALSE))</f>
        <v>19.105874</v>
      </c>
      <c r="G240" t="str">
        <f>IF(ISERROR(1/VLOOKUP($B240,Miljö!$B$1:$T$480,MATCH("Såld mängd produktionsspecifik fjärrvärme (GWh)",Miljö!$B$1:$T$1,0),FALSE)),"",VLOOKUP($B240,Miljö!$B$1:$T$480,MATCH("Såld mängd produktionsspecifik fjärrvärme (GWh)",Miljö!$B$1:$T$1,0),FALSE))</f>
        <v/>
      </c>
      <c r="J240" t="str">
        <f t="shared" si="3"/>
        <v>Sala-Heby Energi AB</v>
      </c>
    </row>
    <row r="241" spans="1:10" x14ac:dyDescent="0.45">
      <c r="A241" s="2" t="s">
        <v>364</v>
      </c>
      <c r="B241" s="2" t="s">
        <v>363</v>
      </c>
      <c r="D241" t="str">
        <f>IF(ISERROR(1/VLOOKUP($B241,Kraftvärmeprod!$B$1:$D$479,MATCH("Total värmeproduktion i kraftvärmeverk i kombinerad drift (GWh)",Kraftvärmeprod!$B$1:$AV$1,0),FALSE)),"Ej kraftvärme","Alternativproduktionsmetoden")</f>
        <v>Ej kraftvärme</v>
      </c>
      <c r="E241" t="str">
        <f>IF(ISERROR(1/VLOOKUP($B241,Kraftvärmeprod!$B$1:$BD$479,MATCH("Total värmeproduktion i kraftvärmeverk i kombinerad drift (GWh)",Kraftvärmeprod!$B$1:$AV$1,0),FALSE)),"",VLOOKUP($B241,'Slutlig allokering kvv'!$B$1:$BC$479,MATCH(E$1,'Slutlig allokering kvv'!$B$1:$AU$1,0),FALSE))</f>
        <v/>
      </c>
      <c r="F241" t="str">
        <f>IF(ISERROR(1/VLOOKUP($B241,Kraftvärmeprod!$B$1:$AV$479,MATCH("Producerad elenergi i kraftvärmeverk (GWh)",Kraftvärmeprod!$B$1:$AV$1,0),FALSE)),"",VLOOKUP($B241,Kraftvärmeprod!$B$1:$AV$479,MATCH("Producerad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Sandviken Energi AB</v>
      </c>
    </row>
    <row r="242" spans="1:10" x14ac:dyDescent="0.45">
      <c r="A242" s="2" t="s">
        <v>362</v>
      </c>
      <c r="B242" s="2" t="s">
        <v>361</v>
      </c>
      <c r="D242" t="str">
        <f>IF(ISERROR(1/VLOOKUP($B242,Kraftvärmeprod!$B$1:$D$479,MATCH("Total värmeproduktion i kraftvärmeverk i kombinerad drift (GWh)",Kraftvärmeprod!$B$1:$AV$1,0),FALSE)),"Ej kraftvärme","Alternativproduktionsmetoden")</f>
        <v>Alternativproduktionsmetoden</v>
      </c>
      <c r="E242">
        <f>IF(ISERROR(1/VLOOKUP($B242,Kraftvärmeprod!$B$1:$BD$479,MATCH("Total värmeproduktion i kraftvärmeverk i kombinerad drift (GWh)",Kraftvärmeprod!$B$1:$AV$1,0),FALSE)),"",VLOOKUP($B242,'Slutlig allokering kvv'!$B$1:$BC$479,MATCH(E$1,'Slutlig allokering kvv'!$B$1:$AU$1,0),FALSE))</f>
        <v>0.66036246524270226</v>
      </c>
      <c r="F242">
        <f>IF(ISERROR(1/VLOOKUP($B242,Kraftvärmeprod!$B$1:$AV$479,MATCH("Producerad elenergi i kraftvärmeverk (GWh)",Kraftvärmeprod!$B$1:$AV$1,0),FALSE)),"",VLOOKUP($B242,Kraftvärmeprod!$B$1:$AV$479,MATCH("Producerad elenergi i kraftvärmeverk (GWh)",Kraftvärmeprod!$B$1:$AV$1,0),FALSE))</f>
        <v>27.172999999999998</v>
      </c>
      <c r="G242" t="str">
        <f>IF(ISERROR(1/VLOOKUP($B242,Miljö!$B$1:$T$480,MATCH("Såld mängd produktionsspecifik fjärrvärme (GWh)",Miljö!$B$1:$T$1,0),FALSE)),"",VLOOKUP($B242,Miljö!$B$1:$T$480,MATCH("Såld mängd produktionsspecifik fjärrvärme (GWh)",Miljö!$B$1:$T$1,0),FALSE))</f>
        <v/>
      </c>
      <c r="J242" t="str">
        <f t="shared" si="3"/>
        <v>SEVAB Strängnäs Energi AB</v>
      </c>
    </row>
    <row r="243" spans="1:10" x14ac:dyDescent="0.45">
      <c r="A243" s="2" t="s">
        <v>360</v>
      </c>
      <c r="B243" s="2" t="s">
        <v>359</v>
      </c>
      <c r="D243" t="str">
        <f>IF(ISERROR(1/VLOOKUP($B243,Kraftvärmeprod!$B$1:$D$479,MATCH("Total värmeproduktion i kraftvärmeverk i kombinerad drift (GWh)",Kraftvärmeprod!$B$1:$AV$1,0),FALSE)),"Ej kraftvärme","Alternativproduktionsmetoden")</f>
        <v>Ej kraftvärme</v>
      </c>
      <c r="E243" t="str">
        <f>IF(ISERROR(1/VLOOKUP($B243,Kraftvärmeprod!$B$1:$BD$479,MATCH("Total värmeproduktion i kraftvärmeverk i kombinerad drift (GWh)",Kraftvärmeprod!$B$1:$AV$1,0),FALSE)),"",VLOOKUP($B243,'Slutlig allokering kvv'!$B$1:$BC$479,MATCH(E$1,'Slutlig allokering kvv'!$B$1:$AU$1,0),FALSE))</f>
        <v/>
      </c>
      <c r="F243" t="str">
        <f>IF(ISERROR(1/VLOOKUP($B243,Kraftvärmeprod!$B$1:$AV$479,MATCH("Producerad elenergi i kraftvärmeverk (GWh)",Kraftvärmeprod!$B$1:$AV$1,0),FALSE)),"",VLOOKUP($B243,Kraftvärmeprod!$B$1:$AV$479,MATCH("Producerad elenergi i kraftvärmeverk (GWh)",Kraftvärmeprod!$B$1:$AV$1,0),FALSE))</f>
        <v/>
      </c>
      <c r="G243" t="str">
        <f>IF(ISERROR(1/VLOOKUP($B243,Miljö!$B$1:$T$480,MATCH("Såld mängd produktionsspecifik fjärrvärme (GWh)",Miljö!$B$1:$T$1,0),FALSE)),"",VLOOKUP($B243,Miljö!$B$1:$T$480,MATCH("Såld mängd produktionsspecifik fjärrvärme (GWh)",Miljö!$B$1:$T$1,0),FALSE))</f>
        <v/>
      </c>
      <c r="J243" t="str">
        <f t="shared" si="3"/>
        <v>Skara Energi AB</v>
      </c>
    </row>
    <row r="244" spans="1:10" x14ac:dyDescent="0.45">
      <c r="A244" s="2" t="s">
        <v>342</v>
      </c>
      <c r="B244" s="2" t="s">
        <v>358</v>
      </c>
      <c r="D244" t="str">
        <f>IF(ISERROR(1/VLOOKUP($B244,Kraftvärmeprod!$B$1:$D$479,MATCH("Total värmeproduktion i kraftvärmeverk i kombinerad drift (GWh)",Kraftvärmeprod!$B$1:$AV$1,0),FALSE)),"Ej kraftvärme","Alternativproduktionsmetoden")</f>
        <v>Ej kraftvärme</v>
      </c>
      <c r="E244" t="str">
        <f>IF(ISERROR(1/VLOOKUP($B244,Kraftvärmeprod!$B$1:$BD$479,MATCH("Total värmeproduktion i kraftvärmeverk i kombinerad drift (GWh)",Kraftvärmeprod!$B$1:$AV$1,0),FALSE)),"",VLOOKUP($B244,'Slutlig allokering kvv'!$B$1:$BC$479,MATCH(E$1,'Slutlig allokering kvv'!$B$1:$AU$1,0),FALSE))</f>
        <v/>
      </c>
      <c r="F244" t="str">
        <f>IF(ISERROR(1/VLOOKUP($B244,Kraftvärmeprod!$B$1:$AV$479,MATCH("Producerad elenergi i kraftvärmeverk (GWh)",Kraftvärmeprod!$B$1:$AV$1,0),FALSE)),"",VLOOKUP($B244,Kraftvärmeprod!$B$1:$AV$479,MATCH("Producerad elenergi i kraftvärmeverk (GWh)",Kraftvärmeprod!$B$1:$AV$1,0),FALSE))</f>
        <v/>
      </c>
      <c r="G244" t="str">
        <f>IF(ISERROR(1/VLOOKUP($B244,Miljö!$B$1:$T$480,MATCH("Såld mängd produktionsspecifik fjärrvärme (GWh)",Miljö!$B$1:$T$1,0),FALSE)),"",VLOOKUP($B244,Miljö!$B$1:$T$480,MATCH("Såld mängd produktionsspecifik fjärrvärme (GWh)",Miljö!$B$1:$T$1,0),FALSE))</f>
        <v/>
      </c>
      <c r="J244" t="str">
        <f t="shared" si="3"/>
        <v>Skellefteå Kraft AB</v>
      </c>
    </row>
    <row r="245" spans="1:10" x14ac:dyDescent="0.45">
      <c r="A245" s="2" t="s">
        <v>342</v>
      </c>
      <c r="B245" s="2" t="s">
        <v>357</v>
      </c>
      <c r="D245" t="str">
        <f>IF(ISERROR(1/VLOOKUP($B245,Kraftvärmeprod!$B$1:$D$479,MATCH("Total värmeproduktion i kraftvärmeverk i kombinerad drift (GWh)",Kraftvärmeprod!$B$1:$AV$1,0),FALSE)),"Ej kraftvärme","Alternativproduktionsmetoden")</f>
        <v>Ej kraftvärme</v>
      </c>
      <c r="E245" t="str">
        <f>IF(ISERROR(1/VLOOKUP($B245,Kraftvärmeprod!$B$1:$BD$479,MATCH("Total värmeproduktion i kraftvärmeverk i kombinerad drift (GWh)",Kraftvärmeprod!$B$1:$AV$1,0),FALSE)),"",VLOOKUP($B245,'Slutlig allokering kvv'!$B$1:$BC$479,MATCH(E$1,'Slutlig allokering kvv'!$B$1:$AU$1,0),FALSE))</f>
        <v/>
      </c>
      <c r="F245" t="str">
        <f>IF(ISERROR(1/VLOOKUP($B245,Kraftvärmeprod!$B$1:$AV$479,MATCH("Producerad elenergi i kraftvärmeverk (GWh)",Kraftvärmeprod!$B$1:$AV$1,0),FALSE)),"",VLOOKUP($B245,Kraftvärmeprod!$B$1:$AV$479,MATCH("Producerad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Skellefteå Kraft AB</v>
      </c>
    </row>
    <row r="246" spans="1:10" x14ac:dyDescent="0.45">
      <c r="A246" s="2" t="s">
        <v>342</v>
      </c>
      <c r="B246" s="2" t="s">
        <v>356</v>
      </c>
      <c r="D246" t="str">
        <f>IF(ISERROR(1/VLOOKUP($B246,Kraftvärmeprod!$B$1:$D$479,MATCH("Total värmeproduktion i kraftvärmeverk i kombinerad drift (GWh)",Kraftvärmeprod!$B$1:$AV$1,0),FALSE)),"Ej kraftvärme","Alternativproduktionsmetoden")</f>
        <v>Ej kraftvärme</v>
      </c>
      <c r="E246" t="str">
        <f>IF(ISERROR(1/VLOOKUP($B246,Kraftvärmeprod!$B$1:$BD$479,MATCH("Total värmeproduktion i kraftvärmeverk i kombinerad drift (GWh)",Kraftvärmeprod!$B$1:$AV$1,0),FALSE)),"",VLOOKUP($B246,'Slutlig allokering kvv'!$B$1:$BC$479,MATCH(E$1,'Slutlig allokering kvv'!$B$1:$AU$1,0),FALSE))</f>
        <v/>
      </c>
      <c r="F246" t="str">
        <f>IF(ISERROR(1/VLOOKUP($B246,Kraftvärmeprod!$B$1:$AV$479,MATCH("Producerad elenergi i kraftvärmeverk (GWh)",Kraftvärmeprod!$B$1:$AV$1,0),FALSE)),"",VLOOKUP($B246,Kraftvärmeprod!$B$1:$AV$479,MATCH("Producerad elenergi i kraftvärmeverk (GWh)",Kraftvärmeprod!$B$1:$AV$1,0),FALSE))</f>
        <v/>
      </c>
      <c r="G246" t="str">
        <f>IF(ISERROR(1/VLOOKUP($B246,Miljö!$B$1:$T$480,MATCH("Såld mängd produktionsspecifik fjärrvärme (GWh)",Miljö!$B$1:$T$1,0),FALSE)),"",VLOOKUP($B246,Miljö!$B$1:$T$480,MATCH("Såld mängd produktionsspecifik fjärrvärme (GWh)",Miljö!$B$1:$T$1,0),FALSE))</f>
        <v/>
      </c>
      <c r="J246" t="str">
        <f t="shared" si="3"/>
        <v>Skellefteå Kraft AB</v>
      </c>
    </row>
    <row r="247" spans="1:10" x14ac:dyDescent="0.45">
      <c r="A247" s="2" t="s">
        <v>342</v>
      </c>
      <c r="B247" s="2" t="s">
        <v>355</v>
      </c>
      <c r="D247" t="str">
        <f>IF(ISERROR(1/VLOOKUP($B247,Kraftvärmeprod!$B$1:$D$479,MATCH("Total värmeproduktion i kraftvärmeverk i kombinerad drift (GWh)",Kraftvärmeprod!$B$1:$AV$1,0),FALSE)),"Ej kraftvärme","Alternativproduktionsmetoden")</f>
        <v>Ej kraftvärme</v>
      </c>
      <c r="E247" t="str">
        <f>IF(ISERROR(1/VLOOKUP($B247,Kraftvärmeprod!$B$1:$BD$479,MATCH("Total värmeproduktion i kraftvärmeverk i kombinerad drift (GWh)",Kraftvärmeprod!$B$1:$AV$1,0),FALSE)),"",VLOOKUP($B247,'Slutlig allokering kvv'!$B$1:$BC$479,MATCH(E$1,'Slutlig allokering kvv'!$B$1:$AU$1,0),FALSE))</f>
        <v/>
      </c>
      <c r="F247" t="str">
        <f>IF(ISERROR(1/VLOOKUP($B247,Kraftvärmeprod!$B$1:$AV$479,MATCH("Producerad elenergi i kraftvärmeverk (GWh)",Kraftvärmeprod!$B$1:$AV$1,0),FALSE)),"",VLOOKUP($B247,Kraftvärmeprod!$B$1:$AV$479,MATCH("Producerad elenergi i kraftvärmeverk (GWh)",Kraftvärmeprod!$B$1:$AV$1,0),FALSE))</f>
        <v/>
      </c>
      <c r="G247" t="str">
        <f>IF(ISERROR(1/VLOOKUP($B247,Miljö!$B$1:$T$480,MATCH("Såld mängd produktionsspecifik fjärrvärme (GWh)",Miljö!$B$1:$T$1,0),FALSE)),"",VLOOKUP($B247,Miljö!$B$1:$T$480,MATCH("Såld mängd produktionsspecifik fjärrvärme (GWh)",Miljö!$B$1:$T$1,0),FALSE))</f>
        <v/>
      </c>
      <c r="J247" t="str">
        <f t="shared" si="3"/>
        <v>Skellefteå Kraft AB</v>
      </c>
    </row>
    <row r="248" spans="1:10" x14ac:dyDescent="0.45">
      <c r="A248" s="2" t="s">
        <v>342</v>
      </c>
      <c r="B248" s="2" t="s">
        <v>354</v>
      </c>
      <c r="D248" t="str">
        <f>IF(ISERROR(1/VLOOKUP($B248,Kraftvärmeprod!$B$1:$D$479,MATCH("Total värmeproduktion i kraftvärmeverk i kombinerad drift (GWh)",Kraftvärmeprod!$B$1:$AV$1,0),FALSE)),"Ej kraftvärme","Alternativproduktionsmetoden")</f>
        <v>Ej kraftvärme</v>
      </c>
      <c r="E248" t="str">
        <f>IF(ISERROR(1/VLOOKUP($B248,Kraftvärmeprod!$B$1:$BD$479,MATCH("Total värmeproduktion i kraftvärmeverk i kombinerad drift (GWh)",Kraftvärmeprod!$B$1:$AV$1,0),FALSE)),"",VLOOKUP($B248,'Slutlig allokering kvv'!$B$1:$BC$479,MATCH(E$1,'Slutlig allokering kvv'!$B$1:$AU$1,0),FALSE))</f>
        <v/>
      </c>
      <c r="F248" t="str">
        <f>IF(ISERROR(1/VLOOKUP($B248,Kraftvärmeprod!$B$1:$AV$479,MATCH("Producerad elenergi i kraftvärmeverk (GWh)",Kraftvärmeprod!$B$1:$AV$1,0),FALSE)),"",VLOOKUP($B248,Kraftvärmeprod!$B$1:$AV$479,MATCH("Producerad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Skellefteå Kraft AB</v>
      </c>
    </row>
    <row r="249" spans="1:10" x14ac:dyDescent="0.45">
      <c r="A249" s="2" t="s">
        <v>342</v>
      </c>
      <c r="B249" s="2" t="s">
        <v>353</v>
      </c>
      <c r="D249" t="str">
        <f>IF(ISERROR(1/VLOOKUP($B249,Kraftvärmeprod!$B$1:$D$479,MATCH("Total värmeproduktion i kraftvärmeverk i kombinerad drift (GWh)",Kraftvärmeprod!$B$1:$AV$1,0),FALSE)),"Ej kraftvärme","Alternativproduktionsmetoden")</f>
        <v>Ej kraftvärme</v>
      </c>
      <c r="E249" t="str">
        <f>IF(ISERROR(1/VLOOKUP($B249,Kraftvärmeprod!$B$1:$BD$479,MATCH("Total värmeproduktion i kraftvärmeverk i kombinerad drift (GWh)",Kraftvärmeprod!$B$1:$AV$1,0),FALSE)),"",VLOOKUP($B249,'Slutlig allokering kvv'!$B$1:$BC$479,MATCH(E$1,'Slutlig allokering kvv'!$B$1:$AU$1,0),FALSE))</f>
        <v/>
      </c>
      <c r="F249" t="str">
        <f>IF(ISERROR(1/VLOOKUP($B249,Kraftvärmeprod!$B$1:$AV$479,MATCH("Producerad elenergi i kraftvärmeverk (GWh)",Kraftvärmeprod!$B$1:$AV$1,0),FALSE)),"",VLOOKUP($B249,Kraftvärmeprod!$B$1:$AV$479,MATCH("Producerad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Skellefteå Kraft AB</v>
      </c>
    </row>
    <row r="250" spans="1:10" x14ac:dyDescent="0.45">
      <c r="A250" s="2" t="s">
        <v>342</v>
      </c>
      <c r="B250" s="2" t="s">
        <v>352</v>
      </c>
      <c r="D250" t="str">
        <f>IF(ISERROR(1/VLOOKUP($B250,Kraftvärmeprod!$B$1:$D$479,MATCH("Total värmeproduktion i kraftvärmeverk i kombinerad drift (GWh)",Kraftvärmeprod!$B$1:$AV$1,0),FALSE)),"Ej kraftvärme","Alternativproduktionsmetoden")</f>
        <v>Ej kraftvärme</v>
      </c>
      <c r="E250" t="str">
        <f>IF(ISERROR(1/VLOOKUP($B250,Kraftvärmeprod!$B$1:$BD$479,MATCH("Total värmeproduktion i kraftvärmeverk i kombinerad drift (GWh)",Kraftvärmeprod!$B$1:$AV$1,0),FALSE)),"",VLOOKUP($B250,'Slutlig allokering kvv'!$B$1:$BC$479,MATCH(E$1,'Slutlig allokering kvv'!$B$1:$AU$1,0),FALSE))</f>
        <v/>
      </c>
      <c r="F250" t="str">
        <f>IF(ISERROR(1/VLOOKUP($B250,Kraftvärmeprod!$B$1:$AV$479,MATCH("Producerad elenergi i kraftvärmeverk (GWh)",Kraftvärmeprod!$B$1:$AV$1,0),FALSE)),"",VLOOKUP($B250,Kraftvärmeprod!$B$1:$AV$479,MATCH("Producerad elenergi i kraftvärmeverk (GWh)",Kraftvärmeprod!$B$1:$AV$1,0),FALSE))</f>
        <v/>
      </c>
      <c r="G250" t="str">
        <f>IF(ISERROR(1/VLOOKUP($B250,Miljö!$B$1:$T$480,MATCH("Såld mängd produktionsspecifik fjärrvärme (GWh)",Miljö!$B$1:$T$1,0),FALSE)),"",VLOOKUP($B250,Miljö!$B$1:$T$480,MATCH("Såld mängd produktionsspecifik fjärrvärme (GWh)",Miljö!$B$1:$T$1,0),FALSE))</f>
        <v/>
      </c>
      <c r="J250" t="str">
        <f t="shared" si="3"/>
        <v>Skellefteå Kraft AB</v>
      </c>
    </row>
    <row r="251" spans="1:10" x14ac:dyDescent="0.45">
      <c r="A251" s="2" t="s">
        <v>342</v>
      </c>
      <c r="B251" s="2" t="s">
        <v>351</v>
      </c>
      <c r="D251" t="str">
        <f>IF(ISERROR(1/VLOOKUP($B251,Kraftvärmeprod!$B$1:$D$479,MATCH("Total värmeproduktion i kraftvärmeverk i kombinerad drift (GWh)",Kraftvärmeprod!$B$1:$AV$1,0),FALSE)),"Ej kraftvärme","Alternativproduktionsmetoden")</f>
        <v>Alternativproduktionsmetoden</v>
      </c>
      <c r="E251">
        <f>IF(ISERROR(1/VLOOKUP($B251,Kraftvärmeprod!$B$1:$BD$479,MATCH("Total värmeproduktion i kraftvärmeverk i kombinerad drift (GWh)",Kraftvärmeprod!$B$1:$AV$1,0),FALSE)),"",VLOOKUP($B251,'Slutlig allokering kvv'!$B$1:$BC$479,MATCH(E$1,'Slutlig allokering kvv'!$B$1:$AU$1,0),FALSE))</f>
        <v>0.51554025652215352</v>
      </c>
      <c r="F251">
        <f>IF(ISERROR(1/VLOOKUP($B251,Kraftvärmeprod!$B$1:$AV$479,MATCH("Producerad elenergi i kraftvärmeverk (GWh)",Kraftvärmeprod!$B$1:$AV$1,0),FALSE)),"",VLOOKUP($B251,Kraftvärmeprod!$B$1:$AV$479,MATCH("Producerad elenergi i kraftvärmeverk (GWh)",Kraftvärmeprod!$B$1:$AV$1,0),FALSE))</f>
        <v>43.695</v>
      </c>
      <c r="G251" t="str">
        <f>IF(ISERROR(1/VLOOKUP($B251,Miljö!$B$1:$T$480,MATCH("Såld mängd produktionsspecifik fjärrvärme (GWh)",Miljö!$B$1:$T$1,0),FALSE)),"",VLOOKUP($B251,Miljö!$B$1:$T$480,MATCH("Såld mängd produktionsspecifik fjärrvärme (GWh)",Miljö!$B$1:$T$1,0),FALSE))</f>
        <v/>
      </c>
      <c r="J251" t="str">
        <f t="shared" si="3"/>
        <v>Skellefteå Kraft AB</v>
      </c>
    </row>
    <row r="252" spans="1:10" x14ac:dyDescent="0.45">
      <c r="A252" s="2" t="s">
        <v>342</v>
      </c>
      <c r="B252" s="2" t="s">
        <v>350</v>
      </c>
      <c r="D252" t="str">
        <f>IF(ISERROR(1/VLOOKUP($B252,Kraftvärmeprod!$B$1:$D$479,MATCH("Total värmeproduktion i kraftvärmeverk i kombinerad drift (GWh)",Kraftvärmeprod!$B$1:$AV$1,0),FALSE)),"Ej kraftvärme","Alternativproduktionsmetoden")</f>
        <v>Ej kraftvärme</v>
      </c>
      <c r="E252" t="str">
        <f>IF(ISERROR(1/VLOOKUP($B252,Kraftvärmeprod!$B$1:$BD$479,MATCH("Total värmeproduktion i kraftvärmeverk i kombinerad drift (GWh)",Kraftvärmeprod!$B$1:$AV$1,0),FALSE)),"",VLOOKUP($B252,'Slutlig allokering kvv'!$B$1:$BC$479,MATCH(E$1,'Slutlig allokering kvv'!$B$1:$AU$1,0),FALSE))</f>
        <v/>
      </c>
      <c r="F252" t="str">
        <f>IF(ISERROR(1/VLOOKUP($B252,Kraftvärmeprod!$B$1:$AV$479,MATCH("Producerad elenergi i kraftvärmeverk (GWh)",Kraftvärmeprod!$B$1:$AV$1,0),FALSE)),"",VLOOKUP($B252,Kraftvärmeprod!$B$1:$AV$479,MATCH("Producerad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Skellefteå Kraft AB</v>
      </c>
    </row>
    <row r="253" spans="1:10" x14ac:dyDescent="0.45">
      <c r="A253" s="2" t="s">
        <v>342</v>
      </c>
      <c r="B253" s="2" t="s">
        <v>349</v>
      </c>
      <c r="D253" t="str">
        <f>IF(ISERROR(1/VLOOKUP($B253,Kraftvärmeprod!$B$1:$D$479,MATCH("Total värmeproduktion i kraftvärmeverk i kombinerad drift (GWh)",Kraftvärmeprod!$B$1:$AV$1,0),FALSE)),"Ej kraftvärme","Alternativproduktionsmetoden")</f>
        <v>Alternativproduktionsmetoden</v>
      </c>
      <c r="E253">
        <f>IF(ISERROR(1/VLOOKUP($B253,Kraftvärmeprod!$B$1:$BD$479,MATCH("Total värmeproduktion i kraftvärmeverk i kombinerad drift (GWh)",Kraftvärmeprod!$B$1:$AV$1,0),FALSE)),"",VLOOKUP($B253,'Slutlig allokering kvv'!$B$1:$BC$479,MATCH(E$1,'Slutlig allokering kvv'!$B$1:$AU$1,0),FALSE))</f>
        <v>0.63283140853517872</v>
      </c>
      <c r="F253">
        <f>IF(ISERROR(1/VLOOKUP($B253,Kraftvärmeprod!$B$1:$AV$479,MATCH("Producerad elenergi i kraftvärmeverk (GWh)",Kraftvärmeprod!$B$1:$AV$1,0),FALSE)),"",VLOOKUP($B253,Kraftvärmeprod!$B$1:$AV$479,MATCH("Producerad elenergi i kraftvärmeverk (GWh)",Kraftvärmeprod!$B$1:$AV$1,0),FALSE))</f>
        <v>18.358000000000001</v>
      </c>
      <c r="G253" t="str">
        <f>IF(ISERROR(1/VLOOKUP($B253,Miljö!$B$1:$T$480,MATCH("Såld mängd produktionsspecifik fjärrvärme (GWh)",Miljö!$B$1:$T$1,0),FALSE)),"",VLOOKUP($B253,Miljö!$B$1:$T$480,MATCH("Såld mängd produktionsspecifik fjärrvärme (GWh)",Miljö!$B$1:$T$1,0),FALSE))</f>
        <v/>
      </c>
      <c r="J253" t="str">
        <f t="shared" si="3"/>
        <v>Skellefteå Kraft AB</v>
      </c>
    </row>
    <row r="254" spans="1:10" x14ac:dyDescent="0.45">
      <c r="A254" s="2" t="s">
        <v>342</v>
      </c>
      <c r="B254" s="2" t="s">
        <v>348</v>
      </c>
      <c r="D254" t="str">
        <f>IF(ISERROR(1/VLOOKUP($B254,Kraftvärmeprod!$B$1:$D$479,MATCH("Total värmeproduktion i kraftvärmeverk i kombinerad drift (GWh)",Kraftvärmeprod!$B$1:$AV$1,0),FALSE)),"Ej kraftvärme","Alternativproduktionsmetoden")</f>
        <v>Ej kraftvärme</v>
      </c>
      <c r="E254" t="str">
        <f>IF(ISERROR(1/VLOOKUP($B254,Kraftvärmeprod!$B$1:$BD$479,MATCH("Total värmeproduktion i kraftvärmeverk i kombinerad drift (GWh)",Kraftvärmeprod!$B$1:$AV$1,0),FALSE)),"",VLOOKUP($B254,'Slutlig allokering kvv'!$B$1:$BC$479,MATCH(E$1,'Slutlig allokering kvv'!$B$1:$AU$1,0),FALSE))</f>
        <v/>
      </c>
      <c r="F254" t="str">
        <f>IF(ISERROR(1/VLOOKUP($B254,Kraftvärmeprod!$B$1:$AV$479,MATCH("Producerad elenergi i kraftvärmeverk (GWh)",Kraftvärmeprod!$B$1:$AV$1,0),FALSE)),"",VLOOKUP($B254,Kraftvärmeprod!$B$1:$AV$479,MATCH("Producerad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Skellefteå Kraft AB</v>
      </c>
    </row>
    <row r="255" spans="1:10" x14ac:dyDescent="0.45">
      <c r="A255" s="2" t="s">
        <v>342</v>
      </c>
      <c r="B255" s="2" t="s">
        <v>347</v>
      </c>
      <c r="D255" t="str">
        <f>IF(ISERROR(1/VLOOKUP($B255,Kraftvärmeprod!$B$1:$D$479,MATCH("Total värmeproduktion i kraftvärmeverk i kombinerad drift (GWh)",Kraftvärmeprod!$B$1:$AV$1,0),FALSE)),"Ej kraftvärme","Alternativproduktionsmetoden")</f>
        <v>Ej kraftvärme</v>
      </c>
      <c r="E255" t="str">
        <f>IF(ISERROR(1/VLOOKUP($B255,Kraftvärmeprod!$B$1:$BD$479,MATCH("Total värmeproduktion i kraftvärmeverk i kombinerad drift (GWh)",Kraftvärmeprod!$B$1:$AV$1,0),FALSE)),"",VLOOKUP($B255,'Slutlig allokering kvv'!$B$1:$BC$479,MATCH(E$1,'Slutlig allokering kvv'!$B$1:$AU$1,0),FALSE))</f>
        <v/>
      </c>
      <c r="F255" t="str">
        <f>IF(ISERROR(1/VLOOKUP($B255,Kraftvärmeprod!$B$1:$AV$479,MATCH("Producerad elenergi i kraftvärmeverk (GWh)",Kraftvärmeprod!$B$1:$AV$1,0),FALSE)),"",VLOOKUP($B255,Kraftvärmeprod!$B$1:$AV$479,MATCH("Producerad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Skellefteå Kraft AB</v>
      </c>
    </row>
    <row r="256" spans="1:10" x14ac:dyDescent="0.45">
      <c r="A256" s="2" t="s">
        <v>342</v>
      </c>
      <c r="B256" s="2" t="s">
        <v>346</v>
      </c>
      <c r="D256" t="str">
        <f>IF(ISERROR(1/VLOOKUP($B256,Kraftvärmeprod!$B$1:$D$479,MATCH("Total värmeproduktion i kraftvärmeverk i kombinerad drift (GWh)",Kraftvärmeprod!$B$1:$AV$1,0),FALSE)),"Ej kraftvärme","Alternativproduktionsmetoden")</f>
        <v>Alternativproduktionsmetoden</v>
      </c>
      <c r="E256">
        <f>IF(ISERROR(1/VLOOKUP($B256,Kraftvärmeprod!$B$1:$BD$479,MATCH("Total värmeproduktion i kraftvärmeverk i kombinerad drift (GWh)",Kraftvärmeprod!$B$1:$AV$1,0),FALSE)),"",VLOOKUP($B256,'Slutlig allokering kvv'!$B$1:$BC$479,MATCH(E$1,'Slutlig allokering kvv'!$B$1:$AU$1,0),FALSE))</f>
        <v>0.48262177358432051</v>
      </c>
      <c r="F256">
        <f>IF(ISERROR(1/VLOOKUP($B256,Kraftvärmeprod!$B$1:$AV$479,MATCH("Producerad elenergi i kraftvärmeverk (GWh)",Kraftvärmeprod!$B$1:$AV$1,0),FALSE)),"",VLOOKUP($B256,Kraftvärmeprod!$B$1:$AV$479,MATCH("Producerad elenergi i kraftvärmeverk (GWh)",Kraftvärmeprod!$B$1:$AV$1,0),FALSE))</f>
        <v>114.64100000000001</v>
      </c>
      <c r="G256" t="str">
        <f>IF(ISERROR(1/VLOOKUP($B256,Miljö!$B$1:$T$480,MATCH("Såld mängd produktionsspecifik fjärrvärme (GWh)",Miljö!$B$1:$T$1,0),FALSE)),"",VLOOKUP($B256,Miljö!$B$1:$T$480,MATCH("Såld mängd produktionsspecifik fjärrvärme (GWh)",Miljö!$B$1:$T$1,0),FALSE))</f>
        <v/>
      </c>
      <c r="J256" t="str">
        <f t="shared" si="3"/>
        <v>Skellefteå Kraft AB</v>
      </c>
    </row>
    <row r="257" spans="1:10" x14ac:dyDescent="0.45">
      <c r="A257" s="2" t="s">
        <v>342</v>
      </c>
      <c r="B257" s="2" t="s">
        <v>345</v>
      </c>
      <c r="D257" t="str">
        <f>IF(ISERROR(1/VLOOKUP($B257,Kraftvärmeprod!$B$1:$D$479,MATCH("Total värmeproduktion i kraftvärmeverk i kombinerad drift (GWh)",Kraftvärmeprod!$B$1:$AV$1,0),FALSE)),"Ej kraftvärme","Alternativproduktionsmetoden")</f>
        <v>Ej kraftvärme</v>
      </c>
      <c r="E257" t="str">
        <f>IF(ISERROR(1/VLOOKUP($B257,Kraftvärmeprod!$B$1:$BD$479,MATCH("Total värmeproduktion i kraftvärmeverk i kombinerad drift (GWh)",Kraftvärmeprod!$B$1:$AV$1,0),FALSE)),"",VLOOKUP($B257,'Slutlig allokering kvv'!$B$1:$BC$479,MATCH(E$1,'Slutlig allokering kvv'!$B$1:$AU$1,0),FALSE))</f>
        <v/>
      </c>
      <c r="F257" t="str">
        <f>IF(ISERROR(1/VLOOKUP($B257,Kraftvärmeprod!$B$1:$AV$479,MATCH("Producerad elenergi i kraftvärmeverk (GWh)",Kraftvärmeprod!$B$1:$AV$1,0),FALSE)),"",VLOOKUP($B257,Kraftvärmeprod!$B$1:$AV$479,MATCH("Producerad elenergi i kraftvärmeverk (GWh)",Kraftvärmeprod!$B$1:$AV$1,0),FALSE))</f>
        <v/>
      </c>
      <c r="G257" t="str">
        <f>IF(ISERROR(1/VLOOKUP($B257,Miljö!$B$1:$T$480,MATCH("Såld mängd produktionsspecifik fjärrvärme (GWh)",Miljö!$B$1:$T$1,0),FALSE)),"",VLOOKUP($B257,Miljö!$B$1:$T$480,MATCH("Såld mängd produktionsspecifik fjärrvärme (GWh)",Miljö!$B$1:$T$1,0),FALSE))</f>
        <v/>
      </c>
      <c r="J257" t="str">
        <f t="shared" si="3"/>
        <v>Skellefteå Kraft AB</v>
      </c>
    </row>
    <row r="258" spans="1:10" x14ac:dyDescent="0.45">
      <c r="A258" s="2" t="s">
        <v>342</v>
      </c>
      <c r="B258" s="2" t="s">
        <v>344</v>
      </c>
      <c r="D258" t="str">
        <f>IF(ISERROR(1/VLOOKUP($B258,Kraftvärmeprod!$B$1:$D$479,MATCH("Total värmeproduktion i kraftvärmeverk i kombinerad drift (GWh)",Kraftvärmeprod!$B$1:$AV$1,0),FALSE)),"Ej kraftvärme","Alternativproduktionsmetoden")</f>
        <v>Ej kraftvärme</v>
      </c>
      <c r="E258" t="str">
        <f>IF(ISERROR(1/VLOOKUP($B258,Kraftvärmeprod!$B$1:$BD$479,MATCH("Total värmeproduktion i kraftvärmeverk i kombinerad drift (GWh)",Kraftvärmeprod!$B$1:$AV$1,0),FALSE)),"",VLOOKUP($B258,'Slutlig allokering kvv'!$B$1:$BC$479,MATCH(E$1,'Slutlig allokering kvv'!$B$1:$AU$1,0),FALSE))</f>
        <v/>
      </c>
      <c r="F258" t="str">
        <f>IF(ISERROR(1/VLOOKUP($B258,Kraftvärmeprod!$B$1:$AV$479,MATCH("Producerad elenergi i kraftvärmeverk (GWh)",Kraftvärmeprod!$B$1:$AV$1,0),FALSE)),"",VLOOKUP($B258,Kraftvärmeprod!$B$1:$AV$479,MATCH("Producerad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Skellefteå Kraft AB</v>
      </c>
    </row>
    <row r="259" spans="1:10" x14ac:dyDescent="0.45">
      <c r="A259" s="2" t="s">
        <v>342</v>
      </c>
      <c r="B259" s="2" t="s">
        <v>343</v>
      </c>
      <c r="D259" t="str">
        <f>IF(ISERROR(1/VLOOKUP($B259,Kraftvärmeprod!$B$1:$D$479,MATCH("Total värmeproduktion i kraftvärmeverk i kombinerad drift (GWh)",Kraftvärmeprod!$B$1:$AV$1,0),FALSE)),"Ej kraftvärme","Alternativproduktionsmetoden")</f>
        <v>Ej kraftvärme</v>
      </c>
      <c r="E259" t="str">
        <f>IF(ISERROR(1/VLOOKUP($B259,Kraftvärmeprod!$B$1:$BD$479,MATCH("Total värmeproduktion i kraftvärmeverk i kombinerad drift (GWh)",Kraftvärmeprod!$B$1:$AV$1,0),FALSE)),"",VLOOKUP($B259,'Slutlig allokering kvv'!$B$1:$BC$479,MATCH(E$1,'Slutlig allokering kvv'!$B$1:$AU$1,0),FALSE))</f>
        <v/>
      </c>
      <c r="F259" t="str">
        <f>IF(ISERROR(1/VLOOKUP($B259,Kraftvärmeprod!$B$1:$AV$479,MATCH("Producerad elenergi i kraftvärmeverk (GWh)",Kraftvärmeprod!$B$1:$AV$1,0),FALSE)),"",VLOOKUP($B259,Kraftvärmeprod!$B$1:$AV$479,MATCH("Producerad elenergi i kraftvärmeverk (GWh)",Kraftvärmeprod!$B$1:$AV$1,0),FALSE))</f>
        <v/>
      </c>
      <c r="G259" t="str">
        <f>IF(ISERROR(1/VLOOKUP($B259,Miljö!$B$1:$T$480,MATCH("Såld mängd produktionsspecifik fjärrvärme (GWh)",Miljö!$B$1:$T$1,0),FALSE)),"",VLOOKUP($B259,Miljö!$B$1:$T$480,MATCH("Såld mängd produktionsspecifik fjärrvärme (GWh)",Miljö!$B$1:$T$1,0),FALSE))</f>
        <v/>
      </c>
      <c r="J259" t="str">
        <f t="shared" si="3"/>
        <v>Skellefteå Kraft AB</v>
      </c>
    </row>
    <row r="260" spans="1:10" x14ac:dyDescent="0.45">
      <c r="A260" s="2" t="s">
        <v>342</v>
      </c>
      <c r="B260" s="2" t="s">
        <v>341</v>
      </c>
      <c r="D260" t="str">
        <f>IF(ISERROR(1/VLOOKUP($B260,Kraftvärmeprod!$B$1:$D$479,MATCH("Total värmeproduktion i kraftvärmeverk i kombinerad drift (GWh)",Kraftvärmeprod!$B$1:$AV$1,0),FALSE)),"Ej kraftvärme","Alternativproduktionsmetoden")</f>
        <v>Ej kraftvärme</v>
      </c>
      <c r="E260" t="str">
        <f>IF(ISERROR(1/VLOOKUP($B260,Kraftvärmeprod!$B$1:$BD$479,MATCH("Total värmeproduktion i kraftvärmeverk i kombinerad drift (GWh)",Kraftvärmeprod!$B$1:$AV$1,0),FALSE)),"",VLOOKUP($B260,'Slutlig allokering kvv'!$B$1:$BC$479,MATCH(E$1,'Slutlig allokering kvv'!$B$1:$AU$1,0),FALSE))</f>
        <v/>
      </c>
      <c r="F260" t="str">
        <f>IF(ISERROR(1/VLOOKUP($B260,Kraftvärmeprod!$B$1:$AV$479,MATCH("Producerad elenergi i kraftvärmeverk (GWh)",Kraftvärmeprod!$B$1:$AV$1,0),FALSE)),"",VLOOKUP($B260,Kraftvärmeprod!$B$1:$AV$479,MATCH("Producerad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ref="J260:J323" si="4">A260</f>
        <v>Skellefteå Kraft AB</v>
      </c>
    </row>
    <row r="261" spans="1:10" x14ac:dyDescent="0.45">
      <c r="A261" s="2" t="s">
        <v>336</v>
      </c>
      <c r="B261" s="2" t="s">
        <v>340</v>
      </c>
      <c r="D261" t="str">
        <f>IF(ISERROR(1/VLOOKUP($B261,Kraftvärmeprod!$B$1:$D$479,MATCH("Total värmeproduktion i kraftvärmeverk i kombinerad drift (GWh)",Kraftvärmeprod!$B$1:$AV$1,0),FALSE)),"Ej kraftvärme","Alternativproduktionsmetoden")</f>
        <v>Ej kraftvärme</v>
      </c>
      <c r="E261" t="str">
        <f>IF(ISERROR(1/VLOOKUP($B261,Kraftvärmeprod!$B$1:$BD$479,MATCH("Total värmeproduktion i kraftvärmeverk i kombinerad drift (GWh)",Kraftvärmeprod!$B$1:$AV$1,0),FALSE)),"",VLOOKUP($B261,'Slutlig allokering kvv'!$B$1:$BC$479,MATCH(E$1,'Slutlig allokering kvv'!$B$1:$AU$1,0),FALSE))</f>
        <v/>
      </c>
      <c r="F261" t="str">
        <f>IF(ISERROR(1/VLOOKUP($B261,Kraftvärmeprod!$B$1:$AV$479,MATCH("Producerad elenergi i kraftvärmeverk (GWh)",Kraftvärmeprod!$B$1:$AV$1,0),FALSE)),"",VLOOKUP($B261,Kraftvärmeprod!$B$1:$AV$479,MATCH("Producerad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Skövde Energi AB</v>
      </c>
    </row>
    <row r="262" spans="1:10" x14ac:dyDescent="0.45">
      <c r="A262" s="2" t="s">
        <v>336</v>
      </c>
      <c r="B262" s="2" t="s">
        <v>339</v>
      </c>
      <c r="D262" t="str">
        <f>IF(ISERROR(1/VLOOKUP($B262,Kraftvärmeprod!$B$1:$D$479,MATCH("Total värmeproduktion i kraftvärmeverk i kombinerad drift (GWh)",Kraftvärmeprod!$B$1:$AV$1,0),FALSE)),"Ej kraftvärme","Alternativproduktionsmetoden")</f>
        <v>Alternativproduktionsmetoden</v>
      </c>
      <c r="E262">
        <f>IF(ISERROR(1/VLOOKUP($B262,Kraftvärmeprod!$B$1:$BD$479,MATCH("Total värmeproduktion i kraftvärmeverk i kombinerad drift (GWh)",Kraftvärmeprod!$B$1:$AV$1,0),FALSE)),"",VLOOKUP($B262,'Slutlig allokering kvv'!$B$1:$BC$479,MATCH(E$1,'Slutlig allokering kvv'!$B$1:$AU$1,0),FALSE))</f>
        <v>0.74074071190270063</v>
      </c>
      <c r="F262">
        <f>IF(ISERROR(1/VLOOKUP($B262,Kraftvärmeprod!$B$1:$AV$479,MATCH("Producerad elenergi i kraftvärmeverk (GWh)",Kraftvärmeprod!$B$1:$AV$1,0),FALSE)),"",VLOOKUP($B262,Kraftvärmeprod!$B$1:$AV$479,MATCH("Producerad elenergi i kraftvärmeverk (GWh)",Kraftvärmeprod!$B$1:$AV$1,0),FALSE))</f>
        <v>44.774999999999999</v>
      </c>
      <c r="G262">
        <f>IF(ISERROR(1/VLOOKUP($B262,Miljö!$B$1:$T$480,MATCH("Såld mängd produktionsspecifik fjärrvärme (GWh)",Miljö!$B$1:$T$1,0),FALSE)),"",VLOOKUP($B262,Miljö!$B$1:$T$480,MATCH("Såld mängd produktionsspecifik fjärrvärme (GWh)",Miljö!$B$1:$T$1,0),FALSE))</f>
        <v>1.1719999999999999</v>
      </c>
      <c r="J262" t="str">
        <f t="shared" si="4"/>
        <v>Skövde Energi AB</v>
      </c>
    </row>
    <row r="263" spans="1:10" x14ac:dyDescent="0.45">
      <c r="A263" s="2" t="s">
        <v>336</v>
      </c>
      <c r="B263" s="2" t="s">
        <v>338</v>
      </c>
      <c r="D263" t="str">
        <f>IF(ISERROR(1/VLOOKUP($B263,Kraftvärmeprod!$B$1:$D$479,MATCH("Total värmeproduktion i kraftvärmeverk i kombinerad drift (GWh)",Kraftvärmeprod!$B$1:$AV$1,0),FALSE)),"Ej kraftvärme","Alternativproduktionsmetoden")</f>
        <v>Ej kraftvärme</v>
      </c>
      <c r="E263" t="str">
        <f>IF(ISERROR(1/VLOOKUP($B263,Kraftvärmeprod!$B$1:$BD$479,MATCH("Total värmeproduktion i kraftvärmeverk i kombinerad drift (GWh)",Kraftvärmeprod!$B$1:$AV$1,0),FALSE)),"",VLOOKUP($B263,'Slutlig allokering kvv'!$B$1:$BC$479,MATCH(E$1,'Slutlig allokering kvv'!$B$1:$AU$1,0),FALSE))</f>
        <v/>
      </c>
      <c r="F263" t="str">
        <f>IF(ISERROR(1/VLOOKUP($B263,Kraftvärmeprod!$B$1:$AV$479,MATCH("Producerad elenergi i kraftvärmeverk (GWh)",Kraftvärmeprod!$B$1:$AV$1,0),FALSE)),"",VLOOKUP($B263,Kraftvärmeprod!$B$1:$AV$479,MATCH("Producerad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Skövde Energi AB</v>
      </c>
    </row>
    <row r="264" spans="1:10" x14ac:dyDescent="0.45">
      <c r="A264" s="2" t="s">
        <v>336</v>
      </c>
      <c r="B264" s="2" t="s">
        <v>337</v>
      </c>
      <c r="D264" t="str">
        <f>IF(ISERROR(1/VLOOKUP($B264,Kraftvärmeprod!$B$1:$D$479,MATCH("Total värmeproduktion i kraftvärmeverk i kombinerad drift (GWh)",Kraftvärmeprod!$B$1:$AV$1,0),FALSE)),"Ej kraftvärme","Alternativproduktionsmetoden")</f>
        <v>Ej kraftvärme</v>
      </c>
      <c r="E264" t="str">
        <f>IF(ISERROR(1/VLOOKUP($B264,Kraftvärmeprod!$B$1:$BD$479,MATCH("Total värmeproduktion i kraftvärmeverk i kombinerad drift (GWh)",Kraftvärmeprod!$B$1:$AV$1,0),FALSE)),"",VLOOKUP($B264,'Slutlig allokering kvv'!$B$1:$BC$479,MATCH(E$1,'Slutlig allokering kvv'!$B$1:$AU$1,0),FALSE))</f>
        <v/>
      </c>
      <c r="F264" t="str">
        <f>IF(ISERROR(1/VLOOKUP($B264,Kraftvärmeprod!$B$1:$AV$479,MATCH("Producerad elenergi i kraftvärmeverk (GWh)",Kraftvärmeprod!$B$1:$AV$1,0),FALSE)),"",VLOOKUP($B264,Kraftvärmeprod!$B$1:$AV$479,MATCH("Producerad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Skövde Energi AB</v>
      </c>
    </row>
    <row r="265" spans="1:10" x14ac:dyDescent="0.45">
      <c r="A265" s="2" t="s">
        <v>336</v>
      </c>
      <c r="B265" s="2" t="s">
        <v>335</v>
      </c>
      <c r="D265" t="str">
        <f>IF(ISERROR(1/VLOOKUP($B265,Kraftvärmeprod!$B$1:$D$479,MATCH("Total värmeproduktion i kraftvärmeverk i kombinerad drift (GWh)",Kraftvärmeprod!$B$1:$AV$1,0),FALSE)),"Ej kraftvärme","Alternativproduktionsmetoden")</f>
        <v>Ej kraftvärme</v>
      </c>
      <c r="E265" t="str">
        <f>IF(ISERROR(1/VLOOKUP($B265,Kraftvärmeprod!$B$1:$BD$479,MATCH("Total värmeproduktion i kraftvärmeverk i kombinerad drift (GWh)",Kraftvärmeprod!$B$1:$AV$1,0),FALSE)),"",VLOOKUP($B265,'Slutlig allokering kvv'!$B$1:$BC$479,MATCH(E$1,'Slutlig allokering kvv'!$B$1:$AU$1,0),FALSE))</f>
        <v/>
      </c>
      <c r="F265" t="str">
        <f>IF(ISERROR(1/VLOOKUP($B265,Kraftvärmeprod!$B$1:$AV$479,MATCH("Producerad elenergi i kraftvärmeverk (GWh)",Kraftvärmeprod!$B$1:$AV$1,0),FALSE)),"",VLOOKUP($B265,Kraftvärmeprod!$B$1:$AV$479,MATCH("Producerad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Skövde Energi AB</v>
      </c>
    </row>
    <row r="266" spans="1:10" x14ac:dyDescent="0.45">
      <c r="A266" s="2" t="s">
        <v>333</v>
      </c>
      <c r="B266" s="2" t="s">
        <v>334</v>
      </c>
      <c r="D266" t="str">
        <f>IF(ISERROR(1/VLOOKUP($B266,Kraftvärmeprod!$B$1:$D$479,MATCH("Total värmeproduktion i kraftvärmeverk i kombinerad drift (GWh)",Kraftvärmeprod!$B$1:$AV$1,0),FALSE)),"Ej kraftvärme","Alternativproduktionsmetoden")</f>
        <v>Ej kraftvärme</v>
      </c>
      <c r="E266" t="str">
        <f>IF(ISERROR(1/VLOOKUP($B266,Kraftvärmeprod!$B$1:$BD$479,MATCH("Total värmeproduktion i kraftvärmeverk i kombinerad drift (GWh)",Kraftvärmeprod!$B$1:$AV$1,0),FALSE)),"",VLOOKUP($B266,'Slutlig allokering kvv'!$B$1:$BC$479,MATCH(E$1,'Slutlig allokering kvv'!$B$1:$AU$1,0),FALSE))</f>
        <v/>
      </c>
      <c r="F266" t="str">
        <f>IF(ISERROR(1/VLOOKUP($B266,Kraftvärmeprod!$B$1:$AV$479,MATCH("Producerad elenergi i kraftvärmeverk (GWh)",Kraftvärmeprod!$B$1:$AV$1,0),FALSE)),"",VLOOKUP($B266,Kraftvärmeprod!$B$1:$AV$479,MATCH("Producerad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Smedjebacken Energi AB</v>
      </c>
    </row>
    <row r="267" spans="1:10" x14ac:dyDescent="0.45">
      <c r="A267" s="2" t="s">
        <v>333</v>
      </c>
      <c r="B267" s="2" t="s">
        <v>332</v>
      </c>
      <c r="D267" t="str">
        <f>IF(ISERROR(1/VLOOKUP($B267,Kraftvärmeprod!$B$1:$D$479,MATCH("Total värmeproduktion i kraftvärmeverk i kombinerad drift (GWh)",Kraftvärmeprod!$B$1:$AV$1,0),FALSE)),"Ej kraftvärme","Alternativproduktionsmetoden")</f>
        <v>Ej kraftvärme</v>
      </c>
      <c r="E267" t="str">
        <f>IF(ISERROR(1/VLOOKUP($B267,Kraftvärmeprod!$B$1:$BD$479,MATCH("Total värmeproduktion i kraftvärmeverk i kombinerad drift (GWh)",Kraftvärmeprod!$B$1:$AV$1,0),FALSE)),"",VLOOKUP($B267,'Slutlig allokering kvv'!$B$1:$BC$479,MATCH(E$1,'Slutlig allokering kvv'!$B$1:$AU$1,0),FALSE))</f>
        <v/>
      </c>
      <c r="F267" t="str">
        <f>IF(ISERROR(1/VLOOKUP($B267,Kraftvärmeprod!$B$1:$AV$479,MATCH("Producerad elenergi i kraftvärmeverk (GWh)",Kraftvärmeprod!$B$1:$AV$1,0),FALSE)),"",VLOOKUP($B267,Kraftvärmeprod!$B$1:$AV$479,MATCH("Producerad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Smedjebacken Energi AB</v>
      </c>
    </row>
    <row r="268" spans="1:10" x14ac:dyDescent="0.45">
      <c r="A268" s="2" t="s">
        <v>331</v>
      </c>
      <c r="B268" s="2" t="s">
        <v>330</v>
      </c>
      <c r="D268" t="str">
        <f>IF(ISERROR(1/VLOOKUP($B268,Kraftvärmeprod!$B$1:$D$479,MATCH("Total värmeproduktion i kraftvärmeverk i kombinerad drift (GWh)",Kraftvärmeprod!$B$1:$AV$1,0),FALSE)),"Ej kraftvärme","Alternativproduktionsmetoden")</f>
        <v>Ej kraftvärme</v>
      </c>
      <c r="E268" t="str">
        <f>IF(ISERROR(1/VLOOKUP($B268,Kraftvärmeprod!$B$1:$BD$479,MATCH("Total värmeproduktion i kraftvärmeverk i kombinerad drift (GWh)",Kraftvärmeprod!$B$1:$AV$1,0),FALSE)),"",VLOOKUP($B268,'Slutlig allokering kvv'!$B$1:$BC$479,MATCH(E$1,'Slutlig allokering kvv'!$B$1:$AU$1,0),FALSE))</f>
        <v/>
      </c>
      <c r="F268" t="str">
        <f>IF(ISERROR(1/VLOOKUP($B268,Kraftvärmeprod!$B$1:$AV$479,MATCH("Producerad elenergi i kraftvärmeverk (GWh)",Kraftvärmeprod!$B$1:$AV$1,0),FALSE)),"",VLOOKUP($B268,Kraftvärmeprod!$B$1:$AV$479,MATCH("Producerad elenergi i kraftvärmeverk (GWh)",Kraftvärmeprod!$B$1:$AV$1,0),FALSE))</f>
        <v/>
      </c>
      <c r="G268" t="str">
        <f>IF(ISERROR(1/VLOOKUP($B268,Miljö!$B$1:$T$480,MATCH("Såld mängd produktionsspecifik fjärrvärme (GWh)",Miljö!$B$1:$T$1,0),FALSE)),"",VLOOKUP($B268,Miljö!$B$1:$T$480,MATCH("Såld mängd produktionsspecifik fjärrvärme (GWh)",Miljö!$B$1:$T$1,0),FALSE))</f>
        <v/>
      </c>
      <c r="J268" t="str">
        <f t="shared" si="4"/>
        <v>Sollentuna Energi &amp; Miljö AB</v>
      </c>
    </row>
    <row r="269" spans="1:10" x14ac:dyDescent="0.45">
      <c r="A269" s="2" t="s">
        <v>329</v>
      </c>
      <c r="B269" s="2" t="s">
        <v>328</v>
      </c>
      <c r="D269" t="str">
        <f>IF(ISERROR(1/VLOOKUP($B269,Kraftvärmeprod!$B$1:$D$479,MATCH("Total värmeproduktion i kraftvärmeverk i kombinerad drift (GWh)",Kraftvärmeprod!$B$1:$AV$1,0),FALSE)),"Ej kraftvärme","Alternativproduktionsmetoden")</f>
        <v>Ej kraftvärme</v>
      </c>
      <c r="E269" t="str">
        <f>IF(ISERROR(1/VLOOKUP($B269,Kraftvärmeprod!$B$1:$BD$479,MATCH("Total värmeproduktion i kraftvärmeverk i kombinerad drift (GWh)",Kraftvärmeprod!$B$1:$AV$1,0),FALSE)),"",VLOOKUP($B269,'Slutlig allokering kvv'!$B$1:$BC$479,MATCH(E$1,'Slutlig allokering kvv'!$B$1:$AU$1,0),FALSE))</f>
        <v/>
      </c>
      <c r="F269" t="str">
        <f>IF(ISERROR(1/VLOOKUP($B269,Kraftvärmeprod!$B$1:$AV$479,MATCH("Producerad elenergi i kraftvärmeverk (GWh)",Kraftvärmeprod!$B$1:$AV$1,0),FALSE)),"",VLOOKUP($B269,Kraftvärmeprod!$B$1:$AV$479,MATCH("Producerad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Solör Bioenergi Svenljunga AB</v>
      </c>
    </row>
    <row r="270" spans="1:10" x14ac:dyDescent="0.45">
      <c r="A270" s="2" t="s">
        <v>324</v>
      </c>
      <c r="B270" s="2" t="s">
        <v>327</v>
      </c>
      <c r="D270" t="str">
        <f>IF(ISERROR(1/VLOOKUP($B270,Kraftvärmeprod!$B$1:$D$479,MATCH("Total värmeproduktion i kraftvärmeverk i kombinerad drift (GWh)",Kraftvärmeprod!$B$1:$AV$1,0),FALSE)),"Ej kraftvärme","Alternativproduktionsmetoden")</f>
        <v>Ej kraftvärme</v>
      </c>
      <c r="E270" t="str">
        <f>IF(ISERROR(1/VLOOKUP($B270,Kraftvärmeprod!$B$1:$BD$479,MATCH("Total värmeproduktion i kraftvärmeverk i kombinerad drift (GWh)",Kraftvärmeprod!$B$1:$AV$1,0),FALSE)),"",VLOOKUP($B270,'Slutlig allokering kvv'!$B$1:$BC$479,MATCH(E$1,'Slutlig allokering kvv'!$B$1:$AU$1,0),FALSE))</f>
        <v/>
      </c>
      <c r="F270" t="str">
        <f>IF(ISERROR(1/VLOOKUP($B270,Kraftvärmeprod!$B$1:$AV$479,MATCH("Producerad elenergi i kraftvärmeverk (GWh)",Kraftvärmeprod!$B$1:$AV$1,0),FALSE)),"",VLOOKUP($B270,Kraftvärmeprod!$B$1:$AV$479,MATCH("Producerad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Statkraft Värme AB</v>
      </c>
    </row>
    <row r="271" spans="1:10" x14ac:dyDescent="0.45">
      <c r="A271" s="2" t="s">
        <v>324</v>
      </c>
      <c r="B271" s="2" t="s">
        <v>326</v>
      </c>
      <c r="D271" t="str">
        <f>IF(ISERROR(1/VLOOKUP($B271,Kraftvärmeprod!$B$1:$D$479,MATCH("Total värmeproduktion i kraftvärmeverk i kombinerad drift (GWh)",Kraftvärmeprod!$B$1:$AV$1,0),FALSE)),"Ej kraftvärme","Alternativproduktionsmetoden")</f>
        <v>Ej kraftvärme</v>
      </c>
      <c r="E271" t="str">
        <f>IF(ISERROR(1/VLOOKUP($B271,Kraftvärmeprod!$B$1:$BD$479,MATCH("Total värmeproduktion i kraftvärmeverk i kombinerad drift (GWh)",Kraftvärmeprod!$B$1:$AV$1,0),FALSE)),"",VLOOKUP($B271,'Slutlig allokering kvv'!$B$1:$BC$479,MATCH(E$1,'Slutlig allokering kvv'!$B$1:$AU$1,0),FALSE))</f>
        <v/>
      </c>
      <c r="F271" t="str">
        <f>IF(ISERROR(1/VLOOKUP($B271,Kraftvärmeprod!$B$1:$AV$479,MATCH("Producerad elenergi i kraftvärmeverk (GWh)",Kraftvärmeprod!$B$1:$AV$1,0),FALSE)),"",VLOOKUP($B271,Kraftvärmeprod!$B$1:$AV$479,MATCH("Producerad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Statkraft Värme AB</v>
      </c>
    </row>
    <row r="272" spans="1:10" x14ac:dyDescent="0.45">
      <c r="A272" s="2" t="s">
        <v>324</v>
      </c>
      <c r="B272" s="2" t="s">
        <v>325</v>
      </c>
      <c r="D272" t="str">
        <f>IF(ISERROR(1/VLOOKUP($B272,Kraftvärmeprod!$B$1:$D$479,MATCH("Total värmeproduktion i kraftvärmeverk i kombinerad drift (GWh)",Kraftvärmeprod!$B$1:$AV$1,0),FALSE)),"Ej kraftvärme","Alternativproduktionsmetoden")</f>
        <v>Ej kraftvärme</v>
      </c>
      <c r="E272" t="str">
        <f>IF(ISERROR(1/VLOOKUP($B272,Kraftvärmeprod!$B$1:$BD$479,MATCH("Total värmeproduktion i kraftvärmeverk i kombinerad drift (GWh)",Kraftvärmeprod!$B$1:$AV$1,0),FALSE)),"",VLOOKUP($B272,'Slutlig allokering kvv'!$B$1:$BC$479,MATCH(E$1,'Slutlig allokering kvv'!$B$1:$AU$1,0),FALSE))</f>
        <v/>
      </c>
      <c r="F272" t="str">
        <f>IF(ISERROR(1/VLOOKUP($B272,Kraftvärmeprod!$B$1:$AV$479,MATCH("Producerad elenergi i kraftvärmeverk (GWh)",Kraftvärmeprod!$B$1:$AV$1,0),FALSE)),"",VLOOKUP($B272,Kraftvärmeprod!$B$1:$AV$479,MATCH("Producerad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Statkraft Värme AB</v>
      </c>
    </row>
    <row r="273" spans="1:10" x14ac:dyDescent="0.45">
      <c r="A273" s="2" t="s">
        <v>324</v>
      </c>
      <c r="B273" s="2" t="s">
        <v>323</v>
      </c>
      <c r="D273" t="str">
        <f>IF(ISERROR(1/VLOOKUP($B273,Kraftvärmeprod!$B$1:$D$479,MATCH("Total värmeproduktion i kraftvärmeverk i kombinerad drift (GWh)",Kraftvärmeprod!$B$1:$AV$1,0),FALSE)),"Ej kraftvärme","Alternativproduktionsmetoden")</f>
        <v>Ej kraftvärme</v>
      </c>
      <c r="E273" t="str">
        <f>IF(ISERROR(1/VLOOKUP($B273,Kraftvärmeprod!$B$1:$BD$479,MATCH("Total värmeproduktion i kraftvärmeverk i kombinerad drift (GWh)",Kraftvärmeprod!$B$1:$AV$1,0),FALSE)),"",VLOOKUP($B273,'Slutlig allokering kvv'!$B$1:$BC$479,MATCH(E$1,'Slutlig allokering kvv'!$B$1:$AU$1,0),FALSE))</f>
        <v/>
      </c>
      <c r="F273" t="str">
        <f>IF(ISERROR(1/VLOOKUP($B273,Kraftvärmeprod!$B$1:$AV$479,MATCH("Producerad elenergi i kraftvärmeverk (GWh)",Kraftvärmeprod!$B$1:$AV$1,0),FALSE)),"",VLOOKUP($B273,Kraftvärmeprod!$B$1:$AV$479,MATCH("Producerad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Statkraft Värme AB</v>
      </c>
    </row>
    <row r="274" spans="1:10" x14ac:dyDescent="0.45">
      <c r="A274" s="2" t="s">
        <v>321</v>
      </c>
      <c r="B274" s="2" t="s">
        <v>322</v>
      </c>
      <c r="D274" t="str">
        <f>IF(ISERROR(1/VLOOKUP($B274,Kraftvärmeprod!$B$1:$D$479,MATCH("Total värmeproduktion i kraftvärmeverk i kombinerad drift (GWh)",Kraftvärmeprod!$B$1:$AV$1,0),FALSE)),"Ej kraftvärme","Alternativproduktionsmetoden")</f>
        <v>Ej kraftvärme</v>
      </c>
      <c r="E274" t="str">
        <f>IF(ISERROR(1/VLOOKUP($B274,Kraftvärmeprod!$B$1:$BD$479,MATCH("Total värmeproduktion i kraftvärmeverk i kombinerad drift (GWh)",Kraftvärmeprod!$B$1:$AV$1,0),FALSE)),"",VLOOKUP($B274,'Slutlig allokering kvv'!$B$1:$BC$479,MATCH(E$1,'Slutlig allokering kvv'!$B$1:$AU$1,0),FALSE))</f>
        <v/>
      </c>
      <c r="F274" t="str">
        <f>IF(ISERROR(1/VLOOKUP($B274,Kraftvärmeprod!$B$1:$AV$479,MATCH("Producerad elenergi i kraftvärmeverk (GWh)",Kraftvärmeprod!$B$1:$AV$1,0),FALSE)),"",VLOOKUP($B274,Kraftvärmeprod!$B$1:$AV$479,MATCH("Producerad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J274" t="str">
        <f t="shared" si="4"/>
        <v>Stenungsunds Energi och Miljö AB</v>
      </c>
    </row>
    <row r="275" spans="1:10" x14ac:dyDescent="0.45">
      <c r="A275" s="2" t="s">
        <v>321</v>
      </c>
      <c r="B275" s="2" t="s">
        <v>320</v>
      </c>
      <c r="D275" t="str">
        <f>IF(ISERROR(1/VLOOKUP($B275,Kraftvärmeprod!$B$1:$D$479,MATCH("Total värmeproduktion i kraftvärmeverk i kombinerad drift (GWh)",Kraftvärmeprod!$B$1:$AV$1,0),FALSE)),"Ej kraftvärme","Alternativproduktionsmetoden")</f>
        <v>Ej kraftvärme</v>
      </c>
      <c r="E275" t="str">
        <f>IF(ISERROR(1/VLOOKUP($B275,Kraftvärmeprod!$B$1:$BD$479,MATCH("Total värmeproduktion i kraftvärmeverk i kombinerad drift (GWh)",Kraftvärmeprod!$B$1:$AV$1,0),FALSE)),"",VLOOKUP($B275,'Slutlig allokering kvv'!$B$1:$BC$479,MATCH(E$1,'Slutlig allokering kvv'!$B$1:$AU$1,0),FALSE))</f>
        <v/>
      </c>
      <c r="F275" t="str">
        <f>IF(ISERROR(1/VLOOKUP($B275,Kraftvärmeprod!$B$1:$AV$479,MATCH("Producerad elenergi i kraftvärmeverk (GWh)",Kraftvärmeprod!$B$1:$AV$1,0),FALSE)),"",VLOOKUP($B275,Kraftvärmeprod!$B$1:$AV$479,MATCH("Producerad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Stenungsunds Energi och Miljö AB</v>
      </c>
    </row>
    <row r="276" spans="1:10" x14ac:dyDescent="0.45">
      <c r="A276" s="2" t="s">
        <v>312</v>
      </c>
      <c r="B276" s="2" t="s">
        <v>319</v>
      </c>
      <c r="D276" t="str">
        <f>IF(ISERROR(1/VLOOKUP($B276,Kraftvärmeprod!$B$1:$D$479,MATCH("Total värmeproduktion i kraftvärmeverk i kombinerad drift (GWh)",Kraftvärmeprod!$B$1:$AV$1,0),FALSE)),"Ej kraftvärme","Alternativproduktionsmetoden")</f>
        <v>Ej kraftvärme</v>
      </c>
      <c r="E276" t="str">
        <f>IF(ISERROR(1/VLOOKUP($B276,Kraftvärmeprod!$B$1:$BD$479,MATCH("Total värmeproduktion i kraftvärmeverk i kombinerad drift (GWh)",Kraftvärmeprod!$B$1:$AV$1,0),FALSE)),"",VLOOKUP($B276,'Slutlig allokering kvv'!$B$1:$BC$479,MATCH(E$1,'Slutlig allokering kvv'!$B$1:$AU$1,0),FALSE))</f>
        <v/>
      </c>
      <c r="F276" t="str">
        <f>IF(ISERROR(1/VLOOKUP($B276,Kraftvärmeprod!$B$1:$AV$479,MATCH("Producerad elenergi i kraftvärmeverk (GWh)",Kraftvärmeprod!$B$1:$AV$1,0),FALSE)),"",VLOOKUP($B276,Kraftvärmeprod!$B$1:$AV$479,MATCH("Producerad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Stockholm Exergi AB</v>
      </c>
    </row>
    <row r="277" spans="1:10" x14ac:dyDescent="0.45">
      <c r="A277" s="2" t="s">
        <v>312</v>
      </c>
      <c r="B277" s="2" t="s">
        <v>318</v>
      </c>
      <c r="D277" t="str">
        <f>IF(ISERROR(1/VLOOKUP($B277,Kraftvärmeprod!$B$1:$D$479,MATCH("Total värmeproduktion i kraftvärmeverk i kombinerad drift (GWh)",Kraftvärmeprod!$B$1:$AV$1,0),FALSE)),"Ej kraftvärme","Alternativproduktionsmetoden")</f>
        <v>Ej kraftvärme</v>
      </c>
      <c r="E277" t="str">
        <f>IF(ISERROR(1/VLOOKUP($B277,Kraftvärmeprod!$B$1:$BD$479,MATCH("Total värmeproduktion i kraftvärmeverk i kombinerad drift (GWh)",Kraftvärmeprod!$B$1:$AV$1,0),FALSE)),"",VLOOKUP($B277,'Slutlig allokering kvv'!$B$1:$BC$479,MATCH(E$1,'Slutlig allokering kvv'!$B$1:$AU$1,0),FALSE))</f>
        <v/>
      </c>
      <c r="F277" t="str">
        <f>IF(ISERROR(1/VLOOKUP($B277,Kraftvärmeprod!$B$1:$AV$479,MATCH("Producerad elenergi i kraftvärmeverk (GWh)",Kraftvärmeprod!$B$1:$AV$1,0),FALSE)),"",VLOOKUP($B277,Kraftvärmeprod!$B$1:$AV$479,MATCH("Producerad elenergi i kraftvärmeverk (GWh)",Kraftvärmeprod!$B$1:$AV$1,0),FALSE))</f>
        <v/>
      </c>
      <c r="G277" t="str">
        <f>IF(ISERROR(1/VLOOKUP($B277,Miljö!$B$1:$T$480,MATCH("Såld mängd produktionsspecifik fjärrvärme (GWh)",Miljö!$B$1:$T$1,0),FALSE)),"",VLOOKUP($B277,Miljö!$B$1:$T$480,MATCH("Såld mängd produktionsspecifik fjärrvärme (GWh)",Miljö!$B$1:$T$1,0),FALSE))</f>
        <v/>
      </c>
      <c r="J277" t="str">
        <f t="shared" si="4"/>
        <v>Stockholm Exergi AB</v>
      </c>
    </row>
    <row r="278" spans="1:10" x14ac:dyDescent="0.45">
      <c r="A278" s="2" t="s">
        <v>312</v>
      </c>
      <c r="B278" s="2" t="s">
        <v>317</v>
      </c>
      <c r="D278" t="str">
        <f>IF(ISERROR(1/VLOOKUP($B278,Kraftvärmeprod!$B$1:$D$479,MATCH("Total värmeproduktion i kraftvärmeverk i kombinerad drift (GWh)",Kraftvärmeprod!$B$1:$AV$1,0),FALSE)),"Ej kraftvärme","Alternativproduktionsmetoden")</f>
        <v>Ej kraftvärme</v>
      </c>
      <c r="E278" t="str">
        <f>IF(ISERROR(1/VLOOKUP($B278,Kraftvärmeprod!$B$1:$BD$479,MATCH("Total värmeproduktion i kraftvärmeverk i kombinerad drift (GWh)",Kraftvärmeprod!$B$1:$AV$1,0),FALSE)),"",VLOOKUP($B278,'Slutlig allokering kvv'!$B$1:$BC$479,MATCH(E$1,'Slutlig allokering kvv'!$B$1:$AU$1,0),FALSE))</f>
        <v/>
      </c>
      <c r="F278" t="str">
        <f>IF(ISERROR(1/VLOOKUP($B278,Kraftvärmeprod!$B$1:$AV$479,MATCH("Producerad elenergi i kraftvärmeverk (GWh)",Kraftvärmeprod!$B$1:$AV$1,0),FALSE)),"",VLOOKUP($B278,Kraftvärmeprod!$B$1:$AV$479,MATCH("Producerad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Stockholm Exergi AB</v>
      </c>
    </row>
    <row r="279" spans="1:10" x14ac:dyDescent="0.45">
      <c r="A279" s="2" t="s">
        <v>312</v>
      </c>
      <c r="B279" s="2" t="s">
        <v>112</v>
      </c>
      <c r="D279" t="str">
        <f>IF(ISERROR(1/VLOOKUP($B279,Kraftvärmeprod!$B$1:$D$479,MATCH("Total värmeproduktion i kraftvärmeverk i kombinerad drift (GWh)",Kraftvärmeprod!$B$1:$AV$1,0),FALSE)),"Ej kraftvärme","Alternativproduktionsmetoden")</f>
        <v>Alternativproduktionsmetoden</v>
      </c>
      <c r="E279">
        <f>IF(ISERROR(1/VLOOKUP($B279,Kraftvärmeprod!$B$1:$BD$479,MATCH("Total värmeproduktion i kraftvärmeverk i kombinerad drift (GWh)",Kraftvärmeprod!$B$1:$AV$1,0),FALSE)),"",VLOOKUP($B279,'Slutlig allokering kvv'!$B$1:$BC$479,MATCH(E$1,'Slutlig allokering kvv'!$B$1:$AU$1,0),FALSE))</f>
        <v>0.45125620800467442</v>
      </c>
      <c r="F279">
        <f>IF(ISERROR(1/VLOOKUP($B279,Kraftvärmeprod!$B$1:$AV$479,MATCH("Producerad elenergi i kraftvärmeverk (GWh)",Kraftvärmeprod!$B$1:$AV$1,0),FALSE)),"",VLOOKUP($B279,Kraftvärmeprod!$B$1:$AV$479,MATCH("Producerad elenergi i kraftvärmeverk (GWh)",Kraftvärmeprod!$B$1:$AV$1,0),FALSE))</f>
        <v>1567.0039999999999</v>
      </c>
      <c r="G279">
        <f>IF(ISERROR(1/VLOOKUP($B279,Miljö!$B$1:$T$480,MATCH("Såld mängd produktionsspecifik fjärrvärme (GWh)",Miljö!$B$1:$T$1,0),FALSE)),"",VLOOKUP($B279,Miljö!$B$1:$T$480,MATCH("Såld mängd produktionsspecifik fjärrvärme (GWh)",Miljö!$B$1:$T$1,0),FALSE))</f>
        <v>1159.893</v>
      </c>
      <c r="J279" t="str">
        <f t="shared" si="4"/>
        <v>Stockholm Exergi AB</v>
      </c>
    </row>
    <row r="280" spans="1:10" x14ac:dyDescent="0.45">
      <c r="A280" s="2" t="s">
        <v>312</v>
      </c>
      <c r="B280" s="2" t="s">
        <v>316</v>
      </c>
      <c r="D280" t="str">
        <f>IF(ISERROR(1/VLOOKUP($B280,Kraftvärmeprod!$B$1:$D$479,MATCH("Total värmeproduktion i kraftvärmeverk i kombinerad drift (GWh)",Kraftvärmeprod!$B$1:$AV$1,0),FALSE)),"Ej kraftvärme","Alternativproduktionsmetoden")</f>
        <v>Ej kraftvärme</v>
      </c>
      <c r="E280" t="str">
        <f>IF(ISERROR(1/VLOOKUP($B280,Kraftvärmeprod!$B$1:$BD$479,MATCH("Total värmeproduktion i kraftvärmeverk i kombinerad drift (GWh)",Kraftvärmeprod!$B$1:$AV$1,0),FALSE)),"",VLOOKUP($B280,'Slutlig allokering kvv'!$B$1:$BC$479,MATCH(E$1,'Slutlig allokering kvv'!$B$1:$AU$1,0),FALSE))</f>
        <v/>
      </c>
      <c r="F280" t="str">
        <f>IF(ISERROR(1/VLOOKUP($B280,Kraftvärmeprod!$B$1:$AV$479,MATCH("Producerad elenergi i kraftvärmeverk (GWh)",Kraftvärmeprod!$B$1:$AV$1,0),FALSE)),"",VLOOKUP($B280,Kraftvärmeprod!$B$1:$AV$479,MATCH("Producerad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Stockholm Exergi AB</v>
      </c>
    </row>
    <row r="281" spans="1:10" x14ac:dyDescent="0.45">
      <c r="A281" s="2" t="s">
        <v>312</v>
      </c>
      <c r="B281" s="2" t="s">
        <v>315</v>
      </c>
      <c r="D281" t="str">
        <f>IF(ISERROR(1/VLOOKUP($B281,Kraftvärmeprod!$B$1:$D$479,MATCH("Total värmeproduktion i kraftvärmeverk i kombinerad drift (GWh)",Kraftvärmeprod!$B$1:$AV$1,0),FALSE)),"Ej kraftvärme","Alternativproduktionsmetoden")</f>
        <v>Ej kraftvärme</v>
      </c>
      <c r="E281" t="str">
        <f>IF(ISERROR(1/VLOOKUP($B281,Kraftvärmeprod!$B$1:$BD$479,MATCH("Total värmeproduktion i kraftvärmeverk i kombinerad drift (GWh)",Kraftvärmeprod!$B$1:$AV$1,0),FALSE)),"",VLOOKUP($B281,'Slutlig allokering kvv'!$B$1:$BC$479,MATCH(E$1,'Slutlig allokering kvv'!$B$1:$AU$1,0),FALSE))</f>
        <v/>
      </c>
      <c r="F281" t="str">
        <f>IF(ISERROR(1/VLOOKUP($B281,Kraftvärmeprod!$B$1:$AV$479,MATCH("Producerad elenergi i kraftvärmeverk (GWh)",Kraftvärmeprod!$B$1:$AV$1,0),FALSE)),"",VLOOKUP($B281,Kraftvärmeprod!$B$1:$AV$479,MATCH("Producerad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Stockholm Exergi AB</v>
      </c>
    </row>
    <row r="282" spans="1:10" x14ac:dyDescent="0.45">
      <c r="A282" s="2" t="s">
        <v>312</v>
      </c>
      <c r="B282" s="2" t="s">
        <v>314</v>
      </c>
      <c r="D282" t="str">
        <f>IF(ISERROR(1/VLOOKUP($B282,Kraftvärmeprod!$B$1:$D$479,MATCH("Total värmeproduktion i kraftvärmeverk i kombinerad drift (GWh)",Kraftvärmeprod!$B$1:$AV$1,0),FALSE)),"Ej kraftvärme","Alternativproduktionsmetoden")</f>
        <v>Ej kraftvärme</v>
      </c>
      <c r="E282" t="str">
        <f>IF(ISERROR(1/VLOOKUP($B282,Kraftvärmeprod!$B$1:$BD$479,MATCH("Total värmeproduktion i kraftvärmeverk i kombinerad drift (GWh)",Kraftvärmeprod!$B$1:$AV$1,0),FALSE)),"",VLOOKUP($B282,'Slutlig allokering kvv'!$B$1:$BC$479,MATCH(E$1,'Slutlig allokering kvv'!$B$1:$AU$1,0),FALSE))</f>
        <v/>
      </c>
      <c r="F282" t="str">
        <f>IF(ISERROR(1/VLOOKUP($B282,Kraftvärmeprod!$B$1:$AV$479,MATCH("Producerad elenergi i kraftvärmeverk (GWh)",Kraftvärmeprod!$B$1:$AV$1,0),FALSE)),"",VLOOKUP($B282,Kraftvärmeprod!$B$1:$AV$479,MATCH("Producerad elenergi i kraftvärmeverk (GWh)",Kraftvärmeprod!$B$1:$AV$1,0),FALSE))</f>
        <v/>
      </c>
      <c r="G282" t="str">
        <f>IF(ISERROR(1/VLOOKUP($B282,Miljö!$B$1:$T$480,MATCH("Såld mängd produktionsspecifik fjärrvärme (GWh)",Miljö!$B$1:$T$1,0),FALSE)),"",VLOOKUP($B282,Miljö!$B$1:$T$480,MATCH("Såld mängd produktionsspecifik fjärrvärme (GWh)",Miljö!$B$1:$T$1,0),FALSE))</f>
        <v/>
      </c>
      <c r="J282" t="str">
        <f t="shared" si="4"/>
        <v>Stockholm Exergi AB</v>
      </c>
    </row>
    <row r="283" spans="1:10" x14ac:dyDescent="0.45">
      <c r="A283" s="2" t="s">
        <v>312</v>
      </c>
      <c r="B283" s="2" t="s">
        <v>313</v>
      </c>
      <c r="D283" t="str">
        <f>IF(ISERROR(1/VLOOKUP($B283,Kraftvärmeprod!$B$1:$D$479,MATCH("Total värmeproduktion i kraftvärmeverk i kombinerad drift (GWh)",Kraftvärmeprod!$B$1:$AV$1,0),FALSE)),"Ej kraftvärme","Alternativproduktionsmetoden")</f>
        <v>Ej kraftvärme</v>
      </c>
      <c r="E283" t="str">
        <f>IF(ISERROR(1/VLOOKUP($B283,Kraftvärmeprod!$B$1:$BD$479,MATCH("Total värmeproduktion i kraftvärmeverk i kombinerad drift (GWh)",Kraftvärmeprod!$B$1:$AV$1,0),FALSE)),"",VLOOKUP($B283,'Slutlig allokering kvv'!$B$1:$BC$479,MATCH(E$1,'Slutlig allokering kvv'!$B$1:$AU$1,0),FALSE))</f>
        <v/>
      </c>
      <c r="F283" t="str">
        <f>IF(ISERROR(1/VLOOKUP($B283,Kraftvärmeprod!$B$1:$AV$479,MATCH("Producerad elenergi i kraftvärmeverk (GWh)",Kraftvärmeprod!$B$1:$AV$1,0),FALSE)),"",VLOOKUP($B283,Kraftvärmeprod!$B$1:$AV$479,MATCH("Producerad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Stockholm Exergi AB</v>
      </c>
    </row>
    <row r="284" spans="1:10" x14ac:dyDescent="0.45">
      <c r="A284" s="2" t="s">
        <v>312</v>
      </c>
      <c r="B284" s="2" t="s">
        <v>311</v>
      </c>
      <c r="D284" t="str">
        <f>IF(ISERROR(1/VLOOKUP($B284,Kraftvärmeprod!$B$1:$D$479,MATCH("Total värmeproduktion i kraftvärmeverk i kombinerad drift (GWh)",Kraftvärmeprod!$B$1:$AV$1,0),FALSE)),"Ej kraftvärme","Alternativproduktionsmetoden")</f>
        <v>Ej kraftvärme</v>
      </c>
      <c r="E284" t="str">
        <f>IF(ISERROR(1/VLOOKUP($B284,Kraftvärmeprod!$B$1:$BD$479,MATCH("Total värmeproduktion i kraftvärmeverk i kombinerad drift (GWh)",Kraftvärmeprod!$B$1:$AV$1,0),FALSE)),"",VLOOKUP($B284,'Slutlig allokering kvv'!$B$1:$BC$479,MATCH(E$1,'Slutlig allokering kvv'!$B$1:$AU$1,0),FALSE))</f>
        <v/>
      </c>
      <c r="F284" t="str">
        <f>IF(ISERROR(1/VLOOKUP($B284,Kraftvärmeprod!$B$1:$AV$479,MATCH("Producerad elenergi i kraftvärmeverk (GWh)",Kraftvärmeprod!$B$1:$AV$1,0),FALSE)),"",VLOOKUP($B284,Kraftvärmeprod!$B$1:$AV$479,MATCH("Producerad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Stockholm Exergi AB</v>
      </c>
    </row>
    <row r="285" spans="1:10" x14ac:dyDescent="0.45">
      <c r="A285" s="2" t="s">
        <v>305</v>
      </c>
      <c r="B285" s="2" t="s">
        <v>310</v>
      </c>
      <c r="D285" t="str">
        <f>IF(ISERROR(1/VLOOKUP($B285,Kraftvärmeprod!$B$1:$D$479,MATCH("Total värmeproduktion i kraftvärmeverk i kombinerad drift (GWh)",Kraftvärmeprod!$B$1:$AV$1,0),FALSE)),"Ej kraftvärme","Alternativproduktionsmetoden")</f>
        <v>Ej kraftvärme</v>
      </c>
      <c r="E285" t="str">
        <f>IF(ISERROR(1/VLOOKUP($B285,Kraftvärmeprod!$B$1:$BD$479,MATCH("Total värmeproduktion i kraftvärmeverk i kombinerad drift (GWh)",Kraftvärmeprod!$B$1:$AV$1,0),FALSE)),"",VLOOKUP($B285,'Slutlig allokering kvv'!$B$1:$BC$479,MATCH(E$1,'Slutlig allokering kvv'!$B$1:$AU$1,0),FALSE))</f>
        <v/>
      </c>
      <c r="F285" t="str">
        <f>IF(ISERROR(1/VLOOKUP($B285,Kraftvärmeprod!$B$1:$AV$479,MATCH("Producerad elenergi i kraftvärmeverk (GWh)",Kraftvärmeprod!$B$1:$AV$1,0),FALSE)),"",VLOOKUP($B285,Kraftvärmeprod!$B$1:$AV$479,MATCH("Producerad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Sundsvall Energi AB</v>
      </c>
    </row>
    <row r="286" spans="1:10" x14ac:dyDescent="0.45">
      <c r="A286" s="2" t="s">
        <v>305</v>
      </c>
      <c r="B286" s="2" t="s">
        <v>309</v>
      </c>
      <c r="D286" t="str">
        <f>IF(ISERROR(1/VLOOKUP($B286,Kraftvärmeprod!$B$1:$D$479,MATCH("Total värmeproduktion i kraftvärmeverk i kombinerad drift (GWh)",Kraftvärmeprod!$B$1:$AV$1,0),FALSE)),"Ej kraftvärme","Alternativproduktionsmetoden")</f>
        <v>Ej kraftvärme</v>
      </c>
      <c r="E286" t="str">
        <f>IF(ISERROR(1/VLOOKUP($B286,Kraftvärmeprod!$B$1:$BD$479,MATCH("Total värmeproduktion i kraftvärmeverk i kombinerad drift (GWh)",Kraftvärmeprod!$B$1:$AV$1,0),FALSE)),"",VLOOKUP($B286,'Slutlig allokering kvv'!$B$1:$BC$479,MATCH(E$1,'Slutlig allokering kvv'!$B$1:$AU$1,0),FALSE))</f>
        <v/>
      </c>
      <c r="F286" t="str">
        <f>IF(ISERROR(1/VLOOKUP($B286,Kraftvärmeprod!$B$1:$AV$479,MATCH("Producerad elenergi i kraftvärmeverk (GWh)",Kraftvärmeprod!$B$1:$AV$1,0),FALSE)),"",VLOOKUP($B286,Kraftvärmeprod!$B$1:$AV$479,MATCH("Producerad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Sundsvall Energi AB</v>
      </c>
    </row>
    <row r="287" spans="1:10" x14ac:dyDescent="0.45">
      <c r="A287" s="2" t="s">
        <v>305</v>
      </c>
      <c r="B287" s="2" t="s">
        <v>308</v>
      </c>
      <c r="D287" t="str">
        <f>IF(ISERROR(1/VLOOKUP($B287,Kraftvärmeprod!$B$1:$D$479,MATCH("Total värmeproduktion i kraftvärmeverk i kombinerad drift (GWh)",Kraftvärmeprod!$B$1:$AV$1,0),FALSE)),"Ej kraftvärme","Alternativproduktionsmetoden")</f>
        <v>Alternativproduktionsmetoden</v>
      </c>
      <c r="E287">
        <f>IF(ISERROR(1/VLOOKUP($B287,Kraftvärmeprod!$B$1:$BD$479,MATCH("Total värmeproduktion i kraftvärmeverk i kombinerad drift (GWh)",Kraftvärmeprod!$B$1:$AV$1,0),FALSE)),"",VLOOKUP($B287,'Slutlig allokering kvv'!$B$1:$BC$479,MATCH(E$1,'Slutlig allokering kvv'!$B$1:$AU$1,0),FALSE))</f>
        <v>0.58238952486354434</v>
      </c>
      <c r="F287">
        <f>IF(ISERROR(1/VLOOKUP($B287,Kraftvärmeprod!$B$1:$AV$479,MATCH("Producerad elenergi i kraftvärmeverk (GWh)",Kraftvärmeprod!$B$1:$AV$1,0),FALSE)),"",VLOOKUP($B287,Kraftvärmeprod!$B$1:$AV$479,MATCH("Producerad elenergi i kraftvärmeverk (GWh)",Kraftvärmeprod!$B$1:$AV$1,0),FALSE))</f>
        <v>40.801000000000002</v>
      </c>
      <c r="G287">
        <f>IF(ISERROR(1/VLOOKUP($B287,Miljö!$B$1:$T$480,MATCH("Såld mängd produktionsspecifik fjärrvärme (GWh)",Miljö!$B$1:$T$1,0),FALSE)),"",VLOOKUP($B287,Miljö!$B$1:$T$480,MATCH("Såld mängd produktionsspecifik fjärrvärme (GWh)",Miljö!$B$1:$T$1,0),FALSE))</f>
        <v>80.099999999999994</v>
      </c>
      <c r="J287" t="str">
        <f t="shared" si="4"/>
        <v>Sundsvall Energi AB</v>
      </c>
    </row>
    <row r="288" spans="1:10" x14ac:dyDescent="0.45">
      <c r="A288" s="2" t="s">
        <v>305</v>
      </c>
      <c r="B288" s="2" t="s">
        <v>307</v>
      </c>
      <c r="D288" t="str">
        <f>IF(ISERROR(1/VLOOKUP($B288,Kraftvärmeprod!$B$1:$D$479,MATCH("Total värmeproduktion i kraftvärmeverk i kombinerad drift (GWh)",Kraftvärmeprod!$B$1:$AV$1,0),FALSE)),"Ej kraftvärme","Alternativproduktionsmetoden")</f>
        <v>Ej kraftvärme</v>
      </c>
      <c r="E288" t="str">
        <f>IF(ISERROR(1/VLOOKUP($B288,Kraftvärmeprod!$B$1:$BD$479,MATCH("Total värmeproduktion i kraftvärmeverk i kombinerad drift (GWh)",Kraftvärmeprod!$B$1:$AV$1,0),FALSE)),"",VLOOKUP($B288,'Slutlig allokering kvv'!$B$1:$BC$479,MATCH(E$1,'Slutlig allokering kvv'!$B$1:$AU$1,0),FALSE))</f>
        <v/>
      </c>
      <c r="F288" t="str">
        <f>IF(ISERROR(1/VLOOKUP($B288,Kraftvärmeprod!$B$1:$AV$479,MATCH("Producerad elenergi i kraftvärmeverk (GWh)",Kraftvärmeprod!$B$1:$AV$1,0),FALSE)),"",VLOOKUP($B288,Kraftvärmeprod!$B$1:$AV$479,MATCH("Producerad elenergi i kraftvärmeverk (GWh)",Kraftvärmeprod!$B$1:$AV$1,0),FALSE))</f>
        <v/>
      </c>
      <c r="G288" t="str">
        <f>IF(ISERROR(1/VLOOKUP($B288,Miljö!$B$1:$T$480,MATCH("Såld mängd produktionsspecifik fjärrvärme (GWh)",Miljö!$B$1:$T$1,0),FALSE)),"",VLOOKUP($B288,Miljö!$B$1:$T$480,MATCH("Såld mängd produktionsspecifik fjärrvärme (GWh)",Miljö!$B$1:$T$1,0),FALSE))</f>
        <v/>
      </c>
      <c r="J288" t="str">
        <f t="shared" si="4"/>
        <v>Sundsvall Energi AB</v>
      </c>
    </row>
    <row r="289" spans="1:10" x14ac:dyDescent="0.45">
      <c r="A289" s="2" t="s">
        <v>305</v>
      </c>
      <c r="B289" s="2" t="s">
        <v>306</v>
      </c>
      <c r="D289" t="str">
        <f>IF(ISERROR(1/VLOOKUP($B289,Kraftvärmeprod!$B$1:$D$479,MATCH("Total värmeproduktion i kraftvärmeverk i kombinerad drift (GWh)",Kraftvärmeprod!$B$1:$AV$1,0),FALSE)),"Ej kraftvärme","Alternativproduktionsmetoden")</f>
        <v>Alternativproduktionsmetoden</v>
      </c>
      <c r="E289">
        <f>IF(ISERROR(1/VLOOKUP($B289,Kraftvärmeprod!$B$1:$BD$479,MATCH("Total värmeproduktion i kraftvärmeverk i kombinerad drift (GWh)",Kraftvärmeprod!$B$1:$AV$1,0),FALSE)),"",VLOOKUP($B289,'Slutlig allokering kvv'!$B$1:$BC$479,MATCH(E$1,'Slutlig allokering kvv'!$B$1:$AU$1,0),FALSE))</f>
        <v>0.58345634811346736</v>
      </c>
      <c r="F289">
        <f>IF(ISERROR(1/VLOOKUP($B289,Kraftvärmeprod!$B$1:$AV$479,MATCH("Producerad elenergi i kraftvärmeverk (GWh)",Kraftvärmeprod!$B$1:$AV$1,0),FALSE)),"",VLOOKUP($B289,Kraftvärmeprod!$B$1:$AV$479,MATCH("Producerad elenergi i kraftvärmeverk (GWh)",Kraftvärmeprod!$B$1:$AV$1,0),FALSE))</f>
        <v>6.03</v>
      </c>
      <c r="G289" t="str">
        <f>IF(ISERROR(1/VLOOKUP($B289,Miljö!$B$1:$T$480,MATCH("Såld mängd produktionsspecifik fjärrvärme (GWh)",Miljö!$B$1:$T$1,0),FALSE)),"",VLOOKUP($B289,Miljö!$B$1:$T$480,MATCH("Såld mängd produktionsspecifik fjärrvärme (GWh)",Miljö!$B$1:$T$1,0),FALSE))</f>
        <v/>
      </c>
      <c r="J289" t="str">
        <f t="shared" si="4"/>
        <v>Sundsvall Energi AB</v>
      </c>
    </row>
    <row r="290" spans="1:10" x14ac:dyDescent="0.45">
      <c r="A290" s="2" t="s">
        <v>305</v>
      </c>
      <c r="B290" s="2" t="s">
        <v>304</v>
      </c>
      <c r="D290" t="str">
        <f>IF(ISERROR(1/VLOOKUP($B290,Kraftvärmeprod!$B$1:$D$479,MATCH("Total värmeproduktion i kraftvärmeverk i kombinerad drift (GWh)",Kraftvärmeprod!$B$1:$AV$1,0),FALSE)),"Ej kraftvärme","Alternativproduktionsmetoden")</f>
        <v>Ej kraftvärme</v>
      </c>
      <c r="E290" t="str">
        <f>IF(ISERROR(1/VLOOKUP($B290,Kraftvärmeprod!$B$1:$BD$479,MATCH("Total värmeproduktion i kraftvärmeverk i kombinerad drift (GWh)",Kraftvärmeprod!$B$1:$AV$1,0),FALSE)),"",VLOOKUP($B290,'Slutlig allokering kvv'!$B$1:$BC$479,MATCH(E$1,'Slutlig allokering kvv'!$B$1:$AU$1,0),FALSE))</f>
        <v/>
      </c>
      <c r="F290" t="str">
        <f>IF(ISERROR(1/VLOOKUP($B290,Kraftvärmeprod!$B$1:$AV$479,MATCH("Producerad elenergi i kraftvärmeverk (GWh)",Kraftvärmeprod!$B$1:$AV$1,0),FALSE)),"",VLOOKUP($B290,Kraftvärmeprod!$B$1:$AV$479,MATCH("Producerad elenergi i kraftvärmeverk (GWh)",Kraftvärmeprod!$B$1:$AV$1,0),FALSE))</f>
        <v/>
      </c>
      <c r="G290" t="str">
        <f>IF(ISERROR(1/VLOOKUP($B290,Miljö!$B$1:$T$480,MATCH("Såld mängd produktionsspecifik fjärrvärme (GWh)",Miljö!$B$1:$T$1,0),FALSE)),"",VLOOKUP($B290,Miljö!$B$1:$T$480,MATCH("Såld mängd produktionsspecifik fjärrvärme (GWh)",Miljö!$B$1:$T$1,0),FALSE))</f>
        <v/>
      </c>
      <c r="J290" t="str">
        <f t="shared" si="4"/>
        <v>Sundsvall Energi AB</v>
      </c>
    </row>
    <row r="291" spans="1:10" x14ac:dyDescent="0.45">
      <c r="A291" s="2" t="s">
        <v>303</v>
      </c>
      <c r="B291" s="2" t="s">
        <v>35</v>
      </c>
      <c r="D291" t="str">
        <f>IF(ISERROR(1/VLOOKUP($B291,Kraftvärmeprod!$B$1:$D$479,MATCH("Total värmeproduktion i kraftvärmeverk i kombinerad drift (GWh)",Kraftvärmeprod!$B$1:$AV$1,0),FALSE)),"Ej kraftvärme","Alternativproduktionsmetoden")</f>
        <v>Ej kraftvärme</v>
      </c>
      <c r="E291" t="str">
        <f>IF(ISERROR(1/VLOOKUP($B291,Kraftvärmeprod!$B$1:$BD$479,MATCH("Total värmeproduktion i kraftvärmeverk i kombinerad drift (GWh)",Kraftvärmeprod!$B$1:$AV$1,0),FALSE)),"",VLOOKUP($B291,'Slutlig allokering kvv'!$B$1:$BC$479,MATCH(E$1,'Slutlig allokering kvv'!$B$1:$AU$1,0),FALSE))</f>
        <v/>
      </c>
      <c r="F291" t="str">
        <f>IF(ISERROR(1/VLOOKUP($B291,Kraftvärmeprod!$B$1:$AV$479,MATCH("Producerad elenergi i kraftvärmeverk (GWh)",Kraftvärmeprod!$B$1:$AV$1,0),FALSE)),"",VLOOKUP($B291,Kraftvärmeprod!$B$1:$AV$479,MATCH("Producerad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Söderenergi AB (endast information)</v>
      </c>
    </row>
    <row r="292" spans="1:10" x14ac:dyDescent="0.45">
      <c r="A292" s="2" t="s">
        <v>299</v>
      </c>
      <c r="B292" s="2" t="s">
        <v>302</v>
      </c>
      <c r="D292" t="str">
        <f>IF(ISERROR(1/VLOOKUP($B292,Kraftvärmeprod!$B$1:$D$479,MATCH("Total värmeproduktion i kraftvärmeverk i kombinerad drift (GWh)",Kraftvärmeprod!$B$1:$AV$1,0),FALSE)),"Ej kraftvärme","Alternativproduktionsmetoden")</f>
        <v>Ej kraftvärme</v>
      </c>
      <c r="E292" t="str">
        <f>IF(ISERROR(1/VLOOKUP($B292,Kraftvärmeprod!$B$1:$BD$479,MATCH("Total värmeproduktion i kraftvärmeverk i kombinerad drift (GWh)",Kraftvärmeprod!$B$1:$AV$1,0),FALSE)),"",VLOOKUP($B292,'Slutlig allokering kvv'!$B$1:$BC$479,MATCH(E$1,'Slutlig allokering kvv'!$B$1:$AU$1,0),FALSE))</f>
        <v/>
      </c>
      <c r="F292" t="str">
        <f>IF(ISERROR(1/VLOOKUP($B292,Kraftvärmeprod!$B$1:$AV$479,MATCH("Producerad elenergi i kraftvärmeverk (GWh)",Kraftvärmeprod!$B$1:$AV$1,0),FALSE)),"",VLOOKUP($B292,Kraftvärmeprod!$B$1:$AV$479,MATCH("Producerad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Söderhamn Nära AB</v>
      </c>
    </row>
    <row r="293" spans="1:10" x14ac:dyDescent="0.45">
      <c r="A293" s="2" t="s">
        <v>299</v>
      </c>
      <c r="B293" s="2" t="s">
        <v>301</v>
      </c>
      <c r="D293" t="str">
        <f>IF(ISERROR(1/VLOOKUP($B293,Kraftvärmeprod!$B$1:$D$479,MATCH("Total värmeproduktion i kraftvärmeverk i kombinerad drift (GWh)",Kraftvärmeprod!$B$1:$AV$1,0),FALSE)),"Ej kraftvärme","Alternativproduktionsmetoden")</f>
        <v>Ej kraftvärme</v>
      </c>
      <c r="E293" t="str">
        <f>IF(ISERROR(1/VLOOKUP($B293,Kraftvärmeprod!$B$1:$BD$479,MATCH("Total värmeproduktion i kraftvärmeverk i kombinerad drift (GWh)",Kraftvärmeprod!$B$1:$AV$1,0),FALSE)),"",VLOOKUP($B293,'Slutlig allokering kvv'!$B$1:$BC$479,MATCH(E$1,'Slutlig allokering kvv'!$B$1:$AU$1,0),FALSE))</f>
        <v/>
      </c>
      <c r="F293" t="str">
        <f>IF(ISERROR(1/VLOOKUP($B293,Kraftvärmeprod!$B$1:$AV$479,MATCH("Producerad elenergi i kraftvärmeverk (GWh)",Kraftvärmeprod!$B$1:$AV$1,0),FALSE)),"",VLOOKUP($B293,Kraftvärmeprod!$B$1:$AV$479,MATCH("Producerad elenergi i kraftvärmeverk (GWh)",Kraftvärmeprod!$B$1:$AV$1,0),FALSE))</f>
        <v/>
      </c>
      <c r="G293" t="str">
        <f>IF(ISERROR(1/VLOOKUP($B293,Miljö!$B$1:$T$480,MATCH("Såld mängd produktionsspecifik fjärrvärme (GWh)",Miljö!$B$1:$T$1,0),FALSE)),"",VLOOKUP($B293,Miljö!$B$1:$T$480,MATCH("Såld mängd produktionsspecifik fjärrvärme (GWh)",Miljö!$B$1:$T$1,0),FALSE))</f>
        <v/>
      </c>
      <c r="J293" t="str">
        <f t="shared" si="4"/>
        <v>Söderhamn Nära AB</v>
      </c>
    </row>
    <row r="294" spans="1:10" x14ac:dyDescent="0.45">
      <c r="A294" s="2" t="s">
        <v>299</v>
      </c>
      <c r="B294" s="2" t="s">
        <v>300</v>
      </c>
      <c r="D294" t="str">
        <f>IF(ISERROR(1/VLOOKUP($B294,Kraftvärmeprod!$B$1:$D$479,MATCH("Total värmeproduktion i kraftvärmeverk i kombinerad drift (GWh)",Kraftvärmeprod!$B$1:$AV$1,0),FALSE)),"Ej kraftvärme","Alternativproduktionsmetoden")</f>
        <v>Ej kraftvärme</v>
      </c>
      <c r="E294" t="str">
        <f>IF(ISERROR(1/VLOOKUP($B294,Kraftvärmeprod!$B$1:$BD$479,MATCH("Total värmeproduktion i kraftvärmeverk i kombinerad drift (GWh)",Kraftvärmeprod!$B$1:$AV$1,0),FALSE)),"",VLOOKUP($B294,'Slutlig allokering kvv'!$B$1:$BC$479,MATCH(E$1,'Slutlig allokering kvv'!$B$1:$AU$1,0),FALSE))</f>
        <v/>
      </c>
      <c r="F294" t="str">
        <f>IF(ISERROR(1/VLOOKUP($B294,Kraftvärmeprod!$B$1:$AV$479,MATCH("Producerad elenergi i kraftvärmeverk (GWh)",Kraftvärmeprod!$B$1:$AV$1,0),FALSE)),"",VLOOKUP($B294,Kraftvärmeprod!$B$1:$AV$479,MATCH("Producerad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Söderhamn Nära AB</v>
      </c>
    </row>
    <row r="295" spans="1:10" x14ac:dyDescent="0.45">
      <c r="A295" s="2" t="s">
        <v>299</v>
      </c>
      <c r="B295" s="2" t="s">
        <v>298</v>
      </c>
      <c r="D295" t="str">
        <f>IF(ISERROR(1/VLOOKUP($B295,Kraftvärmeprod!$B$1:$D$479,MATCH("Total värmeproduktion i kraftvärmeverk i kombinerad drift (GWh)",Kraftvärmeprod!$B$1:$AV$1,0),FALSE)),"Ej kraftvärme","Alternativproduktionsmetoden")</f>
        <v>Alternativproduktionsmetoden</v>
      </c>
      <c r="E295">
        <f>IF(ISERROR(1/VLOOKUP($B295,Kraftvärmeprod!$B$1:$BD$479,MATCH("Total värmeproduktion i kraftvärmeverk i kombinerad drift (GWh)",Kraftvärmeprod!$B$1:$AV$1,0),FALSE)),"",VLOOKUP($B295,'Slutlig allokering kvv'!$B$1:$BC$479,MATCH(E$1,'Slutlig allokering kvv'!$B$1:$AU$1,0),FALSE))</f>
        <v>0.53089406847773679</v>
      </c>
      <c r="F295">
        <f>IF(ISERROR(1/VLOOKUP($B295,Kraftvärmeprod!$B$1:$AV$479,MATCH("Producerad elenergi i kraftvärmeverk (GWh)",Kraftvärmeprod!$B$1:$AV$1,0),FALSE)),"",VLOOKUP($B295,Kraftvärmeprod!$B$1:$AV$479,MATCH("Producerad elenergi i kraftvärmeverk (GWh)",Kraftvärmeprod!$B$1:$AV$1,0),FALSE))</f>
        <v>35.929000000000002</v>
      </c>
      <c r="G295" t="str">
        <f>IF(ISERROR(1/VLOOKUP($B295,Miljö!$B$1:$T$480,MATCH("Såld mängd produktionsspecifik fjärrvärme (GWh)",Miljö!$B$1:$T$1,0),FALSE)),"",VLOOKUP($B295,Miljö!$B$1:$T$480,MATCH("Såld mängd produktionsspecifik fjärrvärme (GWh)",Miljö!$B$1:$T$1,0),FALSE))</f>
        <v/>
      </c>
      <c r="J295" t="str">
        <f t="shared" si="4"/>
        <v>Söderhamn Nära AB</v>
      </c>
    </row>
    <row r="296" spans="1:10" x14ac:dyDescent="0.45">
      <c r="A296" s="2" t="s">
        <v>297</v>
      </c>
      <c r="B296" s="2" t="s">
        <v>296</v>
      </c>
      <c r="D296" t="str">
        <f>IF(ISERROR(1/VLOOKUP($B296,Kraftvärmeprod!$B$1:$D$479,MATCH("Total värmeproduktion i kraftvärmeverk i kombinerad drift (GWh)",Kraftvärmeprod!$B$1:$AV$1,0),FALSE)),"Ej kraftvärme","Alternativproduktionsmetoden")</f>
        <v>Alternativproduktionsmetoden</v>
      </c>
      <c r="E296">
        <f>IF(ISERROR(1/VLOOKUP($B296,Kraftvärmeprod!$B$1:$BD$479,MATCH("Total värmeproduktion i kraftvärmeverk i kombinerad drift (GWh)",Kraftvärmeprod!$B$1:$AV$1,0),FALSE)),"",VLOOKUP($B296,'Slutlig allokering kvv'!$B$1:$BC$479,MATCH(E$1,'Slutlig allokering kvv'!$B$1:$AU$1,0),FALSE))</f>
        <v>0.43215948381499186</v>
      </c>
      <c r="F296">
        <f>IF(ISERROR(1/VLOOKUP($B296,Kraftvärmeprod!$B$1:$AV$479,MATCH("Producerad elenergi i kraftvärmeverk (GWh)",Kraftvärmeprod!$B$1:$AV$1,0),FALSE)),"",VLOOKUP($B296,Kraftvärmeprod!$B$1:$AV$479,MATCH("Producerad elenergi i kraftvärmeverk (GWh)",Kraftvärmeprod!$B$1:$AV$1,0),FALSE))</f>
        <v>270.173</v>
      </c>
      <c r="G296" t="str">
        <f>IF(ISERROR(1/VLOOKUP($B296,Miljö!$B$1:$T$480,MATCH("Såld mängd produktionsspecifik fjärrvärme (GWh)",Miljö!$B$1:$T$1,0),FALSE)),"",VLOOKUP($B296,Miljö!$B$1:$T$480,MATCH("Såld mängd produktionsspecifik fjärrvärme (GWh)",Miljö!$B$1:$T$1,0),FALSE))</f>
        <v/>
      </c>
      <c r="J296" t="str">
        <f t="shared" si="4"/>
        <v>Södertörns Fjärrvärme AB</v>
      </c>
    </row>
    <row r="297" spans="1:10" x14ac:dyDescent="0.45">
      <c r="A297" s="2" t="s">
        <v>295</v>
      </c>
      <c r="B297" s="2" t="s">
        <v>127</v>
      </c>
      <c r="D297" t="str">
        <f>IF(ISERROR(1/VLOOKUP($B297,Kraftvärmeprod!$B$1:$D$479,MATCH("Total värmeproduktion i kraftvärmeverk i kombinerad drift (GWh)",Kraftvärmeprod!$B$1:$AV$1,0),FALSE)),"Ej kraftvärme","Alternativproduktionsmetoden")</f>
        <v>Ej kraftvärme</v>
      </c>
      <c r="E297" t="str">
        <f>IF(ISERROR(1/VLOOKUP($B297,Kraftvärmeprod!$B$1:$BD$479,MATCH("Total värmeproduktion i kraftvärmeverk i kombinerad drift (GWh)",Kraftvärmeprod!$B$1:$AV$1,0),FALSE)),"",VLOOKUP($B297,'Slutlig allokering kvv'!$B$1:$BC$479,MATCH(E$1,'Slutlig allokering kvv'!$B$1:$AU$1,0),FALSE))</f>
        <v/>
      </c>
      <c r="F297" t="str">
        <f>IF(ISERROR(1/VLOOKUP($B297,Kraftvärmeprod!$B$1:$AV$479,MATCH("Producerad elenergi i kraftvärmeverk (GWh)",Kraftvärmeprod!$B$1:$AV$1,0),FALSE)),"",VLOOKUP($B297,Kraftvärmeprod!$B$1:$AV$479,MATCH("Producerad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 xml:space="preserve">Sölvesborgs Energi och Vatten AB  </v>
      </c>
    </row>
    <row r="298" spans="1:10" x14ac:dyDescent="0.45">
      <c r="A298" s="2" t="s">
        <v>289</v>
      </c>
      <c r="B298" s="2" t="s">
        <v>294</v>
      </c>
      <c r="D298" t="str">
        <f>IF(ISERROR(1/VLOOKUP($B298,Kraftvärmeprod!$B$1:$D$479,MATCH("Total värmeproduktion i kraftvärmeverk i kombinerad drift (GWh)",Kraftvärmeprod!$B$1:$AV$1,0),FALSE)),"Ej kraftvärme","Alternativproduktionsmetoden")</f>
        <v>Ej kraftvärme</v>
      </c>
      <c r="E298" t="str">
        <f>IF(ISERROR(1/VLOOKUP($B298,Kraftvärmeprod!$B$1:$BD$479,MATCH("Total värmeproduktion i kraftvärmeverk i kombinerad drift (GWh)",Kraftvärmeprod!$B$1:$AV$1,0),FALSE)),"",VLOOKUP($B298,'Slutlig allokering kvv'!$B$1:$BC$479,MATCH(E$1,'Slutlig allokering kvv'!$B$1:$AU$1,0),FALSE))</f>
        <v/>
      </c>
      <c r="F298" t="str">
        <f>IF(ISERROR(1/VLOOKUP($B298,Kraftvärmeprod!$B$1:$AV$479,MATCH("Producerad elenergi i kraftvärmeverk (GWh)",Kraftvärmeprod!$B$1:$AV$1,0),FALSE)),"",VLOOKUP($B298,Kraftvärmeprod!$B$1:$AV$479,MATCH("Producerad elenergi i kraftvärmeverk (GWh)",Kraftvärmeprod!$B$1:$AV$1,0),FALSE))</f>
        <v/>
      </c>
      <c r="G298" t="str">
        <f>IF(ISERROR(1/VLOOKUP($B298,Miljö!$B$1:$T$480,MATCH("Såld mängd produktionsspecifik fjärrvärme (GWh)",Miljö!$B$1:$T$1,0),FALSE)),"",VLOOKUP($B298,Miljö!$B$1:$T$480,MATCH("Såld mängd produktionsspecifik fjärrvärme (GWh)",Miljö!$B$1:$T$1,0),FALSE))</f>
        <v/>
      </c>
      <c r="J298" t="str">
        <f t="shared" si="4"/>
        <v>Tekniska Verken i Linköping AB</v>
      </c>
    </row>
    <row r="299" spans="1:10" x14ac:dyDescent="0.45">
      <c r="A299" s="2" t="s">
        <v>289</v>
      </c>
      <c r="B299" s="2" t="s">
        <v>293</v>
      </c>
      <c r="D299" t="str">
        <f>IF(ISERROR(1/VLOOKUP($B299,Kraftvärmeprod!$B$1:$D$479,MATCH("Total värmeproduktion i kraftvärmeverk i kombinerad drift (GWh)",Kraftvärmeprod!$B$1:$AV$1,0),FALSE)),"Ej kraftvärme","Alternativproduktionsmetoden")</f>
        <v>Alternativproduktionsmetoden</v>
      </c>
      <c r="E299">
        <f>IF(ISERROR(1/VLOOKUP($B299,Kraftvärmeprod!$B$1:$BD$479,MATCH("Total värmeproduktion i kraftvärmeverk i kombinerad drift (GWh)",Kraftvärmeprod!$B$1:$AV$1,0),FALSE)),"",VLOOKUP($B299,'Slutlig allokering kvv'!$B$1:$BC$479,MATCH(E$1,'Slutlig allokering kvv'!$B$1:$AU$1,0),FALSE))</f>
        <v>0.59980488985408509</v>
      </c>
      <c r="F299">
        <f>IF(ISERROR(1/VLOOKUP($B299,Kraftvärmeprod!$B$1:$AV$479,MATCH("Producerad elenergi i kraftvärmeverk (GWh)",Kraftvärmeprod!$B$1:$AV$1,0),FALSE)),"",VLOOKUP($B299,Kraftvärmeprod!$B$1:$AV$479,MATCH("Producerad elenergi i kraftvärmeverk (GWh)",Kraftvärmeprod!$B$1:$AV$1,0),FALSE))</f>
        <v>24.754000000000001</v>
      </c>
      <c r="G299" t="str">
        <f>IF(ISERROR(1/VLOOKUP($B299,Miljö!$B$1:$T$480,MATCH("Såld mängd produktionsspecifik fjärrvärme (GWh)",Miljö!$B$1:$T$1,0),FALSE)),"",VLOOKUP($B299,Miljö!$B$1:$T$480,MATCH("Såld mängd produktionsspecifik fjärrvärme (GWh)",Miljö!$B$1:$T$1,0),FALSE))</f>
        <v/>
      </c>
      <c r="J299" t="str">
        <f t="shared" si="4"/>
        <v>Tekniska Verken i Linköping AB</v>
      </c>
    </row>
    <row r="300" spans="1:10" x14ac:dyDescent="0.45">
      <c r="A300" s="2" t="s">
        <v>289</v>
      </c>
      <c r="B300" s="2" t="s">
        <v>292</v>
      </c>
      <c r="D300" t="str">
        <f>IF(ISERROR(1/VLOOKUP($B300,Kraftvärmeprod!$B$1:$D$479,MATCH("Total värmeproduktion i kraftvärmeverk i kombinerad drift (GWh)",Kraftvärmeprod!$B$1:$AV$1,0),FALSE)),"Ej kraftvärme","Alternativproduktionsmetoden")</f>
        <v>Ej kraftvärme</v>
      </c>
      <c r="E300" t="str">
        <f>IF(ISERROR(1/VLOOKUP($B300,Kraftvärmeprod!$B$1:$BD$479,MATCH("Total värmeproduktion i kraftvärmeverk i kombinerad drift (GWh)",Kraftvärmeprod!$B$1:$AV$1,0),FALSE)),"",VLOOKUP($B300,'Slutlig allokering kvv'!$B$1:$BC$479,MATCH(E$1,'Slutlig allokering kvv'!$B$1:$AU$1,0),FALSE))</f>
        <v/>
      </c>
      <c r="F300" t="str">
        <f>IF(ISERROR(1/VLOOKUP($B300,Kraftvärmeprod!$B$1:$AV$479,MATCH("Producerad elenergi i kraftvärmeverk (GWh)",Kraftvärmeprod!$B$1:$AV$1,0),FALSE)),"",VLOOKUP($B300,Kraftvärmeprod!$B$1:$AV$479,MATCH("Producerad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Tekniska Verken i Linköping AB</v>
      </c>
    </row>
    <row r="301" spans="1:10" x14ac:dyDescent="0.45">
      <c r="A301" s="2" t="s">
        <v>289</v>
      </c>
      <c r="B301" s="2" t="s">
        <v>291</v>
      </c>
      <c r="D301" t="str">
        <f>IF(ISERROR(1/VLOOKUP($B301,Kraftvärmeprod!$B$1:$D$479,MATCH("Total värmeproduktion i kraftvärmeverk i kombinerad drift (GWh)",Kraftvärmeprod!$B$1:$AV$1,0),FALSE)),"Ej kraftvärme","Alternativproduktionsmetoden")</f>
        <v>Alternativproduktionsmetoden</v>
      </c>
      <c r="E301">
        <f>IF(ISERROR(1/VLOOKUP($B301,Kraftvärmeprod!$B$1:$BD$479,MATCH("Total värmeproduktion i kraftvärmeverk i kombinerad drift (GWh)",Kraftvärmeprod!$B$1:$AV$1,0),FALSE)),"",VLOOKUP($B301,'Slutlig allokering kvv'!$B$1:$BC$479,MATCH(E$1,'Slutlig allokering kvv'!$B$1:$AU$1,0),FALSE))</f>
        <v>0.51189984712328762</v>
      </c>
      <c r="F301">
        <f>IF(ISERROR(1/VLOOKUP($B301,Kraftvärmeprod!$B$1:$AV$479,MATCH("Producerad elenergi i kraftvärmeverk (GWh)",Kraftvärmeprod!$B$1:$AV$1,0),FALSE)),"",VLOOKUP($B301,Kraftvärmeprod!$B$1:$AV$479,MATCH("Producerad elenergi i kraftvärmeverk (GWh)",Kraftvärmeprod!$B$1:$AV$1,0),FALSE))</f>
        <v>311.5</v>
      </c>
      <c r="G301">
        <f>IF(ISERROR(1/VLOOKUP($B301,Miljö!$B$1:$T$480,MATCH("Såld mängd produktionsspecifik fjärrvärme (GWh)",Miljö!$B$1:$T$1,0),FALSE)),"",VLOOKUP($B301,Miljö!$B$1:$T$480,MATCH("Såld mängd produktionsspecifik fjärrvärme (GWh)",Miljö!$B$1:$T$1,0),FALSE))</f>
        <v>3.5</v>
      </c>
      <c r="J301" t="str">
        <f t="shared" si="4"/>
        <v>Tekniska Verken i Linköping AB</v>
      </c>
    </row>
    <row r="302" spans="1:10" x14ac:dyDescent="0.45">
      <c r="A302" s="2" t="s">
        <v>289</v>
      </c>
      <c r="B302" s="2" t="s">
        <v>290</v>
      </c>
      <c r="D302" t="str">
        <f>IF(ISERROR(1/VLOOKUP($B302,Kraftvärmeprod!$B$1:$D$479,MATCH("Total värmeproduktion i kraftvärmeverk i kombinerad drift (GWh)",Kraftvärmeprod!$B$1:$AV$1,0),FALSE)),"Ej kraftvärme","Alternativproduktionsmetoden")</f>
        <v>Ej kraftvärme</v>
      </c>
      <c r="E302" t="str">
        <f>IF(ISERROR(1/VLOOKUP($B302,Kraftvärmeprod!$B$1:$BD$479,MATCH("Total värmeproduktion i kraftvärmeverk i kombinerad drift (GWh)",Kraftvärmeprod!$B$1:$AV$1,0),FALSE)),"",VLOOKUP($B302,'Slutlig allokering kvv'!$B$1:$BC$479,MATCH(E$1,'Slutlig allokering kvv'!$B$1:$AU$1,0),FALSE))</f>
        <v/>
      </c>
      <c r="F302" t="str">
        <f>IF(ISERROR(1/VLOOKUP($B302,Kraftvärmeprod!$B$1:$AV$479,MATCH("Producerad elenergi i kraftvärmeverk (GWh)",Kraftvärmeprod!$B$1:$AV$1,0),FALSE)),"",VLOOKUP($B302,Kraftvärmeprod!$B$1:$AV$479,MATCH("Producerad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Tekniska Verken i Linköping AB</v>
      </c>
    </row>
    <row r="303" spans="1:10" x14ac:dyDescent="0.45">
      <c r="A303" s="2" t="s">
        <v>289</v>
      </c>
      <c r="B303" s="2" t="s">
        <v>288</v>
      </c>
      <c r="D303" t="str">
        <f>IF(ISERROR(1/VLOOKUP($B303,Kraftvärmeprod!$B$1:$D$479,MATCH("Total värmeproduktion i kraftvärmeverk i kombinerad drift (GWh)",Kraftvärmeprod!$B$1:$AV$1,0),FALSE)),"Ej kraftvärme","Alternativproduktionsmetoden")</f>
        <v>Ej kraftvärme</v>
      </c>
      <c r="E303" t="str">
        <f>IF(ISERROR(1/VLOOKUP($B303,Kraftvärmeprod!$B$1:$BD$479,MATCH("Total värmeproduktion i kraftvärmeverk i kombinerad drift (GWh)",Kraftvärmeprod!$B$1:$AV$1,0),FALSE)),"",VLOOKUP($B303,'Slutlig allokering kvv'!$B$1:$BC$479,MATCH(E$1,'Slutlig allokering kvv'!$B$1:$AU$1,0),FALSE))</f>
        <v/>
      </c>
      <c r="F303" t="str">
        <f>IF(ISERROR(1/VLOOKUP($B303,Kraftvärmeprod!$B$1:$AV$479,MATCH("Producerad elenergi i kraftvärmeverk (GWh)",Kraftvärmeprod!$B$1:$AV$1,0),FALSE)),"",VLOOKUP($B303,Kraftvärmeprod!$B$1:$AV$479,MATCH("Producerad elenergi i kraftvärmeverk (GWh)",Kraftvärmeprod!$B$1:$AV$1,0),FALSE))</f>
        <v/>
      </c>
      <c r="G303" t="str">
        <f>IF(ISERROR(1/VLOOKUP($B303,Miljö!$B$1:$T$480,MATCH("Såld mängd produktionsspecifik fjärrvärme (GWh)",Miljö!$B$1:$T$1,0),FALSE)),"",VLOOKUP($B303,Miljö!$B$1:$T$480,MATCH("Såld mängd produktionsspecifik fjärrvärme (GWh)",Miljö!$B$1:$T$1,0),FALSE))</f>
        <v/>
      </c>
      <c r="J303" t="str">
        <f t="shared" si="4"/>
        <v>Tekniska Verken i Linköping AB</v>
      </c>
    </row>
    <row r="304" spans="1:10" x14ac:dyDescent="0.45">
      <c r="A304" s="2" t="s">
        <v>286</v>
      </c>
      <c r="B304" s="2" t="s">
        <v>287</v>
      </c>
      <c r="D304" t="str">
        <f>IF(ISERROR(1/VLOOKUP($B304,Kraftvärmeprod!$B$1:$D$479,MATCH("Total värmeproduktion i kraftvärmeverk i kombinerad drift (GWh)",Kraftvärmeprod!$B$1:$AV$1,0),FALSE)),"Ej kraftvärme","Alternativproduktionsmetoden")</f>
        <v>Ej kraftvärme</v>
      </c>
      <c r="E304" t="str">
        <f>IF(ISERROR(1/VLOOKUP($B304,Kraftvärmeprod!$B$1:$BD$479,MATCH("Total värmeproduktion i kraftvärmeverk i kombinerad drift (GWh)",Kraftvärmeprod!$B$1:$AV$1,0),FALSE)),"",VLOOKUP($B304,'Slutlig allokering kvv'!$B$1:$BC$479,MATCH(E$1,'Slutlig allokering kvv'!$B$1:$AU$1,0),FALSE))</f>
        <v/>
      </c>
      <c r="F304" t="str">
        <f>IF(ISERROR(1/VLOOKUP($B304,Kraftvärmeprod!$B$1:$AV$479,MATCH("Producerad elenergi i kraftvärmeverk (GWh)",Kraftvärmeprod!$B$1:$AV$1,0),FALSE)),"",VLOOKUP($B304,Kraftvärmeprod!$B$1:$AV$479,MATCH("Producerad elenergi i kraftvärmeverk (GWh)",Kraftvärmeprod!$B$1:$AV$1,0),FALSE))</f>
        <v/>
      </c>
      <c r="G304" t="str">
        <f>IF(ISERROR(1/VLOOKUP($B304,Miljö!$B$1:$T$480,MATCH("Såld mängd produktionsspecifik fjärrvärme (GWh)",Miljö!$B$1:$T$1,0),FALSE)),"",VLOOKUP($B304,Miljö!$B$1:$T$480,MATCH("Såld mängd produktionsspecifik fjärrvärme (GWh)",Miljö!$B$1:$T$1,0),FALSE))</f>
        <v/>
      </c>
      <c r="J304" t="str">
        <f t="shared" si="4"/>
        <v>Telge Nät AB</v>
      </c>
    </row>
    <row r="305" spans="1:10" x14ac:dyDescent="0.45">
      <c r="A305" s="2" t="s">
        <v>286</v>
      </c>
      <c r="B305" s="2" t="s">
        <v>285</v>
      </c>
      <c r="D305" t="str">
        <f>IF(ISERROR(1/VLOOKUP($B305,Kraftvärmeprod!$B$1:$D$479,MATCH("Total värmeproduktion i kraftvärmeverk i kombinerad drift (GWh)",Kraftvärmeprod!$B$1:$AV$1,0),FALSE)),"Ej kraftvärme","Alternativproduktionsmetoden")</f>
        <v>Alternativproduktionsmetoden</v>
      </c>
      <c r="E305">
        <f>IF(ISERROR(1/VLOOKUP($B305,Kraftvärmeprod!$B$1:$BD$479,MATCH("Total värmeproduktion i kraftvärmeverk i kombinerad drift (GWh)",Kraftvärmeprod!$B$1:$AV$1,0),FALSE)),"",VLOOKUP($B305,'Slutlig allokering kvv'!$B$1:$BC$479,MATCH(E$1,'Slutlig allokering kvv'!$B$1:$AU$1,0),FALSE))</f>
        <v>0.43324520288898388</v>
      </c>
      <c r="F305">
        <f>IF(ISERROR(1/VLOOKUP($B305,Kraftvärmeprod!$B$1:$AV$479,MATCH("Producerad elenergi i kraftvärmeverk (GWh)",Kraftvärmeprod!$B$1:$AV$1,0),FALSE)),"",VLOOKUP($B305,Kraftvärmeprod!$B$1:$AV$479,MATCH("Producerad elenergi i kraftvärmeverk (GWh)",Kraftvärmeprod!$B$1:$AV$1,0),FALSE))</f>
        <v>223</v>
      </c>
      <c r="G305" t="str">
        <f>IF(ISERROR(1/VLOOKUP($B305,Miljö!$B$1:$T$480,MATCH("Såld mängd produktionsspecifik fjärrvärme (GWh)",Miljö!$B$1:$T$1,0),FALSE)),"",VLOOKUP($B305,Miljö!$B$1:$T$480,MATCH("Såld mängd produktionsspecifik fjärrvärme (GWh)",Miljö!$B$1:$T$1,0),FALSE))</f>
        <v/>
      </c>
      <c r="J305" t="str">
        <f t="shared" si="4"/>
        <v>Telge Nät AB</v>
      </c>
    </row>
    <row r="306" spans="1:10" x14ac:dyDescent="0.45">
      <c r="A306" s="2" t="s">
        <v>284</v>
      </c>
      <c r="B306" s="2" t="s">
        <v>283</v>
      </c>
      <c r="D306" t="str">
        <f>IF(ISERROR(1/VLOOKUP($B306,Kraftvärmeprod!$B$1:$D$479,MATCH("Total värmeproduktion i kraftvärmeverk i kombinerad drift (GWh)",Kraftvärmeprod!$B$1:$AV$1,0),FALSE)),"Ej kraftvärme","Alternativproduktionsmetoden")</f>
        <v>Alternativproduktionsmetoden</v>
      </c>
      <c r="E306">
        <f>IF(ISERROR(1/VLOOKUP($B306,Kraftvärmeprod!$B$1:$BD$479,MATCH("Total värmeproduktion i kraftvärmeverk i kombinerad drift (GWh)",Kraftvärmeprod!$B$1:$AV$1,0),FALSE)),"",VLOOKUP($B306,'Slutlig allokering kvv'!$B$1:$BC$479,MATCH(E$1,'Slutlig allokering kvv'!$B$1:$AU$1,0),FALSE))</f>
        <v>0.65917311240537557</v>
      </c>
      <c r="F306">
        <f>IF(ISERROR(1/VLOOKUP($B306,Kraftvärmeprod!$B$1:$AV$479,MATCH("Producerad elenergi i kraftvärmeverk (GWh)",Kraftvärmeprod!$B$1:$AV$1,0),FALSE)),"",VLOOKUP($B306,Kraftvärmeprod!$B$1:$AV$479,MATCH("Producerad elenergi i kraftvärmeverk (GWh)",Kraftvärmeprod!$B$1:$AV$1,0),FALSE))</f>
        <v>10.23</v>
      </c>
      <c r="G306" t="str">
        <f>IF(ISERROR(1/VLOOKUP($B306,Miljö!$B$1:$T$480,MATCH("Såld mängd produktionsspecifik fjärrvärme (GWh)",Miljö!$B$1:$T$1,0),FALSE)),"",VLOOKUP($B306,Miljö!$B$1:$T$480,MATCH("Såld mängd produktionsspecifik fjärrvärme (GWh)",Miljö!$B$1:$T$1,0),FALSE))</f>
        <v/>
      </c>
      <c r="J306" t="str">
        <f t="shared" si="4"/>
        <v>Tidaholms Energi AB</v>
      </c>
    </row>
    <row r="307" spans="1:10" x14ac:dyDescent="0.45">
      <c r="A307" s="2" t="s">
        <v>280</v>
      </c>
      <c r="B307" s="2" t="s">
        <v>282</v>
      </c>
      <c r="D307" t="str">
        <f>IF(ISERROR(1/VLOOKUP($B307,Kraftvärmeprod!$B$1:$D$479,MATCH("Total värmeproduktion i kraftvärmeverk i kombinerad drift (GWh)",Kraftvärmeprod!$B$1:$AV$1,0),FALSE)),"Ej kraftvärme","Alternativproduktionsmetoden")</f>
        <v>Ej kraftvärme</v>
      </c>
      <c r="E307" t="str">
        <f>IF(ISERROR(1/VLOOKUP($B307,Kraftvärmeprod!$B$1:$BD$479,MATCH("Total värmeproduktion i kraftvärmeverk i kombinerad drift (GWh)",Kraftvärmeprod!$B$1:$AV$1,0),FALSE)),"",VLOOKUP($B307,'Slutlig allokering kvv'!$B$1:$BC$479,MATCH(E$1,'Slutlig allokering kvv'!$B$1:$AU$1,0),FALSE))</f>
        <v/>
      </c>
      <c r="F307" t="str">
        <f>IF(ISERROR(1/VLOOKUP($B307,Kraftvärmeprod!$B$1:$AV$479,MATCH("Producerad elenergi i kraftvärmeverk (GWh)",Kraftvärmeprod!$B$1:$AV$1,0),FALSE)),"",VLOOKUP($B307,Kraftvärmeprod!$B$1:$AV$479,MATCH("Producerad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Tierps Fjärrvärme AB</v>
      </c>
    </row>
    <row r="308" spans="1:10" x14ac:dyDescent="0.45">
      <c r="A308" s="2" t="s">
        <v>280</v>
      </c>
      <c r="B308" s="2" t="s">
        <v>281</v>
      </c>
      <c r="D308" t="str">
        <f>IF(ISERROR(1/VLOOKUP($B308,Kraftvärmeprod!$B$1:$D$479,MATCH("Total värmeproduktion i kraftvärmeverk i kombinerad drift (GWh)",Kraftvärmeprod!$B$1:$AV$1,0),FALSE)),"Ej kraftvärme","Alternativproduktionsmetoden")</f>
        <v>Ej kraftvärme</v>
      </c>
      <c r="E308" t="str">
        <f>IF(ISERROR(1/VLOOKUP($B308,Kraftvärmeprod!$B$1:$BD$479,MATCH("Total värmeproduktion i kraftvärmeverk i kombinerad drift (GWh)",Kraftvärmeprod!$B$1:$AV$1,0),FALSE)),"",VLOOKUP($B308,'Slutlig allokering kvv'!$B$1:$BC$479,MATCH(E$1,'Slutlig allokering kvv'!$B$1:$AU$1,0),FALSE))</f>
        <v/>
      </c>
      <c r="F308" t="str">
        <f>IF(ISERROR(1/VLOOKUP($B308,Kraftvärmeprod!$B$1:$AV$479,MATCH("Producerad elenergi i kraftvärmeverk (GWh)",Kraftvärmeprod!$B$1:$AV$1,0),FALSE)),"",VLOOKUP($B308,Kraftvärmeprod!$B$1:$AV$479,MATCH("Producerad elenergi i kraftvärmeverk (GWh)",Kraftvärmeprod!$B$1:$AV$1,0),FALSE))</f>
        <v/>
      </c>
      <c r="G308" t="str">
        <f>IF(ISERROR(1/VLOOKUP($B308,Miljö!$B$1:$T$480,MATCH("Såld mängd produktionsspecifik fjärrvärme (GWh)",Miljö!$B$1:$T$1,0),FALSE)),"",VLOOKUP($B308,Miljö!$B$1:$T$480,MATCH("Såld mängd produktionsspecifik fjärrvärme (GWh)",Miljö!$B$1:$T$1,0),FALSE))</f>
        <v/>
      </c>
      <c r="J308" t="str">
        <f t="shared" si="4"/>
        <v>Tierps Fjärrvärme AB</v>
      </c>
    </row>
    <row r="309" spans="1:10" x14ac:dyDescent="0.45">
      <c r="A309" s="2" t="s">
        <v>280</v>
      </c>
      <c r="B309" s="2" t="s">
        <v>279</v>
      </c>
      <c r="D309" t="str">
        <f>IF(ISERROR(1/VLOOKUP($B309,Kraftvärmeprod!$B$1:$D$479,MATCH("Total värmeproduktion i kraftvärmeverk i kombinerad drift (GWh)",Kraftvärmeprod!$B$1:$AV$1,0),FALSE)),"Ej kraftvärme","Alternativproduktionsmetoden")</f>
        <v>Ej kraftvärme</v>
      </c>
      <c r="E309" t="str">
        <f>IF(ISERROR(1/VLOOKUP($B309,Kraftvärmeprod!$B$1:$BD$479,MATCH("Total värmeproduktion i kraftvärmeverk i kombinerad drift (GWh)",Kraftvärmeprod!$B$1:$AV$1,0),FALSE)),"",VLOOKUP($B309,'Slutlig allokering kvv'!$B$1:$BC$479,MATCH(E$1,'Slutlig allokering kvv'!$B$1:$AU$1,0),FALSE))</f>
        <v/>
      </c>
      <c r="F309" t="str">
        <f>IF(ISERROR(1/VLOOKUP($B309,Kraftvärmeprod!$B$1:$AV$479,MATCH("Producerad elenergi i kraftvärmeverk (GWh)",Kraftvärmeprod!$B$1:$AV$1,0),FALSE)),"",VLOOKUP($B309,Kraftvärmeprod!$B$1:$AV$479,MATCH("Producerad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Tierps Fjärrvärme AB</v>
      </c>
    </row>
    <row r="310" spans="1:10" x14ac:dyDescent="0.45">
      <c r="A310" s="2" t="s">
        <v>278</v>
      </c>
      <c r="B310" s="2" t="s">
        <v>278</v>
      </c>
      <c r="D310" t="str">
        <f>IF(ISERROR(1/VLOOKUP($B310,Kraftvärmeprod!$B$1:$D$479,MATCH("Total värmeproduktion i kraftvärmeverk i kombinerad drift (GWh)",Kraftvärmeprod!$B$1:$AV$1,0),FALSE)),"Ej kraftvärme","Alternativproduktionsmetoden")</f>
        <v>Ej kraftvärme</v>
      </c>
      <c r="E310" t="str">
        <f>IF(ISERROR(1/VLOOKUP($B310,Kraftvärmeprod!$B$1:$BD$479,MATCH("Total värmeproduktion i kraftvärmeverk i kombinerad drift (GWh)",Kraftvärmeprod!$B$1:$AV$1,0),FALSE)),"",VLOOKUP($B310,'Slutlig allokering kvv'!$B$1:$BC$479,MATCH(E$1,'Slutlig allokering kvv'!$B$1:$AU$1,0),FALSE))</f>
        <v/>
      </c>
      <c r="F310" t="str">
        <f>IF(ISERROR(1/VLOOKUP($B310,Kraftvärmeprod!$B$1:$AV$479,MATCH("Producerad elenergi i kraftvärmeverk (GWh)",Kraftvärmeprod!$B$1:$AV$1,0),FALSE)),"",VLOOKUP($B310,Kraftvärmeprod!$B$1:$AV$479,MATCH("Producerad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Torsby kommun</v>
      </c>
    </row>
    <row r="311" spans="1:10" x14ac:dyDescent="0.45">
      <c r="A311" s="2" t="s">
        <v>277</v>
      </c>
      <c r="B311" s="2" t="s">
        <v>130</v>
      </c>
      <c r="D311" t="str">
        <f>IF(ISERROR(1/VLOOKUP($B311,Kraftvärmeprod!$B$1:$D$479,MATCH("Total värmeproduktion i kraftvärmeverk i kombinerad drift (GWh)",Kraftvärmeprod!$B$1:$AV$1,0),FALSE)),"Ej kraftvärme","Alternativproduktionsmetoden")</f>
        <v>Ej kraftvärme</v>
      </c>
      <c r="E311" t="str">
        <f>IF(ISERROR(1/VLOOKUP($B311,Kraftvärmeprod!$B$1:$BD$479,MATCH("Total värmeproduktion i kraftvärmeverk i kombinerad drift (GWh)",Kraftvärmeprod!$B$1:$AV$1,0),FALSE)),"",VLOOKUP($B311,'Slutlig allokering kvv'!$B$1:$BC$479,MATCH(E$1,'Slutlig allokering kvv'!$B$1:$AU$1,0),FALSE))</f>
        <v/>
      </c>
      <c r="F311" t="str">
        <f>IF(ISERROR(1/VLOOKUP($B311,Kraftvärmeprod!$B$1:$AV$479,MATCH("Producerad elenergi i kraftvärmeverk (GWh)",Kraftvärmeprod!$B$1:$AV$1,0),FALSE)),"",VLOOKUP($B311,Kraftvärmeprod!$B$1:$AV$479,MATCH("Producerad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Torsås fjärrvärmenät AB</v>
      </c>
    </row>
    <row r="312" spans="1:10" x14ac:dyDescent="0.45">
      <c r="A312" s="2" t="s">
        <v>276</v>
      </c>
      <c r="B312" s="2" t="s">
        <v>275</v>
      </c>
      <c r="D312" t="str">
        <f>IF(ISERROR(1/VLOOKUP($B312,Kraftvärmeprod!$B$1:$D$479,MATCH("Total värmeproduktion i kraftvärmeverk i kombinerad drift (GWh)",Kraftvärmeprod!$B$1:$AV$1,0),FALSE)),"Ej kraftvärme","Alternativproduktionsmetoden")</f>
        <v>Alternativproduktionsmetoden</v>
      </c>
      <c r="E312">
        <f>IF(ISERROR(1/VLOOKUP($B312,Kraftvärmeprod!$B$1:$BD$479,MATCH("Total värmeproduktion i kraftvärmeverk i kombinerad drift (GWh)",Kraftvärmeprod!$B$1:$AV$1,0),FALSE)),"",VLOOKUP($B312,'Slutlig allokering kvv'!$B$1:$BC$479,MATCH(E$1,'Slutlig allokering kvv'!$B$1:$AU$1,0),FALSE))</f>
        <v>0.62707715449702295</v>
      </c>
      <c r="F312">
        <f>IF(ISERROR(1/VLOOKUP($B312,Kraftvärmeprod!$B$1:$AV$479,MATCH("Producerad elenergi i kraftvärmeverk (GWh)",Kraftvärmeprod!$B$1:$AV$1,0),FALSE)),"",VLOOKUP($B312,Kraftvärmeprod!$B$1:$AV$479,MATCH("Producerad elenergi i kraftvärmeverk (GWh)",Kraftvärmeprod!$B$1:$AV$1,0),FALSE))</f>
        <v>28</v>
      </c>
      <c r="G312" t="str">
        <f>IF(ISERROR(1/VLOOKUP($B312,Miljö!$B$1:$T$480,MATCH("Såld mängd produktionsspecifik fjärrvärme (GWh)",Miljö!$B$1:$T$1,0),FALSE)),"",VLOOKUP($B312,Miljö!$B$1:$T$480,MATCH("Såld mängd produktionsspecifik fjärrvärme (GWh)",Miljö!$B$1:$T$1,0),FALSE))</f>
        <v/>
      </c>
      <c r="J312" t="str">
        <f t="shared" si="4"/>
        <v>Tranås Energi AB</v>
      </c>
    </row>
    <row r="313" spans="1:10" x14ac:dyDescent="0.45">
      <c r="A313" s="2" t="s">
        <v>273</v>
      </c>
      <c r="B313" s="2" t="s">
        <v>272</v>
      </c>
      <c r="D313" t="str">
        <f>IF(ISERROR(1/VLOOKUP($B313,Kraftvärmeprod!$B$1:$D$479,MATCH("Total värmeproduktion i kraftvärmeverk i kombinerad drift (GWh)",Kraftvärmeprod!$B$1:$AV$1,0),FALSE)),"Ej kraftvärme","Alternativproduktionsmetoden")</f>
        <v>Ej kraftvärme</v>
      </c>
      <c r="E313" t="str">
        <f>IF(ISERROR(1/VLOOKUP($B313,Kraftvärmeprod!$B$1:$BD$479,MATCH("Total värmeproduktion i kraftvärmeverk i kombinerad drift (GWh)",Kraftvärmeprod!$B$1:$AV$1,0),FALSE)),"",VLOOKUP($B313,'Slutlig allokering kvv'!$B$1:$BC$479,MATCH(E$1,'Slutlig allokering kvv'!$B$1:$AU$1,0),FALSE))</f>
        <v/>
      </c>
      <c r="F313" t="str">
        <f>IF(ISERROR(1/VLOOKUP($B313,Kraftvärmeprod!$B$1:$AV$479,MATCH("Producerad elenergi i kraftvärmeverk (GWh)",Kraftvärmeprod!$B$1:$AV$1,0),FALSE)),"",VLOOKUP($B313,Kraftvärmeprod!$B$1:$AV$479,MATCH("Producerad elenergi i kraftvärmeverk (GWh)",Kraftvärmeprod!$B$1:$AV$1,0),FALSE))</f>
        <v/>
      </c>
      <c r="G313" t="str">
        <f>IF(ISERROR(1/VLOOKUP($B313,Miljö!$B$1:$T$480,MATCH("Såld mängd produktionsspecifik fjärrvärme (GWh)",Miljö!$B$1:$T$1,0),FALSE)),"",VLOOKUP($B313,Miljö!$B$1:$T$480,MATCH("Såld mängd produktionsspecifik fjärrvärme (GWh)",Miljö!$B$1:$T$1,0),FALSE))</f>
        <v/>
      </c>
      <c r="J313" t="str">
        <f t="shared" si="4"/>
        <v>Trelleborgs Fjärrvärme AB</v>
      </c>
    </row>
    <row r="314" spans="1:10" x14ac:dyDescent="0.45">
      <c r="A314" s="2" t="s">
        <v>271</v>
      </c>
      <c r="B314" s="2" t="s">
        <v>270</v>
      </c>
      <c r="D314" t="str">
        <f>IF(ISERROR(1/VLOOKUP($B314,Kraftvärmeprod!$B$1:$D$479,MATCH("Total värmeproduktion i kraftvärmeverk i kombinerad drift (GWh)",Kraftvärmeprod!$B$1:$AV$1,0),FALSE)),"Ej kraftvärme","Alternativproduktionsmetoden")</f>
        <v>Alternativproduktionsmetoden</v>
      </c>
      <c r="E314">
        <f>IF(ISERROR(1/VLOOKUP($B314,Kraftvärmeprod!$B$1:$BD$479,MATCH("Total värmeproduktion i kraftvärmeverk i kombinerad drift (GWh)",Kraftvärmeprod!$B$1:$AV$1,0),FALSE)),"",VLOOKUP($B314,'Slutlig allokering kvv'!$B$1:$BC$479,MATCH(E$1,'Slutlig allokering kvv'!$B$1:$AU$1,0),FALSE))</f>
        <v>0.7890350877192982</v>
      </c>
      <c r="F314">
        <f>IF(ISERROR(1/VLOOKUP($B314,Kraftvärmeprod!$B$1:$AV$479,MATCH("Producerad elenergi i kraftvärmeverk (GWh)",Kraftvärmeprod!$B$1:$AV$1,0),FALSE)),"",VLOOKUP($B314,Kraftvärmeprod!$B$1:$AV$479,MATCH("Producerad elenergi i kraftvärmeverk (GWh)",Kraftvärmeprod!$B$1:$AV$1,0),FALSE))</f>
        <v>8.3000000000000007</v>
      </c>
      <c r="G314" t="str">
        <f>IF(ISERROR(1/VLOOKUP($B314,Miljö!$B$1:$T$480,MATCH("Såld mängd produktionsspecifik fjärrvärme (GWh)",Miljö!$B$1:$T$1,0),FALSE)),"",VLOOKUP($B314,Miljö!$B$1:$T$480,MATCH("Såld mängd produktionsspecifik fjärrvärme (GWh)",Miljö!$B$1:$T$1,0),FALSE))</f>
        <v/>
      </c>
      <c r="J314" t="str">
        <f t="shared" si="4"/>
        <v>Trollhättan Energi AB</v>
      </c>
    </row>
    <row r="315" spans="1:10" x14ac:dyDescent="0.45">
      <c r="A315" s="2" t="s">
        <v>267</v>
      </c>
      <c r="B315" s="2" t="s">
        <v>269</v>
      </c>
      <c r="D315" t="str">
        <f>IF(ISERROR(1/VLOOKUP($B315,Kraftvärmeprod!$B$1:$D$479,MATCH("Total värmeproduktion i kraftvärmeverk i kombinerad drift (GWh)",Kraftvärmeprod!$B$1:$AV$1,0),FALSE)),"Ej kraftvärme","Alternativproduktionsmetoden")</f>
        <v>Ej kraftvärme</v>
      </c>
      <c r="E315" t="str">
        <f>IF(ISERROR(1/VLOOKUP($B315,Kraftvärmeprod!$B$1:$BD$479,MATCH("Total värmeproduktion i kraftvärmeverk i kombinerad drift (GWh)",Kraftvärmeprod!$B$1:$AV$1,0),FALSE)),"",VLOOKUP($B315,'Slutlig allokering kvv'!$B$1:$BC$479,MATCH(E$1,'Slutlig allokering kvv'!$B$1:$AU$1,0),FALSE))</f>
        <v/>
      </c>
      <c r="F315" t="str">
        <f>IF(ISERROR(1/VLOOKUP($B315,Kraftvärmeprod!$B$1:$AV$479,MATCH("Producerad elenergi i kraftvärmeverk (GWh)",Kraftvärmeprod!$B$1:$AV$1,0),FALSE)),"",VLOOKUP($B315,Kraftvärmeprod!$B$1:$AV$479,MATCH("Producerad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Uddevalla Energi AB</v>
      </c>
    </row>
    <row r="316" spans="1:10" x14ac:dyDescent="0.45">
      <c r="A316" s="2" t="s">
        <v>267</v>
      </c>
      <c r="B316" s="2" t="s">
        <v>268</v>
      </c>
      <c r="D316" t="str">
        <f>IF(ISERROR(1/VLOOKUP($B316,Kraftvärmeprod!$B$1:$D$479,MATCH("Total värmeproduktion i kraftvärmeverk i kombinerad drift (GWh)",Kraftvärmeprod!$B$1:$AV$1,0),FALSE)),"Ej kraftvärme","Alternativproduktionsmetoden")</f>
        <v>Ej kraftvärme</v>
      </c>
      <c r="E316" t="str">
        <f>IF(ISERROR(1/VLOOKUP($B316,Kraftvärmeprod!$B$1:$BD$479,MATCH("Total värmeproduktion i kraftvärmeverk i kombinerad drift (GWh)",Kraftvärmeprod!$B$1:$AV$1,0),FALSE)),"",VLOOKUP($B316,'Slutlig allokering kvv'!$B$1:$BC$479,MATCH(E$1,'Slutlig allokering kvv'!$B$1:$AU$1,0),FALSE))</f>
        <v/>
      </c>
      <c r="F316" t="str">
        <f>IF(ISERROR(1/VLOOKUP($B316,Kraftvärmeprod!$B$1:$AV$479,MATCH("Producerad elenergi i kraftvärmeverk (GWh)",Kraftvärmeprod!$B$1:$AV$1,0),FALSE)),"",VLOOKUP($B316,Kraftvärmeprod!$B$1:$AV$479,MATCH("Producerad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Uddevalla Energi AB</v>
      </c>
    </row>
    <row r="317" spans="1:10" x14ac:dyDescent="0.45">
      <c r="A317" s="2" t="s">
        <v>267</v>
      </c>
      <c r="B317" s="2" t="s">
        <v>266</v>
      </c>
      <c r="D317" t="str">
        <f>IF(ISERROR(1/VLOOKUP($B317,Kraftvärmeprod!$B$1:$D$479,MATCH("Total värmeproduktion i kraftvärmeverk i kombinerad drift (GWh)",Kraftvärmeprod!$B$1:$AV$1,0),FALSE)),"Ej kraftvärme","Alternativproduktionsmetoden")</f>
        <v>Alternativproduktionsmetoden</v>
      </c>
      <c r="E317">
        <f>IF(ISERROR(1/VLOOKUP($B317,Kraftvärmeprod!$B$1:$BD$479,MATCH("Total värmeproduktion i kraftvärmeverk i kombinerad drift (GWh)",Kraftvärmeprod!$B$1:$AV$1,0),FALSE)),"",VLOOKUP($B317,'Slutlig allokering kvv'!$B$1:$BC$479,MATCH(E$1,'Slutlig allokering kvv'!$B$1:$AU$1,0),FALSE))</f>
        <v>0.50215351332392266</v>
      </c>
      <c r="F317">
        <f>IF(ISERROR(1/VLOOKUP($B317,Kraftvärmeprod!$B$1:$AV$479,MATCH("Producerad elenergi i kraftvärmeverk (GWh)",Kraftvärmeprod!$B$1:$AV$1,0),FALSE)),"",VLOOKUP($B317,Kraftvärmeprod!$B$1:$AV$479,MATCH("Producerad elenergi i kraftvärmeverk (GWh)",Kraftvärmeprod!$B$1:$AV$1,0),FALSE))</f>
        <v>71.040999999999997</v>
      </c>
      <c r="G317" t="str">
        <f>IF(ISERROR(1/VLOOKUP($B317,Miljö!$B$1:$T$480,MATCH("Såld mängd produktionsspecifik fjärrvärme (GWh)",Miljö!$B$1:$T$1,0),FALSE)),"",VLOOKUP($B317,Miljö!$B$1:$T$480,MATCH("Såld mängd produktionsspecifik fjärrvärme (GWh)",Miljö!$B$1:$T$1,0),FALSE))</f>
        <v/>
      </c>
      <c r="J317" t="str">
        <f t="shared" si="4"/>
        <v>Uddevalla Energi AB</v>
      </c>
    </row>
    <row r="318" spans="1:10" x14ac:dyDescent="0.45">
      <c r="A318" s="2" t="s">
        <v>263</v>
      </c>
      <c r="B318" s="2" t="s">
        <v>265</v>
      </c>
      <c r="D318" t="str">
        <f>IF(ISERROR(1/VLOOKUP($B318,Kraftvärmeprod!$B$1:$D$479,MATCH("Total värmeproduktion i kraftvärmeverk i kombinerad drift (GWh)",Kraftvärmeprod!$B$1:$AV$1,0),FALSE)),"Ej kraftvärme","Alternativproduktionsmetoden")</f>
        <v>Ej kraftvärme</v>
      </c>
      <c r="E318" t="str">
        <f>IF(ISERROR(1/VLOOKUP($B318,Kraftvärmeprod!$B$1:$BD$479,MATCH("Total värmeproduktion i kraftvärmeverk i kombinerad drift (GWh)",Kraftvärmeprod!$B$1:$AV$1,0),FALSE)),"",VLOOKUP($B318,'Slutlig allokering kvv'!$B$1:$BC$479,MATCH(E$1,'Slutlig allokering kvv'!$B$1:$AU$1,0),FALSE))</f>
        <v/>
      </c>
      <c r="F318" t="str">
        <f>IF(ISERROR(1/VLOOKUP($B318,Kraftvärmeprod!$B$1:$AV$479,MATCH("Producerad elenergi i kraftvärmeverk (GWh)",Kraftvärmeprod!$B$1:$AV$1,0),FALSE)),"",VLOOKUP($B318,Kraftvärmeprod!$B$1:$AV$479,MATCH("Producerad elenergi i kraftvärmeverk (GWh)",Kraftvärmeprod!$B$1:$AV$1,0),FALSE))</f>
        <v/>
      </c>
      <c r="G318" t="str">
        <f>IF(ISERROR(1/VLOOKUP($B318,Miljö!$B$1:$T$480,MATCH("Såld mängd produktionsspecifik fjärrvärme (GWh)",Miljö!$B$1:$T$1,0),FALSE)),"",VLOOKUP($B318,Miljö!$B$1:$T$480,MATCH("Såld mängd produktionsspecifik fjärrvärme (GWh)",Miljö!$B$1:$T$1,0),FALSE))</f>
        <v/>
      </c>
      <c r="J318" t="str">
        <f t="shared" si="4"/>
        <v>Ulricehamns Energi AB</v>
      </c>
    </row>
    <row r="319" spans="1:10" x14ac:dyDescent="0.45">
      <c r="A319" s="2" t="s">
        <v>263</v>
      </c>
      <c r="B319" s="2" t="s">
        <v>264</v>
      </c>
      <c r="D319" t="str">
        <f>IF(ISERROR(1/VLOOKUP($B319,Kraftvärmeprod!$B$1:$D$479,MATCH("Total värmeproduktion i kraftvärmeverk i kombinerad drift (GWh)",Kraftvärmeprod!$B$1:$AV$1,0),FALSE)),"Ej kraftvärme","Alternativproduktionsmetoden")</f>
        <v>Ej kraftvärme</v>
      </c>
      <c r="E319" t="str">
        <f>IF(ISERROR(1/VLOOKUP($B319,Kraftvärmeprod!$B$1:$BD$479,MATCH("Total värmeproduktion i kraftvärmeverk i kombinerad drift (GWh)",Kraftvärmeprod!$B$1:$AV$1,0),FALSE)),"",VLOOKUP($B319,'Slutlig allokering kvv'!$B$1:$BC$479,MATCH(E$1,'Slutlig allokering kvv'!$B$1:$AU$1,0),FALSE))</f>
        <v/>
      </c>
      <c r="F319" t="str">
        <f>IF(ISERROR(1/VLOOKUP($B319,Kraftvärmeprod!$B$1:$AV$479,MATCH("Producerad elenergi i kraftvärmeverk (GWh)",Kraftvärmeprod!$B$1:$AV$1,0),FALSE)),"",VLOOKUP($B319,Kraftvärmeprod!$B$1:$AV$479,MATCH("Producerad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Ulricehamns Energi AB</v>
      </c>
    </row>
    <row r="320" spans="1:10" x14ac:dyDescent="0.45">
      <c r="A320" s="2" t="s">
        <v>263</v>
      </c>
      <c r="B320" s="2" t="s">
        <v>262</v>
      </c>
      <c r="D320" t="str">
        <f>IF(ISERROR(1/VLOOKUP($B320,Kraftvärmeprod!$B$1:$D$479,MATCH("Total värmeproduktion i kraftvärmeverk i kombinerad drift (GWh)",Kraftvärmeprod!$B$1:$AV$1,0),FALSE)),"Ej kraftvärme","Alternativproduktionsmetoden")</f>
        <v>Ej kraftvärme</v>
      </c>
      <c r="E320" t="str">
        <f>IF(ISERROR(1/VLOOKUP($B320,Kraftvärmeprod!$B$1:$BD$479,MATCH("Total värmeproduktion i kraftvärmeverk i kombinerad drift (GWh)",Kraftvärmeprod!$B$1:$AV$1,0),FALSE)),"",VLOOKUP($B320,'Slutlig allokering kvv'!$B$1:$BC$479,MATCH(E$1,'Slutlig allokering kvv'!$B$1:$AU$1,0),FALSE))</f>
        <v/>
      </c>
      <c r="F320" t="str">
        <f>IF(ISERROR(1/VLOOKUP($B320,Kraftvärmeprod!$B$1:$AV$479,MATCH("Producerad elenergi i kraftvärmeverk (GWh)",Kraftvärmeprod!$B$1:$AV$1,0),FALSE)),"",VLOOKUP($B320,Kraftvärmeprod!$B$1:$AV$479,MATCH("Producerad elenergi i kraftvärmeverk (GWh)",Kraftvärmeprod!$B$1:$AV$1,0),FALSE))</f>
        <v/>
      </c>
      <c r="G320" t="str">
        <f>IF(ISERROR(1/VLOOKUP($B320,Miljö!$B$1:$T$480,MATCH("Såld mängd produktionsspecifik fjärrvärme (GWh)",Miljö!$B$1:$T$1,0),FALSE)),"",VLOOKUP($B320,Miljö!$B$1:$T$480,MATCH("Såld mängd produktionsspecifik fjärrvärme (GWh)",Miljö!$B$1:$T$1,0),FALSE))</f>
        <v/>
      </c>
      <c r="J320" t="str">
        <f t="shared" si="4"/>
        <v>Ulricehamns Energi AB</v>
      </c>
    </row>
    <row r="321" spans="1:10" x14ac:dyDescent="0.45">
      <c r="A321" s="2" t="s">
        <v>258</v>
      </c>
      <c r="B321" s="2" t="s">
        <v>261</v>
      </c>
      <c r="D321" t="str">
        <f>IF(ISERROR(1/VLOOKUP($B321,Kraftvärmeprod!$B$1:$D$479,MATCH("Total värmeproduktion i kraftvärmeverk i kombinerad drift (GWh)",Kraftvärmeprod!$B$1:$AV$1,0),FALSE)),"Ej kraftvärme","Alternativproduktionsmetoden")</f>
        <v>Ej kraftvärme</v>
      </c>
      <c r="E321" t="str">
        <f>IF(ISERROR(1/VLOOKUP($B321,Kraftvärmeprod!$B$1:$BD$479,MATCH("Total värmeproduktion i kraftvärmeverk i kombinerad drift (GWh)",Kraftvärmeprod!$B$1:$AV$1,0),FALSE)),"",VLOOKUP($B321,'Slutlig allokering kvv'!$B$1:$BC$479,MATCH(E$1,'Slutlig allokering kvv'!$B$1:$AU$1,0),FALSE))</f>
        <v/>
      </c>
      <c r="F321" t="str">
        <f>IF(ISERROR(1/VLOOKUP($B321,Kraftvärmeprod!$B$1:$AV$479,MATCH("Producerad elenergi i kraftvärmeverk (GWh)",Kraftvärmeprod!$B$1:$AV$1,0),FALSE)),"",VLOOKUP($B321,Kraftvärmeprod!$B$1:$AV$479,MATCH("Producerad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Umeå Energi AB</v>
      </c>
    </row>
    <row r="322" spans="1:10" x14ac:dyDescent="0.45">
      <c r="A322" s="2" t="s">
        <v>258</v>
      </c>
      <c r="B322" s="2" t="s">
        <v>260</v>
      </c>
      <c r="D322" t="str">
        <f>IF(ISERROR(1/VLOOKUP($B322,Kraftvärmeprod!$B$1:$D$479,MATCH("Total värmeproduktion i kraftvärmeverk i kombinerad drift (GWh)",Kraftvärmeprod!$B$1:$AV$1,0),FALSE)),"Ej kraftvärme","Alternativproduktionsmetoden")</f>
        <v>Ej kraftvärme</v>
      </c>
      <c r="E322" t="str">
        <f>IF(ISERROR(1/VLOOKUP($B322,Kraftvärmeprod!$B$1:$BD$479,MATCH("Total värmeproduktion i kraftvärmeverk i kombinerad drift (GWh)",Kraftvärmeprod!$B$1:$AV$1,0),FALSE)),"",VLOOKUP($B322,'Slutlig allokering kvv'!$B$1:$BC$479,MATCH(E$1,'Slutlig allokering kvv'!$B$1:$AU$1,0),FALSE))</f>
        <v/>
      </c>
      <c r="F322" t="str">
        <f>IF(ISERROR(1/VLOOKUP($B322,Kraftvärmeprod!$B$1:$AV$479,MATCH("Producerad elenergi i kraftvärmeverk (GWh)",Kraftvärmeprod!$B$1:$AV$1,0),FALSE)),"",VLOOKUP($B322,Kraftvärmeprod!$B$1:$AV$479,MATCH("Producerad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Umeå Energi AB</v>
      </c>
    </row>
    <row r="323" spans="1:10" x14ac:dyDescent="0.45">
      <c r="A323" s="2" t="s">
        <v>258</v>
      </c>
      <c r="B323" s="2" t="s">
        <v>259</v>
      </c>
      <c r="D323" t="str">
        <f>IF(ISERROR(1/VLOOKUP($B323,Kraftvärmeprod!$B$1:$D$479,MATCH("Total värmeproduktion i kraftvärmeverk i kombinerad drift (GWh)",Kraftvärmeprod!$B$1:$AV$1,0),FALSE)),"Ej kraftvärme","Alternativproduktionsmetoden")</f>
        <v>Ej kraftvärme</v>
      </c>
      <c r="E323" t="str">
        <f>IF(ISERROR(1/VLOOKUP($B323,Kraftvärmeprod!$B$1:$BD$479,MATCH("Total värmeproduktion i kraftvärmeverk i kombinerad drift (GWh)",Kraftvärmeprod!$B$1:$AV$1,0),FALSE)),"",VLOOKUP($B323,'Slutlig allokering kvv'!$B$1:$BC$479,MATCH(E$1,'Slutlig allokering kvv'!$B$1:$AU$1,0),FALSE))</f>
        <v/>
      </c>
      <c r="F323" t="str">
        <f>IF(ISERROR(1/VLOOKUP($B323,Kraftvärmeprod!$B$1:$AV$479,MATCH("Producerad elenergi i kraftvärmeverk (GWh)",Kraftvärmeprod!$B$1:$AV$1,0),FALSE)),"",VLOOKUP($B323,Kraftvärmeprod!$B$1:$AV$479,MATCH("Producerad elenergi i kraftvärmeverk (GWh)",Kraftvärmeprod!$B$1:$AV$1,0),FALSE))</f>
        <v/>
      </c>
      <c r="G323" t="str">
        <f>IF(ISERROR(1/VLOOKUP($B323,Miljö!$B$1:$T$480,MATCH("Såld mängd produktionsspecifik fjärrvärme (GWh)",Miljö!$B$1:$T$1,0),FALSE)),"",VLOOKUP($B323,Miljö!$B$1:$T$480,MATCH("Såld mängd produktionsspecifik fjärrvärme (GWh)",Miljö!$B$1:$T$1,0),FALSE))</f>
        <v/>
      </c>
      <c r="J323" t="str">
        <f t="shared" si="4"/>
        <v>Umeå Energi AB</v>
      </c>
    </row>
    <row r="324" spans="1:10" x14ac:dyDescent="0.45">
      <c r="A324" s="2" t="s">
        <v>258</v>
      </c>
      <c r="B324" s="2" t="s">
        <v>257</v>
      </c>
      <c r="D324" t="str">
        <f>IF(ISERROR(1/VLOOKUP($B324,Kraftvärmeprod!$B$1:$D$479,MATCH("Total värmeproduktion i kraftvärmeverk i kombinerad drift (GWh)",Kraftvärmeprod!$B$1:$AV$1,0),FALSE)),"Ej kraftvärme","Alternativproduktionsmetoden")</f>
        <v>Alternativproduktionsmetoden</v>
      </c>
      <c r="E324">
        <f>IF(ISERROR(1/VLOOKUP($B324,Kraftvärmeprod!$B$1:$BD$479,MATCH("Total värmeproduktion i kraftvärmeverk i kombinerad drift (GWh)",Kraftvärmeprod!$B$1:$AV$1,0),FALSE)),"",VLOOKUP($B324,'Slutlig allokering kvv'!$B$1:$BC$479,MATCH(E$1,'Slutlig allokering kvv'!$B$1:$AU$1,0),FALSE))</f>
        <v>0.50310910118711127</v>
      </c>
      <c r="F324">
        <f>IF(ISERROR(1/VLOOKUP($B324,Kraftvärmeprod!$B$1:$AV$479,MATCH("Producerad elenergi i kraftvärmeverk (GWh)",Kraftvärmeprod!$B$1:$AV$1,0),FALSE)),"",VLOOKUP($B324,Kraftvärmeprod!$B$1:$AV$479,MATCH("Producerad elenergi i kraftvärmeverk (GWh)",Kraftvärmeprod!$B$1:$AV$1,0),FALSE))</f>
        <v>232.8</v>
      </c>
      <c r="G324" t="str">
        <f>IF(ISERROR(1/VLOOKUP($B324,Miljö!$B$1:$T$480,MATCH("Såld mängd produktionsspecifik fjärrvärme (GWh)",Miljö!$B$1:$T$1,0),FALSE)),"",VLOOKUP($B324,Miljö!$B$1:$T$480,MATCH("Såld mängd produktionsspecifik fjärrvärme (GWh)",Miljö!$B$1:$T$1,0),FALSE))</f>
        <v/>
      </c>
      <c r="J324" t="str">
        <f t="shared" ref="J324:J387" si="5">A324</f>
        <v>Umeå Energi AB</v>
      </c>
    </row>
    <row r="325" spans="1:10" x14ac:dyDescent="0.45">
      <c r="A325" s="2" t="s">
        <v>255</v>
      </c>
      <c r="B325" s="2" t="s">
        <v>256</v>
      </c>
      <c r="D325" t="str">
        <f>IF(ISERROR(1/VLOOKUP($B325,Kraftvärmeprod!$B$1:$D$479,MATCH("Total värmeproduktion i kraftvärmeverk i kombinerad drift (GWh)",Kraftvärmeprod!$B$1:$AV$1,0),FALSE)),"Ej kraftvärme","Alternativproduktionsmetoden")</f>
        <v>Ej kraftvärme</v>
      </c>
      <c r="E325" t="str">
        <f>IF(ISERROR(1/VLOOKUP($B325,Kraftvärmeprod!$B$1:$BD$479,MATCH("Total värmeproduktion i kraftvärmeverk i kombinerad drift (GWh)",Kraftvärmeprod!$B$1:$AV$1,0),FALSE)),"",VLOOKUP($B325,'Slutlig allokering kvv'!$B$1:$BC$479,MATCH(E$1,'Slutlig allokering kvv'!$B$1:$AU$1,0),FALSE))</f>
        <v/>
      </c>
      <c r="F325" t="str">
        <f>IF(ISERROR(1/VLOOKUP($B325,Kraftvärmeprod!$B$1:$AV$479,MATCH("Producerad elenergi i kraftvärmeverk (GWh)",Kraftvärmeprod!$B$1:$AV$1,0),FALSE)),"",VLOOKUP($B325,Kraftvärmeprod!$B$1:$AV$479,MATCH("Producerad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Vaggeryds Energi AB</v>
      </c>
    </row>
    <row r="326" spans="1:10" x14ac:dyDescent="0.45">
      <c r="A326" s="2" t="s">
        <v>255</v>
      </c>
      <c r="B326" s="2" t="s">
        <v>254</v>
      </c>
      <c r="D326" t="str">
        <f>IF(ISERROR(1/VLOOKUP($B326,Kraftvärmeprod!$B$1:$D$479,MATCH("Total värmeproduktion i kraftvärmeverk i kombinerad drift (GWh)",Kraftvärmeprod!$B$1:$AV$1,0),FALSE)),"Ej kraftvärme","Alternativproduktionsmetoden")</f>
        <v>Ej kraftvärme</v>
      </c>
      <c r="E326" t="str">
        <f>IF(ISERROR(1/VLOOKUP($B326,Kraftvärmeprod!$B$1:$BD$479,MATCH("Total värmeproduktion i kraftvärmeverk i kombinerad drift (GWh)",Kraftvärmeprod!$B$1:$AV$1,0),FALSE)),"",VLOOKUP($B326,'Slutlig allokering kvv'!$B$1:$BC$479,MATCH(E$1,'Slutlig allokering kvv'!$B$1:$AU$1,0),FALSE))</f>
        <v/>
      </c>
      <c r="F326" t="str">
        <f>IF(ISERROR(1/VLOOKUP($B326,Kraftvärmeprod!$B$1:$AV$479,MATCH("Producerad elenergi i kraftvärmeverk (GWh)",Kraftvärmeprod!$B$1:$AV$1,0),FALSE)),"",VLOOKUP($B326,Kraftvärmeprod!$B$1:$AV$479,MATCH("Producerad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Vaggeryds Energi AB</v>
      </c>
    </row>
    <row r="327" spans="1:10" x14ac:dyDescent="0.45">
      <c r="A327" s="2" t="s">
        <v>253</v>
      </c>
      <c r="B327" s="2" t="s">
        <v>252</v>
      </c>
      <c r="D327" t="str">
        <f>IF(ISERROR(1/VLOOKUP($B327,Kraftvärmeprod!$B$1:$D$479,MATCH("Total värmeproduktion i kraftvärmeverk i kombinerad drift (GWh)",Kraftvärmeprod!$B$1:$AV$1,0),FALSE)),"Ej kraftvärme","Alternativproduktionsmetoden")</f>
        <v>Ej kraftvärme</v>
      </c>
      <c r="E327" t="str">
        <f>IF(ISERROR(1/VLOOKUP($B327,Kraftvärmeprod!$B$1:$BD$479,MATCH("Total värmeproduktion i kraftvärmeverk i kombinerad drift (GWh)",Kraftvärmeprod!$B$1:$AV$1,0),FALSE)),"",VLOOKUP($B327,'Slutlig allokering kvv'!$B$1:$BC$479,MATCH(E$1,'Slutlig allokering kvv'!$B$1:$AU$1,0),FALSE))</f>
        <v/>
      </c>
      <c r="F327" t="str">
        <f>IF(ISERROR(1/VLOOKUP($B327,Kraftvärmeprod!$B$1:$AV$479,MATCH("Producerad elenergi i kraftvärmeverk (GWh)",Kraftvärmeprod!$B$1:$AV$1,0),FALSE)),"",VLOOKUP($B327,Kraftvärmeprod!$B$1:$AV$479,MATCH("Producerad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Vara Energi Värme AB</v>
      </c>
    </row>
    <row r="328" spans="1:10" x14ac:dyDescent="0.45">
      <c r="A328" s="2" t="s">
        <v>249</v>
      </c>
      <c r="B328" s="2" t="s">
        <v>251</v>
      </c>
      <c r="D328" t="str">
        <f>IF(ISERROR(1/VLOOKUP($B328,Kraftvärmeprod!$B$1:$D$479,MATCH("Total värmeproduktion i kraftvärmeverk i kombinerad drift (GWh)",Kraftvärmeprod!$B$1:$AV$1,0),FALSE)),"Ej kraftvärme","Alternativproduktionsmetoden")</f>
        <v>Ej kraftvärme</v>
      </c>
      <c r="E328" t="str">
        <f>IF(ISERROR(1/VLOOKUP($B328,Kraftvärmeprod!$B$1:$BD$479,MATCH("Total värmeproduktion i kraftvärmeverk i kombinerad drift (GWh)",Kraftvärmeprod!$B$1:$AV$1,0),FALSE)),"",VLOOKUP($B328,'Slutlig allokering kvv'!$B$1:$BC$479,MATCH(E$1,'Slutlig allokering kvv'!$B$1:$AU$1,0),FALSE))</f>
        <v/>
      </c>
      <c r="F328" t="str">
        <f>IF(ISERROR(1/VLOOKUP($B328,Kraftvärmeprod!$B$1:$AV$479,MATCH("Producerad elenergi i kraftvärmeverk (GWh)",Kraftvärmeprod!$B$1:$AV$1,0),FALSE)),"",VLOOKUP($B328,Kraftvärmeprod!$B$1:$AV$479,MATCH("Producerad elenergi i kraftvärmeverk (GWh)",Kraftvärmeprod!$B$1:$AV$1,0),FALSE))</f>
        <v/>
      </c>
      <c r="G328" t="str">
        <f>IF(ISERROR(1/VLOOKUP($B328,Miljö!$B$1:$T$480,MATCH("Såld mängd produktionsspecifik fjärrvärme (GWh)",Miljö!$B$1:$T$1,0),FALSE)),"",VLOOKUP($B328,Miljö!$B$1:$T$480,MATCH("Såld mängd produktionsspecifik fjärrvärme (GWh)",Miljö!$B$1:$T$1,0),FALSE))</f>
        <v/>
      </c>
      <c r="J328" t="str">
        <f t="shared" si="5"/>
        <v>Varberg Energi AB</v>
      </c>
    </row>
    <row r="329" spans="1:10" x14ac:dyDescent="0.45">
      <c r="A329" s="2" t="s">
        <v>249</v>
      </c>
      <c r="B329" s="2" t="s">
        <v>250</v>
      </c>
      <c r="D329" t="str">
        <f>IF(ISERROR(1/VLOOKUP($B329,Kraftvärmeprod!$B$1:$D$479,MATCH("Total värmeproduktion i kraftvärmeverk i kombinerad drift (GWh)",Kraftvärmeprod!$B$1:$AV$1,0),FALSE)),"Ej kraftvärme","Alternativproduktionsmetoden")</f>
        <v>Ej kraftvärme</v>
      </c>
      <c r="E329" t="str">
        <f>IF(ISERROR(1/VLOOKUP($B329,Kraftvärmeprod!$B$1:$BD$479,MATCH("Total värmeproduktion i kraftvärmeverk i kombinerad drift (GWh)",Kraftvärmeprod!$B$1:$AV$1,0),FALSE)),"",VLOOKUP($B329,'Slutlig allokering kvv'!$B$1:$BC$479,MATCH(E$1,'Slutlig allokering kvv'!$B$1:$AU$1,0),FALSE))</f>
        <v/>
      </c>
      <c r="F329" t="str">
        <f>IF(ISERROR(1/VLOOKUP($B329,Kraftvärmeprod!$B$1:$AV$479,MATCH("Producerad elenergi i kraftvärmeverk (GWh)",Kraftvärmeprod!$B$1:$AV$1,0),FALSE)),"",VLOOKUP($B329,Kraftvärmeprod!$B$1:$AV$479,MATCH("Producerad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Varberg Energi AB</v>
      </c>
    </row>
    <row r="330" spans="1:10" x14ac:dyDescent="0.45">
      <c r="A330" s="2" t="s">
        <v>249</v>
      </c>
      <c r="B330" s="2" t="s">
        <v>248</v>
      </c>
      <c r="D330" t="str">
        <f>IF(ISERROR(1/VLOOKUP($B330,Kraftvärmeprod!$B$1:$D$479,MATCH("Total värmeproduktion i kraftvärmeverk i kombinerad drift (GWh)",Kraftvärmeprod!$B$1:$AV$1,0),FALSE)),"Ej kraftvärme","Alternativproduktionsmetoden")</f>
        <v>Ej kraftvärme</v>
      </c>
      <c r="E330" t="str">
        <f>IF(ISERROR(1/VLOOKUP($B330,Kraftvärmeprod!$B$1:$BD$479,MATCH("Total värmeproduktion i kraftvärmeverk i kombinerad drift (GWh)",Kraftvärmeprod!$B$1:$AV$1,0),FALSE)),"",VLOOKUP($B330,'Slutlig allokering kvv'!$B$1:$BC$479,MATCH(E$1,'Slutlig allokering kvv'!$B$1:$AU$1,0),FALSE))</f>
        <v/>
      </c>
      <c r="F330" t="str">
        <f>IF(ISERROR(1/VLOOKUP($B330,Kraftvärmeprod!$B$1:$AV$479,MATCH("Producerad elenergi i kraftvärmeverk (GWh)",Kraftvärmeprod!$B$1:$AV$1,0),FALSE)),"",VLOOKUP($B330,Kraftvärmeprod!$B$1:$AV$479,MATCH("Producerad elenergi i kraftvärmeverk (GWh)",Kraftvärmeprod!$B$1:$AV$1,0),FALSE))</f>
        <v/>
      </c>
      <c r="G330" t="str">
        <f>IF(ISERROR(1/VLOOKUP($B330,Miljö!$B$1:$T$480,MATCH("Såld mängd produktionsspecifik fjärrvärme (GWh)",Miljö!$B$1:$T$1,0),FALSE)),"",VLOOKUP($B330,Miljö!$B$1:$T$480,MATCH("Såld mängd produktionsspecifik fjärrvärme (GWh)",Miljö!$B$1:$T$1,0),FALSE))</f>
        <v/>
      </c>
      <c r="J330" t="str">
        <f t="shared" si="5"/>
        <v>Varberg Energi AB</v>
      </c>
    </row>
    <row r="331" spans="1:10" x14ac:dyDescent="0.45">
      <c r="A331" s="2" t="s">
        <v>243</v>
      </c>
      <c r="B331" s="2" t="s">
        <v>247</v>
      </c>
      <c r="D331" t="str">
        <f>IF(ISERROR(1/VLOOKUP($B331,Kraftvärmeprod!$B$1:$D$479,MATCH("Total värmeproduktion i kraftvärmeverk i kombinerad drift (GWh)",Kraftvärmeprod!$B$1:$AV$1,0),FALSE)),"Ej kraftvärme","Alternativproduktionsmetoden")</f>
        <v>Ej kraftvärme</v>
      </c>
      <c r="E331" t="str">
        <f>IF(ISERROR(1/VLOOKUP($B331,Kraftvärmeprod!$B$1:$BD$479,MATCH("Total värmeproduktion i kraftvärmeverk i kombinerad drift (GWh)",Kraftvärmeprod!$B$1:$AV$1,0),FALSE)),"",VLOOKUP($B331,'Slutlig allokering kvv'!$B$1:$BC$479,MATCH(E$1,'Slutlig allokering kvv'!$B$1:$AU$1,0),FALSE))</f>
        <v/>
      </c>
      <c r="F331" t="str">
        <f>IF(ISERROR(1/VLOOKUP($B331,Kraftvärmeprod!$B$1:$AV$479,MATCH("Producerad elenergi i kraftvärmeverk (GWh)",Kraftvärmeprod!$B$1:$AV$1,0),FALSE)),"",VLOOKUP($B331,Kraftvärmeprod!$B$1:$AV$479,MATCH("Producerad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Vasa Värme Holding AB</v>
      </c>
    </row>
    <row r="332" spans="1:10" x14ac:dyDescent="0.45">
      <c r="A332" s="2" t="s">
        <v>243</v>
      </c>
      <c r="B332" s="2" t="s">
        <v>246</v>
      </c>
      <c r="D332" t="str">
        <f>IF(ISERROR(1/VLOOKUP($B332,Kraftvärmeprod!$B$1:$D$479,MATCH("Total värmeproduktion i kraftvärmeverk i kombinerad drift (GWh)",Kraftvärmeprod!$B$1:$AV$1,0),FALSE)),"Ej kraftvärme","Alternativproduktionsmetoden")</f>
        <v>Ej kraftvärme</v>
      </c>
      <c r="E332" t="str">
        <f>IF(ISERROR(1/VLOOKUP($B332,Kraftvärmeprod!$B$1:$BD$479,MATCH("Total värmeproduktion i kraftvärmeverk i kombinerad drift (GWh)",Kraftvärmeprod!$B$1:$AV$1,0),FALSE)),"",VLOOKUP($B332,'Slutlig allokering kvv'!$B$1:$BC$479,MATCH(E$1,'Slutlig allokering kvv'!$B$1:$AU$1,0),FALSE))</f>
        <v/>
      </c>
      <c r="F332" t="str">
        <f>IF(ISERROR(1/VLOOKUP($B332,Kraftvärmeprod!$B$1:$AV$479,MATCH("Producerad elenergi i kraftvärmeverk (GWh)",Kraftvärmeprod!$B$1:$AV$1,0),FALSE)),"",VLOOKUP($B332,Kraftvärmeprod!$B$1:$AV$479,MATCH("Producerad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Vasa Värme Holding AB</v>
      </c>
    </row>
    <row r="333" spans="1:10" x14ac:dyDescent="0.45">
      <c r="A333" s="2" t="s">
        <v>243</v>
      </c>
      <c r="B333" s="2" t="s">
        <v>245</v>
      </c>
      <c r="D333" t="str">
        <f>IF(ISERROR(1/VLOOKUP($B333,Kraftvärmeprod!$B$1:$D$479,MATCH("Total värmeproduktion i kraftvärmeverk i kombinerad drift (GWh)",Kraftvärmeprod!$B$1:$AV$1,0),FALSE)),"Ej kraftvärme","Alternativproduktionsmetoden")</f>
        <v>Ej kraftvärme</v>
      </c>
      <c r="E333" t="str">
        <f>IF(ISERROR(1/VLOOKUP($B333,Kraftvärmeprod!$B$1:$BD$479,MATCH("Total värmeproduktion i kraftvärmeverk i kombinerad drift (GWh)",Kraftvärmeprod!$B$1:$AV$1,0),FALSE)),"",VLOOKUP($B333,'Slutlig allokering kvv'!$B$1:$BC$479,MATCH(E$1,'Slutlig allokering kvv'!$B$1:$AU$1,0),FALSE))</f>
        <v/>
      </c>
      <c r="F333" t="str">
        <f>IF(ISERROR(1/VLOOKUP($B333,Kraftvärmeprod!$B$1:$AV$479,MATCH("Producerad elenergi i kraftvärmeverk (GWh)",Kraftvärmeprod!$B$1:$AV$1,0),FALSE)),"",VLOOKUP($B333,Kraftvärmeprod!$B$1:$AV$479,MATCH("Producerad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Vasa Värme Holding AB</v>
      </c>
    </row>
    <row r="334" spans="1:10" x14ac:dyDescent="0.45">
      <c r="A334" s="2" t="s">
        <v>243</v>
      </c>
      <c r="B334" s="2" t="s">
        <v>244</v>
      </c>
      <c r="D334" t="str">
        <f>IF(ISERROR(1/VLOOKUP($B334,Kraftvärmeprod!$B$1:$D$479,MATCH("Total värmeproduktion i kraftvärmeverk i kombinerad drift (GWh)",Kraftvärmeprod!$B$1:$AV$1,0),FALSE)),"Ej kraftvärme","Alternativproduktionsmetoden")</f>
        <v>Ej kraftvärme</v>
      </c>
      <c r="E334" t="str">
        <f>IF(ISERROR(1/VLOOKUP($B334,Kraftvärmeprod!$B$1:$BD$479,MATCH("Total värmeproduktion i kraftvärmeverk i kombinerad drift (GWh)",Kraftvärmeprod!$B$1:$AV$1,0),FALSE)),"",VLOOKUP($B334,'Slutlig allokering kvv'!$B$1:$BC$479,MATCH(E$1,'Slutlig allokering kvv'!$B$1:$AU$1,0),FALSE))</f>
        <v/>
      </c>
      <c r="F334" t="str">
        <f>IF(ISERROR(1/VLOOKUP($B334,Kraftvärmeprod!$B$1:$AV$479,MATCH("Producerad elenergi i kraftvärmeverk (GWh)",Kraftvärmeprod!$B$1:$AV$1,0),FALSE)),"",VLOOKUP($B334,Kraftvärmeprod!$B$1:$AV$479,MATCH("Producerad elenergi i kraftvärmeverk (GWh)",Kraftvärmeprod!$B$1:$AV$1,0),FALSE))</f>
        <v/>
      </c>
      <c r="G334" t="str">
        <f>IF(ISERROR(1/VLOOKUP($B334,Miljö!$B$1:$T$480,MATCH("Såld mängd produktionsspecifik fjärrvärme (GWh)",Miljö!$B$1:$T$1,0),FALSE)),"",VLOOKUP($B334,Miljö!$B$1:$T$480,MATCH("Såld mängd produktionsspecifik fjärrvärme (GWh)",Miljö!$B$1:$T$1,0),FALSE))</f>
        <v/>
      </c>
      <c r="J334" t="str">
        <f t="shared" si="5"/>
        <v>Vasa Värme Holding AB</v>
      </c>
    </row>
    <row r="335" spans="1:10" x14ac:dyDescent="0.45">
      <c r="A335" s="2" t="s">
        <v>243</v>
      </c>
      <c r="B335" s="2" t="s">
        <v>133</v>
      </c>
      <c r="D335" t="str">
        <f>IF(ISERROR(1/VLOOKUP($B335,Kraftvärmeprod!$B$1:$D$479,MATCH("Total värmeproduktion i kraftvärmeverk i kombinerad drift (GWh)",Kraftvärmeprod!$B$1:$AV$1,0),FALSE)),"Ej kraftvärme","Alternativproduktionsmetoden")</f>
        <v>Ej kraftvärme</v>
      </c>
      <c r="E335" t="str">
        <f>IF(ISERROR(1/VLOOKUP($B335,Kraftvärmeprod!$B$1:$BD$479,MATCH("Total värmeproduktion i kraftvärmeverk i kombinerad drift (GWh)",Kraftvärmeprod!$B$1:$AV$1,0),FALSE)),"",VLOOKUP($B335,'Slutlig allokering kvv'!$B$1:$BC$479,MATCH(E$1,'Slutlig allokering kvv'!$B$1:$AU$1,0),FALSE))</f>
        <v/>
      </c>
      <c r="F335" t="str">
        <f>IF(ISERROR(1/VLOOKUP($B335,Kraftvärmeprod!$B$1:$AV$479,MATCH("Producerad elenergi i kraftvärmeverk (GWh)",Kraftvärmeprod!$B$1:$AV$1,0),FALSE)),"",VLOOKUP($B335,Kraftvärmeprod!$B$1:$AV$479,MATCH("Producerad elenergi i kraftvärmeverk (GWh)",Kraftvärmeprod!$B$1:$AV$1,0),FALSE))</f>
        <v/>
      </c>
      <c r="G335" t="str">
        <f>IF(ISERROR(1/VLOOKUP($B335,Miljö!$B$1:$T$480,MATCH("Såld mängd produktionsspecifik fjärrvärme (GWh)",Miljö!$B$1:$T$1,0),FALSE)),"",VLOOKUP($B335,Miljö!$B$1:$T$480,MATCH("Såld mängd produktionsspecifik fjärrvärme (GWh)",Miljö!$B$1:$T$1,0),FALSE))</f>
        <v/>
      </c>
      <c r="J335" t="str">
        <f t="shared" si="5"/>
        <v>Vasa Värme Holding AB</v>
      </c>
    </row>
    <row r="336" spans="1:10" x14ac:dyDescent="0.45">
      <c r="A336" s="2" t="s">
        <v>232</v>
      </c>
      <c r="B336" s="2" t="s">
        <v>242</v>
      </c>
      <c r="D336" t="str">
        <f>IF(ISERROR(1/VLOOKUP($B336,Kraftvärmeprod!$B$1:$D$479,MATCH("Total värmeproduktion i kraftvärmeverk i kombinerad drift (GWh)",Kraftvärmeprod!$B$1:$AV$1,0),FALSE)),"Ej kraftvärme","Alternativproduktionsmetoden")</f>
        <v>Ej kraftvärme</v>
      </c>
      <c r="E336" t="str">
        <f>IF(ISERROR(1/VLOOKUP($B336,Kraftvärmeprod!$B$1:$BD$479,MATCH("Total värmeproduktion i kraftvärmeverk i kombinerad drift (GWh)",Kraftvärmeprod!$B$1:$AV$1,0),FALSE)),"",VLOOKUP($B336,'Slutlig allokering kvv'!$B$1:$BC$479,MATCH(E$1,'Slutlig allokering kvv'!$B$1:$AU$1,0),FALSE))</f>
        <v/>
      </c>
      <c r="F336" t="str">
        <f>IF(ISERROR(1/VLOOKUP($B336,Kraftvärmeprod!$B$1:$AV$479,MATCH("Producerad elenergi i kraftvärmeverk (GWh)",Kraftvärmeprod!$B$1:$AV$1,0),FALSE)),"",VLOOKUP($B336,Kraftvärmeprod!$B$1:$AV$479,MATCH("Producerad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Vattenfall AB</v>
      </c>
    </row>
    <row r="337" spans="1:10" x14ac:dyDescent="0.45">
      <c r="A337" s="2" t="s">
        <v>232</v>
      </c>
      <c r="B337" s="2" t="s">
        <v>241</v>
      </c>
      <c r="D337" t="str">
        <f>IF(ISERROR(1/VLOOKUP($B337,Kraftvärmeprod!$B$1:$D$479,MATCH("Total värmeproduktion i kraftvärmeverk i kombinerad drift (GWh)",Kraftvärmeprod!$B$1:$AV$1,0),FALSE)),"Ej kraftvärme","Alternativproduktionsmetoden")</f>
        <v>Alternativproduktionsmetoden</v>
      </c>
      <c r="E337">
        <f>IF(ISERROR(1/VLOOKUP($B337,Kraftvärmeprod!$B$1:$BD$479,MATCH("Total värmeproduktion i kraftvärmeverk i kombinerad drift (GWh)",Kraftvärmeprod!$B$1:$AV$1,0),FALSE)),"",VLOOKUP($B337,'Slutlig allokering kvv'!$B$1:$BC$479,MATCH(E$1,'Slutlig allokering kvv'!$B$1:$AU$1,0),FALSE))</f>
        <v>0.61309568500661327</v>
      </c>
      <c r="F337">
        <f>IF(ISERROR(1/VLOOKUP($B337,Kraftvärmeprod!$B$1:$AV$479,MATCH("Producerad elenergi i kraftvärmeverk (GWh)",Kraftvärmeprod!$B$1:$AV$1,0),FALSE)),"",VLOOKUP($B337,Kraftvärmeprod!$B$1:$AV$479,MATCH("Producerad elenergi i kraftvärmeverk (GWh)",Kraftvärmeprod!$B$1:$AV$1,0),FALSE))</f>
        <v>74.587999999999994</v>
      </c>
      <c r="G337" t="str">
        <f>IF(ISERROR(1/VLOOKUP($B337,Miljö!$B$1:$T$480,MATCH("Såld mängd produktionsspecifik fjärrvärme (GWh)",Miljö!$B$1:$T$1,0),FALSE)),"",VLOOKUP($B337,Miljö!$B$1:$T$480,MATCH("Såld mängd produktionsspecifik fjärrvärme (GWh)",Miljö!$B$1:$T$1,0),FALSE))</f>
        <v/>
      </c>
      <c r="J337" t="str">
        <f t="shared" si="5"/>
        <v>Vattenfall AB</v>
      </c>
    </row>
    <row r="338" spans="1:10" x14ac:dyDescent="0.45">
      <c r="A338" s="2" t="s">
        <v>232</v>
      </c>
      <c r="B338" s="2" t="s">
        <v>240</v>
      </c>
      <c r="D338" t="str">
        <f>IF(ISERROR(1/VLOOKUP($B338,Kraftvärmeprod!$B$1:$D$479,MATCH("Total värmeproduktion i kraftvärmeverk i kombinerad drift (GWh)",Kraftvärmeprod!$B$1:$AV$1,0),FALSE)),"Ej kraftvärme","Alternativproduktionsmetoden")</f>
        <v>Ej kraftvärme</v>
      </c>
      <c r="E338" t="str">
        <f>IF(ISERROR(1/VLOOKUP($B338,Kraftvärmeprod!$B$1:$BD$479,MATCH("Total värmeproduktion i kraftvärmeverk i kombinerad drift (GWh)",Kraftvärmeprod!$B$1:$AV$1,0),FALSE)),"",VLOOKUP($B338,'Slutlig allokering kvv'!$B$1:$BC$479,MATCH(E$1,'Slutlig allokering kvv'!$B$1:$AU$1,0),FALSE))</f>
        <v/>
      </c>
      <c r="F338" t="str">
        <f>IF(ISERROR(1/VLOOKUP($B338,Kraftvärmeprod!$B$1:$AV$479,MATCH("Producerad elenergi i kraftvärmeverk (GWh)",Kraftvärmeprod!$B$1:$AV$1,0),FALSE)),"",VLOOKUP($B338,Kraftvärmeprod!$B$1:$AV$479,MATCH("Producerad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Vattenfall AB</v>
      </c>
    </row>
    <row r="339" spans="1:10" x14ac:dyDescent="0.45">
      <c r="A339" s="2" t="s">
        <v>232</v>
      </c>
      <c r="B339" s="2" t="s">
        <v>239</v>
      </c>
      <c r="D339" t="str">
        <f>IF(ISERROR(1/VLOOKUP($B339,Kraftvärmeprod!$B$1:$D$479,MATCH("Total värmeproduktion i kraftvärmeverk i kombinerad drift (GWh)",Kraftvärmeprod!$B$1:$AV$1,0),FALSE)),"Ej kraftvärme","Alternativproduktionsmetoden")</f>
        <v>Ej kraftvärme</v>
      </c>
      <c r="E339" t="str">
        <f>IF(ISERROR(1/VLOOKUP($B339,Kraftvärmeprod!$B$1:$BD$479,MATCH("Total värmeproduktion i kraftvärmeverk i kombinerad drift (GWh)",Kraftvärmeprod!$B$1:$AV$1,0),FALSE)),"",VLOOKUP($B339,'Slutlig allokering kvv'!$B$1:$BC$479,MATCH(E$1,'Slutlig allokering kvv'!$B$1:$AU$1,0),FALSE))</f>
        <v/>
      </c>
      <c r="F339" t="str">
        <f>IF(ISERROR(1/VLOOKUP($B339,Kraftvärmeprod!$B$1:$AV$479,MATCH("Producerad elenergi i kraftvärmeverk (GWh)",Kraftvärmeprod!$B$1:$AV$1,0),FALSE)),"",VLOOKUP($B339,Kraftvärmeprod!$B$1:$AV$479,MATCH("Producerad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Vattenfall AB</v>
      </c>
    </row>
    <row r="340" spans="1:10" x14ac:dyDescent="0.45">
      <c r="A340" s="2" t="s">
        <v>232</v>
      </c>
      <c r="B340" s="2" t="s">
        <v>238</v>
      </c>
      <c r="D340" t="str">
        <f>IF(ISERROR(1/VLOOKUP($B340,Kraftvärmeprod!$B$1:$D$479,MATCH("Total värmeproduktion i kraftvärmeverk i kombinerad drift (GWh)",Kraftvärmeprod!$B$1:$AV$1,0),FALSE)),"Ej kraftvärme","Alternativproduktionsmetoden")</f>
        <v>Alternativproduktionsmetoden</v>
      </c>
      <c r="E340">
        <f>IF(ISERROR(1/VLOOKUP($B340,Kraftvärmeprod!$B$1:$BD$479,MATCH("Total värmeproduktion i kraftvärmeverk i kombinerad drift (GWh)",Kraftvärmeprod!$B$1:$AV$1,0),FALSE)),"",VLOOKUP($B340,'Slutlig allokering kvv'!$B$1:$BC$479,MATCH(E$1,'Slutlig allokering kvv'!$B$1:$AU$1,0),FALSE))</f>
        <v>0.60292185025005784</v>
      </c>
      <c r="F340">
        <f>IF(ISERROR(1/VLOOKUP($B340,Kraftvärmeprod!$B$1:$AV$479,MATCH("Producerad elenergi i kraftvärmeverk (GWh)",Kraftvärmeprod!$B$1:$AV$1,0),FALSE)),"",VLOOKUP($B340,Kraftvärmeprod!$B$1:$AV$479,MATCH("Producerad elenergi i kraftvärmeverk (GWh)",Kraftvärmeprod!$B$1:$AV$1,0),FALSE))</f>
        <v>18.902000000000001</v>
      </c>
      <c r="G340" t="str">
        <f>IF(ISERROR(1/VLOOKUP($B340,Miljö!$B$1:$T$480,MATCH("Såld mängd produktionsspecifik fjärrvärme (GWh)",Miljö!$B$1:$T$1,0),FALSE)),"",VLOOKUP($B340,Miljö!$B$1:$T$480,MATCH("Såld mängd produktionsspecifik fjärrvärme (GWh)",Miljö!$B$1:$T$1,0),FALSE))</f>
        <v/>
      </c>
      <c r="J340" t="str">
        <f t="shared" si="5"/>
        <v>Vattenfall AB</v>
      </c>
    </row>
    <row r="341" spans="1:10" x14ac:dyDescent="0.45">
      <c r="A341" s="2" t="s">
        <v>232</v>
      </c>
      <c r="B341" s="2" t="s">
        <v>237</v>
      </c>
      <c r="D341" t="str">
        <f>IF(ISERROR(1/VLOOKUP($B341,Kraftvärmeprod!$B$1:$D$479,MATCH("Total värmeproduktion i kraftvärmeverk i kombinerad drift (GWh)",Kraftvärmeprod!$B$1:$AV$1,0),FALSE)),"Ej kraftvärme","Alternativproduktionsmetoden")</f>
        <v>Alternativproduktionsmetoden</v>
      </c>
      <c r="E341">
        <f>IF(ISERROR(1/VLOOKUP($B341,Kraftvärmeprod!$B$1:$BD$479,MATCH("Total värmeproduktion i kraftvärmeverk i kombinerad drift (GWh)",Kraftvärmeprod!$B$1:$AV$1,0),FALSE)),"",VLOOKUP($B341,'Slutlig allokering kvv'!$B$1:$BC$479,MATCH(E$1,'Slutlig allokering kvv'!$B$1:$AU$1,0),FALSE))</f>
        <v>0.47003835725677839</v>
      </c>
      <c r="F341">
        <f>IF(ISERROR(1/VLOOKUP($B341,Kraftvärmeprod!$B$1:$AV$479,MATCH("Producerad elenergi i kraftvärmeverk (GWh)",Kraftvärmeprod!$B$1:$AV$1,0),FALSE)),"",VLOOKUP($B341,Kraftvärmeprod!$B$1:$AV$479,MATCH("Producerad elenergi i kraftvärmeverk (GWh)",Kraftvärmeprod!$B$1:$AV$1,0),FALSE))</f>
        <v>88.576999999999998</v>
      </c>
      <c r="G341" t="str">
        <f>IF(ISERROR(1/VLOOKUP($B341,Miljö!$B$1:$T$480,MATCH("Såld mängd produktionsspecifik fjärrvärme (GWh)",Miljö!$B$1:$T$1,0),FALSE)),"",VLOOKUP($B341,Miljö!$B$1:$T$480,MATCH("Såld mängd produktionsspecifik fjärrvärme (GWh)",Miljö!$B$1:$T$1,0),FALSE))</f>
        <v/>
      </c>
      <c r="J341" t="str">
        <f t="shared" si="5"/>
        <v>Vattenfall AB</v>
      </c>
    </row>
    <row r="342" spans="1:10" x14ac:dyDescent="0.45">
      <c r="A342" s="2" t="s">
        <v>232</v>
      </c>
      <c r="B342" s="2" t="s">
        <v>236</v>
      </c>
      <c r="D342" t="str">
        <f>IF(ISERROR(1/VLOOKUP($B342,Kraftvärmeprod!$B$1:$D$479,MATCH("Total värmeproduktion i kraftvärmeverk i kombinerad drift (GWh)",Kraftvärmeprod!$B$1:$AV$1,0),FALSE)),"Ej kraftvärme","Alternativproduktionsmetoden")</f>
        <v>Ej kraftvärme</v>
      </c>
      <c r="E342" t="str">
        <f>IF(ISERROR(1/VLOOKUP($B342,Kraftvärmeprod!$B$1:$BD$479,MATCH("Total värmeproduktion i kraftvärmeverk i kombinerad drift (GWh)",Kraftvärmeprod!$B$1:$AV$1,0),FALSE)),"",VLOOKUP($B342,'Slutlig allokering kvv'!$B$1:$BC$479,MATCH(E$1,'Slutlig allokering kvv'!$B$1:$AU$1,0),FALSE))</f>
        <v/>
      </c>
      <c r="F342" t="str">
        <f>IF(ISERROR(1/VLOOKUP($B342,Kraftvärmeprod!$B$1:$AV$479,MATCH("Producerad elenergi i kraftvärmeverk (GWh)",Kraftvärmeprod!$B$1:$AV$1,0),FALSE)),"",VLOOKUP($B342,Kraftvärmeprod!$B$1:$AV$479,MATCH("Producerad elenergi i kraftvärmeverk (GWh)",Kraftvärmeprod!$B$1:$AV$1,0),FALSE))</f>
        <v/>
      </c>
      <c r="G342" t="str">
        <f>IF(ISERROR(1/VLOOKUP($B342,Miljö!$B$1:$T$480,MATCH("Såld mängd produktionsspecifik fjärrvärme (GWh)",Miljö!$B$1:$T$1,0),FALSE)),"",VLOOKUP($B342,Miljö!$B$1:$T$480,MATCH("Såld mängd produktionsspecifik fjärrvärme (GWh)",Miljö!$B$1:$T$1,0),FALSE))</f>
        <v/>
      </c>
      <c r="J342" t="str">
        <f t="shared" si="5"/>
        <v>Vattenfall AB</v>
      </c>
    </row>
    <row r="343" spans="1:10" x14ac:dyDescent="0.45">
      <c r="A343" s="2" t="s">
        <v>232</v>
      </c>
      <c r="B343" s="2" t="s">
        <v>235</v>
      </c>
      <c r="D343" t="str">
        <f>IF(ISERROR(1/VLOOKUP($B343,Kraftvärmeprod!$B$1:$D$479,MATCH("Total värmeproduktion i kraftvärmeverk i kombinerad drift (GWh)",Kraftvärmeprod!$B$1:$AV$1,0),FALSE)),"Ej kraftvärme","Alternativproduktionsmetoden")</f>
        <v>Ej kraftvärme</v>
      </c>
      <c r="E343" t="str">
        <f>IF(ISERROR(1/VLOOKUP($B343,Kraftvärmeprod!$B$1:$BD$479,MATCH("Total värmeproduktion i kraftvärmeverk i kombinerad drift (GWh)",Kraftvärmeprod!$B$1:$AV$1,0),FALSE)),"",VLOOKUP($B343,'Slutlig allokering kvv'!$B$1:$BC$479,MATCH(E$1,'Slutlig allokering kvv'!$B$1:$AU$1,0),FALSE))</f>
        <v/>
      </c>
      <c r="F343" t="str">
        <f>IF(ISERROR(1/VLOOKUP($B343,Kraftvärmeprod!$B$1:$AV$479,MATCH("Producerad elenergi i kraftvärmeverk (GWh)",Kraftvärmeprod!$B$1:$AV$1,0),FALSE)),"",VLOOKUP($B343,Kraftvärmeprod!$B$1:$AV$479,MATCH("Producerad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Vattenfall AB</v>
      </c>
    </row>
    <row r="344" spans="1:10" x14ac:dyDescent="0.45">
      <c r="A344" s="2" t="s">
        <v>232</v>
      </c>
      <c r="B344" s="2" t="s">
        <v>234</v>
      </c>
      <c r="D344" t="str">
        <f>IF(ISERROR(1/VLOOKUP($B344,Kraftvärmeprod!$B$1:$D$479,MATCH("Total värmeproduktion i kraftvärmeverk i kombinerad drift (GWh)",Kraftvärmeprod!$B$1:$AV$1,0),FALSE)),"Ej kraftvärme","Alternativproduktionsmetoden")</f>
        <v>Alternativproduktionsmetoden</v>
      </c>
      <c r="E344">
        <f>IF(ISERROR(1/VLOOKUP($B344,Kraftvärmeprod!$B$1:$BD$479,MATCH("Total värmeproduktion i kraftvärmeverk i kombinerad drift (GWh)",Kraftvärmeprod!$B$1:$AV$1,0),FALSE)),"",VLOOKUP($B344,'Slutlig allokering kvv'!$B$1:$BC$479,MATCH(E$1,'Slutlig allokering kvv'!$B$1:$AU$1,0),FALSE))</f>
        <v>0.53582771107668481</v>
      </c>
      <c r="F344">
        <f>IF(ISERROR(1/VLOOKUP($B344,Kraftvärmeprod!$B$1:$AV$479,MATCH("Producerad elenergi i kraftvärmeverk (GWh)",Kraftvärmeprod!$B$1:$AV$1,0),FALSE)),"",VLOOKUP($B344,Kraftvärmeprod!$B$1:$AV$479,MATCH("Producerad elenergi i kraftvärmeverk (GWh)",Kraftvärmeprod!$B$1:$AV$1,0),FALSE))</f>
        <v>108.7</v>
      </c>
      <c r="G344">
        <f>IF(ISERROR(1/VLOOKUP($B344,Miljö!$B$1:$T$480,MATCH("Såld mängd produktionsspecifik fjärrvärme (GWh)",Miljö!$B$1:$T$1,0),FALSE)),"",VLOOKUP($B344,Miljö!$B$1:$T$480,MATCH("Såld mängd produktionsspecifik fjärrvärme (GWh)",Miljö!$B$1:$T$1,0),FALSE))</f>
        <v>100.73</v>
      </c>
      <c r="J344" t="str">
        <f t="shared" si="5"/>
        <v>Vattenfall AB</v>
      </c>
    </row>
    <row r="345" spans="1:10" x14ac:dyDescent="0.45">
      <c r="A345" s="2" t="s">
        <v>232</v>
      </c>
      <c r="B345" s="2" t="s">
        <v>231</v>
      </c>
      <c r="D345" t="str">
        <f>IF(ISERROR(1/VLOOKUP($B345,Kraftvärmeprod!$B$1:$D$479,MATCH("Total värmeproduktion i kraftvärmeverk i kombinerad drift (GWh)",Kraftvärmeprod!$B$1:$AV$1,0),FALSE)),"Ej kraftvärme","Alternativproduktionsmetoden")</f>
        <v>Ej kraftvärme</v>
      </c>
      <c r="E345" t="str">
        <f>IF(ISERROR(1/VLOOKUP($B345,Kraftvärmeprod!$B$1:$BD$479,MATCH("Total värmeproduktion i kraftvärmeverk i kombinerad drift (GWh)",Kraftvärmeprod!$B$1:$AV$1,0),FALSE)),"",VLOOKUP($B345,'Slutlig allokering kvv'!$B$1:$BC$479,MATCH(E$1,'Slutlig allokering kvv'!$B$1:$AU$1,0),FALSE))</f>
        <v/>
      </c>
      <c r="F345" t="str">
        <f>IF(ISERROR(1/VLOOKUP($B345,Kraftvärmeprod!$B$1:$AV$479,MATCH("Producerad elenergi i kraftvärmeverk (GWh)",Kraftvärmeprod!$B$1:$AV$1,0),FALSE)),"",VLOOKUP($B345,Kraftvärmeprod!$B$1:$AV$479,MATCH("Producerad elenergi i kraftvärmeverk (GWh)",Kraftvärmeprod!$B$1:$AV$1,0),FALSE))</f>
        <v/>
      </c>
      <c r="G345">
        <f>IF(ISERROR(1/VLOOKUP($B345,Miljö!$B$1:$T$480,MATCH("Såld mängd produktionsspecifik fjärrvärme (GWh)",Miljö!$B$1:$T$1,0),FALSE)),"",VLOOKUP($B345,Miljö!$B$1:$T$480,MATCH("Såld mängd produktionsspecifik fjärrvärme (GWh)",Miljö!$B$1:$T$1,0),FALSE))</f>
        <v>66.7</v>
      </c>
      <c r="J345" t="str">
        <f t="shared" si="5"/>
        <v>Vattenfall AB</v>
      </c>
    </row>
    <row r="346" spans="1:10" x14ac:dyDescent="0.45">
      <c r="A346" s="2" t="s">
        <v>7</v>
      </c>
      <c r="B346" s="2" t="s">
        <v>230</v>
      </c>
      <c r="D346" t="str">
        <f>IF(ISERROR(1/VLOOKUP($B346,Kraftvärmeprod!$B$1:$D$479,MATCH("Total värmeproduktion i kraftvärmeverk i kombinerad drift (GWh)",Kraftvärmeprod!$B$1:$AV$1,0),FALSE)),"Ej kraftvärme","Alternativproduktionsmetoden")</f>
        <v>Ej kraftvärme</v>
      </c>
      <c r="E346" t="str">
        <f>IF(ISERROR(1/VLOOKUP($B346,Kraftvärmeprod!$B$1:$BD$479,MATCH("Total värmeproduktion i kraftvärmeverk i kombinerad drift (GWh)",Kraftvärmeprod!$B$1:$AV$1,0),FALSE)),"",VLOOKUP($B346,'Slutlig allokering kvv'!$B$1:$BC$479,MATCH(E$1,'Slutlig allokering kvv'!$B$1:$AU$1,0),FALSE))</f>
        <v/>
      </c>
      <c r="F346" t="str">
        <f>IF(ISERROR(1/VLOOKUP($B346,Kraftvärmeprod!$B$1:$AV$479,MATCH("Producerad elenergi i kraftvärmeverk (GWh)",Kraftvärmeprod!$B$1:$AV$1,0),FALSE)),"",VLOOKUP($B346,Kraftvärmeprod!$B$1:$AV$479,MATCH("Producerad elenergi i kraftvärmeverk (GWh)",Kraftvärmeprod!$B$1:$AV$1,0),FALSE))</f>
        <v/>
      </c>
      <c r="G346" t="str">
        <f>IF(ISERROR(1/VLOOKUP($B346,Miljö!$B$1:$T$480,MATCH("Såld mängd produktionsspecifik fjärrvärme (GWh)",Miljö!$B$1:$T$1,0),FALSE)),"",VLOOKUP($B346,Miljö!$B$1:$T$480,MATCH("Såld mängd produktionsspecifik fjärrvärme (GWh)",Miljö!$B$1:$T$1,0),FALSE))</f>
        <v/>
      </c>
      <c r="J346" t="str">
        <f t="shared" si="5"/>
        <v>Veolia</v>
      </c>
    </row>
    <row r="347" spans="1:10" x14ac:dyDescent="0.45">
      <c r="A347" s="2" t="s">
        <v>7</v>
      </c>
      <c r="B347" s="2" t="s">
        <v>8</v>
      </c>
      <c r="D347" t="str">
        <f>IF(ISERROR(1/VLOOKUP($B347,Kraftvärmeprod!$B$1:$D$479,MATCH("Total värmeproduktion i kraftvärmeverk i kombinerad drift (GWh)",Kraftvärmeprod!$B$1:$AV$1,0),FALSE)),"Ej kraftvärme","Alternativproduktionsmetoden")</f>
        <v>Ej kraftvärme</v>
      </c>
      <c r="E347" t="str">
        <f>IF(ISERROR(1/VLOOKUP($B347,Kraftvärmeprod!$B$1:$BD$479,MATCH("Total värmeproduktion i kraftvärmeverk i kombinerad drift (GWh)",Kraftvärmeprod!$B$1:$AV$1,0),FALSE)),"",VLOOKUP($B347,'Slutlig allokering kvv'!$B$1:$BC$479,MATCH(E$1,'Slutlig allokering kvv'!$B$1:$AU$1,0),FALSE))</f>
        <v/>
      </c>
      <c r="F347" t="str">
        <f>IF(ISERROR(1/VLOOKUP($B347,Kraftvärmeprod!$B$1:$AV$479,MATCH("Producerad elenergi i kraftvärmeverk (GWh)",Kraftvärmeprod!$B$1:$AV$1,0),FALSE)),"",VLOOKUP($B347,Kraftvärmeprod!$B$1:$AV$479,MATCH("Producerad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Veolia</v>
      </c>
    </row>
    <row r="348" spans="1:10" x14ac:dyDescent="0.45">
      <c r="A348" s="2" t="s">
        <v>225</v>
      </c>
      <c r="B348" s="2" t="s">
        <v>229</v>
      </c>
      <c r="D348" t="str">
        <f>IF(ISERROR(1/VLOOKUP($B348,Kraftvärmeprod!$B$1:$D$479,MATCH("Total värmeproduktion i kraftvärmeverk i kombinerad drift (GWh)",Kraftvärmeprod!$B$1:$AV$1,0),FALSE)),"Ej kraftvärme","Alternativproduktionsmetoden")</f>
        <v>Ej kraftvärme</v>
      </c>
      <c r="E348" t="str">
        <f>IF(ISERROR(1/VLOOKUP($B348,Kraftvärmeprod!$B$1:$BD$479,MATCH("Total värmeproduktion i kraftvärmeverk i kombinerad drift (GWh)",Kraftvärmeprod!$B$1:$AV$1,0),FALSE)),"",VLOOKUP($B348,'Slutlig allokering kvv'!$B$1:$BC$479,MATCH(E$1,'Slutlig allokering kvv'!$B$1:$AU$1,0),FALSE))</f>
        <v/>
      </c>
      <c r="F348" t="str">
        <f>IF(ISERROR(1/VLOOKUP($B348,Kraftvärmeprod!$B$1:$AV$479,MATCH("Producerad elenergi i kraftvärmeverk (GWh)",Kraftvärmeprod!$B$1:$AV$1,0),FALSE)),"",VLOOKUP($B348,Kraftvärmeprod!$B$1:$AV$479,MATCH("Producerad elenergi i kraftvärmeverk (GWh)",Kraftvärmeprod!$B$1:$AV$1,0),FALSE))</f>
        <v/>
      </c>
      <c r="G348" t="str">
        <f>IF(ISERROR(1/VLOOKUP($B348,Miljö!$B$1:$T$480,MATCH("Såld mängd produktionsspecifik fjärrvärme (GWh)",Miljö!$B$1:$T$1,0),FALSE)),"",VLOOKUP($B348,Miljö!$B$1:$T$480,MATCH("Såld mängd produktionsspecifik fjärrvärme (GWh)",Miljö!$B$1:$T$1,0),FALSE))</f>
        <v/>
      </c>
      <c r="J348" t="str">
        <f t="shared" si="5"/>
        <v>Vimmerby Energi &amp; Miljö AB</v>
      </c>
    </row>
    <row r="349" spans="1:10" x14ac:dyDescent="0.45">
      <c r="A349" s="2" t="s">
        <v>225</v>
      </c>
      <c r="B349" s="2" t="s">
        <v>228</v>
      </c>
      <c r="D349" t="str">
        <f>IF(ISERROR(1/VLOOKUP($B349,Kraftvärmeprod!$B$1:$D$479,MATCH("Total värmeproduktion i kraftvärmeverk i kombinerad drift (GWh)",Kraftvärmeprod!$B$1:$AV$1,0),FALSE)),"Ej kraftvärme","Alternativproduktionsmetoden")</f>
        <v>Ej kraftvärme</v>
      </c>
      <c r="E349" t="str">
        <f>IF(ISERROR(1/VLOOKUP($B349,Kraftvärmeprod!$B$1:$BD$479,MATCH("Total värmeproduktion i kraftvärmeverk i kombinerad drift (GWh)",Kraftvärmeprod!$B$1:$AV$1,0),FALSE)),"",VLOOKUP($B349,'Slutlig allokering kvv'!$B$1:$BC$479,MATCH(E$1,'Slutlig allokering kvv'!$B$1:$AU$1,0),FALSE))</f>
        <v/>
      </c>
      <c r="F349" t="str">
        <f>IF(ISERROR(1/VLOOKUP($B349,Kraftvärmeprod!$B$1:$AV$479,MATCH("Producerad elenergi i kraftvärmeverk (GWh)",Kraftvärmeprod!$B$1:$AV$1,0),FALSE)),"",VLOOKUP($B349,Kraftvärmeprod!$B$1:$AV$479,MATCH("Producerad elenergi i kraftvärmeverk (GWh)",Kraftvärmeprod!$B$1:$AV$1,0),FALSE))</f>
        <v/>
      </c>
      <c r="G349" t="str">
        <f>IF(ISERROR(1/VLOOKUP($B349,Miljö!$B$1:$T$480,MATCH("Såld mängd produktionsspecifik fjärrvärme (GWh)",Miljö!$B$1:$T$1,0),FALSE)),"",VLOOKUP($B349,Miljö!$B$1:$T$480,MATCH("Såld mängd produktionsspecifik fjärrvärme (GWh)",Miljö!$B$1:$T$1,0),FALSE))</f>
        <v/>
      </c>
      <c r="J349" t="str">
        <f t="shared" si="5"/>
        <v>Vimmerby Energi &amp; Miljö AB</v>
      </c>
    </row>
    <row r="350" spans="1:10" x14ac:dyDescent="0.45">
      <c r="A350" s="2" t="s">
        <v>225</v>
      </c>
      <c r="B350" s="2" t="s">
        <v>227</v>
      </c>
      <c r="D350" t="str">
        <f>IF(ISERROR(1/VLOOKUP($B350,Kraftvärmeprod!$B$1:$D$479,MATCH("Total värmeproduktion i kraftvärmeverk i kombinerad drift (GWh)",Kraftvärmeprod!$B$1:$AV$1,0),FALSE)),"Ej kraftvärme","Alternativproduktionsmetoden")</f>
        <v>Ej kraftvärme</v>
      </c>
      <c r="E350" t="str">
        <f>IF(ISERROR(1/VLOOKUP($B350,Kraftvärmeprod!$B$1:$BD$479,MATCH("Total värmeproduktion i kraftvärmeverk i kombinerad drift (GWh)",Kraftvärmeprod!$B$1:$AV$1,0),FALSE)),"",VLOOKUP($B350,'Slutlig allokering kvv'!$B$1:$BC$479,MATCH(E$1,'Slutlig allokering kvv'!$B$1:$AU$1,0),FALSE))</f>
        <v/>
      </c>
      <c r="F350" t="str">
        <f>IF(ISERROR(1/VLOOKUP($B350,Kraftvärmeprod!$B$1:$AV$479,MATCH("Producerad elenergi i kraftvärmeverk (GWh)",Kraftvärmeprod!$B$1:$AV$1,0),FALSE)),"",VLOOKUP($B350,Kraftvärmeprod!$B$1:$AV$479,MATCH("Producerad elenergi i kraftvärmeverk (GWh)",Kraftvärmeprod!$B$1:$AV$1,0),FALSE))</f>
        <v/>
      </c>
      <c r="G350" t="str">
        <f>IF(ISERROR(1/VLOOKUP($B350,Miljö!$B$1:$T$480,MATCH("Såld mängd produktionsspecifik fjärrvärme (GWh)",Miljö!$B$1:$T$1,0),FALSE)),"",VLOOKUP($B350,Miljö!$B$1:$T$480,MATCH("Såld mängd produktionsspecifik fjärrvärme (GWh)",Miljö!$B$1:$T$1,0),FALSE))</f>
        <v/>
      </c>
      <c r="J350" t="str">
        <f t="shared" si="5"/>
        <v>Vimmerby Energi &amp; Miljö AB</v>
      </c>
    </row>
    <row r="351" spans="1:10" x14ac:dyDescent="0.45">
      <c r="A351" s="2" t="s">
        <v>225</v>
      </c>
      <c r="B351" s="2" t="s">
        <v>226</v>
      </c>
      <c r="D351" t="str">
        <f>IF(ISERROR(1/VLOOKUP($B351,Kraftvärmeprod!$B$1:$D$479,MATCH("Total värmeproduktion i kraftvärmeverk i kombinerad drift (GWh)",Kraftvärmeprod!$B$1:$AV$1,0),FALSE)),"Ej kraftvärme","Alternativproduktionsmetoden")</f>
        <v>Ej kraftvärme</v>
      </c>
      <c r="E351" t="str">
        <f>IF(ISERROR(1/VLOOKUP($B351,Kraftvärmeprod!$B$1:$BD$479,MATCH("Total värmeproduktion i kraftvärmeverk i kombinerad drift (GWh)",Kraftvärmeprod!$B$1:$AV$1,0),FALSE)),"",VLOOKUP($B351,'Slutlig allokering kvv'!$B$1:$BC$479,MATCH(E$1,'Slutlig allokering kvv'!$B$1:$AU$1,0),FALSE))</f>
        <v/>
      </c>
      <c r="F351" t="str">
        <f>IF(ISERROR(1/VLOOKUP($B351,Kraftvärmeprod!$B$1:$AV$479,MATCH("Producerad elenergi i kraftvärmeverk (GWh)",Kraftvärmeprod!$B$1:$AV$1,0),FALSE)),"",VLOOKUP($B351,Kraftvärmeprod!$B$1:$AV$479,MATCH("Producerad elenergi i kraftvärmeverk (GWh)",Kraftvärmeprod!$B$1:$AV$1,0),FALSE))</f>
        <v/>
      </c>
      <c r="G351" t="str">
        <f>IF(ISERROR(1/VLOOKUP($B351,Miljö!$B$1:$T$480,MATCH("Såld mängd produktionsspecifik fjärrvärme (GWh)",Miljö!$B$1:$T$1,0),FALSE)),"",VLOOKUP($B351,Miljö!$B$1:$T$480,MATCH("Såld mängd produktionsspecifik fjärrvärme (GWh)",Miljö!$B$1:$T$1,0),FALSE))</f>
        <v/>
      </c>
      <c r="J351" t="str">
        <f t="shared" si="5"/>
        <v>Vimmerby Energi &amp; Miljö AB</v>
      </c>
    </row>
    <row r="352" spans="1:10" x14ac:dyDescent="0.45">
      <c r="A352" s="2" t="s">
        <v>225</v>
      </c>
      <c r="B352" s="2" t="s">
        <v>224</v>
      </c>
      <c r="D352" t="str">
        <f>IF(ISERROR(1/VLOOKUP($B352,Kraftvärmeprod!$B$1:$D$479,MATCH("Total värmeproduktion i kraftvärmeverk i kombinerad drift (GWh)",Kraftvärmeprod!$B$1:$AV$1,0),FALSE)),"Ej kraftvärme","Alternativproduktionsmetoden")</f>
        <v>Alternativproduktionsmetoden</v>
      </c>
      <c r="E352">
        <f>IF(ISERROR(1/VLOOKUP($B352,Kraftvärmeprod!$B$1:$BD$479,MATCH("Total värmeproduktion i kraftvärmeverk i kombinerad drift (GWh)",Kraftvärmeprod!$B$1:$AV$1,0),FALSE)),"",VLOOKUP($B352,'Slutlig allokering kvv'!$B$1:$BC$479,MATCH(E$1,'Slutlig allokering kvv'!$B$1:$AU$1,0),FALSE))</f>
        <v>0.60975010518086858</v>
      </c>
      <c r="F352">
        <f>IF(ISERROR(1/VLOOKUP($B352,Kraftvärmeprod!$B$1:$AV$479,MATCH("Producerad elenergi i kraftvärmeverk (GWh)",Kraftvärmeprod!$B$1:$AV$1,0),FALSE)),"",VLOOKUP($B352,Kraftvärmeprod!$B$1:$AV$479,MATCH("Producerad elenergi i kraftvärmeverk (GWh)",Kraftvärmeprod!$B$1:$AV$1,0),FALSE))</f>
        <v>25.071000000000002</v>
      </c>
      <c r="G352" t="str">
        <f>IF(ISERROR(1/VLOOKUP($B352,Miljö!$B$1:$T$480,MATCH("Såld mängd produktionsspecifik fjärrvärme (GWh)",Miljö!$B$1:$T$1,0),FALSE)),"",VLOOKUP($B352,Miljö!$B$1:$T$480,MATCH("Såld mängd produktionsspecifik fjärrvärme (GWh)",Miljö!$B$1:$T$1,0),FALSE))</f>
        <v/>
      </c>
      <c r="J352" t="str">
        <f t="shared" si="5"/>
        <v>Vimmerby Energi &amp; Miljö AB</v>
      </c>
    </row>
    <row r="353" spans="1:10" x14ac:dyDescent="0.45">
      <c r="A353" s="2" t="s">
        <v>221</v>
      </c>
      <c r="B353" s="2" t="s">
        <v>223</v>
      </c>
      <c r="D353" t="str">
        <f>IF(ISERROR(1/VLOOKUP($B353,Kraftvärmeprod!$B$1:$D$479,MATCH("Total värmeproduktion i kraftvärmeverk i kombinerad drift (GWh)",Kraftvärmeprod!$B$1:$AV$1,0),FALSE)),"Ej kraftvärme","Alternativproduktionsmetoden")</f>
        <v>Ej kraftvärme</v>
      </c>
      <c r="E353" t="str">
        <f>IF(ISERROR(1/VLOOKUP($B353,Kraftvärmeprod!$B$1:$BD$479,MATCH("Total värmeproduktion i kraftvärmeverk i kombinerad drift (GWh)",Kraftvärmeprod!$B$1:$AV$1,0),FALSE)),"",VLOOKUP($B353,'Slutlig allokering kvv'!$B$1:$BC$479,MATCH(E$1,'Slutlig allokering kvv'!$B$1:$AU$1,0),FALSE))</f>
        <v/>
      </c>
      <c r="F353" t="str">
        <f>IF(ISERROR(1/VLOOKUP($B353,Kraftvärmeprod!$B$1:$AV$479,MATCH("Producerad elenergi i kraftvärmeverk (GWh)",Kraftvärmeprod!$B$1:$AV$1,0),FALSE)),"",VLOOKUP($B353,Kraftvärmeprod!$B$1:$AV$479,MATCH("Producerad elenergi i kraftvärmeverk (GWh)",Kraftvärmeprod!$B$1:$AV$1,0),FALSE))</f>
        <v/>
      </c>
      <c r="G353" t="str">
        <f>IF(ISERROR(1/VLOOKUP($B353,Miljö!$B$1:$T$480,MATCH("Såld mängd produktionsspecifik fjärrvärme (GWh)",Miljö!$B$1:$T$1,0),FALSE)),"",VLOOKUP($B353,Miljö!$B$1:$T$480,MATCH("Såld mängd produktionsspecifik fjärrvärme (GWh)",Miljö!$B$1:$T$1,0),FALSE))</f>
        <v/>
      </c>
      <c r="J353" t="str">
        <f t="shared" si="5"/>
        <v>VänerEnergi AB</v>
      </c>
    </row>
    <row r="354" spans="1:10" x14ac:dyDescent="0.45">
      <c r="A354" s="2" t="s">
        <v>221</v>
      </c>
      <c r="B354" s="2" t="s">
        <v>222</v>
      </c>
      <c r="D354" t="str">
        <f>IF(ISERROR(1/VLOOKUP($B354,Kraftvärmeprod!$B$1:$D$479,MATCH("Total värmeproduktion i kraftvärmeverk i kombinerad drift (GWh)",Kraftvärmeprod!$B$1:$AV$1,0),FALSE)),"Ej kraftvärme","Alternativproduktionsmetoden")</f>
        <v>Alternativproduktionsmetoden</v>
      </c>
      <c r="E354">
        <f>IF(ISERROR(1/VLOOKUP($B354,Kraftvärmeprod!$B$1:$BD$479,MATCH("Total värmeproduktion i kraftvärmeverk i kombinerad drift (GWh)",Kraftvärmeprod!$B$1:$AV$1,0),FALSE)),"",VLOOKUP($B354,'Slutlig allokering kvv'!$B$1:$BC$479,MATCH(E$1,'Slutlig allokering kvv'!$B$1:$AU$1,0),FALSE))</f>
        <v>0.66727843189368785</v>
      </c>
      <c r="F354">
        <f>IF(ISERROR(1/VLOOKUP($B354,Kraftvärmeprod!$B$1:$AV$479,MATCH("Producerad elenergi i kraftvärmeverk (GWh)",Kraftvärmeprod!$B$1:$AV$1,0),FALSE)),"",VLOOKUP($B354,Kraftvärmeprod!$B$1:$AV$479,MATCH("Producerad elenergi i kraftvärmeverk (GWh)",Kraftvärmeprod!$B$1:$AV$1,0),FALSE))</f>
        <v>27</v>
      </c>
      <c r="G354" t="str">
        <f>IF(ISERROR(1/VLOOKUP($B354,Miljö!$B$1:$T$480,MATCH("Såld mängd produktionsspecifik fjärrvärme (GWh)",Miljö!$B$1:$T$1,0),FALSE)),"",VLOOKUP($B354,Miljö!$B$1:$T$480,MATCH("Såld mängd produktionsspecifik fjärrvärme (GWh)",Miljö!$B$1:$T$1,0),FALSE))</f>
        <v/>
      </c>
      <c r="J354" t="str">
        <f t="shared" si="5"/>
        <v>VänerEnergi AB</v>
      </c>
    </row>
    <row r="355" spans="1:10" x14ac:dyDescent="0.45">
      <c r="A355" s="2" t="s">
        <v>221</v>
      </c>
      <c r="B355" s="2" t="s">
        <v>220</v>
      </c>
      <c r="D355" t="str">
        <f>IF(ISERROR(1/VLOOKUP($B355,Kraftvärmeprod!$B$1:$D$479,MATCH("Total värmeproduktion i kraftvärmeverk i kombinerad drift (GWh)",Kraftvärmeprod!$B$1:$AV$1,0),FALSE)),"Ej kraftvärme","Alternativproduktionsmetoden")</f>
        <v>Ej kraftvärme</v>
      </c>
      <c r="E355" t="str">
        <f>IF(ISERROR(1/VLOOKUP($B355,Kraftvärmeprod!$B$1:$BD$479,MATCH("Total värmeproduktion i kraftvärmeverk i kombinerad drift (GWh)",Kraftvärmeprod!$B$1:$AV$1,0),FALSE)),"",VLOOKUP($B355,'Slutlig allokering kvv'!$B$1:$BC$479,MATCH(E$1,'Slutlig allokering kvv'!$B$1:$AU$1,0),FALSE))</f>
        <v/>
      </c>
      <c r="F355" t="str">
        <f>IF(ISERROR(1/VLOOKUP($B355,Kraftvärmeprod!$B$1:$AV$479,MATCH("Producerad elenergi i kraftvärmeverk (GWh)",Kraftvärmeprod!$B$1:$AV$1,0),FALSE)),"",VLOOKUP($B355,Kraftvärmeprod!$B$1:$AV$479,MATCH("Producerad elenergi i kraftvärmeverk (GWh)",Kraftvärmeprod!$B$1:$AV$1,0),FALSE))</f>
        <v/>
      </c>
      <c r="G355" t="str">
        <f>IF(ISERROR(1/VLOOKUP($B355,Miljö!$B$1:$T$480,MATCH("Såld mängd produktionsspecifik fjärrvärme (GWh)",Miljö!$B$1:$T$1,0),FALSE)),"",VLOOKUP($B355,Miljö!$B$1:$T$480,MATCH("Såld mängd produktionsspecifik fjärrvärme (GWh)",Miljö!$B$1:$T$1,0),FALSE))</f>
        <v/>
      </c>
      <c r="J355" t="str">
        <f t="shared" si="5"/>
        <v>VänerEnergi AB</v>
      </c>
    </row>
    <row r="356" spans="1:10" x14ac:dyDescent="0.45">
      <c r="A356" s="2" t="s">
        <v>48</v>
      </c>
      <c r="B356" s="2" t="s">
        <v>219</v>
      </c>
      <c r="D356" t="str">
        <f>IF(ISERROR(1/VLOOKUP($B356,Kraftvärmeprod!$B$1:$D$479,MATCH("Total värmeproduktion i kraftvärmeverk i kombinerad drift (GWh)",Kraftvärmeprod!$B$1:$AV$1,0),FALSE)),"Ej kraftvärme","Alternativproduktionsmetoden")</f>
        <v>Ej kraftvärme</v>
      </c>
      <c r="E356" t="str">
        <f>IF(ISERROR(1/VLOOKUP($B356,Kraftvärmeprod!$B$1:$BD$479,MATCH("Total värmeproduktion i kraftvärmeverk i kombinerad drift (GWh)",Kraftvärmeprod!$B$1:$AV$1,0),FALSE)),"",VLOOKUP($B356,'Slutlig allokering kvv'!$B$1:$BC$479,MATCH(E$1,'Slutlig allokering kvv'!$B$1:$AU$1,0),FALSE))</f>
        <v/>
      </c>
      <c r="F356" t="str">
        <f>IF(ISERROR(1/VLOOKUP($B356,Kraftvärmeprod!$B$1:$AV$479,MATCH("Producerad elenergi i kraftvärmeverk (GWh)",Kraftvärmeprod!$B$1:$AV$1,0),FALSE)),"",VLOOKUP($B356,Kraftvärmeprod!$B$1:$AV$479,MATCH("Producerad elenergi i kraftvärmeverk (GWh)",Kraftvärmeprod!$B$1:$AV$1,0),FALSE))</f>
        <v/>
      </c>
      <c r="G356" t="str">
        <f>IF(ISERROR(1/VLOOKUP($B356,Miljö!$B$1:$T$480,MATCH("Såld mängd produktionsspecifik fjärrvärme (GWh)",Miljö!$B$1:$T$1,0),FALSE)),"",VLOOKUP($B356,Miljö!$B$1:$T$480,MATCH("Såld mängd produktionsspecifik fjärrvärme (GWh)",Miljö!$B$1:$T$1,0),FALSE))</f>
        <v/>
      </c>
      <c r="J356" t="str">
        <f t="shared" si="5"/>
        <v>Värmevärden AB</v>
      </c>
    </row>
    <row r="357" spans="1:10" x14ac:dyDescent="0.45">
      <c r="A357" s="2" t="s">
        <v>48</v>
      </c>
      <c r="B357" s="2" t="s">
        <v>218</v>
      </c>
      <c r="D357" t="str">
        <f>IF(ISERROR(1/VLOOKUP($B357,Kraftvärmeprod!$B$1:$D$479,MATCH("Total värmeproduktion i kraftvärmeverk i kombinerad drift (GWh)",Kraftvärmeprod!$B$1:$AV$1,0),FALSE)),"Ej kraftvärme","Alternativproduktionsmetoden")</f>
        <v>Ej kraftvärme</v>
      </c>
      <c r="E357" t="str">
        <f>IF(ISERROR(1/VLOOKUP($B357,Kraftvärmeprod!$B$1:$BD$479,MATCH("Total värmeproduktion i kraftvärmeverk i kombinerad drift (GWh)",Kraftvärmeprod!$B$1:$AV$1,0),FALSE)),"",VLOOKUP($B357,'Slutlig allokering kvv'!$B$1:$BC$479,MATCH(E$1,'Slutlig allokering kvv'!$B$1:$AU$1,0),FALSE))</f>
        <v/>
      </c>
      <c r="F357" t="str">
        <f>IF(ISERROR(1/VLOOKUP($B357,Kraftvärmeprod!$B$1:$AV$479,MATCH("Producerad elenergi i kraftvärmeverk (GWh)",Kraftvärmeprod!$B$1:$AV$1,0),FALSE)),"",VLOOKUP($B357,Kraftvärmeprod!$B$1:$AV$479,MATCH("Producerad elenergi i kraftvärmeverk (GWh)",Kraftvärmeprod!$B$1:$AV$1,0),FALSE))</f>
        <v/>
      </c>
      <c r="G357" t="str">
        <f>IF(ISERROR(1/VLOOKUP($B357,Miljö!$B$1:$T$480,MATCH("Såld mängd produktionsspecifik fjärrvärme (GWh)",Miljö!$B$1:$T$1,0),FALSE)),"",VLOOKUP($B357,Miljö!$B$1:$T$480,MATCH("Såld mängd produktionsspecifik fjärrvärme (GWh)",Miljö!$B$1:$T$1,0),FALSE))</f>
        <v/>
      </c>
      <c r="J357" t="str">
        <f t="shared" si="5"/>
        <v>Värmevärden AB</v>
      </c>
    </row>
    <row r="358" spans="1:10" x14ac:dyDescent="0.45">
      <c r="A358" s="2" t="s">
        <v>48</v>
      </c>
      <c r="B358" s="2" t="s">
        <v>217</v>
      </c>
      <c r="D358" t="str">
        <f>IF(ISERROR(1/VLOOKUP($B358,Kraftvärmeprod!$B$1:$D$479,MATCH("Total värmeproduktion i kraftvärmeverk i kombinerad drift (GWh)",Kraftvärmeprod!$B$1:$AV$1,0),FALSE)),"Ej kraftvärme","Alternativproduktionsmetoden")</f>
        <v>Ej kraftvärme</v>
      </c>
      <c r="E358" t="str">
        <f>IF(ISERROR(1/VLOOKUP($B358,Kraftvärmeprod!$B$1:$BD$479,MATCH("Total värmeproduktion i kraftvärmeverk i kombinerad drift (GWh)",Kraftvärmeprod!$B$1:$AV$1,0),FALSE)),"",VLOOKUP($B358,'Slutlig allokering kvv'!$B$1:$BC$479,MATCH(E$1,'Slutlig allokering kvv'!$B$1:$AU$1,0),FALSE))</f>
        <v/>
      </c>
      <c r="F358" t="str">
        <f>IF(ISERROR(1/VLOOKUP($B358,Kraftvärmeprod!$B$1:$AV$479,MATCH("Producerad elenergi i kraftvärmeverk (GWh)",Kraftvärmeprod!$B$1:$AV$1,0),FALSE)),"",VLOOKUP($B358,Kraftvärmeprod!$B$1:$AV$479,MATCH("Producerad elenergi i kraftvärmeverk (GWh)",Kraftvärmeprod!$B$1:$AV$1,0),FALSE))</f>
        <v/>
      </c>
      <c r="G358" t="str">
        <f>IF(ISERROR(1/VLOOKUP($B358,Miljö!$B$1:$T$480,MATCH("Såld mängd produktionsspecifik fjärrvärme (GWh)",Miljö!$B$1:$T$1,0),FALSE)),"",VLOOKUP($B358,Miljö!$B$1:$T$480,MATCH("Såld mängd produktionsspecifik fjärrvärme (GWh)",Miljö!$B$1:$T$1,0),FALSE))</f>
        <v/>
      </c>
      <c r="J358" t="str">
        <f t="shared" si="5"/>
        <v>Värmevärden AB</v>
      </c>
    </row>
    <row r="359" spans="1:10" x14ac:dyDescent="0.45">
      <c r="A359" s="2" t="s">
        <v>48</v>
      </c>
      <c r="B359" s="2" t="s">
        <v>216</v>
      </c>
      <c r="D359" t="str">
        <f>IF(ISERROR(1/VLOOKUP($B359,Kraftvärmeprod!$B$1:$D$479,MATCH("Total värmeproduktion i kraftvärmeverk i kombinerad drift (GWh)",Kraftvärmeprod!$B$1:$AV$1,0),FALSE)),"Ej kraftvärme","Alternativproduktionsmetoden")</f>
        <v>Ej kraftvärme</v>
      </c>
      <c r="E359" t="str">
        <f>IF(ISERROR(1/VLOOKUP($B359,Kraftvärmeprod!$B$1:$BD$479,MATCH("Total värmeproduktion i kraftvärmeverk i kombinerad drift (GWh)",Kraftvärmeprod!$B$1:$AV$1,0),FALSE)),"",VLOOKUP($B359,'Slutlig allokering kvv'!$B$1:$BC$479,MATCH(E$1,'Slutlig allokering kvv'!$B$1:$AU$1,0),FALSE))</f>
        <v/>
      </c>
      <c r="F359" t="str">
        <f>IF(ISERROR(1/VLOOKUP($B359,Kraftvärmeprod!$B$1:$AV$479,MATCH("Producerad elenergi i kraftvärmeverk (GWh)",Kraftvärmeprod!$B$1:$AV$1,0),FALSE)),"",VLOOKUP($B359,Kraftvärmeprod!$B$1:$AV$479,MATCH("Producerad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Värmevärden AB</v>
      </c>
    </row>
    <row r="360" spans="1:10" x14ac:dyDescent="0.45">
      <c r="A360" s="2" t="s">
        <v>48</v>
      </c>
      <c r="B360" s="2" t="s">
        <v>215</v>
      </c>
      <c r="D360" t="str">
        <f>IF(ISERROR(1/VLOOKUP($B360,Kraftvärmeprod!$B$1:$D$479,MATCH("Total värmeproduktion i kraftvärmeverk i kombinerad drift (GWh)",Kraftvärmeprod!$B$1:$AV$1,0),FALSE)),"Ej kraftvärme","Alternativproduktionsmetoden")</f>
        <v>Alternativproduktionsmetoden</v>
      </c>
      <c r="E360">
        <f>IF(ISERROR(1/VLOOKUP($B360,Kraftvärmeprod!$B$1:$BD$479,MATCH("Total värmeproduktion i kraftvärmeverk i kombinerad drift (GWh)",Kraftvärmeprod!$B$1:$AV$1,0),FALSE)),"",VLOOKUP($B360,'Slutlig allokering kvv'!$B$1:$BC$479,MATCH(E$1,'Slutlig allokering kvv'!$B$1:$AU$1,0),FALSE))</f>
        <v>0.95272999115918666</v>
      </c>
      <c r="F360">
        <f>IF(ISERROR(1/VLOOKUP($B360,Kraftvärmeprod!$B$1:$AV$479,MATCH("Producerad elenergi i kraftvärmeverk (GWh)",Kraftvärmeprod!$B$1:$AV$1,0),FALSE)),"",VLOOKUP($B360,Kraftvärmeprod!$B$1:$AV$479,MATCH("Producerad elenergi i kraftvärmeverk (GWh)",Kraftvärmeprod!$B$1:$AV$1,0),FALSE))</f>
        <v>0.63500000000000001</v>
      </c>
      <c r="G360" t="str">
        <f>IF(ISERROR(1/VLOOKUP($B360,Miljö!$B$1:$T$480,MATCH("Såld mängd produktionsspecifik fjärrvärme (GWh)",Miljö!$B$1:$T$1,0),FALSE)),"",VLOOKUP($B360,Miljö!$B$1:$T$480,MATCH("Såld mängd produktionsspecifik fjärrvärme (GWh)",Miljö!$B$1:$T$1,0),FALSE))</f>
        <v/>
      </c>
      <c r="J360" t="str">
        <f t="shared" si="5"/>
        <v>Värmevärden AB</v>
      </c>
    </row>
    <row r="361" spans="1:10" x14ac:dyDescent="0.45">
      <c r="A361" s="2" t="s">
        <v>48</v>
      </c>
      <c r="B361" s="2" t="s">
        <v>214</v>
      </c>
      <c r="D361" t="str">
        <f>IF(ISERROR(1/VLOOKUP($B361,Kraftvärmeprod!$B$1:$D$479,MATCH("Total värmeproduktion i kraftvärmeverk i kombinerad drift (GWh)",Kraftvärmeprod!$B$1:$AV$1,0),FALSE)),"Ej kraftvärme","Alternativproduktionsmetoden")</f>
        <v>Alternativproduktionsmetoden</v>
      </c>
      <c r="E361">
        <f>IF(ISERROR(1/VLOOKUP($B361,Kraftvärmeprod!$B$1:$BD$479,MATCH("Total värmeproduktion i kraftvärmeverk i kombinerad drift (GWh)",Kraftvärmeprod!$B$1:$AV$1,0),FALSE)),"",VLOOKUP($B361,'Slutlig allokering kvv'!$B$1:$BC$479,MATCH(E$1,'Slutlig allokering kvv'!$B$1:$AU$1,0),FALSE))</f>
        <v>0.60971857681587149</v>
      </c>
      <c r="F361">
        <f>IF(ISERROR(1/VLOOKUP($B361,Kraftvärmeprod!$B$1:$AV$479,MATCH("Producerad elenergi i kraftvärmeverk (GWh)",Kraftvärmeprod!$B$1:$AV$1,0),FALSE)),"",VLOOKUP($B361,Kraftvärmeprod!$B$1:$AV$479,MATCH("Producerad elenergi i kraftvärmeverk (GWh)",Kraftvärmeprod!$B$1:$AV$1,0),FALSE))</f>
        <v>25.597999999999999</v>
      </c>
      <c r="G361" t="str">
        <f>IF(ISERROR(1/VLOOKUP($B361,Miljö!$B$1:$T$480,MATCH("Såld mängd produktionsspecifik fjärrvärme (GWh)",Miljö!$B$1:$T$1,0),FALSE)),"",VLOOKUP($B361,Miljö!$B$1:$T$480,MATCH("Såld mängd produktionsspecifik fjärrvärme (GWh)",Miljö!$B$1:$T$1,0),FALSE))</f>
        <v/>
      </c>
      <c r="J361" t="str">
        <f t="shared" si="5"/>
        <v>Värmevärden AB</v>
      </c>
    </row>
    <row r="362" spans="1:10" x14ac:dyDescent="0.45">
      <c r="A362" s="2" t="s">
        <v>48</v>
      </c>
      <c r="B362" s="2" t="s">
        <v>213</v>
      </c>
      <c r="D362" t="str">
        <f>IF(ISERROR(1/VLOOKUP($B362,Kraftvärmeprod!$B$1:$D$479,MATCH("Total värmeproduktion i kraftvärmeverk i kombinerad drift (GWh)",Kraftvärmeprod!$B$1:$AV$1,0),FALSE)),"Ej kraftvärme","Alternativproduktionsmetoden")</f>
        <v>Ej kraftvärme</v>
      </c>
      <c r="E362" t="str">
        <f>IF(ISERROR(1/VLOOKUP($B362,Kraftvärmeprod!$B$1:$BD$479,MATCH("Total värmeproduktion i kraftvärmeverk i kombinerad drift (GWh)",Kraftvärmeprod!$B$1:$AV$1,0),FALSE)),"",VLOOKUP($B362,'Slutlig allokering kvv'!$B$1:$BC$479,MATCH(E$1,'Slutlig allokering kvv'!$B$1:$AU$1,0),FALSE))</f>
        <v/>
      </c>
      <c r="F362" t="str">
        <f>IF(ISERROR(1/VLOOKUP($B362,Kraftvärmeprod!$B$1:$AV$479,MATCH("Producerad elenergi i kraftvärmeverk (GWh)",Kraftvärmeprod!$B$1:$AV$1,0),FALSE)),"",VLOOKUP($B362,Kraftvärmeprod!$B$1:$AV$479,MATCH("Producerad elenergi i kraftvärmeverk (GWh)",Kraftvärmeprod!$B$1:$AV$1,0),FALSE))</f>
        <v/>
      </c>
      <c r="G362" t="str">
        <f>IF(ISERROR(1/VLOOKUP($B362,Miljö!$B$1:$T$480,MATCH("Såld mängd produktionsspecifik fjärrvärme (GWh)",Miljö!$B$1:$T$1,0),FALSE)),"",VLOOKUP($B362,Miljö!$B$1:$T$480,MATCH("Såld mängd produktionsspecifik fjärrvärme (GWh)",Miljö!$B$1:$T$1,0),FALSE))</f>
        <v/>
      </c>
      <c r="J362" t="str">
        <f t="shared" si="5"/>
        <v>Värmevärden AB</v>
      </c>
    </row>
    <row r="363" spans="1:10" x14ac:dyDescent="0.45">
      <c r="A363" s="2" t="s">
        <v>48</v>
      </c>
      <c r="B363" s="2" t="s">
        <v>212</v>
      </c>
      <c r="D363" t="str">
        <f>IF(ISERROR(1/VLOOKUP($B363,Kraftvärmeprod!$B$1:$D$479,MATCH("Total värmeproduktion i kraftvärmeverk i kombinerad drift (GWh)",Kraftvärmeprod!$B$1:$AV$1,0),FALSE)),"Ej kraftvärme","Alternativproduktionsmetoden")</f>
        <v>Ej kraftvärme</v>
      </c>
      <c r="E363" t="str">
        <f>IF(ISERROR(1/VLOOKUP($B363,Kraftvärmeprod!$B$1:$BD$479,MATCH("Total värmeproduktion i kraftvärmeverk i kombinerad drift (GWh)",Kraftvärmeprod!$B$1:$AV$1,0),FALSE)),"",VLOOKUP($B363,'Slutlig allokering kvv'!$B$1:$BC$479,MATCH(E$1,'Slutlig allokering kvv'!$B$1:$AU$1,0),FALSE))</f>
        <v/>
      </c>
      <c r="F363" t="str">
        <f>IF(ISERROR(1/VLOOKUP($B363,Kraftvärmeprod!$B$1:$AV$479,MATCH("Producerad elenergi i kraftvärmeverk (GWh)",Kraftvärmeprod!$B$1:$AV$1,0),FALSE)),"",VLOOKUP($B363,Kraftvärmeprod!$B$1:$AV$479,MATCH("Producerad elenergi i kraftvärmeverk (GWh)",Kraftvärmeprod!$B$1:$AV$1,0),FALSE))</f>
        <v/>
      </c>
      <c r="G363" t="str">
        <f>IF(ISERROR(1/VLOOKUP($B363,Miljö!$B$1:$T$480,MATCH("Såld mängd produktionsspecifik fjärrvärme (GWh)",Miljö!$B$1:$T$1,0),FALSE)),"",VLOOKUP($B363,Miljö!$B$1:$T$480,MATCH("Såld mängd produktionsspecifik fjärrvärme (GWh)",Miljö!$B$1:$T$1,0),FALSE))</f>
        <v/>
      </c>
      <c r="J363" t="str">
        <f t="shared" si="5"/>
        <v>Värmevärden AB</v>
      </c>
    </row>
    <row r="364" spans="1:10" x14ac:dyDescent="0.45">
      <c r="A364" s="2" t="s">
        <v>48</v>
      </c>
      <c r="B364" s="2" t="s">
        <v>211</v>
      </c>
      <c r="D364" t="str">
        <f>IF(ISERROR(1/VLOOKUP($B364,Kraftvärmeprod!$B$1:$D$479,MATCH("Total värmeproduktion i kraftvärmeverk i kombinerad drift (GWh)",Kraftvärmeprod!$B$1:$AV$1,0),FALSE)),"Ej kraftvärme","Alternativproduktionsmetoden")</f>
        <v>Ej kraftvärme</v>
      </c>
      <c r="E364" t="str">
        <f>IF(ISERROR(1/VLOOKUP($B364,Kraftvärmeprod!$B$1:$BD$479,MATCH("Total värmeproduktion i kraftvärmeverk i kombinerad drift (GWh)",Kraftvärmeprod!$B$1:$AV$1,0),FALSE)),"",VLOOKUP($B364,'Slutlig allokering kvv'!$B$1:$BC$479,MATCH(E$1,'Slutlig allokering kvv'!$B$1:$AU$1,0),FALSE))</f>
        <v/>
      </c>
      <c r="F364" t="str">
        <f>IF(ISERROR(1/VLOOKUP($B364,Kraftvärmeprod!$B$1:$AV$479,MATCH("Producerad elenergi i kraftvärmeverk (GWh)",Kraftvärmeprod!$B$1:$AV$1,0),FALSE)),"",VLOOKUP($B364,Kraftvärmeprod!$B$1:$AV$479,MATCH("Producerad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Värmevärden AB</v>
      </c>
    </row>
    <row r="365" spans="1:10" x14ac:dyDescent="0.45">
      <c r="A365" s="2" t="s">
        <v>48</v>
      </c>
      <c r="B365" s="2" t="s">
        <v>210</v>
      </c>
      <c r="D365" t="str">
        <f>IF(ISERROR(1/VLOOKUP($B365,Kraftvärmeprod!$B$1:$D$479,MATCH("Total värmeproduktion i kraftvärmeverk i kombinerad drift (GWh)",Kraftvärmeprod!$B$1:$AV$1,0),FALSE)),"Ej kraftvärme","Alternativproduktionsmetoden")</f>
        <v>Ej kraftvärme</v>
      </c>
      <c r="E365" t="str">
        <f>IF(ISERROR(1/VLOOKUP($B365,Kraftvärmeprod!$B$1:$BD$479,MATCH("Total värmeproduktion i kraftvärmeverk i kombinerad drift (GWh)",Kraftvärmeprod!$B$1:$AV$1,0),FALSE)),"",VLOOKUP($B365,'Slutlig allokering kvv'!$B$1:$BC$479,MATCH(E$1,'Slutlig allokering kvv'!$B$1:$AU$1,0),FALSE))</f>
        <v/>
      </c>
      <c r="F365" t="str">
        <f>IF(ISERROR(1/VLOOKUP($B365,Kraftvärmeprod!$B$1:$AV$479,MATCH("Producerad elenergi i kraftvärmeverk (GWh)",Kraftvärmeprod!$B$1:$AV$1,0),FALSE)),"",VLOOKUP($B365,Kraftvärmeprod!$B$1:$AV$479,MATCH("Producerad elenergi i kraftvärmeverk (GWh)",Kraftvärmeprod!$B$1:$AV$1,0),FALSE))</f>
        <v/>
      </c>
      <c r="G365" t="str">
        <f>IF(ISERROR(1/VLOOKUP($B365,Miljö!$B$1:$T$480,MATCH("Såld mängd produktionsspecifik fjärrvärme (GWh)",Miljö!$B$1:$T$1,0),FALSE)),"",VLOOKUP($B365,Miljö!$B$1:$T$480,MATCH("Såld mängd produktionsspecifik fjärrvärme (GWh)",Miljö!$B$1:$T$1,0),FALSE))</f>
        <v/>
      </c>
      <c r="J365" t="str">
        <f t="shared" si="5"/>
        <v>Värmevärden AB</v>
      </c>
    </row>
    <row r="366" spans="1:10" x14ac:dyDescent="0.45">
      <c r="A366" s="2" t="s">
        <v>48</v>
      </c>
      <c r="B366" s="2" t="s">
        <v>209</v>
      </c>
      <c r="D366" t="str">
        <f>IF(ISERROR(1/VLOOKUP($B366,Kraftvärmeprod!$B$1:$D$479,MATCH("Total värmeproduktion i kraftvärmeverk i kombinerad drift (GWh)",Kraftvärmeprod!$B$1:$AV$1,0),FALSE)),"Ej kraftvärme","Alternativproduktionsmetoden")</f>
        <v>Alternativproduktionsmetoden</v>
      </c>
      <c r="E366">
        <f>IF(ISERROR(1/VLOOKUP($B366,Kraftvärmeprod!$B$1:$BD$479,MATCH("Total värmeproduktion i kraftvärmeverk i kombinerad drift (GWh)",Kraftvärmeprod!$B$1:$AV$1,0),FALSE)),"",VLOOKUP($B366,'Slutlig allokering kvv'!$B$1:$BC$479,MATCH(E$1,'Slutlig allokering kvv'!$B$1:$AU$1,0),FALSE))</f>
        <v>0.68271280100429854</v>
      </c>
      <c r="F366">
        <f>IF(ISERROR(1/VLOOKUP($B366,Kraftvärmeprod!$B$1:$AV$479,MATCH("Producerad elenergi i kraftvärmeverk (GWh)",Kraftvärmeprod!$B$1:$AV$1,0),FALSE)),"",VLOOKUP($B366,Kraftvärmeprod!$B$1:$AV$479,MATCH("Producerad elenergi i kraftvärmeverk (GWh)",Kraftvärmeprod!$B$1:$AV$1,0),FALSE))</f>
        <v>3.448</v>
      </c>
      <c r="G366" t="str">
        <f>IF(ISERROR(1/VLOOKUP($B366,Miljö!$B$1:$T$480,MATCH("Såld mängd produktionsspecifik fjärrvärme (GWh)",Miljö!$B$1:$T$1,0),FALSE)),"",VLOOKUP($B366,Miljö!$B$1:$T$480,MATCH("Såld mängd produktionsspecifik fjärrvärme (GWh)",Miljö!$B$1:$T$1,0),FALSE))</f>
        <v/>
      </c>
      <c r="J366" t="str">
        <f t="shared" si="5"/>
        <v>Värmevärden AB</v>
      </c>
    </row>
    <row r="367" spans="1:10" x14ac:dyDescent="0.45">
      <c r="A367" s="2" t="s">
        <v>48</v>
      </c>
      <c r="B367" s="2" t="s">
        <v>208</v>
      </c>
      <c r="D367" t="str">
        <f>IF(ISERROR(1/VLOOKUP($B367,Kraftvärmeprod!$B$1:$D$479,MATCH("Total värmeproduktion i kraftvärmeverk i kombinerad drift (GWh)",Kraftvärmeprod!$B$1:$AV$1,0),FALSE)),"Ej kraftvärme","Alternativproduktionsmetoden")</f>
        <v>Ej kraftvärme</v>
      </c>
      <c r="E367" t="str">
        <f>IF(ISERROR(1/VLOOKUP($B367,Kraftvärmeprod!$B$1:$BD$479,MATCH("Total värmeproduktion i kraftvärmeverk i kombinerad drift (GWh)",Kraftvärmeprod!$B$1:$AV$1,0),FALSE)),"",VLOOKUP($B367,'Slutlig allokering kvv'!$B$1:$BC$479,MATCH(E$1,'Slutlig allokering kvv'!$B$1:$AU$1,0),FALSE))</f>
        <v/>
      </c>
      <c r="F367" t="str">
        <f>IF(ISERROR(1/VLOOKUP($B367,Kraftvärmeprod!$B$1:$AV$479,MATCH("Producerad elenergi i kraftvärmeverk (GWh)",Kraftvärmeprod!$B$1:$AV$1,0),FALSE)),"",VLOOKUP($B367,Kraftvärmeprod!$B$1:$AV$479,MATCH("Producerad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Värmevärden AB</v>
      </c>
    </row>
    <row r="368" spans="1:10" x14ac:dyDescent="0.45">
      <c r="A368" s="2" t="s">
        <v>48</v>
      </c>
      <c r="B368" s="2" t="s">
        <v>207</v>
      </c>
      <c r="D368" t="str">
        <f>IF(ISERROR(1/VLOOKUP($B368,Kraftvärmeprod!$B$1:$D$479,MATCH("Total värmeproduktion i kraftvärmeverk i kombinerad drift (GWh)",Kraftvärmeprod!$B$1:$AV$1,0),FALSE)),"Ej kraftvärme","Alternativproduktionsmetoden")</f>
        <v>Ej kraftvärme</v>
      </c>
      <c r="E368" t="str">
        <f>IF(ISERROR(1/VLOOKUP($B368,Kraftvärmeprod!$B$1:$BD$479,MATCH("Total värmeproduktion i kraftvärmeverk i kombinerad drift (GWh)",Kraftvärmeprod!$B$1:$AV$1,0),FALSE)),"",VLOOKUP($B368,'Slutlig allokering kvv'!$B$1:$BC$479,MATCH(E$1,'Slutlig allokering kvv'!$B$1:$AU$1,0),FALSE))</f>
        <v/>
      </c>
      <c r="F368" t="str">
        <f>IF(ISERROR(1/VLOOKUP($B368,Kraftvärmeprod!$B$1:$AV$479,MATCH("Producerad elenergi i kraftvärmeverk (GWh)",Kraftvärmeprod!$B$1:$AV$1,0),FALSE)),"",VLOOKUP($B368,Kraftvärmeprod!$B$1:$AV$479,MATCH("Producerad elenergi i kraftvärmeverk (GWh)",Kraftvärmeprod!$B$1:$AV$1,0),FALSE))</f>
        <v/>
      </c>
      <c r="G368" t="str">
        <f>IF(ISERROR(1/VLOOKUP($B368,Miljö!$B$1:$T$480,MATCH("Såld mängd produktionsspecifik fjärrvärme (GWh)",Miljö!$B$1:$T$1,0),FALSE)),"",VLOOKUP($B368,Miljö!$B$1:$T$480,MATCH("Såld mängd produktionsspecifik fjärrvärme (GWh)",Miljö!$B$1:$T$1,0),FALSE))</f>
        <v/>
      </c>
      <c r="J368" t="str">
        <f t="shared" si="5"/>
        <v>Värmevärden AB</v>
      </c>
    </row>
    <row r="369" spans="1:10" x14ac:dyDescent="0.45">
      <c r="A369" s="2" t="s">
        <v>48</v>
      </c>
      <c r="B369" s="2" t="s">
        <v>206</v>
      </c>
      <c r="D369" t="str">
        <f>IF(ISERROR(1/VLOOKUP($B369,Kraftvärmeprod!$B$1:$D$479,MATCH("Total värmeproduktion i kraftvärmeverk i kombinerad drift (GWh)",Kraftvärmeprod!$B$1:$AV$1,0),FALSE)),"Ej kraftvärme","Alternativproduktionsmetoden")</f>
        <v>Ej kraftvärme</v>
      </c>
      <c r="E369" t="str">
        <f>IF(ISERROR(1/VLOOKUP($B369,Kraftvärmeprod!$B$1:$BD$479,MATCH("Total värmeproduktion i kraftvärmeverk i kombinerad drift (GWh)",Kraftvärmeprod!$B$1:$AV$1,0),FALSE)),"",VLOOKUP($B369,'Slutlig allokering kvv'!$B$1:$BC$479,MATCH(E$1,'Slutlig allokering kvv'!$B$1:$AU$1,0),FALSE))</f>
        <v/>
      </c>
      <c r="F369" t="str">
        <f>IF(ISERROR(1/VLOOKUP($B369,Kraftvärmeprod!$B$1:$AV$479,MATCH("Producerad elenergi i kraftvärmeverk (GWh)",Kraftvärmeprod!$B$1:$AV$1,0),FALSE)),"",VLOOKUP($B369,Kraftvärmeprod!$B$1:$AV$479,MATCH("Producerad elenergi i kraftvärmeverk (GWh)",Kraftvärmeprod!$B$1:$AV$1,0),FALSE))</f>
        <v/>
      </c>
      <c r="G369" t="str">
        <f>IF(ISERROR(1/VLOOKUP($B369,Miljö!$B$1:$T$480,MATCH("Såld mängd produktionsspecifik fjärrvärme (GWh)",Miljö!$B$1:$T$1,0),FALSE)),"",VLOOKUP($B369,Miljö!$B$1:$T$480,MATCH("Såld mängd produktionsspecifik fjärrvärme (GWh)",Miljö!$B$1:$T$1,0),FALSE))</f>
        <v/>
      </c>
      <c r="J369" t="str">
        <f t="shared" si="5"/>
        <v>Värmevärden AB</v>
      </c>
    </row>
    <row r="370" spans="1:10" x14ac:dyDescent="0.45">
      <c r="A370" s="2" t="s">
        <v>48</v>
      </c>
      <c r="B370" s="2" t="s">
        <v>205</v>
      </c>
      <c r="D370" t="str">
        <f>IF(ISERROR(1/VLOOKUP($B370,Kraftvärmeprod!$B$1:$D$479,MATCH("Total värmeproduktion i kraftvärmeverk i kombinerad drift (GWh)",Kraftvärmeprod!$B$1:$AV$1,0),FALSE)),"Ej kraftvärme","Alternativproduktionsmetoden")</f>
        <v>Ej kraftvärme</v>
      </c>
      <c r="E370" t="str">
        <f>IF(ISERROR(1/VLOOKUP($B370,Kraftvärmeprod!$B$1:$BD$479,MATCH("Total värmeproduktion i kraftvärmeverk i kombinerad drift (GWh)",Kraftvärmeprod!$B$1:$AV$1,0),FALSE)),"",VLOOKUP($B370,'Slutlig allokering kvv'!$B$1:$BC$479,MATCH(E$1,'Slutlig allokering kvv'!$B$1:$AU$1,0),FALSE))</f>
        <v/>
      </c>
      <c r="F370" t="str">
        <f>IF(ISERROR(1/VLOOKUP($B370,Kraftvärmeprod!$B$1:$AV$479,MATCH("Producerad elenergi i kraftvärmeverk (GWh)",Kraftvärmeprod!$B$1:$AV$1,0),FALSE)),"",VLOOKUP($B370,Kraftvärmeprod!$B$1:$AV$479,MATCH("Producerad elenergi i kraftvärmeverk (GWh)",Kraftvärmeprod!$B$1:$AV$1,0),FALSE))</f>
        <v/>
      </c>
      <c r="G370" t="str">
        <f>IF(ISERROR(1/VLOOKUP($B370,Miljö!$B$1:$T$480,MATCH("Såld mängd produktionsspecifik fjärrvärme (GWh)",Miljö!$B$1:$T$1,0),FALSE)),"",VLOOKUP($B370,Miljö!$B$1:$T$480,MATCH("Såld mängd produktionsspecifik fjärrvärme (GWh)",Miljö!$B$1:$T$1,0),FALSE))</f>
        <v/>
      </c>
      <c r="J370" t="str">
        <f t="shared" si="5"/>
        <v>Värmevärden AB</v>
      </c>
    </row>
    <row r="371" spans="1:10" x14ac:dyDescent="0.45">
      <c r="A371" s="2" t="s">
        <v>48</v>
      </c>
      <c r="B371" s="2" t="s">
        <v>204</v>
      </c>
      <c r="D371" t="str">
        <f>IF(ISERROR(1/VLOOKUP($B371,Kraftvärmeprod!$B$1:$D$479,MATCH("Total värmeproduktion i kraftvärmeverk i kombinerad drift (GWh)",Kraftvärmeprod!$B$1:$AV$1,0),FALSE)),"Ej kraftvärme","Alternativproduktionsmetoden")</f>
        <v>Ej kraftvärme</v>
      </c>
      <c r="E371" t="str">
        <f>IF(ISERROR(1/VLOOKUP($B371,Kraftvärmeprod!$B$1:$BD$479,MATCH("Total värmeproduktion i kraftvärmeverk i kombinerad drift (GWh)",Kraftvärmeprod!$B$1:$AV$1,0),FALSE)),"",VLOOKUP($B371,'Slutlig allokering kvv'!$B$1:$BC$479,MATCH(E$1,'Slutlig allokering kvv'!$B$1:$AU$1,0),FALSE))</f>
        <v/>
      </c>
      <c r="F371" t="str">
        <f>IF(ISERROR(1/VLOOKUP($B371,Kraftvärmeprod!$B$1:$AV$479,MATCH("Producerad elenergi i kraftvärmeverk (GWh)",Kraftvärmeprod!$B$1:$AV$1,0),FALSE)),"",VLOOKUP($B371,Kraftvärmeprod!$B$1:$AV$479,MATCH("Producerad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Värmevärden AB</v>
      </c>
    </row>
    <row r="372" spans="1:10" x14ac:dyDescent="0.45">
      <c r="A372" s="2" t="s">
        <v>197</v>
      </c>
      <c r="B372" s="2" t="s">
        <v>203</v>
      </c>
      <c r="D372" t="str">
        <f>IF(ISERROR(1/VLOOKUP($B372,Kraftvärmeprod!$B$1:$D$479,MATCH("Total värmeproduktion i kraftvärmeverk i kombinerad drift (GWh)",Kraftvärmeprod!$B$1:$AV$1,0),FALSE)),"Ej kraftvärme","Alternativproduktionsmetoden")</f>
        <v>Ej kraftvärme</v>
      </c>
      <c r="E372" t="str">
        <f>IF(ISERROR(1/VLOOKUP($B372,Kraftvärmeprod!$B$1:$BD$479,MATCH("Total värmeproduktion i kraftvärmeverk i kombinerad drift (GWh)",Kraftvärmeprod!$B$1:$AV$1,0),FALSE)),"",VLOOKUP($B372,'Slutlig allokering kvv'!$B$1:$BC$479,MATCH(E$1,'Slutlig allokering kvv'!$B$1:$AU$1,0),FALSE))</f>
        <v/>
      </c>
      <c r="F372" t="str">
        <f>IF(ISERROR(1/VLOOKUP($B372,Kraftvärmeprod!$B$1:$AV$479,MATCH("Producerad elenergi i kraftvärmeverk (GWh)",Kraftvärmeprod!$B$1:$AV$1,0),FALSE)),"",VLOOKUP($B372,Kraftvärmeprod!$B$1:$AV$479,MATCH("Producerad elenergi i kraftvärmeverk (GWh)",Kraftvärmeprod!$B$1:$AV$1,0),FALSE))</f>
        <v/>
      </c>
      <c r="G372" t="str">
        <f>IF(ISERROR(1/VLOOKUP($B372,Miljö!$B$1:$T$480,MATCH("Såld mängd produktionsspecifik fjärrvärme (GWh)",Miljö!$B$1:$T$1,0),FALSE)),"",VLOOKUP($B372,Miljö!$B$1:$T$480,MATCH("Såld mängd produktionsspecifik fjärrvärme (GWh)",Miljö!$B$1:$T$1,0),FALSE))</f>
        <v/>
      </c>
      <c r="J372" t="str">
        <f t="shared" si="5"/>
        <v>Värnamo Energi AB</v>
      </c>
    </row>
    <row r="373" spans="1:10" x14ac:dyDescent="0.45">
      <c r="A373" s="2" t="s">
        <v>197</v>
      </c>
      <c r="B373" s="2" t="s">
        <v>202</v>
      </c>
      <c r="D373" t="str">
        <f>IF(ISERROR(1/VLOOKUP($B373,Kraftvärmeprod!$B$1:$D$479,MATCH("Total värmeproduktion i kraftvärmeverk i kombinerad drift (GWh)",Kraftvärmeprod!$B$1:$AV$1,0),FALSE)),"Ej kraftvärme","Alternativproduktionsmetoden")</f>
        <v>Ej kraftvärme</v>
      </c>
      <c r="E373" t="str">
        <f>IF(ISERROR(1/VLOOKUP($B373,Kraftvärmeprod!$B$1:$BD$479,MATCH("Total värmeproduktion i kraftvärmeverk i kombinerad drift (GWh)",Kraftvärmeprod!$B$1:$AV$1,0),FALSE)),"",VLOOKUP($B373,'Slutlig allokering kvv'!$B$1:$BC$479,MATCH(E$1,'Slutlig allokering kvv'!$B$1:$AU$1,0),FALSE))</f>
        <v/>
      </c>
      <c r="F373" t="str">
        <f>IF(ISERROR(1/VLOOKUP($B373,Kraftvärmeprod!$B$1:$AV$479,MATCH("Producerad elenergi i kraftvärmeverk (GWh)",Kraftvärmeprod!$B$1:$AV$1,0),FALSE)),"",VLOOKUP($B373,Kraftvärmeprod!$B$1:$AV$479,MATCH("Producerad elenergi i kraftvärmeverk (GWh)",Kraftvärmeprod!$B$1:$AV$1,0),FALSE))</f>
        <v/>
      </c>
      <c r="G373" t="str">
        <f>IF(ISERROR(1/VLOOKUP($B373,Miljö!$B$1:$T$480,MATCH("Såld mängd produktionsspecifik fjärrvärme (GWh)",Miljö!$B$1:$T$1,0),FALSE)),"",VLOOKUP($B373,Miljö!$B$1:$T$480,MATCH("Såld mängd produktionsspecifik fjärrvärme (GWh)",Miljö!$B$1:$T$1,0),FALSE))</f>
        <v/>
      </c>
      <c r="J373" t="str">
        <f t="shared" si="5"/>
        <v>Värnamo Energi AB</v>
      </c>
    </row>
    <row r="374" spans="1:10" x14ac:dyDescent="0.45">
      <c r="A374" s="2" t="s">
        <v>197</v>
      </c>
      <c r="B374" s="2" t="s">
        <v>201</v>
      </c>
      <c r="D374" t="str">
        <f>IF(ISERROR(1/VLOOKUP($B374,Kraftvärmeprod!$B$1:$D$479,MATCH("Total värmeproduktion i kraftvärmeverk i kombinerad drift (GWh)",Kraftvärmeprod!$B$1:$AV$1,0),FALSE)),"Ej kraftvärme","Alternativproduktionsmetoden")</f>
        <v>Ej kraftvärme</v>
      </c>
      <c r="E374" t="str">
        <f>IF(ISERROR(1/VLOOKUP($B374,Kraftvärmeprod!$B$1:$BD$479,MATCH("Total värmeproduktion i kraftvärmeverk i kombinerad drift (GWh)",Kraftvärmeprod!$B$1:$AV$1,0),FALSE)),"",VLOOKUP($B374,'Slutlig allokering kvv'!$B$1:$BC$479,MATCH(E$1,'Slutlig allokering kvv'!$B$1:$AU$1,0),FALSE))</f>
        <v/>
      </c>
      <c r="F374" t="str">
        <f>IF(ISERROR(1/VLOOKUP($B374,Kraftvärmeprod!$B$1:$AV$479,MATCH("Producerad elenergi i kraftvärmeverk (GWh)",Kraftvärmeprod!$B$1:$AV$1,0),FALSE)),"",VLOOKUP($B374,Kraftvärmeprod!$B$1:$AV$479,MATCH("Producerad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Värnamo Energi AB</v>
      </c>
    </row>
    <row r="375" spans="1:10" x14ac:dyDescent="0.45">
      <c r="A375" s="2" t="s">
        <v>197</v>
      </c>
      <c r="B375" s="2" t="s">
        <v>199</v>
      </c>
      <c r="D375" t="str">
        <f>IF(ISERROR(1/VLOOKUP($B375,Kraftvärmeprod!$B$1:$D$479,MATCH("Total värmeproduktion i kraftvärmeverk i kombinerad drift (GWh)",Kraftvärmeprod!$B$1:$AV$1,0),FALSE)),"Ej kraftvärme","Alternativproduktionsmetoden")</f>
        <v>Ej kraftvärme</v>
      </c>
      <c r="E375" t="str">
        <f>IF(ISERROR(1/VLOOKUP($B375,Kraftvärmeprod!$B$1:$BD$479,MATCH("Total värmeproduktion i kraftvärmeverk i kombinerad drift (GWh)",Kraftvärmeprod!$B$1:$AV$1,0),FALSE)),"",VLOOKUP($B375,'Slutlig allokering kvv'!$B$1:$BC$479,MATCH(E$1,'Slutlig allokering kvv'!$B$1:$AU$1,0),FALSE))</f>
        <v/>
      </c>
      <c r="F375" t="str">
        <f>IF(ISERROR(1/VLOOKUP($B375,Kraftvärmeprod!$B$1:$AV$479,MATCH("Producerad elenergi i kraftvärmeverk (GWh)",Kraftvärmeprod!$B$1:$AV$1,0),FALSE)),"",VLOOKUP($B375,Kraftvärmeprod!$B$1:$AV$479,MATCH("Producerad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Värnamo Energi AB</v>
      </c>
    </row>
    <row r="376" spans="1:10" x14ac:dyDescent="0.45">
      <c r="A376" s="2" t="s">
        <v>197</v>
      </c>
      <c r="B376" s="2" t="s">
        <v>198</v>
      </c>
      <c r="D376" t="str">
        <f>IF(ISERROR(1/VLOOKUP($B376,Kraftvärmeprod!$B$1:$D$479,MATCH("Total värmeproduktion i kraftvärmeverk i kombinerad drift (GWh)",Kraftvärmeprod!$B$1:$AV$1,0),FALSE)),"Ej kraftvärme","Alternativproduktionsmetoden")</f>
        <v>Ej kraftvärme</v>
      </c>
      <c r="E376" t="str">
        <f>IF(ISERROR(1/VLOOKUP($B376,Kraftvärmeprod!$B$1:$BD$479,MATCH("Total värmeproduktion i kraftvärmeverk i kombinerad drift (GWh)",Kraftvärmeprod!$B$1:$AV$1,0),FALSE)),"",VLOOKUP($B376,'Slutlig allokering kvv'!$B$1:$BC$479,MATCH(E$1,'Slutlig allokering kvv'!$B$1:$AU$1,0),FALSE))</f>
        <v/>
      </c>
      <c r="F376" t="str">
        <f>IF(ISERROR(1/VLOOKUP($B376,Kraftvärmeprod!$B$1:$AV$479,MATCH("Producerad elenergi i kraftvärmeverk (GWh)",Kraftvärmeprod!$B$1:$AV$1,0),FALSE)),"",VLOOKUP($B376,Kraftvärmeprod!$B$1:$AV$479,MATCH("Producerad elenergi i kraftvärmeverk (GWh)",Kraftvärmeprod!$B$1:$AV$1,0),FALSE))</f>
        <v/>
      </c>
      <c r="G376" t="str">
        <f>IF(ISERROR(1/VLOOKUP($B376,Miljö!$B$1:$T$480,MATCH("Såld mängd produktionsspecifik fjärrvärme (GWh)",Miljö!$B$1:$T$1,0),FALSE)),"",VLOOKUP($B376,Miljö!$B$1:$T$480,MATCH("Såld mängd produktionsspecifik fjärrvärme (GWh)",Miljö!$B$1:$T$1,0),FALSE))</f>
        <v/>
      </c>
      <c r="J376" t="str">
        <f t="shared" si="5"/>
        <v>Värnamo Energi AB</v>
      </c>
    </row>
    <row r="377" spans="1:10" x14ac:dyDescent="0.45">
      <c r="A377" s="2" t="s">
        <v>197</v>
      </c>
      <c r="B377" s="2" t="s">
        <v>196</v>
      </c>
      <c r="D377" t="str">
        <f>IF(ISERROR(1/VLOOKUP($B377,Kraftvärmeprod!$B$1:$D$479,MATCH("Total värmeproduktion i kraftvärmeverk i kombinerad drift (GWh)",Kraftvärmeprod!$B$1:$AV$1,0),FALSE)),"Ej kraftvärme","Alternativproduktionsmetoden")</f>
        <v>Alternativproduktionsmetoden</v>
      </c>
      <c r="E377">
        <f>IF(ISERROR(1/VLOOKUP($B377,Kraftvärmeprod!$B$1:$BD$479,MATCH("Total värmeproduktion i kraftvärmeverk i kombinerad drift (GWh)",Kraftvärmeprod!$B$1:$AV$1,0),FALSE)),"",VLOOKUP($B377,'Slutlig allokering kvv'!$B$1:$BC$479,MATCH(E$1,'Slutlig allokering kvv'!$B$1:$AU$1,0),FALSE))</f>
        <v>0.62818194926628002</v>
      </c>
      <c r="F377">
        <f>IF(ISERROR(1/VLOOKUP($B377,Kraftvärmeprod!$B$1:$AV$479,MATCH("Producerad elenergi i kraftvärmeverk (GWh)",Kraftvärmeprod!$B$1:$AV$1,0),FALSE)),"",VLOOKUP($B377,Kraftvärmeprod!$B$1:$AV$479,MATCH("Producerad elenergi i kraftvärmeverk (GWh)",Kraftvärmeprod!$B$1:$AV$1,0),FALSE))</f>
        <v>14.43</v>
      </c>
      <c r="G377" t="str">
        <f>IF(ISERROR(1/VLOOKUP($B377,Miljö!$B$1:$T$480,MATCH("Såld mängd produktionsspecifik fjärrvärme (GWh)",Miljö!$B$1:$T$1,0),FALSE)),"",VLOOKUP($B377,Miljö!$B$1:$T$480,MATCH("Såld mängd produktionsspecifik fjärrvärme (GWh)",Miljö!$B$1:$T$1,0),FALSE))</f>
        <v/>
      </c>
      <c r="J377" t="str">
        <f t="shared" si="5"/>
        <v>Värnamo Energi AB</v>
      </c>
    </row>
    <row r="378" spans="1:10" x14ac:dyDescent="0.45">
      <c r="A378" s="2" t="s">
        <v>191</v>
      </c>
      <c r="B378" s="2" t="s">
        <v>195</v>
      </c>
      <c r="D378" t="str">
        <f>IF(ISERROR(1/VLOOKUP($B378,Kraftvärmeprod!$B$1:$D$479,MATCH("Total värmeproduktion i kraftvärmeverk i kombinerad drift (GWh)",Kraftvärmeprod!$B$1:$AV$1,0),FALSE)),"Ej kraftvärme","Alternativproduktionsmetoden")</f>
        <v>Ej kraftvärme</v>
      </c>
      <c r="E378" t="str">
        <f>IF(ISERROR(1/VLOOKUP($B378,Kraftvärmeprod!$B$1:$BD$479,MATCH("Total värmeproduktion i kraftvärmeverk i kombinerad drift (GWh)",Kraftvärmeprod!$B$1:$AV$1,0),FALSE)),"",VLOOKUP($B378,'Slutlig allokering kvv'!$B$1:$BC$479,MATCH(E$1,'Slutlig allokering kvv'!$B$1:$AU$1,0),FALSE))</f>
        <v/>
      </c>
      <c r="F378" t="str">
        <f>IF(ISERROR(1/VLOOKUP($B378,Kraftvärmeprod!$B$1:$AV$479,MATCH("Producerad elenergi i kraftvärmeverk (GWh)",Kraftvärmeprod!$B$1:$AV$1,0),FALSE)),"",VLOOKUP($B378,Kraftvärmeprod!$B$1:$AV$479,MATCH("Producerad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Västerbergslagens Energi AB</v>
      </c>
    </row>
    <row r="379" spans="1:10" x14ac:dyDescent="0.45">
      <c r="A379" s="2" t="s">
        <v>191</v>
      </c>
      <c r="B379" s="2" t="s">
        <v>193</v>
      </c>
      <c r="D379" t="str">
        <f>IF(ISERROR(1/VLOOKUP($B379,Kraftvärmeprod!$B$1:$D$479,MATCH("Total värmeproduktion i kraftvärmeverk i kombinerad drift (GWh)",Kraftvärmeprod!$B$1:$AV$1,0),FALSE)),"Ej kraftvärme","Alternativproduktionsmetoden")</f>
        <v>Ej kraftvärme</v>
      </c>
      <c r="E379" t="str">
        <f>IF(ISERROR(1/VLOOKUP($B379,Kraftvärmeprod!$B$1:$BD$479,MATCH("Total värmeproduktion i kraftvärmeverk i kombinerad drift (GWh)",Kraftvärmeprod!$B$1:$AV$1,0),FALSE)),"",VLOOKUP($B379,'Slutlig allokering kvv'!$B$1:$BC$479,MATCH(E$1,'Slutlig allokering kvv'!$B$1:$AU$1,0),FALSE))</f>
        <v/>
      </c>
      <c r="F379" t="str">
        <f>IF(ISERROR(1/VLOOKUP($B379,Kraftvärmeprod!$B$1:$AV$479,MATCH("Producerad elenergi i kraftvärmeverk (GWh)",Kraftvärmeprod!$B$1:$AV$1,0),FALSE)),"",VLOOKUP($B379,Kraftvärmeprod!$B$1:$AV$479,MATCH("Producerad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Västerbergslagens Energi AB</v>
      </c>
    </row>
    <row r="380" spans="1:10" x14ac:dyDescent="0.45">
      <c r="A380" s="2" t="s">
        <v>191</v>
      </c>
      <c r="B380" s="2" t="s">
        <v>192</v>
      </c>
      <c r="D380" t="str">
        <f>IF(ISERROR(1/VLOOKUP($B380,Kraftvärmeprod!$B$1:$D$479,MATCH("Total värmeproduktion i kraftvärmeverk i kombinerad drift (GWh)",Kraftvärmeprod!$B$1:$AV$1,0),FALSE)),"Ej kraftvärme","Alternativproduktionsmetoden")</f>
        <v>Ej kraftvärme</v>
      </c>
      <c r="E380" t="str">
        <f>IF(ISERROR(1/VLOOKUP($B380,Kraftvärmeprod!$B$1:$BD$479,MATCH("Total värmeproduktion i kraftvärmeverk i kombinerad drift (GWh)",Kraftvärmeprod!$B$1:$AV$1,0),FALSE)),"",VLOOKUP($B380,'Slutlig allokering kvv'!$B$1:$BC$479,MATCH(E$1,'Slutlig allokering kvv'!$B$1:$AU$1,0),FALSE))</f>
        <v/>
      </c>
      <c r="F380" t="str">
        <f>IF(ISERROR(1/VLOOKUP($B380,Kraftvärmeprod!$B$1:$AV$479,MATCH("Producerad elenergi i kraftvärmeverk (GWh)",Kraftvärmeprod!$B$1:$AV$1,0),FALSE)),"",VLOOKUP($B380,Kraftvärmeprod!$B$1:$AV$479,MATCH("Producerad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Västerbergslagens Energi AB</v>
      </c>
    </row>
    <row r="381" spans="1:10" x14ac:dyDescent="0.45">
      <c r="A381" s="2" t="s">
        <v>191</v>
      </c>
      <c r="B381" s="2" t="s">
        <v>190</v>
      </c>
      <c r="D381" t="str">
        <f>IF(ISERROR(1/VLOOKUP($B381,Kraftvärmeprod!$B$1:$D$479,MATCH("Total värmeproduktion i kraftvärmeverk i kombinerad drift (GWh)",Kraftvärmeprod!$B$1:$AV$1,0),FALSE)),"Ej kraftvärme","Alternativproduktionsmetoden")</f>
        <v>Ej kraftvärme</v>
      </c>
      <c r="E381" t="str">
        <f>IF(ISERROR(1/VLOOKUP($B381,Kraftvärmeprod!$B$1:$BD$479,MATCH("Total värmeproduktion i kraftvärmeverk i kombinerad drift (GWh)",Kraftvärmeprod!$B$1:$AV$1,0),FALSE)),"",VLOOKUP($B381,'Slutlig allokering kvv'!$B$1:$BC$479,MATCH(E$1,'Slutlig allokering kvv'!$B$1:$AU$1,0),FALSE))</f>
        <v/>
      </c>
      <c r="F381" t="str">
        <f>IF(ISERROR(1/VLOOKUP($B381,Kraftvärmeprod!$B$1:$AV$479,MATCH("Producerad elenergi i kraftvärmeverk (GWh)",Kraftvärmeprod!$B$1:$AV$1,0),FALSE)),"",VLOOKUP($B381,Kraftvärmeprod!$B$1:$AV$479,MATCH("Producerad elenergi i kraftvärmeverk (GWh)",Kraftvärmeprod!$B$1:$AV$1,0),FALSE))</f>
        <v/>
      </c>
      <c r="G381" t="str">
        <f>IF(ISERROR(1/VLOOKUP($B381,Miljö!$B$1:$T$480,MATCH("Såld mängd produktionsspecifik fjärrvärme (GWh)",Miljö!$B$1:$T$1,0),FALSE)),"",VLOOKUP($B381,Miljö!$B$1:$T$480,MATCH("Såld mängd produktionsspecifik fjärrvärme (GWh)",Miljö!$B$1:$T$1,0),FALSE))</f>
        <v/>
      </c>
      <c r="J381" t="str">
        <f t="shared" si="5"/>
        <v>Västerbergslagens Energi AB</v>
      </c>
    </row>
    <row r="382" spans="1:10" x14ac:dyDescent="0.45">
      <c r="A382" s="2" t="s">
        <v>187</v>
      </c>
      <c r="B382" s="2" t="s">
        <v>189</v>
      </c>
      <c r="D382" t="str">
        <f>IF(ISERROR(1/VLOOKUP($B382,Kraftvärmeprod!$B$1:$D$479,MATCH("Total värmeproduktion i kraftvärmeverk i kombinerad drift (GWh)",Kraftvärmeprod!$B$1:$AV$1,0),FALSE)),"Ej kraftvärme","Alternativproduktionsmetoden")</f>
        <v>Ej kraftvärme</v>
      </c>
      <c r="E382" t="str">
        <f>IF(ISERROR(1/VLOOKUP($B382,Kraftvärmeprod!$B$1:$BD$479,MATCH("Total värmeproduktion i kraftvärmeverk i kombinerad drift (GWh)",Kraftvärmeprod!$B$1:$AV$1,0),FALSE)),"",VLOOKUP($B382,'Slutlig allokering kvv'!$B$1:$BC$479,MATCH(E$1,'Slutlig allokering kvv'!$B$1:$AU$1,0),FALSE))</f>
        <v/>
      </c>
      <c r="F382" t="str">
        <f>IF(ISERROR(1/VLOOKUP($B382,Kraftvärmeprod!$B$1:$AV$479,MATCH("Producerad elenergi i kraftvärmeverk (GWh)",Kraftvärmeprod!$B$1:$AV$1,0),FALSE)),"",VLOOKUP($B382,Kraftvärmeprod!$B$1:$AV$479,MATCH("Producerad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Västervik Miljö &amp; Energi AB</v>
      </c>
    </row>
    <row r="383" spans="1:10" x14ac:dyDescent="0.45">
      <c r="A383" s="2" t="s">
        <v>187</v>
      </c>
      <c r="B383" s="2" t="s">
        <v>188</v>
      </c>
      <c r="D383" t="str">
        <f>IF(ISERROR(1/VLOOKUP($B383,Kraftvärmeprod!$B$1:$D$479,MATCH("Total värmeproduktion i kraftvärmeverk i kombinerad drift (GWh)",Kraftvärmeprod!$B$1:$AV$1,0),FALSE)),"Ej kraftvärme","Alternativproduktionsmetoden")</f>
        <v>Ej kraftvärme</v>
      </c>
      <c r="E383" t="str">
        <f>IF(ISERROR(1/VLOOKUP($B383,Kraftvärmeprod!$B$1:$BD$479,MATCH("Total värmeproduktion i kraftvärmeverk i kombinerad drift (GWh)",Kraftvärmeprod!$B$1:$AV$1,0),FALSE)),"",VLOOKUP($B383,'Slutlig allokering kvv'!$B$1:$BC$479,MATCH(E$1,'Slutlig allokering kvv'!$B$1:$AU$1,0),FALSE))</f>
        <v/>
      </c>
      <c r="F383" t="str">
        <f>IF(ISERROR(1/VLOOKUP($B383,Kraftvärmeprod!$B$1:$AV$479,MATCH("Producerad elenergi i kraftvärmeverk (GWh)",Kraftvärmeprod!$B$1:$AV$1,0),FALSE)),"",VLOOKUP($B383,Kraftvärmeprod!$B$1:$AV$479,MATCH("Producerad elenergi i kraftvärmeverk (GWh)",Kraftvärmeprod!$B$1:$AV$1,0),FALSE))</f>
        <v/>
      </c>
      <c r="G383" t="str">
        <f>IF(ISERROR(1/VLOOKUP($B383,Miljö!$B$1:$T$480,MATCH("Såld mängd produktionsspecifik fjärrvärme (GWh)",Miljö!$B$1:$T$1,0),FALSE)),"",VLOOKUP($B383,Miljö!$B$1:$T$480,MATCH("Såld mängd produktionsspecifik fjärrvärme (GWh)",Miljö!$B$1:$T$1,0),FALSE))</f>
        <v/>
      </c>
      <c r="J383" t="str">
        <f t="shared" si="5"/>
        <v>Västervik Miljö &amp; Energi AB</v>
      </c>
    </row>
    <row r="384" spans="1:10" x14ac:dyDescent="0.45">
      <c r="A384" s="2" t="s">
        <v>187</v>
      </c>
      <c r="B384" s="2" t="s">
        <v>186</v>
      </c>
      <c r="D384" t="str">
        <f>IF(ISERROR(1/VLOOKUP($B384,Kraftvärmeprod!$B$1:$D$479,MATCH("Total värmeproduktion i kraftvärmeverk i kombinerad drift (GWh)",Kraftvärmeprod!$B$1:$AV$1,0),FALSE)),"Ej kraftvärme","Alternativproduktionsmetoden")</f>
        <v>Alternativproduktionsmetoden</v>
      </c>
      <c r="E384">
        <f>IF(ISERROR(1/VLOOKUP($B384,Kraftvärmeprod!$B$1:$BD$479,MATCH("Total värmeproduktion i kraftvärmeverk i kombinerad drift (GWh)",Kraftvärmeprod!$B$1:$AV$1,0),FALSE)),"",VLOOKUP($B384,'Slutlig allokering kvv'!$B$1:$BC$479,MATCH(E$1,'Slutlig allokering kvv'!$B$1:$AU$1,0),FALSE))</f>
        <v>0.60327270302262381</v>
      </c>
      <c r="F384">
        <f>IF(ISERROR(1/VLOOKUP($B384,Kraftvärmeprod!$B$1:$AV$479,MATCH("Producerad elenergi i kraftvärmeverk (GWh)",Kraftvärmeprod!$B$1:$AV$1,0),FALSE)),"",VLOOKUP($B384,Kraftvärmeprod!$B$1:$AV$479,MATCH("Producerad elenergi i kraftvärmeverk (GWh)",Kraftvärmeprod!$B$1:$AV$1,0),FALSE))</f>
        <v>19.559000000000001</v>
      </c>
      <c r="G384" t="str">
        <f>IF(ISERROR(1/VLOOKUP($B384,Miljö!$B$1:$T$480,MATCH("Såld mängd produktionsspecifik fjärrvärme (GWh)",Miljö!$B$1:$T$1,0),FALSE)),"",VLOOKUP($B384,Miljö!$B$1:$T$480,MATCH("Såld mängd produktionsspecifik fjärrvärme (GWh)",Miljö!$B$1:$T$1,0),FALSE))</f>
        <v/>
      </c>
      <c r="J384" t="str">
        <f t="shared" si="5"/>
        <v>Västervik Miljö &amp; Energi AB</v>
      </c>
    </row>
    <row r="385" spans="1:10" x14ac:dyDescent="0.45">
      <c r="A385" s="2" t="s">
        <v>182</v>
      </c>
      <c r="B385" s="2" t="s">
        <v>185</v>
      </c>
      <c r="D385" t="str">
        <f>IF(ISERROR(1/VLOOKUP($B385,Kraftvärmeprod!$B$1:$D$479,MATCH("Total värmeproduktion i kraftvärmeverk i kombinerad drift (GWh)",Kraftvärmeprod!$B$1:$AV$1,0),FALSE)),"Ej kraftvärme","Alternativproduktionsmetoden")</f>
        <v>Ej kraftvärme</v>
      </c>
      <c r="E385" t="str">
        <f>IF(ISERROR(1/VLOOKUP($B385,Kraftvärmeprod!$B$1:$BD$479,MATCH("Total värmeproduktion i kraftvärmeverk i kombinerad drift (GWh)",Kraftvärmeprod!$B$1:$AV$1,0),FALSE)),"",VLOOKUP($B385,'Slutlig allokering kvv'!$B$1:$BC$479,MATCH(E$1,'Slutlig allokering kvv'!$B$1:$AU$1,0),FALSE))</f>
        <v/>
      </c>
      <c r="F385" t="str">
        <f>IF(ISERROR(1/VLOOKUP($B385,Kraftvärmeprod!$B$1:$AV$479,MATCH("Producerad elenergi i kraftvärmeverk (GWh)",Kraftvärmeprod!$B$1:$AV$1,0),FALSE)),"",VLOOKUP($B385,Kraftvärmeprod!$B$1:$AV$479,MATCH("Producerad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Västra Mälardalens Energi och Miljö AB</v>
      </c>
    </row>
    <row r="386" spans="1:10" x14ac:dyDescent="0.45">
      <c r="A386" s="2" t="s">
        <v>182</v>
      </c>
      <c r="B386" s="2" t="s">
        <v>184</v>
      </c>
      <c r="D386" t="str">
        <f>IF(ISERROR(1/VLOOKUP($B386,Kraftvärmeprod!$B$1:$D$479,MATCH("Total värmeproduktion i kraftvärmeverk i kombinerad drift (GWh)",Kraftvärmeprod!$B$1:$AV$1,0),FALSE)),"Ej kraftvärme","Alternativproduktionsmetoden")</f>
        <v>Ej kraftvärme</v>
      </c>
      <c r="E386" t="str">
        <f>IF(ISERROR(1/VLOOKUP($B386,Kraftvärmeprod!$B$1:$BD$479,MATCH("Total värmeproduktion i kraftvärmeverk i kombinerad drift (GWh)",Kraftvärmeprod!$B$1:$AV$1,0),FALSE)),"",VLOOKUP($B386,'Slutlig allokering kvv'!$B$1:$BC$479,MATCH(E$1,'Slutlig allokering kvv'!$B$1:$AU$1,0),FALSE))</f>
        <v/>
      </c>
      <c r="F386" t="str">
        <f>IF(ISERROR(1/VLOOKUP($B386,Kraftvärmeprod!$B$1:$AV$479,MATCH("Producerad elenergi i kraftvärmeverk (GWh)",Kraftvärmeprod!$B$1:$AV$1,0),FALSE)),"",VLOOKUP($B386,Kraftvärmeprod!$B$1:$AV$479,MATCH("Producerad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Västra Mälardalens Energi och Miljö AB</v>
      </c>
    </row>
    <row r="387" spans="1:10" x14ac:dyDescent="0.45">
      <c r="A387" s="2" t="s">
        <v>182</v>
      </c>
      <c r="B387" s="2" t="s">
        <v>183</v>
      </c>
      <c r="D387" t="str">
        <f>IF(ISERROR(1/VLOOKUP($B387,Kraftvärmeprod!$B$1:$D$479,MATCH("Total värmeproduktion i kraftvärmeverk i kombinerad drift (GWh)",Kraftvärmeprod!$B$1:$AV$1,0),FALSE)),"Ej kraftvärme","Alternativproduktionsmetoden")</f>
        <v>Ej kraftvärme</v>
      </c>
      <c r="E387" t="str">
        <f>IF(ISERROR(1/VLOOKUP($B387,Kraftvärmeprod!$B$1:$BD$479,MATCH("Total värmeproduktion i kraftvärmeverk i kombinerad drift (GWh)",Kraftvärmeprod!$B$1:$AV$1,0),FALSE)),"",VLOOKUP($B387,'Slutlig allokering kvv'!$B$1:$BC$479,MATCH(E$1,'Slutlig allokering kvv'!$B$1:$AU$1,0),FALSE))</f>
        <v/>
      </c>
      <c r="F387" t="str">
        <f>IF(ISERROR(1/VLOOKUP($B387,Kraftvärmeprod!$B$1:$AV$479,MATCH("Producerad elenergi i kraftvärmeverk (GWh)",Kraftvärmeprod!$B$1:$AV$1,0),FALSE)),"",VLOOKUP($B387,Kraftvärmeprod!$B$1:$AV$479,MATCH("Producerad elenergi i kraftvärmeverk (GWh)",Kraftvärmeprod!$B$1:$AV$1,0),FALSE))</f>
        <v/>
      </c>
      <c r="G387" t="str">
        <f>IF(ISERROR(1/VLOOKUP($B387,Miljö!$B$1:$T$480,MATCH("Såld mängd produktionsspecifik fjärrvärme (GWh)",Miljö!$B$1:$T$1,0),FALSE)),"",VLOOKUP($B387,Miljö!$B$1:$T$480,MATCH("Såld mängd produktionsspecifik fjärrvärme (GWh)",Miljö!$B$1:$T$1,0),FALSE))</f>
        <v/>
      </c>
      <c r="J387" t="str">
        <f t="shared" si="5"/>
        <v>Västra Mälardalens Energi och Miljö AB</v>
      </c>
    </row>
    <row r="388" spans="1:10" x14ac:dyDescent="0.45">
      <c r="A388" s="2" t="s">
        <v>182</v>
      </c>
      <c r="B388" s="2" t="s">
        <v>181</v>
      </c>
      <c r="D388" t="str">
        <f>IF(ISERROR(1/VLOOKUP($B388,Kraftvärmeprod!$B$1:$D$479,MATCH("Total värmeproduktion i kraftvärmeverk i kombinerad drift (GWh)",Kraftvärmeprod!$B$1:$AV$1,0),FALSE)),"Ej kraftvärme","Alternativproduktionsmetoden")</f>
        <v>Ej kraftvärme</v>
      </c>
      <c r="E388" t="str">
        <f>IF(ISERROR(1/VLOOKUP($B388,Kraftvärmeprod!$B$1:$BD$479,MATCH("Total värmeproduktion i kraftvärmeverk i kombinerad drift (GWh)",Kraftvärmeprod!$B$1:$AV$1,0),FALSE)),"",VLOOKUP($B388,'Slutlig allokering kvv'!$B$1:$BC$479,MATCH(E$1,'Slutlig allokering kvv'!$B$1:$AU$1,0),FALSE))</f>
        <v/>
      </c>
      <c r="F388" t="str">
        <f>IF(ISERROR(1/VLOOKUP($B388,Kraftvärmeprod!$B$1:$AV$479,MATCH("Producerad elenergi i kraftvärmeverk (GWh)",Kraftvärmeprod!$B$1:$AV$1,0),FALSE)),"",VLOOKUP($B388,Kraftvärmeprod!$B$1:$AV$479,MATCH("Producerad elenergi i kraftvärmeverk (GWh)",Kraftvärmeprod!$B$1:$AV$1,0),FALSE))</f>
        <v/>
      </c>
      <c r="G388" t="str">
        <f>IF(ISERROR(1/VLOOKUP($B388,Miljö!$B$1:$T$480,MATCH("Såld mängd produktionsspecifik fjärrvärme (GWh)",Miljö!$B$1:$T$1,0),FALSE)),"",VLOOKUP($B388,Miljö!$B$1:$T$480,MATCH("Såld mängd produktionsspecifik fjärrvärme (GWh)",Miljö!$B$1:$T$1,0),FALSE))</f>
        <v/>
      </c>
      <c r="J388" t="str">
        <f t="shared" ref="J388:J410" si="6">A388</f>
        <v>Västra Mälardalens Energi och Miljö AB</v>
      </c>
    </row>
    <row r="389" spans="1:10" x14ac:dyDescent="0.45">
      <c r="A389" s="2" t="s">
        <v>175</v>
      </c>
      <c r="B389" s="2" t="s">
        <v>180</v>
      </c>
      <c r="D389" t="str">
        <f>IF(ISERROR(1/VLOOKUP($B389,Kraftvärmeprod!$B$1:$D$479,MATCH("Total värmeproduktion i kraftvärmeverk i kombinerad drift (GWh)",Kraftvärmeprod!$B$1:$AV$1,0),FALSE)),"Ej kraftvärme","Alternativproduktionsmetoden")</f>
        <v>Ej kraftvärme</v>
      </c>
      <c r="E389" t="str">
        <f>IF(ISERROR(1/VLOOKUP($B389,Kraftvärmeprod!$B$1:$BD$479,MATCH("Total värmeproduktion i kraftvärmeverk i kombinerad drift (GWh)",Kraftvärmeprod!$B$1:$AV$1,0),FALSE)),"",VLOOKUP($B389,'Slutlig allokering kvv'!$B$1:$BC$479,MATCH(E$1,'Slutlig allokering kvv'!$B$1:$AU$1,0),FALSE))</f>
        <v/>
      </c>
      <c r="F389" t="str">
        <f>IF(ISERROR(1/VLOOKUP($B389,Kraftvärmeprod!$B$1:$AV$479,MATCH("Producerad elenergi i kraftvärmeverk (GWh)",Kraftvärmeprod!$B$1:$AV$1,0),FALSE)),"",VLOOKUP($B389,Kraftvärmeprod!$B$1:$AV$479,MATCH("Producerad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Växjö Energi AB</v>
      </c>
    </row>
    <row r="390" spans="1:10" x14ac:dyDescent="0.45">
      <c r="A390" s="2" t="s">
        <v>175</v>
      </c>
      <c r="B390" s="2" t="s">
        <v>179</v>
      </c>
      <c r="D390" t="str">
        <f>IF(ISERROR(1/VLOOKUP($B390,Kraftvärmeprod!$B$1:$D$479,MATCH("Total värmeproduktion i kraftvärmeverk i kombinerad drift (GWh)",Kraftvärmeprod!$B$1:$AV$1,0),FALSE)),"Ej kraftvärme","Alternativproduktionsmetoden")</f>
        <v>Ej kraftvärme</v>
      </c>
      <c r="E390" t="str">
        <f>IF(ISERROR(1/VLOOKUP($B390,Kraftvärmeprod!$B$1:$BD$479,MATCH("Total värmeproduktion i kraftvärmeverk i kombinerad drift (GWh)",Kraftvärmeprod!$B$1:$AV$1,0),FALSE)),"",VLOOKUP($B390,'Slutlig allokering kvv'!$B$1:$BC$479,MATCH(E$1,'Slutlig allokering kvv'!$B$1:$AU$1,0),FALSE))</f>
        <v/>
      </c>
      <c r="F390" t="str">
        <f>IF(ISERROR(1/VLOOKUP($B390,Kraftvärmeprod!$B$1:$AV$479,MATCH("Producerad elenergi i kraftvärmeverk (GWh)",Kraftvärmeprod!$B$1:$AV$1,0),FALSE)),"",VLOOKUP($B390,Kraftvärmeprod!$B$1:$AV$479,MATCH("Producerad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Växjö Energi AB</v>
      </c>
    </row>
    <row r="391" spans="1:10" x14ac:dyDescent="0.45">
      <c r="A391" s="2" t="s">
        <v>175</v>
      </c>
      <c r="B391" s="2" t="s">
        <v>178</v>
      </c>
      <c r="D391" t="str">
        <f>IF(ISERROR(1/VLOOKUP($B391,Kraftvärmeprod!$B$1:$D$479,MATCH("Total värmeproduktion i kraftvärmeverk i kombinerad drift (GWh)",Kraftvärmeprod!$B$1:$AV$1,0),FALSE)),"Ej kraftvärme","Alternativproduktionsmetoden")</f>
        <v>Ej kraftvärme</v>
      </c>
      <c r="E391" t="str">
        <f>IF(ISERROR(1/VLOOKUP($B391,Kraftvärmeprod!$B$1:$BD$479,MATCH("Total värmeproduktion i kraftvärmeverk i kombinerad drift (GWh)",Kraftvärmeprod!$B$1:$AV$1,0),FALSE)),"",VLOOKUP($B391,'Slutlig allokering kvv'!$B$1:$BC$479,MATCH(E$1,'Slutlig allokering kvv'!$B$1:$AU$1,0),FALSE))</f>
        <v/>
      </c>
      <c r="F391" t="str">
        <f>IF(ISERROR(1/VLOOKUP($B391,Kraftvärmeprod!$B$1:$AV$479,MATCH("Producerad elenergi i kraftvärmeverk (GWh)",Kraftvärmeprod!$B$1:$AV$1,0),FALSE)),"",VLOOKUP($B391,Kraftvärmeprod!$B$1:$AV$479,MATCH("Producerad elenergi i kraftvärmeverk (GWh)",Kraftvärmeprod!$B$1:$AV$1,0),FALSE))</f>
        <v/>
      </c>
      <c r="G391" t="str">
        <f>IF(ISERROR(1/VLOOKUP($B391,Miljö!$B$1:$T$480,MATCH("Såld mängd produktionsspecifik fjärrvärme (GWh)",Miljö!$B$1:$T$1,0),FALSE)),"",VLOOKUP($B391,Miljö!$B$1:$T$480,MATCH("Såld mängd produktionsspecifik fjärrvärme (GWh)",Miljö!$B$1:$T$1,0),FALSE))</f>
        <v/>
      </c>
      <c r="J391" t="str">
        <f t="shared" si="6"/>
        <v>Växjö Energi AB</v>
      </c>
    </row>
    <row r="392" spans="1:10" x14ac:dyDescent="0.45">
      <c r="A392" s="2" t="s">
        <v>175</v>
      </c>
      <c r="B392" s="2" t="s">
        <v>177</v>
      </c>
      <c r="D392" t="str">
        <f>IF(ISERROR(1/VLOOKUP($B392,Kraftvärmeprod!$B$1:$D$479,MATCH("Total värmeproduktion i kraftvärmeverk i kombinerad drift (GWh)",Kraftvärmeprod!$B$1:$AV$1,0),FALSE)),"Ej kraftvärme","Alternativproduktionsmetoden")</f>
        <v>Ej kraftvärme</v>
      </c>
      <c r="E392" t="str">
        <f>IF(ISERROR(1/VLOOKUP($B392,Kraftvärmeprod!$B$1:$BD$479,MATCH("Total värmeproduktion i kraftvärmeverk i kombinerad drift (GWh)",Kraftvärmeprod!$B$1:$AV$1,0),FALSE)),"",VLOOKUP($B392,'Slutlig allokering kvv'!$B$1:$BC$479,MATCH(E$1,'Slutlig allokering kvv'!$B$1:$AU$1,0),FALSE))</f>
        <v/>
      </c>
      <c r="F392" t="str">
        <f>IF(ISERROR(1/VLOOKUP($B392,Kraftvärmeprod!$B$1:$AV$479,MATCH("Producerad elenergi i kraftvärmeverk (GWh)",Kraftvärmeprod!$B$1:$AV$1,0),FALSE)),"",VLOOKUP($B392,Kraftvärmeprod!$B$1:$AV$479,MATCH("Producerad elenergi i kraftvärmeverk (GWh)",Kraftvärmeprod!$B$1:$AV$1,0),FALSE))</f>
        <v/>
      </c>
      <c r="G392" t="str">
        <f>IF(ISERROR(1/VLOOKUP($B392,Miljö!$B$1:$T$480,MATCH("Såld mängd produktionsspecifik fjärrvärme (GWh)",Miljö!$B$1:$T$1,0),FALSE)),"",VLOOKUP($B392,Miljö!$B$1:$T$480,MATCH("Såld mängd produktionsspecifik fjärrvärme (GWh)",Miljö!$B$1:$T$1,0),FALSE))</f>
        <v/>
      </c>
      <c r="J392" t="str">
        <f t="shared" si="6"/>
        <v>Växjö Energi AB</v>
      </c>
    </row>
    <row r="393" spans="1:10" x14ac:dyDescent="0.45">
      <c r="A393" s="2" t="s">
        <v>175</v>
      </c>
      <c r="B393" s="2" t="s">
        <v>174</v>
      </c>
      <c r="D393" t="str">
        <f>IF(ISERROR(1/VLOOKUP($B393,Kraftvärmeprod!$B$1:$D$479,MATCH("Total värmeproduktion i kraftvärmeverk i kombinerad drift (GWh)",Kraftvärmeprod!$B$1:$AV$1,0),FALSE)),"Ej kraftvärme","Alternativproduktionsmetoden")</f>
        <v>Alternativproduktionsmetoden</v>
      </c>
      <c r="E393">
        <f>IF(ISERROR(1/VLOOKUP($B393,Kraftvärmeprod!$B$1:$BD$479,MATCH("Total värmeproduktion i kraftvärmeverk i kombinerad drift (GWh)",Kraftvärmeprod!$B$1:$AV$1,0),FALSE)),"",VLOOKUP($B393,'Slutlig allokering kvv'!$B$1:$BC$479,MATCH(E$1,'Slutlig allokering kvv'!$B$1:$AU$1,0),FALSE))</f>
        <v>0.47362810233310226</v>
      </c>
      <c r="F393">
        <f>IF(ISERROR(1/VLOOKUP($B393,Kraftvärmeprod!$B$1:$AV$479,MATCH("Producerad elenergi i kraftvärmeverk (GWh)",Kraftvärmeprod!$B$1:$AV$1,0),FALSE)),"",VLOOKUP($B393,Kraftvärmeprod!$B$1:$AV$479,MATCH("Producerad elenergi i kraftvärmeverk (GWh)",Kraftvärmeprod!$B$1:$AV$1,0),FALSE))</f>
        <v>232.5</v>
      </c>
      <c r="G393" t="str">
        <f>IF(ISERROR(1/VLOOKUP($B393,Miljö!$B$1:$T$480,MATCH("Såld mängd produktionsspecifik fjärrvärme (GWh)",Miljö!$B$1:$T$1,0),FALSE)),"",VLOOKUP($B393,Miljö!$B$1:$T$480,MATCH("Såld mängd produktionsspecifik fjärrvärme (GWh)",Miljö!$B$1:$T$1,0),FALSE))</f>
        <v/>
      </c>
      <c r="J393" t="str">
        <f t="shared" si="6"/>
        <v>Växjö Energi AB</v>
      </c>
    </row>
    <row r="394" spans="1:10" x14ac:dyDescent="0.45">
      <c r="A394" s="2" t="s">
        <v>172</v>
      </c>
      <c r="B394" s="2" t="s">
        <v>171</v>
      </c>
      <c r="D394" t="str">
        <f>IF(ISERROR(1/VLOOKUP($B394,Kraftvärmeprod!$B$1:$D$479,MATCH("Total värmeproduktion i kraftvärmeverk i kombinerad drift (GWh)",Kraftvärmeprod!$B$1:$AV$1,0),FALSE)),"Ej kraftvärme","Alternativproduktionsmetoden")</f>
        <v>Ej kraftvärme</v>
      </c>
      <c r="E394" t="str">
        <f>IF(ISERROR(1/VLOOKUP($B394,Kraftvärmeprod!$B$1:$BD$479,MATCH("Total värmeproduktion i kraftvärmeverk i kombinerad drift (GWh)",Kraftvärmeprod!$B$1:$AV$1,0),FALSE)),"",VLOOKUP($B394,'Slutlig allokering kvv'!$B$1:$BC$479,MATCH(E$1,'Slutlig allokering kvv'!$B$1:$AU$1,0),FALSE))</f>
        <v/>
      </c>
      <c r="F394" t="str">
        <f>IF(ISERROR(1/VLOOKUP($B394,Kraftvärmeprod!$B$1:$AV$479,MATCH("Producerad elenergi i kraftvärmeverk (GWh)",Kraftvärmeprod!$B$1:$AV$1,0),FALSE)),"",VLOOKUP($B394,Kraftvärmeprod!$B$1:$AV$479,MATCH("Producerad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Ystad Energi AB</v>
      </c>
    </row>
    <row r="395" spans="1:10" x14ac:dyDescent="0.45">
      <c r="A395" s="2" t="s">
        <v>169</v>
      </c>
      <c r="B395" s="2" t="s">
        <v>170</v>
      </c>
      <c r="D395" t="str">
        <f>IF(ISERROR(1/VLOOKUP($B395,Kraftvärmeprod!$B$1:$D$479,MATCH("Total värmeproduktion i kraftvärmeverk i kombinerad drift (GWh)",Kraftvärmeprod!$B$1:$AV$1,0),FALSE)),"Ej kraftvärme","Alternativproduktionsmetoden")</f>
        <v>Ej kraftvärme</v>
      </c>
      <c r="E395" t="str">
        <f>IF(ISERROR(1/VLOOKUP($B395,Kraftvärmeprod!$B$1:$BD$479,MATCH("Total värmeproduktion i kraftvärmeverk i kombinerad drift (GWh)",Kraftvärmeprod!$B$1:$AV$1,0),FALSE)),"",VLOOKUP($B395,'Slutlig allokering kvv'!$B$1:$BC$479,MATCH(E$1,'Slutlig allokering kvv'!$B$1:$AU$1,0),FALSE))</f>
        <v/>
      </c>
      <c r="F395" t="str">
        <f>IF(ISERROR(1/VLOOKUP($B395,Kraftvärmeprod!$B$1:$AV$479,MATCH("Producerad elenergi i kraftvärmeverk (GWh)",Kraftvärmeprod!$B$1:$AV$1,0),FALSE)),"",VLOOKUP($B395,Kraftvärmeprod!$B$1:$AV$479,MATCH("Producerad elenergi i kraftvärmeverk (GWh)",Kraftvärmeprod!$B$1:$AV$1,0),FALSE))</f>
        <v/>
      </c>
      <c r="G395" t="str">
        <f>IF(ISERROR(1/VLOOKUP($B395,Miljö!$B$1:$T$480,MATCH("Såld mängd produktionsspecifik fjärrvärme (GWh)",Miljö!$B$1:$T$1,0),FALSE)),"",VLOOKUP($B395,Miljö!$B$1:$T$480,MATCH("Såld mängd produktionsspecifik fjärrvärme (GWh)",Miljö!$B$1:$T$1,0),FALSE))</f>
        <v/>
      </c>
      <c r="J395" t="str">
        <f t="shared" si="6"/>
        <v>Ånge Energi AB</v>
      </c>
    </row>
    <row r="396" spans="1:10" x14ac:dyDescent="0.45">
      <c r="A396" s="2" t="s">
        <v>169</v>
      </c>
      <c r="B396" s="2" t="s">
        <v>168</v>
      </c>
      <c r="D396" t="str">
        <f>IF(ISERROR(1/VLOOKUP($B396,Kraftvärmeprod!$B$1:$D$479,MATCH("Total värmeproduktion i kraftvärmeverk i kombinerad drift (GWh)",Kraftvärmeprod!$B$1:$AV$1,0),FALSE)),"Ej kraftvärme","Alternativproduktionsmetoden")</f>
        <v>Ej kraftvärme</v>
      </c>
      <c r="E396" t="str">
        <f>IF(ISERROR(1/VLOOKUP($B396,Kraftvärmeprod!$B$1:$BD$479,MATCH("Total värmeproduktion i kraftvärmeverk i kombinerad drift (GWh)",Kraftvärmeprod!$B$1:$AV$1,0),FALSE)),"",VLOOKUP($B396,'Slutlig allokering kvv'!$B$1:$BC$479,MATCH(E$1,'Slutlig allokering kvv'!$B$1:$AU$1,0),FALSE))</f>
        <v/>
      </c>
      <c r="F396" t="str">
        <f>IF(ISERROR(1/VLOOKUP($B396,Kraftvärmeprod!$B$1:$AV$479,MATCH("Producerad elenergi i kraftvärmeverk (GWh)",Kraftvärmeprod!$B$1:$AV$1,0),FALSE)),"",VLOOKUP($B396,Kraftvärmeprod!$B$1:$AV$479,MATCH("Producerad elenergi i kraftvärmeverk (GWh)",Kraftvärmeprod!$B$1:$AV$1,0),FALSE))</f>
        <v/>
      </c>
      <c r="G396" t="str">
        <f>IF(ISERROR(1/VLOOKUP($B396,Miljö!$B$1:$T$480,MATCH("Såld mängd produktionsspecifik fjärrvärme (GWh)",Miljö!$B$1:$T$1,0),FALSE)),"",VLOOKUP($B396,Miljö!$B$1:$T$480,MATCH("Såld mängd produktionsspecifik fjärrvärme (GWh)",Miljö!$B$1:$T$1,0),FALSE))</f>
        <v/>
      </c>
      <c r="J396" t="str">
        <f t="shared" si="6"/>
        <v>Ånge Energi AB</v>
      </c>
    </row>
    <row r="397" spans="1:10" x14ac:dyDescent="0.45">
      <c r="A397" s="2" t="s">
        <v>167</v>
      </c>
      <c r="B397" s="2" t="s">
        <v>136</v>
      </c>
      <c r="D397" t="str">
        <f>IF(ISERROR(1/VLOOKUP($B397,Kraftvärmeprod!$B$1:$D$479,MATCH("Total värmeproduktion i kraftvärmeverk i kombinerad drift (GWh)",Kraftvärmeprod!$B$1:$AV$1,0),FALSE)),"Ej kraftvärme","Alternativproduktionsmetoden")</f>
        <v>Ej kraftvärme</v>
      </c>
      <c r="E397" t="str">
        <f>IF(ISERROR(1/VLOOKUP($B397,Kraftvärmeprod!$B$1:$BD$479,MATCH("Total värmeproduktion i kraftvärmeverk i kombinerad drift (GWh)",Kraftvärmeprod!$B$1:$AV$1,0),FALSE)),"",VLOOKUP($B397,'Slutlig allokering kvv'!$B$1:$BC$479,MATCH(E$1,'Slutlig allokering kvv'!$B$1:$AU$1,0),FALSE))</f>
        <v/>
      </c>
      <c r="F397" t="str">
        <f>IF(ISERROR(1/VLOOKUP($B397,Kraftvärmeprod!$B$1:$AV$479,MATCH("Producerad elenergi i kraftvärmeverk (GWh)",Kraftvärmeprod!$B$1:$AV$1,0),FALSE)),"",VLOOKUP($B397,Kraftvärmeprod!$B$1:$AV$479,MATCH("Producerad elenergi i kraftvärmeverk (GWh)",Kraftvärmeprod!$B$1:$AV$1,0),FALSE))</f>
        <v/>
      </c>
      <c r="G397" t="str">
        <f>IF(ISERROR(1/VLOOKUP($B397,Miljö!$B$1:$T$480,MATCH("Såld mängd produktionsspecifik fjärrvärme (GWh)",Miljö!$B$1:$T$1,0),FALSE)),"",VLOOKUP($B397,Miljö!$B$1:$T$480,MATCH("Såld mängd produktionsspecifik fjärrvärme (GWh)",Miljö!$B$1:$T$1,0),FALSE))</f>
        <v/>
      </c>
      <c r="J397" t="str">
        <f t="shared" si="6"/>
        <v>Åsele Energiverk AB</v>
      </c>
    </row>
    <row r="398" spans="1:10" x14ac:dyDescent="0.45">
      <c r="A398" s="2" t="s">
        <v>162</v>
      </c>
      <c r="B398" s="2" t="s">
        <v>166</v>
      </c>
      <c r="D398" t="str">
        <f>IF(ISERROR(1/VLOOKUP($B398,Kraftvärmeprod!$B$1:$D$479,MATCH("Total värmeproduktion i kraftvärmeverk i kombinerad drift (GWh)",Kraftvärmeprod!$B$1:$AV$1,0),FALSE)),"Ej kraftvärme","Alternativproduktionsmetoden")</f>
        <v>Alternativproduktionsmetoden</v>
      </c>
      <c r="E398">
        <f>IF(ISERROR(1/VLOOKUP($B398,Kraftvärmeprod!$B$1:$BD$479,MATCH("Total värmeproduktion i kraftvärmeverk i kombinerad drift (GWh)",Kraftvärmeprod!$B$1:$AV$1,0),FALSE)),"",VLOOKUP($B398,'Slutlig allokering kvv'!$B$1:$BC$479,MATCH(E$1,'Slutlig allokering kvv'!$B$1:$AU$1,0),FALSE))</f>
        <v>0.46646753906301303</v>
      </c>
      <c r="F398">
        <f>IF(ISERROR(1/VLOOKUP($B398,Kraftvärmeprod!$B$1:$AV$479,MATCH("Producerad elenergi i kraftvärmeverk (GWh)",Kraftvärmeprod!$B$1:$AV$1,0),FALSE)),"",VLOOKUP($B398,Kraftvärmeprod!$B$1:$AV$479,MATCH("Producerad elenergi i kraftvärmeverk (GWh)",Kraftvärmeprod!$B$1:$AV$1,0),FALSE))</f>
        <v>192.93899999999999</v>
      </c>
      <c r="G398">
        <f>IF(ISERROR(1/VLOOKUP($B398,Miljö!$B$1:$T$480,MATCH("Såld mängd produktionsspecifik fjärrvärme (GWh)",Miljö!$B$1:$T$1,0),FALSE)),"",VLOOKUP($B398,Miljö!$B$1:$T$480,MATCH("Såld mängd produktionsspecifik fjärrvärme (GWh)",Miljö!$B$1:$T$1,0),FALSE))</f>
        <v>104.4</v>
      </c>
      <c r="J398" t="str">
        <f t="shared" si="6"/>
        <v>Öresundskraft AB</v>
      </c>
    </row>
    <row r="399" spans="1:10" x14ac:dyDescent="0.45">
      <c r="A399" s="2" t="s">
        <v>162</v>
      </c>
      <c r="B399" s="2" t="s">
        <v>164</v>
      </c>
      <c r="D399" t="str">
        <f>IF(ISERROR(1/VLOOKUP($B399,Kraftvärmeprod!$B$1:$D$479,MATCH("Total värmeproduktion i kraftvärmeverk i kombinerad drift (GWh)",Kraftvärmeprod!$B$1:$AV$1,0),FALSE)),"Ej kraftvärme","Alternativproduktionsmetoden")</f>
        <v>Ej kraftvärme</v>
      </c>
      <c r="E399" t="str">
        <f>IF(ISERROR(1/VLOOKUP($B399,Kraftvärmeprod!$B$1:$BD$479,MATCH("Total värmeproduktion i kraftvärmeverk i kombinerad drift (GWh)",Kraftvärmeprod!$B$1:$AV$1,0),FALSE)),"",VLOOKUP($B399,'Slutlig allokering kvv'!$B$1:$BC$479,MATCH(E$1,'Slutlig allokering kvv'!$B$1:$AU$1,0),FALSE))</f>
        <v/>
      </c>
      <c r="F399" t="str">
        <f>IF(ISERROR(1/VLOOKUP($B399,Kraftvärmeprod!$B$1:$AV$479,MATCH("Producerad elenergi i kraftvärmeverk (GWh)",Kraftvärmeprod!$B$1:$AV$1,0),FALSE)),"",VLOOKUP($B399,Kraftvärmeprod!$B$1:$AV$479,MATCH("Producerad elenergi i kraftvärmeverk (GWh)",Kraftvärmeprod!$B$1:$AV$1,0),FALSE))</f>
        <v/>
      </c>
      <c r="G399" t="str">
        <f>IF(ISERROR(1/VLOOKUP($B399,Miljö!$B$1:$T$480,MATCH("Såld mängd produktionsspecifik fjärrvärme (GWh)",Miljö!$B$1:$T$1,0),FALSE)),"",VLOOKUP($B399,Miljö!$B$1:$T$480,MATCH("Såld mängd produktionsspecifik fjärrvärme (GWh)",Miljö!$B$1:$T$1,0),FALSE))</f>
        <v/>
      </c>
      <c r="J399" t="str">
        <f t="shared" si="6"/>
        <v>Öresundskraft AB</v>
      </c>
    </row>
    <row r="400" spans="1:10" x14ac:dyDescent="0.45">
      <c r="A400" s="2" t="s">
        <v>162</v>
      </c>
      <c r="B400" s="2" t="s">
        <v>163</v>
      </c>
      <c r="D400" t="str">
        <f>IF(ISERROR(1/VLOOKUP($B400,Kraftvärmeprod!$B$1:$D$479,MATCH("Total värmeproduktion i kraftvärmeverk i kombinerad drift (GWh)",Kraftvärmeprod!$B$1:$AV$1,0),FALSE)),"Ej kraftvärme","Alternativproduktionsmetoden")</f>
        <v>Ej kraftvärme</v>
      </c>
      <c r="E400" t="str">
        <f>IF(ISERROR(1/VLOOKUP($B400,Kraftvärmeprod!$B$1:$BD$479,MATCH("Total värmeproduktion i kraftvärmeverk i kombinerad drift (GWh)",Kraftvärmeprod!$B$1:$AV$1,0),FALSE)),"",VLOOKUP($B400,'Slutlig allokering kvv'!$B$1:$BC$479,MATCH(E$1,'Slutlig allokering kvv'!$B$1:$AU$1,0),FALSE))</f>
        <v/>
      </c>
      <c r="F400" t="str">
        <f>IF(ISERROR(1/VLOOKUP($B400,Kraftvärmeprod!$B$1:$AV$479,MATCH("Producerad elenergi i kraftvärmeverk (GWh)",Kraftvärmeprod!$B$1:$AV$1,0),FALSE)),"",VLOOKUP($B400,Kraftvärmeprod!$B$1:$AV$479,MATCH("Producerad elenergi i kraftvärmeverk (GWh)",Kraftvärmeprod!$B$1:$AV$1,0),FALSE))</f>
        <v/>
      </c>
      <c r="G400" t="str">
        <f>IF(ISERROR(1/VLOOKUP($B400,Miljö!$B$1:$T$480,MATCH("Såld mängd produktionsspecifik fjärrvärme (GWh)",Miljö!$B$1:$T$1,0),FALSE)),"",VLOOKUP($B400,Miljö!$B$1:$T$480,MATCH("Såld mängd produktionsspecifik fjärrvärme (GWh)",Miljö!$B$1:$T$1,0),FALSE))</f>
        <v/>
      </c>
      <c r="J400" t="str">
        <f t="shared" si="6"/>
        <v>Öresundskraft AB</v>
      </c>
    </row>
    <row r="401" spans="1:10" x14ac:dyDescent="0.45">
      <c r="A401" s="2" t="s">
        <v>162</v>
      </c>
      <c r="B401" s="2" t="s">
        <v>161</v>
      </c>
      <c r="D401" t="str">
        <f>IF(ISERROR(1/VLOOKUP($B401,Kraftvärmeprod!$B$1:$D$479,MATCH("Total värmeproduktion i kraftvärmeverk i kombinerad drift (GWh)",Kraftvärmeprod!$B$1:$AV$1,0),FALSE)),"Ej kraftvärme","Alternativproduktionsmetoden")</f>
        <v>Ej kraftvärme</v>
      </c>
      <c r="E401" t="str">
        <f>IF(ISERROR(1/VLOOKUP($B401,Kraftvärmeprod!$B$1:$BD$479,MATCH("Total värmeproduktion i kraftvärmeverk i kombinerad drift (GWh)",Kraftvärmeprod!$B$1:$AV$1,0),FALSE)),"",VLOOKUP($B401,'Slutlig allokering kvv'!$B$1:$BC$479,MATCH(E$1,'Slutlig allokering kvv'!$B$1:$AU$1,0),FALSE))</f>
        <v/>
      </c>
      <c r="F401" t="str">
        <f>IF(ISERROR(1/VLOOKUP($B401,Kraftvärmeprod!$B$1:$AV$479,MATCH("Producerad elenergi i kraftvärmeverk (GWh)",Kraftvärmeprod!$B$1:$AV$1,0),FALSE)),"",VLOOKUP($B401,Kraftvärmeprod!$B$1:$AV$479,MATCH("Producerad elenergi i kraftvärmeverk (GWh)",Kraftvärmeprod!$B$1:$AV$1,0),FALSE))</f>
        <v/>
      </c>
      <c r="G401" t="str">
        <f>IF(ISERROR(1/VLOOKUP($B401,Miljö!$B$1:$T$480,MATCH("Såld mängd produktionsspecifik fjärrvärme (GWh)",Miljö!$B$1:$T$1,0),FALSE)),"",VLOOKUP($B401,Miljö!$B$1:$T$480,MATCH("Såld mängd produktionsspecifik fjärrvärme (GWh)",Miljö!$B$1:$T$1,0),FALSE))</f>
        <v/>
      </c>
      <c r="J401" t="str">
        <f t="shared" si="6"/>
        <v>Öresundskraft AB</v>
      </c>
    </row>
    <row r="402" spans="1:10" x14ac:dyDescent="0.45">
      <c r="A402" s="2" t="s">
        <v>159</v>
      </c>
      <c r="B402" s="2" t="s">
        <v>158</v>
      </c>
      <c r="D402" t="str">
        <f>IF(ISERROR(1/VLOOKUP($B402,Kraftvärmeprod!$B$1:$D$479,MATCH("Total värmeproduktion i kraftvärmeverk i kombinerad drift (GWh)",Kraftvärmeprod!$B$1:$AV$1,0),FALSE)),"Ej kraftvärme","Alternativproduktionsmetoden")</f>
        <v>Ej kraftvärme</v>
      </c>
      <c r="E402" t="str">
        <f>IF(ISERROR(1/VLOOKUP($B402,Kraftvärmeprod!$B$1:$BD$479,MATCH("Total värmeproduktion i kraftvärmeverk i kombinerad drift (GWh)",Kraftvärmeprod!$B$1:$AV$1,0),FALSE)),"",VLOOKUP($B402,'Slutlig allokering kvv'!$B$1:$BC$479,MATCH(E$1,'Slutlig allokering kvv'!$B$1:$AU$1,0),FALSE))</f>
        <v/>
      </c>
      <c r="F402" t="str">
        <f>IF(ISERROR(1/VLOOKUP($B402,Kraftvärmeprod!$B$1:$AV$479,MATCH("Producerad elenergi i kraftvärmeverk (GWh)",Kraftvärmeprod!$B$1:$AV$1,0),FALSE)),"",VLOOKUP($B402,Kraftvärmeprod!$B$1:$AV$479,MATCH("Producerad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Örkelljunga Fjärrvärmeverk AB</v>
      </c>
    </row>
    <row r="403" spans="1:10" x14ac:dyDescent="0.45">
      <c r="A403" s="2" t="s">
        <v>157</v>
      </c>
      <c r="B403" s="2" t="s">
        <v>156</v>
      </c>
      <c r="D403" t="str">
        <f>IF(ISERROR(1/VLOOKUP($B403,Kraftvärmeprod!$B$1:$D$479,MATCH("Total värmeproduktion i kraftvärmeverk i kombinerad drift (GWh)",Kraftvärmeprod!$B$1:$AV$1,0),FALSE)),"Ej kraftvärme","Alternativproduktionsmetoden")</f>
        <v>Ej kraftvärme</v>
      </c>
      <c r="E403" t="str">
        <f>IF(ISERROR(1/VLOOKUP($B403,Kraftvärmeprod!$B$1:$BD$479,MATCH("Total värmeproduktion i kraftvärmeverk i kombinerad drift (GWh)",Kraftvärmeprod!$B$1:$AV$1,0),FALSE)),"",VLOOKUP($B403,'Slutlig allokering kvv'!$B$1:$BC$479,MATCH(E$1,'Slutlig allokering kvv'!$B$1:$AU$1,0),FALSE))</f>
        <v/>
      </c>
      <c r="F403" t="str">
        <f>IF(ISERROR(1/VLOOKUP($B403,Kraftvärmeprod!$B$1:$AV$479,MATCH("Producerad elenergi i kraftvärmeverk (GWh)",Kraftvärmeprod!$B$1:$AV$1,0),FALSE)),"",VLOOKUP($B403,Kraftvärmeprod!$B$1:$AV$479,MATCH("Producerad elenergi i kraftvärmeverk (GWh)",Kraftvärmeprod!$B$1:$AV$1,0),FALSE))</f>
        <v/>
      </c>
      <c r="G403" t="str">
        <f>IF(ISERROR(1/VLOOKUP($B403,Miljö!$B$1:$T$480,MATCH("Såld mängd produktionsspecifik fjärrvärme (GWh)",Miljö!$B$1:$T$1,0),FALSE)),"",VLOOKUP($B403,Miljö!$B$1:$T$480,MATCH("Såld mängd produktionsspecifik fjärrvärme (GWh)",Miljö!$B$1:$T$1,0),FALSE))</f>
        <v/>
      </c>
      <c r="J403" t="str">
        <f t="shared" si="6"/>
        <v>Österlens Kraft AB</v>
      </c>
    </row>
    <row r="404" spans="1:10" x14ac:dyDescent="0.45">
      <c r="A404" s="2" t="s">
        <v>12</v>
      </c>
      <c r="B404" s="2" t="s">
        <v>14</v>
      </c>
      <c r="D404" t="str">
        <f>IF(ISERROR(1/VLOOKUP($B404,Kraftvärmeprod!$B$1:$D$479,MATCH("Total värmeproduktion i kraftvärmeverk i kombinerad drift (GWh)",Kraftvärmeprod!$B$1:$AV$1,0),FALSE)),"Ej kraftvärme","Alternativproduktionsmetoden")</f>
        <v>Ej kraftvärme</v>
      </c>
      <c r="E404" t="str">
        <f>IF(ISERROR(1/VLOOKUP($B404,Kraftvärmeprod!$B$1:$BD$479,MATCH("Total värmeproduktion i kraftvärmeverk i kombinerad drift (GWh)",Kraftvärmeprod!$B$1:$AV$1,0),FALSE)),"",VLOOKUP($B404,'Slutlig allokering kvv'!$B$1:$BC$479,MATCH(E$1,'Slutlig allokering kvv'!$B$1:$AU$1,0),FALSE))</f>
        <v/>
      </c>
      <c r="F404" t="str">
        <f>IF(ISERROR(1/VLOOKUP($B404,Kraftvärmeprod!$B$1:$AV$479,MATCH("Producerad elenergi i kraftvärmeverk (GWh)",Kraftvärmeprod!$B$1:$AV$1,0),FALSE)),"",VLOOKUP($B404,Kraftvärmeprod!$B$1:$AV$479,MATCH("Producerad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Övertorneå Värmeverk AB</v>
      </c>
    </row>
    <row r="405" spans="1:10" x14ac:dyDescent="0.45">
      <c r="A405" s="2" t="s">
        <v>149</v>
      </c>
      <c r="B405" s="2" t="s">
        <v>154</v>
      </c>
      <c r="D405" t="str">
        <f>IF(ISERROR(1/VLOOKUP($B405,Kraftvärmeprod!$B$1:$D$479,MATCH("Total värmeproduktion i kraftvärmeverk i kombinerad drift (GWh)",Kraftvärmeprod!$B$1:$AV$1,0),FALSE)),"Ej kraftvärme","Alternativproduktionsmetoden")</f>
        <v>Ej kraftvärme</v>
      </c>
      <c r="E405" t="str">
        <f>IF(ISERROR(1/VLOOKUP($B405,Kraftvärmeprod!$B$1:$BD$479,MATCH("Total värmeproduktion i kraftvärmeverk i kombinerad drift (GWh)",Kraftvärmeprod!$B$1:$AV$1,0),FALSE)),"",VLOOKUP($B405,'Slutlig allokering kvv'!$B$1:$BC$479,MATCH(E$1,'Slutlig allokering kvv'!$B$1:$AU$1,0),FALSE))</f>
        <v/>
      </c>
      <c r="F405" t="str">
        <f>IF(ISERROR(1/VLOOKUP($B405,Kraftvärmeprod!$B$1:$AV$479,MATCH("Producerad elenergi i kraftvärmeverk (GWh)",Kraftvärmeprod!$B$1:$AV$1,0),FALSE)),"",VLOOKUP($B405,Kraftvärmeprod!$B$1:$AV$479,MATCH("Producerad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Övik Energi AB</v>
      </c>
    </row>
    <row r="406" spans="1:10" x14ac:dyDescent="0.45">
      <c r="A406" s="2" t="s">
        <v>149</v>
      </c>
      <c r="B406" s="2" t="s">
        <v>153</v>
      </c>
      <c r="D406" t="str">
        <f>IF(ISERROR(1/VLOOKUP($B406,Kraftvärmeprod!$B$1:$D$479,MATCH("Total värmeproduktion i kraftvärmeverk i kombinerad drift (GWh)",Kraftvärmeprod!$B$1:$AV$1,0),FALSE)),"Ej kraftvärme","Alternativproduktionsmetoden")</f>
        <v>Ej kraftvärme</v>
      </c>
      <c r="E406" t="str">
        <f>IF(ISERROR(1/VLOOKUP($B406,Kraftvärmeprod!$B$1:$BD$479,MATCH("Total värmeproduktion i kraftvärmeverk i kombinerad drift (GWh)",Kraftvärmeprod!$B$1:$AV$1,0),FALSE)),"",VLOOKUP($B406,'Slutlig allokering kvv'!$B$1:$BC$479,MATCH(E$1,'Slutlig allokering kvv'!$B$1:$AU$1,0),FALSE))</f>
        <v/>
      </c>
      <c r="F406" t="str">
        <f>IF(ISERROR(1/VLOOKUP($B406,Kraftvärmeprod!$B$1:$AV$479,MATCH("Producerad elenergi i kraftvärmeverk (GWh)",Kraftvärmeprod!$B$1:$AV$1,0),FALSE)),"",VLOOKUP($B406,Kraftvärmeprod!$B$1:$AV$479,MATCH("Producerad elenergi i kraftvärmeverk (GWh)",Kraftvärmeprod!$B$1:$AV$1,0),FALSE))</f>
        <v/>
      </c>
      <c r="G406" t="str">
        <f>IF(ISERROR(1/VLOOKUP($B406,Miljö!$B$1:$T$480,MATCH("Såld mängd produktionsspecifik fjärrvärme (GWh)",Miljö!$B$1:$T$1,0),FALSE)),"",VLOOKUP($B406,Miljö!$B$1:$T$480,MATCH("Såld mängd produktionsspecifik fjärrvärme (GWh)",Miljö!$B$1:$T$1,0),FALSE))</f>
        <v/>
      </c>
      <c r="J406" t="str">
        <f t="shared" si="6"/>
        <v>Övik Energi AB</v>
      </c>
    </row>
    <row r="407" spans="1:10" x14ac:dyDescent="0.45">
      <c r="A407" s="2" t="s">
        <v>149</v>
      </c>
      <c r="B407" s="2" t="s">
        <v>152</v>
      </c>
      <c r="D407" t="str">
        <f>IF(ISERROR(1/VLOOKUP($B407,Kraftvärmeprod!$B$1:$D$479,MATCH("Total värmeproduktion i kraftvärmeverk i kombinerad drift (GWh)",Kraftvärmeprod!$B$1:$AV$1,0),FALSE)),"Ej kraftvärme","Alternativproduktionsmetoden")</f>
        <v>Ej kraftvärme</v>
      </c>
      <c r="E407" t="str">
        <f>IF(ISERROR(1/VLOOKUP($B407,Kraftvärmeprod!$B$1:$BD$479,MATCH("Total värmeproduktion i kraftvärmeverk i kombinerad drift (GWh)",Kraftvärmeprod!$B$1:$AV$1,0),FALSE)),"",VLOOKUP($B407,'Slutlig allokering kvv'!$B$1:$BC$479,MATCH(E$1,'Slutlig allokering kvv'!$B$1:$AU$1,0),FALSE))</f>
        <v/>
      </c>
      <c r="F407" t="str">
        <f>IF(ISERROR(1/VLOOKUP($B407,Kraftvärmeprod!$B$1:$AV$479,MATCH("Producerad elenergi i kraftvärmeverk (GWh)",Kraftvärmeprod!$B$1:$AV$1,0),FALSE)),"",VLOOKUP($B407,Kraftvärmeprod!$B$1:$AV$479,MATCH("Producerad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Övik Energi AB</v>
      </c>
    </row>
    <row r="408" spans="1:10" x14ac:dyDescent="0.45">
      <c r="A408" s="2" t="s">
        <v>149</v>
      </c>
      <c r="B408" s="2" t="s">
        <v>151</v>
      </c>
      <c r="D408" t="str">
        <f>IF(ISERROR(1/VLOOKUP($B408,Kraftvärmeprod!$B$1:$D$479,MATCH("Total värmeproduktion i kraftvärmeverk i kombinerad drift (GWh)",Kraftvärmeprod!$B$1:$AV$1,0),FALSE)),"Ej kraftvärme","Alternativproduktionsmetoden")</f>
        <v>Ej kraftvärme</v>
      </c>
      <c r="E408" t="str">
        <f>IF(ISERROR(1/VLOOKUP($B408,Kraftvärmeprod!$B$1:$BD$479,MATCH("Total värmeproduktion i kraftvärmeverk i kombinerad drift (GWh)",Kraftvärmeprod!$B$1:$AV$1,0),FALSE)),"",VLOOKUP($B408,'Slutlig allokering kvv'!$B$1:$BC$479,MATCH(E$1,'Slutlig allokering kvv'!$B$1:$AU$1,0),FALSE))</f>
        <v/>
      </c>
      <c r="F408" t="str">
        <f>IF(ISERROR(1/VLOOKUP($B408,Kraftvärmeprod!$B$1:$AV$479,MATCH("Producerad elenergi i kraftvärmeverk (GWh)",Kraftvärmeprod!$B$1:$AV$1,0),FALSE)),"",VLOOKUP($B408,Kraftvärmeprod!$B$1:$AV$479,MATCH("Producerad elenergi i kraftvärmeverk (GWh)",Kraftvärmeprod!$B$1:$AV$1,0),FALSE))</f>
        <v/>
      </c>
      <c r="G408" t="str">
        <f>IF(ISERROR(1/VLOOKUP($B408,Miljö!$B$1:$T$480,MATCH("Såld mängd produktionsspecifik fjärrvärme (GWh)",Miljö!$B$1:$T$1,0),FALSE)),"",VLOOKUP($B408,Miljö!$B$1:$T$480,MATCH("Såld mängd produktionsspecifik fjärrvärme (GWh)",Miljö!$B$1:$T$1,0),FALSE))</f>
        <v/>
      </c>
      <c r="J408" t="str">
        <f t="shared" si="6"/>
        <v>Övik Energi AB</v>
      </c>
    </row>
    <row r="409" spans="1:10" x14ac:dyDescent="0.45">
      <c r="A409" s="2" t="s">
        <v>149</v>
      </c>
      <c r="B409" s="2" t="s">
        <v>150</v>
      </c>
      <c r="D409" t="str">
        <f>IF(ISERROR(1/VLOOKUP($B409,Kraftvärmeprod!$B$1:$D$479,MATCH("Total värmeproduktion i kraftvärmeverk i kombinerad drift (GWh)",Kraftvärmeprod!$B$1:$AV$1,0),FALSE)),"Ej kraftvärme","Alternativproduktionsmetoden")</f>
        <v>Alternativproduktionsmetoden</v>
      </c>
      <c r="E409">
        <f>IF(ISERROR(1/VLOOKUP($B409,Kraftvärmeprod!$B$1:$BD$479,MATCH("Total värmeproduktion i kraftvärmeverk i kombinerad drift (GWh)",Kraftvärmeprod!$B$1:$AV$1,0),FALSE)),"",VLOOKUP($B409,'Slutlig allokering kvv'!$B$1:$BC$479,MATCH(E$1,'Slutlig allokering kvv'!$B$1:$AU$1,0),FALSE))</f>
        <v>0.51670840710373578</v>
      </c>
      <c r="F409">
        <f>IF(ISERROR(1/VLOOKUP($B409,Kraftvärmeprod!$B$1:$AV$479,MATCH("Producerad elenergi i kraftvärmeverk (GWh)",Kraftvärmeprod!$B$1:$AV$1,0),FALSE)),"",VLOOKUP($B409,Kraftvärmeprod!$B$1:$AV$479,MATCH("Producerad elenergi i kraftvärmeverk (GWh)",Kraftvärmeprod!$B$1:$AV$1,0),FALSE))</f>
        <v>98.875</v>
      </c>
      <c r="G409" t="str">
        <f>IF(ISERROR(1/VLOOKUP($B409,Miljö!$B$1:$T$480,MATCH("Såld mängd produktionsspecifik fjärrvärme (GWh)",Miljö!$B$1:$T$1,0),FALSE)),"",VLOOKUP($B409,Miljö!$B$1:$T$480,MATCH("Såld mängd produktionsspecifik fjärrvärme (GWh)",Miljö!$B$1:$T$1,0),FALSE))</f>
        <v/>
      </c>
      <c r="J409" t="str">
        <f t="shared" si="6"/>
        <v>Övik Energi AB</v>
      </c>
    </row>
    <row r="410" spans="1:10" x14ac:dyDescent="0.45">
      <c r="A410" s="2" t="s">
        <v>149</v>
      </c>
      <c r="B410" s="2" t="s">
        <v>148</v>
      </c>
      <c r="D410" t="str">
        <f>IF(ISERROR(1/VLOOKUP($B410,Kraftvärmeprod!$B$1:$D$479,MATCH("Total värmeproduktion i kraftvärmeverk i kombinerad drift (GWh)",Kraftvärmeprod!$B$1:$AV$1,0),FALSE)),"Ej kraftvärme","Alternativproduktionsmetoden")</f>
        <v>Alternativproduktionsmetoden</v>
      </c>
      <c r="E410">
        <f>IF(ISERROR(1/VLOOKUP($B410,Kraftvärmeprod!$B$1:$BD$479,MATCH("Total värmeproduktion i kraftvärmeverk i kombinerad drift (GWh)",Kraftvärmeprod!$B$1:$AV$1,0),FALSE)),"",VLOOKUP($B410,'Slutlig allokering kvv'!$B$1:$BC$479,MATCH(E$1,'Slutlig allokering kvv'!$B$1:$AU$1,0),FALSE))</f>
        <v>0.44212859851505343</v>
      </c>
      <c r="F410">
        <f>IF(ISERROR(1/VLOOKUP($B410,Kraftvärmeprod!$B$1:$AV$479,MATCH("Producerad elenergi i kraftvärmeverk (GWh)",Kraftvärmeprod!$B$1:$AV$1,0),FALSE)),"",VLOOKUP($B410,Kraftvärmeprod!$B$1:$AV$479,MATCH("Producerad elenergi i kraftvärmeverk (GWh)",Kraftvärmeprod!$B$1:$AV$1,0),FALSE))</f>
        <v>88.486000000000004</v>
      </c>
      <c r="G410" t="str">
        <f>IF(ISERROR(1/VLOOKUP($B410,Miljö!$B$1:$T$480,MATCH("Såld mängd produktionsspecifik fjärrvärme (GWh)",Miljö!$B$1:$T$1,0),FALSE)),"",VLOOKUP($B410,Miljö!$B$1:$T$480,MATCH("Såld mängd produktionsspecifik fjärrvärme (GWh)",Miljö!$B$1:$T$1,0),FALSE))</f>
        <v/>
      </c>
      <c r="J410" t="str">
        <f t="shared" si="6"/>
        <v>Övik Energi AB</v>
      </c>
    </row>
  </sheetData>
  <conditionalFormatting sqref="B1">
    <cfRule type="duplicateValues" dxfId="6" priority="4"/>
  </conditionalFormatting>
  <conditionalFormatting sqref="B2:B410">
    <cfRule type="duplicateValues" dxfId="5" priority="3"/>
  </conditionalFormatting>
  <conditionalFormatting sqref="B1:B1048576">
    <cfRule type="duplicateValues" dxfId="4" priority="1"/>
    <cfRule type="duplicateValues" dxfId="3" priority="2"/>
  </conditionalFormatting>
  <hyperlinks>
    <hyperlink ref="C66" r:id="rId1" display="https://urldefense.com/v3/__https:/www.eon.se/foeretag/vaerme-och-kyla/for-foretag-som-har-fjarrvarme/miljo-och-fjarrvarme__;!!HBVxBjZwpQ!hmT2mWzpAhpFkERRs6zZ-CmSLl7COntMNlnxgOi6vovZNPLtyzJYTGg0BYQ_nskG9UQbQA$" xr:uid="{B61814EE-8CA5-44C8-A19B-B8F56147405F}"/>
    <hyperlink ref="C97" r:id="rId2" xr:uid="{904A295A-DA5C-4D58-962E-180379ED0937}"/>
    <hyperlink ref="C98" r:id="rId3" xr:uid="{1B4FE4C9-CC4C-46D4-921F-7BFE679D467B}"/>
  </hyperlinks>
  <pageMargins left="0.7" right="0.7" top="0.75" bottom="0.75" header="0.3" footer="0.3"/>
  <pageSetup paperSize="9" orientation="portrait"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5D2B0-5294-4E07-958D-1F05DDD159EB}">
  <sheetPr codeName="Blad3">
    <tabColor theme="9" tint="0.39997558519241921"/>
  </sheetPr>
  <dimension ref="A1:G65"/>
  <sheetViews>
    <sheetView topLeftCell="A7" workbookViewId="0">
      <selection activeCell="D6" sqref="D6"/>
    </sheetView>
  </sheetViews>
  <sheetFormatPr defaultRowHeight="14.25" x14ac:dyDescent="0.45"/>
  <cols>
    <col min="1" max="1" width="36.59765625" bestFit="1" customWidth="1"/>
    <col min="2" max="2" width="13.1328125" bestFit="1" customWidth="1"/>
    <col min="4" max="4" width="37" bestFit="1" customWidth="1"/>
  </cols>
  <sheetData>
    <row r="1" spans="1:7" ht="21" x14ac:dyDescent="0.65">
      <c r="A1" s="1" t="s">
        <v>0</v>
      </c>
      <c r="B1" s="2"/>
      <c r="C1" s="2"/>
      <c r="D1" s="2"/>
      <c r="G1" t="s">
        <v>1570</v>
      </c>
    </row>
    <row r="2" spans="1:7" x14ac:dyDescent="0.45">
      <c r="A2" s="3" t="s">
        <v>1</v>
      </c>
      <c r="B2" s="3" t="s">
        <v>2</v>
      </c>
      <c r="C2" s="2"/>
      <c r="D2" s="4" t="s">
        <v>3</v>
      </c>
      <c r="G2" t="s">
        <v>1571</v>
      </c>
    </row>
    <row r="3" spans="1:7" x14ac:dyDescent="0.45">
      <c r="A3" s="5" t="s">
        <v>4</v>
      </c>
      <c r="B3" s="5" t="s">
        <v>5</v>
      </c>
      <c r="C3" s="6"/>
      <c r="D3" s="7" t="s">
        <v>6</v>
      </c>
    </row>
    <row r="4" spans="1:7" x14ac:dyDescent="0.45">
      <c r="A4" s="5" t="s">
        <v>7</v>
      </c>
      <c r="B4" s="5" t="s">
        <v>8</v>
      </c>
      <c r="C4" s="5"/>
      <c r="D4" s="7" t="s">
        <v>9</v>
      </c>
    </row>
    <row r="5" spans="1:7" x14ac:dyDescent="0.45">
      <c r="A5" s="8" t="s">
        <v>10</v>
      </c>
      <c r="B5" s="8" t="s">
        <v>8</v>
      </c>
      <c r="C5" s="8"/>
      <c r="D5" s="9" t="s">
        <v>11</v>
      </c>
      <c r="E5" s="19" t="s">
        <v>1185</v>
      </c>
    </row>
    <row r="6" spans="1:7" x14ac:dyDescent="0.45">
      <c r="A6" s="8" t="s">
        <v>12</v>
      </c>
      <c r="B6" s="8" t="s">
        <v>13</v>
      </c>
      <c r="C6" s="8"/>
      <c r="D6" s="9" t="s">
        <v>14</v>
      </c>
      <c r="E6" s="19" t="s">
        <v>1185</v>
      </c>
    </row>
    <row r="7" spans="1:7" x14ac:dyDescent="0.45">
      <c r="A7" s="5" t="s">
        <v>15</v>
      </c>
      <c r="B7" s="5" t="s">
        <v>16</v>
      </c>
      <c r="C7" s="5"/>
      <c r="D7" s="7" t="s">
        <v>17</v>
      </c>
    </row>
    <row r="8" spans="1:7" x14ac:dyDescent="0.45">
      <c r="A8" s="5" t="s">
        <v>15</v>
      </c>
      <c r="B8" s="5" t="s">
        <v>18</v>
      </c>
      <c r="C8" s="5"/>
      <c r="D8" s="7" t="s">
        <v>19</v>
      </c>
    </row>
    <row r="9" spans="1:7" x14ac:dyDescent="0.45">
      <c r="A9" s="5" t="s">
        <v>15</v>
      </c>
      <c r="B9" s="5" t="s">
        <v>20</v>
      </c>
      <c r="C9" s="5"/>
      <c r="D9" s="7" t="s">
        <v>21</v>
      </c>
    </row>
    <row r="10" spans="1:7" x14ac:dyDescent="0.45">
      <c r="A10" s="5" t="s">
        <v>15</v>
      </c>
      <c r="B10" s="5" t="s">
        <v>22</v>
      </c>
      <c r="C10" s="5"/>
      <c r="D10" s="7" t="s">
        <v>23</v>
      </c>
    </row>
    <row r="11" spans="1:7" x14ac:dyDescent="0.45">
      <c r="A11" s="5" t="s">
        <v>15</v>
      </c>
      <c r="B11" s="5" t="s">
        <v>24</v>
      </c>
      <c r="C11" s="5"/>
      <c r="D11" s="7" t="s">
        <v>25</v>
      </c>
    </row>
    <row r="12" spans="1:7" x14ac:dyDescent="0.45">
      <c r="A12" s="5" t="s">
        <v>15</v>
      </c>
      <c r="B12" s="5" t="s">
        <v>26</v>
      </c>
      <c r="C12" s="5"/>
      <c r="D12" s="7" t="s">
        <v>27</v>
      </c>
    </row>
    <row r="13" spans="1:7" x14ac:dyDescent="0.45">
      <c r="A13" s="5" t="s">
        <v>15</v>
      </c>
      <c r="B13" s="5" t="s">
        <v>28</v>
      </c>
      <c r="C13" s="5"/>
      <c r="D13" s="7" t="s">
        <v>29</v>
      </c>
    </row>
    <row r="14" spans="1:7" x14ac:dyDescent="0.45">
      <c r="A14" s="5" t="s">
        <v>15</v>
      </c>
      <c r="B14" s="5" t="s">
        <v>30</v>
      </c>
      <c r="C14" s="5"/>
      <c r="D14" s="7" t="s">
        <v>31</v>
      </c>
    </row>
    <row r="15" spans="1:7" x14ac:dyDescent="0.45">
      <c r="A15" s="5" t="s">
        <v>15</v>
      </c>
      <c r="B15" s="5" t="s">
        <v>32</v>
      </c>
      <c r="C15" s="5"/>
      <c r="D15" s="7" t="s">
        <v>33</v>
      </c>
    </row>
    <row r="16" spans="1:7" x14ac:dyDescent="0.45">
      <c r="A16" s="18" t="s">
        <v>1180</v>
      </c>
      <c r="B16" s="17" t="s">
        <v>1178</v>
      </c>
      <c r="C16" s="17"/>
      <c r="D16" s="17" t="s">
        <v>164</v>
      </c>
    </row>
    <row r="17" spans="1:4" x14ac:dyDescent="0.45">
      <c r="A17" s="18" t="s">
        <v>1179</v>
      </c>
      <c r="B17" s="17" t="s">
        <v>1178</v>
      </c>
      <c r="C17" s="17"/>
      <c r="D17" s="17" t="s">
        <v>1181</v>
      </c>
    </row>
    <row r="18" spans="1:4" ht="18" customHeight="1" x14ac:dyDescent="0.45">
      <c r="A18" s="11" t="s">
        <v>1180</v>
      </c>
      <c r="B18" s="11" t="s">
        <v>1182</v>
      </c>
      <c r="C18" s="10"/>
      <c r="D18" s="17" t="s">
        <v>163</v>
      </c>
    </row>
    <row r="19" spans="1:4" ht="16.5" customHeight="1" x14ac:dyDescent="0.45">
      <c r="A19" t="s">
        <v>1179</v>
      </c>
      <c r="B19" t="s">
        <v>1182</v>
      </c>
      <c r="D19" t="s">
        <v>1183</v>
      </c>
    </row>
    <row r="20" spans="1:4" s="22" customFormat="1" x14ac:dyDescent="0.45">
      <c r="A20" s="20" t="s">
        <v>34</v>
      </c>
      <c r="B20" s="20" t="s">
        <v>35</v>
      </c>
      <c r="C20" s="20"/>
      <c r="D20" s="21" t="s">
        <v>36</v>
      </c>
    </row>
    <row r="21" spans="1:4" x14ac:dyDescent="0.45">
      <c r="A21" s="5" t="s">
        <v>37</v>
      </c>
      <c r="B21" s="5" t="s">
        <v>35</v>
      </c>
      <c r="C21" s="5"/>
      <c r="D21" s="7" t="s">
        <v>38</v>
      </c>
    </row>
    <row r="22" spans="1:4" x14ac:dyDescent="0.45">
      <c r="A22" s="5" t="s">
        <v>39</v>
      </c>
      <c r="B22" s="5" t="s">
        <v>35</v>
      </c>
      <c r="C22" s="5"/>
      <c r="D22" s="7" t="s">
        <v>40</v>
      </c>
    </row>
    <row r="23" spans="1:4" s="22" customFormat="1" x14ac:dyDescent="0.45">
      <c r="A23" s="20" t="s">
        <v>41</v>
      </c>
      <c r="B23" s="20" t="s">
        <v>35</v>
      </c>
      <c r="C23" s="20"/>
      <c r="D23" s="21" t="s">
        <v>42</v>
      </c>
    </row>
    <row r="24" spans="1:4" s="22" customFormat="1" x14ac:dyDescent="0.45">
      <c r="A24" s="20" t="s">
        <v>43</v>
      </c>
      <c r="B24" s="20"/>
      <c r="C24" s="20"/>
      <c r="D24" s="21" t="s">
        <v>44</v>
      </c>
    </row>
    <row r="25" spans="1:4" s="22" customFormat="1" x14ac:dyDescent="0.45">
      <c r="A25" s="20" t="s">
        <v>45</v>
      </c>
      <c r="B25" s="20"/>
      <c r="C25" s="20"/>
      <c r="D25" s="21" t="s">
        <v>46</v>
      </c>
    </row>
    <row r="26" spans="1:4" s="22" customFormat="1" x14ac:dyDescent="0.45">
      <c r="A26" s="20" t="s">
        <v>39</v>
      </c>
      <c r="B26" s="20"/>
      <c r="C26" s="20"/>
      <c r="D26" s="21" t="s">
        <v>47</v>
      </c>
    </row>
    <row r="27" spans="1:4" x14ac:dyDescent="0.45">
      <c r="A27" s="5" t="s">
        <v>48</v>
      </c>
      <c r="B27" s="5" t="s">
        <v>49</v>
      </c>
      <c r="C27" s="5"/>
      <c r="D27" s="7" t="s">
        <v>50</v>
      </c>
    </row>
    <row r="28" spans="1:4" x14ac:dyDescent="0.45">
      <c r="A28" s="5" t="s">
        <v>48</v>
      </c>
      <c r="B28" s="5" t="s">
        <v>49</v>
      </c>
      <c r="C28" s="5"/>
      <c r="D28" s="7" t="s">
        <v>51</v>
      </c>
    </row>
    <row r="29" spans="1:4" x14ac:dyDescent="0.45">
      <c r="A29" s="10"/>
      <c r="B29" s="10"/>
      <c r="C29" s="10"/>
      <c r="D29" s="10"/>
    </row>
    <row r="30" spans="1:4" x14ac:dyDescent="0.45">
      <c r="A30" s="12" t="s">
        <v>1</v>
      </c>
      <c r="B30" s="12" t="s">
        <v>2</v>
      </c>
      <c r="C30" s="8"/>
      <c r="D30" s="13" t="s">
        <v>52</v>
      </c>
    </row>
    <row r="31" spans="1:4" x14ac:dyDescent="0.45">
      <c r="A31" s="8" t="s">
        <v>53</v>
      </c>
      <c r="B31" s="8" t="s">
        <v>54</v>
      </c>
      <c r="C31" s="8"/>
      <c r="D31" s="14" t="s">
        <v>55</v>
      </c>
    </row>
    <row r="32" spans="1:4" x14ac:dyDescent="0.45">
      <c r="A32" s="8" t="s">
        <v>56</v>
      </c>
      <c r="B32" s="8" t="s">
        <v>54</v>
      </c>
      <c r="C32" s="8"/>
      <c r="D32" s="14" t="s">
        <v>57</v>
      </c>
    </row>
    <row r="33" spans="1:4" x14ac:dyDescent="0.45">
      <c r="A33" s="8" t="s">
        <v>58</v>
      </c>
      <c r="B33" s="8" t="s">
        <v>59</v>
      </c>
      <c r="C33" s="15"/>
      <c r="D33" s="14" t="s">
        <v>60</v>
      </c>
    </row>
    <row r="34" spans="1:4" x14ac:dyDescent="0.45">
      <c r="A34" s="8" t="s">
        <v>61</v>
      </c>
      <c r="B34" s="8" t="s">
        <v>62</v>
      </c>
      <c r="C34" s="15"/>
      <c r="D34" s="14" t="s">
        <v>63</v>
      </c>
    </row>
    <row r="35" spans="1:4" x14ac:dyDescent="0.45">
      <c r="A35" s="8" t="s">
        <v>64</v>
      </c>
      <c r="B35" s="8" t="s">
        <v>65</v>
      </c>
      <c r="C35" s="8"/>
      <c r="D35" s="14" t="s">
        <v>66</v>
      </c>
    </row>
    <row r="36" spans="1:4" x14ac:dyDescent="0.45">
      <c r="A36" s="8" t="s">
        <v>67</v>
      </c>
      <c r="B36" s="8" t="s">
        <v>68</v>
      </c>
      <c r="C36" s="8"/>
      <c r="D36" s="14" t="s">
        <v>69</v>
      </c>
    </row>
    <row r="37" spans="1:4" x14ac:dyDescent="0.45">
      <c r="A37" s="8" t="s">
        <v>70</v>
      </c>
      <c r="B37" s="8" t="s">
        <v>71</v>
      </c>
      <c r="C37" s="8"/>
      <c r="D37" s="14" t="s">
        <v>72</v>
      </c>
    </row>
    <row r="38" spans="1:4" x14ac:dyDescent="0.45">
      <c r="A38" s="8" t="s">
        <v>73</v>
      </c>
      <c r="B38" s="8" t="s">
        <v>74</v>
      </c>
      <c r="C38" s="8"/>
      <c r="D38" s="14" t="s">
        <v>75</v>
      </c>
    </row>
    <row r="39" spans="1:4" x14ac:dyDescent="0.45">
      <c r="A39" s="8" t="s">
        <v>76</v>
      </c>
      <c r="B39" s="8" t="s">
        <v>77</v>
      </c>
      <c r="C39" s="8"/>
      <c r="D39" s="14" t="s">
        <v>78</v>
      </c>
    </row>
    <row r="40" spans="1:4" x14ac:dyDescent="0.45">
      <c r="A40" s="8" t="s">
        <v>79</v>
      </c>
      <c r="B40" s="8" t="s">
        <v>80</v>
      </c>
      <c r="C40" s="8"/>
      <c r="D40" s="14" t="s">
        <v>81</v>
      </c>
    </row>
    <row r="41" spans="1:4" x14ac:dyDescent="0.45">
      <c r="A41" s="8" t="s">
        <v>82</v>
      </c>
      <c r="B41" s="8" t="s">
        <v>83</v>
      </c>
      <c r="C41" s="8"/>
      <c r="D41" s="14" t="s">
        <v>84</v>
      </c>
    </row>
    <row r="42" spans="1:4" x14ac:dyDescent="0.45">
      <c r="A42" s="8" t="s">
        <v>85</v>
      </c>
      <c r="B42" s="8" t="s">
        <v>86</v>
      </c>
      <c r="C42" s="8"/>
      <c r="D42" s="14" t="s">
        <v>87</v>
      </c>
    </row>
    <row r="43" spans="1:4" x14ac:dyDescent="0.45">
      <c r="A43" s="8" t="s">
        <v>88</v>
      </c>
      <c r="B43" s="8" t="s">
        <v>89</v>
      </c>
      <c r="C43" s="8"/>
      <c r="D43" s="14" t="s">
        <v>90</v>
      </c>
    </row>
    <row r="44" spans="1:4" x14ac:dyDescent="0.45">
      <c r="A44" s="8" t="s">
        <v>91</v>
      </c>
      <c r="B44" s="8" t="s">
        <v>92</v>
      </c>
      <c r="C44" s="8"/>
      <c r="D44" s="14" t="s">
        <v>93</v>
      </c>
    </row>
    <row r="45" spans="1:4" x14ac:dyDescent="0.45">
      <c r="A45" s="8" t="s">
        <v>94</v>
      </c>
      <c r="B45" s="8" t="s">
        <v>95</v>
      </c>
      <c r="C45" s="8"/>
      <c r="D45" s="14" t="s">
        <v>96</v>
      </c>
    </row>
    <row r="46" spans="1:4" x14ac:dyDescent="0.45">
      <c r="A46" s="8" t="s">
        <v>94</v>
      </c>
      <c r="B46" s="8" t="s">
        <v>97</v>
      </c>
      <c r="C46" s="8"/>
      <c r="D46" s="14" t="s">
        <v>98</v>
      </c>
    </row>
    <row r="47" spans="1:4" x14ac:dyDescent="0.45">
      <c r="A47" s="8" t="s">
        <v>94</v>
      </c>
      <c r="B47" s="8" t="s">
        <v>99</v>
      </c>
      <c r="C47" s="8"/>
      <c r="D47" s="14" t="s">
        <v>100</v>
      </c>
    </row>
    <row r="48" spans="1:4" x14ac:dyDescent="0.45">
      <c r="A48" s="8" t="s">
        <v>94</v>
      </c>
      <c r="B48" s="8" t="s">
        <v>101</v>
      </c>
      <c r="C48" s="8"/>
      <c r="D48" s="14" t="s">
        <v>102</v>
      </c>
    </row>
    <row r="49" spans="1:4" x14ac:dyDescent="0.45">
      <c r="A49" s="8" t="s">
        <v>94</v>
      </c>
      <c r="B49" s="8" t="s">
        <v>103</v>
      </c>
      <c r="C49" s="8"/>
      <c r="D49" s="14" t="s">
        <v>104</v>
      </c>
    </row>
    <row r="50" spans="1:4" x14ac:dyDescent="0.45">
      <c r="A50" s="8" t="s">
        <v>94</v>
      </c>
      <c r="B50" s="8" t="s">
        <v>105</v>
      </c>
      <c r="C50" s="8"/>
      <c r="D50" s="14" t="s">
        <v>106</v>
      </c>
    </row>
    <row r="51" spans="1:4" x14ac:dyDescent="0.45">
      <c r="A51" s="8" t="s">
        <v>94</v>
      </c>
      <c r="B51" s="8" t="s">
        <v>107</v>
      </c>
      <c r="C51" s="8"/>
      <c r="D51" s="14" t="s">
        <v>108</v>
      </c>
    </row>
    <row r="52" spans="1:4" x14ac:dyDescent="0.45">
      <c r="A52" s="8" t="s">
        <v>94</v>
      </c>
      <c r="B52" s="8" t="s">
        <v>109</v>
      </c>
      <c r="C52" s="8"/>
      <c r="D52" s="14" t="s">
        <v>110</v>
      </c>
    </row>
    <row r="53" spans="1:4" s="303" customFormat="1" x14ac:dyDescent="0.45">
      <c r="A53" s="8" t="s">
        <v>111</v>
      </c>
      <c r="B53" s="8" t="s">
        <v>112</v>
      </c>
      <c r="C53" s="8"/>
      <c r="D53" s="14" t="s">
        <v>1184</v>
      </c>
    </row>
    <row r="54" spans="1:4" x14ac:dyDescent="0.45">
      <c r="A54" s="8" t="s">
        <v>113</v>
      </c>
      <c r="B54" s="8" t="s">
        <v>114</v>
      </c>
      <c r="C54" s="8"/>
      <c r="D54" s="14" t="s">
        <v>115</v>
      </c>
    </row>
    <row r="55" spans="1:4" x14ac:dyDescent="0.45">
      <c r="A55" s="2" t="s">
        <v>4</v>
      </c>
      <c r="B55" s="2" t="s">
        <v>5</v>
      </c>
      <c r="C55" s="8"/>
      <c r="D55" s="14" t="s">
        <v>116</v>
      </c>
    </row>
    <row r="56" spans="1:4" x14ac:dyDescent="0.45">
      <c r="A56" s="8" t="s">
        <v>117</v>
      </c>
      <c r="B56" s="8" t="s">
        <v>118</v>
      </c>
      <c r="C56" s="8"/>
      <c r="D56" s="14" t="s">
        <v>119</v>
      </c>
    </row>
    <row r="57" spans="1:4" x14ac:dyDescent="0.45">
      <c r="A57" s="8" t="s">
        <v>120</v>
      </c>
      <c r="B57" s="8" t="s">
        <v>121</v>
      </c>
      <c r="C57" s="8"/>
      <c r="D57" s="14" t="s">
        <v>122</v>
      </c>
    </row>
    <row r="58" spans="1:4" x14ac:dyDescent="0.45">
      <c r="A58" s="8" t="s">
        <v>123</v>
      </c>
      <c r="B58" s="8" t="s">
        <v>124</v>
      </c>
      <c r="C58" s="8"/>
      <c r="D58" s="14" t="s">
        <v>125</v>
      </c>
    </row>
    <row r="59" spans="1:4" x14ac:dyDescent="0.45">
      <c r="A59" s="8" t="s">
        <v>126</v>
      </c>
      <c r="B59" s="8" t="s">
        <v>127</v>
      </c>
      <c r="C59" s="8"/>
      <c r="D59" s="14" t="s">
        <v>128</v>
      </c>
    </row>
    <row r="60" spans="1:4" x14ac:dyDescent="0.45">
      <c r="A60" s="8" t="s">
        <v>129</v>
      </c>
      <c r="B60" s="8" t="s">
        <v>130</v>
      </c>
      <c r="C60" s="8"/>
      <c r="D60" s="14" t="s">
        <v>131</v>
      </c>
    </row>
    <row r="61" spans="1:4" x14ac:dyDescent="0.45">
      <c r="A61" s="8" t="s">
        <v>132</v>
      </c>
      <c r="B61" s="8" t="s">
        <v>133</v>
      </c>
      <c r="C61" s="8"/>
      <c r="D61" s="14" t="s">
        <v>134</v>
      </c>
    </row>
    <row r="62" spans="1:4" x14ac:dyDescent="0.45">
      <c r="A62" s="8" t="s">
        <v>135</v>
      </c>
      <c r="B62" s="8" t="s">
        <v>136</v>
      </c>
      <c r="C62" s="8"/>
      <c r="D62" s="14" t="s">
        <v>137</v>
      </c>
    </row>
    <row r="63" spans="1:4" x14ac:dyDescent="0.45">
      <c r="A63" s="8" t="s">
        <v>138</v>
      </c>
      <c r="B63" s="8" t="s">
        <v>139</v>
      </c>
      <c r="C63" s="8"/>
      <c r="D63" s="14" t="s">
        <v>140</v>
      </c>
    </row>
    <row r="64" spans="1:4" x14ac:dyDescent="0.45">
      <c r="A64" s="8" t="s">
        <v>141</v>
      </c>
      <c r="B64" s="8" t="s">
        <v>142</v>
      </c>
      <c r="C64" s="8"/>
      <c r="D64" s="14" t="s">
        <v>143</v>
      </c>
    </row>
    <row r="65" spans="1:4" x14ac:dyDescent="0.45">
      <c r="A65" s="2" t="s">
        <v>144</v>
      </c>
      <c r="B65" s="2" t="s">
        <v>13</v>
      </c>
      <c r="C65" s="2"/>
      <c r="D65" s="14" t="s">
        <v>145</v>
      </c>
    </row>
  </sheetData>
  <conditionalFormatting sqref="B53">
    <cfRule type="duplicateValues" dxfId="72" priority="3"/>
  </conditionalFormatting>
  <conditionalFormatting sqref="B55:B56">
    <cfRule type="duplicateValues" dxfId="71" priority="2"/>
  </conditionalFormatting>
  <conditionalFormatting sqref="B65">
    <cfRule type="duplicateValues" dxfId="70" priority="1"/>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B0B05-B639-41BD-9228-A0D133E49DDC}">
  <sheetPr codeName="Blad21">
    <tabColor theme="9" tint="0.39997558519241921"/>
  </sheetPr>
  <dimension ref="A1:AK91"/>
  <sheetViews>
    <sheetView zoomScale="80" zoomScaleNormal="80" workbookViewId="0">
      <selection activeCell="AE8" sqref="AE8"/>
    </sheetView>
  </sheetViews>
  <sheetFormatPr defaultRowHeight="14.25" x14ac:dyDescent="0.45"/>
  <cols>
    <col min="1" max="1" width="25.86328125" style="231" customWidth="1"/>
    <col min="2" max="2" width="12.265625" style="231" bestFit="1" customWidth="1"/>
    <col min="3" max="3" width="10" style="231" customWidth="1"/>
    <col min="4" max="4" width="12.265625" style="231" bestFit="1" customWidth="1"/>
    <col min="5" max="5" width="9.86328125" style="231" bestFit="1" customWidth="1"/>
    <col min="6" max="6" width="10.265625" style="231" customWidth="1"/>
    <col min="7" max="7" width="13.59765625" style="231" customWidth="1"/>
    <col min="8" max="8" width="15.73046875" style="231" customWidth="1"/>
    <col min="9" max="9" width="15.265625" style="231" customWidth="1"/>
    <col min="10" max="10" width="13.265625" style="231" customWidth="1"/>
    <col min="11" max="11" width="16.73046875" style="231" customWidth="1"/>
    <col min="12" max="12" width="12.265625" style="231" bestFit="1" customWidth="1"/>
    <col min="13" max="13" width="10.73046875" style="231" customWidth="1"/>
    <col min="14" max="14" width="12.265625" style="231" bestFit="1" customWidth="1"/>
    <col min="15" max="15" width="9.86328125" style="231" customWidth="1"/>
    <col min="16" max="16" width="10.1328125" style="231" bestFit="1" customWidth="1"/>
    <col min="17" max="17" width="12.265625" style="231" bestFit="1" customWidth="1"/>
    <col min="18" max="20" width="10.1328125" style="231" bestFit="1" customWidth="1"/>
    <col min="21" max="21" width="9.86328125" style="231" bestFit="1" customWidth="1"/>
    <col min="22" max="22" width="10.1328125" style="231" bestFit="1" customWidth="1"/>
    <col min="23" max="23" width="9.1328125" style="231"/>
    <col min="24" max="24" width="34.59765625" style="231" customWidth="1"/>
    <col min="25" max="25" width="17.1328125" style="231" customWidth="1"/>
    <col min="26" max="26" width="22" style="231" customWidth="1"/>
    <col min="27" max="27" width="9.86328125" style="231" bestFit="1" customWidth="1"/>
    <col min="28" max="33" width="9.1328125" style="231"/>
    <col min="34" max="35" width="10.1328125" style="231" bestFit="1" customWidth="1"/>
    <col min="36" max="36" width="9.1328125" style="231"/>
    <col min="37" max="37" width="12.265625" style="231" bestFit="1" customWidth="1"/>
    <col min="38" max="244" width="9.1328125" style="231"/>
    <col min="245" max="245" width="16" style="231" customWidth="1"/>
    <col min="246" max="500" width="9.1328125" style="231"/>
    <col min="501" max="501" width="16" style="231" customWidth="1"/>
    <col min="502" max="756" width="9.1328125" style="231"/>
    <col min="757" max="757" width="16" style="231" customWidth="1"/>
    <col min="758" max="1012" width="9.1328125" style="231"/>
    <col min="1013" max="1013" width="16" style="231" customWidth="1"/>
    <col min="1014" max="1268" width="9.1328125" style="231"/>
    <col min="1269" max="1269" width="16" style="231" customWidth="1"/>
    <col min="1270" max="1524" width="9.1328125" style="231"/>
    <col min="1525" max="1525" width="16" style="231" customWidth="1"/>
    <col min="1526" max="1780" width="9.1328125" style="231"/>
    <col min="1781" max="1781" width="16" style="231" customWidth="1"/>
    <col min="1782" max="2036" width="9.1328125" style="231"/>
    <col min="2037" max="2037" width="16" style="231" customWidth="1"/>
    <col min="2038" max="2292" width="9.1328125" style="231"/>
    <col min="2293" max="2293" width="16" style="231" customWidth="1"/>
    <col min="2294" max="2548" width="9.1328125" style="231"/>
    <col min="2549" max="2549" width="16" style="231" customWidth="1"/>
    <col min="2550" max="2804" width="9.1328125" style="231"/>
    <col min="2805" max="2805" width="16" style="231" customWidth="1"/>
    <col min="2806" max="3060" width="9.1328125" style="231"/>
    <col min="3061" max="3061" width="16" style="231" customWidth="1"/>
    <col min="3062" max="3316" width="9.1328125" style="231"/>
    <col min="3317" max="3317" width="16" style="231" customWidth="1"/>
    <col min="3318" max="3572" width="9.1328125" style="231"/>
    <col min="3573" max="3573" width="16" style="231" customWidth="1"/>
    <col min="3574" max="3828" width="9.1328125" style="231"/>
    <col min="3829" max="3829" width="16" style="231" customWidth="1"/>
    <col min="3830" max="4084" width="9.1328125" style="231"/>
    <col min="4085" max="4085" width="16" style="231" customWidth="1"/>
    <col min="4086" max="4340" width="9.1328125" style="231"/>
    <col min="4341" max="4341" width="16" style="231" customWidth="1"/>
    <col min="4342" max="4596" width="9.1328125" style="231"/>
    <col min="4597" max="4597" width="16" style="231" customWidth="1"/>
    <col min="4598" max="4852" width="9.1328125" style="231"/>
    <col min="4853" max="4853" width="16" style="231" customWidth="1"/>
    <col min="4854" max="5108" width="9.1328125" style="231"/>
    <col min="5109" max="5109" width="16" style="231" customWidth="1"/>
    <col min="5110" max="5364" width="9.1328125" style="231"/>
    <col min="5365" max="5365" width="16" style="231" customWidth="1"/>
    <col min="5366" max="5620" width="9.1328125" style="231"/>
    <col min="5621" max="5621" width="16" style="231" customWidth="1"/>
    <col min="5622" max="5876" width="9.1328125" style="231"/>
    <col min="5877" max="5877" width="16" style="231" customWidth="1"/>
    <col min="5878" max="6132" width="9.1328125" style="231"/>
    <col min="6133" max="6133" width="16" style="231" customWidth="1"/>
    <col min="6134" max="6388" width="9.1328125" style="231"/>
    <col min="6389" max="6389" width="16" style="231" customWidth="1"/>
    <col min="6390" max="6644" width="9.1328125" style="231"/>
    <col min="6645" max="6645" width="16" style="231" customWidth="1"/>
    <col min="6646" max="6900" width="9.1328125" style="231"/>
    <col min="6901" max="6901" width="16" style="231" customWidth="1"/>
    <col min="6902" max="7156" width="9.1328125" style="231"/>
    <col min="7157" max="7157" width="16" style="231" customWidth="1"/>
    <col min="7158" max="7412" width="9.1328125" style="231"/>
    <col min="7413" max="7413" width="16" style="231" customWidth="1"/>
    <col min="7414" max="7668" width="9.1328125" style="231"/>
    <col min="7669" max="7669" width="16" style="231" customWidth="1"/>
    <col min="7670" max="7924" width="9.1328125" style="231"/>
    <col min="7925" max="7925" width="16" style="231" customWidth="1"/>
    <col min="7926" max="8180" width="9.1328125" style="231"/>
    <col min="8181" max="8181" width="16" style="231" customWidth="1"/>
    <col min="8182" max="8436" width="9.1328125" style="231"/>
    <col min="8437" max="8437" width="16" style="231" customWidth="1"/>
    <col min="8438" max="8692" width="9.1328125" style="231"/>
    <col min="8693" max="8693" width="16" style="231" customWidth="1"/>
    <col min="8694" max="8948" width="9.1328125" style="231"/>
    <col min="8949" max="8949" width="16" style="231" customWidth="1"/>
    <col min="8950" max="9204" width="9.1328125" style="231"/>
    <col min="9205" max="9205" width="16" style="231" customWidth="1"/>
    <col min="9206" max="9460" width="9.1328125" style="231"/>
    <col min="9461" max="9461" width="16" style="231" customWidth="1"/>
    <col min="9462" max="9716" width="9.1328125" style="231"/>
    <col min="9717" max="9717" width="16" style="231" customWidth="1"/>
    <col min="9718" max="9972" width="9.1328125" style="231"/>
    <col min="9973" max="9973" width="16" style="231" customWidth="1"/>
    <col min="9974" max="10228" width="9.1328125" style="231"/>
    <col min="10229" max="10229" width="16" style="231" customWidth="1"/>
    <col min="10230" max="10484" width="9.1328125" style="231"/>
    <col min="10485" max="10485" width="16" style="231" customWidth="1"/>
    <col min="10486" max="10740" width="9.1328125" style="231"/>
    <col min="10741" max="10741" width="16" style="231" customWidth="1"/>
    <col min="10742" max="10996" width="9.1328125" style="231"/>
    <col min="10997" max="10997" width="16" style="231" customWidth="1"/>
    <col min="10998" max="11252" width="9.1328125" style="231"/>
    <col min="11253" max="11253" width="16" style="231" customWidth="1"/>
    <col min="11254" max="11508" width="9.1328125" style="231"/>
    <col min="11509" max="11509" width="16" style="231" customWidth="1"/>
    <col min="11510" max="11764" width="9.1328125" style="231"/>
    <col min="11765" max="11765" width="16" style="231" customWidth="1"/>
    <col min="11766" max="12020" width="9.1328125" style="231"/>
    <col min="12021" max="12021" width="16" style="231" customWidth="1"/>
    <col min="12022" max="12276" width="9.1328125" style="231"/>
    <col min="12277" max="12277" width="16" style="231" customWidth="1"/>
    <col min="12278" max="12532" width="9.1328125" style="231"/>
    <col min="12533" max="12533" width="16" style="231" customWidth="1"/>
    <col min="12534" max="12788" width="9.1328125" style="231"/>
    <col min="12789" max="12789" width="16" style="231" customWidth="1"/>
    <col min="12790" max="13044" width="9.1328125" style="231"/>
    <col min="13045" max="13045" width="16" style="231" customWidth="1"/>
    <col min="13046" max="13300" width="9.1328125" style="231"/>
    <col min="13301" max="13301" width="16" style="231" customWidth="1"/>
    <col min="13302" max="13556" width="9.1328125" style="231"/>
    <col min="13557" max="13557" width="16" style="231" customWidth="1"/>
    <col min="13558" max="13812" width="9.1328125" style="231"/>
    <col min="13813" max="13813" width="16" style="231" customWidth="1"/>
    <col min="13814" max="14068" width="9.1328125" style="231"/>
    <col min="14069" max="14069" width="16" style="231" customWidth="1"/>
    <col min="14070" max="14324" width="9.1328125" style="231"/>
    <col min="14325" max="14325" width="16" style="231" customWidth="1"/>
    <col min="14326" max="14580" width="9.1328125" style="231"/>
    <col min="14581" max="14581" width="16" style="231" customWidth="1"/>
    <col min="14582" max="14836" width="9.1328125" style="231"/>
    <col min="14837" max="14837" width="16" style="231" customWidth="1"/>
    <col min="14838" max="15092" width="9.1328125" style="231"/>
    <col min="15093" max="15093" width="16" style="231" customWidth="1"/>
    <col min="15094" max="15348" width="9.1328125" style="231"/>
    <col min="15349" max="15349" width="16" style="231" customWidth="1"/>
    <col min="15350" max="15604" width="9.1328125" style="231"/>
    <col min="15605" max="15605" width="16" style="231" customWidth="1"/>
    <col min="15606" max="15860" width="9.1328125" style="231"/>
    <col min="15861" max="15861" width="16" style="231" customWidth="1"/>
    <col min="15862" max="16116" width="9.1328125" style="231"/>
    <col min="16117" max="16117" width="16" style="231" customWidth="1"/>
    <col min="16118" max="16384" width="9.1328125" style="231"/>
  </cols>
  <sheetData>
    <row r="1" spans="1:37" x14ac:dyDescent="0.45">
      <c r="A1" s="296" t="s">
        <v>2</v>
      </c>
      <c r="D1" s="295" t="s">
        <v>1521</v>
      </c>
      <c r="E1" s="295"/>
    </row>
    <row r="2" spans="1:37" x14ac:dyDescent="0.45">
      <c r="A2" s="294" t="str">
        <f>'Redovisning för kunder'!B7</f>
        <v>Enköping</v>
      </c>
      <c r="B2" s="293"/>
      <c r="D2" s="292" t="str">
        <f>IF(VLOOKUP($A$2,'Miljövärden urval för publ'!$B$2:$U$501,MATCH("Visa se länk istället för miljövärden i publiceringsfilen: (sätt kryss manuellt)",'Miljövärden urval för publ'!$B$2:$R$2,0),FALSE)="x","Nej","Ja")</f>
        <v>Ja</v>
      </c>
      <c r="I2" s="232" t="s">
        <v>1520</v>
      </c>
      <c r="J2" s="232"/>
      <c r="K2" s="232" t="str">
        <f>'Redovisning för kunder'!$B$4</f>
        <v>Välj företag:</v>
      </c>
    </row>
    <row r="3" spans="1:37" x14ac:dyDescent="0.45">
      <c r="I3" s="232" t="s">
        <v>1519</v>
      </c>
      <c r="J3" s="232"/>
      <c r="K3" s="232" t="str">
        <f>INDEX('Miljövärden för publ företag'!$B$4:$C$362,MATCH(A2,'Miljövärden för publ företag'!$C$4:$C$362,0),1)</f>
        <v>Ena Energi AB</v>
      </c>
      <c r="L3" s="291"/>
    </row>
    <row r="4" spans="1:37" x14ac:dyDescent="0.45">
      <c r="I4" s="232" t="s">
        <v>1518</v>
      </c>
      <c r="J4" s="232"/>
      <c r="K4" s="232" t="str">
        <f>IF(A2="Välj nät:","ja",IFERROR(IF(K2=K3,"ja","nej"),"nej"))</f>
        <v>nej</v>
      </c>
    </row>
    <row r="5" spans="1:37" ht="18" x14ac:dyDescent="0.55000000000000004">
      <c r="A5" s="237" t="s">
        <v>1517</v>
      </c>
      <c r="B5" s="235"/>
      <c r="C5" s="235"/>
      <c r="D5" s="235"/>
    </row>
    <row r="6" spans="1:37" s="275" customFormat="1" x14ac:dyDescent="0.45"/>
    <row r="7" spans="1:37" ht="91.9" x14ac:dyDescent="0.45">
      <c r="A7" s="290" t="s">
        <v>1220</v>
      </c>
      <c r="B7" s="290" t="s">
        <v>747</v>
      </c>
      <c r="C7" s="290" t="s">
        <v>1293</v>
      </c>
      <c r="D7" s="290" t="s">
        <v>745</v>
      </c>
      <c r="E7" s="290" t="s">
        <v>727</v>
      </c>
      <c r="F7" s="290" t="s">
        <v>1212</v>
      </c>
      <c r="G7" s="290" t="s">
        <v>726</v>
      </c>
      <c r="H7" s="48" t="s">
        <v>736</v>
      </c>
      <c r="I7" s="290" t="s">
        <v>766</v>
      </c>
      <c r="J7" s="290" t="s">
        <v>1294</v>
      </c>
      <c r="K7" s="290" t="s">
        <v>1226</v>
      </c>
      <c r="L7" s="290" t="s">
        <v>1224</v>
      </c>
      <c r="M7" s="290" t="s">
        <v>1222</v>
      </c>
      <c r="N7" s="290" t="s">
        <v>1221</v>
      </c>
      <c r="O7" s="290" t="s">
        <v>1295</v>
      </c>
      <c r="P7" s="290" t="s">
        <v>1216</v>
      </c>
      <c r="Q7" s="290" t="s">
        <v>1217</v>
      </c>
      <c r="R7" s="290" t="s">
        <v>1215</v>
      </c>
      <c r="S7" s="290" t="s">
        <v>1296</v>
      </c>
      <c r="T7" s="290" t="s">
        <v>754</v>
      </c>
      <c r="U7" s="290" t="s">
        <v>739</v>
      </c>
      <c r="V7" s="290" t="s">
        <v>1297</v>
      </c>
      <c r="W7" s="290" t="s">
        <v>1219</v>
      </c>
      <c r="X7" s="290" t="s">
        <v>1225</v>
      </c>
      <c r="Y7" s="290" t="s">
        <v>1214</v>
      </c>
      <c r="Z7" s="290" t="s">
        <v>1213</v>
      </c>
      <c r="AA7" s="290" t="s">
        <v>1223</v>
      </c>
      <c r="AB7" s="290" t="s">
        <v>783</v>
      </c>
      <c r="AC7" s="290" t="s">
        <v>1227</v>
      </c>
      <c r="AD7" s="290" t="s">
        <v>1218</v>
      </c>
      <c r="AE7" s="290" t="s">
        <v>1257</v>
      </c>
      <c r="AG7" s="275" t="s">
        <v>1516</v>
      </c>
      <c r="AH7" s="275" t="s">
        <v>1515</v>
      </c>
      <c r="AI7" s="275" t="s">
        <v>1253</v>
      </c>
      <c r="AJ7" s="275"/>
      <c r="AK7" s="289" t="s">
        <v>1514</v>
      </c>
    </row>
    <row r="8" spans="1:37" x14ac:dyDescent="0.45">
      <c r="A8" s="288" t="str">
        <f>IF($K$4="nej","",VLOOKUP($A$2,Totalt!$B$1:$BW$541,MATCH(A$7,Totalt!$B$1:$BQ$1,0),FALSE))</f>
        <v/>
      </c>
      <c r="B8" s="288" t="str">
        <f>IF($K$4="nej","",VLOOKUP($A$2,Totalt!$B$1:$BW$541,MATCH(B$7,Totalt!$B$1:$BQ$1,0),FALSE))</f>
        <v/>
      </c>
      <c r="C8" s="288" t="str">
        <f>IF($K$4="nej","",VLOOKUP($A$2,Totalt!$B$1:$BW$541,MATCH(C$7,Totalt!$B$1:$BQ$1,0),FALSE))</f>
        <v/>
      </c>
      <c r="D8" s="288" t="str">
        <f>IF($K$4="nej","",VLOOKUP($A$2,Totalt!$B$1:$BW$541,MATCH(D$7,Totalt!$B$1:$BQ$1,0),FALSE))</f>
        <v/>
      </c>
      <c r="E8" s="288" t="str">
        <f>IF($K$4="nej","",VLOOKUP($A$2,Totalt!$B$1:$BW$541,MATCH(E$7,Totalt!$B$1:$BQ$1,0),FALSE))</f>
        <v/>
      </c>
      <c r="F8" s="288" t="str">
        <f>IF($K$4="nej","",VLOOKUP($A$2,Totalt!$B$1:$BW$541,MATCH(F$7,Totalt!$B$1:$BQ$1,0),FALSE))</f>
        <v/>
      </c>
      <c r="G8" s="288" t="str">
        <f>IF($K$4="nej","",VLOOKUP($A$2,Totalt!$B$1:$BW$541,MATCH(G$7,Totalt!$B$1:$BQ$1,0),FALSE))</f>
        <v/>
      </c>
      <c r="H8" s="288" t="str">
        <f>IF($K$4="nej","",VLOOKUP($A$2,Totalt!$B$1:$BW$541,MATCH(H$7,Totalt!$B$1:$BQ$1,0),FALSE))</f>
        <v/>
      </c>
      <c r="I8" s="288" t="str">
        <f>IF($K$4="nej","",VLOOKUP($A$2,Totalt!$B$1:$BW$541,MATCH(I$7,Totalt!$B$1:$BQ$1,0),FALSE))</f>
        <v/>
      </c>
      <c r="J8" s="288" t="str">
        <f>IF($K$4="nej","",VLOOKUP($A$2,Totalt!$B$1:$BW$541,MATCH(J$7,Totalt!$B$1:$BQ$1,0),FALSE))</f>
        <v/>
      </c>
      <c r="K8" s="288" t="str">
        <f>IF($K$4="nej","",VLOOKUP($A$2,Totalt!$B$1:$BW$541,MATCH(K$7,Totalt!$B$1:$BQ$1,0),FALSE))</f>
        <v/>
      </c>
      <c r="L8" s="288" t="str">
        <f>IF($K$4="nej","",VLOOKUP($A$2,Totalt!$B$1:$BW$541,MATCH(L$7,Totalt!$B$1:$BQ$1,0),FALSE))</f>
        <v/>
      </c>
      <c r="M8" s="288" t="str">
        <f>IF($K$4="nej","",VLOOKUP($A$2,Totalt!$B$1:$BW$541,MATCH(M$7,Totalt!$B$1:$BQ$1,0),FALSE))</f>
        <v/>
      </c>
      <c r="N8" s="288" t="str">
        <f>IF($K$4="nej","",VLOOKUP($A$2,Totalt!$B$1:$BW$541,MATCH(N$7,Totalt!$B$1:$BQ$1,0),FALSE))</f>
        <v/>
      </c>
      <c r="O8" s="288" t="str">
        <f>IF($K$4="nej","",VLOOKUP($A$2,Totalt!$B$1:$BW$541,MATCH(O$7,Totalt!$B$1:$BQ$1,0),FALSE))</f>
        <v/>
      </c>
      <c r="P8" s="288" t="str">
        <f>IF($K$4="nej","",VLOOKUP($A$2,Totalt!$B$1:$BW$541,MATCH(P$7,Totalt!$B$1:$BQ$1,0),FALSE))</f>
        <v/>
      </c>
      <c r="Q8" s="288" t="str">
        <f>IF($K$4="nej","",VLOOKUP($A$2,Totalt!$B$1:$BW$541,MATCH(Q$7,Totalt!$B$1:$BQ$1,0),FALSE))</f>
        <v/>
      </c>
      <c r="R8" s="288" t="str">
        <f>IF($K$4="nej","",VLOOKUP($A$2,Totalt!$B$1:$BW$541,MATCH(R$7,Totalt!$B$1:$BQ$1,0),FALSE))</f>
        <v/>
      </c>
      <c r="S8" s="288" t="str">
        <f>IF($K$4="nej","",VLOOKUP($A$2,Totalt!$B$1:$BW$541,MATCH(S$7,Totalt!$B$1:$BQ$1,0),FALSE))</f>
        <v/>
      </c>
      <c r="T8" s="288" t="str">
        <f>IF($K$4="nej","",VLOOKUP($A$2,Totalt!$B$1:$BW$541,MATCH(T$7,Totalt!$B$1:$BQ$1,0),FALSE))</f>
        <v/>
      </c>
      <c r="U8" s="288" t="str">
        <f>IF($K$4="nej","",VLOOKUP($A$2,Totalt!$B$1:$BW$541,MATCH(U$7,Totalt!$B$1:$BQ$1,0),FALSE))</f>
        <v/>
      </c>
      <c r="V8" s="288" t="str">
        <f>IF($K$4="nej","",VLOOKUP($A$2,Totalt!$B$1:$BW$541,MATCH(V$7,Totalt!$B$1:$BQ$1,0),FALSE))</f>
        <v/>
      </c>
      <c r="W8" s="288" t="str">
        <f>IF($K$4="nej","",VLOOKUP($A$2,Totalt!$B$1:$BW$541,MATCH(W$7,Totalt!$B$1:$BQ$1,0),FALSE))</f>
        <v/>
      </c>
      <c r="X8" s="288" t="str">
        <f>IF($K$4="nej","",VLOOKUP($A$2,Totalt!$B$1:$BW$541,MATCH(X$7,Totalt!$B$1:$BQ$1,0),FALSE))</f>
        <v/>
      </c>
      <c r="Y8" s="288" t="str">
        <f>IF($K$4="nej","",VLOOKUP($A$2,Totalt!$B$1:$BW$541,MATCH(Y$7,Totalt!$B$1:$BQ$1,0),FALSE))</f>
        <v/>
      </c>
      <c r="Z8" s="288" t="str">
        <f>IF($K$4="nej","",VLOOKUP($A$2,Totalt!$B$1:$BW$541,MATCH(Z$7,Totalt!$B$1:$BQ$1,0),FALSE))</f>
        <v/>
      </c>
      <c r="AA8" s="288" t="str">
        <f>IF($K$4="nej","",VLOOKUP($A$2,Totalt!$B$1:$BW$541,MATCH(AA$7,Totalt!$B$1:$BQ$1,0),FALSE))</f>
        <v/>
      </c>
      <c r="AB8" s="288" t="str">
        <f>IF($K$4="nej","",VLOOKUP($A$2,Totalt!$B$1:$BW$541,MATCH(AB$7,Totalt!$B$1:$BQ$1,0),FALSE))</f>
        <v/>
      </c>
      <c r="AC8" s="288" t="str">
        <f>IF($K$4="nej","",VLOOKUP($A$2,Totalt!$B$1:$BW$541,MATCH(AC$7,Totalt!$B$1:$BQ$1,0),FALSE))</f>
        <v/>
      </c>
      <c r="AD8" s="288" t="str">
        <f>IF($K$4="nej","",VLOOKUP($A$2,Totalt!$B$1:$BW$541,MATCH(AD$7,Totalt!$B$1:$BQ$1,0),FALSE))</f>
        <v/>
      </c>
      <c r="AE8" s="288" t="str">
        <f>IF($K$4="nej","",VLOOKUP($A$2,Totalt!$B$1:$BW$541,MATCH(AE$7,Totalt!$B$1:$BQ$1,0),FALSE))</f>
        <v/>
      </c>
      <c r="AG8" s="231">
        <f>SUM(A8:AE8)</f>
        <v>0</v>
      </c>
      <c r="AH8" s="231">
        <f>VLOOKUP($A$2,Totalt!$B$1:$BW$541,MATCH("Totalt tillförd energi:",Totalt!$B$1:$BQ$1,0),FALSE)</f>
        <v>225.08141999999998</v>
      </c>
      <c r="AI8" s="231">
        <f>AG8-AH8</f>
        <v>-225.08141999999998</v>
      </c>
      <c r="AK8" s="287" t="e">
        <f>X8+Y8+AD8</f>
        <v>#VALUE!</v>
      </c>
    </row>
    <row r="9" spans="1:37" ht="56.25" customHeight="1" x14ac:dyDescent="0.45">
      <c r="B9" s="286" t="s">
        <v>1453</v>
      </c>
      <c r="C9" s="286" t="s">
        <v>1453</v>
      </c>
      <c r="D9" s="286" t="s">
        <v>1453</v>
      </c>
      <c r="H9" s="286"/>
      <c r="I9" s="286"/>
      <c r="J9" s="286"/>
      <c r="K9" s="286" t="s">
        <v>734</v>
      </c>
      <c r="L9" s="286" t="s">
        <v>734</v>
      </c>
      <c r="M9" s="286" t="s">
        <v>734</v>
      </c>
      <c r="N9" s="286" t="s">
        <v>734</v>
      </c>
      <c r="O9" s="286" t="s">
        <v>734</v>
      </c>
      <c r="P9" s="286" t="s">
        <v>1269</v>
      </c>
      <c r="Q9" s="286" t="s">
        <v>1269</v>
      </c>
      <c r="R9" s="286" t="s">
        <v>1269</v>
      </c>
      <c r="S9" s="286" t="s">
        <v>1269</v>
      </c>
      <c r="T9" s="286" t="s">
        <v>1460</v>
      </c>
      <c r="U9" s="286" t="s">
        <v>1460</v>
      </c>
      <c r="V9" s="286" t="s">
        <v>751</v>
      </c>
      <c r="W9" s="286"/>
      <c r="X9" s="286" t="s">
        <v>1268</v>
      </c>
      <c r="Y9" s="286" t="s">
        <v>1268</v>
      </c>
      <c r="Z9" s="275"/>
      <c r="AA9" s="275"/>
      <c r="AB9" s="275"/>
      <c r="AC9" s="286" t="s">
        <v>1496</v>
      </c>
      <c r="AD9" s="286" t="s">
        <v>1268</v>
      </c>
      <c r="AE9" s="286" t="s">
        <v>1513</v>
      </c>
    </row>
    <row r="13" spans="1:37" ht="18" x14ac:dyDescent="0.55000000000000004">
      <c r="A13" s="237" t="s">
        <v>1512</v>
      </c>
    </row>
    <row r="15" spans="1:37" ht="40.5" customHeight="1" x14ac:dyDescent="0.45">
      <c r="A15" s="285" t="s">
        <v>1511</v>
      </c>
      <c r="B15" s="284"/>
      <c r="C15" s="284"/>
      <c r="D15" s="284"/>
      <c r="E15" s="284"/>
      <c r="F15" s="284"/>
      <c r="G15" s="283"/>
      <c r="I15" s="369" t="s">
        <v>1510</v>
      </c>
      <c r="J15" s="370"/>
      <c r="K15" s="371"/>
    </row>
    <row r="16" spans="1:37" ht="42.75" x14ac:dyDescent="0.45">
      <c r="A16" s="282" t="s">
        <v>1237</v>
      </c>
      <c r="B16" s="281" t="s">
        <v>1509</v>
      </c>
      <c r="C16" s="281"/>
      <c r="D16" s="281"/>
      <c r="E16" s="280" t="s">
        <v>1508</v>
      </c>
      <c r="F16" s="280" t="s">
        <v>1507</v>
      </c>
      <c r="G16" s="279" t="s">
        <v>1506</v>
      </c>
      <c r="I16" s="278" t="s">
        <v>1238</v>
      </c>
      <c r="J16" s="277" t="s">
        <v>1240</v>
      </c>
      <c r="K16" s="276" t="s">
        <v>1505</v>
      </c>
      <c r="L16" s="275"/>
      <c r="M16" s="275"/>
      <c r="N16" s="275"/>
    </row>
    <row r="17" spans="1:25" x14ac:dyDescent="0.45">
      <c r="A17" s="231" t="str">
        <f>IF($K$4="nej","",VLOOKUP($A$2,Miljö!$B$1:$AK$550,MATCH(A16,Miljö!$B$1:$AF$1,0),FALSE))</f>
        <v/>
      </c>
      <c r="B17" s="231" t="str">
        <f>IF($K$4="nej","",IF(A17="ja",VLOOKUP($A$2,Miljö!$B$1:$AK$550,MATCH("Typ av ursprungsspecificerad el   (Om inget värde anges används Nordisk residualmix, se inforuta) ()",Miljö!$B$1:$AF$1,0),FALSE),"Nordisk residual"))</f>
        <v/>
      </c>
      <c r="E17" s="274" t="str">
        <f>IF($K$4="nej","",VLOOKUP($A$2,Miljö!$B$1:$AK$550,MATCH("Fossilandel för ursprungspecificerad el ()",Miljö!$B$1:$AF$1,0),FALSE))</f>
        <v/>
      </c>
      <c r="F17" s="274" t="str">
        <f>IF($K$4="nej","",1-E17-G17)</f>
        <v/>
      </c>
      <c r="G17" s="274" t="str">
        <f>IF($K$4="nej","",VLOOKUP($A$2,Miljö!$B$1:$AK$550,MATCH("Kärnkraftsandel för ursprungsspecificerad el ()",Miljö!$B$1:$AF$1,0),FALSE))</f>
        <v/>
      </c>
      <c r="I17" s="231" t="str">
        <f>IF($K$4="nej","",IF(AE8&gt;0,"Ja","Nej"))</f>
        <v/>
      </c>
      <c r="J17" s="274" t="str">
        <f>IF($K$4="nej","",IF(I17="ja",VLOOKUP($A$2,Miljö!$B$1:$AK$550,MATCH(J16,Miljö!$B$1:$AF$1,0),FALSE),0))</f>
        <v/>
      </c>
      <c r="K17" s="274" t="str">
        <f>IF($K$4="nej","",IF(I17="ja",1-J17,0))</f>
        <v/>
      </c>
    </row>
    <row r="21" spans="1:25" ht="18" x14ac:dyDescent="0.55000000000000004">
      <c r="A21" s="237" t="s">
        <v>1504</v>
      </c>
    </row>
    <row r="24" spans="1:25" x14ac:dyDescent="0.45">
      <c r="A24" s="372" t="s">
        <v>1503</v>
      </c>
      <c r="B24" s="373"/>
      <c r="C24" s="373"/>
      <c r="D24" s="373"/>
      <c r="E24" s="374"/>
      <c r="F24" s="372" t="s">
        <v>1482</v>
      </c>
      <c r="G24" s="373"/>
      <c r="H24" s="373"/>
      <c r="I24" s="373"/>
      <c r="J24" s="373"/>
      <c r="K24" s="373"/>
      <c r="L24" s="374"/>
      <c r="M24" s="372" t="s">
        <v>1502</v>
      </c>
      <c r="N24" s="373"/>
      <c r="O24" s="373"/>
      <c r="P24" s="372" t="s">
        <v>1479</v>
      </c>
      <c r="Q24" s="373"/>
      <c r="R24" s="373"/>
      <c r="S24" s="373"/>
      <c r="T24" s="373"/>
      <c r="U24" s="373"/>
      <c r="V24" s="374"/>
      <c r="X24" s="372" t="s">
        <v>1233</v>
      </c>
      <c r="Y24" s="374"/>
    </row>
    <row r="25" spans="1:25" ht="85.5" x14ac:dyDescent="0.45">
      <c r="A25" s="273" t="s">
        <v>1269</v>
      </c>
      <c r="B25" s="270" t="s">
        <v>734</v>
      </c>
      <c r="C25" s="270" t="s">
        <v>751</v>
      </c>
      <c r="D25" s="270" t="s">
        <v>1460</v>
      </c>
      <c r="E25" s="272" t="s">
        <v>1501</v>
      </c>
      <c r="F25" s="269" t="s">
        <v>783</v>
      </c>
      <c r="G25" s="269" t="s">
        <v>726</v>
      </c>
      <c r="H25" s="270" t="s">
        <v>736</v>
      </c>
      <c r="I25" s="269" t="s">
        <v>766</v>
      </c>
      <c r="J25" s="269" t="s">
        <v>1294</v>
      </c>
      <c r="K25" s="269" t="s">
        <v>1500</v>
      </c>
      <c r="L25" s="269" t="s">
        <v>1223</v>
      </c>
      <c r="M25" s="271" t="s">
        <v>1455</v>
      </c>
      <c r="N25" s="270" t="s">
        <v>1499</v>
      </c>
      <c r="O25" s="268" t="s">
        <v>1498</v>
      </c>
      <c r="P25" s="267" t="s">
        <v>1220</v>
      </c>
      <c r="Q25" s="269" t="s">
        <v>1453</v>
      </c>
      <c r="R25" s="269" t="s">
        <v>727</v>
      </c>
      <c r="S25" s="269" t="s">
        <v>1212</v>
      </c>
      <c r="T25" s="269" t="s">
        <v>1497</v>
      </c>
      <c r="U25" s="269" t="s">
        <v>1496</v>
      </c>
      <c r="V25" s="268" t="s">
        <v>1495</v>
      </c>
      <c r="X25" s="267" t="s">
        <v>1494</v>
      </c>
      <c r="Y25" s="266" t="s">
        <v>1253</v>
      </c>
    </row>
    <row r="26" spans="1:25" x14ac:dyDescent="0.45">
      <c r="A26" s="231" t="e">
        <f>IF($D$2="Nej",0,P8+Q8+R8+S8)</f>
        <v>#VALUE!</v>
      </c>
      <c r="B26" s="231" t="e">
        <f>IF($D$2="Nej",0,K8+L8+M8+N8+O8)</f>
        <v>#VALUE!</v>
      </c>
      <c r="C26" s="231" t="str">
        <f>IF($D$2="Nej",0,V8)</f>
        <v/>
      </c>
      <c r="D26" s="231" t="e">
        <f>IF($D$2="Nej",0,U8+T8)</f>
        <v>#VALUE!</v>
      </c>
      <c r="E26" s="231" t="e">
        <f>IF($D$2="Nej",0,F17*AK8)</f>
        <v>#VALUE!</v>
      </c>
      <c r="F26" s="231" t="str">
        <f>IF($D$2="Nej",0,AB8)</f>
        <v/>
      </c>
      <c r="G26" s="231" t="str">
        <f>IF($D$2="Nej",0,G8)</f>
        <v/>
      </c>
      <c r="H26" s="231" t="str">
        <f>IF($D$2="Nej",0,H8)</f>
        <v/>
      </c>
      <c r="I26" s="231" t="str">
        <f>IF($D$2="Nej",0,I8)</f>
        <v/>
      </c>
      <c r="J26" s="231" t="str">
        <f>IF($D$2="Nej",0,J8)</f>
        <v/>
      </c>
      <c r="K26" s="231" t="str">
        <f>IF($D$2="Nej",0,Z8)</f>
        <v/>
      </c>
      <c r="L26" s="231" t="str">
        <f>IF($D$2="Nej",0,AA8)</f>
        <v/>
      </c>
      <c r="M26" s="231" t="str">
        <f>IF($D$2="Nej",0,W8)</f>
        <v/>
      </c>
      <c r="N26" s="231" t="e">
        <f>IF($D$2="Nej",0,AK8*G17)</f>
        <v>#VALUE!</v>
      </c>
      <c r="O26" s="231" t="e">
        <f>IF($D$2="Nej",0,AE8*K17)</f>
        <v>#VALUE!</v>
      </c>
      <c r="P26" s="231" t="str">
        <f>IF($D$2="Nej",0,A8)</f>
        <v/>
      </c>
      <c r="Q26" s="231" t="e">
        <f>IF($D$2="Nej",0,B8+C8+D8)</f>
        <v>#VALUE!</v>
      </c>
      <c r="R26" s="231" t="str">
        <f>IF($D$2="Nej",0,E8)</f>
        <v/>
      </c>
      <c r="S26" s="231" t="str">
        <f>IF($D$2="Nej",0,F8)</f>
        <v/>
      </c>
      <c r="T26" s="231" t="e">
        <f>IF($D$2="Nej",0,AK8*E17)</f>
        <v>#VALUE!</v>
      </c>
      <c r="U26" s="231" t="str">
        <f>IF($D$2="Nej",0,AC8)</f>
        <v/>
      </c>
      <c r="V26" s="231" t="e">
        <f>IF($D$2="Nej",0,AE8*J17)</f>
        <v>#VALUE!</v>
      </c>
      <c r="X26" s="231" t="e">
        <f>SUM(A26:V26)</f>
        <v>#VALUE!</v>
      </c>
      <c r="Y26" s="265" t="e">
        <f>X26-AG8</f>
        <v>#VALUE!</v>
      </c>
    </row>
    <row r="27" spans="1:25" x14ac:dyDescent="0.45">
      <c r="A27" s="110" t="e">
        <f t="shared" ref="A27:V27" si="0">A26/$X$26</f>
        <v>#VALUE!</v>
      </c>
      <c r="B27" s="110" t="e">
        <f t="shared" si="0"/>
        <v>#VALUE!</v>
      </c>
      <c r="C27" s="110" t="e">
        <f t="shared" si="0"/>
        <v>#VALUE!</v>
      </c>
      <c r="D27" s="110" t="e">
        <f t="shared" si="0"/>
        <v>#VALUE!</v>
      </c>
      <c r="E27" s="110" t="e">
        <f t="shared" si="0"/>
        <v>#VALUE!</v>
      </c>
      <c r="F27" s="110" t="e">
        <f t="shared" si="0"/>
        <v>#VALUE!</v>
      </c>
      <c r="G27" s="110" t="e">
        <f t="shared" si="0"/>
        <v>#VALUE!</v>
      </c>
      <c r="H27" s="110" t="e">
        <f t="shared" si="0"/>
        <v>#VALUE!</v>
      </c>
      <c r="I27" s="110" t="e">
        <f t="shared" si="0"/>
        <v>#VALUE!</v>
      </c>
      <c r="J27" s="110" t="e">
        <f t="shared" si="0"/>
        <v>#VALUE!</v>
      </c>
      <c r="K27" s="110" t="e">
        <f t="shared" si="0"/>
        <v>#VALUE!</v>
      </c>
      <c r="L27" s="110" t="e">
        <f t="shared" si="0"/>
        <v>#VALUE!</v>
      </c>
      <c r="M27" s="110" t="e">
        <f t="shared" si="0"/>
        <v>#VALUE!</v>
      </c>
      <c r="N27" s="110" t="e">
        <f t="shared" si="0"/>
        <v>#VALUE!</v>
      </c>
      <c r="O27" s="110" t="e">
        <f t="shared" si="0"/>
        <v>#VALUE!</v>
      </c>
      <c r="P27" s="110" t="e">
        <f t="shared" si="0"/>
        <v>#VALUE!</v>
      </c>
      <c r="Q27" s="110" t="e">
        <f t="shared" si="0"/>
        <v>#VALUE!</v>
      </c>
      <c r="R27" s="311" t="e">
        <f>R26/$X$26</f>
        <v>#VALUE!</v>
      </c>
      <c r="S27" s="110" t="e">
        <f t="shared" si="0"/>
        <v>#VALUE!</v>
      </c>
      <c r="T27" s="110" t="e">
        <f t="shared" si="0"/>
        <v>#VALUE!</v>
      </c>
      <c r="U27" s="110" t="e">
        <f t="shared" si="0"/>
        <v>#VALUE!</v>
      </c>
      <c r="V27" s="110" t="e">
        <f t="shared" si="0"/>
        <v>#VALUE!</v>
      </c>
      <c r="Y27" s="265"/>
    </row>
    <row r="29" spans="1:25" x14ac:dyDescent="0.45">
      <c r="A29" s="231" t="s">
        <v>1493</v>
      </c>
      <c r="B29" s="231" t="e">
        <f>SUM(A26:E26)</f>
        <v>#VALUE!</v>
      </c>
      <c r="F29" s="231" t="s">
        <v>1492</v>
      </c>
      <c r="G29" s="231">
        <f>SUM(F26:L26)</f>
        <v>0</v>
      </c>
      <c r="M29" s="231" t="s">
        <v>1491</v>
      </c>
      <c r="N29" s="231" t="e">
        <f>SUM(M26:O26)</f>
        <v>#VALUE!</v>
      </c>
      <c r="P29" s="231" t="s">
        <v>1490</v>
      </c>
      <c r="Q29" s="231" t="e">
        <f>SUM(P26:V26)</f>
        <v>#VALUE!</v>
      </c>
      <c r="X29" s="231" t="e">
        <f>B29+G29+N29+Q29</f>
        <v>#VALUE!</v>
      </c>
      <c r="Y29" s="265" t="e">
        <f>X26-X29</f>
        <v>#VALUE!</v>
      </c>
    </row>
    <row r="30" spans="1:25" x14ac:dyDescent="0.45">
      <c r="A30" s="231" t="s">
        <v>1489</v>
      </c>
      <c r="B30" s="110" t="e">
        <f>B29/$X$26</f>
        <v>#VALUE!</v>
      </c>
      <c r="F30" s="231" t="s">
        <v>1488</v>
      </c>
      <c r="G30" s="110" t="e">
        <f>G29/$X$26</f>
        <v>#VALUE!</v>
      </c>
      <c r="H30" s="110"/>
      <c r="M30" s="231" t="s">
        <v>1487</v>
      </c>
      <c r="N30" s="110" t="e">
        <f>N29/$X$26</f>
        <v>#VALUE!</v>
      </c>
      <c r="P30" s="231" t="s">
        <v>1299</v>
      </c>
      <c r="Q30" s="110" t="e">
        <f>Q29/$X$26</f>
        <v>#VALUE!</v>
      </c>
      <c r="X30" s="238" t="e">
        <f>B30+G30+N30+Q30</f>
        <v>#VALUE!</v>
      </c>
      <c r="Y30" s="265" t="e">
        <f>100%-X30</f>
        <v>#VALUE!</v>
      </c>
    </row>
    <row r="31" spans="1:25" s="234" customFormat="1" x14ac:dyDescent="0.45"/>
    <row r="32" spans="1:25" ht="18" x14ac:dyDescent="0.55000000000000004">
      <c r="A32" s="237" t="s">
        <v>1486</v>
      </c>
    </row>
    <row r="33" spans="1:27" ht="18" x14ac:dyDescent="0.55000000000000004">
      <c r="A33" s="237"/>
      <c r="B33" s="231" t="s">
        <v>1485</v>
      </c>
      <c r="D33" s="231" t="s">
        <v>1484</v>
      </c>
      <c r="G33" s="235" t="s">
        <v>1483</v>
      </c>
    </row>
    <row r="34" spans="1:27" x14ac:dyDescent="0.45">
      <c r="A34" s="231" t="s">
        <v>1482</v>
      </c>
      <c r="B34" s="231">
        <f>G29</f>
        <v>0</v>
      </c>
      <c r="C34" s="111" t="e">
        <f>G30</f>
        <v>#VALUE!</v>
      </c>
      <c r="D34" s="231" t="e">
        <f>ROUND(C34*100,IF(C34*100&gt;1,0,IF(C34*100&gt;=0.1,1,IF(C34*100&gt;0.01,2,3))))</f>
        <v>#VALUE!</v>
      </c>
      <c r="G34" s="231" t="e">
        <f>A34&amp; " "&amp;D34&amp;"%"</f>
        <v>#VALUE!</v>
      </c>
    </row>
    <row r="35" spans="1:27" x14ac:dyDescent="0.45">
      <c r="A35" s="231" t="s">
        <v>1481</v>
      </c>
      <c r="B35" s="231" t="e">
        <f>B29</f>
        <v>#VALUE!</v>
      </c>
      <c r="C35" s="111" t="e">
        <f>B30</f>
        <v>#VALUE!</v>
      </c>
      <c r="D35" s="231" t="e">
        <f>ROUND(C35*100,IF(C35*100&gt;1,0,IF(C35*100&gt;=0.1,1,IF(C35*100&gt;0.01,2,3))))</f>
        <v>#VALUE!</v>
      </c>
      <c r="G35" s="231" t="e">
        <f>A35&amp; " "&amp;D35&amp;"%"</f>
        <v>#VALUE!</v>
      </c>
    </row>
    <row r="36" spans="1:27" x14ac:dyDescent="0.45">
      <c r="A36" s="231" t="s">
        <v>1480</v>
      </c>
      <c r="B36" s="231" t="e">
        <f>N29</f>
        <v>#VALUE!</v>
      </c>
      <c r="C36" s="111" t="e">
        <f>N30</f>
        <v>#VALUE!</v>
      </c>
      <c r="D36" s="231" t="e">
        <f>ROUND(C36*100,IF(C36*100&gt;1,0,IF(C36*100&gt;=0.1,1,IF(C36*100&gt;0.01,2,3))))</f>
        <v>#VALUE!</v>
      </c>
      <c r="G36" s="231" t="e">
        <f>A36&amp; " "&amp;D36&amp;"%"</f>
        <v>#VALUE!</v>
      </c>
    </row>
    <row r="37" spans="1:27" x14ac:dyDescent="0.45">
      <c r="A37" s="231" t="s">
        <v>1479</v>
      </c>
      <c r="B37" s="231" t="e">
        <f>Q29</f>
        <v>#VALUE!</v>
      </c>
      <c r="C37" s="111" t="e">
        <f>Q30</f>
        <v>#VALUE!</v>
      </c>
      <c r="D37" s="231" t="e">
        <f>ROUND(C37*100,IF(C37*100&gt;1,0,IF(C37*100&gt;=0.1,1,IF(C37*100&gt;0.01,2,3))))</f>
        <v>#VALUE!</v>
      </c>
      <c r="G37" s="231" t="e">
        <f>A37&amp; " "&amp;D37&amp;"%"</f>
        <v>#VALUE!</v>
      </c>
    </row>
    <row r="41" spans="1:27" ht="18" x14ac:dyDescent="0.55000000000000004">
      <c r="A41" s="237" t="s">
        <v>1478</v>
      </c>
    </row>
    <row r="43" spans="1:27" x14ac:dyDescent="0.45">
      <c r="A43" s="235" t="s">
        <v>1477</v>
      </c>
      <c r="F43" s="264" t="s">
        <v>1476</v>
      </c>
      <c r="G43" s="242"/>
      <c r="H43" s="242"/>
      <c r="I43" s="242"/>
      <c r="J43" s="242"/>
      <c r="K43" s="242"/>
      <c r="L43" s="242"/>
      <c r="M43" s="264" t="s">
        <v>1475</v>
      </c>
      <c r="N43" s="242"/>
      <c r="O43" s="242"/>
      <c r="P43" s="242"/>
      <c r="Q43" s="242"/>
      <c r="S43" s="264" t="s">
        <v>1474</v>
      </c>
      <c r="X43" s="235" t="s">
        <v>1473</v>
      </c>
    </row>
    <row r="44" spans="1:27" ht="54.75" customHeight="1" x14ac:dyDescent="0.45">
      <c r="A44" s="365" t="s">
        <v>1472</v>
      </c>
      <c r="B44" s="365"/>
      <c r="F44" s="264"/>
      <c r="G44" s="242"/>
      <c r="H44" s="242"/>
      <c r="I44" s="243" t="s">
        <v>1471</v>
      </c>
      <c r="J44" s="242"/>
      <c r="K44" s="242"/>
      <c r="L44" s="242"/>
      <c r="M44" s="264"/>
      <c r="N44" s="242"/>
      <c r="O44" s="242"/>
      <c r="P44" s="242"/>
      <c r="Q44" s="242"/>
      <c r="S44" s="242" t="s">
        <v>1470</v>
      </c>
      <c r="T44" s="242"/>
      <c r="U44" s="242" t="s">
        <v>1469</v>
      </c>
      <c r="X44" s="366" t="s">
        <v>1468</v>
      </c>
      <c r="Y44" s="367"/>
      <c r="Z44" s="367"/>
      <c r="AA44" s="368"/>
    </row>
    <row r="45" spans="1:27" ht="28.5" x14ac:dyDescent="0.45">
      <c r="A45" s="263"/>
      <c r="B45" s="262" t="s">
        <v>1467</v>
      </c>
      <c r="C45" s="261"/>
      <c r="F45" s="242"/>
      <c r="G45" s="242"/>
      <c r="H45" s="242"/>
      <c r="I45" s="243">
        <v>0</v>
      </c>
      <c r="J45" s="242"/>
      <c r="K45" s="242"/>
      <c r="L45" s="243">
        <v>0</v>
      </c>
      <c r="M45" s="242" t="str">
        <f>IFERROR(INDEX($F$46:$I$53,MATCH($L45,$I$46:$I$53,0),1),"")</f>
        <v/>
      </c>
      <c r="N45" s="242"/>
      <c r="O45" s="242"/>
      <c r="P45" s="242"/>
      <c r="Q45" s="242"/>
      <c r="S45" s="242"/>
      <c r="T45" s="242"/>
      <c r="U45" s="242"/>
      <c r="X45" s="260"/>
      <c r="Y45" s="259" t="s">
        <v>1466</v>
      </c>
      <c r="Z45" s="259" t="s">
        <v>1465</v>
      </c>
      <c r="AA45" s="258"/>
    </row>
    <row r="46" spans="1:27" x14ac:dyDescent="0.45">
      <c r="A46" s="256" t="s">
        <v>1274</v>
      </c>
      <c r="B46" s="255" t="e">
        <f>G30</f>
        <v>#VALUE!</v>
      </c>
      <c r="C46" s="250" t="s">
        <v>1284</v>
      </c>
      <c r="F46" s="254" t="str">
        <f>A46</f>
        <v>Återvunnen energi:</v>
      </c>
      <c r="G46" s="242"/>
      <c r="H46" s="242"/>
      <c r="I46" s="243">
        <f t="shared" ref="I46:I76" si="1">IF(F46&lt;&gt;"",I45+1,I45)</f>
        <v>1</v>
      </c>
      <c r="J46" s="242"/>
      <c r="K46" s="242"/>
      <c r="L46" s="243">
        <v>1</v>
      </c>
      <c r="M46" s="242" t="str">
        <f t="shared" ref="M46:M76" si="2">IFERROR(INDEX($F$46:$I$76,MATCH($L46,$I$46:$I$76,0),1),"")</f>
        <v>Återvunnen energi:</v>
      </c>
      <c r="N46" s="242"/>
      <c r="O46" s="242"/>
      <c r="P46" s="242"/>
      <c r="Q46" s="242"/>
      <c r="S46" s="242" t="str">
        <f>IF(M46="","",M46)</f>
        <v>Återvunnen energi:</v>
      </c>
      <c r="T46" s="242"/>
      <c r="U46" s="242" t="str">
        <f t="shared" ref="U46:U76" si="3">IF(ISERROR(VLOOKUP(S46,$A$46:$B$74,2,FALSE)),"",IF(VLOOKUP(S46,$A$46:$B$74,2,FALSE)="","",VLOOKUP(S46,$A$46:$B$74,2,FALSE)))</f>
        <v/>
      </c>
      <c r="X46" s="249" t="str">
        <f t="shared" ref="X46:X76" si="4">S46</f>
        <v>Återvunnen energi:</v>
      </c>
      <c r="Y46" s="248" t="str">
        <f>IF(ISERROR(VLOOKUP(X46,$A$46:$C$74,3,FALSE)),"",IF(VLOOKUP(X46,$A$46:$C$74,3,FALSE)="Summa","ja",""))</f>
        <v>ja</v>
      </c>
      <c r="Z46" s="248" t="str">
        <f>IF(TYPE(U46)=1,
IF(U46*100&gt;10,3,IF(AND(U46*100&lt;10,U46*100&gt;0.1),3,4)),
"")</f>
        <v/>
      </c>
      <c r="AA46" s="247" t="str">
        <f>IFERROR(ROUND(U46,Z46)*100&amp;"%","")</f>
        <v/>
      </c>
    </row>
    <row r="47" spans="1:27" x14ac:dyDescent="0.45">
      <c r="A47" s="252" t="s">
        <v>1333</v>
      </c>
      <c r="B47" s="253" t="e">
        <f>F27</f>
        <v>#VALUE!</v>
      </c>
      <c r="C47" s="250"/>
      <c r="F47" s="242" t="e">
        <f>IF(B47=0,"",A47)</f>
        <v>#VALUE!</v>
      </c>
      <c r="G47" s="242"/>
      <c r="H47" s="242"/>
      <c r="I47" s="243" t="e">
        <f t="shared" si="1"/>
        <v>#VALUE!</v>
      </c>
      <c r="J47" s="242"/>
      <c r="K47" s="242"/>
      <c r="L47" s="243">
        <v>2</v>
      </c>
      <c r="M47" s="242" t="str">
        <f t="shared" si="2"/>
        <v/>
      </c>
      <c r="N47" s="242"/>
      <c r="O47" s="242"/>
      <c r="P47" s="242"/>
      <c r="Q47" s="242"/>
      <c r="S47" s="242" t="str">
        <f t="shared" ref="S47:S76" si="5">IF(M47="","",M47)</f>
        <v/>
      </c>
      <c r="T47" s="242"/>
      <c r="U47" s="242" t="str">
        <f t="shared" si="3"/>
        <v/>
      </c>
      <c r="X47" s="249" t="str">
        <f t="shared" si="4"/>
        <v/>
      </c>
      <c r="Y47" s="248" t="str">
        <f>IF(ISERROR(VLOOKUP(X47,$A$46:$C$74,3,FALSE)),"",IF(VLOOKUP(X47,$A$46:$C$74,3,FALSE)="Summa","ja",""))</f>
        <v/>
      </c>
      <c r="Z47" s="248" t="str">
        <f t="shared" ref="Z47:Z76" si="6">IF(TYPE(U47)=1,
IF(U47*100&gt;10,3,IF(AND(U47*100&lt;10,U47*100&gt;0.1),3,4)),
"")</f>
        <v/>
      </c>
      <c r="AA47" s="247" t="str">
        <f t="shared" ref="AA47:AA76" si="7">IFERROR(ROUND(U47,Z47)*100&amp;"%","")</f>
        <v/>
      </c>
    </row>
    <row r="48" spans="1:27" x14ac:dyDescent="0.45">
      <c r="A48" s="252" t="s">
        <v>1223</v>
      </c>
      <c r="B48" s="253" t="e">
        <f>L27</f>
        <v>#VALUE!</v>
      </c>
      <c r="C48" s="250"/>
      <c r="F48" s="242" t="e">
        <f t="shared" ref="F48:F53" si="8">IF(B48=0,"",A48)</f>
        <v>#VALUE!</v>
      </c>
      <c r="G48" s="242"/>
      <c r="H48" s="242"/>
      <c r="I48" s="243" t="e">
        <f t="shared" si="1"/>
        <v>#VALUE!</v>
      </c>
      <c r="J48" s="242"/>
      <c r="K48" s="242"/>
      <c r="L48" s="243">
        <v>3</v>
      </c>
      <c r="M48" s="242" t="str">
        <f t="shared" si="2"/>
        <v/>
      </c>
      <c r="N48" s="242"/>
      <c r="O48" s="242"/>
      <c r="P48" s="242"/>
      <c r="Q48" s="242"/>
      <c r="S48" s="242" t="str">
        <f>IF(M48="","",M48)</f>
        <v/>
      </c>
      <c r="T48" s="242"/>
      <c r="U48" s="242" t="str">
        <f t="shared" si="3"/>
        <v/>
      </c>
      <c r="X48" s="249" t="str">
        <f t="shared" si="4"/>
        <v/>
      </c>
      <c r="Y48" s="248" t="str">
        <f t="shared" ref="Y48:Y76" si="9">IF(ISERROR(VLOOKUP(X48,$A$46:$C$74,3,FALSE)),"",IF(VLOOKUP(X48,$A$46:$C$74,3,FALSE)="Summa","ja",""))</f>
        <v/>
      </c>
      <c r="Z48" s="248" t="str">
        <f t="shared" si="6"/>
        <v/>
      </c>
      <c r="AA48" s="247" t="str">
        <f t="shared" si="7"/>
        <v/>
      </c>
    </row>
    <row r="49" spans="1:27" x14ac:dyDescent="0.45">
      <c r="A49" s="252" t="s">
        <v>1464</v>
      </c>
      <c r="B49" s="253" t="e">
        <f>K27</f>
        <v>#VALUE!</v>
      </c>
      <c r="C49" s="250"/>
      <c r="F49" s="242" t="e">
        <f t="shared" si="8"/>
        <v>#VALUE!</v>
      </c>
      <c r="G49" s="242"/>
      <c r="H49" s="242"/>
      <c r="I49" s="243" t="e">
        <f t="shared" si="1"/>
        <v>#VALUE!</v>
      </c>
      <c r="J49" s="242"/>
      <c r="K49" s="242"/>
      <c r="L49" s="243">
        <v>4</v>
      </c>
      <c r="M49" s="242" t="str">
        <f t="shared" si="2"/>
        <v/>
      </c>
      <c r="N49" s="242"/>
      <c r="O49" s="242"/>
      <c r="P49" s="242"/>
      <c r="Q49" s="242"/>
      <c r="S49" s="242" t="str">
        <f t="shared" si="5"/>
        <v/>
      </c>
      <c r="T49" s="242"/>
      <c r="U49" s="242" t="str">
        <f t="shared" si="3"/>
        <v/>
      </c>
      <c r="X49" s="249" t="str">
        <f t="shared" si="4"/>
        <v/>
      </c>
      <c r="Y49" s="248" t="str">
        <f t="shared" si="9"/>
        <v/>
      </c>
      <c r="Z49" s="248" t="str">
        <f t="shared" si="6"/>
        <v/>
      </c>
      <c r="AA49" s="247" t="str">
        <f t="shared" si="7"/>
        <v/>
      </c>
    </row>
    <row r="50" spans="1:27" x14ac:dyDescent="0.45">
      <c r="A50" s="252" t="s">
        <v>1294</v>
      </c>
      <c r="B50" s="253" t="e">
        <f>J27</f>
        <v>#VALUE!</v>
      </c>
      <c r="C50" s="250"/>
      <c r="F50" s="242" t="e">
        <f t="shared" si="8"/>
        <v>#VALUE!</v>
      </c>
      <c r="G50" s="242"/>
      <c r="H50" s="242"/>
      <c r="I50" s="243" t="e">
        <f t="shared" si="1"/>
        <v>#VALUE!</v>
      </c>
      <c r="J50" s="242"/>
      <c r="K50" s="242"/>
      <c r="L50" s="243">
        <v>5</v>
      </c>
      <c r="M50" s="242" t="str">
        <f t="shared" si="2"/>
        <v/>
      </c>
      <c r="N50" s="242"/>
      <c r="O50" s="242"/>
      <c r="P50" s="242"/>
      <c r="Q50" s="242"/>
      <c r="S50" s="242" t="str">
        <f t="shared" si="5"/>
        <v/>
      </c>
      <c r="T50" s="242"/>
      <c r="U50" s="242" t="str">
        <f t="shared" si="3"/>
        <v/>
      </c>
      <c r="X50" s="249" t="str">
        <f t="shared" si="4"/>
        <v/>
      </c>
      <c r="Y50" s="248" t="str">
        <f t="shared" si="9"/>
        <v/>
      </c>
      <c r="Z50" s="248" t="str">
        <f t="shared" si="6"/>
        <v/>
      </c>
      <c r="AA50" s="247" t="str">
        <f t="shared" si="7"/>
        <v/>
      </c>
    </row>
    <row r="51" spans="1:27" x14ac:dyDescent="0.45">
      <c r="A51" s="252" t="s">
        <v>726</v>
      </c>
      <c r="B51" s="253" t="e">
        <f>G27</f>
        <v>#VALUE!</v>
      </c>
      <c r="C51" s="250"/>
      <c r="F51" s="242" t="e">
        <f t="shared" si="8"/>
        <v>#VALUE!</v>
      </c>
      <c r="G51" s="242"/>
      <c r="H51" s="242"/>
      <c r="I51" s="243" t="e">
        <f t="shared" si="1"/>
        <v>#VALUE!</v>
      </c>
      <c r="J51" s="242"/>
      <c r="K51" s="242"/>
      <c r="L51" s="243">
        <v>6</v>
      </c>
      <c r="M51" s="242" t="str">
        <f t="shared" si="2"/>
        <v/>
      </c>
      <c r="N51" s="242"/>
      <c r="O51" s="242"/>
      <c r="P51" s="242"/>
      <c r="Q51" s="242"/>
      <c r="S51" s="242" t="str">
        <f t="shared" si="5"/>
        <v/>
      </c>
      <c r="T51" s="242"/>
      <c r="U51" s="242" t="str">
        <f t="shared" si="3"/>
        <v/>
      </c>
      <c r="X51" s="249" t="str">
        <f t="shared" si="4"/>
        <v/>
      </c>
      <c r="Y51" s="248" t="str">
        <f t="shared" si="9"/>
        <v/>
      </c>
      <c r="Z51" s="248" t="str">
        <f t="shared" si="6"/>
        <v/>
      </c>
      <c r="AA51" s="247" t="str">
        <f t="shared" si="7"/>
        <v/>
      </c>
    </row>
    <row r="52" spans="1:27" x14ac:dyDescent="0.45">
      <c r="A52" s="252" t="s">
        <v>1369</v>
      </c>
      <c r="B52" s="253" t="e">
        <f>H27</f>
        <v>#VALUE!</v>
      </c>
      <c r="C52" s="250"/>
      <c r="F52" s="242" t="e">
        <f t="shared" si="8"/>
        <v>#VALUE!</v>
      </c>
      <c r="G52" s="242"/>
      <c r="H52" s="242"/>
      <c r="I52" s="243" t="e">
        <f t="shared" si="1"/>
        <v>#VALUE!</v>
      </c>
      <c r="J52" s="242"/>
      <c r="K52" s="242"/>
      <c r="L52" s="243">
        <v>7</v>
      </c>
      <c r="M52" s="242" t="str">
        <f t="shared" si="2"/>
        <v/>
      </c>
      <c r="N52" s="242"/>
      <c r="O52" s="242"/>
      <c r="P52" s="242"/>
      <c r="Q52" s="242"/>
      <c r="S52" s="242" t="str">
        <f t="shared" si="5"/>
        <v/>
      </c>
      <c r="T52" s="242"/>
      <c r="U52" s="242" t="str">
        <f t="shared" si="3"/>
        <v/>
      </c>
      <c r="X52" s="249" t="str">
        <f t="shared" si="4"/>
        <v/>
      </c>
      <c r="Y52" s="248" t="str">
        <f t="shared" si="9"/>
        <v/>
      </c>
      <c r="Z52" s="248" t="str">
        <f t="shared" si="6"/>
        <v/>
      </c>
      <c r="AA52" s="247" t="str">
        <f t="shared" si="7"/>
        <v/>
      </c>
    </row>
    <row r="53" spans="1:27" x14ac:dyDescent="0.45">
      <c r="A53" s="252" t="s">
        <v>766</v>
      </c>
      <c r="B53" s="253" t="e">
        <f>I27</f>
        <v>#VALUE!</v>
      </c>
      <c r="C53" s="250"/>
      <c r="E53" s="243"/>
      <c r="F53" s="242" t="e">
        <f t="shared" si="8"/>
        <v>#VALUE!</v>
      </c>
      <c r="G53" s="242"/>
      <c r="H53" s="242"/>
      <c r="I53" s="243" t="e">
        <f t="shared" si="1"/>
        <v>#VALUE!</v>
      </c>
      <c r="J53" s="242"/>
      <c r="K53" s="242"/>
      <c r="L53" s="243">
        <v>8</v>
      </c>
      <c r="M53" s="242" t="str">
        <f t="shared" si="2"/>
        <v/>
      </c>
      <c r="N53" s="242"/>
      <c r="O53" s="242"/>
      <c r="P53" s="242"/>
      <c r="Q53" s="242"/>
      <c r="S53" s="242" t="str">
        <f t="shared" si="5"/>
        <v/>
      </c>
      <c r="T53" s="242"/>
      <c r="U53" s="242" t="str">
        <f t="shared" si="3"/>
        <v/>
      </c>
      <c r="X53" s="249" t="str">
        <f t="shared" si="4"/>
        <v/>
      </c>
      <c r="Y53" s="248" t="str">
        <f t="shared" si="9"/>
        <v/>
      </c>
      <c r="Z53" s="248" t="str">
        <f t="shared" si="6"/>
        <v/>
      </c>
      <c r="AA53" s="247" t="str">
        <f t="shared" si="7"/>
        <v/>
      </c>
    </row>
    <row r="54" spans="1:27" x14ac:dyDescent="0.45">
      <c r="A54" s="252"/>
      <c r="B54" s="251"/>
      <c r="C54" s="250"/>
      <c r="E54" s="243" t="s">
        <v>1463</v>
      </c>
      <c r="F54" s="254" t="s">
        <v>35</v>
      </c>
      <c r="G54" s="242"/>
      <c r="H54" s="242"/>
      <c r="I54" s="243" t="e">
        <f t="shared" si="1"/>
        <v>#VALUE!</v>
      </c>
      <c r="J54" s="242"/>
      <c r="K54" s="242"/>
      <c r="L54" s="243">
        <v>9</v>
      </c>
      <c r="M54" s="242" t="str">
        <f t="shared" si="2"/>
        <v/>
      </c>
      <c r="N54" s="242"/>
      <c r="O54" s="242"/>
      <c r="P54" s="242"/>
      <c r="Q54" s="242"/>
      <c r="S54" s="242" t="str">
        <f t="shared" si="5"/>
        <v/>
      </c>
      <c r="T54" s="242"/>
      <c r="U54" s="242" t="str">
        <f t="shared" si="3"/>
        <v/>
      </c>
      <c r="X54" s="249" t="str">
        <f t="shared" si="4"/>
        <v/>
      </c>
      <c r="Y54" s="248" t="str">
        <f t="shared" si="9"/>
        <v/>
      </c>
      <c r="Z54" s="248" t="str">
        <f t="shared" si="6"/>
        <v/>
      </c>
      <c r="AA54" s="247" t="str">
        <f t="shared" si="7"/>
        <v/>
      </c>
    </row>
    <row r="55" spans="1:27" x14ac:dyDescent="0.45">
      <c r="A55" s="256" t="s">
        <v>1273</v>
      </c>
      <c r="B55" s="255" t="e">
        <f>B30</f>
        <v>#VALUE!</v>
      </c>
      <c r="C55" s="250" t="s">
        <v>1284</v>
      </c>
      <c r="E55" s="242"/>
      <c r="F55" s="254" t="str">
        <f>A55</f>
        <v>Förnybart:</v>
      </c>
      <c r="G55" s="242"/>
      <c r="H55" s="242"/>
      <c r="I55" s="243" t="e">
        <f t="shared" si="1"/>
        <v>#VALUE!</v>
      </c>
      <c r="J55" s="242"/>
      <c r="K55" s="242"/>
      <c r="L55" s="243">
        <v>10</v>
      </c>
      <c r="M55" s="242" t="str">
        <f t="shared" si="2"/>
        <v/>
      </c>
      <c r="N55" s="242"/>
      <c r="O55" s="242"/>
      <c r="P55" s="242"/>
      <c r="Q55" s="242"/>
      <c r="S55" s="242" t="str">
        <f t="shared" si="5"/>
        <v/>
      </c>
      <c r="T55" s="242"/>
      <c r="U55" s="242" t="str">
        <f t="shared" si="3"/>
        <v/>
      </c>
      <c r="X55" s="249" t="str">
        <f t="shared" si="4"/>
        <v/>
      </c>
      <c r="Y55" s="248" t="str">
        <f>IF(ISERROR(VLOOKUP(X55,$A$46:$C$74,3,FALSE)),"",IF(VLOOKUP(X55,$A$46:$C$74,3,FALSE)="Summa","ja",""))</f>
        <v/>
      </c>
      <c r="Z55" s="248" t="str">
        <f t="shared" si="6"/>
        <v/>
      </c>
      <c r="AA55" s="247" t="str">
        <f t="shared" si="7"/>
        <v/>
      </c>
    </row>
    <row r="56" spans="1:27" x14ac:dyDescent="0.45">
      <c r="A56" s="252" t="s">
        <v>1269</v>
      </c>
      <c r="B56" s="253" t="e">
        <f>A27</f>
        <v>#VALUE!</v>
      </c>
      <c r="C56" s="250"/>
      <c r="E56" s="242"/>
      <c r="F56" s="242" t="e">
        <f>IF(B56=0,"",A56)</f>
        <v>#VALUE!</v>
      </c>
      <c r="G56" s="242"/>
      <c r="H56" s="242"/>
      <c r="I56" s="243" t="e">
        <f t="shared" si="1"/>
        <v>#VALUE!</v>
      </c>
      <c r="J56" s="242"/>
      <c r="K56" s="242"/>
      <c r="L56" s="243">
        <v>11</v>
      </c>
      <c r="M56" s="242" t="str">
        <f t="shared" si="2"/>
        <v/>
      </c>
      <c r="N56" s="242"/>
      <c r="O56" s="242"/>
      <c r="P56" s="242"/>
      <c r="Q56" s="242"/>
      <c r="S56" s="242" t="str">
        <f>IF(M56="","",M56)</f>
        <v/>
      </c>
      <c r="T56" s="242"/>
      <c r="U56" s="242" t="str">
        <f t="shared" si="3"/>
        <v/>
      </c>
      <c r="X56" s="249" t="str">
        <f t="shared" si="4"/>
        <v/>
      </c>
      <c r="Y56" s="248" t="str">
        <f>IF(ISERROR(VLOOKUP(X56,$A$46:$C$74,3,FALSE)),"",IF(VLOOKUP(X56,$A$46:$C$74,3,FALSE)="Summa","ja",""))</f>
        <v/>
      </c>
      <c r="Z56" s="248" t="str">
        <f t="shared" si="6"/>
        <v/>
      </c>
      <c r="AA56" s="247" t="str">
        <f t="shared" si="7"/>
        <v/>
      </c>
    </row>
    <row r="57" spans="1:27" x14ac:dyDescent="0.45">
      <c r="A57" s="252" t="s">
        <v>1462</v>
      </c>
      <c r="B57" s="253" t="e">
        <f>B27</f>
        <v>#VALUE!</v>
      </c>
      <c r="C57" s="250"/>
      <c r="E57" s="242"/>
      <c r="F57" s="242" t="e">
        <f>IF(B57=0,"",A57)</f>
        <v>#VALUE!</v>
      </c>
      <c r="G57" s="242"/>
      <c r="H57" s="242"/>
      <c r="I57" s="243" t="e">
        <f t="shared" si="1"/>
        <v>#VALUE!</v>
      </c>
      <c r="J57" s="242"/>
      <c r="K57" s="242"/>
      <c r="L57" s="243">
        <v>12</v>
      </c>
      <c r="M57" s="242" t="str">
        <f t="shared" si="2"/>
        <v/>
      </c>
      <c r="N57" s="242"/>
      <c r="O57" s="242"/>
      <c r="P57" s="242"/>
      <c r="Q57" s="242"/>
      <c r="S57" s="242" t="str">
        <f t="shared" si="5"/>
        <v/>
      </c>
      <c r="T57" s="242"/>
      <c r="U57" s="242" t="str">
        <f t="shared" si="3"/>
        <v/>
      </c>
      <c r="X57" s="249" t="str">
        <f t="shared" si="4"/>
        <v/>
      </c>
      <c r="Y57" s="248" t="str">
        <f t="shared" si="9"/>
        <v/>
      </c>
      <c r="Z57" s="248" t="str">
        <f t="shared" si="6"/>
        <v/>
      </c>
      <c r="AA57" s="247" t="str">
        <f t="shared" si="7"/>
        <v/>
      </c>
    </row>
    <row r="58" spans="1:27" x14ac:dyDescent="0.45">
      <c r="A58" s="252" t="s">
        <v>1461</v>
      </c>
      <c r="B58" s="253" t="e">
        <f>C27</f>
        <v>#VALUE!</v>
      </c>
      <c r="C58" s="250"/>
      <c r="E58" s="242"/>
      <c r="F58" s="242" t="e">
        <f>IF(B58=0,"",A58)</f>
        <v>#VALUE!</v>
      </c>
      <c r="G58" s="242"/>
      <c r="H58" s="242"/>
      <c r="I58" s="243" t="e">
        <f t="shared" si="1"/>
        <v>#VALUE!</v>
      </c>
      <c r="J58" s="242"/>
      <c r="K58" s="242"/>
      <c r="L58" s="243">
        <v>13</v>
      </c>
      <c r="M58" s="242" t="str">
        <f t="shared" si="2"/>
        <v/>
      </c>
      <c r="N58" s="242"/>
      <c r="O58" s="242"/>
      <c r="P58" s="242"/>
      <c r="Q58" s="242"/>
      <c r="S58" s="242" t="str">
        <f t="shared" si="5"/>
        <v/>
      </c>
      <c r="T58" s="242"/>
      <c r="U58" s="242" t="str">
        <f t="shared" si="3"/>
        <v/>
      </c>
      <c r="X58" s="249" t="str">
        <f t="shared" si="4"/>
        <v/>
      </c>
      <c r="Y58" s="248" t="str">
        <f>IF(ISERROR(VLOOKUP(X58,$A$46:$C$74,3,FALSE)),"",IF(VLOOKUP(X58,$A$46:$C$74,3,FALSE)="Summa","ja",""))</f>
        <v/>
      </c>
      <c r="Z58" s="248" t="str">
        <f t="shared" si="6"/>
        <v/>
      </c>
      <c r="AA58" s="247" t="str">
        <f t="shared" si="7"/>
        <v/>
      </c>
    </row>
    <row r="59" spans="1:27" x14ac:dyDescent="0.45">
      <c r="A59" s="252" t="s">
        <v>1460</v>
      </c>
      <c r="B59" s="253" t="e">
        <f>D27</f>
        <v>#VALUE!</v>
      </c>
      <c r="C59" s="250"/>
      <c r="E59" s="242"/>
      <c r="F59" s="242" t="e">
        <f>IF(B59=0,"",A59)</f>
        <v>#VALUE!</v>
      </c>
      <c r="G59" s="242"/>
      <c r="H59" s="242"/>
      <c r="I59" s="243" t="e">
        <f t="shared" si="1"/>
        <v>#VALUE!</v>
      </c>
      <c r="J59" s="242"/>
      <c r="K59" s="242"/>
      <c r="L59" s="243">
        <v>14</v>
      </c>
      <c r="M59" s="242" t="str">
        <f t="shared" si="2"/>
        <v/>
      </c>
      <c r="N59" s="242"/>
      <c r="O59" s="242"/>
      <c r="P59" s="242"/>
      <c r="Q59" s="242"/>
      <c r="S59" s="242" t="str">
        <f t="shared" si="5"/>
        <v/>
      </c>
      <c r="T59" s="242"/>
      <c r="U59" s="242" t="str">
        <f>IF(ISERROR(VLOOKUP(S59,$A$46:$B$74,2,FALSE)),"",IF(VLOOKUP(S59,$A$46:$B$74,2,FALSE)="","",VLOOKUP(S59,$A$46:$B$74,2,FALSE)))</f>
        <v/>
      </c>
      <c r="X59" s="249" t="str">
        <f t="shared" si="4"/>
        <v/>
      </c>
      <c r="Y59" s="248" t="str">
        <f t="shared" si="9"/>
        <v/>
      </c>
      <c r="Z59" s="248" t="str">
        <f t="shared" si="6"/>
        <v/>
      </c>
      <c r="AA59" s="247" t="str">
        <f>IFERROR(ROUND(U59,Z59)*100&amp;"%","")</f>
        <v/>
      </c>
    </row>
    <row r="60" spans="1:27" ht="15" customHeight="1" x14ac:dyDescent="0.45">
      <c r="A60" s="252" t="s">
        <v>1459</v>
      </c>
      <c r="B60" s="253" t="e">
        <f>E27</f>
        <v>#VALUE!</v>
      </c>
      <c r="C60" s="250"/>
      <c r="E60" s="242"/>
      <c r="F60" s="242" t="e">
        <f>IF(B60=0,"",A60)</f>
        <v>#VALUE!</v>
      </c>
      <c r="G60" s="242"/>
      <c r="H60" s="242"/>
      <c r="I60" s="243" t="e">
        <f t="shared" si="1"/>
        <v>#VALUE!</v>
      </c>
      <c r="J60" s="242"/>
      <c r="K60" s="242"/>
      <c r="L60" s="243">
        <v>15</v>
      </c>
      <c r="M60" s="242" t="str">
        <f t="shared" si="2"/>
        <v/>
      </c>
      <c r="N60" s="242"/>
      <c r="O60" s="242"/>
      <c r="P60" s="242"/>
      <c r="Q60" s="242"/>
      <c r="S60" s="242" t="str">
        <f t="shared" si="5"/>
        <v/>
      </c>
      <c r="T60" s="242"/>
      <c r="U60" s="242" t="str">
        <f t="shared" si="3"/>
        <v/>
      </c>
      <c r="X60" s="249" t="str">
        <f t="shared" si="4"/>
        <v/>
      </c>
      <c r="Y60" s="248" t="str">
        <f t="shared" si="9"/>
        <v/>
      </c>
      <c r="Z60" s="248" t="str">
        <f t="shared" si="6"/>
        <v/>
      </c>
      <c r="AA60" s="247" t="str">
        <f t="shared" si="7"/>
        <v/>
      </c>
    </row>
    <row r="61" spans="1:27" x14ac:dyDescent="0.45">
      <c r="A61" s="252"/>
      <c r="B61" s="251"/>
      <c r="C61" s="257"/>
      <c r="E61" s="243" t="s">
        <v>1458</v>
      </c>
      <c r="F61" s="242" t="s">
        <v>35</v>
      </c>
      <c r="G61" s="242"/>
      <c r="H61" s="242"/>
      <c r="I61" s="243" t="e">
        <f t="shared" si="1"/>
        <v>#VALUE!</v>
      </c>
      <c r="J61" s="242"/>
      <c r="K61" s="242"/>
      <c r="L61" s="243">
        <v>16</v>
      </c>
      <c r="M61" s="242" t="str">
        <f t="shared" si="2"/>
        <v/>
      </c>
      <c r="N61" s="242"/>
      <c r="O61" s="242"/>
      <c r="P61" s="242"/>
      <c r="Q61" s="242"/>
      <c r="S61" s="242" t="str">
        <f t="shared" si="5"/>
        <v/>
      </c>
      <c r="T61" s="242"/>
      <c r="U61" s="242" t="str">
        <f t="shared" si="3"/>
        <v/>
      </c>
      <c r="X61" s="249" t="str">
        <f t="shared" si="4"/>
        <v/>
      </c>
      <c r="Y61" s="248" t="str">
        <f t="shared" si="9"/>
        <v/>
      </c>
      <c r="Z61" s="248" t="str">
        <f t="shared" si="6"/>
        <v/>
      </c>
      <c r="AA61" s="247" t="str">
        <f>IFERROR(ROUND(U61,Z61)*100&amp;"%","")</f>
        <v/>
      </c>
    </row>
    <row r="62" spans="1:27" x14ac:dyDescent="0.45">
      <c r="A62" s="256" t="s">
        <v>1272</v>
      </c>
      <c r="B62" s="255" t="e">
        <f>N30</f>
        <v>#VALUE!</v>
      </c>
      <c r="C62" s="250" t="s">
        <v>1284</v>
      </c>
      <c r="E62" s="242"/>
      <c r="F62" s="254" t="str">
        <f>A62</f>
        <v>Övrigt:</v>
      </c>
      <c r="G62" s="242"/>
      <c r="H62" s="242"/>
      <c r="I62" s="243" t="e">
        <f t="shared" si="1"/>
        <v>#VALUE!</v>
      </c>
      <c r="J62" s="242"/>
      <c r="K62" s="242"/>
      <c r="L62" s="243">
        <v>17</v>
      </c>
      <c r="M62" s="242" t="str">
        <f t="shared" si="2"/>
        <v/>
      </c>
      <c r="N62" s="242"/>
      <c r="O62" s="242"/>
      <c r="P62" s="242"/>
      <c r="Q62" s="242"/>
      <c r="S62" s="242" t="str">
        <f t="shared" si="5"/>
        <v/>
      </c>
      <c r="T62" s="242"/>
      <c r="U62" s="242" t="str">
        <f t="shared" si="3"/>
        <v/>
      </c>
      <c r="X62" s="249" t="str">
        <f t="shared" si="4"/>
        <v/>
      </c>
      <c r="Y62" s="248" t="str">
        <f t="shared" si="9"/>
        <v/>
      </c>
      <c r="Z62" s="248" t="str">
        <f t="shared" si="6"/>
        <v/>
      </c>
      <c r="AA62" s="247" t="str">
        <f>IFERROR(ROUND(U62,Z62)*100&amp;"%","")</f>
        <v/>
      </c>
    </row>
    <row r="63" spans="1:27" ht="15" customHeight="1" x14ac:dyDescent="0.45">
      <c r="A63" s="252" t="s">
        <v>1457</v>
      </c>
      <c r="B63" s="253" t="e">
        <f>O27</f>
        <v>#VALUE!</v>
      </c>
      <c r="C63" s="250"/>
      <c r="E63" s="242"/>
      <c r="F63" s="242" t="e">
        <f>IF(B63=0,"",A63)</f>
        <v>#VALUE!</v>
      </c>
      <c r="G63" s="242"/>
      <c r="H63" s="242"/>
      <c r="I63" s="243" t="e">
        <f t="shared" si="1"/>
        <v>#VALUE!</v>
      </c>
      <c r="J63" s="242"/>
      <c r="K63" s="242"/>
      <c r="L63" s="243">
        <v>18</v>
      </c>
      <c r="M63" s="242" t="str">
        <f t="shared" si="2"/>
        <v/>
      </c>
      <c r="N63" s="242"/>
      <c r="O63" s="242"/>
      <c r="P63" s="242"/>
      <c r="Q63" s="242"/>
      <c r="S63" s="242" t="str">
        <f t="shared" si="5"/>
        <v/>
      </c>
      <c r="T63" s="242"/>
      <c r="U63" s="242" t="str">
        <f t="shared" si="3"/>
        <v/>
      </c>
      <c r="X63" s="249" t="str">
        <f t="shared" si="4"/>
        <v/>
      </c>
      <c r="Y63" s="248" t="str">
        <f t="shared" si="9"/>
        <v/>
      </c>
      <c r="Z63" s="248" t="str">
        <f t="shared" si="6"/>
        <v/>
      </c>
      <c r="AA63" s="247" t="str">
        <f t="shared" si="7"/>
        <v/>
      </c>
    </row>
    <row r="64" spans="1:27" x14ac:dyDescent="0.45">
      <c r="A64" s="252" t="s">
        <v>1456</v>
      </c>
      <c r="B64" s="253" t="e">
        <f>N27</f>
        <v>#VALUE!</v>
      </c>
      <c r="C64" s="250"/>
      <c r="E64" s="242"/>
      <c r="F64" s="242" t="e">
        <f>IF(B64=0,"",A64)</f>
        <v>#VALUE!</v>
      </c>
      <c r="G64" s="242"/>
      <c r="H64" s="242"/>
      <c r="I64" s="243" t="e">
        <f t="shared" si="1"/>
        <v>#VALUE!</v>
      </c>
      <c r="J64" s="242"/>
      <c r="K64" s="242"/>
      <c r="L64" s="243">
        <v>19</v>
      </c>
      <c r="M64" s="242" t="str">
        <f t="shared" si="2"/>
        <v/>
      </c>
      <c r="N64" s="242"/>
      <c r="O64" s="242"/>
      <c r="P64" s="242"/>
      <c r="Q64" s="242"/>
      <c r="S64" s="242" t="str">
        <f t="shared" si="5"/>
        <v/>
      </c>
      <c r="T64" s="242"/>
      <c r="U64" s="242" t="str">
        <f>IF(ISERROR(VLOOKUP(S64,$A$46:$B$74,2,FALSE)),"",IF(VLOOKUP(S64,$A$46:$B$74,2,FALSE)="","",VLOOKUP(S64,$A$46:$B$74,2,FALSE)))</f>
        <v/>
      </c>
      <c r="X64" s="249" t="str">
        <f t="shared" si="4"/>
        <v/>
      </c>
      <c r="Y64" s="248" t="str">
        <f t="shared" si="9"/>
        <v/>
      </c>
      <c r="Z64" s="248" t="str">
        <f>IF(TYPE(U64)=1,
IF(U64*100&gt;10,3,IF(AND(U64*100&lt;10,U64*100&gt;0.1),3,4)),
"")</f>
        <v/>
      </c>
      <c r="AA64" s="247" t="str">
        <f>IFERROR(ROUND(U64,Z64)*100&amp;"%","")</f>
        <v/>
      </c>
    </row>
    <row r="65" spans="1:27" ht="15" customHeight="1" x14ac:dyDescent="0.45">
      <c r="A65" s="252" t="s">
        <v>1455</v>
      </c>
      <c r="B65" s="253" t="e">
        <f>M27</f>
        <v>#VALUE!</v>
      </c>
      <c r="C65" s="250"/>
      <c r="E65" s="242"/>
      <c r="F65" s="242" t="e">
        <f>IF(B65=0,"",A65)</f>
        <v>#VALUE!</v>
      </c>
      <c r="G65" s="242"/>
      <c r="H65" s="242"/>
      <c r="I65" s="243" t="e">
        <f t="shared" si="1"/>
        <v>#VALUE!</v>
      </c>
      <c r="J65" s="242"/>
      <c r="K65" s="242"/>
      <c r="L65" s="243">
        <v>20</v>
      </c>
      <c r="M65" s="242" t="str">
        <f t="shared" si="2"/>
        <v/>
      </c>
      <c r="N65" s="242"/>
      <c r="O65" s="242"/>
      <c r="P65" s="242"/>
      <c r="Q65" s="242"/>
      <c r="S65" s="242" t="str">
        <f t="shared" si="5"/>
        <v/>
      </c>
      <c r="T65" s="242"/>
      <c r="U65" s="242" t="str">
        <f t="shared" si="3"/>
        <v/>
      </c>
      <c r="X65" s="249" t="str">
        <f t="shared" si="4"/>
        <v/>
      </c>
      <c r="Y65" s="248" t="str">
        <f t="shared" si="9"/>
        <v/>
      </c>
      <c r="Z65" s="248" t="str">
        <f t="shared" si="6"/>
        <v/>
      </c>
      <c r="AA65" s="247" t="str">
        <f t="shared" si="7"/>
        <v/>
      </c>
    </row>
    <row r="66" spans="1:27" x14ac:dyDescent="0.45">
      <c r="A66" s="252"/>
      <c r="B66" s="251"/>
      <c r="C66" s="250"/>
      <c r="E66" s="243" t="s">
        <v>1454</v>
      </c>
      <c r="F66" s="242" t="s">
        <v>35</v>
      </c>
      <c r="G66" s="242"/>
      <c r="H66" s="242"/>
      <c r="I66" s="243" t="e">
        <f t="shared" si="1"/>
        <v>#VALUE!</v>
      </c>
      <c r="J66" s="242"/>
      <c r="K66" s="242"/>
      <c r="L66" s="243">
        <v>21</v>
      </c>
      <c r="M66" s="242" t="str">
        <f t="shared" si="2"/>
        <v/>
      </c>
      <c r="N66" s="242"/>
      <c r="O66" s="242"/>
      <c r="P66" s="242"/>
      <c r="Q66" s="242"/>
      <c r="S66" s="242" t="str">
        <f t="shared" si="5"/>
        <v/>
      </c>
      <c r="T66" s="242"/>
      <c r="U66" s="242" t="str">
        <f t="shared" si="3"/>
        <v/>
      </c>
      <c r="X66" s="249" t="str">
        <f t="shared" si="4"/>
        <v/>
      </c>
      <c r="Y66" s="248" t="str">
        <f t="shared" si="9"/>
        <v/>
      </c>
      <c r="Z66" s="248" t="str">
        <f t="shared" si="6"/>
        <v/>
      </c>
      <c r="AA66" s="247" t="str">
        <f t="shared" si="7"/>
        <v/>
      </c>
    </row>
    <row r="67" spans="1:27" x14ac:dyDescent="0.45">
      <c r="A67" s="256" t="s">
        <v>1271</v>
      </c>
      <c r="B67" s="255" t="e">
        <f>Q30</f>
        <v>#VALUE!</v>
      </c>
      <c r="C67" s="250" t="s">
        <v>1284</v>
      </c>
      <c r="E67" s="242"/>
      <c r="F67" s="254" t="str">
        <f>A67</f>
        <v>Fossilt:</v>
      </c>
      <c r="G67" s="242"/>
      <c r="H67" s="242"/>
      <c r="I67" s="243" t="e">
        <f t="shared" si="1"/>
        <v>#VALUE!</v>
      </c>
      <c r="J67" s="242"/>
      <c r="K67" s="242"/>
      <c r="L67" s="243">
        <v>22</v>
      </c>
      <c r="M67" s="242" t="str">
        <f t="shared" si="2"/>
        <v/>
      </c>
      <c r="N67" s="242"/>
      <c r="O67" s="242"/>
      <c r="P67" s="242"/>
      <c r="Q67" s="242"/>
      <c r="S67" s="242" t="str">
        <f t="shared" si="5"/>
        <v/>
      </c>
      <c r="T67" s="242"/>
      <c r="U67" s="242" t="str">
        <f t="shared" si="3"/>
        <v/>
      </c>
      <c r="X67" s="249" t="str">
        <f t="shared" si="4"/>
        <v/>
      </c>
      <c r="Y67" s="248" t="str">
        <f t="shared" si="9"/>
        <v/>
      </c>
      <c r="Z67" s="248" t="str">
        <f t="shared" si="6"/>
        <v/>
      </c>
      <c r="AA67" s="247" t="str">
        <f t="shared" si="7"/>
        <v/>
      </c>
    </row>
    <row r="68" spans="1:27" x14ac:dyDescent="0.45">
      <c r="A68" s="252" t="s">
        <v>1453</v>
      </c>
      <c r="B68" s="253" t="e">
        <f>Q27</f>
        <v>#VALUE!</v>
      </c>
      <c r="C68" s="250"/>
      <c r="E68" s="242"/>
      <c r="F68" s="242" t="e">
        <f t="shared" ref="F68:F74" si="10">IF(B68=0,"",A68)</f>
        <v>#VALUE!</v>
      </c>
      <c r="G68" s="242"/>
      <c r="H68" s="242"/>
      <c r="I68" s="243" t="e">
        <f t="shared" si="1"/>
        <v>#VALUE!</v>
      </c>
      <c r="J68" s="242"/>
      <c r="K68" s="242"/>
      <c r="L68" s="243">
        <v>23</v>
      </c>
      <c r="M68" s="242" t="str">
        <f t="shared" si="2"/>
        <v/>
      </c>
      <c r="N68" s="242"/>
      <c r="O68" s="242"/>
      <c r="P68" s="242"/>
      <c r="Q68" s="242"/>
      <c r="S68" s="242" t="str">
        <f t="shared" si="5"/>
        <v/>
      </c>
      <c r="T68" s="242"/>
      <c r="U68" s="242" t="str">
        <f t="shared" si="3"/>
        <v/>
      </c>
      <c r="X68" s="249" t="str">
        <f t="shared" si="4"/>
        <v/>
      </c>
      <c r="Y68" s="248" t="str">
        <f t="shared" si="9"/>
        <v/>
      </c>
      <c r="Z68" s="248" t="str">
        <f t="shared" si="6"/>
        <v/>
      </c>
      <c r="AA68" s="247" t="str">
        <f t="shared" si="7"/>
        <v/>
      </c>
    </row>
    <row r="69" spans="1:27" x14ac:dyDescent="0.45">
      <c r="A69" s="252" t="s">
        <v>727</v>
      </c>
      <c r="B69" s="253" t="e">
        <f>R27</f>
        <v>#VALUE!</v>
      </c>
      <c r="C69" s="250"/>
      <c r="F69" s="242" t="e">
        <f t="shared" si="10"/>
        <v>#VALUE!</v>
      </c>
      <c r="G69" s="242"/>
      <c r="H69" s="242"/>
      <c r="I69" s="243" t="e">
        <f t="shared" si="1"/>
        <v>#VALUE!</v>
      </c>
      <c r="J69" s="242"/>
      <c r="K69" s="242"/>
      <c r="L69" s="243">
        <v>24</v>
      </c>
      <c r="M69" s="242" t="str">
        <f t="shared" si="2"/>
        <v/>
      </c>
      <c r="N69" s="242"/>
      <c r="O69" s="242"/>
      <c r="P69" s="242"/>
      <c r="Q69" s="242"/>
      <c r="S69" s="242" t="str">
        <f t="shared" si="5"/>
        <v/>
      </c>
      <c r="T69" s="242"/>
      <c r="U69" s="242" t="str">
        <f t="shared" si="3"/>
        <v/>
      </c>
      <c r="X69" s="249" t="str">
        <f t="shared" si="4"/>
        <v/>
      </c>
      <c r="Y69" s="248" t="str">
        <f t="shared" si="9"/>
        <v/>
      </c>
      <c r="Z69" s="248" t="str">
        <f t="shared" si="6"/>
        <v/>
      </c>
      <c r="AA69" s="247" t="str">
        <f t="shared" si="7"/>
        <v/>
      </c>
    </row>
    <row r="70" spans="1:27" x14ac:dyDescent="0.45">
      <c r="A70" s="252" t="s">
        <v>1220</v>
      </c>
      <c r="B70" s="253" t="e">
        <f>P27</f>
        <v>#VALUE!</v>
      </c>
      <c r="C70" s="250"/>
      <c r="F70" s="242" t="e">
        <f t="shared" si="10"/>
        <v>#VALUE!</v>
      </c>
      <c r="G70" s="242"/>
      <c r="H70" s="242"/>
      <c r="I70" s="243" t="e">
        <f t="shared" si="1"/>
        <v>#VALUE!</v>
      </c>
      <c r="J70" s="242"/>
      <c r="K70" s="242"/>
      <c r="L70" s="243">
        <v>25</v>
      </c>
      <c r="M70" s="242" t="str">
        <f t="shared" si="2"/>
        <v/>
      </c>
      <c r="N70" s="242"/>
      <c r="O70" s="242"/>
      <c r="P70" s="242"/>
      <c r="Q70" s="242"/>
      <c r="S70" s="242" t="str">
        <f t="shared" si="5"/>
        <v/>
      </c>
      <c r="T70" s="242"/>
      <c r="U70" s="242" t="str">
        <f t="shared" si="3"/>
        <v/>
      </c>
      <c r="X70" s="249" t="str">
        <f t="shared" si="4"/>
        <v/>
      </c>
      <c r="Y70" s="248" t="str">
        <f t="shared" si="9"/>
        <v/>
      </c>
      <c r="Z70" s="248" t="str">
        <f t="shared" si="6"/>
        <v/>
      </c>
      <c r="AA70" s="247" t="str">
        <f t="shared" si="7"/>
        <v/>
      </c>
    </row>
    <row r="71" spans="1:27" ht="15" customHeight="1" x14ac:dyDescent="0.45">
      <c r="A71" s="252" t="s">
        <v>1349</v>
      </c>
      <c r="B71" s="253" t="e">
        <f>S27</f>
        <v>#VALUE!</v>
      </c>
      <c r="C71" s="250"/>
      <c r="F71" s="242" t="e">
        <f t="shared" si="10"/>
        <v>#VALUE!</v>
      </c>
      <c r="G71" s="242"/>
      <c r="H71" s="242"/>
      <c r="I71" s="243" t="e">
        <f t="shared" si="1"/>
        <v>#VALUE!</v>
      </c>
      <c r="J71" s="242"/>
      <c r="K71" s="242"/>
      <c r="L71" s="243">
        <v>26</v>
      </c>
      <c r="M71" s="242" t="str">
        <f t="shared" si="2"/>
        <v/>
      </c>
      <c r="N71" s="242"/>
      <c r="O71" s="242"/>
      <c r="P71" s="242"/>
      <c r="Q71" s="242"/>
      <c r="S71" s="242" t="str">
        <f t="shared" si="5"/>
        <v/>
      </c>
      <c r="T71" s="242"/>
      <c r="U71" s="242" t="str">
        <f t="shared" si="3"/>
        <v/>
      </c>
      <c r="X71" s="249" t="str">
        <f t="shared" si="4"/>
        <v/>
      </c>
      <c r="Y71" s="248" t="str">
        <f t="shared" si="9"/>
        <v/>
      </c>
      <c r="Z71" s="248" t="str">
        <f t="shared" si="6"/>
        <v/>
      </c>
      <c r="AA71" s="247" t="str">
        <f t="shared" si="7"/>
        <v/>
      </c>
    </row>
    <row r="72" spans="1:27" ht="15" customHeight="1" x14ac:dyDescent="0.45">
      <c r="A72" s="252" t="s">
        <v>1452</v>
      </c>
      <c r="B72" s="253" t="e">
        <f>T27</f>
        <v>#VALUE!</v>
      </c>
      <c r="C72" s="250"/>
      <c r="F72" s="242" t="e">
        <f t="shared" si="10"/>
        <v>#VALUE!</v>
      </c>
      <c r="G72" s="242"/>
      <c r="H72" s="242"/>
      <c r="I72" s="243" t="e">
        <f t="shared" si="1"/>
        <v>#VALUE!</v>
      </c>
      <c r="J72" s="242"/>
      <c r="K72" s="242"/>
      <c r="L72" s="243">
        <v>27</v>
      </c>
      <c r="M72" s="242" t="str">
        <f t="shared" si="2"/>
        <v/>
      </c>
      <c r="N72" s="242"/>
      <c r="O72" s="242"/>
      <c r="P72" s="242"/>
      <c r="Q72" s="242"/>
      <c r="S72" s="242" t="str">
        <f t="shared" si="5"/>
        <v/>
      </c>
      <c r="T72" s="242"/>
      <c r="U72" s="242" t="str">
        <f t="shared" si="3"/>
        <v/>
      </c>
      <c r="X72" s="249" t="str">
        <f t="shared" si="4"/>
        <v/>
      </c>
      <c r="Y72" s="248" t="str">
        <f t="shared" si="9"/>
        <v/>
      </c>
      <c r="Z72" s="248" t="str">
        <f t="shared" si="6"/>
        <v/>
      </c>
      <c r="AA72" s="247" t="str">
        <f t="shared" si="7"/>
        <v/>
      </c>
    </row>
    <row r="73" spans="1:27" ht="15" customHeight="1" x14ac:dyDescent="0.45">
      <c r="A73" s="252" t="s">
        <v>1451</v>
      </c>
      <c r="B73" s="253" t="e">
        <f>U27</f>
        <v>#VALUE!</v>
      </c>
      <c r="C73" s="250"/>
      <c r="F73" s="242" t="e">
        <f t="shared" si="10"/>
        <v>#VALUE!</v>
      </c>
      <c r="G73" s="242"/>
      <c r="H73" s="242"/>
      <c r="I73" s="243" t="e">
        <f t="shared" si="1"/>
        <v>#VALUE!</v>
      </c>
      <c r="J73" s="242"/>
      <c r="K73" s="242"/>
      <c r="L73" s="243">
        <v>28</v>
      </c>
      <c r="M73" s="242" t="str">
        <f t="shared" si="2"/>
        <v/>
      </c>
      <c r="N73" s="242"/>
      <c r="O73" s="242"/>
      <c r="P73" s="242"/>
      <c r="Q73" s="242"/>
      <c r="S73" s="242" t="str">
        <f t="shared" si="5"/>
        <v/>
      </c>
      <c r="T73" s="242"/>
      <c r="U73" s="242" t="str">
        <f t="shared" si="3"/>
        <v/>
      </c>
      <c r="X73" s="249" t="str">
        <f t="shared" si="4"/>
        <v/>
      </c>
      <c r="Y73" s="248" t="str">
        <f t="shared" si="9"/>
        <v/>
      </c>
      <c r="Z73" s="248" t="str">
        <f t="shared" si="6"/>
        <v/>
      </c>
      <c r="AA73" s="247" t="str">
        <f t="shared" si="7"/>
        <v/>
      </c>
    </row>
    <row r="74" spans="1:27" ht="15" customHeight="1" x14ac:dyDescent="0.45">
      <c r="A74" s="252" t="s">
        <v>1450</v>
      </c>
      <c r="B74" s="253" t="e">
        <f>V27</f>
        <v>#VALUE!</v>
      </c>
      <c r="C74" s="250"/>
      <c r="F74" s="242" t="e">
        <f t="shared" si="10"/>
        <v>#VALUE!</v>
      </c>
      <c r="G74" s="242"/>
      <c r="H74" s="242"/>
      <c r="I74" s="243" t="e">
        <f t="shared" si="1"/>
        <v>#VALUE!</v>
      </c>
      <c r="J74" s="242"/>
      <c r="K74" s="242"/>
      <c r="L74" s="243">
        <v>29</v>
      </c>
      <c r="M74" s="242" t="str">
        <f t="shared" si="2"/>
        <v/>
      </c>
      <c r="N74" s="242"/>
      <c r="O74" s="242"/>
      <c r="P74" s="242"/>
      <c r="Q74" s="242"/>
      <c r="S74" s="242" t="str">
        <f t="shared" si="5"/>
        <v/>
      </c>
      <c r="T74" s="242"/>
      <c r="U74" s="242" t="str">
        <f t="shared" si="3"/>
        <v/>
      </c>
      <c r="X74" s="249" t="str">
        <f t="shared" si="4"/>
        <v/>
      </c>
      <c r="Y74" s="248" t="str">
        <f t="shared" si="9"/>
        <v/>
      </c>
      <c r="Z74" s="248" t="str">
        <f t="shared" si="6"/>
        <v/>
      </c>
      <c r="AA74" s="247" t="str">
        <f t="shared" si="7"/>
        <v/>
      </c>
    </row>
    <row r="75" spans="1:27" x14ac:dyDescent="0.45">
      <c r="A75" s="252"/>
      <c r="B75" s="251"/>
      <c r="C75" s="250"/>
      <c r="E75" s="243" t="s">
        <v>1449</v>
      </c>
      <c r="F75" s="242" t="s">
        <v>35</v>
      </c>
      <c r="G75" s="242"/>
      <c r="H75" s="242"/>
      <c r="I75" s="243" t="e">
        <f t="shared" si="1"/>
        <v>#VALUE!</v>
      </c>
      <c r="J75" s="242"/>
      <c r="K75" s="242"/>
      <c r="L75" s="243">
        <v>30</v>
      </c>
      <c r="M75" s="242" t="str">
        <f t="shared" si="2"/>
        <v/>
      </c>
      <c r="N75" s="242"/>
      <c r="O75" s="242"/>
      <c r="P75" s="242"/>
      <c r="Q75" s="242"/>
      <c r="S75" s="242" t="str">
        <f t="shared" si="5"/>
        <v/>
      </c>
      <c r="T75" s="242"/>
      <c r="U75" s="242" t="str">
        <f t="shared" si="3"/>
        <v/>
      </c>
      <c r="X75" s="249" t="str">
        <f t="shared" si="4"/>
        <v/>
      </c>
      <c r="Y75" s="248" t="str">
        <f t="shared" si="9"/>
        <v/>
      </c>
      <c r="Z75" s="248" t="str">
        <f t="shared" si="6"/>
        <v/>
      </c>
      <c r="AA75" s="247" t="str">
        <f t="shared" si="7"/>
        <v/>
      </c>
    </row>
    <row r="76" spans="1:27" ht="57" x14ac:dyDescent="0.45">
      <c r="A76" s="246" t="s">
        <v>1448</v>
      </c>
      <c r="B76" s="245"/>
      <c r="C76" s="244"/>
      <c r="F76" s="243" t="e">
        <f>IF(B49=0,"",A76)</f>
        <v>#VALUE!</v>
      </c>
      <c r="G76" s="242"/>
      <c r="H76" s="242"/>
      <c r="I76" s="243" t="e">
        <f t="shared" si="1"/>
        <v>#VALUE!</v>
      </c>
      <c r="J76" s="242"/>
      <c r="K76" s="242"/>
      <c r="L76" s="243">
        <v>31</v>
      </c>
      <c r="M76" s="242" t="str">
        <f t="shared" si="2"/>
        <v/>
      </c>
      <c r="N76" s="242"/>
      <c r="O76" s="242"/>
      <c r="P76" s="242"/>
      <c r="Q76" s="242"/>
      <c r="S76" s="242" t="str">
        <f t="shared" si="5"/>
        <v/>
      </c>
      <c r="T76" s="242"/>
      <c r="U76" s="242" t="str">
        <f t="shared" si="3"/>
        <v/>
      </c>
      <c r="X76" s="241" t="str">
        <f t="shared" si="4"/>
        <v/>
      </c>
      <c r="Y76" s="240" t="str">
        <f t="shared" si="9"/>
        <v/>
      </c>
      <c r="Z76" s="240" t="str">
        <f t="shared" si="6"/>
        <v/>
      </c>
      <c r="AA76" s="239" t="str">
        <f t="shared" si="7"/>
        <v/>
      </c>
    </row>
    <row r="77" spans="1:27" x14ac:dyDescent="0.45">
      <c r="A77" s="231" t="s">
        <v>1447</v>
      </c>
      <c r="B77" s="238" t="e">
        <f>SUM(B47:B53)+SUM(B56:B60)+SUM(B63:B65)+SUM(B68:B74)</f>
        <v>#VALUE!</v>
      </c>
    </row>
    <row r="81" spans="1:13" ht="18" x14ac:dyDescent="0.55000000000000004">
      <c r="A81" s="237" t="s">
        <v>1446</v>
      </c>
    </row>
    <row r="82" spans="1:13" x14ac:dyDescent="0.45">
      <c r="A82" s="236"/>
    </row>
    <row r="83" spans="1:13" x14ac:dyDescent="0.45">
      <c r="A83" s="235" t="s">
        <v>1445</v>
      </c>
      <c r="E83" s="231" t="s">
        <v>1444</v>
      </c>
      <c r="H83" s="231" t="s">
        <v>1443</v>
      </c>
      <c r="J83" s="231" t="s">
        <v>1442</v>
      </c>
    </row>
    <row r="84" spans="1:13" ht="47.25" customHeight="1" x14ac:dyDescent="0.45">
      <c r="E84" s="365" t="s">
        <v>1441</v>
      </c>
      <c r="F84" s="365"/>
    </row>
    <row r="89" spans="1:13" x14ac:dyDescent="0.45">
      <c r="A89" s="231" t="s">
        <v>1280</v>
      </c>
      <c r="B89" s="231">
        <f>VLOOKUP($A$2,'Miljövärden för publ företag'!$C$4:$G$487,MATCH("Total andel fossilt",'Miljövärden för publ företag'!$C$4:$G$4,0),FALSE)</f>
        <v>1.7162400000000001E-2</v>
      </c>
      <c r="E89" s="231">
        <f>IF(B89&lt;0.03,3,2)</f>
        <v>3</v>
      </c>
      <c r="H89" s="111">
        <f>ROUND(B89,E89)</f>
        <v>1.7000000000000001E-2</v>
      </c>
      <c r="J89" s="310" t="str">
        <f>IF(A2="välj nät:","",IF(K4="ja",IF(D2="ja",H89*100&amp;"%","Se länk"),""))</f>
        <v/>
      </c>
    </row>
    <row r="91" spans="1:13" x14ac:dyDescent="0.45">
      <c r="A91" s="231" t="s">
        <v>1440</v>
      </c>
      <c r="B91" s="234" t="e">
        <f>B67</f>
        <v>#VALUE!</v>
      </c>
      <c r="E91" s="231">
        <f>E89</f>
        <v>3</v>
      </c>
      <c r="F91" s="232" t="s">
        <v>1439</v>
      </c>
      <c r="H91" s="234" t="e">
        <f>ROUND(B91,E91)</f>
        <v>#VALUE!</v>
      </c>
      <c r="J91" s="231" t="s">
        <v>1438</v>
      </c>
      <c r="L91" s="233" t="e">
        <f>IF(H91=H89,"ja","nej")</f>
        <v>#VALUE!</v>
      </c>
      <c r="M91" s="232" t="s">
        <v>1437</v>
      </c>
    </row>
  </sheetData>
  <mergeCells count="9">
    <mergeCell ref="A44:B44"/>
    <mergeCell ref="X44:AA44"/>
    <mergeCell ref="E84:F84"/>
    <mergeCell ref="I15:K15"/>
    <mergeCell ref="A24:E24"/>
    <mergeCell ref="F24:L24"/>
    <mergeCell ref="M24:O24"/>
    <mergeCell ref="P24:V24"/>
    <mergeCell ref="X24:Y2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2B782-4C9B-4D72-9586-97E569EC7F26}">
  <sheetPr codeName="Blad1">
    <tabColor theme="9" tint="0.39997558519241921"/>
  </sheetPr>
  <dimension ref="A1:Q81"/>
  <sheetViews>
    <sheetView tabSelected="1" zoomScale="80" zoomScaleNormal="80" workbookViewId="0">
      <selection activeCell="B4" sqref="B4:E4"/>
    </sheetView>
  </sheetViews>
  <sheetFormatPr defaultRowHeight="14.25" x14ac:dyDescent="0.45"/>
  <cols>
    <col min="1" max="2" width="9.1328125" style="162" customWidth="1"/>
    <col min="3" max="3" width="13" style="162" customWidth="1"/>
    <col min="4" max="4" width="23.59765625" style="162" customWidth="1"/>
    <col min="5" max="5" width="19.59765625" style="162" customWidth="1"/>
    <col min="6" max="6" width="3.265625" style="162" customWidth="1"/>
    <col min="7" max="7" width="20" style="162" customWidth="1"/>
    <col min="8" max="8" width="8.73046875" style="162" customWidth="1"/>
    <col min="9" max="9" width="7.265625" style="162" customWidth="1"/>
    <col min="10" max="10" width="22.59765625" style="162" customWidth="1"/>
    <col min="11" max="11" width="19" style="162" customWidth="1"/>
    <col min="12" max="12" width="20.86328125" style="162" customWidth="1"/>
    <col min="13" max="13" width="5.1328125" style="162" customWidth="1"/>
    <col min="14" max="14" width="12" style="162" customWidth="1"/>
    <col min="15" max="15" width="9.1328125" style="162" customWidth="1"/>
    <col min="16" max="16" width="9.86328125" style="162" bestFit="1" customWidth="1"/>
    <col min="17" max="256" width="9.1328125" style="162"/>
    <col min="257" max="259" width="9.1328125" style="162" customWidth="1"/>
    <col min="260" max="260" width="22.73046875" style="162" customWidth="1"/>
    <col min="261" max="261" width="19.59765625" style="162" customWidth="1"/>
    <col min="262" max="262" width="3.265625" style="162" customWidth="1"/>
    <col min="263" max="263" width="20" style="162" customWidth="1"/>
    <col min="264" max="264" width="8.73046875" style="162" customWidth="1"/>
    <col min="265" max="265" width="7.265625" style="162" customWidth="1"/>
    <col min="266" max="266" width="3.265625" style="162" customWidth="1"/>
    <col min="267" max="267" width="19" style="162" customWidth="1"/>
    <col min="268" max="268" width="27.73046875" style="162" customWidth="1"/>
    <col min="269" max="269" width="6.86328125" style="162" customWidth="1"/>
    <col min="270" max="270" width="12" style="162" customWidth="1"/>
    <col min="271" max="271" width="9.1328125" style="162" customWidth="1"/>
    <col min="272" max="272" width="9.86328125" style="162" bestFit="1" customWidth="1"/>
    <col min="273" max="512" width="9.1328125" style="162"/>
    <col min="513" max="515" width="9.1328125" style="162" customWidth="1"/>
    <col min="516" max="516" width="22.73046875" style="162" customWidth="1"/>
    <col min="517" max="517" width="19.59765625" style="162" customWidth="1"/>
    <col min="518" max="518" width="3.265625" style="162" customWidth="1"/>
    <col min="519" max="519" width="20" style="162" customWidth="1"/>
    <col min="520" max="520" width="8.73046875" style="162" customWidth="1"/>
    <col min="521" max="521" width="7.265625" style="162" customWidth="1"/>
    <col min="522" max="522" width="3.265625" style="162" customWidth="1"/>
    <col min="523" max="523" width="19" style="162" customWidth="1"/>
    <col min="524" max="524" width="27.73046875" style="162" customWidth="1"/>
    <col min="525" max="525" width="6.86328125" style="162" customWidth="1"/>
    <col min="526" max="526" width="12" style="162" customWidth="1"/>
    <col min="527" max="527" width="9.1328125" style="162" customWidth="1"/>
    <col min="528" max="528" width="9.86328125" style="162" bestFit="1" customWidth="1"/>
    <col min="529" max="768" width="9.1328125" style="162"/>
    <col min="769" max="771" width="9.1328125" style="162" customWidth="1"/>
    <col min="772" max="772" width="22.73046875" style="162" customWidth="1"/>
    <col min="773" max="773" width="19.59765625" style="162" customWidth="1"/>
    <col min="774" max="774" width="3.265625" style="162" customWidth="1"/>
    <col min="775" max="775" width="20" style="162" customWidth="1"/>
    <col min="776" max="776" width="8.73046875" style="162" customWidth="1"/>
    <col min="777" max="777" width="7.265625" style="162" customWidth="1"/>
    <col min="778" max="778" width="3.265625" style="162" customWidth="1"/>
    <col min="779" max="779" width="19" style="162" customWidth="1"/>
    <col min="780" max="780" width="27.73046875" style="162" customWidth="1"/>
    <col min="781" max="781" width="6.86328125" style="162" customWidth="1"/>
    <col min="782" max="782" width="12" style="162" customWidth="1"/>
    <col min="783" max="783" width="9.1328125" style="162" customWidth="1"/>
    <col min="784" max="784" width="9.86328125" style="162" bestFit="1" customWidth="1"/>
    <col min="785" max="1024" width="9.1328125" style="162"/>
    <col min="1025" max="1027" width="9.1328125" style="162" customWidth="1"/>
    <col min="1028" max="1028" width="22.73046875" style="162" customWidth="1"/>
    <col min="1029" max="1029" width="19.59765625" style="162" customWidth="1"/>
    <col min="1030" max="1030" width="3.265625" style="162" customWidth="1"/>
    <col min="1031" max="1031" width="20" style="162" customWidth="1"/>
    <col min="1032" max="1032" width="8.73046875" style="162" customWidth="1"/>
    <col min="1033" max="1033" width="7.265625" style="162" customWidth="1"/>
    <col min="1034" max="1034" width="3.265625" style="162" customWidth="1"/>
    <col min="1035" max="1035" width="19" style="162" customWidth="1"/>
    <col min="1036" max="1036" width="27.73046875" style="162" customWidth="1"/>
    <col min="1037" max="1037" width="6.86328125" style="162" customWidth="1"/>
    <col min="1038" max="1038" width="12" style="162" customWidth="1"/>
    <col min="1039" max="1039" width="9.1328125" style="162" customWidth="1"/>
    <col min="1040" max="1040" width="9.86328125" style="162" bestFit="1" customWidth="1"/>
    <col min="1041" max="1280" width="9.1328125" style="162"/>
    <col min="1281" max="1283" width="9.1328125" style="162" customWidth="1"/>
    <col min="1284" max="1284" width="22.73046875" style="162" customWidth="1"/>
    <col min="1285" max="1285" width="19.59765625" style="162" customWidth="1"/>
    <col min="1286" max="1286" width="3.265625" style="162" customWidth="1"/>
    <col min="1287" max="1287" width="20" style="162" customWidth="1"/>
    <col min="1288" max="1288" width="8.73046875" style="162" customWidth="1"/>
    <col min="1289" max="1289" width="7.265625" style="162" customWidth="1"/>
    <col min="1290" max="1290" width="3.265625" style="162" customWidth="1"/>
    <col min="1291" max="1291" width="19" style="162" customWidth="1"/>
    <col min="1292" max="1292" width="27.73046875" style="162" customWidth="1"/>
    <col min="1293" max="1293" width="6.86328125" style="162" customWidth="1"/>
    <col min="1294" max="1294" width="12" style="162" customWidth="1"/>
    <col min="1295" max="1295" width="9.1328125" style="162" customWidth="1"/>
    <col min="1296" max="1296" width="9.86328125" style="162" bestFit="1" customWidth="1"/>
    <col min="1297" max="1536" width="9.1328125" style="162"/>
    <col min="1537" max="1539" width="9.1328125" style="162" customWidth="1"/>
    <col min="1540" max="1540" width="22.73046875" style="162" customWidth="1"/>
    <col min="1541" max="1541" width="19.59765625" style="162" customWidth="1"/>
    <col min="1542" max="1542" width="3.265625" style="162" customWidth="1"/>
    <col min="1543" max="1543" width="20" style="162" customWidth="1"/>
    <col min="1544" max="1544" width="8.73046875" style="162" customWidth="1"/>
    <col min="1545" max="1545" width="7.265625" style="162" customWidth="1"/>
    <col min="1546" max="1546" width="3.265625" style="162" customWidth="1"/>
    <col min="1547" max="1547" width="19" style="162" customWidth="1"/>
    <col min="1548" max="1548" width="27.73046875" style="162" customWidth="1"/>
    <col min="1549" max="1549" width="6.86328125" style="162" customWidth="1"/>
    <col min="1550" max="1550" width="12" style="162" customWidth="1"/>
    <col min="1551" max="1551" width="9.1328125" style="162" customWidth="1"/>
    <col min="1552" max="1552" width="9.86328125" style="162" bestFit="1" customWidth="1"/>
    <col min="1553" max="1792" width="9.1328125" style="162"/>
    <col min="1793" max="1795" width="9.1328125" style="162" customWidth="1"/>
    <col min="1796" max="1796" width="22.73046875" style="162" customWidth="1"/>
    <col min="1797" max="1797" width="19.59765625" style="162" customWidth="1"/>
    <col min="1798" max="1798" width="3.265625" style="162" customWidth="1"/>
    <col min="1799" max="1799" width="20" style="162" customWidth="1"/>
    <col min="1800" max="1800" width="8.73046875" style="162" customWidth="1"/>
    <col min="1801" max="1801" width="7.265625" style="162" customWidth="1"/>
    <col min="1802" max="1802" width="3.265625" style="162" customWidth="1"/>
    <col min="1803" max="1803" width="19" style="162" customWidth="1"/>
    <col min="1804" max="1804" width="27.73046875" style="162" customWidth="1"/>
    <col min="1805" max="1805" width="6.86328125" style="162" customWidth="1"/>
    <col min="1806" max="1806" width="12" style="162" customWidth="1"/>
    <col min="1807" max="1807" width="9.1328125" style="162" customWidth="1"/>
    <col min="1808" max="1808" width="9.86328125" style="162" bestFit="1" customWidth="1"/>
    <col min="1809" max="2048" width="9.1328125" style="162"/>
    <col min="2049" max="2051" width="9.1328125" style="162" customWidth="1"/>
    <col min="2052" max="2052" width="22.73046875" style="162" customWidth="1"/>
    <col min="2053" max="2053" width="19.59765625" style="162" customWidth="1"/>
    <col min="2054" max="2054" width="3.265625" style="162" customWidth="1"/>
    <col min="2055" max="2055" width="20" style="162" customWidth="1"/>
    <col min="2056" max="2056" width="8.73046875" style="162" customWidth="1"/>
    <col min="2057" max="2057" width="7.265625" style="162" customWidth="1"/>
    <col min="2058" max="2058" width="3.265625" style="162" customWidth="1"/>
    <col min="2059" max="2059" width="19" style="162" customWidth="1"/>
    <col min="2060" max="2060" width="27.73046875" style="162" customWidth="1"/>
    <col min="2061" max="2061" width="6.86328125" style="162" customWidth="1"/>
    <col min="2062" max="2062" width="12" style="162" customWidth="1"/>
    <col min="2063" max="2063" width="9.1328125" style="162" customWidth="1"/>
    <col min="2064" max="2064" width="9.86328125" style="162" bestFit="1" customWidth="1"/>
    <col min="2065" max="2304" width="9.1328125" style="162"/>
    <col min="2305" max="2307" width="9.1328125" style="162" customWidth="1"/>
    <col min="2308" max="2308" width="22.73046875" style="162" customWidth="1"/>
    <col min="2309" max="2309" width="19.59765625" style="162" customWidth="1"/>
    <col min="2310" max="2310" width="3.265625" style="162" customWidth="1"/>
    <col min="2311" max="2311" width="20" style="162" customWidth="1"/>
    <col min="2312" max="2312" width="8.73046875" style="162" customWidth="1"/>
    <col min="2313" max="2313" width="7.265625" style="162" customWidth="1"/>
    <col min="2314" max="2314" width="3.265625" style="162" customWidth="1"/>
    <col min="2315" max="2315" width="19" style="162" customWidth="1"/>
    <col min="2316" max="2316" width="27.73046875" style="162" customWidth="1"/>
    <col min="2317" max="2317" width="6.86328125" style="162" customWidth="1"/>
    <col min="2318" max="2318" width="12" style="162" customWidth="1"/>
    <col min="2319" max="2319" width="9.1328125" style="162" customWidth="1"/>
    <col min="2320" max="2320" width="9.86328125" style="162" bestFit="1" customWidth="1"/>
    <col min="2321" max="2560" width="9.1328125" style="162"/>
    <col min="2561" max="2563" width="9.1328125" style="162" customWidth="1"/>
    <col min="2564" max="2564" width="22.73046875" style="162" customWidth="1"/>
    <col min="2565" max="2565" width="19.59765625" style="162" customWidth="1"/>
    <col min="2566" max="2566" width="3.265625" style="162" customWidth="1"/>
    <col min="2567" max="2567" width="20" style="162" customWidth="1"/>
    <col min="2568" max="2568" width="8.73046875" style="162" customWidth="1"/>
    <col min="2569" max="2569" width="7.265625" style="162" customWidth="1"/>
    <col min="2570" max="2570" width="3.265625" style="162" customWidth="1"/>
    <col min="2571" max="2571" width="19" style="162" customWidth="1"/>
    <col min="2572" max="2572" width="27.73046875" style="162" customWidth="1"/>
    <col min="2573" max="2573" width="6.86328125" style="162" customWidth="1"/>
    <col min="2574" max="2574" width="12" style="162" customWidth="1"/>
    <col min="2575" max="2575" width="9.1328125" style="162" customWidth="1"/>
    <col min="2576" max="2576" width="9.86328125" style="162" bestFit="1" customWidth="1"/>
    <col min="2577" max="2816" width="9.1328125" style="162"/>
    <col min="2817" max="2819" width="9.1328125" style="162" customWidth="1"/>
    <col min="2820" max="2820" width="22.73046875" style="162" customWidth="1"/>
    <col min="2821" max="2821" width="19.59765625" style="162" customWidth="1"/>
    <col min="2822" max="2822" width="3.265625" style="162" customWidth="1"/>
    <col min="2823" max="2823" width="20" style="162" customWidth="1"/>
    <col min="2824" max="2824" width="8.73046875" style="162" customWidth="1"/>
    <col min="2825" max="2825" width="7.265625" style="162" customWidth="1"/>
    <col min="2826" max="2826" width="3.265625" style="162" customWidth="1"/>
    <col min="2827" max="2827" width="19" style="162" customWidth="1"/>
    <col min="2828" max="2828" width="27.73046875" style="162" customWidth="1"/>
    <col min="2829" max="2829" width="6.86328125" style="162" customWidth="1"/>
    <col min="2830" max="2830" width="12" style="162" customWidth="1"/>
    <col min="2831" max="2831" width="9.1328125" style="162" customWidth="1"/>
    <col min="2832" max="2832" width="9.86328125" style="162" bestFit="1" customWidth="1"/>
    <col min="2833" max="3072" width="9.1328125" style="162"/>
    <col min="3073" max="3075" width="9.1328125" style="162" customWidth="1"/>
    <col min="3076" max="3076" width="22.73046875" style="162" customWidth="1"/>
    <col min="3077" max="3077" width="19.59765625" style="162" customWidth="1"/>
    <col min="3078" max="3078" width="3.265625" style="162" customWidth="1"/>
    <col min="3079" max="3079" width="20" style="162" customWidth="1"/>
    <col min="3080" max="3080" width="8.73046875" style="162" customWidth="1"/>
    <col min="3081" max="3081" width="7.265625" style="162" customWidth="1"/>
    <col min="3082" max="3082" width="3.265625" style="162" customWidth="1"/>
    <col min="3083" max="3083" width="19" style="162" customWidth="1"/>
    <col min="3084" max="3084" width="27.73046875" style="162" customWidth="1"/>
    <col min="3085" max="3085" width="6.86328125" style="162" customWidth="1"/>
    <col min="3086" max="3086" width="12" style="162" customWidth="1"/>
    <col min="3087" max="3087" width="9.1328125" style="162" customWidth="1"/>
    <col min="3088" max="3088" width="9.86328125" style="162" bestFit="1" customWidth="1"/>
    <col min="3089" max="3328" width="9.1328125" style="162"/>
    <col min="3329" max="3331" width="9.1328125" style="162" customWidth="1"/>
    <col min="3332" max="3332" width="22.73046875" style="162" customWidth="1"/>
    <col min="3333" max="3333" width="19.59765625" style="162" customWidth="1"/>
    <col min="3334" max="3334" width="3.265625" style="162" customWidth="1"/>
    <col min="3335" max="3335" width="20" style="162" customWidth="1"/>
    <col min="3336" max="3336" width="8.73046875" style="162" customWidth="1"/>
    <col min="3337" max="3337" width="7.265625" style="162" customWidth="1"/>
    <col min="3338" max="3338" width="3.265625" style="162" customWidth="1"/>
    <col min="3339" max="3339" width="19" style="162" customWidth="1"/>
    <col min="3340" max="3340" width="27.73046875" style="162" customWidth="1"/>
    <col min="3341" max="3341" width="6.86328125" style="162" customWidth="1"/>
    <col min="3342" max="3342" width="12" style="162" customWidth="1"/>
    <col min="3343" max="3343" width="9.1328125" style="162" customWidth="1"/>
    <col min="3344" max="3344" width="9.86328125" style="162" bestFit="1" customWidth="1"/>
    <col min="3345" max="3584" width="9.1328125" style="162"/>
    <col min="3585" max="3587" width="9.1328125" style="162" customWidth="1"/>
    <col min="3588" max="3588" width="22.73046875" style="162" customWidth="1"/>
    <col min="3589" max="3589" width="19.59765625" style="162" customWidth="1"/>
    <col min="3590" max="3590" width="3.265625" style="162" customWidth="1"/>
    <col min="3591" max="3591" width="20" style="162" customWidth="1"/>
    <col min="3592" max="3592" width="8.73046875" style="162" customWidth="1"/>
    <col min="3593" max="3593" width="7.265625" style="162" customWidth="1"/>
    <col min="3594" max="3594" width="3.265625" style="162" customWidth="1"/>
    <col min="3595" max="3595" width="19" style="162" customWidth="1"/>
    <col min="3596" max="3596" width="27.73046875" style="162" customWidth="1"/>
    <col min="3597" max="3597" width="6.86328125" style="162" customWidth="1"/>
    <col min="3598" max="3598" width="12" style="162" customWidth="1"/>
    <col min="3599" max="3599" width="9.1328125" style="162" customWidth="1"/>
    <col min="3600" max="3600" width="9.86328125" style="162" bestFit="1" customWidth="1"/>
    <col min="3601" max="3840" width="9.1328125" style="162"/>
    <col min="3841" max="3843" width="9.1328125" style="162" customWidth="1"/>
    <col min="3844" max="3844" width="22.73046875" style="162" customWidth="1"/>
    <col min="3845" max="3845" width="19.59765625" style="162" customWidth="1"/>
    <col min="3846" max="3846" width="3.265625" style="162" customWidth="1"/>
    <col min="3847" max="3847" width="20" style="162" customWidth="1"/>
    <col min="3848" max="3848" width="8.73046875" style="162" customWidth="1"/>
    <col min="3849" max="3849" width="7.265625" style="162" customWidth="1"/>
    <col min="3850" max="3850" width="3.265625" style="162" customWidth="1"/>
    <col min="3851" max="3851" width="19" style="162" customWidth="1"/>
    <col min="3852" max="3852" width="27.73046875" style="162" customWidth="1"/>
    <col min="3853" max="3853" width="6.86328125" style="162" customWidth="1"/>
    <col min="3854" max="3854" width="12" style="162" customWidth="1"/>
    <col min="3855" max="3855" width="9.1328125" style="162" customWidth="1"/>
    <col min="3856" max="3856" width="9.86328125" style="162" bestFit="1" customWidth="1"/>
    <col min="3857" max="4096" width="9.1328125" style="162"/>
    <col min="4097" max="4099" width="9.1328125" style="162" customWidth="1"/>
    <col min="4100" max="4100" width="22.73046875" style="162" customWidth="1"/>
    <col min="4101" max="4101" width="19.59765625" style="162" customWidth="1"/>
    <col min="4102" max="4102" width="3.265625" style="162" customWidth="1"/>
    <col min="4103" max="4103" width="20" style="162" customWidth="1"/>
    <col min="4104" max="4104" width="8.73046875" style="162" customWidth="1"/>
    <col min="4105" max="4105" width="7.265625" style="162" customWidth="1"/>
    <col min="4106" max="4106" width="3.265625" style="162" customWidth="1"/>
    <col min="4107" max="4107" width="19" style="162" customWidth="1"/>
    <col min="4108" max="4108" width="27.73046875" style="162" customWidth="1"/>
    <col min="4109" max="4109" width="6.86328125" style="162" customWidth="1"/>
    <col min="4110" max="4110" width="12" style="162" customWidth="1"/>
    <col min="4111" max="4111" width="9.1328125" style="162" customWidth="1"/>
    <col min="4112" max="4112" width="9.86328125" style="162" bestFit="1" customWidth="1"/>
    <col min="4113" max="4352" width="9.1328125" style="162"/>
    <col min="4353" max="4355" width="9.1328125" style="162" customWidth="1"/>
    <col min="4356" max="4356" width="22.73046875" style="162" customWidth="1"/>
    <col min="4357" max="4357" width="19.59765625" style="162" customWidth="1"/>
    <col min="4358" max="4358" width="3.265625" style="162" customWidth="1"/>
    <col min="4359" max="4359" width="20" style="162" customWidth="1"/>
    <col min="4360" max="4360" width="8.73046875" style="162" customWidth="1"/>
    <col min="4361" max="4361" width="7.265625" style="162" customWidth="1"/>
    <col min="4362" max="4362" width="3.265625" style="162" customWidth="1"/>
    <col min="4363" max="4363" width="19" style="162" customWidth="1"/>
    <col min="4364" max="4364" width="27.73046875" style="162" customWidth="1"/>
    <col min="4365" max="4365" width="6.86328125" style="162" customWidth="1"/>
    <col min="4366" max="4366" width="12" style="162" customWidth="1"/>
    <col min="4367" max="4367" width="9.1328125" style="162" customWidth="1"/>
    <col min="4368" max="4368" width="9.86328125" style="162" bestFit="1" customWidth="1"/>
    <col min="4369" max="4608" width="9.1328125" style="162"/>
    <col min="4609" max="4611" width="9.1328125" style="162" customWidth="1"/>
    <col min="4612" max="4612" width="22.73046875" style="162" customWidth="1"/>
    <col min="4613" max="4613" width="19.59765625" style="162" customWidth="1"/>
    <col min="4614" max="4614" width="3.265625" style="162" customWidth="1"/>
    <col min="4615" max="4615" width="20" style="162" customWidth="1"/>
    <col min="4616" max="4616" width="8.73046875" style="162" customWidth="1"/>
    <col min="4617" max="4617" width="7.265625" style="162" customWidth="1"/>
    <col min="4618" max="4618" width="3.265625" style="162" customWidth="1"/>
    <col min="4619" max="4619" width="19" style="162" customWidth="1"/>
    <col min="4620" max="4620" width="27.73046875" style="162" customWidth="1"/>
    <col min="4621" max="4621" width="6.86328125" style="162" customWidth="1"/>
    <col min="4622" max="4622" width="12" style="162" customWidth="1"/>
    <col min="4623" max="4623" width="9.1328125" style="162" customWidth="1"/>
    <col min="4624" max="4624" width="9.86328125" style="162" bestFit="1" customWidth="1"/>
    <col min="4625" max="4864" width="9.1328125" style="162"/>
    <col min="4865" max="4867" width="9.1328125" style="162" customWidth="1"/>
    <col min="4868" max="4868" width="22.73046875" style="162" customWidth="1"/>
    <col min="4869" max="4869" width="19.59765625" style="162" customWidth="1"/>
    <col min="4870" max="4870" width="3.265625" style="162" customWidth="1"/>
    <col min="4871" max="4871" width="20" style="162" customWidth="1"/>
    <col min="4872" max="4872" width="8.73046875" style="162" customWidth="1"/>
    <col min="4873" max="4873" width="7.265625" style="162" customWidth="1"/>
    <col min="4874" max="4874" width="3.265625" style="162" customWidth="1"/>
    <col min="4875" max="4875" width="19" style="162" customWidth="1"/>
    <col min="4876" max="4876" width="27.73046875" style="162" customWidth="1"/>
    <col min="4877" max="4877" width="6.86328125" style="162" customWidth="1"/>
    <col min="4878" max="4878" width="12" style="162" customWidth="1"/>
    <col min="4879" max="4879" width="9.1328125" style="162" customWidth="1"/>
    <col min="4880" max="4880" width="9.86328125" style="162" bestFit="1" customWidth="1"/>
    <col min="4881" max="5120" width="9.1328125" style="162"/>
    <col min="5121" max="5123" width="9.1328125" style="162" customWidth="1"/>
    <col min="5124" max="5124" width="22.73046875" style="162" customWidth="1"/>
    <col min="5125" max="5125" width="19.59765625" style="162" customWidth="1"/>
    <col min="5126" max="5126" width="3.265625" style="162" customWidth="1"/>
    <col min="5127" max="5127" width="20" style="162" customWidth="1"/>
    <col min="5128" max="5128" width="8.73046875" style="162" customWidth="1"/>
    <col min="5129" max="5129" width="7.265625" style="162" customWidth="1"/>
    <col min="5130" max="5130" width="3.265625" style="162" customWidth="1"/>
    <col min="5131" max="5131" width="19" style="162" customWidth="1"/>
    <col min="5132" max="5132" width="27.73046875" style="162" customWidth="1"/>
    <col min="5133" max="5133" width="6.86328125" style="162" customWidth="1"/>
    <col min="5134" max="5134" width="12" style="162" customWidth="1"/>
    <col min="5135" max="5135" width="9.1328125" style="162" customWidth="1"/>
    <col min="5136" max="5136" width="9.86328125" style="162" bestFit="1" customWidth="1"/>
    <col min="5137" max="5376" width="9.1328125" style="162"/>
    <col min="5377" max="5379" width="9.1328125" style="162" customWidth="1"/>
    <col min="5380" max="5380" width="22.73046875" style="162" customWidth="1"/>
    <col min="5381" max="5381" width="19.59765625" style="162" customWidth="1"/>
    <col min="5382" max="5382" width="3.265625" style="162" customWidth="1"/>
    <col min="5383" max="5383" width="20" style="162" customWidth="1"/>
    <col min="5384" max="5384" width="8.73046875" style="162" customWidth="1"/>
    <col min="5385" max="5385" width="7.265625" style="162" customWidth="1"/>
    <col min="5386" max="5386" width="3.265625" style="162" customWidth="1"/>
    <col min="5387" max="5387" width="19" style="162" customWidth="1"/>
    <col min="5388" max="5388" width="27.73046875" style="162" customWidth="1"/>
    <col min="5389" max="5389" width="6.86328125" style="162" customWidth="1"/>
    <col min="5390" max="5390" width="12" style="162" customWidth="1"/>
    <col min="5391" max="5391" width="9.1328125" style="162" customWidth="1"/>
    <col min="5392" max="5392" width="9.86328125" style="162" bestFit="1" customWidth="1"/>
    <col min="5393" max="5632" width="9.1328125" style="162"/>
    <col min="5633" max="5635" width="9.1328125" style="162" customWidth="1"/>
    <col min="5636" max="5636" width="22.73046875" style="162" customWidth="1"/>
    <col min="5637" max="5637" width="19.59765625" style="162" customWidth="1"/>
    <col min="5638" max="5638" width="3.265625" style="162" customWidth="1"/>
    <col min="5639" max="5639" width="20" style="162" customWidth="1"/>
    <col min="5640" max="5640" width="8.73046875" style="162" customWidth="1"/>
    <col min="5641" max="5641" width="7.265625" style="162" customWidth="1"/>
    <col min="5642" max="5642" width="3.265625" style="162" customWidth="1"/>
    <col min="5643" max="5643" width="19" style="162" customWidth="1"/>
    <col min="5644" max="5644" width="27.73046875" style="162" customWidth="1"/>
    <col min="5645" max="5645" width="6.86328125" style="162" customWidth="1"/>
    <col min="5646" max="5646" width="12" style="162" customWidth="1"/>
    <col min="5647" max="5647" width="9.1328125" style="162" customWidth="1"/>
    <col min="5648" max="5648" width="9.86328125" style="162" bestFit="1" customWidth="1"/>
    <col min="5649" max="5888" width="9.1328125" style="162"/>
    <col min="5889" max="5891" width="9.1328125" style="162" customWidth="1"/>
    <col min="5892" max="5892" width="22.73046875" style="162" customWidth="1"/>
    <col min="5893" max="5893" width="19.59765625" style="162" customWidth="1"/>
    <col min="5894" max="5894" width="3.265625" style="162" customWidth="1"/>
    <col min="5895" max="5895" width="20" style="162" customWidth="1"/>
    <col min="5896" max="5896" width="8.73046875" style="162" customWidth="1"/>
    <col min="5897" max="5897" width="7.265625" style="162" customWidth="1"/>
    <col min="5898" max="5898" width="3.265625" style="162" customWidth="1"/>
    <col min="5899" max="5899" width="19" style="162" customWidth="1"/>
    <col min="5900" max="5900" width="27.73046875" style="162" customWidth="1"/>
    <col min="5901" max="5901" width="6.86328125" style="162" customWidth="1"/>
    <col min="5902" max="5902" width="12" style="162" customWidth="1"/>
    <col min="5903" max="5903" width="9.1328125" style="162" customWidth="1"/>
    <col min="5904" max="5904" width="9.86328125" style="162" bestFit="1" customWidth="1"/>
    <col min="5905" max="6144" width="9.1328125" style="162"/>
    <col min="6145" max="6147" width="9.1328125" style="162" customWidth="1"/>
    <col min="6148" max="6148" width="22.73046875" style="162" customWidth="1"/>
    <col min="6149" max="6149" width="19.59765625" style="162" customWidth="1"/>
    <col min="6150" max="6150" width="3.265625" style="162" customWidth="1"/>
    <col min="6151" max="6151" width="20" style="162" customWidth="1"/>
    <col min="6152" max="6152" width="8.73046875" style="162" customWidth="1"/>
    <col min="6153" max="6153" width="7.265625" style="162" customWidth="1"/>
    <col min="6154" max="6154" width="3.265625" style="162" customWidth="1"/>
    <col min="6155" max="6155" width="19" style="162" customWidth="1"/>
    <col min="6156" max="6156" width="27.73046875" style="162" customWidth="1"/>
    <col min="6157" max="6157" width="6.86328125" style="162" customWidth="1"/>
    <col min="6158" max="6158" width="12" style="162" customWidth="1"/>
    <col min="6159" max="6159" width="9.1328125" style="162" customWidth="1"/>
    <col min="6160" max="6160" width="9.86328125" style="162" bestFit="1" customWidth="1"/>
    <col min="6161" max="6400" width="9.1328125" style="162"/>
    <col min="6401" max="6403" width="9.1328125" style="162" customWidth="1"/>
    <col min="6404" max="6404" width="22.73046875" style="162" customWidth="1"/>
    <col min="6405" max="6405" width="19.59765625" style="162" customWidth="1"/>
    <col min="6406" max="6406" width="3.265625" style="162" customWidth="1"/>
    <col min="6407" max="6407" width="20" style="162" customWidth="1"/>
    <col min="6408" max="6408" width="8.73046875" style="162" customWidth="1"/>
    <col min="6409" max="6409" width="7.265625" style="162" customWidth="1"/>
    <col min="6410" max="6410" width="3.265625" style="162" customWidth="1"/>
    <col min="6411" max="6411" width="19" style="162" customWidth="1"/>
    <col min="6412" max="6412" width="27.73046875" style="162" customWidth="1"/>
    <col min="6413" max="6413" width="6.86328125" style="162" customWidth="1"/>
    <col min="6414" max="6414" width="12" style="162" customWidth="1"/>
    <col min="6415" max="6415" width="9.1328125" style="162" customWidth="1"/>
    <col min="6416" max="6416" width="9.86328125" style="162" bestFit="1" customWidth="1"/>
    <col min="6417" max="6656" width="9.1328125" style="162"/>
    <col min="6657" max="6659" width="9.1328125" style="162" customWidth="1"/>
    <col min="6660" max="6660" width="22.73046875" style="162" customWidth="1"/>
    <col min="6661" max="6661" width="19.59765625" style="162" customWidth="1"/>
    <col min="6662" max="6662" width="3.265625" style="162" customWidth="1"/>
    <col min="6663" max="6663" width="20" style="162" customWidth="1"/>
    <col min="6664" max="6664" width="8.73046875" style="162" customWidth="1"/>
    <col min="6665" max="6665" width="7.265625" style="162" customWidth="1"/>
    <col min="6666" max="6666" width="3.265625" style="162" customWidth="1"/>
    <col min="6667" max="6667" width="19" style="162" customWidth="1"/>
    <col min="6668" max="6668" width="27.73046875" style="162" customWidth="1"/>
    <col min="6669" max="6669" width="6.86328125" style="162" customWidth="1"/>
    <col min="6670" max="6670" width="12" style="162" customWidth="1"/>
    <col min="6671" max="6671" width="9.1328125" style="162" customWidth="1"/>
    <col min="6672" max="6672" width="9.86328125" style="162" bestFit="1" customWidth="1"/>
    <col min="6673" max="6912" width="9.1328125" style="162"/>
    <col min="6913" max="6915" width="9.1328125" style="162" customWidth="1"/>
    <col min="6916" max="6916" width="22.73046875" style="162" customWidth="1"/>
    <col min="6917" max="6917" width="19.59765625" style="162" customWidth="1"/>
    <col min="6918" max="6918" width="3.265625" style="162" customWidth="1"/>
    <col min="6919" max="6919" width="20" style="162" customWidth="1"/>
    <col min="6920" max="6920" width="8.73046875" style="162" customWidth="1"/>
    <col min="6921" max="6921" width="7.265625" style="162" customWidth="1"/>
    <col min="6922" max="6922" width="3.265625" style="162" customWidth="1"/>
    <col min="6923" max="6923" width="19" style="162" customWidth="1"/>
    <col min="6924" max="6924" width="27.73046875" style="162" customWidth="1"/>
    <col min="6925" max="6925" width="6.86328125" style="162" customWidth="1"/>
    <col min="6926" max="6926" width="12" style="162" customWidth="1"/>
    <col min="6927" max="6927" width="9.1328125" style="162" customWidth="1"/>
    <col min="6928" max="6928" width="9.86328125" style="162" bestFit="1" customWidth="1"/>
    <col min="6929" max="7168" width="9.1328125" style="162"/>
    <col min="7169" max="7171" width="9.1328125" style="162" customWidth="1"/>
    <col min="7172" max="7172" width="22.73046875" style="162" customWidth="1"/>
    <col min="7173" max="7173" width="19.59765625" style="162" customWidth="1"/>
    <col min="7174" max="7174" width="3.265625" style="162" customWidth="1"/>
    <col min="7175" max="7175" width="20" style="162" customWidth="1"/>
    <col min="7176" max="7176" width="8.73046875" style="162" customWidth="1"/>
    <col min="7177" max="7177" width="7.265625" style="162" customWidth="1"/>
    <col min="7178" max="7178" width="3.265625" style="162" customWidth="1"/>
    <col min="7179" max="7179" width="19" style="162" customWidth="1"/>
    <col min="7180" max="7180" width="27.73046875" style="162" customWidth="1"/>
    <col min="7181" max="7181" width="6.86328125" style="162" customWidth="1"/>
    <col min="7182" max="7182" width="12" style="162" customWidth="1"/>
    <col min="7183" max="7183" width="9.1328125" style="162" customWidth="1"/>
    <col min="7184" max="7184" width="9.86328125" style="162" bestFit="1" customWidth="1"/>
    <col min="7185" max="7424" width="9.1328125" style="162"/>
    <col min="7425" max="7427" width="9.1328125" style="162" customWidth="1"/>
    <col min="7428" max="7428" width="22.73046875" style="162" customWidth="1"/>
    <col min="7429" max="7429" width="19.59765625" style="162" customWidth="1"/>
    <col min="7430" max="7430" width="3.265625" style="162" customWidth="1"/>
    <col min="7431" max="7431" width="20" style="162" customWidth="1"/>
    <col min="7432" max="7432" width="8.73046875" style="162" customWidth="1"/>
    <col min="7433" max="7433" width="7.265625" style="162" customWidth="1"/>
    <col min="7434" max="7434" width="3.265625" style="162" customWidth="1"/>
    <col min="7435" max="7435" width="19" style="162" customWidth="1"/>
    <col min="7436" max="7436" width="27.73046875" style="162" customWidth="1"/>
    <col min="7437" max="7437" width="6.86328125" style="162" customWidth="1"/>
    <col min="7438" max="7438" width="12" style="162" customWidth="1"/>
    <col min="7439" max="7439" width="9.1328125" style="162" customWidth="1"/>
    <col min="7440" max="7440" width="9.86328125" style="162" bestFit="1" customWidth="1"/>
    <col min="7441" max="7680" width="9.1328125" style="162"/>
    <col min="7681" max="7683" width="9.1328125" style="162" customWidth="1"/>
    <col min="7684" max="7684" width="22.73046875" style="162" customWidth="1"/>
    <col min="7685" max="7685" width="19.59765625" style="162" customWidth="1"/>
    <col min="7686" max="7686" width="3.265625" style="162" customWidth="1"/>
    <col min="7687" max="7687" width="20" style="162" customWidth="1"/>
    <col min="7688" max="7688" width="8.73046875" style="162" customWidth="1"/>
    <col min="7689" max="7689" width="7.265625" style="162" customWidth="1"/>
    <col min="7690" max="7690" width="3.265625" style="162" customWidth="1"/>
    <col min="7691" max="7691" width="19" style="162" customWidth="1"/>
    <col min="7692" max="7692" width="27.73046875" style="162" customWidth="1"/>
    <col min="7693" max="7693" width="6.86328125" style="162" customWidth="1"/>
    <col min="7694" max="7694" width="12" style="162" customWidth="1"/>
    <col min="7695" max="7695" width="9.1328125" style="162" customWidth="1"/>
    <col min="7696" max="7696" width="9.86328125" style="162" bestFit="1" customWidth="1"/>
    <col min="7697" max="7936" width="9.1328125" style="162"/>
    <col min="7937" max="7939" width="9.1328125" style="162" customWidth="1"/>
    <col min="7940" max="7940" width="22.73046875" style="162" customWidth="1"/>
    <col min="7941" max="7941" width="19.59765625" style="162" customWidth="1"/>
    <col min="7942" max="7942" width="3.265625" style="162" customWidth="1"/>
    <col min="7943" max="7943" width="20" style="162" customWidth="1"/>
    <col min="7944" max="7944" width="8.73046875" style="162" customWidth="1"/>
    <col min="7945" max="7945" width="7.265625" style="162" customWidth="1"/>
    <col min="7946" max="7946" width="3.265625" style="162" customWidth="1"/>
    <col min="7947" max="7947" width="19" style="162" customWidth="1"/>
    <col min="7948" max="7948" width="27.73046875" style="162" customWidth="1"/>
    <col min="7949" max="7949" width="6.86328125" style="162" customWidth="1"/>
    <col min="7950" max="7950" width="12" style="162" customWidth="1"/>
    <col min="7951" max="7951" width="9.1328125" style="162" customWidth="1"/>
    <col min="7952" max="7952" width="9.86328125" style="162" bestFit="1" customWidth="1"/>
    <col min="7953" max="8192" width="9.1328125" style="162"/>
    <col min="8193" max="8195" width="9.1328125" style="162" customWidth="1"/>
    <col min="8196" max="8196" width="22.73046875" style="162" customWidth="1"/>
    <col min="8197" max="8197" width="19.59765625" style="162" customWidth="1"/>
    <col min="8198" max="8198" width="3.265625" style="162" customWidth="1"/>
    <col min="8199" max="8199" width="20" style="162" customWidth="1"/>
    <col min="8200" max="8200" width="8.73046875" style="162" customWidth="1"/>
    <col min="8201" max="8201" width="7.265625" style="162" customWidth="1"/>
    <col min="8202" max="8202" width="3.265625" style="162" customWidth="1"/>
    <col min="8203" max="8203" width="19" style="162" customWidth="1"/>
    <col min="8204" max="8204" width="27.73046875" style="162" customWidth="1"/>
    <col min="8205" max="8205" width="6.86328125" style="162" customWidth="1"/>
    <col min="8206" max="8206" width="12" style="162" customWidth="1"/>
    <col min="8207" max="8207" width="9.1328125" style="162" customWidth="1"/>
    <col min="8208" max="8208" width="9.86328125" style="162" bestFit="1" customWidth="1"/>
    <col min="8209" max="8448" width="9.1328125" style="162"/>
    <col min="8449" max="8451" width="9.1328125" style="162" customWidth="1"/>
    <col min="8452" max="8452" width="22.73046875" style="162" customWidth="1"/>
    <col min="8453" max="8453" width="19.59765625" style="162" customWidth="1"/>
    <col min="8454" max="8454" width="3.265625" style="162" customWidth="1"/>
    <col min="8455" max="8455" width="20" style="162" customWidth="1"/>
    <col min="8456" max="8456" width="8.73046875" style="162" customWidth="1"/>
    <col min="8457" max="8457" width="7.265625" style="162" customWidth="1"/>
    <col min="8458" max="8458" width="3.265625" style="162" customWidth="1"/>
    <col min="8459" max="8459" width="19" style="162" customWidth="1"/>
    <col min="8460" max="8460" width="27.73046875" style="162" customWidth="1"/>
    <col min="8461" max="8461" width="6.86328125" style="162" customWidth="1"/>
    <col min="8462" max="8462" width="12" style="162" customWidth="1"/>
    <col min="8463" max="8463" width="9.1328125" style="162" customWidth="1"/>
    <col min="8464" max="8464" width="9.86328125" style="162" bestFit="1" customWidth="1"/>
    <col min="8465" max="8704" width="9.1328125" style="162"/>
    <col min="8705" max="8707" width="9.1328125" style="162" customWidth="1"/>
    <col min="8708" max="8708" width="22.73046875" style="162" customWidth="1"/>
    <col min="8709" max="8709" width="19.59765625" style="162" customWidth="1"/>
    <col min="8710" max="8710" width="3.265625" style="162" customWidth="1"/>
    <col min="8711" max="8711" width="20" style="162" customWidth="1"/>
    <col min="8712" max="8712" width="8.73046875" style="162" customWidth="1"/>
    <col min="8713" max="8713" width="7.265625" style="162" customWidth="1"/>
    <col min="8714" max="8714" width="3.265625" style="162" customWidth="1"/>
    <col min="8715" max="8715" width="19" style="162" customWidth="1"/>
    <col min="8716" max="8716" width="27.73046875" style="162" customWidth="1"/>
    <col min="8717" max="8717" width="6.86328125" style="162" customWidth="1"/>
    <col min="8718" max="8718" width="12" style="162" customWidth="1"/>
    <col min="8719" max="8719" width="9.1328125" style="162" customWidth="1"/>
    <col min="8720" max="8720" width="9.86328125" style="162" bestFit="1" customWidth="1"/>
    <col min="8721" max="8960" width="9.1328125" style="162"/>
    <col min="8961" max="8963" width="9.1328125" style="162" customWidth="1"/>
    <col min="8964" max="8964" width="22.73046875" style="162" customWidth="1"/>
    <col min="8965" max="8965" width="19.59765625" style="162" customWidth="1"/>
    <col min="8966" max="8966" width="3.265625" style="162" customWidth="1"/>
    <col min="8967" max="8967" width="20" style="162" customWidth="1"/>
    <col min="8968" max="8968" width="8.73046875" style="162" customWidth="1"/>
    <col min="8969" max="8969" width="7.265625" style="162" customWidth="1"/>
    <col min="8970" max="8970" width="3.265625" style="162" customWidth="1"/>
    <col min="8971" max="8971" width="19" style="162" customWidth="1"/>
    <col min="8972" max="8972" width="27.73046875" style="162" customWidth="1"/>
    <col min="8973" max="8973" width="6.86328125" style="162" customWidth="1"/>
    <col min="8974" max="8974" width="12" style="162" customWidth="1"/>
    <col min="8975" max="8975" width="9.1328125" style="162" customWidth="1"/>
    <col min="8976" max="8976" width="9.86328125" style="162" bestFit="1" customWidth="1"/>
    <col min="8977" max="9216" width="9.1328125" style="162"/>
    <col min="9217" max="9219" width="9.1328125" style="162" customWidth="1"/>
    <col min="9220" max="9220" width="22.73046875" style="162" customWidth="1"/>
    <col min="9221" max="9221" width="19.59765625" style="162" customWidth="1"/>
    <col min="9222" max="9222" width="3.265625" style="162" customWidth="1"/>
    <col min="9223" max="9223" width="20" style="162" customWidth="1"/>
    <col min="9224" max="9224" width="8.73046875" style="162" customWidth="1"/>
    <col min="9225" max="9225" width="7.265625" style="162" customWidth="1"/>
    <col min="9226" max="9226" width="3.265625" style="162" customWidth="1"/>
    <col min="9227" max="9227" width="19" style="162" customWidth="1"/>
    <col min="9228" max="9228" width="27.73046875" style="162" customWidth="1"/>
    <col min="9229" max="9229" width="6.86328125" style="162" customWidth="1"/>
    <col min="9230" max="9230" width="12" style="162" customWidth="1"/>
    <col min="9231" max="9231" width="9.1328125" style="162" customWidth="1"/>
    <col min="9232" max="9232" width="9.86328125" style="162" bestFit="1" customWidth="1"/>
    <col min="9233" max="9472" width="9.1328125" style="162"/>
    <col min="9473" max="9475" width="9.1328125" style="162" customWidth="1"/>
    <col min="9476" max="9476" width="22.73046875" style="162" customWidth="1"/>
    <col min="9477" max="9477" width="19.59765625" style="162" customWidth="1"/>
    <col min="9478" max="9478" width="3.265625" style="162" customWidth="1"/>
    <col min="9479" max="9479" width="20" style="162" customWidth="1"/>
    <col min="9480" max="9480" width="8.73046875" style="162" customWidth="1"/>
    <col min="9481" max="9481" width="7.265625" style="162" customWidth="1"/>
    <col min="9482" max="9482" width="3.265625" style="162" customWidth="1"/>
    <col min="9483" max="9483" width="19" style="162" customWidth="1"/>
    <col min="9484" max="9484" width="27.73046875" style="162" customWidth="1"/>
    <col min="9485" max="9485" width="6.86328125" style="162" customWidth="1"/>
    <col min="9486" max="9486" width="12" style="162" customWidth="1"/>
    <col min="9487" max="9487" width="9.1328125" style="162" customWidth="1"/>
    <col min="9488" max="9488" width="9.86328125" style="162" bestFit="1" customWidth="1"/>
    <col min="9489" max="9728" width="9.1328125" style="162"/>
    <col min="9729" max="9731" width="9.1328125" style="162" customWidth="1"/>
    <col min="9732" max="9732" width="22.73046875" style="162" customWidth="1"/>
    <col min="9733" max="9733" width="19.59765625" style="162" customWidth="1"/>
    <col min="9734" max="9734" width="3.265625" style="162" customWidth="1"/>
    <col min="9735" max="9735" width="20" style="162" customWidth="1"/>
    <col min="9736" max="9736" width="8.73046875" style="162" customWidth="1"/>
    <col min="9737" max="9737" width="7.265625" style="162" customWidth="1"/>
    <col min="9738" max="9738" width="3.265625" style="162" customWidth="1"/>
    <col min="9739" max="9739" width="19" style="162" customWidth="1"/>
    <col min="9740" max="9740" width="27.73046875" style="162" customWidth="1"/>
    <col min="9741" max="9741" width="6.86328125" style="162" customWidth="1"/>
    <col min="9742" max="9742" width="12" style="162" customWidth="1"/>
    <col min="9743" max="9743" width="9.1328125" style="162" customWidth="1"/>
    <col min="9744" max="9744" width="9.86328125" style="162" bestFit="1" customWidth="1"/>
    <col min="9745" max="9984" width="9.1328125" style="162"/>
    <col min="9985" max="9987" width="9.1328125" style="162" customWidth="1"/>
    <col min="9988" max="9988" width="22.73046875" style="162" customWidth="1"/>
    <col min="9989" max="9989" width="19.59765625" style="162" customWidth="1"/>
    <col min="9990" max="9990" width="3.265625" style="162" customWidth="1"/>
    <col min="9991" max="9991" width="20" style="162" customWidth="1"/>
    <col min="9992" max="9992" width="8.73046875" style="162" customWidth="1"/>
    <col min="9993" max="9993" width="7.265625" style="162" customWidth="1"/>
    <col min="9994" max="9994" width="3.265625" style="162" customWidth="1"/>
    <col min="9995" max="9995" width="19" style="162" customWidth="1"/>
    <col min="9996" max="9996" width="27.73046875" style="162" customWidth="1"/>
    <col min="9997" max="9997" width="6.86328125" style="162" customWidth="1"/>
    <col min="9998" max="9998" width="12" style="162" customWidth="1"/>
    <col min="9999" max="9999" width="9.1328125" style="162" customWidth="1"/>
    <col min="10000" max="10000" width="9.86328125" style="162" bestFit="1" customWidth="1"/>
    <col min="10001" max="10240" width="9.1328125" style="162"/>
    <col min="10241" max="10243" width="9.1328125" style="162" customWidth="1"/>
    <col min="10244" max="10244" width="22.73046875" style="162" customWidth="1"/>
    <col min="10245" max="10245" width="19.59765625" style="162" customWidth="1"/>
    <col min="10246" max="10246" width="3.265625" style="162" customWidth="1"/>
    <col min="10247" max="10247" width="20" style="162" customWidth="1"/>
    <col min="10248" max="10248" width="8.73046875" style="162" customWidth="1"/>
    <col min="10249" max="10249" width="7.265625" style="162" customWidth="1"/>
    <col min="10250" max="10250" width="3.265625" style="162" customWidth="1"/>
    <col min="10251" max="10251" width="19" style="162" customWidth="1"/>
    <col min="10252" max="10252" width="27.73046875" style="162" customWidth="1"/>
    <col min="10253" max="10253" width="6.86328125" style="162" customWidth="1"/>
    <col min="10254" max="10254" width="12" style="162" customWidth="1"/>
    <col min="10255" max="10255" width="9.1328125" style="162" customWidth="1"/>
    <col min="10256" max="10256" width="9.86328125" style="162" bestFit="1" customWidth="1"/>
    <col min="10257" max="10496" width="9.1328125" style="162"/>
    <col min="10497" max="10499" width="9.1328125" style="162" customWidth="1"/>
    <col min="10500" max="10500" width="22.73046875" style="162" customWidth="1"/>
    <col min="10501" max="10501" width="19.59765625" style="162" customWidth="1"/>
    <col min="10502" max="10502" width="3.265625" style="162" customWidth="1"/>
    <col min="10503" max="10503" width="20" style="162" customWidth="1"/>
    <col min="10504" max="10504" width="8.73046875" style="162" customWidth="1"/>
    <col min="10505" max="10505" width="7.265625" style="162" customWidth="1"/>
    <col min="10506" max="10506" width="3.265625" style="162" customWidth="1"/>
    <col min="10507" max="10507" width="19" style="162" customWidth="1"/>
    <col min="10508" max="10508" width="27.73046875" style="162" customWidth="1"/>
    <col min="10509" max="10509" width="6.86328125" style="162" customWidth="1"/>
    <col min="10510" max="10510" width="12" style="162" customWidth="1"/>
    <col min="10511" max="10511" width="9.1328125" style="162" customWidth="1"/>
    <col min="10512" max="10512" width="9.86328125" style="162" bestFit="1" customWidth="1"/>
    <col min="10513" max="10752" width="9.1328125" style="162"/>
    <col min="10753" max="10755" width="9.1328125" style="162" customWidth="1"/>
    <col min="10756" max="10756" width="22.73046875" style="162" customWidth="1"/>
    <col min="10757" max="10757" width="19.59765625" style="162" customWidth="1"/>
    <col min="10758" max="10758" width="3.265625" style="162" customWidth="1"/>
    <col min="10759" max="10759" width="20" style="162" customWidth="1"/>
    <col min="10760" max="10760" width="8.73046875" style="162" customWidth="1"/>
    <col min="10761" max="10761" width="7.265625" style="162" customWidth="1"/>
    <col min="10762" max="10762" width="3.265625" style="162" customWidth="1"/>
    <col min="10763" max="10763" width="19" style="162" customWidth="1"/>
    <col min="10764" max="10764" width="27.73046875" style="162" customWidth="1"/>
    <col min="10765" max="10765" width="6.86328125" style="162" customWidth="1"/>
    <col min="10766" max="10766" width="12" style="162" customWidth="1"/>
    <col min="10767" max="10767" width="9.1328125" style="162" customWidth="1"/>
    <col min="10768" max="10768" width="9.86328125" style="162" bestFit="1" customWidth="1"/>
    <col min="10769" max="11008" width="9.1328125" style="162"/>
    <col min="11009" max="11011" width="9.1328125" style="162" customWidth="1"/>
    <col min="11012" max="11012" width="22.73046875" style="162" customWidth="1"/>
    <col min="11013" max="11013" width="19.59765625" style="162" customWidth="1"/>
    <col min="11014" max="11014" width="3.265625" style="162" customWidth="1"/>
    <col min="11015" max="11015" width="20" style="162" customWidth="1"/>
    <col min="11016" max="11016" width="8.73046875" style="162" customWidth="1"/>
    <col min="11017" max="11017" width="7.265625" style="162" customWidth="1"/>
    <col min="11018" max="11018" width="3.265625" style="162" customWidth="1"/>
    <col min="11019" max="11019" width="19" style="162" customWidth="1"/>
    <col min="11020" max="11020" width="27.73046875" style="162" customWidth="1"/>
    <col min="11021" max="11021" width="6.86328125" style="162" customWidth="1"/>
    <col min="11022" max="11022" width="12" style="162" customWidth="1"/>
    <col min="11023" max="11023" width="9.1328125" style="162" customWidth="1"/>
    <col min="11024" max="11024" width="9.86328125" style="162" bestFit="1" customWidth="1"/>
    <col min="11025" max="11264" width="9.1328125" style="162"/>
    <col min="11265" max="11267" width="9.1328125" style="162" customWidth="1"/>
    <col min="11268" max="11268" width="22.73046875" style="162" customWidth="1"/>
    <col min="11269" max="11269" width="19.59765625" style="162" customWidth="1"/>
    <col min="11270" max="11270" width="3.265625" style="162" customWidth="1"/>
    <col min="11271" max="11271" width="20" style="162" customWidth="1"/>
    <col min="11272" max="11272" width="8.73046875" style="162" customWidth="1"/>
    <col min="11273" max="11273" width="7.265625" style="162" customWidth="1"/>
    <col min="11274" max="11274" width="3.265625" style="162" customWidth="1"/>
    <col min="11275" max="11275" width="19" style="162" customWidth="1"/>
    <col min="11276" max="11276" width="27.73046875" style="162" customWidth="1"/>
    <col min="11277" max="11277" width="6.86328125" style="162" customWidth="1"/>
    <col min="11278" max="11278" width="12" style="162" customWidth="1"/>
    <col min="11279" max="11279" width="9.1328125" style="162" customWidth="1"/>
    <col min="11280" max="11280" width="9.86328125" style="162" bestFit="1" customWidth="1"/>
    <col min="11281" max="11520" width="9.1328125" style="162"/>
    <col min="11521" max="11523" width="9.1328125" style="162" customWidth="1"/>
    <col min="11524" max="11524" width="22.73046875" style="162" customWidth="1"/>
    <col min="11525" max="11525" width="19.59765625" style="162" customWidth="1"/>
    <col min="11526" max="11526" width="3.265625" style="162" customWidth="1"/>
    <col min="11527" max="11527" width="20" style="162" customWidth="1"/>
    <col min="11528" max="11528" width="8.73046875" style="162" customWidth="1"/>
    <col min="11529" max="11529" width="7.265625" style="162" customWidth="1"/>
    <col min="11530" max="11530" width="3.265625" style="162" customWidth="1"/>
    <col min="11531" max="11531" width="19" style="162" customWidth="1"/>
    <col min="11532" max="11532" width="27.73046875" style="162" customWidth="1"/>
    <col min="11533" max="11533" width="6.86328125" style="162" customWidth="1"/>
    <col min="11534" max="11534" width="12" style="162" customWidth="1"/>
    <col min="11535" max="11535" width="9.1328125" style="162" customWidth="1"/>
    <col min="11536" max="11536" width="9.86328125" style="162" bestFit="1" customWidth="1"/>
    <col min="11537" max="11776" width="9.1328125" style="162"/>
    <col min="11777" max="11779" width="9.1328125" style="162" customWidth="1"/>
    <col min="11780" max="11780" width="22.73046875" style="162" customWidth="1"/>
    <col min="11781" max="11781" width="19.59765625" style="162" customWidth="1"/>
    <col min="11782" max="11782" width="3.265625" style="162" customWidth="1"/>
    <col min="11783" max="11783" width="20" style="162" customWidth="1"/>
    <col min="11784" max="11784" width="8.73046875" style="162" customWidth="1"/>
    <col min="11785" max="11785" width="7.265625" style="162" customWidth="1"/>
    <col min="11786" max="11786" width="3.265625" style="162" customWidth="1"/>
    <col min="11787" max="11787" width="19" style="162" customWidth="1"/>
    <col min="11788" max="11788" width="27.73046875" style="162" customWidth="1"/>
    <col min="11789" max="11789" width="6.86328125" style="162" customWidth="1"/>
    <col min="11790" max="11790" width="12" style="162" customWidth="1"/>
    <col min="11791" max="11791" width="9.1328125" style="162" customWidth="1"/>
    <col min="11792" max="11792" width="9.86328125" style="162" bestFit="1" customWidth="1"/>
    <col min="11793" max="12032" width="9.1328125" style="162"/>
    <col min="12033" max="12035" width="9.1328125" style="162" customWidth="1"/>
    <col min="12036" max="12036" width="22.73046875" style="162" customWidth="1"/>
    <col min="12037" max="12037" width="19.59765625" style="162" customWidth="1"/>
    <col min="12038" max="12038" width="3.265625" style="162" customWidth="1"/>
    <col min="12039" max="12039" width="20" style="162" customWidth="1"/>
    <col min="12040" max="12040" width="8.73046875" style="162" customWidth="1"/>
    <col min="12041" max="12041" width="7.265625" style="162" customWidth="1"/>
    <col min="12042" max="12042" width="3.265625" style="162" customWidth="1"/>
    <col min="12043" max="12043" width="19" style="162" customWidth="1"/>
    <col min="12044" max="12044" width="27.73046875" style="162" customWidth="1"/>
    <col min="12045" max="12045" width="6.86328125" style="162" customWidth="1"/>
    <col min="12046" max="12046" width="12" style="162" customWidth="1"/>
    <col min="12047" max="12047" width="9.1328125" style="162" customWidth="1"/>
    <col min="12048" max="12048" width="9.86328125" style="162" bestFit="1" customWidth="1"/>
    <col min="12049" max="12288" width="9.1328125" style="162"/>
    <col min="12289" max="12291" width="9.1328125" style="162" customWidth="1"/>
    <col min="12292" max="12292" width="22.73046875" style="162" customWidth="1"/>
    <col min="12293" max="12293" width="19.59765625" style="162" customWidth="1"/>
    <col min="12294" max="12294" width="3.265625" style="162" customWidth="1"/>
    <col min="12295" max="12295" width="20" style="162" customWidth="1"/>
    <col min="12296" max="12296" width="8.73046875" style="162" customWidth="1"/>
    <col min="12297" max="12297" width="7.265625" style="162" customWidth="1"/>
    <col min="12298" max="12298" width="3.265625" style="162" customWidth="1"/>
    <col min="12299" max="12299" width="19" style="162" customWidth="1"/>
    <col min="12300" max="12300" width="27.73046875" style="162" customWidth="1"/>
    <col min="12301" max="12301" width="6.86328125" style="162" customWidth="1"/>
    <col min="12302" max="12302" width="12" style="162" customWidth="1"/>
    <col min="12303" max="12303" width="9.1328125" style="162" customWidth="1"/>
    <col min="12304" max="12304" width="9.86328125" style="162" bestFit="1" customWidth="1"/>
    <col min="12305" max="12544" width="9.1328125" style="162"/>
    <col min="12545" max="12547" width="9.1328125" style="162" customWidth="1"/>
    <col min="12548" max="12548" width="22.73046875" style="162" customWidth="1"/>
    <col min="12549" max="12549" width="19.59765625" style="162" customWidth="1"/>
    <col min="12550" max="12550" width="3.265625" style="162" customWidth="1"/>
    <col min="12551" max="12551" width="20" style="162" customWidth="1"/>
    <col min="12552" max="12552" width="8.73046875" style="162" customWidth="1"/>
    <col min="12553" max="12553" width="7.265625" style="162" customWidth="1"/>
    <col min="12554" max="12554" width="3.265625" style="162" customWidth="1"/>
    <col min="12555" max="12555" width="19" style="162" customWidth="1"/>
    <col min="12556" max="12556" width="27.73046875" style="162" customWidth="1"/>
    <col min="12557" max="12557" width="6.86328125" style="162" customWidth="1"/>
    <col min="12558" max="12558" width="12" style="162" customWidth="1"/>
    <col min="12559" max="12559" width="9.1328125" style="162" customWidth="1"/>
    <col min="12560" max="12560" width="9.86328125" style="162" bestFit="1" customWidth="1"/>
    <col min="12561" max="12800" width="9.1328125" style="162"/>
    <col min="12801" max="12803" width="9.1328125" style="162" customWidth="1"/>
    <col min="12804" max="12804" width="22.73046875" style="162" customWidth="1"/>
    <col min="12805" max="12805" width="19.59765625" style="162" customWidth="1"/>
    <col min="12806" max="12806" width="3.265625" style="162" customWidth="1"/>
    <col min="12807" max="12807" width="20" style="162" customWidth="1"/>
    <col min="12808" max="12808" width="8.73046875" style="162" customWidth="1"/>
    <col min="12809" max="12809" width="7.265625" style="162" customWidth="1"/>
    <col min="12810" max="12810" width="3.265625" style="162" customWidth="1"/>
    <col min="12811" max="12811" width="19" style="162" customWidth="1"/>
    <col min="12812" max="12812" width="27.73046875" style="162" customWidth="1"/>
    <col min="12813" max="12813" width="6.86328125" style="162" customWidth="1"/>
    <col min="12814" max="12814" width="12" style="162" customWidth="1"/>
    <col min="12815" max="12815" width="9.1328125" style="162" customWidth="1"/>
    <col min="12816" max="12816" width="9.86328125" style="162" bestFit="1" customWidth="1"/>
    <col min="12817" max="13056" width="9.1328125" style="162"/>
    <col min="13057" max="13059" width="9.1328125" style="162" customWidth="1"/>
    <col min="13060" max="13060" width="22.73046875" style="162" customWidth="1"/>
    <col min="13061" max="13061" width="19.59765625" style="162" customWidth="1"/>
    <col min="13062" max="13062" width="3.265625" style="162" customWidth="1"/>
    <col min="13063" max="13063" width="20" style="162" customWidth="1"/>
    <col min="13064" max="13064" width="8.73046875" style="162" customWidth="1"/>
    <col min="13065" max="13065" width="7.265625" style="162" customWidth="1"/>
    <col min="13066" max="13066" width="3.265625" style="162" customWidth="1"/>
    <col min="13067" max="13067" width="19" style="162" customWidth="1"/>
    <col min="13068" max="13068" width="27.73046875" style="162" customWidth="1"/>
    <col min="13069" max="13069" width="6.86328125" style="162" customWidth="1"/>
    <col min="13070" max="13070" width="12" style="162" customWidth="1"/>
    <col min="13071" max="13071" width="9.1328125" style="162" customWidth="1"/>
    <col min="13072" max="13072" width="9.86328125" style="162" bestFit="1" customWidth="1"/>
    <col min="13073" max="13312" width="9.1328125" style="162"/>
    <col min="13313" max="13315" width="9.1328125" style="162" customWidth="1"/>
    <col min="13316" max="13316" width="22.73046875" style="162" customWidth="1"/>
    <col min="13317" max="13317" width="19.59765625" style="162" customWidth="1"/>
    <col min="13318" max="13318" width="3.265625" style="162" customWidth="1"/>
    <col min="13319" max="13319" width="20" style="162" customWidth="1"/>
    <col min="13320" max="13320" width="8.73046875" style="162" customWidth="1"/>
    <col min="13321" max="13321" width="7.265625" style="162" customWidth="1"/>
    <col min="13322" max="13322" width="3.265625" style="162" customWidth="1"/>
    <col min="13323" max="13323" width="19" style="162" customWidth="1"/>
    <col min="13324" max="13324" width="27.73046875" style="162" customWidth="1"/>
    <col min="13325" max="13325" width="6.86328125" style="162" customWidth="1"/>
    <col min="13326" max="13326" width="12" style="162" customWidth="1"/>
    <col min="13327" max="13327" width="9.1328125" style="162" customWidth="1"/>
    <col min="13328" max="13328" width="9.86328125" style="162" bestFit="1" customWidth="1"/>
    <col min="13329" max="13568" width="9.1328125" style="162"/>
    <col min="13569" max="13571" width="9.1328125" style="162" customWidth="1"/>
    <col min="13572" max="13572" width="22.73046875" style="162" customWidth="1"/>
    <col min="13573" max="13573" width="19.59765625" style="162" customWidth="1"/>
    <col min="13574" max="13574" width="3.265625" style="162" customWidth="1"/>
    <col min="13575" max="13575" width="20" style="162" customWidth="1"/>
    <col min="13576" max="13576" width="8.73046875" style="162" customWidth="1"/>
    <col min="13577" max="13577" width="7.265625" style="162" customWidth="1"/>
    <col min="13578" max="13578" width="3.265625" style="162" customWidth="1"/>
    <col min="13579" max="13579" width="19" style="162" customWidth="1"/>
    <col min="13580" max="13580" width="27.73046875" style="162" customWidth="1"/>
    <col min="13581" max="13581" width="6.86328125" style="162" customWidth="1"/>
    <col min="13582" max="13582" width="12" style="162" customWidth="1"/>
    <col min="13583" max="13583" width="9.1328125" style="162" customWidth="1"/>
    <col min="13584" max="13584" width="9.86328125" style="162" bestFit="1" customWidth="1"/>
    <col min="13585" max="13824" width="9.1328125" style="162"/>
    <col min="13825" max="13827" width="9.1328125" style="162" customWidth="1"/>
    <col min="13828" max="13828" width="22.73046875" style="162" customWidth="1"/>
    <col min="13829" max="13829" width="19.59765625" style="162" customWidth="1"/>
    <col min="13830" max="13830" width="3.265625" style="162" customWidth="1"/>
    <col min="13831" max="13831" width="20" style="162" customWidth="1"/>
    <col min="13832" max="13832" width="8.73046875" style="162" customWidth="1"/>
    <col min="13833" max="13833" width="7.265625" style="162" customWidth="1"/>
    <col min="13834" max="13834" width="3.265625" style="162" customWidth="1"/>
    <col min="13835" max="13835" width="19" style="162" customWidth="1"/>
    <col min="13836" max="13836" width="27.73046875" style="162" customWidth="1"/>
    <col min="13837" max="13837" width="6.86328125" style="162" customWidth="1"/>
    <col min="13838" max="13838" width="12" style="162" customWidth="1"/>
    <col min="13839" max="13839" width="9.1328125" style="162" customWidth="1"/>
    <col min="13840" max="13840" width="9.86328125" style="162" bestFit="1" customWidth="1"/>
    <col min="13841" max="14080" width="9.1328125" style="162"/>
    <col min="14081" max="14083" width="9.1328125" style="162" customWidth="1"/>
    <col min="14084" max="14084" width="22.73046875" style="162" customWidth="1"/>
    <col min="14085" max="14085" width="19.59765625" style="162" customWidth="1"/>
    <col min="14086" max="14086" width="3.265625" style="162" customWidth="1"/>
    <col min="14087" max="14087" width="20" style="162" customWidth="1"/>
    <col min="14088" max="14088" width="8.73046875" style="162" customWidth="1"/>
    <col min="14089" max="14089" width="7.265625" style="162" customWidth="1"/>
    <col min="14090" max="14090" width="3.265625" style="162" customWidth="1"/>
    <col min="14091" max="14091" width="19" style="162" customWidth="1"/>
    <col min="14092" max="14092" width="27.73046875" style="162" customWidth="1"/>
    <col min="14093" max="14093" width="6.86328125" style="162" customWidth="1"/>
    <col min="14094" max="14094" width="12" style="162" customWidth="1"/>
    <col min="14095" max="14095" width="9.1328125" style="162" customWidth="1"/>
    <col min="14096" max="14096" width="9.86328125" style="162" bestFit="1" customWidth="1"/>
    <col min="14097" max="14336" width="9.1328125" style="162"/>
    <col min="14337" max="14339" width="9.1328125" style="162" customWidth="1"/>
    <col min="14340" max="14340" width="22.73046875" style="162" customWidth="1"/>
    <col min="14341" max="14341" width="19.59765625" style="162" customWidth="1"/>
    <col min="14342" max="14342" width="3.265625" style="162" customWidth="1"/>
    <col min="14343" max="14343" width="20" style="162" customWidth="1"/>
    <col min="14344" max="14344" width="8.73046875" style="162" customWidth="1"/>
    <col min="14345" max="14345" width="7.265625" style="162" customWidth="1"/>
    <col min="14346" max="14346" width="3.265625" style="162" customWidth="1"/>
    <col min="14347" max="14347" width="19" style="162" customWidth="1"/>
    <col min="14348" max="14348" width="27.73046875" style="162" customWidth="1"/>
    <col min="14349" max="14349" width="6.86328125" style="162" customWidth="1"/>
    <col min="14350" max="14350" width="12" style="162" customWidth="1"/>
    <col min="14351" max="14351" width="9.1328125" style="162" customWidth="1"/>
    <col min="14352" max="14352" width="9.86328125" style="162" bestFit="1" customWidth="1"/>
    <col min="14353" max="14592" width="9.1328125" style="162"/>
    <col min="14593" max="14595" width="9.1328125" style="162" customWidth="1"/>
    <col min="14596" max="14596" width="22.73046875" style="162" customWidth="1"/>
    <col min="14597" max="14597" width="19.59765625" style="162" customWidth="1"/>
    <col min="14598" max="14598" width="3.265625" style="162" customWidth="1"/>
    <col min="14599" max="14599" width="20" style="162" customWidth="1"/>
    <col min="14600" max="14600" width="8.73046875" style="162" customWidth="1"/>
    <col min="14601" max="14601" width="7.265625" style="162" customWidth="1"/>
    <col min="14602" max="14602" width="3.265625" style="162" customWidth="1"/>
    <col min="14603" max="14603" width="19" style="162" customWidth="1"/>
    <col min="14604" max="14604" width="27.73046875" style="162" customWidth="1"/>
    <col min="14605" max="14605" width="6.86328125" style="162" customWidth="1"/>
    <col min="14606" max="14606" width="12" style="162" customWidth="1"/>
    <col min="14607" max="14607" width="9.1328125" style="162" customWidth="1"/>
    <col min="14608" max="14608" width="9.86328125" style="162" bestFit="1" customWidth="1"/>
    <col min="14609" max="14848" width="9.1328125" style="162"/>
    <col min="14849" max="14851" width="9.1328125" style="162" customWidth="1"/>
    <col min="14852" max="14852" width="22.73046875" style="162" customWidth="1"/>
    <col min="14853" max="14853" width="19.59765625" style="162" customWidth="1"/>
    <col min="14854" max="14854" width="3.265625" style="162" customWidth="1"/>
    <col min="14855" max="14855" width="20" style="162" customWidth="1"/>
    <col min="14856" max="14856" width="8.73046875" style="162" customWidth="1"/>
    <col min="14857" max="14857" width="7.265625" style="162" customWidth="1"/>
    <col min="14858" max="14858" width="3.265625" style="162" customWidth="1"/>
    <col min="14859" max="14859" width="19" style="162" customWidth="1"/>
    <col min="14860" max="14860" width="27.73046875" style="162" customWidth="1"/>
    <col min="14861" max="14861" width="6.86328125" style="162" customWidth="1"/>
    <col min="14862" max="14862" width="12" style="162" customWidth="1"/>
    <col min="14863" max="14863" width="9.1328125" style="162" customWidth="1"/>
    <col min="14864" max="14864" width="9.86328125" style="162" bestFit="1" customWidth="1"/>
    <col min="14865" max="15104" width="9.1328125" style="162"/>
    <col min="15105" max="15107" width="9.1328125" style="162" customWidth="1"/>
    <col min="15108" max="15108" width="22.73046875" style="162" customWidth="1"/>
    <col min="15109" max="15109" width="19.59765625" style="162" customWidth="1"/>
    <col min="15110" max="15110" width="3.265625" style="162" customWidth="1"/>
    <col min="15111" max="15111" width="20" style="162" customWidth="1"/>
    <col min="15112" max="15112" width="8.73046875" style="162" customWidth="1"/>
    <col min="15113" max="15113" width="7.265625" style="162" customWidth="1"/>
    <col min="15114" max="15114" width="3.265625" style="162" customWidth="1"/>
    <col min="15115" max="15115" width="19" style="162" customWidth="1"/>
    <col min="15116" max="15116" width="27.73046875" style="162" customWidth="1"/>
    <col min="15117" max="15117" width="6.86328125" style="162" customWidth="1"/>
    <col min="15118" max="15118" width="12" style="162" customWidth="1"/>
    <col min="15119" max="15119" width="9.1328125" style="162" customWidth="1"/>
    <col min="15120" max="15120" width="9.86328125" style="162" bestFit="1" customWidth="1"/>
    <col min="15121" max="15360" width="9.1328125" style="162"/>
    <col min="15361" max="15363" width="9.1328125" style="162" customWidth="1"/>
    <col min="15364" max="15364" width="22.73046875" style="162" customWidth="1"/>
    <col min="15365" max="15365" width="19.59765625" style="162" customWidth="1"/>
    <col min="15366" max="15366" width="3.265625" style="162" customWidth="1"/>
    <col min="15367" max="15367" width="20" style="162" customWidth="1"/>
    <col min="15368" max="15368" width="8.73046875" style="162" customWidth="1"/>
    <col min="15369" max="15369" width="7.265625" style="162" customWidth="1"/>
    <col min="15370" max="15370" width="3.265625" style="162" customWidth="1"/>
    <col min="15371" max="15371" width="19" style="162" customWidth="1"/>
    <col min="15372" max="15372" width="27.73046875" style="162" customWidth="1"/>
    <col min="15373" max="15373" width="6.86328125" style="162" customWidth="1"/>
    <col min="15374" max="15374" width="12" style="162" customWidth="1"/>
    <col min="15375" max="15375" width="9.1328125" style="162" customWidth="1"/>
    <col min="15376" max="15376" width="9.86328125" style="162" bestFit="1" customWidth="1"/>
    <col min="15377" max="15616" width="9.1328125" style="162"/>
    <col min="15617" max="15619" width="9.1328125" style="162" customWidth="1"/>
    <col min="15620" max="15620" width="22.73046875" style="162" customWidth="1"/>
    <col min="15621" max="15621" width="19.59765625" style="162" customWidth="1"/>
    <col min="15622" max="15622" width="3.265625" style="162" customWidth="1"/>
    <col min="15623" max="15623" width="20" style="162" customWidth="1"/>
    <col min="15624" max="15624" width="8.73046875" style="162" customWidth="1"/>
    <col min="15625" max="15625" width="7.265625" style="162" customWidth="1"/>
    <col min="15626" max="15626" width="3.265625" style="162" customWidth="1"/>
    <col min="15627" max="15627" width="19" style="162" customWidth="1"/>
    <col min="15628" max="15628" width="27.73046875" style="162" customWidth="1"/>
    <col min="15629" max="15629" width="6.86328125" style="162" customWidth="1"/>
    <col min="15630" max="15630" width="12" style="162" customWidth="1"/>
    <col min="15631" max="15631" width="9.1328125" style="162" customWidth="1"/>
    <col min="15632" max="15632" width="9.86328125" style="162" bestFit="1" customWidth="1"/>
    <col min="15633" max="15872" width="9.1328125" style="162"/>
    <col min="15873" max="15875" width="9.1328125" style="162" customWidth="1"/>
    <col min="15876" max="15876" width="22.73046875" style="162" customWidth="1"/>
    <col min="15877" max="15877" width="19.59765625" style="162" customWidth="1"/>
    <col min="15878" max="15878" width="3.265625" style="162" customWidth="1"/>
    <col min="15879" max="15879" width="20" style="162" customWidth="1"/>
    <col min="15880" max="15880" width="8.73046875" style="162" customWidth="1"/>
    <col min="15881" max="15881" width="7.265625" style="162" customWidth="1"/>
    <col min="15882" max="15882" width="3.265625" style="162" customWidth="1"/>
    <col min="15883" max="15883" width="19" style="162" customWidth="1"/>
    <col min="15884" max="15884" width="27.73046875" style="162" customWidth="1"/>
    <col min="15885" max="15885" width="6.86328125" style="162" customWidth="1"/>
    <col min="15886" max="15886" width="12" style="162" customWidth="1"/>
    <col min="15887" max="15887" width="9.1328125" style="162" customWidth="1"/>
    <col min="15888" max="15888" width="9.86328125" style="162" bestFit="1" customWidth="1"/>
    <col min="15889" max="16128" width="9.1328125" style="162"/>
    <col min="16129" max="16131" width="9.1328125" style="162" customWidth="1"/>
    <col min="16132" max="16132" width="22.73046875" style="162" customWidth="1"/>
    <col min="16133" max="16133" width="19.59765625" style="162" customWidth="1"/>
    <col min="16134" max="16134" width="3.265625" style="162" customWidth="1"/>
    <col min="16135" max="16135" width="20" style="162" customWidth="1"/>
    <col min="16136" max="16136" width="8.73046875" style="162" customWidth="1"/>
    <col min="16137" max="16137" width="7.265625" style="162" customWidth="1"/>
    <col min="16138" max="16138" width="3.265625" style="162" customWidth="1"/>
    <col min="16139" max="16139" width="19" style="162" customWidth="1"/>
    <col min="16140" max="16140" width="27.73046875" style="162" customWidth="1"/>
    <col min="16141" max="16141" width="6.86328125" style="162" customWidth="1"/>
    <col min="16142" max="16142" width="12" style="162" customWidth="1"/>
    <col min="16143" max="16143" width="9.1328125" style="162" customWidth="1"/>
    <col min="16144" max="16144" width="9.86328125" style="162" bestFit="1" customWidth="1"/>
    <col min="16145" max="16384" width="9.1328125" style="162"/>
  </cols>
  <sheetData>
    <row r="1" spans="1:17" ht="42.75" customHeight="1" x14ac:dyDescent="0.5">
      <c r="B1" s="214"/>
      <c r="C1" s="210"/>
      <c r="D1" s="210"/>
      <c r="E1" s="210"/>
      <c r="F1" s="210"/>
      <c r="G1" s="210"/>
      <c r="H1" s="210"/>
      <c r="I1" s="210"/>
      <c r="J1" s="210"/>
      <c r="K1" s="210"/>
      <c r="L1" s="210"/>
      <c r="M1" s="210"/>
      <c r="N1" s="210"/>
      <c r="O1" s="209"/>
    </row>
    <row r="2" spans="1:17" ht="45.4" x14ac:dyDescent="1.2">
      <c r="B2" s="213" t="s">
        <v>1426</v>
      </c>
      <c r="C2" s="210"/>
      <c r="D2" s="210"/>
      <c r="E2" s="210"/>
      <c r="F2" s="210"/>
      <c r="G2" s="210"/>
      <c r="H2" s="210"/>
      <c r="I2" s="210"/>
      <c r="J2" s="210"/>
      <c r="K2" s="210"/>
      <c r="L2" s="210"/>
      <c r="M2" s="212"/>
      <c r="N2" s="210"/>
      <c r="O2" s="209"/>
    </row>
    <row r="3" spans="1:17" ht="30.4" thickBot="1" x14ac:dyDescent="0.85">
      <c r="B3" s="208" t="s">
        <v>1425</v>
      </c>
      <c r="C3" s="210"/>
      <c r="D3" s="210"/>
      <c r="E3" s="210"/>
      <c r="F3" s="210"/>
      <c r="G3" s="210"/>
      <c r="H3" s="208"/>
      <c r="I3" s="210"/>
      <c r="J3" s="210"/>
      <c r="K3" s="210"/>
      <c r="L3" s="210"/>
      <c r="M3" s="212"/>
      <c r="N3" s="210"/>
      <c r="O3" s="209"/>
    </row>
    <row r="4" spans="1:17" ht="18.399999999999999" thickBot="1" x14ac:dyDescent="0.6">
      <c r="B4" s="381" t="s">
        <v>1398</v>
      </c>
      <c r="C4" s="382"/>
      <c r="D4" s="382"/>
      <c r="E4" s="383"/>
      <c r="G4" s="210"/>
      <c r="L4" s="211"/>
      <c r="M4" s="210"/>
      <c r="N4" s="210"/>
      <c r="O4" s="209"/>
    </row>
    <row r="5" spans="1:17" x14ac:dyDescent="0.45">
      <c r="A5" s="172"/>
      <c r="B5" s="210"/>
      <c r="C5" s="210"/>
      <c r="D5" s="210"/>
      <c r="E5" s="210"/>
      <c r="F5" s="210"/>
      <c r="G5" s="209"/>
      <c r="H5" s="209"/>
      <c r="I5" s="209"/>
      <c r="J5" s="209"/>
      <c r="K5" s="209"/>
      <c r="L5" s="209"/>
      <c r="M5" s="209"/>
      <c r="N5" s="209"/>
      <c r="O5" s="176"/>
    </row>
    <row r="6" spans="1:17" ht="30.4" thickBot="1" x14ac:dyDescent="0.85">
      <c r="A6" s="172"/>
      <c r="B6" s="208" t="s">
        <v>1424</v>
      </c>
      <c r="C6" s="208"/>
      <c r="D6" s="182"/>
      <c r="E6" s="182"/>
      <c r="F6" s="182"/>
      <c r="G6" s="182"/>
      <c r="H6" s="182"/>
      <c r="I6" s="182"/>
      <c r="J6" s="182"/>
      <c r="K6" s="182"/>
      <c r="L6" s="182"/>
      <c r="M6" s="182"/>
      <c r="N6" s="176"/>
      <c r="O6" s="176"/>
      <c r="P6" s="176"/>
      <c r="Q6" s="176"/>
    </row>
    <row r="7" spans="1:17" ht="18.399999999999999" thickBot="1" x14ac:dyDescent="0.6">
      <c r="A7" s="172"/>
      <c r="B7" s="384" t="s">
        <v>600</v>
      </c>
      <c r="C7" s="385"/>
      <c r="D7" s="385"/>
      <c r="E7" s="386"/>
      <c r="G7" s="182"/>
      <c r="H7" s="182"/>
      <c r="I7" s="182"/>
      <c r="J7" s="182"/>
      <c r="K7" s="182"/>
      <c r="L7" s="182"/>
      <c r="M7" s="182"/>
      <c r="N7" s="176"/>
      <c r="O7" s="176"/>
    </row>
    <row r="8" spans="1:17" x14ac:dyDescent="0.45">
      <c r="A8" s="172"/>
      <c r="B8" s="207"/>
      <c r="C8" s="176"/>
      <c r="D8" s="176"/>
      <c r="E8" s="176"/>
      <c r="F8" s="176"/>
      <c r="G8" s="182"/>
      <c r="H8" s="182"/>
      <c r="I8" s="182"/>
      <c r="J8" s="182"/>
      <c r="K8" s="182"/>
      <c r="L8" s="182"/>
      <c r="M8" s="182"/>
      <c r="N8" s="176"/>
      <c r="O8" s="176"/>
    </row>
    <row r="9" spans="1:17" x14ac:dyDescent="0.45">
      <c r="A9" s="172"/>
      <c r="B9" s="207"/>
      <c r="C9" s="206"/>
      <c r="D9" s="206"/>
      <c r="E9" s="182"/>
      <c r="F9" s="182"/>
      <c r="G9" s="182"/>
      <c r="H9" s="182"/>
      <c r="I9" s="182"/>
      <c r="J9" s="182"/>
      <c r="K9" s="182"/>
      <c r="L9" s="182"/>
      <c r="M9" s="182"/>
      <c r="N9" s="176"/>
      <c r="O9" s="176"/>
    </row>
    <row r="10" spans="1:17" x14ac:dyDescent="0.45">
      <c r="A10" s="172"/>
      <c r="B10" s="173"/>
      <c r="C10" s="205"/>
      <c r="D10" s="205"/>
      <c r="E10" s="173"/>
      <c r="F10" s="173"/>
      <c r="G10" s="173"/>
      <c r="H10" s="173"/>
      <c r="I10" s="173"/>
      <c r="J10" s="173"/>
      <c r="K10" s="173"/>
      <c r="L10" s="173"/>
      <c r="M10" s="173"/>
      <c r="N10" s="200"/>
      <c r="O10" s="176"/>
    </row>
    <row r="11" spans="1:17" x14ac:dyDescent="0.45">
      <c r="A11" s="172"/>
      <c r="B11" s="173"/>
      <c r="C11" s="173"/>
      <c r="D11" s="173"/>
      <c r="E11" s="204"/>
      <c r="F11" s="173"/>
      <c r="G11" s="173"/>
      <c r="H11" s="173"/>
      <c r="I11" s="173"/>
      <c r="J11" s="173"/>
      <c r="K11" s="173"/>
      <c r="L11" s="173"/>
      <c r="M11" s="173"/>
      <c r="N11" s="200"/>
      <c r="O11" s="176"/>
    </row>
    <row r="12" spans="1:17" x14ac:dyDescent="0.45">
      <c r="A12" s="172"/>
      <c r="B12" s="312"/>
      <c r="C12" s="312" t="s">
        <v>1423</v>
      </c>
      <c r="D12" s="173"/>
      <c r="E12" s="177" t="s">
        <v>1422</v>
      </c>
      <c r="F12" s="173"/>
      <c r="G12" s="173"/>
      <c r="H12" s="177" t="s">
        <v>1421</v>
      </c>
      <c r="I12" s="180"/>
      <c r="J12" s="173"/>
      <c r="K12" s="168"/>
      <c r="L12" s="168"/>
      <c r="M12" s="168"/>
      <c r="N12" s="200"/>
      <c r="O12" s="176"/>
    </row>
    <row r="13" spans="1:17" x14ac:dyDescent="0.45">
      <c r="A13" s="172"/>
      <c r="B13" s="203"/>
      <c r="C13" s="185" t="s">
        <v>1242</v>
      </c>
      <c r="D13" s="173"/>
      <c r="E13" s="185" t="s">
        <v>1420</v>
      </c>
      <c r="F13" s="173"/>
      <c r="G13" s="173"/>
      <c r="H13" s="185" t="s">
        <v>1419</v>
      </c>
      <c r="I13" s="180"/>
      <c r="J13" s="173"/>
      <c r="K13" s="168"/>
      <c r="L13" s="168"/>
      <c r="M13" s="168"/>
      <c r="N13" s="200"/>
      <c r="O13" s="176"/>
    </row>
    <row r="14" spans="1:17" x14ac:dyDescent="0.45">
      <c r="A14" s="172"/>
      <c r="B14" s="173"/>
      <c r="C14" s="202" t="str">
        <f>IFERROR(IF($C$79="x","",IF($C$78="x","Se länk",VLOOKUP($B$7,'Miljövärden för publ företag'!$C$4:$G$487,MATCH("Total primärenergi-faktor",'Miljövärden för publ företag'!$C$4:$G$4,0),FALSE))),"")</f>
        <v/>
      </c>
      <c r="D14" s="168"/>
      <c r="E14" s="387" t="str">
        <f>IFERROR(IF($C$79="x","",IF($C$78="x","Se länk",CONCATENATE(ROUND(VLOOKUP($B$7,'Miljövärden för publ företag'!$C$4:$G$487,MATCH("Total CO2 förbränning [g/kWh]",'Miljövärden för publ företag'!$C$4:$G$4,0),FALSE),0)," g CO2 ekv/kWh"))),"")</f>
        <v/>
      </c>
      <c r="F14" s="387"/>
      <c r="G14" s="173"/>
      <c r="H14" s="388" t="str">
        <f>'Underlag till diagram'!J89</f>
        <v/>
      </c>
      <c r="I14" s="388"/>
      <c r="J14" s="173"/>
      <c r="K14" s="168"/>
      <c r="L14" s="168"/>
      <c r="M14" s="168"/>
      <c r="N14" s="200"/>
      <c r="O14" s="176"/>
    </row>
    <row r="15" spans="1:17" x14ac:dyDescent="0.45">
      <c r="A15" s="172"/>
      <c r="B15" s="173"/>
      <c r="C15" s="194"/>
      <c r="D15" s="168"/>
      <c r="E15" s="194"/>
      <c r="F15" s="173"/>
      <c r="G15" s="173"/>
      <c r="H15" s="194"/>
      <c r="I15" s="194"/>
      <c r="J15" s="173"/>
      <c r="K15" s="194"/>
      <c r="L15" s="194"/>
      <c r="M15" s="198"/>
      <c r="N15" s="200"/>
      <c r="O15" s="176"/>
    </row>
    <row r="16" spans="1:17" x14ac:dyDescent="0.45">
      <c r="A16" s="172"/>
      <c r="B16" s="173"/>
      <c r="C16" s="194"/>
      <c r="D16" s="168"/>
      <c r="E16" s="185" t="s">
        <v>1418</v>
      </c>
      <c r="F16" s="173"/>
      <c r="G16" s="173"/>
      <c r="H16" s="194"/>
      <c r="I16" s="194"/>
      <c r="J16" s="173"/>
      <c r="K16" s="194"/>
      <c r="L16" s="194"/>
      <c r="M16" s="198"/>
      <c r="N16" s="200"/>
      <c r="O16" s="176"/>
    </row>
    <row r="17" spans="1:16" x14ac:dyDescent="0.45">
      <c r="A17" s="172"/>
      <c r="B17" s="173"/>
      <c r="C17" s="173"/>
      <c r="D17" s="173"/>
      <c r="E17" s="387" t="str">
        <f>IFERROR(IF($C$79="x","",IF($C$78="x","Se länk",CONCATENATE(ROUND(VLOOKUP($B$7,'Miljövärden för publ företag'!$C$4:$G$487,MATCH("Total CO2 transport och prod. av bränslen [g/kWh]",'Miljövärden för publ företag'!$C$4:$G$4,0),FALSE),0)," g CO2 ekv/kWh"))),"")</f>
        <v/>
      </c>
      <c r="F17" s="387"/>
      <c r="G17" s="173"/>
      <c r="H17" s="173"/>
      <c r="I17" s="173"/>
      <c r="J17" s="173"/>
      <c r="K17" s="173"/>
      <c r="L17" s="173"/>
      <c r="M17" s="173"/>
      <c r="N17" s="200"/>
      <c r="O17" s="176"/>
    </row>
    <row r="18" spans="1:16" ht="7.5" customHeight="1" x14ac:dyDescent="0.45">
      <c r="A18" s="172"/>
      <c r="B18" s="173"/>
      <c r="C18" s="201" t="s">
        <v>1530</v>
      </c>
      <c r="D18" s="173"/>
      <c r="E18" s="173"/>
      <c r="F18" s="173"/>
      <c r="G18" s="173"/>
      <c r="H18" s="173"/>
      <c r="I18" s="173"/>
      <c r="J18" s="173"/>
      <c r="K18" s="173"/>
      <c r="L18" s="173"/>
      <c r="M18" s="173"/>
      <c r="N18" s="200"/>
      <c r="O18" s="176"/>
    </row>
    <row r="19" spans="1:16" x14ac:dyDescent="0.45">
      <c r="A19" s="172"/>
      <c r="B19" s="173"/>
      <c r="C19" s="199" t="str">
        <f>IFERROR(IF($G$24="0 GWh","",IF($G$24="","",P19)),"")</f>
        <v/>
      </c>
      <c r="D19" s="173"/>
      <c r="E19" s="173"/>
      <c r="F19" s="194"/>
      <c r="G19" s="185"/>
      <c r="H19" s="173"/>
      <c r="I19" s="173"/>
      <c r="J19" s="173"/>
      <c r="K19" s="173"/>
      <c r="L19" s="173"/>
      <c r="M19" s="173"/>
      <c r="N19" s="173"/>
      <c r="O19" s="176"/>
      <c r="P19" s="164" t="s">
        <v>1417</v>
      </c>
    </row>
    <row r="20" spans="1:16" x14ac:dyDescent="0.45">
      <c r="A20" s="172"/>
      <c r="B20" s="173"/>
      <c r="C20" s="199" t="str">
        <f>IF(C19="","",IF('Underlag till diagram'!L91="ja","",P20))</f>
        <v/>
      </c>
      <c r="D20" s="173"/>
      <c r="E20" s="173"/>
      <c r="F20" s="194"/>
      <c r="G20" s="185"/>
      <c r="H20" s="173"/>
      <c r="I20" s="173"/>
      <c r="J20" s="173"/>
      <c r="K20" s="173"/>
      <c r="L20" s="173"/>
      <c r="M20" s="173"/>
      <c r="N20" s="173"/>
      <c r="O20" s="176"/>
      <c r="P20" s="164" t="s">
        <v>1416</v>
      </c>
    </row>
    <row r="21" spans="1:16" ht="8.25" customHeight="1" x14ac:dyDescent="0.45">
      <c r="A21" s="172"/>
      <c r="B21" s="173"/>
      <c r="C21" s="173"/>
      <c r="D21" s="173"/>
      <c r="E21" s="173"/>
      <c r="F21" s="194"/>
      <c r="G21" s="198"/>
      <c r="H21" s="173"/>
      <c r="I21" s="173"/>
      <c r="J21" s="173"/>
      <c r="K21" s="173"/>
      <c r="L21" s="173"/>
      <c r="M21" s="173"/>
      <c r="N21" s="173"/>
      <c r="O21" s="176"/>
    </row>
    <row r="22" spans="1:16" x14ac:dyDescent="0.45">
      <c r="A22" s="172"/>
      <c r="B22" s="173"/>
      <c r="C22" s="376" t="s">
        <v>1415</v>
      </c>
      <c r="D22" s="376"/>
      <c r="E22" s="173"/>
      <c r="F22" s="173"/>
      <c r="G22" s="173"/>
      <c r="H22" s="173"/>
      <c r="I22" s="173"/>
      <c r="J22" s="173"/>
      <c r="K22" s="173"/>
      <c r="L22" s="173"/>
      <c r="M22" s="173"/>
      <c r="N22" s="173"/>
      <c r="O22" s="176"/>
    </row>
    <row r="23" spans="1:16" x14ac:dyDescent="0.45">
      <c r="A23" s="172"/>
      <c r="B23" s="173"/>
      <c r="C23" s="376" t="s">
        <v>1414</v>
      </c>
      <c r="D23" s="376"/>
      <c r="E23" s="173"/>
      <c r="F23" s="173"/>
      <c r="G23" s="190" t="str">
        <f>IFERROR(IF($C$79="x","",IF($C$78="x","Se länk",CONCATENATE(ROUND(VLOOKUP($B$7,Totalt!$B$1:$BL$491,MATCH("Leveranser:",Totalt!$B$1:$BL$1,0),FALSE),IF(VLOOKUP($B$7,Totalt!$B$1:$BL$491,MATCH("Leveranser:",Totalt!$B$1:$BL$1,0),FALSE)&lt;100,1,0))," GWh"))),"")</f>
        <v/>
      </c>
      <c r="H23" s="185"/>
      <c r="I23" s="173"/>
      <c r="J23" s="173"/>
      <c r="K23" s="173"/>
      <c r="L23" s="173"/>
      <c r="M23" s="173"/>
      <c r="N23" s="173"/>
      <c r="O23" s="176"/>
    </row>
    <row r="24" spans="1:16" x14ac:dyDescent="0.45">
      <c r="A24" s="172"/>
      <c r="B24" s="173"/>
      <c r="C24" s="185" t="s">
        <v>1413</v>
      </c>
      <c r="D24" s="188"/>
      <c r="E24" s="173"/>
      <c r="F24" s="173"/>
      <c r="G24" s="190" t="str">
        <f>IFERROR(IF($C$79="x","",IF($C$78="x","",
IF(VLOOKUP($B$7,Underlagsinformation!$B$1:$N$501,MATCH("Såld prod.spec värme:",Underlagsinformation!$B$1:$N$1,0),FALSE)&lt;&gt;"",
CONCATENATE(ROUND(VLOOKUP($B$7,Underlagsinformation!$B$1:$N$501,MATCH("Såld prod.spec värme:",Underlagsinformation!$B$1:$N$1,0),FALSE),0)," GWh"),""))),"")</f>
        <v/>
      </c>
      <c r="H24" s="185"/>
      <c r="I24" s="173"/>
      <c r="J24" s="173"/>
      <c r="K24" s="173"/>
      <c r="L24" s="173"/>
      <c r="M24" s="173"/>
      <c r="N24" s="173"/>
      <c r="O24" s="176"/>
    </row>
    <row r="25" spans="1:16" x14ac:dyDescent="0.45">
      <c r="A25" s="172"/>
      <c r="B25" s="173"/>
      <c r="C25" s="186"/>
      <c r="D25" s="186"/>
      <c r="E25" s="173"/>
      <c r="F25" s="173"/>
      <c r="G25" s="197"/>
      <c r="H25" s="185"/>
      <c r="I25" s="168"/>
      <c r="J25" s="168"/>
      <c r="K25" s="173"/>
      <c r="L25" s="173"/>
      <c r="M25" s="173"/>
      <c r="N25" s="173"/>
      <c r="O25" s="176"/>
    </row>
    <row r="26" spans="1:16" x14ac:dyDescent="0.45">
      <c r="A26" s="172"/>
      <c r="B26" s="173"/>
      <c r="C26" s="376" t="s">
        <v>1412</v>
      </c>
      <c r="D26" s="376"/>
      <c r="E26" s="173"/>
      <c r="F26" s="173"/>
      <c r="G26" s="190" t="str">
        <f>IFERROR(IF($C$79="x","",IF($C$78="x","",
IF(VLOOKUP($B$7,Underlagsinformation!$B$1:$N$501,MATCH("Elproduktion",Underlagsinformation!$B$1:$N$1,0),FALSE)="","",
CONCATENATE(ROUND(VLOOKUP($B$7,Underlagsinformation!$B$1:$N$501,MATCH("Elproduktion",Underlagsinformation!$B$1:$N$1,0),FALSE),0)," GWh")))),"")</f>
        <v/>
      </c>
      <c r="H26" s="185"/>
      <c r="I26" s="168"/>
      <c r="J26" s="168"/>
      <c r="K26" s="173"/>
      <c r="L26" s="173"/>
      <c r="M26" s="173"/>
      <c r="N26" s="173"/>
      <c r="O26" s="176"/>
    </row>
    <row r="27" spans="1:16" x14ac:dyDescent="0.45">
      <c r="A27" s="172"/>
      <c r="B27" s="173"/>
      <c r="C27" s="185" t="s">
        <v>1411</v>
      </c>
      <c r="D27" s="196"/>
      <c r="E27" s="195"/>
      <c r="F27" s="195"/>
      <c r="G27" s="189" t="str">
        <f>IFERROR(IF($C$79="x","",IF($C$78="x","",
IF(VLOOKUP($B$7,Underlagsinformation!$B$1:$Q$501,MATCH("Andel av bränsle i kvv som allokerats till värme, exklusive rökgaskondensering och hjälpel",Underlagsinformation!$B$1:$S$1,0),FALSE)="","",
(ROUND(VLOOKUP($B$7,Underlagsinformation!$B$1:$Q$501,MATCH("Andel av bränsle i kvv som allokerats till värme, exklusive rökgaskondensering och hjälpel",Underlagsinformation!$B$1:$S$1,0),FALSE),2))))),"")</f>
        <v/>
      </c>
      <c r="H27" s="185"/>
      <c r="I27" s="173"/>
      <c r="J27" s="173"/>
      <c r="K27" s="173"/>
      <c r="L27" s="193"/>
      <c r="M27" s="193"/>
      <c r="N27" s="173"/>
      <c r="O27" s="176"/>
    </row>
    <row r="28" spans="1:16" x14ac:dyDescent="0.45">
      <c r="A28" s="172"/>
      <c r="B28" s="173"/>
      <c r="C28" s="185"/>
      <c r="D28" s="196"/>
      <c r="E28" s="195"/>
      <c r="F28" s="195"/>
      <c r="G28" s="194"/>
      <c r="H28" s="185"/>
      <c r="I28" s="173"/>
      <c r="J28" s="173"/>
      <c r="K28" s="173"/>
      <c r="L28" s="193"/>
      <c r="M28" s="193"/>
      <c r="N28" s="173"/>
      <c r="O28" s="176"/>
    </row>
    <row r="29" spans="1:16" x14ac:dyDescent="0.45">
      <c r="A29" s="172"/>
      <c r="B29" s="173"/>
      <c r="C29" s="177" t="s">
        <v>1410</v>
      </c>
      <c r="D29" s="185"/>
      <c r="E29" s="173"/>
      <c r="F29" s="173"/>
      <c r="G29" s="190" t="str">
        <f>IFERROR(IF($C$79="x","",IF($C$78="x","Se länk",CONCATENATE(ROUND(VLOOKUP($B$7,Totalt!$B$1:$BR$491,MATCH("Totalt tillförd energi:",Totalt!$B$1:$CA$1,0),FALSE),IF(VLOOKUP($B$7,Totalt!$B$1:$BR$491,MATCH("Totalt tillförd energi:",Totalt!$B$1:$CA$1,0),FALSE)&lt;100,1,0))," GWh"))),"")</f>
        <v/>
      </c>
      <c r="H29" s="185"/>
      <c r="I29" s="173"/>
      <c r="J29" s="173"/>
      <c r="K29" s="173"/>
      <c r="L29" s="173"/>
      <c r="M29" s="173"/>
      <c r="N29" s="173"/>
      <c r="O29" s="176"/>
    </row>
    <row r="30" spans="1:16" x14ac:dyDescent="0.45">
      <c r="A30" s="172"/>
      <c r="B30" s="173"/>
      <c r="C30" s="186" t="s">
        <v>1409</v>
      </c>
      <c r="D30" s="192"/>
      <c r="E30" s="173"/>
      <c r="F30" s="173"/>
      <c r="G30" s="190" t="str">
        <f>IFERROR(IF($C$79="x","",IF($C$78="x","",
CONCATENATE(ROUND(VLOOKUP($B$7,Totalt!$B$1:$BR$491,MATCH("Total el",Totalt!$B$1:$CA$1,0),FALSE),1)," GWh"))),"")</f>
        <v/>
      </c>
      <c r="H30" s="185"/>
      <c r="I30" s="173"/>
      <c r="J30" s="173"/>
      <c r="K30" s="173"/>
      <c r="L30" s="173"/>
      <c r="M30" s="173"/>
      <c r="N30" s="173"/>
      <c r="O30" s="176"/>
    </row>
    <row r="31" spans="1:16" x14ac:dyDescent="0.45">
      <c r="A31" s="172"/>
      <c r="B31" s="173"/>
      <c r="C31" s="173"/>
      <c r="D31" s="192"/>
      <c r="E31" s="173"/>
      <c r="F31" s="173"/>
      <c r="G31" s="173"/>
      <c r="H31" s="173"/>
      <c r="I31" s="173"/>
      <c r="J31" s="173"/>
      <c r="K31" s="173"/>
      <c r="L31" s="173"/>
      <c r="M31" s="173"/>
      <c r="N31" s="173"/>
      <c r="O31" s="176"/>
    </row>
    <row r="32" spans="1:16" x14ac:dyDescent="0.45">
      <c r="A32" s="172"/>
      <c r="B32" s="173"/>
      <c r="C32" s="185" t="s">
        <v>1408</v>
      </c>
      <c r="D32" s="188"/>
      <c r="E32" s="173"/>
      <c r="F32" s="185"/>
      <c r="G32" s="377" t="str">
        <f>IFERROR(IF($C$79="x","",IF($C$78="x","",'Underlag till diagram'!$B$17)),"")</f>
        <v/>
      </c>
      <c r="H32" s="377"/>
      <c r="I32" s="377"/>
      <c r="J32" s="377"/>
      <c r="K32" s="377"/>
      <c r="L32" s="173"/>
      <c r="M32" s="173"/>
      <c r="N32" s="173"/>
      <c r="O32" s="176"/>
    </row>
    <row r="33" spans="1:15" ht="3" customHeight="1" x14ac:dyDescent="0.45">
      <c r="A33" s="172"/>
      <c r="B33" s="173"/>
      <c r="C33" s="173"/>
      <c r="D33" s="188"/>
      <c r="E33" s="173"/>
      <c r="F33" s="185"/>
      <c r="G33" s="191"/>
      <c r="H33" s="185"/>
      <c r="I33" s="185"/>
      <c r="J33" s="185"/>
      <c r="K33" s="185"/>
      <c r="L33" s="173"/>
      <c r="M33" s="173"/>
      <c r="N33" s="173"/>
      <c r="O33" s="176"/>
    </row>
    <row r="34" spans="1:15" ht="15.75" x14ac:dyDescent="0.5">
      <c r="A34" s="172"/>
      <c r="B34" s="173"/>
      <c r="C34" s="185" t="s">
        <v>1407</v>
      </c>
      <c r="D34" s="188"/>
      <c r="E34" s="173"/>
      <c r="F34" s="185"/>
      <c r="G34" s="190" t="str">
        <f>IFERROR(IF($C$79="x","",IF($C$78="x","",
CONCATENATE(ROUND(VLOOKUP($B$7,Miljö!$B$1:$J$550,MATCH("Koldioxidekvivalenter energiomvandling (g/kwh)",Miljö!$B$1:$J$1,0),FALSE),0)," g CO2 ekv/kWh"))),"")</f>
        <v/>
      </c>
      <c r="H34" s="185"/>
      <c r="I34" s="185"/>
      <c r="J34" s="185"/>
      <c r="K34" s="185"/>
      <c r="L34" s="173"/>
      <c r="M34" s="173"/>
      <c r="N34" s="173"/>
      <c r="O34" s="176"/>
    </row>
    <row r="35" spans="1:15" x14ac:dyDescent="0.45">
      <c r="A35" s="172"/>
      <c r="B35" s="173"/>
      <c r="C35" s="185" t="s">
        <v>1406</v>
      </c>
      <c r="D35" s="188"/>
      <c r="E35" s="173"/>
      <c r="F35" s="185"/>
      <c r="G35" s="189" t="str">
        <f>IFERROR(IF($C$79="x","",IF($C$78="x","",ROUND(VLOOKUP($B$7,Miljö!$B$1:$J$550,MATCH("Fossilandel för ursprungspecificerad el ()",Miljö!$B$1:$J$1,0),FALSE),2))),"")</f>
        <v/>
      </c>
      <c r="H35" s="185"/>
      <c r="I35" s="185"/>
      <c r="J35" s="185"/>
      <c r="K35" s="185"/>
      <c r="L35" s="173"/>
      <c r="M35" s="173"/>
      <c r="N35" s="173"/>
      <c r="O35" s="176"/>
    </row>
    <row r="36" spans="1:15" x14ac:dyDescent="0.45">
      <c r="A36" s="172"/>
      <c r="B36" s="173"/>
      <c r="C36" s="185" t="s">
        <v>1405</v>
      </c>
      <c r="D36" s="188"/>
      <c r="E36" s="173"/>
      <c r="F36" s="185"/>
      <c r="G36" s="187" t="str">
        <f>IFERROR(IF($C$79="x","",IF($C$78="x","",ROUND(VLOOKUP($B$7,Miljö!$B$1:$J$550,MATCH("Primärenergifaktor ()",Miljö!$B$1:$J$1,0),FALSE),1))),"")</f>
        <v/>
      </c>
      <c r="H36" s="185"/>
      <c r="I36" s="185"/>
      <c r="J36" s="185"/>
      <c r="K36" s="185"/>
      <c r="L36" s="173"/>
      <c r="M36" s="173"/>
      <c r="N36" s="173"/>
      <c r="O36" s="176"/>
    </row>
    <row r="37" spans="1:15" x14ac:dyDescent="0.45">
      <c r="A37" s="172"/>
      <c r="B37" s="173"/>
      <c r="C37" s="173"/>
      <c r="D37" s="173"/>
      <c r="E37" s="173"/>
      <c r="F37" s="185"/>
      <c r="G37" s="185"/>
      <c r="H37" s="185"/>
      <c r="I37" s="185"/>
      <c r="J37" s="185"/>
      <c r="K37" s="185"/>
      <c r="L37" s="173"/>
      <c r="M37" s="173"/>
      <c r="N37" s="173"/>
      <c r="O37" s="176"/>
    </row>
    <row r="38" spans="1:15" x14ac:dyDescent="0.45">
      <c r="A38" s="172"/>
      <c r="B38" s="173"/>
      <c r="C38" s="186" t="s">
        <v>1404</v>
      </c>
      <c r="D38" s="173"/>
      <c r="E38" s="173"/>
      <c r="F38" s="173"/>
      <c r="G38" s="378" t="str">
        <f>IFERROR(IF($C$79="x","",IF($C$78="x","",VLOOKUP($B$7,Underlagsinformation!$B$1:$M$501,MATCH("Allokeringsmetod vid kraftvärme",Underlagsinformation!$B$1:$N$1,0),FALSE))),"")</f>
        <v/>
      </c>
      <c r="H38" s="379"/>
      <c r="I38" s="379"/>
      <c r="J38" s="379"/>
      <c r="K38" s="379"/>
      <c r="L38" s="379"/>
      <c r="M38" s="173"/>
      <c r="N38" s="173"/>
      <c r="O38" s="182"/>
    </row>
    <row r="39" spans="1:15" ht="32.25" customHeight="1" x14ac:dyDescent="0.45">
      <c r="A39" s="172"/>
      <c r="B39" s="173"/>
      <c r="C39" s="185" t="s">
        <v>1403</v>
      </c>
      <c r="D39" s="184"/>
      <c r="E39" s="184"/>
      <c r="F39" s="173"/>
      <c r="G39" s="380" t="str">
        <f>IFERROR(IF($C$79="x","",IF($C$78="x",VLOOKUP($B$7,Underlagsinformation!$B$1:$M$488,2,FALSE),"")),"")</f>
        <v/>
      </c>
      <c r="H39" s="380"/>
      <c r="I39" s="380"/>
      <c r="J39" s="380"/>
      <c r="K39" s="380"/>
      <c r="L39" s="380"/>
      <c r="M39" s="173"/>
      <c r="N39" s="173"/>
      <c r="O39" s="182"/>
    </row>
    <row r="40" spans="1:15" x14ac:dyDescent="0.45">
      <c r="A40" s="172"/>
      <c r="B40" s="173"/>
      <c r="C40" s="185"/>
      <c r="D40" s="184"/>
      <c r="E40" s="184"/>
      <c r="F40" s="173"/>
      <c r="G40" s="183"/>
      <c r="H40" s="183"/>
      <c r="I40" s="183"/>
      <c r="J40" s="183"/>
      <c r="K40" s="183"/>
      <c r="L40" s="183"/>
      <c r="M40" s="173"/>
      <c r="N40" s="173"/>
      <c r="O40" s="182"/>
    </row>
    <row r="41" spans="1:15" x14ac:dyDescent="0.45">
      <c r="A41" s="172"/>
      <c r="B41" s="173"/>
      <c r="C41" s="181" t="str">
        <f>IFERROR(IF($C$78="x","Klicka på cellen med länken, högerklicka och välj kopiera, klistra sedan in länken i din webbläsare.",""),"")</f>
        <v/>
      </c>
      <c r="D41" s="173"/>
      <c r="E41" s="173"/>
      <c r="F41" s="173"/>
      <c r="G41" s="173"/>
      <c r="H41" s="173"/>
      <c r="I41" s="173"/>
      <c r="J41" s="173"/>
      <c r="K41" s="173"/>
      <c r="L41" s="173"/>
      <c r="M41" s="178"/>
      <c r="N41" s="173"/>
      <c r="O41" s="176"/>
    </row>
    <row r="42" spans="1:15" ht="20.65" x14ac:dyDescent="0.6">
      <c r="A42" s="172"/>
      <c r="B42" s="173"/>
      <c r="C42" s="180"/>
      <c r="D42" s="173"/>
      <c r="E42" s="179"/>
      <c r="F42" s="173"/>
      <c r="G42" s="173"/>
      <c r="H42" s="173"/>
      <c r="I42" s="173"/>
      <c r="J42" s="173"/>
      <c r="K42" s="173"/>
      <c r="L42" s="173"/>
      <c r="M42" s="178"/>
      <c r="N42" s="173"/>
      <c r="O42" s="176"/>
    </row>
    <row r="43" spans="1:15" x14ac:dyDescent="0.45">
      <c r="A43" s="172"/>
      <c r="B43" s="173"/>
      <c r="C43" s="173"/>
      <c r="D43" s="173"/>
      <c r="E43" s="173"/>
      <c r="F43" s="173"/>
      <c r="G43" s="173"/>
      <c r="H43" s="173"/>
      <c r="I43" s="173"/>
      <c r="J43" s="173"/>
      <c r="K43" s="173"/>
      <c r="L43" s="173"/>
      <c r="M43" s="173"/>
      <c r="N43" s="173"/>
      <c r="O43" s="176"/>
    </row>
    <row r="44" spans="1:15" ht="15.75" x14ac:dyDescent="0.5">
      <c r="A44" s="172"/>
      <c r="B44" s="173"/>
      <c r="C44" s="167"/>
      <c r="D44" s="167"/>
      <c r="E44" s="167"/>
      <c r="F44" s="167"/>
      <c r="G44" s="167"/>
      <c r="H44" s="173"/>
      <c r="I44" s="173"/>
      <c r="J44" s="173"/>
      <c r="K44" s="175"/>
      <c r="L44" s="173"/>
      <c r="M44" s="173"/>
      <c r="N44" s="173"/>
      <c r="O44" s="176"/>
    </row>
    <row r="45" spans="1:15" x14ac:dyDescent="0.45">
      <c r="A45" s="172"/>
      <c r="B45" s="173"/>
      <c r="C45" s="167"/>
      <c r="D45" s="167"/>
      <c r="E45" s="167"/>
      <c r="F45" s="167"/>
      <c r="G45" s="167"/>
      <c r="H45" s="173"/>
      <c r="I45" s="173"/>
      <c r="J45" s="177" t="s">
        <v>1402</v>
      </c>
      <c r="K45" s="177"/>
      <c r="L45" s="177"/>
      <c r="M45" s="173"/>
      <c r="N45" s="174"/>
      <c r="O45" s="176"/>
    </row>
    <row r="46" spans="1:15" ht="15.75" x14ac:dyDescent="0.5">
      <c r="A46" s="172"/>
      <c r="B46" s="173"/>
      <c r="C46" s="167"/>
      <c r="D46" s="167"/>
      <c r="E46" s="167"/>
      <c r="F46" s="167"/>
      <c r="G46" s="167"/>
      <c r="H46" s="173"/>
      <c r="I46" s="173"/>
      <c r="J46" s="173"/>
      <c r="K46" s="175"/>
      <c r="L46" s="173"/>
      <c r="M46" s="173"/>
      <c r="N46" s="174"/>
    </row>
    <row r="47" spans="1:15" ht="30" customHeight="1" x14ac:dyDescent="0.45">
      <c r="A47" s="172"/>
      <c r="B47" s="173"/>
      <c r="C47" s="167"/>
      <c r="D47" s="167"/>
      <c r="E47" s="167"/>
      <c r="F47" s="167"/>
      <c r="G47" s="167"/>
      <c r="H47" s="173"/>
      <c r="I47" s="173"/>
      <c r="J47" s="375" t="str">
        <f>'Underlag till diagram'!X46</f>
        <v>Återvunnen energi:</v>
      </c>
      <c r="K47" s="375"/>
      <c r="L47" s="375"/>
      <c r="M47" s="170" t="str">
        <f>'Underlag till diagram'!Y46</f>
        <v>ja</v>
      </c>
      <c r="N47" s="169" t="str">
        <f>'Underlag till diagram'!AA46</f>
        <v/>
      </c>
    </row>
    <row r="48" spans="1:15" ht="30" customHeight="1" x14ac:dyDescent="0.45">
      <c r="A48" s="172"/>
      <c r="B48" s="173"/>
      <c r="C48" s="167"/>
      <c r="D48" s="167"/>
      <c r="E48" s="167"/>
      <c r="F48" s="167"/>
      <c r="G48" s="167"/>
      <c r="H48" s="173"/>
      <c r="I48" s="173"/>
      <c r="J48" s="375" t="str">
        <f>'Underlag till diagram'!X47</f>
        <v/>
      </c>
      <c r="K48" s="375"/>
      <c r="L48" s="375"/>
      <c r="M48" s="170" t="str">
        <f>'Underlag till diagram'!Y47</f>
        <v/>
      </c>
      <c r="N48" s="169" t="str">
        <f>'Underlag till diagram'!AA47</f>
        <v/>
      </c>
    </row>
    <row r="49" spans="1:14" ht="30" customHeight="1" x14ac:dyDescent="0.45">
      <c r="A49" s="172"/>
      <c r="B49" s="173"/>
      <c r="C49" s="167"/>
      <c r="D49" s="167"/>
      <c r="E49" s="167"/>
      <c r="F49" s="167"/>
      <c r="G49" s="167"/>
      <c r="H49" s="173"/>
      <c r="I49" s="173"/>
      <c r="J49" s="375" t="str">
        <f>'Underlag till diagram'!X48</f>
        <v/>
      </c>
      <c r="K49" s="375"/>
      <c r="L49" s="375"/>
      <c r="M49" s="170" t="str">
        <f>'Underlag till diagram'!Y48</f>
        <v/>
      </c>
      <c r="N49" s="169" t="str">
        <f>'Underlag till diagram'!AA48</f>
        <v/>
      </c>
    </row>
    <row r="50" spans="1:14" ht="30" customHeight="1" x14ac:dyDescent="0.45">
      <c r="A50" s="172"/>
      <c r="B50" s="173"/>
      <c r="C50" s="167"/>
      <c r="D50" s="167"/>
      <c r="E50" s="167"/>
      <c r="F50" s="167"/>
      <c r="G50" s="167"/>
      <c r="H50" s="173"/>
      <c r="I50" s="173"/>
      <c r="J50" s="375" t="str">
        <f>'Underlag till diagram'!X49</f>
        <v/>
      </c>
      <c r="K50" s="375"/>
      <c r="L50" s="375"/>
      <c r="M50" s="170" t="str">
        <f>'Underlag till diagram'!Y49</f>
        <v/>
      </c>
      <c r="N50" s="169" t="str">
        <f>'Underlag till diagram'!AA49</f>
        <v/>
      </c>
    </row>
    <row r="51" spans="1:14" ht="30" customHeight="1" x14ac:dyDescent="0.45">
      <c r="A51" s="172"/>
      <c r="B51" s="173"/>
      <c r="C51" s="167"/>
      <c r="D51" s="167"/>
      <c r="E51" s="167"/>
      <c r="F51" s="167"/>
      <c r="G51" s="167"/>
      <c r="H51" s="173"/>
      <c r="I51" s="173"/>
      <c r="J51" s="375" t="str">
        <f>'Underlag till diagram'!X50</f>
        <v/>
      </c>
      <c r="K51" s="375"/>
      <c r="L51" s="375"/>
      <c r="M51" s="170" t="str">
        <f>'Underlag till diagram'!Y50</f>
        <v/>
      </c>
      <c r="N51" s="169" t="str">
        <f>'Underlag till diagram'!AA50</f>
        <v/>
      </c>
    </row>
    <row r="52" spans="1:14" ht="30" customHeight="1" x14ac:dyDescent="0.45">
      <c r="A52" s="172"/>
      <c r="B52" s="173"/>
      <c r="C52" s="167"/>
      <c r="D52" s="167"/>
      <c r="E52" s="167"/>
      <c r="F52" s="167"/>
      <c r="G52" s="167"/>
      <c r="H52" s="173"/>
      <c r="I52" s="173"/>
      <c r="J52" s="375" t="str">
        <f>'Underlag till diagram'!X51</f>
        <v/>
      </c>
      <c r="K52" s="375"/>
      <c r="L52" s="375"/>
      <c r="M52" s="170" t="str">
        <f>'Underlag till diagram'!Y51</f>
        <v/>
      </c>
      <c r="N52" s="169" t="str">
        <f>'Underlag till diagram'!AA51</f>
        <v/>
      </c>
    </row>
    <row r="53" spans="1:14" ht="30" customHeight="1" x14ac:dyDescent="0.45">
      <c r="A53" s="172"/>
      <c r="B53" s="173"/>
      <c r="C53" s="167"/>
      <c r="D53" s="167"/>
      <c r="E53" s="167"/>
      <c r="F53" s="167"/>
      <c r="G53" s="167"/>
      <c r="H53" s="173"/>
      <c r="I53" s="173"/>
      <c r="J53" s="375" t="str">
        <f>'Underlag till diagram'!X52</f>
        <v/>
      </c>
      <c r="K53" s="375"/>
      <c r="L53" s="375"/>
      <c r="M53" s="170" t="str">
        <f>'Underlag till diagram'!Y52</f>
        <v/>
      </c>
      <c r="N53" s="169" t="str">
        <f>'Underlag till diagram'!AA52</f>
        <v/>
      </c>
    </row>
    <row r="54" spans="1:14" ht="30" customHeight="1" x14ac:dyDescent="0.45">
      <c r="A54" s="172"/>
      <c r="B54" s="173"/>
      <c r="C54" s="167"/>
      <c r="D54" s="167"/>
      <c r="E54" s="167"/>
      <c r="F54" s="167"/>
      <c r="G54" s="167"/>
      <c r="H54" s="173"/>
      <c r="I54" s="173"/>
      <c r="J54" s="375" t="str">
        <f>'Underlag till diagram'!X53</f>
        <v/>
      </c>
      <c r="K54" s="375"/>
      <c r="L54" s="375"/>
      <c r="M54" s="170" t="str">
        <f>'Underlag till diagram'!Y53</f>
        <v/>
      </c>
      <c r="N54" s="169" t="str">
        <f>'Underlag till diagram'!AA53</f>
        <v/>
      </c>
    </row>
    <row r="55" spans="1:14" ht="30" customHeight="1" x14ac:dyDescent="0.45">
      <c r="A55" s="172"/>
      <c r="B55" s="173"/>
      <c r="C55" s="167"/>
      <c r="D55" s="167"/>
      <c r="E55" s="167"/>
      <c r="F55" s="167"/>
      <c r="G55" s="167"/>
      <c r="H55" s="173"/>
      <c r="I55" s="173"/>
      <c r="J55" s="375" t="str">
        <f>'Underlag till diagram'!X54</f>
        <v/>
      </c>
      <c r="K55" s="375"/>
      <c r="L55" s="375"/>
      <c r="M55" s="170" t="str">
        <f>'Underlag till diagram'!Y54</f>
        <v/>
      </c>
      <c r="N55" s="169" t="str">
        <f>'Underlag till diagram'!AA54</f>
        <v/>
      </c>
    </row>
    <row r="56" spans="1:14" ht="30" customHeight="1" x14ac:dyDescent="0.45">
      <c r="A56" s="172"/>
      <c r="B56" s="173"/>
      <c r="C56" s="167"/>
      <c r="D56" s="167"/>
      <c r="E56" s="167"/>
      <c r="F56" s="167"/>
      <c r="G56" s="167"/>
      <c r="H56" s="173"/>
      <c r="I56" s="173"/>
      <c r="J56" s="375" t="str">
        <f>'Underlag till diagram'!X55</f>
        <v/>
      </c>
      <c r="K56" s="375"/>
      <c r="L56" s="375"/>
      <c r="M56" s="170" t="str">
        <f>'Underlag till diagram'!Y55</f>
        <v/>
      </c>
      <c r="N56" s="169" t="str">
        <f>'Underlag till diagram'!AA55</f>
        <v/>
      </c>
    </row>
    <row r="57" spans="1:14" ht="30" customHeight="1" x14ac:dyDescent="0.45">
      <c r="A57" s="172"/>
      <c r="B57" s="173"/>
      <c r="C57" s="167"/>
      <c r="D57" s="167"/>
      <c r="E57" s="167"/>
      <c r="F57" s="167"/>
      <c r="G57" s="167"/>
      <c r="H57" s="173"/>
      <c r="I57" s="173"/>
      <c r="J57" s="375" t="str">
        <f>'Underlag till diagram'!X56</f>
        <v/>
      </c>
      <c r="K57" s="375"/>
      <c r="L57" s="375"/>
      <c r="M57" s="170" t="str">
        <f>'Underlag till diagram'!Y56</f>
        <v/>
      </c>
      <c r="N57" s="169" t="str">
        <f>'Underlag till diagram'!AA56</f>
        <v/>
      </c>
    </row>
    <row r="58" spans="1:14" ht="30" customHeight="1" x14ac:dyDescent="0.45">
      <c r="A58" s="172"/>
      <c r="B58" s="173"/>
      <c r="C58" s="167"/>
      <c r="D58" s="167"/>
      <c r="E58" s="167"/>
      <c r="F58" s="167"/>
      <c r="G58" s="167"/>
      <c r="H58" s="173"/>
      <c r="I58" s="173"/>
      <c r="J58" s="375" t="str">
        <f>'Underlag till diagram'!X57</f>
        <v/>
      </c>
      <c r="K58" s="375"/>
      <c r="L58" s="375"/>
      <c r="M58" s="170" t="str">
        <f>'Underlag till diagram'!Y57</f>
        <v/>
      </c>
      <c r="N58" s="169" t="str">
        <f>'Underlag till diagram'!AA57</f>
        <v/>
      </c>
    </row>
    <row r="59" spans="1:14" ht="30" customHeight="1" x14ac:dyDescent="0.45">
      <c r="A59" s="172"/>
      <c r="B59" s="173"/>
      <c r="C59" s="167"/>
      <c r="D59" s="167"/>
      <c r="E59" s="167"/>
      <c r="F59" s="167"/>
      <c r="G59" s="167"/>
      <c r="H59" s="173"/>
      <c r="I59" s="173"/>
      <c r="J59" s="375" t="str">
        <f>'Underlag till diagram'!X58</f>
        <v/>
      </c>
      <c r="K59" s="375"/>
      <c r="L59" s="375"/>
      <c r="M59" s="170" t="str">
        <f>'Underlag till diagram'!Y58</f>
        <v/>
      </c>
      <c r="N59" s="169" t="str">
        <f>'Underlag till diagram'!AA58</f>
        <v/>
      </c>
    </row>
    <row r="60" spans="1:14" ht="30" customHeight="1" x14ac:dyDescent="0.45">
      <c r="A60" s="172"/>
      <c r="B60" s="173"/>
      <c r="C60" s="167"/>
      <c r="D60" s="167"/>
      <c r="E60" s="167"/>
      <c r="F60" s="167"/>
      <c r="G60" s="167"/>
      <c r="H60" s="173"/>
      <c r="I60" s="173"/>
      <c r="J60" s="375" t="str">
        <f>'Underlag till diagram'!X59</f>
        <v/>
      </c>
      <c r="K60" s="375"/>
      <c r="L60" s="375"/>
      <c r="M60" s="170" t="str">
        <f>'Underlag till diagram'!Y59</f>
        <v/>
      </c>
      <c r="N60" s="169" t="str">
        <f>'Underlag till diagram'!AA59</f>
        <v/>
      </c>
    </row>
    <row r="61" spans="1:14" ht="30" customHeight="1" x14ac:dyDescent="0.45">
      <c r="A61" s="172"/>
      <c r="B61" s="173"/>
      <c r="C61" s="167"/>
      <c r="D61" s="167"/>
      <c r="E61" s="167"/>
      <c r="F61" s="167"/>
      <c r="G61" s="167"/>
      <c r="H61" s="173"/>
      <c r="I61" s="173"/>
      <c r="J61" s="375" t="str">
        <f>'Underlag till diagram'!X60</f>
        <v/>
      </c>
      <c r="K61" s="375"/>
      <c r="L61" s="375"/>
      <c r="M61" s="170" t="str">
        <f>'Underlag till diagram'!Y60</f>
        <v/>
      </c>
      <c r="N61" s="169" t="str">
        <f>'Underlag till diagram'!AA60</f>
        <v/>
      </c>
    </row>
    <row r="62" spans="1:14" ht="30" customHeight="1" x14ac:dyDescent="0.45">
      <c r="A62" s="172"/>
      <c r="B62" s="173"/>
      <c r="C62" s="167"/>
      <c r="D62" s="167"/>
      <c r="E62" s="167"/>
      <c r="F62" s="167"/>
      <c r="G62" s="167"/>
      <c r="H62" s="173"/>
      <c r="I62" s="173"/>
      <c r="J62" s="375" t="str">
        <f>'Underlag till diagram'!X61</f>
        <v/>
      </c>
      <c r="K62" s="375"/>
      <c r="L62" s="375"/>
      <c r="M62" s="170" t="str">
        <f>'Underlag till diagram'!Y61</f>
        <v/>
      </c>
      <c r="N62" s="169" t="str">
        <f>'Underlag till diagram'!AA61</f>
        <v/>
      </c>
    </row>
    <row r="63" spans="1:14" ht="30" customHeight="1" x14ac:dyDescent="0.45">
      <c r="A63" s="172"/>
      <c r="B63" s="173"/>
      <c r="C63" s="167"/>
      <c r="D63" s="167"/>
      <c r="E63" s="167"/>
      <c r="F63" s="167"/>
      <c r="G63" s="167"/>
      <c r="H63" s="173"/>
      <c r="I63" s="173"/>
      <c r="J63" s="375" t="str">
        <f>'Underlag till diagram'!X62</f>
        <v/>
      </c>
      <c r="K63" s="375"/>
      <c r="L63" s="375"/>
      <c r="M63" s="170" t="str">
        <f>'Underlag till diagram'!Y62</f>
        <v/>
      </c>
      <c r="N63" s="169" t="str">
        <f>'Underlag till diagram'!AA62</f>
        <v/>
      </c>
    </row>
    <row r="64" spans="1:14" ht="30" customHeight="1" x14ac:dyDescent="0.45">
      <c r="A64" s="172"/>
      <c r="B64" s="173"/>
      <c r="C64" s="167"/>
      <c r="D64" s="167"/>
      <c r="E64" s="167"/>
      <c r="F64" s="167"/>
      <c r="G64" s="167"/>
      <c r="H64" s="173"/>
      <c r="I64" s="173"/>
      <c r="J64" s="375" t="str">
        <f>'Underlag till diagram'!X63</f>
        <v/>
      </c>
      <c r="K64" s="375"/>
      <c r="L64" s="375"/>
      <c r="M64" s="170" t="str">
        <f>'Underlag till diagram'!Y63</f>
        <v/>
      </c>
      <c r="N64" s="169" t="str">
        <f>'Underlag till diagram'!AA63</f>
        <v/>
      </c>
    </row>
    <row r="65" spans="1:14" ht="30" customHeight="1" x14ac:dyDescent="0.45">
      <c r="A65" s="172"/>
      <c r="B65" s="173"/>
      <c r="C65" s="167"/>
      <c r="D65" s="167"/>
      <c r="E65" s="167"/>
      <c r="F65" s="167"/>
      <c r="G65" s="167"/>
      <c r="H65" s="173"/>
      <c r="I65" s="173"/>
      <c r="J65" s="375" t="str">
        <f>'Underlag till diagram'!X64</f>
        <v/>
      </c>
      <c r="K65" s="375"/>
      <c r="L65" s="375"/>
      <c r="M65" s="170" t="str">
        <f>'Underlag till diagram'!Y64</f>
        <v/>
      </c>
      <c r="N65" s="169" t="str">
        <f>'Underlag till diagram'!AA64</f>
        <v/>
      </c>
    </row>
    <row r="66" spans="1:14" ht="30" customHeight="1" x14ac:dyDescent="0.45">
      <c r="A66" s="172"/>
      <c r="B66" s="173"/>
      <c r="C66" s="167"/>
      <c r="D66" s="167"/>
      <c r="E66" s="167"/>
      <c r="F66" s="167"/>
      <c r="G66" s="167"/>
      <c r="H66" s="173"/>
      <c r="I66" s="173"/>
      <c r="J66" s="375" t="str">
        <f>'Underlag till diagram'!X65</f>
        <v/>
      </c>
      <c r="K66" s="375"/>
      <c r="L66" s="375"/>
      <c r="M66" s="170" t="str">
        <f>'Underlag till diagram'!Y65</f>
        <v/>
      </c>
      <c r="N66" s="169" t="str">
        <f>'Underlag till diagram'!AA66</f>
        <v/>
      </c>
    </row>
    <row r="67" spans="1:14" ht="30" customHeight="1" x14ac:dyDescent="0.45">
      <c r="A67" s="172"/>
      <c r="B67" s="173"/>
      <c r="C67" s="167"/>
      <c r="D67" s="167"/>
      <c r="E67" s="167"/>
      <c r="F67" s="167"/>
      <c r="G67" s="167"/>
      <c r="H67" s="173"/>
      <c r="I67" s="173"/>
      <c r="J67" s="375" t="str">
        <f>'Underlag till diagram'!X66</f>
        <v/>
      </c>
      <c r="K67" s="375"/>
      <c r="L67" s="375"/>
      <c r="M67" s="170" t="str">
        <f>'Underlag till diagram'!Y66</f>
        <v/>
      </c>
      <c r="N67" s="169" t="str">
        <f>'Underlag till diagram'!AA67</f>
        <v/>
      </c>
    </row>
    <row r="68" spans="1:14" ht="30" customHeight="1" x14ac:dyDescent="0.45">
      <c r="A68" s="172"/>
      <c r="B68" s="168"/>
      <c r="C68" s="167"/>
      <c r="D68" s="167"/>
      <c r="E68" s="167"/>
      <c r="F68" s="167"/>
      <c r="G68" s="167"/>
      <c r="H68" s="168"/>
      <c r="I68" s="168"/>
      <c r="J68" s="375" t="str">
        <f>'Underlag till diagram'!X67</f>
        <v/>
      </c>
      <c r="K68" s="375"/>
      <c r="L68" s="375"/>
      <c r="M68" s="170" t="str">
        <f>'Underlag till diagram'!Y67</f>
        <v/>
      </c>
      <c r="N68" s="169" t="str">
        <f>'Underlag till diagram'!AA68</f>
        <v/>
      </c>
    </row>
    <row r="69" spans="1:14" ht="30" customHeight="1" x14ac:dyDescent="0.45">
      <c r="A69" s="172"/>
      <c r="B69" s="168"/>
      <c r="C69" s="167"/>
      <c r="D69" s="167"/>
      <c r="E69" s="167"/>
      <c r="F69" s="167"/>
      <c r="G69" s="167"/>
      <c r="H69" s="168"/>
      <c r="I69" s="168"/>
      <c r="J69" s="375" t="str">
        <f>'Underlag till diagram'!X68</f>
        <v/>
      </c>
      <c r="K69" s="375"/>
      <c r="L69" s="375"/>
      <c r="M69" s="170" t="str">
        <f>'Underlag till diagram'!Y68</f>
        <v/>
      </c>
      <c r="N69" s="169" t="str">
        <f>'Underlag till diagram'!AA69</f>
        <v/>
      </c>
    </row>
    <row r="70" spans="1:14" ht="30" customHeight="1" x14ac:dyDescent="0.45">
      <c r="A70" s="172"/>
      <c r="B70" s="168"/>
      <c r="C70" s="167"/>
      <c r="D70" s="167"/>
      <c r="E70" s="167"/>
      <c r="F70" s="167"/>
      <c r="G70" s="167"/>
      <c r="H70" s="168"/>
      <c r="I70" s="168"/>
      <c r="J70" s="375" t="str">
        <f>'Underlag till diagram'!X69</f>
        <v/>
      </c>
      <c r="K70" s="375"/>
      <c r="L70" s="375"/>
      <c r="M70" s="170" t="str">
        <f>'Underlag till diagram'!Y69</f>
        <v/>
      </c>
      <c r="N70" s="169" t="str">
        <f>'Underlag till diagram'!AA70</f>
        <v/>
      </c>
    </row>
    <row r="71" spans="1:14" ht="30" customHeight="1" x14ac:dyDescent="0.45">
      <c r="A71" s="172"/>
      <c r="B71" s="168"/>
      <c r="C71" s="167"/>
      <c r="D71" s="167"/>
      <c r="E71" s="167"/>
      <c r="F71" s="167"/>
      <c r="G71" s="167"/>
      <c r="H71" s="168"/>
      <c r="I71" s="168"/>
      <c r="J71" s="375" t="str">
        <f>'Underlag till diagram'!X70</f>
        <v/>
      </c>
      <c r="K71" s="375"/>
      <c r="L71" s="375"/>
      <c r="M71" s="170" t="str">
        <f>'Underlag till diagram'!Y70</f>
        <v/>
      </c>
      <c r="N71" s="169" t="str">
        <f>'Underlag till diagram'!AA71</f>
        <v/>
      </c>
    </row>
    <row r="72" spans="1:14" ht="30" customHeight="1" x14ac:dyDescent="0.45">
      <c r="A72" s="172"/>
      <c r="B72" s="168"/>
      <c r="C72" s="167"/>
      <c r="D72" s="167"/>
      <c r="E72" s="167"/>
      <c r="F72" s="167"/>
      <c r="G72" s="167"/>
      <c r="H72" s="168"/>
      <c r="I72" s="168"/>
      <c r="J72" s="375" t="str">
        <f>'Underlag till diagram'!X71</f>
        <v/>
      </c>
      <c r="K72" s="375"/>
      <c r="L72" s="375"/>
      <c r="M72" s="170" t="str">
        <f>'Underlag till diagram'!Y71</f>
        <v/>
      </c>
      <c r="N72" s="169" t="str">
        <f>'Underlag till diagram'!AA72</f>
        <v/>
      </c>
    </row>
    <row r="73" spans="1:14" ht="30" customHeight="1" x14ac:dyDescent="0.45">
      <c r="B73" s="168"/>
      <c r="C73" s="167"/>
      <c r="D73" s="167"/>
      <c r="E73" s="167"/>
      <c r="F73" s="167"/>
      <c r="G73" s="167"/>
      <c r="H73" s="168"/>
      <c r="I73" s="168"/>
      <c r="J73" s="375" t="str">
        <f>'Underlag till diagram'!X72</f>
        <v/>
      </c>
      <c r="K73" s="375"/>
      <c r="L73" s="375"/>
      <c r="M73" s="170" t="str">
        <f>'Underlag till diagram'!Y72</f>
        <v/>
      </c>
      <c r="N73" s="169" t="str">
        <f>'Underlag till diagram'!AA73</f>
        <v/>
      </c>
    </row>
    <row r="74" spans="1:14" ht="30" customHeight="1" x14ac:dyDescent="0.45">
      <c r="B74" s="168"/>
      <c r="C74" s="171"/>
      <c r="D74" s="171"/>
      <c r="E74" s="167"/>
      <c r="F74" s="168"/>
      <c r="G74" s="168"/>
      <c r="H74" s="168"/>
      <c r="I74" s="168"/>
      <c r="J74" s="375" t="str">
        <f>'Underlag till diagram'!X73</f>
        <v/>
      </c>
      <c r="K74" s="375"/>
      <c r="L74" s="375"/>
      <c r="M74" s="170" t="str">
        <f>'Underlag till diagram'!Y73</f>
        <v/>
      </c>
      <c r="N74" s="169" t="str">
        <f>'Underlag till diagram'!AA74</f>
        <v/>
      </c>
    </row>
    <row r="75" spans="1:14" ht="30" customHeight="1" x14ac:dyDescent="0.45">
      <c r="B75" s="168"/>
      <c r="C75" s="171"/>
      <c r="D75" s="171"/>
      <c r="E75" s="167"/>
      <c r="F75" s="168"/>
      <c r="G75" s="168"/>
      <c r="H75" s="168"/>
      <c r="I75" s="168"/>
      <c r="J75" s="375" t="str">
        <f>'Underlag till diagram'!X74</f>
        <v/>
      </c>
      <c r="K75" s="375"/>
      <c r="L75" s="375"/>
      <c r="M75" s="170" t="str">
        <f>'Underlag till diagram'!Y74</f>
        <v/>
      </c>
      <c r="N75" s="169" t="str">
        <f>'Underlag till diagram'!AA75</f>
        <v/>
      </c>
    </row>
    <row r="76" spans="1:14" ht="30" customHeight="1" x14ac:dyDescent="0.45">
      <c r="B76" s="168"/>
      <c r="C76" s="171"/>
      <c r="D76" s="171"/>
      <c r="E76" s="167"/>
      <c r="F76" s="168"/>
      <c r="G76" s="168"/>
      <c r="H76" s="168"/>
      <c r="I76" s="168"/>
      <c r="J76" s="375" t="str">
        <f>'Underlag till diagram'!X75</f>
        <v/>
      </c>
      <c r="K76" s="375"/>
      <c r="L76" s="375"/>
      <c r="M76" s="170" t="str">
        <f>'Underlag till diagram'!Y75</f>
        <v/>
      </c>
      <c r="N76" s="169" t="str">
        <f>'Underlag till diagram'!AA76</f>
        <v/>
      </c>
    </row>
    <row r="77" spans="1:14" x14ac:dyDescent="0.45">
      <c r="B77" s="168"/>
      <c r="C77" s="168"/>
      <c r="D77" s="168"/>
      <c r="E77" s="168"/>
      <c r="F77" s="168"/>
      <c r="G77" s="168"/>
      <c r="H77" s="168"/>
      <c r="I77" s="168"/>
      <c r="J77" s="168"/>
      <c r="K77" s="168"/>
      <c r="L77" s="168"/>
      <c r="M77" s="168"/>
      <c r="N77" s="167"/>
    </row>
    <row r="78" spans="1:14" x14ac:dyDescent="0.45">
      <c r="B78" s="166" t="s">
        <v>1401</v>
      </c>
      <c r="C78" s="165" t="str">
        <f>IF('Underlag till diagram'!D2="ja","","x")</f>
        <v/>
      </c>
      <c r="D78" s="163"/>
    </row>
    <row r="79" spans="1:14" x14ac:dyDescent="0.45">
      <c r="B79" s="164" t="s">
        <v>1400</v>
      </c>
      <c r="C79" s="164" t="str">
        <f>IF('Underlag till diagram'!$K$4="nej","x","")</f>
        <v>x</v>
      </c>
      <c r="D79" s="163"/>
    </row>
    <row r="80" spans="1:14" x14ac:dyDescent="0.45">
      <c r="B80" s="163"/>
      <c r="C80" s="163"/>
      <c r="D80" s="163"/>
    </row>
    <row r="81" spans="2:4" x14ac:dyDescent="0.45">
      <c r="B81" s="163"/>
      <c r="C81" s="163"/>
      <c r="D81" s="163"/>
    </row>
  </sheetData>
  <sheetProtection algorithmName="SHA-512" hashValue="bWSnY0nGKz9Ocbe42sbPu1lO9k8xwOtu/GdJ5xo1bGqdOgKGIONuCUcKMaDDSgsJx2i/qUDREFIFp6WrFgk+fg==" saltValue="XfCkx86zUCju7gz8yy4cIA==" spinCount="100000" sheet="1" objects="1" scenarios="1"/>
  <protectedRanges>
    <protectedRange sqref="B7:E7 B4:E4" name="Område1"/>
  </protectedRanges>
  <mergeCells count="41">
    <mergeCell ref="B4:E4"/>
    <mergeCell ref="B7:E7"/>
    <mergeCell ref="E14:F14"/>
    <mergeCell ref="H14:I14"/>
    <mergeCell ref="E17:F17"/>
    <mergeCell ref="C22:D22"/>
    <mergeCell ref="J54:L54"/>
    <mergeCell ref="J55:L55"/>
    <mergeCell ref="J56:L56"/>
    <mergeCell ref="J57:L57"/>
    <mergeCell ref="C23:D23"/>
    <mergeCell ref="C26:D26"/>
    <mergeCell ref="G32:K32"/>
    <mergeCell ref="G38:L38"/>
    <mergeCell ref="G39:L39"/>
    <mergeCell ref="J58:L58"/>
    <mergeCell ref="J47:L47"/>
    <mergeCell ref="J48:L48"/>
    <mergeCell ref="J49:L49"/>
    <mergeCell ref="J50:L50"/>
    <mergeCell ref="J51:L51"/>
    <mergeCell ref="J52:L52"/>
    <mergeCell ref="J53:L53"/>
    <mergeCell ref="J59:L59"/>
    <mergeCell ref="J60:L60"/>
    <mergeCell ref="J61:L61"/>
    <mergeCell ref="J62:L62"/>
    <mergeCell ref="J63:L63"/>
    <mergeCell ref="J75:L75"/>
    <mergeCell ref="J76:L76"/>
    <mergeCell ref="J71:L71"/>
    <mergeCell ref="J64:L64"/>
    <mergeCell ref="J65:L65"/>
    <mergeCell ref="J72:L72"/>
    <mergeCell ref="J73:L73"/>
    <mergeCell ref="J74:L74"/>
    <mergeCell ref="J66:L66"/>
    <mergeCell ref="J67:L67"/>
    <mergeCell ref="J68:L68"/>
    <mergeCell ref="J69:L69"/>
    <mergeCell ref="J70:L70"/>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xr:uid="{8E56BB0E-15DB-4ADA-9E86-1E86FB769A00}">
      <formula1>Lista_publicering</formula1>
    </dataValidation>
    <dataValidation showInputMessage="1" showErrorMessage="1" errorTitle="Ogiltigt namn" error="Välj ett nät ur listan" sqref="L4" xr:uid="{EEA09F41-8689-466D-87B6-43FD535AA5B4}"/>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6C064C7-D738-407A-BD62-781D99F50049}">
          <x14:formula1>
            <xm:f>'Miljövärden för publ företag'!$N$4:$N$140</xm:f>
          </x14:formula1>
          <xm:sqref>B4:E4</xm:sqref>
        </x14:dataValidation>
        <x14:dataValidation type="list" allowBlank="1" showInputMessage="1" showErrorMessage="1" xr:uid="{90BC7A7D-BE9B-4C3C-9300-0A4D749764A1}">
          <x14:formula1>
            <xm:f>'Miljövärden för publ företag'!$S$4:$S$34</xm:f>
          </x14:formula1>
          <xm:sqref>B7:E7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08CD7-5DE4-43C3-961E-0CE9AD68EE8E}">
  <sheetPr codeName="Blad22">
    <tabColor theme="9" tint="0.39997558519241921"/>
  </sheetPr>
  <dimension ref="A1:E25"/>
  <sheetViews>
    <sheetView workbookViewId="0">
      <selection sqref="A1:XFD1048576"/>
    </sheetView>
  </sheetViews>
  <sheetFormatPr defaultColWidth="9.1328125" defaultRowHeight="14.25" x14ac:dyDescent="0.45"/>
  <cols>
    <col min="1" max="1" width="45.1328125" style="215" bestFit="1" customWidth="1"/>
    <col min="2" max="2" width="19" style="215" customWidth="1"/>
    <col min="3" max="3" width="18.59765625" style="215" customWidth="1"/>
    <col min="4" max="4" width="23.1328125" style="215" customWidth="1"/>
    <col min="5" max="5" width="14.265625" style="215" customWidth="1"/>
    <col min="6" max="16384" width="9.1328125" style="215"/>
  </cols>
  <sheetData>
    <row r="1" spans="1:5" s="227" customFormat="1" ht="42.75" x14ac:dyDescent="0.45">
      <c r="A1" s="230"/>
      <c r="B1" s="229" t="s">
        <v>1436</v>
      </c>
      <c r="C1" s="229" t="s">
        <v>1435</v>
      </c>
      <c r="D1" s="229" t="s">
        <v>1434</v>
      </c>
      <c r="E1" s="228" t="s">
        <v>1280</v>
      </c>
    </row>
    <row r="2" spans="1:5" x14ac:dyDescent="0.45">
      <c r="A2" s="225" t="s">
        <v>1433</v>
      </c>
      <c r="B2" s="225">
        <v>1.1499999999999999</v>
      </c>
      <c r="C2" s="226">
        <v>370</v>
      </c>
      <c r="D2" s="226">
        <v>14</v>
      </c>
      <c r="E2" s="225">
        <v>1</v>
      </c>
    </row>
    <row r="3" spans="1:5" x14ac:dyDescent="0.45">
      <c r="A3" s="222" t="s">
        <v>1432</v>
      </c>
      <c r="B3" s="222">
        <v>1.1100000000000001</v>
      </c>
      <c r="C3" s="223">
        <v>268</v>
      </c>
      <c r="D3" s="223">
        <v>22</v>
      </c>
      <c r="E3" s="222">
        <v>1</v>
      </c>
    </row>
    <row r="4" spans="1:5" x14ac:dyDescent="0.45">
      <c r="A4" s="222" t="s">
        <v>1431</v>
      </c>
      <c r="B4" s="222">
        <v>1.1100000000000001</v>
      </c>
      <c r="C4" s="223">
        <v>275</v>
      </c>
      <c r="D4" s="223">
        <v>22</v>
      </c>
      <c r="E4" s="222">
        <v>1</v>
      </c>
    </row>
    <row r="5" spans="1:5" x14ac:dyDescent="0.45">
      <c r="A5" s="222" t="s">
        <v>745</v>
      </c>
      <c r="B5" s="222">
        <v>1.1100000000000001</v>
      </c>
      <c r="C5" s="223">
        <v>275</v>
      </c>
      <c r="D5" s="223">
        <v>22</v>
      </c>
      <c r="E5" s="222">
        <v>1</v>
      </c>
    </row>
    <row r="6" spans="1:5" x14ac:dyDescent="0.45">
      <c r="A6" s="222" t="s">
        <v>727</v>
      </c>
      <c r="B6" s="222">
        <v>1.0900000000000001</v>
      </c>
      <c r="C6" s="223">
        <v>205</v>
      </c>
      <c r="D6" s="223">
        <v>45</v>
      </c>
      <c r="E6" s="222">
        <v>1</v>
      </c>
    </row>
    <row r="7" spans="1:5" x14ac:dyDescent="0.45">
      <c r="A7" s="222" t="s">
        <v>1212</v>
      </c>
      <c r="B7" s="222">
        <v>1.1100000000000001</v>
      </c>
      <c r="C7" s="223">
        <v>275</v>
      </c>
      <c r="D7" s="223">
        <v>22</v>
      </c>
      <c r="E7" s="222">
        <v>1</v>
      </c>
    </row>
    <row r="8" spans="1:5" x14ac:dyDescent="0.45">
      <c r="A8" s="222" t="s">
        <v>1333</v>
      </c>
      <c r="B8" s="222">
        <v>0</v>
      </c>
      <c r="C8" s="223">
        <v>0</v>
      </c>
      <c r="D8" s="223">
        <v>0</v>
      </c>
      <c r="E8" s="222">
        <v>0</v>
      </c>
    </row>
    <row r="9" spans="1:5" x14ac:dyDescent="0.45">
      <c r="A9" s="222" t="s">
        <v>726</v>
      </c>
      <c r="B9" s="222">
        <v>0.04</v>
      </c>
      <c r="C9" s="223">
        <v>132.4</v>
      </c>
      <c r="D9" s="223">
        <v>3</v>
      </c>
      <c r="E9" s="222">
        <v>0</v>
      </c>
    </row>
    <row r="10" spans="1:5" x14ac:dyDescent="0.45">
      <c r="A10" s="222" t="s">
        <v>736</v>
      </c>
      <c r="B10" s="222">
        <v>0.15</v>
      </c>
      <c r="C10" s="224">
        <v>0.2</v>
      </c>
      <c r="D10" s="223">
        <v>12</v>
      </c>
      <c r="E10" s="222">
        <v>0</v>
      </c>
    </row>
    <row r="11" spans="1:5" x14ac:dyDescent="0.45">
      <c r="A11" s="222" t="s">
        <v>766</v>
      </c>
      <c r="B11" s="222">
        <v>0</v>
      </c>
      <c r="C11" s="223">
        <v>0</v>
      </c>
      <c r="D11" s="223">
        <v>0</v>
      </c>
      <c r="E11" s="222">
        <v>0</v>
      </c>
    </row>
    <row r="12" spans="1:5" x14ac:dyDescent="0.45">
      <c r="A12" s="222" t="s">
        <v>751</v>
      </c>
      <c r="B12" s="222">
        <v>1.05</v>
      </c>
      <c r="C12" s="223">
        <v>4</v>
      </c>
      <c r="D12" s="223">
        <v>34</v>
      </c>
      <c r="E12" s="222">
        <v>0</v>
      </c>
    </row>
    <row r="13" spans="1:5" x14ac:dyDescent="0.45">
      <c r="A13" s="222" t="s">
        <v>734</v>
      </c>
      <c r="B13" s="222">
        <v>0.03</v>
      </c>
      <c r="C13" s="223">
        <v>4</v>
      </c>
      <c r="D13" s="223">
        <v>7</v>
      </c>
      <c r="E13" s="222">
        <v>0</v>
      </c>
    </row>
    <row r="14" spans="1:5" x14ac:dyDescent="0.45">
      <c r="A14" s="222" t="s">
        <v>1294</v>
      </c>
      <c r="B14" s="222">
        <v>0.05</v>
      </c>
      <c r="C14" s="223">
        <v>4</v>
      </c>
      <c r="D14" s="223">
        <v>3</v>
      </c>
      <c r="E14" s="222">
        <v>0</v>
      </c>
    </row>
    <row r="15" spans="1:5" x14ac:dyDescent="0.45">
      <c r="A15" s="222" t="s">
        <v>1269</v>
      </c>
      <c r="B15" s="222">
        <v>0.11</v>
      </c>
      <c r="C15" s="223">
        <v>4</v>
      </c>
      <c r="D15" s="223">
        <v>14</v>
      </c>
      <c r="E15" s="222">
        <v>0</v>
      </c>
    </row>
    <row r="16" spans="1:5" x14ac:dyDescent="0.45">
      <c r="A16" s="222" t="s">
        <v>739</v>
      </c>
      <c r="B16" s="222">
        <v>0.04</v>
      </c>
      <c r="C16" s="223">
        <v>1</v>
      </c>
      <c r="D16" s="223">
        <v>4</v>
      </c>
      <c r="E16" s="222">
        <v>0</v>
      </c>
    </row>
    <row r="17" spans="1:5" x14ac:dyDescent="0.45">
      <c r="A17" s="222" t="s">
        <v>754</v>
      </c>
      <c r="B17" s="222">
        <v>0.04</v>
      </c>
      <c r="C17" s="223">
        <v>1</v>
      </c>
      <c r="D17" s="223">
        <v>4</v>
      </c>
      <c r="E17" s="222">
        <v>0</v>
      </c>
    </row>
    <row r="18" spans="1:5" x14ac:dyDescent="0.45">
      <c r="A18" s="222" t="s">
        <v>1430</v>
      </c>
      <c r="B18" s="222">
        <v>1.05</v>
      </c>
      <c r="C18" s="223">
        <v>4</v>
      </c>
      <c r="D18" s="223">
        <v>34</v>
      </c>
      <c r="E18" s="222">
        <v>0</v>
      </c>
    </row>
    <row r="19" spans="1:5" x14ac:dyDescent="0.45">
      <c r="A19" s="222" t="s">
        <v>1219</v>
      </c>
      <c r="B19" s="222">
        <v>1.02</v>
      </c>
      <c r="C19" s="223">
        <v>385.1</v>
      </c>
      <c r="D19" s="223">
        <v>39</v>
      </c>
      <c r="E19" s="222">
        <v>0</v>
      </c>
    </row>
    <row r="20" spans="1:5" x14ac:dyDescent="0.45">
      <c r="A20" s="222" t="s">
        <v>1429</v>
      </c>
      <c r="B20" s="222">
        <v>0</v>
      </c>
      <c r="C20" s="223">
        <v>0</v>
      </c>
      <c r="D20" s="223">
        <v>0</v>
      </c>
      <c r="E20" s="222">
        <v>0</v>
      </c>
    </row>
    <row r="21" spans="1:5" x14ac:dyDescent="0.45">
      <c r="A21" s="222" t="s">
        <v>1428</v>
      </c>
      <c r="B21" s="221">
        <v>2.2000000000000002</v>
      </c>
      <c r="C21" s="220">
        <v>250.8</v>
      </c>
      <c r="D21" s="220"/>
      <c r="E21" s="219">
        <v>0.35</v>
      </c>
    </row>
    <row r="22" spans="1:5" x14ac:dyDescent="0.45">
      <c r="A22" s="217" t="s">
        <v>1427</v>
      </c>
      <c r="B22" s="217">
        <v>1.1100000000000001</v>
      </c>
      <c r="C22" s="218">
        <v>275</v>
      </c>
      <c r="D22" s="218">
        <v>22</v>
      </c>
      <c r="E22" s="217">
        <v>0</v>
      </c>
    </row>
    <row r="24" spans="1:5" x14ac:dyDescent="0.45">
      <c r="A24" s="215" t="s">
        <v>1565</v>
      </c>
    </row>
    <row r="25" spans="1:5" x14ac:dyDescent="0.45">
      <c r="A25" s="216" t="s">
        <v>1566</v>
      </c>
    </row>
  </sheetData>
  <sheetProtection algorithmName="SHA-512" hashValue="Lp+gjA11r3mbE7wkfUz2OF+assV6DDCqECxgVQJ/OldJzgJfNWTdBfN5eOYhYCc82U+v6VJQ2xlNt6BdEYoYSg==" saltValue="irX0kju5ffymrxA3HhVbOw==" spinCount="100000" sheet="1" objects="1" scenarios="1"/>
  <hyperlinks>
    <hyperlink ref="A25" r:id="rId1" xr:uid="{F65F9696-4D8C-4D5D-AED4-19D91DA6E51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AA7E4-6BFA-4B80-97A0-D163D29445CF}">
  <sheetPr codeName="Blad4">
    <tabColor theme="9" tint="0.39997558519241921"/>
  </sheetPr>
  <dimension ref="A1:BK409"/>
  <sheetViews>
    <sheetView workbookViewId="0">
      <selection activeCell="B9" sqref="B9"/>
    </sheetView>
  </sheetViews>
  <sheetFormatPr defaultColWidth="9.1328125" defaultRowHeight="15" customHeight="1" x14ac:dyDescent="0.45"/>
  <cols>
    <col min="1" max="1" width="43.73046875" style="2" bestFit="1" customWidth="1"/>
    <col min="2" max="2" width="48" style="2" bestFit="1" customWidth="1"/>
    <col min="3" max="16384" width="9.1328125" style="2"/>
  </cols>
  <sheetData>
    <row r="1" spans="1:63" s="24" customFormat="1" ht="151.5" customHeight="1" thickBot="1" x14ac:dyDescent="0.5">
      <c r="A1" s="23" t="s">
        <v>724</v>
      </c>
      <c r="B1" s="23" t="s">
        <v>2</v>
      </c>
      <c r="C1" s="23" t="s">
        <v>723</v>
      </c>
      <c r="D1" s="23" t="s">
        <v>722</v>
      </c>
      <c r="E1" s="23" t="s">
        <v>721</v>
      </c>
      <c r="F1" s="23" t="s">
        <v>720</v>
      </c>
      <c r="G1" s="23" t="s">
        <v>719</v>
      </c>
      <c r="H1" s="23" t="s">
        <v>718</v>
      </c>
      <c r="I1" s="23" t="s">
        <v>717</v>
      </c>
      <c r="J1" s="23" t="s">
        <v>716</v>
      </c>
      <c r="K1" s="23" t="s">
        <v>715</v>
      </c>
      <c r="L1" s="23" t="s">
        <v>714</v>
      </c>
      <c r="M1" s="23" t="s">
        <v>687</v>
      </c>
      <c r="N1" s="23" t="s">
        <v>713</v>
      </c>
      <c r="O1" s="23" t="s">
        <v>712</v>
      </c>
      <c r="P1" s="23" t="s">
        <v>711</v>
      </c>
      <c r="Q1" s="23" t="s">
        <v>710</v>
      </c>
      <c r="R1" s="23" t="s">
        <v>709</v>
      </c>
      <c r="S1" s="23" t="s">
        <v>708</v>
      </c>
      <c r="T1" s="23" t="s">
        <v>707</v>
      </c>
      <c r="U1" s="23" t="s">
        <v>706</v>
      </c>
      <c r="V1" s="23" t="s">
        <v>705</v>
      </c>
      <c r="W1" s="23" t="s">
        <v>704</v>
      </c>
      <c r="X1" s="23" t="s">
        <v>703</v>
      </c>
      <c r="Y1" s="23" t="s">
        <v>702</v>
      </c>
      <c r="Z1" s="23" t="s">
        <v>701</v>
      </c>
      <c r="AA1" s="23" t="s">
        <v>700</v>
      </c>
      <c r="AB1" s="23" t="s">
        <v>699</v>
      </c>
      <c r="AC1" s="23" t="s">
        <v>698</v>
      </c>
      <c r="AD1" s="23" t="s">
        <v>697</v>
      </c>
      <c r="AE1" s="23" t="s">
        <v>696</v>
      </c>
      <c r="AF1" s="23" t="s">
        <v>695</v>
      </c>
      <c r="AG1" s="23" t="s">
        <v>694</v>
      </c>
      <c r="AH1" s="23" t="s">
        <v>693</v>
      </c>
      <c r="AI1" s="23" t="s">
        <v>692</v>
      </c>
      <c r="AJ1" s="23" t="s">
        <v>691</v>
      </c>
      <c r="AK1" s="23" t="s">
        <v>690</v>
      </c>
      <c r="AL1" s="23" t="s">
        <v>689</v>
      </c>
      <c r="AM1" s="23" t="s">
        <v>688</v>
      </c>
      <c r="AN1" s="23" t="s">
        <v>687</v>
      </c>
      <c r="AO1" s="23" t="s">
        <v>686</v>
      </c>
      <c r="AP1" s="23" t="s">
        <v>685</v>
      </c>
      <c r="AQ1" s="23" t="s">
        <v>684</v>
      </c>
      <c r="AR1" s="23" t="s">
        <v>683</v>
      </c>
      <c r="AV1" s="25" t="s">
        <v>1186</v>
      </c>
      <c r="AW1" s="25" t="s">
        <v>1187</v>
      </c>
      <c r="AX1" s="25" t="s">
        <v>1188</v>
      </c>
      <c r="BA1" s="24" t="s">
        <v>1189</v>
      </c>
      <c r="BB1" s="26" t="s">
        <v>1190</v>
      </c>
      <c r="BC1" s="26" t="s">
        <v>1191</v>
      </c>
      <c r="BD1" s="26" t="s">
        <v>1192</v>
      </c>
      <c r="BE1" s="26" t="s">
        <v>1193</v>
      </c>
      <c r="BF1" s="26" t="s">
        <v>1194</v>
      </c>
      <c r="BJ1" s="24" t="s">
        <v>1195</v>
      </c>
      <c r="BK1" s="24" t="s">
        <v>1196</v>
      </c>
    </row>
    <row r="2" spans="1:63" ht="15" customHeight="1" x14ac:dyDescent="0.45">
      <c r="A2" s="2" t="s">
        <v>15</v>
      </c>
      <c r="B2" s="2" t="s">
        <v>16</v>
      </c>
      <c r="C2" s="2">
        <v>2019</v>
      </c>
      <c r="D2" s="2">
        <v>8.1999999999999993</v>
      </c>
      <c r="E2" s="2">
        <v>8.8810000000000002</v>
      </c>
      <c r="F2" s="2" t="s">
        <v>146</v>
      </c>
      <c r="G2" s="2" t="s">
        <v>146</v>
      </c>
      <c r="H2" s="2" t="s">
        <v>146</v>
      </c>
      <c r="I2" s="2" t="s">
        <v>146</v>
      </c>
      <c r="J2" s="2" t="s">
        <v>146</v>
      </c>
      <c r="K2" s="2" t="s">
        <v>146</v>
      </c>
      <c r="L2" s="2" t="s">
        <v>146</v>
      </c>
      <c r="M2" s="2" t="s">
        <v>49</v>
      </c>
      <c r="N2" s="2" t="s">
        <v>146</v>
      </c>
      <c r="O2" s="2" t="s">
        <v>146</v>
      </c>
      <c r="P2" s="2" t="s">
        <v>146</v>
      </c>
      <c r="Q2" s="2" t="s">
        <v>146</v>
      </c>
      <c r="R2" s="2" t="s">
        <v>146</v>
      </c>
      <c r="S2" s="2" t="s">
        <v>146</v>
      </c>
      <c r="T2" s="2" t="s">
        <v>146</v>
      </c>
      <c r="U2" s="2">
        <v>8.4</v>
      </c>
      <c r="V2" s="2" t="s">
        <v>146</v>
      </c>
      <c r="W2" s="2" t="s">
        <v>146</v>
      </c>
      <c r="X2" s="2" t="s">
        <v>146</v>
      </c>
      <c r="Y2" s="2" t="s">
        <v>146</v>
      </c>
      <c r="Z2" s="2" t="s">
        <v>146</v>
      </c>
      <c r="AA2" s="2" t="s">
        <v>146</v>
      </c>
      <c r="AB2" s="2" t="s">
        <v>146</v>
      </c>
      <c r="AC2" s="2" t="s">
        <v>146</v>
      </c>
      <c r="AD2" s="2" t="s">
        <v>146</v>
      </c>
      <c r="AE2" s="2" t="s">
        <v>146</v>
      </c>
      <c r="AF2" s="2" t="s">
        <v>146</v>
      </c>
      <c r="AG2" s="2">
        <v>0.48099999999999998</v>
      </c>
      <c r="AH2" s="2" t="s">
        <v>146</v>
      </c>
      <c r="AI2" s="2" t="s">
        <v>146</v>
      </c>
      <c r="AJ2" s="2" t="s">
        <v>146</v>
      </c>
      <c r="AK2" s="2" t="s">
        <v>146</v>
      </c>
      <c r="AL2" s="2" t="s">
        <v>146</v>
      </c>
      <c r="AM2" s="2" t="s">
        <v>146</v>
      </c>
      <c r="AN2" s="2" t="s">
        <v>49</v>
      </c>
      <c r="AO2" s="2" t="s">
        <v>146</v>
      </c>
      <c r="AP2" s="2" t="s">
        <v>146</v>
      </c>
      <c r="AQ2" s="2" t="s">
        <v>146</v>
      </c>
      <c r="AR2" s="2" t="s">
        <v>146</v>
      </c>
      <c r="AV2" s="2">
        <f>SUMPRODUCT(F2:AC2)+SUMPRODUCT(AG2:AI2)+IFERROR(AL2/1,0)</f>
        <v>8.8810000000000002</v>
      </c>
      <c r="AW2" s="2">
        <f>IFERROR(D2/1,0)</f>
        <v>8.1999999999999993</v>
      </c>
      <c r="AX2" s="27">
        <f>IFERROR(AW2/AV2,"")</f>
        <v>0.92331944600833227</v>
      </c>
      <c r="BA2" s="2">
        <f>IFERROR(AH2/1,0)</f>
        <v>0</v>
      </c>
      <c r="BB2" s="2">
        <f>IFERROR(AO2/100,0)*$BA2</f>
        <v>0</v>
      </c>
      <c r="BC2" s="2">
        <f>IFERROR(AP2/100,0)*$BA2</f>
        <v>0</v>
      </c>
      <c r="BD2" s="2">
        <f>IFERROR(AQ2/100,0)*$BA2</f>
        <v>0</v>
      </c>
      <c r="BE2" s="2">
        <f>IFERROR(AR2/100,0)*$BA2</f>
        <v>0</v>
      </c>
      <c r="BF2" s="2">
        <f>MAX(BA2-SUM(BB2:BE2),0)</f>
        <v>0</v>
      </c>
      <c r="BJ2" s="2" t="str">
        <f>IF(AND((IFERROR(AO2/1,0)+IFERROR(AP2/1,0)+IFERROR(AQ2/1,0)+IFERROR(AR2/1,0))&gt;0,OR(TYPE(AH2)&lt;&gt;1,AH2=0)),"ja","")</f>
        <v/>
      </c>
    </row>
    <row r="3" spans="1:63" ht="15" customHeight="1" x14ac:dyDescent="0.45">
      <c r="A3" s="2" t="s">
        <v>15</v>
      </c>
      <c r="B3" s="2" t="s">
        <v>18</v>
      </c>
      <c r="C3" s="2">
        <v>2019</v>
      </c>
      <c r="D3" s="2">
        <v>16.300999999999998</v>
      </c>
      <c r="E3" s="2">
        <v>18.510999999999999</v>
      </c>
      <c r="F3" s="2" t="s">
        <v>146</v>
      </c>
      <c r="G3" s="2">
        <v>0.14899999999999999</v>
      </c>
      <c r="H3" s="2" t="s">
        <v>146</v>
      </c>
      <c r="I3" s="2" t="s">
        <v>146</v>
      </c>
      <c r="J3" s="2" t="s">
        <v>146</v>
      </c>
      <c r="K3" s="2" t="s">
        <v>146</v>
      </c>
      <c r="L3" s="2" t="s">
        <v>146</v>
      </c>
      <c r="M3" s="2" t="s">
        <v>49</v>
      </c>
      <c r="N3" s="2" t="s">
        <v>146</v>
      </c>
      <c r="O3" s="2" t="s">
        <v>146</v>
      </c>
      <c r="P3" s="2" t="s">
        <v>146</v>
      </c>
      <c r="Q3" s="2" t="s">
        <v>146</v>
      </c>
      <c r="R3" s="2" t="s">
        <v>146</v>
      </c>
      <c r="S3" s="2">
        <v>18.361999999999998</v>
      </c>
      <c r="T3" s="2" t="s">
        <v>147</v>
      </c>
      <c r="U3" s="2" t="s">
        <v>146</v>
      </c>
      <c r="V3" s="2" t="s">
        <v>146</v>
      </c>
      <c r="W3" s="2" t="s">
        <v>146</v>
      </c>
      <c r="X3" s="2" t="s">
        <v>146</v>
      </c>
      <c r="Y3" s="2" t="s">
        <v>146</v>
      </c>
      <c r="Z3" s="2" t="s">
        <v>146</v>
      </c>
      <c r="AA3" s="2" t="s">
        <v>146</v>
      </c>
      <c r="AB3" s="2" t="s">
        <v>146</v>
      </c>
      <c r="AC3" s="2" t="s">
        <v>146</v>
      </c>
      <c r="AD3" s="2" t="s">
        <v>146</v>
      </c>
      <c r="AE3" s="2" t="s">
        <v>146</v>
      </c>
      <c r="AF3" s="2" t="s">
        <v>146</v>
      </c>
      <c r="AG3" s="2" t="s">
        <v>146</v>
      </c>
      <c r="AH3" s="2" t="s">
        <v>146</v>
      </c>
      <c r="AI3" s="2" t="s">
        <v>146</v>
      </c>
      <c r="AJ3" s="2" t="s">
        <v>146</v>
      </c>
      <c r="AK3" s="2" t="s">
        <v>146</v>
      </c>
      <c r="AL3" s="2" t="s">
        <v>146</v>
      </c>
      <c r="AM3" s="2" t="s">
        <v>146</v>
      </c>
      <c r="AN3" s="2" t="s">
        <v>49</v>
      </c>
      <c r="AO3" s="2" t="s">
        <v>146</v>
      </c>
      <c r="AP3" s="2" t="s">
        <v>146</v>
      </c>
      <c r="AQ3" s="2" t="s">
        <v>146</v>
      </c>
      <c r="AR3" s="2" t="s">
        <v>146</v>
      </c>
      <c r="AV3" s="2">
        <f t="shared" ref="AV3:AV66" si="0">SUMPRODUCT(F3:AC3)+SUMPRODUCT(AG3:AI3)+IFERROR(AL3/1,0)</f>
        <v>18.510999999999999</v>
      </c>
      <c r="AW3" s="2">
        <f t="shared" ref="AW3:AW66" si="1">IFERROR(D3/1,0)</f>
        <v>16.300999999999998</v>
      </c>
      <c r="AX3" s="27">
        <f t="shared" ref="AX3:AX66" si="2">IFERROR(AW3/AV3,"")</f>
        <v>0.88061152828048184</v>
      </c>
      <c r="BA3" s="2">
        <f t="shared" ref="BA3:BA66" si="3">IFERROR(AH3/1,0)</f>
        <v>0</v>
      </c>
      <c r="BB3" s="2">
        <f t="shared" ref="BB3:BB66" si="4">IFERROR(AO3/100,0)*$BA3</f>
        <v>0</v>
      </c>
      <c r="BC3" s="2">
        <f t="shared" ref="BC3:BC66" si="5">IFERROR(AP3/100,0)*$BA3</f>
        <v>0</v>
      </c>
      <c r="BD3" s="2">
        <f t="shared" ref="BD3:BD66" si="6">IFERROR(AQ3/100,0)*$BA3</f>
        <v>0</v>
      </c>
      <c r="BE3" s="2">
        <f t="shared" ref="BE3:BE66" si="7">IFERROR(AR3/100,0)*$BA3</f>
        <v>0</v>
      </c>
      <c r="BF3" s="2">
        <f t="shared" ref="BF3:BF66" si="8">MAX(BA3-SUM(BB3:BE3),0)</f>
        <v>0</v>
      </c>
      <c r="BJ3" s="2" t="str">
        <f t="shared" ref="BJ3:BJ66" si="9">IF(AND((IFERROR(AO3/1,0)+IFERROR(AP3/1,0)+IFERROR(AQ3/1,0)+IFERROR(AR3/1,0))&gt;0,OR(TYPE(AH3)&lt;&gt;1,AH3=0)),"ja","")</f>
        <v/>
      </c>
    </row>
    <row r="4" spans="1:63" ht="15" customHeight="1" x14ac:dyDescent="0.45">
      <c r="A4" s="2" t="s">
        <v>15</v>
      </c>
      <c r="B4" s="2" t="s">
        <v>20</v>
      </c>
      <c r="C4" s="2">
        <v>2019</v>
      </c>
      <c r="D4" s="2">
        <v>129.262</v>
      </c>
      <c r="E4" s="2">
        <v>120.062</v>
      </c>
      <c r="F4" s="2" t="s">
        <v>146</v>
      </c>
      <c r="G4" s="2">
        <v>0.97499999999999998</v>
      </c>
      <c r="H4" s="2" t="s">
        <v>146</v>
      </c>
      <c r="I4" s="2" t="s">
        <v>146</v>
      </c>
      <c r="J4" s="2" t="s">
        <v>146</v>
      </c>
      <c r="K4" s="2" t="s">
        <v>146</v>
      </c>
      <c r="L4" s="2" t="s">
        <v>146</v>
      </c>
      <c r="M4" s="2" t="s">
        <v>49</v>
      </c>
      <c r="N4" s="2" t="s">
        <v>146</v>
      </c>
      <c r="O4" s="2" t="s">
        <v>146</v>
      </c>
      <c r="P4" s="2" t="s">
        <v>146</v>
      </c>
      <c r="Q4" s="2" t="s">
        <v>146</v>
      </c>
      <c r="R4" s="2" t="s">
        <v>146</v>
      </c>
      <c r="S4" s="2">
        <v>43.963999999999999</v>
      </c>
      <c r="T4" s="2" t="s">
        <v>146</v>
      </c>
      <c r="U4" s="2" t="s">
        <v>146</v>
      </c>
      <c r="V4" s="2" t="s">
        <v>146</v>
      </c>
      <c r="W4" s="2" t="s">
        <v>146</v>
      </c>
      <c r="X4" s="2" t="s">
        <v>146</v>
      </c>
      <c r="Y4" s="2" t="s">
        <v>146</v>
      </c>
      <c r="Z4" s="2" t="s">
        <v>146</v>
      </c>
      <c r="AA4" s="2" t="s">
        <v>146</v>
      </c>
      <c r="AB4" s="2" t="s">
        <v>146</v>
      </c>
      <c r="AC4" s="2">
        <v>68.287000000000006</v>
      </c>
      <c r="AD4" s="2">
        <v>0.29849999999999999</v>
      </c>
      <c r="AE4" s="2" t="s">
        <v>160</v>
      </c>
      <c r="AF4" s="2">
        <v>37.299999999999997</v>
      </c>
      <c r="AG4" s="2" t="s">
        <v>146</v>
      </c>
      <c r="AH4" s="2">
        <v>6.8360000000000003</v>
      </c>
      <c r="AI4" s="2" t="s">
        <v>146</v>
      </c>
      <c r="AJ4" s="2" t="s">
        <v>146</v>
      </c>
      <c r="AK4" s="2" t="s">
        <v>146</v>
      </c>
      <c r="AL4" s="2" t="s">
        <v>146</v>
      </c>
      <c r="AM4" s="2" t="s">
        <v>146</v>
      </c>
      <c r="AN4" s="2" t="s">
        <v>49</v>
      </c>
      <c r="AO4" s="2">
        <v>100</v>
      </c>
      <c r="AP4" s="2" t="s">
        <v>146</v>
      </c>
      <c r="AQ4" s="2" t="s">
        <v>146</v>
      </c>
      <c r="AR4" s="2" t="s">
        <v>146</v>
      </c>
      <c r="AV4" s="2">
        <f t="shared" si="0"/>
        <v>120.062</v>
      </c>
      <c r="AW4" s="2">
        <f t="shared" si="1"/>
        <v>129.262</v>
      </c>
      <c r="AX4" s="27">
        <f t="shared" si="2"/>
        <v>1.0766270760107277</v>
      </c>
      <c r="BA4" s="2">
        <f t="shared" si="3"/>
        <v>6.8360000000000003</v>
      </c>
      <c r="BB4" s="2">
        <f t="shared" si="4"/>
        <v>6.8360000000000003</v>
      </c>
      <c r="BC4" s="2">
        <f t="shared" si="5"/>
        <v>0</v>
      </c>
      <c r="BD4" s="2">
        <f t="shared" si="6"/>
        <v>0</v>
      </c>
      <c r="BE4" s="2">
        <f t="shared" si="7"/>
        <v>0</v>
      </c>
      <c r="BF4" s="2">
        <f t="shared" si="8"/>
        <v>0</v>
      </c>
      <c r="BJ4" s="2" t="str">
        <f t="shared" si="9"/>
        <v/>
      </c>
    </row>
    <row r="5" spans="1:63" ht="15" customHeight="1" x14ac:dyDescent="0.45">
      <c r="A5" s="2" t="s">
        <v>15</v>
      </c>
      <c r="B5" s="2" t="s">
        <v>22</v>
      </c>
      <c r="C5" s="2">
        <v>2019</v>
      </c>
      <c r="D5" s="2">
        <v>28.6</v>
      </c>
      <c r="E5" s="2">
        <v>32.479999999999997</v>
      </c>
      <c r="F5" s="2" t="s">
        <v>146</v>
      </c>
      <c r="G5" s="2">
        <v>5.3999999999999999E-2</v>
      </c>
      <c r="H5" s="2" t="s">
        <v>146</v>
      </c>
      <c r="I5" s="2" t="s">
        <v>146</v>
      </c>
      <c r="J5" s="2" t="s">
        <v>146</v>
      </c>
      <c r="K5" s="2" t="s">
        <v>146</v>
      </c>
      <c r="L5" s="2" t="s">
        <v>146</v>
      </c>
      <c r="M5" s="2" t="s">
        <v>49</v>
      </c>
      <c r="N5" s="2" t="s">
        <v>146</v>
      </c>
      <c r="O5" s="2" t="s">
        <v>146</v>
      </c>
      <c r="P5" s="2" t="s">
        <v>146</v>
      </c>
      <c r="Q5" s="2" t="s">
        <v>146</v>
      </c>
      <c r="R5" s="2" t="s">
        <v>146</v>
      </c>
      <c r="S5" s="2">
        <v>29.126000000000001</v>
      </c>
      <c r="T5" s="2" t="s">
        <v>147</v>
      </c>
      <c r="U5" s="2" t="s">
        <v>146</v>
      </c>
      <c r="V5" s="2" t="s">
        <v>146</v>
      </c>
      <c r="W5" s="2" t="s">
        <v>146</v>
      </c>
      <c r="X5" s="2" t="s">
        <v>146</v>
      </c>
      <c r="Y5" s="2" t="s">
        <v>146</v>
      </c>
      <c r="Z5" s="2" t="s">
        <v>146</v>
      </c>
      <c r="AA5" s="2" t="s">
        <v>146</v>
      </c>
      <c r="AB5" s="2" t="s">
        <v>146</v>
      </c>
      <c r="AC5" s="2" t="s">
        <v>146</v>
      </c>
      <c r="AD5" s="2" t="s">
        <v>146</v>
      </c>
      <c r="AE5" s="2" t="s">
        <v>146</v>
      </c>
      <c r="AF5" s="2" t="s">
        <v>146</v>
      </c>
      <c r="AG5" s="2" t="s">
        <v>146</v>
      </c>
      <c r="AH5" s="2">
        <v>3.3</v>
      </c>
      <c r="AI5" s="2" t="s">
        <v>146</v>
      </c>
      <c r="AJ5" s="2" t="s">
        <v>146</v>
      </c>
      <c r="AK5" s="2" t="s">
        <v>146</v>
      </c>
      <c r="AL5" s="2" t="s">
        <v>146</v>
      </c>
      <c r="AM5" s="2" t="s">
        <v>146</v>
      </c>
      <c r="AN5" s="2" t="s">
        <v>49</v>
      </c>
      <c r="AO5" s="2">
        <v>100</v>
      </c>
      <c r="AP5" s="2" t="s">
        <v>146</v>
      </c>
      <c r="AQ5" s="2" t="s">
        <v>146</v>
      </c>
      <c r="AR5" s="2" t="s">
        <v>146</v>
      </c>
      <c r="AV5" s="2">
        <f t="shared" si="0"/>
        <v>32.479999999999997</v>
      </c>
      <c r="AW5" s="2">
        <f t="shared" si="1"/>
        <v>28.6</v>
      </c>
      <c r="AX5" s="27">
        <f t="shared" si="2"/>
        <v>0.88054187192118238</v>
      </c>
      <c r="BA5" s="2">
        <f t="shared" si="3"/>
        <v>3.3</v>
      </c>
      <c r="BB5" s="2">
        <f t="shared" si="4"/>
        <v>3.3</v>
      </c>
      <c r="BC5" s="2">
        <f t="shared" si="5"/>
        <v>0</v>
      </c>
      <c r="BD5" s="2">
        <f t="shared" si="6"/>
        <v>0</v>
      </c>
      <c r="BE5" s="2">
        <f t="shared" si="7"/>
        <v>0</v>
      </c>
      <c r="BF5" s="2">
        <f t="shared" si="8"/>
        <v>0</v>
      </c>
      <c r="BJ5" s="2" t="str">
        <f t="shared" si="9"/>
        <v/>
      </c>
    </row>
    <row r="6" spans="1:63" ht="15" customHeight="1" x14ac:dyDescent="0.45">
      <c r="A6" s="2" t="s">
        <v>15</v>
      </c>
      <c r="B6" s="2" t="s">
        <v>24</v>
      </c>
      <c r="C6" s="2">
        <v>2019</v>
      </c>
      <c r="D6" s="2">
        <v>75.84</v>
      </c>
      <c r="E6" s="2">
        <v>76.03</v>
      </c>
      <c r="F6" s="2" t="s">
        <v>146</v>
      </c>
      <c r="G6" s="2">
        <v>1.252</v>
      </c>
      <c r="H6" s="2" t="s">
        <v>146</v>
      </c>
      <c r="I6" s="2" t="s">
        <v>146</v>
      </c>
      <c r="J6" s="2" t="s">
        <v>146</v>
      </c>
      <c r="K6" s="2" t="s">
        <v>146</v>
      </c>
      <c r="L6" s="2" t="s">
        <v>146</v>
      </c>
      <c r="M6" s="2" t="s">
        <v>49</v>
      </c>
      <c r="N6" s="2" t="s">
        <v>146</v>
      </c>
      <c r="O6" s="2" t="s">
        <v>146</v>
      </c>
      <c r="P6" s="2" t="s">
        <v>146</v>
      </c>
      <c r="Q6" s="2" t="s">
        <v>146</v>
      </c>
      <c r="R6" s="2" t="s">
        <v>146</v>
      </c>
      <c r="S6" s="2">
        <v>65.849000000000004</v>
      </c>
      <c r="T6" s="2" t="s">
        <v>147</v>
      </c>
      <c r="U6" s="2" t="s">
        <v>146</v>
      </c>
      <c r="V6" s="2" t="s">
        <v>146</v>
      </c>
      <c r="W6" s="2" t="s">
        <v>146</v>
      </c>
      <c r="X6" s="2" t="s">
        <v>146</v>
      </c>
      <c r="Y6" s="2" t="s">
        <v>146</v>
      </c>
      <c r="Z6" s="2" t="s">
        <v>146</v>
      </c>
      <c r="AA6" s="2" t="s">
        <v>146</v>
      </c>
      <c r="AB6" s="2" t="s">
        <v>146</v>
      </c>
      <c r="AC6" s="2" t="s">
        <v>146</v>
      </c>
      <c r="AD6" s="2" t="s">
        <v>146</v>
      </c>
      <c r="AE6" s="2" t="s">
        <v>146</v>
      </c>
      <c r="AF6" s="2" t="s">
        <v>146</v>
      </c>
      <c r="AG6" s="2" t="s">
        <v>146</v>
      </c>
      <c r="AH6" s="2">
        <v>8.9290000000000003</v>
      </c>
      <c r="AI6" s="2" t="s">
        <v>146</v>
      </c>
      <c r="AJ6" s="2" t="s">
        <v>146</v>
      </c>
      <c r="AK6" s="2" t="s">
        <v>146</v>
      </c>
      <c r="AL6" s="2" t="s">
        <v>146</v>
      </c>
      <c r="AM6" s="2" t="s">
        <v>146</v>
      </c>
      <c r="AN6" s="2" t="s">
        <v>49</v>
      </c>
      <c r="AO6" s="2">
        <v>100</v>
      </c>
      <c r="AP6" s="2" t="s">
        <v>146</v>
      </c>
      <c r="AQ6" s="2" t="s">
        <v>146</v>
      </c>
      <c r="AR6" s="2" t="s">
        <v>146</v>
      </c>
      <c r="AV6" s="2">
        <f t="shared" si="0"/>
        <v>76.03</v>
      </c>
      <c r="AW6" s="2">
        <f t="shared" si="1"/>
        <v>75.84</v>
      </c>
      <c r="AX6" s="27">
        <f t="shared" si="2"/>
        <v>0.99750098645271601</v>
      </c>
      <c r="BA6" s="2">
        <f t="shared" si="3"/>
        <v>8.9290000000000003</v>
      </c>
      <c r="BB6" s="2">
        <f t="shared" si="4"/>
        <v>8.9290000000000003</v>
      </c>
      <c r="BC6" s="2">
        <f t="shared" si="5"/>
        <v>0</v>
      </c>
      <c r="BD6" s="2">
        <f t="shared" si="6"/>
        <v>0</v>
      </c>
      <c r="BE6" s="2">
        <f t="shared" si="7"/>
        <v>0</v>
      </c>
      <c r="BF6" s="2">
        <f t="shared" si="8"/>
        <v>0</v>
      </c>
      <c r="BJ6" s="2" t="str">
        <f t="shared" si="9"/>
        <v/>
      </c>
    </row>
    <row r="7" spans="1:63" ht="15" customHeight="1" x14ac:dyDescent="0.45">
      <c r="A7" s="2" t="s">
        <v>15</v>
      </c>
      <c r="B7" s="2" t="s">
        <v>26</v>
      </c>
      <c r="C7" s="2">
        <v>2019</v>
      </c>
      <c r="D7" s="2">
        <v>29.574999999999999</v>
      </c>
      <c r="E7" s="2">
        <v>32.582999999999998</v>
      </c>
      <c r="F7" s="2" t="s">
        <v>146</v>
      </c>
      <c r="G7" s="2" t="s">
        <v>146</v>
      </c>
      <c r="H7" s="2" t="s">
        <v>146</v>
      </c>
      <c r="I7" s="2" t="s">
        <v>146</v>
      </c>
      <c r="J7" s="2" t="s">
        <v>146</v>
      </c>
      <c r="K7" s="2" t="s">
        <v>146</v>
      </c>
      <c r="L7" s="2" t="s">
        <v>146</v>
      </c>
      <c r="M7" s="2" t="s">
        <v>49</v>
      </c>
      <c r="N7" s="2" t="s">
        <v>146</v>
      </c>
      <c r="O7" s="2" t="s">
        <v>146</v>
      </c>
      <c r="P7" s="2" t="s">
        <v>146</v>
      </c>
      <c r="Q7" s="2" t="s">
        <v>146</v>
      </c>
      <c r="R7" s="2" t="s">
        <v>146</v>
      </c>
      <c r="S7" s="2">
        <v>27.614999999999998</v>
      </c>
      <c r="T7" s="2" t="s">
        <v>146</v>
      </c>
      <c r="U7" s="2" t="s">
        <v>146</v>
      </c>
      <c r="V7" s="2" t="s">
        <v>146</v>
      </c>
      <c r="W7" s="2" t="s">
        <v>146</v>
      </c>
      <c r="X7" s="2" t="s">
        <v>146</v>
      </c>
      <c r="Y7" s="2" t="s">
        <v>146</v>
      </c>
      <c r="Z7" s="2" t="s">
        <v>146</v>
      </c>
      <c r="AA7" s="2" t="s">
        <v>146</v>
      </c>
      <c r="AB7" s="2" t="s">
        <v>146</v>
      </c>
      <c r="AC7" s="2" t="s">
        <v>146</v>
      </c>
      <c r="AD7" s="2" t="s">
        <v>146</v>
      </c>
      <c r="AE7" s="2" t="s">
        <v>146</v>
      </c>
      <c r="AF7" s="2" t="s">
        <v>146</v>
      </c>
      <c r="AG7" s="2">
        <v>1.2</v>
      </c>
      <c r="AH7" s="2">
        <v>3.7679999999999998</v>
      </c>
      <c r="AI7" s="2" t="s">
        <v>146</v>
      </c>
      <c r="AJ7" s="2" t="s">
        <v>146</v>
      </c>
      <c r="AK7" s="2" t="s">
        <v>146</v>
      </c>
      <c r="AL7" s="2" t="s">
        <v>146</v>
      </c>
      <c r="AM7" s="2" t="s">
        <v>146</v>
      </c>
      <c r="AN7" s="2" t="s">
        <v>49</v>
      </c>
      <c r="AO7" s="2">
        <v>100</v>
      </c>
      <c r="AP7" s="2" t="s">
        <v>146</v>
      </c>
      <c r="AQ7" s="2" t="s">
        <v>146</v>
      </c>
      <c r="AR7" s="2" t="s">
        <v>146</v>
      </c>
      <c r="AV7" s="2">
        <f t="shared" si="0"/>
        <v>32.582999999999998</v>
      </c>
      <c r="AW7" s="2">
        <f t="shared" si="1"/>
        <v>29.574999999999999</v>
      </c>
      <c r="AX7" s="27">
        <f t="shared" si="2"/>
        <v>0.90768192001964221</v>
      </c>
      <c r="BA7" s="2">
        <f t="shared" si="3"/>
        <v>3.7679999999999998</v>
      </c>
      <c r="BB7" s="2">
        <f t="shared" si="4"/>
        <v>3.7679999999999998</v>
      </c>
      <c r="BC7" s="2">
        <f t="shared" si="5"/>
        <v>0</v>
      </c>
      <c r="BD7" s="2">
        <f t="shared" si="6"/>
        <v>0</v>
      </c>
      <c r="BE7" s="2">
        <f t="shared" si="7"/>
        <v>0</v>
      </c>
      <c r="BF7" s="2">
        <f t="shared" si="8"/>
        <v>0</v>
      </c>
      <c r="BJ7" s="2" t="str">
        <f t="shared" si="9"/>
        <v/>
      </c>
    </row>
    <row r="8" spans="1:63" ht="15" customHeight="1" x14ac:dyDescent="0.45">
      <c r="A8" s="2" t="s">
        <v>15</v>
      </c>
      <c r="B8" s="2" t="s">
        <v>28</v>
      </c>
      <c r="C8" s="2">
        <v>2019</v>
      </c>
      <c r="D8" s="2">
        <v>10.7</v>
      </c>
      <c r="E8" s="2">
        <v>14.641</v>
      </c>
      <c r="F8" s="2" t="s">
        <v>146</v>
      </c>
      <c r="G8" s="2">
        <v>2.7690000000000001</v>
      </c>
      <c r="H8" s="2" t="s">
        <v>146</v>
      </c>
      <c r="I8" s="2" t="s">
        <v>146</v>
      </c>
      <c r="J8" s="2" t="s">
        <v>146</v>
      </c>
      <c r="K8" s="2" t="s">
        <v>146</v>
      </c>
      <c r="L8" s="2" t="s">
        <v>146</v>
      </c>
      <c r="M8" s="2" t="s">
        <v>49</v>
      </c>
      <c r="N8" s="2" t="s">
        <v>146</v>
      </c>
      <c r="O8" s="2" t="s">
        <v>146</v>
      </c>
      <c r="P8" s="2" t="s">
        <v>146</v>
      </c>
      <c r="Q8" s="2" t="s">
        <v>146</v>
      </c>
      <c r="R8" s="2" t="s">
        <v>146</v>
      </c>
      <c r="S8" s="2" t="s">
        <v>146</v>
      </c>
      <c r="T8" s="2" t="s">
        <v>146</v>
      </c>
      <c r="U8" s="2">
        <v>11.872</v>
      </c>
      <c r="V8" s="2" t="s">
        <v>146</v>
      </c>
      <c r="W8" s="2" t="s">
        <v>146</v>
      </c>
      <c r="X8" s="2" t="s">
        <v>146</v>
      </c>
      <c r="Y8" s="2" t="s">
        <v>146</v>
      </c>
      <c r="Z8" s="2" t="s">
        <v>146</v>
      </c>
      <c r="AA8" s="2" t="s">
        <v>146</v>
      </c>
      <c r="AB8" s="2" t="s">
        <v>146</v>
      </c>
      <c r="AC8" s="2" t="s">
        <v>146</v>
      </c>
      <c r="AD8" s="2" t="s">
        <v>146</v>
      </c>
      <c r="AE8" s="2" t="s">
        <v>146</v>
      </c>
      <c r="AF8" s="2" t="s">
        <v>146</v>
      </c>
      <c r="AG8" s="2" t="s">
        <v>146</v>
      </c>
      <c r="AH8" s="2" t="s">
        <v>146</v>
      </c>
      <c r="AI8" s="2" t="s">
        <v>146</v>
      </c>
      <c r="AJ8" s="2" t="s">
        <v>146</v>
      </c>
      <c r="AK8" s="2" t="s">
        <v>146</v>
      </c>
      <c r="AL8" s="2" t="s">
        <v>146</v>
      </c>
      <c r="AM8" s="2" t="s">
        <v>146</v>
      </c>
      <c r="AN8" s="2" t="s">
        <v>49</v>
      </c>
      <c r="AO8" s="2" t="s">
        <v>146</v>
      </c>
      <c r="AP8" s="2" t="s">
        <v>146</v>
      </c>
      <c r="AQ8" s="2" t="s">
        <v>146</v>
      </c>
      <c r="AR8" s="2" t="s">
        <v>146</v>
      </c>
      <c r="AV8" s="2">
        <f t="shared" si="0"/>
        <v>14.641</v>
      </c>
      <c r="AW8" s="2">
        <f t="shared" si="1"/>
        <v>10.7</v>
      </c>
      <c r="AX8" s="27">
        <f t="shared" si="2"/>
        <v>0.73082439724062565</v>
      </c>
      <c r="BA8" s="2">
        <f t="shared" si="3"/>
        <v>0</v>
      </c>
      <c r="BB8" s="2">
        <f t="shared" si="4"/>
        <v>0</v>
      </c>
      <c r="BC8" s="2">
        <f t="shared" si="5"/>
        <v>0</v>
      </c>
      <c r="BD8" s="2">
        <f t="shared" si="6"/>
        <v>0</v>
      </c>
      <c r="BE8" s="2">
        <f t="shared" si="7"/>
        <v>0</v>
      </c>
      <c r="BF8" s="2">
        <f t="shared" si="8"/>
        <v>0</v>
      </c>
      <c r="BJ8" s="2" t="str">
        <f t="shared" si="9"/>
        <v/>
      </c>
    </row>
    <row r="9" spans="1:63" ht="15" customHeight="1" x14ac:dyDescent="0.45">
      <c r="A9" s="2" t="s">
        <v>15</v>
      </c>
      <c r="B9" s="2" t="s">
        <v>30</v>
      </c>
      <c r="C9" s="2">
        <v>2019</v>
      </c>
      <c r="D9" s="2">
        <v>25.968</v>
      </c>
      <c r="E9" s="2">
        <v>31.279</v>
      </c>
      <c r="F9" s="2" t="s">
        <v>146</v>
      </c>
      <c r="G9" s="2">
        <v>0.27800000000000002</v>
      </c>
      <c r="H9" s="2" t="s">
        <v>146</v>
      </c>
      <c r="I9" s="2" t="s">
        <v>146</v>
      </c>
      <c r="J9" s="2" t="s">
        <v>146</v>
      </c>
      <c r="K9" s="2" t="s">
        <v>146</v>
      </c>
      <c r="L9" s="2" t="s">
        <v>146</v>
      </c>
      <c r="M9" s="2" t="s">
        <v>49</v>
      </c>
      <c r="N9" s="2" t="s">
        <v>146</v>
      </c>
      <c r="O9" s="2" t="s">
        <v>146</v>
      </c>
      <c r="P9" s="2" t="s">
        <v>146</v>
      </c>
      <c r="Q9" s="2" t="s">
        <v>146</v>
      </c>
      <c r="R9" s="2" t="s">
        <v>146</v>
      </c>
      <c r="S9" s="2">
        <v>27.106000000000002</v>
      </c>
      <c r="T9" s="2" t="s">
        <v>146</v>
      </c>
      <c r="U9" s="2" t="s">
        <v>146</v>
      </c>
      <c r="V9" s="2" t="s">
        <v>146</v>
      </c>
      <c r="W9" s="2" t="s">
        <v>146</v>
      </c>
      <c r="X9" s="2" t="s">
        <v>146</v>
      </c>
      <c r="Y9" s="2" t="s">
        <v>146</v>
      </c>
      <c r="Z9" s="2">
        <v>1.119</v>
      </c>
      <c r="AA9" s="2" t="s">
        <v>146</v>
      </c>
      <c r="AB9" s="2" t="s">
        <v>146</v>
      </c>
      <c r="AC9" s="2" t="s">
        <v>146</v>
      </c>
      <c r="AD9" s="2" t="s">
        <v>146</v>
      </c>
      <c r="AE9" s="2" t="s">
        <v>146</v>
      </c>
      <c r="AF9" s="2" t="s">
        <v>146</v>
      </c>
      <c r="AG9" s="2" t="s">
        <v>146</v>
      </c>
      <c r="AH9" s="2">
        <v>2.7759999999999998</v>
      </c>
      <c r="AI9" s="2" t="s">
        <v>146</v>
      </c>
      <c r="AJ9" s="2" t="s">
        <v>146</v>
      </c>
      <c r="AK9" s="2" t="s">
        <v>146</v>
      </c>
      <c r="AL9" s="2" t="s">
        <v>146</v>
      </c>
      <c r="AM9" s="2" t="s">
        <v>146</v>
      </c>
      <c r="AN9" s="2" t="s">
        <v>49</v>
      </c>
      <c r="AO9" s="2">
        <v>100</v>
      </c>
      <c r="AP9" s="2" t="s">
        <v>146</v>
      </c>
      <c r="AQ9" s="2" t="s">
        <v>146</v>
      </c>
      <c r="AR9" s="2" t="s">
        <v>146</v>
      </c>
      <c r="AV9" s="2">
        <f t="shared" si="0"/>
        <v>31.279</v>
      </c>
      <c r="AW9" s="2">
        <f t="shared" si="1"/>
        <v>25.968</v>
      </c>
      <c r="AX9" s="27">
        <f t="shared" si="2"/>
        <v>0.83020556923175293</v>
      </c>
      <c r="BA9" s="2">
        <f t="shared" si="3"/>
        <v>2.7759999999999998</v>
      </c>
      <c r="BB9" s="2">
        <f t="shared" si="4"/>
        <v>2.7759999999999998</v>
      </c>
      <c r="BC9" s="2">
        <f t="shared" si="5"/>
        <v>0</v>
      </c>
      <c r="BD9" s="2">
        <f t="shared" si="6"/>
        <v>0</v>
      </c>
      <c r="BE9" s="2">
        <f t="shared" si="7"/>
        <v>0</v>
      </c>
      <c r="BF9" s="2">
        <f t="shared" si="8"/>
        <v>0</v>
      </c>
      <c r="BJ9" s="2" t="str">
        <f t="shared" si="9"/>
        <v/>
      </c>
    </row>
    <row r="10" spans="1:63" ht="15" customHeight="1" x14ac:dyDescent="0.45">
      <c r="A10" s="2" t="s">
        <v>15</v>
      </c>
      <c r="B10" s="2" t="s">
        <v>32</v>
      </c>
      <c r="C10" s="2">
        <v>2019</v>
      </c>
      <c r="D10" s="2">
        <v>86.677999999999997</v>
      </c>
      <c r="E10" s="2">
        <v>82.058000000000007</v>
      </c>
      <c r="F10" s="2" t="s">
        <v>146</v>
      </c>
      <c r="G10" s="2">
        <v>0.03</v>
      </c>
      <c r="H10" s="2" t="s">
        <v>146</v>
      </c>
      <c r="I10" s="2" t="s">
        <v>146</v>
      </c>
      <c r="J10" s="2" t="s">
        <v>146</v>
      </c>
      <c r="K10" s="2" t="s">
        <v>146</v>
      </c>
      <c r="L10" s="2">
        <v>0.04</v>
      </c>
      <c r="M10" s="2" t="s">
        <v>682</v>
      </c>
      <c r="N10" s="2" t="s">
        <v>146</v>
      </c>
      <c r="O10" s="2" t="s">
        <v>146</v>
      </c>
      <c r="P10" s="2" t="s">
        <v>146</v>
      </c>
      <c r="Q10" s="2" t="s">
        <v>146</v>
      </c>
      <c r="R10" s="2" t="s">
        <v>146</v>
      </c>
      <c r="S10" s="2">
        <v>59.941000000000003</v>
      </c>
      <c r="T10" s="2" t="s">
        <v>147</v>
      </c>
      <c r="U10" s="2" t="s">
        <v>146</v>
      </c>
      <c r="V10" s="2">
        <v>6.343</v>
      </c>
      <c r="W10" s="2" t="s">
        <v>146</v>
      </c>
      <c r="X10" s="2" t="s">
        <v>146</v>
      </c>
      <c r="Y10" s="2" t="s">
        <v>146</v>
      </c>
      <c r="Z10" s="2">
        <v>1.5349999999999999</v>
      </c>
      <c r="AA10" s="2" t="s">
        <v>146</v>
      </c>
      <c r="AB10" s="2" t="s">
        <v>146</v>
      </c>
      <c r="AC10" s="2" t="s">
        <v>146</v>
      </c>
      <c r="AD10" s="2" t="s">
        <v>146</v>
      </c>
      <c r="AE10" s="2" t="s">
        <v>146</v>
      </c>
      <c r="AF10" s="2" t="s">
        <v>146</v>
      </c>
      <c r="AG10" s="2">
        <v>0.314</v>
      </c>
      <c r="AH10" s="2">
        <v>13.855</v>
      </c>
      <c r="AI10" s="2" t="s">
        <v>146</v>
      </c>
      <c r="AJ10" s="2" t="s">
        <v>146</v>
      </c>
      <c r="AK10" s="2" t="s">
        <v>146</v>
      </c>
      <c r="AL10" s="2" t="s">
        <v>146</v>
      </c>
      <c r="AM10" s="2" t="s">
        <v>146</v>
      </c>
      <c r="AN10" s="2" t="s">
        <v>49</v>
      </c>
      <c r="AO10" s="2">
        <v>100</v>
      </c>
      <c r="AP10" s="2" t="s">
        <v>146</v>
      </c>
      <c r="AQ10" s="2" t="s">
        <v>146</v>
      </c>
      <c r="AR10" s="2" t="s">
        <v>146</v>
      </c>
      <c r="AV10" s="2">
        <f t="shared" si="0"/>
        <v>82.057999999999993</v>
      </c>
      <c r="AW10" s="2">
        <f t="shared" si="1"/>
        <v>86.677999999999997</v>
      </c>
      <c r="AX10" s="27">
        <f t="shared" si="2"/>
        <v>1.0563016403032002</v>
      </c>
      <c r="BA10" s="2">
        <f t="shared" si="3"/>
        <v>13.855</v>
      </c>
      <c r="BB10" s="2">
        <f t="shared" si="4"/>
        <v>13.855</v>
      </c>
      <c r="BC10" s="2">
        <f t="shared" si="5"/>
        <v>0</v>
      </c>
      <c r="BD10" s="2">
        <f t="shared" si="6"/>
        <v>0</v>
      </c>
      <c r="BE10" s="2">
        <f t="shared" si="7"/>
        <v>0</v>
      </c>
      <c r="BF10" s="2">
        <f t="shared" si="8"/>
        <v>0</v>
      </c>
      <c r="BJ10" s="2" t="str">
        <f t="shared" si="9"/>
        <v/>
      </c>
    </row>
    <row r="11" spans="1:63" ht="15" customHeight="1" x14ac:dyDescent="0.45">
      <c r="A11" s="2" t="s">
        <v>672</v>
      </c>
      <c r="B11" s="2" t="s">
        <v>681</v>
      </c>
      <c r="C11" s="2">
        <v>2019</v>
      </c>
      <c r="D11" s="2" t="s">
        <v>146</v>
      </c>
      <c r="E11" s="2" t="s">
        <v>146</v>
      </c>
      <c r="F11" s="2" t="s">
        <v>146</v>
      </c>
      <c r="G11" s="2" t="s">
        <v>146</v>
      </c>
      <c r="H11" s="2" t="s">
        <v>146</v>
      </c>
      <c r="I11" s="2" t="s">
        <v>146</v>
      </c>
      <c r="J11" s="2" t="s">
        <v>146</v>
      </c>
      <c r="K11" s="2" t="s">
        <v>146</v>
      </c>
      <c r="L11" s="2" t="s">
        <v>146</v>
      </c>
      <c r="M11" s="2" t="s">
        <v>49</v>
      </c>
      <c r="N11" s="2" t="s">
        <v>146</v>
      </c>
      <c r="O11" s="2" t="s">
        <v>146</v>
      </c>
      <c r="P11" s="2" t="s">
        <v>146</v>
      </c>
      <c r="Q11" s="2" t="s">
        <v>146</v>
      </c>
      <c r="R11" s="2" t="s">
        <v>146</v>
      </c>
      <c r="S11" s="2" t="s">
        <v>146</v>
      </c>
      <c r="T11" s="2" t="s">
        <v>146</v>
      </c>
      <c r="U11" s="2" t="s">
        <v>146</v>
      </c>
      <c r="V11" s="2" t="s">
        <v>146</v>
      </c>
      <c r="W11" s="2" t="s">
        <v>146</v>
      </c>
      <c r="X11" s="2" t="s">
        <v>146</v>
      </c>
      <c r="Y11" s="2" t="s">
        <v>146</v>
      </c>
      <c r="Z11" s="2" t="s">
        <v>146</v>
      </c>
      <c r="AA11" s="2" t="s">
        <v>146</v>
      </c>
      <c r="AB11" s="2" t="s">
        <v>146</v>
      </c>
      <c r="AC11" s="2" t="s">
        <v>146</v>
      </c>
      <c r="AD11" s="2" t="s">
        <v>146</v>
      </c>
      <c r="AE11" s="2" t="s">
        <v>146</v>
      </c>
      <c r="AF11" s="2" t="s">
        <v>146</v>
      </c>
      <c r="AG11" s="2" t="s">
        <v>146</v>
      </c>
      <c r="AH11" s="2" t="s">
        <v>146</v>
      </c>
      <c r="AI11" s="2" t="s">
        <v>146</v>
      </c>
      <c r="AJ11" s="2" t="s">
        <v>146</v>
      </c>
      <c r="AK11" s="2" t="s">
        <v>146</v>
      </c>
      <c r="AL11" s="2" t="s">
        <v>146</v>
      </c>
      <c r="AM11" s="2" t="s">
        <v>146</v>
      </c>
      <c r="AN11" s="2" t="s">
        <v>49</v>
      </c>
      <c r="AO11" s="2" t="s">
        <v>146</v>
      </c>
      <c r="AP11" s="2" t="s">
        <v>146</v>
      </c>
      <c r="AQ11" s="2" t="s">
        <v>146</v>
      </c>
      <c r="AR11" s="2" t="s">
        <v>146</v>
      </c>
      <c r="AV11" s="2">
        <f t="shared" si="0"/>
        <v>0</v>
      </c>
      <c r="AW11" s="2">
        <f t="shared" si="1"/>
        <v>0</v>
      </c>
      <c r="AX11" s="27" t="str">
        <f t="shared" si="2"/>
        <v/>
      </c>
      <c r="BA11" s="2">
        <f t="shared" si="3"/>
        <v>0</v>
      </c>
      <c r="BB11" s="2">
        <f t="shared" si="4"/>
        <v>0</v>
      </c>
      <c r="BC11" s="2">
        <f t="shared" si="5"/>
        <v>0</v>
      </c>
      <c r="BD11" s="2">
        <f t="shared" si="6"/>
        <v>0</v>
      </c>
      <c r="BE11" s="2">
        <f t="shared" si="7"/>
        <v>0</v>
      </c>
      <c r="BF11" s="2">
        <f t="shared" si="8"/>
        <v>0</v>
      </c>
      <c r="BJ11" s="2" t="str">
        <f t="shared" si="9"/>
        <v/>
      </c>
    </row>
    <row r="12" spans="1:63" ht="15" customHeight="1" x14ac:dyDescent="0.45">
      <c r="A12" s="2" t="s">
        <v>672</v>
      </c>
      <c r="B12" s="2" t="s">
        <v>680</v>
      </c>
      <c r="C12" s="2">
        <v>2019</v>
      </c>
      <c r="D12" s="2">
        <v>16.722000000000001</v>
      </c>
      <c r="E12" s="2">
        <v>20.824999999999999</v>
      </c>
      <c r="F12" s="2" t="s">
        <v>146</v>
      </c>
      <c r="G12" s="2">
        <v>9.5000000000000001E-2</v>
      </c>
      <c r="H12" s="2" t="s">
        <v>146</v>
      </c>
      <c r="I12" s="2" t="s">
        <v>146</v>
      </c>
      <c r="J12" s="2" t="s">
        <v>146</v>
      </c>
      <c r="K12" s="2" t="s">
        <v>146</v>
      </c>
      <c r="L12" s="2" t="s">
        <v>146</v>
      </c>
      <c r="M12" s="2" t="s">
        <v>49</v>
      </c>
      <c r="N12" s="2" t="s">
        <v>146</v>
      </c>
      <c r="O12" s="2" t="s">
        <v>146</v>
      </c>
      <c r="P12" s="2" t="s">
        <v>146</v>
      </c>
      <c r="Q12" s="2" t="s">
        <v>146</v>
      </c>
      <c r="R12" s="2" t="s">
        <v>146</v>
      </c>
      <c r="S12" s="2">
        <v>16.954999999999998</v>
      </c>
      <c r="T12" s="2" t="s">
        <v>146</v>
      </c>
      <c r="U12" s="2">
        <v>3.7749999999999999</v>
      </c>
      <c r="V12" s="2" t="s">
        <v>146</v>
      </c>
      <c r="W12" s="2" t="s">
        <v>146</v>
      </c>
      <c r="X12" s="2" t="s">
        <v>146</v>
      </c>
      <c r="Y12" s="2" t="s">
        <v>146</v>
      </c>
      <c r="Z12" s="2" t="s">
        <v>146</v>
      </c>
      <c r="AA12" s="2" t="s">
        <v>146</v>
      </c>
      <c r="AB12" s="2" t="s">
        <v>146</v>
      </c>
      <c r="AC12" s="2" t="s">
        <v>146</v>
      </c>
      <c r="AD12" s="2" t="s">
        <v>146</v>
      </c>
      <c r="AE12" s="2" t="s">
        <v>146</v>
      </c>
      <c r="AF12" s="2" t="s">
        <v>146</v>
      </c>
      <c r="AG12" s="2" t="s">
        <v>146</v>
      </c>
      <c r="AH12" s="2" t="s">
        <v>146</v>
      </c>
      <c r="AI12" s="2" t="s">
        <v>146</v>
      </c>
      <c r="AJ12" s="2" t="s">
        <v>146</v>
      </c>
      <c r="AK12" s="2" t="s">
        <v>146</v>
      </c>
      <c r="AL12" s="2" t="s">
        <v>146</v>
      </c>
      <c r="AM12" s="2" t="s">
        <v>146</v>
      </c>
      <c r="AN12" s="2" t="s">
        <v>49</v>
      </c>
      <c r="AO12" s="2" t="s">
        <v>146</v>
      </c>
      <c r="AP12" s="2" t="s">
        <v>146</v>
      </c>
      <c r="AQ12" s="2" t="s">
        <v>146</v>
      </c>
      <c r="AR12" s="2" t="s">
        <v>146</v>
      </c>
      <c r="AV12" s="2">
        <f t="shared" si="0"/>
        <v>20.824999999999996</v>
      </c>
      <c r="AW12" s="2">
        <f t="shared" si="1"/>
        <v>16.722000000000001</v>
      </c>
      <c r="AX12" s="27">
        <f t="shared" si="2"/>
        <v>0.80297719087635078</v>
      </c>
      <c r="BA12" s="2">
        <f t="shared" si="3"/>
        <v>0</v>
      </c>
      <c r="BB12" s="2">
        <f t="shared" si="4"/>
        <v>0</v>
      </c>
      <c r="BC12" s="2">
        <f t="shared" si="5"/>
        <v>0</v>
      </c>
      <c r="BD12" s="2">
        <f t="shared" si="6"/>
        <v>0</v>
      </c>
      <c r="BE12" s="2">
        <f t="shared" si="7"/>
        <v>0</v>
      </c>
      <c r="BF12" s="2">
        <f t="shared" si="8"/>
        <v>0</v>
      </c>
      <c r="BJ12" s="2" t="str">
        <f t="shared" si="9"/>
        <v/>
      </c>
    </row>
    <row r="13" spans="1:63" ht="15" customHeight="1" x14ac:dyDescent="0.45">
      <c r="A13" s="2" t="s">
        <v>672</v>
      </c>
      <c r="B13" s="2" t="s">
        <v>679</v>
      </c>
      <c r="C13" s="2">
        <v>2019</v>
      </c>
      <c r="D13" s="2">
        <v>4.7080000000000002</v>
      </c>
      <c r="E13" s="2">
        <v>6.0659999999999998</v>
      </c>
      <c r="F13" s="2" t="s">
        <v>146</v>
      </c>
      <c r="G13" s="2">
        <v>3.6999999999999998E-2</v>
      </c>
      <c r="H13" s="2" t="s">
        <v>146</v>
      </c>
      <c r="I13" s="2" t="s">
        <v>146</v>
      </c>
      <c r="J13" s="2" t="s">
        <v>146</v>
      </c>
      <c r="K13" s="2" t="s">
        <v>146</v>
      </c>
      <c r="L13" s="2" t="s">
        <v>146</v>
      </c>
      <c r="M13" s="2" t="s">
        <v>49</v>
      </c>
      <c r="N13" s="2" t="s">
        <v>146</v>
      </c>
      <c r="O13" s="2" t="s">
        <v>146</v>
      </c>
      <c r="P13" s="2">
        <v>6.0289999999999999</v>
      </c>
      <c r="Q13" s="2" t="s">
        <v>146</v>
      </c>
      <c r="R13" s="2" t="s">
        <v>146</v>
      </c>
      <c r="S13" s="2" t="s">
        <v>146</v>
      </c>
      <c r="T13" s="2" t="s">
        <v>146</v>
      </c>
      <c r="U13" s="2" t="s">
        <v>146</v>
      </c>
      <c r="V13" s="2" t="s">
        <v>146</v>
      </c>
      <c r="W13" s="2" t="s">
        <v>146</v>
      </c>
      <c r="X13" s="2" t="s">
        <v>146</v>
      </c>
      <c r="Y13" s="2" t="s">
        <v>146</v>
      </c>
      <c r="Z13" s="2" t="s">
        <v>146</v>
      </c>
      <c r="AA13" s="2" t="s">
        <v>146</v>
      </c>
      <c r="AB13" s="2" t="s">
        <v>146</v>
      </c>
      <c r="AC13" s="2" t="s">
        <v>146</v>
      </c>
      <c r="AD13" s="2" t="s">
        <v>146</v>
      </c>
      <c r="AE13" s="2" t="s">
        <v>146</v>
      </c>
      <c r="AF13" s="2" t="s">
        <v>146</v>
      </c>
      <c r="AG13" s="2" t="s">
        <v>146</v>
      </c>
      <c r="AH13" s="2" t="s">
        <v>146</v>
      </c>
      <c r="AI13" s="2" t="s">
        <v>146</v>
      </c>
      <c r="AJ13" s="2" t="s">
        <v>146</v>
      </c>
      <c r="AK13" s="2" t="s">
        <v>146</v>
      </c>
      <c r="AL13" s="2" t="s">
        <v>146</v>
      </c>
      <c r="AM13" s="2" t="s">
        <v>146</v>
      </c>
      <c r="AN13" s="2" t="s">
        <v>49</v>
      </c>
      <c r="AO13" s="2" t="s">
        <v>146</v>
      </c>
      <c r="AP13" s="2" t="s">
        <v>146</v>
      </c>
      <c r="AQ13" s="2" t="s">
        <v>146</v>
      </c>
      <c r="AR13" s="2" t="s">
        <v>146</v>
      </c>
      <c r="AV13" s="2">
        <f t="shared" si="0"/>
        <v>6.0659999999999998</v>
      </c>
      <c r="AW13" s="2">
        <f t="shared" si="1"/>
        <v>4.7080000000000002</v>
      </c>
      <c r="AX13" s="27">
        <f t="shared" si="2"/>
        <v>0.776129244971975</v>
      </c>
      <c r="BA13" s="2">
        <f t="shared" si="3"/>
        <v>0</v>
      </c>
      <c r="BB13" s="2">
        <f t="shared" si="4"/>
        <v>0</v>
      </c>
      <c r="BC13" s="2">
        <f t="shared" si="5"/>
        <v>0</v>
      </c>
      <c r="BD13" s="2">
        <f t="shared" si="6"/>
        <v>0</v>
      </c>
      <c r="BE13" s="2">
        <f t="shared" si="7"/>
        <v>0</v>
      </c>
      <c r="BF13" s="2">
        <f t="shared" si="8"/>
        <v>0</v>
      </c>
      <c r="BJ13" s="2" t="str">
        <f t="shared" si="9"/>
        <v/>
      </c>
    </row>
    <row r="14" spans="1:63" ht="15" customHeight="1" x14ac:dyDescent="0.45">
      <c r="A14" s="2" t="s">
        <v>672</v>
      </c>
      <c r="B14" s="2" t="s">
        <v>678</v>
      </c>
      <c r="C14" s="2">
        <v>2019</v>
      </c>
      <c r="D14" s="2">
        <v>6.766</v>
      </c>
      <c r="E14" s="2">
        <v>7.899</v>
      </c>
      <c r="F14" s="2" t="s">
        <v>146</v>
      </c>
      <c r="G14" s="2">
        <v>2.7E-2</v>
      </c>
      <c r="H14" s="2" t="s">
        <v>146</v>
      </c>
      <c r="I14" s="2" t="s">
        <v>146</v>
      </c>
      <c r="J14" s="2" t="s">
        <v>146</v>
      </c>
      <c r="K14" s="2" t="s">
        <v>146</v>
      </c>
      <c r="L14" s="2" t="s">
        <v>146</v>
      </c>
      <c r="M14" s="2" t="s">
        <v>49</v>
      </c>
      <c r="N14" s="2" t="s">
        <v>146</v>
      </c>
      <c r="O14" s="2" t="s">
        <v>146</v>
      </c>
      <c r="P14" s="2" t="s">
        <v>146</v>
      </c>
      <c r="Q14" s="2" t="s">
        <v>146</v>
      </c>
      <c r="R14" s="2" t="s">
        <v>146</v>
      </c>
      <c r="S14" s="2">
        <v>7.8719999999999999</v>
      </c>
      <c r="T14" s="2" t="s">
        <v>146</v>
      </c>
      <c r="U14" s="2" t="s">
        <v>146</v>
      </c>
      <c r="V14" s="2" t="s">
        <v>146</v>
      </c>
      <c r="W14" s="2" t="s">
        <v>146</v>
      </c>
      <c r="X14" s="2" t="s">
        <v>146</v>
      </c>
      <c r="Y14" s="2" t="s">
        <v>146</v>
      </c>
      <c r="Z14" s="2" t="s">
        <v>146</v>
      </c>
      <c r="AA14" s="2" t="s">
        <v>146</v>
      </c>
      <c r="AB14" s="2" t="s">
        <v>146</v>
      </c>
      <c r="AC14" s="2" t="s">
        <v>146</v>
      </c>
      <c r="AD14" s="2" t="s">
        <v>146</v>
      </c>
      <c r="AE14" s="2" t="s">
        <v>146</v>
      </c>
      <c r="AF14" s="2" t="s">
        <v>146</v>
      </c>
      <c r="AG14" s="2" t="s">
        <v>146</v>
      </c>
      <c r="AH14" s="2" t="s">
        <v>146</v>
      </c>
      <c r="AI14" s="2" t="s">
        <v>146</v>
      </c>
      <c r="AJ14" s="2" t="s">
        <v>146</v>
      </c>
      <c r="AK14" s="2" t="s">
        <v>146</v>
      </c>
      <c r="AL14" s="2" t="s">
        <v>146</v>
      </c>
      <c r="AM14" s="2" t="s">
        <v>146</v>
      </c>
      <c r="AN14" s="2" t="s">
        <v>49</v>
      </c>
      <c r="AO14" s="2" t="s">
        <v>146</v>
      </c>
      <c r="AP14" s="2" t="s">
        <v>146</v>
      </c>
      <c r="AQ14" s="2" t="s">
        <v>146</v>
      </c>
      <c r="AR14" s="2" t="s">
        <v>146</v>
      </c>
      <c r="AV14" s="2">
        <f t="shared" si="0"/>
        <v>7.899</v>
      </c>
      <c r="AW14" s="2">
        <f t="shared" si="1"/>
        <v>6.766</v>
      </c>
      <c r="AX14" s="27">
        <f t="shared" si="2"/>
        <v>0.85656412204076471</v>
      </c>
      <c r="BA14" s="2">
        <f t="shared" si="3"/>
        <v>0</v>
      </c>
      <c r="BB14" s="2">
        <f t="shared" si="4"/>
        <v>0</v>
      </c>
      <c r="BC14" s="2">
        <f t="shared" si="5"/>
        <v>0</v>
      </c>
      <c r="BD14" s="2">
        <f t="shared" si="6"/>
        <v>0</v>
      </c>
      <c r="BE14" s="2">
        <f t="shared" si="7"/>
        <v>0</v>
      </c>
      <c r="BF14" s="2">
        <f t="shared" si="8"/>
        <v>0</v>
      </c>
      <c r="BJ14" s="2" t="str">
        <f t="shared" si="9"/>
        <v/>
      </c>
    </row>
    <row r="15" spans="1:63" ht="15" customHeight="1" x14ac:dyDescent="0.45">
      <c r="A15" s="2" t="s">
        <v>672</v>
      </c>
      <c r="B15" s="2" t="s">
        <v>677</v>
      </c>
      <c r="C15" s="2">
        <v>2019</v>
      </c>
      <c r="D15" s="2">
        <v>8.83</v>
      </c>
      <c r="E15" s="2">
        <v>11.678000000000001</v>
      </c>
      <c r="F15" s="2" t="s">
        <v>146</v>
      </c>
      <c r="G15" s="2">
        <v>0.155</v>
      </c>
      <c r="H15" s="2" t="s">
        <v>146</v>
      </c>
      <c r="I15" s="2" t="s">
        <v>146</v>
      </c>
      <c r="J15" s="2" t="s">
        <v>146</v>
      </c>
      <c r="K15" s="2" t="s">
        <v>146</v>
      </c>
      <c r="L15" s="2" t="s">
        <v>146</v>
      </c>
      <c r="M15" s="2" t="s">
        <v>49</v>
      </c>
      <c r="N15" s="2" t="s">
        <v>146</v>
      </c>
      <c r="O15" s="2" t="s">
        <v>146</v>
      </c>
      <c r="P15" s="2" t="s">
        <v>146</v>
      </c>
      <c r="Q15" s="2" t="s">
        <v>146</v>
      </c>
      <c r="R15" s="2" t="s">
        <v>146</v>
      </c>
      <c r="S15" s="2">
        <v>11.523</v>
      </c>
      <c r="T15" s="2" t="s">
        <v>146</v>
      </c>
      <c r="U15" s="2" t="s">
        <v>146</v>
      </c>
      <c r="V15" s="2" t="s">
        <v>146</v>
      </c>
      <c r="W15" s="2" t="s">
        <v>146</v>
      </c>
      <c r="X15" s="2" t="s">
        <v>146</v>
      </c>
      <c r="Y15" s="2" t="s">
        <v>146</v>
      </c>
      <c r="Z15" s="2" t="s">
        <v>146</v>
      </c>
      <c r="AA15" s="2" t="s">
        <v>146</v>
      </c>
      <c r="AB15" s="2" t="s">
        <v>146</v>
      </c>
      <c r="AC15" s="2" t="s">
        <v>146</v>
      </c>
      <c r="AD15" s="2" t="s">
        <v>146</v>
      </c>
      <c r="AE15" s="2" t="s">
        <v>146</v>
      </c>
      <c r="AF15" s="2" t="s">
        <v>146</v>
      </c>
      <c r="AG15" s="2" t="s">
        <v>146</v>
      </c>
      <c r="AH15" s="2" t="s">
        <v>146</v>
      </c>
      <c r="AI15" s="2" t="s">
        <v>146</v>
      </c>
      <c r="AJ15" s="2" t="s">
        <v>146</v>
      </c>
      <c r="AK15" s="2" t="s">
        <v>146</v>
      </c>
      <c r="AL15" s="2" t="s">
        <v>146</v>
      </c>
      <c r="AM15" s="2" t="s">
        <v>146</v>
      </c>
      <c r="AN15" s="2" t="s">
        <v>49</v>
      </c>
      <c r="AO15" s="2" t="s">
        <v>146</v>
      </c>
      <c r="AP15" s="2" t="s">
        <v>146</v>
      </c>
      <c r="AQ15" s="2" t="s">
        <v>146</v>
      </c>
      <c r="AR15" s="2" t="s">
        <v>146</v>
      </c>
      <c r="AV15" s="2">
        <f t="shared" si="0"/>
        <v>11.677999999999999</v>
      </c>
      <c r="AW15" s="2">
        <f t="shared" si="1"/>
        <v>8.83</v>
      </c>
      <c r="AX15" s="27">
        <f t="shared" si="2"/>
        <v>0.75612262373694128</v>
      </c>
      <c r="BA15" s="2">
        <f t="shared" si="3"/>
        <v>0</v>
      </c>
      <c r="BB15" s="2">
        <f t="shared" si="4"/>
        <v>0</v>
      </c>
      <c r="BC15" s="2">
        <f t="shared" si="5"/>
        <v>0</v>
      </c>
      <c r="BD15" s="2">
        <f t="shared" si="6"/>
        <v>0</v>
      </c>
      <c r="BE15" s="2">
        <f t="shared" si="7"/>
        <v>0</v>
      </c>
      <c r="BF15" s="2">
        <f t="shared" si="8"/>
        <v>0</v>
      </c>
      <c r="BJ15" s="2" t="str">
        <f t="shared" si="9"/>
        <v/>
      </c>
    </row>
    <row r="16" spans="1:63" ht="15" customHeight="1" x14ac:dyDescent="0.45">
      <c r="A16" s="2" t="s">
        <v>672</v>
      </c>
      <c r="B16" s="2" t="s">
        <v>676</v>
      </c>
      <c r="C16" s="2">
        <v>2019</v>
      </c>
      <c r="D16" s="2">
        <v>17.408999999999999</v>
      </c>
      <c r="E16" s="2">
        <v>21.472000000000001</v>
      </c>
      <c r="F16" s="2" t="s">
        <v>146</v>
      </c>
      <c r="G16" s="2">
        <v>0.15</v>
      </c>
      <c r="H16" s="2" t="s">
        <v>146</v>
      </c>
      <c r="I16" s="2" t="s">
        <v>146</v>
      </c>
      <c r="J16" s="2" t="s">
        <v>146</v>
      </c>
      <c r="K16" s="2" t="s">
        <v>146</v>
      </c>
      <c r="L16" s="2" t="s">
        <v>146</v>
      </c>
      <c r="M16" s="2" t="s">
        <v>49</v>
      </c>
      <c r="N16" s="2" t="s">
        <v>146</v>
      </c>
      <c r="O16" s="2" t="s">
        <v>146</v>
      </c>
      <c r="P16" s="2" t="s">
        <v>146</v>
      </c>
      <c r="Q16" s="2" t="s">
        <v>146</v>
      </c>
      <c r="R16" s="2" t="s">
        <v>146</v>
      </c>
      <c r="S16" s="2">
        <v>21.321999999999999</v>
      </c>
      <c r="T16" s="2" t="s">
        <v>146</v>
      </c>
      <c r="U16" s="2" t="s">
        <v>146</v>
      </c>
      <c r="V16" s="2" t="s">
        <v>146</v>
      </c>
      <c r="W16" s="2" t="s">
        <v>146</v>
      </c>
      <c r="X16" s="2" t="s">
        <v>146</v>
      </c>
      <c r="Y16" s="2" t="s">
        <v>146</v>
      </c>
      <c r="Z16" s="2" t="s">
        <v>146</v>
      </c>
      <c r="AA16" s="2" t="s">
        <v>146</v>
      </c>
      <c r="AB16" s="2" t="s">
        <v>146</v>
      </c>
      <c r="AC16" s="2" t="s">
        <v>146</v>
      </c>
      <c r="AD16" s="2" t="s">
        <v>146</v>
      </c>
      <c r="AE16" s="2" t="s">
        <v>146</v>
      </c>
      <c r="AF16" s="2" t="s">
        <v>146</v>
      </c>
      <c r="AG16" s="2" t="s">
        <v>146</v>
      </c>
      <c r="AH16" s="2" t="s">
        <v>146</v>
      </c>
      <c r="AI16" s="2" t="s">
        <v>146</v>
      </c>
      <c r="AJ16" s="2" t="s">
        <v>146</v>
      </c>
      <c r="AK16" s="2" t="s">
        <v>146</v>
      </c>
      <c r="AL16" s="2" t="s">
        <v>146</v>
      </c>
      <c r="AM16" s="2" t="s">
        <v>146</v>
      </c>
      <c r="AN16" s="2" t="s">
        <v>49</v>
      </c>
      <c r="AO16" s="2" t="s">
        <v>146</v>
      </c>
      <c r="AP16" s="2" t="s">
        <v>146</v>
      </c>
      <c r="AQ16" s="2" t="s">
        <v>146</v>
      </c>
      <c r="AR16" s="2" t="s">
        <v>146</v>
      </c>
      <c r="AV16" s="2">
        <f t="shared" si="0"/>
        <v>21.471999999999998</v>
      </c>
      <c r="AW16" s="2">
        <f t="shared" si="1"/>
        <v>17.408999999999999</v>
      </c>
      <c r="AX16" s="27">
        <f t="shared" si="2"/>
        <v>0.81077682563338305</v>
      </c>
      <c r="BA16" s="2">
        <f t="shared" si="3"/>
        <v>0</v>
      </c>
      <c r="BB16" s="2">
        <f t="shared" si="4"/>
        <v>0</v>
      </c>
      <c r="BC16" s="2">
        <f t="shared" si="5"/>
        <v>0</v>
      </c>
      <c r="BD16" s="2">
        <f t="shared" si="6"/>
        <v>0</v>
      </c>
      <c r="BE16" s="2">
        <f t="shared" si="7"/>
        <v>0</v>
      </c>
      <c r="BF16" s="2">
        <f t="shared" si="8"/>
        <v>0</v>
      </c>
      <c r="BJ16" s="2" t="str">
        <f t="shared" si="9"/>
        <v/>
      </c>
    </row>
    <row r="17" spans="1:62" ht="15" customHeight="1" x14ac:dyDescent="0.45">
      <c r="A17" s="2" t="s">
        <v>672</v>
      </c>
      <c r="B17" s="2" t="s">
        <v>675</v>
      </c>
      <c r="C17" s="2">
        <v>2019</v>
      </c>
      <c r="D17" s="2">
        <v>4.5</v>
      </c>
      <c r="E17" s="2">
        <v>5</v>
      </c>
      <c r="F17" s="2" t="s">
        <v>146</v>
      </c>
      <c r="G17" s="2">
        <v>0.6</v>
      </c>
      <c r="H17" s="2" t="s">
        <v>146</v>
      </c>
      <c r="I17" s="2" t="s">
        <v>146</v>
      </c>
      <c r="J17" s="2" t="s">
        <v>146</v>
      </c>
      <c r="K17" s="2" t="s">
        <v>146</v>
      </c>
      <c r="L17" s="2" t="s">
        <v>146</v>
      </c>
      <c r="M17" s="2" t="s">
        <v>49</v>
      </c>
      <c r="N17" s="2" t="s">
        <v>146</v>
      </c>
      <c r="O17" s="2" t="s">
        <v>146</v>
      </c>
      <c r="P17" s="2" t="s">
        <v>146</v>
      </c>
      <c r="Q17" s="2" t="s">
        <v>146</v>
      </c>
      <c r="R17" s="2" t="s">
        <v>146</v>
      </c>
      <c r="S17" s="2" t="s">
        <v>146</v>
      </c>
      <c r="T17" s="2" t="s">
        <v>146</v>
      </c>
      <c r="U17" s="2">
        <v>4.2</v>
      </c>
      <c r="V17" s="2" t="s">
        <v>146</v>
      </c>
      <c r="W17" s="2" t="s">
        <v>146</v>
      </c>
      <c r="X17" s="2" t="s">
        <v>146</v>
      </c>
      <c r="Y17" s="2" t="s">
        <v>146</v>
      </c>
      <c r="Z17" s="2" t="s">
        <v>146</v>
      </c>
      <c r="AA17" s="2" t="s">
        <v>146</v>
      </c>
      <c r="AB17" s="2" t="s">
        <v>146</v>
      </c>
      <c r="AC17" s="2" t="s">
        <v>146</v>
      </c>
      <c r="AD17" s="2" t="s">
        <v>146</v>
      </c>
      <c r="AE17" s="2" t="s">
        <v>146</v>
      </c>
      <c r="AF17" s="2" t="s">
        <v>146</v>
      </c>
      <c r="AG17" s="2" t="s">
        <v>146</v>
      </c>
      <c r="AH17" s="2" t="s">
        <v>146</v>
      </c>
      <c r="AI17" s="2" t="s">
        <v>146</v>
      </c>
      <c r="AJ17" s="2" t="s">
        <v>146</v>
      </c>
      <c r="AK17" s="2" t="s">
        <v>146</v>
      </c>
      <c r="AL17" s="2">
        <v>0.2</v>
      </c>
      <c r="AM17" s="2">
        <v>0.2</v>
      </c>
      <c r="AN17" s="2" t="s">
        <v>49</v>
      </c>
      <c r="AO17" s="2" t="s">
        <v>146</v>
      </c>
      <c r="AP17" s="2" t="s">
        <v>146</v>
      </c>
      <c r="AQ17" s="2" t="s">
        <v>146</v>
      </c>
      <c r="AR17" s="2" t="s">
        <v>146</v>
      </c>
      <c r="AV17" s="2">
        <f t="shared" si="0"/>
        <v>5</v>
      </c>
      <c r="AW17" s="2">
        <f t="shared" si="1"/>
        <v>4.5</v>
      </c>
      <c r="AX17" s="27">
        <f t="shared" si="2"/>
        <v>0.9</v>
      </c>
      <c r="BA17" s="2">
        <f t="shared" si="3"/>
        <v>0</v>
      </c>
      <c r="BB17" s="2">
        <f t="shared" si="4"/>
        <v>0</v>
      </c>
      <c r="BC17" s="2">
        <f t="shared" si="5"/>
        <v>0</v>
      </c>
      <c r="BD17" s="2">
        <f t="shared" si="6"/>
        <v>0</v>
      </c>
      <c r="BE17" s="2">
        <f t="shared" si="7"/>
        <v>0</v>
      </c>
      <c r="BF17" s="2">
        <f t="shared" si="8"/>
        <v>0</v>
      </c>
      <c r="BJ17" s="2" t="str">
        <f t="shared" si="9"/>
        <v/>
      </c>
    </row>
    <row r="18" spans="1:62" ht="15" customHeight="1" x14ac:dyDescent="0.45">
      <c r="A18" s="2" t="s">
        <v>672</v>
      </c>
      <c r="B18" s="2" t="s">
        <v>674</v>
      </c>
      <c r="C18" s="2">
        <v>2019</v>
      </c>
      <c r="D18" s="2">
        <v>2.173</v>
      </c>
      <c r="E18" s="2">
        <v>2.335</v>
      </c>
      <c r="F18" s="2" t="s">
        <v>146</v>
      </c>
      <c r="G18" s="2">
        <v>5.6000000000000001E-2</v>
      </c>
      <c r="H18" s="2" t="s">
        <v>146</v>
      </c>
      <c r="I18" s="2" t="s">
        <v>146</v>
      </c>
      <c r="J18" s="2" t="s">
        <v>146</v>
      </c>
      <c r="K18" s="2" t="s">
        <v>146</v>
      </c>
      <c r="L18" s="2" t="s">
        <v>146</v>
      </c>
      <c r="M18" s="2" t="s">
        <v>49</v>
      </c>
      <c r="N18" s="2" t="s">
        <v>146</v>
      </c>
      <c r="O18" s="2" t="s">
        <v>146</v>
      </c>
      <c r="P18" s="2" t="s">
        <v>146</v>
      </c>
      <c r="Q18" s="2" t="s">
        <v>146</v>
      </c>
      <c r="R18" s="2" t="s">
        <v>146</v>
      </c>
      <c r="S18" s="2" t="s">
        <v>146</v>
      </c>
      <c r="T18" s="2" t="s">
        <v>146</v>
      </c>
      <c r="U18" s="2">
        <v>2.2789999999999999</v>
      </c>
      <c r="V18" s="2" t="s">
        <v>146</v>
      </c>
      <c r="W18" s="2" t="s">
        <v>146</v>
      </c>
      <c r="X18" s="2" t="s">
        <v>146</v>
      </c>
      <c r="Y18" s="2" t="s">
        <v>146</v>
      </c>
      <c r="Z18" s="2" t="s">
        <v>146</v>
      </c>
      <c r="AA18" s="2" t="s">
        <v>146</v>
      </c>
      <c r="AB18" s="2" t="s">
        <v>146</v>
      </c>
      <c r="AC18" s="2" t="s">
        <v>146</v>
      </c>
      <c r="AD18" s="2" t="s">
        <v>146</v>
      </c>
      <c r="AE18" s="2" t="s">
        <v>146</v>
      </c>
      <c r="AF18" s="2" t="s">
        <v>146</v>
      </c>
      <c r="AG18" s="2" t="s">
        <v>146</v>
      </c>
      <c r="AH18" s="2" t="s">
        <v>146</v>
      </c>
      <c r="AI18" s="2" t="s">
        <v>146</v>
      </c>
      <c r="AJ18" s="2" t="s">
        <v>146</v>
      </c>
      <c r="AK18" s="2" t="s">
        <v>146</v>
      </c>
      <c r="AL18" s="2" t="s">
        <v>146</v>
      </c>
      <c r="AM18" s="2" t="s">
        <v>146</v>
      </c>
      <c r="AN18" s="2" t="s">
        <v>49</v>
      </c>
      <c r="AO18" s="2" t="s">
        <v>146</v>
      </c>
      <c r="AP18" s="2" t="s">
        <v>146</v>
      </c>
      <c r="AQ18" s="2" t="s">
        <v>146</v>
      </c>
      <c r="AR18" s="2" t="s">
        <v>146</v>
      </c>
      <c r="AV18" s="2">
        <f t="shared" si="0"/>
        <v>2.335</v>
      </c>
      <c r="AW18" s="2">
        <f t="shared" si="1"/>
        <v>2.173</v>
      </c>
      <c r="AX18" s="27">
        <f t="shared" si="2"/>
        <v>0.93062098501070667</v>
      </c>
      <c r="BA18" s="2">
        <f t="shared" si="3"/>
        <v>0</v>
      </c>
      <c r="BB18" s="2">
        <f t="shared" si="4"/>
        <v>0</v>
      </c>
      <c r="BC18" s="2">
        <f t="shared" si="5"/>
        <v>0</v>
      </c>
      <c r="BD18" s="2">
        <f t="shared" si="6"/>
        <v>0</v>
      </c>
      <c r="BE18" s="2">
        <f t="shared" si="7"/>
        <v>0</v>
      </c>
      <c r="BF18" s="2">
        <f t="shared" si="8"/>
        <v>0</v>
      </c>
      <c r="BJ18" s="2" t="str">
        <f t="shared" si="9"/>
        <v/>
      </c>
    </row>
    <row r="19" spans="1:62" ht="15" customHeight="1" x14ac:dyDescent="0.45">
      <c r="A19" s="2" t="s">
        <v>672</v>
      </c>
      <c r="B19" s="2" t="s">
        <v>673</v>
      </c>
      <c r="C19" s="2">
        <v>2019</v>
      </c>
      <c r="D19" s="2">
        <v>6.085</v>
      </c>
      <c r="E19" s="2">
        <v>7.6840000000000002</v>
      </c>
      <c r="F19" s="2" t="s">
        <v>146</v>
      </c>
      <c r="G19" s="2">
        <v>8.6999999999999994E-2</v>
      </c>
      <c r="H19" s="2" t="s">
        <v>146</v>
      </c>
      <c r="I19" s="2" t="s">
        <v>146</v>
      </c>
      <c r="J19" s="2" t="s">
        <v>146</v>
      </c>
      <c r="K19" s="2" t="s">
        <v>146</v>
      </c>
      <c r="L19" s="2" t="s">
        <v>146</v>
      </c>
      <c r="M19" s="2" t="s">
        <v>49</v>
      </c>
      <c r="N19" s="2" t="s">
        <v>146</v>
      </c>
      <c r="O19" s="2" t="s">
        <v>146</v>
      </c>
      <c r="P19" s="2" t="s">
        <v>146</v>
      </c>
      <c r="Q19" s="2" t="s">
        <v>146</v>
      </c>
      <c r="R19" s="2" t="s">
        <v>146</v>
      </c>
      <c r="S19" s="2">
        <v>6.8239999999999998</v>
      </c>
      <c r="T19" s="2" t="s">
        <v>146</v>
      </c>
      <c r="U19" s="2">
        <v>0.77300000000000002</v>
      </c>
      <c r="V19" s="2" t="s">
        <v>146</v>
      </c>
      <c r="W19" s="2" t="s">
        <v>146</v>
      </c>
      <c r="X19" s="2" t="s">
        <v>146</v>
      </c>
      <c r="Y19" s="2" t="s">
        <v>146</v>
      </c>
      <c r="Z19" s="2" t="s">
        <v>146</v>
      </c>
      <c r="AA19" s="2" t="s">
        <v>146</v>
      </c>
      <c r="AB19" s="2" t="s">
        <v>146</v>
      </c>
      <c r="AC19" s="2" t="s">
        <v>146</v>
      </c>
      <c r="AD19" s="2" t="s">
        <v>146</v>
      </c>
      <c r="AE19" s="2" t="s">
        <v>146</v>
      </c>
      <c r="AF19" s="2" t="s">
        <v>146</v>
      </c>
      <c r="AG19" s="2" t="s">
        <v>146</v>
      </c>
      <c r="AH19" s="2" t="s">
        <v>146</v>
      </c>
      <c r="AI19" s="2" t="s">
        <v>146</v>
      </c>
      <c r="AJ19" s="2" t="s">
        <v>146</v>
      </c>
      <c r="AK19" s="2" t="s">
        <v>146</v>
      </c>
      <c r="AL19" s="2" t="s">
        <v>146</v>
      </c>
      <c r="AM19" s="2" t="s">
        <v>146</v>
      </c>
      <c r="AN19" s="2" t="s">
        <v>49</v>
      </c>
      <c r="AO19" s="2" t="s">
        <v>146</v>
      </c>
      <c r="AP19" s="2" t="s">
        <v>146</v>
      </c>
      <c r="AQ19" s="2" t="s">
        <v>146</v>
      </c>
      <c r="AR19" s="2" t="s">
        <v>146</v>
      </c>
      <c r="AV19" s="2">
        <f t="shared" si="0"/>
        <v>7.6839999999999993</v>
      </c>
      <c r="AW19" s="2">
        <f t="shared" si="1"/>
        <v>6.085</v>
      </c>
      <c r="AX19" s="27">
        <f t="shared" si="2"/>
        <v>0.79190525767829267</v>
      </c>
      <c r="BA19" s="2">
        <f t="shared" si="3"/>
        <v>0</v>
      </c>
      <c r="BB19" s="2">
        <f t="shared" si="4"/>
        <v>0</v>
      </c>
      <c r="BC19" s="2">
        <f t="shared" si="5"/>
        <v>0</v>
      </c>
      <c r="BD19" s="2">
        <f t="shared" si="6"/>
        <v>0</v>
      </c>
      <c r="BE19" s="2">
        <f t="shared" si="7"/>
        <v>0</v>
      </c>
      <c r="BF19" s="2">
        <f t="shared" si="8"/>
        <v>0</v>
      </c>
      <c r="BJ19" s="2" t="str">
        <f t="shared" si="9"/>
        <v/>
      </c>
    </row>
    <row r="20" spans="1:62" ht="15" customHeight="1" x14ac:dyDescent="0.45">
      <c r="A20" s="2" t="s">
        <v>672</v>
      </c>
      <c r="B20" s="2" t="s">
        <v>671</v>
      </c>
      <c r="C20" s="2">
        <v>2019</v>
      </c>
      <c r="D20" s="2">
        <v>3.8969999999999998</v>
      </c>
      <c r="E20" s="2">
        <v>4.6079999999999997</v>
      </c>
      <c r="F20" s="2" t="s">
        <v>146</v>
      </c>
      <c r="G20" s="2">
        <v>0.11799999999999999</v>
      </c>
      <c r="H20" s="2" t="s">
        <v>146</v>
      </c>
      <c r="I20" s="2" t="s">
        <v>146</v>
      </c>
      <c r="J20" s="2" t="s">
        <v>146</v>
      </c>
      <c r="K20" s="2" t="s">
        <v>146</v>
      </c>
      <c r="L20" s="2" t="s">
        <v>146</v>
      </c>
      <c r="M20" s="2" t="s">
        <v>49</v>
      </c>
      <c r="N20" s="2" t="s">
        <v>146</v>
      </c>
      <c r="O20" s="2" t="s">
        <v>146</v>
      </c>
      <c r="P20" s="2" t="s">
        <v>146</v>
      </c>
      <c r="Q20" s="2" t="s">
        <v>146</v>
      </c>
      <c r="R20" s="2" t="s">
        <v>146</v>
      </c>
      <c r="S20" s="2">
        <v>4.49</v>
      </c>
      <c r="T20" s="2" t="s">
        <v>146</v>
      </c>
      <c r="U20" s="2" t="s">
        <v>146</v>
      </c>
      <c r="V20" s="2" t="s">
        <v>146</v>
      </c>
      <c r="W20" s="2" t="s">
        <v>146</v>
      </c>
      <c r="X20" s="2" t="s">
        <v>146</v>
      </c>
      <c r="Y20" s="2" t="s">
        <v>146</v>
      </c>
      <c r="Z20" s="2" t="s">
        <v>146</v>
      </c>
      <c r="AA20" s="2" t="s">
        <v>146</v>
      </c>
      <c r="AB20" s="2" t="s">
        <v>146</v>
      </c>
      <c r="AC20" s="2" t="s">
        <v>146</v>
      </c>
      <c r="AD20" s="2" t="s">
        <v>146</v>
      </c>
      <c r="AE20" s="2" t="s">
        <v>146</v>
      </c>
      <c r="AF20" s="2" t="s">
        <v>146</v>
      </c>
      <c r="AG20" s="2" t="s">
        <v>146</v>
      </c>
      <c r="AH20" s="2" t="s">
        <v>146</v>
      </c>
      <c r="AI20" s="2" t="s">
        <v>146</v>
      </c>
      <c r="AJ20" s="2" t="s">
        <v>146</v>
      </c>
      <c r="AK20" s="2" t="s">
        <v>146</v>
      </c>
      <c r="AL20" s="2" t="s">
        <v>146</v>
      </c>
      <c r="AM20" s="2" t="s">
        <v>146</v>
      </c>
      <c r="AN20" s="2" t="s">
        <v>49</v>
      </c>
      <c r="AO20" s="2" t="s">
        <v>146</v>
      </c>
      <c r="AP20" s="2" t="s">
        <v>146</v>
      </c>
      <c r="AQ20" s="2" t="s">
        <v>146</v>
      </c>
      <c r="AR20" s="2" t="s">
        <v>146</v>
      </c>
      <c r="AV20" s="2">
        <f t="shared" si="0"/>
        <v>4.6080000000000005</v>
      </c>
      <c r="AW20" s="2">
        <f t="shared" si="1"/>
        <v>3.8969999999999998</v>
      </c>
      <c r="AX20" s="27">
        <f t="shared" si="2"/>
        <v>0.84570312499999989</v>
      </c>
      <c r="BA20" s="2">
        <f t="shared" si="3"/>
        <v>0</v>
      </c>
      <c r="BB20" s="2">
        <f t="shared" si="4"/>
        <v>0</v>
      </c>
      <c r="BC20" s="2">
        <f t="shared" si="5"/>
        <v>0</v>
      </c>
      <c r="BD20" s="2">
        <f t="shared" si="6"/>
        <v>0</v>
      </c>
      <c r="BE20" s="2">
        <f t="shared" si="7"/>
        <v>0</v>
      </c>
      <c r="BF20" s="2">
        <f t="shared" si="8"/>
        <v>0</v>
      </c>
      <c r="BJ20" s="2" t="str">
        <f t="shared" si="9"/>
        <v/>
      </c>
    </row>
    <row r="21" spans="1:62" ht="15" customHeight="1" x14ac:dyDescent="0.45">
      <c r="A21" s="2" t="s">
        <v>666</v>
      </c>
      <c r="B21" s="2" t="s">
        <v>670</v>
      </c>
      <c r="C21" s="2">
        <v>2019</v>
      </c>
      <c r="D21" s="2">
        <v>0.44500000000000001</v>
      </c>
      <c r="E21" s="2">
        <v>0.627</v>
      </c>
      <c r="F21" s="2" t="s">
        <v>146</v>
      </c>
      <c r="G21" s="2">
        <v>1.0999999999999999E-2</v>
      </c>
      <c r="H21" s="2" t="s">
        <v>146</v>
      </c>
      <c r="I21" s="2" t="s">
        <v>146</v>
      </c>
      <c r="J21" s="2" t="s">
        <v>146</v>
      </c>
      <c r="K21" s="2" t="s">
        <v>146</v>
      </c>
      <c r="L21" s="2" t="s">
        <v>146</v>
      </c>
      <c r="M21" s="2" t="s">
        <v>49</v>
      </c>
      <c r="N21" s="2" t="s">
        <v>146</v>
      </c>
      <c r="O21" s="2" t="s">
        <v>146</v>
      </c>
      <c r="P21" s="2" t="s">
        <v>146</v>
      </c>
      <c r="Q21" s="2" t="s">
        <v>146</v>
      </c>
      <c r="R21" s="2" t="s">
        <v>146</v>
      </c>
      <c r="S21" s="2" t="s">
        <v>146</v>
      </c>
      <c r="T21" s="2" t="s">
        <v>146</v>
      </c>
      <c r="U21" s="2">
        <v>0.61599999999999999</v>
      </c>
      <c r="V21" s="2" t="s">
        <v>146</v>
      </c>
      <c r="W21" s="2" t="s">
        <v>146</v>
      </c>
      <c r="X21" s="2" t="s">
        <v>146</v>
      </c>
      <c r="Y21" s="2" t="s">
        <v>146</v>
      </c>
      <c r="Z21" s="2" t="s">
        <v>146</v>
      </c>
      <c r="AA21" s="2" t="s">
        <v>146</v>
      </c>
      <c r="AB21" s="2" t="s">
        <v>146</v>
      </c>
      <c r="AC21" s="2" t="s">
        <v>146</v>
      </c>
      <c r="AD21" s="2" t="s">
        <v>146</v>
      </c>
      <c r="AE21" s="2" t="s">
        <v>146</v>
      </c>
      <c r="AF21" s="2" t="s">
        <v>146</v>
      </c>
      <c r="AG21" s="2" t="s">
        <v>146</v>
      </c>
      <c r="AH21" s="2" t="s">
        <v>146</v>
      </c>
      <c r="AI21" s="2" t="s">
        <v>146</v>
      </c>
      <c r="AJ21" s="2" t="s">
        <v>146</v>
      </c>
      <c r="AK21" s="2" t="s">
        <v>146</v>
      </c>
      <c r="AL21" s="2" t="s">
        <v>146</v>
      </c>
      <c r="AM21" s="2" t="s">
        <v>146</v>
      </c>
      <c r="AN21" s="2" t="s">
        <v>49</v>
      </c>
      <c r="AO21" s="2" t="s">
        <v>146</v>
      </c>
      <c r="AP21" s="2" t="s">
        <v>146</v>
      </c>
      <c r="AQ21" s="2" t="s">
        <v>146</v>
      </c>
      <c r="AR21" s="2" t="s">
        <v>146</v>
      </c>
      <c r="AV21" s="2">
        <f t="shared" si="0"/>
        <v>0.627</v>
      </c>
      <c r="AW21" s="2">
        <f t="shared" si="1"/>
        <v>0.44500000000000001</v>
      </c>
      <c r="AX21" s="27">
        <f t="shared" si="2"/>
        <v>0.70972886762360443</v>
      </c>
      <c r="BA21" s="2">
        <f t="shared" si="3"/>
        <v>0</v>
      </c>
      <c r="BB21" s="2">
        <f t="shared" si="4"/>
        <v>0</v>
      </c>
      <c r="BC21" s="2">
        <f t="shared" si="5"/>
        <v>0</v>
      </c>
      <c r="BD21" s="2">
        <f t="shared" si="6"/>
        <v>0</v>
      </c>
      <c r="BE21" s="2">
        <f t="shared" si="7"/>
        <v>0</v>
      </c>
      <c r="BF21" s="2">
        <f t="shared" si="8"/>
        <v>0</v>
      </c>
      <c r="BJ21" s="2" t="str">
        <f t="shared" si="9"/>
        <v/>
      </c>
    </row>
    <row r="22" spans="1:62" ht="15" customHeight="1" x14ac:dyDescent="0.45">
      <c r="A22" s="2" t="s">
        <v>666</v>
      </c>
      <c r="B22" s="2" t="s">
        <v>669</v>
      </c>
      <c r="C22" s="2">
        <v>2019</v>
      </c>
      <c r="D22" s="2">
        <v>6.7359999999999998</v>
      </c>
      <c r="E22" s="2">
        <v>6.9249999999999998</v>
      </c>
      <c r="F22" s="2" t="s">
        <v>146</v>
      </c>
      <c r="G22" s="2">
        <v>8.1000000000000003E-2</v>
      </c>
      <c r="H22" s="2" t="s">
        <v>146</v>
      </c>
      <c r="I22" s="2" t="s">
        <v>146</v>
      </c>
      <c r="J22" s="2" t="s">
        <v>146</v>
      </c>
      <c r="K22" s="2" t="s">
        <v>146</v>
      </c>
      <c r="L22" s="2" t="s">
        <v>146</v>
      </c>
      <c r="M22" s="2" t="s">
        <v>49</v>
      </c>
      <c r="N22" s="2" t="s">
        <v>146</v>
      </c>
      <c r="O22" s="2" t="s">
        <v>146</v>
      </c>
      <c r="P22" s="2" t="s">
        <v>146</v>
      </c>
      <c r="Q22" s="2" t="s">
        <v>146</v>
      </c>
      <c r="R22" s="2" t="s">
        <v>146</v>
      </c>
      <c r="S22" s="2" t="s">
        <v>146</v>
      </c>
      <c r="T22" s="2" t="s">
        <v>146</v>
      </c>
      <c r="U22" s="2">
        <v>6.8440000000000003</v>
      </c>
      <c r="V22" s="2" t="s">
        <v>146</v>
      </c>
      <c r="W22" s="2" t="s">
        <v>146</v>
      </c>
      <c r="X22" s="2" t="s">
        <v>146</v>
      </c>
      <c r="Y22" s="2" t="s">
        <v>146</v>
      </c>
      <c r="Z22" s="2" t="s">
        <v>146</v>
      </c>
      <c r="AA22" s="2" t="s">
        <v>146</v>
      </c>
      <c r="AB22" s="2" t="s">
        <v>146</v>
      </c>
      <c r="AC22" s="2" t="s">
        <v>146</v>
      </c>
      <c r="AD22" s="2" t="s">
        <v>146</v>
      </c>
      <c r="AE22" s="2" t="s">
        <v>146</v>
      </c>
      <c r="AF22" s="2" t="s">
        <v>146</v>
      </c>
      <c r="AG22" s="2" t="s">
        <v>146</v>
      </c>
      <c r="AH22" s="2" t="s">
        <v>146</v>
      </c>
      <c r="AI22" s="2" t="s">
        <v>146</v>
      </c>
      <c r="AJ22" s="2" t="s">
        <v>146</v>
      </c>
      <c r="AK22" s="2" t="s">
        <v>146</v>
      </c>
      <c r="AL22" s="2" t="s">
        <v>146</v>
      </c>
      <c r="AM22" s="2" t="s">
        <v>146</v>
      </c>
      <c r="AN22" s="2" t="s">
        <v>49</v>
      </c>
      <c r="AO22" s="2" t="s">
        <v>146</v>
      </c>
      <c r="AP22" s="2" t="s">
        <v>146</v>
      </c>
      <c r="AQ22" s="2" t="s">
        <v>146</v>
      </c>
      <c r="AR22" s="2" t="s">
        <v>146</v>
      </c>
      <c r="AV22" s="2">
        <f t="shared" si="0"/>
        <v>6.9250000000000007</v>
      </c>
      <c r="AW22" s="2">
        <f t="shared" si="1"/>
        <v>6.7359999999999998</v>
      </c>
      <c r="AX22" s="27">
        <f t="shared" si="2"/>
        <v>0.97270758122743672</v>
      </c>
      <c r="BA22" s="2">
        <f t="shared" si="3"/>
        <v>0</v>
      </c>
      <c r="BB22" s="2">
        <f t="shared" si="4"/>
        <v>0</v>
      </c>
      <c r="BC22" s="2">
        <f t="shared" si="5"/>
        <v>0</v>
      </c>
      <c r="BD22" s="2">
        <f t="shared" si="6"/>
        <v>0</v>
      </c>
      <c r="BE22" s="2">
        <f t="shared" si="7"/>
        <v>0</v>
      </c>
      <c r="BF22" s="2">
        <f t="shared" si="8"/>
        <v>0</v>
      </c>
      <c r="BJ22" s="2" t="str">
        <f t="shared" si="9"/>
        <v/>
      </c>
    </row>
    <row r="23" spans="1:62" ht="15" customHeight="1" x14ac:dyDescent="0.45">
      <c r="A23" s="2" t="s">
        <v>666</v>
      </c>
      <c r="B23" s="2" t="s">
        <v>668</v>
      </c>
      <c r="C23" s="2">
        <v>2019</v>
      </c>
      <c r="D23" s="2">
        <v>63.405999999999999</v>
      </c>
      <c r="E23" s="2">
        <v>76.650999999999996</v>
      </c>
      <c r="F23" s="2" t="s">
        <v>146</v>
      </c>
      <c r="G23" s="2">
        <v>0.20899999999999999</v>
      </c>
      <c r="H23" s="2" t="s">
        <v>146</v>
      </c>
      <c r="I23" s="2" t="s">
        <v>146</v>
      </c>
      <c r="J23" s="2" t="s">
        <v>146</v>
      </c>
      <c r="K23" s="2" t="s">
        <v>146</v>
      </c>
      <c r="L23" s="2" t="s">
        <v>146</v>
      </c>
      <c r="M23" s="2" t="s">
        <v>49</v>
      </c>
      <c r="N23" s="2">
        <v>36.113999999999997</v>
      </c>
      <c r="O23" s="2">
        <v>15.515000000000001</v>
      </c>
      <c r="P23" s="2" t="s">
        <v>146</v>
      </c>
      <c r="Q23" s="2">
        <v>3.1890000000000001</v>
      </c>
      <c r="R23" s="2" t="s">
        <v>146</v>
      </c>
      <c r="S23" s="2" t="s">
        <v>146</v>
      </c>
      <c r="T23" s="2" t="s">
        <v>146</v>
      </c>
      <c r="U23" s="2" t="s">
        <v>146</v>
      </c>
      <c r="V23" s="2" t="s">
        <v>146</v>
      </c>
      <c r="W23" s="2" t="s">
        <v>146</v>
      </c>
      <c r="X23" s="2">
        <v>6.9329999999999998</v>
      </c>
      <c r="Y23" s="2" t="s">
        <v>146</v>
      </c>
      <c r="Z23" s="2">
        <v>1.6639999999999999</v>
      </c>
      <c r="AA23" s="2" t="s">
        <v>146</v>
      </c>
      <c r="AB23" s="2" t="s">
        <v>146</v>
      </c>
      <c r="AC23" s="2" t="s">
        <v>146</v>
      </c>
      <c r="AD23" s="2" t="s">
        <v>146</v>
      </c>
      <c r="AE23" s="2" t="s">
        <v>155</v>
      </c>
      <c r="AF23" s="2" t="s">
        <v>146</v>
      </c>
      <c r="AG23" s="2" t="s">
        <v>146</v>
      </c>
      <c r="AH23" s="2">
        <v>13.026999999999999</v>
      </c>
      <c r="AI23" s="2" t="s">
        <v>146</v>
      </c>
      <c r="AJ23" s="2" t="s">
        <v>146</v>
      </c>
      <c r="AK23" s="2" t="s">
        <v>146</v>
      </c>
      <c r="AL23" s="2" t="s">
        <v>146</v>
      </c>
      <c r="AM23" s="2" t="s">
        <v>146</v>
      </c>
      <c r="AN23" s="2" t="s">
        <v>49</v>
      </c>
      <c r="AO23" s="2">
        <v>100</v>
      </c>
      <c r="AP23" s="2" t="s">
        <v>146</v>
      </c>
      <c r="AQ23" s="2" t="s">
        <v>146</v>
      </c>
      <c r="AR23" s="2" t="s">
        <v>146</v>
      </c>
      <c r="AV23" s="2">
        <f t="shared" si="0"/>
        <v>76.650999999999996</v>
      </c>
      <c r="AW23" s="2">
        <f t="shared" si="1"/>
        <v>63.405999999999999</v>
      </c>
      <c r="AX23" s="27">
        <f t="shared" si="2"/>
        <v>0.82720381991102532</v>
      </c>
      <c r="BA23" s="2">
        <f t="shared" si="3"/>
        <v>13.026999999999999</v>
      </c>
      <c r="BB23" s="2">
        <f t="shared" si="4"/>
        <v>13.026999999999999</v>
      </c>
      <c r="BC23" s="2">
        <f t="shared" si="5"/>
        <v>0</v>
      </c>
      <c r="BD23" s="2">
        <f t="shared" si="6"/>
        <v>0</v>
      </c>
      <c r="BE23" s="2">
        <f t="shared" si="7"/>
        <v>0</v>
      </c>
      <c r="BF23" s="2">
        <f t="shared" si="8"/>
        <v>0</v>
      </c>
      <c r="BJ23" s="2" t="str">
        <f t="shared" si="9"/>
        <v/>
      </c>
    </row>
    <row r="24" spans="1:62" ht="15" customHeight="1" x14ac:dyDescent="0.45">
      <c r="A24" s="2" t="s">
        <v>666</v>
      </c>
      <c r="B24" s="2" t="s">
        <v>667</v>
      </c>
      <c r="C24" s="2">
        <v>2019</v>
      </c>
      <c r="D24" s="2">
        <v>4.5810000000000004</v>
      </c>
      <c r="E24" s="2">
        <v>5.0389999999999997</v>
      </c>
      <c r="F24" s="2" t="s">
        <v>146</v>
      </c>
      <c r="G24" s="2">
        <v>0.09</v>
      </c>
      <c r="H24" s="2" t="s">
        <v>146</v>
      </c>
      <c r="I24" s="2" t="s">
        <v>146</v>
      </c>
      <c r="J24" s="2" t="s">
        <v>146</v>
      </c>
      <c r="K24" s="2" t="s">
        <v>146</v>
      </c>
      <c r="L24" s="2" t="s">
        <v>146</v>
      </c>
      <c r="M24" s="2" t="s">
        <v>49</v>
      </c>
      <c r="N24" s="2" t="s">
        <v>146</v>
      </c>
      <c r="O24" s="2" t="s">
        <v>146</v>
      </c>
      <c r="P24" s="2" t="s">
        <v>146</v>
      </c>
      <c r="Q24" s="2" t="s">
        <v>146</v>
      </c>
      <c r="R24" s="2" t="s">
        <v>146</v>
      </c>
      <c r="S24" s="2" t="s">
        <v>146</v>
      </c>
      <c r="T24" s="2" t="s">
        <v>147</v>
      </c>
      <c r="U24" s="2">
        <v>4.9489999999999998</v>
      </c>
      <c r="V24" s="2" t="s">
        <v>146</v>
      </c>
      <c r="W24" s="2" t="s">
        <v>146</v>
      </c>
      <c r="X24" s="2" t="s">
        <v>146</v>
      </c>
      <c r="Y24" s="2" t="s">
        <v>146</v>
      </c>
      <c r="Z24" s="2">
        <v>0</v>
      </c>
      <c r="AA24" s="2" t="s">
        <v>146</v>
      </c>
      <c r="AB24" s="2" t="s">
        <v>146</v>
      </c>
      <c r="AC24" s="2" t="s">
        <v>146</v>
      </c>
      <c r="AD24" s="2" t="s">
        <v>146</v>
      </c>
      <c r="AE24" s="2" t="s">
        <v>146</v>
      </c>
      <c r="AF24" s="2" t="s">
        <v>146</v>
      </c>
      <c r="AG24" s="2" t="s">
        <v>146</v>
      </c>
      <c r="AH24" s="2" t="s">
        <v>146</v>
      </c>
      <c r="AI24" s="2" t="s">
        <v>146</v>
      </c>
      <c r="AJ24" s="2" t="s">
        <v>146</v>
      </c>
      <c r="AK24" s="2" t="s">
        <v>146</v>
      </c>
      <c r="AL24" s="2" t="s">
        <v>146</v>
      </c>
      <c r="AM24" s="2" t="s">
        <v>146</v>
      </c>
      <c r="AN24" s="2" t="s">
        <v>49</v>
      </c>
      <c r="AO24" s="2" t="s">
        <v>146</v>
      </c>
      <c r="AP24" s="2" t="s">
        <v>146</v>
      </c>
      <c r="AQ24" s="2" t="s">
        <v>146</v>
      </c>
      <c r="AR24" s="2" t="s">
        <v>146</v>
      </c>
      <c r="AV24" s="2">
        <f t="shared" si="0"/>
        <v>5.0389999999999997</v>
      </c>
      <c r="AW24" s="2">
        <f t="shared" si="1"/>
        <v>4.5810000000000004</v>
      </c>
      <c r="AX24" s="27">
        <f t="shared" si="2"/>
        <v>0.90910895018852955</v>
      </c>
      <c r="BA24" s="2">
        <f t="shared" si="3"/>
        <v>0</v>
      </c>
      <c r="BB24" s="2">
        <f t="shared" si="4"/>
        <v>0</v>
      </c>
      <c r="BC24" s="2">
        <f t="shared" si="5"/>
        <v>0</v>
      </c>
      <c r="BD24" s="2">
        <f t="shared" si="6"/>
        <v>0</v>
      </c>
      <c r="BE24" s="2">
        <f t="shared" si="7"/>
        <v>0</v>
      </c>
      <c r="BF24" s="2">
        <f t="shared" si="8"/>
        <v>0</v>
      </c>
      <c r="BJ24" s="2" t="str">
        <f t="shared" si="9"/>
        <v/>
      </c>
    </row>
    <row r="25" spans="1:62" ht="15" customHeight="1" x14ac:dyDescent="0.45">
      <c r="A25" s="2" t="s">
        <v>666</v>
      </c>
      <c r="B25" s="2" t="s">
        <v>665</v>
      </c>
      <c r="C25" s="2">
        <v>2019</v>
      </c>
      <c r="D25" s="2">
        <v>0.72699999999999998</v>
      </c>
      <c r="E25" s="2">
        <v>0.89600000000000002</v>
      </c>
      <c r="F25" s="2" t="s">
        <v>146</v>
      </c>
      <c r="G25" s="2">
        <v>0.182</v>
      </c>
      <c r="H25" s="2" t="s">
        <v>146</v>
      </c>
      <c r="I25" s="2" t="s">
        <v>146</v>
      </c>
      <c r="J25" s="2" t="s">
        <v>146</v>
      </c>
      <c r="K25" s="2" t="s">
        <v>146</v>
      </c>
      <c r="L25" s="2" t="s">
        <v>146</v>
      </c>
      <c r="M25" s="2" t="s">
        <v>49</v>
      </c>
      <c r="N25" s="2" t="s">
        <v>146</v>
      </c>
      <c r="O25" s="2" t="s">
        <v>146</v>
      </c>
      <c r="P25" s="2" t="s">
        <v>146</v>
      </c>
      <c r="Q25" s="2" t="s">
        <v>146</v>
      </c>
      <c r="R25" s="2" t="s">
        <v>146</v>
      </c>
      <c r="S25" s="2" t="s">
        <v>146</v>
      </c>
      <c r="T25" s="2" t="s">
        <v>146</v>
      </c>
      <c r="U25" s="2">
        <v>0.68</v>
      </c>
      <c r="V25" s="2" t="s">
        <v>146</v>
      </c>
      <c r="W25" s="2" t="s">
        <v>146</v>
      </c>
      <c r="X25" s="2" t="s">
        <v>146</v>
      </c>
      <c r="Y25" s="2" t="s">
        <v>146</v>
      </c>
      <c r="Z25" s="2" t="s">
        <v>146</v>
      </c>
      <c r="AA25" s="2" t="s">
        <v>146</v>
      </c>
      <c r="AB25" s="2" t="s">
        <v>146</v>
      </c>
      <c r="AC25" s="2" t="s">
        <v>146</v>
      </c>
      <c r="AD25" s="2" t="s">
        <v>146</v>
      </c>
      <c r="AE25" s="2" t="s">
        <v>146</v>
      </c>
      <c r="AF25" s="2" t="s">
        <v>146</v>
      </c>
      <c r="AG25" s="2" t="s">
        <v>146</v>
      </c>
      <c r="AH25" s="2" t="s">
        <v>146</v>
      </c>
      <c r="AI25" s="2" t="s">
        <v>146</v>
      </c>
      <c r="AJ25" s="2" t="s">
        <v>146</v>
      </c>
      <c r="AK25" s="2" t="s">
        <v>146</v>
      </c>
      <c r="AL25" s="2">
        <v>3.4000000000000002E-2</v>
      </c>
      <c r="AM25" s="2">
        <v>3.4000000000000002E-2</v>
      </c>
      <c r="AN25" s="2" t="s">
        <v>49</v>
      </c>
      <c r="AO25" s="2" t="s">
        <v>146</v>
      </c>
      <c r="AP25" s="2" t="s">
        <v>146</v>
      </c>
      <c r="AQ25" s="2" t="s">
        <v>146</v>
      </c>
      <c r="AR25" s="2" t="s">
        <v>146</v>
      </c>
      <c r="AV25" s="2">
        <f t="shared" si="0"/>
        <v>0.89600000000000013</v>
      </c>
      <c r="AW25" s="2">
        <f t="shared" si="1"/>
        <v>0.72699999999999998</v>
      </c>
      <c r="AX25" s="27">
        <f t="shared" si="2"/>
        <v>0.81138392857142838</v>
      </c>
      <c r="BA25" s="2">
        <f t="shared" si="3"/>
        <v>0</v>
      </c>
      <c r="BB25" s="2">
        <f t="shared" si="4"/>
        <v>0</v>
      </c>
      <c r="BC25" s="2">
        <f t="shared" si="5"/>
        <v>0</v>
      </c>
      <c r="BD25" s="2">
        <f t="shared" si="6"/>
        <v>0</v>
      </c>
      <c r="BE25" s="2">
        <f t="shared" si="7"/>
        <v>0</v>
      </c>
      <c r="BF25" s="2">
        <f t="shared" si="8"/>
        <v>0</v>
      </c>
      <c r="BJ25" s="2" t="str">
        <f t="shared" si="9"/>
        <v/>
      </c>
    </row>
    <row r="26" spans="1:62" ht="15" customHeight="1" x14ac:dyDescent="0.45">
      <c r="A26" s="2" t="s">
        <v>664</v>
      </c>
      <c r="B26" s="2" t="s">
        <v>663</v>
      </c>
      <c r="C26" s="2">
        <v>2019</v>
      </c>
      <c r="D26" s="2">
        <v>138</v>
      </c>
      <c r="E26" s="2">
        <v>151.56399999999999</v>
      </c>
      <c r="F26" s="2" t="s">
        <v>146</v>
      </c>
      <c r="G26" s="2">
        <v>1.2E-2</v>
      </c>
      <c r="H26" s="2" t="s">
        <v>146</v>
      </c>
      <c r="I26" s="2" t="s">
        <v>146</v>
      </c>
      <c r="J26" s="2" t="s">
        <v>146</v>
      </c>
      <c r="K26" s="2" t="s">
        <v>146</v>
      </c>
      <c r="L26" s="2" t="s">
        <v>146</v>
      </c>
      <c r="M26" s="2" t="s">
        <v>49</v>
      </c>
      <c r="N26" s="2" t="s">
        <v>146</v>
      </c>
      <c r="O26" s="2" t="s">
        <v>146</v>
      </c>
      <c r="P26" s="2" t="s">
        <v>146</v>
      </c>
      <c r="Q26" s="2" t="s">
        <v>146</v>
      </c>
      <c r="R26" s="2" t="s">
        <v>146</v>
      </c>
      <c r="S26" s="2">
        <v>120</v>
      </c>
      <c r="T26" s="2" t="s">
        <v>147</v>
      </c>
      <c r="U26" s="2" t="s">
        <v>146</v>
      </c>
      <c r="V26" s="2" t="s">
        <v>146</v>
      </c>
      <c r="W26" s="2" t="s">
        <v>146</v>
      </c>
      <c r="X26" s="2" t="s">
        <v>146</v>
      </c>
      <c r="Y26" s="2" t="s">
        <v>146</v>
      </c>
      <c r="Z26" s="2">
        <v>8.0000000000000002E-3</v>
      </c>
      <c r="AA26" s="2" t="s">
        <v>146</v>
      </c>
      <c r="AB26" s="2" t="s">
        <v>146</v>
      </c>
      <c r="AC26" s="2" t="s">
        <v>146</v>
      </c>
      <c r="AD26" s="2" t="s">
        <v>146</v>
      </c>
      <c r="AE26" s="2" t="s">
        <v>146</v>
      </c>
      <c r="AF26" s="2" t="s">
        <v>146</v>
      </c>
      <c r="AG26" s="2">
        <v>1.23</v>
      </c>
      <c r="AH26" s="2">
        <v>30.314</v>
      </c>
      <c r="AI26" s="2" t="s">
        <v>146</v>
      </c>
      <c r="AJ26" s="2" t="s">
        <v>146</v>
      </c>
      <c r="AK26" s="2" t="s">
        <v>146</v>
      </c>
      <c r="AL26" s="2" t="s">
        <v>146</v>
      </c>
      <c r="AM26" s="2" t="s">
        <v>146</v>
      </c>
      <c r="AN26" s="2" t="s">
        <v>49</v>
      </c>
      <c r="AO26" s="2">
        <v>100</v>
      </c>
      <c r="AP26" s="2" t="s">
        <v>146</v>
      </c>
      <c r="AQ26" s="2" t="s">
        <v>146</v>
      </c>
      <c r="AR26" s="2" t="s">
        <v>146</v>
      </c>
      <c r="AV26" s="2">
        <f t="shared" si="0"/>
        <v>151.56399999999999</v>
      </c>
      <c r="AW26" s="2">
        <f t="shared" si="1"/>
        <v>138</v>
      </c>
      <c r="AX26" s="27">
        <f t="shared" si="2"/>
        <v>0.91050645271964326</v>
      </c>
      <c r="BA26" s="2">
        <f t="shared" si="3"/>
        <v>30.314</v>
      </c>
      <c r="BB26" s="2">
        <f t="shared" si="4"/>
        <v>30.314</v>
      </c>
      <c r="BC26" s="2">
        <f t="shared" si="5"/>
        <v>0</v>
      </c>
      <c r="BD26" s="2">
        <f t="shared" si="6"/>
        <v>0</v>
      </c>
      <c r="BE26" s="2">
        <f t="shared" si="7"/>
        <v>0</v>
      </c>
      <c r="BF26" s="2">
        <f t="shared" si="8"/>
        <v>0</v>
      </c>
      <c r="BJ26" s="2" t="str">
        <f t="shared" si="9"/>
        <v/>
      </c>
    </row>
    <row r="27" spans="1:62" ht="15" customHeight="1" x14ac:dyDescent="0.45">
      <c r="A27" s="2" t="s">
        <v>660</v>
      </c>
      <c r="B27" s="2" t="s">
        <v>662</v>
      </c>
      <c r="C27" s="2">
        <v>2019</v>
      </c>
      <c r="D27" s="2">
        <v>67</v>
      </c>
      <c r="E27" s="2">
        <v>79</v>
      </c>
      <c r="F27" s="2" t="s">
        <v>146</v>
      </c>
      <c r="G27" s="2" t="s">
        <v>146</v>
      </c>
      <c r="H27" s="2" t="s">
        <v>146</v>
      </c>
      <c r="I27" s="2" t="s">
        <v>146</v>
      </c>
      <c r="J27" s="2" t="s">
        <v>146</v>
      </c>
      <c r="K27" s="2" t="s">
        <v>146</v>
      </c>
      <c r="L27" s="2" t="s">
        <v>146</v>
      </c>
      <c r="M27" s="2" t="s">
        <v>49</v>
      </c>
      <c r="N27" s="2" t="s">
        <v>146</v>
      </c>
      <c r="O27" s="2" t="s">
        <v>146</v>
      </c>
      <c r="P27" s="2" t="s">
        <v>146</v>
      </c>
      <c r="Q27" s="2" t="s">
        <v>146</v>
      </c>
      <c r="R27" s="2" t="s">
        <v>146</v>
      </c>
      <c r="S27" s="2">
        <v>79</v>
      </c>
      <c r="T27" s="2" t="s">
        <v>146</v>
      </c>
      <c r="U27" s="2" t="s">
        <v>146</v>
      </c>
      <c r="V27" s="2" t="s">
        <v>146</v>
      </c>
      <c r="W27" s="2" t="s">
        <v>146</v>
      </c>
      <c r="X27" s="2" t="s">
        <v>146</v>
      </c>
      <c r="Y27" s="2" t="s">
        <v>146</v>
      </c>
      <c r="Z27" s="2" t="s">
        <v>146</v>
      </c>
      <c r="AA27" s="2" t="s">
        <v>146</v>
      </c>
      <c r="AB27" s="2" t="s">
        <v>146</v>
      </c>
      <c r="AC27" s="2" t="s">
        <v>146</v>
      </c>
      <c r="AD27" s="2" t="s">
        <v>146</v>
      </c>
      <c r="AE27" s="2" t="s">
        <v>146</v>
      </c>
      <c r="AF27" s="2" t="s">
        <v>146</v>
      </c>
      <c r="AG27" s="2" t="s">
        <v>146</v>
      </c>
      <c r="AH27" s="2" t="s">
        <v>146</v>
      </c>
      <c r="AI27" s="2" t="s">
        <v>146</v>
      </c>
      <c r="AJ27" s="2" t="s">
        <v>146</v>
      </c>
      <c r="AK27" s="2" t="s">
        <v>146</v>
      </c>
      <c r="AL27" s="2" t="s">
        <v>146</v>
      </c>
      <c r="AM27" s="2" t="s">
        <v>146</v>
      </c>
      <c r="AN27" s="2" t="s">
        <v>49</v>
      </c>
      <c r="AO27" s="2" t="s">
        <v>146</v>
      </c>
      <c r="AP27" s="2" t="s">
        <v>146</v>
      </c>
      <c r="AQ27" s="2" t="s">
        <v>146</v>
      </c>
      <c r="AR27" s="2" t="s">
        <v>146</v>
      </c>
      <c r="AV27" s="2">
        <f t="shared" si="0"/>
        <v>79</v>
      </c>
      <c r="AW27" s="2">
        <f t="shared" si="1"/>
        <v>67</v>
      </c>
      <c r="AX27" s="27">
        <f t="shared" si="2"/>
        <v>0.84810126582278478</v>
      </c>
      <c r="BA27" s="2">
        <f t="shared" si="3"/>
        <v>0</v>
      </c>
      <c r="BB27" s="2">
        <f t="shared" si="4"/>
        <v>0</v>
      </c>
      <c r="BC27" s="2">
        <f t="shared" si="5"/>
        <v>0</v>
      </c>
      <c r="BD27" s="2">
        <f t="shared" si="6"/>
        <v>0</v>
      </c>
      <c r="BE27" s="2">
        <f t="shared" si="7"/>
        <v>0</v>
      </c>
      <c r="BF27" s="2">
        <f t="shared" si="8"/>
        <v>0</v>
      </c>
      <c r="BJ27" s="2" t="str">
        <f t="shared" si="9"/>
        <v/>
      </c>
    </row>
    <row r="28" spans="1:62" ht="15" customHeight="1" x14ac:dyDescent="0.45">
      <c r="A28" s="2" t="s">
        <v>660</v>
      </c>
      <c r="B28" s="2" t="s">
        <v>661</v>
      </c>
      <c r="C28" s="2">
        <v>2019</v>
      </c>
      <c r="D28" s="2">
        <v>13.7</v>
      </c>
      <c r="E28" s="2">
        <v>16</v>
      </c>
      <c r="F28" s="2" t="s">
        <v>146</v>
      </c>
      <c r="G28" s="2" t="s">
        <v>146</v>
      </c>
      <c r="H28" s="2" t="s">
        <v>146</v>
      </c>
      <c r="I28" s="2" t="s">
        <v>146</v>
      </c>
      <c r="J28" s="2" t="s">
        <v>146</v>
      </c>
      <c r="K28" s="2" t="s">
        <v>146</v>
      </c>
      <c r="L28" s="2" t="s">
        <v>146</v>
      </c>
      <c r="M28" s="2" t="s">
        <v>49</v>
      </c>
      <c r="N28" s="2" t="s">
        <v>146</v>
      </c>
      <c r="O28" s="2" t="s">
        <v>146</v>
      </c>
      <c r="P28" s="2" t="s">
        <v>146</v>
      </c>
      <c r="Q28" s="2" t="s">
        <v>146</v>
      </c>
      <c r="R28" s="2" t="s">
        <v>146</v>
      </c>
      <c r="S28" s="2">
        <v>16</v>
      </c>
      <c r="T28" s="2" t="s">
        <v>146</v>
      </c>
      <c r="U28" s="2" t="s">
        <v>146</v>
      </c>
      <c r="V28" s="2" t="s">
        <v>146</v>
      </c>
      <c r="W28" s="2" t="s">
        <v>146</v>
      </c>
      <c r="X28" s="2" t="s">
        <v>146</v>
      </c>
      <c r="Y28" s="2" t="s">
        <v>146</v>
      </c>
      <c r="Z28" s="2" t="s">
        <v>146</v>
      </c>
      <c r="AA28" s="2" t="s">
        <v>146</v>
      </c>
      <c r="AB28" s="2" t="s">
        <v>146</v>
      </c>
      <c r="AC28" s="2" t="s">
        <v>146</v>
      </c>
      <c r="AD28" s="2" t="s">
        <v>146</v>
      </c>
      <c r="AE28" s="2" t="s">
        <v>146</v>
      </c>
      <c r="AF28" s="2" t="s">
        <v>146</v>
      </c>
      <c r="AG28" s="2" t="s">
        <v>146</v>
      </c>
      <c r="AH28" s="2" t="s">
        <v>146</v>
      </c>
      <c r="AI28" s="2" t="s">
        <v>146</v>
      </c>
      <c r="AJ28" s="2" t="s">
        <v>146</v>
      </c>
      <c r="AK28" s="2" t="s">
        <v>146</v>
      </c>
      <c r="AL28" s="2" t="s">
        <v>146</v>
      </c>
      <c r="AM28" s="2" t="s">
        <v>146</v>
      </c>
      <c r="AN28" s="2" t="s">
        <v>49</v>
      </c>
      <c r="AO28" s="2" t="s">
        <v>146</v>
      </c>
      <c r="AP28" s="2" t="s">
        <v>146</v>
      </c>
      <c r="AQ28" s="2" t="s">
        <v>146</v>
      </c>
      <c r="AR28" s="2" t="s">
        <v>146</v>
      </c>
      <c r="AV28" s="2">
        <f t="shared" si="0"/>
        <v>16</v>
      </c>
      <c r="AW28" s="2">
        <f t="shared" si="1"/>
        <v>13.7</v>
      </c>
      <c r="AX28" s="27">
        <f t="shared" si="2"/>
        <v>0.85624999999999996</v>
      </c>
      <c r="BA28" s="2">
        <f t="shared" si="3"/>
        <v>0</v>
      </c>
      <c r="BB28" s="2">
        <f t="shared" si="4"/>
        <v>0</v>
      </c>
      <c r="BC28" s="2">
        <f t="shared" si="5"/>
        <v>0</v>
      </c>
      <c r="BD28" s="2">
        <f t="shared" si="6"/>
        <v>0</v>
      </c>
      <c r="BE28" s="2">
        <f t="shared" si="7"/>
        <v>0</v>
      </c>
      <c r="BF28" s="2">
        <f t="shared" si="8"/>
        <v>0</v>
      </c>
      <c r="BJ28" s="2" t="str">
        <f t="shared" si="9"/>
        <v/>
      </c>
    </row>
    <row r="29" spans="1:62" ht="15" customHeight="1" x14ac:dyDescent="0.45">
      <c r="A29" s="2" t="s">
        <v>660</v>
      </c>
      <c r="B29" s="2" t="s">
        <v>659</v>
      </c>
      <c r="C29" s="2">
        <v>2019</v>
      </c>
      <c r="D29" s="2">
        <v>18.3</v>
      </c>
      <c r="E29" s="2">
        <v>22</v>
      </c>
      <c r="F29" s="2" t="s">
        <v>146</v>
      </c>
      <c r="G29" s="2" t="s">
        <v>146</v>
      </c>
      <c r="H29" s="2" t="s">
        <v>146</v>
      </c>
      <c r="I29" s="2" t="s">
        <v>146</v>
      </c>
      <c r="J29" s="2" t="s">
        <v>146</v>
      </c>
      <c r="K29" s="2" t="s">
        <v>146</v>
      </c>
      <c r="L29" s="2" t="s">
        <v>146</v>
      </c>
      <c r="M29" s="2" t="s">
        <v>658</v>
      </c>
      <c r="N29" s="2" t="s">
        <v>146</v>
      </c>
      <c r="O29" s="2" t="s">
        <v>146</v>
      </c>
      <c r="P29" s="2" t="s">
        <v>146</v>
      </c>
      <c r="Q29" s="2" t="s">
        <v>146</v>
      </c>
      <c r="R29" s="2" t="s">
        <v>146</v>
      </c>
      <c r="S29" s="2">
        <v>22</v>
      </c>
      <c r="T29" s="2" t="s">
        <v>146</v>
      </c>
      <c r="U29" s="2" t="s">
        <v>146</v>
      </c>
      <c r="V29" s="2" t="s">
        <v>146</v>
      </c>
      <c r="W29" s="2" t="s">
        <v>146</v>
      </c>
      <c r="X29" s="2" t="s">
        <v>146</v>
      </c>
      <c r="Y29" s="2" t="s">
        <v>146</v>
      </c>
      <c r="Z29" s="2" t="s">
        <v>146</v>
      </c>
      <c r="AA29" s="2" t="s">
        <v>146</v>
      </c>
      <c r="AB29" s="2" t="s">
        <v>146</v>
      </c>
      <c r="AC29" s="2" t="s">
        <v>146</v>
      </c>
      <c r="AD29" s="2" t="s">
        <v>146</v>
      </c>
      <c r="AE29" s="2" t="s">
        <v>146</v>
      </c>
      <c r="AF29" s="2" t="s">
        <v>146</v>
      </c>
      <c r="AG29" s="2" t="s">
        <v>146</v>
      </c>
      <c r="AH29" s="2" t="s">
        <v>146</v>
      </c>
      <c r="AI29" s="2" t="s">
        <v>146</v>
      </c>
      <c r="AJ29" s="2" t="s">
        <v>146</v>
      </c>
      <c r="AK29" s="2" t="s">
        <v>146</v>
      </c>
      <c r="AL29" s="2" t="s">
        <v>146</v>
      </c>
      <c r="AM29" s="2" t="s">
        <v>146</v>
      </c>
      <c r="AN29" s="2" t="s">
        <v>658</v>
      </c>
      <c r="AO29" s="2" t="s">
        <v>146</v>
      </c>
      <c r="AP29" s="2" t="s">
        <v>146</v>
      </c>
      <c r="AQ29" s="2" t="s">
        <v>146</v>
      </c>
      <c r="AR29" s="2" t="s">
        <v>146</v>
      </c>
      <c r="AV29" s="2">
        <f t="shared" si="0"/>
        <v>22</v>
      </c>
      <c r="AW29" s="2">
        <f t="shared" si="1"/>
        <v>18.3</v>
      </c>
      <c r="AX29" s="27">
        <f t="shared" si="2"/>
        <v>0.8318181818181819</v>
      </c>
      <c r="BA29" s="2">
        <f t="shared" si="3"/>
        <v>0</v>
      </c>
      <c r="BB29" s="2">
        <f t="shared" si="4"/>
        <v>0</v>
      </c>
      <c r="BC29" s="2">
        <f t="shared" si="5"/>
        <v>0</v>
      </c>
      <c r="BD29" s="2">
        <f t="shared" si="6"/>
        <v>0</v>
      </c>
      <c r="BE29" s="2">
        <f t="shared" si="7"/>
        <v>0</v>
      </c>
      <c r="BF29" s="2">
        <f t="shared" si="8"/>
        <v>0</v>
      </c>
      <c r="BJ29" s="2" t="str">
        <f t="shared" si="9"/>
        <v/>
      </c>
    </row>
    <row r="30" spans="1:62" ht="15" customHeight="1" x14ac:dyDescent="0.45">
      <c r="A30" s="2" t="s">
        <v>657</v>
      </c>
      <c r="B30" s="2" t="s">
        <v>656</v>
      </c>
      <c r="C30" s="2">
        <v>2019</v>
      </c>
      <c r="D30" s="2">
        <v>27.19</v>
      </c>
      <c r="E30" s="2">
        <v>34.07</v>
      </c>
      <c r="F30" s="2" t="s">
        <v>146</v>
      </c>
      <c r="G30" s="2" t="s">
        <v>146</v>
      </c>
      <c r="H30" s="2" t="s">
        <v>146</v>
      </c>
      <c r="I30" s="2" t="s">
        <v>146</v>
      </c>
      <c r="J30" s="2" t="s">
        <v>146</v>
      </c>
      <c r="K30" s="2" t="s">
        <v>146</v>
      </c>
      <c r="L30" s="2" t="s">
        <v>146</v>
      </c>
      <c r="M30" s="2" t="s">
        <v>176</v>
      </c>
      <c r="N30" s="2">
        <v>0</v>
      </c>
      <c r="O30" s="2">
        <v>0</v>
      </c>
      <c r="P30" s="2">
        <v>29.99</v>
      </c>
      <c r="Q30" s="2">
        <v>0</v>
      </c>
      <c r="R30" s="2">
        <v>0</v>
      </c>
      <c r="S30" s="2">
        <v>0</v>
      </c>
      <c r="T30" s="2" t="s">
        <v>147</v>
      </c>
      <c r="U30" s="2">
        <v>4.08</v>
      </c>
      <c r="V30" s="2">
        <v>0</v>
      </c>
      <c r="W30" s="2">
        <v>0</v>
      </c>
      <c r="X30" s="2">
        <v>0</v>
      </c>
      <c r="Y30" s="2">
        <v>0</v>
      </c>
      <c r="Z30" s="2">
        <v>0</v>
      </c>
      <c r="AA30" s="2">
        <v>0</v>
      </c>
      <c r="AB30" s="2" t="s">
        <v>146</v>
      </c>
      <c r="AC30" s="2" t="s">
        <v>146</v>
      </c>
      <c r="AD30" s="2" t="s">
        <v>146</v>
      </c>
      <c r="AE30" s="2" t="s">
        <v>146</v>
      </c>
      <c r="AF30" s="2" t="s">
        <v>146</v>
      </c>
      <c r="AG30" s="2" t="s">
        <v>146</v>
      </c>
      <c r="AH30" s="2" t="s">
        <v>146</v>
      </c>
      <c r="AI30" s="2" t="s">
        <v>146</v>
      </c>
      <c r="AJ30" s="2" t="s">
        <v>146</v>
      </c>
      <c r="AK30" s="2" t="s">
        <v>146</v>
      </c>
      <c r="AL30" s="2" t="s">
        <v>146</v>
      </c>
      <c r="AM30" s="2" t="s">
        <v>146</v>
      </c>
      <c r="AN30" s="2" t="s">
        <v>49</v>
      </c>
      <c r="AO30" s="2" t="s">
        <v>146</v>
      </c>
      <c r="AP30" s="2" t="s">
        <v>146</v>
      </c>
      <c r="AQ30" s="2" t="s">
        <v>146</v>
      </c>
      <c r="AR30" s="2" t="s">
        <v>146</v>
      </c>
      <c r="AV30" s="2">
        <f t="shared" si="0"/>
        <v>34.07</v>
      </c>
      <c r="AW30" s="2">
        <f t="shared" si="1"/>
        <v>27.19</v>
      </c>
      <c r="AX30" s="27">
        <f t="shared" si="2"/>
        <v>0.79806281185793959</v>
      </c>
      <c r="BA30" s="2">
        <f t="shared" si="3"/>
        <v>0</v>
      </c>
      <c r="BB30" s="2">
        <f t="shared" si="4"/>
        <v>0</v>
      </c>
      <c r="BC30" s="2">
        <f t="shared" si="5"/>
        <v>0</v>
      </c>
      <c r="BD30" s="2">
        <f t="shared" si="6"/>
        <v>0</v>
      </c>
      <c r="BE30" s="2">
        <f t="shared" si="7"/>
        <v>0</v>
      </c>
      <c r="BF30" s="2">
        <f t="shared" si="8"/>
        <v>0</v>
      </c>
      <c r="BJ30" s="2" t="str">
        <f t="shared" si="9"/>
        <v/>
      </c>
    </row>
    <row r="31" spans="1:62" ht="15" customHeight="1" x14ac:dyDescent="0.45">
      <c r="A31" s="2" t="s">
        <v>53</v>
      </c>
      <c r="B31" s="2" t="s">
        <v>54</v>
      </c>
      <c r="C31" s="2">
        <v>2019</v>
      </c>
      <c r="D31" s="2">
        <v>41.6</v>
      </c>
      <c r="E31" s="2">
        <v>55.2</v>
      </c>
      <c r="F31" s="2" t="s">
        <v>146</v>
      </c>
      <c r="G31" s="2" t="s">
        <v>146</v>
      </c>
      <c r="H31" s="2" t="s">
        <v>146</v>
      </c>
      <c r="I31" s="2" t="s">
        <v>146</v>
      </c>
      <c r="J31" s="2" t="s">
        <v>146</v>
      </c>
      <c r="K31" s="2" t="s">
        <v>146</v>
      </c>
      <c r="L31" s="2" t="s">
        <v>146</v>
      </c>
      <c r="M31" s="2" t="s">
        <v>49</v>
      </c>
      <c r="N31" s="2" t="s">
        <v>146</v>
      </c>
      <c r="O31" s="2" t="s">
        <v>146</v>
      </c>
      <c r="P31" s="2" t="s">
        <v>146</v>
      </c>
      <c r="Q31" s="2" t="s">
        <v>146</v>
      </c>
      <c r="R31" s="2" t="s">
        <v>146</v>
      </c>
      <c r="S31" s="2">
        <v>32</v>
      </c>
      <c r="T31" s="2" t="s">
        <v>146</v>
      </c>
      <c r="U31" s="2">
        <v>9.3000000000000007</v>
      </c>
      <c r="V31" s="2" t="s">
        <v>146</v>
      </c>
      <c r="W31" s="2" t="s">
        <v>146</v>
      </c>
      <c r="X31" s="2" t="s">
        <v>146</v>
      </c>
      <c r="Y31" s="2" t="s">
        <v>146</v>
      </c>
      <c r="Z31" s="2" t="s">
        <v>146</v>
      </c>
      <c r="AA31" s="2" t="s">
        <v>146</v>
      </c>
      <c r="AB31" s="2">
        <v>6.4</v>
      </c>
      <c r="AC31" s="2" t="s">
        <v>146</v>
      </c>
      <c r="AD31" s="2" t="s">
        <v>146</v>
      </c>
      <c r="AE31" s="2" t="s">
        <v>146</v>
      </c>
      <c r="AF31" s="2" t="s">
        <v>146</v>
      </c>
      <c r="AG31" s="2" t="s">
        <v>146</v>
      </c>
      <c r="AH31" s="2">
        <v>7.5</v>
      </c>
      <c r="AI31" s="2" t="s">
        <v>146</v>
      </c>
      <c r="AJ31" s="2" t="s">
        <v>146</v>
      </c>
      <c r="AK31" s="2" t="s">
        <v>146</v>
      </c>
      <c r="AL31" s="2" t="s">
        <v>146</v>
      </c>
      <c r="AM31" s="2" t="s">
        <v>146</v>
      </c>
      <c r="AN31" s="2" t="s">
        <v>49</v>
      </c>
      <c r="AO31" s="2">
        <v>80</v>
      </c>
      <c r="AP31" s="2" t="s">
        <v>146</v>
      </c>
      <c r="AQ31" s="2" t="s">
        <v>146</v>
      </c>
      <c r="AR31" s="2">
        <v>20</v>
      </c>
      <c r="AV31" s="2">
        <f t="shared" si="0"/>
        <v>55.199999999999996</v>
      </c>
      <c r="AW31" s="2">
        <f t="shared" si="1"/>
        <v>41.6</v>
      </c>
      <c r="AX31" s="27">
        <f t="shared" si="2"/>
        <v>0.75362318840579723</v>
      </c>
      <c r="BA31" s="2">
        <f t="shared" si="3"/>
        <v>7.5</v>
      </c>
      <c r="BB31" s="2">
        <f t="shared" si="4"/>
        <v>6</v>
      </c>
      <c r="BC31" s="2">
        <f t="shared" si="5"/>
        <v>0</v>
      </c>
      <c r="BD31" s="2">
        <f t="shared" si="6"/>
        <v>0</v>
      </c>
      <c r="BE31" s="2">
        <f t="shared" si="7"/>
        <v>1.5</v>
      </c>
      <c r="BF31" s="2">
        <f t="shared" si="8"/>
        <v>0</v>
      </c>
      <c r="BJ31" s="2" t="str">
        <f t="shared" si="9"/>
        <v/>
      </c>
    </row>
    <row r="32" spans="1:62" ht="15" customHeight="1" x14ac:dyDescent="0.45">
      <c r="A32" s="2" t="s">
        <v>655</v>
      </c>
      <c r="B32" s="2" t="s">
        <v>654</v>
      </c>
      <c r="C32" s="2">
        <v>2019</v>
      </c>
      <c r="D32" s="2">
        <v>133.30000000000001</v>
      </c>
      <c r="E32" s="2">
        <v>125.15</v>
      </c>
      <c r="F32" s="2" t="s">
        <v>146</v>
      </c>
      <c r="G32" s="2">
        <v>1.74</v>
      </c>
      <c r="H32" s="2" t="s">
        <v>146</v>
      </c>
      <c r="I32" s="2">
        <v>1.67</v>
      </c>
      <c r="J32" s="2" t="s">
        <v>146</v>
      </c>
      <c r="K32" s="2" t="s">
        <v>146</v>
      </c>
      <c r="L32" s="2" t="s">
        <v>146</v>
      </c>
      <c r="M32" s="2" t="s">
        <v>49</v>
      </c>
      <c r="N32" s="2" t="s">
        <v>146</v>
      </c>
      <c r="O32" s="2" t="s">
        <v>146</v>
      </c>
      <c r="P32" s="2" t="s">
        <v>146</v>
      </c>
      <c r="Q32" s="2" t="s">
        <v>146</v>
      </c>
      <c r="R32" s="2" t="s">
        <v>146</v>
      </c>
      <c r="S32" s="2">
        <v>85.4</v>
      </c>
      <c r="T32" s="2" t="s">
        <v>147</v>
      </c>
      <c r="U32" s="2">
        <v>15.5</v>
      </c>
      <c r="V32" s="2" t="s">
        <v>146</v>
      </c>
      <c r="W32" s="2" t="s">
        <v>146</v>
      </c>
      <c r="X32" s="2" t="s">
        <v>146</v>
      </c>
      <c r="Y32" s="2" t="s">
        <v>146</v>
      </c>
      <c r="Z32" s="2" t="s">
        <v>146</v>
      </c>
      <c r="AA32" s="2" t="s">
        <v>146</v>
      </c>
      <c r="AB32" s="2" t="s">
        <v>146</v>
      </c>
      <c r="AC32" s="2" t="s">
        <v>146</v>
      </c>
      <c r="AD32" s="2" t="s">
        <v>146</v>
      </c>
      <c r="AE32" s="2" t="s">
        <v>155</v>
      </c>
      <c r="AF32" s="2" t="s">
        <v>146</v>
      </c>
      <c r="AG32" s="2">
        <v>0.84</v>
      </c>
      <c r="AH32" s="2">
        <v>20</v>
      </c>
      <c r="AI32" s="2" t="s">
        <v>146</v>
      </c>
      <c r="AJ32" s="2" t="s">
        <v>146</v>
      </c>
      <c r="AK32" s="2" t="s">
        <v>146</v>
      </c>
      <c r="AL32" s="2" t="s">
        <v>146</v>
      </c>
      <c r="AM32" s="2" t="s">
        <v>146</v>
      </c>
      <c r="AN32" s="2" t="s">
        <v>49</v>
      </c>
      <c r="AO32" s="2">
        <v>100</v>
      </c>
      <c r="AP32" s="2" t="s">
        <v>146</v>
      </c>
      <c r="AQ32" s="2" t="s">
        <v>146</v>
      </c>
      <c r="AR32" s="2" t="s">
        <v>146</v>
      </c>
      <c r="AV32" s="2">
        <f t="shared" si="0"/>
        <v>125.15</v>
      </c>
      <c r="AW32" s="2">
        <f t="shared" si="1"/>
        <v>133.30000000000001</v>
      </c>
      <c r="AX32" s="27">
        <f t="shared" si="2"/>
        <v>1.0651218537754694</v>
      </c>
      <c r="BA32" s="2">
        <f t="shared" si="3"/>
        <v>20</v>
      </c>
      <c r="BB32" s="2">
        <f t="shared" si="4"/>
        <v>20</v>
      </c>
      <c r="BC32" s="2">
        <f t="shared" si="5"/>
        <v>0</v>
      </c>
      <c r="BD32" s="2">
        <f t="shared" si="6"/>
        <v>0</v>
      </c>
      <c r="BE32" s="2">
        <f t="shared" si="7"/>
        <v>0</v>
      </c>
      <c r="BF32" s="2">
        <f t="shared" si="8"/>
        <v>0</v>
      </c>
      <c r="BJ32" s="2" t="str">
        <f t="shared" si="9"/>
        <v/>
      </c>
    </row>
    <row r="33" spans="1:62" ht="15" customHeight="1" x14ac:dyDescent="0.45">
      <c r="A33" s="2" t="s">
        <v>653</v>
      </c>
      <c r="B33" s="2" t="s">
        <v>652</v>
      </c>
      <c r="C33" s="2">
        <v>2019</v>
      </c>
      <c r="D33" s="2">
        <v>1.5</v>
      </c>
      <c r="E33" s="2">
        <v>1.4</v>
      </c>
      <c r="F33" s="2" t="s">
        <v>146</v>
      </c>
      <c r="G33" s="2">
        <v>0.1</v>
      </c>
      <c r="H33" s="2" t="s">
        <v>146</v>
      </c>
      <c r="I33" s="2" t="s">
        <v>146</v>
      </c>
      <c r="J33" s="2" t="s">
        <v>146</v>
      </c>
      <c r="K33" s="2" t="s">
        <v>146</v>
      </c>
      <c r="L33" s="2" t="s">
        <v>146</v>
      </c>
      <c r="M33" s="2" t="s">
        <v>49</v>
      </c>
      <c r="N33" s="2" t="s">
        <v>146</v>
      </c>
      <c r="O33" s="2" t="s">
        <v>146</v>
      </c>
      <c r="P33" s="2" t="s">
        <v>146</v>
      </c>
      <c r="Q33" s="2" t="s">
        <v>146</v>
      </c>
      <c r="R33" s="2" t="s">
        <v>146</v>
      </c>
      <c r="S33" s="2" t="s">
        <v>146</v>
      </c>
      <c r="T33" s="2" t="s">
        <v>146</v>
      </c>
      <c r="U33" s="2">
        <v>1.3</v>
      </c>
      <c r="V33" s="2" t="s">
        <v>146</v>
      </c>
      <c r="W33" s="2" t="s">
        <v>146</v>
      </c>
      <c r="X33" s="2" t="s">
        <v>146</v>
      </c>
      <c r="Y33" s="2" t="s">
        <v>146</v>
      </c>
      <c r="Z33" s="2" t="s">
        <v>146</v>
      </c>
      <c r="AA33" s="2" t="s">
        <v>146</v>
      </c>
      <c r="AB33" s="2" t="s">
        <v>146</v>
      </c>
      <c r="AC33" s="2" t="s">
        <v>146</v>
      </c>
      <c r="AD33" s="2" t="s">
        <v>146</v>
      </c>
      <c r="AE33" s="2" t="s">
        <v>146</v>
      </c>
      <c r="AF33" s="2" t="s">
        <v>146</v>
      </c>
      <c r="AG33" s="2" t="s">
        <v>146</v>
      </c>
      <c r="AH33" s="2" t="s">
        <v>146</v>
      </c>
      <c r="AI33" s="2" t="s">
        <v>146</v>
      </c>
      <c r="AJ33" s="2" t="s">
        <v>146</v>
      </c>
      <c r="AK33" s="2" t="s">
        <v>146</v>
      </c>
      <c r="AL33" s="2" t="s">
        <v>146</v>
      </c>
      <c r="AM33" s="2" t="s">
        <v>146</v>
      </c>
      <c r="AN33" s="2" t="s">
        <v>49</v>
      </c>
      <c r="AO33" s="2" t="s">
        <v>146</v>
      </c>
      <c r="AP33" s="2" t="s">
        <v>146</v>
      </c>
      <c r="AQ33" s="2" t="s">
        <v>146</v>
      </c>
      <c r="AR33" s="2" t="s">
        <v>146</v>
      </c>
      <c r="AV33" s="2">
        <f t="shared" si="0"/>
        <v>1.4000000000000001</v>
      </c>
      <c r="AW33" s="2">
        <f t="shared" si="1"/>
        <v>1.5</v>
      </c>
      <c r="AX33" s="27">
        <f t="shared" si="2"/>
        <v>1.0714285714285714</v>
      </c>
      <c r="BA33" s="2">
        <f t="shared" si="3"/>
        <v>0</v>
      </c>
      <c r="BB33" s="2">
        <f t="shared" si="4"/>
        <v>0</v>
      </c>
      <c r="BC33" s="2">
        <f t="shared" si="5"/>
        <v>0</v>
      </c>
      <c r="BD33" s="2">
        <f t="shared" si="6"/>
        <v>0</v>
      </c>
      <c r="BE33" s="2">
        <f t="shared" si="7"/>
        <v>0</v>
      </c>
      <c r="BF33" s="2">
        <f t="shared" si="8"/>
        <v>0</v>
      </c>
      <c r="BJ33" s="2" t="str">
        <f t="shared" si="9"/>
        <v/>
      </c>
    </row>
    <row r="34" spans="1:62" ht="15" customHeight="1" x14ac:dyDescent="0.45">
      <c r="A34" s="2" t="s">
        <v>651</v>
      </c>
      <c r="B34" s="2" t="s">
        <v>62</v>
      </c>
      <c r="C34" s="2">
        <v>2019</v>
      </c>
      <c r="D34" s="2">
        <v>78</v>
      </c>
      <c r="E34" s="2">
        <v>106.13</v>
      </c>
      <c r="F34" s="2" t="s">
        <v>146</v>
      </c>
      <c r="G34" s="2">
        <v>1.5</v>
      </c>
      <c r="H34" s="2" t="s">
        <v>146</v>
      </c>
      <c r="I34" s="2">
        <v>1.33</v>
      </c>
      <c r="J34" s="2" t="s">
        <v>146</v>
      </c>
      <c r="K34" s="2" t="s">
        <v>146</v>
      </c>
      <c r="L34" s="2" t="s">
        <v>146</v>
      </c>
      <c r="M34" s="2" t="s">
        <v>176</v>
      </c>
      <c r="N34" s="2" t="s">
        <v>146</v>
      </c>
      <c r="O34" s="2" t="s">
        <v>146</v>
      </c>
      <c r="P34" s="2" t="s">
        <v>146</v>
      </c>
      <c r="Q34" s="2">
        <v>9</v>
      </c>
      <c r="R34" s="2" t="s">
        <v>146</v>
      </c>
      <c r="S34" s="2">
        <v>2</v>
      </c>
      <c r="T34" s="2" t="s">
        <v>147</v>
      </c>
      <c r="U34" s="2" t="s">
        <v>146</v>
      </c>
      <c r="V34" s="2" t="s">
        <v>146</v>
      </c>
      <c r="W34" s="2" t="s">
        <v>146</v>
      </c>
      <c r="X34" s="2">
        <v>6.1</v>
      </c>
      <c r="Y34" s="2" t="s">
        <v>146</v>
      </c>
      <c r="Z34" s="2">
        <v>3.9</v>
      </c>
      <c r="AA34" s="2" t="s">
        <v>146</v>
      </c>
      <c r="AB34" s="2">
        <v>1.5</v>
      </c>
      <c r="AC34" s="2">
        <v>68</v>
      </c>
      <c r="AD34" s="2">
        <v>0.87</v>
      </c>
      <c r="AE34" s="2" t="s">
        <v>160</v>
      </c>
      <c r="AF34" s="2">
        <v>37.299999999999997</v>
      </c>
      <c r="AG34" s="2" t="s">
        <v>146</v>
      </c>
      <c r="AH34" s="2">
        <v>12.8</v>
      </c>
      <c r="AI34" s="2" t="s">
        <v>146</v>
      </c>
      <c r="AJ34" s="2" t="s">
        <v>146</v>
      </c>
      <c r="AK34" s="2" t="s">
        <v>146</v>
      </c>
      <c r="AL34" s="2" t="s">
        <v>146</v>
      </c>
      <c r="AM34" s="2" t="s">
        <v>146</v>
      </c>
      <c r="AN34" s="2" t="s">
        <v>176</v>
      </c>
      <c r="AO34" s="2">
        <v>14</v>
      </c>
      <c r="AP34" s="2">
        <v>84</v>
      </c>
      <c r="AQ34" s="2">
        <v>0</v>
      </c>
      <c r="AR34" s="2">
        <v>2</v>
      </c>
      <c r="AV34" s="2">
        <f t="shared" si="0"/>
        <v>106.13</v>
      </c>
      <c r="AW34" s="2">
        <f t="shared" si="1"/>
        <v>78</v>
      </c>
      <c r="AX34" s="27">
        <f t="shared" si="2"/>
        <v>0.73494770564402156</v>
      </c>
      <c r="BA34" s="2">
        <f t="shared" si="3"/>
        <v>12.8</v>
      </c>
      <c r="BB34" s="2">
        <f t="shared" si="4"/>
        <v>1.7920000000000003</v>
      </c>
      <c r="BC34" s="2">
        <f t="shared" si="5"/>
        <v>10.752000000000001</v>
      </c>
      <c r="BD34" s="2">
        <f t="shared" si="6"/>
        <v>0</v>
      </c>
      <c r="BE34" s="2">
        <f t="shared" si="7"/>
        <v>0.25600000000000001</v>
      </c>
      <c r="BF34" s="2">
        <f t="shared" si="8"/>
        <v>0</v>
      </c>
      <c r="BJ34" s="2" t="str">
        <f t="shared" si="9"/>
        <v/>
      </c>
    </row>
    <row r="35" spans="1:62" ht="15" customHeight="1" x14ac:dyDescent="0.45">
      <c r="A35" s="2" t="s">
        <v>647</v>
      </c>
      <c r="B35" s="2" t="s">
        <v>650</v>
      </c>
      <c r="C35" s="2">
        <v>2019</v>
      </c>
      <c r="D35" s="2">
        <v>20.71</v>
      </c>
      <c r="E35" s="2">
        <v>24.56</v>
      </c>
      <c r="F35" s="2" t="s">
        <v>146</v>
      </c>
      <c r="G35" s="2">
        <v>1.1499999999999999</v>
      </c>
      <c r="H35" s="2" t="s">
        <v>146</v>
      </c>
      <c r="I35" s="2" t="s">
        <v>146</v>
      </c>
      <c r="J35" s="2" t="s">
        <v>146</v>
      </c>
      <c r="K35" s="2" t="s">
        <v>146</v>
      </c>
      <c r="L35" s="2" t="s">
        <v>146</v>
      </c>
      <c r="M35" s="2" t="s">
        <v>49</v>
      </c>
      <c r="N35" s="2" t="s">
        <v>146</v>
      </c>
      <c r="O35" s="2" t="s">
        <v>146</v>
      </c>
      <c r="P35" s="2">
        <v>12.88</v>
      </c>
      <c r="Q35" s="2">
        <v>7.55</v>
      </c>
      <c r="R35" s="2" t="s">
        <v>146</v>
      </c>
      <c r="S35" s="2" t="s">
        <v>146</v>
      </c>
      <c r="T35" s="2" t="s">
        <v>147</v>
      </c>
      <c r="U35" s="2" t="s">
        <v>146</v>
      </c>
      <c r="V35" s="2" t="s">
        <v>146</v>
      </c>
      <c r="W35" s="2" t="s">
        <v>146</v>
      </c>
      <c r="X35" s="2" t="s">
        <v>146</v>
      </c>
      <c r="Y35" s="2" t="s">
        <v>146</v>
      </c>
      <c r="Z35" s="2" t="s">
        <v>146</v>
      </c>
      <c r="AA35" s="2" t="s">
        <v>146</v>
      </c>
      <c r="AB35" s="2" t="s">
        <v>146</v>
      </c>
      <c r="AC35" s="2" t="s">
        <v>146</v>
      </c>
      <c r="AD35" s="2" t="s">
        <v>146</v>
      </c>
      <c r="AE35" s="2" t="s">
        <v>155</v>
      </c>
      <c r="AF35" s="2" t="s">
        <v>146</v>
      </c>
      <c r="AG35" s="2" t="s">
        <v>146</v>
      </c>
      <c r="AH35" s="2">
        <v>2.98</v>
      </c>
      <c r="AI35" s="2" t="s">
        <v>146</v>
      </c>
      <c r="AJ35" s="2" t="s">
        <v>146</v>
      </c>
      <c r="AK35" s="2" t="s">
        <v>146</v>
      </c>
      <c r="AL35" s="2" t="s">
        <v>146</v>
      </c>
      <c r="AM35" s="2" t="s">
        <v>146</v>
      </c>
      <c r="AN35" s="2" t="s">
        <v>49</v>
      </c>
      <c r="AO35" s="2">
        <v>100</v>
      </c>
      <c r="AP35" s="2">
        <v>0</v>
      </c>
      <c r="AQ35" s="2">
        <v>0</v>
      </c>
      <c r="AR35" s="2">
        <v>0</v>
      </c>
      <c r="AV35" s="2">
        <f t="shared" si="0"/>
        <v>24.560000000000002</v>
      </c>
      <c r="AW35" s="2">
        <f t="shared" si="1"/>
        <v>20.71</v>
      </c>
      <c r="AX35" s="27">
        <f t="shared" si="2"/>
        <v>0.84324104234527686</v>
      </c>
      <c r="BA35" s="2">
        <f t="shared" si="3"/>
        <v>2.98</v>
      </c>
      <c r="BB35" s="2">
        <f t="shared" si="4"/>
        <v>2.98</v>
      </c>
      <c r="BC35" s="2">
        <f t="shared" si="5"/>
        <v>0</v>
      </c>
      <c r="BD35" s="2">
        <f t="shared" si="6"/>
        <v>0</v>
      </c>
      <c r="BE35" s="2">
        <f t="shared" si="7"/>
        <v>0</v>
      </c>
      <c r="BF35" s="2">
        <f t="shared" si="8"/>
        <v>0</v>
      </c>
      <c r="BJ35" s="2" t="str">
        <f t="shared" si="9"/>
        <v/>
      </c>
    </row>
    <row r="36" spans="1:62" ht="15" customHeight="1" x14ac:dyDescent="0.45">
      <c r="A36" s="2" t="s">
        <v>647</v>
      </c>
      <c r="B36" s="2" t="s">
        <v>649</v>
      </c>
      <c r="C36" s="2">
        <v>2019</v>
      </c>
      <c r="D36" s="2">
        <v>24.89</v>
      </c>
      <c r="E36" s="2">
        <v>29.28</v>
      </c>
      <c r="F36" s="2" t="s">
        <v>146</v>
      </c>
      <c r="G36" s="2">
        <v>0.31</v>
      </c>
      <c r="H36" s="2" t="s">
        <v>146</v>
      </c>
      <c r="I36" s="2" t="s">
        <v>146</v>
      </c>
      <c r="J36" s="2" t="s">
        <v>146</v>
      </c>
      <c r="K36" s="2" t="s">
        <v>146</v>
      </c>
      <c r="L36" s="2" t="s">
        <v>146</v>
      </c>
      <c r="M36" s="2" t="s">
        <v>49</v>
      </c>
      <c r="N36" s="2" t="s">
        <v>146</v>
      </c>
      <c r="O36" s="2">
        <v>2.9</v>
      </c>
      <c r="P36" s="2">
        <v>0.87</v>
      </c>
      <c r="Q36" s="2">
        <v>2.89</v>
      </c>
      <c r="R36" s="2" t="s">
        <v>146</v>
      </c>
      <c r="S36" s="2" t="s">
        <v>146</v>
      </c>
      <c r="T36" s="2" t="s">
        <v>147</v>
      </c>
      <c r="U36" s="2" t="s">
        <v>146</v>
      </c>
      <c r="V36" s="2" t="s">
        <v>146</v>
      </c>
      <c r="W36" s="2" t="s">
        <v>146</v>
      </c>
      <c r="X36" s="2">
        <v>17.079999999999998</v>
      </c>
      <c r="Y36" s="2" t="s">
        <v>146</v>
      </c>
      <c r="Z36" s="2" t="s">
        <v>146</v>
      </c>
      <c r="AA36" s="2" t="s">
        <v>146</v>
      </c>
      <c r="AB36" s="2" t="s">
        <v>146</v>
      </c>
      <c r="AC36" s="2">
        <v>4.22</v>
      </c>
      <c r="AD36" s="2" t="s">
        <v>146</v>
      </c>
      <c r="AE36" s="2" t="s">
        <v>160</v>
      </c>
      <c r="AF36" s="2">
        <v>37.299999999999997</v>
      </c>
      <c r="AG36" s="2" t="s">
        <v>146</v>
      </c>
      <c r="AH36" s="2">
        <v>1.01</v>
      </c>
      <c r="AI36" s="2" t="s">
        <v>146</v>
      </c>
      <c r="AJ36" s="2" t="s">
        <v>146</v>
      </c>
      <c r="AK36" s="2" t="s">
        <v>146</v>
      </c>
      <c r="AL36" s="2" t="s">
        <v>146</v>
      </c>
      <c r="AM36" s="2" t="s">
        <v>146</v>
      </c>
      <c r="AN36" s="2" t="s">
        <v>648</v>
      </c>
      <c r="AO36" s="2">
        <v>52</v>
      </c>
      <c r="AP36" s="2">
        <v>48</v>
      </c>
      <c r="AQ36" s="2">
        <v>0</v>
      </c>
      <c r="AR36" s="2">
        <v>0</v>
      </c>
      <c r="AV36" s="2">
        <f t="shared" si="0"/>
        <v>29.279999999999998</v>
      </c>
      <c r="AW36" s="2">
        <f t="shared" si="1"/>
        <v>24.89</v>
      </c>
      <c r="AX36" s="27">
        <f t="shared" si="2"/>
        <v>0.85006830601092909</v>
      </c>
      <c r="BA36" s="2">
        <f t="shared" si="3"/>
        <v>1.01</v>
      </c>
      <c r="BB36" s="2">
        <f t="shared" si="4"/>
        <v>0.5252</v>
      </c>
      <c r="BC36" s="2">
        <f t="shared" si="5"/>
        <v>0.48480000000000001</v>
      </c>
      <c r="BD36" s="2">
        <f t="shared" si="6"/>
        <v>0</v>
      </c>
      <c r="BE36" s="2">
        <f t="shared" si="7"/>
        <v>0</v>
      </c>
      <c r="BF36" s="2">
        <f t="shared" si="8"/>
        <v>0</v>
      </c>
      <c r="BJ36" s="2" t="str">
        <f t="shared" si="9"/>
        <v/>
      </c>
    </row>
    <row r="37" spans="1:62" ht="15" customHeight="1" x14ac:dyDescent="0.45">
      <c r="A37" s="2" t="s">
        <v>647</v>
      </c>
      <c r="B37" s="2" t="s">
        <v>646</v>
      </c>
      <c r="C37" s="2">
        <v>2019</v>
      </c>
      <c r="D37" s="2">
        <v>25.45</v>
      </c>
      <c r="E37" s="2">
        <v>29.77</v>
      </c>
      <c r="F37" s="2" t="s">
        <v>146</v>
      </c>
      <c r="G37" s="2">
        <v>0.1</v>
      </c>
      <c r="H37" s="2" t="s">
        <v>146</v>
      </c>
      <c r="I37" s="2" t="s">
        <v>146</v>
      </c>
      <c r="J37" s="2" t="s">
        <v>146</v>
      </c>
      <c r="K37" s="2" t="s">
        <v>146</v>
      </c>
      <c r="L37" s="2" t="s">
        <v>146</v>
      </c>
      <c r="M37" s="2" t="s">
        <v>49</v>
      </c>
      <c r="N37" s="2" t="s">
        <v>146</v>
      </c>
      <c r="O37" s="2">
        <v>10.9</v>
      </c>
      <c r="P37" s="2">
        <v>1.5</v>
      </c>
      <c r="Q37" s="2">
        <v>13.84</v>
      </c>
      <c r="R37" s="2" t="s">
        <v>146</v>
      </c>
      <c r="S37" s="2" t="s">
        <v>146</v>
      </c>
      <c r="T37" s="2" t="s">
        <v>147</v>
      </c>
      <c r="U37" s="2" t="s">
        <v>146</v>
      </c>
      <c r="V37" s="2" t="s">
        <v>146</v>
      </c>
      <c r="W37" s="2" t="s">
        <v>146</v>
      </c>
      <c r="X37" s="2" t="s">
        <v>146</v>
      </c>
      <c r="Y37" s="2" t="s">
        <v>146</v>
      </c>
      <c r="Z37" s="2" t="s">
        <v>146</v>
      </c>
      <c r="AA37" s="2" t="s">
        <v>146</v>
      </c>
      <c r="AB37" s="2" t="s">
        <v>146</v>
      </c>
      <c r="AC37" s="2" t="s">
        <v>146</v>
      </c>
      <c r="AD37" s="2" t="s">
        <v>146</v>
      </c>
      <c r="AE37" s="2" t="s">
        <v>155</v>
      </c>
      <c r="AF37" s="2" t="s">
        <v>146</v>
      </c>
      <c r="AG37" s="2" t="s">
        <v>146</v>
      </c>
      <c r="AH37" s="2">
        <v>3.43</v>
      </c>
      <c r="AI37" s="2" t="s">
        <v>146</v>
      </c>
      <c r="AJ37" s="2" t="s">
        <v>146</v>
      </c>
      <c r="AK37" s="2" t="s">
        <v>146</v>
      </c>
      <c r="AL37" s="2" t="s">
        <v>146</v>
      </c>
      <c r="AM37" s="2" t="s">
        <v>146</v>
      </c>
      <c r="AN37" s="2" t="s">
        <v>49</v>
      </c>
      <c r="AO37" s="2">
        <v>100</v>
      </c>
      <c r="AP37" s="2">
        <v>0</v>
      </c>
      <c r="AQ37" s="2">
        <v>0</v>
      </c>
      <c r="AR37" s="2">
        <v>0</v>
      </c>
      <c r="AV37" s="2">
        <f t="shared" si="0"/>
        <v>29.77</v>
      </c>
      <c r="AW37" s="2">
        <f t="shared" si="1"/>
        <v>25.45</v>
      </c>
      <c r="AX37" s="27">
        <f t="shared" si="2"/>
        <v>0.85488747060799464</v>
      </c>
      <c r="BA37" s="2">
        <f t="shared" si="3"/>
        <v>3.43</v>
      </c>
      <c r="BB37" s="2">
        <f t="shared" si="4"/>
        <v>3.43</v>
      </c>
      <c r="BC37" s="2">
        <f t="shared" si="5"/>
        <v>0</v>
      </c>
      <c r="BD37" s="2">
        <f t="shared" si="6"/>
        <v>0</v>
      </c>
      <c r="BE37" s="2">
        <f t="shared" si="7"/>
        <v>0</v>
      </c>
      <c r="BF37" s="2">
        <f t="shared" si="8"/>
        <v>0</v>
      </c>
      <c r="BJ37" s="2" t="str">
        <f t="shared" si="9"/>
        <v/>
      </c>
    </row>
    <row r="38" spans="1:62" ht="15" customHeight="1" x14ac:dyDescent="0.45">
      <c r="A38" s="2" t="s">
        <v>644</v>
      </c>
      <c r="B38" s="2" t="s">
        <v>645</v>
      </c>
      <c r="C38" s="2">
        <v>2019</v>
      </c>
      <c r="D38" s="2">
        <v>29.405000000000001</v>
      </c>
      <c r="E38" s="2">
        <v>29.26</v>
      </c>
      <c r="F38" s="2" t="s">
        <v>146</v>
      </c>
      <c r="G38" s="2">
        <v>6.3E-2</v>
      </c>
      <c r="H38" s="2" t="s">
        <v>146</v>
      </c>
      <c r="I38" s="2" t="s">
        <v>146</v>
      </c>
      <c r="J38" s="2" t="s">
        <v>146</v>
      </c>
      <c r="K38" s="2" t="s">
        <v>146</v>
      </c>
      <c r="L38" s="2" t="s">
        <v>146</v>
      </c>
      <c r="M38" s="2" t="s">
        <v>49</v>
      </c>
      <c r="N38" s="2" t="s">
        <v>146</v>
      </c>
      <c r="O38" s="2" t="s">
        <v>146</v>
      </c>
      <c r="P38" s="2">
        <v>24.998999999999999</v>
      </c>
      <c r="Q38" s="2" t="s">
        <v>146</v>
      </c>
      <c r="R38" s="2" t="s">
        <v>146</v>
      </c>
      <c r="S38" s="2" t="s">
        <v>146</v>
      </c>
      <c r="T38" s="2" t="s">
        <v>146</v>
      </c>
      <c r="U38" s="2" t="s">
        <v>146</v>
      </c>
      <c r="V38" s="2" t="s">
        <v>146</v>
      </c>
      <c r="W38" s="2" t="s">
        <v>146</v>
      </c>
      <c r="X38" s="2" t="s">
        <v>146</v>
      </c>
      <c r="Y38" s="2" t="s">
        <v>146</v>
      </c>
      <c r="Z38" s="2" t="s">
        <v>146</v>
      </c>
      <c r="AA38" s="2" t="s">
        <v>146</v>
      </c>
      <c r="AB38" s="2" t="s">
        <v>146</v>
      </c>
      <c r="AC38" s="2" t="s">
        <v>146</v>
      </c>
      <c r="AD38" s="2" t="s">
        <v>146</v>
      </c>
      <c r="AE38" s="2" t="s">
        <v>146</v>
      </c>
      <c r="AF38" s="2" t="s">
        <v>146</v>
      </c>
      <c r="AG38" s="2" t="s">
        <v>146</v>
      </c>
      <c r="AH38" s="2">
        <v>4.1980000000000004</v>
      </c>
      <c r="AI38" s="2" t="s">
        <v>146</v>
      </c>
      <c r="AJ38" s="2" t="s">
        <v>146</v>
      </c>
      <c r="AK38" s="2" t="s">
        <v>146</v>
      </c>
      <c r="AL38" s="2" t="s">
        <v>146</v>
      </c>
      <c r="AM38" s="2" t="s">
        <v>146</v>
      </c>
      <c r="AN38" s="2" t="s">
        <v>49</v>
      </c>
      <c r="AO38" s="2">
        <v>100</v>
      </c>
      <c r="AP38" s="2">
        <v>0</v>
      </c>
      <c r="AQ38" s="2">
        <v>0</v>
      </c>
      <c r="AR38" s="2">
        <v>0</v>
      </c>
      <c r="AV38" s="2">
        <f t="shared" si="0"/>
        <v>29.259999999999998</v>
      </c>
      <c r="AW38" s="2">
        <f t="shared" si="1"/>
        <v>29.405000000000001</v>
      </c>
      <c r="AX38" s="27">
        <f t="shared" si="2"/>
        <v>1.0049555707450446</v>
      </c>
      <c r="BA38" s="2">
        <f t="shared" si="3"/>
        <v>4.1980000000000004</v>
      </c>
      <c r="BB38" s="2">
        <f t="shared" si="4"/>
        <v>4.1980000000000004</v>
      </c>
      <c r="BC38" s="2">
        <f t="shared" si="5"/>
        <v>0</v>
      </c>
      <c r="BD38" s="2">
        <f t="shared" si="6"/>
        <v>0</v>
      </c>
      <c r="BE38" s="2">
        <f t="shared" si="7"/>
        <v>0</v>
      </c>
      <c r="BF38" s="2">
        <f t="shared" si="8"/>
        <v>0</v>
      </c>
      <c r="BJ38" s="2" t="str">
        <f t="shared" si="9"/>
        <v/>
      </c>
    </row>
    <row r="39" spans="1:62" ht="15" customHeight="1" x14ac:dyDescent="0.45">
      <c r="A39" s="2" t="s">
        <v>644</v>
      </c>
      <c r="B39" s="2" t="s">
        <v>643</v>
      </c>
      <c r="C39" s="2">
        <v>2019</v>
      </c>
      <c r="D39" s="2">
        <v>2.5369999999999999</v>
      </c>
      <c r="E39" s="2">
        <v>3.1219999999999999</v>
      </c>
      <c r="F39" s="2" t="s">
        <v>146</v>
      </c>
      <c r="G39" s="2">
        <v>0.65700000000000003</v>
      </c>
      <c r="H39" s="2" t="s">
        <v>146</v>
      </c>
      <c r="I39" s="2" t="s">
        <v>146</v>
      </c>
      <c r="J39" s="2" t="s">
        <v>146</v>
      </c>
      <c r="K39" s="2" t="s">
        <v>146</v>
      </c>
      <c r="L39" s="2" t="s">
        <v>146</v>
      </c>
      <c r="M39" s="2" t="s">
        <v>49</v>
      </c>
      <c r="N39" s="2" t="s">
        <v>146</v>
      </c>
      <c r="O39" s="2" t="s">
        <v>146</v>
      </c>
      <c r="P39" s="2">
        <v>2.4649999999999999</v>
      </c>
      <c r="Q39" s="2" t="s">
        <v>146</v>
      </c>
      <c r="R39" s="2" t="s">
        <v>146</v>
      </c>
      <c r="S39" s="2" t="s">
        <v>146</v>
      </c>
      <c r="T39" s="2" t="s">
        <v>147</v>
      </c>
      <c r="U39" s="2" t="s">
        <v>146</v>
      </c>
      <c r="V39" s="2" t="s">
        <v>146</v>
      </c>
      <c r="W39" s="2" t="s">
        <v>146</v>
      </c>
      <c r="X39" s="2" t="s">
        <v>146</v>
      </c>
      <c r="Y39" s="2" t="s">
        <v>146</v>
      </c>
      <c r="Z39" s="2" t="s">
        <v>146</v>
      </c>
      <c r="AA39" s="2" t="s">
        <v>146</v>
      </c>
      <c r="AB39" s="2" t="s">
        <v>146</v>
      </c>
      <c r="AC39" s="2" t="s">
        <v>146</v>
      </c>
      <c r="AD39" s="2" t="s">
        <v>146</v>
      </c>
      <c r="AE39" s="2" t="s">
        <v>146</v>
      </c>
      <c r="AF39" s="2" t="s">
        <v>146</v>
      </c>
      <c r="AG39" s="2" t="s">
        <v>146</v>
      </c>
      <c r="AH39" s="2" t="s">
        <v>146</v>
      </c>
      <c r="AI39" s="2" t="s">
        <v>146</v>
      </c>
      <c r="AJ39" s="2" t="s">
        <v>146</v>
      </c>
      <c r="AK39" s="2" t="s">
        <v>146</v>
      </c>
      <c r="AL39" s="2" t="s">
        <v>146</v>
      </c>
      <c r="AM39" s="2" t="s">
        <v>146</v>
      </c>
      <c r="AN39" s="2" t="s">
        <v>49</v>
      </c>
      <c r="AO39" s="2" t="s">
        <v>146</v>
      </c>
      <c r="AP39" s="2" t="s">
        <v>146</v>
      </c>
      <c r="AQ39" s="2" t="s">
        <v>146</v>
      </c>
      <c r="AR39" s="2" t="s">
        <v>146</v>
      </c>
      <c r="AV39" s="2">
        <f t="shared" si="0"/>
        <v>3.1219999999999999</v>
      </c>
      <c r="AW39" s="2">
        <f t="shared" si="1"/>
        <v>2.5369999999999999</v>
      </c>
      <c r="AX39" s="27">
        <f t="shared" si="2"/>
        <v>0.81262011531069822</v>
      </c>
      <c r="BA39" s="2">
        <f t="shared" si="3"/>
        <v>0</v>
      </c>
      <c r="BB39" s="2">
        <f t="shared" si="4"/>
        <v>0</v>
      </c>
      <c r="BC39" s="2">
        <f t="shared" si="5"/>
        <v>0</v>
      </c>
      <c r="BD39" s="2">
        <f t="shared" si="6"/>
        <v>0</v>
      </c>
      <c r="BE39" s="2">
        <f t="shared" si="7"/>
        <v>0</v>
      </c>
      <c r="BF39" s="2">
        <f t="shared" si="8"/>
        <v>0</v>
      </c>
      <c r="BJ39" s="2" t="str">
        <f t="shared" si="9"/>
        <v/>
      </c>
    </row>
    <row r="40" spans="1:62" ht="15" customHeight="1" x14ac:dyDescent="0.45">
      <c r="A40" s="2" t="s">
        <v>640</v>
      </c>
      <c r="B40" s="2" t="s">
        <v>642</v>
      </c>
      <c r="C40" s="2">
        <v>2019</v>
      </c>
      <c r="D40" s="2">
        <v>75.069000000000003</v>
      </c>
      <c r="E40" s="2">
        <v>75.5304</v>
      </c>
      <c r="F40" s="2" t="s">
        <v>146</v>
      </c>
      <c r="G40" s="2">
        <v>2.8899999999999999E-2</v>
      </c>
      <c r="H40" s="2">
        <v>1.1855</v>
      </c>
      <c r="I40" s="2" t="s">
        <v>146</v>
      </c>
      <c r="J40" s="2" t="s">
        <v>146</v>
      </c>
      <c r="K40" s="2" t="s">
        <v>146</v>
      </c>
      <c r="L40" s="2" t="s">
        <v>146</v>
      </c>
      <c r="M40" s="2" t="s">
        <v>146</v>
      </c>
      <c r="N40" s="2">
        <v>2.2170000000000001</v>
      </c>
      <c r="O40" s="2" t="s">
        <v>146</v>
      </c>
      <c r="P40" s="2">
        <v>1.407</v>
      </c>
      <c r="Q40" s="2" t="s">
        <v>146</v>
      </c>
      <c r="R40" s="2" t="s">
        <v>146</v>
      </c>
      <c r="S40" s="2" t="s">
        <v>146</v>
      </c>
      <c r="T40" s="2" t="s">
        <v>146</v>
      </c>
      <c r="U40" s="2" t="s">
        <v>146</v>
      </c>
      <c r="V40" s="2" t="s">
        <v>146</v>
      </c>
      <c r="W40" s="2" t="s">
        <v>146</v>
      </c>
      <c r="X40" s="2">
        <v>2.6539999999999999</v>
      </c>
      <c r="Y40" s="2" t="s">
        <v>146</v>
      </c>
      <c r="Z40" s="2" t="s">
        <v>146</v>
      </c>
      <c r="AA40" s="2" t="s">
        <v>146</v>
      </c>
      <c r="AB40" s="2" t="s">
        <v>146</v>
      </c>
      <c r="AC40" s="2">
        <v>52.816000000000003</v>
      </c>
      <c r="AD40" s="2" t="s">
        <v>146</v>
      </c>
      <c r="AE40" s="2" t="s">
        <v>160</v>
      </c>
      <c r="AF40" s="2">
        <v>37.299999999999997</v>
      </c>
      <c r="AG40" s="2">
        <v>2.7959999999999998</v>
      </c>
      <c r="AH40" s="2">
        <v>9.7650000000000006</v>
      </c>
      <c r="AI40" s="2">
        <v>2.661</v>
      </c>
      <c r="AJ40" s="2" t="s">
        <v>165</v>
      </c>
      <c r="AK40" s="2">
        <v>2.0270000000000001</v>
      </c>
      <c r="AL40" s="2" t="s">
        <v>146</v>
      </c>
      <c r="AM40" s="2" t="s">
        <v>146</v>
      </c>
      <c r="AN40" s="2" t="s">
        <v>146</v>
      </c>
      <c r="AO40" s="2">
        <v>10.63</v>
      </c>
      <c r="AP40" s="2">
        <v>89.37</v>
      </c>
      <c r="AQ40" s="2" t="s">
        <v>146</v>
      </c>
      <c r="AR40" s="2" t="s">
        <v>146</v>
      </c>
      <c r="AV40" s="2">
        <f t="shared" si="0"/>
        <v>75.5304</v>
      </c>
      <c r="AW40" s="2">
        <f t="shared" si="1"/>
        <v>75.069000000000003</v>
      </c>
      <c r="AX40" s="27">
        <f t="shared" si="2"/>
        <v>0.99389120142353282</v>
      </c>
      <c r="BA40" s="2">
        <f t="shared" si="3"/>
        <v>9.7650000000000006</v>
      </c>
      <c r="BB40" s="2">
        <f t="shared" si="4"/>
        <v>1.0380195000000001</v>
      </c>
      <c r="BC40" s="2">
        <f t="shared" si="5"/>
        <v>8.7269805000000016</v>
      </c>
      <c r="BD40" s="2">
        <f t="shared" si="6"/>
        <v>0</v>
      </c>
      <c r="BE40" s="2">
        <f t="shared" si="7"/>
        <v>0</v>
      </c>
      <c r="BF40" s="2">
        <f t="shared" si="8"/>
        <v>0</v>
      </c>
      <c r="BJ40" s="2" t="str">
        <f t="shared" si="9"/>
        <v/>
      </c>
    </row>
    <row r="41" spans="1:62" ht="15" customHeight="1" x14ac:dyDescent="0.45">
      <c r="A41" s="2" t="s">
        <v>640</v>
      </c>
      <c r="B41" s="2" t="s">
        <v>641</v>
      </c>
      <c r="C41" s="2">
        <v>2019</v>
      </c>
      <c r="D41" s="2">
        <v>2.4889999999999999</v>
      </c>
      <c r="E41" s="2">
        <v>2.9272999999999998</v>
      </c>
      <c r="F41" s="2" t="s">
        <v>146</v>
      </c>
      <c r="G41" s="2">
        <v>3.3E-3</v>
      </c>
      <c r="H41" s="2" t="s">
        <v>146</v>
      </c>
      <c r="I41" s="2" t="s">
        <v>146</v>
      </c>
      <c r="J41" s="2" t="s">
        <v>146</v>
      </c>
      <c r="K41" s="2" t="s">
        <v>146</v>
      </c>
      <c r="L41" s="2" t="s">
        <v>146</v>
      </c>
      <c r="M41" s="2" t="s">
        <v>146</v>
      </c>
      <c r="N41" s="2" t="s">
        <v>146</v>
      </c>
      <c r="O41" s="2" t="s">
        <v>146</v>
      </c>
      <c r="P41" s="2" t="s">
        <v>146</v>
      </c>
      <c r="Q41" s="2" t="s">
        <v>146</v>
      </c>
      <c r="R41" s="2" t="s">
        <v>146</v>
      </c>
      <c r="S41" s="2" t="s">
        <v>146</v>
      </c>
      <c r="T41" s="2" t="s">
        <v>146</v>
      </c>
      <c r="U41" s="2">
        <v>2.9239999999999999</v>
      </c>
      <c r="V41" s="2" t="s">
        <v>146</v>
      </c>
      <c r="W41" s="2" t="s">
        <v>146</v>
      </c>
      <c r="X41" s="2" t="s">
        <v>146</v>
      </c>
      <c r="Y41" s="2" t="s">
        <v>146</v>
      </c>
      <c r="Z41" s="2" t="s">
        <v>146</v>
      </c>
      <c r="AA41" s="2" t="s">
        <v>146</v>
      </c>
      <c r="AB41" s="2" t="s">
        <v>146</v>
      </c>
      <c r="AC41" s="2" t="s">
        <v>146</v>
      </c>
      <c r="AD41" s="2" t="s">
        <v>146</v>
      </c>
      <c r="AE41" s="2" t="s">
        <v>233</v>
      </c>
      <c r="AF41" s="2" t="s">
        <v>146</v>
      </c>
      <c r="AG41" s="2" t="s">
        <v>146</v>
      </c>
      <c r="AH41" s="2" t="s">
        <v>146</v>
      </c>
      <c r="AI41" s="2" t="s">
        <v>146</v>
      </c>
      <c r="AJ41" s="2" t="s">
        <v>146</v>
      </c>
      <c r="AK41" s="2" t="s">
        <v>146</v>
      </c>
      <c r="AL41" s="2" t="s">
        <v>146</v>
      </c>
      <c r="AM41" s="2" t="s">
        <v>146</v>
      </c>
      <c r="AN41" s="2" t="s">
        <v>146</v>
      </c>
      <c r="AO41" s="2" t="s">
        <v>146</v>
      </c>
      <c r="AP41" s="2" t="s">
        <v>146</v>
      </c>
      <c r="AQ41" s="2" t="s">
        <v>146</v>
      </c>
      <c r="AR41" s="2" t="s">
        <v>146</v>
      </c>
      <c r="AV41" s="2">
        <f t="shared" si="0"/>
        <v>2.9272999999999998</v>
      </c>
      <c r="AW41" s="2">
        <f t="shared" si="1"/>
        <v>2.4889999999999999</v>
      </c>
      <c r="AX41" s="27">
        <f t="shared" si="2"/>
        <v>0.85027158132067093</v>
      </c>
      <c r="BA41" s="2">
        <f t="shared" si="3"/>
        <v>0</v>
      </c>
      <c r="BB41" s="2">
        <f t="shared" si="4"/>
        <v>0</v>
      </c>
      <c r="BC41" s="2">
        <f t="shared" si="5"/>
        <v>0</v>
      </c>
      <c r="BD41" s="2">
        <f t="shared" si="6"/>
        <v>0</v>
      </c>
      <c r="BE41" s="2">
        <f t="shared" si="7"/>
        <v>0</v>
      </c>
      <c r="BF41" s="2">
        <f t="shared" si="8"/>
        <v>0</v>
      </c>
      <c r="BJ41" s="2" t="str">
        <f t="shared" si="9"/>
        <v/>
      </c>
    </row>
    <row r="42" spans="1:62" ht="15" customHeight="1" x14ac:dyDescent="0.45">
      <c r="A42" s="2" t="s">
        <v>640</v>
      </c>
      <c r="B42" s="2" t="s">
        <v>639</v>
      </c>
      <c r="C42" s="2">
        <v>2019</v>
      </c>
      <c r="D42" s="2">
        <v>4.8639999999999999</v>
      </c>
      <c r="E42" s="2">
        <v>5.6468999999999996</v>
      </c>
      <c r="F42" s="2" t="s">
        <v>146</v>
      </c>
      <c r="G42" s="2">
        <v>2.2599999999999999E-2</v>
      </c>
      <c r="H42" s="2" t="s">
        <v>146</v>
      </c>
      <c r="I42" s="2" t="s">
        <v>146</v>
      </c>
      <c r="J42" s="2" t="s">
        <v>146</v>
      </c>
      <c r="K42" s="2" t="s">
        <v>146</v>
      </c>
      <c r="L42" s="2" t="s">
        <v>146</v>
      </c>
      <c r="M42" s="2" t="s">
        <v>146</v>
      </c>
      <c r="N42" s="2" t="s">
        <v>146</v>
      </c>
      <c r="O42" s="2" t="s">
        <v>146</v>
      </c>
      <c r="P42" s="2" t="s">
        <v>146</v>
      </c>
      <c r="Q42" s="2" t="s">
        <v>146</v>
      </c>
      <c r="R42" s="2" t="s">
        <v>146</v>
      </c>
      <c r="S42" s="2" t="s">
        <v>146</v>
      </c>
      <c r="T42" s="2" t="s">
        <v>146</v>
      </c>
      <c r="U42" s="2">
        <v>5.54</v>
      </c>
      <c r="V42" s="2" t="s">
        <v>146</v>
      </c>
      <c r="W42" s="2" t="s">
        <v>146</v>
      </c>
      <c r="X42" s="2" t="s">
        <v>146</v>
      </c>
      <c r="Y42" s="2" t="s">
        <v>146</v>
      </c>
      <c r="Z42" s="2">
        <v>6.3E-3</v>
      </c>
      <c r="AA42" s="2" t="s">
        <v>146</v>
      </c>
      <c r="AB42" s="2" t="s">
        <v>146</v>
      </c>
      <c r="AC42" s="2" t="s">
        <v>146</v>
      </c>
      <c r="AD42" s="2" t="s">
        <v>146</v>
      </c>
      <c r="AE42" s="2" t="s">
        <v>155</v>
      </c>
      <c r="AF42" s="2" t="s">
        <v>146</v>
      </c>
      <c r="AG42" s="2" t="s">
        <v>146</v>
      </c>
      <c r="AH42" s="2" t="s">
        <v>146</v>
      </c>
      <c r="AI42" s="2" t="s">
        <v>146</v>
      </c>
      <c r="AJ42" s="2" t="s">
        <v>146</v>
      </c>
      <c r="AK42" s="2" t="s">
        <v>146</v>
      </c>
      <c r="AL42" s="2">
        <v>7.8E-2</v>
      </c>
      <c r="AM42" s="2">
        <v>9.06E-2</v>
      </c>
      <c r="AN42" s="2" t="s">
        <v>146</v>
      </c>
      <c r="AO42" s="2" t="s">
        <v>146</v>
      </c>
      <c r="AP42" s="2" t="s">
        <v>146</v>
      </c>
      <c r="AQ42" s="2" t="s">
        <v>146</v>
      </c>
      <c r="AR42" s="2" t="s">
        <v>146</v>
      </c>
      <c r="AV42" s="2">
        <f t="shared" si="0"/>
        <v>5.6469000000000005</v>
      </c>
      <c r="AW42" s="2">
        <f t="shared" si="1"/>
        <v>4.8639999999999999</v>
      </c>
      <c r="AX42" s="27">
        <f t="shared" si="2"/>
        <v>0.86135755901468047</v>
      </c>
      <c r="BA42" s="2">
        <f t="shared" si="3"/>
        <v>0</v>
      </c>
      <c r="BB42" s="2">
        <f t="shared" si="4"/>
        <v>0</v>
      </c>
      <c r="BC42" s="2">
        <f t="shared" si="5"/>
        <v>0</v>
      </c>
      <c r="BD42" s="2">
        <f t="shared" si="6"/>
        <v>0</v>
      </c>
      <c r="BE42" s="2">
        <f t="shared" si="7"/>
        <v>0</v>
      </c>
      <c r="BF42" s="2">
        <f t="shared" si="8"/>
        <v>0</v>
      </c>
      <c r="BJ42" s="2" t="str">
        <f t="shared" si="9"/>
        <v/>
      </c>
    </row>
    <row r="43" spans="1:62" ht="15" customHeight="1" x14ac:dyDescent="0.45">
      <c r="A43" s="2" t="s">
        <v>637</v>
      </c>
      <c r="B43" s="2" t="s">
        <v>638</v>
      </c>
      <c r="C43" s="2">
        <v>2019</v>
      </c>
      <c r="D43" s="2">
        <v>23.13</v>
      </c>
      <c r="E43" s="2">
        <v>24.79</v>
      </c>
      <c r="F43" s="2" t="s">
        <v>146</v>
      </c>
      <c r="G43" s="2">
        <v>0.04</v>
      </c>
      <c r="H43" s="2">
        <v>4.1900000000000004</v>
      </c>
      <c r="I43" s="2" t="s">
        <v>146</v>
      </c>
      <c r="J43" s="2" t="s">
        <v>146</v>
      </c>
      <c r="K43" s="2" t="s">
        <v>146</v>
      </c>
      <c r="L43" s="2">
        <v>1.45</v>
      </c>
      <c r="M43" s="2" t="s">
        <v>176</v>
      </c>
      <c r="N43" s="2" t="s">
        <v>146</v>
      </c>
      <c r="O43" s="2" t="s">
        <v>146</v>
      </c>
      <c r="P43" s="2" t="s">
        <v>146</v>
      </c>
      <c r="Q43" s="2" t="s">
        <v>146</v>
      </c>
      <c r="R43" s="2" t="s">
        <v>146</v>
      </c>
      <c r="S43" s="2" t="s">
        <v>146</v>
      </c>
      <c r="T43" s="2" t="s">
        <v>146</v>
      </c>
      <c r="U43" s="2">
        <v>7.89</v>
      </c>
      <c r="V43" s="2" t="s">
        <v>146</v>
      </c>
      <c r="W43" s="2" t="s">
        <v>146</v>
      </c>
      <c r="X43" s="2" t="s">
        <v>146</v>
      </c>
      <c r="Y43" s="2" t="s">
        <v>146</v>
      </c>
      <c r="Z43" s="2">
        <v>8.9700000000000006</v>
      </c>
      <c r="AA43" s="2" t="s">
        <v>146</v>
      </c>
      <c r="AB43" s="2" t="s">
        <v>146</v>
      </c>
      <c r="AC43" s="2" t="s">
        <v>146</v>
      </c>
      <c r="AD43" s="2" t="s">
        <v>146</v>
      </c>
      <c r="AE43" s="2" t="s">
        <v>155</v>
      </c>
      <c r="AF43" s="2" t="s">
        <v>146</v>
      </c>
      <c r="AG43" s="2" t="s">
        <v>146</v>
      </c>
      <c r="AH43" s="2" t="s">
        <v>146</v>
      </c>
      <c r="AI43" s="2">
        <v>0</v>
      </c>
      <c r="AJ43" s="2" t="s">
        <v>165</v>
      </c>
      <c r="AK43" s="2">
        <v>0</v>
      </c>
      <c r="AL43" s="2">
        <v>2.25</v>
      </c>
      <c r="AM43" s="2">
        <v>2.25</v>
      </c>
      <c r="AN43" s="2" t="s">
        <v>176</v>
      </c>
      <c r="AO43" s="2" t="s">
        <v>146</v>
      </c>
      <c r="AP43" s="2" t="s">
        <v>146</v>
      </c>
      <c r="AQ43" s="2" t="s">
        <v>146</v>
      </c>
      <c r="AR43" s="2" t="s">
        <v>146</v>
      </c>
      <c r="AV43" s="2">
        <f t="shared" si="0"/>
        <v>24.79</v>
      </c>
      <c r="AW43" s="2">
        <f t="shared" si="1"/>
        <v>23.13</v>
      </c>
      <c r="AX43" s="27">
        <f t="shared" si="2"/>
        <v>0.93303751512706734</v>
      </c>
      <c r="BA43" s="2">
        <f t="shared" si="3"/>
        <v>0</v>
      </c>
      <c r="BB43" s="2">
        <f t="shared" si="4"/>
        <v>0</v>
      </c>
      <c r="BC43" s="2">
        <f t="shared" si="5"/>
        <v>0</v>
      </c>
      <c r="BD43" s="2">
        <f t="shared" si="6"/>
        <v>0</v>
      </c>
      <c r="BE43" s="2">
        <f t="shared" si="7"/>
        <v>0</v>
      </c>
      <c r="BF43" s="2">
        <f t="shared" si="8"/>
        <v>0</v>
      </c>
      <c r="BJ43" s="2" t="str">
        <f t="shared" si="9"/>
        <v/>
      </c>
    </row>
    <row r="44" spans="1:62" ht="15" customHeight="1" x14ac:dyDescent="0.45">
      <c r="A44" s="2" t="s">
        <v>637</v>
      </c>
      <c r="B44" s="2" t="s">
        <v>636</v>
      </c>
      <c r="C44" s="2">
        <v>2019</v>
      </c>
      <c r="D44" s="2">
        <v>6.75</v>
      </c>
      <c r="E44" s="2">
        <v>7.89</v>
      </c>
      <c r="F44" s="2" t="s">
        <v>146</v>
      </c>
      <c r="G44" s="2">
        <v>0.68</v>
      </c>
      <c r="H44" s="2" t="s">
        <v>146</v>
      </c>
      <c r="I44" s="2" t="s">
        <v>146</v>
      </c>
      <c r="J44" s="2" t="s">
        <v>146</v>
      </c>
      <c r="K44" s="2" t="s">
        <v>146</v>
      </c>
      <c r="L44" s="2" t="s">
        <v>146</v>
      </c>
      <c r="M44" s="2" t="s">
        <v>49</v>
      </c>
      <c r="N44" s="2" t="s">
        <v>146</v>
      </c>
      <c r="O44" s="2" t="s">
        <v>146</v>
      </c>
      <c r="P44" s="2" t="s">
        <v>146</v>
      </c>
      <c r="Q44" s="2" t="s">
        <v>146</v>
      </c>
      <c r="R44" s="2" t="s">
        <v>146</v>
      </c>
      <c r="S44" s="2" t="s">
        <v>146</v>
      </c>
      <c r="T44" s="2" t="s">
        <v>146</v>
      </c>
      <c r="U44" s="2">
        <v>0.91</v>
      </c>
      <c r="V44" s="2">
        <v>6.3</v>
      </c>
      <c r="W44" s="2" t="s">
        <v>146</v>
      </c>
      <c r="X44" s="2" t="s">
        <v>146</v>
      </c>
      <c r="Y44" s="2" t="s">
        <v>146</v>
      </c>
      <c r="Z44" s="2" t="s">
        <v>146</v>
      </c>
      <c r="AA44" s="2" t="s">
        <v>146</v>
      </c>
      <c r="AB44" s="2" t="s">
        <v>146</v>
      </c>
      <c r="AC44" s="2" t="s">
        <v>146</v>
      </c>
      <c r="AD44" s="2" t="s">
        <v>146</v>
      </c>
      <c r="AE44" s="2" t="s">
        <v>146</v>
      </c>
      <c r="AF44" s="2" t="s">
        <v>146</v>
      </c>
      <c r="AG44" s="2" t="s">
        <v>146</v>
      </c>
      <c r="AH44" s="2" t="s">
        <v>146</v>
      </c>
      <c r="AI44" s="2" t="s">
        <v>146</v>
      </c>
      <c r="AJ44" s="2" t="s">
        <v>146</v>
      </c>
      <c r="AK44" s="2" t="s">
        <v>146</v>
      </c>
      <c r="AL44" s="2" t="s">
        <v>146</v>
      </c>
      <c r="AM44" s="2" t="s">
        <v>146</v>
      </c>
      <c r="AN44" s="2" t="s">
        <v>176</v>
      </c>
      <c r="AO44" s="2" t="s">
        <v>146</v>
      </c>
      <c r="AP44" s="2" t="s">
        <v>146</v>
      </c>
      <c r="AQ44" s="2" t="s">
        <v>146</v>
      </c>
      <c r="AR44" s="2" t="s">
        <v>146</v>
      </c>
      <c r="AV44" s="2">
        <f t="shared" si="0"/>
        <v>7.89</v>
      </c>
      <c r="AW44" s="2">
        <f t="shared" si="1"/>
        <v>6.75</v>
      </c>
      <c r="AX44" s="27">
        <f t="shared" si="2"/>
        <v>0.85551330798479086</v>
      </c>
      <c r="BA44" s="2">
        <f t="shared" si="3"/>
        <v>0</v>
      </c>
      <c r="BB44" s="2">
        <f t="shared" si="4"/>
        <v>0</v>
      </c>
      <c r="BC44" s="2">
        <f t="shared" si="5"/>
        <v>0</v>
      </c>
      <c r="BD44" s="2">
        <f t="shared" si="6"/>
        <v>0</v>
      </c>
      <c r="BE44" s="2">
        <f t="shared" si="7"/>
        <v>0</v>
      </c>
      <c r="BF44" s="2">
        <f t="shared" si="8"/>
        <v>0</v>
      </c>
      <c r="BJ44" s="2" t="str">
        <f t="shared" si="9"/>
        <v/>
      </c>
    </row>
    <row r="45" spans="1:62" ht="15" customHeight="1" x14ac:dyDescent="0.45">
      <c r="A45" s="2" t="s">
        <v>635</v>
      </c>
      <c r="B45" s="2" t="s">
        <v>634</v>
      </c>
      <c r="C45" s="2">
        <v>2019</v>
      </c>
      <c r="D45" s="2" t="s">
        <v>146</v>
      </c>
      <c r="E45" s="2" t="s">
        <v>146</v>
      </c>
      <c r="F45" s="2" t="s">
        <v>146</v>
      </c>
      <c r="G45" s="2" t="s">
        <v>146</v>
      </c>
      <c r="H45" s="2" t="s">
        <v>146</v>
      </c>
      <c r="I45" s="2" t="s">
        <v>146</v>
      </c>
      <c r="J45" s="2" t="s">
        <v>146</v>
      </c>
      <c r="K45" s="2" t="s">
        <v>146</v>
      </c>
      <c r="L45" s="2" t="s">
        <v>146</v>
      </c>
      <c r="M45" s="2" t="s">
        <v>49</v>
      </c>
      <c r="N45" s="2" t="s">
        <v>146</v>
      </c>
      <c r="O45" s="2" t="s">
        <v>146</v>
      </c>
      <c r="P45" s="2" t="s">
        <v>146</v>
      </c>
      <c r="Q45" s="2" t="s">
        <v>146</v>
      </c>
      <c r="R45" s="2" t="s">
        <v>146</v>
      </c>
      <c r="S45" s="2" t="s">
        <v>146</v>
      </c>
      <c r="T45" s="2" t="s">
        <v>146</v>
      </c>
      <c r="U45" s="2" t="s">
        <v>146</v>
      </c>
      <c r="V45" s="2" t="s">
        <v>146</v>
      </c>
      <c r="W45" s="2" t="s">
        <v>146</v>
      </c>
      <c r="X45" s="2" t="s">
        <v>146</v>
      </c>
      <c r="Y45" s="2" t="s">
        <v>146</v>
      </c>
      <c r="Z45" s="2" t="s">
        <v>146</v>
      </c>
      <c r="AA45" s="2" t="s">
        <v>146</v>
      </c>
      <c r="AB45" s="2" t="s">
        <v>146</v>
      </c>
      <c r="AC45" s="2" t="s">
        <v>146</v>
      </c>
      <c r="AD45" s="2" t="s">
        <v>146</v>
      </c>
      <c r="AE45" s="2" t="s">
        <v>146</v>
      </c>
      <c r="AF45" s="2" t="s">
        <v>146</v>
      </c>
      <c r="AG45" s="2" t="s">
        <v>146</v>
      </c>
      <c r="AH45" s="2" t="s">
        <v>146</v>
      </c>
      <c r="AI45" s="2" t="s">
        <v>146</v>
      </c>
      <c r="AJ45" s="2" t="s">
        <v>146</v>
      </c>
      <c r="AK45" s="2" t="s">
        <v>146</v>
      </c>
      <c r="AL45" s="2" t="s">
        <v>146</v>
      </c>
      <c r="AM45" s="2" t="s">
        <v>146</v>
      </c>
      <c r="AN45" s="2" t="s">
        <v>49</v>
      </c>
      <c r="AO45" s="2" t="s">
        <v>146</v>
      </c>
      <c r="AP45" s="2" t="s">
        <v>146</v>
      </c>
      <c r="AQ45" s="2" t="s">
        <v>146</v>
      </c>
      <c r="AR45" s="2" t="s">
        <v>146</v>
      </c>
      <c r="AV45" s="2">
        <f t="shared" si="0"/>
        <v>0</v>
      </c>
      <c r="AW45" s="2">
        <f t="shared" si="1"/>
        <v>0</v>
      </c>
      <c r="AX45" s="27" t="str">
        <f t="shared" si="2"/>
        <v/>
      </c>
      <c r="BA45" s="2">
        <f t="shared" si="3"/>
        <v>0</v>
      </c>
      <c r="BB45" s="2">
        <f t="shared" si="4"/>
        <v>0</v>
      </c>
      <c r="BC45" s="2">
        <f t="shared" si="5"/>
        <v>0</v>
      </c>
      <c r="BD45" s="2">
        <f t="shared" si="6"/>
        <v>0</v>
      </c>
      <c r="BE45" s="2">
        <f t="shared" si="7"/>
        <v>0</v>
      </c>
      <c r="BF45" s="2">
        <f t="shared" si="8"/>
        <v>0</v>
      </c>
      <c r="BJ45" s="2" t="str">
        <f t="shared" si="9"/>
        <v/>
      </c>
    </row>
    <row r="46" spans="1:62" ht="15" customHeight="1" x14ac:dyDescent="0.45">
      <c r="A46" s="2" t="s">
        <v>633</v>
      </c>
      <c r="B46" s="2" t="s">
        <v>65</v>
      </c>
      <c r="C46" s="2">
        <v>2019</v>
      </c>
      <c r="D46" s="2">
        <v>13.314</v>
      </c>
      <c r="E46" s="2">
        <v>14.836</v>
      </c>
      <c r="F46" s="2" t="s">
        <v>146</v>
      </c>
      <c r="G46" s="2">
        <v>0.222</v>
      </c>
      <c r="H46" s="2" t="s">
        <v>146</v>
      </c>
      <c r="I46" s="2" t="s">
        <v>146</v>
      </c>
      <c r="J46" s="2" t="s">
        <v>146</v>
      </c>
      <c r="K46" s="2" t="s">
        <v>146</v>
      </c>
      <c r="L46" s="2" t="s">
        <v>146</v>
      </c>
      <c r="M46" s="2" t="s">
        <v>49</v>
      </c>
      <c r="N46" s="2" t="s">
        <v>146</v>
      </c>
      <c r="O46" s="2" t="s">
        <v>146</v>
      </c>
      <c r="P46" s="2">
        <v>3.7149999999999999</v>
      </c>
      <c r="Q46" s="2">
        <v>9.9350000000000005</v>
      </c>
      <c r="R46" s="2" t="s">
        <v>146</v>
      </c>
      <c r="S46" s="2" t="s">
        <v>146</v>
      </c>
      <c r="T46" s="2" t="s">
        <v>146</v>
      </c>
      <c r="U46" s="2">
        <v>0.61199999999999999</v>
      </c>
      <c r="V46" s="2" t="s">
        <v>146</v>
      </c>
      <c r="W46" s="2" t="s">
        <v>146</v>
      </c>
      <c r="X46" s="2" t="s">
        <v>146</v>
      </c>
      <c r="Y46" s="2" t="s">
        <v>146</v>
      </c>
      <c r="Z46" s="2" t="s">
        <v>146</v>
      </c>
      <c r="AA46" s="2" t="s">
        <v>146</v>
      </c>
      <c r="AB46" s="2" t="s">
        <v>146</v>
      </c>
      <c r="AC46" s="2" t="s">
        <v>146</v>
      </c>
      <c r="AD46" s="2" t="s">
        <v>146</v>
      </c>
      <c r="AE46" s="2" t="s">
        <v>146</v>
      </c>
      <c r="AF46" s="2" t="s">
        <v>146</v>
      </c>
      <c r="AG46" s="2" t="s">
        <v>146</v>
      </c>
      <c r="AH46" s="2" t="s">
        <v>146</v>
      </c>
      <c r="AI46" s="2" t="s">
        <v>146</v>
      </c>
      <c r="AJ46" s="2" t="s">
        <v>146</v>
      </c>
      <c r="AK46" s="2" t="s">
        <v>146</v>
      </c>
      <c r="AL46" s="2">
        <v>0.35199999999999998</v>
      </c>
      <c r="AM46" s="2">
        <v>0.36</v>
      </c>
      <c r="AN46" s="2" t="s">
        <v>49</v>
      </c>
      <c r="AO46" s="2" t="s">
        <v>146</v>
      </c>
      <c r="AP46" s="2" t="s">
        <v>146</v>
      </c>
      <c r="AQ46" s="2" t="s">
        <v>146</v>
      </c>
      <c r="AR46" s="2" t="s">
        <v>146</v>
      </c>
      <c r="AV46" s="2">
        <f t="shared" si="0"/>
        <v>14.836</v>
      </c>
      <c r="AW46" s="2">
        <f t="shared" si="1"/>
        <v>13.314</v>
      </c>
      <c r="AX46" s="27">
        <f t="shared" si="2"/>
        <v>0.89741170126718794</v>
      </c>
      <c r="BA46" s="2">
        <f t="shared" si="3"/>
        <v>0</v>
      </c>
      <c r="BB46" s="2">
        <f t="shared" si="4"/>
        <v>0</v>
      </c>
      <c r="BC46" s="2">
        <f t="shared" si="5"/>
        <v>0</v>
      </c>
      <c r="BD46" s="2">
        <f t="shared" si="6"/>
        <v>0</v>
      </c>
      <c r="BE46" s="2">
        <f t="shared" si="7"/>
        <v>0</v>
      </c>
      <c r="BF46" s="2">
        <f t="shared" si="8"/>
        <v>0</v>
      </c>
      <c r="BJ46" s="2" t="str">
        <f t="shared" si="9"/>
        <v/>
      </c>
    </row>
    <row r="47" spans="1:62" ht="15" customHeight="1" x14ac:dyDescent="0.45">
      <c r="A47" s="2" t="s">
        <v>631</v>
      </c>
      <c r="B47" s="2" t="s">
        <v>632</v>
      </c>
      <c r="C47" s="2">
        <v>2019</v>
      </c>
      <c r="D47" s="2">
        <v>6.0750000000000002</v>
      </c>
      <c r="E47" s="2">
        <v>7.1319999999999997</v>
      </c>
      <c r="F47" s="2" t="s">
        <v>146</v>
      </c>
      <c r="G47" s="2">
        <v>0.11700000000000001</v>
      </c>
      <c r="H47" s="2" t="s">
        <v>146</v>
      </c>
      <c r="I47" s="2" t="s">
        <v>146</v>
      </c>
      <c r="J47" s="2" t="s">
        <v>146</v>
      </c>
      <c r="K47" s="2" t="s">
        <v>146</v>
      </c>
      <c r="L47" s="2" t="s">
        <v>146</v>
      </c>
      <c r="M47" s="2" t="s">
        <v>49</v>
      </c>
      <c r="N47" s="2" t="s">
        <v>146</v>
      </c>
      <c r="O47" s="2" t="s">
        <v>146</v>
      </c>
      <c r="P47" s="2">
        <v>6.4050000000000002</v>
      </c>
      <c r="Q47" s="2" t="s">
        <v>146</v>
      </c>
      <c r="R47" s="2" t="s">
        <v>146</v>
      </c>
      <c r="S47" s="2" t="s">
        <v>146</v>
      </c>
      <c r="T47" s="2" t="s">
        <v>147</v>
      </c>
      <c r="U47" s="2" t="s">
        <v>146</v>
      </c>
      <c r="V47" s="2" t="s">
        <v>146</v>
      </c>
      <c r="W47" s="2" t="s">
        <v>146</v>
      </c>
      <c r="X47" s="2" t="s">
        <v>146</v>
      </c>
      <c r="Y47" s="2" t="s">
        <v>146</v>
      </c>
      <c r="Z47" s="2">
        <v>0.61</v>
      </c>
      <c r="AA47" s="2" t="s">
        <v>146</v>
      </c>
      <c r="AB47" s="2" t="s">
        <v>146</v>
      </c>
      <c r="AC47" s="2" t="s">
        <v>146</v>
      </c>
      <c r="AD47" s="2" t="s">
        <v>146</v>
      </c>
      <c r="AE47" s="2" t="s">
        <v>146</v>
      </c>
      <c r="AF47" s="2" t="s">
        <v>146</v>
      </c>
      <c r="AG47" s="2" t="s">
        <v>146</v>
      </c>
      <c r="AH47" s="2" t="s">
        <v>146</v>
      </c>
      <c r="AI47" s="2" t="s">
        <v>146</v>
      </c>
      <c r="AJ47" s="2" t="s">
        <v>146</v>
      </c>
      <c r="AK47" s="2" t="s">
        <v>146</v>
      </c>
      <c r="AL47" s="2" t="s">
        <v>146</v>
      </c>
      <c r="AM47" s="2" t="s">
        <v>146</v>
      </c>
      <c r="AN47" s="2" t="s">
        <v>49</v>
      </c>
      <c r="AO47" s="2" t="s">
        <v>146</v>
      </c>
      <c r="AP47" s="2" t="s">
        <v>146</v>
      </c>
      <c r="AQ47" s="2" t="s">
        <v>146</v>
      </c>
      <c r="AR47" s="2" t="s">
        <v>146</v>
      </c>
      <c r="AV47" s="2">
        <f t="shared" si="0"/>
        <v>7.1320000000000006</v>
      </c>
      <c r="AW47" s="2">
        <f t="shared" si="1"/>
        <v>6.0750000000000002</v>
      </c>
      <c r="AX47" s="27">
        <f t="shared" si="2"/>
        <v>0.85179472798653955</v>
      </c>
      <c r="BA47" s="2">
        <f t="shared" si="3"/>
        <v>0</v>
      </c>
      <c r="BB47" s="2">
        <f t="shared" si="4"/>
        <v>0</v>
      </c>
      <c r="BC47" s="2">
        <f t="shared" si="5"/>
        <v>0</v>
      </c>
      <c r="BD47" s="2">
        <f t="shared" si="6"/>
        <v>0</v>
      </c>
      <c r="BE47" s="2">
        <f t="shared" si="7"/>
        <v>0</v>
      </c>
      <c r="BF47" s="2">
        <f t="shared" si="8"/>
        <v>0</v>
      </c>
      <c r="BJ47" s="2" t="str">
        <f t="shared" si="9"/>
        <v/>
      </c>
    </row>
    <row r="48" spans="1:62" ht="15" customHeight="1" x14ac:dyDescent="0.45">
      <c r="A48" s="2" t="s">
        <v>631</v>
      </c>
      <c r="B48" s="2" t="s">
        <v>630</v>
      </c>
      <c r="C48" s="2">
        <v>2019</v>
      </c>
      <c r="D48" s="2">
        <v>18.119</v>
      </c>
      <c r="E48" s="2">
        <v>21.257000000000001</v>
      </c>
      <c r="F48" s="2" t="s">
        <v>146</v>
      </c>
      <c r="G48" s="2">
        <v>0.13400000000000001</v>
      </c>
      <c r="H48" s="2" t="s">
        <v>146</v>
      </c>
      <c r="I48" s="2" t="s">
        <v>146</v>
      </c>
      <c r="J48" s="2" t="s">
        <v>146</v>
      </c>
      <c r="K48" s="2" t="s">
        <v>146</v>
      </c>
      <c r="L48" s="2" t="s">
        <v>146</v>
      </c>
      <c r="M48" s="2" t="s">
        <v>49</v>
      </c>
      <c r="N48" s="2">
        <v>0</v>
      </c>
      <c r="O48" s="2">
        <v>0</v>
      </c>
      <c r="P48" s="2">
        <v>0</v>
      </c>
      <c r="Q48" s="2">
        <v>0</v>
      </c>
      <c r="R48" s="2">
        <v>0</v>
      </c>
      <c r="S48" s="2">
        <v>0</v>
      </c>
      <c r="T48" s="2" t="s">
        <v>147</v>
      </c>
      <c r="U48" s="2" t="s">
        <v>146</v>
      </c>
      <c r="V48" s="2" t="s">
        <v>146</v>
      </c>
      <c r="W48" s="2" t="s">
        <v>146</v>
      </c>
      <c r="X48" s="2" t="s">
        <v>146</v>
      </c>
      <c r="Y48" s="2" t="s">
        <v>146</v>
      </c>
      <c r="Z48" s="2">
        <v>17.946000000000002</v>
      </c>
      <c r="AA48" s="2" t="s">
        <v>146</v>
      </c>
      <c r="AB48" s="2" t="s">
        <v>146</v>
      </c>
      <c r="AC48" s="2" t="s">
        <v>146</v>
      </c>
      <c r="AD48" s="2" t="s">
        <v>146</v>
      </c>
      <c r="AE48" s="2" t="s">
        <v>146</v>
      </c>
      <c r="AF48" s="2" t="s">
        <v>146</v>
      </c>
      <c r="AG48" s="2">
        <v>3.177</v>
      </c>
      <c r="AH48" s="2" t="s">
        <v>146</v>
      </c>
      <c r="AI48" s="2" t="s">
        <v>146</v>
      </c>
      <c r="AJ48" s="2" t="s">
        <v>146</v>
      </c>
      <c r="AK48" s="2" t="s">
        <v>146</v>
      </c>
      <c r="AL48" s="2" t="s">
        <v>146</v>
      </c>
      <c r="AM48" s="2" t="s">
        <v>146</v>
      </c>
      <c r="AN48" s="2" t="s">
        <v>49</v>
      </c>
      <c r="AO48" s="2" t="s">
        <v>146</v>
      </c>
      <c r="AP48" s="2" t="s">
        <v>146</v>
      </c>
      <c r="AQ48" s="2" t="s">
        <v>146</v>
      </c>
      <c r="AR48" s="2" t="s">
        <v>146</v>
      </c>
      <c r="AV48" s="2">
        <f t="shared" si="0"/>
        <v>21.257000000000001</v>
      </c>
      <c r="AW48" s="2">
        <f t="shared" si="1"/>
        <v>18.119</v>
      </c>
      <c r="AX48" s="27">
        <f t="shared" si="2"/>
        <v>0.85237804017500107</v>
      </c>
      <c r="BA48" s="2">
        <f t="shared" si="3"/>
        <v>0</v>
      </c>
      <c r="BB48" s="2">
        <f t="shared" si="4"/>
        <v>0</v>
      </c>
      <c r="BC48" s="2">
        <f t="shared" si="5"/>
        <v>0</v>
      </c>
      <c r="BD48" s="2">
        <f t="shared" si="6"/>
        <v>0</v>
      </c>
      <c r="BE48" s="2">
        <f t="shared" si="7"/>
        <v>0</v>
      </c>
      <c r="BF48" s="2">
        <f t="shared" si="8"/>
        <v>0</v>
      </c>
      <c r="BJ48" s="2" t="str">
        <f t="shared" si="9"/>
        <v/>
      </c>
    </row>
    <row r="49" spans="1:62" ht="15" customHeight="1" x14ac:dyDescent="0.45">
      <c r="A49" s="2" t="s">
        <v>628</v>
      </c>
      <c r="B49" s="2" t="s">
        <v>629</v>
      </c>
      <c r="C49" s="2">
        <v>2019</v>
      </c>
      <c r="D49" s="2" t="s">
        <v>146</v>
      </c>
      <c r="E49" s="2" t="s">
        <v>146</v>
      </c>
      <c r="F49" s="2" t="s">
        <v>146</v>
      </c>
      <c r="G49" s="2" t="s">
        <v>146</v>
      </c>
      <c r="H49" s="2" t="s">
        <v>146</v>
      </c>
      <c r="I49" s="2" t="s">
        <v>146</v>
      </c>
      <c r="J49" s="2" t="s">
        <v>146</v>
      </c>
      <c r="K49" s="2" t="s">
        <v>146</v>
      </c>
      <c r="L49" s="2" t="s">
        <v>146</v>
      </c>
      <c r="M49" s="2" t="s">
        <v>49</v>
      </c>
      <c r="N49" s="2" t="s">
        <v>146</v>
      </c>
      <c r="O49" s="2" t="s">
        <v>146</v>
      </c>
      <c r="P49" s="2" t="s">
        <v>146</v>
      </c>
      <c r="Q49" s="2" t="s">
        <v>146</v>
      </c>
      <c r="R49" s="2" t="s">
        <v>146</v>
      </c>
      <c r="S49" s="2" t="s">
        <v>146</v>
      </c>
      <c r="T49" s="2" t="s">
        <v>146</v>
      </c>
      <c r="U49" s="2" t="s">
        <v>146</v>
      </c>
      <c r="V49" s="2" t="s">
        <v>146</v>
      </c>
      <c r="W49" s="2" t="s">
        <v>146</v>
      </c>
      <c r="X49" s="2" t="s">
        <v>146</v>
      </c>
      <c r="Y49" s="2" t="s">
        <v>146</v>
      </c>
      <c r="Z49" s="2" t="s">
        <v>146</v>
      </c>
      <c r="AA49" s="2" t="s">
        <v>146</v>
      </c>
      <c r="AB49" s="2" t="s">
        <v>146</v>
      </c>
      <c r="AC49" s="2" t="s">
        <v>146</v>
      </c>
      <c r="AD49" s="2" t="s">
        <v>146</v>
      </c>
      <c r="AE49" s="2" t="s">
        <v>146</v>
      </c>
      <c r="AF49" s="2" t="s">
        <v>146</v>
      </c>
      <c r="AG49" s="2" t="s">
        <v>146</v>
      </c>
      <c r="AH49" s="2" t="s">
        <v>146</v>
      </c>
      <c r="AI49" s="2" t="s">
        <v>146</v>
      </c>
      <c r="AJ49" s="2" t="s">
        <v>146</v>
      </c>
      <c r="AK49" s="2" t="s">
        <v>146</v>
      </c>
      <c r="AL49" s="2" t="s">
        <v>146</v>
      </c>
      <c r="AM49" s="2" t="s">
        <v>146</v>
      </c>
      <c r="AN49" s="2" t="s">
        <v>49</v>
      </c>
      <c r="AO49" s="2" t="s">
        <v>146</v>
      </c>
      <c r="AP49" s="2" t="s">
        <v>146</v>
      </c>
      <c r="AQ49" s="2" t="s">
        <v>146</v>
      </c>
      <c r="AR49" s="2" t="s">
        <v>146</v>
      </c>
      <c r="AV49" s="2">
        <f t="shared" si="0"/>
        <v>0</v>
      </c>
      <c r="AW49" s="2">
        <f t="shared" si="1"/>
        <v>0</v>
      </c>
      <c r="AX49" s="27" t="str">
        <f t="shared" si="2"/>
        <v/>
      </c>
      <c r="BA49" s="2">
        <f t="shared" si="3"/>
        <v>0</v>
      </c>
      <c r="BB49" s="2">
        <f t="shared" si="4"/>
        <v>0</v>
      </c>
      <c r="BC49" s="2">
        <f t="shared" si="5"/>
        <v>0</v>
      </c>
      <c r="BD49" s="2">
        <f t="shared" si="6"/>
        <v>0</v>
      </c>
      <c r="BE49" s="2">
        <f t="shared" si="7"/>
        <v>0</v>
      </c>
      <c r="BF49" s="2">
        <f t="shared" si="8"/>
        <v>0</v>
      </c>
      <c r="BJ49" s="2" t="str">
        <f t="shared" si="9"/>
        <v/>
      </c>
    </row>
    <row r="50" spans="1:62" ht="15" customHeight="1" x14ac:dyDescent="0.45">
      <c r="A50" s="2" t="s">
        <v>628</v>
      </c>
      <c r="B50" s="2" t="s">
        <v>627</v>
      </c>
      <c r="C50" s="2">
        <v>2019</v>
      </c>
      <c r="D50" s="2">
        <v>37.975000000000001</v>
      </c>
      <c r="E50" s="2">
        <v>37.164999999999999</v>
      </c>
      <c r="F50" s="2" t="s">
        <v>146</v>
      </c>
      <c r="G50" s="2">
        <v>7.9000000000000001E-2</v>
      </c>
      <c r="H50" s="2" t="s">
        <v>146</v>
      </c>
      <c r="I50" s="2" t="s">
        <v>146</v>
      </c>
      <c r="J50" s="2" t="s">
        <v>146</v>
      </c>
      <c r="K50" s="2" t="s">
        <v>146</v>
      </c>
      <c r="L50" s="2" t="s">
        <v>146</v>
      </c>
      <c r="M50" s="2" t="s">
        <v>49</v>
      </c>
      <c r="N50" s="2">
        <v>24.908999999999999</v>
      </c>
      <c r="O50" s="2">
        <v>3.2719999999999998</v>
      </c>
      <c r="P50" s="2">
        <v>8.9049999999999994</v>
      </c>
      <c r="Q50" s="2" t="s">
        <v>146</v>
      </c>
      <c r="R50" s="2" t="s">
        <v>146</v>
      </c>
      <c r="S50" s="2" t="s">
        <v>146</v>
      </c>
      <c r="T50" s="2" t="s">
        <v>147</v>
      </c>
      <c r="U50" s="2" t="s">
        <v>146</v>
      </c>
      <c r="V50" s="2" t="s">
        <v>146</v>
      </c>
      <c r="W50" s="2" t="s">
        <v>146</v>
      </c>
      <c r="X50" s="2" t="s">
        <v>146</v>
      </c>
      <c r="Y50" s="2" t="s">
        <v>146</v>
      </c>
      <c r="Z50" s="2" t="s">
        <v>146</v>
      </c>
      <c r="AA50" s="2" t="s">
        <v>146</v>
      </c>
      <c r="AB50" s="2" t="s">
        <v>146</v>
      </c>
      <c r="AC50" s="2" t="s">
        <v>146</v>
      </c>
      <c r="AD50" s="2" t="s">
        <v>146</v>
      </c>
      <c r="AE50" s="2" t="s">
        <v>146</v>
      </c>
      <c r="AF50" s="2" t="s">
        <v>146</v>
      </c>
      <c r="AG50" s="2" t="s">
        <v>146</v>
      </c>
      <c r="AH50" s="2" t="s">
        <v>146</v>
      </c>
      <c r="AI50" s="2" t="s">
        <v>146</v>
      </c>
      <c r="AJ50" s="2" t="s">
        <v>146</v>
      </c>
      <c r="AK50" s="2" t="s">
        <v>146</v>
      </c>
      <c r="AL50" s="2" t="s">
        <v>146</v>
      </c>
      <c r="AM50" s="2" t="s">
        <v>146</v>
      </c>
      <c r="AN50" s="2" t="s">
        <v>49</v>
      </c>
      <c r="AO50" s="2">
        <v>100</v>
      </c>
      <c r="AP50" s="2" t="s">
        <v>146</v>
      </c>
      <c r="AQ50" s="2" t="s">
        <v>146</v>
      </c>
      <c r="AR50" s="2" t="s">
        <v>146</v>
      </c>
      <c r="AV50" s="2">
        <f t="shared" si="0"/>
        <v>37.164999999999999</v>
      </c>
      <c r="AW50" s="2">
        <f t="shared" si="1"/>
        <v>37.975000000000001</v>
      </c>
      <c r="AX50" s="27">
        <f t="shared" si="2"/>
        <v>1.0217946993138707</v>
      </c>
      <c r="BA50" s="2">
        <f t="shared" si="3"/>
        <v>0</v>
      </c>
      <c r="BB50" s="2">
        <f t="shared" si="4"/>
        <v>0</v>
      </c>
      <c r="BC50" s="2">
        <f t="shared" si="5"/>
        <v>0</v>
      </c>
      <c r="BD50" s="2">
        <f t="shared" si="6"/>
        <v>0</v>
      </c>
      <c r="BE50" s="2">
        <f t="shared" si="7"/>
        <v>0</v>
      </c>
      <c r="BF50" s="2">
        <f t="shared" si="8"/>
        <v>0</v>
      </c>
      <c r="BJ50" s="2" t="str">
        <f t="shared" si="9"/>
        <v>ja</v>
      </c>
    </row>
    <row r="51" spans="1:62" ht="15" customHeight="1" x14ac:dyDescent="0.45">
      <c r="A51" s="2" t="s">
        <v>623</v>
      </c>
      <c r="B51" s="2" t="s">
        <v>626</v>
      </c>
      <c r="C51" s="2">
        <v>2019</v>
      </c>
      <c r="D51" s="2">
        <v>42.962000000000003</v>
      </c>
      <c r="E51" s="2">
        <v>49.832599999999999</v>
      </c>
      <c r="F51" s="2" t="s">
        <v>146</v>
      </c>
      <c r="G51" s="2">
        <v>1.4999999999999999E-2</v>
      </c>
      <c r="H51" s="2" t="s">
        <v>146</v>
      </c>
      <c r="I51" s="2" t="s">
        <v>146</v>
      </c>
      <c r="J51" s="2" t="s">
        <v>146</v>
      </c>
      <c r="K51" s="2" t="s">
        <v>146</v>
      </c>
      <c r="L51" s="2" t="s">
        <v>146</v>
      </c>
      <c r="M51" s="2" t="s">
        <v>49</v>
      </c>
      <c r="N51" s="2">
        <v>1.6135999999999999</v>
      </c>
      <c r="O51" s="2">
        <v>14.112</v>
      </c>
      <c r="P51" s="2">
        <v>19.321999999999999</v>
      </c>
      <c r="Q51" s="2" t="s">
        <v>146</v>
      </c>
      <c r="R51" s="2" t="s">
        <v>146</v>
      </c>
      <c r="S51" s="2" t="s">
        <v>146</v>
      </c>
      <c r="T51" s="2" t="s">
        <v>146</v>
      </c>
      <c r="U51" s="2">
        <v>9.6000000000000002E-2</v>
      </c>
      <c r="V51" s="2">
        <v>7.1639999999999997</v>
      </c>
      <c r="W51" s="2" t="s">
        <v>146</v>
      </c>
      <c r="X51" s="2" t="s">
        <v>146</v>
      </c>
      <c r="Y51" s="2" t="s">
        <v>146</v>
      </c>
      <c r="Z51" s="2" t="s">
        <v>146</v>
      </c>
      <c r="AA51" s="2" t="s">
        <v>146</v>
      </c>
      <c r="AB51" s="2" t="s">
        <v>146</v>
      </c>
      <c r="AC51" s="2" t="s">
        <v>146</v>
      </c>
      <c r="AD51" s="2" t="s">
        <v>146</v>
      </c>
      <c r="AE51" s="2" t="s">
        <v>155</v>
      </c>
      <c r="AF51" s="2" t="s">
        <v>146</v>
      </c>
      <c r="AG51" s="2" t="s">
        <v>146</v>
      </c>
      <c r="AH51" s="2">
        <v>7.51</v>
      </c>
      <c r="AI51" s="2" t="s">
        <v>146</v>
      </c>
      <c r="AJ51" s="2" t="s">
        <v>146</v>
      </c>
      <c r="AK51" s="2" t="s">
        <v>146</v>
      </c>
      <c r="AL51" s="2" t="s">
        <v>146</v>
      </c>
      <c r="AM51" s="2" t="s">
        <v>146</v>
      </c>
      <c r="AN51" s="2" t="s">
        <v>176</v>
      </c>
      <c r="AO51" s="2">
        <v>100</v>
      </c>
      <c r="AP51" s="2">
        <v>0</v>
      </c>
      <c r="AQ51" s="2">
        <v>0</v>
      </c>
      <c r="AR51" s="2">
        <v>0</v>
      </c>
      <c r="AV51" s="2">
        <f t="shared" si="0"/>
        <v>49.832599999999999</v>
      </c>
      <c r="AW51" s="2">
        <f t="shared" si="1"/>
        <v>42.962000000000003</v>
      </c>
      <c r="AX51" s="27">
        <f t="shared" si="2"/>
        <v>0.86212639918446965</v>
      </c>
      <c r="BA51" s="2">
        <f t="shared" si="3"/>
        <v>7.51</v>
      </c>
      <c r="BB51" s="2">
        <f t="shared" si="4"/>
        <v>7.51</v>
      </c>
      <c r="BC51" s="2">
        <f t="shared" si="5"/>
        <v>0</v>
      </c>
      <c r="BD51" s="2">
        <f t="shared" si="6"/>
        <v>0</v>
      </c>
      <c r="BE51" s="2">
        <f t="shared" si="7"/>
        <v>0</v>
      </c>
      <c r="BF51" s="2">
        <f t="shared" si="8"/>
        <v>0</v>
      </c>
      <c r="BJ51" s="2" t="str">
        <f t="shared" si="9"/>
        <v/>
      </c>
    </row>
    <row r="52" spans="1:62" ht="15" customHeight="1" x14ac:dyDescent="0.45">
      <c r="A52" s="2" t="s">
        <v>623</v>
      </c>
      <c r="B52" s="2" t="s">
        <v>625</v>
      </c>
      <c r="C52" s="2">
        <v>2019</v>
      </c>
      <c r="D52" s="2" t="s">
        <v>49</v>
      </c>
      <c r="E52" s="2" t="s">
        <v>49</v>
      </c>
      <c r="F52" s="2" t="s">
        <v>49</v>
      </c>
      <c r="G52" s="2" t="s">
        <v>49</v>
      </c>
      <c r="H52" s="2" t="s">
        <v>49</v>
      </c>
      <c r="I52" s="2" t="s">
        <v>49</v>
      </c>
      <c r="J52" s="2" t="s">
        <v>49</v>
      </c>
      <c r="K52" s="2" t="s">
        <v>49</v>
      </c>
      <c r="L52" s="2" t="s">
        <v>49</v>
      </c>
      <c r="M52" s="2" t="s">
        <v>49</v>
      </c>
      <c r="N52" s="2" t="s">
        <v>49</v>
      </c>
      <c r="O52" s="2" t="s">
        <v>49</v>
      </c>
      <c r="P52" s="2" t="s">
        <v>49</v>
      </c>
      <c r="Q52" s="2" t="s">
        <v>49</v>
      </c>
      <c r="R52" s="2" t="s">
        <v>49</v>
      </c>
      <c r="S52" s="2" t="s">
        <v>49</v>
      </c>
      <c r="T52" s="2" t="s">
        <v>49</v>
      </c>
      <c r="U52" s="2" t="s">
        <v>49</v>
      </c>
      <c r="V52" s="2" t="s">
        <v>49</v>
      </c>
      <c r="W52" s="2" t="s">
        <v>49</v>
      </c>
      <c r="X52" s="2" t="s">
        <v>49</v>
      </c>
      <c r="Y52" s="2" t="s">
        <v>49</v>
      </c>
      <c r="Z52" s="2" t="s">
        <v>49</v>
      </c>
      <c r="AA52" s="2" t="s">
        <v>49</v>
      </c>
      <c r="AB52" s="2" t="s">
        <v>49</v>
      </c>
      <c r="AC52" s="2" t="s">
        <v>49</v>
      </c>
      <c r="AD52" s="2" t="s">
        <v>49</v>
      </c>
      <c r="AE52" s="2" t="s">
        <v>49</v>
      </c>
      <c r="AF52" s="2" t="s">
        <v>49</v>
      </c>
      <c r="AG52" s="2" t="s">
        <v>49</v>
      </c>
      <c r="AH52" s="2" t="s">
        <v>49</v>
      </c>
      <c r="AI52" s="2" t="s">
        <v>49</v>
      </c>
      <c r="AJ52" s="2" t="s">
        <v>49</v>
      </c>
      <c r="AK52" s="2" t="s">
        <v>49</v>
      </c>
      <c r="AL52" s="2" t="s">
        <v>49</v>
      </c>
      <c r="AM52" s="2" t="s">
        <v>49</v>
      </c>
      <c r="AN52" s="2" t="s">
        <v>49</v>
      </c>
      <c r="AO52" s="2" t="s">
        <v>49</v>
      </c>
      <c r="AP52" s="2" t="s">
        <v>49</v>
      </c>
      <c r="AQ52" s="2" t="s">
        <v>49</v>
      </c>
      <c r="AR52" s="2" t="s">
        <v>49</v>
      </c>
      <c r="AV52" s="2">
        <f t="shared" si="0"/>
        <v>0</v>
      </c>
      <c r="AW52" s="2">
        <f t="shared" si="1"/>
        <v>0</v>
      </c>
      <c r="AX52" s="27" t="str">
        <f t="shared" si="2"/>
        <v/>
      </c>
      <c r="BA52" s="2">
        <f t="shared" si="3"/>
        <v>0</v>
      </c>
      <c r="BB52" s="2">
        <f t="shared" si="4"/>
        <v>0</v>
      </c>
      <c r="BC52" s="2">
        <f t="shared" si="5"/>
        <v>0</v>
      </c>
      <c r="BD52" s="2">
        <f t="shared" si="6"/>
        <v>0</v>
      </c>
      <c r="BE52" s="2">
        <f t="shared" si="7"/>
        <v>0</v>
      </c>
      <c r="BF52" s="2">
        <f t="shared" si="8"/>
        <v>0</v>
      </c>
      <c r="BJ52" s="2" t="str">
        <f t="shared" si="9"/>
        <v/>
      </c>
    </row>
    <row r="53" spans="1:62" ht="15" customHeight="1" x14ac:dyDescent="0.45">
      <c r="A53" s="2" t="s">
        <v>623</v>
      </c>
      <c r="B53" s="2" t="s">
        <v>624</v>
      </c>
      <c r="C53" s="2">
        <v>2019</v>
      </c>
      <c r="D53" s="2">
        <v>1.8149999999999999</v>
      </c>
      <c r="E53" s="2">
        <v>2.036</v>
      </c>
      <c r="F53" s="2" t="s">
        <v>146</v>
      </c>
      <c r="G53" s="2">
        <v>8.0000000000000002E-3</v>
      </c>
      <c r="H53" s="2" t="s">
        <v>146</v>
      </c>
      <c r="I53" s="2" t="s">
        <v>146</v>
      </c>
      <c r="J53" s="2" t="s">
        <v>146</v>
      </c>
      <c r="K53" s="2" t="s">
        <v>146</v>
      </c>
      <c r="L53" s="2" t="s">
        <v>146</v>
      </c>
      <c r="M53" s="2" t="s">
        <v>176</v>
      </c>
      <c r="N53" s="2" t="s">
        <v>146</v>
      </c>
      <c r="O53" s="2" t="s">
        <v>146</v>
      </c>
      <c r="P53" s="2" t="s">
        <v>146</v>
      </c>
      <c r="Q53" s="2" t="s">
        <v>146</v>
      </c>
      <c r="R53" s="2" t="s">
        <v>146</v>
      </c>
      <c r="S53" s="2" t="s">
        <v>146</v>
      </c>
      <c r="T53" s="2" t="s">
        <v>146</v>
      </c>
      <c r="U53" s="2">
        <v>2.028</v>
      </c>
      <c r="V53" s="2" t="s">
        <v>146</v>
      </c>
      <c r="W53" s="2" t="s">
        <v>146</v>
      </c>
      <c r="X53" s="2" t="s">
        <v>146</v>
      </c>
      <c r="Y53" s="2" t="s">
        <v>146</v>
      </c>
      <c r="Z53" s="2" t="s">
        <v>146</v>
      </c>
      <c r="AA53" s="2" t="s">
        <v>146</v>
      </c>
      <c r="AB53" s="2" t="s">
        <v>146</v>
      </c>
      <c r="AC53" s="2" t="s">
        <v>146</v>
      </c>
      <c r="AD53" s="2" t="s">
        <v>146</v>
      </c>
      <c r="AE53" s="2" t="s">
        <v>155</v>
      </c>
      <c r="AF53" s="2" t="s">
        <v>146</v>
      </c>
      <c r="AG53" s="2" t="s">
        <v>146</v>
      </c>
      <c r="AH53" s="2" t="s">
        <v>146</v>
      </c>
      <c r="AI53" s="2" t="s">
        <v>146</v>
      </c>
      <c r="AJ53" s="2" t="s">
        <v>146</v>
      </c>
      <c r="AK53" s="2" t="s">
        <v>146</v>
      </c>
      <c r="AL53" s="2" t="s">
        <v>146</v>
      </c>
      <c r="AM53" s="2" t="s">
        <v>146</v>
      </c>
      <c r="AN53" s="2" t="s">
        <v>176</v>
      </c>
      <c r="AO53" s="2" t="s">
        <v>146</v>
      </c>
      <c r="AP53" s="2" t="s">
        <v>146</v>
      </c>
      <c r="AQ53" s="2" t="s">
        <v>146</v>
      </c>
      <c r="AR53" s="2" t="s">
        <v>146</v>
      </c>
      <c r="AV53" s="2">
        <f t="shared" si="0"/>
        <v>2.036</v>
      </c>
      <c r="AW53" s="2">
        <f t="shared" si="1"/>
        <v>1.8149999999999999</v>
      </c>
      <c r="AX53" s="27">
        <f t="shared" si="2"/>
        <v>0.89145383104125731</v>
      </c>
      <c r="BA53" s="2">
        <f t="shared" si="3"/>
        <v>0</v>
      </c>
      <c r="BB53" s="2">
        <f t="shared" si="4"/>
        <v>0</v>
      </c>
      <c r="BC53" s="2">
        <f t="shared" si="5"/>
        <v>0</v>
      </c>
      <c r="BD53" s="2">
        <f t="shared" si="6"/>
        <v>0</v>
      </c>
      <c r="BE53" s="2">
        <f t="shared" si="7"/>
        <v>0</v>
      </c>
      <c r="BF53" s="2">
        <f t="shared" si="8"/>
        <v>0</v>
      </c>
      <c r="BJ53" s="2" t="str">
        <f t="shared" si="9"/>
        <v/>
      </c>
    </row>
    <row r="54" spans="1:62" ht="15" customHeight="1" x14ac:dyDescent="0.45">
      <c r="A54" s="2" t="s">
        <v>623</v>
      </c>
      <c r="B54" s="2" t="s">
        <v>622</v>
      </c>
      <c r="C54" s="2">
        <v>2019</v>
      </c>
      <c r="D54" s="2" t="s">
        <v>146</v>
      </c>
      <c r="E54" s="2">
        <v>0.66180000000000005</v>
      </c>
      <c r="F54" s="2" t="s">
        <v>146</v>
      </c>
      <c r="G54" s="2">
        <v>8.1799999999999998E-2</v>
      </c>
      <c r="H54" s="2" t="s">
        <v>146</v>
      </c>
      <c r="I54" s="2" t="s">
        <v>146</v>
      </c>
      <c r="J54" s="2" t="s">
        <v>146</v>
      </c>
      <c r="K54" s="2" t="s">
        <v>146</v>
      </c>
      <c r="L54" s="2" t="s">
        <v>146</v>
      </c>
      <c r="M54" s="2" t="s">
        <v>49</v>
      </c>
      <c r="N54" s="2" t="s">
        <v>146</v>
      </c>
      <c r="O54" s="2" t="s">
        <v>146</v>
      </c>
      <c r="P54" s="2" t="s">
        <v>146</v>
      </c>
      <c r="Q54" s="2" t="s">
        <v>146</v>
      </c>
      <c r="R54" s="2" t="s">
        <v>146</v>
      </c>
      <c r="S54" s="2" t="s">
        <v>146</v>
      </c>
      <c r="T54" s="2" t="s">
        <v>146</v>
      </c>
      <c r="U54" s="2">
        <v>0.57999999999999996</v>
      </c>
      <c r="V54" s="2" t="s">
        <v>146</v>
      </c>
      <c r="W54" s="2" t="s">
        <v>146</v>
      </c>
      <c r="X54" s="2" t="s">
        <v>146</v>
      </c>
      <c r="Y54" s="2" t="s">
        <v>146</v>
      </c>
      <c r="Z54" s="2" t="s">
        <v>146</v>
      </c>
      <c r="AA54" s="2" t="s">
        <v>146</v>
      </c>
      <c r="AB54" s="2" t="s">
        <v>146</v>
      </c>
      <c r="AC54" s="2" t="s">
        <v>146</v>
      </c>
      <c r="AD54" s="2" t="s">
        <v>146</v>
      </c>
      <c r="AE54" s="2" t="s">
        <v>155</v>
      </c>
      <c r="AF54" s="2" t="s">
        <v>146</v>
      </c>
      <c r="AG54" s="2" t="s">
        <v>146</v>
      </c>
      <c r="AH54" s="2" t="s">
        <v>146</v>
      </c>
      <c r="AI54" s="2" t="s">
        <v>146</v>
      </c>
      <c r="AJ54" s="2" t="s">
        <v>146</v>
      </c>
      <c r="AK54" s="2" t="s">
        <v>146</v>
      </c>
      <c r="AL54" s="2" t="s">
        <v>146</v>
      </c>
      <c r="AM54" s="2" t="s">
        <v>146</v>
      </c>
      <c r="AN54" s="2" t="s">
        <v>49</v>
      </c>
      <c r="AO54" s="2" t="s">
        <v>146</v>
      </c>
      <c r="AP54" s="2" t="s">
        <v>146</v>
      </c>
      <c r="AQ54" s="2" t="s">
        <v>146</v>
      </c>
      <c r="AR54" s="2" t="s">
        <v>146</v>
      </c>
      <c r="AV54" s="2">
        <f t="shared" si="0"/>
        <v>0.66179999999999994</v>
      </c>
      <c r="AW54" s="2">
        <f t="shared" si="1"/>
        <v>0</v>
      </c>
      <c r="AX54" s="27">
        <f t="shared" si="2"/>
        <v>0</v>
      </c>
      <c r="BA54" s="2">
        <f t="shared" si="3"/>
        <v>0</v>
      </c>
      <c r="BB54" s="2">
        <f t="shared" si="4"/>
        <v>0</v>
      </c>
      <c r="BC54" s="2">
        <f t="shared" si="5"/>
        <v>0</v>
      </c>
      <c r="BD54" s="2">
        <f t="shared" si="6"/>
        <v>0</v>
      </c>
      <c r="BE54" s="2">
        <f t="shared" si="7"/>
        <v>0</v>
      </c>
      <c r="BF54" s="2">
        <f t="shared" si="8"/>
        <v>0</v>
      </c>
      <c r="BJ54" s="2" t="str">
        <f t="shared" si="9"/>
        <v/>
      </c>
    </row>
    <row r="55" spans="1:62" ht="15" customHeight="1" x14ac:dyDescent="0.45">
      <c r="A55" s="2" t="s">
        <v>610</v>
      </c>
      <c r="B55" s="2" t="s">
        <v>621</v>
      </c>
      <c r="C55" s="2">
        <v>2019</v>
      </c>
      <c r="D55" s="2" t="s">
        <v>146</v>
      </c>
      <c r="E55" s="2" t="s">
        <v>146</v>
      </c>
      <c r="F55" s="2" t="s">
        <v>146</v>
      </c>
      <c r="G55" s="2" t="s">
        <v>146</v>
      </c>
      <c r="H55" s="2" t="s">
        <v>146</v>
      </c>
      <c r="I55" s="2" t="s">
        <v>146</v>
      </c>
      <c r="J55" s="2" t="s">
        <v>146</v>
      </c>
      <c r="K55" s="2" t="s">
        <v>146</v>
      </c>
      <c r="L55" s="2" t="s">
        <v>146</v>
      </c>
      <c r="M55" s="2" t="s">
        <v>49</v>
      </c>
      <c r="N55" s="2" t="s">
        <v>146</v>
      </c>
      <c r="O55" s="2" t="s">
        <v>146</v>
      </c>
      <c r="P55" s="2" t="s">
        <v>146</v>
      </c>
      <c r="Q55" s="2" t="s">
        <v>146</v>
      </c>
      <c r="R55" s="2" t="s">
        <v>146</v>
      </c>
      <c r="S55" s="2" t="s">
        <v>146</v>
      </c>
      <c r="T55" s="2" t="s">
        <v>146</v>
      </c>
      <c r="U55" s="2" t="s">
        <v>146</v>
      </c>
      <c r="V55" s="2" t="s">
        <v>146</v>
      </c>
      <c r="W55" s="2" t="s">
        <v>146</v>
      </c>
      <c r="X55" s="2" t="s">
        <v>146</v>
      </c>
      <c r="Y55" s="2" t="s">
        <v>146</v>
      </c>
      <c r="Z55" s="2" t="s">
        <v>146</v>
      </c>
      <c r="AA55" s="2" t="s">
        <v>146</v>
      </c>
      <c r="AB55" s="2" t="s">
        <v>146</v>
      </c>
      <c r="AC55" s="2" t="s">
        <v>146</v>
      </c>
      <c r="AD55" s="2" t="s">
        <v>146</v>
      </c>
      <c r="AE55" s="2" t="s">
        <v>146</v>
      </c>
      <c r="AF55" s="2" t="s">
        <v>146</v>
      </c>
      <c r="AG55" s="2" t="s">
        <v>146</v>
      </c>
      <c r="AH55" s="2" t="s">
        <v>146</v>
      </c>
      <c r="AI55" s="2" t="s">
        <v>146</v>
      </c>
      <c r="AJ55" s="2" t="s">
        <v>146</v>
      </c>
      <c r="AK55" s="2" t="s">
        <v>146</v>
      </c>
      <c r="AL55" s="2" t="s">
        <v>146</v>
      </c>
      <c r="AM55" s="2" t="s">
        <v>146</v>
      </c>
      <c r="AN55" s="2" t="s">
        <v>49</v>
      </c>
      <c r="AO55" s="2" t="s">
        <v>146</v>
      </c>
      <c r="AP55" s="2" t="s">
        <v>146</v>
      </c>
      <c r="AQ55" s="2" t="s">
        <v>146</v>
      </c>
      <c r="AR55" s="2" t="s">
        <v>146</v>
      </c>
      <c r="AV55" s="2">
        <f t="shared" si="0"/>
        <v>0</v>
      </c>
      <c r="AW55" s="2">
        <f t="shared" si="1"/>
        <v>0</v>
      </c>
      <c r="AX55" s="27" t="str">
        <f t="shared" si="2"/>
        <v/>
      </c>
      <c r="BA55" s="2">
        <f t="shared" si="3"/>
        <v>0</v>
      </c>
      <c r="BB55" s="2">
        <f t="shared" si="4"/>
        <v>0</v>
      </c>
      <c r="BC55" s="2">
        <f t="shared" si="5"/>
        <v>0</v>
      </c>
      <c r="BD55" s="2">
        <f t="shared" si="6"/>
        <v>0</v>
      </c>
      <c r="BE55" s="2">
        <f t="shared" si="7"/>
        <v>0</v>
      </c>
      <c r="BF55" s="2">
        <f t="shared" si="8"/>
        <v>0</v>
      </c>
      <c r="BJ55" s="2" t="str">
        <f t="shared" si="9"/>
        <v/>
      </c>
    </row>
    <row r="56" spans="1:62" ht="15" customHeight="1" x14ac:dyDescent="0.45">
      <c r="A56" s="2" t="s">
        <v>610</v>
      </c>
      <c r="B56" s="2" t="s">
        <v>620</v>
      </c>
      <c r="C56" s="2">
        <v>2019</v>
      </c>
      <c r="D56" s="2">
        <v>38.4</v>
      </c>
      <c r="E56" s="2">
        <v>34.5</v>
      </c>
      <c r="F56" s="2" t="s">
        <v>146</v>
      </c>
      <c r="G56" s="2">
        <v>0.4</v>
      </c>
      <c r="H56" s="2" t="s">
        <v>146</v>
      </c>
      <c r="I56" s="2" t="s">
        <v>146</v>
      </c>
      <c r="J56" s="2" t="s">
        <v>146</v>
      </c>
      <c r="K56" s="2" t="s">
        <v>146</v>
      </c>
      <c r="L56" s="2" t="s">
        <v>146</v>
      </c>
      <c r="M56" s="2" t="s">
        <v>49</v>
      </c>
      <c r="N56" s="2" t="s">
        <v>146</v>
      </c>
      <c r="O56" s="2" t="s">
        <v>146</v>
      </c>
      <c r="P56" s="2">
        <v>24.9</v>
      </c>
      <c r="Q56" s="2" t="s">
        <v>146</v>
      </c>
      <c r="R56" s="2" t="s">
        <v>146</v>
      </c>
      <c r="S56" s="2" t="s">
        <v>146</v>
      </c>
      <c r="T56" s="2" t="s">
        <v>146</v>
      </c>
      <c r="U56" s="2">
        <v>7.4</v>
      </c>
      <c r="V56" s="2" t="s">
        <v>146</v>
      </c>
      <c r="W56" s="2" t="s">
        <v>146</v>
      </c>
      <c r="X56" s="2" t="s">
        <v>146</v>
      </c>
      <c r="Y56" s="2" t="s">
        <v>146</v>
      </c>
      <c r="Z56" s="2">
        <v>1.8</v>
      </c>
      <c r="AA56" s="2" t="s">
        <v>146</v>
      </c>
      <c r="AB56" s="2" t="s">
        <v>146</v>
      </c>
      <c r="AC56" s="2" t="s">
        <v>146</v>
      </c>
      <c r="AD56" s="2" t="s">
        <v>146</v>
      </c>
      <c r="AE56" s="2" t="s">
        <v>146</v>
      </c>
      <c r="AF56" s="2" t="s">
        <v>146</v>
      </c>
      <c r="AG56" s="2" t="s">
        <v>146</v>
      </c>
      <c r="AH56" s="2" t="s">
        <v>146</v>
      </c>
      <c r="AI56" s="2" t="s">
        <v>146</v>
      </c>
      <c r="AJ56" s="2" t="s">
        <v>146</v>
      </c>
      <c r="AK56" s="2" t="s">
        <v>146</v>
      </c>
      <c r="AL56" s="2" t="s">
        <v>146</v>
      </c>
      <c r="AM56" s="2" t="s">
        <v>146</v>
      </c>
      <c r="AN56" s="2" t="s">
        <v>49</v>
      </c>
      <c r="AO56" s="2" t="s">
        <v>146</v>
      </c>
      <c r="AP56" s="2" t="s">
        <v>146</v>
      </c>
      <c r="AQ56" s="2" t="s">
        <v>146</v>
      </c>
      <c r="AR56" s="2" t="s">
        <v>146</v>
      </c>
      <c r="AV56" s="2">
        <f t="shared" si="0"/>
        <v>34.499999999999993</v>
      </c>
      <c r="AW56" s="2">
        <f t="shared" si="1"/>
        <v>38.4</v>
      </c>
      <c r="AX56" s="27">
        <f t="shared" si="2"/>
        <v>1.1130434782608698</v>
      </c>
      <c r="BA56" s="2">
        <f t="shared" si="3"/>
        <v>0</v>
      </c>
      <c r="BB56" s="2">
        <f t="shared" si="4"/>
        <v>0</v>
      </c>
      <c r="BC56" s="2">
        <f t="shared" si="5"/>
        <v>0</v>
      </c>
      <c r="BD56" s="2">
        <f t="shared" si="6"/>
        <v>0</v>
      </c>
      <c r="BE56" s="2">
        <f t="shared" si="7"/>
        <v>0</v>
      </c>
      <c r="BF56" s="2">
        <f t="shared" si="8"/>
        <v>0</v>
      </c>
      <c r="BJ56" s="2" t="str">
        <f t="shared" si="9"/>
        <v/>
      </c>
    </row>
    <row r="57" spans="1:62" ht="15" customHeight="1" x14ac:dyDescent="0.45">
      <c r="A57" s="2" t="s">
        <v>610</v>
      </c>
      <c r="B57" s="2" t="s">
        <v>619</v>
      </c>
      <c r="C57" s="2">
        <v>2019</v>
      </c>
      <c r="D57" s="2" t="s">
        <v>146</v>
      </c>
      <c r="E57" s="2" t="s">
        <v>146</v>
      </c>
      <c r="F57" s="2" t="s">
        <v>146</v>
      </c>
      <c r="G57" s="2" t="s">
        <v>146</v>
      </c>
      <c r="H57" s="2" t="s">
        <v>146</v>
      </c>
      <c r="I57" s="2" t="s">
        <v>146</v>
      </c>
      <c r="J57" s="2" t="s">
        <v>146</v>
      </c>
      <c r="K57" s="2" t="s">
        <v>146</v>
      </c>
      <c r="L57" s="2" t="s">
        <v>146</v>
      </c>
      <c r="M57" s="2" t="s">
        <v>49</v>
      </c>
      <c r="N57" s="2" t="s">
        <v>146</v>
      </c>
      <c r="O57" s="2" t="s">
        <v>146</v>
      </c>
      <c r="P57" s="2" t="s">
        <v>146</v>
      </c>
      <c r="Q57" s="2" t="s">
        <v>146</v>
      </c>
      <c r="R57" s="2" t="s">
        <v>146</v>
      </c>
      <c r="S57" s="2" t="s">
        <v>146</v>
      </c>
      <c r="T57" s="2" t="s">
        <v>146</v>
      </c>
      <c r="U57" s="2" t="s">
        <v>146</v>
      </c>
      <c r="V57" s="2" t="s">
        <v>146</v>
      </c>
      <c r="W57" s="2" t="s">
        <v>146</v>
      </c>
      <c r="X57" s="2" t="s">
        <v>146</v>
      </c>
      <c r="Y57" s="2" t="s">
        <v>146</v>
      </c>
      <c r="Z57" s="2" t="s">
        <v>146</v>
      </c>
      <c r="AA57" s="2" t="s">
        <v>146</v>
      </c>
      <c r="AB57" s="2" t="s">
        <v>146</v>
      </c>
      <c r="AC57" s="2" t="s">
        <v>146</v>
      </c>
      <c r="AD57" s="2" t="s">
        <v>146</v>
      </c>
      <c r="AE57" s="2" t="s">
        <v>146</v>
      </c>
      <c r="AF57" s="2" t="s">
        <v>146</v>
      </c>
      <c r="AG57" s="2" t="s">
        <v>146</v>
      </c>
      <c r="AH57" s="2" t="s">
        <v>146</v>
      </c>
      <c r="AI57" s="2" t="s">
        <v>146</v>
      </c>
      <c r="AJ57" s="2" t="s">
        <v>146</v>
      </c>
      <c r="AK57" s="2" t="s">
        <v>146</v>
      </c>
      <c r="AL57" s="2" t="s">
        <v>146</v>
      </c>
      <c r="AM57" s="2" t="s">
        <v>146</v>
      </c>
      <c r="AN57" s="2" t="s">
        <v>49</v>
      </c>
      <c r="AO57" s="2" t="s">
        <v>146</v>
      </c>
      <c r="AP57" s="2" t="s">
        <v>146</v>
      </c>
      <c r="AQ57" s="2" t="s">
        <v>146</v>
      </c>
      <c r="AR57" s="2" t="s">
        <v>146</v>
      </c>
      <c r="AV57" s="2">
        <f t="shared" si="0"/>
        <v>0</v>
      </c>
      <c r="AW57" s="2">
        <f t="shared" si="1"/>
        <v>0</v>
      </c>
      <c r="AX57" s="27" t="str">
        <f t="shared" si="2"/>
        <v/>
      </c>
      <c r="BA57" s="2">
        <f t="shared" si="3"/>
        <v>0</v>
      </c>
      <c r="BB57" s="2">
        <f t="shared" si="4"/>
        <v>0</v>
      </c>
      <c r="BC57" s="2">
        <f t="shared" si="5"/>
        <v>0</v>
      </c>
      <c r="BD57" s="2">
        <f t="shared" si="6"/>
        <v>0</v>
      </c>
      <c r="BE57" s="2">
        <f t="shared" si="7"/>
        <v>0</v>
      </c>
      <c r="BF57" s="2">
        <f t="shared" si="8"/>
        <v>0</v>
      </c>
      <c r="BJ57" s="2" t="str">
        <f t="shared" si="9"/>
        <v/>
      </c>
    </row>
    <row r="58" spans="1:62" ht="15" customHeight="1" x14ac:dyDescent="0.45">
      <c r="A58" s="2" t="s">
        <v>610</v>
      </c>
      <c r="B58" s="2" t="s">
        <v>618</v>
      </c>
      <c r="C58" s="2">
        <v>2019</v>
      </c>
      <c r="D58" s="2">
        <v>56.5</v>
      </c>
      <c r="E58" s="2">
        <v>62.994999999999997</v>
      </c>
      <c r="F58" s="2">
        <v>0</v>
      </c>
      <c r="G58" s="2">
        <v>0.19500000000000001</v>
      </c>
      <c r="H58" s="2" t="s">
        <v>146</v>
      </c>
      <c r="I58" s="2">
        <v>11.5</v>
      </c>
      <c r="J58" s="2" t="s">
        <v>146</v>
      </c>
      <c r="K58" s="2" t="s">
        <v>146</v>
      </c>
      <c r="L58" s="2" t="s">
        <v>146</v>
      </c>
      <c r="M58" s="2" t="s">
        <v>617</v>
      </c>
      <c r="N58" s="2">
        <v>0</v>
      </c>
      <c r="O58" s="2">
        <v>0</v>
      </c>
      <c r="P58" s="2">
        <v>0</v>
      </c>
      <c r="Q58" s="2">
        <v>0</v>
      </c>
      <c r="R58" s="2">
        <v>0</v>
      </c>
      <c r="S58" s="2">
        <v>0</v>
      </c>
      <c r="T58" s="2" t="s">
        <v>146</v>
      </c>
      <c r="U58" s="2" t="s">
        <v>146</v>
      </c>
      <c r="V58" s="2" t="s">
        <v>146</v>
      </c>
      <c r="W58" s="2" t="s">
        <v>146</v>
      </c>
      <c r="X58" s="2" t="s">
        <v>146</v>
      </c>
      <c r="Y58" s="2" t="s">
        <v>146</v>
      </c>
      <c r="Z58" s="2" t="s">
        <v>146</v>
      </c>
      <c r="AA58" s="2" t="s">
        <v>146</v>
      </c>
      <c r="AB58" s="2">
        <v>0</v>
      </c>
      <c r="AC58" s="2" t="s">
        <v>146</v>
      </c>
      <c r="AD58" s="2" t="s">
        <v>146</v>
      </c>
      <c r="AE58" s="2" t="s">
        <v>146</v>
      </c>
      <c r="AF58" s="2" t="s">
        <v>146</v>
      </c>
      <c r="AG58" s="2" t="s">
        <v>146</v>
      </c>
      <c r="AH58" s="2">
        <v>0</v>
      </c>
      <c r="AI58" s="2">
        <v>51.1</v>
      </c>
      <c r="AJ58" s="2" t="s">
        <v>165</v>
      </c>
      <c r="AK58" s="2">
        <v>16.2</v>
      </c>
      <c r="AL58" s="2">
        <v>0.2</v>
      </c>
      <c r="AM58" s="2">
        <v>0.2</v>
      </c>
      <c r="AN58" s="2" t="s">
        <v>176</v>
      </c>
      <c r="AO58" s="2" t="s">
        <v>146</v>
      </c>
      <c r="AP58" s="2" t="s">
        <v>146</v>
      </c>
      <c r="AQ58" s="2" t="s">
        <v>146</v>
      </c>
      <c r="AR58" s="2" t="s">
        <v>146</v>
      </c>
      <c r="AV58" s="2">
        <f t="shared" si="0"/>
        <v>62.995000000000005</v>
      </c>
      <c r="AW58" s="2">
        <f t="shared" si="1"/>
        <v>56.5</v>
      </c>
      <c r="AX58" s="27">
        <f t="shared" si="2"/>
        <v>0.89689657909357878</v>
      </c>
      <c r="BA58" s="2">
        <f t="shared" si="3"/>
        <v>0</v>
      </c>
      <c r="BB58" s="2">
        <f t="shared" si="4"/>
        <v>0</v>
      </c>
      <c r="BC58" s="2">
        <f t="shared" si="5"/>
        <v>0</v>
      </c>
      <c r="BD58" s="2">
        <f t="shared" si="6"/>
        <v>0</v>
      </c>
      <c r="BE58" s="2">
        <f t="shared" si="7"/>
        <v>0</v>
      </c>
      <c r="BF58" s="2">
        <f t="shared" si="8"/>
        <v>0</v>
      </c>
      <c r="BJ58" s="2" t="str">
        <f t="shared" si="9"/>
        <v/>
      </c>
    </row>
    <row r="59" spans="1:62" ht="15" customHeight="1" x14ac:dyDescent="0.45">
      <c r="A59" s="2" t="s">
        <v>610</v>
      </c>
      <c r="B59" s="2" t="s">
        <v>616</v>
      </c>
      <c r="C59" s="2">
        <v>2019</v>
      </c>
      <c r="D59" s="2">
        <v>421</v>
      </c>
      <c r="E59" s="2">
        <v>422.6</v>
      </c>
      <c r="F59" s="2" t="s">
        <v>146</v>
      </c>
      <c r="G59" s="2" t="s">
        <v>146</v>
      </c>
      <c r="H59" s="2" t="s">
        <v>146</v>
      </c>
      <c r="I59" s="2" t="s">
        <v>146</v>
      </c>
      <c r="J59" s="2" t="s">
        <v>146</v>
      </c>
      <c r="K59" s="2" t="s">
        <v>146</v>
      </c>
      <c r="L59" s="2" t="s">
        <v>146</v>
      </c>
      <c r="M59" s="2" t="s">
        <v>49</v>
      </c>
      <c r="N59" s="2" t="s">
        <v>146</v>
      </c>
      <c r="O59" s="2" t="s">
        <v>146</v>
      </c>
      <c r="P59" s="2" t="s">
        <v>146</v>
      </c>
      <c r="Q59" s="2" t="s">
        <v>146</v>
      </c>
      <c r="R59" s="2" t="s">
        <v>146</v>
      </c>
      <c r="S59" s="2" t="s">
        <v>146</v>
      </c>
      <c r="T59" s="2" t="s">
        <v>146</v>
      </c>
      <c r="U59" s="2">
        <v>66</v>
      </c>
      <c r="V59" s="2">
        <v>17</v>
      </c>
      <c r="W59" s="2" t="s">
        <v>146</v>
      </c>
      <c r="X59" s="2" t="s">
        <v>146</v>
      </c>
      <c r="Y59" s="2" t="s">
        <v>146</v>
      </c>
      <c r="Z59" s="2">
        <v>27</v>
      </c>
      <c r="AA59" s="2" t="s">
        <v>146</v>
      </c>
      <c r="AB59" s="2" t="s">
        <v>146</v>
      </c>
      <c r="AC59" s="2">
        <v>110</v>
      </c>
      <c r="AD59" s="2" t="s">
        <v>146</v>
      </c>
      <c r="AE59" s="2" t="s">
        <v>160</v>
      </c>
      <c r="AF59" s="2">
        <v>37.299999999999997</v>
      </c>
      <c r="AG59" s="2">
        <v>0.2</v>
      </c>
      <c r="AH59" s="2">
        <v>9.4</v>
      </c>
      <c r="AI59" s="2">
        <v>193</v>
      </c>
      <c r="AJ59" s="2" t="s">
        <v>569</v>
      </c>
      <c r="AK59" s="2">
        <v>63.5</v>
      </c>
      <c r="AL59" s="2" t="s">
        <v>146</v>
      </c>
      <c r="AM59" s="2" t="s">
        <v>146</v>
      </c>
      <c r="AN59" s="2" t="s">
        <v>49</v>
      </c>
      <c r="AO59" s="2" t="s">
        <v>146</v>
      </c>
      <c r="AP59" s="2">
        <v>100</v>
      </c>
      <c r="AQ59" s="2" t="s">
        <v>146</v>
      </c>
      <c r="AR59" s="2" t="s">
        <v>146</v>
      </c>
      <c r="AV59" s="2">
        <f t="shared" si="0"/>
        <v>422.6</v>
      </c>
      <c r="AW59" s="2">
        <f t="shared" si="1"/>
        <v>421</v>
      </c>
      <c r="AX59" s="27">
        <f t="shared" si="2"/>
        <v>0.99621391386654046</v>
      </c>
      <c r="BA59" s="2">
        <f t="shared" si="3"/>
        <v>9.4</v>
      </c>
      <c r="BB59" s="2">
        <f t="shared" si="4"/>
        <v>0</v>
      </c>
      <c r="BC59" s="2">
        <f t="shared" si="5"/>
        <v>9.4</v>
      </c>
      <c r="BD59" s="2">
        <f t="shared" si="6"/>
        <v>0</v>
      </c>
      <c r="BE59" s="2">
        <f t="shared" si="7"/>
        <v>0</v>
      </c>
      <c r="BF59" s="2">
        <f t="shared" si="8"/>
        <v>0</v>
      </c>
      <c r="BJ59" s="2" t="str">
        <f t="shared" si="9"/>
        <v/>
      </c>
    </row>
    <row r="60" spans="1:62" ht="15" customHeight="1" x14ac:dyDescent="0.45">
      <c r="A60" s="2" t="s">
        <v>610</v>
      </c>
      <c r="B60" s="2" t="s">
        <v>615</v>
      </c>
      <c r="C60" s="2">
        <v>2019</v>
      </c>
      <c r="D60" s="2" t="s">
        <v>146</v>
      </c>
      <c r="E60" s="2" t="s">
        <v>146</v>
      </c>
      <c r="F60" s="2" t="s">
        <v>146</v>
      </c>
      <c r="G60" s="2" t="s">
        <v>146</v>
      </c>
      <c r="H60" s="2" t="s">
        <v>146</v>
      </c>
      <c r="I60" s="2" t="s">
        <v>146</v>
      </c>
      <c r="J60" s="2" t="s">
        <v>146</v>
      </c>
      <c r="K60" s="2" t="s">
        <v>146</v>
      </c>
      <c r="L60" s="2" t="s">
        <v>146</v>
      </c>
      <c r="M60" s="2" t="s">
        <v>49</v>
      </c>
      <c r="N60" s="2" t="s">
        <v>146</v>
      </c>
      <c r="O60" s="2" t="s">
        <v>146</v>
      </c>
      <c r="P60" s="2" t="s">
        <v>146</v>
      </c>
      <c r="Q60" s="2" t="s">
        <v>146</v>
      </c>
      <c r="R60" s="2" t="s">
        <v>146</v>
      </c>
      <c r="S60" s="2" t="s">
        <v>146</v>
      </c>
      <c r="T60" s="2" t="s">
        <v>146</v>
      </c>
      <c r="U60" s="2" t="s">
        <v>146</v>
      </c>
      <c r="V60" s="2" t="s">
        <v>146</v>
      </c>
      <c r="W60" s="2" t="s">
        <v>146</v>
      </c>
      <c r="X60" s="2" t="s">
        <v>146</v>
      </c>
      <c r="Y60" s="2" t="s">
        <v>146</v>
      </c>
      <c r="Z60" s="2" t="s">
        <v>146</v>
      </c>
      <c r="AA60" s="2" t="s">
        <v>146</v>
      </c>
      <c r="AB60" s="2" t="s">
        <v>146</v>
      </c>
      <c r="AC60" s="2" t="s">
        <v>146</v>
      </c>
      <c r="AD60" s="2" t="s">
        <v>146</v>
      </c>
      <c r="AE60" s="2" t="s">
        <v>146</v>
      </c>
      <c r="AF60" s="2" t="s">
        <v>146</v>
      </c>
      <c r="AG60" s="2" t="s">
        <v>146</v>
      </c>
      <c r="AH60" s="2" t="s">
        <v>146</v>
      </c>
      <c r="AI60" s="2" t="s">
        <v>146</v>
      </c>
      <c r="AJ60" s="2" t="s">
        <v>146</v>
      </c>
      <c r="AK60" s="2" t="s">
        <v>146</v>
      </c>
      <c r="AL60" s="2" t="s">
        <v>146</v>
      </c>
      <c r="AM60" s="2" t="s">
        <v>146</v>
      </c>
      <c r="AN60" s="2" t="s">
        <v>49</v>
      </c>
      <c r="AO60" s="2" t="s">
        <v>146</v>
      </c>
      <c r="AP60" s="2" t="s">
        <v>146</v>
      </c>
      <c r="AQ60" s="2" t="s">
        <v>146</v>
      </c>
      <c r="AR60" s="2" t="s">
        <v>146</v>
      </c>
      <c r="AV60" s="2">
        <f t="shared" si="0"/>
        <v>0</v>
      </c>
      <c r="AW60" s="2">
        <f t="shared" si="1"/>
        <v>0</v>
      </c>
      <c r="AX60" s="27" t="str">
        <f t="shared" si="2"/>
        <v/>
      </c>
      <c r="BA60" s="2">
        <f t="shared" si="3"/>
        <v>0</v>
      </c>
      <c r="BB60" s="2">
        <f t="shared" si="4"/>
        <v>0</v>
      </c>
      <c r="BC60" s="2">
        <f t="shared" si="5"/>
        <v>0</v>
      </c>
      <c r="BD60" s="2">
        <f t="shared" si="6"/>
        <v>0</v>
      </c>
      <c r="BE60" s="2">
        <f t="shared" si="7"/>
        <v>0</v>
      </c>
      <c r="BF60" s="2">
        <f t="shared" si="8"/>
        <v>0</v>
      </c>
      <c r="BJ60" s="2" t="str">
        <f t="shared" si="9"/>
        <v/>
      </c>
    </row>
    <row r="61" spans="1:62" ht="15" customHeight="1" x14ac:dyDescent="0.45">
      <c r="A61" s="2" t="s">
        <v>610</v>
      </c>
      <c r="B61" s="2" t="s">
        <v>614</v>
      </c>
      <c r="C61" s="2">
        <v>2019</v>
      </c>
      <c r="D61" s="2">
        <v>315</v>
      </c>
      <c r="E61" s="2">
        <v>332.62299999999999</v>
      </c>
      <c r="F61" s="2" t="s">
        <v>146</v>
      </c>
      <c r="G61" s="2">
        <v>3.0000000000000001E-3</v>
      </c>
      <c r="H61" s="2" t="s">
        <v>146</v>
      </c>
      <c r="I61" s="2">
        <v>4.22</v>
      </c>
      <c r="J61" s="2">
        <v>6.9</v>
      </c>
      <c r="K61" s="2" t="s">
        <v>146</v>
      </c>
      <c r="L61" s="2" t="s">
        <v>146</v>
      </c>
      <c r="M61" s="2" t="s">
        <v>176</v>
      </c>
      <c r="N61" s="2" t="s">
        <v>146</v>
      </c>
      <c r="O61" s="2" t="s">
        <v>146</v>
      </c>
      <c r="P61" s="2">
        <v>147</v>
      </c>
      <c r="Q61" s="2" t="s">
        <v>146</v>
      </c>
      <c r="R61" s="2" t="s">
        <v>146</v>
      </c>
      <c r="S61" s="2" t="s">
        <v>146</v>
      </c>
      <c r="T61" s="2" t="s">
        <v>147</v>
      </c>
      <c r="U61" s="2" t="s">
        <v>146</v>
      </c>
      <c r="V61" s="2" t="s">
        <v>146</v>
      </c>
      <c r="W61" s="2" t="s">
        <v>146</v>
      </c>
      <c r="X61" s="2" t="s">
        <v>146</v>
      </c>
      <c r="Y61" s="2" t="s">
        <v>146</v>
      </c>
      <c r="Z61" s="2" t="s">
        <v>146</v>
      </c>
      <c r="AA61" s="2" t="s">
        <v>146</v>
      </c>
      <c r="AB61" s="2" t="s">
        <v>146</v>
      </c>
      <c r="AC61" s="2" t="s">
        <v>146</v>
      </c>
      <c r="AD61" s="2" t="s">
        <v>146</v>
      </c>
      <c r="AE61" s="2" t="s">
        <v>146</v>
      </c>
      <c r="AF61" s="2" t="s">
        <v>146</v>
      </c>
      <c r="AG61" s="2">
        <v>59.5</v>
      </c>
      <c r="AH61" s="2">
        <v>35</v>
      </c>
      <c r="AI61" s="2">
        <v>80</v>
      </c>
      <c r="AJ61" s="2" t="s">
        <v>165</v>
      </c>
      <c r="AK61" s="2">
        <v>24.5</v>
      </c>
      <c r="AL61" s="2" t="s">
        <v>146</v>
      </c>
      <c r="AM61" s="2" t="s">
        <v>146</v>
      </c>
      <c r="AN61" s="2" t="s">
        <v>176</v>
      </c>
      <c r="AO61" s="2">
        <v>100</v>
      </c>
      <c r="AP61" s="2" t="s">
        <v>146</v>
      </c>
      <c r="AQ61" s="2" t="s">
        <v>146</v>
      </c>
      <c r="AR61" s="2" t="s">
        <v>146</v>
      </c>
      <c r="AV61" s="2">
        <f t="shared" si="0"/>
        <v>332.62299999999999</v>
      </c>
      <c r="AW61" s="2">
        <f t="shared" si="1"/>
        <v>315</v>
      </c>
      <c r="AX61" s="27">
        <f t="shared" si="2"/>
        <v>0.94701809556164185</v>
      </c>
      <c r="BA61" s="2">
        <f t="shared" si="3"/>
        <v>35</v>
      </c>
      <c r="BB61" s="2">
        <f t="shared" si="4"/>
        <v>35</v>
      </c>
      <c r="BC61" s="2">
        <f t="shared" si="5"/>
        <v>0</v>
      </c>
      <c r="BD61" s="2">
        <f t="shared" si="6"/>
        <v>0</v>
      </c>
      <c r="BE61" s="2">
        <f t="shared" si="7"/>
        <v>0</v>
      </c>
      <c r="BF61" s="2">
        <f t="shared" si="8"/>
        <v>0</v>
      </c>
      <c r="BJ61" s="2" t="str">
        <f t="shared" si="9"/>
        <v/>
      </c>
    </row>
    <row r="62" spans="1:62" ht="15" customHeight="1" x14ac:dyDescent="0.45">
      <c r="A62" s="2" t="s">
        <v>610</v>
      </c>
      <c r="B62" s="2" t="s">
        <v>613</v>
      </c>
      <c r="C62" s="2">
        <v>2019</v>
      </c>
      <c r="D62" s="2">
        <v>119.2</v>
      </c>
      <c r="E62" s="2">
        <v>133.1</v>
      </c>
      <c r="F62" s="2" t="s">
        <v>146</v>
      </c>
      <c r="G62" s="2" t="s">
        <v>146</v>
      </c>
      <c r="H62" s="2" t="s">
        <v>146</v>
      </c>
      <c r="I62" s="2">
        <v>13</v>
      </c>
      <c r="J62" s="2" t="s">
        <v>146</v>
      </c>
      <c r="K62" s="2" t="s">
        <v>146</v>
      </c>
      <c r="L62" s="2" t="s">
        <v>146</v>
      </c>
      <c r="M62" s="2" t="s">
        <v>49</v>
      </c>
      <c r="N62" s="2" t="s">
        <v>146</v>
      </c>
      <c r="O62" s="2" t="s">
        <v>146</v>
      </c>
      <c r="P62" s="2" t="s">
        <v>146</v>
      </c>
      <c r="Q62" s="2" t="s">
        <v>146</v>
      </c>
      <c r="R62" s="2" t="s">
        <v>146</v>
      </c>
      <c r="S62" s="2" t="s">
        <v>146</v>
      </c>
      <c r="T62" s="2" t="s">
        <v>146</v>
      </c>
      <c r="U62" s="2" t="s">
        <v>146</v>
      </c>
      <c r="V62" s="2" t="s">
        <v>146</v>
      </c>
      <c r="W62" s="2" t="s">
        <v>146</v>
      </c>
      <c r="X62" s="2" t="s">
        <v>146</v>
      </c>
      <c r="Y62" s="2" t="s">
        <v>146</v>
      </c>
      <c r="Z62" s="2">
        <v>9.8000000000000007</v>
      </c>
      <c r="AA62" s="2" t="s">
        <v>146</v>
      </c>
      <c r="AB62" s="2" t="s">
        <v>146</v>
      </c>
      <c r="AC62" s="2">
        <v>110.3</v>
      </c>
      <c r="AD62" s="2" t="s">
        <v>146</v>
      </c>
      <c r="AE62" s="2" t="s">
        <v>49</v>
      </c>
      <c r="AF62" s="2" t="s">
        <v>146</v>
      </c>
      <c r="AG62" s="2" t="s">
        <v>146</v>
      </c>
      <c r="AH62" s="2" t="s">
        <v>146</v>
      </c>
      <c r="AI62" s="2" t="s">
        <v>146</v>
      </c>
      <c r="AJ62" s="2" t="s">
        <v>49</v>
      </c>
      <c r="AK62" s="2" t="s">
        <v>146</v>
      </c>
      <c r="AL62" s="2" t="s">
        <v>146</v>
      </c>
      <c r="AM62" s="2" t="s">
        <v>146</v>
      </c>
      <c r="AN62" s="2" t="s">
        <v>49</v>
      </c>
      <c r="AO62" s="2" t="s">
        <v>146</v>
      </c>
      <c r="AP62" s="2" t="s">
        <v>146</v>
      </c>
      <c r="AQ62" s="2" t="s">
        <v>146</v>
      </c>
      <c r="AR62" s="2" t="s">
        <v>146</v>
      </c>
      <c r="AV62" s="2">
        <f t="shared" si="0"/>
        <v>133.1</v>
      </c>
      <c r="AW62" s="2">
        <f t="shared" si="1"/>
        <v>119.2</v>
      </c>
      <c r="AX62" s="27">
        <f t="shared" si="2"/>
        <v>0.8955672426746808</v>
      </c>
      <c r="BA62" s="2">
        <f t="shared" si="3"/>
        <v>0</v>
      </c>
      <c r="BB62" s="2">
        <f t="shared" si="4"/>
        <v>0</v>
      </c>
      <c r="BC62" s="2">
        <f t="shared" si="5"/>
        <v>0</v>
      </c>
      <c r="BD62" s="2">
        <f t="shared" si="6"/>
        <v>0</v>
      </c>
      <c r="BE62" s="2">
        <f t="shared" si="7"/>
        <v>0</v>
      </c>
      <c r="BF62" s="2">
        <f t="shared" si="8"/>
        <v>0</v>
      </c>
      <c r="BJ62" s="2" t="str">
        <f t="shared" si="9"/>
        <v/>
      </c>
    </row>
    <row r="63" spans="1:62" ht="15" customHeight="1" x14ac:dyDescent="0.45">
      <c r="A63" s="2" t="s">
        <v>610</v>
      </c>
      <c r="B63" s="2" t="s">
        <v>612</v>
      </c>
      <c r="C63" s="2">
        <v>2019</v>
      </c>
      <c r="D63" s="2">
        <v>84.5</v>
      </c>
      <c r="E63" s="2">
        <v>97.8</v>
      </c>
      <c r="F63" s="2" t="s">
        <v>146</v>
      </c>
      <c r="G63" s="2">
        <v>1.9</v>
      </c>
      <c r="H63" s="2" t="s">
        <v>146</v>
      </c>
      <c r="I63" s="2" t="s">
        <v>146</v>
      </c>
      <c r="J63" s="2" t="s">
        <v>146</v>
      </c>
      <c r="K63" s="2" t="s">
        <v>146</v>
      </c>
      <c r="L63" s="2" t="s">
        <v>146</v>
      </c>
      <c r="M63" s="2" t="s">
        <v>49</v>
      </c>
      <c r="N63" s="2" t="s">
        <v>146</v>
      </c>
      <c r="O63" s="2" t="s">
        <v>146</v>
      </c>
      <c r="P63" s="2">
        <v>79</v>
      </c>
      <c r="Q63" s="2" t="s">
        <v>146</v>
      </c>
      <c r="R63" s="2" t="s">
        <v>146</v>
      </c>
      <c r="S63" s="2" t="s">
        <v>146</v>
      </c>
      <c r="T63" s="2" t="s">
        <v>146</v>
      </c>
      <c r="U63" s="2">
        <v>5</v>
      </c>
      <c r="V63" s="2" t="s">
        <v>146</v>
      </c>
      <c r="W63" s="2" t="s">
        <v>146</v>
      </c>
      <c r="X63" s="2" t="s">
        <v>146</v>
      </c>
      <c r="Y63" s="2" t="s">
        <v>146</v>
      </c>
      <c r="Z63" s="2">
        <v>1.4</v>
      </c>
      <c r="AA63" s="2" t="s">
        <v>146</v>
      </c>
      <c r="AB63" s="2" t="s">
        <v>146</v>
      </c>
      <c r="AC63" s="2" t="s">
        <v>146</v>
      </c>
      <c r="AD63" s="2" t="s">
        <v>146</v>
      </c>
      <c r="AE63" s="2" t="s">
        <v>146</v>
      </c>
      <c r="AF63" s="2" t="s">
        <v>146</v>
      </c>
      <c r="AG63" s="2" t="s">
        <v>146</v>
      </c>
      <c r="AH63" s="2">
        <v>10.5</v>
      </c>
      <c r="AI63" s="2" t="s">
        <v>146</v>
      </c>
      <c r="AJ63" s="2" t="s">
        <v>146</v>
      </c>
      <c r="AK63" s="2" t="s">
        <v>146</v>
      </c>
      <c r="AL63" s="2" t="s">
        <v>146</v>
      </c>
      <c r="AM63" s="2" t="s">
        <v>146</v>
      </c>
      <c r="AN63" s="2" t="s">
        <v>49</v>
      </c>
      <c r="AO63" s="2">
        <v>100</v>
      </c>
      <c r="AP63" s="2" t="s">
        <v>146</v>
      </c>
      <c r="AQ63" s="2" t="s">
        <v>146</v>
      </c>
      <c r="AR63" s="2" t="s">
        <v>146</v>
      </c>
      <c r="AV63" s="2">
        <f t="shared" si="0"/>
        <v>97.800000000000011</v>
      </c>
      <c r="AW63" s="2">
        <f t="shared" si="1"/>
        <v>84.5</v>
      </c>
      <c r="AX63" s="27">
        <f t="shared" si="2"/>
        <v>0.86400817995910006</v>
      </c>
      <c r="BA63" s="2">
        <f t="shared" si="3"/>
        <v>10.5</v>
      </c>
      <c r="BB63" s="2">
        <f t="shared" si="4"/>
        <v>10.5</v>
      </c>
      <c r="BC63" s="2">
        <f t="shared" si="5"/>
        <v>0</v>
      </c>
      <c r="BD63" s="2">
        <f t="shared" si="6"/>
        <v>0</v>
      </c>
      <c r="BE63" s="2">
        <f t="shared" si="7"/>
        <v>0</v>
      </c>
      <c r="BF63" s="2">
        <f t="shared" si="8"/>
        <v>0</v>
      </c>
      <c r="BJ63" s="2" t="str">
        <f t="shared" si="9"/>
        <v/>
      </c>
    </row>
    <row r="64" spans="1:62" ht="15" customHeight="1" x14ac:dyDescent="0.45">
      <c r="A64" s="2" t="s">
        <v>610</v>
      </c>
      <c r="B64" s="2" t="s">
        <v>611</v>
      </c>
      <c r="C64" s="2">
        <v>2019</v>
      </c>
      <c r="D64" s="2">
        <v>67</v>
      </c>
      <c r="E64" s="2">
        <v>66.7</v>
      </c>
      <c r="F64" s="2" t="s">
        <v>146</v>
      </c>
      <c r="G64" s="2" t="s">
        <v>146</v>
      </c>
      <c r="H64" s="2" t="s">
        <v>146</v>
      </c>
      <c r="I64" s="2" t="s">
        <v>146</v>
      </c>
      <c r="J64" s="2" t="s">
        <v>146</v>
      </c>
      <c r="K64" s="2" t="s">
        <v>146</v>
      </c>
      <c r="L64" s="2" t="s">
        <v>146</v>
      </c>
      <c r="M64" s="2" t="s">
        <v>49</v>
      </c>
      <c r="N64" s="2" t="s">
        <v>146</v>
      </c>
      <c r="O64" s="2" t="s">
        <v>146</v>
      </c>
      <c r="P64" s="2">
        <v>40</v>
      </c>
      <c r="Q64" s="2" t="s">
        <v>146</v>
      </c>
      <c r="R64" s="2" t="s">
        <v>146</v>
      </c>
      <c r="S64" s="2" t="s">
        <v>146</v>
      </c>
      <c r="T64" s="2" t="s">
        <v>146</v>
      </c>
      <c r="U64" s="2" t="s">
        <v>146</v>
      </c>
      <c r="V64" s="2" t="s">
        <v>146</v>
      </c>
      <c r="W64" s="2" t="s">
        <v>146</v>
      </c>
      <c r="X64" s="2" t="s">
        <v>146</v>
      </c>
      <c r="Y64" s="2" t="s">
        <v>146</v>
      </c>
      <c r="Z64" s="2">
        <v>5.7</v>
      </c>
      <c r="AA64" s="2" t="s">
        <v>146</v>
      </c>
      <c r="AB64" s="2" t="s">
        <v>146</v>
      </c>
      <c r="AC64" s="2" t="s">
        <v>146</v>
      </c>
      <c r="AD64" s="2" t="s">
        <v>146</v>
      </c>
      <c r="AE64" s="2" t="s">
        <v>146</v>
      </c>
      <c r="AF64" s="2" t="s">
        <v>146</v>
      </c>
      <c r="AG64" s="2" t="s">
        <v>146</v>
      </c>
      <c r="AH64" s="2" t="s">
        <v>146</v>
      </c>
      <c r="AI64" s="2">
        <v>21</v>
      </c>
      <c r="AJ64" s="2" t="s">
        <v>569</v>
      </c>
      <c r="AK64" s="2">
        <v>8.3000000000000007</v>
      </c>
      <c r="AL64" s="2" t="s">
        <v>146</v>
      </c>
      <c r="AM64" s="2" t="s">
        <v>146</v>
      </c>
      <c r="AN64" s="2" t="s">
        <v>49</v>
      </c>
      <c r="AO64" s="2" t="s">
        <v>146</v>
      </c>
      <c r="AP64" s="2" t="s">
        <v>146</v>
      </c>
      <c r="AQ64" s="2" t="s">
        <v>146</v>
      </c>
      <c r="AR64" s="2" t="s">
        <v>146</v>
      </c>
      <c r="AV64" s="2">
        <f t="shared" si="0"/>
        <v>66.7</v>
      </c>
      <c r="AW64" s="2">
        <f t="shared" si="1"/>
        <v>67</v>
      </c>
      <c r="AX64" s="27">
        <f t="shared" si="2"/>
        <v>1.0044977511244377</v>
      </c>
      <c r="BA64" s="2">
        <f t="shared" si="3"/>
        <v>0</v>
      </c>
      <c r="BB64" s="2">
        <f t="shared" si="4"/>
        <v>0</v>
      </c>
      <c r="BC64" s="2">
        <f t="shared" si="5"/>
        <v>0</v>
      </c>
      <c r="BD64" s="2">
        <f t="shared" si="6"/>
        <v>0</v>
      </c>
      <c r="BE64" s="2">
        <f t="shared" si="7"/>
        <v>0</v>
      </c>
      <c r="BF64" s="2">
        <f t="shared" si="8"/>
        <v>0</v>
      </c>
      <c r="BJ64" s="2" t="str">
        <f t="shared" si="9"/>
        <v/>
      </c>
    </row>
    <row r="65" spans="1:62" ht="15" customHeight="1" x14ac:dyDescent="0.45">
      <c r="A65" s="2" t="s">
        <v>610</v>
      </c>
      <c r="B65" s="2" t="s">
        <v>609</v>
      </c>
      <c r="C65" s="2">
        <v>2019</v>
      </c>
      <c r="D65" s="2">
        <v>74</v>
      </c>
      <c r="E65" s="2">
        <v>88.8</v>
      </c>
      <c r="F65" s="2" t="s">
        <v>146</v>
      </c>
      <c r="G65" s="2">
        <v>1.4</v>
      </c>
      <c r="H65" s="2" t="s">
        <v>146</v>
      </c>
      <c r="I65" s="2" t="s">
        <v>146</v>
      </c>
      <c r="J65" s="2" t="s">
        <v>146</v>
      </c>
      <c r="K65" s="2" t="s">
        <v>146</v>
      </c>
      <c r="L65" s="2" t="s">
        <v>146</v>
      </c>
      <c r="M65" s="2" t="s">
        <v>49</v>
      </c>
      <c r="N65" s="2" t="s">
        <v>146</v>
      </c>
      <c r="O65" s="2" t="s">
        <v>146</v>
      </c>
      <c r="P65" s="2">
        <v>60</v>
      </c>
      <c r="Q65" s="2" t="s">
        <v>146</v>
      </c>
      <c r="R65" s="2" t="s">
        <v>146</v>
      </c>
      <c r="S65" s="2" t="s">
        <v>146</v>
      </c>
      <c r="T65" s="2" t="s">
        <v>146</v>
      </c>
      <c r="U65" s="2">
        <v>8</v>
      </c>
      <c r="V65" s="2" t="s">
        <v>146</v>
      </c>
      <c r="W65" s="2" t="s">
        <v>146</v>
      </c>
      <c r="X65" s="2" t="s">
        <v>146</v>
      </c>
      <c r="Y65" s="2" t="s">
        <v>146</v>
      </c>
      <c r="Z65" s="2">
        <v>8.8000000000000007</v>
      </c>
      <c r="AA65" s="2" t="s">
        <v>146</v>
      </c>
      <c r="AB65" s="2" t="s">
        <v>146</v>
      </c>
      <c r="AC65" s="2" t="s">
        <v>146</v>
      </c>
      <c r="AD65" s="2" t="s">
        <v>146</v>
      </c>
      <c r="AE65" s="2" t="s">
        <v>146</v>
      </c>
      <c r="AF65" s="2" t="s">
        <v>146</v>
      </c>
      <c r="AG65" s="2" t="s">
        <v>146</v>
      </c>
      <c r="AH65" s="2">
        <v>10.6</v>
      </c>
      <c r="AI65" s="2" t="s">
        <v>146</v>
      </c>
      <c r="AJ65" s="2" t="s">
        <v>146</v>
      </c>
      <c r="AK65" s="2" t="s">
        <v>146</v>
      </c>
      <c r="AL65" s="2" t="s">
        <v>146</v>
      </c>
      <c r="AM65" s="2" t="s">
        <v>146</v>
      </c>
      <c r="AN65" s="2" t="s">
        <v>49</v>
      </c>
      <c r="AO65" s="2">
        <v>100</v>
      </c>
      <c r="AP65" s="2" t="s">
        <v>146</v>
      </c>
      <c r="AQ65" s="2" t="s">
        <v>146</v>
      </c>
      <c r="AR65" s="2" t="s">
        <v>146</v>
      </c>
      <c r="AV65" s="2">
        <f t="shared" si="0"/>
        <v>88.8</v>
      </c>
      <c r="AW65" s="2">
        <f t="shared" si="1"/>
        <v>74</v>
      </c>
      <c r="AX65" s="27">
        <f t="shared" si="2"/>
        <v>0.83333333333333337</v>
      </c>
      <c r="BA65" s="2">
        <f t="shared" si="3"/>
        <v>10.6</v>
      </c>
      <c r="BB65" s="2">
        <f t="shared" si="4"/>
        <v>10.6</v>
      </c>
      <c r="BC65" s="2">
        <f t="shared" si="5"/>
        <v>0</v>
      </c>
      <c r="BD65" s="2">
        <f t="shared" si="6"/>
        <v>0</v>
      </c>
      <c r="BE65" s="2">
        <f t="shared" si="7"/>
        <v>0</v>
      </c>
      <c r="BF65" s="2">
        <f t="shared" si="8"/>
        <v>0</v>
      </c>
      <c r="BJ65" s="2" t="str">
        <f t="shared" si="9"/>
        <v/>
      </c>
    </row>
    <row r="66" spans="1:62" ht="15" customHeight="1" x14ac:dyDescent="0.45">
      <c r="A66" s="2" t="s">
        <v>608</v>
      </c>
      <c r="B66" s="2" t="s">
        <v>608</v>
      </c>
      <c r="C66" s="2">
        <v>2019</v>
      </c>
      <c r="D66" s="2" t="s">
        <v>49</v>
      </c>
      <c r="E66" s="2" t="s">
        <v>49</v>
      </c>
      <c r="F66" s="2" t="s">
        <v>49</v>
      </c>
      <c r="G66" s="2" t="s">
        <v>49</v>
      </c>
      <c r="H66" s="2" t="s">
        <v>49</v>
      </c>
      <c r="I66" s="2" t="s">
        <v>49</v>
      </c>
      <c r="J66" s="2" t="s">
        <v>49</v>
      </c>
      <c r="K66" s="2" t="s">
        <v>49</v>
      </c>
      <c r="L66" s="2" t="s">
        <v>49</v>
      </c>
      <c r="M66" s="2" t="s">
        <v>49</v>
      </c>
      <c r="N66" s="2" t="s">
        <v>49</v>
      </c>
      <c r="O66" s="2" t="s">
        <v>49</v>
      </c>
      <c r="P66" s="2" t="s">
        <v>49</v>
      </c>
      <c r="Q66" s="2" t="s">
        <v>49</v>
      </c>
      <c r="R66" s="2" t="s">
        <v>49</v>
      </c>
      <c r="S66" s="2" t="s">
        <v>49</v>
      </c>
      <c r="T66" s="2" t="s">
        <v>49</v>
      </c>
      <c r="U66" s="2" t="s">
        <v>49</v>
      </c>
      <c r="V66" s="2" t="s">
        <v>49</v>
      </c>
      <c r="W66" s="2" t="s">
        <v>49</v>
      </c>
      <c r="X66" s="2" t="s">
        <v>49</v>
      </c>
      <c r="Y66" s="2" t="s">
        <v>49</v>
      </c>
      <c r="Z66" s="2" t="s">
        <v>49</v>
      </c>
      <c r="AA66" s="2" t="s">
        <v>49</v>
      </c>
      <c r="AB66" s="2" t="s">
        <v>49</v>
      </c>
      <c r="AC66" s="2" t="s">
        <v>49</v>
      </c>
      <c r="AD66" s="2" t="s">
        <v>49</v>
      </c>
      <c r="AE66" s="2" t="s">
        <v>49</v>
      </c>
      <c r="AF66" s="2" t="s">
        <v>49</v>
      </c>
      <c r="AG66" s="2" t="s">
        <v>49</v>
      </c>
      <c r="AH66" s="2" t="s">
        <v>49</v>
      </c>
      <c r="AI66" s="2" t="s">
        <v>49</v>
      </c>
      <c r="AJ66" s="2" t="s">
        <v>49</v>
      </c>
      <c r="AK66" s="2" t="s">
        <v>49</v>
      </c>
      <c r="AL66" s="2" t="s">
        <v>49</v>
      </c>
      <c r="AM66" s="2" t="s">
        <v>49</v>
      </c>
      <c r="AN66" s="2" t="s">
        <v>49</v>
      </c>
      <c r="AO66" s="2" t="s">
        <v>49</v>
      </c>
      <c r="AP66" s="2" t="s">
        <v>49</v>
      </c>
      <c r="AQ66" s="2" t="s">
        <v>49</v>
      </c>
      <c r="AR66" s="2" t="s">
        <v>49</v>
      </c>
      <c r="AV66" s="2">
        <f t="shared" si="0"/>
        <v>0</v>
      </c>
      <c r="AW66" s="2">
        <f t="shared" si="1"/>
        <v>0</v>
      </c>
      <c r="AX66" s="27" t="str">
        <f t="shared" si="2"/>
        <v/>
      </c>
      <c r="BA66" s="2">
        <f t="shared" si="3"/>
        <v>0</v>
      </c>
      <c r="BB66" s="2">
        <f t="shared" si="4"/>
        <v>0</v>
      </c>
      <c r="BC66" s="2">
        <f t="shared" si="5"/>
        <v>0</v>
      </c>
      <c r="BD66" s="2">
        <f t="shared" si="6"/>
        <v>0</v>
      </c>
      <c r="BE66" s="2">
        <f t="shared" si="7"/>
        <v>0</v>
      </c>
      <c r="BF66" s="2">
        <f t="shared" si="8"/>
        <v>0</v>
      </c>
      <c r="BJ66" s="2" t="str">
        <f t="shared" si="9"/>
        <v/>
      </c>
    </row>
    <row r="67" spans="1:62" ht="15" customHeight="1" x14ac:dyDescent="0.45">
      <c r="A67" s="2" t="s">
        <v>605</v>
      </c>
      <c r="B67" s="2" t="s">
        <v>607</v>
      </c>
      <c r="C67" s="2">
        <v>2019</v>
      </c>
      <c r="D67" s="2">
        <v>16.100000000000001</v>
      </c>
      <c r="E67" s="2">
        <v>24.88</v>
      </c>
      <c r="F67" s="2" t="s">
        <v>146</v>
      </c>
      <c r="G67" s="2" t="s">
        <v>146</v>
      </c>
      <c r="H67" s="2" t="s">
        <v>146</v>
      </c>
      <c r="I67" s="2" t="s">
        <v>146</v>
      </c>
      <c r="J67" s="2" t="s">
        <v>146</v>
      </c>
      <c r="K67" s="2" t="s">
        <v>146</v>
      </c>
      <c r="L67" s="2" t="s">
        <v>146</v>
      </c>
      <c r="M67" s="2" t="s">
        <v>49</v>
      </c>
      <c r="N67" s="2" t="s">
        <v>146</v>
      </c>
      <c r="O67" s="2">
        <v>2.4</v>
      </c>
      <c r="P67" s="2">
        <v>19.3</v>
      </c>
      <c r="Q67" s="2">
        <v>2.4</v>
      </c>
      <c r="R67" s="2" t="s">
        <v>146</v>
      </c>
      <c r="S67" s="2" t="s">
        <v>146</v>
      </c>
      <c r="T67" s="2" t="s">
        <v>147</v>
      </c>
      <c r="U67" s="2" t="s">
        <v>146</v>
      </c>
      <c r="V67" s="2" t="s">
        <v>146</v>
      </c>
      <c r="W67" s="2" t="s">
        <v>146</v>
      </c>
      <c r="X67" s="2" t="s">
        <v>146</v>
      </c>
      <c r="Y67" s="2" t="s">
        <v>146</v>
      </c>
      <c r="Z67" s="2">
        <v>0.78</v>
      </c>
      <c r="AA67" s="2" t="s">
        <v>146</v>
      </c>
      <c r="AB67" s="2" t="s">
        <v>146</v>
      </c>
      <c r="AC67" s="2" t="s">
        <v>146</v>
      </c>
      <c r="AD67" s="2" t="s">
        <v>146</v>
      </c>
      <c r="AE67" s="2" t="s">
        <v>155</v>
      </c>
      <c r="AF67" s="2" t="s">
        <v>146</v>
      </c>
      <c r="AG67" s="2" t="s">
        <v>146</v>
      </c>
      <c r="AH67" s="2" t="s">
        <v>146</v>
      </c>
      <c r="AI67" s="2" t="s">
        <v>146</v>
      </c>
      <c r="AJ67" s="2" t="s">
        <v>146</v>
      </c>
      <c r="AK67" s="2" t="s">
        <v>146</v>
      </c>
      <c r="AL67" s="2" t="s">
        <v>146</v>
      </c>
      <c r="AM67" s="2" t="s">
        <v>146</v>
      </c>
      <c r="AN67" s="2" t="s">
        <v>49</v>
      </c>
      <c r="AO67" s="2" t="s">
        <v>146</v>
      </c>
      <c r="AP67" s="2" t="s">
        <v>146</v>
      </c>
      <c r="AQ67" s="2" t="s">
        <v>146</v>
      </c>
      <c r="AR67" s="2" t="s">
        <v>146</v>
      </c>
      <c r="AV67" s="2">
        <f t="shared" ref="AV67:AV130" si="10">SUMPRODUCT(F67:AC67)+SUMPRODUCT(AG67:AI67)+IFERROR(AL67/1,0)</f>
        <v>24.88</v>
      </c>
      <c r="AW67" s="2">
        <f t="shared" ref="AW67:AW130" si="11">IFERROR(D67/1,0)</f>
        <v>16.100000000000001</v>
      </c>
      <c r="AX67" s="27">
        <f t="shared" ref="AX67:AX130" si="12">IFERROR(AW67/AV67,"")</f>
        <v>0.64710610932475887</v>
      </c>
      <c r="BA67" s="2">
        <f t="shared" ref="BA67:BA130" si="13">IFERROR(AH67/1,0)</f>
        <v>0</v>
      </c>
      <c r="BB67" s="2">
        <f t="shared" ref="BB67:BB130" si="14">IFERROR(AO67/100,0)*$BA67</f>
        <v>0</v>
      </c>
      <c r="BC67" s="2">
        <f t="shared" ref="BC67:BC130" si="15">IFERROR(AP67/100,0)*$BA67</f>
        <v>0</v>
      </c>
      <c r="BD67" s="2">
        <f t="shared" ref="BD67:BD130" si="16">IFERROR(AQ67/100,0)*$BA67</f>
        <v>0</v>
      </c>
      <c r="BE67" s="2">
        <f t="shared" ref="BE67:BE130" si="17">IFERROR(AR67/100,0)*$BA67</f>
        <v>0</v>
      </c>
      <c r="BF67" s="2">
        <f t="shared" ref="BF67:BF130" si="18">MAX(BA67-SUM(BB67:BE67),0)</f>
        <v>0</v>
      </c>
      <c r="BJ67" s="2" t="str">
        <f t="shared" ref="BJ67:BJ130" si="19">IF(AND((IFERROR(AO67/1,0)+IFERROR(AP67/1,0)+IFERROR(AQ67/1,0)+IFERROR(AR67/1,0))&gt;0,OR(TYPE(AH67)&lt;&gt;1,AH67=0)),"ja","")</f>
        <v/>
      </c>
    </row>
    <row r="68" spans="1:62" ht="15" customHeight="1" x14ac:dyDescent="0.45">
      <c r="A68" s="2" t="s">
        <v>605</v>
      </c>
      <c r="B68" s="2" t="s">
        <v>606</v>
      </c>
      <c r="C68" s="2">
        <v>2019</v>
      </c>
      <c r="D68" s="2">
        <v>3.66</v>
      </c>
      <c r="E68" s="2">
        <v>4.3739999999999997</v>
      </c>
      <c r="F68" s="2" t="s">
        <v>146</v>
      </c>
      <c r="G68" s="2" t="s">
        <v>146</v>
      </c>
      <c r="H68" s="2" t="s">
        <v>146</v>
      </c>
      <c r="I68" s="2" t="s">
        <v>146</v>
      </c>
      <c r="J68" s="2" t="s">
        <v>146</v>
      </c>
      <c r="K68" s="2" t="s">
        <v>146</v>
      </c>
      <c r="L68" s="2" t="s">
        <v>146</v>
      </c>
      <c r="M68" s="2" t="s">
        <v>49</v>
      </c>
      <c r="N68" s="2" t="s">
        <v>146</v>
      </c>
      <c r="O68" s="2">
        <v>1.44</v>
      </c>
      <c r="P68" s="2">
        <v>1.44</v>
      </c>
      <c r="Q68" s="2">
        <v>1.44</v>
      </c>
      <c r="R68" s="2" t="s">
        <v>146</v>
      </c>
      <c r="S68" s="2" t="s">
        <v>146</v>
      </c>
      <c r="T68" s="2" t="s">
        <v>147</v>
      </c>
      <c r="U68" s="2" t="s">
        <v>146</v>
      </c>
      <c r="V68" s="2" t="s">
        <v>146</v>
      </c>
      <c r="W68" s="2" t="s">
        <v>146</v>
      </c>
      <c r="X68" s="2" t="s">
        <v>146</v>
      </c>
      <c r="Y68" s="2" t="s">
        <v>146</v>
      </c>
      <c r="Z68" s="2">
        <v>5.3999999999999999E-2</v>
      </c>
      <c r="AA68" s="2" t="s">
        <v>146</v>
      </c>
      <c r="AB68" s="2" t="s">
        <v>146</v>
      </c>
      <c r="AC68" s="2" t="s">
        <v>146</v>
      </c>
      <c r="AD68" s="2" t="s">
        <v>146</v>
      </c>
      <c r="AE68" s="2" t="s">
        <v>155</v>
      </c>
      <c r="AF68" s="2" t="s">
        <v>146</v>
      </c>
      <c r="AG68" s="2" t="s">
        <v>146</v>
      </c>
      <c r="AH68" s="2" t="s">
        <v>146</v>
      </c>
      <c r="AI68" s="2" t="s">
        <v>146</v>
      </c>
      <c r="AJ68" s="2" t="s">
        <v>146</v>
      </c>
      <c r="AK68" s="2" t="s">
        <v>146</v>
      </c>
      <c r="AL68" s="2" t="s">
        <v>146</v>
      </c>
      <c r="AM68" s="2" t="s">
        <v>146</v>
      </c>
      <c r="AN68" s="2" t="s">
        <v>49</v>
      </c>
      <c r="AO68" s="2" t="s">
        <v>146</v>
      </c>
      <c r="AP68" s="2" t="s">
        <v>146</v>
      </c>
      <c r="AQ68" s="2" t="s">
        <v>146</v>
      </c>
      <c r="AR68" s="2" t="s">
        <v>146</v>
      </c>
      <c r="AV68" s="2">
        <f t="shared" si="10"/>
        <v>4.3740000000000006</v>
      </c>
      <c r="AW68" s="2">
        <f t="shared" si="11"/>
        <v>3.66</v>
      </c>
      <c r="AX68" s="27">
        <f t="shared" si="12"/>
        <v>0.8367626886145404</v>
      </c>
      <c r="BA68" s="2">
        <f t="shared" si="13"/>
        <v>0</v>
      </c>
      <c r="BB68" s="2">
        <f t="shared" si="14"/>
        <v>0</v>
      </c>
      <c r="BC68" s="2">
        <f t="shared" si="15"/>
        <v>0</v>
      </c>
      <c r="BD68" s="2">
        <f t="shared" si="16"/>
        <v>0</v>
      </c>
      <c r="BE68" s="2">
        <f t="shared" si="17"/>
        <v>0</v>
      </c>
      <c r="BF68" s="2">
        <f t="shared" si="18"/>
        <v>0</v>
      </c>
      <c r="BJ68" s="2" t="str">
        <f t="shared" si="19"/>
        <v/>
      </c>
    </row>
    <row r="69" spans="1:62" ht="15" customHeight="1" x14ac:dyDescent="0.45">
      <c r="A69" s="2" t="s">
        <v>605</v>
      </c>
      <c r="B69" s="2" t="s">
        <v>604</v>
      </c>
      <c r="C69" s="2">
        <v>2019</v>
      </c>
      <c r="D69" s="2">
        <v>16.059999999999999</v>
      </c>
      <c r="E69" s="2">
        <v>19.558</v>
      </c>
      <c r="F69" s="2" t="s">
        <v>146</v>
      </c>
      <c r="G69" s="2" t="s">
        <v>146</v>
      </c>
      <c r="H69" s="2" t="s">
        <v>146</v>
      </c>
      <c r="I69" s="2" t="s">
        <v>146</v>
      </c>
      <c r="J69" s="2" t="s">
        <v>146</v>
      </c>
      <c r="K69" s="2" t="s">
        <v>146</v>
      </c>
      <c r="L69" s="2" t="s">
        <v>146</v>
      </c>
      <c r="M69" s="2" t="s">
        <v>49</v>
      </c>
      <c r="N69" s="2" t="s">
        <v>146</v>
      </c>
      <c r="O69" s="2">
        <v>6.45</v>
      </c>
      <c r="P69" s="2">
        <v>6.45</v>
      </c>
      <c r="Q69" s="2">
        <v>6.45</v>
      </c>
      <c r="R69" s="2" t="s">
        <v>146</v>
      </c>
      <c r="S69" s="2" t="s">
        <v>146</v>
      </c>
      <c r="T69" s="2" t="s">
        <v>147</v>
      </c>
      <c r="U69" s="2" t="s">
        <v>146</v>
      </c>
      <c r="V69" s="2" t="s">
        <v>146</v>
      </c>
      <c r="W69" s="2" t="s">
        <v>146</v>
      </c>
      <c r="X69" s="2" t="s">
        <v>146</v>
      </c>
      <c r="Y69" s="2" t="s">
        <v>146</v>
      </c>
      <c r="Z69" s="2">
        <v>0.20799999999999999</v>
      </c>
      <c r="AA69" s="2" t="s">
        <v>146</v>
      </c>
      <c r="AB69" s="2" t="s">
        <v>146</v>
      </c>
      <c r="AC69" s="2" t="s">
        <v>146</v>
      </c>
      <c r="AD69" s="2" t="s">
        <v>146</v>
      </c>
      <c r="AE69" s="2" t="s">
        <v>155</v>
      </c>
      <c r="AF69" s="2" t="s">
        <v>146</v>
      </c>
      <c r="AG69" s="2" t="s">
        <v>146</v>
      </c>
      <c r="AH69" s="2" t="s">
        <v>146</v>
      </c>
      <c r="AI69" s="2" t="s">
        <v>146</v>
      </c>
      <c r="AJ69" s="2" t="s">
        <v>146</v>
      </c>
      <c r="AK69" s="2" t="s">
        <v>146</v>
      </c>
      <c r="AL69" s="2" t="s">
        <v>146</v>
      </c>
      <c r="AM69" s="2" t="s">
        <v>146</v>
      </c>
      <c r="AN69" s="2" t="s">
        <v>49</v>
      </c>
      <c r="AO69" s="2" t="s">
        <v>146</v>
      </c>
      <c r="AP69" s="2" t="s">
        <v>146</v>
      </c>
      <c r="AQ69" s="2" t="s">
        <v>146</v>
      </c>
      <c r="AR69" s="2" t="s">
        <v>146</v>
      </c>
      <c r="AV69" s="2">
        <f t="shared" si="10"/>
        <v>19.558</v>
      </c>
      <c r="AW69" s="2">
        <f t="shared" si="11"/>
        <v>16.059999999999999</v>
      </c>
      <c r="AX69" s="27">
        <f t="shared" si="12"/>
        <v>0.82114735658042737</v>
      </c>
      <c r="BA69" s="2">
        <f t="shared" si="13"/>
        <v>0</v>
      </c>
      <c r="BB69" s="2">
        <f t="shared" si="14"/>
        <v>0</v>
      </c>
      <c r="BC69" s="2">
        <f t="shared" si="15"/>
        <v>0</v>
      </c>
      <c r="BD69" s="2">
        <f t="shared" si="16"/>
        <v>0</v>
      </c>
      <c r="BE69" s="2">
        <f t="shared" si="17"/>
        <v>0</v>
      </c>
      <c r="BF69" s="2">
        <f t="shared" si="18"/>
        <v>0</v>
      </c>
      <c r="BJ69" s="2" t="str">
        <f t="shared" si="19"/>
        <v/>
      </c>
    </row>
    <row r="70" spans="1:62" ht="15" customHeight="1" x14ac:dyDescent="0.45">
      <c r="A70" s="2" t="s">
        <v>603</v>
      </c>
      <c r="B70" s="2" t="s">
        <v>602</v>
      </c>
      <c r="C70" s="2">
        <v>2019</v>
      </c>
      <c r="D70" s="2">
        <v>48.8</v>
      </c>
      <c r="E70" s="2">
        <v>56.09</v>
      </c>
      <c r="F70" s="2" t="s">
        <v>146</v>
      </c>
      <c r="G70" s="2">
        <v>0.69</v>
      </c>
      <c r="H70" s="2" t="s">
        <v>146</v>
      </c>
      <c r="I70" s="2" t="s">
        <v>146</v>
      </c>
      <c r="J70" s="2" t="s">
        <v>146</v>
      </c>
      <c r="K70" s="2" t="s">
        <v>146</v>
      </c>
      <c r="L70" s="2" t="s">
        <v>146</v>
      </c>
      <c r="M70" s="2" t="s">
        <v>49</v>
      </c>
      <c r="N70" s="2" t="s">
        <v>146</v>
      </c>
      <c r="O70" s="2" t="s">
        <v>146</v>
      </c>
      <c r="P70" s="2" t="s">
        <v>146</v>
      </c>
      <c r="Q70" s="2" t="s">
        <v>146</v>
      </c>
      <c r="R70" s="2" t="s">
        <v>146</v>
      </c>
      <c r="S70" s="2">
        <v>44.6</v>
      </c>
      <c r="T70" s="2" t="s">
        <v>146</v>
      </c>
      <c r="U70" s="2">
        <v>3.5</v>
      </c>
      <c r="V70" s="2" t="s">
        <v>146</v>
      </c>
      <c r="W70" s="2" t="s">
        <v>146</v>
      </c>
      <c r="X70" s="2" t="s">
        <v>146</v>
      </c>
      <c r="Y70" s="2" t="s">
        <v>146</v>
      </c>
      <c r="Z70" s="2" t="s">
        <v>146</v>
      </c>
      <c r="AA70" s="2" t="s">
        <v>146</v>
      </c>
      <c r="AB70" s="2" t="s">
        <v>146</v>
      </c>
      <c r="AC70" s="2" t="s">
        <v>146</v>
      </c>
      <c r="AD70" s="2" t="s">
        <v>146</v>
      </c>
      <c r="AE70" s="2" t="s">
        <v>146</v>
      </c>
      <c r="AF70" s="2" t="s">
        <v>146</v>
      </c>
      <c r="AG70" s="2" t="s">
        <v>146</v>
      </c>
      <c r="AH70" s="2">
        <v>7.3</v>
      </c>
      <c r="AI70" s="2" t="s">
        <v>146</v>
      </c>
      <c r="AJ70" s="2" t="s">
        <v>146</v>
      </c>
      <c r="AK70" s="2" t="s">
        <v>146</v>
      </c>
      <c r="AL70" s="2" t="s">
        <v>146</v>
      </c>
      <c r="AM70" s="2" t="s">
        <v>146</v>
      </c>
      <c r="AN70" s="2" t="s">
        <v>49</v>
      </c>
      <c r="AO70" s="2">
        <v>100</v>
      </c>
      <c r="AP70" s="2" t="s">
        <v>146</v>
      </c>
      <c r="AQ70" s="2" t="s">
        <v>146</v>
      </c>
      <c r="AR70" s="2" t="s">
        <v>146</v>
      </c>
      <c r="AV70" s="2">
        <f t="shared" si="10"/>
        <v>56.089999999999996</v>
      </c>
      <c r="AW70" s="2">
        <f t="shared" si="11"/>
        <v>48.8</v>
      </c>
      <c r="AX70" s="27">
        <f t="shared" si="12"/>
        <v>0.87003030843287577</v>
      </c>
      <c r="BA70" s="2">
        <f t="shared" si="13"/>
        <v>7.3</v>
      </c>
      <c r="BB70" s="2">
        <f t="shared" si="14"/>
        <v>7.3</v>
      </c>
      <c r="BC70" s="2">
        <f t="shared" si="15"/>
        <v>0</v>
      </c>
      <c r="BD70" s="2">
        <f t="shared" si="16"/>
        <v>0</v>
      </c>
      <c r="BE70" s="2">
        <f t="shared" si="17"/>
        <v>0</v>
      </c>
      <c r="BF70" s="2">
        <f t="shared" si="18"/>
        <v>0</v>
      </c>
      <c r="BJ70" s="2" t="str">
        <f t="shared" si="19"/>
        <v/>
      </c>
    </row>
    <row r="71" spans="1:62" ht="15" customHeight="1" x14ac:dyDescent="0.45">
      <c r="A71" s="2" t="s">
        <v>601</v>
      </c>
      <c r="B71" s="2" t="s">
        <v>600</v>
      </c>
      <c r="C71" s="2">
        <v>2019</v>
      </c>
      <c r="D71" s="2">
        <v>24.3</v>
      </c>
      <c r="E71" s="2">
        <v>28.215</v>
      </c>
      <c r="F71" s="2" t="s">
        <v>146</v>
      </c>
      <c r="G71" s="2">
        <v>1.2</v>
      </c>
      <c r="H71" s="2" t="s">
        <v>146</v>
      </c>
      <c r="I71" s="2" t="s">
        <v>146</v>
      </c>
      <c r="J71" s="2" t="s">
        <v>146</v>
      </c>
      <c r="K71" s="2" t="s">
        <v>146</v>
      </c>
      <c r="L71" s="2" t="s">
        <v>146</v>
      </c>
      <c r="M71" s="2" t="s">
        <v>146</v>
      </c>
      <c r="N71" s="2" t="s">
        <v>146</v>
      </c>
      <c r="O71" s="2" t="s">
        <v>146</v>
      </c>
      <c r="P71" s="2" t="s">
        <v>146</v>
      </c>
      <c r="Q71" s="2" t="s">
        <v>146</v>
      </c>
      <c r="R71" s="2" t="s">
        <v>146</v>
      </c>
      <c r="S71" s="2" t="s">
        <v>146</v>
      </c>
      <c r="T71" s="2" t="s">
        <v>146</v>
      </c>
      <c r="U71" s="2">
        <v>24</v>
      </c>
      <c r="V71" s="2" t="s">
        <v>146</v>
      </c>
      <c r="W71" s="2" t="s">
        <v>146</v>
      </c>
      <c r="X71" s="2" t="s">
        <v>146</v>
      </c>
      <c r="Y71" s="2" t="s">
        <v>146</v>
      </c>
      <c r="Z71" s="2" t="s">
        <v>146</v>
      </c>
      <c r="AA71" s="2" t="s">
        <v>146</v>
      </c>
      <c r="AB71" s="2" t="s">
        <v>146</v>
      </c>
      <c r="AC71" s="2" t="s">
        <v>146</v>
      </c>
      <c r="AD71" s="2" t="s">
        <v>146</v>
      </c>
      <c r="AE71" s="2" t="s">
        <v>155</v>
      </c>
      <c r="AF71" s="2" t="s">
        <v>146</v>
      </c>
      <c r="AG71" s="2">
        <v>3</v>
      </c>
      <c r="AH71" s="2" t="s">
        <v>146</v>
      </c>
      <c r="AI71" s="2" t="s">
        <v>146</v>
      </c>
      <c r="AJ71" s="2" t="s">
        <v>146</v>
      </c>
      <c r="AK71" s="2" t="s">
        <v>146</v>
      </c>
      <c r="AL71" s="2">
        <v>1.4999999999999999E-2</v>
      </c>
      <c r="AM71" s="2">
        <v>1.4999999999999999E-2</v>
      </c>
      <c r="AN71" s="2" t="s">
        <v>49</v>
      </c>
      <c r="AO71" s="2" t="s">
        <v>146</v>
      </c>
      <c r="AP71" s="2" t="s">
        <v>146</v>
      </c>
      <c r="AQ71" s="2" t="s">
        <v>146</v>
      </c>
      <c r="AR71" s="2" t="s">
        <v>146</v>
      </c>
      <c r="AV71" s="2">
        <f t="shared" si="10"/>
        <v>28.215</v>
      </c>
      <c r="AW71" s="2">
        <f t="shared" si="11"/>
        <v>24.3</v>
      </c>
      <c r="AX71" s="27">
        <f t="shared" si="12"/>
        <v>0.86124401913875603</v>
      </c>
      <c r="BA71" s="2">
        <f t="shared" si="13"/>
        <v>0</v>
      </c>
      <c r="BB71" s="2">
        <f t="shared" si="14"/>
        <v>0</v>
      </c>
      <c r="BC71" s="2">
        <f t="shared" si="15"/>
        <v>0</v>
      </c>
      <c r="BD71" s="2">
        <f t="shared" si="16"/>
        <v>0</v>
      </c>
      <c r="BE71" s="2">
        <f t="shared" si="17"/>
        <v>0</v>
      </c>
      <c r="BF71" s="2">
        <f t="shared" si="18"/>
        <v>0</v>
      </c>
      <c r="BJ71" s="2" t="str">
        <f t="shared" si="19"/>
        <v/>
      </c>
    </row>
    <row r="72" spans="1:62" ht="15" customHeight="1" x14ac:dyDescent="0.45">
      <c r="A72" s="2" t="s">
        <v>597</v>
      </c>
      <c r="B72" s="2" t="s">
        <v>599</v>
      </c>
      <c r="C72" s="2">
        <v>2019</v>
      </c>
      <c r="D72" s="2">
        <v>191.09100000000001</v>
      </c>
      <c r="E72" s="2">
        <v>193.35599999999999</v>
      </c>
      <c r="F72" s="2" t="s">
        <v>146</v>
      </c>
      <c r="G72" s="2">
        <v>3.4079999999999999</v>
      </c>
      <c r="H72" s="2" t="s">
        <v>146</v>
      </c>
      <c r="I72" s="2">
        <v>3.319</v>
      </c>
      <c r="J72" s="2" t="s">
        <v>146</v>
      </c>
      <c r="K72" s="2" t="s">
        <v>146</v>
      </c>
      <c r="L72" s="2" t="s">
        <v>146</v>
      </c>
      <c r="M72" s="2" t="s">
        <v>49</v>
      </c>
      <c r="N72" s="2">
        <v>122.81100000000001</v>
      </c>
      <c r="O72" s="2">
        <v>39</v>
      </c>
      <c r="P72" s="2" t="s">
        <v>146</v>
      </c>
      <c r="Q72" s="2" t="s">
        <v>146</v>
      </c>
      <c r="R72" s="2" t="s">
        <v>146</v>
      </c>
      <c r="S72" s="2" t="s">
        <v>146</v>
      </c>
      <c r="T72" s="2" t="s">
        <v>146</v>
      </c>
      <c r="U72" s="2" t="s">
        <v>146</v>
      </c>
      <c r="V72" s="2" t="s">
        <v>146</v>
      </c>
      <c r="W72" s="2" t="s">
        <v>146</v>
      </c>
      <c r="X72" s="2" t="s">
        <v>146</v>
      </c>
      <c r="Y72" s="2" t="s">
        <v>146</v>
      </c>
      <c r="Z72" s="2">
        <v>3.0409999999999999</v>
      </c>
      <c r="AA72" s="2" t="s">
        <v>146</v>
      </c>
      <c r="AB72" s="2" t="s">
        <v>146</v>
      </c>
      <c r="AC72" s="2" t="s">
        <v>146</v>
      </c>
      <c r="AD72" s="2" t="s">
        <v>146</v>
      </c>
      <c r="AE72" s="2" t="s">
        <v>146</v>
      </c>
      <c r="AF72" s="2" t="s">
        <v>146</v>
      </c>
      <c r="AG72" s="2" t="s">
        <v>146</v>
      </c>
      <c r="AH72" s="2">
        <v>21.777000000000001</v>
      </c>
      <c r="AI72" s="2" t="s">
        <v>146</v>
      </c>
      <c r="AJ72" s="2" t="s">
        <v>146</v>
      </c>
      <c r="AK72" s="2" t="s">
        <v>146</v>
      </c>
      <c r="AL72" s="2" t="s">
        <v>146</v>
      </c>
      <c r="AM72" s="2" t="s">
        <v>146</v>
      </c>
      <c r="AN72" s="2" t="s">
        <v>49</v>
      </c>
      <c r="AO72" s="2">
        <v>100</v>
      </c>
      <c r="AP72" s="2" t="s">
        <v>146</v>
      </c>
      <c r="AQ72" s="2" t="s">
        <v>146</v>
      </c>
      <c r="AR72" s="2" t="s">
        <v>146</v>
      </c>
      <c r="AV72" s="2">
        <f t="shared" si="10"/>
        <v>193.35599999999999</v>
      </c>
      <c r="AW72" s="2">
        <f t="shared" si="11"/>
        <v>191.09100000000001</v>
      </c>
      <c r="AX72" s="27">
        <f t="shared" si="12"/>
        <v>0.98828585614100428</v>
      </c>
      <c r="BA72" s="2">
        <f t="shared" si="13"/>
        <v>21.777000000000001</v>
      </c>
      <c r="BB72" s="2">
        <f t="shared" si="14"/>
        <v>21.777000000000001</v>
      </c>
      <c r="BC72" s="2">
        <f t="shared" si="15"/>
        <v>0</v>
      </c>
      <c r="BD72" s="2">
        <f t="shared" si="16"/>
        <v>0</v>
      </c>
      <c r="BE72" s="2">
        <f t="shared" si="17"/>
        <v>0</v>
      </c>
      <c r="BF72" s="2">
        <f t="shared" si="18"/>
        <v>0</v>
      </c>
      <c r="BJ72" s="2" t="str">
        <f t="shared" si="19"/>
        <v/>
      </c>
    </row>
    <row r="73" spans="1:62" ht="15" customHeight="1" x14ac:dyDescent="0.45">
      <c r="A73" s="2" t="s">
        <v>597</v>
      </c>
      <c r="B73" s="2" t="s">
        <v>598</v>
      </c>
      <c r="C73" s="2">
        <v>2019</v>
      </c>
      <c r="D73" s="2">
        <v>0.746</v>
      </c>
      <c r="E73" s="2">
        <v>0.85699999999999998</v>
      </c>
      <c r="F73" s="2" t="s">
        <v>146</v>
      </c>
      <c r="G73" s="2">
        <v>0.14199999999999999</v>
      </c>
      <c r="H73" s="2" t="s">
        <v>146</v>
      </c>
      <c r="I73" s="2" t="s">
        <v>146</v>
      </c>
      <c r="J73" s="2" t="s">
        <v>146</v>
      </c>
      <c r="K73" s="2" t="s">
        <v>146</v>
      </c>
      <c r="L73" s="2" t="s">
        <v>146</v>
      </c>
      <c r="M73" s="2" t="s">
        <v>49</v>
      </c>
      <c r="N73" s="2" t="s">
        <v>146</v>
      </c>
      <c r="O73" s="2" t="s">
        <v>146</v>
      </c>
      <c r="P73" s="2" t="s">
        <v>146</v>
      </c>
      <c r="Q73" s="2" t="s">
        <v>146</v>
      </c>
      <c r="R73" s="2" t="s">
        <v>146</v>
      </c>
      <c r="S73" s="2" t="s">
        <v>146</v>
      </c>
      <c r="T73" s="2" t="s">
        <v>146</v>
      </c>
      <c r="U73" s="2">
        <v>0.71499999999999997</v>
      </c>
      <c r="V73" s="2" t="s">
        <v>146</v>
      </c>
      <c r="W73" s="2" t="s">
        <v>146</v>
      </c>
      <c r="X73" s="2" t="s">
        <v>146</v>
      </c>
      <c r="Y73" s="2" t="s">
        <v>146</v>
      </c>
      <c r="Z73" s="2" t="s">
        <v>146</v>
      </c>
      <c r="AA73" s="2" t="s">
        <v>146</v>
      </c>
      <c r="AB73" s="2" t="s">
        <v>146</v>
      </c>
      <c r="AC73" s="2" t="s">
        <v>146</v>
      </c>
      <c r="AD73" s="2" t="s">
        <v>146</v>
      </c>
      <c r="AE73" s="2" t="s">
        <v>146</v>
      </c>
      <c r="AF73" s="2" t="s">
        <v>146</v>
      </c>
      <c r="AG73" s="2" t="s">
        <v>146</v>
      </c>
      <c r="AH73" s="2" t="s">
        <v>146</v>
      </c>
      <c r="AI73" s="2" t="s">
        <v>146</v>
      </c>
      <c r="AJ73" s="2" t="s">
        <v>146</v>
      </c>
      <c r="AK73" s="2" t="s">
        <v>146</v>
      </c>
      <c r="AL73" s="2" t="s">
        <v>146</v>
      </c>
      <c r="AM73" s="2" t="s">
        <v>146</v>
      </c>
      <c r="AN73" s="2" t="s">
        <v>49</v>
      </c>
      <c r="AO73" s="2" t="s">
        <v>146</v>
      </c>
      <c r="AP73" s="2" t="s">
        <v>146</v>
      </c>
      <c r="AQ73" s="2" t="s">
        <v>146</v>
      </c>
      <c r="AR73" s="2" t="s">
        <v>146</v>
      </c>
      <c r="AV73" s="2">
        <f t="shared" si="10"/>
        <v>0.85699999999999998</v>
      </c>
      <c r="AW73" s="2">
        <f t="shared" si="11"/>
        <v>0.746</v>
      </c>
      <c r="AX73" s="27">
        <f t="shared" si="12"/>
        <v>0.87047841306884477</v>
      </c>
      <c r="BA73" s="2">
        <f t="shared" si="13"/>
        <v>0</v>
      </c>
      <c r="BB73" s="2">
        <f t="shared" si="14"/>
        <v>0</v>
      </c>
      <c r="BC73" s="2">
        <f t="shared" si="15"/>
        <v>0</v>
      </c>
      <c r="BD73" s="2">
        <f t="shared" si="16"/>
        <v>0</v>
      </c>
      <c r="BE73" s="2">
        <f t="shared" si="17"/>
        <v>0</v>
      </c>
      <c r="BF73" s="2">
        <f t="shared" si="18"/>
        <v>0</v>
      </c>
      <c r="BJ73" s="2" t="str">
        <f t="shared" si="19"/>
        <v/>
      </c>
    </row>
    <row r="74" spans="1:62" ht="15" customHeight="1" x14ac:dyDescent="0.45">
      <c r="A74" s="2" t="s">
        <v>597</v>
      </c>
      <c r="B74" s="2" t="s">
        <v>596</v>
      </c>
      <c r="C74" s="2">
        <v>2019</v>
      </c>
      <c r="D74" s="2">
        <v>7894</v>
      </c>
      <c r="E74" s="2">
        <v>8.8170000000000002</v>
      </c>
      <c r="F74" s="2" t="s">
        <v>146</v>
      </c>
      <c r="G74" s="2" t="s">
        <v>146</v>
      </c>
      <c r="H74" s="2" t="s">
        <v>146</v>
      </c>
      <c r="I74" s="2" t="s">
        <v>146</v>
      </c>
      <c r="J74" s="2" t="s">
        <v>146</v>
      </c>
      <c r="K74" s="2" t="s">
        <v>146</v>
      </c>
      <c r="L74" s="2" t="s">
        <v>146</v>
      </c>
      <c r="M74" s="2" t="s">
        <v>49</v>
      </c>
      <c r="N74" s="2" t="s">
        <v>146</v>
      </c>
      <c r="O74" s="2" t="s">
        <v>146</v>
      </c>
      <c r="P74" s="2" t="s">
        <v>146</v>
      </c>
      <c r="Q74" s="2" t="s">
        <v>146</v>
      </c>
      <c r="R74" s="2" t="s">
        <v>146</v>
      </c>
      <c r="S74" s="2" t="s">
        <v>146</v>
      </c>
      <c r="T74" s="2" t="s">
        <v>146</v>
      </c>
      <c r="U74" s="2">
        <v>5.194</v>
      </c>
      <c r="V74" s="2" t="s">
        <v>146</v>
      </c>
      <c r="W74" s="2" t="s">
        <v>146</v>
      </c>
      <c r="X74" s="2" t="s">
        <v>146</v>
      </c>
      <c r="Y74" s="2" t="s">
        <v>146</v>
      </c>
      <c r="Z74" s="2">
        <v>3.6230000000000002</v>
      </c>
      <c r="AA74" s="2" t="s">
        <v>146</v>
      </c>
      <c r="AB74" s="2" t="s">
        <v>146</v>
      </c>
      <c r="AC74" s="2" t="s">
        <v>146</v>
      </c>
      <c r="AD74" s="2" t="s">
        <v>146</v>
      </c>
      <c r="AE74" s="2" t="s">
        <v>146</v>
      </c>
      <c r="AF74" s="2" t="s">
        <v>146</v>
      </c>
      <c r="AG74" s="2" t="s">
        <v>146</v>
      </c>
      <c r="AH74" s="2" t="s">
        <v>146</v>
      </c>
      <c r="AI74" s="2" t="s">
        <v>146</v>
      </c>
      <c r="AJ74" s="2" t="s">
        <v>146</v>
      </c>
      <c r="AK74" s="2" t="s">
        <v>146</v>
      </c>
      <c r="AL74" s="2" t="s">
        <v>146</v>
      </c>
      <c r="AM74" s="2" t="s">
        <v>146</v>
      </c>
      <c r="AN74" s="2" t="s">
        <v>49</v>
      </c>
      <c r="AO74" s="2" t="s">
        <v>146</v>
      </c>
      <c r="AP74" s="2" t="s">
        <v>146</v>
      </c>
      <c r="AQ74" s="2" t="s">
        <v>146</v>
      </c>
      <c r="AR74" s="2" t="s">
        <v>146</v>
      </c>
      <c r="AV74" s="2">
        <f t="shared" si="10"/>
        <v>8.8170000000000002</v>
      </c>
      <c r="AW74" s="2">
        <f t="shared" si="11"/>
        <v>7894</v>
      </c>
      <c r="AX74" s="27">
        <f t="shared" si="12"/>
        <v>895.31586707496876</v>
      </c>
      <c r="BA74" s="2">
        <f t="shared" si="13"/>
        <v>0</v>
      </c>
      <c r="BB74" s="2">
        <f t="shared" si="14"/>
        <v>0</v>
      </c>
      <c r="BC74" s="2">
        <f t="shared" si="15"/>
        <v>0</v>
      </c>
      <c r="BD74" s="2">
        <f t="shared" si="16"/>
        <v>0</v>
      </c>
      <c r="BE74" s="2">
        <f t="shared" si="17"/>
        <v>0</v>
      </c>
      <c r="BF74" s="2">
        <f t="shared" si="18"/>
        <v>0</v>
      </c>
      <c r="BJ74" s="2" t="str">
        <f t="shared" si="19"/>
        <v/>
      </c>
    </row>
    <row r="75" spans="1:62" ht="15" customHeight="1" x14ac:dyDescent="0.45">
      <c r="A75" s="2" t="s">
        <v>593</v>
      </c>
      <c r="B75" s="2" t="s">
        <v>595</v>
      </c>
      <c r="C75" s="2">
        <v>2019</v>
      </c>
      <c r="D75" s="2">
        <v>4.5</v>
      </c>
      <c r="E75" s="2">
        <v>4.8</v>
      </c>
      <c r="F75" s="2" t="s">
        <v>146</v>
      </c>
      <c r="G75" s="2" t="s">
        <v>146</v>
      </c>
      <c r="H75" s="2" t="s">
        <v>146</v>
      </c>
      <c r="I75" s="2" t="s">
        <v>146</v>
      </c>
      <c r="J75" s="2" t="s">
        <v>146</v>
      </c>
      <c r="K75" s="2" t="s">
        <v>146</v>
      </c>
      <c r="L75" s="2" t="s">
        <v>146</v>
      </c>
      <c r="M75" s="2" t="s">
        <v>49</v>
      </c>
      <c r="N75" s="2" t="s">
        <v>146</v>
      </c>
      <c r="O75" s="2" t="s">
        <v>146</v>
      </c>
      <c r="P75" s="2" t="s">
        <v>146</v>
      </c>
      <c r="Q75" s="2" t="s">
        <v>146</v>
      </c>
      <c r="R75" s="2" t="s">
        <v>146</v>
      </c>
      <c r="S75" s="2" t="s">
        <v>146</v>
      </c>
      <c r="T75" s="2" t="s">
        <v>146</v>
      </c>
      <c r="U75" s="2" t="s">
        <v>146</v>
      </c>
      <c r="V75" s="2">
        <v>4.0999999999999996</v>
      </c>
      <c r="W75" s="2" t="s">
        <v>146</v>
      </c>
      <c r="X75" s="2" t="s">
        <v>146</v>
      </c>
      <c r="Y75" s="2" t="s">
        <v>146</v>
      </c>
      <c r="Z75" s="2">
        <v>0.7</v>
      </c>
      <c r="AA75" s="2" t="s">
        <v>146</v>
      </c>
      <c r="AB75" s="2" t="s">
        <v>146</v>
      </c>
      <c r="AC75" s="2" t="s">
        <v>146</v>
      </c>
      <c r="AD75" s="2" t="s">
        <v>146</v>
      </c>
      <c r="AE75" s="2" t="s">
        <v>146</v>
      </c>
      <c r="AF75" s="2" t="s">
        <v>146</v>
      </c>
      <c r="AG75" s="2" t="s">
        <v>146</v>
      </c>
      <c r="AH75" s="2" t="s">
        <v>146</v>
      </c>
      <c r="AI75" s="2" t="s">
        <v>146</v>
      </c>
      <c r="AJ75" s="2" t="s">
        <v>146</v>
      </c>
      <c r="AK75" s="2" t="s">
        <v>146</v>
      </c>
      <c r="AL75" s="2" t="s">
        <v>146</v>
      </c>
      <c r="AM75" s="2" t="s">
        <v>146</v>
      </c>
      <c r="AN75" s="2" t="s">
        <v>49</v>
      </c>
      <c r="AO75" s="2" t="s">
        <v>146</v>
      </c>
      <c r="AP75" s="2" t="s">
        <v>146</v>
      </c>
      <c r="AQ75" s="2" t="s">
        <v>146</v>
      </c>
      <c r="AR75" s="2" t="s">
        <v>146</v>
      </c>
      <c r="AV75" s="2">
        <f t="shared" si="10"/>
        <v>4.8</v>
      </c>
      <c r="AW75" s="2">
        <f t="shared" si="11"/>
        <v>4.5</v>
      </c>
      <c r="AX75" s="27">
        <f t="shared" si="12"/>
        <v>0.9375</v>
      </c>
      <c r="BA75" s="2">
        <f t="shared" si="13"/>
        <v>0</v>
      </c>
      <c r="BB75" s="2">
        <f t="shared" si="14"/>
        <v>0</v>
      </c>
      <c r="BC75" s="2">
        <f t="shared" si="15"/>
        <v>0</v>
      </c>
      <c r="BD75" s="2">
        <f t="shared" si="16"/>
        <v>0</v>
      </c>
      <c r="BE75" s="2">
        <f t="shared" si="17"/>
        <v>0</v>
      </c>
      <c r="BF75" s="2">
        <f t="shared" si="18"/>
        <v>0</v>
      </c>
      <c r="BJ75" s="2" t="str">
        <f t="shared" si="19"/>
        <v/>
      </c>
    </row>
    <row r="76" spans="1:62" ht="15" customHeight="1" x14ac:dyDescent="0.45">
      <c r="A76" s="2" t="s">
        <v>593</v>
      </c>
      <c r="B76" s="2" t="s">
        <v>594</v>
      </c>
      <c r="C76" s="2">
        <v>2019</v>
      </c>
      <c r="D76" s="2">
        <v>10.497999999999999</v>
      </c>
      <c r="E76" s="2">
        <v>12.201000000000001</v>
      </c>
      <c r="F76" s="2" t="s">
        <v>146</v>
      </c>
      <c r="G76" s="2" t="s">
        <v>146</v>
      </c>
      <c r="H76" s="2" t="s">
        <v>146</v>
      </c>
      <c r="I76" s="2" t="s">
        <v>146</v>
      </c>
      <c r="J76" s="2" t="s">
        <v>146</v>
      </c>
      <c r="K76" s="2" t="s">
        <v>146</v>
      </c>
      <c r="L76" s="2" t="s">
        <v>146</v>
      </c>
      <c r="M76" s="2" t="s">
        <v>49</v>
      </c>
      <c r="N76" s="2" t="s">
        <v>146</v>
      </c>
      <c r="O76" s="2" t="s">
        <v>146</v>
      </c>
      <c r="P76" s="2" t="s">
        <v>146</v>
      </c>
      <c r="Q76" s="2" t="s">
        <v>146</v>
      </c>
      <c r="R76" s="2" t="s">
        <v>146</v>
      </c>
      <c r="S76" s="2">
        <v>1.8129999999999999</v>
      </c>
      <c r="T76" s="2" t="s">
        <v>146</v>
      </c>
      <c r="U76" s="2" t="s">
        <v>146</v>
      </c>
      <c r="V76" s="2">
        <v>10.218</v>
      </c>
      <c r="W76" s="2" t="s">
        <v>146</v>
      </c>
      <c r="X76" s="2" t="s">
        <v>146</v>
      </c>
      <c r="Y76" s="2" t="s">
        <v>146</v>
      </c>
      <c r="Z76" s="2">
        <v>0.17</v>
      </c>
      <c r="AA76" s="2" t="s">
        <v>146</v>
      </c>
      <c r="AB76" s="2" t="s">
        <v>146</v>
      </c>
      <c r="AC76" s="2" t="s">
        <v>146</v>
      </c>
      <c r="AD76" s="2" t="s">
        <v>146</v>
      </c>
      <c r="AE76" s="2" t="s">
        <v>155</v>
      </c>
      <c r="AF76" s="2" t="s">
        <v>146</v>
      </c>
      <c r="AG76" s="2" t="s">
        <v>146</v>
      </c>
      <c r="AH76" s="2" t="s">
        <v>146</v>
      </c>
      <c r="AI76" s="2" t="s">
        <v>146</v>
      </c>
      <c r="AJ76" s="2" t="s">
        <v>146</v>
      </c>
      <c r="AK76" s="2" t="s">
        <v>146</v>
      </c>
      <c r="AL76" s="2" t="s">
        <v>146</v>
      </c>
      <c r="AM76" s="2" t="s">
        <v>146</v>
      </c>
      <c r="AN76" s="2" t="s">
        <v>49</v>
      </c>
      <c r="AO76" s="2" t="s">
        <v>146</v>
      </c>
      <c r="AP76" s="2" t="s">
        <v>146</v>
      </c>
      <c r="AQ76" s="2" t="s">
        <v>146</v>
      </c>
      <c r="AR76" s="2" t="s">
        <v>146</v>
      </c>
      <c r="AV76" s="2">
        <f t="shared" si="10"/>
        <v>12.201000000000001</v>
      </c>
      <c r="AW76" s="2">
        <f t="shared" si="11"/>
        <v>10.497999999999999</v>
      </c>
      <c r="AX76" s="27">
        <f t="shared" si="12"/>
        <v>0.86042127694451265</v>
      </c>
      <c r="BA76" s="2">
        <f t="shared" si="13"/>
        <v>0</v>
      </c>
      <c r="BB76" s="2">
        <f t="shared" si="14"/>
        <v>0</v>
      </c>
      <c r="BC76" s="2">
        <f t="shared" si="15"/>
        <v>0</v>
      </c>
      <c r="BD76" s="2">
        <f t="shared" si="16"/>
        <v>0</v>
      </c>
      <c r="BE76" s="2">
        <f t="shared" si="17"/>
        <v>0</v>
      </c>
      <c r="BF76" s="2">
        <f t="shared" si="18"/>
        <v>0</v>
      </c>
      <c r="BJ76" s="2" t="str">
        <f t="shared" si="19"/>
        <v/>
      </c>
    </row>
    <row r="77" spans="1:62" ht="15" customHeight="1" x14ac:dyDescent="0.45">
      <c r="A77" s="2" t="s">
        <v>593</v>
      </c>
      <c r="B77" s="2" t="s">
        <v>592</v>
      </c>
      <c r="C77" s="2">
        <v>2019</v>
      </c>
      <c r="D77" s="2">
        <v>4.5780000000000003</v>
      </c>
      <c r="E77" s="2">
        <v>4.5490000000000004</v>
      </c>
      <c r="F77" s="2" t="s">
        <v>146</v>
      </c>
      <c r="G77" s="2" t="s">
        <v>146</v>
      </c>
      <c r="H77" s="2" t="s">
        <v>146</v>
      </c>
      <c r="I77" s="2" t="s">
        <v>146</v>
      </c>
      <c r="J77" s="2" t="s">
        <v>146</v>
      </c>
      <c r="K77" s="2" t="s">
        <v>146</v>
      </c>
      <c r="L77" s="2" t="s">
        <v>146</v>
      </c>
      <c r="M77" s="2" t="s">
        <v>146</v>
      </c>
      <c r="N77" s="2" t="s">
        <v>146</v>
      </c>
      <c r="O77" s="2" t="s">
        <v>146</v>
      </c>
      <c r="P77" s="2" t="s">
        <v>146</v>
      </c>
      <c r="Q77" s="2" t="s">
        <v>146</v>
      </c>
      <c r="R77" s="2" t="s">
        <v>146</v>
      </c>
      <c r="S77" s="2" t="s">
        <v>146</v>
      </c>
      <c r="T77" s="2" t="s">
        <v>146</v>
      </c>
      <c r="U77" s="2">
        <v>4.4489999999999998</v>
      </c>
      <c r="V77" s="2" t="s">
        <v>146</v>
      </c>
      <c r="W77" s="2" t="s">
        <v>146</v>
      </c>
      <c r="X77" s="2" t="s">
        <v>146</v>
      </c>
      <c r="Y77" s="2" t="s">
        <v>146</v>
      </c>
      <c r="Z77" s="2" t="s">
        <v>146</v>
      </c>
      <c r="AA77" s="2" t="s">
        <v>146</v>
      </c>
      <c r="AB77" s="2" t="s">
        <v>146</v>
      </c>
      <c r="AC77" s="2" t="s">
        <v>146</v>
      </c>
      <c r="AD77" s="2" t="s">
        <v>146</v>
      </c>
      <c r="AE77" s="2" t="s">
        <v>155</v>
      </c>
      <c r="AF77" s="2" t="s">
        <v>146</v>
      </c>
      <c r="AG77" s="2" t="s">
        <v>146</v>
      </c>
      <c r="AH77" s="2" t="s">
        <v>146</v>
      </c>
      <c r="AI77" s="2" t="s">
        <v>146</v>
      </c>
      <c r="AJ77" s="2" t="s">
        <v>146</v>
      </c>
      <c r="AK77" s="2" t="s">
        <v>146</v>
      </c>
      <c r="AL77" s="2">
        <v>0.1</v>
      </c>
      <c r="AM77" s="2">
        <v>0.1</v>
      </c>
      <c r="AN77" s="2" t="s">
        <v>49</v>
      </c>
      <c r="AO77" s="2" t="s">
        <v>146</v>
      </c>
      <c r="AP77" s="2" t="s">
        <v>146</v>
      </c>
      <c r="AQ77" s="2" t="s">
        <v>146</v>
      </c>
      <c r="AR77" s="2" t="s">
        <v>146</v>
      </c>
      <c r="AV77" s="2">
        <f t="shared" si="10"/>
        <v>4.5489999999999995</v>
      </c>
      <c r="AW77" s="2">
        <f t="shared" si="11"/>
        <v>4.5780000000000003</v>
      </c>
      <c r="AX77" s="27">
        <f t="shared" si="12"/>
        <v>1.006375027478567</v>
      </c>
      <c r="BA77" s="2">
        <f t="shared" si="13"/>
        <v>0</v>
      </c>
      <c r="BB77" s="2">
        <f t="shared" si="14"/>
        <v>0</v>
      </c>
      <c r="BC77" s="2">
        <f t="shared" si="15"/>
        <v>0</v>
      </c>
      <c r="BD77" s="2">
        <f t="shared" si="16"/>
        <v>0</v>
      </c>
      <c r="BE77" s="2">
        <f t="shared" si="17"/>
        <v>0</v>
      </c>
      <c r="BF77" s="2">
        <f t="shared" si="18"/>
        <v>0</v>
      </c>
      <c r="BJ77" s="2" t="str">
        <f t="shared" si="19"/>
        <v/>
      </c>
    </row>
    <row r="78" spans="1:62" ht="15" customHeight="1" x14ac:dyDescent="0.45">
      <c r="A78" s="2" t="s">
        <v>589</v>
      </c>
      <c r="B78" s="2" t="s">
        <v>591</v>
      </c>
      <c r="C78" s="2">
        <v>2019</v>
      </c>
      <c r="D78" s="2">
        <v>73.688999999999993</v>
      </c>
      <c r="E78" s="2">
        <v>88.733000000000004</v>
      </c>
      <c r="F78" s="2" t="s">
        <v>146</v>
      </c>
      <c r="G78" s="2" t="s">
        <v>146</v>
      </c>
      <c r="H78" s="2" t="s">
        <v>146</v>
      </c>
      <c r="I78" s="2" t="s">
        <v>146</v>
      </c>
      <c r="J78" s="2" t="s">
        <v>146</v>
      </c>
      <c r="K78" s="2" t="s">
        <v>146</v>
      </c>
      <c r="L78" s="2" t="s">
        <v>146</v>
      </c>
      <c r="M78" s="2" t="s">
        <v>49</v>
      </c>
      <c r="N78" s="2">
        <v>57.026000000000003</v>
      </c>
      <c r="O78" s="2" t="s">
        <v>146</v>
      </c>
      <c r="P78" s="2">
        <v>20.004000000000001</v>
      </c>
      <c r="Q78" s="2" t="s">
        <v>146</v>
      </c>
      <c r="R78" s="2" t="s">
        <v>146</v>
      </c>
      <c r="S78" s="2" t="s">
        <v>146</v>
      </c>
      <c r="T78" s="2" t="s">
        <v>147</v>
      </c>
      <c r="U78" s="2">
        <v>4.0000000000000001E-3</v>
      </c>
      <c r="V78" s="2" t="s">
        <v>146</v>
      </c>
      <c r="W78" s="2" t="s">
        <v>146</v>
      </c>
      <c r="X78" s="2" t="s">
        <v>146</v>
      </c>
      <c r="Y78" s="2" t="s">
        <v>146</v>
      </c>
      <c r="Z78" s="2">
        <v>2.5680000000000001</v>
      </c>
      <c r="AA78" s="2" t="s">
        <v>146</v>
      </c>
      <c r="AB78" s="2" t="s">
        <v>146</v>
      </c>
      <c r="AC78" s="2" t="s">
        <v>146</v>
      </c>
      <c r="AD78" s="2" t="s">
        <v>146</v>
      </c>
      <c r="AE78" s="2" t="s">
        <v>155</v>
      </c>
      <c r="AF78" s="2" t="s">
        <v>146</v>
      </c>
      <c r="AG78" s="2">
        <v>1.1140000000000001</v>
      </c>
      <c r="AH78" s="2">
        <v>8.0169999999999995</v>
      </c>
      <c r="AI78" s="2" t="s">
        <v>146</v>
      </c>
      <c r="AJ78" s="2" t="s">
        <v>146</v>
      </c>
      <c r="AK78" s="2" t="s">
        <v>146</v>
      </c>
      <c r="AL78" s="2" t="s">
        <v>146</v>
      </c>
      <c r="AM78" s="2" t="s">
        <v>146</v>
      </c>
      <c r="AN78" s="2" t="s">
        <v>49</v>
      </c>
      <c r="AO78" s="2">
        <v>100</v>
      </c>
      <c r="AP78" s="2">
        <v>0</v>
      </c>
      <c r="AQ78" s="2">
        <v>0</v>
      </c>
      <c r="AR78" s="2">
        <v>0</v>
      </c>
      <c r="AV78" s="2">
        <f t="shared" si="10"/>
        <v>88.733000000000004</v>
      </c>
      <c r="AW78" s="2">
        <f t="shared" si="11"/>
        <v>73.688999999999993</v>
      </c>
      <c r="AX78" s="27">
        <f t="shared" si="12"/>
        <v>0.83045766513022201</v>
      </c>
      <c r="BA78" s="2">
        <f t="shared" si="13"/>
        <v>8.0169999999999995</v>
      </c>
      <c r="BB78" s="2">
        <f t="shared" si="14"/>
        <v>8.0169999999999995</v>
      </c>
      <c r="BC78" s="2">
        <f t="shared" si="15"/>
        <v>0</v>
      </c>
      <c r="BD78" s="2">
        <f t="shared" si="16"/>
        <v>0</v>
      </c>
      <c r="BE78" s="2">
        <f t="shared" si="17"/>
        <v>0</v>
      </c>
      <c r="BF78" s="2">
        <f t="shared" si="18"/>
        <v>0</v>
      </c>
      <c r="BJ78" s="2" t="str">
        <f t="shared" si="19"/>
        <v/>
      </c>
    </row>
    <row r="79" spans="1:62" ht="15" customHeight="1" x14ac:dyDescent="0.45">
      <c r="A79" s="2" t="s">
        <v>589</v>
      </c>
      <c r="B79" s="2" t="s">
        <v>590</v>
      </c>
      <c r="C79" s="2">
        <v>2019</v>
      </c>
      <c r="D79" s="2">
        <v>2.7090000000000001</v>
      </c>
      <c r="E79" s="2">
        <v>2.9220000000000002</v>
      </c>
      <c r="F79" s="2">
        <v>0</v>
      </c>
      <c r="G79" s="2">
        <v>5.3999999999999999E-2</v>
      </c>
      <c r="H79" s="2">
        <v>0</v>
      </c>
      <c r="I79" s="2">
        <v>0</v>
      </c>
      <c r="J79" s="2">
        <v>0</v>
      </c>
      <c r="K79" s="2">
        <v>0</v>
      </c>
      <c r="L79" s="2">
        <v>0</v>
      </c>
      <c r="M79" s="2" t="s">
        <v>587</v>
      </c>
      <c r="N79" s="2" t="s">
        <v>146</v>
      </c>
      <c r="O79" s="2" t="s">
        <v>146</v>
      </c>
      <c r="P79" s="2" t="s">
        <v>146</v>
      </c>
      <c r="Q79" s="2" t="s">
        <v>146</v>
      </c>
      <c r="R79" s="2" t="s">
        <v>146</v>
      </c>
      <c r="S79" s="2" t="s">
        <v>146</v>
      </c>
      <c r="T79" s="2" t="s">
        <v>146</v>
      </c>
      <c r="U79" s="2">
        <v>2.8679999999999999</v>
      </c>
      <c r="V79" s="2">
        <v>0</v>
      </c>
      <c r="W79" s="2">
        <v>0</v>
      </c>
      <c r="X79" s="2">
        <v>0</v>
      </c>
      <c r="Y79" s="2">
        <v>0</v>
      </c>
      <c r="Z79" s="2">
        <v>0</v>
      </c>
      <c r="AA79" s="2">
        <v>0</v>
      </c>
      <c r="AB79" s="2" t="s">
        <v>146</v>
      </c>
      <c r="AC79" s="2" t="s">
        <v>146</v>
      </c>
      <c r="AD79" s="2" t="s">
        <v>146</v>
      </c>
      <c r="AE79" s="2" t="s">
        <v>146</v>
      </c>
      <c r="AF79" s="2" t="s">
        <v>146</v>
      </c>
      <c r="AG79" s="2" t="s">
        <v>146</v>
      </c>
      <c r="AH79" s="2" t="s">
        <v>146</v>
      </c>
      <c r="AI79" s="2" t="s">
        <v>146</v>
      </c>
      <c r="AJ79" s="2" t="s">
        <v>146</v>
      </c>
      <c r="AK79" s="2" t="s">
        <v>146</v>
      </c>
      <c r="AL79" s="2" t="s">
        <v>146</v>
      </c>
      <c r="AM79" s="2" t="s">
        <v>146</v>
      </c>
      <c r="AN79" s="2" t="s">
        <v>49</v>
      </c>
      <c r="AO79" s="2" t="s">
        <v>146</v>
      </c>
      <c r="AP79" s="2" t="s">
        <v>146</v>
      </c>
      <c r="AQ79" s="2" t="s">
        <v>146</v>
      </c>
      <c r="AR79" s="2" t="s">
        <v>146</v>
      </c>
      <c r="AV79" s="2">
        <f t="shared" si="10"/>
        <v>2.9219999999999997</v>
      </c>
      <c r="AW79" s="2">
        <f t="shared" si="11"/>
        <v>2.7090000000000001</v>
      </c>
      <c r="AX79" s="27">
        <f t="shared" si="12"/>
        <v>0.92710472279260792</v>
      </c>
      <c r="BA79" s="2">
        <f t="shared" si="13"/>
        <v>0</v>
      </c>
      <c r="BB79" s="2">
        <f t="shared" si="14"/>
        <v>0</v>
      </c>
      <c r="BC79" s="2">
        <f t="shared" si="15"/>
        <v>0</v>
      </c>
      <c r="BD79" s="2">
        <f t="shared" si="16"/>
        <v>0</v>
      </c>
      <c r="BE79" s="2">
        <f t="shared" si="17"/>
        <v>0</v>
      </c>
      <c r="BF79" s="2">
        <f t="shared" si="18"/>
        <v>0</v>
      </c>
      <c r="BJ79" s="2" t="str">
        <f t="shared" si="19"/>
        <v/>
      </c>
    </row>
    <row r="80" spans="1:62" ht="15" customHeight="1" x14ac:dyDescent="0.45">
      <c r="A80" s="2" t="s">
        <v>589</v>
      </c>
      <c r="B80" s="2" t="s">
        <v>588</v>
      </c>
      <c r="C80" s="2">
        <v>2019</v>
      </c>
      <c r="D80" s="2">
        <v>3.4860000000000002</v>
      </c>
      <c r="E80" s="2">
        <v>3.7970000000000002</v>
      </c>
      <c r="F80" s="2">
        <v>0</v>
      </c>
      <c r="G80" s="2">
        <v>5.6000000000000001E-2</v>
      </c>
      <c r="H80" s="2">
        <v>0</v>
      </c>
      <c r="I80" s="2">
        <v>0</v>
      </c>
      <c r="J80" s="2">
        <v>0</v>
      </c>
      <c r="K80" s="2">
        <v>0</v>
      </c>
      <c r="L80" s="2">
        <v>0</v>
      </c>
      <c r="M80" s="2" t="s">
        <v>587</v>
      </c>
      <c r="N80" s="2" t="s">
        <v>146</v>
      </c>
      <c r="O80" s="2" t="s">
        <v>146</v>
      </c>
      <c r="P80" s="2" t="s">
        <v>146</v>
      </c>
      <c r="Q80" s="2" t="s">
        <v>146</v>
      </c>
      <c r="R80" s="2" t="s">
        <v>146</v>
      </c>
      <c r="S80" s="2" t="s">
        <v>146</v>
      </c>
      <c r="T80" s="2" t="s">
        <v>146</v>
      </c>
      <c r="U80" s="2">
        <v>3.7410000000000001</v>
      </c>
      <c r="V80" s="2">
        <v>0</v>
      </c>
      <c r="W80" s="2">
        <v>0</v>
      </c>
      <c r="X80" s="2">
        <v>0</v>
      </c>
      <c r="Y80" s="2">
        <v>0</v>
      </c>
      <c r="Z80" s="2">
        <v>0</v>
      </c>
      <c r="AA80" s="2">
        <v>0</v>
      </c>
      <c r="AB80" s="2" t="s">
        <v>146</v>
      </c>
      <c r="AC80" s="2" t="s">
        <v>146</v>
      </c>
      <c r="AD80" s="2" t="s">
        <v>146</v>
      </c>
      <c r="AE80" s="2" t="s">
        <v>146</v>
      </c>
      <c r="AF80" s="2" t="s">
        <v>146</v>
      </c>
      <c r="AG80" s="2" t="s">
        <v>146</v>
      </c>
      <c r="AH80" s="2" t="s">
        <v>146</v>
      </c>
      <c r="AI80" s="2" t="s">
        <v>146</v>
      </c>
      <c r="AJ80" s="2" t="s">
        <v>146</v>
      </c>
      <c r="AK80" s="2" t="s">
        <v>146</v>
      </c>
      <c r="AL80" s="2" t="s">
        <v>146</v>
      </c>
      <c r="AM80" s="2" t="s">
        <v>146</v>
      </c>
      <c r="AN80" s="2" t="s">
        <v>49</v>
      </c>
      <c r="AO80" s="2" t="s">
        <v>146</v>
      </c>
      <c r="AP80" s="2" t="s">
        <v>146</v>
      </c>
      <c r="AQ80" s="2" t="s">
        <v>146</v>
      </c>
      <c r="AR80" s="2" t="s">
        <v>146</v>
      </c>
      <c r="AV80" s="2">
        <f t="shared" si="10"/>
        <v>3.7970000000000002</v>
      </c>
      <c r="AW80" s="2">
        <f t="shared" si="11"/>
        <v>3.4860000000000002</v>
      </c>
      <c r="AX80" s="27">
        <f t="shared" si="12"/>
        <v>0.91809323149855149</v>
      </c>
      <c r="BA80" s="2">
        <f t="shared" si="13"/>
        <v>0</v>
      </c>
      <c r="BB80" s="2">
        <f t="shared" si="14"/>
        <v>0</v>
      </c>
      <c r="BC80" s="2">
        <f t="shared" si="15"/>
        <v>0</v>
      </c>
      <c r="BD80" s="2">
        <f t="shared" si="16"/>
        <v>0</v>
      </c>
      <c r="BE80" s="2">
        <f t="shared" si="17"/>
        <v>0</v>
      </c>
      <c r="BF80" s="2">
        <f t="shared" si="18"/>
        <v>0</v>
      </c>
      <c r="BJ80" s="2" t="str">
        <f t="shared" si="19"/>
        <v/>
      </c>
    </row>
    <row r="81" spans="1:62" ht="15" customHeight="1" x14ac:dyDescent="0.45">
      <c r="A81" s="2" t="s">
        <v>582</v>
      </c>
      <c r="B81" s="2" t="s">
        <v>586</v>
      </c>
      <c r="C81" s="2">
        <v>2019</v>
      </c>
      <c r="D81" s="2">
        <v>4.5999999999999996</v>
      </c>
      <c r="E81" s="2">
        <v>5.0199999999999996</v>
      </c>
      <c r="F81" s="2" t="s">
        <v>146</v>
      </c>
      <c r="G81" s="2">
        <v>0.05</v>
      </c>
      <c r="H81" s="2" t="s">
        <v>146</v>
      </c>
      <c r="I81" s="2" t="s">
        <v>146</v>
      </c>
      <c r="J81" s="2" t="s">
        <v>146</v>
      </c>
      <c r="K81" s="2" t="s">
        <v>146</v>
      </c>
      <c r="L81" s="2" t="s">
        <v>146</v>
      </c>
      <c r="M81" s="2" t="s">
        <v>49</v>
      </c>
      <c r="N81" s="2" t="s">
        <v>146</v>
      </c>
      <c r="O81" s="2" t="s">
        <v>146</v>
      </c>
      <c r="P81" s="2" t="s">
        <v>146</v>
      </c>
      <c r="Q81" s="2" t="s">
        <v>146</v>
      </c>
      <c r="R81" s="2" t="s">
        <v>146</v>
      </c>
      <c r="S81" s="2" t="s">
        <v>146</v>
      </c>
      <c r="T81" s="2" t="s">
        <v>146</v>
      </c>
      <c r="U81" s="2">
        <v>4.97</v>
      </c>
      <c r="V81" s="2" t="s">
        <v>146</v>
      </c>
      <c r="W81" s="2" t="s">
        <v>146</v>
      </c>
      <c r="X81" s="2" t="s">
        <v>146</v>
      </c>
      <c r="Y81" s="2" t="s">
        <v>146</v>
      </c>
      <c r="Z81" s="2" t="s">
        <v>146</v>
      </c>
      <c r="AA81" s="2" t="s">
        <v>146</v>
      </c>
      <c r="AB81" s="2" t="s">
        <v>146</v>
      </c>
      <c r="AC81" s="2" t="s">
        <v>146</v>
      </c>
      <c r="AD81" s="2" t="s">
        <v>146</v>
      </c>
      <c r="AE81" s="2" t="s">
        <v>146</v>
      </c>
      <c r="AF81" s="2" t="s">
        <v>146</v>
      </c>
      <c r="AG81" s="2" t="s">
        <v>146</v>
      </c>
      <c r="AH81" s="2" t="s">
        <v>146</v>
      </c>
      <c r="AI81" s="2" t="s">
        <v>146</v>
      </c>
      <c r="AJ81" s="2" t="s">
        <v>146</v>
      </c>
      <c r="AK81" s="2" t="s">
        <v>146</v>
      </c>
      <c r="AL81" s="2" t="s">
        <v>146</v>
      </c>
      <c r="AM81" s="2" t="s">
        <v>146</v>
      </c>
      <c r="AN81" s="2" t="s">
        <v>49</v>
      </c>
      <c r="AO81" s="2" t="s">
        <v>146</v>
      </c>
      <c r="AP81" s="2" t="s">
        <v>146</v>
      </c>
      <c r="AQ81" s="2" t="s">
        <v>146</v>
      </c>
      <c r="AR81" s="2" t="s">
        <v>146</v>
      </c>
      <c r="AV81" s="2">
        <f t="shared" si="10"/>
        <v>5.0199999999999996</v>
      </c>
      <c r="AW81" s="2">
        <f t="shared" si="11"/>
        <v>4.5999999999999996</v>
      </c>
      <c r="AX81" s="27">
        <f t="shared" si="12"/>
        <v>0.91633466135458164</v>
      </c>
      <c r="BA81" s="2">
        <f t="shared" si="13"/>
        <v>0</v>
      </c>
      <c r="BB81" s="2">
        <f t="shared" si="14"/>
        <v>0</v>
      </c>
      <c r="BC81" s="2">
        <f t="shared" si="15"/>
        <v>0</v>
      </c>
      <c r="BD81" s="2">
        <f t="shared" si="16"/>
        <v>0</v>
      </c>
      <c r="BE81" s="2">
        <f t="shared" si="17"/>
        <v>0</v>
      </c>
      <c r="BF81" s="2">
        <f t="shared" si="18"/>
        <v>0</v>
      </c>
      <c r="BJ81" s="2" t="str">
        <f t="shared" si="19"/>
        <v/>
      </c>
    </row>
    <row r="82" spans="1:62" ht="15" customHeight="1" x14ac:dyDescent="0.45">
      <c r="A82" s="2" t="s">
        <v>582</v>
      </c>
      <c r="B82" s="2" t="s">
        <v>585</v>
      </c>
      <c r="C82" s="2">
        <v>2019</v>
      </c>
      <c r="D82" s="2">
        <v>33.4</v>
      </c>
      <c r="E82" s="2">
        <v>38.74</v>
      </c>
      <c r="F82" s="2" t="s">
        <v>146</v>
      </c>
      <c r="G82" s="2">
        <v>0.6</v>
      </c>
      <c r="H82" s="2" t="s">
        <v>146</v>
      </c>
      <c r="I82" s="2" t="s">
        <v>146</v>
      </c>
      <c r="J82" s="2" t="s">
        <v>146</v>
      </c>
      <c r="K82" s="2" t="s">
        <v>146</v>
      </c>
      <c r="L82" s="2">
        <v>3.7</v>
      </c>
      <c r="M82" s="2" t="s">
        <v>584</v>
      </c>
      <c r="N82" s="2" t="s">
        <v>146</v>
      </c>
      <c r="O82" s="2" t="s">
        <v>146</v>
      </c>
      <c r="P82" s="2">
        <v>34.44</v>
      </c>
      <c r="Q82" s="2" t="s">
        <v>146</v>
      </c>
      <c r="R82" s="2" t="s">
        <v>146</v>
      </c>
      <c r="S82" s="2" t="s">
        <v>146</v>
      </c>
      <c r="T82" s="2" t="s">
        <v>147</v>
      </c>
      <c r="U82" s="2" t="s">
        <v>146</v>
      </c>
      <c r="V82" s="2" t="s">
        <v>146</v>
      </c>
      <c r="W82" s="2" t="s">
        <v>146</v>
      </c>
      <c r="X82" s="2" t="s">
        <v>146</v>
      </c>
      <c r="Y82" s="2" t="s">
        <v>146</v>
      </c>
      <c r="Z82" s="2" t="s">
        <v>146</v>
      </c>
      <c r="AA82" s="2" t="s">
        <v>146</v>
      </c>
      <c r="AB82" s="2" t="s">
        <v>146</v>
      </c>
      <c r="AC82" s="2" t="s">
        <v>146</v>
      </c>
      <c r="AD82" s="2" t="s">
        <v>146</v>
      </c>
      <c r="AE82" s="2" t="s">
        <v>146</v>
      </c>
      <c r="AF82" s="2" t="s">
        <v>146</v>
      </c>
      <c r="AG82" s="2">
        <v>0</v>
      </c>
      <c r="AH82" s="2" t="s">
        <v>146</v>
      </c>
      <c r="AI82" s="2" t="s">
        <v>146</v>
      </c>
      <c r="AJ82" s="2" t="s">
        <v>146</v>
      </c>
      <c r="AK82" s="2" t="s">
        <v>146</v>
      </c>
      <c r="AL82" s="2" t="s">
        <v>146</v>
      </c>
      <c r="AM82" s="2" t="s">
        <v>146</v>
      </c>
      <c r="AN82" s="2" t="s">
        <v>49</v>
      </c>
      <c r="AO82" s="2" t="s">
        <v>146</v>
      </c>
      <c r="AP82" s="2" t="s">
        <v>146</v>
      </c>
      <c r="AQ82" s="2" t="s">
        <v>146</v>
      </c>
      <c r="AR82" s="2" t="s">
        <v>146</v>
      </c>
      <c r="AV82" s="2">
        <f t="shared" si="10"/>
        <v>38.739999999999995</v>
      </c>
      <c r="AW82" s="2">
        <f t="shared" si="11"/>
        <v>33.4</v>
      </c>
      <c r="AX82" s="27">
        <f t="shared" si="12"/>
        <v>0.86215797625193602</v>
      </c>
      <c r="BA82" s="2">
        <f t="shared" si="13"/>
        <v>0</v>
      </c>
      <c r="BB82" s="2">
        <f t="shared" si="14"/>
        <v>0</v>
      </c>
      <c r="BC82" s="2">
        <f t="shared" si="15"/>
        <v>0</v>
      </c>
      <c r="BD82" s="2">
        <f t="shared" si="16"/>
        <v>0</v>
      </c>
      <c r="BE82" s="2">
        <f t="shared" si="17"/>
        <v>0</v>
      </c>
      <c r="BF82" s="2">
        <f t="shared" si="18"/>
        <v>0</v>
      </c>
      <c r="BJ82" s="2" t="str">
        <f t="shared" si="19"/>
        <v/>
      </c>
    </row>
    <row r="83" spans="1:62" ht="15" customHeight="1" x14ac:dyDescent="0.45">
      <c r="A83" s="2" t="s">
        <v>582</v>
      </c>
      <c r="B83" s="2" t="s">
        <v>583</v>
      </c>
      <c r="C83" s="2">
        <v>2019</v>
      </c>
      <c r="D83" s="2">
        <v>5.01</v>
      </c>
      <c r="E83" s="2">
        <v>5.26</v>
      </c>
      <c r="F83" s="2" t="s">
        <v>146</v>
      </c>
      <c r="G83" s="2">
        <v>0.02</v>
      </c>
      <c r="H83" s="2" t="s">
        <v>146</v>
      </c>
      <c r="I83" s="2" t="s">
        <v>146</v>
      </c>
      <c r="J83" s="2" t="s">
        <v>146</v>
      </c>
      <c r="K83" s="2" t="s">
        <v>146</v>
      </c>
      <c r="L83" s="2" t="s">
        <v>146</v>
      </c>
      <c r="M83" s="2" t="s">
        <v>49</v>
      </c>
      <c r="N83" s="2" t="s">
        <v>146</v>
      </c>
      <c r="O83" s="2" t="s">
        <v>146</v>
      </c>
      <c r="P83" s="2" t="s">
        <v>146</v>
      </c>
      <c r="Q83" s="2" t="s">
        <v>146</v>
      </c>
      <c r="R83" s="2" t="s">
        <v>146</v>
      </c>
      <c r="S83" s="2" t="s">
        <v>146</v>
      </c>
      <c r="T83" s="2" t="s">
        <v>146</v>
      </c>
      <c r="U83" s="2">
        <v>5.24</v>
      </c>
      <c r="V83" s="2" t="s">
        <v>146</v>
      </c>
      <c r="W83" s="2" t="s">
        <v>146</v>
      </c>
      <c r="X83" s="2" t="s">
        <v>146</v>
      </c>
      <c r="Y83" s="2" t="s">
        <v>146</v>
      </c>
      <c r="Z83" s="2" t="s">
        <v>146</v>
      </c>
      <c r="AA83" s="2" t="s">
        <v>146</v>
      </c>
      <c r="AB83" s="2" t="s">
        <v>146</v>
      </c>
      <c r="AC83" s="2" t="s">
        <v>146</v>
      </c>
      <c r="AD83" s="2" t="s">
        <v>146</v>
      </c>
      <c r="AE83" s="2" t="s">
        <v>146</v>
      </c>
      <c r="AF83" s="2" t="s">
        <v>146</v>
      </c>
      <c r="AG83" s="2" t="s">
        <v>146</v>
      </c>
      <c r="AH83" s="2" t="s">
        <v>146</v>
      </c>
      <c r="AI83" s="2" t="s">
        <v>146</v>
      </c>
      <c r="AJ83" s="2" t="s">
        <v>146</v>
      </c>
      <c r="AK83" s="2" t="s">
        <v>146</v>
      </c>
      <c r="AL83" s="2" t="s">
        <v>146</v>
      </c>
      <c r="AM83" s="2" t="s">
        <v>146</v>
      </c>
      <c r="AN83" s="2" t="s">
        <v>49</v>
      </c>
      <c r="AO83" s="2" t="s">
        <v>146</v>
      </c>
      <c r="AP83" s="2" t="s">
        <v>146</v>
      </c>
      <c r="AQ83" s="2" t="s">
        <v>146</v>
      </c>
      <c r="AR83" s="2" t="s">
        <v>146</v>
      </c>
      <c r="AV83" s="2">
        <f t="shared" si="10"/>
        <v>5.26</v>
      </c>
      <c r="AW83" s="2">
        <f t="shared" si="11"/>
        <v>5.01</v>
      </c>
      <c r="AX83" s="27">
        <f t="shared" si="12"/>
        <v>0.95247148288973382</v>
      </c>
      <c r="BA83" s="2">
        <f t="shared" si="13"/>
        <v>0</v>
      </c>
      <c r="BB83" s="2">
        <f t="shared" si="14"/>
        <v>0</v>
      </c>
      <c r="BC83" s="2">
        <f t="shared" si="15"/>
        <v>0</v>
      </c>
      <c r="BD83" s="2">
        <f t="shared" si="16"/>
        <v>0</v>
      </c>
      <c r="BE83" s="2">
        <f t="shared" si="17"/>
        <v>0</v>
      </c>
      <c r="BF83" s="2">
        <f t="shared" si="18"/>
        <v>0</v>
      </c>
      <c r="BJ83" s="2" t="str">
        <f t="shared" si="19"/>
        <v/>
      </c>
    </row>
    <row r="84" spans="1:62" ht="15" customHeight="1" x14ac:dyDescent="0.45">
      <c r="A84" s="2" t="s">
        <v>582</v>
      </c>
      <c r="B84" s="2" t="s">
        <v>581</v>
      </c>
      <c r="C84" s="2">
        <v>2019</v>
      </c>
      <c r="D84" s="2">
        <v>5.95</v>
      </c>
      <c r="E84" s="2">
        <v>6.12</v>
      </c>
      <c r="F84" s="2" t="s">
        <v>146</v>
      </c>
      <c r="G84" s="2">
        <v>0.02</v>
      </c>
      <c r="H84" s="2" t="s">
        <v>146</v>
      </c>
      <c r="I84" s="2" t="s">
        <v>146</v>
      </c>
      <c r="J84" s="2" t="s">
        <v>146</v>
      </c>
      <c r="K84" s="2" t="s">
        <v>146</v>
      </c>
      <c r="L84" s="2" t="s">
        <v>146</v>
      </c>
      <c r="M84" s="2" t="s">
        <v>49</v>
      </c>
      <c r="N84" s="2" t="s">
        <v>146</v>
      </c>
      <c r="O84" s="2" t="s">
        <v>146</v>
      </c>
      <c r="P84" s="2" t="s">
        <v>146</v>
      </c>
      <c r="Q84" s="2" t="s">
        <v>146</v>
      </c>
      <c r="R84" s="2" t="s">
        <v>146</v>
      </c>
      <c r="S84" s="2" t="s">
        <v>146</v>
      </c>
      <c r="T84" s="2" t="s">
        <v>146</v>
      </c>
      <c r="U84" s="2">
        <v>6.1</v>
      </c>
      <c r="V84" s="2" t="s">
        <v>146</v>
      </c>
      <c r="W84" s="2" t="s">
        <v>146</v>
      </c>
      <c r="X84" s="2" t="s">
        <v>146</v>
      </c>
      <c r="Y84" s="2" t="s">
        <v>146</v>
      </c>
      <c r="Z84" s="2" t="s">
        <v>146</v>
      </c>
      <c r="AA84" s="2" t="s">
        <v>146</v>
      </c>
      <c r="AB84" s="2" t="s">
        <v>146</v>
      </c>
      <c r="AC84" s="2" t="s">
        <v>146</v>
      </c>
      <c r="AD84" s="2" t="s">
        <v>146</v>
      </c>
      <c r="AE84" s="2" t="s">
        <v>146</v>
      </c>
      <c r="AF84" s="2" t="s">
        <v>146</v>
      </c>
      <c r="AG84" s="2" t="s">
        <v>146</v>
      </c>
      <c r="AH84" s="2" t="s">
        <v>146</v>
      </c>
      <c r="AI84" s="2" t="s">
        <v>146</v>
      </c>
      <c r="AJ84" s="2" t="s">
        <v>146</v>
      </c>
      <c r="AK84" s="2" t="s">
        <v>146</v>
      </c>
      <c r="AL84" s="2" t="s">
        <v>146</v>
      </c>
      <c r="AM84" s="2" t="s">
        <v>146</v>
      </c>
      <c r="AN84" s="2" t="s">
        <v>49</v>
      </c>
      <c r="AO84" s="2" t="s">
        <v>146</v>
      </c>
      <c r="AP84" s="2" t="s">
        <v>146</v>
      </c>
      <c r="AQ84" s="2" t="s">
        <v>146</v>
      </c>
      <c r="AR84" s="2" t="s">
        <v>146</v>
      </c>
      <c r="AV84" s="2">
        <f t="shared" si="10"/>
        <v>6.1199999999999992</v>
      </c>
      <c r="AW84" s="2">
        <f t="shared" si="11"/>
        <v>5.95</v>
      </c>
      <c r="AX84" s="27">
        <f t="shared" si="12"/>
        <v>0.97222222222222232</v>
      </c>
      <c r="BA84" s="2">
        <f t="shared" si="13"/>
        <v>0</v>
      </c>
      <c r="BB84" s="2">
        <f t="shared" si="14"/>
        <v>0</v>
      </c>
      <c r="BC84" s="2">
        <f t="shared" si="15"/>
        <v>0</v>
      </c>
      <c r="BD84" s="2">
        <f t="shared" si="16"/>
        <v>0</v>
      </c>
      <c r="BE84" s="2">
        <f t="shared" si="17"/>
        <v>0</v>
      </c>
      <c r="BF84" s="2">
        <f t="shared" si="18"/>
        <v>0</v>
      </c>
      <c r="BJ84" s="2" t="str">
        <f t="shared" si="19"/>
        <v/>
      </c>
    </row>
    <row r="85" spans="1:62" ht="15" customHeight="1" x14ac:dyDescent="0.45">
      <c r="A85" s="2" t="s">
        <v>580</v>
      </c>
      <c r="B85" s="2" t="s">
        <v>579</v>
      </c>
      <c r="C85" s="2">
        <v>2019</v>
      </c>
      <c r="D85" s="2">
        <v>127.3</v>
      </c>
      <c r="E85" s="2">
        <v>125.1</v>
      </c>
      <c r="F85" s="2" t="s">
        <v>146</v>
      </c>
      <c r="G85" s="2">
        <v>1.3</v>
      </c>
      <c r="H85" s="2" t="s">
        <v>146</v>
      </c>
      <c r="I85" s="2" t="s">
        <v>146</v>
      </c>
      <c r="J85" s="2" t="s">
        <v>146</v>
      </c>
      <c r="K85" s="2" t="s">
        <v>146</v>
      </c>
      <c r="L85" s="2" t="s">
        <v>146</v>
      </c>
      <c r="M85" s="2" t="s">
        <v>49</v>
      </c>
      <c r="N85" s="2">
        <v>43.3</v>
      </c>
      <c r="O85" s="2" t="s">
        <v>146</v>
      </c>
      <c r="P85" s="2" t="s">
        <v>146</v>
      </c>
      <c r="Q85" s="2" t="s">
        <v>146</v>
      </c>
      <c r="R85" s="2" t="s">
        <v>146</v>
      </c>
      <c r="S85" s="2" t="s">
        <v>146</v>
      </c>
      <c r="T85" s="2" t="s">
        <v>146</v>
      </c>
      <c r="U85" s="2" t="s">
        <v>146</v>
      </c>
      <c r="V85" s="2" t="s">
        <v>146</v>
      </c>
      <c r="W85" s="2" t="s">
        <v>146</v>
      </c>
      <c r="X85" s="2">
        <v>3.7</v>
      </c>
      <c r="Y85" s="2" t="s">
        <v>146</v>
      </c>
      <c r="Z85" s="2">
        <v>7.7</v>
      </c>
      <c r="AA85" s="2" t="s">
        <v>146</v>
      </c>
      <c r="AB85" s="2" t="s">
        <v>146</v>
      </c>
      <c r="AC85" s="2">
        <v>69.099999999999994</v>
      </c>
      <c r="AD85" s="2">
        <v>1</v>
      </c>
      <c r="AE85" s="2" t="s">
        <v>160</v>
      </c>
      <c r="AF85" s="2">
        <v>37.5</v>
      </c>
      <c r="AG85" s="2" t="s">
        <v>146</v>
      </c>
      <c r="AH85" s="2" t="s">
        <v>146</v>
      </c>
      <c r="AI85" s="2" t="s">
        <v>146</v>
      </c>
      <c r="AJ85" s="2" t="s">
        <v>146</v>
      </c>
      <c r="AK85" s="2" t="s">
        <v>146</v>
      </c>
      <c r="AL85" s="2" t="s">
        <v>146</v>
      </c>
      <c r="AM85" s="2" t="s">
        <v>146</v>
      </c>
      <c r="AN85" s="2" t="s">
        <v>49</v>
      </c>
      <c r="AO85" s="2" t="s">
        <v>146</v>
      </c>
      <c r="AP85" s="2" t="s">
        <v>146</v>
      </c>
      <c r="AQ85" s="2" t="s">
        <v>146</v>
      </c>
      <c r="AR85" s="2" t="s">
        <v>146</v>
      </c>
      <c r="AV85" s="2">
        <f t="shared" si="10"/>
        <v>125.1</v>
      </c>
      <c r="AW85" s="2">
        <f t="shared" si="11"/>
        <v>127.3</v>
      </c>
      <c r="AX85" s="27">
        <f t="shared" si="12"/>
        <v>1.017585931254996</v>
      </c>
      <c r="BA85" s="2">
        <f t="shared" si="13"/>
        <v>0</v>
      </c>
      <c r="BB85" s="2">
        <f t="shared" si="14"/>
        <v>0</v>
      </c>
      <c r="BC85" s="2">
        <f t="shared" si="15"/>
        <v>0</v>
      </c>
      <c r="BD85" s="2">
        <f t="shared" si="16"/>
        <v>0</v>
      </c>
      <c r="BE85" s="2">
        <f t="shared" si="17"/>
        <v>0</v>
      </c>
      <c r="BF85" s="2">
        <f t="shared" si="18"/>
        <v>0</v>
      </c>
      <c r="BJ85" s="2" t="str">
        <f t="shared" si="19"/>
        <v/>
      </c>
    </row>
    <row r="86" spans="1:62" ht="15" customHeight="1" x14ac:dyDescent="0.45">
      <c r="A86" s="2" t="s">
        <v>576</v>
      </c>
      <c r="B86" s="2" t="s">
        <v>578</v>
      </c>
      <c r="C86" s="2">
        <v>2019</v>
      </c>
      <c r="D86" s="2">
        <v>46.098999999999997</v>
      </c>
      <c r="E86" s="2">
        <v>51.2</v>
      </c>
      <c r="F86" s="2" t="s">
        <v>146</v>
      </c>
      <c r="G86" s="2">
        <v>0.04</v>
      </c>
      <c r="H86" s="2" t="s">
        <v>146</v>
      </c>
      <c r="I86" s="2" t="s">
        <v>146</v>
      </c>
      <c r="J86" s="2" t="s">
        <v>146</v>
      </c>
      <c r="K86" s="2" t="s">
        <v>146</v>
      </c>
      <c r="L86" s="2" t="s">
        <v>146</v>
      </c>
      <c r="M86" s="2" t="s">
        <v>49</v>
      </c>
      <c r="N86" s="2">
        <v>24.46</v>
      </c>
      <c r="O86" s="2">
        <v>9.3000000000000007</v>
      </c>
      <c r="P86" s="2">
        <v>10.3</v>
      </c>
      <c r="Q86" s="2" t="s">
        <v>146</v>
      </c>
      <c r="R86" s="2" t="s">
        <v>146</v>
      </c>
      <c r="S86" s="2" t="s">
        <v>146</v>
      </c>
      <c r="T86" s="2" t="s">
        <v>147</v>
      </c>
      <c r="U86" s="2">
        <v>0</v>
      </c>
      <c r="V86" s="2" t="s">
        <v>146</v>
      </c>
      <c r="W86" s="2" t="s">
        <v>146</v>
      </c>
      <c r="X86" s="2" t="s">
        <v>146</v>
      </c>
      <c r="Y86" s="2" t="s">
        <v>146</v>
      </c>
      <c r="Z86" s="2" t="s">
        <v>146</v>
      </c>
      <c r="AA86" s="2" t="s">
        <v>146</v>
      </c>
      <c r="AB86" s="2" t="s">
        <v>146</v>
      </c>
      <c r="AC86" s="2" t="s">
        <v>146</v>
      </c>
      <c r="AD86" s="2" t="s">
        <v>146</v>
      </c>
      <c r="AE86" s="2" t="s">
        <v>146</v>
      </c>
      <c r="AF86" s="2" t="s">
        <v>146</v>
      </c>
      <c r="AG86" s="2" t="s">
        <v>146</v>
      </c>
      <c r="AH86" s="2">
        <v>7.1</v>
      </c>
      <c r="AI86" s="2" t="s">
        <v>146</v>
      </c>
      <c r="AJ86" s="2" t="s">
        <v>146</v>
      </c>
      <c r="AK86" s="2" t="s">
        <v>146</v>
      </c>
      <c r="AL86" s="2" t="s">
        <v>146</v>
      </c>
      <c r="AM86" s="2" t="s">
        <v>146</v>
      </c>
      <c r="AN86" s="2" t="s">
        <v>49</v>
      </c>
      <c r="AO86" s="2">
        <v>100</v>
      </c>
      <c r="AP86" s="2" t="s">
        <v>146</v>
      </c>
      <c r="AQ86" s="2" t="s">
        <v>146</v>
      </c>
      <c r="AR86" s="2" t="s">
        <v>146</v>
      </c>
      <c r="AV86" s="2">
        <f t="shared" si="10"/>
        <v>51.199999999999996</v>
      </c>
      <c r="AW86" s="2">
        <f t="shared" si="11"/>
        <v>46.098999999999997</v>
      </c>
      <c r="AX86" s="27">
        <f t="shared" si="12"/>
        <v>0.90037109375000002</v>
      </c>
      <c r="BA86" s="2">
        <f t="shared" si="13"/>
        <v>7.1</v>
      </c>
      <c r="BB86" s="2">
        <f t="shared" si="14"/>
        <v>7.1</v>
      </c>
      <c r="BC86" s="2">
        <f t="shared" si="15"/>
        <v>0</v>
      </c>
      <c r="BD86" s="2">
        <f t="shared" si="16"/>
        <v>0</v>
      </c>
      <c r="BE86" s="2">
        <f t="shared" si="17"/>
        <v>0</v>
      </c>
      <c r="BF86" s="2">
        <f t="shared" si="18"/>
        <v>0</v>
      </c>
      <c r="BJ86" s="2" t="str">
        <f t="shared" si="19"/>
        <v/>
      </c>
    </row>
    <row r="87" spans="1:62" ht="15" customHeight="1" x14ac:dyDescent="0.45">
      <c r="A87" s="2" t="s">
        <v>576</v>
      </c>
      <c r="B87" s="2" t="s">
        <v>577</v>
      </c>
      <c r="C87" s="2">
        <v>2019</v>
      </c>
      <c r="D87" s="2" t="s">
        <v>146</v>
      </c>
      <c r="E87" s="2" t="s">
        <v>146</v>
      </c>
      <c r="F87" s="2" t="s">
        <v>146</v>
      </c>
      <c r="G87" s="2" t="s">
        <v>146</v>
      </c>
      <c r="H87" s="2" t="s">
        <v>146</v>
      </c>
      <c r="I87" s="2" t="s">
        <v>146</v>
      </c>
      <c r="J87" s="2" t="s">
        <v>146</v>
      </c>
      <c r="K87" s="2" t="s">
        <v>146</v>
      </c>
      <c r="L87" s="2" t="s">
        <v>146</v>
      </c>
      <c r="M87" s="2" t="s">
        <v>49</v>
      </c>
      <c r="N87" s="2" t="s">
        <v>146</v>
      </c>
      <c r="O87" s="2" t="s">
        <v>146</v>
      </c>
      <c r="P87" s="2" t="s">
        <v>146</v>
      </c>
      <c r="Q87" s="2" t="s">
        <v>146</v>
      </c>
      <c r="R87" s="2" t="s">
        <v>146</v>
      </c>
      <c r="S87" s="2" t="s">
        <v>146</v>
      </c>
      <c r="T87" s="2" t="s">
        <v>146</v>
      </c>
      <c r="U87" s="2" t="s">
        <v>146</v>
      </c>
      <c r="V87" s="2" t="s">
        <v>146</v>
      </c>
      <c r="W87" s="2" t="s">
        <v>146</v>
      </c>
      <c r="X87" s="2" t="s">
        <v>146</v>
      </c>
      <c r="Y87" s="2" t="s">
        <v>146</v>
      </c>
      <c r="Z87" s="2" t="s">
        <v>146</v>
      </c>
      <c r="AA87" s="2" t="s">
        <v>146</v>
      </c>
      <c r="AB87" s="2" t="s">
        <v>146</v>
      </c>
      <c r="AC87" s="2" t="s">
        <v>146</v>
      </c>
      <c r="AD87" s="2" t="s">
        <v>146</v>
      </c>
      <c r="AE87" s="2" t="s">
        <v>146</v>
      </c>
      <c r="AF87" s="2" t="s">
        <v>146</v>
      </c>
      <c r="AG87" s="2" t="s">
        <v>146</v>
      </c>
      <c r="AH87" s="2" t="s">
        <v>146</v>
      </c>
      <c r="AI87" s="2" t="s">
        <v>146</v>
      </c>
      <c r="AJ87" s="2" t="s">
        <v>146</v>
      </c>
      <c r="AK87" s="2" t="s">
        <v>146</v>
      </c>
      <c r="AL87" s="2" t="s">
        <v>146</v>
      </c>
      <c r="AM87" s="2" t="s">
        <v>146</v>
      </c>
      <c r="AN87" s="2" t="s">
        <v>49</v>
      </c>
      <c r="AO87" s="2" t="s">
        <v>146</v>
      </c>
      <c r="AP87" s="2" t="s">
        <v>146</v>
      </c>
      <c r="AQ87" s="2" t="s">
        <v>146</v>
      </c>
      <c r="AR87" s="2" t="s">
        <v>146</v>
      </c>
      <c r="AV87" s="2">
        <f t="shared" si="10"/>
        <v>0</v>
      </c>
      <c r="AW87" s="2">
        <f t="shared" si="11"/>
        <v>0</v>
      </c>
      <c r="AX87" s="27" t="str">
        <f t="shared" si="12"/>
        <v/>
      </c>
      <c r="BA87" s="2">
        <f t="shared" si="13"/>
        <v>0</v>
      </c>
      <c r="BB87" s="2">
        <f t="shared" si="14"/>
        <v>0</v>
      </c>
      <c r="BC87" s="2">
        <f t="shared" si="15"/>
        <v>0</v>
      </c>
      <c r="BD87" s="2">
        <f t="shared" si="16"/>
        <v>0</v>
      </c>
      <c r="BE87" s="2">
        <f t="shared" si="17"/>
        <v>0</v>
      </c>
      <c r="BF87" s="2">
        <f t="shared" si="18"/>
        <v>0</v>
      </c>
      <c r="BJ87" s="2" t="str">
        <f t="shared" si="19"/>
        <v/>
      </c>
    </row>
    <row r="88" spans="1:62" ht="15" customHeight="1" x14ac:dyDescent="0.45">
      <c r="A88" s="2" t="s">
        <v>576</v>
      </c>
      <c r="B88" s="2" t="s">
        <v>575</v>
      </c>
      <c r="C88" s="2">
        <v>2019</v>
      </c>
      <c r="D88" s="2">
        <v>2.391</v>
      </c>
      <c r="E88" s="2">
        <v>2.3849999999999998</v>
      </c>
      <c r="F88" s="2" t="s">
        <v>146</v>
      </c>
      <c r="G88" s="2" t="s">
        <v>146</v>
      </c>
      <c r="H88" s="2" t="s">
        <v>146</v>
      </c>
      <c r="I88" s="2" t="s">
        <v>146</v>
      </c>
      <c r="J88" s="2" t="s">
        <v>146</v>
      </c>
      <c r="K88" s="2" t="s">
        <v>146</v>
      </c>
      <c r="L88" s="2" t="s">
        <v>146</v>
      </c>
      <c r="M88" s="2" t="s">
        <v>49</v>
      </c>
      <c r="N88" s="2" t="s">
        <v>146</v>
      </c>
      <c r="O88" s="2" t="s">
        <v>146</v>
      </c>
      <c r="P88" s="2" t="s">
        <v>146</v>
      </c>
      <c r="Q88" s="2" t="s">
        <v>146</v>
      </c>
      <c r="R88" s="2" t="s">
        <v>146</v>
      </c>
      <c r="S88" s="2" t="s">
        <v>146</v>
      </c>
      <c r="T88" s="2" t="s">
        <v>146</v>
      </c>
      <c r="U88" s="2" t="s">
        <v>146</v>
      </c>
      <c r="V88" s="2">
        <v>2.3650000000000002</v>
      </c>
      <c r="W88" s="2" t="s">
        <v>146</v>
      </c>
      <c r="X88" s="2" t="s">
        <v>146</v>
      </c>
      <c r="Y88" s="2" t="s">
        <v>146</v>
      </c>
      <c r="Z88" s="2" t="s">
        <v>146</v>
      </c>
      <c r="AA88" s="2" t="s">
        <v>146</v>
      </c>
      <c r="AB88" s="2" t="s">
        <v>146</v>
      </c>
      <c r="AC88" s="2" t="s">
        <v>49</v>
      </c>
      <c r="AD88" s="2" t="s">
        <v>146</v>
      </c>
      <c r="AE88" s="2" t="s">
        <v>146</v>
      </c>
      <c r="AF88" s="2" t="s">
        <v>146</v>
      </c>
      <c r="AG88" s="2" t="s">
        <v>49</v>
      </c>
      <c r="AH88" s="2" t="s">
        <v>49</v>
      </c>
      <c r="AI88" s="2" t="s">
        <v>49</v>
      </c>
      <c r="AJ88" s="2" t="s">
        <v>146</v>
      </c>
      <c r="AK88" s="2" t="s">
        <v>49</v>
      </c>
      <c r="AL88" s="2">
        <v>0.02</v>
      </c>
      <c r="AM88" s="2">
        <v>0.02</v>
      </c>
      <c r="AN88" s="2" t="s">
        <v>146</v>
      </c>
      <c r="AO88" s="2" t="s">
        <v>146</v>
      </c>
      <c r="AP88" s="2" t="s">
        <v>146</v>
      </c>
      <c r="AQ88" s="2" t="s">
        <v>146</v>
      </c>
      <c r="AR88" s="2" t="s">
        <v>146</v>
      </c>
      <c r="AV88" s="2">
        <f t="shared" si="10"/>
        <v>2.3850000000000002</v>
      </c>
      <c r="AW88" s="2">
        <f t="shared" si="11"/>
        <v>2.391</v>
      </c>
      <c r="AX88" s="27">
        <f t="shared" si="12"/>
        <v>1.0025157232704403</v>
      </c>
      <c r="BA88" s="2">
        <f t="shared" si="13"/>
        <v>0</v>
      </c>
      <c r="BB88" s="2">
        <f t="shared" si="14"/>
        <v>0</v>
      </c>
      <c r="BC88" s="2">
        <f t="shared" si="15"/>
        <v>0</v>
      </c>
      <c r="BD88" s="2">
        <f t="shared" si="16"/>
        <v>0</v>
      </c>
      <c r="BE88" s="2">
        <f t="shared" si="17"/>
        <v>0</v>
      </c>
      <c r="BF88" s="2">
        <f t="shared" si="18"/>
        <v>0</v>
      </c>
      <c r="BJ88" s="2" t="str">
        <f t="shared" si="19"/>
        <v/>
      </c>
    </row>
    <row r="89" spans="1:62" ht="15" customHeight="1" x14ac:dyDescent="0.45">
      <c r="A89" s="2" t="s">
        <v>571</v>
      </c>
      <c r="B89" s="2" t="s">
        <v>574</v>
      </c>
      <c r="C89" s="2">
        <v>2019</v>
      </c>
      <c r="D89" s="2">
        <v>13.108000000000001</v>
      </c>
      <c r="E89" s="2">
        <v>13.108000000000001</v>
      </c>
      <c r="F89" s="2" t="s">
        <v>146</v>
      </c>
      <c r="G89" s="2">
        <v>0.15</v>
      </c>
      <c r="H89" s="2" t="s">
        <v>146</v>
      </c>
      <c r="I89" s="2" t="s">
        <v>146</v>
      </c>
      <c r="J89" s="2" t="s">
        <v>146</v>
      </c>
      <c r="K89" s="2" t="s">
        <v>146</v>
      </c>
      <c r="L89" s="2" t="s">
        <v>146</v>
      </c>
      <c r="M89" s="2" t="s">
        <v>176</v>
      </c>
      <c r="N89" s="2">
        <v>12.958</v>
      </c>
      <c r="O89" s="2" t="s">
        <v>146</v>
      </c>
      <c r="P89" s="2" t="s">
        <v>146</v>
      </c>
      <c r="Q89" s="2" t="s">
        <v>146</v>
      </c>
      <c r="R89" s="2" t="s">
        <v>146</v>
      </c>
      <c r="S89" s="2" t="s">
        <v>146</v>
      </c>
      <c r="T89" s="2" t="s">
        <v>146</v>
      </c>
      <c r="U89" s="2" t="s">
        <v>146</v>
      </c>
      <c r="V89" s="2" t="s">
        <v>146</v>
      </c>
      <c r="W89" s="2" t="s">
        <v>146</v>
      </c>
      <c r="X89" s="2" t="s">
        <v>146</v>
      </c>
      <c r="Y89" s="2" t="s">
        <v>146</v>
      </c>
      <c r="Z89" s="2" t="s">
        <v>146</v>
      </c>
      <c r="AA89" s="2" t="s">
        <v>146</v>
      </c>
      <c r="AB89" s="2" t="s">
        <v>146</v>
      </c>
      <c r="AC89" s="2" t="s">
        <v>146</v>
      </c>
      <c r="AD89" s="2" t="s">
        <v>146</v>
      </c>
      <c r="AE89" s="2" t="s">
        <v>146</v>
      </c>
      <c r="AF89" s="2" t="s">
        <v>146</v>
      </c>
      <c r="AG89" s="2" t="s">
        <v>146</v>
      </c>
      <c r="AH89" s="2" t="s">
        <v>146</v>
      </c>
      <c r="AI89" s="2" t="s">
        <v>146</v>
      </c>
      <c r="AJ89" s="2" t="s">
        <v>146</v>
      </c>
      <c r="AK89" s="2" t="s">
        <v>146</v>
      </c>
      <c r="AL89" s="2" t="s">
        <v>146</v>
      </c>
      <c r="AM89" s="2" t="s">
        <v>146</v>
      </c>
      <c r="AN89" s="2" t="s">
        <v>49</v>
      </c>
      <c r="AO89" s="2" t="s">
        <v>146</v>
      </c>
      <c r="AP89" s="2" t="s">
        <v>146</v>
      </c>
      <c r="AQ89" s="2" t="s">
        <v>146</v>
      </c>
      <c r="AR89" s="2" t="s">
        <v>146</v>
      </c>
      <c r="AV89" s="2">
        <f t="shared" si="10"/>
        <v>13.108000000000001</v>
      </c>
      <c r="AW89" s="2">
        <f t="shared" si="11"/>
        <v>13.108000000000001</v>
      </c>
      <c r="AX89" s="27">
        <f t="shared" si="12"/>
        <v>1</v>
      </c>
      <c r="BA89" s="2">
        <f t="shared" si="13"/>
        <v>0</v>
      </c>
      <c r="BB89" s="2">
        <f t="shared" si="14"/>
        <v>0</v>
      </c>
      <c r="BC89" s="2">
        <f t="shared" si="15"/>
        <v>0</v>
      </c>
      <c r="BD89" s="2">
        <f t="shared" si="16"/>
        <v>0</v>
      </c>
      <c r="BE89" s="2">
        <f t="shared" si="17"/>
        <v>0</v>
      </c>
      <c r="BF89" s="2">
        <f t="shared" si="18"/>
        <v>0</v>
      </c>
      <c r="BJ89" s="2" t="str">
        <f t="shared" si="19"/>
        <v/>
      </c>
    </row>
    <row r="90" spans="1:62" ht="15" customHeight="1" x14ac:dyDescent="0.45">
      <c r="A90" s="2" t="s">
        <v>571</v>
      </c>
      <c r="B90" s="2" t="s">
        <v>573</v>
      </c>
      <c r="C90" s="2">
        <v>2019</v>
      </c>
      <c r="D90" s="2">
        <v>0.26100000000000001</v>
      </c>
      <c r="E90" s="2">
        <v>0.26100000000000001</v>
      </c>
      <c r="F90" s="2" t="s">
        <v>146</v>
      </c>
      <c r="G90" s="2">
        <v>0.26100000000000001</v>
      </c>
      <c r="H90" s="2" t="s">
        <v>146</v>
      </c>
      <c r="I90" s="2" t="s">
        <v>146</v>
      </c>
      <c r="J90" s="2" t="s">
        <v>146</v>
      </c>
      <c r="K90" s="2" t="s">
        <v>146</v>
      </c>
      <c r="L90" s="2" t="s">
        <v>146</v>
      </c>
      <c r="M90" s="2" t="s">
        <v>176</v>
      </c>
      <c r="N90" s="2" t="s">
        <v>146</v>
      </c>
      <c r="O90" s="2" t="s">
        <v>146</v>
      </c>
      <c r="P90" s="2">
        <v>0</v>
      </c>
      <c r="Q90" s="2" t="s">
        <v>146</v>
      </c>
      <c r="R90" s="2" t="s">
        <v>146</v>
      </c>
      <c r="S90" s="2" t="s">
        <v>146</v>
      </c>
      <c r="T90" s="2" t="s">
        <v>146</v>
      </c>
      <c r="U90" s="2" t="s">
        <v>146</v>
      </c>
      <c r="V90" s="2" t="s">
        <v>146</v>
      </c>
      <c r="W90" s="2" t="s">
        <v>146</v>
      </c>
      <c r="X90" s="2" t="s">
        <v>146</v>
      </c>
      <c r="Y90" s="2" t="s">
        <v>146</v>
      </c>
      <c r="Z90" s="2" t="s">
        <v>146</v>
      </c>
      <c r="AA90" s="2" t="s">
        <v>146</v>
      </c>
      <c r="AB90" s="2" t="s">
        <v>146</v>
      </c>
      <c r="AC90" s="2" t="s">
        <v>146</v>
      </c>
      <c r="AD90" s="2" t="s">
        <v>146</v>
      </c>
      <c r="AE90" s="2" t="s">
        <v>146</v>
      </c>
      <c r="AF90" s="2" t="s">
        <v>146</v>
      </c>
      <c r="AG90" s="2" t="s">
        <v>146</v>
      </c>
      <c r="AH90" s="2" t="s">
        <v>146</v>
      </c>
      <c r="AI90" s="2" t="s">
        <v>146</v>
      </c>
      <c r="AJ90" s="2" t="s">
        <v>146</v>
      </c>
      <c r="AK90" s="2" t="s">
        <v>146</v>
      </c>
      <c r="AL90" s="2" t="s">
        <v>146</v>
      </c>
      <c r="AM90" s="2" t="s">
        <v>146</v>
      </c>
      <c r="AN90" s="2" t="s">
        <v>49</v>
      </c>
      <c r="AO90" s="2" t="s">
        <v>146</v>
      </c>
      <c r="AP90" s="2" t="s">
        <v>146</v>
      </c>
      <c r="AQ90" s="2" t="s">
        <v>146</v>
      </c>
      <c r="AR90" s="2" t="s">
        <v>146</v>
      </c>
      <c r="AV90" s="2">
        <f t="shared" si="10"/>
        <v>0.26100000000000001</v>
      </c>
      <c r="AW90" s="2">
        <f t="shared" si="11"/>
        <v>0.26100000000000001</v>
      </c>
      <c r="AX90" s="27">
        <f t="shared" si="12"/>
        <v>1</v>
      </c>
      <c r="BA90" s="2">
        <f t="shared" si="13"/>
        <v>0</v>
      </c>
      <c r="BB90" s="2">
        <f t="shared" si="14"/>
        <v>0</v>
      </c>
      <c r="BC90" s="2">
        <f t="shared" si="15"/>
        <v>0</v>
      </c>
      <c r="BD90" s="2">
        <f t="shared" si="16"/>
        <v>0</v>
      </c>
      <c r="BE90" s="2">
        <f t="shared" si="17"/>
        <v>0</v>
      </c>
      <c r="BF90" s="2">
        <f t="shared" si="18"/>
        <v>0</v>
      </c>
      <c r="BJ90" s="2" t="str">
        <f t="shared" si="19"/>
        <v/>
      </c>
    </row>
    <row r="91" spans="1:62" ht="15" customHeight="1" x14ac:dyDescent="0.45">
      <c r="A91" s="2" t="s">
        <v>571</v>
      </c>
      <c r="B91" s="2" t="s">
        <v>572</v>
      </c>
      <c r="C91" s="2">
        <v>2019</v>
      </c>
      <c r="D91" s="2">
        <v>21.042000000000002</v>
      </c>
      <c r="E91" s="2">
        <v>5.2789999999999999</v>
      </c>
      <c r="F91" s="2" t="s">
        <v>146</v>
      </c>
      <c r="G91" s="2">
        <v>0.32400000000000001</v>
      </c>
      <c r="H91" s="2" t="s">
        <v>146</v>
      </c>
      <c r="I91" s="2" t="s">
        <v>146</v>
      </c>
      <c r="J91" s="2" t="s">
        <v>146</v>
      </c>
      <c r="K91" s="2" t="s">
        <v>146</v>
      </c>
      <c r="L91" s="2" t="s">
        <v>146</v>
      </c>
      <c r="M91" s="2" t="s">
        <v>176</v>
      </c>
      <c r="N91" s="2" t="s">
        <v>146</v>
      </c>
      <c r="O91" s="2" t="s">
        <v>146</v>
      </c>
      <c r="P91" s="2" t="s">
        <v>146</v>
      </c>
      <c r="Q91" s="2" t="s">
        <v>146</v>
      </c>
      <c r="R91" s="2" t="s">
        <v>146</v>
      </c>
      <c r="S91" s="2" t="s">
        <v>146</v>
      </c>
      <c r="T91" s="2" t="s">
        <v>146</v>
      </c>
      <c r="U91" s="2" t="s">
        <v>146</v>
      </c>
      <c r="V91" s="2" t="s">
        <v>146</v>
      </c>
      <c r="W91" s="2" t="s">
        <v>146</v>
      </c>
      <c r="X91" s="2" t="s">
        <v>146</v>
      </c>
      <c r="Y91" s="2" t="s">
        <v>146</v>
      </c>
      <c r="Z91" s="2">
        <v>4.9550000000000001</v>
      </c>
      <c r="AA91" s="2" t="s">
        <v>146</v>
      </c>
      <c r="AB91" s="2" t="s">
        <v>146</v>
      </c>
      <c r="AC91" s="2" t="s">
        <v>146</v>
      </c>
      <c r="AD91" s="2" t="s">
        <v>146</v>
      </c>
      <c r="AE91" s="2" t="s">
        <v>146</v>
      </c>
      <c r="AF91" s="2" t="s">
        <v>146</v>
      </c>
      <c r="AG91" s="2" t="s">
        <v>146</v>
      </c>
      <c r="AH91" s="2" t="s">
        <v>146</v>
      </c>
      <c r="AI91" s="2" t="s">
        <v>146</v>
      </c>
      <c r="AJ91" s="2" t="s">
        <v>146</v>
      </c>
      <c r="AK91" s="2" t="s">
        <v>146</v>
      </c>
      <c r="AL91" s="2" t="s">
        <v>146</v>
      </c>
      <c r="AM91" s="2" t="s">
        <v>146</v>
      </c>
      <c r="AN91" s="2" t="s">
        <v>49</v>
      </c>
      <c r="AO91" s="2" t="s">
        <v>146</v>
      </c>
      <c r="AP91" s="2" t="s">
        <v>146</v>
      </c>
      <c r="AQ91" s="2" t="s">
        <v>146</v>
      </c>
      <c r="AR91" s="2" t="s">
        <v>146</v>
      </c>
      <c r="AV91" s="2">
        <f t="shared" si="10"/>
        <v>5.2789999999999999</v>
      </c>
      <c r="AW91" s="2">
        <f t="shared" si="11"/>
        <v>21.042000000000002</v>
      </c>
      <c r="AX91" s="27">
        <f t="shared" si="12"/>
        <v>3.9859821935972728</v>
      </c>
      <c r="BA91" s="2">
        <f t="shared" si="13"/>
        <v>0</v>
      </c>
      <c r="BB91" s="2">
        <f t="shared" si="14"/>
        <v>0</v>
      </c>
      <c r="BC91" s="2">
        <f t="shared" si="15"/>
        <v>0</v>
      </c>
      <c r="BD91" s="2">
        <f t="shared" si="16"/>
        <v>0</v>
      </c>
      <c r="BE91" s="2">
        <f t="shared" si="17"/>
        <v>0</v>
      </c>
      <c r="BF91" s="2">
        <f t="shared" si="18"/>
        <v>0</v>
      </c>
      <c r="BJ91" s="2" t="str">
        <f t="shared" si="19"/>
        <v/>
      </c>
    </row>
    <row r="92" spans="1:62" ht="15" customHeight="1" x14ac:dyDescent="0.45">
      <c r="A92" s="2" t="s">
        <v>571</v>
      </c>
      <c r="B92" s="2" t="s">
        <v>570</v>
      </c>
      <c r="C92" s="2">
        <v>2019</v>
      </c>
      <c r="D92" s="2">
        <v>187.374</v>
      </c>
      <c r="E92" s="2">
        <v>214.09899999999999</v>
      </c>
      <c r="F92" s="2" t="s">
        <v>146</v>
      </c>
      <c r="G92" s="2">
        <v>0</v>
      </c>
      <c r="H92" s="2" t="s">
        <v>146</v>
      </c>
      <c r="I92" s="2" t="s">
        <v>146</v>
      </c>
      <c r="J92" s="2" t="s">
        <v>146</v>
      </c>
      <c r="K92" s="2" t="s">
        <v>146</v>
      </c>
      <c r="L92" s="2" t="s">
        <v>146</v>
      </c>
      <c r="M92" s="2" t="s">
        <v>176</v>
      </c>
      <c r="N92" s="2">
        <v>84.593000000000004</v>
      </c>
      <c r="O92" s="2">
        <v>64.634</v>
      </c>
      <c r="P92" s="2">
        <v>4.298</v>
      </c>
      <c r="Q92" s="2" t="s">
        <v>146</v>
      </c>
      <c r="R92" s="2" t="s">
        <v>146</v>
      </c>
      <c r="S92" s="2" t="s">
        <v>146</v>
      </c>
      <c r="T92" s="2" t="s">
        <v>146</v>
      </c>
      <c r="U92" s="2" t="s">
        <v>146</v>
      </c>
      <c r="V92" s="2" t="s">
        <v>146</v>
      </c>
      <c r="W92" s="2" t="s">
        <v>146</v>
      </c>
      <c r="X92" s="2" t="s">
        <v>146</v>
      </c>
      <c r="Y92" s="2" t="s">
        <v>146</v>
      </c>
      <c r="Z92" s="2">
        <v>4.6349999999999998</v>
      </c>
      <c r="AA92" s="2" t="s">
        <v>146</v>
      </c>
      <c r="AB92" s="2" t="s">
        <v>146</v>
      </c>
      <c r="AC92" s="2" t="s">
        <v>146</v>
      </c>
      <c r="AD92" s="2" t="s">
        <v>146</v>
      </c>
      <c r="AE92" s="2" t="s">
        <v>146</v>
      </c>
      <c r="AF92" s="2" t="s">
        <v>146</v>
      </c>
      <c r="AG92" s="2">
        <v>0.80500000000000005</v>
      </c>
      <c r="AH92" s="2">
        <v>26.786999999999999</v>
      </c>
      <c r="AI92" s="2">
        <v>28.347000000000001</v>
      </c>
      <c r="AJ92" s="2" t="s">
        <v>569</v>
      </c>
      <c r="AK92" s="2">
        <v>12.15</v>
      </c>
      <c r="AL92" s="2">
        <v>0</v>
      </c>
      <c r="AM92" s="2">
        <v>0.05</v>
      </c>
      <c r="AN92" s="2" t="s">
        <v>176</v>
      </c>
      <c r="AO92" s="2">
        <v>100</v>
      </c>
      <c r="AP92" s="2" t="s">
        <v>146</v>
      </c>
      <c r="AQ92" s="2" t="s">
        <v>146</v>
      </c>
      <c r="AR92" s="2" t="s">
        <v>146</v>
      </c>
      <c r="AV92" s="2">
        <f t="shared" si="10"/>
        <v>214.09899999999999</v>
      </c>
      <c r="AW92" s="2">
        <f t="shared" si="11"/>
        <v>187.374</v>
      </c>
      <c r="AX92" s="27">
        <f t="shared" si="12"/>
        <v>0.8751745687742587</v>
      </c>
      <c r="BA92" s="2">
        <f t="shared" si="13"/>
        <v>26.786999999999999</v>
      </c>
      <c r="BB92" s="2">
        <f t="shared" si="14"/>
        <v>26.786999999999999</v>
      </c>
      <c r="BC92" s="2">
        <f t="shared" si="15"/>
        <v>0</v>
      </c>
      <c r="BD92" s="2">
        <f t="shared" si="16"/>
        <v>0</v>
      </c>
      <c r="BE92" s="2">
        <f t="shared" si="17"/>
        <v>0</v>
      </c>
      <c r="BF92" s="2">
        <f t="shared" si="18"/>
        <v>0</v>
      </c>
      <c r="BJ92" s="2" t="str">
        <f t="shared" si="19"/>
        <v/>
      </c>
    </row>
    <row r="93" spans="1:62" ht="15" customHeight="1" x14ac:dyDescent="0.45">
      <c r="A93" s="2" t="s">
        <v>568</v>
      </c>
      <c r="B93" s="2" t="s">
        <v>567</v>
      </c>
      <c r="C93" s="2">
        <v>2019</v>
      </c>
      <c r="D93" s="2">
        <v>10.4</v>
      </c>
      <c r="E93" s="2">
        <v>12.7</v>
      </c>
      <c r="F93" s="2" t="s">
        <v>146</v>
      </c>
      <c r="G93" s="2">
        <v>2.4</v>
      </c>
      <c r="H93" s="2" t="s">
        <v>146</v>
      </c>
      <c r="I93" s="2">
        <v>0.7</v>
      </c>
      <c r="J93" s="2" t="s">
        <v>146</v>
      </c>
      <c r="K93" s="2" t="s">
        <v>146</v>
      </c>
      <c r="L93" s="2" t="s">
        <v>146</v>
      </c>
      <c r="M93" s="2" t="s">
        <v>49</v>
      </c>
      <c r="N93" s="2" t="s">
        <v>146</v>
      </c>
      <c r="O93" s="2" t="s">
        <v>146</v>
      </c>
      <c r="P93" s="2" t="s">
        <v>146</v>
      </c>
      <c r="Q93" s="2" t="s">
        <v>146</v>
      </c>
      <c r="R93" s="2" t="s">
        <v>146</v>
      </c>
      <c r="S93" s="2" t="s">
        <v>146</v>
      </c>
      <c r="T93" s="2" t="s">
        <v>146</v>
      </c>
      <c r="U93" s="2">
        <v>9.6</v>
      </c>
      <c r="V93" s="2" t="s">
        <v>146</v>
      </c>
      <c r="W93" s="2" t="s">
        <v>146</v>
      </c>
      <c r="X93" s="2" t="s">
        <v>146</v>
      </c>
      <c r="Y93" s="2" t="s">
        <v>146</v>
      </c>
      <c r="Z93" s="2" t="s">
        <v>146</v>
      </c>
      <c r="AA93" s="2" t="s">
        <v>146</v>
      </c>
      <c r="AB93" s="2" t="s">
        <v>146</v>
      </c>
      <c r="AC93" s="2" t="s">
        <v>146</v>
      </c>
      <c r="AD93" s="2" t="s">
        <v>146</v>
      </c>
      <c r="AE93" s="2" t="s">
        <v>146</v>
      </c>
      <c r="AF93" s="2" t="s">
        <v>146</v>
      </c>
      <c r="AG93" s="2" t="s">
        <v>146</v>
      </c>
      <c r="AH93" s="2" t="s">
        <v>146</v>
      </c>
      <c r="AI93" s="2" t="s">
        <v>146</v>
      </c>
      <c r="AJ93" s="2" t="s">
        <v>146</v>
      </c>
      <c r="AK93" s="2" t="s">
        <v>146</v>
      </c>
      <c r="AL93" s="2" t="s">
        <v>146</v>
      </c>
      <c r="AM93" s="2" t="s">
        <v>146</v>
      </c>
      <c r="AN93" s="2" t="s">
        <v>49</v>
      </c>
      <c r="AO93" s="2" t="s">
        <v>146</v>
      </c>
      <c r="AP93" s="2" t="s">
        <v>146</v>
      </c>
      <c r="AQ93" s="2" t="s">
        <v>146</v>
      </c>
      <c r="AR93" s="2" t="s">
        <v>146</v>
      </c>
      <c r="AV93" s="2">
        <f t="shared" si="10"/>
        <v>12.7</v>
      </c>
      <c r="AW93" s="2">
        <f t="shared" si="11"/>
        <v>10.4</v>
      </c>
      <c r="AX93" s="27">
        <f t="shared" si="12"/>
        <v>0.81889763779527569</v>
      </c>
      <c r="BA93" s="2">
        <f t="shared" si="13"/>
        <v>0</v>
      </c>
      <c r="BB93" s="2">
        <f t="shared" si="14"/>
        <v>0</v>
      </c>
      <c r="BC93" s="2">
        <f t="shared" si="15"/>
        <v>0</v>
      </c>
      <c r="BD93" s="2">
        <f t="shared" si="16"/>
        <v>0</v>
      </c>
      <c r="BE93" s="2">
        <f t="shared" si="17"/>
        <v>0</v>
      </c>
      <c r="BF93" s="2">
        <f t="shared" si="18"/>
        <v>0</v>
      </c>
      <c r="BJ93" s="2" t="str">
        <f t="shared" si="19"/>
        <v/>
      </c>
    </row>
    <row r="94" spans="1:62" ht="15" customHeight="1" x14ac:dyDescent="0.45">
      <c r="A94" s="2" t="s">
        <v>566</v>
      </c>
      <c r="B94" s="2" t="s">
        <v>565</v>
      </c>
      <c r="C94" s="2">
        <v>2019</v>
      </c>
      <c r="D94" s="2">
        <v>1.169</v>
      </c>
      <c r="E94" s="2">
        <v>1.3280000000000001</v>
      </c>
      <c r="F94" s="2" t="s">
        <v>146</v>
      </c>
      <c r="G94" s="2" t="s">
        <v>146</v>
      </c>
      <c r="H94" s="2" t="s">
        <v>146</v>
      </c>
      <c r="I94" s="2" t="s">
        <v>146</v>
      </c>
      <c r="J94" s="2" t="s">
        <v>146</v>
      </c>
      <c r="K94" s="2" t="s">
        <v>146</v>
      </c>
      <c r="L94" s="2" t="s">
        <v>146</v>
      </c>
      <c r="M94" s="2" t="s">
        <v>49</v>
      </c>
      <c r="N94" s="2" t="s">
        <v>146</v>
      </c>
      <c r="O94" s="2" t="s">
        <v>146</v>
      </c>
      <c r="P94" s="2" t="s">
        <v>146</v>
      </c>
      <c r="Q94" s="2" t="s">
        <v>146</v>
      </c>
      <c r="R94" s="2" t="s">
        <v>146</v>
      </c>
      <c r="S94" s="2" t="s">
        <v>146</v>
      </c>
      <c r="T94" s="2" t="s">
        <v>146</v>
      </c>
      <c r="U94" s="2" t="s">
        <v>146</v>
      </c>
      <c r="V94" s="2" t="s">
        <v>146</v>
      </c>
      <c r="W94" s="2" t="s">
        <v>146</v>
      </c>
      <c r="X94" s="2" t="s">
        <v>146</v>
      </c>
      <c r="Y94" s="2" t="s">
        <v>146</v>
      </c>
      <c r="Z94" s="2">
        <v>1.3280000000000001</v>
      </c>
      <c r="AA94" s="2" t="s">
        <v>146</v>
      </c>
      <c r="AB94" s="2" t="s">
        <v>146</v>
      </c>
      <c r="AC94" s="2" t="s">
        <v>146</v>
      </c>
      <c r="AD94" s="2" t="s">
        <v>146</v>
      </c>
      <c r="AE94" s="2" t="s">
        <v>146</v>
      </c>
      <c r="AF94" s="2" t="s">
        <v>146</v>
      </c>
      <c r="AG94" s="2" t="s">
        <v>146</v>
      </c>
      <c r="AH94" s="2" t="s">
        <v>146</v>
      </c>
      <c r="AI94" s="2" t="s">
        <v>146</v>
      </c>
      <c r="AJ94" s="2" t="s">
        <v>146</v>
      </c>
      <c r="AK94" s="2" t="s">
        <v>146</v>
      </c>
      <c r="AL94" s="2" t="s">
        <v>146</v>
      </c>
      <c r="AM94" s="2" t="s">
        <v>146</v>
      </c>
      <c r="AN94" s="2" t="s">
        <v>49</v>
      </c>
      <c r="AO94" s="2" t="s">
        <v>146</v>
      </c>
      <c r="AP94" s="2" t="s">
        <v>146</v>
      </c>
      <c r="AQ94" s="2" t="s">
        <v>146</v>
      </c>
      <c r="AR94" s="2" t="s">
        <v>146</v>
      </c>
      <c r="AV94" s="2">
        <f t="shared" si="10"/>
        <v>1.3280000000000001</v>
      </c>
      <c r="AW94" s="2">
        <f t="shared" si="11"/>
        <v>1.169</v>
      </c>
      <c r="AX94" s="27">
        <f t="shared" si="12"/>
        <v>0.88027108433734935</v>
      </c>
      <c r="BA94" s="2">
        <f t="shared" si="13"/>
        <v>0</v>
      </c>
      <c r="BB94" s="2">
        <f t="shared" si="14"/>
        <v>0</v>
      </c>
      <c r="BC94" s="2">
        <f t="shared" si="15"/>
        <v>0</v>
      </c>
      <c r="BD94" s="2">
        <f t="shared" si="16"/>
        <v>0</v>
      </c>
      <c r="BE94" s="2">
        <f t="shared" si="17"/>
        <v>0</v>
      </c>
      <c r="BF94" s="2">
        <f t="shared" si="18"/>
        <v>0</v>
      </c>
      <c r="BJ94" s="2" t="str">
        <f t="shared" si="19"/>
        <v/>
      </c>
    </row>
    <row r="95" spans="1:62" ht="15" customHeight="1" x14ac:dyDescent="0.45">
      <c r="A95" s="2" t="s">
        <v>560</v>
      </c>
      <c r="B95" s="2" t="s">
        <v>564</v>
      </c>
      <c r="C95" s="2">
        <v>2019</v>
      </c>
      <c r="D95" s="2" t="s">
        <v>146</v>
      </c>
      <c r="E95" s="2" t="s">
        <v>146</v>
      </c>
      <c r="F95" s="2" t="s">
        <v>146</v>
      </c>
      <c r="G95" s="2" t="s">
        <v>146</v>
      </c>
      <c r="H95" s="2" t="s">
        <v>146</v>
      </c>
      <c r="I95" s="2" t="s">
        <v>146</v>
      </c>
      <c r="J95" s="2" t="s">
        <v>146</v>
      </c>
      <c r="K95" s="2" t="s">
        <v>146</v>
      </c>
      <c r="L95" s="2" t="s">
        <v>146</v>
      </c>
      <c r="M95" s="2" t="s">
        <v>176</v>
      </c>
      <c r="N95" s="2" t="s">
        <v>146</v>
      </c>
      <c r="O95" s="2" t="s">
        <v>146</v>
      </c>
      <c r="P95" s="2" t="s">
        <v>146</v>
      </c>
      <c r="Q95" s="2" t="s">
        <v>146</v>
      </c>
      <c r="R95" s="2" t="s">
        <v>146</v>
      </c>
      <c r="S95" s="2" t="s">
        <v>146</v>
      </c>
      <c r="T95" s="2" t="s">
        <v>146</v>
      </c>
      <c r="U95" s="2" t="s">
        <v>146</v>
      </c>
      <c r="V95" s="2" t="s">
        <v>146</v>
      </c>
      <c r="W95" s="2" t="s">
        <v>146</v>
      </c>
      <c r="X95" s="2" t="s">
        <v>146</v>
      </c>
      <c r="Y95" s="2" t="s">
        <v>146</v>
      </c>
      <c r="Z95" s="2" t="s">
        <v>146</v>
      </c>
      <c r="AA95" s="2" t="s">
        <v>146</v>
      </c>
      <c r="AB95" s="2" t="s">
        <v>146</v>
      </c>
      <c r="AC95" s="2" t="s">
        <v>146</v>
      </c>
      <c r="AD95" s="2" t="s">
        <v>146</v>
      </c>
      <c r="AE95" s="2" t="s">
        <v>146</v>
      </c>
      <c r="AF95" s="2" t="s">
        <v>146</v>
      </c>
      <c r="AG95" s="2" t="s">
        <v>146</v>
      </c>
      <c r="AH95" s="2" t="s">
        <v>146</v>
      </c>
      <c r="AI95" s="2" t="s">
        <v>146</v>
      </c>
      <c r="AJ95" s="2" t="s">
        <v>146</v>
      </c>
      <c r="AK95" s="2" t="s">
        <v>146</v>
      </c>
      <c r="AL95" s="2" t="s">
        <v>146</v>
      </c>
      <c r="AM95" s="2" t="s">
        <v>146</v>
      </c>
      <c r="AN95" s="2" t="s">
        <v>176</v>
      </c>
      <c r="AO95" s="2" t="s">
        <v>146</v>
      </c>
      <c r="AP95" s="2" t="s">
        <v>146</v>
      </c>
      <c r="AQ95" s="2" t="s">
        <v>146</v>
      </c>
      <c r="AR95" s="2" t="s">
        <v>146</v>
      </c>
      <c r="AV95" s="2">
        <f t="shared" si="10"/>
        <v>0</v>
      </c>
      <c r="AW95" s="2">
        <f t="shared" si="11"/>
        <v>0</v>
      </c>
      <c r="AX95" s="27" t="str">
        <f t="shared" si="12"/>
        <v/>
      </c>
      <c r="BA95" s="2">
        <f t="shared" si="13"/>
        <v>0</v>
      </c>
      <c r="BB95" s="2">
        <f t="shared" si="14"/>
        <v>0</v>
      </c>
      <c r="BC95" s="2">
        <f t="shared" si="15"/>
        <v>0</v>
      </c>
      <c r="BD95" s="2">
        <f t="shared" si="16"/>
        <v>0</v>
      </c>
      <c r="BE95" s="2">
        <f t="shared" si="17"/>
        <v>0</v>
      </c>
      <c r="BF95" s="2">
        <f t="shared" si="18"/>
        <v>0</v>
      </c>
      <c r="BJ95" s="2" t="str">
        <f t="shared" si="19"/>
        <v/>
      </c>
    </row>
    <row r="96" spans="1:62" ht="15" customHeight="1" x14ac:dyDescent="0.45">
      <c r="A96" s="2" t="s">
        <v>560</v>
      </c>
      <c r="B96" s="2" t="s">
        <v>563</v>
      </c>
      <c r="C96" s="2">
        <v>2019</v>
      </c>
      <c r="D96" s="2">
        <v>451.9</v>
      </c>
      <c r="E96" s="2">
        <v>830.97299999999996</v>
      </c>
      <c r="F96" s="2" t="s">
        <v>146</v>
      </c>
      <c r="G96" s="2">
        <v>0.75600000000000001</v>
      </c>
      <c r="H96" s="2" t="s">
        <v>146</v>
      </c>
      <c r="I96" s="2">
        <v>9.4510000000000005</v>
      </c>
      <c r="J96" s="2" t="s">
        <v>146</v>
      </c>
      <c r="K96" s="2" t="s">
        <v>146</v>
      </c>
      <c r="L96" s="2" t="s">
        <v>146</v>
      </c>
      <c r="M96" s="2" t="s">
        <v>49</v>
      </c>
      <c r="N96" s="2" t="s">
        <v>146</v>
      </c>
      <c r="O96" s="2" t="s">
        <v>146</v>
      </c>
      <c r="P96" s="2" t="s">
        <v>146</v>
      </c>
      <c r="Q96" s="2" t="s">
        <v>146</v>
      </c>
      <c r="R96" s="2" t="s">
        <v>146</v>
      </c>
      <c r="S96" s="2" t="s">
        <v>146</v>
      </c>
      <c r="T96" s="2" t="s">
        <v>146</v>
      </c>
      <c r="U96" s="2">
        <v>79.703000000000003</v>
      </c>
      <c r="V96" s="2" t="s">
        <v>146</v>
      </c>
      <c r="W96" s="2" t="s">
        <v>146</v>
      </c>
      <c r="X96" s="2" t="s">
        <v>146</v>
      </c>
      <c r="Y96" s="2" t="s">
        <v>146</v>
      </c>
      <c r="Z96" s="2">
        <v>2.3119999999999998</v>
      </c>
      <c r="AA96" s="2" t="s">
        <v>146</v>
      </c>
      <c r="AB96" s="2" t="s">
        <v>146</v>
      </c>
      <c r="AC96" s="2" t="s">
        <v>146</v>
      </c>
      <c r="AD96" s="2" t="s">
        <v>146</v>
      </c>
      <c r="AE96" s="2" t="s">
        <v>233</v>
      </c>
      <c r="AF96" s="2">
        <v>37</v>
      </c>
      <c r="AG96" s="2">
        <v>52.125999999999998</v>
      </c>
      <c r="AH96" s="2">
        <v>368.23200000000003</v>
      </c>
      <c r="AI96" s="2">
        <v>318.39299999999997</v>
      </c>
      <c r="AJ96" s="2" t="s">
        <v>165</v>
      </c>
      <c r="AK96" s="2">
        <v>92.748999999999995</v>
      </c>
      <c r="AL96" s="2" t="s">
        <v>146</v>
      </c>
      <c r="AM96" s="2" t="s">
        <v>146</v>
      </c>
      <c r="AN96" s="2" t="s">
        <v>176</v>
      </c>
      <c r="AO96" s="2">
        <v>0.7</v>
      </c>
      <c r="AP96" s="2">
        <v>99.3</v>
      </c>
      <c r="AQ96" s="2" t="s">
        <v>146</v>
      </c>
      <c r="AR96" s="2" t="s">
        <v>146</v>
      </c>
      <c r="AV96" s="2">
        <f t="shared" si="10"/>
        <v>830.97299999999996</v>
      </c>
      <c r="AW96" s="2">
        <f t="shared" si="11"/>
        <v>451.9</v>
      </c>
      <c r="AX96" s="27">
        <f t="shared" si="12"/>
        <v>0.5438203166649217</v>
      </c>
      <c r="BA96" s="2">
        <f t="shared" si="13"/>
        <v>368.23200000000003</v>
      </c>
      <c r="BB96" s="2">
        <f t="shared" si="14"/>
        <v>2.5776240000000001</v>
      </c>
      <c r="BC96" s="2">
        <f t="shared" si="15"/>
        <v>365.65437600000001</v>
      </c>
      <c r="BD96" s="2">
        <f t="shared" si="16"/>
        <v>0</v>
      </c>
      <c r="BE96" s="2">
        <f t="shared" si="17"/>
        <v>0</v>
      </c>
      <c r="BF96" s="2">
        <f t="shared" si="18"/>
        <v>0</v>
      </c>
      <c r="BJ96" s="2" t="str">
        <f t="shared" si="19"/>
        <v/>
      </c>
    </row>
    <row r="97" spans="1:62" ht="15" customHeight="1" x14ac:dyDescent="0.45">
      <c r="A97" s="2" t="s">
        <v>560</v>
      </c>
      <c r="B97" s="2" t="s">
        <v>562</v>
      </c>
      <c r="C97" s="2">
        <v>2019</v>
      </c>
      <c r="D97" s="2" t="s">
        <v>146</v>
      </c>
      <c r="E97" s="2" t="s">
        <v>146</v>
      </c>
      <c r="F97" s="2" t="s">
        <v>146</v>
      </c>
      <c r="G97" s="2" t="s">
        <v>146</v>
      </c>
      <c r="H97" s="2" t="s">
        <v>146</v>
      </c>
      <c r="I97" s="2" t="s">
        <v>146</v>
      </c>
      <c r="J97" s="2" t="s">
        <v>146</v>
      </c>
      <c r="K97" s="2" t="s">
        <v>146</v>
      </c>
      <c r="L97" s="2" t="s">
        <v>146</v>
      </c>
      <c r="M97" s="2" t="s">
        <v>49</v>
      </c>
      <c r="N97" s="2" t="s">
        <v>146</v>
      </c>
      <c r="O97" s="2" t="s">
        <v>146</v>
      </c>
      <c r="P97" s="2" t="s">
        <v>146</v>
      </c>
      <c r="Q97" s="2" t="s">
        <v>146</v>
      </c>
      <c r="R97" s="2" t="s">
        <v>146</v>
      </c>
      <c r="S97" s="2" t="s">
        <v>146</v>
      </c>
      <c r="T97" s="2" t="s">
        <v>146</v>
      </c>
      <c r="U97" s="2" t="s">
        <v>146</v>
      </c>
      <c r="V97" s="2" t="s">
        <v>146</v>
      </c>
      <c r="W97" s="2" t="s">
        <v>146</v>
      </c>
      <c r="X97" s="2" t="s">
        <v>146</v>
      </c>
      <c r="Y97" s="2" t="s">
        <v>146</v>
      </c>
      <c r="Z97" s="2" t="s">
        <v>146</v>
      </c>
      <c r="AA97" s="2" t="s">
        <v>146</v>
      </c>
      <c r="AB97" s="2" t="s">
        <v>146</v>
      </c>
      <c r="AC97" s="2" t="s">
        <v>146</v>
      </c>
      <c r="AD97" s="2" t="s">
        <v>146</v>
      </c>
      <c r="AE97" s="2" t="s">
        <v>155</v>
      </c>
      <c r="AF97" s="2" t="s">
        <v>146</v>
      </c>
      <c r="AG97" s="2" t="s">
        <v>146</v>
      </c>
      <c r="AH97" s="2" t="s">
        <v>146</v>
      </c>
      <c r="AI97" s="2" t="s">
        <v>146</v>
      </c>
      <c r="AJ97" s="2" t="s">
        <v>165</v>
      </c>
      <c r="AK97" s="2" t="s">
        <v>146</v>
      </c>
      <c r="AL97" s="2" t="s">
        <v>146</v>
      </c>
      <c r="AM97" s="2" t="s">
        <v>146</v>
      </c>
      <c r="AN97" s="2" t="s">
        <v>176</v>
      </c>
      <c r="AO97" s="2" t="s">
        <v>146</v>
      </c>
      <c r="AP97" s="2" t="s">
        <v>146</v>
      </c>
      <c r="AQ97" s="2" t="s">
        <v>146</v>
      </c>
      <c r="AR97" s="2" t="s">
        <v>146</v>
      </c>
      <c r="AV97" s="2">
        <f t="shared" si="10"/>
        <v>0</v>
      </c>
      <c r="AW97" s="2">
        <f t="shared" si="11"/>
        <v>0</v>
      </c>
      <c r="AX97" s="27" t="str">
        <f t="shared" si="12"/>
        <v/>
      </c>
      <c r="BA97" s="2">
        <f t="shared" si="13"/>
        <v>0</v>
      </c>
      <c r="BB97" s="2">
        <f t="shared" si="14"/>
        <v>0</v>
      </c>
      <c r="BC97" s="2">
        <f t="shared" si="15"/>
        <v>0</v>
      </c>
      <c r="BD97" s="2">
        <f t="shared" si="16"/>
        <v>0</v>
      </c>
      <c r="BE97" s="2">
        <f t="shared" si="17"/>
        <v>0</v>
      </c>
      <c r="BF97" s="2">
        <f t="shared" si="18"/>
        <v>0</v>
      </c>
      <c r="BJ97" s="2" t="str">
        <f t="shared" si="19"/>
        <v/>
      </c>
    </row>
    <row r="98" spans="1:62" ht="15" customHeight="1" x14ac:dyDescent="0.45">
      <c r="A98" s="2" t="s">
        <v>560</v>
      </c>
      <c r="B98" s="2" t="s">
        <v>560</v>
      </c>
      <c r="C98" s="2">
        <v>2019</v>
      </c>
      <c r="D98" s="2" t="s">
        <v>146</v>
      </c>
      <c r="E98" s="2" t="s">
        <v>146</v>
      </c>
      <c r="F98" s="2" t="s">
        <v>146</v>
      </c>
      <c r="G98" s="2" t="s">
        <v>146</v>
      </c>
      <c r="H98" s="2" t="s">
        <v>146</v>
      </c>
      <c r="I98" s="2" t="s">
        <v>146</v>
      </c>
      <c r="J98" s="2" t="s">
        <v>146</v>
      </c>
      <c r="K98" s="2" t="s">
        <v>146</v>
      </c>
      <c r="L98" s="2" t="s">
        <v>146</v>
      </c>
      <c r="M98" s="2" t="s">
        <v>49</v>
      </c>
      <c r="N98" s="2" t="s">
        <v>146</v>
      </c>
      <c r="O98" s="2" t="s">
        <v>146</v>
      </c>
      <c r="P98" s="2" t="s">
        <v>146</v>
      </c>
      <c r="Q98" s="2" t="s">
        <v>146</v>
      </c>
      <c r="R98" s="2" t="s">
        <v>146</v>
      </c>
      <c r="S98" s="2" t="s">
        <v>146</v>
      </c>
      <c r="T98" s="2" t="s">
        <v>146</v>
      </c>
      <c r="U98" s="2" t="s">
        <v>146</v>
      </c>
      <c r="V98" s="2" t="s">
        <v>146</v>
      </c>
      <c r="W98" s="2" t="s">
        <v>146</v>
      </c>
      <c r="X98" s="2" t="s">
        <v>146</v>
      </c>
      <c r="Y98" s="2" t="s">
        <v>146</v>
      </c>
      <c r="Z98" s="2" t="s">
        <v>146</v>
      </c>
      <c r="AA98" s="2" t="s">
        <v>146</v>
      </c>
      <c r="AB98" s="2" t="s">
        <v>146</v>
      </c>
      <c r="AC98" s="2" t="s">
        <v>146</v>
      </c>
      <c r="AD98" s="2" t="s">
        <v>146</v>
      </c>
      <c r="AE98" s="2" t="s">
        <v>146</v>
      </c>
      <c r="AF98" s="2" t="s">
        <v>146</v>
      </c>
      <c r="AG98" s="2" t="s">
        <v>146</v>
      </c>
      <c r="AH98" s="2" t="s">
        <v>146</v>
      </c>
      <c r="AI98" s="2" t="s">
        <v>146</v>
      </c>
      <c r="AJ98" s="2" t="s">
        <v>146</v>
      </c>
      <c r="AK98" s="2" t="s">
        <v>146</v>
      </c>
      <c r="AL98" s="2" t="s">
        <v>146</v>
      </c>
      <c r="AM98" s="2" t="s">
        <v>146</v>
      </c>
      <c r="AN98" s="2" t="s">
        <v>49</v>
      </c>
      <c r="AO98" s="2" t="s">
        <v>146</v>
      </c>
      <c r="AP98" s="2" t="s">
        <v>146</v>
      </c>
      <c r="AQ98" s="2" t="s">
        <v>146</v>
      </c>
      <c r="AR98" s="2" t="s">
        <v>146</v>
      </c>
      <c r="AV98" s="2">
        <f t="shared" si="10"/>
        <v>0</v>
      </c>
      <c r="AW98" s="2">
        <f t="shared" si="11"/>
        <v>0</v>
      </c>
      <c r="AX98" s="27" t="str">
        <f t="shared" si="12"/>
        <v/>
      </c>
      <c r="BA98" s="2">
        <f t="shared" si="13"/>
        <v>0</v>
      </c>
      <c r="BB98" s="2">
        <f t="shared" si="14"/>
        <v>0</v>
      </c>
      <c r="BC98" s="2">
        <f t="shared" si="15"/>
        <v>0</v>
      </c>
      <c r="BD98" s="2">
        <f t="shared" si="16"/>
        <v>0</v>
      </c>
      <c r="BE98" s="2">
        <f t="shared" si="17"/>
        <v>0</v>
      </c>
      <c r="BF98" s="2">
        <f t="shared" si="18"/>
        <v>0</v>
      </c>
      <c r="BJ98" s="2" t="str">
        <f t="shared" si="19"/>
        <v/>
      </c>
    </row>
    <row r="99" spans="1:62" ht="15" customHeight="1" x14ac:dyDescent="0.45">
      <c r="A99" s="2" t="s">
        <v>560</v>
      </c>
      <c r="B99" s="2" t="s">
        <v>561</v>
      </c>
      <c r="C99" s="2">
        <v>2019</v>
      </c>
      <c r="D99" s="2" t="s">
        <v>146</v>
      </c>
      <c r="E99" s="2" t="s">
        <v>146</v>
      </c>
      <c r="F99" s="2" t="s">
        <v>146</v>
      </c>
      <c r="G99" s="2" t="s">
        <v>146</v>
      </c>
      <c r="H99" s="2" t="s">
        <v>146</v>
      </c>
      <c r="I99" s="2" t="s">
        <v>146</v>
      </c>
      <c r="J99" s="2" t="s">
        <v>146</v>
      </c>
      <c r="K99" s="2" t="s">
        <v>146</v>
      </c>
      <c r="L99" s="2" t="s">
        <v>146</v>
      </c>
      <c r="M99" s="2" t="s">
        <v>176</v>
      </c>
      <c r="N99" s="2" t="s">
        <v>146</v>
      </c>
      <c r="O99" s="2" t="s">
        <v>146</v>
      </c>
      <c r="P99" s="2" t="s">
        <v>146</v>
      </c>
      <c r="Q99" s="2" t="s">
        <v>146</v>
      </c>
      <c r="R99" s="2" t="s">
        <v>146</v>
      </c>
      <c r="S99" s="2" t="s">
        <v>146</v>
      </c>
      <c r="T99" s="2" t="s">
        <v>146</v>
      </c>
      <c r="U99" s="2" t="s">
        <v>146</v>
      </c>
      <c r="V99" s="2" t="s">
        <v>146</v>
      </c>
      <c r="W99" s="2" t="s">
        <v>146</v>
      </c>
      <c r="X99" s="2" t="s">
        <v>146</v>
      </c>
      <c r="Y99" s="2" t="s">
        <v>146</v>
      </c>
      <c r="Z99" s="2" t="s">
        <v>146</v>
      </c>
      <c r="AA99" s="2" t="s">
        <v>146</v>
      </c>
      <c r="AB99" s="2" t="s">
        <v>146</v>
      </c>
      <c r="AC99" s="2" t="s">
        <v>146</v>
      </c>
      <c r="AD99" s="2" t="s">
        <v>146</v>
      </c>
      <c r="AE99" s="2" t="s">
        <v>155</v>
      </c>
      <c r="AF99" s="2" t="s">
        <v>146</v>
      </c>
      <c r="AG99" s="2" t="s">
        <v>146</v>
      </c>
      <c r="AH99" s="2" t="s">
        <v>146</v>
      </c>
      <c r="AI99" s="2" t="s">
        <v>146</v>
      </c>
      <c r="AJ99" s="2" t="s">
        <v>146</v>
      </c>
      <c r="AK99" s="2" t="s">
        <v>146</v>
      </c>
      <c r="AL99" s="2" t="s">
        <v>146</v>
      </c>
      <c r="AM99" s="2" t="s">
        <v>146</v>
      </c>
      <c r="AN99" s="2" t="s">
        <v>176</v>
      </c>
      <c r="AO99" s="2" t="s">
        <v>146</v>
      </c>
      <c r="AP99" s="2" t="s">
        <v>146</v>
      </c>
      <c r="AQ99" s="2" t="s">
        <v>146</v>
      </c>
      <c r="AR99" s="2" t="s">
        <v>146</v>
      </c>
      <c r="AV99" s="2">
        <f t="shared" si="10"/>
        <v>0</v>
      </c>
      <c r="AW99" s="2">
        <f t="shared" si="11"/>
        <v>0</v>
      </c>
      <c r="AX99" s="27" t="str">
        <f t="shared" si="12"/>
        <v/>
      </c>
      <c r="BA99" s="2">
        <f t="shared" si="13"/>
        <v>0</v>
      </c>
      <c r="BB99" s="2">
        <f t="shared" si="14"/>
        <v>0</v>
      </c>
      <c r="BC99" s="2">
        <f t="shared" si="15"/>
        <v>0</v>
      </c>
      <c r="BD99" s="2">
        <f t="shared" si="16"/>
        <v>0</v>
      </c>
      <c r="BE99" s="2">
        <f t="shared" si="17"/>
        <v>0</v>
      </c>
      <c r="BF99" s="2">
        <f t="shared" si="18"/>
        <v>0</v>
      </c>
      <c r="BJ99" s="2" t="str">
        <f t="shared" si="19"/>
        <v/>
      </c>
    </row>
    <row r="100" spans="1:62" ht="15" customHeight="1" x14ac:dyDescent="0.45">
      <c r="A100" s="2" t="s">
        <v>560</v>
      </c>
      <c r="B100" s="2" t="s">
        <v>559</v>
      </c>
      <c r="C100" s="2">
        <v>2019</v>
      </c>
      <c r="D100" s="2" t="s">
        <v>146</v>
      </c>
      <c r="E100" s="2" t="s">
        <v>146</v>
      </c>
      <c r="F100" s="2" t="s">
        <v>146</v>
      </c>
      <c r="G100" s="2" t="s">
        <v>146</v>
      </c>
      <c r="H100" s="2" t="s">
        <v>146</v>
      </c>
      <c r="I100" s="2" t="s">
        <v>146</v>
      </c>
      <c r="J100" s="2" t="s">
        <v>146</v>
      </c>
      <c r="K100" s="2" t="s">
        <v>146</v>
      </c>
      <c r="L100" s="2" t="s">
        <v>146</v>
      </c>
      <c r="M100" s="2" t="s">
        <v>176</v>
      </c>
      <c r="N100" s="2" t="s">
        <v>146</v>
      </c>
      <c r="O100" s="2" t="s">
        <v>146</v>
      </c>
      <c r="P100" s="2" t="s">
        <v>146</v>
      </c>
      <c r="Q100" s="2" t="s">
        <v>146</v>
      </c>
      <c r="R100" s="2" t="s">
        <v>146</v>
      </c>
      <c r="S100" s="2" t="s">
        <v>146</v>
      </c>
      <c r="T100" s="2" t="s">
        <v>146</v>
      </c>
      <c r="U100" s="2" t="s">
        <v>146</v>
      </c>
      <c r="V100" s="2" t="s">
        <v>146</v>
      </c>
      <c r="W100" s="2" t="s">
        <v>146</v>
      </c>
      <c r="X100" s="2" t="s">
        <v>146</v>
      </c>
      <c r="Y100" s="2" t="s">
        <v>146</v>
      </c>
      <c r="Z100" s="2" t="s">
        <v>146</v>
      </c>
      <c r="AA100" s="2" t="s">
        <v>146</v>
      </c>
      <c r="AB100" s="2" t="s">
        <v>146</v>
      </c>
      <c r="AC100" s="2" t="s">
        <v>146</v>
      </c>
      <c r="AD100" s="2" t="s">
        <v>146</v>
      </c>
      <c r="AE100" s="2" t="s">
        <v>155</v>
      </c>
      <c r="AF100" s="2" t="s">
        <v>146</v>
      </c>
      <c r="AG100" s="2" t="s">
        <v>146</v>
      </c>
      <c r="AH100" s="2" t="s">
        <v>146</v>
      </c>
      <c r="AI100" s="2" t="s">
        <v>146</v>
      </c>
      <c r="AJ100" s="2" t="s">
        <v>146</v>
      </c>
      <c r="AK100" s="2" t="s">
        <v>146</v>
      </c>
      <c r="AL100" s="2" t="s">
        <v>146</v>
      </c>
      <c r="AM100" s="2" t="s">
        <v>146</v>
      </c>
      <c r="AN100" s="2" t="s">
        <v>176</v>
      </c>
      <c r="AO100" s="2" t="s">
        <v>146</v>
      </c>
      <c r="AP100" s="2" t="s">
        <v>146</v>
      </c>
      <c r="AQ100" s="2" t="s">
        <v>146</v>
      </c>
      <c r="AR100" s="2" t="s">
        <v>146</v>
      </c>
      <c r="AV100" s="2">
        <f t="shared" si="10"/>
        <v>0</v>
      </c>
      <c r="AW100" s="2">
        <f t="shared" si="11"/>
        <v>0</v>
      </c>
      <c r="AX100" s="27" t="str">
        <f t="shared" si="12"/>
        <v/>
      </c>
      <c r="BA100" s="2">
        <f t="shared" si="13"/>
        <v>0</v>
      </c>
      <c r="BB100" s="2">
        <f t="shared" si="14"/>
        <v>0</v>
      </c>
      <c r="BC100" s="2">
        <f t="shared" si="15"/>
        <v>0</v>
      </c>
      <c r="BD100" s="2">
        <f t="shared" si="16"/>
        <v>0</v>
      </c>
      <c r="BE100" s="2">
        <f t="shared" si="17"/>
        <v>0</v>
      </c>
      <c r="BF100" s="2">
        <f t="shared" si="18"/>
        <v>0</v>
      </c>
      <c r="BJ100" s="2" t="str">
        <f t="shared" si="19"/>
        <v/>
      </c>
    </row>
    <row r="101" spans="1:62" ht="15" customHeight="1" x14ac:dyDescent="0.45">
      <c r="A101" s="2" t="s">
        <v>556</v>
      </c>
      <c r="B101" s="2" t="s">
        <v>558</v>
      </c>
      <c r="C101" s="2">
        <v>2019</v>
      </c>
      <c r="D101" s="2">
        <v>39.81</v>
      </c>
      <c r="E101" s="2">
        <v>135.703</v>
      </c>
      <c r="F101" s="2" t="s">
        <v>146</v>
      </c>
      <c r="G101" s="2">
        <v>4.2759999999999998</v>
      </c>
      <c r="H101" s="2" t="s">
        <v>146</v>
      </c>
      <c r="I101" s="2" t="s">
        <v>146</v>
      </c>
      <c r="J101" s="2" t="s">
        <v>146</v>
      </c>
      <c r="K101" s="2" t="s">
        <v>146</v>
      </c>
      <c r="L101" s="2" t="s">
        <v>146</v>
      </c>
      <c r="M101" s="2" t="s">
        <v>557</v>
      </c>
      <c r="N101" s="2">
        <v>110.331</v>
      </c>
      <c r="O101" s="2">
        <v>12.096</v>
      </c>
      <c r="P101" s="2" t="s">
        <v>146</v>
      </c>
      <c r="Q101" s="2" t="s">
        <v>146</v>
      </c>
      <c r="R101" s="2" t="s">
        <v>146</v>
      </c>
      <c r="S101" s="2" t="s">
        <v>146</v>
      </c>
      <c r="T101" s="2" t="s">
        <v>147</v>
      </c>
      <c r="U101" s="2" t="s">
        <v>146</v>
      </c>
      <c r="V101" s="2" t="s">
        <v>146</v>
      </c>
      <c r="W101" s="2" t="s">
        <v>146</v>
      </c>
      <c r="X101" s="2" t="s">
        <v>146</v>
      </c>
      <c r="Y101" s="2" t="s">
        <v>146</v>
      </c>
      <c r="Z101" s="2" t="s">
        <v>146</v>
      </c>
      <c r="AA101" s="2" t="s">
        <v>146</v>
      </c>
      <c r="AB101" s="2" t="s">
        <v>146</v>
      </c>
      <c r="AC101" s="2" t="s">
        <v>146</v>
      </c>
      <c r="AD101" s="2" t="s">
        <v>146</v>
      </c>
      <c r="AE101" s="2" t="s">
        <v>146</v>
      </c>
      <c r="AF101" s="2" t="s">
        <v>146</v>
      </c>
      <c r="AG101" s="2" t="s">
        <v>146</v>
      </c>
      <c r="AH101" s="2">
        <v>9</v>
      </c>
      <c r="AI101" s="2" t="s">
        <v>146</v>
      </c>
      <c r="AJ101" s="2" t="s">
        <v>146</v>
      </c>
      <c r="AK101" s="2" t="s">
        <v>146</v>
      </c>
      <c r="AL101" s="2" t="s">
        <v>146</v>
      </c>
      <c r="AM101" s="2" t="s">
        <v>146</v>
      </c>
      <c r="AN101" s="2" t="s">
        <v>176</v>
      </c>
      <c r="AO101" s="2">
        <v>100</v>
      </c>
      <c r="AP101" s="2" t="s">
        <v>146</v>
      </c>
      <c r="AQ101" s="2" t="s">
        <v>146</v>
      </c>
      <c r="AR101" s="2" t="s">
        <v>146</v>
      </c>
      <c r="AV101" s="2">
        <f t="shared" si="10"/>
        <v>135.703</v>
      </c>
      <c r="AW101" s="2">
        <f t="shared" si="11"/>
        <v>39.81</v>
      </c>
      <c r="AX101" s="27">
        <f t="shared" si="12"/>
        <v>0.29336123740816344</v>
      </c>
      <c r="BA101" s="2">
        <f t="shared" si="13"/>
        <v>9</v>
      </c>
      <c r="BB101" s="2">
        <f t="shared" si="14"/>
        <v>9</v>
      </c>
      <c r="BC101" s="2">
        <f t="shared" si="15"/>
        <v>0</v>
      </c>
      <c r="BD101" s="2">
        <f t="shared" si="16"/>
        <v>0</v>
      </c>
      <c r="BE101" s="2">
        <f t="shared" si="17"/>
        <v>0</v>
      </c>
      <c r="BF101" s="2">
        <f t="shared" si="18"/>
        <v>0</v>
      </c>
      <c r="BJ101" s="2" t="str">
        <f t="shared" si="19"/>
        <v/>
      </c>
    </row>
    <row r="102" spans="1:62" ht="15" customHeight="1" x14ac:dyDescent="0.45">
      <c r="A102" s="2" t="s">
        <v>556</v>
      </c>
      <c r="B102" s="2" t="s">
        <v>555</v>
      </c>
      <c r="C102" s="2">
        <v>2019</v>
      </c>
      <c r="D102" s="2">
        <v>8.8999999999999996E-2</v>
      </c>
      <c r="E102" s="2">
        <v>8.8999999999999996E-2</v>
      </c>
      <c r="F102" s="2" t="s">
        <v>146</v>
      </c>
      <c r="G102" s="2">
        <v>2.5000000000000001E-2</v>
      </c>
      <c r="H102" s="2" t="s">
        <v>146</v>
      </c>
      <c r="I102" s="2" t="s">
        <v>146</v>
      </c>
      <c r="J102" s="2" t="s">
        <v>146</v>
      </c>
      <c r="K102" s="2" t="s">
        <v>146</v>
      </c>
      <c r="L102" s="2" t="s">
        <v>146</v>
      </c>
      <c r="M102" s="2" t="s">
        <v>176</v>
      </c>
      <c r="N102" s="2" t="s">
        <v>146</v>
      </c>
      <c r="O102" s="2" t="s">
        <v>146</v>
      </c>
      <c r="P102" s="2" t="s">
        <v>146</v>
      </c>
      <c r="Q102" s="2" t="s">
        <v>146</v>
      </c>
      <c r="R102" s="2" t="s">
        <v>146</v>
      </c>
      <c r="S102" s="2" t="s">
        <v>146</v>
      </c>
      <c r="T102" s="2" t="s">
        <v>146</v>
      </c>
      <c r="U102" s="2">
        <v>6.4000000000000001E-2</v>
      </c>
      <c r="V102" s="2" t="s">
        <v>146</v>
      </c>
      <c r="W102" s="2" t="s">
        <v>146</v>
      </c>
      <c r="X102" s="2" t="s">
        <v>146</v>
      </c>
      <c r="Y102" s="2" t="s">
        <v>146</v>
      </c>
      <c r="Z102" s="2" t="s">
        <v>146</v>
      </c>
      <c r="AA102" s="2" t="s">
        <v>146</v>
      </c>
      <c r="AB102" s="2" t="s">
        <v>146</v>
      </c>
      <c r="AC102" s="2" t="s">
        <v>146</v>
      </c>
      <c r="AD102" s="2" t="s">
        <v>146</v>
      </c>
      <c r="AE102" s="2" t="s">
        <v>146</v>
      </c>
      <c r="AF102" s="2" t="s">
        <v>146</v>
      </c>
      <c r="AG102" s="2" t="s">
        <v>146</v>
      </c>
      <c r="AH102" s="2" t="s">
        <v>146</v>
      </c>
      <c r="AI102" s="2" t="s">
        <v>146</v>
      </c>
      <c r="AJ102" s="2" t="s">
        <v>146</v>
      </c>
      <c r="AK102" s="2" t="s">
        <v>146</v>
      </c>
      <c r="AL102" s="2" t="s">
        <v>146</v>
      </c>
      <c r="AM102" s="2" t="s">
        <v>146</v>
      </c>
      <c r="AN102" s="2" t="s">
        <v>176</v>
      </c>
      <c r="AO102" s="2" t="s">
        <v>146</v>
      </c>
      <c r="AP102" s="2" t="s">
        <v>146</v>
      </c>
      <c r="AQ102" s="2" t="s">
        <v>146</v>
      </c>
      <c r="AR102" s="2" t="s">
        <v>146</v>
      </c>
      <c r="AV102" s="2">
        <f t="shared" si="10"/>
        <v>8.8999999999999996E-2</v>
      </c>
      <c r="AW102" s="2">
        <f t="shared" si="11"/>
        <v>8.8999999999999996E-2</v>
      </c>
      <c r="AX102" s="27">
        <f t="shared" si="12"/>
        <v>1</v>
      </c>
      <c r="BA102" s="2">
        <f t="shared" si="13"/>
        <v>0</v>
      </c>
      <c r="BB102" s="2">
        <f t="shared" si="14"/>
        <v>0</v>
      </c>
      <c r="BC102" s="2">
        <f t="shared" si="15"/>
        <v>0</v>
      </c>
      <c r="BD102" s="2">
        <f t="shared" si="16"/>
        <v>0</v>
      </c>
      <c r="BE102" s="2">
        <f t="shared" si="17"/>
        <v>0</v>
      </c>
      <c r="BF102" s="2">
        <f t="shared" si="18"/>
        <v>0</v>
      </c>
      <c r="BJ102" s="2" t="str">
        <f t="shared" si="19"/>
        <v/>
      </c>
    </row>
    <row r="103" spans="1:62" ht="15" customHeight="1" x14ac:dyDescent="0.45">
      <c r="A103" s="2" t="s">
        <v>554</v>
      </c>
      <c r="B103" s="2" t="s">
        <v>553</v>
      </c>
      <c r="C103" s="2">
        <v>2019</v>
      </c>
      <c r="D103" s="2">
        <v>24.7</v>
      </c>
      <c r="E103" s="2">
        <v>30.1</v>
      </c>
      <c r="F103" s="2" t="s">
        <v>146</v>
      </c>
      <c r="G103" s="2" t="s">
        <v>146</v>
      </c>
      <c r="H103" s="2" t="s">
        <v>146</v>
      </c>
      <c r="I103" s="2" t="s">
        <v>146</v>
      </c>
      <c r="J103" s="2" t="s">
        <v>146</v>
      </c>
      <c r="K103" s="2" t="s">
        <v>146</v>
      </c>
      <c r="L103" s="2" t="s">
        <v>146</v>
      </c>
      <c r="M103" s="2" t="s">
        <v>49</v>
      </c>
      <c r="N103" s="2">
        <v>1.5</v>
      </c>
      <c r="O103" s="2" t="s">
        <v>146</v>
      </c>
      <c r="P103" s="2">
        <v>27.3</v>
      </c>
      <c r="Q103" s="2" t="s">
        <v>146</v>
      </c>
      <c r="R103" s="2" t="s">
        <v>146</v>
      </c>
      <c r="S103" s="2" t="s">
        <v>146</v>
      </c>
      <c r="T103" s="2" t="s">
        <v>146</v>
      </c>
      <c r="U103" s="2" t="s">
        <v>146</v>
      </c>
      <c r="V103" s="2" t="s">
        <v>146</v>
      </c>
      <c r="W103" s="2" t="s">
        <v>146</v>
      </c>
      <c r="X103" s="2" t="s">
        <v>146</v>
      </c>
      <c r="Y103" s="2" t="s">
        <v>146</v>
      </c>
      <c r="Z103" s="2">
        <v>1.3</v>
      </c>
      <c r="AA103" s="2" t="s">
        <v>146</v>
      </c>
      <c r="AB103" s="2" t="s">
        <v>146</v>
      </c>
      <c r="AC103" s="2" t="s">
        <v>146</v>
      </c>
      <c r="AD103" s="2" t="s">
        <v>146</v>
      </c>
      <c r="AE103" s="2" t="s">
        <v>146</v>
      </c>
      <c r="AF103" s="2" t="s">
        <v>146</v>
      </c>
      <c r="AG103" s="2" t="s">
        <v>146</v>
      </c>
      <c r="AH103" s="2" t="s">
        <v>146</v>
      </c>
      <c r="AI103" s="2" t="s">
        <v>146</v>
      </c>
      <c r="AJ103" s="2" t="s">
        <v>146</v>
      </c>
      <c r="AK103" s="2" t="s">
        <v>146</v>
      </c>
      <c r="AL103" s="2" t="s">
        <v>146</v>
      </c>
      <c r="AM103" s="2" t="s">
        <v>146</v>
      </c>
      <c r="AN103" s="2" t="s">
        <v>49</v>
      </c>
      <c r="AO103" s="2" t="s">
        <v>146</v>
      </c>
      <c r="AP103" s="2" t="s">
        <v>146</v>
      </c>
      <c r="AQ103" s="2" t="s">
        <v>146</v>
      </c>
      <c r="AR103" s="2" t="s">
        <v>146</v>
      </c>
      <c r="AV103" s="2">
        <f t="shared" si="10"/>
        <v>30.1</v>
      </c>
      <c r="AW103" s="2">
        <f t="shared" si="11"/>
        <v>24.7</v>
      </c>
      <c r="AX103" s="27">
        <f t="shared" si="12"/>
        <v>0.82059800664451821</v>
      </c>
      <c r="BA103" s="2">
        <f t="shared" si="13"/>
        <v>0</v>
      </c>
      <c r="BB103" s="2">
        <f t="shared" si="14"/>
        <v>0</v>
      </c>
      <c r="BC103" s="2">
        <f t="shared" si="15"/>
        <v>0</v>
      </c>
      <c r="BD103" s="2">
        <f t="shared" si="16"/>
        <v>0</v>
      </c>
      <c r="BE103" s="2">
        <f t="shared" si="17"/>
        <v>0</v>
      </c>
      <c r="BF103" s="2">
        <f t="shared" si="18"/>
        <v>0</v>
      </c>
      <c r="BJ103" s="2" t="str">
        <f t="shared" si="19"/>
        <v/>
      </c>
    </row>
    <row r="104" spans="1:62" ht="15" customHeight="1" x14ac:dyDescent="0.45">
      <c r="A104" s="2" t="s">
        <v>550</v>
      </c>
      <c r="B104" s="2" t="s">
        <v>552</v>
      </c>
      <c r="C104" s="2">
        <v>2019</v>
      </c>
      <c r="D104" s="2">
        <v>14.44</v>
      </c>
      <c r="E104" s="2">
        <v>17.280999999999999</v>
      </c>
      <c r="F104" s="2" t="s">
        <v>146</v>
      </c>
      <c r="G104" s="2">
        <v>0.56100000000000005</v>
      </c>
      <c r="H104" s="2" t="s">
        <v>146</v>
      </c>
      <c r="I104" s="2" t="s">
        <v>146</v>
      </c>
      <c r="J104" s="2" t="s">
        <v>146</v>
      </c>
      <c r="K104" s="2" t="s">
        <v>146</v>
      </c>
      <c r="L104" s="2" t="s">
        <v>146</v>
      </c>
      <c r="M104" s="2" t="s">
        <v>49</v>
      </c>
      <c r="N104" s="2">
        <v>3.46</v>
      </c>
      <c r="O104" s="2">
        <v>1.58</v>
      </c>
      <c r="P104" s="2">
        <v>4.29</v>
      </c>
      <c r="Q104" s="2" t="s">
        <v>146</v>
      </c>
      <c r="R104" s="2" t="s">
        <v>146</v>
      </c>
      <c r="S104" s="2">
        <v>4.9000000000000004</v>
      </c>
      <c r="T104" s="2" t="s">
        <v>147</v>
      </c>
      <c r="U104" s="2" t="s">
        <v>146</v>
      </c>
      <c r="V104" s="2" t="s">
        <v>146</v>
      </c>
      <c r="W104" s="2" t="s">
        <v>146</v>
      </c>
      <c r="X104" s="2" t="s">
        <v>146</v>
      </c>
      <c r="Y104" s="2" t="s">
        <v>146</v>
      </c>
      <c r="Z104" s="2" t="s">
        <v>146</v>
      </c>
      <c r="AA104" s="2" t="s">
        <v>146</v>
      </c>
      <c r="AB104" s="2" t="s">
        <v>146</v>
      </c>
      <c r="AC104" s="2" t="s">
        <v>146</v>
      </c>
      <c r="AD104" s="2" t="s">
        <v>146</v>
      </c>
      <c r="AE104" s="2" t="s">
        <v>146</v>
      </c>
      <c r="AF104" s="2" t="s">
        <v>146</v>
      </c>
      <c r="AG104" s="2" t="s">
        <v>146</v>
      </c>
      <c r="AH104" s="2">
        <v>2.4900000000000002</v>
      </c>
      <c r="AI104" s="2" t="s">
        <v>146</v>
      </c>
      <c r="AJ104" s="2" t="s">
        <v>146</v>
      </c>
      <c r="AK104" s="2" t="s">
        <v>146</v>
      </c>
      <c r="AL104" s="2" t="s">
        <v>146</v>
      </c>
      <c r="AM104" s="2" t="s">
        <v>146</v>
      </c>
      <c r="AN104" s="2" t="s">
        <v>49</v>
      </c>
      <c r="AO104" s="2">
        <v>100</v>
      </c>
      <c r="AP104" s="2" t="s">
        <v>146</v>
      </c>
      <c r="AQ104" s="2" t="s">
        <v>146</v>
      </c>
      <c r="AR104" s="2" t="s">
        <v>146</v>
      </c>
      <c r="AV104" s="2">
        <f t="shared" si="10"/>
        <v>17.280999999999999</v>
      </c>
      <c r="AW104" s="2">
        <f t="shared" si="11"/>
        <v>14.44</v>
      </c>
      <c r="AX104" s="27">
        <f t="shared" si="12"/>
        <v>0.83559979167872234</v>
      </c>
      <c r="BA104" s="2">
        <f t="shared" si="13"/>
        <v>2.4900000000000002</v>
      </c>
      <c r="BB104" s="2">
        <f t="shared" si="14"/>
        <v>2.4900000000000002</v>
      </c>
      <c r="BC104" s="2">
        <f t="shared" si="15"/>
        <v>0</v>
      </c>
      <c r="BD104" s="2">
        <f t="shared" si="16"/>
        <v>0</v>
      </c>
      <c r="BE104" s="2">
        <f t="shared" si="17"/>
        <v>0</v>
      </c>
      <c r="BF104" s="2">
        <f t="shared" si="18"/>
        <v>0</v>
      </c>
      <c r="BJ104" s="2" t="str">
        <f t="shared" si="19"/>
        <v/>
      </c>
    </row>
    <row r="105" spans="1:62" ht="15" customHeight="1" x14ac:dyDescent="0.45">
      <c r="A105" s="2" t="s">
        <v>550</v>
      </c>
      <c r="B105" s="2" t="s">
        <v>551</v>
      </c>
      <c r="C105" s="2">
        <v>2019</v>
      </c>
      <c r="D105" s="2">
        <v>57.58</v>
      </c>
      <c r="E105" s="2">
        <v>65.525000000000006</v>
      </c>
      <c r="F105" s="2" t="s">
        <v>146</v>
      </c>
      <c r="G105" s="2">
        <v>0.30499999999999999</v>
      </c>
      <c r="H105" s="2" t="s">
        <v>146</v>
      </c>
      <c r="I105" s="2" t="s">
        <v>146</v>
      </c>
      <c r="J105" s="2">
        <v>4.78</v>
      </c>
      <c r="K105" s="2" t="s">
        <v>146</v>
      </c>
      <c r="L105" s="2" t="s">
        <v>146</v>
      </c>
      <c r="M105" s="2" t="s">
        <v>49</v>
      </c>
      <c r="N105" s="2">
        <v>16.64</v>
      </c>
      <c r="O105" s="2">
        <v>7.79</v>
      </c>
      <c r="P105" s="2">
        <v>22.4</v>
      </c>
      <c r="Q105" s="2" t="s">
        <v>146</v>
      </c>
      <c r="R105" s="2" t="s">
        <v>146</v>
      </c>
      <c r="S105" s="2">
        <v>6.22</v>
      </c>
      <c r="T105" s="2" t="s">
        <v>147</v>
      </c>
      <c r="U105" s="2" t="s">
        <v>146</v>
      </c>
      <c r="V105" s="2" t="s">
        <v>146</v>
      </c>
      <c r="W105" s="2" t="s">
        <v>146</v>
      </c>
      <c r="X105" s="2" t="s">
        <v>146</v>
      </c>
      <c r="Y105" s="2" t="s">
        <v>146</v>
      </c>
      <c r="Z105" s="2" t="s">
        <v>146</v>
      </c>
      <c r="AA105" s="2" t="s">
        <v>146</v>
      </c>
      <c r="AB105" s="2" t="s">
        <v>146</v>
      </c>
      <c r="AC105" s="2" t="s">
        <v>146</v>
      </c>
      <c r="AD105" s="2" t="s">
        <v>146</v>
      </c>
      <c r="AE105" s="2" t="s">
        <v>146</v>
      </c>
      <c r="AF105" s="2" t="s">
        <v>146</v>
      </c>
      <c r="AG105" s="2" t="s">
        <v>146</v>
      </c>
      <c r="AH105" s="2">
        <v>7.39</v>
      </c>
      <c r="AI105" s="2" t="s">
        <v>146</v>
      </c>
      <c r="AJ105" s="2" t="s">
        <v>146</v>
      </c>
      <c r="AK105" s="2" t="s">
        <v>146</v>
      </c>
      <c r="AL105" s="2" t="s">
        <v>146</v>
      </c>
      <c r="AM105" s="2" t="s">
        <v>146</v>
      </c>
      <c r="AN105" s="2" t="s">
        <v>49</v>
      </c>
      <c r="AO105" s="2">
        <v>100</v>
      </c>
      <c r="AP105" s="2" t="s">
        <v>146</v>
      </c>
      <c r="AQ105" s="2" t="s">
        <v>146</v>
      </c>
      <c r="AR105" s="2" t="s">
        <v>146</v>
      </c>
      <c r="AV105" s="2">
        <f t="shared" si="10"/>
        <v>65.524999999999991</v>
      </c>
      <c r="AW105" s="2">
        <f t="shared" si="11"/>
        <v>57.58</v>
      </c>
      <c r="AX105" s="27">
        <f t="shared" si="12"/>
        <v>0.87874856924837852</v>
      </c>
      <c r="BA105" s="2">
        <f t="shared" si="13"/>
        <v>7.39</v>
      </c>
      <c r="BB105" s="2">
        <f t="shared" si="14"/>
        <v>7.39</v>
      </c>
      <c r="BC105" s="2">
        <f t="shared" si="15"/>
        <v>0</v>
      </c>
      <c r="BD105" s="2">
        <f t="shared" si="16"/>
        <v>0</v>
      </c>
      <c r="BE105" s="2">
        <f t="shared" si="17"/>
        <v>0</v>
      </c>
      <c r="BF105" s="2">
        <f t="shared" si="18"/>
        <v>0</v>
      </c>
      <c r="BJ105" s="2" t="str">
        <f t="shared" si="19"/>
        <v/>
      </c>
    </row>
    <row r="106" spans="1:62" ht="15" customHeight="1" x14ac:dyDescent="0.45">
      <c r="A106" s="2" t="s">
        <v>550</v>
      </c>
      <c r="B106" s="2" t="s">
        <v>549</v>
      </c>
      <c r="C106" s="2">
        <v>2019</v>
      </c>
      <c r="D106" s="2">
        <v>0.27200000000000002</v>
      </c>
      <c r="E106" s="2">
        <v>0.28899999999999998</v>
      </c>
      <c r="F106" s="2" t="s">
        <v>146</v>
      </c>
      <c r="G106" s="2">
        <v>3.2000000000000001E-2</v>
      </c>
      <c r="H106" s="2" t="s">
        <v>146</v>
      </c>
      <c r="I106" s="2" t="s">
        <v>146</v>
      </c>
      <c r="J106" s="2" t="s">
        <v>146</v>
      </c>
      <c r="K106" s="2" t="s">
        <v>146</v>
      </c>
      <c r="L106" s="2" t="s">
        <v>146</v>
      </c>
      <c r="M106" s="2" t="s">
        <v>49</v>
      </c>
      <c r="N106" s="2" t="s">
        <v>146</v>
      </c>
      <c r="O106" s="2" t="s">
        <v>146</v>
      </c>
      <c r="P106" s="2" t="s">
        <v>146</v>
      </c>
      <c r="Q106" s="2" t="s">
        <v>146</v>
      </c>
      <c r="R106" s="2" t="s">
        <v>146</v>
      </c>
      <c r="S106" s="2" t="s">
        <v>146</v>
      </c>
      <c r="T106" s="2" t="s">
        <v>146</v>
      </c>
      <c r="U106" s="2">
        <v>0.25700000000000001</v>
      </c>
      <c r="V106" s="2" t="s">
        <v>146</v>
      </c>
      <c r="W106" s="2" t="s">
        <v>146</v>
      </c>
      <c r="X106" s="2" t="s">
        <v>146</v>
      </c>
      <c r="Y106" s="2" t="s">
        <v>146</v>
      </c>
      <c r="Z106" s="2" t="s">
        <v>146</v>
      </c>
      <c r="AA106" s="2" t="s">
        <v>146</v>
      </c>
      <c r="AB106" s="2" t="s">
        <v>146</v>
      </c>
      <c r="AC106" s="2" t="s">
        <v>146</v>
      </c>
      <c r="AD106" s="2" t="s">
        <v>146</v>
      </c>
      <c r="AE106" s="2" t="s">
        <v>146</v>
      </c>
      <c r="AF106" s="2" t="s">
        <v>146</v>
      </c>
      <c r="AG106" s="2" t="s">
        <v>146</v>
      </c>
      <c r="AH106" s="2" t="s">
        <v>146</v>
      </c>
      <c r="AI106" s="2" t="s">
        <v>146</v>
      </c>
      <c r="AJ106" s="2" t="s">
        <v>146</v>
      </c>
      <c r="AK106" s="2" t="s">
        <v>146</v>
      </c>
      <c r="AL106" s="2" t="s">
        <v>146</v>
      </c>
      <c r="AM106" s="2" t="s">
        <v>146</v>
      </c>
      <c r="AN106" s="2" t="s">
        <v>49</v>
      </c>
      <c r="AO106" s="2" t="s">
        <v>146</v>
      </c>
      <c r="AP106" s="2" t="s">
        <v>146</v>
      </c>
      <c r="AQ106" s="2" t="s">
        <v>146</v>
      </c>
      <c r="AR106" s="2" t="s">
        <v>146</v>
      </c>
      <c r="AV106" s="2">
        <f t="shared" si="10"/>
        <v>0.28900000000000003</v>
      </c>
      <c r="AW106" s="2">
        <f t="shared" si="11"/>
        <v>0.27200000000000002</v>
      </c>
      <c r="AX106" s="27">
        <f t="shared" si="12"/>
        <v>0.94117647058823528</v>
      </c>
      <c r="BA106" s="2">
        <f t="shared" si="13"/>
        <v>0</v>
      </c>
      <c r="BB106" s="2">
        <f t="shared" si="14"/>
        <v>0</v>
      </c>
      <c r="BC106" s="2">
        <f t="shared" si="15"/>
        <v>0</v>
      </c>
      <c r="BD106" s="2">
        <f t="shared" si="16"/>
        <v>0</v>
      </c>
      <c r="BE106" s="2">
        <f t="shared" si="17"/>
        <v>0</v>
      </c>
      <c r="BF106" s="2">
        <f t="shared" si="18"/>
        <v>0</v>
      </c>
      <c r="BJ106" s="2" t="str">
        <f t="shared" si="19"/>
        <v/>
      </c>
    </row>
    <row r="107" spans="1:62" ht="15" customHeight="1" x14ac:dyDescent="0.45">
      <c r="A107" s="2" t="s">
        <v>548</v>
      </c>
      <c r="B107" s="2" t="s">
        <v>547</v>
      </c>
      <c r="C107" s="2">
        <v>2019</v>
      </c>
      <c r="D107" s="2">
        <v>285.91000000000003</v>
      </c>
      <c r="E107" s="2">
        <v>375.41800000000001</v>
      </c>
      <c r="F107" s="2" t="s">
        <v>146</v>
      </c>
      <c r="G107" s="2" t="s">
        <v>146</v>
      </c>
      <c r="H107" s="2" t="s">
        <v>146</v>
      </c>
      <c r="I107" s="2" t="s">
        <v>146</v>
      </c>
      <c r="J107" s="2" t="s">
        <v>146</v>
      </c>
      <c r="K107" s="2" t="s">
        <v>146</v>
      </c>
      <c r="L107" s="2" t="s">
        <v>146</v>
      </c>
      <c r="M107" s="2" t="s">
        <v>49</v>
      </c>
      <c r="N107" s="2">
        <v>75.725999999999999</v>
      </c>
      <c r="O107" s="2" t="s">
        <v>146</v>
      </c>
      <c r="P107" s="2" t="s">
        <v>146</v>
      </c>
      <c r="Q107" s="2" t="s">
        <v>146</v>
      </c>
      <c r="R107" s="2" t="s">
        <v>146</v>
      </c>
      <c r="S107" s="2" t="s">
        <v>146</v>
      </c>
      <c r="T107" s="2" t="s">
        <v>146</v>
      </c>
      <c r="U107" s="2" t="s">
        <v>146</v>
      </c>
      <c r="V107" s="2" t="s">
        <v>146</v>
      </c>
      <c r="W107" s="2" t="s">
        <v>146</v>
      </c>
      <c r="X107" s="2" t="s">
        <v>146</v>
      </c>
      <c r="Y107" s="2" t="s">
        <v>146</v>
      </c>
      <c r="Z107" s="2">
        <v>2.3E-2</v>
      </c>
      <c r="AA107" s="2" t="s">
        <v>146</v>
      </c>
      <c r="AB107" s="2" t="s">
        <v>146</v>
      </c>
      <c r="AC107" s="2">
        <v>237.26900000000001</v>
      </c>
      <c r="AD107" s="2">
        <v>1</v>
      </c>
      <c r="AE107" s="2" t="s">
        <v>233</v>
      </c>
      <c r="AF107" s="2">
        <v>41.34</v>
      </c>
      <c r="AG107" s="2">
        <v>21.6</v>
      </c>
      <c r="AH107" s="2">
        <v>40.799999999999997</v>
      </c>
      <c r="AI107" s="2" t="s">
        <v>146</v>
      </c>
      <c r="AJ107" s="2" t="s">
        <v>146</v>
      </c>
      <c r="AK107" s="2" t="s">
        <v>146</v>
      </c>
      <c r="AL107" s="2" t="s">
        <v>146</v>
      </c>
      <c r="AM107" s="2" t="s">
        <v>146</v>
      </c>
      <c r="AN107" s="2" t="s">
        <v>49</v>
      </c>
      <c r="AO107" s="2">
        <v>38.700000000000003</v>
      </c>
      <c r="AP107" s="2">
        <v>61.3</v>
      </c>
      <c r="AQ107" s="2">
        <v>0</v>
      </c>
      <c r="AR107" s="2">
        <v>0</v>
      </c>
      <c r="AV107" s="2">
        <f t="shared" si="10"/>
        <v>375.41800000000001</v>
      </c>
      <c r="AW107" s="2">
        <f t="shared" si="11"/>
        <v>285.91000000000003</v>
      </c>
      <c r="AX107" s="27">
        <f t="shared" si="12"/>
        <v>0.76157776132204646</v>
      </c>
      <c r="BA107" s="2">
        <f t="shared" si="13"/>
        <v>40.799999999999997</v>
      </c>
      <c r="BB107" s="2">
        <f t="shared" si="14"/>
        <v>15.7896</v>
      </c>
      <c r="BC107" s="2">
        <f t="shared" si="15"/>
        <v>25.010399999999997</v>
      </c>
      <c r="BD107" s="2">
        <f t="shared" si="16"/>
        <v>0</v>
      </c>
      <c r="BE107" s="2">
        <f t="shared" si="17"/>
        <v>0</v>
      </c>
      <c r="BF107" s="2">
        <f t="shared" si="18"/>
        <v>0</v>
      </c>
      <c r="BJ107" s="2" t="str">
        <f t="shared" si="19"/>
        <v/>
      </c>
    </row>
    <row r="108" spans="1:62" ht="15" customHeight="1" x14ac:dyDescent="0.45">
      <c r="A108" s="2" t="s">
        <v>546</v>
      </c>
      <c r="B108" s="2" t="s">
        <v>545</v>
      </c>
      <c r="C108" s="2">
        <v>2019</v>
      </c>
      <c r="D108" s="2">
        <v>3.1</v>
      </c>
      <c r="E108" s="2">
        <v>3.19</v>
      </c>
      <c r="F108" s="2">
        <v>0</v>
      </c>
      <c r="G108" s="2">
        <v>0.09</v>
      </c>
      <c r="H108" s="2">
        <v>0</v>
      </c>
      <c r="I108" s="2">
        <v>0</v>
      </c>
      <c r="J108" s="2">
        <v>0</v>
      </c>
      <c r="K108" s="2">
        <v>0</v>
      </c>
      <c r="L108" s="2">
        <v>0</v>
      </c>
      <c r="M108" s="2" t="s">
        <v>176</v>
      </c>
      <c r="N108" s="2" t="s">
        <v>146</v>
      </c>
      <c r="O108" s="2" t="s">
        <v>146</v>
      </c>
      <c r="P108" s="2" t="s">
        <v>146</v>
      </c>
      <c r="Q108" s="2" t="s">
        <v>146</v>
      </c>
      <c r="R108" s="2" t="s">
        <v>146</v>
      </c>
      <c r="S108" s="2" t="s">
        <v>146</v>
      </c>
      <c r="T108" s="2" t="s">
        <v>146</v>
      </c>
      <c r="U108" s="2">
        <v>3.1</v>
      </c>
      <c r="V108" s="2">
        <v>0</v>
      </c>
      <c r="W108" s="2">
        <v>0</v>
      </c>
      <c r="X108" s="2">
        <v>0</v>
      </c>
      <c r="Y108" s="2">
        <v>0</v>
      </c>
      <c r="Z108" s="2">
        <v>0</v>
      </c>
      <c r="AA108" s="2">
        <v>0</v>
      </c>
      <c r="AB108" s="2" t="s">
        <v>146</v>
      </c>
      <c r="AC108" s="2" t="s">
        <v>146</v>
      </c>
      <c r="AD108" s="2" t="s">
        <v>146</v>
      </c>
      <c r="AE108" s="2" t="s">
        <v>146</v>
      </c>
      <c r="AF108" s="2" t="s">
        <v>146</v>
      </c>
      <c r="AG108" s="2" t="s">
        <v>146</v>
      </c>
      <c r="AH108" s="2" t="s">
        <v>146</v>
      </c>
      <c r="AI108" s="2" t="s">
        <v>146</v>
      </c>
      <c r="AJ108" s="2" t="s">
        <v>146</v>
      </c>
      <c r="AK108" s="2" t="s">
        <v>146</v>
      </c>
      <c r="AL108" s="2" t="s">
        <v>146</v>
      </c>
      <c r="AM108" s="2" t="s">
        <v>146</v>
      </c>
      <c r="AN108" s="2" t="s">
        <v>176</v>
      </c>
      <c r="AO108" s="2" t="s">
        <v>146</v>
      </c>
      <c r="AP108" s="2" t="s">
        <v>146</v>
      </c>
      <c r="AQ108" s="2" t="s">
        <v>146</v>
      </c>
      <c r="AR108" s="2" t="s">
        <v>146</v>
      </c>
      <c r="AV108" s="2">
        <f t="shared" si="10"/>
        <v>3.19</v>
      </c>
      <c r="AW108" s="2">
        <f t="shared" si="11"/>
        <v>3.1</v>
      </c>
      <c r="AX108" s="27">
        <f t="shared" si="12"/>
        <v>0.97178683385579945</v>
      </c>
      <c r="BA108" s="2">
        <f t="shared" si="13"/>
        <v>0</v>
      </c>
      <c r="BB108" s="2">
        <f t="shared" si="14"/>
        <v>0</v>
      </c>
      <c r="BC108" s="2">
        <f t="shared" si="15"/>
        <v>0</v>
      </c>
      <c r="BD108" s="2">
        <f t="shared" si="16"/>
        <v>0</v>
      </c>
      <c r="BE108" s="2">
        <f t="shared" si="17"/>
        <v>0</v>
      </c>
      <c r="BF108" s="2">
        <f t="shared" si="18"/>
        <v>0</v>
      </c>
      <c r="BJ108" s="2" t="str">
        <f t="shared" si="19"/>
        <v/>
      </c>
    </row>
    <row r="109" spans="1:62" ht="15" customHeight="1" x14ac:dyDescent="0.45">
      <c r="A109" s="2" t="s">
        <v>543</v>
      </c>
      <c r="B109" s="2" t="s">
        <v>544</v>
      </c>
      <c r="C109" s="2">
        <v>2019</v>
      </c>
      <c r="D109" s="2">
        <v>16.11</v>
      </c>
      <c r="E109" s="2">
        <v>17.885999999999999</v>
      </c>
      <c r="F109" s="2" t="s">
        <v>146</v>
      </c>
      <c r="G109" s="2" t="s">
        <v>146</v>
      </c>
      <c r="H109" s="2" t="s">
        <v>146</v>
      </c>
      <c r="I109" s="2" t="s">
        <v>146</v>
      </c>
      <c r="J109" s="2" t="s">
        <v>146</v>
      </c>
      <c r="K109" s="2" t="s">
        <v>146</v>
      </c>
      <c r="L109" s="2" t="s">
        <v>146</v>
      </c>
      <c r="M109" s="2" t="s">
        <v>49</v>
      </c>
      <c r="N109" s="2" t="s">
        <v>146</v>
      </c>
      <c r="O109" s="2" t="s">
        <v>146</v>
      </c>
      <c r="P109" s="2">
        <v>12.157999999999999</v>
      </c>
      <c r="Q109" s="2" t="s">
        <v>146</v>
      </c>
      <c r="R109" s="2" t="s">
        <v>146</v>
      </c>
      <c r="S109" s="2" t="s">
        <v>146</v>
      </c>
      <c r="T109" s="2" t="s">
        <v>146</v>
      </c>
      <c r="U109" s="2">
        <v>3.0110000000000001</v>
      </c>
      <c r="V109" s="2" t="s">
        <v>146</v>
      </c>
      <c r="W109" s="2" t="s">
        <v>146</v>
      </c>
      <c r="X109" s="2" t="s">
        <v>146</v>
      </c>
      <c r="Y109" s="2" t="s">
        <v>146</v>
      </c>
      <c r="Z109" s="2">
        <v>2.7170000000000001</v>
      </c>
      <c r="AA109" s="2" t="s">
        <v>146</v>
      </c>
      <c r="AB109" s="2" t="s">
        <v>146</v>
      </c>
      <c r="AC109" s="2" t="s">
        <v>146</v>
      </c>
      <c r="AD109" s="2" t="s">
        <v>146</v>
      </c>
      <c r="AE109" s="2" t="s">
        <v>146</v>
      </c>
      <c r="AF109" s="2" t="s">
        <v>146</v>
      </c>
      <c r="AG109" s="2" t="s">
        <v>146</v>
      </c>
      <c r="AH109" s="2" t="s">
        <v>146</v>
      </c>
      <c r="AI109" s="2" t="s">
        <v>146</v>
      </c>
      <c r="AJ109" s="2" t="s">
        <v>146</v>
      </c>
      <c r="AK109" s="2" t="s">
        <v>146</v>
      </c>
      <c r="AL109" s="2" t="s">
        <v>146</v>
      </c>
      <c r="AM109" s="2" t="s">
        <v>146</v>
      </c>
      <c r="AN109" s="2" t="s">
        <v>49</v>
      </c>
      <c r="AO109" s="2" t="s">
        <v>146</v>
      </c>
      <c r="AP109" s="2" t="s">
        <v>146</v>
      </c>
      <c r="AQ109" s="2" t="s">
        <v>146</v>
      </c>
      <c r="AR109" s="2" t="s">
        <v>146</v>
      </c>
      <c r="AV109" s="2">
        <f t="shared" si="10"/>
        <v>17.885999999999999</v>
      </c>
      <c r="AW109" s="2">
        <f t="shared" si="11"/>
        <v>16.11</v>
      </c>
      <c r="AX109" s="27">
        <f t="shared" si="12"/>
        <v>0.90070446159007045</v>
      </c>
      <c r="BA109" s="2">
        <f t="shared" si="13"/>
        <v>0</v>
      </c>
      <c r="BB109" s="2">
        <f t="shared" si="14"/>
        <v>0</v>
      </c>
      <c r="BC109" s="2">
        <f t="shared" si="15"/>
        <v>0</v>
      </c>
      <c r="BD109" s="2">
        <f t="shared" si="16"/>
        <v>0</v>
      </c>
      <c r="BE109" s="2">
        <f t="shared" si="17"/>
        <v>0</v>
      </c>
      <c r="BF109" s="2">
        <f t="shared" si="18"/>
        <v>0</v>
      </c>
      <c r="BJ109" s="2" t="str">
        <f t="shared" si="19"/>
        <v/>
      </c>
    </row>
    <row r="110" spans="1:62" ht="15" customHeight="1" x14ac:dyDescent="0.45">
      <c r="A110" s="2" t="s">
        <v>543</v>
      </c>
      <c r="B110" s="2" t="s">
        <v>542</v>
      </c>
      <c r="C110" s="2">
        <v>2019</v>
      </c>
      <c r="D110" s="2">
        <v>11.914</v>
      </c>
      <c r="E110" s="2">
        <v>16.495999999999999</v>
      </c>
      <c r="F110" s="2" t="s">
        <v>146</v>
      </c>
      <c r="G110" s="2">
        <v>8.5999999999999993E-2</v>
      </c>
      <c r="H110" s="2" t="s">
        <v>146</v>
      </c>
      <c r="I110" s="2" t="s">
        <v>146</v>
      </c>
      <c r="J110" s="2" t="s">
        <v>146</v>
      </c>
      <c r="K110" s="2" t="s">
        <v>146</v>
      </c>
      <c r="L110" s="2" t="s">
        <v>146</v>
      </c>
      <c r="M110" s="2" t="s">
        <v>49</v>
      </c>
      <c r="N110" s="2" t="s">
        <v>146</v>
      </c>
      <c r="O110" s="2" t="s">
        <v>146</v>
      </c>
      <c r="P110" s="2" t="s">
        <v>146</v>
      </c>
      <c r="Q110" s="2" t="s">
        <v>146</v>
      </c>
      <c r="R110" s="2" t="s">
        <v>146</v>
      </c>
      <c r="S110" s="2" t="s">
        <v>146</v>
      </c>
      <c r="T110" s="2" t="s">
        <v>146</v>
      </c>
      <c r="U110" s="2" t="s">
        <v>146</v>
      </c>
      <c r="V110" s="2" t="s">
        <v>146</v>
      </c>
      <c r="W110" s="2" t="s">
        <v>146</v>
      </c>
      <c r="X110" s="2" t="s">
        <v>146</v>
      </c>
      <c r="Y110" s="2" t="s">
        <v>146</v>
      </c>
      <c r="Z110" s="2" t="s">
        <v>146</v>
      </c>
      <c r="AA110" s="2" t="s">
        <v>146</v>
      </c>
      <c r="AB110" s="2">
        <v>16.41</v>
      </c>
      <c r="AC110" s="2" t="s">
        <v>146</v>
      </c>
      <c r="AD110" s="2" t="s">
        <v>146</v>
      </c>
      <c r="AE110" s="2" t="s">
        <v>146</v>
      </c>
      <c r="AF110" s="2" t="s">
        <v>146</v>
      </c>
      <c r="AG110" s="2" t="s">
        <v>146</v>
      </c>
      <c r="AH110" s="2" t="s">
        <v>146</v>
      </c>
      <c r="AI110" s="2" t="s">
        <v>146</v>
      </c>
      <c r="AJ110" s="2" t="s">
        <v>146</v>
      </c>
      <c r="AK110" s="2" t="s">
        <v>146</v>
      </c>
      <c r="AL110" s="2" t="s">
        <v>146</v>
      </c>
      <c r="AM110" s="2" t="s">
        <v>146</v>
      </c>
      <c r="AN110" s="2" t="s">
        <v>49</v>
      </c>
      <c r="AO110" s="2" t="s">
        <v>146</v>
      </c>
      <c r="AP110" s="2" t="s">
        <v>146</v>
      </c>
      <c r="AQ110" s="2" t="s">
        <v>146</v>
      </c>
      <c r="AR110" s="2" t="s">
        <v>146</v>
      </c>
      <c r="AV110" s="2">
        <f t="shared" si="10"/>
        <v>16.495999999999999</v>
      </c>
      <c r="AW110" s="2">
        <f t="shared" si="11"/>
        <v>11.914</v>
      </c>
      <c r="AX110" s="27">
        <f t="shared" si="12"/>
        <v>0.72223569350145489</v>
      </c>
      <c r="BA110" s="2">
        <f t="shared" si="13"/>
        <v>0</v>
      </c>
      <c r="BB110" s="2">
        <f t="shared" si="14"/>
        <v>0</v>
      </c>
      <c r="BC110" s="2">
        <f t="shared" si="15"/>
        <v>0</v>
      </c>
      <c r="BD110" s="2">
        <f t="shared" si="16"/>
        <v>0</v>
      </c>
      <c r="BE110" s="2">
        <f t="shared" si="17"/>
        <v>0</v>
      </c>
      <c r="BF110" s="2">
        <f t="shared" si="18"/>
        <v>0</v>
      </c>
      <c r="BJ110" s="2" t="str">
        <f t="shared" si="19"/>
        <v/>
      </c>
    </row>
    <row r="111" spans="1:62" ht="15" customHeight="1" x14ac:dyDescent="0.45">
      <c r="A111" s="2" t="s">
        <v>538</v>
      </c>
      <c r="B111" s="2" t="s">
        <v>541</v>
      </c>
      <c r="C111" s="2">
        <v>2019</v>
      </c>
      <c r="D111" s="2">
        <v>28</v>
      </c>
      <c r="E111" s="2">
        <v>27.167000000000002</v>
      </c>
      <c r="F111" s="2">
        <v>0</v>
      </c>
      <c r="G111" s="2">
        <v>0.56699999999999995</v>
      </c>
      <c r="H111" s="2">
        <v>0</v>
      </c>
      <c r="I111" s="2">
        <v>0</v>
      </c>
      <c r="J111" s="2">
        <v>0</v>
      </c>
      <c r="K111" s="2">
        <v>0</v>
      </c>
      <c r="L111" s="2" t="s">
        <v>146</v>
      </c>
      <c r="M111" s="2" t="s">
        <v>49</v>
      </c>
      <c r="N111" s="2">
        <v>5.3</v>
      </c>
      <c r="O111" s="2">
        <v>5.3</v>
      </c>
      <c r="P111" s="2">
        <v>5.3</v>
      </c>
      <c r="Q111" s="2">
        <v>5.3</v>
      </c>
      <c r="R111" s="2">
        <v>0</v>
      </c>
      <c r="S111" s="2">
        <v>5.4</v>
      </c>
      <c r="T111" s="2" t="s">
        <v>147</v>
      </c>
      <c r="U111" s="2" t="s">
        <v>146</v>
      </c>
      <c r="V111" s="2" t="s">
        <v>146</v>
      </c>
      <c r="W111" s="2" t="s">
        <v>146</v>
      </c>
      <c r="X111" s="2" t="s">
        <v>146</v>
      </c>
      <c r="Y111" s="2" t="s">
        <v>146</v>
      </c>
      <c r="Z111" s="2" t="s">
        <v>146</v>
      </c>
      <c r="AA111" s="2" t="s">
        <v>146</v>
      </c>
      <c r="AB111" s="2" t="s">
        <v>146</v>
      </c>
      <c r="AC111" s="2" t="s">
        <v>146</v>
      </c>
      <c r="AD111" s="2" t="s">
        <v>146</v>
      </c>
      <c r="AE111" s="2" t="s">
        <v>146</v>
      </c>
      <c r="AF111" s="2" t="s">
        <v>146</v>
      </c>
      <c r="AG111" s="2" t="s">
        <v>146</v>
      </c>
      <c r="AH111" s="2" t="s">
        <v>146</v>
      </c>
      <c r="AI111" s="2" t="s">
        <v>146</v>
      </c>
      <c r="AJ111" s="2" t="s">
        <v>146</v>
      </c>
      <c r="AK111" s="2" t="s">
        <v>146</v>
      </c>
      <c r="AL111" s="2" t="s">
        <v>146</v>
      </c>
      <c r="AM111" s="2" t="s">
        <v>146</v>
      </c>
      <c r="AN111" s="2" t="s">
        <v>49</v>
      </c>
      <c r="AO111" s="2">
        <v>100</v>
      </c>
      <c r="AP111" s="2">
        <v>0</v>
      </c>
      <c r="AQ111" s="2">
        <v>0</v>
      </c>
      <c r="AR111" s="2">
        <v>0</v>
      </c>
      <c r="AV111" s="2">
        <f t="shared" si="10"/>
        <v>27.167000000000002</v>
      </c>
      <c r="AW111" s="2">
        <f t="shared" si="11"/>
        <v>28</v>
      </c>
      <c r="AX111" s="27">
        <f t="shared" si="12"/>
        <v>1.030662200463798</v>
      </c>
      <c r="BA111" s="2">
        <f t="shared" si="13"/>
        <v>0</v>
      </c>
      <c r="BB111" s="2">
        <f t="shared" si="14"/>
        <v>0</v>
      </c>
      <c r="BC111" s="2">
        <f t="shared" si="15"/>
        <v>0</v>
      </c>
      <c r="BD111" s="2">
        <f t="shared" si="16"/>
        <v>0</v>
      </c>
      <c r="BE111" s="2">
        <f t="shared" si="17"/>
        <v>0</v>
      </c>
      <c r="BF111" s="2">
        <f t="shared" si="18"/>
        <v>0</v>
      </c>
      <c r="BJ111" s="2" t="str">
        <f t="shared" si="19"/>
        <v>ja</v>
      </c>
    </row>
    <row r="112" spans="1:62" ht="15" customHeight="1" x14ac:dyDescent="0.45">
      <c r="A112" s="2" t="s">
        <v>538</v>
      </c>
      <c r="B112" s="2" t="s">
        <v>540</v>
      </c>
      <c r="C112" s="2">
        <v>2019</v>
      </c>
      <c r="D112" s="2">
        <v>6.92</v>
      </c>
      <c r="E112" s="2">
        <v>8.4909999999999997</v>
      </c>
      <c r="F112" s="2">
        <v>0</v>
      </c>
      <c r="G112" s="2">
        <v>0.121</v>
      </c>
      <c r="H112" s="2" t="s">
        <v>146</v>
      </c>
      <c r="I112" s="2" t="s">
        <v>146</v>
      </c>
      <c r="J112" s="2" t="s">
        <v>146</v>
      </c>
      <c r="K112" s="2" t="s">
        <v>146</v>
      </c>
      <c r="L112" s="2" t="s">
        <v>146</v>
      </c>
      <c r="M112" s="2" t="s">
        <v>49</v>
      </c>
      <c r="N112" s="2" t="s">
        <v>146</v>
      </c>
      <c r="O112" s="2" t="s">
        <v>146</v>
      </c>
      <c r="P112" s="2">
        <v>8.3699999999999992</v>
      </c>
      <c r="Q112" s="2" t="s">
        <v>146</v>
      </c>
      <c r="R112" s="2" t="s">
        <v>146</v>
      </c>
      <c r="S112" s="2" t="s">
        <v>146</v>
      </c>
      <c r="T112" s="2" t="s">
        <v>147</v>
      </c>
      <c r="U112" s="2" t="s">
        <v>146</v>
      </c>
      <c r="V112" s="2" t="s">
        <v>146</v>
      </c>
      <c r="W112" s="2" t="s">
        <v>146</v>
      </c>
      <c r="X112" s="2" t="s">
        <v>146</v>
      </c>
      <c r="Y112" s="2" t="s">
        <v>146</v>
      </c>
      <c r="Z112" s="2" t="s">
        <v>146</v>
      </c>
      <c r="AA112" s="2" t="s">
        <v>146</v>
      </c>
      <c r="AB112" s="2" t="s">
        <v>146</v>
      </c>
      <c r="AC112" s="2" t="s">
        <v>146</v>
      </c>
      <c r="AD112" s="2" t="s">
        <v>146</v>
      </c>
      <c r="AE112" s="2" t="s">
        <v>146</v>
      </c>
      <c r="AF112" s="2" t="s">
        <v>146</v>
      </c>
      <c r="AG112" s="2" t="s">
        <v>146</v>
      </c>
      <c r="AH112" s="2" t="s">
        <v>146</v>
      </c>
      <c r="AI112" s="2" t="s">
        <v>146</v>
      </c>
      <c r="AJ112" s="2" t="s">
        <v>146</v>
      </c>
      <c r="AK112" s="2" t="s">
        <v>146</v>
      </c>
      <c r="AL112" s="2" t="s">
        <v>146</v>
      </c>
      <c r="AM112" s="2" t="s">
        <v>146</v>
      </c>
      <c r="AN112" s="2" t="s">
        <v>49</v>
      </c>
      <c r="AO112" s="2" t="s">
        <v>146</v>
      </c>
      <c r="AP112" s="2" t="s">
        <v>146</v>
      </c>
      <c r="AQ112" s="2" t="s">
        <v>146</v>
      </c>
      <c r="AR112" s="2" t="s">
        <v>146</v>
      </c>
      <c r="AV112" s="2">
        <f t="shared" si="10"/>
        <v>8.4909999999999997</v>
      </c>
      <c r="AW112" s="2">
        <f t="shared" si="11"/>
        <v>6.92</v>
      </c>
      <c r="AX112" s="27">
        <f t="shared" si="12"/>
        <v>0.81498056765987514</v>
      </c>
      <c r="BA112" s="2">
        <f t="shared" si="13"/>
        <v>0</v>
      </c>
      <c r="BB112" s="2">
        <f t="shared" si="14"/>
        <v>0</v>
      </c>
      <c r="BC112" s="2">
        <f t="shared" si="15"/>
        <v>0</v>
      </c>
      <c r="BD112" s="2">
        <f t="shared" si="16"/>
        <v>0</v>
      </c>
      <c r="BE112" s="2">
        <f t="shared" si="17"/>
        <v>0</v>
      </c>
      <c r="BF112" s="2">
        <f t="shared" si="18"/>
        <v>0</v>
      </c>
      <c r="BJ112" s="2" t="str">
        <f t="shared" si="19"/>
        <v/>
      </c>
    </row>
    <row r="113" spans="1:62" ht="15" customHeight="1" x14ac:dyDescent="0.45">
      <c r="A113" s="2" t="s">
        <v>538</v>
      </c>
      <c r="B113" s="2" t="s">
        <v>539</v>
      </c>
      <c r="C113" s="2">
        <v>2019</v>
      </c>
      <c r="D113" s="2">
        <v>2.64</v>
      </c>
      <c r="E113" s="2">
        <v>2.7509999999999999</v>
      </c>
      <c r="F113" s="2" t="s">
        <v>146</v>
      </c>
      <c r="G113" s="2">
        <v>5.0999999999999997E-2</v>
      </c>
      <c r="H113" s="2" t="s">
        <v>146</v>
      </c>
      <c r="I113" s="2" t="s">
        <v>146</v>
      </c>
      <c r="J113" s="2" t="s">
        <v>146</v>
      </c>
      <c r="K113" s="2" t="s">
        <v>146</v>
      </c>
      <c r="L113" s="2" t="s">
        <v>146</v>
      </c>
      <c r="M113" s="2" t="s">
        <v>49</v>
      </c>
      <c r="N113" s="2" t="s">
        <v>146</v>
      </c>
      <c r="O113" s="2" t="s">
        <v>146</v>
      </c>
      <c r="P113" s="2">
        <v>2.7</v>
      </c>
      <c r="Q113" s="2" t="s">
        <v>146</v>
      </c>
      <c r="R113" s="2" t="s">
        <v>146</v>
      </c>
      <c r="S113" s="2" t="s">
        <v>146</v>
      </c>
      <c r="T113" s="2" t="s">
        <v>147</v>
      </c>
      <c r="U113" s="2" t="s">
        <v>146</v>
      </c>
      <c r="V113" s="2" t="s">
        <v>146</v>
      </c>
      <c r="W113" s="2" t="s">
        <v>146</v>
      </c>
      <c r="X113" s="2" t="s">
        <v>146</v>
      </c>
      <c r="Y113" s="2" t="s">
        <v>146</v>
      </c>
      <c r="Z113" s="2" t="s">
        <v>146</v>
      </c>
      <c r="AA113" s="2" t="s">
        <v>146</v>
      </c>
      <c r="AB113" s="2" t="s">
        <v>146</v>
      </c>
      <c r="AC113" s="2" t="s">
        <v>146</v>
      </c>
      <c r="AD113" s="2" t="s">
        <v>146</v>
      </c>
      <c r="AE113" s="2" t="s">
        <v>146</v>
      </c>
      <c r="AF113" s="2" t="s">
        <v>146</v>
      </c>
      <c r="AG113" s="2" t="s">
        <v>146</v>
      </c>
      <c r="AH113" s="2" t="s">
        <v>146</v>
      </c>
      <c r="AI113" s="2" t="s">
        <v>146</v>
      </c>
      <c r="AJ113" s="2" t="s">
        <v>146</v>
      </c>
      <c r="AK113" s="2" t="s">
        <v>146</v>
      </c>
      <c r="AL113" s="2" t="s">
        <v>146</v>
      </c>
      <c r="AM113" s="2" t="s">
        <v>146</v>
      </c>
      <c r="AN113" s="2" t="s">
        <v>49</v>
      </c>
      <c r="AO113" s="2" t="s">
        <v>146</v>
      </c>
      <c r="AP113" s="2" t="s">
        <v>146</v>
      </c>
      <c r="AQ113" s="2" t="s">
        <v>146</v>
      </c>
      <c r="AR113" s="2" t="s">
        <v>146</v>
      </c>
      <c r="AV113" s="2">
        <f t="shared" si="10"/>
        <v>2.7510000000000003</v>
      </c>
      <c r="AW113" s="2">
        <f t="shared" si="11"/>
        <v>2.64</v>
      </c>
      <c r="AX113" s="27">
        <f t="shared" si="12"/>
        <v>0.95965103598691381</v>
      </c>
      <c r="BA113" s="2">
        <f t="shared" si="13"/>
        <v>0</v>
      </c>
      <c r="BB113" s="2">
        <f t="shared" si="14"/>
        <v>0</v>
      </c>
      <c r="BC113" s="2">
        <f t="shared" si="15"/>
        <v>0</v>
      </c>
      <c r="BD113" s="2">
        <f t="shared" si="16"/>
        <v>0</v>
      </c>
      <c r="BE113" s="2">
        <f t="shared" si="17"/>
        <v>0</v>
      </c>
      <c r="BF113" s="2">
        <f t="shared" si="18"/>
        <v>0</v>
      </c>
      <c r="BJ113" s="2" t="str">
        <f t="shared" si="19"/>
        <v/>
      </c>
    </row>
    <row r="114" spans="1:62" ht="15" customHeight="1" x14ac:dyDescent="0.45">
      <c r="A114" s="2" t="s">
        <v>538</v>
      </c>
      <c r="B114" s="2" t="s">
        <v>537</v>
      </c>
      <c r="C114" s="2">
        <v>2019</v>
      </c>
      <c r="D114" s="2">
        <v>21.5</v>
      </c>
      <c r="E114" s="2">
        <v>22.5</v>
      </c>
      <c r="F114" s="2" t="s">
        <v>146</v>
      </c>
      <c r="G114" s="2">
        <v>1.5</v>
      </c>
      <c r="H114" s="2" t="s">
        <v>146</v>
      </c>
      <c r="I114" s="2" t="s">
        <v>146</v>
      </c>
      <c r="J114" s="2" t="s">
        <v>146</v>
      </c>
      <c r="K114" s="2" t="s">
        <v>146</v>
      </c>
      <c r="L114" s="2" t="s">
        <v>146</v>
      </c>
      <c r="M114" s="2" t="s">
        <v>49</v>
      </c>
      <c r="N114" s="2">
        <v>4.2</v>
      </c>
      <c r="O114" s="2">
        <v>4.2</v>
      </c>
      <c r="P114" s="2">
        <v>4.2</v>
      </c>
      <c r="Q114" s="2">
        <v>4.2</v>
      </c>
      <c r="R114" s="2" t="s">
        <v>146</v>
      </c>
      <c r="S114" s="2">
        <v>4.2</v>
      </c>
      <c r="T114" s="2" t="s">
        <v>147</v>
      </c>
      <c r="U114" s="2" t="s">
        <v>146</v>
      </c>
      <c r="V114" s="2" t="s">
        <v>146</v>
      </c>
      <c r="W114" s="2" t="s">
        <v>146</v>
      </c>
      <c r="X114" s="2" t="s">
        <v>146</v>
      </c>
      <c r="Y114" s="2" t="s">
        <v>146</v>
      </c>
      <c r="Z114" s="2" t="s">
        <v>146</v>
      </c>
      <c r="AA114" s="2" t="s">
        <v>146</v>
      </c>
      <c r="AB114" s="2" t="s">
        <v>146</v>
      </c>
      <c r="AC114" s="2" t="s">
        <v>146</v>
      </c>
      <c r="AD114" s="2" t="s">
        <v>146</v>
      </c>
      <c r="AE114" s="2" t="s">
        <v>146</v>
      </c>
      <c r="AF114" s="2" t="s">
        <v>146</v>
      </c>
      <c r="AG114" s="2" t="s">
        <v>146</v>
      </c>
      <c r="AH114" s="2" t="s">
        <v>146</v>
      </c>
      <c r="AI114" s="2" t="s">
        <v>146</v>
      </c>
      <c r="AJ114" s="2" t="s">
        <v>146</v>
      </c>
      <c r="AK114" s="2" t="s">
        <v>146</v>
      </c>
      <c r="AL114" s="2" t="s">
        <v>146</v>
      </c>
      <c r="AM114" s="2" t="s">
        <v>146</v>
      </c>
      <c r="AN114" s="2" t="s">
        <v>49</v>
      </c>
      <c r="AO114" s="2">
        <v>100</v>
      </c>
      <c r="AP114" s="2" t="s">
        <v>146</v>
      </c>
      <c r="AQ114" s="2" t="s">
        <v>146</v>
      </c>
      <c r="AR114" s="2" t="s">
        <v>146</v>
      </c>
      <c r="AV114" s="2">
        <f t="shared" si="10"/>
        <v>22.5</v>
      </c>
      <c r="AW114" s="2">
        <f t="shared" si="11"/>
        <v>21.5</v>
      </c>
      <c r="AX114" s="27">
        <f t="shared" si="12"/>
        <v>0.9555555555555556</v>
      </c>
      <c r="BA114" s="2">
        <f t="shared" si="13"/>
        <v>0</v>
      </c>
      <c r="BB114" s="2">
        <f t="shared" si="14"/>
        <v>0</v>
      </c>
      <c r="BC114" s="2">
        <f t="shared" si="15"/>
        <v>0</v>
      </c>
      <c r="BD114" s="2">
        <f t="shared" si="16"/>
        <v>0</v>
      </c>
      <c r="BE114" s="2">
        <f t="shared" si="17"/>
        <v>0</v>
      </c>
      <c r="BF114" s="2">
        <f t="shared" si="18"/>
        <v>0</v>
      </c>
      <c r="BJ114" s="2" t="str">
        <f t="shared" si="19"/>
        <v>ja</v>
      </c>
    </row>
    <row r="115" spans="1:62" ht="15" customHeight="1" x14ac:dyDescent="0.45">
      <c r="A115" s="2" t="s">
        <v>536</v>
      </c>
      <c r="B115" s="2" t="s">
        <v>74</v>
      </c>
      <c r="C115" s="2">
        <v>2019</v>
      </c>
      <c r="D115" s="2" t="s">
        <v>49</v>
      </c>
      <c r="E115" s="2" t="s">
        <v>49</v>
      </c>
      <c r="F115" s="2" t="s">
        <v>49</v>
      </c>
      <c r="G115" s="2" t="s">
        <v>49</v>
      </c>
      <c r="H115" s="2" t="s">
        <v>49</v>
      </c>
      <c r="I115" s="2" t="s">
        <v>49</v>
      </c>
      <c r="J115" s="2" t="s">
        <v>49</v>
      </c>
      <c r="K115" s="2" t="s">
        <v>49</v>
      </c>
      <c r="L115" s="2" t="s">
        <v>49</v>
      </c>
      <c r="M115" s="2" t="s">
        <v>49</v>
      </c>
      <c r="N115" s="2" t="s">
        <v>49</v>
      </c>
      <c r="O115" s="2" t="s">
        <v>49</v>
      </c>
      <c r="P115" s="2" t="s">
        <v>49</v>
      </c>
      <c r="Q115" s="2" t="s">
        <v>49</v>
      </c>
      <c r="R115" s="2" t="s">
        <v>49</v>
      </c>
      <c r="S115" s="2" t="s">
        <v>49</v>
      </c>
      <c r="T115" s="2" t="s">
        <v>49</v>
      </c>
      <c r="U115" s="2" t="s">
        <v>49</v>
      </c>
      <c r="V115" s="2" t="s">
        <v>49</v>
      </c>
      <c r="W115" s="2" t="s">
        <v>49</v>
      </c>
      <c r="X115" s="2" t="s">
        <v>49</v>
      </c>
      <c r="Y115" s="2" t="s">
        <v>49</v>
      </c>
      <c r="Z115" s="2" t="s">
        <v>49</v>
      </c>
      <c r="AA115" s="2" t="s">
        <v>49</v>
      </c>
      <c r="AB115" s="2" t="s">
        <v>49</v>
      </c>
      <c r="AC115" s="2" t="s">
        <v>49</v>
      </c>
      <c r="AD115" s="2" t="s">
        <v>49</v>
      </c>
      <c r="AE115" s="2" t="s">
        <v>49</v>
      </c>
      <c r="AF115" s="2" t="s">
        <v>49</v>
      </c>
      <c r="AG115" s="2" t="s">
        <v>49</v>
      </c>
      <c r="AH115" s="2" t="s">
        <v>49</v>
      </c>
      <c r="AI115" s="2" t="s">
        <v>49</v>
      </c>
      <c r="AJ115" s="2" t="s">
        <v>49</v>
      </c>
      <c r="AK115" s="2" t="s">
        <v>49</v>
      </c>
      <c r="AL115" s="2" t="s">
        <v>49</v>
      </c>
      <c r="AM115" s="2" t="s">
        <v>49</v>
      </c>
      <c r="AN115" s="2" t="s">
        <v>49</v>
      </c>
      <c r="AO115" s="2" t="s">
        <v>49</v>
      </c>
      <c r="AP115" s="2" t="s">
        <v>49</v>
      </c>
      <c r="AQ115" s="2" t="s">
        <v>49</v>
      </c>
      <c r="AR115" s="2" t="s">
        <v>49</v>
      </c>
      <c r="AV115" s="2">
        <f t="shared" si="10"/>
        <v>0</v>
      </c>
      <c r="AW115" s="2">
        <f t="shared" si="11"/>
        <v>0</v>
      </c>
      <c r="AX115" s="27" t="str">
        <f t="shared" si="12"/>
        <v/>
      </c>
      <c r="BA115" s="2">
        <f t="shared" si="13"/>
        <v>0</v>
      </c>
      <c r="BB115" s="2">
        <f t="shared" si="14"/>
        <v>0</v>
      </c>
      <c r="BC115" s="2">
        <f t="shared" si="15"/>
        <v>0</v>
      </c>
      <c r="BD115" s="2">
        <f t="shared" si="16"/>
        <v>0</v>
      </c>
      <c r="BE115" s="2">
        <f t="shared" si="17"/>
        <v>0</v>
      </c>
      <c r="BF115" s="2">
        <f t="shared" si="18"/>
        <v>0</v>
      </c>
      <c r="BJ115" s="2" t="str">
        <f t="shared" si="19"/>
        <v/>
      </c>
    </row>
    <row r="116" spans="1:62" ht="15" customHeight="1" x14ac:dyDescent="0.45">
      <c r="A116" s="2" t="s">
        <v>535</v>
      </c>
      <c r="B116" s="2" t="s">
        <v>534</v>
      </c>
      <c r="C116" s="2">
        <v>2019</v>
      </c>
      <c r="D116" s="2">
        <v>40.799999999999997</v>
      </c>
      <c r="E116" s="2">
        <v>47.9</v>
      </c>
      <c r="F116" s="2" t="s">
        <v>146</v>
      </c>
      <c r="G116" s="2">
        <v>0.4</v>
      </c>
      <c r="H116" s="2" t="s">
        <v>146</v>
      </c>
      <c r="I116" s="2" t="s">
        <v>146</v>
      </c>
      <c r="J116" s="2" t="s">
        <v>146</v>
      </c>
      <c r="K116" s="2" t="s">
        <v>146</v>
      </c>
      <c r="L116" s="2" t="s">
        <v>146</v>
      </c>
      <c r="M116" s="2" t="s">
        <v>49</v>
      </c>
      <c r="N116" s="2">
        <v>39</v>
      </c>
      <c r="O116" s="2" t="s">
        <v>146</v>
      </c>
      <c r="P116" s="2">
        <v>2.6</v>
      </c>
      <c r="Q116" s="2" t="s">
        <v>146</v>
      </c>
      <c r="R116" s="2" t="s">
        <v>146</v>
      </c>
      <c r="S116" s="2" t="s">
        <v>146</v>
      </c>
      <c r="T116" s="2" t="s">
        <v>147</v>
      </c>
      <c r="U116" s="2" t="s">
        <v>146</v>
      </c>
      <c r="V116" s="2" t="s">
        <v>146</v>
      </c>
      <c r="W116" s="2" t="s">
        <v>146</v>
      </c>
      <c r="X116" s="2" t="s">
        <v>146</v>
      </c>
      <c r="Y116" s="2" t="s">
        <v>146</v>
      </c>
      <c r="Z116" s="2" t="s">
        <v>146</v>
      </c>
      <c r="AA116" s="2" t="s">
        <v>146</v>
      </c>
      <c r="AB116" s="2" t="s">
        <v>146</v>
      </c>
      <c r="AC116" s="2" t="s">
        <v>146</v>
      </c>
      <c r="AD116" s="2" t="s">
        <v>146</v>
      </c>
      <c r="AE116" s="2" t="s">
        <v>146</v>
      </c>
      <c r="AF116" s="2" t="s">
        <v>146</v>
      </c>
      <c r="AG116" s="2" t="s">
        <v>146</v>
      </c>
      <c r="AH116" s="2">
        <v>5.9</v>
      </c>
      <c r="AI116" s="2" t="s">
        <v>146</v>
      </c>
      <c r="AJ116" s="2" t="s">
        <v>146</v>
      </c>
      <c r="AK116" s="2" t="s">
        <v>146</v>
      </c>
      <c r="AL116" s="2" t="s">
        <v>146</v>
      </c>
      <c r="AM116" s="2" t="s">
        <v>146</v>
      </c>
      <c r="AN116" s="2" t="s">
        <v>49</v>
      </c>
      <c r="AO116" s="2">
        <v>100</v>
      </c>
      <c r="AP116" s="2">
        <v>0</v>
      </c>
      <c r="AQ116" s="2">
        <v>0</v>
      </c>
      <c r="AR116" s="2">
        <v>0</v>
      </c>
      <c r="AV116" s="2">
        <f t="shared" si="10"/>
        <v>47.9</v>
      </c>
      <c r="AW116" s="2">
        <f t="shared" si="11"/>
        <v>40.799999999999997</v>
      </c>
      <c r="AX116" s="27">
        <f t="shared" si="12"/>
        <v>0.85177453027139871</v>
      </c>
      <c r="BA116" s="2">
        <f t="shared" si="13"/>
        <v>5.9</v>
      </c>
      <c r="BB116" s="2">
        <f t="shared" si="14"/>
        <v>5.9</v>
      </c>
      <c r="BC116" s="2">
        <f t="shared" si="15"/>
        <v>0</v>
      </c>
      <c r="BD116" s="2">
        <f t="shared" si="16"/>
        <v>0</v>
      </c>
      <c r="BE116" s="2">
        <f t="shared" si="17"/>
        <v>0</v>
      </c>
      <c r="BF116" s="2">
        <f t="shared" si="18"/>
        <v>0</v>
      </c>
      <c r="BJ116" s="2" t="str">
        <f t="shared" si="19"/>
        <v/>
      </c>
    </row>
    <row r="117" spans="1:62" ht="15" customHeight="1" x14ac:dyDescent="0.45">
      <c r="A117" s="2" t="s">
        <v>533</v>
      </c>
      <c r="B117" s="2" t="s">
        <v>532</v>
      </c>
      <c r="C117" s="2">
        <v>2019</v>
      </c>
      <c r="D117" s="2">
        <v>37.799999999999997</v>
      </c>
      <c r="E117" s="2">
        <v>42.3</v>
      </c>
      <c r="F117" s="2" t="s">
        <v>146</v>
      </c>
      <c r="G117" s="2">
        <v>0</v>
      </c>
      <c r="H117" s="2">
        <v>1.9</v>
      </c>
      <c r="I117" s="2">
        <v>0</v>
      </c>
      <c r="J117" s="2" t="s">
        <v>146</v>
      </c>
      <c r="K117" s="2" t="s">
        <v>146</v>
      </c>
      <c r="L117" s="2" t="s">
        <v>146</v>
      </c>
      <c r="M117" s="2" t="s">
        <v>49</v>
      </c>
      <c r="N117" s="2">
        <v>2.7</v>
      </c>
      <c r="O117" s="2">
        <v>6.4</v>
      </c>
      <c r="P117" s="2">
        <v>7.1</v>
      </c>
      <c r="Q117" s="2">
        <v>0.7</v>
      </c>
      <c r="R117" s="2" t="s">
        <v>146</v>
      </c>
      <c r="S117" s="2">
        <v>0</v>
      </c>
      <c r="T117" s="2" t="s">
        <v>147</v>
      </c>
      <c r="U117" s="2">
        <v>4.3</v>
      </c>
      <c r="V117" s="2" t="s">
        <v>146</v>
      </c>
      <c r="W117" s="2" t="s">
        <v>146</v>
      </c>
      <c r="X117" s="2" t="s">
        <v>146</v>
      </c>
      <c r="Y117" s="2" t="s">
        <v>146</v>
      </c>
      <c r="Z117" s="2" t="s">
        <v>146</v>
      </c>
      <c r="AA117" s="2">
        <v>0</v>
      </c>
      <c r="AB117" s="2">
        <v>3.5</v>
      </c>
      <c r="AC117" s="2" t="s">
        <v>146</v>
      </c>
      <c r="AD117" s="2" t="s">
        <v>146</v>
      </c>
      <c r="AE117" s="2" t="s">
        <v>146</v>
      </c>
      <c r="AF117" s="2" t="s">
        <v>146</v>
      </c>
      <c r="AG117" s="2">
        <v>3.8</v>
      </c>
      <c r="AH117" s="2">
        <v>2.6</v>
      </c>
      <c r="AI117" s="2" t="s">
        <v>146</v>
      </c>
      <c r="AJ117" s="2" t="s">
        <v>146</v>
      </c>
      <c r="AK117" s="2" t="s">
        <v>146</v>
      </c>
      <c r="AL117" s="2">
        <v>9.3000000000000007</v>
      </c>
      <c r="AM117" s="2">
        <v>9.8000000000000007</v>
      </c>
      <c r="AN117" s="2" t="s">
        <v>49</v>
      </c>
      <c r="AO117" s="2">
        <v>86</v>
      </c>
      <c r="AP117" s="2" t="s">
        <v>146</v>
      </c>
      <c r="AQ117" s="2">
        <v>5</v>
      </c>
      <c r="AR117" s="2">
        <v>9</v>
      </c>
      <c r="AV117" s="2">
        <f t="shared" si="10"/>
        <v>42.3</v>
      </c>
      <c r="AW117" s="2">
        <f t="shared" si="11"/>
        <v>37.799999999999997</v>
      </c>
      <c r="AX117" s="27">
        <f t="shared" si="12"/>
        <v>0.8936170212765957</v>
      </c>
      <c r="BA117" s="2">
        <f t="shared" si="13"/>
        <v>2.6</v>
      </c>
      <c r="BB117" s="2">
        <f t="shared" si="14"/>
        <v>2.2360000000000002</v>
      </c>
      <c r="BC117" s="2">
        <f t="shared" si="15"/>
        <v>0</v>
      </c>
      <c r="BD117" s="2">
        <f t="shared" si="16"/>
        <v>0.13</v>
      </c>
      <c r="BE117" s="2">
        <f t="shared" si="17"/>
        <v>0.23399999999999999</v>
      </c>
      <c r="BF117" s="2">
        <f t="shared" si="18"/>
        <v>0</v>
      </c>
      <c r="BJ117" s="2" t="str">
        <f t="shared" si="19"/>
        <v/>
      </c>
    </row>
    <row r="118" spans="1:62" ht="15" customHeight="1" x14ac:dyDescent="0.45">
      <c r="A118" s="2" t="s">
        <v>530</v>
      </c>
      <c r="B118" s="2" t="s">
        <v>531</v>
      </c>
      <c r="C118" s="2">
        <v>2019</v>
      </c>
      <c r="D118" s="2">
        <v>87.6</v>
      </c>
      <c r="E118" s="2">
        <v>100.5</v>
      </c>
      <c r="F118" s="2" t="s">
        <v>146</v>
      </c>
      <c r="G118" s="2">
        <v>0</v>
      </c>
      <c r="H118" s="2" t="s">
        <v>146</v>
      </c>
      <c r="I118" s="2" t="s">
        <v>146</v>
      </c>
      <c r="J118" s="2" t="s">
        <v>146</v>
      </c>
      <c r="K118" s="2" t="s">
        <v>146</v>
      </c>
      <c r="L118" s="2" t="s">
        <v>146</v>
      </c>
      <c r="M118" s="2" t="s">
        <v>146</v>
      </c>
      <c r="N118" s="2" t="s">
        <v>146</v>
      </c>
      <c r="O118" s="2" t="s">
        <v>146</v>
      </c>
      <c r="P118" s="2">
        <v>86</v>
      </c>
      <c r="Q118" s="2" t="s">
        <v>146</v>
      </c>
      <c r="R118" s="2" t="s">
        <v>146</v>
      </c>
      <c r="S118" s="2" t="s">
        <v>146</v>
      </c>
      <c r="T118" s="2" t="s">
        <v>147</v>
      </c>
      <c r="U118" s="2" t="s">
        <v>146</v>
      </c>
      <c r="V118" s="2" t="s">
        <v>146</v>
      </c>
      <c r="W118" s="2" t="s">
        <v>146</v>
      </c>
      <c r="X118" s="2" t="s">
        <v>146</v>
      </c>
      <c r="Y118" s="2" t="s">
        <v>146</v>
      </c>
      <c r="Z118" s="2" t="s">
        <v>146</v>
      </c>
      <c r="AA118" s="2" t="s">
        <v>146</v>
      </c>
      <c r="AB118" s="2" t="s">
        <v>146</v>
      </c>
      <c r="AC118" s="2" t="s">
        <v>146</v>
      </c>
      <c r="AD118" s="2" t="s">
        <v>146</v>
      </c>
      <c r="AE118" s="2" t="s">
        <v>146</v>
      </c>
      <c r="AF118" s="2" t="s">
        <v>146</v>
      </c>
      <c r="AG118" s="2" t="s">
        <v>146</v>
      </c>
      <c r="AH118" s="2">
        <v>14.5</v>
      </c>
      <c r="AI118" s="2" t="s">
        <v>146</v>
      </c>
      <c r="AJ118" s="2" t="s">
        <v>146</v>
      </c>
      <c r="AK118" s="2" t="s">
        <v>146</v>
      </c>
      <c r="AL118" s="2" t="s">
        <v>146</v>
      </c>
      <c r="AM118" s="2" t="s">
        <v>146</v>
      </c>
      <c r="AN118" s="2" t="s">
        <v>146</v>
      </c>
      <c r="AO118" s="2">
        <v>100</v>
      </c>
      <c r="AP118" s="2" t="s">
        <v>146</v>
      </c>
      <c r="AQ118" s="2" t="s">
        <v>146</v>
      </c>
      <c r="AR118" s="2" t="s">
        <v>146</v>
      </c>
      <c r="AV118" s="2">
        <f t="shared" si="10"/>
        <v>100.5</v>
      </c>
      <c r="AW118" s="2">
        <f t="shared" si="11"/>
        <v>87.6</v>
      </c>
      <c r="AX118" s="27">
        <f t="shared" si="12"/>
        <v>0.87164179104477602</v>
      </c>
      <c r="BA118" s="2">
        <f t="shared" si="13"/>
        <v>14.5</v>
      </c>
      <c r="BB118" s="2">
        <f t="shared" si="14"/>
        <v>14.5</v>
      </c>
      <c r="BC118" s="2">
        <f t="shared" si="15"/>
        <v>0</v>
      </c>
      <c r="BD118" s="2">
        <f t="shared" si="16"/>
        <v>0</v>
      </c>
      <c r="BE118" s="2">
        <f t="shared" si="17"/>
        <v>0</v>
      </c>
      <c r="BF118" s="2">
        <f t="shared" si="18"/>
        <v>0</v>
      </c>
      <c r="BJ118" s="2" t="str">
        <f t="shared" si="19"/>
        <v/>
      </c>
    </row>
    <row r="119" spans="1:62" ht="15" customHeight="1" x14ac:dyDescent="0.45">
      <c r="A119" s="2" t="s">
        <v>530</v>
      </c>
      <c r="B119" s="2" t="s">
        <v>529</v>
      </c>
      <c r="C119" s="2">
        <v>2019</v>
      </c>
      <c r="D119" s="2">
        <v>19.899999999999999</v>
      </c>
      <c r="E119" s="2">
        <v>24.02</v>
      </c>
      <c r="F119" s="2" t="s">
        <v>146</v>
      </c>
      <c r="G119" s="2">
        <v>0</v>
      </c>
      <c r="H119" s="2" t="s">
        <v>146</v>
      </c>
      <c r="I119" s="2" t="s">
        <v>146</v>
      </c>
      <c r="J119" s="2" t="s">
        <v>146</v>
      </c>
      <c r="K119" s="2" t="s">
        <v>146</v>
      </c>
      <c r="L119" s="2" t="s">
        <v>146</v>
      </c>
      <c r="M119" s="2" t="s">
        <v>49</v>
      </c>
      <c r="N119" s="2" t="s">
        <v>146</v>
      </c>
      <c r="O119" s="2" t="s">
        <v>146</v>
      </c>
      <c r="P119" s="2">
        <v>23.7</v>
      </c>
      <c r="Q119" s="2" t="s">
        <v>146</v>
      </c>
      <c r="R119" s="2" t="s">
        <v>146</v>
      </c>
      <c r="S119" s="2" t="s">
        <v>146</v>
      </c>
      <c r="T119" s="2" t="s">
        <v>146</v>
      </c>
      <c r="U119" s="2" t="s">
        <v>146</v>
      </c>
      <c r="V119" s="2" t="s">
        <v>146</v>
      </c>
      <c r="W119" s="2" t="s">
        <v>146</v>
      </c>
      <c r="X119" s="2" t="s">
        <v>146</v>
      </c>
      <c r="Y119" s="2" t="s">
        <v>146</v>
      </c>
      <c r="Z119" s="2">
        <v>0.32</v>
      </c>
      <c r="AA119" s="2" t="s">
        <v>146</v>
      </c>
      <c r="AB119" s="2" t="s">
        <v>146</v>
      </c>
      <c r="AC119" s="2" t="s">
        <v>146</v>
      </c>
      <c r="AD119" s="2" t="s">
        <v>146</v>
      </c>
      <c r="AE119" s="2" t="s">
        <v>146</v>
      </c>
      <c r="AF119" s="2" t="s">
        <v>146</v>
      </c>
      <c r="AG119" s="2" t="s">
        <v>146</v>
      </c>
      <c r="AH119" s="2" t="s">
        <v>146</v>
      </c>
      <c r="AI119" s="2" t="s">
        <v>146</v>
      </c>
      <c r="AJ119" s="2" t="s">
        <v>146</v>
      </c>
      <c r="AK119" s="2" t="s">
        <v>146</v>
      </c>
      <c r="AL119" s="2" t="s">
        <v>146</v>
      </c>
      <c r="AM119" s="2" t="s">
        <v>146</v>
      </c>
      <c r="AN119" s="2" t="s">
        <v>49</v>
      </c>
      <c r="AO119" s="2" t="s">
        <v>146</v>
      </c>
      <c r="AP119" s="2" t="s">
        <v>146</v>
      </c>
      <c r="AQ119" s="2" t="s">
        <v>146</v>
      </c>
      <c r="AR119" s="2" t="s">
        <v>146</v>
      </c>
      <c r="AV119" s="2">
        <f t="shared" si="10"/>
        <v>24.02</v>
      </c>
      <c r="AW119" s="2">
        <f t="shared" si="11"/>
        <v>19.899999999999999</v>
      </c>
      <c r="AX119" s="27">
        <f t="shared" si="12"/>
        <v>0.82847626977518729</v>
      </c>
      <c r="BA119" s="2">
        <f t="shared" si="13"/>
        <v>0</v>
      </c>
      <c r="BB119" s="2">
        <f t="shared" si="14"/>
        <v>0</v>
      </c>
      <c r="BC119" s="2">
        <f t="shared" si="15"/>
        <v>0</v>
      </c>
      <c r="BD119" s="2">
        <f t="shared" si="16"/>
        <v>0</v>
      </c>
      <c r="BE119" s="2">
        <f t="shared" si="17"/>
        <v>0</v>
      </c>
      <c r="BF119" s="2">
        <f t="shared" si="18"/>
        <v>0</v>
      </c>
      <c r="BJ119" s="2" t="str">
        <f t="shared" si="19"/>
        <v/>
      </c>
    </row>
    <row r="120" spans="1:62" ht="15" customHeight="1" x14ac:dyDescent="0.45">
      <c r="A120" s="2" t="s">
        <v>528</v>
      </c>
      <c r="B120" s="2" t="s">
        <v>527</v>
      </c>
      <c r="C120" s="2">
        <v>2019</v>
      </c>
      <c r="D120" s="2">
        <v>9.7050000000000001</v>
      </c>
      <c r="E120" s="2">
        <v>10.549143000000001</v>
      </c>
      <c r="F120" s="2" t="s">
        <v>146</v>
      </c>
      <c r="G120" s="2" t="s">
        <v>146</v>
      </c>
      <c r="H120" s="2" t="s">
        <v>146</v>
      </c>
      <c r="I120" s="2" t="s">
        <v>146</v>
      </c>
      <c r="J120" s="2">
        <v>1.4300000000000001E-4</v>
      </c>
      <c r="K120" s="2" t="s">
        <v>146</v>
      </c>
      <c r="L120" s="2" t="s">
        <v>146</v>
      </c>
      <c r="M120" s="2" t="s">
        <v>176</v>
      </c>
      <c r="N120" s="2" t="s">
        <v>146</v>
      </c>
      <c r="O120" s="2" t="s">
        <v>146</v>
      </c>
      <c r="P120" s="2" t="s">
        <v>146</v>
      </c>
      <c r="Q120" s="2" t="s">
        <v>146</v>
      </c>
      <c r="R120" s="2" t="s">
        <v>146</v>
      </c>
      <c r="S120" s="2" t="s">
        <v>146</v>
      </c>
      <c r="T120" s="2" t="s">
        <v>146</v>
      </c>
      <c r="U120" s="2" t="s">
        <v>146</v>
      </c>
      <c r="V120" s="2" t="s">
        <v>146</v>
      </c>
      <c r="W120" s="2" t="s">
        <v>146</v>
      </c>
      <c r="X120" s="2" t="s">
        <v>146</v>
      </c>
      <c r="Y120" s="2" t="s">
        <v>146</v>
      </c>
      <c r="Z120" s="2">
        <v>10.548999999999999</v>
      </c>
      <c r="AA120" s="2" t="s">
        <v>146</v>
      </c>
      <c r="AB120" s="2" t="s">
        <v>146</v>
      </c>
      <c r="AC120" s="2" t="s">
        <v>146</v>
      </c>
      <c r="AD120" s="2" t="s">
        <v>146</v>
      </c>
      <c r="AE120" s="2" t="s">
        <v>146</v>
      </c>
      <c r="AF120" s="2" t="s">
        <v>146</v>
      </c>
      <c r="AG120" s="2" t="s">
        <v>146</v>
      </c>
      <c r="AH120" s="2" t="s">
        <v>146</v>
      </c>
      <c r="AI120" s="2" t="s">
        <v>146</v>
      </c>
      <c r="AJ120" s="2" t="s">
        <v>146</v>
      </c>
      <c r="AK120" s="2" t="s">
        <v>146</v>
      </c>
      <c r="AL120" s="2" t="s">
        <v>146</v>
      </c>
      <c r="AM120" s="2" t="s">
        <v>146</v>
      </c>
      <c r="AN120" s="2" t="s">
        <v>176</v>
      </c>
      <c r="AO120" s="2" t="s">
        <v>146</v>
      </c>
      <c r="AP120" s="2" t="s">
        <v>146</v>
      </c>
      <c r="AQ120" s="2" t="s">
        <v>146</v>
      </c>
      <c r="AR120" s="2" t="s">
        <v>146</v>
      </c>
      <c r="AV120" s="2">
        <f t="shared" si="10"/>
        <v>10.549142999999999</v>
      </c>
      <c r="AW120" s="2">
        <f t="shared" si="11"/>
        <v>9.7050000000000001</v>
      </c>
      <c r="AX120" s="27">
        <f t="shared" si="12"/>
        <v>0.91997994529034266</v>
      </c>
      <c r="BA120" s="2">
        <f t="shared" si="13"/>
        <v>0</v>
      </c>
      <c r="BB120" s="2">
        <f t="shared" si="14"/>
        <v>0</v>
      </c>
      <c r="BC120" s="2">
        <f t="shared" si="15"/>
        <v>0</v>
      </c>
      <c r="BD120" s="2">
        <f t="shared" si="16"/>
        <v>0</v>
      </c>
      <c r="BE120" s="2">
        <f t="shared" si="17"/>
        <v>0</v>
      </c>
      <c r="BF120" s="2">
        <f t="shared" si="18"/>
        <v>0</v>
      </c>
      <c r="BJ120" s="2" t="str">
        <f t="shared" si="19"/>
        <v/>
      </c>
    </row>
    <row r="121" spans="1:62" ht="15" customHeight="1" x14ac:dyDescent="0.45">
      <c r="A121" s="2" t="s">
        <v>526</v>
      </c>
      <c r="B121" s="2" t="s">
        <v>525</v>
      </c>
      <c r="C121" s="2">
        <v>2019</v>
      </c>
      <c r="D121" s="2">
        <v>41.839989000000003</v>
      </c>
      <c r="E121" s="2">
        <v>47.29148</v>
      </c>
      <c r="F121" s="2" t="s">
        <v>146</v>
      </c>
      <c r="G121" s="2">
        <v>0.57999999999999996</v>
      </c>
      <c r="H121" s="2" t="s">
        <v>146</v>
      </c>
      <c r="I121" s="2" t="s">
        <v>146</v>
      </c>
      <c r="J121" s="2" t="s">
        <v>146</v>
      </c>
      <c r="K121" s="2" t="s">
        <v>146</v>
      </c>
      <c r="L121" s="2" t="s">
        <v>146</v>
      </c>
      <c r="M121" s="2" t="s">
        <v>49</v>
      </c>
      <c r="N121" s="2" t="s">
        <v>146</v>
      </c>
      <c r="O121" s="2">
        <v>0.8</v>
      </c>
      <c r="P121" s="2">
        <v>38.58</v>
      </c>
      <c r="Q121" s="2">
        <v>0</v>
      </c>
      <c r="R121" s="2" t="s">
        <v>146</v>
      </c>
      <c r="S121" s="2" t="s">
        <v>146</v>
      </c>
      <c r="T121" s="2" t="s">
        <v>147</v>
      </c>
      <c r="U121" s="2">
        <v>5.6660000000000004</v>
      </c>
      <c r="V121" s="2" t="s">
        <v>146</v>
      </c>
      <c r="W121" s="2" t="s">
        <v>146</v>
      </c>
      <c r="X121" s="2" t="s">
        <v>146</v>
      </c>
      <c r="Y121" s="2" t="s">
        <v>146</v>
      </c>
      <c r="Z121" s="2" t="s">
        <v>146</v>
      </c>
      <c r="AA121" s="2">
        <v>1.6654800000000001</v>
      </c>
      <c r="AB121" s="2" t="s">
        <v>146</v>
      </c>
      <c r="AC121" s="2" t="s">
        <v>146</v>
      </c>
      <c r="AD121" s="2" t="s">
        <v>146</v>
      </c>
      <c r="AE121" s="2" t="s">
        <v>146</v>
      </c>
      <c r="AF121" s="2" t="s">
        <v>146</v>
      </c>
      <c r="AG121" s="2" t="s">
        <v>146</v>
      </c>
      <c r="AH121" s="2" t="s">
        <v>146</v>
      </c>
      <c r="AI121" s="2" t="s">
        <v>146</v>
      </c>
      <c r="AJ121" s="2" t="s">
        <v>146</v>
      </c>
      <c r="AK121" s="2" t="s">
        <v>146</v>
      </c>
      <c r="AL121" s="2" t="s">
        <v>146</v>
      </c>
      <c r="AM121" s="2" t="s">
        <v>146</v>
      </c>
      <c r="AN121" s="2" t="s">
        <v>49</v>
      </c>
      <c r="AO121" s="2">
        <v>100</v>
      </c>
      <c r="AP121" s="2" t="s">
        <v>146</v>
      </c>
      <c r="AQ121" s="2" t="s">
        <v>146</v>
      </c>
      <c r="AR121" s="2" t="s">
        <v>146</v>
      </c>
      <c r="AV121" s="2">
        <f t="shared" si="10"/>
        <v>47.291480000000007</v>
      </c>
      <c r="AW121" s="2">
        <f t="shared" si="11"/>
        <v>41.839989000000003</v>
      </c>
      <c r="AX121" s="27">
        <f t="shared" si="12"/>
        <v>0.88472572649449743</v>
      </c>
      <c r="BA121" s="2">
        <f t="shared" si="13"/>
        <v>0</v>
      </c>
      <c r="BB121" s="2">
        <f t="shared" si="14"/>
        <v>0</v>
      </c>
      <c r="BC121" s="2">
        <f t="shared" si="15"/>
        <v>0</v>
      </c>
      <c r="BD121" s="2">
        <f t="shared" si="16"/>
        <v>0</v>
      </c>
      <c r="BE121" s="2">
        <f t="shared" si="17"/>
        <v>0</v>
      </c>
      <c r="BF121" s="2">
        <f t="shared" si="18"/>
        <v>0</v>
      </c>
      <c r="BJ121" s="2" t="str">
        <f t="shared" si="19"/>
        <v>ja</v>
      </c>
    </row>
    <row r="122" spans="1:62" ht="15" customHeight="1" x14ac:dyDescent="0.45">
      <c r="A122" s="2" t="s">
        <v>520</v>
      </c>
      <c r="B122" s="2" t="s">
        <v>524</v>
      </c>
      <c r="C122" s="2">
        <v>2019</v>
      </c>
      <c r="D122" s="2" t="s">
        <v>146</v>
      </c>
      <c r="E122" s="2" t="s">
        <v>146</v>
      </c>
      <c r="F122" s="2" t="s">
        <v>146</v>
      </c>
      <c r="G122" s="2" t="s">
        <v>146</v>
      </c>
      <c r="H122" s="2" t="s">
        <v>146</v>
      </c>
      <c r="I122" s="2" t="s">
        <v>146</v>
      </c>
      <c r="J122" s="2" t="s">
        <v>146</v>
      </c>
      <c r="K122" s="2" t="s">
        <v>146</v>
      </c>
      <c r="L122" s="2" t="s">
        <v>146</v>
      </c>
      <c r="M122" s="2" t="s">
        <v>49</v>
      </c>
      <c r="N122" s="2" t="s">
        <v>146</v>
      </c>
      <c r="O122" s="2" t="s">
        <v>146</v>
      </c>
      <c r="P122" s="2" t="s">
        <v>146</v>
      </c>
      <c r="Q122" s="2" t="s">
        <v>146</v>
      </c>
      <c r="R122" s="2" t="s">
        <v>146</v>
      </c>
      <c r="S122" s="2" t="s">
        <v>146</v>
      </c>
      <c r="T122" s="2" t="s">
        <v>146</v>
      </c>
      <c r="U122" s="2" t="s">
        <v>146</v>
      </c>
      <c r="V122" s="2" t="s">
        <v>146</v>
      </c>
      <c r="W122" s="2" t="s">
        <v>146</v>
      </c>
      <c r="X122" s="2" t="s">
        <v>146</v>
      </c>
      <c r="Y122" s="2" t="s">
        <v>146</v>
      </c>
      <c r="Z122" s="2" t="s">
        <v>146</v>
      </c>
      <c r="AA122" s="2" t="s">
        <v>146</v>
      </c>
      <c r="AB122" s="2" t="s">
        <v>146</v>
      </c>
      <c r="AC122" s="2" t="s">
        <v>146</v>
      </c>
      <c r="AD122" s="2" t="s">
        <v>146</v>
      </c>
      <c r="AE122" s="2" t="s">
        <v>146</v>
      </c>
      <c r="AF122" s="2" t="s">
        <v>146</v>
      </c>
      <c r="AG122" s="2" t="s">
        <v>146</v>
      </c>
      <c r="AH122" s="2" t="s">
        <v>146</v>
      </c>
      <c r="AI122" s="2" t="s">
        <v>146</v>
      </c>
      <c r="AJ122" s="2" t="s">
        <v>146</v>
      </c>
      <c r="AK122" s="2" t="s">
        <v>146</v>
      </c>
      <c r="AL122" s="2" t="s">
        <v>146</v>
      </c>
      <c r="AM122" s="2" t="s">
        <v>146</v>
      </c>
      <c r="AN122" s="2" t="s">
        <v>49</v>
      </c>
      <c r="AO122" s="2" t="s">
        <v>146</v>
      </c>
      <c r="AP122" s="2" t="s">
        <v>146</v>
      </c>
      <c r="AQ122" s="2" t="s">
        <v>146</v>
      </c>
      <c r="AR122" s="2" t="s">
        <v>146</v>
      </c>
      <c r="AV122" s="2">
        <f t="shared" si="10"/>
        <v>0</v>
      </c>
      <c r="AW122" s="2">
        <f t="shared" si="11"/>
        <v>0</v>
      </c>
      <c r="AX122" s="27" t="str">
        <f t="shared" si="12"/>
        <v/>
      </c>
      <c r="BA122" s="2">
        <f t="shared" si="13"/>
        <v>0</v>
      </c>
      <c r="BB122" s="2">
        <f t="shared" si="14"/>
        <v>0</v>
      </c>
      <c r="BC122" s="2">
        <f t="shared" si="15"/>
        <v>0</v>
      </c>
      <c r="BD122" s="2">
        <f t="shared" si="16"/>
        <v>0</v>
      </c>
      <c r="BE122" s="2">
        <f t="shared" si="17"/>
        <v>0</v>
      </c>
      <c r="BF122" s="2">
        <f t="shared" si="18"/>
        <v>0</v>
      </c>
      <c r="BJ122" s="2" t="str">
        <f t="shared" si="19"/>
        <v/>
      </c>
    </row>
    <row r="123" spans="1:62" ht="15" customHeight="1" x14ac:dyDescent="0.45">
      <c r="A123" s="2" t="s">
        <v>520</v>
      </c>
      <c r="B123" s="2" t="s">
        <v>523</v>
      </c>
      <c r="C123" s="2">
        <v>2019</v>
      </c>
      <c r="D123" s="2">
        <v>6.9</v>
      </c>
      <c r="E123" s="2">
        <v>8.2799999999999994</v>
      </c>
      <c r="F123" s="2" t="s">
        <v>146</v>
      </c>
      <c r="G123" s="2">
        <v>0.08</v>
      </c>
      <c r="H123" s="2" t="s">
        <v>146</v>
      </c>
      <c r="I123" s="2" t="s">
        <v>146</v>
      </c>
      <c r="J123" s="2" t="s">
        <v>146</v>
      </c>
      <c r="K123" s="2" t="s">
        <v>146</v>
      </c>
      <c r="L123" s="2" t="s">
        <v>146</v>
      </c>
      <c r="M123" s="2" t="s">
        <v>49</v>
      </c>
      <c r="N123" s="2" t="s">
        <v>146</v>
      </c>
      <c r="O123" s="2" t="s">
        <v>146</v>
      </c>
      <c r="P123" s="2" t="s">
        <v>146</v>
      </c>
      <c r="Q123" s="2" t="s">
        <v>146</v>
      </c>
      <c r="R123" s="2" t="s">
        <v>146</v>
      </c>
      <c r="S123" s="2" t="s">
        <v>146</v>
      </c>
      <c r="T123" s="2" t="s">
        <v>146</v>
      </c>
      <c r="U123" s="2">
        <v>7.3</v>
      </c>
      <c r="V123" s="2" t="s">
        <v>146</v>
      </c>
      <c r="W123" s="2" t="s">
        <v>146</v>
      </c>
      <c r="X123" s="2" t="s">
        <v>146</v>
      </c>
      <c r="Y123" s="2" t="s">
        <v>146</v>
      </c>
      <c r="Z123" s="2">
        <v>0.6</v>
      </c>
      <c r="AA123" s="2" t="s">
        <v>146</v>
      </c>
      <c r="AB123" s="2" t="s">
        <v>146</v>
      </c>
      <c r="AC123" s="2" t="s">
        <v>146</v>
      </c>
      <c r="AD123" s="2" t="s">
        <v>146</v>
      </c>
      <c r="AE123" s="2" t="s">
        <v>146</v>
      </c>
      <c r="AF123" s="2" t="s">
        <v>146</v>
      </c>
      <c r="AG123" s="2" t="s">
        <v>146</v>
      </c>
      <c r="AH123" s="2" t="s">
        <v>146</v>
      </c>
      <c r="AI123" s="2" t="s">
        <v>146</v>
      </c>
      <c r="AJ123" s="2" t="s">
        <v>146</v>
      </c>
      <c r="AK123" s="2" t="s">
        <v>146</v>
      </c>
      <c r="AL123" s="2">
        <v>0.3</v>
      </c>
      <c r="AM123" s="2">
        <v>0.3</v>
      </c>
      <c r="AN123" s="2" t="s">
        <v>49</v>
      </c>
      <c r="AO123" s="2" t="s">
        <v>146</v>
      </c>
      <c r="AP123" s="2" t="s">
        <v>146</v>
      </c>
      <c r="AQ123" s="2" t="s">
        <v>146</v>
      </c>
      <c r="AR123" s="2" t="s">
        <v>146</v>
      </c>
      <c r="AV123" s="2">
        <f t="shared" si="10"/>
        <v>8.2799999999999994</v>
      </c>
      <c r="AW123" s="2">
        <f t="shared" si="11"/>
        <v>6.9</v>
      </c>
      <c r="AX123" s="27">
        <f t="shared" si="12"/>
        <v>0.83333333333333348</v>
      </c>
      <c r="BA123" s="2">
        <f t="shared" si="13"/>
        <v>0</v>
      </c>
      <c r="BB123" s="2">
        <f t="shared" si="14"/>
        <v>0</v>
      </c>
      <c r="BC123" s="2">
        <f t="shared" si="15"/>
        <v>0</v>
      </c>
      <c r="BD123" s="2">
        <f t="shared" si="16"/>
        <v>0</v>
      </c>
      <c r="BE123" s="2">
        <f t="shared" si="17"/>
        <v>0</v>
      </c>
      <c r="BF123" s="2">
        <f t="shared" si="18"/>
        <v>0</v>
      </c>
      <c r="BJ123" s="2" t="str">
        <f t="shared" si="19"/>
        <v/>
      </c>
    </row>
    <row r="124" spans="1:62" ht="15" customHeight="1" x14ac:dyDescent="0.45">
      <c r="A124" s="2" t="s">
        <v>520</v>
      </c>
      <c r="B124" s="2" t="s">
        <v>522</v>
      </c>
      <c r="C124" s="2">
        <v>2019</v>
      </c>
      <c r="D124" s="2">
        <v>67.2</v>
      </c>
      <c r="E124" s="2">
        <v>86.6</v>
      </c>
      <c r="F124" s="2" t="s">
        <v>146</v>
      </c>
      <c r="G124" s="2">
        <v>0.2</v>
      </c>
      <c r="H124" s="2" t="s">
        <v>146</v>
      </c>
      <c r="I124" s="2" t="s">
        <v>146</v>
      </c>
      <c r="J124" s="2" t="s">
        <v>146</v>
      </c>
      <c r="K124" s="2" t="s">
        <v>146</v>
      </c>
      <c r="L124" s="2" t="s">
        <v>146</v>
      </c>
      <c r="M124" s="2" t="s">
        <v>49</v>
      </c>
      <c r="N124" s="2" t="s">
        <v>146</v>
      </c>
      <c r="O124" s="2" t="s">
        <v>146</v>
      </c>
      <c r="P124" s="2">
        <v>66.7</v>
      </c>
      <c r="Q124" s="2" t="s">
        <v>146</v>
      </c>
      <c r="R124" s="2" t="s">
        <v>146</v>
      </c>
      <c r="S124" s="2" t="s">
        <v>146</v>
      </c>
      <c r="T124" s="2" t="s">
        <v>146</v>
      </c>
      <c r="U124" s="2">
        <v>10.5</v>
      </c>
      <c r="V124" s="2" t="s">
        <v>146</v>
      </c>
      <c r="W124" s="2" t="s">
        <v>146</v>
      </c>
      <c r="X124" s="2" t="s">
        <v>146</v>
      </c>
      <c r="Y124" s="2" t="s">
        <v>146</v>
      </c>
      <c r="Z124" s="2">
        <v>1.8</v>
      </c>
      <c r="AA124" s="2" t="s">
        <v>146</v>
      </c>
      <c r="AB124" s="2" t="s">
        <v>146</v>
      </c>
      <c r="AC124" s="2" t="s">
        <v>146</v>
      </c>
      <c r="AD124" s="2" t="s">
        <v>146</v>
      </c>
      <c r="AE124" s="2" t="s">
        <v>146</v>
      </c>
      <c r="AF124" s="2" t="s">
        <v>146</v>
      </c>
      <c r="AG124" s="2" t="s">
        <v>146</v>
      </c>
      <c r="AH124" s="2">
        <v>7.3</v>
      </c>
      <c r="AI124" s="2" t="s">
        <v>146</v>
      </c>
      <c r="AJ124" s="2" t="s">
        <v>146</v>
      </c>
      <c r="AK124" s="2" t="s">
        <v>146</v>
      </c>
      <c r="AL124" s="2">
        <v>0.1</v>
      </c>
      <c r="AM124" s="2">
        <v>0.1</v>
      </c>
      <c r="AN124" s="2" t="s">
        <v>49</v>
      </c>
      <c r="AO124" s="2">
        <v>100</v>
      </c>
      <c r="AP124" s="2">
        <v>0</v>
      </c>
      <c r="AQ124" s="2">
        <v>0</v>
      </c>
      <c r="AR124" s="2">
        <v>0</v>
      </c>
      <c r="AV124" s="2">
        <f t="shared" si="10"/>
        <v>86.6</v>
      </c>
      <c r="AW124" s="2">
        <f t="shared" si="11"/>
        <v>67.2</v>
      </c>
      <c r="AX124" s="27">
        <f t="shared" si="12"/>
        <v>0.77598152424942268</v>
      </c>
      <c r="BA124" s="2">
        <f t="shared" si="13"/>
        <v>7.3</v>
      </c>
      <c r="BB124" s="2">
        <f t="shared" si="14"/>
        <v>7.3</v>
      </c>
      <c r="BC124" s="2">
        <f t="shared" si="15"/>
        <v>0</v>
      </c>
      <c r="BD124" s="2">
        <f t="shared" si="16"/>
        <v>0</v>
      </c>
      <c r="BE124" s="2">
        <f t="shared" si="17"/>
        <v>0</v>
      </c>
      <c r="BF124" s="2">
        <f t="shared" si="18"/>
        <v>0</v>
      </c>
      <c r="BJ124" s="2" t="str">
        <f t="shared" si="19"/>
        <v/>
      </c>
    </row>
    <row r="125" spans="1:62" ht="15" customHeight="1" x14ac:dyDescent="0.45">
      <c r="A125" s="2" t="s">
        <v>520</v>
      </c>
      <c r="B125" s="2" t="s">
        <v>521</v>
      </c>
      <c r="C125" s="2">
        <v>2019</v>
      </c>
      <c r="D125" s="2">
        <v>94.4</v>
      </c>
      <c r="E125" s="2">
        <v>105.4</v>
      </c>
      <c r="F125" s="2" t="s">
        <v>146</v>
      </c>
      <c r="G125" s="2">
        <v>0.9</v>
      </c>
      <c r="H125" s="2" t="s">
        <v>146</v>
      </c>
      <c r="I125" s="2">
        <v>0.2</v>
      </c>
      <c r="J125" s="2" t="s">
        <v>146</v>
      </c>
      <c r="K125" s="2" t="s">
        <v>146</v>
      </c>
      <c r="L125" s="2" t="s">
        <v>146</v>
      </c>
      <c r="M125" s="2" t="s">
        <v>49</v>
      </c>
      <c r="N125" s="2">
        <v>8.5</v>
      </c>
      <c r="O125" s="2">
        <v>18.899999999999999</v>
      </c>
      <c r="P125" s="2">
        <v>38</v>
      </c>
      <c r="Q125" s="2">
        <v>18.600000000000001</v>
      </c>
      <c r="R125" s="2" t="s">
        <v>146</v>
      </c>
      <c r="S125" s="2" t="s">
        <v>146</v>
      </c>
      <c r="T125" s="2" t="s">
        <v>146</v>
      </c>
      <c r="U125" s="2">
        <v>0.9</v>
      </c>
      <c r="V125" s="2" t="s">
        <v>146</v>
      </c>
      <c r="W125" s="2" t="s">
        <v>146</v>
      </c>
      <c r="X125" s="2" t="s">
        <v>146</v>
      </c>
      <c r="Y125" s="2" t="s">
        <v>146</v>
      </c>
      <c r="Z125" s="2">
        <v>0.2</v>
      </c>
      <c r="AA125" s="2" t="s">
        <v>146</v>
      </c>
      <c r="AB125" s="2">
        <v>3.2</v>
      </c>
      <c r="AC125" s="2" t="s">
        <v>146</v>
      </c>
      <c r="AD125" s="2" t="s">
        <v>146</v>
      </c>
      <c r="AE125" s="2" t="s">
        <v>146</v>
      </c>
      <c r="AF125" s="2" t="s">
        <v>146</v>
      </c>
      <c r="AG125" s="2">
        <v>1</v>
      </c>
      <c r="AH125" s="2">
        <v>15</v>
      </c>
      <c r="AI125" s="2" t="s">
        <v>146</v>
      </c>
      <c r="AJ125" s="2" t="s">
        <v>146</v>
      </c>
      <c r="AK125" s="2" t="s">
        <v>146</v>
      </c>
      <c r="AL125" s="2" t="s">
        <v>146</v>
      </c>
      <c r="AM125" s="2">
        <v>0.2</v>
      </c>
      <c r="AN125" s="2" t="s">
        <v>49</v>
      </c>
      <c r="AO125" s="2">
        <v>96.5</v>
      </c>
      <c r="AP125" s="2">
        <v>0</v>
      </c>
      <c r="AQ125" s="2">
        <v>0</v>
      </c>
      <c r="AR125" s="2">
        <v>3.5</v>
      </c>
      <c r="AV125" s="2">
        <f t="shared" si="10"/>
        <v>105.4</v>
      </c>
      <c r="AW125" s="2">
        <f t="shared" si="11"/>
        <v>94.4</v>
      </c>
      <c r="AX125" s="27">
        <f t="shared" si="12"/>
        <v>0.89563567362428842</v>
      </c>
      <c r="BA125" s="2">
        <f t="shared" si="13"/>
        <v>15</v>
      </c>
      <c r="BB125" s="2">
        <f t="shared" si="14"/>
        <v>14.475</v>
      </c>
      <c r="BC125" s="2">
        <f t="shared" si="15"/>
        <v>0</v>
      </c>
      <c r="BD125" s="2">
        <f t="shared" si="16"/>
        <v>0</v>
      </c>
      <c r="BE125" s="2">
        <f t="shared" si="17"/>
        <v>0.52500000000000002</v>
      </c>
      <c r="BF125" s="2">
        <f t="shared" si="18"/>
        <v>0</v>
      </c>
      <c r="BJ125" s="2" t="str">
        <f t="shared" si="19"/>
        <v/>
      </c>
    </row>
    <row r="126" spans="1:62" ht="15" customHeight="1" x14ac:dyDescent="0.45">
      <c r="A126" s="2" t="s">
        <v>520</v>
      </c>
      <c r="B126" s="2" t="s">
        <v>519</v>
      </c>
      <c r="C126" s="2">
        <v>2019</v>
      </c>
      <c r="D126" s="2" t="s">
        <v>146</v>
      </c>
      <c r="E126" s="2" t="s">
        <v>146</v>
      </c>
      <c r="F126" s="2" t="s">
        <v>146</v>
      </c>
      <c r="G126" s="2" t="s">
        <v>146</v>
      </c>
      <c r="H126" s="2" t="s">
        <v>146</v>
      </c>
      <c r="I126" s="2" t="s">
        <v>146</v>
      </c>
      <c r="J126" s="2" t="s">
        <v>146</v>
      </c>
      <c r="K126" s="2" t="s">
        <v>146</v>
      </c>
      <c r="L126" s="2" t="s">
        <v>146</v>
      </c>
      <c r="M126" s="2" t="s">
        <v>49</v>
      </c>
      <c r="N126" s="2" t="s">
        <v>146</v>
      </c>
      <c r="O126" s="2" t="s">
        <v>146</v>
      </c>
      <c r="P126" s="2" t="s">
        <v>146</v>
      </c>
      <c r="Q126" s="2" t="s">
        <v>146</v>
      </c>
      <c r="R126" s="2" t="s">
        <v>146</v>
      </c>
      <c r="S126" s="2" t="s">
        <v>146</v>
      </c>
      <c r="T126" s="2" t="s">
        <v>146</v>
      </c>
      <c r="U126" s="2" t="s">
        <v>146</v>
      </c>
      <c r="V126" s="2" t="s">
        <v>146</v>
      </c>
      <c r="W126" s="2" t="s">
        <v>146</v>
      </c>
      <c r="X126" s="2" t="s">
        <v>146</v>
      </c>
      <c r="Y126" s="2" t="s">
        <v>146</v>
      </c>
      <c r="Z126" s="2" t="s">
        <v>146</v>
      </c>
      <c r="AA126" s="2" t="s">
        <v>146</v>
      </c>
      <c r="AB126" s="2" t="s">
        <v>146</v>
      </c>
      <c r="AC126" s="2" t="s">
        <v>146</v>
      </c>
      <c r="AD126" s="2" t="s">
        <v>146</v>
      </c>
      <c r="AE126" s="2" t="s">
        <v>146</v>
      </c>
      <c r="AF126" s="2" t="s">
        <v>146</v>
      </c>
      <c r="AG126" s="2" t="s">
        <v>146</v>
      </c>
      <c r="AH126" s="2" t="s">
        <v>146</v>
      </c>
      <c r="AI126" s="2" t="s">
        <v>146</v>
      </c>
      <c r="AJ126" s="2" t="s">
        <v>146</v>
      </c>
      <c r="AK126" s="2" t="s">
        <v>146</v>
      </c>
      <c r="AL126" s="2" t="s">
        <v>146</v>
      </c>
      <c r="AM126" s="2" t="s">
        <v>146</v>
      </c>
      <c r="AN126" s="2" t="s">
        <v>49</v>
      </c>
      <c r="AO126" s="2" t="s">
        <v>146</v>
      </c>
      <c r="AP126" s="2" t="s">
        <v>146</v>
      </c>
      <c r="AQ126" s="2" t="s">
        <v>146</v>
      </c>
      <c r="AR126" s="2" t="s">
        <v>146</v>
      </c>
      <c r="AV126" s="2">
        <f t="shared" si="10"/>
        <v>0</v>
      </c>
      <c r="AW126" s="2">
        <f t="shared" si="11"/>
        <v>0</v>
      </c>
      <c r="AX126" s="27" t="str">
        <f t="shared" si="12"/>
        <v/>
      </c>
      <c r="BA126" s="2">
        <f t="shared" si="13"/>
        <v>0</v>
      </c>
      <c r="BB126" s="2">
        <f t="shared" si="14"/>
        <v>0</v>
      </c>
      <c r="BC126" s="2">
        <f t="shared" si="15"/>
        <v>0</v>
      </c>
      <c r="BD126" s="2">
        <f t="shared" si="16"/>
        <v>0</v>
      </c>
      <c r="BE126" s="2">
        <f t="shared" si="17"/>
        <v>0</v>
      </c>
      <c r="BF126" s="2">
        <f t="shared" si="18"/>
        <v>0</v>
      </c>
      <c r="BJ126" s="2" t="str">
        <f t="shared" si="19"/>
        <v/>
      </c>
    </row>
    <row r="127" spans="1:62" ht="15" customHeight="1" x14ac:dyDescent="0.45">
      <c r="A127" s="2" t="s">
        <v>518</v>
      </c>
      <c r="B127" s="2" t="s">
        <v>77</v>
      </c>
      <c r="C127" s="2">
        <v>2019</v>
      </c>
      <c r="D127" s="2">
        <v>60.86</v>
      </c>
      <c r="E127" s="2">
        <v>76.739999999999995</v>
      </c>
      <c r="F127" s="2" t="s">
        <v>146</v>
      </c>
      <c r="G127" s="2">
        <v>0.41</v>
      </c>
      <c r="H127" s="2" t="s">
        <v>146</v>
      </c>
      <c r="I127" s="2" t="s">
        <v>146</v>
      </c>
      <c r="J127" s="2" t="s">
        <v>146</v>
      </c>
      <c r="K127" s="2" t="s">
        <v>146</v>
      </c>
      <c r="L127" s="2" t="s">
        <v>146</v>
      </c>
      <c r="M127" s="2" t="s">
        <v>49</v>
      </c>
      <c r="N127" s="2" t="s">
        <v>146</v>
      </c>
      <c r="O127" s="2" t="s">
        <v>146</v>
      </c>
      <c r="P127" s="2">
        <v>16.440000000000001</v>
      </c>
      <c r="Q127" s="2">
        <v>18.5</v>
      </c>
      <c r="R127" s="2" t="s">
        <v>146</v>
      </c>
      <c r="S127" s="2">
        <v>27.8</v>
      </c>
      <c r="T127" s="2" t="s">
        <v>147</v>
      </c>
      <c r="U127" s="2">
        <v>8.19</v>
      </c>
      <c r="V127" s="2" t="s">
        <v>146</v>
      </c>
      <c r="W127" s="2" t="s">
        <v>146</v>
      </c>
      <c r="X127" s="2" t="s">
        <v>146</v>
      </c>
      <c r="Y127" s="2" t="s">
        <v>146</v>
      </c>
      <c r="Z127" s="2">
        <v>3</v>
      </c>
      <c r="AA127" s="2" t="s">
        <v>146</v>
      </c>
      <c r="AB127" s="2" t="s">
        <v>146</v>
      </c>
      <c r="AC127" s="2" t="s">
        <v>146</v>
      </c>
      <c r="AD127" s="2" t="s">
        <v>146</v>
      </c>
      <c r="AE127" s="2" t="s">
        <v>146</v>
      </c>
      <c r="AF127" s="2" t="s">
        <v>146</v>
      </c>
      <c r="AG127" s="2" t="s">
        <v>146</v>
      </c>
      <c r="AH127" s="2">
        <v>2.4</v>
      </c>
      <c r="AI127" s="2" t="s">
        <v>146</v>
      </c>
      <c r="AJ127" s="2" t="s">
        <v>146</v>
      </c>
      <c r="AK127" s="2" t="s">
        <v>146</v>
      </c>
      <c r="AL127" s="2" t="s">
        <v>146</v>
      </c>
      <c r="AM127" s="2" t="s">
        <v>146</v>
      </c>
      <c r="AN127" s="2" t="s">
        <v>49</v>
      </c>
      <c r="AO127" s="2">
        <v>100</v>
      </c>
      <c r="AP127" s="2" t="s">
        <v>146</v>
      </c>
      <c r="AQ127" s="2" t="s">
        <v>146</v>
      </c>
      <c r="AR127" s="2" t="s">
        <v>146</v>
      </c>
      <c r="AV127" s="2">
        <f t="shared" si="10"/>
        <v>76.740000000000009</v>
      </c>
      <c r="AW127" s="2">
        <f t="shared" si="11"/>
        <v>60.86</v>
      </c>
      <c r="AX127" s="27">
        <f t="shared" si="12"/>
        <v>0.79306750065155063</v>
      </c>
      <c r="BA127" s="2">
        <f t="shared" si="13"/>
        <v>2.4</v>
      </c>
      <c r="BB127" s="2">
        <f t="shared" si="14"/>
        <v>2.4</v>
      </c>
      <c r="BC127" s="2">
        <f t="shared" si="15"/>
        <v>0</v>
      </c>
      <c r="BD127" s="2">
        <f t="shared" si="16"/>
        <v>0</v>
      </c>
      <c r="BE127" s="2">
        <f t="shared" si="17"/>
        <v>0</v>
      </c>
      <c r="BF127" s="2">
        <f t="shared" si="18"/>
        <v>0</v>
      </c>
      <c r="BJ127" s="2" t="str">
        <f t="shared" si="19"/>
        <v/>
      </c>
    </row>
    <row r="128" spans="1:62" ht="15" customHeight="1" x14ac:dyDescent="0.45">
      <c r="A128" s="2" t="s">
        <v>515</v>
      </c>
      <c r="B128" s="2" t="s">
        <v>517</v>
      </c>
      <c r="C128" s="2">
        <v>2019</v>
      </c>
      <c r="D128" s="2">
        <v>13.6</v>
      </c>
      <c r="E128" s="2">
        <v>16.98</v>
      </c>
      <c r="F128" s="2" t="s">
        <v>146</v>
      </c>
      <c r="G128" s="2">
        <v>0.18</v>
      </c>
      <c r="H128" s="2" t="s">
        <v>146</v>
      </c>
      <c r="I128" s="2" t="s">
        <v>146</v>
      </c>
      <c r="J128" s="2" t="s">
        <v>146</v>
      </c>
      <c r="K128" s="2" t="s">
        <v>146</v>
      </c>
      <c r="L128" s="2" t="s">
        <v>146</v>
      </c>
      <c r="M128" s="2" t="s">
        <v>49</v>
      </c>
      <c r="N128" s="2" t="s">
        <v>146</v>
      </c>
      <c r="O128" s="2" t="s">
        <v>146</v>
      </c>
      <c r="P128" s="2">
        <v>14.58</v>
      </c>
      <c r="Q128" s="2" t="s">
        <v>146</v>
      </c>
      <c r="R128" s="2" t="s">
        <v>146</v>
      </c>
      <c r="S128" s="2" t="s">
        <v>146</v>
      </c>
      <c r="T128" s="2" t="s">
        <v>146</v>
      </c>
      <c r="U128" s="2" t="s">
        <v>146</v>
      </c>
      <c r="V128" s="2" t="s">
        <v>146</v>
      </c>
      <c r="W128" s="2" t="s">
        <v>146</v>
      </c>
      <c r="X128" s="2" t="s">
        <v>146</v>
      </c>
      <c r="Y128" s="2" t="s">
        <v>146</v>
      </c>
      <c r="Z128" s="2" t="s">
        <v>146</v>
      </c>
      <c r="AA128" s="2" t="s">
        <v>146</v>
      </c>
      <c r="AB128" s="2" t="s">
        <v>146</v>
      </c>
      <c r="AC128" s="2" t="s">
        <v>146</v>
      </c>
      <c r="AD128" s="2" t="s">
        <v>146</v>
      </c>
      <c r="AE128" s="2" t="s">
        <v>146</v>
      </c>
      <c r="AF128" s="2" t="s">
        <v>146</v>
      </c>
      <c r="AG128" s="2" t="s">
        <v>146</v>
      </c>
      <c r="AH128" s="2">
        <v>2.2200000000000002</v>
      </c>
      <c r="AI128" s="2" t="s">
        <v>146</v>
      </c>
      <c r="AJ128" s="2" t="s">
        <v>146</v>
      </c>
      <c r="AK128" s="2" t="s">
        <v>146</v>
      </c>
      <c r="AL128" s="2" t="s">
        <v>146</v>
      </c>
      <c r="AM128" s="2" t="s">
        <v>146</v>
      </c>
      <c r="AN128" s="2" t="s">
        <v>49</v>
      </c>
      <c r="AO128" s="2">
        <v>100</v>
      </c>
      <c r="AP128" s="2" t="s">
        <v>146</v>
      </c>
      <c r="AQ128" s="2" t="s">
        <v>146</v>
      </c>
      <c r="AR128" s="2" t="s">
        <v>146</v>
      </c>
      <c r="AV128" s="2">
        <f t="shared" si="10"/>
        <v>16.98</v>
      </c>
      <c r="AW128" s="2">
        <f t="shared" si="11"/>
        <v>13.6</v>
      </c>
      <c r="AX128" s="27">
        <f t="shared" si="12"/>
        <v>0.80094228504122489</v>
      </c>
      <c r="BA128" s="2">
        <f t="shared" si="13"/>
        <v>2.2200000000000002</v>
      </c>
      <c r="BB128" s="2">
        <f t="shared" si="14"/>
        <v>2.2200000000000002</v>
      </c>
      <c r="BC128" s="2">
        <f t="shared" si="15"/>
        <v>0</v>
      </c>
      <c r="BD128" s="2">
        <f t="shared" si="16"/>
        <v>0</v>
      </c>
      <c r="BE128" s="2">
        <f t="shared" si="17"/>
        <v>0</v>
      </c>
      <c r="BF128" s="2">
        <f t="shared" si="18"/>
        <v>0</v>
      </c>
      <c r="BJ128" s="2" t="str">
        <f t="shared" si="19"/>
        <v/>
      </c>
    </row>
    <row r="129" spans="1:62" ht="15" customHeight="1" x14ac:dyDescent="0.45">
      <c r="A129" s="2" t="s">
        <v>515</v>
      </c>
      <c r="B129" s="2" t="s">
        <v>516</v>
      </c>
      <c r="C129" s="2">
        <v>2019</v>
      </c>
      <c r="D129" s="2">
        <v>56.98</v>
      </c>
      <c r="E129" s="2">
        <v>70.700999999999993</v>
      </c>
      <c r="F129" s="2" t="s">
        <v>146</v>
      </c>
      <c r="G129" s="2">
        <v>1.25</v>
      </c>
      <c r="H129" s="2" t="s">
        <v>146</v>
      </c>
      <c r="I129" s="2">
        <v>14.03</v>
      </c>
      <c r="J129" s="2" t="s">
        <v>146</v>
      </c>
      <c r="K129" s="2" t="s">
        <v>146</v>
      </c>
      <c r="L129" s="2" t="s">
        <v>146</v>
      </c>
      <c r="M129" s="2" t="s">
        <v>49</v>
      </c>
      <c r="N129" s="2" t="s">
        <v>146</v>
      </c>
      <c r="O129" s="2" t="s">
        <v>146</v>
      </c>
      <c r="P129" s="2" t="s">
        <v>146</v>
      </c>
      <c r="Q129" s="2" t="s">
        <v>146</v>
      </c>
      <c r="R129" s="2" t="s">
        <v>146</v>
      </c>
      <c r="S129" s="2" t="s">
        <v>146</v>
      </c>
      <c r="T129" s="2" t="s">
        <v>146</v>
      </c>
      <c r="U129" s="2">
        <v>13.8</v>
      </c>
      <c r="V129" s="2">
        <v>0</v>
      </c>
      <c r="W129" s="2">
        <v>25.43</v>
      </c>
      <c r="X129" s="2" t="s">
        <v>146</v>
      </c>
      <c r="Y129" s="2" t="s">
        <v>146</v>
      </c>
      <c r="Z129" s="2">
        <v>0</v>
      </c>
      <c r="AA129" s="2" t="s">
        <v>146</v>
      </c>
      <c r="AB129" s="2" t="s">
        <v>146</v>
      </c>
      <c r="AC129" s="2" t="s">
        <v>146</v>
      </c>
      <c r="AD129" s="2" t="s">
        <v>146</v>
      </c>
      <c r="AE129" s="2" t="s">
        <v>146</v>
      </c>
      <c r="AF129" s="2" t="s">
        <v>146</v>
      </c>
      <c r="AG129" s="2" t="s">
        <v>146</v>
      </c>
      <c r="AH129" s="2">
        <v>0.43099999999999999</v>
      </c>
      <c r="AI129" s="2">
        <v>15.76</v>
      </c>
      <c r="AJ129" s="2" t="s">
        <v>194</v>
      </c>
      <c r="AK129" s="2">
        <v>5.0199999999999996</v>
      </c>
      <c r="AL129" s="2">
        <v>0</v>
      </c>
      <c r="AM129" s="2">
        <v>0</v>
      </c>
      <c r="AN129" s="2" t="s">
        <v>49</v>
      </c>
      <c r="AO129" s="2">
        <v>100</v>
      </c>
      <c r="AP129" s="2">
        <v>0</v>
      </c>
      <c r="AQ129" s="2">
        <v>0</v>
      </c>
      <c r="AR129" s="2">
        <v>0</v>
      </c>
      <c r="AV129" s="2">
        <f t="shared" si="10"/>
        <v>70.700999999999993</v>
      </c>
      <c r="AW129" s="2">
        <f t="shared" si="11"/>
        <v>56.98</v>
      </c>
      <c r="AX129" s="27">
        <f t="shared" si="12"/>
        <v>0.80592919477800884</v>
      </c>
      <c r="BA129" s="2">
        <f t="shared" si="13"/>
        <v>0.43099999999999999</v>
      </c>
      <c r="BB129" s="2">
        <f t="shared" si="14"/>
        <v>0.43099999999999999</v>
      </c>
      <c r="BC129" s="2">
        <f t="shared" si="15"/>
        <v>0</v>
      </c>
      <c r="BD129" s="2">
        <f t="shared" si="16"/>
        <v>0</v>
      </c>
      <c r="BE129" s="2">
        <f t="shared" si="17"/>
        <v>0</v>
      </c>
      <c r="BF129" s="2">
        <f t="shared" si="18"/>
        <v>0</v>
      </c>
      <c r="BJ129" s="2" t="str">
        <f t="shared" si="19"/>
        <v/>
      </c>
    </row>
    <row r="130" spans="1:62" ht="15" customHeight="1" x14ac:dyDescent="0.45">
      <c r="A130" s="2" t="s">
        <v>515</v>
      </c>
      <c r="B130" s="2" t="s">
        <v>514</v>
      </c>
      <c r="C130" s="2">
        <v>2019</v>
      </c>
      <c r="D130" s="2">
        <v>5.7930000000000001</v>
      </c>
      <c r="E130" s="2">
        <v>6.5869999999999997</v>
      </c>
      <c r="F130" s="2" t="s">
        <v>146</v>
      </c>
      <c r="G130" s="2">
        <v>8.6999999999999994E-2</v>
      </c>
      <c r="H130" s="2" t="s">
        <v>146</v>
      </c>
      <c r="I130" s="2" t="s">
        <v>146</v>
      </c>
      <c r="J130" s="2" t="s">
        <v>146</v>
      </c>
      <c r="K130" s="2" t="s">
        <v>146</v>
      </c>
      <c r="L130" s="2" t="s">
        <v>146</v>
      </c>
      <c r="M130" s="2" t="s">
        <v>49</v>
      </c>
      <c r="N130" s="2" t="s">
        <v>146</v>
      </c>
      <c r="O130" s="2" t="s">
        <v>146</v>
      </c>
      <c r="P130" s="2" t="s">
        <v>146</v>
      </c>
      <c r="Q130" s="2" t="s">
        <v>146</v>
      </c>
      <c r="R130" s="2" t="s">
        <v>146</v>
      </c>
      <c r="S130" s="2" t="s">
        <v>146</v>
      </c>
      <c r="T130" s="2" t="s">
        <v>146</v>
      </c>
      <c r="U130" s="2">
        <v>6.5</v>
      </c>
      <c r="V130" s="2" t="s">
        <v>146</v>
      </c>
      <c r="W130" s="2" t="s">
        <v>146</v>
      </c>
      <c r="X130" s="2" t="s">
        <v>146</v>
      </c>
      <c r="Y130" s="2" t="s">
        <v>146</v>
      </c>
      <c r="Z130" s="2" t="s">
        <v>146</v>
      </c>
      <c r="AA130" s="2" t="s">
        <v>146</v>
      </c>
      <c r="AB130" s="2" t="s">
        <v>146</v>
      </c>
      <c r="AC130" s="2" t="s">
        <v>146</v>
      </c>
      <c r="AD130" s="2" t="s">
        <v>146</v>
      </c>
      <c r="AE130" s="2" t="s">
        <v>146</v>
      </c>
      <c r="AF130" s="2" t="s">
        <v>146</v>
      </c>
      <c r="AG130" s="2" t="s">
        <v>146</v>
      </c>
      <c r="AH130" s="2" t="s">
        <v>146</v>
      </c>
      <c r="AI130" s="2" t="s">
        <v>146</v>
      </c>
      <c r="AJ130" s="2" t="s">
        <v>146</v>
      </c>
      <c r="AK130" s="2" t="s">
        <v>146</v>
      </c>
      <c r="AL130" s="2" t="s">
        <v>146</v>
      </c>
      <c r="AM130" s="2" t="s">
        <v>146</v>
      </c>
      <c r="AN130" s="2" t="s">
        <v>49</v>
      </c>
      <c r="AO130" s="2" t="s">
        <v>146</v>
      </c>
      <c r="AP130" s="2" t="s">
        <v>146</v>
      </c>
      <c r="AQ130" s="2" t="s">
        <v>146</v>
      </c>
      <c r="AR130" s="2" t="s">
        <v>146</v>
      </c>
      <c r="AV130" s="2">
        <f t="shared" si="10"/>
        <v>6.5869999999999997</v>
      </c>
      <c r="AW130" s="2">
        <f t="shared" si="11"/>
        <v>5.7930000000000001</v>
      </c>
      <c r="AX130" s="27">
        <f t="shared" si="12"/>
        <v>0.87945954152117811</v>
      </c>
      <c r="BA130" s="2">
        <f t="shared" si="13"/>
        <v>0</v>
      </c>
      <c r="BB130" s="2">
        <f t="shared" si="14"/>
        <v>0</v>
      </c>
      <c r="BC130" s="2">
        <f t="shared" si="15"/>
        <v>0</v>
      </c>
      <c r="BD130" s="2">
        <f t="shared" si="16"/>
        <v>0</v>
      </c>
      <c r="BE130" s="2">
        <f t="shared" si="17"/>
        <v>0</v>
      </c>
      <c r="BF130" s="2">
        <f t="shared" si="18"/>
        <v>0</v>
      </c>
      <c r="BJ130" s="2" t="str">
        <f t="shared" si="19"/>
        <v/>
      </c>
    </row>
    <row r="131" spans="1:62" ht="15" customHeight="1" x14ac:dyDescent="0.45">
      <c r="A131" s="2" t="s">
        <v>513</v>
      </c>
      <c r="B131" s="2" t="s">
        <v>512</v>
      </c>
      <c r="C131" s="2">
        <v>2019</v>
      </c>
      <c r="D131" s="2">
        <v>51.3</v>
      </c>
      <c r="E131" s="2">
        <v>61.43</v>
      </c>
      <c r="F131" s="2" t="s">
        <v>146</v>
      </c>
      <c r="G131" s="2">
        <v>1.76</v>
      </c>
      <c r="H131" s="2" t="s">
        <v>146</v>
      </c>
      <c r="I131" s="2">
        <v>3.27</v>
      </c>
      <c r="J131" s="2" t="s">
        <v>146</v>
      </c>
      <c r="K131" s="2" t="s">
        <v>146</v>
      </c>
      <c r="L131" s="2" t="s">
        <v>146</v>
      </c>
      <c r="M131" s="2" t="s">
        <v>176</v>
      </c>
      <c r="N131" s="2" t="s">
        <v>146</v>
      </c>
      <c r="O131" s="2" t="s">
        <v>146</v>
      </c>
      <c r="P131" s="2" t="s">
        <v>146</v>
      </c>
      <c r="Q131" s="2" t="s">
        <v>146</v>
      </c>
      <c r="R131" s="2" t="s">
        <v>146</v>
      </c>
      <c r="S131" s="2" t="s">
        <v>146</v>
      </c>
      <c r="T131" s="2" t="s">
        <v>146</v>
      </c>
      <c r="U131" s="2">
        <v>0</v>
      </c>
      <c r="V131" s="2">
        <v>0</v>
      </c>
      <c r="W131" s="2">
        <v>56.4</v>
      </c>
      <c r="X131" s="2" t="s">
        <v>146</v>
      </c>
      <c r="Y131" s="2" t="s">
        <v>146</v>
      </c>
      <c r="Z131" s="2" t="s">
        <v>146</v>
      </c>
      <c r="AA131" s="2" t="s">
        <v>146</v>
      </c>
      <c r="AB131" s="2" t="s">
        <v>146</v>
      </c>
      <c r="AC131" s="2" t="s">
        <v>146</v>
      </c>
      <c r="AD131" s="2" t="s">
        <v>146</v>
      </c>
      <c r="AE131" s="2" t="s">
        <v>155</v>
      </c>
      <c r="AF131" s="2" t="s">
        <v>146</v>
      </c>
      <c r="AG131" s="2" t="s">
        <v>146</v>
      </c>
      <c r="AH131" s="2" t="s">
        <v>146</v>
      </c>
      <c r="AI131" s="2" t="s">
        <v>146</v>
      </c>
      <c r="AJ131" s="2" t="s">
        <v>146</v>
      </c>
      <c r="AK131" s="2" t="s">
        <v>146</v>
      </c>
      <c r="AL131" s="2" t="s">
        <v>146</v>
      </c>
      <c r="AM131" s="2" t="s">
        <v>146</v>
      </c>
      <c r="AN131" s="2" t="s">
        <v>176</v>
      </c>
      <c r="AO131" s="2" t="s">
        <v>146</v>
      </c>
      <c r="AP131" s="2" t="s">
        <v>146</v>
      </c>
      <c r="AQ131" s="2" t="s">
        <v>146</v>
      </c>
      <c r="AR131" s="2" t="s">
        <v>146</v>
      </c>
      <c r="AV131" s="2">
        <f t="shared" ref="AV131:AV194" si="20">SUMPRODUCT(F131:AC131)+SUMPRODUCT(AG131:AI131)+IFERROR(AL131/1,0)</f>
        <v>61.43</v>
      </c>
      <c r="AW131" s="2">
        <f t="shared" ref="AW131:AW194" si="21">IFERROR(D131/1,0)</f>
        <v>51.3</v>
      </c>
      <c r="AX131" s="27">
        <f t="shared" ref="AX131:AX194" si="22">IFERROR(AW131/AV131,"")</f>
        <v>0.83509685821259971</v>
      </c>
      <c r="BA131" s="2">
        <f t="shared" ref="BA131:BA194" si="23">IFERROR(AH131/1,0)</f>
        <v>0</v>
      </c>
      <c r="BB131" s="2">
        <f t="shared" ref="BB131:BB194" si="24">IFERROR(AO131/100,0)*$BA131</f>
        <v>0</v>
      </c>
      <c r="BC131" s="2">
        <f t="shared" ref="BC131:BC194" si="25">IFERROR(AP131/100,0)*$BA131</f>
        <v>0</v>
      </c>
      <c r="BD131" s="2">
        <f t="shared" ref="BD131:BD194" si="26">IFERROR(AQ131/100,0)*$BA131</f>
        <v>0</v>
      </c>
      <c r="BE131" s="2">
        <f t="shared" ref="BE131:BE194" si="27">IFERROR(AR131/100,0)*$BA131</f>
        <v>0</v>
      </c>
      <c r="BF131" s="2">
        <f t="shared" ref="BF131:BF194" si="28">MAX(BA131-SUM(BB131:BE131),0)</f>
        <v>0</v>
      </c>
      <c r="BJ131" s="2" t="str">
        <f t="shared" ref="BJ131:BJ194" si="29">IF(AND((IFERROR(AO131/1,0)+IFERROR(AP131/1,0)+IFERROR(AQ131/1,0)+IFERROR(AR131/1,0))&gt;0,OR(TYPE(AH131)&lt;&gt;1,AH131=0)),"ja","")</f>
        <v/>
      </c>
    </row>
    <row r="132" spans="1:62" ht="15" customHeight="1" x14ac:dyDescent="0.45">
      <c r="A132" s="2" t="s">
        <v>511</v>
      </c>
      <c r="B132" s="2" t="s">
        <v>80</v>
      </c>
      <c r="C132" s="2">
        <v>2019</v>
      </c>
      <c r="D132" s="2">
        <v>16.306000000000001</v>
      </c>
      <c r="E132" s="2">
        <v>18.12</v>
      </c>
      <c r="F132" s="2" t="s">
        <v>146</v>
      </c>
      <c r="G132" s="2">
        <v>0.52</v>
      </c>
      <c r="H132" s="2" t="s">
        <v>146</v>
      </c>
      <c r="I132" s="2" t="s">
        <v>146</v>
      </c>
      <c r="J132" s="2" t="s">
        <v>146</v>
      </c>
      <c r="K132" s="2" t="s">
        <v>146</v>
      </c>
      <c r="L132" s="2" t="s">
        <v>146</v>
      </c>
      <c r="M132" s="2" t="s">
        <v>49</v>
      </c>
      <c r="N132" s="2" t="s">
        <v>146</v>
      </c>
      <c r="O132" s="2" t="s">
        <v>146</v>
      </c>
      <c r="P132" s="2">
        <v>17.600000000000001</v>
      </c>
      <c r="Q132" s="2" t="s">
        <v>146</v>
      </c>
      <c r="R132" s="2" t="s">
        <v>146</v>
      </c>
      <c r="S132" s="2" t="s">
        <v>146</v>
      </c>
      <c r="T132" s="2" t="s">
        <v>433</v>
      </c>
      <c r="U132" s="2" t="s">
        <v>146</v>
      </c>
      <c r="V132" s="2" t="s">
        <v>146</v>
      </c>
      <c r="W132" s="2" t="s">
        <v>146</v>
      </c>
      <c r="X132" s="2" t="s">
        <v>146</v>
      </c>
      <c r="Y132" s="2" t="s">
        <v>146</v>
      </c>
      <c r="Z132" s="2" t="s">
        <v>146</v>
      </c>
      <c r="AA132" s="2" t="s">
        <v>146</v>
      </c>
      <c r="AB132" s="2" t="s">
        <v>146</v>
      </c>
      <c r="AC132" s="2" t="s">
        <v>146</v>
      </c>
      <c r="AD132" s="2" t="s">
        <v>146</v>
      </c>
      <c r="AE132" s="2" t="s">
        <v>146</v>
      </c>
      <c r="AF132" s="2" t="s">
        <v>146</v>
      </c>
      <c r="AG132" s="2" t="s">
        <v>146</v>
      </c>
      <c r="AH132" s="2" t="s">
        <v>146</v>
      </c>
      <c r="AI132" s="2" t="s">
        <v>146</v>
      </c>
      <c r="AJ132" s="2" t="s">
        <v>146</v>
      </c>
      <c r="AK132" s="2" t="s">
        <v>146</v>
      </c>
      <c r="AL132" s="2" t="s">
        <v>146</v>
      </c>
      <c r="AM132" s="2" t="s">
        <v>146</v>
      </c>
      <c r="AN132" s="2" t="s">
        <v>49</v>
      </c>
      <c r="AO132" s="2">
        <v>100</v>
      </c>
      <c r="AP132" s="2" t="s">
        <v>146</v>
      </c>
      <c r="AQ132" s="2" t="s">
        <v>146</v>
      </c>
      <c r="AR132" s="2" t="s">
        <v>146</v>
      </c>
      <c r="AV132" s="2">
        <f t="shared" si="20"/>
        <v>18.12</v>
      </c>
      <c r="AW132" s="2">
        <f t="shared" si="21"/>
        <v>16.306000000000001</v>
      </c>
      <c r="AX132" s="27">
        <f t="shared" si="22"/>
        <v>0.89988962472406187</v>
      </c>
      <c r="BA132" s="2">
        <f t="shared" si="23"/>
        <v>0</v>
      </c>
      <c r="BB132" s="2">
        <f t="shared" si="24"/>
        <v>0</v>
      </c>
      <c r="BC132" s="2">
        <f t="shared" si="25"/>
        <v>0</v>
      </c>
      <c r="BD132" s="2">
        <f t="shared" si="26"/>
        <v>0</v>
      </c>
      <c r="BE132" s="2">
        <f t="shared" si="27"/>
        <v>0</v>
      </c>
      <c r="BF132" s="2">
        <f t="shared" si="28"/>
        <v>0</v>
      </c>
      <c r="BJ132" s="2" t="str">
        <f t="shared" si="29"/>
        <v>ja</v>
      </c>
    </row>
    <row r="133" spans="1:62" ht="15" customHeight="1" x14ac:dyDescent="0.45">
      <c r="A133" s="2" t="s">
        <v>510</v>
      </c>
      <c r="B133" s="2" t="s">
        <v>509</v>
      </c>
      <c r="C133" s="2">
        <v>2019</v>
      </c>
      <c r="D133" s="2">
        <v>3.0350000000000001</v>
      </c>
      <c r="E133" s="2">
        <v>1.879</v>
      </c>
      <c r="F133" s="2" t="s">
        <v>146</v>
      </c>
      <c r="G133" s="2">
        <v>0.23</v>
      </c>
      <c r="H133" s="2" t="s">
        <v>146</v>
      </c>
      <c r="I133" s="2" t="s">
        <v>146</v>
      </c>
      <c r="J133" s="2">
        <v>8.5000000000000006E-2</v>
      </c>
      <c r="K133" s="2" t="s">
        <v>146</v>
      </c>
      <c r="L133" s="2" t="s">
        <v>146</v>
      </c>
      <c r="M133" s="2" t="s">
        <v>49</v>
      </c>
      <c r="N133" s="2" t="s">
        <v>146</v>
      </c>
      <c r="O133" s="2" t="s">
        <v>146</v>
      </c>
      <c r="P133" s="2" t="s">
        <v>146</v>
      </c>
      <c r="Q133" s="2" t="s">
        <v>146</v>
      </c>
      <c r="R133" s="2" t="s">
        <v>146</v>
      </c>
      <c r="S133" s="2" t="s">
        <v>146</v>
      </c>
      <c r="T133" s="2" t="s">
        <v>146</v>
      </c>
      <c r="U133" s="2">
        <v>1.5640000000000001</v>
      </c>
      <c r="V133" s="2" t="s">
        <v>146</v>
      </c>
      <c r="W133" s="2" t="s">
        <v>146</v>
      </c>
      <c r="X133" s="2" t="s">
        <v>146</v>
      </c>
      <c r="Y133" s="2" t="s">
        <v>146</v>
      </c>
      <c r="Z133" s="2" t="s">
        <v>146</v>
      </c>
      <c r="AA133" s="2" t="s">
        <v>146</v>
      </c>
      <c r="AB133" s="2" t="s">
        <v>146</v>
      </c>
      <c r="AC133" s="2" t="s">
        <v>146</v>
      </c>
      <c r="AD133" s="2" t="s">
        <v>146</v>
      </c>
      <c r="AE133" s="2" t="s">
        <v>146</v>
      </c>
      <c r="AF133" s="2" t="s">
        <v>146</v>
      </c>
      <c r="AG133" s="2" t="s">
        <v>146</v>
      </c>
      <c r="AH133" s="2" t="s">
        <v>146</v>
      </c>
      <c r="AI133" s="2" t="s">
        <v>146</v>
      </c>
      <c r="AJ133" s="2" t="s">
        <v>146</v>
      </c>
      <c r="AK133" s="2" t="s">
        <v>146</v>
      </c>
      <c r="AL133" s="2" t="s">
        <v>146</v>
      </c>
      <c r="AM133" s="2" t="s">
        <v>146</v>
      </c>
      <c r="AN133" s="2" t="s">
        <v>49</v>
      </c>
      <c r="AO133" s="2" t="s">
        <v>146</v>
      </c>
      <c r="AP133" s="2" t="s">
        <v>146</v>
      </c>
      <c r="AQ133" s="2" t="s">
        <v>146</v>
      </c>
      <c r="AR133" s="2" t="s">
        <v>146</v>
      </c>
      <c r="AV133" s="2">
        <f t="shared" si="20"/>
        <v>1.879</v>
      </c>
      <c r="AW133" s="2">
        <f t="shared" si="21"/>
        <v>3.0350000000000001</v>
      </c>
      <c r="AX133" s="27">
        <f t="shared" si="22"/>
        <v>1.6152208621607238</v>
      </c>
      <c r="BA133" s="2">
        <f t="shared" si="23"/>
        <v>0</v>
      </c>
      <c r="BB133" s="2">
        <f t="shared" si="24"/>
        <v>0</v>
      </c>
      <c r="BC133" s="2">
        <f t="shared" si="25"/>
        <v>0</v>
      </c>
      <c r="BD133" s="2">
        <f t="shared" si="26"/>
        <v>0</v>
      </c>
      <c r="BE133" s="2">
        <f t="shared" si="27"/>
        <v>0</v>
      </c>
      <c r="BF133" s="2">
        <f t="shared" si="28"/>
        <v>0</v>
      </c>
      <c r="BJ133" s="2" t="str">
        <f t="shared" si="29"/>
        <v/>
      </c>
    </row>
    <row r="134" spans="1:62" ht="15" customHeight="1" x14ac:dyDescent="0.45">
      <c r="A134" s="2" t="s">
        <v>508</v>
      </c>
      <c r="B134" s="2" t="s">
        <v>83</v>
      </c>
      <c r="C134" s="2">
        <v>2019</v>
      </c>
      <c r="D134" s="2">
        <v>6.3</v>
      </c>
      <c r="E134" s="2">
        <v>7</v>
      </c>
      <c r="F134" s="2" t="s">
        <v>146</v>
      </c>
      <c r="G134" s="2">
        <v>7</v>
      </c>
      <c r="H134" s="2" t="s">
        <v>146</v>
      </c>
      <c r="I134" s="2" t="s">
        <v>146</v>
      </c>
      <c r="J134" s="2" t="s">
        <v>146</v>
      </c>
      <c r="K134" s="2" t="s">
        <v>146</v>
      </c>
      <c r="L134" s="2" t="s">
        <v>146</v>
      </c>
      <c r="M134" s="2" t="s">
        <v>49</v>
      </c>
      <c r="N134" s="2" t="s">
        <v>146</v>
      </c>
      <c r="O134" s="2" t="s">
        <v>146</v>
      </c>
      <c r="P134" s="2" t="s">
        <v>146</v>
      </c>
      <c r="Q134" s="2" t="s">
        <v>146</v>
      </c>
      <c r="R134" s="2" t="s">
        <v>146</v>
      </c>
      <c r="S134" s="2" t="s">
        <v>146</v>
      </c>
      <c r="T134" s="2" t="s">
        <v>147</v>
      </c>
      <c r="U134" s="2" t="s">
        <v>146</v>
      </c>
      <c r="V134" s="2" t="s">
        <v>146</v>
      </c>
      <c r="W134" s="2" t="s">
        <v>146</v>
      </c>
      <c r="X134" s="2">
        <v>0</v>
      </c>
      <c r="Y134" s="2" t="s">
        <v>146</v>
      </c>
      <c r="Z134" s="2">
        <v>0</v>
      </c>
      <c r="AA134" s="2" t="s">
        <v>146</v>
      </c>
      <c r="AB134" s="2">
        <v>0</v>
      </c>
      <c r="AC134" s="2" t="s">
        <v>146</v>
      </c>
      <c r="AD134" s="2">
        <v>2.1</v>
      </c>
      <c r="AE134" s="2" t="s">
        <v>160</v>
      </c>
      <c r="AF134" s="2">
        <v>37.299999999999997</v>
      </c>
      <c r="AG134" s="2" t="s">
        <v>146</v>
      </c>
      <c r="AH134" s="2" t="s">
        <v>146</v>
      </c>
      <c r="AI134" s="2" t="s">
        <v>146</v>
      </c>
      <c r="AJ134" s="2" t="s">
        <v>146</v>
      </c>
      <c r="AK134" s="2" t="s">
        <v>146</v>
      </c>
      <c r="AL134" s="2">
        <v>0</v>
      </c>
      <c r="AM134" s="2">
        <v>0</v>
      </c>
      <c r="AN134" s="2" t="s">
        <v>176</v>
      </c>
      <c r="AO134" s="2" t="s">
        <v>146</v>
      </c>
      <c r="AP134" s="2" t="s">
        <v>146</v>
      </c>
      <c r="AQ134" s="2" t="s">
        <v>146</v>
      </c>
      <c r="AR134" s="2" t="s">
        <v>146</v>
      </c>
      <c r="AV134" s="2">
        <f t="shared" si="20"/>
        <v>7</v>
      </c>
      <c r="AW134" s="2">
        <f t="shared" si="21"/>
        <v>6.3</v>
      </c>
      <c r="AX134" s="27">
        <f t="shared" si="22"/>
        <v>0.9</v>
      </c>
      <c r="BA134" s="2">
        <f t="shared" si="23"/>
        <v>0</v>
      </c>
      <c r="BB134" s="2">
        <f t="shared" si="24"/>
        <v>0</v>
      </c>
      <c r="BC134" s="2">
        <f t="shared" si="25"/>
        <v>0</v>
      </c>
      <c r="BD134" s="2">
        <f t="shared" si="26"/>
        <v>0</v>
      </c>
      <c r="BE134" s="2">
        <f t="shared" si="27"/>
        <v>0</v>
      </c>
      <c r="BF134" s="2">
        <f t="shared" si="28"/>
        <v>0</v>
      </c>
      <c r="BJ134" s="2" t="str">
        <f t="shared" si="29"/>
        <v/>
      </c>
    </row>
    <row r="135" spans="1:62" ht="15" customHeight="1" x14ac:dyDescent="0.45">
      <c r="A135" s="2" t="s">
        <v>507</v>
      </c>
      <c r="B135" s="2" t="s">
        <v>506</v>
      </c>
      <c r="C135" s="2">
        <v>2019</v>
      </c>
      <c r="D135" s="2">
        <v>155.91399999999999</v>
      </c>
      <c r="E135" s="2">
        <v>181.584</v>
      </c>
      <c r="F135" s="2" t="s">
        <v>146</v>
      </c>
      <c r="G135" s="2">
        <v>2.3610000000000002</v>
      </c>
      <c r="H135" s="2" t="s">
        <v>146</v>
      </c>
      <c r="I135" s="2" t="s">
        <v>146</v>
      </c>
      <c r="J135" s="2" t="s">
        <v>146</v>
      </c>
      <c r="K135" s="2" t="s">
        <v>146</v>
      </c>
      <c r="L135" s="2" t="s">
        <v>146</v>
      </c>
      <c r="M135" s="2" t="s">
        <v>49</v>
      </c>
      <c r="N135" s="2" t="s">
        <v>146</v>
      </c>
      <c r="O135" s="2" t="s">
        <v>146</v>
      </c>
      <c r="P135" s="2" t="s">
        <v>146</v>
      </c>
      <c r="Q135" s="2" t="s">
        <v>146</v>
      </c>
      <c r="R135" s="2" t="s">
        <v>146</v>
      </c>
      <c r="S135" s="2">
        <v>0.152</v>
      </c>
      <c r="T135" s="2" t="s">
        <v>147</v>
      </c>
      <c r="U135" s="2" t="s">
        <v>146</v>
      </c>
      <c r="V135" s="2" t="s">
        <v>146</v>
      </c>
      <c r="W135" s="2" t="s">
        <v>146</v>
      </c>
      <c r="X135" s="2" t="s">
        <v>146</v>
      </c>
      <c r="Y135" s="2" t="s">
        <v>146</v>
      </c>
      <c r="Z135" s="2">
        <v>1.8680000000000001</v>
      </c>
      <c r="AA135" s="2" t="s">
        <v>146</v>
      </c>
      <c r="AB135" s="2" t="s">
        <v>146</v>
      </c>
      <c r="AC135" s="2">
        <v>147.36500000000001</v>
      </c>
      <c r="AD135" s="2">
        <v>2.0049999999999999</v>
      </c>
      <c r="AE135" s="2" t="s">
        <v>160</v>
      </c>
      <c r="AF135" s="2">
        <v>37.299999999999997</v>
      </c>
      <c r="AG135" s="2" t="s">
        <v>146</v>
      </c>
      <c r="AH135" s="2">
        <v>29.838000000000001</v>
      </c>
      <c r="AI135" s="2" t="s">
        <v>146</v>
      </c>
      <c r="AJ135" s="2" t="s">
        <v>146</v>
      </c>
      <c r="AK135" s="2" t="s">
        <v>146</v>
      </c>
      <c r="AL135" s="2" t="s">
        <v>146</v>
      </c>
      <c r="AM135" s="2" t="s">
        <v>146</v>
      </c>
      <c r="AN135" s="2" t="s">
        <v>49</v>
      </c>
      <c r="AO135" s="2" t="s">
        <v>146</v>
      </c>
      <c r="AP135" s="2">
        <v>100</v>
      </c>
      <c r="AQ135" s="2" t="s">
        <v>146</v>
      </c>
      <c r="AR135" s="2" t="s">
        <v>146</v>
      </c>
      <c r="AV135" s="2">
        <f t="shared" si="20"/>
        <v>181.584</v>
      </c>
      <c r="AW135" s="2">
        <f t="shared" si="21"/>
        <v>155.91399999999999</v>
      </c>
      <c r="AX135" s="27">
        <f t="shared" si="22"/>
        <v>0.85863291919992946</v>
      </c>
      <c r="BA135" s="2">
        <f t="shared" si="23"/>
        <v>29.838000000000001</v>
      </c>
      <c r="BB135" s="2">
        <f t="shared" si="24"/>
        <v>0</v>
      </c>
      <c r="BC135" s="2">
        <f t="shared" si="25"/>
        <v>29.838000000000001</v>
      </c>
      <c r="BD135" s="2">
        <f t="shared" si="26"/>
        <v>0</v>
      </c>
      <c r="BE135" s="2">
        <f t="shared" si="27"/>
        <v>0</v>
      </c>
      <c r="BF135" s="2">
        <f t="shared" si="28"/>
        <v>0</v>
      </c>
      <c r="BJ135" s="2" t="str">
        <f t="shared" si="29"/>
        <v/>
      </c>
    </row>
    <row r="136" spans="1:62" ht="15" customHeight="1" x14ac:dyDescent="0.45">
      <c r="A136" s="2" t="s">
        <v>505</v>
      </c>
      <c r="B136" s="2" t="s">
        <v>504</v>
      </c>
      <c r="C136" s="2">
        <v>2019</v>
      </c>
      <c r="D136" s="2">
        <v>46.86</v>
      </c>
      <c r="E136" s="2">
        <v>46.56</v>
      </c>
      <c r="F136" s="2" t="s">
        <v>146</v>
      </c>
      <c r="G136" s="2">
        <v>0.18</v>
      </c>
      <c r="H136" s="2" t="s">
        <v>146</v>
      </c>
      <c r="I136" s="2" t="s">
        <v>146</v>
      </c>
      <c r="J136" s="2" t="s">
        <v>146</v>
      </c>
      <c r="K136" s="2" t="s">
        <v>146</v>
      </c>
      <c r="L136" s="2" t="s">
        <v>146</v>
      </c>
      <c r="M136" s="2" t="s">
        <v>49</v>
      </c>
      <c r="N136" s="2" t="s">
        <v>146</v>
      </c>
      <c r="O136" s="2" t="s">
        <v>146</v>
      </c>
      <c r="P136" s="2" t="s">
        <v>146</v>
      </c>
      <c r="Q136" s="2" t="s">
        <v>146</v>
      </c>
      <c r="R136" s="2" t="s">
        <v>146</v>
      </c>
      <c r="S136" s="2" t="s">
        <v>146</v>
      </c>
      <c r="T136" s="2" t="s">
        <v>146</v>
      </c>
      <c r="U136" s="2">
        <v>2.2000000000000002</v>
      </c>
      <c r="V136" s="2" t="s">
        <v>146</v>
      </c>
      <c r="W136" s="2" t="s">
        <v>146</v>
      </c>
      <c r="X136" s="2">
        <v>43.9</v>
      </c>
      <c r="Y136" s="2" t="s">
        <v>146</v>
      </c>
      <c r="Z136" s="2" t="s">
        <v>146</v>
      </c>
      <c r="AA136" s="2" t="s">
        <v>146</v>
      </c>
      <c r="AB136" s="2" t="s">
        <v>146</v>
      </c>
      <c r="AC136" s="2" t="s">
        <v>146</v>
      </c>
      <c r="AD136" s="2" t="s">
        <v>146</v>
      </c>
      <c r="AE136" s="2" t="s">
        <v>146</v>
      </c>
      <c r="AF136" s="2" t="s">
        <v>146</v>
      </c>
      <c r="AG136" s="2">
        <v>0.28000000000000003</v>
      </c>
      <c r="AH136" s="2" t="s">
        <v>146</v>
      </c>
      <c r="AI136" s="2" t="s">
        <v>146</v>
      </c>
      <c r="AJ136" s="2" t="s">
        <v>146</v>
      </c>
      <c r="AK136" s="2" t="s">
        <v>146</v>
      </c>
      <c r="AL136" s="2" t="s">
        <v>146</v>
      </c>
      <c r="AM136" s="2" t="s">
        <v>146</v>
      </c>
      <c r="AN136" s="2" t="s">
        <v>49</v>
      </c>
      <c r="AO136" s="2" t="s">
        <v>146</v>
      </c>
      <c r="AP136" s="2" t="s">
        <v>146</v>
      </c>
      <c r="AQ136" s="2" t="s">
        <v>146</v>
      </c>
      <c r="AR136" s="2" t="s">
        <v>146</v>
      </c>
      <c r="AV136" s="2">
        <f t="shared" si="20"/>
        <v>46.56</v>
      </c>
      <c r="AW136" s="2">
        <f t="shared" si="21"/>
        <v>46.86</v>
      </c>
      <c r="AX136" s="27">
        <f t="shared" si="22"/>
        <v>1.0064432989690721</v>
      </c>
      <c r="BA136" s="2">
        <f t="shared" si="23"/>
        <v>0</v>
      </c>
      <c r="BB136" s="2">
        <f t="shared" si="24"/>
        <v>0</v>
      </c>
      <c r="BC136" s="2">
        <f t="shared" si="25"/>
        <v>0</v>
      </c>
      <c r="BD136" s="2">
        <f t="shared" si="26"/>
        <v>0</v>
      </c>
      <c r="BE136" s="2">
        <f t="shared" si="27"/>
        <v>0</v>
      </c>
      <c r="BF136" s="2">
        <f t="shared" si="28"/>
        <v>0</v>
      </c>
      <c r="BJ136" s="2" t="str">
        <f t="shared" si="29"/>
        <v/>
      </c>
    </row>
    <row r="137" spans="1:62" ht="15" customHeight="1" x14ac:dyDescent="0.45">
      <c r="A137" s="2" t="s">
        <v>502</v>
      </c>
      <c r="B137" s="2" t="s">
        <v>503</v>
      </c>
      <c r="C137" s="2">
        <v>2019</v>
      </c>
      <c r="D137" s="2">
        <v>72.58</v>
      </c>
      <c r="E137" s="2">
        <v>86.897000000000006</v>
      </c>
      <c r="F137" s="2" t="s">
        <v>146</v>
      </c>
      <c r="G137" s="2">
        <v>16.274999999999999</v>
      </c>
      <c r="H137" s="2" t="s">
        <v>146</v>
      </c>
      <c r="I137" s="2" t="s">
        <v>146</v>
      </c>
      <c r="J137" s="2" t="s">
        <v>146</v>
      </c>
      <c r="K137" s="2" t="s">
        <v>146</v>
      </c>
      <c r="L137" s="2" t="s">
        <v>146</v>
      </c>
      <c r="M137" s="2" t="s">
        <v>49</v>
      </c>
      <c r="N137" s="2" t="s">
        <v>146</v>
      </c>
      <c r="O137" s="2" t="s">
        <v>146</v>
      </c>
      <c r="P137" s="2">
        <v>3.9809999999999999</v>
      </c>
      <c r="Q137" s="2" t="s">
        <v>146</v>
      </c>
      <c r="R137" s="2" t="s">
        <v>146</v>
      </c>
      <c r="S137" s="2" t="s">
        <v>146</v>
      </c>
      <c r="T137" s="2" t="s">
        <v>147</v>
      </c>
      <c r="U137" s="2">
        <v>3.2829999999999999</v>
      </c>
      <c r="V137" s="2" t="s">
        <v>146</v>
      </c>
      <c r="W137" s="2" t="s">
        <v>146</v>
      </c>
      <c r="X137" s="2">
        <v>50.965000000000003</v>
      </c>
      <c r="Y137" s="2" t="s">
        <v>146</v>
      </c>
      <c r="Z137" s="2">
        <v>12.393000000000001</v>
      </c>
      <c r="AA137" s="2" t="s">
        <v>146</v>
      </c>
      <c r="AB137" s="2" t="s">
        <v>146</v>
      </c>
      <c r="AC137" s="2" t="s">
        <v>146</v>
      </c>
      <c r="AD137" s="2" t="s">
        <v>146</v>
      </c>
      <c r="AE137" s="2" t="s">
        <v>155</v>
      </c>
      <c r="AF137" s="2" t="s">
        <v>146</v>
      </c>
      <c r="AG137" s="2" t="s">
        <v>146</v>
      </c>
      <c r="AH137" s="2" t="s">
        <v>146</v>
      </c>
      <c r="AI137" s="2" t="s">
        <v>146</v>
      </c>
      <c r="AJ137" s="2" t="s">
        <v>146</v>
      </c>
      <c r="AK137" s="2" t="s">
        <v>146</v>
      </c>
      <c r="AL137" s="2" t="s">
        <v>146</v>
      </c>
      <c r="AM137" s="2" t="s">
        <v>146</v>
      </c>
      <c r="AN137" s="2" t="s">
        <v>49</v>
      </c>
      <c r="AO137" s="2" t="s">
        <v>146</v>
      </c>
      <c r="AP137" s="2" t="s">
        <v>146</v>
      </c>
      <c r="AQ137" s="2" t="s">
        <v>146</v>
      </c>
      <c r="AR137" s="2" t="s">
        <v>146</v>
      </c>
      <c r="AV137" s="2">
        <f t="shared" si="20"/>
        <v>86.897000000000006</v>
      </c>
      <c r="AW137" s="2">
        <f t="shared" si="21"/>
        <v>72.58</v>
      </c>
      <c r="AX137" s="27">
        <f t="shared" si="22"/>
        <v>0.83524172295936561</v>
      </c>
      <c r="BA137" s="2">
        <f t="shared" si="23"/>
        <v>0</v>
      </c>
      <c r="BB137" s="2">
        <f t="shared" si="24"/>
        <v>0</v>
      </c>
      <c r="BC137" s="2">
        <f t="shared" si="25"/>
        <v>0</v>
      </c>
      <c r="BD137" s="2">
        <f t="shared" si="26"/>
        <v>0</v>
      </c>
      <c r="BE137" s="2">
        <f t="shared" si="27"/>
        <v>0</v>
      </c>
      <c r="BF137" s="2">
        <f t="shared" si="28"/>
        <v>0</v>
      </c>
      <c r="BJ137" s="2" t="str">
        <f t="shared" si="29"/>
        <v/>
      </c>
    </row>
    <row r="138" spans="1:62" ht="15" customHeight="1" x14ac:dyDescent="0.45">
      <c r="A138" s="2" t="s">
        <v>502</v>
      </c>
      <c r="B138" s="2" t="s">
        <v>501</v>
      </c>
      <c r="C138" s="2">
        <v>2019</v>
      </c>
      <c r="D138" s="2">
        <v>8.8710000000000004</v>
      </c>
      <c r="E138" s="2">
        <v>9.9529999999999994</v>
      </c>
      <c r="F138" s="2" t="s">
        <v>146</v>
      </c>
      <c r="G138" s="2">
        <v>1.0309999999999999</v>
      </c>
      <c r="H138" s="2" t="s">
        <v>146</v>
      </c>
      <c r="I138" s="2" t="s">
        <v>146</v>
      </c>
      <c r="J138" s="2" t="s">
        <v>146</v>
      </c>
      <c r="K138" s="2" t="s">
        <v>146</v>
      </c>
      <c r="L138" s="2" t="s">
        <v>146</v>
      </c>
      <c r="M138" s="2" t="s">
        <v>49</v>
      </c>
      <c r="N138" s="2" t="s">
        <v>146</v>
      </c>
      <c r="O138" s="2" t="s">
        <v>146</v>
      </c>
      <c r="P138" s="2">
        <v>8.4719999999999995</v>
      </c>
      <c r="Q138" s="2" t="s">
        <v>146</v>
      </c>
      <c r="R138" s="2" t="s">
        <v>146</v>
      </c>
      <c r="S138" s="2" t="s">
        <v>146</v>
      </c>
      <c r="T138" s="2" t="s">
        <v>147</v>
      </c>
      <c r="U138" s="2" t="s">
        <v>146</v>
      </c>
      <c r="V138" s="2" t="s">
        <v>146</v>
      </c>
      <c r="W138" s="2" t="s">
        <v>146</v>
      </c>
      <c r="X138" s="2" t="s">
        <v>146</v>
      </c>
      <c r="Y138" s="2" t="s">
        <v>146</v>
      </c>
      <c r="Z138" s="2" t="s">
        <v>146</v>
      </c>
      <c r="AA138" s="2" t="s">
        <v>146</v>
      </c>
      <c r="AB138" s="2" t="s">
        <v>146</v>
      </c>
      <c r="AC138" s="2" t="s">
        <v>146</v>
      </c>
      <c r="AD138" s="2" t="s">
        <v>146</v>
      </c>
      <c r="AE138" s="2" t="s">
        <v>146</v>
      </c>
      <c r="AF138" s="2" t="s">
        <v>146</v>
      </c>
      <c r="AG138" s="2" t="s">
        <v>146</v>
      </c>
      <c r="AH138" s="2" t="s">
        <v>146</v>
      </c>
      <c r="AI138" s="2" t="s">
        <v>146</v>
      </c>
      <c r="AJ138" s="2" t="s">
        <v>146</v>
      </c>
      <c r="AK138" s="2" t="s">
        <v>146</v>
      </c>
      <c r="AL138" s="2">
        <v>0.45</v>
      </c>
      <c r="AM138" s="2">
        <v>0.45</v>
      </c>
      <c r="AN138" s="2" t="s">
        <v>49</v>
      </c>
      <c r="AO138" s="2" t="s">
        <v>146</v>
      </c>
      <c r="AP138" s="2" t="s">
        <v>146</v>
      </c>
      <c r="AQ138" s="2" t="s">
        <v>146</v>
      </c>
      <c r="AR138" s="2" t="s">
        <v>146</v>
      </c>
      <c r="AV138" s="2">
        <f t="shared" si="20"/>
        <v>9.9529999999999994</v>
      </c>
      <c r="AW138" s="2">
        <f t="shared" si="21"/>
        <v>8.8710000000000004</v>
      </c>
      <c r="AX138" s="27">
        <f t="shared" si="22"/>
        <v>0.89128905857530405</v>
      </c>
      <c r="BA138" s="2">
        <f t="shared" si="23"/>
        <v>0</v>
      </c>
      <c r="BB138" s="2">
        <f t="shared" si="24"/>
        <v>0</v>
      </c>
      <c r="BC138" s="2">
        <f t="shared" si="25"/>
        <v>0</v>
      </c>
      <c r="BD138" s="2">
        <f t="shared" si="26"/>
        <v>0</v>
      </c>
      <c r="BE138" s="2">
        <f t="shared" si="27"/>
        <v>0</v>
      </c>
      <c r="BF138" s="2">
        <f t="shared" si="28"/>
        <v>0</v>
      </c>
      <c r="BJ138" s="2" t="str">
        <f t="shared" si="29"/>
        <v/>
      </c>
    </row>
    <row r="139" spans="1:62" ht="15" customHeight="1" x14ac:dyDescent="0.45">
      <c r="A139" s="2" t="s">
        <v>498</v>
      </c>
      <c r="B139" s="2" t="s">
        <v>500</v>
      </c>
      <c r="C139" s="2">
        <v>2019</v>
      </c>
      <c r="D139" s="2">
        <v>874.88900000000001</v>
      </c>
      <c r="E139" s="2">
        <v>270.113</v>
      </c>
      <c r="F139" s="2" t="s">
        <v>146</v>
      </c>
      <c r="G139" s="2" t="s">
        <v>146</v>
      </c>
      <c r="H139" s="2" t="s">
        <v>146</v>
      </c>
      <c r="I139" s="2" t="s">
        <v>146</v>
      </c>
      <c r="J139" s="2" t="s">
        <v>146</v>
      </c>
      <c r="K139" s="2" t="s">
        <v>146</v>
      </c>
      <c r="L139" s="2" t="s">
        <v>146</v>
      </c>
      <c r="M139" s="2" t="s">
        <v>49</v>
      </c>
      <c r="N139" s="2" t="s">
        <v>146</v>
      </c>
      <c r="O139" s="2" t="s">
        <v>146</v>
      </c>
      <c r="P139" s="2" t="s">
        <v>146</v>
      </c>
      <c r="Q139" s="2" t="s">
        <v>146</v>
      </c>
      <c r="R139" s="2" t="s">
        <v>146</v>
      </c>
      <c r="S139" s="2" t="s">
        <v>146</v>
      </c>
      <c r="T139" s="2" t="s">
        <v>146</v>
      </c>
      <c r="U139" s="2">
        <v>5.0949999999999998</v>
      </c>
      <c r="V139" s="2" t="s">
        <v>146</v>
      </c>
      <c r="W139" s="2" t="s">
        <v>146</v>
      </c>
      <c r="X139" s="2" t="s">
        <v>146</v>
      </c>
      <c r="Y139" s="2" t="s">
        <v>146</v>
      </c>
      <c r="Z139" s="2">
        <v>36.783000000000001</v>
      </c>
      <c r="AA139" s="2" t="s">
        <v>146</v>
      </c>
      <c r="AB139" s="2" t="s">
        <v>146</v>
      </c>
      <c r="AC139" s="2" t="s">
        <v>146</v>
      </c>
      <c r="AD139" s="2" t="s">
        <v>146</v>
      </c>
      <c r="AE139" s="2" t="s">
        <v>146</v>
      </c>
      <c r="AF139" s="2" t="s">
        <v>146</v>
      </c>
      <c r="AG139" s="2">
        <v>16.625</v>
      </c>
      <c r="AH139" s="2">
        <v>1.4690000000000001</v>
      </c>
      <c r="AI139" s="2">
        <v>210.14099999999999</v>
      </c>
      <c r="AJ139" s="2" t="s">
        <v>499</v>
      </c>
      <c r="AK139" s="2">
        <v>67.741</v>
      </c>
      <c r="AL139" s="2" t="s">
        <v>146</v>
      </c>
      <c r="AM139" s="2" t="s">
        <v>146</v>
      </c>
      <c r="AN139" s="2" t="s">
        <v>49</v>
      </c>
      <c r="AO139" s="2">
        <v>100</v>
      </c>
      <c r="AP139" s="2">
        <v>0</v>
      </c>
      <c r="AQ139" s="2">
        <v>0</v>
      </c>
      <c r="AR139" s="2">
        <v>0</v>
      </c>
      <c r="AV139" s="2">
        <f t="shared" si="20"/>
        <v>270.113</v>
      </c>
      <c r="AW139" s="2">
        <f t="shared" si="21"/>
        <v>874.88900000000001</v>
      </c>
      <c r="AX139" s="27">
        <f t="shared" si="22"/>
        <v>3.238974059004935</v>
      </c>
      <c r="BA139" s="2">
        <f t="shared" si="23"/>
        <v>1.4690000000000001</v>
      </c>
      <c r="BB139" s="2">
        <f t="shared" si="24"/>
        <v>1.4690000000000001</v>
      </c>
      <c r="BC139" s="2">
        <f t="shared" si="25"/>
        <v>0</v>
      </c>
      <c r="BD139" s="2">
        <f t="shared" si="26"/>
        <v>0</v>
      </c>
      <c r="BE139" s="2">
        <f t="shared" si="27"/>
        <v>0</v>
      </c>
      <c r="BF139" s="2">
        <f t="shared" si="28"/>
        <v>0</v>
      </c>
      <c r="BJ139" s="2" t="str">
        <f t="shared" si="29"/>
        <v/>
      </c>
    </row>
    <row r="140" spans="1:62" ht="15" customHeight="1" x14ac:dyDescent="0.45">
      <c r="A140" s="2" t="s">
        <v>498</v>
      </c>
      <c r="B140" s="2" t="s">
        <v>497</v>
      </c>
      <c r="C140" s="2">
        <v>2019</v>
      </c>
      <c r="D140" s="2">
        <v>62.531999999999996</v>
      </c>
      <c r="E140" s="2">
        <v>67.977999999999994</v>
      </c>
      <c r="F140" s="2" t="s">
        <v>146</v>
      </c>
      <c r="G140" s="2" t="s">
        <v>146</v>
      </c>
      <c r="H140" s="2" t="s">
        <v>146</v>
      </c>
      <c r="I140" s="2" t="s">
        <v>146</v>
      </c>
      <c r="J140" s="2" t="s">
        <v>146</v>
      </c>
      <c r="K140" s="2" t="s">
        <v>146</v>
      </c>
      <c r="L140" s="2" t="s">
        <v>146</v>
      </c>
      <c r="M140" s="2" t="s">
        <v>49</v>
      </c>
      <c r="N140" s="2" t="s">
        <v>146</v>
      </c>
      <c r="O140" s="2" t="s">
        <v>146</v>
      </c>
      <c r="P140" s="2">
        <v>41.27</v>
      </c>
      <c r="Q140" s="2" t="s">
        <v>146</v>
      </c>
      <c r="R140" s="2" t="s">
        <v>146</v>
      </c>
      <c r="S140" s="2" t="s">
        <v>146</v>
      </c>
      <c r="T140" s="2" t="s">
        <v>146</v>
      </c>
      <c r="U140" s="2">
        <v>3.24</v>
      </c>
      <c r="V140" s="2">
        <v>12.72</v>
      </c>
      <c r="W140" s="2" t="s">
        <v>146</v>
      </c>
      <c r="X140" s="2" t="s">
        <v>146</v>
      </c>
      <c r="Y140" s="2" t="s">
        <v>146</v>
      </c>
      <c r="Z140" s="2">
        <v>3.55</v>
      </c>
      <c r="AA140" s="2" t="s">
        <v>146</v>
      </c>
      <c r="AB140" s="2" t="s">
        <v>146</v>
      </c>
      <c r="AC140" s="2" t="s">
        <v>146</v>
      </c>
      <c r="AD140" s="2" t="s">
        <v>146</v>
      </c>
      <c r="AE140" s="2" t="s">
        <v>146</v>
      </c>
      <c r="AF140" s="2" t="s">
        <v>146</v>
      </c>
      <c r="AG140" s="2">
        <v>3.91</v>
      </c>
      <c r="AH140" s="2">
        <v>2.95</v>
      </c>
      <c r="AI140" s="2" t="s">
        <v>146</v>
      </c>
      <c r="AJ140" s="2" t="s">
        <v>146</v>
      </c>
      <c r="AK140" s="2" t="s">
        <v>146</v>
      </c>
      <c r="AL140" s="2">
        <v>0.33800000000000002</v>
      </c>
      <c r="AM140" s="2">
        <v>0.33800000000000002</v>
      </c>
      <c r="AN140" s="2" t="s">
        <v>49</v>
      </c>
      <c r="AO140" s="2">
        <v>100</v>
      </c>
      <c r="AP140" s="2">
        <v>0</v>
      </c>
      <c r="AQ140" s="2">
        <v>0</v>
      </c>
      <c r="AR140" s="2">
        <v>0</v>
      </c>
      <c r="AV140" s="2">
        <f t="shared" si="20"/>
        <v>67.977999999999994</v>
      </c>
      <c r="AW140" s="2">
        <f t="shared" si="21"/>
        <v>62.531999999999996</v>
      </c>
      <c r="AX140" s="27">
        <f t="shared" si="22"/>
        <v>0.91988584542057728</v>
      </c>
      <c r="BA140" s="2">
        <f t="shared" si="23"/>
        <v>2.95</v>
      </c>
      <c r="BB140" s="2">
        <f t="shared" si="24"/>
        <v>2.95</v>
      </c>
      <c r="BC140" s="2">
        <f t="shared" si="25"/>
        <v>0</v>
      </c>
      <c r="BD140" s="2">
        <f t="shared" si="26"/>
        <v>0</v>
      </c>
      <c r="BE140" s="2">
        <f t="shared" si="27"/>
        <v>0</v>
      </c>
      <c r="BF140" s="2">
        <f t="shared" si="28"/>
        <v>0</v>
      </c>
      <c r="BJ140" s="2" t="str">
        <f t="shared" si="29"/>
        <v/>
      </c>
    </row>
    <row r="141" spans="1:62" ht="15" customHeight="1" x14ac:dyDescent="0.45">
      <c r="A141" s="2" t="s">
        <v>493</v>
      </c>
      <c r="B141" s="2" t="s">
        <v>496</v>
      </c>
      <c r="C141" s="2">
        <v>2019</v>
      </c>
      <c r="D141" s="2">
        <v>1.2769999999999999</v>
      </c>
      <c r="E141" s="2">
        <v>1.2769999999999999</v>
      </c>
      <c r="F141" s="2" t="s">
        <v>146</v>
      </c>
      <c r="G141" s="2">
        <v>0.16</v>
      </c>
      <c r="H141" s="2" t="s">
        <v>146</v>
      </c>
      <c r="I141" s="2" t="s">
        <v>146</v>
      </c>
      <c r="J141" s="2" t="s">
        <v>146</v>
      </c>
      <c r="K141" s="2" t="s">
        <v>146</v>
      </c>
      <c r="L141" s="2" t="s">
        <v>146</v>
      </c>
      <c r="M141" s="2" t="s">
        <v>49</v>
      </c>
      <c r="N141" s="2" t="s">
        <v>146</v>
      </c>
      <c r="O141" s="2" t="s">
        <v>146</v>
      </c>
      <c r="P141" s="2" t="s">
        <v>146</v>
      </c>
      <c r="Q141" s="2" t="s">
        <v>146</v>
      </c>
      <c r="R141" s="2" t="s">
        <v>146</v>
      </c>
      <c r="S141" s="2" t="s">
        <v>146</v>
      </c>
      <c r="T141" s="2" t="s">
        <v>146</v>
      </c>
      <c r="U141" s="2">
        <v>1.117</v>
      </c>
      <c r="V141" s="2" t="s">
        <v>146</v>
      </c>
      <c r="W141" s="2" t="s">
        <v>146</v>
      </c>
      <c r="X141" s="2" t="s">
        <v>146</v>
      </c>
      <c r="Y141" s="2" t="s">
        <v>146</v>
      </c>
      <c r="Z141" s="2" t="s">
        <v>146</v>
      </c>
      <c r="AA141" s="2" t="s">
        <v>146</v>
      </c>
      <c r="AB141" s="2" t="s">
        <v>146</v>
      </c>
      <c r="AC141" s="2" t="s">
        <v>146</v>
      </c>
      <c r="AD141" s="2" t="s">
        <v>146</v>
      </c>
      <c r="AE141" s="2" t="s">
        <v>146</v>
      </c>
      <c r="AF141" s="2" t="s">
        <v>146</v>
      </c>
      <c r="AG141" s="2" t="s">
        <v>146</v>
      </c>
      <c r="AH141" s="2" t="s">
        <v>146</v>
      </c>
      <c r="AI141" s="2" t="s">
        <v>146</v>
      </c>
      <c r="AJ141" s="2" t="s">
        <v>146</v>
      </c>
      <c r="AK141" s="2" t="s">
        <v>146</v>
      </c>
      <c r="AL141" s="2" t="s">
        <v>146</v>
      </c>
      <c r="AM141" s="2" t="s">
        <v>146</v>
      </c>
      <c r="AN141" s="2" t="s">
        <v>49</v>
      </c>
      <c r="AO141" s="2" t="s">
        <v>146</v>
      </c>
      <c r="AP141" s="2" t="s">
        <v>146</v>
      </c>
      <c r="AQ141" s="2" t="s">
        <v>146</v>
      </c>
      <c r="AR141" s="2" t="s">
        <v>146</v>
      </c>
      <c r="AV141" s="2">
        <f t="shared" si="20"/>
        <v>1.2769999999999999</v>
      </c>
      <c r="AW141" s="2">
        <f t="shared" si="21"/>
        <v>1.2769999999999999</v>
      </c>
      <c r="AX141" s="27">
        <f t="shared" si="22"/>
        <v>1</v>
      </c>
      <c r="BA141" s="2">
        <f t="shared" si="23"/>
        <v>0</v>
      </c>
      <c r="BB141" s="2">
        <f t="shared" si="24"/>
        <v>0</v>
      </c>
      <c r="BC141" s="2">
        <f t="shared" si="25"/>
        <v>0</v>
      </c>
      <c r="BD141" s="2">
        <f t="shared" si="26"/>
        <v>0</v>
      </c>
      <c r="BE141" s="2">
        <f t="shared" si="27"/>
        <v>0</v>
      </c>
      <c r="BF141" s="2">
        <f t="shared" si="28"/>
        <v>0</v>
      </c>
      <c r="BJ141" s="2" t="str">
        <f t="shared" si="29"/>
        <v/>
      </c>
    </row>
    <row r="142" spans="1:62" ht="15" customHeight="1" x14ac:dyDescent="0.45">
      <c r="A142" s="2" t="s">
        <v>493</v>
      </c>
      <c r="B142" s="2" t="s">
        <v>495</v>
      </c>
      <c r="C142" s="2">
        <v>2019</v>
      </c>
      <c r="D142" s="2">
        <v>1.2310000000000001</v>
      </c>
      <c r="E142" s="2">
        <v>1.2310000000000001</v>
      </c>
      <c r="F142" s="2" t="s">
        <v>146</v>
      </c>
      <c r="G142" s="2">
        <v>7.1999999999999995E-2</v>
      </c>
      <c r="H142" s="2" t="s">
        <v>146</v>
      </c>
      <c r="I142" s="2" t="s">
        <v>146</v>
      </c>
      <c r="J142" s="2" t="s">
        <v>146</v>
      </c>
      <c r="K142" s="2" t="s">
        <v>146</v>
      </c>
      <c r="L142" s="2" t="s">
        <v>146</v>
      </c>
      <c r="M142" s="2" t="s">
        <v>49</v>
      </c>
      <c r="N142" s="2" t="s">
        <v>146</v>
      </c>
      <c r="O142" s="2" t="s">
        <v>146</v>
      </c>
      <c r="P142" s="2" t="s">
        <v>146</v>
      </c>
      <c r="Q142" s="2" t="s">
        <v>146</v>
      </c>
      <c r="R142" s="2" t="s">
        <v>146</v>
      </c>
      <c r="S142" s="2" t="s">
        <v>146</v>
      </c>
      <c r="T142" s="2" t="s">
        <v>146</v>
      </c>
      <c r="U142" s="2">
        <v>1.159</v>
      </c>
      <c r="V142" s="2" t="s">
        <v>146</v>
      </c>
      <c r="W142" s="2" t="s">
        <v>146</v>
      </c>
      <c r="X142" s="2" t="s">
        <v>146</v>
      </c>
      <c r="Y142" s="2" t="s">
        <v>146</v>
      </c>
      <c r="Z142" s="2" t="s">
        <v>146</v>
      </c>
      <c r="AA142" s="2" t="s">
        <v>146</v>
      </c>
      <c r="AB142" s="2" t="s">
        <v>146</v>
      </c>
      <c r="AC142" s="2" t="s">
        <v>146</v>
      </c>
      <c r="AD142" s="2" t="s">
        <v>146</v>
      </c>
      <c r="AE142" s="2" t="s">
        <v>146</v>
      </c>
      <c r="AF142" s="2" t="s">
        <v>146</v>
      </c>
      <c r="AG142" s="2" t="s">
        <v>146</v>
      </c>
      <c r="AH142" s="2" t="s">
        <v>146</v>
      </c>
      <c r="AI142" s="2" t="s">
        <v>146</v>
      </c>
      <c r="AJ142" s="2" t="s">
        <v>146</v>
      </c>
      <c r="AK142" s="2" t="s">
        <v>146</v>
      </c>
      <c r="AL142" s="2" t="s">
        <v>146</v>
      </c>
      <c r="AM142" s="2" t="s">
        <v>146</v>
      </c>
      <c r="AN142" s="2" t="s">
        <v>49</v>
      </c>
      <c r="AO142" s="2" t="s">
        <v>146</v>
      </c>
      <c r="AP142" s="2" t="s">
        <v>146</v>
      </c>
      <c r="AQ142" s="2" t="s">
        <v>146</v>
      </c>
      <c r="AR142" s="2" t="s">
        <v>146</v>
      </c>
      <c r="AV142" s="2">
        <f t="shared" si="20"/>
        <v>1.2310000000000001</v>
      </c>
      <c r="AW142" s="2">
        <f t="shared" si="21"/>
        <v>1.2310000000000001</v>
      </c>
      <c r="AX142" s="27">
        <f t="shared" si="22"/>
        <v>1</v>
      </c>
      <c r="BA142" s="2">
        <f t="shared" si="23"/>
        <v>0</v>
      </c>
      <c r="BB142" s="2">
        <f t="shared" si="24"/>
        <v>0</v>
      </c>
      <c r="BC142" s="2">
        <f t="shared" si="25"/>
        <v>0</v>
      </c>
      <c r="BD142" s="2">
        <f t="shared" si="26"/>
        <v>0</v>
      </c>
      <c r="BE142" s="2">
        <f t="shared" si="27"/>
        <v>0</v>
      </c>
      <c r="BF142" s="2">
        <f t="shared" si="28"/>
        <v>0</v>
      </c>
      <c r="BJ142" s="2" t="str">
        <f t="shared" si="29"/>
        <v/>
      </c>
    </row>
    <row r="143" spans="1:62" ht="15" customHeight="1" x14ac:dyDescent="0.45">
      <c r="A143" s="2" t="s">
        <v>493</v>
      </c>
      <c r="B143" s="2" t="s">
        <v>494</v>
      </c>
      <c r="C143" s="2">
        <v>2019</v>
      </c>
      <c r="D143" s="2">
        <v>3.347</v>
      </c>
      <c r="E143" s="2">
        <v>3.1720000000000002</v>
      </c>
      <c r="F143" s="2" t="s">
        <v>146</v>
      </c>
      <c r="G143" s="2">
        <v>4.7E-2</v>
      </c>
      <c r="H143" s="2" t="s">
        <v>146</v>
      </c>
      <c r="I143" s="2" t="s">
        <v>146</v>
      </c>
      <c r="J143" s="2" t="s">
        <v>146</v>
      </c>
      <c r="K143" s="2" t="s">
        <v>146</v>
      </c>
      <c r="L143" s="2" t="s">
        <v>146</v>
      </c>
      <c r="M143" s="2" t="s">
        <v>49</v>
      </c>
      <c r="N143" s="2" t="s">
        <v>146</v>
      </c>
      <c r="O143" s="2" t="s">
        <v>146</v>
      </c>
      <c r="P143" s="2" t="s">
        <v>146</v>
      </c>
      <c r="Q143" s="2" t="s">
        <v>146</v>
      </c>
      <c r="R143" s="2" t="s">
        <v>146</v>
      </c>
      <c r="S143" s="2" t="s">
        <v>146</v>
      </c>
      <c r="T143" s="2" t="s">
        <v>146</v>
      </c>
      <c r="U143" s="2">
        <v>3.125</v>
      </c>
      <c r="V143" s="2" t="s">
        <v>146</v>
      </c>
      <c r="W143" s="2" t="s">
        <v>146</v>
      </c>
      <c r="X143" s="2" t="s">
        <v>146</v>
      </c>
      <c r="Y143" s="2" t="s">
        <v>146</v>
      </c>
      <c r="Z143" s="2" t="s">
        <v>146</v>
      </c>
      <c r="AA143" s="2" t="s">
        <v>146</v>
      </c>
      <c r="AB143" s="2" t="s">
        <v>146</v>
      </c>
      <c r="AC143" s="2" t="s">
        <v>146</v>
      </c>
      <c r="AD143" s="2" t="s">
        <v>146</v>
      </c>
      <c r="AE143" s="2" t="s">
        <v>146</v>
      </c>
      <c r="AF143" s="2" t="s">
        <v>146</v>
      </c>
      <c r="AG143" s="2" t="s">
        <v>146</v>
      </c>
      <c r="AH143" s="2" t="s">
        <v>146</v>
      </c>
      <c r="AI143" s="2" t="s">
        <v>146</v>
      </c>
      <c r="AJ143" s="2" t="s">
        <v>146</v>
      </c>
      <c r="AK143" s="2" t="s">
        <v>146</v>
      </c>
      <c r="AL143" s="2" t="s">
        <v>146</v>
      </c>
      <c r="AM143" s="2" t="s">
        <v>146</v>
      </c>
      <c r="AN143" s="2" t="s">
        <v>49</v>
      </c>
      <c r="AO143" s="2" t="s">
        <v>146</v>
      </c>
      <c r="AP143" s="2" t="s">
        <v>146</v>
      </c>
      <c r="AQ143" s="2" t="s">
        <v>146</v>
      </c>
      <c r="AR143" s="2" t="s">
        <v>146</v>
      </c>
      <c r="AV143" s="2">
        <f t="shared" si="20"/>
        <v>3.1720000000000002</v>
      </c>
      <c r="AW143" s="2">
        <f t="shared" si="21"/>
        <v>3.347</v>
      </c>
      <c r="AX143" s="27">
        <f t="shared" si="22"/>
        <v>1.0551702395964691</v>
      </c>
      <c r="BA143" s="2">
        <f t="shared" si="23"/>
        <v>0</v>
      </c>
      <c r="BB143" s="2">
        <f t="shared" si="24"/>
        <v>0</v>
      </c>
      <c r="BC143" s="2">
        <f t="shared" si="25"/>
        <v>0</v>
      </c>
      <c r="BD143" s="2">
        <f t="shared" si="26"/>
        <v>0</v>
      </c>
      <c r="BE143" s="2">
        <f t="shared" si="27"/>
        <v>0</v>
      </c>
      <c r="BF143" s="2">
        <f t="shared" si="28"/>
        <v>0</v>
      </c>
      <c r="BJ143" s="2" t="str">
        <f t="shared" si="29"/>
        <v/>
      </c>
    </row>
    <row r="144" spans="1:62" ht="15" customHeight="1" x14ac:dyDescent="0.45">
      <c r="A144" s="2" t="s">
        <v>493</v>
      </c>
      <c r="B144" s="2" t="s">
        <v>492</v>
      </c>
      <c r="C144" s="2">
        <v>2019</v>
      </c>
      <c r="D144" s="2">
        <v>1.708</v>
      </c>
      <c r="E144" s="2">
        <v>0.26100000000000001</v>
      </c>
      <c r="F144" s="2" t="s">
        <v>146</v>
      </c>
      <c r="G144" s="2" t="s">
        <v>146</v>
      </c>
      <c r="H144" s="2" t="s">
        <v>146</v>
      </c>
      <c r="I144" s="2" t="s">
        <v>146</v>
      </c>
      <c r="J144" s="2" t="s">
        <v>146</v>
      </c>
      <c r="K144" s="2" t="s">
        <v>146</v>
      </c>
      <c r="L144" s="2" t="s">
        <v>146</v>
      </c>
      <c r="M144" s="2" t="s">
        <v>49</v>
      </c>
      <c r="N144" s="2" t="s">
        <v>146</v>
      </c>
      <c r="O144" s="2" t="s">
        <v>146</v>
      </c>
      <c r="P144" s="2" t="s">
        <v>146</v>
      </c>
      <c r="Q144" s="2" t="s">
        <v>146</v>
      </c>
      <c r="R144" s="2" t="s">
        <v>146</v>
      </c>
      <c r="S144" s="2" t="s">
        <v>146</v>
      </c>
      <c r="T144" s="2" t="s">
        <v>146</v>
      </c>
      <c r="U144" s="2" t="s">
        <v>146</v>
      </c>
      <c r="V144" s="2" t="s">
        <v>146</v>
      </c>
      <c r="W144" s="2" t="s">
        <v>146</v>
      </c>
      <c r="X144" s="2" t="s">
        <v>146</v>
      </c>
      <c r="Y144" s="2" t="s">
        <v>146</v>
      </c>
      <c r="Z144" s="2">
        <v>0.26100000000000001</v>
      </c>
      <c r="AA144" s="2" t="s">
        <v>146</v>
      </c>
      <c r="AB144" s="2" t="s">
        <v>146</v>
      </c>
      <c r="AC144" s="2" t="s">
        <v>146</v>
      </c>
      <c r="AD144" s="2" t="s">
        <v>146</v>
      </c>
      <c r="AE144" s="2" t="s">
        <v>146</v>
      </c>
      <c r="AF144" s="2" t="s">
        <v>146</v>
      </c>
      <c r="AG144" s="2" t="s">
        <v>146</v>
      </c>
      <c r="AH144" s="2" t="s">
        <v>146</v>
      </c>
      <c r="AI144" s="2" t="s">
        <v>146</v>
      </c>
      <c r="AJ144" s="2" t="s">
        <v>146</v>
      </c>
      <c r="AK144" s="2" t="s">
        <v>146</v>
      </c>
      <c r="AL144" s="2" t="s">
        <v>146</v>
      </c>
      <c r="AM144" s="2" t="s">
        <v>146</v>
      </c>
      <c r="AN144" s="2" t="s">
        <v>491</v>
      </c>
      <c r="AO144" s="2" t="s">
        <v>146</v>
      </c>
      <c r="AP144" s="2" t="s">
        <v>146</v>
      </c>
      <c r="AQ144" s="2" t="s">
        <v>146</v>
      </c>
      <c r="AR144" s="2" t="s">
        <v>146</v>
      </c>
      <c r="AV144" s="2">
        <f t="shared" si="20"/>
        <v>0.26100000000000001</v>
      </c>
      <c r="AW144" s="2">
        <f t="shared" si="21"/>
        <v>1.708</v>
      </c>
      <c r="AX144" s="27">
        <f t="shared" si="22"/>
        <v>6.5440613026819916</v>
      </c>
      <c r="BA144" s="2">
        <f t="shared" si="23"/>
        <v>0</v>
      </c>
      <c r="BB144" s="2">
        <f t="shared" si="24"/>
        <v>0</v>
      </c>
      <c r="BC144" s="2">
        <f t="shared" si="25"/>
        <v>0</v>
      </c>
      <c r="BD144" s="2">
        <f t="shared" si="26"/>
        <v>0</v>
      </c>
      <c r="BE144" s="2">
        <f t="shared" si="27"/>
        <v>0</v>
      </c>
      <c r="BF144" s="2">
        <f t="shared" si="28"/>
        <v>0</v>
      </c>
      <c r="BJ144" s="2" t="str">
        <f t="shared" si="29"/>
        <v/>
      </c>
    </row>
    <row r="145" spans="1:62" ht="15" customHeight="1" x14ac:dyDescent="0.45">
      <c r="A145" s="2" t="s">
        <v>490</v>
      </c>
      <c r="B145" s="2" t="s">
        <v>489</v>
      </c>
      <c r="C145" s="2">
        <v>2019</v>
      </c>
      <c r="D145" s="2">
        <v>75</v>
      </c>
      <c r="E145" s="2">
        <v>83.713499999999996</v>
      </c>
      <c r="F145" s="2" t="s">
        <v>146</v>
      </c>
      <c r="G145" s="2">
        <v>0.24</v>
      </c>
      <c r="H145" s="2" t="s">
        <v>146</v>
      </c>
      <c r="I145" s="2" t="s">
        <v>146</v>
      </c>
      <c r="J145" s="2">
        <v>3.5000000000000001E-3</v>
      </c>
      <c r="K145" s="2" t="s">
        <v>146</v>
      </c>
      <c r="L145" s="2" t="s">
        <v>146</v>
      </c>
      <c r="M145" s="2" t="s">
        <v>176</v>
      </c>
      <c r="N145" s="2" t="s">
        <v>146</v>
      </c>
      <c r="O145" s="2" t="s">
        <v>146</v>
      </c>
      <c r="P145" s="2">
        <v>29.18</v>
      </c>
      <c r="Q145" s="2" t="s">
        <v>146</v>
      </c>
      <c r="R145" s="2" t="s">
        <v>146</v>
      </c>
      <c r="S145" s="2" t="s">
        <v>146</v>
      </c>
      <c r="T145" s="2" t="s">
        <v>433</v>
      </c>
      <c r="U145" s="2" t="s">
        <v>146</v>
      </c>
      <c r="V145" s="2" t="s">
        <v>146</v>
      </c>
      <c r="W145" s="2" t="s">
        <v>146</v>
      </c>
      <c r="X145" s="2">
        <v>54.29</v>
      </c>
      <c r="Y145" s="2" t="s">
        <v>146</v>
      </c>
      <c r="Z145" s="2" t="s">
        <v>146</v>
      </c>
      <c r="AA145" s="2" t="s">
        <v>146</v>
      </c>
      <c r="AB145" s="2" t="s">
        <v>146</v>
      </c>
      <c r="AC145" s="2" t="s">
        <v>146</v>
      </c>
      <c r="AD145" s="2" t="s">
        <v>146</v>
      </c>
      <c r="AE145" s="2" t="s">
        <v>146</v>
      </c>
      <c r="AF145" s="2" t="s">
        <v>146</v>
      </c>
      <c r="AG145" s="2" t="s">
        <v>146</v>
      </c>
      <c r="AH145" s="2" t="s">
        <v>146</v>
      </c>
      <c r="AI145" s="2" t="s">
        <v>146</v>
      </c>
      <c r="AJ145" s="2" t="s">
        <v>146</v>
      </c>
      <c r="AK145" s="2" t="s">
        <v>146</v>
      </c>
      <c r="AL145" s="2" t="s">
        <v>146</v>
      </c>
      <c r="AM145" s="2" t="s">
        <v>146</v>
      </c>
      <c r="AN145" s="2" t="s">
        <v>49</v>
      </c>
      <c r="AO145" s="2" t="s">
        <v>146</v>
      </c>
      <c r="AP145" s="2" t="s">
        <v>146</v>
      </c>
      <c r="AQ145" s="2" t="s">
        <v>146</v>
      </c>
      <c r="AR145" s="2" t="s">
        <v>146</v>
      </c>
      <c r="AV145" s="2">
        <f t="shared" si="20"/>
        <v>83.713499999999996</v>
      </c>
      <c r="AW145" s="2">
        <f t="shared" si="21"/>
        <v>75</v>
      </c>
      <c r="AX145" s="27">
        <f t="shared" si="22"/>
        <v>0.89591284559838025</v>
      </c>
      <c r="BA145" s="2">
        <f t="shared" si="23"/>
        <v>0</v>
      </c>
      <c r="BB145" s="2">
        <f t="shared" si="24"/>
        <v>0</v>
      </c>
      <c r="BC145" s="2">
        <f t="shared" si="25"/>
        <v>0</v>
      </c>
      <c r="BD145" s="2">
        <f t="shared" si="26"/>
        <v>0</v>
      </c>
      <c r="BE145" s="2">
        <f t="shared" si="27"/>
        <v>0</v>
      </c>
      <c r="BF145" s="2">
        <f t="shared" si="28"/>
        <v>0</v>
      </c>
      <c r="BJ145" s="2" t="str">
        <f t="shared" si="29"/>
        <v/>
      </c>
    </row>
    <row r="146" spans="1:62" ht="15" customHeight="1" x14ac:dyDescent="0.45">
      <c r="A146" s="2" t="s">
        <v>480</v>
      </c>
      <c r="B146" s="2" t="s">
        <v>488</v>
      </c>
      <c r="C146" s="2">
        <v>2019</v>
      </c>
      <c r="D146" s="2">
        <v>10.1</v>
      </c>
      <c r="E146" s="2">
        <v>12.08</v>
      </c>
      <c r="F146" s="2" t="s">
        <v>146</v>
      </c>
      <c r="G146" s="2">
        <v>0.43</v>
      </c>
      <c r="H146" s="2" t="s">
        <v>146</v>
      </c>
      <c r="I146" s="2" t="s">
        <v>146</v>
      </c>
      <c r="J146" s="2" t="s">
        <v>146</v>
      </c>
      <c r="K146" s="2" t="s">
        <v>146</v>
      </c>
      <c r="L146" s="2" t="s">
        <v>146</v>
      </c>
      <c r="M146" s="2" t="s">
        <v>49</v>
      </c>
      <c r="N146" s="2" t="s">
        <v>146</v>
      </c>
      <c r="O146" s="2" t="s">
        <v>146</v>
      </c>
      <c r="P146" s="2">
        <v>11.65</v>
      </c>
      <c r="Q146" s="2" t="s">
        <v>146</v>
      </c>
      <c r="R146" s="2" t="s">
        <v>146</v>
      </c>
      <c r="S146" s="2" t="s">
        <v>146</v>
      </c>
      <c r="T146" s="2" t="s">
        <v>146</v>
      </c>
      <c r="U146" s="2" t="s">
        <v>146</v>
      </c>
      <c r="V146" s="2" t="s">
        <v>146</v>
      </c>
      <c r="W146" s="2" t="s">
        <v>146</v>
      </c>
      <c r="X146" s="2" t="s">
        <v>146</v>
      </c>
      <c r="Y146" s="2" t="s">
        <v>146</v>
      </c>
      <c r="Z146" s="2" t="s">
        <v>146</v>
      </c>
      <c r="AA146" s="2" t="s">
        <v>146</v>
      </c>
      <c r="AB146" s="2" t="s">
        <v>146</v>
      </c>
      <c r="AC146" s="2" t="s">
        <v>146</v>
      </c>
      <c r="AD146" s="2" t="s">
        <v>146</v>
      </c>
      <c r="AE146" s="2" t="s">
        <v>146</v>
      </c>
      <c r="AF146" s="2" t="s">
        <v>146</v>
      </c>
      <c r="AG146" s="2" t="s">
        <v>146</v>
      </c>
      <c r="AH146" s="2" t="s">
        <v>146</v>
      </c>
      <c r="AI146" s="2" t="s">
        <v>146</v>
      </c>
      <c r="AJ146" s="2" t="s">
        <v>146</v>
      </c>
      <c r="AK146" s="2" t="s">
        <v>146</v>
      </c>
      <c r="AL146" s="2" t="s">
        <v>146</v>
      </c>
      <c r="AM146" s="2" t="s">
        <v>146</v>
      </c>
      <c r="AN146" s="2" t="s">
        <v>49</v>
      </c>
      <c r="AO146" s="2" t="s">
        <v>146</v>
      </c>
      <c r="AP146" s="2" t="s">
        <v>146</v>
      </c>
      <c r="AQ146" s="2" t="s">
        <v>146</v>
      </c>
      <c r="AR146" s="2" t="s">
        <v>146</v>
      </c>
      <c r="AV146" s="2">
        <f t="shared" si="20"/>
        <v>12.08</v>
      </c>
      <c r="AW146" s="2">
        <f t="shared" si="21"/>
        <v>10.1</v>
      </c>
      <c r="AX146" s="27">
        <f t="shared" si="22"/>
        <v>0.83609271523178808</v>
      </c>
      <c r="BA146" s="2">
        <f t="shared" si="23"/>
        <v>0</v>
      </c>
      <c r="BB146" s="2">
        <f t="shared" si="24"/>
        <v>0</v>
      </c>
      <c r="BC146" s="2">
        <f t="shared" si="25"/>
        <v>0</v>
      </c>
      <c r="BD146" s="2">
        <f t="shared" si="26"/>
        <v>0</v>
      </c>
      <c r="BE146" s="2">
        <f t="shared" si="27"/>
        <v>0</v>
      </c>
      <c r="BF146" s="2">
        <f t="shared" si="28"/>
        <v>0</v>
      </c>
      <c r="BJ146" s="2" t="str">
        <f t="shared" si="29"/>
        <v/>
      </c>
    </row>
    <row r="147" spans="1:62" ht="15" customHeight="1" x14ac:dyDescent="0.45">
      <c r="A147" s="2" t="s">
        <v>480</v>
      </c>
      <c r="B147" s="2" t="s">
        <v>487</v>
      </c>
      <c r="C147" s="2">
        <v>2019</v>
      </c>
      <c r="D147" s="2">
        <v>8.2050000000000001</v>
      </c>
      <c r="E147" s="2">
        <v>9.6820000000000004</v>
      </c>
      <c r="F147" s="2" t="s">
        <v>146</v>
      </c>
      <c r="G147" s="2">
        <v>0.41899999999999998</v>
      </c>
      <c r="H147" s="2" t="s">
        <v>146</v>
      </c>
      <c r="I147" s="2" t="s">
        <v>146</v>
      </c>
      <c r="J147" s="2" t="s">
        <v>146</v>
      </c>
      <c r="K147" s="2" t="s">
        <v>146</v>
      </c>
      <c r="L147" s="2" t="s">
        <v>146</v>
      </c>
      <c r="M147" s="2" t="s">
        <v>49</v>
      </c>
      <c r="N147" s="2" t="s">
        <v>146</v>
      </c>
      <c r="O147" s="2" t="s">
        <v>146</v>
      </c>
      <c r="P147" s="2">
        <v>9.2629999999999999</v>
      </c>
      <c r="Q147" s="2" t="s">
        <v>146</v>
      </c>
      <c r="R147" s="2" t="s">
        <v>146</v>
      </c>
      <c r="S147" s="2" t="s">
        <v>146</v>
      </c>
      <c r="T147" s="2" t="s">
        <v>146</v>
      </c>
      <c r="U147" s="2" t="s">
        <v>146</v>
      </c>
      <c r="V147" s="2" t="s">
        <v>146</v>
      </c>
      <c r="W147" s="2" t="s">
        <v>146</v>
      </c>
      <c r="X147" s="2" t="s">
        <v>146</v>
      </c>
      <c r="Y147" s="2" t="s">
        <v>146</v>
      </c>
      <c r="Z147" s="2" t="s">
        <v>146</v>
      </c>
      <c r="AA147" s="2" t="s">
        <v>146</v>
      </c>
      <c r="AB147" s="2" t="s">
        <v>146</v>
      </c>
      <c r="AC147" s="2" t="s">
        <v>146</v>
      </c>
      <c r="AD147" s="2" t="s">
        <v>146</v>
      </c>
      <c r="AE147" s="2" t="s">
        <v>146</v>
      </c>
      <c r="AF147" s="2" t="s">
        <v>146</v>
      </c>
      <c r="AG147" s="2" t="s">
        <v>146</v>
      </c>
      <c r="AH147" s="2" t="s">
        <v>146</v>
      </c>
      <c r="AI147" s="2" t="s">
        <v>146</v>
      </c>
      <c r="AJ147" s="2" t="s">
        <v>146</v>
      </c>
      <c r="AK147" s="2" t="s">
        <v>146</v>
      </c>
      <c r="AL147" s="2" t="s">
        <v>146</v>
      </c>
      <c r="AM147" s="2" t="s">
        <v>146</v>
      </c>
      <c r="AN147" s="2" t="s">
        <v>49</v>
      </c>
      <c r="AO147" s="2" t="s">
        <v>146</v>
      </c>
      <c r="AP147" s="2" t="s">
        <v>146</v>
      </c>
      <c r="AQ147" s="2" t="s">
        <v>146</v>
      </c>
      <c r="AR147" s="2" t="s">
        <v>146</v>
      </c>
      <c r="AV147" s="2">
        <f t="shared" si="20"/>
        <v>9.6820000000000004</v>
      </c>
      <c r="AW147" s="2">
        <f t="shared" si="21"/>
        <v>8.2050000000000001</v>
      </c>
      <c r="AX147" s="27">
        <f t="shared" si="22"/>
        <v>0.84744887419954551</v>
      </c>
      <c r="BA147" s="2">
        <f t="shared" si="23"/>
        <v>0</v>
      </c>
      <c r="BB147" s="2">
        <f t="shared" si="24"/>
        <v>0</v>
      </c>
      <c r="BC147" s="2">
        <f t="shared" si="25"/>
        <v>0</v>
      </c>
      <c r="BD147" s="2">
        <f t="shared" si="26"/>
        <v>0</v>
      </c>
      <c r="BE147" s="2">
        <f t="shared" si="27"/>
        <v>0</v>
      </c>
      <c r="BF147" s="2">
        <f t="shared" si="28"/>
        <v>0</v>
      </c>
      <c r="BJ147" s="2" t="str">
        <f t="shared" si="29"/>
        <v/>
      </c>
    </row>
    <row r="148" spans="1:62" ht="15" customHeight="1" x14ac:dyDescent="0.45">
      <c r="A148" s="2" t="s">
        <v>480</v>
      </c>
      <c r="B148" s="2" t="s">
        <v>486</v>
      </c>
      <c r="C148" s="2">
        <v>2019</v>
      </c>
      <c r="D148" s="2">
        <v>13.209</v>
      </c>
      <c r="E148" s="2">
        <v>16.138999999999999</v>
      </c>
      <c r="F148" s="2" t="s">
        <v>146</v>
      </c>
      <c r="G148" s="2">
        <v>0.158</v>
      </c>
      <c r="H148" s="2" t="s">
        <v>146</v>
      </c>
      <c r="I148" s="2" t="s">
        <v>146</v>
      </c>
      <c r="J148" s="2" t="s">
        <v>146</v>
      </c>
      <c r="K148" s="2" t="s">
        <v>146</v>
      </c>
      <c r="L148" s="2" t="s">
        <v>146</v>
      </c>
      <c r="M148" s="2" t="s">
        <v>49</v>
      </c>
      <c r="N148" s="2" t="s">
        <v>146</v>
      </c>
      <c r="O148" s="2" t="s">
        <v>146</v>
      </c>
      <c r="P148" s="2">
        <v>15.981</v>
      </c>
      <c r="Q148" s="2" t="s">
        <v>146</v>
      </c>
      <c r="R148" s="2" t="s">
        <v>146</v>
      </c>
      <c r="S148" s="2" t="s">
        <v>146</v>
      </c>
      <c r="T148" s="2" t="s">
        <v>146</v>
      </c>
      <c r="U148" s="2" t="s">
        <v>146</v>
      </c>
      <c r="V148" s="2" t="s">
        <v>146</v>
      </c>
      <c r="W148" s="2" t="s">
        <v>146</v>
      </c>
      <c r="X148" s="2" t="s">
        <v>146</v>
      </c>
      <c r="Y148" s="2" t="s">
        <v>146</v>
      </c>
      <c r="Z148" s="2" t="s">
        <v>146</v>
      </c>
      <c r="AA148" s="2" t="s">
        <v>146</v>
      </c>
      <c r="AB148" s="2" t="s">
        <v>146</v>
      </c>
      <c r="AC148" s="2" t="s">
        <v>146</v>
      </c>
      <c r="AD148" s="2" t="s">
        <v>146</v>
      </c>
      <c r="AE148" s="2" t="s">
        <v>146</v>
      </c>
      <c r="AF148" s="2" t="s">
        <v>146</v>
      </c>
      <c r="AG148" s="2" t="s">
        <v>146</v>
      </c>
      <c r="AH148" s="2" t="s">
        <v>146</v>
      </c>
      <c r="AI148" s="2" t="s">
        <v>146</v>
      </c>
      <c r="AJ148" s="2" t="s">
        <v>146</v>
      </c>
      <c r="AK148" s="2" t="s">
        <v>146</v>
      </c>
      <c r="AL148" s="2" t="s">
        <v>146</v>
      </c>
      <c r="AM148" s="2" t="s">
        <v>146</v>
      </c>
      <c r="AN148" s="2" t="s">
        <v>49</v>
      </c>
      <c r="AO148" s="2" t="s">
        <v>146</v>
      </c>
      <c r="AP148" s="2" t="s">
        <v>146</v>
      </c>
      <c r="AQ148" s="2" t="s">
        <v>146</v>
      </c>
      <c r="AR148" s="2" t="s">
        <v>146</v>
      </c>
      <c r="AV148" s="2">
        <f t="shared" si="20"/>
        <v>16.138999999999999</v>
      </c>
      <c r="AW148" s="2">
        <f t="shared" si="21"/>
        <v>13.209</v>
      </c>
      <c r="AX148" s="27">
        <f t="shared" si="22"/>
        <v>0.81845219654253676</v>
      </c>
      <c r="BA148" s="2">
        <f t="shared" si="23"/>
        <v>0</v>
      </c>
      <c r="BB148" s="2">
        <f t="shared" si="24"/>
        <v>0</v>
      </c>
      <c r="BC148" s="2">
        <f t="shared" si="25"/>
        <v>0</v>
      </c>
      <c r="BD148" s="2">
        <f t="shared" si="26"/>
        <v>0</v>
      </c>
      <c r="BE148" s="2">
        <f t="shared" si="27"/>
        <v>0</v>
      </c>
      <c r="BF148" s="2">
        <f t="shared" si="28"/>
        <v>0</v>
      </c>
      <c r="BJ148" s="2" t="str">
        <f t="shared" si="29"/>
        <v/>
      </c>
    </row>
    <row r="149" spans="1:62" ht="15" customHeight="1" x14ac:dyDescent="0.45">
      <c r="A149" s="2" t="s">
        <v>480</v>
      </c>
      <c r="B149" s="2" t="s">
        <v>485</v>
      </c>
      <c r="C149" s="2">
        <v>2019</v>
      </c>
      <c r="D149" s="2">
        <v>6.7960000000000003</v>
      </c>
      <c r="E149" s="2">
        <v>7.8869999999999996</v>
      </c>
      <c r="F149" s="2" t="s">
        <v>146</v>
      </c>
      <c r="G149" s="2">
        <v>9.6000000000000002E-2</v>
      </c>
      <c r="H149" s="2" t="s">
        <v>146</v>
      </c>
      <c r="I149" s="2" t="s">
        <v>146</v>
      </c>
      <c r="J149" s="2" t="s">
        <v>146</v>
      </c>
      <c r="K149" s="2" t="s">
        <v>146</v>
      </c>
      <c r="L149" s="2" t="s">
        <v>146</v>
      </c>
      <c r="M149" s="2" t="s">
        <v>49</v>
      </c>
      <c r="N149" s="2" t="s">
        <v>146</v>
      </c>
      <c r="O149" s="2" t="s">
        <v>146</v>
      </c>
      <c r="P149" s="2" t="s">
        <v>146</v>
      </c>
      <c r="Q149" s="2" t="s">
        <v>146</v>
      </c>
      <c r="R149" s="2" t="s">
        <v>146</v>
      </c>
      <c r="S149" s="2" t="s">
        <v>146</v>
      </c>
      <c r="T149" s="2" t="s">
        <v>146</v>
      </c>
      <c r="U149" s="2">
        <v>0.54800000000000004</v>
      </c>
      <c r="V149" s="2">
        <v>7.2430000000000003</v>
      </c>
      <c r="W149" s="2" t="s">
        <v>146</v>
      </c>
      <c r="X149" s="2" t="s">
        <v>146</v>
      </c>
      <c r="Y149" s="2" t="s">
        <v>146</v>
      </c>
      <c r="Z149" s="2" t="s">
        <v>146</v>
      </c>
      <c r="AA149" s="2" t="s">
        <v>146</v>
      </c>
      <c r="AB149" s="2" t="s">
        <v>146</v>
      </c>
      <c r="AC149" s="2" t="s">
        <v>146</v>
      </c>
      <c r="AD149" s="2" t="s">
        <v>146</v>
      </c>
      <c r="AE149" s="2" t="s">
        <v>146</v>
      </c>
      <c r="AF149" s="2" t="s">
        <v>146</v>
      </c>
      <c r="AG149" s="2" t="s">
        <v>146</v>
      </c>
      <c r="AH149" s="2" t="s">
        <v>146</v>
      </c>
      <c r="AI149" s="2" t="s">
        <v>146</v>
      </c>
      <c r="AJ149" s="2" t="s">
        <v>146</v>
      </c>
      <c r="AK149" s="2" t="s">
        <v>146</v>
      </c>
      <c r="AL149" s="2" t="s">
        <v>146</v>
      </c>
      <c r="AM149" s="2" t="s">
        <v>146</v>
      </c>
      <c r="AN149" s="2" t="s">
        <v>49</v>
      </c>
      <c r="AO149" s="2" t="s">
        <v>146</v>
      </c>
      <c r="AP149" s="2" t="s">
        <v>146</v>
      </c>
      <c r="AQ149" s="2" t="s">
        <v>146</v>
      </c>
      <c r="AR149" s="2" t="s">
        <v>146</v>
      </c>
      <c r="AV149" s="2">
        <f t="shared" si="20"/>
        <v>7.8870000000000005</v>
      </c>
      <c r="AW149" s="2">
        <f t="shared" si="21"/>
        <v>6.7960000000000003</v>
      </c>
      <c r="AX149" s="27">
        <f t="shared" si="22"/>
        <v>0.86167110434892857</v>
      </c>
      <c r="BA149" s="2">
        <f t="shared" si="23"/>
        <v>0</v>
      </c>
      <c r="BB149" s="2">
        <f t="shared" si="24"/>
        <v>0</v>
      </c>
      <c r="BC149" s="2">
        <f t="shared" si="25"/>
        <v>0</v>
      </c>
      <c r="BD149" s="2">
        <f t="shared" si="26"/>
        <v>0</v>
      </c>
      <c r="BE149" s="2">
        <f t="shared" si="27"/>
        <v>0</v>
      </c>
      <c r="BF149" s="2">
        <f t="shared" si="28"/>
        <v>0</v>
      </c>
      <c r="BJ149" s="2" t="str">
        <f t="shared" si="29"/>
        <v/>
      </c>
    </row>
    <row r="150" spans="1:62" ht="15" customHeight="1" x14ac:dyDescent="0.45">
      <c r="A150" s="2" t="s">
        <v>480</v>
      </c>
      <c r="B150" s="2" t="s">
        <v>484</v>
      </c>
      <c r="C150" s="2">
        <v>2019</v>
      </c>
      <c r="D150" s="2">
        <v>13.173</v>
      </c>
      <c r="E150" s="2">
        <v>13.202999999999999</v>
      </c>
      <c r="F150" s="2" t="s">
        <v>146</v>
      </c>
      <c r="G150" s="2">
        <v>0</v>
      </c>
      <c r="H150" s="2" t="s">
        <v>146</v>
      </c>
      <c r="I150" s="2" t="s">
        <v>146</v>
      </c>
      <c r="J150" s="2" t="s">
        <v>146</v>
      </c>
      <c r="K150" s="2" t="s">
        <v>146</v>
      </c>
      <c r="L150" s="2" t="s">
        <v>146</v>
      </c>
      <c r="M150" s="2" t="s">
        <v>49</v>
      </c>
      <c r="N150" s="2" t="s">
        <v>146</v>
      </c>
      <c r="O150" s="2" t="s">
        <v>146</v>
      </c>
      <c r="P150" s="2" t="s">
        <v>146</v>
      </c>
      <c r="Q150" s="2" t="s">
        <v>146</v>
      </c>
      <c r="R150" s="2">
        <v>7.4779999999999998</v>
      </c>
      <c r="S150" s="2" t="s">
        <v>146</v>
      </c>
      <c r="T150" s="2" t="s">
        <v>146</v>
      </c>
      <c r="U150" s="2">
        <v>0.35</v>
      </c>
      <c r="V150" s="2">
        <v>5.375</v>
      </c>
      <c r="W150" s="2" t="s">
        <v>146</v>
      </c>
      <c r="X150" s="2" t="s">
        <v>146</v>
      </c>
      <c r="Y150" s="2" t="s">
        <v>146</v>
      </c>
      <c r="Z150" s="2" t="s">
        <v>146</v>
      </c>
      <c r="AA150" s="2" t="s">
        <v>146</v>
      </c>
      <c r="AB150" s="2" t="s">
        <v>146</v>
      </c>
      <c r="AC150" s="2" t="s">
        <v>146</v>
      </c>
      <c r="AD150" s="2" t="s">
        <v>146</v>
      </c>
      <c r="AE150" s="2" t="s">
        <v>146</v>
      </c>
      <c r="AF150" s="2" t="s">
        <v>146</v>
      </c>
      <c r="AG150" s="2" t="s">
        <v>146</v>
      </c>
      <c r="AH150" s="2" t="s">
        <v>146</v>
      </c>
      <c r="AI150" s="2" t="s">
        <v>146</v>
      </c>
      <c r="AJ150" s="2" t="s">
        <v>146</v>
      </c>
      <c r="AK150" s="2" t="s">
        <v>146</v>
      </c>
      <c r="AL150" s="2" t="s">
        <v>146</v>
      </c>
      <c r="AM150" s="2" t="s">
        <v>146</v>
      </c>
      <c r="AN150" s="2" t="s">
        <v>49</v>
      </c>
      <c r="AO150" s="2" t="s">
        <v>146</v>
      </c>
      <c r="AP150" s="2" t="s">
        <v>146</v>
      </c>
      <c r="AQ150" s="2" t="s">
        <v>146</v>
      </c>
      <c r="AR150" s="2" t="s">
        <v>146</v>
      </c>
      <c r="AV150" s="2">
        <f t="shared" si="20"/>
        <v>13.202999999999999</v>
      </c>
      <c r="AW150" s="2">
        <f t="shared" si="21"/>
        <v>13.173</v>
      </c>
      <c r="AX150" s="27">
        <f t="shared" si="22"/>
        <v>0.99772778913883209</v>
      </c>
      <c r="BA150" s="2">
        <f t="shared" si="23"/>
        <v>0</v>
      </c>
      <c r="BB150" s="2">
        <f t="shared" si="24"/>
        <v>0</v>
      </c>
      <c r="BC150" s="2">
        <f t="shared" si="25"/>
        <v>0</v>
      </c>
      <c r="BD150" s="2">
        <f t="shared" si="26"/>
        <v>0</v>
      </c>
      <c r="BE150" s="2">
        <f t="shared" si="27"/>
        <v>0</v>
      </c>
      <c r="BF150" s="2">
        <f t="shared" si="28"/>
        <v>0</v>
      </c>
      <c r="BJ150" s="2" t="str">
        <f t="shared" si="29"/>
        <v/>
      </c>
    </row>
    <row r="151" spans="1:62" ht="15" customHeight="1" x14ac:dyDescent="0.45">
      <c r="A151" s="2" t="s">
        <v>480</v>
      </c>
      <c r="B151" s="2" t="s">
        <v>483</v>
      </c>
      <c r="C151" s="2">
        <v>2019</v>
      </c>
      <c r="D151" s="2">
        <v>28.71</v>
      </c>
      <c r="E151" s="2">
        <v>32.28</v>
      </c>
      <c r="F151" s="2" t="s">
        <v>146</v>
      </c>
      <c r="G151" s="2">
        <v>6.4</v>
      </c>
      <c r="H151" s="2" t="s">
        <v>146</v>
      </c>
      <c r="I151" s="2" t="s">
        <v>146</v>
      </c>
      <c r="J151" s="2" t="s">
        <v>146</v>
      </c>
      <c r="K151" s="2" t="s">
        <v>146</v>
      </c>
      <c r="L151" s="2" t="s">
        <v>146</v>
      </c>
      <c r="M151" s="2" t="s">
        <v>49</v>
      </c>
      <c r="N151" s="2" t="s">
        <v>146</v>
      </c>
      <c r="O151" s="2" t="s">
        <v>146</v>
      </c>
      <c r="P151" s="2">
        <v>16.452000000000002</v>
      </c>
      <c r="Q151" s="2" t="s">
        <v>146</v>
      </c>
      <c r="R151" s="2">
        <v>9.4280000000000008</v>
      </c>
      <c r="S151" s="2" t="s">
        <v>146</v>
      </c>
      <c r="T151" s="2" t="s">
        <v>146</v>
      </c>
      <c r="U151" s="2" t="s">
        <v>146</v>
      </c>
      <c r="V151" s="2" t="s">
        <v>146</v>
      </c>
      <c r="W151" s="2" t="s">
        <v>146</v>
      </c>
      <c r="X151" s="2" t="s">
        <v>146</v>
      </c>
      <c r="Y151" s="2" t="s">
        <v>146</v>
      </c>
      <c r="Z151" s="2" t="s">
        <v>146</v>
      </c>
      <c r="AA151" s="2" t="s">
        <v>146</v>
      </c>
      <c r="AB151" s="2" t="s">
        <v>146</v>
      </c>
      <c r="AC151" s="2" t="s">
        <v>146</v>
      </c>
      <c r="AD151" s="2" t="s">
        <v>146</v>
      </c>
      <c r="AE151" s="2" t="s">
        <v>146</v>
      </c>
      <c r="AF151" s="2" t="s">
        <v>146</v>
      </c>
      <c r="AG151" s="2" t="s">
        <v>146</v>
      </c>
      <c r="AH151" s="2" t="s">
        <v>146</v>
      </c>
      <c r="AI151" s="2" t="s">
        <v>146</v>
      </c>
      <c r="AJ151" s="2" t="s">
        <v>146</v>
      </c>
      <c r="AK151" s="2" t="s">
        <v>146</v>
      </c>
      <c r="AL151" s="2" t="s">
        <v>146</v>
      </c>
      <c r="AM151" s="2" t="s">
        <v>146</v>
      </c>
      <c r="AN151" s="2" t="s">
        <v>49</v>
      </c>
      <c r="AO151" s="2" t="s">
        <v>146</v>
      </c>
      <c r="AP151" s="2" t="s">
        <v>146</v>
      </c>
      <c r="AQ151" s="2" t="s">
        <v>146</v>
      </c>
      <c r="AR151" s="2" t="s">
        <v>146</v>
      </c>
      <c r="AV151" s="2">
        <f t="shared" si="20"/>
        <v>32.28</v>
      </c>
      <c r="AW151" s="2">
        <f t="shared" si="21"/>
        <v>28.71</v>
      </c>
      <c r="AX151" s="27">
        <f t="shared" si="22"/>
        <v>0.88940520446096649</v>
      </c>
      <c r="BA151" s="2">
        <f t="shared" si="23"/>
        <v>0</v>
      </c>
      <c r="BB151" s="2">
        <f t="shared" si="24"/>
        <v>0</v>
      </c>
      <c r="BC151" s="2">
        <f t="shared" si="25"/>
        <v>0</v>
      </c>
      <c r="BD151" s="2">
        <f t="shared" si="26"/>
        <v>0</v>
      </c>
      <c r="BE151" s="2">
        <f t="shared" si="27"/>
        <v>0</v>
      </c>
      <c r="BF151" s="2">
        <f t="shared" si="28"/>
        <v>0</v>
      </c>
      <c r="BJ151" s="2" t="str">
        <f t="shared" si="29"/>
        <v/>
      </c>
    </row>
    <row r="152" spans="1:62" ht="15" customHeight="1" x14ac:dyDescent="0.45">
      <c r="A152" s="2" t="s">
        <v>480</v>
      </c>
      <c r="B152" s="2" t="s">
        <v>482</v>
      </c>
      <c r="C152" s="2">
        <v>2019</v>
      </c>
      <c r="D152" s="2">
        <v>9.4329999999999998</v>
      </c>
      <c r="E152" s="2">
        <v>9.3810000000000002</v>
      </c>
      <c r="F152" s="2" t="s">
        <v>146</v>
      </c>
      <c r="G152" s="2">
        <v>0.10199999999999999</v>
      </c>
      <c r="H152" s="2" t="s">
        <v>146</v>
      </c>
      <c r="I152" s="2" t="s">
        <v>146</v>
      </c>
      <c r="J152" s="2" t="s">
        <v>146</v>
      </c>
      <c r="K152" s="2" t="s">
        <v>146</v>
      </c>
      <c r="L152" s="2" t="s">
        <v>146</v>
      </c>
      <c r="M152" s="2" t="s">
        <v>49</v>
      </c>
      <c r="N152" s="2" t="s">
        <v>146</v>
      </c>
      <c r="O152" s="2" t="s">
        <v>146</v>
      </c>
      <c r="P152" s="2">
        <v>9.2789999999999999</v>
      </c>
      <c r="Q152" s="2" t="s">
        <v>146</v>
      </c>
      <c r="R152" s="2" t="s">
        <v>146</v>
      </c>
      <c r="S152" s="2" t="s">
        <v>146</v>
      </c>
      <c r="T152" s="2" t="s">
        <v>146</v>
      </c>
      <c r="U152" s="2" t="s">
        <v>146</v>
      </c>
      <c r="V152" s="2" t="s">
        <v>146</v>
      </c>
      <c r="W152" s="2" t="s">
        <v>146</v>
      </c>
      <c r="X152" s="2" t="s">
        <v>146</v>
      </c>
      <c r="Y152" s="2" t="s">
        <v>146</v>
      </c>
      <c r="Z152" s="2" t="s">
        <v>146</v>
      </c>
      <c r="AA152" s="2" t="s">
        <v>146</v>
      </c>
      <c r="AB152" s="2" t="s">
        <v>146</v>
      </c>
      <c r="AC152" s="2" t="s">
        <v>146</v>
      </c>
      <c r="AD152" s="2" t="s">
        <v>146</v>
      </c>
      <c r="AE152" s="2" t="s">
        <v>146</v>
      </c>
      <c r="AF152" s="2" t="s">
        <v>146</v>
      </c>
      <c r="AG152" s="2" t="s">
        <v>146</v>
      </c>
      <c r="AH152" s="2" t="s">
        <v>146</v>
      </c>
      <c r="AI152" s="2" t="s">
        <v>146</v>
      </c>
      <c r="AJ152" s="2" t="s">
        <v>146</v>
      </c>
      <c r="AK152" s="2" t="s">
        <v>146</v>
      </c>
      <c r="AL152" s="2" t="s">
        <v>146</v>
      </c>
      <c r="AM152" s="2" t="s">
        <v>146</v>
      </c>
      <c r="AN152" s="2" t="s">
        <v>49</v>
      </c>
      <c r="AO152" s="2" t="s">
        <v>146</v>
      </c>
      <c r="AP152" s="2" t="s">
        <v>146</v>
      </c>
      <c r="AQ152" s="2" t="s">
        <v>146</v>
      </c>
      <c r="AR152" s="2" t="s">
        <v>146</v>
      </c>
      <c r="AV152" s="2">
        <f t="shared" si="20"/>
        <v>9.3810000000000002</v>
      </c>
      <c r="AW152" s="2">
        <f t="shared" si="21"/>
        <v>9.4329999999999998</v>
      </c>
      <c r="AX152" s="27">
        <f t="shared" si="22"/>
        <v>1.0055431190704616</v>
      </c>
      <c r="BA152" s="2">
        <f t="shared" si="23"/>
        <v>0</v>
      </c>
      <c r="BB152" s="2">
        <f t="shared" si="24"/>
        <v>0</v>
      </c>
      <c r="BC152" s="2">
        <f t="shared" si="25"/>
        <v>0</v>
      </c>
      <c r="BD152" s="2">
        <f t="shared" si="26"/>
        <v>0</v>
      </c>
      <c r="BE152" s="2">
        <f t="shared" si="27"/>
        <v>0</v>
      </c>
      <c r="BF152" s="2">
        <f t="shared" si="28"/>
        <v>0</v>
      </c>
      <c r="BJ152" s="2" t="str">
        <f t="shared" si="29"/>
        <v/>
      </c>
    </row>
    <row r="153" spans="1:62" ht="15" customHeight="1" x14ac:dyDescent="0.45">
      <c r="A153" s="2" t="s">
        <v>480</v>
      </c>
      <c r="B153" s="2" t="s">
        <v>481</v>
      </c>
      <c r="C153" s="2">
        <v>2019</v>
      </c>
      <c r="D153" s="2">
        <v>13.476000000000001</v>
      </c>
      <c r="E153" s="2">
        <v>15.993</v>
      </c>
      <c r="F153" s="2" t="s">
        <v>146</v>
      </c>
      <c r="G153" s="2">
        <v>4.2000000000000003E-2</v>
      </c>
      <c r="H153" s="2" t="s">
        <v>146</v>
      </c>
      <c r="I153" s="2" t="s">
        <v>146</v>
      </c>
      <c r="J153" s="2" t="s">
        <v>146</v>
      </c>
      <c r="K153" s="2" t="s">
        <v>146</v>
      </c>
      <c r="L153" s="2" t="s">
        <v>146</v>
      </c>
      <c r="M153" s="2" t="s">
        <v>49</v>
      </c>
      <c r="N153" s="2" t="s">
        <v>146</v>
      </c>
      <c r="O153" s="2" t="s">
        <v>146</v>
      </c>
      <c r="P153" s="2">
        <v>15.342000000000001</v>
      </c>
      <c r="Q153" s="2" t="s">
        <v>146</v>
      </c>
      <c r="R153" s="2" t="s">
        <v>146</v>
      </c>
      <c r="S153" s="2" t="s">
        <v>146</v>
      </c>
      <c r="T153" s="2" t="s">
        <v>146</v>
      </c>
      <c r="U153" s="2" t="s">
        <v>146</v>
      </c>
      <c r="V153" s="2" t="s">
        <v>146</v>
      </c>
      <c r="W153" s="2" t="s">
        <v>146</v>
      </c>
      <c r="X153" s="2" t="s">
        <v>146</v>
      </c>
      <c r="Y153" s="2" t="s">
        <v>146</v>
      </c>
      <c r="Z153" s="2">
        <v>0.60899999999999999</v>
      </c>
      <c r="AA153" s="2" t="s">
        <v>146</v>
      </c>
      <c r="AB153" s="2" t="s">
        <v>146</v>
      </c>
      <c r="AC153" s="2" t="s">
        <v>146</v>
      </c>
      <c r="AD153" s="2" t="s">
        <v>146</v>
      </c>
      <c r="AE153" s="2" t="s">
        <v>146</v>
      </c>
      <c r="AF153" s="2" t="s">
        <v>146</v>
      </c>
      <c r="AG153" s="2" t="s">
        <v>146</v>
      </c>
      <c r="AH153" s="2" t="s">
        <v>146</v>
      </c>
      <c r="AI153" s="2" t="s">
        <v>146</v>
      </c>
      <c r="AJ153" s="2" t="s">
        <v>146</v>
      </c>
      <c r="AK153" s="2" t="s">
        <v>146</v>
      </c>
      <c r="AL153" s="2" t="s">
        <v>146</v>
      </c>
      <c r="AM153" s="2" t="s">
        <v>146</v>
      </c>
      <c r="AN153" s="2" t="s">
        <v>49</v>
      </c>
      <c r="AO153" s="2" t="s">
        <v>146</v>
      </c>
      <c r="AP153" s="2" t="s">
        <v>146</v>
      </c>
      <c r="AQ153" s="2" t="s">
        <v>146</v>
      </c>
      <c r="AR153" s="2" t="s">
        <v>146</v>
      </c>
      <c r="AV153" s="2">
        <f t="shared" si="20"/>
        <v>15.993</v>
      </c>
      <c r="AW153" s="2">
        <f t="shared" si="21"/>
        <v>13.476000000000001</v>
      </c>
      <c r="AX153" s="27">
        <f t="shared" si="22"/>
        <v>0.84261864565747513</v>
      </c>
      <c r="BA153" s="2">
        <f t="shared" si="23"/>
        <v>0</v>
      </c>
      <c r="BB153" s="2">
        <f t="shared" si="24"/>
        <v>0</v>
      </c>
      <c r="BC153" s="2">
        <f t="shared" si="25"/>
        <v>0</v>
      </c>
      <c r="BD153" s="2">
        <f t="shared" si="26"/>
        <v>0</v>
      </c>
      <c r="BE153" s="2">
        <f t="shared" si="27"/>
        <v>0</v>
      </c>
      <c r="BF153" s="2">
        <f t="shared" si="28"/>
        <v>0</v>
      </c>
      <c r="BJ153" s="2" t="str">
        <f t="shared" si="29"/>
        <v/>
      </c>
    </row>
    <row r="154" spans="1:62" ht="15" customHeight="1" x14ac:dyDescent="0.45">
      <c r="A154" s="2" t="s">
        <v>480</v>
      </c>
      <c r="B154" s="2" t="s">
        <v>479</v>
      </c>
      <c r="C154" s="2">
        <v>2019</v>
      </c>
      <c r="D154" s="2">
        <v>5.81</v>
      </c>
      <c r="E154" s="2">
        <v>7.4580000000000002</v>
      </c>
      <c r="F154" s="2" t="s">
        <v>146</v>
      </c>
      <c r="G154" s="2">
        <v>2.5000000000000001E-2</v>
      </c>
      <c r="H154" s="2" t="s">
        <v>146</v>
      </c>
      <c r="I154" s="2" t="s">
        <v>146</v>
      </c>
      <c r="J154" s="2" t="s">
        <v>146</v>
      </c>
      <c r="K154" s="2" t="s">
        <v>146</v>
      </c>
      <c r="L154" s="2" t="s">
        <v>146</v>
      </c>
      <c r="M154" s="2" t="s">
        <v>49</v>
      </c>
      <c r="N154" s="2" t="s">
        <v>146</v>
      </c>
      <c r="O154" s="2" t="s">
        <v>146</v>
      </c>
      <c r="P154" s="2">
        <v>7.4329999999999998</v>
      </c>
      <c r="Q154" s="2" t="s">
        <v>146</v>
      </c>
      <c r="R154" s="2" t="s">
        <v>146</v>
      </c>
      <c r="S154" s="2" t="s">
        <v>146</v>
      </c>
      <c r="T154" s="2" t="s">
        <v>146</v>
      </c>
      <c r="U154" s="2" t="s">
        <v>146</v>
      </c>
      <c r="V154" s="2" t="s">
        <v>146</v>
      </c>
      <c r="W154" s="2" t="s">
        <v>146</v>
      </c>
      <c r="X154" s="2" t="s">
        <v>146</v>
      </c>
      <c r="Y154" s="2" t="s">
        <v>146</v>
      </c>
      <c r="Z154" s="2" t="s">
        <v>146</v>
      </c>
      <c r="AA154" s="2" t="s">
        <v>146</v>
      </c>
      <c r="AB154" s="2" t="s">
        <v>146</v>
      </c>
      <c r="AC154" s="2" t="s">
        <v>146</v>
      </c>
      <c r="AD154" s="2" t="s">
        <v>146</v>
      </c>
      <c r="AE154" s="2" t="s">
        <v>146</v>
      </c>
      <c r="AF154" s="2" t="s">
        <v>146</v>
      </c>
      <c r="AG154" s="2" t="s">
        <v>146</v>
      </c>
      <c r="AH154" s="2" t="s">
        <v>146</v>
      </c>
      <c r="AI154" s="2" t="s">
        <v>146</v>
      </c>
      <c r="AJ154" s="2" t="s">
        <v>146</v>
      </c>
      <c r="AK154" s="2" t="s">
        <v>146</v>
      </c>
      <c r="AL154" s="2" t="s">
        <v>146</v>
      </c>
      <c r="AM154" s="2" t="s">
        <v>146</v>
      </c>
      <c r="AN154" s="2" t="s">
        <v>49</v>
      </c>
      <c r="AO154" s="2" t="s">
        <v>146</v>
      </c>
      <c r="AP154" s="2" t="s">
        <v>146</v>
      </c>
      <c r="AQ154" s="2" t="s">
        <v>146</v>
      </c>
      <c r="AR154" s="2" t="s">
        <v>146</v>
      </c>
      <c r="AV154" s="2">
        <f t="shared" si="20"/>
        <v>7.4580000000000002</v>
      </c>
      <c r="AW154" s="2">
        <f t="shared" si="21"/>
        <v>5.81</v>
      </c>
      <c r="AX154" s="27">
        <f t="shared" si="22"/>
        <v>0.77902923035666394</v>
      </c>
      <c r="BA154" s="2">
        <f t="shared" si="23"/>
        <v>0</v>
      </c>
      <c r="BB154" s="2">
        <f t="shared" si="24"/>
        <v>0</v>
      </c>
      <c r="BC154" s="2">
        <f t="shared" si="25"/>
        <v>0</v>
      </c>
      <c r="BD154" s="2">
        <f t="shared" si="26"/>
        <v>0</v>
      </c>
      <c r="BE154" s="2">
        <f t="shared" si="27"/>
        <v>0</v>
      </c>
      <c r="BF154" s="2">
        <f t="shared" si="28"/>
        <v>0</v>
      </c>
      <c r="BJ154" s="2" t="str">
        <f t="shared" si="29"/>
        <v/>
      </c>
    </row>
    <row r="155" spans="1:62" ht="15" customHeight="1" x14ac:dyDescent="0.45">
      <c r="A155" s="2" t="s">
        <v>478</v>
      </c>
      <c r="B155" s="2" t="s">
        <v>477</v>
      </c>
      <c r="C155" s="2">
        <v>2019</v>
      </c>
      <c r="D155" s="2">
        <v>29</v>
      </c>
      <c r="E155" s="2">
        <v>37.303780000000003</v>
      </c>
      <c r="F155" s="2" t="s">
        <v>146</v>
      </c>
      <c r="G155" s="2">
        <v>0.41976000000000002</v>
      </c>
      <c r="H155" s="2" t="s">
        <v>146</v>
      </c>
      <c r="I155" s="2" t="s">
        <v>146</v>
      </c>
      <c r="J155" s="2" t="s">
        <v>146</v>
      </c>
      <c r="K155" s="2" t="s">
        <v>146</v>
      </c>
      <c r="L155" s="2" t="s">
        <v>146</v>
      </c>
      <c r="M155" s="2" t="s">
        <v>49</v>
      </c>
      <c r="N155" s="2" t="s">
        <v>146</v>
      </c>
      <c r="O155" s="2" t="s">
        <v>146</v>
      </c>
      <c r="P155" s="2" t="s">
        <v>146</v>
      </c>
      <c r="Q155" s="2" t="s">
        <v>146</v>
      </c>
      <c r="R155" s="2" t="s">
        <v>146</v>
      </c>
      <c r="S155" s="2" t="s">
        <v>146</v>
      </c>
      <c r="T155" s="2" t="s">
        <v>146</v>
      </c>
      <c r="U155" s="2">
        <v>3.6198199999999998</v>
      </c>
      <c r="V155" s="2">
        <v>33.264200000000002</v>
      </c>
      <c r="W155" s="2" t="s">
        <v>146</v>
      </c>
      <c r="X155" s="2" t="s">
        <v>146</v>
      </c>
      <c r="Y155" s="2" t="s">
        <v>146</v>
      </c>
      <c r="Z155" s="2" t="s">
        <v>146</v>
      </c>
      <c r="AA155" s="2" t="s">
        <v>146</v>
      </c>
      <c r="AB155" s="2" t="s">
        <v>146</v>
      </c>
      <c r="AC155" s="2" t="s">
        <v>146</v>
      </c>
      <c r="AD155" s="2" t="s">
        <v>146</v>
      </c>
      <c r="AE155" s="2" t="s">
        <v>146</v>
      </c>
      <c r="AF155" s="2" t="s">
        <v>146</v>
      </c>
      <c r="AG155" s="2" t="s">
        <v>146</v>
      </c>
      <c r="AH155" s="2" t="s">
        <v>146</v>
      </c>
      <c r="AI155" s="2" t="s">
        <v>146</v>
      </c>
      <c r="AJ155" s="2" t="s">
        <v>146</v>
      </c>
      <c r="AK155" s="2" t="s">
        <v>146</v>
      </c>
      <c r="AL155" s="2" t="s">
        <v>146</v>
      </c>
      <c r="AM155" s="2" t="s">
        <v>146</v>
      </c>
      <c r="AN155" s="2" t="s">
        <v>49</v>
      </c>
      <c r="AO155" s="2" t="s">
        <v>146</v>
      </c>
      <c r="AP155" s="2" t="s">
        <v>146</v>
      </c>
      <c r="AQ155" s="2" t="s">
        <v>146</v>
      </c>
      <c r="AR155" s="2" t="s">
        <v>146</v>
      </c>
      <c r="AV155" s="2">
        <f t="shared" si="20"/>
        <v>37.303780000000003</v>
      </c>
      <c r="AW155" s="2">
        <f t="shared" si="21"/>
        <v>29</v>
      </c>
      <c r="AX155" s="27">
        <f t="shared" si="22"/>
        <v>0.77740111055769678</v>
      </c>
      <c r="BA155" s="2">
        <f t="shared" si="23"/>
        <v>0</v>
      </c>
      <c r="BB155" s="2">
        <f t="shared" si="24"/>
        <v>0</v>
      </c>
      <c r="BC155" s="2">
        <f t="shared" si="25"/>
        <v>0</v>
      </c>
      <c r="BD155" s="2">
        <f t="shared" si="26"/>
        <v>0</v>
      </c>
      <c r="BE155" s="2">
        <f t="shared" si="27"/>
        <v>0</v>
      </c>
      <c r="BF155" s="2">
        <f t="shared" si="28"/>
        <v>0</v>
      </c>
      <c r="BJ155" s="2" t="str">
        <f t="shared" si="29"/>
        <v/>
      </c>
    </row>
    <row r="156" spans="1:62" ht="15" customHeight="1" x14ac:dyDescent="0.45">
      <c r="A156" s="2" t="s">
        <v>476</v>
      </c>
      <c r="B156" s="2" t="s">
        <v>89</v>
      </c>
      <c r="C156" s="2">
        <v>2019</v>
      </c>
      <c r="D156" s="2" t="s">
        <v>49</v>
      </c>
      <c r="E156" s="2" t="s">
        <v>49</v>
      </c>
      <c r="F156" s="2" t="s">
        <v>49</v>
      </c>
      <c r="G156" s="2" t="s">
        <v>49</v>
      </c>
      <c r="H156" s="2" t="s">
        <v>49</v>
      </c>
      <c r="I156" s="2" t="s">
        <v>49</v>
      </c>
      <c r="J156" s="2" t="s">
        <v>49</v>
      </c>
      <c r="K156" s="2" t="s">
        <v>49</v>
      </c>
      <c r="L156" s="2" t="s">
        <v>49</v>
      </c>
      <c r="M156" s="2" t="s">
        <v>49</v>
      </c>
      <c r="N156" s="2" t="s">
        <v>49</v>
      </c>
      <c r="O156" s="2" t="s">
        <v>49</v>
      </c>
      <c r="P156" s="2" t="s">
        <v>49</v>
      </c>
      <c r="Q156" s="2" t="s">
        <v>49</v>
      </c>
      <c r="R156" s="2" t="s">
        <v>49</v>
      </c>
      <c r="S156" s="2" t="s">
        <v>49</v>
      </c>
      <c r="T156" s="2" t="s">
        <v>49</v>
      </c>
      <c r="U156" s="2" t="s">
        <v>49</v>
      </c>
      <c r="V156" s="2" t="s">
        <v>49</v>
      </c>
      <c r="W156" s="2" t="s">
        <v>49</v>
      </c>
      <c r="X156" s="2" t="s">
        <v>49</v>
      </c>
      <c r="Y156" s="2" t="s">
        <v>49</v>
      </c>
      <c r="Z156" s="2" t="s">
        <v>49</v>
      </c>
      <c r="AA156" s="2" t="s">
        <v>49</v>
      </c>
      <c r="AB156" s="2" t="s">
        <v>49</v>
      </c>
      <c r="AC156" s="2" t="s">
        <v>49</v>
      </c>
      <c r="AD156" s="2" t="s">
        <v>49</v>
      </c>
      <c r="AE156" s="2" t="s">
        <v>49</v>
      </c>
      <c r="AF156" s="2" t="s">
        <v>49</v>
      </c>
      <c r="AG156" s="2" t="s">
        <v>49</v>
      </c>
      <c r="AH156" s="2" t="s">
        <v>49</v>
      </c>
      <c r="AI156" s="2" t="s">
        <v>49</v>
      </c>
      <c r="AJ156" s="2" t="s">
        <v>49</v>
      </c>
      <c r="AK156" s="2" t="s">
        <v>49</v>
      </c>
      <c r="AL156" s="2" t="s">
        <v>49</v>
      </c>
      <c r="AM156" s="2" t="s">
        <v>49</v>
      </c>
      <c r="AN156" s="2" t="s">
        <v>49</v>
      </c>
      <c r="AO156" s="2" t="s">
        <v>49</v>
      </c>
      <c r="AP156" s="2" t="s">
        <v>49</v>
      </c>
      <c r="AQ156" s="2" t="s">
        <v>49</v>
      </c>
      <c r="AR156" s="2" t="s">
        <v>49</v>
      </c>
      <c r="AV156" s="2">
        <f t="shared" si="20"/>
        <v>0</v>
      </c>
      <c r="AW156" s="2">
        <f t="shared" si="21"/>
        <v>0</v>
      </c>
      <c r="AX156" s="27" t="str">
        <f t="shared" si="22"/>
        <v/>
      </c>
      <c r="BA156" s="2">
        <f t="shared" si="23"/>
        <v>0</v>
      </c>
      <c r="BB156" s="2">
        <f t="shared" si="24"/>
        <v>0</v>
      </c>
      <c r="BC156" s="2">
        <f t="shared" si="25"/>
        <v>0</v>
      </c>
      <c r="BD156" s="2">
        <f t="shared" si="26"/>
        <v>0</v>
      </c>
      <c r="BE156" s="2">
        <f t="shared" si="27"/>
        <v>0</v>
      </c>
      <c r="BF156" s="2">
        <f t="shared" si="28"/>
        <v>0</v>
      </c>
      <c r="BJ156" s="2" t="str">
        <f t="shared" si="29"/>
        <v/>
      </c>
    </row>
    <row r="157" spans="1:62" ht="15" customHeight="1" x14ac:dyDescent="0.45">
      <c r="A157" s="2" t="s">
        <v>472</v>
      </c>
      <c r="B157" s="2" t="s">
        <v>475</v>
      </c>
      <c r="C157" s="2">
        <v>2019</v>
      </c>
      <c r="D157" s="2">
        <v>8.34</v>
      </c>
      <c r="E157" s="2">
        <v>8.3360000000000003</v>
      </c>
      <c r="F157" s="2" t="s">
        <v>146</v>
      </c>
      <c r="G157" s="2">
        <v>0.51600000000000001</v>
      </c>
      <c r="H157" s="2" t="s">
        <v>146</v>
      </c>
      <c r="I157" s="2" t="s">
        <v>146</v>
      </c>
      <c r="J157" s="2" t="s">
        <v>146</v>
      </c>
      <c r="K157" s="2" t="s">
        <v>146</v>
      </c>
      <c r="L157" s="2" t="s">
        <v>146</v>
      </c>
      <c r="M157" s="2" t="s">
        <v>49</v>
      </c>
      <c r="N157" s="2" t="s">
        <v>146</v>
      </c>
      <c r="O157" s="2" t="s">
        <v>146</v>
      </c>
      <c r="P157" s="2">
        <v>7.82</v>
      </c>
      <c r="Q157" s="2" t="s">
        <v>146</v>
      </c>
      <c r="R157" s="2" t="s">
        <v>146</v>
      </c>
      <c r="S157" s="2" t="s">
        <v>146</v>
      </c>
      <c r="T157" s="2" t="s">
        <v>147</v>
      </c>
      <c r="U157" s="2" t="s">
        <v>146</v>
      </c>
      <c r="V157" s="2" t="s">
        <v>146</v>
      </c>
      <c r="W157" s="2" t="s">
        <v>146</v>
      </c>
      <c r="X157" s="2" t="s">
        <v>146</v>
      </c>
      <c r="Y157" s="2" t="s">
        <v>146</v>
      </c>
      <c r="Z157" s="2" t="s">
        <v>146</v>
      </c>
      <c r="AA157" s="2" t="s">
        <v>146</v>
      </c>
      <c r="AB157" s="2" t="s">
        <v>146</v>
      </c>
      <c r="AC157" s="2" t="s">
        <v>146</v>
      </c>
      <c r="AD157" s="2" t="s">
        <v>146</v>
      </c>
      <c r="AE157" s="2" t="s">
        <v>146</v>
      </c>
      <c r="AF157" s="2" t="s">
        <v>146</v>
      </c>
      <c r="AG157" s="2" t="s">
        <v>146</v>
      </c>
      <c r="AH157" s="2" t="s">
        <v>146</v>
      </c>
      <c r="AI157" s="2" t="s">
        <v>146</v>
      </c>
      <c r="AJ157" s="2" t="s">
        <v>146</v>
      </c>
      <c r="AK157" s="2" t="s">
        <v>146</v>
      </c>
      <c r="AL157" s="2" t="s">
        <v>146</v>
      </c>
      <c r="AM157" s="2" t="s">
        <v>146</v>
      </c>
      <c r="AN157" s="2" t="s">
        <v>49</v>
      </c>
      <c r="AO157" s="2" t="s">
        <v>146</v>
      </c>
      <c r="AP157" s="2" t="s">
        <v>146</v>
      </c>
      <c r="AQ157" s="2" t="s">
        <v>146</v>
      </c>
      <c r="AR157" s="2" t="s">
        <v>146</v>
      </c>
      <c r="AV157" s="2">
        <f t="shared" si="20"/>
        <v>8.3360000000000003</v>
      </c>
      <c r="AW157" s="2">
        <f t="shared" si="21"/>
        <v>8.34</v>
      </c>
      <c r="AX157" s="27">
        <f t="shared" si="22"/>
        <v>1.0004798464491362</v>
      </c>
      <c r="BA157" s="2">
        <f t="shared" si="23"/>
        <v>0</v>
      </c>
      <c r="BB157" s="2">
        <f t="shared" si="24"/>
        <v>0</v>
      </c>
      <c r="BC157" s="2">
        <f t="shared" si="25"/>
        <v>0</v>
      </c>
      <c r="BD157" s="2">
        <f t="shared" si="26"/>
        <v>0</v>
      </c>
      <c r="BE157" s="2">
        <f t="shared" si="27"/>
        <v>0</v>
      </c>
      <c r="BF157" s="2">
        <f t="shared" si="28"/>
        <v>0</v>
      </c>
      <c r="BJ157" s="2" t="str">
        <f t="shared" si="29"/>
        <v/>
      </c>
    </row>
    <row r="158" spans="1:62" ht="15" customHeight="1" x14ac:dyDescent="0.45">
      <c r="A158" s="2" t="s">
        <v>472</v>
      </c>
      <c r="B158" s="2" t="s">
        <v>474</v>
      </c>
      <c r="C158" s="2">
        <v>2019</v>
      </c>
      <c r="D158" s="2">
        <v>11.88</v>
      </c>
      <c r="E158" s="2">
        <v>12.115</v>
      </c>
      <c r="F158" s="2" t="s">
        <v>146</v>
      </c>
      <c r="G158" s="2">
        <v>0.23499999999999999</v>
      </c>
      <c r="H158" s="2" t="s">
        <v>146</v>
      </c>
      <c r="I158" s="2" t="s">
        <v>146</v>
      </c>
      <c r="J158" s="2" t="s">
        <v>146</v>
      </c>
      <c r="K158" s="2" t="s">
        <v>146</v>
      </c>
      <c r="L158" s="2" t="s">
        <v>146</v>
      </c>
      <c r="M158" s="2" t="s">
        <v>49</v>
      </c>
      <c r="N158" s="2" t="s">
        <v>146</v>
      </c>
      <c r="O158" s="2" t="s">
        <v>146</v>
      </c>
      <c r="P158" s="2" t="s">
        <v>146</v>
      </c>
      <c r="Q158" s="2" t="s">
        <v>146</v>
      </c>
      <c r="R158" s="2" t="s">
        <v>146</v>
      </c>
      <c r="S158" s="2" t="s">
        <v>146</v>
      </c>
      <c r="T158" s="2" t="s">
        <v>146</v>
      </c>
      <c r="U158" s="2">
        <v>3.57</v>
      </c>
      <c r="V158" s="2">
        <v>8.31</v>
      </c>
      <c r="W158" s="2" t="s">
        <v>146</v>
      </c>
      <c r="X158" s="2" t="s">
        <v>146</v>
      </c>
      <c r="Y158" s="2" t="s">
        <v>146</v>
      </c>
      <c r="Z158" s="2" t="s">
        <v>146</v>
      </c>
      <c r="AA158" s="2" t="s">
        <v>146</v>
      </c>
      <c r="AB158" s="2" t="s">
        <v>146</v>
      </c>
      <c r="AC158" s="2" t="s">
        <v>146</v>
      </c>
      <c r="AD158" s="2" t="s">
        <v>146</v>
      </c>
      <c r="AE158" s="2" t="s">
        <v>146</v>
      </c>
      <c r="AF158" s="2" t="s">
        <v>146</v>
      </c>
      <c r="AG158" s="2" t="s">
        <v>146</v>
      </c>
      <c r="AH158" s="2" t="s">
        <v>146</v>
      </c>
      <c r="AI158" s="2" t="s">
        <v>146</v>
      </c>
      <c r="AJ158" s="2" t="s">
        <v>146</v>
      </c>
      <c r="AK158" s="2" t="s">
        <v>146</v>
      </c>
      <c r="AL158" s="2" t="s">
        <v>146</v>
      </c>
      <c r="AM158" s="2" t="s">
        <v>146</v>
      </c>
      <c r="AN158" s="2" t="s">
        <v>49</v>
      </c>
      <c r="AO158" s="2" t="s">
        <v>146</v>
      </c>
      <c r="AP158" s="2" t="s">
        <v>146</v>
      </c>
      <c r="AQ158" s="2" t="s">
        <v>146</v>
      </c>
      <c r="AR158" s="2" t="s">
        <v>146</v>
      </c>
      <c r="AV158" s="2">
        <f t="shared" si="20"/>
        <v>12.115</v>
      </c>
      <c r="AW158" s="2">
        <f t="shared" si="21"/>
        <v>11.88</v>
      </c>
      <c r="AX158" s="27">
        <f t="shared" si="22"/>
        <v>0.98060255881139091</v>
      </c>
      <c r="BA158" s="2">
        <f t="shared" si="23"/>
        <v>0</v>
      </c>
      <c r="BB158" s="2">
        <f t="shared" si="24"/>
        <v>0</v>
      </c>
      <c r="BC158" s="2">
        <f t="shared" si="25"/>
        <v>0</v>
      </c>
      <c r="BD158" s="2">
        <f t="shared" si="26"/>
        <v>0</v>
      </c>
      <c r="BE158" s="2">
        <f t="shared" si="27"/>
        <v>0</v>
      </c>
      <c r="BF158" s="2">
        <f t="shared" si="28"/>
        <v>0</v>
      </c>
      <c r="BJ158" s="2" t="str">
        <f t="shared" si="29"/>
        <v/>
      </c>
    </row>
    <row r="159" spans="1:62" ht="15" customHeight="1" x14ac:dyDescent="0.45">
      <c r="A159" s="2" t="s">
        <v>472</v>
      </c>
      <c r="B159" s="2" t="s">
        <v>473</v>
      </c>
      <c r="C159" s="2">
        <v>2019</v>
      </c>
      <c r="D159" s="2">
        <v>31.19</v>
      </c>
      <c r="E159" s="2">
        <v>32.503500000000003</v>
      </c>
      <c r="F159" s="2" t="s">
        <v>146</v>
      </c>
      <c r="G159" s="2">
        <v>3.5000000000000001E-3</v>
      </c>
      <c r="H159" s="2" t="s">
        <v>146</v>
      </c>
      <c r="I159" s="2" t="s">
        <v>146</v>
      </c>
      <c r="J159" s="2" t="s">
        <v>146</v>
      </c>
      <c r="K159" s="2" t="s">
        <v>146</v>
      </c>
      <c r="L159" s="2" t="s">
        <v>146</v>
      </c>
      <c r="M159" s="2" t="s">
        <v>49</v>
      </c>
      <c r="N159" s="2" t="s">
        <v>146</v>
      </c>
      <c r="O159" s="2" t="s">
        <v>146</v>
      </c>
      <c r="P159" s="2">
        <v>16.600000000000001</v>
      </c>
      <c r="Q159" s="2" t="s">
        <v>146</v>
      </c>
      <c r="R159" s="2" t="s">
        <v>146</v>
      </c>
      <c r="S159" s="2" t="s">
        <v>146</v>
      </c>
      <c r="T159" s="2" t="s">
        <v>147</v>
      </c>
      <c r="U159" s="2">
        <v>11.5</v>
      </c>
      <c r="V159" s="2" t="s">
        <v>146</v>
      </c>
      <c r="W159" s="2" t="s">
        <v>146</v>
      </c>
      <c r="X159" s="2" t="s">
        <v>146</v>
      </c>
      <c r="Y159" s="2" t="s">
        <v>146</v>
      </c>
      <c r="Z159" s="2" t="s">
        <v>146</v>
      </c>
      <c r="AA159" s="2">
        <v>1.36</v>
      </c>
      <c r="AB159" s="2" t="s">
        <v>146</v>
      </c>
      <c r="AC159" s="2" t="s">
        <v>146</v>
      </c>
      <c r="AD159" s="2" t="s">
        <v>146</v>
      </c>
      <c r="AE159" s="2" t="s">
        <v>146</v>
      </c>
      <c r="AF159" s="2" t="s">
        <v>146</v>
      </c>
      <c r="AG159" s="2" t="s">
        <v>146</v>
      </c>
      <c r="AH159" s="2">
        <v>3.04</v>
      </c>
      <c r="AI159" s="2" t="s">
        <v>146</v>
      </c>
      <c r="AJ159" s="2" t="s">
        <v>146</v>
      </c>
      <c r="AK159" s="2" t="s">
        <v>146</v>
      </c>
      <c r="AL159" s="2" t="s">
        <v>146</v>
      </c>
      <c r="AM159" s="2" t="s">
        <v>146</v>
      </c>
      <c r="AN159" s="2" t="s">
        <v>49</v>
      </c>
      <c r="AO159" s="2">
        <v>100</v>
      </c>
      <c r="AP159" s="2" t="s">
        <v>146</v>
      </c>
      <c r="AQ159" s="2" t="s">
        <v>146</v>
      </c>
      <c r="AR159" s="2" t="s">
        <v>146</v>
      </c>
      <c r="AV159" s="2">
        <f t="shared" si="20"/>
        <v>32.503500000000003</v>
      </c>
      <c r="AW159" s="2">
        <f t="shared" si="21"/>
        <v>31.19</v>
      </c>
      <c r="AX159" s="27">
        <f t="shared" si="22"/>
        <v>0.95958896734197852</v>
      </c>
      <c r="BA159" s="2">
        <f t="shared" si="23"/>
        <v>3.04</v>
      </c>
      <c r="BB159" s="2">
        <f t="shared" si="24"/>
        <v>3.04</v>
      </c>
      <c r="BC159" s="2">
        <f t="shared" si="25"/>
        <v>0</v>
      </c>
      <c r="BD159" s="2">
        <f t="shared" si="26"/>
        <v>0</v>
      </c>
      <c r="BE159" s="2">
        <f t="shared" si="27"/>
        <v>0</v>
      </c>
      <c r="BF159" s="2">
        <f t="shared" si="28"/>
        <v>0</v>
      </c>
      <c r="BJ159" s="2" t="str">
        <f t="shared" si="29"/>
        <v/>
      </c>
    </row>
    <row r="160" spans="1:62" ht="15" customHeight="1" x14ac:dyDescent="0.45">
      <c r="A160" s="2" t="s">
        <v>472</v>
      </c>
      <c r="B160" s="2" t="s">
        <v>471</v>
      </c>
      <c r="C160" s="2">
        <v>2019</v>
      </c>
      <c r="D160" s="2">
        <v>3.52</v>
      </c>
      <c r="E160" s="2">
        <v>3.5129999999999999</v>
      </c>
      <c r="F160" s="2" t="s">
        <v>146</v>
      </c>
      <c r="G160" s="2">
        <v>0.14299999999999999</v>
      </c>
      <c r="H160" s="2" t="s">
        <v>146</v>
      </c>
      <c r="I160" s="2" t="s">
        <v>146</v>
      </c>
      <c r="J160" s="2" t="s">
        <v>146</v>
      </c>
      <c r="K160" s="2" t="s">
        <v>146</v>
      </c>
      <c r="L160" s="2" t="s">
        <v>146</v>
      </c>
      <c r="M160" s="2" t="s">
        <v>49</v>
      </c>
      <c r="N160" s="2" t="s">
        <v>146</v>
      </c>
      <c r="O160" s="2" t="s">
        <v>146</v>
      </c>
      <c r="P160" s="2" t="s">
        <v>146</v>
      </c>
      <c r="Q160" s="2" t="s">
        <v>146</v>
      </c>
      <c r="R160" s="2" t="s">
        <v>146</v>
      </c>
      <c r="S160" s="2" t="s">
        <v>146</v>
      </c>
      <c r="T160" s="2" t="s">
        <v>146</v>
      </c>
      <c r="U160" s="2">
        <v>3.37</v>
      </c>
      <c r="V160" s="2" t="s">
        <v>146</v>
      </c>
      <c r="W160" s="2" t="s">
        <v>146</v>
      </c>
      <c r="X160" s="2" t="s">
        <v>146</v>
      </c>
      <c r="Y160" s="2" t="s">
        <v>146</v>
      </c>
      <c r="Z160" s="2" t="s">
        <v>146</v>
      </c>
      <c r="AA160" s="2" t="s">
        <v>146</v>
      </c>
      <c r="AB160" s="2" t="s">
        <v>146</v>
      </c>
      <c r="AC160" s="2" t="s">
        <v>146</v>
      </c>
      <c r="AD160" s="2" t="s">
        <v>146</v>
      </c>
      <c r="AE160" s="2" t="s">
        <v>146</v>
      </c>
      <c r="AF160" s="2" t="s">
        <v>146</v>
      </c>
      <c r="AG160" s="2" t="s">
        <v>146</v>
      </c>
      <c r="AH160" s="2" t="s">
        <v>146</v>
      </c>
      <c r="AI160" s="2" t="s">
        <v>146</v>
      </c>
      <c r="AJ160" s="2" t="s">
        <v>146</v>
      </c>
      <c r="AK160" s="2" t="s">
        <v>146</v>
      </c>
      <c r="AL160" s="2" t="s">
        <v>146</v>
      </c>
      <c r="AM160" s="2" t="s">
        <v>146</v>
      </c>
      <c r="AN160" s="2" t="s">
        <v>49</v>
      </c>
      <c r="AO160" s="2" t="s">
        <v>146</v>
      </c>
      <c r="AP160" s="2" t="s">
        <v>146</v>
      </c>
      <c r="AQ160" s="2" t="s">
        <v>146</v>
      </c>
      <c r="AR160" s="2" t="s">
        <v>146</v>
      </c>
      <c r="AV160" s="2">
        <f t="shared" si="20"/>
        <v>3.5129999999999999</v>
      </c>
      <c r="AW160" s="2">
        <f t="shared" si="21"/>
        <v>3.52</v>
      </c>
      <c r="AX160" s="27">
        <f t="shared" si="22"/>
        <v>1.0019925989183034</v>
      </c>
      <c r="BA160" s="2">
        <f t="shared" si="23"/>
        <v>0</v>
      </c>
      <c r="BB160" s="2">
        <f t="shared" si="24"/>
        <v>0</v>
      </c>
      <c r="BC160" s="2">
        <f t="shared" si="25"/>
        <v>0</v>
      </c>
      <c r="BD160" s="2">
        <f t="shared" si="26"/>
        <v>0</v>
      </c>
      <c r="BE160" s="2">
        <f t="shared" si="27"/>
        <v>0</v>
      </c>
      <c r="BF160" s="2">
        <f t="shared" si="28"/>
        <v>0</v>
      </c>
      <c r="BJ160" s="2" t="str">
        <f t="shared" si="29"/>
        <v/>
      </c>
    </row>
    <row r="161" spans="1:62" ht="15" customHeight="1" x14ac:dyDescent="0.45">
      <c r="A161" s="2" t="s">
        <v>470</v>
      </c>
      <c r="B161" s="2" t="s">
        <v>469</v>
      </c>
      <c r="C161" s="2">
        <v>2019</v>
      </c>
      <c r="D161" s="2">
        <v>12.195</v>
      </c>
      <c r="E161" s="2">
        <v>12.195</v>
      </c>
      <c r="F161" s="2" t="s">
        <v>146</v>
      </c>
      <c r="G161" s="2">
        <v>12.195</v>
      </c>
      <c r="H161" s="2" t="s">
        <v>146</v>
      </c>
      <c r="I161" s="2" t="s">
        <v>146</v>
      </c>
      <c r="J161" s="2" t="s">
        <v>146</v>
      </c>
      <c r="K161" s="2" t="s">
        <v>146</v>
      </c>
      <c r="L161" s="2" t="s">
        <v>146</v>
      </c>
      <c r="M161" s="2" t="s">
        <v>49</v>
      </c>
      <c r="N161" s="2" t="s">
        <v>146</v>
      </c>
      <c r="O161" s="2" t="s">
        <v>146</v>
      </c>
      <c r="P161" s="2" t="s">
        <v>146</v>
      </c>
      <c r="Q161" s="2" t="s">
        <v>146</v>
      </c>
      <c r="R161" s="2" t="s">
        <v>146</v>
      </c>
      <c r="S161" s="2" t="s">
        <v>146</v>
      </c>
      <c r="T161" s="2" t="s">
        <v>146</v>
      </c>
      <c r="U161" s="2" t="s">
        <v>146</v>
      </c>
      <c r="V161" s="2" t="s">
        <v>146</v>
      </c>
      <c r="W161" s="2" t="s">
        <v>146</v>
      </c>
      <c r="X161" s="2" t="s">
        <v>146</v>
      </c>
      <c r="Y161" s="2" t="s">
        <v>146</v>
      </c>
      <c r="Z161" s="2" t="s">
        <v>146</v>
      </c>
      <c r="AA161" s="2" t="s">
        <v>146</v>
      </c>
      <c r="AB161" s="2" t="s">
        <v>146</v>
      </c>
      <c r="AC161" s="2" t="s">
        <v>146</v>
      </c>
      <c r="AD161" s="2" t="s">
        <v>146</v>
      </c>
      <c r="AE161" s="2" t="s">
        <v>146</v>
      </c>
      <c r="AF161" s="2" t="s">
        <v>146</v>
      </c>
      <c r="AG161" s="2" t="s">
        <v>146</v>
      </c>
      <c r="AH161" s="2" t="s">
        <v>146</v>
      </c>
      <c r="AI161" s="2" t="s">
        <v>146</v>
      </c>
      <c r="AJ161" s="2" t="s">
        <v>146</v>
      </c>
      <c r="AK161" s="2" t="s">
        <v>146</v>
      </c>
      <c r="AL161" s="2" t="s">
        <v>146</v>
      </c>
      <c r="AM161" s="2" t="s">
        <v>146</v>
      </c>
      <c r="AN161" s="2" t="s">
        <v>49</v>
      </c>
      <c r="AO161" s="2" t="s">
        <v>146</v>
      </c>
      <c r="AP161" s="2" t="s">
        <v>146</v>
      </c>
      <c r="AQ161" s="2" t="s">
        <v>146</v>
      </c>
      <c r="AR161" s="2" t="s">
        <v>146</v>
      </c>
      <c r="AV161" s="2">
        <f t="shared" si="20"/>
        <v>12.195</v>
      </c>
      <c r="AW161" s="2">
        <f t="shared" si="21"/>
        <v>12.195</v>
      </c>
      <c r="AX161" s="27">
        <f t="shared" si="22"/>
        <v>1</v>
      </c>
      <c r="BA161" s="2">
        <f t="shared" si="23"/>
        <v>0</v>
      </c>
      <c r="BB161" s="2">
        <f t="shared" si="24"/>
        <v>0</v>
      </c>
      <c r="BC161" s="2">
        <f t="shared" si="25"/>
        <v>0</v>
      </c>
      <c r="BD161" s="2">
        <f t="shared" si="26"/>
        <v>0</v>
      </c>
      <c r="BE161" s="2">
        <f t="shared" si="27"/>
        <v>0</v>
      </c>
      <c r="BF161" s="2">
        <f t="shared" si="28"/>
        <v>0</v>
      </c>
      <c r="BJ161" s="2" t="str">
        <f t="shared" si="29"/>
        <v/>
      </c>
    </row>
    <row r="162" spans="1:62" ht="15" customHeight="1" x14ac:dyDescent="0.45">
      <c r="A162" s="2" t="s">
        <v>467</v>
      </c>
      <c r="B162" s="2" t="s">
        <v>468</v>
      </c>
      <c r="C162" s="2">
        <v>2019</v>
      </c>
      <c r="D162" s="2" t="s">
        <v>146</v>
      </c>
      <c r="E162" s="2" t="s">
        <v>146</v>
      </c>
      <c r="F162" s="2" t="s">
        <v>146</v>
      </c>
      <c r="G162" s="2" t="s">
        <v>146</v>
      </c>
      <c r="H162" s="2" t="s">
        <v>146</v>
      </c>
      <c r="I162" s="2" t="s">
        <v>146</v>
      </c>
      <c r="J162" s="2" t="s">
        <v>146</v>
      </c>
      <c r="K162" s="2" t="s">
        <v>146</v>
      </c>
      <c r="L162" s="2" t="s">
        <v>146</v>
      </c>
      <c r="M162" s="2" t="s">
        <v>49</v>
      </c>
      <c r="N162" s="2" t="s">
        <v>146</v>
      </c>
      <c r="O162" s="2" t="s">
        <v>146</v>
      </c>
      <c r="P162" s="2" t="s">
        <v>146</v>
      </c>
      <c r="Q162" s="2" t="s">
        <v>146</v>
      </c>
      <c r="R162" s="2" t="s">
        <v>146</v>
      </c>
      <c r="S162" s="2" t="s">
        <v>146</v>
      </c>
      <c r="T162" s="2" t="s">
        <v>146</v>
      </c>
      <c r="U162" s="2" t="s">
        <v>146</v>
      </c>
      <c r="V162" s="2" t="s">
        <v>146</v>
      </c>
      <c r="W162" s="2" t="s">
        <v>146</v>
      </c>
      <c r="X162" s="2" t="s">
        <v>146</v>
      </c>
      <c r="Y162" s="2" t="s">
        <v>146</v>
      </c>
      <c r="Z162" s="2" t="s">
        <v>146</v>
      </c>
      <c r="AA162" s="2" t="s">
        <v>146</v>
      </c>
      <c r="AB162" s="2" t="s">
        <v>146</v>
      </c>
      <c r="AC162" s="2" t="s">
        <v>146</v>
      </c>
      <c r="AD162" s="2" t="s">
        <v>146</v>
      </c>
      <c r="AE162" s="2" t="s">
        <v>146</v>
      </c>
      <c r="AF162" s="2" t="s">
        <v>146</v>
      </c>
      <c r="AG162" s="2" t="s">
        <v>146</v>
      </c>
      <c r="AH162" s="2" t="s">
        <v>146</v>
      </c>
      <c r="AI162" s="2" t="s">
        <v>146</v>
      </c>
      <c r="AJ162" s="2" t="s">
        <v>146</v>
      </c>
      <c r="AK162" s="2" t="s">
        <v>146</v>
      </c>
      <c r="AL162" s="2" t="s">
        <v>146</v>
      </c>
      <c r="AM162" s="2" t="s">
        <v>146</v>
      </c>
      <c r="AN162" s="2" t="s">
        <v>49</v>
      </c>
      <c r="AO162" s="2" t="s">
        <v>146</v>
      </c>
      <c r="AP162" s="2" t="s">
        <v>146</v>
      </c>
      <c r="AQ162" s="2" t="s">
        <v>146</v>
      </c>
      <c r="AR162" s="2" t="s">
        <v>146</v>
      </c>
      <c r="AV162" s="2">
        <f t="shared" si="20"/>
        <v>0</v>
      </c>
      <c r="AW162" s="2">
        <f t="shared" si="21"/>
        <v>0</v>
      </c>
      <c r="AX162" s="27" t="str">
        <f t="shared" si="22"/>
        <v/>
      </c>
      <c r="BA162" s="2">
        <f t="shared" si="23"/>
        <v>0</v>
      </c>
      <c r="BB162" s="2">
        <f t="shared" si="24"/>
        <v>0</v>
      </c>
      <c r="BC162" s="2">
        <f t="shared" si="25"/>
        <v>0</v>
      </c>
      <c r="BD162" s="2">
        <f t="shared" si="26"/>
        <v>0</v>
      </c>
      <c r="BE162" s="2">
        <f t="shared" si="27"/>
        <v>0</v>
      </c>
      <c r="BF162" s="2">
        <f t="shared" si="28"/>
        <v>0</v>
      </c>
      <c r="BJ162" s="2" t="str">
        <f t="shared" si="29"/>
        <v/>
      </c>
    </row>
    <row r="163" spans="1:62" ht="15" customHeight="1" x14ac:dyDescent="0.45">
      <c r="A163" s="2" t="s">
        <v>467</v>
      </c>
      <c r="B163" s="2" t="s">
        <v>466</v>
      </c>
      <c r="C163" s="2">
        <v>2019</v>
      </c>
      <c r="D163" s="2">
        <v>280.52300000000002</v>
      </c>
      <c r="E163" s="2">
        <v>280.29599999999999</v>
      </c>
      <c r="F163" s="2" t="s">
        <v>146</v>
      </c>
      <c r="G163" s="2">
        <v>2.8820000000000001</v>
      </c>
      <c r="H163" s="2" t="s">
        <v>146</v>
      </c>
      <c r="I163" s="2" t="s">
        <v>146</v>
      </c>
      <c r="J163" s="2" t="s">
        <v>146</v>
      </c>
      <c r="K163" s="2" t="s">
        <v>146</v>
      </c>
      <c r="L163" s="2" t="s">
        <v>146</v>
      </c>
      <c r="M163" s="2" t="s">
        <v>49</v>
      </c>
      <c r="N163" s="2" t="s">
        <v>146</v>
      </c>
      <c r="O163" s="2" t="s">
        <v>146</v>
      </c>
      <c r="P163" s="2" t="s">
        <v>146</v>
      </c>
      <c r="Q163" s="2" t="s">
        <v>146</v>
      </c>
      <c r="R163" s="2" t="s">
        <v>146</v>
      </c>
      <c r="S163" s="2" t="s">
        <v>146</v>
      </c>
      <c r="T163" s="2" t="s">
        <v>146</v>
      </c>
      <c r="U163" s="2" t="s">
        <v>146</v>
      </c>
      <c r="V163" s="2" t="s">
        <v>146</v>
      </c>
      <c r="W163" s="2" t="s">
        <v>146</v>
      </c>
      <c r="X163" s="2" t="s">
        <v>146</v>
      </c>
      <c r="Y163" s="2" t="s">
        <v>146</v>
      </c>
      <c r="Z163" s="2">
        <v>2.9729999999999999</v>
      </c>
      <c r="AA163" s="2" t="s">
        <v>146</v>
      </c>
      <c r="AB163" s="2" t="s">
        <v>146</v>
      </c>
      <c r="AC163" s="2">
        <v>265.99700000000001</v>
      </c>
      <c r="AD163" s="2" t="s">
        <v>146</v>
      </c>
      <c r="AE163" s="2" t="s">
        <v>160</v>
      </c>
      <c r="AF163" s="2">
        <v>37.299999999999997</v>
      </c>
      <c r="AG163" s="2" t="s">
        <v>146</v>
      </c>
      <c r="AH163" s="2">
        <v>8.4440000000000008</v>
      </c>
      <c r="AI163" s="2" t="s">
        <v>146</v>
      </c>
      <c r="AJ163" s="2" t="s">
        <v>146</v>
      </c>
      <c r="AK163" s="2" t="s">
        <v>146</v>
      </c>
      <c r="AL163" s="2" t="s">
        <v>146</v>
      </c>
      <c r="AM163" s="2" t="s">
        <v>146</v>
      </c>
      <c r="AN163" s="2" t="s">
        <v>49</v>
      </c>
      <c r="AO163" s="2" t="s">
        <v>146</v>
      </c>
      <c r="AP163" s="2">
        <v>100</v>
      </c>
      <c r="AQ163" s="2" t="s">
        <v>146</v>
      </c>
      <c r="AR163" s="2" t="s">
        <v>146</v>
      </c>
      <c r="AV163" s="2">
        <f t="shared" si="20"/>
        <v>280.29600000000005</v>
      </c>
      <c r="AW163" s="2">
        <f t="shared" si="21"/>
        <v>280.52300000000002</v>
      </c>
      <c r="AX163" s="27">
        <f t="shared" si="22"/>
        <v>1.0008098581499556</v>
      </c>
      <c r="BA163" s="2">
        <f t="shared" si="23"/>
        <v>8.4440000000000008</v>
      </c>
      <c r="BB163" s="2">
        <f t="shared" si="24"/>
        <v>0</v>
      </c>
      <c r="BC163" s="2">
        <f t="shared" si="25"/>
        <v>8.4440000000000008</v>
      </c>
      <c r="BD163" s="2">
        <f t="shared" si="26"/>
        <v>0</v>
      </c>
      <c r="BE163" s="2">
        <f t="shared" si="27"/>
        <v>0</v>
      </c>
      <c r="BF163" s="2">
        <f t="shared" si="28"/>
        <v>0</v>
      </c>
      <c r="BJ163" s="2" t="str">
        <f t="shared" si="29"/>
        <v/>
      </c>
    </row>
    <row r="164" spans="1:62" ht="15" customHeight="1" x14ac:dyDescent="0.45">
      <c r="A164" s="2" t="s">
        <v>465</v>
      </c>
      <c r="B164" s="2" t="s">
        <v>464</v>
      </c>
      <c r="C164" s="2">
        <v>2019</v>
      </c>
      <c r="D164" s="2">
        <v>0.57799999999999996</v>
      </c>
      <c r="E164" s="2">
        <v>0.68</v>
      </c>
      <c r="F164" s="2" t="s">
        <v>146</v>
      </c>
      <c r="G164" s="2">
        <v>0.68</v>
      </c>
      <c r="H164" s="2" t="s">
        <v>146</v>
      </c>
      <c r="I164" s="2" t="s">
        <v>146</v>
      </c>
      <c r="J164" s="2" t="s">
        <v>146</v>
      </c>
      <c r="K164" s="2" t="s">
        <v>146</v>
      </c>
      <c r="L164" s="2" t="s">
        <v>146</v>
      </c>
      <c r="M164" s="2" t="s">
        <v>49</v>
      </c>
      <c r="N164" s="2" t="s">
        <v>146</v>
      </c>
      <c r="O164" s="2" t="s">
        <v>146</v>
      </c>
      <c r="P164" s="2" t="s">
        <v>146</v>
      </c>
      <c r="Q164" s="2" t="s">
        <v>146</v>
      </c>
      <c r="R164" s="2" t="s">
        <v>146</v>
      </c>
      <c r="S164" s="2" t="s">
        <v>146</v>
      </c>
      <c r="T164" s="2" t="s">
        <v>146</v>
      </c>
      <c r="U164" s="2" t="s">
        <v>146</v>
      </c>
      <c r="V164" s="2" t="s">
        <v>146</v>
      </c>
      <c r="W164" s="2" t="s">
        <v>146</v>
      </c>
      <c r="X164" s="2" t="s">
        <v>146</v>
      </c>
      <c r="Y164" s="2" t="s">
        <v>146</v>
      </c>
      <c r="Z164" s="2" t="s">
        <v>146</v>
      </c>
      <c r="AA164" s="2" t="s">
        <v>146</v>
      </c>
      <c r="AB164" s="2" t="s">
        <v>146</v>
      </c>
      <c r="AC164" s="2" t="s">
        <v>146</v>
      </c>
      <c r="AD164" s="2" t="s">
        <v>146</v>
      </c>
      <c r="AE164" s="2" t="s">
        <v>146</v>
      </c>
      <c r="AF164" s="2" t="s">
        <v>146</v>
      </c>
      <c r="AG164" s="2" t="s">
        <v>146</v>
      </c>
      <c r="AH164" s="2" t="s">
        <v>146</v>
      </c>
      <c r="AI164" s="2" t="s">
        <v>146</v>
      </c>
      <c r="AJ164" s="2" t="s">
        <v>146</v>
      </c>
      <c r="AK164" s="2" t="s">
        <v>146</v>
      </c>
      <c r="AL164" s="2" t="s">
        <v>146</v>
      </c>
      <c r="AM164" s="2" t="s">
        <v>146</v>
      </c>
      <c r="AN164" s="2" t="s">
        <v>49</v>
      </c>
      <c r="AO164" s="2" t="s">
        <v>146</v>
      </c>
      <c r="AP164" s="2" t="s">
        <v>146</v>
      </c>
      <c r="AQ164" s="2" t="s">
        <v>146</v>
      </c>
      <c r="AR164" s="2" t="s">
        <v>146</v>
      </c>
      <c r="AV164" s="2">
        <f t="shared" si="20"/>
        <v>0.68</v>
      </c>
      <c r="AW164" s="2">
        <f t="shared" si="21"/>
        <v>0.57799999999999996</v>
      </c>
      <c r="AX164" s="27">
        <f t="shared" si="22"/>
        <v>0.84999999999999987</v>
      </c>
      <c r="BA164" s="2">
        <f t="shared" si="23"/>
        <v>0</v>
      </c>
      <c r="BB164" s="2">
        <f t="shared" si="24"/>
        <v>0</v>
      </c>
      <c r="BC164" s="2">
        <f t="shared" si="25"/>
        <v>0</v>
      </c>
      <c r="BD164" s="2">
        <f t="shared" si="26"/>
        <v>0</v>
      </c>
      <c r="BE164" s="2">
        <f t="shared" si="27"/>
        <v>0</v>
      </c>
      <c r="BF164" s="2">
        <f t="shared" si="28"/>
        <v>0</v>
      </c>
      <c r="BJ164" s="2" t="str">
        <f t="shared" si="29"/>
        <v/>
      </c>
    </row>
    <row r="165" spans="1:62" ht="15" customHeight="1" x14ac:dyDescent="0.45">
      <c r="A165" s="2" t="s">
        <v>459</v>
      </c>
      <c r="B165" s="2" t="s">
        <v>463</v>
      </c>
      <c r="C165" s="2">
        <v>2019</v>
      </c>
      <c r="D165" s="2">
        <v>0.89100000000000001</v>
      </c>
      <c r="E165" s="2">
        <v>0.89100000000000001</v>
      </c>
      <c r="F165" s="2" t="s">
        <v>146</v>
      </c>
      <c r="G165" s="2">
        <v>0.89100000000000001</v>
      </c>
      <c r="H165" s="2" t="s">
        <v>146</v>
      </c>
      <c r="I165" s="2" t="s">
        <v>146</v>
      </c>
      <c r="J165" s="2" t="s">
        <v>146</v>
      </c>
      <c r="K165" s="2" t="s">
        <v>146</v>
      </c>
      <c r="L165" s="2" t="s">
        <v>146</v>
      </c>
      <c r="M165" s="2" t="s">
        <v>49</v>
      </c>
      <c r="N165" s="2" t="s">
        <v>146</v>
      </c>
      <c r="O165" s="2" t="s">
        <v>146</v>
      </c>
      <c r="P165" s="2" t="s">
        <v>146</v>
      </c>
      <c r="Q165" s="2" t="s">
        <v>146</v>
      </c>
      <c r="R165" s="2" t="s">
        <v>146</v>
      </c>
      <c r="S165" s="2" t="s">
        <v>146</v>
      </c>
      <c r="T165" s="2" t="s">
        <v>146</v>
      </c>
      <c r="U165" s="2" t="s">
        <v>146</v>
      </c>
      <c r="V165" s="2" t="s">
        <v>146</v>
      </c>
      <c r="W165" s="2" t="s">
        <v>146</v>
      </c>
      <c r="X165" s="2" t="s">
        <v>146</v>
      </c>
      <c r="Y165" s="2" t="s">
        <v>146</v>
      </c>
      <c r="Z165" s="2" t="s">
        <v>146</v>
      </c>
      <c r="AA165" s="2" t="s">
        <v>146</v>
      </c>
      <c r="AB165" s="2" t="s">
        <v>146</v>
      </c>
      <c r="AC165" s="2" t="s">
        <v>146</v>
      </c>
      <c r="AD165" s="2" t="s">
        <v>146</v>
      </c>
      <c r="AE165" s="2" t="s">
        <v>146</v>
      </c>
      <c r="AF165" s="2" t="s">
        <v>146</v>
      </c>
      <c r="AG165" s="2" t="s">
        <v>146</v>
      </c>
      <c r="AH165" s="2" t="s">
        <v>146</v>
      </c>
      <c r="AI165" s="2" t="s">
        <v>146</v>
      </c>
      <c r="AJ165" s="2" t="s">
        <v>146</v>
      </c>
      <c r="AK165" s="2" t="s">
        <v>146</v>
      </c>
      <c r="AL165" s="2" t="s">
        <v>146</v>
      </c>
      <c r="AM165" s="2" t="s">
        <v>146</v>
      </c>
      <c r="AN165" s="2" t="s">
        <v>49</v>
      </c>
      <c r="AO165" s="2" t="s">
        <v>146</v>
      </c>
      <c r="AP165" s="2" t="s">
        <v>146</v>
      </c>
      <c r="AQ165" s="2" t="s">
        <v>146</v>
      </c>
      <c r="AR165" s="2" t="s">
        <v>146</v>
      </c>
      <c r="AV165" s="2">
        <f t="shared" si="20"/>
        <v>0.89100000000000001</v>
      </c>
      <c r="AW165" s="2">
        <f t="shared" si="21"/>
        <v>0.89100000000000001</v>
      </c>
      <c r="AX165" s="27">
        <f t="shared" si="22"/>
        <v>1</v>
      </c>
      <c r="BA165" s="2">
        <f t="shared" si="23"/>
        <v>0</v>
      </c>
      <c r="BB165" s="2">
        <f t="shared" si="24"/>
        <v>0</v>
      </c>
      <c r="BC165" s="2">
        <f t="shared" si="25"/>
        <v>0</v>
      </c>
      <c r="BD165" s="2">
        <f t="shared" si="26"/>
        <v>0</v>
      </c>
      <c r="BE165" s="2">
        <f t="shared" si="27"/>
        <v>0</v>
      </c>
      <c r="BF165" s="2">
        <f t="shared" si="28"/>
        <v>0</v>
      </c>
      <c r="BJ165" s="2" t="str">
        <f t="shared" si="29"/>
        <v/>
      </c>
    </row>
    <row r="166" spans="1:62" ht="15" customHeight="1" x14ac:dyDescent="0.45">
      <c r="A166" s="2" t="s">
        <v>459</v>
      </c>
      <c r="B166" s="2" t="s">
        <v>462</v>
      </c>
      <c r="C166" s="2">
        <v>2019</v>
      </c>
      <c r="D166" s="2">
        <v>3.8250000000000002</v>
      </c>
      <c r="E166" s="2">
        <v>3.8250000000000002</v>
      </c>
      <c r="F166" s="2" t="s">
        <v>146</v>
      </c>
      <c r="G166" s="2">
        <v>0</v>
      </c>
      <c r="H166" s="2" t="s">
        <v>146</v>
      </c>
      <c r="I166" s="2" t="s">
        <v>146</v>
      </c>
      <c r="J166" s="2" t="s">
        <v>146</v>
      </c>
      <c r="K166" s="2" t="s">
        <v>146</v>
      </c>
      <c r="L166" s="2" t="s">
        <v>146</v>
      </c>
      <c r="M166" s="2" t="s">
        <v>49</v>
      </c>
      <c r="N166" s="2" t="s">
        <v>146</v>
      </c>
      <c r="O166" s="2" t="s">
        <v>146</v>
      </c>
      <c r="P166" s="2" t="s">
        <v>146</v>
      </c>
      <c r="Q166" s="2" t="s">
        <v>146</v>
      </c>
      <c r="R166" s="2" t="s">
        <v>146</v>
      </c>
      <c r="S166" s="2" t="s">
        <v>146</v>
      </c>
      <c r="T166" s="2" t="s">
        <v>146</v>
      </c>
      <c r="U166" s="2">
        <v>3.8250000000000002</v>
      </c>
      <c r="V166" s="2" t="s">
        <v>146</v>
      </c>
      <c r="W166" s="2" t="s">
        <v>146</v>
      </c>
      <c r="X166" s="2" t="s">
        <v>146</v>
      </c>
      <c r="Y166" s="2" t="s">
        <v>146</v>
      </c>
      <c r="Z166" s="2" t="s">
        <v>146</v>
      </c>
      <c r="AA166" s="2" t="s">
        <v>146</v>
      </c>
      <c r="AB166" s="2" t="s">
        <v>146</v>
      </c>
      <c r="AC166" s="2" t="s">
        <v>146</v>
      </c>
      <c r="AD166" s="2" t="s">
        <v>146</v>
      </c>
      <c r="AE166" s="2" t="s">
        <v>146</v>
      </c>
      <c r="AF166" s="2" t="s">
        <v>146</v>
      </c>
      <c r="AG166" s="2" t="s">
        <v>146</v>
      </c>
      <c r="AH166" s="2" t="s">
        <v>146</v>
      </c>
      <c r="AI166" s="2" t="s">
        <v>146</v>
      </c>
      <c r="AJ166" s="2" t="s">
        <v>146</v>
      </c>
      <c r="AK166" s="2" t="s">
        <v>146</v>
      </c>
      <c r="AL166" s="2" t="s">
        <v>146</v>
      </c>
      <c r="AM166" s="2" t="s">
        <v>146</v>
      </c>
      <c r="AN166" s="2" t="s">
        <v>49</v>
      </c>
      <c r="AO166" s="2" t="s">
        <v>146</v>
      </c>
      <c r="AP166" s="2" t="s">
        <v>146</v>
      </c>
      <c r="AQ166" s="2" t="s">
        <v>146</v>
      </c>
      <c r="AR166" s="2" t="s">
        <v>146</v>
      </c>
      <c r="AV166" s="2">
        <f t="shared" si="20"/>
        <v>3.8250000000000002</v>
      </c>
      <c r="AW166" s="2">
        <f t="shared" si="21"/>
        <v>3.8250000000000002</v>
      </c>
      <c r="AX166" s="27">
        <f t="shared" si="22"/>
        <v>1</v>
      </c>
      <c r="BA166" s="2">
        <f t="shared" si="23"/>
        <v>0</v>
      </c>
      <c r="BB166" s="2">
        <f t="shared" si="24"/>
        <v>0</v>
      </c>
      <c r="BC166" s="2">
        <f t="shared" si="25"/>
        <v>0</v>
      </c>
      <c r="BD166" s="2">
        <f t="shared" si="26"/>
        <v>0</v>
      </c>
      <c r="BE166" s="2">
        <f t="shared" si="27"/>
        <v>0</v>
      </c>
      <c r="BF166" s="2">
        <f t="shared" si="28"/>
        <v>0</v>
      </c>
      <c r="BJ166" s="2" t="str">
        <f t="shared" si="29"/>
        <v/>
      </c>
    </row>
    <row r="167" spans="1:62" ht="15" customHeight="1" x14ac:dyDescent="0.45">
      <c r="A167" s="2" t="s">
        <v>459</v>
      </c>
      <c r="B167" s="2" t="s">
        <v>461</v>
      </c>
      <c r="C167" s="2">
        <v>2019</v>
      </c>
      <c r="D167" s="2">
        <v>11.348000000000001</v>
      </c>
      <c r="E167" s="2">
        <v>11.348000000000001</v>
      </c>
      <c r="F167" s="2" t="s">
        <v>146</v>
      </c>
      <c r="G167" s="2">
        <v>1.6419999999999999</v>
      </c>
      <c r="H167" s="2" t="s">
        <v>146</v>
      </c>
      <c r="I167" s="2" t="s">
        <v>146</v>
      </c>
      <c r="J167" s="2" t="s">
        <v>146</v>
      </c>
      <c r="K167" s="2" t="s">
        <v>146</v>
      </c>
      <c r="L167" s="2" t="s">
        <v>146</v>
      </c>
      <c r="M167" s="2" t="s">
        <v>49</v>
      </c>
      <c r="N167" s="2" t="s">
        <v>146</v>
      </c>
      <c r="O167" s="2" t="s">
        <v>146</v>
      </c>
      <c r="P167" s="2" t="s">
        <v>146</v>
      </c>
      <c r="Q167" s="2" t="s">
        <v>146</v>
      </c>
      <c r="R167" s="2" t="s">
        <v>146</v>
      </c>
      <c r="S167" s="2" t="s">
        <v>146</v>
      </c>
      <c r="T167" s="2" t="s">
        <v>146</v>
      </c>
      <c r="U167" s="2">
        <v>4.8070000000000004</v>
      </c>
      <c r="V167" s="2" t="s">
        <v>146</v>
      </c>
      <c r="W167" s="2" t="s">
        <v>146</v>
      </c>
      <c r="X167" s="2" t="s">
        <v>146</v>
      </c>
      <c r="Y167" s="2" t="s">
        <v>146</v>
      </c>
      <c r="Z167" s="2">
        <v>3.5009999999999999</v>
      </c>
      <c r="AA167" s="2" t="s">
        <v>146</v>
      </c>
      <c r="AB167" s="2" t="s">
        <v>146</v>
      </c>
      <c r="AC167" s="2" t="s">
        <v>146</v>
      </c>
      <c r="AD167" s="2" t="s">
        <v>146</v>
      </c>
      <c r="AE167" s="2" t="s">
        <v>146</v>
      </c>
      <c r="AF167" s="2" t="s">
        <v>146</v>
      </c>
      <c r="AG167" s="2" t="s">
        <v>146</v>
      </c>
      <c r="AH167" s="2" t="s">
        <v>146</v>
      </c>
      <c r="AI167" s="2" t="s">
        <v>146</v>
      </c>
      <c r="AJ167" s="2" t="s">
        <v>146</v>
      </c>
      <c r="AK167" s="2" t="s">
        <v>146</v>
      </c>
      <c r="AL167" s="2">
        <v>1.3979999999999999</v>
      </c>
      <c r="AM167" s="2">
        <v>1.3979999999999999</v>
      </c>
      <c r="AN167" s="2" t="s">
        <v>49</v>
      </c>
      <c r="AO167" s="2" t="s">
        <v>146</v>
      </c>
      <c r="AP167" s="2" t="s">
        <v>146</v>
      </c>
      <c r="AQ167" s="2" t="s">
        <v>146</v>
      </c>
      <c r="AR167" s="2" t="s">
        <v>146</v>
      </c>
      <c r="AV167" s="2">
        <f t="shared" si="20"/>
        <v>11.347999999999999</v>
      </c>
      <c r="AW167" s="2">
        <f t="shared" si="21"/>
        <v>11.348000000000001</v>
      </c>
      <c r="AX167" s="27">
        <f t="shared" si="22"/>
        <v>1.0000000000000002</v>
      </c>
      <c r="BA167" s="2">
        <f t="shared" si="23"/>
        <v>0</v>
      </c>
      <c r="BB167" s="2">
        <f t="shared" si="24"/>
        <v>0</v>
      </c>
      <c r="BC167" s="2">
        <f t="shared" si="25"/>
        <v>0</v>
      </c>
      <c r="BD167" s="2">
        <f t="shared" si="26"/>
        <v>0</v>
      </c>
      <c r="BE167" s="2">
        <f t="shared" si="27"/>
        <v>0</v>
      </c>
      <c r="BF167" s="2">
        <f t="shared" si="28"/>
        <v>0</v>
      </c>
      <c r="BJ167" s="2" t="str">
        <f t="shared" si="29"/>
        <v/>
      </c>
    </row>
    <row r="168" spans="1:62" ht="15" customHeight="1" x14ac:dyDescent="0.45">
      <c r="A168" s="2" t="s">
        <v>459</v>
      </c>
      <c r="B168" s="2" t="s">
        <v>460</v>
      </c>
      <c r="C168" s="2">
        <v>2019</v>
      </c>
      <c r="D168" s="2" t="s">
        <v>146</v>
      </c>
      <c r="E168" s="2" t="s">
        <v>146</v>
      </c>
      <c r="F168" s="2" t="s">
        <v>146</v>
      </c>
      <c r="G168" s="2" t="s">
        <v>146</v>
      </c>
      <c r="H168" s="2" t="s">
        <v>146</v>
      </c>
      <c r="I168" s="2" t="s">
        <v>146</v>
      </c>
      <c r="J168" s="2" t="s">
        <v>146</v>
      </c>
      <c r="K168" s="2" t="s">
        <v>146</v>
      </c>
      <c r="L168" s="2" t="s">
        <v>146</v>
      </c>
      <c r="M168" s="2" t="s">
        <v>49</v>
      </c>
      <c r="N168" s="2" t="s">
        <v>146</v>
      </c>
      <c r="O168" s="2" t="s">
        <v>146</v>
      </c>
      <c r="P168" s="2" t="s">
        <v>146</v>
      </c>
      <c r="Q168" s="2" t="s">
        <v>146</v>
      </c>
      <c r="R168" s="2" t="s">
        <v>146</v>
      </c>
      <c r="S168" s="2" t="s">
        <v>146</v>
      </c>
      <c r="T168" s="2" t="s">
        <v>146</v>
      </c>
      <c r="U168" s="2" t="s">
        <v>146</v>
      </c>
      <c r="V168" s="2" t="s">
        <v>146</v>
      </c>
      <c r="W168" s="2" t="s">
        <v>146</v>
      </c>
      <c r="X168" s="2" t="s">
        <v>146</v>
      </c>
      <c r="Y168" s="2" t="s">
        <v>146</v>
      </c>
      <c r="Z168" s="2" t="s">
        <v>146</v>
      </c>
      <c r="AA168" s="2" t="s">
        <v>146</v>
      </c>
      <c r="AB168" s="2" t="s">
        <v>146</v>
      </c>
      <c r="AC168" s="2" t="s">
        <v>146</v>
      </c>
      <c r="AD168" s="2" t="s">
        <v>146</v>
      </c>
      <c r="AE168" s="2" t="s">
        <v>146</v>
      </c>
      <c r="AF168" s="2" t="s">
        <v>146</v>
      </c>
      <c r="AG168" s="2" t="s">
        <v>146</v>
      </c>
      <c r="AH168" s="2" t="s">
        <v>146</v>
      </c>
      <c r="AI168" s="2" t="s">
        <v>146</v>
      </c>
      <c r="AJ168" s="2" t="s">
        <v>146</v>
      </c>
      <c r="AK168" s="2" t="s">
        <v>146</v>
      </c>
      <c r="AL168" s="2" t="s">
        <v>146</v>
      </c>
      <c r="AM168" s="2" t="s">
        <v>146</v>
      </c>
      <c r="AN168" s="2" t="s">
        <v>49</v>
      </c>
      <c r="AO168" s="2" t="s">
        <v>146</v>
      </c>
      <c r="AP168" s="2" t="s">
        <v>146</v>
      </c>
      <c r="AQ168" s="2" t="s">
        <v>146</v>
      </c>
      <c r="AR168" s="2" t="s">
        <v>146</v>
      </c>
      <c r="AV168" s="2">
        <f t="shared" si="20"/>
        <v>0</v>
      </c>
      <c r="AW168" s="2">
        <f t="shared" si="21"/>
        <v>0</v>
      </c>
      <c r="AX168" s="27" t="str">
        <f t="shared" si="22"/>
        <v/>
      </c>
      <c r="BA168" s="2">
        <f t="shared" si="23"/>
        <v>0</v>
      </c>
      <c r="BB168" s="2">
        <f t="shared" si="24"/>
        <v>0</v>
      </c>
      <c r="BC168" s="2">
        <f t="shared" si="25"/>
        <v>0</v>
      </c>
      <c r="BD168" s="2">
        <f t="shared" si="26"/>
        <v>0</v>
      </c>
      <c r="BE168" s="2">
        <f t="shared" si="27"/>
        <v>0</v>
      </c>
      <c r="BF168" s="2">
        <f t="shared" si="28"/>
        <v>0</v>
      </c>
      <c r="BJ168" s="2" t="str">
        <f t="shared" si="29"/>
        <v/>
      </c>
    </row>
    <row r="169" spans="1:62" ht="15" customHeight="1" x14ac:dyDescent="0.45">
      <c r="A169" s="2" t="s">
        <v>459</v>
      </c>
      <c r="B169" s="2" t="s">
        <v>458</v>
      </c>
      <c r="C169" s="2">
        <v>2019</v>
      </c>
      <c r="D169" s="2">
        <v>0.41399999999999998</v>
      </c>
      <c r="E169" s="2">
        <v>0.41</v>
      </c>
      <c r="F169" s="2" t="s">
        <v>146</v>
      </c>
      <c r="G169" s="2">
        <v>0.23</v>
      </c>
      <c r="H169" s="2" t="s">
        <v>146</v>
      </c>
      <c r="I169" s="2" t="s">
        <v>146</v>
      </c>
      <c r="J169" s="2" t="s">
        <v>146</v>
      </c>
      <c r="K169" s="2" t="s">
        <v>146</v>
      </c>
      <c r="L169" s="2" t="s">
        <v>146</v>
      </c>
      <c r="M169" s="2" t="s">
        <v>49</v>
      </c>
      <c r="N169" s="2" t="s">
        <v>146</v>
      </c>
      <c r="O169" s="2" t="s">
        <v>146</v>
      </c>
      <c r="P169" s="2" t="s">
        <v>146</v>
      </c>
      <c r="Q169" s="2" t="s">
        <v>146</v>
      </c>
      <c r="R169" s="2" t="s">
        <v>146</v>
      </c>
      <c r="S169" s="2" t="s">
        <v>146</v>
      </c>
      <c r="T169" s="2" t="s">
        <v>146</v>
      </c>
      <c r="U169" s="2" t="s">
        <v>146</v>
      </c>
      <c r="V169" s="2" t="s">
        <v>146</v>
      </c>
      <c r="W169" s="2" t="s">
        <v>146</v>
      </c>
      <c r="X169" s="2" t="s">
        <v>146</v>
      </c>
      <c r="Y169" s="2" t="s">
        <v>146</v>
      </c>
      <c r="Z169" s="2">
        <v>0.18</v>
      </c>
      <c r="AA169" s="2" t="s">
        <v>146</v>
      </c>
      <c r="AB169" s="2" t="s">
        <v>146</v>
      </c>
      <c r="AC169" s="2" t="s">
        <v>146</v>
      </c>
      <c r="AD169" s="2" t="s">
        <v>146</v>
      </c>
      <c r="AE169" s="2" t="s">
        <v>146</v>
      </c>
      <c r="AF169" s="2" t="s">
        <v>146</v>
      </c>
      <c r="AG169" s="2" t="s">
        <v>146</v>
      </c>
      <c r="AH169" s="2" t="s">
        <v>146</v>
      </c>
      <c r="AI169" s="2" t="s">
        <v>146</v>
      </c>
      <c r="AJ169" s="2" t="s">
        <v>146</v>
      </c>
      <c r="AK169" s="2" t="s">
        <v>146</v>
      </c>
      <c r="AL169" s="2" t="s">
        <v>146</v>
      </c>
      <c r="AM169" s="2" t="s">
        <v>146</v>
      </c>
      <c r="AN169" s="2" t="s">
        <v>49</v>
      </c>
      <c r="AO169" s="2" t="s">
        <v>146</v>
      </c>
      <c r="AP169" s="2" t="s">
        <v>146</v>
      </c>
      <c r="AQ169" s="2" t="s">
        <v>146</v>
      </c>
      <c r="AR169" s="2" t="s">
        <v>146</v>
      </c>
      <c r="AV169" s="2">
        <f t="shared" si="20"/>
        <v>0.41000000000000003</v>
      </c>
      <c r="AW169" s="2">
        <f t="shared" si="21"/>
        <v>0.41399999999999998</v>
      </c>
      <c r="AX169" s="27">
        <f t="shared" si="22"/>
        <v>1.0097560975609754</v>
      </c>
      <c r="BA169" s="2">
        <f t="shared" si="23"/>
        <v>0</v>
      </c>
      <c r="BB169" s="2">
        <f t="shared" si="24"/>
        <v>0</v>
      </c>
      <c r="BC169" s="2">
        <f t="shared" si="25"/>
        <v>0</v>
      </c>
      <c r="BD169" s="2">
        <f t="shared" si="26"/>
        <v>0</v>
      </c>
      <c r="BE169" s="2">
        <f t="shared" si="27"/>
        <v>0</v>
      </c>
      <c r="BF169" s="2">
        <f t="shared" si="28"/>
        <v>0</v>
      </c>
      <c r="BJ169" s="2" t="str">
        <f t="shared" si="29"/>
        <v/>
      </c>
    </row>
    <row r="170" spans="1:62" ht="15" customHeight="1" x14ac:dyDescent="0.45">
      <c r="A170" s="2" t="s">
        <v>457</v>
      </c>
      <c r="B170" s="2" t="s">
        <v>456</v>
      </c>
      <c r="C170" s="2">
        <v>2019</v>
      </c>
      <c r="D170" s="2">
        <v>22.82</v>
      </c>
      <c r="E170" s="2">
        <v>25.92</v>
      </c>
      <c r="F170" s="2" t="s">
        <v>146</v>
      </c>
      <c r="G170" s="2">
        <v>1.92</v>
      </c>
      <c r="H170" s="2" t="s">
        <v>146</v>
      </c>
      <c r="I170" s="2" t="s">
        <v>146</v>
      </c>
      <c r="J170" s="2" t="s">
        <v>146</v>
      </c>
      <c r="K170" s="2" t="s">
        <v>146</v>
      </c>
      <c r="L170" s="2" t="s">
        <v>146</v>
      </c>
      <c r="M170" s="2" t="s">
        <v>176</v>
      </c>
      <c r="N170" s="2">
        <v>16.77</v>
      </c>
      <c r="O170" s="2" t="s">
        <v>146</v>
      </c>
      <c r="P170" s="2" t="s">
        <v>146</v>
      </c>
      <c r="Q170" s="2" t="s">
        <v>146</v>
      </c>
      <c r="R170" s="2" t="s">
        <v>146</v>
      </c>
      <c r="S170" s="2" t="s">
        <v>146</v>
      </c>
      <c r="T170" s="2" t="s">
        <v>147</v>
      </c>
      <c r="U170" s="2">
        <v>7.23</v>
      </c>
      <c r="V170" s="2" t="s">
        <v>146</v>
      </c>
      <c r="W170" s="2" t="s">
        <v>146</v>
      </c>
      <c r="X170" s="2" t="s">
        <v>146</v>
      </c>
      <c r="Y170" s="2" t="s">
        <v>146</v>
      </c>
      <c r="Z170" s="2" t="s">
        <v>146</v>
      </c>
      <c r="AA170" s="2" t="s">
        <v>146</v>
      </c>
      <c r="AB170" s="2" t="s">
        <v>146</v>
      </c>
      <c r="AC170" s="2" t="s">
        <v>146</v>
      </c>
      <c r="AD170" s="2" t="s">
        <v>146</v>
      </c>
      <c r="AE170" s="2" t="s">
        <v>146</v>
      </c>
      <c r="AF170" s="2" t="s">
        <v>146</v>
      </c>
      <c r="AG170" s="2" t="s">
        <v>146</v>
      </c>
      <c r="AH170" s="2" t="s">
        <v>146</v>
      </c>
      <c r="AI170" s="2" t="s">
        <v>146</v>
      </c>
      <c r="AJ170" s="2" t="s">
        <v>146</v>
      </c>
      <c r="AK170" s="2" t="s">
        <v>146</v>
      </c>
      <c r="AL170" s="2" t="s">
        <v>146</v>
      </c>
      <c r="AM170" s="2" t="s">
        <v>146</v>
      </c>
      <c r="AN170" s="2" t="s">
        <v>176</v>
      </c>
      <c r="AO170" s="2" t="s">
        <v>146</v>
      </c>
      <c r="AP170" s="2" t="s">
        <v>146</v>
      </c>
      <c r="AQ170" s="2" t="s">
        <v>146</v>
      </c>
      <c r="AR170" s="2" t="s">
        <v>146</v>
      </c>
      <c r="AV170" s="2">
        <f t="shared" si="20"/>
        <v>25.919999999999998</v>
      </c>
      <c r="AW170" s="2">
        <f t="shared" si="21"/>
        <v>22.82</v>
      </c>
      <c r="AX170" s="27">
        <f t="shared" si="22"/>
        <v>0.88040123456790131</v>
      </c>
      <c r="BA170" s="2">
        <f t="shared" si="23"/>
        <v>0</v>
      </c>
      <c r="BB170" s="2">
        <f t="shared" si="24"/>
        <v>0</v>
      </c>
      <c r="BC170" s="2">
        <f t="shared" si="25"/>
        <v>0</v>
      </c>
      <c r="BD170" s="2">
        <f t="shared" si="26"/>
        <v>0</v>
      </c>
      <c r="BE170" s="2">
        <f t="shared" si="27"/>
        <v>0</v>
      </c>
      <c r="BF170" s="2">
        <f t="shared" si="28"/>
        <v>0</v>
      </c>
      <c r="BJ170" s="2" t="str">
        <f t="shared" si="29"/>
        <v/>
      </c>
    </row>
    <row r="171" spans="1:62" ht="15" customHeight="1" x14ac:dyDescent="0.45">
      <c r="A171" s="2" t="s">
        <v>453</v>
      </c>
      <c r="B171" s="2" t="s">
        <v>455</v>
      </c>
      <c r="C171" s="2">
        <v>2019</v>
      </c>
      <c r="D171" s="2">
        <v>9.3000000000000007</v>
      </c>
      <c r="E171" s="2">
        <v>10.47</v>
      </c>
      <c r="F171" s="2" t="s">
        <v>146</v>
      </c>
      <c r="G171" s="2">
        <v>7.0000000000000007E-2</v>
      </c>
      <c r="H171" s="2" t="s">
        <v>146</v>
      </c>
      <c r="I171" s="2" t="s">
        <v>146</v>
      </c>
      <c r="J171" s="2" t="s">
        <v>146</v>
      </c>
      <c r="K171" s="2" t="s">
        <v>146</v>
      </c>
      <c r="L171" s="2" t="s">
        <v>146</v>
      </c>
      <c r="M171" s="2" t="s">
        <v>49</v>
      </c>
      <c r="N171" s="2" t="s">
        <v>146</v>
      </c>
      <c r="O171" s="2" t="s">
        <v>146</v>
      </c>
      <c r="P171" s="2" t="s">
        <v>146</v>
      </c>
      <c r="Q171" s="2" t="s">
        <v>146</v>
      </c>
      <c r="R171" s="2" t="s">
        <v>146</v>
      </c>
      <c r="S171" s="2">
        <v>9</v>
      </c>
      <c r="T171" s="2" t="s">
        <v>146</v>
      </c>
      <c r="U171" s="2">
        <v>1.4</v>
      </c>
      <c r="V171" s="2" t="s">
        <v>146</v>
      </c>
      <c r="W171" s="2" t="s">
        <v>146</v>
      </c>
      <c r="X171" s="2" t="s">
        <v>146</v>
      </c>
      <c r="Y171" s="2" t="s">
        <v>146</v>
      </c>
      <c r="Z171" s="2" t="s">
        <v>146</v>
      </c>
      <c r="AA171" s="2" t="s">
        <v>146</v>
      </c>
      <c r="AB171" s="2" t="s">
        <v>146</v>
      </c>
      <c r="AC171" s="2" t="s">
        <v>146</v>
      </c>
      <c r="AD171" s="2" t="s">
        <v>146</v>
      </c>
      <c r="AE171" s="2" t="s">
        <v>146</v>
      </c>
      <c r="AF171" s="2" t="s">
        <v>146</v>
      </c>
      <c r="AG171" s="2" t="s">
        <v>146</v>
      </c>
      <c r="AH171" s="2" t="s">
        <v>146</v>
      </c>
      <c r="AI171" s="2" t="s">
        <v>146</v>
      </c>
      <c r="AJ171" s="2" t="s">
        <v>146</v>
      </c>
      <c r="AK171" s="2" t="s">
        <v>146</v>
      </c>
      <c r="AL171" s="2" t="s">
        <v>146</v>
      </c>
      <c r="AM171" s="2" t="s">
        <v>146</v>
      </c>
      <c r="AN171" s="2" t="s">
        <v>49</v>
      </c>
      <c r="AO171" s="2" t="s">
        <v>146</v>
      </c>
      <c r="AP171" s="2" t="s">
        <v>146</v>
      </c>
      <c r="AQ171" s="2" t="s">
        <v>146</v>
      </c>
      <c r="AR171" s="2" t="s">
        <v>146</v>
      </c>
      <c r="AV171" s="2">
        <f t="shared" si="20"/>
        <v>10.47</v>
      </c>
      <c r="AW171" s="2">
        <f t="shared" si="21"/>
        <v>9.3000000000000007</v>
      </c>
      <c r="AX171" s="27">
        <f t="shared" si="22"/>
        <v>0.88825214899713467</v>
      </c>
      <c r="BA171" s="2">
        <f t="shared" si="23"/>
        <v>0</v>
      </c>
      <c r="BB171" s="2">
        <f t="shared" si="24"/>
        <v>0</v>
      </c>
      <c r="BC171" s="2">
        <f t="shared" si="25"/>
        <v>0</v>
      </c>
      <c r="BD171" s="2">
        <f t="shared" si="26"/>
        <v>0</v>
      </c>
      <c r="BE171" s="2">
        <f t="shared" si="27"/>
        <v>0</v>
      </c>
      <c r="BF171" s="2">
        <f t="shared" si="28"/>
        <v>0</v>
      </c>
      <c r="BJ171" s="2" t="str">
        <f t="shared" si="29"/>
        <v/>
      </c>
    </row>
    <row r="172" spans="1:62" ht="15" customHeight="1" x14ac:dyDescent="0.45">
      <c r="A172" s="2" t="s">
        <v>453</v>
      </c>
      <c r="B172" s="2" t="s">
        <v>454</v>
      </c>
      <c r="C172" s="2">
        <v>2019</v>
      </c>
      <c r="D172" s="2">
        <v>12.1</v>
      </c>
      <c r="E172" s="2">
        <v>12.99</v>
      </c>
      <c r="F172" s="2" t="s">
        <v>146</v>
      </c>
      <c r="G172" s="2">
        <v>0.09</v>
      </c>
      <c r="H172" s="2" t="s">
        <v>146</v>
      </c>
      <c r="I172" s="2" t="s">
        <v>146</v>
      </c>
      <c r="J172" s="2" t="s">
        <v>146</v>
      </c>
      <c r="K172" s="2" t="s">
        <v>146</v>
      </c>
      <c r="L172" s="2" t="s">
        <v>146</v>
      </c>
      <c r="M172" s="2" t="s">
        <v>49</v>
      </c>
      <c r="N172" s="2" t="s">
        <v>146</v>
      </c>
      <c r="O172" s="2" t="s">
        <v>146</v>
      </c>
      <c r="P172" s="2">
        <v>11</v>
      </c>
      <c r="Q172" s="2" t="s">
        <v>146</v>
      </c>
      <c r="R172" s="2" t="s">
        <v>146</v>
      </c>
      <c r="S172" s="2" t="s">
        <v>146</v>
      </c>
      <c r="T172" s="2" t="s">
        <v>146</v>
      </c>
      <c r="U172" s="2">
        <v>0.3</v>
      </c>
      <c r="V172" s="2" t="s">
        <v>146</v>
      </c>
      <c r="W172" s="2" t="s">
        <v>146</v>
      </c>
      <c r="X172" s="2" t="s">
        <v>146</v>
      </c>
      <c r="Y172" s="2" t="s">
        <v>146</v>
      </c>
      <c r="Z172" s="2" t="s">
        <v>146</v>
      </c>
      <c r="AA172" s="2" t="s">
        <v>146</v>
      </c>
      <c r="AB172" s="2" t="s">
        <v>146</v>
      </c>
      <c r="AC172" s="2" t="s">
        <v>146</v>
      </c>
      <c r="AD172" s="2" t="s">
        <v>146</v>
      </c>
      <c r="AE172" s="2" t="s">
        <v>146</v>
      </c>
      <c r="AF172" s="2" t="s">
        <v>146</v>
      </c>
      <c r="AG172" s="2" t="s">
        <v>146</v>
      </c>
      <c r="AH172" s="2">
        <v>1.6</v>
      </c>
      <c r="AI172" s="2" t="s">
        <v>146</v>
      </c>
      <c r="AJ172" s="2" t="s">
        <v>146</v>
      </c>
      <c r="AK172" s="2" t="s">
        <v>146</v>
      </c>
      <c r="AL172" s="2" t="s">
        <v>146</v>
      </c>
      <c r="AM172" s="2" t="s">
        <v>146</v>
      </c>
      <c r="AN172" s="2" t="s">
        <v>49</v>
      </c>
      <c r="AO172" s="2">
        <v>100</v>
      </c>
      <c r="AP172" s="2" t="s">
        <v>146</v>
      </c>
      <c r="AQ172" s="2" t="s">
        <v>146</v>
      </c>
      <c r="AR172" s="2" t="s">
        <v>146</v>
      </c>
      <c r="AV172" s="2">
        <f t="shared" si="20"/>
        <v>12.99</v>
      </c>
      <c r="AW172" s="2">
        <f t="shared" si="21"/>
        <v>12.1</v>
      </c>
      <c r="AX172" s="27">
        <f t="shared" si="22"/>
        <v>0.93148575827559654</v>
      </c>
      <c r="BA172" s="2">
        <f t="shared" si="23"/>
        <v>1.6</v>
      </c>
      <c r="BB172" s="2">
        <f t="shared" si="24"/>
        <v>1.6</v>
      </c>
      <c r="BC172" s="2">
        <f t="shared" si="25"/>
        <v>0</v>
      </c>
      <c r="BD172" s="2">
        <f t="shared" si="26"/>
        <v>0</v>
      </c>
      <c r="BE172" s="2">
        <f t="shared" si="27"/>
        <v>0</v>
      </c>
      <c r="BF172" s="2">
        <f t="shared" si="28"/>
        <v>0</v>
      </c>
      <c r="BJ172" s="2" t="str">
        <f t="shared" si="29"/>
        <v/>
      </c>
    </row>
    <row r="173" spans="1:62" ht="15" customHeight="1" x14ac:dyDescent="0.45">
      <c r="A173" s="2" t="s">
        <v>453</v>
      </c>
      <c r="B173" s="2" t="s">
        <v>452</v>
      </c>
      <c r="C173" s="2">
        <v>2019</v>
      </c>
      <c r="D173" s="2">
        <v>72.900000000000006</v>
      </c>
      <c r="E173" s="2">
        <v>73.712999999999994</v>
      </c>
      <c r="F173" s="2" t="s">
        <v>146</v>
      </c>
      <c r="G173" s="2">
        <v>1.2999999999999999E-2</v>
      </c>
      <c r="H173" s="2" t="s">
        <v>146</v>
      </c>
      <c r="I173" s="2" t="s">
        <v>146</v>
      </c>
      <c r="J173" s="2" t="s">
        <v>146</v>
      </c>
      <c r="K173" s="2" t="s">
        <v>146</v>
      </c>
      <c r="L173" s="2" t="s">
        <v>146</v>
      </c>
      <c r="M173" s="2" t="s">
        <v>49</v>
      </c>
      <c r="N173" s="2">
        <v>56.4</v>
      </c>
      <c r="O173" s="2">
        <v>5.2</v>
      </c>
      <c r="P173" s="2" t="s">
        <v>146</v>
      </c>
      <c r="Q173" s="2" t="s">
        <v>146</v>
      </c>
      <c r="R173" s="2" t="s">
        <v>146</v>
      </c>
      <c r="S173" s="2" t="s">
        <v>146</v>
      </c>
      <c r="T173" s="2" t="s">
        <v>146</v>
      </c>
      <c r="U173" s="2" t="s">
        <v>146</v>
      </c>
      <c r="V173" s="2" t="s">
        <v>146</v>
      </c>
      <c r="W173" s="2" t="s">
        <v>146</v>
      </c>
      <c r="X173" s="2" t="s">
        <v>146</v>
      </c>
      <c r="Y173" s="2" t="s">
        <v>146</v>
      </c>
      <c r="Z173" s="2" t="s">
        <v>146</v>
      </c>
      <c r="AA173" s="2" t="s">
        <v>146</v>
      </c>
      <c r="AB173" s="2" t="s">
        <v>146</v>
      </c>
      <c r="AC173" s="2" t="s">
        <v>146</v>
      </c>
      <c r="AD173" s="2" t="s">
        <v>146</v>
      </c>
      <c r="AE173" s="2" t="s">
        <v>146</v>
      </c>
      <c r="AF173" s="2" t="s">
        <v>146</v>
      </c>
      <c r="AG173" s="2" t="s">
        <v>146</v>
      </c>
      <c r="AH173" s="2">
        <v>12.1</v>
      </c>
      <c r="AI173" s="2" t="s">
        <v>146</v>
      </c>
      <c r="AJ173" s="2" t="s">
        <v>146</v>
      </c>
      <c r="AK173" s="2" t="s">
        <v>146</v>
      </c>
      <c r="AL173" s="2" t="s">
        <v>146</v>
      </c>
      <c r="AM173" s="2" t="s">
        <v>146</v>
      </c>
      <c r="AN173" s="2" t="s">
        <v>49</v>
      </c>
      <c r="AO173" s="2">
        <v>100</v>
      </c>
      <c r="AP173" s="2" t="s">
        <v>146</v>
      </c>
      <c r="AQ173" s="2" t="s">
        <v>146</v>
      </c>
      <c r="AR173" s="2" t="s">
        <v>146</v>
      </c>
      <c r="AV173" s="2">
        <f t="shared" si="20"/>
        <v>73.712999999999994</v>
      </c>
      <c r="AW173" s="2">
        <f t="shared" si="21"/>
        <v>72.900000000000006</v>
      </c>
      <c r="AX173" s="27">
        <f t="shared" si="22"/>
        <v>0.98897073786170708</v>
      </c>
      <c r="BA173" s="2">
        <f t="shared" si="23"/>
        <v>12.1</v>
      </c>
      <c r="BB173" s="2">
        <f t="shared" si="24"/>
        <v>12.1</v>
      </c>
      <c r="BC173" s="2">
        <f t="shared" si="25"/>
        <v>0</v>
      </c>
      <c r="BD173" s="2">
        <f t="shared" si="26"/>
        <v>0</v>
      </c>
      <c r="BE173" s="2">
        <f t="shared" si="27"/>
        <v>0</v>
      </c>
      <c r="BF173" s="2">
        <f t="shared" si="28"/>
        <v>0</v>
      </c>
      <c r="BJ173" s="2" t="str">
        <f t="shared" si="29"/>
        <v/>
      </c>
    </row>
    <row r="174" spans="1:62" ht="15" customHeight="1" x14ac:dyDescent="0.45">
      <c r="A174" s="2" t="s">
        <v>449</v>
      </c>
      <c r="B174" s="2" t="s">
        <v>451</v>
      </c>
      <c r="C174" s="2">
        <v>2019</v>
      </c>
      <c r="D174" s="2">
        <v>83.4</v>
      </c>
      <c r="E174" s="2">
        <v>91.6</v>
      </c>
      <c r="F174" s="2" t="s">
        <v>146</v>
      </c>
      <c r="G174" s="2">
        <v>22.7</v>
      </c>
      <c r="H174" s="2" t="s">
        <v>146</v>
      </c>
      <c r="I174" s="2">
        <v>6.1</v>
      </c>
      <c r="J174" s="2" t="s">
        <v>146</v>
      </c>
      <c r="K174" s="2">
        <v>15.7</v>
      </c>
      <c r="L174" s="2" t="s">
        <v>146</v>
      </c>
      <c r="M174" s="2" t="s">
        <v>49</v>
      </c>
      <c r="N174" s="2" t="s">
        <v>146</v>
      </c>
      <c r="O174" s="2" t="s">
        <v>146</v>
      </c>
      <c r="P174" s="2" t="s">
        <v>146</v>
      </c>
      <c r="Q174" s="2" t="s">
        <v>146</v>
      </c>
      <c r="R174" s="2" t="s">
        <v>146</v>
      </c>
      <c r="S174" s="2" t="s">
        <v>146</v>
      </c>
      <c r="T174" s="2" t="s">
        <v>146</v>
      </c>
      <c r="U174" s="2">
        <v>38.700000000000003</v>
      </c>
      <c r="V174" s="2" t="s">
        <v>146</v>
      </c>
      <c r="W174" s="2" t="s">
        <v>146</v>
      </c>
      <c r="X174" s="2" t="s">
        <v>146</v>
      </c>
      <c r="Y174" s="2" t="s">
        <v>146</v>
      </c>
      <c r="Z174" s="2">
        <v>8.3000000000000007</v>
      </c>
      <c r="AA174" s="2" t="s">
        <v>146</v>
      </c>
      <c r="AB174" s="2" t="s">
        <v>146</v>
      </c>
      <c r="AC174" s="2" t="s">
        <v>146</v>
      </c>
      <c r="AD174" s="2" t="s">
        <v>146</v>
      </c>
      <c r="AE174" s="2" t="s">
        <v>146</v>
      </c>
      <c r="AF174" s="2" t="s">
        <v>146</v>
      </c>
      <c r="AG174" s="2" t="s">
        <v>146</v>
      </c>
      <c r="AH174" s="2" t="s">
        <v>146</v>
      </c>
      <c r="AI174" s="2" t="s">
        <v>146</v>
      </c>
      <c r="AJ174" s="2" t="s">
        <v>146</v>
      </c>
      <c r="AK174" s="2" t="s">
        <v>146</v>
      </c>
      <c r="AL174" s="2">
        <v>15.8</v>
      </c>
      <c r="AM174" s="2">
        <v>16.100000000000001</v>
      </c>
      <c r="AN174" s="2" t="s">
        <v>49</v>
      </c>
      <c r="AO174" s="2" t="s">
        <v>146</v>
      </c>
      <c r="AP174" s="2" t="s">
        <v>146</v>
      </c>
      <c r="AQ174" s="2" t="s">
        <v>146</v>
      </c>
      <c r="AR174" s="2" t="s">
        <v>146</v>
      </c>
      <c r="AV174" s="2">
        <f t="shared" si="20"/>
        <v>107.3</v>
      </c>
      <c r="AW174" s="2">
        <f t="shared" si="21"/>
        <v>83.4</v>
      </c>
      <c r="AX174" s="27">
        <f t="shared" si="22"/>
        <v>0.77726001863932903</v>
      </c>
      <c r="BA174" s="2">
        <f t="shared" si="23"/>
        <v>0</v>
      </c>
      <c r="BB174" s="2">
        <f t="shared" si="24"/>
        <v>0</v>
      </c>
      <c r="BC174" s="2">
        <f t="shared" si="25"/>
        <v>0</v>
      </c>
      <c r="BD174" s="2">
        <f t="shared" si="26"/>
        <v>0</v>
      </c>
      <c r="BE174" s="2">
        <f t="shared" si="27"/>
        <v>0</v>
      </c>
      <c r="BF174" s="2">
        <f t="shared" si="28"/>
        <v>0</v>
      </c>
      <c r="BJ174" s="2" t="str">
        <f t="shared" si="29"/>
        <v/>
      </c>
    </row>
    <row r="175" spans="1:62" ht="15" customHeight="1" x14ac:dyDescent="0.45">
      <c r="A175" s="2" t="s">
        <v>449</v>
      </c>
      <c r="B175" s="2" t="s">
        <v>450</v>
      </c>
      <c r="C175" s="2">
        <v>2019</v>
      </c>
      <c r="D175" s="2">
        <v>0.56000000000000005</v>
      </c>
      <c r="E175" s="2">
        <v>0.6</v>
      </c>
      <c r="F175" s="2" t="s">
        <v>146</v>
      </c>
      <c r="G175" s="2" t="s">
        <v>146</v>
      </c>
      <c r="H175" s="2" t="s">
        <v>146</v>
      </c>
      <c r="I175" s="2" t="s">
        <v>146</v>
      </c>
      <c r="J175" s="2" t="s">
        <v>146</v>
      </c>
      <c r="K175" s="2" t="s">
        <v>146</v>
      </c>
      <c r="L175" s="2" t="s">
        <v>146</v>
      </c>
      <c r="M175" s="2" t="s">
        <v>49</v>
      </c>
      <c r="N175" s="2" t="s">
        <v>146</v>
      </c>
      <c r="O175" s="2" t="s">
        <v>146</v>
      </c>
      <c r="P175" s="2" t="s">
        <v>146</v>
      </c>
      <c r="Q175" s="2" t="s">
        <v>146</v>
      </c>
      <c r="R175" s="2" t="s">
        <v>146</v>
      </c>
      <c r="S175" s="2" t="s">
        <v>146</v>
      </c>
      <c r="T175" s="2" t="s">
        <v>146</v>
      </c>
      <c r="U175" s="2">
        <v>0.37</v>
      </c>
      <c r="V175" s="2" t="s">
        <v>146</v>
      </c>
      <c r="W175" s="2" t="s">
        <v>146</v>
      </c>
      <c r="X175" s="2" t="s">
        <v>146</v>
      </c>
      <c r="Y175" s="2" t="s">
        <v>146</v>
      </c>
      <c r="Z175" s="2">
        <v>0.09</v>
      </c>
      <c r="AA175" s="2" t="s">
        <v>146</v>
      </c>
      <c r="AB175" s="2" t="s">
        <v>146</v>
      </c>
      <c r="AC175" s="2" t="s">
        <v>146</v>
      </c>
      <c r="AD175" s="2" t="s">
        <v>146</v>
      </c>
      <c r="AE175" s="2" t="s">
        <v>146</v>
      </c>
      <c r="AF175" s="2" t="s">
        <v>146</v>
      </c>
      <c r="AG175" s="2" t="s">
        <v>146</v>
      </c>
      <c r="AH175" s="2" t="s">
        <v>146</v>
      </c>
      <c r="AI175" s="2" t="s">
        <v>146</v>
      </c>
      <c r="AJ175" s="2" t="s">
        <v>146</v>
      </c>
      <c r="AK175" s="2" t="s">
        <v>146</v>
      </c>
      <c r="AL175" s="2">
        <v>0.14000000000000001</v>
      </c>
      <c r="AM175" s="2">
        <v>0.15</v>
      </c>
      <c r="AN175" s="2" t="s">
        <v>49</v>
      </c>
      <c r="AO175" s="2" t="s">
        <v>146</v>
      </c>
      <c r="AP175" s="2" t="s">
        <v>146</v>
      </c>
      <c r="AQ175" s="2" t="s">
        <v>146</v>
      </c>
      <c r="AR175" s="2" t="s">
        <v>146</v>
      </c>
      <c r="AV175" s="2">
        <f t="shared" si="20"/>
        <v>0.6</v>
      </c>
      <c r="AW175" s="2">
        <f t="shared" si="21"/>
        <v>0.56000000000000005</v>
      </c>
      <c r="AX175" s="27">
        <f t="shared" si="22"/>
        <v>0.93333333333333346</v>
      </c>
      <c r="BA175" s="2">
        <f t="shared" si="23"/>
        <v>0</v>
      </c>
      <c r="BB175" s="2">
        <f t="shared" si="24"/>
        <v>0</v>
      </c>
      <c r="BC175" s="2">
        <f t="shared" si="25"/>
        <v>0</v>
      </c>
      <c r="BD175" s="2">
        <f t="shared" si="26"/>
        <v>0</v>
      </c>
      <c r="BE175" s="2">
        <f t="shared" si="27"/>
        <v>0</v>
      </c>
      <c r="BF175" s="2">
        <f t="shared" si="28"/>
        <v>0</v>
      </c>
      <c r="BJ175" s="2" t="str">
        <f t="shared" si="29"/>
        <v/>
      </c>
    </row>
    <row r="176" spans="1:62" ht="15" customHeight="1" x14ac:dyDescent="0.45">
      <c r="A176" s="2" t="s">
        <v>449</v>
      </c>
      <c r="B176" s="2" t="s">
        <v>448</v>
      </c>
      <c r="C176" s="2">
        <v>2019</v>
      </c>
      <c r="D176" s="2">
        <v>27</v>
      </c>
      <c r="E176" s="2">
        <v>30.9</v>
      </c>
      <c r="F176" s="2" t="s">
        <v>146</v>
      </c>
      <c r="G176" s="2">
        <v>2.8</v>
      </c>
      <c r="H176" s="2" t="s">
        <v>146</v>
      </c>
      <c r="I176" s="2" t="s">
        <v>146</v>
      </c>
      <c r="J176" s="2" t="s">
        <v>146</v>
      </c>
      <c r="K176" s="2" t="s">
        <v>146</v>
      </c>
      <c r="L176" s="2" t="s">
        <v>146</v>
      </c>
      <c r="M176" s="2" t="s">
        <v>49</v>
      </c>
      <c r="N176" s="2">
        <v>1</v>
      </c>
      <c r="O176" s="2" t="s">
        <v>146</v>
      </c>
      <c r="P176" s="2">
        <v>13.6</v>
      </c>
      <c r="Q176" s="2" t="s">
        <v>146</v>
      </c>
      <c r="R176" s="2" t="s">
        <v>146</v>
      </c>
      <c r="S176" s="2" t="s">
        <v>146</v>
      </c>
      <c r="T176" s="2" t="s">
        <v>147</v>
      </c>
      <c r="U176" s="2">
        <v>13.5</v>
      </c>
      <c r="V176" s="2" t="s">
        <v>146</v>
      </c>
      <c r="W176" s="2" t="s">
        <v>146</v>
      </c>
      <c r="X176" s="2" t="s">
        <v>146</v>
      </c>
      <c r="Y176" s="2" t="s">
        <v>146</v>
      </c>
      <c r="Z176" s="2" t="s">
        <v>146</v>
      </c>
      <c r="AA176" s="2" t="s">
        <v>146</v>
      </c>
      <c r="AB176" s="2" t="s">
        <v>146</v>
      </c>
      <c r="AC176" s="2" t="s">
        <v>146</v>
      </c>
      <c r="AD176" s="2" t="s">
        <v>146</v>
      </c>
      <c r="AE176" s="2" t="s">
        <v>146</v>
      </c>
      <c r="AF176" s="2" t="s">
        <v>146</v>
      </c>
      <c r="AG176" s="2" t="s">
        <v>146</v>
      </c>
      <c r="AH176" s="2" t="s">
        <v>146</v>
      </c>
      <c r="AI176" s="2" t="s">
        <v>146</v>
      </c>
      <c r="AJ176" s="2" t="s">
        <v>146</v>
      </c>
      <c r="AK176" s="2" t="s">
        <v>146</v>
      </c>
      <c r="AL176" s="2" t="s">
        <v>146</v>
      </c>
      <c r="AM176" s="2" t="s">
        <v>146</v>
      </c>
      <c r="AN176" s="2" t="s">
        <v>49</v>
      </c>
      <c r="AO176" s="2" t="s">
        <v>146</v>
      </c>
      <c r="AP176" s="2" t="s">
        <v>146</v>
      </c>
      <c r="AQ176" s="2" t="s">
        <v>146</v>
      </c>
      <c r="AR176" s="2" t="s">
        <v>146</v>
      </c>
      <c r="AV176" s="2">
        <f t="shared" si="20"/>
        <v>30.9</v>
      </c>
      <c r="AW176" s="2">
        <f t="shared" si="21"/>
        <v>27</v>
      </c>
      <c r="AX176" s="27">
        <f t="shared" si="22"/>
        <v>0.87378640776699035</v>
      </c>
      <c r="BA176" s="2">
        <f t="shared" si="23"/>
        <v>0</v>
      </c>
      <c r="BB176" s="2">
        <f t="shared" si="24"/>
        <v>0</v>
      </c>
      <c r="BC176" s="2">
        <f t="shared" si="25"/>
        <v>0</v>
      </c>
      <c r="BD176" s="2">
        <f t="shared" si="26"/>
        <v>0</v>
      </c>
      <c r="BE176" s="2">
        <f t="shared" si="27"/>
        <v>0</v>
      </c>
      <c r="BF176" s="2">
        <f t="shared" si="28"/>
        <v>0</v>
      </c>
      <c r="BJ176" s="2" t="str">
        <f t="shared" si="29"/>
        <v/>
      </c>
    </row>
    <row r="177" spans="1:62" ht="15" customHeight="1" x14ac:dyDescent="0.45">
      <c r="A177" s="2" t="s">
        <v>447</v>
      </c>
      <c r="B177" s="2" t="s">
        <v>446</v>
      </c>
      <c r="C177" s="2">
        <v>2019</v>
      </c>
      <c r="D177" s="2">
        <v>31.3</v>
      </c>
      <c r="E177" s="2">
        <v>31.49</v>
      </c>
      <c r="F177" s="2" t="s">
        <v>146</v>
      </c>
      <c r="G177" s="2">
        <v>0.19</v>
      </c>
      <c r="H177" s="2" t="s">
        <v>146</v>
      </c>
      <c r="I177" s="2" t="s">
        <v>146</v>
      </c>
      <c r="J177" s="2" t="s">
        <v>146</v>
      </c>
      <c r="K177" s="2" t="s">
        <v>146</v>
      </c>
      <c r="L177" s="2" t="s">
        <v>146</v>
      </c>
      <c r="M177" s="2" t="s">
        <v>49</v>
      </c>
      <c r="N177" s="2" t="s">
        <v>146</v>
      </c>
      <c r="O177" s="2" t="s">
        <v>146</v>
      </c>
      <c r="P177" s="2">
        <v>27</v>
      </c>
      <c r="Q177" s="2" t="s">
        <v>146</v>
      </c>
      <c r="R177" s="2" t="s">
        <v>146</v>
      </c>
      <c r="S177" s="2" t="s">
        <v>146</v>
      </c>
      <c r="T177" s="2" t="s">
        <v>146</v>
      </c>
      <c r="U177" s="2" t="s">
        <v>146</v>
      </c>
      <c r="V177" s="2" t="s">
        <v>146</v>
      </c>
      <c r="W177" s="2" t="s">
        <v>146</v>
      </c>
      <c r="X177" s="2" t="s">
        <v>146</v>
      </c>
      <c r="Y177" s="2" t="s">
        <v>146</v>
      </c>
      <c r="Z177" s="2" t="s">
        <v>146</v>
      </c>
      <c r="AA177" s="2" t="s">
        <v>146</v>
      </c>
      <c r="AB177" s="2" t="s">
        <v>146</v>
      </c>
      <c r="AC177" s="2" t="s">
        <v>146</v>
      </c>
      <c r="AD177" s="2" t="s">
        <v>146</v>
      </c>
      <c r="AE177" s="2" t="s">
        <v>146</v>
      </c>
      <c r="AF177" s="2" t="s">
        <v>146</v>
      </c>
      <c r="AG177" s="2" t="s">
        <v>146</v>
      </c>
      <c r="AH177" s="2">
        <v>4.3</v>
      </c>
      <c r="AI177" s="2" t="s">
        <v>146</v>
      </c>
      <c r="AJ177" s="2" t="s">
        <v>146</v>
      </c>
      <c r="AK177" s="2" t="s">
        <v>146</v>
      </c>
      <c r="AL177" s="2" t="s">
        <v>146</v>
      </c>
      <c r="AM177" s="2" t="s">
        <v>146</v>
      </c>
      <c r="AN177" s="2" t="s">
        <v>49</v>
      </c>
      <c r="AO177" s="2">
        <v>100</v>
      </c>
      <c r="AP177" s="2" t="s">
        <v>146</v>
      </c>
      <c r="AQ177" s="2" t="s">
        <v>146</v>
      </c>
      <c r="AR177" s="2" t="s">
        <v>146</v>
      </c>
      <c r="AV177" s="2">
        <f t="shared" si="20"/>
        <v>31.490000000000002</v>
      </c>
      <c r="AW177" s="2">
        <f t="shared" si="21"/>
        <v>31.3</v>
      </c>
      <c r="AX177" s="27">
        <f t="shared" si="22"/>
        <v>0.99396633852016514</v>
      </c>
      <c r="BA177" s="2">
        <f t="shared" si="23"/>
        <v>4.3</v>
      </c>
      <c r="BB177" s="2">
        <f t="shared" si="24"/>
        <v>4.3</v>
      </c>
      <c r="BC177" s="2">
        <f t="shared" si="25"/>
        <v>0</v>
      </c>
      <c r="BD177" s="2">
        <f t="shared" si="26"/>
        <v>0</v>
      </c>
      <c r="BE177" s="2">
        <f t="shared" si="27"/>
        <v>0</v>
      </c>
      <c r="BF177" s="2">
        <f t="shared" si="28"/>
        <v>0</v>
      </c>
      <c r="BJ177" s="2" t="str">
        <f t="shared" si="29"/>
        <v/>
      </c>
    </row>
    <row r="178" spans="1:62" ht="15" customHeight="1" x14ac:dyDescent="0.45">
      <c r="A178" s="2" t="s">
        <v>444</v>
      </c>
      <c r="B178" s="2" t="s">
        <v>445</v>
      </c>
      <c r="C178" s="2">
        <v>2019</v>
      </c>
      <c r="D178" s="2">
        <v>42.1</v>
      </c>
      <c r="E178" s="2">
        <v>53.57</v>
      </c>
      <c r="F178" s="2" t="s">
        <v>146</v>
      </c>
      <c r="G178" s="2">
        <v>1.89</v>
      </c>
      <c r="H178" s="2" t="s">
        <v>146</v>
      </c>
      <c r="I178" s="2" t="s">
        <v>146</v>
      </c>
      <c r="J178" s="2" t="s">
        <v>146</v>
      </c>
      <c r="K178" s="2" t="s">
        <v>146</v>
      </c>
      <c r="L178" s="2" t="s">
        <v>146</v>
      </c>
      <c r="M178" s="2" t="s">
        <v>49</v>
      </c>
      <c r="N178" s="2">
        <v>25.1</v>
      </c>
      <c r="O178" s="2">
        <v>1.77</v>
      </c>
      <c r="P178" s="2">
        <v>13.7</v>
      </c>
      <c r="Q178" s="2">
        <v>0</v>
      </c>
      <c r="R178" s="2">
        <v>0</v>
      </c>
      <c r="S178" s="2">
        <v>0</v>
      </c>
      <c r="T178" s="2" t="s">
        <v>147</v>
      </c>
      <c r="U178" s="2" t="s">
        <v>146</v>
      </c>
      <c r="V178" s="2">
        <v>5.65</v>
      </c>
      <c r="W178" s="2" t="s">
        <v>146</v>
      </c>
      <c r="X178" s="2" t="s">
        <v>146</v>
      </c>
      <c r="Y178" s="2" t="s">
        <v>146</v>
      </c>
      <c r="Z178" s="2" t="s">
        <v>146</v>
      </c>
      <c r="AA178" s="2" t="s">
        <v>146</v>
      </c>
      <c r="AB178" s="2" t="s">
        <v>146</v>
      </c>
      <c r="AC178" s="2" t="s">
        <v>146</v>
      </c>
      <c r="AD178" s="2" t="s">
        <v>146</v>
      </c>
      <c r="AE178" s="2" t="s">
        <v>146</v>
      </c>
      <c r="AF178" s="2" t="s">
        <v>146</v>
      </c>
      <c r="AG178" s="2" t="s">
        <v>146</v>
      </c>
      <c r="AH178" s="2">
        <v>5.46</v>
      </c>
      <c r="AI178" s="2" t="s">
        <v>146</v>
      </c>
      <c r="AJ178" s="2" t="s">
        <v>146</v>
      </c>
      <c r="AK178" s="2" t="s">
        <v>146</v>
      </c>
      <c r="AL178" s="2" t="s">
        <v>146</v>
      </c>
      <c r="AM178" s="2" t="s">
        <v>146</v>
      </c>
      <c r="AN178" s="2" t="s">
        <v>49</v>
      </c>
      <c r="AO178" s="2">
        <v>100</v>
      </c>
      <c r="AP178" s="2">
        <v>0</v>
      </c>
      <c r="AQ178" s="2">
        <v>0</v>
      </c>
      <c r="AR178" s="2">
        <v>0</v>
      </c>
      <c r="AV178" s="2">
        <f t="shared" si="20"/>
        <v>53.57</v>
      </c>
      <c r="AW178" s="2">
        <f t="shared" si="21"/>
        <v>42.1</v>
      </c>
      <c r="AX178" s="27">
        <f t="shared" si="22"/>
        <v>0.78588762366996456</v>
      </c>
      <c r="BA178" s="2">
        <f t="shared" si="23"/>
        <v>5.46</v>
      </c>
      <c r="BB178" s="2">
        <f t="shared" si="24"/>
        <v>5.46</v>
      </c>
      <c r="BC178" s="2">
        <f t="shared" si="25"/>
        <v>0</v>
      </c>
      <c r="BD178" s="2">
        <f t="shared" si="26"/>
        <v>0</v>
      </c>
      <c r="BE178" s="2">
        <f t="shared" si="27"/>
        <v>0</v>
      </c>
      <c r="BF178" s="2">
        <f t="shared" si="28"/>
        <v>0</v>
      </c>
      <c r="BJ178" s="2" t="str">
        <f t="shared" si="29"/>
        <v/>
      </c>
    </row>
    <row r="179" spans="1:62" ht="15" customHeight="1" x14ac:dyDescent="0.45">
      <c r="A179" s="2" t="s">
        <v>444</v>
      </c>
      <c r="B179" s="2" t="s">
        <v>443</v>
      </c>
      <c r="C179" s="2">
        <v>2019</v>
      </c>
      <c r="D179" s="2">
        <v>1.4</v>
      </c>
      <c r="E179" s="2">
        <v>1.74</v>
      </c>
      <c r="F179" s="2" t="s">
        <v>146</v>
      </c>
      <c r="G179" s="2">
        <v>0.04</v>
      </c>
      <c r="H179" s="2" t="s">
        <v>146</v>
      </c>
      <c r="I179" s="2" t="s">
        <v>146</v>
      </c>
      <c r="J179" s="2" t="s">
        <v>146</v>
      </c>
      <c r="K179" s="2" t="s">
        <v>146</v>
      </c>
      <c r="L179" s="2" t="s">
        <v>146</v>
      </c>
      <c r="M179" s="2" t="s">
        <v>49</v>
      </c>
      <c r="N179" s="2" t="s">
        <v>146</v>
      </c>
      <c r="O179" s="2" t="s">
        <v>146</v>
      </c>
      <c r="P179" s="2" t="s">
        <v>146</v>
      </c>
      <c r="Q179" s="2" t="s">
        <v>146</v>
      </c>
      <c r="R179" s="2" t="s">
        <v>146</v>
      </c>
      <c r="S179" s="2" t="s">
        <v>146</v>
      </c>
      <c r="T179" s="2" t="s">
        <v>147</v>
      </c>
      <c r="U179" s="2" t="s">
        <v>146</v>
      </c>
      <c r="V179" s="2">
        <v>1.7</v>
      </c>
      <c r="W179" s="2" t="s">
        <v>146</v>
      </c>
      <c r="X179" s="2" t="s">
        <v>146</v>
      </c>
      <c r="Y179" s="2" t="s">
        <v>146</v>
      </c>
      <c r="Z179" s="2" t="s">
        <v>146</v>
      </c>
      <c r="AA179" s="2" t="s">
        <v>146</v>
      </c>
      <c r="AB179" s="2" t="s">
        <v>146</v>
      </c>
      <c r="AC179" s="2" t="s">
        <v>146</v>
      </c>
      <c r="AD179" s="2" t="s">
        <v>146</v>
      </c>
      <c r="AE179" s="2" t="s">
        <v>146</v>
      </c>
      <c r="AF179" s="2" t="s">
        <v>146</v>
      </c>
      <c r="AG179" s="2" t="s">
        <v>146</v>
      </c>
      <c r="AH179" s="2" t="s">
        <v>146</v>
      </c>
      <c r="AI179" s="2" t="s">
        <v>146</v>
      </c>
      <c r="AJ179" s="2" t="s">
        <v>146</v>
      </c>
      <c r="AK179" s="2" t="s">
        <v>146</v>
      </c>
      <c r="AL179" s="2" t="s">
        <v>146</v>
      </c>
      <c r="AM179" s="2" t="s">
        <v>146</v>
      </c>
      <c r="AN179" s="2" t="s">
        <v>49</v>
      </c>
      <c r="AO179" s="2" t="s">
        <v>146</v>
      </c>
      <c r="AP179" s="2" t="s">
        <v>146</v>
      </c>
      <c r="AQ179" s="2" t="s">
        <v>146</v>
      </c>
      <c r="AR179" s="2" t="s">
        <v>146</v>
      </c>
      <c r="AV179" s="2">
        <f t="shared" si="20"/>
        <v>1.74</v>
      </c>
      <c r="AW179" s="2">
        <f t="shared" si="21"/>
        <v>1.4</v>
      </c>
      <c r="AX179" s="27">
        <f t="shared" si="22"/>
        <v>0.80459770114942519</v>
      </c>
      <c r="BA179" s="2">
        <f t="shared" si="23"/>
        <v>0</v>
      </c>
      <c r="BB179" s="2">
        <f t="shared" si="24"/>
        <v>0</v>
      </c>
      <c r="BC179" s="2">
        <f t="shared" si="25"/>
        <v>0</v>
      </c>
      <c r="BD179" s="2">
        <f t="shared" si="26"/>
        <v>0</v>
      </c>
      <c r="BE179" s="2">
        <f t="shared" si="27"/>
        <v>0</v>
      </c>
      <c r="BF179" s="2">
        <f t="shared" si="28"/>
        <v>0</v>
      </c>
      <c r="BJ179" s="2" t="str">
        <f t="shared" si="29"/>
        <v/>
      </c>
    </row>
    <row r="180" spans="1:62" ht="15" customHeight="1" x14ac:dyDescent="0.45">
      <c r="A180" s="2" t="s">
        <v>442</v>
      </c>
      <c r="B180" s="2" t="s">
        <v>441</v>
      </c>
      <c r="C180" s="2">
        <v>2019</v>
      </c>
      <c r="D180" s="2">
        <v>36.200000000000003</v>
      </c>
      <c r="E180" s="2">
        <v>38.436999999999998</v>
      </c>
      <c r="F180" s="2" t="s">
        <v>146</v>
      </c>
      <c r="G180" s="2">
        <v>0.53700000000000003</v>
      </c>
      <c r="H180" s="2" t="s">
        <v>146</v>
      </c>
      <c r="I180" s="2" t="s">
        <v>146</v>
      </c>
      <c r="J180" s="2" t="s">
        <v>146</v>
      </c>
      <c r="K180" s="2" t="s">
        <v>146</v>
      </c>
      <c r="L180" s="2" t="s">
        <v>146</v>
      </c>
      <c r="M180" s="2" t="s">
        <v>176</v>
      </c>
      <c r="N180" s="2">
        <v>19.399999999999999</v>
      </c>
      <c r="O180" s="2">
        <v>5.4</v>
      </c>
      <c r="P180" s="2">
        <v>7.7</v>
      </c>
      <c r="Q180" s="2">
        <v>5.4</v>
      </c>
      <c r="R180" s="2" t="s">
        <v>146</v>
      </c>
      <c r="S180" s="2" t="s">
        <v>146</v>
      </c>
      <c r="T180" s="2" t="s">
        <v>147</v>
      </c>
      <c r="U180" s="2" t="s">
        <v>146</v>
      </c>
      <c r="V180" s="2" t="s">
        <v>146</v>
      </c>
      <c r="W180" s="2" t="s">
        <v>146</v>
      </c>
      <c r="X180" s="2" t="s">
        <v>146</v>
      </c>
      <c r="Y180" s="2" t="s">
        <v>146</v>
      </c>
      <c r="Z180" s="2" t="s">
        <v>146</v>
      </c>
      <c r="AA180" s="2" t="s">
        <v>146</v>
      </c>
      <c r="AB180" s="2" t="s">
        <v>146</v>
      </c>
      <c r="AC180" s="2" t="s">
        <v>146</v>
      </c>
      <c r="AD180" s="2" t="s">
        <v>146</v>
      </c>
      <c r="AE180" s="2" t="s">
        <v>146</v>
      </c>
      <c r="AF180" s="2" t="s">
        <v>146</v>
      </c>
      <c r="AG180" s="2" t="s">
        <v>146</v>
      </c>
      <c r="AH180" s="2" t="s">
        <v>146</v>
      </c>
      <c r="AI180" s="2" t="s">
        <v>146</v>
      </c>
      <c r="AJ180" s="2" t="s">
        <v>146</v>
      </c>
      <c r="AK180" s="2" t="s">
        <v>146</v>
      </c>
      <c r="AL180" s="2" t="s">
        <v>146</v>
      </c>
      <c r="AM180" s="2" t="s">
        <v>146</v>
      </c>
      <c r="AN180" s="2" t="s">
        <v>49</v>
      </c>
      <c r="AO180" s="2" t="s">
        <v>146</v>
      </c>
      <c r="AP180" s="2" t="s">
        <v>146</v>
      </c>
      <c r="AQ180" s="2" t="s">
        <v>146</v>
      </c>
      <c r="AR180" s="2" t="s">
        <v>146</v>
      </c>
      <c r="AV180" s="2">
        <f t="shared" si="20"/>
        <v>38.436999999999998</v>
      </c>
      <c r="AW180" s="2">
        <f t="shared" si="21"/>
        <v>36.200000000000003</v>
      </c>
      <c r="AX180" s="27">
        <f t="shared" si="22"/>
        <v>0.94180086895439308</v>
      </c>
      <c r="BA180" s="2">
        <f t="shared" si="23"/>
        <v>0</v>
      </c>
      <c r="BB180" s="2">
        <f t="shared" si="24"/>
        <v>0</v>
      </c>
      <c r="BC180" s="2">
        <f t="shared" si="25"/>
        <v>0</v>
      </c>
      <c r="BD180" s="2">
        <f t="shared" si="26"/>
        <v>0</v>
      </c>
      <c r="BE180" s="2">
        <f t="shared" si="27"/>
        <v>0</v>
      </c>
      <c r="BF180" s="2">
        <f t="shared" si="28"/>
        <v>0</v>
      </c>
      <c r="BJ180" s="2" t="str">
        <f t="shared" si="29"/>
        <v/>
      </c>
    </row>
    <row r="181" spans="1:62" ht="15" customHeight="1" x14ac:dyDescent="0.45">
      <c r="A181" s="2" t="s">
        <v>440</v>
      </c>
      <c r="B181" s="2" t="s">
        <v>439</v>
      </c>
      <c r="C181" s="2">
        <v>2019</v>
      </c>
      <c r="D181" s="2" t="s">
        <v>49</v>
      </c>
      <c r="E181" s="2" t="s">
        <v>49</v>
      </c>
      <c r="F181" s="2" t="s">
        <v>49</v>
      </c>
      <c r="G181" s="2" t="s">
        <v>49</v>
      </c>
      <c r="H181" s="2" t="s">
        <v>49</v>
      </c>
      <c r="I181" s="2" t="s">
        <v>49</v>
      </c>
      <c r="J181" s="2" t="s">
        <v>49</v>
      </c>
      <c r="K181" s="2" t="s">
        <v>49</v>
      </c>
      <c r="L181" s="2" t="s">
        <v>49</v>
      </c>
      <c r="M181" s="2" t="s">
        <v>49</v>
      </c>
      <c r="N181" s="2" t="s">
        <v>49</v>
      </c>
      <c r="O181" s="2" t="s">
        <v>49</v>
      </c>
      <c r="P181" s="2" t="s">
        <v>49</v>
      </c>
      <c r="Q181" s="2" t="s">
        <v>49</v>
      </c>
      <c r="R181" s="2" t="s">
        <v>49</v>
      </c>
      <c r="S181" s="2" t="s">
        <v>49</v>
      </c>
      <c r="T181" s="2" t="s">
        <v>49</v>
      </c>
      <c r="U181" s="2" t="s">
        <v>49</v>
      </c>
      <c r="V181" s="2" t="s">
        <v>49</v>
      </c>
      <c r="W181" s="2" t="s">
        <v>49</v>
      </c>
      <c r="X181" s="2" t="s">
        <v>49</v>
      </c>
      <c r="Y181" s="2" t="s">
        <v>49</v>
      </c>
      <c r="Z181" s="2" t="s">
        <v>49</v>
      </c>
      <c r="AA181" s="2" t="s">
        <v>49</v>
      </c>
      <c r="AB181" s="2" t="s">
        <v>49</v>
      </c>
      <c r="AC181" s="2" t="s">
        <v>49</v>
      </c>
      <c r="AD181" s="2" t="s">
        <v>49</v>
      </c>
      <c r="AE181" s="2" t="s">
        <v>49</v>
      </c>
      <c r="AF181" s="2" t="s">
        <v>49</v>
      </c>
      <c r="AG181" s="2" t="s">
        <v>49</v>
      </c>
      <c r="AH181" s="2" t="s">
        <v>49</v>
      </c>
      <c r="AI181" s="2" t="s">
        <v>49</v>
      </c>
      <c r="AJ181" s="2" t="s">
        <v>49</v>
      </c>
      <c r="AK181" s="2" t="s">
        <v>49</v>
      </c>
      <c r="AL181" s="2" t="s">
        <v>49</v>
      </c>
      <c r="AM181" s="2" t="s">
        <v>49</v>
      </c>
      <c r="AN181" s="2" t="s">
        <v>49</v>
      </c>
      <c r="AO181" s="2" t="s">
        <v>49</v>
      </c>
      <c r="AP181" s="2" t="s">
        <v>49</v>
      </c>
      <c r="AQ181" s="2" t="s">
        <v>49</v>
      </c>
      <c r="AR181" s="2" t="s">
        <v>49</v>
      </c>
      <c r="AV181" s="2">
        <f t="shared" si="20"/>
        <v>0</v>
      </c>
      <c r="AW181" s="2">
        <f t="shared" si="21"/>
        <v>0</v>
      </c>
      <c r="AX181" s="27" t="str">
        <f t="shared" si="22"/>
        <v/>
      </c>
      <c r="BA181" s="2">
        <f t="shared" si="23"/>
        <v>0</v>
      </c>
      <c r="BB181" s="2">
        <f t="shared" si="24"/>
        <v>0</v>
      </c>
      <c r="BC181" s="2">
        <f t="shared" si="25"/>
        <v>0</v>
      </c>
      <c r="BD181" s="2">
        <f t="shared" si="26"/>
        <v>0</v>
      </c>
      <c r="BE181" s="2">
        <f t="shared" si="27"/>
        <v>0</v>
      </c>
      <c r="BF181" s="2">
        <f t="shared" si="28"/>
        <v>0</v>
      </c>
      <c r="BJ181" s="2" t="str">
        <f t="shared" si="29"/>
        <v/>
      </c>
    </row>
    <row r="182" spans="1:62" ht="15" customHeight="1" x14ac:dyDescent="0.45">
      <c r="A182" s="2" t="s">
        <v>438</v>
      </c>
      <c r="B182" s="2" t="s">
        <v>437</v>
      </c>
      <c r="C182" s="2">
        <v>2019</v>
      </c>
      <c r="D182" s="2" t="s">
        <v>49</v>
      </c>
      <c r="E182" s="2" t="s">
        <v>49</v>
      </c>
      <c r="F182" s="2" t="s">
        <v>49</v>
      </c>
      <c r="G182" s="2" t="s">
        <v>49</v>
      </c>
      <c r="H182" s="2" t="s">
        <v>49</v>
      </c>
      <c r="I182" s="2" t="s">
        <v>49</v>
      </c>
      <c r="J182" s="2" t="s">
        <v>49</v>
      </c>
      <c r="K182" s="2" t="s">
        <v>49</v>
      </c>
      <c r="L182" s="2" t="s">
        <v>49</v>
      </c>
      <c r="M182" s="2" t="s">
        <v>49</v>
      </c>
      <c r="N182" s="2" t="s">
        <v>49</v>
      </c>
      <c r="O182" s="2" t="s">
        <v>49</v>
      </c>
      <c r="P182" s="2" t="s">
        <v>49</v>
      </c>
      <c r="Q182" s="2" t="s">
        <v>49</v>
      </c>
      <c r="R182" s="2" t="s">
        <v>49</v>
      </c>
      <c r="S182" s="2" t="s">
        <v>49</v>
      </c>
      <c r="T182" s="2" t="s">
        <v>49</v>
      </c>
      <c r="U182" s="2" t="s">
        <v>49</v>
      </c>
      <c r="V182" s="2" t="s">
        <v>49</v>
      </c>
      <c r="W182" s="2" t="s">
        <v>49</v>
      </c>
      <c r="X182" s="2" t="s">
        <v>49</v>
      </c>
      <c r="Y182" s="2" t="s">
        <v>49</v>
      </c>
      <c r="Z182" s="2" t="s">
        <v>49</v>
      </c>
      <c r="AA182" s="2" t="s">
        <v>49</v>
      </c>
      <c r="AB182" s="2" t="s">
        <v>49</v>
      </c>
      <c r="AC182" s="2" t="s">
        <v>49</v>
      </c>
      <c r="AD182" s="2" t="s">
        <v>49</v>
      </c>
      <c r="AE182" s="2" t="s">
        <v>49</v>
      </c>
      <c r="AF182" s="2" t="s">
        <v>49</v>
      </c>
      <c r="AG182" s="2" t="s">
        <v>49</v>
      </c>
      <c r="AH182" s="2" t="s">
        <v>49</v>
      </c>
      <c r="AI182" s="2" t="s">
        <v>49</v>
      </c>
      <c r="AJ182" s="2" t="s">
        <v>49</v>
      </c>
      <c r="AK182" s="2" t="s">
        <v>49</v>
      </c>
      <c r="AL182" s="2" t="s">
        <v>49</v>
      </c>
      <c r="AM182" s="2" t="s">
        <v>49</v>
      </c>
      <c r="AN182" s="2" t="s">
        <v>49</v>
      </c>
      <c r="AO182" s="2" t="s">
        <v>49</v>
      </c>
      <c r="AP182" s="2" t="s">
        <v>49</v>
      </c>
      <c r="AQ182" s="2" t="s">
        <v>49</v>
      </c>
      <c r="AR182" s="2" t="s">
        <v>49</v>
      </c>
      <c r="AV182" s="2">
        <f t="shared" si="20"/>
        <v>0</v>
      </c>
      <c r="AW182" s="2">
        <f t="shared" si="21"/>
        <v>0</v>
      </c>
      <c r="AX182" s="27" t="str">
        <f t="shared" si="22"/>
        <v/>
      </c>
      <c r="BA182" s="2">
        <f t="shared" si="23"/>
        <v>0</v>
      </c>
      <c r="BB182" s="2">
        <f t="shared" si="24"/>
        <v>0</v>
      </c>
      <c r="BC182" s="2">
        <f t="shared" si="25"/>
        <v>0</v>
      </c>
      <c r="BD182" s="2">
        <f t="shared" si="26"/>
        <v>0</v>
      </c>
      <c r="BE182" s="2">
        <f t="shared" si="27"/>
        <v>0</v>
      </c>
      <c r="BF182" s="2">
        <f t="shared" si="28"/>
        <v>0</v>
      </c>
      <c r="BJ182" s="2" t="str">
        <f t="shared" si="29"/>
        <v/>
      </c>
    </row>
    <row r="183" spans="1:62" ht="15" customHeight="1" x14ac:dyDescent="0.45">
      <c r="A183" s="2" t="s">
        <v>432</v>
      </c>
      <c r="B183" s="2" t="s">
        <v>436</v>
      </c>
      <c r="C183" s="2">
        <v>2019</v>
      </c>
      <c r="D183" s="2">
        <v>42.4</v>
      </c>
      <c r="E183" s="2">
        <v>47.33</v>
      </c>
      <c r="F183" s="2" t="s">
        <v>146</v>
      </c>
      <c r="G183" s="2">
        <v>0.71</v>
      </c>
      <c r="H183" s="2" t="s">
        <v>146</v>
      </c>
      <c r="I183" s="2" t="s">
        <v>146</v>
      </c>
      <c r="J183" s="2" t="s">
        <v>146</v>
      </c>
      <c r="K183" s="2" t="s">
        <v>146</v>
      </c>
      <c r="L183" s="2" t="s">
        <v>146</v>
      </c>
      <c r="M183" s="2" t="s">
        <v>49</v>
      </c>
      <c r="N183" s="2">
        <v>2.4</v>
      </c>
      <c r="O183" s="2" t="s">
        <v>146</v>
      </c>
      <c r="P183" s="2" t="s">
        <v>146</v>
      </c>
      <c r="Q183" s="2" t="s">
        <v>146</v>
      </c>
      <c r="R183" s="2" t="s">
        <v>146</v>
      </c>
      <c r="S183" s="2" t="s">
        <v>146</v>
      </c>
      <c r="T183" s="2" t="s">
        <v>147</v>
      </c>
      <c r="U183" s="2">
        <v>9.91</v>
      </c>
      <c r="V183" s="2" t="s">
        <v>146</v>
      </c>
      <c r="W183" s="2" t="s">
        <v>146</v>
      </c>
      <c r="X183" s="2">
        <v>30.7</v>
      </c>
      <c r="Y183" s="2" t="s">
        <v>146</v>
      </c>
      <c r="Z183" s="2" t="s">
        <v>146</v>
      </c>
      <c r="AA183" s="2" t="s">
        <v>146</v>
      </c>
      <c r="AB183" s="2" t="s">
        <v>146</v>
      </c>
      <c r="AC183" s="2" t="s">
        <v>146</v>
      </c>
      <c r="AD183" s="2" t="s">
        <v>146</v>
      </c>
      <c r="AE183" s="2" t="s">
        <v>146</v>
      </c>
      <c r="AF183" s="2" t="s">
        <v>146</v>
      </c>
      <c r="AG183" s="2" t="s">
        <v>146</v>
      </c>
      <c r="AH183" s="2">
        <v>3.61</v>
      </c>
      <c r="AI183" s="2" t="s">
        <v>146</v>
      </c>
      <c r="AJ183" s="2" t="s">
        <v>146</v>
      </c>
      <c r="AK183" s="2" t="s">
        <v>146</v>
      </c>
      <c r="AL183" s="2" t="s">
        <v>146</v>
      </c>
      <c r="AM183" s="2" t="s">
        <v>146</v>
      </c>
      <c r="AN183" s="2" t="s">
        <v>49</v>
      </c>
      <c r="AO183" s="2">
        <v>100</v>
      </c>
      <c r="AP183" s="2" t="s">
        <v>146</v>
      </c>
      <c r="AQ183" s="2" t="s">
        <v>146</v>
      </c>
      <c r="AR183" s="2" t="s">
        <v>146</v>
      </c>
      <c r="AV183" s="2">
        <f t="shared" si="20"/>
        <v>47.33</v>
      </c>
      <c r="AW183" s="2">
        <f t="shared" si="21"/>
        <v>42.4</v>
      </c>
      <c r="AX183" s="27">
        <f t="shared" si="22"/>
        <v>0.89583773505176423</v>
      </c>
      <c r="BA183" s="2">
        <f t="shared" si="23"/>
        <v>3.61</v>
      </c>
      <c r="BB183" s="2">
        <f t="shared" si="24"/>
        <v>3.61</v>
      </c>
      <c r="BC183" s="2">
        <f t="shared" si="25"/>
        <v>0</v>
      </c>
      <c r="BD183" s="2">
        <f t="shared" si="26"/>
        <v>0</v>
      </c>
      <c r="BE183" s="2">
        <f t="shared" si="27"/>
        <v>0</v>
      </c>
      <c r="BF183" s="2">
        <f t="shared" si="28"/>
        <v>0</v>
      </c>
      <c r="BJ183" s="2" t="str">
        <f t="shared" si="29"/>
        <v/>
      </c>
    </row>
    <row r="184" spans="1:62" ht="15" customHeight="1" x14ac:dyDescent="0.45">
      <c r="A184" s="2" t="s">
        <v>432</v>
      </c>
      <c r="B184" s="2" t="s">
        <v>435</v>
      </c>
      <c r="C184" s="2">
        <v>2019</v>
      </c>
      <c r="D184" s="2" t="s">
        <v>146</v>
      </c>
      <c r="E184" s="2" t="s">
        <v>146</v>
      </c>
      <c r="F184" s="2" t="s">
        <v>146</v>
      </c>
      <c r="G184" s="2" t="s">
        <v>146</v>
      </c>
      <c r="H184" s="2" t="s">
        <v>146</v>
      </c>
      <c r="I184" s="2" t="s">
        <v>146</v>
      </c>
      <c r="J184" s="2" t="s">
        <v>146</v>
      </c>
      <c r="K184" s="2" t="s">
        <v>146</v>
      </c>
      <c r="L184" s="2" t="s">
        <v>146</v>
      </c>
      <c r="M184" s="2" t="s">
        <v>49</v>
      </c>
      <c r="N184" s="2" t="s">
        <v>146</v>
      </c>
      <c r="O184" s="2" t="s">
        <v>146</v>
      </c>
      <c r="P184" s="2" t="s">
        <v>146</v>
      </c>
      <c r="Q184" s="2" t="s">
        <v>146</v>
      </c>
      <c r="R184" s="2" t="s">
        <v>146</v>
      </c>
      <c r="S184" s="2" t="s">
        <v>146</v>
      </c>
      <c r="T184" s="2" t="s">
        <v>146</v>
      </c>
      <c r="U184" s="2" t="s">
        <v>146</v>
      </c>
      <c r="V184" s="2" t="s">
        <v>146</v>
      </c>
      <c r="W184" s="2" t="s">
        <v>146</v>
      </c>
      <c r="X184" s="2" t="s">
        <v>146</v>
      </c>
      <c r="Y184" s="2" t="s">
        <v>146</v>
      </c>
      <c r="Z184" s="2" t="s">
        <v>146</v>
      </c>
      <c r="AA184" s="2" t="s">
        <v>146</v>
      </c>
      <c r="AB184" s="2" t="s">
        <v>146</v>
      </c>
      <c r="AC184" s="2" t="s">
        <v>146</v>
      </c>
      <c r="AD184" s="2" t="s">
        <v>146</v>
      </c>
      <c r="AE184" s="2" t="s">
        <v>146</v>
      </c>
      <c r="AF184" s="2" t="s">
        <v>146</v>
      </c>
      <c r="AG184" s="2" t="s">
        <v>146</v>
      </c>
      <c r="AH184" s="2" t="s">
        <v>146</v>
      </c>
      <c r="AI184" s="2" t="s">
        <v>146</v>
      </c>
      <c r="AJ184" s="2" t="s">
        <v>146</v>
      </c>
      <c r="AK184" s="2" t="s">
        <v>146</v>
      </c>
      <c r="AL184" s="2" t="s">
        <v>146</v>
      </c>
      <c r="AM184" s="2" t="s">
        <v>146</v>
      </c>
      <c r="AN184" s="2" t="s">
        <v>49</v>
      </c>
      <c r="AO184" s="2" t="s">
        <v>146</v>
      </c>
      <c r="AP184" s="2" t="s">
        <v>146</v>
      </c>
      <c r="AQ184" s="2" t="s">
        <v>146</v>
      </c>
      <c r="AR184" s="2" t="s">
        <v>146</v>
      </c>
      <c r="AV184" s="2">
        <f t="shared" si="20"/>
        <v>0</v>
      </c>
      <c r="AW184" s="2">
        <f t="shared" si="21"/>
        <v>0</v>
      </c>
      <c r="AX184" s="27" t="str">
        <f t="shared" si="22"/>
        <v/>
      </c>
      <c r="BA184" s="2">
        <f t="shared" si="23"/>
        <v>0</v>
      </c>
      <c r="BB184" s="2">
        <f t="shared" si="24"/>
        <v>0</v>
      </c>
      <c r="BC184" s="2">
        <f t="shared" si="25"/>
        <v>0</v>
      </c>
      <c r="BD184" s="2">
        <f t="shared" si="26"/>
        <v>0</v>
      </c>
      <c r="BE184" s="2">
        <f t="shared" si="27"/>
        <v>0</v>
      </c>
      <c r="BF184" s="2">
        <f t="shared" si="28"/>
        <v>0</v>
      </c>
      <c r="BJ184" s="2" t="str">
        <f t="shared" si="29"/>
        <v/>
      </c>
    </row>
    <row r="185" spans="1:62" ht="15" customHeight="1" x14ac:dyDescent="0.45">
      <c r="A185" s="2" t="s">
        <v>432</v>
      </c>
      <c r="B185" s="2" t="s">
        <v>434</v>
      </c>
      <c r="C185" s="2">
        <v>2019</v>
      </c>
      <c r="D185" s="2">
        <v>523.04999999999995</v>
      </c>
      <c r="E185" s="2">
        <v>563.84</v>
      </c>
      <c r="F185" s="2">
        <v>1.24</v>
      </c>
      <c r="G185" s="2">
        <v>15.88</v>
      </c>
      <c r="H185" s="2" t="s">
        <v>146</v>
      </c>
      <c r="I185" s="2">
        <v>5.35</v>
      </c>
      <c r="J185" s="2" t="s">
        <v>146</v>
      </c>
      <c r="K185" s="2" t="s">
        <v>146</v>
      </c>
      <c r="L185" s="2" t="s">
        <v>146</v>
      </c>
      <c r="M185" s="2" t="s">
        <v>49</v>
      </c>
      <c r="N185" s="2">
        <v>23.3</v>
      </c>
      <c r="O185" s="2">
        <v>12.94</v>
      </c>
      <c r="P185" s="2">
        <v>33.6</v>
      </c>
      <c r="Q185" s="2">
        <v>23.32</v>
      </c>
      <c r="R185" s="2">
        <v>1.08</v>
      </c>
      <c r="S185" s="2" t="s">
        <v>146</v>
      </c>
      <c r="T185" s="2" t="s">
        <v>433</v>
      </c>
      <c r="U185" s="2" t="s">
        <v>146</v>
      </c>
      <c r="V185" s="2" t="s">
        <v>146</v>
      </c>
      <c r="W185" s="2" t="s">
        <v>146</v>
      </c>
      <c r="X185" s="2">
        <v>69.010000000000005</v>
      </c>
      <c r="Y185" s="2">
        <v>11.64</v>
      </c>
      <c r="Z185" s="2" t="s">
        <v>146</v>
      </c>
      <c r="AA185" s="2" t="s">
        <v>146</v>
      </c>
      <c r="AB185" s="2">
        <v>0.78</v>
      </c>
      <c r="AC185" s="2">
        <v>125.93</v>
      </c>
      <c r="AD185" s="2">
        <v>8.6999999999999993</v>
      </c>
      <c r="AE185" s="2" t="s">
        <v>233</v>
      </c>
      <c r="AF185" s="2">
        <v>0.53600000000000003</v>
      </c>
      <c r="AG185" s="2" t="s">
        <v>146</v>
      </c>
      <c r="AH185" s="2">
        <v>215.64</v>
      </c>
      <c r="AI185" s="2">
        <v>23.14</v>
      </c>
      <c r="AJ185" s="2" t="s">
        <v>165</v>
      </c>
      <c r="AK185" s="2">
        <v>6.01</v>
      </c>
      <c r="AL185" s="2">
        <v>0.99</v>
      </c>
      <c r="AM185" s="2">
        <v>0.99</v>
      </c>
      <c r="AN185" s="2" t="s">
        <v>49</v>
      </c>
      <c r="AO185" s="2">
        <v>38.68</v>
      </c>
      <c r="AP185" s="2">
        <v>39.53</v>
      </c>
      <c r="AQ185" s="2">
        <v>0</v>
      </c>
      <c r="AR185" s="2">
        <v>21.79</v>
      </c>
      <c r="AV185" s="2">
        <f t="shared" si="20"/>
        <v>563.84</v>
      </c>
      <c r="AW185" s="2">
        <f t="shared" si="21"/>
        <v>523.04999999999995</v>
      </c>
      <c r="AX185" s="27">
        <f t="shared" si="22"/>
        <v>0.92765678206583413</v>
      </c>
      <c r="BA185" s="2">
        <f t="shared" si="23"/>
        <v>215.64</v>
      </c>
      <c r="BB185" s="2">
        <f t="shared" si="24"/>
        <v>83.409551999999991</v>
      </c>
      <c r="BC185" s="2">
        <f t="shared" si="25"/>
        <v>85.242491999999984</v>
      </c>
      <c r="BD185" s="2">
        <f t="shared" si="26"/>
        <v>0</v>
      </c>
      <c r="BE185" s="2">
        <f t="shared" si="27"/>
        <v>46.98795599999999</v>
      </c>
      <c r="BF185" s="2">
        <f t="shared" si="28"/>
        <v>0</v>
      </c>
      <c r="BJ185" s="2" t="str">
        <f t="shared" si="29"/>
        <v/>
      </c>
    </row>
    <row r="186" spans="1:62" ht="15" customHeight="1" x14ac:dyDescent="0.45">
      <c r="A186" s="2" t="s">
        <v>432</v>
      </c>
      <c r="B186" s="2" t="s">
        <v>431</v>
      </c>
      <c r="C186" s="2">
        <v>2019</v>
      </c>
      <c r="D186" s="2" t="s">
        <v>146</v>
      </c>
      <c r="E186" s="2">
        <v>6.6440000000000001</v>
      </c>
      <c r="F186" s="2" t="s">
        <v>146</v>
      </c>
      <c r="G186" s="2" t="s">
        <v>146</v>
      </c>
      <c r="H186" s="2" t="s">
        <v>146</v>
      </c>
      <c r="I186" s="2" t="s">
        <v>146</v>
      </c>
      <c r="J186" s="2" t="s">
        <v>146</v>
      </c>
      <c r="K186" s="2" t="s">
        <v>146</v>
      </c>
      <c r="L186" s="2" t="s">
        <v>146</v>
      </c>
      <c r="M186" s="2" t="s">
        <v>49</v>
      </c>
      <c r="N186" s="2" t="s">
        <v>146</v>
      </c>
      <c r="O186" s="2" t="s">
        <v>146</v>
      </c>
      <c r="P186" s="2" t="s">
        <v>146</v>
      </c>
      <c r="Q186" s="2" t="s">
        <v>146</v>
      </c>
      <c r="R186" s="2" t="s">
        <v>146</v>
      </c>
      <c r="S186" s="2" t="s">
        <v>146</v>
      </c>
      <c r="T186" s="2" t="s">
        <v>146</v>
      </c>
      <c r="U186" s="2" t="s">
        <v>146</v>
      </c>
      <c r="V186" s="2" t="s">
        <v>146</v>
      </c>
      <c r="W186" s="2" t="s">
        <v>146</v>
      </c>
      <c r="X186" s="2" t="s">
        <v>146</v>
      </c>
      <c r="Y186" s="2" t="s">
        <v>146</v>
      </c>
      <c r="Z186" s="2" t="s">
        <v>146</v>
      </c>
      <c r="AA186" s="2" t="s">
        <v>146</v>
      </c>
      <c r="AB186" s="2" t="s">
        <v>146</v>
      </c>
      <c r="AC186" s="2" t="s">
        <v>146</v>
      </c>
      <c r="AD186" s="2" t="s">
        <v>146</v>
      </c>
      <c r="AE186" s="2" t="s">
        <v>146</v>
      </c>
      <c r="AF186" s="2" t="s">
        <v>146</v>
      </c>
      <c r="AG186" s="2" t="s">
        <v>146</v>
      </c>
      <c r="AH186" s="2">
        <v>6.11</v>
      </c>
      <c r="AI186" s="2">
        <v>0.505</v>
      </c>
      <c r="AJ186" s="2" t="s">
        <v>165</v>
      </c>
      <c r="AK186" s="2">
        <v>0.17699999999999999</v>
      </c>
      <c r="AL186" s="2">
        <v>2.9000000000000001E-2</v>
      </c>
      <c r="AM186" s="2">
        <v>2.9000000000000001E-2</v>
      </c>
      <c r="AN186" s="2" t="s">
        <v>49</v>
      </c>
      <c r="AO186" s="2">
        <v>39.53</v>
      </c>
      <c r="AP186" s="2">
        <v>38.68</v>
      </c>
      <c r="AQ186" s="2">
        <v>0</v>
      </c>
      <c r="AR186" s="2">
        <v>21.79</v>
      </c>
      <c r="AV186" s="2">
        <f t="shared" si="20"/>
        <v>6.6440000000000001</v>
      </c>
      <c r="AW186" s="2">
        <f t="shared" si="21"/>
        <v>0</v>
      </c>
      <c r="AX186" s="27">
        <f t="shared" si="22"/>
        <v>0</v>
      </c>
      <c r="BA186" s="2">
        <f t="shared" si="23"/>
        <v>6.11</v>
      </c>
      <c r="BB186" s="2">
        <f t="shared" si="24"/>
        <v>2.4152830000000001</v>
      </c>
      <c r="BC186" s="2">
        <f t="shared" si="25"/>
        <v>2.3633479999999998</v>
      </c>
      <c r="BD186" s="2">
        <f t="shared" si="26"/>
        <v>0</v>
      </c>
      <c r="BE186" s="2">
        <f t="shared" si="27"/>
        <v>1.331369</v>
      </c>
      <c r="BF186" s="2">
        <f t="shared" si="28"/>
        <v>8.8817841970012523E-16</v>
      </c>
      <c r="BJ186" s="2" t="str">
        <f t="shared" si="29"/>
        <v/>
      </c>
    </row>
    <row r="187" spans="1:62" ht="15" customHeight="1" x14ac:dyDescent="0.45">
      <c r="A187" s="2" t="s">
        <v>428</v>
      </c>
      <c r="B187" s="2" t="s">
        <v>430</v>
      </c>
      <c r="C187" s="2">
        <v>2019</v>
      </c>
      <c r="D187" s="2">
        <v>8.0440000000000005</v>
      </c>
      <c r="E187" s="2">
        <v>8.7810000000000006</v>
      </c>
      <c r="F187" s="2" t="s">
        <v>146</v>
      </c>
      <c r="G187" s="2">
        <v>0</v>
      </c>
      <c r="H187" s="2" t="s">
        <v>146</v>
      </c>
      <c r="I187" s="2" t="s">
        <v>146</v>
      </c>
      <c r="J187" s="2" t="s">
        <v>146</v>
      </c>
      <c r="K187" s="2" t="s">
        <v>146</v>
      </c>
      <c r="L187" s="2" t="s">
        <v>146</v>
      </c>
      <c r="M187" s="2" t="s">
        <v>49</v>
      </c>
      <c r="N187" s="2">
        <v>2.089</v>
      </c>
      <c r="O187" s="2">
        <v>4.6944999999999997</v>
      </c>
      <c r="P187" s="2">
        <v>0</v>
      </c>
      <c r="Q187" s="2" t="s">
        <v>146</v>
      </c>
      <c r="R187" s="2" t="s">
        <v>146</v>
      </c>
      <c r="S187" s="2" t="s">
        <v>146</v>
      </c>
      <c r="T187" s="2" t="s">
        <v>147</v>
      </c>
      <c r="U187" s="2" t="s">
        <v>146</v>
      </c>
      <c r="V187" s="2" t="s">
        <v>146</v>
      </c>
      <c r="W187" s="2" t="s">
        <v>146</v>
      </c>
      <c r="X187" s="2">
        <v>9.9500000000000005E-2</v>
      </c>
      <c r="Y187" s="2" t="s">
        <v>146</v>
      </c>
      <c r="Z187" s="2">
        <v>0.67700000000000005</v>
      </c>
      <c r="AA187" s="2" t="s">
        <v>146</v>
      </c>
      <c r="AB187" s="2" t="s">
        <v>146</v>
      </c>
      <c r="AC187" s="2" t="s">
        <v>146</v>
      </c>
      <c r="AD187" s="2" t="s">
        <v>146</v>
      </c>
      <c r="AE187" s="2" t="s">
        <v>146</v>
      </c>
      <c r="AF187" s="2" t="s">
        <v>146</v>
      </c>
      <c r="AG187" s="2" t="s">
        <v>146</v>
      </c>
      <c r="AH187" s="2">
        <v>1.2210000000000001</v>
      </c>
      <c r="AI187" s="2" t="s">
        <v>146</v>
      </c>
      <c r="AJ187" s="2" t="s">
        <v>146</v>
      </c>
      <c r="AK187" s="2" t="s">
        <v>146</v>
      </c>
      <c r="AL187" s="2" t="s">
        <v>146</v>
      </c>
      <c r="AM187" s="2" t="s">
        <v>146</v>
      </c>
      <c r="AN187" s="2" t="s">
        <v>49</v>
      </c>
      <c r="AO187" s="2">
        <v>100</v>
      </c>
      <c r="AP187" s="2">
        <v>0</v>
      </c>
      <c r="AQ187" s="2">
        <v>0</v>
      </c>
      <c r="AR187" s="2">
        <v>0</v>
      </c>
      <c r="AV187" s="2">
        <f t="shared" si="20"/>
        <v>8.7810000000000006</v>
      </c>
      <c r="AW187" s="2">
        <f t="shared" si="21"/>
        <v>8.0440000000000005</v>
      </c>
      <c r="AX187" s="27">
        <f t="shared" si="22"/>
        <v>0.91606878487643773</v>
      </c>
      <c r="BA187" s="2">
        <f t="shared" si="23"/>
        <v>1.2210000000000001</v>
      </c>
      <c r="BB187" s="2">
        <f t="shared" si="24"/>
        <v>1.2210000000000001</v>
      </c>
      <c r="BC187" s="2">
        <f t="shared" si="25"/>
        <v>0</v>
      </c>
      <c r="BD187" s="2">
        <f t="shared" si="26"/>
        <v>0</v>
      </c>
      <c r="BE187" s="2">
        <f t="shared" si="27"/>
        <v>0</v>
      </c>
      <c r="BF187" s="2">
        <f t="shared" si="28"/>
        <v>0</v>
      </c>
      <c r="BJ187" s="2" t="str">
        <f t="shared" si="29"/>
        <v/>
      </c>
    </row>
    <row r="188" spans="1:62" ht="15" customHeight="1" x14ac:dyDescent="0.45">
      <c r="A188" s="2" t="s">
        <v>428</v>
      </c>
      <c r="B188" s="2" t="s">
        <v>429</v>
      </c>
      <c r="C188" s="2">
        <v>2019</v>
      </c>
      <c r="D188" s="2" t="s">
        <v>146</v>
      </c>
      <c r="E188" s="2" t="s">
        <v>146</v>
      </c>
      <c r="F188" s="2" t="s">
        <v>146</v>
      </c>
      <c r="G188" s="2" t="s">
        <v>146</v>
      </c>
      <c r="H188" s="2" t="s">
        <v>146</v>
      </c>
      <c r="I188" s="2" t="s">
        <v>146</v>
      </c>
      <c r="J188" s="2" t="s">
        <v>146</v>
      </c>
      <c r="K188" s="2" t="s">
        <v>146</v>
      </c>
      <c r="L188" s="2" t="s">
        <v>146</v>
      </c>
      <c r="M188" s="2" t="s">
        <v>49</v>
      </c>
      <c r="N188" s="2" t="s">
        <v>146</v>
      </c>
      <c r="O188" s="2" t="s">
        <v>146</v>
      </c>
      <c r="P188" s="2" t="s">
        <v>146</v>
      </c>
      <c r="Q188" s="2" t="s">
        <v>146</v>
      </c>
      <c r="R188" s="2" t="s">
        <v>146</v>
      </c>
      <c r="S188" s="2" t="s">
        <v>146</v>
      </c>
      <c r="T188" s="2" t="s">
        <v>146</v>
      </c>
      <c r="U188" s="2" t="s">
        <v>146</v>
      </c>
      <c r="V188" s="2" t="s">
        <v>146</v>
      </c>
      <c r="W188" s="2" t="s">
        <v>146</v>
      </c>
      <c r="X188" s="2" t="s">
        <v>146</v>
      </c>
      <c r="Y188" s="2" t="s">
        <v>146</v>
      </c>
      <c r="Z188" s="2" t="s">
        <v>146</v>
      </c>
      <c r="AA188" s="2" t="s">
        <v>146</v>
      </c>
      <c r="AB188" s="2" t="s">
        <v>146</v>
      </c>
      <c r="AC188" s="2" t="s">
        <v>146</v>
      </c>
      <c r="AD188" s="2" t="s">
        <v>146</v>
      </c>
      <c r="AE188" s="2" t="s">
        <v>146</v>
      </c>
      <c r="AF188" s="2" t="s">
        <v>146</v>
      </c>
      <c r="AG188" s="2" t="s">
        <v>146</v>
      </c>
      <c r="AH188" s="2" t="s">
        <v>146</v>
      </c>
      <c r="AI188" s="2" t="s">
        <v>146</v>
      </c>
      <c r="AJ188" s="2" t="s">
        <v>146</v>
      </c>
      <c r="AK188" s="2" t="s">
        <v>146</v>
      </c>
      <c r="AL188" s="2" t="s">
        <v>146</v>
      </c>
      <c r="AM188" s="2" t="s">
        <v>146</v>
      </c>
      <c r="AN188" s="2" t="s">
        <v>49</v>
      </c>
      <c r="AO188" s="2">
        <v>100</v>
      </c>
      <c r="AP188" s="2" t="s">
        <v>146</v>
      </c>
      <c r="AQ188" s="2" t="s">
        <v>146</v>
      </c>
      <c r="AR188" s="2" t="s">
        <v>146</v>
      </c>
      <c r="AV188" s="2">
        <f t="shared" si="20"/>
        <v>0</v>
      </c>
      <c r="AW188" s="2">
        <f t="shared" si="21"/>
        <v>0</v>
      </c>
      <c r="AX188" s="27" t="str">
        <f t="shared" si="22"/>
        <v/>
      </c>
      <c r="BA188" s="2">
        <f t="shared" si="23"/>
        <v>0</v>
      </c>
      <c r="BB188" s="2">
        <f t="shared" si="24"/>
        <v>0</v>
      </c>
      <c r="BC188" s="2">
        <f t="shared" si="25"/>
        <v>0</v>
      </c>
      <c r="BD188" s="2">
        <f t="shared" si="26"/>
        <v>0</v>
      </c>
      <c r="BE188" s="2">
        <f t="shared" si="27"/>
        <v>0</v>
      </c>
      <c r="BF188" s="2">
        <f t="shared" si="28"/>
        <v>0</v>
      </c>
      <c r="BJ188" s="2" t="str">
        <f t="shared" si="29"/>
        <v>ja</v>
      </c>
    </row>
    <row r="189" spans="1:62" ht="15" customHeight="1" x14ac:dyDescent="0.45">
      <c r="A189" s="2" t="s">
        <v>428</v>
      </c>
      <c r="B189" s="2" t="s">
        <v>427</v>
      </c>
      <c r="C189" s="2">
        <v>2019</v>
      </c>
      <c r="D189" s="2" t="s">
        <v>49</v>
      </c>
      <c r="E189" s="2" t="s">
        <v>49</v>
      </c>
      <c r="F189" s="2" t="s">
        <v>49</v>
      </c>
      <c r="G189" s="2" t="s">
        <v>49</v>
      </c>
      <c r="H189" s="2" t="s">
        <v>49</v>
      </c>
      <c r="I189" s="2" t="s">
        <v>49</v>
      </c>
      <c r="J189" s="2" t="s">
        <v>49</v>
      </c>
      <c r="K189" s="2" t="s">
        <v>49</v>
      </c>
      <c r="L189" s="2" t="s">
        <v>49</v>
      </c>
      <c r="M189" s="2" t="s">
        <v>49</v>
      </c>
      <c r="N189" s="2" t="s">
        <v>49</v>
      </c>
      <c r="O189" s="2" t="s">
        <v>49</v>
      </c>
      <c r="P189" s="2" t="s">
        <v>49</v>
      </c>
      <c r="Q189" s="2" t="s">
        <v>49</v>
      </c>
      <c r="R189" s="2" t="s">
        <v>49</v>
      </c>
      <c r="S189" s="2" t="s">
        <v>49</v>
      </c>
      <c r="T189" s="2" t="s">
        <v>49</v>
      </c>
      <c r="U189" s="2" t="s">
        <v>49</v>
      </c>
      <c r="V189" s="2" t="s">
        <v>49</v>
      </c>
      <c r="W189" s="2" t="s">
        <v>49</v>
      </c>
      <c r="X189" s="2" t="s">
        <v>49</v>
      </c>
      <c r="Y189" s="2" t="s">
        <v>49</v>
      </c>
      <c r="Z189" s="2" t="s">
        <v>49</v>
      </c>
      <c r="AA189" s="2" t="s">
        <v>49</v>
      </c>
      <c r="AB189" s="2" t="s">
        <v>49</v>
      </c>
      <c r="AC189" s="2" t="s">
        <v>49</v>
      </c>
      <c r="AD189" s="2" t="s">
        <v>49</v>
      </c>
      <c r="AE189" s="2" t="s">
        <v>49</v>
      </c>
      <c r="AF189" s="2" t="s">
        <v>49</v>
      </c>
      <c r="AG189" s="2" t="s">
        <v>49</v>
      </c>
      <c r="AH189" s="2" t="s">
        <v>49</v>
      </c>
      <c r="AI189" s="2" t="s">
        <v>49</v>
      </c>
      <c r="AJ189" s="2" t="s">
        <v>49</v>
      </c>
      <c r="AK189" s="2" t="s">
        <v>49</v>
      </c>
      <c r="AL189" s="2" t="s">
        <v>49</v>
      </c>
      <c r="AM189" s="2" t="s">
        <v>49</v>
      </c>
      <c r="AN189" s="2" t="s">
        <v>49</v>
      </c>
      <c r="AO189" s="2" t="s">
        <v>49</v>
      </c>
      <c r="AP189" s="2" t="s">
        <v>49</v>
      </c>
      <c r="AQ189" s="2" t="s">
        <v>49</v>
      </c>
      <c r="AR189" s="2" t="s">
        <v>49</v>
      </c>
      <c r="AV189" s="2">
        <f t="shared" si="20"/>
        <v>0</v>
      </c>
      <c r="AW189" s="2">
        <f t="shared" si="21"/>
        <v>0</v>
      </c>
      <c r="AX189" s="27" t="str">
        <f t="shared" si="22"/>
        <v/>
      </c>
      <c r="BA189" s="2">
        <f t="shared" si="23"/>
        <v>0</v>
      </c>
      <c r="BB189" s="2">
        <f t="shared" si="24"/>
        <v>0</v>
      </c>
      <c r="BC189" s="2">
        <f t="shared" si="25"/>
        <v>0</v>
      </c>
      <c r="BD189" s="2">
        <f t="shared" si="26"/>
        <v>0</v>
      </c>
      <c r="BE189" s="2">
        <f t="shared" si="27"/>
        <v>0</v>
      </c>
      <c r="BF189" s="2">
        <f t="shared" si="28"/>
        <v>0</v>
      </c>
      <c r="BJ189" s="2" t="str">
        <f t="shared" si="29"/>
        <v/>
      </c>
    </row>
    <row r="190" spans="1:62" ht="15" customHeight="1" x14ac:dyDescent="0.45">
      <c r="A190" s="2" t="s">
        <v>418</v>
      </c>
      <c r="B190" s="2" t="s">
        <v>426</v>
      </c>
      <c r="C190" s="2">
        <v>2019</v>
      </c>
      <c r="D190" s="2">
        <v>2.9670000000000001</v>
      </c>
      <c r="E190" s="2">
        <v>3.383</v>
      </c>
      <c r="F190" s="2" t="s">
        <v>146</v>
      </c>
      <c r="G190" s="2">
        <v>3.5999999999999997E-2</v>
      </c>
      <c r="H190" s="2" t="s">
        <v>146</v>
      </c>
      <c r="I190" s="2" t="s">
        <v>146</v>
      </c>
      <c r="J190" s="2" t="s">
        <v>146</v>
      </c>
      <c r="K190" s="2" t="s">
        <v>146</v>
      </c>
      <c r="L190" s="2" t="s">
        <v>146</v>
      </c>
      <c r="M190" s="2" t="s">
        <v>425</v>
      </c>
      <c r="N190" s="2" t="s">
        <v>146</v>
      </c>
      <c r="O190" s="2" t="s">
        <v>146</v>
      </c>
      <c r="P190" s="2" t="s">
        <v>146</v>
      </c>
      <c r="Q190" s="2" t="s">
        <v>146</v>
      </c>
      <c r="R190" s="2" t="s">
        <v>146</v>
      </c>
      <c r="S190" s="2" t="s">
        <v>146</v>
      </c>
      <c r="T190" s="2" t="s">
        <v>146</v>
      </c>
      <c r="U190" s="2">
        <v>3.347</v>
      </c>
      <c r="V190" s="2">
        <v>0</v>
      </c>
      <c r="W190" s="2">
        <v>0</v>
      </c>
      <c r="X190" s="2">
        <v>0</v>
      </c>
      <c r="Y190" s="2">
        <v>0</v>
      </c>
      <c r="Z190" s="2">
        <v>0</v>
      </c>
      <c r="AA190" s="2">
        <v>0</v>
      </c>
      <c r="AB190" s="2" t="s">
        <v>146</v>
      </c>
      <c r="AC190" s="2" t="s">
        <v>146</v>
      </c>
      <c r="AD190" s="2" t="s">
        <v>146</v>
      </c>
      <c r="AE190" s="2" t="s">
        <v>146</v>
      </c>
      <c r="AF190" s="2" t="s">
        <v>146</v>
      </c>
      <c r="AG190" s="2" t="s">
        <v>146</v>
      </c>
      <c r="AH190" s="2" t="s">
        <v>146</v>
      </c>
      <c r="AI190" s="2" t="s">
        <v>146</v>
      </c>
      <c r="AJ190" s="2" t="s">
        <v>146</v>
      </c>
      <c r="AK190" s="2" t="s">
        <v>146</v>
      </c>
      <c r="AL190" s="2" t="s">
        <v>146</v>
      </c>
      <c r="AM190" s="2" t="s">
        <v>146</v>
      </c>
      <c r="AN190" s="2" t="s">
        <v>49</v>
      </c>
      <c r="AO190" s="2" t="s">
        <v>146</v>
      </c>
      <c r="AP190" s="2" t="s">
        <v>146</v>
      </c>
      <c r="AQ190" s="2" t="s">
        <v>146</v>
      </c>
      <c r="AR190" s="2" t="s">
        <v>146</v>
      </c>
      <c r="AV190" s="2">
        <f t="shared" si="20"/>
        <v>3.383</v>
      </c>
      <c r="AW190" s="2">
        <f t="shared" si="21"/>
        <v>2.9670000000000001</v>
      </c>
      <c r="AX190" s="27">
        <f t="shared" si="22"/>
        <v>0.87703221992314517</v>
      </c>
      <c r="BA190" s="2">
        <f t="shared" si="23"/>
        <v>0</v>
      </c>
      <c r="BB190" s="2">
        <f t="shared" si="24"/>
        <v>0</v>
      </c>
      <c r="BC190" s="2">
        <f t="shared" si="25"/>
        <v>0</v>
      </c>
      <c r="BD190" s="2">
        <f t="shared" si="26"/>
        <v>0</v>
      </c>
      <c r="BE190" s="2">
        <f t="shared" si="27"/>
        <v>0</v>
      </c>
      <c r="BF190" s="2">
        <f t="shared" si="28"/>
        <v>0</v>
      </c>
      <c r="BJ190" s="2" t="str">
        <f t="shared" si="29"/>
        <v/>
      </c>
    </row>
    <row r="191" spans="1:62" ht="15" customHeight="1" x14ac:dyDescent="0.45">
      <c r="A191" s="2" t="s">
        <v>418</v>
      </c>
      <c r="B191" s="2" t="s">
        <v>424</v>
      </c>
      <c r="C191" s="2">
        <v>2019</v>
      </c>
      <c r="D191" s="2">
        <v>24.613</v>
      </c>
      <c r="E191" s="2">
        <v>26.198</v>
      </c>
      <c r="F191" s="2" t="s">
        <v>146</v>
      </c>
      <c r="G191" s="2">
        <v>0.312</v>
      </c>
      <c r="H191" s="2">
        <v>0</v>
      </c>
      <c r="I191" s="2">
        <v>0</v>
      </c>
      <c r="J191" s="2">
        <v>0.63100000000000001</v>
      </c>
      <c r="K191" s="2">
        <v>0</v>
      </c>
      <c r="L191" s="2">
        <v>0</v>
      </c>
      <c r="M191" s="2" t="s">
        <v>49</v>
      </c>
      <c r="N191" s="2">
        <v>0</v>
      </c>
      <c r="O191" s="2">
        <v>0</v>
      </c>
      <c r="P191" s="2">
        <v>24.561</v>
      </c>
      <c r="Q191" s="2">
        <v>0</v>
      </c>
      <c r="R191" s="2">
        <v>0</v>
      </c>
      <c r="S191" s="2">
        <v>0</v>
      </c>
      <c r="T191" s="2" t="s">
        <v>146</v>
      </c>
      <c r="U191" s="2">
        <v>0.69399999999999995</v>
      </c>
      <c r="V191" s="2">
        <v>0</v>
      </c>
      <c r="W191" s="2">
        <v>0</v>
      </c>
      <c r="X191" s="2">
        <v>0</v>
      </c>
      <c r="Y191" s="2">
        <v>0</v>
      </c>
      <c r="Z191" s="2">
        <v>0</v>
      </c>
      <c r="AA191" s="2">
        <v>0</v>
      </c>
      <c r="AB191" s="2" t="s">
        <v>146</v>
      </c>
      <c r="AC191" s="2" t="s">
        <v>146</v>
      </c>
      <c r="AD191" s="2" t="s">
        <v>146</v>
      </c>
      <c r="AE191" s="2" t="s">
        <v>146</v>
      </c>
      <c r="AF191" s="2" t="s">
        <v>146</v>
      </c>
      <c r="AG191" s="2" t="s">
        <v>146</v>
      </c>
      <c r="AH191" s="2" t="s">
        <v>146</v>
      </c>
      <c r="AI191" s="2" t="s">
        <v>146</v>
      </c>
      <c r="AJ191" s="2" t="s">
        <v>146</v>
      </c>
      <c r="AK191" s="2" t="s">
        <v>146</v>
      </c>
      <c r="AL191" s="2" t="s">
        <v>146</v>
      </c>
      <c r="AM191" s="2" t="s">
        <v>146</v>
      </c>
      <c r="AN191" s="2" t="s">
        <v>49</v>
      </c>
      <c r="AO191" s="2" t="s">
        <v>146</v>
      </c>
      <c r="AP191" s="2" t="s">
        <v>146</v>
      </c>
      <c r="AQ191" s="2" t="s">
        <v>146</v>
      </c>
      <c r="AR191" s="2" t="s">
        <v>146</v>
      </c>
      <c r="AV191" s="2">
        <f t="shared" si="20"/>
        <v>26.198</v>
      </c>
      <c r="AW191" s="2">
        <f t="shared" si="21"/>
        <v>24.613</v>
      </c>
      <c r="AX191" s="27">
        <f t="shared" si="22"/>
        <v>0.93949919841209251</v>
      </c>
      <c r="BA191" s="2">
        <f t="shared" si="23"/>
        <v>0</v>
      </c>
      <c r="BB191" s="2">
        <f t="shared" si="24"/>
        <v>0</v>
      </c>
      <c r="BC191" s="2">
        <f t="shared" si="25"/>
        <v>0</v>
      </c>
      <c r="BD191" s="2">
        <f t="shared" si="26"/>
        <v>0</v>
      </c>
      <c r="BE191" s="2">
        <f t="shared" si="27"/>
        <v>0</v>
      </c>
      <c r="BF191" s="2">
        <f t="shared" si="28"/>
        <v>0</v>
      </c>
      <c r="BJ191" s="2" t="str">
        <f t="shared" si="29"/>
        <v/>
      </c>
    </row>
    <row r="192" spans="1:62" ht="15" customHeight="1" x14ac:dyDescent="0.45">
      <c r="A192" s="2" t="s">
        <v>418</v>
      </c>
      <c r="B192" s="2" t="s">
        <v>423</v>
      </c>
      <c r="C192" s="2">
        <v>2019</v>
      </c>
      <c r="D192" s="2">
        <v>16.896999999999998</v>
      </c>
      <c r="E192" s="2">
        <v>21.355</v>
      </c>
      <c r="F192" s="2">
        <v>0</v>
      </c>
      <c r="G192" s="2">
        <v>0.54100000000000004</v>
      </c>
      <c r="H192" s="2">
        <v>0</v>
      </c>
      <c r="I192" s="2">
        <v>0</v>
      </c>
      <c r="J192" s="2">
        <v>0</v>
      </c>
      <c r="K192" s="2">
        <v>0</v>
      </c>
      <c r="L192" s="2">
        <v>0</v>
      </c>
      <c r="M192" s="2" t="s">
        <v>49</v>
      </c>
      <c r="N192" s="2">
        <v>0</v>
      </c>
      <c r="O192" s="2">
        <v>0</v>
      </c>
      <c r="P192" s="2">
        <v>20.814</v>
      </c>
      <c r="Q192" s="2">
        <v>0</v>
      </c>
      <c r="R192" s="2">
        <v>0</v>
      </c>
      <c r="S192" s="2">
        <v>0</v>
      </c>
      <c r="T192" s="2" t="s">
        <v>147</v>
      </c>
      <c r="U192" s="2" t="s">
        <v>146</v>
      </c>
      <c r="V192" s="2" t="s">
        <v>146</v>
      </c>
      <c r="W192" s="2" t="s">
        <v>146</v>
      </c>
      <c r="X192" s="2" t="s">
        <v>146</v>
      </c>
      <c r="Y192" s="2" t="s">
        <v>146</v>
      </c>
      <c r="Z192" s="2" t="s">
        <v>146</v>
      </c>
      <c r="AA192" s="2" t="s">
        <v>146</v>
      </c>
      <c r="AB192" s="2" t="s">
        <v>146</v>
      </c>
      <c r="AC192" s="2" t="s">
        <v>146</v>
      </c>
      <c r="AD192" s="2" t="s">
        <v>146</v>
      </c>
      <c r="AE192" s="2" t="s">
        <v>155</v>
      </c>
      <c r="AF192" s="2" t="s">
        <v>146</v>
      </c>
      <c r="AG192" s="2" t="s">
        <v>146</v>
      </c>
      <c r="AH192" s="2" t="s">
        <v>146</v>
      </c>
      <c r="AI192" s="2" t="s">
        <v>146</v>
      </c>
      <c r="AJ192" s="2" t="s">
        <v>146</v>
      </c>
      <c r="AK192" s="2" t="s">
        <v>146</v>
      </c>
      <c r="AL192" s="2" t="s">
        <v>146</v>
      </c>
      <c r="AM192" s="2" t="s">
        <v>146</v>
      </c>
      <c r="AN192" s="2" t="s">
        <v>49</v>
      </c>
      <c r="AO192" s="2" t="s">
        <v>146</v>
      </c>
      <c r="AP192" s="2" t="s">
        <v>146</v>
      </c>
      <c r="AQ192" s="2" t="s">
        <v>146</v>
      </c>
      <c r="AR192" s="2" t="s">
        <v>146</v>
      </c>
      <c r="AV192" s="2">
        <f t="shared" si="20"/>
        <v>21.355</v>
      </c>
      <c r="AW192" s="2">
        <f t="shared" si="21"/>
        <v>16.896999999999998</v>
      </c>
      <c r="AX192" s="27">
        <f t="shared" si="22"/>
        <v>0.79124326855537341</v>
      </c>
      <c r="BA192" s="2">
        <f t="shared" si="23"/>
        <v>0</v>
      </c>
      <c r="BB192" s="2">
        <f t="shared" si="24"/>
        <v>0</v>
      </c>
      <c r="BC192" s="2">
        <f t="shared" si="25"/>
        <v>0</v>
      </c>
      <c r="BD192" s="2">
        <f t="shared" si="26"/>
        <v>0</v>
      </c>
      <c r="BE192" s="2">
        <f t="shared" si="27"/>
        <v>0</v>
      </c>
      <c r="BF192" s="2">
        <f t="shared" si="28"/>
        <v>0</v>
      </c>
      <c r="BJ192" s="2" t="str">
        <f t="shared" si="29"/>
        <v/>
      </c>
    </row>
    <row r="193" spans="1:62" ht="15" customHeight="1" x14ac:dyDescent="0.45">
      <c r="A193" s="2" t="s">
        <v>418</v>
      </c>
      <c r="B193" s="2" t="s">
        <v>422</v>
      </c>
      <c r="C193" s="2">
        <v>2019</v>
      </c>
      <c r="D193" s="2">
        <v>3.379</v>
      </c>
      <c r="E193" s="2">
        <v>3.9340000000000002</v>
      </c>
      <c r="F193" s="2" t="s">
        <v>146</v>
      </c>
      <c r="G193" s="2" t="s">
        <v>146</v>
      </c>
      <c r="H193" s="2" t="s">
        <v>146</v>
      </c>
      <c r="I193" s="2" t="s">
        <v>146</v>
      </c>
      <c r="J193" s="2" t="s">
        <v>146</v>
      </c>
      <c r="K193" s="2" t="s">
        <v>146</v>
      </c>
      <c r="L193" s="2" t="s">
        <v>146</v>
      </c>
      <c r="M193" s="2" t="s">
        <v>49</v>
      </c>
      <c r="N193" s="2" t="s">
        <v>146</v>
      </c>
      <c r="O193" s="2" t="s">
        <v>146</v>
      </c>
      <c r="P193" s="2" t="s">
        <v>146</v>
      </c>
      <c r="Q193" s="2" t="s">
        <v>146</v>
      </c>
      <c r="R193" s="2" t="s">
        <v>146</v>
      </c>
      <c r="S193" s="2" t="s">
        <v>146</v>
      </c>
      <c r="T193" s="2" t="s">
        <v>146</v>
      </c>
      <c r="U193" s="2">
        <v>3.9340000000000002</v>
      </c>
      <c r="V193" s="2">
        <v>0</v>
      </c>
      <c r="W193" s="2">
        <v>0</v>
      </c>
      <c r="X193" s="2">
        <v>0</v>
      </c>
      <c r="Y193" s="2">
        <v>0</v>
      </c>
      <c r="Z193" s="2">
        <v>0</v>
      </c>
      <c r="AA193" s="2">
        <v>0</v>
      </c>
      <c r="AB193" s="2" t="s">
        <v>146</v>
      </c>
      <c r="AC193" s="2" t="s">
        <v>146</v>
      </c>
      <c r="AD193" s="2" t="s">
        <v>146</v>
      </c>
      <c r="AE193" s="2" t="s">
        <v>146</v>
      </c>
      <c r="AF193" s="2" t="s">
        <v>146</v>
      </c>
      <c r="AG193" s="2" t="s">
        <v>146</v>
      </c>
      <c r="AH193" s="2" t="s">
        <v>146</v>
      </c>
      <c r="AI193" s="2" t="s">
        <v>146</v>
      </c>
      <c r="AJ193" s="2" t="s">
        <v>146</v>
      </c>
      <c r="AK193" s="2" t="s">
        <v>146</v>
      </c>
      <c r="AL193" s="2" t="s">
        <v>146</v>
      </c>
      <c r="AM193" s="2" t="s">
        <v>146</v>
      </c>
      <c r="AN193" s="2" t="s">
        <v>49</v>
      </c>
      <c r="AO193" s="2" t="s">
        <v>146</v>
      </c>
      <c r="AP193" s="2" t="s">
        <v>146</v>
      </c>
      <c r="AQ193" s="2" t="s">
        <v>146</v>
      </c>
      <c r="AR193" s="2" t="s">
        <v>146</v>
      </c>
      <c r="AV193" s="2">
        <f t="shared" si="20"/>
        <v>3.9340000000000002</v>
      </c>
      <c r="AW193" s="2">
        <f t="shared" si="21"/>
        <v>3.379</v>
      </c>
      <c r="AX193" s="27">
        <f t="shared" si="22"/>
        <v>0.85892221657346213</v>
      </c>
      <c r="BA193" s="2">
        <f t="shared" si="23"/>
        <v>0</v>
      </c>
      <c r="BB193" s="2">
        <f t="shared" si="24"/>
        <v>0</v>
      </c>
      <c r="BC193" s="2">
        <f t="shared" si="25"/>
        <v>0</v>
      </c>
      <c r="BD193" s="2">
        <f t="shared" si="26"/>
        <v>0</v>
      </c>
      <c r="BE193" s="2">
        <f t="shared" si="27"/>
        <v>0</v>
      </c>
      <c r="BF193" s="2">
        <f t="shared" si="28"/>
        <v>0</v>
      </c>
      <c r="BJ193" s="2" t="str">
        <f t="shared" si="29"/>
        <v/>
      </c>
    </row>
    <row r="194" spans="1:62" ht="15" customHeight="1" x14ac:dyDescent="0.45">
      <c r="A194" s="2" t="s">
        <v>418</v>
      </c>
      <c r="B194" s="2" t="s">
        <v>1181</v>
      </c>
      <c r="C194" s="2">
        <v>2019</v>
      </c>
      <c r="D194" s="2">
        <v>0.81</v>
      </c>
      <c r="E194" s="2">
        <v>0.93</v>
      </c>
      <c r="F194" s="2" t="s">
        <v>146</v>
      </c>
      <c r="G194" s="2">
        <v>1.0999999999999999E-2</v>
      </c>
      <c r="H194" s="2" t="s">
        <v>146</v>
      </c>
      <c r="I194" s="2" t="s">
        <v>146</v>
      </c>
      <c r="J194" s="2" t="s">
        <v>146</v>
      </c>
      <c r="K194" s="2" t="s">
        <v>146</v>
      </c>
      <c r="L194" s="2" t="s">
        <v>146</v>
      </c>
      <c r="M194" s="2" t="s">
        <v>49</v>
      </c>
      <c r="N194" s="2" t="s">
        <v>146</v>
      </c>
      <c r="O194" s="2" t="s">
        <v>146</v>
      </c>
      <c r="P194" s="2" t="s">
        <v>146</v>
      </c>
      <c r="Q194" s="2" t="s">
        <v>146</v>
      </c>
      <c r="R194" s="2" t="s">
        <v>146</v>
      </c>
      <c r="S194" s="2" t="s">
        <v>146</v>
      </c>
      <c r="T194" s="2" t="s">
        <v>146</v>
      </c>
      <c r="U194" s="2">
        <v>0.91900000000000004</v>
      </c>
      <c r="V194" s="2" t="s">
        <v>146</v>
      </c>
      <c r="W194" s="2" t="s">
        <v>146</v>
      </c>
      <c r="X194" s="2" t="s">
        <v>146</v>
      </c>
      <c r="Y194" s="2" t="s">
        <v>146</v>
      </c>
      <c r="Z194" s="2" t="s">
        <v>146</v>
      </c>
      <c r="AA194" s="2" t="s">
        <v>146</v>
      </c>
      <c r="AB194" s="2" t="s">
        <v>146</v>
      </c>
      <c r="AC194" s="2" t="s">
        <v>146</v>
      </c>
      <c r="AD194" s="2" t="s">
        <v>146</v>
      </c>
      <c r="AE194" s="2" t="s">
        <v>146</v>
      </c>
      <c r="AF194" s="2" t="s">
        <v>146</v>
      </c>
      <c r="AG194" s="2" t="s">
        <v>146</v>
      </c>
      <c r="AH194" s="2" t="s">
        <v>146</v>
      </c>
      <c r="AI194" s="2" t="s">
        <v>146</v>
      </c>
      <c r="AJ194" s="2" t="s">
        <v>146</v>
      </c>
      <c r="AK194" s="2" t="s">
        <v>146</v>
      </c>
      <c r="AL194" s="2" t="s">
        <v>146</v>
      </c>
      <c r="AM194" s="2" t="s">
        <v>146</v>
      </c>
      <c r="AN194" s="2" t="s">
        <v>49</v>
      </c>
      <c r="AO194" s="2" t="s">
        <v>146</v>
      </c>
      <c r="AP194" s="2" t="s">
        <v>146</v>
      </c>
      <c r="AQ194" s="2" t="s">
        <v>146</v>
      </c>
      <c r="AR194" s="2" t="s">
        <v>146</v>
      </c>
      <c r="AV194" s="2">
        <f t="shared" si="20"/>
        <v>0.93</v>
      </c>
      <c r="AW194" s="2">
        <f t="shared" si="21"/>
        <v>0.81</v>
      </c>
      <c r="AX194" s="27">
        <f t="shared" si="22"/>
        <v>0.87096774193548387</v>
      </c>
      <c r="BA194" s="2">
        <f t="shared" si="23"/>
        <v>0</v>
      </c>
      <c r="BB194" s="2">
        <f t="shared" si="24"/>
        <v>0</v>
      </c>
      <c r="BC194" s="2">
        <f t="shared" si="25"/>
        <v>0</v>
      </c>
      <c r="BD194" s="2">
        <f t="shared" si="26"/>
        <v>0</v>
      </c>
      <c r="BE194" s="2">
        <f t="shared" si="27"/>
        <v>0</v>
      </c>
      <c r="BF194" s="2">
        <f t="shared" si="28"/>
        <v>0</v>
      </c>
      <c r="BJ194" s="2" t="str">
        <f t="shared" si="29"/>
        <v/>
      </c>
    </row>
    <row r="195" spans="1:62" ht="15" customHeight="1" x14ac:dyDescent="0.45">
      <c r="A195" s="2" t="s">
        <v>418</v>
      </c>
      <c r="B195" s="2" t="s">
        <v>97</v>
      </c>
      <c r="C195" s="2">
        <v>2019</v>
      </c>
      <c r="D195" s="2">
        <v>34.982999999999997</v>
      </c>
      <c r="E195" s="2">
        <v>37.540999999999997</v>
      </c>
      <c r="F195" s="2" t="s">
        <v>146</v>
      </c>
      <c r="G195" s="2">
        <v>5.8999999999999997E-2</v>
      </c>
      <c r="H195" s="2" t="s">
        <v>146</v>
      </c>
      <c r="I195" s="2" t="s">
        <v>146</v>
      </c>
      <c r="J195" s="2" t="s">
        <v>146</v>
      </c>
      <c r="K195" s="2" t="s">
        <v>146</v>
      </c>
      <c r="L195" s="2" t="s">
        <v>146</v>
      </c>
      <c r="M195" s="2" t="s">
        <v>49</v>
      </c>
      <c r="N195" s="2" t="s">
        <v>146</v>
      </c>
      <c r="O195" s="2" t="s">
        <v>146</v>
      </c>
      <c r="P195" s="2">
        <v>37.481999999999999</v>
      </c>
      <c r="Q195" s="2" t="s">
        <v>146</v>
      </c>
      <c r="R195" s="2" t="s">
        <v>146</v>
      </c>
      <c r="S195" s="2" t="s">
        <v>146</v>
      </c>
      <c r="T195" s="2" t="s">
        <v>146</v>
      </c>
      <c r="U195" s="2" t="s">
        <v>146</v>
      </c>
      <c r="V195" s="2" t="s">
        <v>146</v>
      </c>
      <c r="W195" s="2" t="s">
        <v>146</v>
      </c>
      <c r="X195" s="2" t="s">
        <v>146</v>
      </c>
      <c r="Y195" s="2" t="s">
        <v>146</v>
      </c>
      <c r="Z195" s="2" t="s">
        <v>146</v>
      </c>
      <c r="AA195" s="2" t="s">
        <v>146</v>
      </c>
      <c r="AB195" s="2" t="s">
        <v>146</v>
      </c>
      <c r="AC195" s="2" t="s">
        <v>146</v>
      </c>
      <c r="AD195" s="2" t="s">
        <v>146</v>
      </c>
      <c r="AE195" s="2" t="s">
        <v>146</v>
      </c>
      <c r="AF195" s="2" t="s">
        <v>146</v>
      </c>
      <c r="AG195" s="2" t="s">
        <v>146</v>
      </c>
      <c r="AH195" s="2" t="s">
        <v>146</v>
      </c>
      <c r="AI195" s="2" t="s">
        <v>146</v>
      </c>
      <c r="AJ195" s="2" t="s">
        <v>146</v>
      </c>
      <c r="AK195" s="2" t="s">
        <v>146</v>
      </c>
      <c r="AL195" s="2" t="s">
        <v>146</v>
      </c>
      <c r="AM195" s="2" t="s">
        <v>146</v>
      </c>
      <c r="AN195" s="2" t="s">
        <v>49</v>
      </c>
      <c r="AO195" s="2" t="s">
        <v>146</v>
      </c>
      <c r="AP195" s="2" t="s">
        <v>146</v>
      </c>
      <c r="AQ195" s="2" t="s">
        <v>146</v>
      </c>
      <c r="AR195" s="2" t="s">
        <v>146</v>
      </c>
      <c r="AV195" s="2">
        <f t="shared" ref="AV195:AV258" si="30">SUMPRODUCT(F195:AC195)+SUMPRODUCT(AG195:AI195)+IFERROR(AL195/1,0)</f>
        <v>37.540999999999997</v>
      </c>
      <c r="AW195" s="2">
        <f t="shared" ref="AW195:AW258" si="31">IFERROR(D195/1,0)</f>
        <v>34.982999999999997</v>
      </c>
      <c r="AX195" s="27">
        <f t="shared" ref="AX195:AX258" si="32">IFERROR(AW195/AV195,"")</f>
        <v>0.93186116512612871</v>
      </c>
      <c r="BA195" s="2">
        <f t="shared" ref="BA195:BA258" si="33">IFERROR(AH195/1,0)</f>
        <v>0</v>
      </c>
      <c r="BB195" s="2">
        <f t="shared" ref="BB195:BB258" si="34">IFERROR(AO195/100,0)*$BA195</f>
        <v>0</v>
      </c>
      <c r="BC195" s="2">
        <f t="shared" ref="BC195:BC258" si="35">IFERROR(AP195/100,0)*$BA195</f>
        <v>0</v>
      </c>
      <c r="BD195" s="2">
        <f t="shared" ref="BD195:BD258" si="36">IFERROR(AQ195/100,0)*$BA195</f>
        <v>0</v>
      </c>
      <c r="BE195" s="2">
        <f t="shared" ref="BE195:BE258" si="37">IFERROR(AR195/100,0)*$BA195</f>
        <v>0</v>
      </c>
      <c r="BF195" s="2">
        <f t="shared" ref="BF195:BF258" si="38">MAX(BA195-SUM(BB195:BE195),0)</f>
        <v>0</v>
      </c>
      <c r="BJ195" s="2" t="str">
        <f t="shared" ref="BJ195:BJ258" si="39">IF(AND((IFERROR(AO195/1,0)+IFERROR(AP195/1,0)+IFERROR(AQ195/1,0)+IFERROR(AR195/1,0))&gt;0,OR(TYPE(AH195)&lt;&gt;1,AH195=0)),"ja","")</f>
        <v/>
      </c>
    </row>
    <row r="196" spans="1:62" ht="15" customHeight="1" x14ac:dyDescent="0.45">
      <c r="A196" s="2" t="s">
        <v>418</v>
      </c>
      <c r="B196" s="2" t="s">
        <v>99</v>
      </c>
      <c r="C196" s="2">
        <v>2019</v>
      </c>
      <c r="D196" s="2">
        <v>51.456000000000003</v>
      </c>
      <c r="E196" s="2">
        <v>52.167999999999999</v>
      </c>
      <c r="F196" s="2" t="s">
        <v>146</v>
      </c>
      <c r="G196" s="2">
        <v>0.79700000000000004</v>
      </c>
      <c r="H196" s="2" t="s">
        <v>146</v>
      </c>
      <c r="I196" s="2" t="s">
        <v>146</v>
      </c>
      <c r="J196" s="2" t="s">
        <v>146</v>
      </c>
      <c r="K196" s="2" t="s">
        <v>146</v>
      </c>
      <c r="L196" s="2" t="s">
        <v>146</v>
      </c>
      <c r="M196" s="2" t="s">
        <v>49</v>
      </c>
      <c r="N196" s="2" t="s">
        <v>146</v>
      </c>
      <c r="O196" s="2" t="s">
        <v>146</v>
      </c>
      <c r="P196" s="2">
        <v>35.567999999999998</v>
      </c>
      <c r="Q196" s="2" t="s">
        <v>146</v>
      </c>
      <c r="R196" s="2" t="s">
        <v>146</v>
      </c>
      <c r="S196" s="2" t="s">
        <v>146</v>
      </c>
      <c r="T196" s="2" t="s">
        <v>146</v>
      </c>
      <c r="U196" s="2">
        <v>6.5679999999999996</v>
      </c>
      <c r="V196" s="2" t="s">
        <v>146</v>
      </c>
      <c r="W196" s="2" t="s">
        <v>146</v>
      </c>
      <c r="X196" s="2" t="s">
        <v>146</v>
      </c>
      <c r="Y196" s="2" t="s">
        <v>146</v>
      </c>
      <c r="Z196" s="2" t="s">
        <v>146</v>
      </c>
      <c r="AA196" s="2" t="s">
        <v>146</v>
      </c>
      <c r="AB196" s="2">
        <v>9.2349999999999994</v>
      </c>
      <c r="AC196" s="2" t="s">
        <v>146</v>
      </c>
      <c r="AD196" s="2" t="s">
        <v>146</v>
      </c>
      <c r="AE196" s="2" t="s">
        <v>146</v>
      </c>
      <c r="AF196" s="2" t="s">
        <v>146</v>
      </c>
      <c r="AG196" s="2" t="s">
        <v>146</v>
      </c>
      <c r="AH196" s="2" t="s">
        <v>146</v>
      </c>
      <c r="AI196" s="2" t="s">
        <v>146</v>
      </c>
      <c r="AJ196" s="2" t="s">
        <v>146</v>
      </c>
      <c r="AK196" s="2" t="s">
        <v>146</v>
      </c>
      <c r="AL196" s="2" t="s">
        <v>146</v>
      </c>
      <c r="AM196" s="2" t="s">
        <v>146</v>
      </c>
      <c r="AN196" s="2" t="s">
        <v>49</v>
      </c>
      <c r="AO196" s="2" t="s">
        <v>146</v>
      </c>
      <c r="AP196" s="2" t="s">
        <v>146</v>
      </c>
      <c r="AQ196" s="2" t="s">
        <v>146</v>
      </c>
      <c r="AR196" s="2" t="s">
        <v>146</v>
      </c>
      <c r="AV196" s="2">
        <f t="shared" si="30"/>
        <v>52.167999999999992</v>
      </c>
      <c r="AW196" s="2">
        <f t="shared" si="31"/>
        <v>51.456000000000003</v>
      </c>
      <c r="AX196" s="27">
        <f t="shared" si="32"/>
        <v>0.98635178653580757</v>
      </c>
      <c r="BA196" s="2">
        <f t="shared" si="33"/>
        <v>0</v>
      </c>
      <c r="BB196" s="2">
        <f t="shared" si="34"/>
        <v>0</v>
      </c>
      <c r="BC196" s="2">
        <f t="shared" si="35"/>
        <v>0</v>
      </c>
      <c r="BD196" s="2">
        <f t="shared" si="36"/>
        <v>0</v>
      </c>
      <c r="BE196" s="2">
        <f t="shared" si="37"/>
        <v>0</v>
      </c>
      <c r="BF196" s="2">
        <f t="shared" si="38"/>
        <v>0</v>
      </c>
      <c r="BJ196" s="2" t="str">
        <f t="shared" si="39"/>
        <v/>
      </c>
    </row>
    <row r="197" spans="1:62" ht="15" customHeight="1" x14ac:dyDescent="0.45">
      <c r="A197" s="2" t="s">
        <v>418</v>
      </c>
      <c r="B197" s="2" t="s">
        <v>421</v>
      </c>
      <c r="C197" s="2">
        <v>2019</v>
      </c>
      <c r="D197" s="2">
        <v>7.37</v>
      </c>
      <c r="E197" s="2">
        <v>8.0220000000000002</v>
      </c>
      <c r="F197" s="2" t="s">
        <v>146</v>
      </c>
      <c r="G197" s="2">
        <v>6.2E-2</v>
      </c>
      <c r="H197" s="2" t="s">
        <v>146</v>
      </c>
      <c r="I197" s="2" t="s">
        <v>146</v>
      </c>
      <c r="J197" s="2" t="s">
        <v>146</v>
      </c>
      <c r="K197" s="2" t="s">
        <v>146</v>
      </c>
      <c r="L197" s="2" t="s">
        <v>146</v>
      </c>
      <c r="M197" s="2" t="s">
        <v>49</v>
      </c>
      <c r="N197" s="2" t="s">
        <v>146</v>
      </c>
      <c r="O197" s="2" t="s">
        <v>146</v>
      </c>
      <c r="P197" s="2" t="s">
        <v>146</v>
      </c>
      <c r="Q197" s="2" t="s">
        <v>146</v>
      </c>
      <c r="R197" s="2" t="s">
        <v>146</v>
      </c>
      <c r="S197" s="2" t="s">
        <v>146</v>
      </c>
      <c r="T197" s="2" t="s">
        <v>146</v>
      </c>
      <c r="U197" s="2">
        <v>7.96</v>
      </c>
      <c r="V197" s="2" t="s">
        <v>146</v>
      </c>
      <c r="W197" s="2" t="s">
        <v>146</v>
      </c>
      <c r="X197" s="2" t="s">
        <v>146</v>
      </c>
      <c r="Y197" s="2" t="s">
        <v>146</v>
      </c>
      <c r="Z197" s="2" t="s">
        <v>146</v>
      </c>
      <c r="AA197" s="2" t="s">
        <v>146</v>
      </c>
      <c r="AB197" s="2" t="s">
        <v>146</v>
      </c>
      <c r="AC197" s="2" t="s">
        <v>146</v>
      </c>
      <c r="AD197" s="2" t="s">
        <v>146</v>
      </c>
      <c r="AE197" s="2" t="s">
        <v>146</v>
      </c>
      <c r="AF197" s="2" t="s">
        <v>146</v>
      </c>
      <c r="AG197" s="2" t="s">
        <v>146</v>
      </c>
      <c r="AH197" s="2" t="s">
        <v>146</v>
      </c>
      <c r="AI197" s="2" t="s">
        <v>146</v>
      </c>
      <c r="AJ197" s="2" t="s">
        <v>146</v>
      </c>
      <c r="AK197" s="2" t="s">
        <v>146</v>
      </c>
      <c r="AL197" s="2" t="s">
        <v>146</v>
      </c>
      <c r="AM197" s="2" t="s">
        <v>146</v>
      </c>
      <c r="AN197" s="2" t="s">
        <v>49</v>
      </c>
      <c r="AO197" s="2" t="s">
        <v>146</v>
      </c>
      <c r="AP197" s="2" t="s">
        <v>146</v>
      </c>
      <c r="AQ197" s="2" t="s">
        <v>146</v>
      </c>
      <c r="AR197" s="2" t="s">
        <v>146</v>
      </c>
      <c r="AV197" s="2">
        <f t="shared" si="30"/>
        <v>8.0220000000000002</v>
      </c>
      <c r="AW197" s="2">
        <f t="shared" si="31"/>
        <v>7.37</v>
      </c>
      <c r="AX197" s="27">
        <f t="shared" si="32"/>
        <v>0.91872351034654698</v>
      </c>
      <c r="BA197" s="2">
        <f t="shared" si="33"/>
        <v>0</v>
      </c>
      <c r="BB197" s="2">
        <f t="shared" si="34"/>
        <v>0</v>
      </c>
      <c r="BC197" s="2">
        <f t="shared" si="35"/>
        <v>0</v>
      </c>
      <c r="BD197" s="2">
        <f t="shared" si="36"/>
        <v>0</v>
      </c>
      <c r="BE197" s="2">
        <f t="shared" si="37"/>
        <v>0</v>
      </c>
      <c r="BF197" s="2">
        <f t="shared" si="38"/>
        <v>0</v>
      </c>
      <c r="BJ197" s="2" t="str">
        <f t="shared" si="39"/>
        <v/>
      </c>
    </row>
    <row r="198" spans="1:62" ht="15" customHeight="1" x14ac:dyDescent="0.45">
      <c r="A198" s="2" t="s">
        <v>418</v>
      </c>
      <c r="B198" s="2" t="s">
        <v>101</v>
      </c>
      <c r="C198" s="2">
        <v>2019</v>
      </c>
      <c r="D198" s="2">
        <v>9.6630000000000003</v>
      </c>
      <c r="E198" s="2">
        <v>10.615</v>
      </c>
      <c r="F198" s="2" t="s">
        <v>146</v>
      </c>
      <c r="G198" s="2">
        <v>2.5999999999999999E-2</v>
      </c>
      <c r="H198" s="2" t="s">
        <v>146</v>
      </c>
      <c r="I198" s="2" t="s">
        <v>146</v>
      </c>
      <c r="J198" s="2" t="s">
        <v>146</v>
      </c>
      <c r="K198" s="2" t="s">
        <v>146</v>
      </c>
      <c r="L198" s="2" t="s">
        <v>146</v>
      </c>
      <c r="M198" s="2" t="s">
        <v>49</v>
      </c>
      <c r="N198" s="2" t="s">
        <v>146</v>
      </c>
      <c r="O198" s="2" t="s">
        <v>146</v>
      </c>
      <c r="P198" s="2" t="s">
        <v>146</v>
      </c>
      <c r="Q198" s="2" t="s">
        <v>146</v>
      </c>
      <c r="R198" s="2" t="s">
        <v>146</v>
      </c>
      <c r="S198" s="2" t="s">
        <v>146</v>
      </c>
      <c r="T198" s="2" t="s">
        <v>146</v>
      </c>
      <c r="U198" s="2">
        <v>10.589</v>
      </c>
      <c r="V198" s="2" t="s">
        <v>146</v>
      </c>
      <c r="W198" s="2" t="s">
        <v>146</v>
      </c>
      <c r="X198" s="2" t="s">
        <v>146</v>
      </c>
      <c r="Y198" s="2" t="s">
        <v>146</v>
      </c>
      <c r="Z198" s="2" t="s">
        <v>146</v>
      </c>
      <c r="AA198" s="2" t="s">
        <v>146</v>
      </c>
      <c r="AB198" s="2" t="s">
        <v>146</v>
      </c>
      <c r="AC198" s="2" t="s">
        <v>146</v>
      </c>
      <c r="AD198" s="2" t="s">
        <v>146</v>
      </c>
      <c r="AE198" s="2" t="s">
        <v>146</v>
      </c>
      <c r="AF198" s="2" t="s">
        <v>146</v>
      </c>
      <c r="AG198" s="2" t="s">
        <v>146</v>
      </c>
      <c r="AH198" s="2" t="s">
        <v>146</v>
      </c>
      <c r="AI198" s="2" t="s">
        <v>146</v>
      </c>
      <c r="AJ198" s="2" t="s">
        <v>146</v>
      </c>
      <c r="AK198" s="2" t="s">
        <v>146</v>
      </c>
      <c r="AL198" s="2" t="s">
        <v>146</v>
      </c>
      <c r="AM198" s="2" t="s">
        <v>146</v>
      </c>
      <c r="AN198" s="2" t="s">
        <v>49</v>
      </c>
      <c r="AO198" s="2" t="s">
        <v>146</v>
      </c>
      <c r="AP198" s="2" t="s">
        <v>146</v>
      </c>
      <c r="AQ198" s="2" t="s">
        <v>146</v>
      </c>
      <c r="AR198" s="2" t="s">
        <v>146</v>
      </c>
      <c r="AV198" s="2">
        <f t="shared" si="30"/>
        <v>10.615</v>
      </c>
      <c r="AW198" s="2">
        <f t="shared" si="31"/>
        <v>9.6630000000000003</v>
      </c>
      <c r="AX198" s="27">
        <f t="shared" si="32"/>
        <v>0.9103155911446067</v>
      </c>
      <c r="BA198" s="2">
        <f t="shared" si="33"/>
        <v>0</v>
      </c>
      <c r="BB198" s="2">
        <f t="shared" si="34"/>
        <v>0</v>
      </c>
      <c r="BC198" s="2">
        <f t="shared" si="35"/>
        <v>0</v>
      </c>
      <c r="BD198" s="2">
        <f t="shared" si="36"/>
        <v>0</v>
      </c>
      <c r="BE198" s="2">
        <f t="shared" si="37"/>
        <v>0</v>
      </c>
      <c r="BF198" s="2">
        <f t="shared" si="38"/>
        <v>0</v>
      </c>
      <c r="BJ198" s="2" t="str">
        <f t="shared" si="39"/>
        <v/>
      </c>
    </row>
    <row r="199" spans="1:62" ht="15" customHeight="1" x14ac:dyDescent="0.45">
      <c r="A199" s="2" t="s">
        <v>418</v>
      </c>
      <c r="B199" s="2" t="s">
        <v>103</v>
      </c>
      <c r="C199" s="2">
        <v>2019</v>
      </c>
      <c r="D199" s="2">
        <v>60.481000000000002</v>
      </c>
      <c r="E199" s="2">
        <v>68.715999999999994</v>
      </c>
      <c r="F199" s="2" t="s">
        <v>146</v>
      </c>
      <c r="G199" s="2">
        <v>0.222</v>
      </c>
      <c r="H199" s="2" t="s">
        <v>146</v>
      </c>
      <c r="I199" s="2" t="s">
        <v>146</v>
      </c>
      <c r="J199" s="2" t="s">
        <v>146</v>
      </c>
      <c r="K199" s="2" t="s">
        <v>146</v>
      </c>
      <c r="L199" s="2" t="s">
        <v>146</v>
      </c>
      <c r="M199" s="2" t="s">
        <v>49</v>
      </c>
      <c r="N199" s="2" t="s">
        <v>146</v>
      </c>
      <c r="O199" s="2" t="s">
        <v>146</v>
      </c>
      <c r="P199" s="2" t="s">
        <v>146</v>
      </c>
      <c r="Q199" s="2">
        <v>56.718000000000004</v>
      </c>
      <c r="R199" s="2" t="s">
        <v>146</v>
      </c>
      <c r="S199" s="2" t="s">
        <v>146</v>
      </c>
      <c r="T199" s="2" t="s">
        <v>146</v>
      </c>
      <c r="U199" s="2" t="s">
        <v>146</v>
      </c>
      <c r="V199" s="2">
        <v>11.776</v>
      </c>
      <c r="W199" s="2" t="s">
        <v>146</v>
      </c>
      <c r="X199" s="2" t="s">
        <v>146</v>
      </c>
      <c r="Y199" s="2" t="s">
        <v>146</v>
      </c>
      <c r="Z199" s="2" t="s">
        <v>146</v>
      </c>
      <c r="AA199" s="2" t="s">
        <v>146</v>
      </c>
      <c r="AB199" s="2" t="s">
        <v>146</v>
      </c>
      <c r="AC199" s="2" t="s">
        <v>146</v>
      </c>
      <c r="AD199" s="2" t="s">
        <v>146</v>
      </c>
      <c r="AE199" s="2" t="s">
        <v>146</v>
      </c>
      <c r="AF199" s="2" t="s">
        <v>146</v>
      </c>
      <c r="AG199" s="2" t="s">
        <v>146</v>
      </c>
      <c r="AH199" s="2" t="s">
        <v>146</v>
      </c>
      <c r="AI199" s="2" t="s">
        <v>146</v>
      </c>
      <c r="AJ199" s="2" t="s">
        <v>146</v>
      </c>
      <c r="AK199" s="2" t="s">
        <v>146</v>
      </c>
      <c r="AL199" s="2" t="s">
        <v>146</v>
      </c>
      <c r="AM199" s="2" t="s">
        <v>146</v>
      </c>
      <c r="AN199" s="2" t="s">
        <v>49</v>
      </c>
      <c r="AO199" s="2" t="s">
        <v>146</v>
      </c>
      <c r="AP199" s="2" t="s">
        <v>146</v>
      </c>
      <c r="AQ199" s="2" t="s">
        <v>146</v>
      </c>
      <c r="AR199" s="2" t="s">
        <v>146</v>
      </c>
      <c r="AV199" s="2">
        <f t="shared" si="30"/>
        <v>68.716000000000008</v>
      </c>
      <c r="AW199" s="2">
        <f t="shared" si="31"/>
        <v>60.481000000000002</v>
      </c>
      <c r="AX199" s="27">
        <f t="shared" si="32"/>
        <v>0.88015891495430454</v>
      </c>
      <c r="BA199" s="2">
        <f t="shared" si="33"/>
        <v>0</v>
      </c>
      <c r="BB199" s="2">
        <f t="shared" si="34"/>
        <v>0</v>
      </c>
      <c r="BC199" s="2">
        <f t="shared" si="35"/>
        <v>0</v>
      </c>
      <c r="BD199" s="2">
        <f t="shared" si="36"/>
        <v>0</v>
      </c>
      <c r="BE199" s="2">
        <f t="shared" si="37"/>
        <v>0</v>
      </c>
      <c r="BF199" s="2">
        <f t="shared" si="38"/>
        <v>0</v>
      </c>
      <c r="BJ199" s="2" t="str">
        <f t="shared" si="39"/>
        <v/>
      </c>
    </row>
    <row r="200" spans="1:62" ht="15" customHeight="1" x14ac:dyDescent="0.45">
      <c r="A200" s="2" t="s">
        <v>418</v>
      </c>
      <c r="B200" s="2" t="s">
        <v>105</v>
      </c>
      <c r="C200" s="2">
        <v>2019</v>
      </c>
      <c r="D200" s="2">
        <v>13.933</v>
      </c>
      <c r="E200" s="2">
        <v>14.326000000000001</v>
      </c>
      <c r="F200" s="2" t="s">
        <v>146</v>
      </c>
      <c r="G200" s="2">
        <v>2.5999999999999999E-2</v>
      </c>
      <c r="H200" s="2" t="s">
        <v>146</v>
      </c>
      <c r="I200" s="2" t="s">
        <v>146</v>
      </c>
      <c r="J200" s="2" t="s">
        <v>146</v>
      </c>
      <c r="K200" s="2" t="s">
        <v>146</v>
      </c>
      <c r="L200" s="2" t="s">
        <v>146</v>
      </c>
      <c r="M200" s="2" t="s">
        <v>49</v>
      </c>
      <c r="N200" s="2" t="s">
        <v>146</v>
      </c>
      <c r="O200" s="2" t="s">
        <v>146</v>
      </c>
      <c r="P200" s="2">
        <v>2.2109999999999999</v>
      </c>
      <c r="Q200" s="2" t="s">
        <v>146</v>
      </c>
      <c r="R200" s="2" t="s">
        <v>146</v>
      </c>
      <c r="S200" s="2" t="s">
        <v>146</v>
      </c>
      <c r="T200" s="2" t="s">
        <v>146</v>
      </c>
      <c r="U200" s="2" t="s">
        <v>146</v>
      </c>
      <c r="V200" s="2">
        <v>12.089</v>
      </c>
      <c r="W200" s="2" t="s">
        <v>146</v>
      </c>
      <c r="X200" s="2" t="s">
        <v>146</v>
      </c>
      <c r="Y200" s="2" t="s">
        <v>146</v>
      </c>
      <c r="Z200" s="2" t="s">
        <v>146</v>
      </c>
      <c r="AA200" s="2" t="s">
        <v>146</v>
      </c>
      <c r="AB200" s="2" t="s">
        <v>146</v>
      </c>
      <c r="AC200" s="2" t="s">
        <v>146</v>
      </c>
      <c r="AD200" s="2" t="s">
        <v>146</v>
      </c>
      <c r="AE200" s="2" t="s">
        <v>146</v>
      </c>
      <c r="AF200" s="2" t="s">
        <v>146</v>
      </c>
      <c r="AG200" s="2" t="s">
        <v>146</v>
      </c>
      <c r="AH200" s="2" t="s">
        <v>146</v>
      </c>
      <c r="AI200" s="2" t="s">
        <v>146</v>
      </c>
      <c r="AJ200" s="2" t="s">
        <v>146</v>
      </c>
      <c r="AK200" s="2" t="s">
        <v>146</v>
      </c>
      <c r="AL200" s="2" t="s">
        <v>146</v>
      </c>
      <c r="AM200" s="2" t="s">
        <v>146</v>
      </c>
      <c r="AN200" s="2" t="s">
        <v>49</v>
      </c>
      <c r="AO200" s="2" t="s">
        <v>146</v>
      </c>
      <c r="AP200" s="2" t="s">
        <v>146</v>
      </c>
      <c r="AQ200" s="2" t="s">
        <v>146</v>
      </c>
      <c r="AR200" s="2" t="s">
        <v>146</v>
      </c>
      <c r="AV200" s="2">
        <f t="shared" si="30"/>
        <v>14.326000000000001</v>
      </c>
      <c r="AW200" s="2">
        <f t="shared" si="31"/>
        <v>13.933</v>
      </c>
      <c r="AX200" s="27">
        <f t="shared" si="32"/>
        <v>0.97256736004467392</v>
      </c>
      <c r="BA200" s="2">
        <f t="shared" si="33"/>
        <v>0</v>
      </c>
      <c r="BB200" s="2">
        <f t="shared" si="34"/>
        <v>0</v>
      </c>
      <c r="BC200" s="2">
        <f t="shared" si="35"/>
        <v>0</v>
      </c>
      <c r="BD200" s="2">
        <f t="shared" si="36"/>
        <v>0</v>
      </c>
      <c r="BE200" s="2">
        <f t="shared" si="37"/>
        <v>0</v>
      </c>
      <c r="BF200" s="2">
        <f t="shared" si="38"/>
        <v>0</v>
      </c>
      <c r="BJ200" s="2" t="str">
        <f t="shared" si="39"/>
        <v/>
      </c>
    </row>
    <row r="201" spans="1:62" ht="15" customHeight="1" x14ac:dyDescent="0.45">
      <c r="A201" s="2" t="s">
        <v>418</v>
      </c>
      <c r="B201" s="2" t="s">
        <v>1183</v>
      </c>
      <c r="C201" s="2">
        <v>2019</v>
      </c>
      <c r="D201" s="2">
        <v>4.2009999999999996</v>
      </c>
      <c r="E201" s="2">
        <v>4.7240000000000002</v>
      </c>
      <c r="F201" s="2" t="s">
        <v>146</v>
      </c>
      <c r="G201" s="2">
        <v>0.19800000000000001</v>
      </c>
      <c r="H201" s="2" t="s">
        <v>146</v>
      </c>
      <c r="I201" s="2" t="s">
        <v>146</v>
      </c>
      <c r="J201" s="2" t="s">
        <v>146</v>
      </c>
      <c r="K201" s="2" t="s">
        <v>146</v>
      </c>
      <c r="L201" s="2" t="s">
        <v>146</v>
      </c>
      <c r="M201" s="2" t="s">
        <v>49</v>
      </c>
      <c r="N201" s="2" t="s">
        <v>146</v>
      </c>
      <c r="O201" s="2" t="s">
        <v>146</v>
      </c>
      <c r="P201" s="2" t="s">
        <v>146</v>
      </c>
      <c r="Q201" s="2" t="s">
        <v>146</v>
      </c>
      <c r="R201" s="2" t="s">
        <v>146</v>
      </c>
      <c r="S201" s="2" t="s">
        <v>146</v>
      </c>
      <c r="T201" s="2" t="s">
        <v>146</v>
      </c>
      <c r="U201" s="2">
        <v>4.5259999999999998</v>
      </c>
      <c r="V201" s="2" t="s">
        <v>146</v>
      </c>
      <c r="W201" s="2" t="s">
        <v>146</v>
      </c>
      <c r="X201" s="2" t="s">
        <v>146</v>
      </c>
      <c r="Y201" s="2" t="s">
        <v>146</v>
      </c>
      <c r="Z201" s="2" t="s">
        <v>146</v>
      </c>
      <c r="AA201" s="2" t="s">
        <v>146</v>
      </c>
      <c r="AB201" s="2" t="s">
        <v>146</v>
      </c>
      <c r="AC201" s="2" t="s">
        <v>146</v>
      </c>
      <c r="AD201" s="2" t="s">
        <v>146</v>
      </c>
      <c r="AE201" s="2" t="s">
        <v>146</v>
      </c>
      <c r="AF201" s="2" t="s">
        <v>146</v>
      </c>
      <c r="AG201" s="2" t="s">
        <v>146</v>
      </c>
      <c r="AH201" s="2" t="s">
        <v>146</v>
      </c>
      <c r="AI201" s="2" t="s">
        <v>146</v>
      </c>
      <c r="AJ201" s="2" t="s">
        <v>146</v>
      </c>
      <c r="AK201" s="2" t="s">
        <v>146</v>
      </c>
      <c r="AL201" s="2" t="s">
        <v>146</v>
      </c>
      <c r="AM201" s="2" t="s">
        <v>146</v>
      </c>
      <c r="AN201" s="2" t="s">
        <v>49</v>
      </c>
      <c r="AO201" s="2" t="s">
        <v>146</v>
      </c>
      <c r="AP201" s="2" t="s">
        <v>146</v>
      </c>
      <c r="AQ201" s="2" t="s">
        <v>146</v>
      </c>
      <c r="AR201" s="2" t="s">
        <v>146</v>
      </c>
      <c r="AV201" s="2">
        <f t="shared" si="30"/>
        <v>4.7240000000000002</v>
      </c>
      <c r="AW201" s="2">
        <f t="shared" si="31"/>
        <v>4.2009999999999996</v>
      </c>
      <c r="AX201" s="27">
        <f t="shared" si="32"/>
        <v>0.88928873835732414</v>
      </c>
      <c r="BA201" s="2">
        <f t="shared" si="33"/>
        <v>0</v>
      </c>
      <c r="BB201" s="2">
        <f t="shared" si="34"/>
        <v>0</v>
      </c>
      <c r="BC201" s="2">
        <f t="shared" si="35"/>
        <v>0</v>
      </c>
      <c r="BD201" s="2">
        <f t="shared" si="36"/>
        <v>0</v>
      </c>
      <c r="BE201" s="2">
        <f t="shared" si="37"/>
        <v>0</v>
      </c>
      <c r="BF201" s="2">
        <f t="shared" si="38"/>
        <v>0</v>
      </c>
      <c r="BJ201" s="2" t="str">
        <f t="shared" si="39"/>
        <v/>
      </c>
    </row>
    <row r="202" spans="1:62" ht="15" customHeight="1" x14ac:dyDescent="0.45">
      <c r="A202" s="2" t="s">
        <v>418</v>
      </c>
      <c r="B202" s="2" t="s">
        <v>107</v>
      </c>
      <c r="C202" s="2">
        <v>2019</v>
      </c>
      <c r="D202" s="2">
        <v>4.4340000000000002</v>
      </c>
      <c r="E202" s="2">
        <v>4.8600000000000003</v>
      </c>
      <c r="F202" s="2" t="s">
        <v>146</v>
      </c>
      <c r="G202" s="2" t="s">
        <v>146</v>
      </c>
      <c r="H202" s="2" t="s">
        <v>146</v>
      </c>
      <c r="I202" s="2" t="s">
        <v>146</v>
      </c>
      <c r="J202" s="2" t="s">
        <v>146</v>
      </c>
      <c r="K202" s="2" t="s">
        <v>146</v>
      </c>
      <c r="L202" s="2" t="s">
        <v>146</v>
      </c>
      <c r="M202" s="2" t="s">
        <v>49</v>
      </c>
      <c r="N202" s="2" t="s">
        <v>146</v>
      </c>
      <c r="O202" s="2" t="s">
        <v>146</v>
      </c>
      <c r="P202" s="2" t="s">
        <v>146</v>
      </c>
      <c r="Q202" s="2" t="s">
        <v>146</v>
      </c>
      <c r="R202" s="2" t="s">
        <v>146</v>
      </c>
      <c r="S202" s="2" t="s">
        <v>146</v>
      </c>
      <c r="T202" s="2" t="s">
        <v>146</v>
      </c>
      <c r="U202" s="2">
        <v>4.8600000000000003</v>
      </c>
      <c r="V202" s="2" t="s">
        <v>146</v>
      </c>
      <c r="W202" s="2" t="s">
        <v>146</v>
      </c>
      <c r="X202" s="2" t="s">
        <v>146</v>
      </c>
      <c r="Y202" s="2" t="s">
        <v>146</v>
      </c>
      <c r="Z202" s="2" t="s">
        <v>146</v>
      </c>
      <c r="AA202" s="2" t="s">
        <v>146</v>
      </c>
      <c r="AB202" s="2" t="s">
        <v>146</v>
      </c>
      <c r="AC202" s="2" t="s">
        <v>146</v>
      </c>
      <c r="AD202" s="2" t="s">
        <v>146</v>
      </c>
      <c r="AE202" s="2" t="s">
        <v>146</v>
      </c>
      <c r="AF202" s="2" t="s">
        <v>146</v>
      </c>
      <c r="AG202" s="2" t="s">
        <v>146</v>
      </c>
      <c r="AH202" s="2" t="s">
        <v>146</v>
      </c>
      <c r="AI202" s="2" t="s">
        <v>146</v>
      </c>
      <c r="AJ202" s="2" t="s">
        <v>146</v>
      </c>
      <c r="AK202" s="2" t="s">
        <v>146</v>
      </c>
      <c r="AL202" s="2" t="s">
        <v>146</v>
      </c>
      <c r="AM202" s="2" t="s">
        <v>146</v>
      </c>
      <c r="AN202" s="2" t="s">
        <v>49</v>
      </c>
      <c r="AO202" s="2" t="s">
        <v>146</v>
      </c>
      <c r="AP202" s="2" t="s">
        <v>146</v>
      </c>
      <c r="AQ202" s="2" t="s">
        <v>146</v>
      </c>
      <c r="AR202" s="2" t="s">
        <v>146</v>
      </c>
      <c r="AV202" s="2">
        <f t="shared" si="30"/>
        <v>4.8600000000000003</v>
      </c>
      <c r="AW202" s="2">
        <f t="shared" si="31"/>
        <v>4.4340000000000002</v>
      </c>
      <c r="AX202" s="27">
        <f t="shared" si="32"/>
        <v>0.91234567901234565</v>
      </c>
      <c r="BA202" s="2">
        <f t="shared" si="33"/>
        <v>0</v>
      </c>
      <c r="BB202" s="2">
        <f t="shared" si="34"/>
        <v>0</v>
      </c>
      <c r="BC202" s="2">
        <f t="shared" si="35"/>
        <v>0</v>
      </c>
      <c r="BD202" s="2">
        <f t="shared" si="36"/>
        <v>0</v>
      </c>
      <c r="BE202" s="2">
        <f t="shared" si="37"/>
        <v>0</v>
      </c>
      <c r="BF202" s="2">
        <f t="shared" si="38"/>
        <v>0</v>
      </c>
      <c r="BJ202" s="2" t="str">
        <f t="shared" si="39"/>
        <v/>
      </c>
    </row>
    <row r="203" spans="1:62" ht="15" customHeight="1" x14ac:dyDescent="0.45">
      <c r="A203" s="2" t="s">
        <v>418</v>
      </c>
      <c r="B203" s="2" t="s">
        <v>420</v>
      </c>
      <c r="C203" s="2">
        <v>2019</v>
      </c>
      <c r="D203" s="2">
        <v>21.457999999999998</v>
      </c>
      <c r="E203" s="2">
        <v>34.954999999999998</v>
      </c>
      <c r="F203" s="2" t="s">
        <v>146</v>
      </c>
      <c r="G203" s="2">
        <v>0.60299999999999998</v>
      </c>
      <c r="H203" s="2" t="s">
        <v>146</v>
      </c>
      <c r="I203" s="2" t="s">
        <v>146</v>
      </c>
      <c r="J203" s="2" t="s">
        <v>146</v>
      </c>
      <c r="K203" s="2" t="s">
        <v>146</v>
      </c>
      <c r="L203" s="2" t="s">
        <v>146</v>
      </c>
      <c r="M203" s="2" t="s">
        <v>49</v>
      </c>
      <c r="N203" s="2" t="s">
        <v>146</v>
      </c>
      <c r="O203" s="2" t="s">
        <v>146</v>
      </c>
      <c r="P203" s="2">
        <v>34.351999999999997</v>
      </c>
      <c r="Q203" s="2" t="s">
        <v>146</v>
      </c>
      <c r="R203" s="2" t="s">
        <v>146</v>
      </c>
      <c r="S203" s="2" t="s">
        <v>146</v>
      </c>
      <c r="T203" s="2" t="s">
        <v>146</v>
      </c>
      <c r="U203" s="2" t="s">
        <v>146</v>
      </c>
      <c r="V203" s="2" t="s">
        <v>146</v>
      </c>
      <c r="W203" s="2" t="s">
        <v>146</v>
      </c>
      <c r="X203" s="2" t="s">
        <v>146</v>
      </c>
      <c r="Y203" s="2" t="s">
        <v>146</v>
      </c>
      <c r="Z203" s="2" t="s">
        <v>146</v>
      </c>
      <c r="AA203" s="2" t="s">
        <v>146</v>
      </c>
      <c r="AB203" s="2" t="s">
        <v>146</v>
      </c>
      <c r="AC203" s="2" t="s">
        <v>146</v>
      </c>
      <c r="AD203" s="2" t="s">
        <v>146</v>
      </c>
      <c r="AE203" s="2" t="s">
        <v>146</v>
      </c>
      <c r="AF203" s="2" t="s">
        <v>146</v>
      </c>
      <c r="AG203" s="2" t="s">
        <v>146</v>
      </c>
      <c r="AH203" s="2" t="s">
        <v>146</v>
      </c>
      <c r="AI203" s="2" t="s">
        <v>146</v>
      </c>
      <c r="AJ203" s="2" t="s">
        <v>146</v>
      </c>
      <c r="AK203" s="2" t="s">
        <v>146</v>
      </c>
      <c r="AL203" s="2" t="s">
        <v>146</v>
      </c>
      <c r="AM203" s="2" t="s">
        <v>146</v>
      </c>
      <c r="AN203" s="2" t="s">
        <v>49</v>
      </c>
      <c r="AO203" s="2" t="s">
        <v>146</v>
      </c>
      <c r="AP203" s="2" t="s">
        <v>146</v>
      </c>
      <c r="AQ203" s="2" t="s">
        <v>146</v>
      </c>
      <c r="AR203" s="2" t="s">
        <v>146</v>
      </c>
      <c r="AV203" s="2">
        <f t="shared" si="30"/>
        <v>34.954999999999998</v>
      </c>
      <c r="AW203" s="2">
        <f t="shared" si="31"/>
        <v>21.457999999999998</v>
      </c>
      <c r="AX203" s="27">
        <f t="shared" si="32"/>
        <v>0.61387498211986835</v>
      </c>
      <c r="BA203" s="2">
        <f t="shared" si="33"/>
        <v>0</v>
      </c>
      <c r="BB203" s="2">
        <f t="shared" si="34"/>
        <v>0</v>
      </c>
      <c r="BC203" s="2">
        <f t="shared" si="35"/>
        <v>0</v>
      </c>
      <c r="BD203" s="2">
        <f t="shared" si="36"/>
        <v>0</v>
      </c>
      <c r="BE203" s="2">
        <f t="shared" si="37"/>
        <v>0</v>
      </c>
      <c r="BF203" s="2">
        <f t="shared" si="38"/>
        <v>0</v>
      </c>
      <c r="BJ203" s="2" t="str">
        <f t="shared" si="39"/>
        <v/>
      </c>
    </row>
    <row r="204" spans="1:62" ht="15" customHeight="1" x14ac:dyDescent="0.45">
      <c r="A204" s="2" t="s">
        <v>418</v>
      </c>
      <c r="B204" s="2" t="s">
        <v>419</v>
      </c>
      <c r="C204" s="2">
        <v>2019</v>
      </c>
      <c r="D204" s="2">
        <v>8.1809999999999992</v>
      </c>
      <c r="E204" s="2">
        <v>11.548</v>
      </c>
      <c r="F204" s="2" t="s">
        <v>146</v>
      </c>
      <c r="G204" s="2">
        <v>0.43</v>
      </c>
      <c r="H204" s="2" t="s">
        <v>146</v>
      </c>
      <c r="I204" s="2" t="s">
        <v>146</v>
      </c>
      <c r="J204" s="2" t="s">
        <v>146</v>
      </c>
      <c r="K204" s="2" t="s">
        <v>146</v>
      </c>
      <c r="L204" s="2" t="s">
        <v>146</v>
      </c>
      <c r="M204" s="2" t="s">
        <v>49</v>
      </c>
      <c r="N204" s="2" t="s">
        <v>146</v>
      </c>
      <c r="O204" s="2" t="s">
        <v>146</v>
      </c>
      <c r="P204" s="2">
        <v>11.118</v>
      </c>
      <c r="Q204" s="2" t="s">
        <v>146</v>
      </c>
      <c r="R204" s="2" t="s">
        <v>146</v>
      </c>
      <c r="S204" s="2" t="s">
        <v>146</v>
      </c>
      <c r="T204" s="2" t="s">
        <v>146</v>
      </c>
      <c r="U204" s="2" t="s">
        <v>146</v>
      </c>
      <c r="V204" s="2" t="s">
        <v>146</v>
      </c>
      <c r="W204" s="2" t="s">
        <v>146</v>
      </c>
      <c r="X204" s="2" t="s">
        <v>146</v>
      </c>
      <c r="Y204" s="2" t="s">
        <v>146</v>
      </c>
      <c r="Z204" s="2" t="s">
        <v>146</v>
      </c>
      <c r="AA204" s="2" t="s">
        <v>146</v>
      </c>
      <c r="AB204" s="2" t="s">
        <v>146</v>
      </c>
      <c r="AC204" s="2" t="s">
        <v>146</v>
      </c>
      <c r="AD204" s="2" t="s">
        <v>146</v>
      </c>
      <c r="AE204" s="2" t="s">
        <v>146</v>
      </c>
      <c r="AF204" s="2" t="s">
        <v>146</v>
      </c>
      <c r="AG204" s="2" t="s">
        <v>146</v>
      </c>
      <c r="AH204" s="2" t="s">
        <v>146</v>
      </c>
      <c r="AI204" s="2" t="s">
        <v>146</v>
      </c>
      <c r="AJ204" s="2" t="s">
        <v>146</v>
      </c>
      <c r="AK204" s="2" t="s">
        <v>146</v>
      </c>
      <c r="AL204" s="2" t="s">
        <v>146</v>
      </c>
      <c r="AM204" s="2" t="s">
        <v>146</v>
      </c>
      <c r="AN204" s="2" t="s">
        <v>49</v>
      </c>
      <c r="AO204" s="2" t="s">
        <v>146</v>
      </c>
      <c r="AP204" s="2" t="s">
        <v>146</v>
      </c>
      <c r="AQ204" s="2" t="s">
        <v>146</v>
      </c>
      <c r="AR204" s="2" t="s">
        <v>146</v>
      </c>
      <c r="AV204" s="2">
        <f t="shared" si="30"/>
        <v>11.548</v>
      </c>
      <c r="AW204" s="2">
        <f t="shared" si="31"/>
        <v>8.1809999999999992</v>
      </c>
      <c r="AX204" s="27">
        <f t="shared" si="32"/>
        <v>0.70843436092829914</v>
      </c>
      <c r="BA204" s="2">
        <f t="shared" si="33"/>
        <v>0</v>
      </c>
      <c r="BB204" s="2">
        <f t="shared" si="34"/>
        <v>0</v>
      </c>
      <c r="BC204" s="2">
        <f t="shared" si="35"/>
        <v>0</v>
      </c>
      <c r="BD204" s="2">
        <f t="shared" si="36"/>
        <v>0</v>
      </c>
      <c r="BE204" s="2">
        <f t="shared" si="37"/>
        <v>0</v>
      </c>
      <c r="BF204" s="2">
        <f t="shared" si="38"/>
        <v>0</v>
      </c>
      <c r="BJ204" s="2" t="str">
        <f t="shared" si="39"/>
        <v/>
      </c>
    </row>
    <row r="205" spans="1:62" ht="15" customHeight="1" x14ac:dyDescent="0.45">
      <c r="A205" s="2" t="s">
        <v>418</v>
      </c>
      <c r="B205" s="2" t="s">
        <v>109</v>
      </c>
      <c r="C205" s="2">
        <v>2019</v>
      </c>
      <c r="D205" s="2">
        <v>8.2230000000000008</v>
      </c>
      <c r="E205" s="2">
        <v>9.1709999999999994</v>
      </c>
      <c r="F205" s="2" t="s">
        <v>146</v>
      </c>
      <c r="G205" s="2">
        <v>0.221</v>
      </c>
      <c r="H205" s="2" t="s">
        <v>146</v>
      </c>
      <c r="I205" s="2" t="s">
        <v>146</v>
      </c>
      <c r="J205" s="2" t="s">
        <v>146</v>
      </c>
      <c r="K205" s="2" t="s">
        <v>146</v>
      </c>
      <c r="L205" s="2" t="s">
        <v>146</v>
      </c>
      <c r="M205" s="2" t="s">
        <v>49</v>
      </c>
      <c r="N205" s="2" t="s">
        <v>146</v>
      </c>
      <c r="O205" s="2" t="s">
        <v>146</v>
      </c>
      <c r="P205" s="2" t="s">
        <v>146</v>
      </c>
      <c r="Q205" s="2" t="s">
        <v>146</v>
      </c>
      <c r="R205" s="2" t="s">
        <v>146</v>
      </c>
      <c r="S205" s="2" t="s">
        <v>146</v>
      </c>
      <c r="T205" s="2" t="s">
        <v>146</v>
      </c>
      <c r="U205" s="2">
        <v>8.843</v>
      </c>
      <c r="V205" s="2" t="s">
        <v>146</v>
      </c>
      <c r="W205" s="2" t="s">
        <v>146</v>
      </c>
      <c r="X205" s="2" t="s">
        <v>146</v>
      </c>
      <c r="Y205" s="2" t="s">
        <v>146</v>
      </c>
      <c r="Z205" s="2" t="s">
        <v>146</v>
      </c>
      <c r="AA205" s="2" t="s">
        <v>146</v>
      </c>
      <c r="AB205" s="2" t="s">
        <v>146</v>
      </c>
      <c r="AC205" s="2" t="s">
        <v>146</v>
      </c>
      <c r="AD205" s="2" t="s">
        <v>146</v>
      </c>
      <c r="AE205" s="2" t="s">
        <v>146</v>
      </c>
      <c r="AF205" s="2" t="s">
        <v>146</v>
      </c>
      <c r="AG205" s="2" t="s">
        <v>146</v>
      </c>
      <c r="AH205" s="2" t="s">
        <v>146</v>
      </c>
      <c r="AI205" s="2" t="s">
        <v>146</v>
      </c>
      <c r="AJ205" s="2" t="s">
        <v>146</v>
      </c>
      <c r="AK205" s="2" t="s">
        <v>146</v>
      </c>
      <c r="AL205" s="2">
        <v>0.107</v>
      </c>
      <c r="AM205" s="2">
        <v>0.107</v>
      </c>
      <c r="AN205" s="2" t="s">
        <v>49</v>
      </c>
      <c r="AO205" s="2" t="s">
        <v>146</v>
      </c>
      <c r="AP205" s="2" t="s">
        <v>146</v>
      </c>
      <c r="AQ205" s="2" t="s">
        <v>146</v>
      </c>
      <c r="AR205" s="2" t="s">
        <v>146</v>
      </c>
      <c r="AV205" s="2">
        <f t="shared" si="30"/>
        <v>9.1709999999999994</v>
      </c>
      <c r="AW205" s="2">
        <f t="shared" si="31"/>
        <v>8.2230000000000008</v>
      </c>
      <c r="AX205" s="27">
        <f t="shared" si="32"/>
        <v>0.89663068367680743</v>
      </c>
      <c r="BA205" s="2">
        <f t="shared" si="33"/>
        <v>0</v>
      </c>
      <c r="BB205" s="2">
        <f t="shared" si="34"/>
        <v>0</v>
      </c>
      <c r="BC205" s="2">
        <f t="shared" si="35"/>
        <v>0</v>
      </c>
      <c r="BD205" s="2">
        <f t="shared" si="36"/>
        <v>0</v>
      </c>
      <c r="BE205" s="2">
        <f t="shared" si="37"/>
        <v>0</v>
      </c>
      <c r="BF205" s="2">
        <f t="shared" si="38"/>
        <v>0</v>
      </c>
      <c r="BJ205" s="2" t="str">
        <f t="shared" si="39"/>
        <v/>
      </c>
    </row>
    <row r="206" spans="1:62" ht="15" customHeight="1" x14ac:dyDescent="0.45">
      <c r="A206" s="2" t="s">
        <v>416</v>
      </c>
      <c r="B206" s="2" t="s">
        <v>417</v>
      </c>
      <c r="C206" s="2">
        <v>2019</v>
      </c>
      <c r="D206" s="2" t="s">
        <v>146</v>
      </c>
      <c r="E206" s="2" t="s">
        <v>146</v>
      </c>
      <c r="F206" s="2" t="s">
        <v>146</v>
      </c>
      <c r="G206" s="2" t="s">
        <v>146</v>
      </c>
      <c r="H206" s="2" t="s">
        <v>146</v>
      </c>
      <c r="I206" s="2" t="s">
        <v>146</v>
      </c>
      <c r="J206" s="2" t="s">
        <v>146</v>
      </c>
      <c r="K206" s="2" t="s">
        <v>146</v>
      </c>
      <c r="L206" s="2" t="s">
        <v>146</v>
      </c>
      <c r="M206" s="2" t="s">
        <v>49</v>
      </c>
      <c r="N206" s="2" t="s">
        <v>146</v>
      </c>
      <c r="O206" s="2" t="s">
        <v>146</v>
      </c>
      <c r="P206" s="2" t="s">
        <v>146</v>
      </c>
      <c r="Q206" s="2" t="s">
        <v>146</v>
      </c>
      <c r="R206" s="2" t="s">
        <v>146</v>
      </c>
      <c r="S206" s="2" t="s">
        <v>146</v>
      </c>
      <c r="T206" s="2" t="s">
        <v>146</v>
      </c>
      <c r="U206" s="2" t="s">
        <v>146</v>
      </c>
      <c r="V206" s="2" t="s">
        <v>146</v>
      </c>
      <c r="W206" s="2" t="s">
        <v>146</v>
      </c>
      <c r="X206" s="2" t="s">
        <v>146</v>
      </c>
      <c r="Y206" s="2" t="s">
        <v>146</v>
      </c>
      <c r="Z206" s="2" t="s">
        <v>146</v>
      </c>
      <c r="AA206" s="2" t="s">
        <v>146</v>
      </c>
      <c r="AB206" s="2" t="s">
        <v>146</v>
      </c>
      <c r="AC206" s="2" t="s">
        <v>146</v>
      </c>
      <c r="AD206" s="2" t="s">
        <v>146</v>
      </c>
      <c r="AE206" s="2" t="s">
        <v>146</v>
      </c>
      <c r="AF206" s="2" t="s">
        <v>146</v>
      </c>
      <c r="AG206" s="2" t="s">
        <v>146</v>
      </c>
      <c r="AH206" s="2" t="s">
        <v>146</v>
      </c>
      <c r="AI206" s="2" t="s">
        <v>146</v>
      </c>
      <c r="AJ206" s="2" t="s">
        <v>146</v>
      </c>
      <c r="AK206" s="2" t="s">
        <v>146</v>
      </c>
      <c r="AL206" s="2" t="s">
        <v>146</v>
      </c>
      <c r="AM206" s="2" t="s">
        <v>146</v>
      </c>
      <c r="AN206" s="2" t="s">
        <v>49</v>
      </c>
      <c r="AO206" s="2" t="s">
        <v>146</v>
      </c>
      <c r="AP206" s="2" t="s">
        <v>146</v>
      </c>
      <c r="AQ206" s="2" t="s">
        <v>146</v>
      </c>
      <c r="AR206" s="2" t="s">
        <v>146</v>
      </c>
      <c r="AV206" s="2">
        <f t="shared" si="30"/>
        <v>0</v>
      </c>
      <c r="AW206" s="2">
        <f t="shared" si="31"/>
        <v>0</v>
      </c>
      <c r="AX206" s="27" t="str">
        <f t="shared" si="32"/>
        <v/>
      </c>
      <c r="BA206" s="2">
        <f t="shared" si="33"/>
        <v>0</v>
      </c>
      <c r="BB206" s="2">
        <f t="shared" si="34"/>
        <v>0</v>
      </c>
      <c r="BC206" s="2">
        <f t="shared" si="35"/>
        <v>0</v>
      </c>
      <c r="BD206" s="2">
        <f t="shared" si="36"/>
        <v>0</v>
      </c>
      <c r="BE206" s="2">
        <f t="shared" si="37"/>
        <v>0</v>
      </c>
      <c r="BF206" s="2">
        <f t="shared" si="38"/>
        <v>0</v>
      </c>
      <c r="BJ206" s="2" t="str">
        <f t="shared" si="39"/>
        <v/>
      </c>
    </row>
    <row r="207" spans="1:62" ht="15" customHeight="1" x14ac:dyDescent="0.45">
      <c r="A207" s="2" t="s">
        <v>416</v>
      </c>
      <c r="B207" s="2" t="s">
        <v>415</v>
      </c>
      <c r="C207" s="2">
        <v>2019</v>
      </c>
      <c r="D207" s="2">
        <v>53.156999999999996</v>
      </c>
      <c r="E207" s="2">
        <v>60.597000000000001</v>
      </c>
      <c r="F207" s="2" t="s">
        <v>146</v>
      </c>
      <c r="G207" s="2">
        <v>0.375</v>
      </c>
      <c r="H207" s="2" t="s">
        <v>146</v>
      </c>
      <c r="I207" s="2" t="s">
        <v>146</v>
      </c>
      <c r="J207" s="2" t="s">
        <v>146</v>
      </c>
      <c r="K207" s="2" t="s">
        <v>146</v>
      </c>
      <c r="L207" s="2" t="s">
        <v>146</v>
      </c>
      <c r="M207" s="2" t="s">
        <v>176</v>
      </c>
      <c r="N207" s="2">
        <v>60.152000000000001</v>
      </c>
      <c r="O207" s="2" t="s">
        <v>146</v>
      </c>
      <c r="P207" s="2" t="s">
        <v>146</v>
      </c>
      <c r="Q207" s="2" t="s">
        <v>146</v>
      </c>
      <c r="R207" s="2" t="s">
        <v>146</v>
      </c>
      <c r="S207" s="2" t="s">
        <v>146</v>
      </c>
      <c r="T207" s="2" t="s">
        <v>147</v>
      </c>
      <c r="U207" s="2">
        <v>7.0000000000000007E-2</v>
      </c>
      <c r="V207" s="2" t="s">
        <v>146</v>
      </c>
      <c r="W207" s="2" t="s">
        <v>146</v>
      </c>
      <c r="X207" s="2" t="s">
        <v>146</v>
      </c>
      <c r="Y207" s="2" t="s">
        <v>146</v>
      </c>
      <c r="Z207" s="2" t="s">
        <v>146</v>
      </c>
      <c r="AA207" s="2" t="s">
        <v>146</v>
      </c>
      <c r="AB207" s="2" t="s">
        <v>146</v>
      </c>
      <c r="AC207" s="2" t="s">
        <v>146</v>
      </c>
      <c r="AD207" s="2" t="s">
        <v>146</v>
      </c>
      <c r="AE207" s="2" t="s">
        <v>146</v>
      </c>
      <c r="AF207" s="2" t="s">
        <v>146</v>
      </c>
      <c r="AG207" s="2" t="s">
        <v>146</v>
      </c>
      <c r="AH207" s="2" t="s">
        <v>146</v>
      </c>
      <c r="AI207" s="2" t="s">
        <v>146</v>
      </c>
      <c r="AJ207" s="2" t="s">
        <v>146</v>
      </c>
      <c r="AK207" s="2" t="s">
        <v>146</v>
      </c>
      <c r="AL207" s="2" t="s">
        <v>146</v>
      </c>
      <c r="AM207" s="2" t="s">
        <v>146</v>
      </c>
      <c r="AN207" s="2" t="s">
        <v>49</v>
      </c>
      <c r="AO207" s="2">
        <v>100</v>
      </c>
      <c r="AP207" s="2">
        <v>0</v>
      </c>
      <c r="AQ207" s="2">
        <v>0</v>
      </c>
      <c r="AR207" s="2">
        <v>0</v>
      </c>
      <c r="AV207" s="2">
        <f t="shared" si="30"/>
        <v>60.597000000000001</v>
      </c>
      <c r="AW207" s="2">
        <f t="shared" si="31"/>
        <v>53.156999999999996</v>
      </c>
      <c r="AX207" s="27">
        <f t="shared" si="32"/>
        <v>0.87722164463587293</v>
      </c>
      <c r="BA207" s="2">
        <f t="shared" si="33"/>
        <v>0</v>
      </c>
      <c r="BB207" s="2">
        <f t="shared" si="34"/>
        <v>0</v>
      </c>
      <c r="BC207" s="2">
        <f t="shared" si="35"/>
        <v>0</v>
      </c>
      <c r="BD207" s="2">
        <f t="shared" si="36"/>
        <v>0</v>
      </c>
      <c r="BE207" s="2">
        <f t="shared" si="37"/>
        <v>0</v>
      </c>
      <c r="BF207" s="2">
        <f t="shared" si="38"/>
        <v>0</v>
      </c>
      <c r="BJ207" s="2" t="str">
        <f t="shared" si="39"/>
        <v>ja</v>
      </c>
    </row>
    <row r="208" spans="1:62" ht="15" customHeight="1" x14ac:dyDescent="0.45">
      <c r="A208" s="2" t="s">
        <v>413</v>
      </c>
      <c r="B208" s="2" t="s">
        <v>414</v>
      </c>
      <c r="C208" s="2">
        <v>2019</v>
      </c>
      <c r="D208" s="2">
        <v>4.9000000000000004</v>
      </c>
      <c r="E208" s="2">
        <v>5.56</v>
      </c>
      <c r="F208" s="2" t="s">
        <v>146</v>
      </c>
      <c r="G208" s="2">
        <v>0.16</v>
      </c>
      <c r="H208" s="2" t="s">
        <v>146</v>
      </c>
      <c r="I208" s="2" t="s">
        <v>146</v>
      </c>
      <c r="J208" s="2" t="s">
        <v>146</v>
      </c>
      <c r="K208" s="2" t="s">
        <v>146</v>
      </c>
      <c r="L208" s="2" t="s">
        <v>146</v>
      </c>
      <c r="M208" s="2" t="s">
        <v>176</v>
      </c>
      <c r="N208" s="2">
        <v>3</v>
      </c>
      <c r="O208" s="2" t="s">
        <v>146</v>
      </c>
      <c r="P208" s="2">
        <v>2.4</v>
      </c>
      <c r="Q208" s="2" t="s">
        <v>146</v>
      </c>
      <c r="R208" s="2" t="s">
        <v>146</v>
      </c>
      <c r="S208" s="2" t="s">
        <v>146</v>
      </c>
      <c r="T208" s="2" t="s">
        <v>146</v>
      </c>
      <c r="U208" s="2" t="s">
        <v>146</v>
      </c>
      <c r="V208" s="2" t="s">
        <v>146</v>
      </c>
      <c r="W208" s="2" t="s">
        <v>146</v>
      </c>
      <c r="X208" s="2" t="s">
        <v>146</v>
      </c>
      <c r="Y208" s="2" t="s">
        <v>146</v>
      </c>
      <c r="Z208" s="2" t="s">
        <v>146</v>
      </c>
      <c r="AA208" s="2" t="s">
        <v>146</v>
      </c>
      <c r="AB208" s="2" t="s">
        <v>146</v>
      </c>
      <c r="AC208" s="2" t="s">
        <v>146</v>
      </c>
      <c r="AD208" s="2" t="s">
        <v>146</v>
      </c>
      <c r="AE208" s="2" t="s">
        <v>146</v>
      </c>
      <c r="AF208" s="2" t="s">
        <v>146</v>
      </c>
      <c r="AG208" s="2" t="s">
        <v>146</v>
      </c>
      <c r="AH208" s="2" t="s">
        <v>146</v>
      </c>
      <c r="AI208" s="2" t="s">
        <v>146</v>
      </c>
      <c r="AJ208" s="2" t="s">
        <v>146</v>
      </c>
      <c r="AK208" s="2" t="s">
        <v>146</v>
      </c>
      <c r="AL208" s="2" t="s">
        <v>146</v>
      </c>
      <c r="AM208" s="2" t="s">
        <v>146</v>
      </c>
      <c r="AN208" s="2" t="s">
        <v>49</v>
      </c>
      <c r="AO208" s="2" t="s">
        <v>146</v>
      </c>
      <c r="AP208" s="2" t="s">
        <v>146</v>
      </c>
      <c r="AQ208" s="2" t="s">
        <v>146</v>
      </c>
      <c r="AR208" s="2" t="s">
        <v>146</v>
      </c>
      <c r="AV208" s="2">
        <f t="shared" si="30"/>
        <v>5.5600000000000005</v>
      </c>
      <c r="AW208" s="2">
        <f t="shared" si="31"/>
        <v>4.9000000000000004</v>
      </c>
      <c r="AX208" s="27">
        <f t="shared" si="32"/>
        <v>0.88129496402877694</v>
      </c>
      <c r="BA208" s="2">
        <f t="shared" si="33"/>
        <v>0</v>
      </c>
      <c r="BB208" s="2">
        <f t="shared" si="34"/>
        <v>0</v>
      </c>
      <c r="BC208" s="2">
        <f t="shared" si="35"/>
        <v>0</v>
      </c>
      <c r="BD208" s="2">
        <f t="shared" si="36"/>
        <v>0</v>
      </c>
      <c r="BE208" s="2">
        <f t="shared" si="37"/>
        <v>0</v>
      </c>
      <c r="BF208" s="2">
        <f t="shared" si="38"/>
        <v>0</v>
      </c>
      <c r="BJ208" s="2" t="str">
        <f t="shared" si="39"/>
        <v/>
      </c>
    </row>
    <row r="209" spans="1:62" ht="15" customHeight="1" x14ac:dyDescent="0.45">
      <c r="A209" s="2" t="s">
        <v>413</v>
      </c>
      <c r="B209" s="2" t="s">
        <v>412</v>
      </c>
      <c r="C209" s="2">
        <v>2019</v>
      </c>
      <c r="D209" s="2">
        <v>36.6</v>
      </c>
      <c r="E209" s="2">
        <v>58.5</v>
      </c>
      <c r="F209" s="2" t="s">
        <v>146</v>
      </c>
      <c r="G209" s="2">
        <v>2</v>
      </c>
      <c r="H209" s="2" t="s">
        <v>146</v>
      </c>
      <c r="I209" s="2" t="s">
        <v>146</v>
      </c>
      <c r="J209" s="2" t="s">
        <v>146</v>
      </c>
      <c r="K209" s="2" t="s">
        <v>146</v>
      </c>
      <c r="L209" s="2" t="s">
        <v>146</v>
      </c>
      <c r="M209" s="2" t="s">
        <v>176</v>
      </c>
      <c r="N209" s="2">
        <v>9.8000000000000007</v>
      </c>
      <c r="O209" s="2">
        <v>8.8000000000000007</v>
      </c>
      <c r="P209" s="2">
        <v>33.6</v>
      </c>
      <c r="Q209" s="2" t="s">
        <v>146</v>
      </c>
      <c r="R209" s="2" t="s">
        <v>146</v>
      </c>
      <c r="S209" s="2" t="s">
        <v>146</v>
      </c>
      <c r="T209" s="2" t="s">
        <v>147</v>
      </c>
      <c r="U209" s="2" t="s">
        <v>146</v>
      </c>
      <c r="V209" s="2" t="s">
        <v>146</v>
      </c>
      <c r="W209" s="2" t="s">
        <v>146</v>
      </c>
      <c r="X209" s="2" t="s">
        <v>146</v>
      </c>
      <c r="Y209" s="2" t="s">
        <v>146</v>
      </c>
      <c r="Z209" s="2" t="s">
        <v>146</v>
      </c>
      <c r="AA209" s="2" t="s">
        <v>146</v>
      </c>
      <c r="AB209" s="2" t="s">
        <v>146</v>
      </c>
      <c r="AC209" s="2" t="s">
        <v>146</v>
      </c>
      <c r="AD209" s="2" t="s">
        <v>146</v>
      </c>
      <c r="AE209" s="2" t="s">
        <v>146</v>
      </c>
      <c r="AF209" s="2" t="s">
        <v>146</v>
      </c>
      <c r="AG209" s="2">
        <v>0.5</v>
      </c>
      <c r="AH209" s="2">
        <v>3.8</v>
      </c>
      <c r="AI209" s="2" t="s">
        <v>146</v>
      </c>
      <c r="AJ209" s="2" t="s">
        <v>146</v>
      </c>
      <c r="AK209" s="2" t="s">
        <v>146</v>
      </c>
      <c r="AL209" s="2" t="s">
        <v>146</v>
      </c>
      <c r="AM209" s="2" t="s">
        <v>146</v>
      </c>
      <c r="AN209" s="2" t="s">
        <v>176</v>
      </c>
      <c r="AO209" s="2">
        <v>100</v>
      </c>
      <c r="AP209" s="2" t="s">
        <v>146</v>
      </c>
      <c r="AQ209" s="2" t="s">
        <v>146</v>
      </c>
      <c r="AR209" s="2" t="s">
        <v>146</v>
      </c>
      <c r="AV209" s="2">
        <f t="shared" si="30"/>
        <v>58.5</v>
      </c>
      <c r="AW209" s="2">
        <f t="shared" si="31"/>
        <v>36.6</v>
      </c>
      <c r="AX209" s="27">
        <f t="shared" si="32"/>
        <v>0.62564102564102564</v>
      </c>
      <c r="BA209" s="2">
        <f t="shared" si="33"/>
        <v>3.8</v>
      </c>
      <c r="BB209" s="2">
        <f t="shared" si="34"/>
        <v>3.8</v>
      </c>
      <c r="BC209" s="2">
        <f t="shared" si="35"/>
        <v>0</v>
      </c>
      <c r="BD209" s="2">
        <f t="shared" si="36"/>
        <v>0</v>
      </c>
      <c r="BE209" s="2">
        <f t="shared" si="37"/>
        <v>0</v>
      </c>
      <c r="BF209" s="2">
        <f t="shared" si="38"/>
        <v>0</v>
      </c>
      <c r="BJ209" s="2" t="str">
        <f t="shared" si="39"/>
        <v/>
      </c>
    </row>
    <row r="210" spans="1:62" ht="15" customHeight="1" x14ac:dyDescent="0.45">
      <c r="A210" s="2" t="s">
        <v>411</v>
      </c>
      <c r="B210" s="2" t="s">
        <v>410</v>
      </c>
      <c r="C210" s="2">
        <v>2019</v>
      </c>
      <c r="D210" s="2">
        <v>15.6</v>
      </c>
      <c r="E210" s="2">
        <v>17.600000000000001</v>
      </c>
      <c r="F210" s="2">
        <v>0</v>
      </c>
      <c r="G210" s="2">
        <v>1.3</v>
      </c>
      <c r="H210" s="2">
        <v>0</v>
      </c>
      <c r="I210" s="2">
        <v>0</v>
      </c>
      <c r="J210" s="2">
        <v>0</v>
      </c>
      <c r="K210" s="2">
        <v>0</v>
      </c>
      <c r="L210" s="2">
        <v>0</v>
      </c>
      <c r="M210" s="2" t="s">
        <v>49</v>
      </c>
      <c r="N210" s="2">
        <v>0</v>
      </c>
      <c r="O210" s="2">
        <v>0</v>
      </c>
      <c r="P210" s="2">
        <v>15.8</v>
      </c>
      <c r="Q210" s="2">
        <v>0</v>
      </c>
      <c r="R210" s="2">
        <v>0</v>
      </c>
      <c r="S210" s="2">
        <v>0</v>
      </c>
      <c r="T210" s="2" t="s">
        <v>146</v>
      </c>
      <c r="U210" s="2">
        <v>0.5</v>
      </c>
      <c r="V210" s="2">
        <v>0</v>
      </c>
      <c r="W210" s="2">
        <v>0</v>
      </c>
      <c r="X210" s="2">
        <v>0</v>
      </c>
      <c r="Y210" s="2">
        <v>0</v>
      </c>
      <c r="Z210" s="2">
        <v>0</v>
      </c>
      <c r="AA210" s="2">
        <v>0</v>
      </c>
      <c r="AB210" s="2">
        <v>0</v>
      </c>
      <c r="AC210" s="2">
        <v>0</v>
      </c>
      <c r="AD210" s="2">
        <v>0</v>
      </c>
      <c r="AE210" s="2" t="s">
        <v>146</v>
      </c>
      <c r="AF210" s="2" t="s">
        <v>146</v>
      </c>
      <c r="AG210" s="2">
        <v>0</v>
      </c>
      <c r="AH210" s="2">
        <v>0</v>
      </c>
      <c r="AI210" s="2">
        <v>0</v>
      </c>
      <c r="AJ210" s="2" t="s">
        <v>146</v>
      </c>
      <c r="AK210" s="2">
        <v>0</v>
      </c>
      <c r="AL210" s="2">
        <v>0</v>
      </c>
      <c r="AM210" s="2">
        <v>0</v>
      </c>
      <c r="AN210" s="2" t="s">
        <v>49</v>
      </c>
      <c r="AO210" s="2" t="s">
        <v>146</v>
      </c>
      <c r="AP210" s="2" t="s">
        <v>146</v>
      </c>
      <c r="AQ210" s="2" t="s">
        <v>146</v>
      </c>
      <c r="AR210" s="2" t="s">
        <v>146</v>
      </c>
      <c r="AV210" s="2">
        <f t="shared" si="30"/>
        <v>17.600000000000001</v>
      </c>
      <c r="AW210" s="2">
        <f t="shared" si="31"/>
        <v>15.6</v>
      </c>
      <c r="AX210" s="27">
        <f t="shared" si="32"/>
        <v>0.88636363636363624</v>
      </c>
      <c r="BA210" s="2">
        <f t="shared" si="33"/>
        <v>0</v>
      </c>
      <c r="BB210" s="2">
        <f t="shared" si="34"/>
        <v>0</v>
      </c>
      <c r="BC210" s="2">
        <f t="shared" si="35"/>
        <v>0</v>
      </c>
      <c r="BD210" s="2">
        <f t="shared" si="36"/>
        <v>0</v>
      </c>
      <c r="BE210" s="2">
        <f t="shared" si="37"/>
        <v>0</v>
      </c>
      <c r="BF210" s="2">
        <f t="shared" si="38"/>
        <v>0</v>
      </c>
      <c r="BJ210" s="2" t="str">
        <f t="shared" si="39"/>
        <v/>
      </c>
    </row>
    <row r="211" spans="1:62" ht="15" customHeight="1" x14ac:dyDescent="0.45">
      <c r="A211" s="2" t="s">
        <v>111</v>
      </c>
      <c r="B211" s="2" t="s">
        <v>409</v>
      </c>
      <c r="C211" s="2">
        <v>2019</v>
      </c>
      <c r="D211" s="2">
        <v>533.82000000000005</v>
      </c>
      <c r="E211" s="2">
        <v>540.45299999999997</v>
      </c>
      <c r="F211" s="2" t="s">
        <v>146</v>
      </c>
      <c r="G211" s="2">
        <v>0.45300000000000001</v>
      </c>
      <c r="H211" s="2" t="s">
        <v>146</v>
      </c>
      <c r="I211" s="2">
        <v>1.5049999999999999</v>
      </c>
      <c r="J211" s="2" t="s">
        <v>146</v>
      </c>
      <c r="K211" s="2" t="s">
        <v>146</v>
      </c>
      <c r="L211" s="2">
        <v>0</v>
      </c>
      <c r="M211" s="2" t="s">
        <v>49</v>
      </c>
      <c r="N211" s="2" t="s">
        <v>146</v>
      </c>
      <c r="O211" s="2" t="s">
        <v>146</v>
      </c>
      <c r="P211" s="2" t="s">
        <v>146</v>
      </c>
      <c r="Q211" s="2" t="s">
        <v>146</v>
      </c>
      <c r="R211" s="2" t="s">
        <v>146</v>
      </c>
      <c r="S211" s="2" t="s">
        <v>146</v>
      </c>
      <c r="T211" s="2" t="s">
        <v>146</v>
      </c>
      <c r="U211" s="2" t="s">
        <v>146</v>
      </c>
      <c r="V211" s="2" t="s">
        <v>146</v>
      </c>
      <c r="W211" s="2">
        <v>159.28299999999999</v>
      </c>
      <c r="X211" s="2" t="s">
        <v>146</v>
      </c>
      <c r="Y211" s="2">
        <v>1.964</v>
      </c>
      <c r="Z211" s="2">
        <v>1.589</v>
      </c>
      <c r="AA211" s="2" t="s">
        <v>146</v>
      </c>
      <c r="AB211" s="2" t="s">
        <v>146</v>
      </c>
      <c r="AC211" s="2" t="s">
        <v>146</v>
      </c>
      <c r="AD211" s="2" t="s">
        <v>146</v>
      </c>
      <c r="AE211" s="2" t="s">
        <v>146</v>
      </c>
      <c r="AF211" s="2" t="s">
        <v>146</v>
      </c>
      <c r="AG211" s="2" t="s">
        <v>146</v>
      </c>
      <c r="AH211" s="2" t="s">
        <v>146</v>
      </c>
      <c r="AI211" s="2">
        <v>375.65899999999999</v>
      </c>
      <c r="AJ211" s="2" t="s">
        <v>165</v>
      </c>
      <c r="AK211" s="2">
        <v>125.33</v>
      </c>
      <c r="AL211" s="2" t="s">
        <v>146</v>
      </c>
      <c r="AM211" s="2" t="s">
        <v>146</v>
      </c>
      <c r="AN211" s="2" t="s">
        <v>49</v>
      </c>
      <c r="AO211" s="2" t="s">
        <v>146</v>
      </c>
      <c r="AP211" s="2" t="s">
        <v>146</v>
      </c>
      <c r="AQ211" s="2" t="s">
        <v>146</v>
      </c>
      <c r="AR211" s="2" t="s">
        <v>146</v>
      </c>
      <c r="AV211" s="2">
        <f t="shared" si="30"/>
        <v>540.45299999999997</v>
      </c>
      <c r="AW211" s="2">
        <f t="shared" si="31"/>
        <v>533.82000000000005</v>
      </c>
      <c r="AX211" s="27">
        <f t="shared" si="32"/>
        <v>0.98772696238155788</v>
      </c>
      <c r="BA211" s="2">
        <f t="shared" si="33"/>
        <v>0</v>
      </c>
      <c r="BB211" s="2">
        <f t="shared" si="34"/>
        <v>0</v>
      </c>
      <c r="BC211" s="2">
        <f t="shared" si="35"/>
        <v>0</v>
      </c>
      <c r="BD211" s="2">
        <f t="shared" si="36"/>
        <v>0</v>
      </c>
      <c r="BE211" s="2">
        <f t="shared" si="37"/>
        <v>0</v>
      </c>
      <c r="BF211" s="2">
        <f t="shared" si="38"/>
        <v>0</v>
      </c>
      <c r="BJ211" s="2" t="str">
        <f t="shared" si="39"/>
        <v/>
      </c>
    </row>
    <row r="212" spans="1:62" ht="15" customHeight="1" x14ac:dyDescent="0.45">
      <c r="A212" s="2" t="s">
        <v>406</v>
      </c>
      <c r="B212" s="2" t="s">
        <v>408</v>
      </c>
      <c r="C212" s="2">
        <v>2019</v>
      </c>
      <c r="D212" s="2">
        <v>13.002000000000001</v>
      </c>
      <c r="E212" s="2">
        <v>13.109</v>
      </c>
      <c r="F212" s="2" t="s">
        <v>146</v>
      </c>
      <c r="G212" s="2">
        <v>6.0000000000000001E-3</v>
      </c>
      <c r="H212" s="2" t="s">
        <v>146</v>
      </c>
      <c r="I212" s="2" t="s">
        <v>146</v>
      </c>
      <c r="J212" s="2" t="s">
        <v>146</v>
      </c>
      <c r="K212" s="2" t="s">
        <v>146</v>
      </c>
      <c r="L212" s="2" t="s">
        <v>146</v>
      </c>
      <c r="M212" s="2" t="s">
        <v>49</v>
      </c>
      <c r="N212" s="2" t="s">
        <v>146</v>
      </c>
      <c r="O212" s="2" t="s">
        <v>146</v>
      </c>
      <c r="P212" s="2" t="s">
        <v>146</v>
      </c>
      <c r="Q212" s="2" t="s">
        <v>146</v>
      </c>
      <c r="R212" s="2" t="s">
        <v>146</v>
      </c>
      <c r="S212" s="2" t="s">
        <v>146</v>
      </c>
      <c r="T212" s="2" t="s">
        <v>146</v>
      </c>
      <c r="U212" s="2">
        <v>13.103</v>
      </c>
      <c r="V212" s="2" t="s">
        <v>146</v>
      </c>
      <c r="W212" s="2" t="s">
        <v>146</v>
      </c>
      <c r="X212" s="2" t="s">
        <v>146</v>
      </c>
      <c r="Y212" s="2" t="s">
        <v>146</v>
      </c>
      <c r="Z212" s="2" t="s">
        <v>146</v>
      </c>
      <c r="AA212" s="2" t="s">
        <v>146</v>
      </c>
      <c r="AB212" s="2" t="s">
        <v>146</v>
      </c>
      <c r="AC212" s="2" t="s">
        <v>146</v>
      </c>
      <c r="AD212" s="2" t="s">
        <v>146</v>
      </c>
      <c r="AE212" s="2" t="s">
        <v>146</v>
      </c>
      <c r="AF212" s="2" t="s">
        <v>146</v>
      </c>
      <c r="AG212" s="2" t="s">
        <v>146</v>
      </c>
      <c r="AH212" s="2" t="s">
        <v>146</v>
      </c>
      <c r="AI212" s="2" t="s">
        <v>146</v>
      </c>
      <c r="AJ212" s="2" t="s">
        <v>146</v>
      </c>
      <c r="AK212" s="2" t="s">
        <v>146</v>
      </c>
      <c r="AL212" s="2" t="s">
        <v>146</v>
      </c>
      <c r="AM212" s="2" t="s">
        <v>146</v>
      </c>
      <c r="AN212" s="2" t="s">
        <v>49</v>
      </c>
      <c r="AO212" s="2" t="s">
        <v>146</v>
      </c>
      <c r="AP212" s="2" t="s">
        <v>146</v>
      </c>
      <c r="AQ212" s="2" t="s">
        <v>146</v>
      </c>
      <c r="AR212" s="2" t="s">
        <v>146</v>
      </c>
      <c r="AV212" s="2">
        <f t="shared" si="30"/>
        <v>13.109</v>
      </c>
      <c r="AW212" s="2">
        <f t="shared" si="31"/>
        <v>13.002000000000001</v>
      </c>
      <c r="AX212" s="27">
        <f t="shared" si="32"/>
        <v>0.99183766877717605</v>
      </c>
      <c r="BA212" s="2">
        <f t="shared" si="33"/>
        <v>0</v>
      </c>
      <c r="BB212" s="2">
        <f t="shared" si="34"/>
        <v>0</v>
      </c>
      <c r="BC212" s="2">
        <f t="shared" si="35"/>
        <v>0</v>
      </c>
      <c r="BD212" s="2">
        <f t="shared" si="36"/>
        <v>0</v>
      </c>
      <c r="BE212" s="2">
        <f t="shared" si="37"/>
        <v>0</v>
      </c>
      <c r="BF212" s="2">
        <f t="shared" si="38"/>
        <v>0</v>
      </c>
      <c r="BJ212" s="2" t="str">
        <f t="shared" si="39"/>
        <v/>
      </c>
    </row>
    <row r="213" spans="1:62" ht="15" customHeight="1" x14ac:dyDescent="0.45">
      <c r="A213" s="2" t="s">
        <v>406</v>
      </c>
      <c r="B213" s="2" t="s">
        <v>407</v>
      </c>
      <c r="C213" s="2">
        <v>2019</v>
      </c>
      <c r="D213" s="2">
        <v>36.393000000000001</v>
      </c>
      <c r="E213" s="2">
        <v>42.445999999999998</v>
      </c>
      <c r="F213" s="2" t="s">
        <v>146</v>
      </c>
      <c r="G213" s="2">
        <v>4.2000000000000003E-2</v>
      </c>
      <c r="H213" s="2" t="s">
        <v>146</v>
      </c>
      <c r="I213" s="2" t="s">
        <v>146</v>
      </c>
      <c r="J213" s="2" t="s">
        <v>146</v>
      </c>
      <c r="K213" s="2" t="s">
        <v>146</v>
      </c>
      <c r="L213" s="2" t="s">
        <v>146</v>
      </c>
      <c r="M213" s="2" t="s">
        <v>49</v>
      </c>
      <c r="N213" s="2">
        <v>36.448</v>
      </c>
      <c r="O213" s="2" t="s">
        <v>146</v>
      </c>
      <c r="P213" s="2" t="s">
        <v>146</v>
      </c>
      <c r="Q213" s="2" t="s">
        <v>146</v>
      </c>
      <c r="R213" s="2" t="s">
        <v>146</v>
      </c>
      <c r="S213" s="2" t="s">
        <v>146</v>
      </c>
      <c r="T213" s="2" t="s">
        <v>147</v>
      </c>
      <c r="U213" s="2" t="s">
        <v>146</v>
      </c>
      <c r="V213" s="2" t="s">
        <v>146</v>
      </c>
      <c r="W213" s="2" t="s">
        <v>146</v>
      </c>
      <c r="X213" s="2" t="s">
        <v>146</v>
      </c>
      <c r="Y213" s="2" t="s">
        <v>146</v>
      </c>
      <c r="Z213" s="2" t="s">
        <v>146</v>
      </c>
      <c r="AA213" s="2" t="s">
        <v>146</v>
      </c>
      <c r="AB213" s="2" t="s">
        <v>146</v>
      </c>
      <c r="AC213" s="2" t="s">
        <v>146</v>
      </c>
      <c r="AD213" s="2" t="s">
        <v>146</v>
      </c>
      <c r="AE213" s="2" t="s">
        <v>146</v>
      </c>
      <c r="AF213" s="2" t="s">
        <v>146</v>
      </c>
      <c r="AG213" s="2" t="s">
        <v>146</v>
      </c>
      <c r="AH213" s="2">
        <v>5.3129999999999997</v>
      </c>
      <c r="AI213" s="2" t="s">
        <v>146</v>
      </c>
      <c r="AJ213" s="2" t="s">
        <v>146</v>
      </c>
      <c r="AK213" s="2" t="s">
        <v>146</v>
      </c>
      <c r="AL213" s="2">
        <v>0.64300000000000002</v>
      </c>
      <c r="AM213" s="2">
        <v>0.65200000000000002</v>
      </c>
      <c r="AN213" s="2" t="s">
        <v>49</v>
      </c>
      <c r="AO213" s="2">
        <v>100</v>
      </c>
      <c r="AP213" s="2">
        <v>0</v>
      </c>
      <c r="AQ213" s="2">
        <v>0</v>
      </c>
      <c r="AR213" s="2">
        <v>0</v>
      </c>
      <c r="AV213" s="2">
        <f t="shared" si="30"/>
        <v>42.446000000000005</v>
      </c>
      <c r="AW213" s="2">
        <f t="shared" si="31"/>
        <v>36.393000000000001</v>
      </c>
      <c r="AX213" s="27">
        <f t="shared" si="32"/>
        <v>0.857395278707063</v>
      </c>
      <c r="BA213" s="2">
        <f t="shared" si="33"/>
        <v>5.3129999999999997</v>
      </c>
      <c r="BB213" s="2">
        <f t="shared" si="34"/>
        <v>5.3129999999999997</v>
      </c>
      <c r="BC213" s="2">
        <f t="shared" si="35"/>
        <v>0</v>
      </c>
      <c r="BD213" s="2">
        <f t="shared" si="36"/>
        <v>0</v>
      </c>
      <c r="BE213" s="2">
        <f t="shared" si="37"/>
        <v>0</v>
      </c>
      <c r="BF213" s="2">
        <f t="shared" si="38"/>
        <v>0</v>
      </c>
      <c r="BJ213" s="2" t="str">
        <f t="shared" si="39"/>
        <v/>
      </c>
    </row>
    <row r="214" spans="1:62" ht="15" customHeight="1" x14ac:dyDescent="0.45">
      <c r="A214" s="2" t="s">
        <v>406</v>
      </c>
      <c r="B214" s="2" t="s">
        <v>405</v>
      </c>
      <c r="C214" s="2">
        <v>2019</v>
      </c>
      <c r="D214" s="2">
        <v>22.393999999999998</v>
      </c>
      <c r="E214" s="2">
        <v>23.981000000000002</v>
      </c>
      <c r="F214" s="2" t="s">
        <v>146</v>
      </c>
      <c r="G214" s="2">
        <v>0.628</v>
      </c>
      <c r="H214" s="2" t="s">
        <v>146</v>
      </c>
      <c r="I214" s="2" t="s">
        <v>146</v>
      </c>
      <c r="J214" s="2" t="s">
        <v>146</v>
      </c>
      <c r="K214" s="2" t="s">
        <v>146</v>
      </c>
      <c r="L214" s="2" t="s">
        <v>146</v>
      </c>
      <c r="M214" s="2" t="s">
        <v>49</v>
      </c>
      <c r="N214" s="2" t="s">
        <v>146</v>
      </c>
      <c r="O214" s="2" t="s">
        <v>146</v>
      </c>
      <c r="P214" s="2">
        <v>19.079000000000001</v>
      </c>
      <c r="Q214" s="2" t="s">
        <v>146</v>
      </c>
      <c r="R214" s="2" t="s">
        <v>146</v>
      </c>
      <c r="S214" s="2" t="s">
        <v>146</v>
      </c>
      <c r="T214" s="2" t="s">
        <v>147</v>
      </c>
      <c r="U214" s="2" t="s">
        <v>146</v>
      </c>
      <c r="V214" s="2" t="s">
        <v>146</v>
      </c>
      <c r="W214" s="2" t="s">
        <v>146</v>
      </c>
      <c r="X214" s="2" t="s">
        <v>146</v>
      </c>
      <c r="Y214" s="2" t="s">
        <v>146</v>
      </c>
      <c r="Z214" s="2">
        <v>1.425</v>
      </c>
      <c r="AA214" s="2" t="s">
        <v>146</v>
      </c>
      <c r="AB214" s="2" t="s">
        <v>146</v>
      </c>
      <c r="AC214" s="2" t="s">
        <v>146</v>
      </c>
      <c r="AD214" s="2" t="s">
        <v>146</v>
      </c>
      <c r="AE214" s="2" t="s">
        <v>146</v>
      </c>
      <c r="AF214" s="2" t="s">
        <v>146</v>
      </c>
      <c r="AG214" s="2" t="s">
        <v>146</v>
      </c>
      <c r="AH214" s="2">
        <v>2.8490000000000002</v>
      </c>
      <c r="AI214" s="2" t="s">
        <v>146</v>
      </c>
      <c r="AJ214" s="2" t="s">
        <v>146</v>
      </c>
      <c r="AK214" s="2" t="s">
        <v>146</v>
      </c>
      <c r="AL214" s="2">
        <v>0</v>
      </c>
      <c r="AM214" s="2">
        <v>0</v>
      </c>
      <c r="AN214" s="2" t="s">
        <v>49</v>
      </c>
      <c r="AO214" s="2">
        <v>100</v>
      </c>
      <c r="AP214" s="2" t="s">
        <v>146</v>
      </c>
      <c r="AQ214" s="2" t="s">
        <v>146</v>
      </c>
      <c r="AR214" s="2" t="s">
        <v>146</v>
      </c>
      <c r="AV214" s="2">
        <f t="shared" si="30"/>
        <v>23.981000000000002</v>
      </c>
      <c r="AW214" s="2">
        <f t="shared" si="31"/>
        <v>22.393999999999998</v>
      </c>
      <c r="AX214" s="27">
        <f t="shared" si="32"/>
        <v>0.93382260956590624</v>
      </c>
      <c r="BA214" s="2">
        <f t="shared" si="33"/>
        <v>2.8490000000000002</v>
      </c>
      <c r="BB214" s="2">
        <f t="shared" si="34"/>
        <v>2.8490000000000002</v>
      </c>
      <c r="BC214" s="2">
        <f t="shared" si="35"/>
        <v>0</v>
      </c>
      <c r="BD214" s="2">
        <f t="shared" si="36"/>
        <v>0</v>
      </c>
      <c r="BE214" s="2">
        <f t="shared" si="37"/>
        <v>0</v>
      </c>
      <c r="BF214" s="2">
        <f t="shared" si="38"/>
        <v>0</v>
      </c>
      <c r="BJ214" s="2" t="str">
        <f t="shared" si="39"/>
        <v/>
      </c>
    </row>
    <row r="215" spans="1:62" ht="15" customHeight="1" x14ac:dyDescent="0.45">
      <c r="A215" s="2" t="s">
        <v>404</v>
      </c>
      <c r="B215" s="2" t="s">
        <v>403</v>
      </c>
      <c r="C215" s="2">
        <v>2019</v>
      </c>
      <c r="D215" s="2">
        <v>8.8000000000000007</v>
      </c>
      <c r="E215" s="2">
        <v>11.5</v>
      </c>
      <c r="F215" s="2" t="s">
        <v>146</v>
      </c>
      <c r="G215" s="2" t="s">
        <v>146</v>
      </c>
      <c r="H215" s="2" t="s">
        <v>146</v>
      </c>
      <c r="I215" s="2" t="s">
        <v>146</v>
      </c>
      <c r="J215" s="2" t="s">
        <v>146</v>
      </c>
      <c r="K215" s="2" t="s">
        <v>146</v>
      </c>
      <c r="L215" s="2" t="s">
        <v>146</v>
      </c>
      <c r="M215" s="2" t="s">
        <v>49</v>
      </c>
      <c r="N215" s="2" t="s">
        <v>146</v>
      </c>
      <c r="O215" s="2">
        <v>1.5</v>
      </c>
      <c r="P215" s="2">
        <v>8.6999999999999993</v>
      </c>
      <c r="Q215" s="2" t="s">
        <v>146</v>
      </c>
      <c r="R215" s="2" t="s">
        <v>146</v>
      </c>
      <c r="S215" s="2" t="s">
        <v>146</v>
      </c>
      <c r="T215" s="2" t="s">
        <v>146</v>
      </c>
      <c r="U215" s="2">
        <v>1.3</v>
      </c>
      <c r="V215" s="2" t="s">
        <v>146</v>
      </c>
      <c r="W215" s="2" t="s">
        <v>146</v>
      </c>
      <c r="X215" s="2" t="s">
        <v>146</v>
      </c>
      <c r="Y215" s="2" t="s">
        <v>146</v>
      </c>
      <c r="Z215" s="2" t="s">
        <v>146</v>
      </c>
      <c r="AA215" s="2" t="s">
        <v>146</v>
      </c>
      <c r="AB215" s="2" t="s">
        <v>146</v>
      </c>
      <c r="AC215" s="2" t="s">
        <v>146</v>
      </c>
      <c r="AD215" s="2" t="s">
        <v>146</v>
      </c>
      <c r="AE215" s="2" t="s">
        <v>146</v>
      </c>
      <c r="AF215" s="2" t="s">
        <v>146</v>
      </c>
      <c r="AG215" s="2" t="s">
        <v>146</v>
      </c>
      <c r="AH215" s="2" t="s">
        <v>146</v>
      </c>
      <c r="AI215" s="2" t="s">
        <v>146</v>
      </c>
      <c r="AJ215" s="2" t="s">
        <v>146</v>
      </c>
      <c r="AK215" s="2" t="s">
        <v>146</v>
      </c>
      <c r="AL215" s="2" t="s">
        <v>146</v>
      </c>
      <c r="AM215" s="2" t="s">
        <v>146</v>
      </c>
      <c r="AN215" s="2" t="s">
        <v>49</v>
      </c>
      <c r="AO215" s="2" t="s">
        <v>146</v>
      </c>
      <c r="AP215" s="2" t="s">
        <v>146</v>
      </c>
      <c r="AQ215" s="2" t="s">
        <v>146</v>
      </c>
      <c r="AR215" s="2" t="s">
        <v>146</v>
      </c>
      <c r="AV215" s="2">
        <f t="shared" si="30"/>
        <v>11.5</v>
      </c>
      <c r="AW215" s="2">
        <f t="shared" si="31"/>
        <v>8.8000000000000007</v>
      </c>
      <c r="AX215" s="27">
        <f t="shared" si="32"/>
        <v>0.76521739130434785</v>
      </c>
      <c r="BA215" s="2">
        <f t="shared" si="33"/>
        <v>0</v>
      </c>
      <c r="BB215" s="2">
        <f t="shared" si="34"/>
        <v>0</v>
      </c>
      <c r="BC215" s="2">
        <f t="shared" si="35"/>
        <v>0</v>
      </c>
      <c r="BD215" s="2">
        <f t="shared" si="36"/>
        <v>0</v>
      </c>
      <c r="BE215" s="2">
        <f t="shared" si="37"/>
        <v>0</v>
      </c>
      <c r="BF215" s="2">
        <f t="shared" si="38"/>
        <v>0</v>
      </c>
      <c r="BJ215" s="2" t="str">
        <f t="shared" si="39"/>
        <v/>
      </c>
    </row>
    <row r="216" spans="1:62" ht="15" customHeight="1" x14ac:dyDescent="0.45">
      <c r="A216" s="2" t="s">
        <v>402</v>
      </c>
      <c r="B216" s="2" t="s">
        <v>401</v>
      </c>
      <c r="C216" s="2">
        <v>2019</v>
      </c>
      <c r="D216" s="2">
        <v>0.06</v>
      </c>
      <c r="E216" s="2">
        <v>0.44</v>
      </c>
      <c r="F216" s="2" t="s">
        <v>146</v>
      </c>
      <c r="G216" s="2">
        <v>0.44</v>
      </c>
      <c r="H216" s="2" t="s">
        <v>146</v>
      </c>
      <c r="I216" s="2" t="s">
        <v>146</v>
      </c>
      <c r="J216" s="2" t="s">
        <v>146</v>
      </c>
      <c r="K216" s="2" t="s">
        <v>146</v>
      </c>
      <c r="L216" s="2" t="s">
        <v>146</v>
      </c>
      <c r="M216" s="2" t="s">
        <v>49</v>
      </c>
      <c r="N216" s="2" t="s">
        <v>146</v>
      </c>
      <c r="O216" s="2" t="s">
        <v>146</v>
      </c>
      <c r="P216" s="2" t="s">
        <v>146</v>
      </c>
      <c r="Q216" s="2" t="s">
        <v>146</v>
      </c>
      <c r="R216" s="2" t="s">
        <v>146</v>
      </c>
      <c r="S216" s="2" t="s">
        <v>146</v>
      </c>
      <c r="T216" s="2" t="s">
        <v>146</v>
      </c>
      <c r="U216" s="2" t="s">
        <v>146</v>
      </c>
      <c r="V216" s="2" t="s">
        <v>146</v>
      </c>
      <c r="W216" s="2" t="s">
        <v>146</v>
      </c>
      <c r="X216" s="2" t="s">
        <v>146</v>
      </c>
      <c r="Y216" s="2" t="s">
        <v>146</v>
      </c>
      <c r="Z216" s="2" t="s">
        <v>146</v>
      </c>
      <c r="AA216" s="2" t="s">
        <v>146</v>
      </c>
      <c r="AB216" s="2" t="s">
        <v>146</v>
      </c>
      <c r="AC216" s="2" t="s">
        <v>146</v>
      </c>
      <c r="AD216" s="2" t="s">
        <v>146</v>
      </c>
      <c r="AE216" s="2" t="s">
        <v>146</v>
      </c>
      <c r="AF216" s="2" t="s">
        <v>146</v>
      </c>
      <c r="AG216" s="2" t="s">
        <v>146</v>
      </c>
      <c r="AH216" s="2" t="s">
        <v>146</v>
      </c>
      <c r="AI216" s="2" t="s">
        <v>146</v>
      </c>
      <c r="AJ216" s="2" t="s">
        <v>146</v>
      </c>
      <c r="AK216" s="2" t="s">
        <v>146</v>
      </c>
      <c r="AL216" s="2" t="s">
        <v>146</v>
      </c>
      <c r="AM216" s="2" t="s">
        <v>146</v>
      </c>
      <c r="AN216" s="2" t="s">
        <v>49</v>
      </c>
      <c r="AO216" s="2" t="s">
        <v>146</v>
      </c>
      <c r="AP216" s="2" t="s">
        <v>146</v>
      </c>
      <c r="AQ216" s="2" t="s">
        <v>146</v>
      </c>
      <c r="AR216" s="2" t="s">
        <v>146</v>
      </c>
      <c r="AV216" s="2">
        <f t="shared" si="30"/>
        <v>0.44</v>
      </c>
      <c r="AW216" s="2">
        <f t="shared" si="31"/>
        <v>0.06</v>
      </c>
      <c r="AX216" s="27">
        <f t="shared" si="32"/>
        <v>0.13636363636363635</v>
      </c>
      <c r="BA216" s="2">
        <f t="shared" si="33"/>
        <v>0</v>
      </c>
      <c r="BB216" s="2">
        <f t="shared" si="34"/>
        <v>0</v>
      </c>
      <c r="BC216" s="2">
        <f t="shared" si="35"/>
        <v>0</v>
      </c>
      <c r="BD216" s="2">
        <f t="shared" si="36"/>
        <v>0</v>
      </c>
      <c r="BE216" s="2">
        <f t="shared" si="37"/>
        <v>0</v>
      </c>
      <c r="BF216" s="2">
        <f t="shared" si="38"/>
        <v>0</v>
      </c>
      <c r="BJ216" s="2" t="str">
        <f t="shared" si="39"/>
        <v/>
      </c>
    </row>
    <row r="217" spans="1:62" ht="15" customHeight="1" x14ac:dyDescent="0.45">
      <c r="A217" s="2" t="s">
        <v>398</v>
      </c>
      <c r="B217" s="2" t="s">
        <v>400</v>
      </c>
      <c r="C217" s="2">
        <v>2019</v>
      </c>
      <c r="D217" s="2">
        <v>1.7190000000000001</v>
      </c>
      <c r="E217" s="2">
        <v>2.302</v>
      </c>
      <c r="F217" s="2" t="s">
        <v>146</v>
      </c>
      <c r="G217" s="2">
        <v>7.9000000000000001E-2</v>
      </c>
      <c r="H217" s="2" t="s">
        <v>146</v>
      </c>
      <c r="I217" s="2" t="s">
        <v>146</v>
      </c>
      <c r="J217" s="2" t="s">
        <v>146</v>
      </c>
      <c r="K217" s="2" t="s">
        <v>146</v>
      </c>
      <c r="L217" s="2" t="s">
        <v>146</v>
      </c>
      <c r="M217" s="2" t="s">
        <v>49</v>
      </c>
      <c r="N217" s="2" t="s">
        <v>146</v>
      </c>
      <c r="O217" s="2" t="s">
        <v>146</v>
      </c>
      <c r="P217" s="2" t="s">
        <v>146</v>
      </c>
      <c r="Q217" s="2" t="s">
        <v>146</v>
      </c>
      <c r="R217" s="2" t="s">
        <v>146</v>
      </c>
      <c r="S217" s="2" t="s">
        <v>146</v>
      </c>
      <c r="T217" s="2" t="s">
        <v>146</v>
      </c>
      <c r="U217" s="2">
        <v>2.2229999999999999</v>
      </c>
      <c r="V217" s="2" t="s">
        <v>146</v>
      </c>
      <c r="W217" s="2" t="s">
        <v>146</v>
      </c>
      <c r="X217" s="2" t="s">
        <v>146</v>
      </c>
      <c r="Y217" s="2" t="s">
        <v>146</v>
      </c>
      <c r="Z217" s="2" t="s">
        <v>146</v>
      </c>
      <c r="AA217" s="2" t="s">
        <v>146</v>
      </c>
      <c r="AB217" s="2" t="s">
        <v>146</v>
      </c>
      <c r="AC217" s="2" t="s">
        <v>146</v>
      </c>
      <c r="AD217" s="2" t="s">
        <v>146</v>
      </c>
      <c r="AE217" s="2" t="s">
        <v>146</v>
      </c>
      <c r="AF217" s="2" t="s">
        <v>146</v>
      </c>
      <c r="AG217" s="2" t="s">
        <v>146</v>
      </c>
      <c r="AH217" s="2" t="s">
        <v>146</v>
      </c>
      <c r="AI217" s="2" t="s">
        <v>146</v>
      </c>
      <c r="AJ217" s="2" t="s">
        <v>146</v>
      </c>
      <c r="AK217" s="2" t="s">
        <v>146</v>
      </c>
      <c r="AL217" s="2" t="s">
        <v>146</v>
      </c>
      <c r="AM217" s="2" t="s">
        <v>146</v>
      </c>
      <c r="AN217" s="2" t="s">
        <v>49</v>
      </c>
      <c r="AO217" s="2">
        <v>100</v>
      </c>
      <c r="AP217" s="2" t="s">
        <v>146</v>
      </c>
      <c r="AQ217" s="2" t="s">
        <v>146</v>
      </c>
      <c r="AR217" s="2" t="s">
        <v>146</v>
      </c>
      <c r="AV217" s="2">
        <f t="shared" si="30"/>
        <v>2.302</v>
      </c>
      <c r="AW217" s="2">
        <f t="shared" si="31"/>
        <v>1.7190000000000001</v>
      </c>
      <c r="AX217" s="27">
        <f t="shared" si="32"/>
        <v>0.74674196350999134</v>
      </c>
      <c r="BA217" s="2">
        <f t="shared" si="33"/>
        <v>0</v>
      </c>
      <c r="BB217" s="2">
        <f t="shared" si="34"/>
        <v>0</v>
      </c>
      <c r="BC217" s="2">
        <f t="shared" si="35"/>
        <v>0</v>
      </c>
      <c r="BD217" s="2">
        <f t="shared" si="36"/>
        <v>0</v>
      </c>
      <c r="BE217" s="2">
        <f t="shared" si="37"/>
        <v>0</v>
      </c>
      <c r="BF217" s="2">
        <f t="shared" si="38"/>
        <v>0</v>
      </c>
      <c r="BJ217" s="2" t="str">
        <f t="shared" si="39"/>
        <v>ja</v>
      </c>
    </row>
    <row r="218" spans="1:62" ht="15" customHeight="1" x14ac:dyDescent="0.45">
      <c r="A218" s="2" t="s">
        <v>398</v>
      </c>
      <c r="B218" s="2" t="s">
        <v>399</v>
      </c>
      <c r="C218" s="2">
        <v>2019</v>
      </c>
      <c r="D218" s="2">
        <v>12.16</v>
      </c>
      <c r="E218" s="2">
        <v>15.691000000000001</v>
      </c>
      <c r="F218" s="2" t="s">
        <v>146</v>
      </c>
      <c r="G218" s="2">
        <v>0.41099999999999998</v>
      </c>
      <c r="H218" s="2" t="s">
        <v>146</v>
      </c>
      <c r="I218" s="2" t="s">
        <v>146</v>
      </c>
      <c r="J218" s="2" t="s">
        <v>146</v>
      </c>
      <c r="K218" s="2" t="s">
        <v>146</v>
      </c>
      <c r="L218" s="2" t="s">
        <v>146</v>
      </c>
      <c r="M218" s="2" t="s">
        <v>49</v>
      </c>
      <c r="N218" s="2" t="s">
        <v>146</v>
      </c>
      <c r="O218" s="2" t="s">
        <v>146</v>
      </c>
      <c r="P218" s="2">
        <v>12.47</v>
      </c>
      <c r="Q218" s="2" t="s">
        <v>146</v>
      </c>
      <c r="R218" s="2" t="s">
        <v>146</v>
      </c>
      <c r="S218" s="2" t="s">
        <v>146</v>
      </c>
      <c r="T218" s="2" t="s">
        <v>146</v>
      </c>
      <c r="U218" s="2" t="s">
        <v>146</v>
      </c>
      <c r="V218" s="2" t="s">
        <v>146</v>
      </c>
      <c r="W218" s="2" t="s">
        <v>146</v>
      </c>
      <c r="X218" s="2" t="s">
        <v>146</v>
      </c>
      <c r="Y218" s="2" t="s">
        <v>146</v>
      </c>
      <c r="Z218" s="2">
        <v>1.6</v>
      </c>
      <c r="AA218" s="2" t="s">
        <v>146</v>
      </c>
      <c r="AB218" s="2" t="s">
        <v>146</v>
      </c>
      <c r="AC218" s="2" t="s">
        <v>146</v>
      </c>
      <c r="AD218" s="2" t="s">
        <v>146</v>
      </c>
      <c r="AE218" s="2" t="s">
        <v>146</v>
      </c>
      <c r="AF218" s="2" t="s">
        <v>146</v>
      </c>
      <c r="AG218" s="2" t="s">
        <v>146</v>
      </c>
      <c r="AH218" s="2">
        <v>1.21</v>
      </c>
      <c r="AI218" s="2" t="s">
        <v>146</v>
      </c>
      <c r="AJ218" s="2" t="s">
        <v>146</v>
      </c>
      <c r="AK218" s="2" t="s">
        <v>146</v>
      </c>
      <c r="AL218" s="2" t="s">
        <v>146</v>
      </c>
      <c r="AM218" s="2" t="s">
        <v>146</v>
      </c>
      <c r="AN218" s="2" t="s">
        <v>49</v>
      </c>
      <c r="AO218" s="2">
        <v>100</v>
      </c>
      <c r="AP218" s="2" t="s">
        <v>146</v>
      </c>
      <c r="AQ218" s="2" t="s">
        <v>146</v>
      </c>
      <c r="AR218" s="2" t="s">
        <v>146</v>
      </c>
      <c r="AV218" s="2">
        <f t="shared" si="30"/>
        <v>15.690999999999999</v>
      </c>
      <c r="AW218" s="2">
        <f t="shared" si="31"/>
        <v>12.16</v>
      </c>
      <c r="AX218" s="27">
        <f t="shared" si="32"/>
        <v>0.77496654132942455</v>
      </c>
      <c r="BA218" s="2">
        <f t="shared" si="33"/>
        <v>1.21</v>
      </c>
      <c r="BB218" s="2">
        <f t="shared" si="34"/>
        <v>1.21</v>
      </c>
      <c r="BC218" s="2">
        <f t="shared" si="35"/>
        <v>0</v>
      </c>
      <c r="BD218" s="2">
        <f t="shared" si="36"/>
        <v>0</v>
      </c>
      <c r="BE218" s="2">
        <f t="shared" si="37"/>
        <v>0</v>
      </c>
      <c r="BF218" s="2">
        <f t="shared" si="38"/>
        <v>0</v>
      </c>
      <c r="BJ218" s="2" t="str">
        <f t="shared" si="39"/>
        <v/>
      </c>
    </row>
    <row r="219" spans="1:62" ht="15" customHeight="1" x14ac:dyDescent="0.45">
      <c r="A219" s="2" t="s">
        <v>398</v>
      </c>
      <c r="B219" s="2" t="s">
        <v>397</v>
      </c>
      <c r="C219" s="2">
        <v>2019</v>
      </c>
      <c r="D219" s="2">
        <v>45.95</v>
      </c>
      <c r="E219" s="2">
        <v>54.11</v>
      </c>
      <c r="F219" s="2" t="s">
        <v>146</v>
      </c>
      <c r="G219" s="2">
        <v>5.85</v>
      </c>
      <c r="H219" s="2" t="s">
        <v>146</v>
      </c>
      <c r="I219" s="2" t="s">
        <v>146</v>
      </c>
      <c r="J219" s="2" t="s">
        <v>146</v>
      </c>
      <c r="K219" s="2" t="s">
        <v>146</v>
      </c>
      <c r="L219" s="2" t="s">
        <v>146</v>
      </c>
      <c r="M219" s="2" t="s">
        <v>49</v>
      </c>
      <c r="N219" s="2">
        <v>40.76</v>
      </c>
      <c r="O219" s="2" t="s">
        <v>146</v>
      </c>
      <c r="P219" s="2" t="s">
        <v>146</v>
      </c>
      <c r="Q219" s="2" t="s">
        <v>146</v>
      </c>
      <c r="R219" s="2" t="s">
        <v>146</v>
      </c>
      <c r="S219" s="2" t="s">
        <v>146</v>
      </c>
      <c r="T219" s="2" t="s">
        <v>146</v>
      </c>
      <c r="U219" s="2" t="s">
        <v>146</v>
      </c>
      <c r="V219" s="2" t="s">
        <v>146</v>
      </c>
      <c r="W219" s="2" t="s">
        <v>146</v>
      </c>
      <c r="X219" s="2" t="s">
        <v>146</v>
      </c>
      <c r="Y219" s="2" t="s">
        <v>146</v>
      </c>
      <c r="Z219" s="2" t="s">
        <v>146</v>
      </c>
      <c r="AA219" s="2" t="s">
        <v>146</v>
      </c>
      <c r="AB219" s="2" t="s">
        <v>146</v>
      </c>
      <c r="AC219" s="2" t="s">
        <v>146</v>
      </c>
      <c r="AD219" s="2" t="s">
        <v>146</v>
      </c>
      <c r="AE219" s="2" t="s">
        <v>146</v>
      </c>
      <c r="AF219" s="2" t="s">
        <v>146</v>
      </c>
      <c r="AG219" s="2" t="s">
        <v>146</v>
      </c>
      <c r="AH219" s="2">
        <v>7.5</v>
      </c>
      <c r="AI219" s="2" t="s">
        <v>146</v>
      </c>
      <c r="AJ219" s="2" t="s">
        <v>146</v>
      </c>
      <c r="AK219" s="2" t="s">
        <v>146</v>
      </c>
      <c r="AL219" s="2" t="s">
        <v>146</v>
      </c>
      <c r="AM219" s="2" t="s">
        <v>146</v>
      </c>
      <c r="AN219" s="2" t="s">
        <v>49</v>
      </c>
      <c r="AO219" s="2">
        <v>100</v>
      </c>
      <c r="AP219" s="2" t="s">
        <v>146</v>
      </c>
      <c r="AQ219" s="2" t="s">
        <v>146</v>
      </c>
      <c r="AR219" s="2" t="s">
        <v>146</v>
      </c>
      <c r="AV219" s="2">
        <f t="shared" si="30"/>
        <v>54.11</v>
      </c>
      <c r="AW219" s="2">
        <f t="shared" si="31"/>
        <v>45.95</v>
      </c>
      <c r="AX219" s="27">
        <f t="shared" si="32"/>
        <v>0.84919608205507302</v>
      </c>
      <c r="BA219" s="2">
        <f t="shared" si="33"/>
        <v>7.5</v>
      </c>
      <c r="BB219" s="2">
        <f t="shared" si="34"/>
        <v>7.5</v>
      </c>
      <c r="BC219" s="2">
        <f t="shared" si="35"/>
        <v>0</v>
      </c>
      <c r="BD219" s="2">
        <f t="shared" si="36"/>
        <v>0</v>
      </c>
      <c r="BE219" s="2">
        <f t="shared" si="37"/>
        <v>0</v>
      </c>
      <c r="BF219" s="2">
        <f t="shared" si="38"/>
        <v>0</v>
      </c>
      <c r="BJ219" s="2" t="str">
        <f t="shared" si="39"/>
        <v/>
      </c>
    </row>
    <row r="220" spans="1:62" ht="15" customHeight="1" x14ac:dyDescent="0.45">
      <c r="A220" s="2" t="s">
        <v>396</v>
      </c>
      <c r="B220" s="2" t="s">
        <v>395</v>
      </c>
      <c r="C220" s="2">
        <v>2019</v>
      </c>
      <c r="D220" s="2">
        <v>48.7</v>
      </c>
      <c r="E220" s="2">
        <v>63.74</v>
      </c>
      <c r="F220" s="2" t="s">
        <v>146</v>
      </c>
      <c r="G220" s="2" t="s">
        <v>146</v>
      </c>
      <c r="H220" s="2" t="s">
        <v>146</v>
      </c>
      <c r="I220" s="2" t="s">
        <v>146</v>
      </c>
      <c r="J220" s="2" t="s">
        <v>146</v>
      </c>
      <c r="K220" s="2" t="s">
        <v>146</v>
      </c>
      <c r="L220" s="2">
        <v>1.27</v>
      </c>
      <c r="M220" s="2" t="s">
        <v>49</v>
      </c>
      <c r="N220" s="2">
        <v>46.14</v>
      </c>
      <c r="O220" s="2">
        <v>3.05</v>
      </c>
      <c r="P220" s="2">
        <v>1.71</v>
      </c>
      <c r="Q220" s="2" t="s">
        <v>146</v>
      </c>
      <c r="R220" s="2" t="s">
        <v>146</v>
      </c>
      <c r="S220" s="2" t="s">
        <v>146</v>
      </c>
      <c r="T220" s="2" t="s">
        <v>146</v>
      </c>
      <c r="U220" s="2">
        <v>5.46</v>
      </c>
      <c r="V220" s="2" t="s">
        <v>146</v>
      </c>
      <c r="W220" s="2" t="s">
        <v>146</v>
      </c>
      <c r="X220" s="2" t="s">
        <v>146</v>
      </c>
      <c r="Y220" s="2" t="s">
        <v>146</v>
      </c>
      <c r="Z220" s="2">
        <v>2.16</v>
      </c>
      <c r="AA220" s="2" t="s">
        <v>146</v>
      </c>
      <c r="AB220" s="2" t="s">
        <v>146</v>
      </c>
      <c r="AC220" s="2" t="s">
        <v>146</v>
      </c>
      <c r="AD220" s="2" t="s">
        <v>146</v>
      </c>
      <c r="AE220" s="2" t="s">
        <v>155</v>
      </c>
      <c r="AF220" s="2" t="s">
        <v>146</v>
      </c>
      <c r="AG220" s="2" t="s">
        <v>146</v>
      </c>
      <c r="AH220" s="2">
        <v>3.95</v>
      </c>
      <c r="AI220" s="2" t="s">
        <v>146</v>
      </c>
      <c r="AJ220" s="2" t="s">
        <v>146</v>
      </c>
      <c r="AK220" s="2" t="s">
        <v>146</v>
      </c>
      <c r="AL220" s="2" t="s">
        <v>146</v>
      </c>
      <c r="AM220" s="2" t="s">
        <v>146</v>
      </c>
      <c r="AN220" s="2" t="s">
        <v>49</v>
      </c>
      <c r="AO220" s="2">
        <v>100</v>
      </c>
      <c r="AP220" s="2" t="s">
        <v>146</v>
      </c>
      <c r="AQ220" s="2" t="s">
        <v>146</v>
      </c>
      <c r="AR220" s="2" t="s">
        <v>146</v>
      </c>
      <c r="AV220" s="2">
        <f t="shared" si="30"/>
        <v>63.740000000000009</v>
      </c>
      <c r="AW220" s="2">
        <f t="shared" si="31"/>
        <v>48.7</v>
      </c>
      <c r="AX220" s="27">
        <f t="shared" si="32"/>
        <v>0.76404141826168803</v>
      </c>
      <c r="BA220" s="2">
        <f t="shared" si="33"/>
        <v>3.95</v>
      </c>
      <c r="BB220" s="2">
        <f t="shared" si="34"/>
        <v>3.95</v>
      </c>
      <c r="BC220" s="2">
        <f t="shared" si="35"/>
        <v>0</v>
      </c>
      <c r="BD220" s="2">
        <f t="shared" si="36"/>
        <v>0</v>
      </c>
      <c r="BE220" s="2">
        <f t="shared" si="37"/>
        <v>0</v>
      </c>
      <c r="BF220" s="2">
        <f t="shared" si="38"/>
        <v>0</v>
      </c>
      <c r="BJ220" s="2" t="str">
        <f t="shared" si="39"/>
        <v/>
      </c>
    </row>
    <row r="221" spans="1:62" ht="15" customHeight="1" x14ac:dyDescent="0.45">
      <c r="A221" s="2" t="s">
        <v>393</v>
      </c>
      <c r="B221" s="2" t="s">
        <v>394</v>
      </c>
      <c r="C221" s="2">
        <v>2019</v>
      </c>
      <c r="D221" s="2" t="s">
        <v>49</v>
      </c>
      <c r="E221" s="2" t="s">
        <v>49</v>
      </c>
      <c r="F221" s="2" t="s">
        <v>49</v>
      </c>
      <c r="G221" s="2" t="s">
        <v>49</v>
      </c>
      <c r="H221" s="2" t="s">
        <v>49</v>
      </c>
      <c r="I221" s="2" t="s">
        <v>49</v>
      </c>
      <c r="J221" s="2" t="s">
        <v>49</v>
      </c>
      <c r="K221" s="2" t="s">
        <v>49</v>
      </c>
      <c r="L221" s="2" t="s">
        <v>49</v>
      </c>
      <c r="M221" s="2" t="s">
        <v>49</v>
      </c>
      <c r="N221" s="2" t="s">
        <v>49</v>
      </c>
      <c r="O221" s="2" t="s">
        <v>49</v>
      </c>
      <c r="P221" s="2" t="s">
        <v>49</v>
      </c>
      <c r="Q221" s="2" t="s">
        <v>49</v>
      </c>
      <c r="R221" s="2" t="s">
        <v>49</v>
      </c>
      <c r="S221" s="2" t="s">
        <v>49</v>
      </c>
      <c r="T221" s="2" t="s">
        <v>49</v>
      </c>
      <c r="U221" s="2" t="s">
        <v>49</v>
      </c>
      <c r="V221" s="2" t="s">
        <v>49</v>
      </c>
      <c r="W221" s="2" t="s">
        <v>49</v>
      </c>
      <c r="X221" s="2" t="s">
        <v>49</v>
      </c>
      <c r="Y221" s="2" t="s">
        <v>49</v>
      </c>
      <c r="Z221" s="2" t="s">
        <v>49</v>
      </c>
      <c r="AA221" s="2" t="s">
        <v>49</v>
      </c>
      <c r="AB221" s="2" t="s">
        <v>49</v>
      </c>
      <c r="AC221" s="2" t="s">
        <v>49</v>
      </c>
      <c r="AD221" s="2" t="s">
        <v>49</v>
      </c>
      <c r="AE221" s="2" t="s">
        <v>49</v>
      </c>
      <c r="AF221" s="2" t="s">
        <v>49</v>
      </c>
      <c r="AG221" s="2" t="s">
        <v>49</v>
      </c>
      <c r="AH221" s="2" t="s">
        <v>49</v>
      </c>
      <c r="AI221" s="2" t="s">
        <v>49</v>
      </c>
      <c r="AJ221" s="2" t="s">
        <v>49</v>
      </c>
      <c r="AK221" s="2" t="s">
        <v>49</v>
      </c>
      <c r="AL221" s="2" t="s">
        <v>49</v>
      </c>
      <c r="AM221" s="2" t="s">
        <v>49</v>
      </c>
      <c r="AN221" s="2" t="s">
        <v>49</v>
      </c>
      <c r="AO221" s="2" t="s">
        <v>49</v>
      </c>
      <c r="AP221" s="2" t="s">
        <v>49</v>
      </c>
      <c r="AQ221" s="2" t="s">
        <v>49</v>
      </c>
      <c r="AR221" s="2" t="s">
        <v>49</v>
      </c>
      <c r="AV221" s="2">
        <f t="shared" si="30"/>
        <v>0</v>
      </c>
      <c r="AW221" s="2">
        <f t="shared" si="31"/>
        <v>0</v>
      </c>
      <c r="AX221" s="27" t="str">
        <f t="shared" si="32"/>
        <v/>
      </c>
      <c r="BA221" s="2">
        <f t="shared" si="33"/>
        <v>0</v>
      </c>
      <c r="BB221" s="2">
        <f t="shared" si="34"/>
        <v>0</v>
      </c>
      <c r="BC221" s="2">
        <f t="shared" si="35"/>
        <v>0</v>
      </c>
      <c r="BD221" s="2">
        <f t="shared" si="36"/>
        <v>0</v>
      </c>
      <c r="BE221" s="2">
        <f t="shared" si="37"/>
        <v>0</v>
      </c>
      <c r="BF221" s="2">
        <f t="shared" si="38"/>
        <v>0</v>
      </c>
      <c r="BJ221" s="2" t="str">
        <f t="shared" si="39"/>
        <v/>
      </c>
    </row>
    <row r="222" spans="1:62" ht="15" customHeight="1" x14ac:dyDescent="0.45">
      <c r="A222" s="2" t="s">
        <v>393</v>
      </c>
      <c r="B222" s="2" t="s">
        <v>392</v>
      </c>
      <c r="C222" s="2">
        <v>2019</v>
      </c>
      <c r="D222" s="2" t="s">
        <v>49</v>
      </c>
      <c r="E222" s="2" t="s">
        <v>49</v>
      </c>
      <c r="F222" s="2" t="s">
        <v>49</v>
      </c>
      <c r="G222" s="2" t="s">
        <v>49</v>
      </c>
      <c r="H222" s="2" t="s">
        <v>49</v>
      </c>
      <c r="I222" s="2" t="s">
        <v>49</v>
      </c>
      <c r="J222" s="2" t="s">
        <v>49</v>
      </c>
      <c r="K222" s="2" t="s">
        <v>49</v>
      </c>
      <c r="L222" s="2" t="s">
        <v>49</v>
      </c>
      <c r="M222" s="2" t="s">
        <v>49</v>
      </c>
      <c r="N222" s="2" t="s">
        <v>49</v>
      </c>
      <c r="O222" s="2" t="s">
        <v>49</v>
      </c>
      <c r="P222" s="2" t="s">
        <v>49</v>
      </c>
      <c r="Q222" s="2" t="s">
        <v>49</v>
      </c>
      <c r="R222" s="2" t="s">
        <v>49</v>
      </c>
      <c r="S222" s="2" t="s">
        <v>49</v>
      </c>
      <c r="T222" s="2" t="s">
        <v>49</v>
      </c>
      <c r="U222" s="2" t="s">
        <v>49</v>
      </c>
      <c r="V222" s="2" t="s">
        <v>49</v>
      </c>
      <c r="W222" s="2" t="s">
        <v>49</v>
      </c>
      <c r="X222" s="2" t="s">
        <v>49</v>
      </c>
      <c r="Y222" s="2" t="s">
        <v>49</v>
      </c>
      <c r="Z222" s="2" t="s">
        <v>49</v>
      </c>
      <c r="AA222" s="2" t="s">
        <v>49</v>
      </c>
      <c r="AB222" s="2" t="s">
        <v>49</v>
      </c>
      <c r="AC222" s="2" t="s">
        <v>49</v>
      </c>
      <c r="AD222" s="2" t="s">
        <v>49</v>
      </c>
      <c r="AE222" s="2" t="s">
        <v>49</v>
      </c>
      <c r="AF222" s="2" t="s">
        <v>49</v>
      </c>
      <c r="AG222" s="2" t="s">
        <v>49</v>
      </c>
      <c r="AH222" s="2" t="s">
        <v>49</v>
      </c>
      <c r="AI222" s="2" t="s">
        <v>49</v>
      </c>
      <c r="AJ222" s="2" t="s">
        <v>49</v>
      </c>
      <c r="AK222" s="2" t="s">
        <v>49</v>
      </c>
      <c r="AL222" s="2" t="s">
        <v>49</v>
      </c>
      <c r="AM222" s="2" t="s">
        <v>49</v>
      </c>
      <c r="AN222" s="2" t="s">
        <v>49</v>
      </c>
      <c r="AO222" s="2" t="s">
        <v>49</v>
      </c>
      <c r="AP222" s="2" t="s">
        <v>49</v>
      </c>
      <c r="AQ222" s="2" t="s">
        <v>49</v>
      </c>
      <c r="AR222" s="2" t="s">
        <v>49</v>
      </c>
      <c r="AV222" s="2">
        <f t="shared" si="30"/>
        <v>0</v>
      </c>
      <c r="AW222" s="2">
        <f t="shared" si="31"/>
        <v>0</v>
      </c>
      <c r="AX222" s="27" t="str">
        <f t="shared" si="32"/>
        <v/>
      </c>
      <c r="BA222" s="2">
        <f t="shared" si="33"/>
        <v>0</v>
      </c>
      <c r="BB222" s="2">
        <f t="shared" si="34"/>
        <v>0</v>
      </c>
      <c r="BC222" s="2">
        <f t="shared" si="35"/>
        <v>0</v>
      </c>
      <c r="BD222" s="2">
        <f t="shared" si="36"/>
        <v>0</v>
      </c>
      <c r="BE222" s="2">
        <f t="shared" si="37"/>
        <v>0</v>
      </c>
      <c r="BF222" s="2">
        <f t="shared" si="38"/>
        <v>0</v>
      </c>
      <c r="BJ222" s="2" t="str">
        <f t="shared" si="39"/>
        <v/>
      </c>
    </row>
    <row r="223" spans="1:62" ht="15" customHeight="1" x14ac:dyDescent="0.45">
      <c r="A223" s="2" t="s">
        <v>391</v>
      </c>
      <c r="B223" s="2" t="s">
        <v>390</v>
      </c>
      <c r="C223" s="2">
        <v>2019</v>
      </c>
      <c r="D223" s="2">
        <v>52.4</v>
      </c>
      <c r="E223" s="2">
        <v>61.2</v>
      </c>
      <c r="F223" s="2" t="s">
        <v>146</v>
      </c>
      <c r="G223" s="2">
        <v>0.5</v>
      </c>
      <c r="H223" s="2" t="s">
        <v>146</v>
      </c>
      <c r="I223" s="2" t="s">
        <v>146</v>
      </c>
      <c r="J223" s="2" t="s">
        <v>146</v>
      </c>
      <c r="K223" s="2" t="s">
        <v>146</v>
      </c>
      <c r="L223" s="2" t="s">
        <v>146</v>
      </c>
      <c r="M223" s="2" t="s">
        <v>49</v>
      </c>
      <c r="N223" s="2">
        <v>0</v>
      </c>
      <c r="O223" s="2">
        <v>22</v>
      </c>
      <c r="P223" s="2">
        <v>15.5</v>
      </c>
      <c r="Q223" s="2">
        <v>7.2</v>
      </c>
      <c r="R223" s="2" t="s">
        <v>146</v>
      </c>
      <c r="S223" s="2" t="s">
        <v>146</v>
      </c>
      <c r="T223" s="2" t="s">
        <v>147</v>
      </c>
      <c r="U223" s="2">
        <v>6.7</v>
      </c>
      <c r="V223" s="2" t="s">
        <v>146</v>
      </c>
      <c r="W223" s="2" t="s">
        <v>146</v>
      </c>
      <c r="X223" s="2" t="s">
        <v>146</v>
      </c>
      <c r="Y223" s="2" t="s">
        <v>146</v>
      </c>
      <c r="Z223" s="2">
        <v>2.2999999999999998</v>
      </c>
      <c r="AA223" s="2" t="s">
        <v>146</v>
      </c>
      <c r="AB223" s="2" t="s">
        <v>146</v>
      </c>
      <c r="AC223" s="2" t="s">
        <v>146</v>
      </c>
      <c r="AD223" s="2" t="s">
        <v>146</v>
      </c>
      <c r="AE223" s="2" t="s">
        <v>155</v>
      </c>
      <c r="AF223" s="2" t="s">
        <v>146</v>
      </c>
      <c r="AG223" s="2" t="s">
        <v>146</v>
      </c>
      <c r="AH223" s="2">
        <v>7</v>
      </c>
      <c r="AI223" s="2">
        <v>0</v>
      </c>
      <c r="AJ223" s="2" t="s">
        <v>146</v>
      </c>
      <c r="AK223" s="2">
        <v>0</v>
      </c>
      <c r="AL223" s="2">
        <v>0</v>
      </c>
      <c r="AM223" s="2">
        <v>0</v>
      </c>
      <c r="AN223" s="2" t="s">
        <v>49</v>
      </c>
      <c r="AO223" s="2">
        <v>100</v>
      </c>
      <c r="AP223" s="2">
        <v>0</v>
      </c>
      <c r="AQ223" s="2" t="s">
        <v>146</v>
      </c>
      <c r="AR223" s="2">
        <v>0</v>
      </c>
      <c r="AV223" s="2">
        <f t="shared" si="30"/>
        <v>61.2</v>
      </c>
      <c r="AW223" s="2">
        <f t="shared" si="31"/>
        <v>52.4</v>
      </c>
      <c r="AX223" s="27">
        <f t="shared" si="32"/>
        <v>0.85620915032679734</v>
      </c>
      <c r="BA223" s="2">
        <f t="shared" si="33"/>
        <v>7</v>
      </c>
      <c r="BB223" s="2">
        <f t="shared" si="34"/>
        <v>7</v>
      </c>
      <c r="BC223" s="2">
        <f t="shared" si="35"/>
        <v>0</v>
      </c>
      <c r="BD223" s="2">
        <f t="shared" si="36"/>
        <v>0</v>
      </c>
      <c r="BE223" s="2">
        <f t="shared" si="37"/>
        <v>0</v>
      </c>
      <c r="BF223" s="2">
        <f t="shared" si="38"/>
        <v>0</v>
      </c>
      <c r="BJ223" s="2" t="str">
        <f t="shared" si="39"/>
        <v/>
      </c>
    </row>
    <row r="224" spans="1:62" ht="15" customHeight="1" x14ac:dyDescent="0.45">
      <c r="A224" s="2" t="s">
        <v>389</v>
      </c>
      <c r="B224" s="2" t="s">
        <v>388</v>
      </c>
      <c r="C224" s="2">
        <v>2019</v>
      </c>
      <c r="D224" s="2" t="s">
        <v>146</v>
      </c>
      <c r="E224" s="2">
        <v>1.55E-2</v>
      </c>
      <c r="F224" s="2" t="s">
        <v>146</v>
      </c>
      <c r="G224" s="2">
        <v>1.55E-2</v>
      </c>
      <c r="H224" s="2" t="s">
        <v>146</v>
      </c>
      <c r="I224" s="2" t="s">
        <v>146</v>
      </c>
      <c r="J224" s="2" t="s">
        <v>146</v>
      </c>
      <c r="K224" s="2" t="s">
        <v>146</v>
      </c>
      <c r="L224" s="2" t="s">
        <v>146</v>
      </c>
      <c r="M224" s="2" t="s">
        <v>49</v>
      </c>
      <c r="N224" s="2" t="s">
        <v>146</v>
      </c>
      <c r="O224" s="2" t="s">
        <v>146</v>
      </c>
      <c r="P224" s="2" t="s">
        <v>146</v>
      </c>
      <c r="Q224" s="2" t="s">
        <v>146</v>
      </c>
      <c r="R224" s="2" t="s">
        <v>146</v>
      </c>
      <c r="S224" s="2" t="s">
        <v>146</v>
      </c>
      <c r="T224" s="2" t="s">
        <v>146</v>
      </c>
      <c r="U224" s="2" t="s">
        <v>146</v>
      </c>
      <c r="V224" s="2" t="s">
        <v>146</v>
      </c>
      <c r="W224" s="2" t="s">
        <v>146</v>
      </c>
      <c r="X224" s="2" t="s">
        <v>146</v>
      </c>
      <c r="Y224" s="2" t="s">
        <v>146</v>
      </c>
      <c r="Z224" s="2" t="s">
        <v>146</v>
      </c>
      <c r="AA224" s="2" t="s">
        <v>146</v>
      </c>
      <c r="AB224" s="2" t="s">
        <v>146</v>
      </c>
      <c r="AC224" s="2" t="s">
        <v>146</v>
      </c>
      <c r="AD224" s="2" t="s">
        <v>146</v>
      </c>
      <c r="AE224" s="2" t="s">
        <v>146</v>
      </c>
      <c r="AF224" s="2" t="s">
        <v>146</v>
      </c>
      <c r="AG224" s="2" t="s">
        <v>146</v>
      </c>
      <c r="AH224" s="2" t="s">
        <v>146</v>
      </c>
      <c r="AI224" s="2" t="s">
        <v>146</v>
      </c>
      <c r="AJ224" s="2" t="s">
        <v>146</v>
      </c>
      <c r="AK224" s="2" t="s">
        <v>146</v>
      </c>
      <c r="AL224" s="2" t="s">
        <v>146</v>
      </c>
      <c r="AM224" s="2" t="s">
        <v>146</v>
      </c>
      <c r="AN224" s="2" t="s">
        <v>49</v>
      </c>
      <c r="AO224" s="2" t="s">
        <v>146</v>
      </c>
      <c r="AP224" s="2" t="s">
        <v>146</v>
      </c>
      <c r="AQ224" s="2" t="s">
        <v>146</v>
      </c>
      <c r="AR224" s="2" t="s">
        <v>146</v>
      </c>
      <c r="AV224" s="2">
        <f t="shared" si="30"/>
        <v>1.55E-2</v>
      </c>
      <c r="AW224" s="2">
        <f t="shared" si="31"/>
        <v>0</v>
      </c>
      <c r="AX224" s="27">
        <f t="shared" si="32"/>
        <v>0</v>
      </c>
      <c r="BA224" s="2">
        <f t="shared" si="33"/>
        <v>0</v>
      </c>
      <c r="BB224" s="2">
        <f t="shared" si="34"/>
        <v>0</v>
      </c>
      <c r="BC224" s="2">
        <f t="shared" si="35"/>
        <v>0</v>
      </c>
      <c r="BD224" s="2">
        <f t="shared" si="36"/>
        <v>0</v>
      </c>
      <c r="BE224" s="2">
        <f t="shared" si="37"/>
        <v>0</v>
      </c>
      <c r="BF224" s="2">
        <f t="shared" si="38"/>
        <v>0</v>
      </c>
      <c r="BJ224" s="2" t="str">
        <f t="shared" si="39"/>
        <v/>
      </c>
    </row>
    <row r="225" spans="1:62" ht="15" customHeight="1" x14ac:dyDescent="0.45">
      <c r="A225" s="2" t="s">
        <v>387</v>
      </c>
      <c r="B225" s="2" t="s">
        <v>114</v>
      </c>
      <c r="C225" s="2">
        <v>2019</v>
      </c>
      <c r="D225" s="2" t="s">
        <v>146</v>
      </c>
      <c r="E225" s="2">
        <v>33.549999999999997</v>
      </c>
      <c r="F225" s="2" t="s">
        <v>146</v>
      </c>
      <c r="G225" s="2">
        <v>1.1499999999999999</v>
      </c>
      <c r="H225" s="2" t="s">
        <v>146</v>
      </c>
      <c r="I225" s="2" t="s">
        <v>146</v>
      </c>
      <c r="J225" s="2" t="s">
        <v>146</v>
      </c>
      <c r="K225" s="2" t="s">
        <v>146</v>
      </c>
      <c r="L225" s="2" t="s">
        <v>146</v>
      </c>
      <c r="M225" s="2" t="s">
        <v>49</v>
      </c>
      <c r="N225" s="2" t="s">
        <v>146</v>
      </c>
      <c r="O225" s="2">
        <v>13.6</v>
      </c>
      <c r="P225" s="2">
        <v>13.6</v>
      </c>
      <c r="Q225" s="2" t="s">
        <v>146</v>
      </c>
      <c r="R225" s="2" t="s">
        <v>146</v>
      </c>
      <c r="S225" s="2" t="s">
        <v>146</v>
      </c>
      <c r="T225" s="2" t="s">
        <v>147</v>
      </c>
      <c r="U225" s="2">
        <v>5.2</v>
      </c>
      <c r="V225" s="2" t="s">
        <v>146</v>
      </c>
      <c r="W225" s="2" t="s">
        <v>146</v>
      </c>
      <c r="X225" s="2" t="s">
        <v>146</v>
      </c>
      <c r="Y225" s="2" t="s">
        <v>146</v>
      </c>
      <c r="Z225" s="2" t="s">
        <v>146</v>
      </c>
      <c r="AA225" s="2" t="s">
        <v>146</v>
      </c>
      <c r="AB225" s="2" t="s">
        <v>146</v>
      </c>
      <c r="AC225" s="2" t="s">
        <v>146</v>
      </c>
      <c r="AD225" s="2" t="s">
        <v>146</v>
      </c>
      <c r="AE225" s="2" t="s">
        <v>49</v>
      </c>
      <c r="AF225" s="2" t="s">
        <v>146</v>
      </c>
      <c r="AG225" s="2" t="s">
        <v>146</v>
      </c>
      <c r="AH225" s="2" t="s">
        <v>146</v>
      </c>
      <c r="AI225" s="2" t="s">
        <v>146</v>
      </c>
      <c r="AJ225" s="2" t="s">
        <v>49</v>
      </c>
      <c r="AK225" s="2" t="s">
        <v>146</v>
      </c>
      <c r="AL225" s="2" t="s">
        <v>49</v>
      </c>
      <c r="AM225" s="2" t="s">
        <v>49</v>
      </c>
      <c r="AN225" s="2" t="s">
        <v>49</v>
      </c>
      <c r="AO225" s="2">
        <v>100</v>
      </c>
      <c r="AP225" s="2" t="s">
        <v>146</v>
      </c>
      <c r="AQ225" s="2" t="s">
        <v>146</v>
      </c>
      <c r="AR225" s="2" t="s">
        <v>146</v>
      </c>
      <c r="AV225" s="2">
        <f t="shared" si="30"/>
        <v>33.550000000000004</v>
      </c>
      <c r="AW225" s="2">
        <f t="shared" si="31"/>
        <v>0</v>
      </c>
      <c r="AX225" s="27">
        <f t="shared" si="32"/>
        <v>0</v>
      </c>
      <c r="BA225" s="2">
        <f t="shared" si="33"/>
        <v>0</v>
      </c>
      <c r="BB225" s="2">
        <f t="shared" si="34"/>
        <v>0</v>
      </c>
      <c r="BC225" s="2">
        <f t="shared" si="35"/>
        <v>0</v>
      </c>
      <c r="BD225" s="2">
        <f t="shared" si="36"/>
        <v>0</v>
      </c>
      <c r="BE225" s="2">
        <f t="shared" si="37"/>
        <v>0</v>
      </c>
      <c r="BF225" s="2">
        <f t="shared" si="38"/>
        <v>0</v>
      </c>
      <c r="BJ225" s="2" t="str">
        <f t="shared" si="39"/>
        <v>ja</v>
      </c>
    </row>
    <row r="226" spans="1:62" ht="15" customHeight="1" x14ac:dyDescent="0.45">
      <c r="A226" s="2" t="s">
        <v>386</v>
      </c>
      <c r="B226" s="2" t="s">
        <v>385</v>
      </c>
      <c r="C226" s="2">
        <v>2019</v>
      </c>
      <c r="D226" s="2" t="s">
        <v>146</v>
      </c>
      <c r="E226" s="2" t="s">
        <v>146</v>
      </c>
      <c r="F226" s="2" t="s">
        <v>146</v>
      </c>
      <c r="G226" s="2" t="s">
        <v>146</v>
      </c>
      <c r="H226" s="2" t="s">
        <v>146</v>
      </c>
      <c r="I226" s="2" t="s">
        <v>146</v>
      </c>
      <c r="J226" s="2" t="s">
        <v>146</v>
      </c>
      <c r="K226" s="2" t="s">
        <v>146</v>
      </c>
      <c r="L226" s="2" t="s">
        <v>146</v>
      </c>
      <c r="M226" s="2" t="s">
        <v>146</v>
      </c>
      <c r="N226" s="2" t="s">
        <v>146</v>
      </c>
      <c r="O226" s="2" t="s">
        <v>146</v>
      </c>
      <c r="P226" s="2" t="s">
        <v>146</v>
      </c>
      <c r="Q226" s="2" t="s">
        <v>146</v>
      </c>
      <c r="R226" s="2" t="s">
        <v>146</v>
      </c>
      <c r="S226" s="2" t="s">
        <v>146</v>
      </c>
      <c r="T226" s="2" t="s">
        <v>146</v>
      </c>
      <c r="U226" s="2" t="s">
        <v>146</v>
      </c>
      <c r="V226" s="2" t="s">
        <v>146</v>
      </c>
      <c r="W226" s="2" t="s">
        <v>146</v>
      </c>
      <c r="X226" s="2" t="s">
        <v>146</v>
      </c>
      <c r="Y226" s="2" t="s">
        <v>146</v>
      </c>
      <c r="Z226" s="2" t="s">
        <v>146</v>
      </c>
      <c r="AA226" s="2" t="s">
        <v>146</v>
      </c>
      <c r="AB226" s="2" t="s">
        <v>146</v>
      </c>
      <c r="AC226" s="2" t="s">
        <v>146</v>
      </c>
      <c r="AD226" s="2" t="s">
        <v>146</v>
      </c>
      <c r="AE226" s="2" t="s">
        <v>155</v>
      </c>
      <c r="AF226" s="2" t="s">
        <v>146</v>
      </c>
      <c r="AG226" s="2" t="s">
        <v>146</v>
      </c>
      <c r="AH226" s="2" t="s">
        <v>146</v>
      </c>
      <c r="AI226" s="2" t="s">
        <v>146</v>
      </c>
      <c r="AJ226" s="2" t="s">
        <v>146</v>
      </c>
      <c r="AK226" s="2" t="s">
        <v>146</v>
      </c>
      <c r="AL226" s="2" t="s">
        <v>146</v>
      </c>
      <c r="AM226" s="2" t="s">
        <v>146</v>
      </c>
      <c r="AN226" s="2" t="s">
        <v>146</v>
      </c>
      <c r="AO226" s="2" t="s">
        <v>146</v>
      </c>
      <c r="AP226" s="2" t="s">
        <v>146</v>
      </c>
      <c r="AQ226" s="2" t="s">
        <v>146</v>
      </c>
      <c r="AR226" s="2" t="s">
        <v>146</v>
      </c>
      <c r="AV226" s="2">
        <f t="shared" si="30"/>
        <v>0</v>
      </c>
      <c r="AW226" s="2">
        <f t="shared" si="31"/>
        <v>0</v>
      </c>
      <c r="AX226" s="27" t="str">
        <f t="shared" si="32"/>
        <v/>
      </c>
      <c r="BA226" s="2">
        <f t="shared" si="33"/>
        <v>0</v>
      </c>
      <c r="BB226" s="2">
        <f t="shared" si="34"/>
        <v>0</v>
      </c>
      <c r="BC226" s="2">
        <f t="shared" si="35"/>
        <v>0</v>
      </c>
      <c r="BD226" s="2">
        <f t="shared" si="36"/>
        <v>0</v>
      </c>
      <c r="BE226" s="2">
        <f t="shared" si="37"/>
        <v>0</v>
      </c>
      <c r="BF226" s="2">
        <f t="shared" si="38"/>
        <v>0</v>
      </c>
      <c r="BJ226" s="2" t="str">
        <f t="shared" si="39"/>
        <v/>
      </c>
    </row>
    <row r="227" spans="1:62" ht="15" customHeight="1" x14ac:dyDescent="0.45">
      <c r="A227" s="2" t="s">
        <v>4</v>
      </c>
      <c r="B227" s="2" t="s">
        <v>383</v>
      </c>
      <c r="C227" s="2">
        <v>2019</v>
      </c>
      <c r="D227" s="2" t="s">
        <v>49</v>
      </c>
      <c r="E227" s="2" t="s">
        <v>49</v>
      </c>
      <c r="F227" s="2" t="s">
        <v>49</v>
      </c>
      <c r="G227" s="2" t="s">
        <v>49</v>
      </c>
      <c r="H227" s="2" t="s">
        <v>49</v>
      </c>
      <c r="I227" s="2" t="s">
        <v>49</v>
      </c>
      <c r="J227" s="2" t="s">
        <v>49</v>
      </c>
      <c r="K227" s="2" t="s">
        <v>49</v>
      </c>
      <c r="L227" s="2" t="s">
        <v>49</v>
      </c>
      <c r="M227" s="2" t="s">
        <v>49</v>
      </c>
      <c r="N227" s="2" t="s">
        <v>49</v>
      </c>
      <c r="O227" s="2" t="s">
        <v>49</v>
      </c>
      <c r="P227" s="2" t="s">
        <v>49</v>
      </c>
      <c r="Q227" s="2" t="s">
        <v>49</v>
      </c>
      <c r="R227" s="2" t="s">
        <v>49</v>
      </c>
      <c r="S227" s="2" t="s">
        <v>49</v>
      </c>
      <c r="T227" s="2" t="s">
        <v>49</v>
      </c>
      <c r="U227" s="2" t="s">
        <v>49</v>
      </c>
      <c r="V227" s="2" t="s">
        <v>49</v>
      </c>
      <c r="W227" s="2" t="s">
        <v>49</v>
      </c>
      <c r="X227" s="2" t="s">
        <v>49</v>
      </c>
      <c r="Y227" s="2" t="s">
        <v>49</v>
      </c>
      <c r="Z227" s="2" t="s">
        <v>49</v>
      </c>
      <c r="AA227" s="2" t="s">
        <v>49</v>
      </c>
      <c r="AB227" s="2" t="s">
        <v>49</v>
      </c>
      <c r="AC227" s="2" t="s">
        <v>49</v>
      </c>
      <c r="AD227" s="2" t="s">
        <v>49</v>
      </c>
      <c r="AE227" s="2" t="s">
        <v>49</v>
      </c>
      <c r="AF227" s="2" t="s">
        <v>49</v>
      </c>
      <c r="AG227" s="2" t="s">
        <v>49</v>
      </c>
      <c r="AH227" s="2" t="s">
        <v>49</v>
      </c>
      <c r="AI227" s="2" t="s">
        <v>49</v>
      </c>
      <c r="AJ227" s="2" t="s">
        <v>49</v>
      </c>
      <c r="AK227" s="2" t="s">
        <v>49</v>
      </c>
      <c r="AL227" s="2" t="s">
        <v>49</v>
      </c>
      <c r="AM227" s="2" t="s">
        <v>49</v>
      </c>
      <c r="AN227" s="2" t="s">
        <v>49</v>
      </c>
      <c r="AO227" s="2" t="s">
        <v>49</v>
      </c>
      <c r="AP227" s="2" t="s">
        <v>49</v>
      </c>
      <c r="AQ227" s="2" t="s">
        <v>49</v>
      </c>
      <c r="AR227" s="2" t="s">
        <v>49</v>
      </c>
      <c r="AV227" s="2">
        <f t="shared" si="30"/>
        <v>0</v>
      </c>
      <c r="AW227" s="2">
        <f t="shared" si="31"/>
        <v>0</v>
      </c>
      <c r="AX227" s="27" t="str">
        <f t="shared" si="32"/>
        <v/>
      </c>
      <c r="BA227" s="2">
        <f t="shared" si="33"/>
        <v>0</v>
      </c>
      <c r="BB227" s="2">
        <f t="shared" si="34"/>
        <v>0</v>
      </c>
      <c r="BC227" s="2">
        <f t="shared" si="35"/>
        <v>0</v>
      </c>
      <c r="BD227" s="2">
        <f t="shared" si="36"/>
        <v>0</v>
      </c>
      <c r="BE227" s="2">
        <f t="shared" si="37"/>
        <v>0</v>
      </c>
      <c r="BF227" s="2">
        <f t="shared" si="38"/>
        <v>0</v>
      </c>
      <c r="BJ227" s="2" t="str">
        <f t="shared" si="39"/>
        <v/>
      </c>
    </row>
    <row r="228" spans="1:62" ht="15" customHeight="1" x14ac:dyDescent="0.45">
      <c r="A228" s="2" t="s">
        <v>4</v>
      </c>
      <c r="B228" s="2" t="s">
        <v>382</v>
      </c>
      <c r="C228" s="2">
        <v>2019</v>
      </c>
      <c r="D228" s="2" t="s">
        <v>49</v>
      </c>
      <c r="E228" s="2" t="s">
        <v>49</v>
      </c>
      <c r="F228" s="2" t="s">
        <v>49</v>
      </c>
      <c r="G228" s="2" t="s">
        <v>49</v>
      </c>
      <c r="H228" s="2" t="s">
        <v>49</v>
      </c>
      <c r="I228" s="2" t="s">
        <v>49</v>
      </c>
      <c r="J228" s="2" t="s">
        <v>49</v>
      </c>
      <c r="K228" s="2" t="s">
        <v>49</v>
      </c>
      <c r="L228" s="2" t="s">
        <v>49</v>
      </c>
      <c r="M228" s="2" t="s">
        <v>49</v>
      </c>
      <c r="N228" s="2" t="s">
        <v>49</v>
      </c>
      <c r="O228" s="2" t="s">
        <v>49</v>
      </c>
      <c r="P228" s="2" t="s">
        <v>49</v>
      </c>
      <c r="Q228" s="2" t="s">
        <v>49</v>
      </c>
      <c r="R228" s="2" t="s">
        <v>49</v>
      </c>
      <c r="S228" s="2" t="s">
        <v>49</v>
      </c>
      <c r="T228" s="2" t="s">
        <v>49</v>
      </c>
      <c r="U228" s="2" t="s">
        <v>49</v>
      </c>
      <c r="V228" s="2" t="s">
        <v>49</v>
      </c>
      <c r="W228" s="2" t="s">
        <v>49</v>
      </c>
      <c r="X228" s="2" t="s">
        <v>49</v>
      </c>
      <c r="Y228" s="2" t="s">
        <v>49</v>
      </c>
      <c r="Z228" s="2" t="s">
        <v>49</v>
      </c>
      <c r="AA228" s="2" t="s">
        <v>49</v>
      </c>
      <c r="AB228" s="2" t="s">
        <v>49</v>
      </c>
      <c r="AC228" s="2" t="s">
        <v>49</v>
      </c>
      <c r="AD228" s="2" t="s">
        <v>49</v>
      </c>
      <c r="AE228" s="2" t="s">
        <v>49</v>
      </c>
      <c r="AF228" s="2" t="s">
        <v>49</v>
      </c>
      <c r="AG228" s="2" t="s">
        <v>49</v>
      </c>
      <c r="AH228" s="2" t="s">
        <v>49</v>
      </c>
      <c r="AI228" s="2" t="s">
        <v>49</v>
      </c>
      <c r="AJ228" s="2" t="s">
        <v>49</v>
      </c>
      <c r="AK228" s="2" t="s">
        <v>49</v>
      </c>
      <c r="AL228" s="2" t="s">
        <v>49</v>
      </c>
      <c r="AM228" s="2" t="s">
        <v>49</v>
      </c>
      <c r="AN228" s="2" t="s">
        <v>49</v>
      </c>
      <c r="AO228" s="2" t="s">
        <v>49</v>
      </c>
      <c r="AP228" s="2" t="s">
        <v>49</v>
      </c>
      <c r="AQ228" s="2" t="s">
        <v>49</v>
      </c>
      <c r="AR228" s="2" t="s">
        <v>49</v>
      </c>
      <c r="AV228" s="2">
        <f t="shared" si="30"/>
        <v>0</v>
      </c>
      <c r="AW228" s="2">
        <f t="shared" si="31"/>
        <v>0</v>
      </c>
      <c r="AX228" s="27" t="str">
        <f t="shared" si="32"/>
        <v/>
      </c>
      <c r="BA228" s="2">
        <f t="shared" si="33"/>
        <v>0</v>
      </c>
      <c r="BB228" s="2">
        <f t="shared" si="34"/>
        <v>0</v>
      </c>
      <c r="BC228" s="2">
        <f t="shared" si="35"/>
        <v>0</v>
      </c>
      <c r="BD228" s="2">
        <f t="shared" si="36"/>
        <v>0</v>
      </c>
      <c r="BE228" s="2">
        <f t="shared" si="37"/>
        <v>0</v>
      </c>
      <c r="BF228" s="2">
        <f t="shared" si="38"/>
        <v>0</v>
      </c>
      <c r="BJ228" s="2" t="str">
        <f t="shared" si="39"/>
        <v/>
      </c>
    </row>
    <row r="229" spans="1:62" ht="15" customHeight="1" x14ac:dyDescent="0.45">
      <c r="A229" s="2" t="s">
        <v>4</v>
      </c>
      <c r="B229" s="2" t="s">
        <v>5</v>
      </c>
      <c r="C229" s="2">
        <v>2019</v>
      </c>
      <c r="D229" s="2" t="s">
        <v>49</v>
      </c>
      <c r="E229" s="2" t="s">
        <v>49</v>
      </c>
      <c r="F229" s="2" t="s">
        <v>49</v>
      </c>
      <c r="G229" s="2" t="s">
        <v>49</v>
      </c>
      <c r="H229" s="2" t="s">
        <v>49</v>
      </c>
      <c r="I229" s="2" t="s">
        <v>49</v>
      </c>
      <c r="J229" s="2" t="s">
        <v>49</v>
      </c>
      <c r="K229" s="2" t="s">
        <v>49</v>
      </c>
      <c r="L229" s="2" t="s">
        <v>49</v>
      </c>
      <c r="M229" s="2" t="s">
        <v>49</v>
      </c>
      <c r="N229" s="2" t="s">
        <v>49</v>
      </c>
      <c r="O229" s="2" t="s">
        <v>49</v>
      </c>
      <c r="P229" s="2" t="s">
        <v>49</v>
      </c>
      <c r="Q229" s="2" t="s">
        <v>49</v>
      </c>
      <c r="R229" s="2" t="s">
        <v>49</v>
      </c>
      <c r="S229" s="2" t="s">
        <v>49</v>
      </c>
      <c r="T229" s="2" t="s">
        <v>49</v>
      </c>
      <c r="U229" s="2" t="s">
        <v>49</v>
      </c>
      <c r="V229" s="2" t="s">
        <v>49</v>
      </c>
      <c r="W229" s="2" t="s">
        <v>49</v>
      </c>
      <c r="X229" s="2" t="s">
        <v>49</v>
      </c>
      <c r="Y229" s="2" t="s">
        <v>49</v>
      </c>
      <c r="Z229" s="2" t="s">
        <v>49</v>
      </c>
      <c r="AA229" s="2" t="s">
        <v>49</v>
      </c>
      <c r="AB229" s="2" t="s">
        <v>49</v>
      </c>
      <c r="AC229" s="2" t="s">
        <v>49</v>
      </c>
      <c r="AD229" s="2" t="s">
        <v>49</v>
      </c>
      <c r="AE229" s="2" t="s">
        <v>49</v>
      </c>
      <c r="AF229" s="2" t="s">
        <v>49</v>
      </c>
      <c r="AG229" s="2" t="s">
        <v>49</v>
      </c>
      <c r="AH229" s="2" t="s">
        <v>49</v>
      </c>
      <c r="AI229" s="2" t="s">
        <v>49</v>
      </c>
      <c r="AJ229" s="2" t="s">
        <v>49</v>
      </c>
      <c r="AK229" s="2" t="s">
        <v>49</v>
      </c>
      <c r="AL229" s="2" t="s">
        <v>49</v>
      </c>
      <c r="AM229" s="2" t="s">
        <v>49</v>
      </c>
      <c r="AN229" s="2" t="s">
        <v>49</v>
      </c>
      <c r="AO229" s="2" t="s">
        <v>49</v>
      </c>
      <c r="AP229" s="2" t="s">
        <v>49</v>
      </c>
      <c r="AQ229" s="2" t="s">
        <v>49</v>
      </c>
      <c r="AR229" s="2" t="s">
        <v>49</v>
      </c>
      <c r="AV229" s="2">
        <f t="shared" si="30"/>
        <v>0</v>
      </c>
      <c r="AW229" s="2">
        <f t="shared" si="31"/>
        <v>0</v>
      </c>
      <c r="AX229" s="27" t="str">
        <f t="shared" si="32"/>
        <v/>
      </c>
      <c r="BA229" s="2">
        <f t="shared" si="33"/>
        <v>0</v>
      </c>
      <c r="BB229" s="2">
        <f t="shared" si="34"/>
        <v>0</v>
      </c>
      <c r="BC229" s="2">
        <f t="shared" si="35"/>
        <v>0</v>
      </c>
      <c r="BD229" s="2">
        <f t="shared" si="36"/>
        <v>0</v>
      </c>
      <c r="BE229" s="2">
        <f t="shared" si="37"/>
        <v>0</v>
      </c>
      <c r="BF229" s="2">
        <f t="shared" si="38"/>
        <v>0</v>
      </c>
      <c r="BJ229" s="2" t="str">
        <f t="shared" si="39"/>
        <v/>
      </c>
    </row>
    <row r="230" spans="1:62" ht="15" customHeight="1" x14ac:dyDescent="0.45">
      <c r="A230" s="2" t="s">
        <v>381</v>
      </c>
      <c r="B230" s="2" t="s">
        <v>380</v>
      </c>
      <c r="C230" s="2">
        <v>2019</v>
      </c>
      <c r="D230" s="2">
        <v>53.14</v>
      </c>
      <c r="E230" s="2">
        <v>47.71</v>
      </c>
      <c r="F230" s="2">
        <v>0</v>
      </c>
      <c r="G230" s="2">
        <v>0.02</v>
      </c>
      <c r="H230" s="2">
        <v>0</v>
      </c>
      <c r="I230" s="2">
        <v>0</v>
      </c>
      <c r="J230" s="2">
        <v>0</v>
      </c>
      <c r="K230" s="2">
        <v>0</v>
      </c>
      <c r="L230" s="2">
        <v>0</v>
      </c>
      <c r="M230" s="2" t="s">
        <v>49</v>
      </c>
      <c r="N230" s="2">
        <v>0.85299999999999998</v>
      </c>
      <c r="O230" s="2">
        <v>8.59</v>
      </c>
      <c r="P230" s="2">
        <v>4.4980000000000002</v>
      </c>
      <c r="Q230" s="2">
        <v>18.704000000000001</v>
      </c>
      <c r="R230" s="2">
        <v>0</v>
      </c>
      <c r="S230" s="2">
        <v>5.984</v>
      </c>
      <c r="T230" s="2" t="s">
        <v>147</v>
      </c>
      <c r="U230" s="2">
        <v>0</v>
      </c>
      <c r="V230" s="2">
        <v>0</v>
      </c>
      <c r="W230" s="2">
        <v>0</v>
      </c>
      <c r="X230" s="2">
        <v>0</v>
      </c>
      <c r="Y230" s="2">
        <v>0</v>
      </c>
      <c r="Z230" s="2">
        <v>0</v>
      </c>
      <c r="AA230" s="2">
        <v>0</v>
      </c>
      <c r="AB230" s="2">
        <v>0</v>
      </c>
      <c r="AC230" s="2">
        <v>0</v>
      </c>
      <c r="AD230" s="2" t="s">
        <v>146</v>
      </c>
      <c r="AE230" s="2" t="s">
        <v>155</v>
      </c>
      <c r="AF230" s="2" t="s">
        <v>146</v>
      </c>
      <c r="AG230" s="2">
        <v>0</v>
      </c>
      <c r="AH230" s="2">
        <v>9.0609999999999999</v>
      </c>
      <c r="AI230" s="2">
        <v>0</v>
      </c>
      <c r="AJ230" s="2" t="s">
        <v>146</v>
      </c>
      <c r="AK230" s="2">
        <v>0</v>
      </c>
      <c r="AL230" s="2">
        <v>0</v>
      </c>
      <c r="AM230" s="2">
        <v>0</v>
      </c>
      <c r="AN230" s="2" t="s">
        <v>49</v>
      </c>
      <c r="AO230" s="2">
        <v>100</v>
      </c>
      <c r="AP230" s="2">
        <v>0</v>
      </c>
      <c r="AQ230" s="2">
        <v>0</v>
      </c>
      <c r="AR230" s="2">
        <v>0</v>
      </c>
      <c r="AV230" s="2">
        <f t="shared" si="30"/>
        <v>47.71</v>
      </c>
      <c r="AW230" s="2">
        <f t="shared" si="31"/>
        <v>53.14</v>
      </c>
      <c r="AX230" s="27">
        <f t="shared" si="32"/>
        <v>1.1138126178998113</v>
      </c>
      <c r="BA230" s="2">
        <f t="shared" si="33"/>
        <v>9.0609999999999999</v>
      </c>
      <c r="BB230" s="2">
        <f t="shared" si="34"/>
        <v>9.0609999999999999</v>
      </c>
      <c r="BC230" s="2">
        <f t="shared" si="35"/>
        <v>0</v>
      </c>
      <c r="BD230" s="2">
        <f t="shared" si="36"/>
        <v>0</v>
      </c>
      <c r="BE230" s="2">
        <f t="shared" si="37"/>
        <v>0</v>
      </c>
      <c r="BF230" s="2">
        <f t="shared" si="38"/>
        <v>0</v>
      </c>
      <c r="BJ230" s="2" t="str">
        <f t="shared" si="39"/>
        <v/>
      </c>
    </row>
    <row r="231" spans="1:62" ht="15" customHeight="1" x14ac:dyDescent="0.45">
      <c r="A231" s="2" t="s">
        <v>376</v>
      </c>
      <c r="B231" s="2" t="s">
        <v>379</v>
      </c>
      <c r="C231" s="2">
        <v>2019</v>
      </c>
      <c r="D231" s="2">
        <v>7.95</v>
      </c>
      <c r="E231" s="2">
        <v>7.7050000000000001</v>
      </c>
      <c r="F231" s="2" t="s">
        <v>146</v>
      </c>
      <c r="G231" s="2">
        <v>1.4999999999999999E-2</v>
      </c>
      <c r="H231" s="2" t="s">
        <v>146</v>
      </c>
      <c r="I231" s="2" t="s">
        <v>146</v>
      </c>
      <c r="J231" s="2" t="s">
        <v>146</v>
      </c>
      <c r="K231" s="2" t="s">
        <v>146</v>
      </c>
      <c r="L231" s="2" t="s">
        <v>146</v>
      </c>
      <c r="M231" s="2" t="s">
        <v>49</v>
      </c>
      <c r="N231" s="2" t="s">
        <v>146</v>
      </c>
      <c r="O231" s="2" t="s">
        <v>146</v>
      </c>
      <c r="P231" s="2" t="s">
        <v>146</v>
      </c>
      <c r="Q231" s="2" t="s">
        <v>146</v>
      </c>
      <c r="R231" s="2" t="s">
        <v>146</v>
      </c>
      <c r="S231" s="2" t="s">
        <v>146</v>
      </c>
      <c r="T231" s="2" t="s">
        <v>146</v>
      </c>
      <c r="U231" s="2">
        <v>7.69</v>
      </c>
      <c r="V231" s="2" t="s">
        <v>146</v>
      </c>
      <c r="W231" s="2" t="s">
        <v>146</v>
      </c>
      <c r="X231" s="2" t="s">
        <v>146</v>
      </c>
      <c r="Y231" s="2" t="s">
        <v>146</v>
      </c>
      <c r="Z231" s="2" t="s">
        <v>146</v>
      </c>
      <c r="AA231" s="2" t="s">
        <v>146</v>
      </c>
      <c r="AB231" s="2" t="s">
        <v>146</v>
      </c>
      <c r="AC231" s="2" t="s">
        <v>146</v>
      </c>
      <c r="AD231" s="2" t="s">
        <v>146</v>
      </c>
      <c r="AE231" s="2" t="s">
        <v>146</v>
      </c>
      <c r="AF231" s="2" t="s">
        <v>146</v>
      </c>
      <c r="AG231" s="2" t="s">
        <v>146</v>
      </c>
      <c r="AH231" s="2" t="s">
        <v>146</v>
      </c>
      <c r="AI231" s="2" t="s">
        <v>146</v>
      </c>
      <c r="AJ231" s="2" t="s">
        <v>146</v>
      </c>
      <c r="AK231" s="2" t="s">
        <v>146</v>
      </c>
      <c r="AL231" s="2" t="s">
        <v>146</v>
      </c>
      <c r="AM231" s="2" t="s">
        <v>146</v>
      </c>
      <c r="AN231" s="2" t="s">
        <v>49</v>
      </c>
      <c r="AO231" s="2" t="s">
        <v>146</v>
      </c>
      <c r="AP231" s="2" t="s">
        <v>146</v>
      </c>
      <c r="AQ231" s="2" t="s">
        <v>146</v>
      </c>
      <c r="AR231" s="2" t="s">
        <v>146</v>
      </c>
      <c r="AV231" s="2">
        <f t="shared" si="30"/>
        <v>7.7050000000000001</v>
      </c>
      <c r="AW231" s="2">
        <f t="shared" si="31"/>
        <v>7.95</v>
      </c>
      <c r="AX231" s="27">
        <f t="shared" si="32"/>
        <v>1.0317975340687866</v>
      </c>
      <c r="BA231" s="2">
        <f t="shared" si="33"/>
        <v>0</v>
      </c>
      <c r="BB231" s="2">
        <f t="shared" si="34"/>
        <v>0</v>
      </c>
      <c r="BC231" s="2">
        <f t="shared" si="35"/>
        <v>0</v>
      </c>
      <c r="BD231" s="2">
        <f t="shared" si="36"/>
        <v>0</v>
      </c>
      <c r="BE231" s="2">
        <f t="shared" si="37"/>
        <v>0</v>
      </c>
      <c r="BF231" s="2">
        <f t="shared" si="38"/>
        <v>0</v>
      </c>
      <c r="BJ231" s="2" t="str">
        <f t="shared" si="39"/>
        <v/>
      </c>
    </row>
    <row r="232" spans="1:62" ht="15" customHeight="1" x14ac:dyDescent="0.45">
      <c r="A232" s="2" t="s">
        <v>376</v>
      </c>
      <c r="B232" s="2" t="s">
        <v>378</v>
      </c>
      <c r="C232" s="2">
        <v>2019</v>
      </c>
      <c r="D232" s="2">
        <v>3.92</v>
      </c>
      <c r="E232" s="2">
        <v>3.91</v>
      </c>
      <c r="F232" s="2" t="s">
        <v>146</v>
      </c>
      <c r="G232" s="2">
        <v>2.2799999999999998</v>
      </c>
      <c r="H232" s="2" t="s">
        <v>146</v>
      </c>
      <c r="I232" s="2" t="s">
        <v>146</v>
      </c>
      <c r="J232" s="2" t="s">
        <v>146</v>
      </c>
      <c r="K232" s="2" t="s">
        <v>146</v>
      </c>
      <c r="L232" s="2">
        <v>1.63</v>
      </c>
      <c r="M232" s="2" t="s">
        <v>49</v>
      </c>
      <c r="N232" s="2" t="s">
        <v>146</v>
      </c>
      <c r="O232" s="2" t="s">
        <v>146</v>
      </c>
      <c r="P232" s="2" t="s">
        <v>146</v>
      </c>
      <c r="Q232" s="2" t="s">
        <v>146</v>
      </c>
      <c r="R232" s="2" t="s">
        <v>146</v>
      </c>
      <c r="S232" s="2" t="s">
        <v>146</v>
      </c>
      <c r="T232" s="2" t="s">
        <v>146</v>
      </c>
      <c r="U232" s="2" t="s">
        <v>146</v>
      </c>
      <c r="V232" s="2" t="s">
        <v>146</v>
      </c>
      <c r="W232" s="2" t="s">
        <v>146</v>
      </c>
      <c r="X232" s="2" t="s">
        <v>146</v>
      </c>
      <c r="Y232" s="2" t="s">
        <v>146</v>
      </c>
      <c r="Z232" s="2" t="s">
        <v>146</v>
      </c>
      <c r="AA232" s="2" t="s">
        <v>146</v>
      </c>
      <c r="AB232" s="2" t="s">
        <v>146</v>
      </c>
      <c r="AC232" s="2" t="s">
        <v>146</v>
      </c>
      <c r="AD232" s="2" t="s">
        <v>146</v>
      </c>
      <c r="AE232" s="2" t="s">
        <v>146</v>
      </c>
      <c r="AF232" s="2" t="s">
        <v>146</v>
      </c>
      <c r="AG232" s="2" t="s">
        <v>146</v>
      </c>
      <c r="AH232" s="2" t="s">
        <v>146</v>
      </c>
      <c r="AI232" s="2" t="s">
        <v>146</v>
      </c>
      <c r="AJ232" s="2" t="s">
        <v>146</v>
      </c>
      <c r="AK232" s="2" t="s">
        <v>146</v>
      </c>
      <c r="AL232" s="2" t="s">
        <v>146</v>
      </c>
      <c r="AM232" s="2" t="s">
        <v>146</v>
      </c>
      <c r="AN232" s="2" t="s">
        <v>49</v>
      </c>
      <c r="AO232" s="2" t="s">
        <v>146</v>
      </c>
      <c r="AP232" s="2" t="s">
        <v>146</v>
      </c>
      <c r="AQ232" s="2" t="s">
        <v>146</v>
      </c>
      <c r="AR232" s="2" t="s">
        <v>146</v>
      </c>
      <c r="AV232" s="2">
        <f t="shared" si="30"/>
        <v>3.9099999999999997</v>
      </c>
      <c r="AW232" s="2">
        <f t="shared" si="31"/>
        <v>3.92</v>
      </c>
      <c r="AX232" s="27">
        <f t="shared" si="32"/>
        <v>1.0025575447570334</v>
      </c>
      <c r="BA232" s="2">
        <f t="shared" si="33"/>
        <v>0</v>
      </c>
      <c r="BB232" s="2">
        <f t="shared" si="34"/>
        <v>0</v>
      </c>
      <c r="BC232" s="2">
        <f t="shared" si="35"/>
        <v>0</v>
      </c>
      <c r="BD232" s="2">
        <f t="shared" si="36"/>
        <v>0</v>
      </c>
      <c r="BE232" s="2">
        <f t="shared" si="37"/>
        <v>0</v>
      </c>
      <c r="BF232" s="2">
        <f t="shared" si="38"/>
        <v>0</v>
      </c>
      <c r="BJ232" s="2" t="str">
        <f t="shared" si="39"/>
        <v/>
      </c>
    </row>
    <row r="233" spans="1:62" ht="15" customHeight="1" x14ac:dyDescent="0.45">
      <c r="A233" s="2" t="s">
        <v>376</v>
      </c>
      <c r="B233" s="2" t="s">
        <v>377</v>
      </c>
      <c r="C233" s="2">
        <v>2019</v>
      </c>
      <c r="D233" s="2" t="s">
        <v>146</v>
      </c>
      <c r="E233" s="2" t="s">
        <v>146</v>
      </c>
      <c r="F233" s="2" t="s">
        <v>146</v>
      </c>
      <c r="G233" s="2" t="s">
        <v>146</v>
      </c>
      <c r="H233" s="2" t="s">
        <v>146</v>
      </c>
      <c r="I233" s="2" t="s">
        <v>146</v>
      </c>
      <c r="J233" s="2" t="s">
        <v>146</v>
      </c>
      <c r="K233" s="2" t="s">
        <v>146</v>
      </c>
      <c r="L233" s="2" t="s">
        <v>146</v>
      </c>
      <c r="M233" s="2" t="s">
        <v>49</v>
      </c>
      <c r="N233" s="2" t="s">
        <v>146</v>
      </c>
      <c r="O233" s="2" t="s">
        <v>146</v>
      </c>
      <c r="P233" s="2" t="s">
        <v>146</v>
      </c>
      <c r="Q233" s="2" t="s">
        <v>146</v>
      </c>
      <c r="R233" s="2" t="s">
        <v>146</v>
      </c>
      <c r="S233" s="2" t="s">
        <v>146</v>
      </c>
      <c r="T233" s="2" t="s">
        <v>146</v>
      </c>
      <c r="U233" s="2" t="s">
        <v>146</v>
      </c>
      <c r="V233" s="2" t="s">
        <v>146</v>
      </c>
      <c r="W233" s="2" t="s">
        <v>146</v>
      </c>
      <c r="X233" s="2" t="s">
        <v>146</v>
      </c>
      <c r="Y233" s="2" t="s">
        <v>146</v>
      </c>
      <c r="Z233" s="2" t="s">
        <v>146</v>
      </c>
      <c r="AA233" s="2" t="s">
        <v>146</v>
      </c>
      <c r="AB233" s="2" t="s">
        <v>146</v>
      </c>
      <c r="AC233" s="2" t="s">
        <v>146</v>
      </c>
      <c r="AD233" s="2" t="s">
        <v>146</v>
      </c>
      <c r="AE233" s="2" t="s">
        <v>146</v>
      </c>
      <c r="AF233" s="2" t="s">
        <v>146</v>
      </c>
      <c r="AG233" s="2" t="s">
        <v>146</v>
      </c>
      <c r="AH233" s="2" t="s">
        <v>146</v>
      </c>
      <c r="AI233" s="2" t="s">
        <v>146</v>
      </c>
      <c r="AJ233" s="2" t="s">
        <v>146</v>
      </c>
      <c r="AK233" s="2" t="s">
        <v>146</v>
      </c>
      <c r="AL233" s="2" t="s">
        <v>146</v>
      </c>
      <c r="AM233" s="2" t="s">
        <v>146</v>
      </c>
      <c r="AN233" s="2" t="s">
        <v>49</v>
      </c>
      <c r="AO233" s="2" t="s">
        <v>146</v>
      </c>
      <c r="AP233" s="2" t="s">
        <v>146</v>
      </c>
      <c r="AQ233" s="2" t="s">
        <v>146</v>
      </c>
      <c r="AR233" s="2" t="s">
        <v>146</v>
      </c>
      <c r="AV233" s="2">
        <f t="shared" si="30"/>
        <v>0</v>
      </c>
      <c r="AW233" s="2">
        <f t="shared" si="31"/>
        <v>0</v>
      </c>
      <c r="AX233" s="27" t="str">
        <f t="shared" si="32"/>
        <v/>
      </c>
      <c r="BA233" s="2">
        <f t="shared" si="33"/>
        <v>0</v>
      </c>
      <c r="BB233" s="2">
        <f t="shared" si="34"/>
        <v>0</v>
      </c>
      <c r="BC233" s="2">
        <f t="shared" si="35"/>
        <v>0</v>
      </c>
      <c r="BD233" s="2">
        <f t="shared" si="36"/>
        <v>0</v>
      </c>
      <c r="BE233" s="2">
        <f t="shared" si="37"/>
        <v>0</v>
      </c>
      <c r="BF233" s="2">
        <f t="shared" si="38"/>
        <v>0</v>
      </c>
      <c r="BJ233" s="2" t="str">
        <f t="shared" si="39"/>
        <v/>
      </c>
    </row>
    <row r="234" spans="1:62" ht="15" customHeight="1" x14ac:dyDescent="0.45">
      <c r="A234" s="2" t="s">
        <v>376</v>
      </c>
      <c r="B234" s="2" t="s">
        <v>375</v>
      </c>
      <c r="C234" s="2">
        <v>2019</v>
      </c>
      <c r="D234" s="2">
        <v>2.5</v>
      </c>
      <c r="E234" s="2">
        <v>2.5030000000000001</v>
      </c>
      <c r="F234" s="2" t="s">
        <v>146</v>
      </c>
      <c r="G234" s="2">
        <v>8.4000000000000005E-2</v>
      </c>
      <c r="H234" s="2" t="s">
        <v>146</v>
      </c>
      <c r="I234" s="2" t="s">
        <v>146</v>
      </c>
      <c r="J234" s="2" t="s">
        <v>146</v>
      </c>
      <c r="K234" s="2" t="s">
        <v>146</v>
      </c>
      <c r="L234" s="2" t="s">
        <v>146</v>
      </c>
      <c r="M234" s="2" t="s">
        <v>49</v>
      </c>
      <c r="N234" s="2" t="s">
        <v>146</v>
      </c>
      <c r="O234" s="2" t="s">
        <v>146</v>
      </c>
      <c r="P234" s="2" t="s">
        <v>146</v>
      </c>
      <c r="Q234" s="2" t="s">
        <v>146</v>
      </c>
      <c r="R234" s="2" t="s">
        <v>146</v>
      </c>
      <c r="S234" s="2" t="s">
        <v>146</v>
      </c>
      <c r="T234" s="2" t="s">
        <v>146</v>
      </c>
      <c r="U234" s="2">
        <v>2.351</v>
      </c>
      <c r="V234" s="2" t="s">
        <v>146</v>
      </c>
      <c r="W234" s="2" t="s">
        <v>146</v>
      </c>
      <c r="X234" s="2" t="s">
        <v>146</v>
      </c>
      <c r="Y234" s="2" t="s">
        <v>146</v>
      </c>
      <c r="Z234" s="2" t="s">
        <v>146</v>
      </c>
      <c r="AA234" s="2" t="s">
        <v>146</v>
      </c>
      <c r="AB234" s="2" t="s">
        <v>146</v>
      </c>
      <c r="AC234" s="2" t="s">
        <v>146</v>
      </c>
      <c r="AD234" s="2" t="s">
        <v>146</v>
      </c>
      <c r="AE234" s="2" t="s">
        <v>146</v>
      </c>
      <c r="AF234" s="2" t="s">
        <v>146</v>
      </c>
      <c r="AG234" s="2" t="s">
        <v>146</v>
      </c>
      <c r="AH234" s="2" t="s">
        <v>146</v>
      </c>
      <c r="AI234" s="2" t="s">
        <v>146</v>
      </c>
      <c r="AJ234" s="2" t="s">
        <v>146</v>
      </c>
      <c r="AK234" s="2" t="s">
        <v>146</v>
      </c>
      <c r="AL234" s="2">
        <v>6.8000000000000005E-2</v>
      </c>
      <c r="AM234" s="2">
        <v>6.8000000000000005E-2</v>
      </c>
      <c r="AN234" s="2" t="s">
        <v>49</v>
      </c>
      <c r="AO234" s="2" t="s">
        <v>146</v>
      </c>
      <c r="AP234" s="2" t="s">
        <v>146</v>
      </c>
      <c r="AQ234" s="2" t="s">
        <v>146</v>
      </c>
      <c r="AR234" s="2" t="s">
        <v>146</v>
      </c>
      <c r="AV234" s="2">
        <f t="shared" si="30"/>
        <v>2.5030000000000001</v>
      </c>
      <c r="AW234" s="2">
        <f t="shared" si="31"/>
        <v>2.5</v>
      </c>
      <c r="AX234" s="27">
        <f t="shared" si="32"/>
        <v>0.99880143827407109</v>
      </c>
      <c r="BA234" s="2">
        <f t="shared" si="33"/>
        <v>0</v>
      </c>
      <c r="BB234" s="2">
        <f t="shared" si="34"/>
        <v>0</v>
      </c>
      <c r="BC234" s="2">
        <f t="shared" si="35"/>
        <v>0</v>
      </c>
      <c r="BD234" s="2">
        <f t="shared" si="36"/>
        <v>0</v>
      </c>
      <c r="BE234" s="2">
        <f t="shared" si="37"/>
        <v>0</v>
      </c>
      <c r="BF234" s="2">
        <f t="shared" si="38"/>
        <v>0</v>
      </c>
      <c r="BJ234" s="2" t="str">
        <f t="shared" si="39"/>
        <v/>
      </c>
    </row>
    <row r="235" spans="1:62" ht="15" customHeight="1" x14ac:dyDescent="0.45">
      <c r="A235" s="2" t="s">
        <v>374</v>
      </c>
      <c r="B235" s="2" t="s">
        <v>373</v>
      </c>
      <c r="C235" s="2">
        <v>2019</v>
      </c>
      <c r="D235" s="2" t="s">
        <v>49</v>
      </c>
      <c r="E235" s="2" t="s">
        <v>49</v>
      </c>
      <c r="F235" s="2" t="s">
        <v>49</v>
      </c>
      <c r="G235" s="2" t="s">
        <v>49</v>
      </c>
      <c r="H235" s="2" t="s">
        <v>49</v>
      </c>
      <c r="I235" s="2" t="s">
        <v>49</v>
      </c>
      <c r="J235" s="2" t="s">
        <v>49</v>
      </c>
      <c r="K235" s="2" t="s">
        <v>49</v>
      </c>
      <c r="L235" s="2" t="s">
        <v>49</v>
      </c>
      <c r="M235" s="2" t="s">
        <v>49</v>
      </c>
      <c r="N235" s="2" t="s">
        <v>49</v>
      </c>
      <c r="O235" s="2" t="s">
        <v>49</v>
      </c>
      <c r="P235" s="2" t="s">
        <v>49</v>
      </c>
      <c r="Q235" s="2" t="s">
        <v>49</v>
      </c>
      <c r="R235" s="2" t="s">
        <v>49</v>
      </c>
      <c r="S235" s="2" t="s">
        <v>49</v>
      </c>
      <c r="T235" s="2" t="s">
        <v>49</v>
      </c>
      <c r="U235" s="2" t="s">
        <v>49</v>
      </c>
      <c r="V235" s="2" t="s">
        <v>49</v>
      </c>
      <c r="W235" s="2" t="s">
        <v>49</v>
      </c>
      <c r="X235" s="2" t="s">
        <v>49</v>
      </c>
      <c r="Y235" s="2" t="s">
        <v>49</v>
      </c>
      <c r="Z235" s="2" t="s">
        <v>49</v>
      </c>
      <c r="AA235" s="2" t="s">
        <v>49</v>
      </c>
      <c r="AB235" s="2" t="s">
        <v>49</v>
      </c>
      <c r="AC235" s="2" t="s">
        <v>49</v>
      </c>
      <c r="AD235" s="2" t="s">
        <v>49</v>
      </c>
      <c r="AE235" s="2" t="s">
        <v>49</v>
      </c>
      <c r="AF235" s="2" t="s">
        <v>49</v>
      </c>
      <c r="AG235" s="2" t="s">
        <v>49</v>
      </c>
      <c r="AH235" s="2" t="s">
        <v>49</v>
      </c>
      <c r="AI235" s="2" t="s">
        <v>49</v>
      </c>
      <c r="AJ235" s="2" t="s">
        <v>49</v>
      </c>
      <c r="AK235" s="2" t="s">
        <v>49</v>
      </c>
      <c r="AL235" s="2" t="s">
        <v>49</v>
      </c>
      <c r="AM235" s="2" t="s">
        <v>49</v>
      </c>
      <c r="AN235" s="2" t="s">
        <v>49</v>
      </c>
      <c r="AO235" s="2" t="s">
        <v>49</v>
      </c>
      <c r="AP235" s="2" t="s">
        <v>49</v>
      </c>
      <c r="AQ235" s="2" t="s">
        <v>49</v>
      </c>
      <c r="AR235" s="2" t="s">
        <v>49</v>
      </c>
      <c r="AV235" s="2">
        <f t="shared" si="30"/>
        <v>0</v>
      </c>
      <c r="AW235" s="2">
        <f t="shared" si="31"/>
        <v>0</v>
      </c>
      <c r="AX235" s="27" t="str">
        <f t="shared" si="32"/>
        <v/>
      </c>
      <c r="BA235" s="2">
        <f t="shared" si="33"/>
        <v>0</v>
      </c>
      <c r="BB235" s="2">
        <f t="shared" si="34"/>
        <v>0</v>
      </c>
      <c r="BC235" s="2">
        <f t="shared" si="35"/>
        <v>0</v>
      </c>
      <c r="BD235" s="2">
        <f t="shared" si="36"/>
        <v>0</v>
      </c>
      <c r="BE235" s="2">
        <f t="shared" si="37"/>
        <v>0</v>
      </c>
      <c r="BF235" s="2">
        <f t="shared" si="38"/>
        <v>0</v>
      </c>
      <c r="BJ235" s="2" t="str">
        <f t="shared" si="39"/>
        <v/>
      </c>
    </row>
    <row r="236" spans="1:62" ht="15" customHeight="1" x14ac:dyDescent="0.45">
      <c r="A236" s="2" t="s">
        <v>371</v>
      </c>
      <c r="B236" s="2" t="s">
        <v>372</v>
      </c>
      <c r="C236" s="2">
        <v>2019</v>
      </c>
      <c r="D236" s="2">
        <v>16.7</v>
      </c>
      <c r="E236" s="2">
        <v>19.399999999999999</v>
      </c>
      <c r="F236" s="2" t="s">
        <v>146</v>
      </c>
      <c r="G236" s="2">
        <v>0.1</v>
      </c>
      <c r="H236" s="2" t="s">
        <v>146</v>
      </c>
      <c r="I236" s="2" t="s">
        <v>146</v>
      </c>
      <c r="J236" s="2" t="s">
        <v>146</v>
      </c>
      <c r="K236" s="2" t="s">
        <v>146</v>
      </c>
      <c r="L236" s="2" t="s">
        <v>146</v>
      </c>
      <c r="M236" s="2" t="s">
        <v>49</v>
      </c>
      <c r="N236" s="2">
        <v>5.3</v>
      </c>
      <c r="O236" s="2">
        <v>7</v>
      </c>
      <c r="P236" s="2">
        <v>5.3</v>
      </c>
      <c r="Q236" s="2" t="s">
        <v>146</v>
      </c>
      <c r="R236" s="2" t="s">
        <v>146</v>
      </c>
      <c r="S236" s="2" t="s">
        <v>146</v>
      </c>
      <c r="T236" s="2" t="s">
        <v>146</v>
      </c>
      <c r="U236" s="2">
        <v>1.7</v>
      </c>
      <c r="V236" s="2" t="s">
        <v>146</v>
      </c>
      <c r="W236" s="2" t="s">
        <v>146</v>
      </c>
      <c r="X236" s="2" t="s">
        <v>146</v>
      </c>
      <c r="Y236" s="2" t="s">
        <v>146</v>
      </c>
      <c r="Z236" s="2" t="s">
        <v>146</v>
      </c>
      <c r="AA236" s="2" t="s">
        <v>146</v>
      </c>
      <c r="AB236" s="2" t="s">
        <v>146</v>
      </c>
      <c r="AC236" s="2" t="s">
        <v>146</v>
      </c>
      <c r="AD236" s="2" t="s">
        <v>146</v>
      </c>
      <c r="AE236" s="2" t="s">
        <v>146</v>
      </c>
      <c r="AF236" s="2" t="s">
        <v>146</v>
      </c>
      <c r="AG236" s="2" t="s">
        <v>146</v>
      </c>
      <c r="AH236" s="2" t="s">
        <v>146</v>
      </c>
      <c r="AI236" s="2" t="s">
        <v>146</v>
      </c>
      <c r="AJ236" s="2" t="s">
        <v>146</v>
      </c>
      <c r="AK236" s="2" t="s">
        <v>146</v>
      </c>
      <c r="AL236" s="2" t="s">
        <v>146</v>
      </c>
      <c r="AM236" s="2" t="s">
        <v>146</v>
      </c>
      <c r="AN236" s="2" t="s">
        <v>49</v>
      </c>
      <c r="AO236" s="2" t="s">
        <v>146</v>
      </c>
      <c r="AP236" s="2" t="s">
        <v>146</v>
      </c>
      <c r="AQ236" s="2" t="s">
        <v>146</v>
      </c>
      <c r="AR236" s="2" t="s">
        <v>146</v>
      </c>
      <c r="AV236" s="2">
        <f t="shared" si="30"/>
        <v>19.399999999999999</v>
      </c>
      <c r="AW236" s="2">
        <f t="shared" si="31"/>
        <v>16.7</v>
      </c>
      <c r="AX236" s="27">
        <f t="shared" si="32"/>
        <v>0.86082474226804129</v>
      </c>
      <c r="BA236" s="2">
        <f t="shared" si="33"/>
        <v>0</v>
      </c>
      <c r="BB236" s="2">
        <f t="shared" si="34"/>
        <v>0</v>
      </c>
      <c r="BC236" s="2">
        <f t="shared" si="35"/>
        <v>0</v>
      </c>
      <c r="BD236" s="2">
        <f t="shared" si="36"/>
        <v>0</v>
      </c>
      <c r="BE236" s="2">
        <f t="shared" si="37"/>
        <v>0</v>
      </c>
      <c r="BF236" s="2">
        <f t="shared" si="38"/>
        <v>0</v>
      </c>
      <c r="BJ236" s="2" t="str">
        <f t="shared" si="39"/>
        <v/>
      </c>
    </row>
    <row r="237" spans="1:62" ht="15" customHeight="1" x14ac:dyDescent="0.45">
      <c r="A237" s="2" t="s">
        <v>371</v>
      </c>
      <c r="B237" s="2" t="s">
        <v>370</v>
      </c>
      <c r="C237" s="2">
        <v>2019</v>
      </c>
      <c r="D237" s="2">
        <v>88.1</v>
      </c>
      <c r="E237" s="2">
        <v>93.5</v>
      </c>
      <c r="F237" s="2" t="s">
        <v>146</v>
      </c>
      <c r="G237" s="2">
        <v>1.4</v>
      </c>
      <c r="H237" s="2" t="s">
        <v>146</v>
      </c>
      <c r="I237" s="2" t="s">
        <v>146</v>
      </c>
      <c r="J237" s="2" t="s">
        <v>146</v>
      </c>
      <c r="K237" s="2" t="s">
        <v>146</v>
      </c>
      <c r="L237" s="2" t="s">
        <v>146</v>
      </c>
      <c r="M237" s="2" t="s">
        <v>49</v>
      </c>
      <c r="N237" s="2">
        <v>16.899999999999999</v>
      </c>
      <c r="O237" s="2">
        <v>22.6</v>
      </c>
      <c r="P237" s="2">
        <v>16.899999999999999</v>
      </c>
      <c r="Q237" s="2" t="s">
        <v>146</v>
      </c>
      <c r="R237" s="2" t="s">
        <v>146</v>
      </c>
      <c r="S237" s="2" t="s">
        <v>146</v>
      </c>
      <c r="T237" s="2" t="s">
        <v>146</v>
      </c>
      <c r="U237" s="2">
        <v>1.1000000000000001</v>
      </c>
      <c r="V237" s="2">
        <v>34.6</v>
      </c>
      <c r="W237" s="2" t="s">
        <v>146</v>
      </c>
      <c r="X237" s="2" t="s">
        <v>146</v>
      </c>
      <c r="Y237" s="2" t="s">
        <v>146</v>
      </c>
      <c r="Z237" s="2" t="s">
        <v>146</v>
      </c>
      <c r="AA237" s="2" t="s">
        <v>146</v>
      </c>
      <c r="AB237" s="2" t="s">
        <v>146</v>
      </c>
      <c r="AC237" s="2" t="s">
        <v>146</v>
      </c>
      <c r="AD237" s="2" t="s">
        <v>146</v>
      </c>
      <c r="AE237" s="2" t="s">
        <v>146</v>
      </c>
      <c r="AF237" s="2" t="s">
        <v>146</v>
      </c>
      <c r="AG237" s="2" t="s">
        <v>146</v>
      </c>
      <c r="AH237" s="2" t="s">
        <v>146</v>
      </c>
      <c r="AI237" s="2" t="s">
        <v>146</v>
      </c>
      <c r="AJ237" s="2" t="s">
        <v>146</v>
      </c>
      <c r="AK237" s="2" t="s">
        <v>146</v>
      </c>
      <c r="AL237" s="2" t="s">
        <v>146</v>
      </c>
      <c r="AM237" s="2" t="s">
        <v>146</v>
      </c>
      <c r="AN237" s="2" t="s">
        <v>49</v>
      </c>
      <c r="AO237" s="2">
        <v>100</v>
      </c>
      <c r="AP237" s="2" t="s">
        <v>146</v>
      </c>
      <c r="AQ237" s="2" t="s">
        <v>146</v>
      </c>
      <c r="AR237" s="2" t="s">
        <v>146</v>
      </c>
      <c r="AV237" s="2">
        <f t="shared" si="30"/>
        <v>93.5</v>
      </c>
      <c r="AW237" s="2">
        <f t="shared" si="31"/>
        <v>88.1</v>
      </c>
      <c r="AX237" s="27">
        <f t="shared" si="32"/>
        <v>0.94224598930481274</v>
      </c>
      <c r="BA237" s="2">
        <f t="shared" si="33"/>
        <v>0</v>
      </c>
      <c r="BB237" s="2">
        <f t="shared" si="34"/>
        <v>0</v>
      </c>
      <c r="BC237" s="2">
        <f t="shared" si="35"/>
        <v>0</v>
      </c>
      <c r="BD237" s="2">
        <f t="shared" si="36"/>
        <v>0</v>
      </c>
      <c r="BE237" s="2">
        <f t="shared" si="37"/>
        <v>0</v>
      </c>
      <c r="BF237" s="2">
        <f t="shared" si="38"/>
        <v>0</v>
      </c>
      <c r="BJ237" s="2" t="str">
        <f t="shared" si="39"/>
        <v>ja</v>
      </c>
    </row>
    <row r="238" spans="1:62" ht="15" customHeight="1" x14ac:dyDescent="0.45">
      <c r="A238" s="2" t="s">
        <v>369</v>
      </c>
      <c r="B238" s="2" t="s">
        <v>368</v>
      </c>
      <c r="C238" s="2">
        <v>2019</v>
      </c>
      <c r="D238" s="2">
        <v>51.5</v>
      </c>
      <c r="E238" s="2">
        <v>63</v>
      </c>
      <c r="F238" s="2" t="s">
        <v>146</v>
      </c>
      <c r="G238" s="2" t="s">
        <v>146</v>
      </c>
      <c r="H238" s="2" t="s">
        <v>146</v>
      </c>
      <c r="I238" s="2">
        <v>0.4</v>
      </c>
      <c r="J238" s="2" t="s">
        <v>146</v>
      </c>
      <c r="K238" s="2" t="s">
        <v>146</v>
      </c>
      <c r="L238" s="2" t="s">
        <v>146</v>
      </c>
      <c r="M238" s="2" t="s">
        <v>49</v>
      </c>
      <c r="N238" s="2">
        <v>8.5</v>
      </c>
      <c r="O238" s="2">
        <v>23.3</v>
      </c>
      <c r="P238" s="2">
        <v>18.8</v>
      </c>
      <c r="Q238" s="2">
        <v>3.3</v>
      </c>
      <c r="R238" s="2" t="s">
        <v>146</v>
      </c>
      <c r="S238" s="2" t="s">
        <v>146</v>
      </c>
      <c r="T238" s="2" t="s">
        <v>147</v>
      </c>
      <c r="U238" s="2" t="s">
        <v>146</v>
      </c>
      <c r="V238" s="2" t="s">
        <v>146</v>
      </c>
      <c r="W238" s="2" t="s">
        <v>146</v>
      </c>
      <c r="X238" s="2" t="s">
        <v>146</v>
      </c>
      <c r="Y238" s="2" t="s">
        <v>146</v>
      </c>
      <c r="Z238" s="2" t="s">
        <v>146</v>
      </c>
      <c r="AA238" s="2" t="s">
        <v>146</v>
      </c>
      <c r="AB238" s="2" t="s">
        <v>146</v>
      </c>
      <c r="AC238" s="2" t="s">
        <v>146</v>
      </c>
      <c r="AD238" s="2" t="s">
        <v>146</v>
      </c>
      <c r="AE238" s="2" t="s">
        <v>146</v>
      </c>
      <c r="AF238" s="2" t="s">
        <v>146</v>
      </c>
      <c r="AG238" s="2" t="s">
        <v>146</v>
      </c>
      <c r="AH238" s="2">
        <v>8.6999999999999993</v>
      </c>
      <c r="AI238" s="2" t="s">
        <v>146</v>
      </c>
      <c r="AJ238" s="2" t="s">
        <v>146</v>
      </c>
      <c r="AK238" s="2" t="s">
        <v>146</v>
      </c>
      <c r="AL238" s="2" t="s">
        <v>146</v>
      </c>
      <c r="AM238" s="2" t="s">
        <v>146</v>
      </c>
      <c r="AN238" s="2" t="s">
        <v>49</v>
      </c>
      <c r="AO238" s="2">
        <v>100</v>
      </c>
      <c r="AP238" s="2" t="s">
        <v>146</v>
      </c>
      <c r="AQ238" s="2" t="s">
        <v>146</v>
      </c>
      <c r="AR238" s="2" t="s">
        <v>146</v>
      </c>
      <c r="AV238" s="2">
        <f t="shared" si="30"/>
        <v>63</v>
      </c>
      <c r="AW238" s="2">
        <f t="shared" si="31"/>
        <v>51.5</v>
      </c>
      <c r="AX238" s="27">
        <f t="shared" si="32"/>
        <v>0.81746031746031744</v>
      </c>
      <c r="BA238" s="2">
        <f t="shared" si="33"/>
        <v>8.6999999999999993</v>
      </c>
      <c r="BB238" s="2">
        <f t="shared" si="34"/>
        <v>8.6999999999999993</v>
      </c>
      <c r="BC238" s="2">
        <f t="shared" si="35"/>
        <v>0</v>
      </c>
      <c r="BD238" s="2">
        <f t="shared" si="36"/>
        <v>0</v>
      </c>
      <c r="BE238" s="2">
        <f t="shared" si="37"/>
        <v>0</v>
      </c>
      <c r="BF238" s="2">
        <f t="shared" si="38"/>
        <v>0</v>
      </c>
      <c r="BJ238" s="2" t="str">
        <f t="shared" si="39"/>
        <v/>
      </c>
    </row>
    <row r="239" spans="1:62" ht="15" customHeight="1" x14ac:dyDescent="0.45">
      <c r="A239" s="2" t="s">
        <v>367</v>
      </c>
      <c r="B239" s="2" t="s">
        <v>366</v>
      </c>
      <c r="C239" s="2">
        <v>2019</v>
      </c>
      <c r="D239" s="2">
        <v>72.552199999999999</v>
      </c>
      <c r="E239" s="2">
        <v>88.376657399999999</v>
      </c>
      <c r="F239" s="2" t="s">
        <v>146</v>
      </c>
      <c r="G239" s="2" t="s">
        <v>146</v>
      </c>
      <c r="H239" s="2" t="s">
        <v>146</v>
      </c>
      <c r="I239" s="2" t="s">
        <v>146</v>
      </c>
      <c r="J239" s="2" t="s">
        <v>146</v>
      </c>
      <c r="K239" s="2" t="s">
        <v>146</v>
      </c>
      <c r="L239" s="2" t="s">
        <v>146</v>
      </c>
      <c r="M239" s="2" t="s">
        <v>49</v>
      </c>
      <c r="N239" s="2" t="s">
        <v>146</v>
      </c>
      <c r="O239" s="2" t="s">
        <v>146</v>
      </c>
      <c r="P239" s="2">
        <v>5.7806499999999996</v>
      </c>
      <c r="Q239" s="2">
        <v>9.6852599999999995</v>
      </c>
      <c r="R239" s="2" t="s">
        <v>146</v>
      </c>
      <c r="S239" s="2" t="s">
        <v>146</v>
      </c>
      <c r="T239" s="2" t="s">
        <v>147</v>
      </c>
      <c r="U239" s="2">
        <v>54.862991999999998</v>
      </c>
      <c r="V239" s="2" t="s">
        <v>146</v>
      </c>
      <c r="W239" s="2" t="s">
        <v>146</v>
      </c>
      <c r="X239" s="2" t="s">
        <v>146</v>
      </c>
      <c r="Y239" s="2" t="s">
        <v>146</v>
      </c>
      <c r="Z239" s="2">
        <v>5.3857913999999996</v>
      </c>
      <c r="AA239" s="2" t="s">
        <v>146</v>
      </c>
      <c r="AB239" s="2" t="s">
        <v>146</v>
      </c>
      <c r="AC239" s="2" t="s">
        <v>146</v>
      </c>
      <c r="AD239" s="2" t="s">
        <v>146</v>
      </c>
      <c r="AE239" s="2" t="s">
        <v>146</v>
      </c>
      <c r="AF239" s="2" t="s">
        <v>146</v>
      </c>
      <c r="AG239" s="2">
        <v>0.56799999999999995</v>
      </c>
      <c r="AH239" s="2">
        <v>11.925064000000001</v>
      </c>
      <c r="AI239" s="2" t="s">
        <v>146</v>
      </c>
      <c r="AJ239" s="2" t="s">
        <v>146</v>
      </c>
      <c r="AK239" s="2" t="s">
        <v>146</v>
      </c>
      <c r="AL239" s="2">
        <v>0.16889999999999999</v>
      </c>
      <c r="AM239" s="2">
        <v>0.17779</v>
      </c>
      <c r="AN239" s="2" t="s">
        <v>365</v>
      </c>
      <c r="AO239" s="2">
        <v>100</v>
      </c>
      <c r="AP239" s="2" t="s">
        <v>146</v>
      </c>
      <c r="AQ239" s="2" t="s">
        <v>146</v>
      </c>
      <c r="AR239" s="2" t="s">
        <v>146</v>
      </c>
      <c r="AV239" s="2">
        <f t="shared" si="30"/>
        <v>88.376657399999999</v>
      </c>
      <c r="AW239" s="2">
        <f t="shared" si="31"/>
        <v>72.552199999999999</v>
      </c>
      <c r="AX239" s="27">
        <f t="shared" si="32"/>
        <v>0.82094301973452999</v>
      </c>
      <c r="BA239" s="2">
        <f t="shared" si="33"/>
        <v>11.925064000000001</v>
      </c>
      <c r="BB239" s="2">
        <f t="shared" si="34"/>
        <v>11.925064000000001</v>
      </c>
      <c r="BC239" s="2">
        <f t="shared" si="35"/>
        <v>0</v>
      </c>
      <c r="BD239" s="2">
        <f t="shared" si="36"/>
        <v>0</v>
      </c>
      <c r="BE239" s="2">
        <f t="shared" si="37"/>
        <v>0</v>
      </c>
      <c r="BF239" s="2">
        <f t="shared" si="38"/>
        <v>0</v>
      </c>
      <c r="BJ239" s="2" t="str">
        <f t="shared" si="39"/>
        <v/>
      </c>
    </row>
    <row r="240" spans="1:62" ht="15" customHeight="1" x14ac:dyDescent="0.45">
      <c r="A240" s="2" t="s">
        <v>364</v>
      </c>
      <c r="B240" s="2" t="s">
        <v>363</v>
      </c>
      <c r="C240" s="2">
        <v>2019</v>
      </c>
      <c r="D240" s="2">
        <v>242</v>
      </c>
      <c r="E240" s="2">
        <v>272.45499999999998</v>
      </c>
      <c r="F240" s="2" t="s">
        <v>146</v>
      </c>
      <c r="G240" s="2">
        <v>2.61</v>
      </c>
      <c r="H240" s="2" t="s">
        <v>146</v>
      </c>
      <c r="I240" s="2" t="s">
        <v>146</v>
      </c>
      <c r="J240" s="2" t="s">
        <v>146</v>
      </c>
      <c r="K240" s="2" t="s">
        <v>146</v>
      </c>
      <c r="L240" s="2">
        <v>2.9420000000000002</v>
      </c>
      <c r="M240" s="2" t="s">
        <v>49</v>
      </c>
      <c r="N240" s="2" t="s">
        <v>146</v>
      </c>
      <c r="O240" s="2" t="s">
        <v>146</v>
      </c>
      <c r="P240" s="2" t="s">
        <v>146</v>
      </c>
      <c r="Q240" s="2">
        <v>55.164999999999999</v>
      </c>
      <c r="R240" s="2" t="s">
        <v>146</v>
      </c>
      <c r="S240" s="2">
        <v>1.127</v>
      </c>
      <c r="T240" s="2" t="s">
        <v>147</v>
      </c>
      <c r="U240" s="2">
        <v>54.445999999999998</v>
      </c>
      <c r="V240" s="2" t="s">
        <v>146</v>
      </c>
      <c r="W240" s="2" t="s">
        <v>146</v>
      </c>
      <c r="X240" s="2">
        <v>36.795999999999999</v>
      </c>
      <c r="Y240" s="2" t="s">
        <v>146</v>
      </c>
      <c r="Z240" s="2" t="s">
        <v>146</v>
      </c>
      <c r="AA240" s="2" t="s">
        <v>146</v>
      </c>
      <c r="AB240" s="2">
        <v>94.739000000000004</v>
      </c>
      <c r="AC240" s="2" t="s">
        <v>146</v>
      </c>
      <c r="AD240" s="2" t="s">
        <v>146</v>
      </c>
      <c r="AE240" s="2" t="s">
        <v>155</v>
      </c>
      <c r="AF240" s="2" t="s">
        <v>146</v>
      </c>
      <c r="AG240" s="2" t="s">
        <v>146</v>
      </c>
      <c r="AH240" s="2">
        <v>24.63</v>
      </c>
      <c r="AI240" s="2" t="s">
        <v>146</v>
      </c>
      <c r="AJ240" s="2" t="s">
        <v>146</v>
      </c>
      <c r="AK240" s="2" t="s">
        <v>146</v>
      </c>
      <c r="AL240" s="2" t="s">
        <v>146</v>
      </c>
      <c r="AM240" s="2" t="s">
        <v>146</v>
      </c>
      <c r="AN240" s="2" t="s">
        <v>49</v>
      </c>
      <c r="AO240" s="2">
        <v>51</v>
      </c>
      <c r="AP240" s="2" t="s">
        <v>146</v>
      </c>
      <c r="AQ240" s="2">
        <v>1</v>
      </c>
      <c r="AR240" s="2">
        <v>48</v>
      </c>
      <c r="AV240" s="2">
        <f t="shared" si="30"/>
        <v>272.45499999999998</v>
      </c>
      <c r="AW240" s="2">
        <f t="shared" si="31"/>
        <v>242</v>
      </c>
      <c r="AX240" s="27">
        <f t="shared" si="32"/>
        <v>0.88822007303958461</v>
      </c>
      <c r="BA240" s="2">
        <f t="shared" si="33"/>
        <v>24.63</v>
      </c>
      <c r="BB240" s="2">
        <f t="shared" si="34"/>
        <v>12.561299999999999</v>
      </c>
      <c r="BC240" s="2">
        <f t="shared" si="35"/>
        <v>0</v>
      </c>
      <c r="BD240" s="2">
        <f t="shared" si="36"/>
        <v>0.24629999999999999</v>
      </c>
      <c r="BE240" s="2">
        <f t="shared" si="37"/>
        <v>11.822399999999998</v>
      </c>
      <c r="BF240" s="2">
        <f t="shared" si="38"/>
        <v>3.5527136788005009E-15</v>
      </c>
      <c r="BJ240" s="2" t="str">
        <f t="shared" si="39"/>
        <v/>
      </c>
    </row>
    <row r="241" spans="1:62" ht="15" customHeight="1" x14ac:dyDescent="0.45">
      <c r="A241" s="2" t="s">
        <v>362</v>
      </c>
      <c r="B241" s="2" t="s">
        <v>361</v>
      </c>
      <c r="C241" s="2">
        <v>2019</v>
      </c>
      <c r="D241" s="2">
        <v>21.274000000000001</v>
      </c>
      <c r="E241" s="2">
        <v>20.983000000000001</v>
      </c>
      <c r="F241" s="2" t="s">
        <v>146</v>
      </c>
      <c r="G241" s="2">
        <v>4.53</v>
      </c>
      <c r="H241" s="2" t="s">
        <v>146</v>
      </c>
      <c r="I241" s="2" t="s">
        <v>146</v>
      </c>
      <c r="J241" s="2" t="s">
        <v>146</v>
      </c>
      <c r="K241" s="2" t="s">
        <v>146</v>
      </c>
      <c r="L241" s="2" t="s">
        <v>146</v>
      </c>
      <c r="M241" s="2" t="s">
        <v>49</v>
      </c>
      <c r="N241" s="2" t="s">
        <v>146</v>
      </c>
      <c r="O241" s="2" t="s">
        <v>146</v>
      </c>
      <c r="P241" s="2" t="s">
        <v>146</v>
      </c>
      <c r="Q241" s="2" t="s">
        <v>146</v>
      </c>
      <c r="R241" s="2" t="s">
        <v>146</v>
      </c>
      <c r="S241" s="2" t="s">
        <v>146</v>
      </c>
      <c r="T241" s="2" t="s">
        <v>146</v>
      </c>
      <c r="U241" s="2">
        <v>16.452999999999999</v>
      </c>
      <c r="V241" s="2" t="s">
        <v>146</v>
      </c>
      <c r="W241" s="2" t="s">
        <v>146</v>
      </c>
      <c r="X241" s="2" t="s">
        <v>146</v>
      </c>
      <c r="Y241" s="2" t="s">
        <v>146</v>
      </c>
      <c r="Z241" s="2" t="s">
        <v>146</v>
      </c>
      <c r="AA241" s="2" t="s">
        <v>146</v>
      </c>
      <c r="AB241" s="2" t="s">
        <v>146</v>
      </c>
      <c r="AC241" s="2" t="s">
        <v>146</v>
      </c>
      <c r="AD241" s="2" t="s">
        <v>146</v>
      </c>
      <c r="AE241" s="2" t="s">
        <v>146</v>
      </c>
      <c r="AF241" s="2" t="s">
        <v>146</v>
      </c>
      <c r="AG241" s="2" t="s">
        <v>146</v>
      </c>
      <c r="AH241" s="2" t="s">
        <v>146</v>
      </c>
      <c r="AI241" s="2" t="s">
        <v>146</v>
      </c>
      <c r="AJ241" s="2" t="s">
        <v>146</v>
      </c>
      <c r="AK241" s="2" t="s">
        <v>146</v>
      </c>
      <c r="AL241" s="2" t="s">
        <v>146</v>
      </c>
      <c r="AM241" s="2" t="s">
        <v>146</v>
      </c>
      <c r="AN241" s="2" t="s">
        <v>49</v>
      </c>
      <c r="AO241" s="2" t="s">
        <v>146</v>
      </c>
      <c r="AP241" s="2" t="s">
        <v>146</v>
      </c>
      <c r="AQ241" s="2" t="s">
        <v>146</v>
      </c>
      <c r="AR241" s="2" t="s">
        <v>146</v>
      </c>
      <c r="AV241" s="2">
        <f t="shared" si="30"/>
        <v>20.983000000000001</v>
      </c>
      <c r="AW241" s="2">
        <f t="shared" si="31"/>
        <v>21.274000000000001</v>
      </c>
      <c r="AX241" s="27">
        <f t="shared" si="32"/>
        <v>1.0138683696325597</v>
      </c>
      <c r="BA241" s="2">
        <f t="shared" si="33"/>
        <v>0</v>
      </c>
      <c r="BB241" s="2">
        <f t="shared" si="34"/>
        <v>0</v>
      </c>
      <c r="BC241" s="2">
        <f t="shared" si="35"/>
        <v>0</v>
      </c>
      <c r="BD241" s="2">
        <f t="shared" si="36"/>
        <v>0</v>
      </c>
      <c r="BE241" s="2">
        <f t="shared" si="37"/>
        <v>0</v>
      </c>
      <c r="BF241" s="2">
        <f t="shared" si="38"/>
        <v>0</v>
      </c>
      <c r="BJ241" s="2" t="str">
        <f t="shared" si="39"/>
        <v/>
      </c>
    </row>
    <row r="242" spans="1:62" ht="15" customHeight="1" x14ac:dyDescent="0.45">
      <c r="A242" s="2" t="s">
        <v>360</v>
      </c>
      <c r="B242" s="2" t="s">
        <v>359</v>
      </c>
      <c r="C242" s="2">
        <v>2019</v>
      </c>
      <c r="D242" s="2">
        <v>114.4</v>
      </c>
      <c r="E242" s="2">
        <v>125.65</v>
      </c>
      <c r="F242" s="2" t="s">
        <v>146</v>
      </c>
      <c r="G242" s="2">
        <v>0.5</v>
      </c>
      <c r="H242" s="2" t="s">
        <v>146</v>
      </c>
      <c r="I242" s="2" t="s">
        <v>146</v>
      </c>
      <c r="J242" s="2" t="s">
        <v>146</v>
      </c>
      <c r="K242" s="2" t="s">
        <v>146</v>
      </c>
      <c r="L242" s="2" t="s">
        <v>146</v>
      </c>
      <c r="M242" s="2" t="s">
        <v>49</v>
      </c>
      <c r="N242" s="2">
        <v>78.7</v>
      </c>
      <c r="O242" s="2">
        <v>23</v>
      </c>
      <c r="P242" s="2" t="s">
        <v>146</v>
      </c>
      <c r="Q242" s="2" t="s">
        <v>146</v>
      </c>
      <c r="R242" s="2" t="s">
        <v>146</v>
      </c>
      <c r="S242" s="2" t="s">
        <v>146</v>
      </c>
      <c r="T242" s="2" t="s">
        <v>146</v>
      </c>
      <c r="U242" s="2" t="s">
        <v>146</v>
      </c>
      <c r="V242" s="2" t="s">
        <v>146</v>
      </c>
      <c r="W242" s="2" t="s">
        <v>146</v>
      </c>
      <c r="X242" s="2">
        <v>10.4</v>
      </c>
      <c r="Y242" s="2" t="s">
        <v>146</v>
      </c>
      <c r="Z242" s="2" t="s">
        <v>146</v>
      </c>
      <c r="AA242" s="2" t="s">
        <v>146</v>
      </c>
      <c r="AB242" s="2" t="s">
        <v>146</v>
      </c>
      <c r="AC242" s="2" t="s">
        <v>146</v>
      </c>
      <c r="AD242" s="2" t="s">
        <v>146</v>
      </c>
      <c r="AE242" s="2" t="s">
        <v>146</v>
      </c>
      <c r="AF242" s="2" t="s">
        <v>146</v>
      </c>
      <c r="AG242" s="2">
        <v>0.15</v>
      </c>
      <c r="AH242" s="2">
        <v>12.9</v>
      </c>
      <c r="AI242" s="2" t="s">
        <v>146</v>
      </c>
      <c r="AJ242" s="2" t="s">
        <v>146</v>
      </c>
      <c r="AK242" s="2" t="s">
        <v>146</v>
      </c>
      <c r="AL242" s="2" t="s">
        <v>146</v>
      </c>
      <c r="AM242" s="2" t="s">
        <v>146</v>
      </c>
      <c r="AN242" s="2" t="s">
        <v>49</v>
      </c>
      <c r="AO242" s="2">
        <v>100</v>
      </c>
      <c r="AP242" s="2">
        <v>0</v>
      </c>
      <c r="AQ242" s="2">
        <v>0</v>
      </c>
      <c r="AR242" s="2">
        <v>0</v>
      </c>
      <c r="AV242" s="2">
        <f t="shared" si="30"/>
        <v>125.65</v>
      </c>
      <c r="AW242" s="2">
        <f t="shared" si="31"/>
        <v>114.4</v>
      </c>
      <c r="AX242" s="27">
        <f t="shared" si="32"/>
        <v>0.91046557898925584</v>
      </c>
      <c r="BA242" s="2">
        <f t="shared" si="33"/>
        <v>12.9</v>
      </c>
      <c r="BB242" s="2">
        <f t="shared" si="34"/>
        <v>12.9</v>
      </c>
      <c r="BC242" s="2">
        <f t="shared" si="35"/>
        <v>0</v>
      </c>
      <c r="BD242" s="2">
        <f t="shared" si="36"/>
        <v>0</v>
      </c>
      <c r="BE242" s="2">
        <f t="shared" si="37"/>
        <v>0</v>
      </c>
      <c r="BF242" s="2">
        <f t="shared" si="38"/>
        <v>0</v>
      </c>
      <c r="BJ242" s="2" t="str">
        <f t="shared" si="39"/>
        <v/>
      </c>
    </row>
    <row r="243" spans="1:62" ht="15" customHeight="1" x14ac:dyDescent="0.45">
      <c r="A243" s="2" t="s">
        <v>342</v>
      </c>
      <c r="B243" s="2" t="s">
        <v>358</v>
      </c>
      <c r="C243" s="2">
        <v>2019</v>
      </c>
      <c r="D243" s="2">
        <v>8.5229999999999997</v>
      </c>
      <c r="E243" s="2">
        <v>9.7949999999999999</v>
      </c>
      <c r="F243" s="2" t="s">
        <v>146</v>
      </c>
      <c r="G243" s="2">
        <v>0.26700000000000002</v>
      </c>
      <c r="H243" s="2" t="s">
        <v>146</v>
      </c>
      <c r="I243" s="2" t="s">
        <v>146</v>
      </c>
      <c r="J243" s="2" t="s">
        <v>146</v>
      </c>
      <c r="K243" s="2" t="s">
        <v>146</v>
      </c>
      <c r="L243" s="2" t="s">
        <v>146</v>
      </c>
      <c r="M243" s="2" t="s">
        <v>49</v>
      </c>
      <c r="N243" s="2" t="s">
        <v>146</v>
      </c>
      <c r="O243" s="2" t="s">
        <v>146</v>
      </c>
      <c r="P243" s="2" t="s">
        <v>146</v>
      </c>
      <c r="Q243" s="2" t="s">
        <v>146</v>
      </c>
      <c r="R243" s="2" t="s">
        <v>146</v>
      </c>
      <c r="S243" s="2" t="s">
        <v>146</v>
      </c>
      <c r="T243" s="2" t="s">
        <v>146</v>
      </c>
      <c r="U243" s="2">
        <v>9.5220000000000002</v>
      </c>
      <c r="V243" s="2" t="s">
        <v>146</v>
      </c>
      <c r="W243" s="2" t="s">
        <v>146</v>
      </c>
      <c r="X243" s="2" t="s">
        <v>146</v>
      </c>
      <c r="Y243" s="2" t="s">
        <v>146</v>
      </c>
      <c r="Z243" s="2" t="s">
        <v>146</v>
      </c>
      <c r="AA243" s="2" t="s">
        <v>146</v>
      </c>
      <c r="AB243" s="2" t="s">
        <v>146</v>
      </c>
      <c r="AC243" s="2" t="s">
        <v>146</v>
      </c>
      <c r="AD243" s="2" t="s">
        <v>146</v>
      </c>
      <c r="AE243" s="2" t="s">
        <v>146</v>
      </c>
      <c r="AF243" s="2" t="s">
        <v>146</v>
      </c>
      <c r="AG243" s="2" t="s">
        <v>146</v>
      </c>
      <c r="AH243" s="2" t="s">
        <v>146</v>
      </c>
      <c r="AI243" s="2" t="s">
        <v>146</v>
      </c>
      <c r="AJ243" s="2" t="s">
        <v>146</v>
      </c>
      <c r="AK243" s="2" t="s">
        <v>146</v>
      </c>
      <c r="AL243" s="2">
        <v>6.0000000000000001E-3</v>
      </c>
      <c r="AM243" s="2" t="s">
        <v>146</v>
      </c>
      <c r="AN243" s="2" t="s">
        <v>49</v>
      </c>
      <c r="AO243" s="2" t="s">
        <v>146</v>
      </c>
      <c r="AP243" s="2" t="s">
        <v>146</v>
      </c>
      <c r="AQ243" s="2" t="s">
        <v>146</v>
      </c>
      <c r="AR243" s="2" t="s">
        <v>146</v>
      </c>
      <c r="AV243" s="2">
        <f t="shared" si="30"/>
        <v>9.7949999999999999</v>
      </c>
      <c r="AW243" s="2">
        <f t="shared" si="31"/>
        <v>8.5229999999999997</v>
      </c>
      <c r="AX243" s="27">
        <f t="shared" si="32"/>
        <v>0.87013782542113316</v>
      </c>
      <c r="BA243" s="2">
        <f t="shared" si="33"/>
        <v>0</v>
      </c>
      <c r="BB243" s="2">
        <f t="shared" si="34"/>
        <v>0</v>
      </c>
      <c r="BC243" s="2">
        <f t="shared" si="35"/>
        <v>0</v>
      </c>
      <c r="BD243" s="2">
        <f t="shared" si="36"/>
        <v>0</v>
      </c>
      <c r="BE243" s="2">
        <f t="shared" si="37"/>
        <v>0</v>
      </c>
      <c r="BF243" s="2">
        <f t="shared" si="38"/>
        <v>0</v>
      </c>
      <c r="BJ243" s="2" t="str">
        <f t="shared" si="39"/>
        <v/>
      </c>
    </row>
    <row r="244" spans="1:62" ht="15" customHeight="1" x14ac:dyDescent="0.45">
      <c r="A244" s="2" t="s">
        <v>342</v>
      </c>
      <c r="B244" s="2" t="s">
        <v>357</v>
      </c>
      <c r="C244" s="2">
        <v>2019</v>
      </c>
      <c r="D244" s="2">
        <v>8.5990000000000002</v>
      </c>
      <c r="E244" s="2">
        <v>9.9260000000000002</v>
      </c>
      <c r="F244" s="2" t="s">
        <v>146</v>
      </c>
      <c r="G244" s="2">
        <v>0.1</v>
      </c>
      <c r="H244" s="2" t="s">
        <v>146</v>
      </c>
      <c r="I244" s="2" t="s">
        <v>146</v>
      </c>
      <c r="J244" s="2" t="s">
        <v>146</v>
      </c>
      <c r="K244" s="2" t="s">
        <v>146</v>
      </c>
      <c r="L244" s="2" t="s">
        <v>146</v>
      </c>
      <c r="M244" s="2" t="s">
        <v>49</v>
      </c>
      <c r="N244" s="2" t="s">
        <v>146</v>
      </c>
      <c r="O244" s="2" t="s">
        <v>146</v>
      </c>
      <c r="P244" s="2" t="s">
        <v>146</v>
      </c>
      <c r="Q244" s="2" t="s">
        <v>146</v>
      </c>
      <c r="R244" s="2" t="s">
        <v>146</v>
      </c>
      <c r="S244" s="2" t="s">
        <v>146</v>
      </c>
      <c r="T244" s="2" t="s">
        <v>146</v>
      </c>
      <c r="U244" s="2">
        <v>9.8260000000000005</v>
      </c>
      <c r="V244" s="2" t="s">
        <v>146</v>
      </c>
      <c r="W244" s="2" t="s">
        <v>146</v>
      </c>
      <c r="X244" s="2" t="s">
        <v>146</v>
      </c>
      <c r="Y244" s="2" t="s">
        <v>146</v>
      </c>
      <c r="Z244" s="2" t="s">
        <v>146</v>
      </c>
      <c r="AA244" s="2" t="s">
        <v>146</v>
      </c>
      <c r="AB244" s="2" t="s">
        <v>146</v>
      </c>
      <c r="AC244" s="2" t="s">
        <v>146</v>
      </c>
      <c r="AD244" s="2" t="s">
        <v>146</v>
      </c>
      <c r="AE244" s="2" t="s">
        <v>146</v>
      </c>
      <c r="AF244" s="2" t="s">
        <v>146</v>
      </c>
      <c r="AG244" s="2" t="s">
        <v>146</v>
      </c>
      <c r="AH244" s="2" t="s">
        <v>146</v>
      </c>
      <c r="AI244" s="2" t="s">
        <v>146</v>
      </c>
      <c r="AJ244" s="2" t="s">
        <v>146</v>
      </c>
      <c r="AK244" s="2" t="s">
        <v>146</v>
      </c>
      <c r="AL244" s="2" t="s">
        <v>146</v>
      </c>
      <c r="AM244" s="2" t="s">
        <v>146</v>
      </c>
      <c r="AN244" s="2" t="s">
        <v>49</v>
      </c>
      <c r="AO244" s="2" t="s">
        <v>146</v>
      </c>
      <c r="AP244" s="2" t="s">
        <v>146</v>
      </c>
      <c r="AQ244" s="2" t="s">
        <v>146</v>
      </c>
      <c r="AR244" s="2" t="s">
        <v>146</v>
      </c>
      <c r="AV244" s="2">
        <f t="shared" si="30"/>
        <v>9.9260000000000002</v>
      </c>
      <c r="AW244" s="2">
        <f t="shared" si="31"/>
        <v>8.5990000000000002</v>
      </c>
      <c r="AX244" s="27">
        <f t="shared" si="32"/>
        <v>0.86631069917388681</v>
      </c>
      <c r="BA244" s="2">
        <f t="shared" si="33"/>
        <v>0</v>
      </c>
      <c r="BB244" s="2">
        <f t="shared" si="34"/>
        <v>0</v>
      </c>
      <c r="BC244" s="2">
        <f t="shared" si="35"/>
        <v>0</v>
      </c>
      <c r="BD244" s="2">
        <f t="shared" si="36"/>
        <v>0</v>
      </c>
      <c r="BE244" s="2">
        <f t="shared" si="37"/>
        <v>0</v>
      </c>
      <c r="BF244" s="2">
        <f t="shared" si="38"/>
        <v>0</v>
      </c>
      <c r="BJ244" s="2" t="str">
        <f t="shared" si="39"/>
        <v/>
      </c>
    </row>
    <row r="245" spans="1:62" ht="15" customHeight="1" x14ac:dyDescent="0.45">
      <c r="A245" s="2" t="s">
        <v>342</v>
      </c>
      <c r="B245" s="2" t="s">
        <v>356</v>
      </c>
      <c r="C245" s="2">
        <v>2019</v>
      </c>
      <c r="D245" s="2">
        <v>20.337</v>
      </c>
      <c r="E245" s="2">
        <v>22.529</v>
      </c>
      <c r="F245" s="2" t="s">
        <v>146</v>
      </c>
      <c r="G245" s="2">
        <v>0.20100000000000001</v>
      </c>
      <c r="H245" s="2" t="s">
        <v>146</v>
      </c>
      <c r="I245" s="2" t="s">
        <v>146</v>
      </c>
      <c r="J245" s="2" t="s">
        <v>146</v>
      </c>
      <c r="K245" s="2" t="s">
        <v>146</v>
      </c>
      <c r="L245" s="2" t="s">
        <v>146</v>
      </c>
      <c r="M245" s="2" t="s">
        <v>49</v>
      </c>
      <c r="N245" s="2" t="s">
        <v>146</v>
      </c>
      <c r="O245" s="2">
        <v>7.9619999999999997</v>
      </c>
      <c r="P245" s="2" t="s">
        <v>146</v>
      </c>
      <c r="Q245" s="2">
        <v>7.9619999999999997</v>
      </c>
      <c r="R245" s="2" t="s">
        <v>146</v>
      </c>
      <c r="S245" s="2" t="s">
        <v>146</v>
      </c>
      <c r="T245" s="2" t="s">
        <v>146</v>
      </c>
      <c r="U245" s="2">
        <v>6.4020000000000001</v>
      </c>
      <c r="V245" s="2" t="s">
        <v>146</v>
      </c>
      <c r="W245" s="2" t="s">
        <v>146</v>
      </c>
      <c r="X245" s="2" t="s">
        <v>146</v>
      </c>
      <c r="Y245" s="2" t="s">
        <v>146</v>
      </c>
      <c r="Z245" s="2" t="s">
        <v>146</v>
      </c>
      <c r="AA245" s="2" t="s">
        <v>146</v>
      </c>
      <c r="AB245" s="2" t="s">
        <v>146</v>
      </c>
      <c r="AC245" s="2" t="s">
        <v>146</v>
      </c>
      <c r="AD245" s="2" t="s">
        <v>146</v>
      </c>
      <c r="AE245" s="2" t="s">
        <v>146</v>
      </c>
      <c r="AF245" s="2" t="s">
        <v>146</v>
      </c>
      <c r="AG245" s="2" t="s">
        <v>146</v>
      </c>
      <c r="AH245" s="2" t="s">
        <v>146</v>
      </c>
      <c r="AI245" s="2" t="s">
        <v>146</v>
      </c>
      <c r="AJ245" s="2" t="s">
        <v>146</v>
      </c>
      <c r="AK245" s="2" t="s">
        <v>146</v>
      </c>
      <c r="AL245" s="2">
        <v>2E-3</v>
      </c>
      <c r="AM245" s="2" t="s">
        <v>146</v>
      </c>
      <c r="AN245" s="2" t="s">
        <v>49</v>
      </c>
      <c r="AO245" s="2" t="s">
        <v>146</v>
      </c>
      <c r="AP245" s="2" t="s">
        <v>146</v>
      </c>
      <c r="AQ245" s="2" t="s">
        <v>146</v>
      </c>
      <c r="AR245" s="2" t="s">
        <v>146</v>
      </c>
      <c r="AV245" s="2">
        <f t="shared" si="30"/>
        <v>22.529</v>
      </c>
      <c r="AW245" s="2">
        <f t="shared" si="31"/>
        <v>20.337</v>
      </c>
      <c r="AX245" s="27">
        <f t="shared" si="32"/>
        <v>0.9027031825646944</v>
      </c>
      <c r="BA245" s="2">
        <f t="shared" si="33"/>
        <v>0</v>
      </c>
      <c r="BB245" s="2">
        <f t="shared" si="34"/>
        <v>0</v>
      </c>
      <c r="BC245" s="2">
        <f t="shared" si="35"/>
        <v>0</v>
      </c>
      <c r="BD245" s="2">
        <f t="shared" si="36"/>
        <v>0</v>
      </c>
      <c r="BE245" s="2">
        <f t="shared" si="37"/>
        <v>0</v>
      </c>
      <c r="BF245" s="2">
        <f t="shared" si="38"/>
        <v>0</v>
      </c>
      <c r="BJ245" s="2" t="str">
        <f t="shared" si="39"/>
        <v/>
      </c>
    </row>
    <row r="246" spans="1:62" ht="15" customHeight="1" x14ac:dyDescent="0.45">
      <c r="A246" s="2" t="s">
        <v>342</v>
      </c>
      <c r="B246" s="2" t="s">
        <v>355</v>
      </c>
      <c r="C246" s="2">
        <v>2019</v>
      </c>
      <c r="D246" s="2">
        <v>11.057</v>
      </c>
      <c r="E246" s="2">
        <v>12.71</v>
      </c>
      <c r="F246" s="2" t="s">
        <v>146</v>
      </c>
      <c r="G246" s="2">
        <v>0.183</v>
      </c>
      <c r="H246" s="2" t="s">
        <v>146</v>
      </c>
      <c r="I246" s="2" t="s">
        <v>146</v>
      </c>
      <c r="J246" s="2" t="s">
        <v>146</v>
      </c>
      <c r="K246" s="2" t="s">
        <v>146</v>
      </c>
      <c r="L246" s="2" t="s">
        <v>146</v>
      </c>
      <c r="M246" s="2" t="s">
        <v>49</v>
      </c>
      <c r="N246" s="2" t="s">
        <v>146</v>
      </c>
      <c r="O246" s="2" t="s">
        <v>146</v>
      </c>
      <c r="P246" s="2" t="s">
        <v>146</v>
      </c>
      <c r="Q246" s="2" t="s">
        <v>146</v>
      </c>
      <c r="R246" s="2" t="s">
        <v>146</v>
      </c>
      <c r="S246" s="2" t="s">
        <v>146</v>
      </c>
      <c r="T246" s="2" t="s">
        <v>146</v>
      </c>
      <c r="U246" s="2">
        <v>12.526999999999999</v>
      </c>
      <c r="V246" s="2" t="s">
        <v>146</v>
      </c>
      <c r="W246" s="2" t="s">
        <v>146</v>
      </c>
      <c r="X246" s="2" t="s">
        <v>146</v>
      </c>
      <c r="Y246" s="2" t="s">
        <v>146</v>
      </c>
      <c r="Z246" s="2" t="s">
        <v>146</v>
      </c>
      <c r="AA246" s="2" t="s">
        <v>146</v>
      </c>
      <c r="AB246" s="2" t="s">
        <v>146</v>
      </c>
      <c r="AC246" s="2" t="s">
        <v>146</v>
      </c>
      <c r="AD246" s="2" t="s">
        <v>146</v>
      </c>
      <c r="AE246" s="2" t="s">
        <v>146</v>
      </c>
      <c r="AF246" s="2" t="s">
        <v>146</v>
      </c>
      <c r="AG246" s="2" t="s">
        <v>146</v>
      </c>
      <c r="AH246" s="2" t="s">
        <v>146</v>
      </c>
      <c r="AI246" s="2" t="s">
        <v>146</v>
      </c>
      <c r="AJ246" s="2" t="s">
        <v>146</v>
      </c>
      <c r="AK246" s="2" t="s">
        <v>146</v>
      </c>
      <c r="AL246" s="2" t="s">
        <v>146</v>
      </c>
      <c r="AM246" s="2" t="s">
        <v>146</v>
      </c>
      <c r="AN246" s="2" t="s">
        <v>49</v>
      </c>
      <c r="AO246" s="2" t="s">
        <v>146</v>
      </c>
      <c r="AP246" s="2" t="s">
        <v>146</v>
      </c>
      <c r="AQ246" s="2" t="s">
        <v>146</v>
      </c>
      <c r="AR246" s="2" t="s">
        <v>146</v>
      </c>
      <c r="AV246" s="2">
        <f t="shared" si="30"/>
        <v>12.709999999999999</v>
      </c>
      <c r="AW246" s="2">
        <f t="shared" si="31"/>
        <v>11.057</v>
      </c>
      <c r="AX246" s="27">
        <f t="shared" si="32"/>
        <v>0.86994492525570422</v>
      </c>
      <c r="BA246" s="2">
        <f t="shared" si="33"/>
        <v>0</v>
      </c>
      <c r="BB246" s="2">
        <f t="shared" si="34"/>
        <v>0</v>
      </c>
      <c r="BC246" s="2">
        <f t="shared" si="35"/>
        <v>0</v>
      </c>
      <c r="BD246" s="2">
        <f t="shared" si="36"/>
        <v>0</v>
      </c>
      <c r="BE246" s="2">
        <f t="shared" si="37"/>
        <v>0</v>
      </c>
      <c r="BF246" s="2">
        <f t="shared" si="38"/>
        <v>0</v>
      </c>
      <c r="BJ246" s="2" t="str">
        <f t="shared" si="39"/>
        <v/>
      </c>
    </row>
    <row r="247" spans="1:62" ht="15" customHeight="1" x14ac:dyDescent="0.45">
      <c r="A247" s="2" t="s">
        <v>342</v>
      </c>
      <c r="B247" s="2" t="s">
        <v>354</v>
      </c>
      <c r="C247" s="2">
        <v>2019</v>
      </c>
      <c r="D247" s="2">
        <v>6.9080000000000004</v>
      </c>
      <c r="E247" s="2">
        <v>7.94</v>
      </c>
      <c r="F247" s="2" t="s">
        <v>146</v>
      </c>
      <c r="G247" s="2">
        <v>3.2000000000000001E-2</v>
      </c>
      <c r="H247" s="2" t="s">
        <v>146</v>
      </c>
      <c r="I247" s="2" t="s">
        <v>146</v>
      </c>
      <c r="J247" s="2" t="s">
        <v>146</v>
      </c>
      <c r="K247" s="2" t="s">
        <v>146</v>
      </c>
      <c r="L247" s="2" t="s">
        <v>146</v>
      </c>
      <c r="M247" s="2" t="s">
        <v>49</v>
      </c>
      <c r="N247" s="2" t="s">
        <v>146</v>
      </c>
      <c r="O247" s="2" t="s">
        <v>146</v>
      </c>
      <c r="P247" s="2" t="s">
        <v>146</v>
      </c>
      <c r="Q247" s="2" t="s">
        <v>146</v>
      </c>
      <c r="R247" s="2" t="s">
        <v>146</v>
      </c>
      <c r="S247" s="2" t="s">
        <v>146</v>
      </c>
      <c r="T247" s="2" t="s">
        <v>146</v>
      </c>
      <c r="U247" s="2">
        <v>7.9080000000000004</v>
      </c>
      <c r="V247" s="2" t="s">
        <v>146</v>
      </c>
      <c r="W247" s="2" t="s">
        <v>146</v>
      </c>
      <c r="X247" s="2" t="s">
        <v>146</v>
      </c>
      <c r="Y247" s="2" t="s">
        <v>146</v>
      </c>
      <c r="Z247" s="2" t="s">
        <v>146</v>
      </c>
      <c r="AA247" s="2" t="s">
        <v>146</v>
      </c>
      <c r="AB247" s="2" t="s">
        <v>146</v>
      </c>
      <c r="AC247" s="2" t="s">
        <v>146</v>
      </c>
      <c r="AD247" s="2" t="s">
        <v>146</v>
      </c>
      <c r="AE247" s="2" t="s">
        <v>146</v>
      </c>
      <c r="AF247" s="2" t="s">
        <v>146</v>
      </c>
      <c r="AG247" s="2" t="s">
        <v>146</v>
      </c>
      <c r="AH247" s="2" t="s">
        <v>146</v>
      </c>
      <c r="AI247" s="2" t="s">
        <v>146</v>
      </c>
      <c r="AJ247" s="2" t="s">
        <v>146</v>
      </c>
      <c r="AK247" s="2" t="s">
        <v>146</v>
      </c>
      <c r="AL247" s="2" t="s">
        <v>146</v>
      </c>
      <c r="AM247" s="2" t="s">
        <v>146</v>
      </c>
      <c r="AN247" s="2" t="s">
        <v>49</v>
      </c>
      <c r="AO247" s="2" t="s">
        <v>146</v>
      </c>
      <c r="AP247" s="2" t="s">
        <v>146</v>
      </c>
      <c r="AQ247" s="2" t="s">
        <v>146</v>
      </c>
      <c r="AR247" s="2" t="s">
        <v>146</v>
      </c>
      <c r="AV247" s="2">
        <f t="shared" si="30"/>
        <v>7.94</v>
      </c>
      <c r="AW247" s="2">
        <f t="shared" si="31"/>
        <v>6.9080000000000004</v>
      </c>
      <c r="AX247" s="27">
        <f t="shared" si="32"/>
        <v>0.87002518891687652</v>
      </c>
      <c r="BA247" s="2">
        <f t="shared" si="33"/>
        <v>0</v>
      </c>
      <c r="BB247" s="2">
        <f t="shared" si="34"/>
        <v>0</v>
      </c>
      <c r="BC247" s="2">
        <f t="shared" si="35"/>
        <v>0</v>
      </c>
      <c r="BD247" s="2">
        <f t="shared" si="36"/>
        <v>0</v>
      </c>
      <c r="BE247" s="2">
        <f t="shared" si="37"/>
        <v>0</v>
      </c>
      <c r="BF247" s="2">
        <f t="shared" si="38"/>
        <v>0</v>
      </c>
      <c r="BJ247" s="2" t="str">
        <f t="shared" si="39"/>
        <v/>
      </c>
    </row>
    <row r="248" spans="1:62" ht="15" customHeight="1" x14ac:dyDescent="0.45">
      <c r="A248" s="2" t="s">
        <v>342</v>
      </c>
      <c r="B248" s="2" t="s">
        <v>353</v>
      </c>
      <c r="C248" s="2">
        <v>2019</v>
      </c>
      <c r="D248" s="2">
        <v>6.4459999999999997</v>
      </c>
      <c r="E248" s="2">
        <v>7.4009999999999998</v>
      </c>
      <c r="F248" s="2" t="s">
        <v>146</v>
      </c>
      <c r="G248" s="2">
        <v>1.4E-2</v>
      </c>
      <c r="H248" s="2" t="s">
        <v>146</v>
      </c>
      <c r="I248" s="2" t="s">
        <v>146</v>
      </c>
      <c r="J248" s="2" t="s">
        <v>146</v>
      </c>
      <c r="K248" s="2" t="s">
        <v>146</v>
      </c>
      <c r="L248" s="2" t="s">
        <v>146</v>
      </c>
      <c r="M248" s="2" t="s">
        <v>49</v>
      </c>
      <c r="N248" s="2" t="s">
        <v>146</v>
      </c>
      <c r="O248" s="2" t="s">
        <v>146</v>
      </c>
      <c r="P248" s="2" t="s">
        <v>146</v>
      </c>
      <c r="Q248" s="2" t="s">
        <v>146</v>
      </c>
      <c r="R248" s="2" t="s">
        <v>146</v>
      </c>
      <c r="S248" s="2" t="s">
        <v>146</v>
      </c>
      <c r="T248" s="2" t="s">
        <v>146</v>
      </c>
      <c r="U248" s="2">
        <v>7.3109999999999999</v>
      </c>
      <c r="V248" s="2" t="s">
        <v>146</v>
      </c>
      <c r="W248" s="2" t="s">
        <v>146</v>
      </c>
      <c r="X248" s="2" t="s">
        <v>146</v>
      </c>
      <c r="Y248" s="2" t="s">
        <v>146</v>
      </c>
      <c r="Z248" s="2" t="s">
        <v>146</v>
      </c>
      <c r="AA248" s="2" t="s">
        <v>146</v>
      </c>
      <c r="AB248" s="2" t="s">
        <v>146</v>
      </c>
      <c r="AC248" s="2" t="s">
        <v>146</v>
      </c>
      <c r="AD248" s="2" t="s">
        <v>146</v>
      </c>
      <c r="AE248" s="2" t="s">
        <v>146</v>
      </c>
      <c r="AF248" s="2" t="s">
        <v>146</v>
      </c>
      <c r="AG248" s="2" t="s">
        <v>146</v>
      </c>
      <c r="AH248" s="2" t="s">
        <v>146</v>
      </c>
      <c r="AI248" s="2" t="s">
        <v>146</v>
      </c>
      <c r="AJ248" s="2" t="s">
        <v>146</v>
      </c>
      <c r="AK248" s="2" t="s">
        <v>146</v>
      </c>
      <c r="AL248" s="2">
        <v>7.5999999999999998E-2</v>
      </c>
      <c r="AM248" s="2" t="s">
        <v>146</v>
      </c>
      <c r="AN248" s="2" t="s">
        <v>49</v>
      </c>
      <c r="AO248" s="2" t="s">
        <v>146</v>
      </c>
      <c r="AP248" s="2" t="s">
        <v>146</v>
      </c>
      <c r="AQ248" s="2" t="s">
        <v>146</v>
      </c>
      <c r="AR248" s="2" t="s">
        <v>146</v>
      </c>
      <c r="AV248" s="2">
        <f t="shared" si="30"/>
        <v>7.4009999999999998</v>
      </c>
      <c r="AW248" s="2">
        <f t="shared" si="31"/>
        <v>6.4459999999999997</v>
      </c>
      <c r="AX248" s="27">
        <f t="shared" si="32"/>
        <v>0.87096338332657752</v>
      </c>
      <c r="BA248" s="2">
        <f t="shared" si="33"/>
        <v>0</v>
      </c>
      <c r="BB248" s="2">
        <f t="shared" si="34"/>
        <v>0</v>
      </c>
      <c r="BC248" s="2">
        <f t="shared" si="35"/>
        <v>0</v>
      </c>
      <c r="BD248" s="2">
        <f t="shared" si="36"/>
        <v>0</v>
      </c>
      <c r="BE248" s="2">
        <f t="shared" si="37"/>
        <v>0</v>
      </c>
      <c r="BF248" s="2">
        <f t="shared" si="38"/>
        <v>0</v>
      </c>
      <c r="BJ248" s="2" t="str">
        <f t="shared" si="39"/>
        <v/>
      </c>
    </row>
    <row r="249" spans="1:62" ht="15" customHeight="1" x14ac:dyDescent="0.45">
      <c r="A249" s="2" t="s">
        <v>342</v>
      </c>
      <c r="B249" s="2" t="s">
        <v>352</v>
      </c>
      <c r="C249" s="2">
        <v>2019</v>
      </c>
      <c r="D249" s="2">
        <v>3.1720000000000002</v>
      </c>
      <c r="E249" s="2">
        <v>3.6459999999999999</v>
      </c>
      <c r="F249" s="2" t="s">
        <v>146</v>
      </c>
      <c r="G249" s="2">
        <v>6.6000000000000003E-2</v>
      </c>
      <c r="H249" s="2" t="s">
        <v>146</v>
      </c>
      <c r="I249" s="2" t="s">
        <v>146</v>
      </c>
      <c r="J249" s="2" t="s">
        <v>146</v>
      </c>
      <c r="K249" s="2" t="s">
        <v>146</v>
      </c>
      <c r="L249" s="2" t="s">
        <v>146</v>
      </c>
      <c r="M249" s="2" t="s">
        <v>49</v>
      </c>
      <c r="N249" s="2" t="s">
        <v>146</v>
      </c>
      <c r="O249" s="2" t="s">
        <v>146</v>
      </c>
      <c r="P249" s="2" t="s">
        <v>146</v>
      </c>
      <c r="Q249" s="2" t="s">
        <v>146</v>
      </c>
      <c r="R249" s="2" t="s">
        <v>146</v>
      </c>
      <c r="S249" s="2" t="s">
        <v>146</v>
      </c>
      <c r="T249" s="2" t="s">
        <v>146</v>
      </c>
      <c r="U249" s="2">
        <v>3.58</v>
      </c>
      <c r="V249" s="2" t="s">
        <v>146</v>
      </c>
      <c r="W249" s="2" t="s">
        <v>146</v>
      </c>
      <c r="X249" s="2" t="s">
        <v>146</v>
      </c>
      <c r="Y249" s="2" t="s">
        <v>146</v>
      </c>
      <c r="Z249" s="2" t="s">
        <v>146</v>
      </c>
      <c r="AA249" s="2" t="s">
        <v>146</v>
      </c>
      <c r="AB249" s="2" t="s">
        <v>146</v>
      </c>
      <c r="AC249" s="2" t="s">
        <v>146</v>
      </c>
      <c r="AD249" s="2" t="s">
        <v>146</v>
      </c>
      <c r="AE249" s="2" t="s">
        <v>146</v>
      </c>
      <c r="AF249" s="2" t="s">
        <v>146</v>
      </c>
      <c r="AG249" s="2" t="s">
        <v>146</v>
      </c>
      <c r="AH249" s="2" t="s">
        <v>146</v>
      </c>
      <c r="AI249" s="2" t="s">
        <v>146</v>
      </c>
      <c r="AJ249" s="2" t="s">
        <v>146</v>
      </c>
      <c r="AK249" s="2" t="s">
        <v>146</v>
      </c>
      <c r="AL249" s="2" t="s">
        <v>146</v>
      </c>
      <c r="AM249" s="2" t="s">
        <v>146</v>
      </c>
      <c r="AN249" s="2" t="s">
        <v>49</v>
      </c>
      <c r="AO249" s="2" t="s">
        <v>146</v>
      </c>
      <c r="AP249" s="2" t="s">
        <v>146</v>
      </c>
      <c r="AQ249" s="2" t="s">
        <v>146</v>
      </c>
      <c r="AR249" s="2" t="s">
        <v>146</v>
      </c>
      <c r="AV249" s="2">
        <f t="shared" si="30"/>
        <v>3.6459999999999999</v>
      </c>
      <c r="AW249" s="2">
        <f t="shared" si="31"/>
        <v>3.1720000000000002</v>
      </c>
      <c r="AX249" s="27">
        <f t="shared" si="32"/>
        <v>0.86999451453647836</v>
      </c>
      <c r="BA249" s="2">
        <f t="shared" si="33"/>
        <v>0</v>
      </c>
      <c r="BB249" s="2">
        <f t="shared" si="34"/>
        <v>0</v>
      </c>
      <c r="BC249" s="2">
        <f t="shared" si="35"/>
        <v>0</v>
      </c>
      <c r="BD249" s="2">
        <f t="shared" si="36"/>
        <v>0</v>
      </c>
      <c r="BE249" s="2">
        <f t="shared" si="37"/>
        <v>0</v>
      </c>
      <c r="BF249" s="2">
        <f t="shared" si="38"/>
        <v>0</v>
      </c>
      <c r="BJ249" s="2" t="str">
        <f t="shared" si="39"/>
        <v/>
      </c>
    </row>
    <row r="250" spans="1:62" ht="15" customHeight="1" x14ac:dyDescent="0.45">
      <c r="A250" s="2" t="s">
        <v>342</v>
      </c>
      <c r="B250" s="2" t="s">
        <v>351</v>
      </c>
      <c r="C250" s="2">
        <v>2019</v>
      </c>
      <c r="D250" s="2">
        <v>10.5</v>
      </c>
      <c r="E250" s="2">
        <v>12.375</v>
      </c>
      <c r="F250" s="2" t="s">
        <v>146</v>
      </c>
      <c r="G250" s="2" t="s">
        <v>146</v>
      </c>
      <c r="H250" s="2" t="s">
        <v>146</v>
      </c>
      <c r="I250" s="2" t="s">
        <v>146</v>
      </c>
      <c r="J250" s="2" t="s">
        <v>146</v>
      </c>
      <c r="K250" s="2" t="s">
        <v>146</v>
      </c>
      <c r="L250" s="2" t="s">
        <v>146</v>
      </c>
      <c r="M250" s="2" t="s">
        <v>49</v>
      </c>
      <c r="N250" s="2" t="s">
        <v>146</v>
      </c>
      <c r="O250" s="2" t="s">
        <v>146</v>
      </c>
      <c r="P250" s="2" t="s">
        <v>146</v>
      </c>
      <c r="Q250" s="2" t="s">
        <v>146</v>
      </c>
      <c r="R250" s="2" t="s">
        <v>146</v>
      </c>
      <c r="S250" s="2">
        <v>5.9740000000000002</v>
      </c>
      <c r="T250" s="2" t="s">
        <v>146</v>
      </c>
      <c r="U250" s="2" t="s">
        <v>146</v>
      </c>
      <c r="V250" s="2" t="s">
        <v>146</v>
      </c>
      <c r="W250" s="2" t="s">
        <v>146</v>
      </c>
      <c r="X250" s="2" t="s">
        <v>146</v>
      </c>
      <c r="Y250" s="2" t="s">
        <v>146</v>
      </c>
      <c r="Z250" s="2" t="s">
        <v>146</v>
      </c>
      <c r="AA250" s="2" t="s">
        <v>146</v>
      </c>
      <c r="AB250" s="2">
        <v>6.4009999999999998</v>
      </c>
      <c r="AC250" s="2" t="s">
        <v>146</v>
      </c>
      <c r="AD250" s="2" t="s">
        <v>146</v>
      </c>
      <c r="AE250" s="2" t="s">
        <v>146</v>
      </c>
      <c r="AF250" s="2" t="s">
        <v>146</v>
      </c>
      <c r="AG250" s="2" t="s">
        <v>146</v>
      </c>
      <c r="AH250" s="2" t="s">
        <v>146</v>
      </c>
      <c r="AI250" s="2" t="s">
        <v>146</v>
      </c>
      <c r="AJ250" s="2" t="s">
        <v>146</v>
      </c>
      <c r="AK250" s="2" t="s">
        <v>146</v>
      </c>
      <c r="AL250" s="2" t="s">
        <v>146</v>
      </c>
      <c r="AM250" s="2" t="s">
        <v>146</v>
      </c>
      <c r="AN250" s="2" t="s">
        <v>49</v>
      </c>
      <c r="AO250" s="2" t="s">
        <v>146</v>
      </c>
      <c r="AP250" s="2" t="s">
        <v>146</v>
      </c>
      <c r="AQ250" s="2" t="s">
        <v>146</v>
      </c>
      <c r="AR250" s="2" t="s">
        <v>146</v>
      </c>
      <c r="AV250" s="2">
        <f t="shared" si="30"/>
        <v>12.375</v>
      </c>
      <c r="AW250" s="2">
        <f t="shared" si="31"/>
        <v>10.5</v>
      </c>
      <c r="AX250" s="27">
        <f t="shared" si="32"/>
        <v>0.84848484848484851</v>
      </c>
      <c r="BA250" s="2">
        <f t="shared" si="33"/>
        <v>0</v>
      </c>
      <c r="BB250" s="2">
        <f t="shared" si="34"/>
        <v>0</v>
      </c>
      <c r="BC250" s="2">
        <f t="shared" si="35"/>
        <v>0</v>
      </c>
      <c r="BD250" s="2">
        <f t="shared" si="36"/>
        <v>0</v>
      </c>
      <c r="BE250" s="2">
        <f t="shared" si="37"/>
        <v>0</v>
      </c>
      <c r="BF250" s="2">
        <f t="shared" si="38"/>
        <v>0</v>
      </c>
      <c r="BJ250" s="2" t="str">
        <f t="shared" si="39"/>
        <v/>
      </c>
    </row>
    <row r="251" spans="1:62" ht="15" customHeight="1" x14ac:dyDescent="0.45">
      <c r="A251" s="2" t="s">
        <v>342</v>
      </c>
      <c r="B251" s="2" t="s">
        <v>350</v>
      </c>
      <c r="C251" s="2">
        <v>2019</v>
      </c>
      <c r="D251" s="2">
        <v>3.758</v>
      </c>
      <c r="E251" s="2">
        <v>4.3179999999999996</v>
      </c>
      <c r="F251" s="2" t="s">
        <v>146</v>
      </c>
      <c r="G251" s="2">
        <v>8.7999999999999995E-2</v>
      </c>
      <c r="H251" s="2" t="s">
        <v>146</v>
      </c>
      <c r="I251" s="2" t="s">
        <v>146</v>
      </c>
      <c r="J251" s="2" t="s">
        <v>146</v>
      </c>
      <c r="K251" s="2" t="s">
        <v>146</v>
      </c>
      <c r="L251" s="2" t="s">
        <v>146</v>
      </c>
      <c r="M251" s="2" t="s">
        <v>49</v>
      </c>
      <c r="N251" s="2" t="s">
        <v>146</v>
      </c>
      <c r="O251" s="2" t="s">
        <v>146</v>
      </c>
      <c r="P251" s="2" t="s">
        <v>146</v>
      </c>
      <c r="Q251" s="2" t="s">
        <v>146</v>
      </c>
      <c r="R251" s="2" t="s">
        <v>146</v>
      </c>
      <c r="S251" s="2" t="s">
        <v>146</v>
      </c>
      <c r="T251" s="2" t="s">
        <v>146</v>
      </c>
      <c r="U251" s="2">
        <v>4.2300000000000004</v>
      </c>
      <c r="V251" s="2" t="s">
        <v>146</v>
      </c>
      <c r="W251" s="2" t="s">
        <v>146</v>
      </c>
      <c r="X251" s="2" t="s">
        <v>146</v>
      </c>
      <c r="Y251" s="2" t="s">
        <v>146</v>
      </c>
      <c r="Z251" s="2" t="s">
        <v>146</v>
      </c>
      <c r="AA251" s="2" t="s">
        <v>146</v>
      </c>
      <c r="AB251" s="2" t="s">
        <v>146</v>
      </c>
      <c r="AC251" s="2" t="s">
        <v>146</v>
      </c>
      <c r="AD251" s="2" t="s">
        <v>146</v>
      </c>
      <c r="AE251" s="2" t="s">
        <v>146</v>
      </c>
      <c r="AF251" s="2" t="s">
        <v>146</v>
      </c>
      <c r="AG251" s="2" t="s">
        <v>146</v>
      </c>
      <c r="AH251" s="2" t="s">
        <v>146</v>
      </c>
      <c r="AI251" s="2" t="s">
        <v>146</v>
      </c>
      <c r="AJ251" s="2" t="s">
        <v>146</v>
      </c>
      <c r="AK251" s="2" t="s">
        <v>146</v>
      </c>
      <c r="AL251" s="2" t="s">
        <v>146</v>
      </c>
      <c r="AM251" s="2" t="s">
        <v>146</v>
      </c>
      <c r="AN251" s="2" t="s">
        <v>49</v>
      </c>
      <c r="AO251" s="2" t="s">
        <v>146</v>
      </c>
      <c r="AP251" s="2" t="s">
        <v>146</v>
      </c>
      <c r="AQ251" s="2" t="s">
        <v>146</v>
      </c>
      <c r="AR251" s="2" t="s">
        <v>146</v>
      </c>
      <c r="AV251" s="2">
        <f t="shared" si="30"/>
        <v>4.3180000000000005</v>
      </c>
      <c r="AW251" s="2">
        <f t="shared" si="31"/>
        <v>3.758</v>
      </c>
      <c r="AX251" s="27">
        <f t="shared" si="32"/>
        <v>0.87031032885595172</v>
      </c>
      <c r="BA251" s="2">
        <f t="shared" si="33"/>
        <v>0</v>
      </c>
      <c r="BB251" s="2">
        <f t="shared" si="34"/>
        <v>0</v>
      </c>
      <c r="BC251" s="2">
        <f t="shared" si="35"/>
        <v>0</v>
      </c>
      <c r="BD251" s="2">
        <f t="shared" si="36"/>
        <v>0</v>
      </c>
      <c r="BE251" s="2">
        <f t="shared" si="37"/>
        <v>0</v>
      </c>
      <c r="BF251" s="2">
        <f t="shared" si="38"/>
        <v>0</v>
      </c>
      <c r="BJ251" s="2" t="str">
        <f t="shared" si="39"/>
        <v/>
      </c>
    </row>
    <row r="252" spans="1:62" ht="15" customHeight="1" x14ac:dyDescent="0.45">
      <c r="A252" s="2" t="s">
        <v>342</v>
      </c>
      <c r="B252" s="2" t="s">
        <v>349</v>
      </c>
      <c r="C252" s="2">
        <v>2019</v>
      </c>
      <c r="D252" s="2">
        <v>7.375</v>
      </c>
      <c r="E252" s="2">
        <v>8.5329999999999995</v>
      </c>
      <c r="F252" s="2" t="s">
        <v>146</v>
      </c>
      <c r="G252" s="2">
        <v>0.73599999999999999</v>
      </c>
      <c r="H252" s="2" t="s">
        <v>146</v>
      </c>
      <c r="I252" s="2" t="s">
        <v>146</v>
      </c>
      <c r="J252" s="2" t="s">
        <v>146</v>
      </c>
      <c r="K252" s="2" t="s">
        <v>146</v>
      </c>
      <c r="L252" s="2" t="s">
        <v>146</v>
      </c>
      <c r="M252" s="2" t="s">
        <v>49</v>
      </c>
      <c r="N252" s="2" t="s">
        <v>146</v>
      </c>
      <c r="O252" s="2" t="s">
        <v>146</v>
      </c>
      <c r="P252" s="2" t="s">
        <v>146</v>
      </c>
      <c r="Q252" s="2" t="s">
        <v>146</v>
      </c>
      <c r="R252" s="2" t="s">
        <v>146</v>
      </c>
      <c r="S252" s="2" t="s">
        <v>146</v>
      </c>
      <c r="T252" s="2" t="s">
        <v>146</v>
      </c>
      <c r="U252" s="2">
        <v>7.7969999999999997</v>
      </c>
      <c r="V252" s="2" t="s">
        <v>146</v>
      </c>
      <c r="W252" s="2" t="s">
        <v>146</v>
      </c>
      <c r="X252" s="2" t="s">
        <v>146</v>
      </c>
      <c r="Y252" s="2" t="s">
        <v>146</v>
      </c>
      <c r="Z252" s="2" t="s">
        <v>146</v>
      </c>
      <c r="AA252" s="2" t="s">
        <v>146</v>
      </c>
      <c r="AB252" s="2" t="s">
        <v>146</v>
      </c>
      <c r="AC252" s="2" t="s">
        <v>146</v>
      </c>
      <c r="AD252" s="2" t="s">
        <v>146</v>
      </c>
      <c r="AE252" s="2" t="s">
        <v>146</v>
      </c>
      <c r="AF252" s="2" t="s">
        <v>146</v>
      </c>
      <c r="AG252" s="2" t="s">
        <v>146</v>
      </c>
      <c r="AH252" s="2" t="s">
        <v>146</v>
      </c>
      <c r="AI252" s="2" t="s">
        <v>146</v>
      </c>
      <c r="AJ252" s="2" t="s">
        <v>146</v>
      </c>
      <c r="AK252" s="2" t="s">
        <v>146</v>
      </c>
      <c r="AL252" s="2" t="s">
        <v>146</v>
      </c>
      <c r="AM252" s="2" t="s">
        <v>146</v>
      </c>
      <c r="AN252" s="2" t="s">
        <v>49</v>
      </c>
      <c r="AO252" s="2" t="s">
        <v>146</v>
      </c>
      <c r="AP252" s="2" t="s">
        <v>146</v>
      </c>
      <c r="AQ252" s="2" t="s">
        <v>146</v>
      </c>
      <c r="AR252" s="2" t="s">
        <v>146</v>
      </c>
      <c r="AV252" s="2">
        <f t="shared" si="30"/>
        <v>8.5329999999999995</v>
      </c>
      <c r="AW252" s="2">
        <f t="shared" si="31"/>
        <v>7.375</v>
      </c>
      <c r="AX252" s="27">
        <f t="shared" si="32"/>
        <v>0.86429157388960509</v>
      </c>
      <c r="BA252" s="2">
        <f t="shared" si="33"/>
        <v>0</v>
      </c>
      <c r="BB252" s="2">
        <f t="shared" si="34"/>
        <v>0</v>
      </c>
      <c r="BC252" s="2">
        <f t="shared" si="35"/>
        <v>0</v>
      </c>
      <c r="BD252" s="2">
        <f t="shared" si="36"/>
        <v>0</v>
      </c>
      <c r="BE252" s="2">
        <f t="shared" si="37"/>
        <v>0</v>
      </c>
      <c r="BF252" s="2">
        <f t="shared" si="38"/>
        <v>0</v>
      </c>
      <c r="BJ252" s="2" t="str">
        <f t="shared" si="39"/>
        <v/>
      </c>
    </row>
    <row r="253" spans="1:62" ht="15" customHeight="1" x14ac:dyDescent="0.45">
      <c r="A253" s="2" t="s">
        <v>342</v>
      </c>
      <c r="B253" s="2" t="s">
        <v>348</v>
      </c>
      <c r="C253" s="2">
        <v>2019</v>
      </c>
      <c r="D253" s="2">
        <v>8.17</v>
      </c>
      <c r="E253" s="2">
        <v>9.3539999999999992</v>
      </c>
      <c r="F253" s="2" t="s">
        <v>146</v>
      </c>
      <c r="G253" s="2">
        <v>0.35799999999999998</v>
      </c>
      <c r="H253" s="2" t="s">
        <v>146</v>
      </c>
      <c r="I253" s="2" t="s">
        <v>146</v>
      </c>
      <c r="J253" s="2" t="s">
        <v>146</v>
      </c>
      <c r="K253" s="2" t="s">
        <v>146</v>
      </c>
      <c r="L253" s="2" t="s">
        <v>146</v>
      </c>
      <c r="M253" s="2" t="s">
        <v>49</v>
      </c>
      <c r="N253" s="2" t="s">
        <v>146</v>
      </c>
      <c r="O253" s="2" t="s">
        <v>146</v>
      </c>
      <c r="P253" s="2" t="s">
        <v>146</v>
      </c>
      <c r="Q253" s="2" t="s">
        <v>146</v>
      </c>
      <c r="R253" s="2" t="s">
        <v>146</v>
      </c>
      <c r="S253" s="2" t="s">
        <v>146</v>
      </c>
      <c r="T253" s="2" t="s">
        <v>146</v>
      </c>
      <c r="U253" s="2">
        <v>8.6869999999999994</v>
      </c>
      <c r="V253" s="2" t="s">
        <v>146</v>
      </c>
      <c r="W253" s="2" t="s">
        <v>146</v>
      </c>
      <c r="X253" s="2" t="s">
        <v>146</v>
      </c>
      <c r="Y253" s="2" t="s">
        <v>146</v>
      </c>
      <c r="Z253" s="2" t="s">
        <v>146</v>
      </c>
      <c r="AA253" s="2" t="s">
        <v>146</v>
      </c>
      <c r="AB253" s="2" t="s">
        <v>146</v>
      </c>
      <c r="AC253" s="2" t="s">
        <v>146</v>
      </c>
      <c r="AD253" s="2" t="s">
        <v>146</v>
      </c>
      <c r="AE253" s="2" t="s">
        <v>146</v>
      </c>
      <c r="AF253" s="2" t="s">
        <v>146</v>
      </c>
      <c r="AG253" s="2" t="s">
        <v>146</v>
      </c>
      <c r="AH253" s="2" t="s">
        <v>146</v>
      </c>
      <c r="AI253" s="2" t="s">
        <v>146</v>
      </c>
      <c r="AJ253" s="2" t="s">
        <v>146</v>
      </c>
      <c r="AK253" s="2" t="s">
        <v>146</v>
      </c>
      <c r="AL253" s="2">
        <v>0.309</v>
      </c>
      <c r="AM253" s="2" t="s">
        <v>146</v>
      </c>
      <c r="AN253" s="2" t="s">
        <v>49</v>
      </c>
      <c r="AO253" s="2" t="s">
        <v>146</v>
      </c>
      <c r="AP253" s="2" t="s">
        <v>146</v>
      </c>
      <c r="AQ253" s="2" t="s">
        <v>146</v>
      </c>
      <c r="AR253" s="2" t="s">
        <v>146</v>
      </c>
      <c r="AV253" s="2">
        <f t="shared" si="30"/>
        <v>9.3539999999999992</v>
      </c>
      <c r="AW253" s="2">
        <f t="shared" si="31"/>
        <v>8.17</v>
      </c>
      <c r="AX253" s="27">
        <f t="shared" si="32"/>
        <v>0.87342313448791964</v>
      </c>
      <c r="BA253" s="2">
        <f t="shared" si="33"/>
        <v>0</v>
      </c>
      <c r="BB253" s="2">
        <f t="shared" si="34"/>
        <v>0</v>
      </c>
      <c r="BC253" s="2">
        <f t="shared" si="35"/>
        <v>0</v>
      </c>
      <c r="BD253" s="2">
        <f t="shared" si="36"/>
        <v>0</v>
      </c>
      <c r="BE253" s="2">
        <f t="shared" si="37"/>
        <v>0</v>
      </c>
      <c r="BF253" s="2">
        <f t="shared" si="38"/>
        <v>0</v>
      </c>
      <c r="BJ253" s="2" t="str">
        <f t="shared" si="39"/>
        <v/>
      </c>
    </row>
    <row r="254" spans="1:62" ht="15" customHeight="1" x14ac:dyDescent="0.45">
      <c r="A254" s="2" t="s">
        <v>342</v>
      </c>
      <c r="B254" s="2" t="s">
        <v>347</v>
      </c>
      <c r="C254" s="2">
        <v>2019</v>
      </c>
      <c r="D254" s="2">
        <v>10.114000000000001</v>
      </c>
      <c r="E254" s="2">
        <v>11.624000000000001</v>
      </c>
      <c r="F254" s="2" t="s">
        <v>146</v>
      </c>
      <c r="G254" s="2">
        <v>0.30599999999999999</v>
      </c>
      <c r="H254" s="2" t="s">
        <v>146</v>
      </c>
      <c r="I254" s="2" t="s">
        <v>146</v>
      </c>
      <c r="J254" s="2" t="s">
        <v>146</v>
      </c>
      <c r="K254" s="2" t="s">
        <v>146</v>
      </c>
      <c r="L254" s="2" t="s">
        <v>146</v>
      </c>
      <c r="M254" s="2" t="s">
        <v>49</v>
      </c>
      <c r="N254" s="2" t="s">
        <v>146</v>
      </c>
      <c r="O254" s="2" t="s">
        <v>146</v>
      </c>
      <c r="P254" s="2" t="s">
        <v>146</v>
      </c>
      <c r="Q254" s="2" t="s">
        <v>146</v>
      </c>
      <c r="R254" s="2" t="s">
        <v>146</v>
      </c>
      <c r="S254" s="2" t="s">
        <v>146</v>
      </c>
      <c r="T254" s="2" t="s">
        <v>146</v>
      </c>
      <c r="U254" s="2">
        <v>11.318</v>
      </c>
      <c r="V254" s="2" t="s">
        <v>146</v>
      </c>
      <c r="W254" s="2" t="s">
        <v>146</v>
      </c>
      <c r="X254" s="2" t="s">
        <v>146</v>
      </c>
      <c r="Y254" s="2" t="s">
        <v>146</v>
      </c>
      <c r="Z254" s="2" t="s">
        <v>146</v>
      </c>
      <c r="AA254" s="2" t="s">
        <v>146</v>
      </c>
      <c r="AB254" s="2" t="s">
        <v>146</v>
      </c>
      <c r="AC254" s="2" t="s">
        <v>146</v>
      </c>
      <c r="AD254" s="2" t="s">
        <v>146</v>
      </c>
      <c r="AE254" s="2" t="s">
        <v>146</v>
      </c>
      <c r="AF254" s="2" t="s">
        <v>146</v>
      </c>
      <c r="AG254" s="2" t="s">
        <v>146</v>
      </c>
      <c r="AH254" s="2" t="s">
        <v>146</v>
      </c>
      <c r="AI254" s="2" t="s">
        <v>146</v>
      </c>
      <c r="AJ254" s="2" t="s">
        <v>146</v>
      </c>
      <c r="AK254" s="2" t="s">
        <v>146</v>
      </c>
      <c r="AL254" s="2" t="s">
        <v>146</v>
      </c>
      <c r="AM254" s="2" t="s">
        <v>146</v>
      </c>
      <c r="AN254" s="2" t="s">
        <v>49</v>
      </c>
      <c r="AO254" s="2" t="s">
        <v>146</v>
      </c>
      <c r="AP254" s="2" t="s">
        <v>146</v>
      </c>
      <c r="AQ254" s="2" t="s">
        <v>146</v>
      </c>
      <c r="AR254" s="2" t="s">
        <v>146</v>
      </c>
      <c r="AV254" s="2">
        <f t="shared" si="30"/>
        <v>11.623999999999999</v>
      </c>
      <c r="AW254" s="2">
        <f t="shared" si="31"/>
        <v>10.114000000000001</v>
      </c>
      <c r="AX254" s="27">
        <f t="shared" si="32"/>
        <v>0.87009635237439797</v>
      </c>
      <c r="BA254" s="2">
        <f t="shared" si="33"/>
        <v>0</v>
      </c>
      <c r="BB254" s="2">
        <f t="shared" si="34"/>
        <v>0</v>
      </c>
      <c r="BC254" s="2">
        <f t="shared" si="35"/>
        <v>0</v>
      </c>
      <c r="BD254" s="2">
        <f t="shared" si="36"/>
        <v>0</v>
      </c>
      <c r="BE254" s="2">
        <f t="shared" si="37"/>
        <v>0</v>
      </c>
      <c r="BF254" s="2">
        <f t="shared" si="38"/>
        <v>0</v>
      </c>
      <c r="BJ254" s="2" t="str">
        <f t="shared" si="39"/>
        <v/>
      </c>
    </row>
    <row r="255" spans="1:62" ht="15" customHeight="1" x14ac:dyDescent="0.45">
      <c r="A255" s="2" t="s">
        <v>342</v>
      </c>
      <c r="B255" s="2" t="s">
        <v>346</v>
      </c>
      <c r="C255" s="2">
        <v>2019</v>
      </c>
      <c r="D255" s="2">
        <v>49323</v>
      </c>
      <c r="E255" s="2">
        <v>49.02</v>
      </c>
      <c r="F255" s="2" t="s">
        <v>146</v>
      </c>
      <c r="G255" s="2">
        <v>5.81</v>
      </c>
      <c r="H255" s="2" t="s">
        <v>146</v>
      </c>
      <c r="I255" s="2" t="s">
        <v>146</v>
      </c>
      <c r="J255" s="2" t="s">
        <v>146</v>
      </c>
      <c r="K255" s="2" t="s">
        <v>146</v>
      </c>
      <c r="L255" s="2" t="s">
        <v>146</v>
      </c>
      <c r="M255" s="2" t="s">
        <v>49</v>
      </c>
      <c r="N255" s="2">
        <v>5.7409999999999997</v>
      </c>
      <c r="O255" s="2">
        <v>9.7029999999999994</v>
      </c>
      <c r="P255" s="2">
        <v>1.8080000000000001</v>
      </c>
      <c r="Q255" s="2">
        <v>10.731999999999999</v>
      </c>
      <c r="R255" s="2" t="s">
        <v>146</v>
      </c>
      <c r="S255" s="2">
        <v>10.006</v>
      </c>
      <c r="T255" s="2" t="s">
        <v>146</v>
      </c>
      <c r="U255" s="2" t="s">
        <v>146</v>
      </c>
      <c r="V255" s="2" t="s">
        <v>146</v>
      </c>
      <c r="W255" s="2" t="s">
        <v>146</v>
      </c>
      <c r="X255" s="2" t="s">
        <v>146</v>
      </c>
      <c r="Y255" s="2" t="s">
        <v>146</v>
      </c>
      <c r="Z255" s="2" t="s">
        <v>146</v>
      </c>
      <c r="AA255" s="2" t="s">
        <v>146</v>
      </c>
      <c r="AB255" s="2">
        <v>5.22</v>
      </c>
      <c r="AC255" s="2" t="s">
        <v>146</v>
      </c>
      <c r="AD255" s="2" t="s">
        <v>146</v>
      </c>
      <c r="AE255" s="2" t="s">
        <v>146</v>
      </c>
      <c r="AF255" s="2" t="s">
        <v>146</v>
      </c>
      <c r="AG255" s="2" t="s">
        <v>146</v>
      </c>
      <c r="AH255" s="2" t="s">
        <v>146</v>
      </c>
      <c r="AI255" s="2" t="s">
        <v>146</v>
      </c>
      <c r="AJ255" s="2" t="s">
        <v>146</v>
      </c>
      <c r="AK255" s="2" t="s">
        <v>146</v>
      </c>
      <c r="AL255" s="2" t="s">
        <v>146</v>
      </c>
      <c r="AM255" s="2" t="s">
        <v>146</v>
      </c>
      <c r="AN255" s="2" t="s">
        <v>49</v>
      </c>
      <c r="AO255" s="2" t="s">
        <v>146</v>
      </c>
      <c r="AP255" s="2" t="s">
        <v>146</v>
      </c>
      <c r="AQ255" s="2" t="s">
        <v>146</v>
      </c>
      <c r="AR255" s="2" t="s">
        <v>146</v>
      </c>
      <c r="AV255" s="2">
        <f t="shared" si="30"/>
        <v>49.019999999999996</v>
      </c>
      <c r="AW255" s="2">
        <f t="shared" si="31"/>
        <v>49323</v>
      </c>
      <c r="AX255" s="27">
        <f t="shared" si="32"/>
        <v>1006.1811505507957</v>
      </c>
      <c r="BA255" s="2">
        <f t="shared" si="33"/>
        <v>0</v>
      </c>
      <c r="BB255" s="2">
        <f t="shared" si="34"/>
        <v>0</v>
      </c>
      <c r="BC255" s="2">
        <f t="shared" si="35"/>
        <v>0</v>
      </c>
      <c r="BD255" s="2">
        <f t="shared" si="36"/>
        <v>0</v>
      </c>
      <c r="BE255" s="2">
        <f t="shared" si="37"/>
        <v>0</v>
      </c>
      <c r="BF255" s="2">
        <f t="shared" si="38"/>
        <v>0</v>
      </c>
      <c r="BJ255" s="2" t="str">
        <f t="shared" si="39"/>
        <v/>
      </c>
    </row>
    <row r="256" spans="1:62" ht="15" customHeight="1" x14ac:dyDescent="0.45">
      <c r="A256" s="2" t="s">
        <v>342</v>
      </c>
      <c r="B256" s="2" t="s">
        <v>345</v>
      </c>
      <c r="C256" s="2">
        <v>2019</v>
      </c>
      <c r="D256" s="2">
        <v>38.814</v>
      </c>
      <c r="E256" s="2">
        <v>44.558999999999997</v>
      </c>
      <c r="F256" s="2" t="s">
        <v>146</v>
      </c>
      <c r="G256" s="2">
        <v>1.63</v>
      </c>
      <c r="H256" s="2" t="s">
        <v>146</v>
      </c>
      <c r="I256" s="2" t="s">
        <v>146</v>
      </c>
      <c r="J256" s="2" t="s">
        <v>146</v>
      </c>
      <c r="K256" s="2" t="s">
        <v>146</v>
      </c>
      <c r="L256" s="2" t="s">
        <v>146</v>
      </c>
      <c r="M256" s="2" t="s">
        <v>49</v>
      </c>
      <c r="N256" s="2" t="s">
        <v>146</v>
      </c>
      <c r="O256" s="2" t="s">
        <v>146</v>
      </c>
      <c r="P256" s="2" t="s">
        <v>146</v>
      </c>
      <c r="Q256" s="2" t="s">
        <v>146</v>
      </c>
      <c r="R256" s="2" t="s">
        <v>146</v>
      </c>
      <c r="S256" s="2" t="s">
        <v>146</v>
      </c>
      <c r="T256" s="2" t="s">
        <v>146</v>
      </c>
      <c r="U256" s="2">
        <v>42.929000000000002</v>
      </c>
      <c r="V256" s="2" t="s">
        <v>146</v>
      </c>
      <c r="W256" s="2" t="s">
        <v>146</v>
      </c>
      <c r="X256" s="2" t="s">
        <v>146</v>
      </c>
      <c r="Y256" s="2" t="s">
        <v>146</v>
      </c>
      <c r="Z256" s="2" t="s">
        <v>146</v>
      </c>
      <c r="AA256" s="2" t="s">
        <v>146</v>
      </c>
      <c r="AB256" s="2" t="s">
        <v>146</v>
      </c>
      <c r="AC256" s="2" t="s">
        <v>146</v>
      </c>
      <c r="AD256" s="2" t="s">
        <v>146</v>
      </c>
      <c r="AE256" s="2" t="s">
        <v>146</v>
      </c>
      <c r="AF256" s="2" t="s">
        <v>146</v>
      </c>
      <c r="AG256" s="2" t="s">
        <v>146</v>
      </c>
      <c r="AH256" s="2" t="s">
        <v>146</v>
      </c>
      <c r="AI256" s="2" t="s">
        <v>146</v>
      </c>
      <c r="AJ256" s="2" t="s">
        <v>146</v>
      </c>
      <c r="AK256" s="2" t="s">
        <v>146</v>
      </c>
      <c r="AL256" s="2" t="s">
        <v>146</v>
      </c>
      <c r="AM256" s="2" t="s">
        <v>146</v>
      </c>
      <c r="AN256" s="2" t="s">
        <v>49</v>
      </c>
      <c r="AO256" s="2" t="s">
        <v>146</v>
      </c>
      <c r="AP256" s="2" t="s">
        <v>146</v>
      </c>
      <c r="AQ256" s="2" t="s">
        <v>146</v>
      </c>
      <c r="AR256" s="2" t="s">
        <v>146</v>
      </c>
      <c r="AV256" s="2">
        <f t="shared" si="30"/>
        <v>44.559000000000005</v>
      </c>
      <c r="AW256" s="2">
        <f t="shared" si="31"/>
        <v>38.814</v>
      </c>
      <c r="AX256" s="27">
        <f t="shared" si="32"/>
        <v>0.87106981754527701</v>
      </c>
      <c r="BA256" s="2">
        <f t="shared" si="33"/>
        <v>0</v>
      </c>
      <c r="BB256" s="2">
        <f t="shared" si="34"/>
        <v>0</v>
      </c>
      <c r="BC256" s="2">
        <f t="shared" si="35"/>
        <v>0</v>
      </c>
      <c r="BD256" s="2">
        <f t="shared" si="36"/>
        <v>0</v>
      </c>
      <c r="BE256" s="2">
        <f t="shared" si="37"/>
        <v>0</v>
      </c>
      <c r="BF256" s="2">
        <f t="shared" si="38"/>
        <v>0</v>
      </c>
      <c r="BJ256" s="2" t="str">
        <f t="shared" si="39"/>
        <v/>
      </c>
    </row>
    <row r="257" spans="1:62" ht="15" customHeight="1" x14ac:dyDescent="0.45">
      <c r="A257" s="2" t="s">
        <v>342</v>
      </c>
      <c r="B257" s="2" t="s">
        <v>344</v>
      </c>
      <c r="C257" s="2">
        <v>2019</v>
      </c>
      <c r="D257" s="2" t="s">
        <v>146</v>
      </c>
      <c r="E257" s="2" t="s">
        <v>146</v>
      </c>
      <c r="F257" s="2" t="s">
        <v>146</v>
      </c>
      <c r="G257" s="2" t="s">
        <v>146</v>
      </c>
      <c r="H257" s="2" t="s">
        <v>146</v>
      </c>
      <c r="I257" s="2" t="s">
        <v>146</v>
      </c>
      <c r="J257" s="2" t="s">
        <v>146</v>
      </c>
      <c r="K257" s="2" t="s">
        <v>146</v>
      </c>
      <c r="L257" s="2" t="s">
        <v>146</v>
      </c>
      <c r="M257" s="2" t="s">
        <v>49</v>
      </c>
      <c r="N257" s="2" t="s">
        <v>146</v>
      </c>
      <c r="O257" s="2" t="s">
        <v>146</v>
      </c>
      <c r="P257" s="2" t="s">
        <v>146</v>
      </c>
      <c r="Q257" s="2" t="s">
        <v>146</v>
      </c>
      <c r="R257" s="2" t="s">
        <v>146</v>
      </c>
      <c r="S257" s="2" t="s">
        <v>146</v>
      </c>
      <c r="T257" s="2" t="s">
        <v>146</v>
      </c>
      <c r="U257" s="2" t="s">
        <v>146</v>
      </c>
      <c r="V257" s="2" t="s">
        <v>146</v>
      </c>
      <c r="W257" s="2" t="s">
        <v>146</v>
      </c>
      <c r="X257" s="2" t="s">
        <v>146</v>
      </c>
      <c r="Y257" s="2" t="s">
        <v>146</v>
      </c>
      <c r="Z257" s="2" t="s">
        <v>146</v>
      </c>
      <c r="AA257" s="2" t="s">
        <v>146</v>
      </c>
      <c r="AB257" s="2" t="s">
        <v>146</v>
      </c>
      <c r="AC257" s="2" t="s">
        <v>146</v>
      </c>
      <c r="AD257" s="2" t="s">
        <v>146</v>
      </c>
      <c r="AE257" s="2" t="s">
        <v>146</v>
      </c>
      <c r="AF257" s="2" t="s">
        <v>146</v>
      </c>
      <c r="AG257" s="2" t="s">
        <v>146</v>
      </c>
      <c r="AH257" s="2" t="s">
        <v>146</v>
      </c>
      <c r="AI257" s="2" t="s">
        <v>146</v>
      </c>
      <c r="AJ257" s="2" t="s">
        <v>146</v>
      </c>
      <c r="AK257" s="2" t="s">
        <v>146</v>
      </c>
      <c r="AL257" s="2" t="s">
        <v>146</v>
      </c>
      <c r="AM257" s="2" t="s">
        <v>146</v>
      </c>
      <c r="AN257" s="2" t="s">
        <v>49</v>
      </c>
      <c r="AO257" s="2" t="s">
        <v>146</v>
      </c>
      <c r="AP257" s="2" t="s">
        <v>146</v>
      </c>
      <c r="AQ257" s="2" t="s">
        <v>146</v>
      </c>
      <c r="AR257" s="2" t="s">
        <v>146</v>
      </c>
      <c r="AV257" s="2">
        <f t="shared" si="30"/>
        <v>0</v>
      </c>
      <c r="AW257" s="2">
        <f t="shared" si="31"/>
        <v>0</v>
      </c>
      <c r="AX257" s="27" t="str">
        <f t="shared" si="32"/>
        <v/>
      </c>
      <c r="BA257" s="2">
        <f t="shared" si="33"/>
        <v>0</v>
      </c>
      <c r="BB257" s="2">
        <f t="shared" si="34"/>
        <v>0</v>
      </c>
      <c r="BC257" s="2">
        <f t="shared" si="35"/>
        <v>0</v>
      </c>
      <c r="BD257" s="2">
        <f t="shared" si="36"/>
        <v>0</v>
      </c>
      <c r="BE257" s="2">
        <f t="shared" si="37"/>
        <v>0</v>
      </c>
      <c r="BF257" s="2">
        <f t="shared" si="38"/>
        <v>0</v>
      </c>
      <c r="BJ257" s="2" t="str">
        <f t="shared" si="39"/>
        <v/>
      </c>
    </row>
    <row r="258" spans="1:62" ht="15" customHeight="1" x14ac:dyDescent="0.45">
      <c r="A258" s="2" t="s">
        <v>342</v>
      </c>
      <c r="B258" s="2" t="s">
        <v>343</v>
      </c>
      <c r="C258" s="2">
        <v>2019</v>
      </c>
      <c r="D258" s="2">
        <v>18.751000000000001</v>
      </c>
      <c r="E258" s="2">
        <v>21.553000000000001</v>
      </c>
      <c r="F258" s="2" t="s">
        <v>146</v>
      </c>
      <c r="G258" s="2">
        <v>0.56100000000000005</v>
      </c>
      <c r="H258" s="2" t="s">
        <v>146</v>
      </c>
      <c r="I258" s="2" t="s">
        <v>146</v>
      </c>
      <c r="J258" s="2" t="s">
        <v>146</v>
      </c>
      <c r="K258" s="2" t="s">
        <v>146</v>
      </c>
      <c r="L258" s="2" t="s">
        <v>146</v>
      </c>
      <c r="M258" s="2" t="s">
        <v>49</v>
      </c>
      <c r="N258" s="2" t="s">
        <v>146</v>
      </c>
      <c r="O258" s="2" t="s">
        <v>146</v>
      </c>
      <c r="P258" s="2" t="s">
        <v>146</v>
      </c>
      <c r="Q258" s="2" t="s">
        <v>146</v>
      </c>
      <c r="R258" s="2" t="s">
        <v>146</v>
      </c>
      <c r="S258" s="2" t="s">
        <v>146</v>
      </c>
      <c r="T258" s="2" t="s">
        <v>146</v>
      </c>
      <c r="U258" s="2">
        <v>20.992000000000001</v>
      </c>
      <c r="V258" s="2" t="s">
        <v>146</v>
      </c>
      <c r="W258" s="2" t="s">
        <v>146</v>
      </c>
      <c r="X258" s="2" t="s">
        <v>146</v>
      </c>
      <c r="Y258" s="2" t="s">
        <v>146</v>
      </c>
      <c r="Z258" s="2" t="s">
        <v>146</v>
      </c>
      <c r="AA258" s="2" t="s">
        <v>146</v>
      </c>
      <c r="AB258" s="2" t="s">
        <v>146</v>
      </c>
      <c r="AC258" s="2" t="s">
        <v>146</v>
      </c>
      <c r="AD258" s="2" t="s">
        <v>146</v>
      </c>
      <c r="AE258" s="2" t="s">
        <v>146</v>
      </c>
      <c r="AF258" s="2" t="s">
        <v>146</v>
      </c>
      <c r="AG258" s="2" t="s">
        <v>146</v>
      </c>
      <c r="AH258" s="2" t="s">
        <v>146</v>
      </c>
      <c r="AI258" s="2" t="s">
        <v>146</v>
      </c>
      <c r="AJ258" s="2" t="s">
        <v>146</v>
      </c>
      <c r="AK258" s="2" t="s">
        <v>146</v>
      </c>
      <c r="AL258" s="2" t="s">
        <v>146</v>
      </c>
      <c r="AM258" s="2" t="s">
        <v>146</v>
      </c>
      <c r="AN258" s="2" t="s">
        <v>49</v>
      </c>
      <c r="AO258" s="2" t="s">
        <v>146</v>
      </c>
      <c r="AP258" s="2" t="s">
        <v>146</v>
      </c>
      <c r="AQ258" s="2" t="s">
        <v>146</v>
      </c>
      <c r="AR258" s="2" t="s">
        <v>146</v>
      </c>
      <c r="AV258" s="2">
        <f t="shared" si="30"/>
        <v>21.553000000000001</v>
      </c>
      <c r="AW258" s="2">
        <f t="shared" si="31"/>
        <v>18.751000000000001</v>
      </c>
      <c r="AX258" s="27">
        <f t="shared" si="32"/>
        <v>0.86999489630213889</v>
      </c>
      <c r="BA258" s="2">
        <f t="shared" si="33"/>
        <v>0</v>
      </c>
      <c r="BB258" s="2">
        <f t="shared" si="34"/>
        <v>0</v>
      </c>
      <c r="BC258" s="2">
        <f t="shared" si="35"/>
        <v>0</v>
      </c>
      <c r="BD258" s="2">
        <f t="shared" si="36"/>
        <v>0</v>
      </c>
      <c r="BE258" s="2">
        <f t="shared" si="37"/>
        <v>0</v>
      </c>
      <c r="BF258" s="2">
        <f t="shared" si="38"/>
        <v>0</v>
      </c>
      <c r="BJ258" s="2" t="str">
        <f t="shared" si="39"/>
        <v/>
      </c>
    </row>
    <row r="259" spans="1:62" ht="15" customHeight="1" x14ac:dyDescent="0.45">
      <c r="A259" s="2" t="s">
        <v>342</v>
      </c>
      <c r="B259" s="2" t="s">
        <v>341</v>
      </c>
      <c r="C259" s="2">
        <v>2019</v>
      </c>
      <c r="D259" s="2">
        <v>3.657</v>
      </c>
      <c r="E259" s="2">
        <v>4.2039999999999997</v>
      </c>
      <c r="F259" s="2" t="s">
        <v>146</v>
      </c>
      <c r="G259" s="2">
        <v>2.8000000000000001E-2</v>
      </c>
      <c r="H259" s="2" t="s">
        <v>146</v>
      </c>
      <c r="I259" s="2" t="s">
        <v>146</v>
      </c>
      <c r="J259" s="2" t="s">
        <v>146</v>
      </c>
      <c r="K259" s="2" t="s">
        <v>146</v>
      </c>
      <c r="L259" s="2" t="s">
        <v>146</v>
      </c>
      <c r="M259" s="2" t="s">
        <v>49</v>
      </c>
      <c r="N259" s="2" t="s">
        <v>146</v>
      </c>
      <c r="O259" s="2" t="s">
        <v>146</v>
      </c>
      <c r="P259" s="2" t="s">
        <v>146</v>
      </c>
      <c r="Q259" s="2" t="s">
        <v>146</v>
      </c>
      <c r="R259" s="2" t="s">
        <v>146</v>
      </c>
      <c r="S259" s="2" t="s">
        <v>146</v>
      </c>
      <c r="T259" s="2" t="s">
        <v>146</v>
      </c>
      <c r="U259" s="2">
        <v>4.1760000000000002</v>
      </c>
      <c r="V259" s="2" t="s">
        <v>146</v>
      </c>
      <c r="W259" s="2" t="s">
        <v>146</v>
      </c>
      <c r="X259" s="2" t="s">
        <v>146</v>
      </c>
      <c r="Y259" s="2" t="s">
        <v>146</v>
      </c>
      <c r="Z259" s="2" t="s">
        <v>146</v>
      </c>
      <c r="AA259" s="2" t="s">
        <v>146</v>
      </c>
      <c r="AB259" s="2" t="s">
        <v>146</v>
      </c>
      <c r="AC259" s="2" t="s">
        <v>146</v>
      </c>
      <c r="AD259" s="2" t="s">
        <v>146</v>
      </c>
      <c r="AE259" s="2" t="s">
        <v>146</v>
      </c>
      <c r="AF259" s="2" t="s">
        <v>146</v>
      </c>
      <c r="AG259" s="2" t="s">
        <v>146</v>
      </c>
      <c r="AH259" s="2" t="s">
        <v>146</v>
      </c>
      <c r="AI259" s="2" t="s">
        <v>146</v>
      </c>
      <c r="AJ259" s="2" t="s">
        <v>146</v>
      </c>
      <c r="AK259" s="2" t="s">
        <v>146</v>
      </c>
      <c r="AL259" s="2" t="s">
        <v>146</v>
      </c>
      <c r="AM259" s="2" t="s">
        <v>146</v>
      </c>
      <c r="AN259" s="2" t="s">
        <v>49</v>
      </c>
      <c r="AO259" s="2" t="s">
        <v>146</v>
      </c>
      <c r="AP259" s="2" t="s">
        <v>146</v>
      </c>
      <c r="AQ259" s="2" t="s">
        <v>146</v>
      </c>
      <c r="AR259" s="2" t="s">
        <v>146</v>
      </c>
      <c r="AV259" s="2">
        <f t="shared" ref="AV259:AV322" si="40">SUMPRODUCT(F259:AC259)+SUMPRODUCT(AG259:AI259)+IFERROR(AL259/1,0)</f>
        <v>4.2039999999999997</v>
      </c>
      <c r="AW259" s="2">
        <f t="shared" ref="AW259:AW322" si="41">IFERROR(D259/1,0)</f>
        <v>3.657</v>
      </c>
      <c r="AX259" s="27">
        <f t="shared" ref="AX259:AX322" si="42">IFERROR(AW259/AV259,"")</f>
        <v>0.86988582302568984</v>
      </c>
      <c r="BA259" s="2">
        <f t="shared" ref="BA259:BA322" si="43">IFERROR(AH259/1,0)</f>
        <v>0</v>
      </c>
      <c r="BB259" s="2">
        <f t="shared" ref="BB259:BB322" si="44">IFERROR(AO259/100,0)*$BA259</f>
        <v>0</v>
      </c>
      <c r="BC259" s="2">
        <f t="shared" ref="BC259:BC322" si="45">IFERROR(AP259/100,0)*$BA259</f>
        <v>0</v>
      </c>
      <c r="BD259" s="2">
        <f t="shared" ref="BD259:BD322" si="46">IFERROR(AQ259/100,0)*$BA259</f>
        <v>0</v>
      </c>
      <c r="BE259" s="2">
        <f t="shared" ref="BE259:BE322" si="47">IFERROR(AR259/100,0)*$BA259</f>
        <v>0</v>
      </c>
      <c r="BF259" s="2">
        <f t="shared" ref="BF259:BF322" si="48">MAX(BA259-SUM(BB259:BE259),0)</f>
        <v>0</v>
      </c>
      <c r="BJ259" s="2" t="str">
        <f t="shared" ref="BJ259:BJ322" si="49">IF(AND((IFERROR(AO259/1,0)+IFERROR(AP259/1,0)+IFERROR(AQ259/1,0)+IFERROR(AR259/1,0))&gt;0,OR(TYPE(AH259)&lt;&gt;1,AH259=0)),"ja","")</f>
        <v/>
      </c>
    </row>
    <row r="260" spans="1:62" ht="15" customHeight="1" x14ac:dyDescent="0.45">
      <c r="A260" s="2" t="s">
        <v>336</v>
      </c>
      <c r="B260" s="2" t="s">
        <v>340</v>
      </c>
      <c r="C260" s="2">
        <v>2019</v>
      </c>
      <c r="D260" s="2">
        <v>10.769</v>
      </c>
      <c r="E260" s="2">
        <v>12.362</v>
      </c>
      <c r="F260" s="2" t="s">
        <v>146</v>
      </c>
      <c r="G260" s="2">
        <v>6.7000000000000004E-2</v>
      </c>
      <c r="H260" s="2" t="s">
        <v>146</v>
      </c>
      <c r="I260" s="2" t="s">
        <v>146</v>
      </c>
      <c r="J260" s="2" t="s">
        <v>146</v>
      </c>
      <c r="K260" s="2" t="s">
        <v>146</v>
      </c>
      <c r="L260" s="2" t="s">
        <v>146</v>
      </c>
      <c r="M260" s="2" t="s">
        <v>49</v>
      </c>
      <c r="N260" s="2" t="s">
        <v>146</v>
      </c>
      <c r="O260" s="2" t="s">
        <v>146</v>
      </c>
      <c r="P260" s="2" t="s">
        <v>146</v>
      </c>
      <c r="Q260" s="2" t="s">
        <v>146</v>
      </c>
      <c r="R260" s="2" t="s">
        <v>146</v>
      </c>
      <c r="S260" s="2" t="s">
        <v>146</v>
      </c>
      <c r="T260" s="2" t="s">
        <v>146</v>
      </c>
      <c r="U260" s="2" t="s">
        <v>146</v>
      </c>
      <c r="V260" s="2">
        <v>12.295</v>
      </c>
      <c r="W260" s="2" t="s">
        <v>146</v>
      </c>
      <c r="X260" s="2" t="s">
        <v>146</v>
      </c>
      <c r="Y260" s="2" t="s">
        <v>146</v>
      </c>
      <c r="Z260" s="2" t="s">
        <v>146</v>
      </c>
      <c r="AA260" s="2" t="s">
        <v>146</v>
      </c>
      <c r="AB260" s="2" t="s">
        <v>146</v>
      </c>
      <c r="AC260" s="2" t="s">
        <v>146</v>
      </c>
      <c r="AD260" s="2" t="s">
        <v>146</v>
      </c>
      <c r="AE260" s="2" t="s">
        <v>146</v>
      </c>
      <c r="AF260" s="2" t="s">
        <v>146</v>
      </c>
      <c r="AG260" s="2" t="s">
        <v>146</v>
      </c>
      <c r="AH260" s="2" t="s">
        <v>146</v>
      </c>
      <c r="AI260" s="2" t="s">
        <v>146</v>
      </c>
      <c r="AJ260" s="2" t="s">
        <v>146</v>
      </c>
      <c r="AK260" s="2" t="s">
        <v>146</v>
      </c>
      <c r="AL260" s="2" t="s">
        <v>146</v>
      </c>
      <c r="AM260" s="2" t="s">
        <v>146</v>
      </c>
      <c r="AN260" s="2" t="s">
        <v>49</v>
      </c>
      <c r="AO260" s="2" t="s">
        <v>146</v>
      </c>
      <c r="AP260" s="2" t="s">
        <v>146</v>
      </c>
      <c r="AQ260" s="2" t="s">
        <v>146</v>
      </c>
      <c r="AR260" s="2" t="s">
        <v>146</v>
      </c>
      <c r="AV260" s="2">
        <f t="shared" si="40"/>
        <v>12.362</v>
      </c>
      <c r="AW260" s="2">
        <f t="shared" si="41"/>
        <v>10.769</v>
      </c>
      <c r="AX260" s="27">
        <f t="shared" si="42"/>
        <v>0.8711373564148196</v>
      </c>
      <c r="BA260" s="2">
        <f t="shared" si="43"/>
        <v>0</v>
      </c>
      <c r="BB260" s="2">
        <f t="shared" si="44"/>
        <v>0</v>
      </c>
      <c r="BC260" s="2">
        <f t="shared" si="45"/>
        <v>0</v>
      </c>
      <c r="BD260" s="2">
        <f t="shared" si="46"/>
        <v>0</v>
      </c>
      <c r="BE260" s="2">
        <f t="shared" si="47"/>
        <v>0</v>
      </c>
      <c r="BF260" s="2">
        <f t="shared" si="48"/>
        <v>0</v>
      </c>
      <c r="BJ260" s="2" t="str">
        <f t="shared" si="49"/>
        <v/>
      </c>
    </row>
    <row r="261" spans="1:62" ht="15" customHeight="1" x14ac:dyDescent="0.45">
      <c r="A261" s="2" t="s">
        <v>336</v>
      </c>
      <c r="B261" s="2" t="s">
        <v>339</v>
      </c>
      <c r="C261" s="2">
        <v>2019</v>
      </c>
      <c r="D261" s="2">
        <v>72.954999999999998</v>
      </c>
      <c r="E261" s="2">
        <v>94.162999999999997</v>
      </c>
      <c r="F261" s="2" t="s">
        <v>146</v>
      </c>
      <c r="G261" s="2">
        <v>0.41</v>
      </c>
      <c r="H261" s="2">
        <v>0.51500000000000001</v>
      </c>
      <c r="I261" s="2" t="s">
        <v>146</v>
      </c>
      <c r="J261" s="2" t="s">
        <v>146</v>
      </c>
      <c r="K261" s="2" t="s">
        <v>146</v>
      </c>
      <c r="L261" s="2" t="s">
        <v>146</v>
      </c>
      <c r="M261" s="2" t="s">
        <v>146</v>
      </c>
      <c r="N261" s="2" t="s">
        <v>146</v>
      </c>
      <c r="O261" s="2" t="s">
        <v>146</v>
      </c>
      <c r="P261" s="2">
        <v>76.430000000000007</v>
      </c>
      <c r="Q261" s="2" t="s">
        <v>146</v>
      </c>
      <c r="R261" s="2" t="s">
        <v>146</v>
      </c>
      <c r="S261" s="2" t="s">
        <v>146</v>
      </c>
      <c r="T261" s="2" t="s">
        <v>146</v>
      </c>
      <c r="U261" s="2" t="s">
        <v>146</v>
      </c>
      <c r="V261" s="2" t="s">
        <v>146</v>
      </c>
      <c r="W261" s="2" t="s">
        <v>146</v>
      </c>
      <c r="X261" s="2" t="s">
        <v>146</v>
      </c>
      <c r="Y261" s="2" t="s">
        <v>146</v>
      </c>
      <c r="Z261" s="2">
        <v>6.2910000000000004</v>
      </c>
      <c r="AA261" s="2" t="s">
        <v>146</v>
      </c>
      <c r="AB261" s="2" t="s">
        <v>146</v>
      </c>
      <c r="AC261" s="2" t="s">
        <v>146</v>
      </c>
      <c r="AD261" s="2" t="s">
        <v>146</v>
      </c>
      <c r="AE261" s="2" t="s">
        <v>146</v>
      </c>
      <c r="AF261" s="2" t="s">
        <v>146</v>
      </c>
      <c r="AG261" s="2" t="s">
        <v>146</v>
      </c>
      <c r="AH261" s="2">
        <v>10.516999999999999</v>
      </c>
      <c r="AI261" s="2" t="s">
        <v>146</v>
      </c>
      <c r="AJ261" s="2" t="s">
        <v>146</v>
      </c>
      <c r="AK261" s="2" t="s">
        <v>146</v>
      </c>
      <c r="AL261" s="2" t="s">
        <v>146</v>
      </c>
      <c r="AM261" s="2" t="s">
        <v>146</v>
      </c>
      <c r="AN261" s="2" t="s">
        <v>146</v>
      </c>
      <c r="AO261" s="2">
        <v>100</v>
      </c>
      <c r="AP261" s="2" t="s">
        <v>146</v>
      </c>
      <c r="AQ261" s="2" t="s">
        <v>146</v>
      </c>
      <c r="AR261" s="2" t="s">
        <v>146</v>
      </c>
      <c r="AV261" s="2">
        <f t="shared" si="40"/>
        <v>94.162999999999997</v>
      </c>
      <c r="AW261" s="2">
        <f t="shared" si="41"/>
        <v>72.954999999999998</v>
      </c>
      <c r="AX261" s="27">
        <f t="shared" si="42"/>
        <v>0.77477353100474711</v>
      </c>
      <c r="BA261" s="2">
        <f t="shared" si="43"/>
        <v>10.516999999999999</v>
      </c>
      <c r="BB261" s="2">
        <f t="shared" si="44"/>
        <v>10.516999999999999</v>
      </c>
      <c r="BC261" s="2">
        <f t="shared" si="45"/>
        <v>0</v>
      </c>
      <c r="BD261" s="2">
        <f t="shared" si="46"/>
        <v>0</v>
      </c>
      <c r="BE261" s="2">
        <f t="shared" si="47"/>
        <v>0</v>
      </c>
      <c r="BF261" s="2">
        <f t="shared" si="48"/>
        <v>0</v>
      </c>
      <c r="BJ261" s="2" t="str">
        <f t="shared" si="49"/>
        <v/>
      </c>
    </row>
    <row r="262" spans="1:62" ht="15" customHeight="1" x14ac:dyDescent="0.45">
      <c r="A262" s="2" t="s">
        <v>336</v>
      </c>
      <c r="B262" s="2" t="s">
        <v>338</v>
      </c>
      <c r="C262" s="2">
        <v>2019</v>
      </c>
      <c r="D262" s="2">
        <v>3.6989999999999998</v>
      </c>
      <c r="E262" s="2">
        <v>5.44</v>
      </c>
      <c r="F262" s="2" t="s">
        <v>146</v>
      </c>
      <c r="G262" s="2">
        <v>0.1</v>
      </c>
      <c r="H262" s="2" t="s">
        <v>146</v>
      </c>
      <c r="I262" s="2" t="s">
        <v>146</v>
      </c>
      <c r="J262" s="2" t="s">
        <v>146</v>
      </c>
      <c r="K262" s="2" t="s">
        <v>146</v>
      </c>
      <c r="L262" s="2" t="s">
        <v>146</v>
      </c>
      <c r="M262" s="2" t="s">
        <v>146</v>
      </c>
      <c r="N262" s="2" t="s">
        <v>146</v>
      </c>
      <c r="O262" s="2" t="s">
        <v>146</v>
      </c>
      <c r="P262" s="2" t="s">
        <v>146</v>
      </c>
      <c r="Q262" s="2" t="s">
        <v>146</v>
      </c>
      <c r="R262" s="2" t="s">
        <v>146</v>
      </c>
      <c r="S262" s="2" t="s">
        <v>146</v>
      </c>
      <c r="T262" s="2" t="s">
        <v>146</v>
      </c>
      <c r="U262" s="2">
        <v>5.34</v>
      </c>
      <c r="V262" s="2" t="s">
        <v>146</v>
      </c>
      <c r="W262" s="2" t="s">
        <v>146</v>
      </c>
      <c r="X262" s="2" t="s">
        <v>146</v>
      </c>
      <c r="Y262" s="2" t="s">
        <v>146</v>
      </c>
      <c r="Z262" s="2" t="s">
        <v>146</v>
      </c>
      <c r="AA262" s="2" t="s">
        <v>146</v>
      </c>
      <c r="AB262" s="2" t="s">
        <v>146</v>
      </c>
      <c r="AC262" s="2" t="s">
        <v>146</v>
      </c>
      <c r="AD262" s="2" t="s">
        <v>146</v>
      </c>
      <c r="AE262" s="2" t="s">
        <v>146</v>
      </c>
      <c r="AF262" s="2" t="s">
        <v>146</v>
      </c>
      <c r="AG262" s="2" t="s">
        <v>146</v>
      </c>
      <c r="AH262" s="2" t="s">
        <v>146</v>
      </c>
      <c r="AI262" s="2" t="s">
        <v>146</v>
      </c>
      <c r="AJ262" s="2" t="s">
        <v>146</v>
      </c>
      <c r="AK262" s="2" t="s">
        <v>146</v>
      </c>
      <c r="AL262" s="2" t="s">
        <v>146</v>
      </c>
      <c r="AM262" s="2" t="s">
        <v>146</v>
      </c>
      <c r="AN262" s="2" t="s">
        <v>49</v>
      </c>
      <c r="AO262" s="2" t="s">
        <v>146</v>
      </c>
      <c r="AP262" s="2" t="s">
        <v>146</v>
      </c>
      <c r="AQ262" s="2" t="s">
        <v>146</v>
      </c>
      <c r="AR262" s="2" t="s">
        <v>146</v>
      </c>
      <c r="AV262" s="2">
        <f t="shared" si="40"/>
        <v>5.4399999999999995</v>
      </c>
      <c r="AW262" s="2">
        <f t="shared" si="41"/>
        <v>3.6989999999999998</v>
      </c>
      <c r="AX262" s="27">
        <f t="shared" si="42"/>
        <v>0.67996323529411773</v>
      </c>
      <c r="BA262" s="2">
        <f t="shared" si="43"/>
        <v>0</v>
      </c>
      <c r="BB262" s="2">
        <f t="shared" si="44"/>
        <v>0</v>
      </c>
      <c r="BC262" s="2">
        <f t="shared" si="45"/>
        <v>0</v>
      </c>
      <c r="BD262" s="2">
        <f t="shared" si="46"/>
        <v>0</v>
      </c>
      <c r="BE262" s="2">
        <f t="shared" si="47"/>
        <v>0</v>
      </c>
      <c r="BF262" s="2">
        <f t="shared" si="48"/>
        <v>0</v>
      </c>
      <c r="BJ262" s="2" t="str">
        <f t="shared" si="49"/>
        <v/>
      </c>
    </row>
    <row r="263" spans="1:62" ht="15" customHeight="1" x14ac:dyDescent="0.45">
      <c r="A263" s="2" t="s">
        <v>336</v>
      </c>
      <c r="B263" s="2" t="s">
        <v>337</v>
      </c>
      <c r="C263" s="2">
        <v>2019</v>
      </c>
      <c r="D263" s="2">
        <v>2.472</v>
      </c>
      <c r="E263" s="2">
        <v>2.4687999999999999</v>
      </c>
      <c r="F263" s="2" t="s">
        <v>146</v>
      </c>
      <c r="G263" s="2">
        <v>3.2800000000000003E-2</v>
      </c>
      <c r="H263" s="2" t="s">
        <v>146</v>
      </c>
      <c r="I263" s="2" t="s">
        <v>146</v>
      </c>
      <c r="J263" s="2" t="s">
        <v>146</v>
      </c>
      <c r="K263" s="2" t="s">
        <v>146</v>
      </c>
      <c r="L263" s="2" t="s">
        <v>146</v>
      </c>
      <c r="M263" s="2" t="s">
        <v>146</v>
      </c>
      <c r="N263" s="2" t="s">
        <v>146</v>
      </c>
      <c r="O263" s="2" t="s">
        <v>146</v>
      </c>
      <c r="P263" s="2" t="s">
        <v>146</v>
      </c>
      <c r="Q263" s="2" t="s">
        <v>146</v>
      </c>
      <c r="R263" s="2" t="s">
        <v>146</v>
      </c>
      <c r="S263" s="2" t="s">
        <v>146</v>
      </c>
      <c r="T263" s="2" t="s">
        <v>146</v>
      </c>
      <c r="U263" s="2">
        <v>2.4359999999999999</v>
      </c>
      <c r="V263" s="2" t="s">
        <v>146</v>
      </c>
      <c r="W263" s="2" t="s">
        <v>146</v>
      </c>
      <c r="X263" s="2" t="s">
        <v>146</v>
      </c>
      <c r="Y263" s="2" t="s">
        <v>146</v>
      </c>
      <c r="Z263" s="2" t="s">
        <v>146</v>
      </c>
      <c r="AA263" s="2" t="s">
        <v>146</v>
      </c>
      <c r="AB263" s="2" t="s">
        <v>146</v>
      </c>
      <c r="AC263" s="2" t="s">
        <v>146</v>
      </c>
      <c r="AD263" s="2" t="s">
        <v>146</v>
      </c>
      <c r="AE263" s="2" t="s">
        <v>146</v>
      </c>
      <c r="AF263" s="2" t="s">
        <v>146</v>
      </c>
      <c r="AG263" s="2" t="s">
        <v>146</v>
      </c>
      <c r="AH263" s="2" t="s">
        <v>146</v>
      </c>
      <c r="AI263" s="2" t="s">
        <v>146</v>
      </c>
      <c r="AJ263" s="2" t="s">
        <v>146</v>
      </c>
      <c r="AK263" s="2" t="s">
        <v>146</v>
      </c>
      <c r="AL263" s="2" t="s">
        <v>146</v>
      </c>
      <c r="AM263" s="2" t="s">
        <v>146</v>
      </c>
      <c r="AN263" s="2" t="s">
        <v>49</v>
      </c>
      <c r="AO263" s="2" t="s">
        <v>146</v>
      </c>
      <c r="AP263" s="2" t="s">
        <v>146</v>
      </c>
      <c r="AQ263" s="2" t="s">
        <v>146</v>
      </c>
      <c r="AR263" s="2" t="s">
        <v>146</v>
      </c>
      <c r="AV263" s="2">
        <f t="shared" si="40"/>
        <v>2.4687999999999999</v>
      </c>
      <c r="AW263" s="2">
        <f t="shared" si="41"/>
        <v>2.472</v>
      </c>
      <c r="AX263" s="27">
        <f t="shared" si="42"/>
        <v>1.0012961762799741</v>
      </c>
      <c r="BA263" s="2">
        <f t="shared" si="43"/>
        <v>0</v>
      </c>
      <c r="BB263" s="2">
        <f t="shared" si="44"/>
        <v>0</v>
      </c>
      <c r="BC263" s="2">
        <f t="shared" si="45"/>
        <v>0</v>
      </c>
      <c r="BD263" s="2">
        <f t="shared" si="46"/>
        <v>0</v>
      </c>
      <c r="BE263" s="2">
        <f t="shared" si="47"/>
        <v>0</v>
      </c>
      <c r="BF263" s="2">
        <f t="shared" si="48"/>
        <v>0</v>
      </c>
      <c r="BJ263" s="2" t="str">
        <f t="shared" si="49"/>
        <v/>
      </c>
    </row>
    <row r="264" spans="1:62" ht="15" customHeight="1" x14ac:dyDescent="0.45">
      <c r="A264" s="2" t="s">
        <v>336</v>
      </c>
      <c r="B264" s="2" t="s">
        <v>335</v>
      </c>
      <c r="C264" s="2">
        <v>2019</v>
      </c>
      <c r="D264" s="2">
        <v>3.5289999999999999</v>
      </c>
      <c r="E264" s="2">
        <v>3.8975</v>
      </c>
      <c r="F264" s="2" t="s">
        <v>146</v>
      </c>
      <c r="G264" s="2">
        <v>6.7500000000000004E-2</v>
      </c>
      <c r="H264" s="2" t="s">
        <v>146</v>
      </c>
      <c r="I264" s="2" t="s">
        <v>146</v>
      </c>
      <c r="J264" s="2" t="s">
        <v>146</v>
      </c>
      <c r="K264" s="2" t="s">
        <v>146</v>
      </c>
      <c r="L264" s="2" t="s">
        <v>146</v>
      </c>
      <c r="M264" s="2" t="s">
        <v>146</v>
      </c>
      <c r="N264" s="2" t="s">
        <v>146</v>
      </c>
      <c r="O264" s="2" t="s">
        <v>146</v>
      </c>
      <c r="P264" s="2" t="s">
        <v>146</v>
      </c>
      <c r="Q264" s="2" t="s">
        <v>146</v>
      </c>
      <c r="R264" s="2" t="s">
        <v>146</v>
      </c>
      <c r="S264" s="2" t="s">
        <v>146</v>
      </c>
      <c r="T264" s="2" t="s">
        <v>146</v>
      </c>
      <c r="U264" s="2">
        <v>3.83</v>
      </c>
      <c r="V264" s="2" t="s">
        <v>146</v>
      </c>
      <c r="W264" s="2" t="s">
        <v>146</v>
      </c>
      <c r="X264" s="2" t="s">
        <v>146</v>
      </c>
      <c r="Y264" s="2" t="s">
        <v>146</v>
      </c>
      <c r="Z264" s="2" t="s">
        <v>146</v>
      </c>
      <c r="AA264" s="2" t="s">
        <v>146</v>
      </c>
      <c r="AB264" s="2" t="s">
        <v>146</v>
      </c>
      <c r="AC264" s="2" t="s">
        <v>146</v>
      </c>
      <c r="AD264" s="2" t="s">
        <v>146</v>
      </c>
      <c r="AE264" s="2" t="s">
        <v>146</v>
      </c>
      <c r="AF264" s="2" t="s">
        <v>146</v>
      </c>
      <c r="AG264" s="2" t="s">
        <v>146</v>
      </c>
      <c r="AH264" s="2" t="s">
        <v>146</v>
      </c>
      <c r="AI264" s="2" t="s">
        <v>146</v>
      </c>
      <c r="AJ264" s="2" t="s">
        <v>146</v>
      </c>
      <c r="AK264" s="2" t="s">
        <v>146</v>
      </c>
      <c r="AL264" s="2" t="s">
        <v>146</v>
      </c>
      <c r="AM264" s="2" t="s">
        <v>146</v>
      </c>
      <c r="AN264" s="2" t="s">
        <v>49</v>
      </c>
      <c r="AO264" s="2" t="s">
        <v>146</v>
      </c>
      <c r="AP264" s="2" t="s">
        <v>146</v>
      </c>
      <c r="AQ264" s="2" t="s">
        <v>146</v>
      </c>
      <c r="AR264" s="2" t="s">
        <v>146</v>
      </c>
      <c r="AV264" s="2">
        <f t="shared" si="40"/>
        <v>3.8975</v>
      </c>
      <c r="AW264" s="2">
        <f t="shared" si="41"/>
        <v>3.5289999999999999</v>
      </c>
      <c r="AX264" s="27">
        <f t="shared" si="42"/>
        <v>0.90545221295702372</v>
      </c>
      <c r="BA264" s="2">
        <f t="shared" si="43"/>
        <v>0</v>
      </c>
      <c r="BB264" s="2">
        <f t="shared" si="44"/>
        <v>0</v>
      </c>
      <c r="BC264" s="2">
        <f t="shared" si="45"/>
        <v>0</v>
      </c>
      <c r="BD264" s="2">
        <f t="shared" si="46"/>
        <v>0</v>
      </c>
      <c r="BE264" s="2">
        <f t="shared" si="47"/>
        <v>0</v>
      </c>
      <c r="BF264" s="2">
        <f t="shared" si="48"/>
        <v>0</v>
      </c>
      <c r="BJ264" s="2" t="str">
        <f t="shared" si="49"/>
        <v/>
      </c>
    </row>
    <row r="265" spans="1:62" ht="15" customHeight="1" x14ac:dyDescent="0.45">
      <c r="A265" s="2" t="s">
        <v>333</v>
      </c>
      <c r="B265" s="2" t="s">
        <v>334</v>
      </c>
      <c r="C265" s="2">
        <v>2019</v>
      </c>
      <c r="D265" s="2">
        <v>47.860999999999997</v>
      </c>
      <c r="E265" s="2">
        <v>18.8</v>
      </c>
      <c r="F265" s="2" t="s">
        <v>146</v>
      </c>
      <c r="G265" s="2">
        <v>0.17100000000000001</v>
      </c>
      <c r="H265" s="2" t="s">
        <v>146</v>
      </c>
      <c r="I265" s="2" t="s">
        <v>146</v>
      </c>
      <c r="J265" s="2" t="s">
        <v>146</v>
      </c>
      <c r="K265" s="2" t="s">
        <v>146</v>
      </c>
      <c r="L265" s="2" t="s">
        <v>146</v>
      </c>
      <c r="M265" s="2" t="s">
        <v>49</v>
      </c>
      <c r="N265" s="2" t="s">
        <v>146</v>
      </c>
      <c r="O265" s="2" t="s">
        <v>146</v>
      </c>
      <c r="P265" s="2" t="s">
        <v>146</v>
      </c>
      <c r="Q265" s="2" t="s">
        <v>146</v>
      </c>
      <c r="R265" s="2" t="s">
        <v>146</v>
      </c>
      <c r="S265" s="2" t="s">
        <v>146</v>
      </c>
      <c r="T265" s="2" t="s">
        <v>146</v>
      </c>
      <c r="U265" s="2">
        <v>18.629000000000001</v>
      </c>
      <c r="V265" s="2" t="s">
        <v>146</v>
      </c>
      <c r="W265" s="2" t="s">
        <v>146</v>
      </c>
      <c r="X265" s="2" t="s">
        <v>146</v>
      </c>
      <c r="Y265" s="2" t="s">
        <v>146</v>
      </c>
      <c r="Z265" s="2" t="s">
        <v>146</v>
      </c>
      <c r="AA265" s="2" t="s">
        <v>146</v>
      </c>
      <c r="AB265" s="2" t="s">
        <v>146</v>
      </c>
      <c r="AC265" s="2" t="s">
        <v>146</v>
      </c>
      <c r="AD265" s="2" t="s">
        <v>146</v>
      </c>
      <c r="AE265" s="2" t="s">
        <v>146</v>
      </c>
      <c r="AF265" s="2" t="s">
        <v>146</v>
      </c>
      <c r="AG265" s="2" t="s">
        <v>146</v>
      </c>
      <c r="AH265" s="2" t="s">
        <v>146</v>
      </c>
      <c r="AI265" s="2" t="s">
        <v>146</v>
      </c>
      <c r="AJ265" s="2" t="s">
        <v>146</v>
      </c>
      <c r="AK265" s="2" t="s">
        <v>146</v>
      </c>
      <c r="AL265" s="2" t="s">
        <v>146</v>
      </c>
      <c r="AM265" s="2" t="s">
        <v>146</v>
      </c>
      <c r="AN265" s="2" t="s">
        <v>49</v>
      </c>
      <c r="AO265" s="2" t="s">
        <v>146</v>
      </c>
      <c r="AP265" s="2" t="s">
        <v>146</v>
      </c>
      <c r="AQ265" s="2" t="s">
        <v>146</v>
      </c>
      <c r="AR265" s="2" t="s">
        <v>146</v>
      </c>
      <c r="AV265" s="2">
        <f t="shared" si="40"/>
        <v>18.8</v>
      </c>
      <c r="AW265" s="2">
        <f t="shared" si="41"/>
        <v>47.860999999999997</v>
      </c>
      <c r="AX265" s="27">
        <f t="shared" si="42"/>
        <v>2.5457978723404251</v>
      </c>
      <c r="BA265" s="2">
        <f t="shared" si="43"/>
        <v>0</v>
      </c>
      <c r="BB265" s="2">
        <f t="shared" si="44"/>
        <v>0</v>
      </c>
      <c r="BC265" s="2">
        <f t="shared" si="45"/>
        <v>0</v>
      </c>
      <c r="BD265" s="2">
        <f t="shared" si="46"/>
        <v>0</v>
      </c>
      <c r="BE265" s="2">
        <f t="shared" si="47"/>
        <v>0</v>
      </c>
      <c r="BF265" s="2">
        <f t="shared" si="48"/>
        <v>0</v>
      </c>
      <c r="BJ265" s="2" t="str">
        <f t="shared" si="49"/>
        <v/>
      </c>
    </row>
    <row r="266" spans="1:62" ht="15" customHeight="1" x14ac:dyDescent="0.45">
      <c r="A266" s="2" t="s">
        <v>333</v>
      </c>
      <c r="B266" s="2" t="s">
        <v>332</v>
      </c>
      <c r="C266" s="2">
        <v>2019</v>
      </c>
      <c r="D266" s="2">
        <v>5.7000000000000002E-2</v>
      </c>
      <c r="E266" s="2">
        <v>5.7000000000000002E-2</v>
      </c>
      <c r="F266" s="2" t="s">
        <v>146</v>
      </c>
      <c r="G266" s="2">
        <v>5.7000000000000002E-2</v>
      </c>
      <c r="H266" s="2" t="s">
        <v>146</v>
      </c>
      <c r="I266" s="2" t="s">
        <v>146</v>
      </c>
      <c r="J266" s="2" t="s">
        <v>146</v>
      </c>
      <c r="K266" s="2" t="s">
        <v>146</v>
      </c>
      <c r="L266" s="2" t="s">
        <v>146</v>
      </c>
      <c r="M266" s="2" t="s">
        <v>49</v>
      </c>
      <c r="N266" s="2" t="s">
        <v>146</v>
      </c>
      <c r="O266" s="2" t="s">
        <v>146</v>
      </c>
      <c r="P266" s="2" t="s">
        <v>146</v>
      </c>
      <c r="Q266" s="2" t="s">
        <v>146</v>
      </c>
      <c r="R266" s="2" t="s">
        <v>146</v>
      </c>
      <c r="S266" s="2" t="s">
        <v>146</v>
      </c>
      <c r="T266" s="2" t="s">
        <v>146</v>
      </c>
      <c r="U266" s="2" t="s">
        <v>146</v>
      </c>
      <c r="V266" s="2" t="s">
        <v>146</v>
      </c>
      <c r="W266" s="2" t="s">
        <v>146</v>
      </c>
      <c r="X266" s="2" t="s">
        <v>146</v>
      </c>
      <c r="Y266" s="2" t="s">
        <v>146</v>
      </c>
      <c r="Z266" s="2" t="s">
        <v>146</v>
      </c>
      <c r="AA266" s="2" t="s">
        <v>146</v>
      </c>
      <c r="AB266" s="2" t="s">
        <v>146</v>
      </c>
      <c r="AC266" s="2" t="s">
        <v>146</v>
      </c>
      <c r="AD266" s="2" t="s">
        <v>146</v>
      </c>
      <c r="AE266" s="2" t="s">
        <v>146</v>
      </c>
      <c r="AF266" s="2" t="s">
        <v>146</v>
      </c>
      <c r="AG266" s="2" t="s">
        <v>146</v>
      </c>
      <c r="AH266" s="2" t="s">
        <v>146</v>
      </c>
      <c r="AI266" s="2" t="s">
        <v>146</v>
      </c>
      <c r="AJ266" s="2" t="s">
        <v>146</v>
      </c>
      <c r="AK266" s="2" t="s">
        <v>146</v>
      </c>
      <c r="AL266" s="2" t="s">
        <v>146</v>
      </c>
      <c r="AM266" s="2" t="s">
        <v>146</v>
      </c>
      <c r="AN266" s="2" t="s">
        <v>49</v>
      </c>
      <c r="AO266" s="2" t="s">
        <v>146</v>
      </c>
      <c r="AP266" s="2" t="s">
        <v>146</v>
      </c>
      <c r="AQ266" s="2" t="s">
        <v>146</v>
      </c>
      <c r="AR266" s="2" t="s">
        <v>146</v>
      </c>
      <c r="AV266" s="2">
        <f t="shared" si="40"/>
        <v>5.7000000000000002E-2</v>
      </c>
      <c r="AW266" s="2">
        <f t="shared" si="41"/>
        <v>5.7000000000000002E-2</v>
      </c>
      <c r="AX266" s="27">
        <f t="shared" si="42"/>
        <v>1</v>
      </c>
      <c r="BA266" s="2">
        <f t="shared" si="43"/>
        <v>0</v>
      </c>
      <c r="BB266" s="2">
        <f t="shared" si="44"/>
        <v>0</v>
      </c>
      <c r="BC266" s="2">
        <f t="shared" si="45"/>
        <v>0</v>
      </c>
      <c r="BD266" s="2">
        <f t="shared" si="46"/>
        <v>0</v>
      </c>
      <c r="BE266" s="2">
        <f t="shared" si="47"/>
        <v>0</v>
      </c>
      <c r="BF266" s="2">
        <f t="shared" si="48"/>
        <v>0</v>
      </c>
      <c r="BJ266" s="2" t="str">
        <f t="shared" si="49"/>
        <v/>
      </c>
    </row>
    <row r="267" spans="1:62" ht="15" customHeight="1" x14ac:dyDescent="0.45">
      <c r="A267" s="2" t="s">
        <v>331</v>
      </c>
      <c r="B267" s="2" t="s">
        <v>330</v>
      </c>
      <c r="C267" s="2">
        <v>2019</v>
      </c>
      <c r="D267" s="2">
        <v>2.2999999999999998</v>
      </c>
      <c r="E267" s="2">
        <v>2.2999999999999998</v>
      </c>
      <c r="F267" s="2" t="s">
        <v>146</v>
      </c>
      <c r="G267" s="2" t="s">
        <v>146</v>
      </c>
      <c r="H267" s="2" t="s">
        <v>146</v>
      </c>
      <c r="I267" s="2" t="s">
        <v>146</v>
      </c>
      <c r="J267" s="2" t="s">
        <v>146</v>
      </c>
      <c r="K267" s="2" t="s">
        <v>146</v>
      </c>
      <c r="L267" s="2" t="s">
        <v>146</v>
      </c>
      <c r="M267" s="2" t="s">
        <v>49</v>
      </c>
      <c r="N267" s="2" t="s">
        <v>146</v>
      </c>
      <c r="O267" s="2" t="s">
        <v>146</v>
      </c>
      <c r="P267" s="2" t="s">
        <v>146</v>
      </c>
      <c r="Q267" s="2" t="s">
        <v>146</v>
      </c>
      <c r="R267" s="2" t="s">
        <v>146</v>
      </c>
      <c r="S267" s="2" t="s">
        <v>146</v>
      </c>
      <c r="T267" s="2" t="s">
        <v>146</v>
      </c>
      <c r="U267" s="2" t="s">
        <v>146</v>
      </c>
      <c r="V267" s="2" t="s">
        <v>146</v>
      </c>
      <c r="W267" s="2" t="s">
        <v>146</v>
      </c>
      <c r="X267" s="2" t="s">
        <v>146</v>
      </c>
      <c r="Y267" s="2" t="s">
        <v>146</v>
      </c>
      <c r="Z267" s="2" t="s">
        <v>146</v>
      </c>
      <c r="AA267" s="2" t="s">
        <v>146</v>
      </c>
      <c r="AB267" s="2" t="s">
        <v>49</v>
      </c>
      <c r="AC267" s="2" t="s">
        <v>49</v>
      </c>
      <c r="AD267" s="2" t="s">
        <v>146</v>
      </c>
      <c r="AE267" s="2" t="s">
        <v>146</v>
      </c>
      <c r="AF267" s="2" t="s">
        <v>146</v>
      </c>
      <c r="AG267" s="2" t="s">
        <v>49</v>
      </c>
      <c r="AH267" s="2" t="s">
        <v>49</v>
      </c>
      <c r="AI267" s="2">
        <v>2.2999999999999998</v>
      </c>
      <c r="AJ267" s="2" t="s">
        <v>146</v>
      </c>
      <c r="AK267" s="2">
        <v>0.72199999999999998</v>
      </c>
      <c r="AL267" s="2" t="s">
        <v>146</v>
      </c>
      <c r="AM267" s="2" t="s">
        <v>49</v>
      </c>
      <c r="AN267" s="2" t="s">
        <v>146</v>
      </c>
      <c r="AO267" s="2" t="s">
        <v>146</v>
      </c>
      <c r="AP267" s="2" t="s">
        <v>146</v>
      </c>
      <c r="AQ267" s="2" t="s">
        <v>146</v>
      </c>
      <c r="AR267" s="2" t="s">
        <v>146</v>
      </c>
      <c r="AV267" s="2">
        <f t="shared" si="40"/>
        <v>2.2999999999999998</v>
      </c>
      <c r="AW267" s="2">
        <f t="shared" si="41"/>
        <v>2.2999999999999998</v>
      </c>
      <c r="AX267" s="27">
        <f t="shared" si="42"/>
        <v>1</v>
      </c>
      <c r="BA267" s="2">
        <f t="shared" si="43"/>
        <v>0</v>
      </c>
      <c r="BB267" s="2">
        <f t="shared" si="44"/>
        <v>0</v>
      </c>
      <c r="BC267" s="2">
        <f t="shared" si="45"/>
        <v>0</v>
      </c>
      <c r="BD267" s="2">
        <f t="shared" si="46"/>
        <v>0</v>
      </c>
      <c r="BE267" s="2">
        <f t="shared" si="47"/>
        <v>0</v>
      </c>
      <c r="BF267" s="2">
        <f t="shared" si="48"/>
        <v>0</v>
      </c>
      <c r="BJ267" s="2" t="str">
        <f t="shared" si="49"/>
        <v/>
      </c>
    </row>
    <row r="268" spans="1:62" ht="15" customHeight="1" x14ac:dyDescent="0.45">
      <c r="A268" s="2" t="s">
        <v>329</v>
      </c>
      <c r="B268" s="2" t="s">
        <v>328</v>
      </c>
      <c r="C268" s="2">
        <v>2019</v>
      </c>
      <c r="D268" s="2" t="s">
        <v>49</v>
      </c>
      <c r="E268" s="2" t="s">
        <v>49</v>
      </c>
      <c r="F268" s="2" t="s">
        <v>49</v>
      </c>
      <c r="G268" s="2" t="s">
        <v>49</v>
      </c>
      <c r="H268" s="2" t="s">
        <v>49</v>
      </c>
      <c r="I268" s="2" t="s">
        <v>49</v>
      </c>
      <c r="J268" s="2" t="s">
        <v>49</v>
      </c>
      <c r="K268" s="2" t="s">
        <v>49</v>
      </c>
      <c r="L268" s="2" t="s">
        <v>49</v>
      </c>
      <c r="M268" s="2" t="s">
        <v>49</v>
      </c>
      <c r="N268" s="2" t="s">
        <v>49</v>
      </c>
      <c r="O268" s="2" t="s">
        <v>49</v>
      </c>
      <c r="P268" s="2" t="s">
        <v>49</v>
      </c>
      <c r="Q268" s="2" t="s">
        <v>49</v>
      </c>
      <c r="R268" s="2" t="s">
        <v>49</v>
      </c>
      <c r="S268" s="2" t="s">
        <v>49</v>
      </c>
      <c r="T268" s="2" t="s">
        <v>49</v>
      </c>
      <c r="U268" s="2" t="s">
        <v>49</v>
      </c>
      <c r="V268" s="2" t="s">
        <v>49</v>
      </c>
      <c r="W268" s="2" t="s">
        <v>49</v>
      </c>
      <c r="X268" s="2" t="s">
        <v>49</v>
      </c>
      <c r="Y268" s="2" t="s">
        <v>49</v>
      </c>
      <c r="Z268" s="2" t="s">
        <v>49</v>
      </c>
      <c r="AA268" s="2" t="s">
        <v>49</v>
      </c>
      <c r="AB268" s="2" t="s">
        <v>49</v>
      </c>
      <c r="AC268" s="2" t="s">
        <v>49</v>
      </c>
      <c r="AD268" s="2" t="s">
        <v>49</v>
      </c>
      <c r="AE268" s="2" t="s">
        <v>49</v>
      </c>
      <c r="AF268" s="2" t="s">
        <v>49</v>
      </c>
      <c r="AG268" s="2" t="s">
        <v>49</v>
      </c>
      <c r="AH268" s="2" t="s">
        <v>49</v>
      </c>
      <c r="AI268" s="2" t="s">
        <v>49</v>
      </c>
      <c r="AJ268" s="2" t="s">
        <v>49</v>
      </c>
      <c r="AK268" s="2" t="s">
        <v>49</v>
      </c>
      <c r="AL268" s="2" t="s">
        <v>49</v>
      </c>
      <c r="AM268" s="2" t="s">
        <v>49</v>
      </c>
      <c r="AN268" s="2" t="s">
        <v>49</v>
      </c>
      <c r="AO268" s="2" t="s">
        <v>49</v>
      </c>
      <c r="AP268" s="2" t="s">
        <v>49</v>
      </c>
      <c r="AQ268" s="2" t="s">
        <v>49</v>
      </c>
      <c r="AR268" s="2" t="s">
        <v>49</v>
      </c>
      <c r="AV268" s="2">
        <f t="shared" si="40"/>
        <v>0</v>
      </c>
      <c r="AW268" s="2">
        <f t="shared" si="41"/>
        <v>0</v>
      </c>
      <c r="AX268" s="27" t="str">
        <f t="shared" si="42"/>
        <v/>
      </c>
      <c r="BA268" s="2">
        <f t="shared" si="43"/>
        <v>0</v>
      </c>
      <c r="BB268" s="2">
        <f t="shared" si="44"/>
        <v>0</v>
      </c>
      <c r="BC268" s="2">
        <f t="shared" si="45"/>
        <v>0</v>
      </c>
      <c r="BD268" s="2">
        <f t="shared" si="46"/>
        <v>0</v>
      </c>
      <c r="BE268" s="2">
        <f t="shared" si="47"/>
        <v>0</v>
      </c>
      <c r="BF268" s="2">
        <f t="shared" si="48"/>
        <v>0</v>
      </c>
      <c r="BJ268" s="2" t="str">
        <f t="shared" si="49"/>
        <v/>
      </c>
    </row>
    <row r="269" spans="1:62" ht="15" customHeight="1" x14ac:dyDescent="0.45">
      <c r="A269" s="2" t="s">
        <v>324</v>
      </c>
      <c r="B269" s="2" t="s">
        <v>327</v>
      </c>
      <c r="C269" s="2">
        <v>2019</v>
      </c>
      <c r="D269" s="2">
        <v>135.59</v>
      </c>
      <c r="E269" s="2">
        <v>153.58000000000001</v>
      </c>
      <c r="F269" s="2">
        <v>0</v>
      </c>
      <c r="G269" s="2">
        <v>0</v>
      </c>
      <c r="H269" s="2">
        <v>0</v>
      </c>
      <c r="I269" s="2">
        <v>0</v>
      </c>
      <c r="J269" s="2">
        <v>0</v>
      </c>
      <c r="K269" s="2">
        <v>0</v>
      </c>
      <c r="L269" s="2">
        <v>0</v>
      </c>
      <c r="M269" s="2" t="s">
        <v>146</v>
      </c>
      <c r="N269" s="2">
        <v>32.46</v>
      </c>
      <c r="O269" s="2">
        <v>22.47</v>
      </c>
      <c r="P269" s="2">
        <v>13.73</v>
      </c>
      <c r="Q269" s="2">
        <v>56.18</v>
      </c>
      <c r="R269" s="2">
        <v>0</v>
      </c>
      <c r="S269" s="2">
        <v>0</v>
      </c>
      <c r="T269" s="2" t="s">
        <v>147</v>
      </c>
      <c r="U269" s="2">
        <v>0</v>
      </c>
      <c r="V269" s="2">
        <v>0</v>
      </c>
      <c r="W269" s="2">
        <v>0</v>
      </c>
      <c r="X269" s="2">
        <v>0</v>
      </c>
      <c r="Y269" s="2">
        <v>0</v>
      </c>
      <c r="Z269" s="2">
        <v>0.97</v>
      </c>
      <c r="AA269" s="2">
        <v>0</v>
      </c>
      <c r="AB269" s="2">
        <v>0</v>
      </c>
      <c r="AC269" s="2">
        <v>0</v>
      </c>
      <c r="AD269" s="2">
        <v>0</v>
      </c>
      <c r="AE269" s="2" t="s">
        <v>155</v>
      </c>
      <c r="AF269" s="2" t="s">
        <v>146</v>
      </c>
      <c r="AG269" s="2">
        <v>0</v>
      </c>
      <c r="AH269" s="2">
        <v>27.77</v>
      </c>
      <c r="AI269" s="2">
        <v>0</v>
      </c>
      <c r="AJ269" s="2" t="s">
        <v>165</v>
      </c>
      <c r="AK269" s="2">
        <v>0</v>
      </c>
      <c r="AL269" s="2">
        <v>0</v>
      </c>
      <c r="AM269" s="2">
        <v>0</v>
      </c>
      <c r="AN269" s="2" t="s">
        <v>49</v>
      </c>
      <c r="AO269" s="2">
        <v>100</v>
      </c>
      <c r="AP269" s="2">
        <v>0</v>
      </c>
      <c r="AQ269" s="2">
        <v>0</v>
      </c>
      <c r="AR269" s="2">
        <v>0</v>
      </c>
      <c r="AV269" s="2">
        <f t="shared" si="40"/>
        <v>153.58000000000001</v>
      </c>
      <c r="AW269" s="2">
        <f t="shared" si="41"/>
        <v>135.59</v>
      </c>
      <c r="AX269" s="27">
        <f t="shared" si="42"/>
        <v>0.88286235186873285</v>
      </c>
      <c r="BA269" s="2">
        <f t="shared" si="43"/>
        <v>27.77</v>
      </c>
      <c r="BB269" s="2">
        <f t="shared" si="44"/>
        <v>27.77</v>
      </c>
      <c r="BC269" s="2">
        <f t="shared" si="45"/>
        <v>0</v>
      </c>
      <c r="BD269" s="2">
        <f t="shared" si="46"/>
        <v>0</v>
      </c>
      <c r="BE269" s="2">
        <f t="shared" si="47"/>
        <v>0</v>
      </c>
      <c r="BF269" s="2">
        <f t="shared" si="48"/>
        <v>0</v>
      </c>
      <c r="BJ269" s="2" t="str">
        <f t="shared" si="49"/>
        <v/>
      </c>
    </row>
    <row r="270" spans="1:62" ht="15" customHeight="1" x14ac:dyDescent="0.45">
      <c r="A270" s="2" t="s">
        <v>324</v>
      </c>
      <c r="B270" s="2" t="s">
        <v>326</v>
      </c>
      <c r="C270" s="2">
        <v>2019</v>
      </c>
      <c r="D270" s="2">
        <v>24.88</v>
      </c>
      <c r="E270" s="2">
        <v>29.5</v>
      </c>
      <c r="F270" s="2">
        <v>0</v>
      </c>
      <c r="G270" s="2">
        <v>0</v>
      </c>
      <c r="H270" s="2">
        <v>0</v>
      </c>
      <c r="I270" s="2">
        <v>0</v>
      </c>
      <c r="J270" s="2">
        <v>0</v>
      </c>
      <c r="K270" s="2">
        <v>0</v>
      </c>
      <c r="L270" s="2">
        <v>0</v>
      </c>
      <c r="M270" s="2" t="s">
        <v>146</v>
      </c>
      <c r="N270" s="2">
        <v>21.85</v>
      </c>
      <c r="O270" s="2">
        <v>2.98</v>
      </c>
      <c r="P270" s="2">
        <v>0</v>
      </c>
      <c r="Q270" s="2">
        <v>0</v>
      </c>
      <c r="R270" s="2">
        <v>0</v>
      </c>
      <c r="S270" s="2">
        <v>0</v>
      </c>
      <c r="T270" s="2" t="s">
        <v>147</v>
      </c>
      <c r="U270" s="2">
        <v>0</v>
      </c>
      <c r="V270" s="2">
        <v>0</v>
      </c>
      <c r="W270" s="2">
        <v>0</v>
      </c>
      <c r="X270" s="2">
        <v>0</v>
      </c>
      <c r="Y270" s="2">
        <v>0</v>
      </c>
      <c r="Z270" s="2">
        <v>0.85</v>
      </c>
      <c r="AA270" s="2">
        <v>0</v>
      </c>
      <c r="AB270" s="2">
        <v>0</v>
      </c>
      <c r="AC270" s="2">
        <v>0</v>
      </c>
      <c r="AD270" s="2">
        <v>0</v>
      </c>
      <c r="AE270" s="2" t="s">
        <v>155</v>
      </c>
      <c r="AF270" s="2" t="s">
        <v>146</v>
      </c>
      <c r="AG270" s="2">
        <v>0</v>
      </c>
      <c r="AH270" s="2">
        <v>3.82</v>
      </c>
      <c r="AI270" s="2">
        <v>0</v>
      </c>
      <c r="AJ270" s="2" t="s">
        <v>146</v>
      </c>
      <c r="AK270" s="2">
        <v>0</v>
      </c>
      <c r="AL270" s="2">
        <v>0</v>
      </c>
      <c r="AM270" s="2">
        <v>0</v>
      </c>
      <c r="AN270" s="2" t="s">
        <v>49</v>
      </c>
      <c r="AO270" s="2">
        <v>100</v>
      </c>
      <c r="AP270" s="2">
        <v>0</v>
      </c>
      <c r="AQ270" s="2">
        <v>0</v>
      </c>
      <c r="AR270" s="2">
        <v>0</v>
      </c>
      <c r="AV270" s="2">
        <f t="shared" si="40"/>
        <v>29.500000000000004</v>
      </c>
      <c r="AW270" s="2">
        <f t="shared" si="41"/>
        <v>24.88</v>
      </c>
      <c r="AX270" s="27">
        <f t="shared" si="42"/>
        <v>0.84338983050847449</v>
      </c>
      <c r="BA270" s="2">
        <f t="shared" si="43"/>
        <v>3.82</v>
      </c>
      <c r="BB270" s="2">
        <f t="shared" si="44"/>
        <v>3.82</v>
      </c>
      <c r="BC270" s="2">
        <f t="shared" si="45"/>
        <v>0</v>
      </c>
      <c r="BD270" s="2">
        <f t="shared" si="46"/>
        <v>0</v>
      </c>
      <c r="BE270" s="2">
        <f t="shared" si="47"/>
        <v>0</v>
      </c>
      <c r="BF270" s="2">
        <f t="shared" si="48"/>
        <v>0</v>
      </c>
      <c r="BJ270" s="2" t="str">
        <f t="shared" si="49"/>
        <v/>
      </c>
    </row>
    <row r="271" spans="1:62" ht="15" customHeight="1" x14ac:dyDescent="0.45">
      <c r="A271" s="2" t="s">
        <v>324</v>
      </c>
      <c r="B271" s="2" t="s">
        <v>325</v>
      </c>
      <c r="C271" s="2">
        <v>2019</v>
      </c>
      <c r="D271" s="2">
        <v>11.34</v>
      </c>
      <c r="E271" s="2">
        <v>13.09</v>
      </c>
      <c r="F271" s="2">
        <v>0</v>
      </c>
      <c r="G271" s="2">
        <v>0</v>
      </c>
      <c r="H271" s="2">
        <v>0</v>
      </c>
      <c r="I271" s="2">
        <v>0</v>
      </c>
      <c r="J271" s="2">
        <v>0</v>
      </c>
      <c r="K271" s="2">
        <v>0</v>
      </c>
      <c r="L271" s="2">
        <v>0</v>
      </c>
      <c r="M271" s="2" t="s">
        <v>146</v>
      </c>
      <c r="N271" s="2">
        <v>0.23</v>
      </c>
      <c r="O271" s="2">
        <v>0</v>
      </c>
      <c r="P271" s="2">
        <v>11.13</v>
      </c>
      <c r="Q271" s="2">
        <v>0</v>
      </c>
      <c r="R271" s="2">
        <v>0</v>
      </c>
      <c r="S271" s="2">
        <v>0</v>
      </c>
      <c r="T271" s="2" t="s">
        <v>147</v>
      </c>
      <c r="U271" s="2">
        <v>0</v>
      </c>
      <c r="V271" s="2">
        <v>0</v>
      </c>
      <c r="W271" s="2">
        <v>0</v>
      </c>
      <c r="X271" s="2">
        <v>0</v>
      </c>
      <c r="Y271" s="2">
        <v>0</v>
      </c>
      <c r="Z271" s="2">
        <v>0.49</v>
      </c>
      <c r="AA271" s="2">
        <v>0</v>
      </c>
      <c r="AB271" s="2">
        <v>0</v>
      </c>
      <c r="AC271" s="2">
        <v>0</v>
      </c>
      <c r="AD271" s="2">
        <v>0</v>
      </c>
      <c r="AE271" s="2" t="s">
        <v>155</v>
      </c>
      <c r="AF271" s="2" t="s">
        <v>146</v>
      </c>
      <c r="AG271" s="2">
        <v>0</v>
      </c>
      <c r="AH271" s="2">
        <v>1.24</v>
      </c>
      <c r="AI271" s="2">
        <v>0</v>
      </c>
      <c r="AJ271" s="2" t="s">
        <v>146</v>
      </c>
      <c r="AK271" s="2">
        <v>0</v>
      </c>
      <c r="AL271" s="2">
        <v>0</v>
      </c>
      <c r="AM271" s="2">
        <v>0</v>
      </c>
      <c r="AN271" s="2" t="s">
        <v>49</v>
      </c>
      <c r="AO271" s="2">
        <v>100</v>
      </c>
      <c r="AP271" s="2">
        <v>0</v>
      </c>
      <c r="AQ271" s="2">
        <v>0</v>
      </c>
      <c r="AR271" s="2">
        <v>0</v>
      </c>
      <c r="AV271" s="2">
        <f t="shared" si="40"/>
        <v>13.090000000000002</v>
      </c>
      <c r="AW271" s="2">
        <f t="shared" si="41"/>
        <v>11.34</v>
      </c>
      <c r="AX271" s="27">
        <f t="shared" si="42"/>
        <v>0.8663101604278074</v>
      </c>
      <c r="BA271" s="2">
        <f t="shared" si="43"/>
        <v>1.24</v>
      </c>
      <c r="BB271" s="2">
        <f t="shared" si="44"/>
        <v>1.24</v>
      </c>
      <c r="BC271" s="2">
        <f t="shared" si="45"/>
        <v>0</v>
      </c>
      <c r="BD271" s="2">
        <f t="shared" si="46"/>
        <v>0</v>
      </c>
      <c r="BE271" s="2">
        <f t="shared" si="47"/>
        <v>0</v>
      </c>
      <c r="BF271" s="2">
        <f t="shared" si="48"/>
        <v>0</v>
      </c>
      <c r="BJ271" s="2" t="str">
        <f t="shared" si="49"/>
        <v/>
      </c>
    </row>
    <row r="272" spans="1:62" ht="15" customHeight="1" x14ac:dyDescent="0.45">
      <c r="A272" s="2" t="s">
        <v>324</v>
      </c>
      <c r="B272" s="2" t="s">
        <v>323</v>
      </c>
      <c r="C272" s="2">
        <v>2019</v>
      </c>
      <c r="D272" s="2">
        <v>48.12</v>
      </c>
      <c r="E272" s="2">
        <v>52.286000000000001</v>
      </c>
      <c r="F272" s="2">
        <v>0</v>
      </c>
      <c r="G272" s="2">
        <v>8.5999999999999993E-2</v>
      </c>
      <c r="H272" s="2">
        <v>0</v>
      </c>
      <c r="I272" s="2">
        <v>0</v>
      </c>
      <c r="J272" s="2">
        <v>0</v>
      </c>
      <c r="K272" s="2">
        <v>0</v>
      </c>
      <c r="L272" s="2">
        <v>0</v>
      </c>
      <c r="M272" s="2" t="s">
        <v>146</v>
      </c>
      <c r="N272" s="2">
        <v>2.13</v>
      </c>
      <c r="O272" s="2">
        <v>10.68</v>
      </c>
      <c r="P272" s="2">
        <v>29.9</v>
      </c>
      <c r="Q272" s="2">
        <v>0</v>
      </c>
      <c r="R272" s="2">
        <v>0</v>
      </c>
      <c r="S272" s="2">
        <v>0</v>
      </c>
      <c r="T272" s="2" t="s">
        <v>147</v>
      </c>
      <c r="U272" s="2">
        <v>0</v>
      </c>
      <c r="V272" s="2">
        <v>0</v>
      </c>
      <c r="W272" s="2">
        <v>0</v>
      </c>
      <c r="X272" s="2">
        <v>0</v>
      </c>
      <c r="Y272" s="2">
        <v>0</v>
      </c>
      <c r="Z272" s="2">
        <v>2.98</v>
      </c>
      <c r="AA272" s="2">
        <v>0</v>
      </c>
      <c r="AB272" s="2">
        <v>0</v>
      </c>
      <c r="AC272" s="2">
        <v>0</v>
      </c>
      <c r="AD272" s="2">
        <v>0</v>
      </c>
      <c r="AE272" s="2" t="s">
        <v>155</v>
      </c>
      <c r="AF272" s="2" t="s">
        <v>146</v>
      </c>
      <c r="AG272" s="2">
        <v>0</v>
      </c>
      <c r="AH272" s="2">
        <v>6.51</v>
      </c>
      <c r="AI272" s="2">
        <v>0</v>
      </c>
      <c r="AJ272" s="2" t="s">
        <v>146</v>
      </c>
      <c r="AK272" s="2">
        <v>0</v>
      </c>
      <c r="AL272" s="2">
        <v>0</v>
      </c>
      <c r="AM272" s="2">
        <v>0</v>
      </c>
      <c r="AN272" s="2" t="s">
        <v>49</v>
      </c>
      <c r="AO272" s="2">
        <v>100</v>
      </c>
      <c r="AP272" s="2">
        <v>0</v>
      </c>
      <c r="AQ272" s="2">
        <v>0</v>
      </c>
      <c r="AR272" s="2">
        <v>0</v>
      </c>
      <c r="AV272" s="2">
        <f t="shared" si="40"/>
        <v>52.285999999999994</v>
      </c>
      <c r="AW272" s="2">
        <f t="shared" si="41"/>
        <v>48.12</v>
      </c>
      <c r="AX272" s="27">
        <f t="shared" si="42"/>
        <v>0.92032283976590301</v>
      </c>
      <c r="BA272" s="2">
        <f t="shared" si="43"/>
        <v>6.51</v>
      </c>
      <c r="BB272" s="2">
        <f t="shared" si="44"/>
        <v>6.51</v>
      </c>
      <c r="BC272" s="2">
        <f t="shared" si="45"/>
        <v>0</v>
      </c>
      <c r="BD272" s="2">
        <f t="shared" si="46"/>
        <v>0</v>
      </c>
      <c r="BE272" s="2">
        <f t="shared" si="47"/>
        <v>0</v>
      </c>
      <c r="BF272" s="2">
        <f t="shared" si="48"/>
        <v>0</v>
      </c>
      <c r="BJ272" s="2" t="str">
        <f t="shared" si="49"/>
        <v/>
      </c>
    </row>
    <row r="273" spans="1:62" ht="15" customHeight="1" x14ac:dyDescent="0.45">
      <c r="A273" s="2" t="s">
        <v>321</v>
      </c>
      <c r="B273" s="2" t="s">
        <v>322</v>
      </c>
      <c r="C273" s="2">
        <v>2019</v>
      </c>
      <c r="D273" s="2">
        <v>92.05</v>
      </c>
      <c r="E273" s="2">
        <v>3.0226000000000002</v>
      </c>
      <c r="F273" s="2" t="s">
        <v>146</v>
      </c>
      <c r="G273" s="2">
        <v>3.8600000000000002E-2</v>
      </c>
      <c r="H273" s="2" t="s">
        <v>146</v>
      </c>
      <c r="I273" s="2" t="s">
        <v>146</v>
      </c>
      <c r="J273" s="2">
        <v>0</v>
      </c>
      <c r="K273" s="2" t="s">
        <v>146</v>
      </c>
      <c r="L273" s="2" t="s">
        <v>146</v>
      </c>
      <c r="M273" s="2" t="s">
        <v>176</v>
      </c>
      <c r="N273" s="2" t="s">
        <v>146</v>
      </c>
      <c r="O273" s="2" t="s">
        <v>146</v>
      </c>
      <c r="P273" s="2" t="s">
        <v>146</v>
      </c>
      <c r="Q273" s="2" t="s">
        <v>146</v>
      </c>
      <c r="R273" s="2" t="s">
        <v>146</v>
      </c>
      <c r="S273" s="2" t="s">
        <v>146</v>
      </c>
      <c r="T273" s="2" t="s">
        <v>146</v>
      </c>
      <c r="U273" s="2" t="s">
        <v>146</v>
      </c>
      <c r="V273" s="2" t="s">
        <v>146</v>
      </c>
      <c r="W273" s="2" t="s">
        <v>146</v>
      </c>
      <c r="X273" s="2" t="s">
        <v>146</v>
      </c>
      <c r="Y273" s="2" t="s">
        <v>146</v>
      </c>
      <c r="Z273" s="2" t="s">
        <v>146</v>
      </c>
      <c r="AA273" s="2" t="s">
        <v>146</v>
      </c>
      <c r="AB273" s="2" t="s">
        <v>146</v>
      </c>
      <c r="AC273" s="2" t="s">
        <v>146</v>
      </c>
      <c r="AD273" s="2" t="s">
        <v>146</v>
      </c>
      <c r="AE273" s="2" t="s">
        <v>155</v>
      </c>
      <c r="AF273" s="2" t="s">
        <v>146</v>
      </c>
      <c r="AG273" s="2">
        <v>2.984</v>
      </c>
      <c r="AH273" s="2" t="s">
        <v>146</v>
      </c>
      <c r="AI273" s="2" t="s">
        <v>146</v>
      </c>
      <c r="AJ273" s="2" t="s">
        <v>146</v>
      </c>
      <c r="AK273" s="2" t="s">
        <v>146</v>
      </c>
      <c r="AL273" s="2" t="s">
        <v>146</v>
      </c>
      <c r="AM273" s="2" t="s">
        <v>146</v>
      </c>
      <c r="AN273" s="2" t="s">
        <v>176</v>
      </c>
      <c r="AO273" s="2" t="s">
        <v>146</v>
      </c>
      <c r="AP273" s="2" t="s">
        <v>146</v>
      </c>
      <c r="AQ273" s="2" t="s">
        <v>146</v>
      </c>
      <c r="AR273" s="2" t="s">
        <v>146</v>
      </c>
      <c r="AV273" s="2">
        <f t="shared" si="40"/>
        <v>3.0226000000000002</v>
      </c>
      <c r="AW273" s="2">
        <f t="shared" si="41"/>
        <v>92.05</v>
      </c>
      <c r="AX273" s="27">
        <f t="shared" si="42"/>
        <v>30.453913849004167</v>
      </c>
      <c r="BA273" s="2">
        <f t="shared" si="43"/>
        <v>0</v>
      </c>
      <c r="BB273" s="2">
        <f t="shared" si="44"/>
        <v>0</v>
      </c>
      <c r="BC273" s="2">
        <f t="shared" si="45"/>
        <v>0</v>
      </c>
      <c r="BD273" s="2">
        <f t="shared" si="46"/>
        <v>0</v>
      </c>
      <c r="BE273" s="2">
        <f t="shared" si="47"/>
        <v>0</v>
      </c>
      <c r="BF273" s="2">
        <f t="shared" si="48"/>
        <v>0</v>
      </c>
      <c r="BJ273" s="2" t="str">
        <f t="shared" si="49"/>
        <v/>
      </c>
    </row>
    <row r="274" spans="1:62" ht="15" customHeight="1" x14ac:dyDescent="0.45">
      <c r="A274" s="2" t="s">
        <v>321</v>
      </c>
      <c r="B274" s="2" t="s">
        <v>320</v>
      </c>
      <c r="C274" s="2">
        <v>2019</v>
      </c>
      <c r="D274" s="2">
        <v>0.94</v>
      </c>
      <c r="E274" s="2">
        <v>0.93989999999999996</v>
      </c>
      <c r="F274" s="2" t="s">
        <v>146</v>
      </c>
      <c r="G274" s="2">
        <v>9.4000000000000004E-3</v>
      </c>
      <c r="H274" s="2" t="s">
        <v>146</v>
      </c>
      <c r="I274" s="2" t="s">
        <v>146</v>
      </c>
      <c r="J274" s="2" t="s">
        <v>146</v>
      </c>
      <c r="K274" s="2" t="s">
        <v>146</v>
      </c>
      <c r="L274" s="2" t="s">
        <v>146</v>
      </c>
      <c r="M274" s="2" t="s">
        <v>176</v>
      </c>
      <c r="N274" s="2" t="s">
        <v>146</v>
      </c>
      <c r="O274" s="2" t="s">
        <v>146</v>
      </c>
      <c r="P274" s="2" t="s">
        <v>146</v>
      </c>
      <c r="Q274" s="2" t="s">
        <v>146</v>
      </c>
      <c r="R274" s="2" t="s">
        <v>146</v>
      </c>
      <c r="S274" s="2" t="s">
        <v>146</v>
      </c>
      <c r="T274" s="2" t="s">
        <v>146</v>
      </c>
      <c r="U274" s="2">
        <v>0.93049999999999999</v>
      </c>
      <c r="V274" s="2" t="s">
        <v>146</v>
      </c>
      <c r="W274" s="2" t="s">
        <v>146</v>
      </c>
      <c r="X274" s="2" t="s">
        <v>146</v>
      </c>
      <c r="Y274" s="2" t="s">
        <v>146</v>
      </c>
      <c r="Z274" s="2" t="s">
        <v>146</v>
      </c>
      <c r="AA274" s="2" t="s">
        <v>146</v>
      </c>
      <c r="AB274" s="2" t="s">
        <v>146</v>
      </c>
      <c r="AC274" s="2" t="s">
        <v>146</v>
      </c>
      <c r="AD274" s="2" t="s">
        <v>146</v>
      </c>
      <c r="AE274" s="2" t="s">
        <v>146</v>
      </c>
      <c r="AF274" s="2" t="s">
        <v>146</v>
      </c>
      <c r="AG274" s="2" t="s">
        <v>146</v>
      </c>
      <c r="AH274" s="2" t="s">
        <v>146</v>
      </c>
      <c r="AI274" s="2" t="s">
        <v>146</v>
      </c>
      <c r="AJ274" s="2" t="s">
        <v>146</v>
      </c>
      <c r="AK274" s="2" t="s">
        <v>146</v>
      </c>
      <c r="AL274" s="2" t="s">
        <v>146</v>
      </c>
      <c r="AM274" s="2" t="s">
        <v>146</v>
      </c>
      <c r="AN274" s="2" t="s">
        <v>49</v>
      </c>
      <c r="AO274" s="2" t="s">
        <v>146</v>
      </c>
      <c r="AP274" s="2" t="s">
        <v>146</v>
      </c>
      <c r="AQ274" s="2" t="s">
        <v>146</v>
      </c>
      <c r="AR274" s="2" t="s">
        <v>146</v>
      </c>
      <c r="AV274" s="2">
        <f t="shared" si="40"/>
        <v>0.93989999999999996</v>
      </c>
      <c r="AW274" s="2">
        <f t="shared" si="41"/>
        <v>0.94</v>
      </c>
      <c r="AX274" s="27">
        <f t="shared" si="42"/>
        <v>1.0001063942972657</v>
      </c>
      <c r="BA274" s="2">
        <f t="shared" si="43"/>
        <v>0</v>
      </c>
      <c r="BB274" s="2">
        <f t="shared" si="44"/>
        <v>0</v>
      </c>
      <c r="BC274" s="2">
        <f t="shared" si="45"/>
        <v>0</v>
      </c>
      <c r="BD274" s="2">
        <f t="shared" si="46"/>
        <v>0</v>
      </c>
      <c r="BE274" s="2">
        <f t="shared" si="47"/>
        <v>0</v>
      </c>
      <c r="BF274" s="2">
        <f t="shared" si="48"/>
        <v>0</v>
      </c>
      <c r="BJ274" s="2" t="str">
        <f t="shared" si="49"/>
        <v/>
      </c>
    </row>
    <row r="275" spans="1:62" ht="15" customHeight="1" x14ac:dyDescent="0.45">
      <c r="A275" s="2" t="s">
        <v>312</v>
      </c>
      <c r="B275" s="2" t="s">
        <v>319</v>
      </c>
      <c r="C275" s="2">
        <v>2019</v>
      </c>
      <c r="D275" s="2" t="s">
        <v>49</v>
      </c>
      <c r="E275" s="2" t="s">
        <v>49</v>
      </c>
      <c r="F275" s="2" t="s">
        <v>49</v>
      </c>
      <c r="G275" s="2" t="s">
        <v>49</v>
      </c>
      <c r="H275" s="2" t="s">
        <v>49</v>
      </c>
      <c r="I275" s="2" t="s">
        <v>49</v>
      </c>
      <c r="J275" s="2" t="s">
        <v>49</v>
      </c>
      <c r="K275" s="2" t="s">
        <v>49</v>
      </c>
      <c r="L275" s="2" t="s">
        <v>49</v>
      </c>
      <c r="M275" s="2" t="s">
        <v>49</v>
      </c>
      <c r="N275" s="2" t="s">
        <v>49</v>
      </c>
      <c r="O275" s="2" t="s">
        <v>49</v>
      </c>
      <c r="P275" s="2" t="s">
        <v>49</v>
      </c>
      <c r="Q275" s="2" t="s">
        <v>49</v>
      </c>
      <c r="R275" s="2" t="s">
        <v>49</v>
      </c>
      <c r="S275" s="2" t="s">
        <v>49</v>
      </c>
      <c r="T275" s="2" t="s">
        <v>49</v>
      </c>
      <c r="U275" s="2" t="s">
        <v>49</v>
      </c>
      <c r="V275" s="2" t="s">
        <v>49</v>
      </c>
      <c r="W275" s="2" t="s">
        <v>49</v>
      </c>
      <c r="X275" s="2" t="s">
        <v>49</v>
      </c>
      <c r="Y275" s="2" t="s">
        <v>49</v>
      </c>
      <c r="Z275" s="2" t="s">
        <v>49</v>
      </c>
      <c r="AA275" s="2" t="s">
        <v>49</v>
      </c>
      <c r="AB275" s="2" t="s">
        <v>49</v>
      </c>
      <c r="AC275" s="2" t="s">
        <v>49</v>
      </c>
      <c r="AD275" s="2" t="s">
        <v>49</v>
      </c>
      <c r="AE275" s="2" t="s">
        <v>49</v>
      </c>
      <c r="AF275" s="2" t="s">
        <v>49</v>
      </c>
      <c r="AG275" s="2" t="s">
        <v>49</v>
      </c>
      <c r="AH275" s="2" t="s">
        <v>49</v>
      </c>
      <c r="AI275" s="2" t="s">
        <v>49</v>
      </c>
      <c r="AJ275" s="2" t="s">
        <v>49</v>
      </c>
      <c r="AK275" s="2" t="s">
        <v>49</v>
      </c>
      <c r="AL275" s="2" t="s">
        <v>49</v>
      </c>
      <c r="AM275" s="2" t="s">
        <v>49</v>
      </c>
      <c r="AN275" s="2" t="s">
        <v>49</v>
      </c>
      <c r="AO275" s="2" t="s">
        <v>49</v>
      </c>
      <c r="AP275" s="2" t="s">
        <v>49</v>
      </c>
      <c r="AQ275" s="2" t="s">
        <v>49</v>
      </c>
      <c r="AR275" s="2" t="s">
        <v>49</v>
      </c>
      <c r="AV275" s="2">
        <f t="shared" si="40"/>
        <v>0</v>
      </c>
      <c r="AW275" s="2">
        <f t="shared" si="41"/>
        <v>0</v>
      </c>
      <c r="AX275" s="27" t="str">
        <f t="shared" si="42"/>
        <v/>
      </c>
      <c r="BA275" s="2">
        <f t="shared" si="43"/>
        <v>0</v>
      </c>
      <c r="BB275" s="2">
        <f t="shared" si="44"/>
        <v>0</v>
      </c>
      <c r="BC275" s="2">
        <f t="shared" si="45"/>
        <v>0</v>
      </c>
      <c r="BD275" s="2">
        <f t="shared" si="46"/>
        <v>0</v>
      </c>
      <c r="BE275" s="2">
        <f t="shared" si="47"/>
        <v>0</v>
      </c>
      <c r="BF275" s="2">
        <f t="shared" si="48"/>
        <v>0</v>
      </c>
      <c r="BJ275" s="2" t="str">
        <f t="shared" si="49"/>
        <v/>
      </c>
    </row>
    <row r="276" spans="1:62" ht="15" customHeight="1" x14ac:dyDescent="0.45">
      <c r="A276" s="2" t="s">
        <v>312</v>
      </c>
      <c r="B276" s="2" t="s">
        <v>318</v>
      </c>
      <c r="C276" s="2">
        <v>2019</v>
      </c>
      <c r="D276" s="2" t="s">
        <v>49</v>
      </c>
      <c r="E276" s="2" t="s">
        <v>49</v>
      </c>
      <c r="F276" s="2" t="s">
        <v>49</v>
      </c>
      <c r="G276" s="2" t="s">
        <v>49</v>
      </c>
      <c r="H276" s="2" t="s">
        <v>49</v>
      </c>
      <c r="I276" s="2" t="s">
        <v>49</v>
      </c>
      <c r="J276" s="2" t="s">
        <v>49</v>
      </c>
      <c r="K276" s="2" t="s">
        <v>49</v>
      </c>
      <c r="L276" s="2" t="s">
        <v>49</v>
      </c>
      <c r="M276" s="2" t="s">
        <v>49</v>
      </c>
      <c r="N276" s="2" t="s">
        <v>49</v>
      </c>
      <c r="O276" s="2" t="s">
        <v>49</v>
      </c>
      <c r="P276" s="2" t="s">
        <v>49</v>
      </c>
      <c r="Q276" s="2" t="s">
        <v>49</v>
      </c>
      <c r="R276" s="2" t="s">
        <v>49</v>
      </c>
      <c r="S276" s="2" t="s">
        <v>49</v>
      </c>
      <c r="T276" s="2" t="s">
        <v>49</v>
      </c>
      <c r="U276" s="2" t="s">
        <v>49</v>
      </c>
      <c r="V276" s="2" t="s">
        <v>49</v>
      </c>
      <c r="W276" s="2" t="s">
        <v>49</v>
      </c>
      <c r="X276" s="2" t="s">
        <v>49</v>
      </c>
      <c r="Y276" s="2" t="s">
        <v>49</v>
      </c>
      <c r="Z276" s="2" t="s">
        <v>49</v>
      </c>
      <c r="AA276" s="2" t="s">
        <v>49</v>
      </c>
      <c r="AB276" s="2" t="s">
        <v>49</v>
      </c>
      <c r="AC276" s="2" t="s">
        <v>49</v>
      </c>
      <c r="AD276" s="2" t="s">
        <v>49</v>
      </c>
      <c r="AE276" s="2" t="s">
        <v>49</v>
      </c>
      <c r="AF276" s="2" t="s">
        <v>49</v>
      </c>
      <c r="AG276" s="2" t="s">
        <v>49</v>
      </c>
      <c r="AH276" s="2" t="s">
        <v>49</v>
      </c>
      <c r="AI276" s="2" t="s">
        <v>49</v>
      </c>
      <c r="AJ276" s="2" t="s">
        <v>49</v>
      </c>
      <c r="AK276" s="2" t="s">
        <v>49</v>
      </c>
      <c r="AL276" s="2" t="s">
        <v>49</v>
      </c>
      <c r="AM276" s="2" t="s">
        <v>49</v>
      </c>
      <c r="AN276" s="2" t="s">
        <v>49</v>
      </c>
      <c r="AO276" s="2" t="s">
        <v>49</v>
      </c>
      <c r="AP276" s="2" t="s">
        <v>49</v>
      </c>
      <c r="AQ276" s="2" t="s">
        <v>49</v>
      </c>
      <c r="AR276" s="2" t="s">
        <v>49</v>
      </c>
      <c r="AV276" s="2">
        <f t="shared" si="40"/>
        <v>0</v>
      </c>
      <c r="AW276" s="2">
        <f t="shared" si="41"/>
        <v>0</v>
      </c>
      <c r="AX276" s="27" t="str">
        <f t="shared" si="42"/>
        <v/>
      </c>
      <c r="BA276" s="2">
        <f t="shared" si="43"/>
        <v>0</v>
      </c>
      <c r="BB276" s="2">
        <f t="shared" si="44"/>
        <v>0</v>
      </c>
      <c r="BC276" s="2">
        <f t="shared" si="45"/>
        <v>0</v>
      </c>
      <c r="BD276" s="2">
        <f t="shared" si="46"/>
        <v>0</v>
      </c>
      <c r="BE276" s="2">
        <f t="shared" si="47"/>
        <v>0</v>
      </c>
      <c r="BF276" s="2">
        <f t="shared" si="48"/>
        <v>0</v>
      </c>
      <c r="BJ276" s="2" t="str">
        <f t="shared" si="49"/>
        <v/>
      </c>
    </row>
    <row r="277" spans="1:62" ht="15" customHeight="1" x14ac:dyDescent="0.45">
      <c r="A277" s="2" t="s">
        <v>312</v>
      </c>
      <c r="B277" s="2" t="s">
        <v>317</v>
      </c>
      <c r="C277" s="2">
        <v>2019</v>
      </c>
      <c r="D277" s="2" t="s">
        <v>49</v>
      </c>
      <c r="E277" s="2" t="s">
        <v>49</v>
      </c>
      <c r="F277" s="2" t="s">
        <v>49</v>
      </c>
      <c r="G277" s="2" t="s">
        <v>49</v>
      </c>
      <c r="H277" s="2" t="s">
        <v>49</v>
      </c>
      <c r="I277" s="2" t="s">
        <v>49</v>
      </c>
      <c r="J277" s="2" t="s">
        <v>49</v>
      </c>
      <c r="K277" s="2" t="s">
        <v>49</v>
      </c>
      <c r="L277" s="2" t="s">
        <v>49</v>
      </c>
      <c r="M277" s="2" t="s">
        <v>49</v>
      </c>
      <c r="N277" s="2" t="s">
        <v>49</v>
      </c>
      <c r="O277" s="2" t="s">
        <v>49</v>
      </c>
      <c r="P277" s="2" t="s">
        <v>49</v>
      </c>
      <c r="Q277" s="2" t="s">
        <v>49</v>
      </c>
      <c r="R277" s="2" t="s">
        <v>49</v>
      </c>
      <c r="S277" s="2" t="s">
        <v>49</v>
      </c>
      <c r="T277" s="2" t="s">
        <v>49</v>
      </c>
      <c r="U277" s="2" t="s">
        <v>49</v>
      </c>
      <c r="V277" s="2" t="s">
        <v>49</v>
      </c>
      <c r="W277" s="2" t="s">
        <v>49</v>
      </c>
      <c r="X277" s="2" t="s">
        <v>49</v>
      </c>
      <c r="Y277" s="2" t="s">
        <v>49</v>
      </c>
      <c r="Z277" s="2" t="s">
        <v>49</v>
      </c>
      <c r="AA277" s="2" t="s">
        <v>49</v>
      </c>
      <c r="AB277" s="2" t="s">
        <v>49</v>
      </c>
      <c r="AC277" s="2" t="s">
        <v>49</v>
      </c>
      <c r="AD277" s="2" t="s">
        <v>49</v>
      </c>
      <c r="AE277" s="2" t="s">
        <v>49</v>
      </c>
      <c r="AF277" s="2" t="s">
        <v>49</v>
      </c>
      <c r="AG277" s="2" t="s">
        <v>49</v>
      </c>
      <c r="AH277" s="2" t="s">
        <v>49</v>
      </c>
      <c r="AI277" s="2" t="s">
        <v>49</v>
      </c>
      <c r="AJ277" s="2" t="s">
        <v>49</v>
      </c>
      <c r="AK277" s="2" t="s">
        <v>49</v>
      </c>
      <c r="AL277" s="2" t="s">
        <v>49</v>
      </c>
      <c r="AM277" s="2" t="s">
        <v>49</v>
      </c>
      <c r="AN277" s="2" t="s">
        <v>49</v>
      </c>
      <c r="AO277" s="2" t="s">
        <v>49</v>
      </c>
      <c r="AP277" s="2" t="s">
        <v>49</v>
      </c>
      <c r="AQ277" s="2" t="s">
        <v>49</v>
      </c>
      <c r="AR277" s="2" t="s">
        <v>49</v>
      </c>
      <c r="AV277" s="2">
        <f t="shared" si="40"/>
        <v>0</v>
      </c>
      <c r="AW277" s="2">
        <f t="shared" si="41"/>
        <v>0</v>
      </c>
      <c r="AX277" s="27" t="str">
        <f t="shared" si="42"/>
        <v/>
      </c>
      <c r="BA277" s="2">
        <f t="shared" si="43"/>
        <v>0</v>
      </c>
      <c r="BB277" s="2">
        <f t="shared" si="44"/>
        <v>0</v>
      </c>
      <c r="BC277" s="2">
        <f t="shared" si="45"/>
        <v>0</v>
      </c>
      <c r="BD277" s="2">
        <f t="shared" si="46"/>
        <v>0</v>
      </c>
      <c r="BE277" s="2">
        <f t="shared" si="47"/>
        <v>0</v>
      </c>
      <c r="BF277" s="2">
        <f t="shared" si="48"/>
        <v>0</v>
      </c>
      <c r="BJ277" s="2" t="str">
        <f t="shared" si="49"/>
        <v/>
      </c>
    </row>
    <row r="278" spans="1:62" ht="15" customHeight="1" x14ac:dyDescent="0.45">
      <c r="A278" s="2" t="s">
        <v>312</v>
      </c>
      <c r="B278" s="2" t="s">
        <v>112</v>
      </c>
      <c r="C278" s="2">
        <v>2019</v>
      </c>
      <c r="D278" s="2">
        <v>3970.64</v>
      </c>
      <c r="E278" s="2">
        <v>4016.7510000000002</v>
      </c>
      <c r="F278" s="2">
        <v>1.8080000000000001</v>
      </c>
      <c r="G278" s="2">
        <v>23.244</v>
      </c>
      <c r="H278" s="2">
        <v>0</v>
      </c>
      <c r="I278" s="2">
        <v>7.7060000000000004</v>
      </c>
      <c r="J278" s="2">
        <v>0</v>
      </c>
      <c r="K278" s="2">
        <v>0</v>
      </c>
      <c r="L278" s="2">
        <v>0</v>
      </c>
      <c r="M278" s="2" t="s">
        <v>49</v>
      </c>
      <c r="N278" s="2">
        <v>243.047</v>
      </c>
      <c r="O278" s="2">
        <v>0</v>
      </c>
      <c r="P278" s="2">
        <v>0</v>
      </c>
      <c r="Q278" s="2">
        <v>0</v>
      </c>
      <c r="R278" s="2">
        <v>0</v>
      </c>
      <c r="S278" s="2">
        <v>6.3040000000000003</v>
      </c>
      <c r="T278" s="2" t="s">
        <v>146</v>
      </c>
      <c r="U278" s="2">
        <v>211.80699999999999</v>
      </c>
      <c r="V278" s="2">
        <v>0</v>
      </c>
      <c r="W278" s="2">
        <v>0</v>
      </c>
      <c r="X278" s="2">
        <v>207.66300000000001</v>
      </c>
      <c r="Y278" s="2">
        <v>57.862000000000002</v>
      </c>
      <c r="Z278" s="2">
        <v>348.93299999999999</v>
      </c>
      <c r="AA278" s="2">
        <v>0</v>
      </c>
      <c r="AB278" s="2">
        <v>0</v>
      </c>
      <c r="AC278" s="2">
        <v>1134.627</v>
      </c>
      <c r="AD278" s="2" t="s">
        <v>146</v>
      </c>
      <c r="AE278" s="2" t="s">
        <v>160</v>
      </c>
      <c r="AF278" s="2">
        <v>37</v>
      </c>
      <c r="AG278" s="2">
        <v>0</v>
      </c>
      <c r="AH278" s="2">
        <v>8.5150000000000006</v>
      </c>
      <c r="AI278" s="2">
        <v>1741.6579999999999</v>
      </c>
      <c r="AJ278" s="2" t="s">
        <v>165</v>
      </c>
      <c r="AK278" s="2">
        <v>566.95000000000005</v>
      </c>
      <c r="AL278" s="2">
        <v>23.577000000000002</v>
      </c>
      <c r="AM278" s="2">
        <v>23.577000000000002</v>
      </c>
      <c r="AN278" s="2" t="s">
        <v>49</v>
      </c>
      <c r="AO278" s="2">
        <v>48.83</v>
      </c>
      <c r="AP278" s="2">
        <v>51.13</v>
      </c>
      <c r="AQ278" s="2">
        <v>0.04</v>
      </c>
      <c r="AR278" s="2">
        <v>0</v>
      </c>
      <c r="AV278" s="2">
        <f t="shared" si="40"/>
        <v>4016.7510000000002</v>
      </c>
      <c r="AW278" s="2">
        <f t="shared" si="41"/>
        <v>3970.64</v>
      </c>
      <c r="AX278" s="27">
        <f t="shared" si="42"/>
        <v>0.98852032401311396</v>
      </c>
      <c r="BA278" s="2">
        <f t="shared" si="43"/>
        <v>8.5150000000000006</v>
      </c>
      <c r="BB278" s="2">
        <f t="shared" si="44"/>
        <v>4.1578745000000001</v>
      </c>
      <c r="BC278" s="2">
        <f t="shared" si="45"/>
        <v>4.3537195000000004</v>
      </c>
      <c r="BD278" s="2">
        <f t="shared" si="46"/>
        <v>3.4060000000000006E-3</v>
      </c>
      <c r="BE278" s="2">
        <f t="shared" si="47"/>
        <v>0</v>
      </c>
      <c r="BF278" s="2">
        <f t="shared" si="48"/>
        <v>0</v>
      </c>
      <c r="BJ278" s="2" t="str">
        <f t="shared" si="49"/>
        <v/>
      </c>
    </row>
    <row r="279" spans="1:62" ht="15" customHeight="1" x14ac:dyDescent="0.45">
      <c r="A279" s="2" t="s">
        <v>312</v>
      </c>
      <c r="B279" s="2" t="s">
        <v>316</v>
      </c>
      <c r="C279" s="2">
        <v>2019</v>
      </c>
      <c r="D279" s="2" t="s">
        <v>49</v>
      </c>
      <c r="E279" s="2" t="s">
        <v>49</v>
      </c>
      <c r="F279" s="2" t="s">
        <v>49</v>
      </c>
      <c r="G279" s="2" t="s">
        <v>49</v>
      </c>
      <c r="H279" s="2" t="s">
        <v>49</v>
      </c>
      <c r="I279" s="2" t="s">
        <v>49</v>
      </c>
      <c r="J279" s="2" t="s">
        <v>49</v>
      </c>
      <c r="K279" s="2" t="s">
        <v>49</v>
      </c>
      <c r="L279" s="2" t="s">
        <v>49</v>
      </c>
      <c r="M279" s="2" t="s">
        <v>49</v>
      </c>
      <c r="N279" s="2" t="s">
        <v>49</v>
      </c>
      <c r="O279" s="2" t="s">
        <v>49</v>
      </c>
      <c r="P279" s="2" t="s">
        <v>49</v>
      </c>
      <c r="Q279" s="2" t="s">
        <v>49</v>
      </c>
      <c r="R279" s="2" t="s">
        <v>49</v>
      </c>
      <c r="S279" s="2" t="s">
        <v>49</v>
      </c>
      <c r="T279" s="2" t="s">
        <v>49</v>
      </c>
      <c r="U279" s="2" t="s">
        <v>49</v>
      </c>
      <c r="V279" s="2" t="s">
        <v>49</v>
      </c>
      <c r="W279" s="2" t="s">
        <v>49</v>
      </c>
      <c r="X279" s="2" t="s">
        <v>49</v>
      </c>
      <c r="Y279" s="2" t="s">
        <v>49</v>
      </c>
      <c r="Z279" s="2" t="s">
        <v>49</v>
      </c>
      <c r="AA279" s="2" t="s">
        <v>49</v>
      </c>
      <c r="AB279" s="2" t="s">
        <v>49</v>
      </c>
      <c r="AC279" s="2" t="s">
        <v>49</v>
      </c>
      <c r="AD279" s="2" t="s">
        <v>49</v>
      </c>
      <c r="AE279" s="2" t="s">
        <v>49</v>
      </c>
      <c r="AF279" s="2" t="s">
        <v>49</v>
      </c>
      <c r="AG279" s="2" t="s">
        <v>49</v>
      </c>
      <c r="AH279" s="2" t="s">
        <v>49</v>
      </c>
      <c r="AI279" s="2" t="s">
        <v>49</v>
      </c>
      <c r="AJ279" s="2" t="s">
        <v>49</v>
      </c>
      <c r="AK279" s="2" t="s">
        <v>49</v>
      </c>
      <c r="AL279" s="2" t="s">
        <v>49</v>
      </c>
      <c r="AM279" s="2" t="s">
        <v>49</v>
      </c>
      <c r="AN279" s="2" t="s">
        <v>49</v>
      </c>
      <c r="AO279" s="2" t="s">
        <v>49</v>
      </c>
      <c r="AP279" s="2" t="s">
        <v>49</v>
      </c>
      <c r="AQ279" s="2" t="s">
        <v>49</v>
      </c>
      <c r="AR279" s="2" t="s">
        <v>49</v>
      </c>
      <c r="AV279" s="2">
        <f t="shared" si="40"/>
        <v>0</v>
      </c>
      <c r="AW279" s="2">
        <f t="shared" si="41"/>
        <v>0</v>
      </c>
      <c r="AX279" s="27" t="str">
        <f t="shared" si="42"/>
        <v/>
      </c>
      <c r="BA279" s="2">
        <f t="shared" si="43"/>
        <v>0</v>
      </c>
      <c r="BB279" s="2">
        <f t="shared" si="44"/>
        <v>0</v>
      </c>
      <c r="BC279" s="2">
        <f t="shared" si="45"/>
        <v>0</v>
      </c>
      <c r="BD279" s="2">
        <f t="shared" si="46"/>
        <v>0</v>
      </c>
      <c r="BE279" s="2">
        <f t="shared" si="47"/>
        <v>0</v>
      </c>
      <c r="BF279" s="2">
        <f t="shared" si="48"/>
        <v>0</v>
      </c>
      <c r="BJ279" s="2" t="str">
        <f t="shared" si="49"/>
        <v/>
      </c>
    </row>
    <row r="280" spans="1:62" ht="15" customHeight="1" x14ac:dyDescent="0.45">
      <c r="A280" s="2" t="s">
        <v>312</v>
      </c>
      <c r="B280" s="2" t="s">
        <v>315</v>
      </c>
      <c r="C280" s="2">
        <v>2019</v>
      </c>
      <c r="D280" s="2" t="s">
        <v>49</v>
      </c>
      <c r="E280" s="2" t="s">
        <v>49</v>
      </c>
      <c r="F280" s="2" t="s">
        <v>49</v>
      </c>
      <c r="G280" s="2" t="s">
        <v>49</v>
      </c>
      <c r="H280" s="2" t="s">
        <v>49</v>
      </c>
      <c r="I280" s="2" t="s">
        <v>49</v>
      </c>
      <c r="J280" s="2" t="s">
        <v>49</v>
      </c>
      <c r="K280" s="2" t="s">
        <v>49</v>
      </c>
      <c r="L280" s="2" t="s">
        <v>49</v>
      </c>
      <c r="M280" s="2" t="s">
        <v>49</v>
      </c>
      <c r="N280" s="2" t="s">
        <v>49</v>
      </c>
      <c r="O280" s="2" t="s">
        <v>49</v>
      </c>
      <c r="P280" s="2" t="s">
        <v>49</v>
      </c>
      <c r="Q280" s="2" t="s">
        <v>49</v>
      </c>
      <c r="R280" s="2" t="s">
        <v>49</v>
      </c>
      <c r="S280" s="2" t="s">
        <v>49</v>
      </c>
      <c r="T280" s="2" t="s">
        <v>49</v>
      </c>
      <c r="U280" s="2" t="s">
        <v>49</v>
      </c>
      <c r="V280" s="2" t="s">
        <v>49</v>
      </c>
      <c r="W280" s="2" t="s">
        <v>49</v>
      </c>
      <c r="X280" s="2" t="s">
        <v>49</v>
      </c>
      <c r="Y280" s="2" t="s">
        <v>49</v>
      </c>
      <c r="Z280" s="2" t="s">
        <v>49</v>
      </c>
      <c r="AA280" s="2" t="s">
        <v>49</v>
      </c>
      <c r="AB280" s="2" t="s">
        <v>49</v>
      </c>
      <c r="AC280" s="2" t="s">
        <v>49</v>
      </c>
      <c r="AD280" s="2" t="s">
        <v>49</v>
      </c>
      <c r="AE280" s="2" t="s">
        <v>49</v>
      </c>
      <c r="AF280" s="2" t="s">
        <v>49</v>
      </c>
      <c r="AG280" s="2" t="s">
        <v>49</v>
      </c>
      <c r="AH280" s="2" t="s">
        <v>49</v>
      </c>
      <c r="AI280" s="2" t="s">
        <v>49</v>
      </c>
      <c r="AJ280" s="2" t="s">
        <v>49</v>
      </c>
      <c r="AK280" s="2" t="s">
        <v>49</v>
      </c>
      <c r="AL280" s="2" t="s">
        <v>49</v>
      </c>
      <c r="AM280" s="2" t="s">
        <v>49</v>
      </c>
      <c r="AN280" s="2" t="s">
        <v>49</v>
      </c>
      <c r="AO280" s="2" t="s">
        <v>49</v>
      </c>
      <c r="AP280" s="2" t="s">
        <v>49</v>
      </c>
      <c r="AQ280" s="2" t="s">
        <v>49</v>
      </c>
      <c r="AR280" s="2" t="s">
        <v>49</v>
      </c>
      <c r="AV280" s="2">
        <f t="shared" si="40"/>
        <v>0</v>
      </c>
      <c r="AW280" s="2">
        <f t="shared" si="41"/>
        <v>0</v>
      </c>
      <c r="AX280" s="27" t="str">
        <f t="shared" si="42"/>
        <v/>
      </c>
      <c r="BA280" s="2">
        <f t="shared" si="43"/>
        <v>0</v>
      </c>
      <c r="BB280" s="2">
        <f t="shared" si="44"/>
        <v>0</v>
      </c>
      <c r="BC280" s="2">
        <f t="shared" si="45"/>
        <v>0</v>
      </c>
      <c r="BD280" s="2">
        <f t="shared" si="46"/>
        <v>0</v>
      </c>
      <c r="BE280" s="2">
        <f t="shared" si="47"/>
        <v>0</v>
      </c>
      <c r="BF280" s="2">
        <f t="shared" si="48"/>
        <v>0</v>
      </c>
      <c r="BJ280" s="2" t="str">
        <f t="shared" si="49"/>
        <v/>
      </c>
    </row>
    <row r="281" spans="1:62" ht="15" customHeight="1" x14ac:dyDescent="0.45">
      <c r="A281" s="2" t="s">
        <v>312</v>
      </c>
      <c r="B281" s="2" t="s">
        <v>314</v>
      </c>
      <c r="C281" s="2">
        <v>2019</v>
      </c>
      <c r="D281" s="2" t="s">
        <v>49</v>
      </c>
      <c r="E281" s="2" t="s">
        <v>49</v>
      </c>
      <c r="F281" s="2" t="s">
        <v>49</v>
      </c>
      <c r="G281" s="2" t="s">
        <v>49</v>
      </c>
      <c r="H281" s="2" t="s">
        <v>49</v>
      </c>
      <c r="I281" s="2" t="s">
        <v>49</v>
      </c>
      <c r="J281" s="2" t="s">
        <v>49</v>
      </c>
      <c r="K281" s="2" t="s">
        <v>49</v>
      </c>
      <c r="L281" s="2" t="s">
        <v>49</v>
      </c>
      <c r="M281" s="2" t="s">
        <v>49</v>
      </c>
      <c r="N281" s="2" t="s">
        <v>49</v>
      </c>
      <c r="O281" s="2" t="s">
        <v>49</v>
      </c>
      <c r="P281" s="2" t="s">
        <v>49</v>
      </c>
      <c r="Q281" s="2" t="s">
        <v>49</v>
      </c>
      <c r="R281" s="2" t="s">
        <v>49</v>
      </c>
      <c r="S281" s="2" t="s">
        <v>49</v>
      </c>
      <c r="T281" s="2" t="s">
        <v>49</v>
      </c>
      <c r="U281" s="2" t="s">
        <v>49</v>
      </c>
      <c r="V281" s="2" t="s">
        <v>49</v>
      </c>
      <c r="W281" s="2" t="s">
        <v>49</v>
      </c>
      <c r="X281" s="2" t="s">
        <v>49</v>
      </c>
      <c r="Y281" s="2" t="s">
        <v>49</v>
      </c>
      <c r="Z281" s="2" t="s">
        <v>49</v>
      </c>
      <c r="AA281" s="2" t="s">
        <v>49</v>
      </c>
      <c r="AB281" s="2" t="s">
        <v>49</v>
      </c>
      <c r="AC281" s="2" t="s">
        <v>49</v>
      </c>
      <c r="AD281" s="2" t="s">
        <v>49</v>
      </c>
      <c r="AE281" s="2" t="s">
        <v>49</v>
      </c>
      <c r="AF281" s="2" t="s">
        <v>49</v>
      </c>
      <c r="AG281" s="2" t="s">
        <v>49</v>
      </c>
      <c r="AH281" s="2" t="s">
        <v>49</v>
      </c>
      <c r="AI281" s="2" t="s">
        <v>49</v>
      </c>
      <c r="AJ281" s="2" t="s">
        <v>49</v>
      </c>
      <c r="AK281" s="2" t="s">
        <v>49</v>
      </c>
      <c r="AL281" s="2" t="s">
        <v>49</v>
      </c>
      <c r="AM281" s="2" t="s">
        <v>49</v>
      </c>
      <c r="AN281" s="2" t="s">
        <v>49</v>
      </c>
      <c r="AO281" s="2" t="s">
        <v>49</v>
      </c>
      <c r="AP281" s="2" t="s">
        <v>49</v>
      </c>
      <c r="AQ281" s="2" t="s">
        <v>49</v>
      </c>
      <c r="AR281" s="2" t="s">
        <v>49</v>
      </c>
      <c r="AV281" s="2">
        <f t="shared" si="40"/>
        <v>0</v>
      </c>
      <c r="AW281" s="2">
        <f t="shared" si="41"/>
        <v>0</v>
      </c>
      <c r="AX281" s="27" t="str">
        <f t="shared" si="42"/>
        <v/>
      </c>
      <c r="BA281" s="2">
        <f t="shared" si="43"/>
        <v>0</v>
      </c>
      <c r="BB281" s="2">
        <f t="shared" si="44"/>
        <v>0</v>
      </c>
      <c r="BC281" s="2">
        <f t="shared" si="45"/>
        <v>0</v>
      </c>
      <c r="BD281" s="2">
        <f t="shared" si="46"/>
        <v>0</v>
      </c>
      <c r="BE281" s="2">
        <f t="shared" si="47"/>
        <v>0</v>
      </c>
      <c r="BF281" s="2">
        <f t="shared" si="48"/>
        <v>0</v>
      </c>
      <c r="BJ281" s="2" t="str">
        <f t="shared" si="49"/>
        <v/>
      </c>
    </row>
    <row r="282" spans="1:62" ht="15" customHeight="1" x14ac:dyDescent="0.45">
      <c r="A282" s="2" t="s">
        <v>312</v>
      </c>
      <c r="B282" s="2" t="s">
        <v>313</v>
      </c>
      <c r="C282" s="2">
        <v>2019</v>
      </c>
      <c r="D282" s="2">
        <v>65.593999999999994</v>
      </c>
      <c r="E282" s="2">
        <v>69.647999999999996</v>
      </c>
      <c r="F282" s="2">
        <v>0</v>
      </c>
      <c r="G282" s="2">
        <v>0</v>
      </c>
      <c r="H282" s="2">
        <v>0</v>
      </c>
      <c r="I282" s="2">
        <v>0</v>
      </c>
      <c r="J282" s="2">
        <v>0</v>
      </c>
      <c r="K282" s="2">
        <v>0</v>
      </c>
      <c r="L282" s="2">
        <v>0</v>
      </c>
      <c r="M282" s="2" t="s">
        <v>49</v>
      </c>
      <c r="N282" s="2">
        <v>0</v>
      </c>
      <c r="O282" s="2">
        <v>0</v>
      </c>
      <c r="P282" s="2">
        <v>0</v>
      </c>
      <c r="Q282" s="2">
        <v>0</v>
      </c>
      <c r="R282" s="2">
        <v>0</v>
      </c>
      <c r="S282" s="2">
        <v>0</v>
      </c>
      <c r="T282" s="2" t="s">
        <v>146</v>
      </c>
      <c r="U282" s="2">
        <v>25.222000000000001</v>
      </c>
      <c r="V282" s="2">
        <v>0</v>
      </c>
      <c r="W282" s="2">
        <v>0</v>
      </c>
      <c r="X282" s="2">
        <v>0</v>
      </c>
      <c r="Y282" s="2">
        <v>0</v>
      </c>
      <c r="Z282" s="2">
        <v>21.925999999999998</v>
      </c>
      <c r="AA282" s="2" t="s">
        <v>146</v>
      </c>
      <c r="AB282" s="2" t="s">
        <v>49</v>
      </c>
      <c r="AC282" s="2" t="s">
        <v>146</v>
      </c>
      <c r="AD282" s="2" t="s">
        <v>146</v>
      </c>
      <c r="AE282" s="2" t="s">
        <v>146</v>
      </c>
      <c r="AF282" s="2" t="s">
        <v>146</v>
      </c>
      <c r="AG282" s="2" t="s">
        <v>146</v>
      </c>
      <c r="AH282" s="2" t="s">
        <v>146</v>
      </c>
      <c r="AI282" s="2">
        <v>17.611000000000001</v>
      </c>
      <c r="AJ282" s="2" t="s">
        <v>165</v>
      </c>
      <c r="AK282" s="2">
        <v>7.9450000000000003</v>
      </c>
      <c r="AL282" s="2">
        <v>4.8890000000000002</v>
      </c>
      <c r="AM282" s="2">
        <v>4.8470000000000004</v>
      </c>
      <c r="AN282" s="2" t="s">
        <v>176</v>
      </c>
      <c r="AO282" s="2" t="s">
        <v>146</v>
      </c>
      <c r="AP282" s="2" t="s">
        <v>146</v>
      </c>
      <c r="AQ282" s="2" t="s">
        <v>146</v>
      </c>
      <c r="AR282" s="2" t="s">
        <v>146</v>
      </c>
      <c r="AV282" s="2">
        <f t="shared" si="40"/>
        <v>69.647999999999996</v>
      </c>
      <c r="AW282" s="2">
        <f t="shared" si="41"/>
        <v>65.593999999999994</v>
      </c>
      <c r="AX282" s="27">
        <f t="shared" si="42"/>
        <v>0.94179301631059031</v>
      </c>
      <c r="BA282" s="2">
        <f t="shared" si="43"/>
        <v>0</v>
      </c>
      <c r="BB282" s="2">
        <f t="shared" si="44"/>
        <v>0</v>
      </c>
      <c r="BC282" s="2">
        <f t="shared" si="45"/>
        <v>0</v>
      </c>
      <c r="BD282" s="2">
        <f t="shared" si="46"/>
        <v>0</v>
      </c>
      <c r="BE282" s="2">
        <f t="shared" si="47"/>
        <v>0</v>
      </c>
      <c r="BF282" s="2">
        <f t="shared" si="48"/>
        <v>0</v>
      </c>
      <c r="BJ282" s="2" t="str">
        <f t="shared" si="49"/>
        <v/>
      </c>
    </row>
    <row r="283" spans="1:62" ht="15" customHeight="1" x14ac:dyDescent="0.45">
      <c r="A283" s="2" t="s">
        <v>312</v>
      </c>
      <c r="B283" s="2" t="s">
        <v>311</v>
      </c>
      <c r="C283" s="2">
        <v>2019</v>
      </c>
      <c r="D283" s="2" t="s">
        <v>49</v>
      </c>
      <c r="E283" s="2" t="s">
        <v>49</v>
      </c>
      <c r="F283" s="2" t="s">
        <v>49</v>
      </c>
      <c r="G283" s="2" t="s">
        <v>49</v>
      </c>
      <c r="H283" s="2" t="s">
        <v>49</v>
      </c>
      <c r="I283" s="2" t="s">
        <v>49</v>
      </c>
      <c r="J283" s="2" t="s">
        <v>49</v>
      </c>
      <c r="K283" s="2" t="s">
        <v>49</v>
      </c>
      <c r="L283" s="2" t="s">
        <v>49</v>
      </c>
      <c r="M283" s="2" t="s">
        <v>49</v>
      </c>
      <c r="N283" s="2" t="s">
        <v>49</v>
      </c>
      <c r="O283" s="2" t="s">
        <v>49</v>
      </c>
      <c r="P283" s="2" t="s">
        <v>49</v>
      </c>
      <c r="Q283" s="2" t="s">
        <v>49</v>
      </c>
      <c r="R283" s="2" t="s">
        <v>49</v>
      </c>
      <c r="S283" s="2" t="s">
        <v>49</v>
      </c>
      <c r="T283" s="2" t="s">
        <v>49</v>
      </c>
      <c r="U283" s="2" t="s">
        <v>49</v>
      </c>
      <c r="V283" s="2" t="s">
        <v>49</v>
      </c>
      <c r="W283" s="2" t="s">
        <v>49</v>
      </c>
      <c r="X283" s="2" t="s">
        <v>49</v>
      </c>
      <c r="Y283" s="2" t="s">
        <v>49</v>
      </c>
      <c r="Z283" s="2" t="s">
        <v>49</v>
      </c>
      <c r="AA283" s="2" t="s">
        <v>49</v>
      </c>
      <c r="AB283" s="2" t="s">
        <v>49</v>
      </c>
      <c r="AC283" s="2" t="s">
        <v>49</v>
      </c>
      <c r="AD283" s="2" t="s">
        <v>49</v>
      </c>
      <c r="AE283" s="2" t="s">
        <v>49</v>
      </c>
      <c r="AF283" s="2" t="s">
        <v>49</v>
      </c>
      <c r="AG283" s="2" t="s">
        <v>49</v>
      </c>
      <c r="AH283" s="2" t="s">
        <v>49</v>
      </c>
      <c r="AI283" s="2" t="s">
        <v>49</v>
      </c>
      <c r="AJ283" s="2" t="s">
        <v>49</v>
      </c>
      <c r="AK283" s="2" t="s">
        <v>49</v>
      </c>
      <c r="AL283" s="2" t="s">
        <v>49</v>
      </c>
      <c r="AM283" s="2" t="s">
        <v>49</v>
      </c>
      <c r="AN283" s="2" t="s">
        <v>49</v>
      </c>
      <c r="AO283" s="2" t="s">
        <v>49</v>
      </c>
      <c r="AP283" s="2" t="s">
        <v>49</v>
      </c>
      <c r="AQ283" s="2" t="s">
        <v>49</v>
      </c>
      <c r="AR283" s="2" t="s">
        <v>49</v>
      </c>
      <c r="AV283" s="2">
        <f t="shared" si="40"/>
        <v>0</v>
      </c>
      <c r="AW283" s="2">
        <f t="shared" si="41"/>
        <v>0</v>
      </c>
      <c r="AX283" s="27" t="str">
        <f t="shared" si="42"/>
        <v/>
      </c>
      <c r="BA283" s="2">
        <f t="shared" si="43"/>
        <v>0</v>
      </c>
      <c r="BB283" s="2">
        <f t="shared" si="44"/>
        <v>0</v>
      </c>
      <c r="BC283" s="2">
        <f t="shared" si="45"/>
        <v>0</v>
      </c>
      <c r="BD283" s="2">
        <f t="shared" si="46"/>
        <v>0</v>
      </c>
      <c r="BE283" s="2">
        <f t="shared" si="47"/>
        <v>0</v>
      </c>
      <c r="BF283" s="2">
        <f t="shared" si="48"/>
        <v>0</v>
      </c>
      <c r="BJ283" s="2" t="str">
        <f t="shared" si="49"/>
        <v/>
      </c>
    </row>
    <row r="284" spans="1:62" ht="15" customHeight="1" x14ac:dyDescent="0.45">
      <c r="A284" s="2" t="s">
        <v>305</v>
      </c>
      <c r="B284" s="2" t="s">
        <v>310</v>
      </c>
      <c r="C284" s="2">
        <v>2019</v>
      </c>
      <c r="D284" s="2">
        <v>24.858000000000001</v>
      </c>
      <c r="E284" s="2">
        <v>28.535</v>
      </c>
      <c r="F284" s="2" t="s">
        <v>146</v>
      </c>
      <c r="G284" s="2">
        <v>0.39200000000000002</v>
      </c>
      <c r="H284" s="2" t="s">
        <v>146</v>
      </c>
      <c r="I284" s="2">
        <v>3.851</v>
      </c>
      <c r="J284" s="2" t="s">
        <v>146</v>
      </c>
      <c r="K284" s="2" t="s">
        <v>146</v>
      </c>
      <c r="L284" s="2" t="s">
        <v>146</v>
      </c>
      <c r="M284" s="2" t="s">
        <v>49</v>
      </c>
      <c r="N284" s="2" t="s">
        <v>146</v>
      </c>
      <c r="O284" s="2" t="s">
        <v>146</v>
      </c>
      <c r="P284" s="2" t="s">
        <v>146</v>
      </c>
      <c r="Q284" s="2">
        <v>20.599</v>
      </c>
      <c r="R284" s="2" t="s">
        <v>146</v>
      </c>
      <c r="S284" s="2" t="s">
        <v>146</v>
      </c>
      <c r="T284" s="2" t="s">
        <v>146</v>
      </c>
      <c r="U284" s="2" t="s">
        <v>146</v>
      </c>
      <c r="V284" s="2" t="s">
        <v>146</v>
      </c>
      <c r="W284" s="2" t="s">
        <v>146</v>
      </c>
      <c r="X284" s="2" t="s">
        <v>146</v>
      </c>
      <c r="Y284" s="2" t="s">
        <v>146</v>
      </c>
      <c r="Z284" s="2" t="s">
        <v>146</v>
      </c>
      <c r="AA284" s="2" t="s">
        <v>146</v>
      </c>
      <c r="AB284" s="2" t="s">
        <v>146</v>
      </c>
      <c r="AC284" s="2" t="s">
        <v>146</v>
      </c>
      <c r="AD284" s="2" t="s">
        <v>146</v>
      </c>
      <c r="AE284" s="2" t="s">
        <v>155</v>
      </c>
      <c r="AF284" s="2" t="s">
        <v>146</v>
      </c>
      <c r="AG284" s="2" t="s">
        <v>146</v>
      </c>
      <c r="AH284" s="2">
        <v>3.6930000000000001</v>
      </c>
      <c r="AI284" s="2" t="s">
        <v>146</v>
      </c>
      <c r="AJ284" s="2" t="s">
        <v>146</v>
      </c>
      <c r="AK284" s="2" t="s">
        <v>146</v>
      </c>
      <c r="AL284" s="2" t="s">
        <v>146</v>
      </c>
      <c r="AM284" s="2" t="s">
        <v>146</v>
      </c>
      <c r="AN284" s="2" t="s">
        <v>49</v>
      </c>
      <c r="AO284" s="2">
        <v>100</v>
      </c>
      <c r="AP284" s="2" t="s">
        <v>146</v>
      </c>
      <c r="AQ284" s="2" t="s">
        <v>146</v>
      </c>
      <c r="AR284" s="2" t="s">
        <v>146</v>
      </c>
      <c r="AV284" s="2">
        <f t="shared" si="40"/>
        <v>28.535</v>
      </c>
      <c r="AW284" s="2">
        <f t="shared" si="41"/>
        <v>24.858000000000001</v>
      </c>
      <c r="AX284" s="27">
        <f t="shared" si="42"/>
        <v>0.87114070439810765</v>
      </c>
      <c r="BA284" s="2">
        <f t="shared" si="43"/>
        <v>3.6930000000000001</v>
      </c>
      <c r="BB284" s="2">
        <f t="shared" si="44"/>
        <v>3.6930000000000001</v>
      </c>
      <c r="BC284" s="2">
        <f t="shared" si="45"/>
        <v>0</v>
      </c>
      <c r="BD284" s="2">
        <f t="shared" si="46"/>
        <v>0</v>
      </c>
      <c r="BE284" s="2">
        <f t="shared" si="47"/>
        <v>0</v>
      </c>
      <c r="BF284" s="2">
        <f t="shared" si="48"/>
        <v>0</v>
      </c>
      <c r="BJ284" s="2" t="str">
        <f t="shared" si="49"/>
        <v/>
      </c>
    </row>
    <row r="285" spans="1:62" ht="15" customHeight="1" x14ac:dyDescent="0.45">
      <c r="A285" s="2" t="s">
        <v>305</v>
      </c>
      <c r="B285" s="2" t="s">
        <v>309</v>
      </c>
      <c r="C285" s="2">
        <v>2019</v>
      </c>
      <c r="D285" s="2">
        <v>17.588999999999999</v>
      </c>
      <c r="E285" s="2">
        <v>17.599</v>
      </c>
      <c r="F285" s="2" t="s">
        <v>146</v>
      </c>
      <c r="G285" s="2">
        <v>0.39200000000000002</v>
      </c>
      <c r="H285" s="2" t="s">
        <v>146</v>
      </c>
      <c r="I285" s="2" t="s">
        <v>146</v>
      </c>
      <c r="J285" s="2" t="s">
        <v>146</v>
      </c>
      <c r="K285" s="2" t="s">
        <v>146</v>
      </c>
      <c r="L285" s="2" t="s">
        <v>146</v>
      </c>
      <c r="M285" s="2" t="s">
        <v>49</v>
      </c>
      <c r="N285" s="2" t="s">
        <v>146</v>
      </c>
      <c r="O285" s="2" t="s">
        <v>146</v>
      </c>
      <c r="P285" s="2">
        <v>15.272</v>
      </c>
      <c r="Q285" s="2" t="s">
        <v>146</v>
      </c>
      <c r="R285" s="2" t="s">
        <v>146</v>
      </c>
      <c r="S285" s="2" t="s">
        <v>146</v>
      </c>
      <c r="T285" s="2" t="s">
        <v>147</v>
      </c>
      <c r="U285" s="2" t="s">
        <v>146</v>
      </c>
      <c r="V285" s="2" t="s">
        <v>146</v>
      </c>
      <c r="W285" s="2" t="s">
        <v>146</v>
      </c>
      <c r="X285" s="2" t="s">
        <v>146</v>
      </c>
      <c r="Y285" s="2">
        <v>0.36</v>
      </c>
      <c r="Z285" s="2" t="s">
        <v>146</v>
      </c>
      <c r="AA285" s="2" t="s">
        <v>146</v>
      </c>
      <c r="AB285" s="2" t="s">
        <v>146</v>
      </c>
      <c r="AC285" s="2" t="s">
        <v>146</v>
      </c>
      <c r="AD285" s="2" t="s">
        <v>146</v>
      </c>
      <c r="AE285" s="2" t="s">
        <v>160</v>
      </c>
      <c r="AF285" s="2">
        <v>37.299999999999997</v>
      </c>
      <c r="AG285" s="2" t="s">
        <v>146</v>
      </c>
      <c r="AH285" s="2">
        <v>1.575</v>
      </c>
      <c r="AI285" s="2" t="s">
        <v>146</v>
      </c>
      <c r="AJ285" s="2" t="s">
        <v>146</v>
      </c>
      <c r="AK285" s="2" t="s">
        <v>146</v>
      </c>
      <c r="AL285" s="2" t="s">
        <v>146</v>
      </c>
      <c r="AM285" s="2" t="s">
        <v>146</v>
      </c>
      <c r="AN285" s="2" t="s">
        <v>49</v>
      </c>
      <c r="AO285" s="2">
        <v>100</v>
      </c>
      <c r="AP285" s="2" t="s">
        <v>146</v>
      </c>
      <c r="AQ285" s="2" t="s">
        <v>146</v>
      </c>
      <c r="AR285" s="2" t="s">
        <v>146</v>
      </c>
      <c r="AV285" s="2">
        <f t="shared" si="40"/>
        <v>17.599</v>
      </c>
      <c r="AW285" s="2">
        <f t="shared" si="41"/>
        <v>17.588999999999999</v>
      </c>
      <c r="AX285" s="27">
        <f t="shared" si="42"/>
        <v>0.99943178589692583</v>
      </c>
      <c r="BA285" s="2">
        <f t="shared" si="43"/>
        <v>1.575</v>
      </c>
      <c r="BB285" s="2">
        <f t="shared" si="44"/>
        <v>1.575</v>
      </c>
      <c r="BC285" s="2">
        <f t="shared" si="45"/>
        <v>0</v>
      </c>
      <c r="BD285" s="2">
        <f t="shared" si="46"/>
        <v>0</v>
      </c>
      <c r="BE285" s="2">
        <f t="shared" si="47"/>
        <v>0</v>
      </c>
      <c r="BF285" s="2">
        <f t="shared" si="48"/>
        <v>0</v>
      </c>
      <c r="BJ285" s="2" t="str">
        <f t="shared" si="49"/>
        <v/>
      </c>
    </row>
    <row r="286" spans="1:62" ht="15" customHeight="1" x14ac:dyDescent="0.45">
      <c r="A286" s="2" t="s">
        <v>305</v>
      </c>
      <c r="B286" s="2" t="s">
        <v>308</v>
      </c>
      <c r="C286" s="2">
        <v>2019</v>
      </c>
      <c r="D286" s="2">
        <v>118.71899999999999</v>
      </c>
      <c r="E286" s="2">
        <v>139.33699999999999</v>
      </c>
      <c r="F286" s="2" t="s">
        <v>146</v>
      </c>
      <c r="G286" s="2">
        <v>1.2250000000000001</v>
      </c>
      <c r="H286" s="2" t="s">
        <v>146</v>
      </c>
      <c r="I286" s="2">
        <v>1.151</v>
      </c>
      <c r="J286" s="2" t="s">
        <v>146</v>
      </c>
      <c r="K286" s="2" t="s">
        <v>146</v>
      </c>
      <c r="L286" s="2" t="s">
        <v>146</v>
      </c>
      <c r="M286" s="2" t="s">
        <v>49</v>
      </c>
      <c r="N286" s="2" t="s">
        <v>146</v>
      </c>
      <c r="O286" s="2" t="s">
        <v>146</v>
      </c>
      <c r="P286" s="2" t="s">
        <v>146</v>
      </c>
      <c r="Q286" s="2" t="s">
        <v>146</v>
      </c>
      <c r="R286" s="2" t="s">
        <v>146</v>
      </c>
      <c r="S286" s="2">
        <v>0.59099999999999997</v>
      </c>
      <c r="T286" s="2" t="s">
        <v>146</v>
      </c>
      <c r="U286" s="2" t="s">
        <v>146</v>
      </c>
      <c r="V286" s="2" t="s">
        <v>146</v>
      </c>
      <c r="W286" s="2" t="s">
        <v>146</v>
      </c>
      <c r="X286" s="2" t="s">
        <v>146</v>
      </c>
      <c r="Y286" s="2">
        <v>1.998</v>
      </c>
      <c r="Z286" s="2" t="s">
        <v>146</v>
      </c>
      <c r="AA286" s="2" t="s">
        <v>146</v>
      </c>
      <c r="AB286" s="2" t="s">
        <v>146</v>
      </c>
      <c r="AC286" s="2">
        <v>131.108</v>
      </c>
      <c r="AD286" s="2" t="s">
        <v>146</v>
      </c>
      <c r="AE286" s="2" t="s">
        <v>155</v>
      </c>
      <c r="AF286" s="2" t="s">
        <v>146</v>
      </c>
      <c r="AG286" s="2" t="s">
        <v>146</v>
      </c>
      <c r="AH286" s="2" t="s">
        <v>146</v>
      </c>
      <c r="AI286" s="2" t="s">
        <v>146</v>
      </c>
      <c r="AJ286" s="2" t="s">
        <v>146</v>
      </c>
      <c r="AK286" s="2" t="s">
        <v>146</v>
      </c>
      <c r="AL286" s="2">
        <v>3.2639999999999998</v>
      </c>
      <c r="AM286" s="2">
        <v>3.2970000000000002</v>
      </c>
      <c r="AN286" s="2" t="s">
        <v>49</v>
      </c>
      <c r="AO286" s="2" t="s">
        <v>146</v>
      </c>
      <c r="AP286" s="2" t="s">
        <v>146</v>
      </c>
      <c r="AQ286" s="2" t="s">
        <v>146</v>
      </c>
      <c r="AR286" s="2" t="s">
        <v>146</v>
      </c>
      <c r="AV286" s="2">
        <f t="shared" si="40"/>
        <v>139.33700000000002</v>
      </c>
      <c r="AW286" s="2">
        <f t="shared" si="41"/>
        <v>118.71899999999999</v>
      </c>
      <c r="AX286" s="27">
        <f t="shared" si="42"/>
        <v>0.85202781744977985</v>
      </c>
      <c r="BA286" s="2">
        <f t="shared" si="43"/>
        <v>0</v>
      </c>
      <c r="BB286" s="2">
        <f t="shared" si="44"/>
        <v>0</v>
      </c>
      <c r="BC286" s="2">
        <f t="shared" si="45"/>
        <v>0</v>
      </c>
      <c r="BD286" s="2">
        <f t="shared" si="46"/>
        <v>0</v>
      </c>
      <c r="BE286" s="2">
        <f t="shared" si="47"/>
        <v>0</v>
      </c>
      <c r="BF286" s="2">
        <f t="shared" si="48"/>
        <v>0</v>
      </c>
      <c r="BJ286" s="2" t="str">
        <f t="shared" si="49"/>
        <v/>
      </c>
    </row>
    <row r="287" spans="1:62" ht="15" customHeight="1" x14ac:dyDescent="0.45">
      <c r="A287" s="2" t="s">
        <v>305</v>
      </c>
      <c r="B287" s="2" t="s">
        <v>307</v>
      </c>
      <c r="C287" s="2">
        <v>2019</v>
      </c>
      <c r="D287" s="2" t="s">
        <v>49</v>
      </c>
      <c r="E287" s="2" t="s">
        <v>49</v>
      </c>
      <c r="F287" s="2" t="s">
        <v>49</v>
      </c>
      <c r="G287" s="2" t="s">
        <v>49</v>
      </c>
      <c r="H287" s="2" t="s">
        <v>49</v>
      </c>
      <c r="I287" s="2" t="s">
        <v>49</v>
      </c>
      <c r="J287" s="2" t="s">
        <v>49</v>
      </c>
      <c r="K287" s="2" t="s">
        <v>49</v>
      </c>
      <c r="L287" s="2" t="s">
        <v>49</v>
      </c>
      <c r="M287" s="2" t="s">
        <v>49</v>
      </c>
      <c r="N287" s="2" t="s">
        <v>49</v>
      </c>
      <c r="O287" s="2" t="s">
        <v>49</v>
      </c>
      <c r="P287" s="2" t="s">
        <v>49</v>
      </c>
      <c r="Q287" s="2" t="s">
        <v>49</v>
      </c>
      <c r="R287" s="2" t="s">
        <v>49</v>
      </c>
      <c r="S287" s="2" t="s">
        <v>49</v>
      </c>
      <c r="T287" s="2" t="s">
        <v>49</v>
      </c>
      <c r="U287" s="2" t="s">
        <v>49</v>
      </c>
      <c r="V287" s="2" t="s">
        <v>49</v>
      </c>
      <c r="W287" s="2" t="s">
        <v>49</v>
      </c>
      <c r="X287" s="2" t="s">
        <v>49</v>
      </c>
      <c r="Y287" s="2" t="s">
        <v>49</v>
      </c>
      <c r="Z287" s="2" t="s">
        <v>49</v>
      </c>
      <c r="AA287" s="2" t="s">
        <v>49</v>
      </c>
      <c r="AB287" s="2" t="s">
        <v>49</v>
      </c>
      <c r="AC287" s="2" t="s">
        <v>49</v>
      </c>
      <c r="AD287" s="2" t="s">
        <v>49</v>
      </c>
      <c r="AE287" s="2" t="s">
        <v>49</v>
      </c>
      <c r="AF287" s="2" t="s">
        <v>49</v>
      </c>
      <c r="AG287" s="2" t="s">
        <v>49</v>
      </c>
      <c r="AH287" s="2" t="s">
        <v>49</v>
      </c>
      <c r="AI287" s="2" t="s">
        <v>49</v>
      </c>
      <c r="AJ287" s="2" t="s">
        <v>49</v>
      </c>
      <c r="AK287" s="2" t="s">
        <v>49</v>
      </c>
      <c r="AL287" s="2" t="s">
        <v>49</v>
      </c>
      <c r="AM287" s="2" t="s">
        <v>49</v>
      </c>
      <c r="AN287" s="2" t="s">
        <v>49</v>
      </c>
      <c r="AO287" s="2" t="s">
        <v>49</v>
      </c>
      <c r="AP287" s="2" t="s">
        <v>49</v>
      </c>
      <c r="AQ287" s="2" t="s">
        <v>49</v>
      </c>
      <c r="AR287" s="2" t="s">
        <v>49</v>
      </c>
      <c r="AV287" s="2">
        <f t="shared" si="40"/>
        <v>0</v>
      </c>
      <c r="AW287" s="2">
        <f t="shared" si="41"/>
        <v>0</v>
      </c>
      <c r="AX287" s="27" t="str">
        <f t="shared" si="42"/>
        <v/>
      </c>
      <c r="BA287" s="2">
        <f t="shared" si="43"/>
        <v>0</v>
      </c>
      <c r="BB287" s="2">
        <f t="shared" si="44"/>
        <v>0</v>
      </c>
      <c r="BC287" s="2">
        <f t="shared" si="45"/>
        <v>0</v>
      </c>
      <c r="BD287" s="2">
        <f t="shared" si="46"/>
        <v>0</v>
      </c>
      <c r="BE287" s="2">
        <f t="shared" si="47"/>
        <v>0</v>
      </c>
      <c r="BF287" s="2">
        <f t="shared" si="48"/>
        <v>0</v>
      </c>
      <c r="BJ287" s="2" t="str">
        <f t="shared" si="49"/>
        <v/>
      </c>
    </row>
    <row r="288" spans="1:62" ht="15" customHeight="1" x14ac:dyDescent="0.45">
      <c r="A288" s="2" t="s">
        <v>305</v>
      </c>
      <c r="B288" s="2" t="s">
        <v>306</v>
      </c>
      <c r="C288" s="2">
        <v>2019</v>
      </c>
      <c r="D288" s="2">
        <v>104</v>
      </c>
      <c r="E288" s="2">
        <v>131.91300000000001</v>
      </c>
      <c r="F288" s="2" t="s">
        <v>146</v>
      </c>
      <c r="G288" s="2">
        <v>0.184</v>
      </c>
      <c r="H288" s="2" t="s">
        <v>146</v>
      </c>
      <c r="I288" s="2">
        <v>1.1180000000000001</v>
      </c>
      <c r="J288" s="2" t="s">
        <v>146</v>
      </c>
      <c r="K288" s="2" t="s">
        <v>146</v>
      </c>
      <c r="L288" s="2" t="s">
        <v>146</v>
      </c>
      <c r="M288" s="2" t="s">
        <v>49</v>
      </c>
      <c r="N288" s="2" t="s">
        <v>146</v>
      </c>
      <c r="O288" s="2" t="s">
        <v>146</v>
      </c>
      <c r="P288" s="2" t="s">
        <v>146</v>
      </c>
      <c r="Q288" s="2" t="s">
        <v>146</v>
      </c>
      <c r="R288" s="2" t="s">
        <v>146</v>
      </c>
      <c r="S288" s="2" t="s">
        <v>146</v>
      </c>
      <c r="T288" s="2" t="s">
        <v>146</v>
      </c>
      <c r="U288" s="2" t="s">
        <v>146</v>
      </c>
      <c r="V288" s="2" t="s">
        <v>146</v>
      </c>
      <c r="W288" s="2" t="s">
        <v>146</v>
      </c>
      <c r="X288" s="2" t="s">
        <v>146</v>
      </c>
      <c r="Y288" s="2" t="s">
        <v>146</v>
      </c>
      <c r="Z288" s="2" t="s">
        <v>146</v>
      </c>
      <c r="AA288" s="2">
        <v>7.2999999999999995E-2</v>
      </c>
      <c r="AB288" s="2" t="s">
        <v>146</v>
      </c>
      <c r="AC288" s="2">
        <v>98.436999999999998</v>
      </c>
      <c r="AD288" s="2" t="s">
        <v>146</v>
      </c>
      <c r="AE288" s="2" t="s">
        <v>160</v>
      </c>
      <c r="AF288" s="2">
        <v>37.299999999999997</v>
      </c>
      <c r="AG288" s="2" t="s">
        <v>146</v>
      </c>
      <c r="AH288" s="2" t="s">
        <v>146</v>
      </c>
      <c r="AI288" s="2" t="s">
        <v>146</v>
      </c>
      <c r="AJ288" s="2" t="s">
        <v>146</v>
      </c>
      <c r="AK288" s="2" t="s">
        <v>146</v>
      </c>
      <c r="AL288" s="2">
        <v>32.100999999999999</v>
      </c>
      <c r="AM288" s="2">
        <v>32.424999999999997</v>
      </c>
      <c r="AN288" s="2" t="s">
        <v>49</v>
      </c>
      <c r="AO288" s="2" t="s">
        <v>146</v>
      </c>
      <c r="AP288" s="2" t="s">
        <v>146</v>
      </c>
      <c r="AQ288" s="2" t="s">
        <v>146</v>
      </c>
      <c r="AR288" s="2" t="s">
        <v>146</v>
      </c>
      <c r="AV288" s="2">
        <f t="shared" si="40"/>
        <v>131.91300000000001</v>
      </c>
      <c r="AW288" s="2">
        <f t="shared" si="41"/>
        <v>104</v>
      </c>
      <c r="AX288" s="27">
        <f t="shared" si="42"/>
        <v>0.78839841410626699</v>
      </c>
      <c r="BA288" s="2">
        <f t="shared" si="43"/>
        <v>0</v>
      </c>
      <c r="BB288" s="2">
        <f t="shared" si="44"/>
        <v>0</v>
      </c>
      <c r="BC288" s="2">
        <f t="shared" si="45"/>
        <v>0</v>
      </c>
      <c r="BD288" s="2">
        <f t="shared" si="46"/>
        <v>0</v>
      </c>
      <c r="BE288" s="2">
        <f t="shared" si="47"/>
        <v>0</v>
      </c>
      <c r="BF288" s="2">
        <f t="shared" si="48"/>
        <v>0</v>
      </c>
      <c r="BJ288" s="2" t="str">
        <f t="shared" si="49"/>
        <v/>
      </c>
    </row>
    <row r="289" spans="1:62" ht="15" customHeight="1" x14ac:dyDescent="0.45">
      <c r="A289" s="2" t="s">
        <v>305</v>
      </c>
      <c r="B289" s="2" t="s">
        <v>304</v>
      </c>
      <c r="C289" s="2">
        <v>2019</v>
      </c>
      <c r="D289" s="2">
        <v>7.532</v>
      </c>
      <c r="E289" s="2">
        <v>8.7439999999999998</v>
      </c>
      <c r="F289" s="2" t="s">
        <v>146</v>
      </c>
      <c r="G289" s="2">
        <v>0.754</v>
      </c>
      <c r="H289" s="2" t="s">
        <v>146</v>
      </c>
      <c r="I289" s="2" t="s">
        <v>146</v>
      </c>
      <c r="J289" s="2" t="s">
        <v>146</v>
      </c>
      <c r="K289" s="2" t="s">
        <v>146</v>
      </c>
      <c r="L289" s="2" t="s">
        <v>146</v>
      </c>
      <c r="M289" s="2" t="s">
        <v>49</v>
      </c>
      <c r="N289" s="2" t="s">
        <v>146</v>
      </c>
      <c r="O289" s="2" t="s">
        <v>146</v>
      </c>
      <c r="P289" s="2" t="s">
        <v>146</v>
      </c>
      <c r="Q289" s="2" t="s">
        <v>146</v>
      </c>
      <c r="R289" s="2" t="s">
        <v>146</v>
      </c>
      <c r="S289" s="2" t="s">
        <v>146</v>
      </c>
      <c r="T289" s="2" t="s">
        <v>146</v>
      </c>
      <c r="U289" s="2">
        <v>7.99</v>
      </c>
      <c r="V289" s="2" t="s">
        <v>146</v>
      </c>
      <c r="W289" s="2" t="s">
        <v>146</v>
      </c>
      <c r="X289" s="2" t="s">
        <v>146</v>
      </c>
      <c r="Y289" s="2" t="s">
        <v>146</v>
      </c>
      <c r="Z289" s="2" t="s">
        <v>146</v>
      </c>
      <c r="AA289" s="2" t="s">
        <v>146</v>
      </c>
      <c r="AB289" s="2" t="s">
        <v>146</v>
      </c>
      <c r="AC289" s="2" t="s">
        <v>146</v>
      </c>
      <c r="AD289" s="2" t="s">
        <v>146</v>
      </c>
      <c r="AE289" s="2" t="s">
        <v>160</v>
      </c>
      <c r="AF289" s="2">
        <v>37.299999999999997</v>
      </c>
      <c r="AG289" s="2" t="s">
        <v>146</v>
      </c>
      <c r="AH289" s="2" t="s">
        <v>146</v>
      </c>
      <c r="AI289" s="2" t="s">
        <v>146</v>
      </c>
      <c r="AJ289" s="2" t="s">
        <v>146</v>
      </c>
      <c r="AK289" s="2" t="s">
        <v>146</v>
      </c>
      <c r="AL289" s="2" t="s">
        <v>146</v>
      </c>
      <c r="AM289" s="2" t="s">
        <v>146</v>
      </c>
      <c r="AN289" s="2" t="s">
        <v>49</v>
      </c>
      <c r="AO289" s="2" t="s">
        <v>146</v>
      </c>
      <c r="AP289" s="2" t="s">
        <v>146</v>
      </c>
      <c r="AQ289" s="2" t="s">
        <v>146</v>
      </c>
      <c r="AR289" s="2" t="s">
        <v>146</v>
      </c>
      <c r="AV289" s="2">
        <f t="shared" si="40"/>
        <v>8.7439999999999998</v>
      </c>
      <c r="AW289" s="2">
        <f t="shared" si="41"/>
        <v>7.532</v>
      </c>
      <c r="AX289" s="27">
        <f t="shared" si="42"/>
        <v>0.86139066788655083</v>
      </c>
      <c r="BA289" s="2">
        <f t="shared" si="43"/>
        <v>0</v>
      </c>
      <c r="BB289" s="2">
        <f t="shared" si="44"/>
        <v>0</v>
      </c>
      <c r="BC289" s="2">
        <f t="shared" si="45"/>
        <v>0</v>
      </c>
      <c r="BD289" s="2">
        <f t="shared" si="46"/>
        <v>0</v>
      </c>
      <c r="BE289" s="2">
        <f t="shared" si="47"/>
        <v>0</v>
      </c>
      <c r="BF289" s="2">
        <f t="shared" si="48"/>
        <v>0</v>
      </c>
      <c r="BJ289" s="2" t="str">
        <f t="shared" si="49"/>
        <v/>
      </c>
    </row>
    <row r="290" spans="1:62" ht="15" customHeight="1" x14ac:dyDescent="0.45">
      <c r="A290" s="2" t="s">
        <v>303</v>
      </c>
      <c r="B290" s="2" t="s">
        <v>35</v>
      </c>
      <c r="C290" s="2">
        <v>2019</v>
      </c>
      <c r="D290" s="2" t="s">
        <v>49</v>
      </c>
      <c r="E290" s="2" t="s">
        <v>49</v>
      </c>
      <c r="F290" s="2" t="s">
        <v>49</v>
      </c>
      <c r="G290" s="2" t="s">
        <v>49</v>
      </c>
      <c r="H290" s="2" t="s">
        <v>49</v>
      </c>
      <c r="I290" s="2" t="s">
        <v>49</v>
      </c>
      <c r="J290" s="2" t="s">
        <v>49</v>
      </c>
      <c r="K290" s="2" t="s">
        <v>49</v>
      </c>
      <c r="L290" s="2" t="s">
        <v>49</v>
      </c>
      <c r="M290" s="2" t="s">
        <v>49</v>
      </c>
      <c r="N290" s="2" t="s">
        <v>49</v>
      </c>
      <c r="O290" s="2" t="s">
        <v>49</v>
      </c>
      <c r="P290" s="2" t="s">
        <v>49</v>
      </c>
      <c r="Q290" s="2" t="s">
        <v>49</v>
      </c>
      <c r="R290" s="2" t="s">
        <v>49</v>
      </c>
      <c r="S290" s="2" t="s">
        <v>49</v>
      </c>
      <c r="T290" s="2" t="s">
        <v>49</v>
      </c>
      <c r="U290" s="2" t="s">
        <v>49</v>
      </c>
      <c r="V290" s="2" t="s">
        <v>49</v>
      </c>
      <c r="W290" s="2" t="s">
        <v>49</v>
      </c>
      <c r="X290" s="2" t="s">
        <v>49</v>
      </c>
      <c r="Y290" s="2" t="s">
        <v>49</v>
      </c>
      <c r="Z290" s="2" t="s">
        <v>49</v>
      </c>
      <c r="AA290" s="2" t="s">
        <v>49</v>
      </c>
      <c r="AB290" s="2" t="s">
        <v>49</v>
      </c>
      <c r="AC290" s="2" t="s">
        <v>49</v>
      </c>
      <c r="AD290" s="2" t="s">
        <v>49</v>
      </c>
      <c r="AE290" s="2" t="s">
        <v>49</v>
      </c>
      <c r="AF290" s="2" t="s">
        <v>49</v>
      </c>
      <c r="AG290" s="2" t="s">
        <v>49</v>
      </c>
      <c r="AH290" s="2" t="s">
        <v>49</v>
      </c>
      <c r="AI290" s="2" t="s">
        <v>49</v>
      </c>
      <c r="AJ290" s="2" t="s">
        <v>49</v>
      </c>
      <c r="AK290" s="2" t="s">
        <v>49</v>
      </c>
      <c r="AL290" s="2" t="s">
        <v>49</v>
      </c>
      <c r="AM290" s="2" t="s">
        <v>49</v>
      </c>
      <c r="AN290" s="2" t="s">
        <v>49</v>
      </c>
      <c r="AO290" s="2" t="s">
        <v>49</v>
      </c>
      <c r="AP290" s="2" t="s">
        <v>49</v>
      </c>
      <c r="AQ290" s="2" t="s">
        <v>49</v>
      </c>
      <c r="AR290" s="2" t="s">
        <v>49</v>
      </c>
      <c r="AV290" s="2">
        <f t="shared" si="40"/>
        <v>0</v>
      </c>
      <c r="AW290" s="2">
        <f t="shared" si="41"/>
        <v>0</v>
      </c>
      <c r="AX290" s="27" t="str">
        <f t="shared" si="42"/>
        <v/>
      </c>
      <c r="BA290" s="2">
        <f t="shared" si="43"/>
        <v>0</v>
      </c>
      <c r="BB290" s="2">
        <f t="shared" si="44"/>
        <v>0</v>
      </c>
      <c r="BC290" s="2">
        <f t="shared" si="45"/>
        <v>0</v>
      </c>
      <c r="BD290" s="2">
        <f t="shared" si="46"/>
        <v>0</v>
      </c>
      <c r="BE290" s="2">
        <f t="shared" si="47"/>
        <v>0</v>
      </c>
      <c r="BF290" s="2">
        <f t="shared" si="48"/>
        <v>0</v>
      </c>
      <c r="BJ290" s="2" t="str">
        <f t="shared" si="49"/>
        <v/>
      </c>
    </row>
    <row r="291" spans="1:62" ht="15" customHeight="1" x14ac:dyDescent="0.45">
      <c r="A291" s="2" t="s">
        <v>299</v>
      </c>
      <c r="B291" s="2" t="s">
        <v>302</v>
      </c>
      <c r="C291" s="2">
        <v>2019</v>
      </c>
      <c r="D291" s="2">
        <v>1.4450000000000001</v>
      </c>
      <c r="E291" s="2">
        <v>1.542</v>
      </c>
      <c r="F291" s="2" t="s">
        <v>146</v>
      </c>
      <c r="G291" s="2">
        <v>0.14199999999999999</v>
      </c>
      <c r="H291" s="2" t="s">
        <v>146</v>
      </c>
      <c r="I291" s="2" t="s">
        <v>146</v>
      </c>
      <c r="J291" s="2" t="s">
        <v>146</v>
      </c>
      <c r="K291" s="2" t="s">
        <v>146</v>
      </c>
      <c r="L291" s="2" t="s">
        <v>146</v>
      </c>
      <c r="M291" s="2" t="s">
        <v>49</v>
      </c>
      <c r="N291" s="2" t="s">
        <v>146</v>
      </c>
      <c r="O291" s="2" t="s">
        <v>146</v>
      </c>
      <c r="P291" s="2" t="s">
        <v>146</v>
      </c>
      <c r="Q291" s="2" t="s">
        <v>146</v>
      </c>
      <c r="R291" s="2" t="s">
        <v>146</v>
      </c>
      <c r="S291" s="2" t="s">
        <v>146</v>
      </c>
      <c r="T291" s="2" t="s">
        <v>146</v>
      </c>
      <c r="U291" s="2" t="s">
        <v>146</v>
      </c>
      <c r="V291" s="2" t="s">
        <v>146</v>
      </c>
      <c r="W291" s="2" t="s">
        <v>146</v>
      </c>
      <c r="X291" s="2" t="s">
        <v>146</v>
      </c>
      <c r="Y291" s="2" t="s">
        <v>146</v>
      </c>
      <c r="Z291" s="2">
        <v>1.4</v>
      </c>
      <c r="AA291" s="2" t="s">
        <v>146</v>
      </c>
      <c r="AB291" s="2" t="s">
        <v>146</v>
      </c>
      <c r="AC291" s="2" t="s">
        <v>146</v>
      </c>
      <c r="AD291" s="2" t="s">
        <v>146</v>
      </c>
      <c r="AE291" s="2" t="s">
        <v>146</v>
      </c>
      <c r="AF291" s="2" t="s">
        <v>146</v>
      </c>
      <c r="AG291" s="2" t="s">
        <v>146</v>
      </c>
      <c r="AH291" s="2" t="s">
        <v>146</v>
      </c>
      <c r="AI291" s="2" t="s">
        <v>146</v>
      </c>
      <c r="AJ291" s="2" t="s">
        <v>146</v>
      </c>
      <c r="AK291" s="2" t="s">
        <v>146</v>
      </c>
      <c r="AL291" s="2" t="s">
        <v>146</v>
      </c>
      <c r="AM291" s="2" t="s">
        <v>146</v>
      </c>
      <c r="AN291" s="2" t="s">
        <v>49</v>
      </c>
      <c r="AO291" s="2" t="s">
        <v>146</v>
      </c>
      <c r="AP291" s="2" t="s">
        <v>146</v>
      </c>
      <c r="AQ291" s="2" t="s">
        <v>146</v>
      </c>
      <c r="AR291" s="2" t="s">
        <v>146</v>
      </c>
      <c r="AV291" s="2">
        <f t="shared" si="40"/>
        <v>1.5419999999999998</v>
      </c>
      <c r="AW291" s="2">
        <f t="shared" si="41"/>
        <v>1.4450000000000001</v>
      </c>
      <c r="AX291" s="27">
        <f t="shared" si="42"/>
        <v>0.93709468223086911</v>
      </c>
      <c r="BA291" s="2">
        <f t="shared" si="43"/>
        <v>0</v>
      </c>
      <c r="BB291" s="2">
        <f t="shared" si="44"/>
        <v>0</v>
      </c>
      <c r="BC291" s="2">
        <f t="shared" si="45"/>
        <v>0</v>
      </c>
      <c r="BD291" s="2">
        <f t="shared" si="46"/>
        <v>0</v>
      </c>
      <c r="BE291" s="2">
        <f t="shared" si="47"/>
        <v>0</v>
      </c>
      <c r="BF291" s="2">
        <f t="shared" si="48"/>
        <v>0</v>
      </c>
      <c r="BJ291" s="2" t="str">
        <f t="shared" si="49"/>
        <v/>
      </c>
    </row>
    <row r="292" spans="1:62" ht="15" customHeight="1" x14ac:dyDescent="0.45">
      <c r="A292" s="2" t="s">
        <v>299</v>
      </c>
      <c r="B292" s="2" t="s">
        <v>301</v>
      </c>
      <c r="C292" s="2">
        <v>2019</v>
      </c>
      <c r="D292" s="2" t="s">
        <v>146</v>
      </c>
      <c r="E292" s="2" t="s">
        <v>146</v>
      </c>
      <c r="F292" s="2" t="s">
        <v>146</v>
      </c>
      <c r="G292" s="2" t="s">
        <v>146</v>
      </c>
      <c r="H292" s="2" t="s">
        <v>146</v>
      </c>
      <c r="I292" s="2" t="s">
        <v>146</v>
      </c>
      <c r="J292" s="2" t="s">
        <v>146</v>
      </c>
      <c r="K292" s="2" t="s">
        <v>146</v>
      </c>
      <c r="L292" s="2" t="s">
        <v>146</v>
      </c>
      <c r="M292" s="2" t="s">
        <v>49</v>
      </c>
      <c r="N292" s="2" t="s">
        <v>146</v>
      </c>
      <c r="O292" s="2" t="s">
        <v>146</v>
      </c>
      <c r="P292" s="2" t="s">
        <v>146</v>
      </c>
      <c r="Q292" s="2" t="s">
        <v>146</v>
      </c>
      <c r="R292" s="2" t="s">
        <v>146</v>
      </c>
      <c r="S292" s="2" t="s">
        <v>146</v>
      </c>
      <c r="T292" s="2" t="s">
        <v>146</v>
      </c>
      <c r="U292" s="2" t="s">
        <v>146</v>
      </c>
      <c r="V292" s="2" t="s">
        <v>146</v>
      </c>
      <c r="W292" s="2" t="s">
        <v>146</v>
      </c>
      <c r="X292" s="2" t="s">
        <v>146</v>
      </c>
      <c r="Y292" s="2" t="s">
        <v>146</v>
      </c>
      <c r="Z292" s="2" t="s">
        <v>146</v>
      </c>
      <c r="AA292" s="2" t="s">
        <v>146</v>
      </c>
      <c r="AB292" s="2" t="s">
        <v>146</v>
      </c>
      <c r="AC292" s="2" t="s">
        <v>146</v>
      </c>
      <c r="AD292" s="2" t="s">
        <v>146</v>
      </c>
      <c r="AE292" s="2" t="s">
        <v>146</v>
      </c>
      <c r="AF292" s="2" t="s">
        <v>146</v>
      </c>
      <c r="AG292" s="2" t="s">
        <v>146</v>
      </c>
      <c r="AH292" s="2" t="s">
        <v>146</v>
      </c>
      <c r="AI292" s="2" t="s">
        <v>146</v>
      </c>
      <c r="AJ292" s="2" t="s">
        <v>146</v>
      </c>
      <c r="AK292" s="2" t="s">
        <v>146</v>
      </c>
      <c r="AL292" s="2" t="s">
        <v>146</v>
      </c>
      <c r="AM292" s="2" t="s">
        <v>146</v>
      </c>
      <c r="AN292" s="2" t="s">
        <v>49</v>
      </c>
      <c r="AO292" s="2" t="s">
        <v>146</v>
      </c>
      <c r="AP292" s="2" t="s">
        <v>146</v>
      </c>
      <c r="AQ292" s="2" t="s">
        <v>146</v>
      </c>
      <c r="AR292" s="2" t="s">
        <v>146</v>
      </c>
      <c r="AV292" s="2">
        <f t="shared" si="40"/>
        <v>0</v>
      </c>
      <c r="AW292" s="2">
        <f t="shared" si="41"/>
        <v>0</v>
      </c>
      <c r="AX292" s="27" t="str">
        <f t="shared" si="42"/>
        <v/>
      </c>
      <c r="BA292" s="2">
        <f t="shared" si="43"/>
        <v>0</v>
      </c>
      <c r="BB292" s="2">
        <f t="shared" si="44"/>
        <v>0</v>
      </c>
      <c r="BC292" s="2">
        <f t="shared" si="45"/>
        <v>0</v>
      </c>
      <c r="BD292" s="2">
        <f t="shared" si="46"/>
        <v>0</v>
      </c>
      <c r="BE292" s="2">
        <f t="shared" si="47"/>
        <v>0</v>
      </c>
      <c r="BF292" s="2">
        <f t="shared" si="48"/>
        <v>0</v>
      </c>
      <c r="BJ292" s="2" t="str">
        <f t="shared" si="49"/>
        <v/>
      </c>
    </row>
    <row r="293" spans="1:62" ht="15" customHeight="1" x14ac:dyDescent="0.45">
      <c r="A293" s="2" t="s">
        <v>299</v>
      </c>
      <c r="B293" s="2" t="s">
        <v>300</v>
      </c>
      <c r="C293" s="2">
        <v>2019</v>
      </c>
      <c r="D293" s="2">
        <v>3.609</v>
      </c>
      <c r="E293" s="2">
        <v>3.9929999999999999</v>
      </c>
      <c r="F293" s="2" t="s">
        <v>146</v>
      </c>
      <c r="G293" s="2">
        <v>5.5E-2</v>
      </c>
      <c r="H293" s="2" t="s">
        <v>146</v>
      </c>
      <c r="I293" s="2" t="s">
        <v>146</v>
      </c>
      <c r="J293" s="2" t="s">
        <v>146</v>
      </c>
      <c r="K293" s="2" t="s">
        <v>146</v>
      </c>
      <c r="L293" s="2" t="s">
        <v>146</v>
      </c>
      <c r="M293" s="2" t="s">
        <v>49</v>
      </c>
      <c r="N293" s="2" t="s">
        <v>146</v>
      </c>
      <c r="O293" s="2" t="s">
        <v>146</v>
      </c>
      <c r="P293" s="2" t="s">
        <v>146</v>
      </c>
      <c r="Q293" s="2" t="s">
        <v>146</v>
      </c>
      <c r="R293" s="2" t="s">
        <v>146</v>
      </c>
      <c r="S293" s="2" t="s">
        <v>146</v>
      </c>
      <c r="T293" s="2" t="s">
        <v>146</v>
      </c>
      <c r="U293" s="2">
        <v>3.9380000000000002</v>
      </c>
      <c r="V293" s="2" t="s">
        <v>146</v>
      </c>
      <c r="W293" s="2" t="s">
        <v>146</v>
      </c>
      <c r="X293" s="2" t="s">
        <v>146</v>
      </c>
      <c r="Y293" s="2" t="s">
        <v>146</v>
      </c>
      <c r="Z293" s="2" t="s">
        <v>146</v>
      </c>
      <c r="AA293" s="2" t="s">
        <v>146</v>
      </c>
      <c r="AB293" s="2" t="s">
        <v>146</v>
      </c>
      <c r="AC293" s="2" t="s">
        <v>146</v>
      </c>
      <c r="AD293" s="2" t="s">
        <v>146</v>
      </c>
      <c r="AE293" s="2" t="s">
        <v>146</v>
      </c>
      <c r="AF293" s="2" t="s">
        <v>146</v>
      </c>
      <c r="AG293" s="2" t="s">
        <v>146</v>
      </c>
      <c r="AH293" s="2" t="s">
        <v>146</v>
      </c>
      <c r="AI293" s="2" t="s">
        <v>146</v>
      </c>
      <c r="AJ293" s="2" t="s">
        <v>146</v>
      </c>
      <c r="AK293" s="2" t="s">
        <v>146</v>
      </c>
      <c r="AL293" s="2" t="s">
        <v>146</v>
      </c>
      <c r="AM293" s="2" t="s">
        <v>146</v>
      </c>
      <c r="AN293" s="2" t="s">
        <v>49</v>
      </c>
      <c r="AO293" s="2" t="s">
        <v>146</v>
      </c>
      <c r="AP293" s="2" t="s">
        <v>146</v>
      </c>
      <c r="AQ293" s="2" t="s">
        <v>146</v>
      </c>
      <c r="AR293" s="2" t="s">
        <v>146</v>
      </c>
      <c r="AV293" s="2">
        <f t="shared" si="40"/>
        <v>3.9930000000000003</v>
      </c>
      <c r="AW293" s="2">
        <f t="shared" si="41"/>
        <v>3.609</v>
      </c>
      <c r="AX293" s="27">
        <f t="shared" si="42"/>
        <v>0.90383170548459801</v>
      </c>
      <c r="BA293" s="2">
        <f t="shared" si="43"/>
        <v>0</v>
      </c>
      <c r="BB293" s="2">
        <f t="shared" si="44"/>
        <v>0</v>
      </c>
      <c r="BC293" s="2">
        <f t="shared" si="45"/>
        <v>0</v>
      </c>
      <c r="BD293" s="2">
        <f t="shared" si="46"/>
        <v>0</v>
      </c>
      <c r="BE293" s="2">
        <f t="shared" si="47"/>
        <v>0</v>
      </c>
      <c r="BF293" s="2">
        <f t="shared" si="48"/>
        <v>0</v>
      </c>
      <c r="BJ293" s="2" t="str">
        <f t="shared" si="49"/>
        <v/>
      </c>
    </row>
    <row r="294" spans="1:62" ht="15" customHeight="1" x14ac:dyDescent="0.45">
      <c r="A294" s="2" t="s">
        <v>299</v>
      </c>
      <c r="B294" s="2" t="s">
        <v>298</v>
      </c>
      <c r="C294" s="2">
        <v>2019</v>
      </c>
      <c r="D294" s="2">
        <v>17.795999999999999</v>
      </c>
      <c r="E294" s="2">
        <v>20.238</v>
      </c>
      <c r="F294" s="2" t="s">
        <v>146</v>
      </c>
      <c r="G294" s="2">
        <v>9.6000000000000002E-2</v>
      </c>
      <c r="H294" s="2" t="s">
        <v>146</v>
      </c>
      <c r="I294" s="2" t="s">
        <v>146</v>
      </c>
      <c r="J294" s="2" t="s">
        <v>146</v>
      </c>
      <c r="K294" s="2" t="s">
        <v>146</v>
      </c>
      <c r="L294" s="2" t="s">
        <v>146</v>
      </c>
      <c r="M294" s="2" t="s">
        <v>49</v>
      </c>
      <c r="N294" s="2" t="s">
        <v>146</v>
      </c>
      <c r="O294" s="2" t="s">
        <v>146</v>
      </c>
      <c r="P294" s="2" t="s">
        <v>146</v>
      </c>
      <c r="Q294" s="2" t="s">
        <v>146</v>
      </c>
      <c r="R294" s="2" t="s">
        <v>146</v>
      </c>
      <c r="S294" s="2" t="s">
        <v>146</v>
      </c>
      <c r="T294" s="2" t="s">
        <v>146</v>
      </c>
      <c r="U294" s="2">
        <v>20.141999999999999</v>
      </c>
      <c r="V294" s="2" t="s">
        <v>146</v>
      </c>
      <c r="W294" s="2" t="s">
        <v>146</v>
      </c>
      <c r="X294" s="2" t="s">
        <v>146</v>
      </c>
      <c r="Y294" s="2" t="s">
        <v>146</v>
      </c>
      <c r="Z294" s="2" t="s">
        <v>146</v>
      </c>
      <c r="AA294" s="2" t="s">
        <v>146</v>
      </c>
      <c r="AB294" s="2" t="s">
        <v>146</v>
      </c>
      <c r="AC294" s="2" t="s">
        <v>146</v>
      </c>
      <c r="AD294" s="2" t="s">
        <v>146</v>
      </c>
      <c r="AE294" s="2" t="s">
        <v>146</v>
      </c>
      <c r="AF294" s="2" t="s">
        <v>146</v>
      </c>
      <c r="AG294" s="2" t="s">
        <v>146</v>
      </c>
      <c r="AH294" s="2" t="s">
        <v>146</v>
      </c>
      <c r="AI294" s="2" t="s">
        <v>146</v>
      </c>
      <c r="AJ294" s="2" t="s">
        <v>146</v>
      </c>
      <c r="AK294" s="2" t="s">
        <v>146</v>
      </c>
      <c r="AL294" s="2">
        <v>0</v>
      </c>
      <c r="AM294" s="2">
        <v>0</v>
      </c>
      <c r="AN294" s="2" t="s">
        <v>49</v>
      </c>
      <c r="AO294" s="2" t="s">
        <v>146</v>
      </c>
      <c r="AP294" s="2" t="s">
        <v>146</v>
      </c>
      <c r="AQ294" s="2" t="s">
        <v>146</v>
      </c>
      <c r="AR294" s="2" t="s">
        <v>146</v>
      </c>
      <c r="AV294" s="2">
        <f t="shared" si="40"/>
        <v>20.238</v>
      </c>
      <c r="AW294" s="2">
        <f t="shared" si="41"/>
        <v>17.795999999999999</v>
      </c>
      <c r="AX294" s="27">
        <f t="shared" si="42"/>
        <v>0.87933590275718942</v>
      </c>
      <c r="BA294" s="2">
        <f t="shared" si="43"/>
        <v>0</v>
      </c>
      <c r="BB294" s="2">
        <f t="shared" si="44"/>
        <v>0</v>
      </c>
      <c r="BC294" s="2">
        <f t="shared" si="45"/>
        <v>0</v>
      </c>
      <c r="BD294" s="2">
        <f t="shared" si="46"/>
        <v>0</v>
      </c>
      <c r="BE294" s="2">
        <f t="shared" si="47"/>
        <v>0</v>
      </c>
      <c r="BF294" s="2">
        <f t="shared" si="48"/>
        <v>0</v>
      </c>
      <c r="BJ294" s="2" t="str">
        <f t="shared" si="49"/>
        <v/>
      </c>
    </row>
    <row r="295" spans="1:62" ht="15" customHeight="1" x14ac:dyDescent="0.45">
      <c r="A295" s="2" t="s">
        <v>297</v>
      </c>
      <c r="B295" s="2" t="s">
        <v>296</v>
      </c>
      <c r="C295" s="2">
        <v>2019</v>
      </c>
      <c r="D295" s="2">
        <v>270.5</v>
      </c>
      <c r="E295" s="2">
        <v>303.09514000000001</v>
      </c>
      <c r="F295" s="2" t="s">
        <v>146</v>
      </c>
      <c r="G295" s="2">
        <v>2.4009999999999998</v>
      </c>
      <c r="H295" s="2" t="s">
        <v>146</v>
      </c>
      <c r="I295" s="2">
        <v>1.5529999999999999</v>
      </c>
      <c r="J295" s="2" t="s">
        <v>146</v>
      </c>
      <c r="K295" s="2" t="s">
        <v>146</v>
      </c>
      <c r="L295" s="2" t="s">
        <v>146</v>
      </c>
      <c r="M295" s="2" t="s">
        <v>49</v>
      </c>
      <c r="N295" s="2">
        <v>0.37</v>
      </c>
      <c r="O295" s="2">
        <v>1.3999999999999999E-4</v>
      </c>
      <c r="P295" s="2">
        <v>0.21099999999999999</v>
      </c>
      <c r="Q295" s="2">
        <v>0.40200000000000002</v>
      </c>
      <c r="R295" s="2" t="s">
        <v>146</v>
      </c>
      <c r="S295" s="2" t="s">
        <v>146</v>
      </c>
      <c r="T295" s="2" t="s">
        <v>147</v>
      </c>
      <c r="U295" s="2">
        <v>16.081</v>
      </c>
      <c r="V295" s="2" t="s">
        <v>146</v>
      </c>
      <c r="W295" s="2" t="s">
        <v>146</v>
      </c>
      <c r="X295" s="2">
        <v>99.727000000000004</v>
      </c>
      <c r="Y295" s="2">
        <v>30.718</v>
      </c>
      <c r="Z295" s="2">
        <v>1.3979999999999999</v>
      </c>
      <c r="AA295" s="2" t="s">
        <v>146</v>
      </c>
      <c r="AB295" s="2" t="s">
        <v>146</v>
      </c>
      <c r="AC295" s="2">
        <v>118.52</v>
      </c>
      <c r="AD295" s="2">
        <v>2.25</v>
      </c>
      <c r="AE295" s="2" t="s">
        <v>233</v>
      </c>
      <c r="AF295" s="2">
        <v>47.816000000000003</v>
      </c>
      <c r="AG295" s="2">
        <v>3.347</v>
      </c>
      <c r="AH295" s="2">
        <v>20.922000000000001</v>
      </c>
      <c r="AI295" s="2">
        <v>7.4450000000000003</v>
      </c>
      <c r="AJ295" s="2" t="s">
        <v>165</v>
      </c>
      <c r="AK295" s="2">
        <v>3.33</v>
      </c>
      <c r="AL295" s="2" t="s">
        <v>146</v>
      </c>
      <c r="AM295" s="2" t="s">
        <v>146</v>
      </c>
      <c r="AN295" s="2" t="s">
        <v>49</v>
      </c>
      <c r="AO295" s="2">
        <v>85.04</v>
      </c>
      <c r="AP295" s="2">
        <v>14.22</v>
      </c>
      <c r="AQ295" s="2">
        <v>0.74</v>
      </c>
      <c r="AR295" s="2" t="s">
        <v>146</v>
      </c>
      <c r="AV295" s="2">
        <f t="shared" si="40"/>
        <v>303.09514000000001</v>
      </c>
      <c r="AW295" s="2">
        <f t="shared" si="41"/>
        <v>270.5</v>
      </c>
      <c r="AX295" s="27">
        <f t="shared" si="42"/>
        <v>0.89245904767724082</v>
      </c>
      <c r="BA295" s="2">
        <f t="shared" si="43"/>
        <v>20.922000000000001</v>
      </c>
      <c r="BB295" s="2">
        <f t="shared" si="44"/>
        <v>17.792068800000003</v>
      </c>
      <c r="BC295" s="2">
        <f t="shared" si="45"/>
        <v>2.9751083999999999</v>
      </c>
      <c r="BD295" s="2">
        <f t="shared" si="46"/>
        <v>0.15482280000000001</v>
      </c>
      <c r="BE295" s="2">
        <f t="shared" si="47"/>
        <v>0</v>
      </c>
      <c r="BF295" s="2">
        <f t="shared" si="48"/>
        <v>0</v>
      </c>
      <c r="BJ295" s="2" t="str">
        <f t="shared" si="49"/>
        <v/>
      </c>
    </row>
    <row r="296" spans="1:62" ht="15" customHeight="1" x14ac:dyDescent="0.45">
      <c r="A296" s="2" t="s">
        <v>295</v>
      </c>
      <c r="B296" s="2" t="s">
        <v>127</v>
      </c>
      <c r="C296" s="2">
        <v>2019</v>
      </c>
      <c r="D296" s="2">
        <v>3.8</v>
      </c>
      <c r="E296" s="2">
        <v>3.8</v>
      </c>
      <c r="F296" s="2" t="s">
        <v>146</v>
      </c>
      <c r="G296" s="2">
        <v>3.8</v>
      </c>
      <c r="H296" s="2" t="s">
        <v>146</v>
      </c>
      <c r="I296" s="2" t="s">
        <v>146</v>
      </c>
      <c r="J296" s="2" t="s">
        <v>146</v>
      </c>
      <c r="K296" s="2" t="s">
        <v>146</v>
      </c>
      <c r="L296" s="2" t="s">
        <v>146</v>
      </c>
      <c r="M296" s="2" t="s">
        <v>49</v>
      </c>
      <c r="N296" s="2" t="s">
        <v>146</v>
      </c>
      <c r="O296" s="2" t="s">
        <v>146</v>
      </c>
      <c r="P296" s="2" t="s">
        <v>146</v>
      </c>
      <c r="Q296" s="2" t="s">
        <v>146</v>
      </c>
      <c r="R296" s="2" t="s">
        <v>146</v>
      </c>
      <c r="S296" s="2" t="s">
        <v>146</v>
      </c>
      <c r="T296" s="2" t="s">
        <v>146</v>
      </c>
      <c r="U296" s="2" t="s">
        <v>146</v>
      </c>
      <c r="V296" s="2" t="s">
        <v>146</v>
      </c>
      <c r="W296" s="2" t="s">
        <v>146</v>
      </c>
      <c r="X296" s="2" t="s">
        <v>146</v>
      </c>
      <c r="Y296" s="2" t="s">
        <v>146</v>
      </c>
      <c r="Z296" s="2" t="s">
        <v>146</v>
      </c>
      <c r="AA296" s="2" t="s">
        <v>146</v>
      </c>
      <c r="AB296" s="2" t="s">
        <v>146</v>
      </c>
      <c r="AC296" s="2" t="s">
        <v>146</v>
      </c>
      <c r="AD296" s="2" t="s">
        <v>146</v>
      </c>
      <c r="AE296" s="2" t="s">
        <v>146</v>
      </c>
      <c r="AF296" s="2" t="s">
        <v>146</v>
      </c>
      <c r="AG296" s="2" t="s">
        <v>146</v>
      </c>
      <c r="AH296" s="2" t="s">
        <v>146</v>
      </c>
      <c r="AI296" s="2" t="s">
        <v>146</v>
      </c>
      <c r="AJ296" s="2" t="s">
        <v>146</v>
      </c>
      <c r="AK296" s="2" t="s">
        <v>146</v>
      </c>
      <c r="AL296" s="2" t="s">
        <v>146</v>
      </c>
      <c r="AM296" s="2" t="s">
        <v>146</v>
      </c>
      <c r="AN296" s="2" t="s">
        <v>49</v>
      </c>
      <c r="AO296" s="2" t="s">
        <v>146</v>
      </c>
      <c r="AP296" s="2" t="s">
        <v>146</v>
      </c>
      <c r="AQ296" s="2" t="s">
        <v>146</v>
      </c>
      <c r="AR296" s="2" t="s">
        <v>146</v>
      </c>
      <c r="AV296" s="2">
        <f t="shared" si="40"/>
        <v>3.8</v>
      </c>
      <c r="AW296" s="2">
        <f t="shared" si="41"/>
        <v>3.8</v>
      </c>
      <c r="AX296" s="27">
        <f t="shared" si="42"/>
        <v>1</v>
      </c>
      <c r="BA296" s="2">
        <f t="shared" si="43"/>
        <v>0</v>
      </c>
      <c r="BB296" s="2">
        <f t="shared" si="44"/>
        <v>0</v>
      </c>
      <c r="BC296" s="2">
        <f t="shared" si="45"/>
        <v>0</v>
      </c>
      <c r="BD296" s="2">
        <f t="shared" si="46"/>
        <v>0</v>
      </c>
      <c r="BE296" s="2">
        <f t="shared" si="47"/>
        <v>0</v>
      </c>
      <c r="BF296" s="2">
        <f t="shared" si="48"/>
        <v>0</v>
      </c>
      <c r="BJ296" s="2" t="str">
        <f t="shared" si="49"/>
        <v/>
      </c>
    </row>
    <row r="297" spans="1:62" ht="15" customHeight="1" x14ac:dyDescent="0.45">
      <c r="A297" s="2" t="s">
        <v>289</v>
      </c>
      <c r="B297" s="2" t="s">
        <v>294</v>
      </c>
      <c r="C297" s="2">
        <v>2019</v>
      </c>
      <c r="D297" s="2">
        <v>13.351000000000001</v>
      </c>
      <c r="E297" s="2">
        <v>14.406000000000001</v>
      </c>
      <c r="F297" s="2" t="s">
        <v>146</v>
      </c>
      <c r="G297" s="2" t="s">
        <v>146</v>
      </c>
      <c r="H297" s="2" t="s">
        <v>146</v>
      </c>
      <c r="I297" s="2" t="s">
        <v>146</v>
      </c>
      <c r="J297" s="2" t="s">
        <v>146</v>
      </c>
      <c r="K297" s="2" t="s">
        <v>146</v>
      </c>
      <c r="L297" s="2" t="s">
        <v>146</v>
      </c>
      <c r="M297" s="2" t="s">
        <v>176</v>
      </c>
      <c r="N297" s="2">
        <v>13.456</v>
      </c>
      <c r="O297" s="2" t="s">
        <v>146</v>
      </c>
      <c r="P297" s="2" t="s">
        <v>146</v>
      </c>
      <c r="Q297" s="2" t="s">
        <v>146</v>
      </c>
      <c r="R297" s="2" t="s">
        <v>146</v>
      </c>
      <c r="S297" s="2" t="s">
        <v>146</v>
      </c>
      <c r="T297" s="2" t="s">
        <v>146</v>
      </c>
      <c r="U297" s="2" t="s">
        <v>146</v>
      </c>
      <c r="V297" s="2" t="s">
        <v>146</v>
      </c>
      <c r="W297" s="2" t="s">
        <v>146</v>
      </c>
      <c r="X297" s="2" t="s">
        <v>146</v>
      </c>
      <c r="Y297" s="2" t="s">
        <v>146</v>
      </c>
      <c r="Z297" s="2">
        <v>0.95</v>
      </c>
      <c r="AA297" s="2" t="s">
        <v>146</v>
      </c>
      <c r="AB297" s="2" t="s">
        <v>146</v>
      </c>
      <c r="AC297" s="2" t="s">
        <v>146</v>
      </c>
      <c r="AD297" s="2" t="s">
        <v>146</v>
      </c>
      <c r="AE297" s="2" t="s">
        <v>146</v>
      </c>
      <c r="AF297" s="2" t="s">
        <v>146</v>
      </c>
      <c r="AG297" s="2" t="s">
        <v>146</v>
      </c>
      <c r="AH297" s="2" t="s">
        <v>146</v>
      </c>
      <c r="AI297" s="2" t="s">
        <v>146</v>
      </c>
      <c r="AJ297" s="2" t="s">
        <v>146</v>
      </c>
      <c r="AK297" s="2" t="s">
        <v>146</v>
      </c>
      <c r="AL297" s="2" t="s">
        <v>146</v>
      </c>
      <c r="AM297" s="2" t="s">
        <v>146</v>
      </c>
      <c r="AN297" s="2" t="s">
        <v>176</v>
      </c>
      <c r="AO297" s="2" t="s">
        <v>146</v>
      </c>
      <c r="AP297" s="2" t="s">
        <v>146</v>
      </c>
      <c r="AQ297" s="2" t="s">
        <v>146</v>
      </c>
      <c r="AR297" s="2" t="s">
        <v>146</v>
      </c>
      <c r="AV297" s="2">
        <f t="shared" si="40"/>
        <v>14.405999999999999</v>
      </c>
      <c r="AW297" s="2">
        <f t="shared" si="41"/>
        <v>13.351000000000001</v>
      </c>
      <c r="AX297" s="27">
        <f t="shared" si="42"/>
        <v>0.92676662501735396</v>
      </c>
      <c r="BA297" s="2">
        <f t="shared" si="43"/>
        <v>0</v>
      </c>
      <c r="BB297" s="2">
        <f t="shared" si="44"/>
        <v>0</v>
      </c>
      <c r="BC297" s="2">
        <f t="shared" si="45"/>
        <v>0</v>
      </c>
      <c r="BD297" s="2">
        <f t="shared" si="46"/>
        <v>0</v>
      </c>
      <c r="BE297" s="2">
        <f t="shared" si="47"/>
        <v>0</v>
      </c>
      <c r="BF297" s="2">
        <f t="shared" si="48"/>
        <v>0</v>
      </c>
      <c r="BJ297" s="2" t="str">
        <f t="shared" si="49"/>
        <v/>
      </c>
    </row>
    <row r="298" spans="1:62" ht="15" customHeight="1" x14ac:dyDescent="0.45">
      <c r="A298" s="2" t="s">
        <v>289</v>
      </c>
      <c r="B298" s="2" t="s">
        <v>293</v>
      </c>
      <c r="C298" s="2">
        <v>2019</v>
      </c>
      <c r="D298" s="2">
        <v>96.67</v>
      </c>
      <c r="E298" s="2">
        <v>100.19</v>
      </c>
      <c r="F298" s="2" t="s">
        <v>146</v>
      </c>
      <c r="G298" s="2">
        <v>3.6999999999999998E-2</v>
      </c>
      <c r="H298" s="2" t="s">
        <v>146</v>
      </c>
      <c r="I298" s="2">
        <v>0.39900000000000002</v>
      </c>
      <c r="J298" s="2" t="s">
        <v>146</v>
      </c>
      <c r="K298" s="2" t="s">
        <v>146</v>
      </c>
      <c r="L298" s="2" t="s">
        <v>146</v>
      </c>
      <c r="M298" s="2" t="s">
        <v>176</v>
      </c>
      <c r="N298" s="2">
        <v>24.742000000000001</v>
      </c>
      <c r="O298" s="2" t="s">
        <v>146</v>
      </c>
      <c r="P298" s="2" t="s">
        <v>146</v>
      </c>
      <c r="Q298" s="2" t="s">
        <v>146</v>
      </c>
      <c r="R298" s="2" t="s">
        <v>146</v>
      </c>
      <c r="S298" s="2" t="s">
        <v>146</v>
      </c>
      <c r="T298" s="2" t="s">
        <v>146</v>
      </c>
      <c r="U298" s="2">
        <v>13.7</v>
      </c>
      <c r="V298" s="2" t="s">
        <v>146</v>
      </c>
      <c r="W298" s="2" t="s">
        <v>146</v>
      </c>
      <c r="X298" s="2">
        <v>48.768999999999998</v>
      </c>
      <c r="Y298" s="2" t="s">
        <v>146</v>
      </c>
      <c r="Z298" s="2">
        <v>3.0019999999999998</v>
      </c>
      <c r="AA298" s="2" t="s">
        <v>146</v>
      </c>
      <c r="AB298" s="2" t="s">
        <v>146</v>
      </c>
      <c r="AC298" s="2" t="s">
        <v>146</v>
      </c>
      <c r="AD298" s="2" t="s">
        <v>146</v>
      </c>
      <c r="AE298" s="2" t="s">
        <v>146</v>
      </c>
      <c r="AF298" s="2" t="s">
        <v>146</v>
      </c>
      <c r="AG298" s="2" t="s">
        <v>146</v>
      </c>
      <c r="AH298" s="2">
        <v>9.5410000000000004</v>
      </c>
      <c r="AI298" s="2" t="s">
        <v>146</v>
      </c>
      <c r="AJ298" s="2" t="s">
        <v>146</v>
      </c>
      <c r="AK298" s="2" t="s">
        <v>146</v>
      </c>
      <c r="AL298" s="2" t="s">
        <v>146</v>
      </c>
      <c r="AM298" s="2" t="s">
        <v>146</v>
      </c>
      <c r="AN298" s="2" t="s">
        <v>176</v>
      </c>
      <c r="AO298" s="2">
        <v>100</v>
      </c>
      <c r="AP298" s="2">
        <v>0</v>
      </c>
      <c r="AQ298" s="2">
        <v>0</v>
      </c>
      <c r="AR298" s="2">
        <v>0</v>
      </c>
      <c r="AV298" s="2">
        <f t="shared" si="40"/>
        <v>100.18999999999998</v>
      </c>
      <c r="AW298" s="2">
        <f t="shared" si="41"/>
        <v>96.67</v>
      </c>
      <c r="AX298" s="27">
        <f t="shared" si="42"/>
        <v>0.96486675316897907</v>
      </c>
      <c r="BA298" s="2">
        <f t="shared" si="43"/>
        <v>9.5410000000000004</v>
      </c>
      <c r="BB298" s="2">
        <f t="shared" si="44"/>
        <v>9.5410000000000004</v>
      </c>
      <c r="BC298" s="2">
        <f t="shared" si="45"/>
        <v>0</v>
      </c>
      <c r="BD298" s="2">
        <f t="shared" si="46"/>
        <v>0</v>
      </c>
      <c r="BE298" s="2">
        <f t="shared" si="47"/>
        <v>0</v>
      </c>
      <c r="BF298" s="2">
        <f t="shared" si="48"/>
        <v>0</v>
      </c>
      <c r="BJ298" s="2" t="str">
        <f t="shared" si="49"/>
        <v/>
      </c>
    </row>
    <row r="299" spans="1:62" ht="15" customHeight="1" x14ac:dyDescent="0.45">
      <c r="A299" s="2" t="s">
        <v>289</v>
      </c>
      <c r="B299" s="2" t="s">
        <v>292</v>
      </c>
      <c r="C299" s="2">
        <v>2019</v>
      </c>
      <c r="D299" s="2">
        <v>0.8</v>
      </c>
      <c r="E299" s="2">
        <v>0.87</v>
      </c>
      <c r="F299" s="2" t="s">
        <v>146</v>
      </c>
      <c r="G299" s="2">
        <v>0.87</v>
      </c>
      <c r="H299" s="2" t="s">
        <v>146</v>
      </c>
      <c r="I299" s="2" t="s">
        <v>146</v>
      </c>
      <c r="J299" s="2" t="s">
        <v>146</v>
      </c>
      <c r="K299" s="2" t="s">
        <v>146</v>
      </c>
      <c r="L299" s="2" t="s">
        <v>146</v>
      </c>
      <c r="M299" s="2" t="s">
        <v>176</v>
      </c>
      <c r="N299" s="2">
        <v>0</v>
      </c>
      <c r="O299" s="2" t="s">
        <v>146</v>
      </c>
      <c r="P299" s="2" t="s">
        <v>146</v>
      </c>
      <c r="Q299" s="2" t="s">
        <v>146</v>
      </c>
      <c r="R299" s="2" t="s">
        <v>146</v>
      </c>
      <c r="S299" s="2" t="s">
        <v>146</v>
      </c>
      <c r="T299" s="2" t="s">
        <v>146</v>
      </c>
      <c r="U299" s="2" t="s">
        <v>146</v>
      </c>
      <c r="V299" s="2" t="s">
        <v>146</v>
      </c>
      <c r="W299" s="2" t="s">
        <v>146</v>
      </c>
      <c r="X299" s="2" t="s">
        <v>146</v>
      </c>
      <c r="Y299" s="2" t="s">
        <v>146</v>
      </c>
      <c r="Z299" s="2" t="s">
        <v>146</v>
      </c>
      <c r="AA299" s="2" t="s">
        <v>146</v>
      </c>
      <c r="AB299" s="2" t="s">
        <v>146</v>
      </c>
      <c r="AC299" s="2" t="s">
        <v>146</v>
      </c>
      <c r="AD299" s="2" t="s">
        <v>146</v>
      </c>
      <c r="AE299" s="2" t="s">
        <v>146</v>
      </c>
      <c r="AF299" s="2" t="s">
        <v>146</v>
      </c>
      <c r="AG299" s="2" t="s">
        <v>146</v>
      </c>
      <c r="AH299" s="2" t="s">
        <v>146</v>
      </c>
      <c r="AI299" s="2" t="s">
        <v>146</v>
      </c>
      <c r="AJ299" s="2" t="s">
        <v>146</v>
      </c>
      <c r="AK299" s="2" t="s">
        <v>146</v>
      </c>
      <c r="AL299" s="2" t="s">
        <v>146</v>
      </c>
      <c r="AM299" s="2" t="s">
        <v>146</v>
      </c>
      <c r="AN299" s="2" t="s">
        <v>176</v>
      </c>
      <c r="AO299" s="2" t="s">
        <v>146</v>
      </c>
      <c r="AP299" s="2" t="s">
        <v>146</v>
      </c>
      <c r="AQ299" s="2" t="s">
        <v>146</v>
      </c>
      <c r="AR299" s="2" t="s">
        <v>146</v>
      </c>
      <c r="AV299" s="2">
        <f t="shared" si="40"/>
        <v>0.87</v>
      </c>
      <c r="AW299" s="2">
        <f t="shared" si="41"/>
        <v>0.8</v>
      </c>
      <c r="AX299" s="27">
        <f t="shared" si="42"/>
        <v>0.91954022988505757</v>
      </c>
      <c r="BA299" s="2">
        <f t="shared" si="43"/>
        <v>0</v>
      </c>
      <c r="BB299" s="2">
        <f t="shared" si="44"/>
        <v>0</v>
      </c>
      <c r="BC299" s="2">
        <f t="shared" si="45"/>
        <v>0</v>
      </c>
      <c r="BD299" s="2">
        <f t="shared" si="46"/>
        <v>0</v>
      </c>
      <c r="BE299" s="2">
        <f t="shared" si="47"/>
        <v>0</v>
      </c>
      <c r="BF299" s="2">
        <f t="shared" si="48"/>
        <v>0</v>
      </c>
      <c r="BJ299" s="2" t="str">
        <f t="shared" si="49"/>
        <v/>
      </c>
    </row>
    <row r="300" spans="1:62" ht="15" customHeight="1" x14ac:dyDescent="0.45">
      <c r="A300" s="2" t="s">
        <v>289</v>
      </c>
      <c r="B300" s="2" t="s">
        <v>291</v>
      </c>
      <c r="C300" s="2">
        <v>2019</v>
      </c>
      <c r="D300" s="2">
        <v>111.7</v>
      </c>
      <c r="E300" s="2">
        <v>258.74700000000001</v>
      </c>
      <c r="F300" s="2" t="s">
        <v>146</v>
      </c>
      <c r="G300" s="2">
        <v>0.1</v>
      </c>
      <c r="H300" s="2" t="s">
        <v>146</v>
      </c>
      <c r="I300" s="2">
        <v>4.8</v>
      </c>
      <c r="J300" s="2" t="s">
        <v>146</v>
      </c>
      <c r="K300" s="2" t="s">
        <v>146</v>
      </c>
      <c r="L300" s="2" t="s">
        <v>146</v>
      </c>
      <c r="M300" s="2" t="s">
        <v>176</v>
      </c>
      <c r="N300" s="2">
        <v>1.2</v>
      </c>
      <c r="O300" s="2">
        <v>0</v>
      </c>
      <c r="P300" s="2">
        <v>0.4</v>
      </c>
      <c r="Q300" s="2" t="s">
        <v>146</v>
      </c>
      <c r="R300" s="2" t="s">
        <v>146</v>
      </c>
      <c r="S300" s="2" t="s">
        <v>146</v>
      </c>
      <c r="T300" s="2" t="s">
        <v>146</v>
      </c>
      <c r="U300" s="2" t="s">
        <v>146</v>
      </c>
      <c r="V300" s="2" t="s">
        <v>146</v>
      </c>
      <c r="W300" s="2" t="s">
        <v>146</v>
      </c>
      <c r="X300" s="2">
        <v>73.099999999999994</v>
      </c>
      <c r="Y300" s="2" t="s">
        <v>146</v>
      </c>
      <c r="Z300" s="2">
        <v>0.54700000000000004</v>
      </c>
      <c r="AA300" s="2" t="s">
        <v>146</v>
      </c>
      <c r="AB300" s="2" t="s">
        <v>146</v>
      </c>
      <c r="AC300" s="2">
        <v>178.6</v>
      </c>
      <c r="AD300" s="2" t="s">
        <v>146</v>
      </c>
      <c r="AE300" s="2" t="s">
        <v>233</v>
      </c>
      <c r="AF300" s="2">
        <v>42</v>
      </c>
      <c r="AG300" s="2" t="s">
        <v>146</v>
      </c>
      <c r="AH300" s="2" t="s">
        <v>146</v>
      </c>
      <c r="AI300" s="2" t="s">
        <v>146</v>
      </c>
      <c r="AJ300" s="2" t="s">
        <v>146</v>
      </c>
      <c r="AK300" s="2" t="s">
        <v>146</v>
      </c>
      <c r="AL300" s="2" t="s">
        <v>146</v>
      </c>
      <c r="AM300" s="2" t="s">
        <v>146</v>
      </c>
      <c r="AN300" s="2" t="s">
        <v>176</v>
      </c>
      <c r="AO300" s="2" t="s">
        <v>146</v>
      </c>
      <c r="AP300" s="2" t="s">
        <v>146</v>
      </c>
      <c r="AQ300" s="2" t="s">
        <v>146</v>
      </c>
      <c r="AR300" s="2" t="s">
        <v>146</v>
      </c>
      <c r="AV300" s="2">
        <f t="shared" si="40"/>
        <v>258.74699999999996</v>
      </c>
      <c r="AW300" s="2">
        <f t="shared" si="41"/>
        <v>111.7</v>
      </c>
      <c r="AX300" s="27">
        <f t="shared" si="42"/>
        <v>0.43169582642504079</v>
      </c>
      <c r="BA300" s="2">
        <f t="shared" si="43"/>
        <v>0</v>
      </c>
      <c r="BB300" s="2">
        <f t="shared" si="44"/>
        <v>0</v>
      </c>
      <c r="BC300" s="2">
        <f t="shared" si="45"/>
        <v>0</v>
      </c>
      <c r="BD300" s="2">
        <f t="shared" si="46"/>
        <v>0</v>
      </c>
      <c r="BE300" s="2">
        <f t="shared" si="47"/>
        <v>0</v>
      </c>
      <c r="BF300" s="2">
        <f t="shared" si="48"/>
        <v>0</v>
      </c>
      <c r="BJ300" s="2" t="str">
        <f t="shared" si="49"/>
        <v/>
      </c>
    </row>
    <row r="301" spans="1:62" ht="15" customHeight="1" x14ac:dyDescent="0.45">
      <c r="A301" s="2" t="s">
        <v>289</v>
      </c>
      <c r="B301" s="2" t="s">
        <v>290</v>
      </c>
      <c r="C301" s="2">
        <v>2019</v>
      </c>
      <c r="D301" s="2">
        <v>0.34</v>
      </c>
      <c r="E301" s="2">
        <v>0.39</v>
      </c>
      <c r="F301" s="2" t="s">
        <v>146</v>
      </c>
      <c r="G301" s="2">
        <v>0.39</v>
      </c>
      <c r="H301" s="2" t="s">
        <v>146</v>
      </c>
      <c r="I301" s="2" t="s">
        <v>146</v>
      </c>
      <c r="J301" s="2" t="s">
        <v>146</v>
      </c>
      <c r="K301" s="2" t="s">
        <v>146</v>
      </c>
      <c r="L301" s="2" t="s">
        <v>146</v>
      </c>
      <c r="M301" s="2" t="s">
        <v>176</v>
      </c>
      <c r="N301" s="2" t="s">
        <v>146</v>
      </c>
      <c r="O301" s="2" t="s">
        <v>146</v>
      </c>
      <c r="P301" s="2" t="s">
        <v>146</v>
      </c>
      <c r="Q301" s="2" t="s">
        <v>146</v>
      </c>
      <c r="R301" s="2" t="s">
        <v>146</v>
      </c>
      <c r="S301" s="2" t="s">
        <v>146</v>
      </c>
      <c r="T301" s="2" t="s">
        <v>146</v>
      </c>
      <c r="U301" s="2" t="s">
        <v>146</v>
      </c>
      <c r="V301" s="2" t="s">
        <v>146</v>
      </c>
      <c r="W301" s="2" t="s">
        <v>146</v>
      </c>
      <c r="X301" s="2" t="s">
        <v>146</v>
      </c>
      <c r="Y301" s="2" t="s">
        <v>146</v>
      </c>
      <c r="Z301" s="2" t="s">
        <v>146</v>
      </c>
      <c r="AA301" s="2" t="s">
        <v>146</v>
      </c>
      <c r="AB301" s="2" t="s">
        <v>146</v>
      </c>
      <c r="AC301" s="2" t="s">
        <v>146</v>
      </c>
      <c r="AD301" s="2" t="s">
        <v>146</v>
      </c>
      <c r="AE301" s="2" t="s">
        <v>146</v>
      </c>
      <c r="AF301" s="2" t="s">
        <v>146</v>
      </c>
      <c r="AG301" s="2" t="s">
        <v>146</v>
      </c>
      <c r="AH301" s="2" t="s">
        <v>146</v>
      </c>
      <c r="AI301" s="2" t="s">
        <v>146</v>
      </c>
      <c r="AJ301" s="2" t="s">
        <v>146</v>
      </c>
      <c r="AK301" s="2" t="s">
        <v>146</v>
      </c>
      <c r="AL301" s="2" t="s">
        <v>146</v>
      </c>
      <c r="AM301" s="2" t="s">
        <v>146</v>
      </c>
      <c r="AN301" s="2" t="s">
        <v>176</v>
      </c>
      <c r="AO301" s="2" t="s">
        <v>146</v>
      </c>
      <c r="AP301" s="2" t="s">
        <v>146</v>
      </c>
      <c r="AQ301" s="2" t="s">
        <v>146</v>
      </c>
      <c r="AR301" s="2" t="s">
        <v>146</v>
      </c>
      <c r="AV301" s="2">
        <f t="shared" si="40"/>
        <v>0.39</v>
      </c>
      <c r="AW301" s="2">
        <f t="shared" si="41"/>
        <v>0.34</v>
      </c>
      <c r="AX301" s="27">
        <f t="shared" si="42"/>
        <v>0.87179487179487181</v>
      </c>
      <c r="BA301" s="2">
        <f t="shared" si="43"/>
        <v>0</v>
      </c>
      <c r="BB301" s="2">
        <f t="shared" si="44"/>
        <v>0</v>
      </c>
      <c r="BC301" s="2">
        <f t="shared" si="45"/>
        <v>0</v>
      </c>
      <c r="BD301" s="2">
        <f t="shared" si="46"/>
        <v>0</v>
      </c>
      <c r="BE301" s="2">
        <f t="shared" si="47"/>
        <v>0</v>
      </c>
      <c r="BF301" s="2">
        <f t="shared" si="48"/>
        <v>0</v>
      </c>
      <c r="BJ301" s="2" t="str">
        <f t="shared" si="49"/>
        <v/>
      </c>
    </row>
    <row r="302" spans="1:62" ht="15" customHeight="1" x14ac:dyDescent="0.45">
      <c r="A302" s="2" t="s">
        <v>289</v>
      </c>
      <c r="B302" s="2" t="s">
        <v>288</v>
      </c>
      <c r="C302" s="2">
        <v>2019</v>
      </c>
      <c r="D302" s="2">
        <v>32.9</v>
      </c>
      <c r="E302" s="2">
        <v>24.297000000000001</v>
      </c>
      <c r="F302" s="2" t="s">
        <v>146</v>
      </c>
      <c r="G302" s="2">
        <v>0.21</v>
      </c>
      <c r="H302" s="2" t="s">
        <v>146</v>
      </c>
      <c r="I302" s="2" t="s">
        <v>146</v>
      </c>
      <c r="J302" s="2" t="s">
        <v>146</v>
      </c>
      <c r="K302" s="2" t="s">
        <v>146</v>
      </c>
      <c r="L302" s="2" t="s">
        <v>146</v>
      </c>
      <c r="M302" s="2" t="s">
        <v>176</v>
      </c>
      <c r="N302" s="2">
        <v>19.382999999999999</v>
      </c>
      <c r="O302" s="2" t="s">
        <v>146</v>
      </c>
      <c r="P302" s="2" t="s">
        <v>146</v>
      </c>
      <c r="Q302" s="2" t="s">
        <v>146</v>
      </c>
      <c r="R302" s="2" t="s">
        <v>146</v>
      </c>
      <c r="S302" s="2" t="s">
        <v>146</v>
      </c>
      <c r="T302" s="2" t="s">
        <v>146</v>
      </c>
      <c r="U302" s="2" t="s">
        <v>146</v>
      </c>
      <c r="V302" s="2" t="s">
        <v>146</v>
      </c>
      <c r="W302" s="2" t="s">
        <v>146</v>
      </c>
      <c r="X302" s="2" t="s">
        <v>146</v>
      </c>
      <c r="Y302" s="2" t="s">
        <v>146</v>
      </c>
      <c r="Z302" s="2" t="s">
        <v>146</v>
      </c>
      <c r="AA302" s="2" t="s">
        <v>146</v>
      </c>
      <c r="AB302" s="2" t="s">
        <v>146</v>
      </c>
      <c r="AC302" s="2" t="s">
        <v>146</v>
      </c>
      <c r="AD302" s="2" t="s">
        <v>146</v>
      </c>
      <c r="AE302" s="2" t="s">
        <v>146</v>
      </c>
      <c r="AF302" s="2" t="s">
        <v>146</v>
      </c>
      <c r="AG302" s="2" t="s">
        <v>146</v>
      </c>
      <c r="AH302" s="2">
        <v>4.7039999999999997</v>
      </c>
      <c r="AI302" s="2" t="s">
        <v>146</v>
      </c>
      <c r="AJ302" s="2" t="s">
        <v>146</v>
      </c>
      <c r="AK302" s="2" t="s">
        <v>146</v>
      </c>
      <c r="AL302" s="2" t="s">
        <v>146</v>
      </c>
      <c r="AM302" s="2" t="s">
        <v>146</v>
      </c>
      <c r="AN302" s="2" t="s">
        <v>176</v>
      </c>
      <c r="AO302" s="2">
        <v>100</v>
      </c>
      <c r="AP302" s="2">
        <v>0</v>
      </c>
      <c r="AQ302" s="2">
        <v>0</v>
      </c>
      <c r="AR302" s="2" t="s">
        <v>146</v>
      </c>
      <c r="AV302" s="2">
        <f t="shared" si="40"/>
        <v>24.297000000000001</v>
      </c>
      <c r="AW302" s="2">
        <f t="shared" si="41"/>
        <v>32.9</v>
      </c>
      <c r="AX302" s="27">
        <f t="shared" si="42"/>
        <v>1.3540766349755113</v>
      </c>
      <c r="BA302" s="2">
        <f t="shared" si="43"/>
        <v>4.7039999999999997</v>
      </c>
      <c r="BB302" s="2">
        <f t="shared" si="44"/>
        <v>4.7039999999999997</v>
      </c>
      <c r="BC302" s="2">
        <f t="shared" si="45"/>
        <v>0</v>
      </c>
      <c r="BD302" s="2">
        <f t="shared" si="46"/>
        <v>0</v>
      </c>
      <c r="BE302" s="2">
        <f t="shared" si="47"/>
        <v>0</v>
      </c>
      <c r="BF302" s="2">
        <f t="shared" si="48"/>
        <v>0</v>
      </c>
      <c r="BJ302" s="2" t="str">
        <f t="shared" si="49"/>
        <v/>
      </c>
    </row>
    <row r="303" spans="1:62" ht="15" customHeight="1" x14ac:dyDescent="0.45">
      <c r="A303" s="2" t="s">
        <v>286</v>
      </c>
      <c r="B303" s="2" t="s">
        <v>287</v>
      </c>
      <c r="C303" s="2">
        <v>2019</v>
      </c>
      <c r="D303" s="2">
        <v>7.5</v>
      </c>
      <c r="E303" s="2">
        <v>9.4819999999999993</v>
      </c>
      <c r="F303" s="2" t="s">
        <v>146</v>
      </c>
      <c r="G303" s="2" t="s">
        <v>146</v>
      </c>
      <c r="H303" s="2" t="s">
        <v>146</v>
      </c>
      <c r="I303" s="2" t="s">
        <v>146</v>
      </c>
      <c r="J303" s="2" t="s">
        <v>146</v>
      </c>
      <c r="K303" s="2" t="s">
        <v>146</v>
      </c>
      <c r="L303" s="2" t="s">
        <v>146</v>
      </c>
      <c r="M303" s="2" t="s">
        <v>49</v>
      </c>
      <c r="N303" s="2" t="s">
        <v>146</v>
      </c>
      <c r="O303" s="2" t="s">
        <v>146</v>
      </c>
      <c r="P303" s="2" t="s">
        <v>146</v>
      </c>
      <c r="Q303" s="2" t="s">
        <v>146</v>
      </c>
      <c r="R303" s="2" t="s">
        <v>146</v>
      </c>
      <c r="S303" s="2" t="s">
        <v>146</v>
      </c>
      <c r="T303" s="2" t="s">
        <v>146</v>
      </c>
      <c r="U303" s="2">
        <v>0.82099999999999995</v>
      </c>
      <c r="V303" s="2" t="s">
        <v>146</v>
      </c>
      <c r="W303" s="2" t="s">
        <v>146</v>
      </c>
      <c r="X303" s="2" t="s">
        <v>146</v>
      </c>
      <c r="Y303" s="2" t="s">
        <v>146</v>
      </c>
      <c r="Z303" s="2">
        <v>7.4139999999999997</v>
      </c>
      <c r="AA303" s="2" t="s">
        <v>146</v>
      </c>
      <c r="AB303" s="2" t="s">
        <v>146</v>
      </c>
      <c r="AC303" s="2" t="s">
        <v>146</v>
      </c>
      <c r="AD303" s="2" t="s">
        <v>146</v>
      </c>
      <c r="AE303" s="2" t="s">
        <v>146</v>
      </c>
      <c r="AF303" s="2" t="s">
        <v>146</v>
      </c>
      <c r="AG303" s="2">
        <v>1.2470000000000001</v>
      </c>
      <c r="AH303" s="2" t="s">
        <v>146</v>
      </c>
      <c r="AI303" s="2" t="s">
        <v>146</v>
      </c>
      <c r="AJ303" s="2" t="s">
        <v>146</v>
      </c>
      <c r="AK303" s="2" t="s">
        <v>146</v>
      </c>
      <c r="AL303" s="2" t="s">
        <v>146</v>
      </c>
      <c r="AM303" s="2" t="s">
        <v>146</v>
      </c>
      <c r="AN303" s="2" t="s">
        <v>49</v>
      </c>
      <c r="AO303" s="2" t="s">
        <v>146</v>
      </c>
      <c r="AP303" s="2" t="s">
        <v>146</v>
      </c>
      <c r="AQ303" s="2" t="s">
        <v>146</v>
      </c>
      <c r="AR303" s="2" t="s">
        <v>146</v>
      </c>
      <c r="AV303" s="2">
        <f t="shared" si="40"/>
        <v>9.4819999999999993</v>
      </c>
      <c r="AW303" s="2">
        <f t="shared" si="41"/>
        <v>7.5</v>
      </c>
      <c r="AX303" s="27">
        <f t="shared" si="42"/>
        <v>0.79097236869858689</v>
      </c>
      <c r="BA303" s="2">
        <f t="shared" si="43"/>
        <v>0</v>
      </c>
      <c r="BB303" s="2">
        <f t="shared" si="44"/>
        <v>0</v>
      </c>
      <c r="BC303" s="2">
        <f t="shared" si="45"/>
        <v>0</v>
      </c>
      <c r="BD303" s="2">
        <f t="shared" si="46"/>
        <v>0</v>
      </c>
      <c r="BE303" s="2">
        <f t="shared" si="47"/>
        <v>0</v>
      </c>
      <c r="BF303" s="2">
        <f t="shared" si="48"/>
        <v>0</v>
      </c>
      <c r="BJ303" s="2" t="str">
        <f t="shared" si="49"/>
        <v/>
      </c>
    </row>
    <row r="304" spans="1:62" ht="15" customHeight="1" x14ac:dyDescent="0.45">
      <c r="A304" s="2" t="s">
        <v>286</v>
      </c>
      <c r="B304" s="2" t="s">
        <v>285</v>
      </c>
      <c r="C304" s="2">
        <v>2019</v>
      </c>
      <c r="D304" s="2">
        <v>182.4</v>
      </c>
      <c r="E304" s="2">
        <v>221.92099999999999</v>
      </c>
      <c r="F304" s="2" t="s">
        <v>146</v>
      </c>
      <c r="G304" s="2">
        <v>1.9419999999999999</v>
      </c>
      <c r="H304" s="2" t="s">
        <v>146</v>
      </c>
      <c r="I304" s="2">
        <v>1.3169999999999999</v>
      </c>
      <c r="J304" s="2" t="s">
        <v>146</v>
      </c>
      <c r="K304" s="2" t="s">
        <v>146</v>
      </c>
      <c r="L304" s="2" t="s">
        <v>146</v>
      </c>
      <c r="M304" s="2" t="s">
        <v>49</v>
      </c>
      <c r="N304" s="2">
        <v>3.9E-2</v>
      </c>
      <c r="O304" s="2" t="s">
        <v>146</v>
      </c>
      <c r="P304" s="2">
        <v>0.17199999999999999</v>
      </c>
      <c r="Q304" s="2">
        <v>0.32800000000000001</v>
      </c>
      <c r="R304" s="2" t="s">
        <v>146</v>
      </c>
      <c r="S304" s="2" t="s">
        <v>146</v>
      </c>
      <c r="T304" s="2" t="s">
        <v>146</v>
      </c>
      <c r="U304" s="2">
        <v>13.11</v>
      </c>
      <c r="V304" s="2" t="s">
        <v>146</v>
      </c>
      <c r="W304" s="2" t="s">
        <v>146</v>
      </c>
      <c r="X304" s="2">
        <v>85.567999999999998</v>
      </c>
      <c r="Y304" s="2">
        <v>5.6609999999999996</v>
      </c>
      <c r="Z304" s="2" t="s">
        <v>146</v>
      </c>
      <c r="AA304" s="2" t="s">
        <v>146</v>
      </c>
      <c r="AB304" s="2" t="s">
        <v>146</v>
      </c>
      <c r="AC304" s="2">
        <v>96.307000000000002</v>
      </c>
      <c r="AD304" s="2">
        <v>1.84</v>
      </c>
      <c r="AE304" s="2" t="s">
        <v>233</v>
      </c>
      <c r="AF304" s="2">
        <v>47.816000000000003</v>
      </c>
      <c r="AG304" s="2" t="s">
        <v>146</v>
      </c>
      <c r="AH304" s="2">
        <v>17.477</v>
      </c>
      <c r="AI304" s="2" t="s">
        <v>146</v>
      </c>
      <c r="AJ304" s="2" t="s">
        <v>146</v>
      </c>
      <c r="AK304" s="2" t="s">
        <v>146</v>
      </c>
      <c r="AL304" s="2" t="s">
        <v>146</v>
      </c>
      <c r="AM304" s="2">
        <v>2.988</v>
      </c>
      <c r="AN304" s="2" t="s">
        <v>49</v>
      </c>
      <c r="AO304" s="2">
        <v>85.04</v>
      </c>
      <c r="AP304" s="2">
        <v>14.22</v>
      </c>
      <c r="AQ304" s="2">
        <v>0.74</v>
      </c>
      <c r="AR304" s="2">
        <v>0</v>
      </c>
      <c r="AV304" s="2">
        <f t="shared" si="40"/>
        <v>221.92100000000002</v>
      </c>
      <c r="AW304" s="2">
        <f t="shared" si="41"/>
        <v>182.4</v>
      </c>
      <c r="AX304" s="27">
        <f t="shared" si="42"/>
        <v>0.82191410456874292</v>
      </c>
      <c r="BA304" s="2">
        <f t="shared" si="43"/>
        <v>17.477</v>
      </c>
      <c r="BB304" s="2">
        <f t="shared" si="44"/>
        <v>14.862440800000002</v>
      </c>
      <c r="BC304" s="2">
        <f t="shared" si="45"/>
        <v>2.4852294000000001</v>
      </c>
      <c r="BD304" s="2">
        <f t="shared" si="46"/>
        <v>0.12932979999999999</v>
      </c>
      <c r="BE304" s="2">
        <f t="shared" si="47"/>
        <v>0</v>
      </c>
      <c r="BF304" s="2">
        <f t="shared" si="48"/>
        <v>0</v>
      </c>
      <c r="BJ304" s="2" t="str">
        <f t="shared" si="49"/>
        <v/>
      </c>
    </row>
    <row r="305" spans="1:62" ht="15" customHeight="1" x14ac:dyDescent="0.45">
      <c r="A305" s="2" t="s">
        <v>284</v>
      </c>
      <c r="B305" s="2" t="s">
        <v>283</v>
      </c>
      <c r="C305" s="2">
        <v>2019</v>
      </c>
      <c r="D305" s="2">
        <v>8.1630000000000003</v>
      </c>
      <c r="E305" s="2">
        <v>8.6289999999999996</v>
      </c>
      <c r="F305" s="2" t="s">
        <v>146</v>
      </c>
      <c r="G305" s="2">
        <v>8.7999999999999995E-2</v>
      </c>
      <c r="H305" s="2" t="s">
        <v>146</v>
      </c>
      <c r="I305" s="2" t="s">
        <v>146</v>
      </c>
      <c r="J305" s="2" t="s">
        <v>146</v>
      </c>
      <c r="K305" s="2" t="s">
        <v>146</v>
      </c>
      <c r="L305" s="2" t="s">
        <v>146</v>
      </c>
      <c r="M305" s="2" t="s">
        <v>49</v>
      </c>
      <c r="N305" s="2" t="s">
        <v>146</v>
      </c>
      <c r="O305" s="2" t="s">
        <v>146</v>
      </c>
      <c r="P305" s="2" t="s">
        <v>146</v>
      </c>
      <c r="Q305" s="2" t="s">
        <v>146</v>
      </c>
      <c r="R305" s="2" t="s">
        <v>146</v>
      </c>
      <c r="S305" s="2" t="s">
        <v>146</v>
      </c>
      <c r="T305" s="2" t="s">
        <v>146</v>
      </c>
      <c r="U305" s="2">
        <v>1.4999999999999999E-2</v>
      </c>
      <c r="V305" s="2" t="s">
        <v>146</v>
      </c>
      <c r="W305" s="2" t="s">
        <v>146</v>
      </c>
      <c r="X305" s="2" t="s">
        <v>146</v>
      </c>
      <c r="Y305" s="2" t="s">
        <v>146</v>
      </c>
      <c r="Z305" s="2" t="s">
        <v>146</v>
      </c>
      <c r="AA305" s="2">
        <v>8.5259999999999998</v>
      </c>
      <c r="AB305" s="2" t="s">
        <v>146</v>
      </c>
      <c r="AC305" s="2" t="s">
        <v>146</v>
      </c>
      <c r="AD305" s="2" t="s">
        <v>146</v>
      </c>
      <c r="AE305" s="2" t="s">
        <v>146</v>
      </c>
      <c r="AF305" s="2" t="s">
        <v>146</v>
      </c>
      <c r="AG305" s="2" t="s">
        <v>146</v>
      </c>
      <c r="AH305" s="2" t="s">
        <v>146</v>
      </c>
      <c r="AI305" s="2" t="s">
        <v>146</v>
      </c>
      <c r="AJ305" s="2" t="s">
        <v>146</v>
      </c>
      <c r="AK305" s="2" t="s">
        <v>146</v>
      </c>
      <c r="AL305" s="2" t="s">
        <v>146</v>
      </c>
      <c r="AM305" s="2" t="s">
        <v>146</v>
      </c>
      <c r="AN305" s="2" t="s">
        <v>49</v>
      </c>
      <c r="AO305" s="2" t="s">
        <v>146</v>
      </c>
      <c r="AP305" s="2" t="s">
        <v>146</v>
      </c>
      <c r="AQ305" s="2" t="s">
        <v>146</v>
      </c>
      <c r="AR305" s="2" t="s">
        <v>146</v>
      </c>
      <c r="AV305" s="2">
        <f t="shared" si="40"/>
        <v>8.6289999999999996</v>
      </c>
      <c r="AW305" s="2">
        <f t="shared" si="41"/>
        <v>8.1630000000000003</v>
      </c>
      <c r="AX305" s="27">
        <f t="shared" si="42"/>
        <v>0.94599605979835444</v>
      </c>
      <c r="BA305" s="2">
        <f t="shared" si="43"/>
        <v>0</v>
      </c>
      <c r="BB305" s="2">
        <f t="shared" si="44"/>
        <v>0</v>
      </c>
      <c r="BC305" s="2">
        <f t="shared" si="45"/>
        <v>0</v>
      </c>
      <c r="BD305" s="2">
        <f t="shared" si="46"/>
        <v>0</v>
      </c>
      <c r="BE305" s="2">
        <f t="shared" si="47"/>
        <v>0</v>
      </c>
      <c r="BF305" s="2">
        <f t="shared" si="48"/>
        <v>0</v>
      </c>
      <c r="BJ305" s="2" t="str">
        <f t="shared" si="49"/>
        <v/>
      </c>
    </row>
    <row r="306" spans="1:62" ht="15" customHeight="1" x14ac:dyDescent="0.45">
      <c r="A306" s="2" t="s">
        <v>280</v>
      </c>
      <c r="B306" s="2" t="s">
        <v>282</v>
      </c>
      <c r="C306" s="2">
        <v>2019</v>
      </c>
      <c r="D306" s="2">
        <v>4.101</v>
      </c>
      <c r="E306" s="2">
        <v>4.3470000000000004</v>
      </c>
      <c r="F306" s="2" t="s">
        <v>146</v>
      </c>
      <c r="G306" s="2">
        <v>9.7000000000000003E-2</v>
      </c>
      <c r="H306" s="2" t="s">
        <v>146</v>
      </c>
      <c r="I306" s="2" t="s">
        <v>146</v>
      </c>
      <c r="J306" s="2" t="s">
        <v>146</v>
      </c>
      <c r="K306" s="2" t="s">
        <v>146</v>
      </c>
      <c r="L306" s="2" t="s">
        <v>146</v>
      </c>
      <c r="M306" s="2" t="s">
        <v>49</v>
      </c>
      <c r="N306" s="2" t="s">
        <v>146</v>
      </c>
      <c r="O306" s="2" t="s">
        <v>146</v>
      </c>
      <c r="P306" s="2" t="s">
        <v>146</v>
      </c>
      <c r="Q306" s="2" t="s">
        <v>146</v>
      </c>
      <c r="R306" s="2" t="s">
        <v>146</v>
      </c>
      <c r="S306" s="2" t="s">
        <v>146</v>
      </c>
      <c r="T306" s="2" t="s">
        <v>146</v>
      </c>
      <c r="U306" s="2">
        <v>4.25</v>
      </c>
      <c r="V306" s="2" t="s">
        <v>146</v>
      </c>
      <c r="W306" s="2" t="s">
        <v>146</v>
      </c>
      <c r="X306" s="2" t="s">
        <v>146</v>
      </c>
      <c r="Y306" s="2" t="s">
        <v>146</v>
      </c>
      <c r="Z306" s="2" t="s">
        <v>146</v>
      </c>
      <c r="AA306" s="2" t="s">
        <v>146</v>
      </c>
      <c r="AB306" s="2" t="s">
        <v>146</v>
      </c>
      <c r="AC306" s="2" t="s">
        <v>146</v>
      </c>
      <c r="AD306" s="2" t="s">
        <v>146</v>
      </c>
      <c r="AE306" s="2" t="s">
        <v>146</v>
      </c>
      <c r="AF306" s="2" t="s">
        <v>146</v>
      </c>
      <c r="AG306" s="2" t="s">
        <v>146</v>
      </c>
      <c r="AH306" s="2" t="s">
        <v>146</v>
      </c>
      <c r="AI306" s="2" t="s">
        <v>146</v>
      </c>
      <c r="AJ306" s="2" t="s">
        <v>146</v>
      </c>
      <c r="AK306" s="2" t="s">
        <v>146</v>
      </c>
      <c r="AL306" s="2" t="s">
        <v>146</v>
      </c>
      <c r="AM306" s="2" t="s">
        <v>146</v>
      </c>
      <c r="AN306" s="2" t="s">
        <v>49</v>
      </c>
      <c r="AO306" s="2" t="s">
        <v>146</v>
      </c>
      <c r="AP306" s="2" t="s">
        <v>146</v>
      </c>
      <c r="AQ306" s="2" t="s">
        <v>146</v>
      </c>
      <c r="AR306" s="2" t="s">
        <v>146</v>
      </c>
      <c r="AV306" s="2">
        <f t="shared" si="40"/>
        <v>4.3470000000000004</v>
      </c>
      <c r="AW306" s="2">
        <f t="shared" si="41"/>
        <v>4.101</v>
      </c>
      <c r="AX306" s="27">
        <f t="shared" si="42"/>
        <v>0.9434092477570738</v>
      </c>
      <c r="BA306" s="2">
        <f t="shared" si="43"/>
        <v>0</v>
      </c>
      <c r="BB306" s="2">
        <f t="shared" si="44"/>
        <v>0</v>
      </c>
      <c r="BC306" s="2">
        <f t="shared" si="45"/>
        <v>0</v>
      </c>
      <c r="BD306" s="2">
        <f t="shared" si="46"/>
        <v>0</v>
      </c>
      <c r="BE306" s="2">
        <f t="shared" si="47"/>
        <v>0</v>
      </c>
      <c r="BF306" s="2">
        <f t="shared" si="48"/>
        <v>0</v>
      </c>
      <c r="BJ306" s="2" t="str">
        <f t="shared" si="49"/>
        <v/>
      </c>
    </row>
    <row r="307" spans="1:62" ht="15" customHeight="1" x14ac:dyDescent="0.45">
      <c r="A307" s="2" t="s">
        <v>280</v>
      </c>
      <c r="B307" s="2" t="s">
        <v>281</v>
      </c>
      <c r="C307" s="2">
        <v>2019</v>
      </c>
      <c r="D307" s="2">
        <v>55.027000000000001</v>
      </c>
      <c r="E307" s="2">
        <v>66.456999999999994</v>
      </c>
      <c r="F307" s="2" t="s">
        <v>146</v>
      </c>
      <c r="G307" s="2">
        <v>0.26500000000000001</v>
      </c>
      <c r="H307" s="2" t="s">
        <v>146</v>
      </c>
      <c r="I307" s="2" t="s">
        <v>146</v>
      </c>
      <c r="J307" s="2" t="s">
        <v>146</v>
      </c>
      <c r="K307" s="2" t="s">
        <v>146</v>
      </c>
      <c r="L307" s="2" t="s">
        <v>146</v>
      </c>
      <c r="M307" s="2" t="s">
        <v>49</v>
      </c>
      <c r="N307" s="2">
        <v>47.2</v>
      </c>
      <c r="O307" s="2" t="s">
        <v>146</v>
      </c>
      <c r="P307" s="2" t="s">
        <v>146</v>
      </c>
      <c r="Q307" s="2" t="s">
        <v>146</v>
      </c>
      <c r="R307" s="2" t="s">
        <v>146</v>
      </c>
      <c r="S307" s="2" t="s">
        <v>146</v>
      </c>
      <c r="T307" s="2" t="s">
        <v>146</v>
      </c>
      <c r="U307" s="2">
        <v>13.991</v>
      </c>
      <c r="V307" s="2" t="s">
        <v>146</v>
      </c>
      <c r="W307" s="2" t="s">
        <v>146</v>
      </c>
      <c r="X307" s="2" t="s">
        <v>146</v>
      </c>
      <c r="Y307" s="2" t="s">
        <v>146</v>
      </c>
      <c r="Z307" s="2" t="s">
        <v>146</v>
      </c>
      <c r="AA307" s="2" t="s">
        <v>146</v>
      </c>
      <c r="AB307" s="2" t="s">
        <v>146</v>
      </c>
      <c r="AC307" s="2" t="s">
        <v>146</v>
      </c>
      <c r="AD307" s="2" t="s">
        <v>146</v>
      </c>
      <c r="AE307" s="2" t="s">
        <v>146</v>
      </c>
      <c r="AF307" s="2" t="s">
        <v>146</v>
      </c>
      <c r="AG307" s="2" t="s">
        <v>146</v>
      </c>
      <c r="AH307" s="2">
        <v>5.0010000000000003</v>
      </c>
      <c r="AI307" s="2" t="s">
        <v>146</v>
      </c>
      <c r="AJ307" s="2" t="s">
        <v>146</v>
      </c>
      <c r="AK307" s="2" t="s">
        <v>146</v>
      </c>
      <c r="AL307" s="2" t="s">
        <v>146</v>
      </c>
      <c r="AM307" s="2" t="s">
        <v>146</v>
      </c>
      <c r="AN307" s="2" t="s">
        <v>49</v>
      </c>
      <c r="AO307" s="2">
        <v>100</v>
      </c>
      <c r="AP307" s="2" t="s">
        <v>146</v>
      </c>
      <c r="AQ307" s="2" t="s">
        <v>146</v>
      </c>
      <c r="AR307" s="2" t="s">
        <v>146</v>
      </c>
      <c r="AV307" s="2">
        <f t="shared" si="40"/>
        <v>66.457000000000008</v>
      </c>
      <c r="AW307" s="2">
        <f t="shared" si="41"/>
        <v>55.027000000000001</v>
      </c>
      <c r="AX307" s="27">
        <f t="shared" si="42"/>
        <v>0.82800908858359534</v>
      </c>
      <c r="BA307" s="2">
        <f t="shared" si="43"/>
        <v>5.0010000000000003</v>
      </c>
      <c r="BB307" s="2">
        <f t="shared" si="44"/>
        <v>5.0010000000000003</v>
      </c>
      <c r="BC307" s="2">
        <f t="shared" si="45"/>
        <v>0</v>
      </c>
      <c r="BD307" s="2">
        <f t="shared" si="46"/>
        <v>0</v>
      </c>
      <c r="BE307" s="2">
        <f t="shared" si="47"/>
        <v>0</v>
      </c>
      <c r="BF307" s="2">
        <f t="shared" si="48"/>
        <v>0</v>
      </c>
      <c r="BJ307" s="2" t="str">
        <f t="shared" si="49"/>
        <v/>
      </c>
    </row>
    <row r="308" spans="1:62" ht="15" customHeight="1" x14ac:dyDescent="0.45">
      <c r="A308" s="2" t="s">
        <v>280</v>
      </c>
      <c r="B308" s="2" t="s">
        <v>279</v>
      </c>
      <c r="C308" s="2">
        <v>2019</v>
      </c>
      <c r="D308" s="2">
        <v>7.1449999999999996</v>
      </c>
      <c r="E308" s="2">
        <v>7.4569999999999999</v>
      </c>
      <c r="F308" s="2" t="s">
        <v>146</v>
      </c>
      <c r="G308" s="2" t="s">
        <v>146</v>
      </c>
      <c r="H308" s="2" t="s">
        <v>146</v>
      </c>
      <c r="I308" s="2" t="s">
        <v>146</v>
      </c>
      <c r="J308" s="2" t="s">
        <v>146</v>
      </c>
      <c r="K308" s="2" t="s">
        <v>146</v>
      </c>
      <c r="L308" s="2" t="s">
        <v>146</v>
      </c>
      <c r="M308" s="2" t="s">
        <v>49</v>
      </c>
      <c r="N308" s="2" t="s">
        <v>146</v>
      </c>
      <c r="O308" s="2" t="s">
        <v>146</v>
      </c>
      <c r="P308" s="2" t="s">
        <v>146</v>
      </c>
      <c r="Q308" s="2" t="s">
        <v>146</v>
      </c>
      <c r="R308" s="2" t="s">
        <v>146</v>
      </c>
      <c r="S308" s="2" t="s">
        <v>146</v>
      </c>
      <c r="T308" s="2" t="s">
        <v>146</v>
      </c>
      <c r="U308" s="2" t="s">
        <v>146</v>
      </c>
      <c r="V308" s="2">
        <v>7.4569999999999999</v>
      </c>
      <c r="W308" s="2" t="s">
        <v>146</v>
      </c>
      <c r="X308" s="2" t="s">
        <v>146</v>
      </c>
      <c r="Y308" s="2" t="s">
        <v>146</v>
      </c>
      <c r="Z308" s="2" t="s">
        <v>146</v>
      </c>
      <c r="AA308" s="2" t="s">
        <v>146</v>
      </c>
      <c r="AB308" s="2" t="s">
        <v>146</v>
      </c>
      <c r="AC308" s="2" t="s">
        <v>146</v>
      </c>
      <c r="AD308" s="2" t="s">
        <v>146</v>
      </c>
      <c r="AE308" s="2" t="s">
        <v>146</v>
      </c>
      <c r="AF308" s="2" t="s">
        <v>146</v>
      </c>
      <c r="AG308" s="2" t="s">
        <v>146</v>
      </c>
      <c r="AH308" s="2" t="s">
        <v>146</v>
      </c>
      <c r="AI308" s="2" t="s">
        <v>146</v>
      </c>
      <c r="AJ308" s="2" t="s">
        <v>146</v>
      </c>
      <c r="AK308" s="2" t="s">
        <v>146</v>
      </c>
      <c r="AL308" s="2" t="s">
        <v>146</v>
      </c>
      <c r="AM308" s="2">
        <v>0.81699999999999995</v>
      </c>
      <c r="AN308" s="2" t="s">
        <v>49</v>
      </c>
      <c r="AO308" s="2" t="s">
        <v>146</v>
      </c>
      <c r="AP308" s="2" t="s">
        <v>146</v>
      </c>
      <c r="AQ308" s="2" t="s">
        <v>146</v>
      </c>
      <c r="AR308" s="2" t="s">
        <v>146</v>
      </c>
      <c r="AV308" s="2">
        <f t="shared" si="40"/>
        <v>7.4569999999999999</v>
      </c>
      <c r="AW308" s="2">
        <f t="shared" si="41"/>
        <v>7.1449999999999996</v>
      </c>
      <c r="AX308" s="27">
        <f t="shared" si="42"/>
        <v>0.95816011800992351</v>
      </c>
      <c r="BA308" s="2">
        <f t="shared" si="43"/>
        <v>0</v>
      </c>
      <c r="BB308" s="2">
        <f t="shared" si="44"/>
        <v>0</v>
      </c>
      <c r="BC308" s="2">
        <f t="shared" si="45"/>
        <v>0</v>
      </c>
      <c r="BD308" s="2">
        <f t="shared" si="46"/>
        <v>0</v>
      </c>
      <c r="BE308" s="2">
        <f t="shared" si="47"/>
        <v>0</v>
      </c>
      <c r="BF308" s="2">
        <f t="shared" si="48"/>
        <v>0</v>
      </c>
      <c r="BJ308" s="2" t="str">
        <f t="shared" si="49"/>
        <v/>
      </c>
    </row>
    <row r="309" spans="1:62" ht="15" customHeight="1" x14ac:dyDescent="0.45">
      <c r="A309" s="2" t="s">
        <v>278</v>
      </c>
      <c r="B309" s="2" t="s">
        <v>278</v>
      </c>
      <c r="C309" s="2">
        <v>2019</v>
      </c>
      <c r="D309" s="2" t="s">
        <v>49</v>
      </c>
      <c r="E309" s="2" t="s">
        <v>49</v>
      </c>
      <c r="F309" s="2" t="s">
        <v>49</v>
      </c>
      <c r="G309" s="2" t="s">
        <v>49</v>
      </c>
      <c r="H309" s="2" t="s">
        <v>49</v>
      </c>
      <c r="I309" s="2" t="s">
        <v>49</v>
      </c>
      <c r="J309" s="2" t="s">
        <v>49</v>
      </c>
      <c r="K309" s="2" t="s">
        <v>49</v>
      </c>
      <c r="L309" s="2" t="s">
        <v>49</v>
      </c>
      <c r="M309" s="2" t="s">
        <v>49</v>
      </c>
      <c r="N309" s="2" t="s">
        <v>49</v>
      </c>
      <c r="O309" s="2" t="s">
        <v>49</v>
      </c>
      <c r="P309" s="2" t="s">
        <v>49</v>
      </c>
      <c r="Q309" s="2" t="s">
        <v>49</v>
      </c>
      <c r="R309" s="2" t="s">
        <v>49</v>
      </c>
      <c r="S309" s="2" t="s">
        <v>49</v>
      </c>
      <c r="T309" s="2" t="s">
        <v>49</v>
      </c>
      <c r="U309" s="2" t="s">
        <v>49</v>
      </c>
      <c r="V309" s="2" t="s">
        <v>49</v>
      </c>
      <c r="W309" s="2" t="s">
        <v>49</v>
      </c>
      <c r="X309" s="2" t="s">
        <v>49</v>
      </c>
      <c r="Y309" s="2" t="s">
        <v>49</v>
      </c>
      <c r="Z309" s="2" t="s">
        <v>49</v>
      </c>
      <c r="AA309" s="2" t="s">
        <v>49</v>
      </c>
      <c r="AB309" s="2" t="s">
        <v>49</v>
      </c>
      <c r="AC309" s="2" t="s">
        <v>49</v>
      </c>
      <c r="AD309" s="2" t="s">
        <v>49</v>
      </c>
      <c r="AE309" s="2" t="s">
        <v>49</v>
      </c>
      <c r="AF309" s="2" t="s">
        <v>49</v>
      </c>
      <c r="AG309" s="2" t="s">
        <v>49</v>
      </c>
      <c r="AH309" s="2" t="s">
        <v>49</v>
      </c>
      <c r="AI309" s="2" t="s">
        <v>49</v>
      </c>
      <c r="AJ309" s="2" t="s">
        <v>49</v>
      </c>
      <c r="AK309" s="2" t="s">
        <v>49</v>
      </c>
      <c r="AL309" s="2" t="s">
        <v>49</v>
      </c>
      <c r="AM309" s="2" t="s">
        <v>49</v>
      </c>
      <c r="AN309" s="2" t="s">
        <v>49</v>
      </c>
      <c r="AO309" s="2" t="s">
        <v>49</v>
      </c>
      <c r="AP309" s="2" t="s">
        <v>49</v>
      </c>
      <c r="AQ309" s="2" t="s">
        <v>49</v>
      </c>
      <c r="AR309" s="2" t="s">
        <v>49</v>
      </c>
      <c r="AV309" s="2">
        <f t="shared" si="40"/>
        <v>0</v>
      </c>
      <c r="AW309" s="2">
        <f t="shared" si="41"/>
        <v>0</v>
      </c>
      <c r="AX309" s="27" t="str">
        <f t="shared" si="42"/>
        <v/>
      </c>
      <c r="BA309" s="2">
        <f t="shared" si="43"/>
        <v>0</v>
      </c>
      <c r="BB309" s="2">
        <f t="shared" si="44"/>
        <v>0</v>
      </c>
      <c r="BC309" s="2">
        <f t="shared" si="45"/>
        <v>0</v>
      </c>
      <c r="BD309" s="2">
        <f t="shared" si="46"/>
        <v>0</v>
      </c>
      <c r="BE309" s="2">
        <f t="shared" si="47"/>
        <v>0</v>
      </c>
      <c r="BF309" s="2">
        <f t="shared" si="48"/>
        <v>0</v>
      </c>
      <c r="BJ309" s="2" t="str">
        <f t="shared" si="49"/>
        <v/>
      </c>
    </row>
    <row r="310" spans="1:62" ht="15" customHeight="1" x14ac:dyDescent="0.45">
      <c r="A310" s="2" t="s">
        <v>277</v>
      </c>
      <c r="B310" s="2" t="s">
        <v>130</v>
      </c>
      <c r="C310" s="2">
        <v>2019</v>
      </c>
      <c r="D310" s="2" t="s">
        <v>146</v>
      </c>
      <c r="E310" s="2" t="s">
        <v>146</v>
      </c>
      <c r="F310" s="2" t="s">
        <v>146</v>
      </c>
      <c r="G310" s="2" t="s">
        <v>146</v>
      </c>
      <c r="H310" s="2" t="s">
        <v>146</v>
      </c>
      <c r="I310" s="2" t="s">
        <v>146</v>
      </c>
      <c r="J310" s="2" t="s">
        <v>146</v>
      </c>
      <c r="K310" s="2" t="s">
        <v>146</v>
      </c>
      <c r="L310" s="2" t="s">
        <v>146</v>
      </c>
      <c r="M310" s="2" t="s">
        <v>49</v>
      </c>
      <c r="N310" s="2" t="s">
        <v>146</v>
      </c>
      <c r="O310" s="2" t="s">
        <v>146</v>
      </c>
      <c r="P310" s="2" t="s">
        <v>146</v>
      </c>
      <c r="Q310" s="2" t="s">
        <v>146</v>
      </c>
      <c r="R310" s="2" t="s">
        <v>146</v>
      </c>
      <c r="S310" s="2" t="s">
        <v>146</v>
      </c>
      <c r="T310" s="2" t="s">
        <v>146</v>
      </c>
      <c r="U310" s="2" t="s">
        <v>146</v>
      </c>
      <c r="V310" s="2" t="s">
        <v>146</v>
      </c>
      <c r="W310" s="2" t="s">
        <v>146</v>
      </c>
      <c r="X310" s="2" t="s">
        <v>146</v>
      </c>
      <c r="Y310" s="2" t="s">
        <v>146</v>
      </c>
      <c r="Z310" s="2" t="s">
        <v>146</v>
      </c>
      <c r="AA310" s="2" t="s">
        <v>146</v>
      </c>
      <c r="AB310" s="2" t="s">
        <v>146</v>
      </c>
      <c r="AC310" s="2" t="s">
        <v>146</v>
      </c>
      <c r="AD310" s="2" t="s">
        <v>146</v>
      </c>
      <c r="AE310" s="2" t="s">
        <v>146</v>
      </c>
      <c r="AF310" s="2" t="s">
        <v>146</v>
      </c>
      <c r="AG310" s="2" t="s">
        <v>146</v>
      </c>
      <c r="AH310" s="2" t="s">
        <v>146</v>
      </c>
      <c r="AI310" s="2" t="s">
        <v>146</v>
      </c>
      <c r="AJ310" s="2" t="s">
        <v>146</v>
      </c>
      <c r="AK310" s="2" t="s">
        <v>146</v>
      </c>
      <c r="AL310" s="2" t="s">
        <v>146</v>
      </c>
      <c r="AM310" s="2" t="s">
        <v>146</v>
      </c>
      <c r="AN310" s="2" t="s">
        <v>49</v>
      </c>
      <c r="AO310" s="2" t="s">
        <v>146</v>
      </c>
      <c r="AP310" s="2" t="s">
        <v>146</v>
      </c>
      <c r="AQ310" s="2" t="s">
        <v>146</v>
      </c>
      <c r="AR310" s="2" t="s">
        <v>146</v>
      </c>
      <c r="AV310" s="2">
        <f t="shared" si="40"/>
        <v>0</v>
      </c>
      <c r="AW310" s="2">
        <f t="shared" si="41"/>
        <v>0</v>
      </c>
      <c r="AX310" s="27" t="str">
        <f t="shared" si="42"/>
        <v/>
      </c>
      <c r="BA310" s="2">
        <f t="shared" si="43"/>
        <v>0</v>
      </c>
      <c r="BB310" s="2">
        <f t="shared" si="44"/>
        <v>0</v>
      </c>
      <c r="BC310" s="2">
        <f t="shared" si="45"/>
        <v>0</v>
      </c>
      <c r="BD310" s="2">
        <f t="shared" si="46"/>
        <v>0</v>
      </c>
      <c r="BE310" s="2">
        <f t="shared" si="47"/>
        <v>0</v>
      </c>
      <c r="BF310" s="2">
        <f t="shared" si="48"/>
        <v>0</v>
      </c>
      <c r="BJ310" s="2" t="str">
        <f t="shared" si="49"/>
        <v/>
      </c>
    </row>
    <row r="311" spans="1:62" ht="15" customHeight="1" x14ac:dyDescent="0.45">
      <c r="A311" s="2" t="s">
        <v>276</v>
      </c>
      <c r="B311" s="2" t="s">
        <v>275</v>
      </c>
      <c r="C311" s="2">
        <v>2019</v>
      </c>
      <c r="D311" s="2">
        <v>13.3</v>
      </c>
      <c r="E311" s="2">
        <v>13.297000000000001</v>
      </c>
      <c r="F311" s="2" t="s">
        <v>146</v>
      </c>
      <c r="G311" s="2">
        <v>0.59699999999999998</v>
      </c>
      <c r="H311" s="2" t="s">
        <v>146</v>
      </c>
      <c r="I311" s="2" t="s">
        <v>146</v>
      </c>
      <c r="J311" s="2" t="s">
        <v>146</v>
      </c>
      <c r="K311" s="2" t="s">
        <v>146</v>
      </c>
      <c r="L311" s="2" t="s">
        <v>146</v>
      </c>
      <c r="M311" s="2" t="s">
        <v>274</v>
      </c>
      <c r="N311" s="2">
        <v>12.7</v>
      </c>
      <c r="O311" s="2" t="s">
        <v>146</v>
      </c>
      <c r="P311" s="2" t="s">
        <v>146</v>
      </c>
      <c r="Q311" s="2" t="s">
        <v>146</v>
      </c>
      <c r="R311" s="2" t="s">
        <v>146</v>
      </c>
      <c r="S311" s="2" t="s">
        <v>146</v>
      </c>
      <c r="T311" s="2" t="s">
        <v>147</v>
      </c>
      <c r="U311" s="2" t="s">
        <v>146</v>
      </c>
      <c r="V311" s="2" t="s">
        <v>146</v>
      </c>
      <c r="W311" s="2" t="s">
        <v>146</v>
      </c>
      <c r="X311" s="2" t="s">
        <v>146</v>
      </c>
      <c r="Y311" s="2" t="s">
        <v>146</v>
      </c>
      <c r="Z311" s="2" t="s">
        <v>146</v>
      </c>
      <c r="AA311" s="2" t="s">
        <v>146</v>
      </c>
      <c r="AB311" s="2" t="s">
        <v>146</v>
      </c>
      <c r="AC311" s="2" t="s">
        <v>146</v>
      </c>
      <c r="AD311" s="2" t="s">
        <v>146</v>
      </c>
      <c r="AE311" s="2" t="s">
        <v>146</v>
      </c>
      <c r="AF311" s="2" t="s">
        <v>146</v>
      </c>
      <c r="AG311" s="2" t="s">
        <v>146</v>
      </c>
      <c r="AH311" s="2" t="s">
        <v>146</v>
      </c>
      <c r="AI311" s="2" t="s">
        <v>146</v>
      </c>
      <c r="AJ311" s="2" t="s">
        <v>146</v>
      </c>
      <c r="AK311" s="2" t="s">
        <v>146</v>
      </c>
      <c r="AL311" s="2" t="s">
        <v>146</v>
      </c>
      <c r="AM311" s="2" t="s">
        <v>146</v>
      </c>
      <c r="AN311" s="2" t="s">
        <v>176</v>
      </c>
      <c r="AO311" s="2">
        <v>100</v>
      </c>
      <c r="AP311" s="2" t="s">
        <v>146</v>
      </c>
      <c r="AQ311" s="2" t="s">
        <v>146</v>
      </c>
      <c r="AR311" s="2" t="s">
        <v>146</v>
      </c>
      <c r="AV311" s="2">
        <f t="shared" si="40"/>
        <v>13.296999999999999</v>
      </c>
      <c r="AW311" s="2">
        <f t="shared" si="41"/>
        <v>13.3</v>
      </c>
      <c r="AX311" s="27">
        <f t="shared" si="42"/>
        <v>1.000225614800331</v>
      </c>
      <c r="BA311" s="2">
        <f t="shared" si="43"/>
        <v>0</v>
      </c>
      <c r="BB311" s="2">
        <f t="shared" si="44"/>
        <v>0</v>
      </c>
      <c r="BC311" s="2">
        <f t="shared" si="45"/>
        <v>0</v>
      </c>
      <c r="BD311" s="2">
        <f t="shared" si="46"/>
        <v>0</v>
      </c>
      <c r="BE311" s="2">
        <f t="shared" si="47"/>
        <v>0</v>
      </c>
      <c r="BF311" s="2">
        <f t="shared" si="48"/>
        <v>0</v>
      </c>
      <c r="BJ311" s="2" t="str">
        <f t="shared" si="49"/>
        <v>ja</v>
      </c>
    </row>
    <row r="312" spans="1:62" ht="15" customHeight="1" x14ac:dyDescent="0.45">
      <c r="A312" s="2" t="s">
        <v>273</v>
      </c>
      <c r="B312" s="2" t="s">
        <v>272</v>
      </c>
      <c r="C312" s="2">
        <v>2019</v>
      </c>
      <c r="D312" s="2">
        <v>89.7</v>
      </c>
      <c r="E312" s="2">
        <v>103.91</v>
      </c>
      <c r="F312" s="2" t="s">
        <v>146</v>
      </c>
      <c r="G312" s="2">
        <v>0.11</v>
      </c>
      <c r="H312" s="2" t="s">
        <v>146</v>
      </c>
      <c r="I312" s="2" t="s">
        <v>146</v>
      </c>
      <c r="J312" s="2">
        <v>1.5</v>
      </c>
      <c r="K312" s="2" t="s">
        <v>146</v>
      </c>
      <c r="L312" s="2" t="s">
        <v>146</v>
      </c>
      <c r="M312" s="2" t="s">
        <v>176</v>
      </c>
      <c r="N312" s="2">
        <v>20.2</v>
      </c>
      <c r="O312" s="2">
        <v>11.3</v>
      </c>
      <c r="P312" s="2">
        <v>48.5</v>
      </c>
      <c r="Q312" s="2" t="s">
        <v>146</v>
      </c>
      <c r="R312" s="2" t="s">
        <v>146</v>
      </c>
      <c r="S312" s="2" t="s">
        <v>146</v>
      </c>
      <c r="T312" s="2" t="s">
        <v>147</v>
      </c>
      <c r="U312" s="2">
        <v>3.54</v>
      </c>
      <c r="V312" s="2" t="s">
        <v>146</v>
      </c>
      <c r="W312" s="2" t="s">
        <v>146</v>
      </c>
      <c r="X312" s="2" t="s">
        <v>146</v>
      </c>
      <c r="Y312" s="2" t="s">
        <v>146</v>
      </c>
      <c r="Z312" s="2" t="s">
        <v>146</v>
      </c>
      <c r="AA312" s="2" t="s">
        <v>146</v>
      </c>
      <c r="AB312" s="2" t="s">
        <v>146</v>
      </c>
      <c r="AC312" s="2" t="s">
        <v>146</v>
      </c>
      <c r="AD312" s="2" t="s">
        <v>146</v>
      </c>
      <c r="AE312" s="2" t="s">
        <v>146</v>
      </c>
      <c r="AF312" s="2" t="s">
        <v>146</v>
      </c>
      <c r="AG312" s="2">
        <v>3.7</v>
      </c>
      <c r="AH312" s="2">
        <v>15.06</v>
      </c>
      <c r="AI312" s="2" t="s">
        <v>146</v>
      </c>
      <c r="AJ312" s="2" t="s">
        <v>146</v>
      </c>
      <c r="AK312" s="2" t="s">
        <v>146</v>
      </c>
      <c r="AL312" s="2" t="s">
        <v>146</v>
      </c>
      <c r="AM312" s="2" t="s">
        <v>146</v>
      </c>
      <c r="AN312" s="2" t="s">
        <v>176</v>
      </c>
      <c r="AO312" s="2">
        <v>100</v>
      </c>
      <c r="AP312" s="2" t="s">
        <v>146</v>
      </c>
      <c r="AQ312" s="2" t="s">
        <v>146</v>
      </c>
      <c r="AR312" s="2" t="s">
        <v>146</v>
      </c>
      <c r="AV312" s="2">
        <f t="shared" si="40"/>
        <v>103.91000000000001</v>
      </c>
      <c r="AW312" s="2">
        <f t="shared" si="41"/>
        <v>89.7</v>
      </c>
      <c r="AX312" s="27">
        <f t="shared" si="42"/>
        <v>0.86324704070830516</v>
      </c>
      <c r="BA312" s="2">
        <f t="shared" si="43"/>
        <v>15.06</v>
      </c>
      <c r="BB312" s="2">
        <f t="shared" si="44"/>
        <v>15.06</v>
      </c>
      <c r="BC312" s="2">
        <f t="shared" si="45"/>
        <v>0</v>
      </c>
      <c r="BD312" s="2">
        <f t="shared" si="46"/>
        <v>0</v>
      </c>
      <c r="BE312" s="2">
        <f t="shared" si="47"/>
        <v>0</v>
      </c>
      <c r="BF312" s="2">
        <f t="shared" si="48"/>
        <v>0</v>
      </c>
      <c r="BJ312" s="2" t="str">
        <f t="shared" si="49"/>
        <v/>
      </c>
    </row>
    <row r="313" spans="1:62" ht="15" customHeight="1" x14ac:dyDescent="0.45">
      <c r="A313" s="2" t="s">
        <v>271</v>
      </c>
      <c r="B313" s="2" t="s">
        <v>270</v>
      </c>
      <c r="C313" s="2">
        <v>2019</v>
      </c>
      <c r="D313" s="2">
        <v>231</v>
      </c>
      <c r="E313" s="2">
        <v>264.64</v>
      </c>
      <c r="F313" s="2" t="s">
        <v>146</v>
      </c>
      <c r="G313" s="2">
        <v>0.14000000000000001</v>
      </c>
      <c r="H313" s="2" t="s">
        <v>146</v>
      </c>
      <c r="I313" s="2" t="s">
        <v>146</v>
      </c>
      <c r="J313" s="2" t="s">
        <v>146</v>
      </c>
      <c r="K313" s="2" t="s">
        <v>146</v>
      </c>
      <c r="L313" s="2" t="s">
        <v>146</v>
      </c>
      <c r="M313" s="2" t="s">
        <v>146</v>
      </c>
      <c r="N313" s="2">
        <v>206.5</v>
      </c>
      <c r="O313" s="2" t="s">
        <v>146</v>
      </c>
      <c r="P313" s="2" t="s">
        <v>146</v>
      </c>
      <c r="Q313" s="2" t="s">
        <v>146</v>
      </c>
      <c r="R313" s="2" t="s">
        <v>146</v>
      </c>
      <c r="S313" s="2" t="s">
        <v>146</v>
      </c>
      <c r="T313" s="2" t="s">
        <v>147</v>
      </c>
      <c r="U313" s="2" t="s">
        <v>146</v>
      </c>
      <c r="V313" s="2" t="s">
        <v>146</v>
      </c>
      <c r="W313" s="2" t="s">
        <v>146</v>
      </c>
      <c r="X313" s="2" t="s">
        <v>146</v>
      </c>
      <c r="Y313" s="2" t="s">
        <v>146</v>
      </c>
      <c r="Z313" s="2">
        <v>24.3</v>
      </c>
      <c r="AA313" s="2" t="s">
        <v>146</v>
      </c>
      <c r="AB313" s="2" t="s">
        <v>146</v>
      </c>
      <c r="AC313" s="2" t="s">
        <v>146</v>
      </c>
      <c r="AD313" s="2" t="s">
        <v>146</v>
      </c>
      <c r="AE313" s="2" t="s">
        <v>155</v>
      </c>
      <c r="AF313" s="2" t="s">
        <v>146</v>
      </c>
      <c r="AG313" s="2" t="s">
        <v>146</v>
      </c>
      <c r="AH313" s="2">
        <v>33.700000000000003</v>
      </c>
      <c r="AI313" s="2" t="s">
        <v>146</v>
      </c>
      <c r="AJ313" s="2" t="s">
        <v>146</v>
      </c>
      <c r="AK313" s="2" t="s">
        <v>146</v>
      </c>
      <c r="AL313" s="2" t="s">
        <v>146</v>
      </c>
      <c r="AM313" s="2" t="s">
        <v>146</v>
      </c>
      <c r="AN313" s="2" t="s">
        <v>146</v>
      </c>
      <c r="AO313" s="2">
        <v>100</v>
      </c>
      <c r="AP313" s="2">
        <v>0</v>
      </c>
      <c r="AQ313" s="2">
        <v>0</v>
      </c>
      <c r="AR313" s="2">
        <v>0</v>
      </c>
      <c r="AV313" s="2">
        <f t="shared" si="40"/>
        <v>264.64</v>
      </c>
      <c r="AW313" s="2">
        <f t="shared" si="41"/>
        <v>231</v>
      </c>
      <c r="AX313" s="27">
        <f t="shared" si="42"/>
        <v>0.87288391777509078</v>
      </c>
      <c r="BA313" s="2">
        <f t="shared" si="43"/>
        <v>33.700000000000003</v>
      </c>
      <c r="BB313" s="2">
        <f t="shared" si="44"/>
        <v>33.700000000000003</v>
      </c>
      <c r="BC313" s="2">
        <f t="shared" si="45"/>
        <v>0</v>
      </c>
      <c r="BD313" s="2">
        <f t="shared" si="46"/>
        <v>0</v>
      </c>
      <c r="BE313" s="2">
        <f t="shared" si="47"/>
        <v>0</v>
      </c>
      <c r="BF313" s="2">
        <f t="shared" si="48"/>
        <v>0</v>
      </c>
      <c r="BJ313" s="2" t="str">
        <f t="shared" si="49"/>
        <v/>
      </c>
    </row>
    <row r="314" spans="1:62" ht="15" customHeight="1" x14ac:dyDescent="0.45">
      <c r="A314" s="2" t="s">
        <v>267</v>
      </c>
      <c r="B314" s="2" t="s">
        <v>269</v>
      </c>
      <c r="C314" s="2">
        <v>2019</v>
      </c>
      <c r="D314" s="2">
        <v>4.9749999999999996</v>
      </c>
      <c r="E314" s="2">
        <v>5.6029999999999998</v>
      </c>
      <c r="F314" s="2" t="s">
        <v>146</v>
      </c>
      <c r="G314" s="2" t="s">
        <v>146</v>
      </c>
      <c r="H314" s="2" t="s">
        <v>146</v>
      </c>
      <c r="I314" s="2" t="s">
        <v>146</v>
      </c>
      <c r="J314" s="2" t="s">
        <v>146</v>
      </c>
      <c r="K314" s="2" t="s">
        <v>146</v>
      </c>
      <c r="L314" s="2" t="s">
        <v>146</v>
      </c>
      <c r="M314" s="2" t="s">
        <v>49</v>
      </c>
      <c r="N314" s="2" t="s">
        <v>146</v>
      </c>
      <c r="O314" s="2" t="s">
        <v>146</v>
      </c>
      <c r="P314" s="2" t="s">
        <v>146</v>
      </c>
      <c r="Q314" s="2" t="s">
        <v>146</v>
      </c>
      <c r="R314" s="2" t="s">
        <v>146</v>
      </c>
      <c r="S314" s="2" t="s">
        <v>146</v>
      </c>
      <c r="T314" s="2" t="s">
        <v>146</v>
      </c>
      <c r="U314" s="2">
        <v>5.4550000000000001</v>
      </c>
      <c r="V314" s="2" t="s">
        <v>146</v>
      </c>
      <c r="W314" s="2" t="s">
        <v>146</v>
      </c>
      <c r="X314" s="2" t="s">
        <v>146</v>
      </c>
      <c r="Y314" s="2" t="s">
        <v>146</v>
      </c>
      <c r="Z314" s="2">
        <v>0.14799999999999999</v>
      </c>
      <c r="AA314" s="2" t="s">
        <v>146</v>
      </c>
      <c r="AB314" s="2" t="s">
        <v>146</v>
      </c>
      <c r="AC314" s="2" t="s">
        <v>146</v>
      </c>
      <c r="AD314" s="2" t="s">
        <v>146</v>
      </c>
      <c r="AE314" s="2" t="s">
        <v>146</v>
      </c>
      <c r="AF314" s="2" t="s">
        <v>146</v>
      </c>
      <c r="AG314" s="2" t="s">
        <v>146</v>
      </c>
      <c r="AH314" s="2" t="s">
        <v>146</v>
      </c>
      <c r="AI314" s="2" t="s">
        <v>146</v>
      </c>
      <c r="AJ314" s="2" t="s">
        <v>146</v>
      </c>
      <c r="AK314" s="2" t="s">
        <v>146</v>
      </c>
      <c r="AL314" s="2" t="s">
        <v>146</v>
      </c>
      <c r="AM314" s="2" t="s">
        <v>146</v>
      </c>
      <c r="AN314" s="2" t="s">
        <v>49</v>
      </c>
      <c r="AO314" s="2" t="s">
        <v>146</v>
      </c>
      <c r="AP314" s="2" t="s">
        <v>146</v>
      </c>
      <c r="AQ314" s="2" t="s">
        <v>146</v>
      </c>
      <c r="AR314" s="2" t="s">
        <v>146</v>
      </c>
      <c r="AV314" s="2">
        <f t="shared" si="40"/>
        <v>5.6029999999999998</v>
      </c>
      <c r="AW314" s="2">
        <f t="shared" si="41"/>
        <v>4.9749999999999996</v>
      </c>
      <c r="AX314" s="27">
        <f t="shared" si="42"/>
        <v>0.88791718722113155</v>
      </c>
      <c r="BA314" s="2">
        <f t="shared" si="43"/>
        <v>0</v>
      </c>
      <c r="BB314" s="2">
        <f t="shared" si="44"/>
        <v>0</v>
      </c>
      <c r="BC314" s="2">
        <f t="shared" si="45"/>
        <v>0</v>
      </c>
      <c r="BD314" s="2">
        <f t="shared" si="46"/>
        <v>0</v>
      </c>
      <c r="BE314" s="2">
        <f t="shared" si="47"/>
        <v>0</v>
      </c>
      <c r="BF314" s="2">
        <f t="shared" si="48"/>
        <v>0</v>
      </c>
      <c r="BJ314" s="2" t="str">
        <f t="shared" si="49"/>
        <v/>
      </c>
    </row>
    <row r="315" spans="1:62" ht="15" customHeight="1" x14ac:dyDescent="0.45">
      <c r="A315" s="2" t="s">
        <v>267</v>
      </c>
      <c r="B315" s="2" t="s">
        <v>268</v>
      </c>
      <c r="C315" s="2">
        <v>2019</v>
      </c>
      <c r="D315" s="2">
        <v>7.6180000000000003</v>
      </c>
      <c r="E315" s="2">
        <v>8.7260000000000009</v>
      </c>
      <c r="F315" s="2" t="s">
        <v>146</v>
      </c>
      <c r="G315" s="2" t="s">
        <v>146</v>
      </c>
      <c r="H315" s="2" t="s">
        <v>146</v>
      </c>
      <c r="I315" s="2" t="s">
        <v>146</v>
      </c>
      <c r="J315" s="2" t="s">
        <v>146</v>
      </c>
      <c r="K315" s="2" t="s">
        <v>146</v>
      </c>
      <c r="L315" s="2" t="s">
        <v>146</v>
      </c>
      <c r="M315" s="2" t="s">
        <v>49</v>
      </c>
      <c r="N315" s="2" t="s">
        <v>146</v>
      </c>
      <c r="O315" s="2" t="s">
        <v>146</v>
      </c>
      <c r="P315" s="2">
        <v>2.5179999999999998</v>
      </c>
      <c r="Q315" s="2" t="s">
        <v>146</v>
      </c>
      <c r="R315" s="2" t="s">
        <v>146</v>
      </c>
      <c r="S315" s="2" t="s">
        <v>146</v>
      </c>
      <c r="T315" s="2" t="s">
        <v>146</v>
      </c>
      <c r="U315" s="2">
        <v>6.02</v>
      </c>
      <c r="V315" s="2" t="s">
        <v>146</v>
      </c>
      <c r="W315" s="2" t="s">
        <v>146</v>
      </c>
      <c r="X315" s="2" t="s">
        <v>146</v>
      </c>
      <c r="Y315" s="2" t="s">
        <v>146</v>
      </c>
      <c r="Z315" s="2">
        <v>0.188</v>
      </c>
      <c r="AA315" s="2" t="s">
        <v>146</v>
      </c>
      <c r="AB315" s="2" t="s">
        <v>146</v>
      </c>
      <c r="AC315" s="2" t="s">
        <v>146</v>
      </c>
      <c r="AD315" s="2" t="s">
        <v>146</v>
      </c>
      <c r="AE315" s="2" t="s">
        <v>146</v>
      </c>
      <c r="AF315" s="2" t="s">
        <v>146</v>
      </c>
      <c r="AG315" s="2" t="s">
        <v>146</v>
      </c>
      <c r="AH315" s="2" t="s">
        <v>146</v>
      </c>
      <c r="AI315" s="2" t="s">
        <v>146</v>
      </c>
      <c r="AJ315" s="2" t="s">
        <v>146</v>
      </c>
      <c r="AK315" s="2" t="s">
        <v>146</v>
      </c>
      <c r="AL315" s="2" t="s">
        <v>146</v>
      </c>
      <c r="AM315" s="2" t="s">
        <v>146</v>
      </c>
      <c r="AN315" s="2" t="s">
        <v>49</v>
      </c>
      <c r="AO315" s="2" t="s">
        <v>146</v>
      </c>
      <c r="AP315" s="2" t="s">
        <v>146</v>
      </c>
      <c r="AQ315" s="2" t="s">
        <v>146</v>
      </c>
      <c r="AR315" s="2" t="s">
        <v>146</v>
      </c>
      <c r="AV315" s="2">
        <f t="shared" si="40"/>
        <v>8.7260000000000009</v>
      </c>
      <c r="AW315" s="2">
        <f t="shared" si="41"/>
        <v>7.6180000000000003</v>
      </c>
      <c r="AX315" s="27">
        <f t="shared" si="42"/>
        <v>0.87302314920925961</v>
      </c>
      <c r="BA315" s="2">
        <f t="shared" si="43"/>
        <v>0</v>
      </c>
      <c r="BB315" s="2">
        <f t="shared" si="44"/>
        <v>0</v>
      </c>
      <c r="BC315" s="2">
        <f t="shared" si="45"/>
        <v>0</v>
      </c>
      <c r="BD315" s="2">
        <f t="shared" si="46"/>
        <v>0</v>
      </c>
      <c r="BE315" s="2">
        <f t="shared" si="47"/>
        <v>0</v>
      </c>
      <c r="BF315" s="2">
        <f t="shared" si="48"/>
        <v>0</v>
      </c>
      <c r="BJ315" s="2" t="str">
        <f t="shared" si="49"/>
        <v/>
      </c>
    </row>
    <row r="316" spans="1:62" ht="15" customHeight="1" x14ac:dyDescent="0.45">
      <c r="A316" s="2" t="s">
        <v>267</v>
      </c>
      <c r="B316" s="2" t="s">
        <v>266</v>
      </c>
      <c r="C316" s="2">
        <v>2019</v>
      </c>
      <c r="D316" s="2">
        <v>86.994</v>
      </c>
      <c r="E316" s="2">
        <v>101.842</v>
      </c>
      <c r="F316" s="2" t="s">
        <v>146</v>
      </c>
      <c r="G316" s="2">
        <v>0.33900000000000002</v>
      </c>
      <c r="H316" s="2" t="s">
        <v>146</v>
      </c>
      <c r="I316" s="2" t="s">
        <v>146</v>
      </c>
      <c r="J316" s="2" t="s">
        <v>146</v>
      </c>
      <c r="K316" s="2" t="s">
        <v>146</v>
      </c>
      <c r="L316" s="2" t="s">
        <v>146</v>
      </c>
      <c r="M316" s="2" t="s">
        <v>49</v>
      </c>
      <c r="N316" s="2" t="s">
        <v>146</v>
      </c>
      <c r="O316" s="2" t="s">
        <v>146</v>
      </c>
      <c r="P316" s="2">
        <v>57.58</v>
      </c>
      <c r="Q316" s="2" t="s">
        <v>146</v>
      </c>
      <c r="R316" s="2" t="s">
        <v>146</v>
      </c>
      <c r="S316" s="2" t="s">
        <v>146</v>
      </c>
      <c r="T316" s="2" t="s">
        <v>146</v>
      </c>
      <c r="U316" s="2" t="s">
        <v>146</v>
      </c>
      <c r="V316" s="2" t="s">
        <v>146</v>
      </c>
      <c r="W316" s="2" t="s">
        <v>146</v>
      </c>
      <c r="X316" s="2">
        <v>6.585</v>
      </c>
      <c r="Y316" s="2" t="s">
        <v>146</v>
      </c>
      <c r="Z316" s="2">
        <v>0.13600000000000001</v>
      </c>
      <c r="AA316" s="2" t="s">
        <v>146</v>
      </c>
      <c r="AB316" s="2">
        <v>18.506</v>
      </c>
      <c r="AC316" s="2" t="s">
        <v>146</v>
      </c>
      <c r="AD316" s="2" t="s">
        <v>146</v>
      </c>
      <c r="AE316" s="2" t="s">
        <v>155</v>
      </c>
      <c r="AF316" s="2" t="s">
        <v>146</v>
      </c>
      <c r="AG316" s="2" t="s">
        <v>146</v>
      </c>
      <c r="AH316" s="2">
        <v>18.696000000000002</v>
      </c>
      <c r="AI316" s="2" t="s">
        <v>146</v>
      </c>
      <c r="AJ316" s="2" t="s">
        <v>146</v>
      </c>
      <c r="AK316" s="2" t="s">
        <v>146</v>
      </c>
      <c r="AL316" s="2" t="s">
        <v>146</v>
      </c>
      <c r="AM316" s="2" t="s">
        <v>146</v>
      </c>
      <c r="AN316" s="2" t="s">
        <v>49</v>
      </c>
      <c r="AO316" s="2">
        <v>78</v>
      </c>
      <c r="AP316" s="2" t="s">
        <v>146</v>
      </c>
      <c r="AQ316" s="2" t="s">
        <v>146</v>
      </c>
      <c r="AR316" s="2">
        <v>22</v>
      </c>
      <c r="AV316" s="2">
        <f t="shared" si="40"/>
        <v>101.84199999999998</v>
      </c>
      <c r="AW316" s="2">
        <f t="shared" si="41"/>
        <v>86.994</v>
      </c>
      <c r="AX316" s="27">
        <f t="shared" si="42"/>
        <v>0.85420553406256761</v>
      </c>
      <c r="BA316" s="2">
        <f t="shared" si="43"/>
        <v>18.696000000000002</v>
      </c>
      <c r="BB316" s="2">
        <f t="shared" si="44"/>
        <v>14.582880000000001</v>
      </c>
      <c r="BC316" s="2">
        <f t="shared" si="45"/>
        <v>0</v>
      </c>
      <c r="BD316" s="2">
        <f t="shared" si="46"/>
        <v>0</v>
      </c>
      <c r="BE316" s="2">
        <f t="shared" si="47"/>
        <v>4.1131200000000003</v>
      </c>
      <c r="BF316" s="2">
        <f t="shared" si="48"/>
        <v>0</v>
      </c>
      <c r="BJ316" s="2" t="str">
        <f t="shared" si="49"/>
        <v/>
      </c>
    </row>
    <row r="317" spans="1:62" ht="15" customHeight="1" x14ac:dyDescent="0.45">
      <c r="A317" s="2" t="s">
        <v>263</v>
      </c>
      <c r="B317" s="2" t="s">
        <v>265</v>
      </c>
      <c r="C317" s="2">
        <v>2019</v>
      </c>
      <c r="D317" s="2">
        <v>2.46</v>
      </c>
      <c r="E317" s="2">
        <v>2.5709</v>
      </c>
      <c r="F317" s="2" t="s">
        <v>146</v>
      </c>
      <c r="G317" s="2">
        <v>5.0900000000000001E-2</v>
      </c>
      <c r="H317" s="2" t="s">
        <v>146</v>
      </c>
      <c r="I317" s="2" t="s">
        <v>146</v>
      </c>
      <c r="J317" s="2" t="s">
        <v>146</v>
      </c>
      <c r="K317" s="2" t="s">
        <v>146</v>
      </c>
      <c r="L317" s="2" t="s">
        <v>146</v>
      </c>
      <c r="M317" s="2" t="s">
        <v>49</v>
      </c>
      <c r="N317" s="2" t="s">
        <v>146</v>
      </c>
      <c r="O317" s="2" t="s">
        <v>146</v>
      </c>
      <c r="P317" s="2" t="s">
        <v>146</v>
      </c>
      <c r="Q317" s="2" t="s">
        <v>146</v>
      </c>
      <c r="R317" s="2" t="s">
        <v>146</v>
      </c>
      <c r="S317" s="2" t="s">
        <v>146</v>
      </c>
      <c r="T317" s="2" t="s">
        <v>146</v>
      </c>
      <c r="U317" s="2">
        <v>2.52</v>
      </c>
      <c r="V317" s="2" t="s">
        <v>146</v>
      </c>
      <c r="W317" s="2" t="s">
        <v>146</v>
      </c>
      <c r="X317" s="2" t="s">
        <v>146</v>
      </c>
      <c r="Y317" s="2" t="s">
        <v>146</v>
      </c>
      <c r="Z317" s="2" t="s">
        <v>146</v>
      </c>
      <c r="AA317" s="2" t="s">
        <v>146</v>
      </c>
      <c r="AB317" s="2" t="s">
        <v>146</v>
      </c>
      <c r="AC317" s="2" t="s">
        <v>146</v>
      </c>
      <c r="AD317" s="2" t="s">
        <v>146</v>
      </c>
      <c r="AE317" s="2" t="s">
        <v>146</v>
      </c>
      <c r="AF317" s="2" t="s">
        <v>146</v>
      </c>
      <c r="AG317" s="2" t="s">
        <v>146</v>
      </c>
      <c r="AH317" s="2" t="s">
        <v>146</v>
      </c>
      <c r="AI317" s="2" t="s">
        <v>146</v>
      </c>
      <c r="AJ317" s="2" t="s">
        <v>146</v>
      </c>
      <c r="AK317" s="2" t="s">
        <v>146</v>
      </c>
      <c r="AL317" s="2" t="s">
        <v>146</v>
      </c>
      <c r="AM317" s="2" t="s">
        <v>146</v>
      </c>
      <c r="AN317" s="2" t="s">
        <v>49</v>
      </c>
      <c r="AO317" s="2" t="s">
        <v>146</v>
      </c>
      <c r="AP317" s="2" t="s">
        <v>146</v>
      </c>
      <c r="AQ317" s="2" t="s">
        <v>146</v>
      </c>
      <c r="AR317" s="2" t="s">
        <v>146</v>
      </c>
      <c r="AV317" s="2">
        <f t="shared" si="40"/>
        <v>2.5709</v>
      </c>
      <c r="AW317" s="2">
        <f t="shared" si="41"/>
        <v>2.46</v>
      </c>
      <c r="AX317" s="27">
        <f t="shared" si="42"/>
        <v>0.95686335524524491</v>
      </c>
      <c r="BA317" s="2">
        <f t="shared" si="43"/>
        <v>0</v>
      </c>
      <c r="BB317" s="2">
        <f t="shared" si="44"/>
        <v>0</v>
      </c>
      <c r="BC317" s="2">
        <f t="shared" si="45"/>
        <v>0</v>
      </c>
      <c r="BD317" s="2">
        <f t="shared" si="46"/>
        <v>0</v>
      </c>
      <c r="BE317" s="2">
        <f t="shared" si="47"/>
        <v>0</v>
      </c>
      <c r="BF317" s="2">
        <f t="shared" si="48"/>
        <v>0</v>
      </c>
      <c r="BJ317" s="2" t="str">
        <f t="shared" si="49"/>
        <v/>
      </c>
    </row>
    <row r="318" spans="1:62" ht="15" customHeight="1" x14ac:dyDescent="0.45">
      <c r="A318" s="2" t="s">
        <v>263</v>
      </c>
      <c r="B318" s="2" t="s">
        <v>264</v>
      </c>
      <c r="C318" s="2">
        <v>2019</v>
      </c>
      <c r="D318" s="2">
        <v>0.85119999999999996</v>
      </c>
      <c r="E318" s="2">
        <v>0.88978849999999998</v>
      </c>
      <c r="F318" s="2" t="s">
        <v>146</v>
      </c>
      <c r="G318" s="2" t="s">
        <v>146</v>
      </c>
      <c r="H318" s="2" t="s">
        <v>146</v>
      </c>
      <c r="I318" s="2" t="s">
        <v>146</v>
      </c>
      <c r="J318" s="2" t="s">
        <v>146</v>
      </c>
      <c r="K318" s="2" t="s">
        <v>146</v>
      </c>
      <c r="L318" s="2" t="s">
        <v>146</v>
      </c>
      <c r="M318" s="2" t="s">
        <v>49</v>
      </c>
      <c r="N318" s="2" t="s">
        <v>146</v>
      </c>
      <c r="O318" s="2" t="s">
        <v>146</v>
      </c>
      <c r="P318" s="2" t="s">
        <v>146</v>
      </c>
      <c r="Q318" s="2" t="s">
        <v>146</v>
      </c>
      <c r="R318" s="2" t="s">
        <v>146</v>
      </c>
      <c r="S318" s="2" t="s">
        <v>146</v>
      </c>
      <c r="T318" s="2" t="s">
        <v>146</v>
      </c>
      <c r="U318" s="2">
        <v>0.88917849999999998</v>
      </c>
      <c r="V318" s="2" t="s">
        <v>146</v>
      </c>
      <c r="W318" s="2" t="s">
        <v>49</v>
      </c>
      <c r="X318" s="2" t="s">
        <v>49</v>
      </c>
      <c r="Y318" s="2" t="s">
        <v>49</v>
      </c>
      <c r="Z318" s="2" t="s">
        <v>49</v>
      </c>
      <c r="AA318" s="2" t="s">
        <v>49</v>
      </c>
      <c r="AB318" s="2" t="s">
        <v>49</v>
      </c>
      <c r="AC318" s="2" t="s">
        <v>49</v>
      </c>
      <c r="AD318" s="2" t="s">
        <v>49</v>
      </c>
      <c r="AE318" s="2" t="s">
        <v>49</v>
      </c>
      <c r="AF318" s="2" t="s">
        <v>49</v>
      </c>
      <c r="AG318" s="2" t="s">
        <v>49</v>
      </c>
      <c r="AH318" s="2" t="s">
        <v>49</v>
      </c>
      <c r="AI318" s="2" t="s">
        <v>49</v>
      </c>
      <c r="AJ318" s="2" t="s">
        <v>49</v>
      </c>
      <c r="AK318" s="2" t="s">
        <v>49</v>
      </c>
      <c r="AL318" s="2">
        <v>6.0999999999999997E-4</v>
      </c>
      <c r="AM318" s="2">
        <v>6.0999999999999997E-4</v>
      </c>
      <c r="AN318" s="2" t="s">
        <v>49</v>
      </c>
      <c r="AO318" s="2" t="s">
        <v>146</v>
      </c>
      <c r="AP318" s="2" t="s">
        <v>146</v>
      </c>
      <c r="AQ318" s="2" t="s">
        <v>146</v>
      </c>
      <c r="AR318" s="2" t="s">
        <v>146</v>
      </c>
      <c r="AV318" s="2">
        <f t="shared" si="40"/>
        <v>0.88978849999999998</v>
      </c>
      <c r="AW318" s="2">
        <f t="shared" si="41"/>
        <v>0.85119999999999996</v>
      </c>
      <c r="AX318" s="27">
        <f t="shared" si="42"/>
        <v>0.95663182879976527</v>
      </c>
      <c r="BA318" s="2">
        <f t="shared" si="43"/>
        <v>0</v>
      </c>
      <c r="BB318" s="2">
        <f t="shared" si="44"/>
        <v>0</v>
      </c>
      <c r="BC318" s="2">
        <f t="shared" si="45"/>
        <v>0</v>
      </c>
      <c r="BD318" s="2">
        <f t="shared" si="46"/>
        <v>0</v>
      </c>
      <c r="BE318" s="2">
        <f t="shared" si="47"/>
        <v>0</v>
      </c>
      <c r="BF318" s="2">
        <f t="shared" si="48"/>
        <v>0</v>
      </c>
      <c r="BJ318" s="2" t="str">
        <f t="shared" si="49"/>
        <v/>
      </c>
    </row>
    <row r="319" spans="1:62" ht="15" customHeight="1" x14ac:dyDescent="0.45">
      <c r="A319" s="2" t="s">
        <v>263</v>
      </c>
      <c r="B319" s="2" t="s">
        <v>262</v>
      </c>
      <c r="C319" s="2">
        <v>2019</v>
      </c>
      <c r="D319" s="2">
        <v>2.274</v>
      </c>
      <c r="E319" s="2">
        <v>2.65137</v>
      </c>
      <c r="F319" s="2" t="s">
        <v>146</v>
      </c>
      <c r="G319" s="2">
        <v>0.14637</v>
      </c>
      <c r="H319" s="2" t="s">
        <v>49</v>
      </c>
      <c r="I319" s="2" t="s">
        <v>49</v>
      </c>
      <c r="J319" s="2" t="s">
        <v>49</v>
      </c>
      <c r="K319" s="2" t="s">
        <v>49</v>
      </c>
      <c r="L319" s="2" t="s">
        <v>49</v>
      </c>
      <c r="M319" s="2" t="s">
        <v>49</v>
      </c>
      <c r="N319" s="2" t="s">
        <v>146</v>
      </c>
      <c r="O319" s="2" t="s">
        <v>146</v>
      </c>
      <c r="P319" s="2" t="s">
        <v>146</v>
      </c>
      <c r="Q319" s="2" t="s">
        <v>146</v>
      </c>
      <c r="R319" s="2" t="s">
        <v>146</v>
      </c>
      <c r="S319" s="2" t="s">
        <v>146</v>
      </c>
      <c r="T319" s="2" t="s">
        <v>146</v>
      </c>
      <c r="U319" s="2">
        <v>2.5049999999999999</v>
      </c>
      <c r="V319" s="2" t="s">
        <v>49</v>
      </c>
      <c r="W319" s="2" t="s">
        <v>49</v>
      </c>
      <c r="X319" s="2" t="s">
        <v>49</v>
      </c>
      <c r="Y319" s="2" t="s">
        <v>49</v>
      </c>
      <c r="Z319" s="2" t="s">
        <v>49</v>
      </c>
      <c r="AA319" s="2" t="s">
        <v>49</v>
      </c>
      <c r="AB319" s="2" t="s">
        <v>49</v>
      </c>
      <c r="AC319" s="2" t="s">
        <v>49</v>
      </c>
      <c r="AD319" s="2" t="s">
        <v>49</v>
      </c>
      <c r="AE319" s="2" t="s">
        <v>49</v>
      </c>
      <c r="AF319" s="2" t="s">
        <v>49</v>
      </c>
      <c r="AG319" s="2" t="s">
        <v>49</v>
      </c>
      <c r="AH319" s="2" t="s">
        <v>49</v>
      </c>
      <c r="AI319" s="2" t="s">
        <v>49</v>
      </c>
      <c r="AJ319" s="2" t="s">
        <v>49</v>
      </c>
      <c r="AK319" s="2" t="s">
        <v>49</v>
      </c>
      <c r="AL319" s="2" t="s">
        <v>49</v>
      </c>
      <c r="AM319" s="2" t="s">
        <v>49</v>
      </c>
      <c r="AN319" s="2" t="s">
        <v>49</v>
      </c>
      <c r="AO319" s="2" t="s">
        <v>146</v>
      </c>
      <c r="AP319" s="2" t="s">
        <v>146</v>
      </c>
      <c r="AQ319" s="2" t="s">
        <v>146</v>
      </c>
      <c r="AR319" s="2" t="s">
        <v>146</v>
      </c>
      <c r="AV319" s="2">
        <f t="shared" si="40"/>
        <v>2.65137</v>
      </c>
      <c r="AW319" s="2">
        <f t="shared" si="41"/>
        <v>2.274</v>
      </c>
      <c r="AX319" s="27">
        <f t="shared" si="42"/>
        <v>0.85766980843865626</v>
      </c>
      <c r="BA319" s="2">
        <f t="shared" si="43"/>
        <v>0</v>
      </c>
      <c r="BB319" s="2">
        <f t="shared" si="44"/>
        <v>0</v>
      </c>
      <c r="BC319" s="2">
        <f t="shared" si="45"/>
        <v>0</v>
      </c>
      <c r="BD319" s="2">
        <f t="shared" si="46"/>
        <v>0</v>
      </c>
      <c r="BE319" s="2">
        <f t="shared" si="47"/>
        <v>0</v>
      </c>
      <c r="BF319" s="2">
        <f t="shared" si="48"/>
        <v>0</v>
      </c>
      <c r="BJ319" s="2" t="str">
        <f t="shared" si="49"/>
        <v/>
      </c>
    </row>
    <row r="320" spans="1:62" ht="15" customHeight="1" x14ac:dyDescent="0.45">
      <c r="A320" s="2" t="s">
        <v>258</v>
      </c>
      <c r="B320" s="2" t="s">
        <v>261</v>
      </c>
      <c r="C320" s="2">
        <v>2019</v>
      </c>
      <c r="D320" s="2">
        <v>8.7899999999999991</v>
      </c>
      <c r="E320" s="2">
        <v>9.41</v>
      </c>
      <c r="F320" s="2" t="s">
        <v>146</v>
      </c>
      <c r="G320" s="2">
        <v>1.71</v>
      </c>
      <c r="H320" s="2" t="s">
        <v>146</v>
      </c>
      <c r="I320" s="2" t="s">
        <v>146</v>
      </c>
      <c r="J320" s="2" t="s">
        <v>146</v>
      </c>
      <c r="K320" s="2" t="s">
        <v>146</v>
      </c>
      <c r="L320" s="2" t="s">
        <v>146</v>
      </c>
      <c r="M320" s="2" t="s">
        <v>176</v>
      </c>
      <c r="N320" s="2" t="s">
        <v>146</v>
      </c>
      <c r="O320" s="2" t="s">
        <v>146</v>
      </c>
      <c r="P320" s="2" t="s">
        <v>146</v>
      </c>
      <c r="Q320" s="2" t="s">
        <v>146</v>
      </c>
      <c r="R320" s="2" t="s">
        <v>146</v>
      </c>
      <c r="S320" s="2" t="s">
        <v>146</v>
      </c>
      <c r="T320" s="2" t="s">
        <v>146</v>
      </c>
      <c r="U320" s="2">
        <v>7.7</v>
      </c>
      <c r="V320" s="2" t="s">
        <v>146</v>
      </c>
      <c r="W320" s="2" t="s">
        <v>146</v>
      </c>
      <c r="X320" s="2" t="s">
        <v>146</v>
      </c>
      <c r="Y320" s="2" t="s">
        <v>146</v>
      </c>
      <c r="Z320" s="2" t="s">
        <v>146</v>
      </c>
      <c r="AA320" s="2" t="s">
        <v>146</v>
      </c>
      <c r="AB320" s="2" t="s">
        <v>146</v>
      </c>
      <c r="AC320" s="2" t="s">
        <v>146</v>
      </c>
      <c r="AD320" s="2" t="s">
        <v>146</v>
      </c>
      <c r="AE320" s="2" t="s">
        <v>146</v>
      </c>
      <c r="AF320" s="2" t="s">
        <v>146</v>
      </c>
      <c r="AG320" s="2" t="s">
        <v>146</v>
      </c>
      <c r="AH320" s="2" t="s">
        <v>146</v>
      </c>
      <c r="AI320" s="2" t="s">
        <v>146</v>
      </c>
      <c r="AJ320" s="2" t="s">
        <v>146</v>
      </c>
      <c r="AK320" s="2" t="s">
        <v>146</v>
      </c>
      <c r="AL320" s="2" t="s">
        <v>146</v>
      </c>
      <c r="AM320" s="2" t="s">
        <v>146</v>
      </c>
      <c r="AN320" s="2" t="s">
        <v>49</v>
      </c>
      <c r="AO320" s="2" t="s">
        <v>146</v>
      </c>
      <c r="AP320" s="2" t="s">
        <v>146</v>
      </c>
      <c r="AQ320" s="2" t="s">
        <v>146</v>
      </c>
      <c r="AR320" s="2" t="s">
        <v>146</v>
      </c>
      <c r="AV320" s="2">
        <f t="shared" si="40"/>
        <v>9.41</v>
      </c>
      <c r="AW320" s="2">
        <f t="shared" si="41"/>
        <v>8.7899999999999991</v>
      </c>
      <c r="AX320" s="27">
        <f t="shared" si="42"/>
        <v>0.93411264612114764</v>
      </c>
      <c r="BA320" s="2">
        <f t="shared" si="43"/>
        <v>0</v>
      </c>
      <c r="BB320" s="2">
        <f t="shared" si="44"/>
        <v>0</v>
      </c>
      <c r="BC320" s="2">
        <f t="shared" si="45"/>
        <v>0</v>
      </c>
      <c r="BD320" s="2">
        <f t="shared" si="46"/>
        <v>0</v>
      </c>
      <c r="BE320" s="2">
        <f t="shared" si="47"/>
        <v>0</v>
      </c>
      <c r="BF320" s="2">
        <f t="shared" si="48"/>
        <v>0</v>
      </c>
      <c r="BJ320" s="2" t="str">
        <f t="shared" si="49"/>
        <v/>
      </c>
    </row>
    <row r="321" spans="1:62" ht="15" customHeight="1" x14ac:dyDescent="0.45">
      <c r="A321" s="2" t="s">
        <v>258</v>
      </c>
      <c r="B321" s="2" t="s">
        <v>260</v>
      </c>
      <c r="C321" s="2">
        <v>2019</v>
      </c>
      <c r="D321" s="2">
        <v>9.6</v>
      </c>
      <c r="E321" s="2">
        <v>10.523999999999999</v>
      </c>
      <c r="F321" s="2" t="s">
        <v>146</v>
      </c>
      <c r="G321" s="2">
        <v>2.4E-2</v>
      </c>
      <c r="H321" s="2" t="s">
        <v>146</v>
      </c>
      <c r="I321" s="2" t="s">
        <v>146</v>
      </c>
      <c r="J321" s="2" t="s">
        <v>146</v>
      </c>
      <c r="K321" s="2" t="s">
        <v>146</v>
      </c>
      <c r="L321" s="2" t="s">
        <v>146</v>
      </c>
      <c r="M321" s="2" t="s">
        <v>49</v>
      </c>
      <c r="N321" s="2" t="s">
        <v>146</v>
      </c>
      <c r="O321" s="2" t="s">
        <v>146</v>
      </c>
      <c r="P321" s="2" t="s">
        <v>146</v>
      </c>
      <c r="Q321" s="2" t="s">
        <v>146</v>
      </c>
      <c r="R321" s="2" t="s">
        <v>146</v>
      </c>
      <c r="S321" s="2" t="s">
        <v>146</v>
      </c>
      <c r="T321" s="2" t="s">
        <v>146</v>
      </c>
      <c r="U321" s="2">
        <v>10.5</v>
      </c>
      <c r="V321" s="2" t="s">
        <v>146</v>
      </c>
      <c r="W321" s="2" t="s">
        <v>146</v>
      </c>
      <c r="X321" s="2" t="s">
        <v>146</v>
      </c>
      <c r="Y321" s="2" t="s">
        <v>146</v>
      </c>
      <c r="Z321" s="2" t="s">
        <v>146</v>
      </c>
      <c r="AA321" s="2" t="s">
        <v>146</v>
      </c>
      <c r="AB321" s="2" t="s">
        <v>146</v>
      </c>
      <c r="AC321" s="2" t="s">
        <v>146</v>
      </c>
      <c r="AD321" s="2" t="s">
        <v>146</v>
      </c>
      <c r="AE321" s="2" t="s">
        <v>146</v>
      </c>
      <c r="AF321" s="2" t="s">
        <v>146</v>
      </c>
      <c r="AG321" s="2" t="s">
        <v>146</v>
      </c>
      <c r="AH321" s="2" t="s">
        <v>146</v>
      </c>
      <c r="AI321" s="2" t="s">
        <v>146</v>
      </c>
      <c r="AJ321" s="2" t="s">
        <v>146</v>
      </c>
      <c r="AK321" s="2" t="s">
        <v>146</v>
      </c>
      <c r="AL321" s="2" t="s">
        <v>146</v>
      </c>
      <c r="AM321" s="2" t="s">
        <v>146</v>
      </c>
      <c r="AN321" s="2" t="s">
        <v>49</v>
      </c>
      <c r="AO321" s="2" t="s">
        <v>146</v>
      </c>
      <c r="AP321" s="2" t="s">
        <v>146</v>
      </c>
      <c r="AQ321" s="2" t="s">
        <v>146</v>
      </c>
      <c r="AR321" s="2" t="s">
        <v>146</v>
      </c>
      <c r="AV321" s="2">
        <f t="shared" si="40"/>
        <v>10.523999999999999</v>
      </c>
      <c r="AW321" s="2">
        <f t="shared" si="41"/>
        <v>9.6</v>
      </c>
      <c r="AX321" s="27">
        <f t="shared" si="42"/>
        <v>0.91220068415051314</v>
      </c>
      <c r="BA321" s="2">
        <f t="shared" si="43"/>
        <v>0</v>
      </c>
      <c r="BB321" s="2">
        <f t="shared" si="44"/>
        <v>0</v>
      </c>
      <c r="BC321" s="2">
        <f t="shared" si="45"/>
        <v>0</v>
      </c>
      <c r="BD321" s="2">
        <f t="shared" si="46"/>
        <v>0</v>
      </c>
      <c r="BE321" s="2">
        <f t="shared" si="47"/>
        <v>0</v>
      </c>
      <c r="BF321" s="2">
        <f t="shared" si="48"/>
        <v>0</v>
      </c>
      <c r="BJ321" s="2" t="str">
        <f t="shared" si="49"/>
        <v/>
      </c>
    </row>
    <row r="322" spans="1:62" ht="15" customHeight="1" x14ac:dyDescent="0.45">
      <c r="A322" s="2" t="s">
        <v>258</v>
      </c>
      <c r="B322" s="2" t="s">
        <v>259</v>
      </c>
      <c r="C322" s="2">
        <v>2019</v>
      </c>
      <c r="D322" s="2">
        <v>0.22600000000000001</v>
      </c>
      <c r="E322" s="2">
        <v>0.25</v>
      </c>
      <c r="F322" s="2" t="s">
        <v>146</v>
      </c>
      <c r="G322" s="2">
        <v>0.25</v>
      </c>
      <c r="H322" s="2" t="s">
        <v>146</v>
      </c>
      <c r="I322" s="2" t="s">
        <v>146</v>
      </c>
      <c r="J322" s="2" t="s">
        <v>146</v>
      </c>
      <c r="K322" s="2" t="s">
        <v>146</v>
      </c>
      <c r="L322" s="2" t="s">
        <v>146</v>
      </c>
      <c r="M322" s="2" t="s">
        <v>176</v>
      </c>
      <c r="N322" s="2" t="s">
        <v>146</v>
      </c>
      <c r="O322" s="2" t="s">
        <v>146</v>
      </c>
      <c r="P322" s="2" t="s">
        <v>146</v>
      </c>
      <c r="Q322" s="2" t="s">
        <v>146</v>
      </c>
      <c r="R322" s="2" t="s">
        <v>146</v>
      </c>
      <c r="S322" s="2" t="s">
        <v>146</v>
      </c>
      <c r="T322" s="2" t="s">
        <v>146</v>
      </c>
      <c r="U322" s="2" t="s">
        <v>146</v>
      </c>
      <c r="V322" s="2" t="s">
        <v>146</v>
      </c>
      <c r="W322" s="2" t="s">
        <v>146</v>
      </c>
      <c r="X322" s="2" t="s">
        <v>146</v>
      </c>
      <c r="Y322" s="2" t="s">
        <v>146</v>
      </c>
      <c r="Z322" s="2" t="s">
        <v>146</v>
      </c>
      <c r="AA322" s="2" t="s">
        <v>146</v>
      </c>
      <c r="AB322" s="2" t="s">
        <v>146</v>
      </c>
      <c r="AC322" s="2" t="s">
        <v>146</v>
      </c>
      <c r="AD322" s="2" t="s">
        <v>146</v>
      </c>
      <c r="AE322" s="2" t="s">
        <v>146</v>
      </c>
      <c r="AF322" s="2" t="s">
        <v>146</v>
      </c>
      <c r="AG322" s="2" t="s">
        <v>146</v>
      </c>
      <c r="AH322" s="2" t="s">
        <v>146</v>
      </c>
      <c r="AI322" s="2" t="s">
        <v>146</v>
      </c>
      <c r="AJ322" s="2" t="s">
        <v>146</v>
      </c>
      <c r="AK322" s="2" t="s">
        <v>146</v>
      </c>
      <c r="AL322" s="2" t="s">
        <v>146</v>
      </c>
      <c r="AM322" s="2" t="s">
        <v>146</v>
      </c>
      <c r="AN322" s="2" t="s">
        <v>49</v>
      </c>
      <c r="AO322" s="2" t="s">
        <v>146</v>
      </c>
      <c r="AP322" s="2" t="s">
        <v>146</v>
      </c>
      <c r="AQ322" s="2" t="s">
        <v>146</v>
      </c>
      <c r="AR322" s="2" t="s">
        <v>146</v>
      </c>
      <c r="AV322" s="2">
        <f t="shared" si="40"/>
        <v>0.25</v>
      </c>
      <c r="AW322" s="2">
        <f t="shared" si="41"/>
        <v>0.22600000000000001</v>
      </c>
      <c r="AX322" s="27">
        <f t="shared" si="42"/>
        <v>0.90400000000000003</v>
      </c>
      <c r="BA322" s="2">
        <f t="shared" si="43"/>
        <v>0</v>
      </c>
      <c r="BB322" s="2">
        <f t="shared" si="44"/>
        <v>0</v>
      </c>
      <c r="BC322" s="2">
        <f t="shared" si="45"/>
        <v>0</v>
      </c>
      <c r="BD322" s="2">
        <f t="shared" si="46"/>
        <v>0</v>
      </c>
      <c r="BE322" s="2">
        <f t="shared" si="47"/>
        <v>0</v>
      </c>
      <c r="BF322" s="2">
        <f t="shared" si="48"/>
        <v>0</v>
      </c>
      <c r="BJ322" s="2" t="str">
        <f t="shared" si="49"/>
        <v/>
      </c>
    </row>
    <row r="323" spans="1:62" ht="15" customHeight="1" x14ac:dyDescent="0.45">
      <c r="A323" s="2" t="s">
        <v>258</v>
      </c>
      <c r="B323" s="2" t="s">
        <v>257</v>
      </c>
      <c r="C323" s="2">
        <v>2019</v>
      </c>
      <c r="D323" s="2">
        <v>159</v>
      </c>
      <c r="E323" s="2">
        <v>201</v>
      </c>
      <c r="F323" s="2" t="s">
        <v>146</v>
      </c>
      <c r="G323" s="2">
        <v>11.8</v>
      </c>
      <c r="H323" s="2" t="s">
        <v>146</v>
      </c>
      <c r="I323" s="2" t="s">
        <v>146</v>
      </c>
      <c r="J323" s="2" t="s">
        <v>146</v>
      </c>
      <c r="K323" s="2" t="s">
        <v>146</v>
      </c>
      <c r="L323" s="2" t="s">
        <v>146</v>
      </c>
      <c r="M323" s="2" t="s">
        <v>176</v>
      </c>
      <c r="N323" s="2">
        <v>0</v>
      </c>
      <c r="O323" s="2">
        <v>14.5</v>
      </c>
      <c r="P323" s="2">
        <v>28.6</v>
      </c>
      <c r="Q323" s="2" t="s">
        <v>146</v>
      </c>
      <c r="R323" s="2" t="s">
        <v>146</v>
      </c>
      <c r="S323" s="2">
        <v>1.6</v>
      </c>
      <c r="T323" s="2" t="s">
        <v>146</v>
      </c>
      <c r="U323" s="2">
        <v>21.1</v>
      </c>
      <c r="V323" s="2" t="s">
        <v>146</v>
      </c>
      <c r="W323" s="2" t="s">
        <v>146</v>
      </c>
      <c r="X323" s="2">
        <v>65.5</v>
      </c>
      <c r="Y323" s="2" t="s">
        <v>146</v>
      </c>
      <c r="Z323" s="2">
        <v>14.3</v>
      </c>
      <c r="AA323" s="2" t="s">
        <v>146</v>
      </c>
      <c r="AB323" s="2" t="s">
        <v>146</v>
      </c>
      <c r="AC323" s="2" t="s">
        <v>146</v>
      </c>
      <c r="AD323" s="2" t="s">
        <v>146</v>
      </c>
      <c r="AE323" s="2" t="s">
        <v>155</v>
      </c>
      <c r="AF323" s="2" t="s">
        <v>146</v>
      </c>
      <c r="AG323" s="2" t="s">
        <v>146</v>
      </c>
      <c r="AH323" s="2" t="s">
        <v>146</v>
      </c>
      <c r="AI323" s="2">
        <v>39.6</v>
      </c>
      <c r="AJ323" s="2" t="s">
        <v>194</v>
      </c>
      <c r="AK323" s="2">
        <v>14</v>
      </c>
      <c r="AL323" s="2">
        <v>4</v>
      </c>
      <c r="AM323" s="2">
        <v>4.2</v>
      </c>
      <c r="AN323" s="2" t="s">
        <v>176</v>
      </c>
      <c r="AO323" s="2" t="s">
        <v>146</v>
      </c>
      <c r="AP323" s="2" t="s">
        <v>146</v>
      </c>
      <c r="AQ323" s="2" t="s">
        <v>146</v>
      </c>
      <c r="AR323" s="2" t="s">
        <v>146</v>
      </c>
      <c r="AV323" s="2">
        <f t="shared" ref="AV323:AV386" si="50">SUMPRODUCT(F323:AC323)+SUMPRODUCT(AG323:AI323)+IFERROR(AL323/1,0)</f>
        <v>201.00000000000003</v>
      </c>
      <c r="AW323" s="2">
        <f t="shared" ref="AW323:AW386" si="51">IFERROR(D323/1,0)</f>
        <v>159</v>
      </c>
      <c r="AX323" s="27">
        <f t="shared" ref="AX323:AX386" si="52">IFERROR(AW323/AV323,"")</f>
        <v>0.79104477611940283</v>
      </c>
      <c r="BA323" s="2">
        <f t="shared" ref="BA323:BA386" si="53">IFERROR(AH323/1,0)</f>
        <v>0</v>
      </c>
      <c r="BB323" s="2">
        <f t="shared" ref="BB323:BB386" si="54">IFERROR(AO323/100,0)*$BA323</f>
        <v>0</v>
      </c>
      <c r="BC323" s="2">
        <f t="shared" ref="BC323:BC386" si="55">IFERROR(AP323/100,0)*$BA323</f>
        <v>0</v>
      </c>
      <c r="BD323" s="2">
        <f t="shared" ref="BD323:BD386" si="56">IFERROR(AQ323/100,0)*$BA323</f>
        <v>0</v>
      </c>
      <c r="BE323" s="2">
        <f t="shared" ref="BE323:BE386" si="57">IFERROR(AR323/100,0)*$BA323</f>
        <v>0</v>
      </c>
      <c r="BF323" s="2">
        <f t="shared" ref="BF323:BF386" si="58">MAX(BA323-SUM(BB323:BE323),0)</f>
        <v>0</v>
      </c>
      <c r="BJ323" s="2" t="str">
        <f t="shared" ref="BJ323:BJ386" si="59">IF(AND((IFERROR(AO323/1,0)+IFERROR(AP323/1,0)+IFERROR(AQ323/1,0)+IFERROR(AR323/1,0))&gt;0,OR(TYPE(AH323)&lt;&gt;1,AH323=0)),"ja","")</f>
        <v/>
      </c>
    </row>
    <row r="324" spans="1:62" ht="15" customHeight="1" x14ac:dyDescent="0.45">
      <c r="A324" s="2" t="s">
        <v>255</v>
      </c>
      <c r="B324" s="2" t="s">
        <v>256</v>
      </c>
      <c r="C324" s="2">
        <v>2019</v>
      </c>
      <c r="D324" s="2">
        <v>27.015000000000001</v>
      </c>
      <c r="E324" s="2">
        <v>31.67</v>
      </c>
      <c r="F324" s="2" t="s">
        <v>146</v>
      </c>
      <c r="G324" s="2">
        <v>0.45600000000000002</v>
      </c>
      <c r="H324" s="2" t="s">
        <v>146</v>
      </c>
      <c r="I324" s="2" t="s">
        <v>146</v>
      </c>
      <c r="J324" s="2" t="s">
        <v>146</v>
      </c>
      <c r="K324" s="2" t="s">
        <v>146</v>
      </c>
      <c r="L324" s="2" t="s">
        <v>146</v>
      </c>
      <c r="M324" s="2" t="s">
        <v>49</v>
      </c>
      <c r="N324" s="2">
        <v>9.2270000000000003</v>
      </c>
      <c r="O324" s="2">
        <v>0</v>
      </c>
      <c r="P324" s="2">
        <v>3.8170000000000002</v>
      </c>
      <c r="Q324" s="2">
        <v>0</v>
      </c>
      <c r="R324" s="2" t="s">
        <v>146</v>
      </c>
      <c r="S324" s="2">
        <v>8.2810000000000006</v>
      </c>
      <c r="T324" s="2" t="s">
        <v>146</v>
      </c>
      <c r="U324" s="2">
        <v>7.657</v>
      </c>
      <c r="V324" s="2" t="s">
        <v>146</v>
      </c>
      <c r="W324" s="2" t="s">
        <v>146</v>
      </c>
      <c r="X324" s="2" t="s">
        <v>146</v>
      </c>
      <c r="Y324" s="2" t="s">
        <v>146</v>
      </c>
      <c r="Z324" s="2" t="s">
        <v>146</v>
      </c>
      <c r="AA324" s="2" t="s">
        <v>146</v>
      </c>
      <c r="AB324" s="2">
        <v>0</v>
      </c>
      <c r="AC324" s="2" t="s">
        <v>146</v>
      </c>
      <c r="AD324" s="2" t="s">
        <v>146</v>
      </c>
      <c r="AE324" s="2" t="s">
        <v>155</v>
      </c>
      <c r="AF324" s="2" t="s">
        <v>146</v>
      </c>
      <c r="AG324" s="2" t="s">
        <v>146</v>
      </c>
      <c r="AH324" s="2">
        <v>2.2320000000000002</v>
      </c>
      <c r="AI324" s="2" t="s">
        <v>146</v>
      </c>
      <c r="AJ324" s="2" t="s">
        <v>146</v>
      </c>
      <c r="AK324" s="2" t="s">
        <v>146</v>
      </c>
      <c r="AL324" s="2" t="s">
        <v>146</v>
      </c>
      <c r="AM324" s="2" t="s">
        <v>146</v>
      </c>
      <c r="AN324" s="2" t="s">
        <v>176</v>
      </c>
      <c r="AO324" s="2">
        <v>100</v>
      </c>
      <c r="AP324" s="2" t="s">
        <v>146</v>
      </c>
      <c r="AQ324" s="2" t="s">
        <v>146</v>
      </c>
      <c r="AR324" s="2">
        <v>0</v>
      </c>
      <c r="AV324" s="2">
        <f t="shared" si="50"/>
        <v>31.669999999999998</v>
      </c>
      <c r="AW324" s="2">
        <f t="shared" si="51"/>
        <v>27.015000000000001</v>
      </c>
      <c r="AX324" s="27">
        <f t="shared" si="52"/>
        <v>0.85301547205557315</v>
      </c>
      <c r="BA324" s="2">
        <f t="shared" si="53"/>
        <v>2.2320000000000002</v>
      </c>
      <c r="BB324" s="2">
        <f t="shared" si="54"/>
        <v>2.2320000000000002</v>
      </c>
      <c r="BC324" s="2">
        <f t="shared" si="55"/>
        <v>0</v>
      </c>
      <c r="BD324" s="2">
        <f t="shared" si="56"/>
        <v>0</v>
      </c>
      <c r="BE324" s="2">
        <f t="shared" si="57"/>
        <v>0</v>
      </c>
      <c r="BF324" s="2">
        <f t="shared" si="58"/>
        <v>0</v>
      </c>
      <c r="BJ324" s="2" t="str">
        <f t="shared" si="59"/>
        <v/>
      </c>
    </row>
    <row r="325" spans="1:62" ht="15" customHeight="1" x14ac:dyDescent="0.45">
      <c r="A325" s="2" t="s">
        <v>255</v>
      </c>
      <c r="B325" s="2" t="s">
        <v>254</v>
      </c>
      <c r="C325" s="2">
        <v>2019</v>
      </c>
      <c r="D325" s="2">
        <v>34.686999999999998</v>
      </c>
      <c r="E325" s="2">
        <v>37.987000000000002</v>
      </c>
      <c r="F325" s="2" t="s">
        <v>146</v>
      </c>
      <c r="G325" s="2">
        <v>0.45700000000000002</v>
      </c>
      <c r="H325" s="2" t="s">
        <v>146</v>
      </c>
      <c r="I325" s="2" t="s">
        <v>146</v>
      </c>
      <c r="J325" s="2" t="s">
        <v>146</v>
      </c>
      <c r="K325" s="2" t="s">
        <v>146</v>
      </c>
      <c r="L325" s="2" t="s">
        <v>146</v>
      </c>
      <c r="M325" s="2" t="s">
        <v>176</v>
      </c>
      <c r="N325" s="2">
        <v>15.103999999999999</v>
      </c>
      <c r="O325" s="2">
        <v>0.17199999999999999</v>
      </c>
      <c r="P325" s="2">
        <v>5.7380000000000004</v>
      </c>
      <c r="Q325" s="2" t="s">
        <v>146</v>
      </c>
      <c r="R325" s="2" t="s">
        <v>146</v>
      </c>
      <c r="S325" s="2">
        <v>12.736000000000001</v>
      </c>
      <c r="T325" s="2" t="s">
        <v>146</v>
      </c>
      <c r="U325" s="2" t="s">
        <v>146</v>
      </c>
      <c r="V325" s="2" t="s">
        <v>146</v>
      </c>
      <c r="W325" s="2" t="s">
        <v>146</v>
      </c>
      <c r="X325" s="2" t="s">
        <v>146</v>
      </c>
      <c r="Y325" s="2" t="s">
        <v>146</v>
      </c>
      <c r="Z325" s="2" t="s">
        <v>146</v>
      </c>
      <c r="AA325" s="2" t="s">
        <v>146</v>
      </c>
      <c r="AB325" s="2">
        <v>0</v>
      </c>
      <c r="AC325" s="2" t="s">
        <v>146</v>
      </c>
      <c r="AD325" s="2" t="s">
        <v>146</v>
      </c>
      <c r="AE325" s="2" t="s">
        <v>146</v>
      </c>
      <c r="AF325" s="2" t="s">
        <v>146</v>
      </c>
      <c r="AG325" s="2" t="s">
        <v>146</v>
      </c>
      <c r="AH325" s="2">
        <v>3.78</v>
      </c>
      <c r="AI325" s="2" t="s">
        <v>146</v>
      </c>
      <c r="AJ325" s="2" t="s">
        <v>146</v>
      </c>
      <c r="AK325" s="2" t="s">
        <v>146</v>
      </c>
      <c r="AL325" s="2" t="s">
        <v>146</v>
      </c>
      <c r="AM325" s="2" t="s">
        <v>146</v>
      </c>
      <c r="AN325" s="2" t="s">
        <v>49</v>
      </c>
      <c r="AO325" s="2">
        <v>100</v>
      </c>
      <c r="AP325" s="2" t="s">
        <v>146</v>
      </c>
      <c r="AQ325" s="2" t="s">
        <v>146</v>
      </c>
      <c r="AR325" s="2" t="s">
        <v>146</v>
      </c>
      <c r="AV325" s="2">
        <f t="shared" si="50"/>
        <v>37.987000000000002</v>
      </c>
      <c r="AW325" s="2">
        <f t="shared" si="51"/>
        <v>34.686999999999998</v>
      </c>
      <c r="AX325" s="27">
        <f t="shared" si="52"/>
        <v>0.91312817542843594</v>
      </c>
      <c r="BA325" s="2">
        <f t="shared" si="53"/>
        <v>3.78</v>
      </c>
      <c r="BB325" s="2">
        <f t="shared" si="54"/>
        <v>3.78</v>
      </c>
      <c r="BC325" s="2">
        <f t="shared" si="55"/>
        <v>0</v>
      </c>
      <c r="BD325" s="2">
        <f t="shared" si="56"/>
        <v>0</v>
      </c>
      <c r="BE325" s="2">
        <f t="shared" si="57"/>
        <v>0</v>
      </c>
      <c r="BF325" s="2">
        <f t="shared" si="58"/>
        <v>0</v>
      </c>
      <c r="BJ325" s="2" t="str">
        <f t="shared" si="59"/>
        <v/>
      </c>
    </row>
    <row r="326" spans="1:62" ht="15" customHeight="1" x14ac:dyDescent="0.45">
      <c r="A326" s="2" t="s">
        <v>253</v>
      </c>
      <c r="B326" s="2" t="s">
        <v>252</v>
      </c>
      <c r="C326" s="2">
        <v>2019</v>
      </c>
      <c r="D326" s="2">
        <v>36.07</v>
      </c>
      <c r="E326" s="2">
        <v>39.317999999999998</v>
      </c>
      <c r="F326" s="2" t="s">
        <v>146</v>
      </c>
      <c r="G326" s="2">
        <v>2.9000000000000001E-2</v>
      </c>
      <c r="H326" s="2" t="s">
        <v>146</v>
      </c>
      <c r="I326" s="2" t="s">
        <v>146</v>
      </c>
      <c r="J326" s="2" t="s">
        <v>146</v>
      </c>
      <c r="K326" s="2" t="s">
        <v>146</v>
      </c>
      <c r="L326" s="2" t="s">
        <v>146</v>
      </c>
      <c r="M326" s="2" t="s">
        <v>49</v>
      </c>
      <c r="N326" s="2">
        <v>7.6449999999999996</v>
      </c>
      <c r="O326" s="2">
        <v>8.8940000000000001</v>
      </c>
      <c r="P326" s="2">
        <v>16.952000000000002</v>
      </c>
      <c r="Q326" s="2">
        <v>5.798</v>
      </c>
      <c r="R326" s="2" t="s">
        <v>146</v>
      </c>
      <c r="S326" s="2" t="s">
        <v>146</v>
      </c>
      <c r="T326" s="2" t="s">
        <v>147</v>
      </c>
      <c r="U326" s="2" t="s">
        <v>146</v>
      </c>
      <c r="V326" s="2" t="s">
        <v>146</v>
      </c>
      <c r="W326" s="2" t="s">
        <v>146</v>
      </c>
      <c r="X326" s="2" t="s">
        <v>146</v>
      </c>
      <c r="Y326" s="2" t="s">
        <v>146</v>
      </c>
      <c r="Z326" s="2" t="s">
        <v>146</v>
      </c>
      <c r="AA326" s="2" t="s">
        <v>146</v>
      </c>
      <c r="AB326" s="2" t="s">
        <v>146</v>
      </c>
      <c r="AC326" s="2" t="s">
        <v>146</v>
      </c>
      <c r="AD326" s="2" t="s">
        <v>146</v>
      </c>
      <c r="AE326" s="2" t="s">
        <v>146</v>
      </c>
      <c r="AF326" s="2" t="s">
        <v>146</v>
      </c>
      <c r="AG326" s="2" t="s">
        <v>146</v>
      </c>
      <c r="AH326" s="2" t="s">
        <v>146</v>
      </c>
      <c r="AI326" s="2" t="s">
        <v>146</v>
      </c>
      <c r="AJ326" s="2" t="s">
        <v>146</v>
      </c>
      <c r="AK326" s="2" t="s">
        <v>146</v>
      </c>
      <c r="AL326" s="2" t="s">
        <v>146</v>
      </c>
      <c r="AM326" s="2" t="s">
        <v>146</v>
      </c>
      <c r="AN326" s="2" t="s">
        <v>49</v>
      </c>
      <c r="AO326" s="2">
        <v>100</v>
      </c>
      <c r="AP326" s="2" t="s">
        <v>146</v>
      </c>
      <c r="AQ326" s="2" t="s">
        <v>146</v>
      </c>
      <c r="AR326" s="2" t="s">
        <v>146</v>
      </c>
      <c r="AV326" s="2">
        <f t="shared" si="50"/>
        <v>39.317999999999998</v>
      </c>
      <c r="AW326" s="2">
        <f t="shared" si="51"/>
        <v>36.07</v>
      </c>
      <c r="AX326" s="27">
        <f t="shared" si="52"/>
        <v>0.91739152550994463</v>
      </c>
      <c r="BA326" s="2">
        <f t="shared" si="53"/>
        <v>0</v>
      </c>
      <c r="BB326" s="2">
        <f t="shared" si="54"/>
        <v>0</v>
      </c>
      <c r="BC326" s="2">
        <f t="shared" si="55"/>
        <v>0</v>
      </c>
      <c r="BD326" s="2">
        <f t="shared" si="56"/>
        <v>0</v>
      </c>
      <c r="BE326" s="2">
        <f t="shared" si="57"/>
        <v>0</v>
      </c>
      <c r="BF326" s="2">
        <f t="shared" si="58"/>
        <v>0</v>
      </c>
      <c r="BJ326" s="2" t="str">
        <f t="shared" si="59"/>
        <v>ja</v>
      </c>
    </row>
    <row r="327" spans="1:62" ht="15" customHeight="1" x14ac:dyDescent="0.45">
      <c r="A327" s="2" t="s">
        <v>249</v>
      </c>
      <c r="B327" s="2" t="s">
        <v>251</v>
      </c>
      <c r="C327" s="2">
        <v>2019</v>
      </c>
      <c r="D327" s="2">
        <v>7.3019999999999996</v>
      </c>
      <c r="E327" s="2">
        <v>7.8579999999999997</v>
      </c>
      <c r="F327" s="2" t="s">
        <v>146</v>
      </c>
      <c r="G327" s="2">
        <v>6.9000000000000006E-2</v>
      </c>
      <c r="H327" s="2" t="s">
        <v>146</v>
      </c>
      <c r="I327" s="2" t="s">
        <v>146</v>
      </c>
      <c r="J327" s="2" t="s">
        <v>146</v>
      </c>
      <c r="K327" s="2" t="s">
        <v>146</v>
      </c>
      <c r="L327" s="2" t="s">
        <v>146</v>
      </c>
      <c r="M327" s="2" t="s">
        <v>176</v>
      </c>
      <c r="N327" s="2" t="s">
        <v>146</v>
      </c>
      <c r="O327" s="2" t="s">
        <v>146</v>
      </c>
      <c r="P327" s="2" t="s">
        <v>146</v>
      </c>
      <c r="Q327" s="2" t="s">
        <v>146</v>
      </c>
      <c r="R327" s="2" t="s">
        <v>146</v>
      </c>
      <c r="S327" s="2" t="s">
        <v>146</v>
      </c>
      <c r="T327" s="2" t="s">
        <v>146</v>
      </c>
      <c r="U327" s="2">
        <v>7.7889999999999997</v>
      </c>
      <c r="V327" s="2" t="s">
        <v>146</v>
      </c>
      <c r="W327" s="2" t="s">
        <v>146</v>
      </c>
      <c r="X327" s="2" t="s">
        <v>146</v>
      </c>
      <c r="Y327" s="2" t="s">
        <v>146</v>
      </c>
      <c r="Z327" s="2" t="s">
        <v>146</v>
      </c>
      <c r="AA327" s="2" t="s">
        <v>146</v>
      </c>
      <c r="AB327" s="2" t="s">
        <v>146</v>
      </c>
      <c r="AC327" s="2" t="s">
        <v>146</v>
      </c>
      <c r="AD327" s="2" t="s">
        <v>146</v>
      </c>
      <c r="AE327" s="2" t="s">
        <v>146</v>
      </c>
      <c r="AF327" s="2" t="s">
        <v>146</v>
      </c>
      <c r="AG327" s="2" t="s">
        <v>146</v>
      </c>
      <c r="AH327" s="2" t="s">
        <v>146</v>
      </c>
      <c r="AI327" s="2" t="s">
        <v>146</v>
      </c>
      <c r="AJ327" s="2" t="s">
        <v>146</v>
      </c>
      <c r="AK327" s="2" t="s">
        <v>146</v>
      </c>
      <c r="AL327" s="2" t="s">
        <v>146</v>
      </c>
      <c r="AM327" s="2">
        <v>0.255</v>
      </c>
      <c r="AN327" s="2" t="s">
        <v>176</v>
      </c>
      <c r="AO327" s="2" t="s">
        <v>146</v>
      </c>
      <c r="AP327" s="2" t="s">
        <v>146</v>
      </c>
      <c r="AQ327" s="2" t="s">
        <v>146</v>
      </c>
      <c r="AR327" s="2" t="s">
        <v>146</v>
      </c>
      <c r="AV327" s="2">
        <f t="shared" si="50"/>
        <v>7.8579999999999997</v>
      </c>
      <c r="AW327" s="2">
        <f t="shared" si="51"/>
        <v>7.3019999999999996</v>
      </c>
      <c r="AX327" s="27">
        <f t="shared" si="52"/>
        <v>0.92924408246373125</v>
      </c>
      <c r="BA327" s="2">
        <f t="shared" si="53"/>
        <v>0</v>
      </c>
      <c r="BB327" s="2">
        <f t="shared" si="54"/>
        <v>0</v>
      </c>
      <c r="BC327" s="2">
        <f t="shared" si="55"/>
        <v>0</v>
      </c>
      <c r="BD327" s="2">
        <f t="shared" si="56"/>
        <v>0</v>
      </c>
      <c r="BE327" s="2">
        <f t="shared" si="57"/>
        <v>0</v>
      </c>
      <c r="BF327" s="2">
        <f t="shared" si="58"/>
        <v>0</v>
      </c>
      <c r="BJ327" s="2" t="str">
        <f t="shared" si="59"/>
        <v/>
      </c>
    </row>
    <row r="328" spans="1:62" ht="15" customHeight="1" x14ac:dyDescent="0.45">
      <c r="A328" s="2" t="s">
        <v>249</v>
      </c>
      <c r="B328" s="2" t="s">
        <v>250</v>
      </c>
      <c r="C328" s="2">
        <v>2019</v>
      </c>
      <c r="D328" s="2">
        <v>47.335000000000001</v>
      </c>
      <c r="E328" s="2">
        <v>50.011000000000003</v>
      </c>
      <c r="F328" s="2" t="s">
        <v>146</v>
      </c>
      <c r="G328" s="2" t="s">
        <v>146</v>
      </c>
      <c r="H328" s="2" t="s">
        <v>146</v>
      </c>
      <c r="I328" s="2" t="s">
        <v>146</v>
      </c>
      <c r="J328" s="2" t="s">
        <v>146</v>
      </c>
      <c r="K328" s="2" t="s">
        <v>146</v>
      </c>
      <c r="L328" s="2" t="s">
        <v>146</v>
      </c>
      <c r="M328" s="2" t="s">
        <v>176</v>
      </c>
      <c r="N328" s="2" t="s">
        <v>146</v>
      </c>
      <c r="O328" s="2">
        <v>17.948</v>
      </c>
      <c r="P328" s="2">
        <v>16.414000000000001</v>
      </c>
      <c r="Q328" s="2" t="s">
        <v>146</v>
      </c>
      <c r="R328" s="2" t="s">
        <v>146</v>
      </c>
      <c r="S328" s="2" t="s">
        <v>146</v>
      </c>
      <c r="T328" s="2" t="s">
        <v>147</v>
      </c>
      <c r="U328" s="2" t="s">
        <v>146</v>
      </c>
      <c r="V328" s="2" t="s">
        <v>146</v>
      </c>
      <c r="W328" s="2" t="s">
        <v>146</v>
      </c>
      <c r="X328" s="2" t="s">
        <v>146</v>
      </c>
      <c r="Y328" s="2" t="s">
        <v>146</v>
      </c>
      <c r="Z328" s="2">
        <v>0.99299999999999999</v>
      </c>
      <c r="AA328" s="2" t="s">
        <v>146</v>
      </c>
      <c r="AB328" s="2" t="s">
        <v>146</v>
      </c>
      <c r="AC328" s="2" t="s">
        <v>146</v>
      </c>
      <c r="AD328" s="2" t="s">
        <v>146</v>
      </c>
      <c r="AE328" s="2" t="s">
        <v>146</v>
      </c>
      <c r="AF328" s="2" t="s">
        <v>146</v>
      </c>
      <c r="AG328" s="2">
        <v>7.5869999999999997</v>
      </c>
      <c r="AH328" s="2">
        <v>7.069</v>
      </c>
      <c r="AI328" s="2" t="s">
        <v>146</v>
      </c>
      <c r="AJ328" s="2" t="s">
        <v>146</v>
      </c>
      <c r="AK328" s="2" t="s">
        <v>146</v>
      </c>
      <c r="AL328" s="2" t="s">
        <v>146</v>
      </c>
      <c r="AM328" s="2" t="s">
        <v>146</v>
      </c>
      <c r="AN328" s="2" t="s">
        <v>176</v>
      </c>
      <c r="AO328" s="2">
        <v>100</v>
      </c>
      <c r="AP328" s="2" t="s">
        <v>146</v>
      </c>
      <c r="AQ328" s="2" t="s">
        <v>146</v>
      </c>
      <c r="AR328" s="2" t="s">
        <v>146</v>
      </c>
      <c r="AV328" s="2">
        <f t="shared" si="50"/>
        <v>50.011000000000003</v>
      </c>
      <c r="AW328" s="2">
        <f t="shared" si="51"/>
        <v>47.335000000000001</v>
      </c>
      <c r="AX328" s="27">
        <f t="shared" si="52"/>
        <v>0.94649177181020172</v>
      </c>
      <c r="BA328" s="2">
        <f t="shared" si="53"/>
        <v>7.069</v>
      </c>
      <c r="BB328" s="2">
        <f t="shared" si="54"/>
        <v>7.069</v>
      </c>
      <c r="BC328" s="2">
        <f t="shared" si="55"/>
        <v>0</v>
      </c>
      <c r="BD328" s="2">
        <f t="shared" si="56"/>
        <v>0</v>
      </c>
      <c r="BE328" s="2">
        <f t="shared" si="57"/>
        <v>0</v>
      </c>
      <c r="BF328" s="2">
        <f t="shared" si="58"/>
        <v>0</v>
      </c>
      <c r="BJ328" s="2" t="str">
        <f t="shared" si="59"/>
        <v/>
      </c>
    </row>
    <row r="329" spans="1:62" ht="15" customHeight="1" x14ac:dyDescent="0.45">
      <c r="A329" s="2" t="s">
        <v>249</v>
      </c>
      <c r="B329" s="2" t="s">
        <v>248</v>
      </c>
      <c r="C329" s="2">
        <v>2019</v>
      </c>
      <c r="D329" s="2">
        <v>4.4820000000000002</v>
      </c>
      <c r="E329" s="2">
        <v>4.9800000000000004</v>
      </c>
      <c r="F329" s="2" t="s">
        <v>146</v>
      </c>
      <c r="G329" s="2">
        <v>0.184</v>
      </c>
      <c r="H329" s="2" t="s">
        <v>146</v>
      </c>
      <c r="I329" s="2" t="s">
        <v>146</v>
      </c>
      <c r="J329" s="2" t="s">
        <v>146</v>
      </c>
      <c r="K329" s="2" t="s">
        <v>146</v>
      </c>
      <c r="L329" s="2" t="s">
        <v>146</v>
      </c>
      <c r="M329" s="2" t="s">
        <v>176</v>
      </c>
      <c r="N329" s="2" t="s">
        <v>146</v>
      </c>
      <c r="O329" s="2" t="s">
        <v>146</v>
      </c>
      <c r="P329" s="2" t="s">
        <v>146</v>
      </c>
      <c r="Q329" s="2" t="s">
        <v>146</v>
      </c>
      <c r="R329" s="2" t="s">
        <v>146</v>
      </c>
      <c r="S329" s="2" t="s">
        <v>146</v>
      </c>
      <c r="T329" s="2" t="s">
        <v>146</v>
      </c>
      <c r="U329" s="2" t="s">
        <v>146</v>
      </c>
      <c r="V329" s="2">
        <v>4.4980000000000002</v>
      </c>
      <c r="W329" s="2" t="s">
        <v>146</v>
      </c>
      <c r="X329" s="2" t="s">
        <v>146</v>
      </c>
      <c r="Y329" s="2" t="s">
        <v>146</v>
      </c>
      <c r="Z329" s="2">
        <v>0.29799999999999999</v>
      </c>
      <c r="AA329" s="2" t="s">
        <v>146</v>
      </c>
      <c r="AB329" s="2" t="s">
        <v>146</v>
      </c>
      <c r="AC329" s="2" t="s">
        <v>146</v>
      </c>
      <c r="AD329" s="2" t="s">
        <v>146</v>
      </c>
      <c r="AE329" s="2" t="s">
        <v>146</v>
      </c>
      <c r="AF329" s="2" t="s">
        <v>146</v>
      </c>
      <c r="AG329" s="2" t="s">
        <v>146</v>
      </c>
      <c r="AH329" s="2" t="s">
        <v>146</v>
      </c>
      <c r="AI329" s="2" t="s">
        <v>146</v>
      </c>
      <c r="AJ329" s="2" t="s">
        <v>146</v>
      </c>
      <c r="AK329" s="2" t="s">
        <v>146</v>
      </c>
      <c r="AL329" s="2" t="s">
        <v>146</v>
      </c>
      <c r="AM329" s="2" t="s">
        <v>146</v>
      </c>
      <c r="AN329" s="2" t="s">
        <v>176</v>
      </c>
      <c r="AO329" s="2" t="s">
        <v>146</v>
      </c>
      <c r="AP329" s="2" t="s">
        <v>146</v>
      </c>
      <c r="AQ329" s="2" t="s">
        <v>146</v>
      </c>
      <c r="AR329" s="2" t="s">
        <v>146</v>
      </c>
      <c r="AV329" s="2">
        <f t="shared" si="50"/>
        <v>4.9800000000000004</v>
      </c>
      <c r="AW329" s="2">
        <f t="shared" si="51"/>
        <v>4.4820000000000002</v>
      </c>
      <c r="AX329" s="27">
        <f t="shared" si="52"/>
        <v>0.89999999999999991</v>
      </c>
      <c r="BA329" s="2">
        <f t="shared" si="53"/>
        <v>0</v>
      </c>
      <c r="BB329" s="2">
        <f t="shared" si="54"/>
        <v>0</v>
      </c>
      <c r="BC329" s="2">
        <f t="shared" si="55"/>
        <v>0</v>
      </c>
      <c r="BD329" s="2">
        <f t="shared" si="56"/>
        <v>0</v>
      </c>
      <c r="BE329" s="2">
        <f t="shared" si="57"/>
        <v>0</v>
      </c>
      <c r="BF329" s="2">
        <f t="shared" si="58"/>
        <v>0</v>
      </c>
      <c r="BJ329" s="2" t="str">
        <f t="shared" si="59"/>
        <v/>
      </c>
    </row>
    <row r="330" spans="1:62" ht="15" customHeight="1" x14ac:dyDescent="0.45">
      <c r="A330" s="2" t="s">
        <v>243</v>
      </c>
      <c r="B330" s="2" t="s">
        <v>247</v>
      </c>
      <c r="C330" s="2">
        <v>2019</v>
      </c>
      <c r="D330" s="2">
        <v>21.667999999999999</v>
      </c>
      <c r="E330" s="2">
        <v>21.68</v>
      </c>
      <c r="F330" s="2" t="s">
        <v>146</v>
      </c>
      <c r="G330" s="2">
        <v>0.434</v>
      </c>
      <c r="H330" s="2" t="s">
        <v>146</v>
      </c>
      <c r="I330" s="2" t="s">
        <v>146</v>
      </c>
      <c r="J330" s="2" t="s">
        <v>146</v>
      </c>
      <c r="K330" s="2" t="s">
        <v>146</v>
      </c>
      <c r="L330" s="2" t="s">
        <v>146</v>
      </c>
      <c r="M330" s="2" t="s">
        <v>49</v>
      </c>
      <c r="N330" s="2">
        <v>2.2570000000000001</v>
      </c>
      <c r="O330" s="2">
        <v>4.26</v>
      </c>
      <c r="P330" s="2">
        <v>5.758</v>
      </c>
      <c r="Q330" s="2">
        <v>1.46</v>
      </c>
      <c r="R330" s="2" t="s">
        <v>146</v>
      </c>
      <c r="S330" s="2">
        <v>5.6059999999999999</v>
      </c>
      <c r="T330" s="2" t="s">
        <v>147</v>
      </c>
      <c r="U330" s="2" t="s">
        <v>146</v>
      </c>
      <c r="V330" s="2" t="s">
        <v>146</v>
      </c>
      <c r="W330" s="2" t="s">
        <v>146</v>
      </c>
      <c r="X330" s="2" t="s">
        <v>146</v>
      </c>
      <c r="Y330" s="2" t="s">
        <v>146</v>
      </c>
      <c r="Z330" s="2" t="s">
        <v>146</v>
      </c>
      <c r="AA330" s="2" t="s">
        <v>146</v>
      </c>
      <c r="AB330" s="2" t="s">
        <v>146</v>
      </c>
      <c r="AC330" s="2" t="s">
        <v>146</v>
      </c>
      <c r="AD330" s="2" t="s">
        <v>146</v>
      </c>
      <c r="AE330" s="2" t="s">
        <v>146</v>
      </c>
      <c r="AF330" s="2" t="s">
        <v>146</v>
      </c>
      <c r="AG330" s="2" t="s">
        <v>146</v>
      </c>
      <c r="AH330" s="2">
        <v>1.905</v>
      </c>
      <c r="AI330" s="2" t="s">
        <v>146</v>
      </c>
      <c r="AJ330" s="2" t="s">
        <v>146</v>
      </c>
      <c r="AK330" s="2" t="s">
        <v>146</v>
      </c>
      <c r="AL330" s="2" t="s">
        <v>146</v>
      </c>
      <c r="AM330" s="2" t="s">
        <v>146</v>
      </c>
      <c r="AN330" s="2" t="s">
        <v>49</v>
      </c>
      <c r="AO330" s="2">
        <v>100</v>
      </c>
      <c r="AP330" s="2" t="s">
        <v>146</v>
      </c>
      <c r="AQ330" s="2" t="s">
        <v>146</v>
      </c>
      <c r="AR330" s="2" t="s">
        <v>146</v>
      </c>
      <c r="AV330" s="2">
        <f t="shared" si="50"/>
        <v>21.68</v>
      </c>
      <c r="AW330" s="2">
        <f t="shared" si="51"/>
        <v>21.667999999999999</v>
      </c>
      <c r="AX330" s="27">
        <f t="shared" si="52"/>
        <v>0.9994464944649446</v>
      </c>
      <c r="BA330" s="2">
        <f t="shared" si="53"/>
        <v>1.905</v>
      </c>
      <c r="BB330" s="2">
        <f t="shared" si="54"/>
        <v>1.905</v>
      </c>
      <c r="BC330" s="2">
        <f t="shared" si="55"/>
        <v>0</v>
      </c>
      <c r="BD330" s="2">
        <f t="shared" si="56"/>
        <v>0</v>
      </c>
      <c r="BE330" s="2">
        <f t="shared" si="57"/>
        <v>0</v>
      </c>
      <c r="BF330" s="2">
        <f t="shared" si="58"/>
        <v>0</v>
      </c>
      <c r="BJ330" s="2" t="str">
        <f t="shared" si="59"/>
        <v/>
      </c>
    </row>
    <row r="331" spans="1:62" ht="15" customHeight="1" x14ac:dyDescent="0.45">
      <c r="A331" s="2" t="s">
        <v>243</v>
      </c>
      <c r="B331" s="2" t="s">
        <v>246</v>
      </c>
      <c r="C331" s="2">
        <v>2019</v>
      </c>
      <c r="D331" s="2">
        <v>9.2680000000000007</v>
      </c>
      <c r="E331" s="2">
        <v>22.36</v>
      </c>
      <c r="F331" s="2" t="s">
        <v>146</v>
      </c>
      <c r="G331" s="2">
        <v>0.12</v>
      </c>
      <c r="H331" s="2" t="s">
        <v>146</v>
      </c>
      <c r="I331" s="2" t="s">
        <v>146</v>
      </c>
      <c r="J331" s="2" t="s">
        <v>146</v>
      </c>
      <c r="K331" s="2" t="s">
        <v>146</v>
      </c>
      <c r="L331" s="2" t="s">
        <v>146</v>
      </c>
      <c r="M331" s="2" t="s">
        <v>49</v>
      </c>
      <c r="N331" s="2" t="s">
        <v>146</v>
      </c>
      <c r="O331" s="2" t="s">
        <v>146</v>
      </c>
      <c r="P331" s="2">
        <v>21.498000000000001</v>
      </c>
      <c r="Q331" s="2" t="s">
        <v>146</v>
      </c>
      <c r="R331" s="2" t="s">
        <v>146</v>
      </c>
      <c r="S331" s="2" t="s">
        <v>146</v>
      </c>
      <c r="T331" s="2" t="s">
        <v>147</v>
      </c>
      <c r="U331" s="2" t="s">
        <v>146</v>
      </c>
      <c r="V331" s="2" t="s">
        <v>146</v>
      </c>
      <c r="W331" s="2" t="s">
        <v>146</v>
      </c>
      <c r="X331" s="2" t="s">
        <v>146</v>
      </c>
      <c r="Y331" s="2" t="s">
        <v>146</v>
      </c>
      <c r="Z331" s="2" t="s">
        <v>146</v>
      </c>
      <c r="AA331" s="2" t="s">
        <v>146</v>
      </c>
      <c r="AB331" s="2" t="s">
        <v>146</v>
      </c>
      <c r="AC331" s="2" t="s">
        <v>146</v>
      </c>
      <c r="AD331" s="2" t="s">
        <v>146</v>
      </c>
      <c r="AE331" s="2" t="s">
        <v>146</v>
      </c>
      <c r="AF331" s="2" t="s">
        <v>146</v>
      </c>
      <c r="AG331" s="2" t="s">
        <v>146</v>
      </c>
      <c r="AH331" s="2">
        <v>0.74199999999999999</v>
      </c>
      <c r="AI331" s="2" t="s">
        <v>146</v>
      </c>
      <c r="AJ331" s="2" t="s">
        <v>146</v>
      </c>
      <c r="AK331" s="2" t="s">
        <v>146</v>
      </c>
      <c r="AL331" s="2" t="s">
        <v>146</v>
      </c>
      <c r="AM331" s="2" t="s">
        <v>146</v>
      </c>
      <c r="AN331" s="2" t="s">
        <v>49</v>
      </c>
      <c r="AO331" s="2">
        <v>100</v>
      </c>
      <c r="AP331" s="2">
        <v>0</v>
      </c>
      <c r="AQ331" s="2">
        <v>0</v>
      </c>
      <c r="AR331" s="2">
        <v>0</v>
      </c>
      <c r="AV331" s="2">
        <f t="shared" si="50"/>
        <v>22.360000000000003</v>
      </c>
      <c r="AW331" s="2">
        <f t="shared" si="51"/>
        <v>9.2680000000000007</v>
      </c>
      <c r="AX331" s="27">
        <f t="shared" si="52"/>
        <v>0.41449016100178887</v>
      </c>
      <c r="BA331" s="2">
        <f t="shared" si="53"/>
        <v>0.74199999999999999</v>
      </c>
      <c r="BB331" s="2">
        <f t="shared" si="54"/>
        <v>0.74199999999999999</v>
      </c>
      <c r="BC331" s="2">
        <f t="shared" si="55"/>
        <v>0</v>
      </c>
      <c r="BD331" s="2">
        <f t="shared" si="56"/>
        <v>0</v>
      </c>
      <c r="BE331" s="2">
        <f t="shared" si="57"/>
        <v>0</v>
      </c>
      <c r="BF331" s="2">
        <f t="shared" si="58"/>
        <v>0</v>
      </c>
      <c r="BJ331" s="2" t="str">
        <f t="shared" si="59"/>
        <v/>
      </c>
    </row>
    <row r="332" spans="1:62" ht="15" customHeight="1" x14ac:dyDescent="0.45">
      <c r="A332" s="2" t="s">
        <v>243</v>
      </c>
      <c r="B332" s="2" t="s">
        <v>245</v>
      </c>
      <c r="C332" s="2">
        <v>2019</v>
      </c>
      <c r="D332" s="2">
        <v>102.51300000000001</v>
      </c>
      <c r="E332" s="2">
        <v>117.60299999999999</v>
      </c>
      <c r="F332" s="2" t="s">
        <v>146</v>
      </c>
      <c r="G332" s="2">
        <v>2.024</v>
      </c>
      <c r="H332" s="2" t="s">
        <v>146</v>
      </c>
      <c r="I332" s="2" t="s">
        <v>146</v>
      </c>
      <c r="J332" s="2" t="s">
        <v>146</v>
      </c>
      <c r="K332" s="2" t="s">
        <v>146</v>
      </c>
      <c r="L332" s="2" t="s">
        <v>146</v>
      </c>
      <c r="M332" s="2" t="s">
        <v>49</v>
      </c>
      <c r="N332" s="2">
        <v>3.105</v>
      </c>
      <c r="O332" s="2">
        <v>14.215999999999999</v>
      </c>
      <c r="P332" s="2">
        <v>42.895000000000003</v>
      </c>
      <c r="Q332" s="2" t="s">
        <v>146</v>
      </c>
      <c r="R332" s="2" t="s">
        <v>146</v>
      </c>
      <c r="S332" s="2">
        <v>49.466999999999999</v>
      </c>
      <c r="T332" s="2" t="s">
        <v>147</v>
      </c>
      <c r="U332" s="2" t="s">
        <v>146</v>
      </c>
      <c r="V332" s="2" t="s">
        <v>146</v>
      </c>
      <c r="W332" s="2" t="s">
        <v>146</v>
      </c>
      <c r="X332" s="2" t="s">
        <v>146</v>
      </c>
      <c r="Y332" s="2" t="s">
        <v>146</v>
      </c>
      <c r="Z332" s="2" t="s">
        <v>146</v>
      </c>
      <c r="AA332" s="2" t="s">
        <v>146</v>
      </c>
      <c r="AB332" s="2" t="s">
        <v>146</v>
      </c>
      <c r="AC332" s="2" t="s">
        <v>146</v>
      </c>
      <c r="AD332" s="2" t="s">
        <v>146</v>
      </c>
      <c r="AE332" s="2" t="s">
        <v>146</v>
      </c>
      <c r="AF332" s="2" t="s">
        <v>146</v>
      </c>
      <c r="AG332" s="2" t="s">
        <v>146</v>
      </c>
      <c r="AH332" s="2">
        <v>5.8959999999999999</v>
      </c>
      <c r="AI332" s="2" t="s">
        <v>146</v>
      </c>
      <c r="AJ332" s="2" t="s">
        <v>146</v>
      </c>
      <c r="AK332" s="2" t="s">
        <v>146</v>
      </c>
      <c r="AL332" s="2" t="s">
        <v>146</v>
      </c>
      <c r="AM332" s="2" t="s">
        <v>146</v>
      </c>
      <c r="AN332" s="2" t="s">
        <v>49</v>
      </c>
      <c r="AO332" s="2">
        <v>100</v>
      </c>
      <c r="AP332" s="2" t="s">
        <v>146</v>
      </c>
      <c r="AQ332" s="2" t="s">
        <v>146</v>
      </c>
      <c r="AR332" s="2" t="s">
        <v>146</v>
      </c>
      <c r="AV332" s="2">
        <f t="shared" si="50"/>
        <v>117.60299999999999</v>
      </c>
      <c r="AW332" s="2">
        <f t="shared" si="51"/>
        <v>102.51300000000001</v>
      </c>
      <c r="AX332" s="27">
        <f t="shared" si="52"/>
        <v>0.87168694676156233</v>
      </c>
      <c r="BA332" s="2">
        <f t="shared" si="53"/>
        <v>5.8959999999999999</v>
      </c>
      <c r="BB332" s="2">
        <f t="shared" si="54"/>
        <v>5.8959999999999999</v>
      </c>
      <c r="BC332" s="2">
        <f t="shared" si="55"/>
        <v>0</v>
      </c>
      <c r="BD332" s="2">
        <f t="shared" si="56"/>
        <v>0</v>
      </c>
      <c r="BE332" s="2">
        <f t="shared" si="57"/>
        <v>0</v>
      </c>
      <c r="BF332" s="2">
        <f t="shared" si="58"/>
        <v>0</v>
      </c>
      <c r="BJ332" s="2" t="str">
        <f t="shared" si="59"/>
        <v/>
      </c>
    </row>
    <row r="333" spans="1:62" ht="15" customHeight="1" x14ac:dyDescent="0.45">
      <c r="A333" s="2" t="s">
        <v>243</v>
      </c>
      <c r="B333" s="2" t="s">
        <v>244</v>
      </c>
      <c r="C333" s="2">
        <v>2019</v>
      </c>
      <c r="D333" s="2">
        <v>2.4470000000000001</v>
      </c>
      <c r="E333" s="2">
        <v>2.786</v>
      </c>
      <c r="F333" s="2" t="s">
        <v>146</v>
      </c>
      <c r="G333" s="2">
        <v>2.4E-2</v>
      </c>
      <c r="H333" s="2" t="s">
        <v>146</v>
      </c>
      <c r="I333" s="2" t="s">
        <v>146</v>
      </c>
      <c r="J333" s="2" t="s">
        <v>146</v>
      </c>
      <c r="K333" s="2" t="s">
        <v>146</v>
      </c>
      <c r="L333" s="2" t="s">
        <v>146</v>
      </c>
      <c r="M333" s="2" t="s">
        <v>49</v>
      </c>
      <c r="N333" s="2" t="s">
        <v>146</v>
      </c>
      <c r="O333" s="2" t="s">
        <v>146</v>
      </c>
      <c r="P333" s="2" t="s">
        <v>146</v>
      </c>
      <c r="Q333" s="2" t="s">
        <v>146</v>
      </c>
      <c r="R333" s="2" t="s">
        <v>146</v>
      </c>
      <c r="S333" s="2" t="s">
        <v>146</v>
      </c>
      <c r="T333" s="2" t="s">
        <v>146</v>
      </c>
      <c r="U333" s="2">
        <v>2.762</v>
      </c>
      <c r="V333" s="2" t="s">
        <v>146</v>
      </c>
      <c r="W333" s="2" t="s">
        <v>146</v>
      </c>
      <c r="X333" s="2" t="s">
        <v>146</v>
      </c>
      <c r="Y333" s="2" t="s">
        <v>146</v>
      </c>
      <c r="Z333" s="2" t="s">
        <v>146</v>
      </c>
      <c r="AA333" s="2" t="s">
        <v>146</v>
      </c>
      <c r="AB333" s="2" t="s">
        <v>146</v>
      </c>
      <c r="AC333" s="2" t="s">
        <v>146</v>
      </c>
      <c r="AD333" s="2" t="s">
        <v>146</v>
      </c>
      <c r="AE333" s="2" t="s">
        <v>146</v>
      </c>
      <c r="AF333" s="2" t="s">
        <v>146</v>
      </c>
      <c r="AG333" s="2" t="s">
        <v>146</v>
      </c>
      <c r="AH333" s="2" t="s">
        <v>146</v>
      </c>
      <c r="AI333" s="2" t="s">
        <v>146</v>
      </c>
      <c r="AJ333" s="2" t="s">
        <v>146</v>
      </c>
      <c r="AK333" s="2" t="s">
        <v>146</v>
      </c>
      <c r="AL333" s="2" t="s">
        <v>146</v>
      </c>
      <c r="AM333" s="2" t="s">
        <v>146</v>
      </c>
      <c r="AN333" s="2" t="s">
        <v>49</v>
      </c>
      <c r="AO333" s="2" t="s">
        <v>146</v>
      </c>
      <c r="AP333" s="2" t="s">
        <v>146</v>
      </c>
      <c r="AQ333" s="2" t="s">
        <v>146</v>
      </c>
      <c r="AR333" s="2" t="s">
        <v>146</v>
      </c>
      <c r="AV333" s="2">
        <f t="shared" si="50"/>
        <v>2.786</v>
      </c>
      <c r="AW333" s="2">
        <f t="shared" si="51"/>
        <v>2.4470000000000001</v>
      </c>
      <c r="AX333" s="27">
        <f t="shared" si="52"/>
        <v>0.87832017229002157</v>
      </c>
      <c r="BA333" s="2">
        <f t="shared" si="53"/>
        <v>0</v>
      </c>
      <c r="BB333" s="2">
        <f t="shared" si="54"/>
        <v>0</v>
      </c>
      <c r="BC333" s="2">
        <f t="shared" si="55"/>
        <v>0</v>
      </c>
      <c r="BD333" s="2">
        <f t="shared" si="56"/>
        <v>0</v>
      </c>
      <c r="BE333" s="2">
        <f t="shared" si="57"/>
        <v>0</v>
      </c>
      <c r="BF333" s="2">
        <f t="shared" si="58"/>
        <v>0</v>
      </c>
      <c r="BJ333" s="2" t="str">
        <f t="shared" si="59"/>
        <v/>
      </c>
    </row>
    <row r="334" spans="1:62" ht="15" customHeight="1" x14ac:dyDescent="0.45">
      <c r="A334" s="2" t="s">
        <v>243</v>
      </c>
      <c r="B334" s="2" t="s">
        <v>133</v>
      </c>
      <c r="C334" s="2">
        <v>2019</v>
      </c>
      <c r="D334" s="2">
        <v>2.62</v>
      </c>
      <c r="E334" s="2">
        <v>20.420999999999999</v>
      </c>
      <c r="F334" s="2" t="s">
        <v>146</v>
      </c>
      <c r="G334" s="2">
        <v>6.5000000000000002E-2</v>
      </c>
      <c r="H334" s="2" t="s">
        <v>146</v>
      </c>
      <c r="I334" s="2" t="s">
        <v>146</v>
      </c>
      <c r="J334" s="2" t="s">
        <v>146</v>
      </c>
      <c r="K334" s="2" t="s">
        <v>146</v>
      </c>
      <c r="L334" s="2" t="s">
        <v>146</v>
      </c>
      <c r="M334" s="2" t="s">
        <v>49</v>
      </c>
      <c r="N334" s="2" t="s">
        <v>146</v>
      </c>
      <c r="O334" s="2" t="s">
        <v>146</v>
      </c>
      <c r="P334" s="2">
        <v>19.327999999999999</v>
      </c>
      <c r="Q334" s="2" t="s">
        <v>146</v>
      </c>
      <c r="R334" s="2" t="s">
        <v>146</v>
      </c>
      <c r="S334" s="2" t="s">
        <v>146</v>
      </c>
      <c r="T334" s="2" t="s">
        <v>147</v>
      </c>
      <c r="U334" s="2" t="s">
        <v>146</v>
      </c>
      <c r="V334" s="2" t="s">
        <v>146</v>
      </c>
      <c r="W334" s="2" t="s">
        <v>146</v>
      </c>
      <c r="X334" s="2" t="s">
        <v>146</v>
      </c>
      <c r="Y334" s="2" t="s">
        <v>146</v>
      </c>
      <c r="Z334" s="2" t="s">
        <v>146</v>
      </c>
      <c r="AA334" s="2" t="s">
        <v>146</v>
      </c>
      <c r="AB334" s="2" t="s">
        <v>146</v>
      </c>
      <c r="AC334" s="2" t="s">
        <v>146</v>
      </c>
      <c r="AD334" s="2" t="s">
        <v>146</v>
      </c>
      <c r="AE334" s="2" t="s">
        <v>146</v>
      </c>
      <c r="AF334" s="2" t="s">
        <v>146</v>
      </c>
      <c r="AG334" s="2" t="s">
        <v>146</v>
      </c>
      <c r="AH334" s="2">
        <v>1.028</v>
      </c>
      <c r="AI334" s="2" t="s">
        <v>146</v>
      </c>
      <c r="AJ334" s="2" t="s">
        <v>146</v>
      </c>
      <c r="AK334" s="2" t="s">
        <v>146</v>
      </c>
      <c r="AL334" s="2" t="s">
        <v>146</v>
      </c>
      <c r="AM334" s="2" t="s">
        <v>146</v>
      </c>
      <c r="AN334" s="2" t="s">
        <v>49</v>
      </c>
      <c r="AO334" s="2">
        <v>100</v>
      </c>
      <c r="AP334" s="2" t="s">
        <v>146</v>
      </c>
      <c r="AQ334" s="2" t="s">
        <v>146</v>
      </c>
      <c r="AR334" s="2" t="s">
        <v>146</v>
      </c>
      <c r="AV334" s="2">
        <f t="shared" si="50"/>
        <v>20.420999999999999</v>
      </c>
      <c r="AW334" s="2">
        <f t="shared" si="51"/>
        <v>2.62</v>
      </c>
      <c r="AX334" s="27">
        <f t="shared" si="52"/>
        <v>0.12829929974046325</v>
      </c>
      <c r="BA334" s="2">
        <f t="shared" si="53"/>
        <v>1.028</v>
      </c>
      <c r="BB334" s="2">
        <f t="shared" si="54"/>
        <v>1.028</v>
      </c>
      <c r="BC334" s="2">
        <f t="shared" si="55"/>
        <v>0</v>
      </c>
      <c r="BD334" s="2">
        <f t="shared" si="56"/>
        <v>0</v>
      </c>
      <c r="BE334" s="2">
        <f t="shared" si="57"/>
        <v>0</v>
      </c>
      <c r="BF334" s="2">
        <f t="shared" si="58"/>
        <v>0</v>
      </c>
      <c r="BJ334" s="2" t="str">
        <f t="shared" si="59"/>
        <v/>
      </c>
    </row>
    <row r="335" spans="1:62" ht="15" customHeight="1" x14ac:dyDescent="0.45">
      <c r="A335" s="2" t="s">
        <v>232</v>
      </c>
      <c r="B335" s="2" t="s">
        <v>242</v>
      </c>
      <c r="C335" s="2">
        <v>2019</v>
      </c>
      <c r="D335" s="2">
        <v>22245</v>
      </c>
      <c r="E335" s="2">
        <v>24.361999999999998</v>
      </c>
      <c r="F335" s="2" t="s">
        <v>146</v>
      </c>
      <c r="G335" s="2">
        <v>0.96</v>
      </c>
      <c r="H335" s="2" t="s">
        <v>146</v>
      </c>
      <c r="I335" s="2" t="s">
        <v>146</v>
      </c>
      <c r="J335" s="2" t="s">
        <v>146</v>
      </c>
      <c r="K335" s="2" t="s">
        <v>146</v>
      </c>
      <c r="L335" s="2" t="s">
        <v>146</v>
      </c>
      <c r="M335" s="2" t="s">
        <v>49</v>
      </c>
      <c r="N335" s="2" t="s">
        <v>146</v>
      </c>
      <c r="O335" s="2">
        <v>13.882999999999999</v>
      </c>
      <c r="P335" s="2">
        <v>5.577</v>
      </c>
      <c r="Q335" s="2" t="s">
        <v>146</v>
      </c>
      <c r="R335" s="2" t="s">
        <v>146</v>
      </c>
      <c r="S335" s="2" t="s">
        <v>146</v>
      </c>
      <c r="T335" s="2" t="s">
        <v>147</v>
      </c>
      <c r="U335" s="2" t="s">
        <v>146</v>
      </c>
      <c r="V335" s="2" t="s">
        <v>146</v>
      </c>
      <c r="W335" s="2" t="s">
        <v>146</v>
      </c>
      <c r="X335" s="2" t="s">
        <v>146</v>
      </c>
      <c r="Y335" s="2" t="s">
        <v>146</v>
      </c>
      <c r="Z335" s="2" t="s">
        <v>146</v>
      </c>
      <c r="AA335" s="2" t="s">
        <v>146</v>
      </c>
      <c r="AB335" s="2" t="s">
        <v>146</v>
      </c>
      <c r="AC335" s="2" t="s">
        <v>146</v>
      </c>
      <c r="AD335" s="2" t="s">
        <v>146</v>
      </c>
      <c r="AE335" s="2" t="s">
        <v>146</v>
      </c>
      <c r="AF335" s="2" t="s">
        <v>146</v>
      </c>
      <c r="AG335" s="2" t="s">
        <v>146</v>
      </c>
      <c r="AH335" s="2">
        <v>3.9420000000000002</v>
      </c>
      <c r="AI335" s="2" t="s">
        <v>146</v>
      </c>
      <c r="AJ335" s="2" t="s">
        <v>146</v>
      </c>
      <c r="AK335" s="2" t="s">
        <v>146</v>
      </c>
      <c r="AL335" s="2" t="s">
        <v>146</v>
      </c>
      <c r="AM335" s="2" t="s">
        <v>146</v>
      </c>
      <c r="AN335" s="2" t="s">
        <v>49</v>
      </c>
      <c r="AO335" s="2">
        <v>95.3</v>
      </c>
      <c r="AP335" s="2" t="s">
        <v>146</v>
      </c>
      <c r="AQ335" s="2">
        <v>4.7</v>
      </c>
      <c r="AR335" s="2" t="s">
        <v>146</v>
      </c>
      <c r="AV335" s="2">
        <f t="shared" si="50"/>
        <v>24.362000000000002</v>
      </c>
      <c r="AW335" s="2">
        <f t="shared" si="51"/>
        <v>22245</v>
      </c>
      <c r="AX335" s="27">
        <f t="shared" si="52"/>
        <v>913.1023725474098</v>
      </c>
      <c r="BA335" s="2">
        <f t="shared" si="53"/>
        <v>3.9420000000000002</v>
      </c>
      <c r="BB335" s="2">
        <f t="shared" si="54"/>
        <v>3.756726</v>
      </c>
      <c r="BC335" s="2">
        <f t="shared" si="55"/>
        <v>0</v>
      </c>
      <c r="BD335" s="2">
        <f t="shared" si="56"/>
        <v>0.18527400000000002</v>
      </c>
      <c r="BE335" s="2">
        <f t="shared" si="57"/>
        <v>0</v>
      </c>
      <c r="BF335" s="2">
        <f t="shared" si="58"/>
        <v>0</v>
      </c>
      <c r="BJ335" s="2" t="str">
        <f t="shared" si="59"/>
        <v/>
      </c>
    </row>
    <row r="336" spans="1:62" ht="15" customHeight="1" x14ac:dyDescent="0.45">
      <c r="A336" s="2" t="s">
        <v>232</v>
      </c>
      <c r="B336" s="2" t="s">
        <v>241</v>
      </c>
      <c r="C336" s="2">
        <v>2019</v>
      </c>
      <c r="D336" s="2">
        <v>147.898</v>
      </c>
      <c r="E336" s="2">
        <v>139.667</v>
      </c>
      <c r="F336" s="2" t="s">
        <v>146</v>
      </c>
      <c r="G336" s="2" t="s">
        <v>146</v>
      </c>
      <c r="H336" s="2" t="s">
        <v>146</v>
      </c>
      <c r="I336" s="2" t="s">
        <v>146</v>
      </c>
      <c r="J336" s="2" t="s">
        <v>146</v>
      </c>
      <c r="K336" s="2" t="s">
        <v>146</v>
      </c>
      <c r="L336" s="2" t="s">
        <v>146</v>
      </c>
      <c r="M336" s="2" t="s">
        <v>49</v>
      </c>
      <c r="N336" s="2" t="s">
        <v>146</v>
      </c>
      <c r="O336" s="2" t="s">
        <v>146</v>
      </c>
      <c r="P336" s="2" t="s">
        <v>146</v>
      </c>
      <c r="Q336" s="2" t="s">
        <v>146</v>
      </c>
      <c r="R336" s="2" t="s">
        <v>146</v>
      </c>
      <c r="S336" s="2" t="s">
        <v>146</v>
      </c>
      <c r="T336" s="2" t="s">
        <v>146</v>
      </c>
      <c r="U336" s="2" t="s">
        <v>146</v>
      </c>
      <c r="V336" s="2">
        <v>125.90300000000001</v>
      </c>
      <c r="W336" s="2" t="s">
        <v>146</v>
      </c>
      <c r="X336" s="2" t="s">
        <v>146</v>
      </c>
      <c r="Y336" s="2" t="s">
        <v>146</v>
      </c>
      <c r="Z336" s="2">
        <v>13.763999999999999</v>
      </c>
      <c r="AA336" s="2" t="s">
        <v>146</v>
      </c>
      <c r="AB336" s="2" t="s">
        <v>146</v>
      </c>
      <c r="AC336" s="2" t="s">
        <v>146</v>
      </c>
      <c r="AD336" s="2" t="s">
        <v>146</v>
      </c>
      <c r="AE336" s="2" t="s">
        <v>146</v>
      </c>
      <c r="AF336" s="2" t="s">
        <v>146</v>
      </c>
      <c r="AG336" s="2" t="s">
        <v>146</v>
      </c>
      <c r="AH336" s="2" t="s">
        <v>146</v>
      </c>
      <c r="AI336" s="2" t="s">
        <v>146</v>
      </c>
      <c r="AJ336" s="2" t="s">
        <v>146</v>
      </c>
      <c r="AK336" s="2" t="s">
        <v>146</v>
      </c>
      <c r="AL336" s="2" t="s">
        <v>146</v>
      </c>
      <c r="AM336" s="2" t="s">
        <v>146</v>
      </c>
      <c r="AN336" s="2" t="s">
        <v>49</v>
      </c>
      <c r="AO336" s="2" t="s">
        <v>146</v>
      </c>
      <c r="AP336" s="2" t="s">
        <v>146</v>
      </c>
      <c r="AQ336" s="2" t="s">
        <v>146</v>
      </c>
      <c r="AR336" s="2" t="s">
        <v>146</v>
      </c>
      <c r="AV336" s="2">
        <f t="shared" si="50"/>
        <v>139.667</v>
      </c>
      <c r="AW336" s="2">
        <f t="shared" si="51"/>
        <v>147.898</v>
      </c>
      <c r="AX336" s="27">
        <f t="shared" si="52"/>
        <v>1.0589330335727123</v>
      </c>
      <c r="BA336" s="2">
        <f t="shared" si="53"/>
        <v>0</v>
      </c>
      <c r="BB336" s="2">
        <f t="shared" si="54"/>
        <v>0</v>
      </c>
      <c r="BC336" s="2">
        <f t="shared" si="55"/>
        <v>0</v>
      </c>
      <c r="BD336" s="2">
        <f t="shared" si="56"/>
        <v>0</v>
      </c>
      <c r="BE336" s="2">
        <f t="shared" si="57"/>
        <v>0</v>
      </c>
      <c r="BF336" s="2">
        <f t="shared" si="58"/>
        <v>0</v>
      </c>
      <c r="BJ336" s="2" t="str">
        <f t="shared" si="59"/>
        <v/>
      </c>
    </row>
    <row r="337" spans="1:62" ht="15" customHeight="1" x14ac:dyDescent="0.45">
      <c r="A337" s="2" t="s">
        <v>232</v>
      </c>
      <c r="B337" s="2" t="s">
        <v>240</v>
      </c>
      <c r="C337" s="2">
        <v>2019</v>
      </c>
      <c r="D337" s="2">
        <v>74.522999999999996</v>
      </c>
      <c r="E337" s="2">
        <v>84.027000000000001</v>
      </c>
      <c r="F337" s="2" t="s">
        <v>146</v>
      </c>
      <c r="G337" s="2">
        <v>8.1000000000000003E-2</v>
      </c>
      <c r="H337" s="2" t="s">
        <v>146</v>
      </c>
      <c r="I337" s="2" t="s">
        <v>146</v>
      </c>
      <c r="J337" s="2" t="s">
        <v>146</v>
      </c>
      <c r="K337" s="2" t="s">
        <v>146</v>
      </c>
      <c r="L337" s="2" t="s">
        <v>146</v>
      </c>
      <c r="M337" s="2" t="s">
        <v>49</v>
      </c>
      <c r="N337" s="2" t="s">
        <v>146</v>
      </c>
      <c r="O337" s="2" t="s">
        <v>146</v>
      </c>
      <c r="P337" s="2">
        <v>43.561</v>
      </c>
      <c r="Q337" s="2" t="s">
        <v>146</v>
      </c>
      <c r="R337" s="2" t="s">
        <v>146</v>
      </c>
      <c r="S337" s="2" t="s">
        <v>146</v>
      </c>
      <c r="T337" s="2" t="s">
        <v>146</v>
      </c>
      <c r="U337" s="2">
        <v>2.589</v>
      </c>
      <c r="V337" s="2" t="s">
        <v>146</v>
      </c>
      <c r="W337" s="2" t="s">
        <v>146</v>
      </c>
      <c r="X337" s="2" t="s">
        <v>146</v>
      </c>
      <c r="Y337" s="2" t="s">
        <v>146</v>
      </c>
      <c r="Z337" s="2">
        <v>17.132000000000001</v>
      </c>
      <c r="AA337" s="2">
        <v>2.4</v>
      </c>
      <c r="AB337" s="2" t="s">
        <v>146</v>
      </c>
      <c r="AC337" s="2" t="s">
        <v>146</v>
      </c>
      <c r="AD337" s="2" t="s">
        <v>146</v>
      </c>
      <c r="AE337" s="2" t="s">
        <v>146</v>
      </c>
      <c r="AF337" s="2" t="s">
        <v>146</v>
      </c>
      <c r="AG337" s="2">
        <v>11.388999999999999</v>
      </c>
      <c r="AH337" s="2">
        <v>6.875</v>
      </c>
      <c r="AI337" s="2" t="s">
        <v>146</v>
      </c>
      <c r="AJ337" s="2" t="s">
        <v>146</v>
      </c>
      <c r="AK337" s="2" t="s">
        <v>146</v>
      </c>
      <c r="AL337" s="2" t="s">
        <v>146</v>
      </c>
      <c r="AM337" s="2" t="s">
        <v>146</v>
      </c>
      <c r="AN337" s="2" t="s">
        <v>49</v>
      </c>
      <c r="AO337" s="2">
        <v>100</v>
      </c>
      <c r="AP337" s="2" t="s">
        <v>146</v>
      </c>
      <c r="AQ337" s="2" t="s">
        <v>146</v>
      </c>
      <c r="AR337" s="2" t="s">
        <v>146</v>
      </c>
      <c r="AV337" s="2">
        <f t="shared" si="50"/>
        <v>84.027000000000001</v>
      </c>
      <c r="AW337" s="2">
        <f t="shared" si="51"/>
        <v>74.522999999999996</v>
      </c>
      <c r="AX337" s="27">
        <f t="shared" si="52"/>
        <v>0.88689349851833332</v>
      </c>
      <c r="BA337" s="2">
        <f t="shared" si="53"/>
        <v>6.875</v>
      </c>
      <c r="BB337" s="2">
        <f t="shared" si="54"/>
        <v>6.875</v>
      </c>
      <c r="BC337" s="2">
        <f t="shared" si="55"/>
        <v>0</v>
      </c>
      <c r="BD337" s="2">
        <f t="shared" si="56"/>
        <v>0</v>
      </c>
      <c r="BE337" s="2">
        <f t="shared" si="57"/>
        <v>0</v>
      </c>
      <c r="BF337" s="2">
        <f t="shared" si="58"/>
        <v>0</v>
      </c>
      <c r="BJ337" s="2" t="str">
        <f t="shared" si="59"/>
        <v/>
      </c>
    </row>
    <row r="338" spans="1:62" ht="15" customHeight="1" x14ac:dyDescent="0.45">
      <c r="A338" s="2" t="s">
        <v>232</v>
      </c>
      <c r="B338" s="2" t="s">
        <v>239</v>
      </c>
      <c r="C338" s="2">
        <v>2019</v>
      </c>
      <c r="D338" s="2">
        <v>64.900000000000006</v>
      </c>
      <c r="E338" s="2">
        <v>81.069999999999993</v>
      </c>
      <c r="F338" s="2" t="s">
        <v>146</v>
      </c>
      <c r="G338" s="2">
        <v>4.07</v>
      </c>
      <c r="H338" s="2" t="s">
        <v>146</v>
      </c>
      <c r="I338" s="2" t="s">
        <v>146</v>
      </c>
      <c r="J338" s="2" t="s">
        <v>146</v>
      </c>
      <c r="K338" s="2" t="s">
        <v>146</v>
      </c>
      <c r="L338" s="2" t="s">
        <v>146</v>
      </c>
      <c r="M338" s="2" t="s">
        <v>49</v>
      </c>
      <c r="N338" s="2">
        <v>56.4</v>
      </c>
      <c r="O338" s="2">
        <v>9</v>
      </c>
      <c r="P338" s="2">
        <v>11.6</v>
      </c>
      <c r="Q338" s="2" t="s">
        <v>146</v>
      </c>
      <c r="R338" s="2" t="s">
        <v>146</v>
      </c>
      <c r="S338" s="2" t="s">
        <v>146</v>
      </c>
      <c r="T338" s="2" t="s">
        <v>146</v>
      </c>
      <c r="U338" s="2" t="s">
        <v>146</v>
      </c>
      <c r="V338" s="2" t="s">
        <v>146</v>
      </c>
      <c r="W338" s="2" t="s">
        <v>146</v>
      </c>
      <c r="X338" s="2" t="s">
        <v>146</v>
      </c>
      <c r="Y338" s="2" t="s">
        <v>146</v>
      </c>
      <c r="Z338" s="2" t="s">
        <v>146</v>
      </c>
      <c r="AA338" s="2" t="s">
        <v>146</v>
      </c>
      <c r="AB338" s="2" t="s">
        <v>146</v>
      </c>
      <c r="AC338" s="2" t="s">
        <v>146</v>
      </c>
      <c r="AD338" s="2" t="s">
        <v>146</v>
      </c>
      <c r="AE338" s="2" t="s">
        <v>146</v>
      </c>
      <c r="AF338" s="2" t="s">
        <v>146</v>
      </c>
      <c r="AG338" s="2" t="s">
        <v>146</v>
      </c>
      <c r="AH338" s="2" t="s">
        <v>146</v>
      </c>
      <c r="AI338" s="2" t="s">
        <v>146</v>
      </c>
      <c r="AJ338" s="2" t="s">
        <v>146</v>
      </c>
      <c r="AK338" s="2" t="s">
        <v>146</v>
      </c>
      <c r="AL338" s="2" t="s">
        <v>146</v>
      </c>
      <c r="AM338" s="2" t="s">
        <v>146</v>
      </c>
      <c r="AN338" s="2" t="s">
        <v>49</v>
      </c>
      <c r="AO338" s="2" t="s">
        <v>146</v>
      </c>
      <c r="AP338" s="2" t="s">
        <v>146</v>
      </c>
      <c r="AQ338" s="2" t="s">
        <v>146</v>
      </c>
      <c r="AR338" s="2" t="s">
        <v>146</v>
      </c>
      <c r="AV338" s="2">
        <f t="shared" si="50"/>
        <v>81.069999999999993</v>
      </c>
      <c r="AW338" s="2">
        <f t="shared" si="51"/>
        <v>64.900000000000006</v>
      </c>
      <c r="AX338" s="27">
        <f t="shared" si="52"/>
        <v>0.80054274084124843</v>
      </c>
      <c r="BA338" s="2">
        <f t="shared" si="53"/>
        <v>0</v>
      </c>
      <c r="BB338" s="2">
        <f t="shared" si="54"/>
        <v>0</v>
      </c>
      <c r="BC338" s="2">
        <f t="shared" si="55"/>
        <v>0</v>
      </c>
      <c r="BD338" s="2">
        <f t="shared" si="56"/>
        <v>0</v>
      </c>
      <c r="BE338" s="2">
        <f t="shared" si="57"/>
        <v>0</v>
      </c>
      <c r="BF338" s="2">
        <f t="shared" si="58"/>
        <v>0</v>
      </c>
      <c r="BJ338" s="2" t="str">
        <f t="shared" si="59"/>
        <v/>
      </c>
    </row>
    <row r="339" spans="1:62" ht="15" customHeight="1" x14ac:dyDescent="0.45">
      <c r="A339" s="2" t="s">
        <v>232</v>
      </c>
      <c r="B339" s="2" t="s">
        <v>238</v>
      </c>
      <c r="C339" s="2">
        <v>2019</v>
      </c>
      <c r="D339" s="2">
        <v>52.962000000000003</v>
      </c>
      <c r="E339" s="2">
        <v>76.626000000000005</v>
      </c>
      <c r="F339" s="2" t="s">
        <v>146</v>
      </c>
      <c r="G339" s="2">
        <v>0.56399999999999995</v>
      </c>
      <c r="H339" s="2" t="s">
        <v>146</v>
      </c>
      <c r="I339" s="2">
        <v>2.2130000000000001</v>
      </c>
      <c r="J339" s="2" t="s">
        <v>146</v>
      </c>
      <c r="K339" s="2" t="s">
        <v>146</v>
      </c>
      <c r="L339" s="2" t="s">
        <v>146</v>
      </c>
      <c r="M339" s="2" t="s">
        <v>49</v>
      </c>
      <c r="N339" s="2">
        <v>35.689</v>
      </c>
      <c r="O339" s="2">
        <v>17.783000000000001</v>
      </c>
      <c r="P339" s="2">
        <v>3.6819999999999999</v>
      </c>
      <c r="Q339" s="2">
        <v>6.3579999999999997</v>
      </c>
      <c r="R339" s="2" t="s">
        <v>146</v>
      </c>
      <c r="S339" s="2" t="s">
        <v>146</v>
      </c>
      <c r="T339" s="2" t="s">
        <v>147</v>
      </c>
      <c r="U339" s="2" t="s">
        <v>146</v>
      </c>
      <c r="V339" s="2" t="s">
        <v>146</v>
      </c>
      <c r="W339" s="2" t="s">
        <v>146</v>
      </c>
      <c r="X339" s="2" t="s">
        <v>146</v>
      </c>
      <c r="Y339" s="2" t="s">
        <v>146</v>
      </c>
      <c r="Z339" s="2" t="s">
        <v>146</v>
      </c>
      <c r="AA339" s="2" t="s">
        <v>146</v>
      </c>
      <c r="AB339" s="2" t="s">
        <v>146</v>
      </c>
      <c r="AC339" s="2" t="s">
        <v>146</v>
      </c>
      <c r="AD339" s="2" t="s">
        <v>146</v>
      </c>
      <c r="AE339" s="2" t="s">
        <v>146</v>
      </c>
      <c r="AF339" s="2" t="s">
        <v>146</v>
      </c>
      <c r="AG339" s="2" t="s">
        <v>146</v>
      </c>
      <c r="AH339" s="2">
        <v>10.337</v>
      </c>
      <c r="AI339" s="2" t="s">
        <v>146</v>
      </c>
      <c r="AJ339" s="2" t="s">
        <v>146</v>
      </c>
      <c r="AK339" s="2" t="s">
        <v>146</v>
      </c>
      <c r="AL339" s="2" t="s">
        <v>146</v>
      </c>
      <c r="AM339" s="2" t="s">
        <v>146</v>
      </c>
      <c r="AN339" s="2" t="s">
        <v>49</v>
      </c>
      <c r="AO339" s="2">
        <v>100</v>
      </c>
      <c r="AP339" s="2" t="s">
        <v>146</v>
      </c>
      <c r="AQ339" s="2" t="s">
        <v>146</v>
      </c>
      <c r="AR339" s="2" t="s">
        <v>146</v>
      </c>
      <c r="AV339" s="2">
        <f t="shared" si="50"/>
        <v>76.626000000000005</v>
      </c>
      <c r="AW339" s="2">
        <f t="shared" si="51"/>
        <v>52.962000000000003</v>
      </c>
      <c r="AX339" s="27">
        <f t="shared" si="52"/>
        <v>0.69117531908229579</v>
      </c>
      <c r="BA339" s="2">
        <f t="shared" si="53"/>
        <v>10.337</v>
      </c>
      <c r="BB339" s="2">
        <f t="shared" si="54"/>
        <v>10.337</v>
      </c>
      <c r="BC339" s="2">
        <f t="shared" si="55"/>
        <v>0</v>
      </c>
      <c r="BD339" s="2">
        <f t="shared" si="56"/>
        <v>0</v>
      </c>
      <c r="BE339" s="2">
        <f t="shared" si="57"/>
        <v>0</v>
      </c>
      <c r="BF339" s="2">
        <f t="shared" si="58"/>
        <v>0</v>
      </c>
      <c r="BJ339" s="2" t="str">
        <f t="shared" si="59"/>
        <v/>
      </c>
    </row>
    <row r="340" spans="1:62" ht="15" customHeight="1" x14ac:dyDescent="0.45">
      <c r="A340" s="2" t="s">
        <v>232</v>
      </c>
      <c r="B340" s="2" t="s">
        <v>237</v>
      </c>
      <c r="C340" s="2">
        <v>2019</v>
      </c>
      <c r="D340" s="2">
        <v>46.584000000000003</v>
      </c>
      <c r="E340" s="2">
        <v>60.448999999999998</v>
      </c>
      <c r="F340" s="2">
        <v>0</v>
      </c>
      <c r="G340" s="2">
        <v>0</v>
      </c>
      <c r="H340" s="2">
        <v>5.9580000000000002</v>
      </c>
      <c r="I340" s="2" t="s">
        <v>146</v>
      </c>
      <c r="J340" s="2" t="s">
        <v>146</v>
      </c>
      <c r="K340" s="2" t="s">
        <v>146</v>
      </c>
      <c r="L340" s="2" t="s">
        <v>146</v>
      </c>
      <c r="M340" s="2" t="s">
        <v>49</v>
      </c>
      <c r="N340" s="2">
        <v>53.228000000000002</v>
      </c>
      <c r="O340" s="2">
        <v>0</v>
      </c>
      <c r="P340" s="2">
        <v>0</v>
      </c>
      <c r="Q340" s="2">
        <v>0</v>
      </c>
      <c r="R340" s="2" t="s">
        <v>146</v>
      </c>
      <c r="S340" s="2" t="s">
        <v>146</v>
      </c>
      <c r="T340" s="2" t="s">
        <v>146</v>
      </c>
      <c r="U340" s="2" t="s">
        <v>146</v>
      </c>
      <c r="V340" s="2" t="s">
        <v>146</v>
      </c>
      <c r="W340" s="2" t="s">
        <v>146</v>
      </c>
      <c r="X340" s="2" t="s">
        <v>146</v>
      </c>
      <c r="Y340" s="2" t="s">
        <v>146</v>
      </c>
      <c r="Z340" s="2" t="s">
        <v>146</v>
      </c>
      <c r="AA340" s="2" t="s">
        <v>146</v>
      </c>
      <c r="AB340" s="2" t="s">
        <v>146</v>
      </c>
      <c r="AC340" s="2" t="s">
        <v>146</v>
      </c>
      <c r="AD340" s="2" t="s">
        <v>146</v>
      </c>
      <c r="AE340" s="2" t="s">
        <v>155</v>
      </c>
      <c r="AF340" s="2" t="s">
        <v>146</v>
      </c>
      <c r="AG340" s="2">
        <v>1.2629999999999999</v>
      </c>
      <c r="AH340" s="2" t="s">
        <v>146</v>
      </c>
      <c r="AI340" s="2" t="s">
        <v>146</v>
      </c>
      <c r="AJ340" s="2" t="s">
        <v>146</v>
      </c>
      <c r="AK340" s="2" t="s">
        <v>146</v>
      </c>
      <c r="AL340" s="2">
        <v>0</v>
      </c>
      <c r="AM340" s="2">
        <v>0</v>
      </c>
      <c r="AN340" s="2" t="s">
        <v>49</v>
      </c>
      <c r="AO340" s="2" t="s">
        <v>146</v>
      </c>
      <c r="AP340" s="2" t="s">
        <v>146</v>
      </c>
      <c r="AQ340" s="2" t="s">
        <v>146</v>
      </c>
      <c r="AR340" s="2" t="s">
        <v>146</v>
      </c>
      <c r="AV340" s="2">
        <f t="shared" si="50"/>
        <v>60.448999999999998</v>
      </c>
      <c r="AW340" s="2">
        <f t="shared" si="51"/>
        <v>46.584000000000003</v>
      </c>
      <c r="AX340" s="27">
        <f t="shared" si="52"/>
        <v>0.77063309566742222</v>
      </c>
      <c r="BA340" s="2">
        <f t="shared" si="53"/>
        <v>0</v>
      </c>
      <c r="BB340" s="2">
        <f t="shared" si="54"/>
        <v>0</v>
      </c>
      <c r="BC340" s="2">
        <f t="shared" si="55"/>
        <v>0</v>
      </c>
      <c r="BD340" s="2">
        <f t="shared" si="56"/>
        <v>0</v>
      </c>
      <c r="BE340" s="2">
        <f t="shared" si="57"/>
        <v>0</v>
      </c>
      <c r="BF340" s="2">
        <f t="shared" si="58"/>
        <v>0</v>
      </c>
      <c r="BJ340" s="2" t="str">
        <f t="shared" si="59"/>
        <v/>
      </c>
    </row>
    <row r="341" spans="1:62" ht="15" customHeight="1" x14ac:dyDescent="0.45">
      <c r="A341" s="2" t="s">
        <v>232</v>
      </c>
      <c r="B341" s="2" t="s">
        <v>236</v>
      </c>
      <c r="C341" s="2">
        <v>2019</v>
      </c>
      <c r="D341" s="2">
        <v>24.31</v>
      </c>
      <c r="E341" s="2">
        <v>28.599</v>
      </c>
      <c r="F341" s="2" t="s">
        <v>146</v>
      </c>
      <c r="G341" s="2">
        <v>0.11</v>
      </c>
      <c r="H341" s="2" t="s">
        <v>146</v>
      </c>
      <c r="I341" s="2" t="s">
        <v>146</v>
      </c>
      <c r="J341" s="2" t="s">
        <v>146</v>
      </c>
      <c r="K341" s="2" t="s">
        <v>146</v>
      </c>
      <c r="L341" s="2" t="s">
        <v>146</v>
      </c>
      <c r="M341" s="2" t="s">
        <v>49</v>
      </c>
      <c r="N341" s="2" t="s">
        <v>146</v>
      </c>
      <c r="O341" s="2" t="s">
        <v>146</v>
      </c>
      <c r="P341" s="2" t="s">
        <v>146</v>
      </c>
      <c r="Q341" s="2" t="s">
        <v>146</v>
      </c>
      <c r="R341" s="2" t="s">
        <v>146</v>
      </c>
      <c r="S341" s="2" t="s">
        <v>146</v>
      </c>
      <c r="T341" s="2" t="s">
        <v>146</v>
      </c>
      <c r="U341" s="2" t="s">
        <v>146</v>
      </c>
      <c r="V341" s="2" t="s">
        <v>146</v>
      </c>
      <c r="W341" s="2" t="s">
        <v>146</v>
      </c>
      <c r="X341" s="2" t="s">
        <v>146</v>
      </c>
      <c r="Y341" s="2" t="s">
        <v>146</v>
      </c>
      <c r="Z341" s="2">
        <v>28.489000000000001</v>
      </c>
      <c r="AA341" s="2" t="s">
        <v>146</v>
      </c>
      <c r="AB341" s="2" t="s">
        <v>146</v>
      </c>
      <c r="AC341" s="2" t="s">
        <v>146</v>
      </c>
      <c r="AD341" s="2" t="s">
        <v>146</v>
      </c>
      <c r="AE341" s="2" t="s">
        <v>146</v>
      </c>
      <c r="AF341" s="2" t="s">
        <v>146</v>
      </c>
      <c r="AG341" s="2" t="s">
        <v>146</v>
      </c>
      <c r="AH341" s="2" t="s">
        <v>146</v>
      </c>
      <c r="AI341" s="2" t="s">
        <v>146</v>
      </c>
      <c r="AJ341" s="2" t="s">
        <v>146</v>
      </c>
      <c r="AK341" s="2" t="s">
        <v>146</v>
      </c>
      <c r="AL341" s="2" t="s">
        <v>146</v>
      </c>
      <c r="AM341" s="2" t="s">
        <v>146</v>
      </c>
      <c r="AN341" s="2" t="s">
        <v>49</v>
      </c>
      <c r="AO341" s="2" t="s">
        <v>146</v>
      </c>
      <c r="AP341" s="2" t="s">
        <v>146</v>
      </c>
      <c r="AQ341" s="2" t="s">
        <v>146</v>
      </c>
      <c r="AR341" s="2" t="s">
        <v>146</v>
      </c>
      <c r="AV341" s="2">
        <f t="shared" si="50"/>
        <v>28.599</v>
      </c>
      <c r="AW341" s="2">
        <f t="shared" si="51"/>
        <v>24.31</v>
      </c>
      <c r="AX341" s="27">
        <f t="shared" si="52"/>
        <v>0.85002972131892718</v>
      </c>
      <c r="BA341" s="2">
        <f t="shared" si="53"/>
        <v>0</v>
      </c>
      <c r="BB341" s="2">
        <f t="shared" si="54"/>
        <v>0</v>
      </c>
      <c r="BC341" s="2">
        <f t="shared" si="55"/>
        <v>0</v>
      </c>
      <c r="BD341" s="2">
        <f t="shared" si="56"/>
        <v>0</v>
      </c>
      <c r="BE341" s="2">
        <f t="shared" si="57"/>
        <v>0</v>
      </c>
      <c r="BF341" s="2">
        <f t="shared" si="58"/>
        <v>0</v>
      </c>
      <c r="BJ341" s="2" t="str">
        <f t="shared" si="59"/>
        <v/>
      </c>
    </row>
    <row r="342" spans="1:62" ht="15" customHeight="1" x14ac:dyDescent="0.45">
      <c r="A342" s="2" t="s">
        <v>232</v>
      </c>
      <c r="B342" s="2" t="s">
        <v>235</v>
      </c>
      <c r="C342" s="2">
        <v>2019</v>
      </c>
      <c r="D342" s="2">
        <v>19.3</v>
      </c>
      <c r="E342" s="2">
        <v>24.69</v>
      </c>
      <c r="F342" s="2" t="s">
        <v>146</v>
      </c>
      <c r="G342" s="2">
        <v>1.59</v>
      </c>
      <c r="H342" s="2" t="s">
        <v>146</v>
      </c>
      <c r="I342" s="2" t="s">
        <v>146</v>
      </c>
      <c r="J342" s="2" t="s">
        <v>146</v>
      </c>
      <c r="K342" s="2" t="s">
        <v>146</v>
      </c>
      <c r="L342" s="2" t="s">
        <v>146</v>
      </c>
      <c r="M342" s="2" t="s">
        <v>49</v>
      </c>
      <c r="N342" s="2" t="s">
        <v>146</v>
      </c>
      <c r="O342" s="2" t="s">
        <v>146</v>
      </c>
      <c r="P342" s="2" t="s">
        <v>146</v>
      </c>
      <c r="Q342" s="2" t="s">
        <v>146</v>
      </c>
      <c r="R342" s="2" t="s">
        <v>146</v>
      </c>
      <c r="S342" s="2" t="s">
        <v>146</v>
      </c>
      <c r="T342" s="2" t="s">
        <v>146</v>
      </c>
      <c r="U342" s="2">
        <v>23.1</v>
      </c>
      <c r="V342" s="2" t="s">
        <v>146</v>
      </c>
      <c r="W342" s="2" t="s">
        <v>146</v>
      </c>
      <c r="X342" s="2" t="s">
        <v>146</v>
      </c>
      <c r="Y342" s="2" t="s">
        <v>146</v>
      </c>
      <c r="Z342" s="2" t="s">
        <v>146</v>
      </c>
      <c r="AA342" s="2" t="s">
        <v>146</v>
      </c>
      <c r="AB342" s="2" t="s">
        <v>146</v>
      </c>
      <c r="AC342" s="2" t="s">
        <v>146</v>
      </c>
      <c r="AD342" s="2" t="s">
        <v>146</v>
      </c>
      <c r="AE342" s="2" t="s">
        <v>146</v>
      </c>
      <c r="AF342" s="2" t="s">
        <v>146</v>
      </c>
      <c r="AG342" s="2" t="s">
        <v>146</v>
      </c>
      <c r="AH342" s="2" t="s">
        <v>146</v>
      </c>
      <c r="AI342" s="2" t="s">
        <v>146</v>
      </c>
      <c r="AJ342" s="2" t="s">
        <v>146</v>
      </c>
      <c r="AK342" s="2" t="s">
        <v>146</v>
      </c>
      <c r="AL342" s="2" t="s">
        <v>146</v>
      </c>
      <c r="AM342" s="2" t="s">
        <v>146</v>
      </c>
      <c r="AN342" s="2" t="s">
        <v>49</v>
      </c>
      <c r="AO342" s="2" t="s">
        <v>146</v>
      </c>
      <c r="AP342" s="2" t="s">
        <v>146</v>
      </c>
      <c r="AQ342" s="2" t="s">
        <v>146</v>
      </c>
      <c r="AR342" s="2" t="s">
        <v>146</v>
      </c>
      <c r="AV342" s="2">
        <f t="shared" si="50"/>
        <v>24.69</v>
      </c>
      <c r="AW342" s="2">
        <f t="shared" si="51"/>
        <v>19.3</v>
      </c>
      <c r="AX342" s="27">
        <f t="shared" si="52"/>
        <v>0.78169299311462126</v>
      </c>
      <c r="BA342" s="2">
        <f t="shared" si="53"/>
        <v>0</v>
      </c>
      <c r="BB342" s="2">
        <f t="shared" si="54"/>
        <v>0</v>
      </c>
      <c r="BC342" s="2">
        <f t="shared" si="55"/>
        <v>0</v>
      </c>
      <c r="BD342" s="2">
        <f t="shared" si="56"/>
        <v>0</v>
      </c>
      <c r="BE342" s="2">
        <f t="shared" si="57"/>
        <v>0</v>
      </c>
      <c r="BF342" s="2">
        <f t="shared" si="58"/>
        <v>0</v>
      </c>
      <c r="BJ342" s="2" t="str">
        <f t="shared" si="59"/>
        <v/>
      </c>
    </row>
    <row r="343" spans="1:62" ht="15" customHeight="1" x14ac:dyDescent="0.45">
      <c r="A343" s="2" t="s">
        <v>232</v>
      </c>
      <c r="B343" s="2" t="s">
        <v>234</v>
      </c>
      <c r="C343" s="2">
        <v>2019</v>
      </c>
      <c r="D343" s="2">
        <v>1301.8</v>
      </c>
      <c r="E343" s="2">
        <v>1554.7</v>
      </c>
      <c r="F343" s="2" t="s">
        <v>146</v>
      </c>
      <c r="G343" s="2">
        <v>11.3</v>
      </c>
      <c r="H343" s="2" t="s">
        <v>146</v>
      </c>
      <c r="I343" s="2">
        <v>23.4</v>
      </c>
      <c r="J343" s="2" t="s">
        <v>146</v>
      </c>
      <c r="K343" s="2" t="s">
        <v>146</v>
      </c>
      <c r="L343" s="2" t="s">
        <v>146</v>
      </c>
      <c r="M343" s="2" t="s">
        <v>49</v>
      </c>
      <c r="N343" s="2" t="s">
        <v>146</v>
      </c>
      <c r="O343" s="2" t="s">
        <v>146</v>
      </c>
      <c r="P343" s="2" t="s">
        <v>146</v>
      </c>
      <c r="Q343" s="2" t="s">
        <v>146</v>
      </c>
      <c r="R343" s="2" t="s">
        <v>146</v>
      </c>
      <c r="S343" s="2">
        <v>0</v>
      </c>
      <c r="T343" s="2" t="s">
        <v>147</v>
      </c>
      <c r="U343" s="2">
        <v>150.9</v>
      </c>
      <c r="V343" s="2" t="s">
        <v>146</v>
      </c>
      <c r="W343" s="2" t="s">
        <v>146</v>
      </c>
      <c r="X343" s="2" t="s">
        <v>146</v>
      </c>
      <c r="Y343" s="2" t="s">
        <v>146</v>
      </c>
      <c r="Z343" s="2">
        <v>91.6</v>
      </c>
      <c r="AA343" s="2" t="s">
        <v>146</v>
      </c>
      <c r="AB343" s="2">
        <v>0</v>
      </c>
      <c r="AC343" s="2">
        <v>991.8</v>
      </c>
      <c r="AD343" s="2">
        <v>11.3</v>
      </c>
      <c r="AE343" s="2" t="s">
        <v>233</v>
      </c>
      <c r="AF343" s="2">
        <v>40.1</v>
      </c>
      <c r="AG343" s="2" t="s">
        <v>146</v>
      </c>
      <c r="AH343" s="2">
        <v>145</v>
      </c>
      <c r="AI343" s="2">
        <v>59.5</v>
      </c>
      <c r="AJ343" s="2" t="s">
        <v>165</v>
      </c>
      <c r="AK343" s="2">
        <v>13</v>
      </c>
      <c r="AL343" s="2">
        <v>81.2</v>
      </c>
      <c r="AM343" s="2">
        <v>85.5</v>
      </c>
      <c r="AN343" s="2" t="s">
        <v>49</v>
      </c>
      <c r="AO343" s="2">
        <v>0</v>
      </c>
      <c r="AP343" s="2">
        <v>99</v>
      </c>
      <c r="AQ343" s="2">
        <v>1</v>
      </c>
      <c r="AR343" s="2">
        <v>0</v>
      </c>
      <c r="AV343" s="2">
        <f t="shared" si="50"/>
        <v>1554.7</v>
      </c>
      <c r="AW343" s="2">
        <f t="shared" si="51"/>
        <v>1301.8</v>
      </c>
      <c r="AX343" s="27">
        <f t="shared" si="52"/>
        <v>0.83733196115006103</v>
      </c>
      <c r="BA343" s="2">
        <f t="shared" si="53"/>
        <v>145</v>
      </c>
      <c r="BB343" s="2">
        <f t="shared" si="54"/>
        <v>0</v>
      </c>
      <c r="BC343" s="2">
        <f t="shared" si="55"/>
        <v>143.55000000000001</v>
      </c>
      <c r="BD343" s="2">
        <f t="shared" si="56"/>
        <v>1.45</v>
      </c>
      <c r="BE343" s="2">
        <f t="shared" si="57"/>
        <v>0</v>
      </c>
      <c r="BF343" s="2">
        <f t="shared" si="58"/>
        <v>0</v>
      </c>
      <c r="BJ343" s="2" t="str">
        <f t="shared" si="59"/>
        <v/>
      </c>
    </row>
    <row r="344" spans="1:62" ht="15" customHeight="1" x14ac:dyDescent="0.45">
      <c r="A344" s="2" t="s">
        <v>232</v>
      </c>
      <c r="B344" s="2" t="s">
        <v>231</v>
      </c>
      <c r="C344" s="2">
        <v>2019</v>
      </c>
      <c r="D344" s="2">
        <v>9.6</v>
      </c>
      <c r="E344" s="2">
        <v>10.54</v>
      </c>
      <c r="F344" s="2" t="s">
        <v>146</v>
      </c>
      <c r="G344" s="2">
        <v>0.04</v>
      </c>
      <c r="H344" s="2" t="s">
        <v>146</v>
      </c>
      <c r="I344" s="2" t="s">
        <v>146</v>
      </c>
      <c r="J344" s="2" t="s">
        <v>146</v>
      </c>
      <c r="K344" s="2" t="s">
        <v>146</v>
      </c>
      <c r="L344" s="2" t="s">
        <v>146</v>
      </c>
      <c r="M344" s="2" t="s">
        <v>49</v>
      </c>
      <c r="N344" s="2" t="s">
        <v>146</v>
      </c>
      <c r="O344" s="2" t="s">
        <v>146</v>
      </c>
      <c r="P344" s="2" t="s">
        <v>146</v>
      </c>
      <c r="Q344" s="2" t="s">
        <v>146</v>
      </c>
      <c r="R344" s="2" t="s">
        <v>146</v>
      </c>
      <c r="S344" s="2" t="s">
        <v>146</v>
      </c>
      <c r="T344" s="2" t="s">
        <v>146</v>
      </c>
      <c r="U344" s="2" t="s">
        <v>146</v>
      </c>
      <c r="V344" s="2" t="s">
        <v>146</v>
      </c>
      <c r="W344" s="2" t="s">
        <v>146</v>
      </c>
      <c r="X344" s="2" t="s">
        <v>146</v>
      </c>
      <c r="Y344" s="2" t="s">
        <v>146</v>
      </c>
      <c r="Z344" s="2">
        <v>10.5</v>
      </c>
      <c r="AA344" s="2" t="s">
        <v>146</v>
      </c>
      <c r="AB344" s="2" t="s">
        <v>146</v>
      </c>
      <c r="AC344" s="2" t="s">
        <v>146</v>
      </c>
      <c r="AD344" s="2" t="s">
        <v>146</v>
      </c>
      <c r="AE344" s="2" t="s">
        <v>146</v>
      </c>
      <c r="AF344" s="2" t="s">
        <v>146</v>
      </c>
      <c r="AG344" s="2" t="s">
        <v>146</v>
      </c>
      <c r="AH344" s="2" t="s">
        <v>146</v>
      </c>
      <c r="AI344" s="2" t="s">
        <v>146</v>
      </c>
      <c r="AJ344" s="2" t="s">
        <v>146</v>
      </c>
      <c r="AK344" s="2" t="s">
        <v>146</v>
      </c>
      <c r="AL344" s="2" t="s">
        <v>146</v>
      </c>
      <c r="AM344" s="2" t="s">
        <v>146</v>
      </c>
      <c r="AN344" s="2" t="s">
        <v>49</v>
      </c>
      <c r="AO344" s="2" t="s">
        <v>146</v>
      </c>
      <c r="AP344" s="2" t="s">
        <v>146</v>
      </c>
      <c r="AQ344" s="2" t="s">
        <v>146</v>
      </c>
      <c r="AR344" s="2" t="s">
        <v>146</v>
      </c>
      <c r="AV344" s="2">
        <f t="shared" si="50"/>
        <v>10.54</v>
      </c>
      <c r="AW344" s="2">
        <f t="shared" si="51"/>
        <v>9.6</v>
      </c>
      <c r="AX344" s="27">
        <f t="shared" si="52"/>
        <v>0.91081593927893745</v>
      </c>
      <c r="BA344" s="2">
        <f t="shared" si="53"/>
        <v>0</v>
      </c>
      <c r="BB344" s="2">
        <f t="shared" si="54"/>
        <v>0</v>
      </c>
      <c r="BC344" s="2">
        <f t="shared" si="55"/>
        <v>0</v>
      </c>
      <c r="BD344" s="2">
        <f t="shared" si="56"/>
        <v>0</v>
      </c>
      <c r="BE344" s="2">
        <f t="shared" si="57"/>
        <v>0</v>
      </c>
      <c r="BF344" s="2">
        <f t="shared" si="58"/>
        <v>0</v>
      </c>
      <c r="BJ344" s="2" t="str">
        <f t="shared" si="59"/>
        <v/>
      </c>
    </row>
    <row r="345" spans="1:62" ht="15" customHeight="1" x14ac:dyDescent="0.45">
      <c r="A345" s="2" t="s">
        <v>7</v>
      </c>
      <c r="B345" s="2" t="s">
        <v>230</v>
      </c>
      <c r="C345" s="2">
        <v>2019</v>
      </c>
      <c r="D345" s="2" t="s">
        <v>49</v>
      </c>
      <c r="E345" s="2" t="s">
        <v>49</v>
      </c>
      <c r="F345" s="2" t="s">
        <v>49</v>
      </c>
      <c r="G345" s="2" t="s">
        <v>49</v>
      </c>
      <c r="H345" s="2" t="s">
        <v>49</v>
      </c>
      <c r="I345" s="2" t="s">
        <v>49</v>
      </c>
      <c r="J345" s="2" t="s">
        <v>49</v>
      </c>
      <c r="K345" s="2" t="s">
        <v>49</v>
      </c>
      <c r="L345" s="2" t="s">
        <v>49</v>
      </c>
      <c r="M345" s="2" t="s">
        <v>49</v>
      </c>
      <c r="N345" s="2" t="s">
        <v>49</v>
      </c>
      <c r="O345" s="2" t="s">
        <v>49</v>
      </c>
      <c r="P345" s="2" t="s">
        <v>49</v>
      </c>
      <c r="Q345" s="2" t="s">
        <v>49</v>
      </c>
      <c r="R345" s="2" t="s">
        <v>49</v>
      </c>
      <c r="S345" s="2" t="s">
        <v>49</v>
      </c>
      <c r="T345" s="2" t="s">
        <v>49</v>
      </c>
      <c r="U345" s="2" t="s">
        <v>49</v>
      </c>
      <c r="V345" s="2" t="s">
        <v>49</v>
      </c>
      <c r="W345" s="2" t="s">
        <v>49</v>
      </c>
      <c r="X345" s="2" t="s">
        <v>49</v>
      </c>
      <c r="Y345" s="2" t="s">
        <v>49</v>
      </c>
      <c r="Z345" s="2" t="s">
        <v>49</v>
      </c>
      <c r="AA345" s="2" t="s">
        <v>49</v>
      </c>
      <c r="AB345" s="2" t="s">
        <v>49</v>
      </c>
      <c r="AC345" s="2" t="s">
        <v>49</v>
      </c>
      <c r="AD345" s="2" t="s">
        <v>49</v>
      </c>
      <c r="AE345" s="2" t="s">
        <v>49</v>
      </c>
      <c r="AF345" s="2" t="s">
        <v>49</v>
      </c>
      <c r="AG345" s="2" t="s">
        <v>49</v>
      </c>
      <c r="AH345" s="2" t="s">
        <v>49</v>
      </c>
      <c r="AI345" s="2" t="s">
        <v>49</v>
      </c>
      <c r="AJ345" s="2" t="s">
        <v>49</v>
      </c>
      <c r="AK345" s="2" t="s">
        <v>49</v>
      </c>
      <c r="AL345" s="2" t="s">
        <v>49</v>
      </c>
      <c r="AM345" s="2" t="s">
        <v>49</v>
      </c>
      <c r="AN345" s="2" t="s">
        <v>49</v>
      </c>
      <c r="AO345" s="2" t="s">
        <v>49</v>
      </c>
      <c r="AP345" s="2" t="s">
        <v>49</v>
      </c>
      <c r="AQ345" s="2" t="s">
        <v>49</v>
      </c>
      <c r="AR345" s="2" t="s">
        <v>49</v>
      </c>
      <c r="AV345" s="2">
        <f t="shared" si="50"/>
        <v>0</v>
      </c>
      <c r="AW345" s="2">
        <f t="shared" si="51"/>
        <v>0</v>
      </c>
      <c r="AX345" s="27" t="str">
        <f t="shared" si="52"/>
        <v/>
      </c>
      <c r="BA345" s="2">
        <f t="shared" si="53"/>
        <v>0</v>
      </c>
      <c r="BB345" s="2">
        <f t="shared" si="54"/>
        <v>0</v>
      </c>
      <c r="BC345" s="2">
        <f t="shared" si="55"/>
        <v>0</v>
      </c>
      <c r="BD345" s="2">
        <f t="shared" si="56"/>
        <v>0</v>
      </c>
      <c r="BE345" s="2">
        <f t="shared" si="57"/>
        <v>0</v>
      </c>
      <c r="BF345" s="2">
        <f t="shared" si="58"/>
        <v>0</v>
      </c>
      <c r="BJ345" s="2" t="str">
        <f t="shared" si="59"/>
        <v/>
      </c>
    </row>
    <row r="346" spans="1:62" ht="15" customHeight="1" x14ac:dyDescent="0.45">
      <c r="A346" s="2" t="s">
        <v>7</v>
      </c>
      <c r="B346" s="2" t="s">
        <v>8</v>
      </c>
      <c r="C346" s="2">
        <v>2019</v>
      </c>
      <c r="D346" s="2" t="s">
        <v>49</v>
      </c>
      <c r="E346" s="2" t="s">
        <v>49</v>
      </c>
      <c r="F346" s="2" t="s">
        <v>49</v>
      </c>
      <c r="G346" s="2" t="s">
        <v>49</v>
      </c>
      <c r="H346" s="2" t="s">
        <v>49</v>
      </c>
      <c r="I346" s="2" t="s">
        <v>49</v>
      </c>
      <c r="J346" s="2" t="s">
        <v>49</v>
      </c>
      <c r="K346" s="2" t="s">
        <v>49</v>
      </c>
      <c r="L346" s="2" t="s">
        <v>49</v>
      </c>
      <c r="M346" s="2" t="s">
        <v>49</v>
      </c>
      <c r="N346" s="2" t="s">
        <v>49</v>
      </c>
      <c r="O346" s="2" t="s">
        <v>49</v>
      </c>
      <c r="P346" s="2" t="s">
        <v>49</v>
      </c>
      <c r="Q346" s="2" t="s">
        <v>49</v>
      </c>
      <c r="R346" s="2" t="s">
        <v>49</v>
      </c>
      <c r="S346" s="2" t="s">
        <v>49</v>
      </c>
      <c r="T346" s="2" t="s">
        <v>49</v>
      </c>
      <c r="U346" s="2" t="s">
        <v>49</v>
      </c>
      <c r="V346" s="2" t="s">
        <v>49</v>
      </c>
      <c r="W346" s="2" t="s">
        <v>49</v>
      </c>
      <c r="X346" s="2" t="s">
        <v>49</v>
      </c>
      <c r="Y346" s="2" t="s">
        <v>49</v>
      </c>
      <c r="Z346" s="2" t="s">
        <v>49</v>
      </c>
      <c r="AA346" s="2" t="s">
        <v>49</v>
      </c>
      <c r="AB346" s="2" t="s">
        <v>49</v>
      </c>
      <c r="AC346" s="2" t="s">
        <v>49</v>
      </c>
      <c r="AD346" s="2" t="s">
        <v>49</v>
      </c>
      <c r="AE346" s="2" t="s">
        <v>49</v>
      </c>
      <c r="AF346" s="2" t="s">
        <v>49</v>
      </c>
      <c r="AG346" s="2" t="s">
        <v>49</v>
      </c>
      <c r="AH346" s="2" t="s">
        <v>49</v>
      </c>
      <c r="AI346" s="2" t="s">
        <v>49</v>
      </c>
      <c r="AJ346" s="2" t="s">
        <v>49</v>
      </c>
      <c r="AK346" s="2" t="s">
        <v>49</v>
      </c>
      <c r="AL346" s="2" t="s">
        <v>49</v>
      </c>
      <c r="AM346" s="2" t="s">
        <v>49</v>
      </c>
      <c r="AN346" s="2" t="s">
        <v>49</v>
      </c>
      <c r="AO346" s="2" t="s">
        <v>49</v>
      </c>
      <c r="AP346" s="2" t="s">
        <v>49</v>
      </c>
      <c r="AQ346" s="2" t="s">
        <v>49</v>
      </c>
      <c r="AR346" s="2" t="s">
        <v>49</v>
      </c>
      <c r="AV346" s="2">
        <f t="shared" si="50"/>
        <v>0</v>
      </c>
      <c r="AW346" s="2">
        <f t="shared" si="51"/>
        <v>0</v>
      </c>
      <c r="AX346" s="27" t="str">
        <f t="shared" si="52"/>
        <v/>
      </c>
      <c r="BA346" s="2">
        <f t="shared" si="53"/>
        <v>0</v>
      </c>
      <c r="BB346" s="2">
        <f t="shared" si="54"/>
        <v>0</v>
      </c>
      <c r="BC346" s="2">
        <f t="shared" si="55"/>
        <v>0</v>
      </c>
      <c r="BD346" s="2">
        <f t="shared" si="56"/>
        <v>0</v>
      </c>
      <c r="BE346" s="2">
        <f t="shared" si="57"/>
        <v>0</v>
      </c>
      <c r="BF346" s="2">
        <f t="shared" si="58"/>
        <v>0</v>
      </c>
      <c r="BJ346" s="2" t="str">
        <f t="shared" si="59"/>
        <v/>
      </c>
    </row>
    <row r="347" spans="1:62" ht="15" customHeight="1" x14ac:dyDescent="0.45">
      <c r="A347" s="2" t="s">
        <v>225</v>
      </c>
      <c r="B347" s="2" t="s">
        <v>229</v>
      </c>
      <c r="C347" s="2">
        <v>2019</v>
      </c>
      <c r="D347" s="2" t="s">
        <v>146</v>
      </c>
      <c r="E347" s="2" t="s">
        <v>146</v>
      </c>
      <c r="F347" s="2" t="s">
        <v>146</v>
      </c>
      <c r="G347" s="2" t="s">
        <v>146</v>
      </c>
      <c r="H347" s="2" t="s">
        <v>146</v>
      </c>
      <c r="I347" s="2" t="s">
        <v>146</v>
      </c>
      <c r="J347" s="2" t="s">
        <v>146</v>
      </c>
      <c r="K347" s="2" t="s">
        <v>146</v>
      </c>
      <c r="L347" s="2" t="s">
        <v>146</v>
      </c>
      <c r="M347" s="2" t="s">
        <v>49</v>
      </c>
      <c r="N347" s="2" t="s">
        <v>146</v>
      </c>
      <c r="O347" s="2" t="s">
        <v>146</v>
      </c>
      <c r="P347" s="2" t="s">
        <v>146</v>
      </c>
      <c r="Q347" s="2" t="s">
        <v>146</v>
      </c>
      <c r="R347" s="2" t="s">
        <v>146</v>
      </c>
      <c r="S347" s="2" t="s">
        <v>146</v>
      </c>
      <c r="T347" s="2" t="s">
        <v>146</v>
      </c>
      <c r="U347" s="2" t="s">
        <v>146</v>
      </c>
      <c r="V347" s="2" t="s">
        <v>146</v>
      </c>
      <c r="W347" s="2" t="s">
        <v>146</v>
      </c>
      <c r="X347" s="2" t="s">
        <v>146</v>
      </c>
      <c r="Y347" s="2" t="s">
        <v>146</v>
      </c>
      <c r="Z347" s="2" t="s">
        <v>146</v>
      </c>
      <c r="AA347" s="2" t="s">
        <v>146</v>
      </c>
      <c r="AB347" s="2" t="s">
        <v>146</v>
      </c>
      <c r="AC347" s="2" t="s">
        <v>146</v>
      </c>
      <c r="AD347" s="2" t="s">
        <v>146</v>
      </c>
      <c r="AE347" s="2" t="s">
        <v>146</v>
      </c>
      <c r="AF347" s="2" t="s">
        <v>146</v>
      </c>
      <c r="AG347" s="2" t="s">
        <v>146</v>
      </c>
      <c r="AH347" s="2" t="s">
        <v>146</v>
      </c>
      <c r="AI347" s="2" t="s">
        <v>146</v>
      </c>
      <c r="AJ347" s="2" t="s">
        <v>146</v>
      </c>
      <c r="AK347" s="2" t="s">
        <v>146</v>
      </c>
      <c r="AL347" s="2" t="s">
        <v>146</v>
      </c>
      <c r="AM347" s="2" t="s">
        <v>146</v>
      </c>
      <c r="AN347" s="2" t="s">
        <v>49</v>
      </c>
      <c r="AO347" s="2" t="s">
        <v>146</v>
      </c>
      <c r="AP347" s="2" t="s">
        <v>146</v>
      </c>
      <c r="AQ347" s="2" t="s">
        <v>146</v>
      </c>
      <c r="AR347" s="2" t="s">
        <v>146</v>
      </c>
      <c r="AV347" s="2">
        <f t="shared" si="50"/>
        <v>0</v>
      </c>
      <c r="AW347" s="2">
        <f t="shared" si="51"/>
        <v>0</v>
      </c>
      <c r="AX347" s="27" t="str">
        <f t="shared" si="52"/>
        <v/>
      </c>
      <c r="BA347" s="2">
        <f t="shared" si="53"/>
        <v>0</v>
      </c>
      <c r="BB347" s="2">
        <f t="shared" si="54"/>
        <v>0</v>
      </c>
      <c r="BC347" s="2">
        <f t="shared" si="55"/>
        <v>0</v>
      </c>
      <c r="BD347" s="2">
        <f t="shared" si="56"/>
        <v>0</v>
      </c>
      <c r="BE347" s="2">
        <f t="shared" si="57"/>
        <v>0</v>
      </c>
      <c r="BF347" s="2">
        <f t="shared" si="58"/>
        <v>0</v>
      </c>
      <c r="BJ347" s="2" t="str">
        <f t="shared" si="59"/>
        <v/>
      </c>
    </row>
    <row r="348" spans="1:62" ht="15" customHeight="1" x14ac:dyDescent="0.45">
      <c r="A348" s="2" t="s">
        <v>225</v>
      </c>
      <c r="B348" s="2" t="s">
        <v>228</v>
      </c>
      <c r="C348" s="2">
        <v>2019</v>
      </c>
      <c r="D348" s="2">
        <v>4.5</v>
      </c>
      <c r="E348" s="2">
        <v>5.4</v>
      </c>
      <c r="F348" s="2" t="s">
        <v>146</v>
      </c>
      <c r="G348" s="2" t="s">
        <v>146</v>
      </c>
      <c r="H348" s="2" t="s">
        <v>146</v>
      </c>
      <c r="I348" s="2" t="s">
        <v>146</v>
      </c>
      <c r="J348" s="2" t="s">
        <v>146</v>
      </c>
      <c r="K348" s="2" t="s">
        <v>146</v>
      </c>
      <c r="L348" s="2" t="s">
        <v>146</v>
      </c>
      <c r="M348" s="2" t="s">
        <v>49</v>
      </c>
      <c r="N348" s="2" t="s">
        <v>146</v>
      </c>
      <c r="O348" s="2" t="s">
        <v>146</v>
      </c>
      <c r="P348" s="2">
        <v>0.4</v>
      </c>
      <c r="Q348" s="2" t="s">
        <v>146</v>
      </c>
      <c r="R348" s="2" t="s">
        <v>146</v>
      </c>
      <c r="S348" s="2">
        <v>4.9000000000000004</v>
      </c>
      <c r="T348" s="2" t="s">
        <v>146</v>
      </c>
      <c r="U348" s="2" t="s">
        <v>146</v>
      </c>
      <c r="V348" s="2" t="s">
        <v>146</v>
      </c>
      <c r="W348" s="2" t="s">
        <v>146</v>
      </c>
      <c r="X348" s="2" t="s">
        <v>146</v>
      </c>
      <c r="Y348" s="2" t="s">
        <v>146</v>
      </c>
      <c r="Z348" s="2">
        <v>0.1</v>
      </c>
      <c r="AA348" s="2" t="s">
        <v>146</v>
      </c>
      <c r="AB348" s="2" t="s">
        <v>146</v>
      </c>
      <c r="AC348" s="2" t="s">
        <v>146</v>
      </c>
      <c r="AD348" s="2" t="s">
        <v>146</v>
      </c>
      <c r="AE348" s="2" t="s">
        <v>146</v>
      </c>
      <c r="AF348" s="2" t="s">
        <v>146</v>
      </c>
      <c r="AG348" s="2" t="s">
        <v>146</v>
      </c>
      <c r="AH348" s="2" t="s">
        <v>146</v>
      </c>
      <c r="AI348" s="2" t="s">
        <v>146</v>
      </c>
      <c r="AJ348" s="2" t="s">
        <v>146</v>
      </c>
      <c r="AK348" s="2" t="s">
        <v>146</v>
      </c>
      <c r="AL348" s="2" t="s">
        <v>146</v>
      </c>
      <c r="AM348" s="2" t="s">
        <v>146</v>
      </c>
      <c r="AN348" s="2" t="s">
        <v>49</v>
      </c>
      <c r="AO348" s="2" t="s">
        <v>146</v>
      </c>
      <c r="AP348" s="2" t="s">
        <v>146</v>
      </c>
      <c r="AQ348" s="2" t="s">
        <v>146</v>
      </c>
      <c r="AR348" s="2" t="s">
        <v>146</v>
      </c>
      <c r="AV348" s="2">
        <f t="shared" si="50"/>
        <v>5.4</v>
      </c>
      <c r="AW348" s="2">
        <f t="shared" si="51"/>
        <v>4.5</v>
      </c>
      <c r="AX348" s="27">
        <f t="shared" si="52"/>
        <v>0.83333333333333326</v>
      </c>
      <c r="BA348" s="2">
        <f t="shared" si="53"/>
        <v>0</v>
      </c>
      <c r="BB348" s="2">
        <f t="shared" si="54"/>
        <v>0</v>
      </c>
      <c r="BC348" s="2">
        <f t="shared" si="55"/>
        <v>0</v>
      </c>
      <c r="BD348" s="2">
        <f t="shared" si="56"/>
        <v>0</v>
      </c>
      <c r="BE348" s="2">
        <f t="shared" si="57"/>
        <v>0</v>
      </c>
      <c r="BF348" s="2">
        <f t="shared" si="58"/>
        <v>0</v>
      </c>
      <c r="BJ348" s="2" t="str">
        <f t="shared" si="59"/>
        <v/>
      </c>
    </row>
    <row r="349" spans="1:62" ht="15" customHeight="1" x14ac:dyDescent="0.45">
      <c r="A349" s="2" t="s">
        <v>225</v>
      </c>
      <c r="B349" s="2" t="s">
        <v>227</v>
      </c>
      <c r="C349" s="2">
        <v>2019</v>
      </c>
      <c r="D349" s="2">
        <v>9.1880000000000006</v>
      </c>
      <c r="E349" s="2">
        <v>10.23</v>
      </c>
      <c r="F349" s="2" t="s">
        <v>146</v>
      </c>
      <c r="G349" s="2" t="s">
        <v>146</v>
      </c>
      <c r="H349" s="2" t="s">
        <v>146</v>
      </c>
      <c r="I349" s="2" t="s">
        <v>146</v>
      </c>
      <c r="J349" s="2" t="s">
        <v>146</v>
      </c>
      <c r="K349" s="2" t="s">
        <v>146</v>
      </c>
      <c r="L349" s="2" t="s">
        <v>146</v>
      </c>
      <c r="M349" s="2" t="s">
        <v>49</v>
      </c>
      <c r="N349" s="2" t="s">
        <v>146</v>
      </c>
      <c r="O349" s="2" t="s">
        <v>146</v>
      </c>
      <c r="P349" s="2" t="s">
        <v>146</v>
      </c>
      <c r="Q349" s="2" t="s">
        <v>146</v>
      </c>
      <c r="R349" s="2" t="s">
        <v>146</v>
      </c>
      <c r="S349" s="2">
        <v>10.1</v>
      </c>
      <c r="T349" s="2" t="s">
        <v>147</v>
      </c>
      <c r="U349" s="2" t="s">
        <v>146</v>
      </c>
      <c r="V349" s="2" t="s">
        <v>146</v>
      </c>
      <c r="W349" s="2" t="s">
        <v>146</v>
      </c>
      <c r="X349" s="2" t="s">
        <v>146</v>
      </c>
      <c r="Y349" s="2" t="s">
        <v>146</v>
      </c>
      <c r="Z349" s="2">
        <v>0.13</v>
      </c>
      <c r="AA349" s="2" t="s">
        <v>146</v>
      </c>
      <c r="AB349" s="2" t="s">
        <v>146</v>
      </c>
      <c r="AC349" s="2" t="s">
        <v>146</v>
      </c>
      <c r="AD349" s="2" t="s">
        <v>146</v>
      </c>
      <c r="AE349" s="2" t="s">
        <v>146</v>
      </c>
      <c r="AF349" s="2" t="s">
        <v>146</v>
      </c>
      <c r="AG349" s="2" t="s">
        <v>146</v>
      </c>
      <c r="AH349" s="2" t="s">
        <v>146</v>
      </c>
      <c r="AI349" s="2" t="s">
        <v>146</v>
      </c>
      <c r="AJ349" s="2" t="s">
        <v>146</v>
      </c>
      <c r="AK349" s="2" t="s">
        <v>146</v>
      </c>
      <c r="AL349" s="2" t="s">
        <v>146</v>
      </c>
      <c r="AM349" s="2" t="s">
        <v>146</v>
      </c>
      <c r="AN349" s="2" t="s">
        <v>49</v>
      </c>
      <c r="AO349" s="2" t="s">
        <v>146</v>
      </c>
      <c r="AP349" s="2" t="s">
        <v>146</v>
      </c>
      <c r="AQ349" s="2" t="s">
        <v>146</v>
      </c>
      <c r="AR349" s="2" t="s">
        <v>146</v>
      </c>
      <c r="AV349" s="2">
        <f t="shared" si="50"/>
        <v>10.23</v>
      </c>
      <c r="AW349" s="2">
        <f t="shared" si="51"/>
        <v>9.1880000000000006</v>
      </c>
      <c r="AX349" s="27">
        <f t="shared" si="52"/>
        <v>0.89814271749755625</v>
      </c>
      <c r="BA349" s="2">
        <f t="shared" si="53"/>
        <v>0</v>
      </c>
      <c r="BB349" s="2">
        <f t="shared" si="54"/>
        <v>0</v>
      </c>
      <c r="BC349" s="2">
        <f t="shared" si="55"/>
        <v>0</v>
      </c>
      <c r="BD349" s="2">
        <f t="shared" si="56"/>
        <v>0</v>
      </c>
      <c r="BE349" s="2">
        <f t="shared" si="57"/>
        <v>0</v>
      </c>
      <c r="BF349" s="2">
        <f t="shared" si="58"/>
        <v>0</v>
      </c>
      <c r="BJ349" s="2" t="str">
        <f t="shared" si="59"/>
        <v/>
      </c>
    </row>
    <row r="350" spans="1:62" ht="15" customHeight="1" x14ac:dyDescent="0.45">
      <c r="A350" s="2" t="s">
        <v>225</v>
      </c>
      <c r="B350" s="2" t="s">
        <v>226</v>
      </c>
      <c r="C350" s="2">
        <v>2019</v>
      </c>
      <c r="D350" s="2">
        <v>13.907</v>
      </c>
      <c r="E350" s="2">
        <v>15.45</v>
      </c>
      <c r="F350" s="2" t="s">
        <v>146</v>
      </c>
      <c r="G350" s="2" t="s">
        <v>146</v>
      </c>
      <c r="H350" s="2" t="s">
        <v>146</v>
      </c>
      <c r="I350" s="2" t="s">
        <v>146</v>
      </c>
      <c r="J350" s="2" t="s">
        <v>146</v>
      </c>
      <c r="K350" s="2" t="s">
        <v>146</v>
      </c>
      <c r="L350" s="2" t="s">
        <v>146</v>
      </c>
      <c r="M350" s="2" t="s">
        <v>49</v>
      </c>
      <c r="N350" s="2" t="s">
        <v>146</v>
      </c>
      <c r="O350" s="2" t="s">
        <v>146</v>
      </c>
      <c r="P350" s="2" t="s">
        <v>146</v>
      </c>
      <c r="Q350" s="2" t="s">
        <v>146</v>
      </c>
      <c r="R350" s="2" t="s">
        <v>146</v>
      </c>
      <c r="S350" s="2">
        <v>15.08</v>
      </c>
      <c r="T350" s="2" t="s">
        <v>147</v>
      </c>
      <c r="U350" s="2" t="s">
        <v>146</v>
      </c>
      <c r="V350" s="2" t="s">
        <v>146</v>
      </c>
      <c r="W350" s="2" t="s">
        <v>146</v>
      </c>
      <c r="X350" s="2" t="s">
        <v>146</v>
      </c>
      <c r="Y350" s="2" t="s">
        <v>146</v>
      </c>
      <c r="Z350" s="2">
        <v>0.37</v>
      </c>
      <c r="AA350" s="2" t="s">
        <v>146</v>
      </c>
      <c r="AB350" s="2" t="s">
        <v>146</v>
      </c>
      <c r="AC350" s="2" t="s">
        <v>146</v>
      </c>
      <c r="AD350" s="2" t="s">
        <v>146</v>
      </c>
      <c r="AE350" s="2" t="s">
        <v>146</v>
      </c>
      <c r="AF350" s="2" t="s">
        <v>146</v>
      </c>
      <c r="AG350" s="2" t="s">
        <v>146</v>
      </c>
      <c r="AH350" s="2" t="s">
        <v>146</v>
      </c>
      <c r="AI350" s="2" t="s">
        <v>146</v>
      </c>
      <c r="AJ350" s="2" t="s">
        <v>146</v>
      </c>
      <c r="AK350" s="2" t="s">
        <v>146</v>
      </c>
      <c r="AL350" s="2" t="s">
        <v>146</v>
      </c>
      <c r="AM350" s="2" t="s">
        <v>146</v>
      </c>
      <c r="AN350" s="2" t="s">
        <v>49</v>
      </c>
      <c r="AO350" s="2" t="s">
        <v>146</v>
      </c>
      <c r="AP350" s="2" t="s">
        <v>146</v>
      </c>
      <c r="AQ350" s="2" t="s">
        <v>146</v>
      </c>
      <c r="AR350" s="2" t="s">
        <v>146</v>
      </c>
      <c r="AV350" s="2">
        <f t="shared" si="50"/>
        <v>15.45</v>
      </c>
      <c r="AW350" s="2">
        <f t="shared" si="51"/>
        <v>13.907</v>
      </c>
      <c r="AX350" s="27">
        <f t="shared" si="52"/>
        <v>0.90012944983818777</v>
      </c>
      <c r="BA350" s="2">
        <f t="shared" si="53"/>
        <v>0</v>
      </c>
      <c r="BB350" s="2">
        <f t="shared" si="54"/>
        <v>0</v>
      </c>
      <c r="BC350" s="2">
        <f t="shared" si="55"/>
        <v>0</v>
      </c>
      <c r="BD350" s="2">
        <f t="shared" si="56"/>
        <v>0</v>
      </c>
      <c r="BE350" s="2">
        <f t="shared" si="57"/>
        <v>0</v>
      </c>
      <c r="BF350" s="2">
        <f t="shared" si="58"/>
        <v>0</v>
      </c>
      <c r="BJ350" s="2" t="str">
        <f t="shared" si="59"/>
        <v/>
      </c>
    </row>
    <row r="351" spans="1:62" ht="15" customHeight="1" x14ac:dyDescent="0.45">
      <c r="A351" s="2" t="s">
        <v>225</v>
      </c>
      <c r="B351" s="2" t="s">
        <v>224</v>
      </c>
      <c r="C351" s="2">
        <v>2019</v>
      </c>
      <c r="D351" s="2">
        <v>9.7430000000000003</v>
      </c>
      <c r="E351" s="2">
        <v>12.34</v>
      </c>
      <c r="F351" s="2" t="s">
        <v>146</v>
      </c>
      <c r="G351" s="2">
        <v>0.09</v>
      </c>
      <c r="H351" s="2">
        <v>0.36</v>
      </c>
      <c r="I351" s="2" t="s">
        <v>146</v>
      </c>
      <c r="J351" s="2" t="s">
        <v>146</v>
      </c>
      <c r="K351" s="2" t="s">
        <v>146</v>
      </c>
      <c r="L351" s="2" t="s">
        <v>146</v>
      </c>
      <c r="M351" s="2" t="s">
        <v>49</v>
      </c>
      <c r="N351" s="2" t="s">
        <v>146</v>
      </c>
      <c r="O351" s="2">
        <v>6.22</v>
      </c>
      <c r="P351" s="2">
        <v>1.26</v>
      </c>
      <c r="Q351" s="2" t="s">
        <v>146</v>
      </c>
      <c r="R351" s="2" t="s">
        <v>146</v>
      </c>
      <c r="S351" s="2" t="s">
        <v>146</v>
      </c>
      <c r="T351" s="2" t="s">
        <v>147</v>
      </c>
      <c r="U351" s="2" t="s">
        <v>146</v>
      </c>
      <c r="V351" s="2" t="s">
        <v>146</v>
      </c>
      <c r="W351" s="2" t="s">
        <v>146</v>
      </c>
      <c r="X351" s="2" t="s">
        <v>146</v>
      </c>
      <c r="Y351" s="2" t="s">
        <v>146</v>
      </c>
      <c r="Z351" s="2">
        <v>0.1</v>
      </c>
      <c r="AA351" s="2" t="s">
        <v>146</v>
      </c>
      <c r="AB351" s="2" t="s">
        <v>146</v>
      </c>
      <c r="AC351" s="2" t="s">
        <v>146</v>
      </c>
      <c r="AD351" s="2" t="s">
        <v>146</v>
      </c>
      <c r="AE351" s="2" t="s">
        <v>146</v>
      </c>
      <c r="AF351" s="2" t="s">
        <v>146</v>
      </c>
      <c r="AG351" s="2">
        <v>3.09</v>
      </c>
      <c r="AH351" s="2">
        <v>1.22</v>
      </c>
      <c r="AI351" s="2" t="s">
        <v>146</v>
      </c>
      <c r="AJ351" s="2" t="s">
        <v>146</v>
      </c>
      <c r="AK351" s="2" t="s">
        <v>146</v>
      </c>
      <c r="AL351" s="2" t="s">
        <v>146</v>
      </c>
      <c r="AM351" s="2" t="s">
        <v>146</v>
      </c>
      <c r="AN351" s="2" t="s">
        <v>49</v>
      </c>
      <c r="AO351" s="2">
        <v>100</v>
      </c>
      <c r="AP351" s="2" t="s">
        <v>146</v>
      </c>
      <c r="AQ351" s="2" t="s">
        <v>146</v>
      </c>
      <c r="AR351" s="2" t="s">
        <v>146</v>
      </c>
      <c r="AV351" s="2">
        <f t="shared" si="50"/>
        <v>12.34</v>
      </c>
      <c r="AW351" s="2">
        <f t="shared" si="51"/>
        <v>9.7430000000000003</v>
      </c>
      <c r="AX351" s="27">
        <f t="shared" si="52"/>
        <v>0.78954619124797409</v>
      </c>
      <c r="BA351" s="2">
        <f t="shared" si="53"/>
        <v>1.22</v>
      </c>
      <c r="BB351" s="2">
        <f t="shared" si="54"/>
        <v>1.22</v>
      </c>
      <c r="BC351" s="2">
        <f t="shared" si="55"/>
        <v>0</v>
      </c>
      <c r="BD351" s="2">
        <f t="shared" si="56"/>
        <v>0</v>
      </c>
      <c r="BE351" s="2">
        <f t="shared" si="57"/>
        <v>0</v>
      </c>
      <c r="BF351" s="2">
        <f t="shared" si="58"/>
        <v>0</v>
      </c>
      <c r="BJ351" s="2" t="str">
        <f t="shared" si="59"/>
        <v/>
      </c>
    </row>
    <row r="352" spans="1:62" ht="15" customHeight="1" x14ac:dyDescent="0.45">
      <c r="A352" s="2" t="s">
        <v>221</v>
      </c>
      <c r="B352" s="2" t="s">
        <v>223</v>
      </c>
      <c r="C352" s="2">
        <v>2019</v>
      </c>
      <c r="D352" s="2">
        <v>2.6579999999999999</v>
      </c>
      <c r="E352" s="2">
        <v>2.9689999999999999</v>
      </c>
      <c r="F352" s="2" t="s">
        <v>146</v>
      </c>
      <c r="G352" s="2">
        <v>7.9000000000000001E-2</v>
      </c>
      <c r="H352" s="2">
        <v>0</v>
      </c>
      <c r="I352" s="2">
        <v>0</v>
      </c>
      <c r="J352" s="2">
        <v>0</v>
      </c>
      <c r="K352" s="2">
        <v>0</v>
      </c>
      <c r="L352" s="2">
        <v>0</v>
      </c>
      <c r="M352" s="2" t="s">
        <v>49</v>
      </c>
      <c r="N352" s="2">
        <v>0</v>
      </c>
      <c r="O352" s="2">
        <v>0</v>
      </c>
      <c r="P352" s="2">
        <v>0</v>
      </c>
      <c r="Q352" s="2">
        <v>0</v>
      </c>
      <c r="R352" s="2">
        <v>0</v>
      </c>
      <c r="S352" s="2">
        <v>0</v>
      </c>
      <c r="T352" s="2" t="s">
        <v>146</v>
      </c>
      <c r="U352" s="2">
        <v>0.18</v>
      </c>
      <c r="V352" s="2">
        <v>2.71</v>
      </c>
      <c r="W352" s="2">
        <v>0</v>
      </c>
      <c r="X352" s="2">
        <v>0</v>
      </c>
      <c r="Y352" s="2">
        <v>0</v>
      </c>
      <c r="Z352" s="2">
        <v>0</v>
      </c>
      <c r="AA352" s="2">
        <v>0</v>
      </c>
      <c r="AB352" s="2" t="s">
        <v>146</v>
      </c>
      <c r="AC352" s="2" t="s">
        <v>146</v>
      </c>
      <c r="AD352" s="2" t="s">
        <v>146</v>
      </c>
      <c r="AE352" s="2" t="s">
        <v>146</v>
      </c>
      <c r="AF352" s="2" t="s">
        <v>146</v>
      </c>
      <c r="AG352" s="2" t="s">
        <v>146</v>
      </c>
      <c r="AH352" s="2" t="s">
        <v>146</v>
      </c>
      <c r="AI352" s="2" t="s">
        <v>146</v>
      </c>
      <c r="AJ352" s="2" t="s">
        <v>146</v>
      </c>
      <c r="AK352" s="2" t="s">
        <v>146</v>
      </c>
      <c r="AL352" s="2" t="s">
        <v>146</v>
      </c>
      <c r="AM352" s="2" t="s">
        <v>146</v>
      </c>
      <c r="AN352" s="2" t="s">
        <v>49</v>
      </c>
      <c r="AO352" s="2" t="s">
        <v>146</v>
      </c>
      <c r="AP352" s="2" t="s">
        <v>146</v>
      </c>
      <c r="AQ352" s="2" t="s">
        <v>146</v>
      </c>
      <c r="AR352" s="2" t="s">
        <v>146</v>
      </c>
      <c r="AV352" s="2">
        <f t="shared" si="50"/>
        <v>2.9689999999999999</v>
      </c>
      <c r="AW352" s="2">
        <f t="shared" si="51"/>
        <v>2.6579999999999999</v>
      </c>
      <c r="AX352" s="27">
        <f t="shared" si="52"/>
        <v>0.89525092623779057</v>
      </c>
      <c r="BA352" s="2">
        <f t="shared" si="53"/>
        <v>0</v>
      </c>
      <c r="BB352" s="2">
        <f t="shared" si="54"/>
        <v>0</v>
      </c>
      <c r="BC352" s="2">
        <f t="shared" si="55"/>
        <v>0</v>
      </c>
      <c r="BD352" s="2">
        <f t="shared" si="56"/>
        <v>0</v>
      </c>
      <c r="BE352" s="2">
        <f t="shared" si="57"/>
        <v>0</v>
      </c>
      <c r="BF352" s="2">
        <f t="shared" si="58"/>
        <v>0</v>
      </c>
      <c r="BJ352" s="2" t="str">
        <f t="shared" si="59"/>
        <v/>
      </c>
    </row>
    <row r="353" spans="1:62" ht="15" customHeight="1" x14ac:dyDescent="0.45">
      <c r="A353" s="2" t="s">
        <v>221</v>
      </c>
      <c r="B353" s="2" t="s">
        <v>222</v>
      </c>
      <c r="C353" s="2">
        <v>2019</v>
      </c>
      <c r="D353" s="2" t="s">
        <v>146</v>
      </c>
      <c r="E353" s="2" t="s">
        <v>146</v>
      </c>
      <c r="F353" s="2" t="s">
        <v>146</v>
      </c>
      <c r="G353" s="2" t="s">
        <v>146</v>
      </c>
      <c r="H353" s="2" t="s">
        <v>146</v>
      </c>
      <c r="I353" s="2" t="s">
        <v>146</v>
      </c>
      <c r="J353" s="2" t="s">
        <v>146</v>
      </c>
      <c r="K353" s="2" t="s">
        <v>146</v>
      </c>
      <c r="L353" s="2" t="s">
        <v>146</v>
      </c>
      <c r="M353" s="2" t="s">
        <v>49</v>
      </c>
      <c r="N353" s="2" t="s">
        <v>146</v>
      </c>
      <c r="O353" s="2" t="s">
        <v>146</v>
      </c>
      <c r="P353" s="2" t="s">
        <v>146</v>
      </c>
      <c r="Q353" s="2" t="s">
        <v>146</v>
      </c>
      <c r="R353" s="2" t="s">
        <v>146</v>
      </c>
      <c r="S353" s="2" t="s">
        <v>146</v>
      </c>
      <c r="T353" s="2" t="s">
        <v>146</v>
      </c>
      <c r="U353" s="2" t="s">
        <v>146</v>
      </c>
      <c r="V353" s="2" t="s">
        <v>146</v>
      </c>
      <c r="W353" s="2" t="s">
        <v>146</v>
      </c>
      <c r="X353" s="2" t="s">
        <v>146</v>
      </c>
      <c r="Y353" s="2" t="s">
        <v>146</v>
      </c>
      <c r="Z353" s="2" t="s">
        <v>146</v>
      </c>
      <c r="AA353" s="2" t="s">
        <v>146</v>
      </c>
      <c r="AB353" s="2" t="s">
        <v>146</v>
      </c>
      <c r="AC353" s="2" t="s">
        <v>146</v>
      </c>
      <c r="AD353" s="2" t="s">
        <v>146</v>
      </c>
      <c r="AE353" s="2" t="s">
        <v>146</v>
      </c>
      <c r="AF353" s="2" t="s">
        <v>146</v>
      </c>
      <c r="AG353" s="2" t="s">
        <v>146</v>
      </c>
      <c r="AH353" s="2" t="s">
        <v>146</v>
      </c>
      <c r="AI353" s="2" t="s">
        <v>146</v>
      </c>
      <c r="AJ353" s="2" t="s">
        <v>146</v>
      </c>
      <c r="AK353" s="2" t="s">
        <v>146</v>
      </c>
      <c r="AL353" s="2" t="s">
        <v>146</v>
      </c>
      <c r="AM353" s="2" t="s">
        <v>146</v>
      </c>
      <c r="AN353" s="2" t="s">
        <v>49</v>
      </c>
      <c r="AO353" s="2" t="s">
        <v>146</v>
      </c>
      <c r="AP353" s="2" t="s">
        <v>146</v>
      </c>
      <c r="AQ353" s="2" t="s">
        <v>146</v>
      </c>
      <c r="AR353" s="2" t="s">
        <v>146</v>
      </c>
      <c r="AV353" s="2">
        <f t="shared" si="50"/>
        <v>0</v>
      </c>
      <c r="AW353" s="2">
        <f t="shared" si="51"/>
        <v>0</v>
      </c>
      <c r="AX353" s="27" t="str">
        <f t="shared" si="52"/>
        <v/>
      </c>
      <c r="BA353" s="2">
        <f t="shared" si="53"/>
        <v>0</v>
      </c>
      <c r="BB353" s="2">
        <f t="shared" si="54"/>
        <v>0</v>
      </c>
      <c r="BC353" s="2">
        <f t="shared" si="55"/>
        <v>0</v>
      </c>
      <c r="BD353" s="2">
        <f t="shared" si="56"/>
        <v>0</v>
      </c>
      <c r="BE353" s="2">
        <f t="shared" si="57"/>
        <v>0</v>
      </c>
      <c r="BF353" s="2">
        <f t="shared" si="58"/>
        <v>0</v>
      </c>
      <c r="BJ353" s="2" t="str">
        <f t="shared" si="59"/>
        <v/>
      </c>
    </row>
    <row r="354" spans="1:62" ht="15" customHeight="1" x14ac:dyDescent="0.45">
      <c r="A354" s="2" t="s">
        <v>221</v>
      </c>
      <c r="B354" s="2" t="s">
        <v>220</v>
      </c>
      <c r="C354" s="2">
        <v>2019</v>
      </c>
      <c r="D354" s="2">
        <v>27.370999999999999</v>
      </c>
      <c r="E354" s="2">
        <v>29.827999999999999</v>
      </c>
      <c r="F354" s="2">
        <v>0</v>
      </c>
      <c r="G354" s="2">
        <v>0</v>
      </c>
      <c r="H354" s="2">
        <v>0</v>
      </c>
      <c r="I354" s="2">
        <v>0</v>
      </c>
      <c r="J354" s="2">
        <v>0</v>
      </c>
      <c r="K354" s="2">
        <v>0</v>
      </c>
      <c r="L354" s="2">
        <v>0</v>
      </c>
      <c r="M354" s="2" t="s">
        <v>49</v>
      </c>
      <c r="N354" s="2">
        <v>0</v>
      </c>
      <c r="O354" s="2">
        <v>0</v>
      </c>
      <c r="P354" s="2">
        <v>10.62</v>
      </c>
      <c r="Q354" s="2">
        <v>17.77</v>
      </c>
      <c r="R354" s="2">
        <v>0</v>
      </c>
      <c r="S354" s="2">
        <v>0</v>
      </c>
      <c r="T354" s="2" t="s">
        <v>146</v>
      </c>
      <c r="U354" s="2" t="s">
        <v>146</v>
      </c>
      <c r="V354" s="2" t="s">
        <v>146</v>
      </c>
      <c r="W354" s="2" t="s">
        <v>146</v>
      </c>
      <c r="X354" s="2" t="s">
        <v>146</v>
      </c>
      <c r="Y354" s="2" t="s">
        <v>146</v>
      </c>
      <c r="Z354" s="2" t="s">
        <v>146</v>
      </c>
      <c r="AA354" s="2" t="s">
        <v>146</v>
      </c>
      <c r="AB354" s="2" t="s">
        <v>146</v>
      </c>
      <c r="AC354" s="2" t="s">
        <v>146</v>
      </c>
      <c r="AD354" s="2" t="s">
        <v>146</v>
      </c>
      <c r="AE354" s="2" t="s">
        <v>146</v>
      </c>
      <c r="AF354" s="2" t="s">
        <v>146</v>
      </c>
      <c r="AG354" s="2" t="s">
        <v>146</v>
      </c>
      <c r="AH354" s="2">
        <v>1.4379999999999999</v>
      </c>
      <c r="AI354" s="2" t="s">
        <v>146</v>
      </c>
      <c r="AJ354" s="2" t="s">
        <v>146</v>
      </c>
      <c r="AK354" s="2" t="s">
        <v>146</v>
      </c>
      <c r="AL354" s="2" t="s">
        <v>146</v>
      </c>
      <c r="AM354" s="2" t="s">
        <v>146</v>
      </c>
      <c r="AN354" s="2" t="s">
        <v>49</v>
      </c>
      <c r="AO354" s="2">
        <v>100</v>
      </c>
      <c r="AP354" s="2">
        <v>0</v>
      </c>
      <c r="AQ354" s="2">
        <v>0</v>
      </c>
      <c r="AR354" s="2">
        <v>0</v>
      </c>
      <c r="AV354" s="2">
        <f t="shared" si="50"/>
        <v>29.827999999999999</v>
      </c>
      <c r="AW354" s="2">
        <f t="shared" si="51"/>
        <v>27.370999999999999</v>
      </c>
      <c r="AX354" s="27">
        <f t="shared" si="52"/>
        <v>0.91762773233203698</v>
      </c>
      <c r="BA354" s="2">
        <f t="shared" si="53"/>
        <v>1.4379999999999999</v>
      </c>
      <c r="BB354" s="2">
        <f t="shared" si="54"/>
        <v>1.4379999999999999</v>
      </c>
      <c r="BC354" s="2">
        <f t="shared" si="55"/>
        <v>0</v>
      </c>
      <c r="BD354" s="2">
        <f t="shared" si="56"/>
        <v>0</v>
      </c>
      <c r="BE354" s="2">
        <f t="shared" si="57"/>
        <v>0</v>
      </c>
      <c r="BF354" s="2">
        <f t="shared" si="58"/>
        <v>0</v>
      </c>
      <c r="BJ354" s="2" t="str">
        <f t="shared" si="59"/>
        <v/>
      </c>
    </row>
    <row r="355" spans="1:62" ht="15" customHeight="1" x14ac:dyDescent="0.45">
      <c r="A355" s="2" t="s">
        <v>48</v>
      </c>
      <c r="B355" s="2" t="s">
        <v>219</v>
      </c>
      <c r="C355" s="2">
        <v>2019</v>
      </c>
      <c r="D355" s="2">
        <v>146.38499999999999</v>
      </c>
      <c r="E355" s="2">
        <v>170.012</v>
      </c>
      <c r="F355" s="2" t="s">
        <v>146</v>
      </c>
      <c r="G355" s="2">
        <v>1.3280000000000001</v>
      </c>
      <c r="H355" s="2">
        <v>1.92</v>
      </c>
      <c r="I355" s="2" t="s">
        <v>146</v>
      </c>
      <c r="J355" s="2" t="s">
        <v>146</v>
      </c>
      <c r="K355" s="2" t="s">
        <v>146</v>
      </c>
      <c r="L355" s="2" t="s">
        <v>146</v>
      </c>
      <c r="M355" s="2" t="s">
        <v>49</v>
      </c>
      <c r="N355" s="2" t="s">
        <v>146</v>
      </c>
      <c r="O355" s="2" t="s">
        <v>146</v>
      </c>
      <c r="P355" s="2" t="s">
        <v>146</v>
      </c>
      <c r="Q355" s="2">
        <v>17.242000000000001</v>
      </c>
      <c r="R355" s="2" t="s">
        <v>146</v>
      </c>
      <c r="S355" s="2" t="s">
        <v>146</v>
      </c>
      <c r="T355" s="2" t="s">
        <v>146</v>
      </c>
      <c r="U355" s="2">
        <v>0.56999999999999995</v>
      </c>
      <c r="V355" s="2" t="s">
        <v>146</v>
      </c>
      <c r="W355" s="2" t="s">
        <v>146</v>
      </c>
      <c r="X355" s="2" t="s">
        <v>146</v>
      </c>
      <c r="Y355" s="2" t="s">
        <v>146</v>
      </c>
      <c r="Z355" s="2" t="s">
        <v>146</v>
      </c>
      <c r="AA355" s="2" t="s">
        <v>146</v>
      </c>
      <c r="AB355" s="2" t="s">
        <v>146</v>
      </c>
      <c r="AC355" s="2">
        <v>134.60300000000001</v>
      </c>
      <c r="AD355" s="2">
        <v>2.5179999999999998</v>
      </c>
      <c r="AE355" s="2" t="s">
        <v>160</v>
      </c>
      <c r="AF355" s="2">
        <v>37.299999999999997</v>
      </c>
      <c r="AG355" s="2" t="s">
        <v>146</v>
      </c>
      <c r="AH355" s="2">
        <v>14.349</v>
      </c>
      <c r="AI355" s="2" t="s">
        <v>146</v>
      </c>
      <c r="AJ355" s="2" t="s">
        <v>146</v>
      </c>
      <c r="AK355" s="2" t="s">
        <v>146</v>
      </c>
      <c r="AL355" s="2" t="s">
        <v>146</v>
      </c>
      <c r="AM355" s="2" t="s">
        <v>146</v>
      </c>
      <c r="AN355" s="2" t="s">
        <v>49</v>
      </c>
      <c r="AO355" s="2">
        <v>0</v>
      </c>
      <c r="AP355" s="2">
        <v>97</v>
      </c>
      <c r="AQ355" s="2">
        <v>3</v>
      </c>
      <c r="AR355" s="2">
        <v>0</v>
      </c>
      <c r="AV355" s="2">
        <f t="shared" si="50"/>
        <v>170.012</v>
      </c>
      <c r="AW355" s="2">
        <f t="shared" si="51"/>
        <v>146.38499999999999</v>
      </c>
      <c r="AX355" s="27">
        <f t="shared" si="52"/>
        <v>0.86102745688539628</v>
      </c>
      <c r="BA355" s="2">
        <f t="shared" si="53"/>
        <v>14.349</v>
      </c>
      <c r="BB355" s="2">
        <f t="shared" si="54"/>
        <v>0</v>
      </c>
      <c r="BC355" s="2">
        <f t="shared" si="55"/>
        <v>13.918530000000001</v>
      </c>
      <c r="BD355" s="2">
        <f t="shared" si="56"/>
        <v>0.43046999999999996</v>
      </c>
      <c r="BE355" s="2">
        <f t="shared" si="57"/>
        <v>0</v>
      </c>
      <c r="BF355" s="2">
        <f t="shared" si="58"/>
        <v>0</v>
      </c>
      <c r="BJ355" s="2" t="str">
        <f t="shared" si="59"/>
        <v/>
      </c>
    </row>
    <row r="356" spans="1:62" ht="15" customHeight="1" x14ac:dyDescent="0.45">
      <c r="A356" s="2" t="s">
        <v>48</v>
      </c>
      <c r="B356" s="2" t="s">
        <v>218</v>
      </c>
      <c r="C356" s="2">
        <v>2019</v>
      </c>
      <c r="D356" s="2">
        <v>16.108000000000001</v>
      </c>
      <c r="E356" s="2">
        <v>19.013000000000002</v>
      </c>
      <c r="F356" s="2" t="s">
        <v>146</v>
      </c>
      <c r="G356" s="2">
        <v>0.57899999999999996</v>
      </c>
      <c r="H356" s="2" t="s">
        <v>146</v>
      </c>
      <c r="I356" s="2" t="s">
        <v>146</v>
      </c>
      <c r="J356" s="2" t="s">
        <v>146</v>
      </c>
      <c r="K356" s="2" t="s">
        <v>146</v>
      </c>
      <c r="L356" s="2" t="s">
        <v>146</v>
      </c>
      <c r="M356" s="2" t="s">
        <v>49</v>
      </c>
      <c r="N356" s="2" t="s">
        <v>146</v>
      </c>
      <c r="O356" s="2" t="s">
        <v>146</v>
      </c>
      <c r="P356" s="2" t="s">
        <v>146</v>
      </c>
      <c r="Q356" s="2">
        <v>14.452999999999999</v>
      </c>
      <c r="R356" s="2" t="s">
        <v>146</v>
      </c>
      <c r="S356" s="2">
        <v>0.96599999999999997</v>
      </c>
      <c r="T356" s="2" t="s">
        <v>146</v>
      </c>
      <c r="U356" s="2" t="s">
        <v>146</v>
      </c>
      <c r="V356" s="2" t="s">
        <v>146</v>
      </c>
      <c r="W356" s="2" t="s">
        <v>146</v>
      </c>
      <c r="X356" s="2" t="s">
        <v>146</v>
      </c>
      <c r="Y356" s="2" t="s">
        <v>146</v>
      </c>
      <c r="Z356" s="2" t="s">
        <v>146</v>
      </c>
      <c r="AA356" s="2" t="s">
        <v>146</v>
      </c>
      <c r="AB356" s="2" t="s">
        <v>146</v>
      </c>
      <c r="AC356" s="2" t="s">
        <v>146</v>
      </c>
      <c r="AD356" s="2" t="s">
        <v>146</v>
      </c>
      <c r="AE356" s="2" t="s">
        <v>155</v>
      </c>
      <c r="AF356" s="2" t="s">
        <v>146</v>
      </c>
      <c r="AG356" s="2" t="s">
        <v>146</v>
      </c>
      <c r="AH356" s="2">
        <v>3.0150000000000001</v>
      </c>
      <c r="AI356" s="2" t="s">
        <v>146</v>
      </c>
      <c r="AJ356" s="2" t="s">
        <v>146</v>
      </c>
      <c r="AK356" s="2" t="s">
        <v>146</v>
      </c>
      <c r="AL356" s="2" t="s">
        <v>146</v>
      </c>
      <c r="AM356" s="2" t="s">
        <v>146</v>
      </c>
      <c r="AN356" s="2" t="s">
        <v>49</v>
      </c>
      <c r="AO356" s="2">
        <v>100</v>
      </c>
      <c r="AP356" s="2" t="s">
        <v>146</v>
      </c>
      <c r="AQ356" s="2" t="s">
        <v>146</v>
      </c>
      <c r="AR356" s="2" t="s">
        <v>146</v>
      </c>
      <c r="AV356" s="2">
        <f t="shared" si="50"/>
        <v>19.012999999999998</v>
      </c>
      <c r="AW356" s="2">
        <f t="shared" si="51"/>
        <v>16.108000000000001</v>
      </c>
      <c r="AX356" s="27">
        <f t="shared" si="52"/>
        <v>0.84720980381844013</v>
      </c>
      <c r="BA356" s="2">
        <f t="shared" si="53"/>
        <v>3.0150000000000001</v>
      </c>
      <c r="BB356" s="2">
        <f t="shared" si="54"/>
        <v>3.0150000000000001</v>
      </c>
      <c r="BC356" s="2">
        <f t="shared" si="55"/>
        <v>0</v>
      </c>
      <c r="BD356" s="2">
        <f t="shared" si="56"/>
        <v>0</v>
      </c>
      <c r="BE356" s="2">
        <f t="shared" si="57"/>
        <v>0</v>
      </c>
      <c r="BF356" s="2">
        <f t="shared" si="58"/>
        <v>0</v>
      </c>
      <c r="BJ356" s="2" t="str">
        <f t="shared" si="59"/>
        <v/>
      </c>
    </row>
    <row r="357" spans="1:62" ht="15" customHeight="1" x14ac:dyDescent="0.45">
      <c r="A357" s="2" t="s">
        <v>48</v>
      </c>
      <c r="B357" s="2" t="s">
        <v>217</v>
      </c>
      <c r="C357" s="2">
        <v>2019</v>
      </c>
      <c r="D357" s="2">
        <v>2.09</v>
      </c>
      <c r="E357" s="2">
        <v>2.2799999999999998</v>
      </c>
      <c r="F357" s="2" t="s">
        <v>146</v>
      </c>
      <c r="G357" s="2">
        <v>2.2799999999999998</v>
      </c>
      <c r="H357" s="2" t="s">
        <v>146</v>
      </c>
      <c r="I357" s="2" t="s">
        <v>146</v>
      </c>
      <c r="J357" s="2" t="s">
        <v>146</v>
      </c>
      <c r="K357" s="2" t="s">
        <v>146</v>
      </c>
      <c r="L357" s="2" t="s">
        <v>146</v>
      </c>
      <c r="M357" s="2" t="s">
        <v>49</v>
      </c>
      <c r="N357" s="2" t="s">
        <v>146</v>
      </c>
      <c r="O357" s="2" t="s">
        <v>146</v>
      </c>
      <c r="P357" s="2" t="s">
        <v>146</v>
      </c>
      <c r="Q357" s="2" t="s">
        <v>146</v>
      </c>
      <c r="R357" s="2" t="s">
        <v>146</v>
      </c>
      <c r="S357" s="2" t="s">
        <v>146</v>
      </c>
      <c r="T357" s="2" t="s">
        <v>146</v>
      </c>
      <c r="U357" s="2" t="s">
        <v>146</v>
      </c>
      <c r="V357" s="2" t="s">
        <v>146</v>
      </c>
      <c r="W357" s="2" t="s">
        <v>146</v>
      </c>
      <c r="X357" s="2" t="s">
        <v>146</v>
      </c>
      <c r="Y357" s="2" t="s">
        <v>146</v>
      </c>
      <c r="Z357" s="2" t="s">
        <v>146</v>
      </c>
      <c r="AA357" s="2" t="s">
        <v>146</v>
      </c>
      <c r="AB357" s="2" t="s">
        <v>146</v>
      </c>
      <c r="AC357" s="2" t="s">
        <v>146</v>
      </c>
      <c r="AD357" s="2" t="s">
        <v>146</v>
      </c>
      <c r="AE357" s="2" t="s">
        <v>155</v>
      </c>
      <c r="AF357" s="2" t="s">
        <v>146</v>
      </c>
      <c r="AG357" s="2" t="s">
        <v>146</v>
      </c>
      <c r="AH357" s="2" t="s">
        <v>146</v>
      </c>
      <c r="AI357" s="2" t="s">
        <v>146</v>
      </c>
      <c r="AJ357" s="2" t="s">
        <v>146</v>
      </c>
      <c r="AK357" s="2" t="s">
        <v>146</v>
      </c>
      <c r="AL357" s="2" t="s">
        <v>146</v>
      </c>
      <c r="AM357" s="2" t="s">
        <v>146</v>
      </c>
      <c r="AN357" s="2" t="s">
        <v>49</v>
      </c>
      <c r="AO357" s="2" t="s">
        <v>146</v>
      </c>
      <c r="AP357" s="2" t="s">
        <v>146</v>
      </c>
      <c r="AQ357" s="2" t="s">
        <v>146</v>
      </c>
      <c r="AR357" s="2" t="s">
        <v>146</v>
      </c>
      <c r="AV357" s="2">
        <f t="shared" si="50"/>
        <v>2.2799999999999998</v>
      </c>
      <c r="AW357" s="2">
        <f t="shared" si="51"/>
        <v>2.09</v>
      </c>
      <c r="AX357" s="27">
        <f t="shared" si="52"/>
        <v>0.91666666666666663</v>
      </c>
      <c r="BA357" s="2">
        <f t="shared" si="53"/>
        <v>0</v>
      </c>
      <c r="BB357" s="2">
        <f t="shared" si="54"/>
        <v>0</v>
      </c>
      <c r="BC357" s="2">
        <f t="shared" si="55"/>
        <v>0</v>
      </c>
      <c r="BD357" s="2">
        <f t="shared" si="56"/>
        <v>0</v>
      </c>
      <c r="BE357" s="2">
        <f t="shared" si="57"/>
        <v>0</v>
      </c>
      <c r="BF357" s="2">
        <f t="shared" si="58"/>
        <v>0</v>
      </c>
      <c r="BJ357" s="2" t="str">
        <f t="shared" si="59"/>
        <v/>
      </c>
    </row>
    <row r="358" spans="1:62" ht="15" customHeight="1" x14ac:dyDescent="0.45">
      <c r="A358" s="2" t="s">
        <v>48</v>
      </c>
      <c r="B358" s="2" t="s">
        <v>216</v>
      </c>
      <c r="C358" s="2">
        <v>2019</v>
      </c>
      <c r="D358" s="2">
        <v>5.89</v>
      </c>
      <c r="E358" s="2">
        <v>7.3440000000000003</v>
      </c>
      <c r="F358" s="2" t="s">
        <v>146</v>
      </c>
      <c r="G358" s="2">
        <v>0.22</v>
      </c>
      <c r="H358" s="2" t="s">
        <v>146</v>
      </c>
      <c r="I358" s="2" t="s">
        <v>146</v>
      </c>
      <c r="J358" s="2" t="s">
        <v>146</v>
      </c>
      <c r="K358" s="2" t="s">
        <v>146</v>
      </c>
      <c r="L358" s="2" t="s">
        <v>146</v>
      </c>
      <c r="M358" s="2" t="s">
        <v>49</v>
      </c>
      <c r="N358" s="2" t="s">
        <v>146</v>
      </c>
      <c r="O358" s="2" t="s">
        <v>146</v>
      </c>
      <c r="P358" s="2" t="s">
        <v>146</v>
      </c>
      <c r="Q358" s="2" t="s">
        <v>146</v>
      </c>
      <c r="R358" s="2" t="s">
        <v>146</v>
      </c>
      <c r="S358" s="2" t="s">
        <v>146</v>
      </c>
      <c r="T358" s="2" t="s">
        <v>146</v>
      </c>
      <c r="U358" s="2" t="s">
        <v>146</v>
      </c>
      <c r="V358" s="2">
        <v>7.1239999999999997</v>
      </c>
      <c r="W358" s="2" t="s">
        <v>146</v>
      </c>
      <c r="X358" s="2" t="s">
        <v>146</v>
      </c>
      <c r="Y358" s="2" t="s">
        <v>146</v>
      </c>
      <c r="Z358" s="2" t="s">
        <v>146</v>
      </c>
      <c r="AA358" s="2" t="s">
        <v>146</v>
      </c>
      <c r="AB358" s="2" t="s">
        <v>146</v>
      </c>
      <c r="AC358" s="2" t="s">
        <v>146</v>
      </c>
      <c r="AD358" s="2" t="s">
        <v>146</v>
      </c>
      <c r="AE358" s="2" t="s">
        <v>155</v>
      </c>
      <c r="AF358" s="2" t="s">
        <v>146</v>
      </c>
      <c r="AG358" s="2" t="s">
        <v>146</v>
      </c>
      <c r="AH358" s="2" t="s">
        <v>146</v>
      </c>
      <c r="AI358" s="2" t="s">
        <v>146</v>
      </c>
      <c r="AJ358" s="2" t="s">
        <v>146</v>
      </c>
      <c r="AK358" s="2" t="s">
        <v>146</v>
      </c>
      <c r="AL358" s="2" t="s">
        <v>146</v>
      </c>
      <c r="AM358" s="2" t="s">
        <v>146</v>
      </c>
      <c r="AN358" s="2" t="s">
        <v>49</v>
      </c>
      <c r="AO358" s="2" t="s">
        <v>146</v>
      </c>
      <c r="AP358" s="2" t="s">
        <v>146</v>
      </c>
      <c r="AQ358" s="2" t="s">
        <v>146</v>
      </c>
      <c r="AR358" s="2" t="s">
        <v>146</v>
      </c>
      <c r="AV358" s="2">
        <f t="shared" si="50"/>
        <v>7.3439999999999994</v>
      </c>
      <c r="AW358" s="2">
        <f t="shared" si="51"/>
        <v>5.89</v>
      </c>
      <c r="AX358" s="27">
        <f t="shared" si="52"/>
        <v>0.80201525054466238</v>
      </c>
      <c r="BA358" s="2">
        <f t="shared" si="53"/>
        <v>0</v>
      </c>
      <c r="BB358" s="2">
        <f t="shared" si="54"/>
        <v>0</v>
      </c>
      <c r="BC358" s="2">
        <f t="shared" si="55"/>
        <v>0</v>
      </c>
      <c r="BD358" s="2">
        <f t="shared" si="56"/>
        <v>0</v>
      </c>
      <c r="BE358" s="2">
        <f t="shared" si="57"/>
        <v>0</v>
      </c>
      <c r="BF358" s="2">
        <f t="shared" si="58"/>
        <v>0</v>
      </c>
      <c r="BJ358" s="2" t="str">
        <f t="shared" si="59"/>
        <v/>
      </c>
    </row>
    <row r="359" spans="1:62" ht="15" customHeight="1" x14ac:dyDescent="0.45">
      <c r="A359" s="2" t="s">
        <v>48</v>
      </c>
      <c r="B359" s="2" t="s">
        <v>215</v>
      </c>
      <c r="C359" s="2">
        <v>2019</v>
      </c>
      <c r="D359" s="2">
        <v>29.847000000000001</v>
      </c>
      <c r="E359" s="2">
        <v>41.744</v>
      </c>
      <c r="F359" s="2" t="s">
        <v>146</v>
      </c>
      <c r="G359" s="2" t="s">
        <v>146</v>
      </c>
      <c r="H359" s="2" t="s">
        <v>146</v>
      </c>
      <c r="I359" s="2" t="s">
        <v>146</v>
      </c>
      <c r="J359" s="2" t="s">
        <v>146</v>
      </c>
      <c r="K359" s="2" t="s">
        <v>146</v>
      </c>
      <c r="L359" s="2" t="s">
        <v>146</v>
      </c>
      <c r="M359" s="2" t="s">
        <v>49</v>
      </c>
      <c r="N359" s="2" t="s">
        <v>146</v>
      </c>
      <c r="O359" s="2" t="s">
        <v>146</v>
      </c>
      <c r="P359" s="2">
        <v>7.452</v>
      </c>
      <c r="Q359" s="2">
        <v>20</v>
      </c>
      <c r="R359" s="2" t="s">
        <v>146</v>
      </c>
      <c r="S359" s="2">
        <v>6.4020000000000001</v>
      </c>
      <c r="T359" s="2" t="s">
        <v>147</v>
      </c>
      <c r="U359" s="2" t="s">
        <v>146</v>
      </c>
      <c r="V359" s="2" t="s">
        <v>146</v>
      </c>
      <c r="W359" s="2" t="s">
        <v>146</v>
      </c>
      <c r="X359" s="2" t="s">
        <v>146</v>
      </c>
      <c r="Y359" s="2" t="s">
        <v>146</v>
      </c>
      <c r="Z359" s="2" t="s">
        <v>146</v>
      </c>
      <c r="AA359" s="2" t="s">
        <v>146</v>
      </c>
      <c r="AB359" s="2" t="s">
        <v>146</v>
      </c>
      <c r="AC359" s="2" t="s">
        <v>146</v>
      </c>
      <c r="AD359" s="2" t="s">
        <v>146</v>
      </c>
      <c r="AE359" s="2" t="s">
        <v>155</v>
      </c>
      <c r="AF359" s="2" t="s">
        <v>146</v>
      </c>
      <c r="AG359" s="2" t="s">
        <v>146</v>
      </c>
      <c r="AH359" s="2">
        <v>7.89</v>
      </c>
      <c r="AI359" s="2" t="s">
        <v>146</v>
      </c>
      <c r="AJ359" s="2" t="s">
        <v>146</v>
      </c>
      <c r="AK359" s="2" t="s">
        <v>146</v>
      </c>
      <c r="AL359" s="2" t="s">
        <v>146</v>
      </c>
      <c r="AM359" s="2" t="s">
        <v>146</v>
      </c>
      <c r="AN359" s="2" t="s">
        <v>49</v>
      </c>
      <c r="AO359" s="2">
        <v>100</v>
      </c>
      <c r="AP359" s="2" t="s">
        <v>146</v>
      </c>
      <c r="AQ359" s="2" t="s">
        <v>146</v>
      </c>
      <c r="AR359" s="2" t="s">
        <v>146</v>
      </c>
      <c r="AV359" s="2">
        <f t="shared" si="50"/>
        <v>41.744</v>
      </c>
      <c r="AW359" s="2">
        <f t="shared" si="51"/>
        <v>29.847000000000001</v>
      </c>
      <c r="AX359" s="27">
        <f t="shared" si="52"/>
        <v>0.71500095822154086</v>
      </c>
      <c r="BA359" s="2">
        <f t="shared" si="53"/>
        <v>7.89</v>
      </c>
      <c r="BB359" s="2">
        <f t="shared" si="54"/>
        <v>7.89</v>
      </c>
      <c r="BC359" s="2">
        <f t="shared" si="55"/>
        <v>0</v>
      </c>
      <c r="BD359" s="2">
        <f t="shared" si="56"/>
        <v>0</v>
      </c>
      <c r="BE359" s="2">
        <f t="shared" si="57"/>
        <v>0</v>
      </c>
      <c r="BF359" s="2">
        <f t="shared" si="58"/>
        <v>0</v>
      </c>
      <c r="BJ359" s="2" t="str">
        <f t="shared" si="59"/>
        <v/>
      </c>
    </row>
    <row r="360" spans="1:62" ht="15" customHeight="1" x14ac:dyDescent="0.45">
      <c r="A360" s="2" t="s">
        <v>48</v>
      </c>
      <c r="B360" s="2" t="s">
        <v>214</v>
      </c>
      <c r="C360" s="2">
        <v>2019</v>
      </c>
      <c r="D360" s="2">
        <v>40.798999999999999</v>
      </c>
      <c r="E360" s="2">
        <v>41.005000000000003</v>
      </c>
      <c r="F360" s="2" t="s">
        <v>146</v>
      </c>
      <c r="G360" s="2">
        <v>0.55200000000000005</v>
      </c>
      <c r="H360" s="2" t="s">
        <v>146</v>
      </c>
      <c r="I360" s="2" t="s">
        <v>146</v>
      </c>
      <c r="J360" s="2" t="s">
        <v>146</v>
      </c>
      <c r="K360" s="2" t="s">
        <v>146</v>
      </c>
      <c r="L360" s="2" t="s">
        <v>146</v>
      </c>
      <c r="M360" s="2" t="s">
        <v>49</v>
      </c>
      <c r="N360" s="2" t="s">
        <v>146</v>
      </c>
      <c r="O360" s="2" t="s">
        <v>146</v>
      </c>
      <c r="P360" s="2" t="s">
        <v>146</v>
      </c>
      <c r="Q360" s="2" t="s">
        <v>146</v>
      </c>
      <c r="R360" s="2" t="s">
        <v>146</v>
      </c>
      <c r="S360" s="2" t="s">
        <v>146</v>
      </c>
      <c r="T360" s="2" t="s">
        <v>146</v>
      </c>
      <c r="U360" s="2" t="s">
        <v>146</v>
      </c>
      <c r="V360" s="2" t="s">
        <v>146</v>
      </c>
      <c r="W360" s="2" t="s">
        <v>146</v>
      </c>
      <c r="X360" s="2" t="s">
        <v>146</v>
      </c>
      <c r="Y360" s="2">
        <v>0.83399999999999996</v>
      </c>
      <c r="Z360" s="2" t="s">
        <v>146</v>
      </c>
      <c r="AA360" s="2" t="s">
        <v>146</v>
      </c>
      <c r="AB360" s="2" t="s">
        <v>146</v>
      </c>
      <c r="AC360" s="2" t="s">
        <v>146</v>
      </c>
      <c r="AD360" s="2" t="s">
        <v>146</v>
      </c>
      <c r="AE360" s="2" t="s">
        <v>155</v>
      </c>
      <c r="AF360" s="2" t="s">
        <v>146</v>
      </c>
      <c r="AG360" s="2" t="s">
        <v>146</v>
      </c>
      <c r="AH360" s="2">
        <v>39.619</v>
      </c>
      <c r="AI360" s="2" t="s">
        <v>146</v>
      </c>
      <c r="AJ360" s="2" t="s">
        <v>146</v>
      </c>
      <c r="AK360" s="2" t="s">
        <v>146</v>
      </c>
      <c r="AL360" s="2" t="s">
        <v>146</v>
      </c>
      <c r="AM360" s="2" t="s">
        <v>146</v>
      </c>
      <c r="AN360" s="2" t="s">
        <v>49</v>
      </c>
      <c r="AO360" s="2">
        <v>100</v>
      </c>
      <c r="AP360" s="2" t="s">
        <v>146</v>
      </c>
      <c r="AQ360" s="2" t="s">
        <v>146</v>
      </c>
      <c r="AR360" s="2" t="s">
        <v>146</v>
      </c>
      <c r="AV360" s="2">
        <f t="shared" si="50"/>
        <v>41.005000000000003</v>
      </c>
      <c r="AW360" s="2">
        <f t="shared" si="51"/>
        <v>40.798999999999999</v>
      </c>
      <c r="AX360" s="27">
        <f t="shared" si="52"/>
        <v>0.99497622241190087</v>
      </c>
      <c r="BA360" s="2">
        <f t="shared" si="53"/>
        <v>39.619</v>
      </c>
      <c r="BB360" s="2">
        <f t="shared" si="54"/>
        <v>39.619</v>
      </c>
      <c r="BC360" s="2">
        <f t="shared" si="55"/>
        <v>0</v>
      </c>
      <c r="BD360" s="2">
        <f t="shared" si="56"/>
        <v>0</v>
      </c>
      <c r="BE360" s="2">
        <f t="shared" si="57"/>
        <v>0</v>
      </c>
      <c r="BF360" s="2">
        <f t="shared" si="58"/>
        <v>0</v>
      </c>
      <c r="BJ360" s="2" t="str">
        <f t="shared" si="59"/>
        <v/>
      </c>
    </row>
    <row r="361" spans="1:62" ht="15" customHeight="1" x14ac:dyDescent="0.45">
      <c r="A361" s="2" t="s">
        <v>48</v>
      </c>
      <c r="B361" s="2" t="s">
        <v>213</v>
      </c>
      <c r="C361" s="2">
        <v>2019</v>
      </c>
      <c r="D361" s="2">
        <v>33.334000000000003</v>
      </c>
      <c r="E361" s="2">
        <v>39.143000000000001</v>
      </c>
      <c r="F361" s="2" t="s">
        <v>146</v>
      </c>
      <c r="G361" s="2">
        <v>1.37</v>
      </c>
      <c r="H361" s="2" t="s">
        <v>146</v>
      </c>
      <c r="I361" s="2" t="s">
        <v>146</v>
      </c>
      <c r="J361" s="2" t="s">
        <v>146</v>
      </c>
      <c r="K361" s="2" t="s">
        <v>146</v>
      </c>
      <c r="L361" s="2" t="s">
        <v>146</v>
      </c>
      <c r="M361" s="2" t="s">
        <v>49</v>
      </c>
      <c r="N361" s="2">
        <v>10.920999999999999</v>
      </c>
      <c r="O361" s="2">
        <v>14.055</v>
      </c>
      <c r="P361" s="2">
        <v>5.9390000000000001</v>
      </c>
      <c r="Q361" s="2" t="s">
        <v>146</v>
      </c>
      <c r="R361" s="2" t="s">
        <v>146</v>
      </c>
      <c r="S361" s="2" t="s">
        <v>146</v>
      </c>
      <c r="T361" s="2" t="s">
        <v>146</v>
      </c>
      <c r="U361" s="2" t="s">
        <v>146</v>
      </c>
      <c r="V361" s="2" t="s">
        <v>146</v>
      </c>
      <c r="W361" s="2" t="s">
        <v>146</v>
      </c>
      <c r="X361" s="2" t="s">
        <v>146</v>
      </c>
      <c r="Y361" s="2" t="s">
        <v>146</v>
      </c>
      <c r="Z361" s="2" t="s">
        <v>146</v>
      </c>
      <c r="AA361" s="2" t="s">
        <v>146</v>
      </c>
      <c r="AB361" s="2" t="s">
        <v>146</v>
      </c>
      <c r="AC361" s="2" t="s">
        <v>146</v>
      </c>
      <c r="AD361" s="2" t="s">
        <v>146</v>
      </c>
      <c r="AE361" s="2" t="s">
        <v>155</v>
      </c>
      <c r="AF361" s="2" t="s">
        <v>146</v>
      </c>
      <c r="AG361" s="2" t="s">
        <v>146</v>
      </c>
      <c r="AH361" s="2">
        <v>6.8579999999999997</v>
      </c>
      <c r="AI361" s="2" t="s">
        <v>146</v>
      </c>
      <c r="AJ361" s="2" t="s">
        <v>146</v>
      </c>
      <c r="AK361" s="2" t="s">
        <v>146</v>
      </c>
      <c r="AL361" s="2" t="s">
        <v>146</v>
      </c>
      <c r="AM361" s="2" t="s">
        <v>146</v>
      </c>
      <c r="AN361" s="2" t="s">
        <v>49</v>
      </c>
      <c r="AO361" s="2">
        <v>100</v>
      </c>
      <c r="AP361" s="2">
        <v>0</v>
      </c>
      <c r="AQ361" s="2">
        <v>0</v>
      </c>
      <c r="AR361" s="2">
        <v>0</v>
      </c>
      <c r="AV361" s="2">
        <f t="shared" si="50"/>
        <v>39.142999999999994</v>
      </c>
      <c r="AW361" s="2">
        <f t="shared" si="51"/>
        <v>33.334000000000003</v>
      </c>
      <c r="AX361" s="27">
        <f t="shared" si="52"/>
        <v>0.85159543213345956</v>
      </c>
      <c r="BA361" s="2">
        <f t="shared" si="53"/>
        <v>6.8579999999999997</v>
      </c>
      <c r="BB361" s="2">
        <f t="shared" si="54"/>
        <v>6.8579999999999997</v>
      </c>
      <c r="BC361" s="2">
        <f t="shared" si="55"/>
        <v>0</v>
      </c>
      <c r="BD361" s="2">
        <f t="shared" si="56"/>
        <v>0</v>
      </c>
      <c r="BE361" s="2">
        <f t="shared" si="57"/>
        <v>0</v>
      </c>
      <c r="BF361" s="2">
        <f t="shared" si="58"/>
        <v>0</v>
      </c>
      <c r="BJ361" s="2" t="str">
        <f t="shared" si="59"/>
        <v/>
      </c>
    </row>
    <row r="362" spans="1:62" ht="15" customHeight="1" x14ac:dyDescent="0.45">
      <c r="A362" s="2" t="s">
        <v>48</v>
      </c>
      <c r="B362" s="2" t="s">
        <v>212</v>
      </c>
      <c r="C362" s="2">
        <v>2019</v>
      </c>
      <c r="D362" s="2">
        <v>0.73199999999999998</v>
      </c>
      <c r="E362" s="2">
        <v>0.91500000000000004</v>
      </c>
      <c r="F362" s="2" t="s">
        <v>146</v>
      </c>
      <c r="G362" s="2">
        <v>0.91500000000000004</v>
      </c>
      <c r="H362" s="2" t="s">
        <v>146</v>
      </c>
      <c r="I362" s="2" t="s">
        <v>146</v>
      </c>
      <c r="J362" s="2" t="s">
        <v>146</v>
      </c>
      <c r="K362" s="2" t="s">
        <v>146</v>
      </c>
      <c r="L362" s="2" t="s">
        <v>146</v>
      </c>
      <c r="M362" s="2" t="s">
        <v>49</v>
      </c>
      <c r="N362" s="2" t="s">
        <v>146</v>
      </c>
      <c r="O362" s="2" t="s">
        <v>146</v>
      </c>
      <c r="P362" s="2" t="s">
        <v>146</v>
      </c>
      <c r="Q362" s="2" t="s">
        <v>146</v>
      </c>
      <c r="R362" s="2" t="s">
        <v>146</v>
      </c>
      <c r="S362" s="2" t="s">
        <v>146</v>
      </c>
      <c r="T362" s="2" t="s">
        <v>146</v>
      </c>
      <c r="U362" s="2" t="s">
        <v>146</v>
      </c>
      <c r="V362" s="2" t="s">
        <v>146</v>
      </c>
      <c r="W362" s="2" t="s">
        <v>146</v>
      </c>
      <c r="X362" s="2" t="s">
        <v>146</v>
      </c>
      <c r="Y362" s="2" t="s">
        <v>146</v>
      </c>
      <c r="Z362" s="2" t="s">
        <v>146</v>
      </c>
      <c r="AA362" s="2" t="s">
        <v>146</v>
      </c>
      <c r="AB362" s="2" t="s">
        <v>146</v>
      </c>
      <c r="AC362" s="2" t="s">
        <v>146</v>
      </c>
      <c r="AD362" s="2" t="s">
        <v>146</v>
      </c>
      <c r="AE362" s="2" t="s">
        <v>155</v>
      </c>
      <c r="AF362" s="2" t="s">
        <v>146</v>
      </c>
      <c r="AG362" s="2" t="s">
        <v>146</v>
      </c>
      <c r="AH362" s="2" t="s">
        <v>146</v>
      </c>
      <c r="AI362" s="2" t="s">
        <v>146</v>
      </c>
      <c r="AJ362" s="2" t="s">
        <v>146</v>
      </c>
      <c r="AK362" s="2" t="s">
        <v>146</v>
      </c>
      <c r="AL362" s="2" t="s">
        <v>146</v>
      </c>
      <c r="AM362" s="2" t="s">
        <v>146</v>
      </c>
      <c r="AN362" s="2" t="s">
        <v>49</v>
      </c>
      <c r="AO362" s="2" t="s">
        <v>146</v>
      </c>
      <c r="AP362" s="2" t="s">
        <v>146</v>
      </c>
      <c r="AQ362" s="2" t="s">
        <v>146</v>
      </c>
      <c r="AR362" s="2" t="s">
        <v>146</v>
      </c>
      <c r="AV362" s="2">
        <f t="shared" si="50"/>
        <v>0.91500000000000004</v>
      </c>
      <c r="AW362" s="2">
        <f t="shared" si="51"/>
        <v>0.73199999999999998</v>
      </c>
      <c r="AX362" s="27">
        <f t="shared" si="52"/>
        <v>0.79999999999999993</v>
      </c>
      <c r="BA362" s="2">
        <f t="shared" si="53"/>
        <v>0</v>
      </c>
      <c r="BB362" s="2">
        <f t="shared" si="54"/>
        <v>0</v>
      </c>
      <c r="BC362" s="2">
        <f t="shared" si="55"/>
        <v>0</v>
      </c>
      <c r="BD362" s="2">
        <f t="shared" si="56"/>
        <v>0</v>
      </c>
      <c r="BE362" s="2">
        <f t="shared" si="57"/>
        <v>0</v>
      </c>
      <c r="BF362" s="2">
        <f t="shared" si="58"/>
        <v>0</v>
      </c>
      <c r="BJ362" s="2" t="str">
        <f t="shared" si="59"/>
        <v/>
      </c>
    </row>
    <row r="363" spans="1:62" ht="15" customHeight="1" x14ac:dyDescent="0.45">
      <c r="A363" s="2" t="s">
        <v>48</v>
      </c>
      <c r="B363" s="2" t="s">
        <v>211</v>
      </c>
      <c r="C363" s="2">
        <v>2019</v>
      </c>
      <c r="D363" s="2">
        <v>10.914999999999999</v>
      </c>
      <c r="E363" s="2">
        <v>14.525</v>
      </c>
      <c r="F363" s="2" t="s">
        <v>146</v>
      </c>
      <c r="G363" s="2">
        <v>0.27200000000000002</v>
      </c>
      <c r="H363" s="2" t="s">
        <v>146</v>
      </c>
      <c r="I363" s="2" t="s">
        <v>146</v>
      </c>
      <c r="J363" s="2" t="s">
        <v>146</v>
      </c>
      <c r="K363" s="2" t="s">
        <v>146</v>
      </c>
      <c r="L363" s="2" t="s">
        <v>146</v>
      </c>
      <c r="M363" s="2" t="s">
        <v>49</v>
      </c>
      <c r="N363" s="2" t="s">
        <v>146</v>
      </c>
      <c r="O363" s="2" t="s">
        <v>146</v>
      </c>
      <c r="P363" s="2" t="s">
        <v>146</v>
      </c>
      <c r="Q363" s="2" t="s">
        <v>146</v>
      </c>
      <c r="R363" s="2" t="s">
        <v>146</v>
      </c>
      <c r="S363" s="2">
        <v>13.792999999999999</v>
      </c>
      <c r="T363" s="2" t="s">
        <v>146</v>
      </c>
      <c r="U363" s="2" t="s">
        <v>146</v>
      </c>
      <c r="V363" s="2">
        <v>0.46</v>
      </c>
      <c r="W363" s="2" t="s">
        <v>146</v>
      </c>
      <c r="X363" s="2" t="s">
        <v>146</v>
      </c>
      <c r="Y363" s="2" t="s">
        <v>146</v>
      </c>
      <c r="Z363" s="2" t="s">
        <v>146</v>
      </c>
      <c r="AA363" s="2" t="s">
        <v>146</v>
      </c>
      <c r="AB363" s="2" t="s">
        <v>146</v>
      </c>
      <c r="AC363" s="2" t="s">
        <v>146</v>
      </c>
      <c r="AD363" s="2" t="s">
        <v>146</v>
      </c>
      <c r="AE363" s="2" t="s">
        <v>146</v>
      </c>
      <c r="AF363" s="2" t="s">
        <v>146</v>
      </c>
      <c r="AG363" s="2" t="s">
        <v>146</v>
      </c>
      <c r="AH363" s="2" t="s">
        <v>146</v>
      </c>
      <c r="AI363" s="2" t="s">
        <v>146</v>
      </c>
      <c r="AJ363" s="2" t="s">
        <v>146</v>
      </c>
      <c r="AK363" s="2" t="s">
        <v>146</v>
      </c>
      <c r="AL363" s="2" t="s">
        <v>146</v>
      </c>
      <c r="AM363" s="2" t="s">
        <v>146</v>
      </c>
      <c r="AN363" s="2" t="s">
        <v>49</v>
      </c>
      <c r="AO363" s="2" t="s">
        <v>146</v>
      </c>
      <c r="AP363" s="2" t="s">
        <v>146</v>
      </c>
      <c r="AQ363" s="2" t="s">
        <v>146</v>
      </c>
      <c r="AR363" s="2" t="s">
        <v>146</v>
      </c>
      <c r="AV363" s="2">
        <f t="shared" si="50"/>
        <v>14.525</v>
      </c>
      <c r="AW363" s="2">
        <f t="shared" si="51"/>
        <v>10.914999999999999</v>
      </c>
      <c r="AX363" s="27">
        <f t="shared" si="52"/>
        <v>0.75146299483648871</v>
      </c>
      <c r="BA363" s="2">
        <f t="shared" si="53"/>
        <v>0</v>
      </c>
      <c r="BB363" s="2">
        <f t="shared" si="54"/>
        <v>0</v>
      </c>
      <c r="BC363" s="2">
        <f t="shared" si="55"/>
        <v>0</v>
      </c>
      <c r="BD363" s="2">
        <f t="shared" si="56"/>
        <v>0</v>
      </c>
      <c r="BE363" s="2">
        <f t="shared" si="57"/>
        <v>0</v>
      </c>
      <c r="BF363" s="2">
        <f t="shared" si="58"/>
        <v>0</v>
      </c>
      <c r="BJ363" s="2" t="str">
        <f t="shared" si="59"/>
        <v/>
      </c>
    </row>
    <row r="364" spans="1:62" ht="15" customHeight="1" x14ac:dyDescent="0.45">
      <c r="A364" s="2" t="s">
        <v>48</v>
      </c>
      <c r="B364" s="2" t="s">
        <v>210</v>
      </c>
      <c r="C364" s="2">
        <v>2019</v>
      </c>
      <c r="D364" s="2">
        <v>101.39400000000001</v>
      </c>
      <c r="E364" s="2">
        <v>125.066</v>
      </c>
      <c r="F364" s="2" t="s">
        <v>146</v>
      </c>
      <c r="G364" s="2">
        <v>1.639</v>
      </c>
      <c r="H364" s="2" t="s">
        <v>146</v>
      </c>
      <c r="I364" s="2" t="s">
        <v>146</v>
      </c>
      <c r="J364" s="2" t="s">
        <v>146</v>
      </c>
      <c r="K364" s="2" t="s">
        <v>146</v>
      </c>
      <c r="L364" s="2" t="s">
        <v>146</v>
      </c>
      <c r="M364" s="2" t="s">
        <v>49</v>
      </c>
      <c r="N364" s="2">
        <v>47.363</v>
      </c>
      <c r="O364" s="2">
        <v>48.359000000000002</v>
      </c>
      <c r="P364" s="2">
        <v>2.8479999999999999</v>
      </c>
      <c r="Q364" s="2" t="s">
        <v>146</v>
      </c>
      <c r="R364" s="2" t="s">
        <v>146</v>
      </c>
      <c r="S364" s="2" t="s">
        <v>146</v>
      </c>
      <c r="T364" s="2" t="s">
        <v>146</v>
      </c>
      <c r="U364" s="2" t="s">
        <v>146</v>
      </c>
      <c r="V364" s="2" t="s">
        <v>146</v>
      </c>
      <c r="W364" s="2" t="s">
        <v>146</v>
      </c>
      <c r="X364" s="2" t="s">
        <v>146</v>
      </c>
      <c r="Y364" s="2" t="s">
        <v>146</v>
      </c>
      <c r="Z364" s="2" t="s">
        <v>146</v>
      </c>
      <c r="AA364" s="2" t="s">
        <v>146</v>
      </c>
      <c r="AB364" s="2" t="s">
        <v>146</v>
      </c>
      <c r="AC364" s="2" t="s">
        <v>146</v>
      </c>
      <c r="AD364" s="2" t="s">
        <v>146</v>
      </c>
      <c r="AE364" s="2" t="s">
        <v>155</v>
      </c>
      <c r="AF364" s="2" t="s">
        <v>146</v>
      </c>
      <c r="AG364" s="2" t="s">
        <v>146</v>
      </c>
      <c r="AH364" s="2">
        <v>24.856999999999999</v>
      </c>
      <c r="AI364" s="2" t="s">
        <v>146</v>
      </c>
      <c r="AJ364" s="2" t="s">
        <v>146</v>
      </c>
      <c r="AK364" s="2" t="s">
        <v>146</v>
      </c>
      <c r="AL364" s="2" t="s">
        <v>146</v>
      </c>
      <c r="AM364" s="2" t="s">
        <v>146</v>
      </c>
      <c r="AN364" s="2" t="s">
        <v>49</v>
      </c>
      <c r="AO364" s="2">
        <v>100</v>
      </c>
      <c r="AP364" s="2">
        <v>0</v>
      </c>
      <c r="AQ364" s="2">
        <v>0</v>
      </c>
      <c r="AR364" s="2">
        <v>0</v>
      </c>
      <c r="AV364" s="2">
        <f t="shared" si="50"/>
        <v>125.066</v>
      </c>
      <c r="AW364" s="2">
        <f t="shared" si="51"/>
        <v>101.39400000000001</v>
      </c>
      <c r="AX364" s="27">
        <f t="shared" si="52"/>
        <v>0.81072393776086227</v>
      </c>
      <c r="BA364" s="2">
        <f t="shared" si="53"/>
        <v>24.856999999999999</v>
      </c>
      <c r="BB364" s="2">
        <f t="shared" si="54"/>
        <v>24.856999999999999</v>
      </c>
      <c r="BC364" s="2">
        <f t="shared" si="55"/>
        <v>0</v>
      </c>
      <c r="BD364" s="2">
        <f t="shared" si="56"/>
        <v>0</v>
      </c>
      <c r="BE364" s="2">
        <f t="shared" si="57"/>
        <v>0</v>
      </c>
      <c r="BF364" s="2">
        <f t="shared" si="58"/>
        <v>0</v>
      </c>
      <c r="BJ364" s="2" t="str">
        <f t="shared" si="59"/>
        <v/>
      </c>
    </row>
    <row r="365" spans="1:62" ht="15" customHeight="1" x14ac:dyDescent="0.45">
      <c r="A365" s="2" t="s">
        <v>48</v>
      </c>
      <c r="B365" s="2" t="s">
        <v>209</v>
      </c>
      <c r="C365" s="2">
        <v>2019</v>
      </c>
      <c r="D365" s="2">
        <v>58.43</v>
      </c>
      <c r="E365" s="2">
        <v>67.406999999999996</v>
      </c>
      <c r="F365" s="2" t="s">
        <v>146</v>
      </c>
      <c r="G365" s="2">
        <v>0.89800000000000002</v>
      </c>
      <c r="H365" s="2" t="s">
        <v>146</v>
      </c>
      <c r="I365" s="2">
        <v>1.625</v>
      </c>
      <c r="J365" s="2" t="s">
        <v>146</v>
      </c>
      <c r="K365" s="2" t="s">
        <v>146</v>
      </c>
      <c r="L365" s="2" t="s">
        <v>146</v>
      </c>
      <c r="M365" s="2" t="s">
        <v>49</v>
      </c>
      <c r="N365" s="2">
        <v>4.8</v>
      </c>
      <c r="O365" s="2" t="s">
        <v>146</v>
      </c>
      <c r="P365" s="2">
        <v>5.0780000000000003</v>
      </c>
      <c r="Q365" s="2" t="s">
        <v>146</v>
      </c>
      <c r="R365" s="2" t="s">
        <v>146</v>
      </c>
      <c r="S365" s="2" t="s">
        <v>146</v>
      </c>
      <c r="T365" s="2" t="s">
        <v>147</v>
      </c>
      <c r="U365" s="2" t="s">
        <v>146</v>
      </c>
      <c r="V365" s="2" t="s">
        <v>146</v>
      </c>
      <c r="W365" s="2" t="s">
        <v>146</v>
      </c>
      <c r="X365" s="2">
        <v>42.566000000000003</v>
      </c>
      <c r="Y365" s="2" t="s">
        <v>146</v>
      </c>
      <c r="Z365" s="2" t="s">
        <v>146</v>
      </c>
      <c r="AA365" s="2" t="s">
        <v>146</v>
      </c>
      <c r="AB365" s="2" t="s">
        <v>146</v>
      </c>
      <c r="AC365" s="2">
        <v>2.0030000000000001</v>
      </c>
      <c r="AD365" s="2" t="s">
        <v>146</v>
      </c>
      <c r="AE365" s="2" t="s">
        <v>155</v>
      </c>
      <c r="AF365" s="2" t="s">
        <v>146</v>
      </c>
      <c r="AG365" s="2" t="s">
        <v>146</v>
      </c>
      <c r="AH365" s="2">
        <v>10.436999999999999</v>
      </c>
      <c r="AI365" s="2" t="s">
        <v>146</v>
      </c>
      <c r="AJ365" s="2" t="s">
        <v>146</v>
      </c>
      <c r="AK365" s="2" t="s">
        <v>146</v>
      </c>
      <c r="AL365" s="2" t="s">
        <v>146</v>
      </c>
      <c r="AM365" s="2" t="s">
        <v>146</v>
      </c>
      <c r="AN365" s="2" t="s">
        <v>49</v>
      </c>
      <c r="AO365" s="2">
        <v>95</v>
      </c>
      <c r="AP365" s="2">
        <v>4</v>
      </c>
      <c r="AQ365" s="2">
        <v>1</v>
      </c>
      <c r="AR365" s="2" t="s">
        <v>146</v>
      </c>
      <c r="AV365" s="2">
        <f t="shared" si="50"/>
        <v>67.406999999999996</v>
      </c>
      <c r="AW365" s="2">
        <f t="shared" si="51"/>
        <v>58.43</v>
      </c>
      <c r="AX365" s="27">
        <f t="shared" si="52"/>
        <v>0.86682392036435385</v>
      </c>
      <c r="BA365" s="2">
        <f t="shared" si="53"/>
        <v>10.436999999999999</v>
      </c>
      <c r="BB365" s="2">
        <f t="shared" si="54"/>
        <v>9.9151499999999988</v>
      </c>
      <c r="BC365" s="2">
        <f t="shared" si="55"/>
        <v>0.41747999999999996</v>
      </c>
      <c r="BD365" s="2">
        <f t="shared" si="56"/>
        <v>0.10436999999999999</v>
      </c>
      <c r="BE365" s="2">
        <f t="shared" si="57"/>
        <v>0</v>
      </c>
      <c r="BF365" s="2">
        <f t="shared" si="58"/>
        <v>1.7763568394002505E-15</v>
      </c>
      <c r="BJ365" s="2" t="str">
        <f t="shared" si="59"/>
        <v/>
      </c>
    </row>
    <row r="366" spans="1:62" ht="15" customHeight="1" x14ac:dyDescent="0.45">
      <c r="A366" s="2" t="s">
        <v>48</v>
      </c>
      <c r="B366" s="2" t="s">
        <v>208</v>
      </c>
      <c r="C366" s="2">
        <v>2019</v>
      </c>
      <c r="D366" s="2">
        <v>2.2360000000000002</v>
      </c>
      <c r="E366" s="2">
        <v>2.5590000000000002</v>
      </c>
      <c r="F366" s="2" t="s">
        <v>146</v>
      </c>
      <c r="G366" s="2">
        <v>4.5999999999999999E-2</v>
      </c>
      <c r="H366" s="2" t="s">
        <v>146</v>
      </c>
      <c r="I366" s="2" t="s">
        <v>146</v>
      </c>
      <c r="J366" s="2" t="s">
        <v>146</v>
      </c>
      <c r="K366" s="2" t="s">
        <v>146</v>
      </c>
      <c r="L366" s="2" t="s">
        <v>146</v>
      </c>
      <c r="M366" s="2" t="s">
        <v>49</v>
      </c>
      <c r="N366" s="2" t="s">
        <v>146</v>
      </c>
      <c r="O366" s="2" t="s">
        <v>146</v>
      </c>
      <c r="P366" s="2" t="s">
        <v>146</v>
      </c>
      <c r="Q366" s="2" t="s">
        <v>146</v>
      </c>
      <c r="R366" s="2" t="s">
        <v>146</v>
      </c>
      <c r="S366" s="2" t="s">
        <v>146</v>
      </c>
      <c r="T366" s="2" t="s">
        <v>146</v>
      </c>
      <c r="U366" s="2" t="s">
        <v>146</v>
      </c>
      <c r="V366" s="2">
        <v>2.5129999999999999</v>
      </c>
      <c r="W366" s="2" t="s">
        <v>146</v>
      </c>
      <c r="X366" s="2" t="s">
        <v>146</v>
      </c>
      <c r="Y366" s="2" t="s">
        <v>146</v>
      </c>
      <c r="Z366" s="2" t="s">
        <v>146</v>
      </c>
      <c r="AA366" s="2" t="s">
        <v>146</v>
      </c>
      <c r="AB366" s="2" t="s">
        <v>146</v>
      </c>
      <c r="AC366" s="2" t="s">
        <v>146</v>
      </c>
      <c r="AD366" s="2" t="s">
        <v>146</v>
      </c>
      <c r="AE366" s="2" t="s">
        <v>155</v>
      </c>
      <c r="AF366" s="2" t="s">
        <v>146</v>
      </c>
      <c r="AG366" s="2" t="s">
        <v>146</v>
      </c>
      <c r="AH366" s="2" t="s">
        <v>146</v>
      </c>
      <c r="AI366" s="2" t="s">
        <v>146</v>
      </c>
      <c r="AJ366" s="2" t="s">
        <v>146</v>
      </c>
      <c r="AK366" s="2" t="s">
        <v>146</v>
      </c>
      <c r="AL366" s="2" t="s">
        <v>146</v>
      </c>
      <c r="AM366" s="2" t="s">
        <v>146</v>
      </c>
      <c r="AN366" s="2" t="s">
        <v>49</v>
      </c>
      <c r="AO366" s="2" t="s">
        <v>146</v>
      </c>
      <c r="AP366" s="2" t="s">
        <v>146</v>
      </c>
      <c r="AQ366" s="2" t="s">
        <v>146</v>
      </c>
      <c r="AR366" s="2" t="s">
        <v>146</v>
      </c>
      <c r="AV366" s="2">
        <f t="shared" si="50"/>
        <v>2.5589999999999997</v>
      </c>
      <c r="AW366" s="2">
        <f t="shared" si="51"/>
        <v>2.2360000000000002</v>
      </c>
      <c r="AX366" s="27">
        <f t="shared" si="52"/>
        <v>0.87377881985150463</v>
      </c>
      <c r="BA366" s="2">
        <f t="shared" si="53"/>
        <v>0</v>
      </c>
      <c r="BB366" s="2">
        <f t="shared" si="54"/>
        <v>0</v>
      </c>
      <c r="BC366" s="2">
        <f t="shared" si="55"/>
        <v>0</v>
      </c>
      <c r="BD366" s="2">
        <f t="shared" si="56"/>
        <v>0</v>
      </c>
      <c r="BE366" s="2">
        <f t="shared" si="57"/>
        <v>0</v>
      </c>
      <c r="BF366" s="2">
        <f t="shared" si="58"/>
        <v>0</v>
      </c>
      <c r="BJ366" s="2" t="str">
        <f t="shared" si="59"/>
        <v/>
      </c>
    </row>
    <row r="367" spans="1:62" ht="15" customHeight="1" x14ac:dyDescent="0.45">
      <c r="A367" s="2" t="s">
        <v>48</v>
      </c>
      <c r="B367" s="2" t="s">
        <v>207</v>
      </c>
      <c r="C367" s="2">
        <v>2019</v>
      </c>
      <c r="D367" s="2">
        <v>29.8</v>
      </c>
      <c r="E367" s="2">
        <v>32.085000000000001</v>
      </c>
      <c r="F367" s="2" t="s">
        <v>146</v>
      </c>
      <c r="G367" s="2">
        <v>0.379</v>
      </c>
      <c r="H367" s="2">
        <v>0.876</v>
      </c>
      <c r="I367" s="2" t="s">
        <v>146</v>
      </c>
      <c r="J367" s="2" t="s">
        <v>146</v>
      </c>
      <c r="K367" s="2" t="s">
        <v>146</v>
      </c>
      <c r="L367" s="2" t="s">
        <v>146</v>
      </c>
      <c r="M367" s="2" t="s">
        <v>49</v>
      </c>
      <c r="N367" s="2" t="s">
        <v>146</v>
      </c>
      <c r="O367" s="2" t="s">
        <v>146</v>
      </c>
      <c r="P367" s="2" t="s">
        <v>146</v>
      </c>
      <c r="Q367" s="2" t="s">
        <v>146</v>
      </c>
      <c r="R367" s="2" t="s">
        <v>146</v>
      </c>
      <c r="S367" s="2" t="s">
        <v>146</v>
      </c>
      <c r="T367" s="2" t="s">
        <v>146</v>
      </c>
      <c r="U367" s="2">
        <v>30.83</v>
      </c>
      <c r="V367" s="2" t="s">
        <v>146</v>
      </c>
      <c r="W367" s="2" t="s">
        <v>146</v>
      </c>
      <c r="X367" s="2" t="s">
        <v>146</v>
      </c>
      <c r="Y367" s="2" t="s">
        <v>146</v>
      </c>
      <c r="Z367" s="2" t="s">
        <v>146</v>
      </c>
      <c r="AA367" s="2" t="s">
        <v>146</v>
      </c>
      <c r="AB367" s="2" t="s">
        <v>146</v>
      </c>
      <c r="AC367" s="2" t="s">
        <v>146</v>
      </c>
      <c r="AD367" s="2" t="s">
        <v>146</v>
      </c>
      <c r="AE367" s="2" t="s">
        <v>146</v>
      </c>
      <c r="AF367" s="2" t="s">
        <v>146</v>
      </c>
      <c r="AG367" s="2" t="s">
        <v>146</v>
      </c>
      <c r="AH367" s="2" t="s">
        <v>146</v>
      </c>
      <c r="AI367" s="2" t="s">
        <v>146</v>
      </c>
      <c r="AJ367" s="2" t="s">
        <v>146</v>
      </c>
      <c r="AK367" s="2" t="s">
        <v>146</v>
      </c>
      <c r="AL367" s="2" t="s">
        <v>146</v>
      </c>
      <c r="AM367" s="2" t="s">
        <v>146</v>
      </c>
      <c r="AN367" s="2" t="s">
        <v>49</v>
      </c>
      <c r="AO367" s="2" t="s">
        <v>146</v>
      </c>
      <c r="AP367" s="2" t="s">
        <v>146</v>
      </c>
      <c r="AQ367" s="2" t="s">
        <v>146</v>
      </c>
      <c r="AR367" s="2" t="s">
        <v>146</v>
      </c>
      <c r="AV367" s="2">
        <f t="shared" si="50"/>
        <v>32.085000000000001</v>
      </c>
      <c r="AW367" s="2">
        <f t="shared" si="51"/>
        <v>29.8</v>
      </c>
      <c r="AX367" s="27">
        <f t="shared" si="52"/>
        <v>0.9287829203677731</v>
      </c>
      <c r="BA367" s="2">
        <f t="shared" si="53"/>
        <v>0</v>
      </c>
      <c r="BB367" s="2">
        <f t="shared" si="54"/>
        <v>0</v>
      </c>
      <c r="BC367" s="2">
        <f t="shared" si="55"/>
        <v>0</v>
      </c>
      <c r="BD367" s="2">
        <f t="shared" si="56"/>
        <v>0</v>
      </c>
      <c r="BE367" s="2">
        <f t="shared" si="57"/>
        <v>0</v>
      </c>
      <c r="BF367" s="2">
        <f t="shared" si="58"/>
        <v>0</v>
      </c>
      <c r="BJ367" s="2" t="str">
        <f t="shared" si="59"/>
        <v/>
      </c>
    </row>
    <row r="368" spans="1:62" ht="15" customHeight="1" x14ac:dyDescent="0.45">
      <c r="A368" s="2" t="s">
        <v>48</v>
      </c>
      <c r="B368" s="2" t="s">
        <v>206</v>
      </c>
      <c r="C368" s="2">
        <v>2019</v>
      </c>
      <c r="D368" s="2">
        <v>7.5119999999999996</v>
      </c>
      <c r="E368" s="2">
        <v>8.859</v>
      </c>
      <c r="F368" s="2" t="s">
        <v>146</v>
      </c>
      <c r="G368" s="2">
        <v>0.49399999999999999</v>
      </c>
      <c r="H368" s="2" t="s">
        <v>146</v>
      </c>
      <c r="I368" s="2" t="s">
        <v>146</v>
      </c>
      <c r="J368" s="2" t="s">
        <v>146</v>
      </c>
      <c r="K368" s="2" t="s">
        <v>146</v>
      </c>
      <c r="L368" s="2" t="s">
        <v>146</v>
      </c>
      <c r="M368" s="2" t="s">
        <v>49</v>
      </c>
      <c r="N368" s="2" t="s">
        <v>146</v>
      </c>
      <c r="O368" s="2" t="s">
        <v>146</v>
      </c>
      <c r="P368" s="2">
        <v>1E-3</v>
      </c>
      <c r="Q368" s="2">
        <v>0.76600000000000001</v>
      </c>
      <c r="R368" s="2" t="s">
        <v>146</v>
      </c>
      <c r="S368" s="2">
        <v>7.5979999999999999</v>
      </c>
      <c r="T368" s="2" t="s">
        <v>146</v>
      </c>
      <c r="U368" s="2" t="s">
        <v>146</v>
      </c>
      <c r="V368" s="2" t="s">
        <v>146</v>
      </c>
      <c r="W368" s="2" t="s">
        <v>146</v>
      </c>
      <c r="X368" s="2" t="s">
        <v>146</v>
      </c>
      <c r="Y368" s="2" t="s">
        <v>146</v>
      </c>
      <c r="Z368" s="2" t="s">
        <v>146</v>
      </c>
      <c r="AA368" s="2" t="s">
        <v>146</v>
      </c>
      <c r="AB368" s="2" t="s">
        <v>146</v>
      </c>
      <c r="AC368" s="2" t="s">
        <v>146</v>
      </c>
      <c r="AD368" s="2" t="s">
        <v>146</v>
      </c>
      <c r="AE368" s="2" t="s">
        <v>146</v>
      </c>
      <c r="AF368" s="2" t="s">
        <v>146</v>
      </c>
      <c r="AG368" s="2" t="s">
        <v>146</v>
      </c>
      <c r="AH368" s="2" t="s">
        <v>146</v>
      </c>
      <c r="AI368" s="2" t="s">
        <v>146</v>
      </c>
      <c r="AJ368" s="2" t="s">
        <v>146</v>
      </c>
      <c r="AK368" s="2" t="s">
        <v>146</v>
      </c>
      <c r="AL368" s="2" t="s">
        <v>146</v>
      </c>
      <c r="AM368" s="2" t="s">
        <v>146</v>
      </c>
      <c r="AN368" s="2" t="s">
        <v>49</v>
      </c>
      <c r="AO368" s="2" t="s">
        <v>146</v>
      </c>
      <c r="AP368" s="2" t="s">
        <v>146</v>
      </c>
      <c r="AQ368" s="2" t="s">
        <v>146</v>
      </c>
      <c r="AR368" s="2" t="s">
        <v>146</v>
      </c>
      <c r="AV368" s="2">
        <f t="shared" si="50"/>
        <v>8.859</v>
      </c>
      <c r="AW368" s="2">
        <f t="shared" si="51"/>
        <v>7.5119999999999996</v>
      </c>
      <c r="AX368" s="27">
        <f t="shared" si="52"/>
        <v>0.84795123603115474</v>
      </c>
      <c r="BA368" s="2">
        <f t="shared" si="53"/>
        <v>0</v>
      </c>
      <c r="BB368" s="2">
        <f t="shared" si="54"/>
        <v>0</v>
      </c>
      <c r="BC368" s="2">
        <f t="shared" si="55"/>
        <v>0</v>
      </c>
      <c r="BD368" s="2">
        <f t="shared" si="56"/>
        <v>0</v>
      </c>
      <c r="BE368" s="2">
        <f t="shared" si="57"/>
        <v>0</v>
      </c>
      <c r="BF368" s="2">
        <f t="shared" si="58"/>
        <v>0</v>
      </c>
      <c r="BJ368" s="2" t="str">
        <f t="shared" si="59"/>
        <v/>
      </c>
    </row>
    <row r="369" spans="1:62" ht="15" customHeight="1" x14ac:dyDescent="0.45">
      <c r="A369" s="2" t="s">
        <v>48</v>
      </c>
      <c r="B369" s="2" t="s">
        <v>205</v>
      </c>
      <c r="C369" s="2">
        <v>2019</v>
      </c>
      <c r="D369" s="2">
        <v>93.796999999999997</v>
      </c>
      <c r="E369" s="2">
        <v>105.045</v>
      </c>
      <c r="F369" s="2" t="s">
        <v>146</v>
      </c>
      <c r="G369" s="2">
        <v>2.14</v>
      </c>
      <c r="H369" s="2" t="s">
        <v>146</v>
      </c>
      <c r="I369" s="2" t="s">
        <v>146</v>
      </c>
      <c r="J369" s="2" t="s">
        <v>146</v>
      </c>
      <c r="K369" s="2" t="s">
        <v>146</v>
      </c>
      <c r="L369" s="2" t="s">
        <v>146</v>
      </c>
      <c r="M369" s="2" t="s">
        <v>49</v>
      </c>
      <c r="N369" s="2" t="s">
        <v>146</v>
      </c>
      <c r="O369" s="2" t="s">
        <v>146</v>
      </c>
      <c r="P369" s="2" t="s">
        <v>146</v>
      </c>
      <c r="Q369" s="2" t="s">
        <v>146</v>
      </c>
      <c r="R369" s="2" t="s">
        <v>146</v>
      </c>
      <c r="S369" s="2">
        <v>87.424000000000007</v>
      </c>
      <c r="T369" s="2" t="s">
        <v>146</v>
      </c>
      <c r="U369" s="2" t="s">
        <v>146</v>
      </c>
      <c r="V369" s="2" t="s">
        <v>146</v>
      </c>
      <c r="W369" s="2" t="s">
        <v>146</v>
      </c>
      <c r="X369" s="2" t="s">
        <v>146</v>
      </c>
      <c r="Y369" s="2" t="s">
        <v>146</v>
      </c>
      <c r="Z369" s="2" t="s">
        <v>146</v>
      </c>
      <c r="AA369" s="2" t="s">
        <v>146</v>
      </c>
      <c r="AB369" s="2" t="s">
        <v>146</v>
      </c>
      <c r="AC369" s="2" t="s">
        <v>146</v>
      </c>
      <c r="AD369" s="2" t="s">
        <v>146</v>
      </c>
      <c r="AE369" s="2" t="s">
        <v>155</v>
      </c>
      <c r="AF369" s="2" t="s">
        <v>146</v>
      </c>
      <c r="AG369" s="2" t="s">
        <v>146</v>
      </c>
      <c r="AH369" s="2">
        <v>15.481</v>
      </c>
      <c r="AI369" s="2" t="s">
        <v>146</v>
      </c>
      <c r="AJ369" s="2" t="s">
        <v>146</v>
      </c>
      <c r="AK369" s="2" t="s">
        <v>146</v>
      </c>
      <c r="AL369" s="2" t="s">
        <v>146</v>
      </c>
      <c r="AM369" s="2" t="s">
        <v>146</v>
      </c>
      <c r="AN369" s="2" t="s">
        <v>49</v>
      </c>
      <c r="AO369" s="2">
        <v>100</v>
      </c>
      <c r="AP369" s="2">
        <v>0</v>
      </c>
      <c r="AQ369" s="2">
        <v>0</v>
      </c>
      <c r="AR369" s="2">
        <v>0</v>
      </c>
      <c r="AV369" s="2">
        <f t="shared" si="50"/>
        <v>105.045</v>
      </c>
      <c r="AW369" s="2">
        <f t="shared" si="51"/>
        <v>93.796999999999997</v>
      </c>
      <c r="AX369" s="27">
        <f t="shared" si="52"/>
        <v>0.89292208101289916</v>
      </c>
      <c r="BA369" s="2">
        <f t="shared" si="53"/>
        <v>15.481</v>
      </c>
      <c r="BB369" s="2">
        <f t="shared" si="54"/>
        <v>15.481</v>
      </c>
      <c r="BC369" s="2">
        <f t="shared" si="55"/>
        <v>0</v>
      </c>
      <c r="BD369" s="2">
        <f t="shared" si="56"/>
        <v>0</v>
      </c>
      <c r="BE369" s="2">
        <f t="shared" si="57"/>
        <v>0</v>
      </c>
      <c r="BF369" s="2">
        <f t="shared" si="58"/>
        <v>0</v>
      </c>
      <c r="BJ369" s="2" t="str">
        <f t="shared" si="59"/>
        <v/>
      </c>
    </row>
    <row r="370" spans="1:62" ht="15" customHeight="1" x14ac:dyDescent="0.45">
      <c r="A370" s="2" t="s">
        <v>48</v>
      </c>
      <c r="B370" s="2" t="s">
        <v>204</v>
      </c>
      <c r="C370" s="2">
        <v>2019</v>
      </c>
      <c r="D370" s="2" t="s">
        <v>49</v>
      </c>
      <c r="E370" s="2" t="s">
        <v>49</v>
      </c>
      <c r="F370" s="2" t="s">
        <v>49</v>
      </c>
      <c r="G370" s="2" t="s">
        <v>49</v>
      </c>
      <c r="H370" s="2" t="s">
        <v>49</v>
      </c>
      <c r="I370" s="2" t="s">
        <v>49</v>
      </c>
      <c r="J370" s="2" t="s">
        <v>49</v>
      </c>
      <c r="K370" s="2" t="s">
        <v>49</v>
      </c>
      <c r="L370" s="2" t="s">
        <v>49</v>
      </c>
      <c r="M370" s="2" t="s">
        <v>49</v>
      </c>
      <c r="N370" s="2" t="s">
        <v>49</v>
      </c>
      <c r="O370" s="2" t="s">
        <v>49</v>
      </c>
      <c r="P370" s="2" t="s">
        <v>49</v>
      </c>
      <c r="Q370" s="2" t="s">
        <v>49</v>
      </c>
      <c r="R370" s="2" t="s">
        <v>49</v>
      </c>
      <c r="S370" s="2" t="s">
        <v>49</v>
      </c>
      <c r="T370" s="2" t="s">
        <v>49</v>
      </c>
      <c r="U370" s="2" t="s">
        <v>49</v>
      </c>
      <c r="V370" s="2" t="s">
        <v>49</v>
      </c>
      <c r="W370" s="2" t="s">
        <v>49</v>
      </c>
      <c r="X370" s="2" t="s">
        <v>49</v>
      </c>
      <c r="Y370" s="2" t="s">
        <v>49</v>
      </c>
      <c r="Z370" s="2" t="s">
        <v>49</v>
      </c>
      <c r="AA370" s="2" t="s">
        <v>49</v>
      </c>
      <c r="AB370" s="2" t="s">
        <v>49</v>
      </c>
      <c r="AC370" s="2" t="s">
        <v>49</v>
      </c>
      <c r="AD370" s="2" t="s">
        <v>49</v>
      </c>
      <c r="AE370" s="2" t="s">
        <v>49</v>
      </c>
      <c r="AF370" s="2" t="s">
        <v>49</v>
      </c>
      <c r="AG370" s="2" t="s">
        <v>49</v>
      </c>
      <c r="AH370" s="2" t="s">
        <v>49</v>
      </c>
      <c r="AI370" s="2" t="s">
        <v>49</v>
      </c>
      <c r="AJ370" s="2" t="s">
        <v>49</v>
      </c>
      <c r="AK370" s="2" t="s">
        <v>49</v>
      </c>
      <c r="AL370" s="2" t="s">
        <v>49</v>
      </c>
      <c r="AM370" s="2" t="s">
        <v>49</v>
      </c>
      <c r="AN370" s="2" t="s">
        <v>49</v>
      </c>
      <c r="AO370" s="2" t="s">
        <v>49</v>
      </c>
      <c r="AP370" s="2" t="s">
        <v>49</v>
      </c>
      <c r="AQ370" s="2" t="s">
        <v>49</v>
      </c>
      <c r="AR370" s="2" t="s">
        <v>49</v>
      </c>
      <c r="AV370" s="2">
        <f t="shared" si="50"/>
        <v>0</v>
      </c>
      <c r="AW370" s="2">
        <f t="shared" si="51"/>
        <v>0</v>
      </c>
      <c r="AX370" s="27" t="str">
        <f t="shared" si="52"/>
        <v/>
      </c>
      <c r="BA370" s="2">
        <f t="shared" si="53"/>
        <v>0</v>
      </c>
      <c r="BB370" s="2">
        <f t="shared" si="54"/>
        <v>0</v>
      </c>
      <c r="BC370" s="2">
        <f t="shared" si="55"/>
        <v>0</v>
      </c>
      <c r="BD370" s="2">
        <f t="shared" si="56"/>
        <v>0</v>
      </c>
      <c r="BE370" s="2">
        <f t="shared" si="57"/>
        <v>0</v>
      </c>
      <c r="BF370" s="2">
        <f t="shared" si="58"/>
        <v>0</v>
      </c>
      <c r="BJ370" s="2" t="str">
        <f t="shared" si="59"/>
        <v/>
      </c>
    </row>
    <row r="371" spans="1:62" ht="15" customHeight="1" x14ac:dyDescent="0.45">
      <c r="A371" s="2" t="s">
        <v>197</v>
      </c>
      <c r="B371" s="2" t="s">
        <v>203</v>
      </c>
      <c r="C371" s="2">
        <v>2019</v>
      </c>
      <c r="D371" s="2">
        <v>2.41</v>
      </c>
      <c r="E371" s="2">
        <v>2.5068999999999999</v>
      </c>
      <c r="F371" s="2" t="s">
        <v>146</v>
      </c>
      <c r="G371" s="2">
        <v>4.5900000000000003E-2</v>
      </c>
      <c r="H371" s="2" t="s">
        <v>146</v>
      </c>
      <c r="I371" s="2" t="s">
        <v>146</v>
      </c>
      <c r="J371" s="2" t="s">
        <v>146</v>
      </c>
      <c r="K371" s="2" t="s">
        <v>146</v>
      </c>
      <c r="L371" s="2" t="s">
        <v>146</v>
      </c>
      <c r="M371" s="2" t="s">
        <v>176</v>
      </c>
      <c r="N371" s="2" t="s">
        <v>146</v>
      </c>
      <c r="O371" s="2" t="s">
        <v>146</v>
      </c>
      <c r="P371" s="2" t="s">
        <v>146</v>
      </c>
      <c r="Q371" s="2" t="s">
        <v>146</v>
      </c>
      <c r="R371" s="2" t="s">
        <v>146</v>
      </c>
      <c r="S371" s="2" t="s">
        <v>146</v>
      </c>
      <c r="T371" s="2" t="s">
        <v>146</v>
      </c>
      <c r="U371" s="2">
        <v>2.4609999999999999</v>
      </c>
      <c r="V371" s="2" t="s">
        <v>146</v>
      </c>
      <c r="W371" s="2" t="s">
        <v>146</v>
      </c>
      <c r="X371" s="2" t="s">
        <v>146</v>
      </c>
      <c r="Y371" s="2" t="s">
        <v>146</v>
      </c>
      <c r="Z371" s="2" t="s">
        <v>146</v>
      </c>
      <c r="AA371" s="2" t="s">
        <v>146</v>
      </c>
      <c r="AB371" s="2" t="s">
        <v>146</v>
      </c>
      <c r="AC371" s="2" t="s">
        <v>146</v>
      </c>
      <c r="AD371" s="2" t="s">
        <v>146</v>
      </c>
      <c r="AE371" s="2" t="s">
        <v>146</v>
      </c>
      <c r="AF371" s="2" t="s">
        <v>146</v>
      </c>
      <c r="AG371" s="2" t="s">
        <v>146</v>
      </c>
      <c r="AH371" s="2" t="s">
        <v>146</v>
      </c>
      <c r="AI371" s="2" t="s">
        <v>146</v>
      </c>
      <c r="AJ371" s="2" t="s">
        <v>146</v>
      </c>
      <c r="AK371" s="2" t="s">
        <v>146</v>
      </c>
      <c r="AL371" s="2" t="s">
        <v>146</v>
      </c>
      <c r="AM371" s="2" t="s">
        <v>146</v>
      </c>
      <c r="AN371" s="2" t="s">
        <v>176</v>
      </c>
      <c r="AO371" s="2" t="s">
        <v>146</v>
      </c>
      <c r="AP371" s="2" t="s">
        <v>146</v>
      </c>
      <c r="AQ371" s="2" t="s">
        <v>146</v>
      </c>
      <c r="AR371" s="2" t="s">
        <v>146</v>
      </c>
      <c r="AV371" s="2">
        <f t="shared" si="50"/>
        <v>2.5068999999999999</v>
      </c>
      <c r="AW371" s="2">
        <f t="shared" si="51"/>
        <v>2.41</v>
      </c>
      <c r="AX371" s="27">
        <f t="shared" si="52"/>
        <v>0.96134668315449368</v>
      </c>
      <c r="BA371" s="2">
        <f t="shared" si="53"/>
        <v>0</v>
      </c>
      <c r="BB371" s="2">
        <f t="shared" si="54"/>
        <v>0</v>
      </c>
      <c r="BC371" s="2">
        <f t="shared" si="55"/>
        <v>0</v>
      </c>
      <c r="BD371" s="2">
        <f t="shared" si="56"/>
        <v>0</v>
      </c>
      <c r="BE371" s="2">
        <f t="shared" si="57"/>
        <v>0</v>
      </c>
      <c r="BF371" s="2">
        <f t="shared" si="58"/>
        <v>0</v>
      </c>
      <c r="BJ371" s="2" t="str">
        <f t="shared" si="59"/>
        <v/>
      </c>
    </row>
    <row r="372" spans="1:62" ht="15" customHeight="1" x14ac:dyDescent="0.45">
      <c r="A372" s="2" t="s">
        <v>197</v>
      </c>
      <c r="B372" s="2" t="s">
        <v>202</v>
      </c>
      <c r="C372" s="2">
        <v>2019</v>
      </c>
      <c r="D372" s="2">
        <v>3.7160000000000002</v>
      </c>
      <c r="E372" s="2">
        <v>3.8355000000000001</v>
      </c>
      <c r="F372" s="2" t="s">
        <v>146</v>
      </c>
      <c r="G372" s="2">
        <v>7.1499999999999994E-2</v>
      </c>
      <c r="H372" s="2" t="s">
        <v>146</v>
      </c>
      <c r="I372" s="2" t="s">
        <v>146</v>
      </c>
      <c r="J372" s="2" t="s">
        <v>146</v>
      </c>
      <c r="K372" s="2" t="s">
        <v>146</v>
      </c>
      <c r="L372" s="2" t="s">
        <v>146</v>
      </c>
      <c r="M372" s="2" t="s">
        <v>176</v>
      </c>
      <c r="N372" s="2" t="s">
        <v>146</v>
      </c>
      <c r="O372" s="2" t="s">
        <v>146</v>
      </c>
      <c r="P372" s="2" t="s">
        <v>146</v>
      </c>
      <c r="Q372" s="2" t="s">
        <v>146</v>
      </c>
      <c r="R372" s="2" t="s">
        <v>146</v>
      </c>
      <c r="S372" s="2" t="s">
        <v>146</v>
      </c>
      <c r="T372" s="2" t="s">
        <v>146</v>
      </c>
      <c r="U372" s="2">
        <v>3.46</v>
      </c>
      <c r="V372" s="2" t="s">
        <v>146</v>
      </c>
      <c r="W372" s="2" t="s">
        <v>146</v>
      </c>
      <c r="X372" s="2" t="s">
        <v>146</v>
      </c>
      <c r="Y372" s="2" t="s">
        <v>146</v>
      </c>
      <c r="Z372" s="2" t="s">
        <v>146</v>
      </c>
      <c r="AA372" s="2" t="s">
        <v>146</v>
      </c>
      <c r="AB372" s="2" t="s">
        <v>146</v>
      </c>
      <c r="AC372" s="2" t="s">
        <v>146</v>
      </c>
      <c r="AD372" s="2" t="s">
        <v>146</v>
      </c>
      <c r="AE372" s="2" t="s">
        <v>155</v>
      </c>
      <c r="AF372" s="2" t="s">
        <v>146</v>
      </c>
      <c r="AG372" s="2" t="s">
        <v>146</v>
      </c>
      <c r="AH372" s="2" t="s">
        <v>146</v>
      </c>
      <c r="AI372" s="2">
        <v>0.30399999999999999</v>
      </c>
      <c r="AJ372" s="2" t="s">
        <v>200</v>
      </c>
      <c r="AK372" s="2">
        <v>0.10100000000000001</v>
      </c>
      <c r="AL372" s="2" t="s">
        <v>146</v>
      </c>
      <c r="AM372" s="2" t="s">
        <v>146</v>
      </c>
      <c r="AN372" s="2" t="s">
        <v>176</v>
      </c>
      <c r="AO372" s="2" t="s">
        <v>146</v>
      </c>
      <c r="AP372" s="2" t="s">
        <v>146</v>
      </c>
      <c r="AQ372" s="2" t="s">
        <v>146</v>
      </c>
      <c r="AR372" s="2" t="s">
        <v>146</v>
      </c>
      <c r="AV372" s="2">
        <f t="shared" si="50"/>
        <v>3.8354999999999997</v>
      </c>
      <c r="AW372" s="2">
        <f t="shared" si="51"/>
        <v>3.7160000000000002</v>
      </c>
      <c r="AX372" s="27">
        <f t="shared" si="52"/>
        <v>0.9688436970408032</v>
      </c>
      <c r="BA372" s="2">
        <f t="shared" si="53"/>
        <v>0</v>
      </c>
      <c r="BB372" s="2">
        <f t="shared" si="54"/>
        <v>0</v>
      </c>
      <c r="BC372" s="2">
        <f t="shared" si="55"/>
        <v>0</v>
      </c>
      <c r="BD372" s="2">
        <f t="shared" si="56"/>
        <v>0</v>
      </c>
      <c r="BE372" s="2">
        <f t="shared" si="57"/>
        <v>0</v>
      </c>
      <c r="BF372" s="2">
        <f t="shared" si="58"/>
        <v>0</v>
      </c>
      <c r="BJ372" s="2" t="str">
        <f t="shared" si="59"/>
        <v/>
      </c>
    </row>
    <row r="373" spans="1:62" ht="15" customHeight="1" x14ac:dyDescent="0.45">
      <c r="A373" s="2" t="s">
        <v>197</v>
      </c>
      <c r="B373" s="2" t="s">
        <v>201</v>
      </c>
      <c r="C373" s="2">
        <v>2019</v>
      </c>
      <c r="D373" s="2">
        <v>4.4530000000000003</v>
      </c>
      <c r="E373" s="2">
        <v>4.6665000000000001</v>
      </c>
      <c r="F373" s="2" t="s">
        <v>146</v>
      </c>
      <c r="G373" s="2">
        <v>0.11650000000000001</v>
      </c>
      <c r="H373" s="2" t="s">
        <v>146</v>
      </c>
      <c r="I373" s="2" t="s">
        <v>146</v>
      </c>
      <c r="J373" s="2" t="s">
        <v>146</v>
      </c>
      <c r="K373" s="2" t="s">
        <v>146</v>
      </c>
      <c r="L373" s="2" t="s">
        <v>146</v>
      </c>
      <c r="M373" s="2" t="s">
        <v>176</v>
      </c>
      <c r="N373" s="2" t="s">
        <v>146</v>
      </c>
      <c r="O373" s="2" t="s">
        <v>146</v>
      </c>
      <c r="P373" s="2" t="s">
        <v>146</v>
      </c>
      <c r="Q373" s="2" t="s">
        <v>146</v>
      </c>
      <c r="R373" s="2" t="s">
        <v>146</v>
      </c>
      <c r="S373" s="2" t="s">
        <v>146</v>
      </c>
      <c r="T373" s="2" t="s">
        <v>146</v>
      </c>
      <c r="U373" s="2">
        <v>4.5170000000000003</v>
      </c>
      <c r="V373" s="2" t="s">
        <v>146</v>
      </c>
      <c r="W373" s="2" t="s">
        <v>146</v>
      </c>
      <c r="X373" s="2" t="s">
        <v>146</v>
      </c>
      <c r="Y373" s="2" t="s">
        <v>146</v>
      </c>
      <c r="Z373" s="2" t="s">
        <v>146</v>
      </c>
      <c r="AA373" s="2" t="s">
        <v>146</v>
      </c>
      <c r="AB373" s="2" t="s">
        <v>146</v>
      </c>
      <c r="AC373" s="2" t="s">
        <v>146</v>
      </c>
      <c r="AD373" s="2" t="s">
        <v>146</v>
      </c>
      <c r="AE373" s="2" t="s">
        <v>155</v>
      </c>
      <c r="AF373" s="2" t="s">
        <v>146</v>
      </c>
      <c r="AG373" s="2" t="s">
        <v>146</v>
      </c>
      <c r="AH373" s="2" t="s">
        <v>146</v>
      </c>
      <c r="AI373" s="2">
        <v>3.3000000000000002E-2</v>
      </c>
      <c r="AJ373" s="2" t="s">
        <v>200</v>
      </c>
      <c r="AK373" s="2">
        <v>1.0999999999999999E-2</v>
      </c>
      <c r="AL373" s="2" t="s">
        <v>146</v>
      </c>
      <c r="AM373" s="2" t="s">
        <v>146</v>
      </c>
      <c r="AN373" s="2" t="s">
        <v>176</v>
      </c>
      <c r="AO373" s="2" t="s">
        <v>146</v>
      </c>
      <c r="AP373" s="2" t="s">
        <v>146</v>
      </c>
      <c r="AQ373" s="2" t="s">
        <v>146</v>
      </c>
      <c r="AR373" s="2" t="s">
        <v>146</v>
      </c>
      <c r="AV373" s="2">
        <f t="shared" si="50"/>
        <v>4.666500000000001</v>
      </c>
      <c r="AW373" s="2">
        <f t="shared" si="51"/>
        <v>4.4530000000000003</v>
      </c>
      <c r="AX373" s="27">
        <f t="shared" si="52"/>
        <v>0.95424836601307172</v>
      </c>
      <c r="BA373" s="2">
        <f t="shared" si="53"/>
        <v>0</v>
      </c>
      <c r="BB373" s="2">
        <f t="shared" si="54"/>
        <v>0</v>
      </c>
      <c r="BC373" s="2">
        <f t="shared" si="55"/>
        <v>0</v>
      </c>
      <c r="BD373" s="2">
        <f t="shared" si="56"/>
        <v>0</v>
      </c>
      <c r="BE373" s="2">
        <f t="shared" si="57"/>
        <v>0</v>
      </c>
      <c r="BF373" s="2">
        <f t="shared" si="58"/>
        <v>0</v>
      </c>
      <c r="BJ373" s="2" t="str">
        <f t="shared" si="59"/>
        <v/>
      </c>
    </row>
    <row r="374" spans="1:62" ht="15" customHeight="1" x14ac:dyDescent="0.45">
      <c r="A374" s="2" t="s">
        <v>197</v>
      </c>
      <c r="B374" s="2" t="s">
        <v>199</v>
      </c>
      <c r="C374" s="2">
        <v>2019</v>
      </c>
      <c r="D374" s="2">
        <v>0.70099999999999996</v>
      </c>
      <c r="E374" s="2">
        <v>0.75309999999999999</v>
      </c>
      <c r="F374" s="2" t="s">
        <v>146</v>
      </c>
      <c r="G374" s="2">
        <v>3.9100000000000003E-2</v>
      </c>
      <c r="H374" s="2" t="s">
        <v>146</v>
      </c>
      <c r="I374" s="2" t="s">
        <v>146</v>
      </c>
      <c r="J374" s="2" t="s">
        <v>146</v>
      </c>
      <c r="K374" s="2" t="s">
        <v>146</v>
      </c>
      <c r="L374" s="2" t="s">
        <v>146</v>
      </c>
      <c r="M374" s="2" t="s">
        <v>176</v>
      </c>
      <c r="N374" s="2" t="s">
        <v>146</v>
      </c>
      <c r="O374" s="2" t="s">
        <v>146</v>
      </c>
      <c r="P374" s="2" t="s">
        <v>146</v>
      </c>
      <c r="Q374" s="2" t="s">
        <v>146</v>
      </c>
      <c r="R374" s="2" t="s">
        <v>146</v>
      </c>
      <c r="S374" s="2" t="s">
        <v>146</v>
      </c>
      <c r="T374" s="2" t="s">
        <v>146</v>
      </c>
      <c r="U374" s="2">
        <v>0.71399999999999997</v>
      </c>
      <c r="V374" s="2" t="s">
        <v>146</v>
      </c>
      <c r="W374" s="2" t="s">
        <v>146</v>
      </c>
      <c r="X374" s="2" t="s">
        <v>146</v>
      </c>
      <c r="Y374" s="2" t="s">
        <v>146</v>
      </c>
      <c r="Z374" s="2" t="s">
        <v>146</v>
      </c>
      <c r="AA374" s="2" t="s">
        <v>146</v>
      </c>
      <c r="AB374" s="2" t="s">
        <v>146</v>
      </c>
      <c r="AC374" s="2" t="s">
        <v>146</v>
      </c>
      <c r="AD374" s="2" t="s">
        <v>146</v>
      </c>
      <c r="AE374" s="2" t="s">
        <v>146</v>
      </c>
      <c r="AF374" s="2" t="s">
        <v>146</v>
      </c>
      <c r="AG374" s="2" t="s">
        <v>146</v>
      </c>
      <c r="AH374" s="2" t="s">
        <v>146</v>
      </c>
      <c r="AI374" s="2" t="s">
        <v>146</v>
      </c>
      <c r="AJ374" s="2" t="s">
        <v>146</v>
      </c>
      <c r="AK374" s="2" t="s">
        <v>146</v>
      </c>
      <c r="AL374" s="2" t="s">
        <v>146</v>
      </c>
      <c r="AM374" s="2" t="s">
        <v>146</v>
      </c>
      <c r="AN374" s="2" t="s">
        <v>49</v>
      </c>
      <c r="AO374" s="2" t="s">
        <v>146</v>
      </c>
      <c r="AP374" s="2" t="s">
        <v>146</v>
      </c>
      <c r="AQ374" s="2" t="s">
        <v>146</v>
      </c>
      <c r="AR374" s="2" t="s">
        <v>146</v>
      </c>
      <c r="AV374" s="2">
        <f t="shared" si="50"/>
        <v>0.75309999999999999</v>
      </c>
      <c r="AW374" s="2">
        <f t="shared" si="51"/>
        <v>0.70099999999999996</v>
      </c>
      <c r="AX374" s="27">
        <f t="shared" si="52"/>
        <v>0.93081928030805994</v>
      </c>
      <c r="BA374" s="2">
        <f t="shared" si="53"/>
        <v>0</v>
      </c>
      <c r="BB374" s="2">
        <f t="shared" si="54"/>
        <v>0</v>
      </c>
      <c r="BC374" s="2">
        <f t="shared" si="55"/>
        <v>0</v>
      </c>
      <c r="BD374" s="2">
        <f t="shared" si="56"/>
        <v>0</v>
      </c>
      <c r="BE374" s="2">
        <f t="shared" si="57"/>
        <v>0</v>
      </c>
      <c r="BF374" s="2">
        <f t="shared" si="58"/>
        <v>0</v>
      </c>
      <c r="BJ374" s="2" t="str">
        <f t="shared" si="59"/>
        <v/>
      </c>
    </row>
    <row r="375" spans="1:62" ht="15" customHeight="1" x14ac:dyDescent="0.45">
      <c r="A375" s="2" t="s">
        <v>197</v>
      </c>
      <c r="B375" s="2" t="s">
        <v>198</v>
      </c>
      <c r="C375" s="2">
        <v>2019</v>
      </c>
      <c r="D375" s="2">
        <v>3.1E-2</v>
      </c>
      <c r="E375" s="2">
        <v>3.5000000000000003E-2</v>
      </c>
      <c r="F375" s="2" t="s">
        <v>146</v>
      </c>
      <c r="G375" s="2">
        <v>3.5000000000000003E-2</v>
      </c>
      <c r="H375" s="2" t="s">
        <v>146</v>
      </c>
      <c r="I375" s="2" t="s">
        <v>146</v>
      </c>
      <c r="J375" s="2" t="s">
        <v>146</v>
      </c>
      <c r="K375" s="2" t="s">
        <v>146</v>
      </c>
      <c r="L375" s="2" t="s">
        <v>146</v>
      </c>
      <c r="M375" s="2" t="s">
        <v>176</v>
      </c>
      <c r="N375" s="2" t="s">
        <v>146</v>
      </c>
      <c r="O375" s="2" t="s">
        <v>146</v>
      </c>
      <c r="P375" s="2" t="s">
        <v>146</v>
      </c>
      <c r="Q375" s="2" t="s">
        <v>146</v>
      </c>
      <c r="R375" s="2" t="s">
        <v>146</v>
      </c>
      <c r="S375" s="2" t="s">
        <v>146</v>
      </c>
      <c r="T375" s="2" t="s">
        <v>147</v>
      </c>
      <c r="U375" s="2" t="s">
        <v>146</v>
      </c>
      <c r="V375" s="2" t="s">
        <v>146</v>
      </c>
      <c r="W375" s="2" t="s">
        <v>146</v>
      </c>
      <c r="X375" s="2" t="s">
        <v>146</v>
      </c>
      <c r="Y375" s="2" t="s">
        <v>146</v>
      </c>
      <c r="Z375" s="2" t="s">
        <v>146</v>
      </c>
      <c r="AA375" s="2" t="s">
        <v>146</v>
      </c>
      <c r="AB375" s="2" t="s">
        <v>146</v>
      </c>
      <c r="AC375" s="2" t="s">
        <v>146</v>
      </c>
      <c r="AD375" s="2" t="s">
        <v>146</v>
      </c>
      <c r="AE375" s="2" t="s">
        <v>155</v>
      </c>
      <c r="AF375" s="2" t="s">
        <v>146</v>
      </c>
      <c r="AG375" s="2" t="s">
        <v>146</v>
      </c>
      <c r="AH375" s="2" t="s">
        <v>146</v>
      </c>
      <c r="AI375" s="2" t="s">
        <v>146</v>
      </c>
      <c r="AJ375" s="2" t="s">
        <v>146</v>
      </c>
      <c r="AK375" s="2" t="s">
        <v>146</v>
      </c>
      <c r="AL375" s="2" t="s">
        <v>146</v>
      </c>
      <c r="AM375" s="2" t="s">
        <v>146</v>
      </c>
      <c r="AN375" s="2" t="s">
        <v>176</v>
      </c>
      <c r="AO375" s="2" t="s">
        <v>146</v>
      </c>
      <c r="AP375" s="2" t="s">
        <v>146</v>
      </c>
      <c r="AQ375" s="2" t="s">
        <v>146</v>
      </c>
      <c r="AR375" s="2" t="s">
        <v>146</v>
      </c>
      <c r="AV375" s="2">
        <f t="shared" si="50"/>
        <v>3.5000000000000003E-2</v>
      </c>
      <c r="AW375" s="2">
        <f t="shared" si="51"/>
        <v>3.1E-2</v>
      </c>
      <c r="AX375" s="27">
        <f t="shared" si="52"/>
        <v>0.88571428571428568</v>
      </c>
      <c r="BA375" s="2">
        <f t="shared" si="53"/>
        <v>0</v>
      </c>
      <c r="BB375" s="2">
        <f t="shared" si="54"/>
        <v>0</v>
      </c>
      <c r="BC375" s="2">
        <f t="shared" si="55"/>
        <v>0</v>
      </c>
      <c r="BD375" s="2">
        <f t="shared" si="56"/>
        <v>0</v>
      </c>
      <c r="BE375" s="2">
        <f t="shared" si="57"/>
        <v>0</v>
      </c>
      <c r="BF375" s="2">
        <f t="shared" si="58"/>
        <v>0</v>
      </c>
      <c r="BJ375" s="2" t="str">
        <f t="shared" si="59"/>
        <v/>
      </c>
    </row>
    <row r="376" spans="1:62" ht="15" customHeight="1" x14ac:dyDescent="0.45">
      <c r="A376" s="2" t="s">
        <v>197</v>
      </c>
      <c r="B376" s="2" t="s">
        <v>196</v>
      </c>
      <c r="C376" s="2">
        <v>2019</v>
      </c>
      <c r="D376" s="2">
        <v>77.869</v>
      </c>
      <c r="E376" s="2">
        <v>92.903499999999994</v>
      </c>
      <c r="F376" s="2" t="s">
        <v>146</v>
      </c>
      <c r="G376" s="2">
        <v>5.4999999999999997E-3</v>
      </c>
      <c r="H376" s="2" t="s">
        <v>146</v>
      </c>
      <c r="I376" s="2" t="s">
        <v>146</v>
      </c>
      <c r="J376" s="2" t="s">
        <v>146</v>
      </c>
      <c r="K376" s="2" t="s">
        <v>146</v>
      </c>
      <c r="L376" s="2">
        <v>0.32700000000000001</v>
      </c>
      <c r="M376" s="2" t="s">
        <v>49</v>
      </c>
      <c r="N376" s="2">
        <v>41.848999999999997</v>
      </c>
      <c r="O376" s="2">
        <v>21.766999999999999</v>
      </c>
      <c r="P376" s="2">
        <v>14.81</v>
      </c>
      <c r="Q376" s="2" t="s">
        <v>146</v>
      </c>
      <c r="R376" s="2" t="s">
        <v>146</v>
      </c>
      <c r="S376" s="2" t="s">
        <v>146</v>
      </c>
      <c r="T376" s="2" t="s">
        <v>147</v>
      </c>
      <c r="U376" s="2" t="s">
        <v>146</v>
      </c>
      <c r="V376" s="2" t="s">
        <v>146</v>
      </c>
      <c r="W376" s="2" t="s">
        <v>146</v>
      </c>
      <c r="X376" s="2" t="s">
        <v>146</v>
      </c>
      <c r="Y376" s="2" t="s">
        <v>146</v>
      </c>
      <c r="Z376" s="2">
        <v>1.8</v>
      </c>
      <c r="AA376" s="2" t="s">
        <v>146</v>
      </c>
      <c r="AB376" s="2" t="s">
        <v>146</v>
      </c>
      <c r="AC376" s="2" t="s">
        <v>146</v>
      </c>
      <c r="AD376" s="2" t="s">
        <v>146</v>
      </c>
      <c r="AE376" s="2" t="s">
        <v>155</v>
      </c>
      <c r="AF376" s="2" t="s">
        <v>146</v>
      </c>
      <c r="AG376" s="2">
        <v>0.84099999999999997</v>
      </c>
      <c r="AH376" s="2">
        <v>11.504</v>
      </c>
      <c r="AI376" s="2" t="s">
        <v>146</v>
      </c>
      <c r="AJ376" s="2" t="s">
        <v>146</v>
      </c>
      <c r="AK376" s="2" t="s">
        <v>146</v>
      </c>
      <c r="AL376" s="2" t="s">
        <v>146</v>
      </c>
      <c r="AM376" s="2" t="s">
        <v>146</v>
      </c>
      <c r="AN376" s="2" t="s">
        <v>176</v>
      </c>
      <c r="AO376" s="2">
        <v>100</v>
      </c>
      <c r="AP376" s="2">
        <v>0</v>
      </c>
      <c r="AQ376" s="2">
        <v>0</v>
      </c>
      <c r="AR376" s="2">
        <v>0</v>
      </c>
      <c r="AV376" s="2">
        <f t="shared" si="50"/>
        <v>92.903499999999994</v>
      </c>
      <c r="AW376" s="2">
        <f t="shared" si="51"/>
        <v>77.869</v>
      </c>
      <c r="AX376" s="27">
        <f t="shared" si="52"/>
        <v>0.83817079012093199</v>
      </c>
      <c r="BA376" s="2">
        <f t="shared" si="53"/>
        <v>11.504</v>
      </c>
      <c r="BB376" s="2">
        <f t="shared" si="54"/>
        <v>11.504</v>
      </c>
      <c r="BC376" s="2">
        <f t="shared" si="55"/>
        <v>0</v>
      </c>
      <c r="BD376" s="2">
        <f t="shared" si="56"/>
        <v>0</v>
      </c>
      <c r="BE376" s="2">
        <f t="shared" si="57"/>
        <v>0</v>
      </c>
      <c r="BF376" s="2">
        <f t="shared" si="58"/>
        <v>0</v>
      </c>
      <c r="BJ376" s="2" t="str">
        <f t="shared" si="59"/>
        <v/>
      </c>
    </row>
    <row r="377" spans="1:62" ht="15" customHeight="1" x14ac:dyDescent="0.45">
      <c r="A377" s="2" t="s">
        <v>191</v>
      </c>
      <c r="B377" s="2" t="s">
        <v>195</v>
      </c>
      <c r="C377" s="2">
        <v>2019</v>
      </c>
      <c r="D377" s="2">
        <v>102.741</v>
      </c>
      <c r="E377" s="2">
        <v>117.794</v>
      </c>
      <c r="F377" s="2" t="s">
        <v>146</v>
      </c>
      <c r="G377" s="2">
        <v>0.114</v>
      </c>
      <c r="H377" s="2" t="s">
        <v>146</v>
      </c>
      <c r="I377" s="2" t="s">
        <v>146</v>
      </c>
      <c r="J377" s="2" t="s">
        <v>146</v>
      </c>
      <c r="K377" s="2" t="s">
        <v>146</v>
      </c>
      <c r="L377" s="2" t="s">
        <v>146</v>
      </c>
      <c r="M377" s="2" t="s">
        <v>49</v>
      </c>
      <c r="N377" s="2">
        <v>31.681000000000001</v>
      </c>
      <c r="O377" s="2">
        <v>7.383</v>
      </c>
      <c r="P377" s="2">
        <v>20.797999999999998</v>
      </c>
      <c r="Q377" s="2">
        <v>20.443000000000001</v>
      </c>
      <c r="R377" s="2" t="s">
        <v>146</v>
      </c>
      <c r="S377" s="2" t="s">
        <v>146</v>
      </c>
      <c r="T377" s="2" t="s">
        <v>147</v>
      </c>
      <c r="U377" s="2">
        <v>6.7350000000000003</v>
      </c>
      <c r="V377" s="2" t="s">
        <v>146</v>
      </c>
      <c r="W377" s="2" t="s">
        <v>146</v>
      </c>
      <c r="X377" s="2" t="s">
        <v>146</v>
      </c>
      <c r="Y377" s="2" t="s">
        <v>146</v>
      </c>
      <c r="Z377" s="2">
        <v>3.085</v>
      </c>
      <c r="AA377" s="2" t="s">
        <v>146</v>
      </c>
      <c r="AB377" s="2">
        <v>0.871</v>
      </c>
      <c r="AC377" s="2" t="s">
        <v>146</v>
      </c>
      <c r="AD377" s="2" t="s">
        <v>146</v>
      </c>
      <c r="AE377" s="2" t="s">
        <v>146</v>
      </c>
      <c r="AF377" s="2" t="s">
        <v>146</v>
      </c>
      <c r="AG377" s="2" t="s">
        <v>146</v>
      </c>
      <c r="AH377" s="2">
        <v>16.812000000000001</v>
      </c>
      <c r="AI377" s="2">
        <v>9.8719999999999999</v>
      </c>
      <c r="AJ377" s="2" t="s">
        <v>194</v>
      </c>
      <c r="AK377" s="2">
        <v>1.254</v>
      </c>
      <c r="AL377" s="2">
        <v>0</v>
      </c>
      <c r="AM377" s="2">
        <v>0</v>
      </c>
      <c r="AN377" s="2" t="s">
        <v>49</v>
      </c>
      <c r="AO377" s="2">
        <v>99</v>
      </c>
      <c r="AP377" s="2" t="s">
        <v>146</v>
      </c>
      <c r="AQ377" s="2" t="s">
        <v>146</v>
      </c>
      <c r="AR377" s="2">
        <v>1</v>
      </c>
      <c r="AV377" s="2">
        <f t="shared" si="50"/>
        <v>117.79399999999998</v>
      </c>
      <c r="AW377" s="2">
        <f t="shared" si="51"/>
        <v>102.741</v>
      </c>
      <c r="AX377" s="27">
        <f t="shared" si="52"/>
        <v>0.87220911082058517</v>
      </c>
      <c r="BA377" s="2">
        <f t="shared" si="53"/>
        <v>16.812000000000001</v>
      </c>
      <c r="BB377" s="2">
        <f t="shared" si="54"/>
        <v>16.643879999999999</v>
      </c>
      <c r="BC377" s="2">
        <f t="shared" si="55"/>
        <v>0</v>
      </c>
      <c r="BD377" s="2">
        <f t="shared" si="56"/>
        <v>0</v>
      </c>
      <c r="BE377" s="2">
        <f t="shared" si="57"/>
        <v>0.16812000000000002</v>
      </c>
      <c r="BF377" s="2">
        <f t="shared" si="58"/>
        <v>3.5527136788005009E-15</v>
      </c>
      <c r="BJ377" s="2" t="str">
        <f t="shared" si="59"/>
        <v/>
      </c>
    </row>
    <row r="378" spans="1:62" ht="15" customHeight="1" x14ac:dyDescent="0.45">
      <c r="A378" s="2" t="s">
        <v>191</v>
      </c>
      <c r="B378" s="2" t="s">
        <v>193</v>
      </c>
      <c r="C378" s="2">
        <v>2019</v>
      </c>
      <c r="D378" s="2">
        <v>14.276</v>
      </c>
      <c r="E378" s="2">
        <v>16.577999999999999</v>
      </c>
      <c r="F378" s="2" t="s">
        <v>146</v>
      </c>
      <c r="G378" s="2" t="s">
        <v>146</v>
      </c>
      <c r="H378" s="2" t="s">
        <v>146</v>
      </c>
      <c r="I378" s="2" t="s">
        <v>146</v>
      </c>
      <c r="J378" s="2" t="s">
        <v>146</v>
      </c>
      <c r="K378" s="2" t="s">
        <v>146</v>
      </c>
      <c r="L378" s="2" t="s">
        <v>146</v>
      </c>
      <c r="M378" s="2" t="s">
        <v>49</v>
      </c>
      <c r="N378" s="2" t="s">
        <v>146</v>
      </c>
      <c r="O378" s="2" t="s">
        <v>146</v>
      </c>
      <c r="P378" s="2">
        <v>15.356</v>
      </c>
      <c r="Q378" s="2" t="s">
        <v>146</v>
      </c>
      <c r="R378" s="2" t="s">
        <v>146</v>
      </c>
      <c r="S378" s="2" t="s">
        <v>146</v>
      </c>
      <c r="T378" s="2" t="s">
        <v>146</v>
      </c>
      <c r="U378" s="2" t="s">
        <v>146</v>
      </c>
      <c r="V378" s="2" t="s">
        <v>146</v>
      </c>
      <c r="W378" s="2" t="s">
        <v>146</v>
      </c>
      <c r="X378" s="2" t="s">
        <v>146</v>
      </c>
      <c r="Y378" s="2" t="s">
        <v>146</v>
      </c>
      <c r="Z378" s="2">
        <v>1.2210000000000001</v>
      </c>
      <c r="AA378" s="2" t="s">
        <v>146</v>
      </c>
      <c r="AB378" s="2" t="s">
        <v>146</v>
      </c>
      <c r="AC378" s="2" t="s">
        <v>146</v>
      </c>
      <c r="AD378" s="2" t="s">
        <v>146</v>
      </c>
      <c r="AE378" s="2" t="s">
        <v>146</v>
      </c>
      <c r="AF378" s="2" t="s">
        <v>146</v>
      </c>
      <c r="AG378" s="2" t="s">
        <v>146</v>
      </c>
      <c r="AH378" s="2" t="s">
        <v>146</v>
      </c>
      <c r="AI378" s="2" t="s">
        <v>146</v>
      </c>
      <c r="AJ378" s="2" t="s">
        <v>146</v>
      </c>
      <c r="AK378" s="2" t="s">
        <v>146</v>
      </c>
      <c r="AL378" s="2">
        <v>1E-3</v>
      </c>
      <c r="AM378" s="2">
        <v>1E-3</v>
      </c>
      <c r="AN378" s="2" t="s">
        <v>49</v>
      </c>
      <c r="AO378" s="2" t="s">
        <v>146</v>
      </c>
      <c r="AP378" s="2" t="s">
        <v>146</v>
      </c>
      <c r="AQ378" s="2" t="s">
        <v>146</v>
      </c>
      <c r="AR378" s="2" t="s">
        <v>146</v>
      </c>
      <c r="AV378" s="2">
        <f t="shared" si="50"/>
        <v>16.577999999999999</v>
      </c>
      <c r="AW378" s="2">
        <f t="shared" si="51"/>
        <v>14.276</v>
      </c>
      <c r="AX378" s="27">
        <f t="shared" si="52"/>
        <v>0.86114127156472431</v>
      </c>
      <c r="BA378" s="2">
        <f t="shared" si="53"/>
        <v>0</v>
      </c>
      <c r="BB378" s="2">
        <f t="shared" si="54"/>
        <v>0</v>
      </c>
      <c r="BC378" s="2">
        <f t="shared" si="55"/>
        <v>0</v>
      </c>
      <c r="BD378" s="2">
        <f t="shared" si="56"/>
        <v>0</v>
      </c>
      <c r="BE378" s="2">
        <f t="shared" si="57"/>
        <v>0</v>
      </c>
      <c r="BF378" s="2">
        <f t="shared" si="58"/>
        <v>0</v>
      </c>
      <c r="BJ378" s="2" t="str">
        <f t="shared" si="59"/>
        <v/>
      </c>
    </row>
    <row r="379" spans="1:62" ht="15" customHeight="1" x14ac:dyDescent="0.45">
      <c r="A379" s="2" t="s">
        <v>191</v>
      </c>
      <c r="B379" s="2" t="s">
        <v>192</v>
      </c>
      <c r="C379" s="2">
        <v>2019</v>
      </c>
      <c r="D379" s="2">
        <v>107.42</v>
      </c>
      <c r="E379" s="2">
        <v>134.89099999999999</v>
      </c>
      <c r="F379" s="2" t="s">
        <v>146</v>
      </c>
      <c r="G379" s="2">
        <v>0.872</v>
      </c>
      <c r="H379" s="2" t="s">
        <v>146</v>
      </c>
      <c r="I379" s="2" t="s">
        <v>146</v>
      </c>
      <c r="J379" s="2" t="s">
        <v>146</v>
      </c>
      <c r="K379" s="2" t="s">
        <v>146</v>
      </c>
      <c r="L379" s="2" t="s">
        <v>146</v>
      </c>
      <c r="M379" s="2" t="s">
        <v>49</v>
      </c>
      <c r="N379" s="2">
        <v>1.391</v>
      </c>
      <c r="O379" s="2">
        <v>11.162000000000001</v>
      </c>
      <c r="P379" s="2">
        <v>11.233000000000001</v>
      </c>
      <c r="Q379" s="2">
        <v>3.9540000000000002</v>
      </c>
      <c r="R379" s="2" t="s">
        <v>146</v>
      </c>
      <c r="S379" s="2" t="s">
        <v>146</v>
      </c>
      <c r="T379" s="2" t="s">
        <v>147</v>
      </c>
      <c r="U379" s="2" t="s">
        <v>146</v>
      </c>
      <c r="V379" s="2" t="s">
        <v>146</v>
      </c>
      <c r="W379" s="2" t="s">
        <v>146</v>
      </c>
      <c r="X379" s="2">
        <v>81.53</v>
      </c>
      <c r="Y379" s="2" t="s">
        <v>146</v>
      </c>
      <c r="Z379" s="2">
        <v>7.3869999999999996</v>
      </c>
      <c r="AA379" s="2" t="s">
        <v>146</v>
      </c>
      <c r="AB379" s="2" t="s">
        <v>146</v>
      </c>
      <c r="AC379" s="2" t="s">
        <v>146</v>
      </c>
      <c r="AD379" s="2" t="s">
        <v>146</v>
      </c>
      <c r="AE379" s="2" t="s">
        <v>146</v>
      </c>
      <c r="AF379" s="2" t="s">
        <v>146</v>
      </c>
      <c r="AG379" s="2" t="s">
        <v>146</v>
      </c>
      <c r="AH379" s="2">
        <v>17.361000000000001</v>
      </c>
      <c r="AI379" s="2" t="s">
        <v>146</v>
      </c>
      <c r="AJ379" s="2" t="s">
        <v>146</v>
      </c>
      <c r="AK379" s="2" t="s">
        <v>146</v>
      </c>
      <c r="AL379" s="2">
        <v>1E-3</v>
      </c>
      <c r="AM379" s="2">
        <v>1E-3</v>
      </c>
      <c r="AN379" s="2" t="s">
        <v>49</v>
      </c>
      <c r="AO379" s="2">
        <v>100</v>
      </c>
      <c r="AP379" s="2" t="s">
        <v>146</v>
      </c>
      <c r="AQ379" s="2" t="s">
        <v>146</v>
      </c>
      <c r="AR379" s="2" t="s">
        <v>146</v>
      </c>
      <c r="AV379" s="2">
        <f t="shared" si="50"/>
        <v>134.89099999999999</v>
      </c>
      <c r="AW379" s="2">
        <f t="shared" si="51"/>
        <v>107.42</v>
      </c>
      <c r="AX379" s="27">
        <f t="shared" si="52"/>
        <v>0.79634667991192898</v>
      </c>
      <c r="BA379" s="2">
        <f t="shared" si="53"/>
        <v>17.361000000000001</v>
      </c>
      <c r="BB379" s="2">
        <f t="shared" si="54"/>
        <v>17.361000000000001</v>
      </c>
      <c r="BC379" s="2">
        <f t="shared" si="55"/>
        <v>0</v>
      </c>
      <c r="BD379" s="2">
        <f t="shared" si="56"/>
        <v>0</v>
      </c>
      <c r="BE379" s="2">
        <f t="shared" si="57"/>
        <v>0</v>
      </c>
      <c r="BF379" s="2">
        <f t="shared" si="58"/>
        <v>0</v>
      </c>
      <c r="BJ379" s="2" t="str">
        <f t="shared" si="59"/>
        <v/>
      </c>
    </row>
    <row r="380" spans="1:62" ht="15" customHeight="1" x14ac:dyDescent="0.45">
      <c r="A380" s="2" t="s">
        <v>191</v>
      </c>
      <c r="B380" s="2" t="s">
        <v>190</v>
      </c>
      <c r="C380" s="2">
        <v>2019</v>
      </c>
      <c r="D380" s="2" t="s">
        <v>146</v>
      </c>
      <c r="E380" s="2" t="s">
        <v>146</v>
      </c>
      <c r="F380" s="2" t="s">
        <v>146</v>
      </c>
      <c r="G380" s="2" t="s">
        <v>146</v>
      </c>
      <c r="H380" s="2" t="s">
        <v>146</v>
      </c>
      <c r="I380" s="2" t="s">
        <v>146</v>
      </c>
      <c r="J380" s="2" t="s">
        <v>146</v>
      </c>
      <c r="K380" s="2" t="s">
        <v>146</v>
      </c>
      <c r="L380" s="2" t="s">
        <v>146</v>
      </c>
      <c r="M380" s="2" t="s">
        <v>49</v>
      </c>
      <c r="N380" s="2" t="s">
        <v>146</v>
      </c>
      <c r="O380" s="2" t="s">
        <v>146</v>
      </c>
      <c r="P380" s="2" t="s">
        <v>146</v>
      </c>
      <c r="Q380" s="2" t="s">
        <v>146</v>
      </c>
      <c r="R380" s="2" t="s">
        <v>146</v>
      </c>
      <c r="S380" s="2" t="s">
        <v>146</v>
      </c>
      <c r="T380" s="2" t="s">
        <v>146</v>
      </c>
      <c r="U380" s="2" t="s">
        <v>146</v>
      </c>
      <c r="V380" s="2" t="s">
        <v>146</v>
      </c>
      <c r="W380" s="2" t="s">
        <v>146</v>
      </c>
      <c r="X380" s="2" t="s">
        <v>146</v>
      </c>
      <c r="Y380" s="2" t="s">
        <v>146</v>
      </c>
      <c r="Z380" s="2" t="s">
        <v>146</v>
      </c>
      <c r="AA380" s="2" t="s">
        <v>146</v>
      </c>
      <c r="AB380" s="2" t="s">
        <v>146</v>
      </c>
      <c r="AC380" s="2" t="s">
        <v>146</v>
      </c>
      <c r="AD380" s="2" t="s">
        <v>146</v>
      </c>
      <c r="AE380" s="2" t="s">
        <v>146</v>
      </c>
      <c r="AF380" s="2" t="s">
        <v>146</v>
      </c>
      <c r="AG380" s="2" t="s">
        <v>146</v>
      </c>
      <c r="AH380" s="2" t="s">
        <v>146</v>
      </c>
      <c r="AI380" s="2" t="s">
        <v>146</v>
      </c>
      <c r="AJ380" s="2" t="s">
        <v>146</v>
      </c>
      <c r="AK380" s="2" t="s">
        <v>146</v>
      </c>
      <c r="AL380" s="2" t="s">
        <v>146</v>
      </c>
      <c r="AM380" s="2" t="s">
        <v>146</v>
      </c>
      <c r="AN380" s="2" t="s">
        <v>49</v>
      </c>
      <c r="AO380" s="2" t="s">
        <v>146</v>
      </c>
      <c r="AP380" s="2" t="s">
        <v>146</v>
      </c>
      <c r="AQ380" s="2" t="s">
        <v>146</v>
      </c>
      <c r="AR380" s="2" t="s">
        <v>146</v>
      </c>
      <c r="AV380" s="2">
        <f t="shared" si="50"/>
        <v>0</v>
      </c>
      <c r="AW380" s="2">
        <f t="shared" si="51"/>
        <v>0</v>
      </c>
      <c r="AX380" s="27" t="str">
        <f t="shared" si="52"/>
        <v/>
      </c>
      <c r="BA380" s="2">
        <f t="shared" si="53"/>
        <v>0</v>
      </c>
      <c r="BB380" s="2">
        <f t="shared" si="54"/>
        <v>0</v>
      </c>
      <c r="BC380" s="2">
        <f t="shared" si="55"/>
        <v>0</v>
      </c>
      <c r="BD380" s="2">
        <f t="shared" si="56"/>
        <v>0</v>
      </c>
      <c r="BE380" s="2">
        <f t="shared" si="57"/>
        <v>0</v>
      </c>
      <c r="BF380" s="2">
        <f t="shared" si="58"/>
        <v>0</v>
      </c>
      <c r="BJ380" s="2" t="str">
        <f t="shared" si="59"/>
        <v/>
      </c>
    </row>
    <row r="381" spans="1:62" ht="15" customHeight="1" x14ac:dyDescent="0.45">
      <c r="A381" s="2" t="s">
        <v>187</v>
      </c>
      <c r="B381" s="2" t="s">
        <v>189</v>
      </c>
      <c r="C381" s="2">
        <v>2019</v>
      </c>
      <c r="D381" s="2">
        <v>9.1999999999999993</v>
      </c>
      <c r="E381" s="2">
        <v>9.8030000000000008</v>
      </c>
      <c r="F381" s="2" t="s">
        <v>146</v>
      </c>
      <c r="G381" s="2">
        <v>0.38500000000000001</v>
      </c>
      <c r="H381" s="2" t="s">
        <v>146</v>
      </c>
      <c r="I381" s="2" t="s">
        <v>146</v>
      </c>
      <c r="J381" s="2" t="s">
        <v>146</v>
      </c>
      <c r="K381" s="2" t="s">
        <v>146</v>
      </c>
      <c r="L381" s="2" t="s">
        <v>146</v>
      </c>
      <c r="M381" s="2" t="s">
        <v>49</v>
      </c>
      <c r="N381" s="2" t="s">
        <v>146</v>
      </c>
      <c r="O381" s="2" t="s">
        <v>146</v>
      </c>
      <c r="P381" s="2">
        <v>9.4179999999999993</v>
      </c>
      <c r="Q381" s="2" t="s">
        <v>146</v>
      </c>
      <c r="R381" s="2" t="s">
        <v>146</v>
      </c>
      <c r="S381" s="2" t="s">
        <v>146</v>
      </c>
      <c r="T381" s="2" t="s">
        <v>146</v>
      </c>
      <c r="U381" s="2" t="s">
        <v>146</v>
      </c>
      <c r="V381" s="2" t="s">
        <v>146</v>
      </c>
      <c r="W381" s="2" t="s">
        <v>146</v>
      </c>
      <c r="X381" s="2" t="s">
        <v>146</v>
      </c>
      <c r="Y381" s="2" t="s">
        <v>146</v>
      </c>
      <c r="Z381" s="2" t="s">
        <v>146</v>
      </c>
      <c r="AA381" s="2" t="s">
        <v>146</v>
      </c>
      <c r="AB381" s="2" t="s">
        <v>146</v>
      </c>
      <c r="AC381" s="2" t="s">
        <v>146</v>
      </c>
      <c r="AD381" s="2" t="s">
        <v>146</v>
      </c>
      <c r="AE381" s="2" t="s">
        <v>146</v>
      </c>
      <c r="AF381" s="2" t="s">
        <v>146</v>
      </c>
      <c r="AG381" s="2" t="s">
        <v>146</v>
      </c>
      <c r="AH381" s="2" t="s">
        <v>146</v>
      </c>
      <c r="AI381" s="2" t="s">
        <v>146</v>
      </c>
      <c r="AJ381" s="2" t="s">
        <v>146</v>
      </c>
      <c r="AK381" s="2" t="s">
        <v>146</v>
      </c>
      <c r="AL381" s="2" t="s">
        <v>146</v>
      </c>
      <c r="AM381" s="2" t="s">
        <v>146</v>
      </c>
      <c r="AN381" s="2" t="s">
        <v>49</v>
      </c>
      <c r="AO381" s="2" t="s">
        <v>146</v>
      </c>
      <c r="AP381" s="2" t="s">
        <v>146</v>
      </c>
      <c r="AQ381" s="2" t="s">
        <v>146</v>
      </c>
      <c r="AR381" s="2" t="s">
        <v>146</v>
      </c>
      <c r="AV381" s="2">
        <f t="shared" si="50"/>
        <v>9.802999999999999</v>
      </c>
      <c r="AW381" s="2">
        <f t="shared" si="51"/>
        <v>9.1999999999999993</v>
      </c>
      <c r="AX381" s="27">
        <f t="shared" si="52"/>
        <v>0.93848821789248194</v>
      </c>
      <c r="BA381" s="2">
        <f t="shared" si="53"/>
        <v>0</v>
      </c>
      <c r="BB381" s="2">
        <f t="shared" si="54"/>
        <v>0</v>
      </c>
      <c r="BC381" s="2">
        <f t="shared" si="55"/>
        <v>0</v>
      </c>
      <c r="BD381" s="2">
        <f t="shared" si="56"/>
        <v>0</v>
      </c>
      <c r="BE381" s="2">
        <f t="shared" si="57"/>
        <v>0</v>
      </c>
      <c r="BF381" s="2">
        <f t="shared" si="58"/>
        <v>0</v>
      </c>
      <c r="BJ381" s="2" t="str">
        <f t="shared" si="59"/>
        <v/>
      </c>
    </row>
    <row r="382" spans="1:62" ht="15" customHeight="1" x14ac:dyDescent="0.45">
      <c r="A382" s="2" t="s">
        <v>187</v>
      </c>
      <c r="B382" s="2" t="s">
        <v>188</v>
      </c>
      <c r="C382" s="2">
        <v>2019</v>
      </c>
      <c r="D382" s="2">
        <v>30.582000000000001</v>
      </c>
      <c r="E382" s="2">
        <v>35.914999999999999</v>
      </c>
      <c r="F382" s="2" t="s">
        <v>146</v>
      </c>
      <c r="G382" s="2">
        <v>1.927</v>
      </c>
      <c r="H382" s="2" t="s">
        <v>146</v>
      </c>
      <c r="I382" s="2" t="s">
        <v>146</v>
      </c>
      <c r="J382" s="2" t="s">
        <v>146</v>
      </c>
      <c r="K382" s="2" t="s">
        <v>146</v>
      </c>
      <c r="L382" s="2" t="s">
        <v>146</v>
      </c>
      <c r="M382" s="2" t="s">
        <v>49</v>
      </c>
      <c r="N382" s="2">
        <v>18.289000000000001</v>
      </c>
      <c r="O382" s="2" t="s">
        <v>146</v>
      </c>
      <c r="P382" s="2">
        <v>15.699</v>
      </c>
      <c r="Q382" s="2" t="s">
        <v>146</v>
      </c>
      <c r="R382" s="2" t="s">
        <v>146</v>
      </c>
      <c r="S382" s="2" t="s">
        <v>146</v>
      </c>
      <c r="T382" s="2" t="s">
        <v>146</v>
      </c>
      <c r="U382" s="2" t="s">
        <v>146</v>
      </c>
      <c r="V382" s="2" t="s">
        <v>146</v>
      </c>
      <c r="W382" s="2" t="s">
        <v>146</v>
      </c>
      <c r="X382" s="2" t="s">
        <v>146</v>
      </c>
      <c r="Y382" s="2" t="s">
        <v>146</v>
      </c>
      <c r="Z382" s="2" t="s">
        <v>146</v>
      </c>
      <c r="AA382" s="2" t="s">
        <v>146</v>
      </c>
      <c r="AB382" s="2" t="s">
        <v>146</v>
      </c>
      <c r="AC382" s="2" t="s">
        <v>146</v>
      </c>
      <c r="AD382" s="2" t="s">
        <v>146</v>
      </c>
      <c r="AE382" s="2" t="s">
        <v>146</v>
      </c>
      <c r="AF382" s="2" t="s">
        <v>146</v>
      </c>
      <c r="AG382" s="2" t="s">
        <v>146</v>
      </c>
      <c r="AH382" s="2" t="s">
        <v>146</v>
      </c>
      <c r="AI382" s="2" t="s">
        <v>146</v>
      </c>
      <c r="AJ382" s="2" t="s">
        <v>146</v>
      </c>
      <c r="AK382" s="2" t="s">
        <v>146</v>
      </c>
      <c r="AL382" s="2" t="s">
        <v>146</v>
      </c>
      <c r="AM382" s="2" t="s">
        <v>146</v>
      </c>
      <c r="AN382" s="2" t="s">
        <v>49</v>
      </c>
      <c r="AO382" s="2" t="s">
        <v>146</v>
      </c>
      <c r="AP382" s="2" t="s">
        <v>146</v>
      </c>
      <c r="AQ382" s="2" t="s">
        <v>146</v>
      </c>
      <c r="AR382" s="2" t="s">
        <v>146</v>
      </c>
      <c r="AV382" s="2">
        <f t="shared" si="50"/>
        <v>35.914999999999999</v>
      </c>
      <c r="AW382" s="2">
        <f t="shared" si="51"/>
        <v>30.582000000000001</v>
      </c>
      <c r="AX382" s="27">
        <f t="shared" si="52"/>
        <v>0.85151051092858143</v>
      </c>
      <c r="BA382" s="2">
        <f t="shared" si="53"/>
        <v>0</v>
      </c>
      <c r="BB382" s="2">
        <f t="shared" si="54"/>
        <v>0</v>
      </c>
      <c r="BC382" s="2">
        <f t="shared" si="55"/>
        <v>0</v>
      </c>
      <c r="BD382" s="2">
        <f t="shared" si="56"/>
        <v>0</v>
      </c>
      <c r="BE382" s="2">
        <f t="shared" si="57"/>
        <v>0</v>
      </c>
      <c r="BF382" s="2">
        <f t="shared" si="58"/>
        <v>0</v>
      </c>
      <c r="BJ382" s="2" t="str">
        <f t="shared" si="59"/>
        <v/>
      </c>
    </row>
    <row r="383" spans="1:62" ht="15" customHeight="1" x14ac:dyDescent="0.45">
      <c r="A383" s="2" t="s">
        <v>187</v>
      </c>
      <c r="B383" s="2" t="s">
        <v>186</v>
      </c>
      <c r="C383" s="2">
        <v>2019</v>
      </c>
      <c r="D383" s="2">
        <v>102.41200000000001</v>
      </c>
      <c r="E383" s="2">
        <v>116.393</v>
      </c>
      <c r="F383" s="2" t="s">
        <v>146</v>
      </c>
      <c r="G383" s="2">
        <v>4.1500000000000004</v>
      </c>
      <c r="H383" s="2" t="s">
        <v>146</v>
      </c>
      <c r="I383" s="2" t="s">
        <v>146</v>
      </c>
      <c r="J383" s="2" t="s">
        <v>146</v>
      </c>
      <c r="K383" s="2" t="s">
        <v>146</v>
      </c>
      <c r="L383" s="2" t="s">
        <v>146</v>
      </c>
      <c r="M383" s="2" t="s">
        <v>49</v>
      </c>
      <c r="N383" s="2">
        <v>16.004999999999999</v>
      </c>
      <c r="O383" s="2" t="s">
        <v>146</v>
      </c>
      <c r="P383" s="2">
        <v>8.99</v>
      </c>
      <c r="Q383" s="2" t="s">
        <v>146</v>
      </c>
      <c r="R383" s="2" t="s">
        <v>146</v>
      </c>
      <c r="S383" s="2" t="s">
        <v>146</v>
      </c>
      <c r="T383" s="2" t="s">
        <v>146</v>
      </c>
      <c r="U383" s="2" t="s">
        <v>146</v>
      </c>
      <c r="V383" s="2" t="s">
        <v>146</v>
      </c>
      <c r="W383" s="2" t="s">
        <v>146</v>
      </c>
      <c r="X383" s="2">
        <v>0</v>
      </c>
      <c r="Y383" s="2" t="s">
        <v>146</v>
      </c>
      <c r="Z383" s="2" t="s">
        <v>146</v>
      </c>
      <c r="AA383" s="2" t="s">
        <v>146</v>
      </c>
      <c r="AB383" s="2" t="s">
        <v>146</v>
      </c>
      <c r="AC383" s="2">
        <v>83.8</v>
      </c>
      <c r="AD383" s="2" t="s">
        <v>146</v>
      </c>
      <c r="AE383" s="2" t="s">
        <v>160</v>
      </c>
      <c r="AF383" s="2">
        <v>37.299999999999997</v>
      </c>
      <c r="AG383" s="2" t="s">
        <v>146</v>
      </c>
      <c r="AH383" s="2">
        <v>3.448</v>
      </c>
      <c r="AI383" s="2" t="s">
        <v>146</v>
      </c>
      <c r="AJ383" s="2" t="s">
        <v>146</v>
      </c>
      <c r="AK383" s="2" t="s">
        <v>146</v>
      </c>
      <c r="AL383" s="2" t="s">
        <v>146</v>
      </c>
      <c r="AM383" s="2" t="s">
        <v>146</v>
      </c>
      <c r="AN383" s="2" t="s">
        <v>49</v>
      </c>
      <c r="AO383" s="2">
        <v>100</v>
      </c>
      <c r="AP383" s="2">
        <v>0</v>
      </c>
      <c r="AQ383" s="2">
        <v>0</v>
      </c>
      <c r="AR383" s="2">
        <v>0</v>
      </c>
      <c r="AV383" s="2">
        <f t="shared" si="50"/>
        <v>116.39299999999999</v>
      </c>
      <c r="AW383" s="2">
        <f t="shared" si="51"/>
        <v>102.41200000000001</v>
      </c>
      <c r="AX383" s="27">
        <f t="shared" si="52"/>
        <v>0.87988109250556323</v>
      </c>
      <c r="BA383" s="2">
        <f t="shared" si="53"/>
        <v>3.448</v>
      </c>
      <c r="BB383" s="2">
        <f t="shared" si="54"/>
        <v>3.448</v>
      </c>
      <c r="BC383" s="2">
        <f t="shared" si="55"/>
        <v>0</v>
      </c>
      <c r="BD383" s="2">
        <f t="shared" si="56"/>
        <v>0</v>
      </c>
      <c r="BE383" s="2">
        <f t="shared" si="57"/>
        <v>0</v>
      </c>
      <c r="BF383" s="2">
        <f t="shared" si="58"/>
        <v>0</v>
      </c>
      <c r="BJ383" s="2" t="str">
        <f t="shared" si="59"/>
        <v/>
      </c>
    </row>
    <row r="384" spans="1:62" ht="15" customHeight="1" x14ac:dyDescent="0.45">
      <c r="A384" s="2" t="s">
        <v>182</v>
      </c>
      <c r="B384" s="2" t="s">
        <v>185</v>
      </c>
      <c r="C384" s="2">
        <v>2019</v>
      </c>
      <c r="D384" s="2">
        <v>112.3</v>
      </c>
      <c r="E384" s="2">
        <v>132.19999999999999</v>
      </c>
      <c r="F384" s="2" t="s">
        <v>146</v>
      </c>
      <c r="G384" s="2" t="s">
        <v>146</v>
      </c>
      <c r="H384" s="2" t="s">
        <v>146</v>
      </c>
      <c r="I384" s="2" t="s">
        <v>146</v>
      </c>
      <c r="J384" s="2" t="s">
        <v>146</v>
      </c>
      <c r="K384" s="2" t="s">
        <v>146</v>
      </c>
      <c r="L384" s="2" t="s">
        <v>146</v>
      </c>
      <c r="M384" s="2" t="s">
        <v>49</v>
      </c>
      <c r="N384" s="2" t="s">
        <v>146</v>
      </c>
      <c r="O384" s="2" t="s">
        <v>146</v>
      </c>
      <c r="P384" s="2" t="s">
        <v>146</v>
      </c>
      <c r="Q384" s="2" t="s">
        <v>146</v>
      </c>
      <c r="R384" s="2" t="s">
        <v>146</v>
      </c>
      <c r="S384" s="2">
        <v>74.7</v>
      </c>
      <c r="T384" s="2" t="s">
        <v>147</v>
      </c>
      <c r="U384" s="2">
        <v>41.7</v>
      </c>
      <c r="V384" s="2" t="s">
        <v>146</v>
      </c>
      <c r="W384" s="2" t="s">
        <v>146</v>
      </c>
      <c r="X384" s="2" t="s">
        <v>146</v>
      </c>
      <c r="Y384" s="2" t="s">
        <v>146</v>
      </c>
      <c r="Z384" s="2">
        <v>5.2</v>
      </c>
      <c r="AA384" s="2" t="s">
        <v>146</v>
      </c>
      <c r="AB384" s="2" t="s">
        <v>146</v>
      </c>
      <c r="AC384" s="2" t="s">
        <v>146</v>
      </c>
      <c r="AD384" s="2" t="s">
        <v>146</v>
      </c>
      <c r="AE384" s="2" t="s">
        <v>146</v>
      </c>
      <c r="AF384" s="2" t="s">
        <v>146</v>
      </c>
      <c r="AG384" s="2" t="s">
        <v>146</v>
      </c>
      <c r="AH384" s="2">
        <v>10.6</v>
      </c>
      <c r="AI384" s="2" t="s">
        <v>146</v>
      </c>
      <c r="AJ384" s="2" t="s">
        <v>146</v>
      </c>
      <c r="AK384" s="2" t="s">
        <v>146</v>
      </c>
      <c r="AL384" s="2" t="s">
        <v>146</v>
      </c>
      <c r="AM384" s="2" t="s">
        <v>146</v>
      </c>
      <c r="AN384" s="2" t="s">
        <v>49</v>
      </c>
      <c r="AO384" s="2">
        <v>100</v>
      </c>
      <c r="AP384" s="2" t="s">
        <v>146</v>
      </c>
      <c r="AQ384" s="2" t="s">
        <v>146</v>
      </c>
      <c r="AR384" s="2" t="s">
        <v>146</v>
      </c>
      <c r="AV384" s="2">
        <f t="shared" si="50"/>
        <v>132.20000000000002</v>
      </c>
      <c r="AW384" s="2">
        <f t="shared" si="51"/>
        <v>112.3</v>
      </c>
      <c r="AX384" s="27">
        <f t="shared" si="52"/>
        <v>0.84947049924357021</v>
      </c>
      <c r="BA384" s="2">
        <f t="shared" si="53"/>
        <v>10.6</v>
      </c>
      <c r="BB384" s="2">
        <f t="shared" si="54"/>
        <v>10.6</v>
      </c>
      <c r="BC384" s="2">
        <f t="shared" si="55"/>
        <v>0</v>
      </c>
      <c r="BD384" s="2">
        <f t="shared" si="56"/>
        <v>0</v>
      </c>
      <c r="BE384" s="2">
        <f t="shared" si="57"/>
        <v>0</v>
      </c>
      <c r="BF384" s="2">
        <f t="shared" si="58"/>
        <v>0</v>
      </c>
      <c r="BJ384" s="2" t="str">
        <f t="shared" si="59"/>
        <v/>
      </c>
    </row>
    <row r="385" spans="1:62" ht="15" customHeight="1" x14ac:dyDescent="0.45">
      <c r="A385" s="2" t="s">
        <v>182</v>
      </c>
      <c r="B385" s="2" t="s">
        <v>184</v>
      </c>
      <c r="C385" s="2">
        <v>2019</v>
      </c>
      <c r="D385" s="2" t="s">
        <v>49</v>
      </c>
      <c r="E385" s="2" t="s">
        <v>49</v>
      </c>
      <c r="F385" s="2" t="s">
        <v>49</v>
      </c>
      <c r="G385" s="2" t="s">
        <v>49</v>
      </c>
      <c r="H385" s="2" t="s">
        <v>49</v>
      </c>
      <c r="I385" s="2" t="s">
        <v>49</v>
      </c>
      <c r="J385" s="2" t="s">
        <v>49</v>
      </c>
      <c r="K385" s="2" t="s">
        <v>49</v>
      </c>
      <c r="L385" s="2" t="s">
        <v>49</v>
      </c>
      <c r="M385" s="2" t="s">
        <v>49</v>
      </c>
      <c r="N385" s="2" t="s">
        <v>49</v>
      </c>
      <c r="O385" s="2" t="s">
        <v>49</v>
      </c>
      <c r="P385" s="2" t="s">
        <v>49</v>
      </c>
      <c r="Q385" s="2" t="s">
        <v>49</v>
      </c>
      <c r="R385" s="2" t="s">
        <v>49</v>
      </c>
      <c r="S385" s="2" t="s">
        <v>49</v>
      </c>
      <c r="T385" s="2" t="s">
        <v>49</v>
      </c>
      <c r="U385" s="2" t="s">
        <v>49</v>
      </c>
      <c r="V385" s="2" t="s">
        <v>49</v>
      </c>
      <c r="W385" s="2" t="s">
        <v>49</v>
      </c>
      <c r="X385" s="2" t="s">
        <v>49</v>
      </c>
      <c r="Y385" s="2" t="s">
        <v>49</v>
      </c>
      <c r="Z385" s="2" t="s">
        <v>49</v>
      </c>
      <c r="AA385" s="2" t="s">
        <v>49</v>
      </c>
      <c r="AB385" s="2" t="s">
        <v>49</v>
      </c>
      <c r="AC385" s="2" t="s">
        <v>49</v>
      </c>
      <c r="AD385" s="2" t="s">
        <v>49</v>
      </c>
      <c r="AE385" s="2" t="s">
        <v>49</v>
      </c>
      <c r="AF385" s="2" t="s">
        <v>49</v>
      </c>
      <c r="AG385" s="2" t="s">
        <v>49</v>
      </c>
      <c r="AH385" s="2" t="s">
        <v>49</v>
      </c>
      <c r="AI385" s="2" t="s">
        <v>49</v>
      </c>
      <c r="AJ385" s="2" t="s">
        <v>49</v>
      </c>
      <c r="AK385" s="2" t="s">
        <v>49</v>
      </c>
      <c r="AL385" s="2" t="s">
        <v>49</v>
      </c>
      <c r="AM385" s="2" t="s">
        <v>49</v>
      </c>
      <c r="AN385" s="2" t="s">
        <v>49</v>
      </c>
      <c r="AO385" s="2" t="s">
        <v>49</v>
      </c>
      <c r="AP385" s="2" t="s">
        <v>49</v>
      </c>
      <c r="AQ385" s="2" t="s">
        <v>49</v>
      </c>
      <c r="AR385" s="2" t="s">
        <v>49</v>
      </c>
      <c r="AV385" s="2">
        <f t="shared" si="50"/>
        <v>0</v>
      </c>
      <c r="AW385" s="2">
        <f t="shared" si="51"/>
        <v>0</v>
      </c>
      <c r="AX385" s="27" t="str">
        <f t="shared" si="52"/>
        <v/>
      </c>
      <c r="BA385" s="2">
        <f t="shared" si="53"/>
        <v>0</v>
      </c>
      <c r="BB385" s="2">
        <f t="shared" si="54"/>
        <v>0</v>
      </c>
      <c r="BC385" s="2">
        <f t="shared" si="55"/>
        <v>0</v>
      </c>
      <c r="BD385" s="2">
        <f t="shared" si="56"/>
        <v>0</v>
      </c>
      <c r="BE385" s="2">
        <f t="shared" si="57"/>
        <v>0</v>
      </c>
      <c r="BF385" s="2">
        <f t="shared" si="58"/>
        <v>0</v>
      </c>
      <c r="BJ385" s="2" t="str">
        <f t="shared" si="59"/>
        <v/>
      </c>
    </row>
    <row r="386" spans="1:62" ht="15" customHeight="1" x14ac:dyDescent="0.45">
      <c r="A386" s="2" t="s">
        <v>182</v>
      </c>
      <c r="B386" s="2" t="s">
        <v>183</v>
      </c>
      <c r="C386" s="2">
        <v>2019</v>
      </c>
      <c r="D386" s="2" t="s">
        <v>49</v>
      </c>
      <c r="E386" s="2" t="s">
        <v>49</v>
      </c>
      <c r="F386" s="2" t="s">
        <v>49</v>
      </c>
      <c r="G386" s="2" t="s">
        <v>49</v>
      </c>
      <c r="H386" s="2" t="s">
        <v>49</v>
      </c>
      <c r="I386" s="2" t="s">
        <v>49</v>
      </c>
      <c r="J386" s="2" t="s">
        <v>49</v>
      </c>
      <c r="K386" s="2" t="s">
        <v>49</v>
      </c>
      <c r="L386" s="2" t="s">
        <v>49</v>
      </c>
      <c r="M386" s="2" t="s">
        <v>49</v>
      </c>
      <c r="N386" s="2" t="s">
        <v>49</v>
      </c>
      <c r="O386" s="2" t="s">
        <v>49</v>
      </c>
      <c r="P386" s="2" t="s">
        <v>49</v>
      </c>
      <c r="Q386" s="2" t="s">
        <v>49</v>
      </c>
      <c r="R386" s="2" t="s">
        <v>49</v>
      </c>
      <c r="S386" s="2" t="s">
        <v>49</v>
      </c>
      <c r="T386" s="2" t="s">
        <v>49</v>
      </c>
      <c r="U386" s="2" t="s">
        <v>49</v>
      </c>
      <c r="V386" s="2" t="s">
        <v>49</v>
      </c>
      <c r="W386" s="2" t="s">
        <v>49</v>
      </c>
      <c r="X386" s="2" t="s">
        <v>49</v>
      </c>
      <c r="Y386" s="2" t="s">
        <v>49</v>
      </c>
      <c r="Z386" s="2" t="s">
        <v>49</v>
      </c>
      <c r="AA386" s="2" t="s">
        <v>49</v>
      </c>
      <c r="AB386" s="2" t="s">
        <v>49</v>
      </c>
      <c r="AC386" s="2" t="s">
        <v>49</v>
      </c>
      <c r="AD386" s="2" t="s">
        <v>49</v>
      </c>
      <c r="AE386" s="2" t="s">
        <v>49</v>
      </c>
      <c r="AF386" s="2" t="s">
        <v>49</v>
      </c>
      <c r="AG386" s="2" t="s">
        <v>49</v>
      </c>
      <c r="AH386" s="2" t="s">
        <v>49</v>
      </c>
      <c r="AI386" s="2" t="s">
        <v>49</v>
      </c>
      <c r="AJ386" s="2" t="s">
        <v>49</v>
      </c>
      <c r="AK386" s="2" t="s">
        <v>49</v>
      </c>
      <c r="AL386" s="2" t="s">
        <v>49</v>
      </c>
      <c r="AM386" s="2" t="s">
        <v>49</v>
      </c>
      <c r="AN386" s="2" t="s">
        <v>49</v>
      </c>
      <c r="AO386" s="2" t="s">
        <v>49</v>
      </c>
      <c r="AP386" s="2" t="s">
        <v>49</v>
      </c>
      <c r="AQ386" s="2" t="s">
        <v>49</v>
      </c>
      <c r="AR386" s="2" t="s">
        <v>49</v>
      </c>
      <c r="AV386" s="2">
        <f t="shared" si="50"/>
        <v>0</v>
      </c>
      <c r="AW386" s="2">
        <f t="shared" si="51"/>
        <v>0</v>
      </c>
      <c r="AX386" s="27" t="str">
        <f t="shared" si="52"/>
        <v/>
      </c>
      <c r="BA386" s="2">
        <f t="shared" si="53"/>
        <v>0</v>
      </c>
      <c r="BB386" s="2">
        <f t="shared" si="54"/>
        <v>0</v>
      </c>
      <c r="BC386" s="2">
        <f t="shared" si="55"/>
        <v>0</v>
      </c>
      <c r="BD386" s="2">
        <f t="shared" si="56"/>
        <v>0</v>
      </c>
      <c r="BE386" s="2">
        <f t="shared" si="57"/>
        <v>0</v>
      </c>
      <c r="BF386" s="2">
        <f t="shared" si="58"/>
        <v>0</v>
      </c>
      <c r="BJ386" s="2" t="str">
        <f t="shared" si="59"/>
        <v/>
      </c>
    </row>
    <row r="387" spans="1:62" ht="15" customHeight="1" x14ac:dyDescent="0.45">
      <c r="A387" s="2" t="s">
        <v>182</v>
      </c>
      <c r="B387" s="2" t="s">
        <v>181</v>
      </c>
      <c r="C387" s="2">
        <v>2019</v>
      </c>
      <c r="D387" s="2" t="s">
        <v>49</v>
      </c>
      <c r="E387" s="2" t="s">
        <v>49</v>
      </c>
      <c r="F387" s="2" t="s">
        <v>49</v>
      </c>
      <c r="G387" s="2" t="s">
        <v>49</v>
      </c>
      <c r="H387" s="2" t="s">
        <v>49</v>
      </c>
      <c r="I387" s="2" t="s">
        <v>49</v>
      </c>
      <c r="J387" s="2" t="s">
        <v>49</v>
      </c>
      <c r="K387" s="2" t="s">
        <v>49</v>
      </c>
      <c r="L387" s="2" t="s">
        <v>49</v>
      </c>
      <c r="M387" s="2" t="s">
        <v>49</v>
      </c>
      <c r="N387" s="2" t="s">
        <v>49</v>
      </c>
      <c r="O387" s="2" t="s">
        <v>49</v>
      </c>
      <c r="P387" s="2" t="s">
        <v>49</v>
      </c>
      <c r="Q387" s="2" t="s">
        <v>49</v>
      </c>
      <c r="R387" s="2" t="s">
        <v>49</v>
      </c>
      <c r="S387" s="2" t="s">
        <v>49</v>
      </c>
      <c r="T387" s="2" t="s">
        <v>49</v>
      </c>
      <c r="U387" s="2" t="s">
        <v>49</v>
      </c>
      <c r="V387" s="2" t="s">
        <v>49</v>
      </c>
      <c r="W387" s="2" t="s">
        <v>49</v>
      </c>
      <c r="X387" s="2" t="s">
        <v>49</v>
      </c>
      <c r="Y387" s="2" t="s">
        <v>49</v>
      </c>
      <c r="Z387" s="2" t="s">
        <v>49</v>
      </c>
      <c r="AA387" s="2" t="s">
        <v>49</v>
      </c>
      <c r="AB387" s="2" t="s">
        <v>49</v>
      </c>
      <c r="AC387" s="2" t="s">
        <v>49</v>
      </c>
      <c r="AD387" s="2" t="s">
        <v>49</v>
      </c>
      <c r="AE387" s="2" t="s">
        <v>49</v>
      </c>
      <c r="AF387" s="2" t="s">
        <v>49</v>
      </c>
      <c r="AG387" s="2" t="s">
        <v>49</v>
      </c>
      <c r="AH387" s="2" t="s">
        <v>49</v>
      </c>
      <c r="AI387" s="2" t="s">
        <v>49</v>
      </c>
      <c r="AJ387" s="2" t="s">
        <v>49</v>
      </c>
      <c r="AK387" s="2" t="s">
        <v>49</v>
      </c>
      <c r="AL387" s="2" t="s">
        <v>49</v>
      </c>
      <c r="AM387" s="2" t="s">
        <v>49</v>
      </c>
      <c r="AN387" s="2" t="s">
        <v>49</v>
      </c>
      <c r="AO387" s="2" t="s">
        <v>49</v>
      </c>
      <c r="AP387" s="2" t="s">
        <v>49</v>
      </c>
      <c r="AQ387" s="2" t="s">
        <v>49</v>
      </c>
      <c r="AR387" s="2" t="s">
        <v>49</v>
      </c>
      <c r="AV387" s="2">
        <f t="shared" ref="AV387:AV409" si="60">SUMPRODUCT(F387:AC387)+SUMPRODUCT(AG387:AI387)+IFERROR(AL387/1,0)</f>
        <v>0</v>
      </c>
      <c r="AW387" s="2">
        <f t="shared" ref="AW387:AW409" si="61">IFERROR(D387/1,0)</f>
        <v>0</v>
      </c>
      <c r="AX387" s="27" t="str">
        <f t="shared" ref="AX387:AX409" si="62">IFERROR(AW387/AV387,"")</f>
        <v/>
      </c>
      <c r="BA387" s="2">
        <f t="shared" ref="BA387:BA409" si="63">IFERROR(AH387/1,0)</f>
        <v>0</v>
      </c>
      <c r="BB387" s="2">
        <f t="shared" ref="BB387:BB409" si="64">IFERROR(AO387/100,0)*$BA387</f>
        <v>0</v>
      </c>
      <c r="BC387" s="2">
        <f t="shared" ref="BC387:BC409" si="65">IFERROR(AP387/100,0)*$BA387</f>
        <v>0</v>
      </c>
      <c r="BD387" s="2">
        <f t="shared" ref="BD387:BD409" si="66">IFERROR(AQ387/100,0)*$BA387</f>
        <v>0</v>
      </c>
      <c r="BE387" s="2">
        <f t="shared" ref="BE387:BE409" si="67">IFERROR(AR387/100,0)*$BA387</f>
        <v>0</v>
      </c>
      <c r="BF387" s="2">
        <f t="shared" ref="BF387:BF409" si="68">MAX(BA387-SUM(BB387:BE387),0)</f>
        <v>0</v>
      </c>
      <c r="BJ387" s="2" t="str">
        <f t="shared" ref="BJ387:BJ409" si="69">IF(AND((IFERROR(AO387/1,0)+IFERROR(AP387/1,0)+IFERROR(AQ387/1,0)+IFERROR(AR387/1,0))&gt;0,OR(TYPE(AH387)&lt;&gt;1,AH387=0)),"ja","")</f>
        <v/>
      </c>
    </row>
    <row r="388" spans="1:62" ht="15" customHeight="1" x14ac:dyDescent="0.45">
      <c r="A388" s="2" t="s">
        <v>175</v>
      </c>
      <c r="B388" s="2" t="s">
        <v>180</v>
      </c>
      <c r="C388" s="2">
        <v>2019</v>
      </c>
      <c r="D388" s="2">
        <v>15.946999999999999</v>
      </c>
      <c r="E388" s="2">
        <v>18.437000000000001</v>
      </c>
      <c r="F388" s="2" t="s">
        <v>146</v>
      </c>
      <c r="G388" s="2" t="s">
        <v>146</v>
      </c>
      <c r="H388" s="2" t="s">
        <v>146</v>
      </c>
      <c r="I388" s="2" t="s">
        <v>146</v>
      </c>
      <c r="J388" s="2" t="s">
        <v>146</v>
      </c>
      <c r="K388" s="2" t="s">
        <v>146</v>
      </c>
      <c r="L388" s="2" t="s">
        <v>146</v>
      </c>
      <c r="M388" s="2" t="s">
        <v>176</v>
      </c>
      <c r="N388" s="2" t="s">
        <v>146</v>
      </c>
      <c r="O388" s="2" t="s">
        <v>146</v>
      </c>
      <c r="P388" s="2">
        <v>13.518000000000001</v>
      </c>
      <c r="Q388" s="2" t="s">
        <v>146</v>
      </c>
      <c r="R388" s="2" t="s">
        <v>146</v>
      </c>
      <c r="S388" s="2" t="s">
        <v>146</v>
      </c>
      <c r="T388" s="2" t="s">
        <v>146</v>
      </c>
      <c r="U388" s="2">
        <v>4.0330000000000004</v>
      </c>
      <c r="V388" s="2" t="s">
        <v>146</v>
      </c>
      <c r="W388" s="2" t="s">
        <v>146</v>
      </c>
      <c r="X388" s="2" t="s">
        <v>146</v>
      </c>
      <c r="Y388" s="2" t="s">
        <v>146</v>
      </c>
      <c r="Z388" s="2">
        <v>0.88600000000000001</v>
      </c>
      <c r="AA388" s="2" t="s">
        <v>146</v>
      </c>
      <c r="AB388" s="2" t="s">
        <v>146</v>
      </c>
      <c r="AC388" s="2" t="s">
        <v>146</v>
      </c>
      <c r="AD388" s="2" t="s">
        <v>146</v>
      </c>
      <c r="AE388" s="2" t="s">
        <v>146</v>
      </c>
      <c r="AF388" s="2" t="s">
        <v>146</v>
      </c>
      <c r="AG388" s="2" t="s">
        <v>146</v>
      </c>
      <c r="AH388" s="2" t="s">
        <v>146</v>
      </c>
      <c r="AI388" s="2" t="s">
        <v>146</v>
      </c>
      <c r="AJ388" s="2" t="s">
        <v>146</v>
      </c>
      <c r="AK388" s="2" t="s">
        <v>146</v>
      </c>
      <c r="AL388" s="2" t="s">
        <v>146</v>
      </c>
      <c r="AM388" s="2" t="s">
        <v>146</v>
      </c>
      <c r="AN388" s="2" t="s">
        <v>176</v>
      </c>
      <c r="AO388" s="2" t="s">
        <v>146</v>
      </c>
      <c r="AP388" s="2" t="s">
        <v>146</v>
      </c>
      <c r="AQ388" s="2" t="s">
        <v>146</v>
      </c>
      <c r="AR388" s="2" t="s">
        <v>146</v>
      </c>
      <c r="AV388" s="2">
        <f t="shared" si="60"/>
        <v>18.437000000000001</v>
      </c>
      <c r="AW388" s="2">
        <f t="shared" si="61"/>
        <v>15.946999999999999</v>
      </c>
      <c r="AX388" s="27">
        <f t="shared" si="62"/>
        <v>0.86494549004718757</v>
      </c>
      <c r="BA388" s="2">
        <f t="shared" si="63"/>
        <v>0</v>
      </c>
      <c r="BB388" s="2">
        <f t="shared" si="64"/>
        <v>0</v>
      </c>
      <c r="BC388" s="2">
        <f t="shared" si="65"/>
        <v>0</v>
      </c>
      <c r="BD388" s="2">
        <f t="shared" si="66"/>
        <v>0</v>
      </c>
      <c r="BE388" s="2">
        <f t="shared" si="67"/>
        <v>0</v>
      </c>
      <c r="BF388" s="2">
        <f t="shared" si="68"/>
        <v>0</v>
      </c>
      <c r="BJ388" s="2" t="str">
        <f t="shared" si="69"/>
        <v/>
      </c>
    </row>
    <row r="389" spans="1:62" ht="15" customHeight="1" x14ac:dyDescent="0.45">
      <c r="A389" s="2" t="s">
        <v>175</v>
      </c>
      <c r="B389" s="2" t="s">
        <v>179</v>
      </c>
      <c r="C389" s="2">
        <v>2019</v>
      </c>
      <c r="D389" s="2">
        <v>9.8989999999999991</v>
      </c>
      <c r="E389" s="2">
        <v>11.183</v>
      </c>
      <c r="F389" s="2" t="s">
        <v>146</v>
      </c>
      <c r="G389" s="2" t="s">
        <v>146</v>
      </c>
      <c r="H389" s="2" t="s">
        <v>146</v>
      </c>
      <c r="I389" s="2" t="s">
        <v>146</v>
      </c>
      <c r="J389" s="2" t="s">
        <v>146</v>
      </c>
      <c r="K389" s="2" t="s">
        <v>146</v>
      </c>
      <c r="L389" s="2" t="s">
        <v>146</v>
      </c>
      <c r="M389" s="2" t="s">
        <v>176</v>
      </c>
      <c r="N389" s="2" t="s">
        <v>146</v>
      </c>
      <c r="O389" s="2" t="s">
        <v>146</v>
      </c>
      <c r="P389" s="2">
        <v>6.8650000000000002</v>
      </c>
      <c r="Q389" s="2" t="s">
        <v>146</v>
      </c>
      <c r="R389" s="2" t="s">
        <v>146</v>
      </c>
      <c r="S389" s="2" t="s">
        <v>146</v>
      </c>
      <c r="T389" s="2" t="s">
        <v>146</v>
      </c>
      <c r="U389" s="2">
        <v>3.3380000000000001</v>
      </c>
      <c r="V389" s="2" t="s">
        <v>146</v>
      </c>
      <c r="W389" s="2" t="s">
        <v>146</v>
      </c>
      <c r="X389" s="2" t="s">
        <v>146</v>
      </c>
      <c r="Y389" s="2" t="s">
        <v>146</v>
      </c>
      <c r="Z389" s="2">
        <v>0.98</v>
      </c>
      <c r="AA389" s="2" t="s">
        <v>146</v>
      </c>
      <c r="AB389" s="2" t="s">
        <v>146</v>
      </c>
      <c r="AC389" s="2" t="s">
        <v>146</v>
      </c>
      <c r="AD389" s="2" t="s">
        <v>146</v>
      </c>
      <c r="AE389" s="2" t="s">
        <v>146</v>
      </c>
      <c r="AF389" s="2" t="s">
        <v>146</v>
      </c>
      <c r="AG389" s="2" t="s">
        <v>146</v>
      </c>
      <c r="AH389" s="2" t="s">
        <v>146</v>
      </c>
      <c r="AI389" s="2" t="s">
        <v>146</v>
      </c>
      <c r="AJ389" s="2" t="s">
        <v>146</v>
      </c>
      <c r="AK389" s="2" t="s">
        <v>146</v>
      </c>
      <c r="AL389" s="2" t="s">
        <v>146</v>
      </c>
      <c r="AM389" s="2" t="s">
        <v>146</v>
      </c>
      <c r="AN389" s="2" t="s">
        <v>176</v>
      </c>
      <c r="AO389" s="2" t="s">
        <v>146</v>
      </c>
      <c r="AP389" s="2" t="s">
        <v>146</v>
      </c>
      <c r="AQ389" s="2" t="s">
        <v>146</v>
      </c>
      <c r="AR389" s="2" t="s">
        <v>146</v>
      </c>
      <c r="AV389" s="2">
        <f t="shared" si="60"/>
        <v>11.183</v>
      </c>
      <c r="AW389" s="2">
        <f t="shared" si="61"/>
        <v>9.8989999999999991</v>
      </c>
      <c r="AX389" s="27">
        <f t="shared" si="62"/>
        <v>0.88518286685147096</v>
      </c>
      <c r="BA389" s="2">
        <f t="shared" si="63"/>
        <v>0</v>
      </c>
      <c r="BB389" s="2">
        <f t="shared" si="64"/>
        <v>0</v>
      </c>
      <c r="BC389" s="2">
        <f t="shared" si="65"/>
        <v>0</v>
      </c>
      <c r="BD389" s="2">
        <f t="shared" si="66"/>
        <v>0</v>
      </c>
      <c r="BE389" s="2">
        <f t="shared" si="67"/>
        <v>0</v>
      </c>
      <c r="BF389" s="2">
        <f t="shared" si="68"/>
        <v>0</v>
      </c>
      <c r="BJ389" s="2" t="str">
        <f t="shared" si="69"/>
        <v/>
      </c>
    </row>
    <row r="390" spans="1:62" ht="15" customHeight="1" x14ac:dyDescent="0.45">
      <c r="A390" s="2" t="s">
        <v>175</v>
      </c>
      <c r="B390" s="2" t="s">
        <v>178</v>
      </c>
      <c r="C390" s="2">
        <v>2019</v>
      </c>
      <c r="D390" s="2">
        <v>12.576000000000001</v>
      </c>
      <c r="E390" s="2">
        <v>14.082000000000001</v>
      </c>
      <c r="F390" s="2" t="s">
        <v>146</v>
      </c>
      <c r="G390" s="2" t="s">
        <v>146</v>
      </c>
      <c r="H390" s="2" t="s">
        <v>146</v>
      </c>
      <c r="I390" s="2" t="s">
        <v>146</v>
      </c>
      <c r="J390" s="2" t="s">
        <v>146</v>
      </c>
      <c r="K390" s="2" t="s">
        <v>146</v>
      </c>
      <c r="L390" s="2" t="s">
        <v>146</v>
      </c>
      <c r="M390" s="2" t="s">
        <v>176</v>
      </c>
      <c r="N390" s="2" t="s">
        <v>146</v>
      </c>
      <c r="O390" s="2" t="s">
        <v>146</v>
      </c>
      <c r="P390" s="2">
        <v>13.128</v>
      </c>
      <c r="Q390" s="2" t="s">
        <v>146</v>
      </c>
      <c r="R390" s="2" t="s">
        <v>146</v>
      </c>
      <c r="S390" s="2" t="s">
        <v>146</v>
      </c>
      <c r="T390" s="2" t="s">
        <v>146</v>
      </c>
      <c r="U390" s="2" t="s">
        <v>146</v>
      </c>
      <c r="V390" s="2" t="s">
        <v>146</v>
      </c>
      <c r="W390" s="2" t="s">
        <v>146</v>
      </c>
      <c r="X390" s="2" t="s">
        <v>146</v>
      </c>
      <c r="Y390" s="2" t="s">
        <v>146</v>
      </c>
      <c r="Z390" s="2">
        <v>0.95399999999999996</v>
      </c>
      <c r="AA390" s="2" t="s">
        <v>146</v>
      </c>
      <c r="AB390" s="2" t="s">
        <v>146</v>
      </c>
      <c r="AC390" s="2" t="s">
        <v>146</v>
      </c>
      <c r="AD390" s="2" t="s">
        <v>146</v>
      </c>
      <c r="AE390" s="2" t="s">
        <v>146</v>
      </c>
      <c r="AF390" s="2" t="s">
        <v>146</v>
      </c>
      <c r="AG390" s="2" t="s">
        <v>146</v>
      </c>
      <c r="AH390" s="2" t="s">
        <v>146</v>
      </c>
      <c r="AI390" s="2" t="s">
        <v>146</v>
      </c>
      <c r="AJ390" s="2" t="s">
        <v>146</v>
      </c>
      <c r="AK390" s="2" t="s">
        <v>146</v>
      </c>
      <c r="AL390" s="2" t="s">
        <v>146</v>
      </c>
      <c r="AM390" s="2" t="s">
        <v>146</v>
      </c>
      <c r="AN390" s="2" t="s">
        <v>176</v>
      </c>
      <c r="AO390" s="2" t="s">
        <v>146</v>
      </c>
      <c r="AP390" s="2" t="s">
        <v>146</v>
      </c>
      <c r="AQ390" s="2" t="s">
        <v>146</v>
      </c>
      <c r="AR390" s="2" t="s">
        <v>146</v>
      </c>
      <c r="AV390" s="2">
        <f t="shared" si="60"/>
        <v>14.082000000000001</v>
      </c>
      <c r="AW390" s="2">
        <f t="shared" si="61"/>
        <v>12.576000000000001</v>
      </c>
      <c r="AX390" s="27">
        <f t="shared" si="62"/>
        <v>0.89305496378355342</v>
      </c>
      <c r="BA390" s="2">
        <f t="shared" si="63"/>
        <v>0</v>
      </c>
      <c r="BB390" s="2">
        <f t="shared" si="64"/>
        <v>0</v>
      </c>
      <c r="BC390" s="2">
        <f t="shared" si="65"/>
        <v>0</v>
      </c>
      <c r="BD390" s="2">
        <f t="shared" si="66"/>
        <v>0</v>
      </c>
      <c r="BE390" s="2">
        <f t="shared" si="67"/>
        <v>0</v>
      </c>
      <c r="BF390" s="2">
        <f t="shared" si="68"/>
        <v>0</v>
      </c>
      <c r="BJ390" s="2" t="str">
        <f t="shared" si="69"/>
        <v/>
      </c>
    </row>
    <row r="391" spans="1:62" ht="15" customHeight="1" x14ac:dyDescent="0.45">
      <c r="A391" s="2" t="s">
        <v>175</v>
      </c>
      <c r="B391" s="2" t="s">
        <v>177</v>
      </c>
      <c r="C391" s="2">
        <v>2019</v>
      </c>
      <c r="D391" s="2">
        <v>15.423</v>
      </c>
      <c r="E391" s="2">
        <v>12.7</v>
      </c>
      <c r="F391" s="2" t="s">
        <v>146</v>
      </c>
      <c r="G391" s="2" t="s">
        <v>146</v>
      </c>
      <c r="H391" s="2" t="s">
        <v>146</v>
      </c>
      <c r="I391" s="2" t="s">
        <v>146</v>
      </c>
      <c r="J391" s="2" t="s">
        <v>146</v>
      </c>
      <c r="K391" s="2" t="s">
        <v>146</v>
      </c>
      <c r="L391" s="2" t="s">
        <v>146</v>
      </c>
      <c r="M391" s="2" t="s">
        <v>176</v>
      </c>
      <c r="N391" s="2" t="s">
        <v>146</v>
      </c>
      <c r="O391" s="2" t="s">
        <v>146</v>
      </c>
      <c r="P391" s="2">
        <v>12.7</v>
      </c>
      <c r="Q391" s="2" t="s">
        <v>146</v>
      </c>
      <c r="R391" s="2" t="s">
        <v>146</v>
      </c>
      <c r="S391" s="2" t="s">
        <v>146</v>
      </c>
      <c r="T391" s="2" t="s">
        <v>146</v>
      </c>
      <c r="U391" s="2" t="s">
        <v>146</v>
      </c>
      <c r="V391" s="2" t="s">
        <v>146</v>
      </c>
      <c r="W391" s="2" t="s">
        <v>146</v>
      </c>
      <c r="X391" s="2" t="s">
        <v>146</v>
      </c>
      <c r="Y391" s="2" t="s">
        <v>146</v>
      </c>
      <c r="Z391" s="2" t="s">
        <v>146</v>
      </c>
      <c r="AA391" s="2" t="s">
        <v>146</v>
      </c>
      <c r="AB391" s="2" t="s">
        <v>146</v>
      </c>
      <c r="AC391" s="2" t="s">
        <v>146</v>
      </c>
      <c r="AD391" s="2" t="s">
        <v>146</v>
      </c>
      <c r="AE391" s="2" t="s">
        <v>146</v>
      </c>
      <c r="AF391" s="2" t="s">
        <v>146</v>
      </c>
      <c r="AG391" s="2" t="s">
        <v>146</v>
      </c>
      <c r="AH391" s="2" t="s">
        <v>146</v>
      </c>
      <c r="AI391" s="2" t="s">
        <v>146</v>
      </c>
      <c r="AJ391" s="2" t="s">
        <v>146</v>
      </c>
      <c r="AK391" s="2" t="s">
        <v>146</v>
      </c>
      <c r="AL391" s="2" t="s">
        <v>146</v>
      </c>
      <c r="AM391" s="2" t="s">
        <v>146</v>
      </c>
      <c r="AN391" s="2" t="s">
        <v>176</v>
      </c>
      <c r="AO391" s="2" t="s">
        <v>146</v>
      </c>
      <c r="AP391" s="2" t="s">
        <v>146</v>
      </c>
      <c r="AQ391" s="2" t="s">
        <v>146</v>
      </c>
      <c r="AR391" s="2" t="s">
        <v>146</v>
      </c>
      <c r="AV391" s="2">
        <f t="shared" si="60"/>
        <v>12.7</v>
      </c>
      <c r="AW391" s="2">
        <f t="shared" si="61"/>
        <v>15.423</v>
      </c>
      <c r="AX391" s="27">
        <f t="shared" si="62"/>
        <v>1.2144094488188977</v>
      </c>
      <c r="BA391" s="2">
        <f t="shared" si="63"/>
        <v>0</v>
      </c>
      <c r="BB391" s="2">
        <f t="shared" si="64"/>
        <v>0</v>
      </c>
      <c r="BC391" s="2">
        <f t="shared" si="65"/>
        <v>0</v>
      </c>
      <c r="BD391" s="2">
        <f t="shared" si="66"/>
        <v>0</v>
      </c>
      <c r="BE391" s="2">
        <f t="shared" si="67"/>
        <v>0</v>
      </c>
      <c r="BF391" s="2">
        <f t="shared" si="68"/>
        <v>0</v>
      </c>
      <c r="BJ391" s="2" t="str">
        <f t="shared" si="69"/>
        <v/>
      </c>
    </row>
    <row r="392" spans="1:62" ht="15" customHeight="1" x14ac:dyDescent="0.45">
      <c r="A392" s="2" t="s">
        <v>175</v>
      </c>
      <c r="B392" s="2" t="s">
        <v>174</v>
      </c>
      <c r="C392" s="2">
        <v>2019</v>
      </c>
      <c r="D392" s="2">
        <v>24</v>
      </c>
      <c r="E392" s="2">
        <v>26.3</v>
      </c>
      <c r="F392" s="2" t="s">
        <v>146</v>
      </c>
      <c r="G392" s="2">
        <v>0.2</v>
      </c>
      <c r="H392" s="2" t="s">
        <v>146</v>
      </c>
      <c r="I392" s="2">
        <v>0</v>
      </c>
      <c r="J392" s="2" t="s">
        <v>146</v>
      </c>
      <c r="K392" s="2" t="s">
        <v>146</v>
      </c>
      <c r="L392" s="2" t="s">
        <v>146</v>
      </c>
      <c r="M392" s="2" t="s">
        <v>173</v>
      </c>
      <c r="N392" s="2">
        <v>10.8</v>
      </c>
      <c r="O392" s="2" t="s">
        <v>146</v>
      </c>
      <c r="P392" s="2">
        <v>10.8</v>
      </c>
      <c r="Q392" s="2" t="s">
        <v>146</v>
      </c>
      <c r="R392" s="2" t="s">
        <v>146</v>
      </c>
      <c r="S392" s="2" t="s">
        <v>146</v>
      </c>
      <c r="T392" s="2" t="s">
        <v>147</v>
      </c>
      <c r="U392" s="2" t="s">
        <v>146</v>
      </c>
      <c r="V392" s="2" t="s">
        <v>146</v>
      </c>
      <c r="W392" s="2" t="s">
        <v>146</v>
      </c>
      <c r="X392" s="2" t="s">
        <v>146</v>
      </c>
      <c r="Y392" s="2" t="s">
        <v>146</v>
      </c>
      <c r="Z392" s="2">
        <v>0.1</v>
      </c>
      <c r="AA392" s="2" t="s">
        <v>146</v>
      </c>
      <c r="AB392" s="2" t="s">
        <v>146</v>
      </c>
      <c r="AC392" s="2" t="s">
        <v>146</v>
      </c>
      <c r="AD392" s="2" t="s">
        <v>146</v>
      </c>
      <c r="AE392" s="2" t="s">
        <v>146</v>
      </c>
      <c r="AF392" s="2" t="s">
        <v>146</v>
      </c>
      <c r="AG392" s="2" t="s">
        <v>146</v>
      </c>
      <c r="AH392" s="2">
        <v>4.4000000000000004</v>
      </c>
      <c r="AI392" s="2" t="s">
        <v>146</v>
      </c>
      <c r="AJ392" s="2" t="s">
        <v>146</v>
      </c>
      <c r="AK392" s="2" t="s">
        <v>146</v>
      </c>
      <c r="AL392" s="2" t="s">
        <v>146</v>
      </c>
      <c r="AM392" s="2" t="s">
        <v>146</v>
      </c>
      <c r="AN392" s="2" t="s">
        <v>49</v>
      </c>
      <c r="AO392" s="2">
        <v>100</v>
      </c>
      <c r="AP392" s="2" t="s">
        <v>146</v>
      </c>
      <c r="AQ392" s="2" t="s">
        <v>146</v>
      </c>
      <c r="AR392" s="2" t="s">
        <v>146</v>
      </c>
      <c r="AV392" s="2">
        <f t="shared" si="60"/>
        <v>26.300000000000004</v>
      </c>
      <c r="AW392" s="2">
        <f t="shared" si="61"/>
        <v>24</v>
      </c>
      <c r="AX392" s="27">
        <f t="shared" si="62"/>
        <v>0.91254752851711007</v>
      </c>
      <c r="BA392" s="2">
        <f t="shared" si="63"/>
        <v>4.4000000000000004</v>
      </c>
      <c r="BB392" s="2">
        <f t="shared" si="64"/>
        <v>4.4000000000000004</v>
      </c>
      <c r="BC392" s="2">
        <f t="shared" si="65"/>
        <v>0</v>
      </c>
      <c r="BD392" s="2">
        <f t="shared" si="66"/>
        <v>0</v>
      </c>
      <c r="BE392" s="2">
        <f t="shared" si="67"/>
        <v>0</v>
      </c>
      <c r="BF392" s="2">
        <f t="shared" si="68"/>
        <v>0</v>
      </c>
      <c r="BJ392" s="2" t="str">
        <f t="shared" si="69"/>
        <v/>
      </c>
    </row>
    <row r="393" spans="1:62" ht="15" customHeight="1" x14ac:dyDescent="0.45">
      <c r="A393" s="2" t="s">
        <v>172</v>
      </c>
      <c r="B393" s="2" t="s">
        <v>171</v>
      </c>
      <c r="C393" s="2">
        <v>2019</v>
      </c>
      <c r="D393" s="2">
        <v>155.023</v>
      </c>
      <c r="E393" s="2">
        <v>175.506</v>
      </c>
      <c r="F393" s="2">
        <v>0</v>
      </c>
      <c r="G393" s="2">
        <v>1.1910000000000001</v>
      </c>
      <c r="H393" s="2">
        <v>0</v>
      </c>
      <c r="I393" s="2">
        <v>0</v>
      </c>
      <c r="J393" s="2">
        <v>0</v>
      </c>
      <c r="K393" s="2">
        <v>0</v>
      </c>
      <c r="L393" s="2">
        <v>0</v>
      </c>
      <c r="M393" s="2" t="s">
        <v>49</v>
      </c>
      <c r="N393" s="2">
        <v>102.946</v>
      </c>
      <c r="O393" s="2">
        <v>11.938000000000001</v>
      </c>
      <c r="P393" s="2">
        <v>0</v>
      </c>
      <c r="Q393" s="2">
        <v>0</v>
      </c>
      <c r="R393" s="2">
        <v>0</v>
      </c>
      <c r="S393" s="2">
        <v>5.42</v>
      </c>
      <c r="T393" s="2" t="s">
        <v>147</v>
      </c>
      <c r="U393" s="2">
        <v>3.9649999999999999</v>
      </c>
      <c r="V393" s="2">
        <v>0</v>
      </c>
      <c r="W393" s="2">
        <v>0</v>
      </c>
      <c r="X393" s="2">
        <v>19.533999999999999</v>
      </c>
      <c r="Y393" s="2">
        <v>0</v>
      </c>
      <c r="Z393" s="2">
        <v>6.3259999999999996</v>
      </c>
      <c r="AA393" s="2">
        <v>0</v>
      </c>
      <c r="AB393" s="2">
        <v>0</v>
      </c>
      <c r="AC393" s="2">
        <v>0</v>
      </c>
      <c r="AD393" s="2" t="s">
        <v>146</v>
      </c>
      <c r="AE393" s="2" t="s">
        <v>155</v>
      </c>
      <c r="AF393" s="2" t="s">
        <v>146</v>
      </c>
      <c r="AG393" s="2">
        <v>3.1030000000000002</v>
      </c>
      <c r="AH393" s="2">
        <v>21.082999999999998</v>
      </c>
      <c r="AI393" s="2">
        <v>0</v>
      </c>
      <c r="AJ393" s="2" t="s">
        <v>146</v>
      </c>
      <c r="AK393" s="2">
        <v>0</v>
      </c>
      <c r="AL393" s="2">
        <v>0</v>
      </c>
      <c r="AM393" s="2">
        <v>0</v>
      </c>
      <c r="AN393" s="2" t="s">
        <v>49</v>
      </c>
      <c r="AO393" s="2">
        <v>100</v>
      </c>
      <c r="AP393" s="2">
        <v>0</v>
      </c>
      <c r="AQ393" s="2">
        <v>0</v>
      </c>
      <c r="AR393" s="2">
        <v>0</v>
      </c>
      <c r="AV393" s="2">
        <f t="shared" si="60"/>
        <v>175.506</v>
      </c>
      <c r="AW393" s="2">
        <f t="shared" si="61"/>
        <v>155.023</v>
      </c>
      <c r="AX393" s="27">
        <f t="shared" si="62"/>
        <v>0.8832917393137556</v>
      </c>
      <c r="BA393" s="2">
        <f t="shared" si="63"/>
        <v>21.082999999999998</v>
      </c>
      <c r="BB393" s="2">
        <f t="shared" si="64"/>
        <v>21.082999999999998</v>
      </c>
      <c r="BC393" s="2">
        <f t="shared" si="65"/>
        <v>0</v>
      </c>
      <c r="BD393" s="2">
        <f t="shared" si="66"/>
        <v>0</v>
      </c>
      <c r="BE393" s="2">
        <f t="shared" si="67"/>
        <v>0</v>
      </c>
      <c r="BF393" s="2">
        <f t="shared" si="68"/>
        <v>0</v>
      </c>
      <c r="BJ393" s="2" t="str">
        <f t="shared" si="69"/>
        <v/>
      </c>
    </row>
    <row r="394" spans="1:62" ht="15" customHeight="1" x14ac:dyDescent="0.45">
      <c r="A394" s="2" t="s">
        <v>169</v>
      </c>
      <c r="B394" s="2" t="s">
        <v>170</v>
      </c>
      <c r="C394" s="2">
        <v>2019</v>
      </c>
      <c r="D394" s="2">
        <v>7.4</v>
      </c>
      <c r="E394" s="2">
        <v>7.8</v>
      </c>
      <c r="F394" s="2" t="s">
        <v>146</v>
      </c>
      <c r="G394" s="2">
        <v>7.4999999999999997E-2</v>
      </c>
      <c r="H394" s="2" t="s">
        <v>146</v>
      </c>
      <c r="I394" s="2" t="s">
        <v>146</v>
      </c>
      <c r="J394" s="2" t="s">
        <v>146</v>
      </c>
      <c r="K394" s="2" t="s">
        <v>146</v>
      </c>
      <c r="L394" s="2" t="s">
        <v>146</v>
      </c>
      <c r="M394" s="2" t="s">
        <v>49</v>
      </c>
      <c r="N394" s="2" t="s">
        <v>146</v>
      </c>
      <c r="O394" s="2" t="s">
        <v>146</v>
      </c>
      <c r="P394" s="2" t="s">
        <v>146</v>
      </c>
      <c r="Q394" s="2" t="s">
        <v>146</v>
      </c>
      <c r="R394" s="2" t="s">
        <v>146</v>
      </c>
      <c r="S394" s="2" t="s">
        <v>146</v>
      </c>
      <c r="T394" s="2" t="s">
        <v>146</v>
      </c>
      <c r="U394" s="2">
        <v>7.7249999999999996</v>
      </c>
      <c r="V394" s="2" t="s">
        <v>146</v>
      </c>
      <c r="W394" s="2" t="s">
        <v>146</v>
      </c>
      <c r="X394" s="2" t="s">
        <v>146</v>
      </c>
      <c r="Y394" s="2" t="s">
        <v>146</v>
      </c>
      <c r="Z394" s="2" t="s">
        <v>146</v>
      </c>
      <c r="AA394" s="2" t="s">
        <v>146</v>
      </c>
      <c r="AB394" s="2" t="s">
        <v>146</v>
      </c>
      <c r="AC394" s="2" t="s">
        <v>146</v>
      </c>
      <c r="AD394" s="2" t="s">
        <v>146</v>
      </c>
      <c r="AE394" s="2" t="s">
        <v>146</v>
      </c>
      <c r="AF394" s="2" t="s">
        <v>146</v>
      </c>
      <c r="AG394" s="2" t="s">
        <v>146</v>
      </c>
      <c r="AH394" s="2" t="s">
        <v>146</v>
      </c>
      <c r="AI394" s="2" t="s">
        <v>146</v>
      </c>
      <c r="AJ394" s="2" t="s">
        <v>146</v>
      </c>
      <c r="AK394" s="2" t="s">
        <v>146</v>
      </c>
      <c r="AL394" s="2" t="s">
        <v>146</v>
      </c>
      <c r="AM394" s="2" t="s">
        <v>146</v>
      </c>
      <c r="AN394" s="2" t="s">
        <v>49</v>
      </c>
      <c r="AO394" s="2" t="s">
        <v>146</v>
      </c>
      <c r="AP394" s="2" t="s">
        <v>146</v>
      </c>
      <c r="AQ394" s="2" t="s">
        <v>146</v>
      </c>
      <c r="AR394" s="2" t="s">
        <v>146</v>
      </c>
      <c r="AV394" s="2">
        <f t="shared" si="60"/>
        <v>7.8</v>
      </c>
      <c r="AW394" s="2">
        <f t="shared" si="61"/>
        <v>7.4</v>
      </c>
      <c r="AX394" s="27">
        <f t="shared" si="62"/>
        <v>0.94871794871794879</v>
      </c>
      <c r="BA394" s="2">
        <f t="shared" si="63"/>
        <v>0</v>
      </c>
      <c r="BB394" s="2">
        <f t="shared" si="64"/>
        <v>0</v>
      </c>
      <c r="BC394" s="2">
        <f t="shared" si="65"/>
        <v>0</v>
      </c>
      <c r="BD394" s="2">
        <f t="shared" si="66"/>
        <v>0</v>
      </c>
      <c r="BE394" s="2">
        <f t="shared" si="67"/>
        <v>0</v>
      </c>
      <c r="BF394" s="2">
        <f t="shared" si="68"/>
        <v>0</v>
      </c>
      <c r="BJ394" s="2" t="str">
        <f t="shared" si="69"/>
        <v/>
      </c>
    </row>
    <row r="395" spans="1:62" ht="15" customHeight="1" x14ac:dyDescent="0.45">
      <c r="A395" s="2" t="s">
        <v>169</v>
      </c>
      <c r="B395" s="2" t="s">
        <v>168</v>
      </c>
      <c r="C395" s="2">
        <v>2019</v>
      </c>
      <c r="D395" s="2">
        <v>7.6890000000000001</v>
      </c>
      <c r="E395" s="2">
        <v>8.7929999999999993</v>
      </c>
      <c r="F395" s="2" t="s">
        <v>146</v>
      </c>
      <c r="G395" s="2">
        <v>5.5E-2</v>
      </c>
      <c r="H395" s="2" t="s">
        <v>146</v>
      </c>
      <c r="I395" s="2" t="s">
        <v>146</v>
      </c>
      <c r="J395" s="2" t="s">
        <v>146</v>
      </c>
      <c r="K395" s="2" t="s">
        <v>146</v>
      </c>
      <c r="L395" s="2" t="s">
        <v>146</v>
      </c>
      <c r="M395" s="2" t="s">
        <v>49</v>
      </c>
      <c r="N395" s="2">
        <v>0</v>
      </c>
      <c r="O395" s="2">
        <v>0.627</v>
      </c>
      <c r="P395" s="2">
        <v>6.5410000000000004</v>
      </c>
      <c r="Q395" s="2" t="s">
        <v>146</v>
      </c>
      <c r="R395" s="2" t="s">
        <v>146</v>
      </c>
      <c r="S395" s="2">
        <v>0.38300000000000001</v>
      </c>
      <c r="T395" s="2" t="s">
        <v>147</v>
      </c>
      <c r="U395" s="2">
        <v>0.92100000000000004</v>
      </c>
      <c r="V395" s="2" t="s">
        <v>146</v>
      </c>
      <c r="W395" s="2" t="s">
        <v>146</v>
      </c>
      <c r="X395" s="2" t="s">
        <v>146</v>
      </c>
      <c r="Y395" s="2" t="s">
        <v>146</v>
      </c>
      <c r="Z395" s="2" t="s">
        <v>146</v>
      </c>
      <c r="AA395" s="2" t="s">
        <v>146</v>
      </c>
      <c r="AB395" s="2" t="s">
        <v>146</v>
      </c>
      <c r="AC395" s="2" t="s">
        <v>146</v>
      </c>
      <c r="AD395" s="2" t="s">
        <v>146</v>
      </c>
      <c r="AE395" s="2" t="s">
        <v>146</v>
      </c>
      <c r="AF395" s="2" t="s">
        <v>146</v>
      </c>
      <c r="AG395" s="2" t="s">
        <v>146</v>
      </c>
      <c r="AH395" s="2">
        <v>0.26600000000000001</v>
      </c>
      <c r="AI395" s="2" t="s">
        <v>146</v>
      </c>
      <c r="AJ395" s="2" t="s">
        <v>146</v>
      </c>
      <c r="AK395" s="2" t="s">
        <v>146</v>
      </c>
      <c r="AL395" s="2" t="s">
        <v>146</v>
      </c>
      <c r="AM395" s="2" t="s">
        <v>146</v>
      </c>
      <c r="AN395" s="2" t="s">
        <v>49</v>
      </c>
      <c r="AO395" s="2">
        <v>100</v>
      </c>
      <c r="AP395" s="2" t="s">
        <v>146</v>
      </c>
      <c r="AQ395" s="2" t="s">
        <v>146</v>
      </c>
      <c r="AR395" s="2" t="s">
        <v>146</v>
      </c>
      <c r="AV395" s="2">
        <f t="shared" si="60"/>
        <v>8.793000000000001</v>
      </c>
      <c r="AW395" s="2">
        <f t="shared" si="61"/>
        <v>7.6890000000000001</v>
      </c>
      <c r="AX395" s="27">
        <f t="shared" si="62"/>
        <v>0.87444558171272591</v>
      </c>
      <c r="BA395" s="2">
        <f t="shared" si="63"/>
        <v>0.26600000000000001</v>
      </c>
      <c r="BB395" s="2">
        <f t="shared" si="64"/>
        <v>0.26600000000000001</v>
      </c>
      <c r="BC395" s="2">
        <f t="shared" si="65"/>
        <v>0</v>
      </c>
      <c r="BD395" s="2">
        <f t="shared" si="66"/>
        <v>0</v>
      </c>
      <c r="BE395" s="2">
        <f t="shared" si="67"/>
        <v>0</v>
      </c>
      <c r="BF395" s="2">
        <f t="shared" si="68"/>
        <v>0</v>
      </c>
      <c r="BJ395" s="2" t="str">
        <f t="shared" si="69"/>
        <v/>
      </c>
    </row>
    <row r="396" spans="1:62" ht="15" customHeight="1" x14ac:dyDescent="0.45">
      <c r="A396" s="2" t="s">
        <v>167</v>
      </c>
      <c r="B396" s="2" t="s">
        <v>136</v>
      </c>
      <c r="C396" s="2">
        <v>2019</v>
      </c>
      <c r="D396" s="2" t="s">
        <v>49</v>
      </c>
      <c r="E396" s="2" t="s">
        <v>49</v>
      </c>
      <c r="F396" s="2" t="s">
        <v>49</v>
      </c>
      <c r="G396" s="2" t="s">
        <v>49</v>
      </c>
      <c r="H396" s="2" t="s">
        <v>49</v>
      </c>
      <c r="I396" s="2" t="s">
        <v>49</v>
      </c>
      <c r="J396" s="2" t="s">
        <v>49</v>
      </c>
      <c r="K396" s="2" t="s">
        <v>49</v>
      </c>
      <c r="L396" s="2" t="s">
        <v>49</v>
      </c>
      <c r="M396" s="2" t="s">
        <v>49</v>
      </c>
      <c r="N396" s="2" t="s">
        <v>49</v>
      </c>
      <c r="O396" s="2" t="s">
        <v>49</v>
      </c>
      <c r="P396" s="2" t="s">
        <v>49</v>
      </c>
      <c r="Q396" s="2" t="s">
        <v>49</v>
      </c>
      <c r="R396" s="2" t="s">
        <v>49</v>
      </c>
      <c r="S396" s="2" t="s">
        <v>49</v>
      </c>
      <c r="T396" s="2" t="s">
        <v>49</v>
      </c>
      <c r="U396" s="2" t="s">
        <v>49</v>
      </c>
      <c r="V396" s="2" t="s">
        <v>49</v>
      </c>
      <c r="W396" s="2" t="s">
        <v>49</v>
      </c>
      <c r="X396" s="2" t="s">
        <v>49</v>
      </c>
      <c r="Y396" s="2" t="s">
        <v>49</v>
      </c>
      <c r="Z396" s="2" t="s">
        <v>49</v>
      </c>
      <c r="AA396" s="2" t="s">
        <v>49</v>
      </c>
      <c r="AB396" s="2" t="s">
        <v>49</v>
      </c>
      <c r="AC396" s="2" t="s">
        <v>49</v>
      </c>
      <c r="AD396" s="2" t="s">
        <v>49</v>
      </c>
      <c r="AE396" s="2" t="s">
        <v>49</v>
      </c>
      <c r="AF396" s="2" t="s">
        <v>49</v>
      </c>
      <c r="AG396" s="2" t="s">
        <v>49</v>
      </c>
      <c r="AH396" s="2" t="s">
        <v>49</v>
      </c>
      <c r="AI396" s="2" t="s">
        <v>49</v>
      </c>
      <c r="AJ396" s="2" t="s">
        <v>49</v>
      </c>
      <c r="AK396" s="2" t="s">
        <v>49</v>
      </c>
      <c r="AL396" s="2" t="s">
        <v>49</v>
      </c>
      <c r="AM396" s="2" t="s">
        <v>49</v>
      </c>
      <c r="AN396" s="2" t="s">
        <v>49</v>
      </c>
      <c r="AO396" s="2" t="s">
        <v>49</v>
      </c>
      <c r="AP396" s="2" t="s">
        <v>49</v>
      </c>
      <c r="AQ396" s="2" t="s">
        <v>49</v>
      </c>
      <c r="AR396" s="2" t="s">
        <v>49</v>
      </c>
      <c r="AV396" s="2">
        <f t="shared" si="60"/>
        <v>0</v>
      </c>
      <c r="AW396" s="2">
        <f t="shared" si="61"/>
        <v>0</v>
      </c>
      <c r="AX396" s="27" t="str">
        <f t="shared" si="62"/>
        <v/>
      </c>
      <c r="BA396" s="2">
        <f t="shared" si="63"/>
        <v>0</v>
      </c>
      <c r="BB396" s="2">
        <f t="shared" si="64"/>
        <v>0</v>
      </c>
      <c r="BC396" s="2">
        <f t="shared" si="65"/>
        <v>0</v>
      </c>
      <c r="BD396" s="2">
        <f t="shared" si="66"/>
        <v>0</v>
      </c>
      <c r="BE396" s="2">
        <f t="shared" si="67"/>
        <v>0</v>
      </c>
      <c r="BF396" s="2">
        <f t="shared" si="68"/>
        <v>0</v>
      </c>
      <c r="BJ396" s="2" t="str">
        <f t="shared" si="69"/>
        <v/>
      </c>
    </row>
    <row r="397" spans="1:62" ht="15" customHeight="1" x14ac:dyDescent="0.45">
      <c r="A397" s="2" t="s">
        <v>162</v>
      </c>
      <c r="B397" s="2" t="s">
        <v>166</v>
      </c>
      <c r="C397" s="2">
        <v>2019</v>
      </c>
      <c r="D397" s="2">
        <v>40.35</v>
      </c>
      <c r="E397" s="2">
        <v>40.360999999999997</v>
      </c>
      <c r="F397" s="2" t="s">
        <v>146</v>
      </c>
      <c r="G397" s="2">
        <v>0.03</v>
      </c>
      <c r="H397" s="2" t="s">
        <v>146</v>
      </c>
      <c r="I397" s="2">
        <v>0.22700000000000001</v>
      </c>
      <c r="J397" s="2" t="s">
        <v>146</v>
      </c>
      <c r="K397" s="2" t="s">
        <v>146</v>
      </c>
      <c r="L397" s="2" t="s">
        <v>146</v>
      </c>
      <c r="M397" s="2" t="s">
        <v>49</v>
      </c>
      <c r="N397" s="2" t="s">
        <v>146</v>
      </c>
      <c r="O397" s="2" t="s">
        <v>146</v>
      </c>
      <c r="P397" s="2" t="s">
        <v>146</v>
      </c>
      <c r="Q397" s="2" t="s">
        <v>146</v>
      </c>
      <c r="R397" s="2" t="s">
        <v>146</v>
      </c>
      <c r="S397" s="2" t="s">
        <v>146</v>
      </c>
      <c r="T397" s="2" t="s">
        <v>146</v>
      </c>
      <c r="U397" s="2" t="s">
        <v>146</v>
      </c>
      <c r="V397" s="2" t="s">
        <v>146</v>
      </c>
      <c r="W397" s="2" t="s">
        <v>146</v>
      </c>
      <c r="X397" s="2" t="s">
        <v>146</v>
      </c>
      <c r="Y397" s="2" t="s">
        <v>146</v>
      </c>
      <c r="Z397" s="2" t="s">
        <v>146</v>
      </c>
      <c r="AA397" s="2" t="s">
        <v>146</v>
      </c>
      <c r="AB397" s="2" t="s">
        <v>146</v>
      </c>
      <c r="AC397" s="2" t="s">
        <v>146</v>
      </c>
      <c r="AD397" s="2" t="s">
        <v>146</v>
      </c>
      <c r="AE397" s="2" t="s">
        <v>146</v>
      </c>
      <c r="AF397" s="2" t="s">
        <v>146</v>
      </c>
      <c r="AG397" s="2" t="s">
        <v>146</v>
      </c>
      <c r="AH397" s="2" t="s">
        <v>146</v>
      </c>
      <c r="AI397" s="2">
        <v>40.103999999999999</v>
      </c>
      <c r="AJ397" s="2" t="s">
        <v>165</v>
      </c>
      <c r="AK397" s="2">
        <v>13.202</v>
      </c>
      <c r="AL397" s="2" t="s">
        <v>146</v>
      </c>
      <c r="AM397" s="2" t="s">
        <v>146</v>
      </c>
      <c r="AN397" s="2" t="s">
        <v>49</v>
      </c>
      <c r="AO397" s="2" t="s">
        <v>146</v>
      </c>
      <c r="AP397" s="2" t="s">
        <v>146</v>
      </c>
      <c r="AQ397" s="2" t="s">
        <v>146</v>
      </c>
      <c r="AR397" s="2" t="s">
        <v>146</v>
      </c>
      <c r="AV397" s="2">
        <f t="shared" si="60"/>
        <v>40.360999999999997</v>
      </c>
      <c r="AW397" s="2">
        <f t="shared" si="61"/>
        <v>40.35</v>
      </c>
      <c r="AX397" s="27">
        <f t="shared" si="62"/>
        <v>0.9997274596764204</v>
      </c>
      <c r="BA397" s="2">
        <f t="shared" si="63"/>
        <v>0</v>
      </c>
      <c r="BB397" s="2">
        <f t="shared" si="64"/>
        <v>0</v>
      </c>
      <c r="BC397" s="2">
        <f t="shared" si="65"/>
        <v>0</v>
      </c>
      <c r="BD397" s="2">
        <f t="shared" si="66"/>
        <v>0</v>
      </c>
      <c r="BE397" s="2">
        <f t="shared" si="67"/>
        <v>0</v>
      </c>
      <c r="BF397" s="2">
        <f t="shared" si="68"/>
        <v>0</v>
      </c>
      <c r="BJ397" s="2" t="str">
        <f t="shared" si="69"/>
        <v/>
      </c>
    </row>
    <row r="398" spans="1:62" ht="15" customHeight="1" x14ac:dyDescent="0.45">
      <c r="A398" s="2" t="s">
        <v>162</v>
      </c>
      <c r="B398" s="2" t="s">
        <v>164</v>
      </c>
      <c r="C398" s="2">
        <v>2019</v>
      </c>
      <c r="D398" s="2">
        <v>1.99</v>
      </c>
      <c r="E398" s="2">
        <v>2.4870000000000001</v>
      </c>
      <c r="F398" s="2" t="s">
        <v>146</v>
      </c>
      <c r="G398" s="2">
        <v>1.2E-2</v>
      </c>
      <c r="H398" s="2" t="s">
        <v>146</v>
      </c>
      <c r="I398" s="2" t="s">
        <v>146</v>
      </c>
      <c r="J398" s="2" t="s">
        <v>146</v>
      </c>
      <c r="K398" s="2" t="s">
        <v>146</v>
      </c>
      <c r="L398" s="2" t="s">
        <v>146</v>
      </c>
      <c r="M398" s="2" t="s">
        <v>146</v>
      </c>
      <c r="N398" s="2" t="s">
        <v>146</v>
      </c>
      <c r="O398" s="2" t="s">
        <v>146</v>
      </c>
      <c r="P398" s="2" t="s">
        <v>146</v>
      </c>
      <c r="Q398" s="2" t="s">
        <v>146</v>
      </c>
      <c r="R398" s="2" t="s">
        <v>146</v>
      </c>
      <c r="S398" s="2" t="s">
        <v>146</v>
      </c>
      <c r="T398" s="2" t="s">
        <v>146</v>
      </c>
      <c r="U398" s="2">
        <v>2.4750000000000001</v>
      </c>
      <c r="V398" s="2" t="s">
        <v>146</v>
      </c>
      <c r="W398" s="2" t="s">
        <v>146</v>
      </c>
      <c r="X398" s="2" t="s">
        <v>146</v>
      </c>
      <c r="Y398" s="2" t="s">
        <v>146</v>
      </c>
      <c r="Z398" s="2" t="s">
        <v>146</v>
      </c>
      <c r="AA398" s="2" t="s">
        <v>146</v>
      </c>
      <c r="AB398" s="2" t="s">
        <v>146</v>
      </c>
      <c r="AC398" s="2" t="s">
        <v>146</v>
      </c>
      <c r="AD398" s="2" t="s">
        <v>146</v>
      </c>
      <c r="AE398" s="2" t="s">
        <v>146</v>
      </c>
      <c r="AF398" s="2" t="s">
        <v>146</v>
      </c>
      <c r="AG398" s="2" t="s">
        <v>146</v>
      </c>
      <c r="AH398" s="2" t="s">
        <v>146</v>
      </c>
      <c r="AI398" s="2" t="s">
        <v>146</v>
      </c>
      <c r="AJ398" s="2" t="s">
        <v>146</v>
      </c>
      <c r="AK398" s="2" t="s">
        <v>146</v>
      </c>
      <c r="AL398" s="2" t="s">
        <v>146</v>
      </c>
      <c r="AM398" s="2" t="s">
        <v>146</v>
      </c>
      <c r="AN398" s="2" t="s">
        <v>49</v>
      </c>
      <c r="AO398" s="2" t="s">
        <v>146</v>
      </c>
      <c r="AP398" s="2" t="s">
        <v>146</v>
      </c>
      <c r="AQ398" s="2" t="s">
        <v>146</v>
      </c>
      <c r="AR398" s="2" t="s">
        <v>146</v>
      </c>
      <c r="AV398" s="2">
        <f t="shared" si="60"/>
        <v>2.4870000000000001</v>
      </c>
      <c r="AW398" s="2">
        <f t="shared" si="61"/>
        <v>1.99</v>
      </c>
      <c r="AX398" s="27">
        <f t="shared" si="62"/>
        <v>0.8001608363490148</v>
      </c>
      <c r="BA398" s="2">
        <f t="shared" si="63"/>
        <v>0</v>
      </c>
      <c r="BB398" s="2">
        <f t="shared" si="64"/>
        <v>0</v>
      </c>
      <c r="BC398" s="2">
        <f t="shared" si="65"/>
        <v>0</v>
      </c>
      <c r="BD398" s="2">
        <f t="shared" si="66"/>
        <v>0</v>
      </c>
      <c r="BE398" s="2">
        <f t="shared" si="67"/>
        <v>0</v>
      </c>
      <c r="BF398" s="2">
        <f t="shared" si="68"/>
        <v>0</v>
      </c>
      <c r="BJ398" s="2" t="str">
        <f t="shared" si="69"/>
        <v/>
      </c>
    </row>
    <row r="399" spans="1:62" ht="15" customHeight="1" x14ac:dyDescent="0.45">
      <c r="A399" s="2" t="s">
        <v>162</v>
      </c>
      <c r="B399" s="2" t="s">
        <v>163</v>
      </c>
      <c r="C399" s="2">
        <v>2019</v>
      </c>
      <c r="D399" s="2">
        <v>9.66</v>
      </c>
      <c r="E399" s="2">
        <v>12.074999999999999</v>
      </c>
      <c r="F399" s="2" t="s">
        <v>146</v>
      </c>
      <c r="G399" s="2">
        <v>2.5000000000000001E-2</v>
      </c>
      <c r="H399" s="2" t="s">
        <v>146</v>
      </c>
      <c r="I399" s="2" t="s">
        <v>146</v>
      </c>
      <c r="J399" s="2" t="s">
        <v>146</v>
      </c>
      <c r="K399" s="2" t="s">
        <v>146</v>
      </c>
      <c r="L399" s="2" t="s">
        <v>146</v>
      </c>
      <c r="M399" s="2" t="s">
        <v>49</v>
      </c>
      <c r="N399" s="2" t="s">
        <v>146</v>
      </c>
      <c r="O399" s="2" t="s">
        <v>146</v>
      </c>
      <c r="P399" s="2" t="s">
        <v>146</v>
      </c>
      <c r="Q399" s="2" t="s">
        <v>146</v>
      </c>
      <c r="R399" s="2" t="s">
        <v>146</v>
      </c>
      <c r="S399" s="2" t="s">
        <v>146</v>
      </c>
      <c r="T399" s="2" t="s">
        <v>146</v>
      </c>
      <c r="U399" s="2">
        <v>12.05</v>
      </c>
      <c r="V399" s="2" t="s">
        <v>146</v>
      </c>
      <c r="W399" s="2" t="s">
        <v>146</v>
      </c>
      <c r="X399" s="2" t="s">
        <v>146</v>
      </c>
      <c r="Y399" s="2" t="s">
        <v>146</v>
      </c>
      <c r="Z399" s="2" t="s">
        <v>146</v>
      </c>
      <c r="AA399" s="2" t="s">
        <v>146</v>
      </c>
      <c r="AB399" s="2" t="s">
        <v>146</v>
      </c>
      <c r="AC399" s="2" t="s">
        <v>146</v>
      </c>
      <c r="AD399" s="2" t="s">
        <v>146</v>
      </c>
      <c r="AE399" s="2" t="s">
        <v>146</v>
      </c>
      <c r="AF399" s="2" t="s">
        <v>146</v>
      </c>
      <c r="AG399" s="2" t="s">
        <v>146</v>
      </c>
      <c r="AH399" s="2" t="s">
        <v>146</v>
      </c>
      <c r="AI399" s="2" t="s">
        <v>146</v>
      </c>
      <c r="AJ399" s="2" t="s">
        <v>146</v>
      </c>
      <c r="AK399" s="2" t="s">
        <v>146</v>
      </c>
      <c r="AL399" s="2" t="s">
        <v>146</v>
      </c>
      <c r="AM399" s="2" t="s">
        <v>146</v>
      </c>
      <c r="AN399" s="2" t="s">
        <v>49</v>
      </c>
      <c r="AO399" s="2" t="s">
        <v>146</v>
      </c>
      <c r="AP399" s="2" t="s">
        <v>146</v>
      </c>
      <c r="AQ399" s="2" t="s">
        <v>146</v>
      </c>
      <c r="AR399" s="2" t="s">
        <v>146</v>
      </c>
      <c r="AV399" s="2">
        <f t="shared" si="60"/>
        <v>12.075000000000001</v>
      </c>
      <c r="AW399" s="2">
        <f t="shared" si="61"/>
        <v>9.66</v>
      </c>
      <c r="AX399" s="27">
        <f t="shared" si="62"/>
        <v>0.79999999999999993</v>
      </c>
      <c r="BA399" s="2">
        <f t="shared" si="63"/>
        <v>0</v>
      </c>
      <c r="BB399" s="2">
        <f t="shared" si="64"/>
        <v>0</v>
      </c>
      <c r="BC399" s="2">
        <f t="shared" si="65"/>
        <v>0</v>
      </c>
      <c r="BD399" s="2">
        <f t="shared" si="66"/>
        <v>0</v>
      </c>
      <c r="BE399" s="2">
        <f t="shared" si="67"/>
        <v>0</v>
      </c>
      <c r="BF399" s="2">
        <f t="shared" si="68"/>
        <v>0</v>
      </c>
      <c r="BJ399" s="2" t="str">
        <f t="shared" si="69"/>
        <v/>
      </c>
    </row>
    <row r="400" spans="1:62" ht="15" customHeight="1" x14ac:dyDescent="0.45">
      <c r="A400" s="2" t="s">
        <v>162</v>
      </c>
      <c r="B400" s="2" t="s">
        <v>161</v>
      </c>
      <c r="C400" s="2">
        <v>2019</v>
      </c>
      <c r="D400" s="2">
        <v>192</v>
      </c>
      <c r="E400" s="2">
        <v>220.23099999999999</v>
      </c>
      <c r="F400" s="2" t="s">
        <v>146</v>
      </c>
      <c r="G400" s="2">
        <v>0.55000000000000004</v>
      </c>
      <c r="H400" s="2" t="s">
        <v>146</v>
      </c>
      <c r="I400" s="2" t="s">
        <v>146</v>
      </c>
      <c r="J400" s="2" t="s">
        <v>146</v>
      </c>
      <c r="K400" s="2" t="s">
        <v>146</v>
      </c>
      <c r="L400" s="2">
        <v>1.0580000000000001</v>
      </c>
      <c r="M400" s="2" t="s">
        <v>49</v>
      </c>
      <c r="N400" s="2" t="s">
        <v>146</v>
      </c>
      <c r="O400" s="2" t="s">
        <v>146</v>
      </c>
      <c r="P400" s="2">
        <v>13.12</v>
      </c>
      <c r="Q400" s="2" t="s">
        <v>146</v>
      </c>
      <c r="R400" s="2" t="s">
        <v>146</v>
      </c>
      <c r="S400" s="2">
        <v>4.4169999999999998</v>
      </c>
      <c r="T400" s="2" t="s">
        <v>146</v>
      </c>
      <c r="U400" s="2" t="s">
        <v>146</v>
      </c>
      <c r="V400" s="2" t="s">
        <v>146</v>
      </c>
      <c r="W400" s="2" t="s">
        <v>146</v>
      </c>
      <c r="X400" s="2">
        <v>198.14599999999999</v>
      </c>
      <c r="Y400" s="2" t="s">
        <v>146</v>
      </c>
      <c r="Z400" s="2">
        <v>1.53</v>
      </c>
      <c r="AA400" s="2" t="s">
        <v>146</v>
      </c>
      <c r="AB400" s="2" t="s">
        <v>146</v>
      </c>
      <c r="AC400" s="2">
        <v>1.41</v>
      </c>
      <c r="AD400" s="2" t="s">
        <v>146</v>
      </c>
      <c r="AE400" s="2" t="s">
        <v>160</v>
      </c>
      <c r="AF400" s="2">
        <v>37.299999999999997</v>
      </c>
      <c r="AG400" s="2" t="s">
        <v>146</v>
      </c>
      <c r="AH400" s="2" t="s">
        <v>146</v>
      </c>
      <c r="AI400" s="2" t="s">
        <v>146</v>
      </c>
      <c r="AJ400" s="2" t="s">
        <v>146</v>
      </c>
      <c r="AK400" s="2" t="s">
        <v>146</v>
      </c>
      <c r="AL400" s="2" t="s">
        <v>146</v>
      </c>
      <c r="AM400" s="2" t="s">
        <v>146</v>
      </c>
      <c r="AN400" s="2" t="s">
        <v>49</v>
      </c>
      <c r="AO400" s="2" t="s">
        <v>146</v>
      </c>
      <c r="AP400" s="2" t="s">
        <v>146</v>
      </c>
      <c r="AQ400" s="2" t="s">
        <v>146</v>
      </c>
      <c r="AR400" s="2" t="s">
        <v>146</v>
      </c>
      <c r="AV400" s="2">
        <f t="shared" si="60"/>
        <v>220.23099999999999</v>
      </c>
      <c r="AW400" s="2">
        <f t="shared" si="61"/>
        <v>192</v>
      </c>
      <c r="AX400" s="27">
        <f t="shared" si="62"/>
        <v>0.87181187026349605</v>
      </c>
      <c r="BA400" s="2">
        <f t="shared" si="63"/>
        <v>0</v>
      </c>
      <c r="BB400" s="2">
        <f t="shared" si="64"/>
        <v>0</v>
      </c>
      <c r="BC400" s="2">
        <f t="shared" si="65"/>
        <v>0</v>
      </c>
      <c r="BD400" s="2">
        <f t="shared" si="66"/>
        <v>0</v>
      </c>
      <c r="BE400" s="2">
        <f t="shared" si="67"/>
        <v>0</v>
      </c>
      <c r="BF400" s="2">
        <f t="shared" si="68"/>
        <v>0</v>
      </c>
      <c r="BJ400" s="2" t="str">
        <f t="shared" si="69"/>
        <v/>
      </c>
    </row>
    <row r="401" spans="1:62" ht="15" customHeight="1" x14ac:dyDescent="0.45">
      <c r="A401" s="2" t="s">
        <v>159</v>
      </c>
      <c r="B401" s="2" t="s">
        <v>158</v>
      </c>
      <c r="C401" s="2">
        <v>2019</v>
      </c>
      <c r="D401" s="2">
        <v>36</v>
      </c>
      <c r="E401" s="2">
        <v>43.459000000000003</v>
      </c>
      <c r="F401" s="2" t="s">
        <v>146</v>
      </c>
      <c r="G401" s="2">
        <v>0.1</v>
      </c>
      <c r="H401" s="2" t="s">
        <v>146</v>
      </c>
      <c r="I401" s="2" t="s">
        <v>146</v>
      </c>
      <c r="J401" s="2" t="s">
        <v>146</v>
      </c>
      <c r="K401" s="2" t="s">
        <v>146</v>
      </c>
      <c r="L401" s="2" t="s">
        <v>146</v>
      </c>
      <c r="M401" s="2" t="s">
        <v>49</v>
      </c>
      <c r="N401" s="2">
        <v>39.158999999999999</v>
      </c>
      <c r="O401" s="2" t="s">
        <v>146</v>
      </c>
      <c r="P401" s="2" t="s">
        <v>146</v>
      </c>
      <c r="Q401" s="2" t="s">
        <v>146</v>
      </c>
      <c r="R401" s="2" t="s">
        <v>146</v>
      </c>
      <c r="S401" s="2" t="s">
        <v>146</v>
      </c>
      <c r="T401" s="2" t="s">
        <v>146</v>
      </c>
      <c r="U401" s="2" t="s">
        <v>146</v>
      </c>
      <c r="V401" s="2" t="s">
        <v>146</v>
      </c>
      <c r="W401" s="2" t="s">
        <v>146</v>
      </c>
      <c r="X401" s="2" t="s">
        <v>146</v>
      </c>
      <c r="Y401" s="2" t="s">
        <v>146</v>
      </c>
      <c r="Z401" s="2" t="s">
        <v>146</v>
      </c>
      <c r="AA401" s="2" t="s">
        <v>146</v>
      </c>
      <c r="AB401" s="2" t="s">
        <v>146</v>
      </c>
      <c r="AC401" s="2" t="s">
        <v>146</v>
      </c>
      <c r="AD401" s="2" t="s">
        <v>146</v>
      </c>
      <c r="AE401" s="2" t="s">
        <v>146</v>
      </c>
      <c r="AF401" s="2" t="s">
        <v>146</v>
      </c>
      <c r="AG401" s="2" t="s">
        <v>146</v>
      </c>
      <c r="AH401" s="2">
        <v>4.2</v>
      </c>
      <c r="AI401" s="2" t="s">
        <v>146</v>
      </c>
      <c r="AJ401" s="2" t="s">
        <v>146</v>
      </c>
      <c r="AK401" s="2" t="s">
        <v>146</v>
      </c>
      <c r="AL401" s="2" t="s">
        <v>146</v>
      </c>
      <c r="AM401" s="2" t="s">
        <v>146</v>
      </c>
      <c r="AN401" s="2" t="s">
        <v>49</v>
      </c>
      <c r="AO401" s="2">
        <v>100</v>
      </c>
      <c r="AP401" s="2" t="s">
        <v>146</v>
      </c>
      <c r="AQ401" s="2" t="s">
        <v>146</v>
      </c>
      <c r="AR401" s="2" t="s">
        <v>146</v>
      </c>
      <c r="AV401" s="2">
        <f t="shared" si="60"/>
        <v>43.459000000000003</v>
      </c>
      <c r="AW401" s="2">
        <f t="shared" si="61"/>
        <v>36</v>
      </c>
      <c r="AX401" s="27">
        <f t="shared" si="62"/>
        <v>0.8283669665661888</v>
      </c>
      <c r="BA401" s="2">
        <f t="shared" si="63"/>
        <v>4.2</v>
      </c>
      <c r="BB401" s="2">
        <f t="shared" si="64"/>
        <v>4.2</v>
      </c>
      <c r="BC401" s="2">
        <f t="shared" si="65"/>
        <v>0</v>
      </c>
      <c r="BD401" s="2">
        <f t="shared" si="66"/>
        <v>0</v>
      </c>
      <c r="BE401" s="2">
        <f t="shared" si="67"/>
        <v>0</v>
      </c>
      <c r="BF401" s="2">
        <f t="shared" si="68"/>
        <v>0</v>
      </c>
      <c r="BJ401" s="2" t="str">
        <f t="shared" si="69"/>
        <v/>
      </c>
    </row>
    <row r="402" spans="1:62" ht="15" customHeight="1" x14ac:dyDescent="0.45">
      <c r="A402" s="2" t="s">
        <v>157</v>
      </c>
      <c r="B402" s="2" t="s">
        <v>156</v>
      </c>
      <c r="C402" s="2">
        <v>2019</v>
      </c>
      <c r="D402" s="2">
        <v>51.5</v>
      </c>
      <c r="E402" s="2">
        <v>54.6</v>
      </c>
      <c r="F402" s="2" t="s">
        <v>146</v>
      </c>
      <c r="G402" s="2">
        <v>0.7</v>
      </c>
      <c r="H402" s="2" t="s">
        <v>146</v>
      </c>
      <c r="I402" s="2" t="s">
        <v>146</v>
      </c>
      <c r="J402" s="2" t="s">
        <v>146</v>
      </c>
      <c r="K402" s="2" t="s">
        <v>146</v>
      </c>
      <c r="L402" s="2" t="s">
        <v>146</v>
      </c>
      <c r="M402" s="2" t="s">
        <v>49</v>
      </c>
      <c r="N402" s="2" t="s">
        <v>146</v>
      </c>
      <c r="O402" s="2" t="s">
        <v>146</v>
      </c>
      <c r="P402" s="2" t="s">
        <v>146</v>
      </c>
      <c r="Q402" s="2" t="s">
        <v>146</v>
      </c>
      <c r="R402" s="2" t="s">
        <v>146</v>
      </c>
      <c r="S402" s="2">
        <v>53.9</v>
      </c>
      <c r="T402" s="2" t="s">
        <v>147</v>
      </c>
      <c r="U402" s="2" t="s">
        <v>146</v>
      </c>
      <c r="V402" s="2" t="s">
        <v>146</v>
      </c>
      <c r="W402" s="2" t="s">
        <v>146</v>
      </c>
      <c r="X402" s="2" t="s">
        <v>146</v>
      </c>
      <c r="Y402" s="2" t="s">
        <v>146</v>
      </c>
      <c r="Z402" s="2" t="s">
        <v>146</v>
      </c>
      <c r="AA402" s="2" t="s">
        <v>146</v>
      </c>
      <c r="AB402" s="2" t="s">
        <v>146</v>
      </c>
      <c r="AC402" s="2" t="s">
        <v>146</v>
      </c>
      <c r="AD402" s="2" t="s">
        <v>146</v>
      </c>
      <c r="AE402" s="2" t="s">
        <v>155</v>
      </c>
      <c r="AF402" s="2" t="s">
        <v>146</v>
      </c>
      <c r="AG402" s="2" t="s">
        <v>146</v>
      </c>
      <c r="AH402" s="2" t="s">
        <v>146</v>
      </c>
      <c r="AI402" s="2" t="s">
        <v>146</v>
      </c>
      <c r="AJ402" s="2" t="s">
        <v>146</v>
      </c>
      <c r="AK402" s="2" t="s">
        <v>146</v>
      </c>
      <c r="AL402" s="2" t="s">
        <v>146</v>
      </c>
      <c r="AM402" s="2" t="s">
        <v>146</v>
      </c>
      <c r="AN402" s="2" t="s">
        <v>49</v>
      </c>
      <c r="AO402" s="2">
        <v>100</v>
      </c>
      <c r="AP402" s="2">
        <v>0</v>
      </c>
      <c r="AQ402" s="2">
        <v>0</v>
      </c>
      <c r="AR402" s="2">
        <v>0</v>
      </c>
      <c r="AV402" s="2">
        <f t="shared" si="60"/>
        <v>54.6</v>
      </c>
      <c r="AW402" s="2">
        <f t="shared" si="61"/>
        <v>51.5</v>
      </c>
      <c r="AX402" s="27">
        <f t="shared" si="62"/>
        <v>0.9432234432234432</v>
      </c>
      <c r="BA402" s="2">
        <f t="shared" si="63"/>
        <v>0</v>
      </c>
      <c r="BB402" s="2">
        <f t="shared" si="64"/>
        <v>0</v>
      </c>
      <c r="BC402" s="2">
        <f t="shared" si="65"/>
        <v>0</v>
      </c>
      <c r="BD402" s="2">
        <f t="shared" si="66"/>
        <v>0</v>
      </c>
      <c r="BE402" s="2">
        <f t="shared" si="67"/>
        <v>0</v>
      </c>
      <c r="BF402" s="2">
        <f t="shared" si="68"/>
        <v>0</v>
      </c>
      <c r="BJ402" s="2" t="str">
        <f t="shared" si="69"/>
        <v>ja</v>
      </c>
    </row>
    <row r="403" spans="1:62" ht="15" customHeight="1" x14ac:dyDescent="0.45">
      <c r="A403" s="2" t="s">
        <v>12</v>
      </c>
      <c r="B403" s="2" t="s">
        <v>14</v>
      </c>
      <c r="C403" s="2">
        <v>2019</v>
      </c>
      <c r="D403" s="2" t="s">
        <v>49</v>
      </c>
      <c r="E403" s="2" t="s">
        <v>49</v>
      </c>
      <c r="F403" s="2" t="s">
        <v>49</v>
      </c>
      <c r="G403" s="2" t="s">
        <v>49</v>
      </c>
      <c r="H403" s="2" t="s">
        <v>49</v>
      </c>
      <c r="I403" s="2" t="s">
        <v>49</v>
      </c>
      <c r="J403" s="2" t="s">
        <v>49</v>
      </c>
      <c r="K403" s="2" t="s">
        <v>49</v>
      </c>
      <c r="L403" s="2" t="s">
        <v>49</v>
      </c>
      <c r="M403" s="2" t="s">
        <v>49</v>
      </c>
      <c r="N403" s="2" t="s">
        <v>49</v>
      </c>
      <c r="O403" s="2" t="s">
        <v>49</v>
      </c>
      <c r="P403" s="2" t="s">
        <v>49</v>
      </c>
      <c r="Q403" s="2" t="s">
        <v>49</v>
      </c>
      <c r="R403" s="2" t="s">
        <v>49</v>
      </c>
      <c r="S403" s="2" t="s">
        <v>49</v>
      </c>
      <c r="T403" s="2" t="s">
        <v>49</v>
      </c>
      <c r="U403" s="2" t="s">
        <v>49</v>
      </c>
      <c r="V403" s="2" t="s">
        <v>49</v>
      </c>
      <c r="W403" s="2" t="s">
        <v>49</v>
      </c>
      <c r="X403" s="2" t="s">
        <v>49</v>
      </c>
      <c r="Y403" s="2" t="s">
        <v>49</v>
      </c>
      <c r="Z403" s="2" t="s">
        <v>49</v>
      </c>
      <c r="AA403" s="2" t="s">
        <v>49</v>
      </c>
      <c r="AB403" s="2" t="s">
        <v>49</v>
      </c>
      <c r="AC403" s="2" t="s">
        <v>49</v>
      </c>
      <c r="AD403" s="2" t="s">
        <v>49</v>
      </c>
      <c r="AE403" s="2" t="s">
        <v>49</v>
      </c>
      <c r="AF403" s="2" t="s">
        <v>49</v>
      </c>
      <c r="AG403" s="2" t="s">
        <v>49</v>
      </c>
      <c r="AH403" s="2" t="s">
        <v>49</v>
      </c>
      <c r="AI403" s="2" t="s">
        <v>49</v>
      </c>
      <c r="AJ403" s="2" t="s">
        <v>49</v>
      </c>
      <c r="AK403" s="2" t="s">
        <v>49</v>
      </c>
      <c r="AL403" s="2" t="s">
        <v>49</v>
      </c>
      <c r="AM403" s="2" t="s">
        <v>49</v>
      </c>
      <c r="AN403" s="2" t="s">
        <v>49</v>
      </c>
      <c r="AO403" s="2" t="s">
        <v>49</v>
      </c>
      <c r="AP403" s="2" t="s">
        <v>49</v>
      </c>
      <c r="AQ403" s="2" t="s">
        <v>49</v>
      </c>
      <c r="AR403" s="2" t="s">
        <v>49</v>
      </c>
      <c r="AV403" s="2">
        <f t="shared" si="60"/>
        <v>0</v>
      </c>
      <c r="AW403" s="2">
        <f t="shared" si="61"/>
        <v>0</v>
      </c>
      <c r="AX403" s="27" t="str">
        <f t="shared" si="62"/>
        <v/>
      </c>
      <c r="BA403" s="2">
        <f t="shared" si="63"/>
        <v>0</v>
      </c>
      <c r="BB403" s="2">
        <f t="shared" si="64"/>
        <v>0</v>
      </c>
      <c r="BC403" s="2">
        <f t="shared" si="65"/>
        <v>0</v>
      </c>
      <c r="BD403" s="2">
        <f t="shared" si="66"/>
        <v>0</v>
      </c>
      <c r="BE403" s="2">
        <f t="shared" si="67"/>
        <v>0</v>
      </c>
      <c r="BF403" s="2">
        <f t="shared" si="68"/>
        <v>0</v>
      </c>
      <c r="BJ403" s="2" t="str">
        <f t="shared" si="69"/>
        <v/>
      </c>
    </row>
    <row r="404" spans="1:62" ht="15" customHeight="1" x14ac:dyDescent="0.45">
      <c r="A404" s="2" t="s">
        <v>149</v>
      </c>
      <c r="B404" s="2" t="s">
        <v>154</v>
      </c>
      <c r="C404" s="2">
        <v>2019</v>
      </c>
      <c r="D404" s="2">
        <v>7.7975000000000003</v>
      </c>
      <c r="E404" s="2">
        <v>10.128299999999999</v>
      </c>
      <c r="F404" s="2" t="s">
        <v>146</v>
      </c>
      <c r="G404" s="2">
        <v>5.5999999999999999E-3</v>
      </c>
      <c r="H404" s="2" t="s">
        <v>146</v>
      </c>
      <c r="I404" s="2" t="s">
        <v>146</v>
      </c>
      <c r="J404" s="2" t="s">
        <v>146</v>
      </c>
      <c r="K404" s="2" t="s">
        <v>146</v>
      </c>
      <c r="L404" s="2" t="s">
        <v>146</v>
      </c>
      <c r="M404" s="2" t="s">
        <v>49</v>
      </c>
      <c r="N404" s="2" t="s">
        <v>146</v>
      </c>
      <c r="O404" s="2" t="s">
        <v>146</v>
      </c>
      <c r="P404" s="2">
        <v>7.7039</v>
      </c>
      <c r="Q404" s="2" t="s">
        <v>146</v>
      </c>
      <c r="R404" s="2" t="s">
        <v>146</v>
      </c>
      <c r="S404" s="2" t="s">
        <v>146</v>
      </c>
      <c r="T404" s="2" t="s">
        <v>147</v>
      </c>
      <c r="U404" s="2" t="s">
        <v>146</v>
      </c>
      <c r="V404" s="2" t="s">
        <v>146</v>
      </c>
      <c r="W404" s="2" t="s">
        <v>146</v>
      </c>
      <c r="X404" s="2" t="s">
        <v>146</v>
      </c>
      <c r="Y404" s="2" t="s">
        <v>146</v>
      </c>
      <c r="Z404" s="2">
        <v>1.4569000000000001</v>
      </c>
      <c r="AA404" s="2" t="s">
        <v>146</v>
      </c>
      <c r="AB404" s="2" t="s">
        <v>146</v>
      </c>
      <c r="AC404" s="2" t="s">
        <v>146</v>
      </c>
      <c r="AD404" s="2" t="s">
        <v>146</v>
      </c>
      <c r="AE404" s="2" t="s">
        <v>146</v>
      </c>
      <c r="AF404" s="2" t="s">
        <v>146</v>
      </c>
      <c r="AG404" s="2" t="s">
        <v>146</v>
      </c>
      <c r="AH404" s="2" t="s">
        <v>146</v>
      </c>
      <c r="AI404" s="2" t="s">
        <v>146</v>
      </c>
      <c r="AJ404" s="2" t="s">
        <v>146</v>
      </c>
      <c r="AK404" s="2" t="s">
        <v>146</v>
      </c>
      <c r="AL404" s="2">
        <v>0.96189999999999998</v>
      </c>
      <c r="AM404" s="2">
        <v>0.98150000000000004</v>
      </c>
      <c r="AN404" s="2" t="s">
        <v>49</v>
      </c>
      <c r="AO404" s="2" t="s">
        <v>146</v>
      </c>
      <c r="AP404" s="2" t="s">
        <v>146</v>
      </c>
      <c r="AQ404" s="2" t="s">
        <v>146</v>
      </c>
      <c r="AR404" s="2" t="s">
        <v>146</v>
      </c>
      <c r="AV404" s="2">
        <f t="shared" si="60"/>
        <v>10.128299999999999</v>
      </c>
      <c r="AW404" s="2">
        <f t="shared" si="61"/>
        <v>7.7975000000000003</v>
      </c>
      <c r="AX404" s="27">
        <f t="shared" si="62"/>
        <v>0.76987253537118772</v>
      </c>
      <c r="BA404" s="2">
        <f t="shared" si="63"/>
        <v>0</v>
      </c>
      <c r="BB404" s="2">
        <f t="shared" si="64"/>
        <v>0</v>
      </c>
      <c r="BC404" s="2">
        <f t="shared" si="65"/>
        <v>0</v>
      </c>
      <c r="BD404" s="2">
        <f t="shared" si="66"/>
        <v>0</v>
      </c>
      <c r="BE404" s="2">
        <f t="shared" si="67"/>
        <v>0</v>
      </c>
      <c r="BF404" s="2">
        <f t="shared" si="68"/>
        <v>0</v>
      </c>
      <c r="BJ404" s="2" t="str">
        <f t="shared" si="69"/>
        <v/>
      </c>
    </row>
    <row r="405" spans="1:62" ht="15" customHeight="1" x14ac:dyDescent="0.45">
      <c r="A405" s="2" t="s">
        <v>149</v>
      </c>
      <c r="B405" s="2" t="s">
        <v>153</v>
      </c>
      <c r="C405" s="2">
        <v>2019</v>
      </c>
      <c r="D405" s="2">
        <v>6.3860999999999999</v>
      </c>
      <c r="E405" s="2">
        <v>6.8887999999999998</v>
      </c>
      <c r="F405" s="2" t="s">
        <v>146</v>
      </c>
      <c r="G405" s="2">
        <v>3.5499999999999997E-2</v>
      </c>
      <c r="H405" s="2" t="s">
        <v>146</v>
      </c>
      <c r="I405" s="2" t="s">
        <v>146</v>
      </c>
      <c r="J405" s="2" t="s">
        <v>146</v>
      </c>
      <c r="K405" s="2" t="s">
        <v>146</v>
      </c>
      <c r="L405" s="2" t="s">
        <v>146</v>
      </c>
      <c r="M405" s="2" t="s">
        <v>49</v>
      </c>
      <c r="N405" s="2" t="s">
        <v>146</v>
      </c>
      <c r="O405" s="2" t="s">
        <v>146</v>
      </c>
      <c r="P405" s="2">
        <v>5.1432000000000002</v>
      </c>
      <c r="Q405" s="2" t="s">
        <v>146</v>
      </c>
      <c r="R405" s="2" t="s">
        <v>146</v>
      </c>
      <c r="S405" s="2" t="s">
        <v>146</v>
      </c>
      <c r="T405" s="2" t="s">
        <v>147</v>
      </c>
      <c r="U405" s="2">
        <v>0.1057</v>
      </c>
      <c r="V405" s="2" t="s">
        <v>146</v>
      </c>
      <c r="W405" s="2" t="s">
        <v>146</v>
      </c>
      <c r="X405" s="2" t="s">
        <v>146</v>
      </c>
      <c r="Y405" s="2" t="s">
        <v>146</v>
      </c>
      <c r="Z405" s="2">
        <v>0.4531</v>
      </c>
      <c r="AA405" s="2" t="s">
        <v>146</v>
      </c>
      <c r="AB405" s="2" t="s">
        <v>146</v>
      </c>
      <c r="AC405" s="2" t="s">
        <v>146</v>
      </c>
      <c r="AD405" s="2" t="s">
        <v>146</v>
      </c>
      <c r="AE405" s="2" t="s">
        <v>146</v>
      </c>
      <c r="AF405" s="2" t="s">
        <v>146</v>
      </c>
      <c r="AG405" s="2" t="s">
        <v>146</v>
      </c>
      <c r="AH405" s="2" t="s">
        <v>146</v>
      </c>
      <c r="AI405" s="2" t="s">
        <v>146</v>
      </c>
      <c r="AJ405" s="2" t="s">
        <v>146</v>
      </c>
      <c r="AK405" s="2" t="s">
        <v>146</v>
      </c>
      <c r="AL405" s="2">
        <v>1.1513</v>
      </c>
      <c r="AM405" s="2">
        <v>1.1748000000000001</v>
      </c>
      <c r="AN405" s="2" t="s">
        <v>49</v>
      </c>
      <c r="AO405" s="2" t="s">
        <v>146</v>
      </c>
      <c r="AP405" s="2" t="s">
        <v>146</v>
      </c>
      <c r="AQ405" s="2" t="s">
        <v>146</v>
      </c>
      <c r="AR405" s="2" t="s">
        <v>146</v>
      </c>
      <c r="AV405" s="2">
        <f t="shared" si="60"/>
        <v>6.8887999999999998</v>
      </c>
      <c r="AW405" s="2">
        <f t="shared" si="61"/>
        <v>6.3860999999999999</v>
      </c>
      <c r="AX405" s="27">
        <f t="shared" si="62"/>
        <v>0.92702647776100333</v>
      </c>
      <c r="BA405" s="2">
        <f t="shared" si="63"/>
        <v>0</v>
      </c>
      <c r="BB405" s="2">
        <f t="shared" si="64"/>
        <v>0</v>
      </c>
      <c r="BC405" s="2">
        <f t="shared" si="65"/>
        <v>0</v>
      </c>
      <c r="BD405" s="2">
        <f t="shared" si="66"/>
        <v>0</v>
      </c>
      <c r="BE405" s="2">
        <f t="shared" si="67"/>
        <v>0</v>
      </c>
      <c r="BF405" s="2">
        <f t="shared" si="68"/>
        <v>0</v>
      </c>
      <c r="BJ405" s="2" t="str">
        <f t="shared" si="69"/>
        <v/>
      </c>
    </row>
    <row r="406" spans="1:62" ht="15" customHeight="1" x14ac:dyDescent="0.45">
      <c r="A406" s="2" t="s">
        <v>149</v>
      </c>
      <c r="B406" s="2" t="s">
        <v>152</v>
      </c>
      <c r="C406" s="2">
        <v>2019</v>
      </c>
      <c r="D406" s="2">
        <v>8.7323000000000004</v>
      </c>
      <c r="E406" s="2">
        <v>0.1497</v>
      </c>
      <c r="F406" s="2" t="s">
        <v>146</v>
      </c>
      <c r="G406" s="2">
        <v>0.1497</v>
      </c>
      <c r="H406" s="2" t="s">
        <v>146</v>
      </c>
      <c r="I406" s="2" t="s">
        <v>146</v>
      </c>
      <c r="J406" s="2" t="s">
        <v>146</v>
      </c>
      <c r="K406" s="2" t="s">
        <v>146</v>
      </c>
      <c r="L406" s="2" t="s">
        <v>146</v>
      </c>
      <c r="M406" s="2" t="s">
        <v>49</v>
      </c>
      <c r="N406" s="2" t="s">
        <v>146</v>
      </c>
      <c r="O406" s="2" t="s">
        <v>146</v>
      </c>
      <c r="P406" s="2" t="s">
        <v>146</v>
      </c>
      <c r="Q406" s="2" t="s">
        <v>146</v>
      </c>
      <c r="R406" s="2" t="s">
        <v>146</v>
      </c>
      <c r="S406" s="2" t="s">
        <v>146</v>
      </c>
      <c r="T406" s="2" t="s">
        <v>146</v>
      </c>
      <c r="U406" s="2" t="s">
        <v>146</v>
      </c>
      <c r="V406" s="2" t="s">
        <v>146</v>
      </c>
      <c r="W406" s="2" t="s">
        <v>146</v>
      </c>
      <c r="X406" s="2" t="s">
        <v>146</v>
      </c>
      <c r="Y406" s="2" t="s">
        <v>146</v>
      </c>
      <c r="Z406" s="2" t="s">
        <v>146</v>
      </c>
      <c r="AA406" s="2" t="s">
        <v>146</v>
      </c>
      <c r="AB406" s="2" t="s">
        <v>146</v>
      </c>
      <c r="AC406" s="2" t="s">
        <v>146</v>
      </c>
      <c r="AD406" s="2" t="s">
        <v>146</v>
      </c>
      <c r="AE406" s="2" t="s">
        <v>146</v>
      </c>
      <c r="AF406" s="2" t="s">
        <v>146</v>
      </c>
      <c r="AG406" s="2" t="s">
        <v>146</v>
      </c>
      <c r="AH406" s="2" t="s">
        <v>146</v>
      </c>
      <c r="AI406" s="2" t="s">
        <v>146</v>
      </c>
      <c r="AJ406" s="2" t="s">
        <v>146</v>
      </c>
      <c r="AK406" s="2" t="s">
        <v>146</v>
      </c>
      <c r="AL406" s="2" t="s">
        <v>146</v>
      </c>
      <c r="AM406" s="2" t="s">
        <v>146</v>
      </c>
      <c r="AN406" s="2" t="s">
        <v>49</v>
      </c>
      <c r="AO406" s="2" t="s">
        <v>146</v>
      </c>
      <c r="AP406" s="2" t="s">
        <v>146</v>
      </c>
      <c r="AQ406" s="2" t="s">
        <v>146</v>
      </c>
      <c r="AR406" s="2" t="s">
        <v>146</v>
      </c>
      <c r="AV406" s="2">
        <f t="shared" si="60"/>
        <v>0.1497</v>
      </c>
      <c r="AW406" s="2">
        <f t="shared" si="61"/>
        <v>8.7323000000000004</v>
      </c>
      <c r="AX406" s="27">
        <f t="shared" si="62"/>
        <v>58.331997327989313</v>
      </c>
      <c r="BA406" s="2">
        <f t="shared" si="63"/>
        <v>0</v>
      </c>
      <c r="BB406" s="2">
        <f t="shared" si="64"/>
        <v>0</v>
      </c>
      <c r="BC406" s="2">
        <f t="shared" si="65"/>
        <v>0</v>
      </c>
      <c r="BD406" s="2">
        <f t="shared" si="66"/>
        <v>0</v>
      </c>
      <c r="BE406" s="2">
        <f t="shared" si="67"/>
        <v>0</v>
      </c>
      <c r="BF406" s="2">
        <f t="shared" si="68"/>
        <v>0</v>
      </c>
      <c r="BJ406" s="2" t="str">
        <f t="shared" si="69"/>
        <v/>
      </c>
    </row>
    <row r="407" spans="1:62" ht="15" customHeight="1" x14ac:dyDescent="0.45">
      <c r="A407" s="2" t="s">
        <v>149</v>
      </c>
      <c r="B407" s="2" t="s">
        <v>151</v>
      </c>
      <c r="C407" s="2">
        <v>2019</v>
      </c>
      <c r="D407" s="2">
        <v>0.5524</v>
      </c>
      <c r="E407" s="2">
        <v>0.64990000000000003</v>
      </c>
      <c r="F407" s="2" t="s">
        <v>146</v>
      </c>
      <c r="G407" s="2">
        <v>3.2000000000000002E-3</v>
      </c>
      <c r="H407" s="2" t="s">
        <v>146</v>
      </c>
      <c r="I407" s="2" t="s">
        <v>146</v>
      </c>
      <c r="J407" s="2" t="s">
        <v>146</v>
      </c>
      <c r="K407" s="2" t="s">
        <v>146</v>
      </c>
      <c r="L407" s="2" t="s">
        <v>146</v>
      </c>
      <c r="M407" s="2" t="s">
        <v>49</v>
      </c>
      <c r="N407" s="2" t="s">
        <v>146</v>
      </c>
      <c r="O407" s="2" t="s">
        <v>146</v>
      </c>
      <c r="P407" s="2" t="s">
        <v>146</v>
      </c>
      <c r="Q407" s="2" t="s">
        <v>146</v>
      </c>
      <c r="R407" s="2" t="s">
        <v>146</v>
      </c>
      <c r="S407" s="2" t="s">
        <v>146</v>
      </c>
      <c r="T407" s="2" t="s">
        <v>146</v>
      </c>
      <c r="U407" s="2">
        <v>0.64670000000000005</v>
      </c>
      <c r="V407" s="2" t="s">
        <v>146</v>
      </c>
      <c r="W407" s="2" t="s">
        <v>146</v>
      </c>
      <c r="X407" s="2" t="s">
        <v>146</v>
      </c>
      <c r="Y407" s="2" t="s">
        <v>146</v>
      </c>
      <c r="Z407" s="2" t="s">
        <v>146</v>
      </c>
      <c r="AA407" s="2" t="s">
        <v>146</v>
      </c>
      <c r="AB407" s="2" t="s">
        <v>146</v>
      </c>
      <c r="AC407" s="2" t="s">
        <v>146</v>
      </c>
      <c r="AD407" s="2" t="s">
        <v>146</v>
      </c>
      <c r="AE407" s="2" t="s">
        <v>146</v>
      </c>
      <c r="AF407" s="2" t="s">
        <v>146</v>
      </c>
      <c r="AG407" s="2" t="s">
        <v>146</v>
      </c>
      <c r="AH407" s="2" t="s">
        <v>146</v>
      </c>
      <c r="AI407" s="2" t="s">
        <v>146</v>
      </c>
      <c r="AJ407" s="2" t="s">
        <v>146</v>
      </c>
      <c r="AK407" s="2" t="s">
        <v>146</v>
      </c>
      <c r="AL407" s="2" t="s">
        <v>146</v>
      </c>
      <c r="AM407" s="2" t="s">
        <v>146</v>
      </c>
      <c r="AN407" s="2" t="s">
        <v>49</v>
      </c>
      <c r="AO407" s="2" t="s">
        <v>146</v>
      </c>
      <c r="AP407" s="2" t="s">
        <v>146</v>
      </c>
      <c r="AQ407" s="2" t="s">
        <v>146</v>
      </c>
      <c r="AR407" s="2" t="s">
        <v>146</v>
      </c>
      <c r="AV407" s="2">
        <f t="shared" si="60"/>
        <v>0.64990000000000003</v>
      </c>
      <c r="AW407" s="2">
        <f t="shared" si="61"/>
        <v>0.5524</v>
      </c>
      <c r="AX407" s="27">
        <f t="shared" si="62"/>
        <v>0.8499769195260809</v>
      </c>
      <c r="BA407" s="2">
        <f t="shared" si="63"/>
        <v>0</v>
      </c>
      <c r="BB407" s="2">
        <f t="shared" si="64"/>
        <v>0</v>
      </c>
      <c r="BC407" s="2">
        <f t="shared" si="65"/>
        <v>0</v>
      </c>
      <c r="BD407" s="2">
        <f t="shared" si="66"/>
        <v>0</v>
      </c>
      <c r="BE407" s="2">
        <f t="shared" si="67"/>
        <v>0</v>
      </c>
      <c r="BF407" s="2">
        <f t="shared" si="68"/>
        <v>0</v>
      </c>
      <c r="BJ407" s="2" t="str">
        <f t="shared" si="69"/>
        <v/>
      </c>
    </row>
    <row r="408" spans="1:62" ht="15" customHeight="1" x14ac:dyDescent="0.45">
      <c r="A408" s="2" t="s">
        <v>149</v>
      </c>
      <c r="B408" s="2" t="s">
        <v>150</v>
      </c>
      <c r="C408" s="2">
        <v>2019</v>
      </c>
      <c r="D408" s="2" t="s">
        <v>146</v>
      </c>
      <c r="E408" s="2" t="s">
        <v>146</v>
      </c>
      <c r="F408" s="2" t="s">
        <v>146</v>
      </c>
      <c r="G408" s="2" t="s">
        <v>146</v>
      </c>
      <c r="H408" s="2" t="s">
        <v>146</v>
      </c>
      <c r="I408" s="2" t="s">
        <v>146</v>
      </c>
      <c r="J408" s="2" t="s">
        <v>146</v>
      </c>
      <c r="K408" s="2" t="s">
        <v>146</v>
      </c>
      <c r="L408" s="2" t="s">
        <v>146</v>
      </c>
      <c r="M408" s="2" t="s">
        <v>49</v>
      </c>
      <c r="N408" s="2" t="s">
        <v>146</v>
      </c>
      <c r="O408" s="2" t="s">
        <v>146</v>
      </c>
      <c r="P408" s="2" t="s">
        <v>146</v>
      </c>
      <c r="Q408" s="2" t="s">
        <v>146</v>
      </c>
      <c r="R408" s="2" t="s">
        <v>146</v>
      </c>
      <c r="S408" s="2" t="s">
        <v>146</v>
      </c>
      <c r="T408" s="2" t="s">
        <v>146</v>
      </c>
      <c r="U408" s="2" t="s">
        <v>146</v>
      </c>
      <c r="V408" s="2" t="s">
        <v>146</v>
      </c>
      <c r="W408" s="2" t="s">
        <v>146</v>
      </c>
      <c r="X408" s="2" t="s">
        <v>146</v>
      </c>
      <c r="Y408" s="2" t="s">
        <v>146</v>
      </c>
      <c r="Z408" s="2" t="s">
        <v>146</v>
      </c>
      <c r="AA408" s="2" t="s">
        <v>146</v>
      </c>
      <c r="AB408" s="2" t="s">
        <v>146</v>
      </c>
      <c r="AC408" s="2" t="s">
        <v>146</v>
      </c>
      <c r="AD408" s="2" t="s">
        <v>146</v>
      </c>
      <c r="AE408" s="2" t="s">
        <v>146</v>
      </c>
      <c r="AF408" s="2" t="s">
        <v>146</v>
      </c>
      <c r="AG408" s="2" t="s">
        <v>146</v>
      </c>
      <c r="AH408" s="2" t="s">
        <v>146</v>
      </c>
      <c r="AI408" s="2" t="s">
        <v>146</v>
      </c>
      <c r="AJ408" s="2" t="s">
        <v>146</v>
      </c>
      <c r="AK408" s="2" t="s">
        <v>146</v>
      </c>
      <c r="AL408" s="2" t="s">
        <v>146</v>
      </c>
      <c r="AM408" s="2" t="s">
        <v>146</v>
      </c>
      <c r="AN408" s="2" t="s">
        <v>49</v>
      </c>
      <c r="AO408" s="2" t="s">
        <v>146</v>
      </c>
      <c r="AP408" s="2" t="s">
        <v>146</v>
      </c>
      <c r="AQ408" s="2" t="s">
        <v>146</v>
      </c>
      <c r="AR408" s="2" t="s">
        <v>146</v>
      </c>
      <c r="AV408" s="2">
        <f t="shared" si="60"/>
        <v>0</v>
      </c>
      <c r="AW408" s="2">
        <f t="shared" si="61"/>
        <v>0</v>
      </c>
      <c r="AX408" s="27" t="str">
        <f t="shared" si="62"/>
        <v/>
      </c>
      <c r="BA408" s="2">
        <f t="shared" si="63"/>
        <v>0</v>
      </c>
      <c r="BB408" s="2">
        <f t="shared" si="64"/>
        <v>0</v>
      </c>
      <c r="BC408" s="2">
        <f t="shared" si="65"/>
        <v>0</v>
      </c>
      <c r="BD408" s="2">
        <f t="shared" si="66"/>
        <v>0</v>
      </c>
      <c r="BE408" s="2">
        <f t="shared" si="67"/>
        <v>0</v>
      </c>
      <c r="BF408" s="2">
        <f t="shared" si="68"/>
        <v>0</v>
      </c>
      <c r="BJ408" s="2" t="str">
        <f t="shared" si="69"/>
        <v/>
      </c>
    </row>
    <row r="409" spans="1:62" ht="15" customHeight="1" x14ac:dyDescent="0.45">
      <c r="A409" s="2" t="s">
        <v>149</v>
      </c>
      <c r="B409" s="2" t="s">
        <v>148</v>
      </c>
      <c r="C409" s="2">
        <v>2019</v>
      </c>
      <c r="D409" s="2">
        <v>5.0579999999999998</v>
      </c>
      <c r="E409" s="2">
        <v>6.8220000000000001</v>
      </c>
      <c r="F409" s="2" t="s">
        <v>146</v>
      </c>
      <c r="G409" s="2">
        <v>4.1000000000000002E-2</v>
      </c>
      <c r="H409" s="2" t="s">
        <v>146</v>
      </c>
      <c r="I409" s="2" t="s">
        <v>146</v>
      </c>
      <c r="J409" s="2" t="s">
        <v>146</v>
      </c>
      <c r="K409" s="2" t="s">
        <v>146</v>
      </c>
      <c r="L409" s="2" t="s">
        <v>146</v>
      </c>
      <c r="M409" s="2" t="s">
        <v>49</v>
      </c>
      <c r="N409" s="2" t="s">
        <v>146</v>
      </c>
      <c r="O409" s="2">
        <v>1.889</v>
      </c>
      <c r="P409" s="2" t="s">
        <v>146</v>
      </c>
      <c r="Q409" s="2" t="s">
        <v>146</v>
      </c>
      <c r="R409" s="2" t="s">
        <v>146</v>
      </c>
      <c r="S409" s="2" t="s">
        <v>146</v>
      </c>
      <c r="T409" s="2" t="s">
        <v>147</v>
      </c>
      <c r="U409" s="2" t="s">
        <v>146</v>
      </c>
      <c r="V409" s="2" t="s">
        <v>146</v>
      </c>
      <c r="W409" s="2" t="s">
        <v>146</v>
      </c>
      <c r="X409" s="2" t="s">
        <v>146</v>
      </c>
      <c r="Y409" s="2" t="s">
        <v>146</v>
      </c>
      <c r="Z409" s="2">
        <v>4.8570000000000002</v>
      </c>
      <c r="AA409" s="2" t="s">
        <v>146</v>
      </c>
      <c r="AB409" s="2" t="s">
        <v>146</v>
      </c>
      <c r="AC409" s="2" t="s">
        <v>146</v>
      </c>
      <c r="AD409" s="2" t="s">
        <v>146</v>
      </c>
      <c r="AE409" s="2" t="s">
        <v>146</v>
      </c>
      <c r="AF409" s="2" t="s">
        <v>146</v>
      </c>
      <c r="AG409" s="2" t="s">
        <v>146</v>
      </c>
      <c r="AH409" s="2" t="s">
        <v>146</v>
      </c>
      <c r="AI409" s="2" t="s">
        <v>146</v>
      </c>
      <c r="AJ409" s="2" t="s">
        <v>146</v>
      </c>
      <c r="AK409" s="2" t="s">
        <v>146</v>
      </c>
      <c r="AL409" s="2">
        <v>3.5000000000000003E-2</v>
      </c>
      <c r="AM409" s="2">
        <v>3.6999999999999998E-2</v>
      </c>
      <c r="AN409" s="2" t="s">
        <v>49</v>
      </c>
      <c r="AO409" s="2" t="s">
        <v>146</v>
      </c>
      <c r="AP409" s="2" t="s">
        <v>146</v>
      </c>
      <c r="AQ409" s="2" t="s">
        <v>146</v>
      </c>
      <c r="AR409" s="2" t="s">
        <v>146</v>
      </c>
      <c r="AV409" s="2">
        <f t="shared" si="60"/>
        <v>6.8220000000000001</v>
      </c>
      <c r="AW409" s="2">
        <f t="shared" si="61"/>
        <v>5.0579999999999998</v>
      </c>
      <c r="AX409" s="27">
        <f t="shared" si="62"/>
        <v>0.74142480211081796</v>
      </c>
      <c r="BA409" s="2">
        <f t="shared" si="63"/>
        <v>0</v>
      </c>
      <c r="BB409" s="2">
        <f t="shared" si="64"/>
        <v>0</v>
      </c>
      <c r="BC409" s="2">
        <f t="shared" si="65"/>
        <v>0</v>
      </c>
      <c r="BD409" s="2">
        <f t="shared" si="66"/>
        <v>0</v>
      </c>
      <c r="BE409" s="2">
        <f t="shared" si="67"/>
        <v>0</v>
      </c>
      <c r="BF409" s="2">
        <f t="shared" si="68"/>
        <v>0</v>
      </c>
      <c r="BJ409" s="2" t="str">
        <f t="shared" si="69"/>
        <v/>
      </c>
    </row>
  </sheetData>
  <autoFilter ref="A1:BK1" xr:uid="{DD5C56C1-C486-43AC-BF01-254F334C1205}"/>
  <conditionalFormatting sqref="B2:B1048576">
    <cfRule type="duplicateValues" dxfId="69" priority="3"/>
  </conditionalFormatting>
  <conditionalFormatting sqref="B1">
    <cfRule type="duplicateValues" dxfId="68" priority="2"/>
  </conditionalFormatting>
  <conditionalFormatting sqref="B1:B1048576">
    <cfRule type="duplicateValues" dxfId="67" priority="1"/>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51D71-F1B1-4970-99E8-D72BC31F57CF}">
  <sheetPr codeName="Blad5" filterMode="1">
    <tabColor theme="9" tint="0.39997558519241921"/>
  </sheetPr>
  <dimension ref="A1:X409"/>
  <sheetViews>
    <sheetView workbookViewId="0">
      <selection activeCell="B10" sqref="B10"/>
    </sheetView>
  </sheetViews>
  <sheetFormatPr defaultColWidth="9.1328125" defaultRowHeight="15" customHeight="1" x14ac:dyDescent="0.45"/>
  <cols>
    <col min="1" max="1" width="43.73046875" style="2" bestFit="1" customWidth="1"/>
    <col min="2" max="2" width="48" style="2" bestFit="1" customWidth="1"/>
    <col min="3" max="16384" width="9.1328125" style="2"/>
  </cols>
  <sheetData>
    <row r="1" spans="1:24" s="24" customFormat="1" ht="100.15" thickBot="1" x14ac:dyDescent="0.5">
      <c r="A1" s="23" t="s">
        <v>724</v>
      </c>
      <c r="B1" s="23" t="s">
        <v>2</v>
      </c>
      <c r="C1" s="23" t="s">
        <v>723</v>
      </c>
      <c r="D1" s="23" t="s">
        <v>827</v>
      </c>
      <c r="E1" s="23" t="s">
        <v>826</v>
      </c>
      <c r="F1" s="23" t="s">
        <v>825</v>
      </c>
      <c r="G1" s="23" t="s">
        <v>824</v>
      </c>
      <c r="H1" s="23" t="s">
        <v>823</v>
      </c>
      <c r="I1" s="23" t="s">
        <v>822</v>
      </c>
      <c r="J1" s="23" t="s">
        <v>821</v>
      </c>
      <c r="K1" s="23" t="s">
        <v>820</v>
      </c>
      <c r="L1" s="23" t="s">
        <v>819</v>
      </c>
      <c r="M1" s="23" t="s">
        <v>818</v>
      </c>
      <c r="N1" s="23" t="s">
        <v>817</v>
      </c>
      <c r="O1" s="23" t="s">
        <v>816</v>
      </c>
      <c r="P1" s="23" t="s">
        <v>815</v>
      </c>
      <c r="Q1" s="23" t="s">
        <v>814</v>
      </c>
      <c r="R1" s="23" t="s">
        <v>813</v>
      </c>
      <c r="S1" s="23" t="s">
        <v>812</v>
      </c>
      <c r="T1" s="23" t="s">
        <v>811</v>
      </c>
      <c r="U1" s="23" t="s">
        <v>810</v>
      </c>
      <c r="X1" s="24" t="s">
        <v>1197</v>
      </c>
    </row>
    <row r="2" spans="1:24" ht="14.25" x14ac:dyDescent="0.45">
      <c r="A2" s="2" t="s">
        <v>15</v>
      </c>
      <c r="B2" s="2" t="s">
        <v>16</v>
      </c>
      <c r="C2" s="2">
        <v>2019</v>
      </c>
      <c r="D2" s="2" t="s">
        <v>49</v>
      </c>
      <c r="E2" s="2" t="s">
        <v>146</v>
      </c>
      <c r="F2" s="2" t="s">
        <v>146</v>
      </c>
      <c r="G2" s="2" t="s">
        <v>146</v>
      </c>
      <c r="H2" s="2" t="s">
        <v>146</v>
      </c>
      <c r="I2" s="2" t="s">
        <v>146</v>
      </c>
      <c r="J2" s="2" t="s">
        <v>49</v>
      </c>
      <c r="K2" s="2" t="s">
        <v>146</v>
      </c>
      <c r="L2" s="2" t="s">
        <v>146</v>
      </c>
      <c r="M2" s="2" t="s">
        <v>146</v>
      </c>
      <c r="N2" s="2" t="s">
        <v>146</v>
      </c>
      <c r="O2" s="2" t="s">
        <v>146</v>
      </c>
      <c r="P2" s="2" t="s">
        <v>49</v>
      </c>
      <c r="Q2" s="2" t="s">
        <v>146</v>
      </c>
      <c r="R2" s="2" t="s">
        <v>146</v>
      </c>
      <c r="S2" s="2" t="s">
        <v>146</v>
      </c>
      <c r="T2" s="2" t="s">
        <v>146</v>
      </c>
      <c r="U2" s="2" t="s">
        <v>146</v>
      </c>
      <c r="X2" s="2">
        <f>(IF(E2="Avfall",F2,0)+IF(G2="Avfall",H2,0))/IFERROR(I2/100,0.85)+(IF(K2="Avfall",L2,0)+IF(M2="Avfall",N2,0))/IFERROR(O2/100,0.85)+(IF(Q2="avfall",R2,0)+IF(S2="avfall",T2,0))/IFERROR(U2/100,0.85)</f>
        <v>0</v>
      </c>
    </row>
    <row r="3" spans="1:24" ht="14.25" x14ac:dyDescent="0.45">
      <c r="A3" s="2" t="s">
        <v>15</v>
      </c>
      <c r="B3" s="2" t="s">
        <v>18</v>
      </c>
      <c r="C3" s="2">
        <v>2019</v>
      </c>
      <c r="D3" s="2" t="s">
        <v>49</v>
      </c>
      <c r="E3" s="2" t="s">
        <v>146</v>
      </c>
      <c r="F3" s="2" t="s">
        <v>146</v>
      </c>
      <c r="G3" s="2" t="s">
        <v>146</v>
      </c>
      <c r="H3" s="2" t="s">
        <v>146</v>
      </c>
      <c r="I3" s="2" t="s">
        <v>146</v>
      </c>
      <c r="J3" s="2" t="s">
        <v>49</v>
      </c>
      <c r="K3" s="2" t="s">
        <v>146</v>
      </c>
      <c r="L3" s="2" t="s">
        <v>146</v>
      </c>
      <c r="M3" s="2" t="s">
        <v>146</v>
      </c>
      <c r="N3" s="2" t="s">
        <v>146</v>
      </c>
      <c r="O3" s="2" t="s">
        <v>146</v>
      </c>
      <c r="P3" s="2" t="s">
        <v>49</v>
      </c>
      <c r="Q3" s="2" t="s">
        <v>146</v>
      </c>
      <c r="R3" s="2" t="s">
        <v>146</v>
      </c>
      <c r="S3" s="2" t="s">
        <v>146</v>
      </c>
      <c r="T3" s="2" t="s">
        <v>146</v>
      </c>
      <c r="U3" s="2" t="s">
        <v>146</v>
      </c>
      <c r="X3" s="2">
        <f t="shared" ref="X3:X66" si="0">(IF(E3="Avfall",F3,0)+IF(G3="Avfall",H3,0))/IFERROR(I3/100,0.85)+(IF(K3="Avfall",L3,0)+IF(M3="Avfall",N3,0))/IFERROR(O3/100,0.85)+(IF(Q3="avfall",R3,0)+IF(S3="avfall",T3,0))/IFERROR(U3/100,0.85)</f>
        <v>0</v>
      </c>
    </row>
    <row r="4" spans="1:24" ht="14.25" x14ac:dyDescent="0.45">
      <c r="A4" s="2" t="s">
        <v>15</v>
      </c>
      <c r="B4" s="2" t="s">
        <v>20</v>
      </c>
      <c r="C4" s="2">
        <v>2019</v>
      </c>
      <c r="D4" s="2" t="s">
        <v>49</v>
      </c>
      <c r="E4" s="2" t="s">
        <v>146</v>
      </c>
      <c r="F4" s="2" t="s">
        <v>146</v>
      </c>
      <c r="G4" s="2" t="s">
        <v>146</v>
      </c>
      <c r="H4" s="2" t="s">
        <v>146</v>
      </c>
      <c r="I4" s="2" t="s">
        <v>146</v>
      </c>
      <c r="J4" s="2" t="s">
        <v>49</v>
      </c>
      <c r="K4" s="2" t="s">
        <v>146</v>
      </c>
      <c r="L4" s="2" t="s">
        <v>146</v>
      </c>
      <c r="M4" s="2" t="s">
        <v>146</v>
      </c>
      <c r="N4" s="2" t="s">
        <v>146</v>
      </c>
      <c r="O4" s="2" t="s">
        <v>146</v>
      </c>
      <c r="P4" s="2" t="s">
        <v>49</v>
      </c>
      <c r="Q4" s="2" t="s">
        <v>146</v>
      </c>
      <c r="R4" s="2" t="s">
        <v>146</v>
      </c>
      <c r="S4" s="2" t="s">
        <v>146</v>
      </c>
      <c r="T4" s="2" t="s">
        <v>146</v>
      </c>
      <c r="U4" s="2" t="s">
        <v>146</v>
      </c>
      <c r="X4" s="2">
        <f t="shared" si="0"/>
        <v>0</v>
      </c>
    </row>
    <row r="5" spans="1:24" ht="14.25" x14ac:dyDescent="0.45">
      <c r="A5" s="2" t="s">
        <v>15</v>
      </c>
      <c r="B5" s="2" t="s">
        <v>22</v>
      </c>
      <c r="C5" s="2">
        <v>2019</v>
      </c>
      <c r="D5" s="2" t="s">
        <v>49</v>
      </c>
      <c r="E5" s="2" t="s">
        <v>146</v>
      </c>
      <c r="F5" s="2" t="s">
        <v>146</v>
      </c>
      <c r="G5" s="2" t="s">
        <v>146</v>
      </c>
      <c r="H5" s="2" t="s">
        <v>146</v>
      </c>
      <c r="I5" s="2" t="s">
        <v>146</v>
      </c>
      <c r="J5" s="2" t="s">
        <v>49</v>
      </c>
      <c r="K5" s="2" t="s">
        <v>146</v>
      </c>
      <c r="L5" s="2" t="s">
        <v>146</v>
      </c>
      <c r="M5" s="2" t="s">
        <v>146</v>
      </c>
      <c r="N5" s="2" t="s">
        <v>146</v>
      </c>
      <c r="O5" s="2" t="s">
        <v>146</v>
      </c>
      <c r="P5" s="2" t="s">
        <v>49</v>
      </c>
      <c r="Q5" s="2" t="s">
        <v>146</v>
      </c>
      <c r="R5" s="2" t="s">
        <v>146</v>
      </c>
      <c r="S5" s="2" t="s">
        <v>146</v>
      </c>
      <c r="T5" s="2" t="s">
        <v>146</v>
      </c>
      <c r="U5" s="2" t="s">
        <v>146</v>
      </c>
      <c r="X5" s="2">
        <f t="shared" si="0"/>
        <v>0</v>
      </c>
    </row>
    <row r="6" spans="1:24" ht="14.25" x14ac:dyDescent="0.45">
      <c r="A6" s="2" t="s">
        <v>15</v>
      </c>
      <c r="B6" s="2" t="s">
        <v>24</v>
      </c>
      <c r="C6" s="2">
        <v>2019</v>
      </c>
      <c r="D6" s="2" t="s">
        <v>49</v>
      </c>
      <c r="E6" s="2" t="s">
        <v>146</v>
      </c>
      <c r="F6" s="2" t="s">
        <v>146</v>
      </c>
      <c r="G6" s="2" t="s">
        <v>146</v>
      </c>
      <c r="H6" s="2" t="s">
        <v>146</v>
      </c>
      <c r="I6" s="2" t="s">
        <v>146</v>
      </c>
      <c r="J6" s="2" t="s">
        <v>49</v>
      </c>
      <c r="K6" s="2" t="s">
        <v>146</v>
      </c>
      <c r="L6" s="2" t="s">
        <v>146</v>
      </c>
      <c r="M6" s="2" t="s">
        <v>146</v>
      </c>
      <c r="N6" s="2" t="s">
        <v>146</v>
      </c>
      <c r="O6" s="2" t="s">
        <v>146</v>
      </c>
      <c r="P6" s="2" t="s">
        <v>49</v>
      </c>
      <c r="Q6" s="2" t="s">
        <v>146</v>
      </c>
      <c r="R6" s="2" t="s">
        <v>146</v>
      </c>
      <c r="S6" s="2" t="s">
        <v>146</v>
      </c>
      <c r="T6" s="2" t="s">
        <v>146</v>
      </c>
      <c r="U6" s="2" t="s">
        <v>146</v>
      </c>
      <c r="X6" s="2">
        <f t="shared" si="0"/>
        <v>0</v>
      </c>
    </row>
    <row r="7" spans="1:24" ht="14.25" x14ac:dyDescent="0.45">
      <c r="A7" s="2" t="s">
        <v>15</v>
      </c>
      <c r="B7" s="2" t="s">
        <v>26</v>
      </c>
      <c r="C7" s="2">
        <v>2019</v>
      </c>
      <c r="D7" s="2" t="s">
        <v>49</v>
      </c>
      <c r="E7" s="2" t="s">
        <v>146</v>
      </c>
      <c r="F7" s="2" t="s">
        <v>146</v>
      </c>
      <c r="G7" s="2" t="s">
        <v>146</v>
      </c>
      <c r="H7" s="2" t="s">
        <v>146</v>
      </c>
      <c r="I7" s="2" t="s">
        <v>146</v>
      </c>
      <c r="J7" s="2" t="s">
        <v>49</v>
      </c>
      <c r="K7" s="2" t="s">
        <v>146</v>
      </c>
      <c r="L7" s="2" t="s">
        <v>146</v>
      </c>
      <c r="M7" s="2" t="s">
        <v>146</v>
      </c>
      <c r="N7" s="2" t="s">
        <v>146</v>
      </c>
      <c r="O7" s="2" t="s">
        <v>146</v>
      </c>
      <c r="P7" s="2" t="s">
        <v>49</v>
      </c>
      <c r="Q7" s="2" t="s">
        <v>146</v>
      </c>
      <c r="R7" s="2" t="s">
        <v>146</v>
      </c>
      <c r="S7" s="2" t="s">
        <v>146</v>
      </c>
      <c r="T7" s="2" t="s">
        <v>146</v>
      </c>
      <c r="U7" s="2" t="s">
        <v>146</v>
      </c>
      <c r="X7" s="2">
        <f t="shared" si="0"/>
        <v>0</v>
      </c>
    </row>
    <row r="8" spans="1:24" ht="14.25" x14ac:dyDescent="0.45">
      <c r="A8" s="2" t="s">
        <v>15</v>
      </c>
      <c r="B8" s="2" t="s">
        <v>28</v>
      </c>
      <c r="C8" s="2">
        <v>2019</v>
      </c>
      <c r="D8" s="2" t="s">
        <v>49</v>
      </c>
      <c r="E8" s="2" t="s">
        <v>146</v>
      </c>
      <c r="F8" s="2" t="s">
        <v>146</v>
      </c>
      <c r="G8" s="2" t="s">
        <v>146</v>
      </c>
      <c r="H8" s="2" t="s">
        <v>146</v>
      </c>
      <c r="I8" s="2" t="s">
        <v>146</v>
      </c>
      <c r="J8" s="2" t="s">
        <v>49</v>
      </c>
      <c r="K8" s="2" t="s">
        <v>146</v>
      </c>
      <c r="L8" s="2" t="s">
        <v>146</v>
      </c>
      <c r="M8" s="2" t="s">
        <v>146</v>
      </c>
      <c r="N8" s="2" t="s">
        <v>146</v>
      </c>
      <c r="O8" s="2" t="s">
        <v>146</v>
      </c>
      <c r="P8" s="2" t="s">
        <v>49</v>
      </c>
      <c r="Q8" s="2" t="s">
        <v>146</v>
      </c>
      <c r="R8" s="2" t="s">
        <v>146</v>
      </c>
      <c r="S8" s="2" t="s">
        <v>146</v>
      </c>
      <c r="T8" s="2" t="s">
        <v>146</v>
      </c>
      <c r="U8" s="2" t="s">
        <v>146</v>
      </c>
      <c r="X8" s="2">
        <f t="shared" si="0"/>
        <v>0</v>
      </c>
    </row>
    <row r="9" spans="1:24" ht="14.25" x14ac:dyDescent="0.45">
      <c r="A9" s="2" t="s">
        <v>15</v>
      </c>
      <c r="B9" s="2" t="s">
        <v>30</v>
      </c>
      <c r="C9" s="2">
        <v>2019</v>
      </c>
      <c r="D9" s="2" t="s">
        <v>49</v>
      </c>
      <c r="E9" s="2" t="s">
        <v>146</v>
      </c>
      <c r="F9" s="2" t="s">
        <v>146</v>
      </c>
      <c r="G9" s="2" t="s">
        <v>146</v>
      </c>
      <c r="H9" s="2" t="s">
        <v>146</v>
      </c>
      <c r="I9" s="2" t="s">
        <v>146</v>
      </c>
      <c r="J9" s="2" t="s">
        <v>49</v>
      </c>
      <c r="K9" s="2" t="s">
        <v>146</v>
      </c>
      <c r="L9" s="2" t="s">
        <v>146</v>
      </c>
      <c r="M9" s="2" t="s">
        <v>146</v>
      </c>
      <c r="N9" s="2" t="s">
        <v>146</v>
      </c>
      <c r="O9" s="2" t="s">
        <v>146</v>
      </c>
      <c r="P9" s="2" t="s">
        <v>49</v>
      </c>
      <c r="Q9" s="2" t="s">
        <v>146</v>
      </c>
      <c r="R9" s="2" t="s">
        <v>146</v>
      </c>
      <c r="S9" s="2" t="s">
        <v>146</v>
      </c>
      <c r="T9" s="2" t="s">
        <v>146</v>
      </c>
      <c r="U9" s="2" t="s">
        <v>146</v>
      </c>
      <c r="X9" s="2">
        <f t="shared" si="0"/>
        <v>0</v>
      </c>
    </row>
    <row r="10" spans="1:24" ht="14.25" x14ac:dyDescent="0.45">
      <c r="A10" s="2" t="s">
        <v>15</v>
      </c>
      <c r="B10" s="2" t="s">
        <v>32</v>
      </c>
      <c r="C10" s="2">
        <v>2019</v>
      </c>
      <c r="D10" s="2" t="s">
        <v>809</v>
      </c>
      <c r="E10" s="2" t="s">
        <v>734</v>
      </c>
      <c r="F10" s="2">
        <v>8.8989999999999991</v>
      </c>
      <c r="G10" s="2" t="s">
        <v>146</v>
      </c>
      <c r="H10" s="2" t="s">
        <v>146</v>
      </c>
      <c r="I10" s="2" t="s">
        <v>146</v>
      </c>
      <c r="J10" s="2" t="s">
        <v>49</v>
      </c>
      <c r="K10" s="2" t="s">
        <v>146</v>
      </c>
      <c r="L10" s="2" t="s">
        <v>146</v>
      </c>
      <c r="M10" s="2" t="s">
        <v>146</v>
      </c>
      <c r="N10" s="2" t="s">
        <v>146</v>
      </c>
      <c r="O10" s="2" t="s">
        <v>146</v>
      </c>
      <c r="P10" s="2" t="s">
        <v>49</v>
      </c>
      <c r="Q10" s="2" t="s">
        <v>146</v>
      </c>
      <c r="R10" s="2" t="s">
        <v>146</v>
      </c>
      <c r="S10" s="2" t="s">
        <v>146</v>
      </c>
      <c r="T10" s="2" t="s">
        <v>146</v>
      </c>
      <c r="U10" s="2" t="s">
        <v>146</v>
      </c>
      <c r="X10" s="2">
        <f t="shared" si="0"/>
        <v>0</v>
      </c>
    </row>
    <row r="11" spans="1:24" ht="14.25" x14ac:dyDescent="0.45">
      <c r="A11" s="2" t="s">
        <v>672</v>
      </c>
      <c r="B11" s="2" t="s">
        <v>681</v>
      </c>
      <c r="C11" s="2">
        <v>2019</v>
      </c>
      <c r="D11" s="2" t="s">
        <v>808</v>
      </c>
      <c r="E11" s="2" t="s">
        <v>734</v>
      </c>
      <c r="F11" s="2">
        <v>5.91</v>
      </c>
      <c r="G11" s="2" t="s">
        <v>146</v>
      </c>
      <c r="H11" s="2" t="s">
        <v>146</v>
      </c>
      <c r="I11" s="2" t="s">
        <v>146</v>
      </c>
      <c r="J11" s="2" t="s">
        <v>49</v>
      </c>
      <c r="K11" s="2" t="s">
        <v>146</v>
      </c>
      <c r="L11" s="2" t="s">
        <v>146</v>
      </c>
      <c r="M11" s="2" t="s">
        <v>146</v>
      </c>
      <c r="N11" s="2" t="s">
        <v>146</v>
      </c>
      <c r="O11" s="2" t="s">
        <v>146</v>
      </c>
      <c r="P11" s="2" t="s">
        <v>49</v>
      </c>
      <c r="Q11" s="2" t="s">
        <v>146</v>
      </c>
      <c r="R11" s="2" t="s">
        <v>146</v>
      </c>
      <c r="S11" s="2" t="s">
        <v>146</v>
      </c>
      <c r="T11" s="2" t="s">
        <v>146</v>
      </c>
      <c r="U11" s="2" t="s">
        <v>146</v>
      </c>
      <c r="X11" s="2">
        <f t="shared" si="0"/>
        <v>0</v>
      </c>
    </row>
    <row r="12" spans="1:24" ht="14.25" x14ac:dyDescent="0.45">
      <c r="A12" s="2" t="s">
        <v>672</v>
      </c>
      <c r="B12" s="2" t="s">
        <v>680</v>
      </c>
      <c r="C12" s="2">
        <v>2019</v>
      </c>
      <c r="D12" s="2" t="s">
        <v>49</v>
      </c>
      <c r="E12" s="2" t="s">
        <v>146</v>
      </c>
      <c r="F12" s="2" t="s">
        <v>146</v>
      </c>
      <c r="G12" s="2" t="s">
        <v>146</v>
      </c>
      <c r="H12" s="2" t="s">
        <v>146</v>
      </c>
      <c r="I12" s="2" t="s">
        <v>146</v>
      </c>
      <c r="J12" s="2" t="s">
        <v>49</v>
      </c>
      <c r="K12" s="2" t="s">
        <v>146</v>
      </c>
      <c r="L12" s="2" t="s">
        <v>146</v>
      </c>
      <c r="M12" s="2" t="s">
        <v>146</v>
      </c>
      <c r="N12" s="2" t="s">
        <v>146</v>
      </c>
      <c r="O12" s="2" t="s">
        <v>146</v>
      </c>
      <c r="P12" s="2" t="s">
        <v>49</v>
      </c>
      <c r="Q12" s="2" t="s">
        <v>146</v>
      </c>
      <c r="R12" s="2" t="s">
        <v>146</v>
      </c>
      <c r="S12" s="2" t="s">
        <v>146</v>
      </c>
      <c r="T12" s="2" t="s">
        <v>146</v>
      </c>
      <c r="U12" s="2" t="s">
        <v>146</v>
      </c>
      <c r="X12" s="2">
        <f t="shared" si="0"/>
        <v>0</v>
      </c>
    </row>
    <row r="13" spans="1:24" ht="14.25" x14ac:dyDescent="0.45">
      <c r="A13" s="2" t="s">
        <v>672</v>
      </c>
      <c r="B13" s="2" t="s">
        <v>679</v>
      </c>
      <c r="C13" s="2">
        <v>2019</v>
      </c>
      <c r="D13" s="2" t="s">
        <v>49</v>
      </c>
      <c r="E13" s="2" t="s">
        <v>146</v>
      </c>
      <c r="F13" s="2" t="s">
        <v>146</v>
      </c>
      <c r="G13" s="2" t="s">
        <v>146</v>
      </c>
      <c r="H13" s="2" t="s">
        <v>146</v>
      </c>
      <c r="I13" s="2" t="s">
        <v>146</v>
      </c>
      <c r="J13" s="2" t="s">
        <v>49</v>
      </c>
      <c r="K13" s="2" t="s">
        <v>146</v>
      </c>
      <c r="L13" s="2" t="s">
        <v>146</v>
      </c>
      <c r="M13" s="2" t="s">
        <v>146</v>
      </c>
      <c r="N13" s="2" t="s">
        <v>146</v>
      </c>
      <c r="O13" s="2" t="s">
        <v>146</v>
      </c>
      <c r="P13" s="2" t="s">
        <v>49</v>
      </c>
      <c r="Q13" s="2" t="s">
        <v>146</v>
      </c>
      <c r="R13" s="2" t="s">
        <v>146</v>
      </c>
      <c r="S13" s="2" t="s">
        <v>146</v>
      </c>
      <c r="T13" s="2" t="s">
        <v>146</v>
      </c>
      <c r="U13" s="2" t="s">
        <v>146</v>
      </c>
      <c r="X13" s="2">
        <f t="shared" si="0"/>
        <v>0</v>
      </c>
    </row>
    <row r="14" spans="1:24" ht="14.25" x14ac:dyDescent="0.45">
      <c r="A14" s="2" t="s">
        <v>672</v>
      </c>
      <c r="B14" s="2" t="s">
        <v>678</v>
      </c>
      <c r="C14" s="2">
        <v>2019</v>
      </c>
      <c r="D14" s="2" t="s">
        <v>49</v>
      </c>
      <c r="E14" s="2" t="s">
        <v>146</v>
      </c>
      <c r="F14" s="2" t="s">
        <v>146</v>
      </c>
      <c r="G14" s="2" t="s">
        <v>146</v>
      </c>
      <c r="H14" s="2" t="s">
        <v>146</v>
      </c>
      <c r="I14" s="2" t="s">
        <v>146</v>
      </c>
      <c r="J14" s="2" t="s">
        <v>49</v>
      </c>
      <c r="K14" s="2" t="s">
        <v>146</v>
      </c>
      <c r="L14" s="2" t="s">
        <v>146</v>
      </c>
      <c r="M14" s="2" t="s">
        <v>146</v>
      </c>
      <c r="N14" s="2" t="s">
        <v>146</v>
      </c>
      <c r="O14" s="2" t="s">
        <v>146</v>
      </c>
      <c r="P14" s="2" t="s">
        <v>49</v>
      </c>
      <c r="Q14" s="2" t="s">
        <v>146</v>
      </c>
      <c r="R14" s="2" t="s">
        <v>146</v>
      </c>
      <c r="S14" s="2" t="s">
        <v>146</v>
      </c>
      <c r="T14" s="2" t="s">
        <v>146</v>
      </c>
      <c r="U14" s="2" t="s">
        <v>146</v>
      </c>
      <c r="X14" s="2">
        <f t="shared" si="0"/>
        <v>0</v>
      </c>
    </row>
    <row r="15" spans="1:24" ht="14.25" x14ac:dyDescent="0.45">
      <c r="A15" s="2" t="s">
        <v>672</v>
      </c>
      <c r="B15" s="2" t="s">
        <v>677</v>
      </c>
      <c r="C15" s="2">
        <v>2019</v>
      </c>
      <c r="D15" s="2" t="s">
        <v>49</v>
      </c>
      <c r="E15" s="2" t="s">
        <v>146</v>
      </c>
      <c r="F15" s="2" t="s">
        <v>146</v>
      </c>
      <c r="G15" s="2" t="s">
        <v>146</v>
      </c>
      <c r="H15" s="2" t="s">
        <v>146</v>
      </c>
      <c r="I15" s="2" t="s">
        <v>146</v>
      </c>
      <c r="J15" s="2" t="s">
        <v>49</v>
      </c>
      <c r="K15" s="2" t="s">
        <v>146</v>
      </c>
      <c r="L15" s="2" t="s">
        <v>146</v>
      </c>
      <c r="M15" s="2" t="s">
        <v>146</v>
      </c>
      <c r="N15" s="2" t="s">
        <v>146</v>
      </c>
      <c r="O15" s="2" t="s">
        <v>146</v>
      </c>
      <c r="P15" s="2" t="s">
        <v>49</v>
      </c>
      <c r="Q15" s="2" t="s">
        <v>146</v>
      </c>
      <c r="R15" s="2" t="s">
        <v>146</v>
      </c>
      <c r="S15" s="2" t="s">
        <v>146</v>
      </c>
      <c r="T15" s="2" t="s">
        <v>146</v>
      </c>
      <c r="U15" s="2" t="s">
        <v>146</v>
      </c>
      <c r="X15" s="2">
        <f t="shared" si="0"/>
        <v>0</v>
      </c>
    </row>
    <row r="16" spans="1:24" ht="14.25" x14ac:dyDescent="0.45">
      <c r="A16" s="2" t="s">
        <v>672</v>
      </c>
      <c r="B16" s="2" t="s">
        <v>676</v>
      </c>
      <c r="C16" s="2">
        <v>2019</v>
      </c>
      <c r="D16" s="2" t="s">
        <v>49</v>
      </c>
      <c r="E16" s="2" t="s">
        <v>146</v>
      </c>
      <c r="F16" s="2" t="s">
        <v>146</v>
      </c>
      <c r="G16" s="2" t="s">
        <v>146</v>
      </c>
      <c r="H16" s="2" t="s">
        <v>146</v>
      </c>
      <c r="I16" s="2" t="s">
        <v>146</v>
      </c>
      <c r="J16" s="2" t="s">
        <v>49</v>
      </c>
      <c r="K16" s="2" t="s">
        <v>146</v>
      </c>
      <c r="L16" s="2" t="s">
        <v>146</v>
      </c>
      <c r="M16" s="2" t="s">
        <v>146</v>
      </c>
      <c r="N16" s="2" t="s">
        <v>146</v>
      </c>
      <c r="O16" s="2" t="s">
        <v>146</v>
      </c>
      <c r="P16" s="2" t="s">
        <v>49</v>
      </c>
      <c r="Q16" s="2" t="s">
        <v>146</v>
      </c>
      <c r="R16" s="2" t="s">
        <v>146</v>
      </c>
      <c r="S16" s="2" t="s">
        <v>146</v>
      </c>
      <c r="T16" s="2" t="s">
        <v>146</v>
      </c>
      <c r="U16" s="2" t="s">
        <v>146</v>
      </c>
      <c r="X16" s="2">
        <f t="shared" si="0"/>
        <v>0</v>
      </c>
    </row>
    <row r="17" spans="1:24" ht="14.25" x14ac:dyDescent="0.45">
      <c r="A17" s="2" t="s">
        <v>672</v>
      </c>
      <c r="B17" s="2" t="s">
        <v>675</v>
      </c>
      <c r="C17" s="2">
        <v>2019</v>
      </c>
      <c r="D17" s="2" t="s">
        <v>49</v>
      </c>
      <c r="E17" s="2" t="s">
        <v>146</v>
      </c>
      <c r="F17" s="2" t="s">
        <v>146</v>
      </c>
      <c r="G17" s="2" t="s">
        <v>146</v>
      </c>
      <c r="H17" s="2" t="s">
        <v>146</v>
      </c>
      <c r="I17" s="2" t="s">
        <v>146</v>
      </c>
      <c r="J17" s="2" t="s">
        <v>49</v>
      </c>
      <c r="K17" s="2" t="s">
        <v>146</v>
      </c>
      <c r="L17" s="2" t="s">
        <v>146</v>
      </c>
      <c r="M17" s="2" t="s">
        <v>146</v>
      </c>
      <c r="N17" s="2" t="s">
        <v>146</v>
      </c>
      <c r="O17" s="2" t="s">
        <v>146</v>
      </c>
      <c r="P17" s="2" t="s">
        <v>49</v>
      </c>
      <c r="Q17" s="2" t="s">
        <v>146</v>
      </c>
      <c r="R17" s="2" t="s">
        <v>146</v>
      </c>
      <c r="S17" s="2" t="s">
        <v>146</v>
      </c>
      <c r="T17" s="2" t="s">
        <v>146</v>
      </c>
      <c r="U17" s="2" t="s">
        <v>146</v>
      </c>
      <c r="X17" s="2">
        <f t="shared" si="0"/>
        <v>0</v>
      </c>
    </row>
    <row r="18" spans="1:24" ht="14.25" x14ac:dyDescent="0.45">
      <c r="A18" s="2" t="s">
        <v>672</v>
      </c>
      <c r="B18" s="2" t="s">
        <v>674</v>
      </c>
      <c r="C18" s="2">
        <v>2019</v>
      </c>
      <c r="D18" s="2" t="s">
        <v>49</v>
      </c>
      <c r="E18" s="2" t="s">
        <v>146</v>
      </c>
      <c r="F18" s="2" t="s">
        <v>146</v>
      </c>
      <c r="G18" s="2" t="s">
        <v>146</v>
      </c>
      <c r="H18" s="2" t="s">
        <v>146</v>
      </c>
      <c r="I18" s="2" t="s">
        <v>146</v>
      </c>
      <c r="J18" s="2" t="s">
        <v>49</v>
      </c>
      <c r="K18" s="2" t="s">
        <v>146</v>
      </c>
      <c r="L18" s="2" t="s">
        <v>146</v>
      </c>
      <c r="M18" s="2" t="s">
        <v>146</v>
      </c>
      <c r="N18" s="2" t="s">
        <v>146</v>
      </c>
      <c r="O18" s="2" t="s">
        <v>146</v>
      </c>
      <c r="P18" s="2" t="s">
        <v>49</v>
      </c>
      <c r="Q18" s="2" t="s">
        <v>146</v>
      </c>
      <c r="R18" s="2" t="s">
        <v>146</v>
      </c>
      <c r="S18" s="2" t="s">
        <v>146</v>
      </c>
      <c r="T18" s="2" t="s">
        <v>146</v>
      </c>
      <c r="U18" s="2" t="s">
        <v>146</v>
      </c>
      <c r="X18" s="2">
        <f t="shared" si="0"/>
        <v>0</v>
      </c>
    </row>
    <row r="19" spans="1:24" ht="14.25" x14ac:dyDescent="0.45">
      <c r="A19" s="2" t="s">
        <v>672</v>
      </c>
      <c r="B19" s="2" t="s">
        <v>673</v>
      </c>
      <c r="C19" s="2">
        <v>2019</v>
      </c>
      <c r="D19" s="2" t="s">
        <v>49</v>
      </c>
      <c r="E19" s="2" t="s">
        <v>146</v>
      </c>
      <c r="F19" s="2" t="s">
        <v>146</v>
      </c>
      <c r="G19" s="2" t="s">
        <v>146</v>
      </c>
      <c r="H19" s="2" t="s">
        <v>146</v>
      </c>
      <c r="I19" s="2" t="s">
        <v>146</v>
      </c>
      <c r="J19" s="2" t="s">
        <v>49</v>
      </c>
      <c r="K19" s="2" t="s">
        <v>146</v>
      </c>
      <c r="L19" s="2" t="s">
        <v>146</v>
      </c>
      <c r="M19" s="2" t="s">
        <v>146</v>
      </c>
      <c r="N19" s="2" t="s">
        <v>146</v>
      </c>
      <c r="O19" s="2" t="s">
        <v>146</v>
      </c>
      <c r="P19" s="2" t="s">
        <v>49</v>
      </c>
      <c r="Q19" s="2" t="s">
        <v>146</v>
      </c>
      <c r="R19" s="2" t="s">
        <v>146</v>
      </c>
      <c r="S19" s="2" t="s">
        <v>146</v>
      </c>
      <c r="T19" s="2" t="s">
        <v>146</v>
      </c>
      <c r="U19" s="2" t="s">
        <v>146</v>
      </c>
      <c r="X19" s="2">
        <f t="shared" si="0"/>
        <v>0</v>
      </c>
    </row>
    <row r="20" spans="1:24" ht="14.25" x14ac:dyDescent="0.45">
      <c r="A20" s="2" t="s">
        <v>672</v>
      </c>
      <c r="B20" s="2" t="s">
        <v>671</v>
      </c>
      <c r="C20" s="2">
        <v>2019</v>
      </c>
      <c r="D20" s="2" t="s">
        <v>49</v>
      </c>
      <c r="E20" s="2" t="s">
        <v>146</v>
      </c>
      <c r="F20" s="2" t="s">
        <v>146</v>
      </c>
      <c r="G20" s="2" t="s">
        <v>146</v>
      </c>
      <c r="H20" s="2" t="s">
        <v>146</v>
      </c>
      <c r="I20" s="2" t="s">
        <v>146</v>
      </c>
      <c r="J20" s="2" t="s">
        <v>49</v>
      </c>
      <c r="K20" s="2" t="s">
        <v>146</v>
      </c>
      <c r="L20" s="2" t="s">
        <v>146</v>
      </c>
      <c r="M20" s="2" t="s">
        <v>146</v>
      </c>
      <c r="N20" s="2" t="s">
        <v>146</v>
      </c>
      <c r="O20" s="2" t="s">
        <v>146</v>
      </c>
      <c r="P20" s="2" t="s">
        <v>49</v>
      </c>
      <c r="Q20" s="2" t="s">
        <v>146</v>
      </c>
      <c r="R20" s="2" t="s">
        <v>146</v>
      </c>
      <c r="S20" s="2" t="s">
        <v>146</v>
      </c>
      <c r="T20" s="2" t="s">
        <v>146</v>
      </c>
      <c r="U20" s="2" t="s">
        <v>146</v>
      </c>
      <c r="X20" s="2">
        <f t="shared" si="0"/>
        <v>0</v>
      </c>
    </row>
    <row r="21" spans="1:24" ht="14.25" x14ac:dyDescent="0.45">
      <c r="A21" s="2" t="s">
        <v>666</v>
      </c>
      <c r="B21" s="2" t="s">
        <v>670</v>
      </c>
      <c r="C21" s="2">
        <v>2019</v>
      </c>
      <c r="D21" s="2" t="s">
        <v>49</v>
      </c>
      <c r="E21" s="2" t="s">
        <v>146</v>
      </c>
      <c r="F21" s="2" t="s">
        <v>146</v>
      </c>
      <c r="G21" s="2" t="s">
        <v>146</v>
      </c>
      <c r="H21" s="2" t="s">
        <v>146</v>
      </c>
      <c r="I21" s="2" t="s">
        <v>146</v>
      </c>
      <c r="J21" s="2" t="s">
        <v>49</v>
      </c>
      <c r="K21" s="2" t="s">
        <v>146</v>
      </c>
      <c r="L21" s="2" t="s">
        <v>146</v>
      </c>
      <c r="M21" s="2" t="s">
        <v>146</v>
      </c>
      <c r="N21" s="2" t="s">
        <v>146</v>
      </c>
      <c r="O21" s="2" t="s">
        <v>146</v>
      </c>
      <c r="P21" s="2" t="s">
        <v>49</v>
      </c>
      <c r="Q21" s="2" t="s">
        <v>146</v>
      </c>
      <c r="R21" s="2" t="s">
        <v>146</v>
      </c>
      <c r="S21" s="2" t="s">
        <v>146</v>
      </c>
      <c r="T21" s="2" t="s">
        <v>146</v>
      </c>
      <c r="U21" s="2" t="s">
        <v>146</v>
      </c>
      <c r="X21" s="2">
        <f t="shared" si="0"/>
        <v>0</v>
      </c>
    </row>
    <row r="22" spans="1:24" ht="14.25" x14ac:dyDescent="0.45">
      <c r="A22" s="2" t="s">
        <v>666</v>
      </c>
      <c r="B22" s="2" t="s">
        <v>669</v>
      </c>
      <c r="C22" s="2">
        <v>2019</v>
      </c>
      <c r="D22" s="2" t="s">
        <v>49</v>
      </c>
      <c r="E22" s="2" t="s">
        <v>146</v>
      </c>
      <c r="F22" s="2" t="s">
        <v>146</v>
      </c>
      <c r="G22" s="2" t="s">
        <v>146</v>
      </c>
      <c r="H22" s="2" t="s">
        <v>146</v>
      </c>
      <c r="I22" s="2" t="s">
        <v>146</v>
      </c>
      <c r="J22" s="2" t="s">
        <v>49</v>
      </c>
      <c r="K22" s="2" t="s">
        <v>146</v>
      </c>
      <c r="L22" s="2" t="s">
        <v>146</v>
      </c>
      <c r="M22" s="2" t="s">
        <v>146</v>
      </c>
      <c r="N22" s="2" t="s">
        <v>146</v>
      </c>
      <c r="O22" s="2" t="s">
        <v>146</v>
      </c>
      <c r="P22" s="2" t="s">
        <v>49</v>
      </c>
      <c r="Q22" s="2" t="s">
        <v>146</v>
      </c>
      <c r="R22" s="2" t="s">
        <v>146</v>
      </c>
      <c r="S22" s="2" t="s">
        <v>146</v>
      </c>
      <c r="T22" s="2" t="s">
        <v>146</v>
      </c>
      <c r="U22" s="2" t="s">
        <v>146</v>
      </c>
      <c r="X22" s="2">
        <f t="shared" si="0"/>
        <v>0</v>
      </c>
    </row>
    <row r="23" spans="1:24" ht="14.25" x14ac:dyDescent="0.45">
      <c r="A23" s="2" t="s">
        <v>666</v>
      </c>
      <c r="B23" s="2" t="s">
        <v>668</v>
      </c>
      <c r="C23" s="2">
        <v>2019</v>
      </c>
      <c r="D23" s="2" t="s">
        <v>49</v>
      </c>
      <c r="E23" s="2" t="s">
        <v>146</v>
      </c>
      <c r="F23" s="2" t="s">
        <v>146</v>
      </c>
      <c r="G23" s="2" t="s">
        <v>146</v>
      </c>
      <c r="H23" s="2" t="s">
        <v>146</v>
      </c>
      <c r="I23" s="2" t="s">
        <v>146</v>
      </c>
      <c r="J23" s="2" t="s">
        <v>49</v>
      </c>
      <c r="K23" s="2" t="s">
        <v>146</v>
      </c>
      <c r="L23" s="2" t="s">
        <v>146</v>
      </c>
      <c r="M23" s="2" t="s">
        <v>146</v>
      </c>
      <c r="N23" s="2" t="s">
        <v>146</v>
      </c>
      <c r="O23" s="2" t="s">
        <v>146</v>
      </c>
      <c r="P23" s="2" t="s">
        <v>49</v>
      </c>
      <c r="Q23" s="2" t="s">
        <v>146</v>
      </c>
      <c r="R23" s="2" t="s">
        <v>146</v>
      </c>
      <c r="S23" s="2" t="s">
        <v>146</v>
      </c>
      <c r="T23" s="2" t="s">
        <v>146</v>
      </c>
      <c r="U23" s="2" t="s">
        <v>146</v>
      </c>
      <c r="X23" s="2">
        <f t="shared" si="0"/>
        <v>0</v>
      </c>
    </row>
    <row r="24" spans="1:24" ht="14.25" x14ac:dyDescent="0.45">
      <c r="A24" s="2" t="s">
        <v>666</v>
      </c>
      <c r="B24" s="2" t="s">
        <v>667</v>
      </c>
      <c r="C24" s="2">
        <v>2019</v>
      </c>
      <c r="D24" s="2" t="s">
        <v>49</v>
      </c>
      <c r="E24" s="2" t="s">
        <v>146</v>
      </c>
      <c r="F24" s="2" t="s">
        <v>146</v>
      </c>
      <c r="G24" s="2" t="s">
        <v>146</v>
      </c>
      <c r="H24" s="2" t="s">
        <v>146</v>
      </c>
      <c r="I24" s="2" t="s">
        <v>146</v>
      </c>
      <c r="J24" s="2" t="s">
        <v>49</v>
      </c>
      <c r="K24" s="2" t="s">
        <v>146</v>
      </c>
      <c r="L24" s="2" t="s">
        <v>146</v>
      </c>
      <c r="M24" s="2" t="s">
        <v>146</v>
      </c>
      <c r="N24" s="2" t="s">
        <v>146</v>
      </c>
      <c r="O24" s="2" t="s">
        <v>146</v>
      </c>
      <c r="P24" s="2" t="s">
        <v>49</v>
      </c>
      <c r="Q24" s="2" t="s">
        <v>146</v>
      </c>
      <c r="R24" s="2" t="s">
        <v>146</v>
      </c>
      <c r="S24" s="2" t="s">
        <v>146</v>
      </c>
      <c r="T24" s="2" t="s">
        <v>146</v>
      </c>
      <c r="U24" s="2" t="s">
        <v>146</v>
      </c>
      <c r="X24" s="2">
        <f t="shared" si="0"/>
        <v>0</v>
      </c>
    </row>
    <row r="25" spans="1:24" ht="14.25" x14ac:dyDescent="0.45">
      <c r="A25" s="2" t="s">
        <v>666</v>
      </c>
      <c r="B25" s="2" t="s">
        <v>665</v>
      </c>
      <c r="C25" s="2">
        <v>2019</v>
      </c>
      <c r="D25" s="2" t="s">
        <v>49</v>
      </c>
      <c r="E25" s="2" t="s">
        <v>146</v>
      </c>
      <c r="F25" s="2" t="s">
        <v>146</v>
      </c>
      <c r="G25" s="2" t="s">
        <v>146</v>
      </c>
      <c r="H25" s="2" t="s">
        <v>146</v>
      </c>
      <c r="I25" s="2" t="s">
        <v>146</v>
      </c>
      <c r="J25" s="2" t="s">
        <v>49</v>
      </c>
      <c r="K25" s="2" t="s">
        <v>146</v>
      </c>
      <c r="L25" s="2" t="s">
        <v>146</v>
      </c>
      <c r="M25" s="2" t="s">
        <v>146</v>
      </c>
      <c r="N25" s="2" t="s">
        <v>146</v>
      </c>
      <c r="O25" s="2" t="s">
        <v>146</v>
      </c>
      <c r="P25" s="2" t="s">
        <v>49</v>
      </c>
      <c r="Q25" s="2" t="s">
        <v>146</v>
      </c>
      <c r="R25" s="2" t="s">
        <v>146</v>
      </c>
      <c r="S25" s="2" t="s">
        <v>146</v>
      </c>
      <c r="T25" s="2" t="s">
        <v>146</v>
      </c>
      <c r="U25" s="2" t="s">
        <v>146</v>
      </c>
      <c r="X25" s="2">
        <f t="shared" si="0"/>
        <v>0</v>
      </c>
    </row>
    <row r="26" spans="1:24" ht="14.25" x14ac:dyDescent="0.45">
      <c r="A26" s="2" t="s">
        <v>664</v>
      </c>
      <c r="B26" s="2" t="s">
        <v>663</v>
      </c>
      <c r="C26" s="2">
        <v>2019</v>
      </c>
      <c r="D26" s="2" t="s">
        <v>49</v>
      </c>
      <c r="E26" s="2" t="s">
        <v>146</v>
      </c>
      <c r="F26" s="2" t="s">
        <v>146</v>
      </c>
      <c r="G26" s="2" t="s">
        <v>146</v>
      </c>
      <c r="H26" s="2" t="s">
        <v>146</v>
      </c>
      <c r="I26" s="2" t="s">
        <v>146</v>
      </c>
      <c r="J26" s="2" t="s">
        <v>49</v>
      </c>
      <c r="K26" s="2" t="s">
        <v>146</v>
      </c>
      <c r="L26" s="2" t="s">
        <v>146</v>
      </c>
      <c r="M26" s="2" t="s">
        <v>146</v>
      </c>
      <c r="N26" s="2" t="s">
        <v>146</v>
      </c>
      <c r="O26" s="2" t="s">
        <v>146</v>
      </c>
      <c r="P26" s="2" t="s">
        <v>49</v>
      </c>
      <c r="Q26" s="2" t="s">
        <v>146</v>
      </c>
      <c r="R26" s="2" t="s">
        <v>146</v>
      </c>
      <c r="S26" s="2" t="s">
        <v>146</v>
      </c>
      <c r="T26" s="2" t="s">
        <v>146</v>
      </c>
      <c r="U26" s="2" t="s">
        <v>146</v>
      </c>
      <c r="X26" s="2">
        <f t="shared" si="0"/>
        <v>0</v>
      </c>
    </row>
    <row r="27" spans="1:24" ht="14.25" x14ac:dyDescent="0.45">
      <c r="A27" s="2" t="s">
        <v>660</v>
      </c>
      <c r="B27" s="2" t="s">
        <v>662</v>
      </c>
      <c r="C27" s="2">
        <v>2019</v>
      </c>
      <c r="D27" s="2" t="s">
        <v>49</v>
      </c>
      <c r="E27" s="2" t="s">
        <v>146</v>
      </c>
      <c r="F27" s="2" t="s">
        <v>146</v>
      </c>
      <c r="G27" s="2" t="s">
        <v>146</v>
      </c>
      <c r="H27" s="2" t="s">
        <v>146</v>
      </c>
      <c r="I27" s="2" t="s">
        <v>146</v>
      </c>
      <c r="J27" s="2" t="s">
        <v>658</v>
      </c>
      <c r="K27" s="2" t="s">
        <v>146</v>
      </c>
      <c r="L27" s="2" t="s">
        <v>146</v>
      </c>
      <c r="M27" s="2" t="s">
        <v>146</v>
      </c>
      <c r="N27" s="2" t="s">
        <v>146</v>
      </c>
      <c r="O27" s="2" t="s">
        <v>146</v>
      </c>
      <c r="P27" s="2" t="s">
        <v>658</v>
      </c>
      <c r="Q27" s="2" t="s">
        <v>146</v>
      </c>
      <c r="R27" s="2" t="s">
        <v>146</v>
      </c>
      <c r="S27" s="2" t="s">
        <v>146</v>
      </c>
      <c r="T27" s="2" t="s">
        <v>146</v>
      </c>
      <c r="U27" s="2" t="s">
        <v>146</v>
      </c>
      <c r="X27" s="2">
        <f t="shared" si="0"/>
        <v>0</v>
      </c>
    </row>
    <row r="28" spans="1:24" ht="14.25" x14ac:dyDescent="0.45">
      <c r="A28" s="2" t="s">
        <v>660</v>
      </c>
      <c r="B28" s="2" t="s">
        <v>661</v>
      </c>
      <c r="C28" s="2">
        <v>2019</v>
      </c>
      <c r="D28" s="2" t="s">
        <v>49</v>
      </c>
      <c r="E28" s="2" t="s">
        <v>146</v>
      </c>
      <c r="F28" s="2" t="s">
        <v>146</v>
      </c>
      <c r="G28" s="2" t="s">
        <v>146</v>
      </c>
      <c r="H28" s="2" t="s">
        <v>146</v>
      </c>
      <c r="I28" s="2" t="s">
        <v>146</v>
      </c>
      <c r="J28" s="2" t="s">
        <v>49</v>
      </c>
      <c r="K28" s="2" t="s">
        <v>146</v>
      </c>
      <c r="L28" s="2" t="s">
        <v>146</v>
      </c>
      <c r="M28" s="2" t="s">
        <v>146</v>
      </c>
      <c r="N28" s="2" t="s">
        <v>146</v>
      </c>
      <c r="O28" s="2" t="s">
        <v>146</v>
      </c>
      <c r="P28" s="2" t="s">
        <v>49</v>
      </c>
      <c r="Q28" s="2" t="s">
        <v>146</v>
      </c>
      <c r="R28" s="2" t="s">
        <v>146</v>
      </c>
      <c r="S28" s="2" t="s">
        <v>146</v>
      </c>
      <c r="T28" s="2" t="s">
        <v>146</v>
      </c>
      <c r="U28" s="2" t="s">
        <v>146</v>
      </c>
      <c r="X28" s="2">
        <f t="shared" si="0"/>
        <v>0</v>
      </c>
    </row>
    <row r="29" spans="1:24" ht="14.25" x14ac:dyDescent="0.45">
      <c r="A29" s="2" t="s">
        <v>660</v>
      </c>
      <c r="B29" s="2" t="s">
        <v>659</v>
      </c>
      <c r="C29" s="2">
        <v>2019</v>
      </c>
      <c r="D29" s="2" t="s">
        <v>49</v>
      </c>
      <c r="E29" s="2" t="s">
        <v>146</v>
      </c>
      <c r="F29" s="2" t="s">
        <v>146</v>
      </c>
      <c r="G29" s="2" t="s">
        <v>146</v>
      </c>
      <c r="H29" s="2" t="s">
        <v>146</v>
      </c>
      <c r="I29" s="2" t="s">
        <v>146</v>
      </c>
      <c r="J29" s="2" t="s">
        <v>49</v>
      </c>
      <c r="K29" s="2" t="s">
        <v>146</v>
      </c>
      <c r="L29" s="2" t="s">
        <v>146</v>
      </c>
      <c r="M29" s="2" t="s">
        <v>146</v>
      </c>
      <c r="N29" s="2" t="s">
        <v>146</v>
      </c>
      <c r="O29" s="2" t="s">
        <v>146</v>
      </c>
      <c r="P29" s="2" t="s">
        <v>49</v>
      </c>
      <c r="Q29" s="2" t="s">
        <v>146</v>
      </c>
      <c r="R29" s="2" t="s">
        <v>146</v>
      </c>
      <c r="S29" s="2" t="s">
        <v>146</v>
      </c>
      <c r="T29" s="2" t="s">
        <v>146</v>
      </c>
      <c r="U29" s="2" t="s">
        <v>146</v>
      </c>
      <c r="X29" s="2">
        <f t="shared" si="0"/>
        <v>0</v>
      </c>
    </row>
    <row r="30" spans="1:24" ht="14.25" x14ac:dyDescent="0.45">
      <c r="A30" s="2" t="s">
        <v>657</v>
      </c>
      <c r="B30" s="2" t="s">
        <v>656</v>
      </c>
      <c r="C30" s="2">
        <v>2019</v>
      </c>
      <c r="D30" s="2" t="s">
        <v>49</v>
      </c>
      <c r="E30" s="2" t="s">
        <v>146</v>
      </c>
      <c r="F30" s="2" t="s">
        <v>146</v>
      </c>
      <c r="G30" s="2" t="s">
        <v>146</v>
      </c>
      <c r="H30" s="2" t="s">
        <v>146</v>
      </c>
      <c r="I30" s="2" t="s">
        <v>146</v>
      </c>
      <c r="J30" s="2" t="s">
        <v>49</v>
      </c>
      <c r="K30" s="2" t="s">
        <v>146</v>
      </c>
      <c r="L30" s="2" t="s">
        <v>146</v>
      </c>
      <c r="M30" s="2" t="s">
        <v>146</v>
      </c>
      <c r="N30" s="2" t="s">
        <v>146</v>
      </c>
      <c r="O30" s="2" t="s">
        <v>146</v>
      </c>
      <c r="P30" s="2" t="s">
        <v>49</v>
      </c>
      <c r="Q30" s="2" t="s">
        <v>146</v>
      </c>
      <c r="R30" s="2" t="s">
        <v>146</v>
      </c>
      <c r="S30" s="2" t="s">
        <v>146</v>
      </c>
      <c r="T30" s="2" t="s">
        <v>146</v>
      </c>
      <c r="U30" s="2" t="s">
        <v>146</v>
      </c>
      <c r="X30" s="2">
        <f t="shared" si="0"/>
        <v>0</v>
      </c>
    </row>
    <row r="31" spans="1:24" ht="14.25" x14ac:dyDescent="0.45">
      <c r="A31" s="2" t="s">
        <v>53</v>
      </c>
      <c r="B31" s="2" t="s">
        <v>54</v>
      </c>
      <c r="C31" s="2">
        <v>2019</v>
      </c>
      <c r="D31" s="2" t="s">
        <v>49</v>
      </c>
      <c r="E31" s="2" t="s">
        <v>146</v>
      </c>
      <c r="F31" s="2" t="s">
        <v>146</v>
      </c>
      <c r="G31" s="2" t="s">
        <v>146</v>
      </c>
      <c r="H31" s="2" t="s">
        <v>146</v>
      </c>
      <c r="I31" s="2" t="s">
        <v>146</v>
      </c>
      <c r="J31" s="2" t="s">
        <v>49</v>
      </c>
      <c r="K31" s="2" t="s">
        <v>146</v>
      </c>
      <c r="L31" s="2" t="s">
        <v>146</v>
      </c>
      <c r="M31" s="2" t="s">
        <v>146</v>
      </c>
      <c r="N31" s="2" t="s">
        <v>146</v>
      </c>
      <c r="O31" s="2" t="s">
        <v>146</v>
      </c>
      <c r="P31" s="2" t="s">
        <v>49</v>
      </c>
      <c r="Q31" s="2" t="s">
        <v>146</v>
      </c>
      <c r="R31" s="2" t="s">
        <v>146</v>
      </c>
      <c r="S31" s="2" t="s">
        <v>146</v>
      </c>
      <c r="T31" s="2" t="s">
        <v>146</v>
      </c>
      <c r="U31" s="2" t="s">
        <v>146</v>
      </c>
      <c r="X31" s="2">
        <f t="shared" si="0"/>
        <v>0</v>
      </c>
    </row>
    <row r="32" spans="1:24" ht="14.25" x14ac:dyDescent="0.45">
      <c r="A32" s="2" t="s">
        <v>655</v>
      </c>
      <c r="B32" s="2" t="s">
        <v>654</v>
      </c>
      <c r="C32" s="2">
        <v>2019</v>
      </c>
      <c r="D32" s="2" t="s">
        <v>49</v>
      </c>
      <c r="E32" s="2" t="s">
        <v>146</v>
      </c>
      <c r="F32" s="2" t="s">
        <v>146</v>
      </c>
      <c r="G32" s="2" t="s">
        <v>146</v>
      </c>
      <c r="H32" s="2" t="s">
        <v>146</v>
      </c>
      <c r="I32" s="2" t="s">
        <v>146</v>
      </c>
      <c r="J32" s="2" t="s">
        <v>49</v>
      </c>
      <c r="K32" s="2" t="s">
        <v>146</v>
      </c>
      <c r="L32" s="2" t="s">
        <v>146</v>
      </c>
      <c r="M32" s="2" t="s">
        <v>146</v>
      </c>
      <c r="N32" s="2" t="s">
        <v>146</v>
      </c>
      <c r="O32" s="2" t="s">
        <v>146</v>
      </c>
      <c r="P32" s="2" t="s">
        <v>49</v>
      </c>
      <c r="Q32" s="2" t="s">
        <v>146</v>
      </c>
      <c r="R32" s="2" t="s">
        <v>146</v>
      </c>
      <c r="S32" s="2" t="s">
        <v>146</v>
      </c>
      <c r="T32" s="2" t="s">
        <v>146</v>
      </c>
      <c r="U32" s="2" t="s">
        <v>146</v>
      </c>
      <c r="X32" s="2">
        <f t="shared" si="0"/>
        <v>0</v>
      </c>
    </row>
    <row r="33" spans="1:24" ht="14.25" x14ac:dyDescent="0.45">
      <c r="A33" s="2" t="s">
        <v>653</v>
      </c>
      <c r="B33" s="2" t="s">
        <v>652</v>
      </c>
      <c r="C33" s="2">
        <v>2019</v>
      </c>
      <c r="D33" s="2" t="s">
        <v>49</v>
      </c>
      <c r="E33" s="2" t="s">
        <v>146</v>
      </c>
      <c r="F33" s="2" t="s">
        <v>146</v>
      </c>
      <c r="G33" s="2" t="s">
        <v>146</v>
      </c>
      <c r="H33" s="2" t="s">
        <v>146</v>
      </c>
      <c r="I33" s="2" t="s">
        <v>146</v>
      </c>
      <c r="J33" s="2" t="s">
        <v>49</v>
      </c>
      <c r="K33" s="2" t="s">
        <v>146</v>
      </c>
      <c r="L33" s="2" t="s">
        <v>146</v>
      </c>
      <c r="M33" s="2" t="s">
        <v>146</v>
      </c>
      <c r="N33" s="2" t="s">
        <v>146</v>
      </c>
      <c r="O33" s="2" t="s">
        <v>146</v>
      </c>
      <c r="P33" s="2" t="s">
        <v>49</v>
      </c>
      <c r="Q33" s="2" t="s">
        <v>146</v>
      </c>
      <c r="R33" s="2" t="s">
        <v>146</v>
      </c>
      <c r="S33" s="2" t="s">
        <v>146</v>
      </c>
      <c r="T33" s="2" t="s">
        <v>146</v>
      </c>
      <c r="U33" s="2" t="s">
        <v>146</v>
      </c>
      <c r="X33" s="2">
        <f t="shared" si="0"/>
        <v>0</v>
      </c>
    </row>
    <row r="34" spans="1:24" ht="14.25" x14ac:dyDescent="0.45">
      <c r="A34" s="2" t="s">
        <v>651</v>
      </c>
      <c r="B34" s="2" t="s">
        <v>62</v>
      </c>
      <c r="C34" s="2">
        <v>2019</v>
      </c>
      <c r="D34" s="2" t="s">
        <v>49</v>
      </c>
      <c r="E34" s="2" t="s">
        <v>146</v>
      </c>
      <c r="F34" s="2" t="s">
        <v>146</v>
      </c>
      <c r="G34" s="2" t="s">
        <v>146</v>
      </c>
      <c r="H34" s="2" t="s">
        <v>146</v>
      </c>
      <c r="I34" s="2" t="s">
        <v>146</v>
      </c>
      <c r="J34" s="2" t="s">
        <v>146</v>
      </c>
      <c r="K34" s="2" t="s">
        <v>146</v>
      </c>
      <c r="L34" s="2" t="s">
        <v>146</v>
      </c>
      <c r="M34" s="2" t="s">
        <v>146</v>
      </c>
      <c r="N34" s="2" t="s">
        <v>146</v>
      </c>
      <c r="O34" s="2" t="s">
        <v>146</v>
      </c>
      <c r="P34" s="2" t="s">
        <v>146</v>
      </c>
      <c r="Q34" s="2" t="s">
        <v>146</v>
      </c>
      <c r="R34" s="2" t="s">
        <v>146</v>
      </c>
      <c r="S34" s="2" t="s">
        <v>146</v>
      </c>
      <c r="T34" s="2" t="s">
        <v>146</v>
      </c>
      <c r="U34" s="2" t="s">
        <v>146</v>
      </c>
      <c r="X34" s="2">
        <f t="shared" si="0"/>
        <v>0</v>
      </c>
    </row>
    <row r="35" spans="1:24" ht="14.25" x14ac:dyDescent="0.45">
      <c r="A35" s="2" t="s">
        <v>647</v>
      </c>
      <c r="B35" s="2" t="s">
        <v>650</v>
      </c>
      <c r="C35" s="2">
        <v>2019</v>
      </c>
      <c r="D35" s="2" t="s">
        <v>49</v>
      </c>
      <c r="E35" s="2" t="s">
        <v>146</v>
      </c>
      <c r="F35" s="2" t="s">
        <v>146</v>
      </c>
      <c r="G35" s="2" t="s">
        <v>146</v>
      </c>
      <c r="H35" s="2" t="s">
        <v>146</v>
      </c>
      <c r="I35" s="2" t="s">
        <v>146</v>
      </c>
      <c r="J35" s="2" t="s">
        <v>49</v>
      </c>
      <c r="K35" s="2" t="s">
        <v>146</v>
      </c>
      <c r="L35" s="2" t="s">
        <v>146</v>
      </c>
      <c r="M35" s="2" t="s">
        <v>146</v>
      </c>
      <c r="N35" s="2" t="s">
        <v>146</v>
      </c>
      <c r="O35" s="2" t="s">
        <v>146</v>
      </c>
      <c r="P35" s="2" t="s">
        <v>49</v>
      </c>
      <c r="Q35" s="2" t="s">
        <v>146</v>
      </c>
      <c r="R35" s="2" t="s">
        <v>146</v>
      </c>
      <c r="S35" s="2" t="s">
        <v>146</v>
      </c>
      <c r="T35" s="2" t="s">
        <v>146</v>
      </c>
      <c r="U35" s="2" t="s">
        <v>146</v>
      </c>
      <c r="X35" s="2">
        <f t="shared" si="0"/>
        <v>0</v>
      </c>
    </row>
    <row r="36" spans="1:24" ht="14.25" x14ac:dyDescent="0.45">
      <c r="A36" s="2" t="s">
        <v>647</v>
      </c>
      <c r="B36" s="2" t="s">
        <v>649</v>
      </c>
      <c r="C36" s="2">
        <v>2019</v>
      </c>
      <c r="D36" s="2" t="s">
        <v>49</v>
      </c>
      <c r="E36" s="2" t="s">
        <v>146</v>
      </c>
      <c r="F36" s="2" t="s">
        <v>146</v>
      </c>
      <c r="G36" s="2" t="s">
        <v>146</v>
      </c>
      <c r="H36" s="2" t="s">
        <v>146</v>
      </c>
      <c r="I36" s="2" t="s">
        <v>146</v>
      </c>
      <c r="J36" s="2" t="s">
        <v>49</v>
      </c>
      <c r="K36" s="2" t="s">
        <v>146</v>
      </c>
      <c r="L36" s="2" t="s">
        <v>146</v>
      </c>
      <c r="M36" s="2" t="s">
        <v>146</v>
      </c>
      <c r="N36" s="2" t="s">
        <v>146</v>
      </c>
      <c r="O36" s="2" t="s">
        <v>146</v>
      </c>
      <c r="P36" s="2" t="s">
        <v>49</v>
      </c>
      <c r="Q36" s="2" t="s">
        <v>146</v>
      </c>
      <c r="R36" s="2" t="s">
        <v>146</v>
      </c>
      <c r="S36" s="2" t="s">
        <v>146</v>
      </c>
      <c r="T36" s="2" t="s">
        <v>146</v>
      </c>
      <c r="U36" s="2" t="s">
        <v>146</v>
      </c>
      <c r="X36" s="2">
        <f t="shared" si="0"/>
        <v>0</v>
      </c>
    </row>
    <row r="37" spans="1:24" ht="14.25" x14ac:dyDescent="0.45">
      <c r="A37" s="2" t="s">
        <v>647</v>
      </c>
      <c r="B37" s="2" t="s">
        <v>646</v>
      </c>
      <c r="C37" s="2">
        <v>2019</v>
      </c>
      <c r="D37" s="2" t="s">
        <v>49</v>
      </c>
      <c r="E37" s="2" t="s">
        <v>146</v>
      </c>
      <c r="F37" s="2" t="s">
        <v>146</v>
      </c>
      <c r="G37" s="2" t="s">
        <v>146</v>
      </c>
      <c r="H37" s="2" t="s">
        <v>146</v>
      </c>
      <c r="I37" s="2" t="s">
        <v>146</v>
      </c>
      <c r="J37" s="2" t="s">
        <v>49</v>
      </c>
      <c r="K37" s="2" t="s">
        <v>146</v>
      </c>
      <c r="L37" s="2" t="s">
        <v>146</v>
      </c>
      <c r="M37" s="2" t="s">
        <v>146</v>
      </c>
      <c r="N37" s="2" t="s">
        <v>146</v>
      </c>
      <c r="O37" s="2" t="s">
        <v>146</v>
      </c>
      <c r="P37" s="2" t="s">
        <v>49</v>
      </c>
      <c r="Q37" s="2" t="s">
        <v>146</v>
      </c>
      <c r="R37" s="2" t="s">
        <v>146</v>
      </c>
      <c r="S37" s="2" t="s">
        <v>146</v>
      </c>
      <c r="T37" s="2" t="s">
        <v>146</v>
      </c>
      <c r="U37" s="2" t="s">
        <v>146</v>
      </c>
      <c r="X37" s="2">
        <f t="shared" si="0"/>
        <v>0</v>
      </c>
    </row>
    <row r="38" spans="1:24" ht="14.25" x14ac:dyDescent="0.45">
      <c r="A38" s="2" t="s">
        <v>644</v>
      </c>
      <c r="B38" s="2" t="s">
        <v>645</v>
      </c>
      <c r="C38" s="2">
        <v>2019</v>
      </c>
      <c r="D38" s="2" t="s">
        <v>49</v>
      </c>
      <c r="E38" s="2" t="s">
        <v>146</v>
      </c>
      <c r="F38" s="2" t="s">
        <v>146</v>
      </c>
      <c r="G38" s="2" t="s">
        <v>146</v>
      </c>
      <c r="H38" s="2" t="s">
        <v>146</v>
      </c>
      <c r="I38" s="2" t="s">
        <v>146</v>
      </c>
      <c r="J38" s="2" t="s">
        <v>49</v>
      </c>
      <c r="K38" s="2" t="s">
        <v>146</v>
      </c>
      <c r="L38" s="2" t="s">
        <v>146</v>
      </c>
      <c r="M38" s="2" t="s">
        <v>146</v>
      </c>
      <c r="N38" s="2" t="s">
        <v>146</v>
      </c>
      <c r="O38" s="2" t="s">
        <v>146</v>
      </c>
      <c r="P38" s="2" t="s">
        <v>49</v>
      </c>
      <c r="Q38" s="2" t="s">
        <v>146</v>
      </c>
      <c r="R38" s="2" t="s">
        <v>146</v>
      </c>
      <c r="S38" s="2" t="s">
        <v>146</v>
      </c>
      <c r="T38" s="2" t="s">
        <v>146</v>
      </c>
      <c r="U38" s="2" t="s">
        <v>146</v>
      </c>
      <c r="X38" s="2">
        <f t="shared" si="0"/>
        <v>0</v>
      </c>
    </row>
    <row r="39" spans="1:24" ht="14.25" x14ac:dyDescent="0.45">
      <c r="A39" s="2" t="s">
        <v>644</v>
      </c>
      <c r="B39" s="2" t="s">
        <v>643</v>
      </c>
      <c r="C39" s="2">
        <v>2019</v>
      </c>
      <c r="D39" s="2" t="s">
        <v>49</v>
      </c>
      <c r="E39" s="2" t="s">
        <v>146</v>
      </c>
      <c r="F39" s="2" t="s">
        <v>146</v>
      </c>
      <c r="G39" s="2" t="s">
        <v>146</v>
      </c>
      <c r="H39" s="2" t="s">
        <v>146</v>
      </c>
      <c r="I39" s="2" t="s">
        <v>146</v>
      </c>
      <c r="J39" s="2" t="s">
        <v>49</v>
      </c>
      <c r="K39" s="2" t="s">
        <v>146</v>
      </c>
      <c r="L39" s="2" t="s">
        <v>146</v>
      </c>
      <c r="M39" s="2" t="s">
        <v>146</v>
      </c>
      <c r="N39" s="2" t="s">
        <v>146</v>
      </c>
      <c r="O39" s="2" t="s">
        <v>146</v>
      </c>
      <c r="P39" s="2" t="s">
        <v>49</v>
      </c>
      <c r="Q39" s="2" t="s">
        <v>146</v>
      </c>
      <c r="R39" s="2" t="s">
        <v>146</v>
      </c>
      <c r="S39" s="2" t="s">
        <v>146</v>
      </c>
      <c r="T39" s="2" t="s">
        <v>146</v>
      </c>
      <c r="U39" s="2" t="s">
        <v>146</v>
      </c>
      <c r="X39" s="2">
        <f t="shared" si="0"/>
        <v>0</v>
      </c>
    </row>
    <row r="40" spans="1:24" ht="14.25" x14ac:dyDescent="0.45">
      <c r="A40" s="2" t="s">
        <v>640</v>
      </c>
      <c r="B40" s="2" t="s">
        <v>642</v>
      </c>
      <c r="C40" s="2">
        <v>2019</v>
      </c>
      <c r="D40" s="2" t="s">
        <v>807</v>
      </c>
      <c r="E40" s="2" t="s">
        <v>734</v>
      </c>
      <c r="F40" s="2">
        <v>134.10499999999999</v>
      </c>
      <c r="G40" s="2" t="s">
        <v>146</v>
      </c>
      <c r="H40" s="2" t="s">
        <v>146</v>
      </c>
      <c r="I40" s="2" t="s">
        <v>146</v>
      </c>
      <c r="J40" s="2" t="s">
        <v>49</v>
      </c>
      <c r="K40" s="2" t="s">
        <v>146</v>
      </c>
      <c r="L40" s="2" t="s">
        <v>146</v>
      </c>
      <c r="M40" s="2" t="s">
        <v>146</v>
      </c>
      <c r="N40" s="2" t="s">
        <v>146</v>
      </c>
      <c r="O40" s="2" t="s">
        <v>146</v>
      </c>
      <c r="P40" s="2" t="s">
        <v>49</v>
      </c>
      <c r="Q40" s="2" t="s">
        <v>146</v>
      </c>
      <c r="R40" s="2" t="s">
        <v>146</v>
      </c>
      <c r="S40" s="2" t="s">
        <v>146</v>
      </c>
      <c r="T40" s="2" t="s">
        <v>146</v>
      </c>
      <c r="U40" s="2" t="s">
        <v>146</v>
      </c>
      <c r="X40" s="2">
        <f t="shared" si="0"/>
        <v>0</v>
      </c>
    </row>
    <row r="41" spans="1:24" ht="14.25" x14ac:dyDescent="0.45">
      <c r="A41" s="2" t="s">
        <v>640</v>
      </c>
      <c r="B41" s="2" t="s">
        <v>641</v>
      </c>
      <c r="C41" s="2">
        <v>2019</v>
      </c>
      <c r="D41" s="2" t="s">
        <v>49</v>
      </c>
      <c r="E41" s="2" t="s">
        <v>146</v>
      </c>
      <c r="F41" s="2" t="s">
        <v>146</v>
      </c>
      <c r="G41" s="2" t="s">
        <v>146</v>
      </c>
      <c r="H41" s="2" t="s">
        <v>146</v>
      </c>
      <c r="I41" s="2" t="s">
        <v>146</v>
      </c>
      <c r="J41" s="2" t="s">
        <v>49</v>
      </c>
      <c r="K41" s="2" t="s">
        <v>146</v>
      </c>
      <c r="L41" s="2" t="s">
        <v>146</v>
      </c>
      <c r="M41" s="2" t="s">
        <v>146</v>
      </c>
      <c r="N41" s="2" t="s">
        <v>146</v>
      </c>
      <c r="O41" s="2" t="s">
        <v>146</v>
      </c>
      <c r="P41" s="2" t="s">
        <v>49</v>
      </c>
      <c r="Q41" s="2" t="s">
        <v>146</v>
      </c>
      <c r="R41" s="2" t="s">
        <v>146</v>
      </c>
      <c r="S41" s="2" t="s">
        <v>146</v>
      </c>
      <c r="T41" s="2" t="s">
        <v>146</v>
      </c>
      <c r="U41" s="2" t="s">
        <v>146</v>
      </c>
      <c r="X41" s="2">
        <f t="shared" si="0"/>
        <v>0</v>
      </c>
    </row>
    <row r="42" spans="1:24" ht="14.25" x14ac:dyDescent="0.45">
      <c r="A42" s="2" t="s">
        <v>640</v>
      </c>
      <c r="B42" s="2" t="s">
        <v>639</v>
      </c>
      <c r="C42" s="2">
        <v>2019</v>
      </c>
      <c r="D42" s="2" t="s">
        <v>49</v>
      </c>
      <c r="E42" s="2" t="s">
        <v>146</v>
      </c>
      <c r="F42" s="2" t="s">
        <v>146</v>
      </c>
      <c r="G42" s="2" t="s">
        <v>146</v>
      </c>
      <c r="H42" s="2" t="s">
        <v>146</v>
      </c>
      <c r="I42" s="2" t="s">
        <v>146</v>
      </c>
      <c r="J42" s="2" t="s">
        <v>49</v>
      </c>
      <c r="K42" s="2" t="s">
        <v>146</v>
      </c>
      <c r="L42" s="2" t="s">
        <v>146</v>
      </c>
      <c r="M42" s="2" t="s">
        <v>146</v>
      </c>
      <c r="N42" s="2" t="s">
        <v>146</v>
      </c>
      <c r="O42" s="2" t="s">
        <v>146</v>
      </c>
      <c r="P42" s="2" t="s">
        <v>49</v>
      </c>
      <c r="Q42" s="2" t="s">
        <v>146</v>
      </c>
      <c r="R42" s="2" t="s">
        <v>146</v>
      </c>
      <c r="S42" s="2" t="s">
        <v>146</v>
      </c>
      <c r="T42" s="2" t="s">
        <v>146</v>
      </c>
      <c r="U42" s="2" t="s">
        <v>146</v>
      </c>
      <c r="X42" s="2">
        <f t="shared" si="0"/>
        <v>0</v>
      </c>
    </row>
    <row r="43" spans="1:24" ht="14.25" x14ac:dyDescent="0.45">
      <c r="A43" s="2" t="s">
        <v>637</v>
      </c>
      <c r="B43" s="2" t="s">
        <v>638</v>
      </c>
      <c r="C43" s="2">
        <v>2019</v>
      </c>
      <c r="D43" s="2" t="s">
        <v>176</v>
      </c>
      <c r="E43" s="2" t="s">
        <v>146</v>
      </c>
      <c r="F43" s="2" t="s">
        <v>146</v>
      </c>
      <c r="G43" s="2" t="s">
        <v>146</v>
      </c>
      <c r="H43" s="2" t="s">
        <v>146</v>
      </c>
      <c r="I43" s="2" t="s">
        <v>146</v>
      </c>
      <c r="J43" s="2" t="s">
        <v>176</v>
      </c>
      <c r="K43" s="2" t="s">
        <v>146</v>
      </c>
      <c r="L43" s="2" t="s">
        <v>146</v>
      </c>
      <c r="M43" s="2" t="s">
        <v>146</v>
      </c>
      <c r="N43" s="2" t="s">
        <v>146</v>
      </c>
      <c r="O43" s="2" t="s">
        <v>146</v>
      </c>
      <c r="P43" s="2" t="s">
        <v>176</v>
      </c>
      <c r="Q43" s="2" t="s">
        <v>146</v>
      </c>
      <c r="R43" s="2" t="s">
        <v>146</v>
      </c>
      <c r="S43" s="2" t="s">
        <v>146</v>
      </c>
      <c r="T43" s="2" t="s">
        <v>146</v>
      </c>
      <c r="U43" s="2" t="s">
        <v>146</v>
      </c>
      <c r="X43" s="2">
        <f t="shared" si="0"/>
        <v>0</v>
      </c>
    </row>
    <row r="44" spans="1:24" ht="14.25" x14ac:dyDescent="0.45">
      <c r="A44" s="2" t="s">
        <v>637</v>
      </c>
      <c r="B44" s="2" t="s">
        <v>636</v>
      </c>
      <c r="C44" s="2">
        <v>2019</v>
      </c>
      <c r="D44" s="2" t="s">
        <v>176</v>
      </c>
      <c r="E44" s="2" t="s">
        <v>146</v>
      </c>
      <c r="F44" s="2" t="s">
        <v>146</v>
      </c>
      <c r="G44" s="2" t="s">
        <v>146</v>
      </c>
      <c r="H44" s="2" t="s">
        <v>146</v>
      </c>
      <c r="I44" s="2" t="s">
        <v>146</v>
      </c>
      <c r="J44" s="2" t="s">
        <v>176</v>
      </c>
      <c r="K44" s="2" t="s">
        <v>146</v>
      </c>
      <c r="L44" s="2" t="s">
        <v>146</v>
      </c>
      <c r="M44" s="2" t="s">
        <v>146</v>
      </c>
      <c r="N44" s="2" t="s">
        <v>146</v>
      </c>
      <c r="O44" s="2" t="s">
        <v>146</v>
      </c>
      <c r="P44" s="2" t="s">
        <v>176</v>
      </c>
      <c r="Q44" s="2" t="s">
        <v>146</v>
      </c>
      <c r="R44" s="2" t="s">
        <v>146</v>
      </c>
      <c r="S44" s="2" t="s">
        <v>146</v>
      </c>
      <c r="T44" s="2" t="s">
        <v>146</v>
      </c>
      <c r="U44" s="2" t="s">
        <v>146</v>
      </c>
      <c r="X44" s="2">
        <f t="shared" si="0"/>
        <v>0</v>
      </c>
    </row>
    <row r="45" spans="1:24" ht="14.25" x14ac:dyDescent="0.45">
      <c r="A45" s="2" t="s">
        <v>635</v>
      </c>
      <c r="B45" s="2" t="s">
        <v>634</v>
      </c>
      <c r="C45" s="2">
        <v>2019</v>
      </c>
      <c r="D45" s="2" t="s">
        <v>49</v>
      </c>
      <c r="E45" s="2" t="s">
        <v>146</v>
      </c>
      <c r="F45" s="2" t="s">
        <v>146</v>
      </c>
      <c r="G45" s="2" t="s">
        <v>146</v>
      </c>
      <c r="H45" s="2" t="s">
        <v>146</v>
      </c>
      <c r="I45" s="2" t="s">
        <v>146</v>
      </c>
      <c r="J45" s="2" t="s">
        <v>49</v>
      </c>
      <c r="K45" s="2" t="s">
        <v>146</v>
      </c>
      <c r="L45" s="2" t="s">
        <v>146</v>
      </c>
      <c r="M45" s="2" t="s">
        <v>146</v>
      </c>
      <c r="N45" s="2" t="s">
        <v>146</v>
      </c>
      <c r="O45" s="2" t="s">
        <v>146</v>
      </c>
      <c r="P45" s="2" t="s">
        <v>49</v>
      </c>
      <c r="Q45" s="2" t="s">
        <v>146</v>
      </c>
      <c r="R45" s="2" t="s">
        <v>146</v>
      </c>
      <c r="S45" s="2" t="s">
        <v>146</v>
      </c>
      <c r="T45" s="2" t="s">
        <v>146</v>
      </c>
      <c r="U45" s="2" t="s">
        <v>146</v>
      </c>
      <c r="X45" s="2">
        <f t="shared" si="0"/>
        <v>0</v>
      </c>
    </row>
    <row r="46" spans="1:24" ht="14.25" x14ac:dyDescent="0.45">
      <c r="A46" s="2" t="s">
        <v>633</v>
      </c>
      <c r="B46" s="2" t="s">
        <v>65</v>
      </c>
      <c r="C46" s="2">
        <v>2019</v>
      </c>
      <c r="D46" s="2" t="s">
        <v>49</v>
      </c>
      <c r="E46" s="2" t="s">
        <v>49</v>
      </c>
      <c r="F46" s="2" t="s">
        <v>49</v>
      </c>
      <c r="G46" s="2" t="s">
        <v>49</v>
      </c>
      <c r="H46" s="2" t="s">
        <v>49</v>
      </c>
      <c r="I46" s="2" t="s">
        <v>49</v>
      </c>
      <c r="J46" s="2" t="s">
        <v>49</v>
      </c>
      <c r="K46" s="2" t="s">
        <v>49</v>
      </c>
      <c r="L46" s="2" t="s">
        <v>49</v>
      </c>
      <c r="M46" s="2" t="s">
        <v>49</v>
      </c>
      <c r="N46" s="2" t="s">
        <v>49</v>
      </c>
      <c r="O46" s="2" t="s">
        <v>49</v>
      </c>
      <c r="P46" s="2" t="s">
        <v>49</v>
      </c>
      <c r="Q46" s="2" t="s">
        <v>49</v>
      </c>
      <c r="R46" s="2" t="s">
        <v>49</v>
      </c>
      <c r="S46" s="2" t="s">
        <v>49</v>
      </c>
      <c r="T46" s="2" t="s">
        <v>49</v>
      </c>
      <c r="U46" s="2" t="s">
        <v>49</v>
      </c>
      <c r="X46" s="2">
        <f t="shared" si="0"/>
        <v>0</v>
      </c>
    </row>
    <row r="47" spans="1:24" ht="14.25" x14ac:dyDescent="0.45">
      <c r="A47" s="2" t="s">
        <v>631</v>
      </c>
      <c r="B47" s="2" t="s">
        <v>632</v>
      </c>
      <c r="C47" s="2">
        <v>2019</v>
      </c>
      <c r="D47" s="2" t="s">
        <v>49</v>
      </c>
      <c r="E47" s="2" t="s">
        <v>146</v>
      </c>
      <c r="F47" s="2" t="s">
        <v>146</v>
      </c>
      <c r="G47" s="2" t="s">
        <v>146</v>
      </c>
      <c r="H47" s="2" t="s">
        <v>146</v>
      </c>
      <c r="I47" s="2" t="s">
        <v>146</v>
      </c>
      <c r="J47" s="2" t="s">
        <v>49</v>
      </c>
      <c r="K47" s="2" t="s">
        <v>146</v>
      </c>
      <c r="L47" s="2" t="s">
        <v>146</v>
      </c>
      <c r="M47" s="2" t="s">
        <v>146</v>
      </c>
      <c r="N47" s="2" t="s">
        <v>146</v>
      </c>
      <c r="O47" s="2" t="s">
        <v>146</v>
      </c>
      <c r="P47" s="2" t="s">
        <v>49</v>
      </c>
      <c r="Q47" s="2" t="s">
        <v>146</v>
      </c>
      <c r="R47" s="2" t="s">
        <v>146</v>
      </c>
      <c r="S47" s="2" t="s">
        <v>146</v>
      </c>
      <c r="T47" s="2" t="s">
        <v>146</v>
      </c>
      <c r="U47" s="2" t="s">
        <v>146</v>
      </c>
      <c r="X47" s="2">
        <f t="shared" si="0"/>
        <v>0</v>
      </c>
    </row>
    <row r="48" spans="1:24" ht="14.25" x14ac:dyDescent="0.45">
      <c r="A48" s="2" t="s">
        <v>631</v>
      </c>
      <c r="B48" s="2" t="s">
        <v>630</v>
      </c>
      <c r="C48" s="2">
        <v>2019</v>
      </c>
      <c r="D48" s="2" t="s">
        <v>49</v>
      </c>
      <c r="E48" s="2" t="s">
        <v>146</v>
      </c>
      <c r="F48" s="2" t="s">
        <v>146</v>
      </c>
      <c r="G48" s="2" t="s">
        <v>146</v>
      </c>
      <c r="H48" s="2" t="s">
        <v>146</v>
      </c>
      <c r="I48" s="2" t="s">
        <v>146</v>
      </c>
      <c r="J48" s="2" t="s">
        <v>49</v>
      </c>
      <c r="K48" s="2" t="s">
        <v>146</v>
      </c>
      <c r="L48" s="2" t="s">
        <v>146</v>
      </c>
      <c r="M48" s="2" t="s">
        <v>146</v>
      </c>
      <c r="N48" s="2" t="s">
        <v>146</v>
      </c>
      <c r="O48" s="2" t="s">
        <v>146</v>
      </c>
      <c r="P48" s="2" t="s">
        <v>49</v>
      </c>
      <c r="Q48" s="2" t="s">
        <v>146</v>
      </c>
      <c r="R48" s="2" t="s">
        <v>146</v>
      </c>
      <c r="S48" s="2" t="s">
        <v>146</v>
      </c>
      <c r="T48" s="2" t="s">
        <v>146</v>
      </c>
      <c r="U48" s="2" t="s">
        <v>146</v>
      </c>
      <c r="X48" s="2">
        <f t="shared" si="0"/>
        <v>0</v>
      </c>
    </row>
    <row r="49" spans="1:24" ht="14.25" x14ac:dyDescent="0.45">
      <c r="A49" s="2" t="s">
        <v>628</v>
      </c>
      <c r="B49" s="2" t="s">
        <v>629</v>
      </c>
      <c r="C49" s="2">
        <v>2019</v>
      </c>
      <c r="D49" s="2" t="s">
        <v>806</v>
      </c>
      <c r="E49" s="2" t="s">
        <v>734</v>
      </c>
      <c r="F49" s="2">
        <v>12.446999999999999</v>
      </c>
      <c r="G49" s="2" t="s">
        <v>146</v>
      </c>
      <c r="H49" s="2" t="s">
        <v>146</v>
      </c>
      <c r="I49" s="2">
        <v>91</v>
      </c>
      <c r="J49" s="2" t="s">
        <v>49</v>
      </c>
      <c r="K49" s="2" t="s">
        <v>146</v>
      </c>
      <c r="L49" s="2" t="s">
        <v>146</v>
      </c>
      <c r="M49" s="2" t="s">
        <v>146</v>
      </c>
      <c r="N49" s="2" t="s">
        <v>146</v>
      </c>
      <c r="O49" s="2" t="s">
        <v>146</v>
      </c>
      <c r="P49" s="2" t="s">
        <v>49</v>
      </c>
      <c r="Q49" s="2" t="s">
        <v>146</v>
      </c>
      <c r="R49" s="2" t="s">
        <v>146</v>
      </c>
      <c r="S49" s="2" t="s">
        <v>146</v>
      </c>
      <c r="T49" s="2" t="s">
        <v>146</v>
      </c>
      <c r="U49" s="2" t="s">
        <v>146</v>
      </c>
      <c r="X49" s="2">
        <f t="shared" si="0"/>
        <v>0</v>
      </c>
    </row>
    <row r="50" spans="1:24" ht="14.25" x14ac:dyDescent="0.45">
      <c r="A50" s="2" t="s">
        <v>628</v>
      </c>
      <c r="B50" s="2" t="s">
        <v>627</v>
      </c>
      <c r="C50" s="2">
        <v>2019</v>
      </c>
      <c r="D50" s="2" t="s">
        <v>49</v>
      </c>
      <c r="E50" s="2" t="s">
        <v>146</v>
      </c>
      <c r="F50" s="2" t="s">
        <v>146</v>
      </c>
      <c r="G50" s="2" t="s">
        <v>146</v>
      </c>
      <c r="H50" s="2" t="s">
        <v>146</v>
      </c>
      <c r="I50" s="2" t="s">
        <v>146</v>
      </c>
      <c r="J50" s="2" t="s">
        <v>49</v>
      </c>
      <c r="K50" s="2" t="s">
        <v>146</v>
      </c>
      <c r="L50" s="2" t="s">
        <v>146</v>
      </c>
      <c r="M50" s="2" t="s">
        <v>146</v>
      </c>
      <c r="N50" s="2" t="s">
        <v>146</v>
      </c>
      <c r="O50" s="2" t="s">
        <v>146</v>
      </c>
      <c r="P50" s="2" t="s">
        <v>49</v>
      </c>
      <c r="Q50" s="2" t="s">
        <v>146</v>
      </c>
      <c r="R50" s="2" t="s">
        <v>146</v>
      </c>
      <c r="S50" s="2" t="s">
        <v>146</v>
      </c>
      <c r="T50" s="2" t="s">
        <v>146</v>
      </c>
      <c r="U50" s="2" t="s">
        <v>146</v>
      </c>
      <c r="X50" s="2">
        <f t="shared" si="0"/>
        <v>0</v>
      </c>
    </row>
    <row r="51" spans="1:24" ht="14.25" x14ac:dyDescent="0.45">
      <c r="A51" s="2" t="s">
        <v>623</v>
      </c>
      <c r="B51" s="2" t="s">
        <v>626</v>
      </c>
      <c r="C51" s="2">
        <v>2019</v>
      </c>
      <c r="D51" s="2" t="s">
        <v>176</v>
      </c>
      <c r="E51" s="2" t="s">
        <v>146</v>
      </c>
      <c r="F51" s="2" t="s">
        <v>146</v>
      </c>
      <c r="G51" s="2" t="s">
        <v>146</v>
      </c>
      <c r="H51" s="2" t="s">
        <v>146</v>
      </c>
      <c r="I51" s="2" t="s">
        <v>146</v>
      </c>
      <c r="J51" s="2" t="s">
        <v>176</v>
      </c>
      <c r="K51" s="2" t="s">
        <v>146</v>
      </c>
      <c r="L51" s="2" t="s">
        <v>146</v>
      </c>
      <c r="M51" s="2" t="s">
        <v>146</v>
      </c>
      <c r="N51" s="2" t="s">
        <v>146</v>
      </c>
      <c r="O51" s="2" t="s">
        <v>146</v>
      </c>
      <c r="P51" s="2" t="s">
        <v>176</v>
      </c>
      <c r="Q51" s="2" t="s">
        <v>146</v>
      </c>
      <c r="R51" s="2" t="s">
        <v>146</v>
      </c>
      <c r="S51" s="2" t="s">
        <v>146</v>
      </c>
      <c r="T51" s="2" t="s">
        <v>146</v>
      </c>
      <c r="U51" s="2" t="s">
        <v>146</v>
      </c>
      <c r="X51" s="2">
        <f t="shared" si="0"/>
        <v>0</v>
      </c>
    </row>
    <row r="52" spans="1:24" ht="14.25" x14ac:dyDescent="0.45">
      <c r="A52" s="2" t="s">
        <v>623</v>
      </c>
      <c r="B52" s="2" t="s">
        <v>625</v>
      </c>
      <c r="C52" s="2">
        <v>2019</v>
      </c>
      <c r="D52" s="2" t="s">
        <v>49</v>
      </c>
      <c r="E52" s="2" t="s">
        <v>49</v>
      </c>
      <c r="F52" s="2" t="s">
        <v>49</v>
      </c>
      <c r="G52" s="2" t="s">
        <v>49</v>
      </c>
      <c r="H52" s="2" t="s">
        <v>49</v>
      </c>
      <c r="I52" s="2" t="s">
        <v>49</v>
      </c>
      <c r="J52" s="2" t="s">
        <v>49</v>
      </c>
      <c r="K52" s="2" t="s">
        <v>49</v>
      </c>
      <c r="L52" s="2" t="s">
        <v>49</v>
      </c>
      <c r="M52" s="2" t="s">
        <v>49</v>
      </c>
      <c r="N52" s="2" t="s">
        <v>49</v>
      </c>
      <c r="O52" s="2" t="s">
        <v>49</v>
      </c>
      <c r="P52" s="2" t="s">
        <v>49</v>
      </c>
      <c r="Q52" s="2" t="s">
        <v>49</v>
      </c>
      <c r="R52" s="2" t="s">
        <v>49</v>
      </c>
      <c r="S52" s="2" t="s">
        <v>49</v>
      </c>
      <c r="T52" s="2" t="s">
        <v>49</v>
      </c>
      <c r="U52" s="2" t="s">
        <v>49</v>
      </c>
      <c r="X52" s="2">
        <f t="shared" si="0"/>
        <v>0</v>
      </c>
    </row>
    <row r="53" spans="1:24" ht="14.25" x14ac:dyDescent="0.45">
      <c r="A53" s="2" t="s">
        <v>623</v>
      </c>
      <c r="B53" s="2" t="s">
        <v>624</v>
      </c>
      <c r="C53" s="2">
        <v>2019</v>
      </c>
      <c r="D53" s="2" t="s">
        <v>176</v>
      </c>
      <c r="E53" s="2" t="s">
        <v>146</v>
      </c>
      <c r="F53" s="2" t="s">
        <v>146</v>
      </c>
      <c r="G53" s="2" t="s">
        <v>146</v>
      </c>
      <c r="H53" s="2" t="s">
        <v>146</v>
      </c>
      <c r="I53" s="2" t="s">
        <v>146</v>
      </c>
      <c r="J53" s="2" t="s">
        <v>176</v>
      </c>
      <c r="K53" s="2" t="s">
        <v>146</v>
      </c>
      <c r="L53" s="2" t="s">
        <v>146</v>
      </c>
      <c r="M53" s="2" t="s">
        <v>146</v>
      </c>
      <c r="N53" s="2" t="s">
        <v>146</v>
      </c>
      <c r="O53" s="2" t="s">
        <v>146</v>
      </c>
      <c r="P53" s="2" t="s">
        <v>176</v>
      </c>
      <c r="Q53" s="2" t="s">
        <v>146</v>
      </c>
      <c r="R53" s="2" t="s">
        <v>146</v>
      </c>
      <c r="S53" s="2" t="s">
        <v>146</v>
      </c>
      <c r="T53" s="2" t="s">
        <v>146</v>
      </c>
      <c r="U53" s="2" t="s">
        <v>146</v>
      </c>
      <c r="X53" s="2">
        <f t="shared" si="0"/>
        <v>0</v>
      </c>
    </row>
    <row r="54" spans="1:24" ht="14.25" x14ac:dyDescent="0.45">
      <c r="A54" s="2" t="s">
        <v>623</v>
      </c>
      <c r="B54" s="2" t="s">
        <v>622</v>
      </c>
      <c r="C54" s="2">
        <v>2019</v>
      </c>
      <c r="D54" s="2" t="s">
        <v>176</v>
      </c>
      <c r="E54" s="2" t="s">
        <v>786</v>
      </c>
      <c r="F54" s="2" t="s">
        <v>146</v>
      </c>
      <c r="G54" s="2" t="s">
        <v>146</v>
      </c>
      <c r="H54" s="2" t="s">
        <v>146</v>
      </c>
      <c r="I54" s="2" t="s">
        <v>146</v>
      </c>
      <c r="J54" s="2" t="s">
        <v>176</v>
      </c>
      <c r="K54" s="2" t="s">
        <v>146</v>
      </c>
      <c r="L54" s="2" t="s">
        <v>146</v>
      </c>
      <c r="M54" s="2" t="s">
        <v>146</v>
      </c>
      <c r="N54" s="2" t="s">
        <v>146</v>
      </c>
      <c r="O54" s="2" t="s">
        <v>146</v>
      </c>
      <c r="P54" s="2" t="s">
        <v>176</v>
      </c>
      <c r="Q54" s="2" t="s">
        <v>146</v>
      </c>
      <c r="R54" s="2" t="s">
        <v>146</v>
      </c>
      <c r="S54" s="2" t="s">
        <v>146</v>
      </c>
      <c r="T54" s="2" t="s">
        <v>146</v>
      </c>
      <c r="U54" s="2" t="s">
        <v>146</v>
      </c>
      <c r="X54" s="2">
        <f t="shared" si="0"/>
        <v>0</v>
      </c>
    </row>
    <row r="55" spans="1:24" ht="14.25" x14ac:dyDescent="0.45">
      <c r="A55" s="2" t="s">
        <v>610</v>
      </c>
      <c r="B55" s="2" t="s">
        <v>621</v>
      </c>
      <c r="C55" s="2">
        <v>2019</v>
      </c>
      <c r="D55" s="2" t="s">
        <v>49</v>
      </c>
      <c r="E55" s="2" t="s">
        <v>146</v>
      </c>
      <c r="F55" s="2" t="s">
        <v>146</v>
      </c>
      <c r="G55" s="2" t="s">
        <v>146</v>
      </c>
      <c r="H55" s="2" t="s">
        <v>146</v>
      </c>
      <c r="I55" s="2" t="s">
        <v>146</v>
      </c>
      <c r="J55" s="2" t="s">
        <v>49</v>
      </c>
      <c r="K55" s="2" t="s">
        <v>146</v>
      </c>
      <c r="L55" s="2" t="s">
        <v>146</v>
      </c>
      <c r="M55" s="2" t="s">
        <v>146</v>
      </c>
      <c r="N55" s="2" t="s">
        <v>146</v>
      </c>
      <c r="O55" s="2" t="s">
        <v>146</v>
      </c>
      <c r="P55" s="2" t="s">
        <v>49</v>
      </c>
      <c r="Q55" s="2" t="s">
        <v>146</v>
      </c>
      <c r="R55" s="2" t="s">
        <v>146</v>
      </c>
      <c r="S55" s="2" t="s">
        <v>146</v>
      </c>
      <c r="T55" s="2" t="s">
        <v>146</v>
      </c>
      <c r="U55" s="2" t="s">
        <v>146</v>
      </c>
      <c r="X55" s="2">
        <f t="shared" si="0"/>
        <v>0</v>
      </c>
    </row>
    <row r="56" spans="1:24" ht="14.25" x14ac:dyDescent="0.45">
      <c r="A56" s="2" t="s">
        <v>610</v>
      </c>
      <c r="B56" s="2" t="s">
        <v>620</v>
      </c>
      <c r="C56" s="2">
        <v>2019</v>
      </c>
      <c r="D56" s="2" t="s">
        <v>49</v>
      </c>
      <c r="E56" s="2" t="s">
        <v>146</v>
      </c>
      <c r="F56" s="2" t="s">
        <v>146</v>
      </c>
      <c r="G56" s="2" t="s">
        <v>146</v>
      </c>
      <c r="H56" s="2" t="s">
        <v>146</v>
      </c>
      <c r="I56" s="2" t="s">
        <v>146</v>
      </c>
      <c r="J56" s="2" t="s">
        <v>49</v>
      </c>
      <c r="K56" s="2" t="s">
        <v>146</v>
      </c>
      <c r="L56" s="2" t="s">
        <v>146</v>
      </c>
      <c r="M56" s="2" t="s">
        <v>146</v>
      </c>
      <c r="N56" s="2" t="s">
        <v>146</v>
      </c>
      <c r="O56" s="2" t="s">
        <v>146</v>
      </c>
      <c r="P56" s="2" t="s">
        <v>49</v>
      </c>
      <c r="Q56" s="2" t="s">
        <v>146</v>
      </c>
      <c r="R56" s="2" t="s">
        <v>146</v>
      </c>
      <c r="S56" s="2" t="s">
        <v>146</v>
      </c>
      <c r="T56" s="2" t="s">
        <v>146</v>
      </c>
      <c r="U56" s="2" t="s">
        <v>146</v>
      </c>
      <c r="X56" s="2">
        <f t="shared" si="0"/>
        <v>0</v>
      </c>
    </row>
    <row r="57" spans="1:24" ht="14.25" x14ac:dyDescent="0.45">
      <c r="A57" s="2" t="s">
        <v>610</v>
      </c>
      <c r="B57" s="2" t="s">
        <v>619</v>
      </c>
      <c r="C57" s="2">
        <v>2019</v>
      </c>
      <c r="D57" s="2" t="s">
        <v>49</v>
      </c>
      <c r="E57" s="2" t="s">
        <v>146</v>
      </c>
      <c r="F57" s="2" t="s">
        <v>146</v>
      </c>
      <c r="G57" s="2" t="s">
        <v>146</v>
      </c>
      <c r="H57" s="2" t="s">
        <v>146</v>
      </c>
      <c r="I57" s="2" t="s">
        <v>146</v>
      </c>
      <c r="J57" s="2" t="s">
        <v>49</v>
      </c>
      <c r="K57" s="2" t="s">
        <v>146</v>
      </c>
      <c r="L57" s="2" t="s">
        <v>146</v>
      </c>
      <c r="M57" s="2" t="s">
        <v>146</v>
      </c>
      <c r="N57" s="2" t="s">
        <v>146</v>
      </c>
      <c r="O57" s="2" t="s">
        <v>146</v>
      </c>
      <c r="P57" s="2" t="s">
        <v>49</v>
      </c>
      <c r="Q57" s="2" t="s">
        <v>146</v>
      </c>
      <c r="R57" s="2" t="s">
        <v>146</v>
      </c>
      <c r="S57" s="2" t="s">
        <v>146</v>
      </c>
      <c r="T57" s="2" t="s">
        <v>146</v>
      </c>
      <c r="U57" s="2" t="s">
        <v>146</v>
      </c>
      <c r="X57" s="2">
        <f t="shared" si="0"/>
        <v>0</v>
      </c>
    </row>
    <row r="58" spans="1:24" ht="14.25" x14ac:dyDescent="0.45">
      <c r="A58" s="2" t="s">
        <v>610</v>
      </c>
      <c r="B58" s="2" t="s">
        <v>618</v>
      </c>
      <c r="C58" s="2">
        <v>2019</v>
      </c>
      <c r="D58" s="2" t="s">
        <v>805</v>
      </c>
      <c r="E58" s="2" t="s">
        <v>726</v>
      </c>
      <c r="F58" s="343">
        <v>193.4</v>
      </c>
      <c r="G58" s="343" t="s">
        <v>146</v>
      </c>
      <c r="H58" s="343">
        <v>0</v>
      </c>
      <c r="I58" s="2" t="s">
        <v>146</v>
      </c>
      <c r="J58" s="2" t="s">
        <v>49</v>
      </c>
      <c r="K58" s="2" t="s">
        <v>146</v>
      </c>
      <c r="L58" s="2" t="s">
        <v>146</v>
      </c>
      <c r="M58" s="2" t="s">
        <v>146</v>
      </c>
      <c r="N58" s="2" t="s">
        <v>146</v>
      </c>
      <c r="O58" s="2" t="s">
        <v>146</v>
      </c>
      <c r="P58" s="2" t="s">
        <v>49</v>
      </c>
      <c r="Q58" s="2" t="s">
        <v>146</v>
      </c>
      <c r="R58" s="2" t="s">
        <v>146</v>
      </c>
      <c r="S58" s="2" t="s">
        <v>146</v>
      </c>
      <c r="T58" s="2" t="s">
        <v>146</v>
      </c>
      <c r="U58" s="2" t="s">
        <v>146</v>
      </c>
      <c r="X58" s="2">
        <f t="shared" si="0"/>
        <v>227.52941176470588</v>
      </c>
    </row>
    <row r="59" spans="1:24" ht="14.25" x14ac:dyDescent="0.45">
      <c r="A59" s="2" t="s">
        <v>610</v>
      </c>
      <c r="B59" s="2" t="s">
        <v>616</v>
      </c>
      <c r="C59" s="2">
        <v>2019</v>
      </c>
      <c r="D59" s="2" t="s">
        <v>49</v>
      </c>
      <c r="E59" s="2" t="s">
        <v>146</v>
      </c>
      <c r="F59" s="2" t="s">
        <v>146</v>
      </c>
      <c r="G59" s="2" t="s">
        <v>146</v>
      </c>
      <c r="H59" s="2" t="s">
        <v>146</v>
      </c>
      <c r="I59" s="2" t="s">
        <v>146</v>
      </c>
      <c r="J59" s="2" t="s">
        <v>49</v>
      </c>
      <c r="K59" s="2" t="s">
        <v>146</v>
      </c>
      <c r="L59" s="2" t="s">
        <v>146</v>
      </c>
      <c r="M59" s="2" t="s">
        <v>146</v>
      </c>
      <c r="N59" s="2" t="s">
        <v>146</v>
      </c>
      <c r="O59" s="2" t="s">
        <v>146</v>
      </c>
      <c r="P59" s="2" t="s">
        <v>49</v>
      </c>
      <c r="Q59" s="2" t="s">
        <v>146</v>
      </c>
      <c r="R59" s="2" t="s">
        <v>146</v>
      </c>
      <c r="S59" s="2" t="s">
        <v>146</v>
      </c>
      <c r="T59" s="2" t="s">
        <v>146</v>
      </c>
      <c r="U59" s="2" t="s">
        <v>146</v>
      </c>
      <c r="X59" s="2">
        <f t="shared" si="0"/>
        <v>0</v>
      </c>
    </row>
    <row r="60" spans="1:24" ht="14.25" x14ac:dyDescent="0.45">
      <c r="A60" s="2" t="s">
        <v>610</v>
      </c>
      <c r="B60" s="2" t="s">
        <v>615</v>
      </c>
      <c r="C60" s="2">
        <v>2019</v>
      </c>
      <c r="D60" s="2" t="s">
        <v>49</v>
      </c>
      <c r="E60" s="2" t="s">
        <v>146</v>
      </c>
      <c r="F60" s="2" t="s">
        <v>146</v>
      </c>
      <c r="G60" s="2" t="s">
        <v>146</v>
      </c>
      <c r="H60" s="2" t="s">
        <v>146</v>
      </c>
      <c r="I60" s="2" t="s">
        <v>146</v>
      </c>
      <c r="J60" s="2" t="s">
        <v>49</v>
      </c>
      <c r="K60" s="2" t="s">
        <v>146</v>
      </c>
      <c r="L60" s="2" t="s">
        <v>146</v>
      </c>
      <c r="M60" s="2" t="s">
        <v>146</v>
      </c>
      <c r="N60" s="2" t="s">
        <v>146</v>
      </c>
      <c r="O60" s="2" t="s">
        <v>146</v>
      </c>
      <c r="P60" s="2" t="s">
        <v>49</v>
      </c>
      <c r="Q60" s="2" t="s">
        <v>146</v>
      </c>
      <c r="R60" s="2" t="s">
        <v>146</v>
      </c>
      <c r="S60" s="2" t="s">
        <v>146</v>
      </c>
      <c r="T60" s="2" t="s">
        <v>146</v>
      </c>
      <c r="U60" s="2" t="s">
        <v>146</v>
      </c>
      <c r="X60" s="2">
        <f t="shared" si="0"/>
        <v>0</v>
      </c>
    </row>
    <row r="61" spans="1:24" ht="14.25" x14ac:dyDescent="0.45">
      <c r="A61" s="2" t="s">
        <v>610</v>
      </c>
      <c r="B61" s="2" t="s">
        <v>614</v>
      </c>
      <c r="C61" s="2">
        <v>2019</v>
      </c>
      <c r="D61" s="2" t="s">
        <v>49</v>
      </c>
      <c r="E61" s="2" t="s">
        <v>146</v>
      </c>
      <c r="F61" s="2" t="s">
        <v>146</v>
      </c>
      <c r="G61" s="2" t="s">
        <v>146</v>
      </c>
      <c r="H61" s="2" t="s">
        <v>146</v>
      </c>
      <c r="I61" s="2" t="s">
        <v>146</v>
      </c>
      <c r="J61" s="2" t="s">
        <v>49</v>
      </c>
      <c r="K61" s="2" t="s">
        <v>146</v>
      </c>
      <c r="L61" s="2" t="s">
        <v>146</v>
      </c>
      <c r="M61" s="2" t="s">
        <v>146</v>
      </c>
      <c r="N61" s="2" t="s">
        <v>146</v>
      </c>
      <c r="O61" s="2" t="s">
        <v>146</v>
      </c>
      <c r="P61" s="2" t="s">
        <v>49</v>
      </c>
      <c r="Q61" s="2" t="s">
        <v>146</v>
      </c>
      <c r="R61" s="2" t="s">
        <v>146</v>
      </c>
      <c r="S61" s="2" t="s">
        <v>146</v>
      </c>
      <c r="T61" s="2" t="s">
        <v>146</v>
      </c>
      <c r="U61" s="2" t="s">
        <v>146</v>
      </c>
      <c r="X61" s="2">
        <f t="shared" si="0"/>
        <v>0</v>
      </c>
    </row>
    <row r="62" spans="1:24" ht="14.25" x14ac:dyDescent="0.45">
      <c r="A62" s="2" t="s">
        <v>610</v>
      </c>
      <c r="B62" s="2" t="s">
        <v>613</v>
      </c>
      <c r="C62" s="2">
        <v>2019</v>
      </c>
      <c r="D62" s="2" t="s">
        <v>49</v>
      </c>
      <c r="E62" s="2" t="s">
        <v>146</v>
      </c>
      <c r="F62" s="2" t="s">
        <v>146</v>
      </c>
      <c r="G62" s="2" t="s">
        <v>146</v>
      </c>
      <c r="H62" s="2" t="s">
        <v>146</v>
      </c>
      <c r="I62" s="2" t="s">
        <v>146</v>
      </c>
      <c r="J62" s="2" t="s">
        <v>49</v>
      </c>
      <c r="K62" s="2" t="s">
        <v>146</v>
      </c>
      <c r="L62" s="2" t="s">
        <v>146</v>
      </c>
      <c r="M62" s="2" t="s">
        <v>146</v>
      </c>
      <c r="N62" s="2" t="s">
        <v>146</v>
      </c>
      <c r="O62" s="2" t="s">
        <v>146</v>
      </c>
      <c r="P62" s="2" t="s">
        <v>49</v>
      </c>
      <c r="Q62" s="2" t="s">
        <v>146</v>
      </c>
      <c r="R62" s="2" t="s">
        <v>146</v>
      </c>
      <c r="S62" s="2" t="s">
        <v>146</v>
      </c>
      <c r="T62" s="2" t="s">
        <v>146</v>
      </c>
      <c r="U62" s="2" t="s">
        <v>146</v>
      </c>
      <c r="X62" s="2">
        <f t="shared" si="0"/>
        <v>0</v>
      </c>
    </row>
    <row r="63" spans="1:24" ht="14.25" x14ac:dyDescent="0.45">
      <c r="A63" s="2" t="s">
        <v>610</v>
      </c>
      <c r="B63" s="2" t="s">
        <v>612</v>
      </c>
      <c r="C63" s="2">
        <v>2019</v>
      </c>
      <c r="D63" s="2" t="s">
        <v>49</v>
      </c>
      <c r="E63" s="2" t="s">
        <v>146</v>
      </c>
      <c r="F63" s="2" t="s">
        <v>146</v>
      </c>
      <c r="G63" s="2" t="s">
        <v>146</v>
      </c>
      <c r="H63" s="2" t="s">
        <v>146</v>
      </c>
      <c r="I63" s="2" t="s">
        <v>146</v>
      </c>
      <c r="J63" s="2" t="s">
        <v>49</v>
      </c>
      <c r="K63" s="2" t="s">
        <v>146</v>
      </c>
      <c r="L63" s="2" t="s">
        <v>146</v>
      </c>
      <c r="M63" s="2" t="s">
        <v>146</v>
      </c>
      <c r="N63" s="2" t="s">
        <v>146</v>
      </c>
      <c r="O63" s="2" t="s">
        <v>146</v>
      </c>
      <c r="P63" s="2" t="s">
        <v>49</v>
      </c>
      <c r="Q63" s="2" t="s">
        <v>146</v>
      </c>
      <c r="R63" s="2" t="s">
        <v>146</v>
      </c>
      <c r="S63" s="2" t="s">
        <v>146</v>
      </c>
      <c r="T63" s="2" t="s">
        <v>146</v>
      </c>
      <c r="U63" s="2" t="s">
        <v>146</v>
      </c>
      <c r="X63" s="2">
        <f t="shared" si="0"/>
        <v>0</v>
      </c>
    </row>
    <row r="64" spans="1:24" ht="14.25" x14ac:dyDescent="0.45">
      <c r="A64" s="2" t="s">
        <v>610</v>
      </c>
      <c r="B64" s="2" t="s">
        <v>611</v>
      </c>
      <c r="C64" s="2">
        <v>2019</v>
      </c>
      <c r="D64" s="2" t="s">
        <v>49</v>
      </c>
      <c r="E64" s="2" t="s">
        <v>146</v>
      </c>
      <c r="F64" s="2" t="s">
        <v>146</v>
      </c>
      <c r="G64" s="2" t="s">
        <v>146</v>
      </c>
      <c r="H64" s="2" t="s">
        <v>146</v>
      </c>
      <c r="I64" s="2" t="s">
        <v>146</v>
      </c>
      <c r="J64" s="2" t="s">
        <v>49</v>
      </c>
      <c r="K64" s="2" t="s">
        <v>146</v>
      </c>
      <c r="L64" s="2" t="s">
        <v>146</v>
      </c>
      <c r="M64" s="2" t="s">
        <v>146</v>
      </c>
      <c r="N64" s="2" t="s">
        <v>146</v>
      </c>
      <c r="O64" s="2" t="s">
        <v>146</v>
      </c>
      <c r="P64" s="2" t="s">
        <v>49</v>
      </c>
      <c r="Q64" s="2" t="s">
        <v>146</v>
      </c>
      <c r="R64" s="2" t="s">
        <v>146</v>
      </c>
      <c r="S64" s="2" t="s">
        <v>146</v>
      </c>
      <c r="T64" s="2" t="s">
        <v>146</v>
      </c>
      <c r="U64" s="2" t="s">
        <v>146</v>
      </c>
      <c r="X64" s="2">
        <f t="shared" si="0"/>
        <v>0</v>
      </c>
    </row>
    <row r="65" spans="1:24" ht="14.25" x14ac:dyDescent="0.45">
      <c r="A65" s="2" t="s">
        <v>610</v>
      </c>
      <c r="B65" s="2" t="s">
        <v>609</v>
      </c>
      <c r="C65" s="2">
        <v>2019</v>
      </c>
      <c r="D65" s="2" t="s">
        <v>49</v>
      </c>
      <c r="E65" s="2" t="s">
        <v>146</v>
      </c>
      <c r="F65" s="2" t="s">
        <v>146</v>
      </c>
      <c r="G65" s="2" t="s">
        <v>146</v>
      </c>
      <c r="H65" s="2" t="s">
        <v>146</v>
      </c>
      <c r="I65" s="2" t="s">
        <v>146</v>
      </c>
      <c r="J65" s="2" t="s">
        <v>49</v>
      </c>
      <c r="K65" s="2" t="s">
        <v>146</v>
      </c>
      <c r="L65" s="2" t="s">
        <v>146</v>
      </c>
      <c r="M65" s="2" t="s">
        <v>146</v>
      </c>
      <c r="N65" s="2" t="s">
        <v>146</v>
      </c>
      <c r="O65" s="2" t="s">
        <v>146</v>
      </c>
      <c r="P65" s="2" t="s">
        <v>49</v>
      </c>
      <c r="Q65" s="2" t="s">
        <v>146</v>
      </c>
      <c r="R65" s="2" t="s">
        <v>146</v>
      </c>
      <c r="S65" s="2" t="s">
        <v>146</v>
      </c>
      <c r="T65" s="2" t="s">
        <v>146</v>
      </c>
      <c r="U65" s="2" t="s">
        <v>146</v>
      </c>
      <c r="X65" s="2">
        <f t="shared" si="0"/>
        <v>0</v>
      </c>
    </row>
    <row r="66" spans="1:24" ht="14.25" x14ac:dyDescent="0.45">
      <c r="A66" s="2" t="s">
        <v>608</v>
      </c>
      <c r="B66" s="2" t="s">
        <v>608</v>
      </c>
      <c r="C66" s="2">
        <v>2019</v>
      </c>
      <c r="D66" s="2" t="s">
        <v>49</v>
      </c>
      <c r="E66" s="2" t="s">
        <v>49</v>
      </c>
      <c r="F66" s="2" t="s">
        <v>49</v>
      </c>
      <c r="G66" s="2" t="s">
        <v>49</v>
      </c>
      <c r="H66" s="2" t="s">
        <v>49</v>
      </c>
      <c r="I66" s="2" t="s">
        <v>49</v>
      </c>
      <c r="J66" s="2" t="s">
        <v>49</v>
      </c>
      <c r="K66" s="2" t="s">
        <v>49</v>
      </c>
      <c r="L66" s="2" t="s">
        <v>49</v>
      </c>
      <c r="M66" s="2" t="s">
        <v>49</v>
      </c>
      <c r="N66" s="2" t="s">
        <v>49</v>
      </c>
      <c r="O66" s="2" t="s">
        <v>49</v>
      </c>
      <c r="P66" s="2" t="s">
        <v>49</v>
      </c>
      <c r="Q66" s="2" t="s">
        <v>49</v>
      </c>
      <c r="R66" s="2" t="s">
        <v>49</v>
      </c>
      <c r="S66" s="2" t="s">
        <v>49</v>
      </c>
      <c r="T66" s="2" t="s">
        <v>49</v>
      </c>
      <c r="U66" s="2" t="s">
        <v>49</v>
      </c>
      <c r="X66" s="2">
        <f t="shared" si="0"/>
        <v>0</v>
      </c>
    </row>
    <row r="67" spans="1:24" ht="14.25" x14ac:dyDescent="0.45">
      <c r="A67" s="2" t="s">
        <v>605</v>
      </c>
      <c r="B67" s="2" t="s">
        <v>607</v>
      </c>
      <c r="C67" s="2">
        <v>2019</v>
      </c>
      <c r="D67" s="2" t="s">
        <v>804</v>
      </c>
      <c r="E67" s="2" t="s">
        <v>734</v>
      </c>
      <c r="F67" s="2">
        <v>1.36</v>
      </c>
      <c r="G67" s="2" t="s">
        <v>146</v>
      </c>
      <c r="H67" s="2" t="s">
        <v>146</v>
      </c>
      <c r="I67" s="2" t="s">
        <v>146</v>
      </c>
      <c r="J67" s="2" t="s">
        <v>49</v>
      </c>
      <c r="K67" s="2" t="s">
        <v>146</v>
      </c>
      <c r="L67" s="2" t="s">
        <v>146</v>
      </c>
      <c r="M67" s="2" t="s">
        <v>146</v>
      </c>
      <c r="N67" s="2" t="s">
        <v>146</v>
      </c>
      <c r="O67" s="2" t="s">
        <v>146</v>
      </c>
      <c r="P67" s="2" t="s">
        <v>49</v>
      </c>
      <c r="Q67" s="2" t="s">
        <v>146</v>
      </c>
      <c r="R67" s="2" t="s">
        <v>146</v>
      </c>
      <c r="S67" s="2" t="s">
        <v>146</v>
      </c>
      <c r="T67" s="2" t="s">
        <v>146</v>
      </c>
      <c r="U67" s="2" t="s">
        <v>146</v>
      </c>
      <c r="X67" s="2">
        <f t="shared" ref="X67:X130" si="1">(IF(E67="Avfall",F67,0)+IF(G67="Avfall",H67,0))/IFERROR(I67/100,0.85)+(IF(K67="Avfall",L67,0)+IF(M67="Avfall",N67,0))/IFERROR(O67/100,0.85)+(IF(Q67="avfall",R67,0)+IF(S67="avfall",T67,0))/IFERROR(U67/100,0.85)</f>
        <v>0</v>
      </c>
    </row>
    <row r="68" spans="1:24" ht="14.25" x14ac:dyDescent="0.45">
      <c r="A68" s="2" t="s">
        <v>605</v>
      </c>
      <c r="B68" s="2" t="s">
        <v>606</v>
      </c>
      <c r="C68" s="2">
        <v>2019</v>
      </c>
      <c r="D68" s="2" t="s">
        <v>49</v>
      </c>
      <c r="E68" s="2" t="s">
        <v>146</v>
      </c>
      <c r="F68" s="2" t="s">
        <v>146</v>
      </c>
      <c r="G68" s="2" t="s">
        <v>146</v>
      </c>
      <c r="H68" s="2" t="s">
        <v>146</v>
      </c>
      <c r="I68" s="2" t="s">
        <v>146</v>
      </c>
      <c r="J68" s="2" t="s">
        <v>49</v>
      </c>
      <c r="K68" s="2" t="s">
        <v>146</v>
      </c>
      <c r="L68" s="2" t="s">
        <v>146</v>
      </c>
      <c r="M68" s="2" t="s">
        <v>146</v>
      </c>
      <c r="N68" s="2" t="s">
        <v>146</v>
      </c>
      <c r="O68" s="2" t="s">
        <v>146</v>
      </c>
      <c r="P68" s="2" t="s">
        <v>49</v>
      </c>
      <c r="Q68" s="2" t="s">
        <v>146</v>
      </c>
      <c r="R68" s="2" t="s">
        <v>146</v>
      </c>
      <c r="S68" s="2" t="s">
        <v>146</v>
      </c>
      <c r="T68" s="2" t="s">
        <v>146</v>
      </c>
      <c r="U68" s="2" t="s">
        <v>146</v>
      </c>
      <c r="X68" s="2">
        <f t="shared" si="1"/>
        <v>0</v>
      </c>
    </row>
    <row r="69" spans="1:24" ht="14.25" x14ac:dyDescent="0.45">
      <c r="A69" s="2" t="s">
        <v>605</v>
      </c>
      <c r="B69" s="2" t="s">
        <v>604</v>
      </c>
      <c r="C69" s="2">
        <v>2019</v>
      </c>
      <c r="D69" s="2" t="s">
        <v>49</v>
      </c>
      <c r="E69" s="2" t="s">
        <v>146</v>
      </c>
      <c r="F69" s="2" t="s">
        <v>146</v>
      </c>
      <c r="G69" s="2" t="s">
        <v>146</v>
      </c>
      <c r="H69" s="2" t="s">
        <v>146</v>
      </c>
      <c r="I69" s="2" t="s">
        <v>146</v>
      </c>
      <c r="J69" s="2" t="s">
        <v>49</v>
      </c>
      <c r="K69" s="2" t="s">
        <v>146</v>
      </c>
      <c r="L69" s="2" t="s">
        <v>146</v>
      </c>
      <c r="M69" s="2" t="s">
        <v>146</v>
      </c>
      <c r="N69" s="2" t="s">
        <v>146</v>
      </c>
      <c r="O69" s="2" t="s">
        <v>146</v>
      </c>
      <c r="P69" s="2" t="s">
        <v>49</v>
      </c>
      <c r="Q69" s="2" t="s">
        <v>146</v>
      </c>
      <c r="R69" s="2" t="s">
        <v>146</v>
      </c>
      <c r="S69" s="2" t="s">
        <v>146</v>
      </c>
      <c r="T69" s="2" t="s">
        <v>146</v>
      </c>
      <c r="U69" s="2" t="s">
        <v>146</v>
      </c>
      <c r="X69" s="2">
        <f t="shared" si="1"/>
        <v>0</v>
      </c>
    </row>
    <row r="70" spans="1:24" ht="14.25" x14ac:dyDescent="0.45">
      <c r="A70" s="2" t="s">
        <v>603</v>
      </c>
      <c r="B70" s="2" t="s">
        <v>602</v>
      </c>
      <c r="C70" s="2">
        <v>2019</v>
      </c>
      <c r="D70" s="2" t="s">
        <v>49</v>
      </c>
      <c r="E70" s="2" t="s">
        <v>146</v>
      </c>
      <c r="F70" s="2" t="s">
        <v>146</v>
      </c>
      <c r="G70" s="2" t="s">
        <v>146</v>
      </c>
      <c r="H70" s="2" t="s">
        <v>146</v>
      </c>
      <c r="I70" s="2" t="s">
        <v>146</v>
      </c>
      <c r="J70" s="2" t="s">
        <v>49</v>
      </c>
      <c r="K70" s="2" t="s">
        <v>146</v>
      </c>
      <c r="L70" s="2" t="s">
        <v>146</v>
      </c>
      <c r="M70" s="2" t="s">
        <v>146</v>
      </c>
      <c r="N70" s="2" t="s">
        <v>146</v>
      </c>
      <c r="O70" s="2" t="s">
        <v>146</v>
      </c>
      <c r="P70" s="2" t="s">
        <v>49</v>
      </c>
      <c r="Q70" s="2" t="s">
        <v>146</v>
      </c>
      <c r="R70" s="2" t="s">
        <v>146</v>
      </c>
      <c r="S70" s="2" t="s">
        <v>146</v>
      </c>
      <c r="T70" s="2" t="s">
        <v>146</v>
      </c>
      <c r="U70" s="2" t="s">
        <v>146</v>
      </c>
      <c r="X70" s="2">
        <f t="shared" si="1"/>
        <v>0</v>
      </c>
    </row>
    <row r="71" spans="1:24" ht="14.25" x14ac:dyDescent="0.45">
      <c r="A71" s="2" t="s">
        <v>601</v>
      </c>
      <c r="B71" s="2" t="s">
        <v>600</v>
      </c>
      <c r="C71" s="2">
        <v>2019</v>
      </c>
      <c r="D71" s="2" t="s">
        <v>49</v>
      </c>
      <c r="E71" s="2" t="s">
        <v>146</v>
      </c>
      <c r="F71" s="2" t="s">
        <v>146</v>
      </c>
      <c r="G71" s="2" t="s">
        <v>146</v>
      </c>
      <c r="H71" s="2" t="s">
        <v>146</v>
      </c>
      <c r="I71" s="2" t="s">
        <v>146</v>
      </c>
      <c r="J71" s="2" t="s">
        <v>49</v>
      </c>
      <c r="K71" s="2" t="s">
        <v>146</v>
      </c>
      <c r="L71" s="2" t="s">
        <v>146</v>
      </c>
      <c r="M71" s="2" t="s">
        <v>146</v>
      </c>
      <c r="N71" s="2" t="s">
        <v>146</v>
      </c>
      <c r="O71" s="2" t="s">
        <v>146</v>
      </c>
      <c r="P71" s="2" t="s">
        <v>49</v>
      </c>
      <c r="Q71" s="2" t="s">
        <v>146</v>
      </c>
      <c r="R71" s="2" t="s">
        <v>146</v>
      </c>
      <c r="S71" s="2" t="s">
        <v>146</v>
      </c>
      <c r="T71" s="2" t="s">
        <v>146</v>
      </c>
      <c r="U71" s="2" t="s">
        <v>146</v>
      </c>
      <c r="X71" s="2">
        <f t="shared" si="1"/>
        <v>0</v>
      </c>
    </row>
    <row r="72" spans="1:24" ht="14.25" x14ac:dyDescent="0.45">
      <c r="A72" s="2" t="s">
        <v>597</v>
      </c>
      <c r="B72" s="2" t="s">
        <v>599</v>
      </c>
      <c r="C72" s="2">
        <v>2019</v>
      </c>
      <c r="D72" s="2" t="s">
        <v>49</v>
      </c>
      <c r="E72" s="2" t="s">
        <v>146</v>
      </c>
      <c r="F72" s="2" t="s">
        <v>146</v>
      </c>
      <c r="G72" s="2" t="s">
        <v>146</v>
      </c>
      <c r="H72" s="2" t="s">
        <v>146</v>
      </c>
      <c r="I72" s="2" t="s">
        <v>146</v>
      </c>
      <c r="J72" s="2" t="s">
        <v>49</v>
      </c>
      <c r="K72" s="2" t="s">
        <v>146</v>
      </c>
      <c r="L72" s="2" t="s">
        <v>146</v>
      </c>
      <c r="M72" s="2" t="s">
        <v>146</v>
      </c>
      <c r="N72" s="2" t="s">
        <v>146</v>
      </c>
      <c r="O72" s="2" t="s">
        <v>146</v>
      </c>
      <c r="P72" s="2" t="s">
        <v>49</v>
      </c>
      <c r="Q72" s="2" t="s">
        <v>146</v>
      </c>
      <c r="R72" s="2" t="s">
        <v>146</v>
      </c>
      <c r="S72" s="2" t="s">
        <v>146</v>
      </c>
      <c r="T72" s="2" t="s">
        <v>146</v>
      </c>
      <c r="U72" s="2" t="s">
        <v>146</v>
      </c>
      <c r="X72" s="2">
        <f t="shared" si="1"/>
        <v>0</v>
      </c>
    </row>
    <row r="73" spans="1:24" ht="14.25" x14ac:dyDescent="0.45">
      <c r="A73" s="2" t="s">
        <v>597</v>
      </c>
      <c r="B73" s="2" t="s">
        <v>598</v>
      </c>
      <c r="C73" s="2">
        <v>2019</v>
      </c>
      <c r="D73" s="2" t="s">
        <v>49</v>
      </c>
      <c r="E73" s="2" t="s">
        <v>146</v>
      </c>
      <c r="F73" s="2" t="s">
        <v>146</v>
      </c>
      <c r="G73" s="2" t="s">
        <v>146</v>
      </c>
      <c r="H73" s="2" t="s">
        <v>146</v>
      </c>
      <c r="I73" s="2" t="s">
        <v>146</v>
      </c>
      <c r="J73" s="2" t="s">
        <v>49</v>
      </c>
      <c r="K73" s="2" t="s">
        <v>146</v>
      </c>
      <c r="L73" s="2" t="s">
        <v>146</v>
      </c>
      <c r="M73" s="2" t="s">
        <v>146</v>
      </c>
      <c r="N73" s="2" t="s">
        <v>146</v>
      </c>
      <c r="O73" s="2" t="s">
        <v>146</v>
      </c>
      <c r="P73" s="2" t="s">
        <v>49</v>
      </c>
      <c r="Q73" s="2" t="s">
        <v>146</v>
      </c>
      <c r="R73" s="2" t="s">
        <v>146</v>
      </c>
      <c r="S73" s="2" t="s">
        <v>146</v>
      </c>
      <c r="T73" s="2" t="s">
        <v>146</v>
      </c>
      <c r="U73" s="2" t="s">
        <v>146</v>
      </c>
      <c r="X73" s="2">
        <f t="shared" si="1"/>
        <v>0</v>
      </c>
    </row>
    <row r="74" spans="1:24" ht="14.25" x14ac:dyDescent="0.45">
      <c r="A74" s="2" t="s">
        <v>597</v>
      </c>
      <c r="B74" s="2" t="s">
        <v>596</v>
      </c>
      <c r="C74" s="2">
        <v>2019</v>
      </c>
      <c r="D74" s="2" t="s">
        <v>49</v>
      </c>
      <c r="E74" s="2" t="s">
        <v>146</v>
      </c>
      <c r="F74" s="2" t="s">
        <v>146</v>
      </c>
      <c r="G74" s="2" t="s">
        <v>146</v>
      </c>
      <c r="H74" s="2" t="s">
        <v>146</v>
      </c>
      <c r="I74" s="2" t="s">
        <v>146</v>
      </c>
      <c r="J74" s="2" t="s">
        <v>49</v>
      </c>
      <c r="K74" s="2" t="s">
        <v>146</v>
      </c>
      <c r="L74" s="2" t="s">
        <v>146</v>
      </c>
      <c r="M74" s="2" t="s">
        <v>146</v>
      </c>
      <c r="N74" s="2" t="s">
        <v>146</v>
      </c>
      <c r="O74" s="2" t="s">
        <v>146</v>
      </c>
      <c r="P74" s="2" t="s">
        <v>49</v>
      </c>
      <c r="Q74" s="2" t="s">
        <v>146</v>
      </c>
      <c r="R74" s="2" t="s">
        <v>146</v>
      </c>
      <c r="S74" s="2" t="s">
        <v>146</v>
      </c>
      <c r="T74" s="2" t="s">
        <v>146</v>
      </c>
      <c r="U74" s="2" t="s">
        <v>146</v>
      </c>
      <c r="X74" s="2">
        <f t="shared" si="1"/>
        <v>0</v>
      </c>
    </row>
    <row r="75" spans="1:24" ht="14.25" x14ac:dyDescent="0.45">
      <c r="A75" s="2" t="s">
        <v>593</v>
      </c>
      <c r="B75" s="2" t="s">
        <v>595</v>
      </c>
      <c r="C75" s="2">
        <v>2019</v>
      </c>
      <c r="D75" s="2" t="s">
        <v>49</v>
      </c>
      <c r="E75" s="2" t="s">
        <v>146</v>
      </c>
      <c r="F75" s="2" t="s">
        <v>146</v>
      </c>
      <c r="G75" s="2" t="s">
        <v>146</v>
      </c>
      <c r="H75" s="2" t="s">
        <v>146</v>
      </c>
      <c r="I75" s="2" t="s">
        <v>146</v>
      </c>
      <c r="J75" s="2" t="s">
        <v>49</v>
      </c>
      <c r="K75" s="2" t="s">
        <v>146</v>
      </c>
      <c r="L75" s="2" t="s">
        <v>146</v>
      </c>
      <c r="M75" s="2" t="s">
        <v>146</v>
      </c>
      <c r="N75" s="2" t="s">
        <v>146</v>
      </c>
      <c r="O75" s="2" t="s">
        <v>146</v>
      </c>
      <c r="P75" s="2" t="s">
        <v>49</v>
      </c>
      <c r="Q75" s="2" t="s">
        <v>146</v>
      </c>
      <c r="R75" s="2" t="s">
        <v>146</v>
      </c>
      <c r="S75" s="2" t="s">
        <v>146</v>
      </c>
      <c r="T75" s="2" t="s">
        <v>146</v>
      </c>
      <c r="U75" s="2" t="s">
        <v>146</v>
      </c>
      <c r="X75" s="2">
        <f t="shared" si="1"/>
        <v>0</v>
      </c>
    </row>
    <row r="76" spans="1:24" ht="14.25" x14ac:dyDescent="0.45">
      <c r="A76" s="2" t="s">
        <v>593</v>
      </c>
      <c r="B76" s="2" t="s">
        <v>594</v>
      </c>
      <c r="C76" s="2">
        <v>2019</v>
      </c>
      <c r="D76" s="2" t="s">
        <v>49</v>
      </c>
      <c r="E76" s="2" t="s">
        <v>146</v>
      </c>
      <c r="F76" s="2" t="s">
        <v>146</v>
      </c>
      <c r="G76" s="2" t="s">
        <v>146</v>
      </c>
      <c r="H76" s="2" t="s">
        <v>146</v>
      </c>
      <c r="I76" s="2" t="s">
        <v>146</v>
      </c>
      <c r="J76" s="2" t="s">
        <v>49</v>
      </c>
      <c r="K76" s="2" t="s">
        <v>146</v>
      </c>
      <c r="L76" s="2" t="s">
        <v>146</v>
      </c>
      <c r="M76" s="2" t="s">
        <v>146</v>
      </c>
      <c r="N76" s="2" t="s">
        <v>146</v>
      </c>
      <c r="O76" s="2" t="s">
        <v>146</v>
      </c>
      <c r="P76" s="2" t="s">
        <v>49</v>
      </c>
      <c r="Q76" s="2" t="s">
        <v>146</v>
      </c>
      <c r="R76" s="2" t="s">
        <v>146</v>
      </c>
      <c r="S76" s="2" t="s">
        <v>146</v>
      </c>
      <c r="T76" s="2" t="s">
        <v>146</v>
      </c>
      <c r="U76" s="2" t="s">
        <v>146</v>
      </c>
      <c r="X76" s="2">
        <f t="shared" si="1"/>
        <v>0</v>
      </c>
    </row>
    <row r="77" spans="1:24" ht="14.25" x14ac:dyDescent="0.45">
      <c r="A77" s="2" t="s">
        <v>593</v>
      </c>
      <c r="B77" s="2" t="s">
        <v>592</v>
      </c>
      <c r="C77" s="2">
        <v>2019</v>
      </c>
      <c r="D77" s="2" t="s">
        <v>49</v>
      </c>
      <c r="E77" s="2" t="s">
        <v>146</v>
      </c>
      <c r="F77" s="2" t="s">
        <v>146</v>
      </c>
      <c r="G77" s="2" t="s">
        <v>146</v>
      </c>
      <c r="H77" s="2" t="s">
        <v>146</v>
      </c>
      <c r="I77" s="2" t="s">
        <v>146</v>
      </c>
      <c r="J77" s="2" t="s">
        <v>49</v>
      </c>
      <c r="K77" s="2" t="s">
        <v>146</v>
      </c>
      <c r="L77" s="2" t="s">
        <v>146</v>
      </c>
      <c r="M77" s="2" t="s">
        <v>146</v>
      </c>
      <c r="N77" s="2" t="s">
        <v>146</v>
      </c>
      <c r="O77" s="2" t="s">
        <v>146</v>
      </c>
      <c r="P77" s="2" t="s">
        <v>49</v>
      </c>
      <c r="Q77" s="2" t="s">
        <v>146</v>
      </c>
      <c r="R77" s="2" t="s">
        <v>146</v>
      </c>
      <c r="S77" s="2" t="s">
        <v>146</v>
      </c>
      <c r="T77" s="2" t="s">
        <v>146</v>
      </c>
      <c r="U77" s="2" t="s">
        <v>146</v>
      </c>
      <c r="X77" s="2">
        <f t="shared" si="1"/>
        <v>0</v>
      </c>
    </row>
    <row r="78" spans="1:24" ht="14.25" x14ac:dyDescent="0.45">
      <c r="A78" s="2" t="s">
        <v>589</v>
      </c>
      <c r="B78" s="2" t="s">
        <v>591</v>
      </c>
      <c r="C78" s="2">
        <v>2019</v>
      </c>
      <c r="D78" s="2" t="s">
        <v>49</v>
      </c>
      <c r="E78" s="2" t="s">
        <v>146</v>
      </c>
      <c r="F78" s="2" t="s">
        <v>146</v>
      </c>
      <c r="G78" s="2" t="s">
        <v>146</v>
      </c>
      <c r="H78" s="2" t="s">
        <v>146</v>
      </c>
      <c r="I78" s="2" t="s">
        <v>146</v>
      </c>
      <c r="J78" s="2" t="s">
        <v>49</v>
      </c>
      <c r="K78" s="2" t="s">
        <v>146</v>
      </c>
      <c r="L78" s="2" t="s">
        <v>146</v>
      </c>
      <c r="M78" s="2" t="s">
        <v>146</v>
      </c>
      <c r="N78" s="2" t="s">
        <v>146</v>
      </c>
      <c r="O78" s="2" t="s">
        <v>146</v>
      </c>
      <c r="P78" s="2" t="s">
        <v>49</v>
      </c>
      <c r="Q78" s="2" t="s">
        <v>146</v>
      </c>
      <c r="R78" s="2" t="s">
        <v>146</v>
      </c>
      <c r="S78" s="2" t="s">
        <v>146</v>
      </c>
      <c r="T78" s="2" t="s">
        <v>146</v>
      </c>
      <c r="U78" s="2" t="s">
        <v>146</v>
      </c>
      <c r="X78" s="2">
        <f t="shared" si="1"/>
        <v>0</v>
      </c>
    </row>
    <row r="79" spans="1:24" ht="14.25" x14ac:dyDescent="0.45">
      <c r="A79" s="2" t="s">
        <v>589</v>
      </c>
      <c r="B79" s="2" t="s">
        <v>590</v>
      </c>
      <c r="C79" s="2">
        <v>2019</v>
      </c>
      <c r="D79" s="2" t="s">
        <v>49</v>
      </c>
      <c r="E79" s="2" t="s">
        <v>146</v>
      </c>
      <c r="F79" s="2" t="s">
        <v>146</v>
      </c>
      <c r="G79" s="2" t="s">
        <v>146</v>
      </c>
      <c r="H79" s="2" t="s">
        <v>146</v>
      </c>
      <c r="I79" s="2" t="s">
        <v>146</v>
      </c>
      <c r="J79" s="2" t="s">
        <v>49</v>
      </c>
      <c r="K79" s="2" t="s">
        <v>146</v>
      </c>
      <c r="L79" s="2" t="s">
        <v>146</v>
      </c>
      <c r="M79" s="2" t="s">
        <v>146</v>
      </c>
      <c r="N79" s="2" t="s">
        <v>146</v>
      </c>
      <c r="O79" s="2" t="s">
        <v>146</v>
      </c>
      <c r="P79" s="2" t="s">
        <v>49</v>
      </c>
      <c r="Q79" s="2" t="s">
        <v>146</v>
      </c>
      <c r="R79" s="2" t="s">
        <v>146</v>
      </c>
      <c r="S79" s="2" t="s">
        <v>146</v>
      </c>
      <c r="T79" s="2" t="s">
        <v>146</v>
      </c>
      <c r="U79" s="2" t="s">
        <v>146</v>
      </c>
      <c r="X79" s="2">
        <f t="shared" si="1"/>
        <v>0</v>
      </c>
    </row>
    <row r="80" spans="1:24" ht="14.25" x14ac:dyDescent="0.45">
      <c r="A80" s="2" t="s">
        <v>589</v>
      </c>
      <c r="B80" s="2" t="s">
        <v>588</v>
      </c>
      <c r="C80" s="2">
        <v>2019</v>
      </c>
      <c r="D80" s="2" t="s">
        <v>49</v>
      </c>
      <c r="E80" s="2" t="s">
        <v>146</v>
      </c>
      <c r="F80" s="2" t="s">
        <v>146</v>
      </c>
      <c r="G80" s="2" t="s">
        <v>146</v>
      </c>
      <c r="H80" s="2" t="s">
        <v>146</v>
      </c>
      <c r="I80" s="2" t="s">
        <v>146</v>
      </c>
      <c r="J80" s="2" t="s">
        <v>49</v>
      </c>
      <c r="K80" s="2" t="s">
        <v>146</v>
      </c>
      <c r="L80" s="2" t="s">
        <v>146</v>
      </c>
      <c r="M80" s="2" t="s">
        <v>146</v>
      </c>
      <c r="N80" s="2" t="s">
        <v>146</v>
      </c>
      <c r="O80" s="2" t="s">
        <v>146</v>
      </c>
      <c r="P80" s="2" t="s">
        <v>49</v>
      </c>
      <c r="Q80" s="2" t="s">
        <v>146</v>
      </c>
      <c r="R80" s="2" t="s">
        <v>146</v>
      </c>
      <c r="S80" s="2" t="s">
        <v>146</v>
      </c>
      <c r="T80" s="2" t="s">
        <v>146</v>
      </c>
      <c r="U80" s="2" t="s">
        <v>146</v>
      </c>
      <c r="X80" s="2">
        <f t="shared" si="1"/>
        <v>0</v>
      </c>
    </row>
    <row r="81" spans="1:24" ht="14.25" x14ac:dyDescent="0.45">
      <c r="A81" s="2" t="s">
        <v>582</v>
      </c>
      <c r="B81" s="2" t="s">
        <v>586</v>
      </c>
      <c r="C81" s="2">
        <v>2019</v>
      </c>
      <c r="D81" s="2" t="s">
        <v>49</v>
      </c>
      <c r="E81" s="2" t="s">
        <v>146</v>
      </c>
      <c r="F81" s="2" t="s">
        <v>146</v>
      </c>
      <c r="G81" s="2" t="s">
        <v>146</v>
      </c>
      <c r="H81" s="2" t="s">
        <v>146</v>
      </c>
      <c r="I81" s="2" t="s">
        <v>146</v>
      </c>
      <c r="J81" s="2" t="s">
        <v>49</v>
      </c>
      <c r="K81" s="2" t="s">
        <v>146</v>
      </c>
      <c r="L81" s="2" t="s">
        <v>146</v>
      </c>
      <c r="M81" s="2" t="s">
        <v>146</v>
      </c>
      <c r="N81" s="2" t="s">
        <v>146</v>
      </c>
      <c r="O81" s="2" t="s">
        <v>146</v>
      </c>
      <c r="P81" s="2" t="s">
        <v>49</v>
      </c>
      <c r="Q81" s="2" t="s">
        <v>146</v>
      </c>
      <c r="R81" s="2" t="s">
        <v>146</v>
      </c>
      <c r="S81" s="2" t="s">
        <v>146</v>
      </c>
      <c r="T81" s="2" t="s">
        <v>146</v>
      </c>
      <c r="U81" s="2" t="s">
        <v>146</v>
      </c>
      <c r="X81" s="2">
        <f t="shared" si="1"/>
        <v>0</v>
      </c>
    </row>
    <row r="82" spans="1:24" ht="14.25" x14ac:dyDescent="0.45">
      <c r="A82" s="2" t="s">
        <v>582</v>
      </c>
      <c r="B82" s="2" t="s">
        <v>585</v>
      </c>
      <c r="C82" s="2">
        <v>2019</v>
      </c>
      <c r="D82" s="2" t="s">
        <v>49</v>
      </c>
      <c r="E82" s="2" t="s">
        <v>146</v>
      </c>
      <c r="F82" s="2" t="s">
        <v>146</v>
      </c>
      <c r="G82" s="2" t="s">
        <v>146</v>
      </c>
      <c r="H82" s="2" t="s">
        <v>146</v>
      </c>
      <c r="I82" s="2" t="s">
        <v>146</v>
      </c>
      <c r="J82" s="2" t="s">
        <v>49</v>
      </c>
      <c r="K82" s="2" t="s">
        <v>146</v>
      </c>
      <c r="L82" s="2" t="s">
        <v>146</v>
      </c>
      <c r="M82" s="2" t="s">
        <v>146</v>
      </c>
      <c r="N82" s="2" t="s">
        <v>146</v>
      </c>
      <c r="O82" s="2" t="s">
        <v>146</v>
      </c>
      <c r="P82" s="2" t="s">
        <v>49</v>
      </c>
      <c r="Q82" s="2" t="s">
        <v>146</v>
      </c>
      <c r="R82" s="2" t="s">
        <v>146</v>
      </c>
      <c r="S82" s="2" t="s">
        <v>146</v>
      </c>
      <c r="T82" s="2" t="s">
        <v>146</v>
      </c>
      <c r="U82" s="2" t="s">
        <v>146</v>
      </c>
      <c r="X82" s="2">
        <f t="shared" si="1"/>
        <v>0</v>
      </c>
    </row>
    <row r="83" spans="1:24" ht="14.25" x14ac:dyDescent="0.45">
      <c r="A83" s="2" t="s">
        <v>582</v>
      </c>
      <c r="B83" s="2" t="s">
        <v>583</v>
      </c>
      <c r="C83" s="2">
        <v>2019</v>
      </c>
      <c r="D83" s="2" t="s">
        <v>49</v>
      </c>
      <c r="E83" s="2" t="s">
        <v>146</v>
      </c>
      <c r="F83" s="2" t="s">
        <v>146</v>
      </c>
      <c r="G83" s="2" t="s">
        <v>146</v>
      </c>
      <c r="H83" s="2" t="s">
        <v>146</v>
      </c>
      <c r="I83" s="2" t="s">
        <v>146</v>
      </c>
      <c r="J83" s="2" t="s">
        <v>49</v>
      </c>
      <c r="K83" s="2" t="s">
        <v>146</v>
      </c>
      <c r="L83" s="2" t="s">
        <v>146</v>
      </c>
      <c r="M83" s="2" t="s">
        <v>146</v>
      </c>
      <c r="N83" s="2" t="s">
        <v>146</v>
      </c>
      <c r="O83" s="2" t="s">
        <v>146</v>
      </c>
      <c r="P83" s="2" t="s">
        <v>49</v>
      </c>
      <c r="Q83" s="2" t="s">
        <v>146</v>
      </c>
      <c r="R83" s="2" t="s">
        <v>146</v>
      </c>
      <c r="S83" s="2" t="s">
        <v>146</v>
      </c>
      <c r="T83" s="2" t="s">
        <v>146</v>
      </c>
      <c r="U83" s="2" t="s">
        <v>146</v>
      </c>
      <c r="X83" s="2">
        <f t="shared" si="1"/>
        <v>0</v>
      </c>
    </row>
    <row r="84" spans="1:24" ht="14.25" x14ac:dyDescent="0.45">
      <c r="A84" s="2" t="s">
        <v>582</v>
      </c>
      <c r="B84" s="2" t="s">
        <v>581</v>
      </c>
      <c r="C84" s="2">
        <v>2019</v>
      </c>
      <c r="D84" s="2" t="s">
        <v>49</v>
      </c>
      <c r="E84" s="2" t="s">
        <v>146</v>
      </c>
      <c r="F84" s="2" t="s">
        <v>146</v>
      </c>
      <c r="G84" s="2" t="s">
        <v>146</v>
      </c>
      <c r="H84" s="2" t="s">
        <v>146</v>
      </c>
      <c r="I84" s="2" t="s">
        <v>146</v>
      </c>
      <c r="J84" s="2" t="s">
        <v>49</v>
      </c>
      <c r="K84" s="2" t="s">
        <v>146</v>
      </c>
      <c r="L84" s="2" t="s">
        <v>146</v>
      </c>
      <c r="M84" s="2" t="s">
        <v>146</v>
      </c>
      <c r="N84" s="2" t="s">
        <v>146</v>
      </c>
      <c r="O84" s="2" t="s">
        <v>146</v>
      </c>
      <c r="P84" s="2" t="s">
        <v>49</v>
      </c>
      <c r="Q84" s="2" t="s">
        <v>146</v>
      </c>
      <c r="R84" s="2" t="s">
        <v>146</v>
      </c>
      <c r="S84" s="2" t="s">
        <v>146</v>
      </c>
      <c r="T84" s="2" t="s">
        <v>146</v>
      </c>
      <c r="U84" s="2" t="s">
        <v>146</v>
      </c>
      <c r="X84" s="2">
        <f t="shared" si="1"/>
        <v>0</v>
      </c>
    </row>
    <row r="85" spans="1:24" ht="14.25" x14ac:dyDescent="0.45">
      <c r="A85" s="2" t="s">
        <v>580</v>
      </c>
      <c r="B85" s="2" t="s">
        <v>579</v>
      </c>
      <c r="C85" s="2">
        <v>2019</v>
      </c>
      <c r="D85" s="2" t="s">
        <v>49</v>
      </c>
      <c r="E85" s="2" t="s">
        <v>146</v>
      </c>
      <c r="F85" s="2" t="s">
        <v>146</v>
      </c>
      <c r="G85" s="2" t="s">
        <v>146</v>
      </c>
      <c r="H85" s="2" t="s">
        <v>146</v>
      </c>
      <c r="I85" s="2" t="s">
        <v>146</v>
      </c>
      <c r="J85" s="2" t="s">
        <v>49</v>
      </c>
      <c r="K85" s="2" t="s">
        <v>146</v>
      </c>
      <c r="L85" s="2" t="s">
        <v>146</v>
      </c>
      <c r="M85" s="2" t="s">
        <v>146</v>
      </c>
      <c r="N85" s="2" t="s">
        <v>146</v>
      </c>
      <c r="O85" s="2" t="s">
        <v>146</v>
      </c>
      <c r="P85" s="2" t="s">
        <v>49</v>
      </c>
      <c r="Q85" s="2" t="s">
        <v>146</v>
      </c>
      <c r="R85" s="2" t="s">
        <v>146</v>
      </c>
      <c r="S85" s="2" t="s">
        <v>146</v>
      </c>
      <c r="T85" s="2" t="s">
        <v>146</v>
      </c>
      <c r="U85" s="2" t="s">
        <v>146</v>
      </c>
      <c r="X85" s="2">
        <f t="shared" si="1"/>
        <v>0</v>
      </c>
    </row>
    <row r="86" spans="1:24" ht="14.25" x14ac:dyDescent="0.45">
      <c r="A86" s="2" t="s">
        <v>576</v>
      </c>
      <c r="B86" s="2" t="s">
        <v>578</v>
      </c>
      <c r="C86" s="2">
        <v>2019</v>
      </c>
      <c r="D86" s="2" t="s">
        <v>49</v>
      </c>
      <c r="E86" s="2" t="s">
        <v>146</v>
      </c>
      <c r="F86" s="2" t="s">
        <v>146</v>
      </c>
      <c r="G86" s="2" t="s">
        <v>146</v>
      </c>
      <c r="H86" s="2" t="s">
        <v>146</v>
      </c>
      <c r="I86" s="2" t="s">
        <v>146</v>
      </c>
      <c r="J86" s="2" t="s">
        <v>49</v>
      </c>
      <c r="K86" s="2" t="s">
        <v>146</v>
      </c>
      <c r="L86" s="2" t="s">
        <v>146</v>
      </c>
      <c r="M86" s="2" t="s">
        <v>146</v>
      </c>
      <c r="N86" s="2" t="s">
        <v>146</v>
      </c>
      <c r="O86" s="2" t="s">
        <v>146</v>
      </c>
      <c r="P86" s="2" t="s">
        <v>49</v>
      </c>
      <c r="Q86" s="2" t="s">
        <v>146</v>
      </c>
      <c r="R86" s="2" t="s">
        <v>146</v>
      </c>
      <c r="S86" s="2" t="s">
        <v>146</v>
      </c>
      <c r="T86" s="2" t="s">
        <v>146</v>
      </c>
      <c r="U86" s="2" t="s">
        <v>146</v>
      </c>
      <c r="X86" s="2">
        <f t="shared" si="1"/>
        <v>0</v>
      </c>
    </row>
    <row r="87" spans="1:24" ht="14.25" x14ac:dyDescent="0.45">
      <c r="A87" s="2" t="s">
        <v>576</v>
      </c>
      <c r="B87" s="2" t="s">
        <v>577</v>
      </c>
      <c r="C87" s="2">
        <v>2019</v>
      </c>
      <c r="D87" s="2" t="s">
        <v>803</v>
      </c>
      <c r="E87" s="2" t="s">
        <v>734</v>
      </c>
      <c r="F87" s="2">
        <v>4.8780000000000001</v>
      </c>
      <c r="G87" s="2" t="s">
        <v>146</v>
      </c>
      <c r="H87" s="2" t="s">
        <v>146</v>
      </c>
      <c r="I87" s="2" t="s">
        <v>146</v>
      </c>
      <c r="J87" s="2" t="s">
        <v>49</v>
      </c>
      <c r="K87" s="2" t="s">
        <v>146</v>
      </c>
      <c r="L87" s="2" t="s">
        <v>146</v>
      </c>
      <c r="M87" s="2" t="s">
        <v>146</v>
      </c>
      <c r="N87" s="2" t="s">
        <v>146</v>
      </c>
      <c r="O87" s="2" t="s">
        <v>146</v>
      </c>
      <c r="P87" s="2" t="s">
        <v>49</v>
      </c>
      <c r="Q87" s="2" t="s">
        <v>146</v>
      </c>
      <c r="R87" s="2" t="s">
        <v>146</v>
      </c>
      <c r="S87" s="2" t="s">
        <v>146</v>
      </c>
      <c r="T87" s="2" t="s">
        <v>146</v>
      </c>
      <c r="U87" s="2" t="s">
        <v>146</v>
      </c>
      <c r="X87" s="2">
        <f t="shared" si="1"/>
        <v>0</v>
      </c>
    </row>
    <row r="88" spans="1:24" ht="14.25" x14ac:dyDescent="0.45">
      <c r="A88" s="2" t="s">
        <v>576</v>
      </c>
      <c r="B88" s="2" t="s">
        <v>575</v>
      </c>
      <c r="C88" s="2">
        <v>2019</v>
      </c>
      <c r="D88" s="2" t="s">
        <v>49</v>
      </c>
      <c r="E88" s="2" t="s">
        <v>146</v>
      </c>
      <c r="F88" s="2" t="s">
        <v>146</v>
      </c>
      <c r="G88" s="2" t="s">
        <v>146</v>
      </c>
      <c r="H88" s="2" t="s">
        <v>146</v>
      </c>
      <c r="I88" s="2" t="s">
        <v>146</v>
      </c>
      <c r="J88" s="2" t="s">
        <v>49</v>
      </c>
      <c r="K88" s="2" t="s">
        <v>146</v>
      </c>
      <c r="L88" s="2" t="s">
        <v>146</v>
      </c>
      <c r="M88" s="2" t="s">
        <v>146</v>
      </c>
      <c r="N88" s="2" t="s">
        <v>146</v>
      </c>
      <c r="O88" s="2" t="s">
        <v>146</v>
      </c>
      <c r="P88" s="2" t="s">
        <v>49</v>
      </c>
      <c r="Q88" s="2" t="s">
        <v>146</v>
      </c>
      <c r="R88" s="2" t="s">
        <v>146</v>
      </c>
      <c r="S88" s="2" t="s">
        <v>146</v>
      </c>
      <c r="T88" s="2" t="s">
        <v>146</v>
      </c>
      <c r="U88" s="2" t="s">
        <v>146</v>
      </c>
      <c r="X88" s="2">
        <f t="shared" si="1"/>
        <v>0</v>
      </c>
    </row>
    <row r="89" spans="1:24" ht="14.25" x14ac:dyDescent="0.45">
      <c r="A89" s="2" t="s">
        <v>571</v>
      </c>
      <c r="B89" s="2" t="s">
        <v>574</v>
      </c>
      <c r="C89" s="2">
        <v>2019</v>
      </c>
      <c r="D89" s="2" t="s">
        <v>49</v>
      </c>
      <c r="E89" s="2" t="s">
        <v>146</v>
      </c>
      <c r="F89" s="2" t="s">
        <v>146</v>
      </c>
      <c r="G89" s="2" t="s">
        <v>146</v>
      </c>
      <c r="H89" s="2" t="s">
        <v>146</v>
      </c>
      <c r="I89" s="2" t="s">
        <v>146</v>
      </c>
      <c r="J89" s="2" t="s">
        <v>49</v>
      </c>
      <c r="K89" s="2" t="s">
        <v>146</v>
      </c>
      <c r="L89" s="2" t="s">
        <v>146</v>
      </c>
      <c r="M89" s="2" t="s">
        <v>146</v>
      </c>
      <c r="N89" s="2" t="s">
        <v>146</v>
      </c>
      <c r="O89" s="2" t="s">
        <v>146</v>
      </c>
      <c r="P89" s="2" t="s">
        <v>49</v>
      </c>
      <c r="Q89" s="2" t="s">
        <v>146</v>
      </c>
      <c r="R89" s="2" t="s">
        <v>146</v>
      </c>
      <c r="S89" s="2" t="s">
        <v>146</v>
      </c>
      <c r="T89" s="2" t="s">
        <v>146</v>
      </c>
      <c r="U89" s="2" t="s">
        <v>146</v>
      </c>
      <c r="X89" s="2">
        <f t="shared" si="1"/>
        <v>0</v>
      </c>
    </row>
    <row r="90" spans="1:24" ht="14.25" x14ac:dyDescent="0.45">
      <c r="A90" s="2" t="s">
        <v>571</v>
      </c>
      <c r="B90" s="2" t="s">
        <v>573</v>
      </c>
      <c r="C90" s="2">
        <v>2019</v>
      </c>
      <c r="D90" s="2" t="s">
        <v>802</v>
      </c>
      <c r="E90" s="2" t="s">
        <v>751</v>
      </c>
      <c r="F90" s="2">
        <v>7.8419999999999996</v>
      </c>
      <c r="G90" s="2" t="s">
        <v>146</v>
      </c>
      <c r="H90" s="2" t="s">
        <v>146</v>
      </c>
      <c r="I90" s="2" t="s">
        <v>146</v>
      </c>
      <c r="J90" s="2" t="s">
        <v>49</v>
      </c>
      <c r="K90" s="2" t="s">
        <v>146</v>
      </c>
      <c r="L90" s="2" t="s">
        <v>146</v>
      </c>
      <c r="M90" s="2" t="s">
        <v>146</v>
      </c>
      <c r="N90" s="2" t="s">
        <v>146</v>
      </c>
      <c r="O90" s="2" t="s">
        <v>146</v>
      </c>
      <c r="P90" s="2" t="s">
        <v>49</v>
      </c>
      <c r="Q90" s="2" t="s">
        <v>146</v>
      </c>
      <c r="R90" s="2" t="s">
        <v>146</v>
      </c>
      <c r="S90" s="2" t="s">
        <v>146</v>
      </c>
      <c r="T90" s="2" t="s">
        <v>146</v>
      </c>
      <c r="U90" s="2" t="s">
        <v>146</v>
      </c>
      <c r="X90" s="2">
        <f t="shared" si="1"/>
        <v>0</v>
      </c>
    </row>
    <row r="91" spans="1:24" ht="14.25" x14ac:dyDescent="0.45">
      <c r="A91" s="2" t="s">
        <v>571</v>
      </c>
      <c r="B91" s="2" t="s">
        <v>572</v>
      </c>
      <c r="C91" s="2">
        <v>2019</v>
      </c>
      <c r="D91" s="2" t="s">
        <v>49</v>
      </c>
      <c r="E91" s="2" t="s">
        <v>146</v>
      </c>
      <c r="F91" s="2" t="s">
        <v>146</v>
      </c>
      <c r="G91" s="2" t="s">
        <v>146</v>
      </c>
      <c r="H91" s="2" t="s">
        <v>146</v>
      </c>
      <c r="I91" s="2" t="s">
        <v>146</v>
      </c>
      <c r="J91" s="2" t="s">
        <v>49</v>
      </c>
      <c r="K91" s="2" t="s">
        <v>146</v>
      </c>
      <c r="L91" s="2" t="s">
        <v>146</v>
      </c>
      <c r="M91" s="2" t="s">
        <v>146</v>
      </c>
      <c r="N91" s="2" t="s">
        <v>146</v>
      </c>
      <c r="O91" s="2" t="s">
        <v>146</v>
      </c>
      <c r="P91" s="2" t="s">
        <v>49</v>
      </c>
      <c r="Q91" s="2" t="s">
        <v>146</v>
      </c>
      <c r="R91" s="2" t="s">
        <v>146</v>
      </c>
      <c r="S91" s="2" t="s">
        <v>146</v>
      </c>
      <c r="T91" s="2" t="s">
        <v>146</v>
      </c>
      <c r="U91" s="2" t="s">
        <v>146</v>
      </c>
      <c r="X91" s="2">
        <f t="shared" si="1"/>
        <v>0</v>
      </c>
    </row>
    <row r="92" spans="1:24" ht="14.25" x14ac:dyDescent="0.45">
      <c r="A92" s="2" t="s">
        <v>571</v>
      </c>
      <c r="B92" s="2" t="s">
        <v>570</v>
      </c>
      <c r="C92" s="2">
        <v>2019</v>
      </c>
      <c r="D92" s="2" t="s">
        <v>49</v>
      </c>
      <c r="E92" s="2" t="s">
        <v>146</v>
      </c>
      <c r="F92" s="2" t="s">
        <v>146</v>
      </c>
      <c r="G92" s="2" t="s">
        <v>146</v>
      </c>
      <c r="H92" s="2" t="s">
        <v>146</v>
      </c>
      <c r="I92" s="2" t="s">
        <v>146</v>
      </c>
      <c r="J92" s="2" t="s">
        <v>49</v>
      </c>
      <c r="K92" s="2" t="s">
        <v>146</v>
      </c>
      <c r="L92" s="2" t="s">
        <v>146</v>
      </c>
      <c r="M92" s="2" t="s">
        <v>146</v>
      </c>
      <c r="N92" s="2" t="s">
        <v>146</v>
      </c>
      <c r="O92" s="2" t="s">
        <v>146</v>
      </c>
      <c r="P92" s="2" t="s">
        <v>49</v>
      </c>
      <c r="Q92" s="2" t="s">
        <v>146</v>
      </c>
      <c r="R92" s="2" t="s">
        <v>146</v>
      </c>
      <c r="S92" s="2" t="s">
        <v>146</v>
      </c>
      <c r="T92" s="2" t="s">
        <v>146</v>
      </c>
      <c r="U92" s="2" t="s">
        <v>146</v>
      </c>
      <c r="X92" s="2">
        <f t="shared" si="1"/>
        <v>0</v>
      </c>
    </row>
    <row r="93" spans="1:24" ht="14.25" x14ac:dyDescent="0.45">
      <c r="A93" s="2" t="s">
        <v>568</v>
      </c>
      <c r="B93" s="2" t="s">
        <v>567</v>
      </c>
      <c r="C93" s="2">
        <v>2019</v>
      </c>
      <c r="D93" s="2" t="s">
        <v>49</v>
      </c>
      <c r="E93" s="2" t="s">
        <v>146</v>
      </c>
      <c r="F93" s="2" t="s">
        <v>146</v>
      </c>
      <c r="G93" s="2" t="s">
        <v>146</v>
      </c>
      <c r="H93" s="2" t="s">
        <v>146</v>
      </c>
      <c r="I93" s="2" t="s">
        <v>146</v>
      </c>
      <c r="J93" s="2" t="s">
        <v>49</v>
      </c>
      <c r="K93" s="2" t="s">
        <v>146</v>
      </c>
      <c r="L93" s="2" t="s">
        <v>146</v>
      </c>
      <c r="M93" s="2" t="s">
        <v>146</v>
      </c>
      <c r="N93" s="2" t="s">
        <v>146</v>
      </c>
      <c r="O93" s="2" t="s">
        <v>146</v>
      </c>
      <c r="P93" s="2" t="s">
        <v>49</v>
      </c>
      <c r="Q93" s="2" t="s">
        <v>146</v>
      </c>
      <c r="R93" s="2" t="s">
        <v>146</v>
      </c>
      <c r="S93" s="2" t="s">
        <v>146</v>
      </c>
      <c r="T93" s="2" t="s">
        <v>146</v>
      </c>
      <c r="U93" s="2" t="s">
        <v>146</v>
      </c>
      <c r="X93" s="2">
        <f t="shared" si="1"/>
        <v>0</v>
      </c>
    </row>
    <row r="94" spans="1:24" ht="14.25" x14ac:dyDescent="0.45">
      <c r="A94" s="2" t="s">
        <v>566</v>
      </c>
      <c r="B94" s="2" t="s">
        <v>565</v>
      </c>
      <c r="C94" s="2">
        <v>2019</v>
      </c>
      <c r="D94" s="2" t="s">
        <v>801</v>
      </c>
      <c r="E94" s="2" t="s">
        <v>734</v>
      </c>
      <c r="F94" s="2">
        <v>35.844000000000001</v>
      </c>
      <c r="G94" s="2" t="s">
        <v>146</v>
      </c>
      <c r="H94" s="2" t="s">
        <v>146</v>
      </c>
      <c r="I94" s="2" t="s">
        <v>146</v>
      </c>
      <c r="J94" s="2" t="s">
        <v>800</v>
      </c>
      <c r="K94" s="2" t="s">
        <v>734</v>
      </c>
      <c r="L94" s="2">
        <v>43.612000000000002</v>
      </c>
      <c r="M94" s="2" t="s">
        <v>146</v>
      </c>
      <c r="N94" s="2" t="s">
        <v>146</v>
      </c>
      <c r="O94" s="2" t="s">
        <v>146</v>
      </c>
      <c r="P94" s="2" t="s">
        <v>800</v>
      </c>
      <c r="Q94" s="2" t="s">
        <v>739</v>
      </c>
      <c r="R94" s="2">
        <v>1.216</v>
      </c>
      <c r="S94" s="2" t="s">
        <v>745</v>
      </c>
      <c r="T94" s="2">
        <v>0.378</v>
      </c>
      <c r="U94" s="2">
        <v>88</v>
      </c>
      <c r="X94" s="2">
        <f t="shared" si="1"/>
        <v>0</v>
      </c>
    </row>
    <row r="95" spans="1:24" ht="14.25" x14ac:dyDescent="0.45">
      <c r="A95" s="2" t="s">
        <v>560</v>
      </c>
      <c r="B95" s="2" t="s">
        <v>564</v>
      </c>
      <c r="C95" s="2">
        <v>2019</v>
      </c>
      <c r="D95" s="2" t="s">
        <v>176</v>
      </c>
      <c r="E95" s="2" t="s">
        <v>146</v>
      </c>
      <c r="F95" s="2" t="s">
        <v>146</v>
      </c>
      <c r="G95" s="2" t="s">
        <v>146</v>
      </c>
      <c r="H95" s="2" t="s">
        <v>146</v>
      </c>
      <c r="I95" s="2" t="s">
        <v>146</v>
      </c>
      <c r="J95" s="2" t="s">
        <v>176</v>
      </c>
      <c r="K95" s="2" t="s">
        <v>146</v>
      </c>
      <c r="L95" s="2" t="s">
        <v>146</v>
      </c>
      <c r="M95" s="2" t="s">
        <v>146</v>
      </c>
      <c r="N95" s="2" t="s">
        <v>146</v>
      </c>
      <c r="O95" s="2" t="s">
        <v>146</v>
      </c>
      <c r="P95" s="2" t="s">
        <v>176</v>
      </c>
      <c r="Q95" s="2" t="s">
        <v>146</v>
      </c>
      <c r="R95" s="2" t="s">
        <v>146</v>
      </c>
      <c r="S95" s="2" t="s">
        <v>146</v>
      </c>
      <c r="T95" s="2" t="s">
        <v>146</v>
      </c>
      <c r="U95" s="2" t="s">
        <v>146</v>
      </c>
      <c r="X95" s="2">
        <f t="shared" si="1"/>
        <v>0</v>
      </c>
    </row>
    <row r="96" spans="1:24" ht="14.25" x14ac:dyDescent="0.45">
      <c r="A96" s="2" t="s">
        <v>560</v>
      </c>
      <c r="B96" s="2" t="s">
        <v>563</v>
      </c>
      <c r="C96" s="2">
        <v>2019</v>
      </c>
      <c r="D96" s="2" t="s">
        <v>799</v>
      </c>
      <c r="E96" s="2" t="s">
        <v>726</v>
      </c>
      <c r="F96" s="2">
        <v>907.58199999999999</v>
      </c>
      <c r="G96" s="2" t="s">
        <v>146</v>
      </c>
      <c r="H96" s="2" t="s">
        <v>146</v>
      </c>
      <c r="I96" s="2">
        <v>100</v>
      </c>
      <c r="J96" s="2" t="s">
        <v>798</v>
      </c>
      <c r="K96" s="2" t="s">
        <v>734</v>
      </c>
      <c r="L96" s="2">
        <v>3.766</v>
      </c>
      <c r="M96" s="2" t="s">
        <v>739</v>
      </c>
      <c r="N96" s="2">
        <v>0.13700000000000001</v>
      </c>
      <c r="O96" s="2">
        <v>100</v>
      </c>
      <c r="P96" s="2" t="s">
        <v>49</v>
      </c>
      <c r="Q96" s="2" t="s">
        <v>146</v>
      </c>
      <c r="R96" s="2" t="s">
        <v>146</v>
      </c>
      <c r="S96" s="2" t="s">
        <v>146</v>
      </c>
      <c r="T96" s="2" t="s">
        <v>146</v>
      </c>
      <c r="U96" s="2" t="s">
        <v>146</v>
      </c>
      <c r="X96" s="2">
        <f t="shared" si="1"/>
        <v>907.58199999999999</v>
      </c>
    </row>
    <row r="97" spans="1:24" ht="14.25" x14ac:dyDescent="0.45">
      <c r="A97" s="2" t="s">
        <v>560</v>
      </c>
      <c r="B97" s="2" t="s">
        <v>562</v>
      </c>
      <c r="C97" s="2">
        <v>2019</v>
      </c>
      <c r="D97" s="2" t="s">
        <v>49</v>
      </c>
      <c r="E97" s="2" t="s">
        <v>146</v>
      </c>
      <c r="F97" s="2" t="s">
        <v>146</v>
      </c>
      <c r="G97" s="2" t="s">
        <v>146</v>
      </c>
      <c r="H97" s="2" t="s">
        <v>146</v>
      </c>
      <c r="I97" s="2" t="s">
        <v>146</v>
      </c>
      <c r="J97" s="2" t="s">
        <v>49</v>
      </c>
      <c r="K97" s="2" t="s">
        <v>146</v>
      </c>
      <c r="L97" s="2" t="s">
        <v>146</v>
      </c>
      <c r="M97" s="2" t="s">
        <v>146</v>
      </c>
      <c r="N97" s="2" t="s">
        <v>146</v>
      </c>
      <c r="O97" s="2" t="s">
        <v>146</v>
      </c>
      <c r="P97" s="2" t="s">
        <v>49</v>
      </c>
      <c r="Q97" s="2" t="s">
        <v>146</v>
      </c>
      <c r="R97" s="2" t="s">
        <v>146</v>
      </c>
      <c r="S97" s="2" t="s">
        <v>146</v>
      </c>
      <c r="T97" s="2" t="s">
        <v>146</v>
      </c>
      <c r="U97" s="2" t="s">
        <v>146</v>
      </c>
      <c r="X97" s="2">
        <f t="shared" si="1"/>
        <v>0</v>
      </c>
    </row>
    <row r="98" spans="1:24" ht="14.25" x14ac:dyDescent="0.45">
      <c r="A98" s="2" t="s">
        <v>560</v>
      </c>
      <c r="B98" s="2" t="s">
        <v>560</v>
      </c>
      <c r="C98" s="2">
        <v>2019</v>
      </c>
      <c r="D98" s="2" t="s">
        <v>176</v>
      </c>
      <c r="E98" s="2" t="s">
        <v>146</v>
      </c>
      <c r="F98" s="2" t="s">
        <v>146</v>
      </c>
      <c r="G98" s="2" t="s">
        <v>146</v>
      </c>
      <c r="H98" s="2" t="s">
        <v>146</v>
      </c>
      <c r="I98" s="2" t="s">
        <v>146</v>
      </c>
      <c r="J98" s="2" t="s">
        <v>176</v>
      </c>
      <c r="K98" s="2" t="s">
        <v>146</v>
      </c>
      <c r="L98" s="2" t="s">
        <v>146</v>
      </c>
      <c r="M98" s="2" t="s">
        <v>146</v>
      </c>
      <c r="N98" s="2" t="s">
        <v>146</v>
      </c>
      <c r="O98" s="2" t="s">
        <v>146</v>
      </c>
      <c r="P98" s="2" t="s">
        <v>146</v>
      </c>
      <c r="Q98" s="2" t="s">
        <v>146</v>
      </c>
      <c r="R98" s="2" t="s">
        <v>146</v>
      </c>
      <c r="S98" s="2" t="s">
        <v>146</v>
      </c>
      <c r="T98" s="2" t="s">
        <v>146</v>
      </c>
      <c r="U98" s="2" t="s">
        <v>146</v>
      </c>
      <c r="X98" s="2">
        <f t="shared" si="1"/>
        <v>0</v>
      </c>
    </row>
    <row r="99" spans="1:24" ht="14.25" x14ac:dyDescent="0.45">
      <c r="A99" s="2" t="s">
        <v>560</v>
      </c>
      <c r="B99" s="2" t="s">
        <v>561</v>
      </c>
      <c r="C99" s="2">
        <v>2019</v>
      </c>
      <c r="D99" s="2" t="s">
        <v>49</v>
      </c>
      <c r="E99" s="2" t="s">
        <v>146</v>
      </c>
      <c r="F99" s="2" t="s">
        <v>146</v>
      </c>
      <c r="G99" s="2" t="s">
        <v>146</v>
      </c>
      <c r="H99" s="2" t="s">
        <v>146</v>
      </c>
      <c r="I99" s="2" t="s">
        <v>146</v>
      </c>
      <c r="J99" s="2" t="s">
        <v>49</v>
      </c>
      <c r="K99" s="2" t="s">
        <v>146</v>
      </c>
      <c r="L99" s="2" t="s">
        <v>146</v>
      </c>
      <c r="M99" s="2" t="s">
        <v>146</v>
      </c>
      <c r="N99" s="2" t="s">
        <v>146</v>
      </c>
      <c r="O99" s="2" t="s">
        <v>146</v>
      </c>
      <c r="P99" s="2" t="s">
        <v>49</v>
      </c>
      <c r="Q99" s="2" t="s">
        <v>146</v>
      </c>
      <c r="R99" s="2" t="s">
        <v>146</v>
      </c>
      <c r="S99" s="2" t="s">
        <v>146</v>
      </c>
      <c r="T99" s="2" t="s">
        <v>146</v>
      </c>
      <c r="U99" s="2" t="s">
        <v>146</v>
      </c>
      <c r="X99" s="2">
        <f t="shared" si="1"/>
        <v>0</v>
      </c>
    </row>
    <row r="100" spans="1:24" ht="14.25" x14ac:dyDescent="0.45">
      <c r="A100" s="2" t="s">
        <v>560</v>
      </c>
      <c r="B100" s="2" t="s">
        <v>559</v>
      </c>
      <c r="C100" s="2">
        <v>2019</v>
      </c>
      <c r="D100" s="2" t="s">
        <v>146</v>
      </c>
      <c r="E100" s="2" t="s">
        <v>146</v>
      </c>
      <c r="F100" s="2" t="s">
        <v>146</v>
      </c>
      <c r="G100" s="2" t="s">
        <v>146</v>
      </c>
      <c r="H100" s="2" t="s">
        <v>146</v>
      </c>
      <c r="I100" s="2" t="s">
        <v>146</v>
      </c>
      <c r="J100" s="2" t="s">
        <v>146</v>
      </c>
      <c r="K100" s="2" t="s">
        <v>146</v>
      </c>
      <c r="L100" s="2" t="s">
        <v>146</v>
      </c>
      <c r="M100" s="2" t="s">
        <v>146</v>
      </c>
      <c r="N100" s="2" t="s">
        <v>146</v>
      </c>
      <c r="O100" s="2" t="s">
        <v>146</v>
      </c>
      <c r="P100" s="2" t="s">
        <v>146</v>
      </c>
      <c r="Q100" s="2" t="s">
        <v>146</v>
      </c>
      <c r="R100" s="2" t="s">
        <v>146</v>
      </c>
      <c r="S100" s="2" t="s">
        <v>146</v>
      </c>
      <c r="T100" s="2" t="s">
        <v>146</v>
      </c>
      <c r="U100" s="2" t="s">
        <v>146</v>
      </c>
      <c r="X100" s="2">
        <f t="shared" si="1"/>
        <v>0</v>
      </c>
    </row>
    <row r="101" spans="1:24" ht="14.25" x14ac:dyDescent="0.45">
      <c r="A101" s="2" t="s">
        <v>556</v>
      </c>
      <c r="B101" s="2" t="s">
        <v>558</v>
      </c>
      <c r="C101" s="2">
        <v>2019</v>
      </c>
      <c r="D101" s="2" t="s">
        <v>176</v>
      </c>
      <c r="E101" s="2" t="s">
        <v>146</v>
      </c>
      <c r="F101" s="2" t="s">
        <v>146</v>
      </c>
      <c r="G101" s="2" t="s">
        <v>146</v>
      </c>
      <c r="H101" s="2" t="s">
        <v>146</v>
      </c>
      <c r="I101" s="2" t="s">
        <v>146</v>
      </c>
      <c r="J101" s="2" t="s">
        <v>176</v>
      </c>
      <c r="K101" s="2" t="s">
        <v>146</v>
      </c>
      <c r="L101" s="2" t="s">
        <v>146</v>
      </c>
      <c r="M101" s="2" t="s">
        <v>146</v>
      </c>
      <c r="N101" s="2" t="s">
        <v>146</v>
      </c>
      <c r="O101" s="2" t="s">
        <v>146</v>
      </c>
      <c r="P101" s="2" t="s">
        <v>176</v>
      </c>
      <c r="Q101" s="2" t="s">
        <v>146</v>
      </c>
      <c r="R101" s="2" t="s">
        <v>146</v>
      </c>
      <c r="S101" s="2" t="s">
        <v>146</v>
      </c>
      <c r="T101" s="2" t="s">
        <v>146</v>
      </c>
      <c r="U101" s="2" t="s">
        <v>146</v>
      </c>
      <c r="X101" s="2">
        <f t="shared" si="1"/>
        <v>0</v>
      </c>
    </row>
    <row r="102" spans="1:24" ht="14.25" x14ac:dyDescent="0.45">
      <c r="A102" s="2" t="s">
        <v>556</v>
      </c>
      <c r="B102" s="2" t="s">
        <v>555</v>
      </c>
      <c r="C102" s="2">
        <v>2019</v>
      </c>
      <c r="D102" s="2" t="s">
        <v>176</v>
      </c>
      <c r="E102" s="2" t="s">
        <v>146</v>
      </c>
      <c r="F102" s="2" t="s">
        <v>146</v>
      </c>
      <c r="G102" s="2" t="s">
        <v>146</v>
      </c>
      <c r="H102" s="2" t="s">
        <v>146</v>
      </c>
      <c r="I102" s="2" t="s">
        <v>146</v>
      </c>
      <c r="J102" s="2" t="s">
        <v>176</v>
      </c>
      <c r="K102" s="2" t="s">
        <v>146</v>
      </c>
      <c r="L102" s="2" t="s">
        <v>146</v>
      </c>
      <c r="M102" s="2" t="s">
        <v>146</v>
      </c>
      <c r="N102" s="2" t="s">
        <v>146</v>
      </c>
      <c r="O102" s="2" t="s">
        <v>146</v>
      </c>
      <c r="P102" s="2" t="s">
        <v>176</v>
      </c>
      <c r="Q102" s="2" t="s">
        <v>146</v>
      </c>
      <c r="R102" s="2" t="s">
        <v>146</v>
      </c>
      <c r="S102" s="2" t="s">
        <v>146</v>
      </c>
      <c r="T102" s="2" t="s">
        <v>146</v>
      </c>
      <c r="U102" s="2" t="s">
        <v>146</v>
      </c>
      <c r="X102" s="2">
        <f t="shared" si="1"/>
        <v>0</v>
      </c>
    </row>
    <row r="103" spans="1:24" ht="14.25" x14ac:dyDescent="0.45">
      <c r="A103" s="2" t="s">
        <v>554</v>
      </c>
      <c r="B103" s="2" t="s">
        <v>553</v>
      </c>
      <c r="C103" s="2">
        <v>2019</v>
      </c>
      <c r="D103" s="2" t="s">
        <v>49</v>
      </c>
      <c r="E103" s="2" t="s">
        <v>146</v>
      </c>
      <c r="F103" s="2" t="s">
        <v>146</v>
      </c>
      <c r="G103" s="2" t="s">
        <v>146</v>
      </c>
      <c r="H103" s="2" t="s">
        <v>146</v>
      </c>
      <c r="I103" s="2" t="s">
        <v>146</v>
      </c>
      <c r="J103" s="2" t="s">
        <v>49</v>
      </c>
      <c r="K103" s="2" t="s">
        <v>146</v>
      </c>
      <c r="L103" s="2" t="s">
        <v>146</v>
      </c>
      <c r="M103" s="2" t="s">
        <v>146</v>
      </c>
      <c r="N103" s="2" t="s">
        <v>146</v>
      </c>
      <c r="O103" s="2" t="s">
        <v>146</v>
      </c>
      <c r="P103" s="2" t="s">
        <v>49</v>
      </c>
      <c r="Q103" s="2" t="s">
        <v>146</v>
      </c>
      <c r="R103" s="2" t="s">
        <v>146</v>
      </c>
      <c r="S103" s="2" t="s">
        <v>146</v>
      </c>
      <c r="T103" s="2" t="s">
        <v>146</v>
      </c>
      <c r="U103" s="2" t="s">
        <v>146</v>
      </c>
      <c r="X103" s="2">
        <f t="shared" si="1"/>
        <v>0</v>
      </c>
    </row>
    <row r="104" spans="1:24" ht="14.25" x14ac:dyDescent="0.45">
      <c r="A104" s="2" t="s">
        <v>550</v>
      </c>
      <c r="B104" s="2" t="s">
        <v>552</v>
      </c>
      <c r="C104" s="2">
        <v>2019</v>
      </c>
      <c r="D104" s="2" t="s">
        <v>49</v>
      </c>
      <c r="E104" s="2" t="s">
        <v>146</v>
      </c>
      <c r="F104" s="2" t="s">
        <v>146</v>
      </c>
      <c r="G104" s="2" t="s">
        <v>146</v>
      </c>
      <c r="H104" s="2" t="s">
        <v>146</v>
      </c>
      <c r="I104" s="2" t="s">
        <v>146</v>
      </c>
      <c r="J104" s="2" t="s">
        <v>49</v>
      </c>
      <c r="K104" s="2" t="s">
        <v>146</v>
      </c>
      <c r="L104" s="2" t="s">
        <v>146</v>
      </c>
      <c r="M104" s="2" t="s">
        <v>146</v>
      </c>
      <c r="N104" s="2" t="s">
        <v>146</v>
      </c>
      <c r="O104" s="2" t="s">
        <v>146</v>
      </c>
      <c r="P104" s="2" t="s">
        <v>49</v>
      </c>
      <c r="Q104" s="2" t="s">
        <v>146</v>
      </c>
      <c r="R104" s="2" t="s">
        <v>146</v>
      </c>
      <c r="S104" s="2" t="s">
        <v>146</v>
      </c>
      <c r="T104" s="2" t="s">
        <v>146</v>
      </c>
      <c r="U104" s="2" t="s">
        <v>146</v>
      </c>
      <c r="X104" s="2">
        <f t="shared" si="1"/>
        <v>0</v>
      </c>
    </row>
    <row r="105" spans="1:24" ht="14.25" x14ac:dyDescent="0.45">
      <c r="A105" s="2" t="s">
        <v>550</v>
      </c>
      <c r="B105" s="2" t="s">
        <v>551</v>
      </c>
      <c r="C105" s="2">
        <v>2019</v>
      </c>
      <c r="D105" s="2" t="s">
        <v>49</v>
      </c>
      <c r="E105" s="2" t="s">
        <v>146</v>
      </c>
      <c r="F105" s="2" t="s">
        <v>146</v>
      </c>
      <c r="G105" s="2" t="s">
        <v>146</v>
      </c>
      <c r="H105" s="2" t="s">
        <v>146</v>
      </c>
      <c r="I105" s="2" t="s">
        <v>146</v>
      </c>
      <c r="J105" s="2" t="s">
        <v>49</v>
      </c>
      <c r="K105" s="2" t="s">
        <v>146</v>
      </c>
      <c r="L105" s="2" t="s">
        <v>146</v>
      </c>
      <c r="M105" s="2" t="s">
        <v>146</v>
      </c>
      <c r="N105" s="2" t="s">
        <v>146</v>
      </c>
      <c r="O105" s="2" t="s">
        <v>146</v>
      </c>
      <c r="P105" s="2" t="s">
        <v>49</v>
      </c>
      <c r="Q105" s="2" t="s">
        <v>146</v>
      </c>
      <c r="R105" s="2" t="s">
        <v>146</v>
      </c>
      <c r="S105" s="2" t="s">
        <v>146</v>
      </c>
      <c r="T105" s="2" t="s">
        <v>146</v>
      </c>
      <c r="U105" s="2" t="s">
        <v>146</v>
      </c>
      <c r="X105" s="2">
        <f t="shared" si="1"/>
        <v>0</v>
      </c>
    </row>
    <row r="106" spans="1:24" ht="14.25" x14ac:dyDescent="0.45">
      <c r="A106" s="2" t="s">
        <v>550</v>
      </c>
      <c r="B106" s="2" t="s">
        <v>549</v>
      </c>
      <c r="C106" s="2">
        <v>2019</v>
      </c>
      <c r="D106" s="2" t="s">
        <v>49</v>
      </c>
      <c r="E106" s="2" t="s">
        <v>146</v>
      </c>
      <c r="F106" s="2" t="s">
        <v>146</v>
      </c>
      <c r="G106" s="2" t="s">
        <v>146</v>
      </c>
      <c r="H106" s="2" t="s">
        <v>146</v>
      </c>
      <c r="I106" s="2" t="s">
        <v>146</v>
      </c>
      <c r="J106" s="2" t="s">
        <v>49</v>
      </c>
      <c r="K106" s="2" t="s">
        <v>146</v>
      </c>
      <c r="L106" s="2" t="s">
        <v>146</v>
      </c>
      <c r="M106" s="2" t="s">
        <v>146</v>
      </c>
      <c r="N106" s="2" t="s">
        <v>146</v>
      </c>
      <c r="O106" s="2" t="s">
        <v>146</v>
      </c>
      <c r="P106" s="2" t="s">
        <v>49</v>
      </c>
      <c r="Q106" s="2" t="s">
        <v>146</v>
      </c>
      <c r="R106" s="2" t="s">
        <v>146</v>
      </c>
      <c r="S106" s="2" t="s">
        <v>146</v>
      </c>
      <c r="T106" s="2" t="s">
        <v>146</v>
      </c>
      <c r="U106" s="2" t="s">
        <v>146</v>
      </c>
      <c r="X106" s="2">
        <f t="shared" si="1"/>
        <v>0</v>
      </c>
    </row>
    <row r="107" spans="1:24" ht="14.25" x14ac:dyDescent="0.45">
      <c r="A107" s="2" t="s">
        <v>548</v>
      </c>
      <c r="B107" s="2" t="s">
        <v>547</v>
      </c>
      <c r="C107" s="2">
        <v>2019</v>
      </c>
      <c r="D107" s="2" t="s">
        <v>49</v>
      </c>
      <c r="E107" s="2" t="s">
        <v>146</v>
      </c>
      <c r="F107" s="2" t="s">
        <v>146</v>
      </c>
      <c r="G107" s="2" t="s">
        <v>146</v>
      </c>
      <c r="H107" s="2" t="s">
        <v>146</v>
      </c>
      <c r="I107" s="2" t="s">
        <v>146</v>
      </c>
      <c r="J107" s="2" t="s">
        <v>49</v>
      </c>
      <c r="K107" s="2" t="s">
        <v>146</v>
      </c>
      <c r="L107" s="2" t="s">
        <v>146</v>
      </c>
      <c r="M107" s="2" t="s">
        <v>146</v>
      </c>
      <c r="N107" s="2" t="s">
        <v>146</v>
      </c>
      <c r="O107" s="2" t="s">
        <v>146</v>
      </c>
      <c r="P107" s="2" t="s">
        <v>49</v>
      </c>
      <c r="Q107" s="2" t="s">
        <v>146</v>
      </c>
      <c r="R107" s="2" t="s">
        <v>146</v>
      </c>
      <c r="S107" s="2" t="s">
        <v>146</v>
      </c>
      <c r="T107" s="2" t="s">
        <v>146</v>
      </c>
      <c r="U107" s="2" t="s">
        <v>146</v>
      </c>
      <c r="X107" s="2">
        <f t="shared" si="1"/>
        <v>0</v>
      </c>
    </row>
    <row r="108" spans="1:24" ht="14.25" x14ac:dyDescent="0.45">
      <c r="A108" s="2" t="s">
        <v>546</v>
      </c>
      <c r="B108" s="2" t="s">
        <v>545</v>
      </c>
      <c r="C108" s="2">
        <v>2019</v>
      </c>
      <c r="D108" s="2" t="s">
        <v>49</v>
      </c>
      <c r="E108" s="2" t="s">
        <v>146</v>
      </c>
      <c r="F108" s="2" t="s">
        <v>146</v>
      </c>
      <c r="G108" s="2" t="s">
        <v>146</v>
      </c>
      <c r="H108" s="2" t="s">
        <v>146</v>
      </c>
      <c r="I108" s="2" t="s">
        <v>146</v>
      </c>
      <c r="J108" s="2" t="s">
        <v>49</v>
      </c>
      <c r="K108" s="2" t="s">
        <v>146</v>
      </c>
      <c r="L108" s="2" t="s">
        <v>146</v>
      </c>
      <c r="M108" s="2" t="s">
        <v>146</v>
      </c>
      <c r="N108" s="2" t="s">
        <v>146</v>
      </c>
      <c r="O108" s="2" t="s">
        <v>146</v>
      </c>
      <c r="P108" s="2" t="s">
        <v>49</v>
      </c>
      <c r="Q108" s="2" t="s">
        <v>146</v>
      </c>
      <c r="R108" s="2" t="s">
        <v>146</v>
      </c>
      <c r="S108" s="2" t="s">
        <v>146</v>
      </c>
      <c r="T108" s="2" t="s">
        <v>146</v>
      </c>
      <c r="U108" s="2" t="s">
        <v>146</v>
      </c>
      <c r="X108" s="2">
        <f t="shared" si="1"/>
        <v>0</v>
      </c>
    </row>
    <row r="109" spans="1:24" ht="14.25" x14ac:dyDescent="0.45">
      <c r="A109" s="2" t="s">
        <v>543</v>
      </c>
      <c r="B109" s="2" t="s">
        <v>544</v>
      </c>
      <c r="C109" s="2">
        <v>2019</v>
      </c>
      <c r="D109" s="2" t="s">
        <v>49</v>
      </c>
      <c r="E109" s="2" t="s">
        <v>146</v>
      </c>
      <c r="F109" s="2" t="s">
        <v>146</v>
      </c>
      <c r="G109" s="2" t="s">
        <v>146</v>
      </c>
      <c r="H109" s="2" t="s">
        <v>146</v>
      </c>
      <c r="I109" s="2" t="s">
        <v>146</v>
      </c>
      <c r="J109" s="2" t="s">
        <v>49</v>
      </c>
      <c r="K109" s="2" t="s">
        <v>146</v>
      </c>
      <c r="L109" s="2" t="s">
        <v>146</v>
      </c>
      <c r="M109" s="2" t="s">
        <v>146</v>
      </c>
      <c r="N109" s="2" t="s">
        <v>146</v>
      </c>
      <c r="O109" s="2" t="s">
        <v>146</v>
      </c>
      <c r="P109" s="2" t="s">
        <v>49</v>
      </c>
      <c r="Q109" s="2" t="s">
        <v>146</v>
      </c>
      <c r="R109" s="2" t="s">
        <v>146</v>
      </c>
      <c r="S109" s="2" t="s">
        <v>146</v>
      </c>
      <c r="T109" s="2" t="s">
        <v>146</v>
      </c>
      <c r="U109" s="2" t="s">
        <v>146</v>
      </c>
      <c r="X109" s="2">
        <f t="shared" si="1"/>
        <v>0</v>
      </c>
    </row>
    <row r="110" spans="1:24" ht="14.25" x14ac:dyDescent="0.45">
      <c r="A110" s="2" t="s">
        <v>543</v>
      </c>
      <c r="B110" s="2" t="s">
        <v>542</v>
      </c>
      <c r="C110" s="2">
        <v>2019</v>
      </c>
      <c r="D110" s="2" t="s">
        <v>797</v>
      </c>
      <c r="E110" s="2" t="s">
        <v>796</v>
      </c>
      <c r="F110" s="2">
        <v>36.198999999999998</v>
      </c>
      <c r="G110" s="2" t="s">
        <v>747</v>
      </c>
      <c r="H110" s="2">
        <v>2.3010000000000002</v>
      </c>
      <c r="I110" s="2" t="s">
        <v>146</v>
      </c>
      <c r="J110" s="2" t="s">
        <v>49</v>
      </c>
      <c r="K110" s="2" t="s">
        <v>146</v>
      </c>
      <c r="L110" s="2" t="s">
        <v>146</v>
      </c>
      <c r="M110" s="2" t="s">
        <v>146</v>
      </c>
      <c r="N110" s="2" t="s">
        <v>146</v>
      </c>
      <c r="O110" s="2" t="s">
        <v>146</v>
      </c>
      <c r="P110" s="2" t="s">
        <v>49</v>
      </c>
      <c r="Q110" s="2" t="s">
        <v>146</v>
      </c>
      <c r="R110" s="2" t="s">
        <v>146</v>
      </c>
      <c r="S110" s="2" t="s">
        <v>146</v>
      </c>
      <c r="T110" s="2" t="s">
        <v>146</v>
      </c>
      <c r="U110" s="2" t="s">
        <v>146</v>
      </c>
      <c r="X110" s="2">
        <f t="shared" si="1"/>
        <v>0</v>
      </c>
    </row>
    <row r="111" spans="1:24" ht="14.25" x14ac:dyDescent="0.45">
      <c r="A111" s="2" t="s">
        <v>538</v>
      </c>
      <c r="B111" s="2" t="s">
        <v>541</v>
      </c>
      <c r="C111" s="2">
        <v>2019</v>
      </c>
      <c r="D111" s="2" t="s">
        <v>49</v>
      </c>
      <c r="E111" s="2" t="s">
        <v>146</v>
      </c>
      <c r="F111" s="2" t="s">
        <v>146</v>
      </c>
      <c r="G111" s="2" t="s">
        <v>146</v>
      </c>
      <c r="H111" s="2" t="s">
        <v>146</v>
      </c>
      <c r="I111" s="2" t="s">
        <v>146</v>
      </c>
      <c r="J111" s="2" t="s">
        <v>49</v>
      </c>
      <c r="K111" s="2" t="s">
        <v>146</v>
      </c>
      <c r="L111" s="2" t="s">
        <v>146</v>
      </c>
      <c r="M111" s="2" t="s">
        <v>146</v>
      </c>
      <c r="N111" s="2" t="s">
        <v>146</v>
      </c>
      <c r="O111" s="2" t="s">
        <v>146</v>
      </c>
      <c r="P111" s="2" t="s">
        <v>49</v>
      </c>
      <c r="Q111" s="2" t="s">
        <v>146</v>
      </c>
      <c r="R111" s="2" t="s">
        <v>146</v>
      </c>
      <c r="S111" s="2" t="s">
        <v>146</v>
      </c>
      <c r="T111" s="2" t="s">
        <v>146</v>
      </c>
      <c r="U111" s="2" t="s">
        <v>146</v>
      </c>
      <c r="X111" s="2">
        <f t="shared" si="1"/>
        <v>0</v>
      </c>
    </row>
    <row r="112" spans="1:24" ht="14.25" x14ac:dyDescent="0.45">
      <c r="A112" s="2" t="s">
        <v>538</v>
      </c>
      <c r="B112" s="2" t="s">
        <v>540</v>
      </c>
      <c r="C112" s="2">
        <v>2019</v>
      </c>
      <c r="D112" s="2" t="s">
        <v>49</v>
      </c>
      <c r="E112" s="2" t="s">
        <v>146</v>
      </c>
      <c r="F112" s="2" t="s">
        <v>146</v>
      </c>
      <c r="G112" s="2" t="s">
        <v>146</v>
      </c>
      <c r="H112" s="2" t="s">
        <v>146</v>
      </c>
      <c r="I112" s="2" t="s">
        <v>146</v>
      </c>
      <c r="J112" s="2" t="s">
        <v>49</v>
      </c>
      <c r="K112" s="2" t="s">
        <v>146</v>
      </c>
      <c r="L112" s="2" t="s">
        <v>146</v>
      </c>
      <c r="M112" s="2" t="s">
        <v>146</v>
      </c>
      <c r="N112" s="2" t="s">
        <v>146</v>
      </c>
      <c r="O112" s="2" t="s">
        <v>146</v>
      </c>
      <c r="P112" s="2" t="s">
        <v>49</v>
      </c>
      <c r="Q112" s="2" t="s">
        <v>146</v>
      </c>
      <c r="R112" s="2" t="s">
        <v>146</v>
      </c>
      <c r="S112" s="2" t="s">
        <v>146</v>
      </c>
      <c r="T112" s="2" t="s">
        <v>146</v>
      </c>
      <c r="U112" s="2" t="s">
        <v>146</v>
      </c>
      <c r="X112" s="2">
        <f t="shared" si="1"/>
        <v>0</v>
      </c>
    </row>
    <row r="113" spans="1:24" ht="14.25" x14ac:dyDescent="0.45">
      <c r="A113" s="2" t="s">
        <v>538</v>
      </c>
      <c r="B113" s="2" t="s">
        <v>539</v>
      </c>
      <c r="C113" s="2">
        <v>2019</v>
      </c>
      <c r="D113" s="2" t="s">
        <v>49</v>
      </c>
      <c r="E113" s="2" t="s">
        <v>146</v>
      </c>
      <c r="F113" s="2" t="s">
        <v>146</v>
      </c>
      <c r="G113" s="2" t="s">
        <v>146</v>
      </c>
      <c r="H113" s="2" t="s">
        <v>146</v>
      </c>
      <c r="I113" s="2" t="s">
        <v>146</v>
      </c>
      <c r="J113" s="2" t="s">
        <v>49</v>
      </c>
      <c r="K113" s="2" t="s">
        <v>146</v>
      </c>
      <c r="L113" s="2" t="s">
        <v>146</v>
      </c>
      <c r="M113" s="2" t="s">
        <v>146</v>
      </c>
      <c r="N113" s="2" t="s">
        <v>146</v>
      </c>
      <c r="O113" s="2" t="s">
        <v>146</v>
      </c>
      <c r="P113" s="2" t="s">
        <v>49</v>
      </c>
      <c r="Q113" s="2" t="s">
        <v>146</v>
      </c>
      <c r="R113" s="2" t="s">
        <v>146</v>
      </c>
      <c r="S113" s="2" t="s">
        <v>146</v>
      </c>
      <c r="T113" s="2" t="s">
        <v>146</v>
      </c>
      <c r="U113" s="2" t="s">
        <v>146</v>
      </c>
      <c r="X113" s="2">
        <f t="shared" si="1"/>
        <v>0</v>
      </c>
    </row>
    <row r="114" spans="1:24" ht="14.25" x14ac:dyDescent="0.45">
      <c r="A114" s="2" t="s">
        <v>538</v>
      </c>
      <c r="B114" s="2" t="s">
        <v>537</v>
      </c>
      <c r="C114" s="2">
        <v>2019</v>
      </c>
      <c r="D114" s="2" t="s">
        <v>49</v>
      </c>
      <c r="E114" s="2" t="s">
        <v>146</v>
      </c>
      <c r="F114" s="2" t="s">
        <v>146</v>
      </c>
      <c r="G114" s="2" t="s">
        <v>146</v>
      </c>
      <c r="H114" s="2" t="s">
        <v>146</v>
      </c>
      <c r="I114" s="2" t="s">
        <v>146</v>
      </c>
      <c r="J114" s="2" t="s">
        <v>49</v>
      </c>
      <c r="K114" s="2" t="s">
        <v>146</v>
      </c>
      <c r="L114" s="2" t="s">
        <v>146</v>
      </c>
      <c r="M114" s="2" t="s">
        <v>146</v>
      </c>
      <c r="N114" s="2" t="s">
        <v>146</v>
      </c>
      <c r="O114" s="2" t="s">
        <v>146</v>
      </c>
      <c r="P114" s="2" t="s">
        <v>49</v>
      </c>
      <c r="Q114" s="2" t="s">
        <v>146</v>
      </c>
      <c r="R114" s="2" t="s">
        <v>146</v>
      </c>
      <c r="S114" s="2" t="s">
        <v>146</v>
      </c>
      <c r="T114" s="2" t="s">
        <v>146</v>
      </c>
      <c r="U114" s="2" t="s">
        <v>146</v>
      </c>
      <c r="X114" s="2">
        <f t="shared" si="1"/>
        <v>0</v>
      </c>
    </row>
    <row r="115" spans="1:24" ht="14.25" x14ac:dyDescent="0.45">
      <c r="A115" s="2" t="s">
        <v>536</v>
      </c>
      <c r="B115" s="2" t="s">
        <v>74</v>
      </c>
      <c r="C115" s="2">
        <v>2019</v>
      </c>
      <c r="D115" s="2" t="s">
        <v>49</v>
      </c>
      <c r="E115" s="2" t="s">
        <v>49</v>
      </c>
      <c r="F115" s="2" t="s">
        <v>49</v>
      </c>
      <c r="G115" s="2" t="s">
        <v>49</v>
      </c>
      <c r="H115" s="2" t="s">
        <v>49</v>
      </c>
      <c r="I115" s="2" t="s">
        <v>49</v>
      </c>
      <c r="J115" s="2" t="s">
        <v>49</v>
      </c>
      <c r="K115" s="2" t="s">
        <v>49</v>
      </c>
      <c r="L115" s="2" t="s">
        <v>49</v>
      </c>
      <c r="M115" s="2" t="s">
        <v>49</v>
      </c>
      <c r="N115" s="2" t="s">
        <v>49</v>
      </c>
      <c r="O115" s="2" t="s">
        <v>49</v>
      </c>
      <c r="P115" s="2" t="s">
        <v>49</v>
      </c>
      <c r="Q115" s="2" t="s">
        <v>49</v>
      </c>
      <c r="R115" s="2" t="s">
        <v>49</v>
      </c>
      <c r="S115" s="2" t="s">
        <v>49</v>
      </c>
      <c r="T115" s="2" t="s">
        <v>49</v>
      </c>
      <c r="U115" s="2" t="s">
        <v>49</v>
      </c>
      <c r="X115" s="2">
        <f t="shared" si="1"/>
        <v>0</v>
      </c>
    </row>
    <row r="116" spans="1:24" ht="14.25" x14ac:dyDescent="0.45">
      <c r="A116" s="2" t="s">
        <v>535</v>
      </c>
      <c r="B116" s="2" t="s">
        <v>534</v>
      </c>
      <c r="C116" s="2">
        <v>2019</v>
      </c>
      <c r="D116" s="2" t="s">
        <v>49</v>
      </c>
      <c r="E116" s="2" t="s">
        <v>146</v>
      </c>
      <c r="F116" s="2" t="s">
        <v>146</v>
      </c>
      <c r="G116" s="2" t="s">
        <v>146</v>
      </c>
      <c r="H116" s="2" t="s">
        <v>146</v>
      </c>
      <c r="I116" s="2" t="s">
        <v>146</v>
      </c>
      <c r="J116" s="2" t="s">
        <v>49</v>
      </c>
      <c r="K116" s="2" t="s">
        <v>146</v>
      </c>
      <c r="L116" s="2" t="s">
        <v>146</v>
      </c>
      <c r="M116" s="2" t="s">
        <v>146</v>
      </c>
      <c r="N116" s="2" t="s">
        <v>146</v>
      </c>
      <c r="O116" s="2" t="s">
        <v>146</v>
      </c>
      <c r="P116" s="2" t="s">
        <v>49</v>
      </c>
      <c r="Q116" s="2" t="s">
        <v>146</v>
      </c>
      <c r="R116" s="2" t="s">
        <v>146</v>
      </c>
      <c r="S116" s="2" t="s">
        <v>146</v>
      </c>
      <c r="T116" s="2" t="s">
        <v>146</v>
      </c>
      <c r="U116" s="2" t="s">
        <v>146</v>
      </c>
      <c r="X116" s="2">
        <f t="shared" si="1"/>
        <v>0</v>
      </c>
    </row>
    <row r="117" spans="1:24" ht="14.25" x14ac:dyDescent="0.45">
      <c r="A117" s="2" t="s">
        <v>533</v>
      </c>
      <c r="B117" s="2" t="s">
        <v>532</v>
      </c>
      <c r="C117" s="2">
        <v>2019</v>
      </c>
      <c r="D117" s="2" t="s">
        <v>49</v>
      </c>
      <c r="E117" s="2" t="s">
        <v>49</v>
      </c>
      <c r="F117" s="2" t="s">
        <v>146</v>
      </c>
      <c r="G117" s="2" t="s">
        <v>49</v>
      </c>
      <c r="H117" s="2" t="s">
        <v>146</v>
      </c>
      <c r="I117" s="2" t="s">
        <v>146</v>
      </c>
      <c r="J117" s="2" t="s">
        <v>49</v>
      </c>
      <c r="K117" s="2" t="s">
        <v>49</v>
      </c>
      <c r="L117" s="2" t="s">
        <v>146</v>
      </c>
      <c r="M117" s="2" t="s">
        <v>49</v>
      </c>
      <c r="N117" s="2" t="s">
        <v>146</v>
      </c>
      <c r="O117" s="2" t="s">
        <v>146</v>
      </c>
      <c r="P117" s="2" t="s">
        <v>49</v>
      </c>
      <c r="Q117" s="2" t="s">
        <v>49</v>
      </c>
      <c r="R117" s="2" t="s">
        <v>146</v>
      </c>
      <c r="S117" s="2" t="s">
        <v>49</v>
      </c>
      <c r="T117" s="2" t="s">
        <v>146</v>
      </c>
      <c r="U117" s="2" t="s">
        <v>146</v>
      </c>
      <c r="X117" s="2">
        <f t="shared" si="1"/>
        <v>0</v>
      </c>
    </row>
    <row r="118" spans="1:24" ht="14.25" x14ac:dyDescent="0.45">
      <c r="A118" s="2" t="s">
        <v>530</v>
      </c>
      <c r="B118" s="2" t="s">
        <v>531</v>
      </c>
      <c r="C118" s="2">
        <v>2019</v>
      </c>
      <c r="D118" s="2" t="s">
        <v>49</v>
      </c>
      <c r="E118" s="2" t="s">
        <v>146</v>
      </c>
      <c r="F118" s="2" t="s">
        <v>146</v>
      </c>
      <c r="G118" s="2" t="s">
        <v>146</v>
      </c>
      <c r="H118" s="2" t="s">
        <v>146</v>
      </c>
      <c r="I118" s="2" t="s">
        <v>146</v>
      </c>
      <c r="J118" s="2" t="s">
        <v>49</v>
      </c>
      <c r="K118" s="2" t="s">
        <v>146</v>
      </c>
      <c r="L118" s="2" t="s">
        <v>146</v>
      </c>
      <c r="M118" s="2" t="s">
        <v>146</v>
      </c>
      <c r="N118" s="2" t="s">
        <v>146</v>
      </c>
      <c r="O118" s="2" t="s">
        <v>146</v>
      </c>
      <c r="P118" s="2" t="s">
        <v>49</v>
      </c>
      <c r="Q118" s="2" t="s">
        <v>146</v>
      </c>
      <c r="R118" s="2" t="s">
        <v>146</v>
      </c>
      <c r="S118" s="2" t="s">
        <v>146</v>
      </c>
      <c r="T118" s="2" t="s">
        <v>146</v>
      </c>
      <c r="U118" s="2" t="s">
        <v>146</v>
      </c>
      <c r="X118" s="2">
        <f t="shared" si="1"/>
        <v>0</v>
      </c>
    </row>
    <row r="119" spans="1:24" ht="14.25" x14ac:dyDescent="0.45">
      <c r="A119" s="2" t="s">
        <v>530</v>
      </c>
      <c r="B119" s="2" t="s">
        <v>529</v>
      </c>
      <c r="C119" s="2">
        <v>2019</v>
      </c>
      <c r="D119" s="2" t="s">
        <v>49</v>
      </c>
      <c r="E119" s="2" t="s">
        <v>146</v>
      </c>
      <c r="F119" s="2" t="s">
        <v>146</v>
      </c>
      <c r="G119" s="2" t="s">
        <v>146</v>
      </c>
      <c r="H119" s="2" t="s">
        <v>146</v>
      </c>
      <c r="I119" s="2" t="s">
        <v>146</v>
      </c>
      <c r="J119" s="2" t="s">
        <v>49</v>
      </c>
      <c r="K119" s="2" t="s">
        <v>146</v>
      </c>
      <c r="L119" s="2" t="s">
        <v>146</v>
      </c>
      <c r="M119" s="2" t="s">
        <v>146</v>
      </c>
      <c r="N119" s="2" t="s">
        <v>146</v>
      </c>
      <c r="O119" s="2" t="s">
        <v>146</v>
      </c>
      <c r="P119" s="2" t="s">
        <v>49</v>
      </c>
      <c r="Q119" s="2" t="s">
        <v>146</v>
      </c>
      <c r="R119" s="2" t="s">
        <v>146</v>
      </c>
      <c r="S119" s="2" t="s">
        <v>146</v>
      </c>
      <c r="T119" s="2" t="s">
        <v>146</v>
      </c>
      <c r="U119" s="2" t="s">
        <v>146</v>
      </c>
      <c r="X119" s="2">
        <f t="shared" si="1"/>
        <v>0</v>
      </c>
    </row>
    <row r="120" spans="1:24" ht="14.25" x14ac:dyDescent="0.45">
      <c r="A120" s="2" t="s">
        <v>528</v>
      </c>
      <c r="B120" s="2" t="s">
        <v>527</v>
      </c>
      <c r="C120" s="2">
        <v>2019</v>
      </c>
      <c r="D120" s="2" t="s">
        <v>176</v>
      </c>
      <c r="E120" s="2" t="s">
        <v>146</v>
      </c>
      <c r="F120" s="2" t="s">
        <v>146</v>
      </c>
      <c r="G120" s="2" t="s">
        <v>146</v>
      </c>
      <c r="H120" s="2" t="s">
        <v>146</v>
      </c>
      <c r="I120" s="2" t="s">
        <v>146</v>
      </c>
      <c r="J120" s="2" t="s">
        <v>176</v>
      </c>
      <c r="K120" s="2" t="s">
        <v>146</v>
      </c>
      <c r="L120" s="2" t="s">
        <v>146</v>
      </c>
      <c r="M120" s="2" t="s">
        <v>146</v>
      </c>
      <c r="N120" s="2" t="s">
        <v>146</v>
      </c>
      <c r="O120" s="2" t="s">
        <v>146</v>
      </c>
      <c r="P120" s="2" t="s">
        <v>176</v>
      </c>
      <c r="Q120" s="2" t="s">
        <v>146</v>
      </c>
      <c r="R120" s="2" t="s">
        <v>146</v>
      </c>
      <c r="S120" s="2" t="s">
        <v>146</v>
      </c>
      <c r="T120" s="2" t="s">
        <v>146</v>
      </c>
      <c r="U120" s="2" t="s">
        <v>146</v>
      </c>
      <c r="X120" s="2">
        <f t="shared" si="1"/>
        <v>0</v>
      </c>
    </row>
    <row r="121" spans="1:24" ht="14.25" x14ac:dyDescent="0.45">
      <c r="A121" s="2" t="s">
        <v>526</v>
      </c>
      <c r="B121" s="2" t="s">
        <v>525</v>
      </c>
      <c r="C121" s="2">
        <v>2019</v>
      </c>
      <c r="D121" s="2" t="s">
        <v>49</v>
      </c>
      <c r="E121" s="2" t="s">
        <v>146</v>
      </c>
      <c r="F121" s="2" t="s">
        <v>146</v>
      </c>
      <c r="G121" s="2" t="s">
        <v>146</v>
      </c>
      <c r="H121" s="2" t="s">
        <v>146</v>
      </c>
      <c r="I121" s="2" t="s">
        <v>146</v>
      </c>
      <c r="J121" s="2" t="s">
        <v>49</v>
      </c>
      <c r="K121" s="2" t="s">
        <v>146</v>
      </c>
      <c r="L121" s="2" t="s">
        <v>146</v>
      </c>
      <c r="M121" s="2" t="s">
        <v>146</v>
      </c>
      <c r="N121" s="2" t="s">
        <v>146</v>
      </c>
      <c r="O121" s="2" t="s">
        <v>146</v>
      </c>
      <c r="P121" s="2" t="s">
        <v>49</v>
      </c>
      <c r="Q121" s="2" t="s">
        <v>146</v>
      </c>
      <c r="R121" s="2" t="s">
        <v>146</v>
      </c>
      <c r="S121" s="2" t="s">
        <v>146</v>
      </c>
      <c r="T121" s="2" t="s">
        <v>146</v>
      </c>
      <c r="U121" s="2" t="s">
        <v>146</v>
      </c>
      <c r="X121" s="2">
        <f t="shared" si="1"/>
        <v>0</v>
      </c>
    </row>
    <row r="122" spans="1:24" ht="14.25" x14ac:dyDescent="0.45">
      <c r="A122" s="2" t="s">
        <v>520</v>
      </c>
      <c r="B122" s="2" t="s">
        <v>524</v>
      </c>
      <c r="C122" s="2">
        <v>2019</v>
      </c>
      <c r="D122" s="2" t="s">
        <v>49</v>
      </c>
      <c r="E122" s="2" t="s">
        <v>146</v>
      </c>
      <c r="F122" s="2" t="s">
        <v>146</v>
      </c>
      <c r="G122" s="2" t="s">
        <v>146</v>
      </c>
      <c r="H122" s="2" t="s">
        <v>146</v>
      </c>
      <c r="I122" s="2" t="s">
        <v>146</v>
      </c>
      <c r="J122" s="2" t="s">
        <v>49</v>
      </c>
      <c r="K122" s="2" t="s">
        <v>146</v>
      </c>
      <c r="L122" s="2" t="s">
        <v>146</v>
      </c>
      <c r="M122" s="2" t="s">
        <v>146</v>
      </c>
      <c r="N122" s="2" t="s">
        <v>146</v>
      </c>
      <c r="O122" s="2" t="s">
        <v>146</v>
      </c>
      <c r="P122" s="2" t="s">
        <v>49</v>
      </c>
      <c r="Q122" s="2" t="s">
        <v>146</v>
      </c>
      <c r="R122" s="2" t="s">
        <v>146</v>
      </c>
      <c r="S122" s="2" t="s">
        <v>146</v>
      </c>
      <c r="T122" s="2" t="s">
        <v>146</v>
      </c>
      <c r="U122" s="2" t="s">
        <v>146</v>
      </c>
      <c r="X122" s="2">
        <f t="shared" si="1"/>
        <v>0</v>
      </c>
    </row>
    <row r="123" spans="1:24" ht="14.25" x14ac:dyDescent="0.45">
      <c r="A123" s="2" t="s">
        <v>520</v>
      </c>
      <c r="B123" s="2" t="s">
        <v>523</v>
      </c>
      <c r="C123" s="2">
        <v>2019</v>
      </c>
      <c r="D123" s="2" t="s">
        <v>795</v>
      </c>
      <c r="E123" s="2" t="s">
        <v>734</v>
      </c>
      <c r="F123" s="2">
        <v>14.2</v>
      </c>
      <c r="G123" s="2" t="s">
        <v>146</v>
      </c>
      <c r="H123" s="2" t="s">
        <v>146</v>
      </c>
      <c r="I123" s="2">
        <v>85</v>
      </c>
      <c r="J123" s="2" t="s">
        <v>49</v>
      </c>
      <c r="K123" s="2" t="s">
        <v>146</v>
      </c>
      <c r="L123" s="2" t="s">
        <v>146</v>
      </c>
      <c r="M123" s="2" t="s">
        <v>146</v>
      </c>
      <c r="N123" s="2" t="s">
        <v>146</v>
      </c>
      <c r="O123" s="2" t="s">
        <v>146</v>
      </c>
      <c r="P123" s="2" t="s">
        <v>49</v>
      </c>
      <c r="Q123" s="2" t="s">
        <v>146</v>
      </c>
      <c r="R123" s="2" t="s">
        <v>146</v>
      </c>
      <c r="S123" s="2" t="s">
        <v>146</v>
      </c>
      <c r="T123" s="2" t="s">
        <v>146</v>
      </c>
      <c r="U123" s="2" t="s">
        <v>146</v>
      </c>
      <c r="X123" s="2">
        <f t="shared" si="1"/>
        <v>0</v>
      </c>
    </row>
    <row r="124" spans="1:24" ht="14.25" x14ac:dyDescent="0.45">
      <c r="A124" s="2" t="s">
        <v>520</v>
      </c>
      <c r="B124" s="2" t="s">
        <v>522</v>
      </c>
      <c r="C124" s="2">
        <v>2019</v>
      </c>
      <c r="D124" s="2" t="s">
        <v>49</v>
      </c>
      <c r="E124" s="2" t="s">
        <v>146</v>
      </c>
      <c r="F124" s="2" t="s">
        <v>146</v>
      </c>
      <c r="G124" s="2" t="s">
        <v>146</v>
      </c>
      <c r="H124" s="2" t="s">
        <v>146</v>
      </c>
      <c r="I124" s="2" t="s">
        <v>146</v>
      </c>
      <c r="J124" s="2" t="s">
        <v>49</v>
      </c>
      <c r="K124" s="2" t="s">
        <v>146</v>
      </c>
      <c r="L124" s="2" t="s">
        <v>146</v>
      </c>
      <c r="M124" s="2" t="s">
        <v>146</v>
      </c>
      <c r="N124" s="2" t="s">
        <v>146</v>
      </c>
      <c r="O124" s="2" t="s">
        <v>146</v>
      </c>
      <c r="P124" s="2" t="s">
        <v>49</v>
      </c>
      <c r="Q124" s="2" t="s">
        <v>146</v>
      </c>
      <c r="R124" s="2" t="s">
        <v>146</v>
      </c>
      <c r="S124" s="2" t="s">
        <v>146</v>
      </c>
      <c r="T124" s="2" t="s">
        <v>146</v>
      </c>
      <c r="U124" s="2" t="s">
        <v>146</v>
      </c>
      <c r="X124" s="2">
        <f t="shared" si="1"/>
        <v>0</v>
      </c>
    </row>
    <row r="125" spans="1:24" ht="14.25" x14ac:dyDescent="0.45">
      <c r="A125" s="2" t="s">
        <v>520</v>
      </c>
      <c r="B125" s="2" t="s">
        <v>521</v>
      </c>
      <c r="C125" s="2">
        <v>2019</v>
      </c>
      <c r="D125" s="2" t="s">
        <v>49</v>
      </c>
      <c r="E125" s="2" t="s">
        <v>146</v>
      </c>
      <c r="F125" s="2" t="s">
        <v>146</v>
      </c>
      <c r="G125" s="2" t="s">
        <v>146</v>
      </c>
      <c r="H125" s="2" t="s">
        <v>146</v>
      </c>
      <c r="I125" s="2" t="s">
        <v>146</v>
      </c>
      <c r="J125" s="2" t="s">
        <v>49</v>
      </c>
      <c r="K125" s="2" t="s">
        <v>146</v>
      </c>
      <c r="L125" s="2" t="s">
        <v>146</v>
      </c>
      <c r="M125" s="2" t="s">
        <v>146</v>
      </c>
      <c r="N125" s="2" t="s">
        <v>146</v>
      </c>
      <c r="O125" s="2" t="s">
        <v>146</v>
      </c>
      <c r="P125" s="2" t="s">
        <v>49</v>
      </c>
      <c r="Q125" s="2" t="s">
        <v>146</v>
      </c>
      <c r="R125" s="2" t="s">
        <v>146</v>
      </c>
      <c r="S125" s="2" t="s">
        <v>146</v>
      </c>
      <c r="T125" s="2" t="s">
        <v>146</v>
      </c>
      <c r="U125" s="2" t="s">
        <v>146</v>
      </c>
      <c r="X125" s="2">
        <f t="shared" si="1"/>
        <v>0</v>
      </c>
    </row>
    <row r="126" spans="1:24" ht="14.25" x14ac:dyDescent="0.45">
      <c r="A126" s="2" t="s">
        <v>520</v>
      </c>
      <c r="B126" s="2" t="s">
        <v>519</v>
      </c>
      <c r="C126" s="2">
        <v>2019</v>
      </c>
      <c r="D126" s="2" t="s">
        <v>49</v>
      </c>
      <c r="E126" s="2" t="s">
        <v>146</v>
      </c>
      <c r="F126" s="2" t="s">
        <v>146</v>
      </c>
      <c r="G126" s="2" t="s">
        <v>146</v>
      </c>
      <c r="H126" s="2" t="s">
        <v>146</v>
      </c>
      <c r="I126" s="2" t="s">
        <v>146</v>
      </c>
      <c r="J126" s="2" t="s">
        <v>49</v>
      </c>
      <c r="K126" s="2" t="s">
        <v>146</v>
      </c>
      <c r="L126" s="2" t="s">
        <v>146</v>
      </c>
      <c r="M126" s="2" t="s">
        <v>146</v>
      </c>
      <c r="N126" s="2" t="s">
        <v>146</v>
      </c>
      <c r="O126" s="2" t="s">
        <v>146</v>
      </c>
      <c r="P126" s="2" t="s">
        <v>49</v>
      </c>
      <c r="Q126" s="2" t="s">
        <v>146</v>
      </c>
      <c r="R126" s="2" t="s">
        <v>146</v>
      </c>
      <c r="S126" s="2" t="s">
        <v>146</v>
      </c>
      <c r="T126" s="2" t="s">
        <v>146</v>
      </c>
      <c r="U126" s="2" t="s">
        <v>146</v>
      </c>
      <c r="X126" s="2">
        <f t="shared" si="1"/>
        <v>0</v>
      </c>
    </row>
    <row r="127" spans="1:24" ht="14.25" x14ac:dyDescent="0.45">
      <c r="A127" s="2" t="s">
        <v>518</v>
      </c>
      <c r="B127" s="2" t="s">
        <v>77</v>
      </c>
      <c r="C127" s="2">
        <v>2019</v>
      </c>
      <c r="D127" s="2" t="s">
        <v>49</v>
      </c>
      <c r="E127" s="2" t="s">
        <v>146</v>
      </c>
      <c r="F127" s="2" t="s">
        <v>146</v>
      </c>
      <c r="G127" s="2" t="s">
        <v>146</v>
      </c>
      <c r="H127" s="2" t="s">
        <v>146</v>
      </c>
      <c r="I127" s="2" t="s">
        <v>146</v>
      </c>
      <c r="J127" s="2" t="s">
        <v>49</v>
      </c>
      <c r="K127" s="2" t="s">
        <v>146</v>
      </c>
      <c r="L127" s="2" t="s">
        <v>146</v>
      </c>
      <c r="M127" s="2" t="s">
        <v>146</v>
      </c>
      <c r="N127" s="2" t="s">
        <v>146</v>
      </c>
      <c r="O127" s="2" t="s">
        <v>146</v>
      </c>
      <c r="P127" s="2" t="s">
        <v>49</v>
      </c>
      <c r="Q127" s="2" t="s">
        <v>146</v>
      </c>
      <c r="R127" s="2" t="s">
        <v>146</v>
      </c>
      <c r="S127" s="2" t="s">
        <v>146</v>
      </c>
      <c r="T127" s="2" t="s">
        <v>146</v>
      </c>
      <c r="U127" s="2" t="s">
        <v>146</v>
      </c>
      <c r="X127" s="2">
        <f t="shared" si="1"/>
        <v>0</v>
      </c>
    </row>
    <row r="128" spans="1:24" ht="14.25" x14ac:dyDescent="0.45">
      <c r="A128" s="2" t="s">
        <v>515</v>
      </c>
      <c r="B128" s="2" t="s">
        <v>517</v>
      </c>
      <c r="C128" s="2">
        <v>2019</v>
      </c>
      <c r="D128" s="2" t="s">
        <v>49</v>
      </c>
      <c r="E128" s="2" t="s">
        <v>146</v>
      </c>
      <c r="F128" s="2" t="s">
        <v>146</v>
      </c>
      <c r="G128" s="2" t="s">
        <v>146</v>
      </c>
      <c r="H128" s="2" t="s">
        <v>146</v>
      </c>
      <c r="I128" s="2" t="s">
        <v>146</v>
      </c>
      <c r="J128" s="2" t="s">
        <v>49</v>
      </c>
      <c r="K128" s="2" t="s">
        <v>146</v>
      </c>
      <c r="L128" s="2" t="s">
        <v>146</v>
      </c>
      <c r="M128" s="2" t="s">
        <v>146</v>
      </c>
      <c r="N128" s="2" t="s">
        <v>146</v>
      </c>
      <c r="O128" s="2" t="s">
        <v>146</v>
      </c>
      <c r="P128" s="2" t="s">
        <v>49</v>
      </c>
      <c r="Q128" s="2" t="s">
        <v>146</v>
      </c>
      <c r="R128" s="2" t="s">
        <v>146</v>
      </c>
      <c r="S128" s="2" t="s">
        <v>146</v>
      </c>
      <c r="T128" s="2" t="s">
        <v>146</v>
      </c>
      <c r="U128" s="2" t="s">
        <v>146</v>
      </c>
      <c r="X128" s="2">
        <f t="shared" si="1"/>
        <v>0</v>
      </c>
    </row>
    <row r="129" spans="1:24" ht="14.25" x14ac:dyDescent="0.45">
      <c r="A129" s="2" t="s">
        <v>515</v>
      </c>
      <c r="B129" s="2" t="s">
        <v>516</v>
      </c>
      <c r="C129" s="2">
        <v>2019</v>
      </c>
      <c r="D129" s="2" t="s">
        <v>49</v>
      </c>
      <c r="E129" s="2" t="s">
        <v>146</v>
      </c>
      <c r="F129" s="2" t="s">
        <v>146</v>
      </c>
      <c r="G129" s="2" t="s">
        <v>146</v>
      </c>
      <c r="H129" s="2" t="s">
        <v>146</v>
      </c>
      <c r="I129" s="2" t="s">
        <v>146</v>
      </c>
      <c r="J129" s="2" t="s">
        <v>49</v>
      </c>
      <c r="K129" s="2" t="s">
        <v>146</v>
      </c>
      <c r="L129" s="2" t="s">
        <v>146</v>
      </c>
      <c r="M129" s="2" t="s">
        <v>146</v>
      </c>
      <c r="N129" s="2" t="s">
        <v>146</v>
      </c>
      <c r="O129" s="2" t="s">
        <v>146</v>
      </c>
      <c r="P129" s="2" t="s">
        <v>49</v>
      </c>
      <c r="Q129" s="2" t="s">
        <v>146</v>
      </c>
      <c r="R129" s="2" t="s">
        <v>146</v>
      </c>
      <c r="S129" s="2" t="s">
        <v>146</v>
      </c>
      <c r="T129" s="2" t="s">
        <v>146</v>
      </c>
      <c r="U129" s="2" t="s">
        <v>146</v>
      </c>
      <c r="X129" s="2">
        <f t="shared" si="1"/>
        <v>0</v>
      </c>
    </row>
    <row r="130" spans="1:24" ht="14.25" x14ac:dyDescent="0.45">
      <c r="A130" s="2" t="s">
        <v>515</v>
      </c>
      <c r="B130" s="2" t="s">
        <v>514</v>
      </c>
      <c r="C130" s="2">
        <v>2019</v>
      </c>
      <c r="D130" s="2" t="s">
        <v>49</v>
      </c>
      <c r="E130" s="2" t="s">
        <v>146</v>
      </c>
      <c r="F130" s="2" t="s">
        <v>146</v>
      </c>
      <c r="G130" s="2" t="s">
        <v>146</v>
      </c>
      <c r="H130" s="2" t="s">
        <v>146</v>
      </c>
      <c r="I130" s="2" t="s">
        <v>146</v>
      </c>
      <c r="J130" s="2" t="s">
        <v>49</v>
      </c>
      <c r="K130" s="2" t="s">
        <v>146</v>
      </c>
      <c r="L130" s="2" t="s">
        <v>146</v>
      </c>
      <c r="M130" s="2" t="s">
        <v>146</v>
      </c>
      <c r="N130" s="2" t="s">
        <v>146</v>
      </c>
      <c r="O130" s="2" t="s">
        <v>146</v>
      </c>
      <c r="P130" s="2" t="s">
        <v>49</v>
      </c>
      <c r="Q130" s="2" t="s">
        <v>146</v>
      </c>
      <c r="R130" s="2" t="s">
        <v>146</v>
      </c>
      <c r="S130" s="2" t="s">
        <v>146</v>
      </c>
      <c r="T130" s="2" t="s">
        <v>146</v>
      </c>
      <c r="U130" s="2" t="s">
        <v>146</v>
      </c>
      <c r="X130" s="2">
        <f t="shared" si="1"/>
        <v>0</v>
      </c>
    </row>
    <row r="131" spans="1:24" ht="14.25" x14ac:dyDescent="0.45">
      <c r="A131" s="2" t="s">
        <v>513</v>
      </c>
      <c r="B131" s="2" t="s">
        <v>512</v>
      </c>
      <c r="C131" s="2">
        <v>2019</v>
      </c>
      <c r="D131" s="2" t="s">
        <v>49</v>
      </c>
      <c r="E131" s="2" t="s">
        <v>49</v>
      </c>
      <c r="F131" s="2" t="s">
        <v>146</v>
      </c>
      <c r="G131" s="2" t="s">
        <v>49</v>
      </c>
      <c r="H131" s="2" t="s">
        <v>146</v>
      </c>
      <c r="I131" s="2" t="s">
        <v>146</v>
      </c>
      <c r="J131" s="2" t="s">
        <v>49</v>
      </c>
      <c r="K131" s="2" t="s">
        <v>49</v>
      </c>
      <c r="L131" s="2" t="s">
        <v>146</v>
      </c>
      <c r="M131" s="2" t="s">
        <v>49</v>
      </c>
      <c r="N131" s="2" t="s">
        <v>146</v>
      </c>
      <c r="O131" s="2" t="s">
        <v>146</v>
      </c>
      <c r="P131" s="2" t="s">
        <v>49</v>
      </c>
      <c r="Q131" s="2" t="s">
        <v>49</v>
      </c>
      <c r="R131" s="2" t="s">
        <v>146</v>
      </c>
      <c r="S131" s="2" t="s">
        <v>49</v>
      </c>
      <c r="T131" s="2" t="s">
        <v>146</v>
      </c>
      <c r="U131" s="2" t="s">
        <v>146</v>
      </c>
      <c r="X131" s="2">
        <f t="shared" ref="X131:X194" si="2">(IF(E131="Avfall",F131,0)+IF(G131="Avfall",H131,0))/IFERROR(I131/100,0.85)+(IF(K131="Avfall",L131,0)+IF(M131="Avfall",N131,0))/IFERROR(O131/100,0.85)+(IF(Q131="avfall",R131,0)+IF(S131="avfall",T131,0))/IFERROR(U131/100,0.85)</f>
        <v>0</v>
      </c>
    </row>
    <row r="132" spans="1:24" ht="14.25" x14ac:dyDescent="0.45">
      <c r="A132" s="2" t="s">
        <v>511</v>
      </c>
      <c r="B132" s="2" t="s">
        <v>80</v>
      </c>
      <c r="C132" s="2">
        <v>2019</v>
      </c>
      <c r="D132" s="2" t="s">
        <v>49</v>
      </c>
      <c r="E132" s="2" t="s">
        <v>146</v>
      </c>
      <c r="F132" s="2" t="s">
        <v>146</v>
      </c>
      <c r="G132" s="2" t="s">
        <v>146</v>
      </c>
      <c r="H132" s="2" t="s">
        <v>146</v>
      </c>
      <c r="I132" s="2" t="s">
        <v>146</v>
      </c>
      <c r="J132" s="2" t="s">
        <v>49</v>
      </c>
      <c r="K132" s="2" t="s">
        <v>146</v>
      </c>
      <c r="L132" s="2" t="s">
        <v>146</v>
      </c>
      <c r="M132" s="2" t="s">
        <v>146</v>
      </c>
      <c r="N132" s="2" t="s">
        <v>146</v>
      </c>
      <c r="O132" s="2" t="s">
        <v>146</v>
      </c>
      <c r="P132" s="2" t="s">
        <v>49</v>
      </c>
      <c r="Q132" s="2" t="s">
        <v>146</v>
      </c>
      <c r="R132" s="2" t="s">
        <v>146</v>
      </c>
      <c r="S132" s="2" t="s">
        <v>146</v>
      </c>
      <c r="T132" s="2" t="s">
        <v>146</v>
      </c>
      <c r="U132" s="2" t="s">
        <v>146</v>
      </c>
      <c r="X132" s="2">
        <f t="shared" si="2"/>
        <v>0</v>
      </c>
    </row>
    <row r="133" spans="1:24" ht="14.25" x14ac:dyDescent="0.45">
      <c r="A133" s="2" t="s">
        <v>510</v>
      </c>
      <c r="B133" s="2" t="s">
        <v>509</v>
      </c>
      <c r="C133" s="2">
        <v>2019</v>
      </c>
      <c r="D133" s="2" t="s">
        <v>794</v>
      </c>
      <c r="E133" s="2" t="s">
        <v>740</v>
      </c>
      <c r="F133" s="2">
        <v>2.7475000000000001</v>
      </c>
      <c r="G133" s="2" t="s">
        <v>146</v>
      </c>
      <c r="H133" s="2" t="s">
        <v>146</v>
      </c>
      <c r="I133" s="2" t="s">
        <v>146</v>
      </c>
      <c r="J133" s="2" t="s">
        <v>49</v>
      </c>
      <c r="K133" s="2" t="s">
        <v>146</v>
      </c>
      <c r="L133" s="2" t="s">
        <v>146</v>
      </c>
      <c r="M133" s="2" t="s">
        <v>146</v>
      </c>
      <c r="N133" s="2" t="s">
        <v>146</v>
      </c>
      <c r="O133" s="2" t="s">
        <v>146</v>
      </c>
      <c r="P133" s="2" t="s">
        <v>49</v>
      </c>
      <c r="Q133" s="2" t="s">
        <v>146</v>
      </c>
      <c r="R133" s="2" t="s">
        <v>146</v>
      </c>
      <c r="S133" s="2" t="s">
        <v>146</v>
      </c>
      <c r="T133" s="2" t="s">
        <v>146</v>
      </c>
      <c r="U133" s="2" t="s">
        <v>146</v>
      </c>
      <c r="X133" s="2">
        <f t="shared" si="2"/>
        <v>0</v>
      </c>
    </row>
    <row r="134" spans="1:24" ht="14.25" x14ac:dyDescent="0.45">
      <c r="A134" s="2" t="s">
        <v>508</v>
      </c>
      <c r="B134" s="2" t="s">
        <v>83</v>
      </c>
      <c r="C134" s="2">
        <v>2019</v>
      </c>
      <c r="D134" s="2" t="s">
        <v>49</v>
      </c>
      <c r="E134" s="2" t="s">
        <v>146</v>
      </c>
      <c r="F134" s="2" t="s">
        <v>146</v>
      </c>
      <c r="G134" s="2" t="s">
        <v>146</v>
      </c>
      <c r="H134" s="2" t="s">
        <v>146</v>
      </c>
      <c r="I134" s="2" t="s">
        <v>146</v>
      </c>
      <c r="J134" s="2" t="s">
        <v>49</v>
      </c>
      <c r="K134" s="2" t="s">
        <v>146</v>
      </c>
      <c r="L134" s="2" t="s">
        <v>146</v>
      </c>
      <c r="M134" s="2" t="s">
        <v>146</v>
      </c>
      <c r="N134" s="2" t="s">
        <v>146</v>
      </c>
      <c r="O134" s="2" t="s">
        <v>146</v>
      </c>
      <c r="P134" s="2" t="s">
        <v>49</v>
      </c>
      <c r="Q134" s="2" t="s">
        <v>146</v>
      </c>
      <c r="R134" s="2" t="s">
        <v>146</v>
      </c>
      <c r="S134" s="2" t="s">
        <v>146</v>
      </c>
      <c r="T134" s="2" t="s">
        <v>146</v>
      </c>
      <c r="U134" s="2" t="s">
        <v>146</v>
      </c>
      <c r="X134" s="2">
        <f t="shared" si="2"/>
        <v>0</v>
      </c>
    </row>
    <row r="135" spans="1:24" ht="14.25" x14ac:dyDescent="0.45">
      <c r="A135" s="2" t="s">
        <v>507</v>
      </c>
      <c r="B135" s="2" t="s">
        <v>506</v>
      </c>
      <c r="C135" s="2">
        <v>2019</v>
      </c>
      <c r="D135" s="2" t="s">
        <v>793</v>
      </c>
      <c r="E135" s="2" t="s">
        <v>734</v>
      </c>
      <c r="F135" s="2">
        <v>13.048999999999999</v>
      </c>
      <c r="G135" s="2" t="s">
        <v>745</v>
      </c>
      <c r="H135" s="2">
        <v>0.78</v>
      </c>
      <c r="I135" s="2">
        <v>94.06</v>
      </c>
      <c r="J135" s="2" t="s">
        <v>49</v>
      </c>
      <c r="K135" s="2" t="s">
        <v>146</v>
      </c>
      <c r="L135" s="2" t="s">
        <v>146</v>
      </c>
      <c r="M135" s="2" t="s">
        <v>146</v>
      </c>
      <c r="N135" s="2" t="s">
        <v>146</v>
      </c>
      <c r="O135" s="2" t="s">
        <v>146</v>
      </c>
      <c r="P135" s="2" t="s">
        <v>49</v>
      </c>
      <c r="Q135" s="2" t="s">
        <v>146</v>
      </c>
      <c r="R135" s="2" t="s">
        <v>146</v>
      </c>
      <c r="S135" s="2" t="s">
        <v>146</v>
      </c>
      <c r="T135" s="2" t="s">
        <v>146</v>
      </c>
      <c r="U135" s="2" t="s">
        <v>146</v>
      </c>
      <c r="X135" s="2">
        <f t="shared" si="2"/>
        <v>0</v>
      </c>
    </row>
    <row r="136" spans="1:24" ht="14.25" x14ac:dyDescent="0.45">
      <c r="A136" s="2" t="s">
        <v>505</v>
      </c>
      <c r="B136" s="2" t="s">
        <v>504</v>
      </c>
      <c r="C136" s="2">
        <v>2019</v>
      </c>
      <c r="D136" s="2" t="s">
        <v>792</v>
      </c>
      <c r="E136" s="2" t="s">
        <v>736</v>
      </c>
      <c r="F136" s="2">
        <v>0.3</v>
      </c>
      <c r="G136" s="2" t="s">
        <v>146</v>
      </c>
      <c r="H136" s="2" t="s">
        <v>146</v>
      </c>
      <c r="I136" s="2" t="s">
        <v>146</v>
      </c>
      <c r="J136" s="2" t="s">
        <v>49</v>
      </c>
      <c r="K136" s="2" t="s">
        <v>146</v>
      </c>
      <c r="L136" s="2" t="s">
        <v>146</v>
      </c>
      <c r="M136" s="2" t="s">
        <v>146</v>
      </c>
      <c r="N136" s="2" t="s">
        <v>146</v>
      </c>
      <c r="O136" s="2" t="s">
        <v>146</v>
      </c>
      <c r="P136" s="2" t="s">
        <v>49</v>
      </c>
      <c r="Q136" s="2" t="s">
        <v>146</v>
      </c>
      <c r="R136" s="2" t="s">
        <v>146</v>
      </c>
      <c r="S136" s="2" t="s">
        <v>146</v>
      </c>
      <c r="T136" s="2" t="s">
        <v>146</v>
      </c>
      <c r="U136" s="2" t="s">
        <v>146</v>
      </c>
      <c r="X136" s="2">
        <f t="shared" si="2"/>
        <v>0</v>
      </c>
    </row>
    <row r="137" spans="1:24" ht="14.25" x14ac:dyDescent="0.45">
      <c r="A137" s="2" t="s">
        <v>502</v>
      </c>
      <c r="B137" s="2" t="s">
        <v>503</v>
      </c>
      <c r="C137" s="2">
        <v>2019</v>
      </c>
      <c r="D137" s="2" t="s">
        <v>49</v>
      </c>
      <c r="E137" s="2" t="s">
        <v>146</v>
      </c>
      <c r="F137" s="2" t="s">
        <v>146</v>
      </c>
      <c r="G137" s="2" t="s">
        <v>146</v>
      </c>
      <c r="H137" s="2" t="s">
        <v>146</v>
      </c>
      <c r="I137" s="2" t="s">
        <v>146</v>
      </c>
      <c r="J137" s="2" t="s">
        <v>49</v>
      </c>
      <c r="K137" s="2" t="s">
        <v>146</v>
      </c>
      <c r="L137" s="2" t="s">
        <v>146</v>
      </c>
      <c r="M137" s="2" t="s">
        <v>146</v>
      </c>
      <c r="N137" s="2" t="s">
        <v>146</v>
      </c>
      <c r="O137" s="2" t="s">
        <v>146</v>
      </c>
      <c r="P137" s="2" t="s">
        <v>49</v>
      </c>
      <c r="Q137" s="2" t="s">
        <v>146</v>
      </c>
      <c r="R137" s="2" t="s">
        <v>146</v>
      </c>
      <c r="S137" s="2" t="s">
        <v>146</v>
      </c>
      <c r="T137" s="2" t="s">
        <v>146</v>
      </c>
      <c r="U137" s="2" t="s">
        <v>146</v>
      </c>
      <c r="X137" s="2">
        <f t="shared" si="2"/>
        <v>0</v>
      </c>
    </row>
    <row r="138" spans="1:24" ht="14.25" x14ac:dyDescent="0.45">
      <c r="A138" s="2" t="s">
        <v>502</v>
      </c>
      <c r="B138" s="2" t="s">
        <v>501</v>
      </c>
      <c r="C138" s="2">
        <v>2019</v>
      </c>
      <c r="D138" s="2" t="s">
        <v>49</v>
      </c>
      <c r="E138" s="2" t="s">
        <v>146</v>
      </c>
      <c r="F138" s="2" t="s">
        <v>146</v>
      </c>
      <c r="G138" s="2" t="s">
        <v>146</v>
      </c>
      <c r="H138" s="2" t="s">
        <v>146</v>
      </c>
      <c r="I138" s="2" t="s">
        <v>146</v>
      </c>
      <c r="J138" s="2" t="s">
        <v>49</v>
      </c>
      <c r="K138" s="2" t="s">
        <v>146</v>
      </c>
      <c r="L138" s="2" t="s">
        <v>146</v>
      </c>
      <c r="M138" s="2" t="s">
        <v>146</v>
      </c>
      <c r="N138" s="2" t="s">
        <v>146</v>
      </c>
      <c r="O138" s="2" t="s">
        <v>146</v>
      </c>
      <c r="P138" s="2" t="s">
        <v>49</v>
      </c>
      <c r="Q138" s="2" t="s">
        <v>146</v>
      </c>
      <c r="R138" s="2" t="s">
        <v>146</v>
      </c>
      <c r="S138" s="2" t="s">
        <v>146</v>
      </c>
      <c r="T138" s="2" t="s">
        <v>146</v>
      </c>
      <c r="U138" s="2" t="s">
        <v>146</v>
      </c>
      <c r="X138" s="2">
        <f t="shared" si="2"/>
        <v>0</v>
      </c>
    </row>
    <row r="139" spans="1:24" ht="14.25" x14ac:dyDescent="0.45">
      <c r="A139" s="2" t="s">
        <v>498</v>
      </c>
      <c r="B139" s="2" t="s">
        <v>500</v>
      </c>
      <c r="C139" s="2">
        <v>2019</v>
      </c>
      <c r="D139" s="2" t="s">
        <v>791</v>
      </c>
      <c r="E139" s="2" t="s">
        <v>734</v>
      </c>
      <c r="F139" s="2">
        <v>8.4459999999999997</v>
      </c>
      <c r="G139" s="2" t="s">
        <v>146</v>
      </c>
      <c r="H139" s="2" t="s">
        <v>146</v>
      </c>
      <c r="I139" s="2">
        <v>85</v>
      </c>
      <c r="J139" s="2" t="s">
        <v>790</v>
      </c>
      <c r="K139" s="2" t="s">
        <v>734</v>
      </c>
      <c r="L139" s="2">
        <v>14.084</v>
      </c>
      <c r="M139" s="2" t="s">
        <v>146</v>
      </c>
      <c r="N139" s="2" t="s">
        <v>146</v>
      </c>
      <c r="O139" s="2">
        <v>85</v>
      </c>
      <c r="P139" s="2" t="s">
        <v>789</v>
      </c>
      <c r="Q139" s="2" t="s">
        <v>734</v>
      </c>
      <c r="R139" s="2">
        <v>5.34</v>
      </c>
      <c r="S139" s="2" t="s">
        <v>734</v>
      </c>
      <c r="T139" s="2" t="s">
        <v>146</v>
      </c>
      <c r="U139" s="2">
        <v>85</v>
      </c>
      <c r="X139" s="2">
        <f t="shared" si="2"/>
        <v>0</v>
      </c>
    </row>
    <row r="140" spans="1:24" ht="14.25" x14ac:dyDescent="0.45">
      <c r="A140" s="2" t="s">
        <v>498</v>
      </c>
      <c r="B140" s="2" t="s">
        <v>497</v>
      </c>
      <c r="C140" s="2">
        <v>2019</v>
      </c>
      <c r="D140" s="2" t="s">
        <v>49</v>
      </c>
      <c r="E140" s="2" t="s">
        <v>146</v>
      </c>
      <c r="F140" s="2" t="s">
        <v>146</v>
      </c>
      <c r="G140" s="2" t="s">
        <v>146</v>
      </c>
      <c r="H140" s="2" t="s">
        <v>146</v>
      </c>
      <c r="I140" s="2" t="s">
        <v>146</v>
      </c>
      <c r="J140" s="2" t="s">
        <v>49</v>
      </c>
      <c r="K140" s="2" t="s">
        <v>146</v>
      </c>
      <c r="L140" s="2" t="s">
        <v>146</v>
      </c>
      <c r="M140" s="2" t="s">
        <v>146</v>
      </c>
      <c r="N140" s="2" t="s">
        <v>146</v>
      </c>
      <c r="O140" s="2" t="s">
        <v>146</v>
      </c>
      <c r="P140" s="2" t="s">
        <v>49</v>
      </c>
      <c r="Q140" s="2" t="s">
        <v>146</v>
      </c>
      <c r="R140" s="2" t="s">
        <v>146</v>
      </c>
      <c r="S140" s="2" t="s">
        <v>146</v>
      </c>
      <c r="T140" s="2" t="s">
        <v>146</v>
      </c>
      <c r="U140" s="2" t="s">
        <v>146</v>
      </c>
      <c r="X140" s="2">
        <f t="shared" si="2"/>
        <v>0</v>
      </c>
    </row>
    <row r="141" spans="1:24" ht="14.25" x14ac:dyDescent="0.45">
      <c r="A141" s="2" t="s">
        <v>493</v>
      </c>
      <c r="B141" s="2" t="s">
        <v>496</v>
      </c>
      <c r="C141" s="2">
        <v>2019</v>
      </c>
      <c r="D141" s="2" t="s">
        <v>49</v>
      </c>
      <c r="E141" s="2" t="s">
        <v>146</v>
      </c>
      <c r="F141" s="2" t="s">
        <v>146</v>
      </c>
      <c r="G141" s="2" t="s">
        <v>146</v>
      </c>
      <c r="H141" s="2" t="s">
        <v>146</v>
      </c>
      <c r="I141" s="2" t="s">
        <v>146</v>
      </c>
      <c r="J141" s="2" t="s">
        <v>49</v>
      </c>
      <c r="K141" s="2" t="s">
        <v>146</v>
      </c>
      <c r="L141" s="2" t="s">
        <v>146</v>
      </c>
      <c r="M141" s="2" t="s">
        <v>146</v>
      </c>
      <c r="N141" s="2" t="s">
        <v>146</v>
      </c>
      <c r="O141" s="2" t="s">
        <v>146</v>
      </c>
      <c r="P141" s="2" t="s">
        <v>49</v>
      </c>
      <c r="Q141" s="2" t="s">
        <v>146</v>
      </c>
      <c r="R141" s="2" t="s">
        <v>146</v>
      </c>
      <c r="S141" s="2" t="s">
        <v>146</v>
      </c>
      <c r="T141" s="2" t="s">
        <v>146</v>
      </c>
      <c r="U141" s="2" t="s">
        <v>146</v>
      </c>
      <c r="X141" s="2">
        <f t="shared" si="2"/>
        <v>0</v>
      </c>
    </row>
    <row r="142" spans="1:24" ht="14.25" x14ac:dyDescent="0.45">
      <c r="A142" s="2" t="s">
        <v>493</v>
      </c>
      <c r="B142" s="2" t="s">
        <v>495</v>
      </c>
      <c r="C142" s="2">
        <v>2019</v>
      </c>
      <c r="D142" s="2" t="s">
        <v>49</v>
      </c>
      <c r="E142" s="2" t="s">
        <v>146</v>
      </c>
      <c r="F142" s="2" t="s">
        <v>146</v>
      </c>
      <c r="G142" s="2" t="s">
        <v>146</v>
      </c>
      <c r="H142" s="2" t="s">
        <v>146</v>
      </c>
      <c r="I142" s="2" t="s">
        <v>146</v>
      </c>
      <c r="J142" s="2" t="s">
        <v>49</v>
      </c>
      <c r="K142" s="2" t="s">
        <v>146</v>
      </c>
      <c r="L142" s="2" t="s">
        <v>146</v>
      </c>
      <c r="M142" s="2" t="s">
        <v>146</v>
      </c>
      <c r="N142" s="2" t="s">
        <v>146</v>
      </c>
      <c r="O142" s="2" t="s">
        <v>146</v>
      </c>
      <c r="P142" s="2" t="s">
        <v>49</v>
      </c>
      <c r="Q142" s="2" t="s">
        <v>146</v>
      </c>
      <c r="R142" s="2" t="s">
        <v>146</v>
      </c>
      <c r="S142" s="2" t="s">
        <v>146</v>
      </c>
      <c r="T142" s="2" t="s">
        <v>146</v>
      </c>
      <c r="U142" s="2" t="s">
        <v>146</v>
      </c>
      <c r="X142" s="2">
        <f t="shared" si="2"/>
        <v>0</v>
      </c>
    </row>
    <row r="143" spans="1:24" ht="14.25" x14ac:dyDescent="0.45">
      <c r="A143" s="2" t="s">
        <v>493</v>
      </c>
      <c r="B143" s="2" t="s">
        <v>494</v>
      </c>
      <c r="C143" s="2">
        <v>2019</v>
      </c>
      <c r="D143" s="2" t="s">
        <v>49</v>
      </c>
      <c r="E143" s="2" t="s">
        <v>146</v>
      </c>
      <c r="F143" s="2" t="s">
        <v>146</v>
      </c>
      <c r="G143" s="2" t="s">
        <v>146</v>
      </c>
      <c r="H143" s="2" t="s">
        <v>146</v>
      </c>
      <c r="I143" s="2" t="s">
        <v>146</v>
      </c>
      <c r="J143" s="2" t="s">
        <v>49</v>
      </c>
      <c r="K143" s="2" t="s">
        <v>146</v>
      </c>
      <c r="L143" s="2" t="s">
        <v>146</v>
      </c>
      <c r="M143" s="2" t="s">
        <v>146</v>
      </c>
      <c r="N143" s="2" t="s">
        <v>146</v>
      </c>
      <c r="O143" s="2" t="s">
        <v>146</v>
      </c>
      <c r="P143" s="2" t="s">
        <v>49</v>
      </c>
      <c r="Q143" s="2" t="s">
        <v>146</v>
      </c>
      <c r="R143" s="2" t="s">
        <v>146</v>
      </c>
      <c r="S143" s="2" t="s">
        <v>146</v>
      </c>
      <c r="T143" s="2" t="s">
        <v>146</v>
      </c>
      <c r="U143" s="2" t="s">
        <v>146</v>
      </c>
      <c r="X143" s="2">
        <f t="shared" si="2"/>
        <v>0</v>
      </c>
    </row>
    <row r="144" spans="1:24" ht="14.25" x14ac:dyDescent="0.45">
      <c r="A144" s="2" t="s">
        <v>493</v>
      </c>
      <c r="B144" s="2" t="s">
        <v>492</v>
      </c>
      <c r="C144" s="2">
        <v>2019</v>
      </c>
      <c r="D144" s="2" t="s">
        <v>49</v>
      </c>
      <c r="E144" s="2" t="s">
        <v>146</v>
      </c>
      <c r="F144" s="2" t="s">
        <v>146</v>
      </c>
      <c r="G144" s="2" t="s">
        <v>146</v>
      </c>
      <c r="H144" s="2" t="s">
        <v>146</v>
      </c>
      <c r="I144" s="2" t="s">
        <v>146</v>
      </c>
      <c r="J144" s="2" t="s">
        <v>49</v>
      </c>
      <c r="K144" s="2" t="s">
        <v>146</v>
      </c>
      <c r="L144" s="2" t="s">
        <v>146</v>
      </c>
      <c r="M144" s="2" t="s">
        <v>146</v>
      </c>
      <c r="N144" s="2" t="s">
        <v>146</v>
      </c>
      <c r="O144" s="2" t="s">
        <v>146</v>
      </c>
      <c r="P144" s="2" t="s">
        <v>49</v>
      </c>
      <c r="Q144" s="2" t="s">
        <v>146</v>
      </c>
      <c r="R144" s="2" t="s">
        <v>146</v>
      </c>
      <c r="S144" s="2" t="s">
        <v>146</v>
      </c>
      <c r="T144" s="2" t="s">
        <v>146</v>
      </c>
      <c r="U144" s="2" t="s">
        <v>146</v>
      </c>
      <c r="X144" s="2">
        <f t="shared" si="2"/>
        <v>0</v>
      </c>
    </row>
    <row r="145" spans="1:24" ht="14.25" x14ac:dyDescent="0.45">
      <c r="A145" s="2" t="s">
        <v>490</v>
      </c>
      <c r="B145" s="2" t="s">
        <v>489</v>
      </c>
      <c r="C145" s="2">
        <v>2019</v>
      </c>
      <c r="D145" s="2" t="s">
        <v>146</v>
      </c>
      <c r="E145" s="2" t="s">
        <v>146</v>
      </c>
      <c r="F145" s="2" t="s">
        <v>146</v>
      </c>
      <c r="G145" s="2" t="s">
        <v>146</v>
      </c>
      <c r="H145" s="2" t="s">
        <v>146</v>
      </c>
      <c r="I145" s="2" t="s">
        <v>146</v>
      </c>
      <c r="J145" s="2" t="s">
        <v>146</v>
      </c>
      <c r="K145" s="2" t="s">
        <v>146</v>
      </c>
      <c r="L145" s="2" t="s">
        <v>146</v>
      </c>
      <c r="M145" s="2" t="s">
        <v>146</v>
      </c>
      <c r="N145" s="2" t="s">
        <v>146</v>
      </c>
      <c r="O145" s="2" t="s">
        <v>146</v>
      </c>
      <c r="P145" s="2" t="s">
        <v>146</v>
      </c>
      <c r="Q145" s="2" t="s">
        <v>146</v>
      </c>
      <c r="R145" s="2" t="s">
        <v>146</v>
      </c>
      <c r="S145" s="2" t="s">
        <v>146</v>
      </c>
      <c r="T145" s="2" t="s">
        <v>146</v>
      </c>
      <c r="U145" s="2" t="s">
        <v>146</v>
      </c>
      <c r="X145" s="2">
        <f t="shared" si="2"/>
        <v>0</v>
      </c>
    </row>
    <row r="146" spans="1:24" ht="14.25" x14ac:dyDescent="0.45">
      <c r="A146" s="2" t="s">
        <v>480</v>
      </c>
      <c r="B146" s="2" t="s">
        <v>488</v>
      </c>
      <c r="C146" s="2">
        <v>2019</v>
      </c>
      <c r="D146" s="2" t="s">
        <v>49</v>
      </c>
      <c r="E146" s="2" t="s">
        <v>146</v>
      </c>
      <c r="F146" s="2" t="s">
        <v>146</v>
      </c>
      <c r="G146" s="2" t="s">
        <v>146</v>
      </c>
      <c r="H146" s="2" t="s">
        <v>146</v>
      </c>
      <c r="I146" s="2" t="s">
        <v>146</v>
      </c>
      <c r="J146" s="2" t="s">
        <v>49</v>
      </c>
      <c r="K146" s="2" t="s">
        <v>146</v>
      </c>
      <c r="L146" s="2" t="s">
        <v>146</v>
      </c>
      <c r="M146" s="2" t="s">
        <v>146</v>
      </c>
      <c r="N146" s="2" t="s">
        <v>146</v>
      </c>
      <c r="O146" s="2" t="s">
        <v>146</v>
      </c>
      <c r="P146" s="2" t="s">
        <v>49</v>
      </c>
      <c r="Q146" s="2" t="s">
        <v>146</v>
      </c>
      <c r="R146" s="2" t="s">
        <v>146</v>
      </c>
      <c r="S146" s="2" t="s">
        <v>146</v>
      </c>
      <c r="T146" s="2" t="s">
        <v>146</v>
      </c>
      <c r="U146" s="2" t="s">
        <v>146</v>
      </c>
      <c r="X146" s="2">
        <f t="shared" si="2"/>
        <v>0</v>
      </c>
    </row>
    <row r="147" spans="1:24" ht="14.25" x14ac:dyDescent="0.45">
      <c r="A147" s="2" t="s">
        <v>480</v>
      </c>
      <c r="B147" s="2" t="s">
        <v>487</v>
      </c>
      <c r="C147" s="2">
        <v>2019</v>
      </c>
      <c r="D147" s="2" t="s">
        <v>49</v>
      </c>
      <c r="E147" s="2" t="s">
        <v>146</v>
      </c>
      <c r="F147" s="2" t="s">
        <v>146</v>
      </c>
      <c r="G147" s="2" t="s">
        <v>146</v>
      </c>
      <c r="H147" s="2" t="s">
        <v>146</v>
      </c>
      <c r="I147" s="2" t="s">
        <v>146</v>
      </c>
      <c r="J147" s="2" t="s">
        <v>49</v>
      </c>
      <c r="K147" s="2" t="s">
        <v>146</v>
      </c>
      <c r="L147" s="2" t="s">
        <v>146</v>
      </c>
      <c r="M147" s="2" t="s">
        <v>146</v>
      </c>
      <c r="N147" s="2" t="s">
        <v>146</v>
      </c>
      <c r="O147" s="2" t="s">
        <v>146</v>
      </c>
      <c r="P147" s="2" t="s">
        <v>49</v>
      </c>
      <c r="Q147" s="2" t="s">
        <v>146</v>
      </c>
      <c r="R147" s="2" t="s">
        <v>146</v>
      </c>
      <c r="S147" s="2" t="s">
        <v>146</v>
      </c>
      <c r="T147" s="2" t="s">
        <v>146</v>
      </c>
      <c r="U147" s="2" t="s">
        <v>146</v>
      </c>
      <c r="X147" s="2">
        <f t="shared" si="2"/>
        <v>0</v>
      </c>
    </row>
    <row r="148" spans="1:24" ht="14.25" x14ac:dyDescent="0.45">
      <c r="A148" s="2" t="s">
        <v>480</v>
      </c>
      <c r="B148" s="2" t="s">
        <v>486</v>
      </c>
      <c r="C148" s="2">
        <v>2019</v>
      </c>
      <c r="D148" s="2" t="s">
        <v>49</v>
      </c>
      <c r="E148" s="2" t="s">
        <v>146</v>
      </c>
      <c r="F148" s="2" t="s">
        <v>146</v>
      </c>
      <c r="G148" s="2" t="s">
        <v>146</v>
      </c>
      <c r="H148" s="2" t="s">
        <v>146</v>
      </c>
      <c r="I148" s="2" t="s">
        <v>146</v>
      </c>
      <c r="J148" s="2" t="s">
        <v>49</v>
      </c>
      <c r="K148" s="2" t="s">
        <v>146</v>
      </c>
      <c r="L148" s="2" t="s">
        <v>146</v>
      </c>
      <c r="M148" s="2" t="s">
        <v>146</v>
      </c>
      <c r="N148" s="2" t="s">
        <v>146</v>
      </c>
      <c r="O148" s="2" t="s">
        <v>146</v>
      </c>
      <c r="P148" s="2" t="s">
        <v>49</v>
      </c>
      <c r="Q148" s="2" t="s">
        <v>146</v>
      </c>
      <c r="R148" s="2" t="s">
        <v>146</v>
      </c>
      <c r="S148" s="2" t="s">
        <v>146</v>
      </c>
      <c r="T148" s="2" t="s">
        <v>146</v>
      </c>
      <c r="U148" s="2" t="s">
        <v>146</v>
      </c>
      <c r="X148" s="2">
        <f t="shared" si="2"/>
        <v>0</v>
      </c>
    </row>
    <row r="149" spans="1:24" ht="14.25" x14ac:dyDescent="0.45">
      <c r="A149" s="2" t="s">
        <v>480</v>
      </c>
      <c r="B149" s="2" t="s">
        <v>485</v>
      </c>
      <c r="C149" s="2">
        <v>2019</v>
      </c>
      <c r="D149" s="2" t="s">
        <v>49</v>
      </c>
      <c r="E149" s="2" t="s">
        <v>146</v>
      </c>
      <c r="F149" s="2" t="s">
        <v>146</v>
      </c>
      <c r="G149" s="2" t="s">
        <v>146</v>
      </c>
      <c r="H149" s="2" t="s">
        <v>146</v>
      </c>
      <c r="I149" s="2" t="s">
        <v>146</v>
      </c>
      <c r="J149" s="2" t="s">
        <v>49</v>
      </c>
      <c r="K149" s="2" t="s">
        <v>146</v>
      </c>
      <c r="L149" s="2" t="s">
        <v>146</v>
      </c>
      <c r="M149" s="2" t="s">
        <v>146</v>
      </c>
      <c r="N149" s="2" t="s">
        <v>146</v>
      </c>
      <c r="O149" s="2" t="s">
        <v>146</v>
      </c>
      <c r="P149" s="2" t="s">
        <v>49</v>
      </c>
      <c r="Q149" s="2" t="s">
        <v>146</v>
      </c>
      <c r="R149" s="2" t="s">
        <v>146</v>
      </c>
      <c r="S149" s="2" t="s">
        <v>146</v>
      </c>
      <c r="T149" s="2" t="s">
        <v>146</v>
      </c>
      <c r="U149" s="2" t="s">
        <v>146</v>
      </c>
      <c r="X149" s="2">
        <f t="shared" si="2"/>
        <v>0</v>
      </c>
    </row>
    <row r="150" spans="1:24" ht="14.25" x14ac:dyDescent="0.45">
      <c r="A150" s="2" t="s">
        <v>480</v>
      </c>
      <c r="B150" s="2" t="s">
        <v>484</v>
      </c>
      <c r="C150" s="2">
        <v>2019</v>
      </c>
      <c r="D150" s="2" t="s">
        <v>49</v>
      </c>
      <c r="E150" s="2" t="s">
        <v>146</v>
      </c>
      <c r="F150" s="2" t="s">
        <v>146</v>
      </c>
      <c r="G150" s="2" t="s">
        <v>146</v>
      </c>
      <c r="H150" s="2" t="s">
        <v>146</v>
      </c>
      <c r="I150" s="2" t="s">
        <v>146</v>
      </c>
      <c r="J150" s="2" t="s">
        <v>49</v>
      </c>
      <c r="K150" s="2" t="s">
        <v>146</v>
      </c>
      <c r="L150" s="2" t="s">
        <v>146</v>
      </c>
      <c r="M150" s="2" t="s">
        <v>146</v>
      </c>
      <c r="N150" s="2" t="s">
        <v>146</v>
      </c>
      <c r="O150" s="2" t="s">
        <v>146</v>
      </c>
      <c r="P150" s="2" t="s">
        <v>49</v>
      </c>
      <c r="Q150" s="2" t="s">
        <v>146</v>
      </c>
      <c r="R150" s="2" t="s">
        <v>146</v>
      </c>
      <c r="S150" s="2" t="s">
        <v>146</v>
      </c>
      <c r="T150" s="2" t="s">
        <v>146</v>
      </c>
      <c r="U150" s="2" t="s">
        <v>146</v>
      </c>
      <c r="X150" s="2">
        <f t="shared" si="2"/>
        <v>0</v>
      </c>
    </row>
    <row r="151" spans="1:24" ht="14.25" x14ac:dyDescent="0.45">
      <c r="A151" s="2" t="s">
        <v>480</v>
      </c>
      <c r="B151" s="2" t="s">
        <v>483</v>
      </c>
      <c r="C151" s="2">
        <v>2019</v>
      </c>
      <c r="D151" s="2" t="s">
        <v>49</v>
      </c>
      <c r="E151" s="2" t="s">
        <v>146</v>
      </c>
      <c r="F151" s="2" t="s">
        <v>146</v>
      </c>
      <c r="G151" s="2" t="s">
        <v>146</v>
      </c>
      <c r="H151" s="2" t="s">
        <v>146</v>
      </c>
      <c r="I151" s="2" t="s">
        <v>146</v>
      </c>
      <c r="J151" s="2" t="s">
        <v>49</v>
      </c>
      <c r="K151" s="2" t="s">
        <v>146</v>
      </c>
      <c r="L151" s="2" t="s">
        <v>146</v>
      </c>
      <c r="M151" s="2" t="s">
        <v>146</v>
      </c>
      <c r="N151" s="2" t="s">
        <v>146</v>
      </c>
      <c r="O151" s="2" t="s">
        <v>146</v>
      </c>
      <c r="P151" s="2" t="s">
        <v>49</v>
      </c>
      <c r="Q151" s="2" t="s">
        <v>146</v>
      </c>
      <c r="R151" s="2" t="s">
        <v>146</v>
      </c>
      <c r="S151" s="2" t="s">
        <v>146</v>
      </c>
      <c r="T151" s="2" t="s">
        <v>146</v>
      </c>
      <c r="U151" s="2" t="s">
        <v>146</v>
      </c>
      <c r="X151" s="2">
        <f t="shared" si="2"/>
        <v>0</v>
      </c>
    </row>
    <row r="152" spans="1:24" ht="14.25" x14ac:dyDescent="0.45">
      <c r="A152" s="2" t="s">
        <v>480</v>
      </c>
      <c r="B152" s="2" t="s">
        <v>482</v>
      </c>
      <c r="C152" s="2">
        <v>2019</v>
      </c>
      <c r="D152" s="2" t="s">
        <v>49</v>
      </c>
      <c r="E152" s="2" t="s">
        <v>146</v>
      </c>
      <c r="F152" s="2" t="s">
        <v>146</v>
      </c>
      <c r="G152" s="2" t="s">
        <v>146</v>
      </c>
      <c r="H152" s="2" t="s">
        <v>146</v>
      </c>
      <c r="I152" s="2" t="s">
        <v>146</v>
      </c>
      <c r="J152" s="2" t="s">
        <v>49</v>
      </c>
      <c r="K152" s="2" t="s">
        <v>146</v>
      </c>
      <c r="L152" s="2" t="s">
        <v>146</v>
      </c>
      <c r="M152" s="2" t="s">
        <v>146</v>
      </c>
      <c r="N152" s="2" t="s">
        <v>146</v>
      </c>
      <c r="O152" s="2" t="s">
        <v>146</v>
      </c>
      <c r="P152" s="2" t="s">
        <v>49</v>
      </c>
      <c r="Q152" s="2" t="s">
        <v>146</v>
      </c>
      <c r="R152" s="2" t="s">
        <v>146</v>
      </c>
      <c r="S152" s="2" t="s">
        <v>146</v>
      </c>
      <c r="T152" s="2" t="s">
        <v>146</v>
      </c>
      <c r="U152" s="2" t="s">
        <v>146</v>
      </c>
      <c r="X152" s="2">
        <f t="shared" si="2"/>
        <v>0</v>
      </c>
    </row>
    <row r="153" spans="1:24" ht="14.25" x14ac:dyDescent="0.45">
      <c r="A153" s="2" t="s">
        <v>480</v>
      </c>
      <c r="B153" s="2" t="s">
        <v>481</v>
      </c>
      <c r="C153" s="2">
        <v>2019</v>
      </c>
      <c r="D153" s="2" t="s">
        <v>49</v>
      </c>
      <c r="E153" s="2" t="s">
        <v>146</v>
      </c>
      <c r="F153" s="2" t="s">
        <v>146</v>
      </c>
      <c r="G153" s="2" t="s">
        <v>146</v>
      </c>
      <c r="H153" s="2" t="s">
        <v>146</v>
      </c>
      <c r="I153" s="2" t="s">
        <v>146</v>
      </c>
      <c r="J153" s="2" t="s">
        <v>49</v>
      </c>
      <c r="K153" s="2" t="s">
        <v>146</v>
      </c>
      <c r="L153" s="2" t="s">
        <v>146</v>
      </c>
      <c r="M153" s="2" t="s">
        <v>146</v>
      </c>
      <c r="N153" s="2" t="s">
        <v>146</v>
      </c>
      <c r="O153" s="2" t="s">
        <v>146</v>
      </c>
      <c r="P153" s="2" t="s">
        <v>49</v>
      </c>
      <c r="Q153" s="2" t="s">
        <v>146</v>
      </c>
      <c r="R153" s="2" t="s">
        <v>146</v>
      </c>
      <c r="S153" s="2" t="s">
        <v>146</v>
      </c>
      <c r="T153" s="2" t="s">
        <v>146</v>
      </c>
      <c r="U153" s="2" t="s">
        <v>146</v>
      </c>
      <c r="X153" s="2">
        <f t="shared" si="2"/>
        <v>0</v>
      </c>
    </row>
    <row r="154" spans="1:24" ht="14.25" x14ac:dyDescent="0.45">
      <c r="A154" s="2" t="s">
        <v>480</v>
      </c>
      <c r="B154" s="2" t="s">
        <v>479</v>
      </c>
      <c r="C154" s="2">
        <v>2019</v>
      </c>
      <c r="D154" s="2" t="s">
        <v>49</v>
      </c>
      <c r="E154" s="2" t="s">
        <v>146</v>
      </c>
      <c r="F154" s="2" t="s">
        <v>146</v>
      </c>
      <c r="G154" s="2" t="s">
        <v>146</v>
      </c>
      <c r="H154" s="2" t="s">
        <v>146</v>
      </c>
      <c r="I154" s="2" t="s">
        <v>146</v>
      </c>
      <c r="J154" s="2" t="s">
        <v>49</v>
      </c>
      <c r="K154" s="2" t="s">
        <v>146</v>
      </c>
      <c r="L154" s="2" t="s">
        <v>146</v>
      </c>
      <c r="M154" s="2" t="s">
        <v>146</v>
      </c>
      <c r="N154" s="2" t="s">
        <v>146</v>
      </c>
      <c r="O154" s="2" t="s">
        <v>146</v>
      </c>
      <c r="P154" s="2" t="s">
        <v>49</v>
      </c>
      <c r="Q154" s="2" t="s">
        <v>146</v>
      </c>
      <c r="R154" s="2" t="s">
        <v>146</v>
      </c>
      <c r="S154" s="2" t="s">
        <v>146</v>
      </c>
      <c r="T154" s="2" t="s">
        <v>146</v>
      </c>
      <c r="U154" s="2" t="s">
        <v>146</v>
      </c>
      <c r="X154" s="2">
        <f t="shared" si="2"/>
        <v>0</v>
      </c>
    </row>
    <row r="155" spans="1:24" ht="14.25" x14ac:dyDescent="0.45">
      <c r="A155" s="2" t="s">
        <v>478</v>
      </c>
      <c r="B155" s="2" t="s">
        <v>477</v>
      </c>
      <c r="C155" s="2">
        <v>2019</v>
      </c>
      <c r="D155" s="2" t="s">
        <v>49</v>
      </c>
      <c r="E155" s="2" t="s">
        <v>146</v>
      </c>
      <c r="F155" s="2" t="s">
        <v>146</v>
      </c>
      <c r="G155" s="2" t="s">
        <v>146</v>
      </c>
      <c r="H155" s="2" t="s">
        <v>146</v>
      </c>
      <c r="I155" s="2" t="s">
        <v>146</v>
      </c>
      <c r="J155" s="2" t="s">
        <v>49</v>
      </c>
      <c r="K155" s="2" t="s">
        <v>146</v>
      </c>
      <c r="L155" s="2" t="s">
        <v>146</v>
      </c>
      <c r="M155" s="2" t="s">
        <v>146</v>
      </c>
      <c r="N155" s="2" t="s">
        <v>146</v>
      </c>
      <c r="O155" s="2" t="s">
        <v>146</v>
      </c>
      <c r="P155" s="2" t="s">
        <v>49</v>
      </c>
      <c r="Q155" s="2" t="s">
        <v>146</v>
      </c>
      <c r="R155" s="2" t="s">
        <v>146</v>
      </c>
      <c r="S155" s="2" t="s">
        <v>146</v>
      </c>
      <c r="T155" s="2" t="s">
        <v>146</v>
      </c>
      <c r="U155" s="2" t="s">
        <v>146</v>
      </c>
      <c r="X155" s="2">
        <f t="shared" si="2"/>
        <v>0</v>
      </c>
    </row>
    <row r="156" spans="1:24" ht="14.25" x14ac:dyDescent="0.45">
      <c r="A156" s="2" t="s">
        <v>476</v>
      </c>
      <c r="B156" s="2" t="s">
        <v>89</v>
      </c>
      <c r="C156" s="2">
        <v>2019</v>
      </c>
      <c r="D156" s="2" t="s">
        <v>49</v>
      </c>
      <c r="E156" s="2" t="s">
        <v>49</v>
      </c>
      <c r="F156" s="2" t="s">
        <v>49</v>
      </c>
      <c r="G156" s="2" t="s">
        <v>49</v>
      </c>
      <c r="H156" s="2" t="s">
        <v>49</v>
      </c>
      <c r="I156" s="2" t="s">
        <v>49</v>
      </c>
      <c r="J156" s="2" t="s">
        <v>49</v>
      </c>
      <c r="K156" s="2" t="s">
        <v>49</v>
      </c>
      <c r="L156" s="2" t="s">
        <v>49</v>
      </c>
      <c r="M156" s="2" t="s">
        <v>49</v>
      </c>
      <c r="N156" s="2" t="s">
        <v>49</v>
      </c>
      <c r="O156" s="2" t="s">
        <v>49</v>
      </c>
      <c r="P156" s="2" t="s">
        <v>49</v>
      </c>
      <c r="Q156" s="2" t="s">
        <v>49</v>
      </c>
      <c r="R156" s="2" t="s">
        <v>49</v>
      </c>
      <c r="S156" s="2" t="s">
        <v>49</v>
      </c>
      <c r="T156" s="2" t="s">
        <v>49</v>
      </c>
      <c r="U156" s="2" t="s">
        <v>49</v>
      </c>
      <c r="X156" s="2">
        <f t="shared" si="2"/>
        <v>0</v>
      </c>
    </row>
    <row r="157" spans="1:24" ht="14.25" x14ac:dyDescent="0.45">
      <c r="A157" s="2" t="s">
        <v>472</v>
      </c>
      <c r="B157" s="2" t="s">
        <v>475</v>
      </c>
      <c r="C157" s="2">
        <v>2019</v>
      </c>
      <c r="D157" s="2" t="s">
        <v>49</v>
      </c>
      <c r="E157" s="2" t="s">
        <v>146</v>
      </c>
      <c r="F157" s="2" t="s">
        <v>146</v>
      </c>
      <c r="G157" s="2" t="s">
        <v>146</v>
      </c>
      <c r="H157" s="2" t="s">
        <v>146</v>
      </c>
      <c r="I157" s="2" t="s">
        <v>146</v>
      </c>
      <c r="J157" s="2" t="s">
        <v>49</v>
      </c>
      <c r="K157" s="2" t="s">
        <v>146</v>
      </c>
      <c r="L157" s="2" t="s">
        <v>146</v>
      </c>
      <c r="M157" s="2" t="s">
        <v>146</v>
      </c>
      <c r="N157" s="2" t="s">
        <v>146</v>
      </c>
      <c r="O157" s="2" t="s">
        <v>146</v>
      </c>
      <c r="P157" s="2" t="s">
        <v>49</v>
      </c>
      <c r="Q157" s="2" t="s">
        <v>146</v>
      </c>
      <c r="R157" s="2" t="s">
        <v>146</v>
      </c>
      <c r="S157" s="2" t="s">
        <v>146</v>
      </c>
      <c r="T157" s="2" t="s">
        <v>146</v>
      </c>
      <c r="U157" s="2" t="s">
        <v>146</v>
      </c>
      <c r="X157" s="2">
        <f t="shared" si="2"/>
        <v>0</v>
      </c>
    </row>
    <row r="158" spans="1:24" ht="14.25" x14ac:dyDescent="0.45">
      <c r="A158" s="2" t="s">
        <v>472</v>
      </c>
      <c r="B158" s="2" t="s">
        <v>474</v>
      </c>
      <c r="C158" s="2">
        <v>2019</v>
      </c>
      <c r="D158" s="2" t="s">
        <v>49</v>
      </c>
      <c r="E158" s="2" t="s">
        <v>146</v>
      </c>
      <c r="F158" s="2" t="s">
        <v>146</v>
      </c>
      <c r="G158" s="2" t="s">
        <v>146</v>
      </c>
      <c r="H158" s="2" t="s">
        <v>146</v>
      </c>
      <c r="I158" s="2" t="s">
        <v>146</v>
      </c>
      <c r="J158" s="2" t="s">
        <v>49</v>
      </c>
      <c r="K158" s="2" t="s">
        <v>146</v>
      </c>
      <c r="L158" s="2" t="s">
        <v>146</v>
      </c>
      <c r="M158" s="2" t="s">
        <v>146</v>
      </c>
      <c r="N158" s="2" t="s">
        <v>146</v>
      </c>
      <c r="O158" s="2" t="s">
        <v>146</v>
      </c>
      <c r="P158" s="2" t="s">
        <v>49</v>
      </c>
      <c r="Q158" s="2" t="s">
        <v>146</v>
      </c>
      <c r="R158" s="2" t="s">
        <v>146</v>
      </c>
      <c r="S158" s="2" t="s">
        <v>146</v>
      </c>
      <c r="T158" s="2" t="s">
        <v>146</v>
      </c>
      <c r="U158" s="2" t="s">
        <v>146</v>
      </c>
      <c r="X158" s="2">
        <f t="shared" si="2"/>
        <v>0</v>
      </c>
    </row>
    <row r="159" spans="1:24" ht="14.25" x14ac:dyDescent="0.45">
      <c r="A159" s="2" t="s">
        <v>472</v>
      </c>
      <c r="B159" s="2" t="s">
        <v>473</v>
      </c>
      <c r="C159" s="2">
        <v>2019</v>
      </c>
      <c r="D159" s="2" t="s">
        <v>49</v>
      </c>
      <c r="E159" s="2" t="s">
        <v>146</v>
      </c>
      <c r="F159" s="2" t="s">
        <v>146</v>
      </c>
      <c r="G159" s="2" t="s">
        <v>146</v>
      </c>
      <c r="H159" s="2" t="s">
        <v>146</v>
      </c>
      <c r="I159" s="2" t="s">
        <v>146</v>
      </c>
      <c r="J159" s="2" t="s">
        <v>49</v>
      </c>
      <c r="K159" s="2" t="s">
        <v>146</v>
      </c>
      <c r="L159" s="2" t="s">
        <v>146</v>
      </c>
      <c r="M159" s="2" t="s">
        <v>146</v>
      </c>
      <c r="N159" s="2" t="s">
        <v>146</v>
      </c>
      <c r="O159" s="2" t="s">
        <v>146</v>
      </c>
      <c r="P159" s="2" t="s">
        <v>49</v>
      </c>
      <c r="Q159" s="2" t="s">
        <v>146</v>
      </c>
      <c r="R159" s="2" t="s">
        <v>146</v>
      </c>
      <c r="S159" s="2" t="s">
        <v>146</v>
      </c>
      <c r="T159" s="2" t="s">
        <v>146</v>
      </c>
      <c r="U159" s="2" t="s">
        <v>146</v>
      </c>
      <c r="X159" s="2">
        <f t="shared" si="2"/>
        <v>0</v>
      </c>
    </row>
    <row r="160" spans="1:24" ht="14.25" x14ac:dyDescent="0.45">
      <c r="A160" s="2" t="s">
        <v>472</v>
      </c>
      <c r="B160" s="2" t="s">
        <v>471</v>
      </c>
      <c r="C160" s="2">
        <v>2019</v>
      </c>
      <c r="D160" s="2" t="s">
        <v>49</v>
      </c>
      <c r="E160" s="2" t="s">
        <v>146</v>
      </c>
      <c r="F160" s="2" t="s">
        <v>146</v>
      </c>
      <c r="G160" s="2" t="s">
        <v>146</v>
      </c>
      <c r="H160" s="2" t="s">
        <v>146</v>
      </c>
      <c r="I160" s="2" t="s">
        <v>146</v>
      </c>
      <c r="J160" s="2" t="s">
        <v>49</v>
      </c>
      <c r="K160" s="2" t="s">
        <v>146</v>
      </c>
      <c r="L160" s="2" t="s">
        <v>146</v>
      </c>
      <c r="M160" s="2" t="s">
        <v>146</v>
      </c>
      <c r="N160" s="2" t="s">
        <v>146</v>
      </c>
      <c r="O160" s="2" t="s">
        <v>146</v>
      </c>
      <c r="P160" s="2" t="s">
        <v>49</v>
      </c>
      <c r="Q160" s="2" t="s">
        <v>146</v>
      </c>
      <c r="R160" s="2" t="s">
        <v>146</v>
      </c>
      <c r="S160" s="2" t="s">
        <v>146</v>
      </c>
      <c r="T160" s="2" t="s">
        <v>146</v>
      </c>
      <c r="U160" s="2" t="s">
        <v>146</v>
      </c>
      <c r="X160" s="2">
        <f t="shared" si="2"/>
        <v>0</v>
      </c>
    </row>
    <row r="161" spans="1:24" ht="14.25" x14ac:dyDescent="0.45">
      <c r="A161" s="2" t="s">
        <v>470</v>
      </c>
      <c r="B161" s="2" t="s">
        <v>469</v>
      </c>
      <c r="C161" s="2">
        <v>2019</v>
      </c>
      <c r="D161" s="2" t="s">
        <v>49</v>
      </c>
      <c r="E161" s="2" t="s">
        <v>146</v>
      </c>
      <c r="F161" s="2" t="s">
        <v>146</v>
      </c>
      <c r="G161" s="2" t="s">
        <v>146</v>
      </c>
      <c r="H161" s="2" t="s">
        <v>146</v>
      </c>
      <c r="I161" s="2" t="s">
        <v>146</v>
      </c>
      <c r="J161" s="2" t="s">
        <v>49</v>
      </c>
      <c r="K161" s="2" t="s">
        <v>146</v>
      </c>
      <c r="L161" s="2" t="s">
        <v>146</v>
      </c>
      <c r="M161" s="2" t="s">
        <v>146</v>
      </c>
      <c r="N161" s="2" t="s">
        <v>146</v>
      </c>
      <c r="O161" s="2" t="s">
        <v>146</v>
      </c>
      <c r="P161" s="2" t="s">
        <v>49</v>
      </c>
      <c r="Q161" s="2" t="s">
        <v>146</v>
      </c>
      <c r="R161" s="2" t="s">
        <v>146</v>
      </c>
      <c r="S161" s="2" t="s">
        <v>146</v>
      </c>
      <c r="T161" s="2" t="s">
        <v>146</v>
      </c>
      <c r="U161" s="2" t="s">
        <v>146</v>
      </c>
      <c r="X161" s="2">
        <f t="shared" si="2"/>
        <v>0</v>
      </c>
    </row>
    <row r="162" spans="1:24" ht="14.25" x14ac:dyDescent="0.45">
      <c r="A162" s="2" t="s">
        <v>467</v>
      </c>
      <c r="B162" s="2" t="s">
        <v>468</v>
      </c>
      <c r="C162" s="2">
        <v>2019</v>
      </c>
      <c r="D162" s="2" t="s">
        <v>49</v>
      </c>
      <c r="E162" s="2" t="s">
        <v>146</v>
      </c>
      <c r="F162" s="2" t="s">
        <v>146</v>
      </c>
      <c r="G162" s="2" t="s">
        <v>146</v>
      </c>
      <c r="H162" s="2" t="s">
        <v>146</v>
      </c>
      <c r="I162" s="2" t="s">
        <v>146</v>
      </c>
      <c r="J162" s="2" t="s">
        <v>49</v>
      </c>
      <c r="K162" s="2" t="s">
        <v>146</v>
      </c>
      <c r="L162" s="2" t="s">
        <v>146</v>
      </c>
      <c r="M162" s="2" t="s">
        <v>146</v>
      </c>
      <c r="N162" s="2" t="s">
        <v>146</v>
      </c>
      <c r="O162" s="2" t="s">
        <v>146</v>
      </c>
      <c r="P162" s="2" t="s">
        <v>49</v>
      </c>
      <c r="Q162" s="2" t="s">
        <v>146</v>
      </c>
      <c r="R162" s="2" t="s">
        <v>146</v>
      </c>
      <c r="S162" s="2" t="s">
        <v>146</v>
      </c>
      <c r="T162" s="2" t="s">
        <v>146</v>
      </c>
      <c r="U162" s="2" t="s">
        <v>146</v>
      </c>
      <c r="X162" s="2">
        <f t="shared" si="2"/>
        <v>0</v>
      </c>
    </row>
    <row r="163" spans="1:24" ht="14.25" x14ac:dyDescent="0.45">
      <c r="A163" s="2" t="s">
        <v>467</v>
      </c>
      <c r="B163" s="2" t="s">
        <v>466</v>
      </c>
      <c r="C163" s="2">
        <v>2019</v>
      </c>
      <c r="D163" s="2" t="s">
        <v>49</v>
      </c>
      <c r="E163" s="2" t="s">
        <v>146</v>
      </c>
      <c r="F163" s="2" t="s">
        <v>146</v>
      </c>
      <c r="G163" s="2" t="s">
        <v>146</v>
      </c>
      <c r="H163" s="2" t="s">
        <v>146</v>
      </c>
      <c r="I163" s="2" t="s">
        <v>146</v>
      </c>
      <c r="J163" s="2" t="s">
        <v>49</v>
      </c>
      <c r="K163" s="2" t="s">
        <v>146</v>
      </c>
      <c r="L163" s="2" t="s">
        <v>146</v>
      </c>
      <c r="M163" s="2" t="s">
        <v>146</v>
      </c>
      <c r="N163" s="2" t="s">
        <v>146</v>
      </c>
      <c r="O163" s="2" t="s">
        <v>146</v>
      </c>
      <c r="P163" s="2" t="s">
        <v>49</v>
      </c>
      <c r="Q163" s="2" t="s">
        <v>146</v>
      </c>
      <c r="R163" s="2" t="s">
        <v>146</v>
      </c>
      <c r="S163" s="2" t="s">
        <v>146</v>
      </c>
      <c r="T163" s="2" t="s">
        <v>146</v>
      </c>
      <c r="U163" s="2" t="s">
        <v>146</v>
      </c>
      <c r="X163" s="2">
        <f t="shared" si="2"/>
        <v>0</v>
      </c>
    </row>
    <row r="164" spans="1:24" ht="14.25" x14ac:dyDescent="0.45">
      <c r="A164" s="2" t="s">
        <v>465</v>
      </c>
      <c r="B164" s="2" t="s">
        <v>464</v>
      </c>
      <c r="C164" s="2">
        <v>2019</v>
      </c>
      <c r="D164" s="2" t="s">
        <v>788</v>
      </c>
      <c r="E164" s="2" t="s">
        <v>734</v>
      </c>
      <c r="F164" s="2">
        <v>12.753</v>
      </c>
      <c r="G164" s="2" t="s">
        <v>146</v>
      </c>
      <c r="H164" s="2">
        <v>0</v>
      </c>
      <c r="I164" s="2" t="s">
        <v>146</v>
      </c>
      <c r="J164" s="2" t="s">
        <v>49</v>
      </c>
      <c r="K164" s="2" t="s">
        <v>146</v>
      </c>
      <c r="L164" s="2" t="s">
        <v>146</v>
      </c>
      <c r="M164" s="2" t="s">
        <v>146</v>
      </c>
      <c r="N164" s="2" t="s">
        <v>146</v>
      </c>
      <c r="O164" s="2" t="s">
        <v>146</v>
      </c>
      <c r="P164" s="2" t="s">
        <v>49</v>
      </c>
      <c r="Q164" s="2" t="s">
        <v>146</v>
      </c>
      <c r="R164" s="2" t="s">
        <v>146</v>
      </c>
      <c r="S164" s="2" t="s">
        <v>146</v>
      </c>
      <c r="T164" s="2" t="s">
        <v>146</v>
      </c>
      <c r="U164" s="2" t="s">
        <v>146</v>
      </c>
      <c r="X164" s="2">
        <f t="shared" si="2"/>
        <v>0</v>
      </c>
    </row>
    <row r="165" spans="1:24" ht="14.25" x14ac:dyDescent="0.45">
      <c r="A165" s="2" t="s">
        <v>459</v>
      </c>
      <c r="B165" s="2" t="s">
        <v>463</v>
      </c>
      <c r="C165" s="2">
        <v>2019</v>
      </c>
      <c r="D165" s="2" t="s">
        <v>785</v>
      </c>
      <c r="E165" s="2" t="s">
        <v>734</v>
      </c>
      <c r="F165" s="2">
        <v>0.18</v>
      </c>
      <c r="G165" s="2" t="s">
        <v>146</v>
      </c>
      <c r="H165" s="2" t="s">
        <v>146</v>
      </c>
      <c r="I165" s="2" t="s">
        <v>146</v>
      </c>
      <c r="J165" s="2" t="s">
        <v>49</v>
      </c>
      <c r="K165" s="2" t="s">
        <v>146</v>
      </c>
      <c r="L165" s="2" t="s">
        <v>146</v>
      </c>
      <c r="M165" s="2" t="s">
        <v>146</v>
      </c>
      <c r="N165" s="2" t="s">
        <v>146</v>
      </c>
      <c r="O165" s="2" t="s">
        <v>146</v>
      </c>
      <c r="P165" s="2" t="s">
        <v>49</v>
      </c>
      <c r="Q165" s="2" t="s">
        <v>146</v>
      </c>
      <c r="R165" s="2" t="s">
        <v>146</v>
      </c>
      <c r="S165" s="2" t="s">
        <v>146</v>
      </c>
      <c r="T165" s="2" t="s">
        <v>146</v>
      </c>
      <c r="U165" s="2" t="s">
        <v>146</v>
      </c>
      <c r="X165" s="2">
        <f t="shared" si="2"/>
        <v>0</v>
      </c>
    </row>
    <row r="166" spans="1:24" ht="14.25" x14ac:dyDescent="0.45">
      <c r="A166" s="2" t="s">
        <v>459</v>
      </c>
      <c r="B166" s="2" t="s">
        <v>462</v>
      </c>
      <c r="C166" s="2">
        <v>2019</v>
      </c>
      <c r="D166" s="2" t="s">
        <v>787</v>
      </c>
      <c r="E166" s="2" t="s">
        <v>786</v>
      </c>
      <c r="F166" s="2">
        <v>0</v>
      </c>
      <c r="G166" s="2" t="s">
        <v>146</v>
      </c>
      <c r="H166" s="2" t="s">
        <v>146</v>
      </c>
      <c r="I166" s="2" t="s">
        <v>146</v>
      </c>
      <c r="J166" s="2" t="s">
        <v>49</v>
      </c>
      <c r="K166" s="2" t="s">
        <v>146</v>
      </c>
      <c r="L166" s="2" t="s">
        <v>146</v>
      </c>
      <c r="M166" s="2" t="s">
        <v>146</v>
      </c>
      <c r="N166" s="2" t="s">
        <v>146</v>
      </c>
      <c r="O166" s="2" t="s">
        <v>146</v>
      </c>
      <c r="P166" s="2" t="s">
        <v>49</v>
      </c>
      <c r="Q166" s="2" t="s">
        <v>146</v>
      </c>
      <c r="R166" s="2" t="s">
        <v>146</v>
      </c>
      <c r="S166" s="2" t="s">
        <v>146</v>
      </c>
      <c r="T166" s="2" t="s">
        <v>146</v>
      </c>
      <c r="U166" s="2" t="s">
        <v>146</v>
      </c>
      <c r="X166" s="2">
        <f t="shared" si="2"/>
        <v>0</v>
      </c>
    </row>
    <row r="167" spans="1:24" ht="14.25" x14ac:dyDescent="0.45">
      <c r="A167" s="2" t="s">
        <v>459</v>
      </c>
      <c r="B167" s="2" t="s">
        <v>461</v>
      </c>
      <c r="C167" s="2">
        <v>2019</v>
      </c>
      <c r="D167" s="2" t="s">
        <v>785</v>
      </c>
      <c r="E167" s="2" t="s">
        <v>734</v>
      </c>
      <c r="F167" s="2">
        <v>5.2</v>
      </c>
      <c r="G167" s="2" t="s">
        <v>146</v>
      </c>
      <c r="H167" s="2" t="s">
        <v>146</v>
      </c>
      <c r="I167" s="2" t="s">
        <v>146</v>
      </c>
      <c r="J167" s="2" t="s">
        <v>49</v>
      </c>
      <c r="K167" s="2" t="s">
        <v>146</v>
      </c>
      <c r="L167" s="2" t="s">
        <v>146</v>
      </c>
      <c r="M167" s="2" t="s">
        <v>146</v>
      </c>
      <c r="N167" s="2" t="s">
        <v>146</v>
      </c>
      <c r="O167" s="2" t="s">
        <v>146</v>
      </c>
      <c r="P167" s="2" t="s">
        <v>49</v>
      </c>
      <c r="Q167" s="2" t="s">
        <v>146</v>
      </c>
      <c r="R167" s="2" t="s">
        <v>146</v>
      </c>
      <c r="S167" s="2" t="s">
        <v>146</v>
      </c>
      <c r="T167" s="2" t="s">
        <v>146</v>
      </c>
      <c r="U167" s="2" t="s">
        <v>146</v>
      </c>
      <c r="X167" s="2">
        <f t="shared" si="2"/>
        <v>0</v>
      </c>
    </row>
    <row r="168" spans="1:24" ht="14.25" x14ac:dyDescent="0.45">
      <c r="A168" s="2" t="s">
        <v>459</v>
      </c>
      <c r="B168" s="2" t="s">
        <v>460</v>
      </c>
      <c r="C168" s="2">
        <v>2019</v>
      </c>
      <c r="D168" s="2" t="s">
        <v>49</v>
      </c>
      <c r="E168" s="2" t="s">
        <v>146</v>
      </c>
      <c r="F168" s="2" t="s">
        <v>146</v>
      </c>
      <c r="G168" s="2" t="s">
        <v>146</v>
      </c>
      <c r="H168" s="2" t="s">
        <v>146</v>
      </c>
      <c r="I168" s="2" t="s">
        <v>146</v>
      </c>
      <c r="J168" s="2" t="s">
        <v>49</v>
      </c>
      <c r="K168" s="2" t="s">
        <v>146</v>
      </c>
      <c r="L168" s="2" t="s">
        <v>146</v>
      </c>
      <c r="M168" s="2" t="s">
        <v>146</v>
      </c>
      <c r="N168" s="2" t="s">
        <v>146</v>
      </c>
      <c r="O168" s="2" t="s">
        <v>146</v>
      </c>
      <c r="P168" s="2" t="s">
        <v>49</v>
      </c>
      <c r="Q168" s="2" t="s">
        <v>146</v>
      </c>
      <c r="R168" s="2" t="s">
        <v>146</v>
      </c>
      <c r="S168" s="2" t="s">
        <v>146</v>
      </c>
      <c r="T168" s="2" t="s">
        <v>146</v>
      </c>
      <c r="U168" s="2" t="s">
        <v>146</v>
      </c>
      <c r="X168" s="2">
        <f t="shared" si="2"/>
        <v>0</v>
      </c>
    </row>
    <row r="169" spans="1:24" ht="14.25" x14ac:dyDescent="0.45">
      <c r="A169" s="2" t="s">
        <v>459</v>
      </c>
      <c r="B169" s="2" t="s">
        <v>458</v>
      </c>
      <c r="C169" s="2">
        <v>2019</v>
      </c>
      <c r="D169" s="2" t="s">
        <v>785</v>
      </c>
      <c r="E169" s="2" t="s">
        <v>734</v>
      </c>
      <c r="F169" s="2">
        <v>0.25</v>
      </c>
      <c r="G169" s="2" t="s">
        <v>146</v>
      </c>
      <c r="H169" s="2" t="s">
        <v>146</v>
      </c>
      <c r="I169" s="2" t="s">
        <v>146</v>
      </c>
      <c r="J169" s="2" t="s">
        <v>49</v>
      </c>
      <c r="K169" s="2" t="s">
        <v>146</v>
      </c>
      <c r="L169" s="2" t="s">
        <v>146</v>
      </c>
      <c r="M169" s="2" t="s">
        <v>146</v>
      </c>
      <c r="N169" s="2" t="s">
        <v>146</v>
      </c>
      <c r="O169" s="2" t="s">
        <v>146</v>
      </c>
      <c r="P169" s="2" t="s">
        <v>49</v>
      </c>
      <c r="Q169" s="2" t="s">
        <v>146</v>
      </c>
      <c r="R169" s="2" t="s">
        <v>146</v>
      </c>
      <c r="S169" s="2" t="s">
        <v>146</v>
      </c>
      <c r="T169" s="2" t="s">
        <v>146</v>
      </c>
      <c r="U169" s="2" t="s">
        <v>146</v>
      </c>
      <c r="X169" s="2">
        <f t="shared" si="2"/>
        <v>0</v>
      </c>
    </row>
    <row r="170" spans="1:24" ht="14.25" x14ac:dyDescent="0.45">
      <c r="A170" s="2" t="s">
        <v>457</v>
      </c>
      <c r="B170" s="2" t="s">
        <v>456</v>
      </c>
      <c r="C170" s="2">
        <v>2019</v>
      </c>
      <c r="D170" s="2" t="s">
        <v>49</v>
      </c>
      <c r="E170" s="2" t="s">
        <v>146</v>
      </c>
      <c r="F170" s="2" t="s">
        <v>146</v>
      </c>
      <c r="G170" s="2" t="s">
        <v>146</v>
      </c>
      <c r="H170" s="2" t="s">
        <v>146</v>
      </c>
      <c r="I170" s="2" t="s">
        <v>146</v>
      </c>
      <c r="J170" s="2" t="s">
        <v>49</v>
      </c>
      <c r="K170" s="2" t="s">
        <v>146</v>
      </c>
      <c r="L170" s="2" t="s">
        <v>146</v>
      </c>
      <c r="M170" s="2" t="s">
        <v>146</v>
      </c>
      <c r="N170" s="2" t="s">
        <v>146</v>
      </c>
      <c r="O170" s="2" t="s">
        <v>146</v>
      </c>
      <c r="P170" s="2" t="s">
        <v>49</v>
      </c>
      <c r="Q170" s="2" t="s">
        <v>146</v>
      </c>
      <c r="R170" s="2" t="s">
        <v>146</v>
      </c>
      <c r="S170" s="2" t="s">
        <v>146</v>
      </c>
      <c r="T170" s="2" t="s">
        <v>146</v>
      </c>
      <c r="U170" s="2" t="s">
        <v>146</v>
      </c>
      <c r="X170" s="2">
        <f t="shared" si="2"/>
        <v>0</v>
      </c>
    </row>
    <row r="171" spans="1:24" ht="14.25" x14ac:dyDescent="0.45">
      <c r="A171" s="2" t="s">
        <v>453</v>
      </c>
      <c r="B171" s="2" t="s">
        <v>455</v>
      </c>
      <c r="C171" s="2">
        <v>2019</v>
      </c>
      <c r="D171" s="2" t="s">
        <v>49</v>
      </c>
      <c r="E171" s="2" t="s">
        <v>146</v>
      </c>
      <c r="F171" s="2" t="s">
        <v>146</v>
      </c>
      <c r="G171" s="2" t="s">
        <v>146</v>
      </c>
      <c r="H171" s="2" t="s">
        <v>146</v>
      </c>
      <c r="I171" s="2" t="s">
        <v>146</v>
      </c>
      <c r="J171" s="2" t="s">
        <v>49</v>
      </c>
      <c r="K171" s="2" t="s">
        <v>146</v>
      </c>
      <c r="L171" s="2" t="s">
        <v>146</v>
      </c>
      <c r="M171" s="2" t="s">
        <v>146</v>
      </c>
      <c r="N171" s="2" t="s">
        <v>146</v>
      </c>
      <c r="O171" s="2" t="s">
        <v>146</v>
      </c>
      <c r="P171" s="2" t="s">
        <v>49</v>
      </c>
      <c r="Q171" s="2" t="s">
        <v>146</v>
      </c>
      <c r="R171" s="2" t="s">
        <v>146</v>
      </c>
      <c r="S171" s="2" t="s">
        <v>146</v>
      </c>
      <c r="T171" s="2" t="s">
        <v>146</v>
      </c>
      <c r="U171" s="2" t="s">
        <v>146</v>
      </c>
      <c r="X171" s="2">
        <f t="shared" si="2"/>
        <v>0</v>
      </c>
    </row>
    <row r="172" spans="1:24" ht="14.25" x14ac:dyDescent="0.45">
      <c r="A172" s="2" t="s">
        <v>453</v>
      </c>
      <c r="B172" s="2" t="s">
        <v>454</v>
      </c>
      <c r="C172" s="2">
        <v>2019</v>
      </c>
      <c r="D172" s="2" t="s">
        <v>49</v>
      </c>
      <c r="E172" s="2" t="s">
        <v>146</v>
      </c>
      <c r="F172" s="2" t="s">
        <v>146</v>
      </c>
      <c r="G172" s="2" t="s">
        <v>146</v>
      </c>
      <c r="H172" s="2" t="s">
        <v>146</v>
      </c>
      <c r="I172" s="2" t="s">
        <v>146</v>
      </c>
      <c r="J172" s="2" t="s">
        <v>49</v>
      </c>
      <c r="K172" s="2" t="s">
        <v>146</v>
      </c>
      <c r="L172" s="2" t="s">
        <v>146</v>
      </c>
      <c r="M172" s="2" t="s">
        <v>146</v>
      </c>
      <c r="N172" s="2" t="s">
        <v>146</v>
      </c>
      <c r="O172" s="2" t="s">
        <v>146</v>
      </c>
      <c r="P172" s="2" t="s">
        <v>49</v>
      </c>
      <c r="Q172" s="2" t="s">
        <v>146</v>
      </c>
      <c r="R172" s="2" t="s">
        <v>146</v>
      </c>
      <c r="S172" s="2" t="s">
        <v>146</v>
      </c>
      <c r="T172" s="2" t="s">
        <v>146</v>
      </c>
      <c r="U172" s="2" t="s">
        <v>146</v>
      </c>
      <c r="X172" s="2">
        <f t="shared" si="2"/>
        <v>0</v>
      </c>
    </row>
    <row r="173" spans="1:24" ht="14.25" x14ac:dyDescent="0.45">
      <c r="A173" s="2" t="s">
        <v>453</v>
      </c>
      <c r="B173" s="2" t="s">
        <v>452</v>
      </c>
      <c r="C173" s="2">
        <v>2019</v>
      </c>
      <c r="D173" s="2" t="s">
        <v>49</v>
      </c>
      <c r="E173" s="2" t="s">
        <v>146</v>
      </c>
      <c r="F173" s="2" t="s">
        <v>146</v>
      </c>
      <c r="G173" s="2" t="s">
        <v>146</v>
      </c>
      <c r="H173" s="2" t="s">
        <v>146</v>
      </c>
      <c r="I173" s="2" t="s">
        <v>146</v>
      </c>
      <c r="J173" s="2" t="s">
        <v>49</v>
      </c>
      <c r="K173" s="2" t="s">
        <v>146</v>
      </c>
      <c r="L173" s="2" t="s">
        <v>146</v>
      </c>
      <c r="M173" s="2" t="s">
        <v>146</v>
      </c>
      <c r="N173" s="2" t="s">
        <v>146</v>
      </c>
      <c r="O173" s="2" t="s">
        <v>146</v>
      </c>
      <c r="P173" s="2" t="s">
        <v>49</v>
      </c>
      <c r="Q173" s="2" t="s">
        <v>146</v>
      </c>
      <c r="R173" s="2" t="s">
        <v>146</v>
      </c>
      <c r="S173" s="2" t="s">
        <v>146</v>
      </c>
      <c r="T173" s="2" t="s">
        <v>146</v>
      </c>
      <c r="U173" s="2" t="s">
        <v>146</v>
      </c>
      <c r="X173" s="2">
        <f t="shared" si="2"/>
        <v>0</v>
      </c>
    </row>
    <row r="174" spans="1:24" ht="14.25" x14ac:dyDescent="0.45">
      <c r="A174" s="2" t="s">
        <v>449</v>
      </c>
      <c r="B174" s="2" t="s">
        <v>451</v>
      </c>
      <c r="C174" s="2">
        <v>2019</v>
      </c>
      <c r="D174" s="2" t="s">
        <v>784</v>
      </c>
      <c r="E174" s="2" t="s">
        <v>783</v>
      </c>
      <c r="F174" s="2">
        <v>746</v>
      </c>
      <c r="G174" s="2" t="s">
        <v>747</v>
      </c>
      <c r="H174" s="2">
        <v>29.9</v>
      </c>
      <c r="I174" s="2">
        <v>100</v>
      </c>
      <c r="J174" s="2" t="s">
        <v>49</v>
      </c>
      <c r="K174" s="2" t="s">
        <v>146</v>
      </c>
      <c r="L174" s="2" t="s">
        <v>146</v>
      </c>
      <c r="M174" s="2" t="s">
        <v>146</v>
      </c>
      <c r="N174" s="2" t="s">
        <v>146</v>
      </c>
      <c r="O174" s="2" t="s">
        <v>146</v>
      </c>
      <c r="P174" s="2" t="s">
        <v>49</v>
      </c>
      <c r="Q174" s="2" t="s">
        <v>146</v>
      </c>
      <c r="R174" s="2" t="s">
        <v>146</v>
      </c>
      <c r="S174" s="2" t="s">
        <v>146</v>
      </c>
      <c r="T174" s="2" t="s">
        <v>146</v>
      </c>
      <c r="U174" s="2" t="s">
        <v>146</v>
      </c>
      <c r="X174" s="2">
        <f t="shared" si="2"/>
        <v>0</v>
      </c>
    </row>
    <row r="175" spans="1:24" ht="14.25" x14ac:dyDescent="0.45">
      <c r="A175" s="2" t="s">
        <v>449</v>
      </c>
      <c r="B175" s="2" t="s">
        <v>450</v>
      </c>
      <c r="C175" s="2">
        <v>2019</v>
      </c>
      <c r="D175" s="2" t="s">
        <v>49</v>
      </c>
      <c r="E175" s="2" t="s">
        <v>146</v>
      </c>
      <c r="F175" s="2" t="s">
        <v>146</v>
      </c>
      <c r="G175" s="2" t="s">
        <v>146</v>
      </c>
      <c r="H175" s="2" t="s">
        <v>146</v>
      </c>
      <c r="I175" s="2" t="s">
        <v>146</v>
      </c>
      <c r="J175" s="2" t="s">
        <v>49</v>
      </c>
      <c r="K175" s="2" t="s">
        <v>146</v>
      </c>
      <c r="L175" s="2" t="s">
        <v>146</v>
      </c>
      <c r="M175" s="2" t="s">
        <v>146</v>
      </c>
      <c r="N175" s="2" t="s">
        <v>146</v>
      </c>
      <c r="O175" s="2" t="s">
        <v>146</v>
      </c>
      <c r="P175" s="2" t="s">
        <v>49</v>
      </c>
      <c r="Q175" s="2" t="s">
        <v>146</v>
      </c>
      <c r="R175" s="2" t="s">
        <v>146</v>
      </c>
      <c r="S175" s="2" t="s">
        <v>146</v>
      </c>
      <c r="T175" s="2" t="s">
        <v>146</v>
      </c>
      <c r="U175" s="2" t="s">
        <v>146</v>
      </c>
      <c r="X175" s="2">
        <f t="shared" si="2"/>
        <v>0</v>
      </c>
    </row>
    <row r="176" spans="1:24" ht="14.25" x14ac:dyDescent="0.45">
      <c r="A176" s="2" t="s">
        <v>449</v>
      </c>
      <c r="B176" s="2" t="s">
        <v>448</v>
      </c>
      <c r="C176" s="2">
        <v>2019</v>
      </c>
      <c r="D176" s="2" t="s">
        <v>49</v>
      </c>
      <c r="E176" s="2" t="s">
        <v>146</v>
      </c>
      <c r="F176" s="2" t="s">
        <v>146</v>
      </c>
      <c r="G176" s="2" t="s">
        <v>146</v>
      </c>
      <c r="H176" s="2" t="s">
        <v>146</v>
      </c>
      <c r="I176" s="2" t="s">
        <v>146</v>
      </c>
      <c r="J176" s="2" t="s">
        <v>49</v>
      </c>
      <c r="K176" s="2" t="s">
        <v>146</v>
      </c>
      <c r="L176" s="2" t="s">
        <v>146</v>
      </c>
      <c r="M176" s="2" t="s">
        <v>146</v>
      </c>
      <c r="N176" s="2" t="s">
        <v>146</v>
      </c>
      <c r="O176" s="2" t="s">
        <v>146</v>
      </c>
      <c r="P176" s="2" t="s">
        <v>49</v>
      </c>
      <c r="Q176" s="2" t="s">
        <v>146</v>
      </c>
      <c r="R176" s="2" t="s">
        <v>146</v>
      </c>
      <c r="S176" s="2" t="s">
        <v>146</v>
      </c>
      <c r="T176" s="2" t="s">
        <v>146</v>
      </c>
      <c r="U176" s="2" t="s">
        <v>146</v>
      </c>
      <c r="X176" s="2">
        <f t="shared" si="2"/>
        <v>0</v>
      </c>
    </row>
    <row r="177" spans="1:24" ht="14.25" x14ac:dyDescent="0.45">
      <c r="A177" s="2" t="s">
        <v>447</v>
      </c>
      <c r="B177" s="2" t="s">
        <v>446</v>
      </c>
      <c r="C177" s="2">
        <v>2019</v>
      </c>
      <c r="D177" s="2" t="s">
        <v>49</v>
      </c>
      <c r="E177" s="2" t="s">
        <v>146</v>
      </c>
      <c r="F177" s="2" t="s">
        <v>146</v>
      </c>
      <c r="G177" s="2" t="s">
        <v>146</v>
      </c>
      <c r="H177" s="2" t="s">
        <v>146</v>
      </c>
      <c r="I177" s="2" t="s">
        <v>146</v>
      </c>
      <c r="J177" s="2" t="s">
        <v>49</v>
      </c>
      <c r="K177" s="2" t="s">
        <v>146</v>
      </c>
      <c r="L177" s="2" t="s">
        <v>146</v>
      </c>
      <c r="M177" s="2" t="s">
        <v>146</v>
      </c>
      <c r="N177" s="2" t="s">
        <v>146</v>
      </c>
      <c r="O177" s="2" t="s">
        <v>146</v>
      </c>
      <c r="P177" s="2" t="s">
        <v>49</v>
      </c>
      <c r="Q177" s="2" t="s">
        <v>146</v>
      </c>
      <c r="R177" s="2" t="s">
        <v>146</v>
      </c>
      <c r="S177" s="2" t="s">
        <v>146</v>
      </c>
      <c r="T177" s="2" t="s">
        <v>146</v>
      </c>
      <c r="U177" s="2" t="s">
        <v>146</v>
      </c>
      <c r="X177" s="2">
        <f t="shared" si="2"/>
        <v>0</v>
      </c>
    </row>
    <row r="178" spans="1:24" ht="14.25" x14ac:dyDescent="0.45">
      <c r="A178" s="2" t="s">
        <v>444</v>
      </c>
      <c r="B178" s="2" t="s">
        <v>445</v>
      </c>
      <c r="C178" s="2">
        <v>2019</v>
      </c>
      <c r="D178" s="2" t="s">
        <v>49</v>
      </c>
      <c r="E178" s="2" t="s">
        <v>146</v>
      </c>
      <c r="F178" s="2" t="s">
        <v>146</v>
      </c>
      <c r="G178" s="2" t="s">
        <v>146</v>
      </c>
      <c r="H178" s="2" t="s">
        <v>146</v>
      </c>
      <c r="I178" s="2" t="s">
        <v>146</v>
      </c>
      <c r="J178" s="2" t="s">
        <v>49</v>
      </c>
      <c r="K178" s="2" t="s">
        <v>146</v>
      </c>
      <c r="L178" s="2" t="s">
        <v>146</v>
      </c>
      <c r="M178" s="2" t="s">
        <v>146</v>
      </c>
      <c r="N178" s="2" t="s">
        <v>146</v>
      </c>
      <c r="O178" s="2" t="s">
        <v>146</v>
      </c>
      <c r="P178" s="2" t="s">
        <v>49</v>
      </c>
      <c r="Q178" s="2" t="s">
        <v>146</v>
      </c>
      <c r="R178" s="2" t="s">
        <v>146</v>
      </c>
      <c r="S178" s="2" t="s">
        <v>146</v>
      </c>
      <c r="T178" s="2" t="s">
        <v>146</v>
      </c>
      <c r="U178" s="2" t="s">
        <v>146</v>
      </c>
      <c r="X178" s="2">
        <f t="shared" si="2"/>
        <v>0</v>
      </c>
    </row>
    <row r="179" spans="1:24" ht="14.25" x14ac:dyDescent="0.45">
      <c r="A179" s="2" t="s">
        <v>444</v>
      </c>
      <c r="B179" s="2" t="s">
        <v>443</v>
      </c>
      <c r="C179" s="2">
        <v>2019</v>
      </c>
      <c r="D179" s="2" t="s">
        <v>49</v>
      </c>
      <c r="E179" s="2" t="s">
        <v>146</v>
      </c>
      <c r="F179" s="2" t="s">
        <v>146</v>
      </c>
      <c r="G179" s="2" t="s">
        <v>146</v>
      </c>
      <c r="H179" s="2" t="s">
        <v>146</v>
      </c>
      <c r="I179" s="2" t="s">
        <v>146</v>
      </c>
      <c r="J179" s="2" t="s">
        <v>49</v>
      </c>
      <c r="K179" s="2" t="s">
        <v>146</v>
      </c>
      <c r="L179" s="2" t="s">
        <v>146</v>
      </c>
      <c r="M179" s="2" t="s">
        <v>146</v>
      </c>
      <c r="N179" s="2" t="s">
        <v>146</v>
      </c>
      <c r="O179" s="2" t="s">
        <v>146</v>
      </c>
      <c r="P179" s="2" t="s">
        <v>49</v>
      </c>
      <c r="Q179" s="2" t="s">
        <v>146</v>
      </c>
      <c r="R179" s="2" t="s">
        <v>146</v>
      </c>
      <c r="S179" s="2" t="s">
        <v>146</v>
      </c>
      <c r="T179" s="2" t="s">
        <v>146</v>
      </c>
      <c r="U179" s="2" t="s">
        <v>146</v>
      </c>
      <c r="X179" s="2">
        <f t="shared" si="2"/>
        <v>0</v>
      </c>
    </row>
    <row r="180" spans="1:24" ht="14.25" x14ac:dyDescent="0.45">
      <c r="A180" s="2" t="s">
        <v>442</v>
      </c>
      <c r="B180" s="2" t="s">
        <v>441</v>
      </c>
      <c r="C180" s="2">
        <v>2019</v>
      </c>
      <c r="D180" s="2" t="s">
        <v>782</v>
      </c>
      <c r="E180" s="2" t="s">
        <v>734</v>
      </c>
      <c r="F180" s="2">
        <v>7.8</v>
      </c>
      <c r="G180" s="2" t="s">
        <v>146</v>
      </c>
      <c r="H180" s="2" t="s">
        <v>146</v>
      </c>
      <c r="I180" s="2" t="s">
        <v>146</v>
      </c>
      <c r="J180" s="2" t="s">
        <v>49</v>
      </c>
      <c r="K180" s="2" t="s">
        <v>146</v>
      </c>
      <c r="L180" s="2" t="s">
        <v>146</v>
      </c>
      <c r="M180" s="2" t="s">
        <v>146</v>
      </c>
      <c r="N180" s="2" t="s">
        <v>146</v>
      </c>
      <c r="O180" s="2" t="s">
        <v>146</v>
      </c>
      <c r="P180" s="2" t="s">
        <v>49</v>
      </c>
      <c r="Q180" s="2" t="s">
        <v>146</v>
      </c>
      <c r="R180" s="2" t="s">
        <v>146</v>
      </c>
      <c r="S180" s="2" t="s">
        <v>146</v>
      </c>
      <c r="T180" s="2" t="s">
        <v>146</v>
      </c>
      <c r="U180" s="2" t="s">
        <v>146</v>
      </c>
      <c r="X180" s="2">
        <f t="shared" si="2"/>
        <v>0</v>
      </c>
    </row>
    <row r="181" spans="1:24" ht="14.25" x14ac:dyDescent="0.45">
      <c r="A181" s="2" t="s">
        <v>440</v>
      </c>
      <c r="B181" s="2" t="s">
        <v>439</v>
      </c>
      <c r="C181" s="2">
        <v>2019</v>
      </c>
      <c r="D181" s="2" t="s">
        <v>49</v>
      </c>
      <c r="E181" s="2" t="s">
        <v>49</v>
      </c>
      <c r="F181" s="2" t="s">
        <v>49</v>
      </c>
      <c r="G181" s="2" t="s">
        <v>49</v>
      </c>
      <c r="H181" s="2" t="s">
        <v>49</v>
      </c>
      <c r="I181" s="2" t="s">
        <v>49</v>
      </c>
      <c r="J181" s="2" t="s">
        <v>49</v>
      </c>
      <c r="K181" s="2" t="s">
        <v>49</v>
      </c>
      <c r="L181" s="2" t="s">
        <v>49</v>
      </c>
      <c r="M181" s="2" t="s">
        <v>49</v>
      </c>
      <c r="N181" s="2" t="s">
        <v>49</v>
      </c>
      <c r="O181" s="2" t="s">
        <v>49</v>
      </c>
      <c r="P181" s="2" t="s">
        <v>49</v>
      </c>
      <c r="Q181" s="2" t="s">
        <v>49</v>
      </c>
      <c r="R181" s="2" t="s">
        <v>49</v>
      </c>
      <c r="S181" s="2" t="s">
        <v>49</v>
      </c>
      <c r="T181" s="2" t="s">
        <v>49</v>
      </c>
      <c r="U181" s="2" t="s">
        <v>49</v>
      </c>
      <c r="X181" s="2">
        <f t="shared" si="2"/>
        <v>0</v>
      </c>
    </row>
    <row r="182" spans="1:24" ht="14.25" x14ac:dyDescent="0.45">
      <c r="A182" s="2" t="s">
        <v>438</v>
      </c>
      <c r="B182" s="2" t="s">
        <v>437</v>
      </c>
      <c r="C182" s="2">
        <v>2019</v>
      </c>
      <c r="D182" s="2" t="s">
        <v>49</v>
      </c>
      <c r="E182" s="2" t="s">
        <v>49</v>
      </c>
      <c r="F182" s="2" t="s">
        <v>49</v>
      </c>
      <c r="G182" s="2" t="s">
        <v>49</v>
      </c>
      <c r="H182" s="2" t="s">
        <v>49</v>
      </c>
      <c r="I182" s="2" t="s">
        <v>49</v>
      </c>
      <c r="J182" s="2" t="s">
        <v>49</v>
      </c>
      <c r="K182" s="2" t="s">
        <v>49</v>
      </c>
      <c r="L182" s="2" t="s">
        <v>49</v>
      </c>
      <c r="M182" s="2" t="s">
        <v>49</v>
      </c>
      <c r="N182" s="2" t="s">
        <v>49</v>
      </c>
      <c r="O182" s="2" t="s">
        <v>49</v>
      </c>
      <c r="P182" s="2" t="s">
        <v>49</v>
      </c>
      <c r="Q182" s="2" t="s">
        <v>49</v>
      </c>
      <c r="R182" s="2" t="s">
        <v>49</v>
      </c>
      <c r="S182" s="2" t="s">
        <v>49</v>
      </c>
      <c r="T182" s="2" t="s">
        <v>49</v>
      </c>
      <c r="U182" s="2" t="s">
        <v>49</v>
      </c>
      <c r="X182" s="2">
        <f t="shared" si="2"/>
        <v>0</v>
      </c>
    </row>
    <row r="183" spans="1:24" ht="14.25" x14ac:dyDescent="0.45">
      <c r="A183" s="2" t="s">
        <v>432</v>
      </c>
      <c r="B183" s="2" t="s">
        <v>436</v>
      </c>
      <c r="C183" s="2">
        <v>2019</v>
      </c>
      <c r="D183" s="2" t="s">
        <v>49</v>
      </c>
      <c r="E183" s="2" t="s">
        <v>146</v>
      </c>
      <c r="F183" s="2" t="s">
        <v>146</v>
      </c>
      <c r="G183" s="2" t="s">
        <v>146</v>
      </c>
      <c r="H183" s="2" t="s">
        <v>146</v>
      </c>
      <c r="I183" s="2" t="s">
        <v>146</v>
      </c>
      <c r="J183" s="2" t="s">
        <v>49</v>
      </c>
      <c r="K183" s="2" t="s">
        <v>146</v>
      </c>
      <c r="L183" s="2" t="s">
        <v>146</v>
      </c>
      <c r="M183" s="2" t="s">
        <v>146</v>
      </c>
      <c r="N183" s="2" t="s">
        <v>146</v>
      </c>
      <c r="O183" s="2" t="s">
        <v>146</v>
      </c>
      <c r="P183" s="2" t="s">
        <v>49</v>
      </c>
      <c r="Q183" s="2" t="s">
        <v>146</v>
      </c>
      <c r="R183" s="2" t="s">
        <v>146</v>
      </c>
      <c r="S183" s="2" t="s">
        <v>146</v>
      </c>
      <c r="T183" s="2" t="s">
        <v>146</v>
      </c>
      <c r="U183" s="2" t="s">
        <v>146</v>
      </c>
      <c r="X183" s="2">
        <f t="shared" si="2"/>
        <v>0</v>
      </c>
    </row>
    <row r="184" spans="1:24" ht="14.25" x14ac:dyDescent="0.45">
      <c r="A184" s="2" t="s">
        <v>432</v>
      </c>
      <c r="B184" s="2" t="s">
        <v>435</v>
      </c>
      <c r="C184" s="2">
        <v>2019</v>
      </c>
      <c r="D184" s="2" t="s">
        <v>49</v>
      </c>
      <c r="E184" s="2" t="s">
        <v>146</v>
      </c>
      <c r="F184" s="2" t="s">
        <v>146</v>
      </c>
      <c r="G184" s="2" t="s">
        <v>146</v>
      </c>
      <c r="H184" s="2" t="s">
        <v>146</v>
      </c>
      <c r="I184" s="2" t="s">
        <v>146</v>
      </c>
      <c r="J184" s="2" t="s">
        <v>49</v>
      </c>
      <c r="K184" s="2" t="s">
        <v>146</v>
      </c>
      <c r="L184" s="2" t="s">
        <v>146</v>
      </c>
      <c r="M184" s="2" t="s">
        <v>146</v>
      </c>
      <c r="N184" s="2" t="s">
        <v>146</v>
      </c>
      <c r="O184" s="2" t="s">
        <v>146</v>
      </c>
      <c r="P184" s="2" t="s">
        <v>49</v>
      </c>
      <c r="Q184" s="2" t="s">
        <v>146</v>
      </c>
      <c r="R184" s="2" t="s">
        <v>146</v>
      </c>
      <c r="S184" s="2" t="s">
        <v>146</v>
      </c>
      <c r="T184" s="2" t="s">
        <v>146</v>
      </c>
      <c r="U184" s="2" t="s">
        <v>146</v>
      </c>
      <c r="X184" s="2">
        <f t="shared" si="2"/>
        <v>0</v>
      </c>
    </row>
    <row r="185" spans="1:24" ht="14.25" x14ac:dyDescent="0.45">
      <c r="A185" s="2" t="s">
        <v>432</v>
      </c>
      <c r="B185" s="2" t="s">
        <v>434</v>
      </c>
      <c r="C185" s="2">
        <v>2019</v>
      </c>
      <c r="D185" s="2" t="s">
        <v>781</v>
      </c>
      <c r="E185" s="2" t="s">
        <v>736</v>
      </c>
      <c r="F185" s="2">
        <v>1.55</v>
      </c>
      <c r="G185" s="2" t="s">
        <v>146</v>
      </c>
      <c r="H185" s="2" t="s">
        <v>146</v>
      </c>
      <c r="I185" s="2" t="s">
        <v>146</v>
      </c>
      <c r="J185" s="2" t="s">
        <v>49</v>
      </c>
      <c r="K185" s="2" t="s">
        <v>146</v>
      </c>
      <c r="L185" s="2" t="s">
        <v>146</v>
      </c>
      <c r="M185" s="2" t="s">
        <v>146</v>
      </c>
      <c r="N185" s="2" t="s">
        <v>146</v>
      </c>
      <c r="O185" s="2" t="s">
        <v>146</v>
      </c>
      <c r="P185" s="2" t="s">
        <v>49</v>
      </c>
      <c r="Q185" s="2" t="s">
        <v>146</v>
      </c>
      <c r="R185" s="2" t="s">
        <v>146</v>
      </c>
      <c r="S185" s="2" t="s">
        <v>146</v>
      </c>
      <c r="T185" s="2" t="s">
        <v>146</v>
      </c>
      <c r="U185" s="2" t="s">
        <v>146</v>
      </c>
      <c r="X185" s="2">
        <f t="shared" si="2"/>
        <v>0</v>
      </c>
    </row>
    <row r="186" spans="1:24" ht="14.25" x14ac:dyDescent="0.45">
      <c r="A186" s="2" t="s">
        <v>432</v>
      </c>
      <c r="B186" s="2" t="s">
        <v>431</v>
      </c>
      <c r="C186" s="2">
        <v>2019</v>
      </c>
      <c r="D186" s="2" t="s">
        <v>781</v>
      </c>
      <c r="E186" s="2" t="s">
        <v>736</v>
      </c>
      <c r="F186" s="2">
        <v>0.02</v>
      </c>
      <c r="G186" s="2" t="s">
        <v>146</v>
      </c>
      <c r="H186" s="2" t="s">
        <v>146</v>
      </c>
      <c r="I186" s="2" t="s">
        <v>146</v>
      </c>
      <c r="J186" s="2" t="s">
        <v>49</v>
      </c>
      <c r="K186" s="2" t="s">
        <v>146</v>
      </c>
      <c r="L186" s="2" t="s">
        <v>146</v>
      </c>
      <c r="M186" s="2" t="s">
        <v>146</v>
      </c>
      <c r="N186" s="2" t="s">
        <v>146</v>
      </c>
      <c r="O186" s="2" t="s">
        <v>146</v>
      </c>
      <c r="P186" s="2" t="s">
        <v>49</v>
      </c>
      <c r="Q186" s="2" t="s">
        <v>146</v>
      </c>
      <c r="R186" s="2" t="s">
        <v>146</v>
      </c>
      <c r="S186" s="2" t="s">
        <v>146</v>
      </c>
      <c r="T186" s="2" t="s">
        <v>146</v>
      </c>
      <c r="U186" s="2" t="s">
        <v>146</v>
      </c>
      <c r="X186" s="2">
        <f t="shared" si="2"/>
        <v>0</v>
      </c>
    </row>
    <row r="187" spans="1:24" ht="14.25" x14ac:dyDescent="0.45">
      <c r="A187" s="2" t="s">
        <v>428</v>
      </c>
      <c r="B187" s="2" t="s">
        <v>430</v>
      </c>
      <c r="C187" s="2">
        <v>2019</v>
      </c>
      <c r="D187" s="2" t="s">
        <v>49</v>
      </c>
      <c r="E187" s="2" t="s">
        <v>146</v>
      </c>
      <c r="F187" s="2" t="s">
        <v>146</v>
      </c>
      <c r="G187" s="2" t="s">
        <v>146</v>
      </c>
      <c r="H187" s="2" t="s">
        <v>146</v>
      </c>
      <c r="I187" s="2" t="s">
        <v>146</v>
      </c>
      <c r="J187" s="2" t="s">
        <v>49</v>
      </c>
      <c r="K187" s="2" t="s">
        <v>146</v>
      </c>
      <c r="L187" s="2" t="s">
        <v>146</v>
      </c>
      <c r="M187" s="2" t="s">
        <v>146</v>
      </c>
      <c r="N187" s="2" t="s">
        <v>146</v>
      </c>
      <c r="O187" s="2" t="s">
        <v>146</v>
      </c>
      <c r="P187" s="2" t="s">
        <v>49</v>
      </c>
      <c r="Q187" s="2" t="s">
        <v>146</v>
      </c>
      <c r="R187" s="2" t="s">
        <v>146</v>
      </c>
      <c r="S187" s="2" t="s">
        <v>146</v>
      </c>
      <c r="T187" s="2" t="s">
        <v>146</v>
      </c>
      <c r="U187" s="2" t="s">
        <v>146</v>
      </c>
      <c r="X187" s="2">
        <f t="shared" si="2"/>
        <v>0</v>
      </c>
    </row>
    <row r="188" spans="1:24" ht="14.25" x14ac:dyDescent="0.45">
      <c r="A188" s="2" t="s">
        <v>428</v>
      </c>
      <c r="B188" s="2" t="s">
        <v>429</v>
      </c>
      <c r="C188" s="2">
        <v>2019</v>
      </c>
      <c r="D188" s="2" t="s">
        <v>49</v>
      </c>
      <c r="E188" s="2" t="s">
        <v>146</v>
      </c>
      <c r="F188" s="2" t="s">
        <v>146</v>
      </c>
      <c r="G188" s="2" t="s">
        <v>146</v>
      </c>
      <c r="H188" s="2" t="s">
        <v>146</v>
      </c>
      <c r="I188" s="2" t="s">
        <v>146</v>
      </c>
      <c r="J188" s="2" t="s">
        <v>49</v>
      </c>
      <c r="K188" s="2" t="s">
        <v>146</v>
      </c>
      <c r="L188" s="2" t="s">
        <v>146</v>
      </c>
      <c r="M188" s="2" t="s">
        <v>146</v>
      </c>
      <c r="N188" s="2" t="s">
        <v>146</v>
      </c>
      <c r="O188" s="2" t="s">
        <v>146</v>
      </c>
      <c r="P188" s="2" t="s">
        <v>49</v>
      </c>
      <c r="Q188" s="2" t="s">
        <v>146</v>
      </c>
      <c r="R188" s="2" t="s">
        <v>146</v>
      </c>
      <c r="S188" s="2" t="s">
        <v>146</v>
      </c>
      <c r="T188" s="2" t="s">
        <v>146</v>
      </c>
      <c r="U188" s="2" t="s">
        <v>146</v>
      </c>
      <c r="X188" s="2">
        <f t="shared" si="2"/>
        <v>0</v>
      </c>
    </row>
    <row r="189" spans="1:24" ht="14.25" x14ac:dyDescent="0.45">
      <c r="A189" s="2" t="s">
        <v>428</v>
      </c>
      <c r="B189" s="2" t="s">
        <v>427</v>
      </c>
      <c r="C189" s="2">
        <v>2019</v>
      </c>
      <c r="D189" s="2" t="s">
        <v>49</v>
      </c>
      <c r="E189" s="2" t="s">
        <v>49</v>
      </c>
      <c r="F189" s="2" t="s">
        <v>49</v>
      </c>
      <c r="G189" s="2" t="s">
        <v>49</v>
      </c>
      <c r="H189" s="2" t="s">
        <v>49</v>
      </c>
      <c r="I189" s="2" t="s">
        <v>49</v>
      </c>
      <c r="J189" s="2" t="s">
        <v>49</v>
      </c>
      <c r="K189" s="2" t="s">
        <v>49</v>
      </c>
      <c r="L189" s="2" t="s">
        <v>49</v>
      </c>
      <c r="M189" s="2" t="s">
        <v>49</v>
      </c>
      <c r="N189" s="2" t="s">
        <v>49</v>
      </c>
      <c r="O189" s="2" t="s">
        <v>49</v>
      </c>
      <c r="P189" s="2" t="s">
        <v>49</v>
      </c>
      <c r="Q189" s="2" t="s">
        <v>49</v>
      </c>
      <c r="R189" s="2" t="s">
        <v>49</v>
      </c>
      <c r="S189" s="2" t="s">
        <v>49</v>
      </c>
      <c r="T189" s="2" t="s">
        <v>49</v>
      </c>
      <c r="U189" s="2" t="s">
        <v>49</v>
      </c>
      <c r="X189" s="2">
        <f t="shared" si="2"/>
        <v>0</v>
      </c>
    </row>
    <row r="190" spans="1:24" ht="14.25" x14ac:dyDescent="0.45">
      <c r="A190" s="2" t="s">
        <v>418</v>
      </c>
      <c r="B190" s="2" t="s">
        <v>426</v>
      </c>
      <c r="C190" s="2">
        <v>2019</v>
      </c>
      <c r="D190" s="2" t="s">
        <v>49</v>
      </c>
      <c r="E190" s="2" t="s">
        <v>146</v>
      </c>
      <c r="F190" s="2" t="s">
        <v>146</v>
      </c>
      <c r="G190" s="2" t="s">
        <v>146</v>
      </c>
      <c r="H190" s="2" t="s">
        <v>146</v>
      </c>
      <c r="I190" s="2" t="s">
        <v>146</v>
      </c>
      <c r="J190" s="2" t="s">
        <v>49</v>
      </c>
      <c r="K190" s="2" t="s">
        <v>146</v>
      </c>
      <c r="L190" s="2" t="s">
        <v>146</v>
      </c>
      <c r="M190" s="2" t="s">
        <v>146</v>
      </c>
      <c r="N190" s="2" t="s">
        <v>146</v>
      </c>
      <c r="O190" s="2" t="s">
        <v>146</v>
      </c>
      <c r="P190" s="2" t="s">
        <v>49</v>
      </c>
      <c r="Q190" s="2" t="s">
        <v>146</v>
      </c>
      <c r="R190" s="2" t="s">
        <v>146</v>
      </c>
      <c r="S190" s="2" t="s">
        <v>146</v>
      </c>
      <c r="T190" s="2" t="s">
        <v>146</v>
      </c>
      <c r="U190" s="2" t="s">
        <v>146</v>
      </c>
      <c r="X190" s="2">
        <f t="shared" si="2"/>
        <v>0</v>
      </c>
    </row>
    <row r="191" spans="1:24" ht="14.25" x14ac:dyDescent="0.45">
      <c r="A191" s="2" t="s">
        <v>418</v>
      </c>
      <c r="B191" s="2" t="s">
        <v>424</v>
      </c>
      <c r="C191" s="2">
        <v>2019</v>
      </c>
      <c r="D191" s="2" t="s">
        <v>49</v>
      </c>
      <c r="E191" s="2" t="s">
        <v>146</v>
      </c>
      <c r="F191" s="2" t="s">
        <v>146</v>
      </c>
      <c r="G191" s="2" t="s">
        <v>146</v>
      </c>
      <c r="H191" s="2" t="s">
        <v>146</v>
      </c>
      <c r="I191" s="2" t="s">
        <v>146</v>
      </c>
      <c r="J191" s="2" t="s">
        <v>49</v>
      </c>
      <c r="K191" s="2" t="s">
        <v>146</v>
      </c>
      <c r="L191" s="2" t="s">
        <v>146</v>
      </c>
      <c r="M191" s="2" t="s">
        <v>146</v>
      </c>
      <c r="N191" s="2" t="s">
        <v>146</v>
      </c>
      <c r="O191" s="2" t="s">
        <v>146</v>
      </c>
      <c r="P191" s="2" t="s">
        <v>49</v>
      </c>
      <c r="Q191" s="2" t="s">
        <v>146</v>
      </c>
      <c r="R191" s="2" t="s">
        <v>146</v>
      </c>
      <c r="S191" s="2" t="s">
        <v>146</v>
      </c>
      <c r="T191" s="2" t="s">
        <v>146</v>
      </c>
      <c r="U191" s="2" t="s">
        <v>146</v>
      </c>
      <c r="X191" s="2">
        <f t="shared" si="2"/>
        <v>0</v>
      </c>
    </row>
    <row r="192" spans="1:24" ht="14.25" x14ac:dyDescent="0.45">
      <c r="A192" s="2" t="s">
        <v>418</v>
      </c>
      <c r="B192" s="2" t="s">
        <v>423</v>
      </c>
      <c r="C192" s="2">
        <v>2019</v>
      </c>
      <c r="D192" s="2" t="s">
        <v>49</v>
      </c>
      <c r="E192" s="2" t="s">
        <v>146</v>
      </c>
      <c r="F192" s="2" t="s">
        <v>146</v>
      </c>
      <c r="G192" s="2" t="s">
        <v>146</v>
      </c>
      <c r="H192" s="2" t="s">
        <v>146</v>
      </c>
      <c r="I192" s="2" t="s">
        <v>146</v>
      </c>
      <c r="J192" s="2" t="s">
        <v>49</v>
      </c>
      <c r="K192" s="2" t="s">
        <v>146</v>
      </c>
      <c r="L192" s="2" t="s">
        <v>146</v>
      </c>
      <c r="M192" s="2" t="s">
        <v>146</v>
      </c>
      <c r="N192" s="2" t="s">
        <v>146</v>
      </c>
      <c r="O192" s="2" t="s">
        <v>146</v>
      </c>
      <c r="P192" s="2" t="s">
        <v>49</v>
      </c>
      <c r="Q192" s="2" t="s">
        <v>146</v>
      </c>
      <c r="R192" s="2" t="s">
        <v>146</v>
      </c>
      <c r="S192" s="2" t="s">
        <v>146</v>
      </c>
      <c r="T192" s="2" t="s">
        <v>146</v>
      </c>
      <c r="U192" s="2" t="s">
        <v>146</v>
      </c>
      <c r="X192" s="2">
        <f t="shared" si="2"/>
        <v>0</v>
      </c>
    </row>
    <row r="193" spans="1:24" ht="14.25" x14ac:dyDescent="0.45">
      <c r="A193" s="2" t="s">
        <v>418</v>
      </c>
      <c r="B193" s="2" t="s">
        <v>422</v>
      </c>
      <c r="C193" s="2">
        <v>2019</v>
      </c>
      <c r="D193" s="2" t="s">
        <v>49</v>
      </c>
      <c r="E193" s="2" t="s">
        <v>146</v>
      </c>
      <c r="F193" s="2" t="s">
        <v>146</v>
      </c>
      <c r="G193" s="2" t="s">
        <v>146</v>
      </c>
      <c r="H193" s="2" t="s">
        <v>146</v>
      </c>
      <c r="I193" s="2" t="s">
        <v>146</v>
      </c>
      <c r="J193" s="2" t="s">
        <v>49</v>
      </c>
      <c r="K193" s="2" t="s">
        <v>146</v>
      </c>
      <c r="L193" s="2" t="s">
        <v>146</v>
      </c>
      <c r="M193" s="2" t="s">
        <v>146</v>
      </c>
      <c r="N193" s="2" t="s">
        <v>146</v>
      </c>
      <c r="O193" s="2" t="s">
        <v>146</v>
      </c>
      <c r="P193" s="2" t="s">
        <v>49</v>
      </c>
      <c r="Q193" s="2" t="s">
        <v>146</v>
      </c>
      <c r="R193" s="2" t="s">
        <v>146</v>
      </c>
      <c r="S193" s="2" t="s">
        <v>146</v>
      </c>
      <c r="T193" s="2" t="s">
        <v>146</v>
      </c>
      <c r="U193" s="2" t="s">
        <v>146</v>
      </c>
      <c r="X193" s="2">
        <f t="shared" si="2"/>
        <v>0</v>
      </c>
    </row>
    <row r="194" spans="1:24" ht="14.25" x14ac:dyDescent="0.45">
      <c r="A194" s="2" t="s">
        <v>418</v>
      </c>
      <c r="B194" s="2" t="s">
        <v>1181</v>
      </c>
      <c r="C194" s="2">
        <v>2019</v>
      </c>
      <c r="D194" s="2" t="s">
        <v>49</v>
      </c>
      <c r="E194" s="2" t="s">
        <v>146</v>
      </c>
      <c r="F194" s="2" t="s">
        <v>146</v>
      </c>
      <c r="G194" s="2" t="s">
        <v>146</v>
      </c>
      <c r="H194" s="2" t="s">
        <v>146</v>
      </c>
      <c r="I194" s="2" t="s">
        <v>146</v>
      </c>
      <c r="J194" s="2" t="s">
        <v>49</v>
      </c>
      <c r="K194" s="2" t="s">
        <v>146</v>
      </c>
      <c r="L194" s="2" t="s">
        <v>146</v>
      </c>
      <c r="M194" s="2" t="s">
        <v>146</v>
      </c>
      <c r="N194" s="2" t="s">
        <v>146</v>
      </c>
      <c r="O194" s="2" t="s">
        <v>146</v>
      </c>
      <c r="P194" s="2" t="s">
        <v>49</v>
      </c>
      <c r="Q194" s="2" t="s">
        <v>146</v>
      </c>
      <c r="R194" s="2" t="s">
        <v>146</v>
      </c>
      <c r="S194" s="2" t="s">
        <v>146</v>
      </c>
      <c r="T194" s="2" t="s">
        <v>146</v>
      </c>
      <c r="U194" s="2" t="s">
        <v>146</v>
      </c>
      <c r="X194" s="2">
        <f t="shared" si="2"/>
        <v>0</v>
      </c>
    </row>
    <row r="195" spans="1:24" ht="14.25" x14ac:dyDescent="0.45">
      <c r="A195" s="2" t="s">
        <v>418</v>
      </c>
      <c r="B195" s="2" t="s">
        <v>97</v>
      </c>
      <c r="C195" s="2">
        <v>2019</v>
      </c>
      <c r="D195" s="2" t="s">
        <v>49</v>
      </c>
      <c r="E195" s="2" t="s">
        <v>146</v>
      </c>
      <c r="F195" s="2" t="s">
        <v>146</v>
      </c>
      <c r="G195" s="2" t="s">
        <v>146</v>
      </c>
      <c r="H195" s="2" t="s">
        <v>146</v>
      </c>
      <c r="I195" s="2" t="s">
        <v>146</v>
      </c>
      <c r="J195" s="2" t="s">
        <v>49</v>
      </c>
      <c r="K195" s="2" t="s">
        <v>146</v>
      </c>
      <c r="L195" s="2" t="s">
        <v>146</v>
      </c>
      <c r="M195" s="2" t="s">
        <v>146</v>
      </c>
      <c r="N195" s="2" t="s">
        <v>146</v>
      </c>
      <c r="O195" s="2" t="s">
        <v>146</v>
      </c>
      <c r="P195" s="2" t="s">
        <v>49</v>
      </c>
      <c r="Q195" s="2" t="s">
        <v>146</v>
      </c>
      <c r="R195" s="2" t="s">
        <v>146</v>
      </c>
      <c r="S195" s="2" t="s">
        <v>146</v>
      </c>
      <c r="T195" s="2" t="s">
        <v>146</v>
      </c>
      <c r="U195" s="2" t="s">
        <v>146</v>
      </c>
      <c r="X195" s="2">
        <f t="shared" ref="X195:X258" si="3">(IF(E195="Avfall",F195,0)+IF(G195="Avfall",H195,0))/IFERROR(I195/100,0.85)+(IF(K195="Avfall",L195,0)+IF(M195="Avfall",N195,0))/IFERROR(O195/100,0.85)+(IF(Q195="avfall",R195,0)+IF(S195="avfall",T195,0))/IFERROR(U195/100,0.85)</f>
        <v>0</v>
      </c>
    </row>
    <row r="196" spans="1:24" ht="14.25" x14ac:dyDescent="0.45">
      <c r="A196" s="2" t="s">
        <v>418</v>
      </c>
      <c r="B196" s="2" t="s">
        <v>99</v>
      </c>
      <c r="C196" s="2">
        <v>2019</v>
      </c>
      <c r="D196" s="2" t="s">
        <v>49</v>
      </c>
      <c r="E196" s="2" t="s">
        <v>146</v>
      </c>
      <c r="F196" s="2" t="s">
        <v>146</v>
      </c>
      <c r="G196" s="2" t="s">
        <v>146</v>
      </c>
      <c r="H196" s="2" t="s">
        <v>146</v>
      </c>
      <c r="I196" s="2" t="s">
        <v>146</v>
      </c>
      <c r="J196" s="2" t="s">
        <v>49</v>
      </c>
      <c r="K196" s="2" t="s">
        <v>146</v>
      </c>
      <c r="L196" s="2" t="s">
        <v>146</v>
      </c>
      <c r="M196" s="2" t="s">
        <v>146</v>
      </c>
      <c r="N196" s="2" t="s">
        <v>146</v>
      </c>
      <c r="O196" s="2" t="s">
        <v>146</v>
      </c>
      <c r="P196" s="2" t="s">
        <v>49</v>
      </c>
      <c r="Q196" s="2" t="s">
        <v>146</v>
      </c>
      <c r="R196" s="2" t="s">
        <v>146</v>
      </c>
      <c r="S196" s="2" t="s">
        <v>146</v>
      </c>
      <c r="T196" s="2" t="s">
        <v>146</v>
      </c>
      <c r="U196" s="2" t="s">
        <v>146</v>
      </c>
      <c r="X196" s="2">
        <f t="shared" si="3"/>
        <v>0</v>
      </c>
    </row>
    <row r="197" spans="1:24" ht="14.25" x14ac:dyDescent="0.45">
      <c r="A197" s="2" t="s">
        <v>418</v>
      </c>
      <c r="B197" s="2" t="s">
        <v>421</v>
      </c>
      <c r="C197" s="2">
        <v>2019</v>
      </c>
      <c r="D197" s="2" t="s">
        <v>49</v>
      </c>
      <c r="E197" s="2" t="s">
        <v>146</v>
      </c>
      <c r="F197" s="2" t="s">
        <v>146</v>
      </c>
      <c r="G197" s="2" t="s">
        <v>146</v>
      </c>
      <c r="H197" s="2" t="s">
        <v>146</v>
      </c>
      <c r="I197" s="2" t="s">
        <v>146</v>
      </c>
      <c r="J197" s="2" t="s">
        <v>49</v>
      </c>
      <c r="K197" s="2" t="s">
        <v>146</v>
      </c>
      <c r="L197" s="2" t="s">
        <v>146</v>
      </c>
      <c r="M197" s="2" t="s">
        <v>146</v>
      </c>
      <c r="N197" s="2" t="s">
        <v>146</v>
      </c>
      <c r="O197" s="2" t="s">
        <v>146</v>
      </c>
      <c r="P197" s="2" t="s">
        <v>49</v>
      </c>
      <c r="Q197" s="2" t="s">
        <v>146</v>
      </c>
      <c r="R197" s="2" t="s">
        <v>146</v>
      </c>
      <c r="S197" s="2" t="s">
        <v>146</v>
      </c>
      <c r="T197" s="2" t="s">
        <v>146</v>
      </c>
      <c r="U197" s="2" t="s">
        <v>146</v>
      </c>
      <c r="X197" s="2">
        <f t="shared" si="3"/>
        <v>0</v>
      </c>
    </row>
    <row r="198" spans="1:24" ht="14.25" x14ac:dyDescent="0.45">
      <c r="A198" s="2" t="s">
        <v>418</v>
      </c>
      <c r="B198" s="2" t="s">
        <v>101</v>
      </c>
      <c r="C198" s="2">
        <v>2019</v>
      </c>
      <c r="D198" s="2" t="s">
        <v>49</v>
      </c>
      <c r="E198" s="2" t="s">
        <v>146</v>
      </c>
      <c r="F198" s="2" t="s">
        <v>146</v>
      </c>
      <c r="G198" s="2" t="s">
        <v>146</v>
      </c>
      <c r="H198" s="2" t="s">
        <v>146</v>
      </c>
      <c r="I198" s="2" t="s">
        <v>146</v>
      </c>
      <c r="J198" s="2" t="s">
        <v>49</v>
      </c>
      <c r="K198" s="2" t="s">
        <v>146</v>
      </c>
      <c r="L198" s="2" t="s">
        <v>146</v>
      </c>
      <c r="M198" s="2" t="s">
        <v>146</v>
      </c>
      <c r="N198" s="2" t="s">
        <v>146</v>
      </c>
      <c r="O198" s="2" t="s">
        <v>146</v>
      </c>
      <c r="P198" s="2" t="s">
        <v>49</v>
      </c>
      <c r="Q198" s="2" t="s">
        <v>146</v>
      </c>
      <c r="R198" s="2" t="s">
        <v>146</v>
      </c>
      <c r="S198" s="2" t="s">
        <v>146</v>
      </c>
      <c r="T198" s="2" t="s">
        <v>146</v>
      </c>
      <c r="U198" s="2" t="s">
        <v>146</v>
      </c>
      <c r="X198" s="2">
        <f t="shared" si="3"/>
        <v>0</v>
      </c>
    </row>
    <row r="199" spans="1:24" ht="14.25" x14ac:dyDescent="0.45">
      <c r="A199" s="2" t="s">
        <v>418</v>
      </c>
      <c r="B199" s="2" t="s">
        <v>103</v>
      </c>
      <c r="C199" s="2">
        <v>2019</v>
      </c>
      <c r="D199" s="2" t="s">
        <v>49</v>
      </c>
      <c r="E199" s="2" t="s">
        <v>146</v>
      </c>
      <c r="F199" s="2" t="s">
        <v>146</v>
      </c>
      <c r="G199" s="2" t="s">
        <v>146</v>
      </c>
      <c r="H199" s="2" t="s">
        <v>146</v>
      </c>
      <c r="I199" s="2" t="s">
        <v>146</v>
      </c>
      <c r="J199" s="2" t="s">
        <v>49</v>
      </c>
      <c r="K199" s="2" t="s">
        <v>146</v>
      </c>
      <c r="L199" s="2" t="s">
        <v>146</v>
      </c>
      <c r="M199" s="2" t="s">
        <v>146</v>
      </c>
      <c r="N199" s="2" t="s">
        <v>146</v>
      </c>
      <c r="O199" s="2" t="s">
        <v>146</v>
      </c>
      <c r="P199" s="2" t="s">
        <v>49</v>
      </c>
      <c r="Q199" s="2" t="s">
        <v>146</v>
      </c>
      <c r="R199" s="2" t="s">
        <v>146</v>
      </c>
      <c r="S199" s="2" t="s">
        <v>146</v>
      </c>
      <c r="T199" s="2" t="s">
        <v>146</v>
      </c>
      <c r="U199" s="2" t="s">
        <v>146</v>
      </c>
      <c r="X199" s="2">
        <f t="shared" si="3"/>
        <v>0</v>
      </c>
    </row>
    <row r="200" spans="1:24" ht="14.25" x14ac:dyDescent="0.45">
      <c r="A200" s="2" t="s">
        <v>418</v>
      </c>
      <c r="B200" s="2" t="s">
        <v>105</v>
      </c>
      <c r="C200" s="2">
        <v>2019</v>
      </c>
      <c r="D200" s="2" t="s">
        <v>49</v>
      </c>
      <c r="E200" s="2" t="s">
        <v>146</v>
      </c>
      <c r="F200" s="2" t="s">
        <v>146</v>
      </c>
      <c r="G200" s="2" t="s">
        <v>146</v>
      </c>
      <c r="H200" s="2" t="s">
        <v>146</v>
      </c>
      <c r="I200" s="2" t="s">
        <v>146</v>
      </c>
      <c r="J200" s="2" t="s">
        <v>49</v>
      </c>
      <c r="K200" s="2" t="s">
        <v>146</v>
      </c>
      <c r="L200" s="2" t="s">
        <v>146</v>
      </c>
      <c r="M200" s="2" t="s">
        <v>146</v>
      </c>
      <c r="N200" s="2" t="s">
        <v>146</v>
      </c>
      <c r="O200" s="2" t="s">
        <v>146</v>
      </c>
      <c r="P200" s="2" t="s">
        <v>49</v>
      </c>
      <c r="Q200" s="2" t="s">
        <v>146</v>
      </c>
      <c r="R200" s="2" t="s">
        <v>146</v>
      </c>
      <c r="S200" s="2" t="s">
        <v>146</v>
      </c>
      <c r="T200" s="2" t="s">
        <v>146</v>
      </c>
      <c r="U200" s="2" t="s">
        <v>146</v>
      </c>
      <c r="X200" s="2">
        <f t="shared" si="3"/>
        <v>0</v>
      </c>
    </row>
    <row r="201" spans="1:24" ht="14.25" x14ac:dyDescent="0.45">
      <c r="A201" s="2" t="s">
        <v>418</v>
      </c>
      <c r="B201" s="2" t="s">
        <v>1183</v>
      </c>
      <c r="C201" s="2">
        <v>2019</v>
      </c>
      <c r="D201" s="2" t="s">
        <v>49</v>
      </c>
      <c r="E201" s="2" t="s">
        <v>146</v>
      </c>
      <c r="F201" s="2" t="s">
        <v>146</v>
      </c>
      <c r="G201" s="2" t="s">
        <v>146</v>
      </c>
      <c r="H201" s="2" t="s">
        <v>146</v>
      </c>
      <c r="I201" s="2" t="s">
        <v>146</v>
      </c>
      <c r="J201" s="2" t="s">
        <v>49</v>
      </c>
      <c r="K201" s="2" t="s">
        <v>146</v>
      </c>
      <c r="L201" s="2" t="s">
        <v>146</v>
      </c>
      <c r="M201" s="2" t="s">
        <v>146</v>
      </c>
      <c r="N201" s="2" t="s">
        <v>146</v>
      </c>
      <c r="O201" s="2" t="s">
        <v>146</v>
      </c>
      <c r="P201" s="2" t="s">
        <v>49</v>
      </c>
      <c r="Q201" s="2" t="s">
        <v>146</v>
      </c>
      <c r="R201" s="2" t="s">
        <v>146</v>
      </c>
      <c r="S201" s="2" t="s">
        <v>146</v>
      </c>
      <c r="T201" s="2" t="s">
        <v>146</v>
      </c>
      <c r="U201" s="2" t="s">
        <v>146</v>
      </c>
      <c r="X201" s="2">
        <f t="shared" si="3"/>
        <v>0</v>
      </c>
    </row>
    <row r="202" spans="1:24" ht="14.25" x14ac:dyDescent="0.45">
      <c r="A202" s="2" t="s">
        <v>418</v>
      </c>
      <c r="B202" s="2" t="s">
        <v>107</v>
      </c>
      <c r="C202" s="2">
        <v>2019</v>
      </c>
      <c r="D202" s="2" t="s">
        <v>780</v>
      </c>
      <c r="E202" s="2" t="s">
        <v>734</v>
      </c>
      <c r="F202" s="2">
        <v>13.05</v>
      </c>
      <c r="G202" s="2" t="s">
        <v>747</v>
      </c>
      <c r="H202" s="2">
        <v>1.0569999999999999</v>
      </c>
      <c r="I202" s="2">
        <v>90</v>
      </c>
      <c r="J202" s="2" t="s">
        <v>49</v>
      </c>
      <c r="K202" s="2" t="s">
        <v>146</v>
      </c>
      <c r="L202" s="2" t="s">
        <v>146</v>
      </c>
      <c r="M202" s="2" t="s">
        <v>146</v>
      </c>
      <c r="N202" s="2" t="s">
        <v>146</v>
      </c>
      <c r="O202" s="2" t="s">
        <v>146</v>
      </c>
      <c r="P202" s="2" t="s">
        <v>49</v>
      </c>
      <c r="Q202" s="2" t="s">
        <v>146</v>
      </c>
      <c r="R202" s="2" t="s">
        <v>146</v>
      </c>
      <c r="S202" s="2" t="s">
        <v>146</v>
      </c>
      <c r="T202" s="2" t="s">
        <v>146</v>
      </c>
      <c r="U202" s="2" t="s">
        <v>146</v>
      </c>
      <c r="X202" s="2">
        <f t="shared" si="3"/>
        <v>0</v>
      </c>
    </row>
    <row r="203" spans="1:24" ht="14.25" x14ac:dyDescent="0.45">
      <c r="A203" s="2" t="s">
        <v>418</v>
      </c>
      <c r="B203" s="2" t="s">
        <v>420</v>
      </c>
      <c r="C203" s="2">
        <v>2019</v>
      </c>
      <c r="D203" s="2" t="s">
        <v>49</v>
      </c>
      <c r="E203" s="2" t="s">
        <v>146</v>
      </c>
      <c r="F203" s="2" t="s">
        <v>146</v>
      </c>
      <c r="G203" s="2" t="s">
        <v>146</v>
      </c>
      <c r="H203" s="2" t="s">
        <v>146</v>
      </c>
      <c r="I203" s="2" t="s">
        <v>146</v>
      </c>
      <c r="J203" s="2" t="s">
        <v>49</v>
      </c>
      <c r="K203" s="2" t="s">
        <v>146</v>
      </c>
      <c r="L203" s="2" t="s">
        <v>146</v>
      </c>
      <c r="M203" s="2" t="s">
        <v>146</v>
      </c>
      <c r="N203" s="2" t="s">
        <v>146</v>
      </c>
      <c r="O203" s="2" t="s">
        <v>146</v>
      </c>
      <c r="P203" s="2" t="s">
        <v>49</v>
      </c>
      <c r="Q203" s="2" t="s">
        <v>146</v>
      </c>
      <c r="R203" s="2" t="s">
        <v>146</v>
      </c>
      <c r="S203" s="2" t="s">
        <v>146</v>
      </c>
      <c r="T203" s="2" t="s">
        <v>146</v>
      </c>
      <c r="U203" s="2" t="s">
        <v>146</v>
      </c>
      <c r="X203" s="2">
        <f t="shared" si="3"/>
        <v>0</v>
      </c>
    </row>
    <row r="204" spans="1:24" ht="14.25" x14ac:dyDescent="0.45">
      <c r="A204" s="2" t="s">
        <v>418</v>
      </c>
      <c r="B204" s="2" t="s">
        <v>419</v>
      </c>
      <c r="C204" s="2">
        <v>2019</v>
      </c>
      <c r="D204" s="2" t="s">
        <v>49</v>
      </c>
      <c r="E204" s="2" t="s">
        <v>146</v>
      </c>
      <c r="F204" s="2" t="s">
        <v>146</v>
      </c>
      <c r="G204" s="2" t="s">
        <v>146</v>
      </c>
      <c r="H204" s="2" t="s">
        <v>146</v>
      </c>
      <c r="I204" s="2" t="s">
        <v>146</v>
      </c>
      <c r="J204" s="2" t="s">
        <v>49</v>
      </c>
      <c r="K204" s="2" t="s">
        <v>146</v>
      </c>
      <c r="L204" s="2" t="s">
        <v>146</v>
      </c>
      <c r="M204" s="2" t="s">
        <v>146</v>
      </c>
      <c r="N204" s="2" t="s">
        <v>146</v>
      </c>
      <c r="O204" s="2" t="s">
        <v>146</v>
      </c>
      <c r="P204" s="2" t="s">
        <v>49</v>
      </c>
      <c r="Q204" s="2" t="s">
        <v>146</v>
      </c>
      <c r="R204" s="2" t="s">
        <v>146</v>
      </c>
      <c r="S204" s="2" t="s">
        <v>146</v>
      </c>
      <c r="T204" s="2" t="s">
        <v>146</v>
      </c>
      <c r="U204" s="2" t="s">
        <v>146</v>
      </c>
      <c r="X204" s="2">
        <f t="shared" si="3"/>
        <v>0</v>
      </c>
    </row>
    <row r="205" spans="1:24" ht="14.25" x14ac:dyDescent="0.45">
      <c r="A205" s="2" t="s">
        <v>418</v>
      </c>
      <c r="B205" s="2" t="s">
        <v>109</v>
      </c>
      <c r="C205" s="2">
        <v>2019</v>
      </c>
      <c r="D205" s="2" t="s">
        <v>49</v>
      </c>
      <c r="E205" s="2" t="s">
        <v>146</v>
      </c>
      <c r="F205" s="2" t="s">
        <v>146</v>
      </c>
      <c r="G205" s="2" t="s">
        <v>146</v>
      </c>
      <c r="H205" s="2" t="s">
        <v>146</v>
      </c>
      <c r="I205" s="2" t="s">
        <v>146</v>
      </c>
      <c r="J205" s="2" t="s">
        <v>49</v>
      </c>
      <c r="K205" s="2" t="s">
        <v>146</v>
      </c>
      <c r="L205" s="2" t="s">
        <v>146</v>
      </c>
      <c r="M205" s="2" t="s">
        <v>146</v>
      </c>
      <c r="N205" s="2" t="s">
        <v>146</v>
      </c>
      <c r="O205" s="2" t="s">
        <v>146</v>
      </c>
      <c r="P205" s="2" t="s">
        <v>49</v>
      </c>
      <c r="Q205" s="2" t="s">
        <v>146</v>
      </c>
      <c r="R205" s="2" t="s">
        <v>146</v>
      </c>
      <c r="S205" s="2" t="s">
        <v>146</v>
      </c>
      <c r="T205" s="2" t="s">
        <v>146</v>
      </c>
      <c r="U205" s="2" t="s">
        <v>146</v>
      </c>
      <c r="X205" s="2">
        <f t="shared" si="3"/>
        <v>0</v>
      </c>
    </row>
    <row r="206" spans="1:24" ht="14.25" x14ac:dyDescent="0.45">
      <c r="A206" s="2" t="s">
        <v>416</v>
      </c>
      <c r="B206" s="2" t="s">
        <v>417</v>
      </c>
      <c r="C206" s="2">
        <v>2019</v>
      </c>
      <c r="D206" s="2" t="s">
        <v>770</v>
      </c>
      <c r="E206" s="2" t="s">
        <v>734</v>
      </c>
      <c r="F206" s="2">
        <v>4.7009999999999996</v>
      </c>
      <c r="G206" s="2" t="s">
        <v>146</v>
      </c>
      <c r="H206" s="2" t="s">
        <v>146</v>
      </c>
      <c r="I206" s="2" t="s">
        <v>146</v>
      </c>
      <c r="J206" s="2" t="s">
        <v>49</v>
      </c>
      <c r="K206" s="2" t="s">
        <v>146</v>
      </c>
      <c r="L206" s="2" t="s">
        <v>146</v>
      </c>
      <c r="M206" s="2" t="s">
        <v>146</v>
      </c>
      <c r="N206" s="2" t="s">
        <v>146</v>
      </c>
      <c r="O206" s="2" t="s">
        <v>146</v>
      </c>
      <c r="P206" s="2" t="s">
        <v>49</v>
      </c>
      <c r="Q206" s="2" t="s">
        <v>146</v>
      </c>
      <c r="R206" s="2" t="s">
        <v>146</v>
      </c>
      <c r="S206" s="2" t="s">
        <v>146</v>
      </c>
      <c r="T206" s="2" t="s">
        <v>146</v>
      </c>
      <c r="U206" s="2" t="s">
        <v>146</v>
      </c>
      <c r="X206" s="2">
        <f t="shared" si="3"/>
        <v>0</v>
      </c>
    </row>
    <row r="207" spans="1:24" ht="14.25" x14ac:dyDescent="0.45">
      <c r="A207" s="2" t="s">
        <v>416</v>
      </c>
      <c r="B207" s="2" t="s">
        <v>415</v>
      </c>
      <c r="C207" s="2">
        <v>2019</v>
      </c>
      <c r="D207" s="2" t="s">
        <v>49</v>
      </c>
      <c r="E207" s="2" t="s">
        <v>146</v>
      </c>
      <c r="F207" s="2" t="s">
        <v>146</v>
      </c>
      <c r="G207" s="2" t="s">
        <v>146</v>
      </c>
      <c r="H207" s="2" t="s">
        <v>146</v>
      </c>
      <c r="I207" s="2" t="s">
        <v>146</v>
      </c>
      <c r="J207" s="2" t="s">
        <v>49</v>
      </c>
      <c r="K207" s="2" t="s">
        <v>146</v>
      </c>
      <c r="L207" s="2" t="s">
        <v>146</v>
      </c>
      <c r="M207" s="2" t="s">
        <v>146</v>
      </c>
      <c r="N207" s="2" t="s">
        <v>146</v>
      </c>
      <c r="O207" s="2" t="s">
        <v>146</v>
      </c>
      <c r="P207" s="2" t="s">
        <v>49</v>
      </c>
      <c r="Q207" s="2" t="s">
        <v>146</v>
      </c>
      <c r="R207" s="2" t="s">
        <v>146</v>
      </c>
      <c r="S207" s="2" t="s">
        <v>146</v>
      </c>
      <c r="T207" s="2" t="s">
        <v>146</v>
      </c>
      <c r="U207" s="2" t="s">
        <v>146</v>
      </c>
      <c r="X207" s="2">
        <f t="shared" si="3"/>
        <v>0</v>
      </c>
    </row>
    <row r="208" spans="1:24" ht="14.25" x14ac:dyDescent="0.45">
      <c r="A208" s="2" t="s">
        <v>413</v>
      </c>
      <c r="B208" s="2" t="s">
        <v>414</v>
      </c>
      <c r="C208" s="2">
        <v>2019</v>
      </c>
      <c r="D208" s="2" t="s">
        <v>49</v>
      </c>
      <c r="E208" s="2" t="s">
        <v>146</v>
      </c>
      <c r="F208" s="2" t="s">
        <v>146</v>
      </c>
      <c r="G208" s="2" t="s">
        <v>146</v>
      </c>
      <c r="H208" s="2" t="s">
        <v>146</v>
      </c>
      <c r="I208" s="2" t="s">
        <v>146</v>
      </c>
      <c r="J208" s="2" t="s">
        <v>49</v>
      </c>
      <c r="K208" s="2" t="s">
        <v>146</v>
      </c>
      <c r="L208" s="2" t="s">
        <v>146</v>
      </c>
      <c r="M208" s="2" t="s">
        <v>146</v>
      </c>
      <c r="N208" s="2" t="s">
        <v>146</v>
      </c>
      <c r="O208" s="2" t="s">
        <v>146</v>
      </c>
      <c r="P208" s="2" t="s">
        <v>49</v>
      </c>
      <c r="Q208" s="2" t="s">
        <v>146</v>
      </c>
      <c r="R208" s="2" t="s">
        <v>146</v>
      </c>
      <c r="S208" s="2" t="s">
        <v>146</v>
      </c>
      <c r="T208" s="2" t="s">
        <v>146</v>
      </c>
      <c r="U208" s="2" t="s">
        <v>146</v>
      </c>
      <c r="X208" s="2">
        <f t="shared" si="3"/>
        <v>0</v>
      </c>
    </row>
    <row r="209" spans="1:24" ht="14.25" x14ac:dyDescent="0.45">
      <c r="A209" s="2" t="s">
        <v>413</v>
      </c>
      <c r="B209" s="2" t="s">
        <v>412</v>
      </c>
      <c r="C209" s="2">
        <v>2019</v>
      </c>
      <c r="D209" s="2" t="s">
        <v>779</v>
      </c>
      <c r="E209" s="2" t="s">
        <v>734</v>
      </c>
      <c r="F209" s="2">
        <v>2.5</v>
      </c>
      <c r="G209" s="2" t="s">
        <v>146</v>
      </c>
      <c r="H209" s="2" t="s">
        <v>146</v>
      </c>
      <c r="I209" s="2" t="s">
        <v>146</v>
      </c>
      <c r="J209" s="2" t="s">
        <v>49</v>
      </c>
      <c r="K209" s="2" t="s">
        <v>146</v>
      </c>
      <c r="L209" s="2" t="s">
        <v>146</v>
      </c>
      <c r="M209" s="2" t="s">
        <v>146</v>
      </c>
      <c r="N209" s="2" t="s">
        <v>146</v>
      </c>
      <c r="O209" s="2" t="s">
        <v>146</v>
      </c>
      <c r="P209" s="2" t="s">
        <v>49</v>
      </c>
      <c r="Q209" s="2" t="s">
        <v>146</v>
      </c>
      <c r="R209" s="2" t="s">
        <v>146</v>
      </c>
      <c r="S209" s="2" t="s">
        <v>146</v>
      </c>
      <c r="T209" s="2" t="s">
        <v>146</v>
      </c>
      <c r="U209" s="2" t="s">
        <v>146</v>
      </c>
      <c r="X209" s="2">
        <f t="shared" si="3"/>
        <v>0</v>
      </c>
    </row>
    <row r="210" spans="1:24" ht="14.25" x14ac:dyDescent="0.45">
      <c r="A210" s="2" t="s">
        <v>411</v>
      </c>
      <c r="B210" s="2" t="s">
        <v>410</v>
      </c>
      <c r="C210" s="2">
        <v>2019</v>
      </c>
      <c r="D210" s="2" t="s">
        <v>49</v>
      </c>
      <c r="E210" s="2" t="s">
        <v>146</v>
      </c>
      <c r="F210" s="2" t="s">
        <v>146</v>
      </c>
      <c r="G210" s="2" t="s">
        <v>146</v>
      </c>
      <c r="H210" s="2" t="s">
        <v>146</v>
      </c>
      <c r="I210" s="2" t="s">
        <v>146</v>
      </c>
      <c r="J210" s="2" t="s">
        <v>49</v>
      </c>
      <c r="K210" s="2" t="s">
        <v>146</v>
      </c>
      <c r="L210" s="2" t="s">
        <v>146</v>
      </c>
      <c r="M210" s="2" t="s">
        <v>146</v>
      </c>
      <c r="N210" s="2" t="s">
        <v>146</v>
      </c>
      <c r="O210" s="2" t="s">
        <v>146</v>
      </c>
      <c r="P210" s="2" t="s">
        <v>49</v>
      </c>
      <c r="Q210" s="2" t="s">
        <v>146</v>
      </c>
      <c r="R210" s="2" t="s">
        <v>146</v>
      </c>
      <c r="S210" s="2" t="s">
        <v>146</v>
      </c>
      <c r="T210" s="2" t="s">
        <v>146</v>
      </c>
      <c r="U210" s="2" t="s">
        <v>146</v>
      </c>
      <c r="X210" s="2">
        <f t="shared" si="3"/>
        <v>0</v>
      </c>
    </row>
    <row r="211" spans="1:24" ht="14.25" x14ac:dyDescent="0.45">
      <c r="A211" s="2" t="s">
        <v>111</v>
      </c>
      <c r="B211" s="2" t="s">
        <v>409</v>
      </c>
      <c r="C211" s="2">
        <v>2019</v>
      </c>
      <c r="D211" s="2" t="s">
        <v>146</v>
      </c>
      <c r="E211" s="2" t="s">
        <v>146</v>
      </c>
      <c r="F211" s="2" t="s">
        <v>146</v>
      </c>
      <c r="G211" s="2" t="s">
        <v>146</v>
      </c>
      <c r="H211" s="2" t="s">
        <v>146</v>
      </c>
      <c r="I211" s="2" t="s">
        <v>146</v>
      </c>
      <c r="J211" s="2" t="s">
        <v>146</v>
      </c>
      <c r="K211" s="2" t="s">
        <v>146</v>
      </c>
      <c r="L211" s="2" t="s">
        <v>146</v>
      </c>
      <c r="M211" s="2" t="s">
        <v>146</v>
      </c>
      <c r="N211" s="2" t="s">
        <v>146</v>
      </c>
      <c r="O211" s="2" t="s">
        <v>146</v>
      </c>
      <c r="P211" s="2" t="s">
        <v>146</v>
      </c>
      <c r="Q211" s="2" t="s">
        <v>146</v>
      </c>
      <c r="R211" s="2" t="s">
        <v>146</v>
      </c>
      <c r="S211" s="2" t="s">
        <v>146</v>
      </c>
      <c r="T211" s="2" t="s">
        <v>146</v>
      </c>
      <c r="U211" s="2" t="s">
        <v>146</v>
      </c>
      <c r="X211" s="2">
        <f t="shared" si="3"/>
        <v>0</v>
      </c>
    </row>
    <row r="212" spans="1:24" ht="14.25" x14ac:dyDescent="0.45">
      <c r="A212" s="2" t="s">
        <v>406</v>
      </c>
      <c r="B212" s="2" t="s">
        <v>408</v>
      </c>
      <c r="C212" s="2">
        <v>2019</v>
      </c>
      <c r="D212" s="2" t="s">
        <v>49</v>
      </c>
      <c r="E212" s="2" t="s">
        <v>146</v>
      </c>
      <c r="F212" s="2" t="s">
        <v>146</v>
      </c>
      <c r="G212" s="2" t="s">
        <v>146</v>
      </c>
      <c r="H212" s="2" t="s">
        <v>146</v>
      </c>
      <c r="I212" s="2" t="s">
        <v>146</v>
      </c>
      <c r="J212" s="2" t="s">
        <v>49</v>
      </c>
      <c r="K212" s="2" t="s">
        <v>146</v>
      </c>
      <c r="L212" s="2" t="s">
        <v>146</v>
      </c>
      <c r="M212" s="2" t="s">
        <v>146</v>
      </c>
      <c r="N212" s="2" t="s">
        <v>146</v>
      </c>
      <c r="O212" s="2" t="s">
        <v>146</v>
      </c>
      <c r="P212" s="2" t="s">
        <v>49</v>
      </c>
      <c r="Q212" s="2" t="s">
        <v>146</v>
      </c>
      <c r="R212" s="2" t="s">
        <v>146</v>
      </c>
      <c r="S212" s="2" t="s">
        <v>146</v>
      </c>
      <c r="T212" s="2" t="s">
        <v>146</v>
      </c>
      <c r="U212" s="2" t="s">
        <v>146</v>
      </c>
      <c r="X212" s="2">
        <f t="shared" si="3"/>
        <v>0</v>
      </c>
    </row>
    <row r="213" spans="1:24" ht="14.25" x14ac:dyDescent="0.45">
      <c r="A213" s="2" t="s">
        <v>406</v>
      </c>
      <c r="B213" s="2" t="s">
        <v>407</v>
      </c>
      <c r="C213" s="2">
        <v>2019</v>
      </c>
      <c r="D213" s="2" t="s">
        <v>49</v>
      </c>
      <c r="E213" s="2" t="s">
        <v>146</v>
      </c>
      <c r="F213" s="2" t="s">
        <v>146</v>
      </c>
      <c r="G213" s="2" t="s">
        <v>146</v>
      </c>
      <c r="H213" s="2" t="s">
        <v>146</v>
      </c>
      <c r="I213" s="2" t="s">
        <v>146</v>
      </c>
      <c r="J213" s="2" t="s">
        <v>49</v>
      </c>
      <c r="K213" s="2" t="s">
        <v>146</v>
      </c>
      <c r="L213" s="2" t="s">
        <v>146</v>
      </c>
      <c r="M213" s="2" t="s">
        <v>146</v>
      </c>
      <c r="N213" s="2" t="s">
        <v>146</v>
      </c>
      <c r="O213" s="2" t="s">
        <v>146</v>
      </c>
      <c r="P213" s="2" t="s">
        <v>49</v>
      </c>
      <c r="Q213" s="2" t="s">
        <v>146</v>
      </c>
      <c r="R213" s="2" t="s">
        <v>146</v>
      </c>
      <c r="S213" s="2" t="s">
        <v>146</v>
      </c>
      <c r="T213" s="2" t="s">
        <v>146</v>
      </c>
      <c r="U213" s="2" t="s">
        <v>146</v>
      </c>
      <c r="X213" s="2">
        <f t="shared" si="3"/>
        <v>0</v>
      </c>
    </row>
    <row r="214" spans="1:24" ht="14.25" x14ac:dyDescent="0.45">
      <c r="A214" s="2" t="s">
        <v>406</v>
      </c>
      <c r="B214" s="2" t="s">
        <v>405</v>
      </c>
      <c r="C214" s="2">
        <v>2019</v>
      </c>
      <c r="D214" s="2" t="s">
        <v>49</v>
      </c>
      <c r="E214" s="2" t="s">
        <v>146</v>
      </c>
      <c r="F214" s="2" t="s">
        <v>146</v>
      </c>
      <c r="G214" s="2" t="s">
        <v>146</v>
      </c>
      <c r="H214" s="2" t="s">
        <v>146</v>
      </c>
      <c r="I214" s="2" t="s">
        <v>146</v>
      </c>
      <c r="J214" s="2" t="s">
        <v>49</v>
      </c>
      <c r="K214" s="2" t="s">
        <v>146</v>
      </c>
      <c r="L214" s="2" t="s">
        <v>146</v>
      </c>
      <c r="M214" s="2" t="s">
        <v>146</v>
      </c>
      <c r="N214" s="2" t="s">
        <v>146</v>
      </c>
      <c r="O214" s="2" t="s">
        <v>146</v>
      </c>
      <c r="P214" s="2" t="s">
        <v>49</v>
      </c>
      <c r="Q214" s="2" t="s">
        <v>146</v>
      </c>
      <c r="R214" s="2" t="s">
        <v>146</v>
      </c>
      <c r="S214" s="2" t="s">
        <v>146</v>
      </c>
      <c r="T214" s="2" t="s">
        <v>146</v>
      </c>
      <c r="U214" s="2" t="s">
        <v>146</v>
      </c>
      <c r="X214" s="2">
        <f t="shared" si="3"/>
        <v>0</v>
      </c>
    </row>
    <row r="215" spans="1:24" ht="14.25" x14ac:dyDescent="0.45">
      <c r="A215" s="2" t="s">
        <v>404</v>
      </c>
      <c r="B215" s="2" t="s">
        <v>403</v>
      </c>
      <c r="C215" s="2">
        <v>2019</v>
      </c>
      <c r="D215" s="2" t="s">
        <v>49</v>
      </c>
      <c r="E215" s="2" t="s">
        <v>146</v>
      </c>
      <c r="F215" s="2" t="s">
        <v>146</v>
      </c>
      <c r="G215" s="2" t="s">
        <v>146</v>
      </c>
      <c r="H215" s="2" t="s">
        <v>146</v>
      </c>
      <c r="I215" s="2" t="s">
        <v>146</v>
      </c>
      <c r="J215" s="2" t="s">
        <v>49</v>
      </c>
      <c r="K215" s="2" t="s">
        <v>146</v>
      </c>
      <c r="L215" s="2" t="s">
        <v>146</v>
      </c>
      <c r="M215" s="2" t="s">
        <v>146</v>
      </c>
      <c r="N215" s="2" t="s">
        <v>146</v>
      </c>
      <c r="O215" s="2" t="s">
        <v>146</v>
      </c>
      <c r="P215" s="2" t="s">
        <v>49</v>
      </c>
      <c r="Q215" s="2" t="s">
        <v>146</v>
      </c>
      <c r="R215" s="2" t="s">
        <v>146</v>
      </c>
      <c r="S215" s="2" t="s">
        <v>146</v>
      </c>
      <c r="T215" s="2" t="s">
        <v>146</v>
      </c>
      <c r="U215" s="2" t="s">
        <v>146</v>
      </c>
      <c r="X215" s="2">
        <f t="shared" si="3"/>
        <v>0</v>
      </c>
    </row>
    <row r="216" spans="1:24" ht="14.25" x14ac:dyDescent="0.45">
      <c r="A216" s="2" t="s">
        <v>402</v>
      </c>
      <c r="B216" s="2" t="s">
        <v>401</v>
      </c>
      <c r="C216" s="2">
        <v>2019</v>
      </c>
      <c r="D216" s="2" t="s">
        <v>49</v>
      </c>
      <c r="E216" s="2" t="s">
        <v>146</v>
      </c>
      <c r="F216" s="2" t="s">
        <v>146</v>
      </c>
      <c r="G216" s="2" t="s">
        <v>146</v>
      </c>
      <c r="H216" s="2" t="s">
        <v>146</v>
      </c>
      <c r="I216" s="2" t="s">
        <v>146</v>
      </c>
      <c r="J216" s="2" t="s">
        <v>49</v>
      </c>
      <c r="K216" s="2" t="s">
        <v>146</v>
      </c>
      <c r="L216" s="2" t="s">
        <v>146</v>
      </c>
      <c r="M216" s="2" t="s">
        <v>146</v>
      </c>
      <c r="N216" s="2" t="s">
        <v>146</v>
      </c>
      <c r="O216" s="2" t="s">
        <v>146</v>
      </c>
      <c r="P216" s="2" t="s">
        <v>49</v>
      </c>
      <c r="Q216" s="2" t="s">
        <v>146</v>
      </c>
      <c r="R216" s="2" t="s">
        <v>146</v>
      </c>
      <c r="S216" s="2" t="s">
        <v>146</v>
      </c>
      <c r="T216" s="2" t="s">
        <v>146</v>
      </c>
      <c r="U216" s="2" t="s">
        <v>146</v>
      </c>
      <c r="X216" s="2">
        <f t="shared" si="3"/>
        <v>0</v>
      </c>
    </row>
    <row r="217" spans="1:24" ht="14.25" x14ac:dyDescent="0.45">
      <c r="A217" s="2" t="s">
        <v>398</v>
      </c>
      <c r="B217" s="2" t="s">
        <v>400</v>
      </c>
      <c r="C217" s="2">
        <v>2019</v>
      </c>
      <c r="D217" s="2" t="s">
        <v>146</v>
      </c>
      <c r="E217" s="2" t="s">
        <v>146</v>
      </c>
      <c r="F217" s="2" t="s">
        <v>146</v>
      </c>
      <c r="G217" s="2" t="s">
        <v>146</v>
      </c>
      <c r="H217" s="2" t="s">
        <v>146</v>
      </c>
      <c r="I217" s="2" t="s">
        <v>146</v>
      </c>
      <c r="J217" s="2" t="s">
        <v>146</v>
      </c>
      <c r="K217" s="2" t="s">
        <v>146</v>
      </c>
      <c r="L217" s="2" t="s">
        <v>146</v>
      </c>
      <c r="M217" s="2" t="s">
        <v>146</v>
      </c>
      <c r="N217" s="2" t="s">
        <v>146</v>
      </c>
      <c r="O217" s="2" t="s">
        <v>146</v>
      </c>
      <c r="P217" s="2" t="s">
        <v>146</v>
      </c>
      <c r="Q217" s="2" t="s">
        <v>146</v>
      </c>
      <c r="R217" s="2" t="s">
        <v>146</v>
      </c>
      <c r="S217" s="2" t="s">
        <v>146</v>
      </c>
      <c r="T217" s="2" t="s">
        <v>146</v>
      </c>
      <c r="U217" s="2" t="s">
        <v>146</v>
      </c>
      <c r="X217" s="2">
        <f t="shared" si="3"/>
        <v>0</v>
      </c>
    </row>
    <row r="218" spans="1:24" ht="14.25" x14ac:dyDescent="0.45">
      <c r="A218" s="2" t="s">
        <v>398</v>
      </c>
      <c r="B218" s="2" t="s">
        <v>399</v>
      </c>
      <c r="C218" s="2">
        <v>2019</v>
      </c>
      <c r="D218" s="2" t="s">
        <v>146</v>
      </c>
      <c r="E218" s="2" t="s">
        <v>146</v>
      </c>
      <c r="F218" s="2" t="s">
        <v>146</v>
      </c>
      <c r="G218" s="2" t="s">
        <v>146</v>
      </c>
      <c r="H218" s="2" t="s">
        <v>146</v>
      </c>
      <c r="I218" s="2" t="s">
        <v>146</v>
      </c>
      <c r="J218" s="2" t="s">
        <v>146</v>
      </c>
      <c r="K218" s="2" t="s">
        <v>146</v>
      </c>
      <c r="L218" s="2" t="s">
        <v>146</v>
      </c>
      <c r="M218" s="2" t="s">
        <v>146</v>
      </c>
      <c r="N218" s="2" t="s">
        <v>146</v>
      </c>
      <c r="O218" s="2" t="s">
        <v>146</v>
      </c>
      <c r="P218" s="2" t="s">
        <v>146</v>
      </c>
      <c r="Q218" s="2" t="s">
        <v>146</v>
      </c>
      <c r="R218" s="2" t="s">
        <v>146</v>
      </c>
      <c r="S218" s="2" t="s">
        <v>146</v>
      </c>
      <c r="T218" s="2" t="s">
        <v>146</v>
      </c>
      <c r="U218" s="2" t="s">
        <v>146</v>
      </c>
      <c r="X218" s="2">
        <f t="shared" si="3"/>
        <v>0</v>
      </c>
    </row>
    <row r="219" spans="1:24" ht="14.25" x14ac:dyDescent="0.45">
      <c r="A219" s="2" t="s">
        <v>398</v>
      </c>
      <c r="B219" s="2" t="s">
        <v>397</v>
      </c>
      <c r="C219" s="2">
        <v>2019</v>
      </c>
      <c r="D219" s="2" t="s">
        <v>146</v>
      </c>
      <c r="E219" s="2" t="s">
        <v>146</v>
      </c>
      <c r="F219" s="2" t="s">
        <v>146</v>
      </c>
      <c r="G219" s="2" t="s">
        <v>146</v>
      </c>
      <c r="H219" s="2" t="s">
        <v>146</v>
      </c>
      <c r="I219" s="2" t="s">
        <v>146</v>
      </c>
      <c r="J219" s="2" t="s">
        <v>49</v>
      </c>
      <c r="K219" s="2" t="s">
        <v>146</v>
      </c>
      <c r="L219" s="2" t="s">
        <v>146</v>
      </c>
      <c r="M219" s="2" t="s">
        <v>146</v>
      </c>
      <c r="N219" s="2" t="s">
        <v>146</v>
      </c>
      <c r="O219" s="2" t="s">
        <v>146</v>
      </c>
      <c r="P219" s="2" t="s">
        <v>49</v>
      </c>
      <c r="Q219" s="2" t="s">
        <v>146</v>
      </c>
      <c r="R219" s="2" t="s">
        <v>146</v>
      </c>
      <c r="S219" s="2" t="s">
        <v>146</v>
      </c>
      <c r="T219" s="2" t="s">
        <v>146</v>
      </c>
      <c r="U219" s="2" t="s">
        <v>146</v>
      </c>
      <c r="X219" s="2">
        <f t="shared" si="3"/>
        <v>0</v>
      </c>
    </row>
    <row r="220" spans="1:24" ht="14.25" x14ac:dyDescent="0.45">
      <c r="A220" s="2" t="s">
        <v>396</v>
      </c>
      <c r="B220" s="2" t="s">
        <v>395</v>
      </c>
      <c r="C220" s="2">
        <v>2019</v>
      </c>
      <c r="D220" s="2" t="s">
        <v>146</v>
      </c>
      <c r="E220" s="2" t="s">
        <v>146</v>
      </c>
      <c r="F220" s="2" t="s">
        <v>146</v>
      </c>
      <c r="G220" s="2" t="s">
        <v>146</v>
      </c>
      <c r="H220" s="2" t="s">
        <v>146</v>
      </c>
      <c r="I220" s="2" t="s">
        <v>146</v>
      </c>
      <c r="J220" s="2" t="s">
        <v>49</v>
      </c>
      <c r="K220" s="2" t="s">
        <v>146</v>
      </c>
      <c r="L220" s="2" t="s">
        <v>146</v>
      </c>
      <c r="M220" s="2" t="s">
        <v>146</v>
      </c>
      <c r="N220" s="2" t="s">
        <v>146</v>
      </c>
      <c r="O220" s="2" t="s">
        <v>146</v>
      </c>
      <c r="P220" s="2" t="s">
        <v>49</v>
      </c>
      <c r="Q220" s="2" t="s">
        <v>146</v>
      </c>
      <c r="R220" s="2" t="s">
        <v>146</v>
      </c>
      <c r="S220" s="2" t="s">
        <v>146</v>
      </c>
      <c r="T220" s="2" t="s">
        <v>146</v>
      </c>
      <c r="U220" s="2" t="s">
        <v>146</v>
      </c>
      <c r="X220" s="2">
        <f t="shared" si="3"/>
        <v>0</v>
      </c>
    </row>
    <row r="221" spans="1:24" ht="14.25" x14ac:dyDescent="0.45">
      <c r="A221" s="2" t="s">
        <v>393</v>
      </c>
      <c r="B221" s="2" t="s">
        <v>394</v>
      </c>
      <c r="C221" s="2">
        <v>2019</v>
      </c>
      <c r="D221" s="2" t="s">
        <v>49</v>
      </c>
      <c r="E221" s="2" t="s">
        <v>49</v>
      </c>
      <c r="F221" s="2" t="s">
        <v>49</v>
      </c>
      <c r="G221" s="2" t="s">
        <v>49</v>
      </c>
      <c r="H221" s="2" t="s">
        <v>49</v>
      </c>
      <c r="I221" s="2" t="s">
        <v>49</v>
      </c>
      <c r="J221" s="2" t="s">
        <v>49</v>
      </c>
      <c r="K221" s="2" t="s">
        <v>49</v>
      </c>
      <c r="L221" s="2" t="s">
        <v>49</v>
      </c>
      <c r="M221" s="2" t="s">
        <v>49</v>
      </c>
      <c r="N221" s="2" t="s">
        <v>49</v>
      </c>
      <c r="O221" s="2" t="s">
        <v>49</v>
      </c>
      <c r="P221" s="2" t="s">
        <v>49</v>
      </c>
      <c r="Q221" s="2" t="s">
        <v>49</v>
      </c>
      <c r="R221" s="2" t="s">
        <v>49</v>
      </c>
      <c r="S221" s="2" t="s">
        <v>49</v>
      </c>
      <c r="T221" s="2" t="s">
        <v>49</v>
      </c>
      <c r="U221" s="2" t="s">
        <v>49</v>
      </c>
      <c r="X221" s="2">
        <f t="shared" si="3"/>
        <v>0</v>
      </c>
    </row>
    <row r="222" spans="1:24" ht="14.25" x14ac:dyDescent="0.45">
      <c r="A222" s="2" t="s">
        <v>393</v>
      </c>
      <c r="B222" s="2" t="s">
        <v>392</v>
      </c>
      <c r="C222" s="2">
        <v>2019</v>
      </c>
      <c r="D222" s="2" t="s">
        <v>49</v>
      </c>
      <c r="E222" s="2" t="s">
        <v>49</v>
      </c>
      <c r="F222" s="2" t="s">
        <v>49</v>
      </c>
      <c r="G222" s="2" t="s">
        <v>49</v>
      </c>
      <c r="H222" s="2" t="s">
        <v>49</v>
      </c>
      <c r="I222" s="2" t="s">
        <v>49</v>
      </c>
      <c r="J222" s="2" t="s">
        <v>49</v>
      </c>
      <c r="K222" s="2" t="s">
        <v>49</v>
      </c>
      <c r="L222" s="2" t="s">
        <v>49</v>
      </c>
      <c r="M222" s="2" t="s">
        <v>49</v>
      </c>
      <c r="N222" s="2" t="s">
        <v>49</v>
      </c>
      <c r="O222" s="2" t="s">
        <v>49</v>
      </c>
      <c r="P222" s="2" t="s">
        <v>49</v>
      </c>
      <c r="Q222" s="2" t="s">
        <v>49</v>
      </c>
      <c r="R222" s="2" t="s">
        <v>49</v>
      </c>
      <c r="S222" s="2" t="s">
        <v>49</v>
      </c>
      <c r="T222" s="2" t="s">
        <v>49</v>
      </c>
      <c r="U222" s="2" t="s">
        <v>49</v>
      </c>
      <c r="X222" s="2">
        <f t="shared" si="3"/>
        <v>0</v>
      </c>
    </row>
    <row r="223" spans="1:24" ht="14.25" x14ac:dyDescent="0.45">
      <c r="A223" s="2" t="s">
        <v>391</v>
      </c>
      <c r="B223" s="2" t="s">
        <v>390</v>
      </c>
      <c r="C223" s="2">
        <v>2019</v>
      </c>
      <c r="D223" s="2" t="s">
        <v>49</v>
      </c>
      <c r="E223" s="2" t="s">
        <v>146</v>
      </c>
      <c r="F223" s="2" t="s">
        <v>146</v>
      </c>
      <c r="G223" s="2" t="s">
        <v>146</v>
      </c>
      <c r="H223" s="2" t="s">
        <v>146</v>
      </c>
      <c r="I223" s="2" t="s">
        <v>146</v>
      </c>
      <c r="J223" s="2" t="s">
        <v>49</v>
      </c>
      <c r="K223" s="2" t="s">
        <v>146</v>
      </c>
      <c r="L223" s="2" t="s">
        <v>146</v>
      </c>
      <c r="M223" s="2" t="s">
        <v>146</v>
      </c>
      <c r="N223" s="2" t="s">
        <v>146</v>
      </c>
      <c r="O223" s="2" t="s">
        <v>146</v>
      </c>
      <c r="P223" s="2" t="s">
        <v>49</v>
      </c>
      <c r="Q223" s="2" t="s">
        <v>146</v>
      </c>
      <c r="R223" s="2" t="s">
        <v>146</v>
      </c>
      <c r="S223" s="2" t="s">
        <v>146</v>
      </c>
      <c r="T223" s="2" t="s">
        <v>146</v>
      </c>
      <c r="U223" s="2" t="s">
        <v>146</v>
      </c>
      <c r="X223" s="2">
        <f t="shared" si="3"/>
        <v>0</v>
      </c>
    </row>
    <row r="224" spans="1:24" ht="14.25" x14ac:dyDescent="0.45">
      <c r="A224" s="2" t="s">
        <v>389</v>
      </c>
      <c r="B224" s="2" t="s">
        <v>388</v>
      </c>
      <c r="C224" s="2">
        <v>2019</v>
      </c>
      <c r="D224" s="2" t="s">
        <v>49</v>
      </c>
      <c r="E224" s="2" t="s">
        <v>146</v>
      </c>
      <c r="F224" s="2" t="s">
        <v>146</v>
      </c>
      <c r="G224" s="2" t="s">
        <v>146</v>
      </c>
      <c r="H224" s="2" t="s">
        <v>146</v>
      </c>
      <c r="I224" s="2" t="s">
        <v>146</v>
      </c>
      <c r="J224" s="2" t="s">
        <v>49</v>
      </c>
      <c r="K224" s="2" t="s">
        <v>146</v>
      </c>
      <c r="L224" s="2" t="s">
        <v>146</v>
      </c>
      <c r="M224" s="2" t="s">
        <v>146</v>
      </c>
      <c r="N224" s="2" t="s">
        <v>146</v>
      </c>
      <c r="O224" s="2" t="s">
        <v>146</v>
      </c>
      <c r="P224" s="2" t="s">
        <v>49</v>
      </c>
      <c r="Q224" s="2" t="s">
        <v>146</v>
      </c>
      <c r="R224" s="2" t="s">
        <v>146</v>
      </c>
      <c r="S224" s="2" t="s">
        <v>146</v>
      </c>
      <c r="T224" s="2" t="s">
        <v>146</v>
      </c>
      <c r="U224" s="2" t="s">
        <v>146</v>
      </c>
      <c r="X224" s="2">
        <f t="shared" si="3"/>
        <v>0</v>
      </c>
    </row>
    <row r="225" spans="1:24" ht="14.25" x14ac:dyDescent="0.45">
      <c r="A225" s="2" t="s">
        <v>387</v>
      </c>
      <c r="B225" s="2" t="s">
        <v>114</v>
      </c>
      <c r="C225" s="2">
        <v>2019</v>
      </c>
      <c r="D225" s="2" t="s">
        <v>49</v>
      </c>
      <c r="E225" s="2" t="s">
        <v>146</v>
      </c>
      <c r="F225" s="2" t="s">
        <v>146</v>
      </c>
      <c r="G225" s="2" t="s">
        <v>146</v>
      </c>
      <c r="H225" s="2" t="s">
        <v>146</v>
      </c>
      <c r="I225" s="2" t="s">
        <v>146</v>
      </c>
      <c r="J225" s="2" t="s">
        <v>49</v>
      </c>
      <c r="K225" s="2" t="s">
        <v>146</v>
      </c>
      <c r="L225" s="2" t="s">
        <v>146</v>
      </c>
      <c r="M225" s="2" t="s">
        <v>146</v>
      </c>
      <c r="N225" s="2" t="s">
        <v>146</v>
      </c>
      <c r="O225" s="2" t="s">
        <v>146</v>
      </c>
      <c r="P225" s="2" t="s">
        <v>49</v>
      </c>
      <c r="Q225" s="2" t="s">
        <v>146</v>
      </c>
      <c r="R225" s="2" t="s">
        <v>146</v>
      </c>
      <c r="S225" s="2" t="s">
        <v>146</v>
      </c>
      <c r="T225" s="2" t="s">
        <v>146</v>
      </c>
      <c r="U225" s="2" t="s">
        <v>146</v>
      </c>
      <c r="X225" s="2">
        <f t="shared" si="3"/>
        <v>0</v>
      </c>
    </row>
    <row r="226" spans="1:24" ht="14.25" x14ac:dyDescent="0.45">
      <c r="A226" s="2" t="s">
        <v>386</v>
      </c>
      <c r="B226" s="2" t="s">
        <v>385</v>
      </c>
      <c r="C226" s="2">
        <v>2019</v>
      </c>
      <c r="D226" s="2" t="s">
        <v>49</v>
      </c>
      <c r="E226" s="2" t="s">
        <v>146</v>
      </c>
      <c r="F226" s="2" t="s">
        <v>146</v>
      </c>
      <c r="G226" s="2" t="s">
        <v>146</v>
      </c>
      <c r="H226" s="2" t="s">
        <v>146</v>
      </c>
      <c r="I226" s="2" t="s">
        <v>146</v>
      </c>
      <c r="J226" s="2" t="s">
        <v>49</v>
      </c>
      <c r="K226" s="2" t="s">
        <v>146</v>
      </c>
      <c r="L226" s="2" t="s">
        <v>146</v>
      </c>
      <c r="M226" s="2" t="s">
        <v>146</v>
      </c>
      <c r="N226" s="2" t="s">
        <v>146</v>
      </c>
      <c r="O226" s="2" t="s">
        <v>146</v>
      </c>
      <c r="P226" s="2" t="s">
        <v>49</v>
      </c>
      <c r="Q226" s="2" t="s">
        <v>146</v>
      </c>
      <c r="R226" s="2" t="s">
        <v>146</v>
      </c>
      <c r="S226" s="2" t="s">
        <v>146</v>
      </c>
      <c r="T226" s="2" t="s">
        <v>146</v>
      </c>
      <c r="U226" s="2" t="s">
        <v>146</v>
      </c>
      <c r="X226" s="2">
        <f t="shared" si="3"/>
        <v>0</v>
      </c>
    </row>
    <row r="227" spans="1:24" ht="14.25" x14ac:dyDescent="0.45">
      <c r="A227" s="2" t="s">
        <v>4</v>
      </c>
      <c r="B227" s="2" t="s">
        <v>383</v>
      </c>
      <c r="C227" s="2">
        <v>2019</v>
      </c>
      <c r="D227" s="2" t="s">
        <v>49</v>
      </c>
      <c r="E227" s="2" t="s">
        <v>49</v>
      </c>
      <c r="F227" s="2" t="s">
        <v>49</v>
      </c>
      <c r="G227" s="2" t="s">
        <v>49</v>
      </c>
      <c r="H227" s="2" t="s">
        <v>49</v>
      </c>
      <c r="I227" s="2" t="s">
        <v>49</v>
      </c>
      <c r="J227" s="2" t="s">
        <v>49</v>
      </c>
      <c r="K227" s="2" t="s">
        <v>49</v>
      </c>
      <c r="L227" s="2" t="s">
        <v>49</v>
      </c>
      <c r="M227" s="2" t="s">
        <v>49</v>
      </c>
      <c r="N227" s="2" t="s">
        <v>49</v>
      </c>
      <c r="O227" s="2" t="s">
        <v>49</v>
      </c>
      <c r="P227" s="2" t="s">
        <v>49</v>
      </c>
      <c r="Q227" s="2" t="s">
        <v>49</v>
      </c>
      <c r="R227" s="2" t="s">
        <v>49</v>
      </c>
      <c r="S227" s="2" t="s">
        <v>49</v>
      </c>
      <c r="T227" s="2" t="s">
        <v>49</v>
      </c>
      <c r="U227" s="2" t="s">
        <v>49</v>
      </c>
      <c r="X227" s="2">
        <f t="shared" si="3"/>
        <v>0</v>
      </c>
    </row>
    <row r="228" spans="1:24" ht="14.25" x14ac:dyDescent="0.45">
      <c r="A228" s="2" t="s">
        <v>4</v>
      </c>
      <c r="B228" s="2" t="s">
        <v>382</v>
      </c>
      <c r="C228" s="2">
        <v>2019</v>
      </c>
      <c r="D228" s="2" t="s">
        <v>49</v>
      </c>
      <c r="E228" s="2" t="s">
        <v>49</v>
      </c>
      <c r="F228" s="2" t="s">
        <v>49</v>
      </c>
      <c r="G228" s="2" t="s">
        <v>49</v>
      </c>
      <c r="H228" s="2" t="s">
        <v>49</v>
      </c>
      <c r="I228" s="2" t="s">
        <v>49</v>
      </c>
      <c r="J228" s="2" t="s">
        <v>49</v>
      </c>
      <c r="K228" s="2" t="s">
        <v>49</v>
      </c>
      <c r="L228" s="2" t="s">
        <v>49</v>
      </c>
      <c r="M228" s="2" t="s">
        <v>49</v>
      </c>
      <c r="N228" s="2" t="s">
        <v>49</v>
      </c>
      <c r="O228" s="2" t="s">
        <v>49</v>
      </c>
      <c r="P228" s="2" t="s">
        <v>49</v>
      </c>
      <c r="Q228" s="2" t="s">
        <v>49</v>
      </c>
      <c r="R228" s="2" t="s">
        <v>49</v>
      </c>
      <c r="S228" s="2" t="s">
        <v>49</v>
      </c>
      <c r="T228" s="2" t="s">
        <v>49</v>
      </c>
      <c r="U228" s="2" t="s">
        <v>49</v>
      </c>
      <c r="X228" s="2">
        <f t="shared" si="3"/>
        <v>0</v>
      </c>
    </row>
    <row r="229" spans="1:24" ht="14.25" x14ac:dyDescent="0.45">
      <c r="A229" s="2" t="s">
        <v>4</v>
      </c>
      <c r="B229" s="2" t="s">
        <v>5</v>
      </c>
      <c r="C229" s="2">
        <v>2019</v>
      </c>
      <c r="D229" s="2" t="s">
        <v>49</v>
      </c>
      <c r="E229" s="2" t="s">
        <v>49</v>
      </c>
      <c r="F229" s="2" t="s">
        <v>49</v>
      </c>
      <c r="G229" s="2" t="s">
        <v>49</v>
      </c>
      <c r="H229" s="2" t="s">
        <v>49</v>
      </c>
      <c r="I229" s="2" t="s">
        <v>49</v>
      </c>
      <c r="J229" s="2" t="s">
        <v>49</v>
      </c>
      <c r="K229" s="2" t="s">
        <v>49</v>
      </c>
      <c r="L229" s="2" t="s">
        <v>49</v>
      </c>
      <c r="M229" s="2" t="s">
        <v>49</v>
      </c>
      <c r="N229" s="2" t="s">
        <v>49</v>
      </c>
      <c r="O229" s="2" t="s">
        <v>49</v>
      </c>
      <c r="P229" s="2" t="s">
        <v>49</v>
      </c>
      <c r="Q229" s="2" t="s">
        <v>49</v>
      </c>
      <c r="R229" s="2" t="s">
        <v>49</v>
      </c>
      <c r="S229" s="2" t="s">
        <v>49</v>
      </c>
      <c r="T229" s="2" t="s">
        <v>49</v>
      </c>
      <c r="U229" s="2" t="s">
        <v>49</v>
      </c>
      <c r="X229" s="2">
        <f t="shared" si="3"/>
        <v>0</v>
      </c>
    </row>
    <row r="230" spans="1:24" ht="14.25" x14ac:dyDescent="0.45">
      <c r="A230" s="2" t="s">
        <v>381</v>
      </c>
      <c r="B230" s="2" t="s">
        <v>380</v>
      </c>
      <c r="C230" s="2">
        <v>2019</v>
      </c>
      <c r="D230" s="2" t="s">
        <v>778</v>
      </c>
      <c r="E230" s="2" t="s">
        <v>734</v>
      </c>
      <c r="F230" s="2">
        <v>10.776999999999999</v>
      </c>
      <c r="G230" s="2" t="s">
        <v>146</v>
      </c>
      <c r="H230" s="2" t="s">
        <v>146</v>
      </c>
      <c r="I230" s="2">
        <v>100</v>
      </c>
      <c r="J230" s="2" t="s">
        <v>146</v>
      </c>
      <c r="K230" s="2" t="s">
        <v>146</v>
      </c>
      <c r="L230" s="2" t="s">
        <v>146</v>
      </c>
      <c r="M230" s="2" t="s">
        <v>766</v>
      </c>
      <c r="N230" s="2" t="s">
        <v>146</v>
      </c>
      <c r="O230" s="2" t="s">
        <v>146</v>
      </c>
      <c r="P230" s="2" t="s">
        <v>146</v>
      </c>
      <c r="Q230" s="2" t="s">
        <v>146</v>
      </c>
      <c r="R230" s="2" t="s">
        <v>146</v>
      </c>
      <c r="S230" s="2" t="s">
        <v>146</v>
      </c>
      <c r="T230" s="2" t="s">
        <v>146</v>
      </c>
      <c r="U230" s="2" t="s">
        <v>146</v>
      </c>
      <c r="X230" s="2">
        <f t="shared" si="3"/>
        <v>0</v>
      </c>
    </row>
    <row r="231" spans="1:24" ht="14.25" x14ac:dyDescent="0.45">
      <c r="A231" s="2" t="s">
        <v>376</v>
      </c>
      <c r="B231" s="2" t="s">
        <v>379</v>
      </c>
      <c r="C231" s="2">
        <v>2019</v>
      </c>
      <c r="D231" s="2" t="s">
        <v>49</v>
      </c>
      <c r="E231" s="2" t="s">
        <v>146</v>
      </c>
      <c r="F231" s="2" t="s">
        <v>146</v>
      </c>
      <c r="G231" s="2" t="s">
        <v>146</v>
      </c>
      <c r="H231" s="2" t="s">
        <v>146</v>
      </c>
      <c r="I231" s="2" t="s">
        <v>146</v>
      </c>
      <c r="J231" s="2" t="s">
        <v>49</v>
      </c>
      <c r="K231" s="2" t="s">
        <v>146</v>
      </c>
      <c r="L231" s="2" t="s">
        <v>146</v>
      </c>
      <c r="M231" s="2" t="s">
        <v>146</v>
      </c>
      <c r="N231" s="2" t="s">
        <v>146</v>
      </c>
      <c r="O231" s="2" t="s">
        <v>146</v>
      </c>
      <c r="P231" s="2" t="s">
        <v>49</v>
      </c>
      <c r="Q231" s="2" t="s">
        <v>146</v>
      </c>
      <c r="R231" s="2" t="s">
        <v>146</v>
      </c>
      <c r="S231" s="2" t="s">
        <v>146</v>
      </c>
      <c r="T231" s="2" t="s">
        <v>146</v>
      </c>
      <c r="U231" s="2" t="s">
        <v>146</v>
      </c>
      <c r="X231" s="2">
        <f t="shared" si="3"/>
        <v>0</v>
      </c>
    </row>
    <row r="232" spans="1:24" ht="14.25" x14ac:dyDescent="0.45">
      <c r="A232" s="2" t="s">
        <v>376</v>
      </c>
      <c r="B232" s="2" t="s">
        <v>378</v>
      </c>
      <c r="C232" s="2">
        <v>2019</v>
      </c>
      <c r="D232" s="2" t="s">
        <v>49</v>
      </c>
      <c r="E232" s="2" t="s">
        <v>146</v>
      </c>
      <c r="F232" s="2" t="s">
        <v>146</v>
      </c>
      <c r="G232" s="2" t="s">
        <v>146</v>
      </c>
      <c r="H232" s="2" t="s">
        <v>146</v>
      </c>
      <c r="I232" s="2" t="s">
        <v>146</v>
      </c>
      <c r="J232" s="2" t="s">
        <v>49</v>
      </c>
      <c r="K232" s="2" t="s">
        <v>146</v>
      </c>
      <c r="L232" s="2" t="s">
        <v>146</v>
      </c>
      <c r="M232" s="2" t="s">
        <v>146</v>
      </c>
      <c r="N232" s="2" t="s">
        <v>146</v>
      </c>
      <c r="O232" s="2" t="s">
        <v>146</v>
      </c>
      <c r="P232" s="2" t="s">
        <v>49</v>
      </c>
      <c r="Q232" s="2" t="s">
        <v>146</v>
      </c>
      <c r="R232" s="2" t="s">
        <v>146</v>
      </c>
      <c r="S232" s="2" t="s">
        <v>146</v>
      </c>
      <c r="T232" s="2" t="s">
        <v>146</v>
      </c>
      <c r="U232" s="2" t="s">
        <v>146</v>
      </c>
      <c r="X232" s="2">
        <f t="shared" si="3"/>
        <v>0</v>
      </c>
    </row>
    <row r="233" spans="1:24" ht="14.25" x14ac:dyDescent="0.45">
      <c r="A233" s="2" t="s">
        <v>376</v>
      </c>
      <c r="B233" s="2" t="s">
        <v>377</v>
      </c>
      <c r="C233" s="2">
        <v>2019</v>
      </c>
      <c r="D233" s="2" t="s">
        <v>777</v>
      </c>
      <c r="E233" s="2" t="s">
        <v>734</v>
      </c>
      <c r="F233" s="2">
        <v>1.74</v>
      </c>
      <c r="G233" s="2" t="s">
        <v>146</v>
      </c>
      <c r="H233" s="2" t="s">
        <v>146</v>
      </c>
      <c r="I233" s="2" t="s">
        <v>146</v>
      </c>
      <c r="J233" s="2" t="s">
        <v>49</v>
      </c>
      <c r="K233" s="2" t="s">
        <v>146</v>
      </c>
      <c r="L233" s="2" t="s">
        <v>146</v>
      </c>
      <c r="M233" s="2" t="s">
        <v>146</v>
      </c>
      <c r="N233" s="2" t="s">
        <v>146</v>
      </c>
      <c r="O233" s="2" t="s">
        <v>146</v>
      </c>
      <c r="P233" s="2" t="s">
        <v>49</v>
      </c>
      <c r="Q233" s="2" t="s">
        <v>146</v>
      </c>
      <c r="R233" s="2" t="s">
        <v>146</v>
      </c>
      <c r="S233" s="2" t="s">
        <v>146</v>
      </c>
      <c r="T233" s="2" t="s">
        <v>146</v>
      </c>
      <c r="U233" s="2" t="s">
        <v>146</v>
      </c>
      <c r="X233" s="2">
        <f t="shared" si="3"/>
        <v>0</v>
      </c>
    </row>
    <row r="234" spans="1:24" ht="14.25" x14ac:dyDescent="0.45">
      <c r="A234" s="2" t="s">
        <v>376</v>
      </c>
      <c r="B234" s="2" t="s">
        <v>375</v>
      </c>
      <c r="C234" s="2">
        <v>2019</v>
      </c>
      <c r="D234" s="2" t="s">
        <v>49</v>
      </c>
      <c r="E234" s="2" t="s">
        <v>146</v>
      </c>
      <c r="F234" s="2" t="s">
        <v>146</v>
      </c>
      <c r="G234" s="2" t="s">
        <v>146</v>
      </c>
      <c r="H234" s="2" t="s">
        <v>146</v>
      </c>
      <c r="I234" s="2" t="s">
        <v>146</v>
      </c>
      <c r="J234" s="2" t="s">
        <v>49</v>
      </c>
      <c r="K234" s="2" t="s">
        <v>146</v>
      </c>
      <c r="L234" s="2" t="s">
        <v>146</v>
      </c>
      <c r="M234" s="2" t="s">
        <v>146</v>
      </c>
      <c r="N234" s="2" t="s">
        <v>146</v>
      </c>
      <c r="O234" s="2" t="s">
        <v>146</v>
      </c>
      <c r="P234" s="2" t="s">
        <v>49</v>
      </c>
      <c r="Q234" s="2" t="s">
        <v>146</v>
      </c>
      <c r="R234" s="2" t="s">
        <v>146</v>
      </c>
      <c r="S234" s="2" t="s">
        <v>146</v>
      </c>
      <c r="T234" s="2" t="s">
        <v>146</v>
      </c>
      <c r="U234" s="2" t="s">
        <v>146</v>
      </c>
      <c r="X234" s="2">
        <f t="shared" si="3"/>
        <v>0</v>
      </c>
    </row>
    <row r="235" spans="1:24" ht="14.25" x14ac:dyDescent="0.45">
      <c r="A235" s="2" t="s">
        <v>374</v>
      </c>
      <c r="B235" s="2" t="s">
        <v>373</v>
      </c>
      <c r="C235" s="2">
        <v>2019</v>
      </c>
      <c r="D235" s="2" t="s">
        <v>49</v>
      </c>
      <c r="E235" s="2" t="s">
        <v>49</v>
      </c>
      <c r="F235" s="2" t="s">
        <v>49</v>
      </c>
      <c r="G235" s="2" t="s">
        <v>49</v>
      </c>
      <c r="H235" s="2" t="s">
        <v>49</v>
      </c>
      <c r="I235" s="2" t="s">
        <v>49</v>
      </c>
      <c r="J235" s="2" t="s">
        <v>49</v>
      </c>
      <c r="K235" s="2" t="s">
        <v>49</v>
      </c>
      <c r="L235" s="2" t="s">
        <v>49</v>
      </c>
      <c r="M235" s="2" t="s">
        <v>49</v>
      </c>
      <c r="N235" s="2" t="s">
        <v>49</v>
      </c>
      <c r="O235" s="2" t="s">
        <v>49</v>
      </c>
      <c r="P235" s="2" t="s">
        <v>49</v>
      </c>
      <c r="Q235" s="2" t="s">
        <v>49</v>
      </c>
      <c r="R235" s="2" t="s">
        <v>49</v>
      </c>
      <c r="S235" s="2" t="s">
        <v>49</v>
      </c>
      <c r="T235" s="2" t="s">
        <v>49</v>
      </c>
      <c r="U235" s="2" t="s">
        <v>49</v>
      </c>
      <c r="X235" s="2">
        <f t="shared" si="3"/>
        <v>0</v>
      </c>
    </row>
    <row r="236" spans="1:24" ht="14.25" x14ac:dyDescent="0.45">
      <c r="A236" s="2" t="s">
        <v>371</v>
      </c>
      <c r="B236" s="2" t="s">
        <v>372</v>
      </c>
      <c r="C236" s="2">
        <v>2019</v>
      </c>
      <c r="D236" s="2" t="s">
        <v>49</v>
      </c>
      <c r="E236" s="2" t="s">
        <v>146</v>
      </c>
      <c r="F236" s="2" t="s">
        <v>146</v>
      </c>
      <c r="G236" s="2" t="s">
        <v>146</v>
      </c>
      <c r="H236" s="2" t="s">
        <v>146</v>
      </c>
      <c r="I236" s="2" t="s">
        <v>146</v>
      </c>
      <c r="J236" s="2" t="s">
        <v>49</v>
      </c>
      <c r="K236" s="2" t="s">
        <v>146</v>
      </c>
      <c r="L236" s="2" t="s">
        <v>146</v>
      </c>
      <c r="M236" s="2" t="s">
        <v>146</v>
      </c>
      <c r="N236" s="2" t="s">
        <v>146</v>
      </c>
      <c r="O236" s="2" t="s">
        <v>146</v>
      </c>
      <c r="P236" s="2" t="s">
        <v>49</v>
      </c>
      <c r="Q236" s="2" t="s">
        <v>146</v>
      </c>
      <c r="R236" s="2" t="s">
        <v>146</v>
      </c>
      <c r="S236" s="2" t="s">
        <v>146</v>
      </c>
      <c r="T236" s="2" t="s">
        <v>146</v>
      </c>
      <c r="U236" s="2" t="s">
        <v>146</v>
      </c>
      <c r="X236" s="2">
        <f t="shared" si="3"/>
        <v>0</v>
      </c>
    </row>
    <row r="237" spans="1:24" ht="14.25" x14ac:dyDescent="0.45">
      <c r="A237" s="2" t="s">
        <v>371</v>
      </c>
      <c r="B237" s="2" t="s">
        <v>370</v>
      </c>
      <c r="C237" s="2">
        <v>2019</v>
      </c>
      <c r="D237" s="2" t="s">
        <v>49</v>
      </c>
      <c r="E237" s="2" t="s">
        <v>146</v>
      </c>
      <c r="F237" s="2" t="s">
        <v>146</v>
      </c>
      <c r="G237" s="2" t="s">
        <v>146</v>
      </c>
      <c r="H237" s="2" t="s">
        <v>146</v>
      </c>
      <c r="I237" s="2" t="s">
        <v>146</v>
      </c>
      <c r="J237" s="2" t="s">
        <v>49</v>
      </c>
      <c r="K237" s="2" t="s">
        <v>146</v>
      </c>
      <c r="L237" s="2" t="s">
        <v>146</v>
      </c>
      <c r="M237" s="2" t="s">
        <v>146</v>
      </c>
      <c r="N237" s="2" t="s">
        <v>146</v>
      </c>
      <c r="O237" s="2" t="s">
        <v>146</v>
      </c>
      <c r="P237" s="2" t="s">
        <v>49</v>
      </c>
      <c r="Q237" s="2" t="s">
        <v>146</v>
      </c>
      <c r="R237" s="2" t="s">
        <v>146</v>
      </c>
      <c r="S237" s="2" t="s">
        <v>146</v>
      </c>
      <c r="T237" s="2" t="s">
        <v>146</v>
      </c>
      <c r="U237" s="2" t="s">
        <v>146</v>
      </c>
      <c r="X237" s="2">
        <f t="shared" si="3"/>
        <v>0</v>
      </c>
    </row>
    <row r="238" spans="1:24" ht="14.25" x14ac:dyDescent="0.45">
      <c r="A238" s="2" t="s">
        <v>369</v>
      </c>
      <c r="B238" s="2" t="s">
        <v>368</v>
      </c>
      <c r="C238" s="2">
        <v>2019</v>
      </c>
      <c r="D238" s="2" t="s">
        <v>49</v>
      </c>
      <c r="E238" s="2" t="s">
        <v>146</v>
      </c>
      <c r="F238" s="2" t="s">
        <v>146</v>
      </c>
      <c r="G238" s="2" t="s">
        <v>146</v>
      </c>
      <c r="H238" s="2" t="s">
        <v>146</v>
      </c>
      <c r="I238" s="2" t="s">
        <v>146</v>
      </c>
      <c r="J238" s="2" t="s">
        <v>49</v>
      </c>
      <c r="K238" s="2" t="s">
        <v>146</v>
      </c>
      <c r="L238" s="2" t="s">
        <v>146</v>
      </c>
      <c r="M238" s="2" t="s">
        <v>146</v>
      </c>
      <c r="N238" s="2" t="s">
        <v>146</v>
      </c>
      <c r="O238" s="2" t="s">
        <v>146</v>
      </c>
      <c r="P238" s="2" t="s">
        <v>49</v>
      </c>
      <c r="Q238" s="2" t="s">
        <v>146</v>
      </c>
      <c r="R238" s="2" t="s">
        <v>146</v>
      </c>
      <c r="S238" s="2" t="s">
        <v>146</v>
      </c>
      <c r="T238" s="2" t="s">
        <v>146</v>
      </c>
      <c r="U238" s="2" t="s">
        <v>146</v>
      </c>
      <c r="X238" s="2">
        <f t="shared" si="3"/>
        <v>0</v>
      </c>
    </row>
    <row r="239" spans="1:24" ht="14.25" x14ac:dyDescent="0.45">
      <c r="A239" s="2" t="s">
        <v>367</v>
      </c>
      <c r="B239" s="2" t="s">
        <v>366</v>
      </c>
      <c r="C239" s="2">
        <v>2019</v>
      </c>
      <c r="D239" s="2" t="s">
        <v>776</v>
      </c>
      <c r="E239" s="2" t="s">
        <v>734</v>
      </c>
      <c r="F239" s="2">
        <v>10.450326</v>
      </c>
      <c r="G239" s="2" t="s">
        <v>740</v>
      </c>
      <c r="H239" s="2">
        <v>1.249968</v>
      </c>
      <c r="I239" s="2" t="s">
        <v>146</v>
      </c>
      <c r="J239" s="2" t="s">
        <v>775</v>
      </c>
      <c r="K239" s="2" t="s">
        <v>736</v>
      </c>
      <c r="L239" s="2">
        <v>1.2862199999999999</v>
      </c>
      <c r="M239" s="2" t="s">
        <v>146</v>
      </c>
      <c r="N239" s="2" t="s">
        <v>146</v>
      </c>
      <c r="O239" s="2" t="s">
        <v>146</v>
      </c>
      <c r="P239" s="2" t="s">
        <v>49</v>
      </c>
      <c r="Q239" s="2" t="s">
        <v>146</v>
      </c>
      <c r="R239" s="2" t="s">
        <v>146</v>
      </c>
      <c r="S239" s="2" t="s">
        <v>146</v>
      </c>
      <c r="T239" s="2" t="s">
        <v>146</v>
      </c>
      <c r="U239" s="2" t="s">
        <v>146</v>
      </c>
      <c r="X239" s="2">
        <f t="shared" si="3"/>
        <v>0</v>
      </c>
    </row>
    <row r="240" spans="1:24" ht="14.25" x14ac:dyDescent="0.45">
      <c r="A240" s="2" t="s">
        <v>364</v>
      </c>
      <c r="B240" s="2" t="s">
        <v>363</v>
      </c>
      <c r="C240" s="2">
        <v>2019</v>
      </c>
      <c r="D240" s="2" t="s">
        <v>49</v>
      </c>
      <c r="E240" s="2" t="s">
        <v>146</v>
      </c>
      <c r="F240" s="2" t="s">
        <v>146</v>
      </c>
      <c r="G240" s="2" t="s">
        <v>146</v>
      </c>
      <c r="H240" s="2" t="s">
        <v>146</v>
      </c>
      <c r="I240" s="2" t="s">
        <v>146</v>
      </c>
      <c r="J240" s="2" t="s">
        <v>49</v>
      </c>
      <c r="K240" s="2" t="s">
        <v>146</v>
      </c>
      <c r="L240" s="2" t="s">
        <v>146</v>
      </c>
      <c r="M240" s="2" t="s">
        <v>146</v>
      </c>
      <c r="N240" s="2" t="s">
        <v>146</v>
      </c>
      <c r="O240" s="2" t="s">
        <v>146</v>
      </c>
      <c r="P240" s="2" t="s">
        <v>49</v>
      </c>
      <c r="Q240" s="2" t="s">
        <v>146</v>
      </c>
      <c r="R240" s="2" t="s">
        <v>146</v>
      </c>
      <c r="S240" s="2" t="s">
        <v>146</v>
      </c>
      <c r="T240" s="2" t="s">
        <v>146</v>
      </c>
      <c r="U240" s="2" t="s">
        <v>146</v>
      </c>
      <c r="X240" s="2">
        <f t="shared" si="3"/>
        <v>0</v>
      </c>
    </row>
    <row r="241" spans="1:24" ht="14.25" x14ac:dyDescent="0.45">
      <c r="A241" s="2" t="s">
        <v>362</v>
      </c>
      <c r="B241" s="2" t="s">
        <v>361</v>
      </c>
      <c r="C241" s="2">
        <v>2019</v>
      </c>
      <c r="D241" s="2" t="s">
        <v>774</v>
      </c>
      <c r="E241" s="2" t="s">
        <v>734</v>
      </c>
      <c r="F241" s="2">
        <v>10.964</v>
      </c>
      <c r="G241" s="2" t="s">
        <v>146</v>
      </c>
      <c r="H241" s="2" t="s">
        <v>146</v>
      </c>
      <c r="I241" s="2" t="s">
        <v>146</v>
      </c>
      <c r="J241" s="2" t="s">
        <v>49</v>
      </c>
      <c r="K241" s="2" t="s">
        <v>146</v>
      </c>
      <c r="L241" s="2" t="s">
        <v>146</v>
      </c>
      <c r="M241" s="2" t="s">
        <v>146</v>
      </c>
      <c r="N241" s="2" t="s">
        <v>146</v>
      </c>
      <c r="O241" s="2" t="s">
        <v>146</v>
      </c>
      <c r="P241" s="2" t="s">
        <v>49</v>
      </c>
      <c r="Q241" s="2" t="s">
        <v>146</v>
      </c>
      <c r="R241" s="2" t="s">
        <v>146</v>
      </c>
      <c r="S241" s="2" t="s">
        <v>146</v>
      </c>
      <c r="T241" s="2" t="s">
        <v>146</v>
      </c>
      <c r="U241" s="2" t="s">
        <v>146</v>
      </c>
      <c r="X241" s="2">
        <f t="shared" si="3"/>
        <v>0</v>
      </c>
    </row>
    <row r="242" spans="1:24" ht="14.25" x14ac:dyDescent="0.45">
      <c r="A242" s="2" t="s">
        <v>360</v>
      </c>
      <c r="B242" s="2" t="s">
        <v>359</v>
      </c>
      <c r="C242" s="2">
        <v>2019</v>
      </c>
      <c r="D242" s="2" t="s">
        <v>49</v>
      </c>
      <c r="E242" s="2" t="s">
        <v>146</v>
      </c>
      <c r="F242" s="2" t="s">
        <v>146</v>
      </c>
      <c r="G242" s="2" t="s">
        <v>146</v>
      </c>
      <c r="H242" s="2" t="s">
        <v>146</v>
      </c>
      <c r="I242" s="2" t="s">
        <v>146</v>
      </c>
      <c r="J242" s="2" t="s">
        <v>49</v>
      </c>
      <c r="K242" s="2" t="s">
        <v>146</v>
      </c>
      <c r="L242" s="2" t="s">
        <v>146</v>
      </c>
      <c r="M242" s="2" t="s">
        <v>146</v>
      </c>
      <c r="N242" s="2" t="s">
        <v>146</v>
      </c>
      <c r="O242" s="2" t="s">
        <v>146</v>
      </c>
      <c r="P242" s="2" t="s">
        <v>49</v>
      </c>
      <c r="Q242" s="2" t="s">
        <v>146</v>
      </c>
      <c r="R242" s="2" t="s">
        <v>146</v>
      </c>
      <c r="S242" s="2" t="s">
        <v>146</v>
      </c>
      <c r="T242" s="2" t="s">
        <v>146</v>
      </c>
      <c r="U242" s="2" t="s">
        <v>146</v>
      </c>
      <c r="X242" s="2">
        <f t="shared" si="3"/>
        <v>0</v>
      </c>
    </row>
    <row r="243" spans="1:24" ht="14.25" x14ac:dyDescent="0.45">
      <c r="A243" s="2" t="s">
        <v>342</v>
      </c>
      <c r="B243" s="2" t="s">
        <v>358</v>
      </c>
      <c r="C243" s="2">
        <v>2019</v>
      </c>
      <c r="D243" s="2" t="s">
        <v>49</v>
      </c>
      <c r="E243" s="2" t="s">
        <v>146</v>
      </c>
      <c r="F243" s="2" t="s">
        <v>146</v>
      </c>
      <c r="G243" s="2" t="s">
        <v>146</v>
      </c>
      <c r="H243" s="2" t="s">
        <v>146</v>
      </c>
      <c r="I243" s="2" t="s">
        <v>146</v>
      </c>
      <c r="J243" s="2" t="s">
        <v>49</v>
      </c>
      <c r="K243" s="2" t="s">
        <v>146</v>
      </c>
      <c r="L243" s="2" t="s">
        <v>146</v>
      </c>
      <c r="M243" s="2" t="s">
        <v>146</v>
      </c>
      <c r="N243" s="2" t="s">
        <v>146</v>
      </c>
      <c r="O243" s="2" t="s">
        <v>146</v>
      </c>
      <c r="P243" s="2" t="s">
        <v>49</v>
      </c>
      <c r="Q243" s="2" t="s">
        <v>146</v>
      </c>
      <c r="R243" s="2" t="s">
        <v>146</v>
      </c>
      <c r="S243" s="2" t="s">
        <v>146</v>
      </c>
      <c r="T243" s="2" t="s">
        <v>146</v>
      </c>
      <c r="U243" s="2" t="s">
        <v>146</v>
      </c>
      <c r="X243" s="2">
        <f t="shared" si="3"/>
        <v>0</v>
      </c>
    </row>
    <row r="244" spans="1:24" ht="14.25" x14ac:dyDescent="0.45">
      <c r="A244" s="2" t="s">
        <v>342</v>
      </c>
      <c r="B244" s="2" t="s">
        <v>357</v>
      </c>
      <c r="C244" s="2">
        <v>2019</v>
      </c>
      <c r="D244" s="2" t="s">
        <v>49</v>
      </c>
      <c r="E244" s="2" t="s">
        <v>146</v>
      </c>
      <c r="F244" s="2" t="s">
        <v>146</v>
      </c>
      <c r="G244" s="2" t="s">
        <v>146</v>
      </c>
      <c r="H244" s="2" t="s">
        <v>146</v>
      </c>
      <c r="I244" s="2" t="s">
        <v>146</v>
      </c>
      <c r="J244" s="2" t="s">
        <v>49</v>
      </c>
      <c r="K244" s="2" t="s">
        <v>146</v>
      </c>
      <c r="L244" s="2" t="s">
        <v>146</v>
      </c>
      <c r="M244" s="2" t="s">
        <v>146</v>
      </c>
      <c r="N244" s="2" t="s">
        <v>146</v>
      </c>
      <c r="O244" s="2" t="s">
        <v>146</v>
      </c>
      <c r="P244" s="2" t="s">
        <v>49</v>
      </c>
      <c r="Q244" s="2" t="s">
        <v>146</v>
      </c>
      <c r="R244" s="2" t="s">
        <v>146</v>
      </c>
      <c r="S244" s="2" t="s">
        <v>146</v>
      </c>
      <c r="T244" s="2" t="s">
        <v>146</v>
      </c>
      <c r="U244" s="2" t="s">
        <v>146</v>
      </c>
      <c r="X244" s="2">
        <f t="shared" si="3"/>
        <v>0</v>
      </c>
    </row>
    <row r="245" spans="1:24" ht="14.25" x14ac:dyDescent="0.45">
      <c r="A245" s="2" t="s">
        <v>342</v>
      </c>
      <c r="B245" s="2" t="s">
        <v>356</v>
      </c>
      <c r="C245" s="2">
        <v>2019</v>
      </c>
      <c r="D245" s="2" t="s">
        <v>49</v>
      </c>
      <c r="E245" s="2" t="s">
        <v>146</v>
      </c>
      <c r="F245" s="2" t="s">
        <v>146</v>
      </c>
      <c r="G245" s="2" t="s">
        <v>146</v>
      </c>
      <c r="H245" s="2" t="s">
        <v>146</v>
      </c>
      <c r="I245" s="2" t="s">
        <v>146</v>
      </c>
      <c r="J245" s="2" t="s">
        <v>49</v>
      </c>
      <c r="K245" s="2" t="s">
        <v>146</v>
      </c>
      <c r="L245" s="2" t="s">
        <v>146</v>
      </c>
      <c r="M245" s="2" t="s">
        <v>146</v>
      </c>
      <c r="N245" s="2" t="s">
        <v>146</v>
      </c>
      <c r="O245" s="2" t="s">
        <v>146</v>
      </c>
      <c r="P245" s="2" t="s">
        <v>49</v>
      </c>
      <c r="Q245" s="2" t="s">
        <v>146</v>
      </c>
      <c r="R245" s="2" t="s">
        <v>146</v>
      </c>
      <c r="S245" s="2" t="s">
        <v>146</v>
      </c>
      <c r="T245" s="2" t="s">
        <v>146</v>
      </c>
      <c r="U245" s="2" t="s">
        <v>146</v>
      </c>
      <c r="X245" s="2">
        <f t="shared" si="3"/>
        <v>0</v>
      </c>
    </row>
    <row r="246" spans="1:24" ht="14.25" x14ac:dyDescent="0.45">
      <c r="A246" s="2" t="s">
        <v>342</v>
      </c>
      <c r="B246" s="2" t="s">
        <v>355</v>
      </c>
      <c r="C246" s="2">
        <v>2019</v>
      </c>
      <c r="D246" s="2" t="s">
        <v>49</v>
      </c>
      <c r="E246" s="2" t="s">
        <v>146</v>
      </c>
      <c r="F246" s="2" t="s">
        <v>146</v>
      </c>
      <c r="G246" s="2" t="s">
        <v>146</v>
      </c>
      <c r="H246" s="2" t="s">
        <v>146</v>
      </c>
      <c r="I246" s="2" t="s">
        <v>146</v>
      </c>
      <c r="J246" s="2" t="s">
        <v>49</v>
      </c>
      <c r="K246" s="2" t="s">
        <v>146</v>
      </c>
      <c r="L246" s="2" t="s">
        <v>146</v>
      </c>
      <c r="M246" s="2" t="s">
        <v>146</v>
      </c>
      <c r="N246" s="2" t="s">
        <v>146</v>
      </c>
      <c r="O246" s="2" t="s">
        <v>146</v>
      </c>
      <c r="P246" s="2" t="s">
        <v>49</v>
      </c>
      <c r="Q246" s="2" t="s">
        <v>146</v>
      </c>
      <c r="R246" s="2" t="s">
        <v>146</v>
      </c>
      <c r="S246" s="2" t="s">
        <v>146</v>
      </c>
      <c r="T246" s="2" t="s">
        <v>146</v>
      </c>
      <c r="U246" s="2" t="s">
        <v>146</v>
      </c>
      <c r="X246" s="2">
        <f t="shared" si="3"/>
        <v>0</v>
      </c>
    </row>
    <row r="247" spans="1:24" ht="14.25" x14ac:dyDescent="0.45">
      <c r="A247" s="2" t="s">
        <v>342</v>
      </c>
      <c r="B247" s="2" t="s">
        <v>354</v>
      </c>
      <c r="C247" s="2">
        <v>2019</v>
      </c>
      <c r="D247" s="2" t="s">
        <v>49</v>
      </c>
      <c r="E247" s="2" t="s">
        <v>146</v>
      </c>
      <c r="F247" s="2" t="s">
        <v>146</v>
      </c>
      <c r="G247" s="2" t="s">
        <v>146</v>
      </c>
      <c r="H247" s="2" t="s">
        <v>146</v>
      </c>
      <c r="I247" s="2" t="s">
        <v>146</v>
      </c>
      <c r="J247" s="2" t="s">
        <v>49</v>
      </c>
      <c r="K247" s="2" t="s">
        <v>146</v>
      </c>
      <c r="L247" s="2" t="s">
        <v>146</v>
      </c>
      <c r="M247" s="2" t="s">
        <v>146</v>
      </c>
      <c r="N247" s="2" t="s">
        <v>146</v>
      </c>
      <c r="O247" s="2" t="s">
        <v>146</v>
      </c>
      <c r="P247" s="2" t="s">
        <v>49</v>
      </c>
      <c r="Q247" s="2" t="s">
        <v>146</v>
      </c>
      <c r="R247" s="2" t="s">
        <v>146</v>
      </c>
      <c r="S247" s="2" t="s">
        <v>146</v>
      </c>
      <c r="T247" s="2" t="s">
        <v>146</v>
      </c>
      <c r="U247" s="2" t="s">
        <v>146</v>
      </c>
      <c r="X247" s="2">
        <f t="shared" si="3"/>
        <v>0</v>
      </c>
    </row>
    <row r="248" spans="1:24" ht="14.25" x14ac:dyDescent="0.45">
      <c r="A248" s="2" t="s">
        <v>342</v>
      </c>
      <c r="B248" s="2" t="s">
        <v>353</v>
      </c>
      <c r="C248" s="2">
        <v>2019</v>
      </c>
      <c r="D248" s="2" t="s">
        <v>49</v>
      </c>
      <c r="E248" s="2" t="s">
        <v>146</v>
      </c>
      <c r="F248" s="2" t="s">
        <v>146</v>
      </c>
      <c r="G248" s="2" t="s">
        <v>146</v>
      </c>
      <c r="H248" s="2" t="s">
        <v>146</v>
      </c>
      <c r="I248" s="2" t="s">
        <v>146</v>
      </c>
      <c r="J248" s="2" t="s">
        <v>49</v>
      </c>
      <c r="K248" s="2" t="s">
        <v>146</v>
      </c>
      <c r="L248" s="2" t="s">
        <v>146</v>
      </c>
      <c r="M248" s="2" t="s">
        <v>146</v>
      </c>
      <c r="N248" s="2" t="s">
        <v>146</v>
      </c>
      <c r="O248" s="2" t="s">
        <v>146</v>
      </c>
      <c r="P248" s="2" t="s">
        <v>49</v>
      </c>
      <c r="Q248" s="2" t="s">
        <v>146</v>
      </c>
      <c r="R248" s="2" t="s">
        <v>146</v>
      </c>
      <c r="S248" s="2" t="s">
        <v>146</v>
      </c>
      <c r="T248" s="2" t="s">
        <v>146</v>
      </c>
      <c r="U248" s="2" t="s">
        <v>146</v>
      </c>
      <c r="X248" s="2">
        <f t="shared" si="3"/>
        <v>0</v>
      </c>
    </row>
    <row r="249" spans="1:24" ht="14.25" x14ac:dyDescent="0.45">
      <c r="A249" s="2" t="s">
        <v>342</v>
      </c>
      <c r="B249" s="2" t="s">
        <v>352</v>
      </c>
      <c r="C249" s="2">
        <v>2019</v>
      </c>
      <c r="D249" s="2" t="s">
        <v>49</v>
      </c>
      <c r="E249" s="2" t="s">
        <v>146</v>
      </c>
      <c r="F249" s="2" t="s">
        <v>146</v>
      </c>
      <c r="G249" s="2" t="s">
        <v>146</v>
      </c>
      <c r="H249" s="2" t="s">
        <v>146</v>
      </c>
      <c r="I249" s="2" t="s">
        <v>146</v>
      </c>
      <c r="J249" s="2" t="s">
        <v>49</v>
      </c>
      <c r="K249" s="2" t="s">
        <v>146</v>
      </c>
      <c r="L249" s="2" t="s">
        <v>146</v>
      </c>
      <c r="M249" s="2" t="s">
        <v>146</v>
      </c>
      <c r="N249" s="2" t="s">
        <v>146</v>
      </c>
      <c r="O249" s="2" t="s">
        <v>146</v>
      </c>
      <c r="P249" s="2" t="s">
        <v>49</v>
      </c>
      <c r="Q249" s="2" t="s">
        <v>146</v>
      </c>
      <c r="R249" s="2" t="s">
        <v>146</v>
      </c>
      <c r="S249" s="2" t="s">
        <v>146</v>
      </c>
      <c r="T249" s="2" t="s">
        <v>146</v>
      </c>
      <c r="U249" s="2" t="s">
        <v>146</v>
      </c>
      <c r="X249" s="2">
        <f t="shared" si="3"/>
        <v>0</v>
      </c>
    </row>
    <row r="250" spans="1:24" ht="14.25" x14ac:dyDescent="0.45">
      <c r="A250" s="2" t="s">
        <v>342</v>
      </c>
      <c r="B250" s="2" t="s">
        <v>351</v>
      </c>
      <c r="C250" s="2">
        <v>2019</v>
      </c>
      <c r="D250" s="2" t="s">
        <v>49</v>
      </c>
      <c r="E250" s="2" t="s">
        <v>146</v>
      </c>
      <c r="F250" s="2" t="s">
        <v>146</v>
      </c>
      <c r="G250" s="2" t="s">
        <v>146</v>
      </c>
      <c r="H250" s="2" t="s">
        <v>146</v>
      </c>
      <c r="I250" s="2" t="s">
        <v>146</v>
      </c>
      <c r="J250" s="2" t="s">
        <v>49</v>
      </c>
      <c r="K250" s="2" t="s">
        <v>146</v>
      </c>
      <c r="L250" s="2" t="s">
        <v>146</v>
      </c>
      <c r="M250" s="2" t="s">
        <v>146</v>
      </c>
      <c r="N250" s="2" t="s">
        <v>146</v>
      </c>
      <c r="O250" s="2" t="s">
        <v>146</v>
      </c>
      <c r="P250" s="2" t="s">
        <v>49</v>
      </c>
      <c r="Q250" s="2" t="s">
        <v>146</v>
      </c>
      <c r="R250" s="2" t="s">
        <v>146</v>
      </c>
      <c r="S250" s="2" t="s">
        <v>146</v>
      </c>
      <c r="T250" s="2" t="s">
        <v>146</v>
      </c>
      <c r="U250" s="2" t="s">
        <v>146</v>
      </c>
      <c r="X250" s="2">
        <f t="shared" si="3"/>
        <v>0</v>
      </c>
    </row>
    <row r="251" spans="1:24" ht="14.25" x14ac:dyDescent="0.45">
      <c r="A251" s="2" t="s">
        <v>342</v>
      </c>
      <c r="B251" s="2" t="s">
        <v>350</v>
      </c>
      <c r="C251" s="2">
        <v>2019</v>
      </c>
      <c r="D251" s="2" t="s">
        <v>49</v>
      </c>
      <c r="E251" s="2" t="s">
        <v>146</v>
      </c>
      <c r="F251" s="2" t="s">
        <v>146</v>
      </c>
      <c r="G251" s="2" t="s">
        <v>146</v>
      </c>
      <c r="H251" s="2" t="s">
        <v>146</v>
      </c>
      <c r="I251" s="2" t="s">
        <v>146</v>
      </c>
      <c r="J251" s="2" t="s">
        <v>49</v>
      </c>
      <c r="K251" s="2" t="s">
        <v>146</v>
      </c>
      <c r="L251" s="2" t="s">
        <v>146</v>
      </c>
      <c r="M251" s="2" t="s">
        <v>146</v>
      </c>
      <c r="N251" s="2" t="s">
        <v>146</v>
      </c>
      <c r="O251" s="2" t="s">
        <v>146</v>
      </c>
      <c r="P251" s="2" t="s">
        <v>49</v>
      </c>
      <c r="Q251" s="2" t="s">
        <v>146</v>
      </c>
      <c r="R251" s="2" t="s">
        <v>146</v>
      </c>
      <c r="S251" s="2" t="s">
        <v>146</v>
      </c>
      <c r="T251" s="2" t="s">
        <v>146</v>
      </c>
      <c r="U251" s="2" t="s">
        <v>146</v>
      </c>
      <c r="X251" s="2">
        <f t="shared" si="3"/>
        <v>0</v>
      </c>
    </row>
    <row r="252" spans="1:24" ht="14.25" x14ac:dyDescent="0.45">
      <c r="A252" s="2" t="s">
        <v>342</v>
      </c>
      <c r="B252" s="2" t="s">
        <v>349</v>
      </c>
      <c r="C252" s="2">
        <v>2019</v>
      </c>
      <c r="D252" s="2" t="s">
        <v>49</v>
      </c>
      <c r="E252" s="2" t="s">
        <v>146</v>
      </c>
      <c r="F252" s="2" t="s">
        <v>146</v>
      </c>
      <c r="G252" s="2" t="s">
        <v>146</v>
      </c>
      <c r="H252" s="2" t="s">
        <v>146</v>
      </c>
      <c r="I252" s="2" t="s">
        <v>146</v>
      </c>
      <c r="J252" s="2" t="s">
        <v>49</v>
      </c>
      <c r="K252" s="2" t="s">
        <v>146</v>
      </c>
      <c r="L252" s="2" t="s">
        <v>146</v>
      </c>
      <c r="M252" s="2" t="s">
        <v>146</v>
      </c>
      <c r="N252" s="2" t="s">
        <v>146</v>
      </c>
      <c r="O252" s="2" t="s">
        <v>146</v>
      </c>
      <c r="P252" s="2" t="s">
        <v>49</v>
      </c>
      <c r="Q252" s="2" t="s">
        <v>146</v>
      </c>
      <c r="R252" s="2" t="s">
        <v>146</v>
      </c>
      <c r="S252" s="2" t="s">
        <v>146</v>
      </c>
      <c r="T252" s="2" t="s">
        <v>146</v>
      </c>
      <c r="U252" s="2" t="s">
        <v>146</v>
      </c>
      <c r="X252" s="2">
        <f t="shared" si="3"/>
        <v>0</v>
      </c>
    </row>
    <row r="253" spans="1:24" ht="14.25" x14ac:dyDescent="0.45">
      <c r="A253" s="2" t="s">
        <v>342</v>
      </c>
      <c r="B253" s="2" t="s">
        <v>348</v>
      </c>
      <c r="C253" s="2">
        <v>2019</v>
      </c>
      <c r="D253" s="2" t="s">
        <v>49</v>
      </c>
      <c r="E253" s="2" t="s">
        <v>146</v>
      </c>
      <c r="F253" s="2" t="s">
        <v>146</v>
      </c>
      <c r="G253" s="2" t="s">
        <v>146</v>
      </c>
      <c r="H253" s="2" t="s">
        <v>146</v>
      </c>
      <c r="I253" s="2" t="s">
        <v>146</v>
      </c>
      <c r="J253" s="2" t="s">
        <v>49</v>
      </c>
      <c r="K253" s="2" t="s">
        <v>146</v>
      </c>
      <c r="L253" s="2" t="s">
        <v>146</v>
      </c>
      <c r="M253" s="2" t="s">
        <v>146</v>
      </c>
      <c r="N253" s="2" t="s">
        <v>146</v>
      </c>
      <c r="O253" s="2" t="s">
        <v>146</v>
      </c>
      <c r="P253" s="2" t="s">
        <v>49</v>
      </c>
      <c r="Q253" s="2" t="s">
        <v>146</v>
      </c>
      <c r="R253" s="2" t="s">
        <v>146</v>
      </c>
      <c r="S253" s="2" t="s">
        <v>146</v>
      </c>
      <c r="T253" s="2" t="s">
        <v>146</v>
      </c>
      <c r="U253" s="2" t="s">
        <v>146</v>
      </c>
      <c r="X253" s="2">
        <f t="shared" si="3"/>
        <v>0</v>
      </c>
    </row>
    <row r="254" spans="1:24" ht="14.25" x14ac:dyDescent="0.45">
      <c r="A254" s="2" t="s">
        <v>342</v>
      </c>
      <c r="B254" s="2" t="s">
        <v>347</v>
      </c>
      <c r="C254" s="2">
        <v>2019</v>
      </c>
      <c r="D254" s="2" t="s">
        <v>49</v>
      </c>
      <c r="E254" s="2" t="s">
        <v>146</v>
      </c>
      <c r="F254" s="2" t="s">
        <v>146</v>
      </c>
      <c r="G254" s="2" t="s">
        <v>146</v>
      </c>
      <c r="H254" s="2" t="s">
        <v>146</v>
      </c>
      <c r="I254" s="2" t="s">
        <v>146</v>
      </c>
      <c r="J254" s="2" t="s">
        <v>49</v>
      </c>
      <c r="K254" s="2" t="s">
        <v>146</v>
      </c>
      <c r="L254" s="2" t="s">
        <v>146</v>
      </c>
      <c r="M254" s="2" t="s">
        <v>146</v>
      </c>
      <c r="N254" s="2" t="s">
        <v>146</v>
      </c>
      <c r="O254" s="2" t="s">
        <v>146</v>
      </c>
      <c r="P254" s="2" t="s">
        <v>49</v>
      </c>
      <c r="Q254" s="2" t="s">
        <v>146</v>
      </c>
      <c r="R254" s="2" t="s">
        <v>146</v>
      </c>
      <c r="S254" s="2" t="s">
        <v>146</v>
      </c>
      <c r="T254" s="2" t="s">
        <v>146</v>
      </c>
      <c r="U254" s="2" t="s">
        <v>146</v>
      </c>
      <c r="X254" s="2">
        <f t="shared" si="3"/>
        <v>0</v>
      </c>
    </row>
    <row r="255" spans="1:24" ht="14.25" x14ac:dyDescent="0.45">
      <c r="A255" s="2" t="s">
        <v>342</v>
      </c>
      <c r="B255" s="2" t="s">
        <v>346</v>
      </c>
      <c r="C255" s="2">
        <v>2019</v>
      </c>
      <c r="D255" s="2" t="s">
        <v>49</v>
      </c>
      <c r="E255" s="2" t="s">
        <v>146</v>
      </c>
      <c r="F255" s="2" t="s">
        <v>146</v>
      </c>
      <c r="G255" s="2" t="s">
        <v>146</v>
      </c>
      <c r="H255" s="2" t="s">
        <v>146</v>
      </c>
      <c r="I255" s="2" t="s">
        <v>146</v>
      </c>
      <c r="J255" s="2" t="s">
        <v>49</v>
      </c>
      <c r="K255" s="2" t="s">
        <v>146</v>
      </c>
      <c r="L255" s="2" t="s">
        <v>146</v>
      </c>
      <c r="M255" s="2" t="s">
        <v>146</v>
      </c>
      <c r="N255" s="2" t="s">
        <v>146</v>
      </c>
      <c r="O255" s="2" t="s">
        <v>146</v>
      </c>
      <c r="P255" s="2" t="s">
        <v>49</v>
      </c>
      <c r="Q255" s="2" t="s">
        <v>146</v>
      </c>
      <c r="R255" s="2" t="s">
        <v>146</v>
      </c>
      <c r="S255" s="2" t="s">
        <v>146</v>
      </c>
      <c r="T255" s="2" t="s">
        <v>146</v>
      </c>
      <c r="U255" s="2" t="s">
        <v>146</v>
      </c>
      <c r="X255" s="2">
        <f t="shared" si="3"/>
        <v>0</v>
      </c>
    </row>
    <row r="256" spans="1:24" ht="14.25" x14ac:dyDescent="0.45">
      <c r="A256" s="2" t="s">
        <v>342</v>
      </c>
      <c r="B256" s="2" t="s">
        <v>345</v>
      </c>
      <c r="C256" s="2">
        <v>2019</v>
      </c>
      <c r="D256" s="2" t="s">
        <v>49</v>
      </c>
      <c r="E256" s="2" t="s">
        <v>146</v>
      </c>
      <c r="F256" s="2" t="s">
        <v>146</v>
      </c>
      <c r="G256" s="2" t="s">
        <v>146</v>
      </c>
      <c r="H256" s="2" t="s">
        <v>146</v>
      </c>
      <c r="I256" s="2" t="s">
        <v>146</v>
      </c>
      <c r="J256" s="2" t="s">
        <v>49</v>
      </c>
      <c r="K256" s="2" t="s">
        <v>146</v>
      </c>
      <c r="L256" s="2" t="s">
        <v>146</v>
      </c>
      <c r="M256" s="2" t="s">
        <v>146</v>
      </c>
      <c r="N256" s="2" t="s">
        <v>146</v>
      </c>
      <c r="O256" s="2" t="s">
        <v>146</v>
      </c>
      <c r="P256" s="2" t="s">
        <v>49</v>
      </c>
      <c r="Q256" s="2" t="s">
        <v>146</v>
      </c>
      <c r="R256" s="2" t="s">
        <v>146</v>
      </c>
      <c r="S256" s="2" t="s">
        <v>146</v>
      </c>
      <c r="T256" s="2" t="s">
        <v>146</v>
      </c>
      <c r="U256" s="2" t="s">
        <v>146</v>
      </c>
      <c r="X256" s="2">
        <f t="shared" si="3"/>
        <v>0</v>
      </c>
    </row>
    <row r="257" spans="1:24" ht="14.25" x14ac:dyDescent="0.45">
      <c r="A257" s="2" t="s">
        <v>342</v>
      </c>
      <c r="B257" s="2" t="s">
        <v>344</v>
      </c>
      <c r="C257" s="2">
        <v>2019</v>
      </c>
      <c r="D257" s="2" t="s">
        <v>49</v>
      </c>
      <c r="E257" s="2" t="s">
        <v>146</v>
      </c>
      <c r="F257" s="2" t="s">
        <v>146</v>
      </c>
      <c r="G257" s="2" t="s">
        <v>146</v>
      </c>
      <c r="H257" s="2" t="s">
        <v>146</v>
      </c>
      <c r="I257" s="2" t="s">
        <v>146</v>
      </c>
      <c r="J257" s="2" t="s">
        <v>49</v>
      </c>
      <c r="K257" s="2" t="s">
        <v>146</v>
      </c>
      <c r="L257" s="2" t="s">
        <v>146</v>
      </c>
      <c r="M257" s="2" t="s">
        <v>146</v>
      </c>
      <c r="N257" s="2" t="s">
        <v>146</v>
      </c>
      <c r="O257" s="2" t="s">
        <v>146</v>
      </c>
      <c r="P257" s="2" t="s">
        <v>49</v>
      </c>
      <c r="Q257" s="2" t="s">
        <v>146</v>
      </c>
      <c r="R257" s="2" t="s">
        <v>146</v>
      </c>
      <c r="S257" s="2" t="s">
        <v>146</v>
      </c>
      <c r="T257" s="2" t="s">
        <v>146</v>
      </c>
      <c r="U257" s="2" t="s">
        <v>146</v>
      </c>
      <c r="X257" s="2">
        <f t="shared" si="3"/>
        <v>0</v>
      </c>
    </row>
    <row r="258" spans="1:24" ht="14.25" x14ac:dyDescent="0.45">
      <c r="A258" s="2" t="s">
        <v>342</v>
      </c>
      <c r="B258" s="2" t="s">
        <v>343</v>
      </c>
      <c r="C258" s="2">
        <v>2019</v>
      </c>
      <c r="D258" s="2" t="s">
        <v>49</v>
      </c>
      <c r="E258" s="2" t="s">
        <v>146</v>
      </c>
      <c r="F258" s="2" t="s">
        <v>146</v>
      </c>
      <c r="G258" s="2" t="s">
        <v>146</v>
      </c>
      <c r="H258" s="2" t="s">
        <v>146</v>
      </c>
      <c r="I258" s="2" t="s">
        <v>146</v>
      </c>
      <c r="J258" s="2" t="s">
        <v>49</v>
      </c>
      <c r="K258" s="2" t="s">
        <v>146</v>
      </c>
      <c r="L258" s="2" t="s">
        <v>146</v>
      </c>
      <c r="M258" s="2" t="s">
        <v>146</v>
      </c>
      <c r="N258" s="2" t="s">
        <v>146</v>
      </c>
      <c r="O258" s="2" t="s">
        <v>146</v>
      </c>
      <c r="P258" s="2" t="s">
        <v>49</v>
      </c>
      <c r="Q258" s="2" t="s">
        <v>146</v>
      </c>
      <c r="R258" s="2" t="s">
        <v>146</v>
      </c>
      <c r="S258" s="2" t="s">
        <v>146</v>
      </c>
      <c r="T258" s="2" t="s">
        <v>146</v>
      </c>
      <c r="U258" s="2" t="s">
        <v>146</v>
      </c>
      <c r="X258" s="2">
        <f t="shared" si="3"/>
        <v>0</v>
      </c>
    </row>
    <row r="259" spans="1:24" ht="14.25" x14ac:dyDescent="0.45">
      <c r="A259" s="2" t="s">
        <v>342</v>
      </c>
      <c r="B259" s="2" t="s">
        <v>341</v>
      </c>
      <c r="C259" s="2">
        <v>2019</v>
      </c>
      <c r="D259" s="2" t="s">
        <v>49</v>
      </c>
      <c r="E259" s="2" t="s">
        <v>146</v>
      </c>
      <c r="F259" s="2" t="s">
        <v>146</v>
      </c>
      <c r="G259" s="2" t="s">
        <v>146</v>
      </c>
      <c r="H259" s="2" t="s">
        <v>146</v>
      </c>
      <c r="I259" s="2" t="s">
        <v>146</v>
      </c>
      <c r="J259" s="2" t="s">
        <v>49</v>
      </c>
      <c r="K259" s="2" t="s">
        <v>146</v>
      </c>
      <c r="L259" s="2" t="s">
        <v>146</v>
      </c>
      <c r="M259" s="2" t="s">
        <v>146</v>
      </c>
      <c r="N259" s="2" t="s">
        <v>146</v>
      </c>
      <c r="O259" s="2" t="s">
        <v>146</v>
      </c>
      <c r="P259" s="2" t="s">
        <v>49</v>
      </c>
      <c r="Q259" s="2" t="s">
        <v>146</v>
      </c>
      <c r="R259" s="2" t="s">
        <v>146</v>
      </c>
      <c r="S259" s="2" t="s">
        <v>146</v>
      </c>
      <c r="T259" s="2" t="s">
        <v>146</v>
      </c>
      <c r="U259" s="2" t="s">
        <v>146</v>
      </c>
      <c r="X259" s="2">
        <f t="shared" ref="X259:X322" si="4">(IF(E259="Avfall",F259,0)+IF(G259="Avfall",H259,0))/IFERROR(I259/100,0.85)+(IF(K259="Avfall",L259,0)+IF(M259="Avfall",N259,0))/IFERROR(O259/100,0.85)+(IF(Q259="avfall",R259,0)+IF(S259="avfall",T259,0))/IFERROR(U259/100,0.85)</f>
        <v>0</v>
      </c>
    </row>
    <row r="260" spans="1:24" ht="14.25" x14ac:dyDescent="0.45">
      <c r="A260" s="2" t="s">
        <v>336</v>
      </c>
      <c r="B260" s="2" t="s">
        <v>340</v>
      </c>
      <c r="C260" s="2">
        <v>2019</v>
      </c>
      <c r="D260" s="2" t="s">
        <v>49</v>
      </c>
      <c r="E260" s="2" t="s">
        <v>146</v>
      </c>
      <c r="F260" s="2" t="s">
        <v>146</v>
      </c>
      <c r="G260" s="2" t="s">
        <v>146</v>
      </c>
      <c r="H260" s="2" t="s">
        <v>146</v>
      </c>
      <c r="I260" s="2" t="s">
        <v>146</v>
      </c>
      <c r="J260" s="2" t="s">
        <v>49</v>
      </c>
      <c r="K260" s="2" t="s">
        <v>146</v>
      </c>
      <c r="L260" s="2" t="s">
        <v>146</v>
      </c>
      <c r="M260" s="2" t="s">
        <v>146</v>
      </c>
      <c r="N260" s="2" t="s">
        <v>146</v>
      </c>
      <c r="O260" s="2" t="s">
        <v>146</v>
      </c>
      <c r="P260" s="2" t="s">
        <v>49</v>
      </c>
      <c r="Q260" s="2" t="s">
        <v>146</v>
      </c>
      <c r="R260" s="2" t="s">
        <v>146</v>
      </c>
      <c r="S260" s="2" t="s">
        <v>146</v>
      </c>
      <c r="T260" s="2" t="s">
        <v>146</v>
      </c>
      <c r="U260" s="2" t="s">
        <v>146</v>
      </c>
      <c r="X260" s="2">
        <f t="shared" si="4"/>
        <v>0</v>
      </c>
    </row>
    <row r="261" spans="1:24" ht="14.25" x14ac:dyDescent="0.45">
      <c r="A261" s="2" t="s">
        <v>336</v>
      </c>
      <c r="B261" s="2" t="s">
        <v>339</v>
      </c>
      <c r="C261" s="2">
        <v>2019</v>
      </c>
      <c r="D261" s="2" t="s">
        <v>49</v>
      </c>
      <c r="E261" s="2" t="s">
        <v>146</v>
      </c>
      <c r="F261" s="2" t="s">
        <v>146</v>
      </c>
      <c r="G261" s="2" t="s">
        <v>146</v>
      </c>
      <c r="H261" s="2" t="s">
        <v>146</v>
      </c>
      <c r="I261" s="2" t="s">
        <v>146</v>
      </c>
      <c r="J261" s="2" t="s">
        <v>49</v>
      </c>
      <c r="K261" s="2" t="s">
        <v>146</v>
      </c>
      <c r="L261" s="2" t="s">
        <v>146</v>
      </c>
      <c r="M261" s="2" t="s">
        <v>146</v>
      </c>
      <c r="N261" s="2" t="s">
        <v>146</v>
      </c>
      <c r="O261" s="2" t="s">
        <v>146</v>
      </c>
      <c r="P261" s="2" t="s">
        <v>49</v>
      </c>
      <c r="Q261" s="2" t="s">
        <v>146</v>
      </c>
      <c r="R261" s="2" t="s">
        <v>146</v>
      </c>
      <c r="S261" s="2" t="s">
        <v>146</v>
      </c>
      <c r="T261" s="2" t="s">
        <v>146</v>
      </c>
      <c r="U261" s="2" t="s">
        <v>146</v>
      </c>
      <c r="X261" s="2">
        <f t="shared" si="4"/>
        <v>0</v>
      </c>
    </row>
    <row r="262" spans="1:24" ht="14.25" x14ac:dyDescent="0.45">
      <c r="A262" s="2" t="s">
        <v>336</v>
      </c>
      <c r="B262" s="2" t="s">
        <v>338</v>
      </c>
      <c r="C262" s="2">
        <v>2019</v>
      </c>
      <c r="D262" s="2" t="s">
        <v>49</v>
      </c>
      <c r="E262" s="2" t="s">
        <v>146</v>
      </c>
      <c r="F262" s="2" t="s">
        <v>146</v>
      </c>
      <c r="G262" s="2" t="s">
        <v>146</v>
      </c>
      <c r="H262" s="2" t="s">
        <v>146</v>
      </c>
      <c r="I262" s="2" t="s">
        <v>146</v>
      </c>
      <c r="J262" s="2" t="s">
        <v>49</v>
      </c>
      <c r="K262" s="2" t="s">
        <v>146</v>
      </c>
      <c r="L262" s="2" t="s">
        <v>146</v>
      </c>
      <c r="M262" s="2" t="s">
        <v>146</v>
      </c>
      <c r="N262" s="2" t="s">
        <v>146</v>
      </c>
      <c r="O262" s="2" t="s">
        <v>146</v>
      </c>
      <c r="P262" s="2" t="s">
        <v>49</v>
      </c>
      <c r="Q262" s="2" t="s">
        <v>146</v>
      </c>
      <c r="R262" s="2" t="s">
        <v>146</v>
      </c>
      <c r="S262" s="2" t="s">
        <v>146</v>
      </c>
      <c r="T262" s="2" t="s">
        <v>146</v>
      </c>
      <c r="U262" s="2" t="s">
        <v>146</v>
      </c>
      <c r="X262" s="2">
        <f t="shared" si="4"/>
        <v>0</v>
      </c>
    </row>
    <row r="263" spans="1:24" ht="14.25" x14ac:dyDescent="0.45">
      <c r="A263" s="2" t="s">
        <v>336</v>
      </c>
      <c r="B263" s="2" t="s">
        <v>337</v>
      </c>
      <c r="C263" s="2">
        <v>2019</v>
      </c>
      <c r="D263" s="2" t="s">
        <v>49</v>
      </c>
      <c r="E263" s="2" t="s">
        <v>146</v>
      </c>
      <c r="F263" s="2" t="s">
        <v>146</v>
      </c>
      <c r="G263" s="2" t="s">
        <v>146</v>
      </c>
      <c r="H263" s="2" t="s">
        <v>146</v>
      </c>
      <c r="I263" s="2" t="s">
        <v>146</v>
      </c>
      <c r="J263" s="2" t="s">
        <v>49</v>
      </c>
      <c r="K263" s="2" t="s">
        <v>146</v>
      </c>
      <c r="L263" s="2" t="s">
        <v>146</v>
      </c>
      <c r="M263" s="2" t="s">
        <v>146</v>
      </c>
      <c r="N263" s="2" t="s">
        <v>146</v>
      </c>
      <c r="O263" s="2" t="s">
        <v>146</v>
      </c>
      <c r="P263" s="2" t="s">
        <v>49</v>
      </c>
      <c r="Q263" s="2" t="s">
        <v>146</v>
      </c>
      <c r="R263" s="2" t="s">
        <v>146</v>
      </c>
      <c r="S263" s="2" t="s">
        <v>146</v>
      </c>
      <c r="T263" s="2" t="s">
        <v>146</v>
      </c>
      <c r="U263" s="2" t="s">
        <v>146</v>
      </c>
      <c r="X263" s="2">
        <f t="shared" si="4"/>
        <v>0</v>
      </c>
    </row>
    <row r="264" spans="1:24" ht="14.25" x14ac:dyDescent="0.45">
      <c r="A264" s="2" t="s">
        <v>336</v>
      </c>
      <c r="B264" s="2" t="s">
        <v>335</v>
      </c>
      <c r="C264" s="2">
        <v>2019</v>
      </c>
      <c r="D264" s="2" t="s">
        <v>49</v>
      </c>
      <c r="E264" s="2" t="s">
        <v>146</v>
      </c>
      <c r="F264" s="2" t="s">
        <v>146</v>
      </c>
      <c r="G264" s="2" t="s">
        <v>146</v>
      </c>
      <c r="H264" s="2" t="s">
        <v>146</v>
      </c>
      <c r="I264" s="2" t="s">
        <v>146</v>
      </c>
      <c r="J264" s="2" t="s">
        <v>49</v>
      </c>
      <c r="K264" s="2" t="s">
        <v>146</v>
      </c>
      <c r="L264" s="2" t="s">
        <v>146</v>
      </c>
      <c r="M264" s="2" t="s">
        <v>146</v>
      </c>
      <c r="N264" s="2" t="s">
        <v>146</v>
      </c>
      <c r="O264" s="2" t="s">
        <v>146</v>
      </c>
      <c r="P264" s="2" t="s">
        <v>49</v>
      </c>
      <c r="Q264" s="2" t="s">
        <v>146</v>
      </c>
      <c r="R264" s="2" t="s">
        <v>146</v>
      </c>
      <c r="S264" s="2" t="s">
        <v>146</v>
      </c>
      <c r="T264" s="2" t="s">
        <v>146</v>
      </c>
      <c r="U264" s="2" t="s">
        <v>146</v>
      </c>
      <c r="X264" s="2">
        <f t="shared" si="4"/>
        <v>0</v>
      </c>
    </row>
    <row r="265" spans="1:24" ht="14.25" x14ac:dyDescent="0.45">
      <c r="A265" s="2" t="s">
        <v>333</v>
      </c>
      <c r="B265" s="2" t="s">
        <v>334</v>
      </c>
      <c r="C265" s="2">
        <v>2019</v>
      </c>
      <c r="D265" s="2" t="s">
        <v>49</v>
      </c>
      <c r="E265" s="2" t="s">
        <v>146</v>
      </c>
      <c r="F265" s="2" t="s">
        <v>146</v>
      </c>
      <c r="G265" s="2" t="s">
        <v>146</v>
      </c>
      <c r="H265" s="2" t="s">
        <v>146</v>
      </c>
      <c r="I265" s="2" t="s">
        <v>146</v>
      </c>
      <c r="J265" s="2" t="s">
        <v>49</v>
      </c>
      <c r="K265" s="2" t="s">
        <v>146</v>
      </c>
      <c r="L265" s="2" t="s">
        <v>146</v>
      </c>
      <c r="M265" s="2" t="s">
        <v>146</v>
      </c>
      <c r="N265" s="2" t="s">
        <v>146</v>
      </c>
      <c r="O265" s="2" t="s">
        <v>146</v>
      </c>
      <c r="P265" s="2" t="s">
        <v>49</v>
      </c>
      <c r="Q265" s="2" t="s">
        <v>146</v>
      </c>
      <c r="R265" s="2" t="s">
        <v>146</v>
      </c>
      <c r="S265" s="2" t="s">
        <v>146</v>
      </c>
      <c r="T265" s="2" t="s">
        <v>146</v>
      </c>
      <c r="U265" s="2" t="s">
        <v>146</v>
      </c>
      <c r="X265" s="2">
        <f t="shared" si="4"/>
        <v>0</v>
      </c>
    </row>
    <row r="266" spans="1:24" ht="14.25" x14ac:dyDescent="0.45">
      <c r="A266" s="2" t="s">
        <v>333</v>
      </c>
      <c r="B266" s="2" t="s">
        <v>332</v>
      </c>
      <c r="C266" s="2">
        <v>2019</v>
      </c>
      <c r="D266" s="2" t="s">
        <v>773</v>
      </c>
      <c r="E266" s="2" t="s">
        <v>734</v>
      </c>
      <c r="F266" s="2">
        <v>4.58</v>
      </c>
      <c r="G266" s="2" t="s">
        <v>146</v>
      </c>
      <c r="H266" s="2" t="s">
        <v>146</v>
      </c>
      <c r="I266" s="2" t="s">
        <v>146</v>
      </c>
      <c r="J266" s="2" t="s">
        <v>49</v>
      </c>
      <c r="K266" s="2" t="s">
        <v>146</v>
      </c>
      <c r="L266" s="2" t="s">
        <v>146</v>
      </c>
      <c r="M266" s="2" t="s">
        <v>146</v>
      </c>
      <c r="N266" s="2" t="s">
        <v>146</v>
      </c>
      <c r="O266" s="2" t="s">
        <v>146</v>
      </c>
      <c r="P266" s="2" t="s">
        <v>49</v>
      </c>
      <c r="Q266" s="2" t="s">
        <v>146</v>
      </c>
      <c r="R266" s="2" t="s">
        <v>146</v>
      </c>
      <c r="S266" s="2" t="s">
        <v>146</v>
      </c>
      <c r="T266" s="2" t="s">
        <v>146</v>
      </c>
      <c r="U266" s="2" t="s">
        <v>146</v>
      </c>
      <c r="X266" s="2">
        <f t="shared" si="4"/>
        <v>0</v>
      </c>
    </row>
    <row r="267" spans="1:24" ht="14.25" x14ac:dyDescent="0.45">
      <c r="A267" s="2" t="s">
        <v>331</v>
      </c>
      <c r="B267" s="2" t="s">
        <v>330</v>
      </c>
      <c r="C267" s="2">
        <v>2019</v>
      </c>
      <c r="D267" s="2" t="s">
        <v>49</v>
      </c>
      <c r="E267" s="2" t="s">
        <v>146</v>
      </c>
      <c r="F267" s="2" t="s">
        <v>146</v>
      </c>
      <c r="G267" s="2" t="s">
        <v>146</v>
      </c>
      <c r="H267" s="2" t="s">
        <v>146</v>
      </c>
      <c r="I267" s="2" t="s">
        <v>146</v>
      </c>
      <c r="J267" s="2" t="s">
        <v>49</v>
      </c>
      <c r="K267" s="2" t="s">
        <v>146</v>
      </c>
      <c r="L267" s="2" t="s">
        <v>146</v>
      </c>
      <c r="M267" s="2" t="s">
        <v>146</v>
      </c>
      <c r="N267" s="2" t="s">
        <v>146</v>
      </c>
      <c r="O267" s="2" t="s">
        <v>146</v>
      </c>
      <c r="P267" s="2" t="s">
        <v>49</v>
      </c>
      <c r="Q267" s="2" t="s">
        <v>146</v>
      </c>
      <c r="R267" s="2" t="s">
        <v>146</v>
      </c>
      <c r="S267" s="2" t="s">
        <v>146</v>
      </c>
      <c r="T267" s="2" t="s">
        <v>146</v>
      </c>
      <c r="U267" s="2" t="s">
        <v>146</v>
      </c>
      <c r="X267" s="2">
        <f t="shared" si="4"/>
        <v>0</v>
      </c>
    </row>
    <row r="268" spans="1:24" ht="14.25" x14ac:dyDescent="0.45">
      <c r="A268" s="2" t="s">
        <v>329</v>
      </c>
      <c r="B268" s="2" t="s">
        <v>328</v>
      </c>
      <c r="C268" s="2">
        <v>2019</v>
      </c>
      <c r="D268" s="2" t="s">
        <v>49</v>
      </c>
      <c r="E268" s="2" t="s">
        <v>49</v>
      </c>
      <c r="F268" s="2" t="s">
        <v>49</v>
      </c>
      <c r="G268" s="2" t="s">
        <v>49</v>
      </c>
      <c r="H268" s="2" t="s">
        <v>49</v>
      </c>
      <c r="I268" s="2" t="s">
        <v>49</v>
      </c>
      <c r="J268" s="2" t="s">
        <v>49</v>
      </c>
      <c r="K268" s="2" t="s">
        <v>49</v>
      </c>
      <c r="L268" s="2" t="s">
        <v>49</v>
      </c>
      <c r="M268" s="2" t="s">
        <v>49</v>
      </c>
      <c r="N268" s="2" t="s">
        <v>49</v>
      </c>
      <c r="O268" s="2" t="s">
        <v>49</v>
      </c>
      <c r="P268" s="2" t="s">
        <v>49</v>
      </c>
      <c r="Q268" s="2" t="s">
        <v>49</v>
      </c>
      <c r="R268" s="2" t="s">
        <v>49</v>
      </c>
      <c r="S268" s="2" t="s">
        <v>49</v>
      </c>
      <c r="T268" s="2" t="s">
        <v>49</v>
      </c>
      <c r="U268" s="2" t="s">
        <v>49</v>
      </c>
      <c r="X268" s="2">
        <f t="shared" si="4"/>
        <v>0</v>
      </c>
    </row>
    <row r="269" spans="1:24" ht="14.25" x14ac:dyDescent="0.45">
      <c r="A269" s="2" t="s">
        <v>324</v>
      </c>
      <c r="B269" s="2" t="s">
        <v>327</v>
      </c>
      <c r="C269" s="2">
        <v>2019</v>
      </c>
      <c r="D269" s="2" t="s">
        <v>146</v>
      </c>
      <c r="E269" s="2" t="s">
        <v>146</v>
      </c>
      <c r="F269" s="2" t="s">
        <v>146</v>
      </c>
      <c r="G269" s="2" t="s">
        <v>146</v>
      </c>
      <c r="H269" s="2" t="s">
        <v>146</v>
      </c>
      <c r="I269" s="2" t="s">
        <v>146</v>
      </c>
      <c r="J269" s="2" t="s">
        <v>146</v>
      </c>
      <c r="K269" s="2" t="s">
        <v>146</v>
      </c>
      <c r="L269" s="2" t="s">
        <v>146</v>
      </c>
      <c r="M269" s="2" t="s">
        <v>146</v>
      </c>
      <c r="N269" s="2" t="s">
        <v>146</v>
      </c>
      <c r="O269" s="2" t="s">
        <v>146</v>
      </c>
      <c r="P269" s="2" t="s">
        <v>146</v>
      </c>
      <c r="Q269" s="2" t="s">
        <v>146</v>
      </c>
      <c r="R269" s="2" t="s">
        <v>146</v>
      </c>
      <c r="S269" s="2" t="s">
        <v>146</v>
      </c>
      <c r="T269" s="2" t="s">
        <v>146</v>
      </c>
      <c r="U269" s="2" t="s">
        <v>146</v>
      </c>
      <c r="X269" s="2">
        <f t="shared" si="4"/>
        <v>0</v>
      </c>
    </row>
    <row r="270" spans="1:24" ht="14.25" x14ac:dyDescent="0.45">
      <c r="A270" s="2" t="s">
        <v>324</v>
      </c>
      <c r="B270" s="2" t="s">
        <v>326</v>
      </c>
      <c r="C270" s="2">
        <v>2019</v>
      </c>
      <c r="D270" s="2" t="s">
        <v>146</v>
      </c>
      <c r="E270" s="2" t="s">
        <v>146</v>
      </c>
      <c r="F270" s="2" t="s">
        <v>146</v>
      </c>
      <c r="G270" s="2" t="s">
        <v>146</v>
      </c>
      <c r="H270" s="2" t="s">
        <v>146</v>
      </c>
      <c r="I270" s="2" t="s">
        <v>146</v>
      </c>
      <c r="J270" s="2" t="s">
        <v>146</v>
      </c>
      <c r="K270" s="2" t="s">
        <v>146</v>
      </c>
      <c r="L270" s="2" t="s">
        <v>146</v>
      </c>
      <c r="M270" s="2" t="s">
        <v>146</v>
      </c>
      <c r="N270" s="2" t="s">
        <v>146</v>
      </c>
      <c r="O270" s="2" t="s">
        <v>146</v>
      </c>
      <c r="P270" s="2" t="s">
        <v>146</v>
      </c>
      <c r="Q270" s="2" t="s">
        <v>146</v>
      </c>
      <c r="R270" s="2" t="s">
        <v>146</v>
      </c>
      <c r="S270" s="2" t="s">
        <v>146</v>
      </c>
      <c r="T270" s="2" t="s">
        <v>146</v>
      </c>
      <c r="U270" s="2" t="s">
        <v>146</v>
      </c>
      <c r="X270" s="2">
        <f t="shared" si="4"/>
        <v>0</v>
      </c>
    </row>
    <row r="271" spans="1:24" ht="14.25" x14ac:dyDescent="0.45">
      <c r="A271" s="2" t="s">
        <v>324</v>
      </c>
      <c r="B271" s="2" t="s">
        <v>325</v>
      </c>
      <c r="C271" s="2">
        <v>2019</v>
      </c>
      <c r="D271" s="2" t="s">
        <v>146</v>
      </c>
      <c r="E271" s="2" t="s">
        <v>146</v>
      </c>
      <c r="F271" s="2" t="s">
        <v>146</v>
      </c>
      <c r="G271" s="2" t="s">
        <v>146</v>
      </c>
      <c r="H271" s="2" t="s">
        <v>146</v>
      </c>
      <c r="I271" s="2" t="s">
        <v>146</v>
      </c>
      <c r="J271" s="2" t="s">
        <v>146</v>
      </c>
      <c r="K271" s="2" t="s">
        <v>146</v>
      </c>
      <c r="L271" s="2" t="s">
        <v>146</v>
      </c>
      <c r="M271" s="2" t="s">
        <v>146</v>
      </c>
      <c r="N271" s="2" t="s">
        <v>146</v>
      </c>
      <c r="O271" s="2" t="s">
        <v>146</v>
      </c>
      <c r="P271" s="2" t="s">
        <v>146</v>
      </c>
      <c r="Q271" s="2" t="s">
        <v>146</v>
      </c>
      <c r="R271" s="2" t="s">
        <v>146</v>
      </c>
      <c r="S271" s="2" t="s">
        <v>146</v>
      </c>
      <c r="T271" s="2" t="s">
        <v>146</v>
      </c>
      <c r="U271" s="2" t="s">
        <v>146</v>
      </c>
      <c r="X271" s="2">
        <f t="shared" si="4"/>
        <v>0</v>
      </c>
    </row>
    <row r="272" spans="1:24" ht="14.25" x14ac:dyDescent="0.45">
      <c r="A272" s="2" t="s">
        <v>324</v>
      </c>
      <c r="B272" s="2" t="s">
        <v>323</v>
      </c>
      <c r="C272" s="2">
        <v>2019</v>
      </c>
      <c r="D272" s="2" t="s">
        <v>146</v>
      </c>
      <c r="E272" s="2" t="s">
        <v>146</v>
      </c>
      <c r="F272" s="2" t="s">
        <v>146</v>
      </c>
      <c r="G272" s="2" t="s">
        <v>146</v>
      </c>
      <c r="H272" s="2" t="s">
        <v>146</v>
      </c>
      <c r="I272" s="2" t="s">
        <v>146</v>
      </c>
      <c r="J272" s="2" t="s">
        <v>146</v>
      </c>
      <c r="K272" s="2" t="s">
        <v>146</v>
      </c>
      <c r="L272" s="2" t="s">
        <v>146</v>
      </c>
      <c r="M272" s="2" t="s">
        <v>146</v>
      </c>
      <c r="N272" s="2" t="s">
        <v>146</v>
      </c>
      <c r="O272" s="2" t="s">
        <v>146</v>
      </c>
      <c r="P272" s="2" t="s">
        <v>146</v>
      </c>
      <c r="Q272" s="2" t="s">
        <v>146</v>
      </c>
      <c r="R272" s="2" t="s">
        <v>146</v>
      </c>
      <c r="S272" s="2" t="s">
        <v>146</v>
      </c>
      <c r="T272" s="2" t="s">
        <v>146</v>
      </c>
      <c r="U272" s="2" t="s">
        <v>146</v>
      </c>
      <c r="X272" s="2">
        <f t="shared" si="4"/>
        <v>0</v>
      </c>
    </row>
    <row r="273" spans="1:24" ht="14.25" x14ac:dyDescent="0.45">
      <c r="A273" s="2" t="s">
        <v>321</v>
      </c>
      <c r="B273" s="2" t="s">
        <v>322</v>
      </c>
      <c r="C273" s="2">
        <v>2019</v>
      </c>
      <c r="D273" s="2" t="s">
        <v>49</v>
      </c>
      <c r="E273" s="2" t="s">
        <v>146</v>
      </c>
      <c r="F273" s="2" t="s">
        <v>146</v>
      </c>
      <c r="G273" s="2" t="s">
        <v>146</v>
      </c>
      <c r="H273" s="2" t="s">
        <v>146</v>
      </c>
      <c r="I273" s="2" t="s">
        <v>146</v>
      </c>
      <c r="J273" s="2" t="s">
        <v>49</v>
      </c>
      <c r="K273" s="2" t="s">
        <v>146</v>
      </c>
      <c r="L273" s="2" t="s">
        <v>146</v>
      </c>
      <c r="M273" s="2" t="s">
        <v>146</v>
      </c>
      <c r="N273" s="2" t="s">
        <v>146</v>
      </c>
      <c r="O273" s="2" t="s">
        <v>146</v>
      </c>
      <c r="P273" s="2" t="s">
        <v>49</v>
      </c>
      <c r="Q273" s="2" t="s">
        <v>146</v>
      </c>
      <c r="R273" s="2" t="s">
        <v>146</v>
      </c>
      <c r="S273" s="2" t="s">
        <v>146</v>
      </c>
      <c r="T273" s="2" t="s">
        <v>146</v>
      </c>
      <c r="U273" s="2" t="s">
        <v>146</v>
      </c>
      <c r="X273" s="2">
        <f t="shared" si="4"/>
        <v>0</v>
      </c>
    </row>
    <row r="274" spans="1:24" ht="14.25" x14ac:dyDescent="0.45">
      <c r="A274" s="2" t="s">
        <v>321</v>
      </c>
      <c r="B274" s="2" t="s">
        <v>320</v>
      </c>
      <c r="C274" s="2">
        <v>2019</v>
      </c>
      <c r="D274" s="2" t="s">
        <v>49</v>
      </c>
      <c r="E274" s="2" t="s">
        <v>146</v>
      </c>
      <c r="F274" s="2" t="s">
        <v>146</v>
      </c>
      <c r="G274" s="2" t="s">
        <v>146</v>
      </c>
      <c r="H274" s="2" t="s">
        <v>146</v>
      </c>
      <c r="I274" s="2" t="s">
        <v>146</v>
      </c>
      <c r="J274" s="2" t="s">
        <v>49</v>
      </c>
      <c r="K274" s="2" t="s">
        <v>146</v>
      </c>
      <c r="L274" s="2" t="s">
        <v>146</v>
      </c>
      <c r="M274" s="2" t="s">
        <v>146</v>
      </c>
      <c r="N274" s="2" t="s">
        <v>146</v>
      </c>
      <c r="O274" s="2" t="s">
        <v>146</v>
      </c>
      <c r="P274" s="2" t="s">
        <v>49</v>
      </c>
      <c r="Q274" s="2" t="s">
        <v>146</v>
      </c>
      <c r="R274" s="2" t="s">
        <v>146</v>
      </c>
      <c r="S274" s="2" t="s">
        <v>146</v>
      </c>
      <c r="T274" s="2" t="s">
        <v>146</v>
      </c>
      <c r="U274" s="2" t="s">
        <v>146</v>
      </c>
      <c r="X274" s="2">
        <f t="shared" si="4"/>
        <v>0</v>
      </c>
    </row>
    <row r="275" spans="1:24" ht="14.25" x14ac:dyDescent="0.45">
      <c r="A275" s="2" t="s">
        <v>312</v>
      </c>
      <c r="B275" s="2" t="s">
        <v>319</v>
      </c>
      <c r="C275" s="2">
        <v>2019</v>
      </c>
      <c r="D275" s="2" t="s">
        <v>49</v>
      </c>
      <c r="E275" s="2" t="s">
        <v>49</v>
      </c>
      <c r="F275" s="2" t="s">
        <v>49</v>
      </c>
      <c r="G275" s="2" t="s">
        <v>49</v>
      </c>
      <c r="H275" s="2" t="s">
        <v>49</v>
      </c>
      <c r="I275" s="2" t="s">
        <v>49</v>
      </c>
      <c r="J275" s="2" t="s">
        <v>49</v>
      </c>
      <c r="K275" s="2" t="s">
        <v>49</v>
      </c>
      <c r="L275" s="2" t="s">
        <v>49</v>
      </c>
      <c r="M275" s="2" t="s">
        <v>49</v>
      </c>
      <c r="N275" s="2" t="s">
        <v>49</v>
      </c>
      <c r="O275" s="2" t="s">
        <v>49</v>
      </c>
      <c r="P275" s="2" t="s">
        <v>49</v>
      </c>
      <c r="Q275" s="2" t="s">
        <v>49</v>
      </c>
      <c r="R275" s="2" t="s">
        <v>49</v>
      </c>
      <c r="S275" s="2" t="s">
        <v>49</v>
      </c>
      <c r="T275" s="2" t="s">
        <v>49</v>
      </c>
      <c r="U275" s="2" t="s">
        <v>49</v>
      </c>
      <c r="X275" s="2">
        <f t="shared" si="4"/>
        <v>0</v>
      </c>
    </row>
    <row r="276" spans="1:24" ht="14.25" x14ac:dyDescent="0.45">
      <c r="A276" s="2" t="s">
        <v>312</v>
      </c>
      <c r="B276" s="2" t="s">
        <v>318</v>
      </c>
      <c r="C276" s="2">
        <v>2019</v>
      </c>
      <c r="D276" s="2" t="s">
        <v>49</v>
      </c>
      <c r="E276" s="2" t="s">
        <v>49</v>
      </c>
      <c r="F276" s="2" t="s">
        <v>49</v>
      </c>
      <c r="G276" s="2" t="s">
        <v>49</v>
      </c>
      <c r="H276" s="2" t="s">
        <v>49</v>
      </c>
      <c r="I276" s="2" t="s">
        <v>49</v>
      </c>
      <c r="J276" s="2" t="s">
        <v>49</v>
      </c>
      <c r="K276" s="2" t="s">
        <v>49</v>
      </c>
      <c r="L276" s="2" t="s">
        <v>49</v>
      </c>
      <c r="M276" s="2" t="s">
        <v>49</v>
      </c>
      <c r="N276" s="2" t="s">
        <v>49</v>
      </c>
      <c r="O276" s="2" t="s">
        <v>49</v>
      </c>
      <c r="P276" s="2" t="s">
        <v>49</v>
      </c>
      <c r="Q276" s="2" t="s">
        <v>49</v>
      </c>
      <c r="R276" s="2" t="s">
        <v>49</v>
      </c>
      <c r="S276" s="2" t="s">
        <v>49</v>
      </c>
      <c r="T276" s="2" t="s">
        <v>49</v>
      </c>
      <c r="U276" s="2" t="s">
        <v>49</v>
      </c>
      <c r="X276" s="2">
        <f t="shared" si="4"/>
        <v>0</v>
      </c>
    </row>
    <row r="277" spans="1:24" ht="14.25" x14ac:dyDescent="0.45">
      <c r="A277" s="2" t="s">
        <v>312</v>
      </c>
      <c r="B277" s="2" t="s">
        <v>317</v>
      </c>
      <c r="C277" s="2">
        <v>2019</v>
      </c>
      <c r="D277" s="2" t="s">
        <v>49</v>
      </c>
      <c r="E277" s="2" t="s">
        <v>49</v>
      </c>
      <c r="F277" s="2" t="s">
        <v>49</v>
      </c>
      <c r="G277" s="2" t="s">
        <v>49</v>
      </c>
      <c r="H277" s="2" t="s">
        <v>49</v>
      </c>
      <c r="I277" s="2" t="s">
        <v>49</v>
      </c>
      <c r="J277" s="2" t="s">
        <v>49</v>
      </c>
      <c r="K277" s="2" t="s">
        <v>49</v>
      </c>
      <c r="L277" s="2" t="s">
        <v>49</v>
      </c>
      <c r="M277" s="2" t="s">
        <v>49</v>
      </c>
      <c r="N277" s="2" t="s">
        <v>49</v>
      </c>
      <c r="O277" s="2" t="s">
        <v>49</v>
      </c>
      <c r="P277" s="2" t="s">
        <v>49</v>
      </c>
      <c r="Q277" s="2" t="s">
        <v>49</v>
      </c>
      <c r="R277" s="2" t="s">
        <v>49</v>
      </c>
      <c r="S277" s="2" t="s">
        <v>49</v>
      </c>
      <c r="T277" s="2" t="s">
        <v>49</v>
      </c>
      <c r="U277" s="2" t="s">
        <v>49</v>
      </c>
      <c r="X277" s="2">
        <f t="shared" si="4"/>
        <v>0</v>
      </c>
    </row>
    <row r="278" spans="1:24" ht="14.25" x14ac:dyDescent="0.45">
      <c r="A278" s="2" t="s">
        <v>312</v>
      </c>
      <c r="B278" s="2" t="s">
        <v>112</v>
      </c>
      <c r="C278" s="2">
        <v>2019</v>
      </c>
      <c r="D278" s="2" t="s">
        <v>176</v>
      </c>
      <c r="E278" s="2" t="s">
        <v>49</v>
      </c>
      <c r="F278" s="2" t="s">
        <v>146</v>
      </c>
      <c r="G278" s="2" t="s">
        <v>49</v>
      </c>
      <c r="H278" s="2" t="s">
        <v>146</v>
      </c>
      <c r="I278" s="2" t="s">
        <v>146</v>
      </c>
      <c r="J278" s="2" t="s">
        <v>176</v>
      </c>
      <c r="K278" s="2" t="s">
        <v>49</v>
      </c>
      <c r="L278" s="2" t="s">
        <v>146</v>
      </c>
      <c r="M278" s="2" t="s">
        <v>49</v>
      </c>
      <c r="N278" s="2" t="s">
        <v>146</v>
      </c>
      <c r="O278" s="2" t="s">
        <v>146</v>
      </c>
      <c r="P278" s="2" t="s">
        <v>176</v>
      </c>
      <c r="Q278" s="2" t="s">
        <v>49</v>
      </c>
      <c r="R278" s="2" t="s">
        <v>146</v>
      </c>
      <c r="S278" s="2" t="s">
        <v>49</v>
      </c>
      <c r="T278" s="2" t="s">
        <v>146</v>
      </c>
      <c r="U278" s="2" t="s">
        <v>146</v>
      </c>
      <c r="X278" s="2">
        <f t="shared" si="4"/>
        <v>0</v>
      </c>
    </row>
    <row r="279" spans="1:24" ht="14.25" x14ac:dyDescent="0.45">
      <c r="A279" s="2" t="s">
        <v>312</v>
      </c>
      <c r="B279" s="2" t="s">
        <v>316</v>
      </c>
      <c r="C279" s="2">
        <v>2019</v>
      </c>
      <c r="D279" s="2" t="s">
        <v>49</v>
      </c>
      <c r="E279" s="2" t="s">
        <v>49</v>
      </c>
      <c r="F279" s="2" t="s">
        <v>49</v>
      </c>
      <c r="G279" s="2" t="s">
        <v>49</v>
      </c>
      <c r="H279" s="2" t="s">
        <v>49</v>
      </c>
      <c r="I279" s="2" t="s">
        <v>49</v>
      </c>
      <c r="J279" s="2" t="s">
        <v>49</v>
      </c>
      <c r="K279" s="2" t="s">
        <v>49</v>
      </c>
      <c r="L279" s="2" t="s">
        <v>49</v>
      </c>
      <c r="M279" s="2" t="s">
        <v>49</v>
      </c>
      <c r="N279" s="2" t="s">
        <v>49</v>
      </c>
      <c r="O279" s="2" t="s">
        <v>49</v>
      </c>
      <c r="P279" s="2" t="s">
        <v>49</v>
      </c>
      <c r="Q279" s="2" t="s">
        <v>49</v>
      </c>
      <c r="R279" s="2" t="s">
        <v>49</v>
      </c>
      <c r="S279" s="2" t="s">
        <v>49</v>
      </c>
      <c r="T279" s="2" t="s">
        <v>49</v>
      </c>
      <c r="U279" s="2" t="s">
        <v>49</v>
      </c>
      <c r="X279" s="2">
        <f t="shared" si="4"/>
        <v>0</v>
      </c>
    </row>
    <row r="280" spans="1:24" ht="14.25" x14ac:dyDescent="0.45">
      <c r="A280" s="2" t="s">
        <v>312</v>
      </c>
      <c r="B280" s="2" t="s">
        <v>315</v>
      </c>
      <c r="C280" s="2">
        <v>2019</v>
      </c>
      <c r="D280" s="2" t="s">
        <v>49</v>
      </c>
      <c r="E280" s="2" t="s">
        <v>49</v>
      </c>
      <c r="F280" s="2" t="s">
        <v>49</v>
      </c>
      <c r="G280" s="2" t="s">
        <v>49</v>
      </c>
      <c r="H280" s="2" t="s">
        <v>49</v>
      </c>
      <c r="I280" s="2" t="s">
        <v>49</v>
      </c>
      <c r="J280" s="2" t="s">
        <v>49</v>
      </c>
      <c r="K280" s="2" t="s">
        <v>49</v>
      </c>
      <c r="L280" s="2" t="s">
        <v>49</v>
      </c>
      <c r="M280" s="2" t="s">
        <v>49</v>
      </c>
      <c r="N280" s="2" t="s">
        <v>49</v>
      </c>
      <c r="O280" s="2" t="s">
        <v>49</v>
      </c>
      <c r="P280" s="2" t="s">
        <v>49</v>
      </c>
      <c r="Q280" s="2" t="s">
        <v>49</v>
      </c>
      <c r="R280" s="2" t="s">
        <v>49</v>
      </c>
      <c r="S280" s="2" t="s">
        <v>49</v>
      </c>
      <c r="T280" s="2" t="s">
        <v>49</v>
      </c>
      <c r="U280" s="2" t="s">
        <v>49</v>
      </c>
      <c r="X280" s="2">
        <f t="shared" si="4"/>
        <v>0</v>
      </c>
    </row>
    <row r="281" spans="1:24" ht="14.25" x14ac:dyDescent="0.45">
      <c r="A281" s="2" t="s">
        <v>312</v>
      </c>
      <c r="B281" s="2" t="s">
        <v>314</v>
      </c>
      <c r="C281" s="2">
        <v>2019</v>
      </c>
      <c r="D281" s="2" t="s">
        <v>49</v>
      </c>
      <c r="E281" s="2" t="s">
        <v>49</v>
      </c>
      <c r="F281" s="2" t="s">
        <v>49</v>
      </c>
      <c r="G281" s="2" t="s">
        <v>49</v>
      </c>
      <c r="H281" s="2" t="s">
        <v>49</v>
      </c>
      <c r="I281" s="2" t="s">
        <v>49</v>
      </c>
      <c r="J281" s="2" t="s">
        <v>49</v>
      </c>
      <c r="K281" s="2" t="s">
        <v>49</v>
      </c>
      <c r="L281" s="2" t="s">
        <v>49</v>
      </c>
      <c r="M281" s="2" t="s">
        <v>49</v>
      </c>
      <c r="N281" s="2" t="s">
        <v>49</v>
      </c>
      <c r="O281" s="2" t="s">
        <v>49</v>
      </c>
      <c r="P281" s="2" t="s">
        <v>49</v>
      </c>
      <c r="Q281" s="2" t="s">
        <v>49</v>
      </c>
      <c r="R281" s="2" t="s">
        <v>49</v>
      </c>
      <c r="S281" s="2" t="s">
        <v>49</v>
      </c>
      <c r="T281" s="2" t="s">
        <v>49</v>
      </c>
      <c r="U281" s="2" t="s">
        <v>49</v>
      </c>
      <c r="X281" s="2">
        <f t="shared" si="4"/>
        <v>0</v>
      </c>
    </row>
    <row r="282" spans="1:24" ht="14.25" x14ac:dyDescent="0.45">
      <c r="A282" s="2" t="s">
        <v>312</v>
      </c>
      <c r="B282" s="2" t="s">
        <v>313</v>
      </c>
      <c r="C282" s="2">
        <v>2019</v>
      </c>
      <c r="D282" s="2" t="s">
        <v>49</v>
      </c>
      <c r="E282" s="2" t="s">
        <v>146</v>
      </c>
      <c r="F282" s="2" t="s">
        <v>146</v>
      </c>
      <c r="G282" s="2" t="s">
        <v>146</v>
      </c>
      <c r="H282" s="2" t="s">
        <v>146</v>
      </c>
      <c r="I282" s="2" t="s">
        <v>146</v>
      </c>
      <c r="J282" s="2" t="s">
        <v>49</v>
      </c>
      <c r="K282" s="2" t="s">
        <v>146</v>
      </c>
      <c r="L282" s="2" t="s">
        <v>146</v>
      </c>
      <c r="M282" s="2" t="s">
        <v>146</v>
      </c>
      <c r="N282" s="2" t="s">
        <v>146</v>
      </c>
      <c r="O282" s="2" t="s">
        <v>146</v>
      </c>
      <c r="P282" s="2" t="s">
        <v>49</v>
      </c>
      <c r="Q282" s="2" t="s">
        <v>146</v>
      </c>
      <c r="R282" s="2" t="s">
        <v>146</v>
      </c>
      <c r="S282" s="2" t="s">
        <v>146</v>
      </c>
      <c r="T282" s="2" t="s">
        <v>146</v>
      </c>
      <c r="U282" s="2" t="s">
        <v>146</v>
      </c>
      <c r="X282" s="2">
        <f t="shared" si="4"/>
        <v>0</v>
      </c>
    </row>
    <row r="283" spans="1:24" ht="14.25" x14ac:dyDescent="0.45">
      <c r="A283" s="2" t="s">
        <v>312</v>
      </c>
      <c r="B283" s="2" t="s">
        <v>311</v>
      </c>
      <c r="C283" s="2">
        <v>2019</v>
      </c>
      <c r="D283" s="2" t="s">
        <v>49</v>
      </c>
      <c r="E283" s="2" t="s">
        <v>49</v>
      </c>
      <c r="F283" s="2" t="s">
        <v>49</v>
      </c>
      <c r="G283" s="2" t="s">
        <v>49</v>
      </c>
      <c r="H283" s="2" t="s">
        <v>49</v>
      </c>
      <c r="I283" s="2" t="s">
        <v>49</v>
      </c>
      <c r="J283" s="2" t="s">
        <v>49</v>
      </c>
      <c r="K283" s="2" t="s">
        <v>49</v>
      </c>
      <c r="L283" s="2" t="s">
        <v>49</v>
      </c>
      <c r="M283" s="2" t="s">
        <v>49</v>
      </c>
      <c r="N283" s="2" t="s">
        <v>49</v>
      </c>
      <c r="O283" s="2" t="s">
        <v>49</v>
      </c>
      <c r="P283" s="2" t="s">
        <v>49</v>
      </c>
      <c r="Q283" s="2" t="s">
        <v>49</v>
      </c>
      <c r="R283" s="2" t="s">
        <v>49</v>
      </c>
      <c r="S283" s="2" t="s">
        <v>49</v>
      </c>
      <c r="T283" s="2" t="s">
        <v>49</v>
      </c>
      <c r="U283" s="2" t="s">
        <v>49</v>
      </c>
      <c r="X283" s="2">
        <f t="shared" si="4"/>
        <v>0</v>
      </c>
    </row>
    <row r="284" spans="1:24" ht="14.25" x14ac:dyDescent="0.45">
      <c r="A284" s="2" t="s">
        <v>305</v>
      </c>
      <c r="B284" s="2" t="s">
        <v>310</v>
      </c>
      <c r="C284" s="2">
        <v>2019</v>
      </c>
      <c r="D284" s="2" t="s">
        <v>49</v>
      </c>
      <c r="E284" s="2" t="s">
        <v>146</v>
      </c>
      <c r="F284" s="2" t="s">
        <v>146</v>
      </c>
      <c r="G284" s="2" t="s">
        <v>146</v>
      </c>
      <c r="H284" s="2" t="s">
        <v>146</v>
      </c>
      <c r="I284" s="2" t="s">
        <v>146</v>
      </c>
      <c r="J284" s="2" t="s">
        <v>49</v>
      </c>
      <c r="K284" s="2" t="s">
        <v>146</v>
      </c>
      <c r="L284" s="2" t="s">
        <v>146</v>
      </c>
      <c r="M284" s="2" t="s">
        <v>146</v>
      </c>
      <c r="N284" s="2" t="s">
        <v>146</v>
      </c>
      <c r="O284" s="2" t="s">
        <v>146</v>
      </c>
      <c r="P284" s="2" t="s">
        <v>49</v>
      </c>
      <c r="Q284" s="2" t="s">
        <v>146</v>
      </c>
      <c r="R284" s="2" t="s">
        <v>146</v>
      </c>
      <c r="S284" s="2" t="s">
        <v>146</v>
      </c>
      <c r="T284" s="2" t="s">
        <v>146</v>
      </c>
      <c r="U284" s="2" t="s">
        <v>146</v>
      </c>
      <c r="X284" s="2">
        <f t="shared" si="4"/>
        <v>0</v>
      </c>
    </row>
    <row r="285" spans="1:24" ht="14.25" x14ac:dyDescent="0.45">
      <c r="A285" s="2" t="s">
        <v>305</v>
      </c>
      <c r="B285" s="2" t="s">
        <v>309</v>
      </c>
      <c r="C285" s="2">
        <v>2019</v>
      </c>
      <c r="D285" s="2" t="s">
        <v>49</v>
      </c>
      <c r="E285" s="2" t="s">
        <v>146</v>
      </c>
      <c r="F285" s="2" t="s">
        <v>146</v>
      </c>
      <c r="G285" s="2" t="s">
        <v>146</v>
      </c>
      <c r="H285" s="2" t="s">
        <v>146</v>
      </c>
      <c r="I285" s="2" t="s">
        <v>146</v>
      </c>
      <c r="J285" s="2" t="s">
        <v>49</v>
      </c>
      <c r="K285" s="2" t="s">
        <v>146</v>
      </c>
      <c r="L285" s="2" t="s">
        <v>146</v>
      </c>
      <c r="M285" s="2" t="s">
        <v>146</v>
      </c>
      <c r="N285" s="2" t="s">
        <v>146</v>
      </c>
      <c r="O285" s="2" t="s">
        <v>146</v>
      </c>
      <c r="P285" s="2" t="s">
        <v>49</v>
      </c>
      <c r="Q285" s="2" t="s">
        <v>146</v>
      </c>
      <c r="R285" s="2" t="s">
        <v>146</v>
      </c>
      <c r="S285" s="2" t="s">
        <v>146</v>
      </c>
      <c r="T285" s="2" t="s">
        <v>146</v>
      </c>
      <c r="U285" s="2" t="s">
        <v>146</v>
      </c>
      <c r="X285" s="2">
        <f t="shared" si="4"/>
        <v>0</v>
      </c>
    </row>
    <row r="286" spans="1:24" ht="14.25" x14ac:dyDescent="0.45">
      <c r="A286" s="2" t="s">
        <v>305</v>
      </c>
      <c r="B286" s="2" t="s">
        <v>308</v>
      </c>
      <c r="C286" s="2">
        <v>2019</v>
      </c>
      <c r="D286" s="2" t="s">
        <v>772</v>
      </c>
      <c r="E286" s="2" t="s">
        <v>740</v>
      </c>
      <c r="F286" s="2">
        <v>78.393000000000001</v>
      </c>
      <c r="G286" s="2" t="s">
        <v>146</v>
      </c>
      <c r="H286" s="2" t="s">
        <v>146</v>
      </c>
      <c r="I286" s="2">
        <v>85</v>
      </c>
      <c r="J286" s="2" t="s">
        <v>771</v>
      </c>
      <c r="K286" s="2" t="s">
        <v>740</v>
      </c>
      <c r="L286" s="2">
        <v>23.436</v>
      </c>
      <c r="M286" s="2" t="s">
        <v>146</v>
      </c>
      <c r="N286" s="2" t="s">
        <v>146</v>
      </c>
      <c r="O286" s="2">
        <v>85</v>
      </c>
      <c r="P286" s="2" t="s">
        <v>49</v>
      </c>
      <c r="Q286" s="2" t="s">
        <v>146</v>
      </c>
      <c r="R286" s="2" t="s">
        <v>146</v>
      </c>
      <c r="S286" s="2" t="s">
        <v>146</v>
      </c>
      <c r="T286" s="2" t="s">
        <v>146</v>
      </c>
      <c r="U286" s="2" t="s">
        <v>146</v>
      </c>
      <c r="X286" s="2">
        <f t="shared" si="4"/>
        <v>0</v>
      </c>
    </row>
    <row r="287" spans="1:24" ht="14.25" x14ac:dyDescent="0.45">
      <c r="A287" s="2" t="s">
        <v>305</v>
      </c>
      <c r="B287" s="2" t="s">
        <v>307</v>
      </c>
      <c r="C287" s="2">
        <v>2019</v>
      </c>
      <c r="D287" s="2" t="s">
        <v>49</v>
      </c>
      <c r="E287" s="2" t="s">
        <v>49</v>
      </c>
      <c r="F287" s="2" t="s">
        <v>49</v>
      </c>
      <c r="G287" s="2" t="s">
        <v>49</v>
      </c>
      <c r="H287" s="2" t="s">
        <v>49</v>
      </c>
      <c r="I287" s="2" t="s">
        <v>49</v>
      </c>
      <c r="J287" s="2" t="s">
        <v>49</v>
      </c>
      <c r="K287" s="2" t="s">
        <v>49</v>
      </c>
      <c r="L287" s="2" t="s">
        <v>49</v>
      </c>
      <c r="M287" s="2" t="s">
        <v>49</v>
      </c>
      <c r="N287" s="2" t="s">
        <v>49</v>
      </c>
      <c r="O287" s="2" t="s">
        <v>49</v>
      </c>
      <c r="P287" s="2" t="s">
        <v>49</v>
      </c>
      <c r="Q287" s="2" t="s">
        <v>49</v>
      </c>
      <c r="R287" s="2" t="s">
        <v>49</v>
      </c>
      <c r="S287" s="2" t="s">
        <v>49</v>
      </c>
      <c r="T287" s="2" t="s">
        <v>49</v>
      </c>
      <c r="U287" s="2" t="s">
        <v>49</v>
      </c>
      <c r="X287" s="2">
        <f t="shared" si="4"/>
        <v>0</v>
      </c>
    </row>
    <row r="288" spans="1:24" ht="14.25" x14ac:dyDescent="0.45">
      <c r="A288" s="2" t="s">
        <v>305</v>
      </c>
      <c r="B288" s="2" t="s">
        <v>306</v>
      </c>
      <c r="C288" s="2">
        <v>2019</v>
      </c>
      <c r="D288" s="2" t="s">
        <v>49</v>
      </c>
      <c r="E288" s="2" t="s">
        <v>146</v>
      </c>
      <c r="F288" s="2" t="s">
        <v>146</v>
      </c>
      <c r="G288" s="2" t="s">
        <v>146</v>
      </c>
      <c r="H288" s="2" t="s">
        <v>146</v>
      </c>
      <c r="I288" s="2" t="s">
        <v>146</v>
      </c>
      <c r="J288" s="2" t="s">
        <v>49</v>
      </c>
      <c r="K288" s="2" t="s">
        <v>146</v>
      </c>
      <c r="L288" s="2" t="s">
        <v>146</v>
      </c>
      <c r="M288" s="2" t="s">
        <v>146</v>
      </c>
      <c r="N288" s="2" t="s">
        <v>146</v>
      </c>
      <c r="O288" s="2" t="s">
        <v>146</v>
      </c>
      <c r="P288" s="2" t="s">
        <v>49</v>
      </c>
      <c r="Q288" s="2" t="s">
        <v>146</v>
      </c>
      <c r="R288" s="2" t="s">
        <v>146</v>
      </c>
      <c r="S288" s="2" t="s">
        <v>146</v>
      </c>
      <c r="T288" s="2" t="s">
        <v>146</v>
      </c>
      <c r="U288" s="2" t="s">
        <v>146</v>
      </c>
      <c r="X288" s="2">
        <f t="shared" si="4"/>
        <v>0</v>
      </c>
    </row>
    <row r="289" spans="1:24" ht="14.25" x14ac:dyDescent="0.45">
      <c r="A289" s="2" t="s">
        <v>305</v>
      </c>
      <c r="B289" s="2" t="s">
        <v>304</v>
      </c>
      <c r="C289" s="2">
        <v>2019</v>
      </c>
      <c r="D289" s="2" t="s">
        <v>49</v>
      </c>
      <c r="E289" s="2" t="s">
        <v>146</v>
      </c>
      <c r="F289" s="2" t="s">
        <v>146</v>
      </c>
      <c r="G289" s="2" t="s">
        <v>146</v>
      </c>
      <c r="H289" s="2" t="s">
        <v>146</v>
      </c>
      <c r="I289" s="2" t="s">
        <v>146</v>
      </c>
      <c r="J289" s="2" t="s">
        <v>49</v>
      </c>
      <c r="K289" s="2" t="s">
        <v>146</v>
      </c>
      <c r="L289" s="2" t="s">
        <v>146</v>
      </c>
      <c r="M289" s="2" t="s">
        <v>146</v>
      </c>
      <c r="N289" s="2" t="s">
        <v>146</v>
      </c>
      <c r="O289" s="2" t="s">
        <v>146</v>
      </c>
      <c r="P289" s="2" t="s">
        <v>49</v>
      </c>
      <c r="Q289" s="2" t="s">
        <v>146</v>
      </c>
      <c r="R289" s="2" t="s">
        <v>146</v>
      </c>
      <c r="S289" s="2" t="s">
        <v>146</v>
      </c>
      <c r="T289" s="2" t="s">
        <v>146</v>
      </c>
      <c r="U289" s="2" t="s">
        <v>146</v>
      </c>
      <c r="X289" s="2">
        <f t="shared" si="4"/>
        <v>0</v>
      </c>
    </row>
    <row r="290" spans="1:24" ht="14.25" x14ac:dyDescent="0.45">
      <c r="A290" s="2" t="s">
        <v>303</v>
      </c>
      <c r="B290" s="2" t="s">
        <v>35</v>
      </c>
      <c r="C290" s="2">
        <v>2019</v>
      </c>
      <c r="D290" s="2" t="s">
        <v>49</v>
      </c>
      <c r="E290" s="2" t="s">
        <v>49</v>
      </c>
      <c r="F290" s="2" t="s">
        <v>49</v>
      </c>
      <c r="G290" s="2" t="s">
        <v>49</v>
      </c>
      <c r="H290" s="2" t="s">
        <v>49</v>
      </c>
      <c r="I290" s="2" t="s">
        <v>49</v>
      </c>
      <c r="J290" s="2" t="s">
        <v>49</v>
      </c>
      <c r="K290" s="2" t="s">
        <v>49</v>
      </c>
      <c r="L290" s="2" t="s">
        <v>49</v>
      </c>
      <c r="M290" s="2" t="s">
        <v>49</v>
      </c>
      <c r="N290" s="2" t="s">
        <v>49</v>
      </c>
      <c r="O290" s="2" t="s">
        <v>49</v>
      </c>
      <c r="P290" s="2" t="s">
        <v>49</v>
      </c>
      <c r="Q290" s="2" t="s">
        <v>49</v>
      </c>
      <c r="R290" s="2" t="s">
        <v>49</v>
      </c>
      <c r="S290" s="2" t="s">
        <v>49</v>
      </c>
      <c r="T290" s="2" t="s">
        <v>49</v>
      </c>
      <c r="U290" s="2" t="s">
        <v>49</v>
      </c>
      <c r="X290" s="2">
        <f t="shared" si="4"/>
        <v>0</v>
      </c>
    </row>
    <row r="291" spans="1:24" ht="14.25" x14ac:dyDescent="0.45">
      <c r="A291" s="2" t="s">
        <v>299</v>
      </c>
      <c r="B291" s="2" t="s">
        <v>302</v>
      </c>
      <c r="C291" s="2">
        <v>2019</v>
      </c>
      <c r="D291" s="2" t="s">
        <v>770</v>
      </c>
      <c r="E291" s="2" t="s">
        <v>734</v>
      </c>
      <c r="F291" s="2">
        <v>9.9169999999999998</v>
      </c>
      <c r="G291" s="2" t="s">
        <v>146</v>
      </c>
      <c r="H291" s="2" t="s">
        <v>146</v>
      </c>
      <c r="I291" s="2" t="s">
        <v>146</v>
      </c>
      <c r="J291" s="2" t="s">
        <v>49</v>
      </c>
      <c r="K291" s="2" t="s">
        <v>146</v>
      </c>
      <c r="L291" s="2" t="s">
        <v>146</v>
      </c>
      <c r="M291" s="2" t="s">
        <v>146</v>
      </c>
      <c r="N291" s="2" t="s">
        <v>146</v>
      </c>
      <c r="O291" s="2" t="s">
        <v>146</v>
      </c>
      <c r="P291" s="2" t="s">
        <v>49</v>
      </c>
      <c r="Q291" s="2" t="s">
        <v>146</v>
      </c>
      <c r="R291" s="2" t="s">
        <v>146</v>
      </c>
      <c r="S291" s="2" t="s">
        <v>146</v>
      </c>
      <c r="T291" s="2" t="s">
        <v>146</v>
      </c>
      <c r="U291" s="2" t="s">
        <v>146</v>
      </c>
      <c r="X291" s="2">
        <f t="shared" si="4"/>
        <v>0</v>
      </c>
    </row>
    <row r="292" spans="1:24" ht="14.25" x14ac:dyDescent="0.45">
      <c r="A292" s="2" t="s">
        <v>299</v>
      </c>
      <c r="B292" s="2" t="s">
        <v>301</v>
      </c>
      <c r="C292" s="2">
        <v>2019</v>
      </c>
      <c r="D292" s="2" t="s">
        <v>49</v>
      </c>
      <c r="E292" s="2" t="s">
        <v>146</v>
      </c>
      <c r="F292" s="2" t="s">
        <v>146</v>
      </c>
      <c r="G292" s="2" t="s">
        <v>146</v>
      </c>
      <c r="H292" s="2" t="s">
        <v>146</v>
      </c>
      <c r="I292" s="2" t="s">
        <v>146</v>
      </c>
      <c r="J292" s="2" t="s">
        <v>49</v>
      </c>
      <c r="K292" s="2" t="s">
        <v>146</v>
      </c>
      <c r="L292" s="2" t="s">
        <v>146</v>
      </c>
      <c r="M292" s="2" t="s">
        <v>146</v>
      </c>
      <c r="N292" s="2" t="s">
        <v>146</v>
      </c>
      <c r="O292" s="2" t="s">
        <v>146</v>
      </c>
      <c r="P292" s="2" t="s">
        <v>49</v>
      </c>
      <c r="Q292" s="2" t="s">
        <v>146</v>
      </c>
      <c r="R292" s="2" t="s">
        <v>146</v>
      </c>
      <c r="S292" s="2" t="s">
        <v>146</v>
      </c>
      <c r="T292" s="2" t="s">
        <v>146</v>
      </c>
      <c r="U292" s="2" t="s">
        <v>146</v>
      </c>
      <c r="X292" s="2">
        <f t="shared" si="4"/>
        <v>0</v>
      </c>
    </row>
    <row r="293" spans="1:24" ht="14.25" x14ac:dyDescent="0.45">
      <c r="A293" s="2" t="s">
        <v>299</v>
      </c>
      <c r="B293" s="2" t="s">
        <v>300</v>
      </c>
      <c r="C293" s="2">
        <v>2019</v>
      </c>
      <c r="D293" s="2" t="s">
        <v>49</v>
      </c>
      <c r="E293" s="2" t="s">
        <v>146</v>
      </c>
      <c r="F293" s="2" t="s">
        <v>146</v>
      </c>
      <c r="G293" s="2" t="s">
        <v>146</v>
      </c>
      <c r="H293" s="2" t="s">
        <v>146</v>
      </c>
      <c r="I293" s="2" t="s">
        <v>146</v>
      </c>
      <c r="J293" s="2" t="s">
        <v>49</v>
      </c>
      <c r="K293" s="2" t="s">
        <v>146</v>
      </c>
      <c r="L293" s="2" t="s">
        <v>146</v>
      </c>
      <c r="M293" s="2" t="s">
        <v>146</v>
      </c>
      <c r="N293" s="2" t="s">
        <v>146</v>
      </c>
      <c r="O293" s="2" t="s">
        <v>146</v>
      </c>
      <c r="P293" s="2" t="s">
        <v>49</v>
      </c>
      <c r="Q293" s="2" t="s">
        <v>146</v>
      </c>
      <c r="R293" s="2" t="s">
        <v>146</v>
      </c>
      <c r="S293" s="2" t="s">
        <v>146</v>
      </c>
      <c r="T293" s="2" t="s">
        <v>146</v>
      </c>
      <c r="U293" s="2" t="s">
        <v>146</v>
      </c>
      <c r="X293" s="2">
        <f t="shared" si="4"/>
        <v>0</v>
      </c>
    </row>
    <row r="294" spans="1:24" ht="14.25" x14ac:dyDescent="0.45">
      <c r="A294" s="2" t="s">
        <v>299</v>
      </c>
      <c r="B294" s="2" t="s">
        <v>298</v>
      </c>
      <c r="C294" s="2">
        <v>2019</v>
      </c>
      <c r="D294" s="2" t="s">
        <v>49</v>
      </c>
      <c r="E294" s="2" t="s">
        <v>146</v>
      </c>
      <c r="F294" s="2" t="s">
        <v>146</v>
      </c>
      <c r="G294" s="2" t="s">
        <v>146</v>
      </c>
      <c r="H294" s="2" t="s">
        <v>146</v>
      </c>
      <c r="I294" s="2" t="s">
        <v>146</v>
      </c>
      <c r="J294" s="2" t="s">
        <v>49</v>
      </c>
      <c r="K294" s="2" t="s">
        <v>146</v>
      </c>
      <c r="L294" s="2" t="s">
        <v>146</v>
      </c>
      <c r="M294" s="2" t="s">
        <v>146</v>
      </c>
      <c r="N294" s="2" t="s">
        <v>146</v>
      </c>
      <c r="O294" s="2" t="s">
        <v>146</v>
      </c>
      <c r="P294" s="2" t="s">
        <v>49</v>
      </c>
      <c r="Q294" s="2" t="s">
        <v>146</v>
      </c>
      <c r="R294" s="2" t="s">
        <v>146</v>
      </c>
      <c r="S294" s="2" t="s">
        <v>146</v>
      </c>
      <c r="T294" s="2" t="s">
        <v>146</v>
      </c>
      <c r="U294" s="2" t="s">
        <v>146</v>
      </c>
      <c r="X294" s="2">
        <f t="shared" si="4"/>
        <v>0</v>
      </c>
    </row>
    <row r="295" spans="1:24" ht="14.25" x14ac:dyDescent="0.45">
      <c r="A295" s="2" t="s">
        <v>297</v>
      </c>
      <c r="B295" s="2" t="s">
        <v>296</v>
      </c>
      <c r="C295" s="2">
        <v>2019</v>
      </c>
      <c r="D295" s="2" t="s">
        <v>49</v>
      </c>
      <c r="E295" s="2" t="s">
        <v>146</v>
      </c>
      <c r="F295" s="2" t="s">
        <v>146</v>
      </c>
      <c r="G295" s="2" t="s">
        <v>146</v>
      </c>
      <c r="H295" s="2" t="s">
        <v>146</v>
      </c>
      <c r="I295" s="2" t="s">
        <v>146</v>
      </c>
      <c r="J295" s="2" t="s">
        <v>49</v>
      </c>
      <c r="K295" s="2" t="s">
        <v>146</v>
      </c>
      <c r="L295" s="2" t="s">
        <v>146</v>
      </c>
      <c r="M295" s="2" t="s">
        <v>146</v>
      </c>
      <c r="N295" s="2" t="s">
        <v>146</v>
      </c>
      <c r="O295" s="2" t="s">
        <v>146</v>
      </c>
      <c r="P295" s="2" t="s">
        <v>49</v>
      </c>
      <c r="Q295" s="2" t="s">
        <v>146</v>
      </c>
      <c r="R295" s="2" t="s">
        <v>146</v>
      </c>
      <c r="S295" s="2" t="s">
        <v>146</v>
      </c>
      <c r="T295" s="2" t="s">
        <v>146</v>
      </c>
      <c r="U295" s="2" t="s">
        <v>146</v>
      </c>
      <c r="X295" s="2">
        <f t="shared" si="4"/>
        <v>0</v>
      </c>
    </row>
    <row r="296" spans="1:24" ht="14.25" x14ac:dyDescent="0.45">
      <c r="A296" s="2" t="s">
        <v>295</v>
      </c>
      <c r="B296" s="2" t="s">
        <v>127</v>
      </c>
      <c r="C296" s="2">
        <v>2019</v>
      </c>
      <c r="D296" s="2" t="s">
        <v>49</v>
      </c>
      <c r="E296" s="2" t="s">
        <v>146</v>
      </c>
      <c r="F296" s="2" t="s">
        <v>146</v>
      </c>
      <c r="G296" s="2" t="s">
        <v>146</v>
      </c>
      <c r="H296" s="2" t="s">
        <v>146</v>
      </c>
      <c r="I296" s="2" t="s">
        <v>146</v>
      </c>
      <c r="J296" s="2" t="s">
        <v>49</v>
      </c>
      <c r="K296" s="2" t="s">
        <v>146</v>
      </c>
      <c r="L296" s="2" t="s">
        <v>146</v>
      </c>
      <c r="M296" s="2" t="s">
        <v>146</v>
      </c>
      <c r="N296" s="2" t="s">
        <v>146</v>
      </c>
      <c r="O296" s="2" t="s">
        <v>146</v>
      </c>
      <c r="P296" s="2" t="s">
        <v>49</v>
      </c>
      <c r="Q296" s="2" t="s">
        <v>146</v>
      </c>
      <c r="R296" s="2" t="s">
        <v>146</v>
      </c>
      <c r="S296" s="2" t="s">
        <v>146</v>
      </c>
      <c r="T296" s="2" t="s">
        <v>146</v>
      </c>
      <c r="U296" s="2" t="s">
        <v>146</v>
      </c>
      <c r="X296" s="2">
        <f t="shared" si="4"/>
        <v>0</v>
      </c>
    </row>
    <row r="297" spans="1:24" ht="14.25" x14ac:dyDescent="0.45">
      <c r="A297" s="2" t="s">
        <v>289</v>
      </c>
      <c r="B297" s="2" t="s">
        <v>294</v>
      </c>
      <c r="C297" s="2">
        <v>2019</v>
      </c>
      <c r="D297" s="2" t="s">
        <v>176</v>
      </c>
      <c r="E297" s="2" t="s">
        <v>146</v>
      </c>
      <c r="F297" s="2" t="s">
        <v>146</v>
      </c>
      <c r="G297" s="2" t="s">
        <v>146</v>
      </c>
      <c r="H297" s="2" t="s">
        <v>146</v>
      </c>
      <c r="I297" s="2" t="s">
        <v>146</v>
      </c>
      <c r="J297" s="2" t="s">
        <v>176</v>
      </c>
      <c r="K297" s="2" t="s">
        <v>146</v>
      </c>
      <c r="L297" s="2" t="s">
        <v>146</v>
      </c>
      <c r="M297" s="2" t="s">
        <v>146</v>
      </c>
      <c r="N297" s="2" t="s">
        <v>146</v>
      </c>
      <c r="O297" s="2" t="s">
        <v>146</v>
      </c>
      <c r="P297" s="2" t="s">
        <v>176</v>
      </c>
      <c r="Q297" s="2" t="s">
        <v>146</v>
      </c>
      <c r="R297" s="2" t="s">
        <v>146</v>
      </c>
      <c r="S297" s="2" t="s">
        <v>146</v>
      </c>
      <c r="T297" s="2" t="s">
        <v>146</v>
      </c>
      <c r="U297" s="2" t="s">
        <v>146</v>
      </c>
      <c r="X297" s="2">
        <f t="shared" si="4"/>
        <v>0</v>
      </c>
    </row>
    <row r="298" spans="1:24" ht="14.25" x14ac:dyDescent="0.45">
      <c r="A298" s="2" t="s">
        <v>289</v>
      </c>
      <c r="B298" s="2" t="s">
        <v>293</v>
      </c>
      <c r="C298" s="2">
        <v>2019</v>
      </c>
      <c r="D298" s="2" t="s">
        <v>176</v>
      </c>
      <c r="E298" s="2" t="s">
        <v>146</v>
      </c>
      <c r="F298" s="2" t="s">
        <v>146</v>
      </c>
      <c r="G298" s="2" t="s">
        <v>146</v>
      </c>
      <c r="H298" s="2" t="s">
        <v>146</v>
      </c>
      <c r="I298" s="2" t="s">
        <v>146</v>
      </c>
      <c r="J298" s="2" t="s">
        <v>176</v>
      </c>
      <c r="K298" s="2" t="s">
        <v>146</v>
      </c>
      <c r="L298" s="2" t="s">
        <v>146</v>
      </c>
      <c r="M298" s="2" t="s">
        <v>146</v>
      </c>
      <c r="N298" s="2" t="s">
        <v>146</v>
      </c>
      <c r="O298" s="2" t="s">
        <v>146</v>
      </c>
      <c r="P298" s="2" t="s">
        <v>176</v>
      </c>
      <c r="Q298" s="2" t="s">
        <v>146</v>
      </c>
      <c r="R298" s="2" t="s">
        <v>146</v>
      </c>
      <c r="S298" s="2" t="s">
        <v>146</v>
      </c>
      <c r="T298" s="2" t="s">
        <v>146</v>
      </c>
      <c r="U298" s="2" t="s">
        <v>146</v>
      </c>
      <c r="X298" s="2">
        <f t="shared" si="4"/>
        <v>0</v>
      </c>
    </row>
    <row r="299" spans="1:24" ht="14.25" x14ac:dyDescent="0.45">
      <c r="A299" s="2" t="s">
        <v>289</v>
      </c>
      <c r="B299" s="2" t="s">
        <v>292</v>
      </c>
      <c r="C299" s="2">
        <v>2019</v>
      </c>
      <c r="D299" s="2" t="s">
        <v>769</v>
      </c>
      <c r="E299" s="2" t="s">
        <v>734</v>
      </c>
      <c r="F299" s="2">
        <v>20.292999999999999</v>
      </c>
      <c r="G299" s="2" t="s">
        <v>146</v>
      </c>
      <c r="H299" s="2" t="s">
        <v>146</v>
      </c>
      <c r="I299" s="2" t="s">
        <v>146</v>
      </c>
      <c r="J299" s="2" t="s">
        <v>176</v>
      </c>
      <c r="K299" s="2" t="s">
        <v>146</v>
      </c>
      <c r="L299" s="2" t="s">
        <v>146</v>
      </c>
      <c r="M299" s="2" t="s">
        <v>146</v>
      </c>
      <c r="N299" s="2" t="s">
        <v>146</v>
      </c>
      <c r="O299" s="2" t="s">
        <v>146</v>
      </c>
      <c r="P299" s="2" t="s">
        <v>176</v>
      </c>
      <c r="Q299" s="2" t="s">
        <v>146</v>
      </c>
      <c r="R299" s="2" t="s">
        <v>146</v>
      </c>
      <c r="S299" s="2" t="s">
        <v>146</v>
      </c>
      <c r="T299" s="2" t="s">
        <v>146</v>
      </c>
      <c r="U299" s="2" t="s">
        <v>146</v>
      </c>
      <c r="X299" s="2">
        <f t="shared" si="4"/>
        <v>0</v>
      </c>
    </row>
    <row r="300" spans="1:24" ht="14.25" x14ac:dyDescent="0.45">
      <c r="A300" s="2" t="s">
        <v>289</v>
      </c>
      <c r="B300" s="2" t="s">
        <v>291</v>
      </c>
      <c r="C300" s="2">
        <v>2019</v>
      </c>
      <c r="D300" s="2" t="s">
        <v>176</v>
      </c>
      <c r="E300" s="2" t="s">
        <v>146</v>
      </c>
      <c r="F300" s="2" t="s">
        <v>146</v>
      </c>
      <c r="G300" s="2" t="s">
        <v>146</v>
      </c>
      <c r="H300" s="2" t="s">
        <v>146</v>
      </c>
      <c r="I300" s="2" t="s">
        <v>146</v>
      </c>
      <c r="J300" s="2" t="s">
        <v>176</v>
      </c>
      <c r="K300" s="2" t="s">
        <v>146</v>
      </c>
      <c r="L300" s="2" t="s">
        <v>146</v>
      </c>
      <c r="M300" s="2" t="s">
        <v>146</v>
      </c>
      <c r="N300" s="2" t="s">
        <v>146</v>
      </c>
      <c r="O300" s="2" t="s">
        <v>146</v>
      </c>
      <c r="P300" s="2" t="s">
        <v>176</v>
      </c>
      <c r="Q300" s="2" t="s">
        <v>146</v>
      </c>
      <c r="R300" s="2" t="s">
        <v>146</v>
      </c>
      <c r="S300" s="2" t="s">
        <v>146</v>
      </c>
      <c r="T300" s="2" t="s">
        <v>146</v>
      </c>
      <c r="U300" s="2" t="s">
        <v>146</v>
      </c>
      <c r="X300" s="2">
        <f t="shared" si="4"/>
        <v>0</v>
      </c>
    </row>
    <row r="301" spans="1:24" ht="14.25" x14ac:dyDescent="0.45">
      <c r="A301" s="2" t="s">
        <v>289</v>
      </c>
      <c r="B301" s="2" t="s">
        <v>290</v>
      </c>
      <c r="C301" s="2">
        <v>2019</v>
      </c>
      <c r="D301" s="2" t="s">
        <v>768</v>
      </c>
      <c r="E301" s="2" t="s">
        <v>734</v>
      </c>
      <c r="F301" s="2">
        <v>8.5709999999999997</v>
      </c>
      <c r="G301" s="2" t="s">
        <v>745</v>
      </c>
      <c r="H301" s="2">
        <v>2.8570000000000002</v>
      </c>
      <c r="I301" s="2">
        <v>85</v>
      </c>
      <c r="J301" s="2" t="s">
        <v>176</v>
      </c>
      <c r="K301" s="2" t="s">
        <v>146</v>
      </c>
      <c r="L301" s="2" t="s">
        <v>146</v>
      </c>
      <c r="M301" s="2" t="s">
        <v>146</v>
      </c>
      <c r="N301" s="2" t="s">
        <v>146</v>
      </c>
      <c r="O301" s="2" t="s">
        <v>146</v>
      </c>
      <c r="P301" s="2" t="s">
        <v>176</v>
      </c>
      <c r="Q301" s="2" t="s">
        <v>146</v>
      </c>
      <c r="R301" s="2" t="s">
        <v>146</v>
      </c>
      <c r="S301" s="2" t="s">
        <v>146</v>
      </c>
      <c r="T301" s="2" t="s">
        <v>146</v>
      </c>
      <c r="U301" s="2" t="s">
        <v>146</v>
      </c>
      <c r="X301" s="2">
        <f t="shared" si="4"/>
        <v>0</v>
      </c>
    </row>
    <row r="302" spans="1:24" ht="14.25" x14ac:dyDescent="0.45">
      <c r="A302" s="2" t="s">
        <v>289</v>
      </c>
      <c r="B302" s="2" t="s">
        <v>288</v>
      </c>
      <c r="C302" s="2">
        <v>2019</v>
      </c>
      <c r="D302" s="2" t="s">
        <v>767</v>
      </c>
      <c r="E302" s="2" t="s">
        <v>734</v>
      </c>
      <c r="F302" s="2">
        <v>3.851</v>
      </c>
      <c r="G302" s="2" t="s">
        <v>146</v>
      </c>
      <c r="H302" s="2" t="s">
        <v>146</v>
      </c>
      <c r="I302" s="2">
        <v>85</v>
      </c>
      <c r="J302" s="2" t="s">
        <v>176</v>
      </c>
      <c r="K302" s="2" t="s">
        <v>146</v>
      </c>
      <c r="L302" s="2" t="s">
        <v>146</v>
      </c>
      <c r="M302" s="2" t="s">
        <v>766</v>
      </c>
      <c r="N302" s="2" t="s">
        <v>146</v>
      </c>
      <c r="O302" s="2" t="s">
        <v>146</v>
      </c>
      <c r="P302" s="2" t="s">
        <v>176</v>
      </c>
      <c r="Q302" s="2" t="s">
        <v>146</v>
      </c>
      <c r="R302" s="2" t="s">
        <v>146</v>
      </c>
      <c r="S302" s="2" t="s">
        <v>146</v>
      </c>
      <c r="T302" s="2" t="s">
        <v>146</v>
      </c>
      <c r="U302" s="2" t="s">
        <v>146</v>
      </c>
      <c r="X302" s="2">
        <f t="shared" si="4"/>
        <v>0</v>
      </c>
    </row>
    <row r="303" spans="1:24" ht="14.25" x14ac:dyDescent="0.45">
      <c r="A303" s="2" t="s">
        <v>286</v>
      </c>
      <c r="B303" s="2" t="s">
        <v>287</v>
      </c>
      <c r="C303" s="2">
        <v>2019</v>
      </c>
      <c r="D303" s="2" t="s">
        <v>49</v>
      </c>
      <c r="E303" s="2" t="s">
        <v>146</v>
      </c>
      <c r="F303" s="2" t="s">
        <v>146</v>
      </c>
      <c r="G303" s="2" t="s">
        <v>146</v>
      </c>
      <c r="H303" s="2" t="s">
        <v>146</v>
      </c>
      <c r="I303" s="2" t="s">
        <v>146</v>
      </c>
      <c r="J303" s="2" t="s">
        <v>49</v>
      </c>
      <c r="K303" s="2" t="s">
        <v>146</v>
      </c>
      <c r="L303" s="2" t="s">
        <v>146</v>
      </c>
      <c r="M303" s="2" t="s">
        <v>146</v>
      </c>
      <c r="N303" s="2" t="s">
        <v>146</v>
      </c>
      <c r="O303" s="2" t="s">
        <v>146</v>
      </c>
      <c r="P303" s="2" t="s">
        <v>49</v>
      </c>
      <c r="Q303" s="2" t="s">
        <v>146</v>
      </c>
      <c r="R303" s="2" t="s">
        <v>146</v>
      </c>
      <c r="S303" s="2" t="s">
        <v>146</v>
      </c>
      <c r="T303" s="2" t="s">
        <v>146</v>
      </c>
      <c r="U303" s="2" t="s">
        <v>146</v>
      </c>
      <c r="X303" s="2">
        <f t="shared" si="4"/>
        <v>0</v>
      </c>
    </row>
    <row r="304" spans="1:24" ht="14.25" x14ac:dyDescent="0.45">
      <c r="A304" s="2" t="s">
        <v>286</v>
      </c>
      <c r="B304" s="2" t="s">
        <v>285</v>
      </c>
      <c r="C304" s="2">
        <v>2019</v>
      </c>
      <c r="D304" s="2" t="s">
        <v>49</v>
      </c>
      <c r="E304" s="2" t="s">
        <v>146</v>
      </c>
      <c r="F304" s="2" t="s">
        <v>146</v>
      </c>
      <c r="G304" s="2" t="s">
        <v>146</v>
      </c>
      <c r="H304" s="2" t="s">
        <v>146</v>
      </c>
      <c r="I304" s="2" t="s">
        <v>146</v>
      </c>
      <c r="J304" s="2" t="s">
        <v>49</v>
      </c>
      <c r="K304" s="2" t="s">
        <v>146</v>
      </c>
      <c r="L304" s="2" t="s">
        <v>146</v>
      </c>
      <c r="M304" s="2" t="s">
        <v>146</v>
      </c>
      <c r="N304" s="2" t="s">
        <v>146</v>
      </c>
      <c r="O304" s="2" t="s">
        <v>146</v>
      </c>
      <c r="P304" s="2" t="s">
        <v>49</v>
      </c>
      <c r="Q304" s="2" t="s">
        <v>146</v>
      </c>
      <c r="R304" s="2" t="s">
        <v>146</v>
      </c>
      <c r="S304" s="2" t="s">
        <v>146</v>
      </c>
      <c r="T304" s="2" t="s">
        <v>146</v>
      </c>
      <c r="U304" s="2" t="s">
        <v>146</v>
      </c>
      <c r="X304" s="2">
        <f t="shared" si="4"/>
        <v>0</v>
      </c>
    </row>
    <row r="305" spans="1:24" ht="14.25" x14ac:dyDescent="0.45">
      <c r="A305" s="2" t="s">
        <v>284</v>
      </c>
      <c r="B305" s="2" t="s">
        <v>283</v>
      </c>
      <c r="C305" s="2">
        <v>2019</v>
      </c>
      <c r="D305" s="2" t="s">
        <v>49</v>
      </c>
      <c r="E305" s="2" t="s">
        <v>146</v>
      </c>
      <c r="F305" s="2" t="s">
        <v>146</v>
      </c>
      <c r="G305" s="2" t="s">
        <v>146</v>
      </c>
      <c r="H305" s="2" t="s">
        <v>146</v>
      </c>
      <c r="I305" s="2" t="s">
        <v>146</v>
      </c>
      <c r="J305" s="2" t="s">
        <v>49</v>
      </c>
      <c r="K305" s="2" t="s">
        <v>146</v>
      </c>
      <c r="L305" s="2" t="s">
        <v>146</v>
      </c>
      <c r="M305" s="2" t="s">
        <v>146</v>
      </c>
      <c r="N305" s="2" t="s">
        <v>146</v>
      </c>
      <c r="O305" s="2" t="s">
        <v>146</v>
      </c>
      <c r="P305" s="2" t="s">
        <v>49</v>
      </c>
      <c r="Q305" s="2" t="s">
        <v>146</v>
      </c>
      <c r="R305" s="2" t="s">
        <v>146</v>
      </c>
      <c r="S305" s="2" t="s">
        <v>146</v>
      </c>
      <c r="T305" s="2" t="s">
        <v>146</v>
      </c>
      <c r="U305" s="2" t="s">
        <v>146</v>
      </c>
      <c r="X305" s="2">
        <f t="shared" si="4"/>
        <v>0</v>
      </c>
    </row>
    <row r="306" spans="1:24" ht="14.25" x14ac:dyDescent="0.45">
      <c r="A306" s="2" t="s">
        <v>280</v>
      </c>
      <c r="B306" s="2" t="s">
        <v>282</v>
      </c>
      <c r="C306" s="2">
        <v>2019</v>
      </c>
      <c r="D306" s="2" t="s">
        <v>49</v>
      </c>
      <c r="E306" s="2" t="s">
        <v>146</v>
      </c>
      <c r="F306" s="2" t="s">
        <v>146</v>
      </c>
      <c r="G306" s="2" t="s">
        <v>146</v>
      </c>
      <c r="H306" s="2" t="s">
        <v>146</v>
      </c>
      <c r="I306" s="2" t="s">
        <v>146</v>
      </c>
      <c r="J306" s="2" t="s">
        <v>49</v>
      </c>
      <c r="K306" s="2" t="s">
        <v>146</v>
      </c>
      <c r="L306" s="2" t="s">
        <v>146</v>
      </c>
      <c r="M306" s="2" t="s">
        <v>146</v>
      </c>
      <c r="N306" s="2" t="s">
        <v>146</v>
      </c>
      <c r="O306" s="2" t="s">
        <v>146</v>
      </c>
      <c r="P306" s="2" t="s">
        <v>49</v>
      </c>
      <c r="Q306" s="2" t="s">
        <v>146</v>
      </c>
      <c r="R306" s="2" t="s">
        <v>146</v>
      </c>
      <c r="S306" s="2" t="s">
        <v>146</v>
      </c>
      <c r="T306" s="2" t="s">
        <v>146</v>
      </c>
      <c r="U306" s="2" t="s">
        <v>146</v>
      </c>
      <c r="X306" s="2">
        <f t="shared" si="4"/>
        <v>0</v>
      </c>
    </row>
    <row r="307" spans="1:24" ht="14.25" x14ac:dyDescent="0.45">
      <c r="A307" s="2" t="s">
        <v>280</v>
      </c>
      <c r="B307" s="2" t="s">
        <v>281</v>
      </c>
      <c r="C307" s="2">
        <v>2019</v>
      </c>
      <c r="D307" s="2" t="s">
        <v>49</v>
      </c>
      <c r="E307" s="2" t="s">
        <v>146</v>
      </c>
      <c r="F307" s="2" t="s">
        <v>146</v>
      </c>
      <c r="G307" s="2" t="s">
        <v>146</v>
      </c>
      <c r="H307" s="2" t="s">
        <v>146</v>
      </c>
      <c r="I307" s="2" t="s">
        <v>146</v>
      </c>
      <c r="J307" s="2" t="s">
        <v>49</v>
      </c>
      <c r="K307" s="2" t="s">
        <v>146</v>
      </c>
      <c r="L307" s="2" t="s">
        <v>146</v>
      </c>
      <c r="M307" s="2" t="s">
        <v>146</v>
      </c>
      <c r="N307" s="2" t="s">
        <v>146</v>
      </c>
      <c r="O307" s="2" t="s">
        <v>146</v>
      </c>
      <c r="P307" s="2" t="s">
        <v>49</v>
      </c>
      <c r="Q307" s="2" t="s">
        <v>146</v>
      </c>
      <c r="R307" s="2" t="s">
        <v>146</v>
      </c>
      <c r="S307" s="2" t="s">
        <v>146</v>
      </c>
      <c r="T307" s="2" t="s">
        <v>146</v>
      </c>
      <c r="U307" s="2" t="s">
        <v>146</v>
      </c>
      <c r="X307" s="2">
        <f t="shared" si="4"/>
        <v>0</v>
      </c>
    </row>
    <row r="308" spans="1:24" ht="14.25" x14ac:dyDescent="0.45">
      <c r="A308" s="2" t="s">
        <v>280</v>
      </c>
      <c r="B308" s="2" t="s">
        <v>279</v>
      </c>
      <c r="C308" s="2">
        <v>2019</v>
      </c>
      <c r="D308" s="2" t="s">
        <v>49</v>
      </c>
      <c r="E308" s="2" t="s">
        <v>146</v>
      </c>
      <c r="F308" s="2" t="s">
        <v>146</v>
      </c>
      <c r="G308" s="2" t="s">
        <v>146</v>
      </c>
      <c r="H308" s="2" t="s">
        <v>146</v>
      </c>
      <c r="I308" s="2" t="s">
        <v>146</v>
      </c>
      <c r="J308" s="2" t="s">
        <v>49</v>
      </c>
      <c r="K308" s="2" t="s">
        <v>146</v>
      </c>
      <c r="L308" s="2" t="s">
        <v>146</v>
      </c>
      <c r="M308" s="2" t="s">
        <v>146</v>
      </c>
      <c r="N308" s="2" t="s">
        <v>146</v>
      </c>
      <c r="O308" s="2" t="s">
        <v>146</v>
      </c>
      <c r="P308" s="2" t="s">
        <v>49</v>
      </c>
      <c r="Q308" s="2" t="s">
        <v>146</v>
      </c>
      <c r="R308" s="2" t="s">
        <v>146</v>
      </c>
      <c r="S308" s="2" t="s">
        <v>146</v>
      </c>
      <c r="T308" s="2" t="s">
        <v>146</v>
      </c>
      <c r="U308" s="2" t="s">
        <v>146</v>
      </c>
      <c r="X308" s="2">
        <f t="shared" si="4"/>
        <v>0</v>
      </c>
    </row>
    <row r="309" spans="1:24" ht="14.25" x14ac:dyDescent="0.45">
      <c r="A309" s="2" t="s">
        <v>278</v>
      </c>
      <c r="B309" s="2" t="s">
        <v>278</v>
      </c>
      <c r="C309" s="2">
        <v>2019</v>
      </c>
      <c r="D309" s="2" t="s">
        <v>49</v>
      </c>
      <c r="E309" s="2" t="s">
        <v>49</v>
      </c>
      <c r="F309" s="2" t="s">
        <v>49</v>
      </c>
      <c r="G309" s="2" t="s">
        <v>49</v>
      </c>
      <c r="H309" s="2" t="s">
        <v>49</v>
      </c>
      <c r="I309" s="2" t="s">
        <v>49</v>
      </c>
      <c r="J309" s="2" t="s">
        <v>49</v>
      </c>
      <c r="K309" s="2" t="s">
        <v>49</v>
      </c>
      <c r="L309" s="2" t="s">
        <v>49</v>
      </c>
      <c r="M309" s="2" t="s">
        <v>49</v>
      </c>
      <c r="N309" s="2" t="s">
        <v>49</v>
      </c>
      <c r="O309" s="2" t="s">
        <v>49</v>
      </c>
      <c r="P309" s="2" t="s">
        <v>49</v>
      </c>
      <c r="Q309" s="2" t="s">
        <v>49</v>
      </c>
      <c r="R309" s="2" t="s">
        <v>49</v>
      </c>
      <c r="S309" s="2" t="s">
        <v>49</v>
      </c>
      <c r="T309" s="2" t="s">
        <v>49</v>
      </c>
      <c r="U309" s="2" t="s">
        <v>49</v>
      </c>
      <c r="X309" s="2">
        <f t="shared" si="4"/>
        <v>0</v>
      </c>
    </row>
    <row r="310" spans="1:24" ht="14.25" x14ac:dyDescent="0.45">
      <c r="A310" s="2" t="s">
        <v>277</v>
      </c>
      <c r="B310" s="2" t="s">
        <v>130</v>
      </c>
      <c r="C310" s="2">
        <v>2019</v>
      </c>
      <c r="D310" s="2" t="s">
        <v>765</v>
      </c>
      <c r="E310" s="2" t="s">
        <v>734</v>
      </c>
      <c r="F310" s="2">
        <v>17.100000000000001</v>
      </c>
      <c r="G310" s="2" t="s">
        <v>146</v>
      </c>
      <c r="H310" s="2" t="s">
        <v>146</v>
      </c>
      <c r="I310" s="2">
        <v>90</v>
      </c>
      <c r="J310" s="2" t="s">
        <v>49</v>
      </c>
      <c r="K310" s="2" t="s">
        <v>146</v>
      </c>
      <c r="L310" s="2" t="s">
        <v>146</v>
      </c>
      <c r="M310" s="2" t="s">
        <v>146</v>
      </c>
      <c r="N310" s="2" t="s">
        <v>146</v>
      </c>
      <c r="O310" s="2" t="s">
        <v>146</v>
      </c>
      <c r="P310" s="2" t="s">
        <v>49</v>
      </c>
      <c r="Q310" s="2" t="s">
        <v>146</v>
      </c>
      <c r="R310" s="2" t="s">
        <v>146</v>
      </c>
      <c r="S310" s="2" t="s">
        <v>146</v>
      </c>
      <c r="T310" s="2" t="s">
        <v>146</v>
      </c>
      <c r="U310" s="2" t="s">
        <v>146</v>
      </c>
      <c r="X310" s="2">
        <f t="shared" si="4"/>
        <v>0</v>
      </c>
    </row>
    <row r="311" spans="1:24" ht="14.25" x14ac:dyDescent="0.45">
      <c r="A311" s="2" t="s">
        <v>276</v>
      </c>
      <c r="B311" s="2" t="s">
        <v>275</v>
      </c>
      <c r="C311" s="2">
        <v>2019</v>
      </c>
      <c r="D311" s="2" t="s">
        <v>49</v>
      </c>
      <c r="E311" s="2" t="s">
        <v>146</v>
      </c>
      <c r="F311" s="2" t="s">
        <v>146</v>
      </c>
      <c r="G311" s="2" t="s">
        <v>146</v>
      </c>
      <c r="H311" s="2" t="s">
        <v>146</v>
      </c>
      <c r="I311" s="2" t="s">
        <v>146</v>
      </c>
      <c r="J311" s="2" t="s">
        <v>49</v>
      </c>
      <c r="K311" s="2" t="s">
        <v>146</v>
      </c>
      <c r="L311" s="2" t="s">
        <v>146</v>
      </c>
      <c r="M311" s="2" t="s">
        <v>146</v>
      </c>
      <c r="N311" s="2" t="s">
        <v>146</v>
      </c>
      <c r="O311" s="2" t="s">
        <v>146</v>
      </c>
      <c r="P311" s="2" t="s">
        <v>49</v>
      </c>
      <c r="Q311" s="2" t="s">
        <v>146</v>
      </c>
      <c r="R311" s="2" t="s">
        <v>146</v>
      </c>
      <c r="S311" s="2" t="s">
        <v>146</v>
      </c>
      <c r="T311" s="2" t="s">
        <v>146</v>
      </c>
      <c r="U311" s="2" t="s">
        <v>146</v>
      </c>
      <c r="X311" s="2">
        <f t="shared" si="4"/>
        <v>0</v>
      </c>
    </row>
    <row r="312" spans="1:24" ht="14.25" x14ac:dyDescent="0.45">
      <c r="A312" s="2" t="s">
        <v>273</v>
      </c>
      <c r="B312" s="2" t="s">
        <v>272</v>
      </c>
      <c r="C312" s="2">
        <v>2019</v>
      </c>
      <c r="D312" s="2" t="s">
        <v>49</v>
      </c>
      <c r="E312" s="2" t="s">
        <v>146</v>
      </c>
      <c r="F312" s="2" t="s">
        <v>146</v>
      </c>
      <c r="G312" s="2" t="s">
        <v>146</v>
      </c>
      <c r="H312" s="2" t="s">
        <v>146</v>
      </c>
      <c r="I312" s="2" t="s">
        <v>146</v>
      </c>
      <c r="J312" s="2" t="s">
        <v>764</v>
      </c>
      <c r="K312" s="2" t="s">
        <v>740</v>
      </c>
      <c r="L312" s="2">
        <v>14.9</v>
      </c>
      <c r="M312" s="2" t="s">
        <v>146</v>
      </c>
      <c r="N312" s="2" t="s">
        <v>146</v>
      </c>
      <c r="O312" s="2" t="s">
        <v>146</v>
      </c>
      <c r="P312" s="2" t="s">
        <v>49</v>
      </c>
      <c r="Q312" s="2" t="s">
        <v>146</v>
      </c>
      <c r="R312" s="2" t="s">
        <v>146</v>
      </c>
      <c r="S312" s="2" t="s">
        <v>146</v>
      </c>
      <c r="T312" s="2" t="s">
        <v>146</v>
      </c>
      <c r="U312" s="2" t="s">
        <v>146</v>
      </c>
      <c r="X312" s="2">
        <f t="shared" si="4"/>
        <v>0</v>
      </c>
    </row>
    <row r="313" spans="1:24" ht="14.25" x14ac:dyDescent="0.45">
      <c r="A313" s="2" t="s">
        <v>271</v>
      </c>
      <c r="B313" s="2" t="s">
        <v>270</v>
      </c>
      <c r="C313" s="2">
        <v>2019</v>
      </c>
      <c r="D313" s="2" t="s">
        <v>146</v>
      </c>
      <c r="E313" s="2" t="s">
        <v>146</v>
      </c>
      <c r="F313" s="2" t="s">
        <v>146</v>
      </c>
      <c r="G313" s="2" t="s">
        <v>146</v>
      </c>
      <c r="H313" s="2" t="s">
        <v>146</v>
      </c>
      <c r="I313" s="2" t="s">
        <v>146</v>
      </c>
      <c r="J313" s="2" t="s">
        <v>146</v>
      </c>
      <c r="K313" s="2" t="s">
        <v>146</v>
      </c>
      <c r="L313" s="2" t="s">
        <v>146</v>
      </c>
      <c r="M313" s="2" t="s">
        <v>146</v>
      </c>
      <c r="N313" s="2" t="s">
        <v>146</v>
      </c>
      <c r="O313" s="2" t="s">
        <v>146</v>
      </c>
      <c r="P313" s="2" t="s">
        <v>146</v>
      </c>
      <c r="Q313" s="2" t="s">
        <v>146</v>
      </c>
      <c r="R313" s="2" t="s">
        <v>146</v>
      </c>
      <c r="S313" s="2" t="s">
        <v>146</v>
      </c>
      <c r="T313" s="2" t="s">
        <v>146</v>
      </c>
      <c r="U313" s="2" t="s">
        <v>146</v>
      </c>
      <c r="X313" s="2">
        <f t="shared" si="4"/>
        <v>0</v>
      </c>
    </row>
    <row r="314" spans="1:24" ht="14.25" x14ac:dyDescent="0.45">
      <c r="A314" s="2" t="s">
        <v>267</v>
      </c>
      <c r="B314" s="2" t="s">
        <v>269</v>
      </c>
      <c r="C314" s="2">
        <v>2019</v>
      </c>
      <c r="D314" s="2" t="s">
        <v>49</v>
      </c>
      <c r="E314" s="2" t="s">
        <v>146</v>
      </c>
      <c r="F314" s="2" t="s">
        <v>146</v>
      </c>
      <c r="G314" s="2" t="s">
        <v>146</v>
      </c>
      <c r="H314" s="2" t="s">
        <v>146</v>
      </c>
      <c r="I314" s="2" t="s">
        <v>146</v>
      </c>
      <c r="J314" s="2" t="s">
        <v>49</v>
      </c>
      <c r="K314" s="2" t="s">
        <v>146</v>
      </c>
      <c r="L314" s="2" t="s">
        <v>146</v>
      </c>
      <c r="M314" s="2" t="s">
        <v>146</v>
      </c>
      <c r="N314" s="2" t="s">
        <v>146</v>
      </c>
      <c r="O314" s="2" t="s">
        <v>146</v>
      </c>
      <c r="P314" s="2" t="s">
        <v>49</v>
      </c>
      <c r="Q314" s="2" t="s">
        <v>146</v>
      </c>
      <c r="R314" s="2" t="s">
        <v>146</v>
      </c>
      <c r="S314" s="2" t="s">
        <v>146</v>
      </c>
      <c r="T314" s="2" t="s">
        <v>146</v>
      </c>
      <c r="U314" s="2" t="s">
        <v>146</v>
      </c>
      <c r="X314" s="2">
        <f t="shared" si="4"/>
        <v>0</v>
      </c>
    </row>
    <row r="315" spans="1:24" ht="14.25" x14ac:dyDescent="0.45">
      <c r="A315" s="2" t="s">
        <v>267</v>
      </c>
      <c r="B315" s="2" t="s">
        <v>268</v>
      </c>
      <c r="C315" s="2">
        <v>2019</v>
      </c>
      <c r="D315" s="2" t="s">
        <v>49</v>
      </c>
      <c r="E315" s="2" t="s">
        <v>146</v>
      </c>
      <c r="F315" s="2" t="s">
        <v>146</v>
      </c>
      <c r="G315" s="2" t="s">
        <v>146</v>
      </c>
      <c r="H315" s="2" t="s">
        <v>146</v>
      </c>
      <c r="I315" s="2" t="s">
        <v>146</v>
      </c>
      <c r="J315" s="2" t="s">
        <v>49</v>
      </c>
      <c r="K315" s="2" t="s">
        <v>146</v>
      </c>
      <c r="L315" s="2" t="s">
        <v>146</v>
      </c>
      <c r="M315" s="2" t="s">
        <v>146</v>
      </c>
      <c r="N315" s="2" t="s">
        <v>146</v>
      </c>
      <c r="O315" s="2" t="s">
        <v>146</v>
      </c>
      <c r="P315" s="2" t="s">
        <v>49</v>
      </c>
      <c r="Q315" s="2" t="s">
        <v>146</v>
      </c>
      <c r="R315" s="2" t="s">
        <v>146</v>
      </c>
      <c r="S315" s="2" t="s">
        <v>146</v>
      </c>
      <c r="T315" s="2" t="s">
        <v>146</v>
      </c>
      <c r="U315" s="2" t="s">
        <v>146</v>
      </c>
      <c r="X315" s="2">
        <f t="shared" si="4"/>
        <v>0</v>
      </c>
    </row>
    <row r="316" spans="1:24" ht="14.25" x14ac:dyDescent="0.45">
      <c r="A316" s="2" t="s">
        <v>267</v>
      </c>
      <c r="B316" s="2" t="s">
        <v>266</v>
      </c>
      <c r="C316" s="2">
        <v>2019</v>
      </c>
      <c r="D316" s="2" t="s">
        <v>49</v>
      </c>
      <c r="E316" s="2" t="s">
        <v>146</v>
      </c>
      <c r="F316" s="2" t="s">
        <v>146</v>
      </c>
      <c r="G316" s="2" t="s">
        <v>146</v>
      </c>
      <c r="H316" s="2" t="s">
        <v>146</v>
      </c>
      <c r="I316" s="2" t="s">
        <v>146</v>
      </c>
      <c r="J316" s="2" t="s">
        <v>49</v>
      </c>
      <c r="K316" s="2" t="s">
        <v>146</v>
      </c>
      <c r="L316" s="2" t="s">
        <v>146</v>
      </c>
      <c r="M316" s="2" t="s">
        <v>146</v>
      </c>
      <c r="N316" s="2" t="s">
        <v>146</v>
      </c>
      <c r="O316" s="2" t="s">
        <v>146</v>
      </c>
      <c r="P316" s="2" t="s">
        <v>49</v>
      </c>
      <c r="Q316" s="2" t="s">
        <v>146</v>
      </c>
      <c r="R316" s="2" t="s">
        <v>146</v>
      </c>
      <c r="S316" s="2" t="s">
        <v>146</v>
      </c>
      <c r="T316" s="2" t="s">
        <v>146</v>
      </c>
      <c r="U316" s="2" t="s">
        <v>146</v>
      </c>
      <c r="X316" s="2">
        <f t="shared" si="4"/>
        <v>0</v>
      </c>
    </row>
    <row r="317" spans="1:24" ht="14.25" x14ac:dyDescent="0.45">
      <c r="A317" s="2" t="s">
        <v>263</v>
      </c>
      <c r="B317" s="2" t="s">
        <v>265</v>
      </c>
      <c r="C317" s="2">
        <v>2019</v>
      </c>
      <c r="D317" s="2" t="s">
        <v>49</v>
      </c>
      <c r="E317" s="2" t="s">
        <v>49</v>
      </c>
      <c r="F317" s="2" t="s">
        <v>146</v>
      </c>
      <c r="G317" s="2" t="s">
        <v>49</v>
      </c>
      <c r="H317" s="2" t="s">
        <v>49</v>
      </c>
      <c r="I317" s="2" t="s">
        <v>49</v>
      </c>
      <c r="J317" s="2" t="s">
        <v>49</v>
      </c>
      <c r="K317" s="2" t="s">
        <v>49</v>
      </c>
      <c r="L317" s="2" t="s">
        <v>49</v>
      </c>
      <c r="M317" s="2" t="s">
        <v>49</v>
      </c>
      <c r="N317" s="2" t="s">
        <v>49</v>
      </c>
      <c r="O317" s="2" t="s">
        <v>49</v>
      </c>
      <c r="P317" s="2" t="s">
        <v>49</v>
      </c>
      <c r="Q317" s="2" t="s">
        <v>49</v>
      </c>
      <c r="R317" s="2" t="s">
        <v>49</v>
      </c>
      <c r="S317" s="2" t="s">
        <v>49</v>
      </c>
      <c r="T317" s="2" t="s">
        <v>49</v>
      </c>
      <c r="U317" s="2" t="s">
        <v>49</v>
      </c>
      <c r="X317" s="2">
        <f t="shared" si="4"/>
        <v>0</v>
      </c>
    </row>
    <row r="318" spans="1:24" ht="14.25" x14ac:dyDescent="0.45">
      <c r="A318" s="2" t="s">
        <v>263</v>
      </c>
      <c r="B318" s="2" t="s">
        <v>264</v>
      </c>
      <c r="C318" s="2">
        <v>2019</v>
      </c>
      <c r="D318" s="2" t="s">
        <v>49</v>
      </c>
      <c r="E318" s="2" t="s">
        <v>49</v>
      </c>
      <c r="F318" s="2" t="s">
        <v>146</v>
      </c>
      <c r="G318" s="2" t="s">
        <v>49</v>
      </c>
      <c r="H318" s="2" t="s">
        <v>49</v>
      </c>
      <c r="I318" s="2" t="s">
        <v>49</v>
      </c>
      <c r="J318" s="2" t="s">
        <v>49</v>
      </c>
      <c r="K318" s="2" t="s">
        <v>49</v>
      </c>
      <c r="L318" s="2" t="s">
        <v>49</v>
      </c>
      <c r="M318" s="2" t="s">
        <v>49</v>
      </c>
      <c r="N318" s="2" t="s">
        <v>49</v>
      </c>
      <c r="O318" s="2" t="s">
        <v>49</v>
      </c>
      <c r="P318" s="2" t="s">
        <v>49</v>
      </c>
      <c r="Q318" s="2" t="s">
        <v>49</v>
      </c>
      <c r="R318" s="2" t="s">
        <v>49</v>
      </c>
      <c r="S318" s="2" t="s">
        <v>49</v>
      </c>
      <c r="T318" s="2" t="s">
        <v>49</v>
      </c>
      <c r="U318" s="2" t="s">
        <v>49</v>
      </c>
      <c r="X318" s="2">
        <f t="shared" si="4"/>
        <v>0</v>
      </c>
    </row>
    <row r="319" spans="1:24" ht="14.25" x14ac:dyDescent="0.45">
      <c r="A319" s="2" t="s">
        <v>263</v>
      </c>
      <c r="B319" s="2" t="s">
        <v>262</v>
      </c>
      <c r="C319" s="2">
        <v>2019</v>
      </c>
      <c r="D319" s="2" t="s">
        <v>763</v>
      </c>
      <c r="E319" s="2" t="s">
        <v>734</v>
      </c>
      <c r="F319" s="2">
        <v>17.109000000000002</v>
      </c>
      <c r="G319" s="2" t="s">
        <v>747</v>
      </c>
      <c r="H319" s="2">
        <v>0.27500000000000002</v>
      </c>
      <c r="I319" s="2">
        <v>90</v>
      </c>
      <c r="J319" s="2" t="s">
        <v>49</v>
      </c>
      <c r="K319" s="2" t="s">
        <v>146</v>
      </c>
      <c r="L319" s="2" t="s">
        <v>146</v>
      </c>
      <c r="M319" s="2" t="s">
        <v>146</v>
      </c>
      <c r="N319" s="2" t="s">
        <v>146</v>
      </c>
      <c r="O319" s="2" t="s">
        <v>146</v>
      </c>
      <c r="P319" s="2" t="s">
        <v>49</v>
      </c>
      <c r="Q319" s="2" t="s">
        <v>146</v>
      </c>
      <c r="R319" s="2" t="s">
        <v>146</v>
      </c>
      <c r="S319" s="2" t="s">
        <v>146</v>
      </c>
      <c r="T319" s="2" t="s">
        <v>146</v>
      </c>
      <c r="U319" s="2" t="s">
        <v>146</v>
      </c>
      <c r="X319" s="2">
        <f t="shared" si="4"/>
        <v>0</v>
      </c>
    </row>
    <row r="320" spans="1:24" ht="14.25" x14ac:dyDescent="0.45">
      <c r="A320" s="2" t="s">
        <v>258</v>
      </c>
      <c r="B320" s="2" t="s">
        <v>261</v>
      </c>
      <c r="C320" s="2">
        <v>2019</v>
      </c>
      <c r="D320" s="2" t="s">
        <v>49</v>
      </c>
      <c r="E320" s="2" t="s">
        <v>146</v>
      </c>
      <c r="F320" s="2" t="s">
        <v>146</v>
      </c>
      <c r="G320" s="2" t="s">
        <v>146</v>
      </c>
      <c r="H320" s="2" t="s">
        <v>146</v>
      </c>
      <c r="I320" s="2" t="s">
        <v>146</v>
      </c>
      <c r="J320" s="2" t="s">
        <v>49</v>
      </c>
      <c r="K320" s="2" t="s">
        <v>146</v>
      </c>
      <c r="L320" s="2" t="s">
        <v>146</v>
      </c>
      <c r="M320" s="2" t="s">
        <v>146</v>
      </c>
      <c r="N320" s="2" t="s">
        <v>146</v>
      </c>
      <c r="O320" s="2" t="s">
        <v>146</v>
      </c>
      <c r="P320" s="2" t="s">
        <v>49</v>
      </c>
      <c r="Q320" s="2" t="s">
        <v>146</v>
      </c>
      <c r="R320" s="2" t="s">
        <v>146</v>
      </c>
      <c r="S320" s="2" t="s">
        <v>146</v>
      </c>
      <c r="T320" s="2" t="s">
        <v>146</v>
      </c>
      <c r="U320" s="2" t="s">
        <v>146</v>
      </c>
      <c r="X320" s="2">
        <f t="shared" si="4"/>
        <v>0</v>
      </c>
    </row>
    <row r="321" spans="1:24" ht="14.25" x14ac:dyDescent="0.45">
      <c r="A321" s="2" t="s">
        <v>258</v>
      </c>
      <c r="B321" s="2" t="s">
        <v>260</v>
      </c>
      <c r="C321" s="2">
        <v>2019</v>
      </c>
      <c r="D321" s="2" t="s">
        <v>49</v>
      </c>
      <c r="E321" s="2" t="s">
        <v>146</v>
      </c>
      <c r="F321" s="2" t="s">
        <v>146</v>
      </c>
      <c r="G321" s="2" t="s">
        <v>146</v>
      </c>
      <c r="H321" s="2" t="s">
        <v>146</v>
      </c>
      <c r="I321" s="2" t="s">
        <v>146</v>
      </c>
      <c r="J321" s="2" t="s">
        <v>49</v>
      </c>
      <c r="K321" s="2" t="s">
        <v>146</v>
      </c>
      <c r="L321" s="2" t="s">
        <v>146</v>
      </c>
      <c r="M321" s="2" t="s">
        <v>146</v>
      </c>
      <c r="N321" s="2" t="s">
        <v>146</v>
      </c>
      <c r="O321" s="2" t="s">
        <v>146</v>
      </c>
      <c r="P321" s="2" t="s">
        <v>49</v>
      </c>
      <c r="Q321" s="2" t="s">
        <v>146</v>
      </c>
      <c r="R321" s="2" t="s">
        <v>146</v>
      </c>
      <c r="S321" s="2" t="s">
        <v>146</v>
      </c>
      <c r="T321" s="2" t="s">
        <v>146</v>
      </c>
      <c r="U321" s="2" t="s">
        <v>146</v>
      </c>
      <c r="X321" s="2">
        <f t="shared" si="4"/>
        <v>0</v>
      </c>
    </row>
    <row r="322" spans="1:24" ht="14.25" x14ac:dyDescent="0.45">
      <c r="A322" s="2" t="s">
        <v>258</v>
      </c>
      <c r="B322" s="2" t="s">
        <v>259</v>
      </c>
      <c r="C322" s="2">
        <v>2019</v>
      </c>
      <c r="D322" s="2" t="s">
        <v>762</v>
      </c>
      <c r="E322" s="2" t="s">
        <v>734</v>
      </c>
      <c r="F322" s="2">
        <v>9.6</v>
      </c>
      <c r="G322" s="2" t="s">
        <v>146</v>
      </c>
      <c r="H322" s="2" t="s">
        <v>146</v>
      </c>
      <c r="I322" s="2" t="s">
        <v>146</v>
      </c>
      <c r="J322" s="2" t="s">
        <v>49</v>
      </c>
      <c r="K322" s="2" t="s">
        <v>146</v>
      </c>
      <c r="L322" s="2" t="s">
        <v>146</v>
      </c>
      <c r="M322" s="2" t="s">
        <v>146</v>
      </c>
      <c r="N322" s="2" t="s">
        <v>146</v>
      </c>
      <c r="O322" s="2" t="s">
        <v>146</v>
      </c>
      <c r="P322" s="2" t="s">
        <v>49</v>
      </c>
      <c r="Q322" s="2" t="s">
        <v>146</v>
      </c>
      <c r="R322" s="2" t="s">
        <v>146</v>
      </c>
      <c r="S322" s="2" t="s">
        <v>146</v>
      </c>
      <c r="T322" s="2" t="s">
        <v>146</v>
      </c>
      <c r="U322" s="2" t="s">
        <v>146</v>
      </c>
      <c r="X322" s="2">
        <f t="shared" si="4"/>
        <v>0</v>
      </c>
    </row>
    <row r="323" spans="1:24" ht="14.25" x14ac:dyDescent="0.45">
      <c r="A323" s="2" t="s">
        <v>258</v>
      </c>
      <c r="B323" s="2" t="s">
        <v>257</v>
      </c>
      <c r="C323" s="2">
        <v>2019</v>
      </c>
      <c r="D323" s="2" t="s">
        <v>761</v>
      </c>
      <c r="E323" s="2" t="s">
        <v>760</v>
      </c>
      <c r="F323" s="2">
        <v>0.40400000000000003</v>
      </c>
      <c r="G323" s="2" t="s">
        <v>146</v>
      </c>
      <c r="H323" s="2" t="s">
        <v>146</v>
      </c>
      <c r="I323" s="2" t="s">
        <v>146</v>
      </c>
      <c r="J323" s="2" t="s">
        <v>759</v>
      </c>
      <c r="K323" s="2" t="s">
        <v>758</v>
      </c>
      <c r="L323" s="2">
        <v>0.03</v>
      </c>
      <c r="M323" s="2" t="s">
        <v>146</v>
      </c>
      <c r="N323" s="2" t="s">
        <v>146</v>
      </c>
      <c r="O323" s="2" t="s">
        <v>146</v>
      </c>
      <c r="P323" s="2" t="s">
        <v>49</v>
      </c>
      <c r="Q323" s="2" t="s">
        <v>146</v>
      </c>
      <c r="R323" s="2" t="s">
        <v>146</v>
      </c>
      <c r="S323" s="2" t="s">
        <v>146</v>
      </c>
      <c r="T323" s="2" t="s">
        <v>146</v>
      </c>
      <c r="U323" s="2" t="s">
        <v>146</v>
      </c>
      <c r="X323" s="2">
        <f t="shared" ref="X323:X386" si="5">(IF(E323="Avfall",F323,0)+IF(G323="Avfall",H323,0))/IFERROR(I323/100,0.85)+(IF(K323="Avfall",L323,0)+IF(M323="Avfall",N323,0))/IFERROR(O323/100,0.85)+(IF(Q323="avfall",R323,0)+IF(S323="avfall",T323,0))/IFERROR(U323/100,0.85)</f>
        <v>0</v>
      </c>
    </row>
    <row r="324" spans="1:24" ht="14.25" x14ac:dyDescent="0.45">
      <c r="A324" s="2" t="s">
        <v>255</v>
      </c>
      <c r="B324" s="2" t="s">
        <v>256</v>
      </c>
      <c r="C324" s="2">
        <v>2019</v>
      </c>
      <c r="D324" s="2" t="s">
        <v>49</v>
      </c>
      <c r="E324" s="2" t="s">
        <v>146</v>
      </c>
      <c r="F324" s="2" t="s">
        <v>146</v>
      </c>
      <c r="G324" s="2" t="s">
        <v>146</v>
      </c>
      <c r="H324" s="2" t="s">
        <v>146</v>
      </c>
      <c r="I324" s="2" t="s">
        <v>146</v>
      </c>
      <c r="J324" s="2" t="s">
        <v>49</v>
      </c>
      <c r="K324" s="2" t="s">
        <v>146</v>
      </c>
      <c r="L324" s="2" t="s">
        <v>146</v>
      </c>
      <c r="M324" s="2" t="s">
        <v>146</v>
      </c>
      <c r="N324" s="2" t="s">
        <v>146</v>
      </c>
      <c r="O324" s="2" t="s">
        <v>146</v>
      </c>
      <c r="P324" s="2" t="s">
        <v>49</v>
      </c>
      <c r="Q324" s="2" t="s">
        <v>146</v>
      </c>
      <c r="R324" s="2" t="s">
        <v>146</v>
      </c>
      <c r="S324" s="2" t="s">
        <v>146</v>
      </c>
      <c r="T324" s="2" t="s">
        <v>146</v>
      </c>
      <c r="U324" s="2" t="s">
        <v>146</v>
      </c>
      <c r="X324" s="2">
        <f t="shared" si="5"/>
        <v>0</v>
      </c>
    </row>
    <row r="325" spans="1:24" ht="14.25" x14ac:dyDescent="0.45">
      <c r="A325" s="2" t="s">
        <v>255</v>
      </c>
      <c r="B325" s="2" t="s">
        <v>254</v>
      </c>
      <c r="C325" s="2">
        <v>2019</v>
      </c>
      <c r="D325" s="2" t="s">
        <v>49</v>
      </c>
      <c r="E325" s="2" t="s">
        <v>146</v>
      </c>
      <c r="F325" s="2" t="s">
        <v>146</v>
      </c>
      <c r="G325" s="2" t="s">
        <v>146</v>
      </c>
      <c r="H325" s="2" t="s">
        <v>146</v>
      </c>
      <c r="I325" s="2" t="s">
        <v>146</v>
      </c>
      <c r="J325" s="2" t="s">
        <v>49</v>
      </c>
      <c r="K325" s="2" t="s">
        <v>146</v>
      </c>
      <c r="L325" s="2" t="s">
        <v>146</v>
      </c>
      <c r="M325" s="2" t="s">
        <v>146</v>
      </c>
      <c r="N325" s="2" t="s">
        <v>146</v>
      </c>
      <c r="O325" s="2" t="s">
        <v>146</v>
      </c>
      <c r="P325" s="2" t="s">
        <v>49</v>
      </c>
      <c r="Q325" s="2" t="s">
        <v>146</v>
      </c>
      <c r="R325" s="2" t="s">
        <v>146</v>
      </c>
      <c r="S325" s="2" t="s">
        <v>146</v>
      </c>
      <c r="T325" s="2" t="s">
        <v>146</v>
      </c>
      <c r="U325" s="2" t="s">
        <v>146</v>
      </c>
      <c r="X325" s="2">
        <f t="shared" si="5"/>
        <v>0</v>
      </c>
    </row>
    <row r="326" spans="1:24" ht="14.25" x14ac:dyDescent="0.45">
      <c r="A326" s="2" t="s">
        <v>253</v>
      </c>
      <c r="B326" s="2" t="s">
        <v>252</v>
      </c>
      <c r="C326" s="2">
        <v>2019</v>
      </c>
      <c r="D326" s="2" t="s">
        <v>757</v>
      </c>
      <c r="E326" s="2" t="s">
        <v>734</v>
      </c>
      <c r="F326" s="2">
        <v>1.655</v>
      </c>
      <c r="G326" s="2" t="s">
        <v>146</v>
      </c>
      <c r="H326" s="2" t="s">
        <v>146</v>
      </c>
      <c r="I326" s="2" t="s">
        <v>146</v>
      </c>
      <c r="J326" s="2" t="s">
        <v>756</v>
      </c>
      <c r="K326" s="2" t="s">
        <v>734</v>
      </c>
      <c r="L326" s="2">
        <v>1.9259999999999999</v>
      </c>
      <c r="M326" s="2" t="s">
        <v>146</v>
      </c>
      <c r="N326" s="2" t="s">
        <v>146</v>
      </c>
      <c r="O326" s="2" t="s">
        <v>146</v>
      </c>
      <c r="P326" s="2" t="s">
        <v>49</v>
      </c>
      <c r="Q326" s="2" t="s">
        <v>146</v>
      </c>
      <c r="R326" s="2" t="s">
        <v>146</v>
      </c>
      <c r="S326" s="2" t="s">
        <v>146</v>
      </c>
      <c r="T326" s="2" t="s">
        <v>146</v>
      </c>
      <c r="U326" s="2" t="s">
        <v>146</v>
      </c>
      <c r="X326" s="2">
        <f t="shared" si="5"/>
        <v>0</v>
      </c>
    </row>
    <row r="327" spans="1:24" ht="14.25" x14ac:dyDescent="0.45">
      <c r="A327" s="2" t="s">
        <v>249</v>
      </c>
      <c r="B327" s="2" t="s">
        <v>251</v>
      </c>
      <c r="C327" s="2">
        <v>2019</v>
      </c>
      <c r="D327" s="2" t="s">
        <v>49</v>
      </c>
      <c r="E327" s="2" t="s">
        <v>146</v>
      </c>
      <c r="F327" s="2" t="s">
        <v>146</v>
      </c>
      <c r="G327" s="2" t="s">
        <v>146</v>
      </c>
      <c r="H327" s="2" t="s">
        <v>146</v>
      </c>
      <c r="I327" s="2" t="s">
        <v>146</v>
      </c>
      <c r="J327" s="2" t="s">
        <v>49</v>
      </c>
      <c r="K327" s="2" t="s">
        <v>146</v>
      </c>
      <c r="L327" s="2" t="s">
        <v>146</v>
      </c>
      <c r="M327" s="2" t="s">
        <v>146</v>
      </c>
      <c r="N327" s="2" t="s">
        <v>146</v>
      </c>
      <c r="O327" s="2" t="s">
        <v>146</v>
      </c>
      <c r="P327" s="2" t="s">
        <v>49</v>
      </c>
      <c r="Q327" s="2" t="s">
        <v>146</v>
      </c>
      <c r="R327" s="2" t="s">
        <v>146</v>
      </c>
      <c r="S327" s="2" t="s">
        <v>146</v>
      </c>
      <c r="T327" s="2" t="s">
        <v>146</v>
      </c>
      <c r="U327" s="2" t="s">
        <v>146</v>
      </c>
      <c r="X327" s="2">
        <f t="shared" si="5"/>
        <v>0</v>
      </c>
    </row>
    <row r="328" spans="1:24" ht="14.25" x14ac:dyDescent="0.45">
      <c r="A328" s="2" t="s">
        <v>249</v>
      </c>
      <c r="B328" s="2" t="s">
        <v>250</v>
      </c>
      <c r="C328" s="2">
        <v>2019</v>
      </c>
      <c r="D328" s="2" t="s">
        <v>755</v>
      </c>
      <c r="E328" s="2" t="s">
        <v>754</v>
      </c>
      <c r="F328" s="2">
        <v>4.6859999999999999</v>
      </c>
      <c r="G328" s="2" t="s">
        <v>146</v>
      </c>
      <c r="H328" s="2" t="s">
        <v>146</v>
      </c>
      <c r="I328" s="2" t="s">
        <v>146</v>
      </c>
      <c r="J328" s="2" t="s">
        <v>49</v>
      </c>
      <c r="K328" s="2" t="s">
        <v>146</v>
      </c>
      <c r="L328" s="2" t="s">
        <v>146</v>
      </c>
      <c r="M328" s="2" t="s">
        <v>146</v>
      </c>
      <c r="N328" s="2" t="s">
        <v>146</v>
      </c>
      <c r="O328" s="2" t="s">
        <v>146</v>
      </c>
      <c r="P328" s="2" t="s">
        <v>49</v>
      </c>
      <c r="Q328" s="2" t="s">
        <v>146</v>
      </c>
      <c r="R328" s="2" t="s">
        <v>146</v>
      </c>
      <c r="S328" s="2" t="s">
        <v>146</v>
      </c>
      <c r="T328" s="2" t="s">
        <v>146</v>
      </c>
      <c r="U328" s="2" t="s">
        <v>146</v>
      </c>
      <c r="X328" s="2">
        <f t="shared" si="5"/>
        <v>0</v>
      </c>
    </row>
    <row r="329" spans="1:24" ht="14.25" x14ac:dyDescent="0.45">
      <c r="A329" s="2" t="s">
        <v>249</v>
      </c>
      <c r="B329" s="2" t="s">
        <v>248</v>
      </c>
      <c r="C329" s="2">
        <v>2019</v>
      </c>
      <c r="D329" s="2" t="s">
        <v>49</v>
      </c>
      <c r="E329" s="2" t="s">
        <v>146</v>
      </c>
      <c r="F329" s="2" t="s">
        <v>146</v>
      </c>
      <c r="G329" s="2" t="s">
        <v>146</v>
      </c>
      <c r="H329" s="2" t="s">
        <v>146</v>
      </c>
      <c r="I329" s="2" t="s">
        <v>146</v>
      </c>
      <c r="J329" s="2" t="s">
        <v>49</v>
      </c>
      <c r="K329" s="2" t="s">
        <v>146</v>
      </c>
      <c r="L329" s="2" t="s">
        <v>146</v>
      </c>
      <c r="M329" s="2" t="s">
        <v>146</v>
      </c>
      <c r="N329" s="2" t="s">
        <v>146</v>
      </c>
      <c r="O329" s="2" t="s">
        <v>146</v>
      </c>
      <c r="P329" s="2" t="s">
        <v>49</v>
      </c>
      <c r="Q329" s="2" t="s">
        <v>146</v>
      </c>
      <c r="R329" s="2" t="s">
        <v>146</v>
      </c>
      <c r="S329" s="2" t="s">
        <v>146</v>
      </c>
      <c r="T329" s="2" t="s">
        <v>146</v>
      </c>
      <c r="U329" s="2" t="s">
        <v>146</v>
      </c>
      <c r="X329" s="2">
        <f t="shared" si="5"/>
        <v>0</v>
      </c>
    </row>
    <row r="330" spans="1:24" ht="14.25" x14ac:dyDescent="0.45">
      <c r="A330" s="2" t="s">
        <v>243</v>
      </c>
      <c r="B330" s="2" t="s">
        <v>247</v>
      </c>
      <c r="C330" s="2">
        <v>2019</v>
      </c>
      <c r="D330" s="2" t="s">
        <v>753</v>
      </c>
      <c r="E330" s="2" t="s">
        <v>751</v>
      </c>
      <c r="F330" s="2">
        <v>1.478</v>
      </c>
      <c r="G330" s="2" t="s">
        <v>146</v>
      </c>
      <c r="H330" s="2" t="s">
        <v>146</v>
      </c>
      <c r="I330" s="2">
        <v>85</v>
      </c>
      <c r="J330" s="2" t="s">
        <v>49</v>
      </c>
      <c r="K330" s="2" t="s">
        <v>146</v>
      </c>
      <c r="L330" s="2" t="s">
        <v>146</v>
      </c>
      <c r="M330" s="2" t="s">
        <v>146</v>
      </c>
      <c r="N330" s="2" t="s">
        <v>146</v>
      </c>
      <c r="O330" s="2" t="s">
        <v>146</v>
      </c>
      <c r="P330" s="2" t="s">
        <v>49</v>
      </c>
      <c r="Q330" s="2" t="s">
        <v>146</v>
      </c>
      <c r="R330" s="2" t="s">
        <v>146</v>
      </c>
      <c r="S330" s="2" t="s">
        <v>146</v>
      </c>
      <c r="T330" s="2" t="s">
        <v>146</v>
      </c>
      <c r="U330" s="2" t="s">
        <v>146</v>
      </c>
      <c r="X330" s="2">
        <f t="shared" si="5"/>
        <v>0</v>
      </c>
    </row>
    <row r="331" spans="1:24" ht="14.25" x14ac:dyDescent="0.45">
      <c r="A331" s="2" t="s">
        <v>243</v>
      </c>
      <c r="B331" s="2" t="s">
        <v>246</v>
      </c>
      <c r="C331" s="2">
        <v>2019</v>
      </c>
      <c r="D331" s="2" t="s">
        <v>752</v>
      </c>
      <c r="E331" s="2" t="s">
        <v>751</v>
      </c>
      <c r="F331" s="2">
        <v>16.209</v>
      </c>
      <c r="G331" s="2" t="s">
        <v>146</v>
      </c>
      <c r="H331" s="2" t="s">
        <v>146</v>
      </c>
      <c r="I331" s="2">
        <v>93</v>
      </c>
      <c r="J331" s="2" t="s">
        <v>49</v>
      </c>
      <c r="K331" s="2" t="s">
        <v>146</v>
      </c>
      <c r="L331" s="2" t="s">
        <v>146</v>
      </c>
      <c r="M331" s="2" t="s">
        <v>146</v>
      </c>
      <c r="N331" s="2" t="s">
        <v>146</v>
      </c>
      <c r="O331" s="2" t="s">
        <v>146</v>
      </c>
      <c r="P331" s="2" t="s">
        <v>49</v>
      </c>
      <c r="Q331" s="2" t="s">
        <v>146</v>
      </c>
      <c r="R331" s="2" t="s">
        <v>146</v>
      </c>
      <c r="S331" s="2" t="s">
        <v>146</v>
      </c>
      <c r="T331" s="2" t="s">
        <v>146</v>
      </c>
      <c r="U331" s="2" t="s">
        <v>146</v>
      </c>
      <c r="X331" s="2">
        <f t="shared" si="5"/>
        <v>0</v>
      </c>
    </row>
    <row r="332" spans="1:24" ht="14.25" x14ac:dyDescent="0.45">
      <c r="A332" s="2" t="s">
        <v>243</v>
      </c>
      <c r="B332" s="2" t="s">
        <v>245</v>
      </c>
      <c r="C332" s="2">
        <v>2019</v>
      </c>
      <c r="D332" s="2" t="s">
        <v>49</v>
      </c>
      <c r="E332" s="2" t="s">
        <v>146</v>
      </c>
      <c r="F332" s="2" t="s">
        <v>146</v>
      </c>
      <c r="G332" s="2" t="s">
        <v>146</v>
      </c>
      <c r="H332" s="2" t="s">
        <v>146</v>
      </c>
      <c r="I332" s="2" t="s">
        <v>146</v>
      </c>
      <c r="J332" s="2" t="s">
        <v>49</v>
      </c>
      <c r="K332" s="2" t="s">
        <v>146</v>
      </c>
      <c r="L332" s="2" t="s">
        <v>146</v>
      </c>
      <c r="M332" s="2" t="s">
        <v>146</v>
      </c>
      <c r="N332" s="2" t="s">
        <v>146</v>
      </c>
      <c r="O332" s="2" t="s">
        <v>146</v>
      </c>
      <c r="P332" s="2" t="s">
        <v>49</v>
      </c>
      <c r="Q332" s="2" t="s">
        <v>146</v>
      </c>
      <c r="R332" s="2" t="s">
        <v>146</v>
      </c>
      <c r="S332" s="2" t="s">
        <v>146</v>
      </c>
      <c r="T332" s="2" t="s">
        <v>146</v>
      </c>
      <c r="U332" s="2" t="s">
        <v>146</v>
      </c>
      <c r="X332" s="2">
        <f t="shared" si="5"/>
        <v>0</v>
      </c>
    </row>
    <row r="333" spans="1:24" ht="14.25" x14ac:dyDescent="0.45">
      <c r="A333" s="2" t="s">
        <v>243</v>
      </c>
      <c r="B333" s="2" t="s">
        <v>244</v>
      </c>
      <c r="C333" s="2">
        <v>2019</v>
      </c>
      <c r="D333" s="2" t="s">
        <v>49</v>
      </c>
      <c r="E333" s="2" t="s">
        <v>146</v>
      </c>
      <c r="F333" s="2" t="s">
        <v>146</v>
      </c>
      <c r="G333" s="2" t="s">
        <v>146</v>
      </c>
      <c r="H333" s="2" t="s">
        <v>146</v>
      </c>
      <c r="I333" s="2" t="s">
        <v>146</v>
      </c>
      <c r="J333" s="2" t="s">
        <v>49</v>
      </c>
      <c r="K333" s="2" t="s">
        <v>146</v>
      </c>
      <c r="L333" s="2" t="s">
        <v>146</v>
      </c>
      <c r="M333" s="2" t="s">
        <v>146</v>
      </c>
      <c r="N333" s="2" t="s">
        <v>146</v>
      </c>
      <c r="O333" s="2" t="s">
        <v>146</v>
      </c>
      <c r="P333" s="2" t="s">
        <v>49</v>
      </c>
      <c r="Q333" s="2" t="s">
        <v>146</v>
      </c>
      <c r="R333" s="2" t="s">
        <v>146</v>
      </c>
      <c r="S333" s="2" t="s">
        <v>146</v>
      </c>
      <c r="T333" s="2" t="s">
        <v>146</v>
      </c>
      <c r="U333" s="2" t="s">
        <v>146</v>
      </c>
      <c r="X333" s="2">
        <f t="shared" si="5"/>
        <v>0</v>
      </c>
    </row>
    <row r="334" spans="1:24" ht="14.25" x14ac:dyDescent="0.45">
      <c r="A334" s="2" t="s">
        <v>243</v>
      </c>
      <c r="B334" s="2" t="s">
        <v>133</v>
      </c>
      <c r="C334" s="2">
        <v>2019</v>
      </c>
      <c r="D334" s="2" t="s">
        <v>49</v>
      </c>
      <c r="E334" s="2" t="s">
        <v>146</v>
      </c>
      <c r="F334" s="2" t="s">
        <v>146</v>
      </c>
      <c r="G334" s="2" t="s">
        <v>146</v>
      </c>
      <c r="H334" s="2" t="s">
        <v>146</v>
      </c>
      <c r="I334" s="2" t="s">
        <v>146</v>
      </c>
      <c r="J334" s="2" t="s">
        <v>49</v>
      </c>
      <c r="K334" s="2" t="s">
        <v>146</v>
      </c>
      <c r="L334" s="2" t="s">
        <v>146</v>
      </c>
      <c r="M334" s="2" t="s">
        <v>146</v>
      </c>
      <c r="N334" s="2" t="s">
        <v>146</v>
      </c>
      <c r="O334" s="2" t="s">
        <v>146</v>
      </c>
      <c r="P334" s="2" t="s">
        <v>49</v>
      </c>
      <c r="Q334" s="2" t="s">
        <v>146</v>
      </c>
      <c r="R334" s="2" t="s">
        <v>146</v>
      </c>
      <c r="S334" s="2" t="s">
        <v>146</v>
      </c>
      <c r="T334" s="2" t="s">
        <v>146</v>
      </c>
      <c r="U334" s="2" t="s">
        <v>146</v>
      </c>
      <c r="X334" s="2">
        <f t="shared" si="5"/>
        <v>0</v>
      </c>
    </row>
    <row r="335" spans="1:24" ht="14.25" x14ac:dyDescent="0.45">
      <c r="A335" s="2" t="s">
        <v>232</v>
      </c>
      <c r="B335" s="2" t="s">
        <v>242</v>
      </c>
      <c r="C335" s="2">
        <v>2019</v>
      </c>
      <c r="D335" s="2" t="s">
        <v>49</v>
      </c>
      <c r="E335" s="2" t="s">
        <v>146</v>
      </c>
      <c r="F335" s="2" t="s">
        <v>146</v>
      </c>
      <c r="G335" s="2" t="s">
        <v>146</v>
      </c>
      <c r="H335" s="2" t="s">
        <v>146</v>
      </c>
      <c r="I335" s="2" t="s">
        <v>146</v>
      </c>
      <c r="J335" s="2" t="s">
        <v>49</v>
      </c>
      <c r="K335" s="2" t="s">
        <v>146</v>
      </c>
      <c r="L335" s="2" t="s">
        <v>146</v>
      </c>
      <c r="M335" s="2" t="s">
        <v>146</v>
      </c>
      <c r="N335" s="2" t="s">
        <v>146</v>
      </c>
      <c r="O335" s="2" t="s">
        <v>146</v>
      </c>
      <c r="P335" s="2" t="s">
        <v>49</v>
      </c>
      <c r="Q335" s="2" t="s">
        <v>146</v>
      </c>
      <c r="R335" s="2" t="s">
        <v>146</v>
      </c>
      <c r="S335" s="2" t="s">
        <v>146</v>
      </c>
      <c r="T335" s="2" t="s">
        <v>146</v>
      </c>
      <c r="U335" s="2" t="s">
        <v>146</v>
      </c>
      <c r="X335" s="2">
        <f t="shared" si="5"/>
        <v>0</v>
      </c>
    </row>
    <row r="336" spans="1:24" ht="14.25" x14ac:dyDescent="0.45">
      <c r="A336" s="2" t="s">
        <v>232</v>
      </c>
      <c r="B336" s="2" t="s">
        <v>241</v>
      </c>
      <c r="C336" s="2">
        <v>2019</v>
      </c>
      <c r="D336" s="2" t="s">
        <v>49</v>
      </c>
      <c r="E336" s="2" t="s">
        <v>146</v>
      </c>
      <c r="F336" s="2" t="s">
        <v>146</v>
      </c>
      <c r="G336" s="2" t="s">
        <v>146</v>
      </c>
      <c r="H336" s="2" t="s">
        <v>146</v>
      </c>
      <c r="I336" s="2" t="s">
        <v>146</v>
      </c>
      <c r="J336" s="2" t="s">
        <v>49</v>
      </c>
      <c r="K336" s="2" t="s">
        <v>146</v>
      </c>
      <c r="L336" s="2" t="s">
        <v>146</v>
      </c>
      <c r="M336" s="2" t="s">
        <v>146</v>
      </c>
      <c r="N336" s="2" t="s">
        <v>146</v>
      </c>
      <c r="O336" s="2" t="s">
        <v>146</v>
      </c>
      <c r="P336" s="2" t="s">
        <v>49</v>
      </c>
      <c r="Q336" s="2" t="s">
        <v>146</v>
      </c>
      <c r="R336" s="2" t="s">
        <v>146</v>
      </c>
      <c r="S336" s="2" t="s">
        <v>146</v>
      </c>
      <c r="T336" s="2" t="s">
        <v>146</v>
      </c>
      <c r="U336" s="2" t="s">
        <v>146</v>
      </c>
      <c r="X336" s="2">
        <f t="shared" si="5"/>
        <v>0</v>
      </c>
    </row>
    <row r="337" spans="1:24" ht="14.25" x14ac:dyDescent="0.45">
      <c r="A337" s="2" t="s">
        <v>232</v>
      </c>
      <c r="B337" s="2" t="s">
        <v>240</v>
      </c>
      <c r="C337" s="2">
        <v>2019</v>
      </c>
      <c r="D337" s="2" t="s">
        <v>49</v>
      </c>
      <c r="E337" s="2" t="s">
        <v>146</v>
      </c>
      <c r="F337" s="2" t="s">
        <v>146</v>
      </c>
      <c r="G337" s="2" t="s">
        <v>146</v>
      </c>
      <c r="H337" s="2" t="s">
        <v>146</v>
      </c>
      <c r="I337" s="2" t="s">
        <v>146</v>
      </c>
      <c r="J337" s="2" t="s">
        <v>49</v>
      </c>
      <c r="K337" s="2" t="s">
        <v>146</v>
      </c>
      <c r="L337" s="2" t="s">
        <v>146</v>
      </c>
      <c r="M337" s="2" t="s">
        <v>146</v>
      </c>
      <c r="N337" s="2" t="s">
        <v>146</v>
      </c>
      <c r="O337" s="2" t="s">
        <v>146</v>
      </c>
      <c r="P337" s="2" t="s">
        <v>49</v>
      </c>
      <c r="Q337" s="2" t="s">
        <v>146</v>
      </c>
      <c r="R337" s="2" t="s">
        <v>146</v>
      </c>
      <c r="S337" s="2" t="s">
        <v>146</v>
      </c>
      <c r="T337" s="2" t="s">
        <v>146</v>
      </c>
      <c r="U337" s="2" t="s">
        <v>146</v>
      </c>
      <c r="X337" s="2">
        <f t="shared" si="5"/>
        <v>0</v>
      </c>
    </row>
    <row r="338" spans="1:24" ht="14.25" x14ac:dyDescent="0.45">
      <c r="A338" s="2" t="s">
        <v>232</v>
      </c>
      <c r="B338" s="2" t="s">
        <v>239</v>
      </c>
      <c r="C338" s="2">
        <v>2019</v>
      </c>
      <c r="D338" s="2" t="s">
        <v>49</v>
      </c>
      <c r="E338" s="2" t="s">
        <v>146</v>
      </c>
      <c r="F338" s="2" t="s">
        <v>146</v>
      </c>
      <c r="G338" s="2" t="s">
        <v>146</v>
      </c>
      <c r="H338" s="2" t="s">
        <v>146</v>
      </c>
      <c r="I338" s="2" t="s">
        <v>146</v>
      </c>
      <c r="J338" s="2" t="s">
        <v>49</v>
      </c>
      <c r="K338" s="2" t="s">
        <v>146</v>
      </c>
      <c r="L338" s="2" t="s">
        <v>146</v>
      </c>
      <c r="M338" s="2" t="s">
        <v>146</v>
      </c>
      <c r="N338" s="2" t="s">
        <v>146</v>
      </c>
      <c r="O338" s="2" t="s">
        <v>146</v>
      </c>
      <c r="P338" s="2" t="s">
        <v>49</v>
      </c>
      <c r="Q338" s="2" t="s">
        <v>146</v>
      </c>
      <c r="R338" s="2" t="s">
        <v>146</v>
      </c>
      <c r="S338" s="2" t="s">
        <v>146</v>
      </c>
      <c r="T338" s="2" t="s">
        <v>146</v>
      </c>
      <c r="U338" s="2" t="s">
        <v>146</v>
      </c>
      <c r="X338" s="2">
        <f t="shared" si="5"/>
        <v>0</v>
      </c>
    </row>
    <row r="339" spans="1:24" ht="14.25" x14ac:dyDescent="0.45">
      <c r="A339" s="2" t="s">
        <v>232</v>
      </c>
      <c r="B339" s="2" t="s">
        <v>238</v>
      </c>
      <c r="C339" s="2">
        <v>2019</v>
      </c>
      <c r="D339" s="2" t="s">
        <v>49</v>
      </c>
      <c r="E339" s="2" t="s">
        <v>146</v>
      </c>
      <c r="F339" s="2" t="s">
        <v>146</v>
      </c>
      <c r="G339" s="2" t="s">
        <v>146</v>
      </c>
      <c r="H339" s="2" t="s">
        <v>146</v>
      </c>
      <c r="I339" s="2" t="s">
        <v>146</v>
      </c>
      <c r="J339" s="2" t="s">
        <v>49</v>
      </c>
      <c r="K339" s="2" t="s">
        <v>146</v>
      </c>
      <c r="L339" s="2" t="s">
        <v>146</v>
      </c>
      <c r="M339" s="2" t="s">
        <v>146</v>
      </c>
      <c r="N339" s="2" t="s">
        <v>146</v>
      </c>
      <c r="O339" s="2" t="s">
        <v>146</v>
      </c>
      <c r="P339" s="2" t="s">
        <v>49</v>
      </c>
      <c r="Q339" s="2" t="s">
        <v>146</v>
      </c>
      <c r="R339" s="2" t="s">
        <v>146</v>
      </c>
      <c r="S339" s="2" t="s">
        <v>146</v>
      </c>
      <c r="T339" s="2" t="s">
        <v>146</v>
      </c>
      <c r="U339" s="2" t="s">
        <v>146</v>
      </c>
      <c r="X339" s="2">
        <f t="shared" si="5"/>
        <v>0</v>
      </c>
    </row>
    <row r="340" spans="1:24" ht="14.25" x14ac:dyDescent="0.45">
      <c r="A340" s="2" t="s">
        <v>232</v>
      </c>
      <c r="B340" s="2" t="s">
        <v>237</v>
      </c>
      <c r="C340" s="2">
        <v>2019</v>
      </c>
      <c r="D340" s="2" t="s">
        <v>146</v>
      </c>
      <c r="E340" s="2" t="s">
        <v>146</v>
      </c>
      <c r="F340" s="2" t="s">
        <v>146</v>
      </c>
      <c r="G340" s="2" t="s">
        <v>146</v>
      </c>
      <c r="H340" s="2" t="s">
        <v>146</v>
      </c>
      <c r="I340" s="2" t="s">
        <v>146</v>
      </c>
      <c r="J340" s="2" t="s">
        <v>49</v>
      </c>
      <c r="K340" s="2" t="s">
        <v>146</v>
      </c>
      <c r="L340" s="2" t="s">
        <v>146</v>
      </c>
      <c r="M340" s="2" t="s">
        <v>146</v>
      </c>
      <c r="N340" s="2" t="s">
        <v>146</v>
      </c>
      <c r="O340" s="2" t="s">
        <v>146</v>
      </c>
      <c r="P340" s="2" t="s">
        <v>49</v>
      </c>
      <c r="Q340" s="2" t="s">
        <v>146</v>
      </c>
      <c r="R340" s="2" t="s">
        <v>146</v>
      </c>
      <c r="S340" s="2" t="s">
        <v>146</v>
      </c>
      <c r="T340" s="2" t="s">
        <v>146</v>
      </c>
      <c r="U340" s="2" t="s">
        <v>146</v>
      </c>
      <c r="X340" s="2">
        <f t="shared" si="5"/>
        <v>0</v>
      </c>
    </row>
    <row r="341" spans="1:24" ht="14.25" x14ac:dyDescent="0.45">
      <c r="A341" s="2" t="s">
        <v>232</v>
      </c>
      <c r="B341" s="2" t="s">
        <v>236</v>
      </c>
      <c r="C341" s="2">
        <v>2019</v>
      </c>
      <c r="D341" s="2" t="s">
        <v>49</v>
      </c>
      <c r="E341" s="2" t="s">
        <v>146</v>
      </c>
      <c r="F341" s="2" t="s">
        <v>146</v>
      </c>
      <c r="G341" s="2" t="s">
        <v>146</v>
      </c>
      <c r="H341" s="2" t="s">
        <v>146</v>
      </c>
      <c r="I341" s="2" t="s">
        <v>146</v>
      </c>
      <c r="J341" s="2" t="s">
        <v>49</v>
      </c>
      <c r="K341" s="2" t="s">
        <v>146</v>
      </c>
      <c r="L341" s="2" t="s">
        <v>146</v>
      </c>
      <c r="M341" s="2" t="s">
        <v>146</v>
      </c>
      <c r="N341" s="2" t="s">
        <v>146</v>
      </c>
      <c r="O341" s="2" t="s">
        <v>146</v>
      </c>
      <c r="P341" s="2" t="s">
        <v>49</v>
      </c>
      <c r="Q341" s="2" t="s">
        <v>146</v>
      </c>
      <c r="R341" s="2" t="s">
        <v>146</v>
      </c>
      <c r="S341" s="2" t="s">
        <v>146</v>
      </c>
      <c r="T341" s="2" t="s">
        <v>146</v>
      </c>
      <c r="U341" s="2" t="s">
        <v>146</v>
      </c>
      <c r="X341" s="2">
        <f t="shared" si="5"/>
        <v>0</v>
      </c>
    </row>
    <row r="342" spans="1:24" ht="14.25" x14ac:dyDescent="0.45">
      <c r="A342" s="2" t="s">
        <v>232</v>
      </c>
      <c r="B342" s="2" t="s">
        <v>235</v>
      </c>
      <c r="C342" s="2">
        <v>2019</v>
      </c>
      <c r="D342" s="2" t="s">
        <v>49</v>
      </c>
      <c r="E342" s="2" t="s">
        <v>146</v>
      </c>
      <c r="F342" s="2" t="s">
        <v>146</v>
      </c>
      <c r="G342" s="2" t="s">
        <v>146</v>
      </c>
      <c r="H342" s="2" t="s">
        <v>146</v>
      </c>
      <c r="I342" s="2" t="s">
        <v>146</v>
      </c>
      <c r="J342" s="2" t="s">
        <v>49</v>
      </c>
      <c r="K342" s="2" t="s">
        <v>146</v>
      </c>
      <c r="L342" s="2" t="s">
        <v>146</v>
      </c>
      <c r="M342" s="2" t="s">
        <v>146</v>
      </c>
      <c r="N342" s="2" t="s">
        <v>146</v>
      </c>
      <c r="O342" s="2" t="s">
        <v>146</v>
      </c>
      <c r="P342" s="2" t="s">
        <v>49</v>
      </c>
      <c r="Q342" s="2" t="s">
        <v>146</v>
      </c>
      <c r="R342" s="2" t="s">
        <v>146</v>
      </c>
      <c r="S342" s="2" t="s">
        <v>146</v>
      </c>
      <c r="T342" s="2" t="s">
        <v>146</v>
      </c>
      <c r="U342" s="2" t="s">
        <v>146</v>
      </c>
      <c r="X342" s="2">
        <f t="shared" si="5"/>
        <v>0</v>
      </c>
    </row>
    <row r="343" spans="1:24" ht="14.25" x14ac:dyDescent="0.45">
      <c r="A343" s="2" t="s">
        <v>232</v>
      </c>
      <c r="B343" s="2" t="s">
        <v>234</v>
      </c>
      <c r="C343" s="2">
        <v>2019</v>
      </c>
      <c r="D343" s="2" t="s">
        <v>49</v>
      </c>
      <c r="E343" s="2" t="s">
        <v>146</v>
      </c>
      <c r="F343" s="2" t="s">
        <v>146</v>
      </c>
      <c r="G343" s="2" t="s">
        <v>146</v>
      </c>
      <c r="H343" s="2" t="s">
        <v>146</v>
      </c>
      <c r="I343" s="2" t="s">
        <v>146</v>
      </c>
      <c r="J343" s="2" t="s">
        <v>49</v>
      </c>
      <c r="K343" s="2" t="s">
        <v>146</v>
      </c>
      <c r="L343" s="2" t="s">
        <v>146</v>
      </c>
      <c r="M343" s="2" t="s">
        <v>146</v>
      </c>
      <c r="N343" s="2" t="s">
        <v>146</v>
      </c>
      <c r="O343" s="2" t="s">
        <v>146</v>
      </c>
      <c r="P343" s="2" t="s">
        <v>49</v>
      </c>
      <c r="Q343" s="2" t="s">
        <v>146</v>
      </c>
      <c r="R343" s="2" t="s">
        <v>146</v>
      </c>
      <c r="S343" s="2" t="s">
        <v>146</v>
      </c>
      <c r="T343" s="2" t="s">
        <v>146</v>
      </c>
      <c r="U343" s="2" t="s">
        <v>146</v>
      </c>
      <c r="X343" s="2">
        <f t="shared" si="5"/>
        <v>0</v>
      </c>
    </row>
    <row r="344" spans="1:24" ht="14.25" x14ac:dyDescent="0.45">
      <c r="A344" s="2" t="s">
        <v>232</v>
      </c>
      <c r="B344" s="2" t="s">
        <v>231</v>
      </c>
      <c r="C344" s="2">
        <v>2019</v>
      </c>
      <c r="D344" s="2" t="s">
        <v>49</v>
      </c>
      <c r="E344" s="2" t="s">
        <v>146</v>
      </c>
      <c r="F344" s="2" t="s">
        <v>146</v>
      </c>
      <c r="G344" s="2" t="s">
        <v>146</v>
      </c>
      <c r="H344" s="2" t="s">
        <v>146</v>
      </c>
      <c r="I344" s="2" t="s">
        <v>146</v>
      </c>
      <c r="J344" s="2" t="s">
        <v>49</v>
      </c>
      <c r="K344" s="2" t="s">
        <v>146</v>
      </c>
      <c r="L344" s="2" t="s">
        <v>146</v>
      </c>
      <c r="M344" s="2" t="s">
        <v>146</v>
      </c>
      <c r="N344" s="2" t="s">
        <v>146</v>
      </c>
      <c r="O344" s="2" t="s">
        <v>146</v>
      </c>
      <c r="P344" s="2" t="s">
        <v>49</v>
      </c>
      <c r="Q344" s="2" t="s">
        <v>146</v>
      </c>
      <c r="R344" s="2" t="s">
        <v>146</v>
      </c>
      <c r="S344" s="2" t="s">
        <v>146</v>
      </c>
      <c r="T344" s="2" t="s">
        <v>146</v>
      </c>
      <c r="U344" s="2" t="s">
        <v>146</v>
      </c>
      <c r="X344" s="2">
        <f t="shared" si="5"/>
        <v>0</v>
      </c>
    </row>
    <row r="345" spans="1:24" ht="14.25" x14ac:dyDescent="0.45">
      <c r="A345" s="2" t="s">
        <v>7</v>
      </c>
      <c r="B345" s="2" t="s">
        <v>230</v>
      </c>
      <c r="C345" s="2">
        <v>2019</v>
      </c>
      <c r="D345" s="2" t="s">
        <v>49</v>
      </c>
      <c r="E345" s="2" t="s">
        <v>49</v>
      </c>
      <c r="F345" s="2" t="s">
        <v>49</v>
      </c>
      <c r="G345" s="2" t="s">
        <v>49</v>
      </c>
      <c r="H345" s="2" t="s">
        <v>49</v>
      </c>
      <c r="I345" s="2" t="s">
        <v>49</v>
      </c>
      <c r="J345" s="2" t="s">
        <v>49</v>
      </c>
      <c r="K345" s="2" t="s">
        <v>49</v>
      </c>
      <c r="L345" s="2" t="s">
        <v>49</v>
      </c>
      <c r="M345" s="2" t="s">
        <v>49</v>
      </c>
      <c r="N345" s="2" t="s">
        <v>49</v>
      </c>
      <c r="O345" s="2" t="s">
        <v>49</v>
      </c>
      <c r="P345" s="2" t="s">
        <v>49</v>
      </c>
      <c r="Q345" s="2" t="s">
        <v>49</v>
      </c>
      <c r="R345" s="2" t="s">
        <v>49</v>
      </c>
      <c r="S345" s="2" t="s">
        <v>49</v>
      </c>
      <c r="T345" s="2" t="s">
        <v>49</v>
      </c>
      <c r="U345" s="2" t="s">
        <v>49</v>
      </c>
      <c r="X345" s="2">
        <f t="shared" si="5"/>
        <v>0</v>
      </c>
    </row>
    <row r="346" spans="1:24" ht="14.25" x14ac:dyDescent="0.45">
      <c r="A346" s="2" t="s">
        <v>7</v>
      </c>
      <c r="B346" s="2" t="s">
        <v>8</v>
      </c>
      <c r="C346" s="2">
        <v>2019</v>
      </c>
      <c r="D346" s="2" t="s">
        <v>49</v>
      </c>
      <c r="E346" s="2" t="s">
        <v>49</v>
      </c>
      <c r="F346" s="2" t="s">
        <v>49</v>
      </c>
      <c r="G346" s="2" t="s">
        <v>49</v>
      </c>
      <c r="H346" s="2" t="s">
        <v>49</v>
      </c>
      <c r="I346" s="2" t="s">
        <v>49</v>
      </c>
      <c r="J346" s="2" t="s">
        <v>49</v>
      </c>
      <c r="K346" s="2" t="s">
        <v>49</v>
      </c>
      <c r="L346" s="2" t="s">
        <v>49</v>
      </c>
      <c r="M346" s="2" t="s">
        <v>49</v>
      </c>
      <c r="N346" s="2" t="s">
        <v>49</v>
      </c>
      <c r="O346" s="2" t="s">
        <v>49</v>
      </c>
      <c r="P346" s="2" t="s">
        <v>49</v>
      </c>
      <c r="Q346" s="2" t="s">
        <v>49</v>
      </c>
      <c r="R346" s="2" t="s">
        <v>49</v>
      </c>
      <c r="S346" s="2" t="s">
        <v>49</v>
      </c>
      <c r="T346" s="2" t="s">
        <v>49</v>
      </c>
      <c r="U346" s="2" t="s">
        <v>49</v>
      </c>
      <c r="X346" s="2">
        <f t="shared" si="5"/>
        <v>0</v>
      </c>
    </row>
    <row r="347" spans="1:24" ht="14.25" x14ac:dyDescent="0.45">
      <c r="A347" s="2" t="s">
        <v>225</v>
      </c>
      <c r="B347" s="2" t="s">
        <v>229</v>
      </c>
      <c r="C347" s="2">
        <v>2019</v>
      </c>
      <c r="D347" s="2" t="s">
        <v>750</v>
      </c>
      <c r="E347" s="2" t="s">
        <v>734</v>
      </c>
      <c r="F347" s="2">
        <v>4.5</v>
      </c>
      <c r="G347" s="2" t="s">
        <v>747</v>
      </c>
      <c r="H347" s="2" t="s">
        <v>146</v>
      </c>
      <c r="I347" s="2">
        <v>87</v>
      </c>
      <c r="J347" s="2" t="s">
        <v>49</v>
      </c>
      <c r="K347" s="2" t="s">
        <v>146</v>
      </c>
      <c r="L347" s="2" t="s">
        <v>146</v>
      </c>
      <c r="M347" s="2" t="s">
        <v>146</v>
      </c>
      <c r="N347" s="2" t="s">
        <v>146</v>
      </c>
      <c r="O347" s="2" t="s">
        <v>146</v>
      </c>
      <c r="P347" s="2" t="s">
        <v>49</v>
      </c>
      <c r="Q347" s="2" t="s">
        <v>146</v>
      </c>
      <c r="R347" s="2" t="s">
        <v>146</v>
      </c>
      <c r="S347" s="2" t="s">
        <v>146</v>
      </c>
      <c r="T347" s="2" t="s">
        <v>146</v>
      </c>
      <c r="U347" s="2" t="s">
        <v>146</v>
      </c>
      <c r="X347" s="2">
        <f t="shared" si="5"/>
        <v>0</v>
      </c>
    </row>
    <row r="348" spans="1:24" ht="14.25" x14ac:dyDescent="0.45">
      <c r="A348" s="2" t="s">
        <v>225</v>
      </c>
      <c r="B348" s="2" t="s">
        <v>228</v>
      </c>
      <c r="C348" s="2">
        <v>2019</v>
      </c>
      <c r="D348" s="2" t="s">
        <v>49</v>
      </c>
      <c r="E348" s="2" t="s">
        <v>146</v>
      </c>
      <c r="F348" s="2" t="s">
        <v>146</v>
      </c>
      <c r="G348" s="2" t="s">
        <v>146</v>
      </c>
      <c r="H348" s="2" t="s">
        <v>146</v>
      </c>
      <c r="I348" s="2" t="s">
        <v>146</v>
      </c>
      <c r="J348" s="2" t="s">
        <v>49</v>
      </c>
      <c r="K348" s="2" t="s">
        <v>146</v>
      </c>
      <c r="L348" s="2" t="s">
        <v>146</v>
      </c>
      <c r="M348" s="2" t="s">
        <v>146</v>
      </c>
      <c r="N348" s="2" t="s">
        <v>146</v>
      </c>
      <c r="O348" s="2" t="s">
        <v>146</v>
      </c>
      <c r="P348" s="2" t="s">
        <v>49</v>
      </c>
      <c r="Q348" s="2" t="s">
        <v>146</v>
      </c>
      <c r="R348" s="2" t="s">
        <v>146</v>
      </c>
      <c r="S348" s="2" t="s">
        <v>146</v>
      </c>
      <c r="T348" s="2" t="s">
        <v>146</v>
      </c>
      <c r="U348" s="2" t="s">
        <v>146</v>
      </c>
      <c r="X348" s="2">
        <f t="shared" si="5"/>
        <v>0</v>
      </c>
    </row>
    <row r="349" spans="1:24" ht="14.25" x14ac:dyDescent="0.45">
      <c r="A349" s="2" t="s">
        <v>225</v>
      </c>
      <c r="B349" s="2" t="s">
        <v>227</v>
      </c>
      <c r="C349" s="2">
        <v>2019</v>
      </c>
      <c r="D349" s="2" t="s">
        <v>49</v>
      </c>
      <c r="E349" s="2" t="s">
        <v>146</v>
      </c>
      <c r="F349" s="2" t="s">
        <v>146</v>
      </c>
      <c r="G349" s="2" t="s">
        <v>146</v>
      </c>
      <c r="H349" s="2" t="s">
        <v>146</v>
      </c>
      <c r="I349" s="2" t="s">
        <v>146</v>
      </c>
      <c r="J349" s="2" t="s">
        <v>49</v>
      </c>
      <c r="K349" s="2" t="s">
        <v>146</v>
      </c>
      <c r="L349" s="2" t="s">
        <v>146</v>
      </c>
      <c r="M349" s="2" t="s">
        <v>146</v>
      </c>
      <c r="N349" s="2" t="s">
        <v>146</v>
      </c>
      <c r="O349" s="2" t="s">
        <v>146</v>
      </c>
      <c r="P349" s="2" t="s">
        <v>49</v>
      </c>
      <c r="Q349" s="2" t="s">
        <v>146</v>
      </c>
      <c r="R349" s="2" t="s">
        <v>146</v>
      </c>
      <c r="S349" s="2" t="s">
        <v>146</v>
      </c>
      <c r="T349" s="2" t="s">
        <v>146</v>
      </c>
      <c r="U349" s="2" t="s">
        <v>146</v>
      </c>
      <c r="X349" s="2">
        <f t="shared" si="5"/>
        <v>0</v>
      </c>
    </row>
    <row r="350" spans="1:24" ht="14.25" x14ac:dyDescent="0.45">
      <c r="A350" s="2" t="s">
        <v>225</v>
      </c>
      <c r="B350" s="2" t="s">
        <v>226</v>
      </c>
      <c r="C350" s="2">
        <v>2019</v>
      </c>
      <c r="D350" s="2" t="s">
        <v>49</v>
      </c>
      <c r="E350" s="2" t="s">
        <v>146</v>
      </c>
      <c r="F350" s="2" t="s">
        <v>146</v>
      </c>
      <c r="G350" s="2" t="s">
        <v>146</v>
      </c>
      <c r="H350" s="2" t="s">
        <v>146</v>
      </c>
      <c r="I350" s="2" t="s">
        <v>146</v>
      </c>
      <c r="J350" s="2" t="s">
        <v>49</v>
      </c>
      <c r="K350" s="2" t="s">
        <v>146</v>
      </c>
      <c r="L350" s="2" t="s">
        <v>146</v>
      </c>
      <c r="M350" s="2" t="s">
        <v>146</v>
      </c>
      <c r="N350" s="2" t="s">
        <v>146</v>
      </c>
      <c r="O350" s="2" t="s">
        <v>146</v>
      </c>
      <c r="P350" s="2" t="s">
        <v>49</v>
      </c>
      <c r="Q350" s="2" t="s">
        <v>146</v>
      </c>
      <c r="R350" s="2" t="s">
        <v>146</v>
      </c>
      <c r="S350" s="2" t="s">
        <v>146</v>
      </c>
      <c r="T350" s="2" t="s">
        <v>146</v>
      </c>
      <c r="U350" s="2" t="s">
        <v>146</v>
      </c>
      <c r="X350" s="2">
        <f t="shared" si="5"/>
        <v>0</v>
      </c>
    </row>
    <row r="351" spans="1:24" ht="14.25" x14ac:dyDescent="0.45">
      <c r="A351" s="2" t="s">
        <v>225</v>
      </c>
      <c r="B351" s="2" t="s">
        <v>224</v>
      </c>
      <c r="C351" s="2">
        <v>2019</v>
      </c>
      <c r="D351" s="2" t="s">
        <v>49</v>
      </c>
      <c r="E351" s="2" t="s">
        <v>146</v>
      </c>
      <c r="F351" s="2" t="s">
        <v>146</v>
      </c>
      <c r="G351" s="2" t="s">
        <v>146</v>
      </c>
      <c r="H351" s="2" t="s">
        <v>146</v>
      </c>
      <c r="I351" s="2" t="s">
        <v>146</v>
      </c>
      <c r="J351" s="2" t="s">
        <v>49</v>
      </c>
      <c r="K351" s="2" t="s">
        <v>146</v>
      </c>
      <c r="L351" s="2" t="s">
        <v>146</v>
      </c>
      <c r="M351" s="2" t="s">
        <v>146</v>
      </c>
      <c r="N351" s="2" t="s">
        <v>146</v>
      </c>
      <c r="O351" s="2" t="s">
        <v>146</v>
      </c>
      <c r="P351" s="2" t="s">
        <v>49</v>
      </c>
      <c r="Q351" s="2" t="s">
        <v>146</v>
      </c>
      <c r="R351" s="2" t="s">
        <v>146</v>
      </c>
      <c r="S351" s="2" t="s">
        <v>146</v>
      </c>
      <c r="T351" s="2" t="s">
        <v>146</v>
      </c>
      <c r="U351" s="2" t="s">
        <v>146</v>
      </c>
      <c r="X351" s="2">
        <f t="shared" si="5"/>
        <v>0</v>
      </c>
    </row>
    <row r="352" spans="1:24" ht="14.25" x14ac:dyDescent="0.45">
      <c r="A352" s="2" t="s">
        <v>221</v>
      </c>
      <c r="B352" s="2" t="s">
        <v>223</v>
      </c>
      <c r="C352" s="2">
        <v>2019</v>
      </c>
      <c r="D352" s="2" t="s">
        <v>49</v>
      </c>
      <c r="E352" s="2" t="s">
        <v>146</v>
      </c>
      <c r="F352" s="2" t="s">
        <v>146</v>
      </c>
      <c r="G352" s="2" t="s">
        <v>146</v>
      </c>
      <c r="H352" s="2" t="s">
        <v>146</v>
      </c>
      <c r="I352" s="2" t="s">
        <v>146</v>
      </c>
      <c r="J352" s="2" t="s">
        <v>49</v>
      </c>
      <c r="K352" s="2" t="s">
        <v>146</v>
      </c>
      <c r="L352" s="2" t="s">
        <v>146</v>
      </c>
      <c r="M352" s="2" t="s">
        <v>146</v>
      </c>
      <c r="N352" s="2" t="s">
        <v>146</v>
      </c>
      <c r="O352" s="2" t="s">
        <v>146</v>
      </c>
      <c r="P352" s="2" t="s">
        <v>49</v>
      </c>
      <c r="Q352" s="2" t="s">
        <v>146</v>
      </c>
      <c r="R352" s="2" t="s">
        <v>146</v>
      </c>
      <c r="S352" s="2" t="s">
        <v>146</v>
      </c>
      <c r="T352" s="2" t="s">
        <v>146</v>
      </c>
      <c r="U352" s="2" t="s">
        <v>146</v>
      </c>
      <c r="X352" s="2">
        <f t="shared" si="5"/>
        <v>0</v>
      </c>
    </row>
    <row r="353" spans="1:24" ht="14.25" x14ac:dyDescent="0.45">
      <c r="A353" s="2" t="s">
        <v>221</v>
      </c>
      <c r="B353" s="2" t="s">
        <v>222</v>
      </c>
      <c r="C353" s="2">
        <v>2019</v>
      </c>
      <c r="D353" s="2" t="s">
        <v>49</v>
      </c>
      <c r="E353" s="2" t="s">
        <v>146</v>
      </c>
      <c r="F353" s="2" t="s">
        <v>146</v>
      </c>
      <c r="G353" s="2" t="s">
        <v>146</v>
      </c>
      <c r="H353" s="2" t="s">
        <v>146</v>
      </c>
      <c r="I353" s="2" t="s">
        <v>146</v>
      </c>
      <c r="J353" s="2" t="s">
        <v>49</v>
      </c>
      <c r="K353" s="2" t="s">
        <v>146</v>
      </c>
      <c r="L353" s="2" t="s">
        <v>146</v>
      </c>
      <c r="M353" s="2" t="s">
        <v>146</v>
      </c>
      <c r="N353" s="2" t="s">
        <v>146</v>
      </c>
      <c r="O353" s="2" t="s">
        <v>146</v>
      </c>
      <c r="P353" s="2" t="s">
        <v>49</v>
      </c>
      <c r="Q353" s="2" t="s">
        <v>146</v>
      </c>
      <c r="R353" s="2" t="s">
        <v>146</v>
      </c>
      <c r="S353" s="2" t="s">
        <v>146</v>
      </c>
      <c r="T353" s="2" t="s">
        <v>146</v>
      </c>
      <c r="U353" s="2" t="s">
        <v>146</v>
      </c>
      <c r="X353" s="2">
        <f t="shared" si="5"/>
        <v>0</v>
      </c>
    </row>
    <row r="354" spans="1:24" ht="14.25" x14ac:dyDescent="0.45">
      <c r="A354" s="2" t="s">
        <v>221</v>
      </c>
      <c r="B354" s="2" t="s">
        <v>220</v>
      </c>
      <c r="C354" s="2">
        <v>2019</v>
      </c>
      <c r="D354" s="2" t="s">
        <v>49</v>
      </c>
      <c r="E354" s="2" t="s">
        <v>146</v>
      </c>
      <c r="F354" s="2" t="s">
        <v>146</v>
      </c>
      <c r="G354" s="2" t="s">
        <v>146</v>
      </c>
      <c r="H354" s="2" t="s">
        <v>146</v>
      </c>
      <c r="I354" s="2" t="s">
        <v>146</v>
      </c>
      <c r="J354" s="2" t="s">
        <v>49</v>
      </c>
      <c r="K354" s="2" t="s">
        <v>146</v>
      </c>
      <c r="L354" s="2" t="s">
        <v>146</v>
      </c>
      <c r="M354" s="2" t="s">
        <v>146</v>
      </c>
      <c r="N354" s="2" t="s">
        <v>146</v>
      </c>
      <c r="O354" s="2" t="s">
        <v>146</v>
      </c>
      <c r="P354" s="2" t="s">
        <v>49</v>
      </c>
      <c r="Q354" s="2" t="s">
        <v>146</v>
      </c>
      <c r="R354" s="2" t="s">
        <v>146</v>
      </c>
      <c r="S354" s="2" t="s">
        <v>146</v>
      </c>
      <c r="T354" s="2" t="s">
        <v>146</v>
      </c>
      <c r="U354" s="2" t="s">
        <v>146</v>
      </c>
      <c r="X354" s="2">
        <f t="shared" si="5"/>
        <v>0</v>
      </c>
    </row>
    <row r="355" spans="1:24" ht="14.25" x14ac:dyDescent="0.45">
      <c r="A355" s="2" t="s">
        <v>48</v>
      </c>
      <c r="B355" s="2" t="s">
        <v>219</v>
      </c>
      <c r="C355" s="2">
        <v>2019</v>
      </c>
      <c r="D355" s="2" t="s">
        <v>749</v>
      </c>
      <c r="E355" s="2" t="s">
        <v>734</v>
      </c>
      <c r="F355" s="2">
        <v>1.9410000000000001</v>
      </c>
      <c r="G355" s="2" t="s">
        <v>146</v>
      </c>
      <c r="H355" s="2" t="s">
        <v>146</v>
      </c>
      <c r="I355" s="2" t="s">
        <v>146</v>
      </c>
      <c r="J355" s="2" t="s">
        <v>49</v>
      </c>
      <c r="K355" s="2" t="s">
        <v>146</v>
      </c>
      <c r="L355" s="2" t="s">
        <v>146</v>
      </c>
      <c r="M355" s="2" t="s">
        <v>146</v>
      </c>
      <c r="N355" s="2" t="s">
        <v>146</v>
      </c>
      <c r="O355" s="2" t="s">
        <v>146</v>
      </c>
      <c r="P355" s="2" t="s">
        <v>49</v>
      </c>
      <c r="Q355" s="2" t="s">
        <v>146</v>
      </c>
      <c r="R355" s="2" t="s">
        <v>146</v>
      </c>
      <c r="S355" s="2" t="s">
        <v>146</v>
      </c>
      <c r="T355" s="2" t="s">
        <v>146</v>
      </c>
      <c r="U355" s="2" t="s">
        <v>146</v>
      </c>
      <c r="X355" s="2">
        <f t="shared" si="5"/>
        <v>0</v>
      </c>
    </row>
    <row r="356" spans="1:24" ht="14.25" x14ac:dyDescent="0.45">
      <c r="A356" s="2" t="s">
        <v>48</v>
      </c>
      <c r="B356" s="2" t="s">
        <v>218</v>
      </c>
      <c r="C356" s="2">
        <v>2019</v>
      </c>
      <c r="D356" s="2" t="s">
        <v>49</v>
      </c>
      <c r="E356" s="2" t="s">
        <v>146</v>
      </c>
      <c r="F356" s="2" t="s">
        <v>146</v>
      </c>
      <c r="G356" s="2" t="s">
        <v>146</v>
      </c>
      <c r="H356" s="2" t="s">
        <v>146</v>
      </c>
      <c r="I356" s="2" t="s">
        <v>146</v>
      </c>
      <c r="J356" s="2" t="s">
        <v>49</v>
      </c>
      <c r="K356" s="2" t="s">
        <v>146</v>
      </c>
      <c r="L356" s="2" t="s">
        <v>146</v>
      </c>
      <c r="M356" s="2" t="s">
        <v>146</v>
      </c>
      <c r="N356" s="2" t="s">
        <v>146</v>
      </c>
      <c r="O356" s="2" t="s">
        <v>146</v>
      </c>
      <c r="P356" s="2" t="s">
        <v>49</v>
      </c>
      <c r="Q356" s="2" t="s">
        <v>146</v>
      </c>
      <c r="R356" s="2" t="s">
        <v>146</v>
      </c>
      <c r="S356" s="2" t="s">
        <v>146</v>
      </c>
      <c r="T356" s="2" t="s">
        <v>146</v>
      </c>
      <c r="U356" s="2" t="s">
        <v>146</v>
      </c>
      <c r="X356" s="2">
        <f t="shared" si="5"/>
        <v>0</v>
      </c>
    </row>
    <row r="357" spans="1:24" ht="14.25" x14ac:dyDescent="0.45">
      <c r="A357" s="2" t="s">
        <v>48</v>
      </c>
      <c r="B357" s="2" t="s">
        <v>217</v>
      </c>
      <c r="C357" s="2">
        <v>2019</v>
      </c>
      <c r="D357" s="2" t="s">
        <v>748</v>
      </c>
      <c r="E357" s="2" t="s">
        <v>734</v>
      </c>
      <c r="F357" s="2">
        <v>0.54900000000000004</v>
      </c>
      <c r="G357" s="2" t="s">
        <v>747</v>
      </c>
      <c r="H357" s="2">
        <v>0.218</v>
      </c>
      <c r="I357" s="2">
        <v>89</v>
      </c>
      <c r="J357" s="2" t="s">
        <v>49</v>
      </c>
      <c r="K357" s="2" t="s">
        <v>146</v>
      </c>
      <c r="L357" s="2" t="s">
        <v>146</v>
      </c>
      <c r="M357" s="2" t="s">
        <v>146</v>
      </c>
      <c r="N357" s="2" t="s">
        <v>146</v>
      </c>
      <c r="O357" s="2" t="s">
        <v>146</v>
      </c>
      <c r="P357" s="2" t="s">
        <v>49</v>
      </c>
      <c r="Q357" s="2" t="s">
        <v>146</v>
      </c>
      <c r="R357" s="2" t="s">
        <v>146</v>
      </c>
      <c r="S357" s="2" t="s">
        <v>146</v>
      </c>
      <c r="T357" s="2" t="s">
        <v>146</v>
      </c>
      <c r="U357" s="2" t="s">
        <v>146</v>
      </c>
      <c r="X357" s="2">
        <f t="shared" si="5"/>
        <v>0</v>
      </c>
    </row>
    <row r="358" spans="1:24" ht="14.25" x14ac:dyDescent="0.45">
      <c r="A358" s="2" t="s">
        <v>48</v>
      </c>
      <c r="B358" s="2" t="s">
        <v>216</v>
      </c>
      <c r="C358" s="2">
        <v>2019</v>
      </c>
      <c r="D358" s="2" t="s">
        <v>49</v>
      </c>
      <c r="E358" s="2" t="s">
        <v>146</v>
      </c>
      <c r="F358" s="2" t="s">
        <v>146</v>
      </c>
      <c r="G358" s="2" t="s">
        <v>146</v>
      </c>
      <c r="H358" s="2" t="s">
        <v>146</v>
      </c>
      <c r="I358" s="2" t="s">
        <v>146</v>
      </c>
      <c r="J358" s="2" t="s">
        <v>49</v>
      </c>
      <c r="K358" s="2" t="s">
        <v>146</v>
      </c>
      <c r="L358" s="2" t="s">
        <v>146</v>
      </c>
      <c r="M358" s="2" t="s">
        <v>146</v>
      </c>
      <c r="N358" s="2" t="s">
        <v>146</v>
      </c>
      <c r="O358" s="2" t="s">
        <v>146</v>
      </c>
      <c r="P358" s="2" t="s">
        <v>49</v>
      </c>
      <c r="Q358" s="2" t="s">
        <v>146</v>
      </c>
      <c r="R358" s="2" t="s">
        <v>146</v>
      </c>
      <c r="S358" s="2" t="s">
        <v>146</v>
      </c>
      <c r="T358" s="2" t="s">
        <v>146</v>
      </c>
      <c r="U358" s="2" t="s">
        <v>146</v>
      </c>
      <c r="X358" s="2">
        <f t="shared" si="5"/>
        <v>0</v>
      </c>
    </row>
    <row r="359" spans="1:24" ht="14.25" x14ac:dyDescent="0.45">
      <c r="A359" s="2" t="s">
        <v>48</v>
      </c>
      <c r="B359" s="2" t="s">
        <v>215</v>
      </c>
      <c r="C359" s="2">
        <v>2019</v>
      </c>
      <c r="D359" s="2" t="s">
        <v>49</v>
      </c>
      <c r="E359" s="2" t="s">
        <v>146</v>
      </c>
      <c r="F359" s="2" t="s">
        <v>146</v>
      </c>
      <c r="G359" s="2" t="s">
        <v>146</v>
      </c>
      <c r="H359" s="2" t="s">
        <v>146</v>
      </c>
      <c r="I359" s="2" t="s">
        <v>146</v>
      </c>
      <c r="J359" s="2" t="s">
        <v>49</v>
      </c>
      <c r="K359" s="2" t="s">
        <v>146</v>
      </c>
      <c r="L359" s="2" t="s">
        <v>146</v>
      </c>
      <c r="M359" s="2" t="s">
        <v>146</v>
      </c>
      <c r="N359" s="2" t="s">
        <v>146</v>
      </c>
      <c r="O359" s="2" t="s">
        <v>146</v>
      </c>
      <c r="P359" s="2" t="s">
        <v>49</v>
      </c>
      <c r="Q359" s="2" t="s">
        <v>146</v>
      </c>
      <c r="R359" s="2" t="s">
        <v>146</v>
      </c>
      <c r="S359" s="2" t="s">
        <v>146</v>
      </c>
      <c r="T359" s="2" t="s">
        <v>146</v>
      </c>
      <c r="U359" s="2" t="s">
        <v>146</v>
      </c>
      <c r="X359" s="2">
        <f t="shared" si="5"/>
        <v>0</v>
      </c>
    </row>
    <row r="360" spans="1:24" ht="14.25" x14ac:dyDescent="0.45">
      <c r="A360" s="2" t="s">
        <v>48</v>
      </c>
      <c r="B360" s="2" t="s">
        <v>214</v>
      </c>
      <c r="C360" s="2">
        <v>2019</v>
      </c>
      <c r="D360" s="2" t="s">
        <v>49</v>
      </c>
      <c r="E360" s="2" t="s">
        <v>146</v>
      </c>
      <c r="F360" s="2" t="s">
        <v>146</v>
      </c>
      <c r="G360" s="2" t="s">
        <v>146</v>
      </c>
      <c r="H360" s="2" t="s">
        <v>146</v>
      </c>
      <c r="I360" s="2" t="s">
        <v>146</v>
      </c>
      <c r="J360" s="2" t="s">
        <v>49</v>
      </c>
      <c r="K360" s="2" t="s">
        <v>146</v>
      </c>
      <c r="L360" s="2" t="s">
        <v>146</v>
      </c>
      <c r="M360" s="2" t="s">
        <v>146</v>
      </c>
      <c r="N360" s="2" t="s">
        <v>146</v>
      </c>
      <c r="O360" s="2" t="s">
        <v>146</v>
      </c>
      <c r="P360" s="2" t="s">
        <v>49</v>
      </c>
      <c r="Q360" s="2" t="s">
        <v>146</v>
      </c>
      <c r="R360" s="2" t="s">
        <v>146</v>
      </c>
      <c r="S360" s="2" t="s">
        <v>146</v>
      </c>
      <c r="T360" s="2" t="s">
        <v>146</v>
      </c>
      <c r="U360" s="2" t="s">
        <v>146</v>
      </c>
      <c r="X360" s="2">
        <f t="shared" si="5"/>
        <v>0</v>
      </c>
    </row>
    <row r="361" spans="1:24" ht="14.25" x14ac:dyDescent="0.45">
      <c r="A361" s="2" t="s">
        <v>48</v>
      </c>
      <c r="B361" s="2" t="s">
        <v>213</v>
      </c>
      <c r="C361" s="2">
        <v>2019</v>
      </c>
      <c r="D361" s="2" t="s">
        <v>49</v>
      </c>
      <c r="E361" s="2" t="s">
        <v>146</v>
      </c>
      <c r="F361" s="2" t="s">
        <v>146</v>
      </c>
      <c r="G361" s="2" t="s">
        <v>146</v>
      </c>
      <c r="H361" s="2" t="s">
        <v>146</v>
      </c>
      <c r="I361" s="2" t="s">
        <v>146</v>
      </c>
      <c r="J361" s="2" t="s">
        <v>49</v>
      </c>
      <c r="K361" s="2" t="s">
        <v>146</v>
      </c>
      <c r="L361" s="2" t="s">
        <v>146</v>
      </c>
      <c r="M361" s="2" t="s">
        <v>146</v>
      </c>
      <c r="N361" s="2" t="s">
        <v>146</v>
      </c>
      <c r="O361" s="2" t="s">
        <v>146</v>
      </c>
      <c r="P361" s="2" t="s">
        <v>49</v>
      </c>
      <c r="Q361" s="2" t="s">
        <v>146</v>
      </c>
      <c r="R361" s="2" t="s">
        <v>146</v>
      </c>
      <c r="S361" s="2" t="s">
        <v>146</v>
      </c>
      <c r="T361" s="2" t="s">
        <v>146</v>
      </c>
      <c r="U361" s="2" t="s">
        <v>146</v>
      </c>
      <c r="X361" s="2">
        <f t="shared" si="5"/>
        <v>0</v>
      </c>
    </row>
    <row r="362" spans="1:24" ht="14.25" x14ac:dyDescent="0.45">
      <c r="A362" s="2" t="s">
        <v>48</v>
      </c>
      <c r="B362" s="2" t="s">
        <v>212</v>
      </c>
      <c r="C362" s="2">
        <v>2019</v>
      </c>
      <c r="D362" s="2" t="s">
        <v>746</v>
      </c>
      <c r="E362" s="2" t="s">
        <v>734</v>
      </c>
      <c r="F362" s="2">
        <v>3.242</v>
      </c>
      <c r="G362" s="2" t="s">
        <v>745</v>
      </c>
      <c r="H362" s="2">
        <v>0.38</v>
      </c>
      <c r="I362" s="2" t="s">
        <v>146</v>
      </c>
      <c r="J362" s="2" t="s">
        <v>49</v>
      </c>
      <c r="K362" s="2" t="s">
        <v>146</v>
      </c>
      <c r="L362" s="2" t="s">
        <v>146</v>
      </c>
      <c r="M362" s="2" t="s">
        <v>146</v>
      </c>
      <c r="N362" s="2" t="s">
        <v>146</v>
      </c>
      <c r="O362" s="2" t="s">
        <v>146</v>
      </c>
      <c r="P362" s="2" t="s">
        <v>49</v>
      </c>
      <c r="Q362" s="2" t="s">
        <v>146</v>
      </c>
      <c r="R362" s="2" t="s">
        <v>146</v>
      </c>
      <c r="S362" s="2" t="s">
        <v>146</v>
      </c>
      <c r="T362" s="2" t="s">
        <v>146</v>
      </c>
      <c r="U362" s="2" t="s">
        <v>146</v>
      </c>
      <c r="X362" s="2">
        <f t="shared" si="5"/>
        <v>0</v>
      </c>
    </row>
    <row r="363" spans="1:24" ht="14.25" x14ac:dyDescent="0.45">
      <c r="A363" s="2" t="s">
        <v>48</v>
      </c>
      <c r="B363" s="2" t="s">
        <v>211</v>
      </c>
      <c r="C363" s="2">
        <v>2019</v>
      </c>
      <c r="D363" s="2" t="s">
        <v>49</v>
      </c>
      <c r="E363" s="2" t="s">
        <v>146</v>
      </c>
      <c r="F363" s="2" t="s">
        <v>146</v>
      </c>
      <c r="G363" s="2" t="s">
        <v>146</v>
      </c>
      <c r="H363" s="2" t="s">
        <v>146</v>
      </c>
      <c r="I363" s="2" t="s">
        <v>146</v>
      </c>
      <c r="J363" s="2" t="s">
        <v>49</v>
      </c>
      <c r="K363" s="2" t="s">
        <v>146</v>
      </c>
      <c r="L363" s="2" t="s">
        <v>146</v>
      </c>
      <c r="M363" s="2" t="s">
        <v>146</v>
      </c>
      <c r="N363" s="2" t="s">
        <v>146</v>
      </c>
      <c r="O363" s="2" t="s">
        <v>146</v>
      </c>
      <c r="P363" s="2" t="s">
        <v>49</v>
      </c>
      <c r="Q363" s="2" t="s">
        <v>146</v>
      </c>
      <c r="R363" s="2" t="s">
        <v>146</v>
      </c>
      <c r="S363" s="2" t="s">
        <v>146</v>
      </c>
      <c r="T363" s="2" t="s">
        <v>146</v>
      </c>
      <c r="U363" s="2" t="s">
        <v>146</v>
      </c>
      <c r="X363" s="2">
        <f t="shared" si="5"/>
        <v>0</v>
      </c>
    </row>
    <row r="364" spans="1:24" ht="14.25" x14ac:dyDescent="0.45">
      <c r="A364" s="2" t="s">
        <v>48</v>
      </c>
      <c r="B364" s="2" t="s">
        <v>210</v>
      </c>
      <c r="C364" s="2">
        <v>2019</v>
      </c>
      <c r="D364" s="2" t="s">
        <v>49</v>
      </c>
      <c r="E364" s="2" t="s">
        <v>146</v>
      </c>
      <c r="F364" s="2" t="s">
        <v>146</v>
      </c>
      <c r="G364" s="2" t="s">
        <v>146</v>
      </c>
      <c r="H364" s="2" t="s">
        <v>146</v>
      </c>
      <c r="I364" s="2" t="s">
        <v>146</v>
      </c>
      <c r="J364" s="2" t="s">
        <v>49</v>
      </c>
      <c r="K364" s="2" t="s">
        <v>146</v>
      </c>
      <c r="L364" s="2" t="s">
        <v>146</v>
      </c>
      <c r="M364" s="2" t="s">
        <v>146</v>
      </c>
      <c r="N364" s="2" t="s">
        <v>146</v>
      </c>
      <c r="O364" s="2" t="s">
        <v>146</v>
      </c>
      <c r="P364" s="2" t="s">
        <v>49</v>
      </c>
      <c r="Q364" s="2" t="s">
        <v>146</v>
      </c>
      <c r="R364" s="2" t="s">
        <v>146</v>
      </c>
      <c r="S364" s="2" t="s">
        <v>146</v>
      </c>
      <c r="T364" s="2" t="s">
        <v>146</v>
      </c>
      <c r="U364" s="2" t="s">
        <v>146</v>
      </c>
      <c r="X364" s="2">
        <f t="shared" si="5"/>
        <v>0</v>
      </c>
    </row>
    <row r="365" spans="1:24" ht="14.25" x14ac:dyDescent="0.45">
      <c r="A365" s="2" t="s">
        <v>48</v>
      </c>
      <c r="B365" s="2" t="s">
        <v>209</v>
      </c>
      <c r="C365" s="2">
        <v>2019</v>
      </c>
      <c r="D365" s="2" t="s">
        <v>49</v>
      </c>
      <c r="E365" s="2" t="s">
        <v>146</v>
      </c>
      <c r="F365" s="2" t="s">
        <v>146</v>
      </c>
      <c r="G365" s="2" t="s">
        <v>146</v>
      </c>
      <c r="H365" s="2" t="s">
        <v>146</v>
      </c>
      <c r="I365" s="2" t="s">
        <v>146</v>
      </c>
      <c r="J365" s="2" t="s">
        <v>49</v>
      </c>
      <c r="K365" s="2" t="s">
        <v>146</v>
      </c>
      <c r="L365" s="2" t="s">
        <v>146</v>
      </c>
      <c r="M365" s="2" t="s">
        <v>146</v>
      </c>
      <c r="N365" s="2" t="s">
        <v>146</v>
      </c>
      <c r="O365" s="2" t="s">
        <v>146</v>
      </c>
      <c r="P365" s="2" t="s">
        <v>49</v>
      </c>
      <c r="Q365" s="2" t="s">
        <v>146</v>
      </c>
      <c r="R365" s="2" t="s">
        <v>146</v>
      </c>
      <c r="S365" s="2" t="s">
        <v>146</v>
      </c>
      <c r="T365" s="2" t="s">
        <v>146</v>
      </c>
      <c r="U365" s="2" t="s">
        <v>146</v>
      </c>
      <c r="X365" s="2">
        <f t="shared" si="5"/>
        <v>0</v>
      </c>
    </row>
    <row r="366" spans="1:24" ht="14.25" x14ac:dyDescent="0.45">
      <c r="A366" s="2" t="s">
        <v>48</v>
      </c>
      <c r="B366" s="2" t="s">
        <v>208</v>
      </c>
      <c r="C366" s="2">
        <v>2019</v>
      </c>
      <c r="D366" s="2" t="s">
        <v>49</v>
      </c>
      <c r="E366" s="2" t="s">
        <v>146</v>
      </c>
      <c r="F366" s="2" t="s">
        <v>146</v>
      </c>
      <c r="G366" s="2" t="s">
        <v>146</v>
      </c>
      <c r="H366" s="2" t="s">
        <v>146</v>
      </c>
      <c r="I366" s="2" t="s">
        <v>146</v>
      </c>
      <c r="J366" s="2" t="s">
        <v>49</v>
      </c>
      <c r="K366" s="2" t="s">
        <v>146</v>
      </c>
      <c r="L366" s="2" t="s">
        <v>146</v>
      </c>
      <c r="M366" s="2" t="s">
        <v>146</v>
      </c>
      <c r="N366" s="2" t="s">
        <v>146</v>
      </c>
      <c r="O366" s="2" t="s">
        <v>146</v>
      </c>
      <c r="P366" s="2" t="s">
        <v>49</v>
      </c>
      <c r="Q366" s="2" t="s">
        <v>146</v>
      </c>
      <c r="R366" s="2" t="s">
        <v>146</v>
      </c>
      <c r="S366" s="2" t="s">
        <v>146</v>
      </c>
      <c r="T366" s="2" t="s">
        <v>146</v>
      </c>
      <c r="U366" s="2" t="s">
        <v>146</v>
      </c>
      <c r="X366" s="2">
        <f t="shared" si="5"/>
        <v>0</v>
      </c>
    </row>
    <row r="367" spans="1:24" ht="14.25" x14ac:dyDescent="0.45">
      <c r="A367" s="2" t="s">
        <v>48</v>
      </c>
      <c r="B367" s="2" t="s">
        <v>207</v>
      </c>
      <c r="C367" s="2">
        <v>2019</v>
      </c>
      <c r="D367" s="2" t="s">
        <v>744</v>
      </c>
      <c r="E367" s="2" t="s">
        <v>740</v>
      </c>
      <c r="F367" s="2">
        <v>2.629</v>
      </c>
      <c r="G367" s="2" t="s">
        <v>146</v>
      </c>
      <c r="H367" s="2" t="s">
        <v>146</v>
      </c>
      <c r="I367" s="2" t="s">
        <v>146</v>
      </c>
      <c r="J367" s="2" t="s">
        <v>49</v>
      </c>
      <c r="K367" s="2" t="s">
        <v>146</v>
      </c>
      <c r="L367" s="2" t="s">
        <v>146</v>
      </c>
      <c r="M367" s="2" t="s">
        <v>146</v>
      </c>
      <c r="N367" s="2" t="s">
        <v>146</v>
      </c>
      <c r="O367" s="2" t="s">
        <v>146</v>
      </c>
      <c r="P367" s="2" t="s">
        <v>49</v>
      </c>
      <c r="Q367" s="2" t="s">
        <v>146</v>
      </c>
      <c r="R367" s="2" t="s">
        <v>146</v>
      </c>
      <c r="S367" s="2" t="s">
        <v>146</v>
      </c>
      <c r="T367" s="2" t="s">
        <v>146</v>
      </c>
      <c r="U367" s="2" t="s">
        <v>146</v>
      </c>
      <c r="X367" s="2">
        <f t="shared" si="5"/>
        <v>0</v>
      </c>
    </row>
    <row r="368" spans="1:24" ht="14.25" x14ac:dyDescent="0.45">
      <c r="A368" s="2" t="s">
        <v>48</v>
      </c>
      <c r="B368" s="2" t="s">
        <v>206</v>
      </c>
      <c r="C368" s="2">
        <v>2019</v>
      </c>
      <c r="D368" s="2" t="s">
        <v>49</v>
      </c>
      <c r="E368" s="2" t="s">
        <v>146</v>
      </c>
      <c r="F368" s="2" t="s">
        <v>146</v>
      </c>
      <c r="G368" s="2" t="s">
        <v>146</v>
      </c>
      <c r="H368" s="2" t="s">
        <v>146</v>
      </c>
      <c r="I368" s="2" t="s">
        <v>146</v>
      </c>
      <c r="J368" s="2" t="s">
        <v>49</v>
      </c>
      <c r="K368" s="2" t="s">
        <v>146</v>
      </c>
      <c r="L368" s="2" t="s">
        <v>146</v>
      </c>
      <c r="M368" s="2" t="s">
        <v>146</v>
      </c>
      <c r="N368" s="2" t="s">
        <v>146</v>
      </c>
      <c r="O368" s="2" t="s">
        <v>146</v>
      </c>
      <c r="P368" s="2" t="s">
        <v>49</v>
      </c>
      <c r="Q368" s="2" t="s">
        <v>146</v>
      </c>
      <c r="R368" s="2" t="s">
        <v>146</v>
      </c>
      <c r="S368" s="2" t="s">
        <v>146</v>
      </c>
      <c r="T368" s="2" t="s">
        <v>146</v>
      </c>
      <c r="U368" s="2" t="s">
        <v>146</v>
      </c>
      <c r="X368" s="2">
        <f t="shared" si="5"/>
        <v>0</v>
      </c>
    </row>
    <row r="369" spans="1:24" ht="14.25" x14ac:dyDescent="0.45">
      <c r="A369" s="2" t="s">
        <v>48</v>
      </c>
      <c r="B369" s="2" t="s">
        <v>205</v>
      </c>
      <c r="C369" s="2">
        <v>2019</v>
      </c>
      <c r="D369" s="2" t="s">
        <v>49</v>
      </c>
      <c r="E369" s="2" t="s">
        <v>146</v>
      </c>
      <c r="F369" s="2" t="s">
        <v>146</v>
      </c>
      <c r="G369" s="2" t="s">
        <v>146</v>
      </c>
      <c r="H369" s="2" t="s">
        <v>146</v>
      </c>
      <c r="I369" s="2" t="s">
        <v>146</v>
      </c>
      <c r="J369" s="2" t="s">
        <v>49</v>
      </c>
      <c r="K369" s="2" t="s">
        <v>146</v>
      </c>
      <c r="L369" s="2" t="s">
        <v>146</v>
      </c>
      <c r="M369" s="2" t="s">
        <v>146</v>
      </c>
      <c r="N369" s="2" t="s">
        <v>146</v>
      </c>
      <c r="O369" s="2" t="s">
        <v>146</v>
      </c>
      <c r="P369" s="2" t="s">
        <v>49</v>
      </c>
      <c r="Q369" s="2" t="s">
        <v>146</v>
      </c>
      <c r="R369" s="2" t="s">
        <v>146</v>
      </c>
      <c r="S369" s="2" t="s">
        <v>146</v>
      </c>
      <c r="T369" s="2" t="s">
        <v>146</v>
      </c>
      <c r="U369" s="2" t="s">
        <v>146</v>
      </c>
      <c r="X369" s="2">
        <f t="shared" si="5"/>
        <v>0</v>
      </c>
    </row>
    <row r="370" spans="1:24" ht="14.25" x14ac:dyDescent="0.45">
      <c r="A370" s="2" t="s">
        <v>48</v>
      </c>
      <c r="B370" s="2" t="s">
        <v>204</v>
      </c>
      <c r="C370" s="2">
        <v>2019</v>
      </c>
      <c r="D370" s="2" t="s">
        <v>49</v>
      </c>
      <c r="E370" s="2" t="s">
        <v>49</v>
      </c>
      <c r="F370" s="2" t="s">
        <v>49</v>
      </c>
      <c r="G370" s="2" t="s">
        <v>49</v>
      </c>
      <c r="H370" s="2" t="s">
        <v>49</v>
      </c>
      <c r="I370" s="2" t="s">
        <v>49</v>
      </c>
      <c r="J370" s="2" t="s">
        <v>49</v>
      </c>
      <c r="K370" s="2" t="s">
        <v>49</v>
      </c>
      <c r="L370" s="2" t="s">
        <v>49</v>
      </c>
      <c r="M370" s="2" t="s">
        <v>49</v>
      </c>
      <c r="N370" s="2" t="s">
        <v>49</v>
      </c>
      <c r="O370" s="2" t="s">
        <v>49</v>
      </c>
      <c r="P370" s="2" t="s">
        <v>49</v>
      </c>
      <c r="Q370" s="2" t="s">
        <v>49</v>
      </c>
      <c r="R370" s="2" t="s">
        <v>49</v>
      </c>
      <c r="S370" s="2" t="s">
        <v>49</v>
      </c>
      <c r="T370" s="2" t="s">
        <v>49</v>
      </c>
      <c r="U370" s="2" t="s">
        <v>49</v>
      </c>
      <c r="X370" s="2">
        <f t="shared" si="5"/>
        <v>0</v>
      </c>
    </row>
    <row r="371" spans="1:24" ht="14.25" x14ac:dyDescent="0.45">
      <c r="A371" s="2" t="s">
        <v>197</v>
      </c>
      <c r="B371" s="2" t="s">
        <v>203</v>
      </c>
      <c r="C371" s="2">
        <v>2019</v>
      </c>
      <c r="D371" s="2" t="s">
        <v>176</v>
      </c>
      <c r="E371" s="2" t="s">
        <v>146</v>
      </c>
      <c r="F371" s="2" t="s">
        <v>146</v>
      </c>
      <c r="G371" s="2" t="s">
        <v>146</v>
      </c>
      <c r="H371" s="2" t="s">
        <v>146</v>
      </c>
      <c r="I371" s="2" t="s">
        <v>146</v>
      </c>
      <c r="J371" s="2" t="s">
        <v>176</v>
      </c>
      <c r="K371" s="2" t="s">
        <v>146</v>
      </c>
      <c r="L371" s="2" t="s">
        <v>146</v>
      </c>
      <c r="M371" s="2" t="s">
        <v>146</v>
      </c>
      <c r="N371" s="2" t="s">
        <v>146</v>
      </c>
      <c r="O371" s="2" t="s">
        <v>146</v>
      </c>
      <c r="P371" s="2" t="s">
        <v>176</v>
      </c>
      <c r="Q371" s="2" t="s">
        <v>146</v>
      </c>
      <c r="R371" s="2" t="s">
        <v>146</v>
      </c>
      <c r="S371" s="2" t="s">
        <v>146</v>
      </c>
      <c r="T371" s="2" t="s">
        <v>146</v>
      </c>
      <c r="U371" s="2" t="s">
        <v>146</v>
      </c>
      <c r="X371" s="2">
        <f t="shared" si="5"/>
        <v>0</v>
      </c>
    </row>
    <row r="372" spans="1:24" ht="14.25" x14ac:dyDescent="0.45">
      <c r="A372" s="2" t="s">
        <v>197</v>
      </c>
      <c r="B372" s="2" t="s">
        <v>202</v>
      </c>
      <c r="C372" s="2">
        <v>2019</v>
      </c>
      <c r="D372" s="2" t="s">
        <v>176</v>
      </c>
      <c r="E372" s="2" t="s">
        <v>146</v>
      </c>
      <c r="F372" s="2" t="s">
        <v>146</v>
      </c>
      <c r="G372" s="2" t="s">
        <v>146</v>
      </c>
      <c r="H372" s="2" t="s">
        <v>146</v>
      </c>
      <c r="I372" s="2" t="s">
        <v>146</v>
      </c>
      <c r="J372" s="2" t="s">
        <v>176</v>
      </c>
      <c r="K372" s="2" t="s">
        <v>146</v>
      </c>
      <c r="L372" s="2" t="s">
        <v>146</v>
      </c>
      <c r="M372" s="2" t="s">
        <v>146</v>
      </c>
      <c r="N372" s="2" t="s">
        <v>146</v>
      </c>
      <c r="O372" s="2" t="s">
        <v>146</v>
      </c>
      <c r="P372" s="2" t="s">
        <v>176</v>
      </c>
      <c r="Q372" s="2" t="s">
        <v>146</v>
      </c>
      <c r="R372" s="2" t="s">
        <v>146</v>
      </c>
      <c r="S372" s="2" t="s">
        <v>146</v>
      </c>
      <c r="T372" s="2" t="s">
        <v>146</v>
      </c>
      <c r="U372" s="2" t="s">
        <v>146</v>
      </c>
      <c r="X372" s="2">
        <f t="shared" si="5"/>
        <v>0</v>
      </c>
    </row>
    <row r="373" spans="1:24" ht="14.25" x14ac:dyDescent="0.45">
      <c r="A373" s="2" t="s">
        <v>197</v>
      </c>
      <c r="B373" s="2" t="s">
        <v>201</v>
      </c>
      <c r="C373" s="2">
        <v>2019</v>
      </c>
      <c r="D373" s="2" t="s">
        <v>176</v>
      </c>
      <c r="E373" s="2" t="s">
        <v>146</v>
      </c>
      <c r="F373" s="2" t="s">
        <v>146</v>
      </c>
      <c r="G373" s="2" t="s">
        <v>146</v>
      </c>
      <c r="H373" s="2" t="s">
        <v>146</v>
      </c>
      <c r="I373" s="2" t="s">
        <v>146</v>
      </c>
      <c r="J373" s="2" t="s">
        <v>176</v>
      </c>
      <c r="K373" s="2" t="s">
        <v>146</v>
      </c>
      <c r="L373" s="2" t="s">
        <v>146</v>
      </c>
      <c r="M373" s="2" t="s">
        <v>146</v>
      </c>
      <c r="N373" s="2" t="s">
        <v>146</v>
      </c>
      <c r="O373" s="2" t="s">
        <v>146</v>
      </c>
      <c r="P373" s="2" t="s">
        <v>176</v>
      </c>
      <c r="Q373" s="2" t="s">
        <v>146</v>
      </c>
      <c r="R373" s="2" t="s">
        <v>146</v>
      </c>
      <c r="S373" s="2" t="s">
        <v>146</v>
      </c>
      <c r="T373" s="2" t="s">
        <v>146</v>
      </c>
      <c r="U373" s="2" t="s">
        <v>146</v>
      </c>
      <c r="X373" s="2">
        <f t="shared" si="5"/>
        <v>0</v>
      </c>
    </row>
    <row r="374" spans="1:24" ht="14.25" x14ac:dyDescent="0.45">
      <c r="A374" s="2" t="s">
        <v>197</v>
      </c>
      <c r="B374" s="2" t="s">
        <v>199</v>
      </c>
      <c r="C374" s="2">
        <v>2019</v>
      </c>
      <c r="D374" s="2" t="s">
        <v>176</v>
      </c>
      <c r="E374" s="2" t="s">
        <v>146</v>
      </c>
      <c r="F374" s="2" t="s">
        <v>146</v>
      </c>
      <c r="G374" s="2" t="s">
        <v>146</v>
      </c>
      <c r="H374" s="2" t="s">
        <v>146</v>
      </c>
      <c r="I374" s="2" t="s">
        <v>146</v>
      </c>
      <c r="J374" s="2" t="s">
        <v>176</v>
      </c>
      <c r="K374" s="2" t="s">
        <v>146</v>
      </c>
      <c r="L374" s="2" t="s">
        <v>146</v>
      </c>
      <c r="M374" s="2" t="s">
        <v>146</v>
      </c>
      <c r="N374" s="2" t="s">
        <v>146</v>
      </c>
      <c r="O374" s="2" t="s">
        <v>146</v>
      </c>
      <c r="P374" s="2" t="s">
        <v>176</v>
      </c>
      <c r="Q374" s="2" t="s">
        <v>146</v>
      </c>
      <c r="R374" s="2" t="s">
        <v>146</v>
      </c>
      <c r="S374" s="2" t="s">
        <v>146</v>
      </c>
      <c r="T374" s="2" t="s">
        <v>146</v>
      </c>
      <c r="U374" s="2" t="s">
        <v>146</v>
      </c>
      <c r="X374" s="2">
        <f t="shared" si="5"/>
        <v>0</v>
      </c>
    </row>
    <row r="375" spans="1:24" ht="14.25" x14ac:dyDescent="0.45">
      <c r="A375" s="2" t="s">
        <v>197</v>
      </c>
      <c r="B375" s="2" t="s">
        <v>198</v>
      </c>
      <c r="C375" s="2">
        <v>2019</v>
      </c>
      <c r="D375" s="2" t="s">
        <v>743</v>
      </c>
      <c r="E375" s="2" t="s">
        <v>734</v>
      </c>
      <c r="F375" s="2">
        <v>11.667999999999999</v>
      </c>
      <c r="G375" s="2" t="s">
        <v>146</v>
      </c>
      <c r="H375" s="2" t="s">
        <v>146</v>
      </c>
      <c r="I375" s="2" t="s">
        <v>146</v>
      </c>
      <c r="J375" s="2" t="s">
        <v>176</v>
      </c>
      <c r="K375" s="2" t="s">
        <v>146</v>
      </c>
      <c r="L375" s="2" t="s">
        <v>146</v>
      </c>
      <c r="M375" s="2" t="s">
        <v>146</v>
      </c>
      <c r="N375" s="2" t="s">
        <v>146</v>
      </c>
      <c r="O375" s="2" t="s">
        <v>146</v>
      </c>
      <c r="P375" s="2" t="s">
        <v>176</v>
      </c>
      <c r="Q375" s="2" t="s">
        <v>146</v>
      </c>
      <c r="R375" s="2" t="s">
        <v>146</v>
      </c>
      <c r="S375" s="2" t="s">
        <v>146</v>
      </c>
      <c r="T375" s="2" t="s">
        <v>146</v>
      </c>
      <c r="U375" s="2" t="s">
        <v>146</v>
      </c>
      <c r="X375" s="2">
        <f t="shared" si="5"/>
        <v>0</v>
      </c>
    </row>
    <row r="376" spans="1:24" ht="14.25" x14ac:dyDescent="0.45">
      <c r="A376" s="2" t="s">
        <v>197</v>
      </c>
      <c r="B376" s="2" t="s">
        <v>196</v>
      </c>
      <c r="C376" s="2">
        <v>2019</v>
      </c>
      <c r="D376" s="2" t="s">
        <v>146</v>
      </c>
      <c r="E376" s="2" t="s">
        <v>146</v>
      </c>
      <c r="F376" s="2" t="s">
        <v>146</v>
      </c>
      <c r="G376" s="2" t="s">
        <v>146</v>
      </c>
      <c r="H376" s="2" t="s">
        <v>146</v>
      </c>
      <c r="I376" s="2" t="s">
        <v>146</v>
      </c>
      <c r="J376" s="2" t="s">
        <v>146</v>
      </c>
      <c r="K376" s="2" t="s">
        <v>146</v>
      </c>
      <c r="L376" s="2" t="s">
        <v>146</v>
      </c>
      <c r="M376" s="2" t="s">
        <v>146</v>
      </c>
      <c r="N376" s="2" t="s">
        <v>146</v>
      </c>
      <c r="O376" s="2" t="s">
        <v>146</v>
      </c>
      <c r="P376" s="2" t="s">
        <v>146</v>
      </c>
      <c r="Q376" s="2" t="s">
        <v>146</v>
      </c>
      <c r="R376" s="2" t="s">
        <v>146</v>
      </c>
      <c r="S376" s="2" t="s">
        <v>146</v>
      </c>
      <c r="T376" s="2" t="s">
        <v>146</v>
      </c>
      <c r="U376" s="2" t="s">
        <v>146</v>
      </c>
      <c r="X376" s="2">
        <f t="shared" si="5"/>
        <v>0</v>
      </c>
    </row>
    <row r="377" spans="1:24" ht="14.25" x14ac:dyDescent="0.45">
      <c r="A377" s="2" t="s">
        <v>191</v>
      </c>
      <c r="B377" s="2" t="s">
        <v>195</v>
      </c>
      <c r="C377" s="2">
        <v>2019</v>
      </c>
      <c r="D377" s="2" t="s">
        <v>49</v>
      </c>
      <c r="E377" s="2" t="s">
        <v>146</v>
      </c>
      <c r="F377" s="2" t="s">
        <v>146</v>
      </c>
      <c r="G377" s="2" t="s">
        <v>146</v>
      </c>
      <c r="H377" s="2" t="s">
        <v>146</v>
      </c>
      <c r="I377" s="2" t="s">
        <v>146</v>
      </c>
      <c r="J377" s="2" t="s">
        <v>49</v>
      </c>
      <c r="K377" s="2" t="s">
        <v>146</v>
      </c>
      <c r="L377" s="2" t="s">
        <v>146</v>
      </c>
      <c r="M377" s="2" t="s">
        <v>146</v>
      </c>
      <c r="N377" s="2" t="s">
        <v>146</v>
      </c>
      <c r="O377" s="2" t="s">
        <v>146</v>
      </c>
      <c r="P377" s="2" t="s">
        <v>49</v>
      </c>
      <c r="Q377" s="2" t="s">
        <v>146</v>
      </c>
      <c r="R377" s="2" t="s">
        <v>146</v>
      </c>
      <c r="S377" s="2" t="s">
        <v>146</v>
      </c>
      <c r="T377" s="2" t="s">
        <v>146</v>
      </c>
      <c r="U377" s="2" t="s">
        <v>146</v>
      </c>
      <c r="X377" s="2">
        <f t="shared" si="5"/>
        <v>0</v>
      </c>
    </row>
    <row r="378" spans="1:24" ht="14.25" x14ac:dyDescent="0.45">
      <c r="A378" s="2" t="s">
        <v>191</v>
      </c>
      <c r="B378" s="2" t="s">
        <v>193</v>
      </c>
      <c r="C378" s="2">
        <v>2019</v>
      </c>
      <c r="D378" s="2" t="s">
        <v>49</v>
      </c>
      <c r="E378" s="2" t="s">
        <v>146</v>
      </c>
      <c r="F378" s="2" t="s">
        <v>146</v>
      </c>
      <c r="G378" s="2" t="s">
        <v>146</v>
      </c>
      <c r="H378" s="2" t="s">
        <v>146</v>
      </c>
      <c r="I378" s="2" t="s">
        <v>146</v>
      </c>
      <c r="J378" s="2" t="s">
        <v>49</v>
      </c>
      <c r="K378" s="2" t="s">
        <v>146</v>
      </c>
      <c r="L378" s="2" t="s">
        <v>146</v>
      </c>
      <c r="M378" s="2" t="s">
        <v>146</v>
      </c>
      <c r="N378" s="2" t="s">
        <v>146</v>
      </c>
      <c r="O378" s="2" t="s">
        <v>146</v>
      </c>
      <c r="P378" s="2" t="s">
        <v>49</v>
      </c>
      <c r="Q378" s="2" t="s">
        <v>146</v>
      </c>
      <c r="R378" s="2" t="s">
        <v>146</v>
      </c>
      <c r="S378" s="2" t="s">
        <v>146</v>
      </c>
      <c r="T378" s="2" t="s">
        <v>146</v>
      </c>
      <c r="U378" s="2" t="s">
        <v>146</v>
      </c>
      <c r="X378" s="2">
        <f t="shared" si="5"/>
        <v>0</v>
      </c>
    </row>
    <row r="379" spans="1:24" ht="14.25" x14ac:dyDescent="0.45">
      <c r="A379" s="2" t="s">
        <v>191</v>
      </c>
      <c r="B379" s="2" t="s">
        <v>192</v>
      </c>
      <c r="C379" s="2">
        <v>2019</v>
      </c>
      <c r="D379" s="2" t="s">
        <v>742</v>
      </c>
      <c r="E379" s="2" t="s">
        <v>739</v>
      </c>
      <c r="F379" s="2">
        <v>0.221</v>
      </c>
      <c r="G379" s="2" t="s">
        <v>146</v>
      </c>
      <c r="H379" s="2" t="s">
        <v>146</v>
      </c>
      <c r="I379" s="2">
        <v>90</v>
      </c>
      <c r="J379" s="2" t="s">
        <v>49</v>
      </c>
      <c r="K379" s="2" t="s">
        <v>146</v>
      </c>
      <c r="L379" s="2" t="s">
        <v>146</v>
      </c>
      <c r="M379" s="2" t="s">
        <v>146</v>
      </c>
      <c r="N379" s="2" t="s">
        <v>146</v>
      </c>
      <c r="O379" s="2" t="s">
        <v>146</v>
      </c>
      <c r="P379" s="2" t="s">
        <v>49</v>
      </c>
      <c r="Q379" s="2" t="s">
        <v>146</v>
      </c>
      <c r="R379" s="2" t="s">
        <v>146</v>
      </c>
      <c r="S379" s="2" t="s">
        <v>146</v>
      </c>
      <c r="T379" s="2" t="s">
        <v>146</v>
      </c>
      <c r="U379" s="2" t="s">
        <v>146</v>
      </c>
      <c r="X379" s="2">
        <f t="shared" si="5"/>
        <v>0</v>
      </c>
    </row>
    <row r="380" spans="1:24" ht="14.25" x14ac:dyDescent="0.45">
      <c r="A380" s="2" t="s">
        <v>191</v>
      </c>
      <c r="B380" s="2" t="s">
        <v>190</v>
      </c>
      <c r="C380" s="2">
        <v>2019</v>
      </c>
      <c r="D380" s="2" t="s">
        <v>741</v>
      </c>
      <c r="E380" s="2" t="s">
        <v>740</v>
      </c>
      <c r="F380" s="2">
        <v>1.147</v>
      </c>
      <c r="G380" s="2" t="s">
        <v>739</v>
      </c>
      <c r="H380" s="2">
        <v>0.38500000000000001</v>
      </c>
      <c r="I380" s="2">
        <v>90</v>
      </c>
      <c r="J380" s="2" t="s">
        <v>49</v>
      </c>
      <c r="K380" s="2" t="s">
        <v>146</v>
      </c>
      <c r="L380" s="2" t="s">
        <v>146</v>
      </c>
      <c r="M380" s="2" t="s">
        <v>146</v>
      </c>
      <c r="N380" s="2" t="s">
        <v>146</v>
      </c>
      <c r="O380" s="2" t="s">
        <v>146</v>
      </c>
      <c r="P380" s="2" t="s">
        <v>49</v>
      </c>
      <c r="Q380" s="2" t="s">
        <v>146</v>
      </c>
      <c r="R380" s="2" t="s">
        <v>146</v>
      </c>
      <c r="S380" s="2" t="s">
        <v>146</v>
      </c>
      <c r="T380" s="2" t="s">
        <v>146</v>
      </c>
      <c r="U380" s="2" t="s">
        <v>146</v>
      </c>
      <c r="X380" s="2">
        <f t="shared" si="5"/>
        <v>0</v>
      </c>
    </row>
    <row r="381" spans="1:24" ht="14.25" x14ac:dyDescent="0.45">
      <c r="A381" s="2" t="s">
        <v>187</v>
      </c>
      <c r="B381" s="2" t="s">
        <v>189</v>
      </c>
      <c r="C381" s="2">
        <v>2019</v>
      </c>
      <c r="D381" s="2" t="s">
        <v>49</v>
      </c>
      <c r="E381" s="2" t="s">
        <v>146</v>
      </c>
      <c r="F381" s="2" t="s">
        <v>146</v>
      </c>
      <c r="G381" s="2" t="s">
        <v>146</v>
      </c>
      <c r="H381" s="2" t="s">
        <v>146</v>
      </c>
      <c r="I381" s="2" t="s">
        <v>146</v>
      </c>
      <c r="J381" s="2" t="s">
        <v>49</v>
      </c>
      <c r="K381" s="2" t="s">
        <v>146</v>
      </c>
      <c r="L381" s="2" t="s">
        <v>146</v>
      </c>
      <c r="M381" s="2" t="s">
        <v>146</v>
      </c>
      <c r="N381" s="2" t="s">
        <v>146</v>
      </c>
      <c r="O381" s="2" t="s">
        <v>146</v>
      </c>
      <c r="P381" s="2" t="s">
        <v>49</v>
      </c>
      <c r="Q381" s="2" t="s">
        <v>146</v>
      </c>
      <c r="R381" s="2" t="s">
        <v>146</v>
      </c>
      <c r="S381" s="2" t="s">
        <v>146</v>
      </c>
      <c r="T381" s="2" t="s">
        <v>146</v>
      </c>
      <c r="U381" s="2" t="s">
        <v>146</v>
      </c>
      <c r="X381" s="2">
        <f t="shared" si="5"/>
        <v>0</v>
      </c>
    </row>
    <row r="382" spans="1:24" ht="14.25" x14ac:dyDescent="0.45">
      <c r="A382" s="2" t="s">
        <v>187</v>
      </c>
      <c r="B382" s="2" t="s">
        <v>188</v>
      </c>
      <c r="C382" s="2">
        <v>2019</v>
      </c>
      <c r="D382" s="2" t="s">
        <v>49</v>
      </c>
      <c r="E382" s="2" t="s">
        <v>146</v>
      </c>
      <c r="F382" s="2" t="s">
        <v>146</v>
      </c>
      <c r="G382" s="2" t="s">
        <v>146</v>
      </c>
      <c r="H382" s="2" t="s">
        <v>146</v>
      </c>
      <c r="I382" s="2" t="s">
        <v>146</v>
      </c>
      <c r="J382" s="2" t="s">
        <v>49</v>
      </c>
      <c r="K382" s="2" t="s">
        <v>146</v>
      </c>
      <c r="L382" s="2" t="s">
        <v>146</v>
      </c>
      <c r="M382" s="2" t="s">
        <v>146</v>
      </c>
      <c r="N382" s="2" t="s">
        <v>146</v>
      </c>
      <c r="O382" s="2" t="s">
        <v>146</v>
      </c>
      <c r="P382" s="2" t="s">
        <v>49</v>
      </c>
      <c r="Q382" s="2" t="s">
        <v>146</v>
      </c>
      <c r="R382" s="2" t="s">
        <v>146</v>
      </c>
      <c r="S382" s="2" t="s">
        <v>146</v>
      </c>
      <c r="T382" s="2" t="s">
        <v>146</v>
      </c>
      <c r="U382" s="2" t="s">
        <v>146</v>
      </c>
      <c r="X382" s="2">
        <f t="shared" si="5"/>
        <v>0</v>
      </c>
    </row>
    <row r="383" spans="1:24" ht="14.25" x14ac:dyDescent="0.45">
      <c r="A383" s="2" t="s">
        <v>187</v>
      </c>
      <c r="B383" s="2" t="s">
        <v>186</v>
      </c>
      <c r="C383" s="2">
        <v>2019</v>
      </c>
      <c r="D383" s="2" t="s">
        <v>49</v>
      </c>
      <c r="E383" s="2" t="s">
        <v>146</v>
      </c>
      <c r="F383" s="2" t="s">
        <v>146</v>
      </c>
      <c r="G383" s="2" t="s">
        <v>146</v>
      </c>
      <c r="H383" s="2" t="s">
        <v>146</v>
      </c>
      <c r="I383" s="2" t="s">
        <v>146</v>
      </c>
      <c r="J383" s="2" t="s">
        <v>49</v>
      </c>
      <c r="K383" s="2" t="s">
        <v>146</v>
      </c>
      <c r="L383" s="2" t="s">
        <v>146</v>
      </c>
      <c r="M383" s="2" t="s">
        <v>146</v>
      </c>
      <c r="N383" s="2" t="s">
        <v>146</v>
      </c>
      <c r="O383" s="2" t="s">
        <v>146</v>
      </c>
      <c r="P383" s="2" t="s">
        <v>49</v>
      </c>
      <c r="Q383" s="2" t="s">
        <v>146</v>
      </c>
      <c r="R383" s="2" t="s">
        <v>146</v>
      </c>
      <c r="S383" s="2" t="s">
        <v>146</v>
      </c>
      <c r="T383" s="2" t="s">
        <v>146</v>
      </c>
      <c r="U383" s="2" t="s">
        <v>146</v>
      </c>
      <c r="X383" s="2">
        <f t="shared" si="5"/>
        <v>0</v>
      </c>
    </row>
    <row r="384" spans="1:24" ht="14.25" x14ac:dyDescent="0.45">
      <c r="A384" s="2" t="s">
        <v>182</v>
      </c>
      <c r="B384" s="2" t="s">
        <v>185</v>
      </c>
      <c r="C384" s="2">
        <v>2019</v>
      </c>
      <c r="D384" s="2" t="s">
        <v>738</v>
      </c>
      <c r="E384" s="2" t="s">
        <v>726</v>
      </c>
      <c r="F384" s="2">
        <v>52.9</v>
      </c>
      <c r="G384" s="2" t="s">
        <v>146</v>
      </c>
      <c r="H384" s="2" t="s">
        <v>146</v>
      </c>
      <c r="I384" s="2" t="s">
        <v>146</v>
      </c>
      <c r="J384" s="2" t="s">
        <v>49</v>
      </c>
      <c r="K384" s="2" t="s">
        <v>146</v>
      </c>
      <c r="L384" s="2" t="s">
        <v>146</v>
      </c>
      <c r="M384" s="2" t="s">
        <v>146</v>
      </c>
      <c r="N384" s="2" t="s">
        <v>146</v>
      </c>
      <c r="O384" s="2" t="s">
        <v>146</v>
      </c>
      <c r="P384" s="2" t="s">
        <v>49</v>
      </c>
      <c r="Q384" s="2" t="s">
        <v>146</v>
      </c>
      <c r="R384" s="2" t="s">
        <v>146</v>
      </c>
      <c r="S384" s="2" t="s">
        <v>146</v>
      </c>
      <c r="T384" s="2" t="s">
        <v>146</v>
      </c>
      <c r="U384" s="2" t="s">
        <v>146</v>
      </c>
      <c r="X384" s="2">
        <f t="shared" si="5"/>
        <v>62.235294117647058</v>
      </c>
    </row>
    <row r="385" spans="1:24" ht="14.25" x14ac:dyDescent="0.45">
      <c r="A385" s="2" t="s">
        <v>182</v>
      </c>
      <c r="B385" s="2" t="s">
        <v>184</v>
      </c>
      <c r="C385" s="2">
        <v>2019</v>
      </c>
      <c r="D385" s="2" t="s">
        <v>49</v>
      </c>
      <c r="E385" s="2" t="s">
        <v>49</v>
      </c>
      <c r="F385" s="2" t="s">
        <v>49</v>
      </c>
      <c r="G385" s="2" t="s">
        <v>49</v>
      </c>
      <c r="H385" s="2" t="s">
        <v>49</v>
      </c>
      <c r="I385" s="2" t="s">
        <v>49</v>
      </c>
      <c r="J385" s="2" t="s">
        <v>49</v>
      </c>
      <c r="K385" s="2" t="s">
        <v>49</v>
      </c>
      <c r="L385" s="2" t="s">
        <v>49</v>
      </c>
      <c r="M385" s="2" t="s">
        <v>49</v>
      </c>
      <c r="N385" s="2" t="s">
        <v>49</v>
      </c>
      <c r="O385" s="2" t="s">
        <v>49</v>
      </c>
      <c r="P385" s="2" t="s">
        <v>49</v>
      </c>
      <c r="Q385" s="2" t="s">
        <v>49</v>
      </c>
      <c r="R385" s="2" t="s">
        <v>49</v>
      </c>
      <c r="S385" s="2" t="s">
        <v>49</v>
      </c>
      <c r="T385" s="2" t="s">
        <v>49</v>
      </c>
      <c r="U385" s="2" t="s">
        <v>49</v>
      </c>
      <c r="X385" s="2">
        <f t="shared" si="5"/>
        <v>0</v>
      </c>
    </row>
    <row r="386" spans="1:24" ht="14.25" x14ac:dyDescent="0.45">
      <c r="A386" s="2" t="s">
        <v>182</v>
      </c>
      <c r="B386" s="2" t="s">
        <v>183</v>
      </c>
      <c r="C386" s="2">
        <v>2019</v>
      </c>
      <c r="D386" s="2" t="s">
        <v>49</v>
      </c>
      <c r="E386" s="2" t="s">
        <v>49</v>
      </c>
      <c r="F386" s="2" t="s">
        <v>49</v>
      </c>
      <c r="G386" s="2" t="s">
        <v>49</v>
      </c>
      <c r="H386" s="2" t="s">
        <v>49</v>
      </c>
      <c r="I386" s="2" t="s">
        <v>49</v>
      </c>
      <c r="J386" s="2" t="s">
        <v>49</v>
      </c>
      <c r="K386" s="2" t="s">
        <v>49</v>
      </c>
      <c r="L386" s="2" t="s">
        <v>49</v>
      </c>
      <c r="M386" s="2" t="s">
        <v>49</v>
      </c>
      <c r="N386" s="2" t="s">
        <v>49</v>
      </c>
      <c r="O386" s="2" t="s">
        <v>49</v>
      </c>
      <c r="P386" s="2" t="s">
        <v>49</v>
      </c>
      <c r="Q386" s="2" t="s">
        <v>49</v>
      </c>
      <c r="R386" s="2" t="s">
        <v>49</v>
      </c>
      <c r="S386" s="2" t="s">
        <v>49</v>
      </c>
      <c r="T386" s="2" t="s">
        <v>49</v>
      </c>
      <c r="U386" s="2" t="s">
        <v>49</v>
      </c>
      <c r="X386" s="2">
        <f t="shared" si="5"/>
        <v>0</v>
      </c>
    </row>
    <row r="387" spans="1:24" ht="14.25" x14ac:dyDescent="0.45">
      <c r="A387" s="2" t="s">
        <v>182</v>
      </c>
      <c r="B387" s="2" t="s">
        <v>181</v>
      </c>
      <c r="C387" s="2">
        <v>2019</v>
      </c>
      <c r="D387" s="2" t="s">
        <v>49</v>
      </c>
      <c r="E387" s="2" t="s">
        <v>49</v>
      </c>
      <c r="F387" s="2" t="s">
        <v>49</v>
      </c>
      <c r="G387" s="2" t="s">
        <v>49</v>
      </c>
      <c r="H387" s="2" t="s">
        <v>49</v>
      </c>
      <c r="I387" s="2" t="s">
        <v>49</v>
      </c>
      <c r="J387" s="2" t="s">
        <v>49</v>
      </c>
      <c r="K387" s="2" t="s">
        <v>49</v>
      </c>
      <c r="L387" s="2" t="s">
        <v>49</v>
      </c>
      <c r="M387" s="2" t="s">
        <v>49</v>
      </c>
      <c r="N387" s="2" t="s">
        <v>49</v>
      </c>
      <c r="O387" s="2" t="s">
        <v>49</v>
      </c>
      <c r="P387" s="2" t="s">
        <v>49</v>
      </c>
      <c r="Q387" s="2" t="s">
        <v>49</v>
      </c>
      <c r="R387" s="2" t="s">
        <v>49</v>
      </c>
      <c r="S387" s="2" t="s">
        <v>49</v>
      </c>
      <c r="T387" s="2" t="s">
        <v>49</v>
      </c>
      <c r="U387" s="2" t="s">
        <v>49</v>
      </c>
      <c r="X387" s="2">
        <f t="shared" ref="X387:X409" si="6">(IF(E387="Avfall",F387,0)+IF(G387="Avfall",H387,0))/IFERROR(I387/100,0.85)+(IF(K387="Avfall",L387,0)+IF(M387="Avfall",N387,0))/IFERROR(O387/100,0.85)+(IF(Q387="avfall",R387,0)+IF(S387="avfall",T387,0))/IFERROR(U387/100,0.85)</f>
        <v>0</v>
      </c>
    </row>
    <row r="388" spans="1:24" ht="14.25" x14ac:dyDescent="0.45">
      <c r="A388" s="2" t="s">
        <v>175</v>
      </c>
      <c r="B388" s="2" t="s">
        <v>180</v>
      </c>
      <c r="C388" s="2">
        <v>2019</v>
      </c>
      <c r="D388" s="2" t="s">
        <v>176</v>
      </c>
      <c r="E388" s="2" t="s">
        <v>146</v>
      </c>
      <c r="F388" s="2" t="s">
        <v>146</v>
      </c>
      <c r="G388" s="2" t="s">
        <v>146</v>
      </c>
      <c r="H388" s="2" t="s">
        <v>146</v>
      </c>
      <c r="I388" s="2" t="s">
        <v>146</v>
      </c>
      <c r="J388" s="2" t="s">
        <v>176</v>
      </c>
      <c r="K388" s="2" t="s">
        <v>146</v>
      </c>
      <c r="L388" s="2" t="s">
        <v>146</v>
      </c>
      <c r="M388" s="2" t="s">
        <v>146</v>
      </c>
      <c r="N388" s="2" t="s">
        <v>146</v>
      </c>
      <c r="O388" s="2" t="s">
        <v>146</v>
      </c>
      <c r="P388" s="2" t="s">
        <v>176</v>
      </c>
      <c r="Q388" s="2" t="s">
        <v>146</v>
      </c>
      <c r="R388" s="2" t="s">
        <v>146</v>
      </c>
      <c r="S388" s="2" t="s">
        <v>146</v>
      </c>
      <c r="T388" s="2" t="s">
        <v>146</v>
      </c>
      <c r="U388" s="2" t="s">
        <v>146</v>
      </c>
      <c r="X388" s="2">
        <f t="shared" si="6"/>
        <v>0</v>
      </c>
    </row>
    <row r="389" spans="1:24" ht="14.25" x14ac:dyDescent="0.45">
      <c r="A389" s="2" t="s">
        <v>175</v>
      </c>
      <c r="B389" s="2" t="s">
        <v>179</v>
      </c>
      <c r="C389" s="2">
        <v>2019</v>
      </c>
      <c r="D389" s="2" t="s">
        <v>176</v>
      </c>
      <c r="E389" s="2" t="s">
        <v>146</v>
      </c>
      <c r="F389" s="2" t="s">
        <v>146</v>
      </c>
      <c r="G389" s="2" t="s">
        <v>146</v>
      </c>
      <c r="H389" s="2" t="s">
        <v>146</v>
      </c>
      <c r="I389" s="2" t="s">
        <v>146</v>
      </c>
      <c r="J389" s="2" t="s">
        <v>176</v>
      </c>
      <c r="K389" s="2" t="s">
        <v>146</v>
      </c>
      <c r="L389" s="2" t="s">
        <v>146</v>
      </c>
      <c r="M389" s="2" t="s">
        <v>146</v>
      </c>
      <c r="N389" s="2" t="s">
        <v>146</v>
      </c>
      <c r="O389" s="2" t="s">
        <v>146</v>
      </c>
      <c r="P389" s="2" t="s">
        <v>176</v>
      </c>
      <c r="Q389" s="2" t="s">
        <v>146</v>
      </c>
      <c r="R389" s="2" t="s">
        <v>146</v>
      </c>
      <c r="S389" s="2" t="s">
        <v>146</v>
      </c>
      <c r="T389" s="2" t="s">
        <v>146</v>
      </c>
      <c r="U389" s="2" t="s">
        <v>146</v>
      </c>
      <c r="X389" s="2">
        <f t="shared" si="6"/>
        <v>0</v>
      </c>
    </row>
    <row r="390" spans="1:24" ht="14.25" x14ac:dyDescent="0.45">
      <c r="A390" s="2" t="s">
        <v>175</v>
      </c>
      <c r="B390" s="2" t="s">
        <v>178</v>
      </c>
      <c r="C390" s="2">
        <v>2019</v>
      </c>
      <c r="D390" s="2" t="s">
        <v>176</v>
      </c>
      <c r="E390" s="2" t="s">
        <v>146</v>
      </c>
      <c r="F390" s="2" t="s">
        <v>146</v>
      </c>
      <c r="G390" s="2" t="s">
        <v>146</v>
      </c>
      <c r="H390" s="2" t="s">
        <v>146</v>
      </c>
      <c r="I390" s="2" t="s">
        <v>146</v>
      </c>
      <c r="J390" s="2" t="s">
        <v>176</v>
      </c>
      <c r="K390" s="2" t="s">
        <v>146</v>
      </c>
      <c r="L390" s="2" t="s">
        <v>146</v>
      </c>
      <c r="M390" s="2" t="s">
        <v>146</v>
      </c>
      <c r="N390" s="2" t="s">
        <v>146</v>
      </c>
      <c r="O390" s="2" t="s">
        <v>146</v>
      </c>
      <c r="P390" s="2" t="s">
        <v>176</v>
      </c>
      <c r="Q390" s="2" t="s">
        <v>146</v>
      </c>
      <c r="R390" s="2" t="s">
        <v>146</v>
      </c>
      <c r="S390" s="2" t="s">
        <v>146</v>
      </c>
      <c r="T390" s="2" t="s">
        <v>146</v>
      </c>
      <c r="U390" s="2" t="s">
        <v>146</v>
      </c>
      <c r="X390" s="2">
        <f t="shared" si="6"/>
        <v>0</v>
      </c>
    </row>
    <row r="391" spans="1:24" ht="14.25" x14ac:dyDescent="0.45">
      <c r="A391" s="2" t="s">
        <v>175</v>
      </c>
      <c r="B391" s="2" t="s">
        <v>177</v>
      </c>
      <c r="C391" s="2">
        <v>2019</v>
      </c>
      <c r="D391" s="2" t="s">
        <v>176</v>
      </c>
      <c r="E391" s="2" t="s">
        <v>146</v>
      </c>
      <c r="F391" s="2" t="s">
        <v>146</v>
      </c>
      <c r="G391" s="2" t="s">
        <v>146</v>
      </c>
      <c r="H391" s="2" t="s">
        <v>146</v>
      </c>
      <c r="I391" s="2" t="s">
        <v>146</v>
      </c>
      <c r="J391" s="2" t="s">
        <v>176</v>
      </c>
      <c r="K391" s="2" t="s">
        <v>146</v>
      </c>
      <c r="L391" s="2" t="s">
        <v>146</v>
      </c>
      <c r="M391" s="2" t="s">
        <v>146</v>
      </c>
      <c r="N391" s="2" t="s">
        <v>146</v>
      </c>
      <c r="O391" s="2" t="s">
        <v>146</v>
      </c>
      <c r="P391" s="2" t="s">
        <v>176</v>
      </c>
      <c r="Q391" s="2" t="s">
        <v>146</v>
      </c>
      <c r="R391" s="2" t="s">
        <v>146</v>
      </c>
      <c r="S391" s="2" t="s">
        <v>146</v>
      </c>
      <c r="T391" s="2" t="s">
        <v>146</v>
      </c>
      <c r="U391" s="2" t="s">
        <v>146</v>
      </c>
      <c r="X391" s="2">
        <f t="shared" si="6"/>
        <v>0</v>
      </c>
    </row>
    <row r="392" spans="1:24" ht="14.25" x14ac:dyDescent="0.45">
      <c r="A392" s="2" t="s">
        <v>175</v>
      </c>
      <c r="B392" s="2" t="s">
        <v>174</v>
      </c>
      <c r="C392" s="2">
        <v>2019</v>
      </c>
      <c r="D392" s="2" t="s">
        <v>49</v>
      </c>
      <c r="E392" s="2" t="s">
        <v>146</v>
      </c>
      <c r="F392" s="2" t="s">
        <v>146</v>
      </c>
      <c r="G392" s="2" t="s">
        <v>146</v>
      </c>
      <c r="H392" s="2" t="s">
        <v>146</v>
      </c>
      <c r="I392" s="2" t="s">
        <v>146</v>
      </c>
      <c r="J392" s="2" t="s">
        <v>49</v>
      </c>
      <c r="K392" s="2" t="s">
        <v>146</v>
      </c>
      <c r="L392" s="2" t="s">
        <v>146</v>
      </c>
      <c r="M392" s="2" t="s">
        <v>146</v>
      </c>
      <c r="N392" s="2" t="s">
        <v>146</v>
      </c>
      <c r="O392" s="2" t="s">
        <v>146</v>
      </c>
      <c r="P392" s="2" t="s">
        <v>49</v>
      </c>
      <c r="Q392" s="2" t="s">
        <v>146</v>
      </c>
      <c r="R392" s="2" t="s">
        <v>146</v>
      </c>
      <c r="S392" s="2" t="s">
        <v>146</v>
      </c>
      <c r="T392" s="2" t="s">
        <v>146</v>
      </c>
      <c r="U392" s="2" t="s">
        <v>146</v>
      </c>
      <c r="X392" s="2">
        <f t="shared" si="6"/>
        <v>0</v>
      </c>
    </row>
    <row r="393" spans="1:24" ht="14.25" x14ac:dyDescent="0.45">
      <c r="A393" s="2" t="s">
        <v>172</v>
      </c>
      <c r="B393" s="2" t="s">
        <v>171</v>
      </c>
      <c r="C393" s="2">
        <v>2019</v>
      </c>
      <c r="D393" s="2" t="s">
        <v>49</v>
      </c>
      <c r="E393" s="2" t="s">
        <v>146</v>
      </c>
      <c r="F393" s="2" t="s">
        <v>146</v>
      </c>
      <c r="G393" s="2" t="s">
        <v>146</v>
      </c>
      <c r="H393" s="2" t="s">
        <v>146</v>
      </c>
      <c r="I393" s="2" t="s">
        <v>146</v>
      </c>
      <c r="J393" s="2" t="s">
        <v>49</v>
      </c>
      <c r="K393" s="2" t="s">
        <v>146</v>
      </c>
      <c r="L393" s="2" t="s">
        <v>146</v>
      </c>
      <c r="M393" s="2" t="s">
        <v>146</v>
      </c>
      <c r="N393" s="2" t="s">
        <v>146</v>
      </c>
      <c r="O393" s="2" t="s">
        <v>146</v>
      </c>
      <c r="P393" s="2" t="s">
        <v>49</v>
      </c>
      <c r="Q393" s="2" t="s">
        <v>146</v>
      </c>
      <c r="R393" s="2" t="s">
        <v>146</v>
      </c>
      <c r="S393" s="2" t="s">
        <v>146</v>
      </c>
      <c r="T393" s="2" t="s">
        <v>146</v>
      </c>
      <c r="U393" s="2" t="s">
        <v>146</v>
      </c>
      <c r="X393" s="2">
        <f t="shared" si="6"/>
        <v>0</v>
      </c>
    </row>
    <row r="394" spans="1:24" ht="14.25" x14ac:dyDescent="0.45">
      <c r="A394" s="2" t="s">
        <v>169</v>
      </c>
      <c r="B394" s="2" t="s">
        <v>170</v>
      </c>
      <c r="C394" s="2">
        <v>2019</v>
      </c>
      <c r="D394" s="2" t="s">
        <v>49</v>
      </c>
      <c r="E394" s="2" t="s">
        <v>146</v>
      </c>
      <c r="F394" s="2" t="s">
        <v>146</v>
      </c>
      <c r="G394" s="2" t="s">
        <v>146</v>
      </c>
      <c r="H394" s="2" t="s">
        <v>146</v>
      </c>
      <c r="I394" s="2" t="s">
        <v>146</v>
      </c>
      <c r="J394" s="2" t="s">
        <v>49</v>
      </c>
      <c r="K394" s="2" t="s">
        <v>146</v>
      </c>
      <c r="L394" s="2" t="s">
        <v>146</v>
      </c>
      <c r="M394" s="2" t="s">
        <v>146</v>
      </c>
      <c r="N394" s="2" t="s">
        <v>146</v>
      </c>
      <c r="O394" s="2" t="s">
        <v>146</v>
      </c>
      <c r="P394" s="2" t="s">
        <v>49</v>
      </c>
      <c r="Q394" s="2" t="s">
        <v>146</v>
      </c>
      <c r="R394" s="2" t="s">
        <v>146</v>
      </c>
      <c r="S394" s="2" t="s">
        <v>146</v>
      </c>
      <c r="T394" s="2" t="s">
        <v>146</v>
      </c>
      <c r="U394" s="2" t="s">
        <v>146</v>
      </c>
      <c r="X394" s="2">
        <f t="shared" si="6"/>
        <v>0</v>
      </c>
    </row>
    <row r="395" spans="1:24" ht="14.25" x14ac:dyDescent="0.45">
      <c r="A395" s="2" t="s">
        <v>169</v>
      </c>
      <c r="B395" s="2" t="s">
        <v>168</v>
      </c>
      <c r="C395" s="2">
        <v>2019</v>
      </c>
      <c r="D395" s="2" t="s">
        <v>49</v>
      </c>
      <c r="E395" s="2" t="s">
        <v>146</v>
      </c>
      <c r="F395" s="2" t="s">
        <v>146</v>
      </c>
      <c r="G395" s="2" t="s">
        <v>146</v>
      </c>
      <c r="H395" s="2" t="s">
        <v>146</v>
      </c>
      <c r="I395" s="2" t="s">
        <v>146</v>
      </c>
      <c r="J395" s="2" t="s">
        <v>49</v>
      </c>
      <c r="K395" s="2" t="s">
        <v>146</v>
      </c>
      <c r="L395" s="2" t="s">
        <v>146</v>
      </c>
      <c r="M395" s="2" t="s">
        <v>146</v>
      </c>
      <c r="N395" s="2" t="s">
        <v>146</v>
      </c>
      <c r="O395" s="2" t="s">
        <v>146</v>
      </c>
      <c r="P395" s="2" t="s">
        <v>49</v>
      </c>
      <c r="Q395" s="2" t="s">
        <v>146</v>
      </c>
      <c r="R395" s="2" t="s">
        <v>146</v>
      </c>
      <c r="S395" s="2" t="s">
        <v>146</v>
      </c>
      <c r="T395" s="2" t="s">
        <v>146</v>
      </c>
      <c r="U395" s="2" t="s">
        <v>146</v>
      </c>
      <c r="X395" s="2">
        <f t="shared" si="6"/>
        <v>0</v>
      </c>
    </row>
    <row r="396" spans="1:24" ht="14.25" x14ac:dyDescent="0.45">
      <c r="A396" s="2" t="s">
        <v>167</v>
      </c>
      <c r="B396" s="2" t="s">
        <v>136</v>
      </c>
      <c r="C396" s="2">
        <v>2019</v>
      </c>
      <c r="D396" s="2" t="s">
        <v>49</v>
      </c>
      <c r="E396" s="2" t="s">
        <v>49</v>
      </c>
      <c r="F396" s="2" t="s">
        <v>49</v>
      </c>
      <c r="G396" s="2" t="s">
        <v>49</v>
      </c>
      <c r="H396" s="2" t="s">
        <v>49</v>
      </c>
      <c r="I396" s="2" t="s">
        <v>49</v>
      </c>
      <c r="J396" s="2" t="s">
        <v>49</v>
      </c>
      <c r="K396" s="2" t="s">
        <v>49</v>
      </c>
      <c r="L396" s="2" t="s">
        <v>49</v>
      </c>
      <c r="M396" s="2" t="s">
        <v>49</v>
      </c>
      <c r="N396" s="2" t="s">
        <v>49</v>
      </c>
      <c r="O396" s="2" t="s">
        <v>49</v>
      </c>
      <c r="P396" s="2" t="s">
        <v>49</v>
      </c>
      <c r="Q396" s="2" t="s">
        <v>49</v>
      </c>
      <c r="R396" s="2" t="s">
        <v>49</v>
      </c>
      <c r="S396" s="2" t="s">
        <v>49</v>
      </c>
      <c r="T396" s="2" t="s">
        <v>49</v>
      </c>
      <c r="U396" s="2" t="s">
        <v>49</v>
      </c>
      <c r="X396" s="2">
        <f t="shared" si="6"/>
        <v>0</v>
      </c>
    </row>
    <row r="397" spans="1:24" ht="14.25" x14ac:dyDescent="0.45">
      <c r="A397" s="2" t="s">
        <v>162</v>
      </c>
      <c r="B397" s="2" t="s">
        <v>166</v>
      </c>
      <c r="C397" s="2">
        <v>2019</v>
      </c>
      <c r="D397" s="2" t="s">
        <v>737</v>
      </c>
      <c r="E397" s="2" t="s">
        <v>736</v>
      </c>
      <c r="F397" s="2">
        <v>4.9029999999999996</v>
      </c>
      <c r="G397" s="2" t="s">
        <v>146</v>
      </c>
      <c r="H397" s="2" t="s">
        <v>146</v>
      </c>
      <c r="I397" s="2" t="s">
        <v>146</v>
      </c>
      <c r="J397" s="2" t="s">
        <v>49</v>
      </c>
      <c r="K397" s="2" t="s">
        <v>146</v>
      </c>
      <c r="L397" s="2" t="s">
        <v>146</v>
      </c>
      <c r="M397" s="2" t="s">
        <v>146</v>
      </c>
      <c r="N397" s="2" t="s">
        <v>146</v>
      </c>
      <c r="O397" s="2" t="s">
        <v>146</v>
      </c>
      <c r="P397" s="2" t="s">
        <v>49</v>
      </c>
      <c r="Q397" s="2" t="s">
        <v>146</v>
      </c>
      <c r="R397" s="2" t="s">
        <v>146</v>
      </c>
      <c r="S397" s="2" t="s">
        <v>146</v>
      </c>
      <c r="T397" s="2" t="s">
        <v>146</v>
      </c>
      <c r="U397" s="2" t="s">
        <v>146</v>
      </c>
      <c r="X397" s="2">
        <f t="shared" si="6"/>
        <v>0</v>
      </c>
    </row>
    <row r="398" spans="1:24" ht="14.25" x14ac:dyDescent="0.45">
      <c r="A398" s="2" t="s">
        <v>162</v>
      </c>
      <c r="B398" s="2" t="s">
        <v>164</v>
      </c>
      <c r="C398" s="2">
        <v>2019</v>
      </c>
      <c r="D398" s="2" t="s">
        <v>49</v>
      </c>
      <c r="E398" s="2" t="s">
        <v>146</v>
      </c>
      <c r="F398" s="2" t="s">
        <v>146</v>
      </c>
      <c r="G398" s="2" t="s">
        <v>146</v>
      </c>
      <c r="H398" s="2" t="s">
        <v>146</v>
      </c>
      <c r="I398" s="2" t="s">
        <v>146</v>
      </c>
      <c r="J398" s="2" t="s">
        <v>49</v>
      </c>
      <c r="K398" s="2" t="s">
        <v>146</v>
      </c>
      <c r="L398" s="2" t="s">
        <v>146</v>
      </c>
      <c r="M398" s="2" t="s">
        <v>146</v>
      </c>
      <c r="N398" s="2" t="s">
        <v>146</v>
      </c>
      <c r="O398" s="2" t="s">
        <v>146</v>
      </c>
      <c r="P398" s="2" t="s">
        <v>49</v>
      </c>
      <c r="Q398" s="2" t="s">
        <v>146</v>
      </c>
      <c r="R398" s="2" t="s">
        <v>146</v>
      </c>
      <c r="S398" s="2" t="s">
        <v>146</v>
      </c>
      <c r="T398" s="2" t="s">
        <v>146</v>
      </c>
      <c r="U398" s="2" t="s">
        <v>146</v>
      </c>
      <c r="X398" s="2">
        <f t="shared" si="6"/>
        <v>0</v>
      </c>
    </row>
    <row r="399" spans="1:24" ht="14.25" x14ac:dyDescent="0.45">
      <c r="A399" s="2" t="s">
        <v>162</v>
      </c>
      <c r="B399" s="2" t="s">
        <v>163</v>
      </c>
      <c r="C399" s="2">
        <v>2019</v>
      </c>
      <c r="D399" s="2" t="s">
        <v>49</v>
      </c>
      <c r="E399" s="2" t="s">
        <v>146</v>
      </c>
      <c r="F399" s="2" t="s">
        <v>146</v>
      </c>
      <c r="G399" s="2" t="s">
        <v>146</v>
      </c>
      <c r="H399" s="2" t="s">
        <v>146</v>
      </c>
      <c r="I399" s="2" t="s">
        <v>146</v>
      </c>
      <c r="J399" s="2" t="s">
        <v>49</v>
      </c>
      <c r="K399" s="2" t="s">
        <v>146</v>
      </c>
      <c r="L399" s="2" t="s">
        <v>146</v>
      </c>
      <c r="M399" s="2" t="s">
        <v>146</v>
      </c>
      <c r="N399" s="2" t="s">
        <v>146</v>
      </c>
      <c r="O399" s="2" t="s">
        <v>146</v>
      </c>
      <c r="P399" s="2" t="s">
        <v>49</v>
      </c>
      <c r="Q399" s="2" t="s">
        <v>146</v>
      </c>
      <c r="R399" s="2" t="s">
        <v>146</v>
      </c>
      <c r="S399" s="2" t="s">
        <v>146</v>
      </c>
      <c r="T399" s="2" t="s">
        <v>146</v>
      </c>
      <c r="U399" s="2" t="s">
        <v>146</v>
      </c>
      <c r="X399" s="2">
        <f t="shared" si="6"/>
        <v>0</v>
      </c>
    </row>
    <row r="400" spans="1:24" ht="14.25" x14ac:dyDescent="0.45">
      <c r="A400" s="2" t="s">
        <v>162</v>
      </c>
      <c r="B400" s="2" t="s">
        <v>161</v>
      </c>
      <c r="C400" s="2">
        <v>2019</v>
      </c>
      <c r="D400" s="2" t="s">
        <v>49</v>
      </c>
      <c r="E400" s="2" t="s">
        <v>146</v>
      </c>
      <c r="F400" s="2" t="s">
        <v>146</v>
      </c>
      <c r="G400" s="2" t="s">
        <v>146</v>
      </c>
      <c r="H400" s="2" t="s">
        <v>146</v>
      </c>
      <c r="I400" s="2" t="s">
        <v>146</v>
      </c>
      <c r="J400" s="2" t="s">
        <v>49</v>
      </c>
      <c r="K400" s="2" t="s">
        <v>146</v>
      </c>
      <c r="L400" s="2" t="s">
        <v>146</v>
      </c>
      <c r="M400" s="2" t="s">
        <v>146</v>
      </c>
      <c r="N400" s="2" t="s">
        <v>146</v>
      </c>
      <c r="O400" s="2" t="s">
        <v>146</v>
      </c>
      <c r="P400" s="2" t="s">
        <v>49</v>
      </c>
      <c r="Q400" s="2" t="s">
        <v>146</v>
      </c>
      <c r="R400" s="2" t="s">
        <v>146</v>
      </c>
      <c r="S400" s="2" t="s">
        <v>146</v>
      </c>
      <c r="T400" s="2" t="s">
        <v>146</v>
      </c>
      <c r="U400" s="2" t="s">
        <v>146</v>
      </c>
      <c r="X400" s="2">
        <f t="shared" si="6"/>
        <v>0</v>
      </c>
    </row>
    <row r="401" spans="1:24" ht="14.25" x14ac:dyDescent="0.45">
      <c r="A401" s="2" t="s">
        <v>159</v>
      </c>
      <c r="B401" s="2" t="s">
        <v>158</v>
      </c>
      <c r="C401" s="2">
        <v>2019</v>
      </c>
      <c r="D401" s="2" t="s">
        <v>49</v>
      </c>
      <c r="E401" s="2" t="s">
        <v>146</v>
      </c>
      <c r="F401" s="2" t="s">
        <v>146</v>
      </c>
      <c r="G401" s="2" t="s">
        <v>146</v>
      </c>
      <c r="H401" s="2" t="s">
        <v>146</v>
      </c>
      <c r="I401" s="2" t="s">
        <v>146</v>
      </c>
      <c r="J401" s="2" t="s">
        <v>49</v>
      </c>
      <c r="K401" s="2" t="s">
        <v>146</v>
      </c>
      <c r="L401" s="2" t="s">
        <v>146</v>
      </c>
      <c r="M401" s="2" t="s">
        <v>146</v>
      </c>
      <c r="N401" s="2" t="s">
        <v>146</v>
      </c>
      <c r="O401" s="2" t="s">
        <v>146</v>
      </c>
      <c r="P401" s="2" t="s">
        <v>49</v>
      </c>
      <c r="Q401" s="2" t="s">
        <v>146</v>
      </c>
      <c r="R401" s="2" t="s">
        <v>146</v>
      </c>
      <c r="S401" s="2" t="s">
        <v>146</v>
      </c>
      <c r="T401" s="2" t="s">
        <v>146</v>
      </c>
      <c r="U401" s="2" t="s">
        <v>146</v>
      </c>
      <c r="X401" s="2">
        <f t="shared" si="6"/>
        <v>0</v>
      </c>
    </row>
    <row r="402" spans="1:24" ht="14.25" x14ac:dyDescent="0.45">
      <c r="A402" s="2" t="s">
        <v>157</v>
      </c>
      <c r="B402" s="2" t="s">
        <v>156</v>
      </c>
      <c r="C402" s="2">
        <v>2019</v>
      </c>
      <c r="D402" s="2" t="s">
        <v>49</v>
      </c>
      <c r="E402" s="2" t="s">
        <v>146</v>
      </c>
      <c r="F402" s="2" t="s">
        <v>146</v>
      </c>
      <c r="G402" s="2" t="s">
        <v>146</v>
      </c>
      <c r="H402" s="2" t="s">
        <v>146</v>
      </c>
      <c r="I402" s="2" t="s">
        <v>146</v>
      </c>
      <c r="J402" s="2" t="s">
        <v>49</v>
      </c>
      <c r="K402" s="2" t="s">
        <v>146</v>
      </c>
      <c r="L402" s="2" t="s">
        <v>146</v>
      </c>
      <c r="M402" s="2" t="s">
        <v>146</v>
      </c>
      <c r="N402" s="2" t="s">
        <v>146</v>
      </c>
      <c r="O402" s="2" t="s">
        <v>146</v>
      </c>
      <c r="P402" s="2" t="s">
        <v>49</v>
      </c>
      <c r="Q402" s="2" t="s">
        <v>146</v>
      </c>
      <c r="R402" s="2" t="s">
        <v>146</v>
      </c>
      <c r="S402" s="2" t="s">
        <v>146</v>
      </c>
      <c r="T402" s="2" t="s">
        <v>146</v>
      </c>
      <c r="U402" s="2" t="s">
        <v>146</v>
      </c>
      <c r="X402" s="2">
        <f t="shared" si="6"/>
        <v>0</v>
      </c>
    </row>
    <row r="403" spans="1:24" ht="14.25" x14ac:dyDescent="0.45">
      <c r="A403" s="2" t="s">
        <v>12</v>
      </c>
      <c r="B403" s="2" t="s">
        <v>14</v>
      </c>
      <c r="C403" s="2">
        <v>2019</v>
      </c>
      <c r="D403" s="2" t="s">
        <v>49</v>
      </c>
      <c r="E403" s="2" t="s">
        <v>49</v>
      </c>
      <c r="F403" s="2" t="s">
        <v>49</v>
      </c>
      <c r="G403" s="2" t="s">
        <v>49</v>
      </c>
      <c r="H403" s="2" t="s">
        <v>49</v>
      </c>
      <c r="I403" s="2" t="s">
        <v>49</v>
      </c>
      <c r="J403" s="2" t="s">
        <v>49</v>
      </c>
      <c r="K403" s="2" t="s">
        <v>49</v>
      </c>
      <c r="L403" s="2" t="s">
        <v>49</v>
      </c>
      <c r="M403" s="2" t="s">
        <v>49</v>
      </c>
      <c r="N403" s="2" t="s">
        <v>49</v>
      </c>
      <c r="O403" s="2" t="s">
        <v>49</v>
      </c>
      <c r="P403" s="2" t="s">
        <v>49</v>
      </c>
      <c r="Q403" s="2" t="s">
        <v>49</v>
      </c>
      <c r="R403" s="2" t="s">
        <v>49</v>
      </c>
      <c r="S403" s="2" t="s">
        <v>49</v>
      </c>
      <c r="T403" s="2" t="s">
        <v>49</v>
      </c>
      <c r="U403" s="2" t="s">
        <v>49</v>
      </c>
      <c r="X403" s="2">
        <f t="shared" si="6"/>
        <v>0</v>
      </c>
    </row>
    <row r="404" spans="1:24" ht="14.25" x14ac:dyDescent="0.45">
      <c r="A404" s="2" t="s">
        <v>149</v>
      </c>
      <c r="B404" s="2" t="s">
        <v>154</v>
      </c>
      <c r="C404" s="2">
        <v>2019</v>
      </c>
      <c r="D404" s="2" t="s">
        <v>49</v>
      </c>
      <c r="E404" s="2" t="s">
        <v>146</v>
      </c>
      <c r="F404" s="2" t="s">
        <v>146</v>
      </c>
      <c r="G404" s="2" t="s">
        <v>146</v>
      </c>
      <c r="H404" s="2" t="s">
        <v>146</v>
      </c>
      <c r="I404" s="2" t="s">
        <v>146</v>
      </c>
      <c r="J404" s="2" t="s">
        <v>49</v>
      </c>
      <c r="K404" s="2" t="s">
        <v>146</v>
      </c>
      <c r="L404" s="2" t="s">
        <v>146</v>
      </c>
      <c r="M404" s="2" t="s">
        <v>146</v>
      </c>
      <c r="N404" s="2" t="s">
        <v>146</v>
      </c>
      <c r="O404" s="2" t="s">
        <v>146</v>
      </c>
      <c r="P404" s="2" t="s">
        <v>49</v>
      </c>
      <c r="Q404" s="2" t="s">
        <v>146</v>
      </c>
      <c r="R404" s="2" t="s">
        <v>146</v>
      </c>
      <c r="S404" s="2" t="s">
        <v>146</v>
      </c>
      <c r="T404" s="2" t="s">
        <v>146</v>
      </c>
      <c r="U404" s="2" t="s">
        <v>146</v>
      </c>
      <c r="X404" s="2">
        <f t="shared" si="6"/>
        <v>0</v>
      </c>
    </row>
    <row r="405" spans="1:24" ht="14.25" x14ac:dyDescent="0.45">
      <c r="A405" s="2" t="s">
        <v>149</v>
      </c>
      <c r="B405" s="2" t="s">
        <v>153</v>
      </c>
      <c r="C405" s="2">
        <v>2019</v>
      </c>
      <c r="D405" s="2" t="s">
        <v>49</v>
      </c>
      <c r="E405" s="2" t="s">
        <v>146</v>
      </c>
      <c r="F405" s="2" t="s">
        <v>146</v>
      </c>
      <c r="G405" s="2" t="s">
        <v>146</v>
      </c>
      <c r="H405" s="2" t="s">
        <v>146</v>
      </c>
      <c r="I405" s="2" t="s">
        <v>146</v>
      </c>
      <c r="J405" s="2" t="s">
        <v>49</v>
      </c>
      <c r="K405" s="2" t="s">
        <v>146</v>
      </c>
      <c r="L405" s="2" t="s">
        <v>146</v>
      </c>
      <c r="M405" s="2" t="s">
        <v>146</v>
      </c>
      <c r="N405" s="2" t="s">
        <v>146</v>
      </c>
      <c r="O405" s="2" t="s">
        <v>146</v>
      </c>
      <c r="P405" s="2" t="s">
        <v>49</v>
      </c>
      <c r="Q405" s="2" t="s">
        <v>146</v>
      </c>
      <c r="R405" s="2" t="s">
        <v>146</v>
      </c>
      <c r="S405" s="2" t="s">
        <v>146</v>
      </c>
      <c r="T405" s="2" t="s">
        <v>146</v>
      </c>
      <c r="U405" s="2" t="s">
        <v>146</v>
      </c>
      <c r="X405" s="2">
        <f t="shared" si="6"/>
        <v>0</v>
      </c>
    </row>
    <row r="406" spans="1:24" ht="14.25" x14ac:dyDescent="0.45">
      <c r="A406" s="2" t="s">
        <v>149</v>
      </c>
      <c r="B406" s="2" t="s">
        <v>152</v>
      </c>
      <c r="C406" s="2">
        <v>2019</v>
      </c>
      <c r="D406" s="2" t="s">
        <v>735</v>
      </c>
      <c r="E406" s="2" t="s">
        <v>734</v>
      </c>
      <c r="F406" s="2">
        <v>2.0598999999999998</v>
      </c>
      <c r="G406" s="2" t="s">
        <v>146</v>
      </c>
      <c r="H406" s="2" t="s">
        <v>146</v>
      </c>
      <c r="I406" s="2">
        <v>85</v>
      </c>
      <c r="J406" s="2" t="s">
        <v>49</v>
      </c>
      <c r="K406" s="2" t="s">
        <v>146</v>
      </c>
      <c r="L406" s="2" t="s">
        <v>146</v>
      </c>
      <c r="M406" s="2" t="s">
        <v>146</v>
      </c>
      <c r="N406" s="2" t="s">
        <v>146</v>
      </c>
      <c r="O406" s="2" t="s">
        <v>146</v>
      </c>
      <c r="P406" s="2" t="s">
        <v>49</v>
      </c>
      <c r="Q406" s="2" t="s">
        <v>146</v>
      </c>
      <c r="R406" s="2" t="s">
        <v>146</v>
      </c>
      <c r="S406" s="2" t="s">
        <v>146</v>
      </c>
      <c r="T406" s="2" t="s">
        <v>146</v>
      </c>
      <c r="U406" s="2" t="s">
        <v>146</v>
      </c>
      <c r="X406" s="2">
        <f t="shared" si="6"/>
        <v>0</v>
      </c>
    </row>
    <row r="407" spans="1:24" ht="14.25" x14ac:dyDescent="0.45">
      <c r="A407" s="2" t="s">
        <v>149</v>
      </c>
      <c r="B407" s="2" t="s">
        <v>151</v>
      </c>
      <c r="C407" s="2">
        <v>2019</v>
      </c>
      <c r="D407" s="2" t="s">
        <v>49</v>
      </c>
      <c r="E407" s="2" t="s">
        <v>146</v>
      </c>
      <c r="F407" s="2" t="s">
        <v>146</v>
      </c>
      <c r="G407" s="2" t="s">
        <v>146</v>
      </c>
      <c r="H407" s="2" t="s">
        <v>146</v>
      </c>
      <c r="I407" s="2" t="s">
        <v>146</v>
      </c>
      <c r="J407" s="2" t="s">
        <v>49</v>
      </c>
      <c r="K407" s="2" t="s">
        <v>146</v>
      </c>
      <c r="L407" s="2" t="s">
        <v>146</v>
      </c>
      <c r="M407" s="2" t="s">
        <v>146</v>
      </c>
      <c r="N407" s="2" t="s">
        <v>146</v>
      </c>
      <c r="O407" s="2" t="s">
        <v>146</v>
      </c>
      <c r="P407" s="2" t="s">
        <v>49</v>
      </c>
      <c r="Q407" s="2" t="s">
        <v>146</v>
      </c>
      <c r="R407" s="2" t="s">
        <v>146</v>
      </c>
      <c r="S407" s="2" t="s">
        <v>146</v>
      </c>
      <c r="T407" s="2" t="s">
        <v>146</v>
      </c>
      <c r="U407" s="2" t="s">
        <v>146</v>
      </c>
      <c r="X407" s="2">
        <f t="shared" si="6"/>
        <v>0</v>
      </c>
    </row>
    <row r="408" spans="1:24" ht="14.25" x14ac:dyDescent="0.45">
      <c r="A408" s="2" t="s">
        <v>149</v>
      </c>
      <c r="B408" s="2" t="s">
        <v>150</v>
      </c>
      <c r="C408" s="2">
        <v>2019</v>
      </c>
      <c r="D408" s="2" t="s">
        <v>49</v>
      </c>
      <c r="E408" s="2" t="s">
        <v>146</v>
      </c>
      <c r="F408" s="2" t="s">
        <v>146</v>
      </c>
      <c r="G408" s="2" t="s">
        <v>146</v>
      </c>
      <c r="H408" s="2" t="s">
        <v>146</v>
      </c>
      <c r="I408" s="2" t="s">
        <v>146</v>
      </c>
      <c r="J408" s="2" t="s">
        <v>49</v>
      </c>
      <c r="K408" s="2" t="s">
        <v>146</v>
      </c>
      <c r="L408" s="2" t="s">
        <v>146</v>
      </c>
      <c r="M408" s="2" t="s">
        <v>146</v>
      </c>
      <c r="N408" s="2" t="s">
        <v>146</v>
      </c>
      <c r="O408" s="2" t="s">
        <v>146</v>
      </c>
      <c r="P408" s="2" t="s">
        <v>49</v>
      </c>
      <c r="Q408" s="2" t="s">
        <v>146</v>
      </c>
      <c r="R408" s="2" t="s">
        <v>146</v>
      </c>
      <c r="S408" s="2" t="s">
        <v>146</v>
      </c>
      <c r="T408" s="2" t="s">
        <v>146</v>
      </c>
      <c r="U408" s="2" t="s">
        <v>146</v>
      </c>
      <c r="X408" s="2">
        <f t="shared" si="6"/>
        <v>0</v>
      </c>
    </row>
    <row r="409" spans="1:24" ht="14.25" x14ac:dyDescent="0.45">
      <c r="A409" s="2" t="s">
        <v>149</v>
      </c>
      <c r="B409" s="2" t="s">
        <v>148</v>
      </c>
      <c r="C409" s="2">
        <v>2019</v>
      </c>
      <c r="D409" s="2" t="s">
        <v>49</v>
      </c>
      <c r="E409" s="2" t="s">
        <v>146</v>
      </c>
      <c r="F409" s="2" t="s">
        <v>146</v>
      </c>
      <c r="G409" s="2" t="s">
        <v>146</v>
      </c>
      <c r="H409" s="2" t="s">
        <v>146</v>
      </c>
      <c r="I409" s="2" t="s">
        <v>146</v>
      </c>
      <c r="J409" s="2" t="s">
        <v>49</v>
      </c>
      <c r="K409" s="2" t="s">
        <v>146</v>
      </c>
      <c r="L409" s="2" t="s">
        <v>146</v>
      </c>
      <c r="M409" s="2" t="s">
        <v>146</v>
      </c>
      <c r="N409" s="2" t="s">
        <v>146</v>
      </c>
      <c r="O409" s="2" t="s">
        <v>146</v>
      </c>
      <c r="P409" s="2" t="s">
        <v>49</v>
      </c>
      <c r="Q409" s="2" t="s">
        <v>146</v>
      </c>
      <c r="R409" s="2" t="s">
        <v>146</v>
      </c>
      <c r="S409" s="2" t="s">
        <v>146</v>
      </c>
      <c r="T409" s="2" t="s">
        <v>146</v>
      </c>
      <c r="U409" s="2" t="s">
        <v>146</v>
      </c>
      <c r="X409" s="2">
        <f t="shared" si="6"/>
        <v>0</v>
      </c>
    </row>
  </sheetData>
  <autoFilter ref="A1:X409" xr:uid="{467084CA-B6C6-4C4B-8009-9182DC05671B}">
    <filterColumn colId="0">
      <filters>
        <filter val="E.ON Värme Sverige AB"/>
      </filters>
    </filterColumn>
  </autoFilter>
  <conditionalFormatting sqref="B2:B1048576">
    <cfRule type="duplicateValues" dxfId="66" priority="3"/>
  </conditionalFormatting>
  <conditionalFormatting sqref="B1">
    <cfRule type="duplicateValues" dxfId="65" priority="2"/>
  </conditionalFormatting>
  <conditionalFormatting sqref="B1:B1048576">
    <cfRule type="duplicateValues" dxfId="64" priority="1"/>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ECFDC-4916-44F3-82F3-4007EE3847FF}">
  <sheetPr codeName="Blad6">
    <tabColor theme="9" tint="0.39997558519241921"/>
  </sheetPr>
  <dimension ref="A1:BD409"/>
  <sheetViews>
    <sheetView workbookViewId="0">
      <selection activeCell="D413" sqref="D413"/>
    </sheetView>
  </sheetViews>
  <sheetFormatPr defaultColWidth="9.1328125" defaultRowHeight="15" customHeight="1" x14ac:dyDescent="0.45"/>
  <cols>
    <col min="1" max="1" width="43.73046875" style="2" bestFit="1" customWidth="1"/>
    <col min="2" max="2" width="48" style="2" bestFit="1" customWidth="1"/>
    <col min="3" max="45" width="9.1328125" style="2"/>
    <col min="46" max="46" width="11.265625" style="2" customWidth="1"/>
    <col min="47" max="47" width="9.1328125" style="2"/>
    <col min="48" max="48" width="10.73046875" style="2" customWidth="1"/>
    <col min="49" max="16384" width="9.1328125" style="2"/>
  </cols>
  <sheetData>
    <row r="1" spans="1:56" s="24" customFormat="1" ht="132.75" customHeight="1" thickBot="1" x14ac:dyDescent="0.5">
      <c r="A1" s="23" t="s">
        <v>724</v>
      </c>
      <c r="B1" s="23" t="s">
        <v>2</v>
      </c>
      <c r="C1" s="23" t="s">
        <v>723</v>
      </c>
      <c r="D1" s="23" t="s">
        <v>733</v>
      </c>
      <c r="E1" s="23" t="s">
        <v>732</v>
      </c>
      <c r="F1" s="23" t="s">
        <v>731</v>
      </c>
      <c r="G1" s="23" t="s">
        <v>730</v>
      </c>
      <c r="H1" s="23" t="s">
        <v>729</v>
      </c>
      <c r="I1" s="23" t="s">
        <v>721</v>
      </c>
      <c r="J1" s="23" t="s">
        <v>720</v>
      </c>
      <c r="K1" s="23" t="s">
        <v>719</v>
      </c>
      <c r="L1" s="23" t="s">
        <v>718</v>
      </c>
      <c r="M1" s="23" t="s">
        <v>717</v>
      </c>
      <c r="N1" s="23" t="s">
        <v>716</v>
      </c>
      <c r="O1" s="23" t="s">
        <v>715</v>
      </c>
      <c r="P1" s="23" t="s">
        <v>714</v>
      </c>
      <c r="Q1" s="23" t="s">
        <v>713</v>
      </c>
      <c r="R1" s="23" t="s">
        <v>712</v>
      </c>
      <c r="S1" s="23" t="s">
        <v>711</v>
      </c>
      <c r="T1" s="23" t="s">
        <v>710</v>
      </c>
      <c r="U1" s="23" t="s">
        <v>709</v>
      </c>
      <c r="V1" s="23" t="s">
        <v>708</v>
      </c>
      <c r="W1" s="23" t="s">
        <v>707</v>
      </c>
      <c r="X1" s="23" t="s">
        <v>706</v>
      </c>
      <c r="Y1" s="23" t="s">
        <v>705</v>
      </c>
      <c r="Z1" s="23" t="s">
        <v>704</v>
      </c>
      <c r="AA1" s="23" t="s">
        <v>703</v>
      </c>
      <c r="AB1" s="23" t="s">
        <v>702</v>
      </c>
      <c r="AC1" s="23" t="s">
        <v>701</v>
      </c>
      <c r="AD1" s="23" t="s">
        <v>700</v>
      </c>
      <c r="AE1" s="23" t="s">
        <v>699</v>
      </c>
      <c r="AF1" s="23" t="s">
        <v>698</v>
      </c>
      <c r="AG1" s="23" t="s">
        <v>697</v>
      </c>
      <c r="AH1" s="23" t="s">
        <v>696</v>
      </c>
      <c r="AI1" s="23" t="s">
        <v>695</v>
      </c>
      <c r="AJ1" s="23" t="s">
        <v>694</v>
      </c>
      <c r="AK1" s="23" t="s">
        <v>728</v>
      </c>
      <c r="AL1" s="23" t="s">
        <v>686</v>
      </c>
      <c r="AM1" s="23" t="s">
        <v>685</v>
      </c>
      <c r="AN1" s="23" t="s">
        <v>684</v>
      </c>
      <c r="AO1" s="23" t="s">
        <v>683</v>
      </c>
      <c r="AQ1" s="24" t="s">
        <v>1198</v>
      </c>
      <c r="AR1" s="24" t="s">
        <v>1199</v>
      </c>
      <c r="AS1" s="25"/>
      <c r="AT1" s="25" t="s">
        <v>1200</v>
      </c>
      <c r="AU1" s="25" t="s">
        <v>1201</v>
      </c>
      <c r="AV1" s="28" t="s">
        <v>1202</v>
      </c>
      <c r="AY1" s="24" t="s">
        <v>1189</v>
      </c>
      <c r="AZ1" s="26" t="s">
        <v>1190</v>
      </c>
      <c r="BA1" s="26" t="s">
        <v>1191</v>
      </c>
      <c r="BB1" s="26" t="s">
        <v>1192</v>
      </c>
      <c r="BC1" s="26" t="s">
        <v>1193</v>
      </c>
      <c r="BD1" s="26" t="s">
        <v>1194</v>
      </c>
    </row>
    <row r="2" spans="1:56" ht="15" customHeight="1" x14ac:dyDescent="0.45">
      <c r="A2" s="2" t="s">
        <v>15</v>
      </c>
      <c r="B2" s="2" t="s">
        <v>16</v>
      </c>
      <c r="C2" s="2">
        <v>2019</v>
      </c>
      <c r="D2" s="2" t="s">
        <v>146</v>
      </c>
      <c r="E2" s="2" t="s">
        <v>146</v>
      </c>
      <c r="F2" s="2" t="s">
        <v>146</v>
      </c>
      <c r="G2" s="2" t="s">
        <v>146</v>
      </c>
      <c r="H2" s="2" t="s">
        <v>146</v>
      </c>
      <c r="I2" s="2" t="s">
        <v>146</v>
      </c>
      <c r="J2" s="2" t="s">
        <v>146</v>
      </c>
      <c r="K2" s="2" t="s">
        <v>146</v>
      </c>
      <c r="L2" s="2" t="s">
        <v>146</v>
      </c>
      <c r="M2" s="2" t="s">
        <v>146</v>
      </c>
      <c r="N2" s="2" t="s">
        <v>146</v>
      </c>
      <c r="O2" s="2" t="s">
        <v>146</v>
      </c>
      <c r="P2" s="2" t="s">
        <v>146</v>
      </c>
      <c r="Q2" s="2" t="s">
        <v>146</v>
      </c>
      <c r="R2" s="2" t="s">
        <v>146</v>
      </c>
      <c r="S2" s="2" t="s">
        <v>146</v>
      </c>
      <c r="T2" s="2" t="s">
        <v>146</v>
      </c>
      <c r="U2" s="2" t="s">
        <v>146</v>
      </c>
      <c r="V2" s="2" t="s">
        <v>146</v>
      </c>
      <c r="W2" s="2" t="s">
        <v>146</v>
      </c>
      <c r="X2" s="2" t="s">
        <v>146</v>
      </c>
      <c r="Y2" s="2" t="s">
        <v>146</v>
      </c>
      <c r="Z2" s="2" t="s">
        <v>146</v>
      </c>
      <c r="AA2" s="2" t="s">
        <v>146</v>
      </c>
      <c r="AB2" s="2" t="s">
        <v>146</v>
      </c>
      <c r="AC2" s="2" t="s">
        <v>146</v>
      </c>
      <c r="AD2" s="2" t="s">
        <v>146</v>
      </c>
      <c r="AE2" s="2" t="s">
        <v>146</v>
      </c>
      <c r="AF2" s="2" t="s">
        <v>146</v>
      </c>
      <c r="AG2" s="2" t="s">
        <v>146</v>
      </c>
      <c r="AH2" s="2" t="s">
        <v>146</v>
      </c>
      <c r="AI2" s="2" t="s">
        <v>146</v>
      </c>
      <c r="AJ2" s="2" t="s">
        <v>146</v>
      </c>
      <c r="AK2" s="2" t="s">
        <v>146</v>
      </c>
      <c r="AL2" s="2" t="s">
        <v>146</v>
      </c>
      <c r="AM2" s="2" t="s">
        <v>146</v>
      </c>
      <c r="AN2" s="2" t="s">
        <v>146</v>
      </c>
      <c r="AO2" s="2" t="s">
        <v>146</v>
      </c>
      <c r="AQ2" s="2">
        <f>SUMPRODUCT(J2:AF2)+IFERROR(AJ2/1,0)</f>
        <v>0</v>
      </c>
      <c r="AR2" s="2">
        <f>SUMPRODUCT(J2:AF2)+SUMPRODUCT(AJ2:AK2)</f>
        <v>0</v>
      </c>
      <c r="AT2" s="2">
        <f>IFERROR(D2/1,0)</f>
        <v>0</v>
      </c>
      <c r="AU2" s="2">
        <f>IFERROR(E2/1,0)</f>
        <v>0</v>
      </c>
      <c r="AV2" s="27" t="str">
        <f>IFERROR((AT2+AU2)/AR2,"")</f>
        <v/>
      </c>
      <c r="AY2" s="2">
        <f>IFERROR(AK2/1,0)</f>
        <v>0</v>
      </c>
      <c r="AZ2" s="2">
        <f>IFERROR(AL2/100,0)*$AY2</f>
        <v>0</v>
      </c>
      <c r="BA2" s="2">
        <f>IFERROR(AM2/100,0)*$AY2</f>
        <v>0</v>
      </c>
      <c r="BB2" s="2">
        <f>IFERROR(AN2/100,0)*$AY2</f>
        <v>0</v>
      </c>
      <c r="BC2" s="2">
        <f>IFERROR(AO2/100,0)*$AY2</f>
        <v>0</v>
      </c>
      <c r="BD2" s="2">
        <f>MAX(AY2-SUM(AZ2:BC2),0)</f>
        <v>0</v>
      </c>
    </row>
    <row r="3" spans="1:56" ht="15" customHeight="1" x14ac:dyDescent="0.45">
      <c r="A3" s="2" t="s">
        <v>15</v>
      </c>
      <c r="B3" s="2" t="s">
        <v>18</v>
      </c>
      <c r="C3" s="2">
        <v>2019</v>
      </c>
      <c r="D3" s="2" t="s">
        <v>146</v>
      </c>
      <c r="E3" s="2" t="s">
        <v>146</v>
      </c>
      <c r="F3" s="2" t="s">
        <v>146</v>
      </c>
      <c r="G3" s="2" t="s">
        <v>146</v>
      </c>
      <c r="H3" s="2" t="s">
        <v>146</v>
      </c>
      <c r="I3" s="2" t="s">
        <v>146</v>
      </c>
      <c r="J3" s="2" t="s">
        <v>146</v>
      </c>
      <c r="K3" s="2" t="s">
        <v>146</v>
      </c>
      <c r="L3" s="2" t="s">
        <v>146</v>
      </c>
      <c r="M3" s="2" t="s">
        <v>146</v>
      </c>
      <c r="N3" s="2" t="s">
        <v>146</v>
      </c>
      <c r="O3" s="2" t="s">
        <v>146</v>
      </c>
      <c r="P3" s="2" t="s">
        <v>146</v>
      </c>
      <c r="Q3" s="2" t="s">
        <v>146</v>
      </c>
      <c r="R3" s="2" t="s">
        <v>146</v>
      </c>
      <c r="S3" s="2" t="s">
        <v>146</v>
      </c>
      <c r="T3" s="2" t="s">
        <v>146</v>
      </c>
      <c r="U3" s="2" t="s">
        <v>146</v>
      </c>
      <c r="V3" s="2" t="s">
        <v>146</v>
      </c>
      <c r="W3" s="2" t="s">
        <v>146</v>
      </c>
      <c r="X3" s="2" t="s">
        <v>146</v>
      </c>
      <c r="Y3" s="2" t="s">
        <v>146</v>
      </c>
      <c r="Z3" s="2" t="s">
        <v>146</v>
      </c>
      <c r="AA3" s="2" t="s">
        <v>146</v>
      </c>
      <c r="AB3" s="2" t="s">
        <v>146</v>
      </c>
      <c r="AC3" s="2" t="s">
        <v>146</v>
      </c>
      <c r="AD3" s="2" t="s">
        <v>146</v>
      </c>
      <c r="AE3" s="2" t="s">
        <v>146</v>
      </c>
      <c r="AF3" s="2" t="s">
        <v>146</v>
      </c>
      <c r="AG3" s="2" t="s">
        <v>146</v>
      </c>
      <c r="AH3" s="2" t="s">
        <v>146</v>
      </c>
      <c r="AI3" s="2" t="s">
        <v>146</v>
      </c>
      <c r="AJ3" s="2" t="s">
        <v>146</v>
      </c>
      <c r="AK3" s="2" t="s">
        <v>146</v>
      </c>
      <c r="AL3" s="2" t="s">
        <v>146</v>
      </c>
      <c r="AM3" s="2" t="s">
        <v>146</v>
      </c>
      <c r="AN3" s="2" t="s">
        <v>146</v>
      </c>
      <c r="AO3" s="2" t="s">
        <v>146</v>
      </c>
      <c r="AQ3" s="2">
        <f t="shared" ref="AQ3:AQ66" si="0">SUMPRODUCT(J3:AF3)+IFERROR(AJ3/1,0)</f>
        <v>0</v>
      </c>
      <c r="AR3" s="2">
        <f t="shared" ref="AR3:AR66" si="1">SUMPRODUCT(J3:AF3)+SUMPRODUCT(AJ3:AK3)</f>
        <v>0</v>
      </c>
      <c r="AT3" s="2">
        <f t="shared" ref="AT3:AT66" si="2">IFERROR(D3/1,0)</f>
        <v>0</v>
      </c>
      <c r="AU3" s="2">
        <f t="shared" ref="AU3:AU66" si="3">IFERROR(E3/1,0)</f>
        <v>0</v>
      </c>
      <c r="AV3" s="27" t="str">
        <f t="shared" ref="AV3:AV66" si="4">IFERROR((AT3+AU3)/AR3,"")</f>
        <v/>
      </c>
      <c r="AY3" s="2">
        <f t="shared" ref="AY3:AY66" si="5">IFERROR(AK3/1,0)</f>
        <v>0</v>
      </c>
      <c r="AZ3" s="2">
        <f t="shared" ref="AZ3:AZ66" si="6">IFERROR(AL3/100,0)*$AY3</f>
        <v>0</v>
      </c>
      <c r="BA3" s="2">
        <f t="shared" ref="BA3:BA66" si="7">IFERROR(AM3/100,0)*$AY3</f>
        <v>0</v>
      </c>
      <c r="BB3" s="2">
        <f t="shared" ref="BB3:BB66" si="8">IFERROR(AN3/100,0)*$AY3</f>
        <v>0</v>
      </c>
      <c r="BC3" s="2">
        <f t="shared" ref="BC3:BC66" si="9">IFERROR(AO3/100,0)*$AY3</f>
        <v>0</v>
      </c>
      <c r="BD3" s="2">
        <f t="shared" ref="BD3:BD66" si="10">MAX(AY3-SUM(AZ3:BC3),0)</f>
        <v>0</v>
      </c>
    </row>
    <row r="4" spans="1:56" ht="15" customHeight="1" x14ac:dyDescent="0.45">
      <c r="A4" s="2" t="s">
        <v>15</v>
      </c>
      <c r="B4" s="2" t="s">
        <v>20</v>
      </c>
      <c r="C4" s="2">
        <v>2019</v>
      </c>
      <c r="D4" s="2" t="s">
        <v>146</v>
      </c>
      <c r="E4" s="2" t="s">
        <v>146</v>
      </c>
      <c r="F4" s="2" t="s">
        <v>146</v>
      </c>
      <c r="G4" s="2" t="s">
        <v>146</v>
      </c>
      <c r="H4" s="2" t="s">
        <v>146</v>
      </c>
      <c r="I4" s="2" t="s">
        <v>146</v>
      </c>
      <c r="J4" s="2" t="s">
        <v>146</v>
      </c>
      <c r="K4" s="2" t="s">
        <v>146</v>
      </c>
      <c r="L4" s="2" t="s">
        <v>146</v>
      </c>
      <c r="M4" s="2" t="s">
        <v>146</v>
      </c>
      <c r="N4" s="2" t="s">
        <v>146</v>
      </c>
      <c r="O4" s="2" t="s">
        <v>146</v>
      </c>
      <c r="P4" s="2" t="s">
        <v>146</v>
      </c>
      <c r="Q4" s="2" t="s">
        <v>146</v>
      </c>
      <c r="R4" s="2" t="s">
        <v>146</v>
      </c>
      <c r="S4" s="2" t="s">
        <v>146</v>
      </c>
      <c r="T4" s="2" t="s">
        <v>146</v>
      </c>
      <c r="U4" s="2" t="s">
        <v>146</v>
      </c>
      <c r="V4" s="2" t="s">
        <v>146</v>
      </c>
      <c r="W4" s="2" t="s">
        <v>146</v>
      </c>
      <c r="X4" s="2" t="s">
        <v>146</v>
      </c>
      <c r="Y4" s="2" t="s">
        <v>146</v>
      </c>
      <c r="Z4" s="2" t="s">
        <v>146</v>
      </c>
      <c r="AA4" s="2" t="s">
        <v>146</v>
      </c>
      <c r="AB4" s="2" t="s">
        <v>146</v>
      </c>
      <c r="AC4" s="2" t="s">
        <v>146</v>
      </c>
      <c r="AD4" s="2" t="s">
        <v>146</v>
      </c>
      <c r="AE4" s="2" t="s">
        <v>146</v>
      </c>
      <c r="AF4" s="2" t="s">
        <v>146</v>
      </c>
      <c r="AG4" s="2" t="s">
        <v>146</v>
      </c>
      <c r="AH4" s="2" t="s">
        <v>146</v>
      </c>
      <c r="AI4" s="2" t="s">
        <v>146</v>
      </c>
      <c r="AJ4" s="2" t="s">
        <v>146</v>
      </c>
      <c r="AK4" s="2" t="s">
        <v>146</v>
      </c>
      <c r="AL4" s="2" t="s">
        <v>146</v>
      </c>
      <c r="AM4" s="2" t="s">
        <v>146</v>
      </c>
      <c r="AN4" s="2" t="s">
        <v>146</v>
      </c>
      <c r="AO4" s="2" t="s">
        <v>146</v>
      </c>
      <c r="AQ4" s="2">
        <f t="shared" si="0"/>
        <v>0</v>
      </c>
      <c r="AR4" s="2">
        <f t="shared" si="1"/>
        <v>0</v>
      </c>
      <c r="AT4" s="2">
        <f t="shared" si="2"/>
        <v>0</v>
      </c>
      <c r="AU4" s="2">
        <f t="shared" si="3"/>
        <v>0</v>
      </c>
      <c r="AV4" s="27" t="str">
        <f t="shared" si="4"/>
        <v/>
      </c>
      <c r="AY4" s="2">
        <f t="shared" si="5"/>
        <v>0</v>
      </c>
      <c r="AZ4" s="2">
        <f t="shared" si="6"/>
        <v>0</v>
      </c>
      <c r="BA4" s="2">
        <f t="shared" si="7"/>
        <v>0</v>
      </c>
      <c r="BB4" s="2">
        <f t="shared" si="8"/>
        <v>0</v>
      </c>
      <c r="BC4" s="2">
        <f t="shared" si="9"/>
        <v>0</v>
      </c>
      <c r="BD4" s="2">
        <f t="shared" si="10"/>
        <v>0</v>
      </c>
    </row>
    <row r="5" spans="1:56" ht="15" customHeight="1" x14ac:dyDescent="0.45">
      <c r="A5" s="2" t="s">
        <v>15</v>
      </c>
      <c r="B5" s="2" t="s">
        <v>22</v>
      </c>
      <c r="C5" s="2">
        <v>2019</v>
      </c>
      <c r="D5" s="2" t="s">
        <v>146</v>
      </c>
      <c r="E5" s="2" t="s">
        <v>146</v>
      </c>
      <c r="F5" s="2" t="s">
        <v>146</v>
      </c>
      <c r="G5" s="2" t="s">
        <v>146</v>
      </c>
      <c r="H5" s="2" t="s">
        <v>146</v>
      </c>
      <c r="I5" s="2" t="s">
        <v>146</v>
      </c>
      <c r="J5" s="2" t="s">
        <v>146</v>
      </c>
      <c r="K5" s="2" t="s">
        <v>146</v>
      </c>
      <c r="L5" s="2" t="s">
        <v>146</v>
      </c>
      <c r="M5" s="2" t="s">
        <v>146</v>
      </c>
      <c r="N5" s="2" t="s">
        <v>146</v>
      </c>
      <c r="O5" s="2" t="s">
        <v>146</v>
      </c>
      <c r="P5" s="2" t="s">
        <v>146</v>
      </c>
      <c r="Q5" s="2" t="s">
        <v>146</v>
      </c>
      <c r="R5" s="2" t="s">
        <v>146</v>
      </c>
      <c r="S5" s="2" t="s">
        <v>146</v>
      </c>
      <c r="T5" s="2" t="s">
        <v>146</v>
      </c>
      <c r="U5" s="2" t="s">
        <v>146</v>
      </c>
      <c r="V5" s="2" t="s">
        <v>146</v>
      </c>
      <c r="W5" s="2" t="s">
        <v>146</v>
      </c>
      <c r="X5" s="2" t="s">
        <v>146</v>
      </c>
      <c r="Y5" s="2" t="s">
        <v>146</v>
      </c>
      <c r="Z5" s="2" t="s">
        <v>146</v>
      </c>
      <c r="AA5" s="2" t="s">
        <v>146</v>
      </c>
      <c r="AB5" s="2" t="s">
        <v>146</v>
      </c>
      <c r="AC5" s="2" t="s">
        <v>146</v>
      </c>
      <c r="AD5" s="2" t="s">
        <v>146</v>
      </c>
      <c r="AE5" s="2" t="s">
        <v>146</v>
      </c>
      <c r="AF5" s="2" t="s">
        <v>146</v>
      </c>
      <c r="AG5" s="2" t="s">
        <v>146</v>
      </c>
      <c r="AH5" s="2" t="s">
        <v>146</v>
      </c>
      <c r="AI5" s="2" t="s">
        <v>146</v>
      </c>
      <c r="AJ5" s="2" t="s">
        <v>146</v>
      </c>
      <c r="AK5" s="2" t="s">
        <v>146</v>
      </c>
      <c r="AL5" s="2" t="s">
        <v>146</v>
      </c>
      <c r="AM5" s="2" t="s">
        <v>146</v>
      </c>
      <c r="AN5" s="2" t="s">
        <v>146</v>
      </c>
      <c r="AO5" s="2" t="s">
        <v>146</v>
      </c>
      <c r="AQ5" s="2">
        <f t="shared" si="0"/>
        <v>0</v>
      </c>
      <c r="AR5" s="2">
        <f t="shared" si="1"/>
        <v>0</v>
      </c>
      <c r="AT5" s="2">
        <f t="shared" si="2"/>
        <v>0</v>
      </c>
      <c r="AU5" s="2">
        <f t="shared" si="3"/>
        <v>0</v>
      </c>
      <c r="AV5" s="27" t="str">
        <f t="shared" si="4"/>
        <v/>
      </c>
      <c r="AY5" s="2">
        <f t="shared" si="5"/>
        <v>0</v>
      </c>
      <c r="AZ5" s="2">
        <f t="shared" si="6"/>
        <v>0</v>
      </c>
      <c r="BA5" s="2">
        <f t="shared" si="7"/>
        <v>0</v>
      </c>
      <c r="BB5" s="2">
        <f t="shared" si="8"/>
        <v>0</v>
      </c>
      <c r="BC5" s="2">
        <f t="shared" si="9"/>
        <v>0</v>
      </c>
      <c r="BD5" s="2">
        <f t="shared" si="10"/>
        <v>0</v>
      </c>
    </row>
    <row r="6" spans="1:56" ht="15" customHeight="1" x14ac:dyDescent="0.45">
      <c r="A6" s="2" t="s">
        <v>15</v>
      </c>
      <c r="B6" s="2" t="s">
        <v>24</v>
      </c>
      <c r="C6" s="2">
        <v>2019</v>
      </c>
      <c r="D6" s="2" t="s">
        <v>146</v>
      </c>
      <c r="E6" s="2" t="s">
        <v>146</v>
      </c>
      <c r="F6" s="2" t="s">
        <v>146</v>
      </c>
      <c r="G6" s="2" t="s">
        <v>146</v>
      </c>
      <c r="H6" s="2" t="s">
        <v>146</v>
      </c>
      <c r="I6" s="2" t="s">
        <v>146</v>
      </c>
      <c r="J6" s="2" t="s">
        <v>146</v>
      </c>
      <c r="K6" s="2" t="s">
        <v>146</v>
      </c>
      <c r="L6" s="2" t="s">
        <v>146</v>
      </c>
      <c r="M6" s="2" t="s">
        <v>146</v>
      </c>
      <c r="N6" s="2" t="s">
        <v>146</v>
      </c>
      <c r="O6" s="2" t="s">
        <v>146</v>
      </c>
      <c r="P6" s="2" t="s">
        <v>146</v>
      </c>
      <c r="Q6" s="2" t="s">
        <v>146</v>
      </c>
      <c r="R6" s="2" t="s">
        <v>146</v>
      </c>
      <c r="S6" s="2" t="s">
        <v>146</v>
      </c>
      <c r="T6" s="2" t="s">
        <v>146</v>
      </c>
      <c r="U6" s="2" t="s">
        <v>146</v>
      </c>
      <c r="V6" s="2" t="s">
        <v>146</v>
      </c>
      <c r="W6" s="2" t="s">
        <v>146</v>
      </c>
      <c r="X6" s="2" t="s">
        <v>146</v>
      </c>
      <c r="Y6" s="2" t="s">
        <v>146</v>
      </c>
      <c r="Z6" s="2" t="s">
        <v>146</v>
      </c>
      <c r="AA6" s="2" t="s">
        <v>146</v>
      </c>
      <c r="AB6" s="2" t="s">
        <v>146</v>
      </c>
      <c r="AC6" s="2" t="s">
        <v>146</v>
      </c>
      <c r="AD6" s="2" t="s">
        <v>146</v>
      </c>
      <c r="AE6" s="2" t="s">
        <v>146</v>
      </c>
      <c r="AF6" s="2" t="s">
        <v>146</v>
      </c>
      <c r="AG6" s="2" t="s">
        <v>146</v>
      </c>
      <c r="AH6" s="2" t="s">
        <v>146</v>
      </c>
      <c r="AI6" s="2" t="s">
        <v>146</v>
      </c>
      <c r="AJ6" s="2" t="s">
        <v>146</v>
      </c>
      <c r="AK6" s="2" t="s">
        <v>146</v>
      </c>
      <c r="AL6" s="2" t="s">
        <v>146</v>
      </c>
      <c r="AM6" s="2" t="s">
        <v>146</v>
      </c>
      <c r="AN6" s="2" t="s">
        <v>146</v>
      </c>
      <c r="AO6" s="2" t="s">
        <v>146</v>
      </c>
      <c r="AQ6" s="2">
        <f t="shared" si="0"/>
        <v>0</v>
      </c>
      <c r="AR6" s="2">
        <f t="shared" si="1"/>
        <v>0</v>
      </c>
      <c r="AT6" s="2">
        <f t="shared" si="2"/>
        <v>0</v>
      </c>
      <c r="AU6" s="2">
        <f t="shared" si="3"/>
        <v>0</v>
      </c>
      <c r="AV6" s="27" t="str">
        <f t="shared" si="4"/>
        <v/>
      </c>
      <c r="AY6" s="2">
        <f t="shared" si="5"/>
        <v>0</v>
      </c>
      <c r="AZ6" s="2">
        <f t="shared" si="6"/>
        <v>0</v>
      </c>
      <c r="BA6" s="2">
        <f t="shared" si="7"/>
        <v>0</v>
      </c>
      <c r="BB6" s="2">
        <f t="shared" si="8"/>
        <v>0</v>
      </c>
      <c r="BC6" s="2">
        <f t="shared" si="9"/>
        <v>0</v>
      </c>
      <c r="BD6" s="2">
        <f t="shared" si="10"/>
        <v>0</v>
      </c>
    </row>
    <row r="7" spans="1:56" ht="15" customHeight="1" x14ac:dyDescent="0.45">
      <c r="A7" s="2" t="s">
        <v>15</v>
      </c>
      <c r="B7" s="2" t="s">
        <v>26</v>
      </c>
      <c r="C7" s="2">
        <v>2019</v>
      </c>
      <c r="D7" s="2" t="s">
        <v>146</v>
      </c>
      <c r="E7" s="2" t="s">
        <v>146</v>
      </c>
      <c r="F7" s="2" t="s">
        <v>146</v>
      </c>
      <c r="G7" s="2" t="s">
        <v>146</v>
      </c>
      <c r="H7" s="2" t="s">
        <v>146</v>
      </c>
      <c r="I7" s="2" t="s">
        <v>146</v>
      </c>
      <c r="J7" s="2" t="s">
        <v>146</v>
      </c>
      <c r="K7" s="2" t="s">
        <v>146</v>
      </c>
      <c r="L7" s="2" t="s">
        <v>146</v>
      </c>
      <c r="M7" s="2" t="s">
        <v>146</v>
      </c>
      <c r="N7" s="2" t="s">
        <v>146</v>
      </c>
      <c r="O7" s="2" t="s">
        <v>146</v>
      </c>
      <c r="P7" s="2" t="s">
        <v>146</v>
      </c>
      <c r="Q7" s="2" t="s">
        <v>146</v>
      </c>
      <c r="R7" s="2" t="s">
        <v>146</v>
      </c>
      <c r="S7" s="2" t="s">
        <v>146</v>
      </c>
      <c r="T7" s="2" t="s">
        <v>146</v>
      </c>
      <c r="U7" s="2" t="s">
        <v>146</v>
      </c>
      <c r="V7" s="2" t="s">
        <v>146</v>
      </c>
      <c r="W7" s="2" t="s">
        <v>146</v>
      </c>
      <c r="X7" s="2" t="s">
        <v>146</v>
      </c>
      <c r="Y7" s="2" t="s">
        <v>146</v>
      </c>
      <c r="Z7" s="2" t="s">
        <v>146</v>
      </c>
      <c r="AA7" s="2" t="s">
        <v>146</v>
      </c>
      <c r="AB7" s="2" t="s">
        <v>146</v>
      </c>
      <c r="AC7" s="2" t="s">
        <v>146</v>
      </c>
      <c r="AD7" s="2" t="s">
        <v>146</v>
      </c>
      <c r="AE7" s="2" t="s">
        <v>146</v>
      </c>
      <c r="AF7" s="2" t="s">
        <v>146</v>
      </c>
      <c r="AG7" s="2" t="s">
        <v>146</v>
      </c>
      <c r="AH7" s="2" t="s">
        <v>146</v>
      </c>
      <c r="AI7" s="2" t="s">
        <v>146</v>
      </c>
      <c r="AJ7" s="2" t="s">
        <v>146</v>
      </c>
      <c r="AK7" s="2" t="s">
        <v>146</v>
      </c>
      <c r="AL7" s="2" t="s">
        <v>146</v>
      </c>
      <c r="AM7" s="2" t="s">
        <v>146</v>
      </c>
      <c r="AN7" s="2" t="s">
        <v>146</v>
      </c>
      <c r="AO7" s="2" t="s">
        <v>146</v>
      </c>
      <c r="AQ7" s="2">
        <f t="shared" si="0"/>
        <v>0</v>
      </c>
      <c r="AR7" s="2">
        <f t="shared" si="1"/>
        <v>0</v>
      </c>
      <c r="AT7" s="2">
        <f t="shared" si="2"/>
        <v>0</v>
      </c>
      <c r="AU7" s="2">
        <f t="shared" si="3"/>
        <v>0</v>
      </c>
      <c r="AV7" s="27" t="str">
        <f t="shared" si="4"/>
        <v/>
      </c>
      <c r="AY7" s="2">
        <f t="shared" si="5"/>
        <v>0</v>
      </c>
      <c r="AZ7" s="2">
        <f t="shared" si="6"/>
        <v>0</v>
      </c>
      <c r="BA7" s="2">
        <f t="shared" si="7"/>
        <v>0</v>
      </c>
      <c r="BB7" s="2">
        <f t="shared" si="8"/>
        <v>0</v>
      </c>
      <c r="BC7" s="2">
        <f t="shared" si="9"/>
        <v>0</v>
      </c>
      <c r="BD7" s="2">
        <f t="shared" si="10"/>
        <v>0</v>
      </c>
    </row>
    <row r="8" spans="1:56" ht="15" customHeight="1" x14ac:dyDescent="0.45">
      <c r="A8" s="2" t="s">
        <v>15</v>
      </c>
      <c r="B8" s="2" t="s">
        <v>28</v>
      </c>
      <c r="C8" s="2">
        <v>2019</v>
      </c>
      <c r="D8" s="2" t="s">
        <v>146</v>
      </c>
      <c r="E8" s="2" t="s">
        <v>146</v>
      </c>
      <c r="F8" s="2" t="s">
        <v>146</v>
      </c>
      <c r="G8" s="2" t="s">
        <v>146</v>
      </c>
      <c r="H8" s="2" t="s">
        <v>146</v>
      </c>
      <c r="I8" s="2" t="s">
        <v>146</v>
      </c>
      <c r="J8" s="2" t="s">
        <v>146</v>
      </c>
      <c r="K8" s="2" t="s">
        <v>146</v>
      </c>
      <c r="L8" s="2" t="s">
        <v>146</v>
      </c>
      <c r="M8" s="2" t="s">
        <v>146</v>
      </c>
      <c r="N8" s="2" t="s">
        <v>146</v>
      </c>
      <c r="O8" s="2" t="s">
        <v>146</v>
      </c>
      <c r="P8" s="2" t="s">
        <v>146</v>
      </c>
      <c r="Q8" s="2" t="s">
        <v>146</v>
      </c>
      <c r="R8" s="2" t="s">
        <v>146</v>
      </c>
      <c r="S8" s="2" t="s">
        <v>146</v>
      </c>
      <c r="T8" s="2" t="s">
        <v>146</v>
      </c>
      <c r="U8" s="2" t="s">
        <v>146</v>
      </c>
      <c r="V8" s="2" t="s">
        <v>146</v>
      </c>
      <c r="W8" s="2" t="s">
        <v>146</v>
      </c>
      <c r="X8" s="2" t="s">
        <v>146</v>
      </c>
      <c r="Y8" s="2" t="s">
        <v>146</v>
      </c>
      <c r="Z8" s="2" t="s">
        <v>146</v>
      </c>
      <c r="AA8" s="2" t="s">
        <v>146</v>
      </c>
      <c r="AB8" s="2" t="s">
        <v>146</v>
      </c>
      <c r="AC8" s="2" t="s">
        <v>146</v>
      </c>
      <c r="AD8" s="2" t="s">
        <v>146</v>
      </c>
      <c r="AE8" s="2" t="s">
        <v>146</v>
      </c>
      <c r="AF8" s="2" t="s">
        <v>146</v>
      </c>
      <c r="AG8" s="2" t="s">
        <v>146</v>
      </c>
      <c r="AH8" s="2" t="s">
        <v>146</v>
      </c>
      <c r="AI8" s="2" t="s">
        <v>146</v>
      </c>
      <c r="AJ8" s="2" t="s">
        <v>146</v>
      </c>
      <c r="AK8" s="2" t="s">
        <v>146</v>
      </c>
      <c r="AL8" s="2" t="s">
        <v>146</v>
      </c>
      <c r="AM8" s="2" t="s">
        <v>146</v>
      </c>
      <c r="AN8" s="2" t="s">
        <v>146</v>
      </c>
      <c r="AO8" s="2" t="s">
        <v>146</v>
      </c>
      <c r="AQ8" s="2">
        <f t="shared" si="0"/>
        <v>0</v>
      </c>
      <c r="AR8" s="2">
        <f t="shared" si="1"/>
        <v>0</v>
      </c>
      <c r="AT8" s="2">
        <f t="shared" si="2"/>
        <v>0</v>
      </c>
      <c r="AU8" s="2">
        <f t="shared" si="3"/>
        <v>0</v>
      </c>
      <c r="AV8" s="27" t="str">
        <f t="shared" si="4"/>
        <v/>
      </c>
      <c r="AY8" s="2">
        <f t="shared" si="5"/>
        <v>0</v>
      </c>
      <c r="AZ8" s="2">
        <f t="shared" si="6"/>
        <v>0</v>
      </c>
      <c r="BA8" s="2">
        <f t="shared" si="7"/>
        <v>0</v>
      </c>
      <c r="BB8" s="2">
        <f t="shared" si="8"/>
        <v>0</v>
      </c>
      <c r="BC8" s="2">
        <f t="shared" si="9"/>
        <v>0</v>
      </c>
      <c r="BD8" s="2">
        <f t="shared" si="10"/>
        <v>0</v>
      </c>
    </row>
    <row r="9" spans="1:56" ht="15" customHeight="1" x14ac:dyDescent="0.45">
      <c r="A9" s="2" t="s">
        <v>15</v>
      </c>
      <c r="B9" s="2" t="s">
        <v>30</v>
      </c>
      <c r="C9" s="2">
        <v>2019</v>
      </c>
      <c r="D9" s="2" t="s">
        <v>146</v>
      </c>
      <c r="E9" s="2" t="s">
        <v>146</v>
      </c>
      <c r="F9" s="2" t="s">
        <v>146</v>
      </c>
      <c r="G9" s="2" t="s">
        <v>146</v>
      </c>
      <c r="H9" s="2" t="s">
        <v>146</v>
      </c>
      <c r="I9" s="2" t="s">
        <v>146</v>
      </c>
      <c r="J9" s="2" t="s">
        <v>146</v>
      </c>
      <c r="K9" s="2" t="s">
        <v>146</v>
      </c>
      <c r="L9" s="2" t="s">
        <v>146</v>
      </c>
      <c r="M9" s="2" t="s">
        <v>146</v>
      </c>
      <c r="N9" s="2" t="s">
        <v>146</v>
      </c>
      <c r="O9" s="2" t="s">
        <v>146</v>
      </c>
      <c r="P9" s="2" t="s">
        <v>146</v>
      </c>
      <c r="Q9" s="2" t="s">
        <v>146</v>
      </c>
      <c r="R9" s="2" t="s">
        <v>146</v>
      </c>
      <c r="S9" s="2" t="s">
        <v>146</v>
      </c>
      <c r="T9" s="2" t="s">
        <v>146</v>
      </c>
      <c r="U9" s="2" t="s">
        <v>146</v>
      </c>
      <c r="V9" s="2" t="s">
        <v>146</v>
      </c>
      <c r="W9" s="2" t="s">
        <v>146</v>
      </c>
      <c r="X9" s="2" t="s">
        <v>146</v>
      </c>
      <c r="Y9" s="2" t="s">
        <v>146</v>
      </c>
      <c r="Z9" s="2" t="s">
        <v>146</v>
      </c>
      <c r="AA9" s="2" t="s">
        <v>146</v>
      </c>
      <c r="AB9" s="2" t="s">
        <v>146</v>
      </c>
      <c r="AC9" s="2" t="s">
        <v>146</v>
      </c>
      <c r="AD9" s="2" t="s">
        <v>146</v>
      </c>
      <c r="AE9" s="2" t="s">
        <v>146</v>
      </c>
      <c r="AF9" s="2" t="s">
        <v>146</v>
      </c>
      <c r="AG9" s="2" t="s">
        <v>146</v>
      </c>
      <c r="AH9" s="2" t="s">
        <v>146</v>
      </c>
      <c r="AI9" s="2" t="s">
        <v>146</v>
      </c>
      <c r="AJ9" s="2" t="s">
        <v>146</v>
      </c>
      <c r="AK9" s="2" t="s">
        <v>146</v>
      </c>
      <c r="AL9" s="2" t="s">
        <v>146</v>
      </c>
      <c r="AM9" s="2" t="s">
        <v>146</v>
      </c>
      <c r="AN9" s="2" t="s">
        <v>146</v>
      </c>
      <c r="AO9" s="2" t="s">
        <v>146</v>
      </c>
      <c r="AQ9" s="2">
        <f t="shared" si="0"/>
        <v>0</v>
      </c>
      <c r="AR9" s="2">
        <f t="shared" si="1"/>
        <v>0</v>
      </c>
      <c r="AT9" s="2">
        <f t="shared" si="2"/>
        <v>0</v>
      </c>
      <c r="AU9" s="2">
        <f t="shared" si="3"/>
        <v>0</v>
      </c>
      <c r="AV9" s="27" t="str">
        <f t="shared" si="4"/>
        <v/>
      </c>
      <c r="AY9" s="2">
        <f t="shared" si="5"/>
        <v>0</v>
      </c>
      <c r="AZ9" s="2">
        <f t="shared" si="6"/>
        <v>0</v>
      </c>
      <c r="BA9" s="2">
        <f t="shared" si="7"/>
        <v>0</v>
      </c>
      <c r="BB9" s="2">
        <f t="shared" si="8"/>
        <v>0</v>
      </c>
      <c r="BC9" s="2">
        <f t="shared" si="9"/>
        <v>0</v>
      </c>
      <c r="BD9" s="2">
        <f t="shared" si="10"/>
        <v>0</v>
      </c>
    </row>
    <row r="10" spans="1:56" ht="15" customHeight="1" x14ac:dyDescent="0.45">
      <c r="A10" s="2" t="s">
        <v>15</v>
      </c>
      <c r="B10" s="2" t="s">
        <v>32</v>
      </c>
      <c r="C10" s="2">
        <v>2019</v>
      </c>
      <c r="D10" s="2" t="s">
        <v>146</v>
      </c>
      <c r="E10" s="2" t="s">
        <v>146</v>
      </c>
      <c r="F10" s="2" t="s">
        <v>146</v>
      </c>
      <c r="G10" s="2" t="s">
        <v>146</v>
      </c>
      <c r="H10" s="2" t="s">
        <v>146</v>
      </c>
      <c r="I10" s="2" t="s">
        <v>146</v>
      </c>
      <c r="J10" s="2" t="s">
        <v>146</v>
      </c>
      <c r="K10" s="2" t="s">
        <v>146</v>
      </c>
      <c r="L10" s="2" t="s">
        <v>146</v>
      </c>
      <c r="M10" s="2" t="s">
        <v>146</v>
      </c>
      <c r="N10" s="2" t="s">
        <v>146</v>
      </c>
      <c r="O10" s="2" t="s">
        <v>146</v>
      </c>
      <c r="P10" s="2" t="s">
        <v>146</v>
      </c>
      <c r="Q10" s="2" t="s">
        <v>146</v>
      </c>
      <c r="R10" s="2" t="s">
        <v>146</v>
      </c>
      <c r="S10" s="2" t="s">
        <v>146</v>
      </c>
      <c r="T10" s="2" t="s">
        <v>146</v>
      </c>
      <c r="U10" s="2" t="s">
        <v>146</v>
      </c>
      <c r="V10" s="2" t="s">
        <v>146</v>
      </c>
      <c r="W10" s="2" t="s">
        <v>146</v>
      </c>
      <c r="X10" s="2" t="s">
        <v>146</v>
      </c>
      <c r="Y10" s="2" t="s">
        <v>146</v>
      </c>
      <c r="Z10" s="2" t="s">
        <v>146</v>
      </c>
      <c r="AA10" s="2" t="s">
        <v>146</v>
      </c>
      <c r="AB10" s="2" t="s">
        <v>146</v>
      </c>
      <c r="AC10" s="2" t="s">
        <v>146</v>
      </c>
      <c r="AD10" s="2" t="s">
        <v>146</v>
      </c>
      <c r="AE10" s="2" t="s">
        <v>146</v>
      </c>
      <c r="AF10" s="2" t="s">
        <v>146</v>
      </c>
      <c r="AG10" s="2" t="s">
        <v>146</v>
      </c>
      <c r="AH10" s="2" t="s">
        <v>146</v>
      </c>
      <c r="AI10" s="2" t="s">
        <v>146</v>
      </c>
      <c r="AJ10" s="2" t="s">
        <v>146</v>
      </c>
      <c r="AK10" s="2" t="s">
        <v>146</v>
      </c>
      <c r="AL10" s="2" t="s">
        <v>146</v>
      </c>
      <c r="AM10" s="2" t="s">
        <v>146</v>
      </c>
      <c r="AN10" s="2" t="s">
        <v>146</v>
      </c>
      <c r="AO10" s="2" t="s">
        <v>146</v>
      </c>
      <c r="AQ10" s="2">
        <f t="shared" si="0"/>
        <v>0</v>
      </c>
      <c r="AR10" s="2">
        <f t="shared" si="1"/>
        <v>0</v>
      </c>
      <c r="AT10" s="2">
        <f t="shared" si="2"/>
        <v>0</v>
      </c>
      <c r="AU10" s="2">
        <f t="shared" si="3"/>
        <v>0</v>
      </c>
      <c r="AV10" s="27" t="str">
        <f t="shared" si="4"/>
        <v/>
      </c>
      <c r="AY10" s="2">
        <f t="shared" si="5"/>
        <v>0</v>
      </c>
      <c r="AZ10" s="2">
        <f t="shared" si="6"/>
        <v>0</v>
      </c>
      <c r="BA10" s="2">
        <f t="shared" si="7"/>
        <v>0</v>
      </c>
      <c r="BB10" s="2">
        <f t="shared" si="8"/>
        <v>0</v>
      </c>
      <c r="BC10" s="2">
        <f t="shared" si="9"/>
        <v>0</v>
      </c>
      <c r="BD10" s="2">
        <f t="shared" si="10"/>
        <v>0</v>
      </c>
    </row>
    <row r="11" spans="1:56" ht="15" customHeight="1" x14ac:dyDescent="0.45">
      <c r="A11" s="2" t="s">
        <v>672</v>
      </c>
      <c r="B11" s="2" t="s">
        <v>681</v>
      </c>
      <c r="C11" s="2">
        <v>2019</v>
      </c>
      <c r="D11" s="2" t="s">
        <v>146</v>
      </c>
      <c r="E11" s="2" t="s">
        <v>146</v>
      </c>
      <c r="F11" s="2" t="s">
        <v>146</v>
      </c>
      <c r="G11" s="2" t="s">
        <v>146</v>
      </c>
      <c r="H11" s="2" t="s">
        <v>146</v>
      </c>
      <c r="I11" s="2" t="s">
        <v>146</v>
      </c>
      <c r="J11" s="2" t="s">
        <v>146</v>
      </c>
      <c r="K11" s="2" t="s">
        <v>146</v>
      </c>
      <c r="L11" s="2" t="s">
        <v>146</v>
      </c>
      <c r="M11" s="2" t="s">
        <v>146</v>
      </c>
      <c r="N11" s="2" t="s">
        <v>146</v>
      </c>
      <c r="O11" s="2" t="s">
        <v>146</v>
      </c>
      <c r="P11" s="2" t="s">
        <v>146</v>
      </c>
      <c r="Q11" s="2" t="s">
        <v>146</v>
      </c>
      <c r="R11" s="2" t="s">
        <v>146</v>
      </c>
      <c r="S11" s="2" t="s">
        <v>146</v>
      </c>
      <c r="T11" s="2" t="s">
        <v>146</v>
      </c>
      <c r="U11" s="2" t="s">
        <v>146</v>
      </c>
      <c r="V11" s="2" t="s">
        <v>146</v>
      </c>
      <c r="W11" s="2" t="s">
        <v>146</v>
      </c>
      <c r="X11" s="2" t="s">
        <v>146</v>
      </c>
      <c r="Y11" s="2" t="s">
        <v>146</v>
      </c>
      <c r="Z11" s="2" t="s">
        <v>146</v>
      </c>
      <c r="AA11" s="2" t="s">
        <v>146</v>
      </c>
      <c r="AB11" s="2" t="s">
        <v>146</v>
      </c>
      <c r="AC11" s="2" t="s">
        <v>146</v>
      </c>
      <c r="AD11" s="2" t="s">
        <v>146</v>
      </c>
      <c r="AE11" s="2" t="s">
        <v>146</v>
      </c>
      <c r="AF11" s="2" t="s">
        <v>146</v>
      </c>
      <c r="AG11" s="2" t="s">
        <v>146</v>
      </c>
      <c r="AH11" s="2" t="s">
        <v>146</v>
      </c>
      <c r="AI11" s="2" t="s">
        <v>146</v>
      </c>
      <c r="AJ11" s="2" t="s">
        <v>146</v>
      </c>
      <c r="AK11" s="2" t="s">
        <v>146</v>
      </c>
      <c r="AL11" s="2" t="s">
        <v>146</v>
      </c>
      <c r="AM11" s="2" t="s">
        <v>146</v>
      </c>
      <c r="AN11" s="2" t="s">
        <v>146</v>
      </c>
      <c r="AO11" s="2" t="s">
        <v>146</v>
      </c>
      <c r="AQ11" s="2">
        <f t="shared" si="0"/>
        <v>0</v>
      </c>
      <c r="AR11" s="2">
        <f t="shared" si="1"/>
        <v>0</v>
      </c>
      <c r="AT11" s="2">
        <f t="shared" si="2"/>
        <v>0</v>
      </c>
      <c r="AU11" s="2">
        <f t="shared" si="3"/>
        <v>0</v>
      </c>
      <c r="AV11" s="27" t="str">
        <f t="shared" si="4"/>
        <v/>
      </c>
      <c r="AY11" s="2">
        <f t="shared" si="5"/>
        <v>0</v>
      </c>
      <c r="AZ11" s="2">
        <f t="shared" si="6"/>
        <v>0</v>
      </c>
      <c r="BA11" s="2">
        <f t="shared" si="7"/>
        <v>0</v>
      </c>
      <c r="BB11" s="2">
        <f t="shared" si="8"/>
        <v>0</v>
      </c>
      <c r="BC11" s="2">
        <f t="shared" si="9"/>
        <v>0</v>
      </c>
      <c r="BD11" s="2">
        <f t="shared" si="10"/>
        <v>0</v>
      </c>
    </row>
    <row r="12" spans="1:56" ht="15" customHeight="1" x14ac:dyDescent="0.45">
      <c r="A12" s="2" t="s">
        <v>672</v>
      </c>
      <c r="B12" s="2" t="s">
        <v>680</v>
      </c>
      <c r="C12" s="2">
        <v>2019</v>
      </c>
      <c r="D12" s="2" t="s">
        <v>146</v>
      </c>
      <c r="E12" s="2" t="s">
        <v>146</v>
      </c>
      <c r="F12" s="2" t="s">
        <v>146</v>
      </c>
      <c r="G12" s="2" t="s">
        <v>146</v>
      </c>
      <c r="H12" s="2" t="s">
        <v>146</v>
      </c>
      <c r="I12" s="2" t="s">
        <v>146</v>
      </c>
      <c r="J12" s="2" t="s">
        <v>146</v>
      </c>
      <c r="K12" s="2" t="s">
        <v>146</v>
      </c>
      <c r="L12" s="2" t="s">
        <v>146</v>
      </c>
      <c r="M12" s="2" t="s">
        <v>146</v>
      </c>
      <c r="N12" s="2" t="s">
        <v>146</v>
      </c>
      <c r="O12" s="2" t="s">
        <v>146</v>
      </c>
      <c r="P12" s="2" t="s">
        <v>146</v>
      </c>
      <c r="Q12" s="2" t="s">
        <v>146</v>
      </c>
      <c r="R12" s="2" t="s">
        <v>146</v>
      </c>
      <c r="S12" s="2" t="s">
        <v>146</v>
      </c>
      <c r="T12" s="2" t="s">
        <v>146</v>
      </c>
      <c r="U12" s="2" t="s">
        <v>146</v>
      </c>
      <c r="V12" s="2" t="s">
        <v>146</v>
      </c>
      <c r="W12" s="2" t="s">
        <v>146</v>
      </c>
      <c r="X12" s="2" t="s">
        <v>146</v>
      </c>
      <c r="Y12" s="2" t="s">
        <v>146</v>
      </c>
      <c r="Z12" s="2" t="s">
        <v>146</v>
      </c>
      <c r="AA12" s="2" t="s">
        <v>146</v>
      </c>
      <c r="AB12" s="2" t="s">
        <v>146</v>
      </c>
      <c r="AC12" s="2" t="s">
        <v>146</v>
      </c>
      <c r="AD12" s="2" t="s">
        <v>146</v>
      </c>
      <c r="AE12" s="2" t="s">
        <v>146</v>
      </c>
      <c r="AF12" s="2" t="s">
        <v>146</v>
      </c>
      <c r="AG12" s="2" t="s">
        <v>146</v>
      </c>
      <c r="AH12" s="2" t="s">
        <v>146</v>
      </c>
      <c r="AI12" s="2" t="s">
        <v>146</v>
      </c>
      <c r="AJ12" s="2" t="s">
        <v>146</v>
      </c>
      <c r="AK12" s="2" t="s">
        <v>146</v>
      </c>
      <c r="AL12" s="2" t="s">
        <v>146</v>
      </c>
      <c r="AM12" s="2" t="s">
        <v>146</v>
      </c>
      <c r="AN12" s="2" t="s">
        <v>146</v>
      </c>
      <c r="AO12" s="2" t="s">
        <v>146</v>
      </c>
      <c r="AQ12" s="2">
        <f t="shared" si="0"/>
        <v>0</v>
      </c>
      <c r="AR12" s="2">
        <f t="shared" si="1"/>
        <v>0</v>
      </c>
      <c r="AT12" s="2">
        <f t="shared" si="2"/>
        <v>0</v>
      </c>
      <c r="AU12" s="2">
        <f t="shared" si="3"/>
        <v>0</v>
      </c>
      <c r="AV12" s="27" t="str">
        <f t="shared" si="4"/>
        <v/>
      </c>
      <c r="AY12" s="2">
        <f t="shared" si="5"/>
        <v>0</v>
      </c>
      <c r="AZ12" s="2">
        <f t="shared" si="6"/>
        <v>0</v>
      </c>
      <c r="BA12" s="2">
        <f t="shared" si="7"/>
        <v>0</v>
      </c>
      <c r="BB12" s="2">
        <f t="shared" si="8"/>
        <v>0</v>
      </c>
      <c r="BC12" s="2">
        <f t="shared" si="9"/>
        <v>0</v>
      </c>
      <c r="BD12" s="2">
        <f t="shared" si="10"/>
        <v>0</v>
      </c>
    </row>
    <row r="13" spans="1:56" ht="15" customHeight="1" x14ac:dyDescent="0.45">
      <c r="A13" s="2" t="s">
        <v>672</v>
      </c>
      <c r="B13" s="2" t="s">
        <v>679</v>
      </c>
      <c r="C13" s="2">
        <v>2019</v>
      </c>
      <c r="D13" s="2" t="s">
        <v>146</v>
      </c>
      <c r="E13" s="2" t="s">
        <v>146</v>
      </c>
      <c r="F13" s="2" t="s">
        <v>146</v>
      </c>
      <c r="G13" s="2" t="s">
        <v>146</v>
      </c>
      <c r="H13" s="2" t="s">
        <v>146</v>
      </c>
      <c r="I13" s="2" t="s">
        <v>146</v>
      </c>
      <c r="J13" s="2" t="s">
        <v>146</v>
      </c>
      <c r="K13" s="2" t="s">
        <v>146</v>
      </c>
      <c r="L13" s="2" t="s">
        <v>146</v>
      </c>
      <c r="M13" s="2" t="s">
        <v>146</v>
      </c>
      <c r="N13" s="2" t="s">
        <v>146</v>
      </c>
      <c r="O13" s="2" t="s">
        <v>146</v>
      </c>
      <c r="P13" s="2" t="s">
        <v>146</v>
      </c>
      <c r="Q13" s="2" t="s">
        <v>146</v>
      </c>
      <c r="R13" s="2" t="s">
        <v>146</v>
      </c>
      <c r="S13" s="2" t="s">
        <v>146</v>
      </c>
      <c r="T13" s="2" t="s">
        <v>146</v>
      </c>
      <c r="U13" s="2" t="s">
        <v>146</v>
      </c>
      <c r="V13" s="2" t="s">
        <v>146</v>
      </c>
      <c r="W13" s="2" t="s">
        <v>146</v>
      </c>
      <c r="X13" s="2" t="s">
        <v>146</v>
      </c>
      <c r="Y13" s="2" t="s">
        <v>146</v>
      </c>
      <c r="Z13" s="2" t="s">
        <v>146</v>
      </c>
      <c r="AA13" s="2" t="s">
        <v>146</v>
      </c>
      <c r="AB13" s="2" t="s">
        <v>146</v>
      </c>
      <c r="AC13" s="2" t="s">
        <v>146</v>
      </c>
      <c r="AD13" s="2" t="s">
        <v>146</v>
      </c>
      <c r="AE13" s="2" t="s">
        <v>146</v>
      </c>
      <c r="AF13" s="2" t="s">
        <v>146</v>
      </c>
      <c r="AG13" s="2" t="s">
        <v>146</v>
      </c>
      <c r="AH13" s="2" t="s">
        <v>146</v>
      </c>
      <c r="AI13" s="2" t="s">
        <v>146</v>
      </c>
      <c r="AJ13" s="2" t="s">
        <v>146</v>
      </c>
      <c r="AK13" s="2" t="s">
        <v>146</v>
      </c>
      <c r="AL13" s="2" t="s">
        <v>146</v>
      </c>
      <c r="AM13" s="2" t="s">
        <v>146</v>
      </c>
      <c r="AN13" s="2" t="s">
        <v>146</v>
      </c>
      <c r="AO13" s="2" t="s">
        <v>146</v>
      </c>
      <c r="AQ13" s="2">
        <f t="shared" si="0"/>
        <v>0</v>
      </c>
      <c r="AR13" s="2">
        <f t="shared" si="1"/>
        <v>0</v>
      </c>
      <c r="AT13" s="2">
        <f t="shared" si="2"/>
        <v>0</v>
      </c>
      <c r="AU13" s="2">
        <f t="shared" si="3"/>
        <v>0</v>
      </c>
      <c r="AV13" s="27" t="str">
        <f t="shared" si="4"/>
        <v/>
      </c>
      <c r="AY13" s="2">
        <f t="shared" si="5"/>
        <v>0</v>
      </c>
      <c r="AZ13" s="2">
        <f t="shared" si="6"/>
        <v>0</v>
      </c>
      <c r="BA13" s="2">
        <f t="shared" si="7"/>
        <v>0</v>
      </c>
      <c r="BB13" s="2">
        <f t="shared" si="8"/>
        <v>0</v>
      </c>
      <c r="BC13" s="2">
        <f t="shared" si="9"/>
        <v>0</v>
      </c>
      <c r="BD13" s="2">
        <f t="shared" si="10"/>
        <v>0</v>
      </c>
    </row>
    <row r="14" spans="1:56" ht="15" customHeight="1" x14ac:dyDescent="0.45">
      <c r="A14" s="2" t="s">
        <v>672</v>
      </c>
      <c r="B14" s="2" t="s">
        <v>678</v>
      </c>
      <c r="C14" s="2">
        <v>2019</v>
      </c>
      <c r="D14" s="2" t="s">
        <v>146</v>
      </c>
      <c r="E14" s="2" t="s">
        <v>146</v>
      </c>
      <c r="F14" s="2" t="s">
        <v>146</v>
      </c>
      <c r="G14" s="2" t="s">
        <v>146</v>
      </c>
      <c r="H14" s="2" t="s">
        <v>146</v>
      </c>
      <c r="I14" s="2" t="s">
        <v>146</v>
      </c>
      <c r="J14" s="2" t="s">
        <v>146</v>
      </c>
      <c r="K14" s="2" t="s">
        <v>146</v>
      </c>
      <c r="L14" s="2" t="s">
        <v>146</v>
      </c>
      <c r="M14" s="2" t="s">
        <v>146</v>
      </c>
      <c r="N14" s="2" t="s">
        <v>146</v>
      </c>
      <c r="O14" s="2" t="s">
        <v>146</v>
      </c>
      <c r="P14" s="2" t="s">
        <v>146</v>
      </c>
      <c r="Q14" s="2" t="s">
        <v>146</v>
      </c>
      <c r="R14" s="2" t="s">
        <v>146</v>
      </c>
      <c r="S14" s="2" t="s">
        <v>146</v>
      </c>
      <c r="T14" s="2" t="s">
        <v>146</v>
      </c>
      <c r="U14" s="2" t="s">
        <v>146</v>
      </c>
      <c r="V14" s="2" t="s">
        <v>146</v>
      </c>
      <c r="W14" s="2" t="s">
        <v>146</v>
      </c>
      <c r="X14" s="2" t="s">
        <v>146</v>
      </c>
      <c r="Y14" s="2" t="s">
        <v>146</v>
      </c>
      <c r="Z14" s="2" t="s">
        <v>146</v>
      </c>
      <c r="AA14" s="2" t="s">
        <v>146</v>
      </c>
      <c r="AB14" s="2" t="s">
        <v>146</v>
      </c>
      <c r="AC14" s="2" t="s">
        <v>146</v>
      </c>
      <c r="AD14" s="2" t="s">
        <v>146</v>
      </c>
      <c r="AE14" s="2" t="s">
        <v>146</v>
      </c>
      <c r="AF14" s="2" t="s">
        <v>146</v>
      </c>
      <c r="AG14" s="2" t="s">
        <v>146</v>
      </c>
      <c r="AH14" s="2" t="s">
        <v>146</v>
      </c>
      <c r="AI14" s="2" t="s">
        <v>146</v>
      </c>
      <c r="AJ14" s="2" t="s">
        <v>146</v>
      </c>
      <c r="AK14" s="2" t="s">
        <v>146</v>
      </c>
      <c r="AL14" s="2" t="s">
        <v>146</v>
      </c>
      <c r="AM14" s="2" t="s">
        <v>146</v>
      </c>
      <c r="AN14" s="2" t="s">
        <v>146</v>
      </c>
      <c r="AO14" s="2" t="s">
        <v>146</v>
      </c>
      <c r="AQ14" s="2">
        <f t="shared" si="0"/>
        <v>0</v>
      </c>
      <c r="AR14" s="2">
        <f t="shared" si="1"/>
        <v>0</v>
      </c>
      <c r="AT14" s="2">
        <f t="shared" si="2"/>
        <v>0</v>
      </c>
      <c r="AU14" s="2">
        <f t="shared" si="3"/>
        <v>0</v>
      </c>
      <c r="AV14" s="27" t="str">
        <f t="shared" si="4"/>
        <v/>
      </c>
      <c r="AY14" s="2">
        <f t="shared" si="5"/>
        <v>0</v>
      </c>
      <c r="AZ14" s="2">
        <f t="shared" si="6"/>
        <v>0</v>
      </c>
      <c r="BA14" s="2">
        <f t="shared" si="7"/>
        <v>0</v>
      </c>
      <c r="BB14" s="2">
        <f t="shared" si="8"/>
        <v>0</v>
      </c>
      <c r="BC14" s="2">
        <f t="shared" si="9"/>
        <v>0</v>
      </c>
      <c r="BD14" s="2">
        <f t="shared" si="10"/>
        <v>0</v>
      </c>
    </row>
    <row r="15" spans="1:56" ht="15" customHeight="1" x14ac:dyDescent="0.45">
      <c r="A15" s="2" t="s">
        <v>672</v>
      </c>
      <c r="B15" s="2" t="s">
        <v>677</v>
      </c>
      <c r="C15" s="2">
        <v>2019</v>
      </c>
      <c r="D15" s="2" t="s">
        <v>146</v>
      </c>
      <c r="E15" s="2" t="s">
        <v>146</v>
      </c>
      <c r="F15" s="2" t="s">
        <v>146</v>
      </c>
      <c r="G15" s="2" t="s">
        <v>146</v>
      </c>
      <c r="H15" s="2" t="s">
        <v>146</v>
      </c>
      <c r="I15" s="2" t="s">
        <v>146</v>
      </c>
      <c r="J15" s="2" t="s">
        <v>146</v>
      </c>
      <c r="K15" s="2" t="s">
        <v>146</v>
      </c>
      <c r="L15" s="2" t="s">
        <v>146</v>
      </c>
      <c r="M15" s="2" t="s">
        <v>146</v>
      </c>
      <c r="N15" s="2" t="s">
        <v>146</v>
      </c>
      <c r="O15" s="2" t="s">
        <v>146</v>
      </c>
      <c r="P15" s="2" t="s">
        <v>146</v>
      </c>
      <c r="Q15" s="2" t="s">
        <v>146</v>
      </c>
      <c r="R15" s="2" t="s">
        <v>146</v>
      </c>
      <c r="S15" s="2" t="s">
        <v>146</v>
      </c>
      <c r="T15" s="2" t="s">
        <v>146</v>
      </c>
      <c r="U15" s="2" t="s">
        <v>146</v>
      </c>
      <c r="V15" s="2" t="s">
        <v>146</v>
      </c>
      <c r="W15" s="2" t="s">
        <v>146</v>
      </c>
      <c r="X15" s="2" t="s">
        <v>146</v>
      </c>
      <c r="Y15" s="2" t="s">
        <v>146</v>
      </c>
      <c r="Z15" s="2" t="s">
        <v>146</v>
      </c>
      <c r="AA15" s="2" t="s">
        <v>146</v>
      </c>
      <c r="AB15" s="2" t="s">
        <v>146</v>
      </c>
      <c r="AC15" s="2" t="s">
        <v>146</v>
      </c>
      <c r="AD15" s="2" t="s">
        <v>146</v>
      </c>
      <c r="AE15" s="2" t="s">
        <v>146</v>
      </c>
      <c r="AF15" s="2" t="s">
        <v>146</v>
      </c>
      <c r="AG15" s="2" t="s">
        <v>146</v>
      </c>
      <c r="AH15" s="2" t="s">
        <v>146</v>
      </c>
      <c r="AI15" s="2" t="s">
        <v>146</v>
      </c>
      <c r="AJ15" s="2" t="s">
        <v>146</v>
      </c>
      <c r="AK15" s="2" t="s">
        <v>146</v>
      </c>
      <c r="AL15" s="2" t="s">
        <v>146</v>
      </c>
      <c r="AM15" s="2" t="s">
        <v>146</v>
      </c>
      <c r="AN15" s="2" t="s">
        <v>146</v>
      </c>
      <c r="AO15" s="2" t="s">
        <v>146</v>
      </c>
      <c r="AQ15" s="2">
        <f t="shared" si="0"/>
        <v>0</v>
      </c>
      <c r="AR15" s="2">
        <f t="shared" si="1"/>
        <v>0</v>
      </c>
      <c r="AT15" s="2">
        <f t="shared" si="2"/>
        <v>0</v>
      </c>
      <c r="AU15" s="2">
        <f t="shared" si="3"/>
        <v>0</v>
      </c>
      <c r="AV15" s="27" t="str">
        <f t="shared" si="4"/>
        <v/>
      </c>
      <c r="AY15" s="2">
        <f t="shared" si="5"/>
        <v>0</v>
      </c>
      <c r="AZ15" s="2">
        <f t="shared" si="6"/>
        <v>0</v>
      </c>
      <c r="BA15" s="2">
        <f t="shared" si="7"/>
        <v>0</v>
      </c>
      <c r="BB15" s="2">
        <f t="shared" si="8"/>
        <v>0</v>
      </c>
      <c r="BC15" s="2">
        <f t="shared" si="9"/>
        <v>0</v>
      </c>
      <c r="BD15" s="2">
        <f t="shared" si="10"/>
        <v>0</v>
      </c>
    </row>
    <row r="16" spans="1:56" ht="15" customHeight="1" x14ac:dyDescent="0.45">
      <c r="A16" s="2" t="s">
        <v>672</v>
      </c>
      <c r="B16" s="2" t="s">
        <v>676</v>
      </c>
      <c r="C16" s="2">
        <v>2019</v>
      </c>
      <c r="D16" s="2" t="s">
        <v>146</v>
      </c>
      <c r="E16" s="2" t="s">
        <v>146</v>
      </c>
      <c r="F16" s="2" t="s">
        <v>146</v>
      </c>
      <c r="G16" s="2" t="s">
        <v>146</v>
      </c>
      <c r="H16" s="2" t="s">
        <v>146</v>
      </c>
      <c r="I16" s="2" t="s">
        <v>146</v>
      </c>
      <c r="J16" s="2" t="s">
        <v>146</v>
      </c>
      <c r="K16" s="2" t="s">
        <v>146</v>
      </c>
      <c r="L16" s="2" t="s">
        <v>146</v>
      </c>
      <c r="M16" s="2" t="s">
        <v>146</v>
      </c>
      <c r="N16" s="2" t="s">
        <v>146</v>
      </c>
      <c r="O16" s="2" t="s">
        <v>146</v>
      </c>
      <c r="P16" s="2" t="s">
        <v>146</v>
      </c>
      <c r="Q16" s="2" t="s">
        <v>146</v>
      </c>
      <c r="R16" s="2" t="s">
        <v>146</v>
      </c>
      <c r="S16" s="2" t="s">
        <v>146</v>
      </c>
      <c r="T16" s="2" t="s">
        <v>146</v>
      </c>
      <c r="U16" s="2" t="s">
        <v>146</v>
      </c>
      <c r="V16" s="2" t="s">
        <v>146</v>
      </c>
      <c r="W16" s="2" t="s">
        <v>146</v>
      </c>
      <c r="X16" s="2" t="s">
        <v>146</v>
      </c>
      <c r="Y16" s="2" t="s">
        <v>146</v>
      </c>
      <c r="Z16" s="2" t="s">
        <v>146</v>
      </c>
      <c r="AA16" s="2" t="s">
        <v>146</v>
      </c>
      <c r="AB16" s="2" t="s">
        <v>146</v>
      </c>
      <c r="AC16" s="2" t="s">
        <v>146</v>
      </c>
      <c r="AD16" s="2" t="s">
        <v>146</v>
      </c>
      <c r="AE16" s="2" t="s">
        <v>146</v>
      </c>
      <c r="AF16" s="2" t="s">
        <v>146</v>
      </c>
      <c r="AG16" s="2" t="s">
        <v>146</v>
      </c>
      <c r="AH16" s="2" t="s">
        <v>146</v>
      </c>
      <c r="AI16" s="2" t="s">
        <v>146</v>
      </c>
      <c r="AJ16" s="2" t="s">
        <v>146</v>
      </c>
      <c r="AK16" s="2" t="s">
        <v>146</v>
      </c>
      <c r="AL16" s="2" t="s">
        <v>146</v>
      </c>
      <c r="AM16" s="2" t="s">
        <v>146</v>
      </c>
      <c r="AN16" s="2" t="s">
        <v>146</v>
      </c>
      <c r="AO16" s="2" t="s">
        <v>146</v>
      </c>
      <c r="AQ16" s="2">
        <f t="shared" si="0"/>
        <v>0</v>
      </c>
      <c r="AR16" s="2">
        <f t="shared" si="1"/>
        <v>0</v>
      </c>
      <c r="AT16" s="2">
        <f t="shared" si="2"/>
        <v>0</v>
      </c>
      <c r="AU16" s="2">
        <f t="shared" si="3"/>
        <v>0</v>
      </c>
      <c r="AV16" s="27" t="str">
        <f t="shared" si="4"/>
        <v/>
      </c>
      <c r="AY16" s="2">
        <f t="shared" si="5"/>
        <v>0</v>
      </c>
      <c r="AZ16" s="2">
        <f t="shared" si="6"/>
        <v>0</v>
      </c>
      <c r="BA16" s="2">
        <f t="shared" si="7"/>
        <v>0</v>
      </c>
      <c r="BB16" s="2">
        <f t="shared" si="8"/>
        <v>0</v>
      </c>
      <c r="BC16" s="2">
        <f t="shared" si="9"/>
        <v>0</v>
      </c>
      <c r="BD16" s="2">
        <f t="shared" si="10"/>
        <v>0</v>
      </c>
    </row>
    <row r="17" spans="1:56" ht="15" customHeight="1" x14ac:dyDescent="0.45">
      <c r="A17" s="2" t="s">
        <v>672</v>
      </c>
      <c r="B17" s="2" t="s">
        <v>675</v>
      </c>
      <c r="C17" s="2">
        <v>2019</v>
      </c>
      <c r="D17" s="2" t="s">
        <v>146</v>
      </c>
      <c r="E17" s="2" t="s">
        <v>146</v>
      </c>
      <c r="F17" s="2" t="s">
        <v>146</v>
      </c>
      <c r="G17" s="2" t="s">
        <v>146</v>
      </c>
      <c r="H17" s="2" t="s">
        <v>146</v>
      </c>
      <c r="I17" s="2" t="s">
        <v>146</v>
      </c>
      <c r="J17" s="2" t="s">
        <v>146</v>
      </c>
      <c r="K17" s="2" t="s">
        <v>146</v>
      </c>
      <c r="L17" s="2" t="s">
        <v>146</v>
      </c>
      <c r="M17" s="2" t="s">
        <v>146</v>
      </c>
      <c r="N17" s="2" t="s">
        <v>146</v>
      </c>
      <c r="O17" s="2" t="s">
        <v>146</v>
      </c>
      <c r="P17" s="2" t="s">
        <v>146</v>
      </c>
      <c r="Q17" s="2" t="s">
        <v>146</v>
      </c>
      <c r="R17" s="2" t="s">
        <v>146</v>
      </c>
      <c r="S17" s="2" t="s">
        <v>146</v>
      </c>
      <c r="T17" s="2" t="s">
        <v>146</v>
      </c>
      <c r="U17" s="2" t="s">
        <v>146</v>
      </c>
      <c r="V17" s="2" t="s">
        <v>146</v>
      </c>
      <c r="W17" s="2" t="s">
        <v>146</v>
      </c>
      <c r="X17" s="2" t="s">
        <v>146</v>
      </c>
      <c r="Y17" s="2" t="s">
        <v>146</v>
      </c>
      <c r="Z17" s="2" t="s">
        <v>146</v>
      </c>
      <c r="AA17" s="2" t="s">
        <v>146</v>
      </c>
      <c r="AB17" s="2" t="s">
        <v>146</v>
      </c>
      <c r="AC17" s="2" t="s">
        <v>146</v>
      </c>
      <c r="AD17" s="2" t="s">
        <v>146</v>
      </c>
      <c r="AE17" s="2" t="s">
        <v>146</v>
      </c>
      <c r="AF17" s="2" t="s">
        <v>146</v>
      </c>
      <c r="AG17" s="2" t="s">
        <v>146</v>
      </c>
      <c r="AH17" s="2" t="s">
        <v>146</v>
      </c>
      <c r="AI17" s="2" t="s">
        <v>146</v>
      </c>
      <c r="AJ17" s="2" t="s">
        <v>146</v>
      </c>
      <c r="AK17" s="2" t="s">
        <v>146</v>
      </c>
      <c r="AL17" s="2" t="s">
        <v>146</v>
      </c>
      <c r="AM17" s="2" t="s">
        <v>146</v>
      </c>
      <c r="AN17" s="2" t="s">
        <v>146</v>
      </c>
      <c r="AO17" s="2" t="s">
        <v>146</v>
      </c>
      <c r="AQ17" s="2">
        <f t="shared" si="0"/>
        <v>0</v>
      </c>
      <c r="AR17" s="2">
        <f t="shared" si="1"/>
        <v>0</v>
      </c>
      <c r="AT17" s="2">
        <f t="shared" si="2"/>
        <v>0</v>
      </c>
      <c r="AU17" s="2">
        <f t="shared" si="3"/>
        <v>0</v>
      </c>
      <c r="AV17" s="27" t="str">
        <f t="shared" si="4"/>
        <v/>
      </c>
      <c r="AY17" s="2">
        <f t="shared" si="5"/>
        <v>0</v>
      </c>
      <c r="AZ17" s="2">
        <f t="shared" si="6"/>
        <v>0</v>
      </c>
      <c r="BA17" s="2">
        <f t="shared" si="7"/>
        <v>0</v>
      </c>
      <c r="BB17" s="2">
        <f t="shared" si="8"/>
        <v>0</v>
      </c>
      <c r="BC17" s="2">
        <f t="shared" si="9"/>
        <v>0</v>
      </c>
      <c r="BD17" s="2">
        <f t="shared" si="10"/>
        <v>0</v>
      </c>
    </row>
    <row r="18" spans="1:56" ht="15" customHeight="1" x14ac:dyDescent="0.45">
      <c r="A18" s="2" t="s">
        <v>672</v>
      </c>
      <c r="B18" s="2" t="s">
        <v>674</v>
      </c>
      <c r="C18" s="2">
        <v>2019</v>
      </c>
      <c r="D18" s="2" t="s">
        <v>146</v>
      </c>
      <c r="E18" s="2" t="s">
        <v>146</v>
      </c>
      <c r="F18" s="2" t="s">
        <v>146</v>
      </c>
      <c r="G18" s="2" t="s">
        <v>146</v>
      </c>
      <c r="H18" s="2" t="s">
        <v>146</v>
      </c>
      <c r="I18" s="2" t="s">
        <v>146</v>
      </c>
      <c r="J18" s="2" t="s">
        <v>146</v>
      </c>
      <c r="K18" s="2" t="s">
        <v>146</v>
      </c>
      <c r="L18" s="2" t="s">
        <v>146</v>
      </c>
      <c r="M18" s="2" t="s">
        <v>146</v>
      </c>
      <c r="N18" s="2" t="s">
        <v>146</v>
      </c>
      <c r="O18" s="2" t="s">
        <v>146</v>
      </c>
      <c r="P18" s="2" t="s">
        <v>146</v>
      </c>
      <c r="Q18" s="2" t="s">
        <v>146</v>
      </c>
      <c r="R18" s="2" t="s">
        <v>146</v>
      </c>
      <c r="S18" s="2" t="s">
        <v>146</v>
      </c>
      <c r="T18" s="2" t="s">
        <v>146</v>
      </c>
      <c r="U18" s="2" t="s">
        <v>146</v>
      </c>
      <c r="V18" s="2" t="s">
        <v>146</v>
      </c>
      <c r="W18" s="2" t="s">
        <v>146</v>
      </c>
      <c r="X18" s="2" t="s">
        <v>146</v>
      </c>
      <c r="Y18" s="2" t="s">
        <v>146</v>
      </c>
      <c r="Z18" s="2" t="s">
        <v>146</v>
      </c>
      <c r="AA18" s="2" t="s">
        <v>146</v>
      </c>
      <c r="AB18" s="2" t="s">
        <v>146</v>
      </c>
      <c r="AC18" s="2" t="s">
        <v>146</v>
      </c>
      <c r="AD18" s="2" t="s">
        <v>146</v>
      </c>
      <c r="AE18" s="2" t="s">
        <v>146</v>
      </c>
      <c r="AF18" s="2" t="s">
        <v>146</v>
      </c>
      <c r="AG18" s="2" t="s">
        <v>146</v>
      </c>
      <c r="AH18" s="2" t="s">
        <v>146</v>
      </c>
      <c r="AI18" s="2" t="s">
        <v>146</v>
      </c>
      <c r="AJ18" s="2" t="s">
        <v>146</v>
      </c>
      <c r="AK18" s="2" t="s">
        <v>146</v>
      </c>
      <c r="AL18" s="2" t="s">
        <v>146</v>
      </c>
      <c r="AM18" s="2" t="s">
        <v>146</v>
      </c>
      <c r="AN18" s="2" t="s">
        <v>146</v>
      </c>
      <c r="AO18" s="2" t="s">
        <v>146</v>
      </c>
      <c r="AQ18" s="2">
        <f t="shared" si="0"/>
        <v>0</v>
      </c>
      <c r="AR18" s="2">
        <f t="shared" si="1"/>
        <v>0</v>
      </c>
      <c r="AT18" s="2">
        <f t="shared" si="2"/>
        <v>0</v>
      </c>
      <c r="AU18" s="2">
        <f t="shared" si="3"/>
        <v>0</v>
      </c>
      <c r="AV18" s="27" t="str">
        <f t="shared" si="4"/>
        <v/>
      </c>
      <c r="AY18" s="2">
        <f t="shared" si="5"/>
        <v>0</v>
      </c>
      <c r="AZ18" s="2">
        <f t="shared" si="6"/>
        <v>0</v>
      </c>
      <c r="BA18" s="2">
        <f t="shared" si="7"/>
        <v>0</v>
      </c>
      <c r="BB18" s="2">
        <f t="shared" si="8"/>
        <v>0</v>
      </c>
      <c r="BC18" s="2">
        <f t="shared" si="9"/>
        <v>0</v>
      </c>
      <c r="BD18" s="2">
        <f t="shared" si="10"/>
        <v>0</v>
      </c>
    </row>
    <row r="19" spans="1:56" ht="15" customHeight="1" x14ac:dyDescent="0.45">
      <c r="A19" s="2" t="s">
        <v>672</v>
      </c>
      <c r="B19" s="2" t="s">
        <v>673</v>
      </c>
      <c r="C19" s="2">
        <v>2019</v>
      </c>
      <c r="D19" s="2" t="s">
        <v>146</v>
      </c>
      <c r="E19" s="2" t="s">
        <v>146</v>
      </c>
      <c r="F19" s="2" t="s">
        <v>146</v>
      </c>
      <c r="G19" s="2" t="s">
        <v>146</v>
      </c>
      <c r="H19" s="2" t="s">
        <v>146</v>
      </c>
      <c r="I19" s="2" t="s">
        <v>146</v>
      </c>
      <c r="J19" s="2" t="s">
        <v>146</v>
      </c>
      <c r="K19" s="2" t="s">
        <v>146</v>
      </c>
      <c r="L19" s="2" t="s">
        <v>146</v>
      </c>
      <c r="M19" s="2" t="s">
        <v>146</v>
      </c>
      <c r="N19" s="2" t="s">
        <v>146</v>
      </c>
      <c r="O19" s="2" t="s">
        <v>146</v>
      </c>
      <c r="P19" s="2" t="s">
        <v>146</v>
      </c>
      <c r="Q19" s="2" t="s">
        <v>146</v>
      </c>
      <c r="R19" s="2" t="s">
        <v>146</v>
      </c>
      <c r="S19" s="2" t="s">
        <v>146</v>
      </c>
      <c r="T19" s="2" t="s">
        <v>146</v>
      </c>
      <c r="U19" s="2" t="s">
        <v>146</v>
      </c>
      <c r="V19" s="2" t="s">
        <v>146</v>
      </c>
      <c r="W19" s="2" t="s">
        <v>146</v>
      </c>
      <c r="X19" s="2" t="s">
        <v>146</v>
      </c>
      <c r="Y19" s="2" t="s">
        <v>146</v>
      </c>
      <c r="Z19" s="2" t="s">
        <v>146</v>
      </c>
      <c r="AA19" s="2" t="s">
        <v>146</v>
      </c>
      <c r="AB19" s="2" t="s">
        <v>146</v>
      </c>
      <c r="AC19" s="2" t="s">
        <v>146</v>
      </c>
      <c r="AD19" s="2" t="s">
        <v>146</v>
      </c>
      <c r="AE19" s="2" t="s">
        <v>146</v>
      </c>
      <c r="AF19" s="2" t="s">
        <v>146</v>
      </c>
      <c r="AG19" s="2" t="s">
        <v>146</v>
      </c>
      <c r="AH19" s="2" t="s">
        <v>146</v>
      </c>
      <c r="AI19" s="2" t="s">
        <v>146</v>
      </c>
      <c r="AJ19" s="2" t="s">
        <v>146</v>
      </c>
      <c r="AK19" s="2" t="s">
        <v>146</v>
      </c>
      <c r="AL19" s="2" t="s">
        <v>146</v>
      </c>
      <c r="AM19" s="2" t="s">
        <v>146</v>
      </c>
      <c r="AN19" s="2" t="s">
        <v>146</v>
      </c>
      <c r="AO19" s="2" t="s">
        <v>146</v>
      </c>
      <c r="AQ19" s="2">
        <f t="shared" si="0"/>
        <v>0</v>
      </c>
      <c r="AR19" s="2">
        <f t="shared" si="1"/>
        <v>0</v>
      </c>
      <c r="AT19" s="2">
        <f t="shared" si="2"/>
        <v>0</v>
      </c>
      <c r="AU19" s="2">
        <f t="shared" si="3"/>
        <v>0</v>
      </c>
      <c r="AV19" s="27" t="str">
        <f t="shared" si="4"/>
        <v/>
      </c>
      <c r="AY19" s="2">
        <f t="shared" si="5"/>
        <v>0</v>
      </c>
      <c r="AZ19" s="2">
        <f t="shared" si="6"/>
        <v>0</v>
      </c>
      <c r="BA19" s="2">
        <f t="shared" si="7"/>
        <v>0</v>
      </c>
      <c r="BB19" s="2">
        <f t="shared" si="8"/>
        <v>0</v>
      </c>
      <c r="BC19" s="2">
        <f t="shared" si="9"/>
        <v>0</v>
      </c>
      <c r="BD19" s="2">
        <f t="shared" si="10"/>
        <v>0</v>
      </c>
    </row>
    <row r="20" spans="1:56" ht="15" customHeight="1" x14ac:dyDescent="0.45">
      <c r="A20" s="2" t="s">
        <v>672</v>
      </c>
      <c r="B20" s="2" t="s">
        <v>671</v>
      </c>
      <c r="C20" s="2">
        <v>2019</v>
      </c>
      <c r="D20" s="2" t="s">
        <v>146</v>
      </c>
      <c r="E20" s="2" t="s">
        <v>146</v>
      </c>
      <c r="F20" s="2" t="s">
        <v>146</v>
      </c>
      <c r="G20" s="2" t="s">
        <v>146</v>
      </c>
      <c r="H20" s="2" t="s">
        <v>146</v>
      </c>
      <c r="I20" s="2" t="s">
        <v>146</v>
      </c>
      <c r="J20" s="2" t="s">
        <v>146</v>
      </c>
      <c r="K20" s="2" t="s">
        <v>146</v>
      </c>
      <c r="L20" s="2" t="s">
        <v>146</v>
      </c>
      <c r="M20" s="2" t="s">
        <v>146</v>
      </c>
      <c r="N20" s="2" t="s">
        <v>146</v>
      </c>
      <c r="O20" s="2" t="s">
        <v>146</v>
      </c>
      <c r="P20" s="2" t="s">
        <v>146</v>
      </c>
      <c r="Q20" s="2" t="s">
        <v>146</v>
      </c>
      <c r="R20" s="2" t="s">
        <v>146</v>
      </c>
      <c r="S20" s="2" t="s">
        <v>146</v>
      </c>
      <c r="T20" s="2" t="s">
        <v>146</v>
      </c>
      <c r="U20" s="2" t="s">
        <v>146</v>
      </c>
      <c r="V20" s="2" t="s">
        <v>146</v>
      </c>
      <c r="W20" s="2" t="s">
        <v>146</v>
      </c>
      <c r="X20" s="2" t="s">
        <v>146</v>
      </c>
      <c r="Y20" s="2" t="s">
        <v>146</v>
      </c>
      <c r="Z20" s="2" t="s">
        <v>146</v>
      </c>
      <c r="AA20" s="2" t="s">
        <v>146</v>
      </c>
      <c r="AB20" s="2" t="s">
        <v>146</v>
      </c>
      <c r="AC20" s="2" t="s">
        <v>146</v>
      </c>
      <c r="AD20" s="2" t="s">
        <v>146</v>
      </c>
      <c r="AE20" s="2" t="s">
        <v>146</v>
      </c>
      <c r="AF20" s="2" t="s">
        <v>146</v>
      </c>
      <c r="AG20" s="2" t="s">
        <v>146</v>
      </c>
      <c r="AH20" s="2" t="s">
        <v>146</v>
      </c>
      <c r="AI20" s="2" t="s">
        <v>146</v>
      </c>
      <c r="AJ20" s="2" t="s">
        <v>146</v>
      </c>
      <c r="AK20" s="2" t="s">
        <v>146</v>
      </c>
      <c r="AL20" s="2" t="s">
        <v>146</v>
      </c>
      <c r="AM20" s="2" t="s">
        <v>146</v>
      </c>
      <c r="AN20" s="2" t="s">
        <v>146</v>
      </c>
      <c r="AO20" s="2" t="s">
        <v>146</v>
      </c>
      <c r="AQ20" s="2">
        <f t="shared" si="0"/>
        <v>0</v>
      </c>
      <c r="AR20" s="2">
        <f t="shared" si="1"/>
        <v>0</v>
      </c>
      <c r="AT20" s="2">
        <f t="shared" si="2"/>
        <v>0</v>
      </c>
      <c r="AU20" s="2">
        <f t="shared" si="3"/>
        <v>0</v>
      </c>
      <c r="AV20" s="27" t="str">
        <f t="shared" si="4"/>
        <v/>
      </c>
      <c r="AY20" s="2">
        <f t="shared" si="5"/>
        <v>0</v>
      </c>
      <c r="AZ20" s="2">
        <f t="shared" si="6"/>
        <v>0</v>
      </c>
      <c r="BA20" s="2">
        <f t="shared" si="7"/>
        <v>0</v>
      </c>
      <c r="BB20" s="2">
        <f t="shared" si="8"/>
        <v>0</v>
      </c>
      <c r="BC20" s="2">
        <f t="shared" si="9"/>
        <v>0</v>
      </c>
      <c r="BD20" s="2">
        <f t="shared" si="10"/>
        <v>0</v>
      </c>
    </row>
    <row r="21" spans="1:56" ht="15" customHeight="1" x14ac:dyDescent="0.45">
      <c r="A21" s="2" t="s">
        <v>666</v>
      </c>
      <c r="B21" s="2" t="s">
        <v>670</v>
      </c>
      <c r="C21" s="2">
        <v>2019</v>
      </c>
      <c r="D21" s="2" t="s">
        <v>146</v>
      </c>
      <c r="E21" s="2" t="s">
        <v>146</v>
      </c>
      <c r="F21" s="2" t="s">
        <v>146</v>
      </c>
      <c r="G21" s="2" t="s">
        <v>146</v>
      </c>
      <c r="H21" s="2" t="s">
        <v>146</v>
      </c>
      <c r="I21" s="2" t="s">
        <v>146</v>
      </c>
      <c r="J21" s="2" t="s">
        <v>146</v>
      </c>
      <c r="K21" s="2" t="s">
        <v>146</v>
      </c>
      <c r="L21" s="2" t="s">
        <v>146</v>
      </c>
      <c r="M21" s="2" t="s">
        <v>146</v>
      </c>
      <c r="N21" s="2" t="s">
        <v>146</v>
      </c>
      <c r="O21" s="2" t="s">
        <v>146</v>
      </c>
      <c r="P21" s="2" t="s">
        <v>146</v>
      </c>
      <c r="Q21" s="2" t="s">
        <v>146</v>
      </c>
      <c r="R21" s="2" t="s">
        <v>146</v>
      </c>
      <c r="S21" s="2" t="s">
        <v>146</v>
      </c>
      <c r="T21" s="2" t="s">
        <v>146</v>
      </c>
      <c r="U21" s="2" t="s">
        <v>146</v>
      </c>
      <c r="V21" s="2" t="s">
        <v>146</v>
      </c>
      <c r="W21" s="2" t="s">
        <v>146</v>
      </c>
      <c r="X21" s="2" t="s">
        <v>146</v>
      </c>
      <c r="Y21" s="2" t="s">
        <v>146</v>
      </c>
      <c r="Z21" s="2" t="s">
        <v>146</v>
      </c>
      <c r="AA21" s="2" t="s">
        <v>146</v>
      </c>
      <c r="AB21" s="2" t="s">
        <v>146</v>
      </c>
      <c r="AC21" s="2" t="s">
        <v>146</v>
      </c>
      <c r="AD21" s="2" t="s">
        <v>146</v>
      </c>
      <c r="AE21" s="2" t="s">
        <v>146</v>
      </c>
      <c r="AF21" s="2" t="s">
        <v>146</v>
      </c>
      <c r="AG21" s="2" t="s">
        <v>146</v>
      </c>
      <c r="AH21" s="2" t="s">
        <v>146</v>
      </c>
      <c r="AI21" s="2" t="s">
        <v>146</v>
      </c>
      <c r="AJ21" s="2" t="s">
        <v>146</v>
      </c>
      <c r="AK21" s="2" t="s">
        <v>146</v>
      </c>
      <c r="AL21" s="2" t="s">
        <v>146</v>
      </c>
      <c r="AM21" s="2" t="s">
        <v>146</v>
      </c>
      <c r="AN21" s="2" t="s">
        <v>146</v>
      </c>
      <c r="AO21" s="2" t="s">
        <v>146</v>
      </c>
      <c r="AQ21" s="2">
        <f t="shared" si="0"/>
        <v>0</v>
      </c>
      <c r="AR21" s="2">
        <f t="shared" si="1"/>
        <v>0</v>
      </c>
      <c r="AT21" s="2">
        <f t="shared" si="2"/>
        <v>0</v>
      </c>
      <c r="AU21" s="2">
        <f t="shared" si="3"/>
        <v>0</v>
      </c>
      <c r="AV21" s="27" t="str">
        <f t="shared" si="4"/>
        <v/>
      </c>
      <c r="AY21" s="2">
        <f t="shared" si="5"/>
        <v>0</v>
      </c>
      <c r="AZ21" s="2">
        <f t="shared" si="6"/>
        <v>0</v>
      </c>
      <c r="BA21" s="2">
        <f t="shared" si="7"/>
        <v>0</v>
      </c>
      <c r="BB21" s="2">
        <f t="shared" si="8"/>
        <v>0</v>
      </c>
      <c r="BC21" s="2">
        <f t="shared" si="9"/>
        <v>0</v>
      </c>
      <c r="BD21" s="2">
        <f t="shared" si="10"/>
        <v>0</v>
      </c>
    </row>
    <row r="22" spans="1:56" ht="15" customHeight="1" x14ac:dyDescent="0.45">
      <c r="A22" s="2" t="s">
        <v>666</v>
      </c>
      <c r="B22" s="2" t="s">
        <v>669</v>
      </c>
      <c r="C22" s="2">
        <v>2019</v>
      </c>
      <c r="D22" s="2" t="s">
        <v>146</v>
      </c>
      <c r="E22" s="2" t="s">
        <v>146</v>
      </c>
      <c r="F22" s="2" t="s">
        <v>146</v>
      </c>
      <c r="G22" s="2" t="s">
        <v>146</v>
      </c>
      <c r="H22" s="2" t="s">
        <v>146</v>
      </c>
      <c r="I22" s="2" t="s">
        <v>146</v>
      </c>
      <c r="J22" s="2" t="s">
        <v>146</v>
      </c>
      <c r="K22" s="2" t="s">
        <v>146</v>
      </c>
      <c r="L22" s="2" t="s">
        <v>146</v>
      </c>
      <c r="M22" s="2" t="s">
        <v>146</v>
      </c>
      <c r="N22" s="2" t="s">
        <v>146</v>
      </c>
      <c r="O22" s="2" t="s">
        <v>146</v>
      </c>
      <c r="P22" s="2" t="s">
        <v>146</v>
      </c>
      <c r="Q22" s="2" t="s">
        <v>146</v>
      </c>
      <c r="R22" s="2" t="s">
        <v>146</v>
      </c>
      <c r="S22" s="2" t="s">
        <v>146</v>
      </c>
      <c r="T22" s="2" t="s">
        <v>146</v>
      </c>
      <c r="U22" s="2" t="s">
        <v>146</v>
      </c>
      <c r="V22" s="2" t="s">
        <v>146</v>
      </c>
      <c r="W22" s="2" t="s">
        <v>146</v>
      </c>
      <c r="X22" s="2" t="s">
        <v>146</v>
      </c>
      <c r="Y22" s="2" t="s">
        <v>146</v>
      </c>
      <c r="Z22" s="2" t="s">
        <v>146</v>
      </c>
      <c r="AA22" s="2" t="s">
        <v>146</v>
      </c>
      <c r="AB22" s="2" t="s">
        <v>146</v>
      </c>
      <c r="AC22" s="2" t="s">
        <v>146</v>
      </c>
      <c r="AD22" s="2" t="s">
        <v>146</v>
      </c>
      <c r="AE22" s="2" t="s">
        <v>146</v>
      </c>
      <c r="AF22" s="2" t="s">
        <v>146</v>
      </c>
      <c r="AG22" s="2" t="s">
        <v>146</v>
      </c>
      <c r="AH22" s="2" t="s">
        <v>146</v>
      </c>
      <c r="AI22" s="2" t="s">
        <v>146</v>
      </c>
      <c r="AJ22" s="2" t="s">
        <v>146</v>
      </c>
      <c r="AK22" s="2" t="s">
        <v>146</v>
      </c>
      <c r="AL22" s="2" t="s">
        <v>146</v>
      </c>
      <c r="AM22" s="2" t="s">
        <v>146</v>
      </c>
      <c r="AN22" s="2" t="s">
        <v>146</v>
      </c>
      <c r="AO22" s="2" t="s">
        <v>146</v>
      </c>
      <c r="AQ22" s="2">
        <f t="shared" si="0"/>
        <v>0</v>
      </c>
      <c r="AR22" s="2">
        <f t="shared" si="1"/>
        <v>0</v>
      </c>
      <c r="AT22" s="2">
        <f t="shared" si="2"/>
        <v>0</v>
      </c>
      <c r="AU22" s="2">
        <f t="shared" si="3"/>
        <v>0</v>
      </c>
      <c r="AV22" s="27" t="str">
        <f t="shared" si="4"/>
        <v/>
      </c>
      <c r="AY22" s="2">
        <f t="shared" si="5"/>
        <v>0</v>
      </c>
      <c r="AZ22" s="2">
        <f t="shared" si="6"/>
        <v>0</v>
      </c>
      <c r="BA22" s="2">
        <f t="shared" si="7"/>
        <v>0</v>
      </c>
      <c r="BB22" s="2">
        <f t="shared" si="8"/>
        <v>0</v>
      </c>
      <c r="BC22" s="2">
        <f t="shared" si="9"/>
        <v>0</v>
      </c>
      <c r="BD22" s="2">
        <f t="shared" si="10"/>
        <v>0</v>
      </c>
    </row>
    <row r="23" spans="1:56" ht="15" customHeight="1" x14ac:dyDescent="0.45">
      <c r="A23" s="2" t="s">
        <v>666</v>
      </c>
      <c r="B23" s="2" t="s">
        <v>668</v>
      </c>
      <c r="C23" s="2">
        <v>2019</v>
      </c>
      <c r="D23" s="2">
        <v>233.161</v>
      </c>
      <c r="E23" s="2">
        <v>63.77</v>
      </c>
      <c r="F23" s="2" t="s">
        <v>146</v>
      </c>
      <c r="G23" s="2" t="s">
        <v>146</v>
      </c>
      <c r="H23" s="2" t="s">
        <v>146</v>
      </c>
      <c r="I23" s="2">
        <v>309.803</v>
      </c>
      <c r="J23" s="2" t="s">
        <v>146</v>
      </c>
      <c r="K23" s="2">
        <v>0.153</v>
      </c>
      <c r="L23" s="2" t="s">
        <v>146</v>
      </c>
      <c r="M23" s="2" t="s">
        <v>146</v>
      </c>
      <c r="N23" s="2" t="s">
        <v>146</v>
      </c>
      <c r="O23" s="2" t="s">
        <v>146</v>
      </c>
      <c r="P23" s="2" t="s">
        <v>146</v>
      </c>
      <c r="Q23" s="2">
        <v>151.81399999999999</v>
      </c>
      <c r="R23" s="2">
        <v>35.820999999999998</v>
      </c>
      <c r="S23" s="2">
        <v>2.3580000000000001</v>
      </c>
      <c r="T23" s="2">
        <v>24.280999999999999</v>
      </c>
      <c r="U23" s="2" t="s">
        <v>146</v>
      </c>
      <c r="V23" s="2">
        <v>2.2999999999999998</v>
      </c>
      <c r="W23" s="2" t="s">
        <v>146</v>
      </c>
      <c r="X23" s="2" t="s">
        <v>146</v>
      </c>
      <c r="Y23" s="2" t="s">
        <v>146</v>
      </c>
      <c r="Z23" s="2" t="s">
        <v>146</v>
      </c>
      <c r="AA23" s="2">
        <v>44.621000000000002</v>
      </c>
      <c r="AB23" s="2" t="s">
        <v>146</v>
      </c>
      <c r="AC23" s="2">
        <v>0</v>
      </c>
      <c r="AD23" s="2" t="s">
        <v>146</v>
      </c>
      <c r="AE23" s="2" t="s">
        <v>146</v>
      </c>
      <c r="AF23" s="2" t="s">
        <v>146</v>
      </c>
      <c r="AG23" s="2" t="s">
        <v>146</v>
      </c>
      <c r="AH23" s="2" t="s">
        <v>146</v>
      </c>
      <c r="AI23" s="2" t="s">
        <v>146</v>
      </c>
      <c r="AJ23" s="2" t="s">
        <v>146</v>
      </c>
      <c r="AK23" s="2">
        <v>48.454999999999998</v>
      </c>
      <c r="AL23" s="2">
        <v>100</v>
      </c>
      <c r="AM23" s="2" t="s">
        <v>146</v>
      </c>
      <c r="AN23" s="2" t="s">
        <v>146</v>
      </c>
      <c r="AO23" s="2">
        <v>0</v>
      </c>
      <c r="AQ23" s="2">
        <f t="shared" si="0"/>
        <v>261.34800000000001</v>
      </c>
      <c r="AR23" s="2">
        <f t="shared" si="1"/>
        <v>309.803</v>
      </c>
      <c r="AT23" s="2">
        <f t="shared" si="2"/>
        <v>233.161</v>
      </c>
      <c r="AU23" s="2">
        <f t="shared" si="3"/>
        <v>63.77</v>
      </c>
      <c r="AV23" s="27">
        <f t="shared" si="4"/>
        <v>0.95845101564542623</v>
      </c>
      <c r="AY23" s="2">
        <f t="shared" si="5"/>
        <v>48.454999999999998</v>
      </c>
      <c r="AZ23" s="2">
        <f t="shared" si="6"/>
        <v>48.454999999999998</v>
      </c>
      <c r="BA23" s="2">
        <f t="shared" si="7"/>
        <v>0</v>
      </c>
      <c r="BB23" s="2">
        <f t="shared" si="8"/>
        <v>0</v>
      </c>
      <c r="BC23" s="2">
        <f t="shared" si="9"/>
        <v>0</v>
      </c>
      <c r="BD23" s="2">
        <f t="shared" si="10"/>
        <v>0</v>
      </c>
    </row>
    <row r="24" spans="1:56" ht="15" customHeight="1" x14ac:dyDescent="0.45">
      <c r="A24" s="2" t="s">
        <v>666</v>
      </c>
      <c r="B24" s="2" t="s">
        <v>667</v>
      </c>
      <c r="C24" s="2">
        <v>2019</v>
      </c>
      <c r="D24" s="2" t="s">
        <v>146</v>
      </c>
      <c r="E24" s="2" t="s">
        <v>146</v>
      </c>
      <c r="F24" s="2" t="s">
        <v>146</v>
      </c>
      <c r="G24" s="2" t="s">
        <v>146</v>
      </c>
      <c r="H24" s="2" t="s">
        <v>146</v>
      </c>
      <c r="I24" s="2" t="s">
        <v>146</v>
      </c>
      <c r="J24" s="2" t="s">
        <v>146</v>
      </c>
      <c r="K24" s="2" t="s">
        <v>146</v>
      </c>
      <c r="L24" s="2" t="s">
        <v>146</v>
      </c>
      <c r="M24" s="2" t="s">
        <v>146</v>
      </c>
      <c r="N24" s="2" t="s">
        <v>146</v>
      </c>
      <c r="O24" s="2" t="s">
        <v>146</v>
      </c>
      <c r="P24" s="2" t="s">
        <v>146</v>
      </c>
      <c r="Q24" s="2" t="s">
        <v>146</v>
      </c>
      <c r="R24" s="2" t="s">
        <v>146</v>
      </c>
      <c r="S24" s="2" t="s">
        <v>146</v>
      </c>
      <c r="T24" s="2" t="s">
        <v>146</v>
      </c>
      <c r="U24" s="2" t="s">
        <v>146</v>
      </c>
      <c r="V24" s="2" t="s">
        <v>146</v>
      </c>
      <c r="W24" s="2" t="s">
        <v>146</v>
      </c>
      <c r="X24" s="2" t="s">
        <v>146</v>
      </c>
      <c r="Y24" s="2" t="s">
        <v>146</v>
      </c>
      <c r="Z24" s="2" t="s">
        <v>146</v>
      </c>
      <c r="AA24" s="2" t="s">
        <v>146</v>
      </c>
      <c r="AB24" s="2" t="s">
        <v>146</v>
      </c>
      <c r="AC24" s="2" t="s">
        <v>146</v>
      </c>
      <c r="AD24" s="2" t="s">
        <v>146</v>
      </c>
      <c r="AE24" s="2" t="s">
        <v>146</v>
      </c>
      <c r="AF24" s="2" t="s">
        <v>146</v>
      </c>
      <c r="AG24" s="2" t="s">
        <v>146</v>
      </c>
      <c r="AH24" s="2" t="s">
        <v>146</v>
      </c>
      <c r="AI24" s="2" t="s">
        <v>146</v>
      </c>
      <c r="AJ24" s="2" t="s">
        <v>146</v>
      </c>
      <c r="AK24" s="2" t="s">
        <v>146</v>
      </c>
      <c r="AL24" s="2" t="s">
        <v>146</v>
      </c>
      <c r="AM24" s="2" t="s">
        <v>146</v>
      </c>
      <c r="AN24" s="2" t="s">
        <v>146</v>
      </c>
      <c r="AO24" s="2" t="s">
        <v>146</v>
      </c>
      <c r="AQ24" s="2">
        <f t="shared" si="0"/>
        <v>0</v>
      </c>
      <c r="AR24" s="2">
        <f t="shared" si="1"/>
        <v>0</v>
      </c>
      <c r="AT24" s="2">
        <f t="shared" si="2"/>
        <v>0</v>
      </c>
      <c r="AU24" s="2">
        <f t="shared" si="3"/>
        <v>0</v>
      </c>
      <c r="AV24" s="27" t="str">
        <f t="shared" si="4"/>
        <v/>
      </c>
      <c r="AY24" s="2">
        <f t="shared" si="5"/>
        <v>0</v>
      </c>
      <c r="AZ24" s="2">
        <f t="shared" si="6"/>
        <v>0</v>
      </c>
      <c r="BA24" s="2">
        <f t="shared" si="7"/>
        <v>0</v>
      </c>
      <c r="BB24" s="2">
        <f t="shared" si="8"/>
        <v>0</v>
      </c>
      <c r="BC24" s="2">
        <f t="shared" si="9"/>
        <v>0</v>
      </c>
      <c r="BD24" s="2">
        <f t="shared" si="10"/>
        <v>0</v>
      </c>
    </row>
    <row r="25" spans="1:56" ht="15" customHeight="1" x14ac:dyDescent="0.45">
      <c r="A25" s="2" t="s">
        <v>666</v>
      </c>
      <c r="B25" s="2" t="s">
        <v>665</v>
      </c>
      <c r="C25" s="2">
        <v>2019</v>
      </c>
      <c r="D25" s="2" t="s">
        <v>146</v>
      </c>
      <c r="E25" s="2" t="s">
        <v>146</v>
      </c>
      <c r="F25" s="2" t="s">
        <v>146</v>
      </c>
      <c r="G25" s="2" t="s">
        <v>146</v>
      </c>
      <c r="H25" s="2" t="s">
        <v>146</v>
      </c>
      <c r="I25" s="2" t="s">
        <v>146</v>
      </c>
      <c r="J25" s="2" t="s">
        <v>146</v>
      </c>
      <c r="K25" s="2" t="s">
        <v>146</v>
      </c>
      <c r="L25" s="2" t="s">
        <v>146</v>
      </c>
      <c r="M25" s="2" t="s">
        <v>146</v>
      </c>
      <c r="N25" s="2" t="s">
        <v>146</v>
      </c>
      <c r="O25" s="2" t="s">
        <v>146</v>
      </c>
      <c r="P25" s="2" t="s">
        <v>146</v>
      </c>
      <c r="Q25" s="2" t="s">
        <v>146</v>
      </c>
      <c r="R25" s="2" t="s">
        <v>146</v>
      </c>
      <c r="S25" s="2" t="s">
        <v>146</v>
      </c>
      <c r="T25" s="2" t="s">
        <v>146</v>
      </c>
      <c r="U25" s="2" t="s">
        <v>146</v>
      </c>
      <c r="V25" s="2" t="s">
        <v>146</v>
      </c>
      <c r="W25" s="2" t="s">
        <v>146</v>
      </c>
      <c r="X25" s="2" t="s">
        <v>146</v>
      </c>
      <c r="Y25" s="2" t="s">
        <v>146</v>
      </c>
      <c r="Z25" s="2" t="s">
        <v>146</v>
      </c>
      <c r="AA25" s="2" t="s">
        <v>146</v>
      </c>
      <c r="AB25" s="2" t="s">
        <v>146</v>
      </c>
      <c r="AC25" s="2" t="s">
        <v>146</v>
      </c>
      <c r="AD25" s="2" t="s">
        <v>146</v>
      </c>
      <c r="AE25" s="2" t="s">
        <v>146</v>
      </c>
      <c r="AF25" s="2" t="s">
        <v>146</v>
      </c>
      <c r="AG25" s="2" t="s">
        <v>146</v>
      </c>
      <c r="AH25" s="2" t="s">
        <v>146</v>
      </c>
      <c r="AI25" s="2" t="s">
        <v>146</v>
      </c>
      <c r="AJ25" s="2" t="s">
        <v>146</v>
      </c>
      <c r="AK25" s="2" t="s">
        <v>146</v>
      </c>
      <c r="AL25" s="2" t="s">
        <v>146</v>
      </c>
      <c r="AM25" s="2" t="s">
        <v>146</v>
      </c>
      <c r="AN25" s="2" t="s">
        <v>146</v>
      </c>
      <c r="AO25" s="2" t="s">
        <v>146</v>
      </c>
      <c r="AQ25" s="2">
        <f t="shared" si="0"/>
        <v>0</v>
      </c>
      <c r="AR25" s="2">
        <f t="shared" si="1"/>
        <v>0</v>
      </c>
      <c r="AT25" s="2">
        <f t="shared" si="2"/>
        <v>0</v>
      </c>
      <c r="AU25" s="2">
        <f t="shared" si="3"/>
        <v>0</v>
      </c>
      <c r="AV25" s="27" t="str">
        <f t="shared" si="4"/>
        <v/>
      </c>
      <c r="AY25" s="2">
        <f t="shared" si="5"/>
        <v>0</v>
      </c>
      <c r="AZ25" s="2">
        <f t="shared" si="6"/>
        <v>0</v>
      </c>
      <c r="BA25" s="2">
        <f t="shared" si="7"/>
        <v>0</v>
      </c>
      <c r="BB25" s="2">
        <f t="shared" si="8"/>
        <v>0</v>
      </c>
      <c r="BC25" s="2">
        <f t="shared" si="9"/>
        <v>0</v>
      </c>
      <c r="BD25" s="2">
        <f t="shared" si="10"/>
        <v>0</v>
      </c>
    </row>
    <row r="26" spans="1:56" ht="15" customHeight="1" x14ac:dyDescent="0.45">
      <c r="A26" s="2" t="s">
        <v>664</v>
      </c>
      <c r="B26" s="2" t="s">
        <v>663</v>
      </c>
      <c r="C26" s="2">
        <v>2019</v>
      </c>
      <c r="D26" s="2" t="s">
        <v>146</v>
      </c>
      <c r="E26" s="2" t="s">
        <v>146</v>
      </c>
      <c r="F26" s="2" t="s">
        <v>146</v>
      </c>
      <c r="G26" s="2" t="s">
        <v>146</v>
      </c>
      <c r="H26" s="2" t="s">
        <v>146</v>
      </c>
      <c r="I26" s="2" t="s">
        <v>146</v>
      </c>
      <c r="J26" s="2" t="s">
        <v>146</v>
      </c>
      <c r="K26" s="2" t="s">
        <v>146</v>
      </c>
      <c r="L26" s="2" t="s">
        <v>146</v>
      </c>
      <c r="M26" s="2" t="s">
        <v>146</v>
      </c>
      <c r="N26" s="2" t="s">
        <v>146</v>
      </c>
      <c r="O26" s="2" t="s">
        <v>146</v>
      </c>
      <c r="P26" s="2" t="s">
        <v>146</v>
      </c>
      <c r="Q26" s="2" t="s">
        <v>146</v>
      </c>
      <c r="R26" s="2" t="s">
        <v>146</v>
      </c>
      <c r="S26" s="2" t="s">
        <v>146</v>
      </c>
      <c r="T26" s="2" t="s">
        <v>146</v>
      </c>
      <c r="U26" s="2" t="s">
        <v>146</v>
      </c>
      <c r="V26" s="2" t="s">
        <v>146</v>
      </c>
      <c r="W26" s="2" t="s">
        <v>146</v>
      </c>
      <c r="X26" s="2" t="s">
        <v>146</v>
      </c>
      <c r="Y26" s="2" t="s">
        <v>146</v>
      </c>
      <c r="Z26" s="2" t="s">
        <v>146</v>
      </c>
      <c r="AA26" s="2" t="s">
        <v>146</v>
      </c>
      <c r="AB26" s="2" t="s">
        <v>146</v>
      </c>
      <c r="AC26" s="2" t="s">
        <v>146</v>
      </c>
      <c r="AD26" s="2" t="s">
        <v>146</v>
      </c>
      <c r="AE26" s="2" t="s">
        <v>146</v>
      </c>
      <c r="AF26" s="2" t="s">
        <v>146</v>
      </c>
      <c r="AG26" s="2" t="s">
        <v>146</v>
      </c>
      <c r="AH26" s="2" t="s">
        <v>146</v>
      </c>
      <c r="AI26" s="2" t="s">
        <v>146</v>
      </c>
      <c r="AJ26" s="2" t="s">
        <v>146</v>
      </c>
      <c r="AK26" s="2" t="s">
        <v>146</v>
      </c>
      <c r="AL26" s="2" t="s">
        <v>146</v>
      </c>
      <c r="AM26" s="2" t="s">
        <v>146</v>
      </c>
      <c r="AN26" s="2" t="s">
        <v>146</v>
      </c>
      <c r="AO26" s="2" t="s">
        <v>146</v>
      </c>
      <c r="AQ26" s="2">
        <f t="shared" si="0"/>
        <v>0</v>
      </c>
      <c r="AR26" s="2">
        <f t="shared" si="1"/>
        <v>0</v>
      </c>
      <c r="AT26" s="2">
        <f t="shared" si="2"/>
        <v>0</v>
      </c>
      <c r="AU26" s="2">
        <f t="shared" si="3"/>
        <v>0</v>
      </c>
      <c r="AV26" s="27" t="str">
        <f t="shared" si="4"/>
        <v/>
      </c>
      <c r="AY26" s="2">
        <f t="shared" si="5"/>
        <v>0</v>
      </c>
      <c r="AZ26" s="2">
        <f t="shared" si="6"/>
        <v>0</v>
      </c>
      <c r="BA26" s="2">
        <f t="shared" si="7"/>
        <v>0</v>
      </c>
      <c r="BB26" s="2">
        <f t="shared" si="8"/>
        <v>0</v>
      </c>
      <c r="BC26" s="2">
        <f t="shared" si="9"/>
        <v>0</v>
      </c>
      <c r="BD26" s="2">
        <f t="shared" si="10"/>
        <v>0</v>
      </c>
    </row>
    <row r="27" spans="1:56" ht="15" customHeight="1" x14ac:dyDescent="0.45">
      <c r="A27" s="2" t="s">
        <v>660</v>
      </c>
      <c r="B27" s="2" t="s">
        <v>662</v>
      </c>
      <c r="C27" s="2">
        <v>2019</v>
      </c>
      <c r="D27" s="2" t="s">
        <v>146</v>
      </c>
      <c r="E27" s="2" t="s">
        <v>146</v>
      </c>
      <c r="F27" s="2" t="s">
        <v>146</v>
      </c>
      <c r="G27" s="2" t="s">
        <v>146</v>
      </c>
      <c r="H27" s="2" t="s">
        <v>146</v>
      </c>
      <c r="I27" s="2" t="s">
        <v>146</v>
      </c>
      <c r="J27" s="2" t="s">
        <v>146</v>
      </c>
      <c r="K27" s="2" t="s">
        <v>146</v>
      </c>
      <c r="L27" s="2" t="s">
        <v>146</v>
      </c>
      <c r="M27" s="2" t="s">
        <v>146</v>
      </c>
      <c r="N27" s="2" t="s">
        <v>146</v>
      </c>
      <c r="O27" s="2" t="s">
        <v>146</v>
      </c>
      <c r="P27" s="2" t="s">
        <v>146</v>
      </c>
      <c r="Q27" s="2" t="s">
        <v>146</v>
      </c>
      <c r="R27" s="2" t="s">
        <v>146</v>
      </c>
      <c r="S27" s="2" t="s">
        <v>146</v>
      </c>
      <c r="T27" s="2" t="s">
        <v>146</v>
      </c>
      <c r="U27" s="2" t="s">
        <v>146</v>
      </c>
      <c r="V27" s="2" t="s">
        <v>146</v>
      </c>
      <c r="W27" s="2" t="s">
        <v>146</v>
      </c>
      <c r="X27" s="2" t="s">
        <v>146</v>
      </c>
      <c r="Y27" s="2" t="s">
        <v>146</v>
      </c>
      <c r="Z27" s="2" t="s">
        <v>146</v>
      </c>
      <c r="AA27" s="2" t="s">
        <v>146</v>
      </c>
      <c r="AB27" s="2" t="s">
        <v>146</v>
      </c>
      <c r="AC27" s="2" t="s">
        <v>146</v>
      </c>
      <c r="AD27" s="2" t="s">
        <v>146</v>
      </c>
      <c r="AE27" s="2" t="s">
        <v>146</v>
      </c>
      <c r="AF27" s="2" t="s">
        <v>146</v>
      </c>
      <c r="AG27" s="2" t="s">
        <v>146</v>
      </c>
      <c r="AH27" s="2" t="s">
        <v>146</v>
      </c>
      <c r="AI27" s="2" t="s">
        <v>146</v>
      </c>
      <c r="AJ27" s="2" t="s">
        <v>146</v>
      </c>
      <c r="AK27" s="2" t="s">
        <v>146</v>
      </c>
      <c r="AL27" s="2" t="s">
        <v>146</v>
      </c>
      <c r="AM27" s="2" t="s">
        <v>146</v>
      </c>
      <c r="AN27" s="2" t="s">
        <v>146</v>
      </c>
      <c r="AO27" s="2" t="s">
        <v>146</v>
      </c>
      <c r="AQ27" s="2">
        <f t="shared" si="0"/>
        <v>0</v>
      </c>
      <c r="AR27" s="2">
        <f t="shared" si="1"/>
        <v>0</v>
      </c>
      <c r="AT27" s="2">
        <f t="shared" si="2"/>
        <v>0</v>
      </c>
      <c r="AU27" s="2">
        <f t="shared" si="3"/>
        <v>0</v>
      </c>
      <c r="AV27" s="27" t="str">
        <f t="shared" si="4"/>
        <v/>
      </c>
      <c r="AY27" s="2">
        <f t="shared" si="5"/>
        <v>0</v>
      </c>
      <c r="AZ27" s="2">
        <f t="shared" si="6"/>
        <v>0</v>
      </c>
      <c r="BA27" s="2">
        <f t="shared" si="7"/>
        <v>0</v>
      </c>
      <c r="BB27" s="2">
        <f t="shared" si="8"/>
        <v>0</v>
      </c>
      <c r="BC27" s="2">
        <f t="shared" si="9"/>
        <v>0</v>
      </c>
      <c r="BD27" s="2">
        <f t="shared" si="10"/>
        <v>0</v>
      </c>
    </row>
    <row r="28" spans="1:56" ht="15" customHeight="1" x14ac:dyDescent="0.45">
      <c r="A28" s="2" t="s">
        <v>660</v>
      </c>
      <c r="B28" s="2" t="s">
        <v>661</v>
      </c>
      <c r="C28" s="2">
        <v>2019</v>
      </c>
      <c r="D28" s="2" t="s">
        <v>146</v>
      </c>
      <c r="E28" s="2" t="s">
        <v>146</v>
      </c>
      <c r="F28" s="2" t="s">
        <v>146</v>
      </c>
      <c r="G28" s="2" t="s">
        <v>146</v>
      </c>
      <c r="H28" s="2" t="s">
        <v>146</v>
      </c>
      <c r="I28" s="2" t="s">
        <v>146</v>
      </c>
      <c r="J28" s="2" t="s">
        <v>146</v>
      </c>
      <c r="K28" s="2" t="s">
        <v>146</v>
      </c>
      <c r="L28" s="2" t="s">
        <v>146</v>
      </c>
      <c r="M28" s="2" t="s">
        <v>146</v>
      </c>
      <c r="N28" s="2" t="s">
        <v>146</v>
      </c>
      <c r="O28" s="2" t="s">
        <v>146</v>
      </c>
      <c r="P28" s="2" t="s">
        <v>146</v>
      </c>
      <c r="Q28" s="2" t="s">
        <v>146</v>
      </c>
      <c r="R28" s="2" t="s">
        <v>146</v>
      </c>
      <c r="S28" s="2" t="s">
        <v>146</v>
      </c>
      <c r="T28" s="2" t="s">
        <v>146</v>
      </c>
      <c r="U28" s="2" t="s">
        <v>146</v>
      </c>
      <c r="V28" s="2" t="s">
        <v>146</v>
      </c>
      <c r="W28" s="2" t="s">
        <v>146</v>
      </c>
      <c r="X28" s="2" t="s">
        <v>146</v>
      </c>
      <c r="Y28" s="2" t="s">
        <v>146</v>
      </c>
      <c r="Z28" s="2" t="s">
        <v>146</v>
      </c>
      <c r="AA28" s="2" t="s">
        <v>146</v>
      </c>
      <c r="AB28" s="2" t="s">
        <v>146</v>
      </c>
      <c r="AC28" s="2" t="s">
        <v>146</v>
      </c>
      <c r="AD28" s="2" t="s">
        <v>146</v>
      </c>
      <c r="AE28" s="2" t="s">
        <v>146</v>
      </c>
      <c r="AF28" s="2" t="s">
        <v>146</v>
      </c>
      <c r="AG28" s="2" t="s">
        <v>146</v>
      </c>
      <c r="AH28" s="2" t="s">
        <v>146</v>
      </c>
      <c r="AI28" s="2" t="s">
        <v>146</v>
      </c>
      <c r="AJ28" s="2" t="s">
        <v>146</v>
      </c>
      <c r="AK28" s="2" t="s">
        <v>146</v>
      </c>
      <c r="AL28" s="2" t="s">
        <v>146</v>
      </c>
      <c r="AM28" s="2" t="s">
        <v>146</v>
      </c>
      <c r="AN28" s="2" t="s">
        <v>146</v>
      </c>
      <c r="AO28" s="2" t="s">
        <v>146</v>
      </c>
      <c r="AQ28" s="2">
        <f t="shared" si="0"/>
        <v>0</v>
      </c>
      <c r="AR28" s="2">
        <f t="shared" si="1"/>
        <v>0</v>
      </c>
      <c r="AT28" s="2">
        <f t="shared" si="2"/>
        <v>0</v>
      </c>
      <c r="AU28" s="2">
        <f t="shared" si="3"/>
        <v>0</v>
      </c>
      <c r="AV28" s="27" t="str">
        <f t="shared" si="4"/>
        <v/>
      </c>
      <c r="AY28" s="2">
        <f t="shared" si="5"/>
        <v>0</v>
      </c>
      <c r="AZ28" s="2">
        <f t="shared" si="6"/>
        <v>0</v>
      </c>
      <c r="BA28" s="2">
        <f t="shared" si="7"/>
        <v>0</v>
      </c>
      <c r="BB28" s="2">
        <f t="shared" si="8"/>
        <v>0</v>
      </c>
      <c r="BC28" s="2">
        <f t="shared" si="9"/>
        <v>0</v>
      </c>
      <c r="BD28" s="2">
        <f t="shared" si="10"/>
        <v>0</v>
      </c>
    </row>
    <row r="29" spans="1:56" ht="15" customHeight="1" x14ac:dyDescent="0.45">
      <c r="A29" s="2" t="s">
        <v>660</v>
      </c>
      <c r="B29" s="2" t="s">
        <v>659</v>
      </c>
      <c r="C29" s="2">
        <v>2019</v>
      </c>
      <c r="D29" s="2" t="s">
        <v>146</v>
      </c>
      <c r="E29" s="2" t="s">
        <v>146</v>
      </c>
      <c r="F29" s="2" t="s">
        <v>146</v>
      </c>
      <c r="G29" s="2" t="s">
        <v>146</v>
      </c>
      <c r="H29" s="2" t="s">
        <v>146</v>
      </c>
      <c r="I29" s="2" t="s">
        <v>146</v>
      </c>
      <c r="J29" s="2" t="s">
        <v>146</v>
      </c>
      <c r="K29" s="2" t="s">
        <v>146</v>
      </c>
      <c r="L29" s="2" t="s">
        <v>146</v>
      </c>
      <c r="M29" s="2" t="s">
        <v>146</v>
      </c>
      <c r="N29" s="2" t="s">
        <v>146</v>
      </c>
      <c r="O29" s="2" t="s">
        <v>146</v>
      </c>
      <c r="P29" s="2" t="s">
        <v>146</v>
      </c>
      <c r="Q29" s="2" t="s">
        <v>146</v>
      </c>
      <c r="R29" s="2" t="s">
        <v>146</v>
      </c>
      <c r="S29" s="2" t="s">
        <v>146</v>
      </c>
      <c r="T29" s="2" t="s">
        <v>146</v>
      </c>
      <c r="U29" s="2" t="s">
        <v>146</v>
      </c>
      <c r="V29" s="2" t="s">
        <v>146</v>
      </c>
      <c r="W29" s="2" t="s">
        <v>146</v>
      </c>
      <c r="X29" s="2" t="s">
        <v>146</v>
      </c>
      <c r="Y29" s="2" t="s">
        <v>146</v>
      </c>
      <c r="Z29" s="2" t="s">
        <v>146</v>
      </c>
      <c r="AA29" s="2" t="s">
        <v>146</v>
      </c>
      <c r="AB29" s="2" t="s">
        <v>146</v>
      </c>
      <c r="AC29" s="2" t="s">
        <v>146</v>
      </c>
      <c r="AD29" s="2" t="s">
        <v>146</v>
      </c>
      <c r="AE29" s="2" t="s">
        <v>146</v>
      </c>
      <c r="AF29" s="2" t="s">
        <v>146</v>
      </c>
      <c r="AG29" s="2" t="s">
        <v>146</v>
      </c>
      <c r="AH29" s="2" t="s">
        <v>146</v>
      </c>
      <c r="AI29" s="2" t="s">
        <v>146</v>
      </c>
      <c r="AJ29" s="2" t="s">
        <v>146</v>
      </c>
      <c r="AK29" s="2" t="s">
        <v>146</v>
      </c>
      <c r="AL29" s="2" t="s">
        <v>146</v>
      </c>
      <c r="AM29" s="2" t="s">
        <v>146</v>
      </c>
      <c r="AN29" s="2" t="s">
        <v>146</v>
      </c>
      <c r="AO29" s="2" t="s">
        <v>146</v>
      </c>
      <c r="AQ29" s="2">
        <f t="shared" si="0"/>
        <v>0</v>
      </c>
      <c r="AR29" s="2">
        <f t="shared" si="1"/>
        <v>0</v>
      </c>
      <c r="AT29" s="2">
        <f t="shared" si="2"/>
        <v>0</v>
      </c>
      <c r="AU29" s="2">
        <f t="shared" si="3"/>
        <v>0</v>
      </c>
      <c r="AV29" s="27" t="str">
        <f t="shared" si="4"/>
        <v/>
      </c>
      <c r="AY29" s="2">
        <f t="shared" si="5"/>
        <v>0</v>
      </c>
      <c r="AZ29" s="2">
        <f t="shared" si="6"/>
        <v>0</v>
      </c>
      <c r="BA29" s="2">
        <f t="shared" si="7"/>
        <v>0</v>
      </c>
      <c r="BB29" s="2">
        <f t="shared" si="8"/>
        <v>0</v>
      </c>
      <c r="BC29" s="2">
        <f t="shared" si="9"/>
        <v>0</v>
      </c>
      <c r="BD29" s="2">
        <f t="shared" si="10"/>
        <v>0</v>
      </c>
    </row>
    <row r="30" spans="1:56" ht="15" customHeight="1" x14ac:dyDescent="0.45">
      <c r="A30" s="2" t="s">
        <v>657</v>
      </c>
      <c r="B30" s="2" t="s">
        <v>656</v>
      </c>
      <c r="C30" s="2">
        <v>2019</v>
      </c>
      <c r="D30" s="2" t="s">
        <v>146</v>
      </c>
      <c r="E30" s="2" t="s">
        <v>146</v>
      </c>
      <c r="F30" s="2" t="s">
        <v>146</v>
      </c>
      <c r="G30" s="2" t="s">
        <v>146</v>
      </c>
      <c r="H30" s="2" t="s">
        <v>146</v>
      </c>
      <c r="I30" s="2" t="s">
        <v>146</v>
      </c>
      <c r="J30" s="2" t="s">
        <v>146</v>
      </c>
      <c r="K30" s="2" t="s">
        <v>146</v>
      </c>
      <c r="L30" s="2" t="s">
        <v>146</v>
      </c>
      <c r="M30" s="2" t="s">
        <v>146</v>
      </c>
      <c r="N30" s="2" t="s">
        <v>146</v>
      </c>
      <c r="O30" s="2" t="s">
        <v>146</v>
      </c>
      <c r="P30" s="2" t="s">
        <v>146</v>
      </c>
      <c r="Q30" s="2" t="s">
        <v>146</v>
      </c>
      <c r="R30" s="2" t="s">
        <v>146</v>
      </c>
      <c r="S30" s="2" t="s">
        <v>146</v>
      </c>
      <c r="T30" s="2" t="s">
        <v>146</v>
      </c>
      <c r="U30" s="2" t="s">
        <v>146</v>
      </c>
      <c r="V30" s="2" t="s">
        <v>146</v>
      </c>
      <c r="W30" s="2" t="s">
        <v>146</v>
      </c>
      <c r="X30" s="2" t="s">
        <v>146</v>
      </c>
      <c r="Y30" s="2" t="s">
        <v>146</v>
      </c>
      <c r="Z30" s="2" t="s">
        <v>146</v>
      </c>
      <c r="AA30" s="2" t="s">
        <v>146</v>
      </c>
      <c r="AB30" s="2" t="s">
        <v>146</v>
      </c>
      <c r="AC30" s="2" t="s">
        <v>146</v>
      </c>
      <c r="AD30" s="2" t="s">
        <v>146</v>
      </c>
      <c r="AE30" s="2" t="s">
        <v>146</v>
      </c>
      <c r="AF30" s="2" t="s">
        <v>146</v>
      </c>
      <c r="AG30" s="2" t="s">
        <v>146</v>
      </c>
      <c r="AH30" s="2" t="s">
        <v>146</v>
      </c>
      <c r="AI30" s="2" t="s">
        <v>146</v>
      </c>
      <c r="AJ30" s="2" t="s">
        <v>146</v>
      </c>
      <c r="AK30" s="2" t="s">
        <v>146</v>
      </c>
      <c r="AL30" s="2" t="s">
        <v>146</v>
      </c>
      <c r="AM30" s="2" t="s">
        <v>146</v>
      </c>
      <c r="AN30" s="2" t="s">
        <v>146</v>
      </c>
      <c r="AO30" s="2" t="s">
        <v>146</v>
      </c>
      <c r="AQ30" s="2">
        <f t="shared" si="0"/>
        <v>0</v>
      </c>
      <c r="AR30" s="2">
        <f t="shared" si="1"/>
        <v>0</v>
      </c>
      <c r="AT30" s="2">
        <f t="shared" si="2"/>
        <v>0</v>
      </c>
      <c r="AU30" s="2">
        <f t="shared" si="3"/>
        <v>0</v>
      </c>
      <c r="AV30" s="27" t="str">
        <f t="shared" si="4"/>
        <v/>
      </c>
      <c r="AY30" s="2">
        <f t="shared" si="5"/>
        <v>0</v>
      </c>
      <c r="AZ30" s="2">
        <f t="shared" si="6"/>
        <v>0</v>
      </c>
      <c r="BA30" s="2">
        <f t="shared" si="7"/>
        <v>0</v>
      </c>
      <c r="BB30" s="2">
        <f t="shared" si="8"/>
        <v>0</v>
      </c>
      <c r="BC30" s="2">
        <f t="shared" si="9"/>
        <v>0</v>
      </c>
      <c r="BD30" s="2">
        <f t="shared" si="10"/>
        <v>0</v>
      </c>
    </row>
    <row r="31" spans="1:56" ht="15" customHeight="1" x14ac:dyDescent="0.45">
      <c r="A31" s="2" t="s">
        <v>53</v>
      </c>
      <c r="B31" s="2" t="s">
        <v>54</v>
      </c>
      <c r="C31" s="2">
        <v>2019</v>
      </c>
      <c r="D31" s="2" t="s">
        <v>146</v>
      </c>
      <c r="E31" s="2" t="s">
        <v>146</v>
      </c>
      <c r="F31" s="2" t="s">
        <v>146</v>
      </c>
      <c r="G31" s="2" t="s">
        <v>146</v>
      </c>
      <c r="H31" s="2" t="s">
        <v>146</v>
      </c>
      <c r="I31" s="2" t="s">
        <v>146</v>
      </c>
      <c r="J31" s="2" t="s">
        <v>146</v>
      </c>
      <c r="K31" s="2" t="s">
        <v>146</v>
      </c>
      <c r="L31" s="2" t="s">
        <v>146</v>
      </c>
      <c r="M31" s="2" t="s">
        <v>146</v>
      </c>
      <c r="N31" s="2" t="s">
        <v>146</v>
      </c>
      <c r="O31" s="2" t="s">
        <v>146</v>
      </c>
      <c r="P31" s="2" t="s">
        <v>146</v>
      </c>
      <c r="Q31" s="2" t="s">
        <v>146</v>
      </c>
      <c r="R31" s="2" t="s">
        <v>146</v>
      </c>
      <c r="S31" s="2" t="s">
        <v>146</v>
      </c>
      <c r="T31" s="2" t="s">
        <v>146</v>
      </c>
      <c r="U31" s="2" t="s">
        <v>146</v>
      </c>
      <c r="V31" s="2" t="s">
        <v>146</v>
      </c>
      <c r="W31" s="2" t="s">
        <v>146</v>
      </c>
      <c r="X31" s="2" t="s">
        <v>146</v>
      </c>
      <c r="Y31" s="2" t="s">
        <v>146</v>
      </c>
      <c r="Z31" s="2" t="s">
        <v>146</v>
      </c>
      <c r="AA31" s="2" t="s">
        <v>146</v>
      </c>
      <c r="AB31" s="2" t="s">
        <v>146</v>
      </c>
      <c r="AC31" s="2" t="s">
        <v>146</v>
      </c>
      <c r="AD31" s="2" t="s">
        <v>146</v>
      </c>
      <c r="AE31" s="2" t="s">
        <v>146</v>
      </c>
      <c r="AF31" s="2" t="s">
        <v>146</v>
      </c>
      <c r="AG31" s="2" t="s">
        <v>146</v>
      </c>
      <c r="AH31" s="2" t="s">
        <v>146</v>
      </c>
      <c r="AI31" s="2" t="s">
        <v>146</v>
      </c>
      <c r="AJ31" s="2" t="s">
        <v>146</v>
      </c>
      <c r="AK31" s="2" t="s">
        <v>146</v>
      </c>
      <c r="AL31" s="2" t="s">
        <v>146</v>
      </c>
      <c r="AM31" s="2" t="s">
        <v>146</v>
      </c>
      <c r="AN31" s="2" t="s">
        <v>146</v>
      </c>
      <c r="AO31" s="2" t="s">
        <v>146</v>
      </c>
      <c r="AQ31" s="2">
        <f t="shared" si="0"/>
        <v>0</v>
      </c>
      <c r="AR31" s="2">
        <f t="shared" si="1"/>
        <v>0</v>
      </c>
      <c r="AT31" s="2">
        <f t="shared" si="2"/>
        <v>0</v>
      </c>
      <c r="AU31" s="2">
        <f t="shared" si="3"/>
        <v>0</v>
      </c>
      <c r="AV31" s="27" t="str">
        <f t="shared" si="4"/>
        <v/>
      </c>
      <c r="AY31" s="2">
        <f t="shared" si="5"/>
        <v>0</v>
      </c>
      <c r="AZ31" s="2">
        <f t="shared" si="6"/>
        <v>0</v>
      </c>
      <c r="BA31" s="2">
        <f t="shared" si="7"/>
        <v>0</v>
      </c>
      <c r="BB31" s="2">
        <f t="shared" si="8"/>
        <v>0</v>
      </c>
      <c r="BC31" s="2">
        <f t="shared" si="9"/>
        <v>0</v>
      </c>
      <c r="BD31" s="2">
        <f t="shared" si="10"/>
        <v>0</v>
      </c>
    </row>
    <row r="32" spans="1:56" ht="15" customHeight="1" x14ac:dyDescent="0.45">
      <c r="A32" s="2" t="s">
        <v>655</v>
      </c>
      <c r="B32" s="2" t="s">
        <v>654</v>
      </c>
      <c r="C32" s="2">
        <v>2019</v>
      </c>
      <c r="D32" s="2" t="s">
        <v>146</v>
      </c>
      <c r="E32" s="2" t="s">
        <v>146</v>
      </c>
      <c r="F32" s="2" t="s">
        <v>146</v>
      </c>
      <c r="G32" s="2" t="s">
        <v>146</v>
      </c>
      <c r="H32" s="2" t="s">
        <v>146</v>
      </c>
      <c r="I32" s="2" t="s">
        <v>146</v>
      </c>
      <c r="J32" s="2" t="s">
        <v>146</v>
      </c>
      <c r="K32" s="2" t="s">
        <v>146</v>
      </c>
      <c r="L32" s="2" t="s">
        <v>146</v>
      </c>
      <c r="M32" s="2" t="s">
        <v>146</v>
      </c>
      <c r="N32" s="2" t="s">
        <v>146</v>
      </c>
      <c r="O32" s="2" t="s">
        <v>146</v>
      </c>
      <c r="P32" s="2" t="s">
        <v>146</v>
      </c>
      <c r="Q32" s="2" t="s">
        <v>146</v>
      </c>
      <c r="R32" s="2" t="s">
        <v>146</v>
      </c>
      <c r="S32" s="2" t="s">
        <v>146</v>
      </c>
      <c r="T32" s="2" t="s">
        <v>146</v>
      </c>
      <c r="U32" s="2" t="s">
        <v>146</v>
      </c>
      <c r="V32" s="2" t="s">
        <v>146</v>
      </c>
      <c r="W32" s="2" t="s">
        <v>146</v>
      </c>
      <c r="X32" s="2" t="s">
        <v>146</v>
      </c>
      <c r="Y32" s="2" t="s">
        <v>146</v>
      </c>
      <c r="Z32" s="2" t="s">
        <v>146</v>
      </c>
      <c r="AA32" s="2" t="s">
        <v>146</v>
      </c>
      <c r="AB32" s="2" t="s">
        <v>146</v>
      </c>
      <c r="AC32" s="2" t="s">
        <v>146</v>
      </c>
      <c r="AD32" s="2" t="s">
        <v>146</v>
      </c>
      <c r="AE32" s="2" t="s">
        <v>146</v>
      </c>
      <c r="AF32" s="2" t="s">
        <v>146</v>
      </c>
      <c r="AG32" s="2" t="s">
        <v>146</v>
      </c>
      <c r="AH32" s="2" t="s">
        <v>155</v>
      </c>
      <c r="AI32" s="2" t="s">
        <v>146</v>
      </c>
      <c r="AJ32" s="2" t="s">
        <v>146</v>
      </c>
      <c r="AK32" s="2" t="s">
        <v>146</v>
      </c>
      <c r="AL32" s="2" t="s">
        <v>146</v>
      </c>
      <c r="AM32" s="2" t="s">
        <v>146</v>
      </c>
      <c r="AN32" s="2" t="s">
        <v>146</v>
      </c>
      <c r="AO32" s="2" t="s">
        <v>146</v>
      </c>
      <c r="AQ32" s="2">
        <f t="shared" si="0"/>
        <v>0</v>
      </c>
      <c r="AR32" s="2">
        <f t="shared" si="1"/>
        <v>0</v>
      </c>
      <c r="AT32" s="2">
        <f t="shared" si="2"/>
        <v>0</v>
      </c>
      <c r="AU32" s="2">
        <f t="shared" si="3"/>
        <v>0</v>
      </c>
      <c r="AV32" s="27" t="str">
        <f t="shared" si="4"/>
        <v/>
      </c>
      <c r="AY32" s="2">
        <f t="shared" si="5"/>
        <v>0</v>
      </c>
      <c r="AZ32" s="2">
        <f t="shared" si="6"/>
        <v>0</v>
      </c>
      <c r="BA32" s="2">
        <f t="shared" si="7"/>
        <v>0</v>
      </c>
      <c r="BB32" s="2">
        <f t="shared" si="8"/>
        <v>0</v>
      </c>
      <c r="BC32" s="2">
        <f t="shared" si="9"/>
        <v>0</v>
      </c>
      <c r="BD32" s="2">
        <f t="shared" si="10"/>
        <v>0</v>
      </c>
    </row>
    <row r="33" spans="1:56" ht="15" customHeight="1" x14ac:dyDescent="0.45">
      <c r="A33" s="2" t="s">
        <v>653</v>
      </c>
      <c r="B33" s="2" t="s">
        <v>652</v>
      </c>
      <c r="C33" s="2">
        <v>2019</v>
      </c>
      <c r="D33" s="2" t="s">
        <v>146</v>
      </c>
      <c r="E33" s="2" t="s">
        <v>146</v>
      </c>
      <c r="F33" s="2" t="s">
        <v>146</v>
      </c>
      <c r="G33" s="2" t="s">
        <v>146</v>
      </c>
      <c r="H33" s="2" t="s">
        <v>146</v>
      </c>
      <c r="I33" s="2" t="s">
        <v>146</v>
      </c>
      <c r="J33" s="2" t="s">
        <v>146</v>
      </c>
      <c r="K33" s="2" t="s">
        <v>146</v>
      </c>
      <c r="L33" s="2" t="s">
        <v>146</v>
      </c>
      <c r="M33" s="2" t="s">
        <v>146</v>
      </c>
      <c r="N33" s="2" t="s">
        <v>146</v>
      </c>
      <c r="O33" s="2" t="s">
        <v>146</v>
      </c>
      <c r="P33" s="2" t="s">
        <v>146</v>
      </c>
      <c r="Q33" s="2" t="s">
        <v>146</v>
      </c>
      <c r="R33" s="2" t="s">
        <v>146</v>
      </c>
      <c r="S33" s="2" t="s">
        <v>146</v>
      </c>
      <c r="T33" s="2" t="s">
        <v>146</v>
      </c>
      <c r="U33" s="2" t="s">
        <v>146</v>
      </c>
      <c r="V33" s="2" t="s">
        <v>146</v>
      </c>
      <c r="W33" s="2" t="s">
        <v>146</v>
      </c>
      <c r="X33" s="2" t="s">
        <v>146</v>
      </c>
      <c r="Y33" s="2" t="s">
        <v>146</v>
      </c>
      <c r="Z33" s="2" t="s">
        <v>146</v>
      </c>
      <c r="AA33" s="2" t="s">
        <v>146</v>
      </c>
      <c r="AB33" s="2" t="s">
        <v>146</v>
      </c>
      <c r="AC33" s="2" t="s">
        <v>146</v>
      </c>
      <c r="AD33" s="2" t="s">
        <v>146</v>
      </c>
      <c r="AE33" s="2" t="s">
        <v>146</v>
      </c>
      <c r="AF33" s="2" t="s">
        <v>146</v>
      </c>
      <c r="AG33" s="2" t="s">
        <v>146</v>
      </c>
      <c r="AH33" s="2" t="s">
        <v>146</v>
      </c>
      <c r="AI33" s="2" t="s">
        <v>146</v>
      </c>
      <c r="AJ33" s="2" t="s">
        <v>146</v>
      </c>
      <c r="AK33" s="2" t="s">
        <v>146</v>
      </c>
      <c r="AL33" s="2" t="s">
        <v>146</v>
      </c>
      <c r="AM33" s="2" t="s">
        <v>146</v>
      </c>
      <c r="AN33" s="2" t="s">
        <v>146</v>
      </c>
      <c r="AO33" s="2" t="s">
        <v>146</v>
      </c>
      <c r="AQ33" s="2">
        <f t="shared" si="0"/>
        <v>0</v>
      </c>
      <c r="AR33" s="2">
        <f t="shared" si="1"/>
        <v>0</v>
      </c>
      <c r="AT33" s="2">
        <f t="shared" si="2"/>
        <v>0</v>
      </c>
      <c r="AU33" s="2">
        <f t="shared" si="3"/>
        <v>0</v>
      </c>
      <c r="AV33" s="27" t="str">
        <f t="shared" si="4"/>
        <v/>
      </c>
      <c r="AY33" s="2">
        <f t="shared" si="5"/>
        <v>0</v>
      </c>
      <c r="AZ33" s="2">
        <f t="shared" si="6"/>
        <v>0</v>
      </c>
      <c r="BA33" s="2">
        <f t="shared" si="7"/>
        <v>0</v>
      </c>
      <c r="BB33" s="2">
        <f t="shared" si="8"/>
        <v>0</v>
      </c>
      <c r="BC33" s="2">
        <f t="shared" si="9"/>
        <v>0</v>
      </c>
      <c r="BD33" s="2">
        <f t="shared" si="10"/>
        <v>0</v>
      </c>
    </row>
    <row r="34" spans="1:56" ht="15" customHeight="1" x14ac:dyDescent="0.45">
      <c r="A34" s="2" t="s">
        <v>651</v>
      </c>
      <c r="B34" s="2" t="s">
        <v>62</v>
      </c>
      <c r="C34" s="2">
        <v>2019</v>
      </c>
      <c r="D34" s="2">
        <v>277</v>
      </c>
      <c r="E34" s="2">
        <v>55</v>
      </c>
      <c r="F34" s="2" t="s">
        <v>146</v>
      </c>
      <c r="G34" s="2" t="s">
        <v>146</v>
      </c>
      <c r="H34" s="2" t="s">
        <v>146</v>
      </c>
      <c r="I34" s="2">
        <v>397.7</v>
      </c>
      <c r="J34" s="2" t="s">
        <v>146</v>
      </c>
      <c r="K34" s="2" t="s">
        <v>146</v>
      </c>
      <c r="L34" s="2" t="s">
        <v>146</v>
      </c>
      <c r="M34" s="2" t="s">
        <v>146</v>
      </c>
      <c r="N34" s="2" t="s">
        <v>146</v>
      </c>
      <c r="O34" s="2" t="s">
        <v>146</v>
      </c>
      <c r="P34" s="2" t="s">
        <v>146</v>
      </c>
      <c r="Q34" s="2" t="s">
        <v>146</v>
      </c>
      <c r="R34" s="2" t="s">
        <v>146</v>
      </c>
      <c r="S34" s="2" t="s">
        <v>146</v>
      </c>
      <c r="T34" s="2" t="s">
        <v>146</v>
      </c>
      <c r="U34" s="2" t="s">
        <v>146</v>
      </c>
      <c r="V34" s="2" t="s">
        <v>146</v>
      </c>
      <c r="W34" s="2" t="s">
        <v>146</v>
      </c>
      <c r="X34" s="2" t="s">
        <v>146</v>
      </c>
      <c r="Y34" s="2" t="s">
        <v>146</v>
      </c>
      <c r="Z34" s="2" t="s">
        <v>146</v>
      </c>
      <c r="AA34" s="2">
        <v>6</v>
      </c>
      <c r="AB34" s="2" t="s">
        <v>146</v>
      </c>
      <c r="AC34" s="2" t="s">
        <v>146</v>
      </c>
      <c r="AD34" s="2" t="s">
        <v>146</v>
      </c>
      <c r="AE34" s="2" t="s">
        <v>146</v>
      </c>
      <c r="AF34" s="2">
        <v>368</v>
      </c>
      <c r="AG34" s="2">
        <v>3.3</v>
      </c>
      <c r="AH34" s="2" t="s">
        <v>160</v>
      </c>
      <c r="AI34" s="2">
        <v>37.299999999999997</v>
      </c>
      <c r="AJ34" s="2" t="s">
        <v>146</v>
      </c>
      <c r="AK34" s="2">
        <v>23.7</v>
      </c>
      <c r="AL34" s="2">
        <v>2</v>
      </c>
      <c r="AM34" s="2">
        <v>98</v>
      </c>
      <c r="AN34" s="2">
        <v>0</v>
      </c>
      <c r="AO34" s="2">
        <v>0</v>
      </c>
      <c r="AQ34" s="2">
        <f t="shared" si="0"/>
        <v>374</v>
      </c>
      <c r="AR34" s="2">
        <f t="shared" si="1"/>
        <v>397.7</v>
      </c>
      <c r="AT34" s="2">
        <f t="shared" si="2"/>
        <v>277</v>
      </c>
      <c r="AU34" s="2">
        <f t="shared" si="3"/>
        <v>55</v>
      </c>
      <c r="AV34" s="27">
        <f t="shared" si="4"/>
        <v>0.83480010057832543</v>
      </c>
      <c r="AY34" s="2">
        <f t="shared" si="5"/>
        <v>23.7</v>
      </c>
      <c r="AZ34" s="2">
        <f t="shared" si="6"/>
        <v>0.47399999999999998</v>
      </c>
      <c r="BA34" s="2">
        <f t="shared" si="7"/>
        <v>23.225999999999999</v>
      </c>
      <c r="BB34" s="2">
        <f t="shared" si="8"/>
        <v>0</v>
      </c>
      <c r="BC34" s="2">
        <f t="shared" si="9"/>
        <v>0</v>
      </c>
      <c r="BD34" s="2">
        <f t="shared" si="10"/>
        <v>0</v>
      </c>
    </row>
    <row r="35" spans="1:56" ht="15" customHeight="1" x14ac:dyDescent="0.45">
      <c r="A35" s="2" t="s">
        <v>647</v>
      </c>
      <c r="B35" s="2" t="s">
        <v>650</v>
      </c>
      <c r="C35" s="2">
        <v>2019</v>
      </c>
      <c r="D35" s="2" t="s">
        <v>146</v>
      </c>
      <c r="E35" s="2" t="s">
        <v>146</v>
      </c>
      <c r="F35" s="2" t="s">
        <v>146</v>
      </c>
      <c r="G35" s="2" t="s">
        <v>146</v>
      </c>
      <c r="H35" s="2" t="s">
        <v>146</v>
      </c>
      <c r="I35" s="2" t="s">
        <v>146</v>
      </c>
      <c r="J35" s="2" t="s">
        <v>146</v>
      </c>
      <c r="K35" s="2" t="s">
        <v>146</v>
      </c>
      <c r="L35" s="2" t="s">
        <v>146</v>
      </c>
      <c r="M35" s="2" t="s">
        <v>146</v>
      </c>
      <c r="N35" s="2" t="s">
        <v>146</v>
      </c>
      <c r="O35" s="2" t="s">
        <v>146</v>
      </c>
      <c r="P35" s="2" t="s">
        <v>146</v>
      </c>
      <c r="Q35" s="2" t="s">
        <v>146</v>
      </c>
      <c r="R35" s="2" t="s">
        <v>146</v>
      </c>
      <c r="S35" s="2" t="s">
        <v>146</v>
      </c>
      <c r="T35" s="2" t="s">
        <v>146</v>
      </c>
      <c r="U35" s="2" t="s">
        <v>146</v>
      </c>
      <c r="V35" s="2" t="s">
        <v>146</v>
      </c>
      <c r="W35" s="2" t="s">
        <v>146</v>
      </c>
      <c r="X35" s="2" t="s">
        <v>146</v>
      </c>
      <c r="Y35" s="2" t="s">
        <v>146</v>
      </c>
      <c r="Z35" s="2" t="s">
        <v>146</v>
      </c>
      <c r="AA35" s="2" t="s">
        <v>146</v>
      </c>
      <c r="AB35" s="2" t="s">
        <v>146</v>
      </c>
      <c r="AC35" s="2" t="s">
        <v>146</v>
      </c>
      <c r="AD35" s="2" t="s">
        <v>146</v>
      </c>
      <c r="AE35" s="2" t="s">
        <v>146</v>
      </c>
      <c r="AF35" s="2" t="s">
        <v>146</v>
      </c>
      <c r="AG35" s="2" t="s">
        <v>146</v>
      </c>
      <c r="AH35" s="2" t="s">
        <v>146</v>
      </c>
      <c r="AI35" s="2" t="s">
        <v>146</v>
      </c>
      <c r="AJ35" s="2" t="s">
        <v>146</v>
      </c>
      <c r="AK35" s="2" t="s">
        <v>146</v>
      </c>
      <c r="AL35" s="2" t="s">
        <v>146</v>
      </c>
      <c r="AM35" s="2" t="s">
        <v>146</v>
      </c>
      <c r="AN35" s="2" t="s">
        <v>146</v>
      </c>
      <c r="AO35" s="2" t="s">
        <v>146</v>
      </c>
      <c r="AQ35" s="2">
        <f t="shared" si="0"/>
        <v>0</v>
      </c>
      <c r="AR35" s="2">
        <f t="shared" si="1"/>
        <v>0</v>
      </c>
      <c r="AT35" s="2">
        <f t="shared" si="2"/>
        <v>0</v>
      </c>
      <c r="AU35" s="2">
        <f t="shared" si="3"/>
        <v>0</v>
      </c>
      <c r="AV35" s="27" t="str">
        <f t="shared" si="4"/>
        <v/>
      </c>
      <c r="AY35" s="2">
        <f t="shared" si="5"/>
        <v>0</v>
      </c>
      <c r="AZ35" s="2">
        <f t="shared" si="6"/>
        <v>0</v>
      </c>
      <c r="BA35" s="2">
        <f t="shared" si="7"/>
        <v>0</v>
      </c>
      <c r="BB35" s="2">
        <f t="shared" si="8"/>
        <v>0</v>
      </c>
      <c r="BC35" s="2">
        <f t="shared" si="9"/>
        <v>0</v>
      </c>
      <c r="BD35" s="2">
        <f t="shared" si="10"/>
        <v>0</v>
      </c>
    </row>
    <row r="36" spans="1:56" ht="15" customHeight="1" x14ac:dyDescent="0.45">
      <c r="A36" s="2" t="s">
        <v>647</v>
      </c>
      <c r="B36" s="2" t="s">
        <v>649</v>
      </c>
      <c r="C36" s="2">
        <v>2019</v>
      </c>
      <c r="D36" s="2">
        <v>130.65</v>
      </c>
      <c r="E36" s="2">
        <v>32.6</v>
      </c>
      <c r="F36" s="2" t="s">
        <v>146</v>
      </c>
      <c r="G36" s="2" t="s">
        <v>146</v>
      </c>
      <c r="H36" s="2" t="s">
        <v>146</v>
      </c>
      <c r="I36" s="2">
        <v>181.39</v>
      </c>
      <c r="J36" s="2" t="s">
        <v>146</v>
      </c>
      <c r="K36" s="2">
        <v>0.65</v>
      </c>
      <c r="L36" s="2" t="s">
        <v>146</v>
      </c>
      <c r="M36" s="2" t="s">
        <v>146</v>
      </c>
      <c r="N36" s="2" t="s">
        <v>146</v>
      </c>
      <c r="O36" s="2" t="s">
        <v>146</v>
      </c>
      <c r="P36" s="2" t="s">
        <v>146</v>
      </c>
      <c r="Q36" s="2" t="s">
        <v>146</v>
      </c>
      <c r="R36" s="2">
        <v>2.29</v>
      </c>
      <c r="S36" s="2" t="s">
        <v>146</v>
      </c>
      <c r="T36" s="2" t="s">
        <v>146</v>
      </c>
      <c r="U36" s="2" t="s">
        <v>146</v>
      </c>
      <c r="V36" s="2" t="s">
        <v>146</v>
      </c>
      <c r="W36" s="2" t="s">
        <v>147</v>
      </c>
      <c r="X36" s="2" t="s">
        <v>146</v>
      </c>
      <c r="Y36" s="2" t="s">
        <v>146</v>
      </c>
      <c r="Z36" s="2" t="s">
        <v>146</v>
      </c>
      <c r="AA36" s="2">
        <v>4.72</v>
      </c>
      <c r="AB36" s="2" t="s">
        <v>146</v>
      </c>
      <c r="AC36" s="2" t="s">
        <v>146</v>
      </c>
      <c r="AD36" s="2" t="s">
        <v>146</v>
      </c>
      <c r="AE36" s="2" t="s">
        <v>146</v>
      </c>
      <c r="AF36" s="2">
        <v>161.41999999999999</v>
      </c>
      <c r="AG36" s="2" t="s">
        <v>146</v>
      </c>
      <c r="AH36" s="2" t="s">
        <v>160</v>
      </c>
      <c r="AI36" s="2">
        <v>37.299999999999997</v>
      </c>
      <c r="AJ36" s="2" t="s">
        <v>146</v>
      </c>
      <c r="AK36" s="2">
        <v>12.31</v>
      </c>
      <c r="AL36" s="2">
        <v>2.25</v>
      </c>
      <c r="AM36" s="2">
        <v>97.75</v>
      </c>
      <c r="AN36" s="2">
        <v>0</v>
      </c>
      <c r="AO36" s="2">
        <v>0</v>
      </c>
      <c r="AQ36" s="2">
        <f t="shared" si="0"/>
        <v>169.07999999999998</v>
      </c>
      <c r="AR36" s="2">
        <f t="shared" si="1"/>
        <v>181.39</v>
      </c>
      <c r="AT36" s="2">
        <f t="shared" si="2"/>
        <v>130.65</v>
      </c>
      <c r="AU36" s="2">
        <f t="shared" si="3"/>
        <v>32.6</v>
      </c>
      <c r="AV36" s="27">
        <f t="shared" si="4"/>
        <v>0.89999448701692497</v>
      </c>
      <c r="AY36" s="2">
        <f t="shared" si="5"/>
        <v>12.31</v>
      </c>
      <c r="AZ36" s="2">
        <f t="shared" si="6"/>
        <v>0.27697500000000003</v>
      </c>
      <c r="BA36" s="2">
        <f t="shared" si="7"/>
        <v>12.033025</v>
      </c>
      <c r="BB36" s="2">
        <f t="shared" si="8"/>
        <v>0</v>
      </c>
      <c r="BC36" s="2">
        <f t="shared" si="9"/>
        <v>0</v>
      </c>
      <c r="BD36" s="2">
        <f t="shared" si="10"/>
        <v>0</v>
      </c>
    </row>
    <row r="37" spans="1:56" ht="15" customHeight="1" x14ac:dyDescent="0.45">
      <c r="A37" s="2" t="s">
        <v>647</v>
      </c>
      <c r="B37" s="2" t="s">
        <v>646</v>
      </c>
      <c r="C37" s="2">
        <v>2019</v>
      </c>
      <c r="D37" s="2" t="s">
        <v>146</v>
      </c>
      <c r="E37" s="2" t="s">
        <v>146</v>
      </c>
      <c r="F37" s="2" t="s">
        <v>146</v>
      </c>
      <c r="G37" s="2" t="s">
        <v>146</v>
      </c>
      <c r="H37" s="2" t="s">
        <v>146</v>
      </c>
      <c r="I37" s="2" t="s">
        <v>146</v>
      </c>
      <c r="J37" s="2" t="s">
        <v>146</v>
      </c>
      <c r="K37" s="2" t="s">
        <v>146</v>
      </c>
      <c r="L37" s="2" t="s">
        <v>146</v>
      </c>
      <c r="M37" s="2" t="s">
        <v>146</v>
      </c>
      <c r="N37" s="2" t="s">
        <v>146</v>
      </c>
      <c r="O37" s="2" t="s">
        <v>146</v>
      </c>
      <c r="P37" s="2" t="s">
        <v>146</v>
      </c>
      <c r="Q37" s="2" t="s">
        <v>146</v>
      </c>
      <c r="R37" s="2" t="s">
        <v>146</v>
      </c>
      <c r="S37" s="2" t="s">
        <v>146</v>
      </c>
      <c r="T37" s="2" t="s">
        <v>146</v>
      </c>
      <c r="U37" s="2" t="s">
        <v>146</v>
      </c>
      <c r="V37" s="2" t="s">
        <v>146</v>
      </c>
      <c r="W37" s="2" t="s">
        <v>146</v>
      </c>
      <c r="X37" s="2" t="s">
        <v>146</v>
      </c>
      <c r="Y37" s="2" t="s">
        <v>146</v>
      </c>
      <c r="Z37" s="2" t="s">
        <v>146</v>
      </c>
      <c r="AA37" s="2" t="s">
        <v>146</v>
      </c>
      <c r="AB37" s="2" t="s">
        <v>146</v>
      </c>
      <c r="AC37" s="2" t="s">
        <v>146</v>
      </c>
      <c r="AD37" s="2" t="s">
        <v>146</v>
      </c>
      <c r="AE37" s="2" t="s">
        <v>146</v>
      </c>
      <c r="AF37" s="2" t="s">
        <v>146</v>
      </c>
      <c r="AG37" s="2" t="s">
        <v>146</v>
      </c>
      <c r="AH37" s="2" t="s">
        <v>146</v>
      </c>
      <c r="AI37" s="2" t="s">
        <v>146</v>
      </c>
      <c r="AJ37" s="2" t="s">
        <v>146</v>
      </c>
      <c r="AK37" s="2" t="s">
        <v>146</v>
      </c>
      <c r="AL37" s="2" t="s">
        <v>146</v>
      </c>
      <c r="AM37" s="2" t="s">
        <v>146</v>
      </c>
      <c r="AN37" s="2" t="s">
        <v>146</v>
      </c>
      <c r="AO37" s="2" t="s">
        <v>146</v>
      </c>
      <c r="AQ37" s="2">
        <f t="shared" si="0"/>
        <v>0</v>
      </c>
      <c r="AR37" s="2">
        <f t="shared" si="1"/>
        <v>0</v>
      </c>
      <c r="AT37" s="2">
        <f t="shared" si="2"/>
        <v>0</v>
      </c>
      <c r="AU37" s="2">
        <f t="shared" si="3"/>
        <v>0</v>
      </c>
      <c r="AV37" s="27" t="str">
        <f t="shared" si="4"/>
        <v/>
      </c>
      <c r="AY37" s="2">
        <f t="shared" si="5"/>
        <v>0</v>
      </c>
      <c r="AZ37" s="2">
        <f t="shared" si="6"/>
        <v>0</v>
      </c>
      <c r="BA37" s="2">
        <f t="shared" si="7"/>
        <v>0</v>
      </c>
      <c r="BB37" s="2">
        <f t="shared" si="8"/>
        <v>0</v>
      </c>
      <c r="BC37" s="2">
        <f t="shared" si="9"/>
        <v>0</v>
      </c>
      <c r="BD37" s="2">
        <f t="shared" si="10"/>
        <v>0</v>
      </c>
    </row>
    <row r="38" spans="1:56" ht="15" customHeight="1" x14ac:dyDescent="0.45">
      <c r="A38" s="2" t="s">
        <v>644</v>
      </c>
      <c r="B38" s="2" t="s">
        <v>645</v>
      </c>
      <c r="C38" s="2">
        <v>2019</v>
      </c>
      <c r="D38" s="2" t="s">
        <v>146</v>
      </c>
      <c r="E38" s="2" t="s">
        <v>146</v>
      </c>
      <c r="F38" s="2" t="s">
        <v>146</v>
      </c>
      <c r="G38" s="2" t="s">
        <v>146</v>
      </c>
      <c r="H38" s="2" t="s">
        <v>146</v>
      </c>
      <c r="I38" s="2" t="s">
        <v>146</v>
      </c>
      <c r="J38" s="2" t="s">
        <v>146</v>
      </c>
      <c r="K38" s="2" t="s">
        <v>146</v>
      </c>
      <c r="L38" s="2" t="s">
        <v>146</v>
      </c>
      <c r="M38" s="2" t="s">
        <v>146</v>
      </c>
      <c r="N38" s="2" t="s">
        <v>146</v>
      </c>
      <c r="O38" s="2" t="s">
        <v>146</v>
      </c>
      <c r="P38" s="2" t="s">
        <v>146</v>
      </c>
      <c r="Q38" s="2" t="s">
        <v>146</v>
      </c>
      <c r="R38" s="2" t="s">
        <v>146</v>
      </c>
      <c r="S38" s="2" t="s">
        <v>146</v>
      </c>
      <c r="T38" s="2" t="s">
        <v>146</v>
      </c>
      <c r="U38" s="2" t="s">
        <v>146</v>
      </c>
      <c r="V38" s="2" t="s">
        <v>146</v>
      </c>
      <c r="W38" s="2" t="s">
        <v>146</v>
      </c>
      <c r="X38" s="2" t="s">
        <v>146</v>
      </c>
      <c r="Y38" s="2" t="s">
        <v>146</v>
      </c>
      <c r="Z38" s="2" t="s">
        <v>146</v>
      </c>
      <c r="AA38" s="2" t="s">
        <v>146</v>
      </c>
      <c r="AB38" s="2" t="s">
        <v>146</v>
      </c>
      <c r="AC38" s="2" t="s">
        <v>146</v>
      </c>
      <c r="AD38" s="2" t="s">
        <v>146</v>
      </c>
      <c r="AE38" s="2" t="s">
        <v>146</v>
      </c>
      <c r="AF38" s="2" t="s">
        <v>146</v>
      </c>
      <c r="AG38" s="2" t="s">
        <v>146</v>
      </c>
      <c r="AH38" s="2" t="s">
        <v>146</v>
      </c>
      <c r="AI38" s="2" t="s">
        <v>146</v>
      </c>
      <c r="AJ38" s="2" t="s">
        <v>146</v>
      </c>
      <c r="AK38" s="2" t="s">
        <v>146</v>
      </c>
      <c r="AL38" s="2" t="s">
        <v>146</v>
      </c>
      <c r="AM38" s="2" t="s">
        <v>146</v>
      </c>
      <c r="AN38" s="2" t="s">
        <v>146</v>
      </c>
      <c r="AO38" s="2" t="s">
        <v>146</v>
      </c>
      <c r="AQ38" s="2">
        <f t="shared" si="0"/>
        <v>0</v>
      </c>
      <c r="AR38" s="2">
        <f t="shared" si="1"/>
        <v>0</v>
      </c>
      <c r="AT38" s="2">
        <f t="shared" si="2"/>
        <v>0</v>
      </c>
      <c r="AU38" s="2">
        <f t="shared" si="3"/>
        <v>0</v>
      </c>
      <c r="AV38" s="27" t="str">
        <f t="shared" si="4"/>
        <v/>
      </c>
      <c r="AY38" s="2">
        <f t="shared" si="5"/>
        <v>0</v>
      </c>
      <c r="AZ38" s="2">
        <f t="shared" si="6"/>
        <v>0</v>
      </c>
      <c r="BA38" s="2">
        <f t="shared" si="7"/>
        <v>0</v>
      </c>
      <c r="BB38" s="2">
        <f t="shared" si="8"/>
        <v>0</v>
      </c>
      <c r="BC38" s="2">
        <f t="shared" si="9"/>
        <v>0</v>
      </c>
      <c r="BD38" s="2">
        <f t="shared" si="10"/>
        <v>0</v>
      </c>
    </row>
    <row r="39" spans="1:56" ht="15" customHeight="1" x14ac:dyDescent="0.45">
      <c r="A39" s="2" t="s">
        <v>644</v>
      </c>
      <c r="B39" s="2" t="s">
        <v>643</v>
      </c>
      <c r="C39" s="2">
        <v>2019</v>
      </c>
      <c r="D39" s="2" t="s">
        <v>146</v>
      </c>
      <c r="E39" s="2" t="s">
        <v>146</v>
      </c>
      <c r="F39" s="2" t="s">
        <v>146</v>
      </c>
      <c r="G39" s="2" t="s">
        <v>146</v>
      </c>
      <c r="H39" s="2" t="s">
        <v>146</v>
      </c>
      <c r="I39" s="2" t="s">
        <v>146</v>
      </c>
      <c r="J39" s="2" t="s">
        <v>146</v>
      </c>
      <c r="K39" s="2" t="s">
        <v>146</v>
      </c>
      <c r="L39" s="2" t="s">
        <v>146</v>
      </c>
      <c r="M39" s="2" t="s">
        <v>146</v>
      </c>
      <c r="N39" s="2" t="s">
        <v>146</v>
      </c>
      <c r="O39" s="2" t="s">
        <v>146</v>
      </c>
      <c r="P39" s="2" t="s">
        <v>146</v>
      </c>
      <c r="Q39" s="2" t="s">
        <v>146</v>
      </c>
      <c r="R39" s="2" t="s">
        <v>146</v>
      </c>
      <c r="S39" s="2" t="s">
        <v>146</v>
      </c>
      <c r="T39" s="2" t="s">
        <v>146</v>
      </c>
      <c r="U39" s="2" t="s">
        <v>146</v>
      </c>
      <c r="V39" s="2" t="s">
        <v>146</v>
      </c>
      <c r="W39" s="2" t="s">
        <v>146</v>
      </c>
      <c r="X39" s="2" t="s">
        <v>146</v>
      </c>
      <c r="Y39" s="2" t="s">
        <v>146</v>
      </c>
      <c r="Z39" s="2" t="s">
        <v>146</v>
      </c>
      <c r="AA39" s="2" t="s">
        <v>146</v>
      </c>
      <c r="AB39" s="2" t="s">
        <v>146</v>
      </c>
      <c r="AC39" s="2" t="s">
        <v>146</v>
      </c>
      <c r="AD39" s="2" t="s">
        <v>146</v>
      </c>
      <c r="AE39" s="2" t="s">
        <v>146</v>
      </c>
      <c r="AF39" s="2" t="s">
        <v>146</v>
      </c>
      <c r="AG39" s="2" t="s">
        <v>146</v>
      </c>
      <c r="AH39" s="2" t="s">
        <v>146</v>
      </c>
      <c r="AI39" s="2" t="s">
        <v>146</v>
      </c>
      <c r="AJ39" s="2" t="s">
        <v>146</v>
      </c>
      <c r="AK39" s="2" t="s">
        <v>146</v>
      </c>
      <c r="AL39" s="2" t="s">
        <v>146</v>
      </c>
      <c r="AM39" s="2" t="s">
        <v>146</v>
      </c>
      <c r="AN39" s="2" t="s">
        <v>146</v>
      </c>
      <c r="AO39" s="2" t="s">
        <v>146</v>
      </c>
      <c r="AQ39" s="2">
        <f t="shared" si="0"/>
        <v>0</v>
      </c>
      <c r="AR39" s="2">
        <f t="shared" si="1"/>
        <v>0</v>
      </c>
      <c r="AT39" s="2">
        <f t="shared" si="2"/>
        <v>0</v>
      </c>
      <c r="AU39" s="2">
        <f t="shared" si="3"/>
        <v>0</v>
      </c>
      <c r="AV39" s="27" t="str">
        <f t="shared" si="4"/>
        <v/>
      </c>
      <c r="AY39" s="2">
        <f t="shared" si="5"/>
        <v>0</v>
      </c>
      <c r="AZ39" s="2">
        <f t="shared" si="6"/>
        <v>0</v>
      </c>
      <c r="BA39" s="2">
        <f t="shared" si="7"/>
        <v>0</v>
      </c>
      <c r="BB39" s="2">
        <f t="shared" si="8"/>
        <v>0</v>
      </c>
      <c r="BC39" s="2">
        <f t="shared" si="9"/>
        <v>0</v>
      </c>
      <c r="BD39" s="2">
        <f t="shared" si="10"/>
        <v>0</v>
      </c>
    </row>
    <row r="40" spans="1:56" ht="15" customHeight="1" x14ac:dyDescent="0.45">
      <c r="A40" s="2" t="s">
        <v>640</v>
      </c>
      <c r="B40" s="2" t="s">
        <v>642</v>
      </c>
      <c r="C40" s="2">
        <v>2019</v>
      </c>
      <c r="D40" s="2">
        <v>184.54900000000001</v>
      </c>
      <c r="E40" s="2">
        <v>40.698999999999998</v>
      </c>
      <c r="F40" s="2" t="s">
        <v>146</v>
      </c>
      <c r="G40" s="2" t="s">
        <v>146</v>
      </c>
      <c r="H40" s="2" t="s">
        <v>146</v>
      </c>
      <c r="I40" s="2">
        <v>250.39099999999999</v>
      </c>
      <c r="J40" s="2" t="s">
        <v>146</v>
      </c>
      <c r="K40" s="2" t="s">
        <v>146</v>
      </c>
      <c r="L40" s="2" t="s">
        <v>146</v>
      </c>
      <c r="M40" s="2" t="s">
        <v>146</v>
      </c>
      <c r="N40" s="2" t="s">
        <v>146</v>
      </c>
      <c r="O40" s="2" t="s">
        <v>146</v>
      </c>
      <c r="P40" s="2" t="s">
        <v>146</v>
      </c>
      <c r="Q40" s="2" t="s">
        <v>146</v>
      </c>
      <c r="R40" s="2" t="s">
        <v>146</v>
      </c>
      <c r="S40" s="2" t="s">
        <v>146</v>
      </c>
      <c r="T40" s="2" t="s">
        <v>146</v>
      </c>
      <c r="U40" s="2" t="s">
        <v>146</v>
      </c>
      <c r="V40" s="2" t="s">
        <v>146</v>
      </c>
      <c r="W40" s="2" t="s">
        <v>147</v>
      </c>
      <c r="X40" s="2" t="s">
        <v>146</v>
      </c>
      <c r="Y40" s="2" t="s">
        <v>146</v>
      </c>
      <c r="Z40" s="2" t="s">
        <v>146</v>
      </c>
      <c r="AA40" s="2">
        <v>5.524</v>
      </c>
      <c r="AB40" s="2" t="s">
        <v>146</v>
      </c>
      <c r="AC40" s="2">
        <v>0.11600000000000001</v>
      </c>
      <c r="AD40" s="2" t="s">
        <v>146</v>
      </c>
      <c r="AE40" s="2" t="s">
        <v>146</v>
      </c>
      <c r="AF40" s="2">
        <v>244.751</v>
      </c>
      <c r="AG40" s="2">
        <v>0.749</v>
      </c>
      <c r="AH40" s="2" t="s">
        <v>160</v>
      </c>
      <c r="AI40" s="2">
        <v>37.299999999999997</v>
      </c>
      <c r="AJ40" s="2" t="s">
        <v>146</v>
      </c>
      <c r="AK40" s="2" t="s">
        <v>146</v>
      </c>
      <c r="AL40" s="2" t="s">
        <v>146</v>
      </c>
      <c r="AM40" s="2" t="s">
        <v>146</v>
      </c>
      <c r="AN40" s="2" t="s">
        <v>146</v>
      </c>
      <c r="AO40" s="2" t="s">
        <v>146</v>
      </c>
      <c r="AQ40" s="2">
        <f t="shared" si="0"/>
        <v>250.39099999999999</v>
      </c>
      <c r="AR40" s="2">
        <f t="shared" si="1"/>
        <v>250.39099999999999</v>
      </c>
      <c r="AT40" s="2">
        <f t="shared" si="2"/>
        <v>184.54900000000001</v>
      </c>
      <c r="AU40" s="2">
        <f t="shared" si="3"/>
        <v>40.698999999999998</v>
      </c>
      <c r="AV40" s="27">
        <f t="shared" si="4"/>
        <v>0.89958504898338998</v>
      </c>
      <c r="AY40" s="2">
        <f t="shared" si="5"/>
        <v>0</v>
      </c>
      <c r="AZ40" s="2">
        <f t="shared" si="6"/>
        <v>0</v>
      </c>
      <c r="BA40" s="2">
        <f t="shared" si="7"/>
        <v>0</v>
      </c>
      <c r="BB40" s="2">
        <f t="shared" si="8"/>
        <v>0</v>
      </c>
      <c r="BC40" s="2">
        <f t="shared" si="9"/>
        <v>0</v>
      </c>
      <c r="BD40" s="2">
        <f t="shared" si="10"/>
        <v>0</v>
      </c>
    </row>
    <row r="41" spans="1:56" ht="15" customHeight="1" x14ac:dyDescent="0.45">
      <c r="A41" s="2" t="s">
        <v>640</v>
      </c>
      <c r="B41" s="2" t="s">
        <v>641</v>
      </c>
      <c r="C41" s="2">
        <v>2019</v>
      </c>
      <c r="D41" s="2" t="s">
        <v>146</v>
      </c>
      <c r="E41" s="2" t="s">
        <v>146</v>
      </c>
      <c r="F41" s="2" t="s">
        <v>146</v>
      </c>
      <c r="G41" s="2" t="s">
        <v>146</v>
      </c>
      <c r="H41" s="2" t="s">
        <v>146</v>
      </c>
      <c r="I41" s="2" t="s">
        <v>146</v>
      </c>
      <c r="J41" s="2" t="s">
        <v>146</v>
      </c>
      <c r="K41" s="2" t="s">
        <v>146</v>
      </c>
      <c r="L41" s="2" t="s">
        <v>146</v>
      </c>
      <c r="M41" s="2" t="s">
        <v>146</v>
      </c>
      <c r="N41" s="2" t="s">
        <v>146</v>
      </c>
      <c r="O41" s="2" t="s">
        <v>146</v>
      </c>
      <c r="P41" s="2" t="s">
        <v>146</v>
      </c>
      <c r="Q41" s="2" t="s">
        <v>146</v>
      </c>
      <c r="R41" s="2" t="s">
        <v>146</v>
      </c>
      <c r="S41" s="2" t="s">
        <v>146</v>
      </c>
      <c r="T41" s="2" t="s">
        <v>146</v>
      </c>
      <c r="U41" s="2" t="s">
        <v>146</v>
      </c>
      <c r="V41" s="2" t="s">
        <v>146</v>
      </c>
      <c r="W41" s="2" t="s">
        <v>146</v>
      </c>
      <c r="X41" s="2" t="s">
        <v>146</v>
      </c>
      <c r="Y41" s="2" t="s">
        <v>146</v>
      </c>
      <c r="Z41" s="2" t="s">
        <v>146</v>
      </c>
      <c r="AA41" s="2" t="s">
        <v>146</v>
      </c>
      <c r="AB41" s="2" t="s">
        <v>146</v>
      </c>
      <c r="AC41" s="2" t="s">
        <v>146</v>
      </c>
      <c r="AD41" s="2" t="s">
        <v>146</v>
      </c>
      <c r="AE41" s="2" t="s">
        <v>146</v>
      </c>
      <c r="AF41" s="2" t="s">
        <v>146</v>
      </c>
      <c r="AG41" s="2" t="s">
        <v>146</v>
      </c>
      <c r="AH41" s="2" t="s">
        <v>146</v>
      </c>
      <c r="AI41" s="2" t="s">
        <v>146</v>
      </c>
      <c r="AJ41" s="2" t="s">
        <v>146</v>
      </c>
      <c r="AK41" s="2" t="s">
        <v>146</v>
      </c>
      <c r="AL41" s="2" t="s">
        <v>146</v>
      </c>
      <c r="AM41" s="2" t="s">
        <v>146</v>
      </c>
      <c r="AN41" s="2" t="s">
        <v>146</v>
      </c>
      <c r="AO41" s="2" t="s">
        <v>146</v>
      </c>
      <c r="AQ41" s="2">
        <f t="shared" si="0"/>
        <v>0</v>
      </c>
      <c r="AR41" s="2">
        <f t="shared" si="1"/>
        <v>0</v>
      </c>
      <c r="AT41" s="2">
        <f t="shared" si="2"/>
        <v>0</v>
      </c>
      <c r="AU41" s="2">
        <f t="shared" si="3"/>
        <v>0</v>
      </c>
      <c r="AV41" s="27" t="str">
        <f t="shared" si="4"/>
        <v/>
      </c>
      <c r="AY41" s="2">
        <f t="shared" si="5"/>
        <v>0</v>
      </c>
      <c r="AZ41" s="2">
        <f t="shared" si="6"/>
        <v>0</v>
      </c>
      <c r="BA41" s="2">
        <f t="shared" si="7"/>
        <v>0</v>
      </c>
      <c r="BB41" s="2">
        <f t="shared" si="8"/>
        <v>0</v>
      </c>
      <c r="BC41" s="2">
        <f t="shared" si="9"/>
        <v>0</v>
      </c>
      <c r="BD41" s="2">
        <f t="shared" si="10"/>
        <v>0</v>
      </c>
    </row>
    <row r="42" spans="1:56" ht="15" customHeight="1" x14ac:dyDescent="0.45">
      <c r="A42" s="2" t="s">
        <v>640</v>
      </c>
      <c r="B42" s="2" t="s">
        <v>639</v>
      </c>
      <c r="C42" s="2">
        <v>2019</v>
      </c>
      <c r="D42" s="2" t="s">
        <v>146</v>
      </c>
      <c r="E42" s="2" t="s">
        <v>146</v>
      </c>
      <c r="F42" s="2" t="s">
        <v>146</v>
      </c>
      <c r="G42" s="2" t="s">
        <v>146</v>
      </c>
      <c r="H42" s="2" t="s">
        <v>146</v>
      </c>
      <c r="I42" s="2" t="s">
        <v>146</v>
      </c>
      <c r="J42" s="2" t="s">
        <v>146</v>
      </c>
      <c r="K42" s="2" t="s">
        <v>146</v>
      </c>
      <c r="L42" s="2" t="s">
        <v>146</v>
      </c>
      <c r="M42" s="2" t="s">
        <v>146</v>
      </c>
      <c r="N42" s="2" t="s">
        <v>146</v>
      </c>
      <c r="O42" s="2" t="s">
        <v>146</v>
      </c>
      <c r="P42" s="2" t="s">
        <v>146</v>
      </c>
      <c r="Q42" s="2" t="s">
        <v>146</v>
      </c>
      <c r="R42" s="2" t="s">
        <v>146</v>
      </c>
      <c r="S42" s="2" t="s">
        <v>146</v>
      </c>
      <c r="T42" s="2" t="s">
        <v>146</v>
      </c>
      <c r="U42" s="2" t="s">
        <v>146</v>
      </c>
      <c r="V42" s="2" t="s">
        <v>146</v>
      </c>
      <c r="W42" s="2" t="s">
        <v>146</v>
      </c>
      <c r="X42" s="2" t="s">
        <v>146</v>
      </c>
      <c r="Y42" s="2" t="s">
        <v>146</v>
      </c>
      <c r="Z42" s="2" t="s">
        <v>146</v>
      </c>
      <c r="AA42" s="2" t="s">
        <v>146</v>
      </c>
      <c r="AB42" s="2" t="s">
        <v>146</v>
      </c>
      <c r="AC42" s="2" t="s">
        <v>146</v>
      </c>
      <c r="AD42" s="2" t="s">
        <v>146</v>
      </c>
      <c r="AE42" s="2" t="s">
        <v>146</v>
      </c>
      <c r="AF42" s="2" t="s">
        <v>146</v>
      </c>
      <c r="AG42" s="2" t="s">
        <v>146</v>
      </c>
      <c r="AH42" s="2" t="s">
        <v>146</v>
      </c>
      <c r="AI42" s="2" t="s">
        <v>146</v>
      </c>
      <c r="AJ42" s="2" t="s">
        <v>146</v>
      </c>
      <c r="AK42" s="2" t="s">
        <v>146</v>
      </c>
      <c r="AL42" s="2" t="s">
        <v>146</v>
      </c>
      <c r="AM42" s="2" t="s">
        <v>146</v>
      </c>
      <c r="AN42" s="2" t="s">
        <v>146</v>
      </c>
      <c r="AO42" s="2" t="s">
        <v>146</v>
      </c>
      <c r="AQ42" s="2">
        <f t="shared" si="0"/>
        <v>0</v>
      </c>
      <c r="AR42" s="2">
        <f t="shared" si="1"/>
        <v>0</v>
      </c>
      <c r="AT42" s="2">
        <f t="shared" si="2"/>
        <v>0</v>
      </c>
      <c r="AU42" s="2">
        <f t="shared" si="3"/>
        <v>0</v>
      </c>
      <c r="AV42" s="27" t="str">
        <f t="shared" si="4"/>
        <v/>
      </c>
      <c r="AY42" s="2">
        <f t="shared" si="5"/>
        <v>0</v>
      </c>
      <c r="AZ42" s="2">
        <f t="shared" si="6"/>
        <v>0</v>
      </c>
      <c r="BA42" s="2">
        <f t="shared" si="7"/>
        <v>0</v>
      </c>
      <c r="BB42" s="2">
        <f t="shared" si="8"/>
        <v>0</v>
      </c>
      <c r="BC42" s="2">
        <f t="shared" si="9"/>
        <v>0</v>
      </c>
      <c r="BD42" s="2">
        <f t="shared" si="10"/>
        <v>0</v>
      </c>
    </row>
    <row r="43" spans="1:56" ht="15" customHeight="1" x14ac:dyDescent="0.45">
      <c r="A43" s="2" t="s">
        <v>637</v>
      </c>
      <c r="B43" s="2" t="s">
        <v>638</v>
      </c>
      <c r="C43" s="2">
        <v>2019</v>
      </c>
      <c r="D43" s="2">
        <v>587.99199999999996</v>
      </c>
      <c r="E43" s="2">
        <v>110.44</v>
      </c>
      <c r="F43" s="2" t="s">
        <v>146</v>
      </c>
      <c r="G43" s="2" t="s">
        <v>146</v>
      </c>
      <c r="H43" s="2" t="s">
        <v>146</v>
      </c>
      <c r="I43" s="2">
        <v>915.38</v>
      </c>
      <c r="J43" s="2" t="s">
        <v>146</v>
      </c>
      <c r="K43" s="2" t="s">
        <v>146</v>
      </c>
      <c r="L43" s="2" t="s">
        <v>146</v>
      </c>
      <c r="M43" s="2" t="s">
        <v>146</v>
      </c>
      <c r="N43" s="2" t="s">
        <v>146</v>
      </c>
      <c r="O43" s="2" t="s">
        <v>146</v>
      </c>
      <c r="P43" s="2" t="s">
        <v>146</v>
      </c>
      <c r="Q43" s="2">
        <v>336.27</v>
      </c>
      <c r="R43" s="2">
        <v>76.28</v>
      </c>
      <c r="S43" s="2" t="s">
        <v>146</v>
      </c>
      <c r="T43" s="2">
        <v>21.59</v>
      </c>
      <c r="U43" s="2" t="s">
        <v>146</v>
      </c>
      <c r="V43" s="2">
        <v>22.3</v>
      </c>
      <c r="W43" s="2" t="s">
        <v>146</v>
      </c>
      <c r="X43" s="2" t="s">
        <v>146</v>
      </c>
      <c r="Y43" s="2">
        <v>1.65</v>
      </c>
      <c r="Z43" s="2" t="s">
        <v>146</v>
      </c>
      <c r="AA43" s="2" t="s">
        <v>146</v>
      </c>
      <c r="AB43" s="2" t="s">
        <v>146</v>
      </c>
      <c r="AC43" s="2" t="s">
        <v>146</v>
      </c>
      <c r="AD43" s="2">
        <v>66.209999999999994</v>
      </c>
      <c r="AE43" s="2" t="s">
        <v>146</v>
      </c>
      <c r="AF43" s="2">
        <v>311.11</v>
      </c>
      <c r="AG43" s="2">
        <v>9.7799999999999994</v>
      </c>
      <c r="AH43" s="2" t="s">
        <v>160</v>
      </c>
      <c r="AI43" s="2">
        <v>37.299999999999997</v>
      </c>
      <c r="AJ43" s="2" t="s">
        <v>146</v>
      </c>
      <c r="AK43" s="2">
        <v>79.97</v>
      </c>
      <c r="AL43" s="2" t="s">
        <v>146</v>
      </c>
      <c r="AM43" s="2">
        <v>100</v>
      </c>
      <c r="AN43" s="2">
        <v>0</v>
      </c>
      <c r="AO43" s="2" t="s">
        <v>146</v>
      </c>
      <c r="AQ43" s="2">
        <f t="shared" si="0"/>
        <v>835.41</v>
      </c>
      <c r="AR43" s="2">
        <f t="shared" si="1"/>
        <v>915.38</v>
      </c>
      <c r="AT43" s="2">
        <f t="shared" si="2"/>
        <v>587.99199999999996</v>
      </c>
      <c r="AU43" s="2">
        <f t="shared" si="3"/>
        <v>110.44</v>
      </c>
      <c r="AV43" s="27">
        <f t="shared" si="4"/>
        <v>0.76299678821910033</v>
      </c>
      <c r="AY43" s="2">
        <f t="shared" si="5"/>
        <v>79.97</v>
      </c>
      <c r="AZ43" s="2">
        <f t="shared" si="6"/>
        <v>0</v>
      </c>
      <c r="BA43" s="2">
        <f t="shared" si="7"/>
        <v>79.97</v>
      </c>
      <c r="BB43" s="2">
        <f t="shared" si="8"/>
        <v>0</v>
      </c>
      <c r="BC43" s="2">
        <f t="shared" si="9"/>
        <v>0</v>
      </c>
      <c r="BD43" s="2">
        <f t="shared" si="10"/>
        <v>0</v>
      </c>
    </row>
    <row r="44" spans="1:56" ht="15" customHeight="1" x14ac:dyDescent="0.45">
      <c r="A44" s="2" t="s">
        <v>637</v>
      </c>
      <c r="B44" s="2" t="s">
        <v>636</v>
      </c>
      <c r="C44" s="2">
        <v>2019</v>
      </c>
      <c r="D44" s="2" t="s">
        <v>146</v>
      </c>
      <c r="E44" s="2" t="s">
        <v>146</v>
      </c>
      <c r="F44" s="2" t="s">
        <v>146</v>
      </c>
      <c r="G44" s="2" t="s">
        <v>146</v>
      </c>
      <c r="H44" s="2" t="s">
        <v>146</v>
      </c>
      <c r="I44" s="2" t="s">
        <v>146</v>
      </c>
      <c r="J44" s="2" t="s">
        <v>146</v>
      </c>
      <c r="K44" s="2" t="s">
        <v>146</v>
      </c>
      <c r="L44" s="2" t="s">
        <v>146</v>
      </c>
      <c r="M44" s="2" t="s">
        <v>146</v>
      </c>
      <c r="N44" s="2" t="s">
        <v>146</v>
      </c>
      <c r="O44" s="2" t="s">
        <v>146</v>
      </c>
      <c r="P44" s="2" t="s">
        <v>146</v>
      </c>
      <c r="Q44" s="2" t="s">
        <v>146</v>
      </c>
      <c r="R44" s="2" t="s">
        <v>146</v>
      </c>
      <c r="S44" s="2" t="s">
        <v>146</v>
      </c>
      <c r="T44" s="2" t="s">
        <v>146</v>
      </c>
      <c r="U44" s="2" t="s">
        <v>146</v>
      </c>
      <c r="V44" s="2" t="s">
        <v>146</v>
      </c>
      <c r="W44" s="2" t="s">
        <v>146</v>
      </c>
      <c r="X44" s="2" t="s">
        <v>146</v>
      </c>
      <c r="Y44" s="2" t="s">
        <v>146</v>
      </c>
      <c r="Z44" s="2" t="s">
        <v>146</v>
      </c>
      <c r="AA44" s="2" t="s">
        <v>146</v>
      </c>
      <c r="AB44" s="2" t="s">
        <v>146</v>
      </c>
      <c r="AC44" s="2" t="s">
        <v>146</v>
      </c>
      <c r="AD44" s="2" t="s">
        <v>146</v>
      </c>
      <c r="AE44" s="2" t="s">
        <v>146</v>
      </c>
      <c r="AF44" s="2" t="s">
        <v>146</v>
      </c>
      <c r="AG44" s="2" t="s">
        <v>146</v>
      </c>
      <c r="AH44" s="2" t="s">
        <v>146</v>
      </c>
      <c r="AI44" s="2" t="s">
        <v>146</v>
      </c>
      <c r="AJ44" s="2" t="s">
        <v>146</v>
      </c>
      <c r="AK44" s="2" t="s">
        <v>146</v>
      </c>
      <c r="AL44" s="2" t="s">
        <v>146</v>
      </c>
      <c r="AM44" s="2" t="s">
        <v>146</v>
      </c>
      <c r="AN44" s="2" t="s">
        <v>146</v>
      </c>
      <c r="AO44" s="2" t="s">
        <v>146</v>
      </c>
      <c r="AQ44" s="2">
        <f t="shared" si="0"/>
        <v>0</v>
      </c>
      <c r="AR44" s="2">
        <f t="shared" si="1"/>
        <v>0</v>
      </c>
      <c r="AT44" s="2">
        <f t="shared" si="2"/>
        <v>0</v>
      </c>
      <c r="AU44" s="2">
        <f t="shared" si="3"/>
        <v>0</v>
      </c>
      <c r="AV44" s="27" t="str">
        <f t="shared" si="4"/>
        <v/>
      </c>
      <c r="AY44" s="2">
        <f t="shared" si="5"/>
        <v>0</v>
      </c>
      <c r="AZ44" s="2">
        <f t="shared" si="6"/>
        <v>0</v>
      </c>
      <c r="BA44" s="2">
        <f t="shared" si="7"/>
        <v>0</v>
      </c>
      <c r="BB44" s="2">
        <f t="shared" si="8"/>
        <v>0</v>
      </c>
      <c r="BC44" s="2">
        <f t="shared" si="9"/>
        <v>0</v>
      </c>
      <c r="BD44" s="2">
        <f t="shared" si="10"/>
        <v>0</v>
      </c>
    </row>
    <row r="45" spans="1:56" ht="15" customHeight="1" x14ac:dyDescent="0.45">
      <c r="A45" s="2" t="s">
        <v>635</v>
      </c>
      <c r="B45" s="2" t="s">
        <v>634</v>
      </c>
      <c r="C45" s="2">
        <v>2019</v>
      </c>
      <c r="D45" s="2" t="s">
        <v>146</v>
      </c>
      <c r="E45" s="2" t="s">
        <v>146</v>
      </c>
      <c r="F45" s="2" t="s">
        <v>146</v>
      </c>
      <c r="G45" s="2" t="s">
        <v>146</v>
      </c>
      <c r="H45" s="2" t="s">
        <v>146</v>
      </c>
      <c r="I45" s="2" t="s">
        <v>146</v>
      </c>
      <c r="J45" s="2" t="s">
        <v>146</v>
      </c>
      <c r="K45" s="2" t="s">
        <v>146</v>
      </c>
      <c r="L45" s="2" t="s">
        <v>146</v>
      </c>
      <c r="M45" s="2" t="s">
        <v>146</v>
      </c>
      <c r="N45" s="2" t="s">
        <v>146</v>
      </c>
      <c r="O45" s="2" t="s">
        <v>146</v>
      </c>
      <c r="P45" s="2" t="s">
        <v>146</v>
      </c>
      <c r="Q45" s="2" t="s">
        <v>146</v>
      </c>
      <c r="R45" s="2" t="s">
        <v>146</v>
      </c>
      <c r="S45" s="2" t="s">
        <v>146</v>
      </c>
      <c r="T45" s="2" t="s">
        <v>146</v>
      </c>
      <c r="U45" s="2" t="s">
        <v>146</v>
      </c>
      <c r="V45" s="2" t="s">
        <v>146</v>
      </c>
      <c r="W45" s="2" t="s">
        <v>146</v>
      </c>
      <c r="X45" s="2" t="s">
        <v>146</v>
      </c>
      <c r="Y45" s="2" t="s">
        <v>146</v>
      </c>
      <c r="Z45" s="2" t="s">
        <v>146</v>
      </c>
      <c r="AA45" s="2" t="s">
        <v>146</v>
      </c>
      <c r="AB45" s="2" t="s">
        <v>146</v>
      </c>
      <c r="AC45" s="2" t="s">
        <v>146</v>
      </c>
      <c r="AD45" s="2" t="s">
        <v>146</v>
      </c>
      <c r="AE45" s="2" t="s">
        <v>146</v>
      </c>
      <c r="AF45" s="2" t="s">
        <v>146</v>
      </c>
      <c r="AG45" s="2" t="s">
        <v>146</v>
      </c>
      <c r="AH45" s="2" t="s">
        <v>146</v>
      </c>
      <c r="AI45" s="2" t="s">
        <v>146</v>
      </c>
      <c r="AJ45" s="2" t="s">
        <v>146</v>
      </c>
      <c r="AK45" s="2" t="s">
        <v>146</v>
      </c>
      <c r="AL45" s="2" t="s">
        <v>146</v>
      </c>
      <c r="AM45" s="2" t="s">
        <v>146</v>
      </c>
      <c r="AN45" s="2" t="s">
        <v>146</v>
      </c>
      <c r="AO45" s="2" t="s">
        <v>146</v>
      </c>
      <c r="AQ45" s="2">
        <f t="shared" si="0"/>
        <v>0</v>
      </c>
      <c r="AR45" s="2">
        <f t="shared" si="1"/>
        <v>0</v>
      </c>
      <c r="AT45" s="2">
        <f t="shared" si="2"/>
        <v>0</v>
      </c>
      <c r="AU45" s="2">
        <f t="shared" si="3"/>
        <v>0</v>
      </c>
      <c r="AV45" s="27" t="str">
        <f t="shared" si="4"/>
        <v/>
      </c>
      <c r="AY45" s="2">
        <f t="shared" si="5"/>
        <v>0</v>
      </c>
      <c r="AZ45" s="2">
        <f t="shared" si="6"/>
        <v>0</v>
      </c>
      <c r="BA45" s="2">
        <f t="shared" si="7"/>
        <v>0</v>
      </c>
      <c r="BB45" s="2">
        <f t="shared" si="8"/>
        <v>0</v>
      </c>
      <c r="BC45" s="2">
        <f t="shared" si="9"/>
        <v>0</v>
      </c>
      <c r="BD45" s="2">
        <f t="shared" si="10"/>
        <v>0</v>
      </c>
    </row>
    <row r="46" spans="1:56" ht="15" customHeight="1" x14ac:dyDescent="0.45">
      <c r="A46" s="2" t="s">
        <v>633</v>
      </c>
      <c r="B46" s="2" t="s">
        <v>65</v>
      </c>
      <c r="C46" s="2">
        <v>2019</v>
      </c>
      <c r="D46" s="2" t="s">
        <v>49</v>
      </c>
      <c r="E46" s="2" t="s">
        <v>49</v>
      </c>
      <c r="F46" s="2" t="s">
        <v>49</v>
      </c>
      <c r="G46" s="2" t="s">
        <v>49</v>
      </c>
      <c r="H46" s="2" t="s">
        <v>49</v>
      </c>
      <c r="I46" s="2" t="s">
        <v>49</v>
      </c>
      <c r="J46" s="2" t="s">
        <v>49</v>
      </c>
      <c r="K46" s="2" t="s">
        <v>49</v>
      </c>
      <c r="L46" s="2" t="s">
        <v>49</v>
      </c>
      <c r="M46" s="2" t="s">
        <v>49</v>
      </c>
      <c r="N46" s="2" t="s">
        <v>49</v>
      </c>
      <c r="O46" s="2" t="s">
        <v>49</v>
      </c>
      <c r="P46" s="2" t="s">
        <v>49</v>
      </c>
      <c r="Q46" s="2" t="s">
        <v>49</v>
      </c>
      <c r="R46" s="2" t="s">
        <v>49</v>
      </c>
      <c r="S46" s="2" t="s">
        <v>49</v>
      </c>
      <c r="T46" s="2" t="s">
        <v>49</v>
      </c>
      <c r="U46" s="2" t="s">
        <v>49</v>
      </c>
      <c r="V46" s="2" t="s">
        <v>49</v>
      </c>
      <c r="W46" s="2" t="s">
        <v>49</v>
      </c>
      <c r="X46" s="2" t="s">
        <v>49</v>
      </c>
      <c r="Y46" s="2" t="s">
        <v>49</v>
      </c>
      <c r="Z46" s="2" t="s">
        <v>49</v>
      </c>
      <c r="AA46" s="2" t="s">
        <v>49</v>
      </c>
      <c r="AB46" s="2" t="s">
        <v>49</v>
      </c>
      <c r="AC46" s="2" t="s">
        <v>49</v>
      </c>
      <c r="AD46" s="2" t="s">
        <v>49</v>
      </c>
      <c r="AE46" s="2" t="s">
        <v>49</v>
      </c>
      <c r="AF46" s="2" t="s">
        <v>49</v>
      </c>
      <c r="AG46" s="2" t="s">
        <v>49</v>
      </c>
      <c r="AH46" s="2" t="s">
        <v>49</v>
      </c>
      <c r="AI46" s="2" t="s">
        <v>49</v>
      </c>
      <c r="AJ46" s="2" t="s">
        <v>49</v>
      </c>
      <c r="AK46" s="2" t="s">
        <v>49</v>
      </c>
      <c r="AL46" s="2" t="s">
        <v>49</v>
      </c>
      <c r="AM46" s="2" t="s">
        <v>49</v>
      </c>
      <c r="AN46" s="2" t="s">
        <v>49</v>
      </c>
      <c r="AO46" s="2" t="s">
        <v>49</v>
      </c>
      <c r="AQ46" s="2">
        <f t="shared" si="0"/>
        <v>0</v>
      </c>
      <c r="AR46" s="2">
        <f t="shared" si="1"/>
        <v>0</v>
      </c>
      <c r="AT46" s="2">
        <f t="shared" si="2"/>
        <v>0</v>
      </c>
      <c r="AU46" s="2">
        <f t="shared" si="3"/>
        <v>0</v>
      </c>
      <c r="AV46" s="27" t="str">
        <f t="shared" si="4"/>
        <v/>
      </c>
      <c r="AY46" s="2">
        <f t="shared" si="5"/>
        <v>0</v>
      </c>
      <c r="AZ46" s="2">
        <f t="shared" si="6"/>
        <v>0</v>
      </c>
      <c r="BA46" s="2">
        <f t="shared" si="7"/>
        <v>0</v>
      </c>
      <c r="BB46" s="2">
        <f t="shared" si="8"/>
        <v>0</v>
      </c>
      <c r="BC46" s="2">
        <f t="shared" si="9"/>
        <v>0</v>
      </c>
      <c r="BD46" s="2">
        <f t="shared" si="10"/>
        <v>0</v>
      </c>
    </row>
    <row r="47" spans="1:56" ht="15" customHeight="1" x14ac:dyDescent="0.45">
      <c r="A47" s="2" t="s">
        <v>631</v>
      </c>
      <c r="B47" s="2" t="s">
        <v>632</v>
      </c>
      <c r="C47" s="2">
        <v>2019</v>
      </c>
      <c r="D47" s="2" t="s">
        <v>146</v>
      </c>
      <c r="E47" s="2" t="s">
        <v>146</v>
      </c>
      <c r="F47" s="2" t="s">
        <v>146</v>
      </c>
      <c r="G47" s="2" t="s">
        <v>146</v>
      </c>
      <c r="H47" s="2" t="s">
        <v>146</v>
      </c>
      <c r="I47" s="2" t="s">
        <v>146</v>
      </c>
      <c r="J47" s="2" t="s">
        <v>146</v>
      </c>
      <c r="K47" s="2" t="s">
        <v>146</v>
      </c>
      <c r="L47" s="2" t="s">
        <v>146</v>
      </c>
      <c r="M47" s="2" t="s">
        <v>146</v>
      </c>
      <c r="N47" s="2" t="s">
        <v>146</v>
      </c>
      <c r="O47" s="2" t="s">
        <v>146</v>
      </c>
      <c r="P47" s="2" t="s">
        <v>146</v>
      </c>
      <c r="Q47" s="2" t="s">
        <v>146</v>
      </c>
      <c r="R47" s="2" t="s">
        <v>146</v>
      </c>
      <c r="S47" s="2" t="s">
        <v>146</v>
      </c>
      <c r="T47" s="2" t="s">
        <v>146</v>
      </c>
      <c r="U47" s="2" t="s">
        <v>146</v>
      </c>
      <c r="V47" s="2" t="s">
        <v>146</v>
      </c>
      <c r="W47" s="2" t="s">
        <v>146</v>
      </c>
      <c r="X47" s="2" t="s">
        <v>146</v>
      </c>
      <c r="Y47" s="2" t="s">
        <v>146</v>
      </c>
      <c r="Z47" s="2" t="s">
        <v>146</v>
      </c>
      <c r="AA47" s="2" t="s">
        <v>146</v>
      </c>
      <c r="AB47" s="2" t="s">
        <v>146</v>
      </c>
      <c r="AC47" s="2" t="s">
        <v>146</v>
      </c>
      <c r="AD47" s="2" t="s">
        <v>146</v>
      </c>
      <c r="AE47" s="2" t="s">
        <v>146</v>
      </c>
      <c r="AF47" s="2" t="s">
        <v>146</v>
      </c>
      <c r="AG47" s="2" t="s">
        <v>146</v>
      </c>
      <c r="AH47" s="2" t="s">
        <v>146</v>
      </c>
      <c r="AI47" s="2" t="s">
        <v>146</v>
      </c>
      <c r="AJ47" s="2" t="s">
        <v>146</v>
      </c>
      <c r="AK47" s="2" t="s">
        <v>146</v>
      </c>
      <c r="AL47" s="2" t="s">
        <v>146</v>
      </c>
      <c r="AM47" s="2" t="s">
        <v>146</v>
      </c>
      <c r="AN47" s="2" t="s">
        <v>146</v>
      </c>
      <c r="AO47" s="2" t="s">
        <v>146</v>
      </c>
      <c r="AQ47" s="2">
        <f t="shared" si="0"/>
        <v>0</v>
      </c>
      <c r="AR47" s="2">
        <f t="shared" si="1"/>
        <v>0</v>
      </c>
      <c r="AT47" s="2">
        <f t="shared" si="2"/>
        <v>0</v>
      </c>
      <c r="AU47" s="2">
        <f t="shared" si="3"/>
        <v>0</v>
      </c>
      <c r="AV47" s="27" t="str">
        <f t="shared" si="4"/>
        <v/>
      </c>
      <c r="AY47" s="2">
        <f t="shared" si="5"/>
        <v>0</v>
      </c>
      <c r="AZ47" s="2">
        <f t="shared" si="6"/>
        <v>0</v>
      </c>
      <c r="BA47" s="2">
        <f t="shared" si="7"/>
        <v>0</v>
      </c>
      <c r="BB47" s="2">
        <f t="shared" si="8"/>
        <v>0</v>
      </c>
      <c r="BC47" s="2">
        <f t="shared" si="9"/>
        <v>0</v>
      </c>
      <c r="BD47" s="2">
        <f t="shared" si="10"/>
        <v>0</v>
      </c>
    </row>
    <row r="48" spans="1:56" ht="15" customHeight="1" x14ac:dyDescent="0.45">
      <c r="A48" s="2" t="s">
        <v>631</v>
      </c>
      <c r="B48" s="2" t="s">
        <v>630</v>
      </c>
      <c r="C48" s="2">
        <v>2019</v>
      </c>
      <c r="D48" s="2">
        <v>314.59800000000001</v>
      </c>
      <c r="E48" s="2">
        <v>85.875</v>
      </c>
      <c r="F48" s="2" t="s">
        <v>146</v>
      </c>
      <c r="G48" s="2" t="s">
        <v>146</v>
      </c>
      <c r="H48" s="2" t="s">
        <v>146</v>
      </c>
      <c r="I48" s="2">
        <v>519.10799999999995</v>
      </c>
      <c r="J48" s="2" t="s">
        <v>146</v>
      </c>
      <c r="K48" s="2">
        <v>0.16</v>
      </c>
      <c r="L48" s="2" t="s">
        <v>146</v>
      </c>
      <c r="M48" s="2" t="s">
        <v>146</v>
      </c>
      <c r="N48" s="2" t="s">
        <v>146</v>
      </c>
      <c r="O48" s="2" t="s">
        <v>146</v>
      </c>
      <c r="P48" s="2" t="s">
        <v>146</v>
      </c>
      <c r="Q48" s="2">
        <v>320.613</v>
      </c>
      <c r="R48" s="2">
        <v>41.912999999999997</v>
      </c>
      <c r="S48" s="2">
        <v>54.302</v>
      </c>
      <c r="T48" s="2">
        <v>0</v>
      </c>
      <c r="U48" s="2" t="s">
        <v>146</v>
      </c>
      <c r="V48" s="2">
        <v>0.48099999999999998</v>
      </c>
      <c r="W48" s="2" t="s">
        <v>146</v>
      </c>
      <c r="X48" s="2" t="s">
        <v>146</v>
      </c>
      <c r="Y48" s="2" t="s">
        <v>146</v>
      </c>
      <c r="Z48" s="2" t="s">
        <v>146</v>
      </c>
      <c r="AA48" s="2" t="s">
        <v>146</v>
      </c>
      <c r="AB48" s="2" t="s">
        <v>146</v>
      </c>
      <c r="AC48" s="2" t="s">
        <v>146</v>
      </c>
      <c r="AD48" s="2" t="s">
        <v>146</v>
      </c>
      <c r="AE48" s="2" t="s">
        <v>146</v>
      </c>
      <c r="AF48" s="2" t="s">
        <v>146</v>
      </c>
      <c r="AG48" s="2" t="s">
        <v>146</v>
      </c>
      <c r="AH48" s="2" t="s">
        <v>146</v>
      </c>
      <c r="AI48" s="2" t="s">
        <v>146</v>
      </c>
      <c r="AJ48" s="2">
        <v>21.303000000000001</v>
      </c>
      <c r="AK48" s="2">
        <v>80.335999999999999</v>
      </c>
      <c r="AL48" s="2">
        <v>100</v>
      </c>
      <c r="AM48" s="2" t="s">
        <v>146</v>
      </c>
      <c r="AN48" s="2">
        <v>0</v>
      </c>
      <c r="AO48" s="2" t="s">
        <v>146</v>
      </c>
      <c r="AQ48" s="2">
        <f t="shared" si="0"/>
        <v>438.77200000000005</v>
      </c>
      <c r="AR48" s="2">
        <f t="shared" si="1"/>
        <v>519.10800000000006</v>
      </c>
      <c r="AT48" s="2">
        <f t="shared" si="2"/>
        <v>314.59800000000001</v>
      </c>
      <c r="AU48" s="2">
        <f t="shared" si="3"/>
        <v>85.875</v>
      </c>
      <c r="AV48" s="27">
        <f t="shared" si="4"/>
        <v>0.77146374164913656</v>
      </c>
      <c r="AY48" s="2">
        <f t="shared" si="5"/>
        <v>80.335999999999999</v>
      </c>
      <c r="AZ48" s="2">
        <f t="shared" si="6"/>
        <v>80.335999999999999</v>
      </c>
      <c r="BA48" s="2">
        <f t="shared" si="7"/>
        <v>0</v>
      </c>
      <c r="BB48" s="2">
        <f t="shared" si="8"/>
        <v>0</v>
      </c>
      <c r="BC48" s="2">
        <f t="shared" si="9"/>
        <v>0</v>
      </c>
      <c r="BD48" s="2">
        <f t="shared" si="10"/>
        <v>0</v>
      </c>
    </row>
    <row r="49" spans="1:56" ht="15" customHeight="1" x14ac:dyDescent="0.45">
      <c r="A49" s="2" t="s">
        <v>628</v>
      </c>
      <c r="B49" s="2" t="s">
        <v>629</v>
      </c>
      <c r="C49" s="2">
        <v>2019</v>
      </c>
      <c r="D49" s="2" t="s">
        <v>146</v>
      </c>
      <c r="E49" s="2" t="s">
        <v>146</v>
      </c>
      <c r="F49" s="2" t="s">
        <v>146</v>
      </c>
      <c r="G49" s="2" t="s">
        <v>146</v>
      </c>
      <c r="H49" s="2" t="s">
        <v>146</v>
      </c>
      <c r="I49" s="2" t="s">
        <v>146</v>
      </c>
      <c r="J49" s="2" t="s">
        <v>146</v>
      </c>
      <c r="K49" s="2" t="s">
        <v>146</v>
      </c>
      <c r="L49" s="2" t="s">
        <v>146</v>
      </c>
      <c r="M49" s="2" t="s">
        <v>146</v>
      </c>
      <c r="N49" s="2" t="s">
        <v>146</v>
      </c>
      <c r="O49" s="2" t="s">
        <v>146</v>
      </c>
      <c r="P49" s="2" t="s">
        <v>146</v>
      </c>
      <c r="Q49" s="2" t="s">
        <v>146</v>
      </c>
      <c r="R49" s="2" t="s">
        <v>146</v>
      </c>
      <c r="S49" s="2" t="s">
        <v>146</v>
      </c>
      <c r="T49" s="2" t="s">
        <v>146</v>
      </c>
      <c r="U49" s="2" t="s">
        <v>146</v>
      </c>
      <c r="V49" s="2" t="s">
        <v>146</v>
      </c>
      <c r="W49" s="2" t="s">
        <v>146</v>
      </c>
      <c r="X49" s="2" t="s">
        <v>146</v>
      </c>
      <c r="Y49" s="2" t="s">
        <v>146</v>
      </c>
      <c r="Z49" s="2" t="s">
        <v>146</v>
      </c>
      <c r="AA49" s="2" t="s">
        <v>146</v>
      </c>
      <c r="AB49" s="2" t="s">
        <v>146</v>
      </c>
      <c r="AC49" s="2" t="s">
        <v>146</v>
      </c>
      <c r="AD49" s="2" t="s">
        <v>146</v>
      </c>
      <c r="AE49" s="2" t="s">
        <v>146</v>
      </c>
      <c r="AF49" s="2" t="s">
        <v>146</v>
      </c>
      <c r="AG49" s="2" t="s">
        <v>146</v>
      </c>
      <c r="AH49" s="2" t="s">
        <v>146</v>
      </c>
      <c r="AI49" s="2" t="s">
        <v>146</v>
      </c>
      <c r="AJ49" s="2" t="s">
        <v>146</v>
      </c>
      <c r="AK49" s="2" t="s">
        <v>146</v>
      </c>
      <c r="AL49" s="2" t="s">
        <v>146</v>
      </c>
      <c r="AM49" s="2" t="s">
        <v>146</v>
      </c>
      <c r="AN49" s="2" t="s">
        <v>146</v>
      </c>
      <c r="AO49" s="2" t="s">
        <v>146</v>
      </c>
      <c r="AQ49" s="2">
        <f t="shared" si="0"/>
        <v>0</v>
      </c>
      <c r="AR49" s="2">
        <f t="shared" si="1"/>
        <v>0</v>
      </c>
      <c r="AT49" s="2">
        <f t="shared" si="2"/>
        <v>0</v>
      </c>
      <c r="AU49" s="2">
        <f t="shared" si="3"/>
        <v>0</v>
      </c>
      <c r="AV49" s="27" t="str">
        <f t="shared" si="4"/>
        <v/>
      </c>
      <c r="AY49" s="2">
        <f t="shared" si="5"/>
        <v>0</v>
      </c>
      <c r="AZ49" s="2">
        <f t="shared" si="6"/>
        <v>0</v>
      </c>
      <c r="BA49" s="2">
        <f t="shared" si="7"/>
        <v>0</v>
      </c>
      <c r="BB49" s="2">
        <f t="shared" si="8"/>
        <v>0</v>
      </c>
      <c r="BC49" s="2">
        <f t="shared" si="9"/>
        <v>0</v>
      </c>
      <c r="BD49" s="2">
        <f t="shared" si="10"/>
        <v>0</v>
      </c>
    </row>
    <row r="50" spans="1:56" ht="15" customHeight="1" x14ac:dyDescent="0.45">
      <c r="A50" s="2" t="s">
        <v>628</v>
      </c>
      <c r="B50" s="2" t="s">
        <v>627</v>
      </c>
      <c r="C50" s="2">
        <v>2019</v>
      </c>
      <c r="D50" s="2" t="s">
        <v>146</v>
      </c>
      <c r="E50" s="2" t="s">
        <v>146</v>
      </c>
      <c r="F50" s="2" t="s">
        <v>146</v>
      </c>
      <c r="G50" s="2" t="s">
        <v>146</v>
      </c>
      <c r="H50" s="2" t="s">
        <v>146</v>
      </c>
      <c r="I50" s="2" t="s">
        <v>146</v>
      </c>
      <c r="J50" s="2" t="s">
        <v>146</v>
      </c>
      <c r="K50" s="2" t="s">
        <v>146</v>
      </c>
      <c r="L50" s="2" t="s">
        <v>146</v>
      </c>
      <c r="M50" s="2" t="s">
        <v>146</v>
      </c>
      <c r="N50" s="2" t="s">
        <v>146</v>
      </c>
      <c r="O50" s="2" t="s">
        <v>146</v>
      </c>
      <c r="P50" s="2" t="s">
        <v>146</v>
      </c>
      <c r="Q50" s="2" t="s">
        <v>146</v>
      </c>
      <c r="R50" s="2" t="s">
        <v>146</v>
      </c>
      <c r="S50" s="2" t="s">
        <v>146</v>
      </c>
      <c r="T50" s="2" t="s">
        <v>146</v>
      </c>
      <c r="U50" s="2" t="s">
        <v>146</v>
      </c>
      <c r="V50" s="2" t="s">
        <v>146</v>
      </c>
      <c r="W50" s="2" t="s">
        <v>146</v>
      </c>
      <c r="X50" s="2" t="s">
        <v>146</v>
      </c>
      <c r="Y50" s="2" t="s">
        <v>146</v>
      </c>
      <c r="Z50" s="2" t="s">
        <v>146</v>
      </c>
      <c r="AA50" s="2" t="s">
        <v>146</v>
      </c>
      <c r="AB50" s="2" t="s">
        <v>146</v>
      </c>
      <c r="AC50" s="2" t="s">
        <v>146</v>
      </c>
      <c r="AD50" s="2" t="s">
        <v>146</v>
      </c>
      <c r="AE50" s="2" t="s">
        <v>146</v>
      </c>
      <c r="AF50" s="2" t="s">
        <v>146</v>
      </c>
      <c r="AG50" s="2" t="s">
        <v>146</v>
      </c>
      <c r="AH50" s="2" t="s">
        <v>146</v>
      </c>
      <c r="AI50" s="2" t="s">
        <v>146</v>
      </c>
      <c r="AJ50" s="2" t="s">
        <v>146</v>
      </c>
      <c r="AK50" s="2" t="s">
        <v>146</v>
      </c>
      <c r="AL50" s="2" t="s">
        <v>146</v>
      </c>
      <c r="AM50" s="2" t="s">
        <v>146</v>
      </c>
      <c r="AN50" s="2" t="s">
        <v>146</v>
      </c>
      <c r="AO50" s="2" t="s">
        <v>146</v>
      </c>
      <c r="AQ50" s="2">
        <f t="shared" si="0"/>
        <v>0</v>
      </c>
      <c r="AR50" s="2">
        <f t="shared" si="1"/>
        <v>0</v>
      </c>
      <c r="AT50" s="2">
        <f t="shared" si="2"/>
        <v>0</v>
      </c>
      <c r="AU50" s="2">
        <f t="shared" si="3"/>
        <v>0</v>
      </c>
      <c r="AV50" s="27" t="str">
        <f t="shared" si="4"/>
        <v/>
      </c>
      <c r="AY50" s="2">
        <f t="shared" si="5"/>
        <v>0</v>
      </c>
      <c r="AZ50" s="2">
        <f t="shared" si="6"/>
        <v>0</v>
      </c>
      <c r="BA50" s="2">
        <f t="shared" si="7"/>
        <v>0</v>
      </c>
      <c r="BB50" s="2">
        <f t="shared" si="8"/>
        <v>0</v>
      </c>
      <c r="BC50" s="2">
        <f t="shared" si="9"/>
        <v>0</v>
      </c>
      <c r="BD50" s="2">
        <f t="shared" si="10"/>
        <v>0</v>
      </c>
    </row>
    <row r="51" spans="1:56" ht="15" customHeight="1" x14ac:dyDescent="0.45">
      <c r="A51" s="2" t="s">
        <v>623</v>
      </c>
      <c r="B51" s="2" t="s">
        <v>626</v>
      </c>
      <c r="C51" s="2">
        <v>2019</v>
      </c>
      <c r="D51" s="2" t="s">
        <v>146</v>
      </c>
      <c r="E51" s="2" t="s">
        <v>146</v>
      </c>
      <c r="F51" s="2" t="s">
        <v>146</v>
      </c>
      <c r="G51" s="2" t="s">
        <v>146</v>
      </c>
      <c r="H51" s="2" t="s">
        <v>146</v>
      </c>
      <c r="I51" s="2" t="s">
        <v>146</v>
      </c>
      <c r="J51" s="2" t="s">
        <v>146</v>
      </c>
      <c r="K51" s="2" t="s">
        <v>146</v>
      </c>
      <c r="L51" s="2" t="s">
        <v>146</v>
      </c>
      <c r="M51" s="2" t="s">
        <v>146</v>
      </c>
      <c r="N51" s="2" t="s">
        <v>146</v>
      </c>
      <c r="O51" s="2" t="s">
        <v>146</v>
      </c>
      <c r="P51" s="2" t="s">
        <v>146</v>
      </c>
      <c r="Q51" s="2" t="s">
        <v>146</v>
      </c>
      <c r="R51" s="2" t="s">
        <v>146</v>
      </c>
      <c r="S51" s="2" t="s">
        <v>146</v>
      </c>
      <c r="T51" s="2" t="s">
        <v>146</v>
      </c>
      <c r="U51" s="2" t="s">
        <v>146</v>
      </c>
      <c r="V51" s="2" t="s">
        <v>146</v>
      </c>
      <c r="W51" s="2" t="s">
        <v>146</v>
      </c>
      <c r="X51" s="2" t="s">
        <v>146</v>
      </c>
      <c r="Y51" s="2" t="s">
        <v>146</v>
      </c>
      <c r="Z51" s="2" t="s">
        <v>146</v>
      </c>
      <c r="AA51" s="2" t="s">
        <v>146</v>
      </c>
      <c r="AB51" s="2" t="s">
        <v>146</v>
      </c>
      <c r="AC51" s="2" t="s">
        <v>146</v>
      </c>
      <c r="AD51" s="2" t="s">
        <v>146</v>
      </c>
      <c r="AE51" s="2" t="s">
        <v>146</v>
      </c>
      <c r="AF51" s="2" t="s">
        <v>146</v>
      </c>
      <c r="AG51" s="2" t="s">
        <v>146</v>
      </c>
      <c r="AH51" s="2" t="s">
        <v>155</v>
      </c>
      <c r="AI51" s="2" t="s">
        <v>146</v>
      </c>
      <c r="AJ51" s="2" t="s">
        <v>146</v>
      </c>
      <c r="AK51" s="2" t="s">
        <v>146</v>
      </c>
      <c r="AL51" s="2" t="s">
        <v>146</v>
      </c>
      <c r="AM51" s="2" t="s">
        <v>146</v>
      </c>
      <c r="AN51" s="2" t="s">
        <v>146</v>
      </c>
      <c r="AO51" s="2" t="s">
        <v>146</v>
      </c>
      <c r="AQ51" s="2">
        <f t="shared" si="0"/>
        <v>0</v>
      </c>
      <c r="AR51" s="2">
        <f t="shared" si="1"/>
        <v>0</v>
      </c>
      <c r="AT51" s="2">
        <f t="shared" si="2"/>
        <v>0</v>
      </c>
      <c r="AU51" s="2">
        <f t="shared" si="3"/>
        <v>0</v>
      </c>
      <c r="AV51" s="27" t="str">
        <f t="shared" si="4"/>
        <v/>
      </c>
      <c r="AY51" s="2">
        <f t="shared" si="5"/>
        <v>0</v>
      </c>
      <c r="AZ51" s="2">
        <f t="shared" si="6"/>
        <v>0</v>
      </c>
      <c r="BA51" s="2">
        <f t="shared" si="7"/>
        <v>0</v>
      </c>
      <c r="BB51" s="2">
        <f t="shared" si="8"/>
        <v>0</v>
      </c>
      <c r="BC51" s="2">
        <f t="shared" si="9"/>
        <v>0</v>
      </c>
      <c r="BD51" s="2">
        <f t="shared" si="10"/>
        <v>0</v>
      </c>
    </row>
    <row r="52" spans="1:56" ht="15" customHeight="1" x14ac:dyDescent="0.45">
      <c r="A52" s="2" t="s">
        <v>623</v>
      </c>
      <c r="B52" s="2" t="s">
        <v>625</v>
      </c>
      <c r="C52" s="2">
        <v>2019</v>
      </c>
      <c r="D52" s="2" t="s">
        <v>49</v>
      </c>
      <c r="E52" s="2" t="s">
        <v>49</v>
      </c>
      <c r="F52" s="2" t="s">
        <v>49</v>
      </c>
      <c r="G52" s="2" t="s">
        <v>49</v>
      </c>
      <c r="H52" s="2" t="s">
        <v>49</v>
      </c>
      <c r="I52" s="2" t="s">
        <v>49</v>
      </c>
      <c r="J52" s="2" t="s">
        <v>49</v>
      </c>
      <c r="K52" s="2" t="s">
        <v>49</v>
      </c>
      <c r="L52" s="2" t="s">
        <v>49</v>
      </c>
      <c r="M52" s="2" t="s">
        <v>49</v>
      </c>
      <c r="N52" s="2" t="s">
        <v>49</v>
      </c>
      <c r="O52" s="2" t="s">
        <v>49</v>
      </c>
      <c r="P52" s="2" t="s">
        <v>49</v>
      </c>
      <c r="Q52" s="2" t="s">
        <v>49</v>
      </c>
      <c r="R52" s="2" t="s">
        <v>49</v>
      </c>
      <c r="S52" s="2" t="s">
        <v>49</v>
      </c>
      <c r="T52" s="2" t="s">
        <v>49</v>
      </c>
      <c r="U52" s="2" t="s">
        <v>49</v>
      </c>
      <c r="V52" s="2" t="s">
        <v>49</v>
      </c>
      <c r="W52" s="2" t="s">
        <v>49</v>
      </c>
      <c r="X52" s="2" t="s">
        <v>49</v>
      </c>
      <c r="Y52" s="2" t="s">
        <v>49</v>
      </c>
      <c r="Z52" s="2" t="s">
        <v>49</v>
      </c>
      <c r="AA52" s="2" t="s">
        <v>49</v>
      </c>
      <c r="AB52" s="2" t="s">
        <v>49</v>
      </c>
      <c r="AC52" s="2" t="s">
        <v>49</v>
      </c>
      <c r="AD52" s="2" t="s">
        <v>49</v>
      </c>
      <c r="AE52" s="2" t="s">
        <v>49</v>
      </c>
      <c r="AF52" s="2" t="s">
        <v>49</v>
      </c>
      <c r="AG52" s="2" t="s">
        <v>49</v>
      </c>
      <c r="AH52" s="2" t="s">
        <v>49</v>
      </c>
      <c r="AI52" s="2" t="s">
        <v>49</v>
      </c>
      <c r="AJ52" s="2" t="s">
        <v>49</v>
      </c>
      <c r="AK52" s="2" t="s">
        <v>49</v>
      </c>
      <c r="AL52" s="2" t="s">
        <v>49</v>
      </c>
      <c r="AM52" s="2" t="s">
        <v>49</v>
      </c>
      <c r="AN52" s="2" t="s">
        <v>49</v>
      </c>
      <c r="AO52" s="2" t="s">
        <v>49</v>
      </c>
      <c r="AQ52" s="2">
        <f t="shared" si="0"/>
        <v>0</v>
      </c>
      <c r="AR52" s="2">
        <f t="shared" si="1"/>
        <v>0</v>
      </c>
      <c r="AT52" s="2">
        <f t="shared" si="2"/>
        <v>0</v>
      </c>
      <c r="AU52" s="2">
        <f t="shared" si="3"/>
        <v>0</v>
      </c>
      <c r="AV52" s="27" t="str">
        <f t="shared" si="4"/>
        <v/>
      </c>
      <c r="AY52" s="2">
        <f t="shared" si="5"/>
        <v>0</v>
      </c>
      <c r="AZ52" s="2">
        <f t="shared" si="6"/>
        <v>0</v>
      </c>
      <c r="BA52" s="2">
        <f t="shared" si="7"/>
        <v>0</v>
      </c>
      <c r="BB52" s="2">
        <f t="shared" si="8"/>
        <v>0</v>
      </c>
      <c r="BC52" s="2">
        <f t="shared" si="9"/>
        <v>0</v>
      </c>
      <c r="BD52" s="2">
        <f t="shared" si="10"/>
        <v>0</v>
      </c>
    </row>
    <row r="53" spans="1:56" ht="15" customHeight="1" x14ac:dyDescent="0.45">
      <c r="A53" s="2" t="s">
        <v>623</v>
      </c>
      <c r="B53" s="2" t="s">
        <v>624</v>
      </c>
      <c r="C53" s="2">
        <v>2019</v>
      </c>
      <c r="D53" s="2" t="s">
        <v>146</v>
      </c>
      <c r="E53" s="2" t="s">
        <v>146</v>
      </c>
      <c r="F53" s="2" t="s">
        <v>146</v>
      </c>
      <c r="G53" s="2" t="s">
        <v>146</v>
      </c>
      <c r="H53" s="2" t="s">
        <v>146</v>
      </c>
      <c r="I53" s="2" t="s">
        <v>146</v>
      </c>
      <c r="J53" s="2" t="s">
        <v>146</v>
      </c>
      <c r="K53" s="2" t="s">
        <v>146</v>
      </c>
      <c r="L53" s="2" t="s">
        <v>146</v>
      </c>
      <c r="M53" s="2" t="s">
        <v>146</v>
      </c>
      <c r="N53" s="2" t="s">
        <v>146</v>
      </c>
      <c r="O53" s="2" t="s">
        <v>146</v>
      </c>
      <c r="P53" s="2" t="s">
        <v>146</v>
      </c>
      <c r="Q53" s="2" t="s">
        <v>146</v>
      </c>
      <c r="R53" s="2" t="s">
        <v>146</v>
      </c>
      <c r="S53" s="2" t="s">
        <v>146</v>
      </c>
      <c r="T53" s="2" t="s">
        <v>146</v>
      </c>
      <c r="U53" s="2" t="s">
        <v>146</v>
      </c>
      <c r="V53" s="2" t="s">
        <v>146</v>
      </c>
      <c r="W53" s="2" t="s">
        <v>146</v>
      </c>
      <c r="X53" s="2" t="s">
        <v>146</v>
      </c>
      <c r="Y53" s="2" t="s">
        <v>146</v>
      </c>
      <c r="Z53" s="2" t="s">
        <v>146</v>
      </c>
      <c r="AA53" s="2" t="s">
        <v>146</v>
      </c>
      <c r="AB53" s="2" t="s">
        <v>146</v>
      </c>
      <c r="AC53" s="2" t="s">
        <v>146</v>
      </c>
      <c r="AD53" s="2" t="s">
        <v>146</v>
      </c>
      <c r="AE53" s="2" t="s">
        <v>146</v>
      </c>
      <c r="AF53" s="2" t="s">
        <v>146</v>
      </c>
      <c r="AG53" s="2" t="s">
        <v>146</v>
      </c>
      <c r="AH53" s="2" t="s">
        <v>155</v>
      </c>
      <c r="AI53" s="2" t="s">
        <v>146</v>
      </c>
      <c r="AJ53" s="2" t="s">
        <v>146</v>
      </c>
      <c r="AK53" s="2" t="s">
        <v>146</v>
      </c>
      <c r="AL53" s="2" t="s">
        <v>146</v>
      </c>
      <c r="AM53" s="2" t="s">
        <v>146</v>
      </c>
      <c r="AN53" s="2" t="s">
        <v>146</v>
      </c>
      <c r="AO53" s="2" t="s">
        <v>146</v>
      </c>
      <c r="AQ53" s="2">
        <f t="shared" si="0"/>
        <v>0</v>
      </c>
      <c r="AR53" s="2">
        <f t="shared" si="1"/>
        <v>0</v>
      </c>
      <c r="AT53" s="2">
        <f t="shared" si="2"/>
        <v>0</v>
      </c>
      <c r="AU53" s="2">
        <f t="shared" si="3"/>
        <v>0</v>
      </c>
      <c r="AV53" s="27" t="str">
        <f t="shared" si="4"/>
        <v/>
      </c>
      <c r="AY53" s="2">
        <f t="shared" si="5"/>
        <v>0</v>
      </c>
      <c r="AZ53" s="2">
        <f t="shared" si="6"/>
        <v>0</v>
      </c>
      <c r="BA53" s="2">
        <f t="shared" si="7"/>
        <v>0</v>
      </c>
      <c r="BB53" s="2">
        <f t="shared" si="8"/>
        <v>0</v>
      </c>
      <c r="BC53" s="2">
        <f t="shared" si="9"/>
        <v>0</v>
      </c>
      <c r="BD53" s="2">
        <f t="shared" si="10"/>
        <v>0</v>
      </c>
    </row>
    <row r="54" spans="1:56" ht="15" customHeight="1" x14ac:dyDescent="0.45">
      <c r="A54" s="2" t="s">
        <v>623</v>
      </c>
      <c r="B54" s="2" t="s">
        <v>622</v>
      </c>
      <c r="C54" s="2">
        <v>2019</v>
      </c>
      <c r="D54" s="2" t="s">
        <v>146</v>
      </c>
      <c r="E54" s="2" t="s">
        <v>146</v>
      </c>
      <c r="F54" s="2" t="s">
        <v>146</v>
      </c>
      <c r="G54" s="2" t="s">
        <v>146</v>
      </c>
      <c r="H54" s="2" t="s">
        <v>146</v>
      </c>
      <c r="I54" s="2" t="s">
        <v>146</v>
      </c>
      <c r="J54" s="2" t="s">
        <v>146</v>
      </c>
      <c r="K54" s="2" t="s">
        <v>146</v>
      </c>
      <c r="L54" s="2" t="s">
        <v>146</v>
      </c>
      <c r="M54" s="2" t="s">
        <v>146</v>
      </c>
      <c r="N54" s="2" t="s">
        <v>146</v>
      </c>
      <c r="O54" s="2" t="s">
        <v>146</v>
      </c>
      <c r="P54" s="2" t="s">
        <v>146</v>
      </c>
      <c r="Q54" s="2" t="s">
        <v>146</v>
      </c>
      <c r="R54" s="2" t="s">
        <v>146</v>
      </c>
      <c r="S54" s="2" t="s">
        <v>146</v>
      </c>
      <c r="T54" s="2" t="s">
        <v>146</v>
      </c>
      <c r="U54" s="2" t="s">
        <v>146</v>
      </c>
      <c r="V54" s="2" t="s">
        <v>146</v>
      </c>
      <c r="W54" s="2" t="s">
        <v>146</v>
      </c>
      <c r="X54" s="2" t="s">
        <v>146</v>
      </c>
      <c r="Y54" s="2" t="s">
        <v>146</v>
      </c>
      <c r="Z54" s="2" t="s">
        <v>146</v>
      </c>
      <c r="AA54" s="2" t="s">
        <v>146</v>
      </c>
      <c r="AB54" s="2" t="s">
        <v>146</v>
      </c>
      <c r="AC54" s="2" t="s">
        <v>146</v>
      </c>
      <c r="AD54" s="2" t="s">
        <v>146</v>
      </c>
      <c r="AE54" s="2" t="s">
        <v>146</v>
      </c>
      <c r="AF54" s="2" t="s">
        <v>146</v>
      </c>
      <c r="AG54" s="2" t="s">
        <v>146</v>
      </c>
      <c r="AH54" s="2" t="s">
        <v>146</v>
      </c>
      <c r="AI54" s="2" t="s">
        <v>146</v>
      </c>
      <c r="AJ54" s="2" t="s">
        <v>146</v>
      </c>
      <c r="AK54" s="2" t="s">
        <v>146</v>
      </c>
      <c r="AL54" s="2" t="s">
        <v>146</v>
      </c>
      <c r="AM54" s="2" t="s">
        <v>146</v>
      </c>
      <c r="AN54" s="2" t="s">
        <v>146</v>
      </c>
      <c r="AO54" s="2" t="s">
        <v>146</v>
      </c>
      <c r="AQ54" s="2">
        <f t="shared" si="0"/>
        <v>0</v>
      </c>
      <c r="AR54" s="2">
        <f t="shared" si="1"/>
        <v>0</v>
      </c>
      <c r="AT54" s="2">
        <f t="shared" si="2"/>
        <v>0</v>
      </c>
      <c r="AU54" s="2">
        <f t="shared" si="3"/>
        <v>0</v>
      </c>
      <c r="AV54" s="27" t="str">
        <f t="shared" si="4"/>
        <v/>
      </c>
      <c r="AY54" s="2">
        <f t="shared" si="5"/>
        <v>0</v>
      </c>
      <c r="AZ54" s="2">
        <f t="shared" si="6"/>
        <v>0</v>
      </c>
      <c r="BA54" s="2">
        <f t="shared" si="7"/>
        <v>0</v>
      </c>
      <c r="BB54" s="2">
        <f t="shared" si="8"/>
        <v>0</v>
      </c>
      <c r="BC54" s="2">
        <f t="shared" si="9"/>
        <v>0</v>
      </c>
      <c r="BD54" s="2">
        <f t="shared" si="10"/>
        <v>0</v>
      </c>
    </row>
    <row r="55" spans="1:56" ht="15" customHeight="1" x14ac:dyDescent="0.45">
      <c r="A55" s="2" t="s">
        <v>610</v>
      </c>
      <c r="B55" s="2" t="s">
        <v>621</v>
      </c>
      <c r="C55" s="2">
        <v>2019</v>
      </c>
      <c r="D55" s="2" t="s">
        <v>146</v>
      </c>
      <c r="E55" s="2" t="s">
        <v>146</v>
      </c>
      <c r="F55" s="2" t="s">
        <v>146</v>
      </c>
      <c r="G55" s="2" t="s">
        <v>146</v>
      </c>
      <c r="H55" s="2" t="s">
        <v>146</v>
      </c>
      <c r="I55" s="2" t="s">
        <v>146</v>
      </c>
      <c r="J55" s="2" t="s">
        <v>146</v>
      </c>
      <c r="K55" s="2" t="s">
        <v>146</v>
      </c>
      <c r="L55" s="2" t="s">
        <v>146</v>
      </c>
      <c r="M55" s="2" t="s">
        <v>146</v>
      </c>
      <c r="N55" s="2" t="s">
        <v>146</v>
      </c>
      <c r="O55" s="2" t="s">
        <v>146</v>
      </c>
      <c r="P55" s="2" t="s">
        <v>146</v>
      </c>
      <c r="Q55" s="2" t="s">
        <v>146</v>
      </c>
      <c r="R55" s="2" t="s">
        <v>146</v>
      </c>
      <c r="S55" s="2" t="s">
        <v>146</v>
      </c>
      <c r="T55" s="2" t="s">
        <v>146</v>
      </c>
      <c r="U55" s="2" t="s">
        <v>146</v>
      </c>
      <c r="V55" s="2" t="s">
        <v>146</v>
      </c>
      <c r="W55" s="2" t="s">
        <v>146</v>
      </c>
      <c r="X55" s="2" t="s">
        <v>146</v>
      </c>
      <c r="Y55" s="2" t="s">
        <v>146</v>
      </c>
      <c r="Z55" s="2" t="s">
        <v>146</v>
      </c>
      <c r="AA55" s="2" t="s">
        <v>146</v>
      </c>
      <c r="AB55" s="2" t="s">
        <v>146</v>
      </c>
      <c r="AC55" s="2" t="s">
        <v>146</v>
      </c>
      <c r="AD55" s="2" t="s">
        <v>146</v>
      </c>
      <c r="AE55" s="2" t="s">
        <v>146</v>
      </c>
      <c r="AF55" s="2" t="s">
        <v>146</v>
      </c>
      <c r="AG55" s="2" t="s">
        <v>146</v>
      </c>
      <c r="AH55" s="2" t="s">
        <v>146</v>
      </c>
      <c r="AI55" s="2" t="s">
        <v>146</v>
      </c>
      <c r="AJ55" s="2" t="s">
        <v>146</v>
      </c>
      <c r="AK55" s="2" t="s">
        <v>146</v>
      </c>
      <c r="AL55" s="2" t="s">
        <v>146</v>
      </c>
      <c r="AM55" s="2" t="s">
        <v>146</v>
      </c>
      <c r="AN55" s="2" t="s">
        <v>146</v>
      </c>
      <c r="AO55" s="2" t="s">
        <v>146</v>
      </c>
      <c r="AQ55" s="2">
        <f t="shared" si="0"/>
        <v>0</v>
      </c>
      <c r="AR55" s="2">
        <f t="shared" si="1"/>
        <v>0</v>
      </c>
      <c r="AT55" s="2">
        <f t="shared" si="2"/>
        <v>0</v>
      </c>
      <c r="AU55" s="2">
        <f t="shared" si="3"/>
        <v>0</v>
      </c>
      <c r="AV55" s="27" t="str">
        <f t="shared" si="4"/>
        <v/>
      </c>
      <c r="AY55" s="2">
        <f t="shared" si="5"/>
        <v>0</v>
      </c>
      <c r="AZ55" s="2">
        <f t="shared" si="6"/>
        <v>0</v>
      </c>
      <c r="BA55" s="2">
        <f t="shared" si="7"/>
        <v>0</v>
      </c>
      <c r="BB55" s="2">
        <f t="shared" si="8"/>
        <v>0</v>
      </c>
      <c r="BC55" s="2">
        <f t="shared" si="9"/>
        <v>0</v>
      </c>
      <c r="BD55" s="2">
        <f t="shared" si="10"/>
        <v>0</v>
      </c>
    </row>
    <row r="56" spans="1:56" ht="15" customHeight="1" x14ac:dyDescent="0.45">
      <c r="A56" s="2" t="s">
        <v>610</v>
      </c>
      <c r="B56" s="2" t="s">
        <v>620</v>
      </c>
      <c r="C56" s="2">
        <v>2019</v>
      </c>
      <c r="D56" s="2" t="s">
        <v>146</v>
      </c>
      <c r="E56" s="2" t="s">
        <v>146</v>
      </c>
      <c r="F56" s="2" t="s">
        <v>146</v>
      </c>
      <c r="G56" s="2" t="s">
        <v>146</v>
      </c>
      <c r="H56" s="2" t="s">
        <v>146</v>
      </c>
      <c r="I56" s="2" t="s">
        <v>146</v>
      </c>
      <c r="J56" s="2" t="s">
        <v>146</v>
      </c>
      <c r="K56" s="2" t="s">
        <v>146</v>
      </c>
      <c r="L56" s="2" t="s">
        <v>146</v>
      </c>
      <c r="M56" s="2" t="s">
        <v>146</v>
      </c>
      <c r="N56" s="2" t="s">
        <v>146</v>
      </c>
      <c r="O56" s="2" t="s">
        <v>146</v>
      </c>
      <c r="P56" s="2" t="s">
        <v>146</v>
      </c>
      <c r="Q56" s="2" t="s">
        <v>146</v>
      </c>
      <c r="R56" s="2" t="s">
        <v>146</v>
      </c>
      <c r="S56" s="2" t="s">
        <v>146</v>
      </c>
      <c r="T56" s="2" t="s">
        <v>146</v>
      </c>
      <c r="U56" s="2" t="s">
        <v>146</v>
      </c>
      <c r="V56" s="2" t="s">
        <v>146</v>
      </c>
      <c r="W56" s="2" t="s">
        <v>146</v>
      </c>
      <c r="X56" s="2" t="s">
        <v>146</v>
      </c>
      <c r="Y56" s="2" t="s">
        <v>146</v>
      </c>
      <c r="Z56" s="2" t="s">
        <v>146</v>
      </c>
      <c r="AA56" s="2" t="s">
        <v>146</v>
      </c>
      <c r="AB56" s="2" t="s">
        <v>146</v>
      </c>
      <c r="AC56" s="2" t="s">
        <v>146</v>
      </c>
      <c r="AD56" s="2" t="s">
        <v>146</v>
      </c>
      <c r="AE56" s="2" t="s">
        <v>146</v>
      </c>
      <c r="AF56" s="2" t="s">
        <v>146</v>
      </c>
      <c r="AG56" s="2" t="s">
        <v>146</v>
      </c>
      <c r="AH56" s="2" t="s">
        <v>146</v>
      </c>
      <c r="AI56" s="2" t="s">
        <v>146</v>
      </c>
      <c r="AJ56" s="2" t="s">
        <v>146</v>
      </c>
      <c r="AK56" s="2" t="s">
        <v>146</v>
      </c>
      <c r="AL56" s="2" t="s">
        <v>146</v>
      </c>
      <c r="AM56" s="2" t="s">
        <v>146</v>
      </c>
      <c r="AN56" s="2" t="s">
        <v>146</v>
      </c>
      <c r="AO56" s="2" t="s">
        <v>146</v>
      </c>
      <c r="AQ56" s="2">
        <f t="shared" si="0"/>
        <v>0</v>
      </c>
      <c r="AR56" s="2">
        <f t="shared" si="1"/>
        <v>0</v>
      </c>
      <c r="AT56" s="2">
        <f t="shared" si="2"/>
        <v>0</v>
      </c>
      <c r="AU56" s="2">
        <f t="shared" si="3"/>
        <v>0</v>
      </c>
      <c r="AV56" s="27" t="str">
        <f t="shared" si="4"/>
        <v/>
      </c>
      <c r="AY56" s="2">
        <f t="shared" si="5"/>
        <v>0</v>
      </c>
      <c r="AZ56" s="2">
        <f t="shared" si="6"/>
        <v>0</v>
      </c>
      <c r="BA56" s="2">
        <f t="shared" si="7"/>
        <v>0</v>
      </c>
      <c r="BB56" s="2">
        <f t="shared" si="8"/>
        <v>0</v>
      </c>
      <c r="BC56" s="2">
        <f t="shared" si="9"/>
        <v>0</v>
      </c>
      <c r="BD56" s="2">
        <f t="shared" si="10"/>
        <v>0</v>
      </c>
    </row>
    <row r="57" spans="1:56" ht="15" customHeight="1" x14ac:dyDescent="0.45">
      <c r="A57" s="2" t="s">
        <v>610</v>
      </c>
      <c r="B57" s="2" t="s">
        <v>619</v>
      </c>
      <c r="C57" s="2">
        <v>2019</v>
      </c>
      <c r="D57" s="2" t="s">
        <v>146</v>
      </c>
      <c r="E57" s="2" t="s">
        <v>146</v>
      </c>
      <c r="F57" s="2" t="s">
        <v>146</v>
      </c>
      <c r="G57" s="2" t="s">
        <v>146</v>
      </c>
      <c r="H57" s="2" t="s">
        <v>146</v>
      </c>
      <c r="I57" s="2" t="s">
        <v>146</v>
      </c>
      <c r="J57" s="2" t="s">
        <v>146</v>
      </c>
      <c r="K57" s="2" t="s">
        <v>146</v>
      </c>
      <c r="L57" s="2" t="s">
        <v>146</v>
      </c>
      <c r="M57" s="2" t="s">
        <v>146</v>
      </c>
      <c r="N57" s="2" t="s">
        <v>146</v>
      </c>
      <c r="O57" s="2" t="s">
        <v>146</v>
      </c>
      <c r="P57" s="2" t="s">
        <v>146</v>
      </c>
      <c r="Q57" s="2" t="s">
        <v>146</v>
      </c>
      <c r="R57" s="2" t="s">
        <v>146</v>
      </c>
      <c r="S57" s="2" t="s">
        <v>146</v>
      </c>
      <c r="T57" s="2" t="s">
        <v>146</v>
      </c>
      <c r="U57" s="2" t="s">
        <v>146</v>
      </c>
      <c r="V57" s="2" t="s">
        <v>146</v>
      </c>
      <c r="W57" s="2" t="s">
        <v>146</v>
      </c>
      <c r="X57" s="2" t="s">
        <v>146</v>
      </c>
      <c r="Y57" s="2" t="s">
        <v>146</v>
      </c>
      <c r="Z57" s="2" t="s">
        <v>146</v>
      </c>
      <c r="AA57" s="2" t="s">
        <v>146</v>
      </c>
      <c r="AB57" s="2" t="s">
        <v>146</v>
      </c>
      <c r="AC57" s="2" t="s">
        <v>146</v>
      </c>
      <c r="AD57" s="2" t="s">
        <v>146</v>
      </c>
      <c r="AE57" s="2" t="s">
        <v>146</v>
      </c>
      <c r="AF57" s="2" t="s">
        <v>146</v>
      </c>
      <c r="AG57" s="2" t="s">
        <v>146</v>
      </c>
      <c r="AH57" s="2" t="s">
        <v>146</v>
      </c>
      <c r="AI57" s="2" t="s">
        <v>146</v>
      </c>
      <c r="AJ57" s="2" t="s">
        <v>146</v>
      </c>
      <c r="AK57" s="2" t="s">
        <v>146</v>
      </c>
      <c r="AL57" s="2" t="s">
        <v>146</v>
      </c>
      <c r="AM57" s="2" t="s">
        <v>146</v>
      </c>
      <c r="AN57" s="2" t="s">
        <v>146</v>
      </c>
      <c r="AO57" s="2" t="s">
        <v>146</v>
      </c>
      <c r="AQ57" s="2">
        <f t="shared" si="0"/>
        <v>0</v>
      </c>
      <c r="AR57" s="2">
        <f t="shared" si="1"/>
        <v>0</v>
      </c>
      <c r="AT57" s="2">
        <f t="shared" si="2"/>
        <v>0</v>
      </c>
      <c r="AU57" s="2">
        <f t="shared" si="3"/>
        <v>0</v>
      </c>
      <c r="AV57" s="27" t="str">
        <f t="shared" si="4"/>
        <v/>
      </c>
      <c r="AY57" s="2">
        <f t="shared" si="5"/>
        <v>0</v>
      </c>
      <c r="AZ57" s="2">
        <f t="shared" si="6"/>
        <v>0</v>
      </c>
      <c r="BA57" s="2">
        <f t="shared" si="7"/>
        <v>0</v>
      </c>
      <c r="BB57" s="2">
        <f t="shared" si="8"/>
        <v>0</v>
      </c>
      <c r="BC57" s="2">
        <f t="shared" si="9"/>
        <v>0</v>
      </c>
      <c r="BD57" s="2">
        <f t="shared" si="10"/>
        <v>0</v>
      </c>
    </row>
    <row r="58" spans="1:56" ht="15" customHeight="1" x14ac:dyDescent="0.45">
      <c r="A58" s="2" t="s">
        <v>610</v>
      </c>
      <c r="B58" s="2" t="s">
        <v>618</v>
      </c>
      <c r="C58" s="2">
        <v>2019</v>
      </c>
      <c r="D58" s="2">
        <v>637.9</v>
      </c>
      <c r="E58" s="2">
        <v>272.8</v>
      </c>
      <c r="F58" s="2" t="s">
        <v>146</v>
      </c>
      <c r="G58" s="2" t="s">
        <v>146</v>
      </c>
      <c r="H58" s="2" t="s">
        <v>146</v>
      </c>
      <c r="I58" s="2">
        <v>1099.76</v>
      </c>
      <c r="J58" s="2">
        <v>0.9</v>
      </c>
      <c r="K58" s="2">
        <v>1.46</v>
      </c>
      <c r="L58" s="2" t="s">
        <v>146</v>
      </c>
      <c r="M58" s="2">
        <v>7</v>
      </c>
      <c r="N58" s="2" t="s">
        <v>146</v>
      </c>
      <c r="O58" s="2" t="s">
        <v>146</v>
      </c>
      <c r="P58" s="2" t="s">
        <v>146</v>
      </c>
      <c r="Q58" s="2">
        <v>216.4</v>
      </c>
      <c r="R58" s="2">
        <v>103.7</v>
      </c>
      <c r="S58" s="2">
        <v>230</v>
      </c>
      <c r="T58" s="2">
        <v>208.5</v>
      </c>
      <c r="U58" s="2">
        <v>8.1999999999999993</v>
      </c>
      <c r="V58" s="2">
        <v>0</v>
      </c>
      <c r="W58" s="2" t="s">
        <v>147</v>
      </c>
      <c r="X58" s="2" t="s">
        <v>146</v>
      </c>
      <c r="Y58" s="2" t="s">
        <v>146</v>
      </c>
      <c r="Z58" s="2" t="s">
        <v>146</v>
      </c>
      <c r="AA58" s="2" t="s">
        <v>146</v>
      </c>
      <c r="AB58" s="2" t="s">
        <v>146</v>
      </c>
      <c r="AC58" s="2" t="s">
        <v>146</v>
      </c>
      <c r="AD58" s="2">
        <v>135.6</v>
      </c>
      <c r="AE58" s="2" t="s">
        <v>146</v>
      </c>
      <c r="AF58" s="2" t="s">
        <v>146</v>
      </c>
      <c r="AG58" s="2" t="s">
        <v>146</v>
      </c>
      <c r="AH58" s="2" t="s">
        <v>146</v>
      </c>
      <c r="AI58" s="2" t="s">
        <v>146</v>
      </c>
      <c r="AJ58" s="2" t="s">
        <v>146</v>
      </c>
      <c r="AK58" s="2">
        <v>188</v>
      </c>
      <c r="AL58" s="2" t="s">
        <v>146</v>
      </c>
      <c r="AM58" s="2" t="s">
        <v>146</v>
      </c>
      <c r="AN58" s="2" t="s">
        <v>146</v>
      </c>
      <c r="AO58" s="2" t="s">
        <v>146</v>
      </c>
      <c r="AQ58" s="2">
        <f t="shared" si="0"/>
        <v>911.7600000000001</v>
      </c>
      <c r="AR58" s="2">
        <f t="shared" si="1"/>
        <v>1099.7600000000002</v>
      </c>
      <c r="AT58" s="2">
        <f t="shared" si="2"/>
        <v>637.9</v>
      </c>
      <c r="AU58" s="2">
        <f t="shared" si="3"/>
        <v>272.8</v>
      </c>
      <c r="AV58" s="27">
        <f t="shared" si="4"/>
        <v>0.82808976503964493</v>
      </c>
      <c r="AY58" s="2">
        <f t="shared" si="5"/>
        <v>188</v>
      </c>
      <c r="AZ58" s="2">
        <f t="shared" si="6"/>
        <v>0</v>
      </c>
      <c r="BA58" s="2">
        <f t="shared" si="7"/>
        <v>0</v>
      </c>
      <c r="BB58" s="2">
        <f t="shared" si="8"/>
        <v>0</v>
      </c>
      <c r="BC58" s="2">
        <f t="shared" si="9"/>
        <v>0</v>
      </c>
      <c r="BD58" s="2">
        <f t="shared" si="10"/>
        <v>188</v>
      </c>
    </row>
    <row r="59" spans="1:56" ht="15" customHeight="1" x14ac:dyDescent="0.45">
      <c r="A59" s="2" t="s">
        <v>610</v>
      </c>
      <c r="B59" s="2" t="s">
        <v>616</v>
      </c>
      <c r="C59" s="2">
        <v>2019</v>
      </c>
      <c r="D59" s="2" t="s">
        <v>146</v>
      </c>
      <c r="E59" s="2" t="s">
        <v>146</v>
      </c>
      <c r="F59" s="2" t="s">
        <v>146</v>
      </c>
      <c r="G59" s="2" t="s">
        <v>146</v>
      </c>
      <c r="H59" s="2" t="s">
        <v>146</v>
      </c>
      <c r="I59" s="2" t="s">
        <v>146</v>
      </c>
      <c r="J59" s="2" t="s">
        <v>146</v>
      </c>
      <c r="K59" s="2" t="s">
        <v>146</v>
      </c>
      <c r="L59" s="2" t="s">
        <v>146</v>
      </c>
      <c r="M59" s="2" t="s">
        <v>146</v>
      </c>
      <c r="N59" s="2" t="s">
        <v>146</v>
      </c>
      <c r="O59" s="2" t="s">
        <v>146</v>
      </c>
      <c r="P59" s="2" t="s">
        <v>146</v>
      </c>
      <c r="Q59" s="2" t="s">
        <v>146</v>
      </c>
      <c r="R59" s="2" t="s">
        <v>146</v>
      </c>
      <c r="S59" s="2" t="s">
        <v>146</v>
      </c>
      <c r="T59" s="2" t="s">
        <v>146</v>
      </c>
      <c r="U59" s="2" t="s">
        <v>146</v>
      </c>
      <c r="V59" s="2" t="s">
        <v>146</v>
      </c>
      <c r="W59" s="2" t="s">
        <v>146</v>
      </c>
      <c r="X59" s="2" t="s">
        <v>146</v>
      </c>
      <c r="Y59" s="2" t="s">
        <v>146</v>
      </c>
      <c r="Z59" s="2" t="s">
        <v>146</v>
      </c>
      <c r="AA59" s="2" t="s">
        <v>146</v>
      </c>
      <c r="AB59" s="2" t="s">
        <v>146</v>
      </c>
      <c r="AC59" s="2" t="s">
        <v>146</v>
      </c>
      <c r="AD59" s="2" t="s">
        <v>146</v>
      </c>
      <c r="AE59" s="2" t="s">
        <v>146</v>
      </c>
      <c r="AF59" s="2" t="s">
        <v>146</v>
      </c>
      <c r="AG59" s="2" t="s">
        <v>146</v>
      </c>
      <c r="AH59" s="2" t="s">
        <v>146</v>
      </c>
      <c r="AI59" s="2" t="s">
        <v>146</v>
      </c>
      <c r="AJ59" s="2" t="s">
        <v>146</v>
      </c>
      <c r="AK59" s="2" t="s">
        <v>146</v>
      </c>
      <c r="AL59" s="2" t="s">
        <v>146</v>
      </c>
      <c r="AM59" s="2" t="s">
        <v>146</v>
      </c>
      <c r="AN59" s="2" t="s">
        <v>146</v>
      </c>
      <c r="AO59" s="2" t="s">
        <v>146</v>
      </c>
      <c r="AQ59" s="2">
        <f t="shared" si="0"/>
        <v>0</v>
      </c>
      <c r="AR59" s="2">
        <f t="shared" si="1"/>
        <v>0</v>
      </c>
      <c r="AT59" s="2">
        <f t="shared" si="2"/>
        <v>0</v>
      </c>
      <c r="AU59" s="2">
        <f t="shared" si="3"/>
        <v>0</v>
      </c>
      <c r="AV59" s="27" t="str">
        <f t="shared" si="4"/>
        <v/>
      </c>
      <c r="AY59" s="2">
        <f t="shared" si="5"/>
        <v>0</v>
      </c>
      <c r="AZ59" s="2">
        <f t="shared" si="6"/>
        <v>0</v>
      </c>
      <c r="BA59" s="2">
        <f t="shared" si="7"/>
        <v>0</v>
      </c>
      <c r="BB59" s="2">
        <f t="shared" si="8"/>
        <v>0</v>
      </c>
      <c r="BC59" s="2">
        <f t="shared" si="9"/>
        <v>0</v>
      </c>
      <c r="BD59" s="2">
        <f t="shared" si="10"/>
        <v>0</v>
      </c>
    </row>
    <row r="60" spans="1:56" ht="15" customHeight="1" x14ac:dyDescent="0.45">
      <c r="A60" s="2" t="s">
        <v>610</v>
      </c>
      <c r="B60" s="2" t="s">
        <v>615</v>
      </c>
      <c r="C60" s="2">
        <v>2019</v>
      </c>
      <c r="D60" s="2" t="s">
        <v>146</v>
      </c>
      <c r="E60" s="2" t="s">
        <v>146</v>
      </c>
      <c r="F60" s="2" t="s">
        <v>146</v>
      </c>
      <c r="G60" s="2" t="s">
        <v>146</v>
      </c>
      <c r="H60" s="2" t="s">
        <v>146</v>
      </c>
      <c r="I60" s="2" t="s">
        <v>146</v>
      </c>
      <c r="J60" s="2" t="s">
        <v>146</v>
      </c>
      <c r="K60" s="2" t="s">
        <v>146</v>
      </c>
      <c r="L60" s="2" t="s">
        <v>146</v>
      </c>
      <c r="M60" s="2" t="s">
        <v>146</v>
      </c>
      <c r="N60" s="2" t="s">
        <v>146</v>
      </c>
      <c r="O60" s="2" t="s">
        <v>146</v>
      </c>
      <c r="P60" s="2" t="s">
        <v>146</v>
      </c>
      <c r="Q60" s="2" t="s">
        <v>146</v>
      </c>
      <c r="R60" s="2" t="s">
        <v>146</v>
      </c>
      <c r="S60" s="2" t="s">
        <v>146</v>
      </c>
      <c r="T60" s="2" t="s">
        <v>146</v>
      </c>
      <c r="U60" s="2" t="s">
        <v>146</v>
      </c>
      <c r="V60" s="2" t="s">
        <v>146</v>
      </c>
      <c r="W60" s="2" t="s">
        <v>146</v>
      </c>
      <c r="X60" s="2" t="s">
        <v>146</v>
      </c>
      <c r="Y60" s="2" t="s">
        <v>146</v>
      </c>
      <c r="Z60" s="2" t="s">
        <v>146</v>
      </c>
      <c r="AA60" s="2" t="s">
        <v>146</v>
      </c>
      <c r="AB60" s="2" t="s">
        <v>146</v>
      </c>
      <c r="AC60" s="2" t="s">
        <v>146</v>
      </c>
      <c r="AD60" s="2" t="s">
        <v>146</v>
      </c>
      <c r="AE60" s="2" t="s">
        <v>146</v>
      </c>
      <c r="AF60" s="2" t="s">
        <v>146</v>
      </c>
      <c r="AG60" s="2" t="s">
        <v>146</v>
      </c>
      <c r="AH60" s="2" t="s">
        <v>146</v>
      </c>
      <c r="AI60" s="2" t="s">
        <v>146</v>
      </c>
      <c r="AJ60" s="2" t="s">
        <v>146</v>
      </c>
      <c r="AK60" s="2" t="s">
        <v>146</v>
      </c>
      <c r="AL60" s="2" t="s">
        <v>146</v>
      </c>
      <c r="AM60" s="2" t="s">
        <v>146</v>
      </c>
      <c r="AN60" s="2" t="s">
        <v>146</v>
      </c>
      <c r="AO60" s="2" t="s">
        <v>146</v>
      </c>
      <c r="AQ60" s="2">
        <f t="shared" si="0"/>
        <v>0</v>
      </c>
      <c r="AR60" s="2">
        <f t="shared" si="1"/>
        <v>0</v>
      </c>
      <c r="AT60" s="2">
        <f t="shared" si="2"/>
        <v>0</v>
      </c>
      <c r="AU60" s="2">
        <f t="shared" si="3"/>
        <v>0</v>
      </c>
      <c r="AV60" s="27" t="str">
        <f t="shared" si="4"/>
        <v/>
      </c>
      <c r="AY60" s="2">
        <f t="shared" si="5"/>
        <v>0</v>
      </c>
      <c r="AZ60" s="2">
        <f t="shared" si="6"/>
        <v>0</v>
      </c>
      <c r="BA60" s="2">
        <f t="shared" si="7"/>
        <v>0</v>
      </c>
      <c r="BB60" s="2">
        <f t="shared" si="8"/>
        <v>0</v>
      </c>
      <c r="BC60" s="2">
        <f t="shared" si="9"/>
        <v>0</v>
      </c>
      <c r="BD60" s="2">
        <f t="shared" si="10"/>
        <v>0</v>
      </c>
    </row>
    <row r="61" spans="1:56" ht="15" customHeight="1" x14ac:dyDescent="0.45">
      <c r="A61" s="2" t="s">
        <v>610</v>
      </c>
      <c r="B61" s="2" t="s">
        <v>614</v>
      </c>
      <c r="C61" s="2">
        <v>2019</v>
      </c>
      <c r="D61" s="2">
        <v>1693</v>
      </c>
      <c r="E61" s="2">
        <v>359</v>
      </c>
      <c r="F61" s="2" t="s">
        <v>146</v>
      </c>
      <c r="G61" s="2" t="s">
        <v>146</v>
      </c>
      <c r="H61" s="2" t="s">
        <v>146</v>
      </c>
      <c r="I61" s="2">
        <v>1931.0229999999999</v>
      </c>
      <c r="J61" s="2" t="s">
        <v>146</v>
      </c>
      <c r="K61" s="2">
        <v>6.7000000000000004E-2</v>
      </c>
      <c r="L61" s="2" t="s">
        <v>146</v>
      </c>
      <c r="M61" s="2">
        <v>0.35599999999999998</v>
      </c>
      <c r="N61" s="2">
        <v>293</v>
      </c>
      <c r="O61" s="2" t="s">
        <v>146</v>
      </c>
      <c r="P61" s="2" t="s">
        <v>146</v>
      </c>
      <c r="Q61" s="2" t="s">
        <v>146</v>
      </c>
      <c r="R61" s="2" t="s">
        <v>146</v>
      </c>
      <c r="S61" s="2" t="s">
        <v>146</v>
      </c>
      <c r="T61" s="2" t="s">
        <v>146</v>
      </c>
      <c r="U61" s="2" t="s">
        <v>146</v>
      </c>
      <c r="V61" s="2" t="s">
        <v>146</v>
      </c>
      <c r="W61" s="2" t="s">
        <v>147</v>
      </c>
      <c r="X61" s="2" t="s">
        <v>146</v>
      </c>
      <c r="Y61" s="2" t="s">
        <v>146</v>
      </c>
      <c r="Z61" s="2" t="s">
        <v>146</v>
      </c>
      <c r="AA61" s="2" t="s">
        <v>146</v>
      </c>
      <c r="AB61" s="2" t="s">
        <v>146</v>
      </c>
      <c r="AC61" s="2" t="s">
        <v>146</v>
      </c>
      <c r="AD61" s="2" t="s">
        <v>146</v>
      </c>
      <c r="AE61" s="2" t="s">
        <v>146</v>
      </c>
      <c r="AF61" s="2">
        <v>1565</v>
      </c>
      <c r="AG61" s="2" t="s">
        <v>146</v>
      </c>
      <c r="AH61" s="2" t="s">
        <v>146</v>
      </c>
      <c r="AI61" s="2" t="s">
        <v>146</v>
      </c>
      <c r="AJ61" s="2">
        <v>49.6</v>
      </c>
      <c r="AK61" s="2">
        <v>23</v>
      </c>
      <c r="AL61" s="2">
        <v>13</v>
      </c>
      <c r="AM61" s="2" t="s">
        <v>146</v>
      </c>
      <c r="AN61" s="2">
        <v>87</v>
      </c>
      <c r="AO61" s="2" t="s">
        <v>146</v>
      </c>
      <c r="AQ61" s="2">
        <f t="shared" si="0"/>
        <v>1908.0229999999999</v>
      </c>
      <c r="AR61" s="2">
        <f t="shared" si="1"/>
        <v>1931.0229999999999</v>
      </c>
      <c r="AT61" s="2">
        <f t="shared" si="2"/>
        <v>1693</v>
      </c>
      <c r="AU61" s="2">
        <f t="shared" si="3"/>
        <v>359</v>
      </c>
      <c r="AV61" s="27">
        <f t="shared" si="4"/>
        <v>1.0626491761102794</v>
      </c>
      <c r="AY61" s="2">
        <f t="shared" si="5"/>
        <v>23</v>
      </c>
      <c r="AZ61" s="2">
        <f t="shared" si="6"/>
        <v>2.99</v>
      </c>
      <c r="BA61" s="2">
        <f t="shared" si="7"/>
        <v>0</v>
      </c>
      <c r="BB61" s="2">
        <f t="shared" si="8"/>
        <v>20.010000000000002</v>
      </c>
      <c r="BC61" s="2">
        <f t="shared" si="9"/>
        <v>0</v>
      </c>
      <c r="BD61" s="2">
        <f t="shared" si="10"/>
        <v>0</v>
      </c>
    </row>
    <row r="62" spans="1:56" ht="15" customHeight="1" x14ac:dyDescent="0.45">
      <c r="A62" s="2" t="s">
        <v>610</v>
      </c>
      <c r="B62" s="2" t="s">
        <v>613</v>
      </c>
      <c r="C62" s="2">
        <v>2019</v>
      </c>
      <c r="D62" s="2">
        <v>919.7</v>
      </c>
      <c r="E62" s="2">
        <v>338.1</v>
      </c>
      <c r="F62" s="2" t="s">
        <v>146</v>
      </c>
      <c r="G62" s="2" t="s">
        <v>49</v>
      </c>
      <c r="H62" s="2" t="s">
        <v>146</v>
      </c>
      <c r="I62" s="2">
        <v>1499.4</v>
      </c>
      <c r="J62" s="2">
        <v>48.9</v>
      </c>
      <c r="K62" s="2">
        <v>15.8</v>
      </c>
      <c r="L62" s="2" t="s">
        <v>146</v>
      </c>
      <c r="M62" s="2" t="s">
        <v>146</v>
      </c>
      <c r="N62" s="2" t="s">
        <v>146</v>
      </c>
      <c r="O62" s="2" t="s">
        <v>146</v>
      </c>
      <c r="P62" s="2" t="s">
        <v>146</v>
      </c>
      <c r="Q62" s="2">
        <v>60.8</v>
      </c>
      <c r="R62" s="2" t="s">
        <v>146</v>
      </c>
      <c r="S62" s="2" t="s">
        <v>146</v>
      </c>
      <c r="T62" s="2" t="s">
        <v>146</v>
      </c>
      <c r="U62" s="2" t="s">
        <v>146</v>
      </c>
      <c r="V62" s="2" t="s">
        <v>146</v>
      </c>
      <c r="W62" s="2" t="s">
        <v>147</v>
      </c>
      <c r="X62" s="2" t="s">
        <v>146</v>
      </c>
      <c r="Y62" s="2" t="s">
        <v>146</v>
      </c>
      <c r="Z62" s="2" t="s">
        <v>146</v>
      </c>
      <c r="AA62" s="2">
        <v>84.2</v>
      </c>
      <c r="AB62" s="2" t="s">
        <v>146</v>
      </c>
      <c r="AC62" s="2" t="s">
        <v>146</v>
      </c>
      <c r="AD62" s="2" t="s">
        <v>146</v>
      </c>
      <c r="AE62" s="2" t="s">
        <v>146</v>
      </c>
      <c r="AF62" s="2">
        <v>1220.0999999999999</v>
      </c>
      <c r="AG62" s="2" t="s">
        <v>146</v>
      </c>
      <c r="AH62" s="2" t="s">
        <v>233</v>
      </c>
      <c r="AI62" s="2">
        <v>41</v>
      </c>
      <c r="AJ62" s="2" t="s">
        <v>146</v>
      </c>
      <c r="AK62" s="2">
        <v>69.599999999999994</v>
      </c>
      <c r="AL62" s="2">
        <v>100</v>
      </c>
      <c r="AM62" s="2">
        <v>0</v>
      </c>
      <c r="AN62" s="2">
        <v>0</v>
      </c>
      <c r="AO62" s="2">
        <v>0</v>
      </c>
      <c r="AQ62" s="2">
        <f t="shared" si="0"/>
        <v>1429.8</v>
      </c>
      <c r="AR62" s="2">
        <f t="shared" si="1"/>
        <v>1499.3999999999999</v>
      </c>
      <c r="AT62" s="2">
        <f t="shared" si="2"/>
        <v>919.7</v>
      </c>
      <c r="AU62" s="2">
        <f t="shared" si="3"/>
        <v>338.1</v>
      </c>
      <c r="AV62" s="27">
        <f t="shared" si="4"/>
        <v>0.83886888088568778</v>
      </c>
      <c r="AY62" s="2">
        <f t="shared" si="5"/>
        <v>69.599999999999994</v>
      </c>
      <c r="AZ62" s="2">
        <f t="shared" si="6"/>
        <v>69.599999999999994</v>
      </c>
      <c r="BA62" s="2">
        <f t="shared" si="7"/>
        <v>0</v>
      </c>
      <c r="BB62" s="2">
        <f t="shared" si="8"/>
        <v>0</v>
      </c>
      <c r="BC62" s="2">
        <f t="shared" si="9"/>
        <v>0</v>
      </c>
      <c r="BD62" s="2">
        <f t="shared" si="10"/>
        <v>0</v>
      </c>
    </row>
    <row r="63" spans="1:56" ht="15" customHeight="1" x14ac:dyDescent="0.45">
      <c r="A63" s="2" t="s">
        <v>610</v>
      </c>
      <c r="B63" s="2" t="s">
        <v>612</v>
      </c>
      <c r="C63" s="2">
        <v>2019</v>
      </c>
      <c r="D63" s="2" t="s">
        <v>146</v>
      </c>
      <c r="E63" s="2" t="s">
        <v>146</v>
      </c>
      <c r="F63" s="2" t="s">
        <v>146</v>
      </c>
      <c r="G63" s="2" t="s">
        <v>146</v>
      </c>
      <c r="H63" s="2" t="s">
        <v>146</v>
      </c>
      <c r="I63" s="2" t="s">
        <v>146</v>
      </c>
      <c r="J63" s="2" t="s">
        <v>146</v>
      </c>
      <c r="K63" s="2" t="s">
        <v>146</v>
      </c>
      <c r="L63" s="2" t="s">
        <v>146</v>
      </c>
      <c r="M63" s="2" t="s">
        <v>146</v>
      </c>
      <c r="N63" s="2" t="s">
        <v>146</v>
      </c>
      <c r="O63" s="2" t="s">
        <v>146</v>
      </c>
      <c r="P63" s="2" t="s">
        <v>146</v>
      </c>
      <c r="Q63" s="2" t="s">
        <v>146</v>
      </c>
      <c r="R63" s="2" t="s">
        <v>146</v>
      </c>
      <c r="S63" s="2" t="s">
        <v>146</v>
      </c>
      <c r="T63" s="2" t="s">
        <v>146</v>
      </c>
      <c r="U63" s="2" t="s">
        <v>146</v>
      </c>
      <c r="V63" s="2" t="s">
        <v>146</v>
      </c>
      <c r="W63" s="2" t="s">
        <v>146</v>
      </c>
      <c r="X63" s="2" t="s">
        <v>146</v>
      </c>
      <c r="Y63" s="2" t="s">
        <v>146</v>
      </c>
      <c r="Z63" s="2" t="s">
        <v>146</v>
      </c>
      <c r="AA63" s="2" t="s">
        <v>146</v>
      </c>
      <c r="AB63" s="2" t="s">
        <v>146</v>
      </c>
      <c r="AC63" s="2" t="s">
        <v>146</v>
      </c>
      <c r="AD63" s="2" t="s">
        <v>146</v>
      </c>
      <c r="AE63" s="2" t="s">
        <v>146</v>
      </c>
      <c r="AF63" s="2" t="s">
        <v>146</v>
      </c>
      <c r="AG63" s="2" t="s">
        <v>146</v>
      </c>
      <c r="AH63" s="2" t="s">
        <v>146</v>
      </c>
      <c r="AI63" s="2" t="s">
        <v>146</v>
      </c>
      <c r="AJ63" s="2" t="s">
        <v>146</v>
      </c>
      <c r="AK63" s="2" t="s">
        <v>146</v>
      </c>
      <c r="AL63" s="2" t="s">
        <v>146</v>
      </c>
      <c r="AM63" s="2" t="s">
        <v>146</v>
      </c>
      <c r="AN63" s="2" t="s">
        <v>146</v>
      </c>
      <c r="AO63" s="2" t="s">
        <v>146</v>
      </c>
      <c r="AQ63" s="2">
        <f t="shared" si="0"/>
        <v>0</v>
      </c>
      <c r="AR63" s="2">
        <f t="shared" si="1"/>
        <v>0</v>
      </c>
      <c r="AT63" s="2">
        <f t="shared" si="2"/>
        <v>0</v>
      </c>
      <c r="AU63" s="2">
        <f t="shared" si="3"/>
        <v>0</v>
      </c>
      <c r="AV63" s="27" t="str">
        <f t="shared" si="4"/>
        <v/>
      </c>
      <c r="AY63" s="2">
        <f t="shared" si="5"/>
        <v>0</v>
      </c>
      <c r="AZ63" s="2">
        <f t="shared" si="6"/>
        <v>0</v>
      </c>
      <c r="BA63" s="2">
        <f t="shared" si="7"/>
        <v>0</v>
      </c>
      <c r="BB63" s="2">
        <f t="shared" si="8"/>
        <v>0</v>
      </c>
      <c r="BC63" s="2">
        <f t="shared" si="9"/>
        <v>0</v>
      </c>
      <c r="BD63" s="2">
        <f t="shared" si="10"/>
        <v>0</v>
      </c>
    </row>
    <row r="64" spans="1:56" ht="15" customHeight="1" x14ac:dyDescent="0.45">
      <c r="A64" s="2" t="s">
        <v>610</v>
      </c>
      <c r="B64" s="2" t="s">
        <v>611</v>
      </c>
      <c r="C64" s="2">
        <v>2019</v>
      </c>
      <c r="D64" s="2" t="s">
        <v>146</v>
      </c>
      <c r="E64" s="2" t="s">
        <v>146</v>
      </c>
      <c r="F64" s="2" t="s">
        <v>146</v>
      </c>
      <c r="G64" s="2" t="s">
        <v>146</v>
      </c>
      <c r="H64" s="2" t="s">
        <v>146</v>
      </c>
      <c r="I64" s="2" t="s">
        <v>146</v>
      </c>
      <c r="J64" s="2" t="s">
        <v>146</v>
      </c>
      <c r="K64" s="2" t="s">
        <v>146</v>
      </c>
      <c r="L64" s="2" t="s">
        <v>146</v>
      </c>
      <c r="M64" s="2" t="s">
        <v>146</v>
      </c>
      <c r="N64" s="2" t="s">
        <v>146</v>
      </c>
      <c r="O64" s="2" t="s">
        <v>146</v>
      </c>
      <c r="P64" s="2" t="s">
        <v>146</v>
      </c>
      <c r="Q64" s="2" t="s">
        <v>146</v>
      </c>
      <c r="R64" s="2" t="s">
        <v>146</v>
      </c>
      <c r="S64" s="2" t="s">
        <v>146</v>
      </c>
      <c r="T64" s="2" t="s">
        <v>146</v>
      </c>
      <c r="U64" s="2" t="s">
        <v>146</v>
      </c>
      <c r="V64" s="2" t="s">
        <v>146</v>
      </c>
      <c r="W64" s="2" t="s">
        <v>146</v>
      </c>
      <c r="X64" s="2" t="s">
        <v>146</v>
      </c>
      <c r="Y64" s="2" t="s">
        <v>146</v>
      </c>
      <c r="Z64" s="2" t="s">
        <v>146</v>
      </c>
      <c r="AA64" s="2" t="s">
        <v>146</v>
      </c>
      <c r="AB64" s="2" t="s">
        <v>146</v>
      </c>
      <c r="AC64" s="2" t="s">
        <v>146</v>
      </c>
      <c r="AD64" s="2" t="s">
        <v>146</v>
      </c>
      <c r="AE64" s="2" t="s">
        <v>146</v>
      </c>
      <c r="AF64" s="2" t="s">
        <v>146</v>
      </c>
      <c r="AG64" s="2" t="s">
        <v>146</v>
      </c>
      <c r="AH64" s="2" t="s">
        <v>146</v>
      </c>
      <c r="AI64" s="2" t="s">
        <v>146</v>
      </c>
      <c r="AJ64" s="2" t="s">
        <v>146</v>
      </c>
      <c r="AK64" s="2" t="s">
        <v>146</v>
      </c>
      <c r="AL64" s="2" t="s">
        <v>146</v>
      </c>
      <c r="AM64" s="2" t="s">
        <v>146</v>
      </c>
      <c r="AN64" s="2" t="s">
        <v>146</v>
      </c>
      <c r="AO64" s="2" t="s">
        <v>146</v>
      </c>
      <c r="AQ64" s="2">
        <f t="shared" si="0"/>
        <v>0</v>
      </c>
      <c r="AR64" s="2">
        <f t="shared" si="1"/>
        <v>0</v>
      </c>
      <c r="AT64" s="2">
        <f t="shared" si="2"/>
        <v>0</v>
      </c>
      <c r="AU64" s="2">
        <f t="shared" si="3"/>
        <v>0</v>
      </c>
      <c r="AV64" s="27" t="str">
        <f t="shared" si="4"/>
        <v/>
      </c>
      <c r="AY64" s="2">
        <f t="shared" si="5"/>
        <v>0</v>
      </c>
      <c r="AZ64" s="2">
        <f t="shared" si="6"/>
        <v>0</v>
      </c>
      <c r="BA64" s="2">
        <f t="shared" si="7"/>
        <v>0</v>
      </c>
      <c r="BB64" s="2">
        <f t="shared" si="8"/>
        <v>0</v>
      </c>
      <c r="BC64" s="2">
        <f t="shared" si="9"/>
        <v>0</v>
      </c>
      <c r="BD64" s="2">
        <f t="shared" si="10"/>
        <v>0</v>
      </c>
    </row>
    <row r="65" spans="1:56" ht="15" customHeight="1" x14ac:dyDescent="0.45">
      <c r="A65" s="2" t="s">
        <v>610</v>
      </c>
      <c r="B65" s="2" t="s">
        <v>609</v>
      </c>
      <c r="C65" s="2">
        <v>2019</v>
      </c>
      <c r="D65" s="2" t="s">
        <v>146</v>
      </c>
      <c r="E65" s="2" t="s">
        <v>146</v>
      </c>
      <c r="F65" s="2" t="s">
        <v>146</v>
      </c>
      <c r="G65" s="2" t="s">
        <v>146</v>
      </c>
      <c r="H65" s="2" t="s">
        <v>146</v>
      </c>
      <c r="I65" s="2" t="s">
        <v>146</v>
      </c>
      <c r="J65" s="2" t="s">
        <v>146</v>
      </c>
      <c r="K65" s="2" t="s">
        <v>146</v>
      </c>
      <c r="L65" s="2" t="s">
        <v>146</v>
      </c>
      <c r="M65" s="2" t="s">
        <v>146</v>
      </c>
      <c r="N65" s="2" t="s">
        <v>146</v>
      </c>
      <c r="O65" s="2" t="s">
        <v>146</v>
      </c>
      <c r="P65" s="2" t="s">
        <v>146</v>
      </c>
      <c r="Q65" s="2" t="s">
        <v>146</v>
      </c>
      <c r="R65" s="2" t="s">
        <v>146</v>
      </c>
      <c r="S65" s="2" t="s">
        <v>146</v>
      </c>
      <c r="T65" s="2" t="s">
        <v>146</v>
      </c>
      <c r="U65" s="2" t="s">
        <v>146</v>
      </c>
      <c r="V65" s="2" t="s">
        <v>146</v>
      </c>
      <c r="W65" s="2" t="s">
        <v>146</v>
      </c>
      <c r="X65" s="2" t="s">
        <v>146</v>
      </c>
      <c r="Y65" s="2" t="s">
        <v>146</v>
      </c>
      <c r="Z65" s="2" t="s">
        <v>146</v>
      </c>
      <c r="AA65" s="2" t="s">
        <v>146</v>
      </c>
      <c r="AB65" s="2" t="s">
        <v>146</v>
      </c>
      <c r="AC65" s="2" t="s">
        <v>146</v>
      </c>
      <c r="AD65" s="2" t="s">
        <v>146</v>
      </c>
      <c r="AE65" s="2" t="s">
        <v>146</v>
      </c>
      <c r="AF65" s="2" t="s">
        <v>146</v>
      </c>
      <c r="AG65" s="2" t="s">
        <v>146</v>
      </c>
      <c r="AH65" s="2" t="s">
        <v>146</v>
      </c>
      <c r="AI65" s="2" t="s">
        <v>146</v>
      </c>
      <c r="AJ65" s="2" t="s">
        <v>146</v>
      </c>
      <c r="AK65" s="2" t="s">
        <v>146</v>
      </c>
      <c r="AL65" s="2" t="s">
        <v>146</v>
      </c>
      <c r="AM65" s="2" t="s">
        <v>146</v>
      </c>
      <c r="AN65" s="2" t="s">
        <v>146</v>
      </c>
      <c r="AO65" s="2" t="s">
        <v>146</v>
      </c>
      <c r="AQ65" s="2">
        <f t="shared" si="0"/>
        <v>0</v>
      </c>
      <c r="AR65" s="2">
        <f t="shared" si="1"/>
        <v>0</v>
      </c>
      <c r="AT65" s="2">
        <f t="shared" si="2"/>
        <v>0</v>
      </c>
      <c r="AU65" s="2">
        <f t="shared" si="3"/>
        <v>0</v>
      </c>
      <c r="AV65" s="27" t="str">
        <f t="shared" si="4"/>
        <v/>
      </c>
      <c r="AY65" s="2">
        <f t="shared" si="5"/>
        <v>0</v>
      </c>
      <c r="AZ65" s="2">
        <f t="shared" si="6"/>
        <v>0</v>
      </c>
      <c r="BA65" s="2">
        <f t="shared" si="7"/>
        <v>0</v>
      </c>
      <c r="BB65" s="2">
        <f t="shared" si="8"/>
        <v>0</v>
      </c>
      <c r="BC65" s="2">
        <f t="shared" si="9"/>
        <v>0</v>
      </c>
      <c r="BD65" s="2">
        <f t="shared" si="10"/>
        <v>0</v>
      </c>
    </row>
    <row r="66" spans="1:56" ht="15" customHeight="1" x14ac:dyDescent="0.45">
      <c r="A66" s="2" t="s">
        <v>608</v>
      </c>
      <c r="B66" s="2" t="s">
        <v>608</v>
      </c>
      <c r="C66" s="2">
        <v>2019</v>
      </c>
      <c r="D66" s="2" t="s">
        <v>49</v>
      </c>
      <c r="E66" s="2" t="s">
        <v>49</v>
      </c>
      <c r="F66" s="2" t="s">
        <v>49</v>
      </c>
      <c r="G66" s="2" t="s">
        <v>49</v>
      </c>
      <c r="H66" s="2" t="s">
        <v>49</v>
      </c>
      <c r="I66" s="2" t="s">
        <v>49</v>
      </c>
      <c r="J66" s="2" t="s">
        <v>49</v>
      </c>
      <c r="K66" s="2" t="s">
        <v>49</v>
      </c>
      <c r="L66" s="2" t="s">
        <v>49</v>
      </c>
      <c r="M66" s="2" t="s">
        <v>49</v>
      </c>
      <c r="N66" s="2" t="s">
        <v>49</v>
      </c>
      <c r="O66" s="2" t="s">
        <v>49</v>
      </c>
      <c r="P66" s="2" t="s">
        <v>49</v>
      </c>
      <c r="Q66" s="2" t="s">
        <v>49</v>
      </c>
      <c r="R66" s="2" t="s">
        <v>49</v>
      </c>
      <c r="S66" s="2" t="s">
        <v>49</v>
      </c>
      <c r="T66" s="2" t="s">
        <v>49</v>
      </c>
      <c r="U66" s="2" t="s">
        <v>49</v>
      </c>
      <c r="V66" s="2" t="s">
        <v>49</v>
      </c>
      <c r="W66" s="2" t="s">
        <v>49</v>
      </c>
      <c r="X66" s="2" t="s">
        <v>49</v>
      </c>
      <c r="Y66" s="2" t="s">
        <v>49</v>
      </c>
      <c r="Z66" s="2" t="s">
        <v>49</v>
      </c>
      <c r="AA66" s="2" t="s">
        <v>49</v>
      </c>
      <c r="AB66" s="2" t="s">
        <v>49</v>
      </c>
      <c r="AC66" s="2" t="s">
        <v>49</v>
      </c>
      <c r="AD66" s="2" t="s">
        <v>49</v>
      </c>
      <c r="AE66" s="2" t="s">
        <v>49</v>
      </c>
      <c r="AF66" s="2" t="s">
        <v>49</v>
      </c>
      <c r="AG66" s="2" t="s">
        <v>49</v>
      </c>
      <c r="AH66" s="2" t="s">
        <v>49</v>
      </c>
      <c r="AI66" s="2" t="s">
        <v>49</v>
      </c>
      <c r="AJ66" s="2" t="s">
        <v>49</v>
      </c>
      <c r="AK66" s="2" t="s">
        <v>49</v>
      </c>
      <c r="AL66" s="2" t="s">
        <v>49</v>
      </c>
      <c r="AM66" s="2" t="s">
        <v>49</v>
      </c>
      <c r="AN66" s="2" t="s">
        <v>49</v>
      </c>
      <c r="AO66" s="2" t="s">
        <v>49</v>
      </c>
      <c r="AQ66" s="2">
        <f t="shared" si="0"/>
        <v>0</v>
      </c>
      <c r="AR66" s="2">
        <f t="shared" si="1"/>
        <v>0</v>
      </c>
      <c r="AT66" s="2">
        <f t="shared" si="2"/>
        <v>0</v>
      </c>
      <c r="AU66" s="2">
        <f t="shared" si="3"/>
        <v>0</v>
      </c>
      <c r="AV66" s="27" t="str">
        <f t="shared" si="4"/>
        <v/>
      </c>
      <c r="AY66" s="2">
        <f t="shared" si="5"/>
        <v>0</v>
      </c>
      <c r="AZ66" s="2">
        <f t="shared" si="6"/>
        <v>0</v>
      </c>
      <c r="BA66" s="2">
        <f t="shared" si="7"/>
        <v>0</v>
      </c>
      <c r="BB66" s="2">
        <f t="shared" si="8"/>
        <v>0</v>
      </c>
      <c r="BC66" s="2">
        <f t="shared" si="9"/>
        <v>0</v>
      </c>
      <c r="BD66" s="2">
        <f t="shared" si="10"/>
        <v>0</v>
      </c>
    </row>
    <row r="67" spans="1:56" ht="15" customHeight="1" x14ac:dyDescent="0.45">
      <c r="A67" s="2" t="s">
        <v>605</v>
      </c>
      <c r="B67" s="2" t="s">
        <v>607</v>
      </c>
      <c r="C67" s="2">
        <v>2019</v>
      </c>
      <c r="D67" s="2">
        <v>130</v>
      </c>
      <c r="E67" s="2">
        <v>14.2</v>
      </c>
      <c r="F67" s="2" t="s">
        <v>146</v>
      </c>
      <c r="G67" s="2" t="s">
        <v>146</v>
      </c>
      <c r="H67" s="2" t="s">
        <v>146</v>
      </c>
      <c r="I67" s="2">
        <v>153.41999999999999</v>
      </c>
      <c r="J67" s="2" t="s">
        <v>146</v>
      </c>
      <c r="K67" s="2" t="s">
        <v>146</v>
      </c>
      <c r="L67" s="2" t="s">
        <v>146</v>
      </c>
      <c r="M67" s="2" t="s">
        <v>146</v>
      </c>
      <c r="N67" s="2" t="s">
        <v>146</v>
      </c>
      <c r="O67" s="2" t="s">
        <v>146</v>
      </c>
      <c r="P67" s="2" t="s">
        <v>146</v>
      </c>
      <c r="Q67" s="2" t="s">
        <v>146</v>
      </c>
      <c r="R67" s="2" t="s">
        <v>146</v>
      </c>
      <c r="S67" s="2" t="s">
        <v>146</v>
      </c>
      <c r="T67" s="2" t="s">
        <v>146</v>
      </c>
      <c r="U67" s="2" t="s">
        <v>146</v>
      </c>
      <c r="V67" s="2" t="s">
        <v>146</v>
      </c>
      <c r="W67" s="2" t="s">
        <v>146</v>
      </c>
      <c r="X67" s="2" t="s">
        <v>146</v>
      </c>
      <c r="Y67" s="2" t="s">
        <v>146</v>
      </c>
      <c r="Z67" s="2" t="s">
        <v>146</v>
      </c>
      <c r="AA67" s="2" t="s">
        <v>146</v>
      </c>
      <c r="AB67" s="2" t="s">
        <v>146</v>
      </c>
      <c r="AC67" s="2">
        <v>0.42</v>
      </c>
      <c r="AD67" s="2" t="s">
        <v>146</v>
      </c>
      <c r="AE67" s="2" t="s">
        <v>146</v>
      </c>
      <c r="AF67" s="2">
        <v>153</v>
      </c>
      <c r="AG67" s="2" t="s">
        <v>146</v>
      </c>
      <c r="AH67" s="2" t="s">
        <v>160</v>
      </c>
      <c r="AI67" s="2">
        <v>37.299999999999997</v>
      </c>
      <c r="AJ67" s="2" t="s">
        <v>146</v>
      </c>
      <c r="AK67" s="2" t="s">
        <v>146</v>
      </c>
      <c r="AL67" s="2" t="s">
        <v>146</v>
      </c>
      <c r="AM67" s="2" t="s">
        <v>146</v>
      </c>
      <c r="AN67" s="2" t="s">
        <v>146</v>
      </c>
      <c r="AO67" s="2" t="s">
        <v>146</v>
      </c>
      <c r="AQ67" s="2">
        <f t="shared" ref="AQ67:AQ130" si="11">SUMPRODUCT(J67:AF67)+IFERROR(AJ67/1,0)</f>
        <v>153.41999999999999</v>
      </c>
      <c r="AR67" s="2">
        <f t="shared" ref="AR67:AR130" si="12">SUMPRODUCT(J67:AF67)+SUMPRODUCT(AJ67:AK67)</f>
        <v>153.41999999999999</v>
      </c>
      <c r="AT67" s="2">
        <f t="shared" ref="AT67:AT130" si="13">IFERROR(D67/1,0)</f>
        <v>130</v>
      </c>
      <c r="AU67" s="2">
        <f t="shared" ref="AU67:AU130" si="14">IFERROR(E67/1,0)</f>
        <v>14.2</v>
      </c>
      <c r="AV67" s="27">
        <f t="shared" ref="AV67:AV130" si="15">IFERROR((AT67+AU67)/AR67,"")</f>
        <v>0.93990353278581673</v>
      </c>
      <c r="AY67" s="2">
        <f t="shared" ref="AY67:AY130" si="16">IFERROR(AK67/1,0)</f>
        <v>0</v>
      </c>
      <c r="AZ67" s="2">
        <f t="shared" ref="AZ67:AZ130" si="17">IFERROR(AL67/100,0)*$AY67</f>
        <v>0</v>
      </c>
      <c r="BA67" s="2">
        <f t="shared" ref="BA67:BA130" si="18">IFERROR(AM67/100,0)*$AY67</f>
        <v>0</v>
      </c>
      <c r="BB67" s="2">
        <f t="shared" ref="BB67:BB130" si="19">IFERROR(AN67/100,0)*$AY67</f>
        <v>0</v>
      </c>
      <c r="BC67" s="2">
        <f t="shared" ref="BC67:BC130" si="20">IFERROR(AO67/100,0)*$AY67</f>
        <v>0</v>
      </c>
      <c r="BD67" s="2">
        <f t="shared" ref="BD67:BD130" si="21">MAX(AY67-SUM(AZ67:BC67),0)</f>
        <v>0</v>
      </c>
    </row>
    <row r="68" spans="1:56" ht="15" customHeight="1" x14ac:dyDescent="0.45">
      <c r="A68" s="2" t="s">
        <v>605</v>
      </c>
      <c r="B68" s="2" t="s">
        <v>606</v>
      </c>
      <c r="C68" s="2">
        <v>2019</v>
      </c>
      <c r="D68" s="2" t="s">
        <v>146</v>
      </c>
      <c r="E68" s="2" t="s">
        <v>146</v>
      </c>
      <c r="F68" s="2" t="s">
        <v>146</v>
      </c>
      <c r="G68" s="2" t="s">
        <v>146</v>
      </c>
      <c r="H68" s="2" t="s">
        <v>146</v>
      </c>
      <c r="I68" s="2" t="s">
        <v>146</v>
      </c>
      <c r="J68" s="2" t="s">
        <v>146</v>
      </c>
      <c r="K68" s="2" t="s">
        <v>146</v>
      </c>
      <c r="L68" s="2" t="s">
        <v>146</v>
      </c>
      <c r="M68" s="2" t="s">
        <v>146</v>
      </c>
      <c r="N68" s="2" t="s">
        <v>146</v>
      </c>
      <c r="O68" s="2" t="s">
        <v>146</v>
      </c>
      <c r="P68" s="2" t="s">
        <v>146</v>
      </c>
      <c r="Q68" s="2" t="s">
        <v>146</v>
      </c>
      <c r="R68" s="2" t="s">
        <v>146</v>
      </c>
      <c r="S68" s="2" t="s">
        <v>146</v>
      </c>
      <c r="T68" s="2" t="s">
        <v>146</v>
      </c>
      <c r="U68" s="2" t="s">
        <v>146</v>
      </c>
      <c r="V68" s="2" t="s">
        <v>146</v>
      </c>
      <c r="W68" s="2" t="s">
        <v>146</v>
      </c>
      <c r="X68" s="2" t="s">
        <v>146</v>
      </c>
      <c r="Y68" s="2" t="s">
        <v>146</v>
      </c>
      <c r="Z68" s="2" t="s">
        <v>146</v>
      </c>
      <c r="AA68" s="2" t="s">
        <v>146</v>
      </c>
      <c r="AB68" s="2" t="s">
        <v>146</v>
      </c>
      <c r="AC68" s="2" t="s">
        <v>146</v>
      </c>
      <c r="AD68" s="2" t="s">
        <v>146</v>
      </c>
      <c r="AE68" s="2" t="s">
        <v>146</v>
      </c>
      <c r="AF68" s="2" t="s">
        <v>146</v>
      </c>
      <c r="AG68" s="2" t="s">
        <v>146</v>
      </c>
      <c r="AH68" s="2" t="s">
        <v>155</v>
      </c>
      <c r="AI68" s="2" t="s">
        <v>146</v>
      </c>
      <c r="AJ68" s="2" t="s">
        <v>146</v>
      </c>
      <c r="AK68" s="2" t="s">
        <v>146</v>
      </c>
      <c r="AL68" s="2" t="s">
        <v>146</v>
      </c>
      <c r="AM68" s="2" t="s">
        <v>146</v>
      </c>
      <c r="AN68" s="2" t="s">
        <v>146</v>
      </c>
      <c r="AO68" s="2" t="s">
        <v>146</v>
      </c>
      <c r="AQ68" s="2">
        <f t="shared" si="11"/>
        <v>0</v>
      </c>
      <c r="AR68" s="2">
        <f t="shared" si="12"/>
        <v>0</v>
      </c>
      <c r="AT68" s="2">
        <f t="shared" si="13"/>
        <v>0</v>
      </c>
      <c r="AU68" s="2">
        <f t="shared" si="14"/>
        <v>0</v>
      </c>
      <c r="AV68" s="27" t="str">
        <f t="shared" si="15"/>
        <v/>
      </c>
      <c r="AY68" s="2">
        <f t="shared" si="16"/>
        <v>0</v>
      </c>
      <c r="AZ68" s="2">
        <f t="shared" si="17"/>
        <v>0</v>
      </c>
      <c r="BA68" s="2">
        <f t="shared" si="18"/>
        <v>0</v>
      </c>
      <c r="BB68" s="2">
        <f t="shared" si="19"/>
        <v>0</v>
      </c>
      <c r="BC68" s="2">
        <f t="shared" si="20"/>
        <v>0</v>
      </c>
      <c r="BD68" s="2">
        <f t="shared" si="21"/>
        <v>0</v>
      </c>
    </row>
    <row r="69" spans="1:56" ht="15" customHeight="1" x14ac:dyDescent="0.45">
      <c r="A69" s="2" t="s">
        <v>605</v>
      </c>
      <c r="B69" s="2" t="s">
        <v>604</v>
      </c>
      <c r="C69" s="2">
        <v>2019</v>
      </c>
      <c r="D69" s="2" t="s">
        <v>146</v>
      </c>
      <c r="E69" s="2" t="s">
        <v>146</v>
      </c>
      <c r="F69" s="2" t="s">
        <v>146</v>
      </c>
      <c r="G69" s="2" t="s">
        <v>146</v>
      </c>
      <c r="H69" s="2" t="s">
        <v>146</v>
      </c>
      <c r="I69" s="2" t="s">
        <v>146</v>
      </c>
      <c r="J69" s="2" t="s">
        <v>146</v>
      </c>
      <c r="K69" s="2" t="s">
        <v>146</v>
      </c>
      <c r="L69" s="2" t="s">
        <v>146</v>
      </c>
      <c r="M69" s="2" t="s">
        <v>146</v>
      </c>
      <c r="N69" s="2" t="s">
        <v>146</v>
      </c>
      <c r="O69" s="2" t="s">
        <v>146</v>
      </c>
      <c r="P69" s="2" t="s">
        <v>146</v>
      </c>
      <c r="Q69" s="2" t="s">
        <v>146</v>
      </c>
      <c r="R69" s="2" t="s">
        <v>146</v>
      </c>
      <c r="S69" s="2" t="s">
        <v>146</v>
      </c>
      <c r="T69" s="2" t="s">
        <v>146</v>
      </c>
      <c r="U69" s="2" t="s">
        <v>146</v>
      </c>
      <c r="V69" s="2" t="s">
        <v>146</v>
      </c>
      <c r="W69" s="2" t="s">
        <v>146</v>
      </c>
      <c r="X69" s="2" t="s">
        <v>146</v>
      </c>
      <c r="Y69" s="2" t="s">
        <v>146</v>
      </c>
      <c r="Z69" s="2" t="s">
        <v>146</v>
      </c>
      <c r="AA69" s="2" t="s">
        <v>146</v>
      </c>
      <c r="AB69" s="2" t="s">
        <v>146</v>
      </c>
      <c r="AC69" s="2" t="s">
        <v>146</v>
      </c>
      <c r="AD69" s="2" t="s">
        <v>146</v>
      </c>
      <c r="AE69" s="2" t="s">
        <v>146</v>
      </c>
      <c r="AF69" s="2" t="s">
        <v>146</v>
      </c>
      <c r="AG69" s="2" t="s">
        <v>146</v>
      </c>
      <c r="AH69" s="2" t="s">
        <v>155</v>
      </c>
      <c r="AI69" s="2" t="s">
        <v>146</v>
      </c>
      <c r="AJ69" s="2" t="s">
        <v>146</v>
      </c>
      <c r="AK69" s="2" t="s">
        <v>146</v>
      </c>
      <c r="AL69" s="2" t="s">
        <v>146</v>
      </c>
      <c r="AM69" s="2" t="s">
        <v>146</v>
      </c>
      <c r="AN69" s="2" t="s">
        <v>146</v>
      </c>
      <c r="AO69" s="2" t="s">
        <v>146</v>
      </c>
      <c r="AQ69" s="2">
        <f t="shared" si="11"/>
        <v>0</v>
      </c>
      <c r="AR69" s="2">
        <f t="shared" si="12"/>
        <v>0</v>
      </c>
      <c r="AT69" s="2">
        <f t="shared" si="13"/>
        <v>0</v>
      </c>
      <c r="AU69" s="2">
        <f t="shared" si="14"/>
        <v>0</v>
      </c>
      <c r="AV69" s="27" t="str">
        <f t="shared" si="15"/>
        <v/>
      </c>
      <c r="AY69" s="2">
        <f t="shared" si="16"/>
        <v>0</v>
      </c>
      <c r="AZ69" s="2">
        <f t="shared" si="17"/>
        <v>0</v>
      </c>
      <c r="BA69" s="2">
        <f t="shared" si="18"/>
        <v>0</v>
      </c>
      <c r="BB69" s="2">
        <f t="shared" si="19"/>
        <v>0</v>
      </c>
      <c r="BC69" s="2">
        <f t="shared" si="20"/>
        <v>0</v>
      </c>
      <c r="BD69" s="2">
        <f t="shared" si="21"/>
        <v>0</v>
      </c>
    </row>
    <row r="70" spans="1:56" ht="15" customHeight="1" x14ac:dyDescent="0.45">
      <c r="A70" s="2" t="s">
        <v>603</v>
      </c>
      <c r="B70" s="2" t="s">
        <v>602</v>
      </c>
      <c r="C70" s="2">
        <v>2019</v>
      </c>
      <c r="D70" s="2" t="s">
        <v>146</v>
      </c>
      <c r="E70" s="2" t="s">
        <v>146</v>
      </c>
      <c r="F70" s="2" t="s">
        <v>146</v>
      </c>
      <c r="G70" s="2" t="s">
        <v>146</v>
      </c>
      <c r="H70" s="2" t="s">
        <v>146</v>
      </c>
      <c r="I70" s="2" t="s">
        <v>146</v>
      </c>
      <c r="J70" s="2" t="s">
        <v>146</v>
      </c>
      <c r="K70" s="2" t="s">
        <v>146</v>
      </c>
      <c r="L70" s="2" t="s">
        <v>146</v>
      </c>
      <c r="M70" s="2" t="s">
        <v>146</v>
      </c>
      <c r="N70" s="2" t="s">
        <v>146</v>
      </c>
      <c r="O70" s="2" t="s">
        <v>146</v>
      </c>
      <c r="P70" s="2" t="s">
        <v>146</v>
      </c>
      <c r="Q70" s="2" t="s">
        <v>146</v>
      </c>
      <c r="R70" s="2" t="s">
        <v>146</v>
      </c>
      <c r="S70" s="2" t="s">
        <v>146</v>
      </c>
      <c r="T70" s="2" t="s">
        <v>146</v>
      </c>
      <c r="U70" s="2" t="s">
        <v>146</v>
      </c>
      <c r="V70" s="2" t="s">
        <v>146</v>
      </c>
      <c r="W70" s="2" t="s">
        <v>146</v>
      </c>
      <c r="X70" s="2" t="s">
        <v>146</v>
      </c>
      <c r="Y70" s="2" t="s">
        <v>146</v>
      </c>
      <c r="Z70" s="2" t="s">
        <v>146</v>
      </c>
      <c r="AA70" s="2" t="s">
        <v>146</v>
      </c>
      <c r="AB70" s="2" t="s">
        <v>146</v>
      </c>
      <c r="AC70" s="2" t="s">
        <v>146</v>
      </c>
      <c r="AD70" s="2" t="s">
        <v>146</v>
      </c>
      <c r="AE70" s="2" t="s">
        <v>146</v>
      </c>
      <c r="AF70" s="2" t="s">
        <v>146</v>
      </c>
      <c r="AG70" s="2" t="s">
        <v>146</v>
      </c>
      <c r="AH70" s="2" t="s">
        <v>146</v>
      </c>
      <c r="AI70" s="2" t="s">
        <v>146</v>
      </c>
      <c r="AJ70" s="2" t="s">
        <v>146</v>
      </c>
      <c r="AK70" s="2" t="s">
        <v>146</v>
      </c>
      <c r="AL70" s="2" t="s">
        <v>146</v>
      </c>
      <c r="AM70" s="2" t="s">
        <v>146</v>
      </c>
      <c r="AN70" s="2" t="s">
        <v>146</v>
      </c>
      <c r="AO70" s="2" t="s">
        <v>146</v>
      </c>
      <c r="AQ70" s="2">
        <f t="shared" si="11"/>
        <v>0</v>
      </c>
      <c r="AR70" s="2">
        <f t="shared" si="12"/>
        <v>0</v>
      </c>
      <c r="AT70" s="2">
        <f t="shared" si="13"/>
        <v>0</v>
      </c>
      <c r="AU70" s="2">
        <f t="shared" si="14"/>
        <v>0</v>
      </c>
      <c r="AV70" s="27" t="str">
        <f t="shared" si="15"/>
        <v/>
      </c>
      <c r="AY70" s="2">
        <f t="shared" si="16"/>
        <v>0</v>
      </c>
      <c r="AZ70" s="2">
        <f t="shared" si="17"/>
        <v>0</v>
      </c>
      <c r="BA70" s="2">
        <f t="shared" si="18"/>
        <v>0</v>
      </c>
      <c r="BB70" s="2">
        <f t="shared" si="19"/>
        <v>0</v>
      </c>
      <c r="BC70" s="2">
        <f t="shared" si="20"/>
        <v>0</v>
      </c>
      <c r="BD70" s="2">
        <f t="shared" si="21"/>
        <v>0</v>
      </c>
    </row>
    <row r="71" spans="1:56" ht="15" customHeight="1" x14ac:dyDescent="0.45">
      <c r="A71" s="2" t="s">
        <v>601</v>
      </c>
      <c r="B71" s="2" t="s">
        <v>600</v>
      </c>
      <c r="C71" s="2">
        <v>2019</v>
      </c>
      <c r="D71" s="2">
        <v>198</v>
      </c>
      <c r="E71" s="2">
        <v>77.5</v>
      </c>
      <c r="F71" s="2">
        <v>0</v>
      </c>
      <c r="G71" s="2" t="s">
        <v>146</v>
      </c>
      <c r="H71" s="2" t="s">
        <v>146</v>
      </c>
      <c r="I71" s="2">
        <v>379.7</v>
      </c>
      <c r="J71" s="2" t="s">
        <v>146</v>
      </c>
      <c r="K71" s="2">
        <v>0.8</v>
      </c>
      <c r="L71" s="2" t="s">
        <v>146</v>
      </c>
      <c r="M71" s="2" t="s">
        <v>146</v>
      </c>
      <c r="N71" s="2" t="s">
        <v>146</v>
      </c>
      <c r="O71" s="2" t="s">
        <v>146</v>
      </c>
      <c r="P71" s="2" t="s">
        <v>146</v>
      </c>
      <c r="Q71" s="2">
        <v>33.200000000000003</v>
      </c>
      <c r="R71" s="2" t="s">
        <v>146</v>
      </c>
      <c r="S71" s="2" t="s">
        <v>146</v>
      </c>
      <c r="T71" s="2" t="s">
        <v>146</v>
      </c>
      <c r="U71" s="2" t="s">
        <v>146</v>
      </c>
      <c r="V71" s="2" t="s">
        <v>146</v>
      </c>
      <c r="W71" s="2" t="s">
        <v>146</v>
      </c>
      <c r="X71" s="2">
        <v>0</v>
      </c>
      <c r="Y71" s="2">
        <v>0</v>
      </c>
      <c r="Z71" s="2">
        <v>0</v>
      </c>
      <c r="AA71" s="2">
        <v>345.7</v>
      </c>
      <c r="AB71" s="2">
        <v>0</v>
      </c>
      <c r="AC71" s="2">
        <v>0</v>
      </c>
      <c r="AD71" s="2" t="s">
        <v>146</v>
      </c>
      <c r="AE71" s="2" t="s">
        <v>146</v>
      </c>
      <c r="AF71" s="2" t="s">
        <v>146</v>
      </c>
      <c r="AG71" s="2" t="s">
        <v>146</v>
      </c>
      <c r="AH71" s="2" t="s">
        <v>146</v>
      </c>
      <c r="AI71" s="2" t="s">
        <v>146</v>
      </c>
      <c r="AJ71" s="2" t="s">
        <v>146</v>
      </c>
      <c r="AK71" s="2" t="s">
        <v>146</v>
      </c>
      <c r="AL71" s="2">
        <v>100</v>
      </c>
      <c r="AM71" s="2" t="s">
        <v>146</v>
      </c>
      <c r="AN71" s="2" t="s">
        <v>146</v>
      </c>
      <c r="AO71" s="2" t="s">
        <v>146</v>
      </c>
      <c r="AQ71" s="2">
        <f t="shared" si="11"/>
        <v>379.7</v>
      </c>
      <c r="AR71" s="2">
        <f t="shared" si="12"/>
        <v>379.7</v>
      </c>
      <c r="AT71" s="2">
        <f t="shared" si="13"/>
        <v>198</v>
      </c>
      <c r="AU71" s="2">
        <f t="shared" si="14"/>
        <v>77.5</v>
      </c>
      <c r="AV71" s="27">
        <f t="shared" si="15"/>
        <v>0.72557282064787998</v>
      </c>
      <c r="AY71" s="2">
        <f t="shared" si="16"/>
        <v>0</v>
      </c>
      <c r="AZ71" s="2">
        <f t="shared" si="17"/>
        <v>0</v>
      </c>
      <c r="BA71" s="2">
        <f t="shared" si="18"/>
        <v>0</v>
      </c>
      <c r="BB71" s="2">
        <f t="shared" si="19"/>
        <v>0</v>
      </c>
      <c r="BC71" s="2">
        <f t="shared" si="20"/>
        <v>0</v>
      </c>
      <c r="BD71" s="2">
        <f t="shared" si="21"/>
        <v>0</v>
      </c>
    </row>
    <row r="72" spans="1:56" ht="15" customHeight="1" x14ac:dyDescent="0.45">
      <c r="A72" s="2" t="s">
        <v>597</v>
      </c>
      <c r="B72" s="2" t="s">
        <v>599</v>
      </c>
      <c r="C72" s="2">
        <v>2019</v>
      </c>
      <c r="D72" s="2">
        <v>557.33500000000004</v>
      </c>
      <c r="E72" s="2">
        <v>183.82400000000001</v>
      </c>
      <c r="F72" s="2" t="s">
        <v>146</v>
      </c>
      <c r="G72" s="2" t="s">
        <v>146</v>
      </c>
      <c r="H72" s="2" t="s">
        <v>146</v>
      </c>
      <c r="I72" s="2">
        <v>811.80399999999997</v>
      </c>
      <c r="J72" s="2" t="s">
        <v>146</v>
      </c>
      <c r="K72" s="2" t="s">
        <v>146</v>
      </c>
      <c r="L72" s="2" t="s">
        <v>146</v>
      </c>
      <c r="M72" s="2" t="s">
        <v>146</v>
      </c>
      <c r="N72" s="2" t="s">
        <v>146</v>
      </c>
      <c r="O72" s="2" t="s">
        <v>146</v>
      </c>
      <c r="P72" s="2" t="s">
        <v>146</v>
      </c>
      <c r="Q72" s="2">
        <v>529.07600000000002</v>
      </c>
      <c r="R72" s="2">
        <v>168.22499999999999</v>
      </c>
      <c r="S72" s="2" t="s">
        <v>146</v>
      </c>
      <c r="T72" s="2" t="s">
        <v>146</v>
      </c>
      <c r="U72" s="2" t="s">
        <v>146</v>
      </c>
      <c r="V72" s="2" t="s">
        <v>146</v>
      </c>
      <c r="W72" s="2" t="s">
        <v>146</v>
      </c>
      <c r="X72" s="2" t="s">
        <v>146</v>
      </c>
      <c r="Y72" s="2" t="s">
        <v>146</v>
      </c>
      <c r="Z72" s="2" t="s">
        <v>146</v>
      </c>
      <c r="AA72" s="2" t="s">
        <v>146</v>
      </c>
      <c r="AB72" s="2" t="s">
        <v>146</v>
      </c>
      <c r="AC72" s="2" t="s">
        <v>146</v>
      </c>
      <c r="AD72" s="2" t="s">
        <v>146</v>
      </c>
      <c r="AE72" s="2" t="s">
        <v>146</v>
      </c>
      <c r="AF72" s="2" t="s">
        <v>146</v>
      </c>
      <c r="AG72" s="2" t="s">
        <v>146</v>
      </c>
      <c r="AH72" s="2" t="s">
        <v>146</v>
      </c>
      <c r="AI72" s="2" t="s">
        <v>146</v>
      </c>
      <c r="AJ72" s="2" t="s">
        <v>146</v>
      </c>
      <c r="AK72" s="2">
        <v>114.503</v>
      </c>
      <c r="AL72" s="2">
        <v>100</v>
      </c>
      <c r="AM72" s="2" t="s">
        <v>146</v>
      </c>
      <c r="AN72" s="2" t="s">
        <v>146</v>
      </c>
      <c r="AO72" s="2" t="s">
        <v>146</v>
      </c>
      <c r="AQ72" s="2">
        <f t="shared" si="11"/>
        <v>697.30100000000004</v>
      </c>
      <c r="AR72" s="2">
        <f t="shared" si="12"/>
        <v>811.80400000000009</v>
      </c>
      <c r="AT72" s="2">
        <f t="shared" si="13"/>
        <v>557.33500000000004</v>
      </c>
      <c r="AU72" s="2">
        <f t="shared" si="14"/>
        <v>183.82400000000001</v>
      </c>
      <c r="AV72" s="27">
        <f t="shared" si="15"/>
        <v>0.91297776310538015</v>
      </c>
      <c r="AY72" s="2">
        <f t="shared" si="16"/>
        <v>114.503</v>
      </c>
      <c r="AZ72" s="2">
        <f t="shared" si="17"/>
        <v>114.503</v>
      </c>
      <c r="BA72" s="2">
        <f t="shared" si="18"/>
        <v>0</v>
      </c>
      <c r="BB72" s="2">
        <f t="shared" si="19"/>
        <v>0</v>
      </c>
      <c r="BC72" s="2">
        <f t="shared" si="20"/>
        <v>0</v>
      </c>
      <c r="BD72" s="2">
        <f t="shared" si="21"/>
        <v>0</v>
      </c>
    </row>
    <row r="73" spans="1:56" ht="15" customHeight="1" x14ac:dyDescent="0.45">
      <c r="A73" s="2" t="s">
        <v>597</v>
      </c>
      <c r="B73" s="2" t="s">
        <v>598</v>
      </c>
      <c r="C73" s="2">
        <v>2019</v>
      </c>
      <c r="D73" s="2" t="s">
        <v>146</v>
      </c>
      <c r="E73" s="2" t="s">
        <v>146</v>
      </c>
      <c r="F73" s="2" t="s">
        <v>146</v>
      </c>
      <c r="G73" s="2" t="s">
        <v>146</v>
      </c>
      <c r="H73" s="2" t="s">
        <v>146</v>
      </c>
      <c r="I73" s="2" t="s">
        <v>146</v>
      </c>
      <c r="J73" s="2" t="s">
        <v>146</v>
      </c>
      <c r="K73" s="2" t="s">
        <v>146</v>
      </c>
      <c r="L73" s="2" t="s">
        <v>146</v>
      </c>
      <c r="M73" s="2" t="s">
        <v>146</v>
      </c>
      <c r="N73" s="2" t="s">
        <v>146</v>
      </c>
      <c r="O73" s="2" t="s">
        <v>146</v>
      </c>
      <c r="P73" s="2" t="s">
        <v>146</v>
      </c>
      <c r="Q73" s="2" t="s">
        <v>146</v>
      </c>
      <c r="R73" s="2" t="s">
        <v>146</v>
      </c>
      <c r="S73" s="2" t="s">
        <v>146</v>
      </c>
      <c r="T73" s="2" t="s">
        <v>146</v>
      </c>
      <c r="U73" s="2" t="s">
        <v>146</v>
      </c>
      <c r="V73" s="2" t="s">
        <v>146</v>
      </c>
      <c r="W73" s="2" t="s">
        <v>146</v>
      </c>
      <c r="X73" s="2" t="s">
        <v>146</v>
      </c>
      <c r="Y73" s="2" t="s">
        <v>146</v>
      </c>
      <c r="Z73" s="2" t="s">
        <v>146</v>
      </c>
      <c r="AA73" s="2" t="s">
        <v>146</v>
      </c>
      <c r="AB73" s="2" t="s">
        <v>146</v>
      </c>
      <c r="AC73" s="2" t="s">
        <v>146</v>
      </c>
      <c r="AD73" s="2" t="s">
        <v>146</v>
      </c>
      <c r="AE73" s="2" t="s">
        <v>146</v>
      </c>
      <c r="AF73" s="2" t="s">
        <v>146</v>
      </c>
      <c r="AG73" s="2" t="s">
        <v>146</v>
      </c>
      <c r="AH73" s="2" t="s">
        <v>146</v>
      </c>
      <c r="AI73" s="2" t="s">
        <v>146</v>
      </c>
      <c r="AJ73" s="2" t="s">
        <v>146</v>
      </c>
      <c r="AK73" s="2" t="s">
        <v>146</v>
      </c>
      <c r="AL73" s="2" t="s">
        <v>146</v>
      </c>
      <c r="AM73" s="2" t="s">
        <v>146</v>
      </c>
      <c r="AN73" s="2" t="s">
        <v>146</v>
      </c>
      <c r="AO73" s="2" t="s">
        <v>146</v>
      </c>
      <c r="AQ73" s="2">
        <f t="shared" si="11"/>
        <v>0</v>
      </c>
      <c r="AR73" s="2">
        <f t="shared" si="12"/>
        <v>0</v>
      </c>
      <c r="AT73" s="2">
        <f t="shared" si="13"/>
        <v>0</v>
      </c>
      <c r="AU73" s="2">
        <f t="shared" si="14"/>
        <v>0</v>
      </c>
      <c r="AV73" s="27" t="str">
        <f t="shared" si="15"/>
        <v/>
      </c>
      <c r="AY73" s="2">
        <f t="shared" si="16"/>
        <v>0</v>
      </c>
      <c r="AZ73" s="2">
        <f t="shared" si="17"/>
        <v>0</v>
      </c>
      <c r="BA73" s="2">
        <f t="shared" si="18"/>
        <v>0</v>
      </c>
      <c r="BB73" s="2">
        <f t="shared" si="19"/>
        <v>0</v>
      </c>
      <c r="BC73" s="2">
        <f t="shared" si="20"/>
        <v>0</v>
      </c>
      <c r="BD73" s="2">
        <f t="shared" si="21"/>
        <v>0</v>
      </c>
    </row>
    <row r="74" spans="1:56" ht="15" customHeight="1" x14ac:dyDescent="0.45">
      <c r="A74" s="2" t="s">
        <v>597</v>
      </c>
      <c r="B74" s="2" t="s">
        <v>596</v>
      </c>
      <c r="C74" s="2">
        <v>2019</v>
      </c>
      <c r="D74" s="2" t="s">
        <v>146</v>
      </c>
      <c r="E74" s="2" t="s">
        <v>146</v>
      </c>
      <c r="F74" s="2" t="s">
        <v>146</v>
      </c>
      <c r="G74" s="2" t="s">
        <v>146</v>
      </c>
      <c r="H74" s="2" t="s">
        <v>146</v>
      </c>
      <c r="I74" s="2" t="s">
        <v>146</v>
      </c>
      <c r="J74" s="2" t="s">
        <v>146</v>
      </c>
      <c r="K74" s="2" t="s">
        <v>146</v>
      </c>
      <c r="L74" s="2" t="s">
        <v>146</v>
      </c>
      <c r="M74" s="2" t="s">
        <v>146</v>
      </c>
      <c r="N74" s="2" t="s">
        <v>146</v>
      </c>
      <c r="O74" s="2" t="s">
        <v>146</v>
      </c>
      <c r="P74" s="2" t="s">
        <v>146</v>
      </c>
      <c r="Q74" s="2" t="s">
        <v>146</v>
      </c>
      <c r="R74" s="2" t="s">
        <v>146</v>
      </c>
      <c r="S74" s="2" t="s">
        <v>146</v>
      </c>
      <c r="T74" s="2" t="s">
        <v>146</v>
      </c>
      <c r="U74" s="2" t="s">
        <v>146</v>
      </c>
      <c r="V74" s="2" t="s">
        <v>146</v>
      </c>
      <c r="W74" s="2" t="s">
        <v>146</v>
      </c>
      <c r="X74" s="2" t="s">
        <v>146</v>
      </c>
      <c r="Y74" s="2" t="s">
        <v>146</v>
      </c>
      <c r="Z74" s="2" t="s">
        <v>146</v>
      </c>
      <c r="AA74" s="2" t="s">
        <v>146</v>
      </c>
      <c r="AB74" s="2" t="s">
        <v>146</v>
      </c>
      <c r="AC74" s="2" t="s">
        <v>146</v>
      </c>
      <c r="AD74" s="2" t="s">
        <v>146</v>
      </c>
      <c r="AE74" s="2" t="s">
        <v>146</v>
      </c>
      <c r="AF74" s="2" t="s">
        <v>146</v>
      </c>
      <c r="AG74" s="2" t="s">
        <v>146</v>
      </c>
      <c r="AH74" s="2" t="s">
        <v>146</v>
      </c>
      <c r="AI74" s="2" t="s">
        <v>146</v>
      </c>
      <c r="AJ74" s="2" t="s">
        <v>146</v>
      </c>
      <c r="AK74" s="2" t="s">
        <v>146</v>
      </c>
      <c r="AL74" s="2" t="s">
        <v>146</v>
      </c>
      <c r="AM74" s="2" t="s">
        <v>146</v>
      </c>
      <c r="AN74" s="2" t="s">
        <v>146</v>
      </c>
      <c r="AO74" s="2" t="s">
        <v>146</v>
      </c>
      <c r="AQ74" s="2">
        <f t="shared" si="11"/>
        <v>0</v>
      </c>
      <c r="AR74" s="2">
        <f t="shared" si="12"/>
        <v>0</v>
      </c>
      <c r="AT74" s="2">
        <f t="shared" si="13"/>
        <v>0</v>
      </c>
      <c r="AU74" s="2">
        <f t="shared" si="14"/>
        <v>0</v>
      </c>
      <c r="AV74" s="27" t="str">
        <f t="shared" si="15"/>
        <v/>
      </c>
      <c r="AY74" s="2">
        <f t="shared" si="16"/>
        <v>0</v>
      </c>
      <c r="AZ74" s="2">
        <f t="shared" si="17"/>
        <v>0</v>
      </c>
      <c r="BA74" s="2">
        <f t="shared" si="18"/>
        <v>0</v>
      </c>
      <c r="BB74" s="2">
        <f t="shared" si="19"/>
        <v>0</v>
      </c>
      <c r="BC74" s="2">
        <f t="shared" si="20"/>
        <v>0</v>
      </c>
      <c r="BD74" s="2">
        <f t="shared" si="21"/>
        <v>0</v>
      </c>
    </row>
    <row r="75" spans="1:56" ht="15" customHeight="1" x14ac:dyDescent="0.45">
      <c r="A75" s="2" t="s">
        <v>593</v>
      </c>
      <c r="B75" s="2" t="s">
        <v>595</v>
      </c>
      <c r="C75" s="2">
        <v>2019</v>
      </c>
      <c r="D75" s="2">
        <v>90</v>
      </c>
      <c r="E75" s="2">
        <v>11.7</v>
      </c>
      <c r="F75" s="2" t="s">
        <v>146</v>
      </c>
      <c r="G75" s="2" t="s">
        <v>146</v>
      </c>
      <c r="H75" s="2" t="s">
        <v>146</v>
      </c>
      <c r="I75" s="2">
        <v>164.4</v>
      </c>
      <c r="J75" s="2" t="s">
        <v>146</v>
      </c>
      <c r="K75" s="2" t="s">
        <v>146</v>
      </c>
      <c r="L75" s="2" t="s">
        <v>146</v>
      </c>
      <c r="M75" s="2" t="s">
        <v>146</v>
      </c>
      <c r="N75" s="2" t="s">
        <v>146</v>
      </c>
      <c r="O75" s="2" t="s">
        <v>146</v>
      </c>
      <c r="P75" s="2" t="s">
        <v>146</v>
      </c>
      <c r="Q75" s="2">
        <v>108.7</v>
      </c>
      <c r="R75" s="2">
        <v>4.8</v>
      </c>
      <c r="S75" s="2">
        <v>0.6</v>
      </c>
      <c r="T75" s="2" t="s">
        <v>146</v>
      </c>
      <c r="U75" s="2" t="s">
        <v>146</v>
      </c>
      <c r="V75" s="2">
        <v>23.1</v>
      </c>
      <c r="W75" s="2" t="s">
        <v>146</v>
      </c>
      <c r="X75" s="2" t="s">
        <v>146</v>
      </c>
      <c r="Y75" s="2">
        <v>3.6</v>
      </c>
      <c r="Z75" s="2" t="s">
        <v>146</v>
      </c>
      <c r="AA75" s="2" t="s">
        <v>146</v>
      </c>
      <c r="AB75" s="2" t="s">
        <v>146</v>
      </c>
      <c r="AC75" s="2">
        <v>0.4</v>
      </c>
      <c r="AD75" s="2" t="s">
        <v>146</v>
      </c>
      <c r="AE75" s="2" t="s">
        <v>146</v>
      </c>
      <c r="AF75" s="2" t="s">
        <v>146</v>
      </c>
      <c r="AG75" s="2" t="s">
        <v>146</v>
      </c>
      <c r="AH75" s="2" t="s">
        <v>155</v>
      </c>
      <c r="AI75" s="2" t="s">
        <v>146</v>
      </c>
      <c r="AJ75" s="2" t="s">
        <v>146</v>
      </c>
      <c r="AK75" s="2">
        <v>23.2</v>
      </c>
      <c r="AL75" s="2">
        <v>100</v>
      </c>
      <c r="AM75" s="2" t="s">
        <v>146</v>
      </c>
      <c r="AN75" s="2" t="s">
        <v>146</v>
      </c>
      <c r="AO75" s="2" t="s">
        <v>146</v>
      </c>
      <c r="AQ75" s="2">
        <f t="shared" si="11"/>
        <v>141.19999999999999</v>
      </c>
      <c r="AR75" s="2">
        <f t="shared" si="12"/>
        <v>164.39999999999998</v>
      </c>
      <c r="AT75" s="2">
        <f t="shared" si="13"/>
        <v>90</v>
      </c>
      <c r="AU75" s="2">
        <f t="shared" si="14"/>
        <v>11.7</v>
      </c>
      <c r="AV75" s="27">
        <f t="shared" si="15"/>
        <v>0.61861313868613144</v>
      </c>
      <c r="AY75" s="2">
        <f t="shared" si="16"/>
        <v>23.2</v>
      </c>
      <c r="AZ75" s="2">
        <f t="shared" si="17"/>
        <v>23.2</v>
      </c>
      <c r="BA75" s="2">
        <f t="shared" si="18"/>
        <v>0</v>
      </c>
      <c r="BB75" s="2">
        <f t="shared" si="19"/>
        <v>0</v>
      </c>
      <c r="BC75" s="2">
        <f t="shared" si="20"/>
        <v>0</v>
      </c>
      <c r="BD75" s="2">
        <f t="shared" si="21"/>
        <v>0</v>
      </c>
    </row>
    <row r="76" spans="1:56" ht="15" customHeight="1" x14ac:dyDescent="0.45">
      <c r="A76" s="2" t="s">
        <v>593</v>
      </c>
      <c r="B76" s="2" t="s">
        <v>594</v>
      </c>
      <c r="C76" s="2">
        <v>2019</v>
      </c>
      <c r="D76" s="2" t="s">
        <v>146</v>
      </c>
      <c r="E76" s="2" t="s">
        <v>146</v>
      </c>
      <c r="F76" s="2" t="s">
        <v>146</v>
      </c>
      <c r="G76" s="2" t="s">
        <v>146</v>
      </c>
      <c r="H76" s="2" t="s">
        <v>146</v>
      </c>
      <c r="I76" s="2" t="s">
        <v>146</v>
      </c>
      <c r="J76" s="2" t="s">
        <v>146</v>
      </c>
      <c r="K76" s="2" t="s">
        <v>146</v>
      </c>
      <c r="L76" s="2" t="s">
        <v>146</v>
      </c>
      <c r="M76" s="2" t="s">
        <v>146</v>
      </c>
      <c r="N76" s="2" t="s">
        <v>146</v>
      </c>
      <c r="O76" s="2" t="s">
        <v>146</v>
      </c>
      <c r="P76" s="2" t="s">
        <v>146</v>
      </c>
      <c r="Q76" s="2" t="s">
        <v>146</v>
      </c>
      <c r="R76" s="2" t="s">
        <v>146</v>
      </c>
      <c r="S76" s="2" t="s">
        <v>146</v>
      </c>
      <c r="T76" s="2" t="s">
        <v>146</v>
      </c>
      <c r="U76" s="2" t="s">
        <v>146</v>
      </c>
      <c r="V76" s="2" t="s">
        <v>146</v>
      </c>
      <c r="W76" s="2" t="s">
        <v>146</v>
      </c>
      <c r="X76" s="2" t="s">
        <v>146</v>
      </c>
      <c r="Y76" s="2" t="s">
        <v>146</v>
      </c>
      <c r="Z76" s="2" t="s">
        <v>146</v>
      </c>
      <c r="AA76" s="2" t="s">
        <v>146</v>
      </c>
      <c r="AB76" s="2" t="s">
        <v>146</v>
      </c>
      <c r="AC76" s="2" t="s">
        <v>146</v>
      </c>
      <c r="AD76" s="2" t="s">
        <v>146</v>
      </c>
      <c r="AE76" s="2" t="s">
        <v>146</v>
      </c>
      <c r="AF76" s="2" t="s">
        <v>146</v>
      </c>
      <c r="AG76" s="2" t="s">
        <v>146</v>
      </c>
      <c r="AH76" s="2" t="s">
        <v>146</v>
      </c>
      <c r="AI76" s="2" t="s">
        <v>146</v>
      </c>
      <c r="AJ76" s="2" t="s">
        <v>146</v>
      </c>
      <c r="AK76" s="2" t="s">
        <v>146</v>
      </c>
      <c r="AL76" s="2" t="s">
        <v>146</v>
      </c>
      <c r="AM76" s="2" t="s">
        <v>146</v>
      </c>
      <c r="AN76" s="2" t="s">
        <v>146</v>
      </c>
      <c r="AO76" s="2" t="s">
        <v>146</v>
      </c>
      <c r="AQ76" s="2">
        <f t="shared" si="11"/>
        <v>0</v>
      </c>
      <c r="AR76" s="2">
        <f t="shared" si="12"/>
        <v>0</v>
      </c>
      <c r="AT76" s="2">
        <f t="shared" si="13"/>
        <v>0</v>
      </c>
      <c r="AU76" s="2">
        <f t="shared" si="14"/>
        <v>0</v>
      </c>
      <c r="AV76" s="27" t="str">
        <f t="shared" si="15"/>
        <v/>
      </c>
      <c r="AY76" s="2">
        <f t="shared" si="16"/>
        <v>0</v>
      </c>
      <c r="AZ76" s="2">
        <f t="shared" si="17"/>
        <v>0</v>
      </c>
      <c r="BA76" s="2">
        <f t="shared" si="18"/>
        <v>0</v>
      </c>
      <c r="BB76" s="2">
        <f t="shared" si="19"/>
        <v>0</v>
      </c>
      <c r="BC76" s="2">
        <f t="shared" si="20"/>
        <v>0</v>
      </c>
      <c r="BD76" s="2">
        <f t="shared" si="21"/>
        <v>0</v>
      </c>
    </row>
    <row r="77" spans="1:56" ht="15" customHeight="1" x14ac:dyDescent="0.45">
      <c r="A77" s="2" t="s">
        <v>593</v>
      </c>
      <c r="B77" s="2" t="s">
        <v>592</v>
      </c>
      <c r="C77" s="2">
        <v>2019</v>
      </c>
      <c r="D77" s="2" t="s">
        <v>146</v>
      </c>
      <c r="E77" s="2" t="s">
        <v>146</v>
      </c>
      <c r="F77" s="2" t="s">
        <v>146</v>
      </c>
      <c r="G77" s="2" t="s">
        <v>146</v>
      </c>
      <c r="H77" s="2" t="s">
        <v>146</v>
      </c>
      <c r="I77" s="2" t="s">
        <v>146</v>
      </c>
      <c r="J77" s="2" t="s">
        <v>146</v>
      </c>
      <c r="K77" s="2" t="s">
        <v>146</v>
      </c>
      <c r="L77" s="2" t="s">
        <v>146</v>
      </c>
      <c r="M77" s="2" t="s">
        <v>146</v>
      </c>
      <c r="N77" s="2" t="s">
        <v>146</v>
      </c>
      <c r="O77" s="2" t="s">
        <v>146</v>
      </c>
      <c r="P77" s="2" t="s">
        <v>146</v>
      </c>
      <c r="Q77" s="2" t="s">
        <v>146</v>
      </c>
      <c r="R77" s="2" t="s">
        <v>146</v>
      </c>
      <c r="S77" s="2" t="s">
        <v>146</v>
      </c>
      <c r="T77" s="2" t="s">
        <v>146</v>
      </c>
      <c r="U77" s="2" t="s">
        <v>146</v>
      </c>
      <c r="V77" s="2" t="s">
        <v>146</v>
      </c>
      <c r="W77" s="2" t="s">
        <v>146</v>
      </c>
      <c r="X77" s="2" t="s">
        <v>146</v>
      </c>
      <c r="Y77" s="2" t="s">
        <v>146</v>
      </c>
      <c r="Z77" s="2" t="s">
        <v>146</v>
      </c>
      <c r="AA77" s="2" t="s">
        <v>146</v>
      </c>
      <c r="AB77" s="2" t="s">
        <v>146</v>
      </c>
      <c r="AC77" s="2" t="s">
        <v>146</v>
      </c>
      <c r="AD77" s="2" t="s">
        <v>146</v>
      </c>
      <c r="AE77" s="2" t="s">
        <v>146</v>
      </c>
      <c r="AF77" s="2" t="s">
        <v>146</v>
      </c>
      <c r="AG77" s="2" t="s">
        <v>146</v>
      </c>
      <c r="AH77" s="2" t="s">
        <v>146</v>
      </c>
      <c r="AI77" s="2" t="s">
        <v>146</v>
      </c>
      <c r="AJ77" s="2" t="s">
        <v>146</v>
      </c>
      <c r="AK77" s="2" t="s">
        <v>146</v>
      </c>
      <c r="AL77" s="2" t="s">
        <v>146</v>
      </c>
      <c r="AM77" s="2" t="s">
        <v>146</v>
      </c>
      <c r="AN77" s="2" t="s">
        <v>146</v>
      </c>
      <c r="AO77" s="2" t="s">
        <v>146</v>
      </c>
      <c r="AQ77" s="2">
        <f t="shared" si="11"/>
        <v>0</v>
      </c>
      <c r="AR77" s="2">
        <f t="shared" si="12"/>
        <v>0</v>
      </c>
      <c r="AT77" s="2">
        <f t="shared" si="13"/>
        <v>0</v>
      </c>
      <c r="AU77" s="2">
        <f t="shared" si="14"/>
        <v>0</v>
      </c>
      <c r="AV77" s="27" t="str">
        <f t="shared" si="15"/>
        <v/>
      </c>
      <c r="AY77" s="2">
        <f t="shared" si="16"/>
        <v>0</v>
      </c>
      <c r="AZ77" s="2">
        <f t="shared" si="17"/>
        <v>0</v>
      </c>
      <c r="BA77" s="2">
        <f t="shared" si="18"/>
        <v>0</v>
      </c>
      <c r="BB77" s="2">
        <f t="shared" si="19"/>
        <v>0</v>
      </c>
      <c r="BC77" s="2">
        <f t="shared" si="20"/>
        <v>0</v>
      </c>
      <c r="BD77" s="2">
        <f t="shared" si="21"/>
        <v>0</v>
      </c>
    </row>
    <row r="78" spans="1:56" ht="15" customHeight="1" x14ac:dyDescent="0.45">
      <c r="A78" s="2" t="s">
        <v>589</v>
      </c>
      <c r="B78" s="2" t="s">
        <v>591</v>
      </c>
      <c r="C78" s="2">
        <v>2019</v>
      </c>
      <c r="D78" s="2" t="s">
        <v>146</v>
      </c>
      <c r="E78" s="2" t="s">
        <v>146</v>
      </c>
      <c r="F78" s="2" t="s">
        <v>146</v>
      </c>
      <c r="G78" s="2" t="s">
        <v>146</v>
      </c>
      <c r="H78" s="2" t="s">
        <v>146</v>
      </c>
      <c r="I78" s="2" t="s">
        <v>146</v>
      </c>
      <c r="J78" s="2" t="s">
        <v>146</v>
      </c>
      <c r="K78" s="2" t="s">
        <v>146</v>
      </c>
      <c r="L78" s="2" t="s">
        <v>146</v>
      </c>
      <c r="M78" s="2" t="s">
        <v>146</v>
      </c>
      <c r="N78" s="2" t="s">
        <v>146</v>
      </c>
      <c r="O78" s="2" t="s">
        <v>146</v>
      </c>
      <c r="P78" s="2" t="s">
        <v>146</v>
      </c>
      <c r="Q78" s="2" t="s">
        <v>146</v>
      </c>
      <c r="R78" s="2" t="s">
        <v>146</v>
      </c>
      <c r="S78" s="2" t="s">
        <v>146</v>
      </c>
      <c r="T78" s="2" t="s">
        <v>146</v>
      </c>
      <c r="U78" s="2" t="s">
        <v>146</v>
      </c>
      <c r="V78" s="2" t="s">
        <v>146</v>
      </c>
      <c r="W78" s="2" t="s">
        <v>146</v>
      </c>
      <c r="X78" s="2" t="s">
        <v>146</v>
      </c>
      <c r="Y78" s="2" t="s">
        <v>146</v>
      </c>
      <c r="Z78" s="2" t="s">
        <v>146</v>
      </c>
      <c r="AA78" s="2" t="s">
        <v>146</v>
      </c>
      <c r="AB78" s="2" t="s">
        <v>146</v>
      </c>
      <c r="AC78" s="2" t="s">
        <v>146</v>
      </c>
      <c r="AD78" s="2" t="s">
        <v>146</v>
      </c>
      <c r="AE78" s="2" t="s">
        <v>146</v>
      </c>
      <c r="AF78" s="2" t="s">
        <v>146</v>
      </c>
      <c r="AG78" s="2" t="s">
        <v>146</v>
      </c>
      <c r="AH78" s="2" t="s">
        <v>146</v>
      </c>
      <c r="AI78" s="2" t="s">
        <v>146</v>
      </c>
      <c r="AJ78" s="2" t="s">
        <v>146</v>
      </c>
      <c r="AK78" s="2" t="s">
        <v>146</v>
      </c>
      <c r="AL78" s="2" t="s">
        <v>146</v>
      </c>
      <c r="AM78" s="2" t="s">
        <v>146</v>
      </c>
      <c r="AN78" s="2" t="s">
        <v>146</v>
      </c>
      <c r="AO78" s="2" t="s">
        <v>146</v>
      </c>
      <c r="AQ78" s="2">
        <f t="shared" si="11"/>
        <v>0</v>
      </c>
      <c r="AR78" s="2">
        <f t="shared" si="12"/>
        <v>0</v>
      </c>
      <c r="AT78" s="2">
        <f t="shared" si="13"/>
        <v>0</v>
      </c>
      <c r="AU78" s="2">
        <f t="shared" si="14"/>
        <v>0</v>
      </c>
      <c r="AV78" s="27" t="str">
        <f t="shared" si="15"/>
        <v/>
      </c>
      <c r="AY78" s="2">
        <f t="shared" si="16"/>
        <v>0</v>
      </c>
      <c r="AZ78" s="2">
        <f t="shared" si="17"/>
        <v>0</v>
      </c>
      <c r="BA78" s="2">
        <f t="shared" si="18"/>
        <v>0</v>
      </c>
      <c r="BB78" s="2">
        <f t="shared" si="19"/>
        <v>0</v>
      </c>
      <c r="BC78" s="2">
        <f t="shared" si="20"/>
        <v>0</v>
      </c>
      <c r="BD78" s="2">
        <f t="shared" si="21"/>
        <v>0</v>
      </c>
    </row>
    <row r="79" spans="1:56" ht="15" customHeight="1" x14ac:dyDescent="0.45">
      <c r="A79" s="2" t="s">
        <v>589</v>
      </c>
      <c r="B79" s="2" t="s">
        <v>590</v>
      </c>
      <c r="C79" s="2">
        <v>2019</v>
      </c>
      <c r="D79" s="2" t="s">
        <v>146</v>
      </c>
      <c r="E79" s="2" t="s">
        <v>146</v>
      </c>
      <c r="F79" s="2" t="s">
        <v>146</v>
      </c>
      <c r="G79" s="2" t="s">
        <v>146</v>
      </c>
      <c r="H79" s="2" t="s">
        <v>146</v>
      </c>
      <c r="I79" s="2" t="s">
        <v>146</v>
      </c>
      <c r="J79" s="2" t="s">
        <v>146</v>
      </c>
      <c r="K79" s="2" t="s">
        <v>146</v>
      </c>
      <c r="L79" s="2" t="s">
        <v>146</v>
      </c>
      <c r="M79" s="2" t="s">
        <v>146</v>
      </c>
      <c r="N79" s="2" t="s">
        <v>146</v>
      </c>
      <c r="O79" s="2" t="s">
        <v>146</v>
      </c>
      <c r="P79" s="2" t="s">
        <v>146</v>
      </c>
      <c r="Q79" s="2" t="s">
        <v>146</v>
      </c>
      <c r="R79" s="2" t="s">
        <v>146</v>
      </c>
      <c r="S79" s="2" t="s">
        <v>146</v>
      </c>
      <c r="T79" s="2" t="s">
        <v>146</v>
      </c>
      <c r="U79" s="2" t="s">
        <v>146</v>
      </c>
      <c r="V79" s="2" t="s">
        <v>146</v>
      </c>
      <c r="W79" s="2" t="s">
        <v>146</v>
      </c>
      <c r="X79" s="2" t="s">
        <v>146</v>
      </c>
      <c r="Y79" s="2" t="s">
        <v>146</v>
      </c>
      <c r="Z79" s="2" t="s">
        <v>146</v>
      </c>
      <c r="AA79" s="2" t="s">
        <v>146</v>
      </c>
      <c r="AB79" s="2" t="s">
        <v>146</v>
      </c>
      <c r="AC79" s="2" t="s">
        <v>146</v>
      </c>
      <c r="AD79" s="2" t="s">
        <v>146</v>
      </c>
      <c r="AE79" s="2" t="s">
        <v>146</v>
      </c>
      <c r="AF79" s="2" t="s">
        <v>146</v>
      </c>
      <c r="AG79" s="2" t="s">
        <v>146</v>
      </c>
      <c r="AH79" s="2" t="s">
        <v>146</v>
      </c>
      <c r="AI79" s="2" t="s">
        <v>146</v>
      </c>
      <c r="AJ79" s="2" t="s">
        <v>146</v>
      </c>
      <c r="AK79" s="2" t="s">
        <v>146</v>
      </c>
      <c r="AL79" s="2" t="s">
        <v>146</v>
      </c>
      <c r="AM79" s="2" t="s">
        <v>146</v>
      </c>
      <c r="AN79" s="2" t="s">
        <v>146</v>
      </c>
      <c r="AO79" s="2" t="s">
        <v>146</v>
      </c>
      <c r="AQ79" s="2">
        <f t="shared" si="11"/>
        <v>0</v>
      </c>
      <c r="AR79" s="2">
        <f t="shared" si="12"/>
        <v>0</v>
      </c>
      <c r="AT79" s="2">
        <f t="shared" si="13"/>
        <v>0</v>
      </c>
      <c r="AU79" s="2">
        <f t="shared" si="14"/>
        <v>0</v>
      </c>
      <c r="AV79" s="27" t="str">
        <f t="shared" si="15"/>
        <v/>
      </c>
      <c r="AY79" s="2">
        <f t="shared" si="16"/>
        <v>0</v>
      </c>
      <c r="AZ79" s="2">
        <f t="shared" si="17"/>
        <v>0</v>
      </c>
      <c r="BA79" s="2">
        <f t="shared" si="18"/>
        <v>0</v>
      </c>
      <c r="BB79" s="2">
        <f t="shared" si="19"/>
        <v>0</v>
      </c>
      <c r="BC79" s="2">
        <f t="shared" si="20"/>
        <v>0</v>
      </c>
      <c r="BD79" s="2">
        <f t="shared" si="21"/>
        <v>0</v>
      </c>
    </row>
    <row r="80" spans="1:56" ht="15" customHeight="1" x14ac:dyDescent="0.45">
      <c r="A80" s="2" t="s">
        <v>589</v>
      </c>
      <c r="B80" s="2" t="s">
        <v>588</v>
      </c>
      <c r="C80" s="2">
        <v>2019</v>
      </c>
      <c r="D80" s="2" t="s">
        <v>146</v>
      </c>
      <c r="E80" s="2" t="s">
        <v>146</v>
      </c>
      <c r="F80" s="2" t="s">
        <v>146</v>
      </c>
      <c r="G80" s="2" t="s">
        <v>146</v>
      </c>
      <c r="H80" s="2" t="s">
        <v>146</v>
      </c>
      <c r="I80" s="2" t="s">
        <v>146</v>
      </c>
      <c r="J80" s="2" t="s">
        <v>146</v>
      </c>
      <c r="K80" s="2" t="s">
        <v>146</v>
      </c>
      <c r="L80" s="2" t="s">
        <v>146</v>
      </c>
      <c r="M80" s="2" t="s">
        <v>146</v>
      </c>
      <c r="N80" s="2" t="s">
        <v>146</v>
      </c>
      <c r="O80" s="2" t="s">
        <v>146</v>
      </c>
      <c r="P80" s="2" t="s">
        <v>146</v>
      </c>
      <c r="Q80" s="2" t="s">
        <v>146</v>
      </c>
      <c r="R80" s="2" t="s">
        <v>146</v>
      </c>
      <c r="S80" s="2" t="s">
        <v>146</v>
      </c>
      <c r="T80" s="2" t="s">
        <v>146</v>
      </c>
      <c r="U80" s="2" t="s">
        <v>146</v>
      </c>
      <c r="V80" s="2" t="s">
        <v>146</v>
      </c>
      <c r="W80" s="2" t="s">
        <v>146</v>
      </c>
      <c r="X80" s="2" t="s">
        <v>146</v>
      </c>
      <c r="Y80" s="2" t="s">
        <v>146</v>
      </c>
      <c r="Z80" s="2" t="s">
        <v>146</v>
      </c>
      <c r="AA80" s="2" t="s">
        <v>146</v>
      </c>
      <c r="AB80" s="2" t="s">
        <v>146</v>
      </c>
      <c r="AC80" s="2" t="s">
        <v>146</v>
      </c>
      <c r="AD80" s="2" t="s">
        <v>146</v>
      </c>
      <c r="AE80" s="2" t="s">
        <v>146</v>
      </c>
      <c r="AF80" s="2" t="s">
        <v>146</v>
      </c>
      <c r="AG80" s="2" t="s">
        <v>146</v>
      </c>
      <c r="AH80" s="2" t="s">
        <v>146</v>
      </c>
      <c r="AI80" s="2" t="s">
        <v>146</v>
      </c>
      <c r="AJ80" s="2" t="s">
        <v>146</v>
      </c>
      <c r="AK80" s="2" t="s">
        <v>146</v>
      </c>
      <c r="AL80" s="2" t="s">
        <v>146</v>
      </c>
      <c r="AM80" s="2" t="s">
        <v>146</v>
      </c>
      <c r="AN80" s="2" t="s">
        <v>146</v>
      </c>
      <c r="AO80" s="2" t="s">
        <v>146</v>
      </c>
      <c r="AQ80" s="2">
        <f t="shared" si="11"/>
        <v>0</v>
      </c>
      <c r="AR80" s="2">
        <f t="shared" si="12"/>
        <v>0</v>
      </c>
      <c r="AT80" s="2">
        <f t="shared" si="13"/>
        <v>0</v>
      </c>
      <c r="AU80" s="2">
        <f t="shared" si="14"/>
        <v>0</v>
      </c>
      <c r="AV80" s="27" t="str">
        <f t="shared" si="15"/>
        <v/>
      </c>
      <c r="AY80" s="2">
        <f t="shared" si="16"/>
        <v>0</v>
      </c>
      <c r="AZ80" s="2">
        <f t="shared" si="17"/>
        <v>0</v>
      </c>
      <c r="BA80" s="2">
        <f t="shared" si="18"/>
        <v>0</v>
      </c>
      <c r="BB80" s="2">
        <f t="shared" si="19"/>
        <v>0</v>
      </c>
      <c r="BC80" s="2">
        <f t="shared" si="20"/>
        <v>0</v>
      </c>
      <c r="BD80" s="2">
        <f t="shared" si="21"/>
        <v>0</v>
      </c>
    </row>
    <row r="81" spans="1:56" ht="15" customHeight="1" x14ac:dyDescent="0.45">
      <c r="A81" s="2" t="s">
        <v>582</v>
      </c>
      <c r="B81" s="2" t="s">
        <v>586</v>
      </c>
      <c r="C81" s="2">
        <v>2019</v>
      </c>
      <c r="D81" s="2" t="s">
        <v>146</v>
      </c>
      <c r="E81" s="2" t="s">
        <v>146</v>
      </c>
      <c r="F81" s="2" t="s">
        <v>146</v>
      </c>
      <c r="G81" s="2" t="s">
        <v>146</v>
      </c>
      <c r="H81" s="2" t="s">
        <v>146</v>
      </c>
      <c r="I81" s="2" t="s">
        <v>146</v>
      </c>
      <c r="J81" s="2" t="s">
        <v>146</v>
      </c>
      <c r="K81" s="2" t="s">
        <v>146</v>
      </c>
      <c r="L81" s="2" t="s">
        <v>146</v>
      </c>
      <c r="M81" s="2" t="s">
        <v>146</v>
      </c>
      <c r="N81" s="2" t="s">
        <v>146</v>
      </c>
      <c r="O81" s="2" t="s">
        <v>146</v>
      </c>
      <c r="P81" s="2" t="s">
        <v>146</v>
      </c>
      <c r="Q81" s="2" t="s">
        <v>146</v>
      </c>
      <c r="R81" s="2" t="s">
        <v>146</v>
      </c>
      <c r="S81" s="2" t="s">
        <v>146</v>
      </c>
      <c r="T81" s="2" t="s">
        <v>146</v>
      </c>
      <c r="U81" s="2" t="s">
        <v>146</v>
      </c>
      <c r="V81" s="2" t="s">
        <v>146</v>
      </c>
      <c r="W81" s="2" t="s">
        <v>146</v>
      </c>
      <c r="X81" s="2" t="s">
        <v>146</v>
      </c>
      <c r="Y81" s="2" t="s">
        <v>146</v>
      </c>
      <c r="Z81" s="2" t="s">
        <v>146</v>
      </c>
      <c r="AA81" s="2" t="s">
        <v>146</v>
      </c>
      <c r="AB81" s="2" t="s">
        <v>146</v>
      </c>
      <c r="AC81" s="2" t="s">
        <v>146</v>
      </c>
      <c r="AD81" s="2" t="s">
        <v>146</v>
      </c>
      <c r="AE81" s="2" t="s">
        <v>146</v>
      </c>
      <c r="AF81" s="2" t="s">
        <v>146</v>
      </c>
      <c r="AG81" s="2" t="s">
        <v>146</v>
      </c>
      <c r="AH81" s="2" t="s">
        <v>146</v>
      </c>
      <c r="AI81" s="2" t="s">
        <v>146</v>
      </c>
      <c r="AJ81" s="2" t="s">
        <v>146</v>
      </c>
      <c r="AK81" s="2" t="s">
        <v>146</v>
      </c>
      <c r="AL81" s="2" t="s">
        <v>146</v>
      </c>
      <c r="AM81" s="2" t="s">
        <v>146</v>
      </c>
      <c r="AN81" s="2" t="s">
        <v>146</v>
      </c>
      <c r="AO81" s="2" t="s">
        <v>146</v>
      </c>
      <c r="AQ81" s="2">
        <f t="shared" si="11"/>
        <v>0</v>
      </c>
      <c r="AR81" s="2">
        <f t="shared" si="12"/>
        <v>0</v>
      </c>
      <c r="AT81" s="2">
        <f t="shared" si="13"/>
        <v>0</v>
      </c>
      <c r="AU81" s="2">
        <f t="shared" si="14"/>
        <v>0</v>
      </c>
      <c r="AV81" s="27" t="str">
        <f t="shared" si="15"/>
        <v/>
      </c>
      <c r="AY81" s="2">
        <f t="shared" si="16"/>
        <v>0</v>
      </c>
      <c r="AZ81" s="2">
        <f t="shared" si="17"/>
        <v>0</v>
      </c>
      <c r="BA81" s="2">
        <f t="shared" si="18"/>
        <v>0</v>
      </c>
      <c r="BB81" s="2">
        <f t="shared" si="19"/>
        <v>0</v>
      </c>
      <c r="BC81" s="2">
        <f t="shared" si="20"/>
        <v>0</v>
      </c>
      <c r="BD81" s="2">
        <f t="shared" si="21"/>
        <v>0</v>
      </c>
    </row>
    <row r="82" spans="1:56" ht="15" customHeight="1" x14ac:dyDescent="0.45">
      <c r="A82" s="2" t="s">
        <v>582</v>
      </c>
      <c r="B82" s="2" t="s">
        <v>585</v>
      </c>
      <c r="C82" s="2">
        <v>2019</v>
      </c>
      <c r="D82" s="2">
        <v>258.39999999999998</v>
      </c>
      <c r="E82" s="2">
        <v>52.1</v>
      </c>
      <c r="F82" s="2" t="s">
        <v>146</v>
      </c>
      <c r="G82" s="2" t="s">
        <v>146</v>
      </c>
      <c r="H82" s="2" t="s">
        <v>146</v>
      </c>
      <c r="I82" s="2">
        <v>428.63</v>
      </c>
      <c r="J82" s="2" t="s">
        <v>146</v>
      </c>
      <c r="K82" s="2">
        <v>1.1000000000000001</v>
      </c>
      <c r="L82" s="2" t="s">
        <v>146</v>
      </c>
      <c r="M82" s="2" t="s">
        <v>146</v>
      </c>
      <c r="N82" s="2" t="s">
        <v>146</v>
      </c>
      <c r="O82" s="2" t="s">
        <v>146</v>
      </c>
      <c r="P82" s="2" t="s">
        <v>146</v>
      </c>
      <c r="Q82" s="2">
        <v>103.05</v>
      </c>
      <c r="R82" s="2">
        <v>93.58</v>
      </c>
      <c r="S82" s="2">
        <v>63.93</v>
      </c>
      <c r="T82" s="2">
        <v>0</v>
      </c>
      <c r="U82" s="2" t="s">
        <v>146</v>
      </c>
      <c r="V82" s="2">
        <v>30.75</v>
      </c>
      <c r="W82" s="2" t="s">
        <v>147</v>
      </c>
      <c r="X82" s="2" t="s">
        <v>146</v>
      </c>
      <c r="Y82" s="2" t="s">
        <v>146</v>
      </c>
      <c r="Z82" s="2" t="s">
        <v>146</v>
      </c>
      <c r="AA82" s="2">
        <v>70.52</v>
      </c>
      <c r="AB82" s="2" t="s">
        <v>146</v>
      </c>
      <c r="AC82" s="2" t="s">
        <v>146</v>
      </c>
      <c r="AD82" s="2" t="s">
        <v>146</v>
      </c>
      <c r="AE82" s="2" t="s">
        <v>146</v>
      </c>
      <c r="AF82" s="2" t="s">
        <v>146</v>
      </c>
      <c r="AG82" s="2" t="s">
        <v>146</v>
      </c>
      <c r="AH82" s="2" t="s">
        <v>146</v>
      </c>
      <c r="AI82" s="2" t="s">
        <v>146</v>
      </c>
      <c r="AJ82" s="2" t="s">
        <v>146</v>
      </c>
      <c r="AK82" s="2">
        <v>65.7</v>
      </c>
      <c r="AL82" s="2">
        <v>100</v>
      </c>
      <c r="AM82" s="2" t="s">
        <v>146</v>
      </c>
      <c r="AN82" s="2" t="s">
        <v>146</v>
      </c>
      <c r="AO82" s="2" t="s">
        <v>146</v>
      </c>
      <c r="AQ82" s="2">
        <f t="shared" si="11"/>
        <v>362.92999999999995</v>
      </c>
      <c r="AR82" s="2">
        <f t="shared" si="12"/>
        <v>428.62999999999994</v>
      </c>
      <c r="AT82" s="2">
        <f t="shared" si="13"/>
        <v>258.39999999999998</v>
      </c>
      <c r="AU82" s="2">
        <f t="shared" si="14"/>
        <v>52.1</v>
      </c>
      <c r="AV82" s="27">
        <f t="shared" si="15"/>
        <v>0.72440099853020101</v>
      </c>
      <c r="AY82" s="2">
        <f t="shared" si="16"/>
        <v>65.7</v>
      </c>
      <c r="AZ82" s="2">
        <f t="shared" si="17"/>
        <v>65.7</v>
      </c>
      <c r="BA82" s="2">
        <f t="shared" si="18"/>
        <v>0</v>
      </c>
      <c r="BB82" s="2">
        <f t="shared" si="19"/>
        <v>0</v>
      </c>
      <c r="BC82" s="2">
        <f t="shared" si="20"/>
        <v>0</v>
      </c>
      <c r="BD82" s="2">
        <f t="shared" si="21"/>
        <v>0</v>
      </c>
    </row>
    <row r="83" spans="1:56" ht="15" customHeight="1" x14ac:dyDescent="0.45">
      <c r="A83" s="2" t="s">
        <v>582</v>
      </c>
      <c r="B83" s="2" t="s">
        <v>583</v>
      </c>
      <c r="C83" s="2">
        <v>2019</v>
      </c>
      <c r="D83" s="2" t="s">
        <v>146</v>
      </c>
      <c r="E83" s="2" t="s">
        <v>146</v>
      </c>
      <c r="F83" s="2" t="s">
        <v>146</v>
      </c>
      <c r="G83" s="2" t="s">
        <v>146</v>
      </c>
      <c r="H83" s="2" t="s">
        <v>146</v>
      </c>
      <c r="I83" s="2" t="s">
        <v>146</v>
      </c>
      <c r="J83" s="2" t="s">
        <v>146</v>
      </c>
      <c r="K83" s="2" t="s">
        <v>146</v>
      </c>
      <c r="L83" s="2" t="s">
        <v>146</v>
      </c>
      <c r="M83" s="2" t="s">
        <v>146</v>
      </c>
      <c r="N83" s="2" t="s">
        <v>146</v>
      </c>
      <c r="O83" s="2" t="s">
        <v>146</v>
      </c>
      <c r="P83" s="2" t="s">
        <v>146</v>
      </c>
      <c r="Q83" s="2" t="s">
        <v>146</v>
      </c>
      <c r="R83" s="2" t="s">
        <v>146</v>
      </c>
      <c r="S83" s="2" t="s">
        <v>146</v>
      </c>
      <c r="T83" s="2" t="s">
        <v>146</v>
      </c>
      <c r="U83" s="2" t="s">
        <v>146</v>
      </c>
      <c r="V83" s="2" t="s">
        <v>146</v>
      </c>
      <c r="W83" s="2" t="s">
        <v>146</v>
      </c>
      <c r="X83" s="2" t="s">
        <v>146</v>
      </c>
      <c r="Y83" s="2" t="s">
        <v>146</v>
      </c>
      <c r="Z83" s="2" t="s">
        <v>146</v>
      </c>
      <c r="AA83" s="2" t="s">
        <v>146</v>
      </c>
      <c r="AB83" s="2" t="s">
        <v>146</v>
      </c>
      <c r="AC83" s="2" t="s">
        <v>146</v>
      </c>
      <c r="AD83" s="2" t="s">
        <v>146</v>
      </c>
      <c r="AE83" s="2" t="s">
        <v>146</v>
      </c>
      <c r="AF83" s="2" t="s">
        <v>146</v>
      </c>
      <c r="AG83" s="2" t="s">
        <v>146</v>
      </c>
      <c r="AH83" s="2" t="s">
        <v>146</v>
      </c>
      <c r="AI83" s="2" t="s">
        <v>146</v>
      </c>
      <c r="AJ83" s="2" t="s">
        <v>146</v>
      </c>
      <c r="AK83" s="2" t="s">
        <v>146</v>
      </c>
      <c r="AL83" s="2" t="s">
        <v>146</v>
      </c>
      <c r="AM83" s="2" t="s">
        <v>146</v>
      </c>
      <c r="AN83" s="2" t="s">
        <v>146</v>
      </c>
      <c r="AO83" s="2" t="s">
        <v>146</v>
      </c>
      <c r="AQ83" s="2">
        <f t="shared" si="11"/>
        <v>0</v>
      </c>
      <c r="AR83" s="2">
        <f t="shared" si="12"/>
        <v>0</v>
      </c>
      <c r="AT83" s="2">
        <f t="shared" si="13"/>
        <v>0</v>
      </c>
      <c r="AU83" s="2">
        <f t="shared" si="14"/>
        <v>0</v>
      </c>
      <c r="AV83" s="27" t="str">
        <f t="shared" si="15"/>
        <v/>
      </c>
      <c r="AY83" s="2">
        <f t="shared" si="16"/>
        <v>0</v>
      </c>
      <c r="AZ83" s="2">
        <f t="shared" si="17"/>
        <v>0</v>
      </c>
      <c r="BA83" s="2">
        <f t="shared" si="18"/>
        <v>0</v>
      </c>
      <c r="BB83" s="2">
        <f t="shared" si="19"/>
        <v>0</v>
      </c>
      <c r="BC83" s="2">
        <f t="shared" si="20"/>
        <v>0</v>
      </c>
      <c r="BD83" s="2">
        <f t="shared" si="21"/>
        <v>0</v>
      </c>
    </row>
    <row r="84" spans="1:56" ht="15" customHeight="1" x14ac:dyDescent="0.45">
      <c r="A84" s="2" t="s">
        <v>582</v>
      </c>
      <c r="B84" s="2" t="s">
        <v>581</v>
      </c>
      <c r="C84" s="2">
        <v>2019</v>
      </c>
      <c r="D84" s="2" t="s">
        <v>146</v>
      </c>
      <c r="E84" s="2" t="s">
        <v>146</v>
      </c>
      <c r="F84" s="2" t="s">
        <v>146</v>
      </c>
      <c r="G84" s="2" t="s">
        <v>146</v>
      </c>
      <c r="H84" s="2" t="s">
        <v>146</v>
      </c>
      <c r="I84" s="2" t="s">
        <v>146</v>
      </c>
      <c r="J84" s="2" t="s">
        <v>146</v>
      </c>
      <c r="K84" s="2" t="s">
        <v>146</v>
      </c>
      <c r="L84" s="2" t="s">
        <v>146</v>
      </c>
      <c r="M84" s="2" t="s">
        <v>146</v>
      </c>
      <c r="N84" s="2" t="s">
        <v>146</v>
      </c>
      <c r="O84" s="2" t="s">
        <v>146</v>
      </c>
      <c r="P84" s="2" t="s">
        <v>146</v>
      </c>
      <c r="Q84" s="2" t="s">
        <v>146</v>
      </c>
      <c r="R84" s="2" t="s">
        <v>146</v>
      </c>
      <c r="S84" s="2" t="s">
        <v>146</v>
      </c>
      <c r="T84" s="2" t="s">
        <v>146</v>
      </c>
      <c r="U84" s="2" t="s">
        <v>146</v>
      </c>
      <c r="V84" s="2" t="s">
        <v>146</v>
      </c>
      <c r="W84" s="2" t="s">
        <v>146</v>
      </c>
      <c r="X84" s="2" t="s">
        <v>146</v>
      </c>
      <c r="Y84" s="2" t="s">
        <v>146</v>
      </c>
      <c r="Z84" s="2" t="s">
        <v>146</v>
      </c>
      <c r="AA84" s="2" t="s">
        <v>146</v>
      </c>
      <c r="AB84" s="2" t="s">
        <v>146</v>
      </c>
      <c r="AC84" s="2" t="s">
        <v>146</v>
      </c>
      <c r="AD84" s="2" t="s">
        <v>146</v>
      </c>
      <c r="AE84" s="2" t="s">
        <v>146</v>
      </c>
      <c r="AF84" s="2" t="s">
        <v>146</v>
      </c>
      <c r="AG84" s="2" t="s">
        <v>146</v>
      </c>
      <c r="AH84" s="2" t="s">
        <v>146</v>
      </c>
      <c r="AI84" s="2" t="s">
        <v>146</v>
      </c>
      <c r="AJ84" s="2" t="s">
        <v>146</v>
      </c>
      <c r="AK84" s="2" t="s">
        <v>146</v>
      </c>
      <c r="AL84" s="2" t="s">
        <v>146</v>
      </c>
      <c r="AM84" s="2" t="s">
        <v>146</v>
      </c>
      <c r="AN84" s="2" t="s">
        <v>146</v>
      </c>
      <c r="AO84" s="2" t="s">
        <v>146</v>
      </c>
      <c r="AQ84" s="2">
        <f t="shared" si="11"/>
        <v>0</v>
      </c>
      <c r="AR84" s="2">
        <f t="shared" si="12"/>
        <v>0</v>
      </c>
      <c r="AT84" s="2">
        <f t="shared" si="13"/>
        <v>0</v>
      </c>
      <c r="AU84" s="2">
        <f t="shared" si="14"/>
        <v>0</v>
      </c>
      <c r="AV84" s="27" t="str">
        <f t="shared" si="15"/>
        <v/>
      </c>
      <c r="AY84" s="2">
        <f t="shared" si="16"/>
        <v>0</v>
      </c>
      <c r="AZ84" s="2">
        <f t="shared" si="17"/>
        <v>0</v>
      </c>
      <c r="BA84" s="2">
        <f t="shared" si="18"/>
        <v>0</v>
      </c>
      <c r="BB84" s="2">
        <f t="shared" si="19"/>
        <v>0</v>
      </c>
      <c r="BC84" s="2">
        <f t="shared" si="20"/>
        <v>0</v>
      </c>
      <c r="BD84" s="2">
        <f t="shared" si="21"/>
        <v>0</v>
      </c>
    </row>
    <row r="85" spans="1:56" ht="15" customHeight="1" x14ac:dyDescent="0.45">
      <c r="A85" s="2" t="s">
        <v>580</v>
      </c>
      <c r="B85" s="2" t="s">
        <v>579</v>
      </c>
      <c r="C85" s="2">
        <v>2019</v>
      </c>
      <c r="D85" s="2" t="s">
        <v>146</v>
      </c>
      <c r="E85" s="2" t="s">
        <v>146</v>
      </c>
      <c r="F85" s="2" t="s">
        <v>146</v>
      </c>
      <c r="G85" s="2" t="s">
        <v>146</v>
      </c>
      <c r="H85" s="2" t="s">
        <v>146</v>
      </c>
      <c r="I85" s="2" t="s">
        <v>146</v>
      </c>
      <c r="J85" s="2" t="s">
        <v>146</v>
      </c>
      <c r="K85" s="2" t="s">
        <v>146</v>
      </c>
      <c r="L85" s="2" t="s">
        <v>146</v>
      </c>
      <c r="M85" s="2" t="s">
        <v>146</v>
      </c>
      <c r="N85" s="2" t="s">
        <v>146</v>
      </c>
      <c r="O85" s="2" t="s">
        <v>146</v>
      </c>
      <c r="P85" s="2" t="s">
        <v>146</v>
      </c>
      <c r="Q85" s="2" t="s">
        <v>146</v>
      </c>
      <c r="R85" s="2" t="s">
        <v>146</v>
      </c>
      <c r="S85" s="2" t="s">
        <v>146</v>
      </c>
      <c r="T85" s="2" t="s">
        <v>146</v>
      </c>
      <c r="U85" s="2" t="s">
        <v>146</v>
      </c>
      <c r="V85" s="2" t="s">
        <v>146</v>
      </c>
      <c r="W85" s="2" t="s">
        <v>146</v>
      </c>
      <c r="X85" s="2" t="s">
        <v>146</v>
      </c>
      <c r="Y85" s="2" t="s">
        <v>146</v>
      </c>
      <c r="Z85" s="2" t="s">
        <v>146</v>
      </c>
      <c r="AA85" s="2" t="s">
        <v>146</v>
      </c>
      <c r="AB85" s="2" t="s">
        <v>146</v>
      </c>
      <c r="AC85" s="2" t="s">
        <v>146</v>
      </c>
      <c r="AD85" s="2" t="s">
        <v>146</v>
      </c>
      <c r="AE85" s="2" t="s">
        <v>146</v>
      </c>
      <c r="AF85" s="2" t="s">
        <v>146</v>
      </c>
      <c r="AG85" s="2" t="s">
        <v>146</v>
      </c>
      <c r="AH85" s="2" t="s">
        <v>146</v>
      </c>
      <c r="AI85" s="2" t="s">
        <v>146</v>
      </c>
      <c r="AJ85" s="2" t="s">
        <v>146</v>
      </c>
      <c r="AK85" s="2" t="s">
        <v>146</v>
      </c>
      <c r="AL85" s="2" t="s">
        <v>146</v>
      </c>
      <c r="AM85" s="2" t="s">
        <v>146</v>
      </c>
      <c r="AN85" s="2" t="s">
        <v>146</v>
      </c>
      <c r="AO85" s="2" t="s">
        <v>146</v>
      </c>
      <c r="AQ85" s="2">
        <f t="shared" si="11"/>
        <v>0</v>
      </c>
      <c r="AR85" s="2">
        <f t="shared" si="12"/>
        <v>0</v>
      </c>
      <c r="AT85" s="2">
        <f t="shared" si="13"/>
        <v>0</v>
      </c>
      <c r="AU85" s="2">
        <f t="shared" si="14"/>
        <v>0</v>
      </c>
      <c r="AV85" s="27" t="str">
        <f t="shared" si="15"/>
        <v/>
      </c>
      <c r="AY85" s="2">
        <f t="shared" si="16"/>
        <v>0</v>
      </c>
      <c r="AZ85" s="2">
        <f t="shared" si="17"/>
        <v>0</v>
      </c>
      <c r="BA85" s="2">
        <f t="shared" si="18"/>
        <v>0</v>
      </c>
      <c r="BB85" s="2">
        <f t="shared" si="19"/>
        <v>0</v>
      </c>
      <c r="BC85" s="2">
        <f t="shared" si="20"/>
        <v>0</v>
      </c>
      <c r="BD85" s="2">
        <f t="shared" si="21"/>
        <v>0</v>
      </c>
    </row>
    <row r="86" spans="1:56" ht="15" customHeight="1" x14ac:dyDescent="0.45">
      <c r="A86" s="2" t="s">
        <v>576</v>
      </c>
      <c r="B86" s="2" t="s">
        <v>578</v>
      </c>
      <c r="C86" s="2">
        <v>2019</v>
      </c>
      <c r="D86" s="2" t="s">
        <v>146</v>
      </c>
      <c r="E86" s="2" t="s">
        <v>146</v>
      </c>
      <c r="F86" s="2" t="s">
        <v>146</v>
      </c>
      <c r="G86" s="2" t="s">
        <v>146</v>
      </c>
      <c r="H86" s="2" t="s">
        <v>146</v>
      </c>
      <c r="I86" s="2" t="s">
        <v>146</v>
      </c>
      <c r="J86" s="2" t="s">
        <v>146</v>
      </c>
      <c r="K86" s="2" t="s">
        <v>146</v>
      </c>
      <c r="L86" s="2" t="s">
        <v>146</v>
      </c>
      <c r="M86" s="2" t="s">
        <v>146</v>
      </c>
      <c r="N86" s="2" t="s">
        <v>146</v>
      </c>
      <c r="O86" s="2" t="s">
        <v>146</v>
      </c>
      <c r="P86" s="2" t="s">
        <v>146</v>
      </c>
      <c r="Q86" s="2" t="s">
        <v>146</v>
      </c>
      <c r="R86" s="2" t="s">
        <v>146</v>
      </c>
      <c r="S86" s="2" t="s">
        <v>146</v>
      </c>
      <c r="T86" s="2" t="s">
        <v>146</v>
      </c>
      <c r="U86" s="2" t="s">
        <v>146</v>
      </c>
      <c r="V86" s="2" t="s">
        <v>146</v>
      </c>
      <c r="W86" s="2" t="s">
        <v>146</v>
      </c>
      <c r="X86" s="2" t="s">
        <v>146</v>
      </c>
      <c r="Y86" s="2" t="s">
        <v>146</v>
      </c>
      <c r="Z86" s="2" t="s">
        <v>146</v>
      </c>
      <c r="AA86" s="2" t="s">
        <v>146</v>
      </c>
      <c r="AB86" s="2" t="s">
        <v>146</v>
      </c>
      <c r="AC86" s="2" t="s">
        <v>146</v>
      </c>
      <c r="AD86" s="2" t="s">
        <v>146</v>
      </c>
      <c r="AE86" s="2" t="s">
        <v>146</v>
      </c>
      <c r="AF86" s="2" t="s">
        <v>146</v>
      </c>
      <c r="AG86" s="2" t="s">
        <v>146</v>
      </c>
      <c r="AH86" s="2" t="s">
        <v>146</v>
      </c>
      <c r="AI86" s="2" t="s">
        <v>146</v>
      </c>
      <c r="AJ86" s="2" t="s">
        <v>146</v>
      </c>
      <c r="AK86" s="2" t="s">
        <v>146</v>
      </c>
      <c r="AL86" s="2" t="s">
        <v>146</v>
      </c>
      <c r="AM86" s="2" t="s">
        <v>146</v>
      </c>
      <c r="AN86" s="2" t="s">
        <v>146</v>
      </c>
      <c r="AO86" s="2" t="s">
        <v>146</v>
      </c>
      <c r="AQ86" s="2">
        <f t="shared" si="11"/>
        <v>0</v>
      </c>
      <c r="AR86" s="2">
        <f t="shared" si="12"/>
        <v>0</v>
      </c>
      <c r="AT86" s="2">
        <f t="shared" si="13"/>
        <v>0</v>
      </c>
      <c r="AU86" s="2">
        <f t="shared" si="14"/>
        <v>0</v>
      </c>
      <c r="AV86" s="27" t="str">
        <f t="shared" si="15"/>
        <v/>
      </c>
      <c r="AY86" s="2">
        <f t="shared" si="16"/>
        <v>0</v>
      </c>
      <c r="AZ86" s="2">
        <f t="shared" si="17"/>
        <v>0</v>
      </c>
      <c r="BA86" s="2">
        <f t="shared" si="18"/>
        <v>0</v>
      </c>
      <c r="BB86" s="2">
        <f t="shared" si="19"/>
        <v>0</v>
      </c>
      <c r="BC86" s="2">
        <f t="shared" si="20"/>
        <v>0</v>
      </c>
      <c r="BD86" s="2">
        <f t="shared" si="21"/>
        <v>0</v>
      </c>
    </row>
    <row r="87" spans="1:56" ht="15" customHeight="1" x14ac:dyDescent="0.45">
      <c r="A87" s="2" t="s">
        <v>576</v>
      </c>
      <c r="B87" s="2" t="s">
        <v>577</v>
      </c>
      <c r="C87" s="2">
        <v>2019</v>
      </c>
      <c r="D87" s="2" t="s">
        <v>146</v>
      </c>
      <c r="E87" s="2" t="s">
        <v>146</v>
      </c>
      <c r="F87" s="2" t="s">
        <v>146</v>
      </c>
      <c r="G87" s="2" t="s">
        <v>146</v>
      </c>
      <c r="H87" s="2" t="s">
        <v>146</v>
      </c>
      <c r="I87" s="2" t="s">
        <v>146</v>
      </c>
      <c r="J87" s="2" t="s">
        <v>146</v>
      </c>
      <c r="K87" s="2" t="s">
        <v>146</v>
      </c>
      <c r="L87" s="2" t="s">
        <v>146</v>
      </c>
      <c r="M87" s="2" t="s">
        <v>146</v>
      </c>
      <c r="N87" s="2" t="s">
        <v>146</v>
      </c>
      <c r="O87" s="2" t="s">
        <v>146</v>
      </c>
      <c r="P87" s="2" t="s">
        <v>146</v>
      </c>
      <c r="Q87" s="2" t="s">
        <v>146</v>
      </c>
      <c r="R87" s="2" t="s">
        <v>146</v>
      </c>
      <c r="S87" s="2" t="s">
        <v>146</v>
      </c>
      <c r="T87" s="2" t="s">
        <v>146</v>
      </c>
      <c r="U87" s="2" t="s">
        <v>146</v>
      </c>
      <c r="V87" s="2" t="s">
        <v>146</v>
      </c>
      <c r="W87" s="2" t="s">
        <v>146</v>
      </c>
      <c r="X87" s="2" t="s">
        <v>146</v>
      </c>
      <c r="Y87" s="2" t="s">
        <v>146</v>
      </c>
      <c r="Z87" s="2" t="s">
        <v>146</v>
      </c>
      <c r="AA87" s="2" t="s">
        <v>146</v>
      </c>
      <c r="AB87" s="2" t="s">
        <v>146</v>
      </c>
      <c r="AC87" s="2" t="s">
        <v>146</v>
      </c>
      <c r="AD87" s="2" t="s">
        <v>146</v>
      </c>
      <c r="AE87" s="2" t="s">
        <v>146</v>
      </c>
      <c r="AF87" s="2" t="s">
        <v>146</v>
      </c>
      <c r="AG87" s="2" t="s">
        <v>146</v>
      </c>
      <c r="AH87" s="2" t="s">
        <v>146</v>
      </c>
      <c r="AI87" s="2" t="s">
        <v>146</v>
      </c>
      <c r="AJ87" s="2" t="s">
        <v>146</v>
      </c>
      <c r="AK87" s="2" t="s">
        <v>146</v>
      </c>
      <c r="AL87" s="2" t="s">
        <v>146</v>
      </c>
      <c r="AM87" s="2" t="s">
        <v>146</v>
      </c>
      <c r="AN87" s="2" t="s">
        <v>146</v>
      </c>
      <c r="AO87" s="2" t="s">
        <v>146</v>
      </c>
      <c r="AQ87" s="2">
        <f t="shared" si="11"/>
        <v>0</v>
      </c>
      <c r="AR87" s="2">
        <f t="shared" si="12"/>
        <v>0</v>
      </c>
      <c r="AT87" s="2">
        <f t="shared" si="13"/>
        <v>0</v>
      </c>
      <c r="AU87" s="2">
        <f t="shared" si="14"/>
        <v>0</v>
      </c>
      <c r="AV87" s="27" t="str">
        <f t="shared" si="15"/>
        <v/>
      </c>
      <c r="AY87" s="2">
        <f t="shared" si="16"/>
        <v>0</v>
      </c>
      <c r="AZ87" s="2">
        <f t="shared" si="17"/>
        <v>0</v>
      </c>
      <c r="BA87" s="2">
        <f t="shared" si="18"/>
        <v>0</v>
      </c>
      <c r="BB87" s="2">
        <f t="shared" si="19"/>
        <v>0</v>
      </c>
      <c r="BC87" s="2">
        <f t="shared" si="20"/>
        <v>0</v>
      </c>
      <c r="BD87" s="2">
        <f t="shared" si="21"/>
        <v>0</v>
      </c>
    </row>
    <row r="88" spans="1:56" ht="15" customHeight="1" x14ac:dyDescent="0.45">
      <c r="A88" s="2" t="s">
        <v>576</v>
      </c>
      <c r="B88" s="2" t="s">
        <v>575</v>
      </c>
      <c r="C88" s="2">
        <v>2019</v>
      </c>
      <c r="D88" s="2" t="s">
        <v>146</v>
      </c>
      <c r="E88" s="2" t="s">
        <v>146</v>
      </c>
      <c r="F88" s="2" t="s">
        <v>146</v>
      </c>
      <c r="G88" s="2" t="s">
        <v>146</v>
      </c>
      <c r="H88" s="2" t="s">
        <v>146</v>
      </c>
      <c r="I88" s="2" t="s">
        <v>146</v>
      </c>
      <c r="J88" s="2" t="s">
        <v>146</v>
      </c>
      <c r="K88" s="2" t="s">
        <v>146</v>
      </c>
      <c r="L88" s="2" t="s">
        <v>146</v>
      </c>
      <c r="M88" s="2" t="s">
        <v>146</v>
      </c>
      <c r="N88" s="2" t="s">
        <v>146</v>
      </c>
      <c r="O88" s="2" t="s">
        <v>146</v>
      </c>
      <c r="P88" s="2" t="s">
        <v>146</v>
      </c>
      <c r="Q88" s="2" t="s">
        <v>146</v>
      </c>
      <c r="R88" s="2" t="s">
        <v>146</v>
      </c>
      <c r="S88" s="2" t="s">
        <v>146</v>
      </c>
      <c r="T88" s="2" t="s">
        <v>146</v>
      </c>
      <c r="U88" s="2" t="s">
        <v>146</v>
      </c>
      <c r="V88" s="2" t="s">
        <v>146</v>
      </c>
      <c r="W88" s="2" t="s">
        <v>146</v>
      </c>
      <c r="X88" s="2" t="s">
        <v>146</v>
      </c>
      <c r="Y88" s="2" t="s">
        <v>146</v>
      </c>
      <c r="Z88" s="2" t="s">
        <v>146</v>
      </c>
      <c r="AA88" s="2" t="s">
        <v>146</v>
      </c>
      <c r="AB88" s="2" t="s">
        <v>146</v>
      </c>
      <c r="AC88" s="2" t="s">
        <v>146</v>
      </c>
      <c r="AD88" s="2" t="s">
        <v>146</v>
      </c>
      <c r="AE88" s="2" t="s">
        <v>146</v>
      </c>
      <c r="AF88" s="2" t="s">
        <v>146</v>
      </c>
      <c r="AG88" s="2" t="s">
        <v>146</v>
      </c>
      <c r="AH88" s="2" t="s">
        <v>146</v>
      </c>
      <c r="AI88" s="2" t="s">
        <v>146</v>
      </c>
      <c r="AJ88" s="2" t="s">
        <v>146</v>
      </c>
      <c r="AK88" s="2" t="s">
        <v>146</v>
      </c>
      <c r="AL88" s="2" t="s">
        <v>146</v>
      </c>
      <c r="AM88" s="2" t="s">
        <v>146</v>
      </c>
      <c r="AN88" s="2" t="s">
        <v>146</v>
      </c>
      <c r="AO88" s="2" t="s">
        <v>146</v>
      </c>
      <c r="AQ88" s="2">
        <f t="shared" si="11"/>
        <v>0</v>
      </c>
      <c r="AR88" s="2">
        <f t="shared" si="12"/>
        <v>0</v>
      </c>
      <c r="AT88" s="2">
        <f t="shared" si="13"/>
        <v>0</v>
      </c>
      <c r="AU88" s="2">
        <f t="shared" si="14"/>
        <v>0</v>
      </c>
      <c r="AV88" s="27" t="str">
        <f t="shared" si="15"/>
        <v/>
      </c>
      <c r="AY88" s="2">
        <f t="shared" si="16"/>
        <v>0</v>
      </c>
      <c r="AZ88" s="2">
        <f t="shared" si="17"/>
        <v>0</v>
      </c>
      <c r="BA88" s="2">
        <f t="shared" si="18"/>
        <v>0</v>
      </c>
      <c r="BB88" s="2">
        <f t="shared" si="19"/>
        <v>0</v>
      </c>
      <c r="BC88" s="2">
        <f t="shared" si="20"/>
        <v>0</v>
      </c>
      <c r="BD88" s="2">
        <f t="shared" si="21"/>
        <v>0</v>
      </c>
    </row>
    <row r="89" spans="1:56" ht="15" customHeight="1" x14ac:dyDescent="0.45">
      <c r="A89" s="2" t="s">
        <v>571</v>
      </c>
      <c r="B89" s="2" t="s">
        <v>574</v>
      </c>
      <c r="C89" s="2">
        <v>2019</v>
      </c>
      <c r="D89" s="2" t="s">
        <v>146</v>
      </c>
      <c r="E89" s="2" t="s">
        <v>146</v>
      </c>
      <c r="F89" s="2" t="s">
        <v>146</v>
      </c>
      <c r="G89" s="2" t="s">
        <v>146</v>
      </c>
      <c r="H89" s="2" t="s">
        <v>146</v>
      </c>
      <c r="I89" s="2" t="s">
        <v>146</v>
      </c>
      <c r="J89" s="2" t="s">
        <v>146</v>
      </c>
      <c r="K89" s="2" t="s">
        <v>146</v>
      </c>
      <c r="L89" s="2" t="s">
        <v>146</v>
      </c>
      <c r="M89" s="2" t="s">
        <v>146</v>
      </c>
      <c r="N89" s="2" t="s">
        <v>146</v>
      </c>
      <c r="O89" s="2" t="s">
        <v>146</v>
      </c>
      <c r="P89" s="2" t="s">
        <v>146</v>
      </c>
      <c r="Q89" s="2" t="s">
        <v>146</v>
      </c>
      <c r="R89" s="2" t="s">
        <v>146</v>
      </c>
      <c r="S89" s="2" t="s">
        <v>146</v>
      </c>
      <c r="T89" s="2" t="s">
        <v>146</v>
      </c>
      <c r="U89" s="2" t="s">
        <v>146</v>
      </c>
      <c r="V89" s="2" t="s">
        <v>146</v>
      </c>
      <c r="W89" s="2" t="s">
        <v>146</v>
      </c>
      <c r="X89" s="2" t="s">
        <v>146</v>
      </c>
      <c r="Y89" s="2" t="s">
        <v>146</v>
      </c>
      <c r="Z89" s="2" t="s">
        <v>146</v>
      </c>
      <c r="AA89" s="2" t="s">
        <v>146</v>
      </c>
      <c r="AB89" s="2" t="s">
        <v>146</v>
      </c>
      <c r="AC89" s="2" t="s">
        <v>146</v>
      </c>
      <c r="AD89" s="2" t="s">
        <v>146</v>
      </c>
      <c r="AE89" s="2" t="s">
        <v>146</v>
      </c>
      <c r="AF89" s="2" t="s">
        <v>146</v>
      </c>
      <c r="AG89" s="2" t="s">
        <v>146</v>
      </c>
      <c r="AH89" s="2" t="s">
        <v>146</v>
      </c>
      <c r="AI89" s="2" t="s">
        <v>146</v>
      </c>
      <c r="AJ89" s="2" t="s">
        <v>146</v>
      </c>
      <c r="AK89" s="2" t="s">
        <v>146</v>
      </c>
      <c r="AL89" s="2" t="s">
        <v>146</v>
      </c>
      <c r="AM89" s="2" t="s">
        <v>146</v>
      </c>
      <c r="AN89" s="2" t="s">
        <v>146</v>
      </c>
      <c r="AO89" s="2" t="s">
        <v>146</v>
      </c>
      <c r="AQ89" s="2">
        <f t="shared" si="11"/>
        <v>0</v>
      </c>
      <c r="AR89" s="2">
        <f t="shared" si="12"/>
        <v>0</v>
      </c>
      <c r="AT89" s="2">
        <f t="shared" si="13"/>
        <v>0</v>
      </c>
      <c r="AU89" s="2">
        <f t="shared" si="14"/>
        <v>0</v>
      </c>
      <c r="AV89" s="27" t="str">
        <f t="shared" si="15"/>
        <v/>
      </c>
      <c r="AY89" s="2">
        <f t="shared" si="16"/>
        <v>0</v>
      </c>
      <c r="AZ89" s="2">
        <f t="shared" si="17"/>
        <v>0</v>
      </c>
      <c r="BA89" s="2">
        <f t="shared" si="18"/>
        <v>0</v>
      </c>
      <c r="BB89" s="2">
        <f t="shared" si="19"/>
        <v>0</v>
      </c>
      <c r="BC89" s="2">
        <f t="shared" si="20"/>
        <v>0</v>
      </c>
      <c r="BD89" s="2">
        <f t="shared" si="21"/>
        <v>0</v>
      </c>
    </row>
    <row r="90" spans="1:56" ht="15" customHeight="1" x14ac:dyDescent="0.45">
      <c r="A90" s="2" t="s">
        <v>571</v>
      </c>
      <c r="B90" s="2" t="s">
        <v>573</v>
      </c>
      <c r="C90" s="2">
        <v>2019</v>
      </c>
      <c r="D90" s="2" t="s">
        <v>146</v>
      </c>
      <c r="E90" s="2" t="s">
        <v>146</v>
      </c>
      <c r="F90" s="2" t="s">
        <v>146</v>
      </c>
      <c r="G90" s="2" t="s">
        <v>146</v>
      </c>
      <c r="H90" s="2" t="s">
        <v>146</v>
      </c>
      <c r="I90" s="2" t="s">
        <v>146</v>
      </c>
      <c r="J90" s="2" t="s">
        <v>146</v>
      </c>
      <c r="K90" s="2" t="s">
        <v>146</v>
      </c>
      <c r="L90" s="2" t="s">
        <v>146</v>
      </c>
      <c r="M90" s="2" t="s">
        <v>146</v>
      </c>
      <c r="N90" s="2" t="s">
        <v>146</v>
      </c>
      <c r="O90" s="2" t="s">
        <v>146</v>
      </c>
      <c r="P90" s="2" t="s">
        <v>146</v>
      </c>
      <c r="Q90" s="2" t="s">
        <v>146</v>
      </c>
      <c r="R90" s="2" t="s">
        <v>146</v>
      </c>
      <c r="S90" s="2" t="s">
        <v>146</v>
      </c>
      <c r="T90" s="2" t="s">
        <v>146</v>
      </c>
      <c r="U90" s="2" t="s">
        <v>146</v>
      </c>
      <c r="V90" s="2" t="s">
        <v>146</v>
      </c>
      <c r="W90" s="2" t="s">
        <v>146</v>
      </c>
      <c r="X90" s="2" t="s">
        <v>146</v>
      </c>
      <c r="Y90" s="2" t="s">
        <v>146</v>
      </c>
      <c r="Z90" s="2" t="s">
        <v>146</v>
      </c>
      <c r="AA90" s="2" t="s">
        <v>146</v>
      </c>
      <c r="AB90" s="2" t="s">
        <v>146</v>
      </c>
      <c r="AC90" s="2" t="s">
        <v>146</v>
      </c>
      <c r="AD90" s="2" t="s">
        <v>146</v>
      </c>
      <c r="AE90" s="2" t="s">
        <v>146</v>
      </c>
      <c r="AF90" s="2" t="s">
        <v>146</v>
      </c>
      <c r="AG90" s="2" t="s">
        <v>146</v>
      </c>
      <c r="AH90" s="2" t="s">
        <v>146</v>
      </c>
      <c r="AI90" s="2" t="s">
        <v>146</v>
      </c>
      <c r="AJ90" s="2" t="s">
        <v>146</v>
      </c>
      <c r="AK90" s="2" t="s">
        <v>146</v>
      </c>
      <c r="AL90" s="2" t="s">
        <v>146</v>
      </c>
      <c r="AM90" s="2" t="s">
        <v>146</v>
      </c>
      <c r="AN90" s="2" t="s">
        <v>146</v>
      </c>
      <c r="AO90" s="2" t="s">
        <v>146</v>
      </c>
      <c r="AQ90" s="2">
        <f t="shared" si="11"/>
        <v>0</v>
      </c>
      <c r="AR90" s="2">
        <f t="shared" si="12"/>
        <v>0</v>
      </c>
      <c r="AT90" s="2">
        <f t="shared" si="13"/>
        <v>0</v>
      </c>
      <c r="AU90" s="2">
        <f t="shared" si="14"/>
        <v>0</v>
      </c>
      <c r="AV90" s="27" t="str">
        <f t="shared" si="15"/>
        <v/>
      </c>
      <c r="AY90" s="2">
        <f t="shared" si="16"/>
        <v>0</v>
      </c>
      <c r="AZ90" s="2">
        <f t="shared" si="17"/>
        <v>0</v>
      </c>
      <c r="BA90" s="2">
        <f t="shared" si="18"/>
        <v>0</v>
      </c>
      <c r="BB90" s="2">
        <f t="shared" si="19"/>
        <v>0</v>
      </c>
      <c r="BC90" s="2">
        <f t="shared" si="20"/>
        <v>0</v>
      </c>
      <c r="BD90" s="2">
        <f t="shared" si="21"/>
        <v>0</v>
      </c>
    </row>
    <row r="91" spans="1:56" ht="15" customHeight="1" x14ac:dyDescent="0.45">
      <c r="A91" s="2" t="s">
        <v>571</v>
      </c>
      <c r="B91" s="2" t="s">
        <v>572</v>
      </c>
      <c r="C91" s="2">
        <v>2019</v>
      </c>
      <c r="D91" s="2" t="s">
        <v>146</v>
      </c>
      <c r="E91" s="2" t="s">
        <v>146</v>
      </c>
      <c r="F91" s="2" t="s">
        <v>146</v>
      </c>
      <c r="G91" s="2" t="s">
        <v>146</v>
      </c>
      <c r="H91" s="2" t="s">
        <v>146</v>
      </c>
      <c r="I91" s="2" t="s">
        <v>146</v>
      </c>
      <c r="J91" s="2" t="s">
        <v>146</v>
      </c>
      <c r="K91" s="2" t="s">
        <v>146</v>
      </c>
      <c r="L91" s="2" t="s">
        <v>146</v>
      </c>
      <c r="M91" s="2" t="s">
        <v>146</v>
      </c>
      <c r="N91" s="2" t="s">
        <v>146</v>
      </c>
      <c r="O91" s="2" t="s">
        <v>146</v>
      </c>
      <c r="P91" s="2" t="s">
        <v>146</v>
      </c>
      <c r="Q91" s="2" t="s">
        <v>146</v>
      </c>
      <c r="R91" s="2" t="s">
        <v>146</v>
      </c>
      <c r="S91" s="2" t="s">
        <v>146</v>
      </c>
      <c r="T91" s="2" t="s">
        <v>146</v>
      </c>
      <c r="U91" s="2" t="s">
        <v>146</v>
      </c>
      <c r="V91" s="2" t="s">
        <v>146</v>
      </c>
      <c r="W91" s="2" t="s">
        <v>146</v>
      </c>
      <c r="X91" s="2" t="s">
        <v>146</v>
      </c>
      <c r="Y91" s="2" t="s">
        <v>146</v>
      </c>
      <c r="Z91" s="2" t="s">
        <v>146</v>
      </c>
      <c r="AA91" s="2" t="s">
        <v>146</v>
      </c>
      <c r="AB91" s="2" t="s">
        <v>146</v>
      </c>
      <c r="AC91" s="2" t="s">
        <v>146</v>
      </c>
      <c r="AD91" s="2" t="s">
        <v>146</v>
      </c>
      <c r="AE91" s="2" t="s">
        <v>146</v>
      </c>
      <c r="AF91" s="2" t="s">
        <v>146</v>
      </c>
      <c r="AG91" s="2" t="s">
        <v>146</v>
      </c>
      <c r="AH91" s="2" t="s">
        <v>146</v>
      </c>
      <c r="AI91" s="2" t="s">
        <v>146</v>
      </c>
      <c r="AJ91" s="2" t="s">
        <v>146</v>
      </c>
      <c r="AK91" s="2" t="s">
        <v>146</v>
      </c>
      <c r="AL91" s="2" t="s">
        <v>146</v>
      </c>
      <c r="AM91" s="2" t="s">
        <v>146</v>
      </c>
      <c r="AN91" s="2" t="s">
        <v>146</v>
      </c>
      <c r="AO91" s="2" t="s">
        <v>146</v>
      </c>
      <c r="AQ91" s="2">
        <f t="shared" si="11"/>
        <v>0</v>
      </c>
      <c r="AR91" s="2">
        <f t="shared" si="12"/>
        <v>0</v>
      </c>
      <c r="AT91" s="2">
        <f t="shared" si="13"/>
        <v>0</v>
      </c>
      <c r="AU91" s="2">
        <f t="shared" si="14"/>
        <v>0</v>
      </c>
      <c r="AV91" s="27" t="str">
        <f t="shared" si="15"/>
        <v/>
      </c>
      <c r="AY91" s="2">
        <f t="shared" si="16"/>
        <v>0</v>
      </c>
      <c r="AZ91" s="2">
        <f t="shared" si="17"/>
        <v>0</v>
      </c>
      <c r="BA91" s="2">
        <f t="shared" si="18"/>
        <v>0</v>
      </c>
      <c r="BB91" s="2">
        <f t="shared" si="19"/>
        <v>0</v>
      </c>
      <c r="BC91" s="2">
        <f t="shared" si="20"/>
        <v>0</v>
      </c>
      <c r="BD91" s="2">
        <f t="shared" si="21"/>
        <v>0</v>
      </c>
    </row>
    <row r="92" spans="1:56" ht="15" customHeight="1" x14ac:dyDescent="0.45">
      <c r="A92" s="2" t="s">
        <v>571</v>
      </c>
      <c r="B92" s="2" t="s">
        <v>570</v>
      </c>
      <c r="C92" s="2">
        <v>2019</v>
      </c>
      <c r="D92" s="2" t="s">
        <v>146</v>
      </c>
      <c r="E92" s="2" t="s">
        <v>146</v>
      </c>
      <c r="F92" s="2" t="s">
        <v>146</v>
      </c>
      <c r="G92" s="2" t="s">
        <v>146</v>
      </c>
      <c r="H92" s="2" t="s">
        <v>146</v>
      </c>
      <c r="I92" s="2" t="s">
        <v>146</v>
      </c>
      <c r="J92" s="2" t="s">
        <v>146</v>
      </c>
      <c r="K92" s="2" t="s">
        <v>146</v>
      </c>
      <c r="L92" s="2" t="s">
        <v>146</v>
      </c>
      <c r="M92" s="2" t="s">
        <v>146</v>
      </c>
      <c r="N92" s="2" t="s">
        <v>146</v>
      </c>
      <c r="O92" s="2" t="s">
        <v>146</v>
      </c>
      <c r="P92" s="2" t="s">
        <v>146</v>
      </c>
      <c r="Q92" s="2" t="s">
        <v>146</v>
      </c>
      <c r="R92" s="2" t="s">
        <v>146</v>
      </c>
      <c r="S92" s="2" t="s">
        <v>146</v>
      </c>
      <c r="T92" s="2" t="s">
        <v>146</v>
      </c>
      <c r="U92" s="2" t="s">
        <v>146</v>
      </c>
      <c r="V92" s="2" t="s">
        <v>146</v>
      </c>
      <c r="W92" s="2" t="s">
        <v>146</v>
      </c>
      <c r="X92" s="2" t="s">
        <v>146</v>
      </c>
      <c r="Y92" s="2" t="s">
        <v>146</v>
      </c>
      <c r="Z92" s="2" t="s">
        <v>146</v>
      </c>
      <c r="AA92" s="2" t="s">
        <v>146</v>
      </c>
      <c r="AB92" s="2" t="s">
        <v>146</v>
      </c>
      <c r="AC92" s="2" t="s">
        <v>146</v>
      </c>
      <c r="AD92" s="2" t="s">
        <v>146</v>
      </c>
      <c r="AE92" s="2" t="s">
        <v>146</v>
      </c>
      <c r="AF92" s="2" t="s">
        <v>146</v>
      </c>
      <c r="AG92" s="2" t="s">
        <v>146</v>
      </c>
      <c r="AH92" s="2" t="s">
        <v>146</v>
      </c>
      <c r="AI92" s="2" t="s">
        <v>146</v>
      </c>
      <c r="AJ92" s="2" t="s">
        <v>146</v>
      </c>
      <c r="AK92" s="2" t="s">
        <v>146</v>
      </c>
      <c r="AL92" s="2" t="s">
        <v>146</v>
      </c>
      <c r="AM92" s="2" t="s">
        <v>146</v>
      </c>
      <c r="AN92" s="2" t="s">
        <v>146</v>
      </c>
      <c r="AO92" s="2" t="s">
        <v>146</v>
      </c>
      <c r="AQ92" s="2">
        <f t="shared" si="11"/>
        <v>0</v>
      </c>
      <c r="AR92" s="2">
        <f t="shared" si="12"/>
        <v>0</v>
      </c>
      <c r="AT92" s="2">
        <f t="shared" si="13"/>
        <v>0</v>
      </c>
      <c r="AU92" s="2">
        <f t="shared" si="14"/>
        <v>0</v>
      </c>
      <c r="AV92" s="27" t="str">
        <f t="shared" si="15"/>
        <v/>
      </c>
      <c r="AY92" s="2">
        <f t="shared" si="16"/>
        <v>0</v>
      </c>
      <c r="AZ92" s="2">
        <f t="shared" si="17"/>
        <v>0</v>
      </c>
      <c r="BA92" s="2">
        <f t="shared" si="18"/>
        <v>0</v>
      </c>
      <c r="BB92" s="2">
        <f t="shared" si="19"/>
        <v>0</v>
      </c>
      <c r="BC92" s="2">
        <f t="shared" si="20"/>
        <v>0</v>
      </c>
      <c r="BD92" s="2">
        <f t="shared" si="21"/>
        <v>0</v>
      </c>
    </row>
    <row r="93" spans="1:56" ht="15" customHeight="1" x14ac:dyDescent="0.45">
      <c r="A93" s="2" t="s">
        <v>568</v>
      </c>
      <c r="B93" s="2" t="s">
        <v>567</v>
      </c>
      <c r="C93" s="2">
        <v>2019</v>
      </c>
      <c r="D93" s="2">
        <v>163.4</v>
      </c>
      <c r="E93" s="2">
        <v>32.799999999999997</v>
      </c>
      <c r="F93" s="2" t="s">
        <v>146</v>
      </c>
      <c r="G93" s="2" t="s">
        <v>146</v>
      </c>
      <c r="H93" s="2" t="s">
        <v>146</v>
      </c>
      <c r="I93" s="2">
        <v>265.3</v>
      </c>
      <c r="J93" s="2" t="s">
        <v>146</v>
      </c>
      <c r="K93" s="2" t="s">
        <v>146</v>
      </c>
      <c r="L93" s="2" t="s">
        <v>146</v>
      </c>
      <c r="M93" s="2" t="s">
        <v>146</v>
      </c>
      <c r="N93" s="2" t="s">
        <v>146</v>
      </c>
      <c r="O93" s="2" t="s">
        <v>146</v>
      </c>
      <c r="P93" s="2" t="s">
        <v>146</v>
      </c>
      <c r="Q93" s="2">
        <v>10</v>
      </c>
      <c r="R93" s="2">
        <v>10</v>
      </c>
      <c r="S93" s="2">
        <v>40</v>
      </c>
      <c r="T93" s="2">
        <v>57</v>
      </c>
      <c r="U93" s="2" t="s">
        <v>146</v>
      </c>
      <c r="V93" s="2" t="s">
        <v>146</v>
      </c>
      <c r="W93" s="2" t="s">
        <v>146</v>
      </c>
      <c r="X93" s="2" t="s">
        <v>146</v>
      </c>
      <c r="Y93" s="2" t="s">
        <v>146</v>
      </c>
      <c r="Z93" s="2" t="s">
        <v>146</v>
      </c>
      <c r="AA93" s="2" t="s">
        <v>146</v>
      </c>
      <c r="AB93" s="2" t="s">
        <v>146</v>
      </c>
      <c r="AC93" s="2" t="s">
        <v>146</v>
      </c>
      <c r="AD93" s="2" t="s">
        <v>146</v>
      </c>
      <c r="AE93" s="2">
        <v>127.8</v>
      </c>
      <c r="AF93" s="2" t="s">
        <v>146</v>
      </c>
      <c r="AG93" s="2" t="s">
        <v>146</v>
      </c>
      <c r="AH93" s="2" t="s">
        <v>146</v>
      </c>
      <c r="AI93" s="2" t="s">
        <v>146</v>
      </c>
      <c r="AJ93" s="2" t="s">
        <v>146</v>
      </c>
      <c r="AK93" s="2">
        <v>20.5</v>
      </c>
      <c r="AL93" s="2">
        <v>56</v>
      </c>
      <c r="AM93" s="2" t="s">
        <v>146</v>
      </c>
      <c r="AN93" s="2" t="s">
        <v>146</v>
      </c>
      <c r="AO93" s="2">
        <v>44</v>
      </c>
      <c r="AQ93" s="2">
        <f t="shared" si="11"/>
        <v>244.8</v>
      </c>
      <c r="AR93" s="2">
        <f t="shared" si="12"/>
        <v>265.3</v>
      </c>
      <c r="AT93" s="2">
        <f t="shared" si="13"/>
        <v>163.4</v>
      </c>
      <c r="AU93" s="2">
        <f t="shared" si="14"/>
        <v>32.799999999999997</v>
      </c>
      <c r="AV93" s="27">
        <f t="shared" si="15"/>
        <v>0.73954014323407458</v>
      </c>
      <c r="AY93" s="2">
        <f t="shared" si="16"/>
        <v>20.5</v>
      </c>
      <c r="AZ93" s="2">
        <f t="shared" si="17"/>
        <v>11.48</v>
      </c>
      <c r="BA93" s="2">
        <f t="shared" si="18"/>
        <v>0</v>
      </c>
      <c r="BB93" s="2">
        <f t="shared" si="19"/>
        <v>0</v>
      </c>
      <c r="BC93" s="2">
        <f t="shared" si="20"/>
        <v>9.02</v>
      </c>
      <c r="BD93" s="2">
        <f t="shared" si="21"/>
        <v>0</v>
      </c>
    </row>
    <row r="94" spans="1:56" ht="15" customHeight="1" x14ac:dyDescent="0.45">
      <c r="A94" s="2" t="s">
        <v>566</v>
      </c>
      <c r="B94" s="2" t="s">
        <v>565</v>
      </c>
      <c r="C94" s="2">
        <v>2019</v>
      </c>
      <c r="D94" s="2">
        <v>212.821</v>
      </c>
      <c r="E94" s="2">
        <v>73.155000000000001</v>
      </c>
      <c r="F94" s="2" t="s">
        <v>146</v>
      </c>
      <c r="G94" s="2" t="s">
        <v>146</v>
      </c>
      <c r="H94" s="2" t="s">
        <v>146</v>
      </c>
      <c r="I94" s="2">
        <v>406.66699999999997</v>
      </c>
      <c r="J94" s="2" t="s">
        <v>146</v>
      </c>
      <c r="K94" s="2" t="s">
        <v>146</v>
      </c>
      <c r="L94" s="2" t="s">
        <v>146</v>
      </c>
      <c r="M94" s="2" t="s">
        <v>146</v>
      </c>
      <c r="N94" s="2" t="s">
        <v>146</v>
      </c>
      <c r="O94" s="2" t="s">
        <v>146</v>
      </c>
      <c r="P94" s="2" t="s">
        <v>146</v>
      </c>
      <c r="Q94" s="2">
        <v>38.518999999999998</v>
      </c>
      <c r="R94" s="2">
        <v>122.663</v>
      </c>
      <c r="S94" s="2">
        <v>27.803999999999998</v>
      </c>
      <c r="T94" s="2" t="s">
        <v>146</v>
      </c>
      <c r="U94" s="2" t="s">
        <v>146</v>
      </c>
      <c r="V94" s="2" t="s">
        <v>146</v>
      </c>
      <c r="W94" s="2" t="s">
        <v>147</v>
      </c>
      <c r="X94" s="2" t="s">
        <v>146</v>
      </c>
      <c r="Y94" s="2" t="s">
        <v>146</v>
      </c>
      <c r="Z94" s="2" t="s">
        <v>146</v>
      </c>
      <c r="AA94" s="2">
        <v>140.51400000000001</v>
      </c>
      <c r="AB94" s="2" t="s">
        <v>146</v>
      </c>
      <c r="AC94" s="2">
        <v>0.29199999999999998</v>
      </c>
      <c r="AD94" s="2" t="s">
        <v>146</v>
      </c>
      <c r="AE94" s="2" t="s">
        <v>146</v>
      </c>
      <c r="AF94" s="2" t="s">
        <v>146</v>
      </c>
      <c r="AG94" s="2" t="s">
        <v>146</v>
      </c>
      <c r="AH94" s="2" t="s">
        <v>146</v>
      </c>
      <c r="AI94" s="2" t="s">
        <v>146</v>
      </c>
      <c r="AJ94" s="2" t="s">
        <v>146</v>
      </c>
      <c r="AK94" s="2">
        <v>76.875</v>
      </c>
      <c r="AL94" s="2">
        <v>100</v>
      </c>
      <c r="AM94" s="2">
        <v>0</v>
      </c>
      <c r="AN94" s="2">
        <v>0</v>
      </c>
      <c r="AO94" s="2">
        <v>0</v>
      </c>
      <c r="AQ94" s="2">
        <f t="shared" si="11"/>
        <v>329.79199999999997</v>
      </c>
      <c r="AR94" s="2">
        <f t="shared" si="12"/>
        <v>406.66699999999997</v>
      </c>
      <c r="AT94" s="2">
        <f t="shared" si="13"/>
        <v>212.821</v>
      </c>
      <c r="AU94" s="2">
        <f t="shared" si="14"/>
        <v>73.155000000000001</v>
      </c>
      <c r="AV94" s="27">
        <f t="shared" si="15"/>
        <v>0.70321909572205277</v>
      </c>
      <c r="AY94" s="2">
        <f t="shared" si="16"/>
        <v>76.875</v>
      </c>
      <c r="AZ94" s="2">
        <f t="shared" si="17"/>
        <v>76.875</v>
      </c>
      <c r="BA94" s="2">
        <f t="shared" si="18"/>
        <v>0</v>
      </c>
      <c r="BB94" s="2">
        <f t="shared" si="19"/>
        <v>0</v>
      </c>
      <c r="BC94" s="2">
        <f t="shared" si="20"/>
        <v>0</v>
      </c>
      <c r="BD94" s="2">
        <f t="shared" si="21"/>
        <v>0</v>
      </c>
    </row>
    <row r="95" spans="1:56" ht="15" customHeight="1" x14ac:dyDescent="0.45">
      <c r="A95" s="2" t="s">
        <v>560</v>
      </c>
      <c r="B95" s="2" t="s">
        <v>564</v>
      </c>
      <c r="C95" s="2">
        <v>2019</v>
      </c>
      <c r="D95" s="2" t="s">
        <v>146</v>
      </c>
      <c r="E95" s="2" t="s">
        <v>146</v>
      </c>
      <c r="F95" s="2" t="s">
        <v>146</v>
      </c>
      <c r="G95" s="2" t="s">
        <v>146</v>
      </c>
      <c r="H95" s="2" t="s">
        <v>146</v>
      </c>
      <c r="I95" s="2" t="s">
        <v>146</v>
      </c>
      <c r="J95" s="2" t="s">
        <v>146</v>
      </c>
      <c r="K95" s="2" t="s">
        <v>146</v>
      </c>
      <c r="L95" s="2" t="s">
        <v>146</v>
      </c>
      <c r="M95" s="2" t="s">
        <v>146</v>
      </c>
      <c r="N95" s="2" t="s">
        <v>146</v>
      </c>
      <c r="O95" s="2" t="s">
        <v>146</v>
      </c>
      <c r="P95" s="2" t="s">
        <v>146</v>
      </c>
      <c r="Q95" s="2" t="s">
        <v>146</v>
      </c>
      <c r="R95" s="2" t="s">
        <v>146</v>
      </c>
      <c r="S95" s="2" t="s">
        <v>146</v>
      </c>
      <c r="T95" s="2" t="s">
        <v>146</v>
      </c>
      <c r="U95" s="2" t="s">
        <v>146</v>
      </c>
      <c r="V95" s="2" t="s">
        <v>146</v>
      </c>
      <c r="W95" s="2" t="s">
        <v>146</v>
      </c>
      <c r="X95" s="2" t="s">
        <v>146</v>
      </c>
      <c r="Y95" s="2" t="s">
        <v>146</v>
      </c>
      <c r="Z95" s="2" t="s">
        <v>146</v>
      </c>
      <c r="AA95" s="2" t="s">
        <v>146</v>
      </c>
      <c r="AB95" s="2" t="s">
        <v>146</v>
      </c>
      <c r="AC95" s="2" t="s">
        <v>146</v>
      </c>
      <c r="AD95" s="2" t="s">
        <v>146</v>
      </c>
      <c r="AE95" s="2" t="s">
        <v>146</v>
      </c>
      <c r="AF95" s="2" t="s">
        <v>146</v>
      </c>
      <c r="AG95" s="2" t="s">
        <v>146</v>
      </c>
      <c r="AH95" s="2" t="s">
        <v>146</v>
      </c>
      <c r="AI95" s="2" t="s">
        <v>146</v>
      </c>
      <c r="AJ95" s="2" t="s">
        <v>146</v>
      </c>
      <c r="AK95" s="2" t="s">
        <v>146</v>
      </c>
      <c r="AL95" s="2" t="s">
        <v>146</v>
      </c>
      <c r="AM95" s="2" t="s">
        <v>146</v>
      </c>
      <c r="AN95" s="2" t="s">
        <v>146</v>
      </c>
      <c r="AO95" s="2" t="s">
        <v>146</v>
      </c>
      <c r="AQ95" s="2">
        <f t="shared" si="11"/>
        <v>0</v>
      </c>
      <c r="AR95" s="2">
        <f t="shared" si="12"/>
        <v>0</v>
      </c>
      <c r="AT95" s="2">
        <f t="shared" si="13"/>
        <v>0</v>
      </c>
      <c r="AU95" s="2">
        <f t="shared" si="14"/>
        <v>0</v>
      </c>
      <c r="AV95" s="27" t="str">
        <f t="shared" si="15"/>
        <v/>
      </c>
      <c r="AY95" s="2">
        <f t="shared" si="16"/>
        <v>0</v>
      </c>
      <c r="AZ95" s="2">
        <f t="shared" si="17"/>
        <v>0</v>
      </c>
      <c r="BA95" s="2">
        <f t="shared" si="18"/>
        <v>0</v>
      </c>
      <c r="BB95" s="2">
        <f t="shared" si="19"/>
        <v>0</v>
      </c>
      <c r="BC95" s="2">
        <f t="shared" si="20"/>
        <v>0</v>
      </c>
      <c r="BD95" s="2">
        <f t="shared" si="21"/>
        <v>0</v>
      </c>
    </row>
    <row r="96" spans="1:56" ht="15" customHeight="1" x14ac:dyDescent="0.45">
      <c r="A96" s="2" t="s">
        <v>560</v>
      </c>
      <c r="B96" s="2" t="s">
        <v>563</v>
      </c>
      <c r="C96" s="2">
        <v>2019</v>
      </c>
      <c r="D96" s="2">
        <v>666.76900000000001</v>
      </c>
      <c r="E96" s="2">
        <v>430.16199999999998</v>
      </c>
      <c r="F96" s="2" t="s">
        <v>146</v>
      </c>
      <c r="G96" s="2" t="s">
        <v>146</v>
      </c>
      <c r="H96" s="2" t="s">
        <v>146</v>
      </c>
      <c r="I96" s="2">
        <v>1283.1410000000001</v>
      </c>
      <c r="J96" s="2" t="s">
        <v>146</v>
      </c>
      <c r="K96" s="2" t="s">
        <v>146</v>
      </c>
      <c r="L96" s="2" t="s">
        <v>146</v>
      </c>
      <c r="M96" s="2" t="s">
        <v>146</v>
      </c>
      <c r="N96" s="2">
        <v>986.08</v>
      </c>
      <c r="O96" s="2" t="s">
        <v>146</v>
      </c>
      <c r="P96" s="2" t="s">
        <v>146</v>
      </c>
      <c r="Q96" s="2">
        <v>123.05</v>
      </c>
      <c r="R96" s="2">
        <v>54.88</v>
      </c>
      <c r="S96" s="2">
        <v>37.299999999999997</v>
      </c>
      <c r="T96" s="2" t="s">
        <v>146</v>
      </c>
      <c r="U96" s="2" t="s">
        <v>146</v>
      </c>
      <c r="V96" s="2">
        <v>25.95</v>
      </c>
      <c r="W96" s="2" t="s">
        <v>147</v>
      </c>
      <c r="X96" s="2" t="s">
        <v>146</v>
      </c>
      <c r="Y96" s="2" t="s">
        <v>146</v>
      </c>
      <c r="Z96" s="2" t="s">
        <v>146</v>
      </c>
      <c r="AA96" s="2" t="s">
        <v>146</v>
      </c>
      <c r="AB96" s="2" t="s">
        <v>146</v>
      </c>
      <c r="AC96" s="2">
        <v>0.84</v>
      </c>
      <c r="AD96" s="2" t="s">
        <v>146</v>
      </c>
      <c r="AE96" s="2" t="s">
        <v>146</v>
      </c>
      <c r="AF96" s="2" t="s">
        <v>146</v>
      </c>
      <c r="AG96" s="2" t="s">
        <v>146</v>
      </c>
      <c r="AH96" s="2" t="s">
        <v>155</v>
      </c>
      <c r="AI96" s="2" t="s">
        <v>146</v>
      </c>
      <c r="AJ96" s="2" t="s">
        <v>146</v>
      </c>
      <c r="AK96" s="2">
        <v>55.040999999999997</v>
      </c>
      <c r="AL96" s="2">
        <v>100</v>
      </c>
      <c r="AM96" s="2">
        <v>0</v>
      </c>
      <c r="AN96" s="2">
        <v>0</v>
      </c>
      <c r="AO96" s="2" t="s">
        <v>146</v>
      </c>
      <c r="AQ96" s="2">
        <f t="shared" si="11"/>
        <v>1228.1000000000001</v>
      </c>
      <c r="AR96" s="2">
        <f t="shared" si="12"/>
        <v>1283.1410000000001</v>
      </c>
      <c r="AT96" s="2">
        <f t="shared" si="13"/>
        <v>666.76900000000001</v>
      </c>
      <c r="AU96" s="2">
        <f t="shared" si="14"/>
        <v>430.16199999999998</v>
      </c>
      <c r="AV96" s="27">
        <f t="shared" si="15"/>
        <v>0.85487954948053246</v>
      </c>
      <c r="AY96" s="2">
        <f t="shared" si="16"/>
        <v>55.040999999999997</v>
      </c>
      <c r="AZ96" s="2">
        <f t="shared" si="17"/>
        <v>55.040999999999997</v>
      </c>
      <c r="BA96" s="2">
        <f t="shared" si="18"/>
        <v>0</v>
      </c>
      <c r="BB96" s="2">
        <f t="shared" si="19"/>
        <v>0</v>
      </c>
      <c r="BC96" s="2">
        <f t="shared" si="20"/>
        <v>0</v>
      </c>
      <c r="BD96" s="2">
        <f t="shared" si="21"/>
        <v>0</v>
      </c>
    </row>
    <row r="97" spans="1:56" ht="15" customHeight="1" x14ac:dyDescent="0.45">
      <c r="A97" s="2" t="s">
        <v>560</v>
      </c>
      <c r="B97" s="2" t="s">
        <v>562</v>
      </c>
      <c r="C97" s="2">
        <v>2019</v>
      </c>
      <c r="D97" s="2">
        <v>138.25</v>
      </c>
      <c r="E97" s="2">
        <v>17.5</v>
      </c>
      <c r="F97" s="2" t="s">
        <v>146</v>
      </c>
      <c r="G97" s="2" t="s">
        <v>146</v>
      </c>
      <c r="H97" s="2" t="s">
        <v>146</v>
      </c>
      <c r="I97" s="2">
        <v>218.99</v>
      </c>
      <c r="J97" s="2" t="s">
        <v>146</v>
      </c>
      <c r="K97" s="2" t="s">
        <v>146</v>
      </c>
      <c r="L97" s="2" t="s">
        <v>146</v>
      </c>
      <c r="M97" s="2" t="s">
        <v>146</v>
      </c>
      <c r="N97" s="2" t="s">
        <v>146</v>
      </c>
      <c r="O97" s="2" t="s">
        <v>146</v>
      </c>
      <c r="P97" s="2" t="s">
        <v>146</v>
      </c>
      <c r="Q97" s="2">
        <v>90.71</v>
      </c>
      <c r="R97" s="2">
        <v>40.46</v>
      </c>
      <c r="S97" s="2">
        <v>27.49</v>
      </c>
      <c r="T97" s="2" t="s">
        <v>146</v>
      </c>
      <c r="U97" s="2" t="s">
        <v>146</v>
      </c>
      <c r="V97" s="2">
        <v>19.13</v>
      </c>
      <c r="W97" s="2" t="s">
        <v>146</v>
      </c>
      <c r="X97" s="2" t="s">
        <v>146</v>
      </c>
      <c r="Y97" s="2" t="s">
        <v>146</v>
      </c>
      <c r="Z97" s="2" t="s">
        <v>146</v>
      </c>
      <c r="AA97" s="2" t="s">
        <v>146</v>
      </c>
      <c r="AB97" s="2" t="s">
        <v>146</v>
      </c>
      <c r="AC97" s="2">
        <v>0.62</v>
      </c>
      <c r="AD97" s="2" t="s">
        <v>146</v>
      </c>
      <c r="AE97" s="2" t="s">
        <v>146</v>
      </c>
      <c r="AF97" s="2" t="s">
        <v>146</v>
      </c>
      <c r="AG97" s="2" t="s">
        <v>146</v>
      </c>
      <c r="AH97" s="2" t="s">
        <v>155</v>
      </c>
      <c r="AI97" s="2" t="s">
        <v>146</v>
      </c>
      <c r="AJ97" s="2" t="s">
        <v>146</v>
      </c>
      <c r="AK97" s="2">
        <v>40.58</v>
      </c>
      <c r="AL97" s="2">
        <v>100</v>
      </c>
      <c r="AM97" s="2">
        <v>0</v>
      </c>
      <c r="AN97" s="2">
        <v>0</v>
      </c>
      <c r="AO97" s="2">
        <v>0</v>
      </c>
      <c r="AQ97" s="2">
        <f t="shared" si="11"/>
        <v>178.41</v>
      </c>
      <c r="AR97" s="2">
        <f t="shared" si="12"/>
        <v>218.99</v>
      </c>
      <c r="AT97" s="2">
        <f t="shared" si="13"/>
        <v>138.25</v>
      </c>
      <c r="AU97" s="2">
        <f t="shared" si="14"/>
        <v>17.5</v>
      </c>
      <c r="AV97" s="27">
        <f t="shared" si="15"/>
        <v>0.71121969039682176</v>
      </c>
      <c r="AY97" s="2">
        <f t="shared" si="16"/>
        <v>40.58</v>
      </c>
      <c r="AZ97" s="2">
        <f t="shared" si="17"/>
        <v>40.58</v>
      </c>
      <c r="BA97" s="2">
        <f t="shared" si="18"/>
        <v>0</v>
      </c>
      <c r="BB97" s="2">
        <f t="shared" si="19"/>
        <v>0</v>
      </c>
      <c r="BC97" s="2">
        <f t="shared" si="20"/>
        <v>0</v>
      </c>
      <c r="BD97" s="2">
        <f t="shared" si="21"/>
        <v>0</v>
      </c>
    </row>
    <row r="98" spans="1:56" ht="15" customHeight="1" x14ac:dyDescent="0.45">
      <c r="A98" s="2" t="s">
        <v>560</v>
      </c>
      <c r="B98" s="2" t="s">
        <v>560</v>
      </c>
      <c r="C98" s="2">
        <v>2019</v>
      </c>
      <c r="D98" s="2" t="s">
        <v>146</v>
      </c>
      <c r="E98" s="2" t="s">
        <v>146</v>
      </c>
      <c r="F98" s="2" t="s">
        <v>146</v>
      </c>
      <c r="G98" s="2" t="s">
        <v>146</v>
      </c>
      <c r="H98" s="2" t="s">
        <v>146</v>
      </c>
      <c r="I98" s="2" t="s">
        <v>146</v>
      </c>
      <c r="J98" s="2" t="s">
        <v>146</v>
      </c>
      <c r="K98" s="2" t="s">
        <v>146</v>
      </c>
      <c r="L98" s="2" t="s">
        <v>146</v>
      </c>
      <c r="M98" s="2" t="s">
        <v>146</v>
      </c>
      <c r="N98" s="2" t="s">
        <v>146</v>
      </c>
      <c r="O98" s="2" t="s">
        <v>146</v>
      </c>
      <c r="P98" s="2" t="s">
        <v>146</v>
      </c>
      <c r="Q98" s="2" t="s">
        <v>146</v>
      </c>
      <c r="R98" s="2" t="s">
        <v>146</v>
      </c>
      <c r="S98" s="2" t="s">
        <v>146</v>
      </c>
      <c r="T98" s="2" t="s">
        <v>146</v>
      </c>
      <c r="U98" s="2" t="s">
        <v>146</v>
      </c>
      <c r="V98" s="2" t="s">
        <v>146</v>
      </c>
      <c r="W98" s="2" t="s">
        <v>146</v>
      </c>
      <c r="X98" s="2" t="s">
        <v>146</v>
      </c>
      <c r="Y98" s="2" t="s">
        <v>146</v>
      </c>
      <c r="Z98" s="2" t="s">
        <v>146</v>
      </c>
      <c r="AA98" s="2" t="s">
        <v>146</v>
      </c>
      <c r="AB98" s="2" t="s">
        <v>146</v>
      </c>
      <c r="AC98" s="2" t="s">
        <v>146</v>
      </c>
      <c r="AD98" s="2" t="s">
        <v>146</v>
      </c>
      <c r="AE98" s="2" t="s">
        <v>146</v>
      </c>
      <c r="AF98" s="2" t="s">
        <v>146</v>
      </c>
      <c r="AG98" s="2" t="s">
        <v>146</v>
      </c>
      <c r="AH98" s="2" t="s">
        <v>146</v>
      </c>
      <c r="AI98" s="2" t="s">
        <v>146</v>
      </c>
      <c r="AJ98" s="2" t="s">
        <v>146</v>
      </c>
      <c r="AK98" s="2" t="s">
        <v>146</v>
      </c>
      <c r="AL98" s="2" t="s">
        <v>146</v>
      </c>
      <c r="AM98" s="2" t="s">
        <v>146</v>
      </c>
      <c r="AN98" s="2" t="s">
        <v>146</v>
      </c>
      <c r="AO98" s="2" t="s">
        <v>146</v>
      </c>
      <c r="AQ98" s="2">
        <f t="shared" si="11"/>
        <v>0</v>
      </c>
      <c r="AR98" s="2">
        <f t="shared" si="12"/>
        <v>0</v>
      </c>
      <c r="AT98" s="2">
        <f t="shared" si="13"/>
        <v>0</v>
      </c>
      <c r="AU98" s="2">
        <f t="shared" si="14"/>
        <v>0</v>
      </c>
      <c r="AV98" s="27" t="str">
        <f t="shared" si="15"/>
        <v/>
      </c>
      <c r="AY98" s="2">
        <f t="shared" si="16"/>
        <v>0</v>
      </c>
      <c r="AZ98" s="2">
        <f t="shared" si="17"/>
        <v>0</v>
      </c>
      <c r="BA98" s="2">
        <f t="shared" si="18"/>
        <v>0</v>
      </c>
      <c r="BB98" s="2">
        <f t="shared" si="19"/>
        <v>0</v>
      </c>
      <c r="BC98" s="2">
        <f t="shared" si="20"/>
        <v>0</v>
      </c>
      <c r="BD98" s="2">
        <f t="shared" si="21"/>
        <v>0</v>
      </c>
    </row>
    <row r="99" spans="1:56" ht="15" customHeight="1" x14ac:dyDescent="0.45">
      <c r="A99" s="2" t="s">
        <v>560</v>
      </c>
      <c r="B99" s="2" t="s">
        <v>561</v>
      </c>
      <c r="C99" s="2">
        <v>2019</v>
      </c>
      <c r="D99" s="2" t="s">
        <v>146</v>
      </c>
      <c r="E99" s="2" t="s">
        <v>146</v>
      </c>
      <c r="F99" s="2" t="s">
        <v>146</v>
      </c>
      <c r="G99" s="2" t="s">
        <v>146</v>
      </c>
      <c r="H99" s="2" t="s">
        <v>146</v>
      </c>
      <c r="I99" s="2" t="s">
        <v>146</v>
      </c>
      <c r="J99" s="2" t="s">
        <v>146</v>
      </c>
      <c r="K99" s="2" t="s">
        <v>146</v>
      </c>
      <c r="L99" s="2" t="s">
        <v>146</v>
      </c>
      <c r="M99" s="2" t="s">
        <v>146</v>
      </c>
      <c r="N99" s="2" t="s">
        <v>146</v>
      </c>
      <c r="O99" s="2" t="s">
        <v>146</v>
      </c>
      <c r="P99" s="2" t="s">
        <v>146</v>
      </c>
      <c r="Q99" s="2" t="s">
        <v>146</v>
      </c>
      <c r="R99" s="2" t="s">
        <v>146</v>
      </c>
      <c r="S99" s="2" t="s">
        <v>146</v>
      </c>
      <c r="T99" s="2" t="s">
        <v>146</v>
      </c>
      <c r="U99" s="2" t="s">
        <v>146</v>
      </c>
      <c r="V99" s="2" t="s">
        <v>146</v>
      </c>
      <c r="W99" s="2" t="s">
        <v>146</v>
      </c>
      <c r="X99" s="2" t="s">
        <v>146</v>
      </c>
      <c r="Y99" s="2" t="s">
        <v>146</v>
      </c>
      <c r="Z99" s="2" t="s">
        <v>146</v>
      </c>
      <c r="AA99" s="2" t="s">
        <v>146</v>
      </c>
      <c r="AB99" s="2" t="s">
        <v>146</v>
      </c>
      <c r="AC99" s="2" t="s">
        <v>146</v>
      </c>
      <c r="AD99" s="2" t="s">
        <v>146</v>
      </c>
      <c r="AE99" s="2" t="s">
        <v>146</v>
      </c>
      <c r="AF99" s="2" t="s">
        <v>146</v>
      </c>
      <c r="AG99" s="2" t="s">
        <v>146</v>
      </c>
      <c r="AH99" s="2" t="s">
        <v>146</v>
      </c>
      <c r="AI99" s="2" t="s">
        <v>146</v>
      </c>
      <c r="AJ99" s="2" t="s">
        <v>146</v>
      </c>
      <c r="AK99" s="2" t="s">
        <v>146</v>
      </c>
      <c r="AL99" s="2" t="s">
        <v>146</v>
      </c>
      <c r="AM99" s="2" t="s">
        <v>146</v>
      </c>
      <c r="AN99" s="2" t="s">
        <v>146</v>
      </c>
      <c r="AO99" s="2" t="s">
        <v>146</v>
      </c>
      <c r="AQ99" s="2">
        <f t="shared" si="11"/>
        <v>0</v>
      </c>
      <c r="AR99" s="2">
        <f t="shared" si="12"/>
        <v>0</v>
      </c>
      <c r="AT99" s="2">
        <f t="shared" si="13"/>
        <v>0</v>
      </c>
      <c r="AU99" s="2">
        <f t="shared" si="14"/>
        <v>0</v>
      </c>
      <c r="AV99" s="27" t="str">
        <f t="shared" si="15"/>
        <v/>
      </c>
      <c r="AY99" s="2">
        <f t="shared" si="16"/>
        <v>0</v>
      </c>
      <c r="AZ99" s="2">
        <f t="shared" si="17"/>
        <v>0</v>
      </c>
      <c r="BA99" s="2">
        <f t="shared" si="18"/>
        <v>0</v>
      </c>
      <c r="BB99" s="2">
        <f t="shared" si="19"/>
        <v>0</v>
      </c>
      <c r="BC99" s="2">
        <f t="shared" si="20"/>
        <v>0</v>
      </c>
      <c r="BD99" s="2">
        <f t="shared" si="21"/>
        <v>0</v>
      </c>
    </row>
    <row r="100" spans="1:56" ht="15" customHeight="1" x14ac:dyDescent="0.45">
      <c r="A100" s="2" t="s">
        <v>560</v>
      </c>
      <c r="B100" s="2" t="s">
        <v>559</v>
      </c>
      <c r="C100" s="2">
        <v>2019</v>
      </c>
      <c r="D100" s="2" t="s">
        <v>146</v>
      </c>
      <c r="E100" s="2" t="s">
        <v>146</v>
      </c>
      <c r="F100" s="2" t="s">
        <v>146</v>
      </c>
      <c r="G100" s="2" t="s">
        <v>146</v>
      </c>
      <c r="H100" s="2" t="s">
        <v>146</v>
      </c>
      <c r="I100" s="2" t="s">
        <v>146</v>
      </c>
      <c r="J100" s="2" t="s">
        <v>146</v>
      </c>
      <c r="K100" s="2" t="s">
        <v>146</v>
      </c>
      <c r="L100" s="2" t="s">
        <v>146</v>
      </c>
      <c r="M100" s="2" t="s">
        <v>146</v>
      </c>
      <c r="N100" s="2" t="s">
        <v>146</v>
      </c>
      <c r="O100" s="2" t="s">
        <v>146</v>
      </c>
      <c r="P100" s="2" t="s">
        <v>146</v>
      </c>
      <c r="Q100" s="2" t="s">
        <v>146</v>
      </c>
      <c r="R100" s="2" t="s">
        <v>146</v>
      </c>
      <c r="S100" s="2" t="s">
        <v>146</v>
      </c>
      <c r="T100" s="2" t="s">
        <v>146</v>
      </c>
      <c r="U100" s="2" t="s">
        <v>146</v>
      </c>
      <c r="V100" s="2" t="s">
        <v>146</v>
      </c>
      <c r="W100" s="2" t="s">
        <v>146</v>
      </c>
      <c r="X100" s="2" t="s">
        <v>146</v>
      </c>
      <c r="Y100" s="2" t="s">
        <v>146</v>
      </c>
      <c r="Z100" s="2" t="s">
        <v>146</v>
      </c>
      <c r="AA100" s="2" t="s">
        <v>146</v>
      </c>
      <c r="AB100" s="2" t="s">
        <v>146</v>
      </c>
      <c r="AC100" s="2" t="s">
        <v>146</v>
      </c>
      <c r="AD100" s="2" t="s">
        <v>146</v>
      </c>
      <c r="AE100" s="2" t="s">
        <v>146</v>
      </c>
      <c r="AF100" s="2" t="s">
        <v>146</v>
      </c>
      <c r="AG100" s="2" t="s">
        <v>146</v>
      </c>
      <c r="AH100" s="2" t="s">
        <v>155</v>
      </c>
      <c r="AI100" s="2" t="s">
        <v>146</v>
      </c>
      <c r="AJ100" s="2" t="s">
        <v>146</v>
      </c>
      <c r="AK100" s="2" t="s">
        <v>146</v>
      </c>
      <c r="AL100" s="2" t="s">
        <v>146</v>
      </c>
      <c r="AM100" s="2" t="s">
        <v>146</v>
      </c>
      <c r="AN100" s="2" t="s">
        <v>146</v>
      </c>
      <c r="AO100" s="2" t="s">
        <v>146</v>
      </c>
      <c r="AQ100" s="2">
        <f t="shared" si="11"/>
        <v>0</v>
      </c>
      <c r="AR100" s="2">
        <f t="shared" si="12"/>
        <v>0</v>
      </c>
      <c r="AT100" s="2">
        <f t="shared" si="13"/>
        <v>0</v>
      </c>
      <c r="AU100" s="2">
        <f t="shared" si="14"/>
        <v>0</v>
      </c>
      <c r="AV100" s="27" t="str">
        <f t="shared" si="15"/>
        <v/>
      </c>
      <c r="AY100" s="2">
        <f t="shared" si="16"/>
        <v>0</v>
      </c>
      <c r="AZ100" s="2">
        <f t="shared" si="17"/>
        <v>0</v>
      </c>
      <c r="BA100" s="2">
        <f t="shared" si="18"/>
        <v>0</v>
      </c>
      <c r="BB100" s="2">
        <f t="shared" si="19"/>
        <v>0</v>
      </c>
      <c r="BC100" s="2">
        <f t="shared" si="20"/>
        <v>0</v>
      </c>
      <c r="BD100" s="2">
        <f t="shared" si="21"/>
        <v>0</v>
      </c>
    </row>
    <row r="101" spans="1:56" ht="15" customHeight="1" x14ac:dyDescent="0.45">
      <c r="A101" s="2" t="s">
        <v>556</v>
      </c>
      <c r="B101" s="2" t="s">
        <v>558</v>
      </c>
      <c r="C101" s="2">
        <v>2019</v>
      </c>
      <c r="D101" s="2" t="s">
        <v>146</v>
      </c>
      <c r="E101" s="2" t="s">
        <v>146</v>
      </c>
      <c r="F101" s="2" t="s">
        <v>146</v>
      </c>
      <c r="G101" s="2" t="s">
        <v>146</v>
      </c>
      <c r="H101" s="2" t="s">
        <v>146</v>
      </c>
      <c r="I101" s="2" t="s">
        <v>146</v>
      </c>
      <c r="J101" s="2" t="s">
        <v>146</v>
      </c>
      <c r="K101" s="2" t="s">
        <v>146</v>
      </c>
      <c r="L101" s="2" t="s">
        <v>146</v>
      </c>
      <c r="M101" s="2" t="s">
        <v>146</v>
      </c>
      <c r="N101" s="2" t="s">
        <v>146</v>
      </c>
      <c r="O101" s="2" t="s">
        <v>146</v>
      </c>
      <c r="P101" s="2" t="s">
        <v>146</v>
      </c>
      <c r="Q101" s="2" t="s">
        <v>146</v>
      </c>
      <c r="R101" s="2" t="s">
        <v>146</v>
      </c>
      <c r="S101" s="2" t="s">
        <v>146</v>
      </c>
      <c r="T101" s="2" t="s">
        <v>146</v>
      </c>
      <c r="U101" s="2" t="s">
        <v>146</v>
      </c>
      <c r="V101" s="2" t="s">
        <v>146</v>
      </c>
      <c r="W101" s="2" t="s">
        <v>146</v>
      </c>
      <c r="X101" s="2" t="s">
        <v>146</v>
      </c>
      <c r="Y101" s="2" t="s">
        <v>146</v>
      </c>
      <c r="Z101" s="2" t="s">
        <v>146</v>
      </c>
      <c r="AA101" s="2" t="s">
        <v>146</v>
      </c>
      <c r="AB101" s="2" t="s">
        <v>146</v>
      </c>
      <c r="AC101" s="2" t="s">
        <v>146</v>
      </c>
      <c r="AD101" s="2" t="s">
        <v>146</v>
      </c>
      <c r="AE101" s="2" t="s">
        <v>146</v>
      </c>
      <c r="AF101" s="2" t="s">
        <v>146</v>
      </c>
      <c r="AG101" s="2" t="s">
        <v>146</v>
      </c>
      <c r="AH101" s="2" t="s">
        <v>146</v>
      </c>
      <c r="AI101" s="2" t="s">
        <v>146</v>
      </c>
      <c r="AJ101" s="2" t="s">
        <v>146</v>
      </c>
      <c r="AK101" s="2" t="s">
        <v>146</v>
      </c>
      <c r="AL101" s="2" t="s">
        <v>146</v>
      </c>
      <c r="AM101" s="2" t="s">
        <v>146</v>
      </c>
      <c r="AN101" s="2" t="s">
        <v>146</v>
      </c>
      <c r="AO101" s="2" t="s">
        <v>146</v>
      </c>
      <c r="AQ101" s="2">
        <f t="shared" si="11"/>
        <v>0</v>
      </c>
      <c r="AR101" s="2">
        <f t="shared" si="12"/>
        <v>0</v>
      </c>
      <c r="AT101" s="2">
        <f t="shared" si="13"/>
        <v>0</v>
      </c>
      <c r="AU101" s="2">
        <f t="shared" si="14"/>
        <v>0</v>
      </c>
      <c r="AV101" s="27" t="str">
        <f t="shared" si="15"/>
        <v/>
      </c>
      <c r="AY101" s="2">
        <f t="shared" si="16"/>
        <v>0</v>
      </c>
      <c r="AZ101" s="2">
        <f t="shared" si="17"/>
        <v>0</v>
      </c>
      <c r="BA101" s="2">
        <f t="shared" si="18"/>
        <v>0</v>
      </c>
      <c r="BB101" s="2">
        <f t="shared" si="19"/>
        <v>0</v>
      </c>
      <c r="BC101" s="2">
        <f t="shared" si="20"/>
        <v>0</v>
      </c>
      <c r="BD101" s="2">
        <f t="shared" si="21"/>
        <v>0</v>
      </c>
    </row>
    <row r="102" spans="1:56" ht="15" customHeight="1" x14ac:dyDescent="0.45">
      <c r="A102" s="2" t="s">
        <v>556</v>
      </c>
      <c r="B102" s="2" t="s">
        <v>555</v>
      </c>
      <c r="C102" s="2">
        <v>2019</v>
      </c>
      <c r="D102" s="2" t="s">
        <v>146</v>
      </c>
      <c r="E102" s="2" t="s">
        <v>146</v>
      </c>
      <c r="F102" s="2" t="s">
        <v>146</v>
      </c>
      <c r="G102" s="2" t="s">
        <v>146</v>
      </c>
      <c r="H102" s="2" t="s">
        <v>146</v>
      </c>
      <c r="I102" s="2" t="s">
        <v>146</v>
      </c>
      <c r="J102" s="2" t="s">
        <v>146</v>
      </c>
      <c r="K102" s="2" t="s">
        <v>146</v>
      </c>
      <c r="L102" s="2" t="s">
        <v>146</v>
      </c>
      <c r="M102" s="2" t="s">
        <v>146</v>
      </c>
      <c r="N102" s="2" t="s">
        <v>146</v>
      </c>
      <c r="O102" s="2" t="s">
        <v>146</v>
      </c>
      <c r="P102" s="2" t="s">
        <v>146</v>
      </c>
      <c r="Q102" s="2" t="s">
        <v>146</v>
      </c>
      <c r="R102" s="2" t="s">
        <v>146</v>
      </c>
      <c r="S102" s="2" t="s">
        <v>146</v>
      </c>
      <c r="T102" s="2" t="s">
        <v>146</v>
      </c>
      <c r="U102" s="2" t="s">
        <v>146</v>
      </c>
      <c r="V102" s="2" t="s">
        <v>146</v>
      </c>
      <c r="W102" s="2" t="s">
        <v>146</v>
      </c>
      <c r="X102" s="2" t="s">
        <v>146</v>
      </c>
      <c r="Y102" s="2" t="s">
        <v>146</v>
      </c>
      <c r="Z102" s="2" t="s">
        <v>146</v>
      </c>
      <c r="AA102" s="2" t="s">
        <v>146</v>
      </c>
      <c r="AB102" s="2" t="s">
        <v>146</v>
      </c>
      <c r="AC102" s="2" t="s">
        <v>146</v>
      </c>
      <c r="AD102" s="2" t="s">
        <v>146</v>
      </c>
      <c r="AE102" s="2" t="s">
        <v>146</v>
      </c>
      <c r="AF102" s="2" t="s">
        <v>146</v>
      </c>
      <c r="AG102" s="2" t="s">
        <v>146</v>
      </c>
      <c r="AH102" s="2" t="s">
        <v>146</v>
      </c>
      <c r="AI102" s="2" t="s">
        <v>146</v>
      </c>
      <c r="AJ102" s="2" t="s">
        <v>146</v>
      </c>
      <c r="AK102" s="2" t="s">
        <v>146</v>
      </c>
      <c r="AL102" s="2" t="s">
        <v>146</v>
      </c>
      <c r="AM102" s="2" t="s">
        <v>146</v>
      </c>
      <c r="AN102" s="2" t="s">
        <v>146</v>
      </c>
      <c r="AO102" s="2" t="s">
        <v>146</v>
      </c>
      <c r="AQ102" s="2">
        <f t="shared" si="11"/>
        <v>0</v>
      </c>
      <c r="AR102" s="2">
        <f t="shared" si="12"/>
        <v>0</v>
      </c>
      <c r="AT102" s="2">
        <f t="shared" si="13"/>
        <v>0</v>
      </c>
      <c r="AU102" s="2">
        <f t="shared" si="14"/>
        <v>0</v>
      </c>
      <c r="AV102" s="27" t="str">
        <f t="shared" si="15"/>
        <v/>
      </c>
      <c r="AY102" s="2">
        <f t="shared" si="16"/>
        <v>0</v>
      </c>
      <c r="AZ102" s="2">
        <f t="shared" si="17"/>
        <v>0</v>
      </c>
      <c r="BA102" s="2">
        <f t="shared" si="18"/>
        <v>0</v>
      </c>
      <c r="BB102" s="2">
        <f t="shared" si="19"/>
        <v>0</v>
      </c>
      <c r="BC102" s="2">
        <f t="shared" si="20"/>
        <v>0</v>
      </c>
      <c r="BD102" s="2">
        <f t="shared" si="21"/>
        <v>0</v>
      </c>
    </row>
    <row r="103" spans="1:56" ht="15" customHeight="1" x14ac:dyDescent="0.45">
      <c r="A103" s="2" t="s">
        <v>554</v>
      </c>
      <c r="B103" s="2" t="s">
        <v>553</v>
      </c>
      <c r="C103" s="2">
        <v>2019</v>
      </c>
      <c r="D103" s="2" t="s">
        <v>146</v>
      </c>
      <c r="E103" s="2" t="s">
        <v>146</v>
      </c>
      <c r="F103" s="2" t="s">
        <v>146</v>
      </c>
      <c r="G103" s="2" t="s">
        <v>146</v>
      </c>
      <c r="H103" s="2" t="s">
        <v>146</v>
      </c>
      <c r="I103" s="2" t="s">
        <v>146</v>
      </c>
      <c r="J103" s="2" t="s">
        <v>146</v>
      </c>
      <c r="K103" s="2" t="s">
        <v>146</v>
      </c>
      <c r="L103" s="2" t="s">
        <v>146</v>
      </c>
      <c r="M103" s="2" t="s">
        <v>146</v>
      </c>
      <c r="N103" s="2" t="s">
        <v>146</v>
      </c>
      <c r="O103" s="2" t="s">
        <v>146</v>
      </c>
      <c r="P103" s="2" t="s">
        <v>146</v>
      </c>
      <c r="Q103" s="2" t="s">
        <v>146</v>
      </c>
      <c r="R103" s="2" t="s">
        <v>146</v>
      </c>
      <c r="S103" s="2" t="s">
        <v>146</v>
      </c>
      <c r="T103" s="2" t="s">
        <v>146</v>
      </c>
      <c r="U103" s="2" t="s">
        <v>146</v>
      </c>
      <c r="V103" s="2" t="s">
        <v>146</v>
      </c>
      <c r="W103" s="2" t="s">
        <v>146</v>
      </c>
      <c r="X103" s="2" t="s">
        <v>146</v>
      </c>
      <c r="Y103" s="2" t="s">
        <v>146</v>
      </c>
      <c r="Z103" s="2" t="s">
        <v>146</v>
      </c>
      <c r="AA103" s="2" t="s">
        <v>146</v>
      </c>
      <c r="AB103" s="2" t="s">
        <v>146</v>
      </c>
      <c r="AC103" s="2" t="s">
        <v>146</v>
      </c>
      <c r="AD103" s="2" t="s">
        <v>146</v>
      </c>
      <c r="AE103" s="2" t="s">
        <v>146</v>
      </c>
      <c r="AF103" s="2" t="s">
        <v>146</v>
      </c>
      <c r="AG103" s="2" t="s">
        <v>146</v>
      </c>
      <c r="AH103" s="2" t="s">
        <v>146</v>
      </c>
      <c r="AI103" s="2" t="s">
        <v>146</v>
      </c>
      <c r="AJ103" s="2" t="s">
        <v>146</v>
      </c>
      <c r="AK103" s="2" t="s">
        <v>146</v>
      </c>
      <c r="AL103" s="2" t="s">
        <v>146</v>
      </c>
      <c r="AM103" s="2" t="s">
        <v>146</v>
      </c>
      <c r="AN103" s="2" t="s">
        <v>146</v>
      </c>
      <c r="AO103" s="2" t="s">
        <v>146</v>
      </c>
      <c r="AQ103" s="2">
        <f t="shared" si="11"/>
        <v>0</v>
      </c>
      <c r="AR103" s="2">
        <f t="shared" si="12"/>
        <v>0</v>
      </c>
      <c r="AT103" s="2">
        <f t="shared" si="13"/>
        <v>0</v>
      </c>
      <c r="AU103" s="2">
        <f t="shared" si="14"/>
        <v>0</v>
      </c>
      <c r="AV103" s="27" t="str">
        <f t="shared" si="15"/>
        <v/>
      </c>
      <c r="AY103" s="2">
        <f t="shared" si="16"/>
        <v>0</v>
      </c>
      <c r="AZ103" s="2">
        <f t="shared" si="17"/>
        <v>0</v>
      </c>
      <c r="BA103" s="2">
        <f t="shared" si="18"/>
        <v>0</v>
      </c>
      <c r="BB103" s="2">
        <f t="shared" si="19"/>
        <v>0</v>
      </c>
      <c r="BC103" s="2">
        <f t="shared" si="20"/>
        <v>0</v>
      </c>
      <c r="BD103" s="2">
        <f t="shared" si="21"/>
        <v>0</v>
      </c>
    </row>
    <row r="104" spans="1:56" ht="15" customHeight="1" x14ac:dyDescent="0.45">
      <c r="A104" s="2" t="s">
        <v>550</v>
      </c>
      <c r="B104" s="2" t="s">
        <v>552</v>
      </c>
      <c r="C104" s="2">
        <v>2019</v>
      </c>
      <c r="D104" s="2" t="s">
        <v>146</v>
      </c>
      <c r="E104" s="2" t="s">
        <v>146</v>
      </c>
      <c r="F104" s="2" t="s">
        <v>146</v>
      </c>
      <c r="G104" s="2" t="s">
        <v>146</v>
      </c>
      <c r="H104" s="2" t="s">
        <v>146</v>
      </c>
      <c r="I104" s="2" t="s">
        <v>146</v>
      </c>
      <c r="J104" s="2" t="s">
        <v>146</v>
      </c>
      <c r="K104" s="2" t="s">
        <v>146</v>
      </c>
      <c r="L104" s="2" t="s">
        <v>146</v>
      </c>
      <c r="M104" s="2" t="s">
        <v>146</v>
      </c>
      <c r="N104" s="2" t="s">
        <v>146</v>
      </c>
      <c r="O104" s="2" t="s">
        <v>146</v>
      </c>
      <c r="P104" s="2" t="s">
        <v>146</v>
      </c>
      <c r="Q104" s="2" t="s">
        <v>146</v>
      </c>
      <c r="R104" s="2" t="s">
        <v>146</v>
      </c>
      <c r="S104" s="2" t="s">
        <v>146</v>
      </c>
      <c r="T104" s="2" t="s">
        <v>146</v>
      </c>
      <c r="U104" s="2" t="s">
        <v>146</v>
      </c>
      <c r="V104" s="2" t="s">
        <v>146</v>
      </c>
      <c r="W104" s="2" t="s">
        <v>146</v>
      </c>
      <c r="X104" s="2" t="s">
        <v>146</v>
      </c>
      <c r="Y104" s="2" t="s">
        <v>146</v>
      </c>
      <c r="Z104" s="2" t="s">
        <v>146</v>
      </c>
      <c r="AA104" s="2" t="s">
        <v>146</v>
      </c>
      <c r="AB104" s="2" t="s">
        <v>146</v>
      </c>
      <c r="AC104" s="2" t="s">
        <v>146</v>
      </c>
      <c r="AD104" s="2" t="s">
        <v>146</v>
      </c>
      <c r="AE104" s="2" t="s">
        <v>146</v>
      </c>
      <c r="AF104" s="2" t="s">
        <v>146</v>
      </c>
      <c r="AG104" s="2" t="s">
        <v>146</v>
      </c>
      <c r="AH104" s="2" t="s">
        <v>146</v>
      </c>
      <c r="AI104" s="2" t="s">
        <v>146</v>
      </c>
      <c r="AJ104" s="2" t="s">
        <v>146</v>
      </c>
      <c r="AK104" s="2" t="s">
        <v>146</v>
      </c>
      <c r="AL104" s="2" t="s">
        <v>146</v>
      </c>
      <c r="AM104" s="2" t="s">
        <v>146</v>
      </c>
      <c r="AN104" s="2" t="s">
        <v>146</v>
      </c>
      <c r="AO104" s="2" t="s">
        <v>146</v>
      </c>
      <c r="AQ104" s="2">
        <f t="shared" si="11"/>
        <v>0</v>
      </c>
      <c r="AR104" s="2">
        <f t="shared" si="12"/>
        <v>0</v>
      </c>
      <c r="AT104" s="2">
        <f t="shared" si="13"/>
        <v>0</v>
      </c>
      <c r="AU104" s="2">
        <f t="shared" si="14"/>
        <v>0</v>
      </c>
      <c r="AV104" s="27" t="str">
        <f t="shared" si="15"/>
        <v/>
      </c>
      <c r="AY104" s="2">
        <f t="shared" si="16"/>
        <v>0</v>
      </c>
      <c r="AZ104" s="2">
        <f t="shared" si="17"/>
        <v>0</v>
      </c>
      <c r="BA104" s="2">
        <f t="shared" si="18"/>
        <v>0</v>
      </c>
      <c r="BB104" s="2">
        <f t="shared" si="19"/>
        <v>0</v>
      </c>
      <c r="BC104" s="2">
        <f t="shared" si="20"/>
        <v>0</v>
      </c>
      <c r="BD104" s="2">
        <f t="shared" si="21"/>
        <v>0</v>
      </c>
    </row>
    <row r="105" spans="1:56" ht="15" customHeight="1" x14ac:dyDescent="0.45">
      <c r="A105" s="2" t="s">
        <v>550</v>
      </c>
      <c r="B105" s="2" t="s">
        <v>551</v>
      </c>
      <c r="C105" s="2">
        <v>2019</v>
      </c>
      <c r="D105" s="2" t="s">
        <v>146</v>
      </c>
      <c r="E105" s="2" t="s">
        <v>146</v>
      </c>
      <c r="F105" s="2" t="s">
        <v>146</v>
      </c>
      <c r="G105" s="2" t="s">
        <v>146</v>
      </c>
      <c r="H105" s="2" t="s">
        <v>146</v>
      </c>
      <c r="I105" s="2" t="s">
        <v>146</v>
      </c>
      <c r="J105" s="2" t="s">
        <v>146</v>
      </c>
      <c r="K105" s="2" t="s">
        <v>146</v>
      </c>
      <c r="L105" s="2" t="s">
        <v>146</v>
      </c>
      <c r="M105" s="2" t="s">
        <v>146</v>
      </c>
      <c r="N105" s="2" t="s">
        <v>146</v>
      </c>
      <c r="O105" s="2" t="s">
        <v>146</v>
      </c>
      <c r="P105" s="2" t="s">
        <v>146</v>
      </c>
      <c r="Q105" s="2" t="s">
        <v>146</v>
      </c>
      <c r="R105" s="2" t="s">
        <v>146</v>
      </c>
      <c r="S105" s="2" t="s">
        <v>146</v>
      </c>
      <c r="T105" s="2" t="s">
        <v>146</v>
      </c>
      <c r="U105" s="2" t="s">
        <v>146</v>
      </c>
      <c r="V105" s="2" t="s">
        <v>146</v>
      </c>
      <c r="W105" s="2" t="s">
        <v>146</v>
      </c>
      <c r="X105" s="2" t="s">
        <v>146</v>
      </c>
      <c r="Y105" s="2" t="s">
        <v>146</v>
      </c>
      <c r="Z105" s="2" t="s">
        <v>146</v>
      </c>
      <c r="AA105" s="2" t="s">
        <v>146</v>
      </c>
      <c r="AB105" s="2" t="s">
        <v>146</v>
      </c>
      <c r="AC105" s="2" t="s">
        <v>146</v>
      </c>
      <c r="AD105" s="2" t="s">
        <v>146</v>
      </c>
      <c r="AE105" s="2" t="s">
        <v>146</v>
      </c>
      <c r="AF105" s="2" t="s">
        <v>146</v>
      </c>
      <c r="AG105" s="2" t="s">
        <v>146</v>
      </c>
      <c r="AH105" s="2" t="s">
        <v>146</v>
      </c>
      <c r="AI105" s="2" t="s">
        <v>146</v>
      </c>
      <c r="AJ105" s="2" t="s">
        <v>146</v>
      </c>
      <c r="AK105" s="2" t="s">
        <v>146</v>
      </c>
      <c r="AL105" s="2" t="s">
        <v>146</v>
      </c>
      <c r="AM105" s="2" t="s">
        <v>146</v>
      </c>
      <c r="AN105" s="2" t="s">
        <v>146</v>
      </c>
      <c r="AO105" s="2" t="s">
        <v>146</v>
      </c>
      <c r="AQ105" s="2">
        <f t="shared" si="11"/>
        <v>0</v>
      </c>
      <c r="AR105" s="2">
        <f t="shared" si="12"/>
        <v>0</v>
      </c>
      <c r="AT105" s="2">
        <f t="shared" si="13"/>
        <v>0</v>
      </c>
      <c r="AU105" s="2">
        <f t="shared" si="14"/>
        <v>0</v>
      </c>
      <c r="AV105" s="27" t="str">
        <f t="shared" si="15"/>
        <v/>
      </c>
      <c r="AY105" s="2">
        <f t="shared" si="16"/>
        <v>0</v>
      </c>
      <c r="AZ105" s="2">
        <f t="shared" si="17"/>
        <v>0</v>
      </c>
      <c r="BA105" s="2">
        <f t="shared" si="18"/>
        <v>0</v>
      </c>
      <c r="BB105" s="2">
        <f t="shared" si="19"/>
        <v>0</v>
      </c>
      <c r="BC105" s="2">
        <f t="shared" si="20"/>
        <v>0</v>
      </c>
      <c r="BD105" s="2">
        <f t="shared" si="21"/>
        <v>0</v>
      </c>
    </row>
    <row r="106" spans="1:56" ht="15" customHeight="1" x14ac:dyDescent="0.45">
      <c r="A106" s="2" t="s">
        <v>550</v>
      </c>
      <c r="B106" s="2" t="s">
        <v>549</v>
      </c>
      <c r="C106" s="2">
        <v>2019</v>
      </c>
      <c r="D106" s="2" t="s">
        <v>146</v>
      </c>
      <c r="E106" s="2" t="s">
        <v>146</v>
      </c>
      <c r="F106" s="2" t="s">
        <v>146</v>
      </c>
      <c r="G106" s="2" t="s">
        <v>146</v>
      </c>
      <c r="H106" s="2" t="s">
        <v>146</v>
      </c>
      <c r="I106" s="2" t="s">
        <v>146</v>
      </c>
      <c r="J106" s="2" t="s">
        <v>146</v>
      </c>
      <c r="K106" s="2" t="s">
        <v>146</v>
      </c>
      <c r="L106" s="2" t="s">
        <v>146</v>
      </c>
      <c r="M106" s="2" t="s">
        <v>146</v>
      </c>
      <c r="N106" s="2" t="s">
        <v>146</v>
      </c>
      <c r="O106" s="2" t="s">
        <v>146</v>
      </c>
      <c r="P106" s="2" t="s">
        <v>146</v>
      </c>
      <c r="Q106" s="2" t="s">
        <v>146</v>
      </c>
      <c r="R106" s="2" t="s">
        <v>146</v>
      </c>
      <c r="S106" s="2" t="s">
        <v>146</v>
      </c>
      <c r="T106" s="2" t="s">
        <v>146</v>
      </c>
      <c r="U106" s="2" t="s">
        <v>146</v>
      </c>
      <c r="V106" s="2" t="s">
        <v>146</v>
      </c>
      <c r="W106" s="2" t="s">
        <v>146</v>
      </c>
      <c r="X106" s="2" t="s">
        <v>146</v>
      </c>
      <c r="Y106" s="2" t="s">
        <v>146</v>
      </c>
      <c r="Z106" s="2" t="s">
        <v>146</v>
      </c>
      <c r="AA106" s="2" t="s">
        <v>146</v>
      </c>
      <c r="AB106" s="2" t="s">
        <v>146</v>
      </c>
      <c r="AC106" s="2" t="s">
        <v>146</v>
      </c>
      <c r="AD106" s="2" t="s">
        <v>146</v>
      </c>
      <c r="AE106" s="2" t="s">
        <v>146</v>
      </c>
      <c r="AF106" s="2" t="s">
        <v>146</v>
      </c>
      <c r="AG106" s="2" t="s">
        <v>146</v>
      </c>
      <c r="AH106" s="2" t="s">
        <v>146</v>
      </c>
      <c r="AI106" s="2" t="s">
        <v>146</v>
      </c>
      <c r="AJ106" s="2" t="s">
        <v>146</v>
      </c>
      <c r="AK106" s="2" t="s">
        <v>146</v>
      </c>
      <c r="AL106" s="2" t="s">
        <v>146</v>
      </c>
      <c r="AM106" s="2" t="s">
        <v>146</v>
      </c>
      <c r="AN106" s="2" t="s">
        <v>146</v>
      </c>
      <c r="AO106" s="2" t="s">
        <v>146</v>
      </c>
      <c r="AQ106" s="2">
        <f t="shared" si="11"/>
        <v>0</v>
      </c>
      <c r="AR106" s="2">
        <f t="shared" si="12"/>
        <v>0</v>
      </c>
      <c r="AT106" s="2">
        <f t="shared" si="13"/>
        <v>0</v>
      </c>
      <c r="AU106" s="2">
        <f t="shared" si="14"/>
        <v>0</v>
      </c>
      <c r="AV106" s="27" t="str">
        <f t="shared" si="15"/>
        <v/>
      </c>
      <c r="AY106" s="2">
        <f t="shared" si="16"/>
        <v>0</v>
      </c>
      <c r="AZ106" s="2">
        <f t="shared" si="17"/>
        <v>0</v>
      </c>
      <c r="BA106" s="2">
        <f t="shared" si="18"/>
        <v>0</v>
      </c>
      <c r="BB106" s="2">
        <f t="shared" si="19"/>
        <v>0</v>
      </c>
      <c r="BC106" s="2">
        <f t="shared" si="20"/>
        <v>0</v>
      </c>
      <c r="BD106" s="2">
        <f t="shared" si="21"/>
        <v>0</v>
      </c>
    </row>
    <row r="107" spans="1:56" ht="15" customHeight="1" x14ac:dyDescent="0.45">
      <c r="A107" s="2" t="s">
        <v>548</v>
      </c>
      <c r="B107" s="2" t="s">
        <v>547</v>
      </c>
      <c r="C107" s="2">
        <v>2019</v>
      </c>
      <c r="D107" s="2">
        <v>309.5</v>
      </c>
      <c r="E107" s="2">
        <v>75.099999999999994</v>
      </c>
      <c r="F107" s="2" t="s">
        <v>146</v>
      </c>
      <c r="G107" s="2" t="s">
        <v>146</v>
      </c>
      <c r="H107" s="2" t="s">
        <v>146</v>
      </c>
      <c r="I107" s="2">
        <v>465.91399999999999</v>
      </c>
      <c r="J107" s="2" t="s">
        <v>146</v>
      </c>
      <c r="K107" s="2" t="s">
        <v>146</v>
      </c>
      <c r="L107" s="2" t="s">
        <v>146</v>
      </c>
      <c r="M107" s="2" t="s">
        <v>146</v>
      </c>
      <c r="N107" s="2" t="s">
        <v>146</v>
      </c>
      <c r="O107" s="2" t="s">
        <v>146</v>
      </c>
      <c r="P107" s="2" t="s">
        <v>146</v>
      </c>
      <c r="Q107" s="2">
        <v>82.352000000000004</v>
      </c>
      <c r="R107" s="2" t="s">
        <v>146</v>
      </c>
      <c r="S107" s="2" t="s">
        <v>146</v>
      </c>
      <c r="T107" s="2" t="s">
        <v>146</v>
      </c>
      <c r="U107" s="2" t="s">
        <v>146</v>
      </c>
      <c r="V107" s="2" t="s">
        <v>146</v>
      </c>
      <c r="W107" s="2" t="s">
        <v>146</v>
      </c>
      <c r="X107" s="2" t="s">
        <v>146</v>
      </c>
      <c r="Y107" s="2" t="s">
        <v>146</v>
      </c>
      <c r="Z107" s="2" t="s">
        <v>146</v>
      </c>
      <c r="AA107" s="2" t="s">
        <v>146</v>
      </c>
      <c r="AB107" s="2" t="s">
        <v>146</v>
      </c>
      <c r="AC107" s="2" t="s">
        <v>146</v>
      </c>
      <c r="AD107" s="2" t="s">
        <v>146</v>
      </c>
      <c r="AE107" s="2" t="s">
        <v>146</v>
      </c>
      <c r="AF107" s="2">
        <v>339.46199999999999</v>
      </c>
      <c r="AG107" s="2">
        <v>1.4</v>
      </c>
      <c r="AH107" s="2" t="s">
        <v>233</v>
      </c>
      <c r="AI107" s="2">
        <v>50.2</v>
      </c>
      <c r="AJ107" s="2" t="s">
        <v>146</v>
      </c>
      <c r="AK107" s="2">
        <v>44.1</v>
      </c>
      <c r="AL107" s="2">
        <v>29</v>
      </c>
      <c r="AM107" s="2">
        <v>71</v>
      </c>
      <c r="AN107" s="2" t="s">
        <v>146</v>
      </c>
      <c r="AO107" s="2" t="s">
        <v>146</v>
      </c>
      <c r="AQ107" s="2">
        <f t="shared" si="11"/>
        <v>421.81399999999996</v>
      </c>
      <c r="AR107" s="2">
        <f t="shared" si="12"/>
        <v>465.91399999999999</v>
      </c>
      <c r="AT107" s="2">
        <f t="shared" si="13"/>
        <v>309.5</v>
      </c>
      <c r="AU107" s="2">
        <f t="shared" si="14"/>
        <v>75.099999999999994</v>
      </c>
      <c r="AV107" s="27">
        <f t="shared" si="15"/>
        <v>0.82547422914958557</v>
      </c>
      <c r="AY107" s="2">
        <f t="shared" si="16"/>
        <v>44.1</v>
      </c>
      <c r="AZ107" s="2">
        <f t="shared" si="17"/>
        <v>12.789</v>
      </c>
      <c r="BA107" s="2">
        <f t="shared" si="18"/>
        <v>31.311</v>
      </c>
      <c r="BB107" s="2">
        <f t="shared" si="19"/>
        <v>0</v>
      </c>
      <c r="BC107" s="2">
        <f t="shared" si="20"/>
        <v>0</v>
      </c>
      <c r="BD107" s="2">
        <f t="shared" si="21"/>
        <v>0</v>
      </c>
    </row>
    <row r="108" spans="1:56" ht="15" customHeight="1" x14ac:dyDescent="0.45">
      <c r="A108" s="2" t="s">
        <v>546</v>
      </c>
      <c r="B108" s="2" t="s">
        <v>545</v>
      </c>
      <c r="C108" s="2">
        <v>2019</v>
      </c>
      <c r="D108" s="2" t="s">
        <v>146</v>
      </c>
      <c r="E108" s="2" t="s">
        <v>146</v>
      </c>
      <c r="F108" s="2" t="s">
        <v>146</v>
      </c>
      <c r="G108" s="2" t="s">
        <v>146</v>
      </c>
      <c r="H108" s="2" t="s">
        <v>146</v>
      </c>
      <c r="I108" s="2" t="s">
        <v>146</v>
      </c>
      <c r="J108" s="2" t="s">
        <v>146</v>
      </c>
      <c r="K108" s="2" t="s">
        <v>146</v>
      </c>
      <c r="L108" s="2" t="s">
        <v>146</v>
      </c>
      <c r="M108" s="2" t="s">
        <v>146</v>
      </c>
      <c r="N108" s="2" t="s">
        <v>146</v>
      </c>
      <c r="O108" s="2" t="s">
        <v>146</v>
      </c>
      <c r="P108" s="2" t="s">
        <v>146</v>
      </c>
      <c r="Q108" s="2" t="s">
        <v>146</v>
      </c>
      <c r="R108" s="2" t="s">
        <v>146</v>
      </c>
      <c r="S108" s="2" t="s">
        <v>146</v>
      </c>
      <c r="T108" s="2" t="s">
        <v>146</v>
      </c>
      <c r="U108" s="2" t="s">
        <v>146</v>
      </c>
      <c r="V108" s="2" t="s">
        <v>146</v>
      </c>
      <c r="W108" s="2" t="s">
        <v>146</v>
      </c>
      <c r="X108" s="2" t="s">
        <v>146</v>
      </c>
      <c r="Y108" s="2" t="s">
        <v>146</v>
      </c>
      <c r="Z108" s="2" t="s">
        <v>146</v>
      </c>
      <c r="AA108" s="2" t="s">
        <v>146</v>
      </c>
      <c r="AB108" s="2" t="s">
        <v>146</v>
      </c>
      <c r="AC108" s="2" t="s">
        <v>146</v>
      </c>
      <c r="AD108" s="2" t="s">
        <v>146</v>
      </c>
      <c r="AE108" s="2" t="s">
        <v>146</v>
      </c>
      <c r="AF108" s="2" t="s">
        <v>146</v>
      </c>
      <c r="AG108" s="2" t="s">
        <v>146</v>
      </c>
      <c r="AH108" s="2" t="s">
        <v>146</v>
      </c>
      <c r="AI108" s="2" t="s">
        <v>146</v>
      </c>
      <c r="AJ108" s="2" t="s">
        <v>146</v>
      </c>
      <c r="AK108" s="2" t="s">
        <v>146</v>
      </c>
      <c r="AL108" s="2" t="s">
        <v>146</v>
      </c>
      <c r="AM108" s="2" t="s">
        <v>146</v>
      </c>
      <c r="AN108" s="2" t="s">
        <v>146</v>
      </c>
      <c r="AO108" s="2" t="s">
        <v>146</v>
      </c>
      <c r="AQ108" s="2">
        <f t="shared" si="11"/>
        <v>0</v>
      </c>
      <c r="AR108" s="2">
        <f t="shared" si="12"/>
        <v>0</v>
      </c>
      <c r="AT108" s="2">
        <f t="shared" si="13"/>
        <v>0</v>
      </c>
      <c r="AU108" s="2">
        <f t="shared" si="14"/>
        <v>0</v>
      </c>
      <c r="AV108" s="27" t="str">
        <f t="shared" si="15"/>
        <v/>
      </c>
      <c r="AY108" s="2">
        <f t="shared" si="16"/>
        <v>0</v>
      </c>
      <c r="AZ108" s="2">
        <f t="shared" si="17"/>
        <v>0</v>
      </c>
      <c r="BA108" s="2">
        <f t="shared" si="18"/>
        <v>0</v>
      </c>
      <c r="BB108" s="2">
        <f t="shared" si="19"/>
        <v>0</v>
      </c>
      <c r="BC108" s="2">
        <f t="shared" si="20"/>
        <v>0</v>
      </c>
      <c r="BD108" s="2">
        <f t="shared" si="21"/>
        <v>0</v>
      </c>
    </row>
    <row r="109" spans="1:56" ht="15" customHeight="1" x14ac:dyDescent="0.45">
      <c r="A109" s="2" t="s">
        <v>543</v>
      </c>
      <c r="B109" s="2" t="s">
        <v>544</v>
      </c>
      <c r="C109" s="2">
        <v>2019</v>
      </c>
      <c r="D109" s="2" t="s">
        <v>146</v>
      </c>
      <c r="E109" s="2" t="s">
        <v>146</v>
      </c>
      <c r="F109" s="2" t="s">
        <v>146</v>
      </c>
      <c r="G109" s="2" t="s">
        <v>146</v>
      </c>
      <c r="H109" s="2" t="s">
        <v>146</v>
      </c>
      <c r="I109" s="2" t="s">
        <v>146</v>
      </c>
      <c r="J109" s="2" t="s">
        <v>146</v>
      </c>
      <c r="K109" s="2" t="s">
        <v>146</v>
      </c>
      <c r="L109" s="2" t="s">
        <v>146</v>
      </c>
      <c r="M109" s="2" t="s">
        <v>146</v>
      </c>
      <c r="N109" s="2" t="s">
        <v>146</v>
      </c>
      <c r="O109" s="2" t="s">
        <v>146</v>
      </c>
      <c r="P109" s="2" t="s">
        <v>146</v>
      </c>
      <c r="Q109" s="2" t="s">
        <v>146</v>
      </c>
      <c r="R109" s="2" t="s">
        <v>146</v>
      </c>
      <c r="S109" s="2" t="s">
        <v>146</v>
      </c>
      <c r="T109" s="2" t="s">
        <v>146</v>
      </c>
      <c r="U109" s="2" t="s">
        <v>146</v>
      </c>
      <c r="V109" s="2" t="s">
        <v>146</v>
      </c>
      <c r="W109" s="2" t="s">
        <v>146</v>
      </c>
      <c r="X109" s="2" t="s">
        <v>146</v>
      </c>
      <c r="Y109" s="2" t="s">
        <v>146</v>
      </c>
      <c r="Z109" s="2" t="s">
        <v>146</v>
      </c>
      <c r="AA109" s="2" t="s">
        <v>146</v>
      </c>
      <c r="AB109" s="2" t="s">
        <v>146</v>
      </c>
      <c r="AC109" s="2" t="s">
        <v>146</v>
      </c>
      <c r="AD109" s="2" t="s">
        <v>146</v>
      </c>
      <c r="AE109" s="2" t="s">
        <v>146</v>
      </c>
      <c r="AF109" s="2" t="s">
        <v>146</v>
      </c>
      <c r="AG109" s="2" t="s">
        <v>146</v>
      </c>
      <c r="AH109" s="2" t="s">
        <v>146</v>
      </c>
      <c r="AI109" s="2" t="s">
        <v>146</v>
      </c>
      <c r="AJ109" s="2" t="s">
        <v>146</v>
      </c>
      <c r="AK109" s="2" t="s">
        <v>146</v>
      </c>
      <c r="AL109" s="2" t="s">
        <v>146</v>
      </c>
      <c r="AM109" s="2" t="s">
        <v>146</v>
      </c>
      <c r="AN109" s="2" t="s">
        <v>146</v>
      </c>
      <c r="AO109" s="2" t="s">
        <v>146</v>
      </c>
      <c r="AQ109" s="2">
        <f t="shared" si="11"/>
        <v>0</v>
      </c>
      <c r="AR109" s="2">
        <f t="shared" si="12"/>
        <v>0</v>
      </c>
      <c r="AT109" s="2">
        <f t="shared" si="13"/>
        <v>0</v>
      </c>
      <c r="AU109" s="2">
        <f t="shared" si="14"/>
        <v>0</v>
      </c>
      <c r="AV109" s="27" t="str">
        <f t="shared" si="15"/>
        <v/>
      </c>
      <c r="AY109" s="2">
        <f t="shared" si="16"/>
        <v>0</v>
      </c>
      <c r="AZ109" s="2">
        <f t="shared" si="17"/>
        <v>0</v>
      </c>
      <c r="BA109" s="2">
        <f t="shared" si="18"/>
        <v>0</v>
      </c>
      <c r="BB109" s="2">
        <f t="shared" si="19"/>
        <v>0</v>
      </c>
      <c r="BC109" s="2">
        <f t="shared" si="20"/>
        <v>0</v>
      </c>
      <c r="BD109" s="2">
        <f t="shared" si="21"/>
        <v>0</v>
      </c>
    </row>
    <row r="110" spans="1:56" ht="15" customHeight="1" x14ac:dyDescent="0.45">
      <c r="A110" s="2" t="s">
        <v>543</v>
      </c>
      <c r="B110" s="2" t="s">
        <v>542</v>
      </c>
      <c r="C110" s="2">
        <v>2019</v>
      </c>
      <c r="D110" s="2" t="s">
        <v>146</v>
      </c>
      <c r="E110" s="2" t="s">
        <v>146</v>
      </c>
      <c r="F110" s="2" t="s">
        <v>146</v>
      </c>
      <c r="G110" s="2" t="s">
        <v>146</v>
      </c>
      <c r="H110" s="2" t="s">
        <v>146</v>
      </c>
      <c r="I110" s="2" t="s">
        <v>146</v>
      </c>
      <c r="J110" s="2" t="s">
        <v>146</v>
      </c>
      <c r="K110" s="2" t="s">
        <v>146</v>
      </c>
      <c r="L110" s="2" t="s">
        <v>146</v>
      </c>
      <c r="M110" s="2" t="s">
        <v>146</v>
      </c>
      <c r="N110" s="2" t="s">
        <v>146</v>
      </c>
      <c r="O110" s="2" t="s">
        <v>146</v>
      </c>
      <c r="P110" s="2" t="s">
        <v>146</v>
      </c>
      <c r="Q110" s="2" t="s">
        <v>146</v>
      </c>
      <c r="R110" s="2" t="s">
        <v>146</v>
      </c>
      <c r="S110" s="2" t="s">
        <v>146</v>
      </c>
      <c r="T110" s="2" t="s">
        <v>146</v>
      </c>
      <c r="U110" s="2" t="s">
        <v>146</v>
      </c>
      <c r="V110" s="2" t="s">
        <v>146</v>
      </c>
      <c r="W110" s="2" t="s">
        <v>146</v>
      </c>
      <c r="X110" s="2" t="s">
        <v>146</v>
      </c>
      <c r="Y110" s="2" t="s">
        <v>146</v>
      </c>
      <c r="Z110" s="2" t="s">
        <v>146</v>
      </c>
      <c r="AA110" s="2" t="s">
        <v>146</v>
      </c>
      <c r="AB110" s="2" t="s">
        <v>146</v>
      </c>
      <c r="AC110" s="2" t="s">
        <v>146</v>
      </c>
      <c r="AD110" s="2" t="s">
        <v>146</v>
      </c>
      <c r="AE110" s="2" t="s">
        <v>146</v>
      </c>
      <c r="AF110" s="2" t="s">
        <v>146</v>
      </c>
      <c r="AG110" s="2" t="s">
        <v>146</v>
      </c>
      <c r="AH110" s="2" t="s">
        <v>146</v>
      </c>
      <c r="AI110" s="2" t="s">
        <v>146</v>
      </c>
      <c r="AJ110" s="2" t="s">
        <v>146</v>
      </c>
      <c r="AK110" s="2" t="s">
        <v>146</v>
      </c>
      <c r="AL110" s="2" t="s">
        <v>146</v>
      </c>
      <c r="AM110" s="2" t="s">
        <v>146</v>
      </c>
      <c r="AN110" s="2" t="s">
        <v>146</v>
      </c>
      <c r="AO110" s="2" t="s">
        <v>146</v>
      </c>
      <c r="AQ110" s="2">
        <f t="shared" si="11"/>
        <v>0</v>
      </c>
      <c r="AR110" s="2">
        <f t="shared" si="12"/>
        <v>0</v>
      </c>
      <c r="AT110" s="2">
        <f t="shared" si="13"/>
        <v>0</v>
      </c>
      <c r="AU110" s="2">
        <f t="shared" si="14"/>
        <v>0</v>
      </c>
      <c r="AV110" s="27" t="str">
        <f t="shared" si="15"/>
        <v/>
      </c>
      <c r="AY110" s="2">
        <f t="shared" si="16"/>
        <v>0</v>
      </c>
      <c r="AZ110" s="2">
        <f t="shared" si="17"/>
        <v>0</v>
      </c>
      <c r="BA110" s="2">
        <f t="shared" si="18"/>
        <v>0</v>
      </c>
      <c r="BB110" s="2">
        <f t="shared" si="19"/>
        <v>0</v>
      </c>
      <c r="BC110" s="2">
        <f t="shared" si="20"/>
        <v>0</v>
      </c>
      <c r="BD110" s="2">
        <f t="shared" si="21"/>
        <v>0</v>
      </c>
    </row>
    <row r="111" spans="1:56" ht="15" customHeight="1" x14ac:dyDescent="0.45">
      <c r="A111" s="2" t="s">
        <v>538</v>
      </c>
      <c r="B111" s="2" t="s">
        <v>541</v>
      </c>
      <c r="C111" s="2">
        <v>2019</v>
      </c>
      <c r="D111" s="2">
        <v>31.3</v>
      </c>
      <c r="E111" s="2">
        <v>5.4</v>
      </c>
      <c r="F111" s="2" t="s">
        <v>146</v>
      </c>
      <c r="G111" s="2" t="s">
        <v>146</v>
      </c>
      <c r="H111" s="2" t="s">
        <v>146</v>
      </c>
      <c r="I111" s="2">
        <v>49.7</v>
      </c>
      <c r="J111" s="2" t="s">
        <v>146</v>
      </c>
      <c r="K111" s="2" t="s">
        <v>146</v>
      </c>
      <c r="L111" s="2" t="s">
        <v>146</v>
      </c>
      <c r="M111" s="2" t="s">
        <v>146</v>
      </c>
      <c r="N111" s="2" t="s">
        <v>146</v>
      </c>
      <c r="O111" s="2" t="s">
        <v>146</v>
      </c>
      <c r="P111" s="2" t="s">
        <v>146</v>
      </c>
      <c r="Q111" s="2">
        <v>8.6</v>
      </c>
      <c r="R111" s="2">
        <v>8.6</v>
      </c>
      <c r="S111" s="2">
        <v>8.6</v>
      </c>
      <c r="T111" s="2">
        <v>8.6</v>
      </c>
      <c r="U111" s="2" t="s">
        <v>146</v>
      </c>
      <c r="V111" s="2">
        <v>8.6</v>
      </c>
      <c r="W111" s="2" t="s">
        <v>147</v>
      </c>
      <c r="X111" s="2" t="s">
        <v>146</v>
      </c>
      <c r="Y111" s="2" t="s">
        <v>146</v>
      </c>
      <c r="Z111" s="2" t="s">
        <v>146</v>
      </c>
      <c r="AA111" s="2" t="s">
        <v>146</v>
      </c>
      <c r="AB111" s="2" t="s">
        <v>146</v>
      </c>
      <c r="AC111" s="2" t="s">
        <v>146</v>
      </c>
      <c r="AD111" s="2" t="s">
        <v>146</v>
      </c>
      <c r="AE111" s="2" t="s">
        <v>146</v>
      </c>
      <c r="AF111" s="2" t="s">
        <v>146</v>
      </c>
      <c r="AG111" s="2" t="s">
        <v>146</v>
      </c>
      <c r="AH111" s="2" t="s">
        <v>146</v>
      </c>
      <c r="AI111" s="2" t="s">
        <v>146</v>
      </c>
      <c r="AJ111" s="2" t="s">
        <v>146</v>
      </c>
      <c r="AK111" s="2">
        <v>6.7</v>
      </c>
      <c r="AL111" s="2">
        <v>100</v>
      </c>
      <c r="AM111" s="2" t="s">
        <v>146</v>
      </c>
      <c r="AN111" s="2" t="s">
        <v>146</v>
      </c>
      <c r="AO111" s="2" t="s">
        <v>146</v>
      </c>
      <c r="AQ111" s="2">
        <f t="shared" si="11"/>
        <v>43</v>
      </c>
      <c r="AR111" s="2">
        <f t="shared" si="12"/>
        <v>49.7</v>
      </c>
      <c r="AT111" s="2">
        <f t="shared" si="13"/>
        <v>31.3</v>
      </c>
      <c r="AU111" s="2">
        <f t="shared" si="14"/>
        <v>5.4</v>
      </c>
      <c r="AV111" s="27">
        <f t="shared" si="15"/>
        <v>0.7384305835010061</v>
      </c>
      <c r="AY111" s="2">
        <f t="shared" si="16"/>
        <v>6.7</v>
      </c>
      <c r="AZ111" s="2">
        <f t="shared" si="17"/>
        <v>6.7</v>
      </c>
      <c r="BA111" s="2">
        <f t="shared" si="18"/>
        <v>0</v>
      </c>
      <c r="BB111" s="2">
        <f t="shared" si="19"/>
        <v>0</v>
      </c>
      <c r="BC111" s="2">
        <f t="shared" si="20"/>
        <v>0</v>
      </c>
      <c r="BD111" s="2">
        <f t="shared" si="21"/>
        <v>0</v>
      </c>
    </row>
    <row r="112" spans="1:56" ht="15" customHeight="1" x14ac:dyDescent="0.45">
      <c r="A112" s="2" t="s">
        <v>538</v>
      </c>
      <c r="B112" s="2" t="s">
        <v>540</v>
      </c>
      <c r="C112" s="2">
        <v>2019</v>
      </c>
      <c r="D112" s="2" t="s">
        <v>146</v>
      </c>
      <c r="E112" s="2" t="s">
        <v>146</v>
      </c>
      <c r="F112" s="2" t="s">
        <v>146</v>
      </c>
      <c r="G112" s="2" t="s">
        <v>146</v>
      </c>
      <c r="H112" s="2" t="s">
        <v>146</v>
      </c>
      <c r="I112" s="2" t="s">
        <v>146</v>
      </c>
      <c r="J112" s="2" t="s">
        <v>146</v>
      </c>
      <c r="K112" s="2" t="s">
        <v>146</v>
      </c>
      <c r="L112" s="2" t="s">
        <v>146</v>
      </c>
      <c r="M112" s="2" t="s">
        <v>146</v>
      </c>
      <c r="N112" s="2" t="s">
        <v>146</v>
      </c>
      <c r="O112" s="2" t="s">
        <v>146</v>
      </c>
      <c r="P112" s="2" t="s">
        <v>146</v>
      </c>
      <c r="Q112" s="2" t="s">
        <v>146</v>
      </c>
      <c r="R112" s="2" t="s">
        <v>146</v>
      </c>
      <c r="S112" s="2" t="s">
        <v>146</v>
      </c>
      <c r="T112" s="2" t="s">
        <v>146</v>
      </c>
      <c r="U112" s="2" t="s">
        <v>146</v>
      </c>
      <c r="V112" s="2" t="s">
        <v>146</v>
      </c>
      <c r="W112" s="2" t="s">
        <v>146</v>
      </c>
      <c r="X112" s="2" t="s">
        <v>146</v>
      </c>
      <c r="Y112" s="2" t="s">
        <v>146</v>
      </c>
      <c r="Z112" s="2" t="s">
        <v>146</v>
      </c>
      <c r="AA112" s="2" t="s">
        <v>146</v>
      </c>
      <c r="AB112" s="2" t="s">
        <v>146</v>
      </c>
      <c r="AC112" s="2" t="s">
        <v>146</v>
      </c>
      <c r="AD112" s="2" t="s">
        <v>146</v>
      </c>
      <c r="AE112" s="2" t="s">
        <v>146</v>
      </c>
      <c r="AF112" s="2" t="s">
        <v>146</v>
      </c>
      <c r="AG112" s="2" t="s">
        <v>146</v>
      </c>
      <c r="AH112" s="2" t="s">
        <v>146</v>
      </c>
      <c r="AI112" s="2" t="s">
        <v>146</v>
      </c>
      <c r="AJ112" s="2" t="s">
        <v>146</v>
      </c>
      <c r="AK112" s="2" t="s">
        <v>146</v>
      </c>
      <c r="AL112" s="2" t="s">
        <v>146</v>
      </c>
      <c r="AM112" s="2" t="s">
        <v>146</v>
      </c>
      <c r="AN112" s="2" t="s">
        <v>146</v>
      </c>
      <c r="AO112" s="2" t="s">
        <v>146</v>
      </c>
      <c r="AQ112" s="2">
        <f t="shared" si="11"/>
        <v>0</v>
      </c>
      <c r="AR112" s="2">
        <f t="shared" si="12"/>
        <v>0</v>
      </c>
      <c r="AT112" s="2">
        <f t="shared" si="13"/>
        <v>0</v>
      </c>
      <c r="AU112" s="2">
        <f t="shared" si="14"/>
        <v>0</v>
      </c>
      <c r="AV112" s="27" t="str">
        <f t="shared" si="15"/>
        <v/>
      </c>
      <c r="AY112" s="2">
        <f t="shared" si="16"/>
        <v>0</v>
      </c>
      <c r="AZ112" s="2">
        <f t="shared" si="17"/>
        <v>0</v>
      </c>
      <c r="BA112" s="2">
        <f t="shared" si="18"/>
        <v>0</v>
      </c>
      <c r="BB112" s="2">
        <f t="shared" si="19"/>
        <v>0</v>
      </c>
      <c r="BC112" s="2">
        <f t="shared" si="20"/>
        <v>0</v>
      </c>
      <c r="BD112" s="2">
        <f t="shared" si="21"/>
        <v>0</v>
      </c>
    </row>
    <row r="113" spans="1:56" ht="15" customHeight="1" x14ac:dyDescent="0.45">
      <c r="A113" s="2" t="s">
        <v>538</v>
      </c>
      <c r="B113" s="2" t="s">
        <v>539</v>
      </c>
      <c r="C113" s="2">
        <v>2019</v>
      </c>
      <c r="D113" s="2" t="s">
        <v>146</v>
      </c>
      <c r="E113" s="2" t="s">
        <v>146</v>
      </c>
      <c r="F113" s="2" t="s">
        <v>146</v>
      </c>
      <c r="G113" s="2" t="s">
        <v>146</v>
      </c>
      <c r="H113" s="2" t="s">
        <v>146</v>
      </c>
      <c r="I113" s="2" t="s">
        <v>146</v>
      </c>
      <c r="J113" s="2" t="s">
        <v>146</v>
      </c>
      <c r="K113" s="2" t="s">
        <v>146</v>
      </c>
      <c r="L113" s="2" t="s">
        <v>146</v>
      </c>
      <c r="M113" s="2" t="s">
        <v>146</v>
      </c>
      <c r="N113" s="2" t="s">
        <v>146</v>
      </c>
      <c r="O113" s="2" t="s">
        <v>146</v>
      </c>
      <c r="P113" s="2" t="s">
        <v>146</v>
      </c>
      <c r="Q113" s="2" t="s">
        <v>146</v>
      </c>
      <c r="R113" s="2" t="s">
        <v>146</v>
      </c>
      <c r="S113" s="2" t="s">
        <v>146</v>
      </c>
      <c r="T113" s="2" t="s">
        <v>146</v>
      </c>
      <c r="U113" s="2" t="s">
        <v>146</v>
      </c>
      <c r="V113" s="2" t="s">
        <v>146</v>
      </c>
      <c r="W113" s="2" t="s">
        <v>146</v>
      </c>
      <c r="X113" s="2" t="s">
        <v>146</v>
      </c>
      <c r="Y113" s="2" t="s">
        <v>146</v>
      </c>
      <c r="Z113" s="2" t="s">
        <v>146</v>
      </c>
      <c r="AA113" s="2" t="s">
        <v>146</v>
      </c>
      <c r="AB113" s="2" t="s">
        <v>146</v>
      </c>
      <c r="AC113" s="2" t="s">
        <v>146</v>
      </c>
      <c r="AD113" s="2" t="s">
        <v>146</v>
      </c>
      <c r="AE113" s="2" t="s">
        <v>146</v>
      </c>
      <c r="AF113" s="2" t="s">
        <v>146</v>
      </c>
      <c r="AG113" s="2" t="s">
        <v>146</v>
      </c>
      <c r="AH113" s="2" t="s">
        <v>146</v>
      </c>
      <c r="AI113" s="2" t="s">
        <v>146</v>
      </c>
      <c r="AJ113" s="2" t="s">
        <v>146</v>
      </c>
      <c r="AK113" s="2" t="s">
        <v>146</v>
      </c>
      <c r="AL113" s="2" t="s">
        <v>146</v>
      </c>
      <c r="AM113" s="2" t="s">
        <v>146</v>
      </c>
      <c r="AN113" s="2" t="s">
        <v>146</v>
      </c>
      <c r="AO113" s="2" t="s">
        <v>146</v>
      </c>
      <c r="AQ113" s="2">
        <f t="shared" si="11"/>
        <v>0</v>
      </c>
      <c r="AR113" s="2">
        <f t="shared" si="12"/>
        <v>0</v>
      </c>
      <c r="AT113" s="2">
        <f t="shared" si="13"/>
        <v>0</v>
      </c>
      <c r="AU113" s="2">
        <f t="shared" si="14"/>
        <v>0</v>
      </c>
      <c r="AV113" s="27" t="str">
        <f t="shared" si="15"/>
        <v/>
      </c>
      <c r="AY113" s="2">
        <f t="shared" si="16"/>
        <v>0</v>
      </c>
      <c r="AZ113" s="2">
        <f t="shared" si="17"/>
        <v>0</v>
      </c>
      <c r="BA113" s="2">
        <f t="shared" si="18"/>
        <v>0</v>
      </c>
      <c r="BB113" s="2">
        <f t="shared" si="19"/>
        <v>0</v>
      </c>
      <c r="BC113" s="2">
        <f t="shared" si="20"/>
        <v>0</v>
      </c>
      <c r="BD113" s="2">
        <f t="shared" si="21"/>
        <v>0</v>
      </c>
    </row>
    <row r="114" spans="1:56" ht="15" customHeight="1" x14ac:dyDescent="0.45">
      <c r="A114" s="2" t="s">
        <v>538</v>
      </c>
      <c r="B114" s="2" t="s">
        <v>537</v>
      </c>
      <c r="C114" s="2">
        <v>2019</v>
      </c>
      <c r="D114" s="2">
        <v>30.7</v>
      </c>
      <c r="E114" s="2">
        <v>5.41</v>
      </c>
      <c r="F114" s="2" t="s">
        <v>146</v>
      </c>
      <c r="G114" s="2" t="s">
        <v>146</v>
      </c>
      <c r="H114" s="2" t="s">
        <v>146</v>
      </c>
      <c r="I114" s="2">
        <v>48.16</v>
      </c>
      <c r="J114" s="2" t="s">
        <v>146</v>
      </c>
      <c r="K114" s="2" t="s">
        <v>146</v>
      </c>
      <c r="L114" s="2" t="s">
        <v>146</v>
      </c>
      <c r="M114" s="2" t="s">
        <v>146</v>
      </c>
      <c r="N114" s="2" t="s">
        <v>146</v>
      </c>
      <c r="O114" s="2" t="s">
        <v>146</v>
      </c>
      <c r="P114" s="2" t="s">
        <v>146</v>
      </c>
      <c r="Q114" s="2">
        <v>8.6999999999999993</v>
      </c>
      <c r="R114" s="2">
        <v>8.6999999999999993</v>
      </c>
      <c r="S114" s="2">
        <v>8.6999999999999993</v>
      </c>
      <c r="T114" s="2">
        <v>8.6999999999999993</v>
      </c>
      <c r="U114" s="2">
        <v>0</v>
      </c>
      <c r="V114" s="2">
        <v>8.6999999999999993</v>
      </c>
      <c r="W114" s="2" t="s">
        <v>147</v>
      </c>
      <c r="X114" s="2" t="s">
        <v>146</v>
      </c>
      <c r="Y114" s="2" t="s">
        <v>146</v>
      </c>
      <c r="Z114" s="2" t="s">
        <v>146</v>
      </c>
      <c r="AA114" s="2" t="s">
        <v>146</v>
      </c>
      <c r="AB114" s="2" t="s">
        <v>146</v>
      </c>
      <c r="AC114" s="2" t="s">
        <v>146</v>
      </c>
      <c r="AD114" s="2" t="s">
        <v>146</v>
      </c>
      <c r="AE114" s="2" t="s">
        <v>146</v>
      </c>
      <c r="AF114" s="2" t="s">
        <v>146</v>
      </c>
      <c r="AG114" s="2" t="s">
        <v>146</v>
      </c>
      <c r="AH114" s="2" t="s">
        <v>146</v>
      </c>
      <c r="AI114" s="2" t="s">
        <v>146</v>
      </c>
      <c r="AJ114" s="2" t="s">
        <v>146</v>
      </c>
      <c r="AK114" s="2">
        <v>4.66</v>
      </c>
      <c r="AL114" s="2">
        <v>100</v>
      </c>
      <c r="AM114" s="2" t="s">
        <v>146</v>
      </c>
      <c r="AN114" s="2" t="s">
        <v>146</v>
      </c>
      <c r="AO114" s="2" t="s">
        <v>146</v>
      </c>
      <c r="AQ114" s="2">
        <f t="shared" si="11"/>
        <v>43.5</v>
      </c>
      <c r="AR114" s="2">
        <f t="shared" si="12"/>
        <v>48.16</v>
      </c>
      <c r="AT114" s="2">
        <f t="shared" si="13"/>
        <v>30.7</v>
      </c>
      <c r="AU114" s="2">
        <f t="shared" si="14"/>
        <v>5.41</v>
      </c>
      <c r="AV114" s="27">
        <f t="shared" si="15"/>
        <v>0.74979235880398676</v>
      </c>
      <c r="AY114" s="2">
        <f t="shared" si="16"/>
        <v>4.66</v>
      </c>
      <c r="AZ114" s="2">
        <f t="shared" si="17"/>
        <v>4.66</v>
      </c>
      <c r="BA114" s="2">
        <f t="shared" si="18"/>
        <v>0</v>
      </c>
      <c r="BB114" s="2">
        <f t="shared" si="19"/>
        <v>0</v>
      </c>
      <c r="BC114" s="2">
        <f t="shared" si="20"/>
        <v>0</v>
      </c>
      <c r="BD114" s="2">
        <f t="shared" si="21"/>
        <v>0</v>
      </c>
    </row>
    <row r="115" spans="1:56" ht="15" customHeight="1" x14ac:dyDescent="0.45">
      <c r="A115" s="2" t="s">
        <v>536</v>
      </c>
      <c r="B115" s="2" t="s">
        <v>74</v>
      </c>
      <c r="C115" s="2">
        <v>2019</v>
      </c>
      <c r="D115" s="2" t="s">
        <v>49</v>
      </c>
      <c r="E115" s="2" t="s">
        <v>49</v>
      </c>
      <c r="F115" s="2" t="s">
        <v>49</v>
      </c>
      <c r="G115" s="2" t="s">
        <v>49</v>
      </c>
      <c r="H115" s="2" t="s">
        <v>49</v>
      </c>
      <c r="I115" s="2" t="s">
        <v>49</v>
      </c>
      <c r="J115" s="2" t="s">
        <v>49</v>
      </c>
      <c r="K115" s="2" t="s">
        <v>49</v>
      </c>
      <c r="L115" s="2" t="s">
        <v>49</v>
      </c>
      <c r="M115" s="2" t="s">
        <v>49</v>
      </c>
      <c r="N115" s="2" t="s">
        <v>49</v>
      </c>
      <c r="O115" s="2" t="s">
        <v>49</v>
      </c>
      <c r="P115" s="2" t="s">
        <v>49</v>
      </c>
      <c r="Q115" s="2" t="s">
        <v>49</v>
      </c>
      <c r="R115" s="2" t="s">
        <v>49</v>
      </c>
      <c r="S115" s="2" t="s">
        <v>49</v>
      </c>
      <c r="T115" s="2" t="s">
        <v>49</v>
      </c>
      <c r="U115" s="2" t="s">
        <v>49</v>
      </c>
      <c r="V115" s="2" t="s">
        <v>49</v>
      </c>
      <c r="W115" s="2" t="s">
        <v>49</v>
      </c>
      <c r="X115" s="2" t="s">
        <v>49</v>
      </c>
      <c r="Y115" s="2" t="s">
        <v>49</v>
      </c>
      <c r="Z115" s="2" t="s">
        <v>49</v>
      </c>
      <c r="AA115" s="2" t="s">
        <v>49</v>
      </c>
      <c r="AB115" s="2" t="s">
        <v>49</v>
      </c>
      <c r="AC115" s="2" t="s">
        <v>49</v>
      </c>
      <c r="AD115" s="2" t="s">
        <v>49</v>
      </c>
      <c r="AE115" s="2" t="s">
        <v>49</v>
      </c>
      <c r="AF115" s="2" t="s">
        <v>49</v>
      </c>
      <c r="AG115" s="2" t="s">
        <v>49</v>
      </c>
      <c r="AH115" s="2" t="s">
        <v>49</v>
      </c>
      <c r="AI115" s="2" t="s">
        <v>49</v>
      </c>
      <c r="AJ115" s="2" t="s">
        <v>49</v>
      </c>
      <c r="AK115" s="2" t="s">
        <v>49</v>
      </c>
      <c r="AL115" s="2" t="s">
        <v>49</v>
      </c>
      <c r="AM115" s="2" t="s">
        <v>49</v>
      </c>
      <c r="AN115" s="2" t="s">
        <v>49</v>
      </c>
      <c r="AO115" s="2" t="s">
        <v>49</v>
      </c>
      <c r="AQ115" s="2">
        <f t="shared" si="11"/>
        <v>0</v>
      </c>
      <c r="AR115" s="2">
        <f t="shared" si="12"/>
        <v>0</v>
      </c>
      <c r="AT115" s="2">
        <f t="shared" si="13"/>
        <v>0</v>
      </c>
      <c r="AU115" s="2">
        <f t="shared" si="14"/>
        <v>0</v>
      </c>
      <c r="AV115" s="27" t="str">
        <f t="shared" si="15"/>
        <v/>
      </c>
      <c r="AY115" s="2">
        <f t="shared" si="16"/>
        <v>0</v>
      </c>
      <c r="AZ115" s="2">
        <f t="shared" si="17"/>
        <v>0</v>
      </c>
      <c r="BA115" s="2">
        <f t="shared" si="18"/>
        <v>0</v>
      </c>
      <c r="BB115" s="2">
        <f t="shared" si="19"/>
        <v>0</v>
      </c>
      <c r="BC115" s="2">
        <f t="shared" si="20"/>
        <v>0</v>
      </c>
      <c r="BD115" s="2">
        <f t="shared" si="21"/>
        <v>0</v>
      </c>
    </row>
    <row r="116" spans="1:56" ht="15" customHeight="1" x14ac:dyDescent="0.45">
      <c r="A116" s="2" t="s">
        <v>535</v>
      </c>
      <c r="B116" s="2" t="s">
        <v>534</v>
      </c>
      <c r="C116" s="2">
        <v>2019</v>
      </c>
      <c r="D116" s="2" t="s">
        <v>146</v>
      </c>
      <c r="E116" s="2" t="s">
        <v>146</v>
      </c>
      <c r="F116" s="2" t="s">
        <v>146</v>
      </c>
      <c r="G116" s="2" t="s">
        <v>146</v>
      </c>
      <c r="H116" s="2" t="s">
        <v>146</v>
      </c>
      <c r="I116" s="2" t="s">
        <v>146</v>
      </c>
      <c r="J116" s="2" t="s">
        <v>146</v>
      </c>
      <c r="K116" s="2" t="s">
        <v>146</v>
      </c>
      <c r="L116" s="2" t="s">
        <v>146</v>
      </c>
      <c r="M116" s="2" t="s">
        <v>146</v>
      </c>
      <c r="N116" s="2" t="s">
        <v>146</v>
      </c>
      <c r="O116" s="2" t="s">
        <v>146</v>
      </c>
      <c r="P116" s="2" t="s">
        <v>146</v>
      </c>
      <c r="Q116" s="2" t="s">
        <v>146</v>
      </c>
      <c r="R116" s="2" t="s">
        <v>146</v>
      </c>
      <c r="S116" s="2" t="s">
        <v>146</v>
      </c>
      <c r="T116" s="2" t="s">
        <v>146</v>
      </c>
      <c r="U116" s="2" t="s">
        <v>146</v>
      </c>
      <c r="V116" s="2" t="s">
        <v>146</v>
      </c>
      <c r="W116" s="2" t="s">
        <v>146</v>
      </c>
      <c r="X116" s="2" t="s">
        <v>146</v>
      </c>
      <c r="Y116" s="2" t="s">
        <v>146</v>
      </c>
      <c r="Z116" s="2" t="s">
        <v>146</v>
      </c>
      <c r="AA116" s="2" t="s">
        <v>146</v>
      </c>
      <c r="AB116" s="2" t="s">
        <v>146</v>
      </c>
      <c r="AC116" s="2" t="s">
        <v>146</v>
      </c>
      <c r="AD116" s="2" t="s">
        <v>146</v>
      </c>
      <c r="AE116" s="2" t="s">
        <v>146</v>
      </c>
      <c r="AF116" s="2" t="s">
        <v>146</v>
      </c>
      <c r="AG116" s="2" t="s">
        <v>146</v>
      </c>
      <c r="AH116" s="2" t="s">
        <v>146</v>
      </c>
      <c r="AI116" s="2" t="s">
        <v>146</v>
      </c>
      <c r="AJ116" s="2" t="s">
        <v>146</v>
      </c>
      <c r="AK116" s="2" t="s">
        <v>146</v>
      </c>
      <c r="AL116" s="2" t="s">
        <v>146</v>
      </c>
      <c r="AM116" s="2" t="s">
        <v>146</v>
      </c>
      <c r="AN116" s="2" t="s">
        <v>146</v>
      </c>
      <c r="AO116" s="2" t="s">
        <v>146</v>
      </c>
      <c r="AQ116" s="2">
        <f t="shared" si="11"/>
        <v>0</v>
      </c>
      <c r="AR116" s="2">
        <f t="shared" si="12"/>
        <v>0</v>
      </c>
      <c r="AT116" s="2">
        <f t="shared" si="13"/>
        <v>0</v>
      </c>
      <c r="AU116" s="2">
        <f t="shared" si="14"/>
        <v>0</v>
      </c>
      <c r="AV116" s="27" t="str">
        <f t="shared" si="15"/>
        <v/>
      </c>
      <c r="AY116" s="2">
        <f t="shared" si="16"/>
        <v>0</v>
      </c>
      <c r="AZ116" s="2">
        <f t="shared" si="17"/>
        <v>0</v>
      </c>
      <c r="BA116" s="2">
        <f t="shared" si="18"/>
        <v>0</v>
      </c>
      <c r="BB116" s="2">
        <f t="shared" si="19"/>
        <v>0</v>
      </c>
      <c r="BC116" s="2">
        <f t="shared" si="20"/>
        <v>0</v>
      </c>
      <c r="BD116" s="2">
        <f t="shared" si="21"/>
        <v>0</v>
      </c>
    </row>
    <row r="117" spans="1:56" ht="15" customHeight="1" x14ac:dyDescent="0.45">
      <c r="A117" s="2" t="s">
        <v>533</v>
      </c>
      <c r="B117" s="2" t="s">
        <v>532</v>
      </c>
      <c r="C117" s="2">
        <v>2019</v>
      </c>
      <c r="D117" s="2">
        <v>106.62</v>
      </c>
      <c r="E117" s="2">
        <v>33.200000000000003</v>
      </c>
      <c r="F117" s="2" t="s">
        <v>146</v>
      </c>
      <c r="G117" s="2" t="s">
        <v>146</v>
      </c>
      <c r="H117" s="2" t="s">
        <v>146</v>
      </c>
      <c r="I117" s="2">
        <v>213.9</v>
      </c>
      <c r="J117" s="2" t="s">
        <v>146</v>
      </c>
      <c r="K117" s="2" t="s">
        <v>146</v>
      </c>
      <c r="L117" s="2">
        <v>0</v>
      </c>
      <c r="M117" s="2" t="s">
        <v>146</v>
      </c>
      <c r="N117" s="2" t="s">
        <v>146</v>
      </c>
      <c r="O117" s="2" t="s">
        <v>146</v>
      </c>
      <c r="P117" s="2" t="s">
        <v>146</v>
      </c>
      <c r="Q117" s="2">
        <v>24</v>
      </c>
      <c r="R117" s="2">
        <v>56.6</v>
      </c>
      <c r="S117" s="2">
        <v>63.1</v>
      </c>
      <c r="T117" s="2">
        <v>6.1</v>
      </c>
      <c r="U117" s="2" t="s">
        <v>146</v>
      </c>
      <c r="V117" s="2">
        <v>0</v>
      </c>
      <c r="W117" s="2" t="s">
        <v>147</v>
      </c>
      <c r="X117" s="2" t="s">
        <v>146</v>
      </c>
      <c r="Y117" s="2" t="s">
        <v>146</v>
      </c>
      <c r="Z117" s="2" t="s">
        <v>146</v>
      </c>
      <c r="AA117" s="2" t="s">
        <v>146</v>
      </c>
      <c r="AB117" s="2" t="s">
        <v>146</v>
      </c>
      <c r="AC117" s="2" t="s">
        <v>146</v>
      </c>
      <c r="AD117" s="2" t="s">
        <v>146</v>
      </c>
      <c r="AE117" s="2">
        <v>30.7</v>
      </c>
      <c r="AF117" s="2" t="s">
        <v>146</v>
      </c>
      <c r="AG117" s="2" t="s">
        <v>146</v>
      </c>
      <c r="AH117" s="2" t="s">
        <v>146</v>
      </c>
      <c r="AI117" s="2" t="s">
        <v>146</v>
      </c>
      <c r="AJ117" s="2" t="s">
        <v>146</v>
      </c>
      <c r="AK117" s="2">
        <v>33.4</v>
      </c>
      <c r="AL117" s="2">
        <v>83</v>
      </c>
      <c r="AM117" s="2" t="s">
        <v>146</v>
      </c>
      <c r="AN117" s="2" t="s">
        <v>146</v>
      </c>
      <c r="AO117" s="2">
        <v>17</v>
      </c>
      <c r="AQ117" s="2">
        <f t="shared" si="11"/>
        <v>180.49999999999997</v>
      </c>
      <c r="AR117" s="2">
        <f t="shared" si="12"/>
        <v>213.89999999999998</v>
      </c>
      <c r="AT117" s="2">
        <f t="shared" si="13"/>
        <v>106.62</v>
      </c>
      <c r="AU117" s="2">
        <f t="shared" si="14"/>
        <v>33.200000000000003</v>
      </c>
      <c r="AV117" s="27">
        <f t="shared" si="15"/>
        <v>0.65366993922393646</v>
      </c>
      <c r="AY117" s="2">
        <f t="shared" si="16"/>
        <v>33.4</v>
      </c>
      <c r="AZ117" s="2">
        <f t="shared" si="17"/>
        <v>27.721999999999998</v>
      </c>
      <c r="BA117" s="2">
        <f t="shared" si="18"/>
        <v>0</v>
      </c>
      <c r="BB117" s="2">
        <f t="shared" si="19"/>
        <v>0</v>
      </c>
      <c r="BC117" s="2">
        <f t="shared" si="20"/>
        <v>5.6779999999999999</v>
      </c>
      <c r="BD117" s="2">
        <f t="shared" si="21"/>
        <v>0</v>
      </c>
    </row>
    <row r="118" spans="1:56" ht="15" customHeight="1" x14ac:dyDescent="0.45">
      <c r="A118" s="2" t="s">
        <v>530</v>
      </c>
      <c r="B118" s="2" t="s">
        <v>531</v>
      </c>
      <c r="C118" s="2">
        <v>2019</v>
      </c>
      <c r="D118" s="2">
        <v>111</v>
      </c>
      <c r="E118" s="2">
        <v>10.6</v>
      </c>
      <c r="F118" s="2" t="s">
        <v>146</v>
      </c>
      <c r="G118" s="2" t="s">
        <v>726</v>
      </c>
      <c r="H118" s="2">
        <v>13.4</v>
      </c>
      <c r="I118" s="2">
        <v>147.72999999999999</v>
      </c>
      <c r="J118" s="2" t="s">
        <v>146</v>
      </c>
      <c r="K118" s="2">
        <v>0</v>
      </c>
      <c r="L118" s="2" t="s">
        <v>146</v>
      </c>
      <c r="M118" s="2" t="s">
        <v>146</v>
      </c>
      <c r="N118" s="2" t="s">
        <v>146</v>
      </c>
      <c r="O118" s="2" t="s">
        <v>146</v>
      </c>
      <c r="P118" s="2" t="s">
        <v>146</v>
      </c>
      <c r="Q118" s="2" t="s">
        <v>146</v>
      </c>
      <c r="R118" s="2" t="s">
        <v>146</v>
      </c>
      <c r="S118" s="2" t="s">
        <v>146</v>
      </c>
      <c r="T118" s="2" t="s">
        <v>146</v>
      </c>
      <c r="U118" s="2" t="s">
        <v>146</v>
      </c>
      <c r="V118" s="2" t="s">
        <v>146</v>
      </c>
      <c r="W118" s="2" t="s">
        <v>147</v>
      </c>
      <c r="X118" s="2" t="s">
        <v>146</v>
      </c>
      <c r="Y118" s="2" t="s">
        <v>146</v>
      </c>
      <c r="Z118" s="2" t="s">
        <v>146</v>
      </c>
      <c r="AA118" s="2" t="s">
        <v>146</v>
      </c>
      <c r="AB118" s="2" t="s">
        <v>146</v>
      </c>
      <c r="AC118" s="2">
        <v>0.13</v>
      </c>
      <c r="AD118" s="2" t="s">
        <v>146</v>
      </c>
      <c r="AE118" s="2" t="s">
        <v>146</v>
      </c>
      <c r="AF118" s="2">
        <v>147.6</v>
      </c>
      <c r="AG118" s="2">
        <v>0</v>
      </c>
      <c r="AH118" s="2" t="s">
        <v>160</v>
      </c>
      <c r="AI118" s="2">
        <v>37.299999999999997</v>
      </c>
      <c r="AJ118" s="2" t="s">
        <v>146</v>
      </c>
      <c r="AK118" s="2" t="s">
        <v>146</v>
      </c>
      <c r="AL118" s="2" t="s">
        <v>146</v>
      </c>
      <c r="AM118" s="2" t="s">
        <v>146</v>
      </c>
      <c r="AN118" s="2" t="s">
        <v>146</v>
      </c>
      <c r="AO118" s="2" t="s">
        <v>146</v>
      </c>
      <c r="AQ118" s="2">
        <f t="shared" si="11"/>
        <v>147.72999999999999</v>
      </c>
      <c r="AR118" s="2">
        <f t="shared" si="12"/>
        <v>147.72999999999999</v>
      </c>
      <c r="AT118" s="2">
        <f t="shared" si="13"/>
        <v>111</v>
      </c>
      <c r="AU118" s="2">
        <f t="shared" si="14"/>
        <v>10.6</v>
      </c>
      <c r="AV118" s="27">
        <f t="shared" si="15"/>
        <v>0.82312326541663849</v>
      </c>
      <c r="AY118" s="2">
        <f t="shared" si="16"/>
        <v>0</v>
      </c>
      <c r="AZ118" s="2">
        <f t="shared" si="17"/>
        <v>0</v>
      </c>
      <c r="BA118" s="2">
        <f t="shared" si="18"/>
        <v>0</v>
      </c>
      <c r="BB118" s="2">
        <f t="shared" si="19"/>
        <v>0</v>
      </c>
      <c r="BC118" s="2">
        <f t="shared" si="20"/>
        <v>0</v>
      </c>
      <c r="BD118" s="2">
        <f t="shared" si="21"/>
        <v>0</v>
      </c>
    </row>
    <row r="119" spans="1:56" ht="15" customHeight="1" x14ac:dyDescent="0.45">
      <c r="A119" s="2" t="s">
        <v>530</v>
      </c>
      <c r="B119" s="2" t="s">
        <v>529</v>
      </c>
      <c r="C119" s="2">
        <v>2019</v>
      </c>
      <c r="D119" s="2" t="s">
        <v>146</v>
      </c>
      <c r="E119" s="2" t="s">
        <v>146</v>
      </c>
      <c r="F119" s="2" t="s">
        <v>146</v>
      </c>
      <c r="G119" s="2" t="s">
        <v>146</v>
      </c>
      <c r="H119" s="2" t="s">
        <v>146</v>
      </c>
      <c r="I119" s="2" t="s">
        <v>146</v>
      </c>
      <c r="J119" s="2" t="s">
        <v>146</v>
      </c>
      <c r="K119" s="2" t="s">
        <v>146</v>
      </c>
      <c r="L119" s="2" t="s">
        <v>146</v>
      </c>
      <c r="M119" s="2" t="s">
        <v>146</v>
      </c>
      <c r="N119" s="2" t="s">
        <v>146</v>
      </c>
      <c r="O119" s="2" t="s">
        <v>146</v>
      </c>
      <c r="P119" s="2" t="s">
        <v>146</v>
      </c>
      <c r="Q119" s="2" t="s">
        <v>146</v>
      </c>
      <c r="R119" s="2" t="s">
        <v>146</v>
      </c>
      <c r="S119" s="2" t="s">
        <v>146</v>
      </c>
      <c r="T119" s="2" t="s">
        <v>146</v>
      </c>
      <c r="U119" s="2" t="s">
        <v>146</v>
      </c>
      <c r="V119" s="2" t="s">
        <v>146</v>
      </c>
      <c r="W119" s="2" t="s">
        <v>146</v>
      </c>
      <c r="X119" s="2" t="s">
        <v>146</v>
      </c>
      <c r="Y119" s="2" t="s">
        <v>146</v>
      </c>
      <c r="Z119" s="2" t="s">
        <v>146</v>
      </c>
      <c r="AA119" s="2" t="s">
        <v>146</v>
      </c>
      <c r="AB119" s="2" t="s">
        <v>146</v>
      </c>
      <c r="AC119" s="2" t="s">
        <v>146</v>
      </c>
      <c r="AD119" s="2" t="s">
        <v>146</v>
      </c>
      <c r="AE119" s="2" t="s">
        <v>146</v>
      </c>
      <c r="AF119" s="2" t="s">
        <v>146</v>
      </c>
      <c r="AG119" s="2" t="s">
        <v>146</v>
      </c>
      <c r="AH119" s="2" t="s">
        <v>146</v>
      </c>
      <c r="AI119" s="2" t="s">
        <v>146</v>
      </c>
      <c r="AJ119" s="2" t="s">
        <v>146</v>
      </c>
      <c r="AK119" s="2" t="s">
        <v>146</v>
      </c>
      <c r="AL119" s="2" t="s">
        <v>146</v>
      </c>
      <c r="AM119" s="2" t="s">
        <v>146</v>
      </c>
      <c r="AN119" s="2" t="s">
        <v>146</v>
      </c>
      <c r="AO119" s="2" t="s">
        <v>146</v>
      </c>
      <c r="AQ119" s="2">
        <f t="shared" si="11"/>
        <v>0</v>
      </c>
      <c r="AR119" s="2">
        <f t="shared" si="12"/>
        <v>0</v>
      </c>
      <c r="AT119" s="2">
        <f t="shared" si="13"/>
        <v>0</v>
      </c>
      <c r="AU119" s="2">
        <f t="shared" si="14"/>
        <v>0</v>
      </c>
      <c r="AV119" s="27" t="str">
        <f t="shared" si="15"/>
        <v/>
      </c>
      <c r="AY119" s="2">
        <f t="shared" si="16"/>
        <v>0</v>
      </c>
      <c r="AZ119" s="2">
        <f t="shared" si="17"/>
        <v>0</v>
      </c>
      <c r="BA119" s="2">
        <f t="shared" si="18"/>
        <v>0</v>
      </c>
      <c r="BB119" s="2">
        <f t="shared" si="19"/>
        <v>0</v>
      </c>
      <c r="BC119" s="2">
        <f t="shared" si="20"/>
        <v>0</v>
      </c>
      <c r="BD119" s="2">
        <f t="shared" si="21"/>
        <v>0</v>
      </c>
    </row>
    <row r="120" spans="1:56" ht="15" customHeight="1" x14ac:dyDescent="0.45">
      <c r="A120" s="2" t="s">
        <v>528</v>
      </c>
      <c r="B120" s="2" t="s">
        <v>527</v>
      </c>
      <c r="C120" s="2">
        <v>2019</v>
      </c>
      <c r="D120" s="2" t="s">
        <v>146</v>
      </c>
      <c r="E120" s="2" t="s">
        <v>146</v>
      </c>
      <c r="F120" s="2" t="s">
        <v>146</v>
      </c>
      <c r="G120" s="2" t="s">
        <v>146</v>
      </c>
      <c r="H120" s="2" t="s">
        <v>146</v>
      </c>
      <c r="I120" s="2" t="s">
        <v>146</v>
      </c>
      <c r="J120" s="2" t="s">
        <v>146</v>
      </c>
      <c r="K120" s="2" t="s">
        <v>146</v>
      </c>
      <c r="L120" s="2" t="s">
        <v>146</v>
      </c>
      <c r="M120" s="2" t="s">
        <v>146</v>
      </c>
      <c r="N120" s="2" t="s">
        <v>146</v>
      </c>
      <c r="O120" s="2" t="s">
        <v>146</v>
      </c>
      <c r="P120" s="2" t="s">
        <v>146</v>
      </c>
      <c r="Q120" s="2" t="s">
        <v>146</v>
      </c>
      <c r="R120" s="2" t="s">
        <v>146</v>
      </c>
      <c r="S120" s="2" t="s">
        <v>146</v>
      </c>
      <c r="T120" s="2" t="s">
        <v>146</v>
      </c>
      <c r="U120" s="2" t="s">
        <v>146</v>
      </c>
      <c r="V120" s="2" t="s">
        <v>146</v>
      </c>
      <c r="W120" s="2" t="s">
        <v>146</v>
      </c>
      <c r="X120" s="2" t="s">
        <v>146</v>
      </c>
      <c r="Y120" s="2" t="s">
        <v>146</v>
      </c>
      <c r="Z120" s="2" t="s">
        <v>146</v>
      </c>
      <c r="AA120" s="2" t="s">
        <v>146</v>
      </c>
      <c r="AB120" s="2" t="s">
        <v>146</v>
      </c>
      <c r="AC120" s="2" t="s">
        <v>146</v>
      </c>
      <c r="AD120" s="2" t="s">
        <v>146</v>
      </c>
      <c r="AE120" s="2" t="s">
        <v>146</v>
      </c>
      <c r="AF120" s="2" t="s">
        <v>146</v>
      </c>
      <c r="AG120" s="2" t="s">
        <v>146</v>
      </c>
      <c r="AH120" s="2" t="s">
        <v>155</v>
      </c>
      <c r="AI120" s="2" t="s">
        <v>146</v>
      </c>
      <c r="AJ120" s="2" t="s">
        <v>146</v>
      </c>
      <c r="AK120" s="2" t="s">
        <v>146</v>
      </c>
      <c r="AL120" s="2" t="s">
        <v>146</v>
      </c>
      <c r="AM120" s="2" t="s">
        <v>146</v>
      </c>
      <c r="AN120" s="2" t="s">
        <v>146</v>
      </c>
      <c r="AO120" s="2" t="s">
        <v>146</v>
      </c>
      <c r="AQ120" s="2">
        <f t="shared" si="11"/>
        <v>0</v>
      </c>
      <c r="AR120" s="2">
        <f t="shared" si="12"/>
        <v>0</v>
      </c>
      <c r="AT120" s="2">
        <f t="shared" si="13"/>
        <v>0</v>
      </c>
      <c r="AU120" s="2">
        <f t="shared" si="14"/>
        <v>0</v>
      </c>
      <c r="AV120" s="27" t="str">
        <f t="shared" si="15"/>
        <v/>
      </c>
      <c r="AY120" s="2">
        <f t="shared" si="16"/>
        <v>0</v>
      </c>
      <c r="AZ120" s="2">
        <f t="shared" si="17"/>
        <v>0</v>
      </c>
      <c r="BA120" s="2">
        <f t="shared" si="18"/>
        <v>0</v>
      </c>
      <c r="BB120" s="2">
        <f t="shared" si="19"/>
        <v>0</v>
      </c>
      <c r="BC120" s="2">
        <f t="shared" si="20"/>
        <v>0</v>
      </c>
      <c r="BD120" s="2">
        <f t="shared" si="21"/>
        <v>0</v>
      </c>
    </row>
    <row r="121" spans="1:56" ht="15" customHeight="1" x14ac:dyDescent="0.45">
      <c r="A121" s="2" t="s">
        <v>526</v>
      </c>
      <c r="B121" s="2" t="s">
        <v>525</v>
      </c>
      <c r="C121" s="2">
        <v>2019</v>
      </c>
      <c r="D121" s="2" t="s">
        <v>146</v>
      </c>
      <c r="E121" s="2" t="s">
        <v>146</v>
      </c>
      <c r="F121" s="2" t="s">
        <v>146</v>
      </c>
      <c r="G121" s="2" t="s">
        <v>146</v>
      </c>
      <c r="H121" s="2" t="s">
        <v>146</v>
      </c>
      <c r="I121" s="2" t="s">
        <v>146</v>
      </c>
      <c r="J121" s="2" t="s">
        <v>146</v>
      </c>
      <c r="K121" s="2" t="s">
        <v>146</v>
      </c>
      <c r="L121" s="2" t="s">
        <v>146</v>
      </c>
      <c r="M121" s="2" t="s">
        <v>146</v>
      </c>
      <c r="N121" s="2" t="s">
        <v>146</v>
      </c>
      <c r="O121" s="2" t="s">
        <v>146</v>
      </c>
      <c r="P121" s="2" t="s">
        <v>146</v>
      </c>
      <c r="Q121" s="2" t="s">
        <v>146</v>
      </c>
      <c r="R121" s="2" t="s">
        <v>146</v>
      </c>
      <c r="S121" s="2" t="s">
        <v>146</v>
      </c>
      <c r="T121" s="2" t="s">
        <v>146</v>
      </c>
      <c r="U121" s="2" t="s">
        <v>146</v>
      </c>
      <c r="V121" s="2" t="s">
        <v>146</v>
      </c>
      <c r="W121" s="2" t="s">
        <v>146</v>
      </c>
      <c r="X121" s="2" t="s">
        <v>146</v>
      </c>
      <c r="Y121" s="2" t="s">
        <v>146</v>
      </c>
      <c r="Z121" s="2" t="s">
        <v>146</v>
      </c>
      <c r="AA121" s="2" t="s">
        <v>146</v>
      </c>
      <c r="AB121" s="2" t="s">
        <v>146</v>
      </c>
      <c r="AC121" s="2" t="s">
        <v>146</v>
      </c>
      <c r="AD121" s="2" t="s">
        <v>146</v>
      </c>
      <c r="AE121" s="2" t="s">
        <v>146</v>
      </c>
      <c r="AF121" s="2" t="s">
        <v>146</v>
      </c>
      <c r="AG121" s="2" t="s">
        <v>146</v>
      </c>
      <c r="AH121" s="2" t="s">
        <v>146</v>
      </c>
      <c r="AI121" s="2" t="s">
        <v>146</v>
      </c>
      <c r="AJ121" s="2" t="s">
        <v>146</v>
      </c>
      <c r="AK121" s="2" t="s">
        <v>146</v>
      </c>
      <c r="AL121" s="2" t="s">
        <v>146</v>
      </c>
      <c r="AM121" s="2" t="s">
        <v>146</v>
      </c>
      <c r="AN121" s="2" t="s">
        <v>146</v>
      </c>
      <c r="AO121" s="2" t="s">
        <v>146</v>
      </c>
      <c r="AQ121" s="2">
        <f t="shared" si="11"/>
        <v>0</v>
      </c>
      <c r="AR121" s="2">
        <f t="shared" si="12"/>
        <v>0</v>
      </c>
      <c r="AT121" s="2">
        <f t="shared" si="13"/>
        <v>0</v>
      </c>
      <c r="AU121" s="2">
        <f t="shared" si="14"/>
        <v>0</v>
      </c>
      <c r="AV121" s="27" t="str">
        <f t="shared" si="15"/>
        <v/>
      </c>
      <c r="AY121" s="2">
        <f t="shared" si="16"/>
        <v>0</v>
      </c>
      <c r="AZ121" s="2">
        <f t="shared" si="17"/>
        <v>0</v>
      </c>
      <c r="BA121" s="2">
        <f t="shared" si="18"/>
        <v>0</v>
      </c>
      <c r="BB121" s="2">
        <f t="shared" si="19"/>
        <v>0</v>
      </c>
      <c r="BC121" s="2">
        <f t="shared" si="20"/>
        <v>0</v>
      </c>
      <c r="BD121" s="2">
        <f t="shared" si="21"/>
        <v>0</v>
      </c>
    </row>
    <row r="122" spans="1:56" ht="15" customHeight="1" x14ac:dyDescent="0.45">
      <c r="A122" s="2" t="s">
        <v>520</v>
      </c>
      <c r="B122" s="2" t="s">
        <v>524</v>
      </c>
      <c r="C122" s="2">
        <v>2019</v>
      </c>
      <c r="D122" s="2" t="s">
        <v>146</v>
      </c>
      <c r="E122" s="2" t="s">
        <v>146</v>
      </c>
      <c r="F122" s="2" t="s">
        <v>146</v>
      </c>
      <c r="G122" s="2" t="s">
        <v>146</v>
      </c>
      <c r="H122" s="2" t="s">
        <v>146</v>
      </c>
      <c r="I122" s="2" t="s">
        <v>146</v>
      </c>
      <c r="J122" s="2" t="s">
        <v>146</v>
      </c>
      <c r="K122" s="2" t="s">
        <v>146</v>
      </c>
      <c r="L122" s="2" t="s">
        <v>146</v>
      </c>
      <c r="M122" s="2" t="s">
        <v>146</v>
      </c>
      <c r="N122" s="2" t="s">
        <v>146</v>
      </c>
      <c r="O122" s="2" t="s">
        <v>146</v>
      </c>
      <c r="P122" s="2" t="s">
        <v>146</v>
      </c>
      <c r="Q122" s="2" t="s">
        <v>146</v>
      </c>
      <c r="R122" s="2" t="s">
        <v>146</v>
      </c>
      <c r="S122" s="2" t="s">
        <v>146</v>
      </c>
      <c r="T122" s="2" t="s">
        <v>146</v>
      </c>
      <c r="U122" s="2" t="s">
        <v>146</v>
      </c>
      <c r="V122" s="2" t="s">
        <v>146</v>
      </c>
      <c r="W122" s="2" t="s">
        <v>146</v>
      </c>
      <c r="X122" s="2" t="s">
        <v>146</v>
      </c>
      <c r="Y122" s="2" t="s">
        <v>146</v>
      </c>
      <c r="Z122" s="2" t="s">
        <v>146</v>
      </c>
      <c r="AA122" s="2" t="s">
        <v>146</v>
      </c>
      <c r="AB122" s="2" t="s">
        <v>146</v>
      </c>
      <c r="AC122" s="2" t="s">
        <v>146</v>
      </c>
      <c r="AD122" s="2" t="s">
        <v>146</v>
      </c>
      <c r="AE122" s="2" t="s">
        <v>146</v>
      </c>
      <c r="AF122" s="2" t="s">
        <v>146</v>
      </c>
      <c r="AG122" s="2" t="s">
        <v>146</v>
      </c>
      <c r="AH122" s="2" t="s">
        <v>146</v>
      </c>
      <c r="AI122" s="2" t="s">
        <v>146</v>
      </c>
      <c r="AJ122" s="2" t="s">
        <v>146</v>
      </c>
      <c r="AK122" s="2" t="s">
        <v>146</v>
      </c>
      <c r="AL122" s="2" t="s">
        <v>146</v>
      </c>
      <c r="AM122" s="2" t="s">
        <v>146</v>
      </c>
      <c r="AN122" s="2" t="s">
        <v>146</v>
      </c>
      <c r="AO122" s="2" t="s">
        <v>146</v>
      </c>
      <c r="AQ122" s="2">
        <f t="shared" si="11"/>
        <v>0</v>
      </c>
      <c r="AR122" s="2">
        <f t="shared" si="12"/>
        <v>0</v>
      </c>
      <c r="AT122" s="2">
        <f t="shared" si="13"/>
        <v>0</v>
      </c>
      <c r="AU122" s="2">
        <f t="shared" si="14"/>
        <v>0</v>
      </c>
      <c r="AV122" s="27" t="str">
        <f t="shared" si="15"/>
        <v/>
      </c>
      <c r="AY122" s="2">
        <f t="shared" si="16"/>
        <v>0</v>
      </c>
      <c r="AZ122" s="2">
        <f t="shared" si="17"/>
        <v>0</v>
      </c>
      <c r="BA122" s="2">
        <f t="shared" si="18"/>
        <v>0</v>
      </c>
      <c r="BB122" s="2">
        <f t="shared" si="19"/>
        <v>0</v>
      </c>
      <c r="BC122" s="2">
        <f t="shared" si="20"/>
        <v>0</v>
      </c>
      <c r="BD122" s="2">
        <f t="shared" si="21"/>
        <v>0</v>
      </c>
    </row>
    <row r="123" spans="1:56" ht="15" customHeight="1" x14ac:dyDescent="0.45">
      <c r="A123" s="2" t="s">
        <v>520</v>
      </c>
      <c r="B123" s="2" t="s">
        <v>523</v>
      </c>
      <c r="C123" s="2">
        <v>2019</v>
      </c>
      <c r="D123" s="2" t="s">
        <v>146</v>
      </c>
      <c r="E123" s="2" t="s">
        <v>146</v>
      </c>
      <c r="F123" s="2" t="s">
        <v>146</v>
      </c>
      <c r="G123" s="2" t="s">
        <v>146</v>
      </c>
      <c r="H123" s="2" t="s">
        <v>146</v>
      </c>
      <c r="I123" s="2" t="s">
        <v>146</v>
      </c>
      <c r="J123" s="2" t="s">
        <v>146</v>
      </c>
      <c r="K123" s="2" t="s">
        <v>146</v>
      </c>
      <c r="L123" s="2" t="s">
        <v>146</v>
      </c>
      <c r="M123" s="2" t="s">
        <v>146</v>
      </c>
      <c r="N123" s="2" t="s">
        <v>146</v>
      </c>
      <c r="O123" s="2" t="s">
        <v>146</v>
      </c>
      <c r="P123" s="2" t="s">
        <v>146</v>
      </c>
      <c r="Q123" s="2" t="s">
        <v>146</v>
      </c>
      <c r="R123" s="2" t="s">
        <v>146</v>
      </c>
      <c r="S123" s="2" t="s">
        <v>146</v>
      </c>
      <c r="T123" s="2" t="s">
        <v>146</v>
      </c>
      <c r="U123" s="2" t="s">
        <v>146</v>
      </c>
      <c r="V123" s="2" t="s">
        <v>146</v>
      </c>
      <c r="W123" s="2" t="s">
        <v>146</v>
      </c>
      <c r="X123" s="2" t="s">
        <v>146</v>
      </c>
      <c r="Y123" s="2" t="s">
        <v>146</v>
      </c>
      <c r="Z123" s="2" t="s">
        <v>146</v>
      </c>
      <c r="AA123" s="2" t="s">
        <v>146</v>
      </c>
      <c r="AB123" s="2" t="s">
        <v>146</v>
      </c>
      <c r="AC123" s="2" t="s">
        <v>146</v>
      </c>
      <c r="AD123" s="2" t="s">
        <v>146</v>
      </c>
      <c r="AE123" s="2" t="s">
        <v>146</v>
      </c>
      <c r="AF123" s="2" t="s">
        <v>146</v>
      </c>
      <c r="AG123" s="2" t="s">
        <v>146</v>
      </c>
      <c r="AH123" s="2" t="s">
        <v>146</v>
      </c>
      <c r="AI123" s="2" t="s">
        <v>146</v>
      </c>
      <c r="AJ123" s="2" t="s">
        <v>146</v>
      </c>
      <c r="AK123" s="2" t="s">
        <v>146</v>
      </c>
      <c r="AL123" s="2" t="s">
        <v>146</v>
      </c>
      <c r="AM123" s="2" t="s">
        <v>146</v>
      </c>
      <c r="AN123" s="2" t="s">
        <v>146</v>
      </c>
      <c r="AO123" s="2" t="s">
        <v>146</v>
      </c>
      <c r="AQ123" s="2">
        <f t="shared" si="11"/>
        <v>0</v>
      </c>
      <c r="AR123" s="2">
        <f t="shared" si="12"/>
        <v>0</v>
      </c>
      <c r="AT123" s="2">
        <f t="shared" si="13"/>
        <v>0</v>
      </c>
      <c r="AU123" s="2">
        <f t="shared" si="14"/>
        <v>0</v>
      </c>
      <c r="AV123" s="27" t="str">
        <f t="shared" si="15"/>
        <v/>
      </c>
      <c r="AY123" s="2">
        <f t="shared" si="16"/>
        <v>0</v>
      </c>
      <c r="AZ123" s="2">
        <f t="shared" si="17"/>
        <v>0</v>
      </c>
      <c r="BA123" s="2">
        <f t="shared" si="18"/>
        <v>0</v>
      </c>
      <c r="BB123" s="2">
        <f t="shared" si="19"/>
        <v>0</v>
      </c>
      <c r="BC123" s="2">
        <f t="shared" si="20"/>
        <v>0</v>
      </c>
      <c r="BD123" s="2">
        <f t="shared" si="21"/>
        <v>0</v>
      </c>
    </row>
    <row r="124" spans="1:56" ht="15" customHeight="1" x14ac:dyDescent="0.45">
      <c r="A124" s="2" t="s">
        <v>520</v>
      </c>
      <c r="B124" s="2" t="s">
        <v>522</v>
      </c>
      <c r="C124" s="2">
        <v>2019</v>
      </c>
      <c r="D124" s="2" t="s">
        <v>146</v>
      </c>
      <c r="E124" s="2" t="s">
        <v>146</v>
      </c>
      <c r="F124" s="2" t="s">
        <v>146</v>
      </c>
      <c r="G124" s="2" t="s">
        <v>146</v>
      </c>
      <c r="H124" s="2" t="s">
        <v>146</v>
      </c>
      <c r="I124" s="2" t="s">
        <v>146</v>
      </c>
      <c r="J124" s="2" t="s">
        <v>146</v>
      </c>
      <c r="K124" s="2" t="s">
        <v>146</v>
      </c>
      <c r="L124" s="2" t="s">
        <v>146</v>
      </c>
      <c r="M124" s="2" t="s">
        <v>146</v>
      </c>
      <c r="N124" s="2" t="s">
        <v>146</v>
      </c>
      <c r="O124" s="2" t="s">
        <v>146</v>
      </c>
      <c r="P124" s="2" t="s">
        <v>146</v>
      </c>
      <c r="Q124" s="2" t="s">
        <v>146</v>
      </c>
      <c r="R124" s="2" t="s">
        <v>146</v>
      </c>
      <c r="S124" s="2" t="s">
        <v>146</v>
      </c>
      <c r="T124" s="2" t="s">
        <v>146</v>
      </c>
      <c r="U124" s="2" t="s">
        <v>146</v>
      </c>
      <c r="V124" s="2" t="s">
        <v>146</v>
      </c>
      <c r="W124" s="2" t="s">
        <v>146</v>
      </c>
      <c r="X124" s="2" t="s">
        <v>146</v>
      </c>
      <c r="Y124" s="2" t="s">
        <v>146</v>
      </c>
      <c r="Z124" s="2" t="s">
        <v>146</v>
      </c>
      <c r="AA124" s="2" t="s">
        <v>146</v>
      </c>
      <c r="AB124" s="2" t="s">
        <v>146</v>
      </c>
      <c r="AC124" s="2" t="s">
        <v>146</v>
      </c>
      <c r="AD124" s="2" t="s">
        <v>146</v>
      </c>
      <c r="AE124" s="2" t="s">
        <v>146</v>
      </c>
      <c r="AF124" s="2" t="s">
        <v>146</v>
      </c>
      <c r="AG124" s="2" t="s">
        <v>146</v>
      </c>
      <c r="AH124" s="2" t="s">
        <v>146</v>
      </c>
      <c r="AI124" s="2" t="s">
        <v>146</v>
      </c>
      <c r="AJ124" s="2" t="s">
        <v>146</v>
      </c>
      <c r="AK124" s="2" t="s">
        <v>146</v>
      </c>
      <c r="AL124" s="2" t="s">
        <v>146</v>
      </c>
      <c r="AM124" s="2" t="s">
        <v>146</v>
      </c>
      <c r="AN124" s="2" t="s">
        <v>146</v>
      </c>
      <c r="AO124" s="2" t="s">
        <v>146</v>
      </c>
      <c r="AQ124" s="2">
        <f t="shared" si="11"/>
        <v>0</v>
      </c>
      <c r="AR124" s="2">
        <f t="shared" si="12"/>
        <v>0</v>
      </c>
      <c r="AT124" s="2">
        <f t="shared" si="13"/>
        <v>0</v>
      </c>
      <c r="AU124" s="2">
        <f t="shared" si="14"/>
        <v>0</v>
      </c>
      <c r="AV124" s="27" t="str">
        <f t="shared" si="15"/>
        <v/>
      </c>
      <c r="AY124" s="2">
        <f t="shared" si="16"/>
        <v>0</v>
      </c>
      <c r="AZ124" s="2">
        <f t="shared" si="17"/>
        <v>0</v>
      </c>
      <c r="BA124" s="2">
        <f t="shared" si="18"/>
        <v>0</v>
      </c>
      <c r="BB124" s="2">
        <f t="shared" si="19"/>
        <v>0</v>
      </c>
      <c r="BC124" s="2">
        <f t="shared" si="20"/>
        <v>0</v>
      </c>
      <c r="BD124" s="2">
        <f t="shared" si="21"/>
        <v>0</v>
      </c>
    </row>
    <row r="125" spans="1:56" ht="15" customHeight="1" x14ac:dyDescent="0.45">
      <c r="A125" s="2" t="s">
        <v>520</v>
      </c>
      <c r="B125" s="2" t="s">
        <v>521</v>
      </c>
      <c r="C125" s="2">
        <v>2019</v>
      </c>
      <c r="D125" s="2">
        <v>392</v>
      </c>
      <c r="E125" s="2">
        <v>191</v>
      </c>
      <c r="F125" s="2" t="s">
        <v>146</v>
      </c>
      <c r="G125" s="2" t="s">
        <v>146</v>
      </c>
      <c r="H125" s="2" t="s">
        <v>146</v>
      </c>
      <c r="I125" s="2">
        <v>816.72</v>
      </c>
      <c r="J125" s="2" t="s">
        <v>146</v>
      </c>
      <c r="K125" s="2" t="s">
        <v>146</v>
      </c>
      <c r="L125" s="2" t="s">
        <v>146</v>
      </c>
      <c r="M125" s="2" t="s">
        <v>146</v>
      </c>
      <c r="N125" s="2" t="s">
        <v>146</v>
      </c>
      <c r="O125" s="2" t="s">
        <v>146</v>
      </c>
      <c r="P125" s="2" t="s">
        <v>146</v>
      </c>
      <c r="Q125" s="2">
        <v>28.7</v>
      </c>
      <c r="R125" s="2">
        <v>166.5</v>
      </c>
      <c r="S125" s="2">
        <v>266.5</v>
      </c>
      <c r="T125" s="2">
        <v>100.4</v>
      </c>
      <c r="U125" s="2" t="s">
        <v>146</v>
      </c>
      <c r="V125" s="2" t="s">
        <v>146</v>
      </c>
      <c r="W125" s="2" t="s">
        <v>146</v>
      </c>
      <c r="X125" s="2">
        <v>0</v>
      </c>
      <c r="Y125" s="2">
        <v>0</v>
      </c>
      <c r="Z125" s="2" t="s">
        <v>146</v>
      </c>
      <c r="AA125" s="2">
        <v>94.4</v>
      </c>
      <c r="AB125" s="2" t="s">
        <v>146</v>
      </c>
      <c r="AC125" s="2" t="s">
        <v>146</v>
      </c>
      <c r="AD125" s="2" t="s">
        <v>146</v>
      </c>
      <c r="AE125" s="2">
        <v>32.1</v>
      </c>
      <c r="AF125" s="2" t="s">
        <v>146</v>
      </c>
      <c r="AG125" s="2" t="s">
        <v>146</v>
      </c>
      <c r="AH125" s="2" t="s">
        <v>146</v>
      </c>
      <c r="AI125" s="2" t="s">
        <v>146</v>
      </c>
      <c r="AJ125" s="2" t="s">
        <v>146</v>
      </c>
      <c r="AK125" s="2">
        <v>128.12</v>
      </c>
      <c r="AL125" s="2">
        <v>95.3</v>
      </c>
      <c r="AM125" s="2" t="s">
        <v>146</v>
      </c>
      <c r="AN125" s="2" t="s">
        <v>146</v>
      </c>
      <c r="AO125" s="2">
        <v>4.7</v>
      </c>
      <c r="AQ125" s="2">
        <f t="shared" si="11"/>
        <v>688.6</v>
      </c>
      <c r="AR125" s="2">
        <f t="shared" si="12"/>
        <v>816.72</v>
      </c>
      <c r="AT125" s="2">
        <f t="shared" si="13"/>
        <v>392</v>
      </c>
      <c r="AU125" s="2">
        <f t="shared" si="14"/>
        <v>191</v>
      </c>
      <c r="AV125" s="27">
        <f t="shared" si="15"/>
        <v>0.71383093349005777</v>
      </c>
      <c r="AY125" s="2">
        <f t="shared" si="16"/>
        <v>128.12</v>
      </c>
      <c r="AZ125" s="2">
        <f t="shared" si="17"/>
        <v>122.09836</v>
      </c>
      <c r="BA125" s="2">
        <f t="shared" si="18"/>
        <v>0</v>
      </c>
      <c r="BB125" s="2">
        <f t="shared" si="19"/>
        <v>0</v>
      </c>
      <c r="BC125" s="2">
        <f t="shared" si="20"/>
        <v>6.0216400000000005</v>
      </c>
      <c r="BD125" s="2">
        <f t="shared" si="21"/>
        <v>0</v>
      </c>
    </row>
    <row r="126" spans="1:56" ht="15" customHeight="1" x14ac:dyDescent="0.45">
      <c r="A126" s="2" t="s">
        <v>520</v>
      </c>
      <c r="B126" s="2" t="s">
        <v>519</v>
      </c>
      <c r="C126" s="2">
        <v>2019</v>
      </c>
      <c r="D126" s="2" t="s">
        <v>146</v>
      </c>
      <c r="E126" s="2" t="s">
        <v>146</v>
      </c>
      <c r="F126" s="2" t="s">
        <v>146</v>
      </c>
      <c r="G126" s="2" t="s">
        <v>146</v>
      </c>
      <c r="H126" s="2" t="s">
        <v>146</v>
      </c>
      <c r="I126" s="2">
        <v>1.5760000000000001</v>
      </c>
      <c r="J126" s="2" t="s">
        <v>146</v>
      </c>
      <c r="K126" s="2" t="s">
        <v>146</v>
      </c>
      <c r="L126" s="2" t="s">
        <v>146</v>
      </c>
      <c r="M126" s="2" t="s">
        <v>146</v>
      </c>
      <c r="N126" s="2" t="s">
        <v>146</v>
      </c>
      <c r="O126" s="2" t="s">
        <v>146</v>
      </c>
      <c r="P126" s="2" t="s">
        <v>146</v>
      </c>
      <c r="Q126" s="2" t="s">
        <v>146</v>
      </c>
      <c r="R126" s="2" t="s">
        <v>146</v>
      </c>
      <c r="S126" s="2" t="s">
        <v>146</v>
      </c>
      <c r="T126" s="2" t="s">
        <v>146</v>
      </c>
      <c r="U126" s="2" t="s">
        <v>146</v>
      </c>
      <c r="V126" s="2" t="s">
        <v>146</v>
      </c>
      <c r="W126" s="2" t="s">
        <v>146</v>
      </c>
      <c r="X126" s="2" t="s">
        <v>146</v>
      </c>
      <c r="Y126" s="2" t="s">
        <v>146</v>
      </c>
      <c r="Z126" s="2" t="s">
        <v>146</v>
      </c>
      <c r="AA126" s="2" t="s">
        <v>146</v>
      </c>
      <c r="AB126" s="2" t="s">
        <v>146</v>
      </c>
      <c r="AC126" s="2" t="s">
        <v>146</v>
      </c>
      <c r="AD126" s="2" t="s">
        <v>146</v>
      </c>
      <c r="AE126" s="2" t="s">
        <v>146</v>
      </c>
      <c r="AF126" s="2" t="s">
        <v>146</v>
      </c>
      <c r="AG126" s="2" t="s">
        <v>146</v>
      </c>
      <c r="AH126" s="2" t="s">
        <v>146</v>
      </c>
      <c r="AI126" s="2" t="s">
        <v>146</v>
      </c>
      <c r="AJ126" s="2" t="s">
        <v>146</v>
      </c>
      <c r="AK126" s="2">
        <v>1.5760000000000001</v>
      </c>
      <c r="AL126" s="2">
        <v>100</v>
      </c>
      <c r="AM126" s="2" t="s">
        <v>146</v>
      </c>
      <c r="AN126" s="2" t="s">
        <v>146</v>
      </c>
      <c r="AO126" s="2" t="s">
        <v>146</v>
      </c>
      <c r="AQ126" s="2">
        <f t="shared" si="11"/>
        <v>0</v>
      </c>
      <c r="AR126" s="2">
        <f t="shared" si="12"/>
        <v>1.5760000000000001</v>
      </c>
      <c r="AT126" s="2">
        <f t="shared" si="13"/>
        <v>0</v>
      </c>
      <c r="AU126" s="2">
        <f t="shared" si="14"/>
        <v>0</v>
      </c>
      <c r="AV126" s="27">
        <f t="shared" si="15"/>
        <v>0</v>
      </c>
      <c r="AY126" s="2">
        <f t="shared" si="16"/>
        <v>1.5760000000000001</v>
      </c>
      <c r="AZ126" s="2">
        <f t="shared" si="17"/>
        <v>1.5760000000000001</v>
      </c>
      <c r="BA126" s="2">
        <f t="shared" si="18"/>
        <v>0</v>
      </c>
      <c r="BB126" s="2">
        <f t="shared" si="19"/>
        <v>0</v>
      </c>
      <c r="BC126" s="2">
        <f t="shared" si="20"/>
        <v>0</v>
      </c>
      <c r="BD126" s="2">
        <f t="shared" si="21"/>
        <v>0</v>
      </c>
    </row>
    <row r="127" spans="1:56" ht="15" customHeight="1" x14ac:dyDescent="0.45">
      <c r="A127" s="2" t="s">
        <v>518</v>
      </c>
      <c r="B127" s="2" t="s">
        <v>77</v>
      </c>
      <c r="C127" s="2">
        <v>2019</v>
      </c>
      <c r="D127" s="2" t="s">
        <v>146</v>
      </c>
      <c r="E127" s="2" t="s">
        <v>146</v>
      </c>
      <c r="F127" s="2" t="s">
        <v>146</v>
      </c>
      <c r="G127" s="2" t="s">
        <v>146</v>
      </c>
      <c r="H127" s="2" t="s">
        <v>146</v>
      </c>
      <c r="I127" s="2" t="s">
        <v>146</v>
      </c>
      <c r="J127" s="2" t="s">
        <v>146</v>
      </c>
      <c r="K127" s="2" t="s">
        <v>146</v>
      </c>
      <c r="L127" s="2" t="s">
        <v>146</v>
      </c>
      <c r="M127" s="2" t="s">
        <v>146</v>
      </c>
      <c r="N127" s="2" t="s">
        <v>146</v>
      </c>
      <c r="O127" s="2" t="s">
        <v>146</v>
      </c>
      <c r="P127" s="2" t="s">
        <v>146</v>
      </c>
      <c r="Q127" s="2" t="s">
        <v>146</v>
      </c>
      <c r="R127" s="2" t="s">
        <v>146</v>
      </c>
      <c r="S127" s="2" t="s">
        <v>146</v>
      </c>
      <c r="T127" s="2" t="s">
        <v>146</v>
      </c>
      <c r="U127" s="2" t="s">
        <v>146</v>
      </c>
      <c r="V127" s="2" t="s">
        <v>146</v>
      </c>
      <c r="W127" s="2" t="s">
        <v>146</v>
      </c>
      <c r="X127" s="2" t="s">
        <v>146</v>
      </c>
      <c r="Y127" s="2" t="s">
        <v>146</v>
      </c>
      <c r="Z127" s="2" t="s">
        <v>146</v>
      </c>
      <c r="AA127" s="2" t="s">
        <v>146</v>
      </c>
      <c r="AB127" s="2" t="s">
        <v>146</v>
      </c>
      <c r="AC127" s="2" t="s">
        <v>146</v>
      </c>
      <c r="AD127" s="2" t="s">
        <v>146</v>
      </c>
      <c r="AE127" s="2" t="s">
        <v>146</v>
      </c>
      <c r="AF127" s="2" t="s">
        <v>146</v>
      </c>
      <c r="AG127" s="2" t="s">
        <v>146</v>
      </c>
      <c r="AH127" s="2" t="s">
        <v>146</v>
      </c>
      <c r="AI127" s="2" t="s">
        <v>146</v>
      </c>
      <c r="AJ127" s="2" t="s">
        <v>146</v>
      </c>
      <c r="AK127" s="2" t="s">
        <v>146</v>
      </c>
      <c r="AL127" s="2" t="s">
        <v>146</v>
      </c>
      <c r="AM127" s="2" t="s">
        <v>146</v>
      </c>
      <c r="AN127" s="2" t="s">
        <v>146</v>
      </c>
      <c r="AO127" s="2" t="s">
        <v>146</v>
      </c>
      <c r="AQ127" s="2">
        <f t="shared" si="11"/>
        <v>0</v>
      </c>
      <c r="AR127" s="2">
        <f t="shared" si="12"/>
        <v>0</v>
      </c>
      <c r="AT127" s="2">
        <f t="shared" si="13"/>
        <v>0</v>
      </c>
      <c r="AU127" s="2">
        <f t="shared" si="14"/>
        <v>0</v>
      </c>
      <c r="AV127" s="27" t="str">
        <f t="shared" si="15"/>
        <v/>
      </c>
      <c r="AY127" s="2">
        <f t="shared" si="16"/>
        <v>0</v>
      </c>
      <c r="AZ127" s="2">
        <f t="shared" si="17"/>
        <v>0</v>
      </c>
      <c r="BA127" s="2">
        <f t="shared" si="18"/>
        <v>0</v>
      </c>
      <c r="BB127" s="2">
        <f t="shared" si="19"/>
        <v>0</v>
      </c>
      <c r="BC127" s="2">
        <f t="shared" si="20"/>
        <v>0</v>
      </c>
      <c r="BD127" s="2">
        <f t="shared" si="21"/>
        <v>0</v>
      </c>
    </row>
    <row r="128" spans="1:56" ht="15" customHeight="1" x14ac:dyDescent="0.45">
      <c r="A128" s="2" t="s">
        <v>515</v>
      </c>
      <c r="B128" s="2" t="s">
        <v>517</v>
      </c>
      <c r="C128" s="2">
        <v>2019</v>
      </c>
      <c r="D128" s="2" t="s">
        <v>146</v>
      </c>
      <c r="E128" s="2" t="s">
        <v>146</v>
      </c>
      <c r="F128" s="2" t="s">
        <v>146</v>
      </c>
      <c r="G128" s="2" t="s">
        <v>146</v>
      </c>
      <c r="H128" s="2" t="s">
        <v>146</v>
      </c>
      <c r="I128" s="2" t="s">
        <v>146</v>
      </c>
      <c r="J128" s="2" t="s">
        <v>146</v>
      </c>
      <c r="K128" s="2" t="s">
        <v>146</v>
      </c>
      <c r="L128" s="2" t="s">
        <v>146</v>
      </c>
      <c r="M128" s="2" t="s">
        <v>146</v>
      </c>
      <c r="N128" s="2" t="s">
        <v>146</v>
      </c>
      <c r="O128" s="2" t="s">
        <v>146</v>
      </c>
      <c r="P128" s="2" t="s">
        <v>146</v>
      </c>
      <c r="Q128" s="2" t="s">
        <v>146</v>
      </c>
      <c r="R128" s="2" t="s">
        <v>146</v>
      </c>
      <c r="S128" s="2" t="s">
        <v>146</v>
      </c>
      <c r="T128" s="2" t="s">
        <v>146</v>
      </c>
      <c r="U128" s="2" t="s">
        <v>146</v>
      </c>
      <c r="V128" s="2" t="s">
        <v>146</v>
      </c>
      <c r="W128" s="2" t="s">
        <v>146</v>
      </c>
      <c r="X128" s="2" t="s">
        <v>146</v>
      </c>
      <c r="Y128" s="2" t="s">
        <v>146</v>
      </c>
      <c r="Z128" s="2" t="s">
        <v>146</v>
      </c>
      <c r="AA128" s="2" t="s">
        <v>146</v>
      </c>
      <c r="AB128" s="2" t="s">
        <v>146</v>
      </c>
      <c r="AC128" s="2" t="s">
        <v>146</v>
      </c>
      <c r="AD128" s="2" t="s">
        <v>146</v>
      </c>
      <c r="AE128" s="2" t="s">
        <v>146</v>
      </c>
      <c r="AF128" s="2" t="s">
        <v>146</v>
      </c>
      <c r="AG128" s="2" t="s">
        <v>146</v>
      </c>
      <c r="AH128" s="2" t="s">
        <v>146</v>
      </c>
      <c r="AI128" s="2" t="s">
        <v>146</v>
      </c>
      <c r="AJ128" s="2" t="s">
        <v>146</v>
      </c>
      <c r="AK128" s="2" t="s">
        <v>146</v>
      </c>
      <c r="AL128" s="2" t="s">
        <v>146</v>
      </c>
      <c r="AM128" s="2" t="s">
        <v>146</v>
      </c>
      <c r="AN128" s="2" t="s">
        <v>146</v>
      </c>
      <c r="AO128" s="2" t="s">
        <v>146</v>
      </c>
      <c r="AQ128" s="2">
        <f t="shared" si="11"/>
        <v>0</v>
      </c>
      <c r="AR128" s="2">
        <f t="shared" si="12"/>
        <v>0</v>
      </c>
      <c r="AT128" s="2">
        <f t="shared" si="13"/>
        <v>0</v>
      </c>
      <c r="AU128" s="2">
        <f t="shared" si="14"/>
        <v>0</v>
      </c>
      <c r="AV128" s="27" t="str">
        <f t="shared" si="15"/>
        <v/>
      </c>
      <c r="AY128" s="2">
        <f t="shared" si="16"/>
        <v>0</v>
      </c>
      <c r="AZ128" s="2">
        <f t="shared" si="17"/>
        <v>0</v>
      </c>
      <c r="BA128" s="2">
        <f t="shared" si="18"/>
        <v>0</v>
      </c>
      <c r="BB128" s="2">
        <f t="shared" si="19"/>
        <v>0</v>
      </c>
      <c r="BC128" s="2">
        <f t="shared" si="20"/>
        <v>0</v>
      </c>
      <c r="BD128" s="2">
        <f t="shared" si="21"/>
        <v>0</v>
      </c>
    </row>
    <row r="129" spans="1:56" ht="15" customHeight="1" x14ac:dyDescent="0.45">
      <c r="A129" s="2" t="s">
        <v>515</v>
      </c>
      <c r="B129" s="2" t="s">
        <v>516</v>
      </c>
      <c r="C129" s="2">
        <v>2019</v>
      </c>
      <c r="D129" s="2">
        <v>626.04</v>
      </c>
      <c r="E129" s="2">
        <v>235.59899999999999</v>
      </c>
      <c r="F129" s="2">
        <v>0</v>
      </c>
      <c r="G129" s="2" t="s">
        <v>146</v>
      </c>
      <c r="H129" s="2" t="s">
        <v>146</v>
      </c>
      <c r="I129" s="2">
        <v>1122.047</v>
      </c>
      <c r="J129" s="2" t="s">
        <v>146</v>
      </c>
      <c r="K129" s="2">
        <v>2.68</v>
      </c>
      <c r="L129" s="2" t="s">
        <v>146</v>
      </c>
      <c r="M129" s="2" t="s">
        <v>146</v>
      </c>
      <c r="N129" s="2" t="s">
        <v>146</v>
      </c>
      <c r="O129" s="2" t="s">
        <v>146</v>
      </c>
      <c r="P129" s="2" t="s">
        <v>146</v>
      </c>
      <c r="Q129" s="2">
        <v>255.45</v>
      </c>
      <c r="R129" s="2">
        <v>55.61</v>
      </c>
      <c r="S129" s="2">
        <v>29.8</v>
      </c>
      <c r="T129" s="2">
        <v>9.4499999999999993</v>
      </c>
      <c r="U129" s="2">
        <v>0</v>
      </c>
      <c r="V129" s="2">
        <v>93.14</v>
      </c>
      <c r="W129" s="2" t="s">
        <v>147</v>
      </c>
      <c r="X129" s="2" t="s">
        <v>146</v>
      </c>
      <c r="Y129" s="2" t="s">
        <v>146</v>
      </c>
      <c r="Z129" s="2" t="s">
        <v>146</v>
      </c>
      <c r="AA129" s="2">
        <v>8.61</v>
      </c>
      <c r="AB129" s="2" t="s">
        <v>146</v>
      </c>
      <c r="AC129" s="2" t="s">
        <v>146</v>
      </c>
      <c r="AD129" s="2" t="s">
        <v>146</v>
      </c>
      <c r="AE129" s="2">
        <v>0</v>
      </c>
      <c r="AF129" s="2">
        <v>537.64</v>
      </c>
      <c r="AG129" s="2">
        <v>1.581</v>
      </c>
      <c r="AH129" s="2" t="s">
        <v>160</v>
      </c>
      <c r="AI129" s="2">
        <v>37.299999999999997</v>
      </c>
      <c r="AJ129" s="2" t="s">
        <v>146</v>
      </c>
      <c r="AK129" s="2">
        <v>129.667</v>
      </c>
      <c r="AL129" s="2">
        <v>63.6</v>
      </c>
      <c r="AM129" s="2">
        <v>36.4</v>
      </c>
      <c r="AN129" s="2">
        <v>0</v>
      </c>
      <c r="AO129" s="2">
        <v>0</v>
      </c>
      <c r="AQ129" s="2">
        <f t="shared" si="11"/>
        <v>992.38</v>
      </c>
      <c r="AR129" s="2">
        <f t="shared" si="12"/>
        <v>1122.047</v>
      </c>
      <c r="AT129" s="2">
        <f t="shared" si="13"/>
        <v>626.04</v>
      </c>
      <c r="AU129" s="2">
        <f t="shared" si="14"/>
        <v>235.59899999999999</v>
      </c>
      <c r="AV129" s="27">
        <f t="shared" si="15"/>
        <v>0.76791703021352931</v>
      </c>
      <c r="AY129" s="2">
        <f t="shared" si="16"/>
        <v>129.667</v>
      </c>
      <c r="AZ129" s="2">
        <f t="shared" si="17"/>
        <v>82.468212000000008</v>
      </c>
      <c r="BA129" s="2">
        <f t="shared" si="18"/>
        <v>47.198788</v>
      </c>
      <c r="BB129" s="2">
        <f t="shared" si="19"/>
        <v>0</v>
      </c>
      <c r="BC129" s="2">
        <f t="shared" si="20"/>
        <v>0</v>
      </c>
      <c r="BD129" s="2">
        <f t="shared" si="21"/>
        <v>0</v>
      </c>
    </row>
    <row r="130" spans="1:56" ht="15" customHeight="1" x14ac:dyDescent="0.45">
      <c r="A130" s="2" t="s">
        <v>515</v>
      </c>
      <c r="B130" s="2" t="s">
        <v>514</v>
      </c>
      <c r="C130" s="2">
        <v>2019</v>
      </c>
      <c r="D130" s="2" t="s">
        <v>146</v>
      </c>
      <c r="E130" s="2" t="s">
        <v>146</v>
      </c>
      <c r="F130" s="2" t="s">
        <v>146</v>
      </c>
      <c r="G130" s="2" t="s">
        <v>146</v>
      </c>
      <c r="H130" s="2" t="s">
        <v>146</v>
      </c>
      <c r="I130" s="2" t="s">
        <v>146</v>
      </c>
      <c r="J130" s="2" t="s">
        <v>146</v>
      </c>
      <c r="K130" s="2" t="s">
        <v>146</v>
      </c>
      <c r="L130" s="2" t="s">
        <v>146</v>
      </c>
      <c r="M130" s="2" t="s">
        <v>146</v>
      </c>
      <c r="N130" s="2" t="s">
        <v>146</v>
      </c>
      <c r="O130" s="2" t="s">
        <v>146</v>
      </c>
      <c r="P130" s="2" t="s">
        <v>146</v>
      </c>
      <c r="Q130" s="2" t="s">
        <v>146</v>
      </c>
      <c r="R130" s="2" t="s">
        <v>146</v>
      </c>
      <c r="S130" s="2" t="s">
        <v>146</v>
      </c>
      <c r="T130" s="2" t="s">
        <v>146</v>
      </c>
      <c r="U130" s="2" t="s">
        <v>146</v>
      </c>
      <c r="V130" s="2" t="s">
        <v>146</v>
      </c>
      <c r="W130" s="2" t="s">
        <v>146</v>
      </c>
      <c r="X130" s="2" t="s">
        <v>146</v>
      </c>
      <c r="Y130" s="2" t="s">
        <v>146</v>
      </c>
      <c r="Z130" s="2" t="s">
        <v>146</v>
      </c>
      <c r="AA130" s="2" t="s">
        <v>146</v>
      </c>
      <c r="AB130" s="2" t="s">
        <v>146</v>
      </c>
      <c r="AC130" s="2" t="s">
        <v>146</v>
      </c>
      <c r="AD130" s="2" t="s">
        <v>146</v>
      </c>
      <c r="AE130" s="2" t="s">
        <v>146</v>
      </c>
      <c r="AF130" s="2" t="s">
        <v>146</v>
      </c>
      <c r="AG130" s="2" t="s">
        <v>146</v>
      </c>
      <c r="AH130" s="2" t="s">
        <v>146</v>
      </c>
      <c r="AI130" s="2" t="s">
        <v>146</v>
      </c>
      <c r="AJ130" s="2" t="s">
        <v>146</v>
      </c>
      <c r="AK130" s="2" t="s">
        <v>146</v>
      </c>
      <c r="AL130" s="2" t="s">
        <v>146</v>
      </c>
      <c r="AM130" s="2" t="s">
        <v>146</v>
      </c>
      <c r="AN130" s="2" t="s">
        <v>146</v>
      </c>
      <c r="AO130" s="2" t="s">
        <v>146</v>
      </c>
      <c r="AQ130" s="2">
        <f t="shared" si="11"/>
        <v>0</v>
      </c>
      <c r="AR130" s="2">
        <f t="shared" si="12"/>
        <v>0</v>
      </c>
      <c r="AT130" s="2">
        <f t="shared" si="13"/>
        <v>0</v>
      </c>
      <c r="AU130" s="2">
        <f t="shared" si="14"/>
        <v>0</v>
      </c>
      <c r="AV130" s="27" t="str">
        <f t="shared" si="15"/>
        <v/>
      </c>
      <c r="AY130" s="2">
        <f t="shared" si="16"/>
        <v>0</v>
      </c>
      <c r="AZ130" s="2">
        <f t="shared" si="17"/>
        <v>0</v>
      </c>
      <c r="BA130" s="2">
        <f t="shared" si="18"/>
        <v>0</v>
      </c>
      <c r="BB130" s="2">
        <f t="shared" si="19"/>
        <v>0</v>
      </c>
      <c r="BC130" s="2">
        <f t="shared" si="20"/>
        <v>0</v>
      </c>
      <c r="BD130" s="2">
        <f t="shared" si="21"/>
        <v>0</v>
      </c>
    </row>
    <row r="131" spans="1:56" ht="15" customHeight="1" x14ac:dyDescent="0.45">
      <c r="A131" s="2" t="s">
        <v>513</v>
      </c>
      <c r="B131" s="2" t="s">
        <v>512</v>
      </c>
      <c r="C131" s="2">
        <v>2019</v>
      </c>
      <c r="D131" s="2">
        <v>271.7</v>
      </c>
      <c r="E131" s="2">
        <v>89.8</v>
      </c>
      <c r="F131" s="2" t="s">
        <v>146</v>
      </c>
      <c r="G131" s="2" t="s">
        <v>146</v>
      </c>
      <c r="H131" s="2" t="s">
        <v>146</v>
      </c>
      <c r="I131" s="2">
        <v>503.2</v>
      </c>
      <c r="J131" s="2" t="s">
        <v>146</v>
      </c>
      <c r="K131" s="2" t="s">
        <v>146</v>
      </c>
      <c r="L131" s="2" t="s">
        <v>146</v>
      </c>
      <c r="M131" s="2" t="s">
        <v>146</v>
      </c>
      <c r="N131" s="2" t="s">
        <v>146</v>
      </c>
      <c r="O131" s="2" t="s">
        <v>146</v>
      </c>
      <c r="P131" s="2" t="s">
        <v>146</v>
      </c>
      <c r="Q131" s="2">
        <v>265.8</v>
      </c>
      <c r="R131" s="2">
        <v>98.1</v>
      </c>
      <c r="S131" s="2">
        <v>1</v>
      </c>
      <c r="T131" s="2">
        <v>52.8</v>
      </c>
      <c r="U131" s="2">
        <v>0</v>
      </c>
      <c r="V131" s="2">
        <v>0</v>
      </c>
      <c r="W131" s="2" t="s">
        <v>147</v>
      </c>
      <c r="X131" s="2" t="s">
        <v>146</v>
      </c>
      <c r="Y131" s="2" t="s">
        <v>146</v>
      </c>
      <c r="Z131" s="2" t="s">
        <v>146</v>
      </c>
      <c r="AA131" s="2" t="s">
        <v>146</v>
      </c>
      <c r="AB131" s="2" t="s">
        <v>146</v>
      </c>
      <c r="AC131" s="2" t="s">
        <v>146</v>
      </c>
      <c r="AD131" s="2" t="s">
        <v>146</v>
      </c>
      <c r="AE131" s="2" t="s">
        <v>146</v>
      </c>
      <c r="AF131" s="2" t="s">
        <v>146</v>
      </c>
      <c r="AG131" s="2" t="s">
        <v>146</v>
      </c>
      <c r="AH131" s="2" t="s">
        <v>155</v>
      </c>
      <c r="AI131" s="2" t="s">
        <v>146</v>
      </c>
      <c r="AJ131" s="2" t="s">
        <v>146</v>
      </c>
      <c r="AK131" s="2">
        <v>85.5</v>
      </c>
      <c r="AL131" s="2">
        <v>100</v>
      </c>
      <c r="AM131" s="2" t="s">
        <v>146</v>
      </c>
      <c r="AN131" s="2" t="s">
        <v>146</v>
      </c>
      <c r="AO131" s="2" t="s">
        <v>146</v>
      </c>
      <c r="AQ131" s="2">
        <f t="shared" ref="AQ131:AQ194" si="22">SUMPRODUCT(J131:AF131)+IFERROR(AJ131/1,0)</f>
        <v>417.7</v>
      </c>
      <c r="AR131" s="2">
        <f t="shared" ref="AR131:AR194" si="23">SUMPRODUCT(J131:AF131)+SUMPRODUCT(AJ131:AK131)</f>
        <v>503.2</v>
      </c>
      <c r="AT131" s="2">
        <f t="shared" ref="AT131:AT194" si="24">IFERROR(D131/1,0)</f>
        <v>271.7</v>
      </c>
      <c r="AU131" s="2">
        <f t="shared" ref="AU131:AU194" si="25">IFERROR(E131/1,0)</f>
        <v>89.8</v>
      </c>
      <c r="AV131" s="27">
        <f t="shared" ref="AV131:AV194" si="26">IFERROR((AT131+AU131)/AR131,"")</f>
        <v>0.71840222575516699</v>
      </c>
      <c r="AY131" s="2">
        <f t="shared" ref="AY131:AY194" si="27">IFERROR(AK131/1,0)</f>
        <v>85.5</v>
      </c>
      <c r="AZ131" s="2">
        <f t="shared" ref="AZ131:AZ194" si="28">IFERROR(AL131/100,0)*$AY131</f>
        <v>85.5</v>
      </c>
      <c r="BA131" s="2">
        <f t="shared" ref="BA131:BA194" si="29">IFERROR(AM131/100,0)*$AY131</f>
        <v>0</v>
      </c>
      <c r="BB131" s="2">
        <f t="shared" ref="BB131:BB194" si="30">IFERROR(AN131/100,0)*$AY131</f>
        <v>0</v>
      </c>
      <c r="BC131" s="2">
        <f t="shared" ref="BC131:BC194" si="31">IFERROR(AO131/100,0)*$AY131</f>
        <v>0</v>
      </c>
      <c r="BD131" s="2">
        <f t="shared" ref="BD131:BD194" si="32">MAX(AY131-SUM(AZ131:BC131),0)</f>
        <v>0</v>
      </c>
    </row>
    <row r="132" spans="1:56" ht="15" customHeight="1" x14ac:dyDescent="0.45">
      <c r="A132" s="2" t="s">
        <v>511</v>
      </c>
      <c r="B132" s="2" t="s">
        <v>80</v>
      </c>
      <c r="C132" s="2">
        <v>2019</v>
      </c>
      <c r="D132" s="2" t="s">
        <v>146</v>
      </c>
      <c r="E132" s="2" t="s">
        <v>146</v>
      </c>
      <c r="F132" s="2" t="s">
        <v>146</v>
      </c>
      <c r="G132" s="2" t="s">
        <v>146</v>
      </c>
      <c r="H132" s="2" t="s">
        <v>146</v>
      </c>
      <c r="I132" s="2" t="s">
        <v>146</v>
      </c>
      <c r="J132" s="2" t="s">
        <v>146</v>
      </c>
      <c r="K132" s="2" t="s">
        <v>146</v>
      </c>
      <c r="L132" s="2" t="s">
        <v>146</v>
      </c>
      <c r="M132" s="2" t="s">
        <v>146</v>
      </c>
      <c r="N132" s="2" t="s">
        <v>146</v>
      </c>
      <c r="O132" s="2" t="s">
        <v>146</v>
      </c>
      <c r="P132" s="2" t="s">
        <v>146</v>
      </c>
      <c r="Q132" s="2" t="s">
        <v>146</v>
      </c>
      <c r="R132" s="2" t="s">
        <v>146</v>
      </c>
      <c r="S132" s="2" t="s">
        <v>146</v>
      </c>
      <c r="T132" s="2" t="s">
        <v>146</v>
      </c>
      <c r="U132" s="2" t="s">
        <v>146</v>
      </c>
      <c r="V132" s="2" t="s">
        <v>146</v>
      </c>
      <c r="W132" s="2" t="s">
        <v>146</v>
      </c>
      <c r="X132" s="2" t="s">
        <v>146</v>
      </c>
      <c r="Y132" s="2" t="s">
        <v>146</v>
      </c>
      <c r="Z132" s="2" t="s">
        <v>146</v>
      </c>
      <c r="AA132" s="2" t="s">
        <v>146</v>
      </c>
      <c r="AB132" s="2" t="s">
        <v>146</v>
      </c>
      <c r="AC132" s="2" t="s">
        <v>146</v>
      </c>
      <c r="AD132" s="2" t="s">
        <v>146</v>
      </c>
      <c r="AE132" s="2" t="s">
        <v>146</v>
      </c>
      <c r="AF132" s="2" t="s">
        <v>146</v>
      </c>
      <c r="AG132" s="2" t="s">
        <v>146</v>
      </c>
      <c r="AH132" s="2" t="s">
        <v>146</v>
      </c>
      <c r="AI132" s="2" t="s">
        <v>146</v>
      </c>
      <c r="AJ132" s="2" t="s">
        <v>146</v>
      </c>
      <c r="AK132" s="2" t="s">
        <v>146</v>
      </c>
      <c r="AL132" s="2" t="s">
        <v>146</v>
      </c>
      <c r="AM132" s="2" t="s">
        <v>146</v>
      </c>
      <c r="AN132" s="2" t="s">
        <v>146</v>
      </c>
      <c r="AO132" s="2" t="s">
        <v>146</v>
      </c>
      <c r="AQ132" s="2">
        <f t="shared" si="22"/>
        <v>0</v>
      </c>
      <c r="AR132" s="2">
        <f t="shared" si="23"/>
        <v>0</v>
      </c>
      <c r="AT132" s="2">
        <f t="shared" si="24"/>
        <v>0</v>
      </c>
      <c r="AU132" s="2">
        <f t="shared" si="25"/>
        <v>0</v>
      </c>
      <c r="AV132" s="27" t="str">
        <f t="shared" si="26"/>
        <v/>
      </c>
      <c r="AY132" s="2">
        <f t="shared" si="27"/>
        <v>0</v>
      </c>
      <c r="AZ132" s="2">
        <f t="shared" si="28"/>
        <v>0</v>
      </c>
      <c r="BA132" s="2">
        <f t="shared" si="29"/>
        <v>0</v>
      </c>
      <c r="BB132" s="2">
        <f t="shared" si="30"/>
        <v>0</v>
      </c>
      <c r="BC132" s="2">
        <f t="shared" si="31"/>
        <v>0</v>
      </c>
      <c r="BD132" s="2">
        <f t="shared" si="32"/>
        <v>0</v>
      </c>
    </row>
    <row r="133" spans="1:56" ht="15" customHeight="1" x14ac:dyDescent="0.45">
      <c r="A133" s="2" t="s">
        <v>510</v>
      </c>
      <c r="B133" s="2" t="s">
        <v>509</v>
      </c>
      <c r="C133" s="2">
        <v>2019</v>
      </c>
      <c r="D133" s="2" t="s">
        <v>146</v>
      </c>
      <c r="E133" s="2" t="s">
        <v>146</v>
      </c>
      <c r="F133" s="2" t="s">
        <v>146</v>
      </c>
      <c r="G133" s="2" t="s">
        <v>146</v>
      </c>
      <c r="H133" s="2" t="s">
        <v>146</v>
      </c>
      <c r="I133" s="2" t="s">
        <v>146</v>
      </c>
      <c r="J133" s="2" t="s">
        <v>146</v>
      </c>
      <c r="K133" s="2" t="s">
        <v>146</v>
      </c>
      <c r="L133" s="2" t="s">
        <v>146</v>
      </c>
      <c r="M133" s="2" t="s">
        <v>146</v>
      </c>
      <c r="N133" s="2" t="s">
        <v>146</v>
      </c>
      <c r="O133" s="2" t="s">
        <v>146</v>
      </c>
      <c r="P133" s="2" t="s">
        <v>146</v>
      </c>
      <c r="Q133" s="2" t="s">
        <v>146</v>
      </c>
      <c r="R133" s="2" t="s">
        <v>146</v>
      </c>
      <c r="S133" s="2" t="s">
        <v>146</v>
      </c>
      <c r="T133" s="2" t="s">
        <v>146</v>
      </c>
      <c r="U133" s="2" t="s">
        <v>146</v>
      </c>
      <c r="V133" s="2" t="s">
        <v>146</v>
      </c>
      <c r="W133" s="2" t="s">
        <v>146</v>
      </c>
      <c r="X133" s="2" t="s">
        <v>146</v>
      </c>
      <c r="Y133" s="2" t="s">
        <v>146</v>
      </c>
      <c r="Z133" s="2" t="s">
        <v>146</v>
      </c>
      <c r="AA133" s="2" t="s">
        <v>146</v>
      </c>
      <c r="AB133" s="2" t="s">
        <v>146</v>
      </c>
      <c r="AC133" s="2" t="s">
        <v>146</v>
      </c>
      <c r="AD133" s="2" t="s">
        <v>146</v>
      </c>
      <c r="AE133" s="2" t="s">
        <v>146</v>
      </c>
      <c r="AF133" s="2" t="s">
        <v>146</v>
      </c>
      <c r="AG133" s="2" t="s">
        <v>146</v>
      </c>
      <c r="AH133" s="2" t="s">
        <v>146</v>
      </c>
      <c r="AI133" s="2" t="s">
        <v>146</v>
      </c>
      <c r="AJ133" s="2" t="s">
        <v>146</v>
      </c>
      <c r="AK133" s="2" t="s">
        <v>146</v>
      </c>
      <c r="AL133" s="2" t="s">
        <v>146</v>
      </c>
      <c r="AM133" s="2" t="s">
        <v>146</v>
      </c>
      <c r="AN133" s="2" t="s">
        <v>146</v>
      </c>
      <c r="AO133" s="2" t="s">
        <v>146</v>
      </c>
      <c r="AQ133" s="2">
        <f t="shared" si="22"/>
        <v>0</v>
      </c>
      <c r="AR133" s="2">
        <f t="shared" si="23"/>
        <v>0</v>
      </c>
      <c r="AT133" s="2">
        <f t="shared" si="24"/>
        <v>0</v>
      </c>
      <c r="AU133" s="2">
        <f t="shared" si="25"/>
        <v>0</v>
      </c>
      <c r="AV133" s="27" t="str">
        <f t="shared" si="26"/>
        <v/>
      </c>
      <c r="AY133" s="2">
        <f t="shared" si="27"/>
        <v>0</v>
      </c>
      <c r="AZ133" s="2">
        <f t="shared" si="28"/>
        <v>0</v>
      </c>
      <c r="BA133" s="2">
        <f t="shared" si="29"/>
        <v>0</v>
      </c>
      <c r="BB133" s="2">
        <f t="shared" si="30"/>
        <v>0</v>
      </c>
      <c r="BC133" s="2">
        <f t="shared" si="31"/>
        <v>0</v>
      </c>
      <c r="BD133" s="2">
        <f t="shared" si="32"/>
        <v>0</v>
      </c>
    </row>
    <row r="134" spans="1:56" ht="15" customHeight="1" x14ac:dyDescent="0.45">
      <c r="A134" s="2" t="s">
        <v>508</v>
      </c>
      <c r="B134" s="2" t="s">
        <v>83</v>
      </c>
      <c r="C134" s="2">
        <v>2019</v>
      </c>
      <c r="D134" s="2">
        <v>320.10000000000002</v>
      </c>
      <c r="E134" s="2">
        <v>18.3</v>
      </c>
      <c r="F134" s="2" t="s">
        <v>146</v>
      </c>
      <c r="G134" s="2" t="s">
        <v>146</v>
      </c>
      <c r="H134" s="2" t="s">
        <v>146</v>
      </c>
      <c r="I134" s="2">
        <v>394</v>
      </c>
      <c r="J134" s="2" t="s">
        <v>146</v>
      </c>
      <c r="K134" s="2">
        <v>7.1</v>
      </c>
      <c r="L134" s="2" t="s">
        <v>146</v>
      </c>
      <c r="M134" s="2" t="s">
        <v>146</v>
      </c>
      <c r="N134" s="2" t="s">
        <v>146</v>
      </c>
      <c r="O134" s="2" t="s">
        <v>146</v>
      </c>
      <c r="P134" s="2" t="s">
        <v>146</v>
      </c>
      <c r="Q134" s="2" t="s">
        <v>146</v>
      </c>
      <c r="R134" s="2" t="s">
        <v>146</v>
      </c>
      <c r="S134" s="2" t="s">
        <v>146</v>
      </c>
      <c r="T134" s="2" t="s">
        <v>146</v>
      </c>
      <c r="U134" s="2" t="s">
        <v>146</v>
      </c>
      <c r="V134" s="2" t="s">
        <v>146</v>
      </c>
      <c r="W134" s="2" t="s">
        <v>147</v>
      </c>
      <c r="X134" s="2" t="s">
        <v>146</v>
      </c>
      <c r="Y134" s="2" t="s">
        <v>146</v>
      </c>
      <c r="Z134" s="2" t="s">
        <v>146</v>
      </c>
      <c r="AA134" s="2">
        <v>189.2</v>
      </c>
      <c r="AB134" s="2" t="s">
        <v>146</v>
      </c>
      <c r="AC134" s="2">
        <v>29.8</v>
      </c>
      <c r="AD134" s="2">
        <v>5.9</v>
      </c>
      <c r="AE134" s="2">
        <v>49.3</v>
      </c>
      <c r="AF134" s="2">
        <v>91.5</v>
      </c>
      <c r="AG134" s="2">
        <v>7.1</v>
      </c>
      <c r="AH134" s="2" t="s">
        <v>160</v>
      </c>
      <c r="AI134" s="2">
        <v>37.299999999999997</v>
      </c>
      <c r="AJ134" s="2" t="s">
        <v>146</v>
      </c>
      <c r="AK134" s="2">
        <v>21.2</v>
      </c>
      <c r="AL134" s="2">
        <v>70</v>
      </c>
      <c r="AM134" s="2">
        <v>0</v>
      </c>
      <c r="AN134" s="2">
        <v>0</v>
      </c>
      <c r="AO134" s="2">
        <v>30</v>
      </c>
      <c r="AQ134" s="2">
        <f t="shared" si="22"/>
        <v>372.8</v>
      </c>
      <c r="AR134" s="2">
        <f t="shared" si="23"/>
        <v>394</v>
      </c>
      <c r="AT134" s="2">
        <f t="shared" si="24"/>
        <v>320.10000000000002</v>
      </c>
      <c r="AU134" s="2">
        <f t="shared" si="25"/>
        <v>18.3</v>
      </c>
      <c r="AV134" s="27">
        <f t="shared" si="26"/>
        <v>0.85888324873096455</v>
      </c>
      <c r="AY134" s="2">
        <f t="shared" si="27"/>
        <v>21.2</v>
      </c>
      <c r="AZ134" s="2">
        <f t="shared" si="28"/>
        <v>14.839999999999998</v>
      </c>
      <c r="BA134" s="2">
        <f t="shared" si="29"/>
        <v>0</v>
      </c>
      <c r="BB134" s="2">
        <f t="shared" si="30"/>
        <v>0</v>
      </c>
      <c r="BC134" s="2">
        <f t="shared" si="31"/>
        <v>6.3599999999999994</v>
      </c>
      <c r="BD134" s="2">
        <f t="shared" si="32"/>
        <v>3.5527136788005009E-15</v>
      </c>
    </row>
    <row r="135" spans="1:56" ht="15" customHeight="1" x14ac:dyDescent="0.45">
      <c r="A135" s="2" t="s">
        <v>507</v>
      </c>
      <c r="B135" s="2" t="s">
        <v>506</v>
      </c>
      <c r="C135" s="2">
        <v>2019</v>
      </c>
      <c r="D135" s="2">
        <v>470.69499999999999</v>
      </c>
      <c r="E135" s="2">
        <v>130.47499999999999</v>
      </c>
      <c r="F135" s="2">
        <v>0</v>
      </c>
      <c r="G135" s="2" t="s">
        <v>146</v>
      </c>
      <c r="H135" s="2" t="s">
        <v>146</v>
      </c>
      <c r="I135" s="2">
        <v>683.07</v>
      </c>
      <c r="J135" s="2" t="s">
        <v>146</v>
      </c>
      <c r="K135" s="2">
        <v>2.8740000000000001</v>
      </c>
      <c r="L135" s="2" t="s">
        <v>146</v>
      </c>
      <c r="M135" s="2" t="s">
        <v>146</v>
      </c>
      <c r="N135" s="2" t="s">
        <v>146</v>
      </c>
      <c r="O135" s="2" t="s">
        <v>146</v>
      </c>
      <c r="P135" s="2" t="s">
        <v>146</v>
      </c>
      <c r="Q135" s="2" t="s">
        <v>146</v>
      </c>
      <c r="R135" s="2" t="s">
        <v>146</v>
      </c>
      <c r="S135" s="2" t="s">
        <v>146</v>
      </c>
      <c r="T135" s="2" t="s">
        <v>146</v>
      </c>
      <c r="U135" s="2" t="s">
        <v>146</v>
      </c>
      <c r="V135" s="2">
        <v>550.68200000000002</v>
      </c>
      <c r="W135" s="2" t="s">
        <v>147</v>
      </c>
      <c r="X135" s="2" t="s">
        <v>146</v>
      </c>
      <c r="Y135" s="2" t="s">
        <v>146</v>
      </c>
      <c r="Z135" s="2" t="s">
        <v>146</v>
      </c>
      <c r="AA135" s="2" t="s">
        <v>146</v>
      </c>
      <c r="AB135" s="2" t="s">
        <v>146</v>
      </c>
      <c r="AC135" s="2" t="s">
        <v>146</v>
      </c>
      <c r="AD135" s="2" t="s">
        <v>146</v>
      </c>
      <c r="AE135" s="2" t="s">
        <v>146</v>
      </c>
      <c r="AF135" s="2" t="s">
        <v>146</v>
      </c>
      <c r="AG135" s="2" t="s">
        <v>146</v>
      </c>
      <c r="AH135" s="2" t="s">
        <v>146</v>
      </c>
      <c r="AI135" s="2" t="s">
        <v>146</v>
      </c>
      <c r="AJ135" s="2" t="s">
        <v>146</v>
      </c>
      <c r="AK135" s="2">
        <v>129.51400000000001</v>
      </c>
      <c r="AL135" s="2">
        <v>100</v>
      </c>
      <c r="AM135" s="2" t="s">
        <v>146</v>
      </c>
      <c r="AN135" s="2" t="s">
        <v>146</v>
      </c>
      <c r="AO135" s="2" t="s">
        <v>146</v>
      </c>
      <c r="AQ135" s="2">
        <f t="shared" si="22"/>
        <v>553.55600000000004</v>
      </c>
      <c r="AR135" s="2">
        <f t="shared" si="23"/>
        <v>683.07</v>
      </c>
      <c r="AT135" s="2">
        <f t="shared" si="24"/>
        <v>470.69499999999999</v>
      </c>
      <c r="AU135" s="2">
        <f t="shared" si="25"/>
        <v>130.47499999999999</v>
      </c>
      <c r="AV135" s="27">
        <f t="shared" si="26"/>
        <v>0.88010013615002847</v>
      </c>
      <c r="AY135" s="2">
        <f t="shared" si="27"/>
        <v>129.51400000000001</v>
      </c>
      <c r="AZ135" s="2">
        <f t="shared" si="28"/>
        <v>129.51400000000001</v>
      </c>
      <c r="BA135" s="2">
        <f t="shared" si="29"/>
        <v>0</v>
      </c>
      <c r="BB135" s="2">
        <f t="shared" si="30"/>
        <v>0</v>
      </c>
      <c r="BC135" s="2">
        <f t="shared" si="31"/>
        <v>0</v>
      </c>
      <c r="BD135" s="2">
        <f t="shared" si="32"/>
        <v>0</v>
      </c>
    </row>
    <row r="136" spans="1:56" ht="15" customHeight="1" x14ac:dyDescent="0.45">
      <c r="A136" s="2" t="s">
        <v>505</v>
      </c>
      <c r="B136" s="2" t="s">
        <v>504</v>
      </c>
      <c r="C136" s="2">
        <v>2019</v>
      </c>
      <c r="D136" s="2" t="s">
        <v>146</v>
      </c>
      <c r="E136" s="2" t="s">
        <v>146</v>
      </c>
      <c r="F136" s="2" t="s">
        <v>146</v>
      </c>
      <c r="G136" s="2" t="s">
        <v>146</v>
      </c>
      <c r="H136" s="2" t="s">
        <v>146</v>
      </c>
      <c r="I136" s="2" t="s">
        <v>146</v>
      </c>
      <c r="J136" s="2" t="s">
        <v>146</v>
      </c>
      <c r="K136" s="2" t="s">
        <v>146</v>
      </c>
      <c r="L136" s="2" t="s">
        <v>146</v>
      </c>
      <c r="M136" s="2" t="s">
        <v>146</v>
      </c>
      <c r="N136" s="2" t="s">
        <v>146</v>
      </c>
      <c r="O136" s="2" t="s">
        <v>146</v>
      </c>
      <c r="P136" s="2" t="s">
        <v>146</v>
      </c>
      <c r="Q136" s="2" t="s">
        <v>146</v>
      </c>
      <c r="R136" s="2" t="s">
        <v>146</v>
      </c>
      <c r="S136" s="2" t="s">
        <v>146</v>
      </c>
      <c r="T136" s="2" t="s">
        <v>146</v>
      </c>
      <c r="U136" s="2" t="s">
        <v>146</v>
      </c>
      <c r="V136" s="2" t="s">
        <v>146</v>
      </c>
      <c r="W136" s="2" t="s">
        <v>146</v>
      </c>
      <c r="X136" s="2" t="s">
        <v>146</v>
      </c>
      <c r="Y136" s="2" t="s">
        <v>146</v>
      </c>
      <c r="Z136" s="2" t="s">
        <v>146</v>
      </c>
      <c r="AA136" s="2" t="s">
        <v>146</v>
      </c>
      <c r="AB136" s="2" t="s">
        <v>146</v>
      </c>
      <c r="AC136" s="2" t="s">
        <v>146</v>
      </c>
      <c r="AD136" s="2" t="s">
        <v>146</v>
      </c>
      <c r="AE136" s="2" t="s">
        <v>146</v>
      </c>
      <c r="AF136" s="2" t="s">
        <v>146</v>
      </c>
      <c r="AG136" s="2" t="s">
        <v>146</v>
      </c>
      <c r="AH136" s="2" t="s">
        <v>146</v>
      </c>
      <c r="AI136" s="2" t="s">
        <v>146</v>
      </c>
      <c r="AJ136" s="2" t="s">
        <v>146</v>
      </c>
      <c r="AK136" s="2" t="s">
        <v>146</v>
      </c>
      <c r="AL136" s="2" t="s">
        <v>146</v>
      </c>
      <c r="AM136" s="2" t="s">
        <v>146</v>
      </c>
      <c r="AN136" s="2" t="s">
        <v>146</v>
      </c>
      <c r="AO136" s="2" t="s">
        <v>146</v>
      </c>
      <c r="AQ136" s="2">
        <f t="shared" si="22"/>
        <v>0</v>
      </c>
      <c r="AR136" s="2">
        <f t="shared" si="23"/>
        <v>0</v>
      </c>
      <c r="AT136" s="2">
        <f t="shared" si="24"/>
        <v>0</v>
      </c>
      <c r="AU136" s="2">
        <f t="shared" si="25"/>
        <v>0</v>
      </c>
      <c r="AV136" s="27" t="str">
        <f t="shared" si="26"/>
        <v/>
      </c>
      <c r="AY136" s="2">
        <f t="shared" si="27"/>
        <v>0</v>
      </c>
      <c r="AZ136" s="2">
        <f t="shared" si="28"/>
        <v>0</v>
      </c>
      <c r="BA136" s="2">
        <f t="shared" si="29"/>
        <v>0</v>
      </c>
      <c r="BB136" s="2">
        <f t="shared" si="30"/>
        <v>0</v>
      </c>
      <c r="BC136" s="2">
        <f t="shared" si="31"/>
        <v>0</v>
      </c>
      <c r="BD136" s="2">
        <f t="shared" si="32"/>
        <v>0</v>
      </c>
    </row>
    <row r="137" spans="1:56" ht="15" customHeight="1" x14ac:dyDescent="0.45">
      <c r="A137" s="2" t="s">
        <v>502</v>
      </c>
      <c r="B137" s="2" t="s">
        <v>503</v>
      </c>
      <c r="C137" s="2">
        <v>2019</v>
      </c>
      <c r="D137" s="2">
        <v>147.69399999999999</v>
      </c>
      <c r="E137" s="2">
        <v>18.359000000000002</v>
      </c>
      <c r="F137" s="2" t="s">
        <v>146</v>
      </c>
      <c r="G137" s="2" t="s">
        <v>146</v>
      </c>
      <c r="H137" s="2" t="s">
        <v>146</v>
      </c>
      <c r="I137" s="2">
        <v>220.29300000000001</v>
      </c>
      <c r="J137" s="2" t="s">
        <v>146</v>
      </c>
      <c r="K137" s="2" t="s">
        <v>146</v>
      </c>
      <c r="L137" s="2" t="s">
        <v>146</v>
      </c>
      <c r="M137" s="2" t="s">
        <v>146</v>
      </c>
      <c r="N137" s="2" t="s">
        <v>146</v>
      </c>
      <c r="O137" s="2" t="s">
        <v>146</v>
      </c>
      <c r="P137" s="2" t="s">
        <v>146</v>
      </c>
      <c r="Q137" s="2" t="s">
        <v>146</v>
      </c>
      <c r="R137" s="2" t="s">
        <v>146</v>
      </c>
      <c r="S137" s="2">
        <v>0.51</v>
      </c>
      <c r="T137" s="2" t="s">
        <v>146</v>
      </c>
      <c r="U137" s="2" t="s">
        <v>146</v>
      </c>
      <c r="V137" s="2" t="s">
        <v>146</v>
      </c>
      <c r="W137" s="2" t="s">
        <v>147</v>
      </c>
      <c r="X137" s="2" t="s">
        <v>146</v>
      </c>
      <c r="Y137" s="2" t="s">
        <v>146</v>
      </c>
      <c r="Z137" s="2" t="s">
        <v>146</v>
      </c>
      <c r="AA137" s="2">
        <v>9.91</v>
      </c>
      <c r="AB137" s="2" t="s">
        <v>146</v>
      </c>
      <c r="AC137" s="2" t="s">
        <v>146</v>
      </c>
      <c r="AD137" s="2" t="s">
        <v>146</v>
      </c>
      <c r="AE137" s="2" t="s">
        <v>146</v>
      </c>
      <c r="AF137" s="2">
        <v>192</v>
      </c>
      <c r="AG137" s="2">
        <v>2.8000000000000001E-2</v>
      </c>
      <c r="AH137" s="2" t="s">
        <v>160</v>
      </c>
      <c r="AI137" s="2">
        <v>37.5</v>
      </c>
      <c r="AJ137" s="2" t="s">
        <v>146</v>
      </c>
      <c r="AK137" s="2">
        <v>17.873000000000001</v>
      </c>
      <c r="AL137" s="2">
        <v>5</v>
      </c>
      <c r="AM137" s="2">
        <v>95</v>
      </c>
      <c r="AN137" s="2" t="s">
        <v>146</v>
      </c>
      <c r="AO137" s="2" t="s">
        <v>146</v>
      </c>
      <c r="AQ137" s="2">
        <f t="shared" si="22"/>
        <v>202.42</v>
      </c>
      <c r="AR137" s="2">
        <f t="shared" si="23"/>
        <v>220.29299999999998</v>
      </c>
      <c r="AT137" s="2">
        <f t="shared" si="24"/>
        <v>147.69399999999999</v>
      </c>
      <c r="AU137" s="2">
        <f t="shared" si="25"/>
        <v>18.359000000000002</v>
      </c>
      <c r="AV137" s="27">
        <f t="shared" si="26"/>
        <v>0.75378246244774016</v>
      </c>
      <c r="AY137" s="2">
        <f t="shared" si="27"/>
        <v>17.873000000000001</v>
      </c>
      <c r="AZ137" s="2">
        <f t="shared" si="28"/>
        <v>0.89365000000000006</v>
      </c>
      <c r="BA137" s="2">
        <f t="shared" si="29"/>
        <v>16.97935</v>
      </c>
      <c r="BB137" s="2">
        <f t="shared" si="30"/>
        <v>0</v>
      </c>
      <c r="BC137" s="2">
        <f t="shared" si="31"/>
        <v>0</v>
      </c>
      <c r="BD137" s="2">
        <f t="shared" si="32"/>
        <v>0</v>
      </c>
    </row>
    <row r="138" spans="1:56" ht="15" customHeight="1" x14ac:dyDescent="0.45">
      <c r="A138" s="2" t="s">
        <v>502</v>
      </c>
      <c r="B138" s="2" t="s">
        <v>501</v>
      </c>
      <c r="C138" s="2">
        <v>2019</v>
      </c>
      <c r="D138" s="2" t="s">
        <v>146</v>
      </c>
      <c r="E138" s="2" t="s">
        <v>146</v>
      </c>
      <c r="F138" s="2" t="s">
        <v>146</v>
      </c>
      <c r="G138" s="2" t="s">
        <v>146</v>
      </c>
      <c r="H138" s="2" t="s">
        <v>146</v>
      </c>
      <c r="I138" s="2" t="s">
        <v>146</v>
      </c>
      <c r="J138" s="2" t="s">
        <v>146</v>
      </c>
      <c r="K138" s="2" t="s">
        <v>146</v>
      </c>
      <c r="L138" s="2" t="s">
        <v>146</v>
      </c>
      <c r="M138" s="2" t="s">
        <v>146</v>
      </c>
      <c r="N138" s="2" t="s">
        <v>146</v>
      </c>
      <c r="O138" s="2" t="s">
        <v>146</v>
      </c>
      <c r="P138" s="2" t="s">
        <v>146</v>
      </c>
      <c r="Q138" s="2" t="s">
        <v>146</v>
      </c>
      <c r="R138" s="2" t="s">
        <v>146</v>
      </c>
      <c r="S138" s="2" t="s">
        <v>146</v>
      </c>
      <c r="T138" s="2" t="s">
        <v>146</v>
      </c>
      <c r="U138" s="2" t="s">
        <v>146</v>
      </c>
      <c r="V138" s="2" t="s">
        <v>146</v>
      </c>
      <c r="W138" s="2" t="s">
        <v>146</v>
      </c>
      <c r="X138" s="2" t="s">
        <v>146</v>
      </c>
      <c r="Y138" s="2" t="s">
        <v>146</v>
      </c>
      <c r="Z138" s="2" t="s">
        <v>146</v>
      </c>
      <c r="AA138" s="2" t="s">
        <v>146</v>
      </c>
      <c r="AB138" s="2" t="s">
        <v>146</v>
      </c>
      <c r="AC138" s="2" t="s">
        <v>146</v>
      </c>
      <c r="AD138" s="2" t="s">
        <v>146</v>
      </c>
      <c r="AE138" s="2" t="s">
        <v>146</v>
      </c>
      <c r="AF138" s="2" t="s">
        <v>146</v>
      </c>
      <c r="AG138" s="2" t="s">
        <v>146</v>
      </c>
      <c r="AH138" s="2" t="s">
        <v>146</v>
      </c>
      <c r="AI138" s="2" t="s">
        <v>146</v>
      </c>
      <c r="AJ138" s="2" t="s">
        <v>146</v>
      </c>
      <c r="AK138" s="2" t="s">
        <v>146</v>
      </c>
      <c r="AL138" s="2" t="s">
        <v>146</v>
      </c>
      <c r="AM138" s="2" t="s">
        <v>146</v>
      </c>
      <c r="AN138" s="2" t="s">
        <v>146</v>
      </c>
      <c r="AO138" s="2" t="s">
        <v>146</v>
      </c>
      <c r="AQ138" s="2">
        <f t="shared" si="22"/>
        <v>0</v>
      </c>
      <c r="AR138" s="2">
        <f t="shared" si="23"/>
        <v>0</v>
      </c>
      <c r="AT138" s="2">
        <f t="shared" si="24"/>
        <v>0</v>
      </c>
      <c r="AU138" s="2">
        <f t="shared" si="25"/>
        <v>0</v>
      </c>
      <c r="AV138" s="27" t="str">
        <f t="shared" si="26"/>
        <v/>
      </c>
      <c r="AY138" s="2">
        <f t="shared" si="27"/>
        <v>0</v>
      </c>
      <c r="AZ138" s="2">
        <f t="shared" si="28"/>
        <v>0</v>
      </c>
      <c r="BA138" s="2">
        <f t="shared" si="29"/>
        <v>0</v>
      </c>
      <c r="BB138" s="2">
        <f t="shared" si="30"/>
        <v>0</v>
      </c>
      <c r="BC138" s="2">
        <f t="shared" si="31"/>
        <v>0</v>
      </c>
      <c r="BD138" s="2">
        <f t="shared" si="32"/>
        <v>0</v>
      </c>
    </row>
    <row r="139" spans="1:56" ht="15" customHeight="1" x14ac:dyDescent="0.45">
      <c r="A139" s="2" t="s">
        <v>498</v>
      </c>
      <c r="B139" s="2" t="s">
        <v>500</v>
      </c>
      <c r="C139" s="2">
        <v>2019</v>
      </c>
      <c r="D139" s="2">
        <v>573.20699999999999</v>
      </c>
      <c r="E139" s="2">
        <v>179.71600000000001</v>
      </c>
      <c r="F139" s="2" t="s">
        <v>146</v>
      </c>
      <c r="G139" s="2" t="s">
        <v>146</v>
      </c>
      <c r="H139" s="2" t="s">
        <v>146</v>
      </c>
      <c r="I139" s="2">
        <v>851.37300000000005</v>
      </c>
      <c r="J139" s="2" t="s">
        <v>146</v>
      </c>
      <c r="K139" s="2" t="s">
        <v>146</v>
      </c>
      <c r="L139" s="2" t="s">
        <v>146</v>
      </c>
      <c r="M139" s="2" t="s">
        <v>146</v>
      </c>
      <c r="N139" s="2" t="s">
        <v>146</v>
      </c>
      <c r="O139" s="2" t="s">
        <v>146</v>
      </c>
      <c r="P139" s="2" t="s">
        <v>146</v>
      </c>
      <c r="Q139" s="2" t="s">
        <v>146</v>
      </c>
      <c r="R139" s="2" t="s">
        <v>146</v>
      </c>
      <c r="S139" s="2">
        <v>428.29899999999998</v>
      </c>
      <c r="T139" s="2" t="s">
        <v>146</v>
      </c>
      <c r="U139" s="2" t="s">
        <v>146</v>
      </c>
      <c r="V139" s="2" t="s">
        <v>146</v>
      </c>
      <c r="W139" s="2" t="s">
        <v>146</v>
      </c>
      <c r="X139" s="2" t="s">
        <v>146</v>
      </c>
      <c r="Y139" s="2" t="s">
        <v>146</v>
      </c>
      <c r="Z139" s="2" t="s">
        <v>146</v>
      </c>
      <c r="AA139" s="2">
        <v>324.98200000000003</v>
      </c>
      <c r="AB139" s="2" t="s">
        <v>146</v>
      </c>
      <c r="AC139" s="2" t="s">
        <v>146</v>
      </c>
      <c r="AD139" s="2" t="s">
        <v>146</v>
      </c>
      <c r="AE139" s="2" t="s">
        <v>146</v>
      </c>
      <c r="AF139" s="2" t="s">
        <v>146</v>
      </c>
      <c r="AG139" s="2" t="s">
        <v>146</v>
      </c>
      <c r="AH139" s="2" t="s">
        <v>146</v>
      </c>
      <c r="AI139" s="2" t="s">
        <v>146</v>
      </c>
      <c r="AJ139" s="2" t="s">
        <v>146</v>
      </c>
      <c r="AK139" s="2">
        <v>98.091999999999999</v>
      </c>
      <c r="AL139" s="2">
        <v>100</v>
      </c>
      <c r="AM139" s="2">
        <v>0</v>
      </c>
      <c r="AN139" s="2">
        <v>0</v>
      </c>
      <c r="AO139" s="2">
        <v>0</v>
      </c>
      <c r="AQ139" s="2">
        <f t="shared" si="22"/>
        <v>753.28099999999995</v>
      </c>
      <c r="AR139" s="2">
        <f t="shared" si="23"/>
        <v>851.37299999999993</v>
      </c>
      <c r="AT139" s="2">
        <f t="shared" si="24"/>
        <v>573.20699999999999</v>
      </c>
      <c r="AU139" s="2">
        <f t="shared" si="25"/>
        <v>179.71600000000001</v>
      </c>
      <c r="AV139" s="27">
        <f t="shared" si="26"/>
        <v>0.88436325793747284</v>
      </c>
      <c r="AY139" s="2">
        <f t="shared" si="27"/>
        <v>98.091999999999999</v>
      </c>
      <c r="AZ139" s="2">
        <f t="shared" si="28"/>
        <v>98.091999999999999</v>
      </c>
      <c r="BA139" s="2">
        <f t="shared" si="29"/>
        <v>0</v>
      </c>
      <c r="BB139" s="2">
        <f t="shared" si="30"/>
        <v>0</v>
      </c>
      <c r="BC139" s="2">
        <f t="shared" si="31"/>
        <v>0</v>
      </c>
      <c r="BD139" s="2">
        <f t="shared" si="32"/>
        <v>0</v>
      </c>
    </row>
    <row r="140" spans="1:56" ht="15" customHeight="1" x14ac:dyDescent="0.45">
      <c r="A140" s="2" t="s">
        <v>498</v>
      </c>
      <c r="B140" s="2" t="s">
        <v>497</v>
      </c>
      <c r="C140" s="2">
        <v>2019</v>
      </c>
      <c r="D140" s="2" t="s">
        <v>146</v>
      </c>
      <c r="E140" s="2" t="s">
        <v>146</v>
      </c>
      <c r="F140" s="2" t="s">
        <v>146</v>
      </c>
      <c r="G140" s="2" t="s">
        <v>146</v>
      </c>
      <c r="H140" s="2" t="s">
        <v>146</v>
      </c>
      <c r="I140" s="2" t="s">
        <v>146</v>
      </c>
      <c r="J140" s="2" t="s">
        <v>146</v>
      </c>
      <c r="K140" s="2" t="s">
        <v>146</v>
      </c>
      <c r="L140" s="2" t="s">
        <v>146</v>
      </c>
      <c r="M140" s="2" t="s">
        <v>146</v>
      </c>
      <c r="N140" s="2" t="s">
        <v>146</v>
      </c>
      <c r="O140" s="2" t="s">
        <v>146</v>
      </c>
      <c r="P140" s="2" t="s">
        <v>146</v>
      </c>
      <c r="Q140" s="2" t="s">
        <v>146</v>
      </c>
      <c r="R140" s="2" t="s">
        <v>146</v>
      </c>
      <c r="S140" s="2" t="s">
        <v>146</v>
      </c>
      <c r="T140" s="2" t="s">
        <v>146</v>
      </c>
      <c r="U140" s="2" t="s">
        <v>146</v>
      </c>
      <c r="V140" s="2" t="s">
        <v>146</v>
      </c>
      <c r="W140" s="2" t="s">
        <v>146</v>
      </c>
      <c r="X140" s="2" t="s">
        <v>146</v>
      </c>
      <c r="Y140" s="2" t="s">
        <v>146</v>
      </c>
      <c r="Z140" s="2" t="s">
        <v>146</v>
      </c>
      <c r="AA140" s="2" t="s">
        <v>146</v>
      </c>
      <c r="AB140" s="2" t="s">
        <v>146</v>
      </c>
      <c r="AC140" s="2" t="s">
        <v>146</v>
      </c>
      <c r="AD140" s="2" t="s">
        <v>146</v>
      </c>
      <c r="AE140" s="2" t="s">
        <v>146</v>
      </c>
      <c r="AF140" s="2" t="s">
        <v>146</v>
      </c>
      <c r="AG140" s="2" t="s">
        <v>146</v>
      </c>
      <c r="AH140" s="2" t="s">
        <v>146</v>
      </c>
      <c r="AI140" s="2" t="s">
        <v>146</v>
      </c>
      <c r="AJ140" s="2" t="s">
        <v>146</v>
      </c>
      <c r="AK140" s="2" t="s">
        <v>146</v>
      </c>
      <c r="AL140" s="2" t="s">
        <v>146</v>
      </c>
      <c r="AM140" s="2" t="s">
        <v>146</v>
      </c>
      <c r="AN140" s="2" t="s">
        <v>146</v>
      </c>
      <c r="AO140" s="2" t="s">
        <v>146</v>
      </c>
      <c r="AQ140" s="2">
        <f t="shared" si="22"/>
        <v>0</v>
      </c>
      <c r="AR140" s="2">
        <f t="shared" si="23"/>
        <v>0</v>
      </c>
      <c r="AT140" s="2">
        <f t="shared" si="24"/>
        <v>0</v>
      </c>
      <c r="AU140" s="2">
        <f t="shared" si="25"/>
        <v>0</v>
      </c>
      <c r="AV140" s="27" t="str">
        <f t="shared" si="26"/>
        <v/>
      </c>
      <c r="AY140" s="2">
        <f t="shared" si="27"/>
        <v>0</v>
      </c>
      <c r="AZ140" s="2">
        <f t="shared" si="28"/>
        <v>0</v>
      </c>
      <c r="BA140" s="2">
        <f t="shared" si="29"/>
        <v>0</v>
      </c>
      <c r="BB140" s="2">
        <f t="shared" si="30"/>
        <v>0</v>
      </c>
      <c r="BC140" s="2">
        <f t="shared" si="31"/>
        <v>0</v>
      </c>
      <c r="BD140" s="2">
        <f t="shared" si="32"/>
        <v>0</v>
      </c>
    </row>
    <row r="141" spans="1:56" ht="15" customHeight="1" x14ac:dyDescent="0.45">
      <c r="A141" s="2" t="s">
        <v>493</v>
      </c>
      <c r="B141" s="2" t="s">
        <v>496</v>
      </c>
      <c r="C141" s="2">
        <v>2019</v>
      </c>
      <c r="D141" s="2" t="s">
        <v>146</v>
      </c>
      <c r="E141" s="2" t="s">
        <v>146</v>
      </c>
      <c r="F141" s="2" t="s">
        <v>146</v>
      </c>
      <c r="G141" s="2" t="s">
        <v>146</v>
      </c>
      <c r="H141" s="2" t="s">
        <v>146</v>
      </c>
      <c r="I141" s="2" t="s">
        <v>146</v>
      </c>
      <c r="J141" s="2" t="s">
        <v>146</v>
      </c>
      <c r="K141" s="2" t="s">
        <v>146</v>
      </c>
      <c r="L141" s="2" t="s">
        <v>146</v>
      </c>
      <c r="M141" s="2" t="s">
        <v>146</v>
      </c>
      <c r="N141" s="2" t="s">
        <v>146</v>
      </c>
      <c r="O141" s="2" t="s">
        <v>146</v>
      </c>
      <c r="P141" s="2" t="s">
        <v>146</v>
      </c>
      <c r="Q141" s="2" t="s">
        <v>146</v>
      </c>
      <c r="R141" s="2" t="s">
        <v>146</v>
      </c>
      <c r="S141" s="2" t="s">
        <v>146</v>
      </c>
      <c r="T141" s="2" t="s">
        <v>146</v>
      </c>
      <c r="U141" s="2" t="s">
        <v>146</v>
      </c>
      <c r="V141" s="2" t="s">
        <v>146</v>
      </c>
      <c r="W141" s="2" t="s">
        <v>146</v>
      </c>
      <c r="X141" s="2" t="s">
        <v>146</v>
      </c>
      <c r="Y141" s="2" t="s">
        <v>146</v>
      </c>
      <c r="Z141" s="2" t="s">
        <v>146</v>
      </c>
      <c r="AA141" s="2" t="s">
        <v>146</v>
      </c>
      <c r="AB141" s="2" t="s">
        <v>146</v>
      </c>
      <c r="AC141" s="2" t="s">
        <v>146</v>
      </c>
      <c r="AD141" s="2" t="s">
        <v>146</v>
      </c>
      <c r="AE141" s="2" t="s">
        <v>146</v>
      </c>
      <c r="AF141" s="2" t="s">
        <v>146</v>
      </c>
      <c r="AG141" s="2" t="s">
        <v>146</v>
      </c>
      <c r="AH141" s="2" t="s">
        <v>146</v>
      </c>
      <c r="AI141" s="2" t="s">
        <v>146</v>
      </c>
      <c r="AJ141" s="2" t="s">
        <v>146</v>
      </c>
      <c r="AK141" s="2" t="s">
        <v>146</v>
      </c>
      <c r="AL141" s="2" t="s">
        <v>146</v>
      </c>
      <c r="AM141" s="2" t="s">
        <v>146</v>
      </c>
      <c r="AN141" s="2" t="s">
        <v>146</v>
      </c>
      <c r="AO141" s="2" t="s">
        <v>146</v>
      </c>
      <c r="AQ141" s="2">
        <f t="shared" si="22"/>
        <v>0</v>
      </c>
      <c r="AR141" s="2">
        <f t="shared" si="23"/>
        <v>0</v>
      </c>
      <c r="AT141" s="2">
        <f t="shared" si="24"/>
        <v>0</v>
      </c>
      <c r="AU141" s="2">
        <f t="shared" si="25"/>
        <v>0</v>
      </c>
      <c r="AV141" s="27" t="str">
        <f t="shared" si="26"/>
        <v/>
      </c>
      <c r="AY141" s="2">
        <f t="shared" si="27"/>
        <v>0</v>
      </c>
      <c r="AZ141" s="2">
        <f t="shared" si="28"/>
        <v>0</v>
      </c>
      <c r="BA141" s="2">
        <f t="shared" si="29"/>
        <v>0</v>
      </c>
      <c r="BB141" s="2">
        <f t="shared" si="30"/>
        <v>0</v>
      </c>
      <c r="BC141" s="2">
        <f t="shared" si="31"/>
        <v>0</v>
      </c>
      <c r="BD141" s="2">
        <f t="shared" si="32"/>
        <v>0</v>
      </c>
    </row>
    <row r="142" spans="1:56" ht="15" customHeight="1" x14ac:dyDescent="0.45">
      <c r="A142" s="2" t="s">
        <v>493</v>
      </c>
      <c r="B142" s="2" t="s">
        <v>495</v>
      </c>
      <c r="C142" s="2">
        <v>2019</v>
      </c>
      <c r="D142" s="2" t="s">
        <v>146</v>
      </c>
      <c r="E142" s="2" t="s">
        <v>146</v>
      </c>
      <c r="F142" s="2" t="s">
        <v>146</v>
      </c>
      <c r="G142" s="2" t="s">
        <v>146</v>
      </c>
      <c r="H142" s="2" t="s">
        <v>146</v>
      </c>
      <c r="I142" s="2" t="s">
        <v>146</v>
      </c>
      <c r="J142" s="2" t="s">
        <v>146</v>
      </c>
      <c r="K142" s="2" t="s">
        <v>146</v>
      </c>
      <c r="L142" s="2" t="s">
        <v>146</v>
      </c>
      <c r="M142" s="2" t="s">
        <v>146</v>
      </c>
      <c r="N142" s="2" t="s">
        <v>146</v>
      </c>
      <c r="O142" s="2" t="s">
        <v>146</v>
      </c>
      <c r="P142" s="2" t="s">
        <v>146</v>
      </c>
      <c r="Q142" s="2" t="s">
        <v>146</v>
      </c>
      <c r="R142" s="2" t="s">
        <v>146</v>
      </c>
      <c r="S142" s="2" t="s">
        <v>146</v>
      </c>
      <c r="T142" s="2" t="s">
        <v>146</v>
      </c>
      <c r="U142" s="2" t="s">
        <v>146</v>
      </c>
      <c r="V142" s="2" t="s">
        <v>146</v>
      </c>
      <c r="W142" s="2" t="s">
        <v>146</v>
      </c>
      <c r="X142" s="2" t="s">
        <v>146</v>
      </c>
      <c r="Y142" s="2" t="s">
        <v>146</v>
      </c>
      <c r="Z142" s="2" t="s">
        <v>146</v>
      </c>
      <c r="AA142" s="2" t="s">
        <v>146</v>
      </c>
      <c r="AB142" s="2" t="s">
        <v>146</v>
      </c>
      <c r="AC142" s="2" t="s">
        <v>146</v>
      </c>
      <c r="AD142" s="2" t="s">
        <v>146</v>
      </c>
      <c r="AE142" s="2" t="s">
        <v>146</v>
      </c>
      <c r="AF142" s="2" t="s">
        <v>146</v>
      </c>
      <c r="AG142" s="2" t="s">
        <v>146</v>
      </c>
      <c r="AH142" s="2" t="s">
        <v>146</v>
      </c>
      <c r="AI142" s="2" t="s">
        <v>146</v>
      </c>
      <c r="AJ142" s="2" t="s">
        <v>146</v>
      </c>
      <c r="AK142" s="2" t="s">
        <v>146</v>
      </c>
      <c r="AL142" s="2" t="s">
        <v>146</v>
      </c>
      <c r="AM142" s="2" t="s">
        <v>146</v>
      </c>
      <c r="AN142" s="2" t="s">
        <v>146</v>
      </c>
      <c r="AO142" s="2" t="s">
        <v>146</v>
      </c>
      <c r="AQ142" s="2">
        <f t="shared" si="22"/>
        <v>0</v>
      </c>
      <c r="AR142" s="2">
        <f t="shared" si="23"/>
        <v>0</v>
      </c>
      <c r="AT142" s="2">
        <f t="shared" si="24"/>
        <v>0</v>
      </c>
      <c r="AU142" s="2">
        <f t="shared" si="25"/>
        <v>0</v>
      </c>
      <c r="AV142" s="27" t="str">
        <f t="shared" si="26"/>
        <v/>
      </c>
      <c r="AY142" s="2">
        <f t="shared" si="27"/>
        <v>0</v>
      </c>
      <c r="AZ142" s="2">
        <f t="shared" si="28"/>
        <v>0</v>
      </c>
      <c r="BA142" s="2">
        <f t="shared" si="29"/>
        <v>0</v>
      </c>
      <c r="BB142" s="2">
        <f t="shared" si="30"/>
        <v>0</v>
      </c>
      <c r="BC142" s="2">
        <f t="shared" si="31"/>
        <v>0</v>
      </c>
      <c r="BD142" s="2">
        <f t="shared" si="32"/>
        <v>0</v>
      </c>
    </row>
    <row r="143" spans="1:56" ht="15" customHeight="1" x14ac:dyDescent="0.45">
      <c r="A143" s="2" t="s">
        <v>493</v>
      </c>
      <c r="B143" s="2" t="s">
        <v>494</v>
      </c>
      <c r="C143" s="2">
        <v>2019</v>
      </c>
      <c r="D143" s="2" t="s">
        <v>146</v>
      </c>
      <c r="E143" s="2" t="s">
        <v>146</v>
      </c>
      <c r="F143" s="2" t="s">
        <v>146</v>
      </c>
      <c r="G143" s="2" t="s">
        <v>146</v>
      </c>
      <c r="H143" s="2" t="s">
        <v>146</v>
      </c>
      <c r="I143" s="2" t="s">
        <v>146</v>
      </c>
      <c r="J143" s="2" t="s">
        <v>146</v>
      </c>
      <c r="K143" s="2" t="s">
        <v>146</v>
      </c>
      <c r="L143" s="2" t="s">
        <v>146</v>
      </c>
      <c r="M143" s="2" t="s">
        <v>146</v>
      </c>
      <c r="N143" s="2" t="s">
        <v>146</v>
      </c>
      <c r="O143" s="2" t="s">
        <v>146</v>
      </c>
      <c r="P143" s="2" t="s">
        <v>146</v>
      </c>
      <c r="Q143" s="2" t="s">
        <v>146</v>
      </c>
      <c r="R143" s="2" t="s">
        <v>146</v>
      </c>
      <c r="S143" s="2" t="s">
        <v>146</v>
      </c>
      <c r="T143" s="2" t="s">
        <v>146</v>
      </c>
      <c r="U143" s="2" t="s">
        <v>146</v>
      </c>
      <c r="V143" s="2" t="s">
        <v>146</v>
      </c>
      <c r="W143" s="2" t="s">
        <v>146</v>
      </c>
      <c r="X143" s="2" t="s">
        <v>146</v>
      </c>
      <c r="Y143" s="2" t="s">
        <v>146</v>
      </c>
      <c r="Z143" s="2" t="s">
        <v>146</v>
      </c>
      <c r="AA143" s="2" t="s">
        <v>146</v>
      </c>
      <c r="AB143" s="2" t="s">
        <v>146</v>
      </c>
      <c r="AC143" s="2" t="s">
        <v>146</v>
      </c>
      <c r="AD143" s="2" t="s">
        <v>146</v>
      </c>
      <c r="AE143" s="2" t="s">
        <v>146</v>
      </c>
      <c r="AF143" s="2" t="s">
        <v>146</v>
      </c>
      <c r="AG143" s="2" t="s">
        <v>146</v>
      </c>
      <c r="AH143" s="2" t="s">
        <v>146</v>
      </c>
      <c r="AI143" s="2" t="s">
        <v>146</v>
      </c>
      <c r="AJ143" s="2" t="s">
        <v>146</v>
      </c>
      <c r="AK143" s="2" t="s">
        <v>146</v>
      </c>
      <c r="AL143" s="2" t="s">
        <v>146</v>
      </c>
      <c r="AM143" s="2" t="s">
        <v>146</v>
      </c>
      <c r="AN143" s="2" t="s">
        <v>146</v>
      </c>
      <c r="AO143" s="2" t="s">
        <v>146</v>
      </c>
      <c r="AQ143" s="2">
        <f t="shared" si="22"/>
        <v>0</v>
      </c>
      <c r="AR143" s="2">
        <f t="shared" si="23"/>
        <v>0</v>
      </c>
      <c r="AT143" s="2">
        <f t="shared" si="24"/>
        <v>0</v>
      </c>
      <c r="AU143" s="2">
        <f t="shared" si="25"/>
        <v>0</v>
      </c>
      <c r="AV143" s="27" t="str">
        <f t="shared" si="26"/>
        <v/>
      </c>
      <c r="AY143" s="2">
        <f t="shared" si="27"/>
        <v>0</v>
      </c>
      <c r="AZ143" s="2">
        <f t="shared" si="28"/>
        <v>0</v>
      </c>
      <c r="BA143" s="2">
        <f t="shared" si="29"/>
        <v>0</v>
      </c>
      <c r="BB143" s="2">
        <f t="shared" si="30"/>
        <v>0</v>
      </c>
      <c r="BC143" s="2">
        <f t="shared" si="31"/>
        <v>0</v>
      </c>
      <c r="BD143" s="2">
        <f t="shared" si="32"/>
        <v>0</v>
      </c>
    </row>
    <row r="144" spans="1:56" ht="15" customHeight="1" x14ac:dyDescent="0.45">
      <c r="A144" s="2" t="s">
        <v>493</v>
      </c>
      <c r="B144" s="2" t="s">
        <v>492</v>
      </c>
      <c r="C144" s="2">
        <v>2019</v>
      </c>
      <c r="D144" s="2">
        <v>75.5</v>
      </c>
      <c r="E144" s="2">
        <v>7.35</v>
      </c>
      <c r="F144" s="2" t="s">
        <v>146</v>
      </c>
      <c r="G144" s="2" t="s">
        <v>146</v>
      </c>
      <c r="H144" s="2" t="s">
        <v>146</v>
      </c>
      <c r="I144" s="2">
        <v>136.4</v>
      </c>
      <c r="J144" s="2" t="s">
        <v>146</v>
      </c>
      <c r="K144" s="2" t="s">
        <v>146</v>
      </c>
      <c r="L144" s="2" t="s">
        <v>146</v>
      </c>
      <c r="M144" s="2" t="s">
        <v>146</v>
      </c>
      <c r="N144" s="2" t="s">
        <v>146</v>
      </c>
      <c r="O144" s="2" t="s">
        <v>146</v>
      </c>
      <c r="P144" s="2" t="s">
        <v>146</v>
      </c>
      <c r="Q144" s="2">
        <v>64.8</v>
      </c>
      <c r="R144" s="2">
        <v>21.6</v>
      </c>
      <c r="S144" s="2">
        <v>22.4</v>
      </c>
      <c r="T144" s="2" t="s">
        <v>146</v>
      </c>
      <c r="U144" s="2" t="s">
        <v>146</v>
      </c>
      <c r="V144" s="2" t="s">
        <v>146</v>
      </c>
      <c r="W144" s="2" t="s">
        <v>147</v>
      </c>
      <c r="X144" s="2" t="s">
        <v>146</v>
      </c>
      <c r="Y144" s="2" t="s">
        <v>146</v>
      </c>
      <c r="Z144" s="2" t="s">
        <v>146</v>
      </c>
      <c r="AA144" s="2" t="s">
        <v>146</v>
      </c>
      <c r="AB144" s="2" t="s">
        <v>146</v>
      </c>
      <c r="AC144" s="2" t="s">
        <v>146</v>
      </c>
      <c r="AD144" s="2" t="s">
        <v>146</v>
      </c>
      <c r="AE144" s="2" t="s">
        <v>146</v>
      </c>
      <c r="AF144" s="2" t="s">
        <v>146</v>
      </c>
      <c r="AG144" s="2" t="s">
        <v>146</v>
      </c>
      <c r="AH144" s="2" t="s">
        <v>146</v>
      </c>
      <c r="AI144" s="2" t="s">
        <v>146</v>
      </c>
      <c r="AJ144" s="2" t="s">
        <v>146</v>
      </c>
      <c r="AK144" s="2">
        <v>27.6</v>
      </c>
      <c r="AL144" s="2">
        <v>100</v>
      </c>
      <c r="AM144" s="2" t="s">
        <v>146</v>
      </c>
      <c r="AN144" s="2" t="s">
        <v>146</v>
      </c>
      <c r="AO144" s="2" t="s">
        <v>146</v>
      </c>
      <c r="AQ144" s="2">
        <f t="shared" si="22"/>
        <v>108.80000000000001</v>
      </c>
      <c r="AR144" s="2">
        <f t="shared" si="23"/>
        <v>136.4</v>
      </c>
      <c r="AT144" s="2">
        <f t="shared" si="24"/>
        <v>75.5</v>
      </c>
      <c r="AU144" s="2">
        <f t="shared" si="25"/>
        <v>7.35</v>
      </c>
      <c r="AV144" s="27">
        <f t="shared" si="26"/>
        <v>0.60740469208211134</v>
      </c>
      <c r="AY144" s="2">
        <f t="shared" si="27"/>
        <v>27.6</v>
      </c>
      <c r="AZ144" s="2">
        <f t="shared" si="28"/>
        <v>27.6</v>
      </c>
      <c r="BA144" s="2">
        <f t="shared" si="29"/>
        <v>0</v>
      </c>
      <c r="BB144" s="2">
        <f t="shared" si="30"/>
        <v>0</v>
      </c>
      <c r="BC144" s="2">
        <f t="shared" si="31"/>
        <v>0</v>
      </c>
      <c r="BD144" s="2">
        <f t="shared" si="32"/>
        <v>0</v>
      </c>
    </row>
    <row r="145" spans="1:56" ht="15" customHeight="1" x14ac:dyDescent="0.45">
      <c r="A145" s="2" t="s">
        <v>490</v>
      </c>
      <c r="B145" s="2" t="s">
        <v>489</v>
      </c>
      <c r="C145" s="2">
        <v>2019</v>
      </c>
      <c r="D145" s="2">
        <v>188.7</v>
      </c>
      <c r="E145" s="2">
        <v>23.18</v>
      </c>
      <c r="F145" s="2" t="s">
        <v>146</v>
      </c>
      <c r="G145" s="2" t="s">
        <v>146</v>
      </c>
      <c r="H145" s="2" t="s">
        <v>146</v>
      </c>
      <c r="I145" s="2">
        <v>244.66</v>
      </c>
      <c r="J145" s="2" t="s">
        <v>146</v>
      </c>
      <c r="K145" s="2">
        <v>2.38</v>
      </c>
      <c r="L145" s="2" t="s">
        <v>146</v>
      </c>
      <c r="M145" s="2" t="s">
        <v>146</v>
      </c>
      <c r="N145" s="2" t="s">
        <v>146</v>
      </c>
      <c r="O145" s="2" t="s">
        <v>146</v>
      </c>
      <c r="P145" s="2" t="s">
        <v>146</v>
      </c>
      <c r="Q145" s="2" t="s">
        <v>146</v>
      </c>
      <c r="R145" s="2" t="s">
        <v>146</v>
      </c>
      <c r="S145" s="2" t="s">
        <v>146</v>
      </c>
      <c r="T145" s="2" t="s">
        <v>146</v>
      </c>
      <c r="U145" s="2" t="s">
        <v>146</v>
      </c>
      <c r="V145" s="2" t="s">
        <v>146</v>
      </c>
      <c r="W145" s="2" t="s">
        <v>147</v>
      </c>
      <c r="X145" s="2" t="s">
        <v>146</v>
      </c>
      <c r="Y145" s="2" t="s">
        <v>146</v>
      </c>
      <c r="Z145" s="2" t="s">
        <v>146</v>
      </c>
      <c r="AA145" s="2">
        <v>3.35</v>
      </c>
      <c r="AB145" s="2" t="s">
        <v>146</v>
      </c>
      <c r="AC145" s="2" t="s">
        <v>146</v>
      </c>
      <c r="AD145" s="2" t="s">
        <v>146</v>
      </c>
      <c r="AE145" s="2" t="s">
        <v>146</v>
      </c>
      <c r="AF145" s="2">
        <v>222.18</v>
      </c>
      <c r="AG145" s="2" t="s">
        <v>146</v>
      </c>
      <c r="AH145" s="2" t="s">
        <v>146</v>
      </c>
      <c r="AI145" s="2" t="s">
        <v>146</v>
      </c>
      <c r="AJ145" s="2" t="s">
        <v>146</v>
      </c>
      <c r="AK145" s="2">
        <v>16.75</v>
      </c>
      <c r="AL145" s="2" t="s">
        <v>146</v>
      </c>
      <c r="AM145" s="2">
        <v>100</v>
      </c>
      <c r="AN145" s="2" t="s">
        <v>146</v>
      </c>
      <c r="AO145" s="2" t="s">
        <v>146</v>
      </c>
      <c r="AQ145" s="2">
        <f t="shared" si="22"/>
        <v>227.91</v>
      </c>
      <c r="AR145" s="2">
        <f t="shared" si="23"/>
        <v>244.66</v>
      </c>
      <c r="AT145" s="2">
        <f t="shared" si="24"/>
        <v>188.7</v>
      </c>
      <c r="AU145" s="2">
        <f t="shared" si="25"/>
        <v>23.18</v>
      </c>
      <c r="AV145" s="27">
        <f t="shared" si="26"/>
        <v>0.86601814763345053</v>
      </c>
      <c r="AY145" s="2">
        <f t="shared" si="27"/>
        <v>16.75</v>
      </c>
      <c r="AZ145" s="2">
        <f t="shared" si="28"/>
        <v>0</v>
      </c>
      <c r="BA145" s="2">
        <f t="shared" si="29"/>
        <v>16.75</v>
      </c>
      <c r="BB145" s="2">
        <f t="shared" si="30"/>
        <v>0</v>
      </c>
      <c r="BC145" s="2">
        <f t="shared" si="31"/>
        <v>0</v>
      </c>
      <c r="BD145" s="2">
        <f t="shared" si="32"/>
        <v>0</v>
      </c>
    </row>
    <row r="146" spans="1:56" ht="15" customHeight="1" x14ac:dyDescent="0.45">
      <c r="A146" s="2" t="s">
        <v>480</v>
      </c>
      <c r="B146" s="2" t="s">
        <v>488</v>
      </c>
      <c r="C146" s="2">
        <v>2019</v>
      </c>
      <c r="D146" s="2" t="s">
        <v>146</v>
      </c>
      <c r="E146" s="2" t="s">
        <v>146</v>
      </c>
      <c r="F146" s="2" t="s">
        <v>146</v>
      </c>
      <c r="G146" s="2" t="s">
        <v>146</v>
      </c>
      <c r="H146" s="2" t="s">
        <v>146</v>
      </c>
      <c r="I146" s="2" t="s">
        <v>146</v>
      </c>
      <c r="J146" s="2" t="s">
        <v>146</v>
      </c>
      <c r="K146" s="2" t="s">
        <v>146</v>
      </c>
      <c r="L146" s="2" t="s">
        <v>146</v>
      </c>
      <c r="M146" s="2" t="s">
        <v>146</v>
      </c>
      <c r="N146" s="2" t="s">
        <v>146</v>
      </c>
      <c r="O146" s="2" t="s">
        <v>146</v>
      </c>
      <c r="P146" s="2" t="s">
        <v>146</v>
      </c>
      <c r="Q146" s="2" t="s">
        <v>146</v>
      </c>
      <c r="R146" s="2" t="s">
        <v>146</v>
      </c>
      <c r="S146" s="2" t="s">
        <v>146</v>
      </c>
      <c r="T146" s="2" t="s">
        <v>146</v>
      </c>
      <c r="U146" s="2" t="s">
        <v>146</v>
      </c>
      <c r="V146" s="2" t="s">
        <v>146</v>
      </c>
      <c r="W146" s="2" t="s">
        <v>146</v>
      </c>
      <c r="X146" s="2" t="s">
        <v>146</v>
      </c>
      <c r="Y146" s="2" t="s">
        <v>146</v>
      </c>
      <c r="Z146" s="2" t="s">
        <v>146</v>
      </c>
      <c r="AA146" s="2" t="s">
        <v>146</v>
      </c>
      <c r="AB146" s="2" t="s">
        <v>146</v>
      </c>
      <c r="AC146" s="2" t="s">
        <v>146</v>
      </c>
      <c r="AD146" s="2" t="s">
        <v>146</v>
      </c>
      <c r="AE146" s="2" t="s">
        <v>146</v>
      </c>
      <c r="AF146" s="2" t="s">
        <v>146</v>
      </c>
      <c r="AG146" s="2" t="s">
        <v>146</v>
      </c>
      <c r="AH146" s="2" t="s">
        <v>146</v>
      </c>
      <c r="AI146" s="2" t="s">
        <v>146</v>
      </c>
      <c r="AJ146" s="2" t="s">
        <v>146</v>
      </c>
      <c r="AK146" s="2" t="s">
        <v>146</v>
      </c>
      <c r="AL146" s="2" t="s">
        <v>146</v>
      </c>
      <c r="AM146" s="2" t="s">
        <v>146</v>
      </c>
      <c r="AN146" s="2" t="s">
        <v>146</v>
      </c>
      <c r="AO146" s="2" t="s">
        <v>146</v>
      </c>
      <c r="AQ146" s="2">
        <f t="shared" si="22"/>
        <v>0</v>
      </c>
      <c r="AR146" s="2">
        <f t="shared" si="23"/>
        <v>0</v>
      </c>
      <c r="AT146" s="2">
        <f t="shared" si="24"/>
        <v>0</v>
      </c>
      <c r="AU146" s="2">
        <f t="shared" si="25"/>
        <v>0</v>
      </c>
      <c r="AV146" s="27" t="str">
        <f t="shared" si="26"/>
        <v/>
      </c>
      <c r="AY146" s="2">
        <f t="shared" si="27"/>
        <v>0</v>
      </c>
      <c r="AZ146" s="2">
        <f t="shared" si="28"/>
        <v>0</v>
      </c>
      <c r="BA146" s="2">
        <f t="shared" si="29"/>
        <v>0</v>
      </c>
      <c r="BB146" s="2">
        <f t="shared" si="30"/>
        <v>0</v>
      </c>
      <c r="BC146" s="2">
        <f t="shared" si="31"/>
        <v>0</v>
      </c>
      <c r="BD146" s="2">
        <f t="shared" si="32"/>
        <v>0</v>
      </c>
    </row>
    <row r="147" spans="1:56" ht="15" customHeight="1" x14ac:dyDescent="0.45">
      <c r="A147" s="2" t="s">
        <v>480</v>
      </c>
      <c r="B147" s="2" t="s">
        <v>487</v>
      </c>
      <c r="C147" s="2">
        <v>2019</v>
      </c>
      <c r="D147" s="2" t="s">
        <v>146</v>
      </c>
      <c r="E147" s="2" t="s">
        <v>146</v>
      </c>
      <c r="F147" s="2" t="s">
        <v>146</v>
      </c>
      <c r="G147" s="2" t="s">
        <v>146</v>
      </c>
      <c r="H147" s="2" t="s">
        <v>146</v>
      </c>
      <c r="I147" s="2" t="s">
        <v>146</v>
      </c>
      <c r="J147" s="2" t="s">
        <v>146</v>
      </c>
      <c r="K147" s="2" t="s">
        <v>146</v>
      </c>
      <c r="L147" s="2" t="s">
        <v>146</v>
      </c>
      <c r="M147" s="2" t="s">
        <v>146</v>
      </c>
      <c r="N147" s="2" t="s">
        <v>146</v>
      </c>
      <c r="O147" s="2" t="s">
        <v>146</v>
      </c>
      <c r="P147" s="2" t="s">
        <v>146</v>
      </c>
      <c r="Q147" s="2" t="s">
        <v>146</v>
      </c>
      <c r="R147" s="2" t="s">
        <v>146</v>
      </c>
      <c r="S147" s="2" t="s">
        <v>146</v>
      </c>
      <c r="T147" s="2" t="s">
        <v>146</v>
      </c>
      <c r="U147" s="2" t="s">
        <v>146</v>
      </c>
      <c r="V147" s="2" t="s">
        <v>146</v>
      </c>
      <c r="W147" s="2" t="s">
        <v>146</v>
      </c>
      <c r="X147" s="2" t="s">
        <v>146</v>
      </c>
      <c r="Y147" s="2" t="s">
        <v>146</v>
      </c>
      <c r="Z147" s="2" t="s">
        <v>146</v>
      </c>
      <c r="AA147" s="2" t="s">
        <v>146</v>
      </c>
      <c r="AB147" s="2" t="s">
        <v>146</v>
      </c>
      <c r="AC147" s="2" t="s">
        <v>146</v>
      </c>
      <c r="AD147" s="2" t="s">
        <v>146</v>
      </c>
      <c r="AE147" s="2" t="s">
        <v>146</v>
      </c>
      <c r="AF147" s="2" t="s">
        <v>146</v>
      </c>
      <c r="AG147" s="2" t="s">
        <v>146</v>
      </c>
      <c r="AH147" s="2" t="s">
        <v>146</v>
      </c>
      <c r="AI147" s="2" t="s">
        <v>146</v>
      </c>
      <c r="AJ147" s="2" t="s">
        <v>146</v>
      </c>
      <c r="AK147" s="2" t="s">
        <v>146</v>
      </c>
      <c r="AL147" s="2" t="s">
        <v>146</v>
      </c>
      <c r="AM147" s="2" t="s">
        <v>146</v>
      </c>
      <c r="AN147" s="2" t="s">
        <v>146</v>
      </c>
      <c r="AO147" s="2" t="s">
        <v>146</v>
      </c>
      <c r="AQ147" s="2">
        <f t="shared" si="22"/>
        <v>0</v>
      </c>
      <c r="AR147" s="2">
        <f t="shared" si="23"/>
        <v>0</v>
      </c>
      <c r="AT147" s="2">
        <f t="shared" si="24"/>
        <v>0</v>
      </c>
      <c r="AU147" s="2">
        <f t="shared" si="25"/>
        <v>0</v>
      </c>
      <c r="AV147" s="27" t="str">
        <f t="shared" si="26"/>
        <v/>
      </c>
      <c r="AY147" s="2">
        <f t="shared" si="27"/>
        <v>0</v>
      </c>
      <c r="AZ147" s="2">
        <f t="shared" si="28"/>
        <v>0</v>
      </c>
      <c r="BA147" s="2">
        <f t="shared" si="29"/>
        <v>0</v>
      </c>
      <c r="BB147" s="2">
        <f t="shared" si="30"/>
        <v>0</v>
      </c>
      <c r="BC147" s="2">
        <f t="shared" si="31"/>
        <v>0</v>
      </c>
      <c r="BD147" s="2">
        <f t="shared" si="32"/>
        <v>0</v>
      </c>
    </row>
    <row r="148" spans="1:56" ht="15" customHeight="1" x14ac:dyDescent="0.45">
      <c r="A148" s="2" t="s">
        <v>480</v>
      </c>
      <c r="B148" s="2" t="s">
        <v>486</v>
      </c>
      <c r="C148" s="2">
        <v>2019</v>
      </c>
      <c r="D148" s="2" t="s">
        <v>146</v>
      </c>
      <c r="E148" s="2" t="s">
        <v>146</v>
      </c>
      <c r="F148" s="2" t="s">
        <v>146</v>
      </c>
      <c r="G148" s="2" t="s">
        <v>146</v>
      </c>
      <c r="H148" s="2" t="s">
        <v>146</v>
      </c>
      <c r="I148" s="2" t="s">
        <v>146</v>
      </c>
      <c r="J148" s="2" t="s">
        <v>146</v>
      </c>
      <c r="K148" s="2" t="s">
        <v>146</v>
      </c>
      <c r="L148" s="2" t="s">
        <v>146</v>
      </c>
      <c r="M148" s="2" t="s">
        <v>146</v>
      </c>
      <c r="N148" s="2" t="s">
        <v>146</v>
      </c>
      <c r="O148" s="2" t="s">
        <v>146</v>
      </c>
      <c r="P148" s="2" t="s">
        <v>146</v>
      </c>
      <c r="Q148" s="2" t="s">
        <v>146</v>
      </c>
      <c r="R148" s="2" t="s">
        <v>146</v>
      </c>
      <c r="S148" s="2" t="s">
        <v>146</v>
      </c>
      <c r="T148" s="2" t="s">
        <v>146</v>
      </c>
      <c r="U148" s="2" t="s">
        <v>146</v>
      </c>
      <c r="V148" s="2" t="s">
        <v>146</v>
      </c>
      <c r="W148" s="2" t="s">
        <v>146</v>
      </c>
      <c r="X148" s="2" t="s">
        <v>146</v>
      </c>
      <c r="Y148" s="2" t="s">
        <v>146</v>
      </c>
      <c r="Z148" s="2" t="s">
        <v>146</v>
      </c>
      <c r="AA148" s="2" t="s">
        <v>146</v>
      </c>
      <c r="AB148" s="2" t="s">
        <v>146</v>
      </c>
      <c r="AC148" s="2" t="s">
        <v>146</v>
      </c>
      <c r="AD148" s="2" t="s">
        <v>146</v>
      </c>
      <c r="AE148" s="2" t="s">
        <v>146</v>
      </c>
      <c r="AF148" s="2" t="s">
        <v>146</v>
      </c>
      <c r="AG148" s="2" t="s">
        <v>146</v>
      </c>
      <c r="AH148" s="2" t="s">
        <v>146</v>
      </c>
      <c r="AI148" s="2" t="s">
        <v>146</v>
      </c>
      <c r="AJ148" s="2" t="s">
        <v>146</v>
      </c>
      <c r="AK148" s="2" t="s">
        <v>146</v>
      </c>
      <c r="AL148" s="2" t="s">
        <v>146</v>
      </c>
      <c r="AM148" s="2" t="s">
        <v>146</v>
      </c>
      <c r="AN148" s="2" t="s">
        <v>146</v>
      </c>
      <c r="AO148" s="2" t="s">
        <v>146</v>
      </c>
      <c r="AQ148" s="2">
        <f t="shared" si="22"/>
        <v>0</v>
      </c>
      <c r="AR148" s="2">
        <f t="shared" si="23"/>
        <v>0</v>
      </c>
      <c r="AT148" s="2">
        <f t="shared" si="24"/>
        <v>0</v>
      </c>
      <c r="AU148" s="2">
        <f t="shared" si="25"/>
        <v>0</v>
      </c>
      <c r="AV148" s="27" t="str">
        <f t="shared" si="26"/>
        <v/>
      </c>
      <c r="AY148" s="2">
        <f t="shared" si="27"/>
        <v>0</v>
      </c>
      <c r="AZ148" s="2">
        <f t="shared" si="28"/>
        <v>0</v>
      </c>
      <c r="BA148" s="2">
        <f t="shared" si="29"/>
        <v>0</v>
      </c>
      <c r="BB148" s="2">
        <f t="shared" si="30"/>
        <v>0</v>
      </c>
      <c r="BC148" s="2">
        <f t="shared" si="31"/>
        <v>0</v>
      </c>
      <c r="BD148" s="2">
        <f t="shared" si="32"/>
        <v>0</v>
      </c>
    </row>
    <row r="149" spans="1:56" ht="15" customHeight="1" x14ac:dyDescent="0.45">
      <c r="A149" s="2" t="s">
        <v>480</v>
      </c>
      <c r="B149" s="2" t="s">
        <v>485</v>
      </c>
      <c r="C149" s="2">
        <v>2019</v>
      </c>
      <c r="D149" s="2" t="s">
        <v>146</v>
      </c>
      <c r="E149" s="2" t="s">
        <v>146</v>
      </c>
      <c r="F149" s="2" t="s">
        <v>146</v>
      </c>
      <c r="G149" s="2" t="s">
        <v>146</v>
      </c>
      <c r="H149" s="2" t="s">
        <v>146</v>
      </c>
      <c r="I149" s="2" t="s">
        <v>146</v>
      </c>
      <c r="J149" s="2" t="s">
        <v>146</v>
      </c>
      <c r="K149" s="2" t="s">
        <v>146</v>
      </c>
      <c r="L149" s="2" t="s">
        <v>146</v>
      </c>
      <c r="M149" s="2" t="s">
        <v>146</v>
      </c>
      <c r="N149" s="2" t="s">
        <v>146</v>
      </c>
      <c r="O149" s="2" t="s">
        <v>146</v>
      </c>
      <c r="P149" s="2" t="s">
        <v>146</v>
      </c>
      <c r="Q149" s="2" t="s">
        <v>146</v>
      </c>
      <c r="R149" s="2" t="s">
        <v>146</v>
      </c>
      <c r="S149" s="2" t="s">
        <v>146</v>
      </c>
      <c r="T149" s="2" t="s">
        <v>146</v>
      </c>
      <c r="U149" s="2" t="s">
        <v>146</v>
      </c>
      <c r="V149" s="2" t="s">
        <v>146</v>
      </c>
      <c r="W149" s="2" t="s">
        <v>146</v>
      </c>
      <c r="X149" s="2" t="s">
        <v>146</v>
      </c>
      <c r="Y149" s="2" t="s">
        <v>146</v>
      </c>
      <c r="Z149" s="2" t="s">
        <v>146</v>
      </c>
      <c r="AA149" s="2" t="s">
        <v>146</v>
      </c>
      <c r="AB149" s="2" t="s">
        <v>146</v>
      </c>
      <c r="AC149" s="2" t="s">
        <v>146</v>
      </c>
      <c r="AD149" s="2" t="s">
        <v>146</v>
      </c>
      <c r="AE149" s="2" t="s">
        <v>146</v>
      </c>
      <c r="AF149" s="2" t="s">
        <v>146</v>
      </c>
      <c r="AG149" s="2" t="s">
        <v>146</v>
      </c>
      <c r="AH149" s="2" t="s">
        <v>146</v>
      </c>
      <c r="AI149" s="2" t="s">
        <v>146</v>
      </c>
      <c r="AJ149" s="2" t="s">
        <v>146</v>
      </c>
      <c r="AK149" s="2" t="s">
        <v>146</v>
      </c>
      <c r="AL149" s="2" t="s">
        <v>146</v>
      </c>
      <c r="AM149" s="2" t="s">
        <v>146</v>
      </c>
      <c r="AN149" s="2" t="s">
        <v>146</v>
      </c>
      <c r="AO149" s="2" t="s">
        <v>146</v>
      </c>
      <c r="AQ149" s="2">
        <f t="shared" si="22"/>
        <v>0</v>
      </c>
      <c r="AR149" s="2">
        <f t="shared" si="23"/>
        <v>0</v>
      </c>
      <c r="AT149" s="2">
        <f t="shared" si="24"/>
        <v>0</v>
      </c>
      <c r="AU149" s="2">
        <f t="shared" si="25"/>
        <v>0</v>
      </c>
      <c r="AV149" s="27" t="str">
        <f t="shared" si="26"/>
        <v/>
      </c>
      <c r="AY149" s="2">
        <f t="shared" si="27"/>
        <v>0</v>
      </c>
      <c r="AZ149" s="2">
        <f t="shared" si="28"/>
        <v>0</v>
      </c>
      <c r="BA149" s="2">
        <f t="shared" si="29"/>
        <v>0</v>
      </c>
      <c r="BB149" s="2">
        <f t="shared" si="30"/>
        <v>0</v>
      </c>
      <c r="BC149" s="2">
        <f t="shared" si="31"/>
        <v>0</v>
      </c>
      <c r="BD149" s="2">
        <f t="shared" si="32"/>
        <v>0</v>
      </c>
    </row>
    <row r="150" spans="1:56" ht="15" customHeight="1" x14ac:dyDescent="0.45">
      <c r="A150" s="2" t="s">
        <v>480</v>
      </c>
      <c r="B150" s="2" t="s">
        <v>484</v>
      </c>
      <c r="C150" s="2">
        <v>2019</v>
      </c>
      <c r="D150" s="2" t="s">
        <v>146</v>
      </c>
      <c r="E150" s="2" t="s">
        <v>146</v>
      </c>
      <c r="F150" s="2" t="s">
        <v>146</v>
      </c>
      <c r="G150" s="2" t="s">
        <v>146</v>
      </c>
      <c r="H150" s="2" t="s">
        <v>146</v>
      </c>
      <c r="I150" s="2" t="s">
        <v>146</v>
      </c>
      <c r="J150" s="2" t="s">
        <v>146</v>
      </c>
      <c r="K150" s="2" t="s">
        <v>146</v>
      </c>
      <c r="L150" s="2" t="s">
        <v>146</v>
      </c>
      <c r="M150" s="2" t="s">
        <v>146</v>
      </c>
      <c r="N150" s="2" t="s">
        <v>146</v>
      </c>
      <c r="O150" s="2" t="s">
        <v>146</v>
      </c>
      <c r="P150" s="2" t="s">
        <v>146</v>
      </c>
      <c r="Q150" s="2" t="s">
        <v>146</v>
      </c>
      <c r="R150" s="2" t="s">
        <v>146</v>
      </c>
      <c r="S150" s="2" t="s">
        <v>146</v>
      </c>
      <c r="T150" s="2" t="s">
        <v>146</v>
      </c>
      <c r="U150" s="2" t="s">
        <v>146</v>
      </c>
      <c r="V150" s="2" t="s">
        <v>146</v>
      </c>
      <c r="W150" s="2" t="s">
        <v>146</v>
      </c>
      <c r="X150" s="2" t="s">
        <v>146</v>
      </c>
      <c r="Y150" s="2" t="s">
        <v>146</v>
      </c>
      <c r="Z150" s="2" t="s">
        <v>146</v>
      </c>
      <c r="AA150" s="2" t="s">
        <v>146</v>
      </c>
      <c r="AB150" s="2" t="s">
        <v>146</v>
      </c>
      <c r="AC150" s="2" t="s">
        <v>146</v>
      </c>
      <c r="AD150" s="2" t="s">
        <v>146</v>
      </c>
      <c r="AE150" s="2" t="s">
        <v>146</v>
      </c>
      <c r="AF150" s="2" t="s">
        <v>146</v>
      </c>
      <c r="AG150" s="2" t="s">
        <v>146</v>
      </c>
      <c r="AH150" s="2" t="s">
        <v>146</v>
      </c>
      <c r="AI150" s="2" t="s">
        <v>146</v>
      </c>
      <c r="AJ150" s="2" t="s">
        <v>146</v>
      </c>
      <c r="AK150" s="2" t="s">
        <v>146</v>
      </c>
      <c r="AL150" s="2" t="s">
        <v>146</v>
      </c>
      <c r="AM150" s="2" t="s">
        <v>146</v>
      </c>
      <c r="AN150" s="2" t="s">
        <v>146</v>
      </c>
      <c r="AO150" s="2" t="s">
        <v>146</v>
      </c>
      <c r="AQ150" s="2">
        <f t="shared" si="22"/>
        <v>0</v>
      </c>
      <c r="AR150" s="2">
        <f t="shared" si="23"/>
        <v>0</v>
      </c>
      <c r="AT150" s="2">
        <f t="shared" si="24"/>
        <v>0</v>
      </c>
      <c r="AU150" s="2">
        <f t="shared" si="25"/>
        <v>0</v>
      </c>
      <c r="AV150" s="27" t="str">
        <f t="shared" si="26"/>
        <v/>
      </c>
      <c r="AY150" s="2">
        <f t="shared" si="27"/>
        <v>0</v>
      </c>
      <c r="AZ150" s="2">
        <f t="shared" si="28"/>
        <v>0</v>
      </c>
      <c r="BA150" s="2">
        <f t="shared" si="29"/>
        <v>0</v>
      </c>
      <c r="BB150" s="2">
        <f t="shared" si="30"/>
        <v>0</v>
      </c>
      <c r="BC150" s="2">
        <f t="shared" si="31"/>
        <v>0</v>
      </c>
      <c r="BD150" s="2">
        <f t="shared" si="32"/>
        <v>0</v>
      </c>
    </row>
    <row r="151" spans="1:56" ht="15" customHeight="1" x14ac:dyDescent="0.45">
      <c r="A151" s="2" t="s">
        <v>480</v>
      </c>
      <c r="B151" s="2" t="s">
        <v>483</v>
      </c>
      <c r="C151" s="2">
        <v>2019</v>
      </c>
      <c r="D151" s="2" t="s">
        <v>146</v>
      </c>
      <c r="E151" s="2" t="s">
        <v>146</v>
      </c>
      <c r="F151" s="2" t="s">
        <v>146</v>
      </c>
      <c r="G151" s="2" t="s">
        <v>146</v>
      </c>
      <c r="H151" s="2" t="s">
        <v>146</v>
      </c>
      <c r="I151" s="2" t="s">
        <v>146</v>
      </c>
      <c r="J151" s="2" t="s">
        <v>146</v>
      </c>
      <c r="K151" s="2" t="s">
        <v>146</v>
      </c>
      <c r="L151" s="2" t="s">
        <v>146</v>
      </c>
      <c r="M151" s="2" t="s">
        <v>146</v>
      </c>
      <c r="N151" s="2" t="s">
        <v>146</v>
      </c>
      <c r="O151" s="2" t="s">
        <v>146</v>
      </c>
      <c r="P151" s="2" t="s">
        <v>146</v>
      </c>
      <c r="Q151" s="2" t="s">
        <v>146</v>
      </c>
      <c r="R151" s="2" t="s">
        <v>146</v>
      </c>
      <c r="S151" s="2" t="s">
        <v>146</v>
      </c>
      <c r="T151" s="2" t="s">
        <v>146</v>
      </c>
      <c r="U151" s="2" t="s">
        <v>146</v>
      </c>
      <c r="V151" s="2" t="s">
        <v>146</v>
      </c>
      <c r="W151" s="2" t="s">
        <v>146</v>
      </c>
      <c r="X151" s="2" t="s">
        <v>146</v>
      </c>
      <c r="Y151" s="2" t="s">
        <v>146</v>
      </c>
      <c r="Z151" s="2" t="s">
        <v>146</v>
      </c>
      <c r="AA151" s="2" t="s">
        <v>146</v>
      </c>
      <c r="AB151" s="2" t="s">
        <v>146</v>
      </c>
      <c r="AC151" s="2" t="s">
        <v>146</v>
      </c>
      <c r="AD151" s="2" t="s">
        <v>146</v>
      </c>
      <c r="AE151" s="2" t="s">
        <v>146</v>
      </c>
      <c r="AF151" s="2" t="s">
        <v>146</v>
      </c>
      <c r="AG151" s="2" t="s">
        <v>146</v>
      </c>
      <c r="AH151" s="2" t="s">
        <v>146</v>
      </c>
      <c r="AI151" s="2" t="s">
        <v>146</v>
      </c>
      <c r="AJ151" s="2" t="s">
        <v>146</v>
      </c>
      <c r="AK151" s="2" t="s">
        <v>146</v>
      </c>
      <c r="AL151" s="2" t="s">
        <v>146</v>
      </c>
      <c r="AM151" s="2" t="s">
        <v>146</v>
      </c>
      <c r="AN151" s="2" t="s">
        <v>146</v>
      </c>
      <c r="AO151" s="2" t="s">
        <v>146</v>
      </c>
      <c r="AQ151" s="2">
        <f t="shared" si="22"/>
        <v>0</v>
      </c>
      <c r="AR151" s="2">
        <f t="shared" si="23"/>
        <v>0</v>
      </c>
      <c r="AT151" s="2">
        <f t="shared" si="24"/>
        <v>0</v>
      </c>
      <c r="AU151" s="2">
        <f t="shared" si="25"/>
        <v>0</v>
      </c>
      <c r="AV151" s="27" t="str">
        <f t="shared" si="26"/>
        <v/>
      </c>
      <c r="AY151" s="2">
        <f t="shared" si="27"/>
        <v>0</v>
      </c>
      <c r="AZ151" s="2">
        <f t="shared" si="28"/>
        <v>0</v>
      </c>
      <c r="BA151" s="2">
        <f t="shared" si="29"/>
        <v>0</v>
      </c>
      <c r="BB151" s="2">
        <f t="shared" si="30"/>
        <v>0</v>
      </c>
      <c r="BC151" s="2">
        <f t="shared" si="31"/>
        <v>0</v>
      </c>
      <c r="BD151" s="2">
        <f t="shared" si="32"/>
        <v>0</v>
      </c>
    </row>
    <row r="152" spans="1:56" ht="15" customHeight="1" x14ac:dyDescent="0.45">
      <c r="A152" s="2" t="s">
        <v>480</v>
      </c>
      <c r="B152" s="2" t="s">
        <v>482</v>
      </c>
      <c r="C152" s="2">
        <v>2019</v>
      </c>
      <c r="D152" s="2" t="s">
        <v>146</v>
      </c>
      <c r="E152" s="2" t="s">
        <v>146</v>
      </c>
      <c r="F152" s="2" t="s">
        <v>146</v>
      </c>
      <c r="G152" s="2" t="s">
        <v>146</v>
      </c>
      <c r="H152" s="2" t="s">
        <v>146</v>
      </c>
      <c r="I152" s="2" t="s">
        <v>146</v>
      </c>
      <c r="J152" s="2" t="s">
        <v>146</v>
      </c>
      <c r="K152" s="2" t="s">
        <v>146</v>
      </c>
      <c r="L152" s="2" t="s">
        <v>146</v>
      </c>
      <c r="M152" s="2" t="s">
        <v>146</v>
      </c>
      <c r="N152" s="2" t="s">
        <v>146</v>
      </c>
      <c r="O152" s="2" t="s">
        <v>146</v>
      </c>
      <c r="P152" s="2" t="s">
        <v>146</v>
      </c>
      <c r="Q152" s="2" t="s">
        <v>146</v>
      </c>
      <c r="R152" s="2" t="s">
        <v>146</v>
      </c>
      <c r="S152" s="2" t="s">
        <v>146</v>
      </c>
      <c r="T152" s="2" t="s">
        <v>146</v>
      </c>
      <c r="U152" s="2" t="s">
        <v>146</v>
      </c>
      <c r="V152" s="2" t="s">
        <v>146</v>
      </c>
      <c r="W152" s="2" t="s">
        <v>146</v>
      </c>
      <c r="X152" s="2" t="s">
        <v>146</v>
      </c>
      <c r="Y152" s="2" t="s">
        <v>146</v>
      </c>
      <c r="Z152" s="2" t="s">
        <v>146</v>
      </c>
      <c r="AA152" s="2" t="s">
        <v>146</v>
      </c>
      <c r="AB152" s="2" t="s">
        <v>146</v>
      </c>
      <c r="AC152" s="2" t="s">
        <v>146</v>
      </c>
      <c r="AD152" s="2" t="s">
        <v>146</v>
      </c>
      <c r="AE152" s="2" t="s">
        <v>146</v>
      </c>
      <c r="AF152" s="2" t="s">
        <v>146</v>
      </c>
      <c r="AG152" s="2" t="s">
        <v>146</v>
      </c>
      <c r="AH152" s="2" t="s">
        <v>146</v>
      </c>
      <c r="AI152" s="2" t="s">
        <v>146</v>
      </c>
      <c r="AJ152" s="2" t="s">
        <v>146</v>
      </c>
      <c r="AK152" s="2" t="s">
        <v>146</v>
      </c>
      <c r="AL152" s="2" t="s">
        <v>146</v>
      </c>
      <c r="AM152" s="2" t="s">
        <v>146</v>
      </c>
      <c r="AN152" s="2" t="s">
        <v>146</v>
      </c>
      <c r="AO152" s="2" t="s">
        <v>146</v>
      </c>
      <c r="AQ152" s="2">
        <f t="shared" si="22"/>
        <v>0</v>
      </c>
      <c r="AR152" s="2">
        <f t="shared" si="23"/>
        <v>0</v>
      </c>
      <c r="AT152" s="2">
        <f t="shared" si="24"/>
        <v>0</v>
      </c>
      <c r="AU152" s="2">
        <f t="shared" si="25"/>
        <v>0</v>
      </c>
      <c r="AV152" s="27" t="str">
        <f t="shared" si="26"/>
        <v/>
      </c>
      <c r="AY152" s="2">
        <f t="shared" si="27"/>
        <v>0</v>
      </c>
      <c r="AZ152" s="2">
        <f t="shared" si="28"/>
        <v>0</v>
      </c>
      <c r="BA152" s="2">
        <f t="shared" si="29"/>
        <v>0</v>
      </c>
      <c r="BB152" s="2">
        <f t="shared" si="30"/>
        <v>0</v>
      </c>
      <c r="BC152" s="2">
        <f t="shared" si="31"/>
        <v>0</v>
      </c>
      <c r="BD152" s="2">
        <f t="shared" si="32"/>
        <v>0</v>
      </c>
    </row>
    <row r="153" spans="1:56" ht="15" customHeight="1" x14ac:dyDescent="0.45">
      <c r="A153" s="2" t="s">
        <v>480</v>
      </c>
      <c r="B153" s="2" t="s">
        <v>481</v>
      </c>
      <c r="C153" s="2">
        <v>2019</v>
      </c>
      <c r="D153" s="2" t="s">
        <v>146</v>
      </c>
      <c r="E153" s="2" t="s">
        <v>146</v>
      </c>
      <c r="F153" s="2" t="s">
        <v>146</v>
      </c>
      <c r="G153" s="2" t="s">
        <v>146</v>
      </c>
      <c r="H153" s="2" t="s">
        <v>146</v>
      </c>
      <c r="I153" s="2" t="s">
        <v>146</v>
      </c>
      <c r="J153" s="2" t="s">
        <v>146</v>
      </c>
      <c r="K153" s="2" t="s">
        <v>146</v>
      </c>
      <c r="L153" s="2" t="s">
        <v>146</v>
      </c>
      <c r="M153" s="2" t="s">
        <v>146</v>
      </c>
      <c r="N153" s="2" t="s">
        <v>146</v>
      </c>
      <c r="O153" s="2" t="s">
        <v>146</v>
      </c>
      <c r="P153" s="2" t="s">
        <v>146</v>
      </c>
      <c r="Q153" s="2" t="s">
        <v>146</v>
      </c>
      <c r="R153" s="2" t="s">
        <v>146</v>
      </c>
      <c r="S153" s="2" t="s">
        <v>146</v>
      </c>
      <c r="T153" s="2" t="s">
        <v>146</v>
      </c>
      <c r="U153" s="2" t="s">
        <v>146</v>
      </c>
      <c r="V153" s="2" t="s">
        <v>146</v>
      </c>
      <c r="W153" s="2" t="s">
        <v>146</v>
      </c>
      <c r="X153" s="2" t="s">
        <v>146</v>
      </c>
      <c r="Y153" s="2" t="s">
        <v>146</v>
      </c>
      <c r="Z153" s="2" t="s">
        <v>146</v>
      </c>
      <c r="AA153" s="2" t="s">
        <v>146</v>
      </c>
      <c r="AB153" s="2" t="s">
        <v>146</v>
      </c>
      <c r="AC153" s="2" t="s">
        <v>146</v>
      </c>
      <c r="AD153" s="2" t="s">
        <v>146</v>
      </c>
      <c r="AE153" s="2" t="s">
        <v>146</v>
      </c>
      <c r="AF153" s="2" t="s">
        <v>146</v>
      </c>
      <c r="AG153" s="2" t="s">
        <v>146</v>
      </c>
      <c r="AH153" s="2" t="s">
        <v>146</v>
      </c>
      <c r="AI153" s="2" t="s">
        <v>146</v>
      </c>
      <c r="AJ153" s="2" t="s">
        <v>146</v>
      </c>
      <c r="AK153" s="2" t="s">
        <v>146</v>
      </c>
      <c r="AL153" s="2" t="s">
        <v>146</v>
      </c>
      <c r="AM153" s="2" t="s">
        <v>146</v>
      </c>
      <c r="AN153" s="2" t="s">
        <v>146</v>
      </c>
      <c r="AO153" s="2" t="s">
        <v>146</v>
      </c>
      <c r="AQ153" s="2">
        <f t="shared" si="22"/>
        <v>0</v>
      </c>
      <c r="AR153" s="2">
        <f t="shared" si="23"/>
        <v>0</v>
      </c>
      <c r="AT153" s="2">
        <f t="shared" si="24"/>
        <v>0</v>
      </c>
      <c r="AU153" s="2">
        <f t="shared" si="25"/>
        <v>0</v>
      </c>
      <c r="AV153" s="27" t="str">
        <f t="shared" si="26"/>
        <v/>
      </c>
      <c r="AY153" s="2">
        <f t="shared" si="27"/>
        <v>0</v>
      </c>
      <c r="AZ153" s="2">
        <f t="shared" si="28"/>
        <v>0</v>
      </c>
      <c r="BA153" s="2">
        <f t="shared" si="29"/>
        <v>0</v>
      </c>
      <c r="BB153" s="2">
        <f t="shared" si="30"/>
        <v>0</v>
      </c>
      <c r="BC153" s="2">
        <f t="shared" si="31"/>
        <v>0</v>
      </c>
      <c r="BD153" s="2">
        <f t="shared" si="32"/>
        <v>0</v>
      </c>
    </row>
    <row r="154" spans="1:56" ht="15" customHeight="1" x14ac:dyDescent="0.45">
      <c r="A154" s="2" t="s">
        <v>480</v>
      </c>
      <c r="B154" s="2" t="s">
        <v>479</v>
      </c>
      <c r="C154" s="2">
        <v>2019</v>
      </c>
      <c r="D154" s="2" t="s">
        <v>146</v>
      </c>
      <c r="E154" s="2" t="s">
        <v>146</v>
      </c>
      <c r="F154" s="2" t="s">
        <v>146</v>
      </c>
      <c r="G154" s="2" t="s">
        <v>146</v>
      </c>
      <c r="H154" s="2" t="s">
        <v>146</v>
      </c>
      <c r="I154" s="2" t="s">
        <v>146</v>
      </c>
      <c r="J154" s="2" t="s">
        <v>146</v>
      </c>
      <c r="K154" s="2" t="s">
        <v>146</v>
      </c>
      <c r="L154" s="2" t="s">
        <v>146</v>
      </c>
      <c r="M154" s="2" t="s">
        <v>146</v>
      </c>
      <c r="N154" s="2" t="s">
        <v>146</v>
      </c>
      <c r="O154" s="2" t="s">
        <v>146</v>
      </c>
      <c r="P154" s="2" t="s">
        <v>146</v>
      </c>
      <c r="Q154" s="2" t="s">
        <v>146</v>
      </c>
      <c r="R154" s="2" t="s">
        <v>146</v>
      </c>
      <c r="S154" s="2" t="s">
        <v>146</v>
      </c>
      <c r="T154" s="2" t="s">
        <v>146</v>
      </c>
      <c r="U154" s="2" t="s">
        <v>146</v>
      </c>
      <c r="V154" s="2" t="s">
        <v>146</v>
      </c>
      <c r="W154" s="2" t="s">
        <v>146</v>
      </c>
      <c r="X154" s="2" t="s">
        <v>146</v>
      </c>
      <c r="Y154" s="2" t="s">
        <v>146</v>
      </c>
      <c r="Z154" s="2" t="s">
        <v>146</v>
      </c>
      <c r="AA154" s="2" t="s">
        <v>146</v>
      </c>
      <c r="AB154" s="2" t="s">
        <v>146</v>
      </c>
      <c r="AC154" s="2" t="s">
        <v>146</v>
      </c>
      <c r="AD154" s="2" t="s">
        <v>146</v>
      </c>
      <c r="AE154" s="2" t="s">
        <v>146</v>
      </c>
      <c r="AF154" s="2" t="s">
        <v>146</v>
      </c>
      <c r="AG154" s="2" t="s">
        <v>146</v>
      </c>
      <c r="AH154" s="2" t="s">
        <v>146</v>
      </c>
      <c r="AI154" s="2" t="s">
        <v>146</v>
      </c>
      <c r="AJ154" s="2" t="s">
        <v>146</v>
      </c>
      <c r="AK154" s="2" t="s">
        <v>146</v>
      </c>
      <c r="AL154" s="2" t="s">
        <v>146</v>
      </c>
      <c r="AM154" s="2" t="s">
        <v>146</v>
      </c>
      <c r="AN154" s="2" t="s">
        <v>146</v>
      </c>
      <c r="AO154" s="2" t="s">
        <v>146</v>
      </c>
      <c r="AQ154" s="2">
        <f t="shared" si="22"/>
        <v>0</v>
      </c>
      <c r="AR154" s="2">
        <f t="shared" si="23"/>
        <v>0</v>
      </c>
      <c r="AT154" s="2">
        <f t="shared" si="24"/>
        <v>0</v>
      </c>
      <c r="AU154" s="2">
        <f t="shared" si="25"/>
        <v>0</v>
      </c>
      <c r="AV154" s="27" t="str">
        <f t="shared" si="26"/>
        <v/>
      </c>
      <c r="AY154" s="2">
        <f t="shared" si="27"/>
        <v>0</v>
      </c>
      <c r="AZ154" s="2">
        <f t="shared" si="28"/>
        <v>0</v>
      </c>
      <c r="BA154" s="2">
        <f t="shared" si="29"/>
        <v>0</v>
      </c>
      <c r="BB154" s="2">
        <f t="shared" si="30"/>
        <v>0</v>
      </c>
      <c r="BC154" s="2">
        <f t="shared" si="31"/>
        <v>0</v>
      </c>
      <c r="BD154" s="2">
        <f t="shared" si="32"/>
        <v>0</v>
      </c>
    </row>
    <row r="155" spans="1:56" ht="15" customHeight="1" x14ac:dyDescent="0.45">
      <c r="A155" s="2" t="s">
        <v>478</v>
      </c>
      <c r="B155" s="2" t="s">
        <v>477</v>
      </c>
      <c r="C155" s="2">
        <v>2019</v>
      </c>
      <c r="D155" s="2" t="s">
        <v>146</v>
      </c>
      <c r="E155" s="2" t="s">
        <v>146</v>
      </c>
      <c r="F155" s="2" t="s">
        <v>146</v>
      </c>
      <c r="G155" s="2" t="s">
        <v>146</v>
      </c>
      <c r="H155" s="2" t="s">
        <v>146</v>
      </c>
      <c r="I155" s="2" t="s">
        <v>146</v>
      </c>
      <c r="J155" s="2" t="s">
        <v>146</v>
      </c>
      <c r="K155" s="2" t="s">
        <v>146</v>
      </c>
      <c r="L155" s="2" t="s">
        <v>146</v>
      </c>
      <c r="M155" s="2" t="s">
        <v>146</v>
      </c>
      <c r="N155" s="2" t="s">
        <v>146</v>
      </c>
      <c r="O155" s="2" t="s">
        <v>146</v>
      </c>
      <c r="P155" s="2" t="s">
        <v>146</v>
      </c>
      <c r="Q155" s="2" t="s">
        <v>146</v>
      </c>
      <c r="R155" s="2" t="s">
        <v>146</v>
      </c>
      <c r="S155" s="2" t="s">
        <v>146</v>
      </c>
      <c r="T155" s="2" t="s">
        <v>146</v>
      </c>
      <c r="U155" s="2" t="s">
        <v>146</v>
      </c>
      <c r="V155" s="2" t="s">
        <v>146</v>
      </c>
      <c r="W155" s="2" t="s">
        <v>146</v>
      </c>
      <c r="X155" s="2" t="s">
        <v>146</v>
      </c>
      <c r="Y155" s="2" t="s">
        <v>146</v>
      </c>
      <c r="Z155" s="2" t="s">
        <v>146</v>
      </c>
      <c r="AA155" s="2" t="s">
        <v>146</v>
      </c>
      <c r="AB155" s="2" t="s">
        <v>146</v>
      </c>
      <c r="AC155" s="2" t="s">
        <v>146</v>
      </c>
      <c r="AD155" s="2" t="s">
        <v>146</v>
      </c>
      <c r="AE155" s="2" t="s">
        <v>146</v>
      </c>
      <c r="AF155" s="2" t="s">
        <v>146</v>
      </c>
      <c r="AG155" s="2" t="s">
        <v>146</v>
      </c>
      <c r="AH155" s="2" t="s">
        <v>146</v>
      </c>
      <c r="AI155" s="2" t="s">
        <v>146</v>
      </c>
      <c r="AJ155" s="2" t="s">
        <v>146</v>
      </c>
      <c r="AK155" s="2" t="s">
        <v>146</v>
      </c>
      <c r="AL155" s="2" t="s">
        <v>146</v>
      </c>
      <c r="AM155" s="2" t="s">
        <v>146</v>
      </c>
      <c r="AN155" s="2" t="s">
        <v>146</v>
      </c>
      <c r="AO155" s="2" t="s">
        <v>146</v>
      </c>
      <c r="AQ155" s="2">
        <f t="shared" si="22"/>
        <v>0</v>
      </c>
      <c r="AR155" s="2">
        <f t="shared" si="23"/>
        <v>0</v>
      </c>
      <c r="AT155" s="2">
        <f t="shared" si="24"/>
        <v>0</v>
      </c>
      <c r="AU155" s="2">
        <f t="shared" si="25"/>
        <v>0</v>
      </c>
      <c r="AV155" s="27" t="str">
        <f t="shared" si="26"/>
        <v/>
      </c>
      <c r="AY155" s="2">
        <f t="shared" si="27"/>
        <v>0</v>
      </c>
      <c r="AZ155" s="2">
        <f t="shared" si="28"/>
        <v>0</v>
      </c>
      <c r="BA155" s="2">
        <f t="shared" si="29"/>
        <v>0</v>
      </c>
      <c r="BB155" s="2">
        <f t="shared" si="30"/>
        <v>0</v>
      </c>
      <c r="BC155" s="2">
        <f t="shared" si="31"/>
        <v>0</v>
      </c>
      <c r="BD155" s="2">
        <f t="shared" si="32"/>
        <v>0</v>
      </c>
    </row>
    <row r="156" spans="1:56" ht="15" customHeight="1" x14ac:dyDescent="0.45">
      <c r="A156" s="2" t="s">
        <v>476</v>
      </c>
      <c r="B156" s="2" t="s">
        <v>89</v>
      </c>
      <c r="C156" s="2">
        <v>2019</v>
      </c>
      <c r="D156" s="2" t="s">
        <v>49</v>
      </c>
      <c r="E156" s="2" t="s">
        <v>49</v>
      </c>
      <c r="F156" s="2" t="s">
        <v>49</v>
      </c>
      <c r="G156" s="2" t="s">
        <v>49</v>
      </c>
      <c r="H156" s="2" t="s">
        <v>49</v>
      </c>
      <c r="I156" s="2" t="s">
        <v>49</v>
      </c>
      <c r="J156" s="2" t="s">
        <v>49</v>
      </c>
      <c r="K156" s="2" t="s">
        <v>49</v>
      </c>
      <c r="L156" s="2" t="s">
        <v>49</v>
      </c>
      <c r="M156" s="2" t="s">
        <v>49</v>
      </c>
      <c r="N156" s="2" t="s">
        <v>49</v>
      </c>
      <c r="O156" s="2" t="s">
        <v>49</v>
      </c>
      <c r="P156" s="2" t="s">
        <v>49</v>
      </c>
      <c r="Q156" s="2" t="s">
        <v>49</v>
      </c>
      <c r="R156" s="2" t="s">
        <v>49</v>
      </c>
      <c r="S156" s="2" t="s">
        <v>49</v>
      </c>
      <c r="T156" s="2" t="s">
        <v>49</v>
      </c>
      <c r="U156" s="2" t="s">
        <v>49</v>
      </c>
      <c r="V156" s="2" t="s">
        <v>49</v>
      </c>
      <c r="W156" s="2" t="s">
        <v>49</v>
      </c>
      <c r="X156" s="2" t="s">
        <v>49</v>
      </c>
      <c r="Y156" s="2" t="s">
        <v>49</v>
      </c>
      <c r="Z156" s="2" t="s">
        <v>49</v>
      </c>
      <c r="AA156" s="2" t="s">
        <v>49</v>
      </c>
      <c r="AB156" s="2" t="s">
        <v>49</v>
      </c>
      <c r="AC156" s="2" t="s">
        <v>49</v>
      </c>
      <c r="AD156" s="2" t="s">
        <v>49</v>
      </c>
      <c r="AE156" s="2" t="s">
        <v>49</v>
      </c>
      <c r="AF156" s="2" t="s">
        <v>49</v>
      </c>
      <c r="AG156" s="2" t="s">
        <v>49</v>
      </c>
      <c r="AH156" s="2" t="s">
        <v>49</v>
      </c>
      <c r="AI156" s="2" t="s">
        <v>49</v>
      </c>
      <c r="AJ156" s="2" t="s">
        <v>49</v>
      </c>
      <c r="AK156" s="2" t="s">
        <v>49</v>
      </c>
      <c r="AL156" s="2" t="s">
        <v>49</v>
      </c>
      <c r="AM156" s="2" t="s">
        <v>49</v>
      </c>
      <c r="AN156" s="2" t="s">
        <v>49</v>
      </c>
      <c r="AO156" s="2" t="s">
        <v>49</v>
      </c>
      <c r="AQ156" s="2">
        <f t="shared" si="22"/>
        <v>0</v>
      </c>
      <c r="AR156" s="2">
        <f t="shared" si="23"/>
        <v>0</v>
      </c>
      <c r="AT156" s="2">
        <f t="shared" si="24"/>
        <v>0</v>
      </c>
      <c r="AU156" s="2">
        <f t="shared" si="25"/>
        <v>0</v>
      </c>
      <c r="AV156" s="27" t="str">
        <f t="shared" si="26"/>
        <v/>
      </c>
      <c r="AY156" s="2">
        <f t="shared" si="27"/>
        <v>0</v>
      </c>
      <c r="AZ156" s="2">
        <f t="shared" si="28"/>
        <v>0</v>
      </c>
      <c r="BA156" s="2">
        <f t="shared" si="29"/>
        <v>0</v>
      </c>
      <c r="BB156" s="2">
        <f t="shared" si="30"/>
        <v>0</v>
      </c>
      <c r="BC156" s="2">
        <f t="shared" si="31"/>
        <v>0</v>
      </c>
      <c r="BD156" s="2">
        <f t="shared" si="32"/>
        <v>0</v>
      </c>
    </row>
    <row r="157" spans="1:56" ht="15" customHeight="1" x14ac:dyDescent="0.45">
      <c r="A157" s="2" t="s">
        <v>472</v>
      </c>
      <c r="B157" s="2" t="s">
        <v>475</v>
      </c>
      <c r="C157" s="2">
        <v>2019</v>
      </c>
      <c r="D157" s="2" t="s">
        <v>146</v>
      </c>
      <c r="E157" s="2" t="s">
        <v>146</v>
      </c>
      <c r="F157" s="2" t="s">
        <v>146</v>
      </c>
      <c r="G157" s="2" t="s">
        <v>146</v>
      </c>
      <c r="H157" s="2" t="s">
        <v>146</v>
      </c>
      <c r="I157" s="2" t="s">
        <v>146</v>
      </c>
      <c r="J157" s="2" t="s">
        <v>146</v>
      </c>
      <c r="K157" s="2" t="s">
        <v>146</v>
      </c>
      <c r="L157" s="2" t="s">
        <v>146</v>
      </c>
      <c r="M157" s="2" t="s">
        <v>146</v>
      </c>
      <c r="N157" s="2" t="s">
        <v>146</v>
      </c>
      <c r="O157" s="2" t="s">
        <v>146</v>
      </c>
      <c r="P157" s="2" t="s">
        <v>146</v>
      </c>
      <c r="Q157" s="2" t="s">
        <v>146</v>
      </c>
      <c r="R157" s="2" t="s">
        <v>146</v>
      </c>
      <c r="S157" s="2" t="s">
        <v>146</v>
      </c>
      <c r="T157" s="2" t="s">
        <v>146</v>
      </c>
      <c r="U157" s="2" t="s">
        <v>146</v>
      </c>
      <c r="V157" s="2" t="s">
        <v>146</v>
      </c>
      <c r="W157" s="2" t="s">
        <v>146</v>
      </c>
      <c r="X157" s="2" t="s">
        <v>146</v>
      </c>
      <c r="Y157" s="2" t="s">
        <v>146</v>
      </c>
      <c r="Z157" s="2" t="s">
        <v>146</v>
      </c>
      <c r="AA157" s="2" t="s">
        <v>146</v>
      </c>
      <c r="AB157" s="2" t="s">
        <v>146</v>
      </c>
      <c r="AC157" s="2" t="s">
        <v>146</v>
      </c>
      <c r="AD157" s="2" t="s">
        <v>146</v>
      </c>
      <c r="AE157" s="2" t="s">
        <v>146</v>
      </c>
      <c r="AF157" s="2" t="s">
        <v>146</v>
      </c>
      <c r="AG157" s="2" t="s">
        <v>146</v>
      </c>
      <c r="AH157" s="2" t="s">
        <v>146</v>
      </c>
      <c r="AI157" s="2" t="s">
        <v>146</v>
      </c>
      <c r="AJ157" s="2" t="s">
        <v>146</v>
      </c>
      <c r="AK157" s="2" t="s">
        <v>146</v>
      </c>
      <c r="AL157" s="2" t="s">
        <v>146</v>
      </c>
      <c r="AM157" s="2" t="s">
        <v>146</v>
      </c>
      <c r="AN157" s="2" t="s">
        <v>146</v>
      </c>
      <c r="AO157" s="2" t="s">
        <v>146</v>
      </c>
      <c r="AQ157" s="2">
        <f t="shared" si="22"/>
        <v>0</v>
      </c>
      <c r="AR157" s="2">
        <f t="shared" si="23"/>
        <v>0</v>
      </c>
      <c r="AT157" s="2">
        <f t="shared" si="24"/>
        <v>0</v>
      </c>
      <c r="AU157" s="2">
        <f t="shared" si="25"/>
        <v>0</v>
      </c>
      <c r="AV157" s="27" t="str">
        <f t="shared" si="26"/>
        <v/>
      </c>
      <c r="AY157" s="2">
        <f t="shared" si="27"/>
        <v>0</v>
      </c>
      <c r="AZ157" s="2">
        <f t="shared" si="28"/>
        <v>0</v>
      </c>
      <c r="BA157" s="2">
        <f t="shared" si="29"/>
        <v>0</v>
      </c>
      <c r="BB157" s="2">
        <f t="shared" si="30"/>
        <v>0</v>
      </c>
      <c r="BC157" s="2">
        <f t="shared" si="31"/>
        <v>0</v>
      </c>
      <c r="BD157" s="2">
        <f t="shared" si="32"/>
        <v>0</v>
      </c>
    </row>
    <row r="158" spans="1:56" ht="15" customHeight="1" x14ac:dyDescent="0.45">
      <c r="A158" s="2" t="s">
        <v>472</v>
      </c>
      <c r="B158" s="2" t="s">
        <v>474</v>
      </c>
      <c r="C158" s="2">
        <v>2019</v>
      </c>
      <c r="D158" s="2" t="s">
        <v>146</v>
      </c>
      <c r="E158" s="2" t="s">
        <v>146</v>
      </c>
      <c r="F158" s="2" t="s">
        <v>146</v>
      </c>
      <c r="G158" s="2" t="s">
        <v>146</v>
      </c>
      <c r="H158" s="2" t="s">
        <v>146</v>
      </c>
      <c r="I158" s="2" t="s">
        <v>146</v>
      </c>
      <c r="J158" s="2" t="s">
        <v>146</v>
      </c>
      <c r="K158" s="2" t="s">
        <v>146</v>
      </c>
      <c r="L158" s="2" t="s">
        <v>146</v>
      </c>
      <c r="M158" s="2" t="s">
        <v>146</v>
      </c>
      <c r="N158" s="2" t="s">
        <v>146</v>
      </c>
      <c r="O158" s="2" t="s">
        <v>146</v>
      </c>
      <c r="P158" s="2" t="s">
        <v>146</v>
      </c>
      <c r="Q158" s="2" t="s">
        <v>146</v>
      </c>
      <c r="R158" s="2" t="s">
        <v>146</v>
      </c>
      <c r="S158" s="2" t="s">
        <v>146</v>
      </c>
      <c r="T158" s="2" t="s">
        <v>146</v>
      </c>
      <c r="U158" s="2" t="s">
        <v>146</v>
      </c>
      <c r="V158" s="2" t="s">
        <v>146</v>
      </c>
      <c r="W158" s="2" t="s">
        <v>146</v>
      </c>
      <c r="X158" s="2" t="s">
        <v>146</v>
      </c>
      <c r="Y158" s="2" t="s">
        <v>146</v>
      </c>
      <c r="Z158" s="2" t="s">
        <v>146</v>
      </c>
      <c r="AA158" s="2" t="s">
        <v>146</v>
      </c>
      <c r="AB158" s="2" t="s">
        <v>146</v>
      </c>
      <c r="AC158" s="2" t="s">
        <v>146</v>
      </c>
      <c r="AD158" s="2" t="s">
        <v>146</v>
      </c>
      <c r="AE158" s="2" t="s">
        <v>146</v>
      </c>
      <c r="AF158" s="2" t="s">
        <v>146</v>
      </c>
      <c r="AG158" s="2" t="s">
        <v>146</v>
      </c>
      <c r="AH158" s="2" t="s">
        <v>146</v>
      </c>
      <c r="AI158" s="2" t="s">
        <v>146</v>
      </c>
      <c r="AJ158" s="2" t="s">
        <v>146</v>
      </c>
      <c r="AK158" s="2" t="s">
        <v>146</v>
      </c>
      <c r="AL158" s="2" t="s">
        <v>146</v>
      </c>
      <c r="AM158" s="2" t="s">
        <v>146</v>
      </c>
      <c r="AN158" s="2" t="s">
        <v>146</v>
      </c>
      <c r="AO158" s="2" t="s">
        <v>146</v>
      </c>
      <c r="AQ158" s="2">
        <f t="shared" si="22"/>
        <v>0</v>
      </c>
      <c r="AR158" s="2">
        <f t="shared" si="23"/>
        <v>0</v>
      </c>
      <c r="AT158" s="2">
        <f t="shared" si="24"/>
        <v>0</v>
      </c>
      <c r="AU158" s="2">
        <f t="shared" si="25"/>
        <v>0</v>
      </c>
      <c r="AV158" s="27" t="str">
        <f t="shared" si="26"/>
        <v/>
      </c>
      <c r="AY158" s="2">
        <f t="shared" si="27"/>
        <v>0</v>
      </c>
      <c r="AZ158" s="2">
        <f t="shared" si="28"/>
        <v>0</v>
      </c>
      <c r="BA158" s="2">
        <f t="shared" si="29"/>
        <v>0</v>
      </c>
      <c r="BB158" s="2">
        <f t="shared" si="30"/>
        <v>0</v>
      </c>
      <c r="BC158" s="2">
        <f t="shared" si="31"/>
        <v>0</v>
      </c>
      <c r="BD158" s="2">
        <f t="shared" si="32"/>
        <v>0</v>
      </c>
    </row>
    <row r="159" spans="1:56" ht="15" customHeight="1" x14ac:dyDescent="0.45">
      <c r="A159" s="2" t="s">
        <v>472</v>
      </c>
      <c r="B159" s="2" t="s">
        <v>473</v>
      </c>
      <c r="C159" s="2">
        <v>2019</v>
      </c>
      <c r="D159" s="2" t="s">
        <v>146</v>
      </c>
      <c r="E159" s="2" t="s">
        <v>146</v>
      </c>
      <c r="F159" s="2" t="s">
        <v>146</v>
      </c>
      <c r="G159" s="2" t="s">
        <v>146</v>
      </c>
      <c r="H159" s="2" t="s">
        <v>146</v>
      </c>
      <c r="I159" s="2" t="s">
        <v>146</v>
      </c>
      <c r="J159" s="2" t="s">
        <v>146</v>
      </c>
      <c r="K159" s="2" t="s">
        <v>146</v>
      </c>
      <c r="L159" s="2" t="s">
        <v>146</v>
      </c>
      <c r="M159" s="2" t="s">
        <v>146</v>
      </c>
      <c r="N159" s="2" t="s">
        <v>146</v>
      </c>
      <c r="O159" s="2" t="s">
        <v>146</v>
      </c>
      <c r="P159" s="2" t="s">
        <v>146</v>
      </c>
      <c r="Q159" s="2" t="s">
        <v>146</v>
      </c>
      <c r="R159" s="2" t="s">
        <v>146</v>
      </c>
      <c r="S159" s="2" t="s">
        <v>146</v>
      </c>
      <c r="T159" s="2" t="s">
        <v>146</v>
      </c>
      <c r="U159" s="2" t="s">
        <v>146</v>
      </c>
      <c r="V159" s="2" t="s">
        <v>146</v>
      </c>
      <c r="W159" s="2" t="s">
        <v>146</v>
      </c>
      <c r="X159" s="2" t="s">
        <v>146</v>
      </c>
      <c r="Y159" s="2" t="s">
        <v>146</v>
      </c>
      <c r="Z159" s="2" t="s">
        <v>146</v>
      </c>
      <c r="AA159" s="2" t="s">
        <v>146</v>
      </c>
      <c r="AB159" s="2" t="s">
        <v>146</v>
      </c>
      <c r="AC159" s="2" t="s">
        <v>146</v>
      </c>
      <c r="AD159" s="2" t="s">
        <v>146</v>
      </c>
      <c r="AE159" s="2" t="s">
        <v>146</v>
      </c>
      <c r="AF159" s="2" t="s">
        <v>146</v>
      </c>
      <c r="AG159" s="2" t="s">
        <v>146</v>
      </c>
      <c r="AH159" s="2" t="s">
        <v>146</v>
      </c>
      <c r="AI159" s="2" t="s">
        <v>146</v>
      </c>
      <c r="AJ159" s="2" t="s">
        <v>146</v>
      </c>
      <c r="AK159" s="2" t="s">
        <v>146</v>
      </c>
      <c r="AL159" s="2" t="s">
        <v>146</v>
      </c>
      <c r="AM159" s="2" t="s">
        <v>146</v>
      </c>
      <c r="AN159" s="2" t="s">
        <v>146</v>
      </c>
      <c r="AO159" s="2" t="s">
        <v>146</v>
      </c>
      <c r="AQ159" s="2">
        <f t="shared" si="22"/>
        <v>0</v>
      </c>
      <c r="AR159" s="2">
        <f t="shared" si="23"/>
        <v>0</v>
      </c>
      <c r="AT159" s="2">
        <f t="shared" si="24"/>
        <v>0</v>
      </c>
      <c r="AU159" s="2">
        <f t="shared" si="25"/>
        <v>0</v>
      </c>
      <c r="AV159" s="27" t="str">
        <f t="shared" si="26"/>
        <v/>
      </c>
      <c r="AY159" s="2">
        <f t="shared" si="27"/>
        <v>0</v>
      </c>
      <c r="AZ159" s="2">
        <f t="shared" si="28"/>
        <v>0</v>
      </c>
      <c r="BA159" s="2">
        <f t="shared" si="29"/>
        <v>0</v>
      </c>
      <c r="BB159" s="2">
        <f t="shared" si="30"/>
        <v>0</v>
      </c>
      <c r="BC159" s="2">
        <f t="shared" si="31"/>
        <v>0</v>
      </c>
      <c r="BD159" s="2">
        <f t="shared" si="32"/>
        <v>0</v>
      </c>
    </row>
    <row r="160" spans="1:56" ht="15" customHeight="1" x14ac:dyDescent="0.45">
      <c r="A160" s="2" t="s">
        <v>472</v>
      </c>
      <c r="B160" s="2" t="s">
        <v>471</v>
      </c>
      <c r="C160" s="2">
        <v>2019</v>
      </c>
      <c r="D160" s="2" t="s">
        <v>146</v>
      </c>
      <c r="E160" s="2" t="s">
        <v>146</v>
      </c>
      <c r="F160" s="2" t="s">
        <v>146</v>
      </c>
      <c r="G160" s="2" t="s">
        <v>146</v>
      </c>
      <c r="H160" s="2" t="s">
        <v>146</v>
      </c>
      <c r="I160" s="2" t="s">
        <v>146</v>
      </c>
      <c r="J160" s="2" t="s">
        <v>146</v>
      </c>
      <c r="K160" s="2" t="s">
        <v>146</v>
      </c>
      <c r="L160" s="2" t="s">
        <v>146</v>
      </c>
      <c r="M160" s="2" t="s">
        <v>146</v>
      </c>
      <c r="N160" s="2" t="s">
        <v>146</v>
      </c>
      <c r="O160" s="2" t="s">
        <v>146</v>
      </c>
      <c r="P160" s="2" t="s">
        <v>146</v>
      </c>
      <c r="Q160" s="2" t="s">
        <v>146</v>
      </c>
      <c r="R160" s="2" t="s">
        <v>146</v>
      </c>
      <c r="S160" s="2" t="s">
        <v>146</v>
      </c>
      <c r="T160" s="2" t="s">
        <v>146</v>
      </c>
      <c r="U160" s="2" t="s">
        <v>146</v>
      </c>
      <c r="V160" s="2" t="s">
        <v>146</v>
      </c>
      <c r="W160" s="2" t="s">
        <v>146</v>
      </c>
      <c r="X160" s="2" t="s">
        <v>146</v>
      </c>
      <c r="Y160" s="2" t="s">
        <v>146</v>
      </c>
      <c r="Z160" s="2" t="s">
        <v>146</v>
      </c>
      <c r="AA160" s="2" t="s">
        <v>146</v>
      </c>
      <c r="AB160" s="2" t="s">
        <v>146</v>
      </c>
      <c r="AC160" s="2" t="s">
        <v>146</v>
      </c>
      <c r="AD160" s="2" t="s">
        <v>146</v>
      </c>
      <c r="AE160" s="2" t="s">
        <v>146</v>
      </c>
      <c r="AF160" s="2" t="s">
        <v>146</v>
      </c>
      <c r="AG160" s="2" t="s">
        <v>146</v>
      </c>
      <c r="AH160" s="2" t="s">
        <v>146</v>
      </c>
      <c r="AI160" s="2" t="s">
        <v>146</v>
      </c>
      <c r="AJ160" s="2" t="s">
        <v>146</v>
      </c>
      <c r="AK160" s="2" t="s">
        <v>146</v>
      </c>
      <c r="AL160" s="2" t="s">
        <v>146</v>
      </c>
      <c r="AM160" s="2" t="s">
        <v>146</v>
      </c>
      <c r="AN160" s="2" t="s">
        <v>146</v>
      </c>
      <c r="AO160" s="2" t="s">
        <v>146</v>
      </c>
      <c r="AQ160" s="2">
        <f t="shared" si="22"/>
        <v>0</v>
      </c>
      <c r="AR160" s="2">
        <f t="shared" si="23"/>
        <v>0</v>
      </c>
      <c r="AT160" s="2">
        <f t="shared" si="24"/>
        <v>0</v>
      </c>
      <c r="AU160" s="2">
        <f t="shared" si="25"/>
        <v>0</v>
      </c>
      <c r="AV160" s="27" t="str">
        <f t="shared" si="26"/>
        <v/>
      </c>
      <c r="AY160" s="2">
        <f t="shared" si="27"/>
        <v>0</v>
      </c>
      <c r="AZ160" s="2">
        <f t="shared" si="28"/>
        <v>0</v>
      </c>
      <c r="BA160" s="2">
        <f t="shared" si="29"/>
        <v>0</v>
      </c>
      <c r="BB160" s="2">
        <f t="shared" si="30"/>
        <v>0</v>
      </c>
      <c r="BC160" s="2">
        <f t="shared" si="31"/>
        <v>0</v>
      </c>
      <c r="BD160" s="2">
        <f t="shared" si="32"/>
        <v>0</v>
      </c>
    </row>
    <row r="161" spans="1:56" ht="15" customHeight="1" x14ac:dyDescent="0.45">
      <c r="A161" s="2" t="s">
        <v>470</v>
      </c>
      <c r="B161" s="2" t="s">
        <v>469</v>
      </c>
      <c r="C161" s="2">
        <v>2019</v>
      </c>
      <c r="D161" s="2" t="s">
        <v>146</v>
      </c>
      <c r="E161" s="2" t="s">
        <v>146</v>
      </c>
      <c r="F161" s="2" t="s">
        <v>146</v>
      </c>
      <c r="G161" s="2" t="s">
        <v>146</v>
      </c>
      <c r="H161" s="2" t="s">
        <v>146</v>
      </c>
      <c r="I161" s="2" t="s">
        <v>146</v>
      </c>
      <c r="J161" s="2" t="s">
        <v>146</v>
      </c>
      <c r="K161" s="2" t="s">
        <v>146</v>
      </c>
      <c r="L161" s="2" t="s">
        <v>146</v>
      </c>
      <c r="M161" s="2" t="s">
        <v>146</v>
      </c>
      <c r="N161" s="2" t="s">
        <v>146</v>
      </c>
      <c r="O161" s="2" t="s">
        <v>146</v>
      </c>
      <c r="P161" s="2" t="s">
        <v>146</v>
      </c>
      <c r="Q161" s="2" t="s">
        <v>146</v>
      </c>
      <c r="R161" s="2" t="s">
        <v>146</v>
      </c>
      <c r="S161" s="2" t="s">
        <v>146</v>
      </c>
      <c r="T161" s="2" t="s">
        <v>146</v>
      </c>
      <c r="U161" s="2" t="s">
        <v>146</v>
      </c>
      <c r="V161" s="2" t="s">
        <v>146</v>
      </c>
      <c r="W161" s="2" t="s">
        <v>146</v>
      </c>
      <c r="X161" s="2" t="s">
        <v>146</v>
      </c>
      <c r="Y161" s="2" t="s">
        <v>146</v>
      </c>
      <c r="Z161" s="2" t="s">
        <v>146</v>
      </c>
      <c r="AA161" s="2" t="s">
        <v>146</v>
      </c>
      <c r="AB161" s="2" t="s">
        <v>146</v>
      </c>
      <c r="AC161" s="2" t="s">
        <v>146</v>
      </c>
      <c r="AD161" s="2" t="s">
        <v>146</v>
      </c>
      <c r="AE161" s="2" t="s">
        <v>146</v>
      </c>
      <c r="AF161" s="2" t="s">
        <v>146</v>
      </c>
      <c r="AG161" s="2" t="s">
        <v>146</v>
      </c>
      <c r="AH161" s="2" t="s">
        <v>146</v>
      </c>
      <c r="AI161" s="2" t="s">
        <v>146</v>
      </c>
      <c r="AJ161" s="2" t="s">
        <v>146</v>
      </c>
      <c r="AK161" s="2" t="s">
        <v>146</v>
      </c>
      <c r="AL161" s="2" t="s">
        <v>146</v>
      </c>
      <c r="AM161" s="2" t="s">
        <v>146</v>
      </c>
      <c r="AN161" s="2" t="s">
        <v>146</v>
      </c>
      <c r="AO161" s="2" t="s">
        <v>146</v>
      </c>
      <c r="AQ161" s="2">
        <f t="shared" si="22"/>
        <v>0</v>
      </c>
      <c r="AR161" s="2">
        <f t="shared" si="23"/>
        <v>0</v>
      </c>
      <c r="AT161" s="2">
        <f t="shared" si="24"/>
        <v>0</v>
      </c>
      <c r="AU161" s="2">
        <f t="shared" si="25"/>
        <v>0</v>
      </c>
      <c r="AV161" s="27" t="str">
        <f t="shared" si="26"/>
        <v/>
      </c>
      <c r="AY161" s="2">
        <f t="shared" si="27"/>
        <v>0</v>
      </c>
      <c r="AZ161" s="2">
        <f t="shared" si="28"/>
        <v>0</v>
      </c>
      <c r="BA161" s="2">
        <f t="shared" si="29"/>
        <v>0</v>
      </c>
      <c r="BB161" s="2">
        <f t="shared" si="30"/>
        <v>0</v>
      </c>
      <c r="BC161" s="2">
        <f t="shared" si="31"/>
        <v>0</v>
      </c>
      <c r="BD161" s="2">
        <f t="shared" si="32"/>
        <v>0</v>
      </c>
    </row>
    <row r="162" spans="1:56" ht="15" customHeight="1" x14ac:dyDescent="0.45">
      <c r="A162" s="2" t="s">
        <v>467</v>
      </c>
      <c r="B162" s="2" t="s">
        <v>468</v>
      </c>
      <c r="C162" s="2">
        <v>2019</v>
      </c>
      <c r="D162" s="2">
        <v>64.001999999999995</v>
      </c>
      <c r="E162" s="2" t="s">
        <v>146</v>
      </c>
      <c r="F162" s="2" t="s">
        <v>146</v>
      </c>
      <c r="G162" s="2" t="s">
        <v>146</v>
      </c>
      <c r="H162" s="2" t="s">
        <v>146</v>
      </c>
      <c r="I162" s="2">
        <v>52.213000000000001</v>
      </c>
      <c r="J162" s="2" t="s">
        <v>146</v>
      </c>
      <c r="K162" s="2" t="s">
        <v>146</v>
      </c>
      <c r="L162" s="2" t="s">
        <v>146</v>
      </c>
      <c r="M162" s="2" t="s">
        <v>146</v>
      </c>
      <c r="N162" s="2" t="s">
        <v>146</v>
      </c>
      <c r="O162" s="2" t="s">
        <v>146</v>
      </c>
      <c r="P162" s="2" t="s">
        <v>146</v>
      </c>
      <c r="Q162" s="2" t="s">
        <v>146</v>
      </c>
      <c r="R162" s="2" t="s">
        <v>146</v>
      </c>
      <c r="S162" s="2" t="s">
        <v>146</v>
      </c>
      <c r="T162" s="2" t="s">
        <v>146</v>
      </c>
      <c r="U162" s="2" t="s">
        <v>146</v>
      </c>
      <c r="V162" s="2" t="s">
        <v>146</v>
      </c>
      <c r="W162" s="2" t="s">
        <v>146</v>
      </c>
      <c r="X162" s="2" t="s">
        <v>146</v>
      </c>
      <c r="Y162" s="2" t="s">
        <v>146</v>
      </c>
      <c r="Z162" s="2" t="s">
        <v>146</v>
      </c>
      <c r="AA162" s="2" t="s">
        <v>146</v>
      </c>
      <c r="AB162" s="2" t="s">
        <v>146</v>
      </c>
      <c r="AC162" s="2" t="s">
        <v>146</v>
      </c>
      <c r="AD162" s="2" t="s">
        <v>146</v>
      </c>
      <c r="AE162" s="2" t="s">
        <v>146</v>
      </c>
      <c r="AF162" s="2">
        <v>52.213000000000001</v>
      </c>
      <c r="AG162" s="2" t="s">
        <v>146</v>
      </c>
      <c r="AH162" s="2" t="s">
        <v>155</v>
      </c>
      <c r="AI162" s="2" t="s">
        <v>146</v>
      </c>
      <c r="AJ162" s="2" t="s">
        <v>146</v>
      </c>
      <c r="AK162" s="2" t="s">
        <v>146</v>
      </c>
      <c r="AL162" s="2" t="s">
        <v>146</v>
      </c>
      <c r="AM162" s="2" t="s">
        <v>146</v>
      </c>
      <c r="AN162" s="2" t="s">
        <v>146</v>
      </c>
      <c r="AO162" s="2" t="s">
        <v>146</v>
      </c>
      <c r="AQ162" s="2">
        <f t="shared" si="22"/>
        <v>52.213000000000001</v>
      </c>
      <c r="AR162" s="2">
        <f t="shared" si="23"/>
        <v>52.213000000000001</v>
      </c>
      <c r="AT162" s="2">
        <f t="shared" si="24"/>
        <v>64.001999999999995</v>
      </c>
      <c r="AU162" s="2">
        <f t="shared" si="25"/>
        <v>0</v>
      </c>
      <c r="AV162" s="27">
        <f t="shared" si="26"/>
        <v>1.2257866814777927</v>
      </c>
      <c r="AY162" s="2">
        <f t="shared" si="27"/>
        <v>0</v>
      </c>
      <c r="AZ162" s="2">
        <f t="shared" si="28"/>
        <v>0</v>
      </c>
      <c r="BA162" s="2">
        <f t="shared" si="29"/>
        <v>0</v>
      </c>
      <c r="BB162" s="2">
        <f t="shared" si="30"/>
        <v>0</v>
      </c>
      <c r="BC162" s="2">
        <f t="shared" si="31"/>
        <v>0</v>
      </c>
      <c r="BD162" s="2">
        <f t="shared" si="32"/>
        <v>0</v>
      </c>
    </row>
    <row r="163" spans="1:56" ht="15" customHeight="1" x14ac:dyDescent="0.45">
      <c r="A163" s="2" t="s">
        <v>467</v>
      </c>
      <c r="B163" s="2" t="s">
        <v>466</v>
      </c>
      <c r="C163" s="2">
        <v>2019</v>
      </c>
      <c r="D163" s="2">
        <v>66.456999999999994</v>
      </c>
      <c r="E163" s="2">
        <v>10.099</v>
      </c>
      <c r="F163" s="2">
        <v>0.79100000000000004</v>
      </c>
      <c r="G163" s="2" t="s">
        <v>726</v>
      </c>
      <c r="H163" s="2">
        <v>6.0819999999999999</v>
      </c>
      <c r="I163" s="2">
        <v>39.064</v>
      </c>
      <c r="J163" s="2" t="s">
        <v>146</v>
      </c>
      <c r="K163" s="2" t="s">
        <v>146</v>
      </c>
      <c r="L163" s="2" t="s">
        <v>146</v>
      </c>
      <c r="M163" s="2" t="s">
        <v>146</v>
      </c>
      <c r="N163" s="2" t="s">
        <v>146</v>
      </c>
      <c r="O163" s="2" t="s">
        <v>146</v>
      </c>
      <c r="P163" s="2" t="s">
        <v>146</v>
      </c>
      <c r="Q163" s="2" t="s">
        <v>146</v>
      </c>
      <c r="R163" s="2" t="s">
        <v>146</v>
      </c>
      <c r="S163" s="2" t="s">
        <v>146</v>
      </c>
      <c r="T163" s="2" t="s">
        <v>146</v>
      </c>
      <c r="U163" s="2" t="s">
        <v>146</v>
      </c>
      <c r="V163" s="2" t="s">
        <v>146</v>
      </c>
      <c r="W163" s="2" t="s">
        <v>146</v>
      </c>
      <c r="X163" s="2" t="s">
        <v>146</v>
      </c>
      <c r="Y163" s="2" t="s">
        <v>146</v>
      </c>
      <c r="Z163" s="2" t="s">
        <v>146</v>
      </c>
      <c r="AA163" s="2" t="s">
        <v>146</v>
      </c>
      <c r="AB163" s="2" t="s">
        <v>146</v>
      </c>
      <c r="AC163" s="2" t="s">
        <v>146</v>
      </c>
      <c r="AD163" s="2" t="s">
        <v>146</v>
      </c>
      <c r="AE163" s="2" t="s">
        <v>146</v>
      </c>
      <c r="AF163" s="2">
        <v>37.862000000000002</v>
      </c>
      <c r="AG163" s="2" t="s">
        <v>146</v>
      </c>
      <c r="AH163" s="2" t="s">
        <v>146</v>
      </c>
      <c r="AI163" s="2" t="s">
        <v>146</v>
      </c>
      <c r="AJ163" s="2" t="s">
        <v>146</v>
      </c>
      <c r="AK163" s="2">
        <v>1.202</v>
      </c>
      <c r="AL163" s="2" t="s">
        <v>146</v>
      </c>
      <c r="AM163" s="2">
        <v>100</v>
      </c>
      <c r="AN163" s="2" t="s">
        <v>146</v>
      </c>
      <c r="AO163" s="2" t="s">
        <v>146</v>
      </c>
      <c r="AQ163" s="2">
        <f t="shared" si="22"/>
        <v>37.862000000000002</v>
      </c>
      <c r="AR163" s="2">
        <f t="shared" si="23"/>
        <v>39.064</v>
      </c>
      <c r="AT163" s="2">
        <f t="shared" si="24"/>
        <v>66.456999999999994</v>
      </c>
      <c r="AU163" s="2">
        <f t="shared" si="25"/>
        <v>10.099</v>
      </c>
      <c r="AV163" s="27">
        <f t="shared" si="26"/>
        <v>1.9597583452795413</v>
      </c>
      <c r="AY163" s="2">
        <f t="shared" si="27"/>
        <v>1.202</v>
      </c>
      <c r="AZ163" s="2">
        <f t="shared" si="28"/>
        <v>0</v>
      </c>
      <c r="BA163" s="2">
        <f t="shared" si="29"/>
        <v>1.202</v>
      </c>
      <c r="BB163" s="2">
        <f t="shared" si="30"/>
        <v>0</v>
      </c>
      <c r="BC163" s="2">
        <f t="shared" si="31"/>
        <v>0</v>
      </c>
      <c r="BD163" s="2">
        <f t="shared" si="32"/>
        <v>0</v>
      </c>
    </row>
    <row r="164" spans="1:56" ht="15" customHeight="1" x14ac:dyDescent="0.45">
      <c r="A164" s="2" t="s">
        <v>465</v>
      </c>
      <c r="B164" s="2" t="s">
        <v>464</v>
      </c>
      <c r="C164" s="2">
        <v>2019</v>
      </c>
      <c r="D164" s="2" t="s">
        <v>146</v>
      </c>
      <c r="E164" s="2" t="s">
        <v>146</v>
      </c>
      <c r="F164" s="2" t="s">
        <v>146</v>
      </c>
      <c r="G164" s="2" t="s">
        <v>146</v>
      </c>
      <c r="H164" s="2" t="s">
        <v>146</v>
      </c>
      <c r="I164" s="2" t="s">
        <v>146</v>
      </c>
      <c r="J164" s="2" t="s">
        <v>146</v>
      </c>
      <c r="K164" s="2" t="s">
        <v>146</v>
      </c>
      <c r="L164" s="2" t="s">
        <v>146</v>
      </c>
      <c r="M164" s="2" t="s">
        <v>146</v>
      </c>
      <c r="N164" s="2" t="s">
        <v>146</v>
      </c>
      <c r="O164" s="2" t="s">
        <v>146</v>
      </c>
      <c r="P164" s="2" t="s">
        <v>146</v>
      </c>
      <c r="Q164" s="2" t="s">
        <v>146</v>
      </c>
      <c r="R164" s="2" t="s">
        <v>146</v>
      </c>
      <c r="S164" s="2" t="s">
        <v>146</v>
      </c>
      <c r="T164" s="2" t="s">
        <v>146</v>
      </c>
      <c r="U164" s="2" t="s">
        <v>146</v>
      </c>
      <c r="V164" s="2" t="s">
        <v>146</v>
      </c>
      <c r="W164" s="2" t="s">
        <v>146</v>
      </c>
      <c r="X164" s="2" t="s">
        <v>146</v>
      </c>
      <c r="Y164" s="2" t="s">
        <v>146</v>
      </c>
      <c r="Z164" s="2" t="s">
        <v>146</v>
      </c>
      <c r="AA164" s="2" t="s">
        <v>146</v>
      </c>
      <c r="AB164" s="2" t="s">
        <v>146</v>
      </c>
      <c r="AC164" s="2" t="s">
        <v>146</v>
      </c>
      <c r="AD164" s="2" t="s">
        <v>146</v>
      </c>
      <c r="AE164" s="2" t="s">
        <v>146</v>
      </c>
      <c r="AF164" s="2" t="s">
        <v>146</v>
      </c>
      <c r="AG164" s="2" t="s">
        <v>146</v>
      </c>
      <c r="AH164" s="2" t="s">
        <v>146</v>
      </c>
      <c r="AI164" s="2" t="s">
        <v>146</v>
      </c>
      <c r="AJ164" s="2" t="s">
        <v>146</v>
      </c>
      <c r="AK164" s="2" t="s">
        <v>146</v>
      </c>
      <c r="AL164" s="2" t="s">
        <v>146</v>
      </c>
      <c r="AM164" s="2" t="s">
        <v>146</v>
      </c>
      <c r="AN164" s="2" t="s">
        <v>146</v>
      </c>
      <c r="AO164" s="2" t="s">
        <v>146</v>
      </c>
      <c r="AQ164" s="2">
        <f t="shared" si="22"/>
        <v>0</v>
      </c>
      <c r="AR164" s="2">
        <f t="shared" si="23"/>
        <v>0</v>
      </c>
      <c r="AT164" s="2">
        <f t="shared" si="24"/>
        <v>0</v>
      </c>
      <c r="AU164" s="2">
        <f t="shared" si="25"/>
        <v>0</v>
      </c>
      <c r="AV164" s="27" t="str">
        <f t="shared" si="26"/>
        <v/>
      </c>
      <c r="AY164" s="2">
        <f t="shared" si="27"/>
        <v>0</v>
      </c>
      <c r="AZ164" s="2">
        <f t="shared" si="28"/>
        <v>0</v>
      </c>
      <c r="BA164" s="2">
        <f t="shared" si="29"/>
        <v>0</v>
      </c>
      <c r="BB164" s="2">
        <f t="shared" si="30"/>
        <v>0</v>
      </c>
      <c r="BC164" s="2">
        <f t="shared" si="31"/>
        <v>0</v>
      </c>
      <c r="BD164" s="2">
        <f t="shared" si="32"/>
        <v>0</v>
      </c>
    </row>
    <row r="165" spans="1:56" ht="15" customHeight="1" x14ac:dyDescent="0.45">
      <c r="A165" s="2" t="s">
        <v>459</v>
      </c>
      <c r="B165" s="2" t="s">
        <v>463</v>
      </c>
      <c r="C165" s="2">
        <v>2019</v>
      </c>
      <c r="D165" s="2" t="s">
        <v>146</v>
      </c>
      <c r="E165" s="2" t="s">
        <v>146</v>
      </c>
      <c r="F165" s="2" t="s">
        <v>146</v>
      </c>
      <c r="G165" s="2" t="s">
        <v>146</v>
      </c>
      <c r="H165" s="2" t="s">
        <v>146</v>
      </c>
      <c r="I165" s="2" t="s">
        <v>146</v>
      </c>
      <c r="J165" s="2" t="s">
        <v>146</v>
      </c>
      <c r="K165" s="2" t="s">
        <v>146</v>
      </c>
      <c r="L165" s="2" t="s">
        <v>146</v>
      </c>
      <c r="M165" s="2" t="s">
        <v>146</v>
      </c>
      <c r="N165" s="2" t="s">
        <v>146</v>
      </c>
      <c r="O165" s="2" t="s">
        <v>146</v>
      </c>
      <c r="P165" s="2" t="s">
        <v>146</v>
      </c>
      <c r="Q165" s="2" t="s">
        <v>146</v>
      </c>
      <c r="R165" s="2" t="s">
        <v>146</v>
      </c>
      <c r="S165" s="2" t="s">
        <v>146</v>
      </c>
      <c r="T165" s="2" t="s">
        <v>146</v>
      </c>
      <c r="U165" s="2" t="s">
        <v>146</v>
      </c>
      <c r="V165" s="2" t="s">
        <v>146</v>
      </c>
      <c r="W165" s="2" t="s">
        <v>146</v>
      </c>
      <c r="X165" s="2" t="s">
        <v>146</v>
      </c>
      <c r="Y165" s="2" t="s">
        <v>146</v>
      </c>
      <c r="Z165" s="2" t="s">
        <v>146</v>
      </c>
      <c r="AA165" s="2" t="s">
        <v>146</v>
      </c>
      <c r="AB165" s="2" t="s">
        <v>146</v>
      </c>
      <c r="AC165" s="2" t="s">
        <v>146</v>
      </c>
      <c r="AD165" s="2" t="s">
        <v>146</v>
      </c>
      <c r="AE165" s="2" t="s">
        <v>146</v>
      </c>
      <c r="AF165" s="2" t="s">
        <v>146</v>
      </c>
      <c r="AG165" s="2" t="s">
        <v>146</v>
      </c>
      <c r="AH165" s="2" t="s">
        <v>146</v>
      </c>
      <c r="AI165" s="2" t="s">
        <v>146</v>
      </c>
      <c r="AJ165" s="2" t="s">
        <v>146</v>
      </c>
      <c r="AK165" s="2" t="s">
        <v>146</v>
      </c>
      <c r="AL165" s="2" t="s">
        <v>146</v>
      </c>
      <c r="AM165" s="2" t="s">
        <v>146</v>
      </c>
      <c r="AN165" s="2" t="s">
        <v>146</v>
      </c>
      <c r="AO165" s="2" t="s">
        <v>146</v>
      </c>
      <c r="AQ165" s="2">
        <f t="shared" si="22"/>
        <v>0</v>
      </c>
      <c r="AR165" s="2">
        <f t="shared" si="23"/>
        <v>0</v>
      </c>
      <c r="AT165" s="2">
        <f t="shared" si="24"/>
        <v>0</v>
      </c>
      <c r="AU165" s="2">
        <f t="shared" si="25"/>
        <v>0</v>
      </c>
      <c r="AV165" s="27" t="str">
        <f t="shared" si="26"/>
        <v/>
      </c>
      <c r="AY165" s="2">
        <f t="shared" si="27"/>
        <v>0</v>
      </c>
      <c r="AZ165" s="2">
        <f t="shared" si="28"/>
        <v>0</v>
      </c>
      <c r="BA165" s="2">
        <f t="shared" si="29"/>
        <v>0</v>
      </c>
      <c r="BB165" s="2">
        <f t="shared" si="30"/>
        <v>0</v>
      </c>
      <c r="BC165" s="2">
        <f t="shared" si="31"/>
        <v>0</v>
      </c>
      <c r="BD165" s="2">
        <f t="shared" si="32"/>
        <v>0</v>
      </c>
    </row>
    <row r="166" spans="1:56" ht="15" customHeight="1" x14ac:dyDescent="0.45">
      <c r="A166" s="2" t="s">
        <v>459</v>
      </c>
      <c r="B166" s="2" t="s">
        <v>462</v>
      </c>
      <c r="C166" s="2">
        <v>2019</v>
      </c>
      <c r="D166" s="2" t="s">
        <v>146</v>
      </c>
      <c r="E166" s="2" t="s">
        <v>146</v>
      </c>
      <c r="F166" s="2" t="s">
        <v>146</v>
      </c>
      <c r="G166" s="2" t="s">
        <v>146</v>
      </c>
      <c r="H166" s="2" t="s">
        <v>146</v>
      </c>
      <c r="I166" s="2" t="s">
        <v>146</v>
      </c>
      <c r="J166" s="2" t="s">
        <v>146</v>
      </c>
      <c r="K166" s="2" t="s">
        <v>146</v>
      </c>
      <c r="L166" s="2" t="s">
        <v>146</v>
      </c>
      <c r="M166" s="2" t="s">
        <v>146</v>
      </c>
      <c r="N166" s="2" t="s">
        <v>146</v>
      </c>
      <c r="O166" s="2" t="s">
        <v>146</v>
      </c>
      <c r="P166" s="2" t="s">
        <v>146</v>
      </c>
      <c r="Q166" s="2" t="s">
        <v>146</v>
      </c>
      <c r="R166" s="2" t="s">
        <v>146</v>
      </c>
      <c r="S166" s="2" t="s">
        <v>146</v>
      </c>
      <c r="T166" s="2" t="s">
        <v>146</v>
      </c>
      <c r="U166" s="2" t="s">
        <v>146</v>
      </c>
      <c r="V166" s="2" t="s">
        <v>146</v>
      </c>
      <c r="W166" s="2" t="s">
        <v>146</v>
      </c>
      <c r="X166" s="2" t="s">
        <v>146</v>
      </c>
      <c r="Y166" s="2" t="s">
        <v>146</v>
      </c>
      <c r="Z166" s="2" t="s">
        <v>146</v>
      </c>
      <c r="AA166" s="2" t="s">
        <v>146</v>
      </c>
      <c r="AB166" s="2" t="s">
        <v>146</v>
      </c>
      <c r="AC166" s="2" t="s">
        <v>146</v>
      </c>
      <c r="AD166" s="2" t="s">
        <v>146</v>
      </c>
      <c r="AE166" s="2" t="s">
        <v>146</v>
      </c>
      <c r="AF166" s="2" t="s">
        <v>146</v>
      </c>
      <c r="AG166" s="2" t="s">
        <v>146</v>
      </c>
      <c r="AH166" s="2" t="s">
        <v>146</v>
      </c>
      <c r="AI166" s="2" t="s">
        <v>146</v>
      </c>
      <c r="AJ166" s="2" t="s">
        <v>146</v>
      </c>
      <c r="AK166" s="2" t="s">
        <v>146</v>
      </c>
      <c r="AL166" s="2" t="s">
        <v>146</v>
      </c>
      <c r="AM166" s="2" t="s">
        <v>146</v>
      </c>
      <c r="AN166" s="2" t="s">
        <v>146</v>
      </c>
      <c r="AO166" s="2" t="s">
        <v>146</v>
      </c>
      <c r="AQ166" s="2">
        <f t="shared" si="22"/>
        <v>0</v>
      </c>
      <c r="AR166" s="2">
        <f t="shared" si="23"/>
        <v>0</v>
      </c>
      <c r="AT166" s="2">
        <f t="shared" si="24"/>
        <v>0</v>
      </c>
      <c r="AU166" s="2">
        <f t="shared" si="25"/>
        <v>0</v>
      </c>
      <c r="AV166" s="27" t="str">
        <f t="shared" si="26"/>
        <v/>
      </c>
      <c r="AY166" s="2">
        <f t="shared" si="27"/>
        <v>0</v>
      </c>
      <c r="AZ166" s="2">
        <f t="shared" si="28"/>
        <v>0</v>
      </c>
      <c r="BA166" s="2">
        <f t="shared" si="29"/>
        <v>0</v>
      </c>
      <c r="BB166" s="2">
        <f t="shared" si="30"/>
        <v>0</v>
      </c>
      <c r="BC166" s="2">
        <f t="shared" si="31"/>
        <v>0</v>
      </c>
      <c r="BD166" s="2">
        <f t="shared" si="32"/>
        <v>0</v>
      </c>
    </row>
    <row r="167" spans="1:56" ht="15" customHeight="1" x14ac:dyDescent="0.45">
      <c r="A167" s="2" t="s">
        <v>459</v>
      </c>
      <c r="B167" s="2" t="s">
        <v>461</v>
      </c>
      <c r="C167" s="2">
        <v>2019</v>
      </c>
      <c r="D167" s="2" t="s">
        <v>146</v>
      </c>
      <c r="E167" s="2" t="s">
        <v>146</v>
      </c>
      <c r="F167" s="2" t="s">
        <v>146</v>
      </c>
      <c r="G167" s="2" t="s">
        <v>146</v>
      </c>
      <c r="H167" s="2" t="s">
        <v>146</v>
      </c>
      <c r="I167" s="2" t="s">
        <v>146</v>
      </c>
      <c r="J167" s="2" t="s">
        <v>146</v>
      </c>
      <c r="K167" s="2" t="s">
        <v>146</v>
      </c>
      <c r="L167" s="2" t="s">
        <v>146</v>
      </c>
      <c r="M167" s="2" t="s">
        <v>146</v>
      </c>
      <c r="N167" s="2" t="s">
        <v>146</v>
      </c>
      <c r="O167" s="2" t="s">
        <v>146</v>
      </c>
      <c r="P167" s="2" t="s">
        <v>146</v>
      </c>
      <c r="Q167" s="2" t="s">
        <v>146</v>
      </c>
      <c r="R167" s="2" t="s">
        <v>146</v>
      </c>
      <c r="S167" s="2" t="s">
        <v>146</v>
      </c>
      <c r="T167" s="2" t="s">
        <v>146</v>
      </c>
      <c r="U167" s="2" t="s">
        <v>146</v>
      </c>
      <c r="V167" s="2" t="s">
        <v>146</v>
      </c>
      <c r="W167" s="2" t="s">
        <v>146</v>
      </c>
      <c r="X167" s="2" t="s">
        <v>146</v>
      </c>
      <c r="Y167" s="2" t="s">
        <v>146</v>
      </c>
      <c r="Z167" s="2" t="s">
        <v>146</v>
      </c>
      <c r="AA167" s="2" t="s">
        <v>146</v>
      </c>
      <c r="AB167" s="2" t="s">
        <v>146</v>
      </c>
      <c r="AC167" s="2" t="s">
        <v>146</v>
      </c>
      <c r="AD167" s="2" t="s">
        <v>146</v>
      </c>
      <c r="AE167" s="2" t="s">
        <v>146</v>
      </c>
      <c r="AF167" s="2" t="s">
        <v>146</v>
      </c>
      <c r="AG167" s="2" t="s">
        <v>146</v>
      </c>
      <c r="AH167" s="2" t="s">
        <v>146</v>
      </c>
      <c r="AI167" s="2" t="s">
        <v>146</v>
      </c>
      <c r="AJ167" s="2" t="s">
        <v>146</v>
      </c>
      <c r="AK167" s="2" t="s">
        <v>146</v>
      </c>
      <c r="AL167" s="2" t="s">
        <v>146</v>
      </c>
      <c r="AM167" s="2" t="s">
        <v>146</v>
      </c>
      <c r="AN167" s="2" t="s">
        <v>146</v>
      </c>
      <c r="AO167" s="2" t="s">
        <v>146</v>
      </c>
      <c r="AQ167" s="2">
        <f t="shared" si="22"/>
        <v>0</v>
      </c>
      <c r="AR167" s="2">
        <f t="shared" si="23"/>
        <v>0</v>
      </c>
      <c r="AT167" s="2">
        <f t="shared" si="24"/>
        <v>0</v>
      </c>
      <c r="AU167" s="2">
        <f t="shared" si="25"/>
        <v>0</v>
      </c>
      <c r="AV167" s="27" t="str">
        <f t="shared" si="26"/>
        <v/>
      </c>
      <c r="AY167" s="2">
        <f t="shared" si="27"/>
        <v>0</v>
      </c>
      <c r="AZ167" s="2">
        <f t="shared" si="28"/>
        <v>0</v>
      </c>
      <c r="BA167" s="2">
        <f t="shared" si="29"/>
        <v>0</v>
      </c>
      <c r="BB167" s="2">
        <f t="shared" si="30"/>
        <v>0</v>
      </c>
      <c r="BC167" s="2">
        <f t="shared" si="31"/>
        <v>0</v>
      </c>
      <c r="BD167" s="2">
        <f t="shared" si="32"/>
        <v>0</v>
      </c>
    </row>
    <row r="168" spans="1:56" ht="15" customHeight="1" x14ac:dyDescent="0.45">
      <c r="A168" s="2" t="s">
        <v>459</v>
      </c>
      <c r="B168" s="2" t="s">
        <v>460</v>
      </c>
      <c r="C168" s="2">
        <v>2019</v>
      </c>
      <c r="D168" s="2" t="s">
        <v>146</v>
      </c>
      <c r="E168" s="2" t="s">
        <v>146</v>
      </c>
      <c r="F168" s="2" t="s">
        <v>146</v>
      </c>
      <c r="G168" s="2" t="s">
        <v>146</v>
      </c>
      <c r="H168" s="2" t="s">
        <v>146</v>
      </c>
      <c r="I168" s="2" t="s">
        <v>146</v>
      </c>
      <c r="J168" s="2" t="s">
        <v>146</v>
      </c>
      <c r="K168" s="2" t="s">
        <v>146</v>
      </c>
      <c r="L168" s="2" t="s">
        <v>146</v>
      </c>
      <c r="M168" s="2" t="s">
        <v>146</v>
      </c>
      <c r="N168" s="2" t="s">
        <v>146</v>
      </c>
      <c r="O168" s="2" t="s">
        <v>146</v>
      </c>
      <c r="P168" s="2" t="s">
        <v>146</v>
      </c>
      <c r="Q168" s="2" t="s">
        <v>146</v>
      </c>
      <c r="R168" s="2" t="s">
        <v>146</v>
      </c>
      <c r="S168" s="2" t="s">
        <v>146</v>
      </c>
      <c r="T168" s="2" t="s">
        <v>146</v>
      </c>
      <c r="U168" s="2" t="s">
        <v>146</v>
      </c>
      <c r="V168" s="2" t="s">
        <v>146</v>
      </c>
      <c r="W168" s="2" t="s">
        <v>146</v>
      </c>
      <c r="X168" s="2" t="s">
        <v>146</v>
      </c>
      <c r="Y168" s="2" t="s">
        <v>146</v>
      </c>
      <c r="Z168" s="2" t="s">
        <v>146</v>
      </c>
      <c r="AA168" s="2" t="s">
        <v>146</v>
      </c>
      <c r="AB168" s="2" t="s">
        <v>146</v>
      </c>
      <c r="AC168" s="2" t="s">
        <v>146</v>
      </c>
      <c r="AD168" s="2" t="s">
        <v>146</v>
      </c>
      <c r="AE168" s="2" t="s">
        <v>146</v>
      </c>
      <c r="AF168" s="2" t="s">
        <v>146</v>
      </c>
      <c r="AG168" s="2" t="s">
        <v>146</v>
      </c>
      <c r="AH168" s="2" t="s">
        <v>146</v>
      </c>
      <c r="AI168" s="2" t="s">
        <v>146</v>
      </c>
      <c r="AJ168" s="2" t="s">
        <v>146</v>
      </c>
      <c r="AK168" s="2" t="s">
        <v>146</v>
      </c>
      <c r="AL168" s="2" t="s">
        <v>146</v>
      </c>
      <c r="AM168" s="2" t="s">
        <v>146</v>
      </c>
      <c r="AN168" s="2" t="s">
        <v>146</v>
      </c>
      <c r="AO168" s="2" t="s">
        <v>146</v>
      </c>
      <c r="AQ168" s="2">
        <f t="shared" si="22"/>
        <v>0</v>
      </c>
      <c r="AR168" s="2">
        <f t="shared" si="23"/>
        <v>0</v>
      </c>
      <c r="AT168" s="2">
        <f t="shared" si="24"/>
        <v>0</v>
      </c>
      <c r="AU168" s="2">
        <f t="shared" si="25"/>
        <v>0</v>
      </c>
      <c r="AV168" s="27" t="str">
        <f t="shared" si="26"/>
        <v/>
      </c>
      <c r="AY168" s="2">
        <f t="shared" si="27"/>
        <v>0</v>
      </c>
      <c r="AZ168" s="2">
        <f t="shared" si="28"/>
        <v>0</v>
      </c>
      <c r="BA168" s="2">
        <f t="shared" si="29"/>
        <v>0</v>
      </c>
      <c r="BB168" s="2">
        <f t="shared" si="30"/>
        <v>0</v>
      </c>
      <c r="BC168" s="2">
        <f t="shared" si="31"/>
        <v>0</v>
      </c>
      <c r="BD168" s="2">
        <f t="shared" si="32"/>
        <v>0</v>
      </c>
    </row>
    <row r="169" spans="1:56" ht="15" customHeight="1" x14ac:dyDescent="0.45">
      <c r="A169" s="2" t="s">
        <v>459</v>
      </c>
      <c r="B169" s="2" t="s">
        <v>458</v>
      </c>
      <c r="C169" s="2">
        <v>2019</v>
      </c>
      <c r="D169" s="2" t="s">
        <v>146</v>
      </c>
      <c r="E169" s="2" t="s">
        <v>146</v>
      </c>
      <c r="F169" s="2" t="s">
        <v>146</v>
      </c>
      <c r="G169" s="2" t="s">
        <v>146</v>
      </c>
      <c r="H169" s="2" t="s">
        <v>146</v>
      </c>
      <c r="I169" s="2" t="s">
        <v>146</v>
      </c>
      <c r="J169" s="2" t="s">
        <v>146</v>
      </c>
      <c r="K169" s="2" t="s">
        <v>146</v>
      </c>
      <c r="L169" s="2" t="s">
        <v>146</v>
      </c>
      <c r="M169" s="2" t="s">
        <v>146</v>
      </c>
      <c r="N169" s="2" t="s">
        <v>146</v>
      </c>
      <c r="O169" s="2" t="s">
        <v>146</v>
      </c>
      <c r="P169" s="2" t="s">
        <v>146</v>
      </c>
      <c r="Q169" s="2" t="s">
        <v>146</v>
      </c>
      <c r="R169" s="2" t="s">
        <v>146</v>
      </c>
      <c r="S169" s="2" t="s">
        <v>146</v>
      </c>
      <c r="T169" s="2" t="s">
        <v>146</v>
      </c>
      <c r="U169" s="2" t="s">
        <v>146</v>
      </c>
      <c r="V169" s="2" t="s">
        <v>146</v>
      </c>
      <c r="W169" s="2" t="s">
        <v>146</v>
      </c>
      <c r="X169" s="2" t="s">
        <v>146</v>
      </c>
      <c r="Y169" s="2" t="s">
        <v>146</v>
      </c>
      <c r="Z169" s="2" t="s">
        <v>146</v>
      </c>
      <c r="AA169" s="2" t="s">
        <v>146</v>
      </c>
      <c r="AB169" s="2" t="s">
        <v>146</v>
      </c>
      <c r="AC169" s="2" t="s">
        <v>146</v>
      </c>
      <c r="AD169" s="2" t="s">
        <v>146</v>
      </c>
      <c r="AE169" s="2" t="s">
        <v>146</v>
      </c>
      <c r="AF169" s="2" t="s">
        <v>146</v>
      </c>
      <c r="AG169" s="2" t="s">
        <v>146</v>
      </c>
      <c r="AH169" s="2" t="s">
        <v>146</v>
      </c>
      <c r="AI169" s="2" t="s">
        <v>146</v>
      </c>
      <c r="AJ169" s="2" t="s">
        <v>146</v>
      </c>
      <c r="AK169" s="2" t="s">
        <v>146</v>
      </c>
      <c r="AL169" s="2" t="s">
        <v>146</v>
      </c>
      <c r="AM169" s="2" t="s">
        <v>146</v>
      </c>
      <c r="AN169" s="2" t="s">
        <v>146</v>
      </c>
      <c r="AO169" s="2" t="s">
        <v>146</v>
      </c>
      <c r="AQ169" s="2">
        <f t="shared" si="22"/>
        <v>0</v>
      </c>
      <c r="AR169" s="2">
        <f t="shared" si="23"/>
        <v>0</v>
      </c>
      <c r="AT169" s="2">
        <f t="shared" si="24"/>
        <v>0</v>
      </c>
      <c r="AU169" s="2">
        <f t="shared" si="25"/>
        <v>0</v>
      </c>
      <c r="AV169" s="27" t="str">
        <f t="shared" si="26"/>
        <v/>
      </c>
      <c r="AY169" s="2">
        <f t="shared" si="27"/>
        <v>0</v>
      </c>
      <c r="AZ169" s="2">
        <f t="shared" si="28"/>
        <v>0</v>
      </c>
      <c r="BA169" s="2">
        <f t="shared" si="29"/>
        <v>0</v>
      </c>
      <c r="BB169" s="2">
        <f t="shared" si="30"/>
        <v>0</v>
      </c>
      <c r="BC169" s="2">
        <f t="shared" si="31"/>
        <v>0</v>
      </c>
      <c r="BD169" s="2">
        <f t="shared" si="32"/>
        <v>0</v>
      </c>
    </row>
    <row r="170" spans="1:56" ht="15" customHeight="1" x14ac:dyDescent="0.45">
      <c r="A170" s="2" t="s">
        <v>457</v>
      </c>
      <c r="B170" s="2" t="s">
        <v>456</v>
      </c>
      <c r="C170" s="2">
        <v>2019</v>
      </c>
      <c r="D170" s="2">
        <v>199.51</v>
      </c>
      <c r="E170" s="2">
        <v>22.58</v>
      </c>
      <c r="F170" s="2" t="s">
        <v>146</v>
      </c>
      <c r="G170" s="2" t="s">
        <v>146</v>
      </c>
      <c r="H170" s="2" t="s">
        <v>146</v>
      </c>
      <c r="I170" s="2">
        <v>226.23</v>
      </c>
      <c r="J170" s="2" t="s">
        <v>146</v>
      </c>
      <c r="K170" s="2" t="s">
        <v>146</v>
      </c>
      <c r="L170" s="2" t="s">
        <v>146</v>
      </c>
      <c r="M170" s="2" t="s">
        <v>146</v>
      </c>
      <c r="N170" s="2" t="s">
        <v>146</v>
      </c>
      <c r="O170" s="2" t="s">
        <v>146</v>
      </c>
      <c r="P170" s="2" t="s">
        <v>146</v>
      </c>
      <c r="Q170" s="2">
        <v>43.39</v>
      </c>
      <c r="R170" s="2" t="s">
        <v>146</v>
      </c>
      <c r="S170" s="2" t="s">
        <v>146</v>
      </c>
      <c r="T170" s="2" t="s">
        <v>146</v>
      </c>
      <c r="U170" s="2" t="s">
        <v>146</v>
      </c>
      <c r="V170" s="2" t="s">
        <v>146</v>
      </c>
      <c r="W170" s="2" t="s">
        <v>146</v>
      </c>
      <c r="X170" s="2" t="s">
        <v>146</v>
      </c>
      <c r="Y170" s="2" t="s">
        <v>146</v>
      </c>
      <c r="Z170" s="2" t="s">
        <v>146</v>
      </c>
      <c r="AA170" s="2">
        <v>28.13</v>
      </c>
      <c r="AB170" s="2" t="s">
        <v>146</v>
      </c>
      <c r="AC170" s="2" t="s">
        <v>146</v>
      </c>
      <c r="AD170" s="2" t="s">
        <v>146</v>
      </c>
      <c r="AE170" s="2" t="s">
        <v>146</v>
      </c>
      <c r="AF170" s="2">
        <v>154.71</v>
      </c>
      <c r="AG170" s="2">
        <v>0.3</v>
      </c>
      <c r="AH170" s="2" t="s">
        <v>160</v>
      </c>
      <c r="AI170" s="2">
        <v>37.299999999999997</v>
      </c>
      <c r="AJ170" s="2" t="s">
        <v>146</v>
      </c>
      <c r="AK170" s="2" t="s">
        <v>146</v>
      </c>
      <c r="AL170" s="2" t="s">
        <v>146</v>
      </c>
      <c r="AM170" s="2" t="s">
        <v>146</v>
      </c>
      <c r="AN170" s="2" t="s">
        <v>146</v>
      </c>
      <c r="AO170" s="2" t="s">
        <v>146</v>
      </c>
      <c r="AQ170" s="2">
        <f t="shared" si="22"/>
        <v>226.23000000000002</v>
      </c>
      <c r="AR170" s="2">
        <f t="shared" si="23"/>
        <v>226.23000000000002</v>
      </c>
      <c r="AT170" s="2">
        <f t="shared" si="24"/>
        <v>199.51</v>
      </c>
      <c r="AU170" s="2">
        <f t="shared" si="25"/>
        <v>22.58</v>
      </c>
      <c r="AV170" s="27">
        <f t="shared" si="26"/>
        <v>0.98170003978252207</v>
      </c>
      <c r="AY170" s="2">
        <f t="shared" si="27"/>
        <v>0</v>
      </c>
      <c r="AZ170" s="2">
        <f t="shared" si="28"/>
        <v>0</v>
      </c>
      <c r="BA170" s="2">
        <f t="shared" si="29"/>
        <v>0</v>
      </c>
      <c r="BB170" s="2">
        <f t="shared" si="30"/>
        <v>0</v>
      </c>
      <c r="BC170" s="2">
        <f t="shared" si="31"/>
        <v>0</v>
      </c>
      <c r="BD170" s="2">
        <f t="shared" si="32"/>
        <v>0</v>
      </c>
    </row>
    <row r="171" spans="1:56" ht="15" customHeight="1" x14ac:dyDescent="0.45">
      <c r="A171" s="2" t="s">
        <v>453</v>
      </c>
      <c r="B171" s="2" t="s">
        <v>455</v>
      </c>
      <c r="C171" s="2">
        <v>2019</v>
      </c>
      <c r="D171" s="2" t="s">
        <v>146</v>
      </c>
      <c r="E171" s="2" t="s">
        <v>146</v>
      </c>
      <c r="F171" s="2" t="s">
        <v>146</v>
      </c>
      <c r="G171" s="2" t="s">
        <v>146</v>
      </c>
      <c r="H171" s="2" t="s">
        <v>146</v>
      </c>
      <c r="I171" s="2" t="s">
        <v>146</v>
      </c>
      <c r="J171" s="2" t="s">
        <v>146</v>
      </c>
      <c r="K171" s="2" t="s">
        <v>146</v>
      </c>
      <c r="L171" s="2" t="s">
        <v>146</v>
      </c>
      <c r="M171" s="2" t="s">
        <v>146</v>
      </c>
      <c r="N171" s="2" t="s">
        <v>146</v>
      </c>
      <c r="O171" s="2" t="s">
        <v>146</v>
      </c>
      <c r="P171" s="2" t="s">
        <v>146</v>
      </c>
      <c r="Q171" s="2" t="s">
        <v>146</v>
      </c>
      <c r="R171" s="2" t="s">
        <v>146</v>
      </c>
      <c r="S171" s="2" t="s">
        <v>146</v>
      </c>
      <c r="T171" s="2" t="s">
        <v>146</v>
      </c>
      <c r="U171" s="2" t="s">
        <v>146</v>
      </c>
      <c r="V171" s="2" t="s">
        <v>146</v>
      </c>
      <c r="W171" s="2" t="s">
        <v>146</v>
      </c>
      <c r="X171" s="2" t="s">
        <v>146</v>
      </c>
      <c r="Y171" s="2" t="s">
        <v>146</v>
      </c>
      <c r="Z171" s="2" t="s">
        <v>146</v>
      </c>
      <c r="AA171" s="2" t="s">
        <v>146</v>
      </c>
      <c r="AB171" s="2" t="s">
        <v>146</v>
      </c>
      <c r="AC171" s="2" t="s">
        <v>146</v>
      </c>
      <c r="AD171" s="2" t="s">
        <v>146</v>
      </c>
      <c r="AE171" s="2" t="s">
        <v>146</v>
      </c>
      <c r="AF171" s="2" t="s">
        <v>146</v>
      </c>
      <c r="AG171" s="2" t="s">
        <v>146</v>
      </c>
      <c r="AH171" s="2" t="s">
        <v>146</v>
      </c>
      <c r="AI171" s="2" t="s">
        <v>146</v>
      </c>
      <c r="AJ171" s="2" t="s">
        <v>146</v>
      </c>
      <c r="AK171" s="2" t="s">
        <v>146</v>
      </c>
      <c r="AL171" s="2" t="s">
        <v>146</v>
      </c>
      <c r="AM171" s="2" t="s">
        <v>146</v>
      </c>
      <c r="AN171" s="2" t="s">
        <v>146</v>
      </c>
      <c r="AO171" s="2" t="s">
        <v>146</v>
      </c>
      <c r="AQ171" s="2">
        <f t="shared" si="22"/>
        <v>0</v>
      </c>
      <c r="AR171" s="2">
        <f t="shared" si="23"/>
        <v>0</v>
      </c>
      <c r="AT171" s="2">
        <f t="shared" si="24"/>
        <v>0</v>
      </c>
      <c r="AU171" s="2">
        <f t="shared" si="25"/>
        <v>0</v>
      </c>
      <c r="AV171" s="27" t="str">
        <f t="shared" si="26"/>
        <v/>
      </c>
      <c r="AY171" s="2">
        <f t="shared" si="27"/>
        <v>0</v>
      </c>
      <c r="AZ171" s="2">
        <f t="shared" si="28"/>
        <v>0</v>
      </c>
      <c r="BA171" s="2">
        <f t="shared" si="29"/>
        <v>0</v>
      </c>
      <c r="BB171" s="2">
        <f t="shared" si="30"/>
        <v>0</v>
      </c>
      <c r="BC171" s="2">
        <f t="shared" si="31"/>
        <v>0</v>
      </c>
      <c r="BD171" s="2">
        <f t="shared" si="32"/>
        <v>0</v>
      </c>
    </row>
    <row r="172" spans="1:56" ht="15" customHeight="1" x14ac:dyDescent="0.45">
      <c r="A172" s="2" t="s">
        <v>453</v>
      </c>
      <c r="B172" s="2" t="s">
        <v>454</v>
      </c>
      <c r="C172" s="2">
        <v>2019</v>
      </c>
      <c r="D172" s="2" t="s">
        <v>146</v>
      </c>
      <c r="E172" s="2" t="s">
        <v>146</v>
      </c>
      <c r="F172" s="2" t="s">
        <v>146</v>
      </c>
      <c r="G172" s="2" t="s">
        <v>146</v>
      </c>
      <c r="H172" s="2" t="s">
        <v>146</v>
      </c>
      <c r="I172" s="2" t="s">
        <v>146</v>
      </c>
      <c r="J172" s="2" t="s">
        <v>146</v>
      </c>
      <c r="K172" s="2" t="s">
        <v>146</v>
      </c>
      <c r="L172" s="2" t="s">
        <v>146</v>
      </c>
      <c r="M172" s="2" t="s">
        <v>146</v>
      </c>
      <c r="N172" s="2" t="s">
        <v>146</v>
      </c>
      <c r="O172" s="2" t="s">
        <v>146</v>
      </c>
      <c r="P172" s="2" t="s">
        <v>146</v>
      </c>
      <c r="Q172" s="2" t="s">
        <v>146</v>
      </c>
      <c r="R172" s="2" t="s">
        <v>146</v>
      </c>
      <c r="S172" s="2" t="s">
        <v>146</v>
      </c>
      <c r="T172" s="2" t="s">
        <v>146</v>
      </c>
      <c r="U172" s="2" t="s">
        <v>146</v>
      </c>
      <c r="V172" s="2" t="s">
        <v>146</v>
      </c>
      <c r="W172" s="2" t="s">
        <v>146</v>
      </c>
      <c r="X172" s="2" t="s">
        <v>146</v>
      </c>
      <c r="Y172" s="2" t="s">
        <v>146</v>
      </c>
      <c r="Z172" s="2" t="s">
        <v>146</v>
      </c>
      <c r="AA172" s="2" t="s">
        <v>146</v>
      </c>
      <c r="AB172" s="2" t="s">
        <v>146</v>
      </c>
      <c r="AC172" s="2" t="s">
        <v>146</v>
      </c>
      <c r="AD172" s="2" t="s">
        <v>146</v>
      </c>
      <c r="AE172" s="2" t="s">
        <v>146</v>
      </c>
      <c r="AF172" s="2" t="s">
        <v>146</v>
      </c>
      <c r="AG172" s="2" t="s">
        <v>146</v>
      </c>
      <c r="AH172" s="2" t="s">
        <v>146</v>
      </c>
      <c r="AI172" s="2" t="s">
        <v>146</v>
      </c>
      <c r="AJ172" s="2" t="s">
        <v>146</v>
      </c>
      <c r="AK172" s="2" t="s">
        <v>146</v>
      </c>
      <c r="AL172" s="2" t="s">
        <v>146</v>
      </c>
      <c r="AM172" s="2" t="s">
        <v>146</v>
      </c>
      <c r="AN172" s="2" t="s">
        <v>146</v>
      </c>
      <c r="AO172" s="2" t="s">
        <v>146</v>
      </c>
      <c r="AQ172" s="2">
        <f t="shared" si="22"/>
        <v>0</v>
      </c>
      <c r="AR172" s="2">
        <f t="shared" si="23"/>
        <v>0</v>
      </c>
      <c r="AT172" s="2">
        <f t="shared" si="24"/>
        <v>0</v>
      </c>
      <c r="AU172" s="2">
        <f t="shared" si="25"/>
        <v>0</v>
      </c>
      <c r="AV172" s="27" t="str">
        <f t="shared" si="26"/>
        <v/>
      </c>
      <c r="AY172" s="2">
        <f t="shared" si="27"/>
        <v>0</v>
      </c>
      <c r="AZ172" s="2">
        <f t="shared" si="28"/>
        <v>0</v>
      </c>
      <c r="BA172" s="2">
        <f t="shared" si="29"/>
        <v>0</v>
      </c>
      <c r="BB172" s="2">
        <f t="shared" si="30"/>
        <v>0</v>
      </c>
      <c r="BC172" s="2">
        <f t="shared" si="31"/>
        <v>0</v>
      </c>
      <c r="BD172" s="2">
        <f t="shared" si="32"/>
        <v>0</v>
      </c>
    </row>
    <row r="173" spans="1:56" ht="15" customHeight="1" x14ac:dyDescent="0.45">
      <c r="A173" s="2" t="s">
        <v>453</v>
      </c>
      <c r="B173" s="2" t="s">
        <v>452</v>
      </c>
      <c r="C173" s="2">
        <v>2019</v>
      </c>
      <c r="D173" s="2" t="s">
        <v>146</v>
      </c>
      <c r="E173" s="2" t="s">
        <v>146</v>
      </c>
      <c r="F173" s="2" t="s">
        <v>146</v>
      </c>
      <c r="G173" s="2" t="s">
        <v>146</v>
      </c>
      <c r="H173" s="2" t="s">
        <v>146</v>
      </c>
      <c r="I173" s="2" t="s">
        <v>146</v>
      </c>
      <c r="J173" s="2" t="s">
        <v>146</v>
      </c>
      <c r="K173" s="2" t="s">
        <v>146</v>
      </c>
      <c r="L173" s="2" t="s">
        <v>146</v>
      </c>
      <c r="M173" s="2" t="s">
        <v>146</v>
      </c>
      <c r="N173" s="2" t="s">
        <v>146</v>
      </c>
      <c r="O173" s="2" t="s">
        <v>146</v>
      </c>
      <c r="P173" s="2" t="s">
        <v>146</v>
      </c>
      <c r="Q173" s="2" t="s">
        <v>146</v>
      </c>
      <c r="R173" s="2" t="s">
        <v>146</v>
      </c>
      <c r="S173" s="2" t="s">
        <v>146</v>
      </c>
      <c r="T173" s="2" t="s">
        <v>146</v>
      </c>
      <c r="U173" s="2" t="s">
        <v>146</v>
      </c>
      <c r="V173" s="2" t="s">
        <v>146</v>
      </c>
      <c r="W173" s="2" t="s">
        <v>146</v>
      </c>
      <c r="X173" s="2" t="s">
        <v>146</v>
      </c>
      <c r="Y173" s="2" t="s">
        <v>146</v>
      </c>
      <c r="Z173" s="2" t="s">
        <v>146</v>
      </c>
      <c r="AA173" s="2" t="s">
        <v>146</v>
      </c>
      <c r="AB173" s="2" t="s">
        <v>146</v>
      </c>
      <c r="AC173" s="2" t="s">
        <v>146</v>
      </c>
      <c r="AD173" s="2" t="s">
        <v>146</v>
      </c>
      <c r="AE173" s="2" t="s">
        <v>146</v>
      </c>
      <c r="AF173" s="2" t="s">
        <v>146</v>
      </c>
      <c r="AG173" s="2" t="s">
        <v>146</v>
      </c>
      <c r="AH173" s="2" t="s">
        <v>146</v>
      </c>
      <c r="AI173" s="2" t="s">
        <v>146</v>
      </c>
      <c r="AJ173" s="2" t="s">
        <v>146</v>
      </c>
      <c r="AK173" s="2" t="s">
        <v>146</v>
      </c>
      <c r="AL173" s="2" t="s">
        <v>146</v>
      </c>
      <c r="AM173" s="2" t="s">
        <v>146</v>
      </c>
      <c r="AN173" s="2" t="s">
        <v>146</v>
      </c>
      <c r="AO173" s="2" t="s">
        <v>146</v>
      </c>
      <c r="AQ173" s="2">
        <f t="shared" si="22"/>
        <v>0</v>
      </c>
      <c r="AR173" s="2">
        <f t="shared" si="23"/>
        <v>0</v>
      </c>
      <c r="AT173" s="2">
        <f t="shared" si="24"/>
        <v>0</v>
      </c>
      <c r="AU173" s="2">
        <f t="shared" si="25"/>
        <v>0</v>
      </c>
      <c r="AV173" s="27" t="str">
        <f t="shared" si="26"/>
        <v/>
      </c>
      <c r="AY173" s="2">
        <f t="shared" si="27"/>
        <v>0</v>
      </c>
      <c r="AZ173" s="2">
        <f t="shared" si="28"/>
        <v>0</v>
      </c>
      <c r="BA173" s="2">
        <f t="shared" si="29"/>
        <v>0</v>
      </c>
      <c r="BB173" s="2">
        <f t="shared" si="30"/>
        <v>0</v>
      </c>
      <c r="BC173" s="2">
        <f t="shared" si="31"/>
        <v>0</v>
      </c>
      <c r="BD173" s="2">
        <f t="shared" si="32"/>
        <v>0</v>
      </c>
    </row>
    <row r="174" spans="1:56" ht="15" customHeight="1" x14ac:dyDescent="0.45">
      <c r="A174" s="2" t="s">
        <v>449</v>
      </c>
      <c r="B174" s="2" t="s">
        <v>451</v>
      </c>
      <c r="C174" s="2">
        <v>2019</v>
      </c>
      <c r="D174" s="2" t="s">
        <v>146</v>
      </c>
      <c r="E174" s="2" t="s">
        <v>146</v>
      </c>
      <c r="F174" s="2" t="s">
        <v>146</v>
      </c>
      <c r="G174" s="2" t="s">
        <v>146</v>
      </c>
      <c r="H174" s="2" t="s">
        <v>146</v>
      </c>
      <c r="I174" s="2" t="s">
        <v>146</v>
      </c>
      <c r="J174" s="2" t="s">
        <v>146</v>
      </c>
      <c r="K174" s="2" t="s">
        <v>146</v>
      </c>
      <c r="L174" s="2" t="s">
        <v>146</v>
      </c>
      <c r="M174" s="2" t="s">
        <v>146</v>
      </c>
      <c r="N174" s="2" t="s">
        <v>146</v>
      </c>
      <c r="O174" s="2" t="s">
        <v>146</v>
      </c>
      <c r="P174" s="2" t="s">
        <v>146</v>
      </c>
      <c r="Q174" s="2" t="s">
        <v>146</v>
      </c>
      <c r="R174" s="2" t="s">
        <v>146</v>
      </c>
      <c r="S174" s="2" t="s">
        <v>146</v>
      </c>
      <c r="T174" s="2" t="s">
        <v>146</v>
      </c>
      <c r="U174" s="2" t="s">
        <v>146</v>
      </c>
      <c r="V174" s="2" t="s">
        <v>146</v>
      </c>
      <c r="W174" s="2" t="s">
        <v>146</v>
      </c>
      <c r="X174" s="2" t="s">
        <v>146</v>
      </c>
      <c r="Y174" s="2" t="s">
        <v>146</v>
      </c>
      <c r="Z174" s="2" t="s">
        <v>146</v>
      </c>
      <c r="AA174" s="2" t="s">
        <v>146</v>
      </c>
      <c r="AB174" s="2" t="s">
        <v>146</v>
      </c>
      <c r="AC174" s="2" t="s">
        <v>146</v>
      </c>
      <c r="AD174" s="2" t="s">
        <v>146</v>
      </c>
      <c r="AE174" s="2" t="s">
        <v>146</v>
      </c>
      <c r="AF174" s="2" t="s">
        <v>146</v>
      </c>
      <c r="AG174" s="2" t="s">
        <v>146</v>
      </c>
      <c r="AH174" s="2" t="s">
        <v>146</v>
      </c>
      <c r="AI174" s="2" t="s">
        <v>146</v>
      </c>
      <c r="AJ174" s="2" t="s">
        <v>146</v>
      </c>
      <c r="AK174" s="2" t="s">
        <v>146</v>
      </c>
      <c r="AL174" s="2" t="s">
        <v>146</v>
      </c>
      <c r="AM174" s="2" t="s">
        <v>146</v>
      </c>
      <c r="AN174" s="2" t="s">
        <v>146</v>
      </c>
      <c r="AO174" s="2" t="s">
        <v>146</v>
      </c>
      <c r="AQ174" s="2">
        <f t="shared" si="22"/>
        <v>0</v>
      </c>
      <c r="AR174" s="2">
        <f t="shared" si="23"/>
        <v>0</v>
      </c>
      <c r="AT174" s="2">
        <f t="shared" si="24"/>
        <v>0</v>
      </c>
      <c r="AU174" s="2">
        <f t="shared" si="25"/>
        <v>0</v>
      </c>
      <c r="AV174" s="27" t="str">
        <f t="shared" si="26"/>
        <v/>
      </c>
      <c r="AY174" s="2">
        <f t="shared" si="27"/>
        <v>0</v>
      </c>
      <c r="AZ174" s="2">
        <f t="shared" si="28"/>
        <v>0</v>
      </c>
      <c r="BA174" s="2">
        <f t="shared" si="29"/>
        <v>0</v>
      </c>
      <c r="BB174" s="2">
        <f t="shared" si="30"/>
        <v>0</v>
      </c>
      <c r="BC174" s="2">
        <f t="shared" si="31"/>
        <v>0</v>
      </c>
      <c r="BD174" s="2">
        <f t="shared" si="32"/>
        <v>0</v>
      </c>
    </row>
    <row r="175" spans="1:56" ht="15" customHeight="1" x14ac:dyDescent="0.45">
      <c r="A175" s="2" t="s">
        <v>449</v>
      </c>
      <c r="B175" s="2" t="s">
        <v>450</v>
      </c>
      <c r="C175" s="2">
        <v>2019</v>
      </c>
      <c r="D175" s="2" t="s">
        <v>146</v>
      </c>
      <c r="E175" s="2" t="s">
        <v>146</v>
      </c>
      <c r="F175" s="2" t="s">
        <v>146</v>
      </c>
      <c r="G175" s="2" t="s">
        <v>146</v>
      </c>
      <c r="H175" s="2" t="s">
        <v>146</v>
      </c>
      <c r="I175" s="2" t="s">
        <v>146</v>
      </c>
      <c r="J175" s="2" t="s">
        <v>146</v>
      </c>
      <c r="K175" s="2" t="s">
        <v>146</v>
      </c>
      <c r="L175" s="2" t="s">
        <v>146</v>
      </c>
      <c r="M175" s="2" t="s">
        <v>146</v>
      </c>
      <c r="N175" s="2" t="s">
        <v>146</v>
      </c>
      <c r="O175" s="2" t="s">
        <v>146</v>
      </c>
      <c r="P175" s="2" t="s">
        <v>146</v>
      </c>
      <c r="Q175" s="2" t="s">
        <v>146</v>
      </c>
      <c r="R175" s="2" t="s">
        <v>146</v>
      </c>
      <c r="S175" s="2" t="s">
        <v>146</v>
      </c>
      <c r="T175" s="2" t="s">
        <v>146</v>
      </c>
      <c r="U175" s="2" t="s">
        <v>146</v>
      </c>
      <c r="V175" s="2" t="s">
        <v>146</v>
      </c>
      <c r="W175" s="2" t="s">
        <v>146</v>
      </c>
      <c r="X175" s="2" t="s">
        <v>146</v>
      </c>
      <c r="Y175" s="2" t="s">
        <v>146</v>
      </c>
      <c r="Z175" s="2" t="s">
        <v>146</v>
      </c>
      <c r="AA175" s="2" t="s">
        <v>146</v>
      </c>
      <c r="AB175" s="2" t="s">
        <v>146</v>
      </c>
      <c r="AC175" s="2" t="s">
        <v>146</v>
      </c>
      <c r="AD175" s="2" t="s">
        <v>146</v>
      </c>
      <c r="AE175" s="2" t="s">
        <v>146</v>
      </c>
      <c r="AF175" s="2" t="s">
        <v>146</v>
      </c>
      <c r="AG175" s="2" t="s">
        <v>146</v>
      </c>
      <c r="AH175" s="2" t="s">
        <v>146</v>
      </c>
      <c r="AI175" s="2" t="s">
        <v>146</v>
      </c>
      <c r="AJ175" s="2" t="s">
        <v>146</v>
      </c>
      <c r="AK175" s="2" t="s">
        <v>146</v>
      </c>
      <c r="AL175" s="2" t="s">
        <v>146</v>
      </c>
      <c r="AM175" s="2" t="s">
        <v>146</v>
      </c>
      <c r="AN175" s="2" t="s">
        <v>146</v>
      </c>
      <c r="AO175" s="2" t="s">
        <v>146</v>
      </c>
      <c r="AQ175" s="2">
        <f t="shared" si="22"/>
        <v>0</v>
      </c>
      <c r="AR175" s="2">
        <f t="shared" si="23"/>
        <v>0</v>
      </c>
      <c r="AT175" s="2">
        <f t="shared" si="24"/>
        <v>0</v>
      </c>
      <c r="AU175" s="2">
        <f t="shared" si="25"/>
        <v>0</v>
      </c>
      <c r="AV175" s="27" t="str">
        <f t="shared" si="26"/>
        <v/>
      </c>
      <c r="AY175" s="2">
        <f t="shared" si="27"/>
        <v>0</v>
      </c>
      <c r="AZ175" s="2">
        <f t="shared" si="28"/>
        <v>0</v>
      </c>
      <c r="BA175" s="2">
        <f t="shared" si="29"/>
        <v>0</v>
      </c>
      <c r="BB175" s="2">
        <f t="shared" si="30"/>
        <v>0</v>
      </c>
      <c r="BC175" s="2">
        <f t="shared" si="31"/>
        <v>0</v>
      </c>
      <c r="BD175" s="2">
        <f t="shared" si="32"/>
        <v>0</v>
      </c>
    </row>
    <row r="176" spans="1:56" ht="15" customHeight="1" x14ac:dyDescent="0.45">
      <c r="A176" s="2" t="s">
        <v>449</v>
      </c>
      <c r="B176" s="2" t="s">
        <v>448</v>
      </c>
      <c r="C176" s="2">
        <v>2019</v>
      </c>
      <c r="D176" s="2" t="s">
        <v>146</v>
      </c>
      <c r="E176" s="2" t="s">
        <v>146</v>
      </c>
      <c r="F176" s="2" t="s">
        <v>146</v>
      </c>
      <c r="G176" s="2" t="s">
        <v>146</v>
      </c>
      <c r="H176" s="2" t="s">
        <v>146</v>
      </c>
      <c r="I176" s="2" t="s">
        <v>146</v>
      </c>
      <c r="J176" s="2" t="s">
        <v>146</v>
      </c>
      <c r="K176" s="2" t="s">
        <v>146</v>
      </c>
      <c r="L176" s="2" t="s">
        <v>146</v>
      </c>
      <c r="M176" s="2" t="s">
        <v>146</v>
      </c>
      <c r="N176" s="2" t="s">
        <v>146</v>
      </c>
      <c r="O176" s="2" t="s">
        <v>146</v>
      </c>
      <c r="P176" s="2" t="s">
        <v>146</v>
      </c>
      <c r="Q176" s="2" t="s">
        <v>146</v>
      </c>
      <c r="R176" s="2" t="s">
        <v>146</v>
      </c>
      <c r="S176" s="2" t="s">
        <v>146</v>
      </c>
      <c r="T176" s="2" t="s">
        <v>146</v>
      </c>
      <c r="U176" s="2" t="s">
        <v>146</v>
      </c>
      <c r="V176" s="2" t="s">
        <v>146</v>
      </c>
      <c r="W176" s="2" t="s">
        <v>146</v>
      </c>
      <c r="X176" s="2" t="s">
        <v>146</v>
      </c>
      <c r="Y176" s="2" t="s">
        <v>146</v>
      </c>
      <c r="Z176" s="2" t="s">
        <v>146</v>
      </c>
      <c r="AA176" s="2" t="s">
        <v>146</v>
      </c>
      <c r="AB176" s="2" t="s">
        <v>146</v>
      </c>
      <c r="AC176" s="2" t="s">
        <v>146</v>
      </c>
      <c r="AD176" s="2" t="s">
        <v>146</v>
      </c>
      <c r="AE176" s="2" t="s">
        <v>146</v>
      </c>
      <c r="AF176" s="2" t="s">
        <v>146</v>
      </c>
      <c r="AG176" s="2" t="s">
        <v>146</v>
      </c>
      <c r="AH176" s="2" t="s">
        <v>146</v>
      </c>
      <c r="AI176" s="2" t="s">
        <v>146</v>
      </c>
      <c r="AJ176" s="2" t="s">
        <v>146</v>
      </c>
      <c r="AK176" s="2" t="s">
        <v>146</v>
      </c>
      <c r="AL176" s="2" t="s">
        <v>146</v>
      </c>
      <c r="AM176" s="2" t="s">
        <v>146</v>
      </c>
      <c r="AN176" s="2" t="s">
        <v>146</v>
      </c>
      <c r="AO176" s="2" t="s">
        <v>146</v>
      </c>
      <c r="AQ176" s="2">
        <f t="shared" si="22"/>
        <v>0</v>
      </c>
      <c r="AR176" s="2">
        <f t="shared" si="23"/>
        <v>0</v>
      </c>
      <c r="AT176" s="2">
        <f t="shared" si="24"/>
        <v>0</v>
      </c>
      <c r="AU176" s="2">
        <f t="shared" si="25"/>
        <v>0</v>
      </c>
      <c r="AV176" s="27" t="str">
        <f t="shared" si="26"/>
        <v/>
      </c>
      <c r="AY176" s="2">
        <f t="shared" si="27"/>
        <v>0</v>
      </c>
      <c r="AZ176" s="2">
        <f t="shared" si="28"/>
        <v>0</v>
      </c>
      <c r="BA176" s="2">
        <f t="shared" si="29"/>
        <v>0</v>
      </c>
      <c r="BB176" s="2">
        <f t="shared" si="30"/>
        <v>0</v>
      </c>
      <c r="BC176" s="2">
        <f t="shared" si="31"/>
        <v>0</v>
      </c>
      <c r="BD176" s="2">
        <f t="shared" si="32"/>
        <v>0</v>
      </c>
    </row>
    <row r="177" spans="1:56" ht="15" customHeight="1" x14ac:dyDescent="0.45">
      <c r="A177" s="2" t="s">
        <v>447</v>
      </c>
      <c r="B177" s="2" t="s">
        <v>446</v>
      </c>
      <c r="C177" s="2">
        <v>2019</v>
      </c>
      <c r="D177" s="2" t="s">
        <v>146</v>
      </c>
      <c r="E177" s="2" t="s">
        <v>146</v>
      </c>
      <c r="F177" s="2" t="s">
        <v>146</v>
      </c>
      <c r="G177" s="2" t="s">
        <v>146</v>
      </c>
      <c r="H177" s="2" t="s">
        <v>146</v>
      </c>
      <c r="I177" s="2" t="s">
        <v>146</v>
      </c>
      <c r="J177" s="2" t="s">
        <v>146</v>
      </c>
      <c r="K177" s="2" t="s">
        <v>146</v>
      </c>
      <c r="L177" s="2" t="s">
        <v>146</v>
      </c>
      <c r="M177" s="2" t="s">
        <v>146</v>
      </c>
      <c r="N177" s="2" t="s">
        <v>146</v>
      </c>
      <c r="O177" s="2" t="s">
        <v>146</v>
      </c>
      <c r="P177" s="2" t="s">
        <v>146</v>
      </c>
      <c r="Q177" s="2" t="s">
        <v>146</v>
      </c>
      <c r="R177" s="2" t="s">
        <v>146</v>
      </c>
      <c r="S177" s="2" t="s">
        <v>146</v>
      </c>
      <c r="T177" s="2" t="s">
        <v>146</v>
      </c>
      <c r="U177" s="2" t="s">
        <v>146</v>
      </c>
      <c r="V177" s="2" t="s">
        <v>146</v>
      </c>
      <c r="W177" s="2" t="s">
        <v>146</v>
      </c>
      <c r="X177" s="2" t="s">
        <v>146</v>
      </c>
      <c r="Y177" s="2" t="s">
        <v>146</v>
      </c>
      <c r="Z177" s="2" t="s">
        <v>146</v>
      </c>
      <c r="AA177" s="2" t="s">
        <v>146</v>
      </c>
      <c r="AB177" s="2" t="s">
        <v>146</v>
      </c>
      <c r="AC177" s="2" t="s">
        <v>146</v>
      </c>
      <c r="AD177" s="2" t="s">
        <v>146</v>
      </c>
      <c r="AE177" s="2" t="s">
        <v>146</v>
      </c>
      <c r="AF177" s="2" t="s">
        <v>146</v>
      </c>
      <c r="AG177" s="2" t="s">
        <v>146</v>
      </c>
      <c r="AH177" s="2" t="s">
        <v>146</v>
      </c>
      <c r="AI177" s="2" t="s">
        <v>146</v>
      </c>
      <c r="AJ177" s="2" t="s">
        <v>146</v>
      </c>
      <c r="AK177" s="2" t="s">
        <v>146</v>
      </c>
      <c r="AL177" s="2" t="s">
        <v>146</v>
      </c>
      <c r="AM177" s="2" t="s">
        <v>146</v>
      </c>
      <c r="AN177" s="2" t="s">
        <v>146</v>
      </c>
      <c r="AO177" s="2" t="s">
        <v>146</v>
      </c>
      <c r="AQ177" s="2">
        <f t="shared" si="22"/>
        <v>0</v>
      </c>
      <c r="AR177" s="2">
        <f t="shared" si="23"/>
        <v>0</v>
      </c>
      <c r="AT177" s="2">
        <f t="shared" si="24"/>
        <v>0</v>
      </c>
      <c r="AU177" s="2">
        <f t="shared" si="25"/>
        <v>0</v>
      </c>
      <c r="AV177" s="27" t="str">
        <f t="shared" si="26"/>
        <v/>
      </c>
      <c r="AY177" s="2">
        <f t="shared" si="27"/>
        <v>0</v>
      </c>
      <c r="AZ177" s="2">
        <f t="shared" si="28"/>
        <v>0</v>
      </c>
      <c r="BA177" s="2">
        <f t="shared" si="29"/>
        <v>0</v>
      </c>
      <c r="BB177" s="2">
        <f t="shared" si="30"/>
        <v>0</v>
      </c>
      <c r="BC177" s="2">
        <f t="shared" si="31"/>
        <v>0</v>
      </c>
      <c r="BD177" s="2">
        <f t="shared" si="32"/>
        <v>0</v>
      </c>
    </row>
    <row r="178" spans="1:56" ht="15" customHeight="1" x14ac:dyDescent="0.45">
      <c r="A178" s="2" t="s">
        <v>444</v>
      </c>
      <c r="B178" s="2" t="s">
        <v>445</v>
      </c>
      <c r="C178" s="2">
        <v>2019</v>
      </c>
      <c r="D178" s="2">
        <v>62.5</v>
      </c>
      <c r="E178" s="2">
        <v>9</v>
      </c>
      <c r="F178" s="2" t="s">
        <v>146</v>
      </c>
      <c r="G178" s="2" t="s">
        <v>146</v>
      </c>
      <c r="H178" s="2" t="s">
        <v>146</v>
      </c>
      <c r="I178" s="2">
        <v>98.97</v>
      </c>
      <c r="J178" s="2" t="s">
        <v>146</v>
      </c>
      <c r="K178" s="2" t="s">
        <v>146</v>
      </c>
      <c r="L178" s="2" t="s">
        <v>146</v>
      </c>
      <c r="M178" s="2" t="s">
        <v>146</v>
      </c>
      <c r="N178" s="2" t="s">
        <v>146</v>
      </c>
      <c r="O178" s="2" t="s">
        <v>146</v>
      </c>
      <c r="P178" s="2" t="s">
        <v>146</v>
      </c>
      <c r="Q178" s="2">
        <v>53.4</v>
      </c>
      <c r="R178" s="2">
        <v>3.75</v>
      </c>
      <c r="S178" s="2">
        <v>29.07</v>
      </c>
      <c r="T178" s="2" t="s">
        <v>146</v>
      </c>
      <c r="U178" s="2" t="s">
        <v>146</v>
      </c>
      <c r="V178" s="2" t="s">
        <v>146</v>
      </c>
      <c r="W178" s="2" t="s">
        <v>147</v>
      </c>
      <c r="X178" s="2" t="s">
        <v>146</v>
      </c>
      <c r="Y178" s="2" t="s">
        <v>146</v>
      </c>
      <c r="Z178" s="2" t="s">
        <v>146</v>
      </c>
      <c r="AA178" s="2" t="s">
        <v>146</v>
      </c>
      <c r="AB178" s="2" t="s">
        <v>146</v>
      </c>
      <c r="AC178" s="2" t="s">
        <v>146</v>
      </c>
      <c r="AD178" s="2" t="s">
        <v>146</v>
      </c>
      <c r="AE178" s="2" t="s">
        <v>146</v>
      </c>
      <c r="AF178" s="2" t="s">
        <v>146</v>
      </c>
      <c r="AG178" s="2" t="s">
        <v>146</v>
      </c>
      <c r="AH178" s="2" t="s">
        <v>146</v>
      </c>
      <c r="AI178" s="2" t="s">
        <v>146</v>
      </c>
      <c r="AJ178" s="2" t="s">
        <v>146</v>
      </c>
      <c r="AK178" s="2">
        <v>12.75</v>
      </c>
      <c r="AL178" s="2">
        <v>100</v>
      </c>
      <c r="AM178" s="2">
        <v>0</v>
      </c>
      <c r="AN178" s="2">
        <v>0</v>
      </c>
      <c r="AO178" s="2">
        <v>0</v>
      </c>
      <c r="AQ178" s="2">
        <f t="shared" si="22"/>
        <v>86.22</v>
      </c>
      <c r="AR178" s="2">
        <f t="shared" si="23"/>
        <v>98.97</v>
      </c>
      <c r="AT178" s="2">
        <f t="shared" si="24"/>
        <v>62.5</v>
      </c>
      <c r="AU178" s="2">
        <f t="shared" si="25"/>
        <v>9</v>
      </c>
      <c r="AV178" s="27">
        <f t="shared" si="26"/>
        <v>0.72244114378094371</v>
      </c>
      <c r="AY178" s="2">
        <f t="shared" si="27"/>
        <v>12.75</v>
      </c>
      <c r="AZ178" s="2">
        <f t="shared" si="28"/>
        <v>12.75</v>
      </c>
      <c r="BA178" s="2">
        <f t="shared" si="29"/>
        <v>0</v>
      </c>
      <c r="BB178" s="2">
        <f t="shared" si="30"/>
        <v>0</v>
      </c>
      <c r="BC178" s="2">
        <f t="shared" si="31"/>
        <v>0</v>
      </c>
      <c r="BD178" s="2">
        <f t="shared" si="32"/>
        <v>0</v>
      </c>
    </row>
    <row r="179" spans="1:56" ht="15" customHeight="1" x14ac:dyDescent="0.45">
      <c r="A179" s="2" t="s">
        <v>444</v>
      </c>
      <c r="B179" s="2" t="s">
        <v>443</v>
      </c>
      <c r="C179" s="2">
        <v>2019</v>
      </c>
      <c r="D179" s="2" t="s">
        <v>146</v>
      </c>
      <c r="E179" s="2" t="s">
        <v>146</v>
      </c>
      <c r="F179" s="2" t="s">
        <v>146</v>
      </c>
      <c r="G179" s="2" t="s">
        <v>146</v>
      </c>
      <c r="H179" s="2" t="s">
        <v>146</v>
      </c>
      <c r="I179" s="2" t="s">
        <v>146</v>
      </c>
      <c r="J179" s="2" t="s">
        <v>146</v>
      </c>
      <c r="K179" s="2" t="s">
        <v>146</v>
      </c>
      <c r="L179" s="2" t="s">
        <v>146</v>
      </c>
      <c r="M179" s="2" t="s">
        <v>146</v>
      </c>
      <c r="N179" s="2" t="s">
        <v>146</v>
      </c>
      <c r="O179" s="2" t="s">
        <v>146</v>
      </c>
      <c r="P179" s="2" t="s">
        <v>146</v>
      </c>
      <c r="Q179" s="2" t="s">
        <v>146</v>
      </c>
      <c r="R179" s="2" t="s">
        <v>146</v>
      </c>
      <c r="S179" s="2" t="s">
        <v>146</v>
      </c>
      <c r="T179" s="2" t="s">
        <v>146</v>
      </c>
      <c r="U179" s="2" t="s">
        <v>146</v>
      </c>
      <c r="V179" s="2" t="s">
        <v>146</v>
      </c>
      <c r="W179" s="2" t="s">
        <v>146</v>
      </c>
      <c r="X179" s="2" t="s">
        <v>146</v>
      </c>
      <c r="Y179" s="2" t="s">
        <v>146</v>
      </c>
      <c r="Z179" s="2" t="s">
        <v>146</v>
      </c>
      <c r="AA179" s="2" t="s">
        <v>146</v>
      </c>
      <c r="AB179" s="2" t="s">
        <v>146</v>
      </c>
      <c r="AC179" s="2" t="s">
        <v>146</v>
      </c>
      <c r="AD179" s="2" t="s">
        <v>146</v>
      </c>
      <c r="AE179" s="2" t="s">
        <v>146</v>
      </c>
      <c r="AF179" s="2" t="s">
        <v>146</v>
      </c>
      <c r="AG179" s="2" t="s">
        <v>146</v>
      </c>
      <c r="AH179" s="2" t="s">
        <v>146</v>
      </c>
      <c r="AI179" s="2" t="s">
        <v>146</v>
      </c>
      <c r="AJ179" s="2" t="s">
        <v>146</v>
      </c>
      <c r="AK179" s="2" t="s">
        <v>146</v>
      </c>
      <c r="AL179" s="2" t="s">
        <v>146</v>
      </c>
      <c r="AM179" s="2" t="s">
        <v>146</v>
      </c>
      <c r="AN179" s="2" t="s">
        <v>146</v>
      </c>
      <c r="AO179" s="2" t="s">
        <v>146</v>
      </c>
      <c r="AQ179" s="2">
        <f t="shared" si="22"/>
        <v>0</v>
      </c>
      <c r="AR179" s="2">
        <f t="shared" si="23"/>
        <v>0</v>
      </c>
      <c r="AT179" s="2">
        <f t="shared" si="24"/>
        <v>0</v>
      </c>
      <c r="AU179" s="2">
        <f t="shared" si="25"/>
        <v>0</v>
      </c>
      <c r="AV179" s="27" t="str">
        <f t="shared" si="26"/>
        <v/>
      </c>
      <c r="AY179" s="2">
        <f t="shared" si="27"/>
        <v>0</v>
      </c>
      <c r="AZ179" s="2">
        <f t="shared" si="28"/>
        <v>0</v>
      </c>
      <c r="BA179" s="2">
        <f t="shared" si="29"/>
        <v>0</v>
      </c>
      <c r="BB179" s="2">
        <f t="shared" si="30"/>
        <v>0</v>
      </c>
      <c r="BC179" s="2">
        <f t="shared" si="31"/>
        <v>0</v>
      </c>
      <c r="BD179" s="2">
        <f t="shared" si="32"/>
        <v>0</v>
      </c>
    </row>
    <row r="180" spans="1:56" ht="15" customHeight="1" x14ac:dyDescent="0.45">
      <c r="A180" s="2" t="s">
        <v>442</v>
      </c>
      <c r="B180" s="2" t="s">
        <v>441</v>
      </c>
      <c r="C180" s="2">
        <v>2019</v>
      </c>
      <c r="D180" s="2">
        <v>90.4</v>
      </c>
      <c r="E180" s="2">
        <v>36.1</v>
      </c>
      <c r="F180" s="2" t="s">
        <v>146</v>
      </c>
      <c r="G180" s="2" t="s">
        <v>146</v>
      </c>
      <c r="H180" s="2" t="s">
        <v>146</v>
      </c>
      <c r="I180" s="2">
        <v>154.87</v>
      </c>
      <c r="J180" s="2" t="s">
        <v>146</v>
      </c>
      <c r="K180" s="2">
        <v>0.3</v>
      </c>
      <c r="L180" s="2" t="s">
        <v>146</v>
      </c>
      <c r="M180" s="2" t="s">
        <v>146</v>
      </c>
      <c r="N180" s="2" t="s">
        <v>146</v>
      </c>
      <c r="O180" s="2" t="s">
        <v>146</v>
      </c>
      <c r="P180" s="2" t="s">
        <v>146</v>
      </c>
      <c r="Q180" s="2">
        <v>138.4</v>
      </c>
      <c r="R180" s="2" t="s">
        <v>146</v>
      </c>
      <c r="S180" s="2">
        <v>14.3</v>
      </c>
      <c r="T180" s="2" t="s">
        <v>146</v>
      </c>
      <c r="U180" s="2" t="s">
        <v>146</v>
      </c>
      <c r="V180" s="2" t="s">
        <v>146</v>
      </c>
      <c r="W180" s="2" t="s">
        <v>147</v>
      </c>
      <c r="X180" s="2" t="s">
        <v>146</v>
      </c>
      <c r="Y180" s="2" t="s">
        <v>146</v>
      </c>
      <c r="Z180" s="2" t="s">
        <v>146</v>
      </c>
      <c r="AA180" s="2" t="s">
        <v>146</v>
      </c>
      <c r="AB180" s="2" t="s">
        <v>146</v>
      </c>
      <c r="AC180" s="2" t="s">
        <v>146</v>
      </c>
      <c r="AD180" s="2" t="s">
        <v>146</v>
      </c>
      <c r="AE180" s="2" t="s">
        <v>146</v>
      </c>
      <c r="AF180" s="2" t="s">
        <v>146</v>
      </c>
      <c r="AG180" s="2" t="s">
        <v>146</v>
      </c>
      <c r="AH180" s="2" t="s">
        <v>146</v>
      </c>
      <c r="AI180" s="2" t="s">
        <v>146</v>
      </c>
      <c r="AJ180" s="2" t="s">
        <v>146</v>
      </c>
      <c r="AK180" s="2">
        <v>1.87</v>
      </c>
      <c r="AL180" s="2">
        <v>100</v>
      </c>
      <c r="AM180" s="2" t="s">
        <v>146</v>
      </c>
      <c r="AN180" s="2" t="s">
        <v>146</v>
      </c>
      <c r="AO180" s="2" t="s">
        <v>146</v>
      </c>
      <c r="AQ180" s="2">
        <f t="shared" si="22"/>
        <v>153.00000000000003</v>
      </c>
      <c r="AR180" s="2">
        <f t="shared" si="23"/>
        <v>154.87000000000003</v>
      </c>
      <c r="AT180" s="2">
        <f t="shared" si="24"/>
        <v>90.4</v>
      </c>
      <c r="AU180" s="2">
        <f t="shared" si="25"/>
        <v>36.1</v>
      </c>
      <c r="AV180" s="27">
        <f t="shared" si="26"/>
        <v>0.81681410215019035</v>
      </c>
      <c r="AY180" s="2">
        <f t="shared" si="27"/>
        <v>1.87</v>
      </c>
      <c r="AZ180" s="2">
        <f t="shared" si="28"/>
        <v>1.87</v>
      </c>
      <c r="BA180" s="2">
        <f t="shared" si="29"/>
        <v>0</v>
      </c>
      <c r="BB180" s="2">
        <f t="shared" si="30"/>
        <v>0</v>
      </c>
      <c r="BC180" s="2">
        <f t="shared" si="31"/>
        <v>0</v>
      </c>
      <c r="BD180" s="2">
        <f t="shared" si="32"/>
        <v>0</v>
      </c>
    </row>
    <row r="181" spans="1:56" ht="15" customHeight="1" x14ac:dyDescent="0.45">
      <c r="A181" s="2" t="s">
        <v>440</v>
      </c>
      <c r="B181" s="2" t="s">
        <v>439</v>
      </c>
      <c r="C181" s="2">
        <v>2019</v>
      </c>
      <c r="D181" s="2" t="s">
        <v>49</v>
      </c>
      <c r="E181" s="2" t="s">
        <v>49</v>
      </c>
      <c r="F181" s="2" t="s">
        <v>49</v>
      </c>
      <c r="G181" s="2" t="s">
        <v>49</v>
      </c>
      <c r="H181" s="2" t="s">
        <v>49</v>
      </c>
      <c r="I181" s="2" t="s">
        <v>49</v>
      </c>
      <c r="J181" s="2" t="s">
        <v>49</v>
      </c>
      <c r="K181" s="2" t="s">
        <v>49</v>
      </c>
      <c r="L181" s="2" t="s">
        <v>49</v>
      </c>
      <c r="M181" s="2" t="s">
        <v>49</v>
      </c>
      <c r="N181" s="2" t="s">
        <v>49</v>
      </c>
      <c r="O181" s="2" t="s">
        <v>49</v>
      </c>
      <c r="P181" s="2" t="s">
        <v>49</v>
      </c>
      <c r="Q181" s="2" t="s">
        <v>49</v>
      </c>
      <c r="R181" s="2" t="s">
        <v>49</v>
      </c>
      <c r="S181" s="2" t="s">
        <v>49</v>
      </c>
      <c r="T181" s="2" t="s">
        <v>49</v>
      </c>
      <c r="U181" s="2" t="s">
        <v>49</v>
      </c>
      <c r="V181" s="2" t="s">
        <v>49</v>
      </c>
      <c r="W181" s="2" t="s">
        <v>49</v>
      </c>
      <c r="X181" s="2" t="s">
        <v>49</v>
      </c>
      <c r="Y181" s="2" t="s">
        <v>49</v>
      </c>
      <c r="Z181" s="2" t="s">
        <v>49</v>
      </c>
      <c r="AA181" s="2" t="s">
        <v>49</v>
      </c>
      <c r="AB181" s="2" t="s">
        <v>49</v>
      </c>
      <c r="AC181" s="2" t="s">
        <v>49</v>
      </c>
      <c r="AD181" s="2" t="s">
        <v>49</v>
      </c>
      <c r="AE181" s="2" t="s">
        <v>49</v>
      </c>
      <c r="AF181" s="2" t="s">
        <v>49</v>
      </c>
      <c r="AG181" s="2" t="s">
        <v>49</v>
      </c>
      <c r="AH181" s="2" t="s">
        <v>49</v>
      </c>
      <c r="AI181" s="2" t="s">
        <v>49</v>
      </c>
      <c r="AJ181" s="2" t="s">
        <v>49</v>
      </c>
      <c r="AK181" s="2" t="s">
        <v>49</v>
      </c>
      <c r="AL181" s="2" t="s">
        <v>49</v>
      </c>
      <c r="AM181" s="2" t="s">
        <v>49</v>
      </c>
      <c r="AN181" s="2" t="s">
        <v>49</v>
      </c>
      <c r="AO181" s="2" t="s">
        <v>49</v>
      </c>
      <c r="AQ181" s="2">
        <f t="shared" si="22"/>
        <v>0</v>
      </c>
      <c r="AR181" s="2">
        <f t="shared" si="23"/>
        <v>0</v>
      </c>
      <c r="AT181" s="2">
        <f t="shared" si="24"/>
        <v>0</v>
      </c>
      <c r="AU181" s="2">
        <f t="shared" si="25"/>
        <v>0</v>
      </c>
      <c r="AV181" s="27" t="str">
        <f t="shared" si="26"/>
        <v/>
      </c>
      <c r="AY181" s="2">
        <f t="shared" si="27"/>
        <v>0</v>
      </c>
      <c r="AZ181" s="2">
        <f t="shared" si="28"/>
        <v>0</v>
      </c>
      <c r="BA181" s="2">
        <f t="shared" si="29"/>
        <v>0</v>
      </c>
      <c r="BB181" s="2">
        <f t="shared" si="30"/>
        <v>0</v>
      </c>
      <c r="BC181" s="2">
        <f t="shared" si="31"/>
        <v>0</v>
      </c>
      <c r="BD181" s="2">
        <f t="shared" si="32"/>
        <v>0</v>
      </c>
    </row>
    <row r="182" spans="1:56" ht="15" customHeight="1" x14ac:dyDescent="0.45">
      <c r="A182" s="2" t="s">
        <v>438</v>
      </c>
      <c r="B182" s="2" t="s">
        <v>437</v>
      </c>
      <c r="C182" s="2">
        <v>2019</v>
      </c>
      <c r="D182" s="2" t="s">
        <v>49</v>
      </c>
      <c r="E182" s="2" t="s">
        <v>49</v>
      </c>
      <c r="F182" s="2" t="s">
        <v>49</v>
      </c>
      <c r="G182" s="2" t="s">
        <v>49</v>
      </c>
      <c r="H182" s="2" t="s">
        <v>49</v>
      </c>
      <c r="I182" s="2" t="s">
        <v>49</v>
      </c>
      <c r="J182" s="2" t="s">
        <v>49</v>
      </c>
      <c r="K182" s="2" t="s">
        <v>49</v>
      </c>
      <c r="L182" s="2" t="s">
        <v>49</v>
      </c>
      <c r="M182" s="2" t="s">
        <v>49</v>
      </c>
      <c r="N182" s="2" t="s">
        <v>49</v>
      </c>
      <c r="O182" s="2" t="s">
        <v>49</v>
      </c>
      <c r="P182" s="2" t="s">
        <v>49</v>
      </c>
      <c r="Q182" s="2" t="s">
        <v>49</v>
      </c>
      <c r="R182" s="2" t="s">
        <v>49</v>
      </c>
      <c r="S182" s="2" t="s">
        <v>49</v>
      </c>
      <c r="T182" s="2" t="s">
        <v>49</v>
      </c>
      <c r="U182" s="2" t="s">
        <v>49</v>
      </c>
      <c r="V182" s="2" t="s">
        <v>49</v>
      </c>
      <c r="W182" s="2" t="s">
        <v>49</v>
      </c>
      <c r="X182" s="2" t="s">
        <v>49</v>
      </c>
      <c r="Y182" s="2" t="s">
        <v>49</v>
      </c>
      <c r="Z182" s="2" t="s">
        <v>49</v>
      </c>
      <c r="AA182" s="2" t="s">
        <v>49</v>
      </c>
      <c r="AB182" s="2" t="s">
        <v>49</v>
      </c>
      <c r="AC182" s="2" t="s">
        <v>49</v>
      </c>
      <c r="AD182" s="2" t="s">
        <v>49</v>
      </c>
      <c r="AE182" s="2" t="s">
        <v>49</v>
      </c>
      <c r="AF182" s="2" t="s">
        <v>49</v>
      </c>
      <c r="AG182" s="2" t="s">
        <v>49</v>
      </c>
      <c r="AH182" s="2" t="s">
        <v>49</v>
      </c>
      <c r="AI182" s="2" t="s">
        <v>49</v>
      </c>
      <c r="AJ182" s="2" t="s">
        <v>49</v>
      </c>
      <c r="AK182" s="2" t="s">
        <v>49</v>
      </c>
      <c r="AL182" s="2" t="s">
        <v>49</v>
      </c>
      <c r="AM182" s="2" t="s">
        <v>49</v>
      </c>
      <c r="AN182" s="2" t="s">
        <v>49</v>
      </c>
      <c r="AO182" s="2" t="s">
        <v>49</v>
      </c>
      <c r="AQ182" s="2">
        <f t="shared" si="22"/>
        <v>0</v>
      </c>
      <c r="AR182" s="2">
        <f t="shared" si="23"/>
        <v>0</v>
      </c>
      <c r="AT182" s="2">
        <f t="shared" si="24"/>
        <v>0</v>
      </c>
      <c r="AU182" s="2">
        <f t="shared" si="25"/>
        <v>0</v>
      </c>
      <c r="AV182" s="27" t="str">
        <f t="shared" si="26"/>
        <v/>
      </c>
      <c r="AY182" s="2">
        <f t="shared" si="27"/>
        <v>0</v>
      </c>
      <c r="AZ182" s="2">
        <f t="shared" si="28"/>
        <v>0</v>
      </c>
      <c r="BA182" s="2">
        <f t="shared" si="29"/>
        <v>0</v>
      </c>
      <c r="BB182" s="2">
        <f t="shared" si="30"/>
        <v>0</v>
      </c>
      <c r="BC182" s="2">
        <f t="shared" si="31"/>
        <v>0</v>
      </c>
      <c r="BD182" s="2">
        <f t="shared" si="32"/>
        <v>0</v>
      </c>
    </row>
    <row r="183" spans="1:56" ht="15" customHeight="1" x14ac:dyDescent="0.45">
      <c r="A183" s="2" t="s">
        <v>432</v>
      </c>
      <c r="B183" s="2" t="s">
        <v>436</v>
      </c>
      <c r="C183" s="2">
        <v>2019</v>
      </c>
      <c r="D183" s="2" t="s">
        <v>146</v>
      </c>
      <c r="E183" s="2" t="s">
        <v>146</v>
      </c>
      <c r="F183" s="2" t="s">
        <v>146</v>
      </c>
      <c r="G183" s="2" t="s">
        <v>146</v>
      </c>
      <c r="H183" s="2" t="s">
        <v>146</v>
      </c>
      <c r="I183" s="2" t="s">
        <v>146</v>
      </c>
      <c r="J183" s="2" t="s">
        <v>146</v>
      </c>
      <c r="K183" s="2" t="s">
        <v>146</v>
      </c>
      <c r="L183" s="2" t="s">
        <v>146</v>
      </c>
      <c r="M183" s="2" t="s">
        <v>146</v>
      </c>
      <c r="N183" s="2" t="s">
        <v>146</v>
      </c>
      <c r="O183" s="2" t="s">
        <v>146</v>
      </c>
      <c r="P183" s="2" t="s">
        <v>146</v>
      </c>
      <c r="Q183" s="2" t="s">
        <v>146</v>
      </c>
      <c r="R183" s="2" t="s">
        <v>146</v>
      </c>
      <c r="S183" s="2" t="s">
        <v>146</v>
      </c>
      <c r="T183" s="2" t="s">
        <v>146</v>
      </c>
      <c r="U183" s="2" t="s">
        <v>146</v>
      </c>
      <c r="V183" s="2" t="s">
        <v>146</v>
      </c>
      <c r="W183" s="2" t="s">
        <v>146</v>
      </c>
      <c r="X183" s="2" t="s">
        <v>146</v>
      </c>
      <c r="Y183" s="2" t="s">
        <v>146</v>
      </c>
      <c r="Z183" s="2" t="s">
        <v>146</v>
      </c>
      <c r="AA183" s="2" t="s">
        <v>146</v>
      </c>
      <c r="AB183" s="2" t="s">
        <v>146</v>
      </c>
      <c r="AC183" s="2" t="s">
        <v>146</v>
      </c>
      <c r="AD183" s="2" t="s">
        <v>146</v>
      </c>
      <c r="AE183" s="2" t="s">
        <v>146</v>
      </c>
      <c r="AF183" s="2" t="s">
        <v>146</v>
      </c>
      <c r="AG183" s="2" t="s">
        <v>146</v>
      </c>
      <c r="AH183" s="2" t="s">
        <v>146</v>
      </c>
      <c r="AI183" s="2" t="s">
        <v>146</v>
      </c>
      <c r="AJ183" s="2" t="s">
        <v>146</v>
      </c>
      <c r="AK183" s="2" t="s">
        <v>146</v>
      </c>
      <c r="AL183" s="2" t="s">
        <v>146</v>
      </c>
      <c r="AM183" s="2" t="s">
        <v>146</v>
      </c>
      <c r="AN183" s="2" t="s">
        <v>146</v>
      </c>
      <c r="AO183" s="2" t="s">
        <v>146</v>
      </c>
      <c r="AQ183" s="2">
        <f t="shared" si="22"/>
        <v>0</v>
      </c>
      <c r="AR183" s="2">
        <f t="shared" si="23"/>
        <v>0</v>
      </c>
      <c r="AT183" s="2">
        <f t="shared" si="24"/>
        <v>0</v>
      </c>
      <c r="AU183" s="2">
        <f t="shared" si="25"/>
        <v>0</v>
      </c>
      <c r="AV183" s="27" t="str">
        <f t="shared" si="26"/>
        <v/>
      </c>
      <c r="AY183" s="2">
        <f t="shared" si="27"/>
        <v>0</v>
      </c>
      <c r="AZ183" s="2">
        <f t="shared" si="28"/>
        <v>0</v>
      </c>
      <c r="BA183" s="2">
        <f t="shared" si="29"/>
        <v>0</v>
      </c>
      <c r="BB183" s="2">
        <f t="shared" si="30"/>
        <v>0</v>
      </c>
      <c r="BC183" s="2">
        <f t="shared" si="31"/>
        <v>0</v>
      </c>
      <c r="BD183" s="2">
        <f t="shared" si="32"/>
        <v>0</v>
      </c>
    </row>
    <row r="184" spans="1:56" ht="15" customHeight="1" x14ac:dyDescent="0.45">
      <c r="A184" s="2" t="s">
        <v>432</v>
      </c>
      <c r="B184" s="2" t="s">
        <v>435</v>
      </c>
      <c r="C184" s="2">
        <v>2019</v>
      </c>
      <c r="D184" s="2" t="s">
        <v>146</v>
      </c>
      <c r="E184" s="2" t="s">
        <v>146</v>
      </c>
      <c r="F184" s="2" t="s">
        <v>146</v>
      </c>
      <c r="G184" s="2" t="s">
        <v>146</v>
      </c>
      <c r="H184" s="2" t="s">
        <v>146</v>
      </c>
      <c r="I184" s="2" t="s">
        <v>146</v>
      </c>
      <c r="J184" s="2" t="s">
        <v>146</v>
      </c>
      <c r="K184" s="2" t="s">
        <v>146</v>
      </c>
      <c r="L184" s="2" t="s">
        <v>146</v>
      </c>
      <c r="M184" s="2" t="s">
        <v>146</v>
      </c>
      <c r="N184" s="2" t="s">
        <v>146</v>
      </c>
      <c r="O184" s="2" t="s">
        <v>146</v>
      </c>
      <c r="P184" s="2" t="s">
        <v>146</v>
      </c>
      <c r="Q184" s="2" t="s">
        <v>146</v>
      </c>
      <c r="R184" s="2" t="s">
        <v>146</v>
      </c>
      <c r="S184" s="2" t="s">
        <v>146</v>
      </c>
      <c r="T184" s="2" t="s">
        <v>146</v>
      </c>
      <c r="U184" s="2" t="s">
        <v>146</v>
      </c>
      <c r="V184" s="2" t="s">
        <v>146</v>
      </c>
      <c r="W184" s="2" t="s">
        <v>146</v>
      </c>
      <c r="X184" s="2" t="s">
        <v>146</v>
      </c>
      <c r="Y184" s="2" t="s">
        <v>146</v>
      </c>
      <c r="Z184" s="2" t="s">
        <v>146</v>
      </c>
      <c r="AA184" s="2" t="s">
        <v>146</v>
      </c>
      <c r="AB184" s="2" t="s">
        <v>146</v>
      </c>
      <c r="AC184" s="2" t="s">
        <v>146</v>
      </c>
      <c r="AD184" s="2" t="s">
        <v>146</v>
      </c>
      <c r="AE184" s="2" t="s">
        <v>146</v>
      </c>
      <c r="AF184" s="2" t="s">
        <v>146</v>
      </c>
      <c r="AG184" s="2" t="s">
        <v>146</v>
      </c>
      <c r="AH184" s="2" t="s">
        <v>146</v>
      </c>
      <c r="AI184" s="2" t="s">
        <v>146</v>
      </c>
      <c r="AJ184" s="2" t="s">
        <v>146</v>
      </c>
      <c r="AK184" s="2" t="s">
        <v>146</v>
      </c>
      <c r="AL184" s="2" t="s">
        <v>146</v>
      </c>
      <c r="AM184" s="2" t="s">
        <v>146</v>
      </c>
      <c r="AN184" s="2" t="s">
        <v>146</v>
      </c>
      <c r="AO184" s="2" t="s">
        <v>146</v>
      </c>
      <c r="AQ184" s="2">
        <f t="shared" si="22"/>
        <v>0</v>
      </c>
      <c r="AR184" s="2">
        <f t="shared" si="23"/>
        <v>0</v>
      </c>
      <c r="AT184" s="2">
        <f t="shared" si="24"/>
        <v>0</v>
      </c>
      <c r="AU184" s="2">
        <f t="shared" si="25"/>
        <v>0</v>
      </c>
      <c r="AV184" s="27" t="str">
        <f t="shared" si="26"/>
        <v/>
      </c>
      <c r="AY184" s="2">
        <f t="shared" si="27"/>
        <v>0</v>
      </c>
      <c r="AZ184" s="2">
        <f t="shared" si="28"/>
        <v>0</v>
      </c>
      <c r="BA184" s="2">
        <f t="shared" si="29"/>
        <v>0</v>
      </c>
      <c r="BB184" s="2">
        <f t="shared" si="30"/>
        <v>0</v>
      </c>
      <c r="BC184" s="2">
        <f t="shared" si="31"/>
        <v>0</v>
      </c>
      <c r="BD184" s="2">
        <f t="shared" si="32"/>
        <v>0</v>
      </c>
    </row>
    <row r="185" spans="1:56" ht="15" customHeight="1" x14ac:dyDescent="0.45">
      <c r="A185" s="2" t="s">
        <v>432</v>
      </c>
      <c r="B185" s="2" t="s">
        <v>434</v>
      </c>
      <c r="C185" s="2">
        <v>2019</v>
      </c>
      <c r="D185" s="2">
        <v>1189.4100000000001</v>
      </c>
      <c r="E185" s="2">
        <v>499.4</v>
      </c>
      <c r="F185" s="2">
        <v>4.38</v>
      </c>
      <c r="G185" s="2" t="s">
        <v>726</v>
      </c>
      <c r="H185" s="2">
        <v>19.21</v>
      </c>
      <c r="I185" s="2">
        <v>1827.98</v>
      </c>
      <c r="J185" s="2">
        <v>109.36</v>
      </c>
      <c r="K185" s="2">
        <v>2.78</v>
      </c>
      <c r="L185" s="2" t="s">
        <v>146</v>
      </c>
      <c r="M185" s="2" t="s">
        <v>146</v>
      </c>
      <c r="N185" s="2" t="s">
        <v>146</v>
      </c>
      <c r="O185" s="2" t="s">
        <v>146</v>
      </c>
      <c r="P185" s="2" t="s">
        <v>146</v>
      </c>
      <c r="Q185" s="2">
        <v>120.14</v>
      </c>
      <c r="R185" s="2">
        <v>66.73</v>
      </c>
      <c r="S185" s="2">
        <v>173.26</v>
      </c>
      <c r="T185" s="2">
        <v>120.25</v>
      </c>
      <c r="U185" s="2">
        <v>5.59</v>
      </c>
      <c r="V185" s="2" t="s">
        <v>146</v>
      </c>
      <c r="W185" s="2" t="s">
        <v>433</v>
      </c>
      <c r="X185" s="2" t="s">
        <v>146</v>
      </c>
      <c r="Y185" s="2" t="s">
        <v>146</v>
      </c>
      <c r="Z185" s="2" t="s">
        <v>146</v>
      </c>
      <c r="AA185" s="2">
        <v>195.89</v>
      </c>
      <c r="AB185" s="2">
        <v>0.19</v>
      </c>
      <c r="AC185" s="2" t="s">
        <v>146</v>
      </c>
      <c r="AD185" s="2" t="s">
        <v>146</v>
      </c>
      <c r="AE185" s="2">
        <v>85.47</v>
      </c>
      <c r="AF185" s="2">
        <v>948.32</v>
      </c>
      <c r="AG185" s="2" t="s">
        <v>146</v>
      </c>
      <c r="AH185" s="2" t="s">
        <v>233</v>
      </c>
      <c r="AI185" s="2">
        <v>0.53600000000000003</v>
      </c>
      <c r="AJ185" s="2" t="s">
        <v>146</v>
      </c>
      <c r="AK185" s="2" t="s">
        <v>146</v>
      </c>
      <c r="AL185" s="2" t="s">
        <v>146</v>
      </c>
      <c r="AM185" s="2" t="s">
        <v>146</v>
      </c>
      <c r="AN185" s="2" t="s">
        <v>146</v>
      </c>
      <c r="AO185" s="2" t="s">
        <v>146</v>
      </c>
      <c r="AQ185" s="2">
        <f t="shared" si="22"/>
        <v>1827.98</v>
      </c>
      <c r="AR185" s="2">
        <f t="shared" si="23"/>
        <v>1827.98</v>
      </c>
      <c r="AT185" s="2">
        <f t="shared" si="24"/>
        <v>1189.4100000000001</v>
      </c>
      <c r="AU185" s="2">
        <f t="shared" si="25"/>
        <v>499.4</v>
      </c>
      <c r="AV185" s="27">
        <f t="shared" si="26"/>
        <v>0.92386678191227467</v>
      </c>
      <c r="AY185" s="2">
        <f t="shared" si="27"/>
        <v>0</v>
      </c>
      <c r="AZ185" s="2">
        <f t="shared" si="28"/>
        <v>0</v>
      </c>
      <c r="BA185" s="2">
        <f t="shared" si="29"/>
        <v>0</v>
      </c>
      <c r="BB185" s="2">
        <f t="shared" si="30"/>
        <v>0</v>
      </c>
      <c r="BC185" s="2">
        <f t="shared" si="31"/>
        <v>0</v>
      </c>
      <c r="BD185" s="2">
        <f t="shared" si="32"/>
        <v>0</v>
      </c>
    </row>
    <row r="186" spans="1:56" ht="15" customHeight="1" x14ac:dyDescent="0.45">
      <c r="A186" s="2" t="s">
        <v>432</v>
      </c>
      <c r="B186" s="2" t="s">
        <v>431</v>
      </c>
      <c r="C186" s="2">
        <v>2019</v>
      </c>
      <c r="D186" s="2">
        <v>45.22</v>
      </c>
      <c r="E186" s="2">
        <v>18.98</v>
      </c>
      <c r="F186" s="2" t="s">
        <v>146</v>
      </c>
      <c r="G186" s="2" t="s">
        <v>146</v>
      </c>
      <c r="H186" s="2" t="s">
        <v>146</v>
      </c>
      <c r="I186" s="2">
        <v>68.2</v>
      </c>
      <c r="J186" s="2">
        <v>3.47</v>
      </c>
      <c r="K186" s="2">
        <v>0.6</v>
      </c>
      <c r="L186" s="2" t="s">
        <v>146</v>
      </c>
      <c r="M186" s="2">
        <v>0.16</v>
      </c>
      <c r="N186" s="2" t="s">
        <v>146</v>
      </c>
      <c r="O186" s="2" t="s">
        <v>146</v>
      </c>
      <c r="P186" s="2" t="s">
        <v>146</v>
      </c>
      <c r="Q186" s="2">
        <v>4.51</v>
      </c>
      <c r="R186" s="2">
        <v>2.5</v>
      </c>
      <c r="S186" s="2">
        <v>6.5</v>
      </c>
      <c r="T186" s="2">
        <v>4.51</v>
      </c>
      <c r="U186" s="2">
        <v>0.21</v>
      </c>
      <c r="V186" s="2" t="s">
        <v>146</v>
      </c>
      <c r="W186" s="2" t="s">
        <v>433</v>
      </c>
      <c r="X186" s="2" t="s">
        <v>146</v>
      </c>
      <c r="Y186" s="2" t="s">
        <v>146</v>
      </c>
      <c r="Z186" s="2" t="s">
        <v>146</v>
      </c>
      <c r="AA186" s="2">
        <v>8.33</v>
      </c>
      <c r="AB186" s="2">
        <v>0.37</v>
      </c>
      <c r="AC186" s="2" t="s">
        <v>146</v>
      </c>
      <c r="AD186" s="2" t="s">
        <v>146</v>
      </c>
      <c r="AE186" s="2">
        <v>2.71</v>
      </c>
      <c r="AF186" s="2">
        <v>34.33</v>
      </c>
      <c r="AG186" s="2" t="s">
        <v>146</v>
      </c>
      <c r="AH186" s="2" t="s">
        <v>233</v>
      </c>
      <c r="AI186" s="2">
        <v>0.53600000000000003</v>
      </c>
      <c r="AJ186" s="2" t="s">
        <v>146</v>
      </c>
      <c r="AK186" s="2" t="s">
        <v>146</v>
      </c>
      <c r="AL186" s="2" t="s">
        <v>146</v>
      </c>
      <c r="AM186" s="2" t="s">
        <v>146</v>
      </c>
      <c r="AN186" s="2" t="s">
        <v>146</v>
      </c>
      <c r="AO186" s="2" t="s">
        <v>146</v>
      </c>
      <c r="AQ186" s="2">
        <f t="shared" si="22"/>
        <v>68.199999999999989</v>
      </c>
      <c r="AR186" s="2">
        <f t="shared" si="23"/>
        <v>68.199999999999989</v>
      </c>
      <c r="AT186" s="2">
        <f t="shared" si="24"/>
        <v>45.22</v>
      </c>
      <c r="AU186" s="2">
        <f t="shared" si="25"/>
        <v>18.98</v>
      </c>
      <c r="AV186" s="27">
        <f t="shared" si="26"/>
        <v>0.94134897360703829</v>
      </c>
      <c r="AY186" s="2">
        <f t="shared" si="27"/>
        <v>0</v>
      </c>
      <c r="AZ186" s="2">
        <f t="shared" si="28"/>
        <v>0</v>
      </c>
      <c r="BA186" s="2">
        <f t="shared" si="29"/>
        <v>0</v>
      </c>
      <c r="BB186" s="2">
        <f t="shared" si="30"/>
        <v>0</v>
      </c>
      <c r="BC186" s="2">
        <f t="shared" si="31"/>
        <v>0</v>
      </c>
      <c r="BD186" s="2">
        <f t="shared" si="32"/>
        <v>0</v>
      </c>
    </row>
    <row r="187" spans="1:56" ht="15" customHeight="1" x14ac:dyDescent="0.45">
      <c r="A187" s="2" t="s">
        <v>428</v>
      </c>
      <c r="B187" s="2" t="s">
        <v>430</v>
      </c>
      <c r="C187" s="2">
        <v>2019</v>
      </c>
      <c r="D187" s="2">
        <v>222.88399999999999</v>
      </c>
      <c r="E187" s="2">
        <v>101.744</v>
      </c>
      <c r="F187" s="2" t="s">
        <v>146</v>
      </c>
      <c r="G187" s="2" t="s">
        <v>146</v>
      </c>
      <c r="H187" s="2" t="s">
        <v>146</v>
      </c>
      <c r="I187" s="2">
        <v>498.077</v>
      </c>
      <c r="J187" s="2" t="s">
        <v>146</v>
      </c>
      <c r="K187" s="2">
        <v>0</v>
      </c>
      <c r="L187" s="2" t="s">
        <v>146</v>
      </c>
      <c r="M187" s="2" t="s">
        <v>146</v>
      </c>
      <c r="N187" s="2" t="s">
        <v>146</v>
      </c>
      <c r="O187" s="2" t="s">
        <v>146</v>
      </c>
      <c r="P187" s="2" t="s">
        <v>146</v>
      </c>
      <c r="Q187" s="2">
        <v>47.274000000000001</v>
      </c>
      <c r="R187" s="2">
        <v>141.589</v>
      </c>
      <c r="S187" s="2">
        <v>15.378</v>
      </c>
      <c r="T187" s="2" t="s">
        <v>146</v>
      </c>
      <c r="U187" s="2" t="s">
        <v>146</v>
      </c>
      <c r="V187" s="2" t="s">
        <v>146</v>
      </c>
      <c r="W187" s="2" t="s">
        <v>146</v>
      </c>
      <c r="X187" s="2" t="s">
        <v>146</v>
      </c>
      <c r="Y187" s="2" t="s">
        <v>146</v>
      </c>
      <c r="Z187" s="2" t="s">
        <v>146</v>
      </c>
      <c r="AA187" s="2">
        <v>193.24299999999999</v>
      </c>
      <c r="AB187" s="2" t="s">
        <v>146</v>
      </c>
      <c r="AC187" s="2">
        <v>0.13900000000000001</v>
      </c>
      <c r="AD187" s="2" t="s">
        <v>146</v>
      </c>
      <c r="AE187" s="2" t="s">
        <v>146</v>
      </c>
      <c r="AF187" s="2" t="s">
        <v>146</v>
      </c>
      <c r="AG187" s="2" t="s">
        <v>146</v>
      </c>
      <c r="AH187" s="2" t="s">
        <v>146</v>
      </c>
      <c r="AI187" s="2" t="s">
        <v>146</v>
      </c>
      <c r="AJ187" s="2" t="s">
        <v>146</v>
      </c>
      <c r="AK187" s="2">
        <v>100.45399999999999</v>
      </c>
      <c r="AL187" s="2">
        <v>100</v>
      </c>
      <c r="AM187" s="2">
        <v>0</v>
      </c>
      <c r="AN187" s="2">
        <v>0</v>
      </c>
      <c r="AO187" s="2">
        <v>0</v>
      </c>
      <c r="AQ187" s="2">
        <f t="shared" si="22"/>
        <v>397.62299999999999</v>
      </c>
      <c r="AR187" s="2">
        <f t="shared" si="23"/>
        <v>498.077</v>
      </c>
      <c r="AT187" s="2">
        <f t="shared" si="24"/>
        <v>222.88399999999999</v>
      </c>
      <c r="AU187" s="2">
        <f t="shared" si="25"/>
        <v>101.744</v>
      </c>
      <c r="AV187" s="27">
        <f t="shared" si="26"/>
        <v>0.65176267926445108</v>
      </c>
      <c r="AY187" s="2">
        <f t="shared" si="27"/>
        <v>100.45399999999999</v>
      </c>
      <c r="AZ187" s="2">
        <f t="shared" si="28"/>
        <v>100.45399999999999</v>
      </c>
      <c r="BA187" s="2">
        <f t="shared" si="29"/>
        <v>0</v>
      </c>
      <c r="BB187" s="2">
        <f t="shared" si="30"/>
        <v>0</v>
      </c>
      <c r="BC187" s="2">
        <f t="shared" si="31"/>
        <v>0</v>
      </c>
      <c r="BD187" s="2">
        <f t="shared" si="32"/>
        <v>0</v>
      </c>
    </row>
    <row r="188" spans="1:56" ht="15" customHeight="1" x14ac:dyDescent="0.45">
      <c r="A188" s="2" t="s">
        <v>428</v>
      </c>
      <c r="B188" s="2" t="s">
        <v>429</v>
      </c>
      <c r="C188" s="2">
        <v>2019</v>
      </c>
      <c r="D188" s="2">
        <v>45.006</v>
      </c>
      <c r="E188" s="2">
        <v>20.544</v>
      </c>
      <c r="F188" s="2" t="s">
        <v>146</v>
      </c>
      <c r="G188" s="2" t="s">
        <v>146</v>
      </c>
      <c r="H188" s="2" t="s">
        <v>146</v>
      </c>
      <c r="I188" s="2">
        <v>100.5736</v>
      </c>
      <c r="J188" s="2" t="s">
        <v>146</v>
      </c>
      <c r="K188" s="2" t="s">
        <v>146</v>
      </c>
      <c r="L188" s="2" t="s">
        <v>146</v>
      </c>
      <c r="M188" s="2" t="s">
        <v>146</v>
      </c>
      <c r="N188" s="2" t="s">
        <v>146</v>
      </c>
      <c r="O188" s="2" t="s">
        <v>146</v>
      </c>
      <c r="P188" s="2" t="s">
        <v>146</v>
      </c>
      <c r="Q188" s="2">
        <v>80.289599999999993</v>
      </c>
      <c r="R188" s="2" t="s">
        <v>146</v>
      </c>
      <c r="S188" s="2" t="s">
        <v>146</v>
      </c>
      <c r="T188" s="2" t="s">
        <v>146</v>
      </c>
      <c r="U188" s="2" t="s">
        <v>146</v>
      </c>
      <c r="V188" s="2" t="s">
        <v>146</v>
      </c>
      <c r="W188" s="2" t="s">
        <v>146</v>
      </c>
      <c r="X188" s="2" t="s">
        <v>146</v>
      </c>
      <c r="Y188" s="2" t="s">
        <v>146</v>
      </c>
      <c r="Z188" s="2" t="s">
        <v>146</v>
      </c>
      <c r="AA188" s="2" t="s">
        <v>146</v>
      </c>
      <c r="AB188" s="2" t="s">
        <v>146</v>
      </c>
      <c r="AC188" s="2" t="s">
        <v>146</v>
      </c>
      <c r="AD188" s="2" t="s">
        <v>146</v>
      </c>
      <c r="AE188" s="2" t="s">
        <v>146</v>
      </c>
      <c r="AF188" s="2" t="s">
        <v>146</v>
      </c>
      <c r="AG188" s="2" t="s">
        <v>146</v>
      </c>
      <c r="AH188" s="2" t="s">
        <v>146</v>
      </c>
      <c r="AI188" s="2" t="s">
        <v>146</v>
      </c>
      <c r="AJ188" s="2" t="s">
        <v>146</v>
      </c>
      <c r="AK188" s="2">
        <v>20.283999999999999</v>
      </c>
      <c r="AL188" s="2">
        <v>100</v>
      </c>
      <c r="AM188" s="2">
        <v>0</v>
      </c>
      <c r="AN188" s="2">
        <v>0</v>
      </c>
      <c r="AO188" s="2">
        <v>0</v>
      </c>
      <c r="AQ188" s="2">
        <f t="shared" si="22"/>
        <v>80.289599999999993</v>
      </c>
      <c r="AR188" s="2">
        <f t="shared" si="23"/>
        <v>100.5736</v>
      </c>
      <c r="AT188" s="2">
        <f t="shared" si="24"/>
        <v>45.006</v>
      </c>
      <c r="AU188" s="2">
        <f t="shared" si="25"/>
        <v>20.544</v>
      </c>
      <c r="AV188" s="27">
        <f t="shared" si="26"/>
        <v>0.65176149605860778</v>
      </c>
      <c r="AY188" s="2">
        <f t="shared" si="27"/>
        <v>20.283999999999999</v>
      </c>
      <c r="AZ188" s="2">
        <f t="shared" si="28"/>
        <v>20.283999999999999</v>
      </c>
      <c r="BA188" s="2">
        <f t="shared" si="29"/>
        <v>0</v>
      </c>
      <c r="BB188" s="2">
        <f t="shared" si="30"/>
        <v>0</v>
      </c>
      <c r="BC188" s="2">
        <f t="shared" si="31"/>
        <v>0</v>
      </c>
      <c r="BD188" s="2">
        <f t="shared" si="32"/>
        <v>0</v>
      </c>
    </row>
    <row r="189" spans="1:56" ht="15" customHeight="1" x14ac:dyDescent="0.45">
      <c r="A189" s="2" t="s">
        <v>428</v>
      </c>
      <c r="B189" s="2" t="s">
        <v>427</v>
      </c>
      <c r="C189" s="2">
        <v>2019</v>
      </c>
      <c r="D189" s="2" t="s">
        <v>49</v>
      </c>
      <c r="E189" s="2" t="s">
        <v>49</v>
      </c>
      <c r="F189" s="2" t="s">
        <v>49</v>
      </c>
      <c r="G189" s="2" t="s">
        <v>49</v>
      </c>
      <c r="H189" s="2" t="s">
        <v>49</v>
      </c>
      <c r="I189" s="2" t="s">
        <v>49</v>
      </c>
      <c r="J189" s="2" t="s">
        <v>49</v>
      </c>
      <c r="K189" s="2" t="s">
        <v>49</v>
      </c>
      <c r="L189" s="2" t="s">
        <v>49</v>
      </c>
      <c r="M189" s="2" t="s">
        <v>49</v>
      </c>
      <c r="N189" s="2" t="s">
        <v>49</v>
      </c>
      <c r="O189" s="2" t="s">
        <v>49</v>
      </c>
      <c r="P189" s="2" t="s">
        <v>49</v>
      </c>
      <c r="Q189" s="2" t="s">
        <v>49</v>
      </c>
      <c r="R189" s="2" t="s">
        <v>49</v>
      </c>
      <c r="S189" s="2" t="s">
        <v>49</v>
      </c>
      <c r="T189" s="2" t="s">
        <v>49</v>
      </c>
      <c r="U189" s="2" t="s">
        <v>49</v>
      </c>
      <c r="V189" s="2" t="s">
        <v>49</v>
      </c>
      <c r="W189" s="2" t="s">
        <v>49</v>
      </c>
      <c r="X189" s="2" t="s">
        <v>49</v>
      </c>
      <c r="Y189" s="2" t="s">
        <v>49</v>
      </c>
      <c r="Z189" s="2" t="s">
        <v>49</v>
      </c>
      <c r="AA189" s="2" t="s">
        <v>49</v>
      </c>
      <c r="AB189" s="2" t="s">
        <v>49</v>
      </c>
      <c r="AC189" s="2" t="s">
        <v>49</v>
      </c>
      <c r="AD189" s="2" t="s">
        <v>49</v>
      </c>
      <c r="AE189" s="2" t="s">
        <v>49</v>
      </c>
      <c r="AF189" s="2" t="s">
        <v>49</v>
      </c>
      <c r="AG189" s="2" t="s">
        <v>49</v>
      </c>
      <c r="AH189" s="2" t="s">
        <v>49</v>
      </c>
      <c r="AI189" s="2" t="s">
        <v>49</v>
      </c>
      <c r="AJ189" s="2" t="s">
        <v>49</v>
      </c>
      <c r="AK189" s="2" t="s">
        <v>49</v>
      </c>
      <c r="AL189" s="2" t="s">
        <v>49</v>
      </c>
      <c r="AM189" s="2" t="s">
        <v>49</v>
      </c>
      <c r="AN189" s="2" t="s">
        <v>49</v>
      </c>
      <c r="AO189" s="2" t="s">
        <v>49</v>
      </c>
      <c r="AQ189" s="2">
        <f t="shared" si="22"/>
        <v>0</v>
      </c>
      <c r="AR189" s="2">
        <f t="shared" si="23"/>
        <v>0</v>
      </c>
      <c r="AT189" s="2">
        <f t="shared" si="24"/>
        <v>0</v>
      </c>
      <c r="AU189" s="2">
        <f t="shared" si="25"/>
        <v>0</v>
      </c>
      <c r="AV189" s="27" t="str">
        <f t="shared" si="26"/>
        <v/>
      </c>
      <c r="AY189" s="2">
        <f t="shared" si="27"/>
        <v>0</v>
      </c>
      <c r="AZ189" s="2">
        <f t="shared" si="28"/>
        <v>0</v>
      </c>
      <c r="BA189" s="2">
        <f t="shared" si="29"/>
        <v>0</v>
      </c>
      <c r="BB189" s="2">
        <f t="shared" si="30"/>
        <v>0</v>
      </c>
      <c r="BC189" s="2">
        <f t="shared" si="31"/>
        <v>0</v>
      </c>
      <c r="BD189" s="2">
        <f t="shared" si="32"/>
        <v>0</v>
      </c>
    </row>
    <row r="190" spans="1:56" ht="15" customHeight="1" x14ac:dyDescent="0.45">
      <c r="A190" s="2" t="s">
        <v>418</v>
      </c>
      <c r="B190" s="2" t="s">
        <v>426</v>
      </c>
      <c r="C190" s="2">
        <v>2019</v>
      </c>
      <c r="D190" s="2" t="s">
        <v>146</v>
      </c>
      <c r="E190" s="2" t="s">
        <v>146</v>
      </c>
      <c r="F190" s="2" t="s">
        <v>146</v>
      </c>
      <c r="G190" s="2" t="s">
        <v>146</v>
      </c>
      <c r="H190" s="2" t="s">
        <v>146</v>
      </c>
      <c r="I190" s="2" t="s">
        <v>146</v>
      </c>
      <c r="J190" s="2" t="s">
        <v>146</v>
      </c>
      <c r="K190" s="2" t="s">
        <v>146</v>
      </c>
      <c r="L190" s="2" t="s">
        <v>146</v>
      </c>
      <c r="M190" s="2" t="s">
        <v>146</v>
      </c>
      <c r="N190" s="2" t="s">
        <v>146</v>
      </c>
      <c r="O190" s="2" t="s">
        <v>146</v>
      </c>
      <c r="P190" s="2" t="s">
        <v>146</v>
      </c>
      <c r="Q190" s="2" t="s">
        <v>146</v>
      </c>
      <c r="R190" s="2" t="s">
        <v>146</v>
      </c>
      <c r="S190" s="2" t="s">
        <v>146</v>
      </c>
      <c r="T190" s="2" t="s">
        <v>146</v>
      </c>
      <c r="U190" s="2" t="s">
        <v>146</v>
      </c>
      <c r="V190" s="2" t="s">
        <v>146</v>
      </c>
      <c r="W190" s="2" t="s">
        <v>146</v>
      </c>
      <c r="X190" s="2" t="s">
        <v>146</v>
      </c>
      <c r="Y190" s="2" t="s">
        <v>146</v>
      </c>
      <c r="Z190" s="2" t="s">
        <v>146</v>
      </c>
      <c r="AA190" s="2" t="s">
        <v>146</v>
      </c>
      <c r="AB190" s="2" t="s">
        <v>146</v>
      </c>
      <c r="AC190" s="2" t="s">
        <v>146</v>
      </c>
      <c r="AD190" s="2" t="s">
        <v>146</v>
      </c>
      <c r="AE190" s="2" t="s">
        <v>146</v>
      </c>
      <c r="AF190" s="2" t="s">
        <v>146</v>
      </c>
      <c r="AG190" s="2" t="s">
        <v>146</v>
      </c>
      <c r="AH190" s="2" t="s">
        <v>146</v>
      </c>
      <c r="AI190" s="2" t="s">
        <v>146</v>
      </c>
      <c r="AJ190" s="2" t="s">
        <v>146</v>
      </c>
      <c r="AK190" s="2" t="s">
        <v>146</v>
      </c>
      <c r="AL190" s="2" t="s">
        <v>146</v>
      </c>
      <c r="AM190" s="2" t="s">
        <v>146</v>
      </c>
      <c r="AN190" s="2" t="s">
        <v>146</v>
      </c>
      <c r="AO190" s="2" t="s">
        <v>146</v>
      </c>
      <c r="AQ190" s="2">
        <f t="shared" si="22"/>
        <v>0</v>
      </c>
      <c r="AR190" s="2">
        <f t="shared" si="23"/>
        <v>0</v>
      </c>
      <c r="AT190" s="2">
        <f t="shared" si="24"/>
        <v>0</v>
      </c>
      <c r="AU190" s="2">
        <f t="shared" si="25"/>
        <v>0</v>
      </c>
      <c r="AV190" s="27" t="str">
        <f t="shared" si="26"/>
        <v/>
      </c>
      <c r="AY190" s="2">
        <f t="shared" si="27"/>
        <v>0</v>
      </c>
      <c r="AZ190" s="2">
        <f t="shared" si="28"/>
        <v>0</v>
      </c>
      <c r="BA190" s="2">
        <f t="shared" si="29"/>
        <v>0</v>
      </c>
      <c r="BB190" s="2">
        <f t="shared" si="30"/>
        <v>0</v>
      </c>
      <c r="BC190" s="2">
        <f t="shared" si="31"/>
        <v>0</v>
      </c>
      <c r="BD190" s="2">
        <f t="shared" si="32"/>
        <v>0</v>
      </c>
    </row>
    <row r="191" spans="1:56" ht="15" customHeight="1" x14ac:dyDescent="0.45">
      <c r="A191" s="2" t="s">
        <v>418</v>
      </c>
      <c r="B191" s="2" t="s">
        <v>424</v>
      </c>
      <c r="C191" s="2">
        <v>2019</v>
      </c>
      <c r="D191" s="2" t="s">
        <v>146</v>
      </c>
      <c r="E191" s="2" t="s">
        <v>146</v>
      </c>
      <c r="F191" s="2" t="s">
        <v>146</v>
      </c>
      <c r="G191" s="2" t="s">
        <v>146</v>
      </c>
      <c r="H191" s="2" t="s">
        <v>146</v>
      </c>
      <c r="I191" s="2" t="s">
        <v>146</v>
      </c>
      <c r="J191" s="2" t="s">
        <v>146</v>
      </c>
      <c r="K191" s="2" t="s">
        <v>146</v>
      </c>
      <c r="L191" s="2" t="s">
        <v>146</v>
      </c>
      <c r="M191" s="2" t="s">
        <v>146</v>
      </c>
      <c r="N191" s="2" t="s">
        <v>146</v>
      </c>
      <c r="O191" s="2" t="s">
        <v>146</v>
      </c>
      <c r="P191" s="2" t="s">
        <v>146</v>
      </c>
      <c r="Q191" s="2" t="s">
        <v>146</v>
      </c>
      <c r="R191" s="2" t="s">
        <v>146</v>
      </c>
      <c r="S191" s="2" t="s">
        <v>146</v>
      </c>
      <c r="T191" s="2" t="s">
        <v>146</v>
      </c>
      <c r="U191" s="2" t="s">
        <v>146</v>
      </c>
      <c r="V191" s="2" t="s">
        <v>146</v>
      </c>
      <c r="W191" s="2" t="s">
        <v>146</v>
      </c>
      <c r="X191" s="2" t="s">
        <v>146</v>
      </c>
      <c r="Y191" s="2" t="s">
        <v>146</v>
      </c>
      <c r="Z191" s="2" t="s">
        <v>146</v>
      </c>
      <c r="AA191" s="2" t="s">
        <v>146</v>
      </c>
      <c r="AB191" s="2" t="s">
        <v>146</v>
      </c>
      <c r="AC191" s="2" t="s">
        <v>146</v>
      </c>
      <c r="AD191" s="2" t="s">
        <v>146</v>
      </c>
      <c r="AE191" s="2" t="s">
        <v>146</v>
      </c>
      <c r="AF191" s="2" t="s">
        <v>146</v>
      </c>
      <c r="AG191" s="2" t="s">
        <v>146</v>
      </c>
      <c r="AH191" s="2" t="s">
        <v>146</v>
      </c>
      <c r="AI191" s="2" t="s">
        <v>146</v>
      </c>
      <c r="AJ191" s="2" t="s">
        <v>146</v>
      </c>
      <c r="AK191" s="2" t="s">
        <v>146</v>
      </c>
      <c r="AL191" s="2" t="s">
        <v>146</v>
      </c>
      <c r="AM191" s="2" t="s">
        <v>146</v>
      </c>
      <c r="AN191" s="2" t="s">
        <v>146</v>
      </c>
      <c r="AO191" s="2" t="s">
        <v>146</v>
      </c>
      <c r="AQ191" s="2">
        <f t="shared" si="22"/>
        <v>0</v>
      </c>
      <c r="AR191" s="2">
        <f t="shared" si="23"/>
        <v>0</v>
      </c>
      <c r="AT191" s="2">
        <f t="shared" si="24"/>
        <v>0</v>
      </c>
      <c r="AU191" s="2">
        <f t="shared" si="25"/>
        <v>0</v>
      </c>
      <c r="AV191" s="27" t="str">
        <f t="shared" si="26"/>
        <v/>
      </c>
      <c r="AY191" s="2">
        <f t="shared" si="27"/>
        <v>0</v>
      </c>
      <c r="AZ191" s="2">
        <f t="shared" si="28"/>
        <v>0</v>
      </c>
      <c r="BA191" s="2">
        <f t="shared" si="29"/>
        <v>0</v>
      </c>
      <c r="BB191" s="2">
        <f t="shared" si="30"/>
        <v>0</v>
      </c>
      <c r="BC191" s="2">
        <f t="shared" si="31"/>
        <v>0</v>
      </c>
      <c r="BD191" s="2">
        <f t="shared" si="32"/>
        <v>0</v>
      </c>
    </row>
    <row r="192" spans="1:56" ht="15" customHeight="1" x14ac:dyDescent="0.45">
      <c r="A192" s="2" t="s">
        <v>418</v>
      </c>
      <c r="B192" s="2" t="s">
        <v>423</v>
      </c>
      <c r="C192" s="2">
        <v>2019</v>
      </c>
      <c r="D192" s="2" t="s">
        <v>146</v>
      </c>
      <c r="E192" s="2" t="s">
        <v>146</v>
      </c>
      <c r="F192" s="2" t="s">
        <v>146</v>
      </c>
      <c r="G192" s="2" t="s">
        <v>146</v>
      </c>
      <c r="H192" s="2" t="s">
        <v>146</v>
      </c>
      <c r="I192" s="2" t="s">
        <v>146</v>
      </c>
      <c r="J192" s="2" t="s">
        <v>146</v>
      </c>
      <c r="K192" s="2" t="s">
        <v>146</v>
      </c>
      <c r="L192" s="2" t="s">
        <v>146</v>
      </c>
      <c r="M192" s="2" t="s">
        <v>146</v>
      </c>
      <c r="N192" s="2" t="s">
        <v>146</v>
      </c>
      <c r="O192" s="2" t="s">
        <v>146</v>
      </c>
      <c r="P192" s="2" t="s">
        <v>146</v>
      </c>
      <c r="Q192" s="2" t="s">
        <v>146</v>
      </c>
      <c r="R192" s="2" t="s">
        <v>146</v>
      </c>
      <c r="S192" s="2" t="s">
        <v>146</v>
      </c>
      <c r="T192" s="2" t="s">
        <v>146</v>
      </c>
      <c r="U192" s="2" t="s">
        <v>146</v>
      </c>
      <c r="V192" s="2" t="s">
        <v>146</v>
      </c>
      <c r="W192" s="2" t="s">
        <v>146</v>
      </c>
      <c r="X192" s="2" t="s">
        <v>146</v>
      </c>
      <c r="Y192" s="2" t="s">
        <v>146</v>
      </c>
      <c r="Z192" s="2" t="s">
        <v>146</v>
      </c>
      <c r="AA192" s="2" t="s">
        <v>146</v>
      </c>
      <c r="AB192" s="2" t="s">
        <v>146</v>
      </c>
      <c r="AC192" s="2" t="s">
        <v>146</v>
      </c>
      <c r="AD192" s="2" t="s">
        <v>146</v>
      </c>
      <c r="AE192" s="2" t="s">
        <v>146</v>
      </c>
      <c r="AF192" s="2" t="s">
        <v>146</v>
      </c>
      <c r="AG192" s="2" t="s">
        <v>146</v>
      </c>
      <c r="AH192" s="2" t="s">
        <v>146</v>
      </c>
      <c r="AI192" s="2" t="s">
        <v>146</v>
      </c>
      <c r="AJ192" s="2" t="s">
        <v>146</v>
      </c>
      <c r="AK192" s="2" t="s">
        <v>146</v>
      </c>
      <c r="AL192" s="2" t="s">
        <v>146</v>
      </c>
      <c r="AM192" s="2" t="s">
        <v>146</v>
      </c>
      <c r="AN192" s="2" t="s">
        <v>146</v>
      </c>
      <c r="AO192" s="2" t="s">
        <v>146</v>
      </c>
      <c r="AQ192" s="2">
        <f t="shared" si="22"/>
        <v>0</v>
      </c>
      <c r="AR192" s="2">
        <f t="shared" si="23"/>
        <v>0</v>
      </c>
      <c r="AT192" s="2">
        <f t="shared" si="24"/>
        <v>0</v>
      </c>
      <c r="AU192" s="2">
        <f t="shared" si="25"/>
        <v>0</v>
      </c>
      <c r="AV192" s="27" t="str">
        <f t="shared" si="26"/>
        <v/>
      </c>
      <c r="AY192" s="2">
        <f t="shared" si="27"/>
        <v>0</v>
      </c>
      <c r="AZ192" s="2">
        <f t="shared" si="28"/>
        <v>0</v>
      </c>
      <c r="BA192" s="2">
        <f t="shared" si="29"/>
        <v>0</v>
      </c>
      <c r="BB192" s="2">
        <f t="shared" si="30"/>
        <v>0</v>
      </c>
      <c r="BC192" s="2">
        <f t="shared" si="31"/>
        <v>0</v>
      </c>
      <c r="BD192" s="2">
        <f t="shared" si="32"/>
        <v>0</v>
      </c>
    </row>
    <row r="193" spans="1:56" ht="15" customHeight="1" x14ac:dyDescent="0.45">
      <c r="A193" s="2" t="s">
        <v>418</v>
      </c>
      <c r="B193" s="2" t="s">
        <v>422</v>
      </c>
      <c r="C193" s="2">
        <v>2019</v>
      </c>
      <c r="D193" s="2" t="s">
        <v>146</v>
      </c>
      <c r="E193" s="2" t="s">
        <v>146</v>
      </c>
      <c r="F193" s="2" t="s">
        <v>146</v>
      </c>
      <c r="G193" s="2" t="s">
        <v>146</v>
      </c>
      <c r="H193" s="2" t="s">
        <v>146</v>
      </c>
      <c r="I193" s="2" t="s">
        <v>146</v>
      </c>
      <c r="J193" s="2" t="s">
        <v>146</v>
      </c>
      <c r="K193" s="2" t="s">
        <v>146</v>
      </c>
      <c r="L193" s="2" t="s">
        <v>146</v>
      </c>
      <c r="M193" s="2" t="s">
        <v>146</v>
      </c>
      <c r="N193" s="2" t="s">
        <v>146</v>
      </c>
      <c r="O193" s="2" t="s">
        <v>146</v>
      </c>
      <c r="P193" s="2" t="s">
        <v>146</v>
      </c>
      <c r="Q193" s="2" t="s">
        <v>146</v>
      </c>
      <c r="R193" s="2" t="s">
        <v>146</v>
      </c>
      <c r="S193" s="2" t="s">
        <v>146</v>
      </c>
      <c r="T193" s="2" t="s">
        <v>146</v>
      </c>
      <c r="U193" s="2" t="s">
        <v>146</v>
      </c>
      <c r="V193" s="2" t="s">
        <v>146</v>
      </c>
      <c r="W193" s="2" t="s">
        <v>146</v>
      </c>
      <c r="X193" s="2" t="s">
        <v>146</v>
      </c>
      <c r="Y193" s="2" t="s">
        <v>146</v>
      </c>
      <c r="Z193" s="2" t="s">
        <v>146</v>
      </c>
      <c r="AA193" s="2" t="s">
        <v>146</v>
      </c>
      <c r="AB193" s="2" t="s">
        <v>146</v>
      </c>
      <c r="AC193" s="2" t="s">
        <v>146</v>
      </c>
      <c r="AD193" s="2" t="s">
        <v>146</v>
      </c>
      <c r="AE193" s="2" t="s">
        <v>146</v>
      </c>
      <c r="AF193" s="2" t="s">
        <v>146</v>
      </c>
      <c r="AG193" s="2" t="s">
        <v>146</v>
      </c>
      <c r="AH193" s="2" t="s">
        <v>146</v>
      </c>
      <c r="AI193" s="2" t="s">
        <v>146</v>
      </c>
      <c r="AJ193" s="2" t="s">
        <v>146</v>
      </c>
      <c r="AK193" s="2" t="s">
        <v>146</v>
      </c>
      <c r="AL193" s="2" t="s">
        <v>146</v>
      </c>
      <c r="AM193" s="2" t="s">
        <v>146</v>
      </c>
      <c r="AN193" s="2" t="s">
        <v>146</v>
      </c>
      <c r="AO193" s="2" t="s">
        <v>146</v>
      </c>
      <c r="AQ193" s="2">
        <f t="shared" si="22"/>
        <v>0</v>
      </c>
      <c r="AR193" s="2">
        <f t="shared" si="23"/>
        <v>0</v>
      </c>
      <c r="AT193" s="2">
        <f t="shared" si="24"/>
        <v>0</v>
      </c>
      <c r="AU193" s="2">
        <f t="shared" si="25"/>
        <v>0</v>
      </c>
      <c r="AV193" s="27" t="str">
        <f t="shared" si="26"/>
        <v/>
      </c>
      <c r="AY193" s="2">
        <f t="shared" si="27"/>
        <v>0</v>
      </c>
      <c r="AZ193" s="2">
        <f t="shared" si="28"/>
        <v>0</v>
      </c>
      <c r="BA193" s="2">
        <f t="shared" si="29"/>
        <v>0</v>
      </c>
      <c r="BB193" s="2">
        <f t="shared" si="30"/>
        <v>0</v>
      </c>
      <c r="BC193" s="2">
        <f t="shared" si="31"/>
        <v>0</v>
      </c>
      <c r="BD193" s="2">
        <f t="shared" si="32"/>
        <v>0</v>
      </c>
    </row>
    <row r="194" spans="1:56" ht="15" customHeight="1" x14ac:dyDescent="0.45">
      <c r="A194" s="2" t="s">
        <v>418</v>
      </c>
      <c r="B194" s="2" t="s">
        <v>1181</v>
      </c>
      <c r="C194" s="2">
        <v>2019</v>
      </c>
      <c r="D194" s="2" t="s">
        <v>146</v>
      </c>
      <c r="E194" s="2" t="s">
        <v>146</v>
      </c>
      <c r="F194" s="2" t="s">
        <v>146</v>
      </c>
      <c r="G194" s="2" t="s">
        <v>146</v>
      </c>
      <c r="H194" s="2" t="s">
        <v>146</v>
      </c>
      <c r="I194" s="2" t="s">
        <v>146</v>
      </c>
      <c r="J194" s="2" t="s">
        <v>146</v>
      </c>
      <c r="K194" s="2" t="s">
        <v>146</v>
      </c>
      <c r="L194" s="2" t="s">
        <v>146</v>
      </c>
      <c r="M194" s="2" t="s">
        <v>146</v>
      </c>
      <c r="N194" s="2" t="s">
        <v>146</v>
      </c>
      <c r="O194" s="2" t="s">
        <v>146</v>
      </c>
      <c r="P194" s="2" t="s">
        <v>146</v>
      </c>
      <c r="Q194" s="2" t="s">
        <v>146</v>
      </c>
      <c r="R194" s="2" t="s">
        <v>146</v>
      </c>
      <c r="S194" s="2" t="s">
        <v>146</v>
      </c>
      <c r="T194" s="2" t="s">
        <v>146</v>
      </c>
      <c r="U194" s="2" t="s">
        <v>146</v>
      </c>
      <c r="V194" s="2" t="s">
        <v>146</v>
      </c>
      <c r="W194" s="2" t="s">
        <v>146</v>
      </c>
      <c r="X194" s="2" t="s">
        <v>146</v>
      </c>
      <c r="Y194" s="2" t="s">
        <v>146</v>
      </c>
      <c r="Z194" s="2" t="s">
        <v>146</v>
      </c>
      <c r="AA194" s="2" t="s">
        <v>146</v>
      </c>
      <c r="AB194" s="2" t="s">
        <v>146</v>
      </c>
      <c r="AC194" s="2" t="s">
        <v>146</v>
      </c>
      <c r="AD194" s="2" t="s">
        <v>146</v>
      </c>
      <c r="AE194" s="2" t="s">
        <v>146</v>
      </c>
      <c r="AF194" s="2" t="s">
        <v>146</v>
      </c>
      <c r="AG194" s="2" t="s">
        <v>146</v>
      </c>
      <c r="AH194" s="2" t="s">
        <v>146</v>
      </c>
      <c r="AI194" s="2" t="s">
        <v>146</v>
      </c>
      <c r="AJ194" s="2" t="s">
        <v>146</v>
      </c>
      <c r="AK194" s="2" t="s">
        <v>146</v>
      </c>
      <c r="AL194" s="2" t="s">
        <v>146</v>
      </c>
      <c r="AM194" s="2" t="s">
        <v>146</v>
      </c>
      <c r="AN194" s="2" t="s">
        <v>146</v>
      </c>
      <c r="AO194" s="2" t="s">
        <v>146</v>
      </c>
      <c r="AQ194" s="2">
        <f t="shared" si="22"/>
        <v>0</v>
      </c>
      <c r="AR194" s="2">
        <f t="shared" si="23"/>
        <v>0</v>
      </c>
      <c r="AT194" s="2">
        <f t="shared" si="24"/>
        <v>0</v>
      </c>
      <c r="AU194" s="2">
        <f t="shared" si="25"/>
        <v>0</v>
      </c>
      <c r="AV194" s="27" t="str">
        <f t="shared" si="26"/>
        <v/>
      </c>
      <c r="AY194" s="2">
        <f t="shared" si="27"/>
        <v>0</v>
      </c>
      <c r="AZ194" s="2">
        <f t="shared" si="28"/>
        <v>0</v>
      </c>
      <c r="BA194" s="2">
        <f t="shared" si="29"/>
        <v>0</v>
      </c>
      <c r="BB194" s="2">
        <f t="shared" si="30"/>
        <v>0</v>
      </c>
      <c r="BC194" s="2">
        <f t="shared" si="31"/>
        <v>0</v>
      </c>
      <c r="BD194" s="2">
        <f t="shared" si="32"/>
        <v>0</v>
      </c>
    </row>
    <row r="195" spans="1:56" ht="15" customHeight="1" x14ac:dyDescent="0.45">
      <c r="A195" s="2" t="s">
        <v>418</v>
      </c>
      <c r="B195" s="2" t="s">
        <v>97</v>
      </c>
      <c r="C195" s="2">
        <v>2019</v>
      </c>
      <c r="D195" s="2" t="s">
        <v>146</v>
      </c>
      <c r="E195" s="2" t="s">
        <v>146</v>
      </c>
      <c r="F195" s="2" t="s">
        <v>146</v>
      </c>
      <c r="G195" s="2" t="s">
        <v>146</v>
      </c>
      <c r="H195" s="2" t="s">
        <v>146</v>
      </c>
      <c r="I195" s="2" t="s">
        <v>146</v>
      </c>
      <c r="J195" s="2" t="s">
        <v>146</v>
      </c>
      <c r="K195" s="2" t="s">
        <v>146</v>
      </c>
      <c r="L195" s="2" t="s">
        <v>146</v>
      </c>
      <c r="M195" s="2" t="s">
        <v>146</v>
      </c>
      <c r="N195" s="2" t="s">
        <v>146</v>
      </c>
      <c r="O195" s="2" t="s">
        <v>146</v>
      </c>
      <c r="P195" s="2" t="s">
        <v>146</v>
      </c>
      <c r="Q195" s="2" t="s">
        <v>146</v>
      </c>
      <c r="R195" s="2" t="s">
        <v>146</v>
      </c>
      <c r="S195" s="2" t="s">
        <v>146</v>
      </c>
      <c r="T195" s="2" t="s">
        <v>146</v>
      </c>
      <c r="U195" s="2" t="s">
        <v>146</v>
      </c>
      <c r="V195" s="2" t="s">
        <v>146</v>
      </c>
      <c r="W195" s="2" t="s">
        <v>146</v>
      </c>
      <c r="X195" s="2" t="s">
        <v>146</v>
      </c>
      <c r="Y195" s="2" t="s">
        <v>146</v>
      </c>
      <c r="Z195" s="2" t="s">
        <v>146</v>
      </c>
      <c r="AA195" s="2" t="s">
        <v>146</v>
      </c>
      <c r="AB195" s="2" t="s">
        <v>146</v>
      </c>
      <c r="AC195" s="2" t="s">
        <v>146</v>
      </c>
      <c r="AD195" s="2" t="s">
        <v>146</v>
      </c>
      <c r="AE195" s="2" t="s">
        <v>146</v>
      </c>
      <c r="AF195" s="2" t="s">
        <v>146</v>
      </c>
      <c r="AG195" s="2" t="s">
        <v>146</v>
      </c>
      <c r="AH195" s="2" t="s">
        <v>146</v>
      </c>
      <c r="AI195" s="2" t="s">
        <v>146</v>
      </c>
      <c r="AJ195" s="2" t="s">
        <v>146</v>
      </c>
      <c r="AK195" s="2" t="s">
        <v>146</v>
      </c>
      <c r="AL195" s="2" t="s">
        <v>146</v>
      </c>
      <c r="AM195" s="2" t="s">
        <v>146</v>
      </c>
      <c r="AN195" s="2" t="s">
        <v>146</v>
      </c>
      <c r="AO195" s="2" t="s">
        <v>146</v>
      </c>
      <c r="AQ195" s="2">
        <f t="shared" ref="AQ195:AQ258" si="33">SUMPRODUCT(J195:AF195)+IFERROR(AJ195/1,0)</f>
        <v>0</v>
      </c>
      <c r="AR195" s="2">
        <f t="shared" ref="AR195:AR258" si="34">SUMPRODUCT(J195:AF195)+SUMPRODUCT(AJ195:AK195)</f>
        <v>0</v>
      </c>
      <c r="AT195" s="2">
        <f t="shared" ref="AT195:AT258" si="35">IFERROR(D195/1,0)</f>
        <v>0</v>
      </c>
      <c r="AU195" s="2">
        <f t="shared" ref="AU195:AU258" si="36">IFERROR(E195/1,0)</f>
        <v>0</v>
      </c>
      <c r="AV195" s="27" t="str">
        <f t="shared" ref="AV195:AV258" si="37">IFERROR((AT195+AU195)/AR195,"")</f>
        <v/>
      </c>
      <c r="AY195" s="2">
        <f t="shared" ref="AY195:AY258" si="38">IFERROR(AK195/1,0)</f>
        <v>0</v>
      </c>
      <c r="AZ195" s="2">
        <f t="shared" ref="AZ195:AZ258" si="39">IFERROR(AL195/100,0)*$AY195</f>
        <v>0</v>
      </c>
      <c r="BA195" s="2">
        <f t="shared" ref="BA195:BA258" si="40">IFERROR(AM195/100,0)*$AY195</f>
        <v>0</v>
      </c>
      <c r="BB195" s="2">
        <f t="shared" ref="BB195:BB258" si="41">IFERROR(AN195/100,0)*$AY195</f>
        <v>0</v>
      </c>
      <c r="BC195" s="2">
        <f t="shared" ref="BC195:BC258" si="42">IFERROR(AO195/100,0)*$AY195</f>
        <v>0</v>
      </c>
      <c r="BD195" s="2">
        <f t="shared" ref="BD195:BD258" si="43">MAX(AY195-SUM(AZ195:BC195),0)</f>
        <v>0</v>
      </c>
    </row>
    <row r="196" spans="1:56" ht="15" customHeight="1" x14ac:dyDescent="0.45">
      <c r="A196" s="2" t="s">
        <v>418</v>
      </c>
      <c r="B196" s="2" t="s">
        <v>99</v>
      </c>
      <c r="C196" s="2">
        <v>2019</v>
      </c>
      <c r="D196" s="2" t="s">
        <v>146</v>
      </c>
      <c r="E196" s="2" t="s">
        <v>146</v>
      </c>
      <c r="F196" s="2" t="s">
        <v>146</v>
      </c>
      <c r="G196" s="2" t="s">
        <v>146</v>
      </c>
      <c r="H196" s="2" t="s">
        <v>146</v>
      </c>
      <c r="I196" s="2" t="s">
        <v>146</v>
      </c>
      <c r="J196" s="2" t="s">
        <v>146</v>
      </c>
      <c r="K196" s="2" t="s">
        <v>146</v>
      </c>
      <c r="L196" s="2" t="s">
        <v>146</v>
      </c>
      <c r="M196" s="2" t="s">
        <v>146</v>
      </c>
      <c r="N196" s="2" t="s">
        <v>146</v>
      </c>
      <c r="O196" s="2" t="s">
        <v>146</v>
      </c>
      <c r="P196" s="2" t="s">
        <v>146</v>
      </c>
      <c r="Q196" s="2" t="s">
        <v>146</v>
      </c>
      <c r="R196" s="2" t="s">
        <v>146</v>
      </c>
      <c r="S196" s="2" t="s">
        <v>146</v>
      </c>
      <c r="T196" s="2" t="s">
        <v>146</v>
      </c>
      <c r="U196" s="2" t="s">
        <v>146</v>
      </c>
      <c r="V196" s="2" t="s">
        <v>146</v>
      </c>
      <c r="W196" s="2" t="s">
        <v>146</v>
      </c>
      <c r="X196" s="2" t="s">
        <v>146</v>
      </c>
      <c r="Y196" s="2" t="s">
        <v>146</v>
      </c>
      <c r="Z196" s="2" t="s">
        <v>146</v>
      </c>
      <c r="AA196" s="2" t="s">
        <v>146</v>
      </c>
      <c r="AB196" s="2" t="s">
        <v>146</v>
      </c>
      <c r="AC196" s="2" t="s">
        <v>146</v>
      </c>
      <c r="AD196" s="2" t="s">
        <v>146</v>
      </c>
      <c r="AE196" s="2" t="s">
        <v>146</v>
      </c>
      <c r="AF196" s="2" t="s">
        <v>146</v>
      </c>
      <c r="AG196" s="2" t="s">
        <v>146</v>
      </c>
      <c r="AH196" s="2" t="s">
        <v>146</v>
      </c>
      <c r="AI196" s="2" t="s">
        <v>146</v>
      </c>
      <c r="AJ196" s="2" t="s">
        <v>146</v>
      </c>
      <c r="AK196" s="2" t="s">
        <v>146</v>
      </c>
      <c r="AL196" s="2" t="s">
        <v>146</v>
      </c>
      <c r="AM196" s="2" t="s">
        <v>146</v>
      </c>
      <c r="AN196" s="2" t="s">
        <v>146</v>
      </c>
      <c r="AO196" s="2" t="s">
        <v>146</v>
      </c>
      <c r="AQ196" s="2">
        <f t="shared" si="33"/>
        <v>0</v>
      </c>
      <c r="AR196" s="2">
        <f t="shared" si="34"/>
        <v>0</v>
      </c>
      <c r="AT196" s="2">
        <f t="shared" si="35"/>
        <v>0</v>
      </c>
      <c r="AU196" s="2">
        <f t="shared" si="36"/>
        <v>0</v>
      </c>
      <c r="AV196" s="27" t="str">
        <f t="shared" si="37"/>
        <v/>
      </c>
      <c r="AY196" s="2">
        <f t="shared" si="38"/>
        <v>0</v>
      </c>
      <c r="AZ196" s="2">
        <f t="shared" si="39"/>
        <v>0</v>
      </c>
      <c r="BA196" s="2">
        <f t="shared" si="40"/>
        <v>0</v>
      </c>
      <c r="BB196" s="2">
        <f t="shared" si="41"/>
        <v>0</v>
      </c>
      <c r="BC196" s="2">
        <f t="shared" si="42"/>
        <v>0</v>
      </c>
      <c r="BD196" s="2">
        <f t="shared" si="43"/>
        <v>0</v>
      </c>
    </row>
    <row r="197" spans="1:56" ht="15" customHeight="1" x14ac:dyDescent="0.45">
      <c r="A197" s="2" t="s">
        <v>418</v>
      </c>
      <c r="B197" s="2" t="s">
        <v>421</v>
      </c>
      <c r="C197" s="2">
        <v>2019</v>
      </c>
      <c r="D197" s="2" t="s">
        <v>146</v>
      </c>
      <c r="E197" s="2" t="s">
        <v>146</v>
      </c>
      <c r="F197" s="2" t="s">
        <v>146</v>
      </c>
      <c r="G197" s="2" t="s">
        <v>146</v>
      </c>
      <c r="H197" s="2" t="s">
        <v>146</v>
      </c>
      <c r="I197" s="2" t="s">
        <v>146</v>
      </c>
      <c r="J197" s="2" t="s">
        <v>146</v>
      </c>
      <c r="K197" s="2" t="s">
        <v>146</v>
      </c>
      <c r="L197" s="2" t="s">
        <v>146</v>
      </c>
      <c r="M197" s="2" t="s">
        <v>146</v>
      </c>
      <c r="N197" s="2" t="s">
        <v>146</v>
      </c>
      <c r="O197" s="2" t="s">
        <v>146</v>
      </c>
      <c r="P197" s="2" t="s">
        <v>146</v>
      </c>
      <c r="Q197" s="2" t="s">
        <v>146</v>
      </c>
      <c r="R197" s="2" t="s">
        <v>146</v>
      </c>
      <c r="S197" s="2" t="s">
        <v>146</v>
      </c>
      <c r="T197" s="2" t="s">
        <v>146</v>
      </c>
      <c r="U197" s="2" t="s">
        <v>146</v>
      </c>
      <c r="V197" s="2" t="s">
        <v>146</v>
      </c>
      <c r="W197" s="2" t="s">
        <v>146</v>
      </c>
      <c r="X197" s="2" t="s">
        <v>146</v>
      </c>
      <c r="Y197" s="2" t="s">
        <v>146</v>
      </c>
      <c r="Z197" s="2" t="s">
        <v>146</v>
      </c>
      <c r="AA197" s="2" t="s">
        <v>146</v>
      </c>
      <c r="AB197" s="2" t="s">
        <v>146</v>
      </c>
      <c r="AC197" s="2" t="s">
        <v>146</v>
      </c>
      <c r="AD197" s="2" t="s">
        <v>146</v>
      </c>
      <c r="AE197" s="2" t="s">
        <v>146</v>
      </c>
      <c r="AF197" s="2" t="s">
        <v>146</v>
      </c>
      <c r="AG197" s="2" t="s">
        <v>146</v>
      </c>
      <c r="AH197" s="2" t="s">
        <v>146</v>
      </c>
      <c r="AI197" s="2" t="s">
        <v>146</v>
      </c>
      <c r="AJ197" s="2" t="s">
        <v>146</v>
      </c>
      <c r="AK197" s="2" t="s">
        <v>146</v>
      </c>
      <c r="AL197" s="2" t="s">
        <v>146</v>
      </c>
      <c r="AM197" s="2" t="s">
        <v>146</v>
      </c>
      <c r="AN197" s="2" t="s">
        <v>146</v>
      </c>
      <c r="AO197" s="2" t="s">
        <v>146</v>
      </c>
      <c r="AQ197" s="2">
        <f t="shared" si="33"/>
        <v>0</v>
      </c>
      <c r="AR197" s="2">
        <f t="shared" si="34"/>
        <v>0</v>
      </c>
      <c r="AT197" s="2">
        <f t="shared" si="35"/>
        <v>0</v>
      </c>
      <c r="AU197" s="2">
        <f t="shared" si="36"/>
        <v>0</v>
      </c>
      <c r="AV197" s="27" t="str">
        <f t="shared" si="37"/>
        <v/>
      </c>
      <c r="AY197" s="2">
        <f t="shared" si="38"/>
        <v>0</v>
      </c>
      <c r="AZ197" s="2">
        <f t="shared" si="39"/>
        <v>0</v>
      </c>
      <c r="BA197" s="2">
        <f t="shared" si="40"/>
        <v>0</v>
      </c>
      <c r="BB197" s="2">
        <f t="shared" si="41"/>
        <v>0</v>
      </c>
      <c r="BC197" s="2">
        <f t="shared" si="42"/>
        <v>0</v>
      </c>
      <c r="BD197" s="2">
        <f t="shared" si="43"/>
        <v>0</v>
      </c>
    </row>
    <row r="198" spans="1:56" ht="15" customHeight="1" x14ac:dyDescent="0.45">
      <c r="A198" s="2" t="s">
        <v>418</v>
      </c>
      <c r="B198" s="2" t="s">
        <v>101</v>
      </c>
      <c r="C198" s="2">
        <v>2019</v>
      </c>
      <c r="D198" s="2" t="s">
        <v>146</v>
      </c>
      <c r="E198" s="2" t="s">
        <v>146</v>
      </c>
      <c r="F198" s="2" t="s">
        <v>146</v>
      </c>
      <c r="G198" s="2" t="s">
        <v>146</v>
      </c>
      <c r="H198" s="2" t="s">
        <v>146</v>
      </c>
      <c r="I198" s="2" t="s">
        <v>146</v>
      </c>
      <c r="J198" s="2" t="s">
        <v>146</v>
      </c>
      <c r="K198" s="2" t="s">
        <v>146</v>
      </c>
      <c r="L198" s="2" t="s">
        <v>146</v>
      </c>
      <c r="M198" s="2" t="s">
        <v>146</v>
      </c>
      <c r="N198" s="2" t="s">
        <v>146</v>
      </c>
      <c r="O198" s="2" t="s">
        <v>146</v>
      </c>
      <c r="P198" s="2" t="s">
        <v>146</v>
      </c>
      <c r="Q198" s="2" t="s">
        <v>146</v>
      </c>
      <c r="R198" s="2" t="s">
        <v>146</v>
      </c>
      <c r="S198" s="2" t="s">
        <v>146</v>
      </c>
      <c r="T198" s="2" t="s">
        <v>146</v>
      </c>
      <c r="U198" s="2" t="s">
        <v>146</v>
      </c>
      <c r="V198" s="2" t="s">
        <v>146</v>
      </c>
      <c r="W198" s="2" t="s">
        <v>146</v>
      </c>
      <c r="X198" s="2" t="s">
        <v>146</v>
      </c>
      <c r="Y198" s="2" t="s">
        <v>146</v>
      </c>
      <c r="Z198" s="2" t="s">
        <v>146</v>
      </c>
      <c r="AA198" s="2" t="s">
        <v>146</v>
      </c>
      <c r="AB198" s="2" t="s">
        <v>146</v>
      </c>
      <c r="AC198" s="2" t="s">
        <v>146</v>
      </c>
      <c r="AD198" s="2" t="s">
        <v>146</v>
      </c>
      <c r="AE198" s="2" t="s">
        <v>146</v>
      </c>
      <c r="AF198" s="2" t="s">
        <v>146</v>
      </c>
      <c r="AG198" s="2" t="s">
        <v>146</v>
      </c>
      <c r="AH198" s="2" t="s">
        <v>146</v>
      </c>
      <c r="AI198" s="2" t="s">
        <v>146</v>
      </c>
      <c r="AJ198" s="2" t="s">
        <v>146</v>
      </c>
      <c r="AK198" s="2" t="s">
        <v>146</v>
      </c>
      <c r="AL198" s="2" t="s">
        <v>146</v>
      </c>
      <c r="AM198" s="2" t="s">
        <v>146</v>
      </c>
      <c r="AN198" s="2" t="s">
        <v>146</v>
      </c>
      <c r="AO198" s="2" t="s">
        <v>146</v>
      </c>
      <c r="AQ198" s="2">
        <f t="shared" si="33"/>
        <v>0</v>
      </c>
      <c r="AR198" s="2">
        <f t="shared" si="34"/>
        <v>0</v>
      </c>
      <c r="AT198" s="2">
        <f t="shared" si="35"/>
        <v>0</v>
      </c>
      <c r="AU198" s="2">
        <f t="shared" si="36"/>
        <v>0</v>
      </c>
      <c r="AV198" s="27" t="str">
        <f t="shared" si="37"/>
        <v/>
      </c>
      <c r="AY198" s="2">
        <f t="shared" si="38"/>
        <v>0</v>
      </c>
      <c r="AZ198" s="2">
        <f t="shared" si="39"/>
        <v>0</v>
      </c>
      <c r="BA198" s="2">
        <f t="shared" si="40"/>
        <v>0</v>
      </c>
      <c r="BB198" s="2">
        <f t="shared" si="41"/>
        <v>0</v>
      </c>
      <c r="BC198" s="2">
        <f t="shared" si="42"/>
        <v>0</v>
      </c>
      <c r="BD198" s="2">
        <f t="shared" si="43"/>
        <v>0</v>
      </c>
    </row>
    <row r="199" spans="1:56" ht="15" customHeight="1" x14ac:dyDescent="0.45">
      <c r="A199" s="2" t="s">
        <v>418</v>
      </c>
      <c r="B199" s="2" t="s">
        <v>103</v>
      </c>
      <c r="C199" s="2">
        <v>2019</v>
      </c>
      <c r="D199" s="2" t="s">
        <v>146</v>
      </c>
      <c r="E199" s="2" t="s">
        <v>146</v>
      </c>
      <c r="F199" s="2" t="s">
        <v>146</v>
      </c>
      <c r="G199" s="2" t="s">
        <v>146</v>
      </c>
      <c r="H199" s="2" t="s">
        <v>146</v>
      </c>
      <c r="I199" s="2" t="s">
        <v>146</v>
      </c>
      <c r="J199" s="2" t="s">
        <v>146</v>
      </c>
      <c r="K199" s="2" t="s">
        <v>146</v>
      </c>
      <c r="L199" s="2" t="s">
        <v>146</v>
      </c>
      <c r="M199" s="2" t="s">
        <v>146</v>
      </c>
      <c r="N199" s="2" t="s">
        <v>146</v>
      </c>
      <c r="O199" s="2" t="s">
        <v>146</v>
      </c>
      <c r="P199" s="2" t="s">
        <v>146</v>
      </c>
      <c r="Q199" s="2" t="s">
        <v>146</v>
      </c>
      <c r="R199" s="2" t="s">
        <v>146</v>
      </c>
      <c r="S199" s="2" t="s">
        <v>146</v>
      </c>
      <c r="T199" s="2" t="s">
        <v>146</v>
      </c>
      <c r="U199" s="2" t="s">
        <v>146</v>
      </c>
      <c r="V199" s="2" t="s">
        <v>146</v>
      </c>
      <c r="W199" s="2" t="s">
        <v>146</v>
      </c>
      <c r="X199" s="2" t="s">
        <v>146</v>
      </c>
      <c r="Y199" s="2" t="s">
        <v>146</v>
      </c>
      <c r="Z199" s="2" t="s">
        <v>146</v>
      </c>
      <c r="AA199" s="2" t="s">
        <v>146</v>
      </c>
      <c r="AB199" s="2" t="s">
        <v>146</v>
      </c>
      <c r="AC199" s="2" t="s">
        <v>146</v>
      </c>
      <c r="AD199" s="2" t="s">
        <v>146</v>
      </c>
      <c r="AE199" s="2" t="s">
        <v>146</v>
      </c>
      <c r="AF199" s="2" t="s">
        <v>146</v>
      </c>
      <c r="AG199" s="2" t="s">
        <v>146</v>
      </c>
      <c r="AH199" s="2" t="s">
        <v>146</v>
      </c>
      <c r="AI199" s="2" t="s">
        <v>146</v>
      </c>
      <c r="AJ199" s="2" t="s">
        <v>146</v>
      </c>
      <c r="AK199" s="2" t="s">
        <v>146</v>
      </c>
      <c r="AL199" s="2" t="s">
        <v>146</v>
      </c>
      <c r="AM199" s="2" t="s">
        <v>146</v>
      </c>
      <c r="AN199" s="2" t="s">
        <v>146</v>
      </c>
      <c r="AO199" s="2" t="s">
        <v>146</v>
      </c>
      <c r="AQ199" s="2">
        <f t="shared" si="33"/>
        <v>0</v>
      </c>
      <c r="AR199" s="2">
        <f t="shared" si="34"/>
        <v>0</v>
      </c>
      <c r="AT199" s="2">
        <f t="shared" si="35"/>
        <v>0</v>
      </c>
      <c r="AU199" s="2">
        <f t="shared" si="36"/>
        <v>0</v>
      </c>
      <c r="AV199" s="27" t="str">
        <f t="shared" si="37"/>
        <v/>
      </c>
      <c r="AY199" s="2">
        <f t="shared" si="38"/>
        <v>0</v>
      </c>
      <c r="AZ199" s="2">
        <f t="shared" si="39"/>
        <v>0</v>
      </c>
      <c r="BA199" s="2">
        <f t="shared" si="40"/>
        <v>0</v>
      </c>
      <c r="BB199" s="2">
        <f t="shared" si="41"/>
        <v>0</v>
      </c>
      <c r="BC199" s="2">
        <f t="shared" si="42"/>
        <v>0</v>
      </c>
      <c r="BD199" s="2">
        <f t="shared" si="43"/>
        <v>0</v>
      </c>
    </row>
    <row r="200" spans="1:56" ht="15" customHeight="1" x14ac:dyDescent="0.45">
      <c r="A200" s="2" t="s">
        <v>418</v>
      </c>
      <c r="B200" s="2" t="s">
        <v>105</v>
      </c>
      <c r="C200" s="2">
        <v>2019</v>
      </c>
      <c r="D200" s="2" t="s">
        <v>146</v>
      </c>
      <c r="E200" s="2" t="s">
        <v>146</v>
      </c>
      <c r="F200" s="2" t="s">
        <v>146</v>
      </c>
      <c r="G200" s="2" t="s">
        <v>146</v>
      </c>
      <c r="H200" s="2" t="s">
        <v>146</v>
      </c>
      <c r="I200" s="2" t="s">
        <v>146</v>
      </c>
      <c r="J200" s="2" t="s">
        <v>146</v>
      </c>
      <c r="K200" s="2" t="s">
        <v>146</v>
      </c>
      <c r="L200" s="2" t="s">
        <v>146</v>
      </c>
      <c r="M200" s="2" t="s">
        <v>146</v>
      </c>
      <c r="N200" s="2" t="s">
        <v>146</v>
      </c>
      <c r="O200" s="2" t="s">
        <v>146</v>
      </c>
      <c r="P200" s="2" t="s">
        <v>146</v>
      </c>
      <c r="Q200" s="2" t="s">
        <v>146</v>
      </c>
      <c r="R200" s="2" t="s">
        <v>146</v>
      </c>
      <c r="S200" s="2" t="s">
        <v>146</v>
      </c>
      <c r="T200" s="2" t="s">
        <v>146</v>
      </c>
      <c r="U200" s="2" t="s">
        <v>146</v>
      </c>
      <c r="V200" s="2" t="s">
        <v>146</v>
      </c>
      <c r="W200" s="2" t="s">
        <v>146</v>
      </c>
      <c r="X200" s="2" t="s">
        <v>146</v>
      </c>
      <c r="Y200" s="2" t="s">
        <v>146</v>
      </c>
      <c r="Z200" s="2" t="s">
        <v>146</v>
      </c>
      <c r="AA200" s="2" t="s">
        <v>146</v>
      </c>
      <c r="AB200" s="2" t="s">
        <v>146</v>
      </c>
      <c r="AC200" s="2" t="s">
        <v>146</v>
      </c>
      <c r="AD200" s="2" t="s">
        <v>146</v>
      </c>
      <c r="AE200" s="2" t="s">
        <v>146</v>
      </c>
      <c r="AF200" s="2" t="s">
        <v>146</v>
      </c>
      <c r="AG200" s="2" t="s">
        <v>146</v>
      </c>
      <c r="AH200" s="2" t="s">
        <v>146</v>
      </c>
      <c r="AI200" s="2" t="s">
        <v>146</v>
      </c>
      <c r="AJ200" s="2" t="s">
        <v>146</v>
      </c>
      <c r="AK200" s="2" t="s">
        <v>146</v>
      </c>
      <c r="AL200" s="2" t="s">
        <v>146</v>
      </c>
      <c r="AM200" s="2" t="s">
        <v>146</v>
      </c>
      <c r="AN200" s="2" t="s">
        <v>146</v>
      </c>
      <c r="AO200" s="2" t="s">
        <v>146</v>
      </c>
      <c r="AQ200" s="2">
        <f t="shared" si="33"/>
        <v>0</v>
      </c>
      <c r="AR200" s="2">
        <f t="shared" si="34"/>
        <v>0</v>
      </c>
      <c r="AT200" s="2">
        <f t="shared" si="35"/>
        <v>0</v>
      </c>
      <c r="AU200" s="2">
        <f t="shared" si="36"/>
        <v>0</v>
      </c>
      <c r="AV200" s="27" t="str">
        <f t="shared" si="37"/>
        <v/>
      </c>
      <c r="AY200" s="2">
        <f t="shared" si="38"/>
        <v>0</v>
      </c>
      <c r="AZ200" s="2">
        <f t="shared" si="39"/>
        <v>0</v>
      </c>
      <c r="BA200" s="2">
        <f t="shared" si="40"/>
        <v>0</v>
      </c>
      <c r="BB200" s="2">
        <f t="shared" si="41"/>
        <v>0</v>
      </c>
      <c r="BC200" s="2">
        <f t="shared" si="42"/>
        <v>0</v>
      </c>
      <c r="BD200" s="2">
        <f t="shared" si="43"/>
        <v>0</v>
      </c>
    </row>
    <row r="201" spans="1:56" ht="15" customHeight="1" x14ac:dyDescent="0.45">
      <c r="A201" s="2" t="s">
        <v>418</v>
      </c>
      <c r="B201" s="2" t="s">
        <v>1183</v>
      </c>
      <c r="C201" s="2">
        <v>2019</v>
      </c>
      <c r="D201" s="2" t="s">
        <v>146</v>
      </c>
      <c r="E201" s="2" t="s">
        <v>146</v>
      </c>
      <c r="F201" s="2" t="s">
        <v>146</v>
      </c>
      <c r="G201" s="2" t="s">
        <v>146</v>
      </c>
      <c r="H201" s="2" t="s">
        <v>146</v>
      </c>
      <c r="I201" s="2" t="s">
        <v>146</v>
      </c>
      <c r="J201" s="2" t="s">
        <v>146</v>
      </c>
      <c r="K201" s="2" t="s">
        <v>146</v>
      </c>
      <c r="L201" s="2" t="s">
        <v>146</v>
      </c>
      <c r="M201" s="2" t="s">
        <v>146</v>
      </c>
      <c r="N201" s="2" t="s">
        <v>146</v>
      </c>
      <c r="O201" s="2" t="s">
        <v>146</v>
      </c>
      <c r="P201" s="2" t="s">
        <v>146</v>
      </c>
      <c r="Q201" s="2" t="s">
        <v>146</v>
      </c>
      <c r="R201" s="2" t="s">
        <v>146</v>
      </c>
      <c r="S201" s="2" t="s">
        <v>146</v>
      </c>
      <c r="T201" s="2" t="s">
        <v>146</v>
      </c>
      <c r="U201" s="2" t="s">
        <v>146</v>
      </c>
      <c r="V201" s="2" t="s">
        <v>146</v>
      </c>
      <c r="W201" s="2" t="s">
        <v>146</v>
      </c>
      <c r="X201" s="2" t="s">
        <v>146</v>
      </c>
      <c r="Y201" s="2" t="s">
        <v>146</v>
      </c>
      <c r="Z201" s="2" t="s">
        <v>146</v>
      </c>
      <c r="AA201" s="2" t="s">
        <v>146</v>
      </c>
      <c r="AB201" s="2" t="s">
        <v>146</v>
      </c>
      <c r="AC201" s="2" t="s">
        <v>146</v>
      </c>
      <c r="AD201" s="2" t="s">
        <v>146</v>
      </c>
      <c r="AE201" s="2" t="s">
        <v>146</v>
      </c>
      <c r="AF201" s="2" t="s">
        <v>146</v>
      </c>
      <c r="AG201" s="2" t="s">
        <v>146</v>
      </c>
      <c r="AH201" s="2" t="s">
        <v>146</v>
      </c>
      <c r="AI201" s="2" t="s">
        <v>146</v>
      </c>
      <c r="AJ201" s="2" t="s">
        <v>146</v>
      </c>
      <c r="AK201" s="2" t="s">
        <v>146</v>
      </c>
      <c r="AL201" s="2" t="s">
        <v>146</v>
      </c>
      <c r="AM201" s="2" t="s">
        <v>146</v>
      </c>
      <c r="AN201" s="2" t="s">
        <v>146</v>
      </c>
      <c r="AO201" s="2" t="s">
        <v>146</v>
      </c>
      <c r="AQ201" s="2">
        <f t="shared" si="33"/>
        <v>0</v>
      </c>
      <c r="AR201" s="2">
        <f t="shared" si="34"/>
        <v>0</v>
      </c>
      <c r="AT201" s="2">
        <f t="shared" si="35"/>
        <v>0</v>
      </c>
      <c r="AU201" s="2">
        <f t="shared" si="36"/>
        <v>0</v>
      </c>
      <c r="AV201" s="27" t="str">
        <f t="shared" si="37"/>
        <v/>
      </c>
      <c r="AY201" s="2">
        <f t="shared" si="38"/>
        <v>0</v>
      </c>
      <c r="AZ201" s="2">
        <f t="shared" si="39"/>
        <v>0</v>
      </c>
      <c r="BA201" s="2">
        <f t="shared" si="40"/>
        <v>0</v>
      </c>
      <c r="BB201" s="2">
        <f t="shared" si="41"/>
        <v>0</v>
      </c>
      <c r="BC201" s="2">
        <f t="shared" si="42"/>
        <v>0</v>
      </c>
      <c r="BD201" s="2">
        <f t="shared" si="43"/>
        <v>0</v>
      </c>
    </row>
    <row r="202" spans="1:56" ht="15" customHeight="1" x14ac:dyDescent="0.45">
      <c r="A202" s="2" t="s">
        <v>418</v>
      </c>
      <c r="B202" s="2" t="s">
        <v>107</v>
      </c>
      <c r="C202" s="2">
        <v>2019</v>
      </c>
      <c r="D202" s="2" t="s">
        <v>146</v>
      </c>
      <c r="E202" s="2" t="s">
        <v>146</v>
      </c>
      <c r="F202" s="2" t="s">
        <v>146</v>
      </c>
      <c r="G202" s="2" t="s">
        <v>146</v>
      </c>
      <c r="H202" s="2" t="s">
        <v>146</v>
      </c>
      <c r="I202" s="2" t="s">
        <v>146</v>
      </c>
      <c r="J202" s="2" t="s">
        <v>146</v>
      </c>
      <c r="K202" s="2" t="s">
        <v>146</v>
      </c>
      <c r="L202" s="2" t="s">
        <v>146</v>
      </c>
      <c r="M202" s="2" t="s">
        <v>146</v>
      </c>
      <c r="N202" s="2" t="s">
        <v>146</v>
      </c>
      <c r="O202" s="2" t="s">
        <v>146</v>
      </c>
      <c r="P202" s="2" t="s">
        <v>146</v>
      </c>
      <c r="Q202" s="2" t="s">
        <v>146</v>
      </c>
      <c r="R202" s="2" t="s">
        <v>146</v>
      </c>
      <c r="S202" s="2" t="s">
        <v>146</v>
      </c>
      <c r="T202" s="2" t="s">
        <v>146</v>
      </c>
      <c r="U202" s="2" t="s">
        <v>146</v>
      </c>
      <c r="V202" s="2" t="s">
        <v>146</v>
      </c>
      <c r="W202" s="2" t="s">
        <v>146</v>
      </c>
      <c r="X202" s="2" t="s">
        <v>146</v>
      </c>
      <c r="Y202" s="2" t="s">
        <v>146</v>
      </c>
      <c r="Z202" s="2" t="s">
        <v>146</v>
      </c>
      <c r="AA202" s="2" t="s">
        <v>146</v>
      </c>
      <c r="AB202" s="2" t="s">
        <v>146</v>
      </c>
      <c r="AC202" s="2" t="s">
        <v>146</v>
      </c>
      <c r="AD202" s="2" t="s">
        <v>146</v>
      </c>
      <c r="AE202" s="2" t="s">
        <v>146</v>
      </c>
      <c r="AF202" s="2" t="s">
        <v>146</v>
      </c>
      <c r="AG202" s="2" t="s">
        <v>146</v>
      </c>
      <c r="AH202" s="2" t="s">
        <v>146</v>
      </c>
      <c r="AI202" s="2" t="s">
        <v>146</v>
      </c>
      <c r="AJ202" s="2" t="s">
        <v>146</v>
      </c>
      <c r="AK202" s="2" t="s">
        <v>146</v>
      </c>
      <c r="AL202" s="2" t="s">
        <v>146</v>
      </c>
      <c r="AM202" s="2" t="s">
        <v>146</v>
      </c>
      <c r="AN202" s="2" t="s">
        <v>146</v>
      </c>
      <c r="AO202" s="2" t="s">
        <v>146</v>
      </c>
      <c r="AQ202" s="2">
        <f t="shared" si="33"/>
        <v>0</v>
      </c>
      <c r="AR202" s="2">
        <f t="shared" si="34"/>
        <v>0</v>
      </c>
      <c r="AT202" s="2">
        <f t="shared" si="35"/>
        <v>0</v>
      </c>
      <c r="AU202" s="2">
        <f t="shared" si="36"/>
        <v>0</v>
      </c>
      <c r="AV202" s="27" t="str">
        <f t="shared" si="37"/>
        <v/>
      </c>
      <c r="AY202" s="2">
        <f t="shared" si="38"/>
        <v>0</v>
      </c>
      <c r="AZ202" s="2">
        <f t="shared" si="39"/>
        <v>0</v>
      </c>
      <c r="BA202" s="2">
        <f t="shared" si="40"/>
        <v>0</v>
      </c>
      <c r="BB202" s="2">
        <f t="shared" si="41"/>
        <v>0</v>
      </c>
      <c r="BC202" s="2">
        <f t="shared" si="42"/>
        <v>0</v>
      </c>
      <c r="BD202" s="2">
        <f t="shared" si="43"/>
        <v>0</v>
      </c>
    </row>
    <row r="203" spans="1:56" ht="15" customHeight="1" x14ac:dyDescent="0.45">
      <c r="A203" s="2" t="s">
        <v>418</v>
      </c>
      <c r="B203" s="2" t="s">
        <v>420</v>
      </c>
      <c r="C203" s="2">
        <v>2019</v>
      </c>
      <c r="D203" s="2" t="s">
        <v>146</v>
      </c>
      <c r="E203" s="2" t="s">
        <v>146</v>
      </c>
      <c r="F203" s="2" t="s">
        <v>146</v>
      </c>
      <c r="G203" s="2" t="s">
        <v>146</v>
      </c>
      <c r="H203" s="2" t="s">
        <v>146</v>
      </c>
      <c r="I203" s="2" t="s">
        <v>146</v>
      </c>
      <c r="J203" s="2" t="s">
        <v>146</v>
      </c>
      <c r="K203" s="2" t="s">
        <v>146</v>
      </c>
      <c r="L203" s="2" t="s">
        <v>146</v>
      </c>
      <c r="M203" s="2" t="s">
        <v>146</v>
      </c>
      <c r="N203" s="2" t="s">
        <v>146</v>
      </c>
      <c r="O203" s="2" t="s">
        <v>146</v>
      </c>
      <c r="P203" s="2" t="s">
        <v>146</v>
      </c>
      <c r="Q203" s="2" t="s">
        <v>146</v>
      </c>
      <c r="R203" s="2" t="s">
        <v>146</v>
      </c>
      <c r="S203" s="2" t="s">
        <v>146</v>
      </c>
      <c r="T203" s="2" t="s">
        <v>146</v>
      </c>
      <c r="U203" s="2" t="s">
        <v>146</v>
      </c>
      <c r="V203" s="2" t="s">
        <v>146</v>
      </c>
      <c r="W203" s="2" t="s">
        <v>146</v>
      </c>
      <c r="X203" s="2" t="s">
        <v>146</v>
      </c>
      <c r="Y203" s="2" t="s">
        <v>146</v>
      </c>
      <c r="Z203" s="2" t="s">
        <v>146</v>
      </c>
      <c r="AA203" s="2" t="s">
        <v>146</v>
      </c>
      <c r="AB203" s="2" t="s">
        <v>146</v>
      </c>
      <c r="AC203" s="2" t="s">
        <v>146</v>
      </c>
      <c r="AD203" s="2" t="s">
        <v>146</v>
      </c>
      <c r="AE203" s="2" t="s">
        <v>146</v>
      </c>
      <c r="AF203" s="2" t="s">
        <v>146</v>
      </c>
      <c r="AG203" s="2" t="s">
        <v>146</v>
      </c>
      <c r="AH203" s="2" t="s">
        <v>146</v>
      </c>
      <c r="AI203" s="2" t="s">
        <v>146</v>
      </c>
      <c r="AJ203" s="2" t="s">
        <v>146</v>
      </c>
      <c r="AK203" s="2" t="s">
        <v>146</v>
      </c>
      <c r="AL203" s="2" t="s">
        <v>146</v>
      </c>
      <c r="AM203" s="2" t="s">
        <v>146</v>
      </c>
      <c r="AN203" s="2" t="s">
        <v>146</v>
      </c>
      <c r="AO203" s="2" t="s">
        <v>146</v>
      </c>
      <c r="AQ203" s="2">
        <f t="shared" si="33"/>
        <v>0</v>
      </c>
      <c r="AR203" s="2">
        <f t="shared" si="34"/>
        <v>0</v>
      </c>
      <c r="AT203" s="2">
        <f t="shared" si="35"/>
        <v>0</v>
      </c>
      <c r="AU203" s="2">
        <f t="shared" si="36"/>
        <v>0</v>
      </c>
      <c r="AV203" s="27" t="str">
        <f t="shared" si="37"/>
        <v/>
      </c>
      <c r="AY203" s="2">
        <f t="shared" si="38"/>
        <v>0</v>
      </c>
      <c r="AZ203" s="2">
        <f t="shared" si="39"/>
        <v>0</v>
      </c>
      <c r="BA203" s="2">
        <f t="shared" si="40"/>
        <v>0</v>
      </c>
      <c r="BB203" s="2">
        <f t="shared" si="41"/>
        <v>0</v>
      </c>
      <c r="BC203" s="2">
        <f t="shared" si="42"/>
        <v>0</v>
      </c>
      <c r="BD203" s="2">
        <f t="shared" si="43"/>
        <v>0</v>
      </c>
    </row>
    <row r="204" spans="1:56" ht="15" customHeight="1" x14ac:dyDescent="0.45">
      <c r="A204" s="2" t="s">
        <v>418</v>
      </c>
      <c r="B204" s="2" t="s">
        <v>419</v>
      </c>
      <c r="C204" s="2">
        <v>2019</v>
      </c>
      <c r="D204" s="2" t="s">
        <v>146</v>
      </c>
      <c r="E204" s="2" t="s">
        <v>146</v>
      </c>
      <c r="F204" s="2" t="s">
        <v>146</v>
      </c>
      <c r="G204" s="2" t="s">
        <v>146</v>
      </c>
      <c r="H204" s="2" t="s">
        <v>146</v>
      </c>
      <c r="I204" s="2" t="s">
        <v>146</v>
      </c>
      <c r="J204" s="2" t="s">
        <v>146</v>
      </c>
      <c r="K204" s="2" t="s">
        <v>146</v>
      </c>
      <c r="L204" s="2" t="s">
        <v>146</v>
      </c>
      <c r="M204" s="2" t="s">
        <v>146</v>
      </c>
      <c r="N204" s="2" t="s">
        <v>146</v>
      </c>
      <c r="O204" s="2" t="s">
        <v>146</v>
      </c>
      <c r="P204" s="2" t="s">
        <v>146</v>
      </c>
      <c r="Q204" s="2" t="s">
        <v>146</v>
      </c>
      <c r="R204" s="2" t="s">
        <v>146</v>
      </c>
      <c r="S204" s="2" t="s">
        <v>146</v>
      </c>
      <c r="T204" s="2" t="s">
        <v>146</v>
      </c>
      <c r="U204" s="2" t="s">
        <v>146</v>
      </c>
      <c r="V204" s="2" t="s">
        <v>146</v>
      </c>
      <c r="W204" s="2" t="s">
        <v>146</v>
      </c>
      <c r="X204" s="2" t="s">
        <v>146</v>
      </c>
      <c r="Y204" s="2" t="s">
        <v>146</v>
      </c>
      <c r="Z204" s="2" t="s">
        <v>146</v>
      </c>
      <c r="AA204" s="2" t="s">
        <v>146</v>
      </c>
      <c r="AB204" s="2" t="s">
        <v>146</v>
      </c>
      <c r="AC204" s="2" t="s">
        <v>146</v>
      </c>
      <c r="AD204" s="2" t="s">
        <v>146</v>
      </c>
      <c r="AE204" s="2" t="s">
        <v>146</v>
      </c>
      <c r="AF204" s="2" t="s">
        <v>146</v>
      </c>
      <c r="AG204" s="2" t="s">
        <v>146</v>
      </c>
      <c r="AH204" s="2" t="s">
        <v>146</v>
      </c>
      <c r="AI204" s="2" t="s">
        <v>146</v>
      </c>
      <c r="AJ204" s="2" t="s">
        <v>146</v>
      </c>
      <c r="AK204" s="2" t="s">
        <v>146</v>
      </c>
      <c r="AL204" s="2" t="s">
        <v>146</v>
      </c>
      <c r="AM204" s="2" t="s">
        <v>146</v>
      </c>
      <c r="AN204" s="2" t="s">
        <v>146</v>
      </c>
      <c r="AO204" s="2" t="s">
        <v>146</v>
      </c>
      <c r="AQ204" s="2">
        <f t="shared" si="33"/>
        <v>0</v>
      </c>
      <c r="AR204" s="2">
        <f t="shared" si="34"/>
        <v>0</v>
      </c>
      <c r="AT204" s="2">
        <f t="shared" si="35"/>
        <v>0</v>
      </c>
      <c r="AU204" s="2">
        <f t="shared" si="36"/>
        <v>0</v>
      </c>
      <c r="AV204" s="27" t="str">
        <f t="shared" si="37"/>
        <v/>
      </c>
      <c r="AY204" s="2">
        <f t="shared" si="38"/>
        <v>0</v>
      </c>
      <c r="AZ204" s="2">
        <f t="shared" si="39"/>
        <v>0</v>
      </c>
      <c r="BA204" s="2">
        <f t="shared" si="40"/>
        <v>0</v>
      </c>
      <c r="BB204" s="2">
        <f t="shared" si="41"/>
        <v>0</v>
      </c>
      <c r="BC204" s="2">
        <f t="shared" si="42"/>
        <v>0</v>
      </c>
      <c r="BD204" s="2">
        <f t="shared" si="43"/>
        <v>0</v>
      </c>
    </row>
    <row r="205" spans="1:56" ht="15" customHeight="1" x14ac:dyDescent="0.45">
      <c r="A205" s="2" t="s">
        <v>418</v>
      </c>
      <c r="B205" s="2" t="s">
        <v>109</v>
      </c>
      <c r="C205" s="2">
        <v>2019</v>
      </c>
      <c r="D205" s="2" t="s">
        <v>146</v>
      </c>
      <c r="E205" s="2" t="s">
        <v>146</v>
      </c>
      <c r="F205" s="2" t="s">
        <v>146</v>
      </c>
      <c r="G205" s="2" t="s">
        <v>146</v>
      </c>
      <c r="H205" s="2" t="s">
        <v>146</v>
      </c>
      <c r="I205" s="2" t="s">
        <v>146</v>
      </c>
      <c r="J205" s="2" t="s">
        <v>146</v>
      </c>
      <c r="K205" s="2" t="s">
        <v>146</v>
      </c>
      <c r="L205" s="2" t="s">
        <v>146</v>
      </c>
      <c r="M205" s="2" t="s">
        <v>146</v>
      </c>
      <c r="N205" s="2" t="s">
        <v>146</v>
      </c>
      <c r="O205" s="2" t="s">
        <v>146</v>
      </c>
      <c r="P205" s="2" t="s">
        <v>146</v>
      </c>
      <c r="Q205" s="2" t="s">
        <v>146</v>
      </c>
      <c r="R205" s="2" t="s">
        <v>146</v>
      </c>
      <c r="S205" s="2" t="s">
        <v>146</v>
      </c>
      <c r="T205" s="2" t="s">
        <v>146</v>
      </c>
      <c r="U205" s="2" t="s">
        <v>146</v>
      </c>
      <c r="V205" s="2" t="s">
        <v>146</v>
      </c>
      <c r="W205" s="2" t="s">
        <v>146</v>
      </c>
      <c r="X205" s="2" t="s">
        <v>146</v>
      </c>
      <c r="Y205" s="2" t="s">
        <v>146</v>
      </c>
      <c r="Z205" s="2" t="s">
        <v>146</v>
      </c>
      <c r="AA205" s="2" t="s">
        <v>146</v>
      </c>
      <c r="AB205" s="2" t="s">
        <v>146</v>
      </c>
      <c r="AC205" s="2" t="s">
        <v>146</v>
      </c>
      <c r="AD205" s="2" t="s">
        <v>146</v>
      </c>
      <c r="AE205" s="2" t="s">
        <v>146</v>
      </c>
      <c r="AF205" s="2" t="s">
        <v>146</v>
      </c>
      <c r="AG205" s="2" t="s">
        <v>146</v>
      </c>
      <c r="AH205" s="2" t="s">
        <v>146</v>
      </c>
      <c r="AI205" s="2" t="s">
        <v>146</v>
      </c>
      <c r="AJ205" s="2" t="s">
        <v>146</v>
      </c>
      <c r="AK205" s="2" t="s">
        <v>146</v>
      </c>
      <c r="AL205" s="2" t="s">
        <v>146</v>
      </c>
      <c r="AM205" s="2" t="s">
        <v>146</v>
      </c>
      <c r="AN205" s="2" t="s">
        <v>146</v>
      </c>
      <c r="AO205" s="2" t="s">
        <v>146</v>
      </c>
      <c r="AQ205" s="2">
        <f t="shared" si="33"/>
        <v>0</v>
      </c>
      <c r="AR205" s="2">
        <f t="shared" si="34"/>
        <v>0</v>
      </c>
      <c r="AT205" s="2">
        <f t="shared" si="35"/>
        <v>0</v>
      </c>
      <c r="AU205" s="2">
        <f t="shared" si="36"/>
        <v>0</v>
      </c>
      <c r="AV205" s="27" t="str">
        <f t="shared" si="37"/>
        <v/>
      </c>
      <c r="AY205" s="2">
        <f t="shared" si="38"/>
        <v>0</v>
      </c>
      <c r="AZ205" s="2">
        <f t="shared" si="39"/>
        <v>0</v>
      </c>
      <c r="BA205" s="2">
        <f t="shared" si="40"/>
        <v>0</v>
      </c>
      <c r="BB205" s="2">
        <f t="shared" si="41"/>
        <v>0</v>
      </c>
      <c r="BC205" s="2">
        <f t="shared" si="42"/>
        <v>0</v>
      </c>
      <c r="BD205" s="2">
        <f t="shared" si="43"/>
        <v>0</v>
      </c>
    </row>
    <row r="206" spans="1:56" ht="15" customHeight="1" x14ac:dyDescent="0.45">
      <c r="A206" s="2" t="s">
        <v>416</v>
      </c>
      <c r="B206" s="2" t="s">
        <v>417</v>
      </c>
      <c r="C206" s="2">
        <v>2019</v>
      </c>
      <c r="D206" s="2" t="s">
        <v>146</v>
      </c>
      <c r="E206" s="2" t="s">
        <v>146</v>
      </c>
      <c r="F206" s="2" t="s">
        <v>146</v>
      </c>
      <c r="G206" s="2" t="s">
        <v>146</v>
      </c>
      <c r="H206" s="2" t="s">
        <v>146</v>
      </c>
      <c r="I206" s="2" t="s">
        <v>146</v>
      </c>
      <c r="J206" s="2" t="s">
        <v>146</v>
      </c>
      <c r="K206" s="2" t="s">
        <v>146</v>
      </c>
      <c r="L206" s="2" t="s">
        <v>146</v>
      </c>
      <c r="M206" s="2" t="s">
        <v>146</v>
      </c>
      <c r="N206" s="2" t="s">
        <v>146</v>
      </c>
      <c r="O206" s="2" t="s">
        <v>146</v>
      </c>
      <c r="P206" s="2" t="s">
        <v>146</v>
      </c>
      <c r="Q206" s="2" t="s">
        <v>146</v>
      </c>
      <c r="R206" s="2" t="s">
        <v>146</v>
      </c>
      <c r="S206" s="2" t="s">
        <v>146</v>
      </c>
      <c r="T206" s="2" t="s">
        <v>146</v>
      </c>
      <c r="U206" s="2" t="s">
        <v>146</v>
      </c>
      <c r="V206" s="2" t="s">
        <v>146</v>
      </c>
      <c r="W206" s="2" t="s">
        <v>146</v>
      </c>
      <c r="X206" s="2" t="s">
        <v>146</v>
      </c>
      <c r="Y206" s="2" t="s">
        <v>146</v>
      </c>
      <c r="Z206" s="2" t="s">
        <v>146</v>
      </c>
      <c r="AA206" s="2" t="s">
        <v>146</v>
      </c>
      <c r="AB206" s="2" t="s">
        <v>146</v>
      </c>
      <c r="AC206" s="2" t="s">
        <v>146</v>
      </c>
      <c r="AD206" s="2" t="s">
        <v>146</v>
      </c>
      <c r="AE206" s="2" t="s">
        <v>146</v>
      </c>
      <c r="AF206" s="2" t="s">
        <v>146</v>
      </c>
      <c r="AG206" s="2" t="s">
        <v>146</v>
      </c>
      <c r="AH206" s="2" t="s">
        <v>146</v>
      </c>
      <c r="AI206" s="2" t="s">
        <v>146</v>
      </c>
      <c r="AJ206" s="2" t="s">
        <v>146</v>
      </c>
      <c r="AK206" s="2" t="s">
        <v>146</v>
      </c>
      <c r="AL206" s="2" t="s">
        <v>146</v>
      </c>
      <c r="AM206" s="2" t="s">
        <v>146</v>
      </c>
      <c r="AN206" s="2" t="s">
        <v>146</v>
      </c>
      <c r="AO206" s="2" t="s">
        <v>146</v>
      </c>
      <c r="AQ206" s="2">
        <f t="shared" si="33"/>
        <v>0</v>
      </c>
      <c r="AR206" s="2">
        <f t="shared" si="34"/>
        <v>0</v>
      </c>
      <c r="AT206" s="2">
        <f t="shared" si="35"/>
        <v>0</v>
      </c>
      <c r="AU206" s="2">
        <f t="shared" si="36"/>
        <v>0</v>
      </c>
      <c r="AV206" s="27" t="str">
        <f t="shared" si="37"/>
        <v/>
      </c>
      <c r="AY206" s="2">
        <f t="shared" si="38"/>
        <v>0</v>
      </c>
      <c r="AZ206" s="2">
        <f t="shared" si="39"/>
        <v>0</v>
      </c>
      <c r="BA206" s="2">
        <f t="shared" si="40"/>
        <v>0</v>
      </c>
      <c r="BB206" s="2">
        <f t="shared" si="41"/>
        <v>0</v>
      </c>
      <c r="BC206" s="2">
        <f t="shared" si="42"/>
        <v>0</v>
      </c>
      <c r="BD206" s="2">
        <f t="shared" si="43"/>
        <v>0</v>
      </c>
    </row>
    <row r="207" spans="1:56" ht="15" customHeight="1" x14ac:dyDescent="0.45">
      <c r="A207" s="2" t="s">
        <v>416</v>
      </c>
      <c r="B207" s="2" t="s">
        <v>415</v>
      </c>
      <c r="C207" s="2">
        <v>2019</v>
      </c>
      <c r="D207" s="2" t="s">
        <v>146</v>
      </c>
      <c r="E207" s="2" t="s">
        <v>146</v>
      </c>
      <c r="F207" s="2" t="s">
        <v>146</v>
      </c>
      <c r="G207" s="2" t="s">
        <v>146</v>
      </c>
      <c r="H207" s="2" t="s">
        <v>146</v>
      </c>
      <c r="I207" s="2" t="s">
        <v>146</v>
      </c>
      <c r="J207" s="2" t="s">
        <v>146</v>
      </c>
      <c r="K207" s="2" t="s">
        <v>146</v>
      </c>
      <c r="L207" s="2" t="s">
        <v>146</v>
      </c>
      <c r="M207" s="2" t="s">
        <v>146</v>
      </c>
      <c r="N207" s="2" t="s">
        <v>146</v>
      </c>
      <c r="O207" s="2" t="s">
        <v>146</v>
      </c>
      <c r="P207" s="2" t="s">
        <v>146</v>
      </c>
      <c r="Q207" s="2" t="s">
        <v>146</v>
      </c>
      <c r="R207" s="2" t="s">
        <v>146</v>
      </c>
      <c r="S207" s="2" t="s">
        <v>146</v>
      </c>
      <c r="T207" s="2" t="s">
        <v>146</v>
      </c>
      <c r="U207" s="2" t="s">
        <v>146</v>
      </c>
      <c r="V207" s="2" t="s">
        <v>146</v>
      </c>
      <c r="W207" s="2" t="s">
        <v>146</v>
      </c>
      <c r="X207" s="2" t="s">
        <v>146</v>
      </c>
      <c r="Y207" s="2" t="s">
        <v>146</v>
      </c>
      <c r="Z207" s="2" t="s">
        <v>146</v>
      </c>
      <c r="AA207" s="2" t="s">
        <v>146</v>
      </c>
      <c r="AB207" s="2" t="s">
        <v>146</v>
      </c>
      <c r="AC207" s="2" t="s">
        <v>146</v>
      </c>
      <c r="AD207" s="2" t="s">
        <v>146</v>
      </c>
      <c r="AE207" s="2" t="s">
        <v>146</v>
      </c>
      <c r="AF207" s="2" t="s">
        <v>146</v>
      </c>
      <c r="AG207" s="2" t="s">
        <v>146</v>
      </c>
      <c r="AH207" s="2" t="s">
        <v>146</v>
      </c>
      <c r="AI207" s="2" t="s">
        <v>146</v>
      </c>
      <c r="AJ207" s="2" t="s">
        <v>146</v>
      </c>
      <c r="AK207" s="2" t="s">
        <v>146</v>
      </c>
      <c r="AL207" s="2" t="s">
        <v>146</v>
      </c>
      <c r="AM207" s="2" t="s">
        <v>146</v>
      </c>
      <c r="AN207" s="2" t="s">
        <v>146</v>
      </c>
      <c r="AO207" s="2" t="s">
        <v>146</v>
      </c>
      <c r="AQ207" s="2">
        <f t="shared" si="33"/>
        <v>0</v>
      </c>
      <c r="AR207" s="2">
        <f t="shared" si="34"/>
        <v>0</v>
      </c>
      <c r="AT207" s="2">
        <f t="shared" si="35"/>
        <v>0</v>
      </c>
      <c r="AU207" s="2">
        <f t="shared" si="36"/>
        <v>0</v>
      </c>
      <c r="AV207" s="27" t="str">
        <f t="shared" si="37"/>
        <v/>
      </c>
      <c r="AY207" s="2">
        <f t="shared" si="38"/>
        <v>0</v>
      </c>
      <c r="AZ207" s="2">
        <f t="shared" si="39"/>
        <v>0</v>
      </c>
      <c r="BA207" s="2">
        <f t="shared" si="40"/>
        <v>0</v>
      </c>
      <c r="BB207" s="2">
        <f t="shared" si="41"/>
        <v>0</v>
      </c>
      <c r="BC207" s="2">
        <f t="shared" si="42"/>
        <v>0</v>
      </c>
      <c r="BD207" s="2">
        <f t="shared" si="43"/>
        <v>0</v>
      </c>
    </row>
    <row r="208" spans="1:56" ht="15" customHeight="1" x14ac:dyDescent="0.45">
      <c r="A208" s="2" t="s">
        <v>413</v>
      </c>
      <c r="B208" s="2" t="s">
        <v>414</v>
      </c>
      <c r="C208" s="2">
        <v>2019</v>
      </c>
      <c r="D208" s="2" t="s">
        <v>146</v>
      </c>
      <c r="E208" s="2" t="s">
        <v>146</v>
      </c>
      <c r="F208" s="2" t="s">
        <v>146</v>
      </c>
      <c r="G208" s="2" t="s">
        <v>146</v>
      </c>
      <c r="H208" s="2" t="s">
        <v>146</v>
      </c>
      <c r="I208" s="2" t="s">
        <v>146</v>
      </c>
      <c r="J208" s="2" t="s">
        <v>146</v>
      </c>
      <c r="K208" s="2" t="s">
        <v>146</v>
      </c>
      <c r="L208" s="2" t="s">
        <v>146</v>
      </c>
      <c r="M208" s="2" t="s">
        <v>146</v>
      </c>
      <c r="N208" s="2" t="s">
        <v>146</v>
      </c>
      <c r="O208" s="2" t="s">
        <v>146</v>
      </c>
      <c r="P208" s="2" t="s">
        <v>146</v>
      </c>
      <c r="Q208" s="2" t="s">
        <v>146</v>
      </c>
      <c r="R208" s="2" t="s">
        <v>146</v>
      </c>
      <c r="S208" s="2" t="s">
        <v>146</v>
      </c>
      <c r="T208" s="2" t="s">
        <v>146</v>
      </c>
      <c r="U208" s="2" t="s">
        <v>146</v>
      </c>
      <c r="V208" s="2" t="s">
        <v>146</v>
      </c>
      <c r="W208" s="2" t="s">
        <v>146</v>
      </c>
      <c r="X208" s="2" t="s">
        <v>146</v>
      </c>
      <c r="Y208" s="2" t="s">
        <v>146</v>
      </c>
      <c r="Z208" s="2" t="s">
        <v>146</v>
      </c>
      <c r="AA208" s="2" t="s">
        <v>146</v>
      </c>
      <c r="AB208" s="2" t="s">
        <v>146</v>
      </c>
      <c r="AC208" s="2" t="s">
        <v>146</v>
      </c>
      <c r="AD208" s="2" t="s">
        <v>146</v>
      </c>
      <c r="AE208" s="2" t="s">
        <v>146</v>
      </c>
      <c r="AF208" s="2" t="s">
        <v>146</v>
      </c>
      <c r="AG208" s="2" t="s">
        <v>146</v>
      </c>
      <c r="AH208" s="2" t="s">
        <v>146</v>
      </c>
      <c r="AI208" s="2" t="s">
        <v>146</v>
      </c>
      <c r="AJ208" s="2" t="s">
        <v>146</v>
      </c>
      <c r="AK208" s="2" t="s">
        <v>146</v>
      </c>
      <c r="AL208" s="2" t="s">
        <v>146</v>
      </c>
      <c r="AM208" s="2" t="s">
        <v>146</v>
      </c>
      <c r="AN208" s="2" t="s">
        <v>146</v>
      </c>
      <c r="AO208" s="2" t="s">
        <v>146</v>
      </c>
      <c r="AQ208" s="2">
        <f t="shared" si="33"/>
        <v>0</v>
      </c>
      <c r="AR208" s="2">
        <f t="shared" si="34"/>
        <v>0</v>
      </c>
      <c r="AT208" s="2">
        <f t="shared" si="35"/>
        <v>0</v>
      </c>
      <c r="AU208" s="2">
        <f t="shared" si="36"/>
        <v>0</v>
      </c>
      <c r="AV208" s="27" t="str">
        <f t="shared" si="37"/>
        <v/>
      </c>
      <c r="AY208" s="2">
        <f t="shared" si="38"/>
        <v>0</v>
      </c>
      <c r="AZ208" s="2">
        <f t="shared" si="39"/>
        <v>0</v>
      </c>
      <c r="BA208" s="2">
        <f t="shared" si="40"/>
        <v>0</v>
      </c>
      <c r="BB208" s="2">
        <f t="shared" si="41"/>
        <v>0</v>
      </c>
      <c r="BC208" s="2">
        <f t="shared" si="42"/>
        <v>0</v>
      </c>
      <c r="BD208" s="2">
        <f t="shared" si="43"/>
        <v>0</v>
      </c>
    </row>
    <row r="209" spans="1:56" ht="15" customHeight="1" x14ac:dyDescent="0.45">
      <c r="A209" s="2" t="s">
        <v>413</v>
      </c>
      <c r="B209" s="2" t="s">
        <v>412</v>
      </c>
      <c r="C209" s="2">
        <v>2019</v>
      </c>
      <c r="D209" s="2">
        <v>95.6</v>
      </c>
      <c r="E209" s="2">
        <v>18</v>
      </c>
      <c r="F209" s="2" t="s">
        <v>146</v>
      </c>
      <c r="G209" s="2" t="s">
        <v>146</v>
      </c>
      <c r="H209" s="2" t="s">
        <v>146</v>
      </c>
      <c r="I209" s="2">
        <v>144.80000000000001</v>
      </c>
      <c r="J209" s="2" t="s">
        <v>146</v>
      </c>
      <c r="K209" s="2">
        <v>0.2</v>
      </c>
      <c r="L209" s="2" t="s">
        <v>146</v>
      </c>
      <c r="M209" s="2" t="s">
        <v>146</v>
      </c>
      <c r="N209" s="2" t="s">
        <v>146</v>
      </c>
      <c r="O209" s="2" t="s">
        <v>146</v>
      </c>
      <c r="P209" s="2" t="s">
        <v>146</v>
      </c>
      <c r="Q209" s="2">
        <v>0.4</v>
      </c>
      <c r="R209" s="2">
        <v>0.9</v>
      </c>
      <c r="S209" s="2">
        <v>1.8</v>
      </c>
      <c r="T209" s="2" t="s">
        <v>146</v>
      </c>
      <c r="U209" s="2" t="s">
        <v>146</v>
      </c>
      <c r="V209" s="2" t="s">
        <v>146</v>
      </c>
      <c r="W209" s="2" t="s">
        <v>147</v>
      </c>
      <c r="X209" s="2" t="s">
        <v>146</v>
      </c>
      <c r="Y209" s="2" t="s">
        <v>146</v>
      </c>
      <c r="Z209" s="2" t="s">
        <v>146</v>
      </c>
      <c r="AA209" s="2">
        <v>125.5</v>
      </c>
      <c r="AB209" s="2" t="s">
        <v>146</v>
      </c>
      <c r="AC209" s="2" t="s">
        <v>146</v>
      </c>
      <c r="AD209" s="2" t="s">
        <v>146</v>
      </c>
      <c r="AE209" s="2" t="s">
        <v>146</v>
      </c>
      <c r="AF209" s="2" t="s">
        <v>146</v>
      </c>
      <c r="AG209" s="2" t="s">
        <v>146</v>
      </c>
      <c r="AH209" s="2" t="s">
        <v>146</v>
      </c>
      <c r="AI209" s="2" t="s">
        <v>146</v>
      </c>
      <c r="AJ209" s="2" t="s">
        <v>146</v>
      </c>
      <c r="AK209" s="2">
        <v>16</v>
      </c>
      <c r="AL209" s="2">
        <v>100</v>
      </c>
      <c r="AM209" s="2" t="s">
        <v>146</v>
      </c>
      <c r="AN209" s="2" t="s">
        <v>146</v>
      </c>
      <c r="AO209" s="2" t="s">
        <v>146</v>
      </c>
      <c r="AQ209" s="2">
        <f t="shared" si="33"/>
        <v>128.80000000000001</v>
      </c>
      <c r="AR209" s="2">
        <f t="shared" si="34"/>
        <v>144.80000000000001</v>
      </c>
      <c r="AT209" s="2">
        <f t="shared" si="35"/>
        <v>95.6</v>
      </c>
      <c r="AU209" s="2">
        <f t="shared" si="36"/>
        <v>18</v>
      </c>
      <c r="AV209" s="27">
        <f t="shared" si="37"/>
        <v>0.78453038674033138</v>
      </c>
      <c r="AY209" s="2">
        <f t="shared" si="38"/>
        <v>16</v>
      </c>
      <c r="AZ209" s="2">
        <f t="shared" si="39"/>
        <v>16</v>
      </c>
      <c r="BA209" s="2">
        <f t="shared" si="40"/>
        <v>0</v>
      </c>
      <c r="BB209" s="2">
        <f t="shared" si="41"/>
        <v>0</v>
      </c>
      <c r="BC209" s="2">
        <f t="shared" si="42"/>
        <v>0</v>
      </c>
      <c r="BD209" s="2">
        <f t="shared" si="43"/>
        <v>0</v>
      </c>
    </row>
    <row r="210" spans="1:56" ht="15" customHeight="1" x14ac:dyDescent="0.45">
      <c r="A210" s="2" t="s">
        <v>411</v>
      </c>
      <c r="B210" s="2" t="s">
        <v>410</v>
      </c>
      <c r="C210" s="2">
        <v>2019</v>
      </c>
      <c r="D210" s="2" t="s">
        <v>146</v>
      </c>
      <c r="E210" s="2" t="s">
        <v>146</v>
      </c>
      <c r="F210" s="2" t="s">
        <v>146</v>
      </c>
      <c r="G210" s="2" t="s">
        <v>146</v>
      </c>
      <c r="H210" s="2" t="s">
        <v>146</v>
      </c>
      <c r="I210" s="2" t="s">
        <v>146</v>
      </c>
      <c r="J210" s="2" t="s">
        <v>146</v>
      </c>
      <c r="K210" s="2" t="s">
        <v>146</v>
      </c>
      <c r="L210" s="2" t="s">
        <v>146</v>
      </c>
      <c r="M210" s="2" t="s">
        <v>146</v>
      </c>
      <c r="N210" s="2" t="s">
        <v>146</v>
      </c>
      <c r="O210" s="2" t="s">
        <v>146</v>
      </c>
      <c r="P210" s="2" t="s">
        <v>146</v>
      </c>
      <c r="Q210" s="2" t="s">
        <v>146</v>
      </c>
      <c r="R210" s="2" t="s">
        <v>146</v>
      </c>
      <c r="S210" s="2" t="s">
        <v>146</v>
      </c>
      <c r="T210" s="2" t="s">
        <v>146</v>
      </c>
      <c r="U210" s="2" t="s">
        <v>146</v>
      </c>
      <c r="V210" s="2" t="s">
        <v>146</v>
      </c>
      <c r="W210" s="2" t="s">
        <v>146</v>
      </c>
      <c r="X210" s="2" t="s">
        <v>146</v>
      </c>
      <c r="Y210" s="2" t="s">
        <v>146</v>
      </c>
      <c r="Z210" s="2" t="s">
        <v>146</v>
      </c>
      <c r="AA210" s="2" t="s">
        <v>146</v>
      </c>
      <c r="AB210" s="2" t="s">
        <v>146</v>
      </c>
      <c r="AC210" s="2" t="s">
        <v>146</v>
      </c>
      <c r="AD210" s="2" t="s">
        <v>146</v>
      </c>
      <c r="AE210" s="2" t="s">
        <v>146</v>
      </c>
      <c r="AF210" s="2" t="s">
        <v>146</v>
      </c>
      <c r="AG210" s="2" t="s">
        <v>146</v>
      </c>
      <c r="AH210" s="2" t="s">
        <v>146</v>
      </c>
      <c r="AI210" s="2" t="s">
        <v>146</v>
      </c>
      <c r="AJ210" s="2" t="s">
        <v>146</v>
      </c>
      <c r="AK210" s="2" t="s">
        <v>146</v>
      </c>
      <c r="AL210" s="2" t="s">
        <v>146</v>
      </c>
      <c r="AM210" s="2" t="s">
        <v>146</v>
      </c>
      <c r="AN210" s="2" t="s">
        <v>146</v>
      </c>
      <c r="AO210" s="2" t="s">
        <v>146</v>
      </c>
      <c r="AQ210" s="2">
        <f t="shared" si="33"/>
        <v>0</v>
      </c>
      <c r="AR210" s="2">
        <f t="shared" si="34"/>
        <v>0</v>
      </c>
      <c r="AT210" s="2">
        <f t="shared" si="35"/>
        <v>0</v>
      </c>
      <c r="AU210" s="2">
        <f t="shared" si="36"/>
        <v>0</v>
      </c>
      <c r="AV210" s="27" t="str">
        <f t="shared" si="37"/>
        <v/>
      </c>
      <c r="AY210" s="2">
        <f t="shared" si="38"/>
        <v>0</v>
      </c>
      <c r="AZ210" s="2">
        <f t="shared" si="39"/>
        <v>0</v>
      </c>
      <c r="BA210" s="2">
        <f t="shared" si="40"/>
        <v>0</v>
      </c>
      <c r="BB210" s="2">
        <f t="shared" si="41"/>
        <v>0</v>
      </c>
      <c r="BC210" s="2">
        <f t="shared" si="42"/>
        <v>0</v>
      </c>
      <c r="BD210" s="2">
        <f t="shared" si="43"/>
        <v>0</v>
      </c>
    </row>
    <row r="211" spans="1:56" ht="15" customHeight="1" x14ac:dyDescent="0.45">
      <c r="A211" s="2" t="s">
        <v>111</v>
      </c>
      <c r="B211" s="2" t="s">
        <v>409</v>
      </c>
      <c r="C211" s="2">
        <v>2019</v>
      </c>
      <c r="D211" s="2" t="s">
        <v>146</v>
      </c>
      <c r="E211" s="2" t="s">
        <v>146</v>
      </c>
      <c r="F211" s="2" t="s">
        <v>146</v>
      </c>
      <c r="G211" s="2" t="s">
        <v>146</v>
      </c>
      <c r="H211" s="2" t="s">
        <v>146</v>
      </c>
      <c r="I211" s="2" t="s">
        <v>146</v>
      </c>
      <c r="J211" s="2" t="s">
        <v>146</v>
      </c>
      <c r="K211" s="2" t="s">
        <v>146</v>
      </c>
      <c r="L211" s="2" t="s">
        <v>146</v>
      </c>
      <c r="M211" s="2" t="s">
        <v>146</v>
      </c>
      <c r="N211" s="2" t="s">
        <v>146</v>
      </c>
      <c r="O211" s="2" t="s">
        <v>146</v>
      </c>
      <c r="P211" s="2" t="s">
        <v>146</v>
      </c>
      <c r="Q211" s="2" t="s">
        <v>146</v>
      </c>
      <c r="R211" s="2" t="s">
        <v>146</v>
      </c>
      <c r="S211" s="2" t="s">
        <v>146</v>
      </c>
      <c r="T211" s="2" t="s">
        <v>146</v>
      </c>
      <c r="U211" s="2" t="s">
        <v>146</v>
      </c>
      <c r="V211" s="2" t="s">
        <v>146</v>
      </c>
      <c r="W211" s="2" t="s">
        <v>146</v>
      </c>
      <c r="X211" s="2" t="s">
        <v>146</v>
      </c>
      <c r="Y211" s="2" t="s">
        <v>146</v>
      </c>
      <c r="Z211" s="2" t="s">
        <v>146</v>
      </c>
      <c r="AA211" s="2" t="s">
        <v>146</v>
      </c>
      <c r="AB211" s="2" t="s">
        <v>146</v>
      </c>
      <c r="AC211" s="2" t="s">
        <v>146</v>
      </c>
      <c r="AD211" s="2" t="s">
        <v>146</v>
      </c>
      <c r="AE211" s="2" t="s">
        <v>146</v>
      </c>
      <c r="AF211" s="2" t="s">
        <v>146</v>
      </c>
      <c r="AG211" s="2" t="s">
        <v>146</v>
      </c>
      <c r="AH211" s="2" t="s">
        <v>146</v>
      </c>
      <c r="AI211" s="2" t="s">
        <v>146</v>
      </c>
      <c r="AJ211" s="2" t="s">
        <v>146</v>
      </c>
      <c r="AK211" s="2" t="s">
        <v>146</v>
      </c>
      <c r="AL211" s="2" t="s">
        <v>146</v>
      </c>
      <c r="AM211" s="2" t="s">
        <v>146</v>
      </c>
      <c r="AN211" s="2" t="s">
        <v>146</v>
      </c>
      <c r="AO211" s="2" t="s">
        <v>146</v>
      </c>
      <c r="AQ211" s="2">
        <f t="shared" si="33"/>
        <v>0</v>
      </c>
      <c r="AR211" s="2">
        <f t="shared" si="34"/>
        <v>0</v>
      </c>
      <c r="AT211" s="2">
        <f t="shared" si="35"/>
        <v>0</v>
      </c>
      <c r="AU211" s="2">
        <f t="shared" si="36"/>
        <v>0</v>
      </c>
      <c r="AV211" s="27" t="str">
        <f t="shared" si="37"/>
        <v/>
      </c>
      <c r="AY211" s="2">
        <f t="shared" si="38"/>
        <v>0</v>
      </c>
      <c r="AZ211" s="2">
        <f t="shared" si="39"/>
        <v>0</v>
      </c>
      <c r="BA211" s="2">
        <f t="shared" si="40"/>
        <v>0</v>
      </c>
      <c r="BB211" s="2">
        <f t="shared" si="41"/>
        <v>0</v>
      </c>
      <c r="BC211" s="2">
        <f t="shared" si="42"/>
        <v>0</v>
      </c>
      <c r="BD211" s="2">
        <f t="shared" si="43"/>
        <v>0</v>
      </c>
    </row>
    <row r="212" spans="1:56" ht="15" customHeight="1" x14ac:dyDescent="0.45">
      <c r="A212" s="2" t="s">
        <v>406</v>
      </c>
      <c r="B212" s="2" t="s">
        <v>408</v>
      </c>
      <c r="C212" s="2">
        <v>2019</v>
      </c>
      <c r="D212" s="2" t="s">
        <v>146</v>
      </c>
      <c r="E212" s="2" t="s">
        <v>146</v>
      </c>
      <c r="F212" s="2" t="s">
        <v>146</v>
      </c>
      <c r="G212" s="2" t="s">
        <v>146</v>
      </c>
      <c r="H212" s="2" t="s">
        <v>146</v>
      </c>
      <c r="I212" s="2" t="s">
        <v>146</v>
      </c>
      <c r="J212" s="2" t="s">
        <v>146</v>
      </c>
      <c r="K212" s="2" t="s">
        <v>146</v>
      </c>
      <c r="L212" s="2" t="s">
        <v>146</v>
      </c>
      <c r="M212" s="2" t="s">
        <v>146</v>
      </c>
      <c r="N212" s="2" t="s">
        <v>146</v>
      </c>
      <c r="O212" s="2" t="s">
        <v>146</v>
      </c>
      <c r="P212" s="2" t="s">
        <v>146</v>
      </c>
      <c r="Q212" s="2" t="s">
        <v>146</v>
      </c>
      <c r="R212" s="2" t="s">
        <v>146</v>
      </c>
      <c r="S212" s="2" t="s">
        <v>146</v>
      </c>
      <c r="T212" s="2" t="s">
        <v>146</v>
      </c>
      <c r="U212" s="2" t="s">
        <v>146</v>
      </c>
      <c r="V212" s="2" t="s">
        <v>146</v>
      </c>
      <c r="W212" s="2" t="s">
        <v>146</v>
      </c>
      <c r="X212" s="2" t="s">
        <v>146</v>
      </c>
      <c r="Y212" s="2" t="s">
        <v>146</v>
      </c>
      <c r="Z212" s="2" t="s">
        <v>146</v>
      </c>
      <c r="AA212" s="2" t="s">
        <v>146</v>
      </c>
      <c r="AB212" s="2" t="s">
        <v>146</v>
      </c>
      <c r="AC212" s="2" t="s">
        <v>146</v>
      </c>
      <c r="AD212" s="2" t="s">
        <v>146</v>
      </c>
      <c r="AE212" s="2" t="s">
        <v>146</v>
      </c>
      <c r="AF212" s="2" t="s">
        <v>146</v>
      </c>
      <c r="AG212" s="2" t="s">
        <v>146</v>
      </c>
      <c r="AH212" s="2" t="s">
        <v>146</v>
      </c>
      <c r="AI212" s="2" t="s">
        <v>146</v>
      </c>
      <c r="AJ212" s="2" t="s">
        <v>146</v>
      </c>
      <c r="AK212" s="2" t="s">
        <v>146</v>
      </c>
      <c r="AL212" s="2" t="s">
        <v>146</v>
      </c>
      <c r="AM212" s="2" t="s">
        <v>146</v>
      </c>
      <c r="AN212" s="2" t="s">
        <v>146</v>
      </c>
      <c r="AO212" s="2" t="s">
        <v>146</v>
      </c>
      <c r="AQ212" s="2">
        <f t="shared" si="33"/>
        <v>0</v>
      </c>
      <c r="AR212" s="2">
        <f t="shared" si="34"/>
        <v>0</v>
      </c>
      <c r="AT212" s="2">
        <f t="shared" si="35"/>
        <v>0</v>
      </c>
      <c r="AU212" s="2">
        <f t="shared" si="36"/>
        <v>0</v>
      </c>
      <c r="AV212" s="27" t="str">
        <f t="shared" si="37"/>
        <v/>
      </c>
      <c r="AY212" s="2">
        <f t="shared" si="38"/>
        <v>0</v>
      </c>
      <c r="AZ212" s="2">
        <f t="shared" si="39"/>
        <v>0</v>
      </c>
      <c r="BA212" s="2">
        <f t="shared" si="40"/>
        <v>0</v>
      </c>
      <c r="BB212" s="2">
        <f t="shared" si="41"/>
        <v>0</v>
      </c>
      <c r="BC212" s="2">
        <f t="shared" si="42"/>
        <v>0</v>
      </c>
      <c r="BD212" s="2">
        <f t="shared" si="43"/>
        <v>0</v>
      </c>
    </row>
    <row r="213" spans="1:56" ht="15" customHeight="1" x14ac:dyDescent="0.45">
      <c r="A213" s="2" t="s">
        <v>406</v>
      </c>
      <c r="B213" s="2" t="s">
        <v>407</v>
      </c>
      <c r="C213" s="2">
        <v>2019</v>
      </c>
      <c r="D213" s="2">
        <v>86.164000000000001</v>
      </c>
      <c r="E213" s="2">
        <v>19.443000000000001</v>
      </c>
      <c r="F213" s="2">
        <v>0</v>
      </c>
      <c r="G213" s="2" t="s">
        <v>146</v>
      </c>
      <c r="H213" s="2">
        <v>0</v>
      </c>
      <c r="I213" s="2">
        <v>156.404</v>
      </c>
      <c r="J213" s="2" t="s">
        <v>146</v>
      </c>
      <c r="K213" s="2" t="s">
        <v>146</v>
      </c>
      <c r="L213" s="2" t="s">
        <v>146</v>
      </c>
      <c r="M213" s="2" t="s">
        <v>146</v>
      </c>
      <c r="N213" s="2" t="s">
        <v>146</v>
      </c>
      <c r="O213" s="2" t="s">
        <v>146</v>
      </c>
      <c r="P213" s="2" t="s">
        <v>146</v>
      </c>
      <c r="Q213" s="2">
        <v>126.636</v>
      </c>
      <c r="R213" s="2" t="s">
        <v>146</v>
      </c>
      <c r="S213" s="2">
        <v>6.1360000000000001</v>
      </c>
      <c r="T213" s="2" t="s">
        <v>146</v>
      </c>
      <c r="U213" s="2" t="s">
        <v>146</v>
      </c>
      <c r="V213" s="2" t="s">
        <v>146</v>
      </c>
      <c r="W213" s="2" t="s">
        <v>146</v>
      </c>
      <c r="X213" s="2" t="s">
        <v>146</v>
      </c>
      <c r="Y213" s="2" t="s">
        <v>146</v>
      </c>
      <c r="Z213" s="2" t="s">
        <v>146</v>
      </c>
      <c r="AA213" s="2" t="s">
        <v>146</v>
      </c>
      <c r="AB213" s="2" t="s">
        <v>146</v>
      </c>
      <c r="AC213" s="2" t="s">
        <v>146</v>
      </c>
      <c r="AD213" s="2" t="s">
        <v>146</v>
      </c>
      <c r="AE213" s="2" t="s">
        <v>146</v>
      </c>
      <c r="AF213" s="2" t="s">
        <v>146</v>
      </c>
      <c r="AG213" s="2" t="s">
        <v>146</v>
      </c>
      <c r="AH213" s="2" t="s">
        <v>146</v>
      </c>
      <c r="AI213" s="2" t="s">
        <v>146</v>
      </c>
      <c r="AJ213" s="2" t="s">
        <v>146</v>
      </c>
      <c r="AK213" s="2">
        <v>23.632000000000001</v>
      </c>
      <c r="AL213" s="2">
        <v>100</v>
      </c>
      <c r="AM213" s="2">
        <v>0</v>
      </c>
      <c r="AN213" s="2">
        <v>0</v>
      </c>
      <c r="AO213" s="2">
        <v>0</v>
      </c>
      <c r="AQ213" s="2">
        <f t="shared" si="33"/>
        <v>132.77199999999999</v>
      </c>
      <c r="AR213" s="2">
        <f t="shared" si="34"/>
        <v>156.404</v>
      </c>
      <c r="AT213" s="2">
        <f t="shared" si="35"/>
        <v>86.164000000000001</v>
      </c>
      <c r="AU213" s="2">
        <f t="shared" si="36"/>
        <v>19.443000000000001</v>
      </c>
      <c r="AV213" s="27">
        <f t="shared" si="37"/>
        <v>0.67521930385412143</v>
      </c>
      <c r="AY213" s="2">
        <f t="shared" si="38"/>
        <v>23.632000000000001</v>
      </c>
      <c r="AZ213" s="2">
        <f t="shared" si="39"/>
        <v>23.632000000000001</v>
      </c>
      <c r="BA213" s="2">
        <f t="shared" si="40"/>
        <v>0</v>
      </c>
      <c r="BB213" s="2">
        <f t="shared" si="41"/>
        <v>0</v>
      </c>
      <c r="BC213" s="2">
        <f t="shared" si="42"/>
        <v>0</v>
      </c>
      <c r="BD213" s="2">
        <f t="shared" si="43"/>
        <v>0</v>
      </c>
    </row>
    <row r="214" spans="1:56" ht="15" customHeight="1" x14ac:dyDescent="0.45">
      <c r="A214" s="2" t="s">
        <v>406</v>
      </c>
      <c r="B214" s="2" t="s">
        <v>405</v>
      </c>
      <c r="C214" s="2">
        <v>2019</v>
      </c>
      <c r="D214" s="2" t="s">
        <v>146</v>
      </c>
      <c r="E214" s="2" t="s">
        <v>146</v>
      </c>
      <c r="F214" s="2" t="s">
        <v>146</v>
      </c>
      <c r="G214" s="2" t="s">
        <v>146</v>
      </c>
      <c r="H214" s="2" t="s">
        <v>146</v>
      </c>
      <c r="I214" s="2" t="s">
        <v>146</v>
      </c>
      <c r="J214" s="2" t="s">
        <v>146</v>
      </c>
      <c r="K214" s="2" t="s">
        <v>146</v>
      </c>
      <c r="L214" s="2" t="s">
        <v>146</v>
      </c>
      <c r="M214" s="2" t="s">
        <v>146</v>
      </c>
      <c r="N214" s="2" t="s">
        <v>146</v>
      </c>
      <c r="O214" s="2" t="s">
        <v>146</v>
      </c>
      <c r="P214" s="2" t="s">
        <v>146</v>
      </c>
      <c r="Q214" s="2" t="s">
        <v>146</v>
      </c>
      <c r="R214" s="2" t="s">
        <v>146</v>
      </c>
      <c r="S214" s="2" t="s">
        <v>146</v>
      </c>
      <c r="T214" s="2" t="s">
        <v>146</v>
      </c>
      <c r="U214" s="2" t="s">
        <v>146</v>
      </c>
      <c r="V214" s="2" t="s">
        <v>146</v>
      </c>
      <c r="W214" s="2" t="s">
        <v>146</v>
      </c>
      <c r="X214" s="2" t="s">
        <v>146</v>
      </c>
      <c r="Y214" s="2" t="s">
        <v>146</v>
      </c>
      <c r="Z214" s="2" t="s">
        <v>146</v>
      </c>
      <c r="AA214" s="2" t="s">
        <v>146</v>
      </c>
      <c r="AB214" s="2" t="s">
        <v>146</v>
      </c>
      <c r="AC214" s="2" t="s">
        <v>146</v>
      </c>
      <c r="AD214" s="2" t="s">
        <v>146</v>
      </c>
      <c r="AE214" s="2" t="s">
        <v>146</v>
      </c>
      <c r="AF214" s="2" t="s">
        <v>146</v>
      </c>
      <c r="AG214" s="2" t="s">
        <v>146</v>
      </c>
      <c r="AH214" s="2" t="s">
        <v>146</v>
      </c>
      <c r="AI214" s="2" t="s">
        <v>146</v>
      </c>
      <c r="AJ214" s="2" t="s">
        <v>146</v>
      </c>
      <c r="AK214" s="2" t="s">
        <v>146</v>
      </c>
      <c r="AL214" s="2" t="s">
        <v>146</v>
      </c>
      <c r="AM214" s="2" t="s">
        <v>146</v>
      </c>
      <c r="AN214" s="2" t="s">
        <v>146</v>
      </c>
      <c r="AO214" s="2" t="s">
        <v>146</v>
      </c>
      <c r="AQ214" s="2">
        <f t="shared" si="33"/>
        <v>0</v>
      </c>
      <c r="AR214" s="2">
        <f t="shared" si="34"/>
        <v>0</v>
      </c>
      <c r="AT214" s="2">
        <f t="shared" si="35"/>
        <v>0</v>
      </c>
      <c r="AU214" s="2">
        <f t="shared" si="36"/>
        <v>0</v>
      </c>
      <c r="AV214" s="27" t="str">
        <f t="shared" si="37"/>
        <v/>
      </c>
      <c r="AY214" s="2">
        <f t="shared" si="38"/>
        <v>0</v>
      </c>
      <c r="AZ214" s="2">
        <f t="shared" si="39"/>
        <v>0</v>
      </c>
      <c r="BA214" s="2">
        <f t="shared" si="40"/>
        <v>0</v>
      </c>
      <c r="BB214" s="2">
        <f t="shared" si="41"/>
        <v>0</v>
      </c>
      <c r="BC214" s="2">
        <f t="shared" si="42"/>
        <v>0</v>
      </c>
      <c r="BD214" s="2">
        <f t="shared" si="43"/>
        <v>0</v>
      </c>
    </row>
    <row r="215" spans="1:56" ht="15" customHeight="1" x14ac:dyDescent="0.45">
      <c r="A215" s="2" t="s">
        <v>404</v>
      </c>
      <c r="B215" s="2" t="s">
        <v>403</v>
      </c>
      <c r="C215" s="2">
        <v>2019</v>
      </c>
      <c r="D215" s="2" t="s">
        <v>146</v>
      </c>
      <c r="E215" s="2" t="s">
        <v>146</v>
      </c>
      <c r="F215" s="2" t="s">
        <v>146</v>
      </c>
      <c r="G215" s="2" t="s">
        <v>146</v>
      </c>
      <c r="H215" s="2" t="s">
        <v>146</v>
      </c>
      <c r="I215" s="2" t="s">
        <v>146</v>
      </c>
      <c r="J215" s="2" t="s">
        <v>146</v>
      </c>
      <c r="K215" s="2" t="s">
        <v>146</v>
      </c>
      <c r="L215" s="2" t="s">
        <v>146</v>
      </c>
      <c r="M215" s="2" t="s">
        <v>146</v>
      </c>
      <c r="N215" s="2" t="s">
        <v>146</v>
      </c>
      <c r="O215" s="2" t="s">
        <v>146</v>
      </c>
      <c r="P215" s="2" t="s">
        <v>146</v>
      </c>
      <c r="Q215" s="2" t="s">
        <v>146</v>
      </c>
      <c r="R215" s="2" t="s">
        <v>146</v>
      </c>
      <c r="S215" s="2" t="s">
        <v>146</v>
      </c>
      <c r="T215" s="2" t="s">
        <v>146</v>
      </c>
      <c r="U215" s="2" t="s">
        <v>146</v>
      </c>
      <c r="V215" s="2" t="s">
        <v>146</v>
      </c>
      <c r="W215" s="2" t="s">
        <v>146</v>
      </c>
      <c r="X215" s="2" t="s">
        <v>146</v>
      </c>
      <c r="Y215" s="2" t="s">
        <v>146</v>
      </c>
      <c r="Z215" s="2" t="s">
        <v>146</v>
      </c>
      <c r="AA215" s="2" t="s">
        <v>146</v>
      </c>
      <c r="AB215" s="2" t="s">
        <v>146</v>
      </c>
      <c r="AC215" s="2" t="s">
        <v>146</v>
      </c>
      <c r="AD215" s="2" t="s">
        <v>146</v>
      </c>
      <c r="AE215" s="2" t="s">
        <v>146</v>
      </c>
      <c r="AF215" s="2" t="s">
        <v>146</v>
      </c>
      <c r="AG215" s="2" t="s">
        <v>146</v>
      </c>
      <c r="AH215" s="2" t="s">
        <v>146</v>
      </c>
      <c r="AI215" s="2" t="s">
        <v>146</v>
      </c>
      <c r="AJ215" s="2" t="s">
        <v>146</v>
      </c>
      <c r="AK215" s="2" t="s">
        <v>146</v>
      </c>
      <c r="AL215" s="2" t="s">
        <v>146</v>
      </c>
      <c r="AM215" s="2" t="s">
        <v>146</v>
      </c>
      <c r="AN215" s="2" t="s">
        <v>146</v>
      </c>
      <c r="AO215" s="2" t="s">
        <v>146</v>
      </c>
      <c r="AQ215" s="2">
        <f t="shared" si="33"/>
        <v>0</v>
      </c>
      <c r="AR215" s="2">
        <f t="shared" si="34"/>
        <v>0</v>
      </c>
      <c r="AT215" s="2">
        <f t="shared" si="35"/>
        <v>0</v>
      </c>
      <c r="AU215" s="2">
        <f t="shared" si="36"/>
        <v>0</v>
      </c>
      <c r="AV215" s="27" t="str">
        <f t="shared" si="37"/>
        <v/>
      </c>
      <c r="AY215" s="2">
        <f t="shared" si="38"/>
        <v>0</v>
      </c>
      <c r="AZ215" s="2">
        <f t="shared" si="39"/>
        <v>0</v>
      </c>
      <c r="BA215" s="2">
        <f t="shared" si="40"/>
        <v>0</v>
      </c>
      <c r="BB215" s="2">
        <f t="shared" si="41"/>
        <v>0</v>
      </c>
      <c r="BC215" s="2">
        <f t="shared" si="42"/>
        <v>0</v>
      </c>
      <c r="BD215" s="2">
        <f t="shared" si="43"/>
        <v>0</v>
      </c>
    </row>
    <row r="216" spans="1:56" ht="15" customHeight="1" x14ac:dyDescent="0.45">
      <c r="A216" s="2" t="s">
        <v>402</v>
      </c>
      <c r="B216" s="2" t="s">
        <v>401</v>
      </c>
      <c r="C216" s="2">
        <v>2019</v>
      </c>
      <c r="D216" s="2">
        <v>153.30000000000001</v>
      </c>
      <c r="E216" s="2">
        <v>17.899999999999999</v>
      </c>
      <c r="F216" s="2" t="s">
        <v>146</v>
      </c>
      <c r="G216" s="2" t="s">
        <v>146</v>
      </c>
      <c r="H216" s="2" t="s">
        <v>146</v>
      </c>
      <c r="I216" s="2">
        <v>230.25</v>
      </c>
      <c r="J216" s="2" t="s">
        <v>146</v>
      </c>
      <c r="K216" s="2">
        <v>4.3499999999999996</v>
      </c>
      <c r="L216" s="2" t="s">
        <v>146</v>
      </c>
      <c r="M216" s="2" t="s">
        <v>146</v>
      </c>
      <c r="N216" s="2" t="s">
        <v>146</v>
      </c>
      <c r="O216" s="2" t="s">
        <v>146</v>
      </c>
      <c r="P216" s="2" t="s">
        <v>146</v>
      </c>
      <c r="Q216" s="2">
        <v>0</v>
      </c>
      <c r="R216" s="2">
        <v>0</v>
      </c>
      <c r="S216" s="2">
        <v>0</v>
      </c>
      <c r="T216" s="2">
        <v>56.8</v>
      </c>
      <c r="U216" s="2">
        <v>0</v>
      </c>
      <c r="V216" s="2">
        <v>0</v>
      </c>
      <c r="W216" s="2" t="s">
        <v>147</v>
      </c>
      <c r="X216" s="2" t="s">
        <v>146</v>
      </c>
      <c r="Y216" s="2" t="s">
        <v>146</v>
      </c>
      <c r="Z216" s="2" t="s">
        <v>146</v>
      </c>
      <c r="AA216" s="2" t="s">
        <v>146</v>
      </c>
      <c r="AB216" s="2" t="s">
        <v>146</v>
      </c>
      <c r="AC216" s="2" t="s">
        <v>146</v>
      </c>
      <c r="AD216" s="2" t="s">
        <v>146</v>
      </c>
      <c r="AE216" s="2" t="s">
        <v>146</v>
      </c>
      <c r="AF216" s="2">
        <v>169.1</v>
      </c>
      <c r="AG216" s="2">
        <v>4</v>
      </c>
      <c r="AH216" s="2" t="s">
        <v>160</v>
      </c>
      <c r="AI216" s="2">
        <v>37.299999999999997</v>
      </c>
      <c r="AJ216" s="2" t="s">
        <v>146</v>
      </c>
      <c r="AK216" s="2" t="s">
        <v>146</v>
      </c>
      <c r="AL216" s="2" t="s">
        <v>146</v>
      </c>
      <c r="AM216" s="2" t="s">
        <v>146</v>
      </c>
      <c r="AN216" s="2" t="s">
        <v>146</v>
      </c>
      <c r="AO216" s="2" t="s">
        <v>146</v>
      </c>
      <c r="AQ216" s="2">
        <f t="shared" si="33"/>
        <v>230.25</v>
      </c>
      <c r="AR216" s="2">
        <f t="shared" si="34"/>
        <v>230.25</v>
      </c>
      <c r="AT216" s="2">
        <f t="shared" si="35"/>
        <v>153.30000000000001</v>
      </c>
      <c r="AU216" s="2">
        <f t="shared" si="36"/>
        <v>17.899999999999999</v>
      </c>
      <c r="AV216" s="27">
        <f t="shared" si="37"/>
        <v>0.74353963083604779</v>
      </c>
      <c r="AY216" s="2">
        <f t="shared" si="38"/>
        <v>0</v>
      </c>
      <c r="AZ216" s="2">
        <f t="shared" si="39"/>
        <v>0</v>
      </c>
      <c r="BA216" s="2">
        <f t="shared" si="40"/>
        <v>0</v>
      </c>
      <c r="BB216" s="2">
        <f t="shared" si="41"/>
        <v>0</v>
      </c>
      <c r="BC216" s="2">
        <f t="shared" si="42"/>
        <v>0</v>
      </c>
      <c r="BD216" s="2">
        <f t="shared" si="43"/>
        <v>0</v>
      </c>
    </row>
    <row r="217" spans="1:56" ht="15" customHeight="1" x14ac:dyDescent="0.45">
      <c r="A217" s="2" t="s">
        <v>398</v>
      </c>
      <c r="B217" s="2" t="s">
        <v>400</v>
      </c>
      <c r="C217" s="2">
        <v>2019</v>
      </c>
      <c r="D217" s="2" t="s">
        <v>146</v>
      </c>
      <c r="E217" s="2" t="s">
        <v>146</v>
      </c>
      <c r="F217" s="2" t="s">
        <v>146</v>
      </c>
      <c r="G217" s="2" t="s">
        <v>146</v>
      </c>
      <c r="H217" s="2" t="s">
        <v>146</v>
      </c>
      <c r="I217" s="2" t="s">
        <v>146</v>
      </c>
      <c r="J217" s="2" t="s">
        <v>146</v>
      </c>
      <c r="K217" s="2" t="s">
        <v>146</v>
      </c>
      <c r="L217" s="2" t="s">
        <v>146</v>
      </c>
      <c r="M217" s="2" t="s">
        <v>146</v>
      </c>
      <c r="N217" s="2" t="s">
        <v>146</v>
      </c>
      <c r="O217" s="2" t="s">
        <v>146</v>
      </c>
      <c r="P217" s="2" t="s">
        <v>146</v>
      </c>
      <c r="Q217" s="2" t="s">
        <v>146</v>
      </c>
      <c r="R217" s="2" t="s">
        <v>146</v>
      </c>
      <c r="S217" s="2" t="s">
        <v>146</v>
      </c>
      <c r="T217" s="2" t="s">
        <v>146</v>
      </c>
      <c r="U217" s="2" t="s">
        <v>146</v>
      </c>
      <c r="V217" s="2" t="s">
        <v>146</v>
      </c>
      <c r="W217" s="2" t="s">
        <v>146</v>
      </c>
      <c r="X217" s="2" t="s">
        <v>146</v>
      </c>
      <c r="Y217" s="2" t="s">
        <v>146</v>
      </c>
      <c r="Z217" s="2" t="s">
        <v>146</v>
      </c>
      <c r="AA217" s="2" t="s">
        <v>146</v>
      </c>
      <c r="AB217" s="2" t="s">
        <v>146</v>
      </c>
      <c r="AC217" s="2" t="s">
        <v>146</v>
      </c>
      <c r="AD217" s="2" t="s">
        <v>146</v>
      </c>
      <c r="AE217" s="2" t="s">
        <v>146</v>
      </c>
      <c r="AF217" s="2" t="s">
        <v>146</v>
      </c>
      <c r="AG217" s="2" t="s">
        <v>146</v>
      </c>
      <c r="AH217" s="2" t="s">
        <v>146</v>
      </c>
      <c r="AI217" s="2" t="s">
        <v>146</v>
      </c>
      <c r="AJ217" s="2" t="s">
        <v>146</v>
      </c>
      <c r="AK217" s="2" t="s">
        <v>146</v>
      </c>
      <c r="AL217" s="2" t="s">
        <v>146</v>
      </c>
      <c r="AM217" s="2" t="s">
        <v>146</v>
      </c>
      <c r="AN217" s="2" t="s">
        <v>146</v>
      </c>
      <c r="AO217" s="2" t="s">
        <v>146</v>
      </c>
      <c r="AQ217" s="2">
        <f t="shared" si="33"/>
        <v>0</v>
      </c>
      <c r="AR217" s="2">
        <f t="shared" si="34"/>
        <v>0</v>
      </c>
      <c r="AT217" s="2">
        <f t="shared" si="35"/>
        <v>0</v>
      </c>
      <c r="AU217" s="2">
        <f t="shared" si="36"/>
        <v>0</v>
      </c>
      <c r="AV217" s="27" t="str">
        <f t="shared" si="37"/>
        <v/>
      </c>
      <c r="AY217" s="2">
        <f t="shared" si="38"/>
        <v>0</v>
      </c>
      <c r="AZ217" s="2">
        <f t="shared" si="39"/>
        <v>0</v>
      </c>
      <c r="BA217" s="2">
        <f t="shared" si="40"/>
        <v>0</v>
      </c>
      <c r="BB217" s="2">
        <f t="shared" si="41"/>
        <v>0</v>
      </c>
      <c r="BC217" s="2">
        <f t="shared" si="42"/>
        <v>0</v>
      </c>
      <c r="BD217" s="2">
        <f t="shared" si="43"/>
        <v>0</v>
      </c>
    </row>
    <row r="218" spans="1:56" ht="15" customHeight="1" x14ac:dyDescent="0.45">
      <c r="A218" s="2" t="s">
        <v>398</v>
      </c>
      <c r="B218" s="2" t="s">
        <v>399</v>
      </c>
      <c r="C218" s="2">
        <v>2019</v>
      </c>
      <c r="D218" s="2" t="s">
        <v>146</v>
      </c>
      <c r="E218" s="2" t="s">
        <v>146</v>
      </c>
      <c r="F218" s="2" t="s">
        <v>146</v>
      </c>
      <c r="G218" s="2" t="s">
        <v>146</v>
      </c>
      <c r="H218" s="2" t="s">
        <v>146</v>
      </c>
      <c r="I218" s="2" t="s">
        <v>146</v>
      </c>
      <c r="J218" s="2" t="s">
        <v>146</v>
      </c>
      <c r="K218" s="2" t="s">
        <v>146</v>
      </c>
      <c r="L218" s="2" t="s">
        <v>146</v>
      </c>
      <c r="M218" s="2" t="s">
        <v>146</v>
      </c>
      <c r="N218" s="2" t="s">
        <v>146</v>
      </c>
      <c r="O218" s="2" t="s">
        <v>146</v>
      </c>
      <c r="P218" s="2" t="s">
        <v>146</v>
      </c>
      <c r="Q218" s="2" t="s">
        <v>146</v>
      </c>
      <c r="R218" s="2" t="s">
        <v>146</v>
      </c>
      <c r="S218" s="2" t="s">
        <v>146</v>
      </c>
      <c r="T218" s="2" t="s">
        <v>146</v>
      </c>
      <c r="U218" s="2" t="s">
        <v>146</v>
      </c>
      <c r="V218" s="2" t="s">
        <v>146</v>
      </c>
      <c r="W218" s="2" t="s">
        <v>146</v>
      </c>
      <c r="X218" s="2" t="s">
        <v>146</v>
      </c>
      <c r="Y218" s="2" t="s">
        <v>146</v>
      </c>
      <c r="Z218" s="2" t="s">
        <v>146</v>
      </c>
      <c r="AA218" s="2" t="s">
        <v>146</v>
      </c>
      <c r="AB218" s="2" t="s">
        <v>146</v>
      </c>
      <c r="AC218" s="2" t="s">
        <v>146</v>
      </c>
      <c r="AD218" s="2" t="s">
        <v>146</v>
      </c>
      <c r="AE218" s="2" t="s">
        <v>146</v>
      </c>
      <c r="AF218" s="2" t="s">
        <v>146</v>
      </c>
      <c r="AG218" s="2" t="s">
        <v>146</v>
      </c>
      <c r="AH218" s="2" t="s">
        <v>146</v>
      </c>
      <c r="AI218" s="2" t="s">
        <v>146</v>
      </c>
      <c r="AJ218" s="2" t="s">
        <v>146</v>
      </c>
      <c r="AK218" s="2" t="s">
        <v>146</v>
      </c>
      <c r="AL218" s="2" t="s">
        <v>146</v>
      </c>
      <c r="AM218" s="2" t="s">
        <v>146</v>
      </c>
      <c r="AN218" s="2" t="s">
        <v>146</v>
      </c>
      <c r="AO218" s="2" t="s">
        <v>146</v>
      </c>
      <c r="AQ218" s="2">
        <f t="shared" si="33"/>
        <v>0</v>
      </c>
      <c r="AR218" s="2">
        <f t="shared" si="34"/>
        <v>0</v>
      </c>
      <c r="AT218" s="2">
        <f t="shared" si="35"/>
        <v>0</v>
      </c>
      <c r="AU218" s="2">
        <f t="shared" si="36"/>
        <v>0</v>
      </c>
      <c r="AV218" s="27" t="str">
        <f t="shared" si="37"/>
        <v/>
      </c>
      <c r="AY218" s="2">
        <f t="shared" si="38"/>
        <v>0</v>
      </c>
      <c r="AZ218" s="2">
        <f t="shared" si="39"/>
        <v>0</v>
      </c>
      <c r="BA218" s="2">
        <f t="shared" si="40"/>
        <v>0</v>
      </c>
      <c r="BB218" s="2">
        <f t="shared" si="41"/>
        <v>0</v>
      </c>
      <c r="BC218" s="2">
        <f t="shared" si="42"/>
        <v>0</v>
      </c>
      <c r="BD218" s="2">
        <f t="shared" si="43"/>
        <v>0</v>
      </c>
    </row>
    <row r="219" spans="1:56" ht="15" customHeight="1" x14ac:dyDescent="0.45">
      <c r="A219" s="2" t="s">
        <v>398</v>
      </c>
      <c r="B219" s="2" t="s">
        <v>397</v>
      </c>
      <c r="C219" s="2">
        <v>2019</v>
      </c>
      <c r="D219" s="2">
        <v>94.75</v>
      </c>
      <c r="E219" s="2">
        <v>30.17</v>
      </c>
      <c r="F219" s="2" t="s">
        <v>146</v>
      </c>
      <c r="G219" s="2" t="s">
        <v>146</v>
      </c>
      <c r="H219" s="2" t="s">
        <v>146</v>
      </c>
      <c r="I219" s="2">
        <v>170.3</v>
      </c>
      <c r="J219" s="2" t="s">
        <v>146</v>
      </c>
      <c r="K219" s="2" t="s">
        <v>146</v>
      </c>
      <c r="L219" s="2" t="s">
        <v>146</v>
      </c>
      <c r="M219" s="2" t="s">
        <v>146</v>
      </c>
      <c r="N219" s="2" t="s">
        <v>146</v>
      </c>
      <c r="O219" s="2" t="s">
        <v>146</v>
      </c>
      <c r="P219" s="2" t="s">
        <v>146</v>
      </c>
      <c r="Q219" s="2">
        <v>146.87</v>
      </c>
      <c r="R219" s="2" t="s">
        <v>146</v>
      </c>
      <c r="S219" s="2" t="s">
        <v>146</v>
      </c>
      <c r="T219" s="2" t="s">
        <v>146</v>
      </c>
      <c r="U219" s="2" t="s">
        <v>146</v>
      </c>
      <c r="V219" s="2" t="s">
        <v>146</v>
      </c>
      <c r="W219" s="2" t="s">
        <v>146</v>
      </c>
      <c r="X219" s="2" t="s">
        <v>146</v>
      </c>
      <c r="Y219" s="2" t="s">
        <v>146</v>
      </c>
      <c r="Z219" s="2" t="s">
        <v>146</v>
      </c>
      <c r="AA219" s="2" t="s">
        <v>146</v>
      </c>
      <c r="AB219" s="2" t="s">
        <v>146</v>
      </c>
      <c r="AC219" s="2" t="s">
        <v>146</v>
      </c>
      <c r="AD219" s="2" t="s">
        <v>146</v>
      </c>
      <c r="AE219" s="2" t="s">
        <v>146</v>
      </c>
      <c r="AF219" s="2" t="s">
        <v>146</v>
      </c>
      <c r="AG219" s="2" t="s">
        <v>146</v>
      </c>
      <c r="AH219" s="2" t="s">
        <v>146</v>
      </c>
      <c r="AI219" s="2" t="s">
        <v>146</v>
      </c>
      <c r="AJ219" s="2" t="s">
        <v>146</v>
      </c>
      <c r="AK219" s="2">
        <v>23.43</v>
      </c>
      <c r="AL219" s="2" t="s">
        <v>146</v>
      </c>
      <c r="AM219" s="2" t="s">
        <v>146</v>
      </c>
      <c r="AN219" s="2" t="s">
        <v>146</v>
      </c>
      <c r="AO219" s="2" t="s">
        <v>146</v>
      </c>
      <c r="AQ219" s="2">
        <f t="shared" si="33"/>
        <v>146.87</v>
      </c>
      <c r="AR219" s="2">
        <f t="shared" si="34"/>
        <v>170.3</v>
      </c>
      <c r="AT219" s="2">
        <f t="shared" si="35"/>
        <v>94.75</v>
      </c>
      <c r="AU219" s="2">
        <f t="shared" si="36"/>
        <v>30.17</v>
      </c>
      <c r="AV219" s="27">
        <f t="shared" si="37"/>
        <v>0.7335290663534938</v>
      </c>
      <c r="AY219" s="2">
        <f t="shared" si="38"/>
        <v>23.43</v>
      </c>
      <c r="AZ219" s="2">
        <f t="shared" si="39"/>
        <v>0</v>
      </c>
      <c r="BA219" s="2">
        <f t="shared" si="40"/>
        <v>0</v>
      </c>
      <c r="BB219" s="2">
        <f t="shared" si="41"/>
        <v>0</v>
      </c>
      <c r="BC219" s="2">
        <f t="shared" si="42"/>
        <v>0</v>
      </c>
      <c r="BD219" s="2">
        <f t="shared" si="43"/>
        <v>23.43</v>
      </c>
    </row>
    <row r="220" spans="1:56" ht="15" customHeight="1" x14ac:dyDescent="0.45">
      <c r="A220" s="2" t="s">
        <v>396</v>
      </c>
      <c r="B220" s="2" t="s">
        <v>395</v>
      </c>
      <c r="C220" s="2">
        <v>2019</v>
      </c>
      <c r="D220" s="2" t="s">
        <v>146</v>
      </c>
      <c r="E220" s="2" t="s">
        <v>146</v>
      </c>
      <c r="F220" s="2" t="s">
        <v>146</v>
      </c>
      <c r="G220" s="2" t="s">
        <v>146</v>
      </c>
      <c r="H220" s="2" t="s">
        <v>146</v>
      </c>
      <c r="I220" s="2" t="s">
        <v>146</v>
      </c>
      <c r="J220" s="2" t="s">
        <v>146</v>
      </c>
      <c r="K220" s="2" t="s">
        <v>146</v>
      </c>
      <c r="L220" s="2" t="s">
        <v>146</v>
      </c>
      <c r="M220" s="2" t="s">
        <v>146</v>
      </c>
      <c r="N220" s="2" t="s">
        <v>146</v>
      </c>
      <c r="O220" s="2" t="s">
        <v>146</v>
      </c>
      <c r="P220" s="2" t="s">
        <v>146</v>
      </c>
      <c r="Q220" s="2" t="s">
        <v>146</v>
      </c>
      <c r="R220" s="2" t="s">
        <v>146</v>
      </c>
      <c r="S220" s="2" t="s">
        <v>146</v>
      </c>
      <c r="T220" s="2" t="s">
        <v>146</v>
      </c>
      <c r="U220" s="2" t="s">
        <v>146</v>
      </c>
      <c r="V220" s="2" t="s">
        <v>146</v>
      </c>
      <c r="W220" s="2" t="s">
        <v>146</v>
      </c>
      <c r="X220" s="2" t="s">
        <v>146</v>
      </c>
      <c r="Y220" s="2" t="s">
        <v>146</v>
      </c>
      <c r="Z220" s="2" t="s">
        <v>146</v>
      </c>
      <c r="AA220" s="2" t="s">
        <v>146</v>
      </c>
      <c r="AB220" s="2" t="s">
        <v>146</v>
      </c>
      <c r="AC220" s="2" t="s">
        <v>146</v>
      </c>
      <c r="AD220" s="2" t="s">
        <v>146</v>
      </c>
      <c r="AE220" s="2" t="s">
        <v>146</v>
      </c>
      <c r="AF220" s="2" t="s">
        <v>146</v>
      </c>
      <c r="AG220" s="2" t="s">
        <v>146</v>
      </c>
      <c r="AH220" s="2" t="s">
        <v>146</v>
      </c>
      <c r="AI220" s="2" t="s">
        <v>146</v>
      </c>
      <c r="AJ220" s="2" t="s">
        <v>146</v>
      </c>
      <c r="AK220" s="2" t="s">
        <v>146</v>
      </c>
      <c r="AL220" s="2" t="s">
        <v>146</v>
      </c>
      <c r="AM220" s="2" t="s">
        <v>146</v>
      </c>
      <c r="AN220" s="2" t="s">
        <v>146</v>
      </c>
      <c r="AO220" s="2" t="s">
        <v>146</v>
      </c>
      <c r="AQ220" s="2">
        <f t="shared" si="33"/>
        <v>0</v>
      </c>
      <c r="AR220" s="2">
        <f t="shared" si="34"/>
        <v>0</v>
      </c>
      <c r="AT220" s="2">
        <f t="shared" si="35"/>
        <v>0</v>
      </c>
      <c r="AU220" s="2">
        <f t="shared" si="36"/>
        <v>0</v>
      </c>
      <c r="AV220" s="27" t="str">
        <f t="shared" si="37"/>
        <v/>
      </c>
      <c r="AY220" s="2">
        <f t="shared" si="38"/>
        <v>0</v>
      </c>
      <c r="AZ220" s="2">
        <f t="shared" si="39"/>
        <v>0</v>
      </c>
      <c r="BA220" s="2">
        <f t="shared" si="40"/>
        <v>0</v>
      </c>
      <c r="BB220" s="2">
        <f t="shared" si="41"/>
        <v>0</v>
      </c>
      <c r="BC220" s="2">
        <f t="shared" si="42"/>
        <v>0</v>
      </c>
      <c r="BD220" s="2">
        <f t="shared" si="43"/>
        <v>0</v>
      </c>
    </row>
    <row r="221" spans="1:56" ht="15" customHeight="1" x14ac:dyDescent="0.45">
      <c r="A221" s="2" t="s">
        <v>393</v>
      </c>
      <c r="B221" s="2" t="s">
        <v>394</v>
      </c>
      <c r="C221" s="2">
        <v>2019</v>
      </c>
      <c r="D221" s="2" t="s">
        <v>49</v>
      </c>
      <c r="E221" s="2" t="s">
        <v>49</v>
      </c>
      <c r="F221" s="2" t="s">
        <v>49</v>
      </c>
      <c r="G221" s="2" t="s">
        <v>49</v>
      </c>
      <c r="H221" s="2" t="s">
        <v>49</v>
      </c>
      <c r="I221" s="2" t="s">
        <v>49</v>
      </c>
      <c r="J221" s="2" t="s">
        <v>49</v>
      </c>
      <c r="K221" s="2" t="s">
        <v>49</v>
      </c>
      <c r="L221" s="2" t="s">
        <v>49</v>
      </c>
      <c r="M221" s="2" t="s">
        <v>49</v>
      </c>
      <c r="N221" s="2" t="s">
        <v>49</v>
      </c>
      <c r="O221" s="2" t="s">
        <v>49</v>
      </c>
      <c r="P221" s="2" t="s">
        <v>49</v>
      </c>
      <c r="Q221" s="2" t="s">
        <v>49</v>
      </c>
      <c r="R221" s="2" t="s">
        <v>49</v>
      </c>
      <c r="S221" s="2" t="s">
        <v>49</v>
      </c>
      <c r="T221" s="2" t="s">
        <v>49</v>
      </c>
      <c r="U221" s="2" t="s">
        <v>49</v>
      </c>
      <c r="V221" s="2" t="s">
        <v>49</v>
      </c>
      <c r="W221" s="2" t="s">
        <v>49</v>
      </c>
      <c r="X221" s="2" t="s">
        <v>49</v>
      </c>
      <c r="Y221" s="2" t="s">
        <v>49</v>
      </c>
      <c r="Z221" s="2" t="s">
        <v>49</v>
      </c>
      <c r="AA221" s="2" t="s">
        <v>49</v>
      </c>
      <c r="AB221" s="2" t="s">
        <v>49</v>
      </c>
      <c r="AC221" s="2" t="s">
        <v>49</v>
      </c>
      <c r="AD221" s="2" t="s">
        <v>49</v>
      </c>
      <c r="AE221" s="2" t="s">
        <v>49</v>
      </c>
      <c r="AF221" s="2" t="s">
        <v>49</v>
      </c>
      <c r="AG221" s="2" t="s">
        <v>49</v>
      </c>
      <c r="AH221" s="2" t="s">
        <v>49</v>
      </c>
      <c r="AI221" s="2" t="s">
        <v>49</v>
      </c>
      <c r="AJ221" s="2" t="s">
        <v>49</v>
      </c>
      <c r="AK221" s="2" t="s">
        <v>49</v>
      </c>
      <c r="AL221" s="2" t="s">
        <v>49</v>
      </c>
      <c r="AM221" s="2" t="s">
        <v>49</v>
      </c>
      <c r="AN221" s="2" t="s">
        <v>49</v>
      </c>
      <c r="AO221" s="2" t="s">
        <v>49</v>
      </c>
      <c r="AQ221" s="2">
        <f t="shared" si="33"/>
        <v>0</v>
      </c>
      <c r="AR221" s="2">
        <f t="shared" si="34"/>
        <v>0</v>
      </c>
      <c r="AT221" s="2">
        <f t="shared" si="35"/>
        <v>0</v>
      </c>
      <c r="AU221" s="2">
        <f t="shared" si="36"/>
        <v>0</v>
      </c>
      <c r="AV221" s="27" t="str">
        <f t="shared" si="37"/>
        <v/>
      </c>
      <c r="AY221" s="2">
        <f t="shared" si="38"/>
        <v>0</v>
      </c>
      <c r="AZ221" s="2">
        <f t="shared" si="39"/>
        <v>0</v>
      </c>
      <c r="BA221" s="2">
        <f t="shared" si="40"/>
        <v>0</v>
      </c>
      <c r="BB221" s="2">
        <f t="shared" si="41"/>
        <v>0</v>
      </c>
      <c r="BC221" s="2">
        <f t="shared" si="42"/>
        <v>0</v>
      </c>
      <c r="BD221" s="2">
        <f t="shared" si="43"/>
        <v>0</v>
      </c>
    </row>
    <row r="222" spans="1:56" ht="15" customHeight="1" x14ac:dyDescent="0.45">
      <c r="A222" s="2" t="s">
        <v>393</v>
      </c>
      <c r="B222" s="2" t="s">
        <v>392</v>
      </c>
      <c r="C222" s="2">
        <v>2019</v>
      </c>
      <c r="D222" s="2" t="s">
        <v>49</v>
      </c>
      <c r="E222" s="2" t="s">
        <v>49</v>
      </c>
      <c r="F222" s="2" t="s">
        <v>49</v>
      </c>
      <c r="G222" s="2" t="s">
        <v>49</v>
      </c>
      <c r="H222" s="2" t="s">
        <v>49</v>
      </c>
      <c r="I222" s="2" t="s">
        <v>49</v>
      </c>
      <c r="J222" s="2" t="s">
        <v>49</v>
      </c>
      <c r="K222" s="2" t="s">
        <v>49</v>
      </c>
      <c r="L222" s="2" t="s">
        <v>49</v>
      </c>
      <c r="M222" s="2" t="s">
        <v>49</v>
      </c>
      <c r="N222" s="2" t="s">
        <v>49</v>
      </c>
      <c r="O222" s="2" t="s">
        <v>49</v>
      </c>
      <c r="P222" s="2" t="s">
        <v>49</v>
      </c>
      <c r="Q222" s="2" t="s">
        <v>49</v>
      </c>
      <c r="R222" s="2" t="s">
        <v>49</v>
      </c>
      <c r="S222" s="2" t="s">
        <v>49</v>
      </c>
      <c r="T222" s="2" t="s">
        <v>49</v>
      </c>
      <c r="U222" s="2" t="s">
        <v>49</v>
      </c>
      <c r="V222" s="2" t="s">
        <v>49</v>
      </c>
      <c r="W222" s="2" t="s">
        <v>49</v>
      </c>
      <c r="X222" s="2" t="s">
        <v>49</v>
      </c>
      <c r="Y222" s="2" t="s">
        <v>49</v>
      </c>
      <c r="Z222" s="2" t="s">
        <v>49</v>
      </c>
      <c r="AA222" s="2" t="s">
        <v>49</v>
      </c>
      <c r="AB222" s="2" t="s">
        <v>49</v>
      </c>
      <c r="AC222" s="2" t="s">
        <v>49</v>
      </c>
      <c r="AD222" s="2" t="s">
        <v>49</v>
      </c>
      <c r="AE222" s="2" t="s">
        <v>49</v>
      </c>
      <c r="AF222" s="2" t="s">
        <v>49</v>
      </c>
      <c r="AG222" s="2" t="s">
        <v>49</v>
      </c>
      <c r="AH222" s="2" t="s">
        <v>49</v>
      </c>
      <c r="AI222" s="2" t="s">
        <v>49</v>
      </c>
      <c r="AJ222" s="2" t="s">
        <v>49</v>
      </c>
      <c r="AK222" s="2" t="s">
        <v>49</v>
      </c>
      <c r="AL222" s="2" t="s">
        <v>49</v>
      </c>
      <c r="AM222" s="2" t="s">
        <v>49</v>
      </c>
      <c r="AN222" s="2" t="s">
        <v>49</v>
      </c>
      <c r="AO222" s="2" t="s">
        <v>49</v>
      </c>
      <c r="AQ222" s="2">
        <f t="shared" si="33"/>
        <v>0</v>
      </c>
      <c r="AR222" s="2">
        <f t="shared" si="34"/>
        <v>0</v>
      </c>
      <c r="AT222" s="2">
        <f t="shared" si="35"/>
        <v>0</v>
      </c>
      <c r="AU222" s="2">
        <f t="shared" si="36"/>
        <v>0</v>
      </c>
      <c r="AV222" s="27" t="str">
        <f t="shared" si="37"/>
        <v/>
      </c>
      <c r="AY222" s="2">
        <f t="shared" si="38"/>
        <v>0</v>
      </c>
      <c r="AZ222" s="2">
        <f t="shared" si="39"/>
        <v>0</v>
      </c>
      <c r="BA222" s="2">
        <f t="shared" si="40"/>
        <v>0</v>
      </c>
      <c r="BB222" s="2">
        <f t="shared" si="41"/>
        <v>0</v>
      </c>
      <c r="BC222" s="2">
        <f t="shared" si="42"/>
        <v>0</v>
      </c>
      <c r="BD222" s="2">
        <f t="shared" si="43"/>
        <v>0</v>
      </c>
    </row>
    <row r="223" spans="1:56" ht="15" customHeight="1" x14ac:dyDescent="0.45">
      <c r="A223" s="2" t="s">
        <v>391</v>
      </c>
      <c r="B223" s="2" t="s">
        <v>390</v>
      </c>
      <c r="C223" s="2">
        <v>2019</v>
      </c>
      <c r="D223" s="2">
        <v>81.7</v>
      </c>
      <c r="E223" s="2">
        <v>15</v>
      </c>
      <c r="F223" s="2" t="s">
        <v>146</v>
      </c>
      <c r="G223" s="2" t="s">
        <v>146</v>
      </c>
      <c r="H223" s="2" t="s">
        <v>146</v>
      </c>
      <c r="I223" s="2">
        <v>143.5</v>
      </c>
      <c r="J223" s="2" t="s">
        <v>146</v>
      </c>
      <c r="K223" s="2" t="s">
        <v>146</v>
      </c>
      <c r="L223" s="2" t="s">
        <v>146</v>
      </c>
      <c r="M223" s="2" t="s">
        <v>146</v>
      </c>
      <c r="N223" s="2" t="s">
        <v>146</v>
      </c>
      <c r="O223" s="2" t="s">
        <v>146</v>
      </c>
      <c r="P223" s="2" t="s">
        <v>146</v>
      </c>
      <c r="Q223" s="2">
        <v>52.1</v>
      </c>
      <c r="R223" s="2">
        <v>40</v>
      </c>
      <c r="S223" s="2">
        <v>20</v>
      </c>
      <c r="T223" s="2">
        <v>6.4</v>
      </c>
      <c r="U223" s="2" t="s">
        <v>146</v>
      </c>
      <c r="V223" s="2" t="s">
        <v>146</v>
      </c>
      <c r="W223" s="2" t="s">
        <v>147</v>
      </c>
      <c r="X223" s="2" t="s">
        <v>146</v>
      </c>
      <c r="Y223" s="2" t="s">
        <v>146</v>
      </c>
      <c r="Z223" s="2" t="s">
        <v>146</v>
      </c>
      <c r="AA223" s="2" t="s">
        <v>146</v>
      </c>
      <c r="AB223" s="2" t="s">
        <v>146</v>
      </c>
      <c r="AC223" s="2" t="s">
        <v>146</v>
      </c>
      <c r="AD223" s="2" t="s">
        <v>146</v>
      </c>
      <c r="AE223" s="2" t="s">
        <v>146</v>
      </c>
      <c r="AF223" s="2" t="s">
        <v>146</v>
      </c>
      <c r="AG223" s="2" t="s">
        <v>146</v>
      </c>
      <c r="AH223" s="2" t="s">
        <v>155</v>
      </c>
      <c r="AI223" s="2" t="s">
        <v>146</v>
      </c>
      <c r="AJ223" s="2" t="s">
        <v>146</v>
      </c>
      <c r="AK223" s="2">
        <v>25</v>
      </c>
      <c r="AL223" s="2">
        <v>100</v>
      </c>
      <c r="AM223" s="2">
        <v>0</v>
      </c>
      <c r="AN223" s="2">
        <v>0</v>
      </c>
      <c r="AO223" s="2">
        <v>0</v>
      </c>
      <c r="AQ223" s="2">
        <f t="shared" si="33"/>
        <v>118.5</v>
      </c>
      <c r="AR223" s="2">
        <f t="shared" si="34"/>
        <v>143.5</v>
      </c>
      <c r="AT223" s="2">
        <f t="shared" si="35"/>
        <v>81.7</v>
      </c>
      <c r="AU223" s="2">
        <f t="shared" si="36"/>
        <v>15</v>
      </c>
      <c r="AV223" s="27">
        <f t="shared" si="37"/>
        <v>0.67386759581881539</v>
      </c>
      <c r="AY223" s="2">
        <f t="shared" si="38"/>
        <v>25</v>
      </c>
      <c r="AZ223" s="2">
        <f t="shared" si="39"/>
        <v>25</v>
      </c>
      <c r="BA223" s="2">
        <f t="shared" si="40"/>
        <v>0</v>
      </c>
      <c r="BB223" s="2">
        <f t="shared" si="41"/>
        <v>0</v>
      </c>
      <c r="BC223" s="2">
        <f t="shared" si="42"/>
        <v>0</v>
      </c>
      <c r="BD223" s="2">
        <f t="shared" si="43"/>
        <v>0</v>
      </c>
    </row>
    <row r="224" spans="1:56" ht="15" customHeight="1" x14ac:dyDescent="0.45">
      <c r="A224" s="2" t="s">
        <v>389</v>
      </c>
      <c r="B224" s="2" t="s">
        <v>388</v>
      </c>
      <c r="C224" s="2">
        <v>2019</v>
      </c>
      <c r="D224" s="2" t="s">
        <v>146</v>
      </c>
      <c r="E224" s="2" t="s">
        <v>146</v>
      </c>
      <c r="F224" s="2" t="s">
        <v>146</v>
      </c>
      <c r="G224" s="2" t="s">
        <v>146</v>
      </c>
      <c r="H224" s="2" t="s">
        <v>146</v>
      </c>
      <c r="I224" s="2" t="s">
        <v>146</v>
      </c>
      <c r="J224" s="2" t="s">
        <v>146</v>
      </c>
      <c r="K224" s="2" t="s">
        <v>146</v>
      </c>
      <c r="L224" s="2" t="s">
        <v>146</v>
      </c>
      <c r="M224" s="2" t="s">
        <v>146</v>
      </c>
      <c r="N224" s="2" t="s">
        <v>146</v>
      </c>
      <c r="O224" s="2" t="s">
        <v>146</v>
      </c>
      <c r="P224" s="2" t="s">
        <v>146</v>
      </c>
      <c r="Q224" s="2" t="s">
        <v>146</v>
      </c>
      <c r="R224" s="2" t="s">
        <v>146</v>
      </c>
      <c r="S224" s="2" t="s">
        <v>146</v>
      </c>
      <c r="T224" s="2" t="s">
        <v>146</v>
      </c>
      <c r="U224" s="2" t="s">
        <v>146</v>
      </c>
      <c r="V224" s="2" t="s">
        <v>146</v>
      </c>
      <c r="W224" s="2" t="s">
        <v>146</v>
      </c>
      <c r="X224" s="2" t="s">
        <v>146</v>
      </c>
      <c r="Y224" s="2" t="s">
        <v>146</v>
      </c>
      <c r="Z224" s="2" t="s">
        <v>146</v>
      </c>
      <c r="AA224" s="2" t="s">
        <v>146</v>
      </c>
      <c r="AB224" s="2" t="s">
        <v>146</v>
      </c>
      <c r="AC224" s="2" t="s">
        <v>146</v>
      </c>
      <c r="AD224" s="2" t="s">
        <v>146</v>
      </c>
      <c r="AE224" s="2" t="s">
        <v>146</v>
      </c>
      <c r="AF224" s="2" t="s">
        <v>146</v>
      </c>
      <c r="AG224" s="2" t="s">
        <v>146</v>
      </c>
      <c r="AH224" s="2" t="s">
        <v>146</v>
      </c>
      <c r="AI224" s="2" t="s">
        <v>146</v>
      </c>
      <c r="AJ224" s="2" t="s">
        <v>146</v>
      </c>
      <c r="AK224" s="2" t="s">
        <v>146</v>
      </c>
      <c r="AL224" s="2" t="s">
        <v>146</v>
      </c>
      <c r="AM224" s="2" t="s">
        <v>146</v>
      </c>
      <c r="AN224" s="2" t="s">
        <v>146</v>
      </c>
      <c r="AO224" s="2" t="s">
        <v>146</v>
      </c>
      <c r="AQ224" s="2">
        <f t="shared" si="33"/>
        <v>0</v>
      </c>
      <c r="AR224" s="2">
        <f t="shared" si="34"/>
        <v>0</v>
      </c>
      <c r="AT224" s="2">
        <f t="shared" si="35"/>
        <v>0</v>
      </c>
      <c r="AU224" s="2">
        <f t="shared" si="36"/>
        <v>0</v>
      </c>
      <c r="AV224" s="27" t="str">
        <f t="shared" si="37"/>
        <v/>
      </c>
      <c r="AY224" s="2">
        <f t="shared" si="38"/>
        <v>0</v>
      </c>
      <c r="AZ224" s="2">
        <f t="shared" si="39"/>
        <v>0</v>
      </c>
      <c r="BA224" s="2">
        <f t="shared" si="40"/>
        <v>0</v>
      </c>
      <c r="BB224" s="2">
        <f t="shared" si="41"/>
        <v>0</v>
      </c>
      <c r="BC224" s="2">
        <f t="shared" si="42"/>
        <v>0</v>
      </c>
      <c r="BD224" s="2">
        <f t="shared" si="43"/>
        <v>0</v>
      </c>
    </row>
    <row r="225" spans="1:56" ht="15" customHeight="1" x14ac:dyDescent="0.45">
      <c r="A225" s="2" t="s">
        <v>387</v>
      </c>
      <c r="B225" s="2" t="s">
        <v>114</v>
      </c>
      <c r="C225" s="2">
        <v>2019</v>
      </c>
      <c r="D225" s="2" t="s">
        <v>146</v>
      </c>
      <c r="E225" s="2" t="s">
        <v>146</v>
      </c>
      <c r="F225" s="2" t="s">
        <v>146</v>
      </c>
      <c r="G225" s="2" t="s">
        <v>146</v>
      </c>
      <c r="H225" s="2" t="s">
        <v>146</v>
      </c>
      <c r="I225" s="2" t="s">
        <v>146</v>
      </c>
      <c r="J225" s="2" t="s">
        <v>146</v>
      </c>
      <c r="K225" s="2" t="s">
        <v>146</v>
      </c>
      <c r="L225" s="2" t="s">
        <v>146</v>
      </c>
      <c r="M225" s="2" t="s">
        <v>146</v>
      </c>
      <c r="N225" s="2" t="s">
        <v>146</v>
      </c>
      <c r="O225" s="2" t="s">
        <v>146</v>
      </c>
      <c r="P225" s="2" t="s">
        <v>146</v>
      </c>
      <c r="Q225" s="2" t="s">
        <v>146</v>
      </c>
      <c r="R225" s="2" t="s">
        <v>146</v>
      </c>
      <c r="S225" s="2" t="s">
        <v>146</v>
      </c>
      <c r="T225" s="2" t="s">
        <v>146</v>
      </c>
      <c r="U225" s="2" t="s">
        <v>146</v>
      </c>
      <c r="V225" s="2" t="s">
        <v>146</v>
      </c>
      <c r="W225" s="2" t="s">
        <v>146</v>
      </c>
      <c r="X225" s="2" t="s">
        <v>146</v>
      </c>
      <c r="Y225" s="2" t="s">
        <v>146</v>
      </c>
      <c r="Z225" s="2" t="s">
        <v>146</v>
      </c>
      <c r="AA225" s="2" t="s">
        <v>146</v>
      </c>
      <c r="AB225" s="2" t="s">
        <v>146</v>
      </c>
      <c r="AC225" s="2" t="s">
        <v>146</v>
      </c>
      <c r="AD225" s="2" t="s">
        <v>146</v>
      </c>
      <c r="AE225" s="2" t="s">
        <v>146</v>
      </c>
      <c r="AF225" s="2" t="s">
        <v>146</v>
      </c>
      <c r="AG225" s="2" t="s">
        <v>146</v>
      </c>
      <c r="AH225" s="2" t="s">
        <v>146</v>
      </c>
      <c r="AI225" s="2" t="s">
        <v>146</v>
      </c>
      <c r="AJ225" s="2" t="s">
        <v>146</v>
      </c>
      <c r="AK225" s="2" t="s">
        <v>146</v>
      </c>
      <c r="AL225" s="2" t="s">
        <v>146</v>
      </c>
      <c r="AM225" s="2" t="s">
        <v>146</v>
      </c>
      <c r="AN225" s="2" t="s">
        <v>146</v>
      </c>
      <c r="AO225" s="2" t="s">
        <v>146</v>
      </c>
      <c r="AQ225" s="2">
        <f t="shared" si="33"/>
        <v>0</v>
      </c>
      <c r="AR225" s="2">
        <f t="shared" si="34"/>
        <v>0</v>
      </c>
      <c r="AT225" s="2">
        <f t="shared" si="35"/>
        <v>0</v>
      </c>
      <c r="AU225" s="2">
        <f t="shared" si="36"/>
        <v>0</v>
      </c>
      <c r="AV225" s="27" t="str">
        <f t="shared" si="37"/>
        <v/>
      </c>
      <c r="AY225" s="2">
        <f t="shared" si="38"/>
        <v>0</v>
      </c>
      <c r="AZ225" s="2">
        <f t="shared" si="39"/>
        <v>0</v>
      </c>
      <c r="BA225" s="2">
        <f t="shared" si="40"/>
        <v>0</v>
      </c>
      <c r="BB225" s="2">
        <f t="shared" si="41"/>
        <v>0</v>
      </c>
      <c r="BC225" s="2">
        <f t="shared" si="42"/>
        <v>0</v>
      </c>
      <c r="BD225" s="2">
        <f t="shared" si="43"/>
        <v>0</v>
      </c>
    </row>
    <row r="226" spans="1:56" ht="15" customHeight="1" x14ac:dyDescent="0.45">
      <c r="A226" s="2" t="s">
        <v>386</v>
      </c>
      <c r="B226" s="2" t="s">
        <v>385</v>
      </c>
      <c r="C226" s="2">
        <v>2019</v>
      </c>
      <c r="D226" s="2" t="s">
        <v>146</v>
      </c>
      <c r="E226" s="2" t="s">
        <v>146</v>
      </c>
      <c r="F226" s="2" t="s">
        <v>146</v>
      </c>
      <c r="G226" s="2" t="s">
        <v>146</v>
      </c>
      <c r="H226" s="2" t="s">
        <v>146</v>
      </c>
      <c r="I226" s="2" t="s">
        <v>146</v>
      </c>
      <c r="J226" s="2" t="s">
        <v>146</v>
      </c>
      <c r="K226" s="2" t="s">
        <v>146</v>
      </c>
      <c r="L226" s="2" t="s">
        <v>146</v>
      </c>
      <c r="M226" s="2" t="s">
        <v>146</v>
      </c>
      <c r="N226" s="2" t="s">
        <v>146</v>
      </c>
      <c r="O226" s="2" t="s">
        <v>146</v>
      </c>
      <c r="P226" s="2" t="s">
        <v>146</v>
      </c>
      <c r="Q226" s="2" t="s">
        <v>146</v>
      </c>
      <c r="R226" s="2" t="s">
        <v>146</v>
      </c>
      <c r="S226" s="2" t="s">
        <v>146</v>
      </c>
      <c r="T226" s="2" t="s">
        <v>146</v>
      </c>
      <c r="U226" s="2" t="s">
        <v>146</v>
      </c>
      <c r="V226" s="2" t="s">
        <v>146</v>
      </c>
      <c r="W226" s="2" t="s">
        <v>146</v>
      </c>
      <c r="X226" s="2" t="s">
        <v>146</v>
      </c>
      <c r="Y226" s="2" t="s">
        <v>146</v>
      </c>
      <c r="Z226" s="2" t="s">
        <v>146</v>
      </c>
      <c r="AA226" s="2" t="s">
        <v>146</v>
      </c>
      <c r="AB226" s="2" t="s">
        <v>146</v>
      </c>
      <c r="AC226" s="2" t="s">
        <v>146</v>
      </c>
      <c r="AD226" s="2" t="s">
        <v>146</v>
      </c>
      <c r="AE226" s="2" t="s">
        <v>146</v>
      </c>
      <c r="AF226" s="2" t="s">
        <v>146</v>
      </c>
      <c r="AG226" s="2" t="s">
        <v>146</v>
      </c>
      <c r="AH226" s="2" t="s">
        <v>146</v>
      </c>
      <c r="AI226" s="2" t="s">
        <v>146</v>
      </c>
      <c r="AJ226" s="2" t="s">
        <v>146</v>
      </c>
      <c r="AK226" s="2" t="s">
        <v>146</v>
      </c>
      <c r="AL226" s="2" t="s">
        <v>146</v>
      </c>
      <c r="AM226" s="2" t="s">
        <v>146</v>
      </c>
      <c r="AN226" s="2" t="s">
        <v>146</v>
      </c>
      <c r="AO226" s="2" t="s">
        <v>146</v>
      </c>
      <c r="AQ226" s="2">
        <f t="shared" si="33"/>
        <v>0</v>
      </c>
      <c r="AR226" s="2">
        <f t="shared" si="34"/>
        <v>0</v>
      </c>
      <c r="AT226" s="2">
        <f t="shared" si="35"/>
        <v>0</v>
      </c>
      <c r="AU226" s="2">
        <f t="shared" si="36"/>
        <v>0</v>
      </c>
      <c r="AV226" s="27" t="str">
        <f t="shared" si="37"/>
        <v/>
      </c>
      <c r="AY226" s="2">
        <f t="shared" si="38"/>
        <v>0</v>
      </c>
      <c r="AZ226" s="2">
        <f t="shared" si="39"/>
        <v>0</v>
      </c>
      <c r="BA226" s="2">
        <f t="shared" si="40"/>
        <v>0</v>
      </c>
      <c r="BB226" s="2">
        <f t="shared" si="41"/>
        <v>0</v>
      </c>
      <c r="BC226" s="2">
        <f t="shared" si="42"/>
        <v>0</v>
      </c>
      <c r="BD226" s="2">
        <f t="shared" si="43"/>
        <v>0</v>
      </c>
    </row>
    <row r="227" spans="1:56" ht="15" customHeight="1" x14ac:dyDescent="0.45">
      <c r="A227" s="2" t="s">
        <v>4</v>
      </c>
      <c r="B227" s="2" t="s">
        <v>383</v>
      </c>
      <c r="C227" s="2">
        <v>2019</v>
      </c>
      <c r="D227" s="2" t="s">
        <v>49</v>
      </c>
      <c r="E227" s="2" t="s">
        <v>49</v>
      </c>
      <c r="F227" s="2" t="s">
        <v>49</v>
      </c>
      <c r="G227" s="2" t="s">
        <v>49</v>
      </c>
      <c r="H227" s="2" t="s">
        <v>49</v>
      </c>
      <c r="I227" s="2" t="s">
        <v>49</v>
      </c>
      <c r="J227" s="2" t="s">
        <v>49</v>
      </c>
      <c r="K227" s="2" t="s">
        <v>49</v>
      </c>
      <c r="L227" s="2" t="s">
        <v>49</v>
      </c>
      <c r="M227" s="2" t="s">
        <v>49</v>
      </c>
      <c r="N227" s="2" t="s">
        <v>49</v>
      </c>
      <c r="O227" s="2" t="s">
        <v>49</v>
      </c>
      <c r="P227" s="2" t="s">
        <v>49</v>
      </c>
      <c r="Q227" s="2" t="s">
        <v>49</v>
      </c>
      <c r="R227" s="2" t="s">
        <v>49</v>
      </c>
      <c r="S227" s="2" t="s">
        <v>49</v>
      </c>
      <c r="T227" s="2" t="s">
        <v>49</v>
      </c>
      <c r="U227" s="2" t="s">
        <v>49</v>
      </c>
      <c r="V227" s="2" t="s">
        <v>49</v>
      </c>
      <c r="W227" s="2" t="s">
        <v>49</v>
      </c>
      <c r="X227" s="2" t="s">
        <v>49</v>
      </c>
      <c r="Y227" s="2" t="s">
        <v>49</v>
      </c>
      <c r="Z227" s="2" t="s">
        <v>49</v>
      </c>
      <c r="AA227" s="2" t="s">
        <v>49</v>
      </c>
      <c r="AB227" s="2" t="s">
        <v>49</v>
      </c>
      <c r="AC227" s="2" t="s">
        <v>49</v>
      </c>
      <c r="AD227" s="2" t="s">
        <v>49</v>
      </c>
      <c r="AE227" s="2" t="s">
        <v>49</v>
      </c>
      <c r="AF227" s="2" t="s">
        <v>49</v>
      </c>
      <c r="AG227" s="2" t="s">
        <v>49</v>
      </c>
      <c r="AH227" s="2" t="s">
        <v>49</v>
      </c>
      <c r="AI227" s="2" t="s">
        <v>49</v>
      </c>
      <c r="AJ227" s="2" t="s">
        <v>49</v>
      </c>
      <c r="AK227" s="2" t="s">
        <v>49</v>
      </c>
      <c r="AL227" s="2" t="s">
        <v>49</v>
      </c>
      <c r="AM227" s="2" t="s">
        <v>49</v>
      </c>
      <c r="AN227" s="2" t="s">
        <v>49</v>
      </c>
      <c r="AO227" s="2" t="s">
        <v>49</v>
      </c>
      <c r="AQ227" s="2">
        <f t="shared" si="33"/>
        <v>0</v>
      </c>
      <c r="AR227" s="2">
        <f t="shared" si="34"/>
        <v>0</v>
      </c>
      <c r="AT227" s="2">
        <f t="shared" si="35"/>
        <v>0</v>
      </c>
      <c r="AU227" s="2">
        <f t="shared" si="36"/>
        <v>0</v>
      </c>
      <c r="AV227" s="27" t="str">
        <f t="shared" si="37"/>
        <v/>
      </c>
      <c r="AY227" s="2">
        <f t="shared" si="38"/>
        <v>0</v>
      </c>
      <c r="AZ227" s="2">
        <f t="shared" si="39"/>
        <v>0</v>
      </c>
      <c r="BA227" s="2">
        <f t="shared" si="40"/>
        <v>0</v>
      </c>
      <c r="BB227" s="2">
        <f t="shared" si="41"/>
        <v>0</v>
      </c>
      <c r="BC227" s="2">
        <f t="shared" si="42"/>
        <v>0</v>
      </c>
      <c r="BD227" s="2">
        <f t="shared" si="43"/>
        <v>0</v>
      </c>
    </row>
    <row r="228" spans="1:56" ht="15" customHeight="1" x14ac:dyDescent="0.45">
      <c r="A228" s="2" t="s">
        <v>4</v>
      </c>
      <c r="B228" s="2" t="s">
        <v>382</v>
      </c>
      <c r="C228" s="2">
        <v>2019</v>
      </c>
      <c r="D228" s="2" t="s">
        <v>49</v>
      </c>
      <c r="E228" s="2" t="s">
        <v>49</v>
      </c>
      <c r="F228" s="2" t="s">
        <v>49</v>
      </c>
      <c r="G228" s="2" t="s">
        <v>49</v>
      </c>
      <c r="H228" s="2" t="s">
        <v>49</v>
      </c>
      <c r="I228" s="2" t="s">
        <v>49</v>
      </c>
      <c r="J228" s="2" t="s">
        <v>49</v>
      </c>
      <c r="K228" s="2" t="s">
        <v>49</v>
      </c>
      <c r="L228" s="2" t="s">
        <v>49</v>
      </c>
      <c r="M228" s="2" t="s">
        <v>49</v>
      </c>
      <c r="N228" s="2" t="s">
        <v>49</v>
      </c>
      <c r="O228" s="2" t="s">
        <v>49</v>
      </c>
      <c r="P228" s="2" t="s">
        <v>49</v>
      </c>
      <c r="Q228" s="2" t="s">
        <v>49</v>
      </c>
      <c r="R228" s="2" t="s">
        <v>49</v>
      </c>
      <c r="S228" s="2" t="s">
        <v>49</v>
      </c>
      <c r="T228" s="2" t="s">
        <v>49</v>
      </c>
      <c r="U228" s="2" t="s">
        <v>49</v>
      </c>
      <c r="V228" s="2" t="s">
        <v>49</v>
      </c>
      <c r="W228" s="2" t="s">
        <v>49</v>
      </c>
      <c r="X228" s="2" t="s">
        <v>49</v>
      </c>
      <c r="Y228" s="2" t="s">
        <v>49</v>
      </c>
      <c r="Z228" s="2" t="s">
        <v>49</v>
      </c>
      <c r="AA228" s="2" t="s">
        <v>49</v>
      </c>
      <c r="AB228" s="2" t="s">
        <v>49</v>
      </c>
      <c r="AC228" s="2" t="s">
        <v>49</v>
      </c>
      <c r="AD228" s="2" t="s">
        <v>49</v>
      </c>
      <c r="AE228" s="2" t="s">
        <v>49</v>
      </c>
      <c r="AF228" s="2" t="s">
        <v>49</v>
      </c>
      <c r="AG228" s="2" t="s">
        <v>49</v>
      </c>
      <c r="AH228" s="2" t="s">
        <v>49</v>
      </c>
      <c r="AI228" s="2" t="s">
        <v>49</v>
      </c>
      <c r="AJ228" s="2" t="s">
        <v>49</v>
      </c>
      <c r="AK228" s="2" t="s">
        <v>49</v>
      </c>
      <c r="AL228" s="2" t="s">
        <v>49</v>
      </c>
      <c r="AM228" s="2" t="s">
        <v>49</v>
      </c>
      <c r="AN228" s="2" t="s">
        <v>49</v>
      </c>
      <c r="AO228" s="2" t="s">
        <v>49</v>
      </c>
      <c r="AQ228" s="2">
        <f t="shared" si="33"/>
        <v>0</v>
      </c>
      <c r="AR228" s="2">
        <f t="shared" si="34"/>
        <v>0</v>
      </c>
      <c r="AT228" s="2">
        <f t="shared" si="35"/>
        <v>0</v>
      </c>
      <c r="AU228" s="2">
        <f t="shared" si="36"/>
        <v>0</v>
      </c>
      <c r="AV228" s="27" t="str">
        <f t="shared" si="37"/>
        <v/>
      </c>
      <c r="AY228" s="2">
        <f t="shared" si="38"/>
        <v>0</v>
      </c>
      <c r="AZ228" s="2">
        <f t="shared" si="39"/>
        <v>0</v>
      </c>
      <c r="BA228" s="2">
        <f t="shared" si="40"/>
        <v>0</v>
      </c>
      <c r="BB228" s="2">
        <f t="shared" si="41"/>
        <v>0</v>
      </c>
      <c r="BC228" s="2">
        <f t="shared" si="42"/>
        <v>0</v>
      </c>
      <c r="BD228" s="2">
        <f t="shared" si="43"/>
        <v>0</v>
      </c>
    </row>
    <row r="229" spans="1:56" ht="15" customHeight="1" x14ac:dyDescent="0.45">
      <c r="A229" s="2" t="s">
        <v>4</v>
      </c>
      <c r="B229" s="2" t="s">
        <v>5</v>
      </c>
      <c r="C229" s="2">
        <v>2019</v>
      </c>
      <c r="D229" s="2" t="s">
        <v>49</v>
      </c>
      <c r="E229" s="2" t="s">
        <v>49</v>
      </c>
      <c r="F229" s="2" t="s">
        <v>49</v>
      </c>
      <c r="G229" s="2" t="s">
        <v>49</v>
      </c>
      <c r="H229" s="2" t="s">
        <v>49</v>
      </c>
      <c r="I229" s="2" t="s">
        <v>49</v>
      </c>
      <c r="J229" s="2" t="s">
        <v>49</v>
      </c>
      <c r="K229" s="2" t="s">
        <v>49</v>
      </c>
      <c r="L229" s="2" t="s">
        <v>49</v>
      </c>
      <c r="M229" s="2" t="s">
        <v>49</v>
      </c>
      <c r="N229" s="2" t="s">
        <v>49</v>
      </c>
      <c r="O229" s="2" t="s">
        <v>49</v>
      </c>
      <c r="P229" s="2" t="s">
        <v>49</v>
      </c>
      <c r="Q229" s="2" t="s">
        <v>49</v>
      </c>
      <c r="R229" s="2" t="s">
        <v>49</v>
      </c>
      <c r="S229" s="2" t="s">
        <v>49</v>
      </c>
      <c r="T229" s="2" t="s">
        <v>49</v>
      </c>
      <c r="U229" s="2" t="s">
        <v>49</v>
      </c>
      <c r="V229" s="2" t="s">
        <v>49</v>
      </c>
      <c r="W229" s="2" t="s">
        <v>49</v>
      </c>
      <c r="X229" s="2" t="s">
        <v>49</v>
      </c>
      <c r="Y229" s="2" t="s">
        <v>49</v>
      </c>
      <c r="Z229" s="2" t="s">
        <v>49</v>
      </c>
      <c r="AA229" s="2" t="s">
        <v>49</v>
      </c>
      <c r="AB229" s="2" t="s">
        <v>49</v>
      </c>
      <c r="AC229" s="2" t="s">
        <v>49</v>
      </c>
      <c r="AD229" s="2" t="s">
        <v>49</v>
      </c>
      <c r="AE229" s="2" t="s">
        <v>49</v>
      </c>
      <c r="AF229" s="2" t="s">
        <v>49</v>
      </c>
      <c r="AG229" s="2" t="s">
        <v>49</v>
      </c>
      <c r="AH229" s="2" t="s">
        <v>49</v>
      </c>
      <c r="AI229" s="2" t="s">
        <v>49</v>
      </c>
      <c r="AJ229" s="2" t="s">
        <v>49</v>
      </c>
      <c r="AK229" s="2" t="s">
        <v>49</v>
      </c>
      <c r="AL229" s="2" t="s">
        <v>49</v>
      </c>
      <c r="AM229" s="2" t="s">
        <v>49</v>
      </c>
      <c r="AN229" s="2" t="s">
        <v>49</v>
      </c>
      <c r="AO229" s="2" t="s">
        <v>49</v>
      </c>
      <c r="AQ229" s="2">
        <f t="shared" si="33"/>
        <v>0</v>
      </c>
      <c r="AR229" s="2">
        <f t="shared" si="34"/>
        <v>0</v>
      </c>
      <c r="AT229" s="2">
        <f t="shared" si="35"/>
        <v>0</v>
      </c>
      <c r="AU229" s="2">
        <f t="shared" si="36"/>
        <v>0</v>
      </c>
      <c r="AV229" s="27" t="str">
        <f t="shared" si="37"/>
        <v/>
      </c>
      <c r="AY229" s="2">
        <f t="shared" si="38"/>
        <v>0</v>
      </c>
      <c r="AZ229" s="2">
        <f t="shared" si="39"/>
        <v>0</v>
      </c>
      <c r="BA229" s="2">
        <f t="shared" si="40"/>
        <v>0</v>
      </c>
      <c r="BB229" s="2">
        <f t="shared" si="41"/>
        <v>0</v>
      </c>
      <c r="BC229" s="2">
        <f t="shared" si="42"/>
        <v>0</v>
      </c>
      <c r="BD229" s="2">
        <f t="shared" si="43"/>
        <v>0</v>
      </c>
    </row>
    <row r="230" spans="1:56" ht="15" customHeight="1" x14ac:dyDescent="0.45">
      <c r="A230" s="2" t="s">
        <v>381</v>
      </c>
      <c r="B230" s="2" t="s">
        <v>380</v>
      </c>
      <c r="C230" s="2">
        <v>2019</v>
      </c>
      <c r="D230" s="2" t="s">
        <v>146</v>
      </c>
      <c r="E230" s="2" t="s">
        <v>146</v>
      </c>
      <c r="F230" s="2" t="s">
        <v>146</v>
      </c>
      <c r="G230" s="2" t="s">
        <v>146</v>
      </c>
      <c r="H230" s="2" t="s">
        <v>146</v>
      </c>
      <c r="I230" s="2" t="s">
        <v>146</v>
      </c>
      <c r="J230" s="2" t="s">
        <v>146</v>
      </c>
      <c r="K230" s="2" t="s">
        <v>146</v>
      </c>
      <c r="L230" s="2" t="s">
        <v>146</v>
      </c>
      <c r="M230" s="2" t="s">
        <v>146</v>
      </c>
      <c r="N230" s="2" t="s">
        <v>146</v>
      </c>
      <c r="O230" s="2" t="s">
        <v>146</v>
      </c>
      <c r="P230" s="2" t="s">
        <v>146</v>
      </c>
      <c r="Q230" s="2" t="s">
        <v>146</v>
      </c>
      <c r="R230" s="2" t="s">
        <v>146</v>
      </c>
      <c r="S230" s="2" t="s">
        <v>146</v>
      </c>
      <c r="T230" s="2" t="s">
        <v>146</v>
      </c>
      <c r="U230" s="2" t="s">
        <v>146</v>
      </c>
      <c r="V230" s="2" t="s">
        <v>146</v>
      </c>
      <c r="W230" s="2" t="s">
        <v>146</v>
      </c>
      <c r="X230" s="2" t="s">
        <v>146</v>
      </c>
      <c r="Y230" s="2" t="s">
        <v>146</v>
      </c>
      <c r="Z230" s="2" t="s">
        <v>146</v>
      </c>
      <c r="AA230" s="2" t="s">
        <v>146</v>
      </c>
      <c r="AB230" s="2" t="s">
        <v>146</v>
      </c>
      <c r="AC230" s="2" t="s">
        <v>146</v>
      </c>
      <c r="AD230" s="2" t="s">
        <v>146</v>
      </c>
      <c r="AE230" s="2" t="s">
        <v>146</v>
      </c>
      <c r="AF230" s="2" t="s">
        <v>146</v>
      </c>
      <c r="AG230" s="2" t="s">
        <v>146</v>
      </c>
      <c r="AH230" s="2" t="s">
        <v>155</v>
      </c>
      <c r="AI230" s="2" t="s">
        <v>146</v>
      </c>
      <c r="AJ230" s="2" t="s">
        <v>146</v>
      </c>
      <c r="AK230" s="2" t="s">
        <v>146</v>
      </c>
      <c r="AL230" s="2">
        <v>100</v>
      </c>
      <c r="AM230" s="2">
        <v>0</v>
      </c>
      <c r="AN230" s="2">
        <v>0</v>
      </c>
      <c r="AO230" s="2">
        <v>0</v>
      </c>
      <c r="AQ230" s="2">
        <f t="shared" si="33"/>
        <v>0</v>
      </c>
      <c r="AR230" s="2">
        <f t="shared" si="34"/>
        <v>0</v>
      </c>
      <c r="AT230" s="2">
        <f t="shared" si="35"/>
        <v>0</v>
      </c>
      <c r="AU230" s="2">
        <f t="shared" si="36"/>
        <v>0</v>
      </c>
      <c r="AV230" s="27" t="str">
        <f t="shared" si="37"/>
        <v/>
      </c>
      <c r="AY230" s="2">
        <f t="shared" si="38"/>
        <v>0</v>
      </c>
      <c r="AZ230" s="2">
        <f t="shared" si="39"/>
        <v>0</v>
      </c>
      <c r="BA230" s="2">
        <f t="shared" si="40"/>
        <v>0</v>
      </c>
      <c r="BB230" s="2">
        <f t="shared" si="41"/>
        <v>0</v>
      </c>
      <c r="BC230" s="2">
        <f t="shared" si="42"/>
        <v>0</v>
      </c>
      <c r="BD230" s="2">
        <f t="shared" si="43"/>
        <v>0</v>
      </c>
    </row>
    <row r="231" spans="1:56" ht="15" customHeight="1" x14ac:dyDescent="0.45">
      <c r="A231" s="2" t="s">
        <v>376</v>
      </c>
      <c r="B231" s="2" t="s">
        <v>379</v>
      </c>
      <c r="C231" s="2">
        <v>2019</v>
      </c>
      <c r="D231" s="2" t="s">
        <v>146</v>
      </c>
      <c r="E231" s="2" t="s">
        <v>146</v>
      </c>
      <c r="F231" s="2" t="s">
        <v>146</v>
      </c>
      <c r="G231" s="2" t="s">
        <v>146</v>
      </c>
      <c r="H231" s="2" t="s">
        <v>146</v>
      </c>
      <c r="I231" s="2" t="s">
        <v>146</v>
      </c>
      <c r="J231" s="2" t="s">
        <v>146</v>
      </c>
      <c r="K231" s="2" t="s">
        <v>146</v>
      </c>
      <c r="L231" s="2" t="s">
        <v>146</v>
      </c>
      <c r="M231" s="2" t="s">
        <v>146</v>
      </c>
      <c r="N231" s="2" t="s">
        <v>146</v>
      </c>
      <c r="O231" s="2" t="s">
        <v>146</v>
      </c>
      <c r="P231" s="2" t="s">
        <v>146</v>
      </c>
      <c r="Q231" s="2" t="s">
        <v>146</v>
      </c>
      <c r="R231" s="2" t="s">
        <v>146</v>
      </c>
      <c r="S231" s="2" t="s">
        <v>146</v>
      </c>
      <c r="T231" s="2" t="s">
        <v>146</v>
      </c>
      <c r="U231" s="2" t="s">
        <v>146</v>
      </c>
      <c r="V231" s="2" t="s">
        <v>146</v>
      </c>
      <c r="W231" s="2" t="s">
        <v>146</v>
      </c>
      <c r="X231" s="2" t="s">
        <v>146</v>
      </c>
      <c r="Y231" s="2" t="s">
        <v>146</v>
      </c>
      <c r="Z231" s="2" t="s">
        <v>146</v>
      </c>
      <c r="AA231" s="2" t="s">
        <v>146</v>
      </c>
      <c r="AB231" s="2" t="s">
        <v>146</v>
      </c>
      <c r="AC231" s="2" t="s">
        <v>146</v>
      </c>
      <c r="AD231" s="2" t="s">
        <v>146</v>
      </c>
      <c r="AE231" s="2" t="s">
        <v>146</v>
      </c>
      <c r="AF231" s="2" t="s">
        <v>146</v>
      </c>
      <c r="AG231" s="2" t="s">
        <v>146</v>
      </c>
      <c r="AH231" s="2" t="s">
        <v>146</v>
      </c>
      <c r="AI231" s="2" t="s">
        <v>146</v>
      </c>
      <c r="AJ231" s="2" t="s">
        <v>146</v>
      </c>
      <c r="AK231" s="2" t="s">
        <v>146</v>
      </c>
      <c r="AL231" s="2" t="s">
        <v>146</v>
      </c>
      <c r="AM231" s="2" t="s">
        <v>146</v>
      </c>
      <c r="AN231" s="2" t="s">
        <v>146</v>
      </c>
      <c r="AO231" s="2" t="s">
        <v>146</v>
      </c>
      <c r="AQ231" s="2">
        <f t="shared" si="33"/>
        <v>0</v>
      </c>
      <c r="AR231" s="2">
        <f t="shared" si="34"/>
        <v>0</v>
      </c>
      <c r="AT231" s="2">
        <f t="shared" si="35"/>
        <v>0</v>
      </c>
      <c r="AU231" s="2">
        <f t="shared" si="36"/>
        <v>0</v>
      </c>
      <c r="AV231" s="27" t="str">
        <f t="shared" si="37"/>
        <v/>
      </c>
      <c r="AY231" s="2">
        <f t="shared" si="38"/>
        <v>0</v>
      </c>
      <c r="AZ231" s="2">
        <f t="shared" si="39"/>
        <v>0</v>
      </c>
      <c r="BA231" s="2">
        <f t="shared" si="40"/>
        <v>0</v>
      </c>
      <c r="BB231" s="2">
        <f t="shared" si="41"/>
        <v>0</v>
      </c>
      <c r="BC231" s="2">
        <f t="shared" si="42"/>
        <v>0</v>
      </c>
      <c r="BD231" s="2">
        <f t="shared" si="43"/>
        <v>0</v>
      </c>
    </row>
    <row r="232" spans="1:56" ht="15" customHeight="1" x14ac:dyDescent="0.45">
      <c r="A232" s="2" t="s">
        <v>376</v>
      </c>
      <c r="B232" s="2" t="s">
        <v>378</v>
      </c>
      <c r="C232" s="2">
        <v>2019</v>
      </c>
      <c r="D232" s="2" t="s">
        <v>146</v>
      </c>
      <c r="E232" s="2" t="s">
        <v>146</v>
      </c>
      <c r="F232" s="2" t="s">
        <v>146</v>
      </c>
      <c r="G232" s="2" t="s">
        <v>146</v>
      </c>
      <c r="H232" s="2" t="s">
        <v>146</v>
      </c>
      <c r="I232" s="2" t="s">
        <v>146</v>
      </c>
      <c r="J232" s="2" t="s">
        <v>146</v>
      </c>
      <c r="K232" s="2" t="s">
        <v>146</v>
      </c>
      <c r="L232" s="2" t="s">
        <v>146</v>
      </c>
      <c r="M232" s="2" t="s">
        <v>146</v>
      </c>
      <c r="N232" s="2" t="s">
        <v>146</v>
      </c>
      <c r="O232" s="2" t="s">
        <v>146</v>
      </c>
      <c r="P232" s="2" t="s">
        <v>146</v>
      </c>
      <c r="Q232" s="2" t="s">
        <v>146</v>
      </c>
      <c r="R232" s="2" t="s">
        <v>146</v>
      </c>
      <c r="S232" s="2" t="s">
        <v>146</v>
      </c>
      <c r="T232" s="2" t="s">
        <v>146</v>
      </c>
      <c r="U232" s="2" t="s">
        <v>146</v>
      </c>
      <c r="V232" s="2" t="s">
        <v>146</v>
      </c>
      <c r="W232" s="2" t="s">
        <v>146</v>
      </c>
      <c r="X232" s="2" t="s">
        <v>146</v>
      </c>
      <c r="Y232" s="2" t="s">
        <v>146</v>
      </c>
      <c r="Z232" s="2" t="s">
        <v>146</v>
      </c>
      <c r="AA232" s="2" t="s">
        <v>146</v>
      </c>
      <c r="AB232" s="2" t="s">
        <v>146</v>
      </c>
      <c r="AC232" s="2" t="s">
        <v>146</v>
      </c>
      <c r="AD232" s="2" t="s">
        <v>146</v>
      </c>
      <c r="AE232" s="2" t="s">
        <v>146</v>
      </c>
      <c r="AF232" s="2" t="s">
        <v>146</v>
      </c>
      <c r="AG232" s="2" t="s">
        <v>146</v>
      </c>
      <c r="AH232" s="2" t="s">
        <v>146</v>
      </c>
      <c r="AI232" s="2" t="s">
        <v>146</v>
      </c>
      <c r="AJ232" s="2" t="s">
        <v>146</v>
      </c>
      <c r="AK232" s="2" t="s">
        <v>146</v>
      </c>
      <c r="AL232" s="2" t="s">
        <v>146</v>
      </c>
      <c r="AM232" s="2" t="s">
        <v>146</v>
      </c>
      <c r="AN232" s="2" t="s">
        <v>146</v>
      </c>
      <c r="AO232" s="2" t="s">
        <v>146</v>
      </c>
      <c r="AQ232" s="2">
        <f t="shared" si="33"/>
        <v>0</v>
      </c>
      <c r="AR232" s="2">
        <f t="shared" si="34"/>
        <v>0</v>
      </c>
      <c r="AT232" s="2">
        <f t="shared" si="35"/>
        <v>0</v>
      </c>
      <c r="AU232" s="2">
        <f t="shared" si="36"/>
        <v>0</v>
      </c>
      <c r="AV232" s="27" t="str">
        <f t="shared" si="37"/>
        <v/>
      </c>
      <c r="AY232" s="2">
        <f t="shared" si="38"/>
        <v>0</v>
      </c>
      <c r="AZ232" s="2">
        <f t="shared" si="39"/>
        <v>0</v>
      </c>
      <c r="BA232" s="2">
        <f t="shared" si="40"/>
        <v>0</v>
      </c>
      <c r="BB232" s="2">
        <f t="shared" si="41"/>
        <v>0</v>
      </c>
      <c r="BC232" s="2">
        <f t="shared" si="42"/>
        <v>0</v>
      </c>
      <c r="BD232" s="2">
        <f t="shared" si="43"/>
        <v>0</v>
      </c>
    </row>
    <row r="233" spans="1:56" ht="15" customHeight="1" x14ac:dyDescent="0.45">
      <c r="A233" s="2" t="s">
        <v>376</v>
      </c>
      <c r="B233" s="2" t="s">
        <v>377</v>
      </c>
      <c r="C233" s="2">
        <v>2019</v>
      </c>
      <c r="D233" s="2" t="s">
        <v>146</v>
      </c>
      <c r="E233" s="2" t="s">
        <v>146</v>
      </c>
      <c r="F233" s="2" t="s">
        <v>146</v>
      </c>
      <c r="G233" s="2" t="s">
        <v>146</v>
      </c>
      <c r="H233" s="2" t="s">
        <v>146</v>
      </c>
      <c r="I233" s="2" t="s">
        <v>146</v>
      </c>
      <c r="J233" s="2" t="s">
        <v>146</v>
      </c>
      <c r="K233" s="2" t="s">
        <v>146</v>
      </c>
      <c r="L233" s="2" t="s">
        <v>146</v>
      </c>
      <c r="M233" s="2" t="s">
        <v>146</v>
      </c>
      <c r="N233" s="2" t="s">
        <v>146</v>
      </c>
      <c r="O233" s="2" t="s">
        <v>146</v>
      </c>
      <c r="P233" s="2" t="s">
        <v>146</v>
      </c>
      <c r="Q233" s="2" t="s">
        <v>146</v>
      </c>
      <c r="R233" s="2" t="s">
        <v>146</v>
      </c>
      <c r="S233" s="2" t="s">
        <v>146</v>
      </c>
      <c r="T233" s="2" t="s">
        <v>146</v>
      </c>
      <c r="U233" s="2" t="s">
        <v>146</v>
      </c>
      <c r="V233" s="2" t="s">
        <v>146</v>
      </c>
      <c r="W233" s="2" t="s">
        <v>146</v>
      </c>
      <c r="X233" s="2" t="s">
        <v>146</v>
      </c>
      <c r="Y233" s="2" t="s">
        <v>146</v>
      </c>
      <c r="Z233" s="2" t="s">
        <v>146</v>
      </c>
      <c r="AA233" s="2" t="s">
        <v>146</v>
      </c>
      <c r="AB233" s="2" t="s">
        <v>146</v>
      </c>
      <c r="AC233" s="2" t="s">
        <v>146</v>
      </c>
      <c r="AD233" s="2" t="s">
        <v>146</v>
      </c>
      <c r="AE233" s="2" t="s">
        <v>146</v>
      </c>
      <c r="AF233" s="2" t="s">
        <v>146</v>
      </c>
      <c r="AG233" s="2" t="s">
        <v>146</v>
      </c>
      <c r="AH233" s="2" t="s">
        <v>146</v>
      </c>
      <c r="AI233" s="2" t="s">
        <v>146</v>
      </c>
      <c r="AJ233" s="2" t="s">
        <v>146</v>
      </c>
      <c r="AK233" s="2" t="s">
        <v>146</v>
      </c>
      <c r="AL233" s="2" t="s">
        <v>146</v>
      </c>
      <c r="AM233" s="2" t="s">
        <v>146</v>
      </c>
      <c r="AN233" s="2" t="s">
        <v>146</v>
      </c>
      <c r="AO233" s="2" t="s">
        <v>146</v>
      </c>
      <c r="AQ233" s="2">
        <f t="shared" si="33"/>
        <v>0</v>
      </c>
      <c r="AR233" s="2">
        <f t="shared" si="34"/>
        <v>0</v>
      </c>
      <c r="AT233" s="2">
        <f t="shared" si="35"/>
        <v>0</v>
      </c>
      <c r="AU233" s="2">
        <f t="shared" si="36"/>
        <v>0</v>
      </c>
      <c r="AV233" s="27" t="str">
        <f t="shared" si="37"/>
        <v/>
      </c>
      <c r="AY233" s="2">
        <f t="shared" si="38"/>
        <v>0</v>
      </c>
      <c r="AZ233" s="2">
        <f t="shared" si="39"/>
        <v>0</v>
      </c>
      <c r="BA233" s="2">
        <f t="shared" si="40"/>
        <v>0</v>
      </c>
      <c r="BB233" s="2">
        <f t="shared" si="41"/>
        <v>0</v>
      </c>
      <c r="BC233" s="2">
        <f t="shared" si="42"/>
        <v>0</v>
      </c>
      <c r="BD233" s="2">
        <f t="shared" si="43"/>
        <v>0</v>
      </c>
    </row>
    <row r="234" spans="1:56" ht="15" customHeight="1" x14ac:dyDescent="0.45">
      <c r="A234" s="2" t="s">
        <v>376</v>
      </c>
      <c r="B234" s="2" t="s">
        <v>375</v>
      </c>
      <c r="C234" s="2">
        <v>2019</v>
      </c>
      <c r="D234" s="2" t="s">
        <v>146</v>
      </c>
      <c r="E234" s="2" t="s">
        <v>146</v>
      </c>
      <c r="F234" s="2" t="s">
        <v>146</v>
      </c>
      <c r="G234" s="2" t="s">
        <v>146</v>
      </c>
      <c r="H234" s="2" t="s">
        <v>146</v>
      </c>
      <c r="I234" s="2" t="s">
        <v>146</v>
      </c>
      <c r="J234" s="2" t="s">
        <v>146</v>
      </c>
      <c r="K234" s="2" t="s">
        <v>146</v>
      </c>
      <c r="L234" s="2" t="s">
        <v>146</v>
      </c>
      <c r="M234" s="2" t="s">
        <v>146</v>
      </c>
      <c r="N234" s="2" t="s">
        <v>146</v>
      </c>
      <c r="O234" s="2" t="s">
        <v>146</v>
      </c>
      <c r="P234" s="2" t="s">
        <v>146</v>
      </c>
      <c r="Q234" s="2" t="s">
        <v>146</v>
      </c>
      <c r="R234" s="2" t="s">
        <v>146</v>
      </c>
      <c r="S234" s="2" t="s">
        <v>146</v>
      </c>
      <c r="T234" s="2" t="s">
        <v>146</v>
      </c>
      <c r="U234" s="2" t="s">
        <v>146</v>
      </c>
      <c r="V234" s="2" t="s">
        <v>146</v>
      </c>
      <c r="W234" s="2" t="s">
        <v>146</v>
      </c>
      <c r="X234" s="2" t="s">
        <v>146</v>
      </c>
      <c r="Y234" s="2" t="s">
        <v>146</v>
      </c>
      <c r="Z234" s="2" t="s">
        <v>146</v>
      </c>
      <c r="AA234" s="2" t="s">
        <v>146</v>
      </c>
      <c r="AB234" s="2" t="s">
        <v>146</v>
      </c>
      <c r="AC234" s="2" t="s">
        <v>146</v>
      </c>
      <c r="AD234" s="2" t="s">
        <v>146</v>
      </c>
      <c r="AE234" s="2" t="s">
        <v>146</v>
      </c>
      <c r="AF234" s="2" t="s">
        <v>146</v>
      </c>
      <c r="AG234" s="2" t="s">
        <v>146</v>
      </c>
      <c r="AH234" s="2" t="s">
        <v>146</v>
      </c>
      <c r="AI234" s="2" t="s">
        <v>146</v>
      </c>
      <c r="AJ234" s="2" t="s">
        <v>146</v>
      </c>
      <c r="AK234" s="2" t="s">
        <v>146</v>
      </c>
      <c r="AL234" s="2" t="s">
        <v>146</v>
      </c>
      <c r="AM234" s="2" t="s">
        <v>146</v>
      </c>
      <c r="AN234" s="2" t="s">
        <v>146</v>
      </c>
      <c r="AO234" s="2" t="s">
        <v>146</v>
      </c>
      <c r="AQ234" s="2">
        <f t="shared" si="33"/>
        <v>0</v>
      </c>
      <c r="AR234" s="2">
        <f t="shared" si="34"/>
        <v>0</v>
      </c>
      <c r="AT234" s="2">
        <f t="shared" si="35"/>
        <v>0</v>
      </c>
      <c r="AU234" s="2">
        <f t="shared" si="36"/>
        <v>0</v>
      </c>
      <c r="AV234" s="27" t="str">
        <f t="shared" si="37"/>
        <v/>
      </c>
      <c r="AY234" s="2">
        <f t="shared" si="38"/>
        <v>0</v>
      </c>
      <c r="AZ234" s="2">
        <f t="shared" si="39"/>
        <v>0</v>
      </c>
      <c r="BA234" s="2">
        <f t="shared" si="40"/>
        <v>0</v>
      </c>
      <c r="BB234" s="2">
        <f t="shared" si="41"/>
        <v>0</v>
      </c>
      <c r="BC234" s="2">
        <f t="shared" si="42"/>
        <v>0</v>
      </c>
      <c r="BD234" s="2">
        <f t="shared" si="43"/>
        <v>0</v>
      </c>
    </row>
    <row r="235" spans="1:56" ht="15" customHeight="1" x14ac:dyDescent="0.45">
      <c r="A235" s="2" t="s">
        <v>374</v>
      </c>
      <c r="B235" s="2" t="s">
        <v>373</v>
      </c>
      <c r="C235" s="2">
        <v>2019</v>
      </c>
      <c r="D235" s="2" t="s">
        <v>49</v>
      </c>
      <c r="E235" s="2" t="s">
        <v>49</v>
      </c>
      <c r="F235" s="2" t="s">
        <v>49</v>
      </c>
      <c r="G235" s="2" t="s">
        <v>49</v>
      </c>
      <c r="H235" s="2" t="s">
        <v>49</v>
      </c>
      <c r="I235" s="2" t="s">
        <v>49</v>
      </c>
      <c r="J235" s="2" t="s">
        <v>49</v>
      </c>
      <c r="K235" s="2" t="s">
        <v>49</v>
      </c>
      <c r="L235" s="2" t="s">
        <v>49</v>
      </c>
      <c r="M235" s="2" t="s">
        <v>49</v>
      </c>
      <c r="N235" s="2" t="s">
        <v>49</v>
      </c>
      <c r="O235" s="2" t="s">
        <v>49</v>
      </c>
      <c r="P235" s="2" t="s">
        <v>49</v>
      </c>
      <c r="Q235" s="2" t="s">
        <v>49</v>
      </c>
      <c r="R235" s="2" t="s">
        <v>49</v>
      </c>
      <c r="S235" s="2" t="s">
        <v>49</v>
      </c>
      <c r="T235" s="2" t="s">
        <v>49</v>
      </c>
      <c r="U235" s="2" t="s">
        <v>49</v>
      </c>
      <c r="V235" s="2" t="s">
        <v>49</v>
      </c>
      <c r="W235" s="2" t="s">
        <v>49</v>
      </c>
      <c r="X235" s="2" t="s">
        <v>49</v>
      </c>
      <c r="Y235" s="2" t="s">
        <v>49</v>
      </c>
      <c r="Z235" s="2" t="s">
        <v>49</v>
      </c>
      <c r="AA235" s="2" t="s">
        <v>49</v>
      </c>
      <c r="AB235" s="2" t="s">
        <v>49</v>
      </c>
      <c r="AC235" s="2" t="s">
        <v>49</v>
      </c>
      <c r="AD235" s="2" t="s">
        <v>49</v>
      </c>
      <c r="AE235" s="2" t="s">
        <v>49</v>
      </c>
      <c r="AF235" s="2" t="s">
        <v>49</v>
      </c>
      <c r="AG235" s="2" t="s">
        <v>49</v>
      </c>
      <c r="AH235" s="2" t="s">
        <v>49</v>
      </c>
      <c r="AI235" s="2" t="s">
        <v>49</v>
      </c>
      <c r="AJ235" s="2" t="s">
        <v>49</v>
      </c>
      <c r="AK235" s="2" t="s">
        <v>49</v>
      </c>
      <c r="AL235" s="2" t="s">
        <v>49</v>
      </c>
      <c r="AM235" s="2" t="s">
        <v>49</v>
      </c>
      <c r="AN235" s="2" t="s">
        <v>49</v>
      </c>
      <c r="AO235" s="2" t="s">
        <v>49</v>
      </c>
      <c r="AQ235" s="2">
        <f t="shared" si="33"/>
        <v>0</v>
      </c>
      <c r="AR235" s="2">
        <f t="shared" si="34"/>
        <v>0</v>
      </c>
      <c r="AT235" s="2">
        <f t="shared" si="35"/>
        <v>0</v>
      </c>
      <c r="AU235" s="2">
        <f t="shared" si="36"/>
        <v>0</v>
      </c>
      <c r="AV235" s="27" t="str">
        <f t="shared" si="37"/>
        <v/>
      </c>
      <c r="AY235" s="2">
        <f t="shared" si="38"/>
        <v>0</v>
      </c>
      <c r="AZ235" s="2">
        <f t="shared" si="39"/>
        <v>0</v>
      </c>
      <c r="BA235" s="2">
        <f t="shared" si="40"/>
        <v>0</v>
      </c>
      <c r="BB235" s="2">
        <f t="shared" si="41"/>
        <v>0</v>
      </c>
      <c r="BC235" s="2">
        <f t="shared" si="42"/>
        <v>0</v>
      </c>
      <c r="BD235" s="2">
        <f t="shared" si="43"/>
        <v>0</v>
      </c>
    </row>
    <row r="236" spans="1:56" ht="15" customHeight="1" x14ac:dyDescent="0.45">
      <c r="A236" s="2" t="s">
        <v>371</v>
      </c>
      <c r="B236" s="2" t="s">
        <v>372</v>
      </c>
      <c r="C236" s="2">
        <v>2019</v>
      </c>
      <c r="D236" s="2" t="s">
        <v>146</v>
      </c>
      <c r="E236" s="2" t="s">
        <v>146</v>
      </c>
      <c r="F236" s="2" t="s">
        <v>146</v>
      </c>
      <c r="G236" s="2" t="s">
        <v>146</v>
      </c>
      <c r="H236" s="2" t="s">
        <v>146</v>
      </c>
      <c r="I236" s="2" t="s">
        <v>146</v>
      </c>
      <c r="J236" s="2" t="s">
        <v>146</v>
      </c>
      <c r="K236" s="2" t="s">
        <v>146</v>
      </c>
      <c r="L236" s="2" t="s">
        <v>146</v>
      </c>
      <c r="M236" s="2" t="s">
        <v>146</v>
      </c>
      <c r="N236" s="2" t="s">
        <v>146</v>
      </c>
      <c r="O236" s="2" t="s">
        <v>146</v>
      </c>
      <c r="P236" s="2" t="s">
        <v>146</v>
      </c>
      <c r="Q236" s="2" t="s">
        <v>146</v>
      </c>
      <c r="R236" s="2" t="s">
        <v>146</v>
      </c>
      <c r="S236" s="2" t="s">
        <v>146</v>
      </c>
      <c r="T236" s="2" t="s">
        <v>146</v>
      </c>
      <c r="U236" s="2" t="s">
        <v>146</v>
      </c>
      <c r="V236" s="2" t="s">
        <v>146</v>
      </c>
      <c r="W236" s="2" t="s">
        <v>146</v>
      </c>
      <c r="X236" s="2" t="s">
        <v>146</v>
      </c>
      <c r="Y236" s="2" t="s">
        <v>146</v>
      </c>
      <c r="Z236" s="2" t="s">
        <v>146</v>
      </c>
      <c r="AA236" s="2" t="s">
        <v>146</v>
      </c>
      <c r="AB236" s="2" t="s">
        <v>146</v>
      </c>
      <c r="AC236" s="2" t="s">
        <v>146</v>
      </c>
      <c r="AD236" s="2" t="s">
        <v>146</v>
      </c>
      <c r="AE236" s="2" t="s">
        <v>146</v>
      </c>
      <c r="AF236" s="2" t="s">
        <v>146</v>
      </c>
      <c r="AG236" s="2" t="s">
        <v>146</v>
      </c>
      <c r="AH236" s="2" t="s">
        <v>146</v>
      </c>
      <c r="AI236" s="2" t="s">
        <v>146</v>
      </c>
      <c r="AJ236" s="2" t="s">
        <v>146</v>
      </c>
      <c r="AK236" s="2" t="s">
        <v>146</v>
      </c>
      <c r="AL236" s="2" t="s">
        <v>146</v>
      </c>
      <c r="AM236" s="2" t="s">
        <v>146</v>
      </c>
      <c r="AN236" s="2" t="s">
        <v>146</v>
      </c>
      <c r="AO236" s="2" t="s">
        <v>146</v>
      </c>
      <c r="AQ236" s="2">
        <f t="shared" si="33"/>
        <v>0</v>
      </c>
      <c r="AR236" s="2">
        <f t="shared" si="34"/>
        <v>0</v>
      </c>
      <c r="AT236" s="2">
        <f t="shared" si="35"/>
        <v>0</v>
      </c>
      <c r="AU236" s="2">
        <f t="shared" si="36"/>
        <v>0</v>
      </c>
      <c r="AV236" s="27" t="str">
        <f t="shared" si="37"/>
        <v/>
      </c>
      <c r="AY236" s="2">
        <f t="shared" si="38"/>
        <v>0</v>
      </c>
      <c r="AZ236" s="2">
        <f t="shared" si="39"/>
        <v>0</v>
      </c>
      <c r="BA236" s="2">
        <f t="shared" si="40"/>
        <v>0</v>
      </c>
      <c r="BB236" s="2">
        <f t="shared" si="41"/>
        <v>0</v>
      </c>
      <c r="BC236" s="2">
        <f t="shared" si="42"/>
        <v>0</v>
      </c>
      <c r="BD236" s="2">
        <f t="shared" si="43"/>
        <v>0</v>
      </c>
    </row>
    <row r="237" spans="1:56" ht="15" customHeight="1" x14ac:dyDescent="0.45">
      <c r="A237" s="2" t="s">
        <v>371</v>
      </c>
      <c r="B237" s="2" t="s">
        <v>370</v>
      </c>
      <c r="C237" s="2">
        <v>2019</v>
      </c>
      <c r="D237" s="2">
        <v>18.899999999999999</v>
      </c>
      <c r="E237" s="2">
        <v>1.4</v>
      </c>
      <c r="F237" s="2">
        <v>0</v>
      </c>
      <c r="G237" s="2" t="s">
        <v>146</v>
      </c>
      <c r="H237" s="2" t="s">
        <v>146</v>
      </c>
      <c r="I237" s="2">
        <v>32.4</v>
      </c>
      <c r="J237" s="2" t="s">
        <v>146</v>
      </c>
      <c r="K237" s="2" t="s">
        <v>146</v>
      </c>
      <c r="L237" s="2" t="s">
        <v>146</v>
      </c>
      <c r="M237" s="2" t="s">
        <v>146</v>
      </c>
      <c r="N237" s="2" t="s">
        <v>146</v>
      </c>
      <c r="O237" s="2" t="s">
        <v>146</v>
      </c>
      <c r="P237" s="2" t="s">
        <v>146</v>
      </c>
      <c r="Q237" s="2">
        <v>8.1999999999999993</v>
      </c>
      <c r="R237" s="2">
        <v>10.9</v>
      </c>
      <c r="S237" s="2">
        <v>8.1999999999999993</v>
      </c>
      <c r="T237" s="2" t="s">
        <v>146</v>
      </c>
      <c r="U237" s="2" t="s">
        <v>146</v>
      </c>
      <c r="V237" s="2" t="s">
        <v>146</v>
      </c>
      <c r="W237" s="2" t="s">
        <v>146</v>
      </c>
      <c r="X237" s="2" t="s">
        <v>146</v>
      </c>
      <c r="Y237" s="2" t="s">
        <v>146</v>
      </c>
      <c r="Z237" s="2" t="s">
        <v>146</v>
      </c>
      <c r="AA237" s="2" t="s">
        <v>146</v>
      </c>
      <c r="AB237" s="2" t="s">
        <v>146</v>
      </c>
      <c r="AC237" s="2" t="s">
        <v>146</v>
      </c>
      <c r="AD237" s="2" t="s">
        <v>146</v>
      </c>
      <c r="AE237" s="2" t="s">
        <v>146</v>
      </c>
      <c r="AF237" s="2" t="s">
        <v>146</v>
      </c>
      <c r="AG237" s="2" t="s">
        <v>146</v>
      </c>
      <c r="AH237" s="2" t="s">
        <v>146</v>
      </c>
      <c r="AI237" s="2" t="s">
        <v>146</v>
      </c>
      <c r="AJ237" s="2" t="s">
        <v>146</v>
      </c>
      <c r="AK237" s="2">
        <v>5.0999999999999996</v>
      </c>
      <c r="AL237" s="2">
        <v>100</v>
      </c>
      <c r="AM237" s="2">
        <v>0</v>
      </c>
      <c r="AN237" s="2">
        <v>0</v>
      </c>
      <c r="AO237" s="2">
        <v>0</v>
      </c>
      <c r="AQ237" s="2">
        <f t="shared" si="33"/>
        <v>27.3</v>
      </c>
      <c r="AR237" s="2">
        <f t="shared" si="34"/>
        <v>32.4</v>
      </c>
      <c r="AT237" s="2">
        <f t="shared" si="35"/>
        <v>18.899999999999999</v>
      </c>
      <c r="AU237" s="2">
        <f t="shared" si="36"/>
        <v>1.4</v>
      </c>
      <c r="AV237" s="27">
        <f t="shared" si="37"/>
        <v>0.62654320987654311</v>
      </c>
      <c r="AY237" s="2">
        <f t="shared" si="38"/>
        <v>5.0999999999999996</v>
      </c>
      <c r="AZ237" s="2">
        <f t="shared" si="39"/>
        <v>5.0999999999999996</v>
      </c>
      <c r="BA237" s="2">
        <f t="shared" si="40"/>
        <v>0</v>
      </c>
      <c r="BB237" s="2">
        <f t="shared" si="41"/>
        <v>0</v>
      </c>
      <c r="BC237" s="2">
        <f t="shared" si="42"/>
        <v>0</v>
      </c>
      <c r="BD237" s="2">
        <f t="shared" si="43"/>
        <v>0</v>
      </c>
    </row>
    <row r="238" spans="1:56" ht="15" customHeight="1" x14ac:dyDescent="0.45">
      <c r="A238" s="2" t="s">
        <v>369</v>
      </c>
      <c r="B238" s="2" t="s">
        <v>368</v>
      </c>
      <c r="C238" s="2">
        <v>2019</v>
      </c>
      <c r="D238" s="2" t="s">
        <v>146</v>
      </c>
      <c r="E238" s="2" t="s">
        <v>146</v>
      </c>
      <c r="F238" s="2" t="s">
        <v>146</v>
      </c>
      <c r="G238" s="2" t="s">
        <v>146</v>
      </c>
      <c r="H238" s="2" t="s">
        <v>146</v>
      </c>
      <c r="I238" s="2" t="s">
        <v>146</v>
      </c>
      <c r="J238" s="2" t="s">
        <v>146</v>
      </c>
      <c r="K238" s="2" t="s">
        <v>146</v>
      </c>
      <c r="L238" s="2" t="s">
        <v>146</v>
      </c>
      <c r="M238" s="2" t="s">
        <v>146</v>
      </c>
      <c r="N238" s="2" t="s">
        <v>146</v>
      </c>
      <c r="O238" s="2" t="s">
        <v>146</v>
      </c>
      <c r="P238" s="2" t="s">
        <v>146</v>
      </c>
      <c r="Q238" s="2" t="s">
        <v>146</v>
      </c>
      <c r="R238" s="2" t="s">
        <v>146</v>
      </c>
      <c r="S238" s="2" t="s">
        <v>146</v>
      </c>
      <c r="T238" s="2" t="s">
        <v>146</v>
      </c>
      <c r="U238" s="2" t="s">
        <v>146</v>
      </c>
      <c r="V238" s="2" t="s">
        <v>146</v>
      </c>
      <c r="W238" s="2" t="s">
        <v>146</v>
      </c>
      <c r="X238" s="2" t="s">
        <v>146</v>
      </c>
      <c r="Y238" s="2" t="s">
        <v>146</v>
      </c>
      <c r="Z238" s="2" t="s">
        <v>146</v>
      </c>
      <c r="AA238" s="2" t="s">
        <v>146</v>
      </c>
      <c r="AB238" s="2" t="s">
        <v>146</v>
      </c>
      <c r="AC238" s="2" t="s">
        <v>146</v>
      </c>
      <c r="AD238" s="2" t="s">
        <v>146</v>
      </c>
      <c r="AE238" s="2" t="s">
        <v>146</v>
      </c>
      <c r="AF238" s="2" t="s">
        <v>146</v>
      </c>
      <c r="AG238" s="2" t="s">
        <v>146</v>
      </c>
      <c r="AH238" s="2" t="s">
        <v>146</v>
      </c>
      <c r="AI238" s="2" t="s">
        <v>146</v>
      </c>
      <c r="AJ238" s="2" t="s">
        <v>146</v>
      </c>
      <c r="AK238" s="2" t="s">
        <v>146</v>
      </c>
      <c r="AL238" s="2" t="s">
        <v>146</v>
      </c>
      <c r="AM238" s="2" t="s">
        <v>146</v>
      </c>
      <c r="AN238" s="2" t="s">
        <v>146</v>
      </c>
      <c r="AO238" s="2" t="s">
        <v>146</v>
      </c>
      <c r="AQ238" s="2">
        <f t="shared" si="33"/>
        <v>0</v>
      </c>
      <c r="AR238" s="2">
        <f t="shared" si="34"/>
        <v>0</v>
      </c>
      <c r="AT238" s="2">
        <f t="shared" si="35"/>
        <v>0</v>
      </c>
      <c r="AU238" s="2">
        <f t="shared" si="36"/>
        <v>0</v>
      </c>
      <c r="AV238" s="27" t="str">
        <f t="shared" si="37"/>
        <v/>
      </c>
      <c r="AY238" s="2">
        <f t="shared" si="38"/>
        <v>0</v>
      </c>
      <c r="AZ238" s="2">
        <f t="shared" si="39"/>
        <v>0</v>
      </c>
      <c r="BA238" s="2">
        <f t="shared" si="40"/>
        <v>0</v>
      </c>
      <c r="BB238" s="2">
        <f t="shared" si="41"/>
        <v>0</v>
      </c>
      <c r="BC238" s="2">
        <f t="shared" si="42"/>
        <v>0</v>
      </c>
      <c r="BD238" s="2">
        <f t="shared" si="43"/>
        <v>0</v>
      </c>
    </row>
    <row r="239" spans="1:56" ht="15" customHeight="1" x14ac:dyDescent="0.45">
      <c r="A239" s="2" t="s">
        <v>367</v>
      </c>
      <c r="B239" s="2" t="s">
        <v>366</v>
      </c>
      <c r="C239" s="2">
        <v>2019</v>
      </c>
      <c r="D239" s="2">
        <v>76.525685999999993</v>
      </c>
      <c r="E239" s="2">
        <v>19.105874</v>
      </c>
      <c r="F239" s="2" t="s">
        <v>146</v>
      </c>
      <c r="G239" s="2" t="s">
        <v>146</v>
      </c>
      <c r="H239" s="2" t="s">
        <v>146</v>
      </c>
      <c r="I239" s="2">
        <v>112.2225885</v>
      </c>
      <c r="J239" s="2" t="s">
        <v>146</v>
      </c>
      <c r="K239" s="2" t="s">
        <v>146</v>
      </c>
      <c r="L239" s="2" t="s">
        <v>146</v>
      </c>
      <c r="M239" s="2" t="s">
        <v>146</v>
      </c>
      <c r="N239" s="2" t="s">
        <v>146</v>
      </c>
      <c r="O239" s="2" t="s">
        <v>146</v>
      </c>
      <c r="P239" s="2" t="s">
        <v>146</v>
      </c>
      <c r="Q239" s="2">
        <v>56.273507000000002</v>
      </c>
      <c r="R239" s="2" t="s">
        <v>146</v>
      </c>
      <c r="S239" s="2">
        <v>49.295963999999998</v>
      </c>
      <c r="T239" s="2">
        <v>0.34536</v>
      </c>
      <c r="U239" s="2" t="s">
        <v>146</v>
      </c>
      <c r="V239" s="2" t="s">
        <v>146</v>
      </c>
      <c r="W239" s="2" t="s">
        <v>147</v>
      </c>
      <c r="X239" s="2" t="s">
        <v>146</v>
      </c>
      <c r="Y239" s="2" t="s">
        <v>146</v>
      </c>
      <c r="Z239" s="2" t="s">
        <v>146</v>
      </c>
      <c r="AA239" s="2">
        <v>5.2652700000000001</v>
      </c>
      <c r="AB239" s="2" t="s">
        <v>146</v>
      </c>
      <c r="AC239" s="2">
        <v>1.0424875</v>
      </c>
      <c r="AD239" s="2" t="s">
        <v>146</v>
      </c>
      <c r="AE239" s="2" t="s">
        <v>146</v>
      </c>
      <c r="AF239" s="2" t="s">
        <v>146</v>
      </c>
      <c r="AG239" s="2" t="s">
        <v>146</v>
      </c>
      <c r="AH239" s="2" t="s">
        <v>146</v>
      </c>
      <c r="AI239" s="2" t="s">
        <v>146</v>
      </c>
      <c r="AJ239" s="2" t="s">
        <v>146</v>
      </c>
      <c r="AK239" s="2" t="s">
        <v>146</v>
      </c>
      <c r="AL239" s="2" t="s">
        <v>146</v>
      </c>
      <c r="AM239" s="2" t="s">
        <v>146</v>
      </c>
      <c r="AN239" s="2" t="s">
        <v>146</v>
      </c>
      <c r="AO239" s="2" t="s">
        <v>146</v>
      </c>
      <c r="AQ239" s="2">
        <f t="shared" si="33"/>
        <v>112.2225885</v>
      </c>
      <c r="AR239" s="2">
        <f t="shared" si="34"/>
        <v>112.2225885</v>
      </c>
      <c r="AT239" s="2">
        <f t="shared" si="35"/>
        <v>76.525685999999993</v>
      </c>
      <c r="AU239" s="2">
        <f t="shared" si="36"/>
        <v>19.105874</v>
      </c>
      <c r="AV239" s="27">
        <f t="shared" si="37"/>
        <v>0.85215963451065824</v>
      </c>
      <c r="AY239" s="2">
        <f t="shared" si="38"/>
        <v>0</v>
      </c>
      <c r="AZ239" s="2">
        <f t="shared" si="39"/>
        <v>0</v>
      </c>
      <c r="BA239" s="2">
        <f t="shared" si="40"/>
        <v>0</v>
      </c>
      <c r="BB239" s="2">
        <f t="shared" si="41"/>
        <v>0</v>
      </c>
      <c r="BC239" s="2">
        <f t="shared" si="42"/>
        <v>0</v>
      </c>
      <c r="BD239" s="2">
        <f t="shared" si="43"/>
        <v>0</v>
      </c>
    </row>
    <row r="240" spans="1:56" ht="15" customHeight="1" x14ac:dyDescent="0.45">
      <c r="A240" s="2" t="s">
        <v>364</v>
      </c>
      <c r="B240" s="2" t="s">
        <v>363</v>
      </c>
      <c r="C240" s="2">
        <v>2019</v>
      </c>
      <c r="D240" s="2" t="s">
        <v>146</v>
      </c>
      <c r="E240" s="2" t="s">
        <v>146</v>
      </c>
      <c r="F240" s="2" t="s">
        <v>146</v>
      </c>
      <c r="G240" s="2" t="s">
        <v>146</v>
      </c>
      <c r="H240" s="2" t="s">
        <v>146</v>
      </c>
      <c r="I240" s="2" t="s">
        <v>146</v>
      </c>
      <c r="J240" s="2" t="s">
        <v>146</v>
      </c>
      <c r="K240" s="2" t="s">
        <v>146</v>
      </c>
      <c r="L240" s="2" t="s">
        <v>146</v>
      </c>
      <c r="M240" s="2" t="s">
        <v>146</v>
      </c>
      <c r="N240" s="2" t="s">
        <v>146</v>
      </c>
      <c r="O240" s="2" t="s">
        <v>146</v>
      </c>
      <c r="P240" s="2" t="s">
        <v>146</v>
      </c>
      <c r="Q240" s="2" t="s">
        <v>146</v>
      </c>
      <c r="R240" s="2" t="s">
        <v>146</v>
      </c>
      <c r="S240" s="2" t="s">
        <v>146</v>
      </c>
      <c r="T240" s="2" t="s">
        <v>146</v>
      </c>
      <c r="U240" s="2" t="s">
        <v>146</v>
      </c>
      <c r="V240" s="2" t="s">
        <v>146</v>
      </c>
      <c r="W240" s="2" t="s">
        <v>146</v>
      </c>
      <c r="X240" s="2" t="s">
        <v>146</v>
      </c>
      <c r="Y240" s="2" t="s">
        <v>146</v>
      </c>
      <c r="Z240" s="2" t="s">
        <v>146</v>
      </c>
      <c r="AA240" s="2" t="s">
        <v>146</v>
      </c>
      <c r="AB240" s="2" t="s">
        <v>146</v>
      </c>
      <c r="AC240" s="2" t="s">
        <v>146</v>
      </c>
      <c r="AD240" s="2" t="s">
        <v>146</v>
      </c>
      <c r="AE240" s="2" t="s">
        <v>146</v>
      </c>
      <c r="AF240" s="2" t="s">
        <v>146</v>
      </c>
      <c r="AG240" s="2" t="s">
        <v>146</v>
      </c>
      <c r="AH240" s="2" t="s">
        <v>146</v>
      </c>
      <c r="AI240" s="2" t="s">
        <v>146</v>
      </c>
      <c r="AJ240" s="2" t="s">
        <v>146</v>
      </c>
      <c r="AK240" s="2" t="s">
        <v>146</v>
      </c>
      <c r="AL240" s="2" t="s">
        <v>146</v>
      </c>
      <c r="AM240" s="2" t="s">
        <v>146</v>
      </c>
      <c r="AN240" s="2" t="s">
        <v>146</v>
      </c>
      <c r="AO240" s="2" t="s">
        <v>146</v>
      </c>
      <c r="AQ240" s="2">
        <f t="shared" si="33"/>
        <v>0</v>
      </c>
      <c r="AR240" s="2">
        <f t="shared" si="34"/>
        <v>0</v>
      </c>
      <c r="AT240" s="2">
        <f t="shared" si="35"/>
        <v>0</v>
      </c>
      <c r="AU240" s="2">
        <f t="shared" si="36"/>
        <v>0</v>
      </c>
      <c r="AV240" s="27" t="str">
        <f t="shared" si="37"/>
        <v/>
      </c>
      <c r="AY240" s="2">
        <f t="shared" si="38"/>
        <v>0</v>
      </c>
      <c r="AZ240" s="2">
        <f t="shared" si="39"/>
        <v>0</v>
      </c>
      <c r="BA240" s="2">
        <f t="shared" si="40"/>
        <v>0</v>
      </c>
      <c r="BB240" s="2">
        <f t="shared" si="41"/>
        <v>0</v>
      </c>
      <c r="BC240" s="2">
        <f t="shared" si="42"/>
        <v>0</v>
      </c>
      <c r="BD240" s="2">
        <f t="shared" si="43"/>
        <v>0</v>
      </c>
    </row>
    <row r="241" spans="1:56" ht="15" customHeight="1" x14ac:dyDescent="0.45">
      <c r="A241" s="2" t="s">
        <v>362</v>
      </c>
      <c r="B241" s="2" t="s">
        <v>361</v>
      </c>
      <c r="C241" s="2">
        <v>2019</v>
      </c>
      <c r="D241" s="2">
        <v>137.685</v>
      </c>
      <c r="E241" s="2">
        <v>27.172999999999998</v>
      </c>
      <c r="F241" s="2" t="s">
        <v>146</v>
      </c>
      <c r="G241" s="2" t="s">
        <v>146</v>
      </c>
      <c r="H241" s="2" t="s">
        <v>146</v>
      </c>
      <c r="I241" s="2">
        <v>211.17699999999999</v>
      </c>
      <c r="J241" s="2" t="s">
        <v>146</v>
      </c>
      <c r="K241" s="2" t="s">
        <v>146</v>
      </c>
      <c r="L241" s="2" t="s">
        <v>146</v>
      </c>
      <c r="M241" s="2" t="s">
        <v>146</v>
      </c>
      <c r="N241" s="2" t="s">
        <v>146</v>
      </c>
      <c r="O241" s="2" t="s">
        <v>146</v>
      </c>
      <c r="P241" s="2" t="s">
        <v>146</v>
      </c>
      <c r="Q241" s="2">
        <v>24.925000000000001</v>
      </c>
      <c r="R241" s="2">
        <v>4.6829999999999998</v>
      </c>
      <c r="S241" s="2" t="s">
        <v>146</v>
      </c>
      <c r="T241" s="2" t="s">
        <v>146</v>
      </c>
      <c r="U241" s="2" t="s">
        <v>146</v>
      </c>
      <c r="V241" s="2" t="s">
        <v>146</v>
      </c>
      <c r="W241" s="2" t="s">
        <v>146</v>
      </c>
      <c r="X241" s="2" t="s">
        <v>146</v>
      </c>
      <c r="Y241" s="2" t="s">
        <v>146</v>
      </c>
      <c r="Z241" s="2" t="s">
        <v>146</v>
      </c>
      <c r="AA241" s="2">
        <v>162.43799999999999</v>
      </c>
      <c r="AB241" s="2" t="s">
        <v>146</v>
      </c>
      <c r="AC241" s="2" t="s">
        <v>146</v>
      </c>
      <c r="AD241" s="2" t="s">
        <v>146</v>
      </c>
      <c r="AE241" s="2" t="s">
        <v>146</v>
      </c>
      <c r="AF241" s="2" t="s">
        <v>146</v>
      </c>
      <c r="AG241" s="2" t="s">
        <v>146</v>
      </c>
      <c r="AH241" s="2" t="s">
        <v>146</v>
      </c>
      <c r="AI241" s="2" t="s">
        <v>146</v>
      </c>
      <c r="AJ241" s="2" t="s">
        <v>146</v>
      </c>
      <c r="AK241" s="2">
        <v>19.131</v>
      </c>
      <c r="AL241" s="2">
        <v>100</v>
      </c>
      <c r="AM241" s="2" t="s">
        <v>146</v>
      </c>
      <c r="AN241" s="2" t="s">
        <v>146</v>
      </c>
      <c r="AO241" s="2" t="s">
        <v>146</v>
      </c>
      <c r="AQ241" s="2">
        <f t="shared" si="33"/>
        <v>192.04599999999999</v>
      </c>
      <c r="AR241" s="2">
        <f t="shared" si="34"/>
        <v>211.17699999999999</v>
      </c>
      <c r="AT241" s="2">
        <f t="shared" si="35"/>
        <v>137.685</v>
      </c>
      <c r="AU241" s="2">
        <f t="shared" si="36"/>
        <v>27.172999999999998</v>
      </c>
      <c r="AV241" s="27">
        <f t="shared" si="37"/>
        <v>0.78066266686239505</v>
      </c>
      <c r="AY241" s="2">
        <f t="shared" si="38"/>
        <v>19.131</v>
      </c>
      <c r="AZ241" s="2">
        <f t="shared" si="39"/>
        <v>19.131</v>
      </c>
      <c r="BA241" s="2">
        <f t="shared" si="40"/>
        <v>0</v>
      </c>
      <c r="BB241" s="2">
        <f t="shared" si="41"/>
        <v>0</v>
      </c>
      <c r="BC241" s="2">
        <f t="shared" si="42"/>
        <v>0</v>
      </c>
      <c r="BD241" s="2">
        <f t="shared" si="43"/>
        <v>0</v>
      </c>
    </row>
    <row r="242" spans="1:56" ht="15" customHeight="1" x14ac:dyDescent="0.45">
      <c r="A242" s="2" t="s">
        <v>360</v>
      </c>
      <c r="B242" s="2" t="s">
        <v>359</v>
      </c>
      <c r="C242" s="2">
        <v>2019</v>
      </c>
      <c r="D242" s="2" t="s">
        <v>146</v>
      </c>
      <c r="E242" s="2" t="s">
        <v>146</v>
      </c>
      <c r="F242" s="2" t="s">
        <v>146</v>
      </c>
      <c r="G242" s="2" t="s">
        <v>146</v>
      </c>
      <c r="H242" s="2" t="s">
        <v>146</v>
      </c>
      <c r="I242" s="2" t="s">
        <v>146</v>
      </c>
      <c r="J242" s="2" t="s">
        <v>146</v>
      </c>
      <c r="K242" s="2" t="s">
        <v>146</v>
      </c>
      <c r="L242" s="2" t="s">
        <v>146</v>
      </c>
      <c r="M242" s="2" t="s">
        <v>146</v>
      </c>
      <c r="N242" s="2" t="s">
        <v>146</v>
      </c>
      <c r="O242" s="2" t="s">
        <v>146</v>
      </c>
      <c r="P242" s="2" t="s">
        <v>146</v>
      </c>
      <c r="Q242" s="2" t="s">
        <v>146</v>
      </c>
      <c r="R242" s="2" t="s">
        <v>146</v>
      </c>
      <c r="S242" s="2" t="s">
        <v>146</v>
      </c>
      <c r="T242" s="2" t="s">
        <v>146</v>
      </c>
      <c r="U242" s="2" t="s">
        <v>146</v>
      </c>
      <c r="V242" s="2" t="s">
        <v>146</v>
      </c>
      <c r="W242" s="2" t="s">
        <v>146</v>
      </c>
      <c r="X242" s="2" t="s">
        <v>146</v>
      </c>
      <c r="Y242" s="2" t="s">
        <v>146</v>
      </c>
      <c r="Z242" s="2" t="s">
        <v>146</v>
      </c>
      <c r="AA242" s="2" t="s">
        <v>146</v>
      </c>
      <c r="AB242" s="2" t="s">
        <v>146</v>
      </c>
      <c r="AC242" s="2" t="s">
        <v>146</v>
      </c>
      <c r="AD242" s="2" t="s">
        <v>146</v>
      </c>
      <c r="AE242" s="2" t="s">
        <v>146</v>
      </c>
      <c r="AF242" s="2" t="s">
        <v>146</v>
      </c>
      <c r="AG242" s="2" t="s">
        <v>146</v>
      </c>
      <c r="AH242" s="2" t="s">
        <v>146</v>
      </c>
      <c r="AI242" s="2" t="s">
        <v>146</v>
      </c>
      <c r="AJ242" s="2" t="s">
        <v>146</v>
      </c>
      <c r="AK242" s="2" t="s">
        <v>146</v>
      </c>
      <c r="AL242" s="2" t="s">
        <v>146</v>
      </c>
      <c r="AM242" s="2" t="s">
        <v>146</v>
      </c>
      <c r="AN242" s="2" t="s">
        <v>146</v>
      </c>
      <c r="AO242" s="2" t="s">
        <v>146</v>
      </c>
      <c r="AQ242" s="2">
        <f t="shared" si="33"/>
        <v>0</v>
      </c>
      <c r="AR242" s="2">
        <f t="shared" si="34"/>
        <v>0</v>
      </c>
      <c r="AT242" s="2">
        <f t="shared" si="35"/>
        <v>0</v>
      </c>
      <c r="AU242" s="2">
        <f t="shared" si="36"/>
        <v>0</v>
      </c>
      <c r="AV242" s="27" t="str">
        <f t="shared" si="37"/>
        <v/>
      </c>
      <c r="AY242" s="2">
        <f t="shared" si="38"/>
        <v>0</v>
      </c>
      <c r="AZ242" s="2">
        <f t="shared" si="39"/>
        <v>0</v>
      </c>
      <c r="BA242" s="2">
        <f t="shared" si="40"/>
        <v>0</v>
      </c>
      <c r="BB242" s="2">
        <f t="shared" si="41"/>
        <v>0</v>
      </c>
      <c r="BC242" s="2">
        <f t="shared" si="42"/>
        <v>0</v>
      </c>
      <c r="BD242" s="2">
        <f t="shared" si="43"/>
        <v>0</v>
      </c>
    </row>
    <row r="243" spans="1:56" ht="15" customHeight="1" x14ac:dyDescent="0.45">
      <c r="A243" s="2" t="s">
        <v>342</v>
      </c>
      <c r="B243" s="2" t="s">
        <v>358</v>
      </c>
      <c r="C243" s="2">
        <v>2019</v>
      </c>
      <c r="D243" s="2" t="s">
        <v>146</v>
      </c>
      <c r="E243" s="2" t="s">
        <v>146</v>
      </c>
      <c r="F243" s="2" t="s">
        <v>146</v>
      </c>
      <c r="G243" s="2" t="s">
        <v>146</v>
      </c>
      <c r="H243" s="2" t="s">
        <v>146</v>
      </c>
      <c r="I243" s="2" t="s">
        <v>146</v>
      </c>
      <c r="J243" s="2" t="s">
        <v>146</v>
      </c>
      <c r="K243" s="2" t="s">
        <v>146</v>
      </c>
      <c r="L243" s="2" t="s">
        <v>146</v>
      </c>
      <c r="M243" s="2" t="s">
        <v>146</v>
      </c>
      <c r="N243" s="2" t="s">
        <v>146</v>
      </c>
      <c r="O243" s="2" t="s">
        <v>146</v>
      </c>
      <c r="P243" s="2" t="s">
        <v>146</v>
      </c>
      <c r="Q243" s="2" t="s">
        <v>146</v>
      </c>
      <c r="R243" s="2" t="s">
        <v>146</v>
      </c>
      <c r="S243" s="2" t="s">
        <v>146</v>
      </c>
      <c r="T243" s="2" t="s">
        <v>146</v>
      </c>
      <c r="U243" s="2" t="s">
        <v>146</v>
      </c>
      <c r="V243" s="2" t="s">
        <v>146</v>
      </c>
      <c r="W243" s="2" t="s">
        <v>146</v>
      </c>
      <c r="X243" s="2" t="s">
        <v>146</v>
      </c>
      <c r="Y243" s="2" t="s">
        <v>146</v>
      </c>
      <c r="Z243" s="2" t="s">
        <v>146</v>
      </c>
      <c r="AA243" s="2" t="s">
        <v>146</v>
      </c>
      <c r="AB243" s="2" t="s">
        <v>146</v>
      </c>
      <c r="AC243" s="2" t="s">
        <v>146</v>
      </c>
      <c r="AD243" s="2" t="s">
        <v>146</v>
      </c>
      <c r="AE243" s="2" t="s">
        <v>146</v>
      </c>
      <c r="AF243" s="2" t="s">
        <v>146</v>
      </c>
      <c r="AG243" s="2" t="s">
        <v>146</v>
      </c>
      <c r="AH243" s="2" t="s">
        <v>146</v>
      </c>
      <c r="AI243" s="2" t="s">
        <v>146</v>
      </c>
      <c r="AJ243" s="2" t="s">
        <v>146</v>
      </c>
      <c r="AK243" s="2" t="s">
        <v>146</v>
      </c>
      <c r="AL243" s="2" t="s">
        <v>146</v>
      </c>
      <c r="AM243" s="2" t="s">
        <v>146</v>
      </c>
      <c r="AN243" s="2" t="s">
        <v>146</v>
      </c>
      <c r="AO243" s="2" t="s">
        <v>146</v>
      </c>
      <c r="AQ243" s="2">
        <f t="shared" si="33"/>
        <v>0</v>
      </c>
      <c r="AR243" s="2">
        <f t="shared" si="34"/>
        <v>0</v>
      </c>
      <c r="AT243" s="2">
        <f t="shared" si="35"/>
        <v>0</v>
      </c>
      <c r="AU243" s="2">
        <f t="shared" si="36"/>
        <v>0</v>
      </c>
      <c r="AV243" s="27" t="str">
        <f t="shared" si="37"/>
        <v/>
      </c>
      <c r="AY243" s="2">
        <f t="shared" si="38"/>
        <v>0</v>
      </c>
      <c r="AZ243" s="2">
        <f t="shared" si="39"/>
        <v>0</v>
      </c>
      <c r="BA243" s="2">
        <f t="shared" si="40"/>
        <v>0</v>
      </c>
      <c r="BB243" s="2">
        <f t="shared" si="41"/>
        <v>0</v>
      </c>
      <c r="BC243" s="2">
        <f t="shared" si="42"/>
        <v>0</v>
      </c>
      <c r="BD243" s="2">
        <f t="shared" si="43"/>
        <v>0</v>
      </c>
    </row>
    <row r="244" spans="1:56" ht="15" customHeight="1" x14ac:dyDescent="0.45">
      <c r="A244" s="2" t="s">
        <v>342</v>
      </c>
      <c r="B244" s="2" t="s">
        <v>357</v>
      </c>
      <c r="C244" s="2">
        <v>2019</v>
      </c>
      <c r="D244" s="2" t="s">
        <v>146</v>
      </c>
      <c r="E244" s="2" t="s">
        <v>146</v>
      </c>
      <c r="F244" s="2" t="s">
        <v>146</v>
      </c>
      <c r="G244" s="2" t="s">
        <v>146</v>
      </c>
      <c r="H244" s="2" t="s">
        <v>146</v>
      </c>
      <c r="I244" s="2" t="s">
        <v>146</v>
      </c>
      <c r="J244" s="2" t="s">
        <v>146</v>
      </c>
      <c r="K244" s="2" t="s">
        <v>146</v>
      </c>
      <c r="L244" s="2" t="s">
        <v>146</v>
      </c>
      <c r="M244" s="2" t="s">
        <v>146</v>
      </c>
      <c r="N244" s="2" t="s">
        <v>146</v>
      </c>
      <c r="O244" s="2" t="s">
        <v>146</v>
      </c>
      <c r="P244" s="2" t="s">
        <v>146</v>
      </c>
      <c r="Q244" s="2" t="s">
        <v>146</v>
      </c>
      <c r="R244" s="2" t="s">
        <v>146</v>
      </c>
      <c r="S244" s="2" t="s">
        <v>146</v>
      </c>
      <c r="T244" s="2" t="s">
        <v>146</v>
      </c>
      <c r="U244" s="2" t="s">
        <v>146</v>
      </c>
      <c r="V244" s="2" t="s">
        <v>146</v>
      </c>
      <c r="W244" s="2" t="s">
        <v>146</v>
      </c>
      <c r="X244" s="2" t="s">
        <v>146</v>
      </c>
      <c r="Y244" s="2" t="s">
        <v>146</v>
      </c>
      <c r="Z244" s="2" t="s">
        <v>146</v>
      </c>
      <c r="AA244" s="2" t="s">
        <v>146</v>
      </c>
      <c r="AB244" s="2" t="s">
        <v>146</v>
      </c>
      <c r="AC244" s="2" t="s">
        <v>146</v>
      </c>
      <c r="AD244" s="2" t="s">
        <v>146</v>
      </c>
      <c r="AE244" s="2" t="s">
        <v>146</v>
      </c>
      <c r="AF244" s="2" t="s">
        <v>146</v>
      </c>
      <c r="AG244" s="2" t="s">
        <v>146</v>
      </c>
      <c r="AH244" s="2" t="s">
        <v>146</v>
      </c>
      <c r="AI244" s="2" t="s">
        <v>146</v>
      </c>
      <c r="AJ244" s="2" t="s">
        <v>146</v>
      </c>
      <c r="AK244" s="2" t="s">
        <v>146</v>
      </c>
      <c r="AL244" s="2" t="s">
        <v>146</v>
      </c>
      <c r="AM244" s="2" t="s">
        <v>146</v>
      </c>
      <c r="AN244" s="2" t="s">
        <v>146</v>
      </c>
      <c r="AO244" s="2" t="s">
        <v>146</v>
      </c>
      <c r="AQ244" s="2">
        <f t="shared" si="33"/>
        <v>0</v>
      </c>
      <c r="AR244" s="2">
        <f t="shared" si="34"/>
        <v>0</v>
      </c>
      <c r="AT244" s="2">
        <f t="shared" si="35"/>
        <v>0</v>
      </c>
      <c r="AU244" s="2">
        <f t="shared" si="36"/>
        <v>0</v>
      </c>
      <c r="AV244" s="27" t="str">
        <f t="shared" si="37"/>
        <v/>
      </c>
      <c r="AY244" s="2">
        <f t="shared" si="38"/>
        <v>0</v>
      </c>
      <c r="AZ244" s="2">
        <f t="shared" si="39"/>
        <v>0</v>
      </c>
      <c r="BA244" s="2">
        <f t="shared" si="40"/>
        <v>0</v>
      </c>
      <c r="BB244" s="2">
        <f t="shared" si="41"/>
        <v>0</v>
      </c>
      <c r="BC244" s="2">
        <f t="shared" si="42"/>
        <v>0</v>
      </c>
      <c r="BD244" s="2">
        <f t="shared" si="43"/>
        <v>0</v>
      </c>
    </row>
    <row r="245" spans="1:56" ht="15" customHeight="1" x14ac:dyDescent="0.45">
      <c r="A245" s="2" t="s">
        <v>342</v>
      </c>
      <c r="B245" s="2" t="s">
        <v>356</v>
      </c>
      <c r="C245" s="2">
        <v>2019</v>
      </c>
      <c r="D245" s="2" t="s">
        <v>146</v>
      </c>
      <c r="E245" s="2" t="s">
        <v>146</v>
      </c>
      <c r="F245" s="2" t="s">
        <v>146</v>
      </c>
      <c r="G245" s="2" t="s">
        <v>146</v>
      </c>
      <c r="H245" s="2" t="s">
        <v>146</v>
      </c>
      <c r="I245" s="2" t="s">
        <v>146</v>
      </c>
      <c r="J245" s="2" t="s">
        <v>146</v>
      </c>
      <c r="K245" s="2" t="s">
        <v>146</v>
      </c>
      <c r="L245" s="2" t="s">
        <v>146</v>
      </c>
      <c r="M245" s="2" t="s">
        <v>146</v>
      </c>
      <c r="N245" s="2" t="s">
        <v>146</v>
      </c>
      <c r="O245" s="2" t="s">
        <v>146</v>
      </c>
      <c r="P245" s="2" t="s">
        <v>146</v>
      </c>
      <c r="Q245" s="2" t="s">
        <v>146</v>
      </c>
      <c r="R245" s="2" t="s">
        <v>146</v>
      </c>
      <c r="S245" s="2" t="s">
        <v>146</v>
      </c>
      <c r="T245" s="2" t="s">
        <v>146</v>
      </c>
      <c r="U245" s="2" t="s">
        <v>146</v>
      </c>
      <c r="V245" s="2" t="s">
        <v>146</v>
      </c>
      <c r="W245" s="2" t="s">
        <v>146</v>
      </c>
      <c r="X245" s="2" t="s">
        <v>146</v>
      </c>
      <c r="Y245" s="2" t="s">
        <v>146</v>
      </c>
      <c r="Z245" s="2" t="s">
        <v>146</v>
      </c>
      <c r="AA245" s="2" t="s">
        <v>146</v>
      </c>
      <c r="AB245" s="2" t="s">
        <v>146</v>
      </c>
      <c r="AC245" s="2" t="s">
        <v>146</v>
      </c>
      <c r="AD245" s="2" t="s">
        <v>146</v>
      </c>
      <c r="AE245" s="2" t="s">
        <v>146</v>
      </c>
      <c r="AF245" s="2" t="s">
        <v>146</v>
      </c>
      <c r="AG245" s="2" t="s">
        <v>146</v>
      </c>
      <c r="AH245" s="2" t="s">
        <v>146</v>
      </c>
      <c r="AI245" s="2" t="s">
        <v>146</v>
      </c>
      <c r="AJ245" s="2" t="s">
        <v>146</v>
      </c>
      <c r="AK245" s="2" t="s">
        <v>146</v>
      </c>
      <c r="AL245" s="2" t="s">
        <v>146</v>
      </c>
      <c r="AM245" s="2" t="s">
        <v>146</v>
      </c>
      <c r="AN245" s="2" t="s">
        <v>146</v>
      </c>
      <c r="AO245" s="2" t="s">
        <v>146</v>
      </c>
      <c r="AQ245" s="2">
        <f t="shared" si="33"/>
        <v>0</v>
      </c>
      <c r="AR245" s="2">
        <f t="shared" si="34"/>
        <v>0</v>
      </c>
      <c r="AT245" s="2">
        <f t="shared" si="35"/>
        <v>0</v>
      </c>
      <c r="AU245" s="2">
        <f t="shared" si="36"/>
        <v>0</v>
      </c>
      <c r="AV245" s="27" t="str">
        <f t="shared" si="37"/>
        <v/>
      </c>
      <c r="AY245" s="2">
        <f t="shared" si="38"/>
        <v>0</v>
      </c>
      <c r="AZ245" s="2">
        <f t="shared" si="39"/>
        <v>0</v>
      </c>
      <c r="BA245" s="2">
        <f t="shared" si="40"/>
        <v>0</v>
      </c>
      <c r="BB245" s="2">
        <f t="shared" si="41"/>
        <v>0</v>
      </c>
      <c r="BC245" s="2">
        <f t="shared" si="42"/>
        <v>0</v>
      </c>
      <c r="BD245" s="2">
        <f t="shared" si="43"/>
        <v>0</v>
      </c>
    </row>
    <row r="246" spans="1:56" ht="15" customHeight="1" x14ac:dyDescent="0.45">
      <c r="A246" s="2" t="s">
        <v>342</v>
      </c>
      <c r="B246" s="2" t="s">
        <v>355</v>
      </c>
      <c r="C246" s="2">
        <v>2019</v>
      </c>
      <c r="D246" s="2" t="s">
        <v>146</v>
      </c>
      <c r="E246" s="2" t="s">
        <v>146</v>
      </c>
      <c r="F246" s="2" t="s">
        <v>146</v>
      </c>
      <c r="G246" s="2" t="s">
        <v>146</v>
      </c>
      <c r="H246" s="2" t="s">
        <v>146</v>
      </c>
      <c r="I246" s="2" t="s">
        <v>146</v>
      </c>
      <c r="J246" s="2" t="s">
        <v>146</v>
      </c>
      <c r="K246" s="2" t="s">
        <v>146</v>
      </c>
      <c r="L246" s="2" t="s">
        <v>146</v>
      </c>
      <c r="M246" s="2" t="s">
        <v>146</v>
      </c>
      <c r="N246" s="2" t="s">
        <v>146</v>
      </c>
      <c r="O246" s="2" t="s">
        <v>146</v>
      </c>
      <c r="P246" s="2" t="s">
        <v>146</v>
      </c>
      <c r="Q246" s="2" t="s">
        <v>146</v>
      </c>
      <c r="R246" s="2" t="s">
        <v>146</v>
      </c>
      <c r="S246" s="2" t="s">
        <v>146</v>
      </c>
      <c r="T246" s="2" t="s">
        <v>146</v>
      </c>
      <c r="U246" s="2" t="s">
        <v>146</v>
      </c>
      <c r="V246" s="2" t="s">
        <v>146</v>
      </c>
      <c r="W246" s="2" t="s">
        <v>146</v>
      </c>
      <c r="X246" s="2" t="s">
        <v>146</v>
      </c>
      <c r="Y246" s="2" t="s">
        <v>146</v>
      </c>
      <c r="Z246" s="2" t="s">
        <v>146</v>
      </c>
      <c r="AA246" s="2" t="s">
        <v>146</v>
      </c>
      <c r="AB246" s="2" t="s">
        <v>146</v>
      </c>
      <c r="AC246" s="2" t="s">
        <v>146</v>
      </c>
      <c r="AD246" s="2" t="s">
        <v>146</v>
      </c>
      <c r="AE246" s="2" t="s">
        <v>146</v>
      </c>
      <c r="AF246" s="2" t="s">
        <v>146</v>
      </c>
      <c r="AG246" s="2" t="s">
        <v>146</v>
      </c>
      <c r="AH246" s="2" t="s">
        <v>146</v>
      </c>
      <c r="AI246" s="2" t="s">
        <v>146</v>
      </c>
      <c r="AJ246" s="2" t="s">
        <v>146</v>
      </c>
      <c r="AK246" s="2" t="s">
        <v>146</v>
      </c>
      <c r="AL246" s="2" t="s">
        <v>146</v>
      </c>
      <c r="AM246" s="2" t="s">
        <v>146</v>
      </c>
      <c r="AN246" s="2" t="s">
        <v>146</v>
      </c>
      <c r="AO246" s="2" t="s">
        <v>146</v>
      </c>
      <c r="AQ246" s="2">
        <f t="shared" si="33"/>
        <v>0</v>
      </c>
      <c r="AR246" s="2">
        <f t="shared" si="34"/>
        <v>0</v>
      </c>
      <c r="AT246" s="2">
        <f t="shared" si="35"/>
        <v>0</v>
      </c>
      <c r="AU246" s="2">
        <f t="shared" si="36"/>
        <v>0</v>
      </c>
      <c r="AV246" s="27" t="str">
        <f t="shared" si="37"/>
        <v/>
      </c>
      <c r="AY246" s="2">
        <f t="shared" si="38"/>
        <v>0</v>
      </c>
      <c r="AZ246" s="2">
        <f t="shared" si="39"/>
        <v>0</v>
      </c>
      <c r="BA246" s="2">
        <f t="shared" si="40"/>
        <v>0</v>
      </c>
      <c r="BB246" s="2">
        <f t="shared" si="41"/>
        <v>0</v>
      </c>
      <c r="BC246" s="2">
        <f t="shared" si="42"/>
        <v>0</v>
      </c>
      <c r="BD246" s="2">
        <f t="shared" si="43"/>
        <v>0</v>
      </c>
    </row>
    <row r="247" spans="1:56" ht="15" customHeight="1" x14ac:dyDescent="0.45">
      <c r="A247" s="2" t="s">
        <v>342</v>
      </c>
      <c r="B247" s="2" t="s">
        <v>354</v>
      </c>
      <c r="C247" s="2">
        <v>2019</v>
      </c>
      <c r="D247" s="2" t="s">
        <v>146</v>
      </c>
      <c r="E247" s="2" t="s">
        <v>146</v>
      </c>
      <c r="F247" s="2" t="s">
        <v>146</v>
      </c>
      <c r="G247" s="2" t="s">
        <v>146</v>
      </c>
      <c r="H247" s="2" t="s">
        <v>146</v>
      </c>
      <c r="I247" s="2" t="s">
        <v>146</v>
      </c>
      <c r="J247" s="2" t="s">
        <v>146</v>
      </c>
      <c r="K247" s="2" t="s">
        <v>146</v>
      </c>
      <c r="L247" s="2" t="s">
        <v>146</v>
      </c>
      <c r="M247" s="2" t="s">
        <v>146</v>
      </c>
      <c r="N247" s="2" t="s">
        <v>146</v>
      </c>
      <c r="O247" s="2" t="s">
        <v>146</v>
      </c>
      <c r="P247" s="2" t="s">
        <v>146</v>
      </c>
      <c r="Q247" s="2" t="s">
        <v>146</v>
      </c>
      <c r="R247" s="2" t="s">
        <v>146</v>
      </c>
      <c r="S247" s="2" t="s">
        <v>146</v>
      </c>
      <c r="T247" s="2" t="s">
        <v>146</v>
      </c>
      <c r="U247" s="2" t="s">
        <v>146</v>
      </c>
      <c r="V247" s="2" t="s">
        <v>146</v>
      </c>
      <c r="W247" s="2" t="s">
        <v>146</v>
      </c>
      <c r="X247" s="2" t="s">
        <v>146</v>
      </c>
      <c r="Y247" s="2" t="s">
        <v>146</v>
      </c>
      <c r="Z247" s="2" t="s">
        <v>146</v>
      </c>
      <c r="AA247" s="2" t="s">
        <v>146</v>
      </c>
      <c r="AB247" s="2" t="s">
        <v>146</v>
      </c>
      <c r="AC247" s="2" t="s">
        <v>146</v>
      </c>
      <c r="AD247" s="2" t="s">
        <v>146</v>
      </c>
      <c r="AE247" s="2" t="s">
        <v>146</v>
      </c>
      <c r="AF247" s="2" t="s">
        <v>146</v>
      </c>
      <c r="AG247" s="2" t="s">
        <v>146</v>
      </c>
      <c r="AH247" s="2" t="s">
        <v>146</v>
      </c>
      <c r="AI247" s="2" t="s">
        <v>146</v>
      </c>
      <c r="AJ247" s="2" t="s">
        <v>146</v>
      </c>
      <c r="AK247" s="2" t="s">
        <v>146</v>
      </c>
      <c r="AL247" s="2" t="s">
        <v>146</v>
      </c>
      <c r="AM247" s="2" t="s">
        <v>146</v>
      </c>
      <c r="AN247" s="2" t="s">
        <v>146</v>
      </c>
      <c r="AO247" s="2" t="s">
        <v>146</v>
      </c>
      <c r="AQ247" s="2">
        <f t="shared" si="33"/>
        <v>0</v>
      </c>
      <c r="AR247" s="2">
        <f t="shared" si="34"/>
        <v>0</v>
      </c>
      <c r="AT247" s="2">
        <f t="shared" si="35"/>
        <v>0</v>
      </c>
      <c r="AU247" s="2">
        <f t="shared" si="36"/>
        <v>0</v>
      </c>
      <c r="AV247" s="27" t="str">
        <f t="shared" si="37"/>
        <v/>
      </c>
      <c r="AY247" s="2">
        <f t="shared" si="38"/>
        <v>0</v>
      </c>
      <c r="AZ247" s="2">
        <f t="shared" si="39"/>
        <v>0</v>
      </c>
      <c r="BA247" s="2">
        <f t="shared" si="40"/>
        <v>0</v>
      </c>
      <c r="BB247" s="2">
        <f t="shared" si="41"/>
        <v>0</v>
      </c>
      <c r="BC247" s="2">
        <f t="shared" si="42"/>
        <v>0</v>
      </c>
      <c r="BD247" s="2">
        <f t="shared" si="43"/>
        <v>0</v>
      </c>
    </row>
    <row r="248" spans="1:56" ht="15" customHeight="1" x14ac:dyDescent="0.45">
      <c r="A248" s="2" t="s">
        <v>342</v>
      </c>
      <c r="B248" s="2" t="s">
        <v>353</v>
      </c>
      <c r="C248" s="2">
        <v>2019</v>
      </c>
      <c r="D248" s="2" t="s">
        <v>146</v>
      </c>
      <c r="E248" s="2" t="s">
        <v>146</v>
      </c>
      <c r="F248" s="2" t="s">
        <v>146</v>
      </c>
      <c r="G248" s="2" t="s">
        <v>146</v>
      </c>
      <c r="H248" s="2" t="s">
        <v>146</v>
      </c>
      <c r="I248" s="2" t="s">
        <v>146</v>
      </c>
      <c r="J248" s="2" t="s">
        <v>146</v>
      </c>
      <c r="K248" s="2" t="s">
        <v>146</v>
      </c>
      <c r="L248" s="2" t="s">
        <v>146</v>
      </c>
      <c r="M248" s="2" t="s">
        <v>146</v>
      </c>
      <c r="N248" s="2" t="s">
        <v>146</v>
      </c>
      <c r="O248" s="2" t="s">
        <v>146</v>
      </c>
      <c r="P248" s="2" t="s">
        <v>146</v>
      </c>
      <c r="Q248" s="2" t="s">
        <v>146</v>
      </c>
      <c r="R248" s="2" t="s">
        <v>146</v>
      </c>
      <c r="S248" s="2" t="s">
        <v>146</v>
      </c>
      <c r="T248" s="2" t="s">
        <v>146</v>
      </c>
      <c r="U248" s="2" t="s">
        <v>146</v>
      </c>
      <c r="V248" s="2" t="s">
        <v>146</v>
      </c>
      <c r="W248" s="2" t="s">
        <v>146</v>
      </c>
      <c r="X248" s="2" t="s">
        <v>146</v>
      </c>
      <c r="Y248" s="2" t="s">
        <v>146</v>
      </c>
      <c r="Z248" s="2" t="s">
        <v>146</v>
      </c>
      <c r="AA248" s="2" t="s">
        <v>146</v>
      </c>
      <c r="AB248" s="2" t="s">
        <v>146</v>
      </c>
      <c r="AC248" s="2" t="s">
        <v>146</v>
      </c>
      <c r="AD248" s="2" t="s">
        <v>146</v>
      </c>
      <c r="AE248" s="2" t="s">
        <v>146</v>
      </c>
      <c r="AF248" s="2" t="s">
        <v>146</v>
      </c>
      <c r="AG248" s="2" t="s">
        <v>146</v>
      </c>
      <c r="AH248" s="2" t="s">
        <v>146</v>
      </c>
      <c r="AI248" s="2" t="s">
        <v>146</v>
      </c>
      <c r="AJ248" s="2" t="s">
        <v>146</v>
      </c>
      <c r="AK248" s="2" t="s">
        <v>146</v>
      </c>
      <c r="AL248" s="2" t="s">
        <v>146</v>
      </c>
      <c r="AM248" s="2" t="s">
        <v>146</v>
      </c>
      <c r="AN248" s="2" t="s">
        <v>146</v>
      </c>
      <c r="AO248" s="2" t="s">
        <v>146</v>
      </c>
      <c r="AQ248" s="2">
        <f t="shared" si="33"/>
        <v>0</v>
      </c>
      <c r="AR248" s="2">
        <f t="shared" si="34"/>
        <v>0</v>
      </c>
      <c r="AT248" s="2">
        <f t="shared" si="35"/>
        <v>0</v>
      </c>
      <c r="AU248" s="2">
        <f t="shared" si="36"/>
        <v>0</v>
      </c>
      <c r="AV248" s="27" t="str">
        <f t="shared" si="37"/>
        <v/>
      </c>
      <c r="AY248" s="2">
        <f t="shared" si="38"/>
        <v>0</v>
      </c>
      <c r="AZ248" s="2">
        <f t="shared" si="39"/>
        <v>0</v>
      </c>
      <c r="BA248" s="2">
        <f t="shared" si="40"/>
        <v>0</v>
      </c>
      <c r="BB248" s="2">
        <f t="shared" si="41"/>
        <v>0</v>
      </c>
      <c r="BC248" s="2">
        <f t="shared" si="42"/>
        <v>0</v>
      </c>
      <c r="BD248" s="2">
        <f t="shared" si="43"/>
        <v>0</v>
      </c>
    </row>
    <row r="249" spans="1:56" ht="15" customHeight="1" x14ac:dyDescent="0.45">
      <c r="A249" s="2" t="s">
        <v>342</v>
      </c>
      <c r="B249" s="2" t="s">
        <v>352</v>
      </c>
      <c r="C249" s="2">
        <v>2019</v>
      </c>
      <c r="D249" s="2" t="s">
        <v>146</v>
      </c>
      <c r="E249" s="2" t="s">
        <v>146</v>
      </c>
      <c r="F249" s="2" t="s">
        <v>146</v>
      </c>
      <c r="G249" s="2" t="s">
        <v>146</v>
      </c>
      <c r="H249" s="2" t="s">
        <v>146</v>
      </c>
      <c r="I249" s="2" t="s">
        <v>146</v>
      </c>
      <c r="J249" s="2" t="s">
        <v>146</v>
      </c>
      <c r="K249" s="2" t="s">
        <v>146</v>
      </c>
      <c r="L249" s="2" t="s">
        <v>146</v>
      </c>
      <c r="M249" s="2" t="s">
        <v>146</v>
      </c>
      <c r="N249" s="2" t="s">
        <v>146</v>
      </c>
      <c r="O249" s="2" t="s">
        <v>146</v>
      </c>
      <c r="P249" s="2" t="s">
        <v>146</v>
      </c>
      <c r="Q249" s="2" t="s">
        <v>146</v>
      </c>
      <c r="R249" s="2" t="s">
        <v>146</v>
      </c>
      <c r="S249" s="2" t="s">
        <v>146</v>
      </c>
      <c r="T249" s="2" t="s">
        <v>146</v>
      </c>
      <c r="U249" s="2" t="s">
        <v>146</v>
      </c>
      <c r="V249" s="2" t="s">
        <v>146</v>
      </c>
      <c r="W249" s="2" t="s">
        <v>146</v>
      </c>
      <c r="X249" s="2" t="s">
        <v>146</v>
      </c>
      <c r="Y249" s="2" t="s">
        <v>146</v>
      </c>
      <c r="Z249" s="2" t="s">
        <v>146</v>
      </c>
      <c r="AA249" s="2" t="s">
        <v>146</v>
      </c>
      <c r="AB249" s="2" t="s">
        <v>146</v>
      </c>
      <c r="AC249" s="2" t="s">
        <v>146</v>
      </c>
      <c r="AD249" s="2" t="s">
        <v>146</v>
      </c>
      <c r="AE249" s="2" t="s">
        <v>146</v>
      </c>
      <c r="AF249" s="2" t="s">
        <v>146</v>
      </c>
      <c r="AG249" s="2" t="s">
        <v>146</v>
      </c>
      <c r="AH249" s="2" t="s">
        <v>146</v>
      </c>
      <c r="AI249" s="2" t="s">
        <v>146</v>
      </c>
      <c r="AJ249" s="2" t="s">
        <v>146</v>
      </c>
      <c r="AK249" s="2" t="s">
        <v>146</v>
      </c>
      <c r="AL249" s="2" t="s">
        <v>146</v>
      </c>
      <c r="AM249" s="2" t="s">
        <v>146</v>
      </c>
      <c r="AN249" s="2" t="s">
        <v>146</v>
      </c>
      <c r="AO249" s="2" t="s">
        <v>146</v>
      </c>
      <c r="AQ249" s="2">
        <f t="shared" si="33"/>
        <v>0</v>
      </c>
      <c r="AR249" s="2">
        <f t="shared" si="34"/>
        <v>0</v>
      </c>
      <c r="AT249" s="2">
        <f t="shared" si="35"/>
        <v>0</v>
      </c>
      <c r="AU249" s="2">
        <f t="shared" si="36"/>
        <v>0</v>
      </c>
      <c r="AV249" s="27" t="str">
        <f t="shared" si="37"/>
        <v/>
      </c>
      <c r="AY249" s="2">
        <f t="shared" si="38"/>
        <v>0</v>
      </c>
      <c r="AZ249" s="2">
        <f t="shared" si="39"/>
        <v>0</v>
      </c>
      <c r="BA249" s="2">
        <f t="shared" si="40"/>
        <v>0</v>
      </c>
      <c r="BB249" s="2">
        <f t="shared" si="41"/>
        <v>0</v>
      </c>
      <c r="BC249" s="2">
        <f t="shared" si="42"/>
        <v>0</v>
      </c>
      <c r="BD249" s="2">
        <f t="shared" si="43"/>
        <v>0</v>
      </c>
    </row>
    <row r="250" spans="1:56" ht="15" customHeight="1" x14ac:dyDescent="0.45">
      <c r="A250" s="2" t="s">
        <v>342</v>
      </c>
      <c r="B250" s="2" t="s">
        <v>351</v>
      </c>
      <c r="C250" s="2">
        <v>2019</v>
      </c>
      <c r="D250" s="2">
        <v>117.6</v>
      </c>
      <c r="E250" s="2">
        <v>43.695</v>
      </c>
      <c r="F250" s="2" t="s">
        <v>146</v>
      </c>
      <c r="G250" s="2" t="s">
        <v>146</v>
      </c>
      <c r="H250" s="2" t="s">
        <v>146</v>
      </c>
      <c r="I250" s="2">
        <v>199.35900000000001</v>
      </c>
      <c r="J250" s="2" t="s">
        <v>146</v>
      </c>
      <c r="K250" s="2" t="s">
        <v>146</v>
      </c>
      <c r="L250" s="2" t="s">
        <v>146</v>
      </c>
      <c r="M250" s="2" t="s">
        <v>146</v>
      </c>
      <c r="N250" s="2" t="s">
        <v>146</v>
      </c>
      <c r="O250" s="2" t="s">
        <v>146</v>
      </c>
      <c r="P250" s="2" t="s">
        <v>146</v>
      </c>
      <c r="Q250" s="2">
        <v>16.727</v>
      </c>
      <c r="R250" s="2">
        <v>56.085000000000001</v>
      </c>
      <c r="S250" s="2">
        <v>11.67</v>
      </c>
      <c r="T250" s="2">
        <v>48.807000000000002</v>
      </c>
      <c r="U250" s="2" t="s">
        <v>146</v>
      </c>
      <c r="V250" s="2">
        <v>30.193999999999999</v>
      </c>
      <c r="W250" s="2" t="s">
        <v>146</v>
      </c>
      <c r="X250" s="2" t="s">
        <v>146</v>
      </c>
      <c r="Y250" s="2" t="s">
        <v>146</v>
      </c>
      <c r="Z250" s="2" t="s">
        <v>146</v>
      </c>
      <c r="AA250" s="2" t="s">
        <v>146</v>
      </c>
      <c r="AB250" s="2" t="s">
        <v>146</v>
      </c>
      <c r="AC250" s="2" t="s">
        <v>146</v>
      </c>
      <c r="AD250" s="2" t="s">
        <v>146</v>
      </c>
      <c r="AE250" s="2">
        <v>35.875999999999998</v>
      </c>
      <c r="AF250" s="2" t="s">
        <v>146</v>
      </c>
      <c r="AG250" s="2" t="s">
        <v>146</v>
      </c>
      <c r="AH250" s="2" t="s">
        <v>146</v>
      </c>
      <c r="AI250" s="2" t="s">
        <v>146</v>
      </c>
      <c r="AJ250" s="2" t="s">
        <v>146</v>
      </c>
      <c r="AK250" s="2" t="s">
        <v>146</v>
      </c>
      <c r="AL250" s="2" t="s">
        <v>146</v>
      </c>
      <c r="AM250" s="2" t="s">
        <v>146</v>
      </c>
      <c r="AN250" s="2" t="s">
        <v>146</v>
      </c>
      <c r="AO250" s="2" t="s">
        <v>146</v>
      </c>
      <c r="AQ250" s="2">
        <f t="shared" si="33"/>
        <v>199.35899999999998</v>
      </c>
      <c r="AR250" s="2">
        <f t="shared" si="34"/>
        <v>199.35899999999998</v>
      </c>
      <c r="AT250" s="2">
        <f t="shared" si="35"/>
        <v>117.6</v>
      </c>
      <c r="AU250" s="2">
        <f t="shared" si="36"/>
        <v>43.695</v>
      </c>
      <c r="AV250" s="27">
        <f t="shared" si="37"/>
        <v>0.80906806314237134</v>
      </c>
      <c r="AY250" s="2">
        <f t="shared" si="38"/>
        <v>0</v>
      </c>
      <c r="AZ250" s="2">
        <f t="shared" si="39"/>
        <v>0</v>
      </c>
      <c r="BA250" s="2">
        <f t="shared" si="40"/>
        <v>0</v>
      </c>
      <c r="BB250" s="2">
        <f t="shared" si="41"/>
        <v>0</v>
      </c>
      <c r="BC250" s="2">
        <f t="shared" si="42"/>
        <v>0</v>
      </c>
      <c r="BD250" s="2">
        <f t="shared" si="43"/>
        <v>0</v>
      </c>
    </row>
    <row r="251" spans="1:56" ht="15" customHeight="1" x14ac:dyDescent="0.45">
      <c r="A251" s="2" t="s">
        <v>342</v>
      </c>
      <c r="B251" s="2" t="s">
        <v>350</v>
      </c>
      <c r="C251" s="2">
        <v>2019</v>
      </c>
      <c r="D251" s="2" t="s">
        <v>146</v>
      </c>
      <c r="E251" s="2" t="s">
        <v>146</v>
      </c>
      <c r="F251" s="2" t="s">
        <v>146</v>
      </c>
      <c r="G251" s="2" t="s">
        <v>146</v>
      </c>
      <c r="H251" s="2" t="s">
        <v>146</v>
      </c>
      <c r="I251" s="2" t="s">
        <v>146</v>
      </c>
      <c r="J251" s="2" t="s">
        <v>146</v>
      </c>
      <c r="K251" s="2" t="s">
        <v>146</v>
      </c>
      <c r="L251" s="2" t="s">
        <v>146</v>
      </c>
      <c r="M251" s="2" t="s">
        <v>146</v>
      </c>
      <c r="N251" s="2" t="s">
        <v>146</v>
      </c>
      <c r="O251" s="2" t="s">
        <v>146</v>
      </c>
      <c r="P251" s="2" t="s">
        <v>146</v>
      </c>
      <c r="Q251" s="2" t="s">
        <v>146</v>
      </c>
      <c r="R251" s="2" t="s">
        <v>146</v>
      </c>
      <c r="S251" s="2" t="s">
        <v>146</v>
      </c>
      <c r="T251" s="2" t="s">
        <v>146</v>
      </c>
      <c r="U251" s="2" t="s">
        <v>146</v>
      </c>
      <c r="V251" s="2" t="s">
        <v>146</v>
      </c>
      <c r="W251" s="2" t="s">
        <v>146</v>
      </c>
      <c r="X251" s="2" t="s">
        <v>146</v>
      </c>
      <c r="Y251" s="2" t="s">
        <v>146</v>
      </c>
      <c r="Z251" s="2" t="s">
        <v>146</v>
      </c>
      <c r="AA251" s="2" t="s">
        <v>146</v>
      </c>
      <c r="AB251" s="2" t="s">
        <v>146</v>
      </c>
      <c r="AC251" s="2" t="s">
        <v>146</v>
      </c>
      <c r="AD251" s="2" t="s">
        <v>146</v>
      </c>
      <c r="AE251" s="2" t="s">
        <v>146</v>
      </c>
      <c r="AF251" s="2" t="s">
        <v>146</v>
      </c>
      <c r="AG251" s="2" t="s">
        <v>146</v>
      </c>
      <c r="AH251" s="2" t="s">
        <v>146</v>
      </c>
      <c r="AI251" s="2" t="s">
        <v>146</v>
      </c>
      <c r="AJ251" s="2" t="s">
        <v>146</v>
      </c>
      <c r="AK251" s="2" t="s">
        <v>146</v>
      </c>
      <c r="AL251" s="2" t="s">
        <v>146</v>
      </c>
      <c r="AM251" s="2" t="s">
        <v>146</v>
      </c>
      <c r="AN251" s="2" t="s">
        <v>146</v>
      </c>
      <c r="AO251" s="2" t="s">
        <v>146</v>
      </c>
      <c r="AQ251" s="2">
        <f t="shared" si="33"/>
        <v>0</v>
      </c>
      <c r="AR251" s="2">
        <f t="shared" si="34"/>
        <v>0</v>
      </c>
      <c r="AT251" s="2">
        <f t="shared" si="35"/>
        <v>0</v>
      </c>
      <c r="AU251" s="2">
        <f t="shared" si="36"/>
        <v>0</v>
      </c>
      <c r="AV251" s="27" t="str">
        <f t="shared" si="37"/>
        <v/>
      </c>
      <c r="AY251" s="2">
        <f t="shared" si="38"/>
        <v>0</v>
      </c>
      <c r="AZ251" s="2">
        <f t="shared" si="39"/>
        <v>0</v>
      </c>
      <c r="BA251" s="2">
        <f t="shared" si="40"/>
        <v>0</v>
      </c>
      <c r="BB251" s="2">
        <f t="shared" si="41"/>
        <v>0</v>
      </c>
      <c r="BC251" s="2">
        <f t="shared" si="42"/>
        <v>0</v>
      </c>
      <c r="BD251" s="2">
        <f t="shared" si="43"/>
        <v>0</v>
      </c>
    </row>
    <row r="252" spans="1:56" ht="15" customHeight="1" x14ac:dyDescent="0.45">
      <c r="A252" s="2" t="s">
        <v>342</v>
      </c>
      <c r="B252" s="2" t="s">
        <v>349</v>
      </c>
      <c r="C252" s="2">
        <v>2019</v>
      </c>
      <c r="D252" s="2">
        <v>82.441999999999993</v>
      </c>
      <c r="E252" s="2">
        <v>18.358000000000001</v>
      </c>
      <c r="F252" s="2" t="s">
        <v>146</v>
      </c>
      <c r="G252" s="2" t="s">
        <v>146</v>
      </c>
      <c r="H252" s="2" t="s">
        <v>146</v>
      </c>
      <c r="I252" s="2">
        <v>108.375</v>
      </c>
      <c r="J252" s="2" t="s">
        <v>146</v>
      </c>
      <c r="K252" s="2">
        <v>8.5000000000000006E-2</v>
      </c>
      <c r="L252" s="2" t="s">
        <v>146</v>
      </c>
      <c r="M252" s="2" t="s">
        <v>146</v>
      </c>
      <c r="N252" s="2" t="s">
        <v>146</v>
      </c>
      <c r="O252" s="2" t="s">
        <v>146</v>
      </c>
      <c r="P252" s="2" t="s">
        <v>146</v>
      </c>
      <c r="Q252" s="2" t="s">
        <v>146</v>
      </c>
      <c r="R252" s="2" t="s">
        <v>146</v>
      </c>
      <c r="S252" s="2" t="s">
        <v>146</v>
      </c>
      <c r="T252" s="2">
        <v>108.29</v>
      </c>
      <c r="U252" s="2" t="s">
        <v>146</v>
      </c>
      <c r="V252" s="2" t="s">
        <v>146</v>
      </c>
      <c r="W252" s="2" t="s">
        <v>146</v>
      </c>
      <c r="X252" s="2" t="s">
        <v>146</v>
      </c>
      <c r="Y252" s="2" t="s">
        <v>146</v>
      </c>
      <c r="Z252" s="2" t="s">
        <v>146</v>
      </c>
      <c r="AA252" s="2" t="s">
        <v>146</v>
      </c>
      <c r="AB252" s="2" t="s">
        <v>146</v>
      </c>
      <c r="AC252" s="2" t="s">
        <v>146</v>
      </c>
      <c r="AD252" s="2" t="s">
        <v>146</v>
      </c>
      <c r="AE252" s="2" t="s">
        <v>146</v>
      </c>
      <c r="AF252" s="2" t="s">
        <v>146</v>
      </c>
      <c r="AG252" s="2" t="s">
        <v>146</v>
      </c>
      <c r="AH252" s="2" t="s">
        <v>146</v>
      </c>
      <c r="AI252" s="2" t="s">
        <v>146</v>
      </c>
      <c r="AJ252" s="2" t="s">
        <v>146</v>
      </c>
      <c r="AK252" s="2" t="s">
        <v>146</v>
      </c>
      <c r="AL252" s="2" t="s">
        <v>146</v>
      </c>
      <c r="AM252" s="2" t="s">
        <v>146</v>
      </c>
      <c r="AN252" s="2" t="s">
        <v>146</v>
      </c>
      <c r="AO252" s="2" t="s">
        <v>146</v>
      </c>
      <c r="AQ252" s="2">
        <f t="shared" si="33"/>
        <v>108.375</v>
      </c>
      <c r="AR252" s="2">
        <f t="shared" si="34"/>
        <v>108.375</v>
      </c>
      <c r="AT252" s="2">
        <f t="shared" si="35"/>
        <v>82.441999999999993</v>
      </c>
      <c r="AU252" s="2">
        <f t="shared" si="36"/>
        <v>18.358000000000001</v>
      </c>
      <c r="AV252" s="27">
        <f t="shared" si="37"/>
        <v>0.93010380622837363</v>
      </c>
      <c r="AY252" s="2">
        <f t="shared" si="38"/>
        <v>0</v>
      </c>
      <c r="AZ252" s="2">
        <f t="shared" si="39"/>
        <v>0</v>
      </c>
      <c r="BA252" s="2">
        <f t="shared" si="40"/>
        <v>0</v>
      </c>
      <c r="BB252" s="2">
        <f t="shared" si="41"/>
        <v>0</v>
      </c>
      <c r="BC252" s="2">
        <f t="shared" si="42"/>
        <v>0</v>
      </c>
      <c r="BD252" s="2">
        <f t="shared" si="43"/>
        <v>0</v>
      </c>
    </row>
    <row r="253" spans="1:56" ht="15" customHeight="1" x14ac:dyDescent="0.45">
      <c r="A253" s="2" t="s">
        <v>342</v>
      </c>
      <c r="B253" s="2" t="s">
        <v>348</v>
      </c>
      <c r="C253" s="2">
        <v>2019</v>
      </c>
      <c r="D253" s="2" t="s">
        <v>146</v>
      </c>
      <c r="E253" s="2" t="s">
        <v>146</v>
      </c>
      <c r="F253" s="2" t="s">
        <v>146</v>
      </c>
      <c r="G253" s="2" t="s">
        <v>146</v>
      </c>
      <c r="H253" s="2" t="s">
        <v>146</v>
      </c>
      <c r="I253" s="2" t="s">
        <v>146</v>
      </c>
      <c r="J253" s="2" t="s">
        <v>146</v>
      </c>
      <c r="K253" s="2" t="s">
        <v>146</v>
      </c>
      <c r="L253" s="2" t="s">
        <v>146</v>
      </c>
      <c r="M253" s="2" t="s">
        <v>146</v>
      </c>
      <c r="N253" s="2" t="s">
        <v>146</v>
      </c>
      <c r="O253" s="2" t="s">
        <v>146</v>
      </c>
      <c r="P253" s="2" t="s">
        <v>146</v>
      </c>
      <c r="Q253" s="2" t="s">
        <v>146</v>
      </c>
      <c r="R253" s="2" t="s">
        <v>146</v>
      </c>
      <c r="S253" s="2" t="s">
        <v>146</v>
      </c>
      <c r="T253" s="2" t="s">
        <v>146</v>
      </c>
      <c r="U253" s="2" t="s">
        <v>146</v>
      </c>
      <c r="V253" s="2" t="s">
        <v>146</v>
      </c>
      <c r="W253" s="2" t="s">
        <v>146</v>
      </c>
      <c r="X253" s="2" t="s">
        <v>146</v>
      </c>
      <c r="Y253" s="2" t="s">
        <v>146</v>
      </c>
      <c r="Z253" s="2" t="s">
        <v>146</v>
      </c>
      <c r="AA253" s="2" t="s">
        <v>146</v>
      </c>
      <c r="AB253" s="2" t="s">
        <v>146</v>
      </c>
      <c r="AC253" s="2" t="s">
        <v>146</v>
      </c>
      <c r="AD253" s="2" t="s">
        <v>146</v>
      </c>
      <c r="AE253" s="2" t="s">
        <v>146</v>
      </c>
      <c r="AF253" s="2" t="s">
        <v>146</v>
      </c>
      <c r="AG253" s="2" t="s">
        <v>146</v>
      </c>
      <c r="AH253" s="2" t="s">
        <v>146</v>
      </c>
      <c r="AI253" s="2" t="s">
        <v>146</v>
      </c>
      <c r="AJ253" s="2" t="s">
        <v>146</v>
      </c>
      <c r="AK253" s="2" t="s">
        <v>146</v>
      </c>
      <c r="AL253" s="2" t="s">
        <v>146</v>
      </c>
      <c r="AM253" s="2" t="s">
        <v>146</v>
      </c>
      <c r="AN253" s="2" t="s">
        <v>146</v>
      </c>
      <c r="AO253" s="2" t="s">
        <v>146</v>
      </c>
      <c r="AQ253" s="2">
        <f t="shared" si="33"/>
        <v>0</v>
      </c>
      <c r="AR253" s="2">
        <f t="shared" si="34"/>
        <v>0</v>
      </c>
      <c r="AT253" s="2">
        <f t="shared" si="35"/>
        <v>0</v>
      </c>
      <c r="AU253" s="2">
        <f t="shared" si="36"/>
        <v>0</v>
      </c>
      <c r="AV253" s="27" t="str">
        <f t="shared" si="37"/>
        <v/>
      </c>
      <c r="AY253" s="2">
        <f t="shared" si="38"/>
        <v>0</v>
      </c>
      <c r="AZ253" s="2">
        <f t="shared" si="39"/>
        <v>0</v>
      </c>
      <c r="BA253" s="2">
        <f t="shared" si="40"/>
        <v>0</v>
      </c>
      <c r="BB253" s="2">
        <f t="shared" si="41"/>
        <v>0</v>
      </c>
      <c r="BC253" s="2">
        <f t="shared" si="42"/>
        <v>0</v>
      </c>
      <c r="BD253" s="2">
        <f t="shared" si="43"/>
        <v>0</v>
      </c>
    </row>
    <row r="254" spans="1:56" ht="15" customHeight="1" x14ac:dyDescent="0.45">
      <c r="A254" s="2" t="s">
        <v>342</v>
      </c>
      <c r="B254" s="2" t="s">
        <v>347</v>
      </c>
      <c r="C254" s="2">
        <v>2019</v>
      </c>
      <c r="D254" s="2" t="s">
        <v>146</v>
      </c>
      <c r="E254" s="2" t="s">
        <v>146</v>
      </c>
      <c r="F254" s="2" t="s">
        <v>146</v>
      </c>
      <c r="G254" s="2" t="s">
        <v>146</v>
      </c>
      <c r="H254" s="2" t="s">
        <v>146</v>
      </c>
      <c r="I254" s="2" t="s">
        <v>146</v>
      </c>
      <c r="J254" s="2" t="s">
        <v>146</v>
      </c>
      <c r="K254" s="2" t="s">
        <v>146</v>
      </c>
      <c r="L254" s="2" t="s">
        <v>146</v>
      </c>
      <c r="M254" s="2" t="s">
        <v>146</v>
      </c>
      <c r="N254" s="2" t="s">
        <v>146</v>
      </c>
      <c r="O254" s="2" t="s">
        <v>146</v>
      </c>
      <c r="P254" s="2" t="s">
        <v>146</v>
      </c>
      <c r="Q254" s="2" t="s">
        <v>146</v>
      </c>
      <c r="R254" s="2" t="s">
        <v>146</v>
      </c>
      <c r="S254" s="2" t="s">
        <v>146</v>
      </c>
      <c r="T254" s="2" t="s">
        <v>146</v>
      </c>
      <c r="U254" s="2" t="s">
        <v>146</v>
      </c>
      <c r="V254" s="2" t="s">
        <v>146</v>
      </c>
      <c r="W254" s="2" t="s">
        <v>146</v>
      </c>
      <c r="X254" s="2" t="s">
        <v>146</v>
      </c>
      <c r="Y254" s="2" t="s">
        <v>146</v>
      </c>
      <c r="Z254" s="2" t="s">
        <v>146</v>
      </c>
      <c r="AA254" s="2" t="s">
        <v>146</v>
      </c>
      <c r="AB254" s="2" t="s">
        <v>146</v>
      </c>
      <c r="AC254" s="2" t="s">
        <v>146</v>
      </c>
      <c r="AD254" s="2" t="s">
        <v>146</v>
      </c>
      <c r="AE254" s="2" t="s">
        <v>146</v>
      </c>
      <c r="AF254" s="2" t="s">
        <v>146</v>
      </c>
      <c r="AG254" s="2" t="s">
        <v>146</v>
      </c>
      <c r="AH254" s="2" t="s">
        <v>146</v>
      </c>
      <c r="AI254" s="2" t="s">
        <v>146</v>
      </c>
      <c r="AJ254" s="2" t="s">
        <v>146</v>
      </c>
      <c r="AK254" s="2" t="s">
        <v>146</v>
      </c>
      <c r="AL254" s="2" t="s">
        <v>146</v>
      </c>
      <c r="AM254" s="2" t="s">
        <v>146</v>
      </c>
      <c r="AN254" s="2" t="s">
        <v>146</v>
      </c>
      <c r="AO254" s="2" t="s">
        <v>146</v>
      </c>
      <c r="AQ254" s="2">
        <f t="shared" si="33"/>
        <v>0</v>
      </c>
      <c r="AR254" s="2">
        <f t="shared" si="34"/>
        <v>0</v>
      </c>
      <c r="AT254" s="2">
        <f t="shared" si="35"/>
        <v>0</v>
      </c>
      <c r="AU254" s="2">
        <f t="shared" si="36"/>
        <v>0</v>
      </c>
      <c r="AV254" s="27" t="str">
        <f t="shared" si="37"/>
        <v/>
      </c>
      <c r="AY254" s="2">
        <f t="shared" si="38"/>
        <v>0</v>
      </c>
      <c r="AZ254" s="2">
        <f t="shared" si="39"/>
        <v>0</v>
      </c>
      <c r="BA254" s="2">
        <f t="shared" si="40"/>
        <v>0</v>
      </c>
      <c r="BB254" s="2">
        <f t="shared" si="41"/>
        <v>0</v>
      </c>
      <c r="BC254" s="2">
        <f t="shared" si="42"/>
        <v>0</v>
      </c>
      <c r="BD254" s="2">
        <f t="shared" si="43"/>
        <v>0</v>
      </c>
    </row>
    <row r="255" spans="1:56" ht="15" customHeight="1" x14ac:dyDescent="0.45">
      <c r="A255" s="2" t="s">
        <v>342</v>
      </c>
      <c r="B255" s="2" t="s">
        <v>346</v>
      </c>
      <c r="C255" s="2">
        <v>2019</v>
      </c>
      <c r="D255" s="2">
        <v>272.65699999999998</v>
      </c>
      <c r="E255" s="2">
        <v>114.64100000000001</v>
      </c>
      <c r="F255" s="2" t="s">
        <v>146</v>
      </c>
      <c r="G255" s="2" t="s">
        <v>146</v>
      </c>
      <c r="H255" s="2" t="s">
        <v>146</v>
      </c>
      <c r="I255" s="2">
        <v>524.29100000000005</v>
      </c>
      <c r="J255" s="2" t="s">
        <v>146</v>
      </c>
      <c r="K255" s="2">
        <v>0.46100000000000002</v>
      </c>
      <c r="L255" s="2" t="s">
        <v>146</v>
      </c>
      <c r="M255" s="2" t="s">
        <v>146</v>
      </c>
      <c r="N255" s="2" t="s">
        <v>146</v>
      </c>
      <c r="O255" s="2" t="s">
        <v>146</v>
      </c>
      <c r="P255" s="2" t="s">
        <v>146</v>
      </c>
      <c r="Q255" s="2">
        <v>64.2</v>
      </c>
      <c r="R255" s="2">
        <v>108.5</v>
      </c>
      <c r="S255" s="2">
        <v>20.2</v>
      </c>
      <c r="T255" s="2">
        <v>119.9</v>
      </c>
      <c r="U255" s="2" t="s">
        <v>146</v>
      </c>
      <c r="V255" s="2">
        <v>79.745000000000005</v>
      </c>
      <c r="W255" s="2" t="s">
        <v>146</v>
      </c>
      <c r="X255" s="2" t="s">
        <v>146</v>
      </c>
      <c r="Y255" s="2" t="s">
        <v>146</v>
      </c>
      <c r="Z255" s="2" t="s">
        <v>146</v>
      </c>
      <c r="AA255" s="2" t="s">
        <v>146</v>
      </c>
      <c r="AB255" s="2" t="s">
        <v>146</v>
      </c>
      <c r="AC255" s="2" t="s">
        <v>146</v>
      </c>
      <c r="AD255" s="2" t="s">
        <v>146</v>
      </c>
      <c r="AE255" s="2">
        <v>58.384999999999998</v>
      </c>
      <c r="AF255" s="2" t="s">
        <v>146</v>
      </c>
      <c r="AG255" s="2" t="s">
        <v>146</v>
      </c>
      <c r="AH255" s="2" t="s">
        <v>146</v>
      </c>
      <c r="AI255" s="2" t="s">
        <v>146</v>
      </c>
      <c r="AJ255" s="2" t="s">
        <v>146</v>
      </c>
      <c r="AK255" s="2">
        <v>72.900000000000006</v>
      </c>
      <c r="AL255" s="2">
        <v>88</v>
      </c>
      <c r="AM255" s="2" t="s">
        <v>146</v>
      </c>
      <c r="AN255" s="2" t="s">
        <v>146</v>
      </c>
      <c r="AO255" s="2">
        <v>12</v>
      </c>
      <c r="AQ255" s="2">
        <f t="shared" si="33"/>
        <v>451.39099999999996</v>
      </c>
      <c r="AR255" s="2">
        <f t="shared" si="34"/>
        <v>524.29099999999994</v>
      </c>
      <c r="AT255" s="2">
        <f t="shared" si="35"/>
        <v>272.65699999999998</v>
      </c>
      <c r="AU255" s="2">
        <f t="shared" si="36"/>
        <v>114.64100000000001</v>
      </c>
      <c r="AV255" s="27">
        <f t="shared" si="37"/>
        <v>0.7387080838694543</v>
      </c>
      <c r="AY255" s="2">
        <f t="shared" si="38"/>
        <v>72.900000000000006</v>
      </c>
      <c r="AZ255" s="2">
        <f t="shared" si="39"/>
        <v>64.152000000000001</v>
      </c>
      <c r="BA255" s="2">
        <f t="shared" si="40"/>
        <v>0</v>
      </c>
      <c r="BB255" s="2">
        <f t="shared" si="41"/>
        <v>0</v>
      </c>
      <c r="BC255" s="2">
        <f t="shared" si="42"/>
        <v>8.7480000000000011</v>
      </c>
      <c r="BD255" s="2">
        <f t="shared" si="43"/>
        <v>0</v>
      </c>
    </row>
    <row r="256" spans="1:56" ht="15" customHeight="1" x14ac:dyDescent="0.45">
      <c r="A256" s="2" t="s">
        <v>342</v>
      </c>
      <c r="B256" s="2" t="s">
        <v>345</v>
      </c>
      <c r="C256" s="2">
        <v>2019</v>
      </c>
      <c r="D256" s="2" t="s">
        <v>146</v>
      </c>
      <c r="E256" s="2" t="s">
        <v>146</v>
      </c>
      <c r="F256" s="2" t="s">
        <v>146</v>
      </c>
      <c r="G256" s="2" t="s">
        <v>146</v>
      </c>
      <c r="H256" s="2" t="s">
        <v>146</v>
      </c>
      <c r="I256" s="2" t="s">
        <v>146</v>
      </c>
      <c r="J256" s="2" t="s">
        <v>146</v>
      </c>
      <c r="K256" s="2" t="s">
        <v>146</v>
      </c>
      <c r="L256" s="2" t="s">
        <v>146</v>
      </c>
      <c r="M256" s="2" t="s">
        <v>146</v>
      </c>
      <c r="N256" s="2" t="s">
        <v>146</v>
      </c>
      <c r="O256" s="2" t="s">
        <v>146</v>
      </c>
      <c r="P256" s="2" t="s">
        <v>146</v>
      </c>
      <c r="Q256" s="2" t="s">
        <v>146</v>
      </c>
      <c r="R256" s="2" t="s">
        <v>146</v>
      </c>
      <c r="S256" s="2" t="s">
        <v>146</v>
      </c>
      <c r="T256" s="2" t="s">
        <v>146</v>
      </c>
      <c r="U256" s="2" t="s">
        <v>146</v>
      </c>
      <c r="V256" s="2" t="s">
        <v>146</v>
      </c>
      <c r="W256" s="2" t="s">
        <v>146</v>
      </c>
      <c r="X256" s="2" t="s">
        <v>146</v>
      </c>
      <c r="Y256" s="2" t="s">
        <v>146</v>
      </c>
      <c r="Z256" s="2" t="s">
        <v>146</v>
      </c>
      <c r="AA256" s="2" t="s">
        <v>146</v>
      </c>
      <c r="AB256" s="2" t="s">
        <v>146</v>
      </c>
      <c r="AC256" s="2" t="s">
        <v>146</v>
      </c>
      <c r="AD256" s="2" t="s">
        <v>146</v>
      </c>
      <c r="AE256" s="2" t="s">
        <v>146</v>
      </c>
      <c r="AF256" s="2" t="s">
        <v>146</v>
      </c>
      <c r="AG256" s="2" t="s">
        <v>146</v>
      </c>
      <c r="AH256" s="2" t="s">
        <v>146</v>
      </c>
      <c r="AI256" s="2" t="s">
        <v>146</v>
      </c>
      <c r="AJ256" s="2" t="s">
        <v>146</v>
      </c>
      <c r="AK256" s="2" t="s">
        <v>146</v>
      </c>
      <c r="AL256" s="2" t="s">
        <v>146</v>
      </c>
      <c r="AM256" s="2" t="s">
        <v>146</v>
      </c>
      <c r="AN256" s="2" t="s">
        <v>146</v>
      </c>
      <c r="AO256" s="2" t="s">
        <v>146</v>
      </c>
      <c r="AQ256" s="2">
        <f t="shared" si="33"/>
        <v>0</v>
      </c>
      <c r="AR256" s="2">
        <f t="shared" si="34"/>
        <v>0</v>
      </c>
      <c r="AT256" s="2">
        <f t="shared" si="35"/>
        <v>0</v>
      </c>
      <c r="AU256" s="2">
        <f t="shared" si="36"/>
        <v>0</v>
      </c>
      <c r="AV256" s="27" t="str">
        <f t="shared" si="37"/>
        <v/>
      </c>
      <c r="AY256" s="2">
        <f t="shared" si="38"/>
        <v>0</v>
      </c>
      <c r="AZ256" s="2">
        <f t="shared" si="39"/>
        <v>0</v>
      </c>
      <c r="BA256" s="2">
        <f t="shared" si="40"/>
        <v>0</v>
      </c>
      <c r="BB256" s="2">
        <f t="shared" si="41"/>
        <v>0</v>
      </c>
      <c r="BC256" s="2">
        <f t="shared" si="42"/>
        <v>0</v>
      </c>
      <c r="BD256" s="2">
        <f t="shared" si="43"/>
        <v>0</v>
      </c>
    </row>
    <row r="257" spans="1:56" ht="15" customHeight="1" x14ac:dyDescent="0.45">
      <c r="A257" s="2" t="s">
        <v>342</v>
      </c>
      <c r="B257" s="2" t="s">
        <v>344</v>
      </c>
      <c r="C257" s="2">
        <v>2019</v>
      </c>
      <c r="D257" s="2" t="s">
        <v>146</v>
      </c>
      <c r="E257" s="2" t="s">
        <v>146</v>
      </c>
      <c r="F257" s="2" t="s">
        <v>146</v>
      </c>
      <c r="G257" s="2" t="s">
        <v>146</v>
      </c>
      <c r="H257" s="2" t="s">
        <v>146</v>
      </c>
      <c r="I257" s="2" t="s">
        <v>146</v>
      </c>
      <c r="J257" s="2" t="s">
        <v>146</v>
      </c>
      <c r="K257" s="2" t="s">
        <v>146</v>
      </c>
      <c r="L257" s="2" t="s">
        <v>146</v>
      </c>
      <c r="M257" s="2" t="s">
        <v>146</v>
      </c>
      <c r="N257" s="2" t="s">
        <v>146</v>
      </c>
      <c r="O257" s="2" t="s">
        <v>146</v>
      </c>
      <c r="P257" s="2" t="s">
        <v>146</v>
      </c>
      <c r="Q257" s="2" t="s">
        <v>146</v>
      </c>
      <c r="R257" s="2" t="s">
        <v>146</v>
      </c>
      <c r="S257" s="2" t="s">
        <v>146</v>
      </c>
      <c r="T257" s="2" t="s">
        <v>146</v>
      </c>
      <c r="U257" s="2" t="s">
        <v>146</v>
      </c>
      <c r="V257" s="2" t="s">
        <v>146</v>
      </c>
      <c r="W257" s="2" t="s">
        <v>146</v>
      </c>
      <c r="X257" s="2" t="s">
        <v>146</v>
      </c>
      <c r="Y257" s="2" t="s">
        <v>146</v>
      </c>
      <c r="Z257" s="2" t="s">
        <v>146</v>
      </c>
      <c r="AA257" s="2" t="s">
        <v>146</v>
      </c>
      <c r="AB257" s="2" t="s">
        <v>146</v>
      </c>
      <c r="AC257" s="2" t="s">
        <v>146</v>
      </c>
      <c r="AD257" s="2" t="s">
        <v>146</v>
      </c>
      <c r="AE257" s="2" t="s">
        <v>146</v>
      </c>
      <c r="AF257" s="2" t="s">
        <v>146</v>
      </c>
      <c r="AG257" s="2" t="s">
        <v>146</v>
      </c>
      <c r="AH257" s="2" t="s">
        <v>146</v>
      </c>
      <c r="AI257" s="2" t="s">
        <v>146</v>
      </c>
      <c r="AJ257" s="2" t="s">
        <v>146</v>
      </c>
      <c r="AK257" s="2" t="s">
        <v>146</v>
      </c>
      <c r="AL257" s="2" t="s">
        <v>146</v>
      </c>
      <c r="AM257" s="2" t="s">
        <v>146</v>
      </c>
      <c r="AN257" s="2" t="s">
        <v>146</v>
      </c>
      <c r="AO257" s="2" t="s">
        <v>146</v>
      </c>
      <c r="AQ257" s="2">
        <f t="shared" si="33"/>
        <v>0</v>
      </c>
      <c r="AR257" s="2">
        <f t="shared" si="34"/>
        <v>0</v>
      </c>
      <c r="AT257" s="2">
        <f t="shared" si="35"/>
        <v>0</v>
      </c>
      <c r="AU257" s="2">
        <f t="shared" si="36"/>
        <v>0</v>
      </c>
      <c r="AV257" s="27" t="str">
        <f t="shared" si="37"/>
        <v/>
      </c>
      <c r="AY257" s="2">
        <f t="shared" si="38"/>
        <v>0</v>
      </c>
      <c r="AZ257" s="2">
        <f t="shared" si="39"/>
        <v>0</v>
      </c>
      <c r="BA257" s="2">
        <f t="shared" si="40"/>
        <v>0</v>
      </c>
      <c r="BB257" s="2">
        <f t="shared" si="41"/>
        <v>0</v>
      </c>
      <c r="BC257" s="2">
        <f t="shared" si="42"/>
        <v>0</v>
      </c>
      <c r="BD257" s="2">
        <f t="shared" si="43"/>
        <v>0</v>
      </c>
    </row>
    <row r="258" spans="1:56" ht="15" customHeight="1" x14ac:dyDescent="0.45">
      <c r="A258" s="2" t="s">
        <v>342</v>
      </c>
      <c r="B258" s="2" t="s">
        <v>343</v>
      </c>
      <c r="C258" s="2">
        <v>2019</v>
      </c>
      <c r="D258" s="2" t="s">
        <v>146</v>
      </c>
      <c r="E258" s="2" t="s">
        <v>146</v>
      </c>
      <c r="F258" s="2" t="s">
        <v>146</v>
      </c>
      <c r="G258" s="2" t="s">
        <v>146</v>
      </c>
      <c r="H258" s="2" t="s">
        <v>146</v>
      </c>
      <c r="I258" s="2" t="s">
        <v>146</v>
      </c>
      <c r="J258" s="2" t="s">
        <v>146</v>
      </c>
      <c r="K258" s="2" t="s">
        <v>146</v>
      </c>
      <c r="L258" s="2" t="s">
        <v>146</v>
      </c>
      <c r="M258" s="2" t="s">
        <v>146</v>
      </c>
      <c r="N258" s="2" t="s">
        <v>146</v>
      </c>
      <c r="O258" s="2" t="s">
        <v>146</v>
      </c>
      <c r="P258" s="2" t="s">
        <v>146</v>
      </c>
      <c r="Q258" s="2" t="s">
        <v>146</v>
      </c>
      <c r="R258" s="2" t="s">
        <v>146</v>
      </c>
      <c r="S258" s="2" t="s">
        <v>146</v>
      </c>
      <c r="T258" s="2" t="s">
        <v>146</v>
      </c>
      <c r="U258" s="2" t="s">
        <v>146</v>
      </c>
      <c r="V258" s="2" t="s">
        <v>146</v>
      </c>
      <c r="W258" s="2" t="s">
        <v>146</v>
      </c>
      <c r="X258" s="2" t="s">
        <v>146</v>
      </c>
      <c r="Y258" s="2" t="s">
        <v>146</v>
      </c>
      <c r="Z258" s="2" t="s">
        <v>146</v>
      </c>
      <c r="AA258" s="2" t="s">
        <v>146</v>
      </c>
      <c r="AB258" s="2" t="s">
        <v>146</v>
      </c>
      <c r="AC258" s="2" t="s">
        <v>146</v>
      </c>
      <c r="AD258" s="2" t="s">
        <v>146</v>
      </c>
      <c r="AE258" s="2" t="s">
        <v>146</v>
      </c>
      <c r="AF258" s="2" t="s">
        <v>146</v>
      </c>
      <c r="AG258" s="2" t="s">
        <v>146</v>
      </c>
      <c r="AH258" s="2" t="s">
        <v>146</v>
      </c>
      <c r="AI258" s="2" t="s">
        <v>146</v>
      </c>
      <c r="AJ258" s="2" t="s">
        <v>146</v>
      </c>
      <c r="AK258" s="2" t="s">
        <v>146</v>
      </c>
      <c r="AL258" s="2" t="s">
        <v>146</v>
      </c>
      <c r="AM258" s="2" t="s">
        <v>146</v>
      </c>
      <c r="AN258" s="2" t="s">
        <v>146</v>
      </c>
      <c r="AO258" s="2" t="s">
        <v>146</v>
      </c>
      <c r="AQ258" s="2">
        <f t="shared" si="33"/>
        <v>0</v>
      </c>
      <c r="AR258" s="2">
        <f t="shared" si="34"/>
        <v>0</v>
      </c>
      <c r="AT258" s="2">
        <f t="shared" si="35"/>
        <v>0</v>
      </c>
      <c r="AU258" s="2">
        <f t="shared" si="36"/>
        <v>0</v>
      </c>
      <c r="AV258" s="27" t="str">
        <f t="shared" si="37"/>
        <v/>
      </c>
      <c r="AY258" s="2">
        <f t="shared" si="38"/>
        <v>0</v>
      </c>
      <c r="AZ258" s="2">
        <f t="shared" si="39"/>
        <v>0</v>
      </c>
      <c r="BA258" s="2">
        <f t="shared" si="40"/>
        <v>0</v>
      </c>
      <c r="BB258" s="2">
        <f t="shared" si="41"/>
        <v>0</v>
      </c>
      <c r="BC258" s="2">
        <f t="shared" si="42"/>
        <v>0</v>
      </c>
      <c r="BD258" s="2">
        <f t="shared" si="43"/>
        <v>0</v>
      </c>
    </row>
    <row r="259" spans="1:56" ht="15" customHeight="1" x14ac:dyDescent="0.45">
      <c r="A259" s="2" t="s">
        <v>342</v>
      </c>
      <c r="B259" s="2" t="s">
        <v>341</v>
      </c>
      <c r="C259" s="2">
        <v>2019</v>
      </c>
      <c r="D259" s="2" t="s">
        <v>146</v>
      </c>
      <c r="E259" s="2" t="s">
        <v>146</v>
      </c>
      <c r="F259" s="2" t="s">
        <v>146</v>
      </c>
      <c r="G259" s="2" t="s">
        <v>146</v>
      </c>
      <c r="H259" s="2" t="s">
        <v>146</v>
      </c>
      <c r="I259" s="2" t="s">
        <v>146</v>
      </c>
      <c r="J259" s="2" t="s">
        <v>146</v>
      </c>
      <c r="K259" s="2" t="s">
        <v>146</v>
      </c>
      <c r="L259" s="2" t="s">
        <v>146</v>
      </c>
      <c r="M259" s="2" t="s">
        <v>146</v>
      </c>
      <c r="N259" s="2" t="s">
        <v>146</v>
      </c>
      <c r="O259" s="2" t="s">
        <v>146</v>
      </c>
      <c r="P259" s="2" t="s">
        <v>146</v>
      </c>
      <c r="Q259" s="2" t="s">
        <v>146</v>
      </c>
      <c r="R259" s="2" t="s">
        <v>146</v>
      </c>
      <c r="S259" s="2" t="s">
        <v>146</v>
      </c>
      <c r="T259" s="2" t="s">
        <v>146</v>
      </c>
      <c r="U259" s="2" t="s">
        <v>146</v>
      </c>
      <c r="V259" s="2" t="s">
        <v>146</v>
      </c>
      <c r="W259" s="2" t="s">
        <v>146</v>
      </c>
      <c r="X259" s="2" t="s">
        <v>146</v>
      </c>
      <c r="Y259" s="2" t="s">
        <v>146</v>
      </c>
      <c r="Z259" s="2" t="s">
        <v>146</v>
      </c>
      <c r="AA259" s="2" t="s">
        <v>146</v>
      </c>
      <c r="AB259" s="2" t="s">
        <v>146</v>
      </c>
      <c r="AC259" s="2" t="s">
        <v>146</v>
      </c>
      <c r="AD259" s="2" t="s">
        <v>146</v>
      </c>
      <c r="AE259" s="2" t="s">
        <v>146</v>
      </c>
      <c r="AF259" s="2" t="s">
        <v>146</v>
      </c>
      <c r="AG259" s="2" t="s">
        <v>146</v>
      </c>
      <c r="AH259" s="2" t="s">
        <v>146</v>
      </c>
      <c r="AI259" s="2" t="s">
        <v>146</v>
      </c>
      <c r="AJ259" s="2" t="s">
        <v>146</v>
      </c>
      <c r="AK259" s="2" t="s">
        <v>146</v>
      </c>
      <c r="AL259" s="2" t="s">
        <v>146</v>
      </c>
      <c r="AM259" s="2" t="s">
        <v>146</v>
      </c>
      <c r="AN259" s="2" t="s">
        <v>146</v>
      </c>
      <c r="AO259" s="2" t="s">
        <v>146</v>
      </c>
      <c r="AQ259" s="2">
        <f t="shared" ref="AQ259:AQ322" si="44">SUMPRODUCT(J259:AF259)+IFERROR(AJ259/1,0)</f>
        <v>0</v>
      </c>
      <c r="AR259" s="2">
        <f t="shared" ref="AR259:AR322" si="45">SUMPRODUCT(J259:AF259)+SUMPRODUCT(AJ259:AK259)</f>
        <v>0</v>
      </c>
      <c r="AT259" s="2">
        <f t="shared" ref="AT259:AT322" si="46">IFERROR(D259/1,0)</f>
        <v>0</v>
      </c>
      <c r="AU259" s="2">
        <f t="shared" ref="AU259:AU322" si="47">IFERROR(E259/1,0)</f>
        <v>0</v>
      </c>
      <c r="AV259" s="27" t="str">
        <f t="shared" ref="AV259:AV322" si="48">IFERROR((AT259+AU259)/AR259,"")</f>
        <v/>
      </c>
      <c r="AY259" s="2">
        <f t="shared" ref="AY259:AY322" si="49">IFERROR(AK259/1,0)</f>
        <v>0</v>
      </c>
      <c r="AZ259" s="2">
        <f t="shared" ref="AZ259:AZ322" si="50">IFERROR(AL259/100,0)*$AY259</f>
        <v>0</v>
      </c>
      <c r="BA259" s="2">
        <f t="shared" ref="BA259:BA322" si="51">IFERROR(AM259/100,0)*$AY259</f>
        <v>0</v>
      </c>
      <c r="BB259" s="2">
        <f t="shared" ref="BB259:BB322" si="52">IFERROR(AN259/100,0)*$AY259</f>
        <v>0</v>
      </c>
      <c r="BC259" s="2">
        <f t="shared" ref="BC259:BC322" si="53">IFERROR(AO259/100,0)*$AY259</f>
        <v>0</v>
      </c>
      <c r="BD259" s="2">
        <f t="shared" ref="BD259:BD322" si="54">MAX(AY259-SUM(AZ259:BC259),0)</f>
        <v>0</v>
      </c>
    </row>
    <row r="260" spans="1:56" ht="15" customHeight="1" x14ac:dyDescent="0.45">
      <c r="A260" s="2" t="s">
        <v>336</v>
      </c>
      <c r="B260" s="2" t="s">
        <v>340</v>
      </c>
      <c r="C260" s="2">
        <v>2019</v>
      </c>
      <c r="D260" s="2" t="s">
        <v>146</v>
      </c>
      <c r="E260" s="2" t="s">
        <v>146</v>
      </c>
      <c r="F260" s="2" t="s">
        <v>146</v>
      </c>
      <c r="G260" s="2" t="s">
        <v>146</v>
      </c>
      <c r="H260" s="2" t="s">
        <v>146</v>
      </c>
      <c r="I260" s="2" t="s">
        <v>146</v>
      </c>
      <c r="J260" s="2" t="s">
        <v>146</v>
      </c>
      <c r="K260" s="2" t="s">
        <v>146</v>
      </c>
      <c r="L260" s="2" t="s">
        <v>146</v>
      </c>
      <c r="M260" s="2" t="s">
        <v>146</v>
      </c>
      <c r="N260" s="2" t="s">
        <v>146</v>
      </c>
      <c r="O260" s="2" t="s">
        <v>146</v>
      </c>
      <c r="P260" s="2" t="s">
        <v>146</v>
      </c>
      <c r="Q260" s="2" t="s">
        <v>146</v>
      </c>
      <c r="R260" s="2" t="s">
        <v>146</v>
      </c>
      <c r="S260" s="2" t="s">
        <v>146</v>
      </c>
      <c r="T260" s="2" t="s">
        <v>146</v>
      </c>
      <c r="U260" s="2" t="s">
        <v>146</v>
      </c>
      <c r="V260" s="2" t="s">
        <v>146</v>
      </c>
      <c r="W260" s="2" t="s">
        <v>146</v>
      </c>
      <c r="X260" s="2" t="s">
        <v>146</v>
      </c>
      <c r="Y260" s="2" t="s">
        <v>146</v>
      </c>
      <c r="Z260" s="2" t="s">
        <v>146</v>
      </c>
      <c r="AA260" s="2" t="s">
        <v>146</v>
      </c>
      <c r="AB260" s="2" t="s">
        <v>146</v>
      </c>
      <c r="AC260" s="2" t="s">
        <v>146</v>
      </c>
      <c r="AD260" s="2" t="s">
        <v>146</v>
      </c>
      <c r="AE260" s="2" t="s">
        <v>146</v>
      </c>
      <c r="AF260" s="2" t="s">
        <v>146</v>
      </c>
      <c r="AG260" s="2" t="s">
        <v>146</v>
      </c>
      <c r="AH260" s="2" t="s">
        <v>146</v>
      </c>
      <c r="AI260" s="2" t="s">
        <v>146</v>
      </c>
      <c r="AJ260" s="2" t="s">
        <v>146</v>
      </c>
      <c r="AK260" s="2" t="s">
        <v>146</v>
      </c>
      <c r="AL260" s="2" t="s">
        <v>146</v>
      </c>
      <c r="AM260" s="2" t="s">
        <v>146</v>
      </c>
      <c r="AN260" s="2" t="s">
        <v>146</v>
      </c>
      <c r="AO260" s="2" t="s">
        <v>146</v>
      </c>
      <c r="AQ260" s="2">
        <f t="shared" si="44"/>
        <v>0</v>
      </c>
      <c r="AR260" s="2">
        <f t="shared" si="45"/>
        <v>0</v>
      </c>
      <c r="AT260" s="2">
        <f t="shared" si="46"/>
        <v>0</v>
      </c>
      <c r="AU260" s="2">
        <f t="shared" si="47"/>
        <v>0</v>
      </c>
      <c r="AV260" s="27" t="str">
        <f t="shared" si="48"/>
        <v/>
      </c>
      <c r="AY260" s="2">
        <f t="shared" si="49"/>
        <v>0</v>
      </c>
      <c r="AZ260" s="2">
        <f t="shared" si="50"/>
        <v>0</v>
      </c>
      <c r="BA260" s="2">
        <f t="shared" si="51"/>
        <v>0</v>
      </c>
      <c r="BB260" s="2">
        <f t="shared" si="52"/>
        <v>0</v>
      </c>
      <c r="BC260" s="2">
        <f t="shared" si="53"/>
        <v>0</v>
      </c>
      <c r="BD260" s="2">
        <f t="shared" si="54"/>
        <v>0</v>
      </c>
    </row>
    <row r="261" spans="1:56" ht="15" customHeight="1" x14ac:dyDescent="0.45">
      <c r="A261" s="2" t="s">
        <v>336</v>
      </c>
      <c r="B261" s="2" t="s">
        <v>339</v>
      </c>
      <c r="C261" s="2">
        <v>2019</v>
      </c>
      <c r="D261" s="2">
        <v>370.113</v>
      </c>
      <c r="E261" s="2">
        <v>44.774999999999999</v>
      </c>
      <c r="F261" s="2" t="s">
        <v>146</v>
      </c>
      <c r="G261" s="2" t="s">
        <v>146</v>
      </c>
      <c r="H261" s="2" t="s">
        <v>146</v>
      </c>
      <c r="I261" s="2">
        <v>424.452</v>
      </c>
      <c r="J261" s="2" t="s">
        <v>146</v>
      </c>
      <c r="K261" s="2">
        <v>1.1499999999999999</v>
      </c>
      <c r="L261" s="2" t="s">
        <v>146</v>
      </c>
      <c r="M261" s="2" t="s">
        <v>146</v>
      </c>
      <c r="N261" s="2" t="s">
        <v>146</v>
      </c>
      <c r="O261" s="2" t="s">
        <v>146</v>
      </c>
      <c r="P261" s="2" t="s">
        <v>146</v>
      </c>
      <c r="Q261" s="2">
        <v>188.322</v>
      </c>
      <c r="R261" s="2" t="s">
        <v>146</v>
      </c>
      <c r="S261" s="2" t="s">
        <v>146</v>
      </c>
      <c r="T261" s="2" t="s">
        <v>146</v>
      </c>
      <c r="U261" s="2" t="s">
        <v>146</v>
      </c>
      <c r="V261" s="2" t="s">
        <v>146</v>
      </c>
      <c r="W261" s="2" t="s">
        <v>146</v>
      </c>
      <c r="X261" s="2" t="s">
        <v>146</v>
      </c>
      <c r="Y261" s="2" t="s">
        <v>146</v>
      </c>
      <c r="Z261" s="2" t="s">
        <v>146</v>
      </c>
      <c r="AA261" s="2" t="s">
        <v>146</v>
      </c>
      <c r="AB261" s="2" t="s">
        <v>146</v>
      </c>
      <c r="AC261" s="2" t="s">
        <v>146</v>
      </c>
      <c r="AD261" s="2" t="s">
        <v>146</v>
      </c>
      <c r="AE261" s="2" t="s">
        <v>146</v>
      </c>
      <c r="AF261" s="2">
        <v>189.4</v>
      </c>
      <c r="AG261" s="2">
        <v>1.073</v>
      </c>
      <c r="AH261" s="2" t="s">
        <v>160</v>
      </c>
      <c r="AI261" s="2">
        <v>37.299999999999997</v>
      </c>
      <c r="AJ261" s="2" t="s">
        <v>146</v>
      </c>
      <c r="AK261" s="2">
        <v>45.58</v>
      </c>
      <c r="AL261" s="2">
        <v>72</v>
      </c>
      <c r="AM261" s="2">
        <v>28</v>
      </c>
      <c r="AN261" s="2" t="s">
        <v>146</v>
      </c>
      <c r="AO261" s="2" t="s">
        <v>146</v>
      </c>
      <c r="AQ261" s="2">
        <f t="shared" si="44"/>
        <v>378.87200000000001</v>
      </c>
      <c r="AR261" s="2">
        <f t="shared" si="45"/>
        <v>424.452</v>
      </c>
      <c r="AT261" s="2">
        <f t="shared" si="46"/>
        <v>370.113</v>
      </c>
      <c r="AU261" s="2">
        <f t="shared" si="47"/>
        <v>44.774999999999999</v>
      </c>
      <c r="AV261" s="27">
        <f t="shared" si="48"/>
        <v>0.9774674168103813</v>
      </c>
      <c r="AY261" s="2">
        <f t="shared" si="49"/>
        <v>45.58</v>
      </c>
      <c r="AZ261" s="2">
        <f t="shared" si="50"/>
        <v>32.817599999999999</v>
      </c>
      <c r="BA261" s="2">
        <f t="shared" si="51"/>
        <v>12.762400000000001</v>
      </c>
      <c r="BB261" s="2">
        <f t="shared" si="52"/>
        <v>0</v>
      </c>
      <c r="BC261" s="2">
        <f t="shared" si="53"/>
        <v>0</v>
      </c>
      <c r="BD261" s="2">
        <f t="shared" si="54"/>
        <v>0</v>
      </c>
    </row>
    <row r="262" spans="1:56" ht="15" customHeight="1" x14ac:dyDescent="0.45">
      <c r="A262" s="2" t="s">
        <v>336</v>
      </c>
      <c r="B262" s="2" t="s">
        <v>338</v>
      </c>
      <c r="C262" s="2">
        <v>2019</v>
      </c>
      <c r="D262" s="2" t="s">
        <v>146</v>
      </c>
      <c r="E262" s="2" t="s">
        <v>146</v>
      </c>
      <c r="F262" s="2" t="s">
        <v>146</v>
      </c>
      <c r="G262" s="2" t="s">
        <v>146</v>
      </c>
      <c r="H262" s="2" t="s">
        <v>146</v>
      </c>
      <c r="I262" s="2" t="s">
        <v>146</v>
      </c>
      <c r="J262" s="2" t="s">
        <v>146</v>
      </c>
      <c r="K262" s="2" t="s">
        <v>146</v>
      </c>
      <c r="L262" s="2" t="s">
        <v>146</v>
      </c>
      <c r="M262" s="2" t="s">
        <v>146</v>
      </c>
      <c r="N262" s="2" t="s">
        <v>146</v>
      </c>
      <c r="O262" s="2" t="s">
        <v>146</v>
      </c>
      <c r="P262" s="2" t="s">
        <v>146</v>
      </c>
      <c r="Q262" s="2" t="s">
        <v>146</v>
      </c>
      <c r="R262" s="2" t="s">
        <v>146</v>
      </c>
      <c r="S262" s="2" t="s">
        <v>146</v>
      </c>
      <c r="T262" s="2" t="s">
        <v>146</v>
      </c>
      <c r="U262" s="2" t="s">
        <v>146</v>
      </c>
      <c r="V262" s="2" t="s">
        <v>146</v>
      </c>
      <c r="W262" s="2" t="s">
        <v>146</v>
      </c>
      <c r="X262" s="2" t="s">
        <v>146</v>
      </c>
      <c r="Y262" s="2" t="s">
        <v>146</v>
      </c>
      <c r="Z262" s="2" t="s">
        <v>146</v>
      </c>
      <c r="AA262" s="2" t="s">
        <v>146</v>
      </c>
      <c r="AB262" s="2" t="s">
        <v>146</v>
      </c>
      <c r="AC262" s="2" t="s">
        <v>146</v>
      </c>
      <c r="AD262" s="2" t="s">
        <v>146</v>
      </c>
      <c r="AE262" s="2" t="s">
        <v>146</v>
      </c>
      <c r="AF262" s="2" t="s">
        <v>146</v>
      </c>
      <c r="AG262" s="2" t="s">
        <v>146</v>
      </c>
      <c r="AH262" s="2" t="s">
        <v>146</v>
      </c>
      <c r="AI262" s="2" t="s">
        <v>146</v>
      </c>
      <c r="AJ262" s="2" t="s">
        <v>146</v>
      </c>
      <c r="AK262" s="2" t="s">
        <v>146</v>
      </c>
      <c r="AL262" s="2" t="s">
        <v>146</v>
      </c>
      <c r="AM262" s="2" t="s">
        <v>146</v>
      </c>
      <c r="AN262" s="2" t="s">
        <v>146</v>
      </c>
      <c r="AO262" s="2" t="s">
        <v>146</v>
      </c>
      <c r="AQ262" s="2">
        <f t="shared" si="44"/>
        <v>0</v>
      </c>
      <c r="AR262" s="2">
        <f t="shared" si="45"/>
        <v>0</v>
      </c>
      <c r="AT262" s="2">
        <f t="shared" si="46"/>
        <v>0</v>
      </c>
      <c r="AU262" s="2">
        <f t="shared" si="47"/>
        <v>0</v>
      </c>
      <c r="AV262" s="27" t="str">
        <f t="shared" si="48"/>
        <v/>
      </c>
      <c r="AY262" s="2">
        <f t="shared" si="49"/>
        <v>0</v>
      </c>
      <c r="AZ262" s="2">
        <f t="shared" si="50"/>
        <v>0</v>
      </c>
      <c r="BA262" s="2">
        <f t="shared" si="51"/>
        <v>0</v>
      </c>
      <c r="BB262" s="2">
        <f t="shared" si="52"/>
        <v>0</v>
      </c>
      <c r="BC262" s="2">
        <f t="shared" si="53"/>
        <v>0</v>
      </c>
      <c r="BD262" s="2">
        <f t="shared" si="54"/>
        <v>0</v>
      </c>
    </row>
    <row r="263" spans="1:56" ht="15" customHeight="1" x14ac:dyDescent="0.45">
      <c r="A263" s="2" t="s">
        <v>336</v>
      </c>
      <c r="B263" s="2" t="s">
        <v>337</v>
      </c>
      <c r="C263" s="2">
        <v>2019</v>
      </c>
      <c r="D263" s="2" t="s">
        <v>146</v>
      </c>
      <c r="E263" s="2" t="s">
        <v>146</v>
      </c>
      <c r="F263" s="2" t="s">
        <v>146</v>
      </c>
      <c r="G263" s="2" t="s">
        <v>146</v>
      </c>
      <c r="H263" s="2" t="s">
        <v>146</v>
      </c>
      <c r="I263" s="2" t="s">
        <v>146</v>
      </c>
      <c r="J263" s="2" t="s">
        <v>146</v>
      </c>
      <c r="K263" s="2" t="s">
        <v>146</v>
      </c>
      <c r="L263" s="2" t="s">
        <v>146</v>
      </c>
      <c r="M263" s="2" t="s">
        <v>146</v>
      </c>
      <c r="N263" s="2" t="s">
        <v>146</v>
      </c>
      <c r="O263" s="2" t="s">
        <v>146</v>
      </c>
      <c r="P263" s="2" t="s">
        <v>146</v>
      </c>
      <c r="Q263" s="2" t="s">
        <v>146</v>
      </c>
      <c r="R263" s="2" t="s">
        <v>146</v>
      </c>
      <c r="S263" s="2" t="s">
        <v>146</v>
      </c>
      <c r="T263" s="2" t="s">
        <v>146</v>
      </c>
      <c r="U263" s="2" t="s">
        <v>146</v>
      </c>
      <c r="V263" s="2" t="s">
        <v>146</v>
      </c>
      <c r="W263" s="2" t="s">
        <v>146</v>
      </c>
      <c r="X263" s="2" t="s">
        <v>146</v>
      </c>
      <c r="Y263" s="2" t="s">
        <v>146</v>
      </c>
      <c r="Z263" s="2" t="s">
        <v>146</v>
      </c>
      <c r="AA263" s="2" t="s">
        <v>146</v>
      </c>
      <c r="AB263" s="2" t="s">
        <v>146</v>
      </c>
      <c r="AC263" s="2" t="s">
        <v>146</v>
      </c>
      <c r="AD263" s="2" t="s">
        <v>146</v>
      </c>
      <c r="AE263" s="2" t="s">
        <v>146</v>
      </c>
      <c r="AF263" s="2" t="s">
        <v>146</v>
      </c>
      <c r="AG263" s="2" t="s">
        <v>146</v>
      </c>
      <c r="AH263" s="2" t="s">
        <v>146</v>
      </c>
      <c r="AI263" s="2" t="s">
        <v>146</v>
      </c>
      <c r="AJ263" s="2" t="s">
        <v>146</v>
      </c>
      <c r="AK263" s="2" t="s">
        <v>146</v>
      </c>
      <c r="AL263" s="2" t="s">
        <v>146</v>
      </c>
      <c r="AM263" s="2" t="s">
        <v>146</v>
      </c>
      <c r="AN263" s="2" t="s">
        <v>146</v>
      </c>
      <c r="AO263" s="2" t="s">
        <v>146</v>
      </c>
      <c r="AQ263" s="2">
        <f t="shared" si="44"/>
        <v>0</v>
      </c>
      <c r="AR263" s="2">
        <f t="shared" si="45"/>
        <v>0</v>
      </c>
      <c r="AT263" s="2">
        <f t="shared" si="46"/>
        <v>0</v>
      </c>
      <c r="AU263" s="2">
        <f t="shared" si="47"/>
        <v>0</v>
      </c>
      <c r="AV263" s="27" t="str">
        <f t="shared" si="48"/>
        <v/>
      </c>
      <c r="AY263" s="2">
        <f t="shared" si="49"/>
        <v>0</v>
      </c>
      <c r="AZ263" s="2">
        <f t="shared" si="50"/>
        <v>0</v>
      </c>
      <c r="BA263" s="2">
        <f t="shared" si="51"/>
        <v>0</v>
      </c>
      <c r="BB263" s="2">
        <f t="shared" si="52"/>
        <v>0</v>
      </c>
      <c r="BC263" s="2">
        <f t="shared" si="53"/>
        <v>0</v>
      </c>
      <c r="BD263" s="2">
        <f t="shared" si="54"/>
        <v>0</v>
      </c>
    </row>
    <row r="264" spans="1:56" ht="15" customHeight="1" x14ac:dyDescent="0.45">
      <c r="A264" s="2" t="s">
        <v>336</v>
      </c>
      <c r="B264" s="2" t="s">
        <v>335</v>
      </c>
      <c r="C264" s="2">
        <v>2019</v>
      </c>
      <c r="D264" s="2" t="s">
        <v>146</v>
      </c>
      <c r="E264" s="2" t="s">
        <v>146</v>
      </c>
      <c r="F264" s="2" t="s">
        <v>146</v>
      </c>
      <c r="G264" s="2" t="s">
        <v>146</v>
      </c>
      <c r="H264" s="2" t="s">
        <v>146</v>
      </c>
      <c r="I264" s="2" t="s">
        <v>146</v>
      </c>
      <c r="J264" s="2" t="s">
        <v>146</v>
      </c>
      <c r="K264" s="2" t="s">
        <v>146</v>
      </c>
      <c r="L264" s="2" t="s">
        <v>146</v>
      </c>
      <c r="M264" s="2" t="s">
        <v>146</v>
      </c>
      <c r="N264" s="2" t="s">
        <v>146</v>
      </c>
      <c r="O264" s="2" t="s">
        <v>146</v>
      </c>
      <c r="P264" s="2" t="s">
        <v>146</v>
      </c>
      <c r="Q264" s="2" t="s">
        <v>146</v>
      </c>
      <c r="R264" s="2" t="s">
        <v>146</v>
      </c>
      <c r="S264" s="2" t="s">
        <v>146</v>
      </c>
      <c r="T264" s="2" t="s">
        <v>146</v>
      </c>
      <c r="U264" s="2" t="s">
        <v>146</v>
      </c>
      <c r="V264" s="2" t="s">
        <v>146</v>
      </c>
      <c r="W264" s="2" t="s">
        <v>146</v>
      </c>
      <c r="X264" s="2" t="s">
        <v>146</v>
      </c>
      <c r="Y264" s="2" t="s">
        <v>146</v>
      </c>
      <c r="Z264" s="2" t="s">
        <v>146</v>
      </c>
      <c r="AA264" s="2" t="s">
        <v>146</v>
      </c>
      <c r="AB264" s="2" t="s">
        <v>146</v>
      </c>
      <c r="AC264" s="2" t="s">
        <v>146</v>
      </c>
      <c r="AD264" s="2" t="s">
        <v>146</v>
      </c>
      <c r="AE264" s="2" t="s">
        <v>146</v>
      </c>
      <c r="AF264" s="2" t="s">
        <v>146</v>
      </c>
      <c r="AG264" s="2" t="s">
        <v>146</v>
      </c>
      <c r="AH264" s="2" t="s">
        <v>146</v>
      </c>
      <c r="AI264" s="2" t="s">
        <v>146</v>
      </c>
      <c r="AJ264" s="2" t="s">
        <v>146</v>
      </c>
      <c r="AK264" s="2" t="s">
        <v>146</v>
      </c>
      <c r="AL264" s="2" t="s">
        <v>146</v>
      </c>
      <c r="AM264" s="2" t="s">
        <v>146</v>
      </c>
      <c r="AN264" s="2" t="s">
        <v>146</v>
      </c>
      <c r="AO264" s="2" t="s">
        <v>146</v>
      </c>
      <c r="AQ264" s="2">
        <f t="shared" si="44"/>
        <v>0</v>
      </c>
      <c r="AR264" s="2">
        <f t="shared" si="45"/>
        <v>0</v>
      </c>
      <c r="AT264" s="2">
        <f t="shared" si="46"/>
        <v>0</v>
      </c>
      <c r="AU264" s="2">
        <f t="shared" si="47"/>
        <v>0</v>
      </c>
      <c r="AV264" s="27" t="str">
        <f t="shared" si="48"/>
        <v/>
      </c>
      <c r="AY264" s="2">
        <f t="shared" si="49"/>
        <v>0</v>
      </c>
      <c r="AZ264" s="2">
        <f t="shared" si="50"/>
        <v>0</v>
      </c>
      <c r="BA264" s="2">
        <f t="shared" si="51"/>
        <v>0</v>
      </c>
      <c r="BB264" s="2">
        <f t="shared" si="52"/>
        <v>0</v>
      </c>
      <c r="BC264" s="2">
        <f t="shared" si="53"/>
        <v>0</v>
      </c>
      <c r="BD264" s="2">
        <f t="shared" si="54"/>
        <v>0</v>
      </c>
    </row>
    <row r="265" spans="1:56" ht="15" customHeight="1" x14ac:dyDescent="0.45">
      <c r="A265" s="2" t="s">
        <v>333</v>
      </c>
      <c r="B265" s="2" t="s">
        <v>334</v>
      </c>
      <c r="C265" s="2">
        <v>2019</v>
      </c>
      <c r="D265" s="2" t="s">
        <v>146</v>
      </c>
      <c r="E265" s="2" t="s">
        <v>146</v>
      </c>
      <c r="F265" s="2" t="s">
        <v>146</v>
      </c>
      <c r="G265" s="2" t="s">
        <v>146</v>
      </c>
      <c r="H265" s="2" t="s">
        <v>146</v>
      </c>
      <c r="I265" s="2" t="s">
        <v>146</v>
      </c>
      <c r="J265" s="2" t="s">
        <v>146</v>
      </c>
      <c r="K265" s="2" t="s">
        <v>146</v>
      </c>
      <c r="L265" s="2" t="s">
        <v>146</v>
      </c>
      <c r="M265" s="2" t="s">
        <v>146</v>
      </c>
      <c r="N265" s="2" t="s">
        <v>146</v>
      </c>
      <c r="O265" s="2" t="s">
        <v>146</v>
      </c>
      <c r="P265" s="2" t="s">
        <v>146</v>
      </c>
      <c r="Q265" s="2" t="s">
        <v>146</v>
      </c>
      <c r="R265" s="2" t="s">
        <v>146</v>
      </c>
      <c r="S265" s="2" t="s">
        <v>146</v>
      </c>
      <c r="T265" s="2" t="s">
        <v>146</v>
      </c>
      <c r="U265" s="2" t="s">
        <v>146</v>
      </c>
      <c r="V265" s="2" t="s">
        <v>146</v>
      </c>
      <c r="W265" s="2" t="s">
        <v>146</v>
      </c>
      <c r="X265" s="2" t="s">
        <v>146</v>
      </c>
      <c r="Y265" s="2" t="s">
        <v>146</v>
      </c>
      <c r="Z265" s="2" t="s">
        <v>146</v>
      </c>
      <c r="AA265" s="2" t="s">
        <v>146</v>
      </c>
      <c r="AB265" s="2" t="s">
        <v>146</v>
      </c>
      <c r="AC265" s="2" t="s">
        <v>146</v>
      </c>
      <c r="AD265" s="2" t="s">
        <v>146</v>
      </c>
      <c r="AE265" s="2" t="s">
        <v>146</v>
      </c>
      <c r="AF265" s="2" t="s">
        <v>146</v>
      </c>
      <c r="AG265" s="2" t="s">
        <v>146</v>
      </c>
      <c r="AH265" s="2" t="s">
        <v>146</v>
      </c>
      <c r="AI265" s="2" t="s">
        <v>146</v>
      </c>
      <c r="AJ265" s="2" t="s">
        <v>146</v>
      </c>
      <c r="AK265" s="2" t="s">
        <v>146</v>
      </c>
      <c r="AL265" s="2" t="s">
        <v>146</v>
      </c>
      <c r="AM265" s="2" t="s">
        <v>146</v>
      </c>
      <c r="AN265" s="2" t="s">
        <v>146</v>
      </c>
      <c r="AO265" s="2" t="s">
        <v>146</v>
      </c>
      <c r="AQ265" s="2">
        <f t="shared" si="44"/>
        <v>0</v>
      </c>
      <c r="AR265" s="2">
        <f t="shared" si="45"/>
        <v>0</v>
      </c>
      <c r="AT265" s="2">
        <f t="shared" si="46"/>
        <v>0</v>
      </c>
      <c r="AU265" s="2">
        <f t="shared" si="47"/>
        <v>0</v>
      </c>
      <c r="AV265" s="27" t="str">
        <f t="shared" si="48"/>
        <v/>
      </c>
      <c r="AY265" s="2">
        <f t="shared" si="49"/>
        <v>0</v>
      </c>
      <c r="AZ265" s="2">
        <f t="shared" si="50"/>
        <v>0</v>
      </c>
      <c r="BA265" s="2">
        <f t="shared" si="51"/>
        <v>0</v>
      </c>
      <c r="BB265" s="2">
        <f t="shared" si="52"/>
        <v>0</v>
      </c>
      <c r="BC265" s="2">
        <f t="shared" si="53"/>
        <v>0</v>
      </c>
      <c r="BD265" s="2">
        <f t="shared" si="54"/>
        <v>0</v>
      </c>
    </row>
    <row r="266" spans="1:56" ht="15" customHeight="1" x14ac:dyDescent="0.45">
      <c r="A266" s="2" t="s">
        <v>333</v>
      </c>
      <c r="B266" s="2" t="s">
        <v>332</v>
      </c>
      <c r="C266" s="2">
        <v>2019</v>
      </c>
      <c r="D266" s="2" t="s">
        <v>146</v>
      </c>
      <c r="E266" s="2" t="s">
        <v>146</v>
      </c>
      <c r="F266" s="2" t="s">
        <v>146</v>
      </c>
      <c r="G266" s="2" t="s">
        <v>146</v>
      </c>
      <c r="H266" s="2" t="s">
        <v>146</v>
      </c>
      <c r="I266" s="2" t="s">
        <v>146</v>
      </c>
      <c r="J266" s="2" t="s">
        <v>146</v>
      </c>
      <c r="K266" s="2" t="s">
        <v>146</v>
      </c>
      <c r="L266" s="2" t="s">
        <v>146</v>
      </c>
      <c r="M266" s="2" t="s">
        <v>146</v>
      </c>
      <c r="N266" s="2" t="s">
        <v>146</v>
      </c>
      <c r="O266" s="2" t="s">
        <v>146</v>
      </c>
      <c r="P266" s="2" t="s">
        <v>146</v>
      </c>
      <c r="Q266" s="2" t="s">
        <v>146</v>
      </c>
      <c r="R266" s="2" t="s">
        <v>146</v>
      </c>
      <c r="S266" s="2" t="s">
        <v>146</v>
      </c>
      <c r="T266" s="2" t="s">
        <v>146</v>
      </c>
      <c r="U266" s="2" t="s">
        <v>146</v>
      </c>
      <c r="V266" s="2" t="s">
        <v>146</v>
      </c>
      <c r="W266" s="2" t="s">
        <v>146</v>
      </c>
      <c r="X266" s="2" t="s">
        <v>146</v>
      </c>
      <c r="Y266" s="2" t="s">
        <v>146</v>
      </c>
      <c r="Z266" s="2" t="s">
        <v>146</v>
      </c>
      <c r="AA266" s="2" t="s">
        <v>146</v>
      </c>
      <c r="AB266" s="2" t="s">
        <v>146</v>
      </c>
      <c r="AC266" s="2" t="s">
        <v>146</v>
      </c>
      <c r="AD266" s="2" t="s">
        <v>146</v>
      </c>
      <c r="AE266" s="2" t="s">
        <v>146</v>
      </c>
      <c r="AF266" s="2" t="s">
        <v>146</v>
      </c>
      <c r="AG266" s="2" t="s">
        <v>146</v>
      </c>
      <c r="AH266" s="2" t="s">
        <v>146</v>
      </c>
      <c r="AI266" s="2" t="s">
        <v>146</v>
      </c>
      <c r="AJ266" s="2" t="s">
        <v>146</v>
      </c>
      <c r="AK266" s="2" t="s">
        <v>146</v>
      </c>
      <c r="AL266" s="2" t="s">
        <v>146</v>
      </c>
      <c r="AM266" s="2" t="s">
        <v>146</v>
      </c>
      <c r="AN266" s="2" t="s">
        <v>146</v>
      </c>
      <c r="AO266" s="2" t="s">
        <v>146</v>
      </c>
      <c r="AQ266" s="2">
        <f t="shared" si="44"/>
        <v>0</v>
      </c>
      <c r="AR266" s="2">
        <f t="shared" si="45"/>
        <v>0</v>
      </c>
      <c r="AT266" s="2">
        <f t="shared" si="46"/>
        <v>0</v>
      </c>
      <c r="AU266" s="2">
        <f t="shared" si="47"/>
        <v>0</v>
      </c>
      <c r="AV266" s="27" t="str">
        <f t="shared" si="48"/>
        <v/>
      </c>
      <c r="AY266" s="2">
        <f t="shared" si="49"/>
        <v>0</v>
      </c>
      <c r="AZ266" s="2">
        <f t="shared" si="50"/>
        <v>0</v>
      </c>
      <c r="BA266" s="2">
        <f t="shared" si="51"/>
        <v>0</v>
      </c>
      <c r="BB266" s="2">
        <f t="shared" si="52"/>
        <v>0</v>
      </c>
      <c r="BC266" s="2">
        <f t="shared" si="53"/>
        <v>0</v>
      </c>
      <c r="BD266" s="2">
        <f t="shared" si="54"/>
        <v>0</v>
      </c>
    </row>
    <row r="267" spans="1:56" ht="15" customHeight="1" x14ac:dyDescent="0.45">
      <c r="A267" s="2" t="s">
        <v>331</v>
      </c>
      <c r="B267" s="2" t="s">
        <v>330</v>
      </c>
      <c r="C267" s="2">
        <v>2019</v>
      </c>
      <c r="D267" s="2" t="s">
        <v>146</v>
      </c>
      <c r="E267" s="2" t="s">
        <v>146</v>
      </c>
      <c r="F267" s="2" t="s">
        <v>146</v>
      </c>
      <c r="G267" s="2" t="s">
        <v>146</v>
      </c>
      <c r="H267" s="2" t="s">
        <v>146</v>
      </c>
      <c r="I267" s="2" t="s">
        <v>146</v>
      </c>
      <c r="J267" s="2" t="s">
        <v>146</v>
      </c>
      <c r="K267" s="2" t="s">
        <v>146</v>
      </c>
      <c r="L267" s="2" t="s">
        <v>146</v>
      </c>
      <c r="M267" s="2" t="s">
        <v>146</v>
      </c>
      <c r="N267" s="2" t="s">
        <v>146</v>
      </c>
      <c r="O267" s="2" t="s">
        <v>146</v>
      </c>
      <c r="P267" s="2" t="s">
        <v>146</v>
      </c>
      <c r="Q267" s="2" t="s">
        <v>146</v>
      </c>
      <c r="R267" s="2" t="s">
        <v>146</v>
      </c>
      <c r="S267" s="2" t="s">
        <v>146</v>
      </c>
      <c r="T267" s="2" t="s">
        <v>146</v>
      </c>
      <c r="U267" s="2" t="s">
        <v>146</v>
      </c>
      <c r="V267" s="2" t="s">
        <v>146</v>
      </c>
      <c r="W267" s="2" t="s">
        <v>146</v>
      </c>
      <c r="X267" s="2" t="s">
        <v>146</v>
      </c>
      <c r="Y267" s="2" t="s">
        <v>146</v>
      </c>
      <c r="Z267" s="2" t="s">
        <v>146</v>
      </c>
      <c r="AA267" s="2" t="s">
        <v>146</v>
      </c>
      <c r="AB267" s="2" t="s">
        <v>146</v>
      </c>
      <c r="AC267" s="2" t="s">
        <v>146</v>
      </c>
      <c r="AD267" s="2" t="s">
        <v>146</v>
      </c>
      <c r="AE267" s="2" t="s">
        <v>146</v>
      </c>
      <c r="AF267" s="2" t="s">
        <v>146</v>
      </c>
      <c r="AG267" s="2" t="s">
        <v>146</v>
      </c>
      <c r="AH267" s="2" t="s">
        <v>146</v>
      </c>
      <c r="AI267" s="2" t="s">
        <v>146</v>
      </c>
      <c r="AJ267" s="2" t="s">
        <v>146</v>
      </c>
      <c r="AK267" s="2" t="s">
        <v>146</v>
      </c>
      <c r="AL267" s="2" t="s">
        <v>146</v>
      </c>
      <c r="AM267" s="2" t="s">
        <v>146</v>
      </c>
      <c r="AN267" s="2" t="s">
        <v>146</v>
      </c>
      <c r="AO267" s="2" t="s">
        <v>146</v>
      </c>
      <c r="AQ267" s="2">
        <f t="shared" si="44"/>
        <v>0</v>
      </c>
      <c r="AR267" s="2">
        <f t="shared" si="45"/>
        <v>0</v>
      </c>
      <c r="AT267" s="2">
        <f t="shared" si="46"/>
        <v>0</v>
      </c>
      <c r="AU267" s="2">
        <f t="shared" si="47"/>
        <v>0</v>
      </c>
      <c r="AV267" s="27" t="str">
        <f t="shared" si="48"/>
        <v/>
      </c>
      <c r="AY267" s="2">
        <f t="shared" si="49"/>
        <v>0</v>
      </c>
      <c r="AZ267" s="2">
        <f t="shared" si="50"/>
        <v>0</v>
      </c>
      <c r="BA267" s="2">
        <f t="shared" si="51"/>
        <v>0</v>
      </c>
      <c r="BB267" s="2">
        <f t="shared" si="52"/>
        <v>0</v>
      </c>
      <c r="BC267" s="2">
        <f t="shared" si="53"/>
        <v>0</v>
      </c>
      <c r="BD267" s="2">
        <f t="shared" si="54"/>
        <v>0</v>
      </c>
    </row>
    <row r="268" spans="1:56" ht="15" customHeight="1" x14ac:dyDescent="0.45">
      <c r="A268" s="2" t="s">
        <v>329</v>
      </c>
      <c r="B268" s="2" t="s">
        <v>328</v>
      </c>
      <c r="C268" s="2">
        <v>2019</v>
      </c>
      <c r="D268" s="2" t="s">
        <v>49</v>
      </c>
      <c r="E268" s="2" t="s">
        <v>49</v>
      </c>
      <c r="F268" s="2" t="s">
        <v>49</v>
      </c>
      <c r="G268" s="2" t="s">
        <v>49</v>
      </c>
      <c r="H268" s="2" t="s">
        <v>49</v>
      </c>
      <c r="I268" s="2" t="s">
        <v>49</v>
      </c>
      <c r="J268" s="2" t="s">
        <v>49</v>
      </c>
      <c r="K268" s="2" t="s">
        <v>49</v>
      </c>
      <c r="L268" s="2" t="s">
        <v>49</v>
      </c>
      <c r="M268" s="2" t="s">
        <v>49</v>
      </c>
      <c r="N268" s="2" t="s">
        <v>49</v>
      </c>
      <c r="O268" s="2" t="s">
        <v>49</v>
      </c>
      <c r="P268" s="2" t="s">
        <v>49</v>
      </c>
      <c r="Q268" s="2" t="s">
        <v>49</v>
      </c>
      <c r="R268" s="2" t="s">
        <v>49</v>
      </c>
      <c r="S268" s="2" t="s">
        <v>49</v>
      </c>
      <c r="T268" s="2" t="s">
        <v>49</v>
      </c>
      <c r="U268" s="2" t="s">
        <v>49</v>
      </c>
      <c r="V268" s="2" t="s">
        <v>49</v>
      </c>
      <c r="W268" s="2" t="s">
        <v>49</v>
      </c>
      <c r="X268" s="2" t="s">
        <v>49</v>
      </c>
      <c r="Y268" s="2" t="s">
        <v>49</v>
      </c>
      <c r="Z268" s="2" t="s">
        <v>49</v>
      </c>
      <c r="AA268" s="2" t="s">
        <v>49</v>
      </c>
      <c r="AB268" s="2" t="s">
        <v>49</v>
      </c>
      <c r="AC268" s="2" t="s">
        <v>49</v>
      </c>
      <c r="AD268" s="2" t="s">
        <v>49</v>
      </c>
      <c r="AE268" s="2" t="s">
        <v>49</v>
      </c>
      <c r="AF268" s="2" t="s">
        <v>49</v>
      </c>
      <c r="AG268" s="2" t="s">
        <v>49</v>
      </c>
      <c r="AH268" s="2" t="s">
        <v>49</v>
      </c>
      <c r="AI268" s="2" t="s">
        <v>49</v>
      </c>
      <c r="AJ268" s="2" t="s">
        <v>49</v>
      </c>
      <c r="AK268" s="2" t="s">
        <v>49</v>
      </c>
      <c r="AL268" s="2" t="s">
        <v>49</v>
      </c>
      <c r="AM268" s="2" t="s">
        <v>49</v>
      </c>
      <c r="AN268" s="2" t="s">
        <v>49</v>
      </c>
      <c r="AO268" s="2" t="s">
        <v>49</v>
      </c>
      <c r="AQ268" s="2">
        <f t="shared" si="44"/>
        <v>0</v>
      </c>
      <c r="AR268" s="2">
        <f t="shared" si="45"/>
        <v>0</v>
      </c>
      <c r="AT268" s="2">
        <f t="shared" si="46"/>
        <v>0</v>
      </c>
      <c r="AU268" s="2">
        <f t="shared" si="47"/>
        <v>0</v>
      </c>
      <c r="AV268" s="27" t="str">
        <f t="shared" si="48"/>
        <v/>
      </c>
      <c r="AY268" s="2">
        <f t="shared" si="49"/>
        <v>0</v>
      </c>
      <c r="AZ268" s="2">
        <f t="shared" si="50"/>
        <v>0</v>
      </c>
      <c r="BA268" s="2">
        <f t="shared" si="51"/>
        <v>0</v>
      </c>
      <c r="BB268" s="2">
        <f t="shared" si="52"/>
        <v>0</v>
      </c>
      <c r="BC268" s="2">
        <f t="shared" si="53"/>
        <v>0</v>
      </c>
      <c r="BD268" s="2">
        <f t="shared" si="54"/>
        <v>0</v>
      </c>
    </row>
    <row r="269" spans="1:56" ht="15" customHeight="1" x14ac:dyDescent="0.45">
      <c r="A269" s="2" t="s">
        <v>324</v>
      </c>
      <c r="B269" s="2" t="s">
        <v>327</v>
      </c>
      <c r="C269" s="2">
        <v>2019</v>
      </c>
      <c r="D269" s="2" t="s">
        <v>146</v>
      </c>
      <c r="E269" s="2" t="s">
        <v>146</v>
      </c>
      <c r="F269" s="2" t="s">
        <v>146</v>
      </c>
      <c r="G269" s="2" t="s">
        <v>146</v>
      </c>
      <c r="H269" s="2" t="s">
        <v>146</v>
      </c>
      <c r="I269" s="2" t="s">
        <v>146</v>
      </c>
      <c r="J269" s="2" t="s">
        <v>146</v>
      </c>
      <c r="K269" s="2" t="s">
        <v>146</v>
      </c>
      <c r="L269" s="2" t="s">
        <v>146</v>
      </c>
      <c r="M269" s="2" t="s">
        <v>146</v>
      </c>
      <c r="N269" s="2" t="s">
        <v>146</v>
      </c>
      <c r="O269" s="2" t="s">
        <v>146</v>
      </c>
      <c r="P269" s="2" t="s">
        <v>146</v>
      </c>
      <c r="Q269" s="2" t="s">
        <v>146</v>
      </c>
      <c r="R269" s="2" t="s">
        <v>146</v>
      </c>
      <c r="S269" s="2" t="s">
        <v>146</v>
      </c>
      <c r="T269" s="2" t="s">
        <v>146</v>
      </c>
      <c r="U269" s="2" t="s">
        <v>146</v>
      </c>
      <c r="V269" s="2" t="s">
        <v>146</v>
      </c>
      <c r="W269" s="2" t="s">
        <v>146</v>
      </c>
      <c r="X269" s="2" t="s">
        <v>146</v>
      </c>
      <c r="Y269" s="2" t="s">
        <v>146</v>
      </c>
      <c r="Z269" s="2" t="s">
        <v>146</v>
      </c>
      <c r="AA269" s="2" t="s">
        <v>146</v>
      </c>
      <c r="AB269" s="2" t="s">
        <v>146</v>
      </c>
      <c r="AC269" s="2" t="s">
        <v>146</v>
      </c>
      <c r="AD269" s="2" t="s">
        <v>146</v>
      </c>
      <c r="AE269" s="2" t="s">
        <v>146</v>
      </c>
      <c r="AF269" s="2" t="s">
        <v>146</v>
      </c>
      <c r="AG269" s="2" t="s">
        <v>146</v>
      </c>
      <c r="AH269" s="2" t="s">
        <v>155</v>
      </c>
      <c r="AI269" s="2" t="s">
        <v>146</v>
      </c>
      <c r="AJ269" s="2" t="s">
        <v>146</v>
      </c>
      <c r="AK269" s="2" t="s">
        <v>146</v>
      </c>
      <c r="AL269" s="2" t="s">
        <v>146</v>
      </c>
      <c r="AM269" s="2" t="s">
        <v>146</v>
      </c>
      <c r="AN269" s="2" t="s">
        <v>146</v>
      </c>
      <c r="AO269" s="2" t="s">
        <v>146</v>
      </c>
      <c r="AQ269" s="2">
        <f t="shared" si="44"/>
        <v>0</v>
      </c>
      <c r="AR269" s="2">
        <f t="shared" si="45"/>
        <v>0</v>
      </c>
      <c r="AT269" s="2">
        <f t="shared" si="46"/>
        <v>0</v>
      </c>
      <c r="AU269" s="2">
        <f t="shared" si="47"/>
        <v>0</v>
      </c>
      <c r="AV269" s="27" t="str">
        <f t="shared" si="48"/>
        <v/>
      </c>
      <c r="AY269" s="2">
        <f t="shared" si="49"/>
        <v>0</v>
      </c>
      <c r="AZ269" s="2">
        <f t="shared" si="50"/>
        <v>0</v>
      </c>
      <c r="BA269" s="2">
        <f t="shared" si="51"/>
        <v>0</v>
      </c>
      <c r="BB269" s="2">
        <f t="shared" si="52"/>
        <v>0</v>
      </c>
      <c r="BC269" s="2">
        <f t="shared" si="53"/>
        <v>0</v>
      </c>
      <c r="BD269" s="2">
        <f t="shared" si="54"/>
        <v>0</v>
      </c>
    </row>
    <row r="270" spans="1:56" ht="15" customHeight="1" x14ac:dyDescent="0.45">
      <c r="A270" s="2" t="s">
        <v>324</v>
      </c>
      <c r="B270" s="2" t="s">
        <v>326</v>
      </c>
      <c r="C270" s="2">
        <v>2019</v>
      </c>
      <c r="D270" s="2" t="s">
        <v>146</v>
      </c>
      <c r="E270" s="2" t="s">
        <v>146</v>
      </c>
      <c r="F270" s="2" t="s">
        <v>146</v>
      </c>
      <c r="G270" s="2" t="s">
        <v>146</v>
      </c>
      <c r="H270" s="2" t="s">
        <v>146</v>
      </c>
      <c r="I270" s="2" t="s">
        <v>146</v>
      </c>
      <c r="J270" s="2" t="s">
        <v>146</v>
      </c>
      <c r="K270" s="2" t="s">
        <v>146</v>
      </c>
      <c r="L270" s="2" t="s">
        <v>146</v>
      </c>
      <c r="M270" s="2" t="s">
        <v>146</v>
      </c>
      <c r="N270" s="2" t="s">
        <v>146</v>
      </c>
      <c r="O270" s="2" t="s">
        <v>146</v>
      </c>
      <c r="P270" s="2" t="s">
        <v>146</v>
      </c>
      <c r="Q270" s="2" t="s">
        <v>146</v>
      </c>
      <c r="R270" s="2" t="s">
        <v>146</v>
      </c>
      <c r="S270" s="2" t="s">
        <v>146</v>
      </c>
      <c r="T270" s="2" t="s">
        <v>146</v>
      </c>
      <c r="U270" s="2" t="s">
        <v>146</v>
      </c>
      <c r="V270" s="2" t="s">
        <v>146</v>
      </c>
      <c r="W270" s="2" t="s">
        <v>146</v>
      </c>
      <c r="X270" s="2" t="s">
        <v>146</v>
      </c>
      <c r="Y270" s="2" t="s">
        <v>146</v>
      </c>
      <c r="Z270" s="2" t="s">
        <v>146</v>
      </c>
      <c r="AA270" s="2" t="s">
        <v>146</v>
      </c>
      <c r="AB270" s="2" t="s">
        <v>146</v>
      </c>
      <c r="AC270" s="2" t="s">
        <v>146</v>
      </c>
      <c r="AD270" s="2" t="s">
        <v>146</v>
      </c>
      <c r="AE270" s="2" t="s">
        <v>146</v>
      </c>
      <c r="AF270" s="2" t="s">
        <v>146</v>
      </c>
      <c r="AG270" s="2" t="s">
        <v>146</v>
      </c>
      <c r="AH270" s="2" t="s">
        <v>155</v>
      </c>
      <c r="AI270" s="2" t="s">
        <v>146</v>
      </c>
      <c r="AJ270" s="2" t="s">
        <v>146</v>
      </c>
      <c r="AK270" s="2" t="s">
        <v>146</v>
      </c>
      <c r="AL270" s="2" t="s">
        <v>146</v>
      </c>
      <c r="AM270" s="2" t="s">
        <v>146</v>
      </c>
      <c r="AN270" s="2" t="s">
        <v>146</v>
      </c>
      <c r="AO270" s="2" t="s">
        <v>146</v>
      </c>
      <c r="AQ270" s="2">
        <f t="shared" si="44"/>
        <v>0</v>
      </c>
      <c r="AR270" s="2">
        <f t="shared" si="45"/>
        <v>0</v>
      </c>
      <c r="AT270" s="2">
        <f t="shared" si="46"/>
        <v>0</v>
      </c>
      <c r="AU270" s="2">
        <f t="shared" si="47"/>
        <v>0</v>
      </c>
      <c r="AV270" s="27" t="str">
        <f t="shared" si="48"/>
        <v/>
      </c>
      <c r="AY270" s="2">
        <f t="shared" si="49"/>
        <v>0</v>
      </c>
      <c r="AZ270" s="2">
        <f t="shared" si="50"/>
        <v>0</v>
      </c>
      <c r="BA270" s="2">
        <f t="shared" si="51"/>
        <v>0</v>
      </c>
      <c r="BB270" s="2">
        <f t="shared" si="52"/>
        <v>0</v>
      </c>
      <c r="BC270" s="2">
        <f t="shared" si="53"/>
        <v>0</v>
      </c>
      <c r="BD270" s="2">
        <f t="shared" si="54"/>
        <v>0</v>
      </c>
    </row>
    <row r="271" spans="1:56" ht="15" customHeight="1" x14ac:dyDescent="0.45">
      <c r="A271" s="2" t="s">
        <v>324</v>
      </c>
      <c r="B271" s="2" t="s">
        <v>325</v>
      </c>
      <c r="C271" s="2">
        <v>2019</v>
      </c>
      <c r="D271" s="2" t="s">
        <v>146</v>
      </c>
      <c r="E271" s="2" t="s">
        <v>146</v>
      </c>
      <c r="F271" s="2" t="s">
        <v>146</v>
      </c>
      <c r="G271" s="2" t="s">
        <v>146</v>
      </c>
      <c r="H271" s="2" t="s">
        <v>146</v>
      </c>
      <c r="I271" s="2" t="s">
        <v>146</v>
      </c>
      <c r="J271" s="2" t="s">
        <v>146</v>
      </c>
      <c r="K271" s="2" t="s">
        <v>146</v>
      </c>
      <c r="L271" s="2" t="s">
        <v>146</v>
      </c>
      <c r="M271" s="2" t="s">
        <v>146</v>
      </c>
      <c r="N271" s="2" t="s">
        <v>146</v>
      </c>
      <c r="O271" s="2" t="s">
        <v>146</v>
      </c>
      <c r="P271" s="2" t="s">
        <v>146</v>
      </c>
      <c r="Q271" s="2" t="s">
        <v>146</v>
      </c>
      <c r="R271" s="2" t="s">
        <v>146</v>
      </c>
      <c r="S271" s="2" t="s">
        <v>146</v>
      </c>
      <c r="T271" s="2" t="s">
        <v>146</v>
      </c>
      <c r="U271" s="2" t="s">
        <v>146</v>
      </c>
      <c r="V271" s="2" t="s">
        <v>146</v>
      </c>
      <c r="W271" s="2" t="s">
        <v>146</v>
      </c>
      <c r="X271" s="2" t="s">
        <v>146</v>
      </c>
      <c r="Y271" s="2" t="s">
        <v>146</v>
      </c>
      <c r="Z271" s="2" t="s">
        <v>146</v>
      </c>
      <c r="AA271" s="2" t="s">
        <v>146</v>
      </c>
      <c r="AB271" s="2" t="s">
        <v>146</v>
      </c>
      <c r="AC271" s="2" t="s">
        <v>146</v>
      </c>
      <c r="AD271" s="2" t="s">
        <v>146</v>
      </c>
      <c r="AE271" s="2" t="s">
        <v>146</v>
      </c>
      <c r="AF271" s="2" t="s">
        <v>146</v>
      </c>
      <c r="AG271" s="2" t="s">
        <v>146</v>
      </c>
      <c r="AH271" s="2" t="s">
        <v>155</v>
      </c>
      <c r="AI271" s="2" t="s">
        <v>146</v>
      </c>
      <c r="AJ271" s="2" t="s">
        <v>146</v>
      </c>
      <c r="AK271" s="2" t="s">
        <v>146</v>
      </c>
      <c r="AL271" s="2" t="s">
        <v>146</v>
      </c>
      <c r="AM271" s="2" t="s">
        <v>146</v>
      </c>
      <c r="AN271" s="2" t="s">
        <v>146</v>
      </c>
      <c r="AO271" s="2" t="s">
        <v>146</v>
      </c>
      <c r="AQ271" s="2">
        <f t="shared" si="44"/>
        <v>0</v>
      </c>
      <c r="AR271" s="2">
        <f t="shared" si="45"/>
        <v>0</v>
      </c>
      <c r="AT271" s="2">
        <f t="shared" si="46"/>
        <v>0</v>
      </c>
      <c r="AU271" s="2">
        <f t="shared" si="47"/>
        <v>0</v>
      </c>
      <c r="AV271" s="27" t="str">
        <f t="shared" si="48"/>
        <v/>
      </c>
      <c r="AY271" s="2">
        <f t="shared" si="49"/>
        <v>0</v>
      </c>
      <c r="AZ271" s="2">
        <f t="shared" si="50"/>
        <v>0</v>
      </c>
      <c r="BA271" s="2">
        <f t="shared" si="51"/>
        <v>0</v>
      </c>
      <c r="BB271" s="2">
        <f t="shared" si="52"/>
        <v>0</v>
      </c>
      <c r="BC271" s="2">
        <f t="shared" si="53"/>
        <v>0</v>
      </c>
      <c r="BD271" s="2">
        <f t="shared" si="54"/>
        <v>0</v>
      </c>
    </row>
    <row r="272" spans="1:56" ht="15" customHeight="1" x14ac:dyDescent="0.45">
      <c r="A272" s="2" t="s">
        <v>324</v>
      </c>
      <c r="B272" s="2" t="s">
        <v>323</v>
      </c>
      <c r="C272" s="2">
        <v>2019</v>
      </c>
      <c r="D272" s="2" t="s">
        <v>146</v>
      </c>
      <c r="E272" s="2" t="s">
        <v>146</v>
      </c>
      <c r="F272" s="2" t="s">
        <v>146</v>
      </c>
      <c r="G272" s="2" t="s">
        <v>146</v>
      </c>
      <c r="H272" s="2" t="s">
        <v>146</v>
      </c>
      <c r="I272" s="2" t="s">
        <v>146</v>
      </c>
      <c r="J272" s="2" t="s">
        <v>146</v>
      </c>
      <c r="K272" s="2" t="s">
        <v>146</v>
      </c>
      <c r="L272" s="2" t="s">
        <v>146</v>
      </c>
      <c r="M272" s="2" t="s">
        <v>146</v>
      </c>
      <c r="N272" s="2" t="s">
        <v>146</v>
      </c>
      <c r="O272" s="2" t="s">
        <v>146</v>
      </c>
      <c r="P272" s="2" t="s">
        <v>146</v>
      </c>
      <c r="Q272" s="2" t="s">
        <v>146</v>
      </c>
      <c r="R272" s="2" t="s">
        <v>146</v>
      </c>
      <c r="S272" s="2" t="s">
        <v>146</v>
      </c>
      <c r="T272" s="2" t="s">
        <v>146</v>
      </c>
      <c r="U272" s="2" t="s">
        <v>146</v>
      </c>
      <c r="V272" s="2" t="s">
        <v>146</v>
      </c>
      <c r="W272" s="2" t="s">
        <v>146</v>
      </c>
      <c r="X272" s="2" t="s">
        <v>146</v>
      </c>
      <c r="Y272" s="2" t="s">
        <v>146</v>
      </c>
      <c r="Z272" s="2" t="s">
        <v>146</v>
      </c>
      <c r="AA272" s="2" t="s">
        <v>146</v>
      </c>
      <c r="AB272" s="2" t="s">
        <v>146</v>
      </c>
      <c r="AC272" s="2" t="s">
        <v>146</v>
      </c>
      <c r="AD272" s="2" t="s">
        <v>146</v>
      </c>
      <c r="AE272" s="2" t="s">
        <v>146</v>
      </c>
      <c r="AF272" s="2" t="s">
        <v>146</v>
      </c>
      <c r="AG272" s="2" t="s">
        <v>146</v>
      </c>
      <c r="AH272" s="2" t="s">
        <v>155</v>
      </c>
      <c r="AI272" s="2" t="s">
        <v>146</v>
      </c>
      <c r="AJ272" s="2" t="s">
        <v>146</v>
      </c>
      <c r="AK272" s="2" t="s">
        <v>146</v>
      </c>
      <c r="AL272" s="2" t="s">
        <v>146</v>
      </c>
      <c r="AM272" s="2" t="s">
        <v>146</v>
      </c>
      <c r="AN272" s="2" t="s">
        <v>146</v>
      </c>
      <c r="AO272" s="2" t="s">
        <v>146</v>
      </c>
      <c r="AQ272" s="2">
        <f t="shared" si="44"/>
        <v>0</v>
      </c>
      <c r="AR272" s="2">
        <f t="shared" si="45"/>
        <v>0</v>
      </c>
      <c r="AT272" s="2">
        <f t="shared" si="46"/>
        <v>0</v>
      </c>
      <c r="AU272" s="2">
        <f t="shared" si="47"/>
        <v>0</v>
      </c>
      <c r="AV272" s="27" t="str">
        <f t="shared" si="48"/>
        <v/>
      </c>
      <c r="AY272" s="2">
        <f t="shared" si="49"/>
        <v>0</v>
      </c>
      <c r="AZ272" s="2">
        <f t="shared" si="50"/>
        <v>0</v>
      </c>
      <c r="BA272" s="2">
        <f t="shared" si="51"/>
        <v>0</v>
      </c>
      <c r="BB272" s="2">
        <f t="shared" si="52"/>
        <v>0</v>
      </c>
      <c r="BC272" s="2">
        <f t="shared" si="53"/>
        <v>0</v>
      </c>
      <c r="BD272" s="2">
        <f t="shared" si="54"/>
        <v>0</v>
      </c>
    </row>
    <row r="273" spans="1:56" ht="15" customHeight="1" x14ac:dyDescent="0.45">
      <c r="A273" s="2" t="s">
        <v>321</v>
      </c>
      <c r="B273" s="2" t="s">
        <v>322</v>
      </c>
      <c r="C273" s="2">
        <v>2019</v>
      </c>
      <c r="D273" s="2" t="s">
        <v>146</v>
      </c>
      <c r="E273" s="2" t="s">
        <v>146</v>
      </c>
      <c r="F273" s="2" t="s">
        <v>146</v>
      </c>
      <c r="G273" s="2" t="s">
        <v>146</v>
      </c>
      <c r="H273" s="2" t="s">
        <v>146</v>
      </c>
      <c r="I273" s="2" t="s">
        <v>146</v>
      </c>
      <c r="J273" s="2" t="s">
        <v>146</v>
      </c>
      <c r="K273" s="2" t="s">
        <v>146</v>
      </c>
      <c r="L273" s="2" t="s">
        <v>146</v>
      </c>
      <c r="M273" s="2" t="s">
        <v>146</v>
      </c>
      <c r="N273" s="2" t="s">
        <v>146</v>
      </c>
      <c r="O273" s="2" t="s">
        <v>146</v>
      </c>
      <c r="P273" s="2" t="s">
        <v>146</v>
      </c>
      <c r="Q273" s="2" t="s">
        <v>146</v>
      </c>
      <c r="R273" s="2" t="s">
        <v>146</v>
      </c>
      <c r="S273" s="2" t="s">
        <v>146</v>
      </c>
      <c r="T273" s="2" t="s">
        <v>146</v>
      </c>
      <c r="U273" s="2" t="s">
        <v>146</v>
      </c>
      <c r="V273" s="2" t="s">
        <v>146</v>
      </c>
      <c r="W273" s="2" t="s">
        <v>146</v>
      </c>
      <c r="X273" s="2" t="s">
        <v>146</v>
      </c>
      <c r="Y273" s="2" t="s">
        <v>146</v>
      </c>
      <c r="Z273" s="2" t="s">
        <v>146</v>
      </c>
      <c r="AA273" s="2" t="s">
        <v>146</v>
      </c>
      <c r="AB273" s="2" t="s">
        <v>146</v>
      </c>
      <c r="AC273" s="2" t="s">
        <v>146</v>
      </c>
      <c r="AD273" s="2" t="s">
        <v>146</v>
      </c>
      <c r="AE273" s="2" t="s">
        <v>146</v>
      </c>
      <c r="AF273" s="2" t="s">
        <v>146</v>
      </c>
      <c r="AG273" s="2" t="s">
        <v>146</v>
      </c>
      <c r="AH273" s="2" t="s">
        <v>146</v>
      </c>
      <c r="AI273" s="2" t="s">
        <v>146</v>
      </c>
      <c r="AJ273" s="2" t="s">
        <v>146</v>
      </c>
      <c r="AK273" s="2" t="s">
        <v>146</v>
      </c>
      <c r="AL273" s="2" t="s">
        <v>146</v>
      </c>
      <c r="AM273" s="2" t="s">
        <v>146</v>
      </c>
      <c r="AN273" s="2" t="s">
        <v>146</v>
      </c>
      <c r="AO273" s="2" t="s">
        <v>146</v>
      </c>
      <c r="AQ273" s="2">
        <f t="shared" si="44"/>
        <v>0</v>
      </c>
      <c r="AR273" s="2">
        <f t="shared" si="45"/>
        <v>0</v>
      </c>
      <c r="AT273" s="2">
        <f t="shared" si="46"/>
        <v>0</v>
      </c>
      <c r="AU273" s="2">
        <f t="shared" si="47"/>
        <v>0</v>
      </c>
      <c r="AV273" s="27" t="str">
        <f t="shared" si="48"/>
        <v/>
      </c>
      <c r="AY273" s="2">
        <f t="shared" si="49"/>
        <v>0</v>
      </c>
      <c r="AZ273" s="2">
        <f t="shared" si="50"/>
        <v>0</v>
      </c>
      <c r="BA273" s="2">
        <f t="shared" si="51"/>
        <v>0</v>
      </c>
      <c r="BB273" s="2">
        <f t="shared" si="52"/>
        <v>0</v>
      </c>
      <c r="BC273" s="2">
        <f t="shared" si="53"/>
        <v>0</v>
      </c>
      <c r="BD273" s="2">
        <f t="shared" si="54"/>
        <v>0</v>
      </c>
    </row>
    <row r="274" spans="1:56" ht="15" customHeight="1" x14ac:dyDescent="0.45">
      <c r="A274" s="2" t="s">
        <v>321</v>
      </c>
      <c r="B274" s="2" t="s">
        <v>320</v>
      </c>
      <c r="C274" s="2">
        <v>2019</v>
      </c>
      <c r="D274" s="2" t="s">
        <v>146</v>
      </c>
      <c r="E274" s="2" t="s">
        <v>146</v>
      </c>
      <c r="F274" s="2" t="s">
        <v>146</v>
      </c>
      <c r="G274" s="2" t="s">
        <v>146</v>
      </c>
      <c r="H274" s="2" t="s">
        <v>146</v>
      </c>
      <c r="I274" s="2" t="s">
        <v>146</v>
      </c>
      <c r="J274" s="2" t="s">
        <v>146</v>
      </c>
      <c r="K274" s="2" t="s">
        <v>146</v>
      </c>
      <c r="L274" s="2" t="s">
        <v>146</v>
      </c>
      <c r="M274" s="2" t="s">
        <v>146</v>
      </c>
      <c r="N274" s="2" t="s">
        <v>146</v>
      </c>
      <c r="O274" s="2" t="s">
        <v>146</v>
      </c>
      <c r="P274" s="2" t="s">
        <v>146</v>
      </c>
      <c r="Q274" s="2" t="s">
        <v>146</v>
      </c>
      <c r="R274" s="2" t="s">
        <v>146</v>
      </c>
      <c r="S274" s="2" t="s">
        <v>146</v>
      </c>
      <c r="T274" s="2" t="s">
        <v>146</v>
      </c>
      <c r="U274" s="2" t="s">
        <v>146</v>
      </c>
      <c r="V274" s="2" t="s">
        <v>146</v>
      </c>
      <c r="W274" s="2" t="s">
        <v>146</v>
      </c>
      <c r="X274" s="2" t="s">
        <v>146</v>
      </c>
      <c r="Y274" s="2" t="s">
        <v>146</v>
      </c>
      <c r="Z274" s="2" t="s">
        <v>146</v>
      </c>
      <c r="AA274" s="2" t="s">
        <v>146</v>
      </c>
      <c r="AB274" s="2" t="s">
        <v>146</v>
      </c>
      <c r="AC274" s="2" t="s">
        <v>146</v>
      </c>
      <c r="AD274" s="2" t="s">
        <v>146</v>
      </c>
      <c r="AE274" s="2" t="s">
        <v>146</v>
      </c>
      <c r="AF274" s="2" t="s">
        <v>146</v>
      </c>
      <c r="AG274" s="2" t="s">
        <v>146</v>
      </c>
      <c r="AH274" s="2" t="s">
        <v>146</v>
      </c>
      <c r="AI274" s="2" t="s">
        <v>146</v>
      </c>
      <c r="AJ274" s="2" t="s">
        <v>146</v>
      </c>
      <c r="AK274" s="2" t="s">
        <v>146</v>
      </c>
      <c r="AL274" s="2" t="s">
        <v>146</v>
      </c>
      <c r="AM274" s="2" t="s">
        <v>146</v>
      </c>
      <c r="AN274" s="2" t="s">
        <v>146</v>
      </c>
      <c r="AO274" s="2" t="s">
        <v>146</v>
      </c>
      <c r="AQ274" s="2">
        <f t="shared" si="44"/>
        <v>0</v>
      </c>
      <c r="AR274" s="2">
        <f t="shared" si="45"/>
        <v>0</v>
      </c>
      <c r="AT274" s="2">
        <f t="shared" si="46"/>
        <v>0</v>
      </c>
      <c r="AU274" s="2">
        <f t="shared" si="47"/>
        <v>0</v>
      </c>
      <c r="AV274" s="27" t="str">
        <f t="shared" si="48"/>
        <v/>
      </c>
      <c r="AY274" s="2">
        <f t="shared" si="49"/>
        <v>0</v>
      </c>
      <c r="AZ274" s="2">
        <f t="shared" si="50"/>
        <v>0</v>
      </c>
      <c r="BA274" s="2">
        <f t="shared" si="51"/>
        <v>0</v>
      </c>
      <c r="BB274" s="2">
        <f t="shared" si="52"/>
        <v>0</v>
      </c>
      <c r="BC274" s="2">
        <f t="shared" si="53"/>
        <v>0</v>
      </c>
      <c r="BD274" s="2">
        <f t="shared" si="54"/>
        <v>0</v>
      </c>
    </row>
    <row r="275" spans="1:56" ht="15" customHeight="1" x14ac:dyDescent="0.45">
      <c r="A275" s="2" t="s">
        <v>312</v>
      </c>
      <c r="B275" s="2" t="s">
        <v>319</v>
      </c>
      <c r="C275" s="2">
        <v>2019</v>
      </c>
      <c r="D275" s="2" t="s">
        <v>49</v>
      </c>
      <c r="E275" s="2" t="s">
        <v>49</v>
      </c>
      <c r="F275" s="2" t="s">
        <v>49</v>
      </c>
      <c r="G275" s="2" t="s">
        <v>49</v>
      </c>
      <c r="H275" s="2" t="s">
        <v>49</v>
      </c>
      <c r="I275" s="2" t="s">
        <v>49</v>
      </c>
      <c r="J275" s="2" t="s">
        <v>49</v>
      </c>
      <c r="K275" s="2" t="s">
        <v>49</v>
      </c>
      <c r="L275" s="2" t="s">
        <v>49</v>
      </c>
      <c r="M275" s="2" t="s">
        <v>49</v>
      </c>
      <c r="N275" s="2" t="s">
        <v>49</v>
      </c>
      <c r="O275" s="2" t="s">
        <v>49</v>
      </c>
      <c r="P275" s="2" t="s">
        <v>49</v>
      </c>
      <c r="Q275" s="2" t="s">
        <v>49</v>
      </c>
      <c r="R275" s="2" t="s">
        <v>49</v>
      </c>
      <c r="S275" s="2" t="s">
        <v>49</v>
      </c>
      <c r="T275" s="2" t="s">
        <v>49</v>
      </c>
      <c r="U275" s="2" t="s">
        <v>49</v>
      </c>
      <c r="V275" s="2" t="s">
        <v>49</v>
      </c>
      <c r="W275" s="2" t="s">
        <v>49</v>
      </c>
      <c r="X275" s="2" t="s">
        <v>49</v>
      </c>
      <c r="Y275" s="2" t="s">
        <v>49</v>
      </c>
      <c r="Z275" s="2" t="s">
        <v>49</v>
      </c>
      <c r="AA275" s="2" t="s">
        <v>49</v>
      </c>
      <c r="AB275" s="2" t="s">
        <v>49</v>
      </c>
      <c r="AC275" s="2" t="s">
        <v>49</v>
      </c>
      <c r="AD275" s="2" t="s">
        <v>49</v>
      </c>
      <c r="AE275" s="2" t="s">
        <v>49</v>
      </c>
      <c r="AF275" s="2" t="s">
        <v>49</v>
      </c>
      <c r="AG275" s="2" t="s">
        <v>49</v>
      </c>
      <c r="AH275" s="2" t="s">
        <v>49</v>
      </c>
      <c r="AI275" s="2" t="s">
        <v>49</v>
      </c>
      <c r="AJ275" s="2" t="s">
        <v>49</v>
      </c>
      <c r="AK275" s="2" t="s">
        <v>49</v>
      </c>
      <c r="AL275" s="2" t="s">
        <v>49</v>
      </c>
      <c r="AM275" s="2" t="s">
        <v>49</v>
      </c>
      <c r="AN275" s="2" t="s">
        <v>49</v>
      </c>
      <c r="AO275" s="2" t="s">
        <v>49</v>
      </c>
      <c r="AQ275" s="2">
        <f t="shared" si="44"/>
        <v>0</v>
      </c>
      <c r="AR275" s="2">
        <f t="shared" si="45"/>
        <v>0</v>
      </c>
      <c r="AT275" s="2">
        <f t="shared" si="46"/>
        <v>0</v>
      </c>
      <c r="AU275" s="2">
        <f t="shared" si="47"/>
        <v>0</v>
      </c>
      <c r="AV275" s="27" t="str">
        <f t="shared" si="48"/>
        <v/>
      </c>
      <c r="AY275" s="2">
        <f t="shared" si="49"/>
        <v>0</v>
      </c>
      <c r="AZ275" s="2">
        <f t="shared" si="50"/>
        <v>0</v>
      </c>
      <c r="BA275" s="2">
        <f t="shared" si="51"/>
        <v>0</v>
      </c>
      <c r="BB275" s="2">
        <f t="shared" si="52"/>
        <v>0</v>
      </c>
      <c r="BC275" s="2">
        <f t="shared" si="53"/>
        <v>0</v>
      </c>
      <c r="BD275" s="2">
        <f t="shared" si="54"/>
        <v>0</v>
      </c>
    </row>
    <row r="276" spans="1:56" ht="15" customHeight="1" x14ac:dyDescent="0.45">
      <c r="A276" s="2" t="s">
        <v>312</v>
      </c>
      <c r="B276" s="2" t="s">
        <v>318</v>
      </c>
      <c r="C276" s="2">
        <v>2019</v>
      </c>
      <c r="D276" s="2" t="s">
        <v>49</v>
      </c>
      <c r="E276" s="2" t="s">
        <v>49</v>
      </c>
      <c r="F276" s="2" t="s">
        <v>49</v>
      </c>
      <c r="G276" s="2" t="s">
        <v>49</v>
      </c>
      <c r="H276" s="2" t="s">
        <v>49</v>
      </c>
      <c r="I276" s="2" t="s">
        <v>49</v>
      </c>
      <c r="J276" s="2" t="s">
        <v>49</v>
      </c>
      <c r="K276" s="2" t="s">
        <v>49</v>
      </c>
      <c r="L276" s="2" t="s">
        <v>49</v>
      </c>
      <c r="M276" s="2" t="s">
        <v>49</v>
      </c>
      <c r="N276" s="2" t="s">
        <v>49</v>
      </c>
      <c r="O276" s="2" t="s">
        <v>49</v>
      </c>
      <c r="P276" s="2" t="s">
        <v>49</v>
      </c>
      <c r="Q276" s="2" t="s">
        <v>49</v>
      </c>
      <c r="R276" s="2" t="s">
        <v>49</v>
      </c>
      <c r="S276" s="2" t="s">
        <v>49</v>
      </c>
      <c r="T276" s="2" t="s">
        <v>49</v>
      </c>
      <c r="U276" s="2" t="s">
        <v>49</v>
      </c>
      <c r="V276" s="2" t="s">
        <v>49</v>
      </c>
      <c r="W276" s="2" t="s">
        <v>49</v>
      </c>
      <c r="X276" s="2" t="s">
        <v>49</v>
      </c>
      <c r="Y276" s="2" t="s">
        <v>49</v>
      </c>
      <c r="Z276" s="2" t="s">
        <v>49</v>
      </c>
      <c r="AA276" s="2" t="s">
        <v>49</v>
      </c>
      <c r="AB276" s="2" t="s">
        <v>49</v>
      </c>
      <c r="AC276" s="2" t="s">
        <v>49</v>
      </c>
      <c r="AD276" s="2" t="s">
        <v>49</v>
      </c>
      <c r="AE276" s="2" t="s">
        <v>49</v>
      </c>
      <c r="AF276" s="2" t="s">
        <v>49</v>
      </c>
      <c r="AG276" s="2" t="s">
        <v>49</v>
      </c>
      <c r="AH276" s="2" t="s">
        <v>49</v>
      </c>
      <c r="AI276" s="2" t="s">
        <v>49</v>
      </c>
      <c r="AJ276" s="2" t="s">
        <v>49</v>
      </c>
      <c r="AK276" s="2" t="s">
        <v>49</v>
      </c>
      <c r="AL276" s="2" t="s">
        <v>49</v>
      </c>
      <c r="AM276" s="2" t="s">
        <v>49</v>
      </c>
      <c r="AN276" s="2" t="s">
        <v>49</v>
      </c>
      <c r="AO276" s="2" t="s">
        <v>49</v>
      </c>
      <c r="AQ276" s="2">
        <f t="shared" si="44"/>
        <v>0</v>
      </c>
      <c r="AR276" s="2">
        <f t="shared" si="45"/>
        <v>0</v>
      </c>
      <c r="AT276" s="2">
        <f t="shared" si="46"/>
        <v>0</v>
      </c>
      <c r="AU276" s="2">
        <f t="shared" si="47"/>
        <v>0</v>
      </c>
      <c r="AV276" s="27" t="str">
        <f t="shared" si="48"/>
        <v/>
      </c>
      <c r="AY276" s="2">
        <f t="shared" si="49"/>
        <v>0</v>
      </c>
      <c r="AZ276" s="2">
        <f t="shared" si="50"/>
        <v>0</v>
      </c>
      <c r="BA276" s="2">
        <f t="shared" si="51"/>
        <v>0</v>
      </c>
      <c r="BB276" s="2">
        <f t="shared" si="52"/>
        <v>0</v>
      </c>
      <c r="BC276" s="2">
        <f t="shared" si="53"/>
        <v>0</v>
      </c>
      <c r="BD276" s="2">
        <f t="shared" si="54"/>
        <v>0</v>
      </c>
    </row>
    <row r="277" spans="1:56" ht="15" customHeight="1" x14ac:dyDescent="0.45">
      <c r="A277" s="2" t="s">
        <v>312</v>
      </c>
      <c r="B277" s="2" t="s">
        <v>317</v>
      </c>
      <c r="C277" s="2">
        <v>2019</v>
      </c>
      <c r="D277" s="2" t="s">
        <v>49</v>
      </c>
      <c r="E277" s="2" t="s">
        <v>49</v>
      </c>
      <c r="F277" s="2" t="s">
        <v>49</v>
      </c>
      <c r="G277" s="2" t="s">
        <v>49</v>
      </c>
      <c r="H277" s="2" t="s">
        <v>49</v>
      </c>
      <c r="I277" s="2" t="s">
        <v>49</v>
      </c>
      <c r="J277" s="2" t="s">
        <v>49</v>
      </c>
      <c r="K277" s="2" t="s">
        <v>49</v>
      </c>
      <c r="L277" s="2" t="s">
        <v>49</v>
      </c>
      <c r="M277" s="2" t="s">
        <v>49</v>
      </c>
      <c r="N277" s="2" t="s">
        <v>49</v>
      </c>
      <c r="O277" s="2" t="s">
        <v>49</v>
      </c>
      <c r="P277" s="2" t="s">
        <v>49</v>
      </c>
      <c r="Q277" s="2" t="s">
        <v>49</v>
      </c>
      <c r="R277" s="2" t="s">
        <v>49</v>
      </c>
      <c r="S277" s="2" t="s">
        <v>49</v>
      </c>
      <c r="T277" s="2" t="s">
        <v>49</v>
      </c>
      <c r="U277" s="2" t="s">
        <v>49</v>
      </c>
      <c r="V277" s="2" t="s">
        <v>49</v>
      </c>
      <c r="W277" s="2" t="s">
        <v>49</v>
      </c>
      <c r="X277" s="2" t="s">
        <v>49</v>
      </c>
      <c r="Y277" s="2" t="s">
        <v>49</v>
      </c>
      <c r="Z277" s="2" t="s">
        <v>49</v>
      </c>
      <c r="AA277" s="2" t="s">
        <v>49</v>
      </c>
      <c r="AB277" s="2" t="s">
        <v>49</v>
      </c>
      <c r="AC277" s="2" t="s">
        <v>49</v>
      </c>
      <c r="AD277" s="2" t="s">
        <v>49</v>
      </c>
      <c r="AE277" s="2" t="s">
        <v>49</v>
      </c>
      <c r="AF277" s="2" t="s">
        <v>49</v>
      </c>
      <c r="AG277" s="2" t="s">
        <v>49</v>
      </c>
      <c r="AH277" s="2" t="s">
        <v>49</v>
      </c>
      <c r="AI277" s="2" t="s">
        <v>49</v>
      </c>
      <c r="AJ277" s="2" t="s">
        <v>49</v>
      </c>
      <c r="AK277" s="2" t="s">
        <v>49</v>
      </c>
      <c r="AL277" s="2" t="s">
        <v>49</v>
      </c>
      <c r="AM277" s="2" t="s">
        <v>49</v>
      </c>
      <c r="AN277" s="2" t="s">
        <v>49</v>
      </c>
      <c r="AO277" s="2" t="s">
        <v>49</v>
      </c>
      <c r="AQ277" s="2">
        <f t="shared" si="44"/>
        <v>0</v>
      </c>
      <c r="AR277" s="2">
        <f t="shared" si="45"/>
        <v>0</v>
      </c>
      <c r="AT277" s="2">
        <f t="shared" si="46"/>
        <v>0</v>
      </c>
      <c r="AU277" s="2">
        <f t="shared" si="47"/>
        <v>0</v>
      </c>
      <c r="AV277" s="27" t="str">
        <f t="shared" si="48"/>
        <v/>
      </c>
      <c r="AY277" s="2">
        <f t="shared" si="49"/>
        <v>0</v>
      </c>
      <c r="AZ277" s="2">
        <f t="shared" si="50"/>
        <v>0</v>
      </c>
      <c r="BA277" s="2">
        <f t="shared" si="51"/>
        <v>0</v>
      </c>
      <c r="BB277" s="2">
        <f t="shared" si="52"/>
        <v>0</v>
      </c>
      <c r="BC277" s="2">
        <f t="shared" si="53"/>
        <v>0</v>
      </c>
      <c r="BD277" s="2">
        <f t="shared" si="54"/>
        <v>0</v>
      </c>
    </row>
    <row r="278" spans="1:56" ht="15" customHeight="1" x14ac:dyDescent="0.45">
      <c r="A278" s="2" t="s">
        <v>312</v>
      </c>
      <c r="B278" s="2" t="s">
        <v>112</v>
      </c>
      <c r="C278" s="2">
        <v>2019</v>
      </c>
      <c r="D278" s="2">
        <v>3319.482</v>
      </c>
      <c r="E278" s="2">
        <v>1567.0039999999999</v>
      </c>
      <c r="F278" s="2">
        <v>0.89500000000000002</v>
      </c>
      <c r="G278" s="2" t="s">
        <v>727</v>
      </c>
      <c r="H278" s="2">
        <v>2.13</v>
      </c>
      <c r="I278" s="2">
        <v>6966.759</v>
      </c>
      <c r="J278" s="2">
        <v>803.58699999999999</v>
      </c>
      <c r="K278" s="2">
        <v>175.208</v>
      </c>
      <c r="L278" s="2">
        <v>0</v>
      </c>
      <c r="M278" s="2">
        <v>37.478999999999999</v>
      </c>
      <c r="N278" s="2">
        <v>0</v>
      </c>
      <c r="O278" s="2">
        <v>0</v>
      </c>
      <c r="P278" s="2">
        <v>0</v>
      </c>
      <c r="Q278" s="2">
        <v>2618.5659999999998</v>
      </c>
      <c r="R278" s="2">
        <v>0</v>
      </c>
      <c r="S278" s="2">
        <v>0</v>
      </c>
      <c r="T278" s="2">
        <v>0</v>
      </c>
      <c r="U278" s="2">
        <v>0</v>
      </c>
      <c r="V278" s="2">
        <v>21.248999999999999</v>
      </c>
      <c r="W278" s="2" t="s">
        <v>146</v>
      </c>
      <c r="X278" s="2">
        <v>356.11700000000002</v>
      </c>
      <c r="Y278" s="2">
        <v>0</v>
      </c>
      <c r="Z278" s="2">
        <v>0</v>
      </c>
      <c r="AA278" s="2">
        <v>0</v>
      </c>
      <c r="AB278" s="2">
        <v>0</v>
      </c>
      <c r="AC278" s="2">
        <v>24.373000000000001</v>
      </c>
      <c r="AD278" s="2">
        <v>0</v>
      </c>
      <c r="AE278" s="2">
        <v>0</v>
      </c>
      <c r="AF278" s="2">
        <v>1850.981</v>
      </c>
      <c r="AG278" s="2" t="s">
        <v>146</v>
      </c>
      <c r="AH278" s="2" t="s">
        <v>160</v>
      </c>
      <c r="AI278" s="2">
        <v>37</v>
      </c>
      <c r="AJ278" s="2">
        <v>0</v>
      </c>
      <c r="AK278" s="2">
        <v>1079.1990000000001</v>
      </c>
      <c r="AL278" s="2">
        <v>53.96</v>
      </c>
      <c r="AM278" s="2">
        <v>37.15</v>
      </c>
      <c r="AN278" s="2">
        <v>8.89</v>
      </c>
      <c r="AO278" s="2">
        <v>0</v>
      </c>
      <c r="AQ278" s="2">
        <f t="shared" si="44"/>
        <v>5887.5599999999995</v>
      </c>
      <c r="AR278" s="2">
        <f t="shared" si="45"/>
        <v>6966.759</v>
      </c>
      <c r="AT278" s="2">
        <f t="shared" si="46"/>
        <v>3319.482</v>
      </c>
      <c r="AU278" s="2">
        <f t="shared" si="47"/>
        <v>1567.0039999999999</v>
      </c>
      <c r="AV278" s="27">
        <f t="shared" si="48"/>
        <v>0.70140017761487083</v>
      </c>
      <c r="AY278" s="2">
        <f t="shared" si="49"/>
        <v>1079.1990000000001</v>
      </c>
      <c r="AZ278" s="2">
        <f t="shared" si="50"/>
        <v>582.33578039999998</v>
      </c>
      <c r="BA278" s="2">
        <f t="shared" si="51"/>
        <v>400.92242850000002</v>
      </c>
      <c r="BB278" s="2">
        <f t="shared" si="52"/>
        <v>95.940791100000013</v>
      </c>
      <c r="BC278" s="2">
        <f t="shared" si="53"/>
        <v>0</v>
      </c>
      <c r="BD278" s="2">
        <f t="shared" si="54"/>
        <v>0</v>
      </c>
    </row>
    <row r="279" spans="1:56" ht="15" customHeight="1" x14ac:dyDescent="0.45">
      <c r="A279" s="2" t="s">
        <v>312</v>
      </c>
      <c r="B279" s="2" t="s">
        <v>316</v>
      </c>
      <c r="C279" s="2">
        <v>2019</v>
      </c>
      <c r="D279" s="2" t="s">
        <v>49</v>
      </c>
      <c r="E279" s="2" t="s">
        <v>49</v>
      </c>
      <c r="F279" s="2" t="s">
        <v>49</v>
      </c>
      <c r="G279" s="2" t="s">
        <v>49</v>
      </c>
      <c r="H279" s="2" t="s">
        <v>49</v>
      </c>
      <c r="I279" s="2" t="s">
        <v>49</v>
      </c>
      <c r="J279" s="2" t="s">
        <v>49</v>
      </c>
      <c r="K279" s="2" t="s">
        <v>49</v>
      </c>
      <c r="L279" s="2" t="s">
        <v>49</v>
      </c>
      <c r="M279" s="2" t="s">
        <v>49</v>
      </c>
      <c r="N279" s="2" t="s">
        <v>49</v>
      </c>
      <c r="O279" s="2" t="s">
        <v>49</v>
      </c>
      <c r="P279" s="2" t="s">
        <v>49</v>
      </c>
      <c r="Q279" s="2" t="s">
        <v>49</v>
      </c>
      <c r="R279" s="2" t="s">
        <v>49</v>
      </c>
      <c r="S279" s="2" t="s">
        <v>49</v>
      </c>
      <c r="T279" s="2" t="s">
        <v>49</v>
      </c>
      <c r="U279" s="2" t="s">
        <v>49</v>
      </c>
      <c r="V279" s="2" t="s">
        <v>49</v>
      </c>
      <c r="W279" s="2" t="s">
        <v>49</v>
      </c>
      <c r="X279" s="2" t="s">
        <v>49</v>
      </c>
      <c r="Y279" s="2" t="s">
        <v>49</v>
      </c>
      <c r="Z279" s="2" t="s">
        <v>49</v>
      </c>
      <c r="AA279" s="2" t="s">
        <v>49</v>
      </c>
      <c r="AB279" s="2" t="s">
        <v>49</v>
      </c>
      <c r="AC279" s="2" t="s">
        <v>49</v>
      </c>
      <c r="AD279" s="2" t="s">
        <v>49</v>
      </c>
      <c r="AE279" s="2" t="s">
        <v>49</v>
      </c>
      <c r="AF279" s="2" t="s">
        <v>49</v>
      </c>
      <c r="AG279" s="2" t="s">
        <v>49</v>
      </c>
      <c r="AH279" s="2" t="s">
        <v>49</v>
      </c>
      <c r="AI279" s="2" t="s">
        <v>49</v>
      </c>
      <c r="AJ279" s="2" t="s">
        <v>49</v>
      </c>
      <c r="AK279" s="2" t="s">
        <v>49</v>
      </c>
      <c r="AL279" s="2" t="s">
        <v>49</v>
      </c>
      <c r="AM279" s="2" t="s">
        <v>49</v>
      </c>
      <c r="AN279" s="2" t="s">
        <v>49</v>
      </c>
      <c r="AO279" s="2" t="s">
        <v>49</v>
      </c>
      <c r="AQ279" s="2">
        <f t="shared" si="44"/>
        <v>0</v>
      </c>
      <c r="AR279" s="2">
        <f t="shared" si="45"/>
        <v>0</v>
      </c>
      <c r="AT279" s="2">
        <f t="shared" si="46"/>
        <v>0</v>
      </c>
      <c r="AU279" s="2">
        <f t="shared" si="47"/>
        <v>0</v>
      </c>
      <c r="AV279" s="27" t="str">
        <f t="shared" si="48"/>
        <v/>
      </c>
      <c r="AY279" s="2">
        <f t="shared" si="49"/>
        <v>0</v>
      </c>
      <c r="AZ279" s="2">
        <f t="shared" si="50"/>
        <v>0</v>
      </c>
      <c r="BA279" s="2">
        <f t="shared" si="51"/>
        <v>0</v>
      </c>
      <c r="BB279" s="2">
        <f t="shared" si="52"/>
        <v>0</v>
      </c>
      <c r="BC279" s="2">
        <f t="shared" si="53"/>
        <v>0</v>
      </c>
      <c r="BD279" s="2">
        <f t="shared" si="54"/>
        <v>0</v>
      </c>
    </row>
    <row r="280" spans="1:56" ht="15" customHeight="1" x14ac:dyDescent="0.45">
      <c r="A280" s="2" t="s">
        <v>312</v>
      </c>
      <c r="B280" s="2" t="s">
        <v>315</v>
      </c>
      <c r="C280" s="2">
        <v>2019</v>
      </c>
      <c r="D280" s="2" t="s">
        <v>49</v>
      </c>
      <c r="E280" s="2" t="s">
        <v>49</v>
      </c>
      <c r="F280" s="2" t="s">
        <v>49</v>
      </c>
      <c r="G280" s="2" t="s">
        <v>49</v>
      </c>
      <c r="H280" s="2" t="s">
        <v>49</v>
      </c>
      <c r="I280" s="2" t="s">
        <v>49</v>
      </c>
      <c r="J280" s="2" t="s">
        <v>49</v>
      </c>
      <c r="K280" s="2" t="s">
        <v>49</v>
      </c>
      <c r="L280" s="2" t="s">
        <v>49</v>
      </c>
      <c r="M280" s="2" t="s">
        <v>49</v>
      </c>
      <c r="N280" s="2" t="s">
        <v>49</v>
      </c>
      <c r="O280" s="2" t="s">
        <v>49</v>
      </c>
      <c r="P280" s="2" t="s">
        <v>49</v>
      </c>
      <c r="Q280" s="2" t="s">
        <v>49</v>
      </c>
      <c r="R280" s="2" t="s">
        <v>49</v>
      </c>
      <c r="S280" s="2" t="s">
        <v>49</v>
      </c>
      <c r="T280" s="2" t="s">
        <v>49</v>
      </c>
      <c r="U280" s="2" t="s">
        <v>49</v>
      </c>
      <c r="V280" s="2" t="s">
        <v>49</v>
      </c>
      <c r="W280" s="2" t="s">
        <v>49</v>
      </c>
      <c r="X280" s="2" t="s">
        <v>49</v>
      </c>
      <c r="Y280" s="2" t="s">
        <v>49</v>
      </c>
      <c r="Z280" s="2" t="s">
        <v>49</v>
      </c>
      <c r="AA280" s="2" t="s">
        <v>49</v>
      </c>
      <c r="AB280" s="2" t="s">
        <v>49</v>
      </c>
      <c r="AC280" s="2" t="s">
        <v>49</v>
      </c>
      <c r="AD280" s="2" t="s">
        <v>49</v>
      </c>
      <c r="AE280" s="2" t="s">
        <v>49</v>
      </c>
      <c r="AF280" s="2" t="s">
        <v>49</v>
      </c>
      <c r="AG280" s="2" t="s">
        <v>49</v>
      </c>
      <c r="AH280" s="2" t="s">
        <v>49</v>
      </c>
      <c r="AI280" s="2" t="s">
        <v>49</v>
      </c>
      <c r="AJ280" s="2" t="s">
        <v>49</v>
      </c>
      <c r="AK280" s="2" t="s">
        <v>49</v>
      </c>
      <c r="AL280" s="2" t="s">
        <v>49</v>
      </c>
      <c r="AM280" s="2" t="s">
        <v>49</v>
      </c>
      <c r="AN280" s="2" t="s">
        <v>49</v>
      </c>
      <c r="AO280" s="2" t="s">
        <v>49</v>
      </c>
      <c r="AQ280" s="2">
        <f t="shared" si="44"/>
        <v>0</v>
      </c>
      <c r="AR280" s="2">
        <f t="shared" si="45"/>
        <v>0</v>
      </c>
      <c r="AT280" s="2">
        <f t="shared" si="46"/>
        <v>0</v>
      </c>
      <c r="AU280" s="2">
        <f t="shared" si="47"/>
        <v>0</v>
      </c>
      <c r="AV280" s="27" t="str">
        <f t="shared" si="48"/>
        <v/>
      </c>
      <c r="AY280" s="2">
        <f t="shared" si="49"/>
        <v>0</v>
      </c>
      <c r="AZ280" s="2">
        <f t="shared" si="50"/>
        <v>0</v>
      </c>
      <c r="BA280" s="2">
        <f t="shared" si="51"/>
        <v>0</v>
      </c>
      <c r="BB280" s="2">
        <f t="shared" si="52"/>
        <v>0</v>
      </c>
      <c r="BC280" s="2">
        <f t="shared" si="53"/>
        <v>0</v>
      </c>
      <c r="BD280" s="2">
        <f t="shared" si="54"/>
        <v>0</v>
      </c>
    </row>
    <row r="281" spans="1:56" ht="15" customHeight="1" x14ac:dyDescent="0.45">
      <c r="A281" s="2" t="s">
        <v>312</v>
      </c>
      <c r="B281" s="2" t="s">
        <v>314</v>
      </c>
      <c r="C281" s="2">
        <v>2019</v>
      </c>
      <c r="D281" s="2" t="s">
        <v>49</v>
      </c>
      <c r="E281" s="2" t="s">
        <v>49</v>
      </c>
      <c r="F281" s="2" t="s">
        <v>49</v>
      </c>
      <c r="G281" s="2" t="s">
        <v>49</v>
      </c>
      <c r="H281" s="2" t="s">
        <v>49</v>
      </c>
      <c r="I281" s="2" t="s">
        <v>49</v>
      </c>
      <c r="J281" s="2" t="s">
        <v>49</v>
      </c>
      <c r="K281" s="2" t="s">
        <v>49</v>
      </c>
      <c r="L281" s="2" t="s">
        <v>49</v>
      </c>
      <c r="M281" s="2" t="s">
        <v>49</v>
      </c>
      <c r="N281" s="2" t="s">
        <v>49</v>
      </c>
      <c r="O281" s="2" t="s">
        <v>49</v>
      </c>
      <c r="P281" s="2" t="s">
        <v>49</v>
      </c>
      <c r="Q281" s="2" t="s">
        <v>49</v>
      </c>
      <c r="R281" s="2" t="s">
        <v>49</v>
      </c>
      <c r="S281" s="2" t="s">
        <v>49</v>
      </c>
      <c r="T281" s="2" t="s">
        <v>49</v>
      </c>
      <c r="U281" s="2" t="s">
        <v>49</v>
      </c>
      <c r="V281" s="2" t="s">
        <v>49</v>
      </c>
      <c r="W281" s="2" t="s">
        <v>49</v>
      </c>
      <c r="X281" s="2" t="s">
        <v>49</v>
      </c>
      <c r="Y281" s="2" t="s">
        <v>49</v>
      </c>
      <c r="Z281" s="2" t="s">
        <v>49</v>
      </c>
      <c r="AA281" s="2" t="s">
        <v>49</v>
      </c>
      <c r="AB281" s="2" t="s">
        <v>49</v>
      </c>
      <c r="AC281" s="2" t="s">
        <v>49</v>
      </c>
      <c r="AD281" s="2" t="s">
        <v>49</v>
      </c>
      <c r="AE281" s="2" t="s">
        <v>49</v>
      </c>
      <c r="AF281" s="2" t="s">
        <v>49</v>
      </c>
      <c r="AG281" s="2" t="s">
        <v>49</v>
      </c>
      <c r="AH281" s="2" t="s">
        <v>49</v>
      </c>
      <c r="AI281" s="2" t="s">
        <v>49</v>
      </c>
      <c r="AJ281" s="2" t="s">
        <v>49</v>
      </c>
      <c r="AK281" s="2" t="s">
        <v>49</v>
      </c>
      <c r="AL281" s="2" t="s">
        <v>49</v>
      </c>
      <c r="AM281" s="2" t="s">
        <v>49</v>
      </c>
      <c r="AN281" s="2" t="s">
        <v>49</v>
      </c>
      <c r="AO281" s="2" t="s">
        <v>49</v>
      </c>
      <c r="AQ281" s="2">
        <f t="shared" si="44"/>
        <v>0</v>
      </c>
      <c r="AR281" s="2">
        <f t="shared" si="45"/>
        <v>0</v>
      </c>
      <c r="AT281" s="2">
        <f t="shared" si="46"/>
        <v>0</v>
      </c>
      <c r="AU281" s="2">
        <f t="shared" si="47"/>
        <v>0</v>
      </c>
      <c r="AV281" s="27" t="str">
        <f t="shared" si="48"/>
        <v/>
      </c>
      <c r="AY281" s="2">
        <f t="shared" si="49"/>
        <v>0</v>
      </c>
      <c r="AZ281" s="2">
        <f t="shared" si="50"/>
        <v>0</v>
      </c>
      <c r="BA281" s="2">
        <f t="shared" si="51"/>
        <v>0</v>
      </c>
      <c r="BB281" s="2">
        <f t="shared" si="52"/>
        <v>0</v>
      </c>
      <c r="BC281" s="2">
        <f t="shared" si="53"/>
        <v>0</v>
      </c>
      <c r="BD281" s="2">
        <f t="shared" si="54"/>
        <v>0</v>
      </c>
    </row>
    <row r="282" spans="1:56" ht="15" customHeight="1" x14ac:dyDescent="0.45">
      <c r="A282" s="2" t="s">
        <v>312</v>
      </c>
      <c r="B282" s="2" t="s">
        <v>313</v>
      </c>
      <c r="C282" s="2">
        <v>2019</v>
      </c>
      <c r="D282" s="2" t="s">
        <v>146</v>
      </c>
      <c r="E282" s="2" t="s">
        <v>146</v>
      </c>
      <c r="F282" s="2" t="s">
        <v>146</v>
      </c>
      <c r="G282" s="2" t="s">
        <v>146</v>
      </c>
      <c r="H282" s="2" t="s">
        <v>146</v>
      </c>
      <c r="I282" s="2" t="s">
        <v>146</v>
      </c>
      <c r="J282" s="2" t="s">
        <v>146</v>
      </c>
      <c r="K282" s="2" t="s">
        <v>146</v>
      </c>
      <c r="L282" s="2" t="s">
        <v>146</v>
      </c>
      <c r="M282" s="2" t="s">
        <v>146</v>
      </c>
      <c r="N282" s="2" t="s">
        <v>146</v>
      </c>
      <c r="O282" s="2" t="s">
        <v>146</v>
      </c>
      <c r="P282" s="2" t="s">
        <v>146</v>
      </c>
      <c r="Q282" s="2" t="s">
        <v>146</v>
      </c>
      <c r="R282" s="2" t="s">
        <v>146</v>
      </c>
      <c r="S282" s="2" t="s">
        <v>146</v>
      </c>
      <c r="T282" s="2" t="s">
        <v>146</v>
      </c>
      <c r="U282" s="2" t="s">
        <v>146</v>
      </c>
      <c r="V282" s="2" t="s">
        <v>146</v>
      </c>
      <c r="W282" s="2" t="s">
        <v>146</v>
      </c>
      <c r="X282" s="2" t="s">
        <v>146</v>
      </c>
      <c r="Y282" s="2" t="s">
        <v>146</v>
      </c>
      <c r="Z282" s="2" t="s">
        <v>146</v>
      </c>
      <c r="AA282" s="2" t="s">
        <v>146</v>
      </c>
      <c r="AB282" s="2" t="s">
        <v>146</v>
      </c>
      <c r="AC282" s="2" t="s">
        <v>146</v>
      </c>
      <c r="AD282" s="2" t="s">
        <v>146</v>
      </c>
      <c r="AE282" s="2" t="s">
        <v>146</v>
      </c>
      <c r="AF282" s="2" t="s">
        <v>146</v>
      </c>
      <c r="AG282" s="2" t="s">
        <v>146</v>
      </c>
      <c r="AH282" s="2" t="s">
        <v>146</v>
      </c>
      <c r="AI282" s="2" t="s">
        <v>146</v>
      </c>
      <c r="AJ282" s="2" t="s">
        <v>146</v>
      </c>
      <c r="AK282" s="2" t="s">
        <v>146</v>
      </c>
      <c r="AL282" s="2" t="s">
        <v>146</v>
      </c>
      <c r="AM282" s="2" t="s">
        <v>146</v>
      </c>
      <c r="AN282" s="2" t="s">
        <v>146</v>
      </c>
      <c r="AO282" s="2" t="s">
        <v>146</v>
      </c>
      <c r="AQ282" s="2">
        <f t="shared" si="44"/>
        <v>0</v>
      </c>
      <c r="AR282" s="2">
        <f t="shared" si="45"/>
        <v>0</v>
      </c>
      <c r="AT282" s="2">
        <f t="shared" si="46"/>
        <v>0</v>
      </c>
      <c r="AU282" s="2">
        <f t="shared" si="47"/>
        <v>0</v>
      </c>
      <c r="AV282" s="27" t="str">
        <f t="shared" si="48"/>
        <v/>
      </c>
      <c r="AY282" s="2">
        <f t="shared" si="49"/>
        <v>0</v>
      </c>
      <c r="AZ282" s="2">
        <f t="shared" si="50"/>
        <v>0</v>
      </c>
      <c r="BA282" s="2">
        <f t="shared" si="51"/>
        <v>0</v>
      </c>
      <c r="BB282" s="2">
        <f t="shared" si="52"/>
        <v>0</v>
      </c>
      <c r="BC282" s="2">
        <f t="shared" si="53"/>
        <v>0</v>
      </c>
      <c r="BD282" s="2">
        <f t="shared" si="54"/>
        <v>0</v>
      </c>
    </row>
    <row r="283" spans="1:56" ht="15" customHeight="1" x14ac:dyDescent="0.45">
      <c r="A283" s="2" t="s">
        <v>312</v>
      </c>
      <c r="B283" s="2" t="s">
        <v>311</v>
      </c>
      <c r="C283" s="2">
        <v>2019</v>
      </c>
      <c r="D283" s="2" t="s">
        <v>49</v>
      </c>
      <c r="E283" s="2" t="s">
        <v>49</v>
      </c>
      <c r="F283" s="2" t="s">
        <v>49</v>
      </c>
      <c r="G283" s="2" t="s">
        <v>49</v>
      </c>
      <c r="H283" s="2" t="s">
        <v>49</v>
      </c>
      <c r="I283" s="2" t="s">
        <v>49</v>
      </c>
      <c r="J283" s="2" t="s">
        <v>49</v>
      </c>
      <c r="K283" s="2" t="s">
        <v>49</v>
      </c>
      <c r="L283" s="2" t="s">
        <v>49</v>
      </c>
      <c r="M283" s="2" t="s">
        <v>49</v>
      </c>
      <c r="N283" s="2" t="s">
        <v>49</v>
      </c>
      <c r="O283" s="2" t="s">
        <v>49</v>
      </c>
      <c r="P283" s="2" t="s">
        <v>49</v>
      </c>
      <c r="Q283" s="2" t="s">
        <v>49</v>
      </c>
      <c r="R283" s="2" t="s">
        <v>49</v>
      </c>
      <c r="S283" s="2" t="s">
        <v>49</v>
      </c>
      <c r="T283" s="2" t="s">
        <v>49</v>
      </c>
      <c r="U283" s="2" t="s">
        <v>49</v>
      </c>
      <c r="V283" s="2" t="s">
        <v>49</v>
      </c>
      <c r="W283" s="2" t="s">
        <v>49</v>
      </c>
      <c r="X283" s="2" t="s">
        <v>49</v>
      </c>
      <c r="Y283" s="2" t="s">
        <v>49</v>
      </c>
      <c r="Z283" s="2" t="s">
        <v>49</v>
      </c>
      <c r="AA283" s="2" t="s">
        <v>49</v>
      </c>
      <c r="AB283" s="2" t="s">
        <v>49</v>
      </c>
      <c r="AC283" s="2" t="s">
        <v>49</v>
      </c>
      <c r="AD283" s="2" t="s">
        <v>49</v>
      </c>
      <c r="AE283" s="2" t="s">
        <v>49</v>
      </c>
      <c r="AF283" s="2" t="s">
        <v>49</v>
      </c>
      <c r="AG283" s="2" t="s">
        <v>49</v>
      </c>
      <c r="AH283" s="2" t="s">
        <v>49</v>
      </c>
      <c r="AI283" s="2" t="s">
        <v>49</v>
      </c>
      <c r="AJ283" s="2" t="s">
        <v>49</v>
      </c>
      <c r="AK283" s="2" t="s">
        <v>49</v>
      </c>
      <c r="AL283" s="2" t="s">
        <v>49</v>
      </c>
      <c r="AM283" s="2" t="s">
        <v>49</v>
      </c>
      <c r="AN283" s="2" t="s">
        <v>49</v>
      </c>
      <c r="AO283" s="2" t="s">
        <v>49</v>
      </c>
      <c r="AQ283" s="2">
        <f t="shared" si="44"/>
        <v>0</v>
      </c>
      <c r="AR283" s="2">
        <f t="shared" si="45"/>
        <v>0</v>
      </c>
      <c r="AT283" s="2">
        <f t="shared" si="46"/>
        <v>0</v>
      </c>
      <c r="AU283" s="2">
        <f t="shared" si="47"/>
        <v>0</v>
      </c>
      <c r="AV283" s="27" t="str">
        <f t="shared" si="48"/>
        <v/>
      </c>
      <c r="AY283" s="2">
        <f t="shared" si="49"/>
        <v>0</v>
      </c>
      <c r="AZ283" s="2">
        <f t="shared" si="50"/>
        <v>0</v>
      </c>
      <c r="BA283" s="2">
        <f t="shared" si="51"/>
        <v>0</v>
      </c>
      <c r="BB283" s="2">
        <f t="shared" si="52"/>
        <v>0</v>
      </c>
      <c r="BC283" s="2">
        <f t="shared" si="53"/>
        <v>0</v>
      </c>
      <c r="BD283" s="2">
        <f t="shared" si="54"/>
        <v>0</v>
      </c>
    </row>
    <row r="284" spans="1:56" ht="15" customHeight="1" x14ac:dyDescent="0.45">
      <c r="A284" s="2" t="s">
        <v>305</v>
      </c>
      <c r="B284" s="2" t="s">
        <v>310</v>
      </c>
      <c r="C284" s="2">
        <v>2019</v>
      </c>
      <c r="D284" s="2" t="s">
        <v>146</v>
      </c>
      <c r="E284" s="2" t="s">
        <v>146</v>
      </c>
      <c r="F284" s="2" t="s">
        <v>146</v>
      </c>
      <c r="G284" s="2" t="s">
        <v>146</v>
      </c>
      <c r="H284" s="2" t="s">
        <v>146</v>
      </c>
      <c r="I284" s="2" t="s">
        <v>146</v>
      </c>
      <c r="J284" s="2" t="s">
        <v>146</v>
      </c>
      <c r="K284" s="2" t="s">
        <v>146</v>
      </c>
      <c r="L284" s="2" t="s">
        <v>146</v>
      </c>
      <c r="M284" s="2" t="s">
        <v>146</v>
      </c>
      <c r="N284" s="2" t="s">
        <v>146</v>
      </c>
      <c r="O284" s="2" t="s">
        <v>146</v>
      </c>
      <c r="P284" s="2" t="s">
        <v>146</v>
      </c>
      <c r="Q284" s="2" t="s">
        <v>146</v>
      </c>
      <c r="R284" s="2" t="s">
        <v>146</v>
      </c>
      <c r="S284" s="2" t="s">
        <v>146</v>
      </c>
      <c r="T284" s="2" t="s">
        <v>146</v>
      </c>
      <c r="U284" s="2" t="s">
        <v>146</v>
      </c>
      <c r="V284" s="2" t="s">
        <v>146</v>
      </c>
      <c r="W284" s="2" t="s">
        <v>146</v>
      </c>
      <c r="X284" s="2" t="s">
        <v>146</v>
      </c>
      <c r="Y284" s="2" t="s">
        <v>146</v>
      </c>
      <c r="Z284" s="2" t="s">
        <v>146</v>
      </c>
      <c r="AA284" s="2" t="s">
        <v>146</v>
      </c>
      <c r="AB284" s="2" t="s">
        <v>146</v>
      </c>
      <c r="AC284" s="2" t="s">
        <v>146</v>
      </c>
      <c r="AD284" s="2" t="s">
        <v>146</v>
      </c>
      <c r="AE284" s="2" t="s">
        <v>146</v>
      </c>
      <c r="AF284" s="2" t="s">
        <v>146</v>
      </c>
      <c r="AG284" s="2" t="s">
        <v>146</v>
      </c>
      <c r="AH284" s="2" t="s">
        <v>155</v>
      </c>
      <c r="AI284" s="2" t="s">
        <v>146</v>
      </c>
      <c r="AJ284" s="2" t="s">
        <v>146</v>
      </c>
      <c r="AK284" s="2" t="s">
        <v>146</v>
      </c>
      <c r="AL284" s="2" t="s">
        <v>146</v>
      </c>
      <c r="AM284" s="2" t="s">
        <v>146</v>
      </c>
      <c r="AN284" s="2" t="s">
        <v>146</v>
      </c>
      <c r="AO284" s="2" t="s">
        <v>146</v>
      </c>
      <c r="AQ284" s="2">
        <f t="shared" si="44"/>
        <v>0</v>
      </c>
      <c r="AR284" s="2">
        <f t="shared" si="45"/>
        <v>0</v>
      </c>
      <c r="AT284" s="2">
        <f t="shared" si="46"/>
        <v>0</v>
      </c>
      <c r="AU284" s="2">
        <f t="shared" si="47"/>
        <v>0</v>
      </c>
      <c r="AV284" s="27" t="str">
        <f t="shared" si="48"/>
        <v/>
      </c>
      <c r="AY284" s="2">
        <f t="shared" si="49"/>
        <v>0</v>
      </c>
      <c r="AZ284" s="2">
        <f t="shared" si="50"/>
        <v>0</v>
      </c>
      <c r="BA284" s="2">
        <f t="shared" si="51"/>
        <v>0</v>
      </c>
      <c r="BB284" s="2">
        <f t="shared" si="52"/>
        <v>0</v>
      </c>
      <c r="BC284" s="2">
        <f t="shared" si="53"/>
        <v>0</v>
      </c>
      <c r="BD284" s="2">
        <f t="shared" si="54"/>
        <v>0</v>
      </c>
    </row>
    <row r="285" spans="1:56" ht="15" customHeight="1" x14ac:dyDescent="0.45">
      <c r="A285" s="2" t="s">
        <v>305</v>
      </c>
      <c r="B285" s="2" t="s">
        <v>309</v>
      </c>
      <c r="C285" s="2">
        <v>2019</v>
      </c>
      <c r="D285" s="2" t="s">
        <v>146</v>
      </c>
      <c r="E285" s="2" t="s">
        <v>146</v>
      </c>
      <c r="F285" s="2" t="s">
        <v>146</v>
      </c>
      <c r="G285" s="2" t="s">
        <v>146</v>
      </c>
      <c r="H285" s="2" t="s">
        <v>146</v>
      </c>
      <c r="I285" s="2" t="s">
        <v>146</v>
      </c>
      <c r="J285" s="2" t="s">
        <v>146</v>
      </c>
      <c r="K285" s="2" t="s">
        <v>146</v>
      </c>
      <c r="L285" s="2" t="s">
        <v>146</v>
      </c>
      <c r="M285" s="2" t="s">
        <v>146</v>
      </c>
      <c r="N285" s="2" t="s">
        <v>146</v>
      </c>
      <c r="O285" s="2" t="s">
        <v>146</v>
      </c>
      <c r="P285" s="2" t="s">
        <v>146</v>
      </c>
      <c r="Q285" s="2" t="s">
        <v>146</v>
      </c>
      <c r="R285" s="2" t="s">
        <v>146</v>
      </c>
      <c r="S285" s="2" t="s">
        <v>146</v>
      </c>
      <c r="T285" s="2" t="s">
        <v>146</v>
      </c>
      <c r="U285" s="2" t="s">
        <v>146</v>
      </c>
      <c r="V285" s="2" t="s">
        <v>146</v>
      </c>
      <c r="W285" s="2" t="s">
        <v>146</v>
      </c>
      <c r="X285" s="2" t="s">
        <v>146</v>
      </c>
      <c r="Y285" s="2" t="s">
        <v>146</v>
      </c>
      <c r="Z285" s="2" t="s">
        <v>146</v>
      </c>
      <c r="AA285" s="2" t="s">
        <v>146</v>
      </c>
      <c r="AB285" s="2" t="s">
        <v>146</v>
      </c>
      <c r="AC285" s="2" t="s">
        <v>146</v>
      </c>
      <c r="AD285" s="2" t="s">
        <v>146</v>
      </c>
      <c r="AE285" s="2" t="s">
        <v>146</v>
      </c>
      <c r="AF285" s="2" t="s">
        <v>146</v>
      </c>
      <c r="AG285" s="2" t="s">
        <v>146</v>
      </c>
      <c r="AH285" s="2" t="s">
        <v>146</v>
      </c>
      <c r="AI285" s="2" t="s">
        <v>146</v>
      </c>
      <c r="AJ285" s="2" t="s">
        <v>146</v>
      </c>
      <c r="AK285" s="2" t="s">
        <v>146</v>
      </c>
      <c r="AL285" s="2" t="s">
        <v>146</v>
      </c>
      <c r="AM285" s="2" t="s">
        <v>146</v>
      </c>
      <c r="AN285" s="2" t="s">
        <v>146</v>
      </c>
      <c r="AO285" s="2" t="s">
        <v>146</v>
      </c>
      <c r="AQ285" s="2">
        <f t="shared" si="44"/>
        <v>0</v>
      </c>
      <c r="AR285" s="2">
        <f t="shared" si="45"/>
        <v>0</v>
      </c>
      <c r="AT285" s="2">
        <f t="shared" si="46"/>
        <v>0</v>
      </c>
      <c r="AU285" s="2">
        <f t="shared" si="47"/>
        <v>0</v>
      </c>
      <c r="AV285" s="27" t="str">
        <f t="shared" si="48"/>
        <v/>
      </c>
      <c r="AY285" s="2">
        <f t="shared" si="49"/>
        <v>0</v>
      </c>
      <c r="AZ285" s="2">
        <f t="shared" si="50"/>
        <v>0</v>
      </c>
      <c r="BA285" s="2">
        <f t="shared" si="51"/>
        <v>0</v>
      </c>
      <c r="BB285" s="2">
        <f t="shared" si="52"/>
        <v>0</v>
      </c>
      <c r="BC285" s="2">
        <f t="shared" si="53"/>
        <v>0</v>
      </c>
      <c r="BD285" s="2">
        <f t="shared" si="54"/>
        <v>0</v>
      </c>
    </row>
    <row r="286" spans="1:56" ht="15" customHeight="1" x14ac:dyDescent="0.45">
      <c r="A286" s="2" t="s">
        <v>305</v>
      </c>
      <c r="B286" s="2" t="s">
        <v>308</v>
      </c>
      <c r="C286" s="2">
        <v>2019</v>
      </c>
      <c r="D286" s="2">
        <v>181.93600000000001</v>
      </c>
      <c r="E286" s="2">
        <v>40.801000000000002</v>
      </c>
      <c r="F286" s="2" t="s">
        <v>146</v>
      </c>
      <c r="G286" s="2" t="s">
        <v>146</v>
      </c>
      <c r="H286" s="2" t="s">
        <v>146</v>
      </c>
      <c r="I286" s="2">
        <v>336.61599999999999</v>
      </c>
      <c r="J286" s="2" t="s">
        <v>146</v>
      </c>
      <c r="K286" s="2">
        <v>0</v>
      </c>
      <c r="L286" s="2" t="s">
        <v>146</v>
      </c>
      <c r="M286" s="2" t="s">
        <v>146</v>
      </c>
      <c r="N286" s="2" t="s">
        <v>146</v>
      </c>
      <c r="O286" s="2" t="s">
        <v>146</v>
      </c>
      <c r="P286" s="2" t="s">
        <v>146</v>
      </c>
      <c r="Q286" s="2" t="s">
        <v>146</v>
      </c>
      <c r="R286" s="2" t="s">
        <v>146</v>
      </c>
      <c r="S286" s="2" t="s">
        <v>146</v>
      </c>
      <c r="T286" s="2" t="s">
        <v>146</v>
      </c>
      <c r="U286" s="2" t="s">
        <v>146</v>
      </c>
      <c r="V286" s="2">
        <v>1.141</v>
      </c>
      <c r="W286" s="2" t="s">
        <v>146</v>
      </c>
      <c r="X286" s="2" t="s">
        <v>146</v>
      </c>
      <c r="Y286" s="2" t="s">
        <v>146</v>
      </c>
      <c r="Z286" s="2" t="s">
        <v>146</v>
      </c>
      <c r="AA286" s="2" t="s">
        <v>146</v>
      </c>
      <c r="AB286" s="2" t="s">
        <v>146</v>
      </c>
      <c r="AC286" s="2" t="s">
        <v>146</v>
      </c>
      <c r="AD286" s="2" t="s">
        <v>146</v>
      </c>
      <c r="AE286" s="2" t="s">
        <v>146</v>
      </c>
      <c r="AF286" s="2">
        <v>290.71199999999999</v>
      </c>
      <c r="AG286" s="2" t="s">
        <v>146</v>
      </c>
      <c r="AH286" s="2" t="s">
        <v>160</v>
      </c>
      <c r="AI286" s="2">
        <v>37.299999999999997</v>
      </c>
      <c r="AJ286" s="2" t="s">
        <v>146</v>
      </c>
      <c r="AK286" s="2">
        <v>44.762999999999998</v>
      </c>
      <c r="AL286" s="2">
        <v>2</v>
      </c>
      <c r="AM286" s="2">
        <v>98</v>
      </c>
      <c r="AN286" s="2" t="s">
        <v>146</v>
      </c>
      <c r="AO286" s="2" t="s">
        <v>146</v>
      </c>
      <c r="AQ286" s="2">
        <f t="shared" si="44"/>
        <v>291.85300000000001</v>
      </c>
      <c r="AR286" s="2">
        <f t="shared" si="45"/>
        <v>336.61599999999999</v>
      </c>
      <c r="AT286" s="2">
        <f t="shared" si="46"/>
        <v>181.93600000000001</v>
      </c>
      <c r="AU286" s="2">
        <f t="shared" si="47"/>
        <v>40.801000000000002</v>
      </c>
      <c r="AV286" s="27">
        <f t="shared" si="48"/>
        <v>0.66169463127124095</v>
      </c>
      <c r="AY286" s="2">
        <f t="shared" si="49"/>
        <v>44.762999999999998</v>
      </c>
      <c r="AZ286" s="2">
        <f t="shared" si="50"/>
        <v>0.89525999999999994</v>
      </c>
      <c r="BA286" s="2">
        <f t="shared" si="51"/>
        <v>43.867739999999998</v>
      </c>
      <c r="BB286" s="2">
        <f t="shared" si="52"/>
        <v>0</v>
      </c>
      <c r="BC286" s="2">
        <f t="shared" si="53"/>
        <v>0</v>
      </c>
      <c r="BD286" s="2">
        <f t="shared" si="54"/>
        <v>0</v>
      </c>
    </row>
    <row r="287" spans="1:56" ht="15" customHeight="1" x14ac:dyDescent="0.45">
      <c r="A287" s="2" t="s">
        <v>305</v>
      </c>
      <c r="B287" s="2" t="s">
        <v>307</v>
      </c>
      <c r="C287" s="2">
        <v>2019</v>
      </c>
      <c r="D287" s="2" t="s">
        <v>49</v>
      </c>
      <c r="E287" s="2" t="s">
        <v>49</v>
      </c>
      <c r="F287" s="2" t="s">
        <v>49</v>
      </c>
      <c r="G287" s="2" t="s">
        <v>49</v>
      </c>
      <c r="H287" s="2" t="s">
        <v>49</v>
      </c>
      <c r="I287" s="2" t="s">
        <v>49</v>
      </c>
      <c r="J287" s="2" t="s">
        <v>49</v>
      </c>
      <c r="K287" s="2" t="s">
        <v>49</v>
      </c>
      <c r="L287" s="2" t="s">
        <v>49</v>
      </c>
      <c r="M287" s="2" t="s">
        <v>49</v>
      </c>
      <c r="N287" s="2" t="s">
        <v>49</v>
      </c>
      <c r="O287" s="2" t="s">
        <v>49</v>
      </c>
      <c r="P287" s="2" t="s">
        <v>49</v>
      </c>
      <c r="Q287" s="2" t="s">
        <v>49</v>
      </c>
      <c r="R287" s="2" t="s">
        <v>49</v>
      </c>
      <c r="S287" s="2" t="s">
        <v>49</v>
      </c>
      <c r="T287" s="2" t="s">
        <v>49</v>
      </c>
      <c r="U287" s="2" t="s">
        <v>49</v>
      </c>
      <c r="V287" s="2" t="s">
        <v>49</v>
      </c>
      <c r="W287" s="2" t="s">
        <v>49</v>
      </c>
      <c r="X287" s="2" t="s">
        <v>49</v>
      </c>
      <c r="Y287" s="2" t="s">
        <v>49</v>
      </c>
      <c r="Z287" s="2" t="s">
        <v>49</v>
      </c>
      <c r="AA287" s="2" t="s">
        <v>49</v>
      </c>
      <c r="AB287" s="2" t="s">
        <v>49</v>
      </c>
      <c r="AC287" s="2" t="s">
        <v>49</v>
      </c>
      <c r="AD287" s="2" t="s">
        <v>49</v>
      </c>
      <c r="AE287" s="2" t="s">
        <v>49</v>
      </c>
      <c r="AF287" s="2" t="s">
        <v>49</v>
      </c>
      <c r="AG287" s="2" t="s">
        <v>49</v>
      </c>
      <c r="AH287" s="2" t="s">
        <v>49</v>
      </c>
      <c r="AI287" s="2" t="s">
        <v>49</v>
      </c>
      <c r="AJ287" s="2" t="s">
        <v>49</v>
      </c>
      <c r="AK287" s="2" t="s">
        <v>49</v>
      </c>
      <c r="AL287" s="2" t="s">
        <v>49</v>
      </c>
      <c r="AM287" s="2" t="s">
        <v>49</v>
      </c>
      <c r="AN287" s="2" t="s">
        <v>49</v>
      </c>
      <c r="AO287" s="2" t="s">
        <v>49</v>
      </c>
      <c r="AQ287" s="2">
        <f t="shared" si="44"/>
        <v>0</v>
      </c>
      <c r="AR287" s="2">
        <f t="shared" si="45"/>
        <v>0</v>
      </c>
      <c r="AT287" s="2">
        <f t="shared" si="46"/>
        <v>0</v>
      </c>
      <c r="AU287" s="2">
        <f t="shared" si="47"/>
        <v>0</v>
      </c>
      <c r="AV287" s="27" t="str">
        <f t="shared" si="48"/>
        <v/>
      </c>
      <c r="AY287" s="2">
        <f t="shared" si="49"/>
        <v>0</v>
      </c>
      <c r="AZ287" s="2">
        <f t="shared" si="50"/>
        <v>0</v>
      </c>
      <c r="BA287" s="2">
        <f t="shared" si="51"/>
        <v>0</v>
      </c>
      <c r="BB287" s="2">
        <f t="shared" si="52"/>
        <v>0</v>
      </c>
      <c r="BC287" s="2">
        <f t="shared" si="53"/>
        <v>0</v>
      </c>
      <c r="BD287" s="2">
        <f t="shared" si="54"/>
        <v>0</v>
      </c>
    </row>
    <row r="288" spans="1:56" ht="15" customHeight="1" x14ac:dyDescent="0.45">
      <c r="A288" s="2" t="s">
        <v>305</v>
      </c>
      <c r="B288" s="2" t="s">
        <v>306</v>
      </c>
      <c r="C288" s="2">
        <v>2019</v>
      </c>
      <c r="D288" s="2">
        <v>27.027999999999999</v>
      </c>
      <c r="E288" s="2">
        <v>6.03</v>
      </c>
      <c r="F288" s="2" t="s">
        <v>146</v>
      </c>
      <c r="G288" s="2" t="s">
        <v>146</v>
      </c>
      <c r="H288" s="2" t="s">
        <v>146</v>
      </c>
      <c r="I288" s="2">
        <v>36.31</v>
      </c>
      <c r="J288" s="2" t="s">
        <v>146</v>
      </c>
      <c r="K288" s="2" t="s">
        <v>146</v>
      </c>
      <c r="L288" s="2" t="s">
        <v>146</v>
      </c>
      <c r="M288" s="2" t="s">
        <v>146</v>
      </c>
      <c r="N288" s="2" t="s">
        <v>146</v>
      </c>
      <c r="O288" s="2" t="s">
        <v>146</v>
      </c>
      <c r="P288" s="2" t="s">
        <v>146</v>
      </c>
      <c r="Q288" s="2" t="s">
        <v>146</v>
      </c>
      <c r="R288" s="2" t="s">
        <v>146</v>
      </c>
      <c r="S288" s="2" t="s">
        <v>146</v>
      </c>
      <c r="T288" s="2" t="s">
        <v>146</v>
      </c>
      <c r="U288" s="2" t="s">
        <v>146</v>
      </c>
      <c r="V288" s="2" t="s">
        <v>146</v>
      </c>
      <c r="W288" s="2" t="s">
        <v>146</v>
      </c>
      <c r="X288" s="2" t="s">
        <v>146</v>
      </c>
      <c r="Y288" s="2" t="s">
        <v>146</v>
      </c>
      <c r="Z288" s="2" t="s">
        <v>146</v>
      </c>
      <c r="AA288" s="2" t="s">
        <v>146</v>
      </c>
      <c r="AB288" s="2" t="s">
        <v>146</v>
      </c>
      <c r="AC288" s="2" t="s">
        <v>146</v>
      </c>
      <c r="AD288" s="2" t="s">
        <v>146</v>
      </c>
      <c r="AE288" s="2" t="s">
        <v>146</v>
      </c>
      <c r="AF288" s="2">
        <v>36.31</v>
      </c>
      <c r="AG288" s="2" t="s">
        <v>146</v>
      </c>
      <c r="AH288" s="2" t="s">
        <v>160</v>
      </c>
      <c r="AI288" s="2">
        <v>37.299999999999997</v>
      </c>
      <c r="AJ288" s="2" t="s">
        <v>146</v>
      </c>
      <c r="AK288" s="2" t="s">
        <v>146</v>
      </c>
      <c r="AL288" s="2" t="s">
        <v>146</v>
      </c>
      <c r="AM288" s="2" t="s">
        <v>146</v>
      </c>
      <c r="AN288" s="2" t="s">
        <v>146</v>
      </c>
      <c r="AO288" s="2" t="s">
        <v>146</v>
      </c>
      <c r="AQ288" s="2">
        <f t="shared" si="44"/>
        <v>36.31</v>
      </c>
      <c r="AR288" s="2">
        <f t="shared" si="45"/>
        <v>36.31</v>
      </c>
      <c r="AT288" s="2">
        <f t="shared" si="46"/>
        <v>27.027999999999999</v>
      </c>
      <c r="AU288" s="2">
        <f t="shared" si="47"/>
        <v>6.03</v>
      </c>
      <c r="AV288" s="27">
        <f t="shared" si="48"/>
        <v>0.91043789589644719</v>
      </c>
      <c r="AY288" s="2">
        <f t="shared" si="49"/>
        <v>0</v>
      </c>
      <c r="AZ288" s="2">
        <f t="shared" si="50"/>
        <v>0</v>
      </c>
      <c r="BA288" s="2">
        <f t="shared" si="51"/>
        <v>0</v>
      </c>
      <c r="BB288" s="2">
        <f t="shared" si="52"/>
        <v>0</v>
      </c>
      <c r="BC288" s="2">
        <f t="shared" si="53"/>
        <v>0</v>
      </c>
      <c r="BD288" s="2">
        <f t="shared" si="54"/>
        <v>0</v>
      </c>
    </row>
    <row r="289" spans="1:56" ht="15" customHeight="1" x14ac:dyDescent="0.45">
      <c r="A289" s="2" t="s">
        <v>305</v>
      </c>
      <c r="B289" s="2" t="s">
        <v>304</v>
      </c>
      <c r="C289" s="2">
        <v>2019</v>
      </c>
      <c r="D289" s="2" t="s">
        <v>146</v>
      </c>
      <c r="E289" s="2" t="s">
        <v>146</v>
      </c>
      <c r="F289" s="2" t="s">
        <v>146</v>
      </c>
      <c r="G289" s="2" t="s">
        <v>146</v>
      </c>
      <c r="H289" s="2" t="s">
        <v>146</v>
      </c>
      <c r="I289" s="2" t="s">
        <v>146</v>
      </c>
      <c r="J289" s="2" t="s">
        <v>146</v>
      </c>
      <c r="K289" s="2" t="s">
        <v>146</v>
      </c>
      <c r="L289" s="2" t="s">
        <v>146</v>
      </c>
      <c r="M289" s="2" t="s">
        <v>146</v>
      </c>
      <c r="N289" s="2" t="s">
        <v>146</v>
      </c>
      <c r="O289" s="2" t="s">
        <v>146</v>
      </c>
      <c r="P289" s="2" t="s">
        <v>146</v>
      </c>
      <c r="Q289" s="2" t="s">
        <v>146</v>
      </c>
      <c r="R289" s="2" t="s">
        <v>146</v>
      </c>
      <c r="S289" s="2" t="s">
        <v>146</v>
      </c>
      <c r="T289" s="2" t="s">
        <v>146</v>
      </c>
      <c r="U289" s="2" t="s">
        <v>146</v>
      </c>
      <c r="V289" s="2" t="s">
        <v>146</v>
      </c>
      <c r="W289" s="2" t="s">
        <v>146</v>
      </c>
      <c r="X289" s="2" t="s">
        <v>146</v>
      </c>
      <c r="Y289" s="2" t="s">
        <v>146</v>
      </c>
      <c r="Z289" s="2" t="s">
        <v>146</v>
      </c>
      <c r="AA289" s="2" t="s">
        <v>146</v>
      </c>
      <c r="AB289" s="2" t="s">
        <v>146</v>
      </c>
      <c r="AC289" s="2" t="s">
        <v>146</v>
      </c>
      <c r="AD289" s="2" t="s">
        <v>146</v>
      </c>
      <c r="AE289" s="2" t="s">
        <v>146</v>
      </c>
      <c r="AF289" s="2" t="s">
        <v>146</v>
      </c>
      <c r="AG289" s="2" t="s">
        <v>146</v>
      </c>
      <c r="AH289" s="2" t="s">
        <v>146</v>
      </c>
      <c r="AI289" s="2" t="s">
        <v>146</v>
      </c>
      <c r="AJ289" s="2" t="s">
        <v>146</v>
      </c>
      <c r="AK289" s="2" t="s">
        <v>146</v>
      </c>
      <c r="AL289" s="2" t="s">
        <v>146</v>
      </c>
      <c r="AM289" s="2" t="s">
        <v>146</v>
      </c>
      <c r="AN289" s="2" t="s">
        <v>146</v>
      </c>
      <c r="AO289" s="2" t="s">
        <v>146</v>
      </c>
      <c r="AQ289" s="2">
        <f t="shared" si="44"/>
        <v>0</v>
      </c>
      <c r="AR289" s="2">
        <f t="shared" si="45"/>
        <v>0</v>
      </c>
      <c r="AT289" s="2">
        <f t="shared" si="46"/>
        <v>0</v>
      </c>
      <c r="AU289" s="2">
        <f t="shared" si="47"/>
        <v>0</v>
      </c>
      <c r="AV289" s="27" t="str">
        <f t="shared" si="48"/>
        <v/>
      </c>
      <c r="AY289" s="2">
        <f t="shared" si="49"/>
        <v>0</v>
      </c>
      <c r="AZ289" s="2">
        <f t="shared" si="50"/>
        <v>0</v>
      </c>
      <c r="BA289" s="2">
        <f t="shared" si="51"/>
        <v>0</v>
      </c>
      <c r="BB289" s="2">
        <f t="shared" si="52"/>
        <v>0</v>
      </c>
      <c r="BC289" s="2">
        <f t="shared" si="53"/>
        <v>0</v>
      </c>
      <c r="BD289" s="2">
        <f t="shared" si="54"/>
        <v>0</v>
      </c>
    </row>
    <row r="290" spans="1:56" ht="15" customHeight="1" x14ac:dyDescent="0.45">
      <c r="A290" s="2" t="s">
        <v>303</v>
      </c>
      <c r="B290" s="2" t="s">
        <v>35</v>
      </c>
      <c r="C290" s="2">
        <v>2019</v>
      </c>
      <c r="D290" s="2" t="s">
        <v>49</v>
      </c>
      <c r="E290" s="2" t="s">
        <v>49</v>
      </c>
      <c r="F290" s="2" t="s">
        <v>49</v>
      </c>
      <c r="G290" s="2" t="s">
        <v>49</v>
      </c>
      <c r="H290" s="2" t="s">
        <v>49</v>
      </c>
      <c r="I290" s="2" t="s">
        <v>49</v>
      </c>
      <c r="J290" s="2" t="s">
        <v>49</v>
      </c>
      <c r="K290" s="2" t="s">
        <v>49</v>
      </c>
      <c r="L290" s="2" t="s">
        <v>49</v>
      </c>
      <c r="M290" s="2" t="s">
        <v>49</v>
      </c>
      <c r="N290" s="2" t="s">
        <v>49</v>
      </c>
      <c r="O290" s="2" t="s">
        <v>49</v>
      </c>
      <c r="P290" s="2" t="s">
        <v>49</v>
      </c>
      <c r="Q290" s="2" t="s">
        <v>49</v>
      </c>
      <c r="R290" s="2" t="s">
        <v>49</v>
      </c>
      <c r="S290" s="2" t="s">
        <v>49</v>
      </c>
      <c r="T290" s="2" t="s">
        <v>49</v>
      </c>
      <c r="U290" s="2" t="s">
        <v>49</v>
      </c>
      <c r="V290" s="2" t="s">
        <v>49</v>
      </c>
      <c r="W290" s="2" t="s">
        <v>49</v>
      </c>
      <c r="X290" s="2" t="s">
        <v>49</v>
      </c>
      <c r="Y290" s="2" t="s">
        <v>49</v>
      </c>
      <c r="Z290" s="2" t="s">
        <v>49</v>
      </c>
      <c r="AA290" s="2" t="s">
        <v>49</v>
      </c>
      <c r="AB290" s="2" t="s">
        <v>49</v>
      </c>
      <c r="AC290" s="2" t="s">
        <v>49</v>
      </c>
      <c r="AD290" s="2" t="s">
        <v>49</v>
      </c>
      <c r="AE290" s="2" t="s">
        <v>49</v>
      </c>
      <c r="AF290" s="2" t="s">
        <v>49</v>
      </c>
      <c r="AG290" s="2" t="s">
        <v>49</v>
      </c>
      <c r="AH290" s="2" t="s">
        <v>49</v>
      </c>
      <c r="AI290" s="2" t="s">
        <v>49</v>
      </c>
      <c r="AJ290" s="2" t="s">
        <v>49</v>
      </c>
      <c r="AK290" s="2" t="s">
        <v>49</v>
      </c>
      <c r="AL290" s="2" t="s">
        <v>49</v>
      </c>
      <c r="AM290" s="2" t="s">
        <v>49</v>
      </c>
      <c r="AN290" s="2" t="s">
        <v>49</v>
      </c>
      <c r="AO290" s="2" t="s">
        <v>49</v>
      </c>
      <c r="AQ290" s="2">
        <f t="shared" si="44"/>
        <v>0</v>
      </c>
      <c r="AR290" s="2">
        <f t="shared" si="45"/>
        <v>0</v>
      </c>
      <c r="AT290" s="2">
        <f t="shared" si="46"/>
        <v>0</v>
      </c>
      <c r="AU290" s="2">
        <f t="shared" si="47"/>
        <v>0</v>
      </c>
      <c r="AV290" s="27" t="str">
        <f t="shared" si="48"/>
        <v/>
      </c>
      <c r="AY290" s="2">
        <f t="shared" si="49"/>
        <v>0</v>
      </c>
      <c r="AZ290" s="2">
        <f t="shared" si="50"/>
        <v>0</v>
      </c>
      <c r="BA290" s="2">
        <f t="shared" si="51"/>
        <v>0</v>
      </c>
      <c r="BB290" s="2">
        <f t="shared" si="52"/>
        <v>0</v>
      </c>
      <c r="BC290" s="2">
        <f t="shared" si="53"/>
        <v>0</v>
      </c>
      <c r="BD290" s="2">
        <f t="shared" si="54"/>
        <v>0</v>
      </c>
    </row>
    <row r="291" spans="1:56" ht="15" customHeight="1" x14ac:dyDescent="0.45">
      <c r="A291" s="2" t="s">
        <v>299</v>
      </c>
      <c r="B291" s="2" t="s">
        <v>302</v>
      </c>
      <c r="C291" s="2">
        <v>2019</v>
      </c>
      <c r="D291" s="2" t="s">
        <v>146</v>
      </c>
      <c r="E291" s="2" t="s">
        <v>146</v>
      </c>
      <c r="F291" s="2" t="s">
        <v>146</v>
      </c>
      <c r="G291" s="2" t="s">
        <v>146</v>
      </c>
      <c r="H291" s="2" t="s">
        <v>146</v>
      </c>
      <c r="I291" s="2" t="s">
        <v>146</v>
      </c>
      <c r="J291" s="2" t="s">
        <v>146</v>
      </c>
      <c r="K291" s="2" t="s">
        <v>146</v>
      </c>
      <c r="L291" s="2" t="s">
        <v>146</v>
      </c>
      <c r="M291" s="2" t="s">
        <v>146</v>
      </c>
      <c r="N291" s="2" t="s">
        <v>146</v>
      </c>
      <c r="O291" s="2" t="s">
        <v>146</v>
      </c>
      <c r="P291" s="2" t="s">
        <v>146</v>
      </c>
      <c r="Q291" s="2" t="s">
        <v>146</v>
      </c>
      <c r="R291" s="2" t="s">
        <v>146</v>
      </c>
      <c r="S291" s="2" t="s">
        <v>146</v>
      </c>
      <c r="T291" s="2" t="s">
        <v>146</v>
      </c>
      <c r="U291" s="2" t="s">
        <v>146</v>
      </c>
      <c r="V291" s="2" t="s">
        <v>146</v>
      </c>
      <c r="W291" s="2" t="s">
        <v>146</v>
      </c>
      <c r="X291" s="2" t="s">
        <v>146</v>
      </c>
      <c r="Y291" s="2" t="s">
        <v>146</v>
      </c>
      <c r="Z291" s="2" t="s">
        <v>146</v>
      </c>
      <c r="AA291" s="2" t="s">
        <v>146</v>
      </c>
      <c r="AB291" s="2" t="s">
        <v>146</v>
      </c>
      <c r="AC291" s="2" t="s">
        <v>146</v>
      </c>
      <c r="AD291" s="2" t="s">
        <v>146</v>
      </c>
      <c r="AE291" s="2" t="s">
        <v>146</v>
      </c>
      <c r="AF291" s="2" t="s">
        <v>146</v>
      </c>
      <c r="AG291" s="2" t="s">
        <v>146</v>
      </c>
      <c r="AH291" s="2" t="s">
        <v>146</v>
      </c>
      <c r="AI291" s="2" t="s">
        <v>146</v>
      </c>
      <c r="AJ291" s="2" t="s">
        <v>146</v>
      </c>
      <c r="AK291" s="2" t="s">
        <v>146</v>
      </c>
      <c r="AL291" s="2" t="s">
        <v>146</v>
      </c>
      <c r="AM291" s="2" t="s">
        <v>146</v>
      </c>
      <c r="AN291" s="2" t="s">
        <v>146</v>
      </c>
      <c r="AO291" s="2" t="s">
        <v>146</v>
      </c>
      <c r="AQ291" s="2">
        <f t="shared" si="44"/>
        <v>0</v>
      </c>
      <c r="AR291" s="2">
        <f t="shared" si="45"/>
        <v>0</v>
      </c>
      <c r="AT291" s="2">
        <f t="shared" si="46"/>
        <v>0</v>
      </c>
      <c r="AU291" s="2">
        <f t="shared" si="47"/>
        <v>0</v>
      </c>
      <c r="AV291" s="27" t="str">
        <f t="shared" si="48"/>
        <v/>
      </c>
      <c r="AY291" s="2">
        <f t="shared" si="49"/>
        <v>0</v>
      </c>
      <c r="AZ291" s="2">
        <f t="shared" si="50"/>
        <v>0</v>
      </c>
      <c r="BA291" s="2">
        <f t="shared" si="51"/>
        <v>0</v>
      </c>
      <c r="BB291" s="2">
        <f t="shared" si="52"/>
        <v>0</v>
      </c>
      <c r="BC291" s="2">
        <f t="shared" si="53"/>
        <v>0</v>
      </c>
      <c r="BD291" s="2">
        <f t="shared" si="54"/>
        <v>0</v>
      </c>
    </row>
    <row r="292" spans="1:56" ht="15" customHeight="1" x14ac:dyDescent="0.45">
      <c r="A292" s="2" t="s">
        <v>299</v>
      </c>
      <c r="B292" s="2" t="s">
        <v>301</v>
      </c>
      <c r="C292" s="2">
        <v>2019</v>
      </c>
      <c r="D292" s="2" t="s">
        <v>146</v>
      </c>
      <c r="E292" s="2" t="s">
        <v>146</v>
      </c>
      <c r="F292" s="2" t="s">
        <v>146</v>
      </c>
      <c r="G292" s="2" t="s">
        <v>146</v>
      </c>
      <c r="H292" s="2" t="s">
        <v>146</v>
      </c>
      <c r="I292" s="2" t="s">
        <v>146</v>
      </c>
      <c r="J292" s="2" t="s">
        <v>146</v>
      </c>
      <c r="K292" s="2" t="s">
        <v>146</v>
      </c>
      <c r="L292" s="2" t="s">
        <v>146</v>
      </c>
      <c r="M292" s="2" t="s">
        <v>146</v>
      </c>
      <c r="N292" s="2" t="s">
        <v>146</v>
      </c>
      <c r="O292" s="2" t="s">
        <v>146</v>
      </c>
      <c r="P292" s="2" t="s">
        <v>146</v>
      </c>
      <c r="Q292" s="2" t="s">
        <v>146</v>
      </c>
      <c r="R292" s="2" t="s">
        <v>146</v>
      </c>
      <c r="S292" s="2" t="s">
        <v>146</v>
      </c>
      <c r="T292" s="2" t="s">
        <v>146</v>
      </c>
      <c r="U292" s="2" t="s">
        <v>146</v>
      </c>
      <c r="V292" s="2" t="s">
        <v>146</v>
      </c>
      <c r="W292" s="2" t="s">
        <v>146</v>
      </c>
      <c r="X292" s="2" t="s">
        <v>146</v>
      </c>
      <c r="Y292" s="2" t="s">
        <v>146</v>
      </c>
      <c r="Z292" s="2" t="s">
        <v>146</v>
      </c>
      <c r="AA292" s="2" t="s">
        <v>146</v>
      </c>
      <c r="AB292" s="2" t="s">
        <v>146</v>
      </c>
      <c r="AC292" s="2" t="s">
        <v>146</v>
      </c>
      <c r="AD292" s="2" t="s">
        <v>146</v>
      </c>
      <c r="AE292" s="2" t="s">
        <v>146</v>
      </c>
      <c r="AF292" s="2" t="s">
        <v>146</v>
      </c>
      <c r="AG292" s="2" t="s">
        <v>146</v>
      </c>
      <c r="AH292" s="2" t="s">
        <v>146</v>
      </c>
      <c r="AI292" s="2" t="s">
        <v>146</v>
      </c>
      <c r="AJ292" s="2" t="s">
        <v>146</v>
      </c>
      <c r="AK292" s="2" t="s">
        <v>146</v>
      </c>
      <c r="AL292" s="2" t="s">
        <v>146</v>
      </c>
      <c r="AM292" s="2" t="s">
        <v>146</v>
      </c>
      <c r="AN292" s="2" t="s">
        <v>146</v>
      </c>
      <c r="AO292" s="2" t="s">
        <v>146</v>
      </c>
      <c r="AQ292" s="2">
        <f t="shared" si="44"/>
        <v>0</v>
      </c>
      <c r="AR292" s="2">
        <f t="shared" si="45"/>
        <v>0</v>
      </c>
      <c r="AT292" s="2">
        <f t="shared" si="46"/>
        <v>0</v>
      </c>
      <c r="AU292" s="2">
        <f t="shared" si="47"/>
        <v>0</v>
      </c>
      <c r="AV292" s="27" t="str">
        <f t="shared" si="48"/>
        <v/>
      </c>
      <c r="AY292" s="2">
        <f t="shared" si="49"/>
        <v>0</v>
      </c>
      <c r="AZ292" s="2">
        <f t="shared" si="50"/>
        <v>0</v>
      </c>
      <c r="BA292" s="2">
        <f t="shared" si="51"/>
        <v>0</v>
      </c>
      <c r="BB292" s="2">
        <f t="shared" si="52"/>
        <v>0</v>
      </c>
      <c r="BC292" s="2">
        <f t="shared" si="53"/>
        <v>0</v>
      </c>
      <c r="BD292" s="2">
        <f t="shared" si="54"/>
        <v>0</v>
      </c>
    </row>
    <row r="293" spans="1:56" ht="15" customHeight="1" x14ac:dyDescent="0.45">
      <c r="A293" s="2" t="s">
        <v>299</v>
      </c>
      <c r="B293" s="2" t="s">
        <v>300</v>
      </c>
      <c r="C293" s="2">
        <v>2019</v>
      </c>
      <c r="D293" s="2" t="s">
        <v>146</v>
      </c>
      <c r="E293" s="2" t="s">
        <v>146</v>
      </c>
      <c r="F293" s="2" t="s">
        <v>146</v>
      </c>
      <c r="G293" s="2" t="s">
        <v>146</v>
      </c>
      <c r="H293" s="2" t="s">
        <v>146</v>
      </c>
      <c r="I293" s="2" t="s">
        <v>146</v>
      </c>
      <c r="J293" s="2" t="s">
        <v>146</v>
      </c>
      <c r="K293" s="2" t="s">
        <v>146</v>
      </c>
      <c r="L293" s="2" t="s">
        <v>146</v>
      </c>
      <c r="M293" s="2" t="s">
        <v>146</v>
      </c>
      <c r="N293" s="2" t="s">
        <v>146</v>
      </c>
      <c r="O293" s="2" t="s">
        <v>146</v>
      </c>
      <c r="P293" s="2" t="s">
        <v>146</v>
      </c>
      <c r="Q293" s="2" t="s">
        <v>146</v>
      </c>
      <c r="R293" s="2" t="s">
        <v>146</v>
      </c>
      <c r="S293" s="2" t="s">
        <v>146</v>
      </c>
      <c r="T293" s="2" t="s">
        <v>146</v>
      </c>
      <c r="U293" s="2" t="s">
        <v>146</v>
      </c>
      <c r="V293" s="2" t="s">
        <v>146</v>
      </c>
      <c r="W293" s="2" t="s">
        <v>146</v>
      </c>
      <c r="X293" s="2" t="s">
        <v>146</v>
      </c>
      <c r="Y293" s="2" t="s">
        <v>146</v>
      </c>
      <c r="Z293" s="2" t="s">
        <v>146</v>
      </c>
      <c r="AA293" s="2" t="s">
        <v>146</v>
      </c>
      <c r="AB293" s="2" t="s">
        <v>146</v>
      </c>
      <c r="AC293" s="2" t="s">
        <v>146</v>
      </c>
      <c r="AD293" s="2" t="s">
        <v>146</v>
      </c>
      <c r="AE293" s="2" t="s">
        <v>146</v>
      </c>
      <c r="AF293" s="2" t="s">
        <v>146</v>
      </c>
      <c r="AG293" s="2" t="s">
        <v>146</v>
      </c>
      <c r="AH293" s="2" t="s">
        <v>146</v>
      </c>
      <c r="AI293" s="2" t="s">
        <v>146</v>
      </c>
      <c r="AJ293" s="2" t="s">
        <v>146</v>
      </c>
      <c r="AK293" s="2" t="s">
        <v>146</v>
      </c>
      <c r="AL293" s="2" t="s">
        <v>146</v>
      </c>
      <c r="AM293" s="2" t="s">
        <v>146</v>
      </c>
      <c r="AN293" s="2" t="s">
        <v>146</v>
      </c>
      <c r="AO293" s="2" t="s">
        <v>146</v>
      </c>
      <c r="AQ293" s="2">
        <f t="shared" si="44"/>
        <v>0</v>
      </c>
      <c r="AR293" s="2">
        <f t="shared" si="45"/>
        <v>0</v>
      </c>
      <c r="AT293" s="2">
        <f t="shared" si="46"/>
        <v>0</v>
      </c>
      <c r="AU293" s="2">
        <f t="shared" si="47"/>
        <v>0</v>
      </c>
      <c r="AV293" s="27" t="str">
        <f t="shared" si="48"/>
        <v/>
      </c>
      <c r="AY293" s="2">
        <f t="shared" si="49"/>
        <v>0</v>
      </c>
      <c r="AZ293" s="2">
        <f t="shared" si="50"/>
        <v>0</v>
      </c>
      <c r="BA293" s="2">
        <f t="shared" si="51"/>
        <v>0</v>
      </c>
      <c r="BB293" s="2">
        <f t="shared" si="52"/>
        <v>0</v>
      </c>
      <c r="BC293" s="2">
        <f t="shared" si="53"/>
        <v>0</v>
      </c>
      <c r="BD293" s="2">
        <f t="shared" si="54"/>
        <v>0</v>
      </c>
    </row>
    <row r="294" spans="1:56" ht="15" customHeight="1" x14ac:dyDescent="0.45">
      <c r="A294" s="2" t="s">
        <v>299</v>
      </c>
      <c r="B294" s="2" t="s">
        <v>298</v>
      </c>
      <c r="C294" s="2">
        <v>2019</v>
      </c>
      <c r="D294" s="2">
        <v>105.911</v>
      </c>
      <c r="E294" s="2">
        <v>35.929000000000002</v>
      </c>
      <c r="F294" s="2" t="s">
        <v>146</v>
      </c>
      <c r="G294" s="2" t="s">
        <v>146</v>
      </c>
      <c r="H294" s="2" t="s">
        <v>146</v>
      </c>
      <c r="I294" s="2">
        <v>198.49100000000001</v>
      </c>
      <c r="J294" s="2" t="s">
        <v>146</v>
      </c>
      <c r="K294" s="2">
        <v>0.36199999999999999</v>
      </c>
      <c r="L294" s="2" t="s">
        <v>146</v>
      </c>
      <c r="M294" s="2" t="s">
        <v>146</v>
      </c>
      <c r="N294" s="2" t="s">
        <v>146</v>
      </c>
      <c r="O294" s="2" t="s">
        <v>146</v>
      </c>
      <c r="P294" s="2" t="s">
        <v>146</v>
      </c>
      <c r="Q294" s="2">
        <v>71.92</v>
      </c>
      <c r="R294" s="2">
        <v>51.67</v>
      </c>
      <c r="S294" s="2">
        <v>18.849</v>
      </c>
      <c r="T294" s="2" t="s">
        <v>146</v>
      </c>
      <c r="U294" s="2" t="s">
        <v>146</v>
      </c>
      <c r="V294" s="2">
        <v>9.1270000000000007</v>
      </c>
      <c r="W294" s="2" t="s">
        <v>147</v>
      </c>
      <c r="X294" s="2" t="s">
        <v>146</v>
      </c>
      <c r="Y294" s="2" t="s">
        <v>146</v>
      </c>
      <c r="Z294" s="2" t="s">
        <v>146</v>
      </c>
      <c r="AA294" s="2">
        <v>22.26</v>
      </c>
      <c r="AB294" s="2" t="s">
        <v>146</v>
      </c>
      <c r="AC294" s="2" t="s">
        <v>146</v>
      </c>
      <c r="AD294" s="2" t="s">
        <v>146</v>
      </c>
      <c r="AE294" s="2" t="s">
        <v>146</v>
      </c>
      <c r="AF294" s="2" t="s">
        <v>146</v>
      </c>
      <c r="AG294" s="2" t="s">
        <v>146</v>
      </c>
      <c r="AH294" s="2" t="s">
        <v>146</v>
      </c>
      <c r="AI294" s="2" t="s">
        <v>146</v>
      </c>
      <c r="AJ294" s="2" t="s">
        <v>146</v>
      </c>
      <c r="AK294" s="2">
        <v>24.303000000000001</v>
      </c>
      <c r="AL294" s="2">
        <v>100</v>
      </c>
      <c r="AM294" s="2">
        <v>0</v>
      </c>
      <c r="AN294" s="2">
        <v>0</v>
      </c>
      <c r="AO294" s="2">
        <v>0</v>
      </c>
      <c r="AQ294" s="2">
        <f t="shared" si="44"/>
        <v>174.18799999999999</v>
      </c>
      <c r="AR294" s="2">
        <f t="shared" si="45"/>
        <v>198.49099999999999</v>
      </c>
      <c r="AT294" s="2">
        <f t="shared" si="46"/>
        <v>105.911</v>
      </c>
      <c r="AU294" s="2">
        <f t="shared" si="47"/>
        <v>35.929000000000002</v>
      </c>
      <c r="AV294" s="27">
        <f t="shared" si="48"/>
        <v>0.71459159357351221</v>
      </c>
      <c r="AY294" s="2">
        <f t="shared" si="49"/>
        <v>24.303000000000001</v>
      </c>
      <c r="AZ294" s="2">
        <f t="shared" si="50"/>
        <v>24.303000000000001</v>
      </c>
      <c r="BA294" s="2">
        <f t="shared" si="51"/>
        <v>0</v>
      </c>
      <c r="BB294" s="2">
        <f t="shared" si="52"/>
        <v>0</v>
      </c>
      <c r="BC294" s="2">
        <f t="shared" si="53"/>
        <v>0</v>
      </c>
      <c r="BD294" s="2">
        <f t="shared" si="54"/>
        <v>0</v>
      </c>
    </row>
    <row r="295" spans="1:56" ht="15" customHeight="1" x14ac:dyDescent="0.45">
      <c r="A295" s="2" t="s">
        <v>297</v>
      </c>
      <c r="B295" s="2" t="s">
        <v>296</v>
      </c>
      <c r="C295" s="2">
        <v>2019</v>
      </c>
      <c r="D295" s="2">
        <v>541.33199999999999</v>
      </c>
      <c r="E295" s="2">
        <v>270.173</v>
      </c>
      <c r="F295" s="2" t="s">
        <v>146</v>
      </c>
      <c r="G295" s="2" t="s">
        <v>146</v>
      </c>
      <c r="H295" s="2" t="s">
        <v>146</v>
      </c>
      <c r="I295" s="2">
        <v>1093.9659999999999</v>
      </c>
      <c r="J295" s="2" t="s">
        <v>146</v>
      </c>
      <c r="K295" s="2">
        <v>1.399</v>
      </c>
      <c r="L295" s="2" t="s">
        <v>146</v>
      </c>
      <c r="M295" s="2" t="s">
        <v>146</v>
      </c>
      <c r="N295" s="2" t="s">
        <v>146</v>
      </c>
      <c r="O295" s="2" t="s">
        <v>146</v>
      </c>
      <c r="P295" s="2" t="s">
        <v>146</v>
      </c>
      <c r="Q295" s="2">
        <v>19.369</v>
      </c>
      <c r="R295" s="2">
        <v>5.6000000000000001E-2</v>
      </c>
      <c r="S295" s="2">
        <v>85.067999999999998</v>
      </c>
      <c r="T295" s="2">
        <v>161.1</v>
      </c>
      <c r="U295" s="2" t="s">
        <v>146</v>
      </c>
      <c r="V295" s="2">
        <v>1.98</v>
      </c>
      <c r="W295" s="2" t="s">
        <v>146</v>
      </c>
      <c r="X295" s="2" t="s">
        <v>146</v>
      </c>
      <c r="Y295" s="2" t="s">
        <v>146</v>
      </c>
      <c r="Z295" s="2" t="s">
        <v>146</v>
      </c>
      <c r="AA295" s="2">
        <v>615.80499999999995</v>
      </c>
      <c r="AB295" s="2" t="s">
        <v>146</v>
      </c>
      <c r="AC295" s="2" t="s">
        <v>146</v>
      </c>
      <c r="AD295" s="2" t="s">
        <v>146</v>
      </c>
      <c r="AE295" s="2" t="s">
        <v>146</v>
      </c>
      <c r="AF295" s="2">
        <v>48.802999999999997</v>
      </c>
      <c r="AG295" s="2">
        <v>7.0000000000000007E-2</v>
      </c>
      <c r="AH295" s="2" t="s">
        <v>233</v>
      </c>
      <c r="AI295" s="2">
        <v>47.816000000000003</v>
      </c>
      <c r="AJ295" s="2" t="s">
        <v>146</v>
      </c>
      <c r="AK295" s="2">
        <v>160.386</v>
      </c>
      <c r="AL295" s="2">
        <v>94.58</v>
      </c>
      <c r="AM295" s="2">
        <v>5.24</v>
      </c>
      <c r="AN295" s="2">
        <v>0.18</v>
      </c>
      <c r="AO295" s="2" t="s">
        <v>146</v>
      </c>
      <c r="AQ295" s="2">
        <f t="shared" si="44"/>
        <v>933.57999999999993</v>
      </c>
      <c r="AR295" s="2">
        <f t="shared" si="45"/>
        <v>1093.9659999999999</v>
      </c>
      <c r="AT295" s="2">
        <f t="shared" si="46"/>
        <v>541.33199999999999</v>
      </c>
      <c r="AU295" s="2">
        <f t="shared" si="47"/>
        <v>270.173</v>
      </c>
      <c r="AV295" s="27">
        <f t="shared" si="48"/>
        <v>0.74180093348422171</v>
      </c>
      <c r="AY295" s="2">
        <f t="shared" si="49"/>
        <v>160.386</v>
      </c>
      <c r="AZ295" s="2">
        <f t="shared" si="50"/>
        <v>151.69307879999999</v>
      </c>
      <c r="BA295" s="2">
        <f t="shared" si="51"/>
        <v>8.4042264000000007</v>
      </c>
      <c r="BB295" s="2">
        <f t="shared" si="52"/>
        <v>0.28869479999999997</v>
      </c>
      <c r="BC295" s="2">
        <f t="shared" si="53"/>
        <v>0</v>
      </c>
      <c r="BD295" s="2">
        <f t="shared" si="54"/>
        <v>0</v>
      </c>
    </row>
    <row r="296" spans="1:56" ht="15" customHeight="1" x14ac:dyDescent="0.45">
      <c r="A296" s="2" t="s">
        <v>295</v>
      </c>
      <c r="B296" s="2" t="s">
        <v>127</v>
      </c>
      <c r="C296" s="2">
        <v>2019</v>
      </c>
      <c r="D296" s="2" t="s">
        <v>146</v>
      </c>
      <c r="E296" s="2" t="s">
        <v>146</v>
      </c>
      <c r="F296" s="2" t="s">
        <v>146</v>
      </c>
      <c r="G296" s="2" t="s">
        <v>146</v>
      </c>
      <c r="H296" s="2" t="s">
        <v>146</v>
      </c>
      <c r="I296" s="2" t="s">
        <v>146</v>
      </c>
      <c r="J296" s="2" t="s">
        <v>146</v>
      </c>
      <c r="K296" s="2" t="s">
        <v>146</v>
      </c>
      <c r="L296" s="2" t="s">
        <v>146</v>
      </c>
      <c r="M296" s="2" t="s">
        <v>146</v>
      </c>
      <c r="N296" s="2" t="s">
        <v>146</v>
      </c>
      <c r="O296" s="2" t="s">
        <v>146</v>
      </c>
      <c r="P296" s="2" t="s">
        <v>146</v>
      </c>
      <c r="Q296" s="2" t="s">
        <v>146</v>
      </c>
      <c r="R296" s="2" t="s">
        <v>146</v>
      </c>
      <c r="S296" s="2" t="s">
        <v>146</v>
      </c>
      <c r="T296" s="2" t="s">
        <v>146</v>
      </c>
      <c r="U296" s="2" t="s">
        <v>146</v>
      </c>
      <c r="V296" s="2" t="s">
        <v>146</v>
      </c>
      <c r="W296" s="2" t="s">
        <v>146</v>
      </c>
      <c r="X296" s="2" t="s">
        <v>146</v>
      </c>
      <c r="Y296" s="2" t="s">
        <v>146</v>
      </c>
      <c r="Z296" s="2" t="s">
        <v>146</v>
      </c>
      <c r="AA296" s="2" t="s">
        <v>146</v>
      </c>
      <c r="AB296" s="2" t="s">
        <v>146</v>
      </c>
      <c r="AC296" s="2" t="s">
        <v>146</v>
      </c>
      <c r="AD296" s="2" t="s">
        <v>146</v>
      </c>
      <c r="AE296" s="2" t="s">
        <v>146</v>
      </c>
      <c r="AF296" s="2" t="s">
        <v>146</v>
      </c>
      <c r="AG296" s="2" t="s">
        <v>146</v>
      </c>
      <c r="AH296" s="2" t="s">
        <v>146</v>
      </c>
      <c r="AI296" s="2" t="s">
        <v>146</v>
      </c>
      <c r="AJ296" s="2" t="s">
        <v>146</v>
      </c>
      <c r="AK296" s="2" t="s">
        <v>146</v>
      </c>
      <c r="AL296" s="2" t="s">
        <v>146</v>
      </c>
      <c r="AM296" s="2" t="s">
        <v>146</v>
      </c>
      <c r="AN296" s="2" t="s">
        <v>146</v>
      </c>
      <c r="AO296" s="2" t="s">
        <v>146</v>
      </c>
      <c r="AQ296" s="2">
        <f t="shared" si="44"/>
        <v>0</v>
      </c>
      <c r="AR296" s="2">
        <f t="shared" si="45"/>
        <v>0</v>
      </c>
      <c r="AT296" s="2">
        <f t="shared" si="46"/>
        <v>0</v>
      </c>
      <c r="AU296" s="2">
        <f t="shared" si="47"/>
        <v>0</v>
      </c>
      <c r="AV296" s="27" t="str">
        <f t="shared" si="48"/>
        <v/>
      </c>
      <c r="AY296" s="2">
        <f t="shared" si="49"/>
        <v>0</v>
      </c>
      <c r="AZ296" s="2">
        <f t="shared" si="50"/>
        <v>0</v>
      </c>
      <c r="BA296" s="2">
        <f t="shared" si="51"/>
        <v>0</v>
      </c>
      <c r="BB296" s="2">
        <f t="shared" si="52"/>
        <v>0</v>
      </c>
      <c r="BC296" s="2">
        <f t="shared" si="53"/>
        <v>0</v>
      </c>
      <c r="BD296" s="2">
        <f t="shared" si="54"/>
        <v>0</v>
      </c>
    </row>
    <row r="297" spans="1:56" ht="15" customHeight="1" x14ac:dyDescent="0.45">
      <c r="A297" s="2" t="s">
        <v>289</v>
      </c>
      <c r="B297" s="2" t="s">
        <v>294</v>
      </c>
      <c r="C297" s="2">
        <v>2019</v>
      </c>
      <c r="D297" s="2" t="s">
        <v>146</v>
      </c>
      <c r="E297" s="2" t="s">
        <v>146</v>
      </c>
      <c r="F297" s="2" t="s">
        <v>146</v>
      </c>
      <c r="G297" s="2" t="s">
        <v>146</v>
      </c>
      <c r="H297" s="2" t="s">
        <v>146</v>
      </c>
      <c r="I297" s="2" t="s">
        <v>146</v>
      </c>
      <c r="J297" s="2" t="s">
        <v>146</v>
      </c>
      <c r="K297" s="2" t="s">
        <v>146</v>
      </c>
      <c r="L297" s="2" t="s">
        <v>146</v>
      </c>
      <c r="M297" s="2" t="s">
        <v>146</v>
      </c>
      <c r="N297" s="2" t="s">
        <v>146</v>
      </c>
      <c r="O297" s="2" t="s">
        <v>146</v>
      </c>
      <c r="P297" s="2" t="s">
        <v>146</v>
      </c>
      <c r="Q297" s="2" t="s">
        <v>146</v>
      </c>
      <c r="R297" s="2" t="s">
        <v>146</v>
      </c>
      <c r="S297" s="2" t="s">
        <v>146</v>
      </c>
      <c r="T297" s="2" t="s">
        <v>146</v>
      </c>
      <c r="U297" s="2" t="s">
        <v>146</v>
      </c>
      <c r="V297" s="2" t="s">
        <v>146</v>
      </c>
      <c r="W297" s="2" t="s">
        <v>146</v>
      </c>
      <c r="X297" s="2" t="s">
        <v>146</v>
      </c>
      <c r="Y297" s="2" t="s">
        <v>146</v>
      </c>
      <c r="Z297" s="2" t="s">
        <v>146</v>
      </c>
      <c r="AA297" s="2" t="s">
        <v>146</v>
      </c>
      <c r="AB297" s="2" t="s">
        <v>146</v>
      </c>
      <c r="AC297" s="2" t="s">
        <v>146</v>
      </c>
      <c r="AD297" s="2" t="s">
        <v>146</v>
      </c>
      <c r="AE297" s="2" t="s">
        <v>146</v>
      </c>
      <c r="AF297" s="2" t="s">
        <v>146</v>
      </c>
      <c r="AG297" s="2" t="s">
        <v>146</v>
      </c>
      <c r="AH297" s="2" t="s">
        <v>146</v>
      </c>
      <c r="AI297" s="2" t="s">
        <v>146</v>
      </c>
      <c r="AJ297" s="2" t="s">
        <v>146</v>
      </c>
      <c r="AK297" s="2" t="s">
        <v>146</v>
      </c>
      <c r="AL297" s="2" t="s">
        <v>146</v>
      </c>
      <c r="AM297" s="2" t="s">
        <v>146</v>
      </c>
      <c r="AN297" s="2" t="s">
        <v>146</v>
      </c>
      <c r="AO297" s="2" t="s">
        <v>146</v>
      </c>
      <c r="AQ297" s="2">
        <f t="shared" si="44"/>
        <v>0</v>
      </c>
      <c r="AR297" s="2">
        <f t="shared" si="45"/>
        <v>0</v>
      </c>
      <c r="AT297" s="2">
        <f t="shared" si="46"/>
        <v>0</v>
      </c>
      <c r="AU297" s="2">
        <f t="shared" si="47"/>
        <v>0</v>
      </c>
      <c r="AV297" s="27" t="str">
        <f t="shared" si="48"/>
        <v/>
      </c>
      <c r="AY297" s="2">
        <f t="shared" si="49"/>
        <v>0</v>
      </c>
      <c r="AZ297" s="2">
        <f t="shared" si="50"/>
        <v>0</v>
      </c>
      <c r="BA297" s="2">
        <f t="shared" si="51"/>
        <v>0</v>
      </c>
      <c r="BB297" s="2">
        <f t="shared" si="52"/>
        <v>0</v>
      </c>
      <c r="BC297" s="2">
        <f t="shared" si="53"/>
        <v>0</v>
      </c>
      <c r="BD297" s="2">
        <f t="shared" si="54"/>
        <v>0</v>
      </c>
    </row>
    <row r="298" spans="1:56" ht="15" customHeight="1" x14ac:dyDescent="0.45">
      <c r="A298" s="2" t="s">
        <v>289</v>
      </c>
      <c r="B298" s="2" t="s">
        <v>293</v>
      </c>
      <c r="C298" s="2">
        <v>2019</v>
      </c>
      <c r="D298" s="2">
        <v>96.67</v>
      </c>
      <c r="E298" s="2">
        <v>24.754000000000001</v>
      </c>
      <c r="F298" s="2" t="s">
        <v>146</v>
      </c>
      <c r="G298" s="2" t="s">
        <v>146</v>
      </c>
      <c r="H298" s="2" t="s">
        <v>146</v>
      </c>
      <c r="I298" s="2">
        <v>140.904</v>
      </c>
      <c r="J298" s="2" t="s">
        <v>146</v>
      </c>
      <c r="K298" s="2">
        <v>0</v>
      </c>
      <c r="L298" s="2" t="s">
        <v>146</v>
      </c>
      <c r="M298" s="2" t="s">
        <v>146</v>
      </c>
      <c r="N298" s="2" t="s">
        <v>146</v>
      </c>
      <c r="O298" s="2" t="s">
        <v>146</v>
      </c>
      <c r="P298" s="2" t="s">
        <v>146</v>
      </c>
      <c r="Q298" s="2">
        <v>3.2429999999999999</v>
      </c>
      <c r="R298" s="2" t="s">
        <v>146</v>
      </c>
      <c r="S298" s="2">
        <v>0</v>
      </c>
      <c r="T298" s="2" t="s">
        <v>146</v>
      </c>
      <c r="U298" s="2" t="s">
        <v>146</v>
      </c>
      <c r="V298" s="2" t="s">
        <v>146</v>
      </c>
      <c r="W298" s="2" t="s">
        <v>146</v>
      </c>
      <c r="X298" s="2" t="s">
        <v>146</v>
      </c>
      <c r="Y298" s="2" t="s">
        <v>146</v>
      </c>
      <c r="Z298" s="2" t="s">
        <v>146</v>
      </c>
      <c r="AA298" s="2">
        <v>137.56100000000001</v>
      </c>
      <c r="AB298" s="2" t="s">
        <v>146</v>
      </c>
      <c r="AC298" s="2">
        <v>0.1</v>
      </c>
      <c r="AD298" s="2" t="s">
        <v>146</v>
      </c>
      <c r="AE298" s="2" t="s">
        <v>146</v>
      </c>
      <c r="AF298" s="2" t="s">
        <v>146</v>
      </c>
      <c r="AG298" s="2" t="s">
        <v>146</v>
      </c>
      <c r="AH298" s="2" t="s">
        <v>146</v>
      </c>
      <c r="AI298" s="2" t="s">
        <v>146</v>
      </c>
      <c r="AJ298" s="2" t="s">
        <v>146</v>
      </c>
      <c r="AK298" s="2" t="s">
        <v>146</v>
      </c>
      <c r="AL298" s="2" t="s">
        <v>146</v>
      </c>
      <c r="AM298" s="2" t="s">
        <v>146</v>
      </c>
      <c r="AN298" s="2" t="s">
        <v>146</v>
      </c>
      <c r="AO298" s="2" t="s">
        <v>146</v>
      </c>
      <c r="AQ298" s="2">
        <f t="shared" si="44"/>
        <v>140.904</v>
      </c>
      <c r="AR298" s="2">
        <f t="shared" si="45"/>
        <v>140.904</v>
      </c>
      <c r="AT298" s="2">
        <f t="shared" si="46"/>
        <v>96.67</v>
      </c>
      <c r="AU298" s="2">
        <f t="shared" si="47"/>
        <v>24.754000000000001</v>
      </c>
      <c r="AV298" s="27">
        <f t="shared" si="48"/>
        <v>0.86174984386532683</v>
      </c>
      <c r="AY298" s="2">
        <f t="shared" si="49"/>
        <v>0</v>
      </c>
      <c r="AZ298" s="2">
        <f t="shared" si="50"/>
        <v>0</v>
      </c>
      <c r="BA298" s="2">
        <f t="shared" si="51"/>
        <v>0</v>
      </c>
      <c r="BB298" s="2">
        <f t="shared" si="52"/>
        <v>0</v>
      </c>
      <c r="BC298" s="2">
        <f t="shared" si="53"/>
        <v>0</v>
      </c>
      <c r="BD298" s="2">
        <f t="shared" si="54"/>
        <v>0</v>
      </c>
    </row>
    <row r="299" spans="1:56" ht="15" customHeight="1" x14ac:dyDescent="0.45">
      <c r="A299" s="2" t="s">
        <v>289</v>
      </c>
      <c r="B299" s="2" t="s">
        <v>292</v>
      </c>
      <c r="C299" s="2">
        <v>2019</v>
      </c>
      <c r="D299" s="2" t="s">
        <v>146</v>
      </c>
      <c r="E299" s="2" t="s">
        <v>146</v>
      </c>
      <c r="F299" s="2" t="s">
        <v>146</v>
      </c>
      <c r="G299" s="2" t="s">
        <v>146</v>
      </c>
      <c r="H299" s="2" t="s">
        <v>146</v>
      </c>
      <c r="I299" s="2" t="s">
        <v>146</v>
      </c>
      <c r="J299" s="2" t="s">
        <v>146</v>
      </c>
      <c r="K299" s="2" t="s">
        <v>146</v>
      </c>
      <c r="L299" s="2" t="s">
        <v>146</v>
      </c>
      <c r="M299" s="2" t="s">
        <v>146</v>
      </c>
      <c r="N299" s="2" t="s">
        <v>146</v>
      </c>
      <c r="O299" s="2" t="s">
        <v>146</v>
      </c>
      <c r="P299" s="2" t="s">
        <v>146</v>
      </c>
      <c r="Q299" s="2" t="s">
        <v>146</v>
      </c>
      <c r="R299" s="2" t="s">
        <v>146</v>
      </c>
      <c r="S299" s="2" t="s">
        <v>146</v>
      </c>
      <c r="T299" s="2" t="s">
        <v>146</v>
      </c>
      <c r="U299" s="2" t="s">
        <v>146</v>
      </c>
      <c r="V299" s="2" t="s">
        <v>146</v>
      </c>
      <c r="W299" s="2" t="s">
        <v>146</v>
      </c>
      <c r="X299" s="2" t="s">
        <v>146</v>
      </c>
      <c r="Y299" s="2" t="s">
        <v>146</v>
      </c>
      <c r="Z299" s="2" t="s">
        <v>146</v>
      </c>
      <c r="AA299" s="2" t="s">
        <v>146</v>
      </c>
      <c r="AB299" s="2" t="s">
        <v>146</v>
      </c>
      <c r="AC299" s="2" t="s">
        <v>146</v>
      </c>
      <c r="AD299" s="2" t="s">
        <v>146</v>
      </c>
      <c r="AE299" s="2" t="s">
        <v>146</v>
      </c>
      <c r="AF299" s="2" t="s">
        <v>146</v>
      </c>
      <c r="AG299" s="2" t="s">
        <v>146</v>
      </c>
      <c r="AH299" s="2" t="s">
        <v>146</v>
      </c>
      <c r="AI299" s="2" t="s">
        <v>146</v>
      </c>
      <c r="AJ299" s="2" t="s">
        <v>146</v>
      </c>
      <c r="AK299" s="2" t="s">
        <v>146</v>
      </c>
      <c r="AL299" s="2" t="s">
        <v>146</v>
      </c>
      <c r="AM299" s="2" t="s">
        <v>146</v>
      </c>
      <c r="AN299" s="2" t="s">
        <v>146</v>
      </c>
      <c r="AO299" s="2" t="s">
        <v>146</v>
      </c>
      <c r="AQ299" s="2">
        <f t="shared" si="44"/>
        <v>0</v>
      </c>
      <c r="AR299" s="2">
        <f t="shared" si="45"/>
        <v>0</v>
      </c>
      <c r="AT299" s="2">
        <f t="shared" si="46"/>
        <v>0</v>
      </c>
      <c r="AU299" s="2">
        <f t="shared" si="47"/>
        <v>0</v>
      </c>
      <c r="AV299" s="27" t="str">
        <f t="shared" si="48"/>
        <v/>
      </c>
      <c r="AY299" s="2">
        <f t="shared" si="49"/>
        <v>0</v>
      </c>
      <c r="AZ299" s="2">
        <f t="shared" si="50"/>
        <v>0</v>
      </c>
      <c r="BA299" s="2">
        <f t="shared" si="51"/>
        <v>0</v>
      </c>
      <c r="BB299" s="2">
        <f t="shared" si="52"/>
        <v>0</v>
      </c>
      <c r="BC299" s="2">
        <f t="shared" si="53"/>
        <v>0</v>
      </c>
      <c r="BD299" s="2">
        <f t="shared" si="54"/>
        <v>0</v>
      </c>
    </row>
    <row r="300" spans="1:56" ht="15" customHeight="1" x14ac:dyDescent="0.45">
      <c r="A300" s="2" t="s">
        <v>289</v>
      </c>
      <c r="B300" s="2" t="s">
        <v>291</v>
      </c>
      <c r="C300" s="2">
        <v>2019</v>
      </c>
      <c r="D300" s="2">
        <v>1206</v>
      </c>
      <c r="E300" s="2">
        <v>311.5</v>
      </c>
      <c r="F300" s="2">
        <v>46.25</v>
      </c>
      <c r="G300" s="2" t="s">
        <v>726</v>
      </c>
      <c r="H300" s="2">
        <v>80.5</v>
      </c>
      <c r="I300" s="2">
        <v>2017.3</v>
      </c>
      <c r="J300" s="2">
        <v>16.600000000000001</v>
      </c>
      <c r="K300" s="2">
        <v>8.5</v>
      </c>
      <c r="L300" s="2" t="s">
        <v>146</v>
      </c>
      <c r="M300" s="2">
        <v>12.6</v>
      </c>
      <c r="N300" s="2" t="s">
        <v>146</v>
      </c>
      <c r="O300" s="2" t="s">
        <v>146</v>
      </c>
      <c r="P300" s="2">
        <v>29.1</v>
      </c>
      <c r="Q300" s="2">
        <v>33.4</v>
      </c>
      <c r="R300" s="2">
        <v>1.2</v>
      </c>
      <c r="S300" s="2">
        <v>13.5</v>
      </c>
      <c r="T300" s="2" t="s">
        <v>146</v>
      </c>
      <c r="U300" s="2" t="s">
        <v>146</v>
      </c>
      <c r="V300" s="2">
        <v>22.5</v>
      </c>
      <c r="W300" s="2" t="s">
        <v>147</v>
      </c>
      <c r="X300" s="2" t="s">
        <v>146</v>
      </c>
      <c r="Y300" s="2" t="s">
        <v>146</v>
      </c>
      <c r="Z300" s="2" t="s">
        <v>146</v>
      </c>
      <c r="AA300" s="2">
        <v>225.4</v>
      </c>
      <c r="AB300" s="2" t="s">
        <v>146</v>
      </c>
      <c r="AC300" s="2" t="s">
        <v>146</v>
      </c>
      <c r="AD300" s="2" t="s">
        <v>146</v>
      </c>
      <c r="AE300" s="2" t="s">
        <v>146</v>
      </c>
      <c r="AF300" s="2">
        <v>1462.2</v>
      </c>
      <c r="AG300" s="2">
        <v>8.5</v>
      </c>
      <c r="AH300" s="2" t="s">
        <v>233</v>
      </c>
      <c r="AI300" s="2">
        <v>42</v>
      </c>
      <c r="AJ300" s="2" t="s">
        <v>146</v>
      </c>
      <c r="AK300" s="2">
        <v>192.3</v>
      </c>
      <c r="AL300" s="2">
        <v>18</v>
      </c>
      <c r="AM300" s="2">
        <v>81</v>
      </c>
      <c r="AN300" s="2">
        <v>0</v>
      </c>
      <c r="AO300" s="2" t="s">
        <v>146</v>
      </c>
      <c r="AQ300" s="2">
        <f t="shared" si="44"/>
        <v>1825</v>
      </c>
      <c r="AR300" s="2">
        <f t="shared" si="45"/>
        <v>2017.3</v>
      </c>
      <c r="AT300" s="2">
        <f t="shared" si="46"/>
        <v>1206</v>
      </c>
      <c r="AU300" s="2">
        <f t="shared" si="47"/>
        <v>311.5</v>
      </c>
      <c r="AV300" s="27">
        <f t="shared" si="48"/>
        <v>0.75224309720914095</v>
      </c>
      <c r="AY300" s="2">
        <f t="shared" si="49"/>
        <v>192.3</v>
      </c>
      <c r="AZ300" s="2">
        <f t="shared" si="50"/>
        <v>34.613999999999997</v>
      </c>
      <c r="BA300" s="2">
        <f t="shared" si="51"/>
        <v>155.76300000000003</v>
      </c>
      <c r="BB300" s="2">
        <f t="shared" si="52"/>
        <v>0</v>
      </c>
      <c r="BC300" s="2">
        <f t="shared" si="53"/>
        <v>0</v>
      </c>
      <c r="BD300" s="2">
        <f t="shared" si="54"/>
        <v>1.9229999999999734</v>
      </c>
    </row>
    <row r="301" spans="1:56" ht="15" customHeight="1" x14ac:dyDescent="0.45">
      <c r="A301" s="2" t="s">
        <v>289</v>
      </c>
      <c r="B301" s="2" t="s">
        <v>290</v>
      </c>
      <c r="C301" s="2">
        <v>2019</v>
      </c>
      <c r="D301" s="2" t="s">
        <v>146</v>
      </c>
      <c r="E301" s="2" t="s">
        <v>146</v>
      </c>
      <c r="F301" s="2" t="s">
        <v>146</v>
      </c>
      <c r="G301" s="2" t="s">
        <v>146</v>
      </c>
      <c r="H301" s="2" t="s">
        <v>146</v>
      </c>
      <c r="I301" s="2" t="s">
        <v>146</v>
      </c>
      <c r="J301" s="2" t="s">
        <v>146</v>
      </c>
      <c r="K301" s="2" t="s">
        <v>146</v>
      </c>
      <c r="L301" s="2" t="s">
        <v>146</v>
      </c>
      <c r="M301" s="2" t="s">
        <v>146</v>
      </c>
      <c r="N301" s="2" t="s">
        <v>146</v>
      </c>
      <c r="O301" s="2" t="s">
        <v>146</v>
      </c>
      <c r="P301" s="2" t="s">
        <v>146</v>
      </c>
      <c r="Q301" s="2" t="s">
        <v>146</v>
      </c>
      <c r="R301" s="2" t="s">
        <v>146</v>
      </c>
      <c r="S301" s="2" t="s">
        <v>146</v>
      </c>
      <c r="T301" s="2" t="s">
        <v>146</v>
      </c>
      <c r="U301" s="2" t="s">
        <v>146</v>
      </c>
      <c r="V301" s="2" t="s">
        <v>146</v>
      </c>
      <c r="W301" s="2" t="s">
        <v>146</v>
      </c>
      <c r="X301" s="2" t="s">
        <v>146</v>
      </c>
      <c r="Y301" s="2" t="s">
        <v>146</v>
      </c>
      <c r="Z301" s="2" t="s">
        <v>146</v>
      </c>
      <c r="AA301" s="2" t="s">
        <v>146</v>
      </c>
      <c r="AB301" s="2" t="s">
        <v>146</v>
      </c>
      <c r="AC301" s="2" t="s">
        <v>146</v>
      </c>
      <c r="AD301" s="2" t="s">
        <v>146</v>
      </c>
      <c r="AE301" s="2" t="s">
        <v>146</v>
      </c>
      <c r="AF301" s="2" t="s">
        <v>146</v>
      </c>
      <c r="AG301" s="2" t="s">
        <v>146</v>
      </c>
      <c r="AH301" s="2" t="s">
        <v>146</v>
      </c>
      <c r="AI301" s="2" t="s">
        <v>146</v>
      </c>
      <c r="AJ301" s="2" t="s">
        <v>146</v>
      </c>
      <c r="AK301" s="2" t="s">
        <v>146</v>
      </c>
      <c r="AL301" s="2" t="s">
        <v>146</v>
      </c>
      <c r="AM301" s="2" t="s">
        <v>146</v>
      </c>
      <c r="AN301" s="2" t="s">
        <v>146</v>
      </c>
      <c r="AO301" s="2" t="s">
        <v>146</v>
      </c>
      <c r="AQ301" s="2">
        <f t="shared" si="44"/>
        <v>0</v>
      </c>
      <c r="AR301" s="2">
        <f t="shared" si="45"/>
        <v>0</v>
      </c>
      <c r="AT301" s="2">
        <f t="shared" si="46"/>
        <v>0</v>
      </c>
      <c r="AU301" s="2">
        <f t="shared" si="47"/>
        <v>0</v>
      </c>
      <c r="AV301" s="27" t="str">
        <f t="shared" si="48"/>
        <v/>
      </c>
      <c r="AY301" s="2">
        <f t="shared" si="49"/>
        <v>0</v>
      </c>
      <c r="AZ301" s="2">
        <f t="shared" si="50"/>
        <v>0</v>
      </c>
      <c r="BA301" s="2">
        <f t="shared" si="51"/>
        <v>0</v>
      </c>
      <c r="BB301" s="2">
        <f t="shared" si="52"/>
        <v>0</v>
      </c>
      <c r="BC301" s="2">
        <f t="shared" si="53"/>
        <v>0</v>
      </c>
      <c r="BD301" s="2">
        <f t="shared" si="54"/>
        <v>0</v>
      </c>
    </row>
    <row r="302" spans="1:56" ht="15" customHeight="1" x14ac:dyDescent="0.45">
      <c r="A302" s="2" t="s">
        <v>289</v>
      </c>
      <c r="B302" s="2" t="s">
        <v>288</v>
      </c>
      <c r="C302" s="2">
        <v>2019</v>
      </c>
      <c r="D302" s="2" t="s">
        <v>146</v>
      </c>
      <c r="E302" s="2" t="s">
        <v>146</v>
      </c>
      <c r="F302" s="2" t="s">
        <v>146</v>
      </c>
      <c r="G302" s="2" t="s">
        <v>146</v>
      </c>
      <c r="H302" s="2" t="s">
        <v>146</v>
      </c>
      <c r="I302" s="2" t="s">
        <v>146</v>
      </c>
      <c r="J302" s="2" t="s">
        <v>146</v>
      </c>
      <c r="K302" s="2" t="s">
        <v>146</v>
      </c>
      <c r="L302" s="2" t="s">
        <v>146</v>
      </c>
      <c r="M302" s="2" t="s">
        <v>146</v>
      </c>
      <c r="N302" s="2" t="s">
        <v>146</v>
      </c>
      <c r="O302" s="2" t="s">
        <v>146</v>
      </c>
      <c r="P302" s="2" t="s">
        <v>146</v>
      </c>
      <c r="Q302" s="2" t="s">
        <v>146</v>
      </c>
      <c r="R302" s="2" t="s">
        <v>146</v>
      </c>
      <c r="S302" s="2" t="s">
        <v>146</v>
      </c>
      <c r="T302" s="2" t="s">
        <v>146</v>
      </c>
      <c r="U302" s="2" t="s">
        <v>146</v>
      </c>
      <c r="V302" s="2" t="s">
        <v>146</v>
      </c>
      <c r="W302" s="2" t="s">
        <v>146</v>
      </c>
      <c r="X302" s="2" t="s">
        <v>146</v>
      </c>
      <c r="Y302" s="2" t="s">
        <v>146</v>
      </c>
      <c r="Z302" s="2" t="s">
        <v>146</v>
      </c>
      <c r="AA302" s="2" t="s">
        <v>146</v>
      </c>
      <c r="AB302" s="2" t="s">
        <v>146</v>
      </c>
      <c r="AC302" s="2" t="s">
        <v>146</v>
      </c>
      <c r="AD302" s="2" t="s">
        <v>146</v>
      </c>
      <c r="AE302" s="2" t="s">
        <v>146</v>
      </c>
      <c r="AF302" s="2" t="s">
        <v>146</v>
      </c>
      <c r="AG302" s="2" t="s">
        <v>146</v>
      </c>
      <c r="AH302" s="2" t="s">
        <v>146</v>
      </c>
      <c r="AI302" s="2" t="s">
        <v>146</v>
      </c>
      <c r="AJ302" s="2" t="s">
        <v>146</v>
      </c>
      <c r="AK302" s="2" t="s">
        <v>146</v>
      </c>
      <c r="AL302" s="2" t="s">
        <v>146</v>
      </c>
      <c r="AM302" s="2" t="s">
        <v>146</v>
      </c>
      <c r="AN302" s="2" t="s">
        <v>146</v>
      </c>
      <c r="AO302" s="2" t="s">
        <v>146</v>
      </c>
      <c r="AQ302" s="2">
        <f t="shared" si="44"/>
        <v>0</v>
      </c>
      <c r="AR302" s="2">
        <f t="shared" si="45"/>
        <v>0</v>
      </c>
      <c r="AT302" s="2">
        <f t="shared" si="46"/>
        <v>0</v>
      </c>
      <c r="AU302" s="2">
        <f t="shared" si="47"/>
        <v>0</v>
      </c>
      <c r="AV302" s="27" t="str">
        <f t="shared" si="48"/>
        <v/>
      </c>
      <c r="AY302" s="2">
        <f t="shared" si="49"/>
        <v>0</v>
      </c>
      <c r="AZ302" s="2">
        <f t="shared" si="50"/>
        <v>0</v>
      </c>
      <c r="BA302" s="2">
        <f t="shared" si="51"/>
        <v>0</v>
      </c>
      <c r="BB302" s="2">
        <f t="shared" si="52"/>
        <v>0</v>
      </c>
      <c r="BC302" s="2">
        <f t="shared" si="53"/>
        <v>0</v>
      </c>
      <c r="BD302" s="2">
        <f t="shared" si="54"/>
        <v>0</v>
      </c>
    </row>
    <row r="303" spans="1:56" ht="15" customHeight="1" x14ac:dyDescent="0.45">
      <c r="A303" s="2" t="s">
        <v>286</v>
      </c>
      <c r="B303" s="2" t="s">
        <v>287</v>
      </c>
      <c r="C303" s="2">
        <v>2019</v>
      </c>
      <c r="D303" s="2" t="s">
        <v>146</v>
      </c>
      <c r="E303" s="2" t="s">
        <v>146</v>
      </c>
      <c r="F303" s="2" t="s">
        <v>146</v>
      </c>
      <c r="G303" s="2" t="s">
        <v>146</v>
      </c>
      <c r="H303" s="2" t="s">
        <v>146</v>
      </c>
      <c r="I303" s="2" t="s">
        <v>146</v>
      </c>
      <c r="J303" s="2" t="s">
        <v>146</v>
      </c>
      <c r="K303" s="2" t="s">
        <v>146</v>
      </c>
      <c r="L303" s="2" t="s">
        <v>146</v>
      </c>
      <c r="M303" s="2" t="s">
        <v>146</v>
      </c>
      <c r="N303" s="2" t="s">
        <v>146</v>
      </c>
      <c r="O303" s="2" t="s">
        <v>146</v>
      </c>
      <c r="P303" s="2" t="s">
        <v>146</v>
      </c>
      <c r="Q303" s="2" t="s">
        <v>146</v>
      </c>
      <c r="R303" s="2" t="s">
        <v>146</v>
      </c>
      <c r="S303" s="2" t="s">
        <v>146</v>
      </c>
      <c r="T303" s="2" t="s">
        <v>146</v>
      </c>
      <c r="U303" s="2" t="s">
        <v>146</v>
      </c>
      <c r="V303" s="2" t="s">
        <v>146</v>
      </c>
      <c r="W303" s="2" t="s">
        <v>146</v>
      </c>
      <c r="X303" s="2" t="s">
        <v>146</v>
      </c>
      <c r="Y303" s="2" t="s">
        <v>146</v>
      </c>
      <c r="Z303" s="2" t="s">
        <v>146</v>
      </c>
      <c r="AA303" s="2" t="s">
        <v>146</v>
      </c>
      <c r="AB303" s="2" t="s">
        <v>146</v>
      </c>
      <c r="AC303" s="2" t="s">
        <v>146</v>
      </c>
      <c r="AD303" s="2" t="s">
        <v>146</v>
      </c>
      <c r="AE303" s="2" t="s">
        <v>146</v>
      </c>
      <c r="AF303" s="2" t="s">
        <v>146</v>
      </c>
      <c r="AG303" s="2" t="s">
        <v>146</v>
      </c>
      <c r="AH303" s="2" t="s">
        <v>146</v>
      </c>
      <c r="AI303" s="2" t="s">
        <v>146</v>
      </c>
      <c r="AJ303" s="2" t="s">
        <v>146</v>
      </c>
      <c r="AK303" s="2" t="s">
        <v>146</v>
      </c>
      <c r="AL303" s="2" t="s">
        <v>146</v>
      </c>
      <c r="AM303" s="2" t="s">
        <v>146</v>
      </c>
      <c r="AN303" s="2" t="s">
        <v>146</v>
      </c>
      <c r="AO303" s="2" t="s">
        <v>146</v>
      </c>
      <c r="AQ303" s="2">
        <f t="shared" si="44"/>
        <v>0</v>
      </c>
      <c r="AR303" s="2">
        <f t="shared" si="45"/>
        <v>0</v>
      </c>
      <c r="AT303" s="2">
        <f t="shared" si="46"/>
        <v>0</v>
      </c>
      <c r="AU303" s="2">
        <f t="shared" si="47"/>
        <v>0</v>
      </c>
      <c r="AV303" s="27" t="str">
        <f t="shared" si="48"/>
        <v/>
      </c>
      <c r="AY303" s="2">
        <f t="shared" si="49"/>
        <v>0</v>
      </c>
      <c r="AZ303" s="2">
        <f t="shared" si="50"/>
        <v>0</v>
      </c>
      <c r="BA303" s="2">
        <f t="shared" si="51"/>
        <v>0</v>
      </c>
      <c r="BB303" s="2">
        <f t="shared" si="52"/>
        <v>0</v>
      </c>
      <c r="BC303" s="2">
        <f t="shared" si="53"/>
        <v>0</v>
      </c>
      <c r="BD303" s="2">
        <f t="shared" si="54"/>
        <v>0</v>
      </c>
    </row>
    <row r="304" spans="1:56" ht="15" customHeight="1" x14ac:dyDescent="0.45">
      <c r="A304" s="2" t="s">
        <v>286</v>
      </c>
      <c r="B304" s="2" t="s">
        <v>285</v>
      </c>
      <c r="C304" s="2">
        <v>2019</v>
      </c>
      <c r="D304" s="2">
        <v>448.77</v>
      </c>
      <c r="E304" s="2">
        <v>223</v>
      </c>
      <c r="F304" s="2" t="s">
        <v>146</v>
      </c>
      <c r="G304" s="2" t="s">
        <v>146</v>
      </c>
      <c r="H304" s="2" t="s">
        <v>146</v>
      </c>
      <c r="I304" s="2">
        <v>903.76</v>
      </c>
      <c r="J304" s="2" t="s">
        <v>146</v>
      </c>
      <c r="K304" s="2">
        <v>1.27</v>
      </c>
      <c r="L304" s="2" t="s">
        <v>146</v>
      </c>
      <c r="M304" s="2" t="s">
        <v>146</v>
      </c>
      <c r="N304" s="2" t="s">
        <v>146</v>
      </c>
      <c r="O304" s="2" t="s">
        <v>146</v>
      </c>
      <c r="P304" s="2" t="s">
        <v>146</v>
      </c>
      <c r="Q304" s="2">
        <v>15.99</v>
      </c>
      <c r="R304" s="2">
        <v>0.04</v>
      </c>
      <c r="S304" s="2">
        <v>70.22</v>
      </c>
      <c r="T304" s="2">
        <v>133</v>
      </c>
      <c r="U304" s="2">
        <v>0</v>
      </c>
      <c r="V304" s="2">
        <v>1.63</v>
      </c>
      <c r="W304" s="2" t="s">
        <v>433</v>
      </c>
      <c r="X304" s="2" t="s">
        <v>146</v>
      </c>
      <c r="Y304" s="2" t="s">
        <v>146</v>
      </c>
      <c r="Z304" s="2" t="s">
        <v>146</v>
      </c>
      <c r="AA304" s="2">
        <v>510.13</v>
      </c>
      <c r="AB304" s="2" t="s">
        <v>146</v>
      </c>
      <c r="AC304" s="2" t="s">
        <v>146</v>
      </c>
      <c r="AD304" s="2" t="s">
        <v>146</v>
      </c>
      <c r="AE304" s="2" t="s">
        <v>146</v>
      </c>
      <c r="AF304" s="2">
        <v>40.31</v>
      </c>
      <c r="AG304" s="2">
        <v>6.7000000000000004E-2</v>
      </c>
      <c r="AH304" s="2" t="s">
        <v>233</v>
      </c>
      <c r="AI304" s="2">
        <v>47.816000000000003</v>
      </c>
      <c r="AJ304" s="2" t="s">
        <v>146</v>
      </c>
      <c r="AK304" s="2">
        <v>131.16999999999999</v>
      </c>
      <c r="AL304" s="2">
        <v>94.58</v>
      </c>
      <c r="AM304" s="2">
        <v>5.24</v>
      </c>
      <c r="AN304" s="2">
        <v>0.18</v>
      </c>
      <c r="AO304" s="2">
        <v>0</v>
      </c>
      <c r="AQ304" s="2">
        <f t="shared" si="44"/>
        <v>772.58999999999992</v>
      </c>
      <c r="AR304" s="2">
        <f t="shared" si="45"/>
        <v>903.75999999999988</v>
      </c>
      <c r="AT304" s="2">
        <f t="shared" si="46"/>
        <v>448.77</v>
      </c>
      <c r="AU304" s="2">
        <f t="shared" si="47"/>
        <v>223</v>
      </c>
      <c r="AV304" s="27">
        <f t="shared" si="48"/>
        <v>0.74330574488802348</v>
      </c>
      <c r="AY304" s="2">
        <f t="shared" si="49"/>
        <v>131.16999999999999</v>
      </c>
      <c r="AZ304" s="2">
        <f t="shared" si="50"/>
        <v>124.06058599999999</v>
      </c>
      <c r="BA304" s="2">
        <f t="shared" si="51"/>
        <v>6.8733079999999998</v>
      </c>
      <c r="BB304" s="2">
        <f t="shared" si="52"/>
        <v>0.23610599999999998</v>
      </c>
      <c r="BC304" s="2">
        <f t="shared" si="53"/>
        <v>0</v>
      </c>
      <c r="BD304" s="2">
        <f t="shared" si="54"/>
        <v>0</v>
      </c>
    </row>
    <row r="305" spans="1:56" ht="15" customHeight="1" x14ac:dyDescent="0.45">
      <c r="A305" s="2" t="s">
        <v>284</v>
      </c>
      <c r="B305" s="2" t="s">
        <v>283</v>
      </c>
      <c r="C305" s="2">
        <v>2019</v>
      </c>
      <c r="D305" s="2">
        <v>51.552</v>
      </c>
      <c r="E305" s="2">
        <v>10.23</v>
      </c>
      <c r="F305" s="2" t="s">
        <v>146</v>
      </c>
      <c r="G305" s="2" t="s">
        <v>146</v>
      </c>
      <c r="H305" s="2" t="s">
        <v>146</v>
      </c>
      <c r="I305" s="2">
        <v>66.447000000000003</v>
      </c>
      <c r="J305" s="2" t="s">
        <v>146</v>
      </c>
      <c r="K305" s="2">
        <v>0.05</v>
      </c>
      <c r="L305" s="2" t="s">
        <v>146</v>
      </c>
      <c r="M305" s="2" t="s">
        <v>146</v>
      </c>
      <c r="N305" s="2" t="s">
        <v>146</v>
      </c>
      <c r="O305" s="2" t="s">
        <v>146</v>
      </c>
      <c r="P305" s="2" t="s">
        <v>146</v>
      </c>
      <c r="Q305" s="2">
        <v>2.6349999999999998</v>
      </c>
      <c r="R305" s="2" t="s">
        <v>146</v>
      </c>
      <c r="S305" s="2" t="s">
        <v>146</v>
      </c>
      <c r="T305" s="2" t="s">
        <v>146</v>
      </c>
      <c r="U305" s="2" t="s">
        <v>146</v>
      </c>
      <c r="V305" s="2" t="s">
        <v>146</v>
      </c>
      <c r="W305" s="2" t="s">
        <v>147</v>
      </c>
      <c r="X305" s="2" t="s">
        <v>146</v>
      </c>
      <c r="Y305" s="2" t="s">
        <v>146</v>
      </c>
      <c r="Z305" s="2" t="s">
        <v>146</v>
      </c>
      <c r="AA305" s="2">
        <v>63.079000000000001</v>
      </c>
      <c r="AB305" s="2" t="s">
        <v>146</v>
      </c>
      <c r="AC305" s="2" t="s">
        <v>146</v>
      </c>
      <c r="AD305" s="2">
        <v>0.68300000000000005</v>
      </c>
      <c r="AE305" s="2" t="s">
        <v>146</v>
      </c>
      <c r="AF305" s="2" t="s">
        <v>146</v>
      </c>
      <c r="AG305" s="2" t="s">
        <v>146</v>
      </c>
      <c r="AH305" s="2" t="s">
        <v>146</v>
      </c>
      <c r="AI305" s="2" t="s">
        <v>146</v>
      </c>
      <c r="AJ305" s="2" t="s">
        <v>146</v>
      </c>
      <c r="AK305" s="2" t="s">
        <v>146</v>
      </c>
      <c r="AL305" s="2" t="s">
        <v>146</v>
      </c>
      <c r="AM305" s="2" t="s">
        <v>146</v>
      </c>
      <c r="AN305" s="2" t="s">
        <v>146</v>
      </c>
      <c r="AO305" s="2" t="s">
        <v>146</v>
      </c>
      <c r="AQ305" s="2">
        <f t="shared" si="44"/>
        <v>66.447000000000003</v>
      </c>
      <c r="AR305" s="2">
        <f t="shared" si="45"/>
        <v>66.447000000000003</v>
      </c>
      <c r="AT305" s="2">
        <f t="shared" si="46"/>
        <v>51.552</v>
      </c>
      <c r="AU305" s="2">
        <f t="shared" si="47"/>
        <v>10.23</v>
      </c>
      <c r="AV305" s="27">
        <f t="shared" si="48"/>
        <v>0.92979367014312153</v>
      </c>
      <c r="AY305" s="2">
        <f t="shared" si="49"/>
        <v>0</v>
      </c>
      <c r="AZ305" s="2">
        <f t="shared" si="50"/>
        <v>0</v>
      </c>
      <c r="BA305" s="2">
        <f t="shared" si="51"/>
        <v>0</v>
      </c>
      <c r="BB305" s="2">
        <f t="shared" si="52"/>
        <v>0</v>
      </c>
      <c r="BC305" s="2">
        <f t="shared" si="53"/>
        <v>0</v>
      </c>
      <c r="BD305" s="2">
        <f t="shared" si="54"/>
        <v>0</v>
      </c>
    </row>
    <row r="306" spans="1:56" ht="15" customHeight="1" x14ac:dyDescent="0.45">
      <c r="A306" s="2" t="s">
        <v>280</v>
      </c>
      <c r="B306" s="2" t="s">
        <v>282</v>
      </c>
      <c r="C306" s="2">
        <v>2019</v>
      </c>
      <c r="D306" s="2" t="s">
        <v>146</v>
      </c>
      <c r="E306" s="2" t="s">
        <v>146</v>
      </c>
      <c r="F306" s="2" t="s">
        <v>146</v>
      </c>
      <c r="G306" s="2" t="s">
        <v>146</v>
      </c>
      <c r="H306" s="2" t="s">
        <v>146</v>
      </c>
      <c r="I306" s="2" t="s">
        <v>146</v>
      </c>
      <c r="J306" s="2" t="s">
        <v>146</v>
      </c>
      <c r="K306" s="2" t="s">
        <v>146</v>
      </c>
      <c r="L306" s="2" t="s">
        <v>146</v>
      </c>
      <c r="M306" s="2" t="s">
        <v>146</v>
      </c>
      <c r="N306" s="2" t="s">
        <v>146</v>
      </c>
      <c r="O306" s="2" t="s">
        <v>146</v>
      </c>
      <c r="P306" s="2" t="s">
        <v>146</v>
      </c>
      <c r="Q306" s="2" t="s">
        <v>146</v>
      </c>
      <c r="R306" s="2" t="s">
        <v>146</v>
      </c>
      <c r="S306" s="2" t="s">
        <v>146</v>
      </c>
      <c r="T306" s="2" t="s">
        <v>146</v>
      </c>
      <c r="U306" s="2" t="s">
        <v>146</v>
      </c>
      <c r="V306" s="2" t="s">
        <v>146</v>
      </c>
      <c r="W306" s="2" t="s">
        <v>146</v>
      </c>
      <c r="X306" s="2" t="s">
        <v>146</v>
      </c>
      <c r="Y306" s="2" t="s">
        <v>146</v>
      </c>
      <c r="Z306" s="2" t="s">
        <v>146</v>
      </c>
      <c r="AA306" s="2" t="s">
        <v>146</v>
      </c>
      <c r="AB306" s="2" t="s">
        <v>146</v>
      </c>
      <c r="AC306" s="2" t="s">
        <v>146</v>
      </c>
      <c r="AD306" s="2" t="s">
        <v>146</v>
      </c>
      <c r="AE306" s="2" t="s">
        <v>146</v>
      </c>
      <c r="AF306" s="2" t="s">
        <v>146</v>
      </c>
      <c r="AG306" s="2" t="s">
        <v>146</v>
      </c>
      <c r="AH306" s="2" t="s">
        <v>146</v>
      </c>
      <c r="AI306" s="2" t="s">
        <v>146</v>
      </c>
      <c r="AJ306" s="2" t="s">
        <v>146</v>
      </c>
      <c r="AK306" s="2" t="s">
        <v>146</v>
      </c>
      <c r="AL306" s="2" t="s">
        <v>146</v>
      </c>
      <c r="AM306" s="2" t="s">
        <v>146</v>
      </c>
      <c r="AN306" s="2" t="s">
        <v>146</v>
      </c>
      <c r="AO306" s="2" t="s">
        <v>146</v>
      </c>
      <c r="AQ306" s="2">
        <f t="shared" si="44"/>
        <v>0</v>
      </c>
      <c r="AR306" s="2">
        <f t="shared" si="45"/>
        <v>0</v>
      </c>
      <c r="AT306" s="2">
        <f t="shared" si="46"/>
        <v>0</v>
      </c>
      <c r="AU306" s="2">
        <f t="shared" si="47"/>
        <v>0</v>
      </c>
      <c r="AV306" s="27" t="str">
        <f t="shared" si="48"/>
        <v/>
      </c>
      <c r="AY306" s="2">
        <f t="shared" si="49"/>
        <v>0</v>
      </c>
      <c r="AZ306" s="2">
        <f t="shared" si="50"/>
        <v>0</v>
      </c>
      <c r="BA306" s="2">
        <f t="shared" si="51"/>
        <v>0</v>
      </c>
      <c r="BB306" s="2">
        <f t="shared" si="52"/>
        <v>0</v>
      </c>
      <c r="BC306" s="2">
        <f t="shared" si="53"/>
        <v>0</v>
      </c>
      <c r="BD306" s="2">
        <f t="shared" si="54"/>
        <v>0</v>
      </c>
    </row>
    <row r="307" spans="1:56" ht="15" customHeight="1" x14ac:dyDescent="0.45">
      <c r="A307" s="2" t="s">
        <v>280</v>
      </c>
      <c r="B307" s="2" t="s">
        <v>281</v>
      </c>
      <c r="C307" s="2">
        <v>2019</v>
      </c>
      <c r="D307" s="2" t="s">
        <v>146</v>
      </c>
      <c r="E307" s="2" t="s">
        <v>146</v>
      </c>
      <c r="F307" s="2" t="s">
        <v>146</v>
      </c>
      <c r="G307" s="2" t="s">
        <v>146</v>
      </c>
      <c r="H307" s="2" t="s">
        <v>146</v>
      </c>
      <c r="I307" s="2" t="s">
        <v>146</v>
      </c>
      <c r="J307" s="2" t="s">
        <v>146</v>
      </c>
      <c r="K307" s="2" t="s">
        <v>146</v>
      </c>
      <c r="L307" s="2" t="s">
        <v>146</v>
      </c>
      <c r="M307" s="2" t="s">
        <v>146</v>
      </c>
      <c r="N307" s="2" t="s">
        <v>146</v>
      </c>
      <c r="O307" s="2" t="s">
        <v>146</v>
      </c>
      <c r="P307" s="2" t="s">
        <v>146</v>
      </c>
      <c r="Q307" s="2" t="s">
        <v>146</v>
      </c>
      <c r="R307" s="2" t="s">
        <v>146</v>
      </c>
      <c r="S307" s="2" t="s">
        <v>146</v>
      </c>
      <c r="T307" s="2" t="s">
        <v>146</v>
      </c>
      <c r="U307" s="2" t="s">
        <v>146</v>
      </c>
      <c r="V307" s="2" t="s">
        <v>146</v>
      </c>
      <c r="W307" s="2" t="s">
        <v>146</v>
      </c>
      <c r="X307" s="2" t="s">
        <v>146</v>
      </c>
      <c r="Y307" s="2" t="s">
        <v>146</v>
      </c>
      <c r="Z307" s="2" t="s">
        <v>146</v>
      </c>
      <c r="AA307" s="2" t="s">
        <v>146</v>
      </c>
      <c r="AB307" s="2" t="s">
        <v>146</v>
      </c>
      <c r="AC307" s="2" t="s">
        <v>146</v>
      </c>
      <c r="AD307" s="2" t="s">
        <v>146</v>
      </c>
      <c r="AE307" s="2" t="s">
        <v>146</v>
      </c>
      <c r="AF307" s="2" t="s">
        <v>146</v>
      </c>
      <c r="AG307" s="2" t="s">
        <v>146</v>
      </c>
      <c r="AH307" s="2" t="s">
        <v>146</v>
      </c>
      <c r="AI307" s="2" t="s">
        <v>146</v>
      </c>
      <c r="AJ307" s="2" t="s">
        <v>146</v>
      </c>
      <c r="AK307" s="2" t="s">
        <v>146</v>
      </c>
      <c r="AL307" s="2" t="s">
        <v>146</v>
      </c>
      <c r="AM307" s="2" t="s">
        <v>146</v>
      </c>
      <c r="AN307" s="2" t="s">
        <v>146</v>
      </c>
      <c r="AO307" s="2" t="s">
        <v>146</v>
      </c>
      <c r="AQ307" s="2">
        <f t="shared" si="44"/>
        <v>0</v>
      </c>
      <c r="AR307" s="2">
        <f t="shared" si="45"/>
        <v>0</v>
      </c>
      <c r="AT307" s="2">
        <f t="shared" si="46"/>
        <v>0</v>
      </c>
      <c r="AU307" s="2">
        <f t="shared" si="47"/>
        <v>0</v>
      </c>
      <c r="AV307" s="27" t="str">
        <f t="shared" si="48"/>
        <v/>
      </c>
      <c r="AY307" s="2">
        <f t="shared" si="49"/>
        <v>0</v>
      </c>
      <c r="AZ307" s="2">
        <f t="shared" si="50"/>
        <v>0</v>
      </c>
      <c r="BA307" s="2">
        <f t="shared" si="51"/>
        <v>0</v>
      </c>
      <c r="BB307" s="2">
        <f t="shared" si="52"/>
        <v>0</v>
      </c>
      <c r="BC307" s="2">
        <f t="shared" si="53"/>
        <v>0</v>
      </c>
      <c r="BD307" s="2">
        <f t="shared" si="54"/>
        <v>0</v>
      </c>
    </row>
    <row r="308" spans="1:56" ht="15" customHeight="1" x14ac:dyDescent="0.45">
      <c r="A308" s="2" t="s">
        <v>280</v>
      </c>
      <c r="B308" s="2" t="s">
        <v>279</v>
      </c>
      <c r="C308" s="2">
        <v>2019</v>
      </c>
      <c r="D308" s="2" t="s">
        <v>146</v>
      </c>
      <c r="E308" s="2" t="s">
        <v>146</v>
      </c>
      <c r="F308" s="2" t="s">
        <v>146</v>
      </c>
      <c r="G308" s="2" t="s">
        <v>146</v>
      </c>
      <c r="H308" s="2" t="s">
        <v>146</v>
      </c>
      <c r="I308" s="2" t="s">
        <v>146</v>
      </c>
      <c r="J308" s="2" t="s">
        <v>146</v>
      </c>
      <c r="K308" s="2" t="s">
        <v>146</v>
      </c>
      <c r="L308" s="2" t="s">
        <v>146</v>
      </c>
      <c r="M308" s="2" t="s">
        <v>146</v>
      </c>
      <c r="N308" s="2" t="s">
        <v>146</v>
      </c>
      <c r="O308" s="2" t="s">
        <v>146</v>
      </c>
      <c r="P308" s="2" t="s">
        <v>146</v>
      </c>
      <c r="Q308" s="2" t="s">
        <v>146</v>
      </c>
      <c r="R308" s="2" t="s">
        <v>146</v>
      </c>
      <c r="S308" s="2" t="s">
        <v>146</v>
      </c>
      <c r="T308" s="2" t="s">
        <v>146</v>
      </c>
      <c r="U308" s="2" t="s">
        <v>146</v>
      </c>
      <c r="V308" s="2" t="s">
        <v>146</v>
      </c>
      <c r="W308" s="2" t="s">
        <v>146</v>
      </c>
      <c r="X308" s="2" t="s">
        <v>146</v>
      </c>
      <c r="Y308" s="2" t="s">
        <v>146</v>
      </c>
      <c r="Z308" s="2" t="s">
        <v>146</v>
      </c>
      <c r="AA308" s="2" t="s">
        <v>146</v>
      </c>
      <c r="AB308" s="2" t="s">
        <v>146</v>
      </c>
      <c r="AC308" s="2" t="s">
        <v>146</v>
      </c>
      <c r="AD308" s="2" t="s">
        <v>146</v>
      </c>
      <c r="AE308" s="2" t="s">
        <v>146</v>
      </c>
      <c r="AF308" s="2" t="s">
        <v>146</v>
      </c>
      <c r="AG308" s="2" t="s">
        <v>146</v>
      </c>
      <c r="AH308" s="2" t="s">
        <v>146</v>
      </c>
      <c r="AI308" s="2" t="s">
        <v>146</v>
      </c>
      <c r="AJ308" s="2" t="s">
        <v>146</v>
      </c>
      <c r="AK308" s="2" t="s">
        <v>146</v>
      </c>
      <c r="AL308" s="2" t="s">
        <v>146</v>
      </c>
      <c r="AM308" s="2" t="s">
        <v>146</v>
      </c>
      <c r="AN308" s="2" t="s">
        <v>146</v>
      </c>
      <c r="AO308" s="2" t="s">
        <v>146</v>
      </c>
      <c r="AQ308" s="2">
        <f t="shared" si="44"/>
        <v>0</v>
      </c>
      <c r="AR308" s="2">
        <f t="shared" si="45"/>
        <v>0</v>
      </c>
      <c r="AT308" s="2">
        <f t="shared" si="46"/>
        <v>0</v>
      </c>
      <c r="AU308" s="2">
        <f t="shared" si="47"/>
        <v>0</v>
      </c>
      <c r="AV308" s="27" t="str">
        <f t="shared" si="48"/>
        <v/>
      </c>
      <c r="AY308" s="2">
        <f t="shared" si="49"/>
        <v>0</v>
      </c>
      <c r="AZ308" s="2">
        <f t="shared" si="50"/>
        <v>0</v>
      </c>
      <c r="BA308" s="2">
        <f t="shared" si="51"/>
        <v>0</v>
      </c>
      <c r="BB308" s="2">
        <f t="shared" si="52"/>
        <v>0</v>
      </c>
      <c r="BC308" s="2">
        <f t="shared" si="53"/>
        <v>0</v>
      </c>
      <c r="BD308" s="2">
        <f t="shared" si="54"/>
        <v>0</v>
      </c>
    </row>
    <row r="309" spans="1:56" ht="15" customHeight="1" x14ac:dyDescent="0.45">
      <c r="A309" s="2" t="s">
        <v>278</v>
      </c>
      <c r="B309" s="2" t="s">
        <v>278</v>
      </c>
      <c r="C309" s="2">
        <v>2019</v>
      </c>
      <c r="D309" s="2" t="s">
        <v>49</v>
      </c>
      <c r="E309" s="2" t="s">
        <v>49</v>
      </c>
      <c r="F309" s="2" t="s">
        <v>49</v>
      </c>
      <c r="G309" s="2" t="s">
        <v>49</v>
      </c>
      <c r="H309" s="2" t="s">
        <v>49</v>
      </c>
      <c r="I309" s="2" t="s">
        <v>49</v>
      </c>
      <c r="J309" s="2" t="s">
        <v>49</v>
      </c>
      <c r="K309" s="2" t="s">
        <v>49</v>
      </c>
      <c r="L309" s="2" t="s">
        <v>49</v>
      </c>
      <c r="M309" s="2" t="s">
        <v>49</v>
      </c>
      <c r="N309" s="2" t="s">
        <v>49</v>
      </c>
      <c r="O309" s="2" t="s">
        <v>49</v>
      </c>
      <c r="P309" s="2" t="s">
        <v>49</v>
      </c>
      <c r="Q309" s="2" t="s">
        <v>49</v>
      </c>
      <c r="R309" s="2" t="s">
        <v>49</v>
      </c>
      <c r="S309" s="2" t="s">
        <v>49</v>
      </c>
      <c r="T309" s="2" t="s">
        <v>49</v>
      </c>
      <c r="U309" s="2" t="s">
        <v>49</v>
      </c>
      <c r="V309" s="2" t="s">
        <v>49</v>
      </c>
      <c r="W309" s="2" t="s">
        <v>49</v>
      </c>
      <c r="X309" s="2" t="s">
        <v>49</v>
      </c>
      <c r="Y309" s="2" t="s">
        <v>49</v>
      </c>
      <c r="Z309" s="2" t="s">
        <v>49</v>
      </c>
      <c r="AA309" s="2" t="s">
        <v>49</v>
      </c>
      <c r="AB309" s="2" t="s">
        <v>49</v>
      </c>
      <c r="AC309" s="2" t="s">
        <v>49</v>
      </c>
      <c r="AD309" s="2" t="s">
        <v>49</v>
      </c>
      <c r="AE309" s="2" t="s">
        <v>49</v>
      </c>
      <c r="AF309" s="2" t="s">
        <v>49</v>
      </c>
      <c r="AG309" s="2" t="s">
        <v>49</v>
      </c>
      <c r="AH309" s="2" t="s">
        <v>49</v>
      </c>
      <c r="AI309" s="2" t="s">
        <v>49</v>
      </c>
      <c r="AJ309" s="2" t="s">
        <v>49</v>
      </c>
      <c r="AK309" s="2" t="s">
        <v>49</v>
      </c>
      <c r="AL309" s="2" t="s">
        <v>49</v>
      </c>
      <c r="AM309" s="2" t="s">
        <v>49</v>
      </c>
      <c r="AN309" s="2" t="s">
        <v>49</v>
      </c>
      <c r="AO309" s="2" t="s">
        <v>49</v>
      </c>
      <c r="AQ309" s="2">
        <f t="shared" si="44"/>
        <v>0</v>
      </c>
      <c r="AR309" s="2">
        <f t="shared" si="45"/>
        <v>0</v>
      </c>
      <c r="AT309" s="2">
        <f t="shared" si="46"/>
        <v>0</v>
      </c>
      <c r="AU309" s="2">
        <f t="shared" si="47"/>
        <v>0</v>
      </c>
      <c r="AV309" s="27" t="str">
        <f t="shared" si="48"/>
        <v/>
      </c>
      <c r="AY309" s="2">
        <f t="shared" si="49"/>
        <v>0</v>
      </c>
      <c r="AZ309" s="2">
        <f t="shared" si="50"/>
        <v>0</v>
      </c>
      <c r="BA309" s="2">
        <f t="shared" si="51"/>
        <v>0</v>
      </c>
      <c r="BB309" s="2">
        <f t="shared" si="52"/>
        <v>0</v>
      </c>
      <c r="BC309" s="2">
        <f t="shared" si="53"/>
        <v>0</v>
      </c>
      <c r="BD309" s="2">
        <f t="shared" si="54"/>
        <v>0</v>
      </c>
    </row>
    <row r="310" spans="1:56" ht="15" customHeight="1" x14ac:dyDescent="0.45">
      <c r="A310" s="2" t="s">
        <v>277</v>
      </c>
      <c r="B310" s="2" t="s">
        <v>130</v>
      </c>
      <c r="C310" s="2">
        <v>2019</v>
      </c>
      <c r="D310" s="2" t="s">
        <v>146</v>
      </c>
      <c r="E310" s="2" t="s">
        <v>146</v>
      </c>
      <c r="F310" s="2" t="s">
        <v>146</v>
      </c>
      <c r="G310" s="2" t="s">
        <v>146</v>
      </c>
      <c r="H310" s="2" t="s">
        <v>146</v>
      </c>
      <c r="I310" s="2" t="s">
        <v>146</v>
      </c>
      <c r="J310" s="2" t="s">
        <v>146</v>
      </c>
      <c r="K310" s="2" t="s">
        <v>146</v>
      </c>
      <c r="L310" s="2" t="s">
        <v>146</v>
      </c>
      <c r="M310" s="2" t="s">
        <v>146</v>
      </c>
      <c r="N310" s="2" t="s">
        <v>146</v>
      </c>
      <c r="O310" s="2" t="s">
        <v>146</v>
      </c>
      <c r="P310" s="2" t="s">
        <v>146</v>
      </c>
      <c r="Q310" s="2" t="s">
        <v>146</v>
      </c>
      <c r="R310" s="2" t="s">
        <v>146</v>
      </c>
      <c r="S310" s="2" t="s">
        <v>146</v>
      </c>
      <c r="T310" s="2" t="s">
        <v>146</v>
      </c>
      <c r="U310" s="2" t="s">
        <v>146</v>
      </c>
      <c r="V310" s="2" t="s">
        <v>146</v>
      </c>
      <c r="W310" s="2" t="s">
        <v>146</v>
      </c>
      <c r="X310" s="2" t="s">
        <v>146</v>
      </c>
      <c r="Y310" s="2" t="s">
        <v>146</v>
      </c>
      <c r="Z310" s="2" t="s">
        <v>146</v>
      </c>
      <c r="AA310" s="2" t="s">
        <v>146</v>
      </c>
      <c r="AB310" s="2" t="s">
        <v>146</v>
      </c>
      <c r="AC310" s="2" t="s">
        <v>146</v>
      </c>
      <c r="AD310" s="2" t="s">
        <v>146</v>
      </c>
      <c r="AE310" s="2" t="s">
        <v>146</v>
      </c>
      <c r="AF310" s="2" t="s">
        <v>146</v>
      </c>
      <c r="AG310" s="2" t="s">
        <v>146</v>
      </c>
      <c r="AH310" s="2" t="s">
        <v>146</v>
      </c>
      <c r="AI310" s="2" t="s">
        <v>146</v>
      </c>
      <c r="AJ310" s="2" t="s">
        <v>146</v>
      </c>
      <c r="AK310" s="2" t="s">
        <v>146</v>
      </c>
      <c r="AL310" s="2" t="s">
        <v>146</v>
      </c>
      <c r="AM310" s="2" t="s">
        <v>146</v>
      </c>
      <c r="AN310" s="2" t="s">
        <v>146</v>
      </c>
      <c r="AO310" s="2" t="s">
        <v>146</v>
      </c>
      <c r="AQ310" s="2">
        <f t="shared" si="44"/>
        <v>0</v>
      </c>
      <c r="AR310" s="2">
        <f t="shared" si="45"/>
        <v>0</v>
      </c>
      <c r="AT310" s="2">
        <f t="shared" si="46"/>
        <v>0</v>
      </c>
      <c r="AU310" s="2">
        <f t="shared" si="47"/>
        <v>0</v>
      </c>
      <c r="AV310" s="27" t="str">
        <f t="shared" si="48"/>
        <v/>
      </c>
      <c r="AY310" s="2">
        <f t="shared" si="49"/>
        <v>0</v>
      </c>
      <c r="AZ310" s="2">
        <f t="shared" si="50"/>
        <v>0</v>
      </c>
      <c r="BA310" s="2">
        <f t="shared" si="51"/>
        <v>0</v>
      </c>
      <c r="BB310" s="2">
        <f t="shared" si="52"/>
        <v>0</v>
      </c>
      <c r="BC310" s="2">
        <f t="shared" si="53"/>
        <v>0</v>
      </c>
      <c r="BD310" s="2">
        <f t="shared" si="54"/>
        <v>0</v>
      </c>
    </row>
    <row r="311" spans="1:56" ht="15" customHeight="1" x14ac:dyDescent="0.45">
      <c r="A311" s="2" t="s">
        <v>276</v>
      </c>
      <c r="B311" s="2" t="s">
        <v>275</v>
      </c>
      <c r="C311" s="2">
        <v>2019</v>
      </c>
      <c r="D311" s="2">
        <v>122.7</v>
      </c>
      <c r="E311" s="2">
        <v>28</v>
      </c>
      <c r="F311" s="2" t="s">
        <v>146</v>
      </c>
      <c r="G311" s="2" t="s">
        <v>146</v>
      </c>
      <c r="H311" s="2" t="s">
        <v>146</v>
      </c>
      <c r="I311" s="2">
        <v>184.85</v>
      </c>
      <c r="J311" s="2" t="s">
        <v>146</v>
      </c>
      <c r="K311" s="2" t="s">
        <v>146</v>
      </c>
      <c r="L311" s="2" t="s">
        <v>146</v>
      </c>
      <c r="M311" s="2" t="s">
        <v>146</v>
      </c>
      <c r="N311" s="2" t="s">
        <v>146</v>
      </c>
      <c r="O311" s="2" t="s">
        <v>146</v>
      </c>
      <c r="P311" s="2" t="s">
        <v>146</v>
      </c>
      <c r="Q311" s="2">
        <v>124.53</v>
      </c>
      <c r="R311" s="2">
        <v>28.13</v>
      </c>
      <c r="S311" s="2" t="s">
        <v>146</v>
      </c>
      <c r="T311" s="2">
        <v>6.89</v>
      </c>
      <c r="U311" s="2" t="s">
        <v>146</v>
      </c>
      <c r="V311" s="2" t="s">
        <v>146</v>
      </c>
      <c r="W311" s="2" t="s">
        <v>147</v>
      </c>
      <c r="X311" s="2" t="s">
        <v>146</v>
      </c>
      <c r="Y311" s="2" t="s">
        <v>146</v>
      </c>
      <c r="Z311" s="2" t="s">
        <v>146</v>
      </c>
      <c r="AA311" s="2" t="s">
        <v>146</v>
      </c>
      <c r="AB311" s="2" t="s">
        <v>146</v>
      </c>
      <c r="AC311" s="2" t="s">
        <v>146</v>
      </c>
      <c r="AD311" s="2" t="s">
        <v>146</v>
      </c>
      <c r="AE311" s="2" t="s">
        <v>146</v>
      </c>
      <c r="AF311" s="2" t="s">
        <v>146</v>
      </c>
      <c r="AG311" s="2" t="s">
        <v>146</v>
      </c>
      <c r="AH311" s="2" t="s">
        <v>146</v>
      </c>
      <c r="AI311" s="2" t="s">
        <v>146</v>
      </c>
      <c r="AJ311" s="2" t="s">
        <v>146</v>
      </c>
      <c r="AK311" s="2">
        <v>25.3</v>
      </c>
      <c r="AL311" s="2">
        <v>100</v>
      </c>
      <c r="AM311" s="2" t="s">
        <v>146</v>
      </c>
      <c r="AN311" s="2" t="s">
        <v>146</v>
      </c>
      <c r="AO311" s="2" t="s">
        <v>146</v>
      </c>
      <c r="AQ311" s="2">
        <f t="shared" si="44"/>
        <v>159.54999999999998</v>
      </c>
      <c r="AR311" s="2">
        <f t="shared" si="45"/>
        <v>184.85</v>
      </c>
      <c r="AT311" s="2">
        <f t="shared" si="46"/>
        <v>122.7</v>
      </c>
      <c r="AU311" s="2">
        <f t="shared" si="47"/>
        <v>28</v>
      </c>
      <c r="AV311" s="27">
        <f t="shared" si="48"/>
        <v>0.81525561265891255</v>
      </c>
      <c r="AY311" s="2">
        <f t="shared" si="49"/>
        <v>25.3</v>
      </c>
      <c r="AZ311" s="2">
        <f t="shared" si="50"/>
        <v>25.3</v>
      </c>
      <c r="BA311" s="2">
        <f t="shared" si="51"/>
        <v>0</v>
      </c>
      <c r="BB311" s="2">
        <f t="shared" si="52"/>
        <v>0</v>
      </c>
      <c r="BC311" s="2">
        <f t="shared" si="53"/>
        <v>0</v>
      </c>
      <c r="BD311" s="2">
        <f t="shared" si="54"/>
        <v>0</v>
      </c>
    </row>
    <row r="312" spans="1:56" ht="15" customHeight="1" x14ac:dyDescent="0.45">
      <c r="A312" s="2" t="s">
        <v>273</v>
      </c>
      <c r="B312" s="2" t="s">
        <v>272</v>
      </c>
      <c r="C312" s="2">
        <v>2019</v>
      </c>
      <c r="D312" s="2" t="s">
        <v>146</v>
      </c>
      <c r="E312" s="2" t="s">
        <v>146</v>
      </c>
      <c r="F312" s="2" t="s">
        <v>146</v>
      </c>
      <c r="G312" s="2" t="s">
        <v>146</v>
      </c>
      <c r="H312" s="2" t="s">
        <v>146</v>
      </c>
      <c r="I312" s="2" t="s">
        <v>146</v>
      </c>
      <c r="J312" s="2" t="s">
        <v>146</v>
      </c>
      <c r="K312" s="2" t="s">
        <v>146</v>
      </c>
      <c r="L312" s="2" t="s">
        <v>146</v>
      </c>
      <c r="M312" s="2" t="s">
        <v>146</v>
      </c>
      <c r="N312" s="2" t="s">
        <v>146</v>
      </c>
      <c r="O312" s="2" t="s">
        <v>146</v>
      </c>
      <c r="P312" s="2" t="s">
        <v>146</v>
      </c>
      <c r="Q312" s="2" t="s">
        <v>146</v>
      </c>
      <c r="R312" s="2" t="s">
        <v>146</v>
      </c>
      <c r="S312" s="2" t="s">
        <v>146</v>
      </c>
      <c r="T312" s="2" t="s">
        <v>146</v>
      </c>
      <c r="U312" s="2" t="s">
        <v>146</v>
      </c>
      <c r="V312" s="2" t="s">
        <v>146</v>
      </c>
      <c r="W312" s="2" t="s">
        <v>146</v>
      </c>
      <c r="X312" s="2" t="s">
        <v>146</v>
      </c>
      <c r="Y312" s="2" t="s">
        <v>146</v>
      </c>
      <c r="Z312" s="2" t="s">
        <v>146</v>
      </c>
      <c r="AA312" s="2" t="s">
        <v>146</v>
      </c>
      <c r="AB312" s="2" t="s">
        <v>146</v>
      </c>
      <c r="AC312" s="2" t="s">
        <v>146</v>
      </c>
      <c r="AD312" s="2" t="s">
        <v>146</v>
      </c>
      <c r="AE312" s="2" t="s">
        <v>146</v>
      </c>
      <c r="AF312" s="2" t="s">
        <v>146</v>
      </c>
      <c r="AG312" s="2" t="s">
        <v>146</v>
      </c>
      <c r="AH312" s="2" t="s">
        <v>146</v>
      </c>
      <c r="AI312" s="2" t="s">
        <v>146</v>
      </c>
      <c r="AJ312" s="2" t="s">
        <v>146</v>
      </c>
      <c r="AK312" s="2" t="s">
        <v>146</v>
      </c>
      <c r="AL312" s="2" t="s">
        <v>146</v>
      </c>
      <c r="AM312" s="2" t="s">
        <v>146</v>
      </c>
      <c r="AN312" s="2" t="s">
        <v>146</v>
      </c>
      <c r="AO312" s="2" t="s">
        <v>146</v>
      </c>
      <c r="AQ312" s="2">
        <f t="shared" si="44"/>
        <v>0</v>
      </c>
      <c r="AR312" s="2">
        <f t="shared" si="45"/>
        <v>0</v>
      </c>
      <c r="AT312" s="2">
        <f t="shared" si="46"/>
        <v>0</v>
      </c>
      <c r="AU312" s="2">
        <f t="shared" si="47"/>
        <v>0</v>
      </c>
      <c r="AV312" s="27" t="str">
        <f t="shared" si="48"/>
        <v/>
      </c>
      <c r="AY312" s="2">
        <f t="shared" si="49"/>
        <v>0</v>
      </c>
      <c r="AZ312" s="2">
        <f t="shared" si="50"/>
        <v>0</v>
      </c>
      <c r="BA312" s="2">
        <f t="shared" si="51"/>
        <v>0</v>
      </c>
      <c r="BB312" s="2">
        <f t="shared" si="52"/>
        <v>0</v>
      </c>
      <c r="BC312" s="2">
        <f t="shared" si="53"/>
        <v>0</v>
      </c>
      <c r="BD312" s="2">
        <f t="shared" si="54"/>
        <v>0</v>
      </c>
    </row>
    <row r="313" spans="1:56" ht="15" customHeight="1" x14ac:dyDescent="0.45">
      <c r="A313" s="2" t="s">
        <v>271</v>
      </c>
      <c r="B313" s="2" t="s">
        <v>270</v>
      </c>
      <c r="C313" s="2">
        <v>2019</v>
      </c>
      <c r="D313" s="2">
        <v>80.900000000000006</v>
      </c>
      <c r="E313" s="2">
        <v>8.3000000000000007</v>
      </c>
      <c r="F313" s="2" t="s">
        <v>146</v>
      </c>
      <c r="G313" s="2" t="s">
        <v>146</v>
      </c>
      <c r="H313" s="2" t="s">
        <v>146</v>
      </c>
      <c r="I313" s="2">
        <v>97.9</v>
      </c>
      <c r="J313" s="2" t="s">
        <v>146</v>
      </c>
      <c r="K313" s="2" t="s">
        <v>146</v>
      </c>
      <c r="L313" s="2" t="s">
        <v>146</v>
      </c>
      <c r="M313" s="2" t="s">
        <v>146</v>
      </c>
      <c r="N313" s="2" t="s">
        <v>146</v>
      </c>
      <c r="O313" s="2" t="s">
        <v>146</v>
      </c>
      <c r="P313" s="2" t="s">
        <v>146</v>
      </c>
      <c r="Q313" s="2">
        <v>79.8</v>
      </c>
      <c r="R313" s="2" t="s">
        <v>146</v>
      </c>
      <c r="S313" s="2" t="s">
        <v>146</v>
      </c>
      <c r="T313" s="2" t="s">
        <v>146</v>
      </c>
      <c r="U313" s="2" t="s">
        <v>146</v>
      </c>
      <c r="V313" s="2" t="s">
        <v>146</v>
      </c>
      <c r="W313" s="2" t="s">
        <v>147</v>
      </c>
      <c r="X313" s="2" t="s">
        <v>146</v>
      </c>
      <c r="Y313" s="2" t="s">
        <v>146</v>
      </c>
      <c r="Z313" s="2" t="s">
        <v>146</v>
      </c>
      <c r="AA313" s="2" t="s">
        <v>146</v>
      </c>
      <c r="AB313" s="2" t="s">
        <v>146</v>
      </c>
      <c r="AC313" s="2" t="s">
        <v>146</v>
      </c>
      <c r="AD313" s="2" t="s">
        <v>146</v>
      </c>
      <c r="AE313" s="2" t="s">
        <v>146</v>
      </c>
      <c r="AF313" s="2" t="s">
        <v>146</v>
      </c>
      <c r="AG313" s="2" t="s">
        <v>146</v>
      </c>
      <c r="AH313" s="2" t="s">
        <v>155</v>
      </c>
      <c r="AI313" s="2" t="s">
        <v>146</v>
      </c>
      <c r="AJ313" s="2" t="s">
        <v>146</v>
      </c>
      <c r="AK313" s="2">
        <v>18.100000000000001</v>
      </c>
      <c r="AL313" s="2">
        <v>100</v>
      </c>
      <c r="AM313" s="2">
        <v>0</v>
      </c>
      <c r="AN313" s="2">
        <v>0</v>
      </c>
      <c r="AO313" s="2">
        <v>0</v>
      </c>
      <c r="AQ313" s="2">
        <f t="shared" si="44"/>
        <v>79.8</v>
      </c>
      <c r="AR313" s="2">
        <f t="shared" si="45"/>
        <v>97.9</v>
      </c>
      <c r="AT313" s="2">
        <f t="shared" si="46"/>
        <v>80.900000000000006</v>
      </c>
      <c r="AU313" s="2">
        <f t="shared" si="47"/>
        <v>8.3000000000000007</v>
      </c>
      <c r="AV313" s="27">
        <f t="shared" si="48"/>
        <v>0.91113381001021443</v>
      </c>
      <c r="AY313" s="2">
        <f t="shared" si="49"/>
        <v>18.100000000000001</v>
      </c>
      <c r="AZ313" s="2">
        <f t="shared" si="50"/>
        <v>18.100000000000001</v>
      </c>
      <c r="BA313" s="2">
        <f t="shared" si="51"/>
        <v>0</v>
      </c>
      <c r="BB313" s="2">
        <f t="shared" si="52"/>
        <v>0</v>
      </c>
      <c r="BC313" s="2">
        <f t="shared" si="53"/>
        <v>0</v>
      </c>
      <c r="BD313" s="2">
        <f t="shared" si="54"/>
        <v>0</v>
      </c>
    </row>
    <row r="314" spans="1:56" ht="15" customHeight="1" x14ac:dyDescent="0.45">
      <c r="A314" s="2" t="s">
        <v>267</v>
      </c>
      <c r="B314" s="2" t="s">
        <v>269</v>
      </c>
      <c r="C314" s="2">
        <v>2019</v>
      </c>
      <c r="D314" s="2" t="s">
        <v>146</v>
      </c>
      <c r="E314" s="2" t="s">
        <v>146</v>
      </c>
      <c r="F314" s="2" t="s">
        <v>146</v>
      </c>
      <c r="G314" s="2" t="s">
        <v>146</v>
      </c>
      <c r="H314" s="2" t="s">
        <v>146</v>
      </c>
      <c r="I314" s="2" t="s">
        <v>146</v>
      </c>
      <c r="J314" s="2" t="s">
        <v>146</v>
      </c>
      <c r="K314" s="2" t="s">
        <v>146</v>
      </c>
      <c r="L314" s="2" t="s">
        <v>146</v>
      </c>
      <c r="M314" s="2" t="s">
        <v>146</v>
      </c>
      <c r="N314" s="2" t="s">
        <v>146</v>
      </c>
      <c r="O314" s="2" t="s">
        <v>146</v>
      </c>
      <c r="P314" s="2" t="s">
        <v>146</v>
      </c>
      <c r="Q314" s="2" t="s">
        <v>146</v>
      </c>
      <c r="R314" s="2" t="s">
        <v>146</v>
      </c>
      <c r="S314" s="2" t="s">
        <v>146</v>
      </c>
      <c r="T314" s="2" t="s">
        <v>146</v>
      </c>
      <c r="U314" s="2" t="s">
        <v>146</v>
      </c>
      <c r="V314" s="2" t="s">
        <v>146</v>
      </c>
      <c r="W314" s="2" t="s">
        <v>146</v>
      </c>
      <c r="X314" s="2" t="s">
        <v>146</v>
      </c>
      <c r="Y314" s="2" t="s">
        <v>146</v>
      </c>
      <c r="Z314" s="2" t="s">
        <v>146</v>
      </c>
      <c r="AA314" s="2" t="s">
        <v>146</v>
      </c>
      <c r="AB314" s="2" t="s">
        <v>146</v>
      </c>
      <c r="AC314" s="2" t="s">
        <v>146</v>
      </c>
      <c r="AD314" s="2" t="s">
        <v>146</v>
      </c>
      <c r="AE314" s="2" t="s">
        <v>146</v>
      </c>
      <c r="AF314" s="2" t="s">
        <v>146</v>
      </c>
      <c r="AG314" s="2" t="s">
        <v>146</v>
      </c>
      <c r="AH314" s="2" t="s">
        <v>146</v>
      </c>
      <c r="AI314" s="2" t="s">
        <v>146</v>
      </c>
      <c r="AJ314" s="2" t="s">
        <v>146</v>
      </c>
      <c r="AK314" s="2" t="s">
        <v>146</v>
      </c>
      <c r="AL314" s="2" t="s">
        <v>146</v>
      </c>
      <c r="AM314" s="2" t="s">
        <v>146</v>
      </c>
      <c r="AN314" s="2" t="s">
        <v>146</v>
      </c>
      <c r="AO314" s="2" t="s">
        <v>146</v>
      </c>
      <c r="AQ314" s="2">
        <f t="shared" si="44"/>
        <v>0</v>
      </c>
      <c r="AR314" s="2">
        <f t="shared" si="45"/>
        <v>0</v>
      </c>
      <c r="AT314" s="2">
        <f t="shared" si="46"/>
        <v>0</v>
      </c>
      <c r="AU314" s="2">
        <f t="shared" si="47"/>
        <v>0</v>
      </c>
      <c r="AV314" s="27" t="str">
        <f t="shared" si="48"/>
        <v/>
      </c>
      <c r="AY314" s="2">
        <f t="shared" si="49"/>
        <v>0</v>
      </c>
      <c r="AZ314" s="2">
        <f t="shared" si="50"/>
        <v>0</v>
      </c>
      <c r="BA314" s="2">
        <f t="shared" si="51"/>
        <v>0</v>
      </c>
      <c r="BB314" s="2">
        <f t="shared" si="52"/>
        <v>0</v>
      </c>
      <c r="BC314" s="2">
        <f t="shared" si="53"/>
        <v>0</v>
      </c>
      <c r="BD314" s="2">
        <f t="shared" si="54"/>
        <v>0</v>
      </c>
    </row>
    <row r="315" spans="1:56" ht="15" customHeight="1" x14ac:dyDescent="0.45">
      <c r="A315" s="2" t="s">
        <v>267</v>
      </c>
      <c r="B315" s="2" t="s">
        <v>268</v>
      </c>
      <c r="C315" s="2">
        <v>2019</v>
      </c>
      <c r="D315" s="2" t="s">
        <v>146</v>
      </c>
      <c r="E315" s="2" t="s">
        <v>146</v>
      </c>
      <c r="F315" s="2" t="s">
        <v>146</v>
      </c>
      <c r="G315" s="2" t="s">
        <v>146</v>
      </c>
      <c r="H315" s="2" t="s">
        <v>146</v>
      </c>
      <c r="I315" s="2" t="s">
        <v>146</v>
      </c>
      <c r="J315" s="2" t="s">
        <v>146</v>
      </c>
      <c r="K315" s="2" t="s">
        <v>146</v>
      </c>
      <c r="L315" s="2" t="s">
        <v>146</v>
      </c>
      <c r="M315" s="2" t="s">
        <v>146</v>
      </c>
      <c r="N315" s="2" t="s">
        <v>146</v>
      </c>
      <c r="O315" s="2" t="s">
        <v>146</v>
      </c>
      <c r="P315" s="2" t="s">
        <v>146</v>
      </c>
      <c r="Q315" s="2" t="s">
        <v>146</v>
      </c>
      <c r="R315" s="2" t="s">
        <v>146</v>
      </c>
      <c r="S315" s="2" t="s">
        <v>146</v>
      </c>
      <c r="T315" s="2" t="s">
        <v>146</v>
      </c>
      <c r="U315" s="2" t="s">
        <v>146</v>
      </c>
      <c r="V315" s="2" t="s">
        <v>146</v>
      </c>
      <c r="W315" s="2" t="s">
        <v>146</v>
      </c>
      <c r="X315" s="2" t="s">
        <v>146</v>
      </c>
      <c r="Y315" s="2" t="s">
        <v>146</v>
      </c>
      <c r="Z315" s="2" t="s">
        <v>146</v>
      </c>
      <c r="AA315" s="2" t="s">
        <v>146</v>
      </c>
      <c r="AB315" s="2" t="s">
        <v>146</v>
      </c>
      <c r="AC315" s="2" t="s">
        <v>146</v>
      </c>
      <c r="AD315" s="2" t="s">
        <v>146</v>
      </c>
      <c r="AE315" s="2" t="s">
        <v>146</v>
      </c>
      <c r="AF315" s="2" t="s">
        <v>146</v>
      </c>
      <c r="AG315" s="2" t="s">
        <v>146</v>
      </c>
      <c r="AH315" s="2" t="s">
        <v>146</v>
      </c>
      <c r="AI315" s="2" t="s">
        <v>146</v>
      </c>
      <c r="AJ315" s="2" t="s">
        <v>146</v>
      </c>
      <c r="AK315" s="2" t="s">
        <v>146</v>
      </c>
      <c r="AL315" s="2" t="s">
        <v>146</v>
      </c>
      <c r="AM315" s="2" t="s">
        <v>146</v>
      </c>
      <c r="AN315" s="2" t="s">
        <v>146</v>
      </c>
      <c r="AO315" s="2" t="s">
        <v>146</v>
      </c>
      <c r="AQ315" s="2">
        <f t="shared" si="44"/>
        <v>0</v>
      </c>
      <c r="AR315" s="2">
        <f t="shared" si="45"/>
        <v>0</v>
      </c>
      <c r="AT315" s="2">
        <f t="shared" si="46"/>
        <v>0</v>
      </c>
      <c r="AU315" s="2">
        <f t="shared" si="47"/>
        <v>0</v>
      </c>
      <c r="AV315" s="27" t="str">
        <f t="shared" si="48"/>
        <v/>
      </c>
      <c r="AY315" s="2">
        <f t="shared" si="49"/>
        <v>0</v>
      </c>
      <c r="AZ315" s="2">
        <f t="shared" si="50"/>
        <v>0</v>
      </c>
      <c r="BA315" s="2">
        <f t="shared" si="51"/>
        <v>0</v>
      </c>
      <c r="BB315" s="2">
        <f t="shared" si="52"/>
        <v>0</v>
      </c>
      <c r="BC315" s="2">
        <f t="shared" si="53"/>
        <v>0</v>
      </c>
      <c r="BD315" s="2">
        <f t="shared" si="54"/>
        <v>0</v>
      </c>
    </row>
    <row r="316" spans="1:56" ht="15" customHeight="1" x14ac:dyDescent="0.45">
      <c r="A316" s="2" t="s">
        <v>267</v>
      </c>
      <c r="B316" s="2" t="s">
        <v>266</v>
      </c>
      <c r="C316" s="2">
        <v>2019</v>
      </c>
      <c r="D316" s="2">
        <v>229.16</v>
      </c>
      <c r="E316" s="2">
        <v>71.040999999999997</v>
      </c>
      <c r="F316" s="2" t="s">
        <v>146</v>
      </c>
      <c r="G316" s="2" t="s">
        <v>146</v>
      </c>
      <c r="H316" s="2" t="s">
        <v>146</v>
      </c>
      <c r="I316" s="2">
        <v>391.89400000000001</v>
      </c>
      <c r="J316" s="2" t="s">
        <v>146</v>
      </c>
      <c r="K316" s="2">
        <v>0.46300000000000002</v>
      </c>
      <c r="L316" s="2" t="s">
        <v>146</v>
      </c>
      <c r="M316" s="2" t="s">
        <v>146</v>
      </c>
      <c r="N316" s="2" t="s">
        <v>146</v>
      </c>
      <c r="O316" s="2" t="s">
        <v>146</v>
      </c>
      <c r="P316" s="2" t="s">
        <v>146</v>
      </c>
      <c r="Q316" s="2" t="s">
        <v>146</v>
      </c>
      <c r="R316" s="2" t="s">
        <v>146</v>
      </c>
      <c r="S316" s="2" t="s">
        <v>146</v>
      </c>
      <c r="T316" s="2" t="s">
        <v>146</v>
      </c>
      <c r="U316" s="2" t="s">
        <v>146</v>
      </c>
      <c r="V316" s="2" t="s">
        <v>146</v>
      </c>
      <c r="W316" s="2" t="s">
        <v>146</v>
      </c>
      <c r="X316" s="2" t="s">
        <v>146</v>
      </c>
      <c r="Y316" s="2" t="s">
        <v>146</v>
      </c>
      <c r="Z316" s="2" t="s">
        <v>146</v>
      </c>
      <c r="AA316" s="2" t="s">
        <v>146</v>
      </c>
      <c r="AB316" s="2" t="s">
        <v>146</v>
      </c>
      <c r="AC316" s="2" t="s">
        <v>146</v>
      </c>
      <c r="AD316" s="2" t="s">
        <v>146</v>
      </c>
      <c r="AE316" s="2" t="s">
        <v>146</v>
      </c>
      <c r="AF316" s="2">
        <v>347.37</v>
      </c>
      <c r="AG316" s="2">
        <v>0.46300000000000002</v>
      </c>
      <c r="AH316" s="2" t="s">
        <v>160</v>
      </c>
      <c r="AI316" s="2">
        <v>37.299999999999997</v>
      </c>
      <c r="AJ316" s="2" t="s">
        <v>146</v>
      </c>
      <c r="AK316" s="2">
        <v>44.061</v>
      </c>
      <c r="AL316" s="2">
        <v>0</v>
      </c>
      <c r="AM316" s="2">
        <v>100</v>
      </c>
      <c r="AN316" s="2">
        <v>0</v>
      </c>
      <c r="AO316" s="2">
        <v>0</v>
      </c>
      <c r="AQ316" s="2">
        <f t="shared" si="44"/>
        <v>347.83300000000003</v>
      </c>
      <c r="AR316" s="2">
        <f t="shared" si="45"/>
        <v>391.89400000000001</v>
      </c>
      <c r="AT316" s="2">
        <f t="shared" si="46"/>
        <v>229.16</v>
      </c>
      <c r="AU316" s="2">
        <f t="shared" si="47"/>
        <v>71.040999999999997</v>
      </c>
      <c r="AV316" s="27">
        <f t="shared" si="48"/>
        <v>0.76602601723935559</v>
      </c>
      <c r="AY316" s="2">
        <f t="shared" si="49"/>
        <v>44.061</v>
      </c>
      <c r="AZ316" s="2">
        <f t="shared" si="50"/>
        <v>0</v>
      </c>
      <c r="BA316" s="2">
        <f t="shared" si="51"/>
        <v>44.061</v>
      </c>
      <c r="BB316" s="2">
        <f t="shared" si="52"/>
        <v>0</v>
      </c>
      <c r="BC316" s="2">
        <f t="shared" si="53"/>
        <v>0</v>
      </c>
      <c r="BD316" s="2">
        <f t="shared" si="54"/>
        <v>0</v>
      </c>
    </row>
    <row r="317" spans="1:56" ht="15" customHeight="1" x14ac:dyDescent="0.45">
      <c r="A317" s="2" t="s">
        <v>263</v>
      </c>
      <c r="B317" s="2" t="s">
        <v>265</v>
      </c>
      <c r="C317" s="2">
        <v>2019</v>
      </c>
      <c r="D317" s="2" t="s">
        <v>146</v>
      </c>
      <c r="E317" s="2" t="s">
        <v>49</v>
      </c>
      <c r="F317" s="2" t="s">
        <v>49</v>
      </c>
      <c r="G317" s="2" t="s">
        <v>49</v>
      </c>
      <c r="H317" s="2" t="s">
        <v>49</v>
      </c>
      <c r="I317" s="2" t="s">
        <v>49</v>
      </c>
      <c r="J317" s="2" t="s">
        <v>49</v>
      </c>
      <c r="K317" s="2" t="s">
        <v>49</v>
      </c>
      <c r="L317" s="2" t="s">
        <v>49</v>
      </c>
      <c r="M317" s="2" t="s">
        <v>49</v>
      </c>
      <c r="N317" s="2" t="s">
        <v>49</v>
      </c>
      <c r="O317" s="2" t="s">
        <v>49</v>
      </c>
      <c r="P317" s="2" t="s">
        <v>49</v>
      </c>
      <c r="Q317" s="2" t="s">
        <v>49</v>
      </c>
      <c r="R317" s="2" t="s">
        <v>49</v>
      </c>
      <c r="S317" s="2" t="s">
        <v>49</v>
      </c>
      <c r="T317" s="2" t="s">
        <v>49</v>
      </c>
      <c r="U317" s="2" t="s">
        <v>49</v>
      </c>
      <c r="V317" s="2" t="s">
        <v>49</v>
      </c>
      <c r="W317" s="2" t="s">
        <v>49</v>
      </c>
      <c r="X317" s="2" t="s">
        <v>49</v>
      </c>
      <c r="Y317" s="2" t="s">
        <v>49</v>
      </c>
      <c r="Z317" s="2" t="s">
        <v>49</v>
      </c>
      <c r="AA317" s="2" t="s">
        <v>49</v>
      </c>
      <c r="AB317" s="2" t="s">
        <v>49</v>
      </c>
      <c r="AC317" s="2" t="s">
        <v>49</v>
      </c>
      <c r="AD317" s="2" t="s">
        <v>49</v>
      </c>
      <c r="AE317" s="2" t="s">
        <v>49</v>
      </c>
      <c r="AF317" s="2" t="s">
        <v>49</v>
      </c>
      <c r="AG317" s="2" t="s">
        <v>49</v>
      </c>
      <c r="AH317" s="2" t="s">
        <v>49</v>
      </c>
      <c r="AI317" s="2" t="s">
        <v>49</v>
      </c>
      <c r="AJ317" s="2" t="s">
        <v>49</v>
      </c>
      <c r="AK317" s="2" t="s">
        <v>49</v>
      </c>
      <c r="AL317" s="2" t="s">
        <v>49</v>
      </c>
      <c r="AM317" s="2" t="s">
        <v>49</v>
      </c>
      <c r="AN317" s="2" t="s">
        <v>49</v>
      </c>
      <c r="AO317" s="2" t="s">
        <v>49</v>
      </c>
      <c r="AQ317" s="2">
        <f t="shared" si="44"/>
        <v>0</v>
      </c>
      <c r="AR317" s="2">
        <f t="shared" si="45"/>
        <v>0</v>
      </c>
      <c r="AT317" s="2">
        <f t="shared" si="46"/>
        <v>0</v>
      </c>
      <c r="AU317" s="2">
        <f t="shared" si="47"/>
        <v>0</v>
      </c>
      <c r="AV317" s="27" t="str">
        <f t="shared" si="48"/>
        <v/>
      </c>
      <c r="AY317" s="2">
        <f t="shared" si="49"/>
        <v>0</v>
      </c>
      <c r="AZ317" s="2">
        <f t="shared" si="50"/>
        <v>0</v>
      </c>
      <c r="BA317" s="2">
        <f t="shared" si="51"/>
        <v>0</v>
      </c>
      <c r="BB317" s="2">
        <f t="shared" si="52"/>
        <v>0</v>
      </c>
      <c r="BC317" s="2">
        <f t="shared" si="53"/>
        <v>0</v>
      </c>
      <c r="BD317" s="2">
        <f t="shared" si="54"/>
        <v>0</v>
      </c>
    </row>
    <row r="318" spans="1:56" ht="15" customHeight="1" x14ac:dyDescent="0.45">
      <c r="A318" s="2" t="s">
        <v>263</v>
      </c>
      <c r="B318" s="2" t="s">
        <v>264</v>
      </c>
      <c r="C318" s="2">
        <v>2019</v>
      </c>
      <c r="D318" s="2" t="s">
        <v>146</v>
      </c>
      <c r="E318" s="2" t="s">
        <v>49</v>
      </c>
      <c r="F318" s="2" t="s">
        <v>49</v>
      </c>
      <c r="G318" s="2" t="s">
        <v>49</v>
      </c>
      <c r="H318" s="2" t="s">
        <v>49</v>
      </c>
      <c r="I318" s="2" t="s">
        <v>49</v>
      </c>
      <c r="J318" s="2" t="s">
        <v>49</v>
      </c>
      <c r="K318" s="2" t="s">
        <v>49</v>
      </c>
      <c r="L318" s="2" t="s">
        <v>49</v>
      </c>
      <c r="M318" s="2" t="s">
        <v>49</v>
      </c>
      <c r="N318" s="2" t="s">
        <v>49</v>
      </c>
      <c r="O318" s="2" t="s">
        <v>49</v>
      </c>
      <c r="P318" s="2" t="s">
        <v>49</v>
      </c>
      <c r="Q318" s="2" t="s">
        <v>49</v>
      </c>
      <c r="R318" s="2" t="s">
        <v>49</v>
      </c>
      <c r="S318" s="2" t="s">
        <v>49</v>
      </c>
      <c r="T318" s="2" t="s">
        <v>49</v>
      </c>
      <c r="U318" s="2" t="s">
        <v>49</v>
      </c>
      <c r="V318" s="2" t="s">
        <v>49</v>
      </c>
      <c r="W318" s="2" t="s">
        <v>49</v>
      </c>
      <c r="X318" s="2" t="s">
        <v>49</v>
      </c>
      <c r="Y318" s="2" t="s">
        <v>49</v>
      </c>
      <c r="Z318" s="2" t="s">
        <v>49</v>
      </c>
      <c r="AA318" s="2" t="s">
        <v>49</v>
      </c>
      <c r="AB318" s="2" t="s">
        <v>49</v>
      </c>
      <c r="AC318" s="2" t="s">
        <v>49</v>
      </c>
      <c r="AD318" s="2" t="s">
        <v>49</v>
      </c>
      <c r="AE318" s="2" t="s">
        <v>49</v>
      </c>
      <c r="AF318" s="2" t="s">
        <v>49</v>
      </c>
      <c r="AG318" s="2" t="s">
        <v>49</v>
      </c>
      <c r="AH318" s="2" t="s">
        <v>49</v>
      </c>
      <c r="AI318" s="2" t="s">
        <v>49</v>
      </c>
      <c r="AJ318" s="2" t="s">
        <v>49</v>
      </c>
      <c r="AK318" s="2" t="s">
        <v>49</v>
      </c>
      <c r="AL318" s="2" t="s">
        <v>49</v>
      </c>
      <c r="AM318" s="2" t="s">
        <v>49</v>
      </c>
      <c r="AN318" s="2" t="s">
        <v>49</v>
      </c>
      <c r="AO318" s="2" t="s">
        <v>49</v>
      </c>
      <c r="AQ318" s="2">
        <f t="shared" si="44"/>
        <v>0</v>
      </c>
      <c r="AR318" s="2">
        <f t="shared" si="45"/>
        <v>0</v>
      </c>
      <c r="AT318" s="2">
        <f t="shared" si="46"/>
        <v>0</v>
      </c>
      <c r="AU318" s="2">
        <f t="shared" si="47"/>
        <v>0</v>
      </c>
      <c r="AV318" s="27" t="str">
        <f t="shared" si="48"/>
        <v/>
      </c>
      <c r="AY318" s="2">
        <f t="shared" si="49"/>
        <v>0</v>
      </c>
      <c r="AZ318" s="2">
        <f t="shared" si="50"/>
        <v>0</v>
      </c>
      <c r="BA318" s="2">
        <f t="shared" si="51"/>
        <v>0</v>
      </c>
      <c r="BB318" s="2">
        <f t="shared" si="52"/>
        <v>0</v>
      </c>
      <c r="BC318" s="2">
        <f t="shared" si="53"/>
        <v>0</v>
      </c>
      <c r="BD318" s="2">
        <f t="shared" si="54"/>
        <v>0</v>
      </c>
    </row>
    <row r="319" spans="1:56" ht="15" customHeight="1" x14ac:dyDescent="0.45">
      <c r="A319" s="2" t="s">
        <v>263</v>
      </c>
      <c r="B319" s="2" t="s">
        <v>262</v>
      </c>
      <c r="C319" s="2">
        <v>2019</v>
      </c>
      <c r="D319" s="2" t="s">
        <v>146</v>
      </c>
      <c r="E319" s="2" t="s">
        <v>49</v>
      </c>
      <c r="F319" s="2" t="s">
        <v>49</v>
      </c>
      <c r="G319" s="2" t="s">
        <v>49</v>
      </c>
      <c r="H319" s="2" t="s">
        <v>49</v>
      </c>
      <c r="I319" s="2" t="s">
        <v>49</v>
      </c>
      <c r="J319" s="2" t="s">
        <v>49</v>
      </c>
      <c r="K319" s="2" t="s">
        <v>49</v>
      </c>
      <c r="L319" s="2" t="s">
        <v>49</v>
      </c>
      <c r="M319" s="2" t="s">
        <v>49</v>
      </c>
      <c r="N319" s="2" t="s">
        <v>49</v>
      </c>
      <c r="O319" s="2" t="s">
        <v>49</v>
      </c>
      <c r="P319" s="2" t="s">
        <v>49</v>
      </c>
      <c r="Q319" s="2" t="s">
        <v>49</v>
      </c>
      <c r="R319" s="2" t="s">
        <v>49</v>
      </c>
      <c r="S319" s="2" t="s">
        <v>49</v>
      </c>
      <c r="T319" s="2" t="s">
        <v>49</v>
      </c>
      <c r="U319" s="2" t="s">
        <v>49</v>
      </c>
      <c r="V319" s="2" t="s">
        <v>49</v>
      </c>
      <c r="W319" s="2" t="s">
        <v>49</v>
      </c>
      <c r="X319" s="2" t="s">
        <v>49</v>
      </c>
      <c r="Y319" s="2" t="s">
        <v>49</v>
      </c>
      <c r="Z319" s="2" t="s">
        <v>49</v>
      </c>
      <c r="AA319" s="2" t="s">
        <v>49</v>
      </c>
      <c r="AB319" s="2" t="s">
        <v>49</v>
      </c>
      <c r="AC319" s="2" t="s">
        <v>49</v>
      </c>
      <c r="AD319" s="2" t="s">
        <v>49</v>
      </c>
      <c r="AE319" s="2" t="s">
        <v>49</v>
      </c>
      <c r="AF319" s="2" t="s">
        <v>49</v>
      </c>
      <c r="AG319" s="2" t="s">
        <v>49</v>
      </c>
      <c r="AH319" s="2" t="s">
        <v>49</v>
      </c>
      <c r="AI319" s="2" t="s">
        <v>49</v>
      </c>
      <c r="AJ319" s="2" t="s">
        <v>49</v>
      </c>
      <c r="AK319" s="2" t="s">
        <v>49</v>
      </c>
      <c r="AL319" s="2" t="s">
        <v>49</v>
      </c>
      <c r="AM319" s="2" t="s">
        <v>49</v>
      </c>
      <c r="AN319" s="2" t="s">
        <v>49</v>
      </c>
      <c r="AO319" s="2" t="s">
        <v>49</v>
      </c>
      <c r="AQ319" s="2">
        <f t="shared" si="44"/>
        <v>0</v>
      </c>
      <c r="AR319" s="2">
        <f t="shared" si="45"/>
        <v>0</v>
      </c>
      <c r="AT319" s="2">
        <f t="shared" si="46"/>
        <v>0</v>
      </c>
      <c r="AU319" s="2">
        <f t="shared" si="47"/>
        <v>0</v>
      </c>
      <c r="AV319" s="27" t="str">
        <f t="shared" si="48"/>
        <v/>
      </c>
      <c r="AY319" s="2">
        <f t="shared" si="49"/>
        <v>0</v>
      </c>
      <c r="AZ319" s="2">
        <f t="shared" si="50"/>
        <v>0</v>
      </c>
      <c r="BA319" s="2">
        <f t="shared" si="51"/>
        <v>0</v>
      </c>
      <c r="BB319" s="2">
        <f t="shared" si="52"/>
        <v>0</v>
      </c>
      <c r="BC319" s="2">
        <f t="shared" si="53"/>
        <v>0</v>
      </c>
      <c r="BD319" s="2">
        <f t="shared" si="54"/>
        <v>0</v>
      </c>
    </row>
    <row r="320" spans="1:56" ht="15" customHeight="1" x14ac:dyDescent="0.45">
      <c r="A320" s="2" t="s">
        <v>258</v>
      </c>
      <c r="B320" s="2" t="s">
        <v>261</v>
      </c>
      <c r="C320" s="2">
        <v>2019</v>
      </c>
      <c r="D320" s="2" t="s">
        <v>146</v>
      </c>
      <c r="E320" s="2" t="s">
        <v>146</v>
      </c>
      <c r="F320" s="2" t="s">
        <v>146</v>
      </c>
      <c r="G320" s="2" t="s">
        <v>146</v>
      </c>
      <c r="H320" s="2" t="s">
        <v>146</v>
      </c>
      <c r="I320" s="2" t="s">
        <v>146</v>
      </c>
      <c r="J320" s="2" t="s">
        <v>146</v>
      </c>
      <c r="K320" s="2" t="s">
        <v>146</v>
      </c>
      <c r="L320" s="2" t="s">
        <v>146</v>
      </c>
      <c r="M320" s="2" t="s">
        <v>146</v>
      </c>
      <c r="N320" s="2" t="s">
        <v>146</v>
      </c>
      <c r="O320" s="2" t="s">
        <v>146</v>
      </c>
      <c r="P320" s="2" t="s">
        <v>146</v>
      </c>
      <c r="Q320" s="2" t="s">
        <v>146</v>
      </c>
      <c r="R320" s="2" t="s">
        <v>146</v>
      </c>
      <c r="S320" s="2" t="s">
        <v>146</v>
      </c>
      <c r="T320" s="2" t="s">
        <v>146</v>
      </c>
      <c r="U320" s="2" t="s">
        <v>146</v>
      </c>
      <c r="V320" s="2" t="s">
        <v>146</v>
      </c>
      <c r="W320" s="2" t="s">
        <v>146</v>
      </c>
      <c r="X320" s="2" t="s">
        <v>146</v>
      </c>
      <c r="Y320" s="2" t="s">
        <v>146</v>
      </c>
      <c r="Z320" s="2" t="s">
        <v>146</v>
      </c>
      <c r="AA320" s="2" t="s">
        <v>146</v>
      </c>
      <c r="AB320" s="2" t="s">
        <v>146</v>
      </c>
      <c r="AC320" s="2" t="s">
        <v>146</v>
      </c>
      <c r="AD320" s="2" t="s">
        <v>146</v>
      </c>
      <c r="AE320" s="2" t="s">
        <v>146</v>
      </c>
      <c r="AF320" s="2" t="s">
        <v>146</v>
      </c>
      <c r="AG320" s="2" t="s">
        <v>146</v>
      </c>
      <c r="AH320" s="2" t="s">
        <v>146</v>
      </c>
      <c r="AI320" s="2" t="s">
        <v>146</v>
      </c>
      <c r="AJ320" s="2" t="s">
        <v>146</v>
      </c>
      <c r="AK320" s="2" t="s">
        <v>146</v>
      </c>
      <c r="AL320" s="2" t="s">
        <v>146</v>
      </c>
      <c r="AM320" s="2" t="s">
        <v>146</v>
      </c>
      <c r="AN320" s="2" t="s">
        <v>146</v>
      </c>
      <c r="AO320" s="2" t="s">
        <v>146</v>
      </c>
      <c r="AQ320" s="2">
        <f t="shared" si="44"/>
        <v>0</v>
      </c>
      <c r="AR320" s="2">
        <f t="shared" si="45"/>
        <v>0</v>
      </c>
      <c r="AT320" s="2">
        <f t="shared" si="46"/>
        <v>0</v>
      </c>
      <c r="AU320" s="2">
        <f t="shared" si="47"/>
        <v>0</v>
      </c>
      <c r="AV320" s="27" t="str">
        <f t="shared" si="48"/>
        <v/>
      </c>
      <c r="AY320" s="2">
        <f t="shared" si="49"/>
        <v>0</v>
      </c>
      <c r="AZ320" s="2">
        <f t="shared" si="50"/>
        <v>0</v>
      </c>
      <c r="BA320" s="2">
        <f t="shared" si="51"/>
        <v>0</v>
      </c>
      <c r="BB320" s="2">
        <f t="shared" si="52"/>
        <v>0</v>
      </c>
      <c r="BC320" s="2">
        <f t="shared" si="53"/>
        <v>0</v>
      </c>
      <c r="BD320" s="2">
        <f t="shared" si="54"/>
        <v>0</v>
      </c>
    </row>
    <row r="321" spans="1:56" ht="15" customHeight="1" x14ac:dyDescent="0.45">
      <c r="A321" s="2" t="s">
        <v>258</v>
      </c>
      <c r="B321" s="2" t="s">
        <v>260</v>
      </c>
      <c r="C321" s="2">
        <v>2019</v>
      </c>
      <c r="D321" s="2" t="s">
        <v>146</v>
      </c>
      <c r="E321" s="2" t="s">
        <v>146</v>
      </c>
      <c r="F321" s="2" t="s">
        <v>146</v>
      </c>
      <c r="G321" s="2" t="s">
        <v>146</v>
      </c>
      <c r="H321" s="2" t="s">
        <v>146</v>
      </c>
      <c r="I321" s="2" t="s">
        <v>146</v>
      </c>
      <c r="J321" s="2" t="s">
        <v>146</v>
      </c>
      <c r="K321" s="2" t="s">
        <v>146</v>
      </c>
      <c r="L321" s="2" t="s">
        <v>146</v>
      </c>
      <c r="M321" s="2" t="s">
        <v>146</v>
      </c>
      <c r="N321" s="2" t="s">
        <v>146</v>
      </c>
      <c r="O321" s="2" t="s">
        <v>146</v>
      </c>
      <c r="P321" s="2" t="s">
        <v>146</v>
      </c>
      <c r="Q321" s="2" t="s">
        <v>146</v>
      </c>
      <c r="R321" s="2" t="s">
        <v>146</v>
      </c>
      <c r="S321" s="2" t="s">
        <v>146</v>
      </c>
      <c r="T321" s="2" t="s">
        <v>146</v>
      </c>
      <c r="U321" s="2" t="s">
        <v>146</v>
      </c>
      <c r="V321" s="2" t="s">
        <v>146</v>
      </c>
      <c r="W321" s="2" t="s">
        <v>146</v>
      </c>
      <c r="X321" s="2" t="s">
        <v>146</v>
      </c>
      <c r="Y321" s="2" t="s">
        <v>146</v>
      </c>
      <c r="Z321" s="2" t="s">
        <v>146</v>
      </c>
      <c r="AA321" s="2" t="s">
        <v>146</v>
      </c>
      <c r="AB321" s="2" t="s">
        <v>146</v>
      </c>
      <c r="AC321" s="2" t="s">
        <v>146</v>
      </c>
      <c r="AD321" s="2" t="s">
        <v>146</v>
      </c>
      <c r="AE321" s="2" t="s">
        <v>146</v>
      </c>
      <c r="AF321" s="2" t="s">
        <v>146</v>
      </c>
      <c r="AG321" s="2" t="s">
        <v>146</v>
      </c>
      <c r="AH321" s="2" t="s">
        <v>146</v>
      </c>
      <c r="AI321" s="2" t="s">
        <v>146</v>
      </c>
      <c r="AJ321" s="2" t="s">
        <v>146</v>
      </c>
      <c r="AK321" s="2" t="s">
        <v>146</v>
      </c>
      <c r="AL321" s="2" t="s">
        <v>146</v>
      </c>
      <c r="AM321" s="2" t="s">
        <v>146</v>
      </c>
      <c r="AN321" s="2" t="s">
        <v>146</v>
      </c>
      <c r="AO321" s="2" t="s">
        <v>146</v>
      </c>
      <c r="AQ321" s="2">
        <f t="shared" si="44"/>
        <v>0</v>
      </c>
      <c r="AR321" s="2">
        <f t="shared" si="45"/>
        <v>0</v>
      </c>
      <c r="AT321" s="2">
        <f t="shared" si="46"/>
        <v>0</v>
      </c>
      <c r="AU321" s="2">
        <f t="shared" si="47"/>
        <v>0</v>
      </c>
      <c r="AV321" s="27" t="str">
        <f t="shared" si="48"/>
        <v/>
      </c>
      <c r="AY321" s="2">
        <f t="shared" si="49"/>
        <v>0</v>
      </c>
      <c r="AZ321" s="2">
        <f t="shared" si="50"/>
        <v>0</v>
      </c>
      <c r="BA321" s="2">
        <f t="shared" si="51"/>
        <v>0</v>
      </c>
      <c r="BB321" s="2">
        <f t="shared" si="52"/>
        <v>0</v>
      </c>
      <c r="BC321" s="2">
        <f t="shared" si="53"/>
        <v>0</v>
      </c>
      <c r="BD321" s="2">
        <f t="shared" si="54"/>
        <v>0</v>
      </c>
    </row>
    <row r="322" spans="1:56" ht="15" customHeight="1" x14ac:dyDescent="0.45">
      <c r="A322" s="2" t="s">
        <v>258</v>
      </c>
      <c r="B322" s="2" t="s">
        <v>259</v>
      </c>
      <c r="C322" s="2">
        <v>2019</v>
      </c>
      <c r="D322" s="2" t="s">
        <v>146</v>
      </c>
      <c r="E322" s="2" t="s">
        <v>146</v>
      </c>
      <c r="F322" s="2" t="s">
        <v>146</v>
      </c>
      <c r="G322" s="2" t="s">
        <v>146</v>
      </c>
      <c r="H322" s="2" t="s">
        <v>146</v>
      </c>
      <c r="I322" s="2" t="s">
        <v>146</v>
      </c>
      <c r="J322" s="2" t="s">
        <v>146</v>
      </c>
      <c r="K322" s="2" t="s">
        <v>146</v>
      </c>
      <c r="L322" s="2" t="s">
        <v>146</v>
      </c>
      <c r="M322" s="2" t="s">
        <v>146</v>
      </c>
      <c r="N322" s="2" t="s">
        <v>146</v>
      </c>
      <c r="O322" s="2" t="s">
        <v>146</v>
      </c>
      <c r="P322" s="2" t="s">
        <v>146</v>
      </c>
      <c r="Q322" s="2" t="s">
        <v>146</v>
      </c>
      <c r="R322" s="2" t="s">
        <v>146</v>
      </c>
      <c r="S322" s="2" t="s">
        <v>146</v>
      </c>
      <c r="T322" s="2" t="s">
        <v>146</v>
      </c>
      <c r="U322" s="2" t="s">
        <v>146</v>
      </c>
      <c r="V322" s="2" t="s">
        <v>146</v>
      </c>
      <c r="W322" s="2" t="s">
        <v>146</v>
      </c>
      <c r="X322" s="2" t="s">
        <v>146</v>
      </c>
      <c r="Y322" s="2" t="s">
        <v>146</v>
      </c>
      <c r="Z322" s="2" t="s">
        <v>146</v>
      </c>
      <c r="AA322" s="2" t="s">
        <v>146</v>
      </c>
      <c r="AB322" s="2" t="s">
        <v>146</v>
      </c>
      <c r="AC322" s="2" t="s">
        <v>146</v>
      </c>
      <c r="AD322" s="2" t="s">
        <v>146</v>
      </c>
      <c r="AE322" s="2" t="s">
        <v>146</v>
      </c>
      <c r="AF322" s="2" t="s">
        <v>146</v>
      </c>
      <c r="AG322" s="2" t="s">
        <v>146</v>
      </c>
      <c r="AH322" s="2" t="s">
        <v>146</v>
      </c>
      <c r="AI322" s="2" t="s">
        <v>146</v>
      </c>
      <c r="AJ322" s="2" t="s">
        <v>146</v>
      </c>
      <c r="AK322" s="2" t="s">
        <v>146</v>
      </c>
      <c r="AL322" s="2" t="s">
        <v>146</v>
      </c>
      <c r="AM322" s="2" t="s">
        <v>146</v>
      </c>
      <c r="AN322" s="2" t="s">
        <v>146</v>
      </c>
      <c r="AO322" s="2" t="s">
        <v>146</v>
      </c>
      <c r="AQ322" s="2">
        <f t="shared" si="44"/>
        <v>0</v>
      </c>
      <c r="AR322" s="2">
        <f t="shared" si="45"/>
        <v>0</v>
      </c>
      <c r="AT322" s="2">
        <f t="shared" si="46"/>
        <v>0</v>
      </c>
      <c r="AU322" s="2">
        <f t="shared" si="47"/>
        <v>0</v>
      </c>
      <c r="AV322" s="27" t="str">
        <f t="shared" si="48"/>
        <v/>
      </c>
      <c r="AY322" s="2">
        <f t="shared" si="49"/>
        <v>0</v>
      </c>
      <c r="AZ322" s="2">
        <f t="shared" si="50"/>
        <v>0</v>
      </c>
      <c r="BA322" s="2">
        <f t="shared" si="51"/>
        <v>0</v>
      </c>
      <c r="BB322" s="2">
        <f t="shared" si="52"/>
        <v>0</v>
      </c>
      <c r="BC322" s="2">
        <f t="shared" si="53"/>
        <v>0</v>
      </c>
      <c r="BD322" s="2">
        <f t="shared" si="54"/>
        <v>0</v>
      </c>
    </row>
    <row r="323" spans="1:56" ht="15" customHeight="1" x14ac:dyDescent="0.45">
      <c r="A323" s="2" t="s">
        <v>258</v>
      </c>
      <c r="B323" s="2" t="s">
        <v>257</v>
      </c>
      <c r="C323" s="2">
        <v>2019</v>
      </c>
      <c r="D323" s="2">
        <v>660.1</v>
      </c>
      <c r="E323" s="2">
        <v>232.8</v>
      </c>
      <c r="F323" s="2" t="s">
        <v>146</v>
      </c>
      <c r="G323" s="2" t="s">
        <v>146</v>
      </c>
      <c r="H323" s="2" t="s">
        <v>146</v>
      </c>
      <c r="I323" s="2">
        <v>1248.5</v>
      </c>
      <c r="J323" s="2" t="s">
        <v>146</v>
      </c>
      <c r="K323" s="2">
        <v>8</v>
      </c>
      <c r="L323" s="2" t="s">
        <v>146</v>
      </c>
      <c r="M323" s="2" t="s">
        <v>146</v>
      </c>
      <c r="N323" s="2" t="s">
        <v>146</v>
      </c>
      <c r="O323" s="2" t="s">
        <v>146</v>
      </c>
      <c r="P323" s="2" t="s">
        <v>146</v>
      </c>
      <c r="Q323" s="2">
        <v>19.8</v>
      </c>
      <c r="R323" s="2">
        <v>246.8</v>
      </c>
      <c r="S323" s="2">
        <v>111.3</v>
      </c>
      <c r="T323" s="2">
        <v>114.9</v>
      </c>
      <c r="U323" s="2" t="s">
        <v>146</v>
      </c>
      <c r="V323" s="2">
        <v>66.599999999999994</v>
      </c>
      <c r="W323" s="2" t="s">
        <v>147</v>
      </c>
      <c r="X323" s="2">
        <v>1.6</v>
      </c>
      <c r="Y323" s="2" t="s">
        <v>146</v>
      </c>
      <c r="Z323" s="2" t="s">
        <v>146</v>
      </c>
      <c r="AA323" s="2" t="s">
        <v>146</v>
      </c>
      <c r="AB323" s="2" t="s">
        <v>146</v>
      </c>
      <c r="AC323" s="2" t="s">
        <v>146</v>
      </c>
      <c r="AD323" s="2" t="s">
        <v>146</v>
      </c>
      <c r="AE323" s="2">
        <v>12.7</v>
      </c>
      <c r="AF323" s="2">
        <v>479.7</v>
      </c>
      <c r="AG323" s="2">
        <v>4.0999999999999996</v>
      </c>
      <c r="AH323" s="2" t="s">
        <v>233</v>
      </c>
      <c r="AI323" s="2">
        <v>38.299999999999997</v>
      </c>
      <c r="AJ323" s="2" t="s">
        <v>146</v>
      </c>
      <c r="AK323" s="2">
        <v>187.1</v>
      </c>
      <c r="AL323" s="2">
        <v>73.3</v>
      </c>
      <c r="AM323" s="2">
        <v>24.5</v>
      </c>
      <c r="AN323" s="2">
        <v>0.5</v>
      </c>
      <c r="AO323" s="2">
        <v>1.7</v>
      </c>
      <c r="AQ323" s="2">
        <f t="shared" ref="AQ323:AQ386" si="55">SUMPRODUCT(J323:AF323)+IFERROR(AJ323/1,0)</f>
        <v>1061.4000000000001</v>
      </c>
      <c r="AR323" s="2">
        <f t="shared" ref="AR323:AR386" si="56">SUMPRODUCT(J323:AF323)+SUMPRODUCT(AJ323:AK323)</f>
        <v>1248.5</v>
      </c>
      <c r="AT323" s="2">
        <f t="shared" ref="AT323:AT386" si="57">IFERROR(D323/1,0)</f>
        <v>660.1</v>
      </c>
      <c r="AU323" s="2">
        <f t="shared" ref="AU323:AU386" si="58">IFERROR(E323/1,0)</f>
        <v>232.8</v>
      </c>
      <c r="AV323" s="27">
        <f t="shared" ref="AV323:AV386" si="59">IFERROR((AT323+AU323)/AR323,"")</f>
        <v>0.71517821385662805</v>
      </c>
      <c r="AY323" s="2">
        <f t="shared" ref="AY323:AY386" si="60">IFERROR(AK323/1,0)</f>
        <v>187.1</v>
      </c>
      <c r="AZ323" s="2">
        <f t="shared" ref="AZ323:AZ386" si="61">IFERROR(AL323/100,0)*$AY323</f>
        <v>137.14429999999999</v>
      </c>
      <c r="BA323" s="2">
        <f t="shared" ref="BA323:BA386" si="62">IFERROR(AM323/100,0)*$AY323</f>
        <v>45.839500000000001</v>
      </c>
      <c r="BB323" s="2">
        <f t="shared" ref="BB323:BB386" si="63">IFERROR(AN323/100,0)*$AY323</f>
        <v>0.9355</v>
      </c>
      <c r="BC323" s="2">
        <f t="shared" ref="BC323:BC386" si="64">IFERROR(AO323/100,0)*$AY323</f>
        <v>3.1807000000000003</v>
      </c>
      <c r="BD323" s="2">
        <f t="shared" ref="BD323:BD386" si="65">MAX(AY323-SUM(AZ323:BC323),0)</f>
        <v>2.8421709430404007E-14</v>
      </c>
    </row>
    <row r="324" spans="1:56" ht="15" customHeight="1" x14ac:dyDescent="0.45">
      <c r="A324" s="2" t="s">
        <v>255</v>
      </c>
      <c r="B324" s="2" t="s">
        <v>256</v>
      </c>
      <c r="C324" s="2">
        <v>2019</v>
      </c>
      <c r="D324" s="2" t="s">
        <v>146</v>
      </c>
      <c r="E324" s="2" t="s">
        <v>146</v>
      </c>
      <c r="F324" s="2" t="s">
        <v>146</v>
      </c>
      <c r="G324" s="2" t="s">
        <v>146</v>
      </c>
      <c r="H324" s="2" t="s">
        <v>146</v>
      </c>
      <c r="I324" s="2" t="s">
        <v>146</v>
      </c>
      <c r="J324" s="2" t="s">
        <v>146</v>
      </c>
      <c r="K324" s="2" t="s">
        <v>146</v>
      </c>
      <c r="L324" s="2" t="s">
        <v>146</v>
      </c>
      <c r="M324" s="2" t="s">
        <v>146</v>
      </c>
      <c r="N324" s="2" t="s">
        <v>146</v>
      </c>
      <c r="O324" s="2" t="s">
        <v>146</v>
      </c>
      <c r="P324" s="2" t="s">
        <v>146</v>
      </c>
      <c r="Q324" s="2" t="s">
        <v>146</v>
      </c>
      <c r="R324" s="2" t="s">
        <v>146</v>
      </c>
      <c r="S324" s="2" t="s">
        <v>146</v>
      </c>
      <c r="T324" s="2" t="s">
        <v>146</v>
      </c>
      <c r="U324" s="2" t="s">
        <v>146</v>
      </c>
      <c r="V324" s="2" t="s">
        <v>146</v>
      </c>
      <c r="W324" s="2" t="s">
        <v>146</v>
      </c>
      <c r="X324" s="2" t="s">
        <v>146</v>
      </c>
      <c r="Y324" s="2" t="s">
        <v>146</v>
      </c>
      <c r="Z324" s="2" t="s">
        <v>146</v>
      </c>
      <c r="AA324" s="2" t="s">
        <v>146</v>
      </c>
      <c r="AB324" s="2" t="s">
        <v>146</v>
      </c>
      <c r="AC324" s="2" t="s">
        <v>146</v>
      </c>
      <c r="AD324" s="2" t="s">
        <v>146</v>
      </c>
      <c r="AE324" s="2" t="s">
        <v>146</v>
      </c>
      <c r="AF324" s="2" t="s">
        <v>146</v>
      </c>
      <c r="AG324" s="2" t="s">
        <v>146</v>
      </c>
      <c r="AH324" s="2" t="s">
        <v>146</v>
      </c>
      <c r="AI324" s="2" t="s">
        <v>146</v>
      </c>
      <c r="AJ324" s="2" t="s">
        <v>146</v>
      </c>
      <c r="AK324" s="2" t="s">
        <v>146</v>
      </c>
      <c r="AL324" s="2" t="s">
        <v>146</v>
      </c>
      <c r="AM324" s="2" t="s">
        <v>146</v>
      </c>
      <c r="AN324" s="2" t="s">
        <v>146</v>
      </c>
      <c r="AO324" s="2" t="s">
        <v>146</v>
      </c>
      <c r="AQ324" s="2">
        <f t="shared" si="55"/>
        <v>0</v>
      </c>
      <c r="AR324" s="2">
        <f t="shared" si="56"/>
        <v>0</v>
      </c>
      <c r="AT324" s="2">
        <f t="shared" si="57"/>
        <v>0</v>
      </c>
      <c r="AU324" s="2">
        <f t="shared" si="58"/>
        <v>0</v>
      </c>
      <c r="AV324" s="27" t="str">
        <f t="shared" si="59"/>
        <v/>
      </c>
      <c r="AY324" s="2">
        <f t="shared" si="60"/>
        <v>0</v>
      </c>
      <c r="AZ324" s="2">
        <f t="shared" si="61"/>
        <v>0</v>
      </c>
      <c r="BA324" s="2">
        <f t="shared" si="62"/>
        <v>0</v>
      </c>
      <c r="BB324" s="2">
        <f t="shared" si="63"/>
        <v>0</v>
      </c>
      <c r="BC324" s="2">
        <f t="shared" si="64"/>
        <v>0</v>
      </c>
      <c r="BD324" s="2">
        <f t="shared" si="65"/>
        <v>0</v>
      </c>
    </row>
    <row r="325" spans="1:56" ht="15" customHeight="1" x14ac:dyDescent="0.45">
      <c r="A325" s="2" t="s">
        <v>255</v>
      </c>
      <c r="B325" s="2" t="s">
        <v>254</v>
      </c>
      <c r="C325" s="2">
        <v>2019</v>
      </c>
      <c r="D325" s="2" t="s">
        <v>146</v>
      </c>
      <c r="E325" s="2" t="s">
        <v>146</v>
      </c>
      <c r="F325" s="2" t="s">
        <v>146</v>
      </c>
      <c r="G325" s="2" t="s">
        <v>146</v>
      </c>
      <c r="H325" s="2" t="s">
        <v>146</v>
      </c>
      <c r="I325" s="2" t="s">
        <v>146</v>
      </c>
      <c r="J325" s="2" t="s">
        <v>146</v>
      </c>
      <c r="K325" s="2" t="s">
        <v>146</v>
      </c>
      <c r="L325" s="2" t="s">
        <v>146</v>
      </c>
      <c r="M325" s="2" t="s">
        <v>146</v>
      </c>
      <c r="N325" s="2" t="s">
        <v>146</v>
      </c>
      <c r="O325" s="2" t="s">
        <v>146</v>
      </c>
      <c r="P325" s="2" t="s">
        <v>146</v>
      </c>
      <c r="Q325" s="2" t="s">
        <v>146</v>
      </c>
      <c r="R325" s="2" t="s">
        <v>146</v>
      </c>
      <c r="S325" s="2" t="s">
        <v>146</v>
      </c>
      <c r="T325" s="2" t="s">
        <v>146</v>
      </c>
      <c r="U325" s="2" t="s">
        <v>146</v>
      </c>
      <c r="V325" s="2" t="s">
        <v>146</v>
      </c>
      <c r="W325" s="2" t="s">
        <v>146</v>
      </c>
      <c r="X325" s="2" t="s">
        <v>146</v>
      </c>
      <c r="Y325" s="2" t="s">
        <v>146</v>
      </c>
      <c r="Z325" s="2" t="s">
        <v>146</v>
      </c>
      <c r="AA325" s="2" t="s">
        <v>146</v>
      </c>
      <c r="AB325" s="2" t="s">
        <v>146</v>
      </c>
      <c r="AC325" s="2" t="s">
        <v>146</v>
      </c>
      <c r="AD325" s="2" t="s">
        <v>146</v>
      </c>
      <c r="AE325" s="2" t="s">
        <v>146</v>
      </c>
      <c r="AF325" s="2" t="s">
        <v>146</v>
      </c>
      <c r="AG325" s="2" t="s">
        <v>146</v>
      </c>
      <c r="AH325" s="2" t="s">
        <v>146</v>
      </c>
      <c r="AI325" s="2" t="s">
        <v>146</v>
      </c>
      <c r="AJ325" s="2" t="s">
        <v>146</v>
      </c>
      <c r="AK325" s="2" t="s">
        <v>146</v>
      </c>
      <c r="AL325" s="2" t="s">
        <v>146</v>
      </c>
      <c r="AM325" s="2" t="s">
        <v>146</v>
      </c>
      <c r="AN325" s="2" t="s">
        <v>146</v>
      </c>
      <c r="AO325" s="2" t="s">
        <v>146</v>
      </c>
      <c r="AQ325" s="2">
        <f t="shared" si="55"/>
        <v>0</v>
      </c>
      <c r="AR325" s="2">
        <f t="shared" si="56"/>
        <v>0</v>
      </c>
      <c r="AT325" s="2">
        <f t="shared" si="57"/>
        <v>0</v>
      </c>
      <c r="AU325" s="2">
        <f t="shared" si="58"/>
        <v>0</v>
      </c>
      <c r="AV325" s="27" t="str">
        <f t="shared" si="59"/>
        <v/>
      </c>
      <c r="AY325" s="2">
        <f t="shared" si="60"/>
        <v>0</v>
      </c>
      <c r="AZ325" s="2">
        <f t="shared" si="61"/>
        <v>0</v>
      </c>
      <c r="BA325" s="2">
        <f t="shared" si="62"/>
        <v>0</v>
      </c>
      <c r="BB325" s="2">
        <f t="shared" si="63"/>
        <v>0</v>
      </c>
      <c r="BC325" s="2">
        <f t="shared" si="64"/>
        <v>0</v>
      </c>
      <c r="BD325" s="2">
        <f t="shared" si="65"/>
        <v>0</v>
      </c>
    </row>
    <row r="326" spans="1:56" ht="15" customHeight="1" x14ac:dyDescent="0.45">
      <c r="A326" s="2" t="s">
        <v>253</v>
      </c>
      <c r="B326" s="2" t="s">
        <v>252</v>
      </c>
      <c r="C326" s="2">
        <v>2019</v>
      </c>
      <c r="D326" s="2" t="s">
        <v>146</v>
      </c>
      <c r="E326" s="2" t="s">
        <v>146</v>
      </c>
      <c r="F326" s="2" t="s">
        <v>146</v>
      </c>
      <c r="G326" s="2" t="s">
        <v>146</v>
      </c>
      <c r="H326" s="2" t="s">
        <v>146</v>
      </c>
      <c r="I326" s="2" t="s">
        <v>146</v>
      </c>
      <c r="J326" s="2" t="s">
        <v>146</v>
      </c>
      <c r="K326" s="2" t="s">
        <v>146</v>
      </c>
      <c r="L326" s="2" t="s">
        <v>146</v>
      </c>
      <c r="M326" s="2" t="s">
        <v>146</v>
      </c>
      <c r="N326" s="2" t="s">
        <v>146</v>
      </c>
      <c r="O326" s="2" t="s">
        <v>146</v>
      </c>
      <c r="P326" s="2" t="s">
        <v>146</v>
      </c>
      <c r="Q326" s="2" t="s">
        <v>146</v>
      </c>
      <c r="R326" s="2" t="s">
        <v>146</v>
      </c>
      <c r="S326" s="2" t="s">
        <v>146</v>
      </c>
      <c r="T326" s="2" t="s">
        <v>146</v>
      </c>
      <c r="U326" s="2" t="s">
        <v>146</v>
      </c>
      <c r="V326" s="2" t="s">
        <v>146</v>
      </c>
      <c r="W326" s="2" t="s">
        <v>146</v>
      </c>
      <c r="X326" s="2" t="s">
        <v>146</v>
      </c>
      <c r="Y326" s="2" t="s">
        <v>146</v>
      </c>
      <c r="Z326" s="2" t="s">
        <v>146</v>
      </c>
      <c r="AA326" s="2" t="s">
        <v>146</v>
      </c>
      <c r="AB326" s="2" t="s">
        <v>146</v>
      </c>
      <c r="AC326" s="2" t="s">
        <v>146</v>
      </c>
      <c r="AD326" s="2" t="s">
        <v>146</v>
      </c>
      <c r="AE326" s="2" t="s">
        <v>146</v>
      </c>
      <c r="AF326" s="2" t="s">
        <v>146</v>
      </c>
      <c r="AG326" s="2" t="s">
        <v>146</v>
      </c>
      <c r="AH326" s="2" t="s">
        <v>146</v>
      </c>
      <c r="AI326" s="2" t="s">
        <v>146</v>
      </c>
      <c r="AJ326" s="2" t="s">
        <v>146</v>
      </c>
      <c r="AK326" s="2" t="s">
        <v>146</v>
      </c>
      <c r="AL326" s="2" t="s">
        <v>146</v>
      </c>
      <c r="AM326" s="2" t="s">
        <v>146</v>
      </c>
      <c r="AN326" s="2" t="s">
        <v>146</v>
      </c>
      <c r="AO326" s="2" t="s">
        <v>146</v>
      </c>
      <c r="AQ326" s="2">
        <f t="shared" si="55"/>
        <v>0</v>
      </c>
      <c r="AR326" s="2">
        <f t="shared" si="56"/>
        <v>0</v>
      </c>
      <c r="AT326" s="2">
        <f t="shared" si="57"/>
        <v>0</v>
      </c>
      <c r="AU326" s="2">
        <f t="shared" si="58"/>
        <v>0</v>
      </c>
      <c r="AV326" s="27" t="str">
        <f t="shared" si="59"/>
        <v/>
      </c>
      <c r="AY326" s="2">
        <f t="shared" si="60"/>
        <v>0</v>
      </c>
      <c r="AZ326" s="2">
        <f t="shared" si="61"/>
        <v>0</v>
      </c>
      <c r="BA326" s="2">
        <f t="shared" si="62"/>
        <v>0</v>
      </c>
      <c r="BB326" s="2">
        <f t="shared" si="63"/>
        <v>0</v>
      </c>
      <c r="BC326" s="2">
        <f t="shared" si="64"/>
        <v>0</v>
      </c>
      <c r="BD326" s="2">
        <f t="shared" si="65"/>
        <v>0</v>
      </c>
    </row>
    <row r="327" spans="1:56" ht="15" customHeight="1" x14ac:dyDescent="0.45">
      <c r="A327" s="2" t="s">
        <v>249</v>
      </c>
      <c r="B327" s="2" t="s">
        <v>251</v>
      </c>
      <c r="C327" s="2">
        <v>2019</v>
      </c>
      <c r="D327" s="2" t="s">
        <v>146</v>
      </c>
      <c r="E327" s="2" t="s">
        <v>146</v>
      </c>
      <c r="F327" s="2" t="s">
        <v>146</v>
      </c>
      <c r="G327" s="2" t="s">
        <v>146</v>
      </c>
      <c r="H327" s="2" t="s">
        <v>146</v>
      </c>
      <c r="I327" s="2" t="s">
        <v>146</v>
      </c>
      <c r="J327" s="2" t="s">
        <v>146</v>
      </c>
      <c r="K327" s="2" t="s">
        <v>146</v>
      </c>
      <c r="L327" s="2" t="s">
        <v>146</v>
      </c>
      <c r="M327" s="2" t="s">
        <v>146</v>
      </c>
      <c r="N327" s="2" t="s">
        <v>146</v>
      </c>
      <c r="O327" s="2" t="s">
        <v>146</v>
      </c>
      <c r="P327" s="2" t="s">
        <v>146</v>
      </c>
      <c r="Q327" s="2" t="s">
        <v>146</v>
      </c>
      <c r="R327" s="2" t="s">
        <v>146</v>
      </c>
      <c r="S327" s="2" t="s">
        <v>146</v>
      </c>
      <c r="T327" s="2" t="s">
        <v>146</v>
      </c>
      <c r="U327" s="2" t="s">
        <v>146</v>
      </c>
      <c r="V327" s="2" t="s">
        <v>146</v>
      </c>
      <c r="W327" s="2" t="s">
        <v>146</v>
      </c>
      <c r="X327" s="2" t="s">
        <v>146</v>
      </c>
      <c r="Y327" s="2" t="s">
        <v>146</v>
      </c>
      <c r="Z327" s="2" t="s">
        <v>146</v>
      </c>
      <c r="AA327" s="2" t="s">
        <v>146</v>
      </c>
      <c r="AB327" s="2" t="s">
        <v>146</v>
      </c>
      <c r="AC327" s="2" t="s">
        <v>146</v>
      </c>
      <c r="AD327" s="2" t="s">
        <v>146</v>
      </c>
      <c r="AE327" s="2" t="s">
        <v>146</v>
      </c>
      <c r="AF327" s="2" t="s">
        <v>146</v>
      </c>
      <c r="AG327" s="2" t="s">
        <v>146</v>
      </c>
      <c r="AH327" s="2" t="s">
        <v>146</v>
      </c>
      <c r="AI327" s="2" t="s">
        <v>146</v>
      </c>
      <c r="AJ327" s="2" t="s">
        <v>146</v>
      </c>
      <c r="AK327" s="2" t="s">
        <v>146</v>
      </c>
      <c r="AL327" s="2" t="s">
        <v>146</v>
      </c>
      <c r="AM327" s="2" t="s">
        <v>146</v>
      </c>
      <c r="AN327" s="2" t="s">
        <v>146</v>
      </c>
      <c r="AO327" s="2" t="s">
        <v>146</v>
      </c>
      <c r="AQ327" s="2">
        <f t="shared" si="55"/>
        <v>0</v>
      </c>
      <c r="AR327" s="2">
        <f t="shared" si="56"/>
        <v>0</v>
      </c>
      <c r="AT327" s="2">
        <f t="shared" si="57"/>
        <v>0</v>
      </c>
      <c r="AU327" s="2">
        <f t="shared" si="58"/>
        <v>0</v>
      </c>
      <c r="AV327" s="27" t="str">
        <f t="shared" si="59"/>
        <v/>
      </c>
      <c r="AY327" s="2">
        <f t="shared" si="60"/>
        <v>0</v>
      </c>
      <c r="AZ327" s="2">
        <f t="shared" si="61"/>
        <v>0</v>
      </c>
      <c r="BA327" s="2">
        <f t="shared" si="62"/>
        <v>0</v>
      </c>
      <c r="BB327" s="2">
        <f t="shared" si="63"/>
        <v>0</v>
      </c>
      <c r="BC327" s="2">
        <f t="shared" si="64"/>
        <v>0</v>
      </c>
      <c r="BD327" s="2">
        <f t="shared" si="65"/>
        <v>0</v>
      </c>
    </row>
    <row r="328" spans="1:56" ht="15" customHeight="1" x14ac:dyDescent="0.45">
      <c r="A328" s="2" t="s">
        <v>249</v>
      </c>
      <c r="B328" s="2" t="s">
        <v>250</v>
      </c>
      <c r="C328" s="2">
        <v>2019</v>
      </c>
      <c r="D328" s="2" t="s">
        <v>146</v>
      </c>
      <c r="E328" s="2" t="s">
        <v>146</v>
      </c>
      <c r="F328" s="2" t="s">
        <v>146</v>
      </c>
      <c r="G328" s="2" t="s">
        <v>146</v>
      </c>
      <c r="H328" s="2" t="s">
        <v>146</v>
      </c>
      <c r="I328" s="2" t="s">
        <v>146</v>
      </c>
      <c r="J328" s="2" t="s">
        <v>146</v>
      </c>
      <c r="K328" s="2" t="s">
        <v>146</v>
      </c>
      <c r="L328" s="2" t="s">
        <v>146</v>
      </c>
      <c r="M328" s="2" t="s">
        <v>146</v>
      </c>
      <c r="N328" s="2" t="s">
        <v>146</v>
      </c>
      <c r="O328" s="2" t="s">
        <v>146</v>
      </c>
      <c r="P328" s="2" t="s">
        <v>146</v>
      </c>
      <c r="Q328" s="2" t="s">
        <v>146</v>
      </c>
      <c r="R328" s="2" t="s">
        <v>146</v>
      </c>
      <c r="S328" s="2" t="s">
        <v>146</v>
      </c>
      <c r="T328" s="2" t="s">
        <v>146</v>
      </c>
      <c r="U328" s="2" t="s">
        <v>146</v>
      </c>
      <c r="V328" s="2" t="s">
        <v>146</v>
      </c>
      <c r="W328" s="2" t="s">
        <v>146</v>
      </c>
      <c r="X328" s="2" t="s">
        <v>146</v>
      </c>
      <c r="Y328" s="2" t="s">
        <v>146</v>
      </c>
      <c r="Z328" s="2" t="s">
        <v>146</v>
      </c>
      <c r="AA328" s="2" t="s">
        <v>146</v>
      </c>
      <c r="AB328" s="2" t="s">
        <v>146</v>
      </c>
      <c r="AC328" s="2" t="s">
        <v>146</v>
      </c>
      <c r="AD328" s="2" t="s">
        <v>146</v>
      </c>
      <c r="AE328" s="2" t="s">
        <v>146</v>
      </c>
      <c r="AF328" s="2" t="s">
        <v>146</v>
      </c>
      <c r="AG328" s="2" t="s">
        <v>146</v>
      </c>
      <c r="AH328" s="2" t="s">
        <v>146</v>
      </c>
      <c r="AI328" s="2" t="s">
        <v>146</v>
      </c>
      <c r="AJ328" s="2" t="s">
        <v>146</v>
      </c>
      <c r="AK328" s="2" t="s">
        <v>146</v>
      </c>
      <c r="AL328" s="2" t="s">
        <v>146</v>
      </c>
      <c r="AM328" s="2" t="s">
        <v>146</v>
      </c>
      <c r="AN328" s="2" t="s">
        <v>146</v>
      </c>
      <c r="AO328" s="2" t="s">
        <v>146</v>
      </c>
      <c r="AQ328" s="2">
        <f t="shared" si="55"/>
        <v>0</v>
      </c>
      <c r="AR328" s="2">
        <f t="shared" si="56"/>
        <v>0</v>
      </c>
      <c r="AT328" s="2">
        <f t="shared" si="57"/>
        <v>0</v>
      </c>
      <c r="AU328" s="2">
        <f t="shared" si="58"/>
        <v>0</v>
      </c>
      <c r="AV328" s="27" t="str">
        <f t="shared" si="59"/>
        <v/>
      </c>
      <c r="AY328" s="2">
        <f t="shared" si="60"/>
        <v>0</v>
      </c>
      <c r="AZ328" s="2">
        <f t="shared" si="61"/>
        <v>0</v>
      </c>
      <c r="BA328" s="2">
        <f t="shared" si="62"/>
        <v>0</v>
      </c>
      <c r="BB328" s="2">
        <f t="shared" si="63"/>
        <v>0</v>
      </c>
      <c r="BC328" s="2">
        <f t="shared" si="64"/>
        <v>0</v>
      </c>
      <c r="BD328" s="2">
        <f t="shared" si="65"/>
        <v>0</v>
      </c>
    </row>
    <row r="329" spans="1:56" ht="15" customHeight="1" x14ac:dyDescent="0.45">
      <c r="A329" s="2" t="s">
        <v>249</v>
      </c>
      <c r="B329" s="2" t="s">
        <v>248</v>
      </c>
      <c r="C329" s="2">
        <v>2019</v>
      </c>
      <c r="D329" s="2" t="s">
        <v>146</v>
      </c>
      <c r="E329" s="2" t="s">
        <v>146</v>
      </c>
      <c r="F329" s="2" t="s">
        <v>146</v>
      </c>
      <c r="G329" s="2" t="s">
        <v>146</v>
      </c>
      <c r="H329" s="2" t="s">
        <v>146</v>
      </c>
      <c r="I329" s="2" t="s">
        <v>146</v>
      </c>
      <c r="J329" s="2" t="s">
        <v>146</v>
      </c>
      <c r="K329" s="2" t="s">
        <v>146</v>
      </c>
      <c r="L329" s="2" t="s">
        <v>146</v>
      </c>
      <c r="M329" s="2" t="s">
        <v>146</v>
      </c>
      <c r="N329" s="2" t="s">
        <v>146</v>
      </c>
      <c r="O329" s="2" t="s">
        <v>146</v>
      </c>
      <c r="P329" s="2" t="s">
        <v>146</v>
      </c>
      <c r="Q329" s="2" t="s">
        <v>146</v>
      </c>
      <c r="R329" s="2" t="s">
        <v>146</v>
      </c>
      <c r="S329" s="2" t="s">
        <v>146</v>
      </c>
      <c r="T329" s="2" t="s">
        <v>146</v>
      </c>
      <c r="U329" s="2" t="s">
        <v>146</v>
      </c>
      <c r="V329" s="2" t="s">
        <v>146</v>
      </c>
      <c r="W329" s="2" t="s">
        <v>146</v>
      </c>
      <c r="X329" s="2" t="s">
        <v>146</v>
      </c>
      <c r="Y329" s="2" t="s">
        <v>146</v>
      </c>
      <c r="Z329" s="2" t="s">
        <v>146</v>
      </c>
      <c r="AA329" s="2" t="s">
        <v>146</v>
      </c>
      <c r="AB329" s="2" t="s">
        <v>146</v>
      </c>
      <c r="AC329" s="2" t="s">
        <v>146</v>
      </c>
      <c r="AD329" s="2" t="s">
        <v>146</v>
      </c>
      <c r="AE329" s="2" t="s">
        <v>146</v>
      </c>
      <c r="AF329" s="2" t="s">
        <v>146</v>
      </c>
      <c r="AG329" s="2" t="s">
        <v>146</v>
      </c>
      <c r="AH329" s="2" t="s">
        <v>146</v>
      </c>
      <c r="AI329" s="2" t="s">
        <v>146</v>
      </c>
      <c r="AJ329" s="2" t="s">
        <v>146</v>
      </c>
      <c r="AK329" s="2" t="s">
        <v>146</v>
      </c>
      <c r="AL329" s="2" t="s">
        <v>146</v>
      </c>
      <c r="AM329" s="2" t="s">
        <v>146</v>
      </c>
      <c r="AN329" s="2" t="s">
        <v>146</v>
      </c>
      <c r="AO329" s="2" t="s">
        <v>146</v>
      </c>
      <c r="AQ329" s="2">
        <f t="shared" si="55"/>
        <v>0</v>
      </c>
      <c r="AR329" s="2">
        <f t="shared" si="56"/>
        <v>0</v>
      </c>
      <c r="AT329" s="2">
        <f t="shared" si="57"/>
        <v>0</v>
      </c>
      <c r="AU329" s="2">
        <f t="shared" si="58"/>
        <v>0</v>
      </c>
      <c r="AV329" s="27" t="str">
        <f t="shared" si="59"/>
        <v/>
      </c>
      <c r="AY329" s="2">
        <f t="shared" si="60"/>
        <v>0</v>
      </c>
      <c r="AZ329" s="2">
        <f t="shared" si="61"/>
        <v>0</v>
      </c>
      <c r="BA329" s="2">
        <f t="shared" si="62"/>
        <v>0</v>
      </c>
      <c r="BB329" s="2">
        <f t="shared" si="63"/>
        <v>0</v>
      </c>
      <c r="BC329" s="2">
        <f t="shared" si="64"/>
        <v>0</v>
      </c>
      <c r="BD329" s="2">
        <f t="shared" si="65"/>
        <v>0</v>
      </c>
    </row>
    <row r="330" spans="1:56" ht="15" customHeight="1" x14ac:dyDescent="0.45">
      <c r="A330" s="2" t="s">
        <v>243</v>
      </c>
      <c r="B330" s="2" t="s">
        <v>247</v>
      </c>
      <c r="C330" s="2">
        <v>2019</v>
      </c>
      <c r="D330" s="2" t="s">
        <v>146</v>
      </c>
      <c r="E330" s="2" t="s">
        <v>146</v>
      </c>
      <c r="F330" s="2" t="s">
        <v>146</v>
      </c>
      <c r="G330" s="2" t="s">
        <v>146</v>
      </c>
      <c r="H330" s="2" t="s">
        <v>146</v>
      </c>
      <c r="I330" s="2" t="s">
        <v>146</v>
      </c>
      <c r="J330" s="2" t="s">
        <v>146</v>
      </c>
      <c r="K330" s="2" t="s">
        <v>146</v>
      </c>
      <c r="L330" s="2" t="s">
        <v>146</v>
      </c>
      <c r="M330" s="2" t="s">
        <v>146</v>
      </c>
      <c r="N330" s="2" t="s">
        <v>146</v>
      </c>
      <c r="O330" s="2" t="s">
        <v>146</v>
      </c>
      <c r="P330" s="2" t="s">
        <v>146</v>
      </c>
      <c r="Q330" s="2" t="s">
        <v>146</v>
      </c>
      <c r="R330" s="2" t="s">
        <v>146</v>
      </c>
      <c r="S330" s="2" t="s">
        <v>146</v>
      </c>
      <c r="T330" s="2" t="s">
        <v>146</v>
      </c>
      <c r="U330" s="2" t="s">
        <v>146</v>
      </c>
      <c r="V330" s="2" t="s">
        <v>146</v>
      </c>
      <c r="W330" s="2" t="s">
        <v>146</v>
      </c>
      <c r="X330" s="2" t="s">
        <v>146</v>
      </c>
      <c r="Y330" s="2" t="s">
        <v>146</v>
      </c>
      <c r="Z330" s="2" t="s">
        <v>146</v>
      </c>
      <c r="AA330" s="2" t="s">
        <v>146</v>
      </c>
      <c r="AB330" s="2" t="s">
        <v>146</v>
      </c>
      <c r="AC330" s="2" t="s">
        <v>146</v>
      </c>
      <c r="AD330" s="2" t="s">
        <v>146</v>
      </c>
      <c r="AE330" s="2" t="s">
        <v>146</v>
      </c>
      <c r="AF330" s="2" t="s">
        <v>146</v>
      </c>
      <c r="AG330" s="2" t="s">
        <v>146</v>
      </c>
      <c r="AH330" s="2" t="s">
        <v>146</v>
      </c>
      <c r="AI330" s="2" t="s">
        <v>146</v>
      </c>
      <c r="AJ330" s="2" t="s">
        <v>146</v>
      </c>
      <c r="AK330" s="2" t="s">
        <v>146</v>
      </c>
      <c r="AL330" s="2" t="s">
        <v>146</v>
      </c>
      <c r="AM330" s="2" t="s">
        <v>146</v>
      </c>
      <c r="AN330" s="2" t="s">
        <v>146</v>
      </c>
      <c r="AO330" s="2" t="s">
        <v>146</v>
      </c>
      <c r="AQ330" s="2">
        <f t="shared" si="55"/>
        <v>0</v>
      </c>
      <c r="AR330" s="2">
        <f t="shared" si="56"/>
        <v>0</v>
      </c>
      <c r="AT330" s="2">
        <f t="shared" si="57"/>
        <v>0</v>
      </c>
      <c r="AU330" s="2">
        <f t="shared" si="58"/>
        <v>0</v>
      </c>
      <c r="AV330" s="27" t="str">
        <f t="shared" si="59"/>
        <v/>
      </c>
      <c r="AY330" s="2">
        <f t="shared" si="60"/>
        <v>0</v>
      </c>
      <c r="AZ330" s="2">
        <f t="shared" si="61"/>
        <v>0</v>
      </c>
      <c r="BA330" s="2">
        <f t="shared" si="62"/>
        <v>0</v>
      </c>
      <c r="BB330" s="2">
        <f t="shared" si="63"/>
        <v>0</v>
      </c>
      <c r="BC330" s="2">
        <f t="shared" si="64"/>
        <v>0</v>
      </c>
      <c r="BD330" s="2">
        <f t="shared" si="65"/>
        <v>0</v>
      </c>
    </row>
    <row r="331" spans="1:56" ht="15" customHeight="1" x14ac:dyDescent="0.45">
      <c r="A331" s="2" t="s">
        <v>243</v>
      </c>
      <c r="B331" s="2" t="s">
        <v>246</v>
      </c>
      <c r="C331" s="2">
        <v>2019</v>
      </c>
      <c r="D331" s="2" t="s">
        <v>146</v>
      </c>
      <c r="E331" s="2" t="s">
        <v>146</v>
      </c>
      <c r="F331" s="2" t="s">
        <v>146</v>
      </c>
      <c r="G331" s="2" t="s">
        <v>146</v>
      </c>
      <c r="H331" s="2" t="s">
        <v>146</v>
      </c>
      <c r="I331" s="2" t="s">
        <v>146</v>
      </c>
      <c r="J331" s="2" t="s">
        <v>146</v>
      </c>
      <c r="K331" s="2" t="s">
        <v>146</v>
      </c>
      <c r="L331" s="2" t="s">
        <v>146</v>
      </c>
      <c r="M331" s="2" t="s">
        <v>146</v>
      </c>
      <c r="N331" s="2" t="s">
        <v>146</v>
      </c>
      <c r="O331" s="2" t="s">
        <v>146</v>
      </c>
      <c r="P331" s="2" t="s">
        <v>146</v>
      </c>
      <c r="Q331" s="2" t="s">
        <v>146</v>
      </c>
      <c r="R331" s="2" t="s">
        <v>146</v>
      </c>
      <c r="S331" s="2" t="s">
        <v>146</v>
      </c>
      <c r="T331" s="2" t="s">
        <v>146</v>
      </c>
      <c r="U331" s="2" t="s">
        <v>146</v>
      </c>
      <c r="V331" s="2" t="s">
        <v>146</v>
      </c>
      <c r="W331" s="2" t="s">
        <v>146</v>
      </c>
      <c r="X331" s="2" t="s">
        <v>146</v>
      </c>
      <c r="Y331" s="2" t="s">
        <v>146</v>
      </c>
      <c r="Z331" s="2" t="s">
        <v>146</v>
      </c>
      <c r="AA331" s="2" t="s">
        <v>146</v>
      </c>
      <c r="AB331" s="2" t="s">
        <v>146</v>
      </c>
      <c r="AC331" s="2" t="s">
        <v>146</v>
      </c>
      <c r="AD331" s="2" t="s">
        <v>146</v>
      </c>
      <c r="AE331" s="2" t="s">
        <v>146</v>
      </c>
      <c r="AF331" s="2" t="s">
        <v>146</v>
      </c>
      <c r="AG331" s="2" t="s">
        <v>146</v>
      </c>
      <c r="AH331" s="2" t="s">
        <v>146</v>
      </c>
      <c r="AI331" s="2" t="s">
        <v>146</v>
      </c>
      <c r="AJ331" s="2" t="s">
        <v>146</v>
      </c>
      <c r="AK331" s="2" t="s">
        <v>146</v>
      </c>
      <c r="AL331" s="2" t="s">
        <v>146</v>
      </c>
      <c r="AM331" s="2" t="s">
        <v>146</v>
      </c>
      <c r="AN331" s="2" t="s">
        <v>146</v>
      </c>
      <c r="AO331" s="2" t="s">
        <v>146</v>
      </c>
      <c r="AQ331" s="2">
        <f t="shared" si="55"/>
        <v>0</v>
      </c>
      <c r="AR331" s="2">
        <f t="shared" si="56"/>
        <v>0</v>
      </c>
      <c r="AT331" s="2">
        <f t="shared" si="57"/>
        <v>0</v>
      </c>
      <c r="AU331" s="2">
        <f t="shared" si="58"/>
        <v>0</v>
      </c>
      <c r="AV331" s="27" t="str">
        <f t="shared" si="59"/>
        <v/>
      </c>
      <c r="AY331" s="2">
        <f t="shared" si="60"/>
        <v>0</v>
      </c>
      <c r="AZ331" s="2">
        <f t="shared" si="61"/>
        <v>0</v>
      </c>
      <c r="BA331" s="2">
        <f t="shared" si="62"/>
        <v>0</v>
      </c>
      <c r="BB331" s="2">
        <f t="shared" si="63"/>
        <v>0</v>
      </c>
      <c r="BC331" s="2">
        <f t="shared" si="64"/>
        <v>0</v>
      </c>
      <c r="BD331" s="2">
        <f t="shared" si="65"/>
        <v>0</v>
      </c>
    </row>
    <row r="332" spans="1:56" ht="15" customHeight="1" x14ac:dyDescent="0.45">
      <c r="A332" s="2" t="s">
        <v>243</v>
      </c>
      <c r="B332" s="2" t="s">
        <v>245</v>
      </c>
      <c r="C332" s="2">
        <v>2019</v>
      </c>
      <c r="D332" s="2" t="s">
        <v>146</v>
      </c>
      <c r="E332" s="2" t="s">
        <v>146</v>
      </c>
      <c r="F332" s="2" t="s">
        <v>146</v>
      </c>
      <c r="G332" s="2" t="s">
        <v>146</v>
      </c>
      <c r="H332" s="2" t="s">
        <v>146</v>
      </c>
      <c r="I332" s="2" t="s">
        <v>146</v>
      </c>
      <c r="J332" s="2" t="s">
        <v>146</v>
      </c>
      <c r="K332" s="2" t="s">
        <v>146</v>
      </c>
      <c r="L332" s="2" t="s">
        <v>146</v>
      </c>
      <c r="M332" s="2" t="s">
        <v>146</v>
      </c>
      <c r="N332" s="2" t="s">
        <v>146</v>
      </c>
      <c r="O332" s="2" t="s">
        <v>146</v>
      </c>
      <c r="P332" s="2" t="s">
        <v>146</v>
      </c>
      <c r="Q332" s="2" t="s">
        <v>146</v>
      </c>
      <c r="R332" s="2" t="s">
        <v>146</v>
      </c>
      <c r="S332" s="2" t="s">
        <v>146</v>
      </c>
      <c r="T332" s="2" t="s">
        <v>146</v>
      </c>
      <c r="U332" s="2" t="s">
        <v>146</v>
      </c>
      <c r="V332" s="2" t="s">
        <v>146</v>
      </c>
      <c r="W332" s="2" t="s">
        <v>146</v>
      </c>
      <c r="X332" s="2" t="s">
        <v>146</v>
      </c>
      <c r="Y332" s="2" t="s">
        <v>146</v>
      </c>
      <c r="Z332" s="2" t="s">
        <v>146</v>
      </c>
      <c r="AA332" s="2" t="s">
        <v>146</v>
      </c>
      <c r="AB332" s="2" t="s">
        <v>146</v>
      </c>
      <c r="AC332" s="2" t="s">
        <v>146</v>
      </c>
      <c r="AD332" s="2" t="s">
        <v>146</v>
      </c>
      <c r="AE332" s="2" t="s">
        <v>146</v>
      </c>
      <c r="AF332" s="2" t="s">
        <v>146</v>
      </c>
      <c r="AG332" s="2" t="s">
        <v>146</v>
      </c>
      <c r="AH332" s="2" t="s">
        <v>146</v>
      </c>
      <c r="AI332" s="2" t="s">
        <v>146</v>
      </c>
      <c r="AJ332" s="2" t="s">
        <v>146</v>
      </c>
      <c r="AK332" s="2" t="s">
        <v>146</v>
      </c>
      <c r="AL332" s="2" t="s">
        <v>146</v>
      </c>
      <c r="AM332" s="2" t="s">
        <v>146</v>
      </c>
      <c r="AN332" s="2" t="s">
        <v>146</v>
      </c>
      <c r="AO332" s="2" t="s">
        <v>146</v>
      </c>
      <c r="AQ332" s="2">
        <f t="shared" si="55"/>
        <v>0</v>
      </c>
      <c r="AR332" s="2">
        <f t="shared" si="56"/>
        <v>0</v>
      </c>
      <c r="AT332" s="2">
        <f t="shared" si="57"/>
        <v>0</v>
      </c>
      <c r="AU332" s="2">
        <f t="shared" si="58"/>
        <v>0</v>
      </c>
      <c r="AV332" s="27" t="str">
        <f t="shared" si="59"/>
        <v/>
      </c>
      <c r="AY332" s="2">
        <f t="shared" si="60"/>
        <v>0</v>
      </c>
      <c r="AZ332" s="2">
        <f t="shared" si="61"/>
        <v>0</v>
      </c>
      <c r="BA332" s="2">
        <f t="shared" si="62"/>
        <v>0</v>
      </c>
      <c r="BB332" s="2">
        <f t="shared" si="63"/>
        <v>0</v>
      </c>
      <c r="BC332" s="2">
        <f t="shared" si="64"/>
        <v>0</v>
      </c>
      <c r="BD332" s="2">
        <f t="shared" si="65"/>
        <v>0</v>
      </c>
    </row>
    <row r="333" spans="1:56" ht="15" customHeight="1" x14ac:dyDescent="0.45">
      <c r="A333" s="2" t="s">
        <v>243</v>
      </c>
      <c r="B333" s="2" t="s">
        <v>244</v>
      </c>
      <c r="C333" s="2">
        <v>2019</v>
      </c>
      <c r="D333" s="2" t="s">
        <v>146</v>
      </c>
      <c r="E333" s="2" t="s">
        <v>146</v>
      </c>
      <c r="F333" s="2" t="s">
        <v>146</v>
      </c>
      <c r="G333" s="2" t="s">
        <v>146</v>
      </c>
      <c r="H333" s="2" t="s">
        <v>146</v>
      </c>
      <c r="I333" s="2" t="s">
        <v>146</v>
      </c>
      <c r="J333" s="2" t="s">
        <v>146</v>
      </c>
      <c r="K333" s="2" t="s">
        <v>146</v>
      </c>
      <c r="L333" s="2" t="s">
        <v>146</v>
      </c>
      <c r="M333" s="2" t="s">
        <v>146</v>
      </c>
      <c r="N333" s="2" t="s">
        <v>146</v>
      </c>
      <c r="O333" s="2" t="s">
        <v>146</v>
      </c>
      <c r="P333" s="2" t="s">
        <v>146</v>
      </c>
      <c r="Q333" s="2" t="s">
        <v>146</v>
      </c>
      <c r="R333" s="2" t="s">
        <v>146</v>
      </c>
      <c r="S333" s="2" t="s">
        <v>146</v>
      </c>
      <c r="T333" s="2" t="s">
        <v>146</v>
      </c>
      <c r="U333" s="2" t="s">
        <v>146</v>
      </c>
      <c r="V333" s="2" t="s">
        <v>146</v>
      </c>
      <c r="W333" s="2" t="s">
        <v>146</v>
      </c>
      <c r="X333" s="2" t="s">
        <v>146</v>
      </c>
      <c r="Y333" s="2" t="s">
        <v>146</v>
      </c>
      <c r="Z333" s="2" t="s">
        <v>146</v>
      </c>
      <c r="AA333" s="2" t="s">
        <v>146</v>
      </c>
      <c r="AB333" s="2" t="s">
        <v>146</v>
      </c>
      <c r="AC333" s="2" t="s">
        <v>146</v>
      </c>
      <c r="AD333" s="2" t="s">
        <v>146</v>
      </c>
      <c r="AE333" s="2" t="s">
        <v>146</v>
      </c>
      <c r="AF333" s="2" t="s">
        <v>146</v>
      </c>
      <c r="AG333" s="2" t="s">
        <v>146</v>
      </c>
      <c r="AH333" s="2" t="s">
        <v>146</v>
      </c>
      <c r="AI333" s="2" t="s">
        <v>146</v>
      </c>
      <c r="AJ333" s="2" t="s">
        <v>146</v>
      </c>
      <c r="AK333" s="2" t="s">
        <v>146</v>
      </c>
      <c r="AL333" s="2" t="s">
        <v>146</v>
      </c>
      <c r="AM333" s="2" t="s">
        <v>146</v>
      </c>
      <c r="AN333" s="2" t="s">
        <v>146</v>
      </c>
      <c r="AO333" s="2" t="s">
        <v>146</v>
      </c>
      <c r="AQ333" s="2">
        <f t="shared" si="55"/>
        <v>0</v>
      </c>
      <c r="AR333" s="2">
        <f t="shared" si="56"/>
        <v>0</v>
      </c>
      <c r="AT333" s="2">
        <f t="shared" si="57"/>
        <v>0</v>
      </c>
      <c r="AU333" s="2">
        <f t="shared" si="58"/>
        <v>0</v>
      </c>
      <c r="AV333" s="27" t="str">
        <f t="shared" si="59"/>
        <v/>
      </c>
      <c r="AY333" s="2">
        <f t="shared" si="60"/>
        <v>0</v>
      </c>
      <c r="AZ333" s="2">
        <f t="shared" si="61"/>
        <v>0</v>
      </c>
      <c r="BA333" s="2">
        <f t="shared" si="62"/>
        <v>0</v>
      </c>
      <c r="BB333" s="2">
        <f t="shared" si="63"/>
        <v>0</v>
      </c>
      <c r="BC333" s="2">
        <f t="shared" si="64"/>
        <v>0</v>
      </c>
      <c r="BD333" s="2">
        <f t="shared" si="65"/>
        <v>0</v>
      </c>
    </row>
    <row r="334" spans="1:56" ht="15" customHeight="1" x14ac:dyDescent="0.45">
      <c r="A334" s="2" t="s">
        <v>243</v>
      </c>
      <c r="B334" s="2" t="s">
        <v>133</v>
      </c>
      <c r="C334" s="2">
        <v>2019</v>
      </c>
      <c r="D334" s="2" t="s">
        <v>146</v>
      </c>
      <c r="E334" s="2" t="s">
        <v>146</v>
      </c>
      <c r="F334" s="2" t="s">
        <v>146</v>
      </c>
      <c r="G334" s="2" t="s">
        <v>146</v>
      </c>
      <c r="H334" s="2" t="s">
        <v>146</v>
      </c>
      <c r="I334" s="2" t="s">
        <v>146</v>
      </c>
      <c r="J334" s="2" t="s">
        <v>146</v>
      </c>
      <c r="K334" s="2" t="s">
        <v>146</v>
      </c>
      <c r="L334" s="2" t="s">
        <v>146</v>
      </c>
      <c r="M334" s="2" t="s">
        <v>146</v>
      </c>
      <c r="N334" s="2" t="s">
        <v>146</v>
      </c>
      <c r="O334" s="2" t="s">
        <v>146</v>
      </c>
      <c r="P334" s="2" t="s">
        <v>146</v>
      </c>
      <c r="Q334" s="2" t="s">
        <v>146</v>
      </c>
      <c r="R334" s="2" t="s">
        <v>146</v>
      </c>
      <c r="S334" s="2" t="s">
        <v>146</v>
      </c>
      <c r="T334" s="2" t="s">
        <v>146</v>
      </c>
      <c r="U334" s="2" t="s">
        <v>146</v>
      </c>
      <c r="V334" s="2" t="s">
        <v>146</v>
      </c>
      <c r="W334" s="2" t="s">
        <v>146</v>
      </c>
      <c r="X334" s="2" t="s">
        <v>146</v>
      </c>
      <c r="Y334" s="2" t="s">
        <v>146</v>
      </c>
      <c r="Z334" s="2" t="s">
        <v>146</v>
      </c>
      <c r="AA334" s="2" t="s">
        <v>146</v>
      </c>
      <c r="AB334" s="2" t="s">
        <v>146</v>
      </c>
      <c r="AC334" s="2" t="s">
        <v>146</v>
      </c>
      <c r="AD334" s="2" t="s">
        <v>146</v>
      </c>
      <c r="AE334" s="2" t="s">
        <v>146</v>
      </c>
      <c r="AF334" s="2" t="s">
        <v>146</v>
      </c>
      <c r="AG334" s="2" t="s">
        <v>146</v>
      </c>
      <c r="AH334" s="2" t="s">
        <v>146</v>
      </c>
      <c r="AI334" s="2" t="s">
        <v>146</v>
      </c>
      <c r="AJ334" s="2" t="s">
        <v>146</v>
      </c>
      <c r="AK334" s="2" t="s">
        <v>146</v>
      </c>
      <c r="AL334" s="2" t="s">
        <v>146</v>
      </c>
      <c r="AM334" s="2" t="s">
        <v>146</v>
      </c>
      <c r="AN334" s="2" t="s">
        <v>146</v>
      </c>
      <c r="AO334" s="2" t="s">
        <v>146</v>
      </c>
      <c r="AQ334" s="2">
        <f t="shared" si="55"/>
        <v>0</v>
      </c>
      <c r="AR334" s="2">
        <f t="shared" si="56"/>
        <v>0</v>
      </c>
      <c r="AT334" s="2">
        <f t="shared" si="57"/>
        <v>0</v>
      </c>
      <c r="AU334" s="2">
        <f t="shared" si="58"/>
        <v>0</v>
      </c>
      <c r="AV334" s="27" t="str">
        <f t="shared" si="59"/>
        <v/>
      </c>
      <c r="AY334" s="2">
        <f t="shared" si="60"/>
        <v>0</v>
      </c>
      <c r="AZ334" s="2">
        <f t="shared" si="61"/>
        <v>0</v>
      </c>
      <c r="BA334" s="2">
        <f t="shared" si="62"/>
        <v>0</v>
      </c>
      <c r="BB334" s="2">
        <f t="shared" si="63"/>
        <v>0</v>
      </c>
      <c r="BC334" s="2">
        <f t="shared" si="64"/>
        <v>0</v>
      </c>
      <c r="BD334" s="2">
        <f t="shared" si="65"/>
        <v>0</v>
      </c>
    </row>
    <row r="335" spans="1:56" ht="15" customHeight="1" x14ac:dyDescent="0.45">
      <c r="A335" s="2" t="s">
        <v>232</v>
      </c>
      <c r="B335" s="2" t="s">
        <v>242</v>
      </c>
      <c r="C335" s="2">
        <v>2019</v>
      </c>
      <c r="D335" s="2" t="s">
        <v>146</v>
      </c>
      <c r="E335" s="2" t="s">
        <v>146</v>
      </c>
      <c r="F335" s="2" t="s">
        <v>146</v>
      </c>
      <c r="G335" s="2" t="s">
        <v>146</v>
      </c>
      <c r="H335" s="2" t="s">
        <v>146</v>
      </c>
      <c r="I335" s="2" t="s">
        <v>146</v>
      </c>
      <c r="J335" s="2" t="s">
        <v>146</v>
      </c>
      <c r="K335" s="2" t="s">
        <v>146</v>
      </c>
      <c r="L335" s="2" t="s">
        <v>146</v>
      </c>
      <c r="M335" s="2" t="s">
        <v>146</v>
      </c>
      <c r="N335" s="2" t="s">
        <v>146</v>
      </c>
      <c r="O335" s="2" t="s">
        <v>146</v>
      </c>
      <c r="P335" s="2" t="s">
        <v>146</v>
      </c>
      <c r="Q335" s="2" t="s">
        <v>146</v>
      </c>
      <c r="R335" s="2" t="s">
        <v>146</v>
      </c>
      <c r="S335" s="2" t="s">
        <v>146</v>
      </c>
      <c r="T335" s="2" t="s">
        <v>146</v>
      </c>
      <c r="U335" s="2" t="s">
        <v>146</v>
      </c>
      <c r="V335" s="2" t="s">
        <v>146</v>
      </c>
      <c r="W335" s="2" t="s">
        <v>146</v>
      </c>
      <c r="X335" s="2" t="s">
        <v>146</v>
      </c>
      <c r="Y335" s="2" t="s">
        <v>146</v>
      </c>
      <c r="Z335" s="2" t="s">
        <v>146</v>
      </c>
      <c r="AA335" s="2" t="s">
        <v>146</v>
      </c>
      <c r="AB335" s="2" t="s">
        <v>146</v>
      </c>
      <c r="AC335" s="2" t="s">
        <v>146</v>
      </c>
      <c r="AD335" s="2" t="s">
        <v>146</v>
      </c>
      <c r="AE335" s="2" t="s">
        <v>146</v>
      </c>
      <c r="AF335" s="2" t="s">
        <v>146</v>
      </c>
      <c r="AG335" s="2" t="s">
        <v>146</v>
      </c>
      <c r="AH335" s="2" t="s">
        <v>146</v>
      </c>
      <c r="AI335" s="2" t="s">
        <v>146</v>
      </c>
      <c r="AJ335" s="2" t="s">
        <v>146</v>
      </c>
      <c r="AK335" s="2" t="s">
        <v>146</v>
      </c>
      <c r="AL335" s="2" t="s">
        <v>146</v>
      </c>
      <c r="AM335" s="2" t="s">
        <v>146</v>
      </c>
      <c r="AN335" s="2" t="s">
        <v>146</v>
      </c>
      <c r="AO335" s="2" t="s">
        <v>146</v>
      </c>
      <c r="AQ335" s="2">
        <f t="shared" si="55"/>
        <v>0</v>
      </c>
      <c r="AR335" s="2">
        <f t="shared" si="56"/>
        <v>0</v>
      </c>
      <c r="AT335" s="2">
        <f t="shared" si="57"/>
        <v>0</v>
      </c>
      <c r="AU335" s="2">
        <f t="shared" si="58"/>
        <v>0</v>
      </c>
      <c r="AV335" s="27" t="str">
        <f t="shared" si="59"/>
        <v/>
      </c>
      <c r="AY335" s="2">
        <f t="shared" si="60"/>
        <v>0</v>
      </c>
      <c r="AZ335" s="2">
        <f t="shared" si="61"/>
        <v>0</v>
      </c>
      <c r="BA335" s="2">
        <f t="shared" si="62"/>
        <v>0</v>
      </c>
      <c r="BB335" s="2">
        <f t="shared" si="63"/>
        <v>0</v>
      </c>
      <c r="BC335" s="2">
        <f t="shared" si="64"/>
        <v>0</v>
      </c>
      <c r="BD335" s="2">
        <f t="shared" si="65"/>
        <v>0</v>
      </c>
    </row>
    <row r="336" spans="1:56" ht="15" customHeight="1" x14ac:dyDescent="0.45">
      <c r="A336" s="2" t="s">
        <v>232</v>
      </c>
      <c r="B336" s="2" t="s">
        <v>241</v>
      </c>
      <c r="C336" s="2">
        <v>2019</v>
      </c>
      <c r="D336" s="2">
        <v>307.96699999999998</v>
      </c>
      <c r="E336" s="2">
        <v>74.587999999999994</v>
      </c>
      <c r="F336" s="2" t="s">
        <v>146</v>
      </c>
      <c r="G336" s="2" t="s">
        <v>146</v>
      </c>
      <c r="H336" s="2" t="s">
        <v>146</v>
      </c>
      <c r="I336" s="2">
        <v>491.42500000000001</v>
      </c>
      <c r="J336" s="2" t="s">
        <v>146</v>
      </c>
      <c r="K336" s="2" t="s">
        <v>146</v>
      </c>
      <c r="L336" s="2" t="s">
        <v>146</v>
      </c>
      <c r="M336" s="2" t="s">
        <v>146</v>
      </c>
      <c r="N336" s="2" t="s">
        <v>146</v>
      </c>
      <c r="O336" s="2" t="s">
        <v>146</v>
      </c>
      <c r="P336" s="2" t="s">
        <v>146</v>
      </c>
      <c r="Q336" s="2" t="s">
        <v>146</v>
      </c>
      <c r="R336" s="2" t="s">
        <v>146</v>
      </c>
      <c r="S336" s="2">
        <v>4.0030000000000001</v>
      </c>
      <c r="T336" s="2" t="s">
        <v>146</v>
      </c>
      <c r="U336" s="2" t="s">
        <v>146</v>
      </c>
      <c r="V336" s="2" t="s">
        <v>146</v>
      </c>
      <c r="W336" s="2" t="s">
        <v>146</v>
      </c>
      <c r="X336" s="2" t="s">
        <v>146</v>
      </c>
      <c r="Y336" s="2" t="s">
        <v>146</v>
      </c>
      <c r="Z336" s="2" t="s">
        <v>146</v>
      </c>
      <c r="AA336" s="2">
        <v>437.976</v>
      </c>
      <c r="AB336" s="2" t="s">
        <v>146</v>
      </c>
      <c r="AC336" s="2">
        <v>0.316</v>
      </c>
      <c r="AD336" s="2" t="s">
        <v>146</v>
      </c>
      <c r="AE336" s="2" t="s">
        <v>146</v>
      </c>
      <c r="AF336" s="2" t="s">
        <v>146</v>
      </c>
      <c r="AG336" s="2" t="s">
        <v>146</v>
      </c>
      <c r="AH336" s="2" t="s">
        <v>146</v>
      </c>
      <c r="AI336" s="2" t="s">
        <v>146</v>
      </c>
      <c r="AJ336" s="2" t="s">
        <v>146</v>
      </c>
      <c r="AK336" s="2">
        <v>49.13</v>
      </c>
      <c r="AL336" s="2">
        <v>100</v>
      </c>
      <c r="AM336" s="2" t="s">
        <v>146</v>
      </c>
      <c r="AN336" s="2" t="s">
        <v>146</v>
      </c>
      <c r="AO336" s="2" t="s">
        <v>146</v>
      </c>
      <c r="AQ336" s="2">
        <f t="shared" si="55"/>
        <v>442.29499999999996</v>
      </c>
      <c r="AR336" s="2">
        <f t="shared" si="56"/>
        <v>491.42499999999995</v>
      </c>
      <c r="AT336" s="2">
        <f t="shared" si="57"/>
        <v>307.96699999999998</v>
      </c>
      <c r="AU336" s="2">
        <f t="shared" si="58"/>
        <v>74.587999999999994</v>
      </c>
      <c r="AV336" s="27">
        <f t="shared" si="59"/>
        <v>0.77846059927761102</v>
      </c>
      <c r="AY336" s="2">
        <f t="shared" si="60"/>
        <v>49.13</v>
      </c>
      <c r="AZ336" s="2">
        <f t="shared" si="61"/>
        <v>49.13</v>
      </c>
      <c r="BA336" s="2">
        <f t="shared" si="62"/>
        <v>0</v>
      </c>
      <c r="BB336" s="2">
        <f t="shared" si="63"/>
        <v>0</v>
      </c>
      <c r="BC336" s="2">
        <f t="shared" si="64"/>
        <v>0</v>
      </c>
      <c r="BD336" s="2">
        <f t="shared" si="65"/>
        <v>0</v>
      </c>
    </row>
    <row r="337" spans="1:56" ht="15" customHeight="1" x14ac:dyDescent="0.45">
      <c r="A337" s="2" t="s">
        <v>232</v>
      </c>
      <c r="B337" s="2" t="s">
        <v>240</v>
      </c>
      <c r="C337" s="2">
        <v>2019</v>
      </c>
      <c r="D337" s="2" t="s">
        <v>146</v>
      </c>
      <c r="E337" s="2" t="s">
        <v>146</v>
      </c>
      <c r="F337" s="2" t="s">
        <v>146</v>
      </c>
      <c r="G337" s="2" t="s">
        <v>146</v>
      </c>
      <c r="H337" s="2" t="s">
        <v>146</v>
      </c>
      <c r="I337" s="2" t="s">
        <v>146</v>
      </c>
      <c r="J337" s="2" t="s">
        <v>146</v>
      </c>
      <c r="K337" s="2" t="s">
        <v>146</v>
      </c>
      <c r="L337" s="2" t="s">
        <v>146</v>
      </c>
      <c r="M337" s="2" t="s">
        <v>146</v>
      </c>
      <c r="N337" s="2" t="s">
        <v>146</v>
      </c>
      <c r="O337" s="2" t="s">
        <v>146</v>
      </c>
      <c r="P337" s="2" t="s">
        <v>146</v>
      </c>
      <c r="Q337" s="2" t="s">
        <v>146</v>
      </c>
      <c r="R337" s="2" t="s">
        <v>146</v>
      </c>
      <c r="S337" s="2" t="s">
        <v>146</v>
      </c>
      <c r="T337" s="2" t="s">
        <v>146</v>
      </c>
      <c r="U337" s="2" t="s">
        <v>146</v>
      </c>
      <c r="V337" s="2" t="s">
        <v>146</v>
      </c>
      <c r="W337" s="2" t="s">
        <v>146</v>
      </c>
      <c r="X337" s="2" t="s">
        <v>146</v>
      </c>
      <c r="Y337" s="2" t="s">
        <v>146</v>
      </c>
      <c r="Z337" s="2" t="s">
        <v>146</v>
      </c>
      <c r="AA337" s="2" t="s">
        <v>146</v>
      </c>
      <c r="AB337" s="2" t="s">
        <v>146</v>
      </c>
      <c r="AC337" s="2" t="s">
        <v>146</v>
      </c>
      <c r="AD337" s="2" t="s">
        <v>146</v>
      </c>
      <c r="AE337" s="2" t="s">
        <v>146</v>
      </c>
      <c r="AF337" s="2" t="s">
        <v>146</v>
      </c>
      <c r="AG337" s="2" t="s">
        <v>146</v>
      </c>
      <c r="AH337" s="2" t="s">
        <v>146</v>
      </c>
      <c r="AI337" s="2" t="s">
        <v>146</v>
      </c>
      <c r="AJ337" s="2" t="s">
        <v>146</v>
      </c>
      <c r="AK337" s="2" t="s">
        <v>146</v>
      </c>
      <c r="AL337" s="2" t="s">
        <v>146</v>
      </c>
      <c r="AM337" s="2" t="s">
        <v>146</v>
      </c>
      <c r="AN337" s="2" t="s">
        <v>146</v>
      </c>
      <c r="AO337" s="2" t="s">
        <v>146</v>
      </c>
      <c r="AQ337" s="2">
        <f t="shared" si="55"/>
        <v>0</v>
      </c>
      <c r="AR337" s="2">
        <f t="shared" si="56"/>
        <v>0</v>
      </c>
      <c r="AT337" s="2">
        <f t="shared" si="57"/>
        <v>0</v>
      </c>
      <c r="AU337" s="2">
        <f t="shared" si="58"/>
        <v>0</v>
      </c>
      <c r="AV337" s="27" t="str">
        <f t="shared" si="59"/>
        <v/>
      </c>
      <c r="AY337" s="2">
        <f t="shared" si="60"/>
        <v>0</v>
      </c>
      <c r="AZ337" s="2">
        <f t="shared" si="61"/>
        <v>0</v>
      </c>
      <c r="BA337" s="2">
        <f t="shared" si="62"/>
        <v>0</v>
      </c>
      <c r="BB337" s="2">
        <f t="shared" si="63"/>
        <v>0</v>
      </c>
      <c r="BC337" s="2">
        <f t="shared" si="64"/>
        <v>0</v>
      </c>
      <c r="BD337" s="2">
        <f t="shared" si="65"/>
        <v>0</v>
      </c>
    </row>
    <row r="338" spans="1:56" ht="15" customHeight="1" x14ac:dyDescent="0.45">
      <c r="A338" s="2" t="s">
        <v>232</v>
      </c>
      <c r="B338" s="2" t="s">
        <v>239</v>
      </c>
      <c r="C338" s="2">
        <v>2019</v>
      </c>
      <c r="D338" s="2" t="s">
        <v>146</v>
      </c>
      <c r="E338" s="2" t="s">
        <v>146</v>
      </c>
      <c r="F338" s="2" t="s">
        <v>146</v>
      </c>
      <c r="G338" s="2" t="s">
        <v>146</v>
      </c>
      <c r="H338" s="2" t="s">
        <v>146</v>
      </c>
      <c r="I338" s="2" t="s">
        <v>146</v>
      </c>
      <c r="J338" s="2" t="s">
        <v>146</v>
      </c>
      <c r="K338" s="2" t="s">
        <v>146</v>
      </c>
      <c r="L338" s="2" t="s">
        <v>146</v>
      </c>
      <c r="M338" s="2" t="s">
        <v>146</v>
      </c>
      <c r="N338" s="2" t="s">
        <v>146</v>
      </c>
      <c r="O338" s="2" t="s">
        <v>146</v>
      </c>
      <c r="P338" s="2" t="s">
        <v>146</v>
      </c>
      <c r="Q338" s="2" t="s">
        <v>146</v>
      </c>
      <c r="R338" s="2" t="s">
        <v>146</v>
      </c>
      <c r="S338" s="2" t="s">
        <v>146</v>
      </c>
      <c r="T338" s="2" t="s">
        <v>146</v>
      </c>
      <c r="U338" s="2" t="s">
        <v>146</v>
      </c>
      <c r="V338" s="2" t="s">
        <v>146</v>
      </c>
      <c r="W338" s="2" t="s">
        <v>146</v>
      </c>
      <c r="X338" s="2" t="s">
        <v>146</v>
      </c>
      <c r="Y338" s="2" t="s">
        <v>146</v>
      </c>
      <c r="Z338" s="2" t="s">
        <v>146</v>
      </c>
      <c r="AA338" s="2" t="s">
        <v>146</v>
      </c>
      <c r="AB338" s="2" t="s">
        <v>146</v>
      </c>
      <c r="AC338" s="2" t="s">
        <v>146</v>
      </c>
      <c r="AD338" s="2" t="s">
        <v>146</v>
      </c>
      <c r="AE338" s="2" t="s">
        <v>146</v>
      </c>
      <c r="AF338" s="2" t="s">
        <v>146</v>
      </c>
      <c r="AG338" s="2" t="s">
        <v>146</v>
      </c>
      <c r="AH338" s="2" t="s">
        <v>146</v>
      </c>
      <c r="AI338" s="2" t="s">
        <v>146</v>
      </c>
      <c r="AJ338" s="2" t="s">
        <v>146</v>
      </c>
      <c r="AK338" s="2" t="s">
        <v>146</v>
      </c>
      <c r="AL338" s="2" t="s">
        <v>146</v>
      </c>
      <c r="AM338" s="2" t="s">
        <v>146</v>
      </c>
      <c r="AN338" s="2" t="s">
        <v>146</v>
      </c>
      <c r="AO338" s="2" t="s">
        <v>146</v>
      </c>
      <c r="AQ338" s="2">
        <f t="shared" si="55"/>
        <v>0</v>
      </c>
      <c r="AR338" s="2">
        <f t="shared" si="56"/>
        <v>0</v>
      </c>
      <c r="AT338" s="2">
        <f t="shared" si="57"/>
        <v>0</v>
      </c>
      <c r="AU338" s="2">
        <f t="shared" si="58"/>
        <v>0</v>
      </c>
      <c r="AV338" s="27" t="str">
        <f t="shared" si="59"/>
        <v/>
      </c>
      <c r="AY338" s="2">
        <f t="shared" si="60"/>
        <v>0</v>
      </c>
      <c r="AZ338" s="2">
        <f t="shared" si="61"/>
        <v>0</v>
      </c>
      <c r="BA338" s="2">
        <f t="shared" si="62"/>
        <v>0</v>
      </c>
      <c r="BB338" s="2">
        <f t="shared" si="63"/>
        <v>0</v>
      </c>
      <c r="BC338" s="2">
        <f t="shared" si="64"/>
        <v>0</v>
      </c>
      <c r="BD338" s="2">
        <f t="shared" si="65"/>
        <v>0</v>
      </c>
    </row>
    <row r="339" spans="1:56" ht="15" customHeight="1" x14ac:dyDescent="0.45">
      <c r="A339" s="2" t="s">
        <v>232</v>
      </c>
      <c r="B339" s="2" t="s">
        <v>238</v>
      </c>
      <c r="C339" s="2">
        <v>2019</v>
      </c>
      <c r="D339" s="2">
        <v>74.796000000000006</v>
      </c>
      <c r="E339" s="2">
        <v>18.902000000000001</v>
      </c>
      <c r="F339" s="2" t="s">
        <v>146</v>
      </c>
      <c r="G339" s="2" t="s">
        <v>146</v>
      </c>
      <c r="H339" s="2" t="s">
        <v>146</v>
      </c>
      <c r="I339" s="2">
        <v>135.30000000000001</v>
      </c>
      <c r="J339" s="2" t="s">
        <v>146</v>
      </c>
      <c r="K339" s="2" t="s">
        <v>146</v>
      </c>
      <c r="L339" s="2" t="s">
        <v>146</v>
      </c>
      <c r="M339" s="2" t="s">
        <v>146</v>
      </c>
      <c r="N339" s="2" t="s">
        <v>146</v>
      </c>
      <c r="O339" s="2" t="s">
        <v>146</v>
      </c>
      <c r="P339" s="2" t="s">
        <v>146</v>
      </c>
      <c r="Q339" s="2">
        <v>60.713999999999999</v>
      </c>
      <c r="R339" s="2">
        <v>33.03</v>
      </c>
      <c r="S339" s="2">
        <v>6.83</v>
      </c>
      <c r="T339" s="2">
        <v>11.8</v>
      </c>
      <c r="U339" s="2" t="s">
        <v>146</v>
      </c>
      <c r="V339" s="2" t="s">
        <v>146</v>
      </c>
      <c r="W339" s="2" t="s">
        <v>147</v>
      </c>
      <c r="X339" s="2" t="s">
        <v>146</v>
      </c>
      <c r="Y339" s="2" t="s">
        <v>146</v>
      </c>
      <c r="Z339" s="2" t="s">
        <v>146</v>
      </c>
      <c r="AA339" s="2" t="s">
        <v>146</v>
      </c>
      <c r="AB339" s="2" t="s">
        <v>146</v>
      </c>
      <c r="AC339" s="2" t="s">
        <v>146</v>
      </c>
      <c r="AD339" s="2" t="s">
        <v>146</v>
      </c>
      <c r="AE339" s="2" t="s">
        <v>146</v>
      </c>
      <c r="AF339" s="2" t="s">
        <v>146</v>
      </c>
      <c r="AG339" s="2" t="s">
        <v>146</v>
      </c>
      <c r="AH339" s="2" t="s">
        <v>146</v>
      </c>
      <c r="AI339" s="2" t="s">
        <v>146</v>
      </c>
      <c r="AJ339" s="2" t="s">
        <v>146</v>
      </c>
      <c r="AK339" s="2">
        <v>22.925999999999998</v>
      </c>
      <c r="AL339" s="2">
        <v>100</v>
      </c>
      <c r="AM339" s="2" t="s">
        <v>146</v>
      </c>
      <c r="AN339" s="2" t="s">
        <v>146</v>
      </c>
      <c r="AO339" s="2" t="s">
        <v>146</v>
      </c>
      <c r="AQ339" s="2">
        <f t="shared" si="55"/>
        <v>112.374</v>
      </c>
      <c r="AR339" s="2">
        <f t="shared" si="56"/>
        <v>135.29999999999998</v>
      </c>
      <c r="AT339" s="2">
        <f t="shared" si="57"/>
        <v>74.796000000000006</v>
      </c>
      <c r="AU339" s="2">
        <f t="shared" si="58"/>
        <v>18.902000000000001</v>
      </c>
      <c r="AV339" s="27">
        <f t="shared" si="59"/>
        <v>0.69252032520325213</v>
      </c>
      <c r="AY339" s="2">
        <f t="shared" si="60"/>
        <v>22.925999999999998</v>
      </c>
      <c r="AZ339" s="2">
        <f t="shared" si="61"/>
        <v>22.925999999999998</v>
      </c>
      <c r="BA339" s="2">
        <f t="shared" si="62"/>
        <v>0</v>
      </c>
      <c r="BB339" s="2">
        <f t="shared" si="63"/>
        <v>0</v>
      </c>
      <c r="BC339" s="2">
        <f t="shared" si="64"/>
        <v>0</v>
      </c>
      <c r="BD339" s="2">
        <f t="shared" si="65"/>
        <v>0</v>
      </c>
    </row>
    <row r="340" spans="1:56" ht="15" customHeight="1" x14ac:dyDescent="0.45">
      <c r="A340" s="2" t="s">
        <v>232</v>
      </c>
      <c r="B340" s="2" t="s">
        <v>237</v>
      </c>
      <c r="C340" s="2">
        <v>2019</v>
      </c>
      <c r="D340" s="2">
        <v>204.68700000000001</v>
      </c>
      <c r="E340" s="2">
        <v>88.576999999999998</v>
      </c>
      <c r="F340" s="2" t="s">
        <v>146</v>
      </c>
      <c r="G340" s="2" t="s">
        <v>146</v>
      </c>
      <c r="H340" s="2" t="s">
        <v>146</v>
      </c>
      <c r="I340" s="2">
        <v>427.28699999999998</v>
      </c>
      <c r="J340" s="2">
        <v>0</v>
      </c>
      <c r="K340" s="2">
        <v>0</v>
      </c>
      <c r="L340" s="2">
        <v>1.7290000000000001</v>
      </c>
      <c r="M340" s="2" t="s">
        <v>146</v>
      </c>
      <c r="N340" s="2" t="s">
        <v>146</v>
      </c>
      <c r="O340" s="2" t="s">
        <v>146</v>
      </c>
      <c r="P340" s="2" t="s">
        <v>146</v>
      </c>
      <c r="Q340" s="2">
        <v>29.2</v>
      </c>
      <c r="R340" s="2">
        <v>0</v>
      </c>
      <c r="S340" s="2">
        <v>0</v>
      </c>
      <c r="T340" s="2" t="s">
        <v>146</v>
      </c>
      <c r="U340" s="2" t="s">
        <v>146</v>
      </c>
      <c r="V340" s="2" t="s">
        <v>146</v>
      </c>
      <c r="W340" s="2" t="s">
        <v>146</v>
      </c>
      <c r="X340" s="2" t="s">
        <v>146</v>
      </c>
      <c r="Y340" s="2" t="s">
        <v>146</v>
      </c>
      <c r="Z340" s="2" t="s">
        <v>146</v>
      </c>
      <c r="AA340" s="2">
        <v>342.726</v>
      </c>
      <c r="AB340" s="2" t="s">
        <v>146</v>
      </c>
      <c r="AC340" s="2" t="s">
        <v>146</v>
      </c>
      <c r="AD340" s="2" t="s">
        <v>146</v>
      </c>
      <c r="AE340" s="2" t="s">
        <v>146</v>
      </c>
      <c r="AF340" s="2">
        <v>2.0430000000000001</v>
      </c>
      <c r="AG340" s="2" t="s">
        <v>146</v>
      </c>
      <c r="AH340" s="2" t="s">
        <v>155</v>
      </c>
      <c r="AI340" s="2" t="s">
        <v>146</v>
      </c>
      <c r="AJ340" s="2">
        <v>0.502</v>
      </c>
      <c r="AK340" s="2">
        <v>51.087000000000003</v>
      </c>
      <c r="AL340" s="2">
        <v>99</v>
      </c>
      <c r="AM340" s="2">
        <v>0.5</v>
      </c>
      <c r="AN340" s="2">
        <v>0.5</v>
      </c>
      <c r="AO340" s="2" t="s">
        <v>146</v>
      </c>
      <c r="AQ340" s="2">
        <f t="shared" si="55"/>
        <v>376.2</v>
      </c>
      <c r="AR340" s="2">
        <f t="shared" si="56"/>
        <v>427.28699999999998</v>
      </c>
      <c r="AT340" s="2">
        <f t="shared" si="57"/>
        <v>204.68700000000001</v>
      </c>
      <c r="AU340" s="2">
        <f t="shared" si="58"/>
        <v>88.576999999999998</v>
      </c>
      <c r="AV340" s="27">
        <f t="shared" si="59"/>
        <v>0.68633962652736924</v>
      </c>
      <c r="AY340" s="2">
        <f t="shared" si="60"/>
        <v>51.087000000000003</v>
      </c>
      <c r="AZ340" s="2">
        <f t="shared" si="61"/>
        <v>50.576130000000006</v>
      </c>
      <c r="BA340" s="2">
        <f t="shared" si="62"/>
        <v>0.25543500000000002</v>
      </c>
      <c r="BB340" s="2">
        <f t="shared" si="63"/>
        <v>0.25543500000000002</v>
      </c>
      <c r="BC340" s="2">
        <f t="shared" si="64"/>
        <v>0</v>
      </c>
      <c r="BD340" s="2">
        <f t="shared" si="65"/>
        <v>0</v>
      </c>
    </row>
    <row r="341" spans="1:56" ht="15" customHeight="1" x14ac:dyDescent="0.45">
      <c r="A341" s="2" t="s">
        <v>232</v>
      </c>
      <c r="B341" s="2" t="s">
        <v>236</v>
      </c>
      <c r="C341" s="2">
        <v>2019</v>
      </c>
      <c r="D341" s="2" t="s">
        <v>146</v>
      </c>
      <c r="E341" s="2" t="s">
        <v>146</v>
      </c>
      <c r="F341" s="2" t="s">
        <v>146</v>
      </c>
      <c r="G341" s="2" t="s">
        <v>146</v>
      </c>
      <c r="H341" s="2" t="s">
        <v>146</v>
      </c>
      <c r="I341" s="2" t="s">
        <v>146</v>
      </c>
      <c r="J341" s="2" t="s">
        <v>146</v>
      </c>
      <c r="K341" s="2" t="s">
        <v>146</v>
      </c>
      <c r="L341" s="2" t="s">
        <v>146</v>
      </c>
      <c r="M341" s="2" t="s">
        <v>146</v>
      </c>
      <c r="N341" s="2" t="s">
        <v>146</v>
      </c>
      <c r="O341" s="2" t="s">
        <v>146</v>
      </c>
      <c r="P341" s="2" t="s">
        <v>146</v>
      </c>
      <c r="Q341" s="2" t="s">
        <v>146</v>
      </c>
      <c r="R341" s="2" t="s">
        <v>146</v>
      </c>
      <c r="S341" s="2" t="s">
        <v>146</v>
      </c>
      <c r="T341" s="2" t="s">
        <v>146</v>
      </c>
      <c r="U341" s="2" t="s">
        <v>146</v>
      </c>
      <c r="V341" s="2" t="s">
        <v>146</v>
      </c>
      <c r="W341" s="2" t="s">
        <v>146</v>
      </c>
      <c r="X341" s="2" t="s">
        <v>146</v>
      </c>
      <c r="Y341" s="2" t="s">
        <v>146</v>
      </c>
      <c r="Z341" s="2" t="s">
        <v>146</v>
      </c>
      <c r="AA341" s="2" t="s">
        <v>146</v>
      </c>
      <c r="AB341" s="2" t="s">
        <v>146</v>
      </c>
      <c r="AC341" s="2" t="s">
        <v>146</v>
      </c>
      <c r="AD341" s="2" t="s">
        <v>146</v>
      </c>
      <c r="AE341" s="2" t="s">
        <v>146</v>
      </c>
      <c r="AF341" s="2" t="s">
        <v>146</v>
      </c>
      <c r="AG341" s="2" t="s">
        <v>146</v>
      </c>
      <c r="AH341" s="2" t="s">
        <v>146</v>
      </c>
      <c r="AI341" s="2" t="s">
        <v>146</v>
      </c>
      <c r="AJ341" s="2" t="s">
        <v>146</v>
      </c>
      <c r="AK341" s="2" t="s">
        <v>146</v>
      </c>
      <c r="AL341" s="2" t="s">
        <v>146</v>
      </c>
      <c r="AM341" s="2" t="s">
        <v>146</v>
      </c>
      <c r="AN341" s="2" t="s">
        <v>146</v>
      </c>
      <c r="AO341" s="2" t="s">
        <v>146</v>
      </c>
      <c r="AQ341" s="2">
        <f t="shared" si="55"/>
        <v>0</v>
      </c>
      <c r="AR341" s="2">
        <f t="shared" si="56"/>
        <v>0</v>
      </c>
      <c r="AT341" s="2">
        <f t="shared" si="57"/>
        <v>0</v>
      </c>
      <c r="AU341" s="2">
        <f t="shared" si="58"/>
        <v>0</v>
      </c>
      <c r="AV341" s="27" t="str">
        <f t="shared" si="59"/>
        <v/>
      </c>
      <c r="AY341" s="2">
        <f t="shared" si="60"/>
        <v>0</v>
      </c>
      <c r="AZ341" s="2">
        <f t="shared" si="61"/>
        <v>0</v>
      </c>
      <c r="BA341" s="2">
        <f t="shared" si="62"/>
        <v>0</v>
      </c>
      <c r="BB341" s="2">
        <f t="shared" si="63"/>
        <v>0</v>
      </c>
      <c r="BC341" s="2">
        <f t="shared" si="64"/>
        <v>0</v>
      </c>
      <c r="BD341" s="2">
        <f t="shared" si="65"/>
        <v>0</v>
      </c>
    </row>
    <row r="342" spans="1:56" ht="15" customHeight="1" x14ac:dyDescent="0.45">
      <c r="A342" s="2" t="s">
        <v>232</v>
      </c>
      <c r="B342" s="2" t="s">
        <v>235</v>
      </c>
      <c r="C342" s="2">
        <v>2019</v>
      </c>
      <c r="D342" s="2" t="s">
        <v>146</v>
      </c>
      <c r="E342" s="2" t="s">
        <v>146</v>
      </c>
      <c r="F342" s="2" t="s">
        <v>146</v>
      </c>
      <c r="G342" s="2" t="s">
        <v>146</v>
      </c>
      <c r="H342" s="2" t="s">
        <v>146</v>
      </c>
      <c r="I342" s="2" t="s">
        <v>146</v>
      </c>
      <c r="J342" s="2" t="s">
        <v>146</v>
      </c>
      <c r="K342" s="2" t="s">
        <v>146</v>
      </c>
      <c r="L342" s="2" t="s">
        <v>146</v>
      </c>
      <c r="M342" s="2" t="s">
        <v>146</v>
      </c>
      <c r="N342" s="2" t="s">
        <v>146</v>
      </c>
      <c r="O342" s="2" t="s">
        <v>146</v>
      </c>
      <c r="P342" s="2" t="s">
        <v>146</v>
      </c>
      <c r="Q342" s="2" t="s">
        <v>146</v>
      </c>
      <c r="R342" s="2" t="s">
        <v>146</v>
      </c>
      <c r="S342" s="2" t="s">
        <v>146</v>
      </c>
      <c r="T342" s="2" t="s">
        <v>146</v>
      </c>
      <c r="U342" s="2" t="s">
        <v>146</v>
      </c>
      <c r="V342" s="2" t="s">
        <v>146</v>
      </c>
      <c r="W342" s="2" t="s">
        <v>146</v>
      </c>
      <c r="X342" s="2" t="s">
        <v>146</v>
      </c>
      <c r="Y342" s="2" t="s">
        <v>146</v>
      </c>
      <c r="Z342" s="2" t="s">
        <v>146</v>
      </c>
      <c r="AA342" s="2" t="s">
        <v>146</v>
      </c>
      <c r="AB342" s="2" t="s">
        <v>146</v>
      </c>
      <c r="AC342" s="2" t="s">
        <v>146</v>
      </c>
      <c r="AD342" s="2" t="s">
        <v>146</v>
      </c>
      <c r="AE342" s="2" t="s">
        <v>146</v>
      </c>
      <c r="AF342" s="2" t="s">
        <v>146</v>
      </c>
      <c r="AG342" s="2" t="s">
        <v>146</v>
      </c>
      <c r="AH342" s="2" t="s">
        <v>146</v>
      </c>
      <c r="AI342" s="2" t="s">
        <v>146</v>
      </c>
      <c r="AJ342" s="2" t="s">
        <v>146</v>
      </c>
      <c r="AK342" s="2" t="s">
        <v>146</v>
      </c>
      <c r="AL342" s="2" t="s">
        <v>146</v>
      </c>
      <c r="AM342" s="2" t="s">
        <v>146</v>
      </c>
      <c r="AN342" s="2" t="s">
        <v>146</v>
      </c>
      <c r="AO342" s="2" t="s">
        <v>146</v>
      </c>
      <c r="AQ342" s="2">
        <f t="shared" si="55"/>
        <v>0</v>
      </c>
      <c r="AR342" s="2">
        <f t="shared" si="56"/>
        <v>0</v>
      </c>
      <c r="AT342" s="2">
        <f t="shared" si="57"/>
        <v>0</v>
      </c>
      <c r="AU342" s="2">
        <f t="shared" si="58"/>
        <v>0</v>
      </c>
      <c r="AV342" s="27" t="str">
        <f t="shared" si="59"/>
        <v/>
      </c>
      <c r="AY342" s="2">
        <f t="shared" si="60"/>
        <v>0</v>
      </c>
      <c r="AZ342" s="2">
        <f t="shared" si="61"/>
        <v>0</v>
      </c>
      <c r="BA342" s="2">
        <f t="shared" si="62"/>
        <v>0</v>
      </c>
      <c r="BB342" s="2">
        <f t="shared" si="63"/>
        <v>0</v>
      </c>
      <c r="BC342" s="2">
        <f t="shared" si="64"/>
        <v>0</v>
      </c>
      <c r="BD342" s="2">
        <f t="shared" si="65"/>
        <v>0</v>
      </c>
    </row>
    <row r="343" spans="1:56" ht="15" customHeight="1" x14ac:dyDescent="0.45">
      <c r="A343" s="2" t="s">
        <v>232</v>
      </c>
      <c r="B343" s="2" t="s">
        <v>234</v>
      </c>
      <c r="C343" s="2">
        <v>2019</v>
      </c>
      <c r="D343" s="2">
        <v>315.2</v>
      </c>
      <c r="E343" s="2">
        <v>108.7</v>
      </c>
      <c r="F343" s="2" t="s">
        <v>146</v>
      </c>
      <c r="G343" s="2" t="s">
        <v>146</v>
      </c>
      <c r="H343" s="2" t="s">
        <v>146</v>
      </c>
      <c r="I343" s="2">
        <v>516.4</v>
      </c>
      <c r="J343" s="2">
        <v>60.1</v>
      </c>
      <c r="K343" s="2">
        <v>7.7</v>
      </c>
      <c r="L343" s="2" t="s">
        <v>146</v>
      </c>
      <c r="M343" s="2">
        <v>49.9</v>
      </c>
      <c r="N343" s="2" t="s">
        <v>146</v>
      </c>
      <c r="O343" s="2" t="s">
        <v>146</v>
      </c>
      <c r="P343" s="2" t="s">
        <v>146</v>
      </c>
      <c r="Q343" s="2" t="s">
        <v>146</v>
      </c>
      <c r="R343" s="2" t="s">
        <v>146</v>
      </c>
      <c r="S343" s="2" t="s">
        <v>146</v>
      </c>
      <c r="T343" s="2" t="s">
        <v>146</v>
      </c>
      <c r="U343" s="2" t="s">
        <v>146</v>
      </c>
      <c r="V343" s="2">
        <v>0</v>
      </c>
      <c r="W343" s="2" t="s">
        <v>147</v>
      </c>
      <c r="X343" s="2">
        <v>26.7</v>
      </c>
      <c r="Y343" s="2" t="s">
        <v>146</v>
      </c>
      <c r="Z343" s="2" t="s">
        <v>146</v>
      </c>
      <c r="AA343" s="2" t="s">
        <v>146</v>
      </c>
      <c r="AB343" s="2" t="s">
        <v>146</v>
      </c>
      <c r="AC343" s="2" t="s">
        <v>146</v>
      </c>
      <c r="AD343" s="2" t="s">
        <v>146</v>
      </c>
      <c r="AE343" s="2">
        <v>175.9</v>
      </c>
      <c r="AF343" s="2">
        <v>196.1</v>
      </c>
      <c r="AG343" s="2">
        <v>0</v>
      </c>
      <c r="AH343" s="2" t="s">
        <v>233</v>
      </c>
      <c r="AI343" s="2">
        <v>40.1</v>
      </c>
      <c r="AJ343" s="2" t="s">
        <v>146</v>
      </c>
      <c r="AK343" s="2" t="s">
        <v>146</v>
      </c>
      <c r="AL343" s="2" t="s">
        <v>146</v>
      </c>
      <c r="AM343" s="2" t="s">
        <v>146</v>
      </c>
      <c r="AN343" s="2" t="s">
        <v>146</v>
      </c>
      <c r="AO343" s="2" t="s">
        <v>146</v>
      </c>
      <c r="AQ343" s="2">
        <f t="shared" si="55"/>
        <v>516.4</v>
      </c>
      <c r="AR343" s="2">
        <f t="shared" si="56"/>
        <v>516.4</v>
      </c>
      <c r="AT343" s="2">
        <f t="shared" si="57"/>
        <v>315.2</v>
      </c>
      <c r="AU343" s="2">
        <f t="shared" si="58"/>
        <v>108.7</v>
      </c>
      <c r="AV343" s="27">
        <f t="shared" si="59"/>
        <v>0.82087529047250196</v>
      </c>
      <c r="AY343" s="2">
        <f t="shared" si="60"/>
        <v>0</v>
      </c>
      <c r="AZ343" s="2">
        <f t="shared" si="61"/>
        <v>0</v>
      </c>
      <c r="BA343" s="2">
        <f t="shared" si="62"/>
        <v>0</v>
      </c>
      <c r="BB343" s="2">
        <f t="shared" si="63"/>
        <v>0</v>
      </c>
      <c r="BC343" s="2">
        <f t="shared" si="64"/>
        <v>0</v>
      </c>
      <c r="BD343" s="2">
        <f t="shared" si="65"/>
        <v>0</v>
      </c>
    </row>
    <row r="344" spans="1:56" ht="15" customHeight="1" x14ac:dyDescent="0.45">
      <c r="A344" s="2" t="s">
        <v>232</v>
      </c>
      <c r="B344" s="2" t="s">
        <v>231</v>
      </c>
      <c r="C344" s="2">
        <v>2019</v>
      </c>
      <c r="D344" s="2" t="s">
        <v>146</v>
      </c>
      <c r="E344" s="2" t="s">
        <v>146</v>
      </c>
      <c r="F344" s="2" t="s">
        <v>146</v>
      </c>
      <c r="G344" s="2" t="s">
        <v>146</v>
      </c>
      <c r="H344" s="2" t="s">
        <v>146</v>
      </c>
      <c r="I344" s="2" t="s">
        <v>146</v>
      </c>
      <c r="J344" s="2" t="s">
        <v>146</v>
      </c>
      <c r="K344" s="2" t="s">
        <v>146</v>
      </c>
      <c r="L344" s="2" t="s">
        <v>146</v>
      </c>
      <c r="M344" s="2" t="s">
        <v>146</v>
      </c>
      <c r="N344" s="2" t="s">
        <v>146</v>
      </c>
      <c r="O344" s="2" t="s">
        <v>146</v>
      </c>
      <c r="P344" s="2" t="s">
        <v>146</v>
      </c>
      <c r="Q344" s="2" t="s">
        <v>146</v>
      </c>
      <c r="R344" s="2" t="s">
        <v>146</v>
      </c>
      <c r="S344" s="2" t="s">
        <v>146</v>
      </c>
      <c r="T344" s="2" t="s">
        <v>146</v>
      </c>
      <c r="U344" s="2" t="s">
        <v>146</v>
      </c>
      <c r="V344" s="2" t="s">
        <v>146</v>
      </c>
      <c r="W344" s="2" t="s">
        <v>146</v>
      </c>
      <c r="X344" s="2" t="s">
        <v>146</v>
      </c>
      <c r="Y344" s="2" t="s">
        <v>146</v>
      </c>
      <c r="Z344" s="2" t="s">
        <v>146</v>
      </c>
      <c r="AA344" s="2" t="s">
        <v>146</v>
      </c>
      <c r="AB344" s="2" t="s">
        <v>146</v>
      </c>
      <c r="AC344" s="2" t="s">
        <v>146</v>
      </c>
      <c r="AD344" s="2" t="s">
        <v>146</v>
      </c>
      <c r="AE344" s="2" t="s">
        <v>146</v>
      </c>
      <c r="AF344" s="2" t="s">
        <v>146</v>
      </c>
      <c r="AG344" s="2" t="s">
        <v>146</v>
      </c>
      <c r="AH344" s="2" t="s">
        <v>146</v>
      </c>
      <c r="AI344" s="2" t="s">
        <v>146</v>
      </c>
      <c r="AJ344" s="2" t="s">
        <v>146</v>
      </c>
      <c r="AK344" s="2" t="s">
        <v>146</v>
      </c>
      <c r="AL344" s="2" t="s">
        <v>146</v>
      </c>
      <c r="AM344" s="2" t="s">
        <v>146</v>
      </c>
      <c r="AN344" s="2" t="s">
        <v>146</v>
      </c>
      <c r="AO344" s="2" t="s">
        <v>146</v>
      </c>
      <c r="AQ344" s="2">
        <f t="shared" si="55"/>
        <v>0</v>
      </c>
      <c r="AR344" s="2">
        <f t="shared" si="56"/>
        <v>0</v>
      </c>
      <c r="AT344" s="2">
        <f t="shared" si="57"/>
        <v>0</v>
      </c>
      <c r="AU344" s="2">
        <f t="shared" si="58"/>
        <v>0</v>
      </c>
      <c r="AV344" s="27" t="str">
        <f t="shared" si="59"/>
        <v/>
      </c>
      <c r="AY344" s="2">
        <f t="shared" si="60"/>
        <v>0</v>
      </c>
      <c r="AZ344" s="2">
        <f t="shared" si="61"/>
        <v>0</v>
      </c>
      <c r="BA344" s="2">
        <f t="shared" si="62"/>
        <v>0</v>
      </c>
      <c r="BB344" s="2">
        <f t="shared" si="63"/>
        <v>0</v>
      </c>
      <c r="BC344" s="2">
        <f t="shared" si="64"/>
        <v>0</v>
      </c>
      <c r="BD344" s="2">
        <f t="shared" si="65"/>
        <v>0</v>
      </c>
    </row>
    <row r="345" spans="1:56" ht="15" customHeight="1" x14ac:dyDescent="0.45">
      <c r="A345" s="2" t="s">
        <v>7</v>
      </c>
      <c r="B345" s="2" t="s">
        <v>230</v>
      </c>
      <c r="C345" s="2">
        <v>2019</v>
      </c>
      <c r="D345" s="2" t="s">
        <v>49</v>
      </c>
      <c r="E345" s="2" t="s">
        <v>49</v>
      </c>
      <c r="F345" s="2" t="s">
        <v>49</v>
      </c>
      <c r="G345" s="2" t="s">
        <v>49</v>
      </c>
      <c r="H345" s="2" t="s">
        <v>49</v>
      </c>
      <c r="I345" s="2" t="s">
        <v>49</v>
      </c>
      <c r="J345" s="2" t="s">
        <v>49</v>
      </c>
      <c r="K345" s="2" t="s">
        <v>49</v>
      </c>
      <c r="L345" s="2" t="s">
        <v>49</v>
      </c>
      <c r="M345" s="2" t="s">
        <v>49</v>
      </c>
      <c r="N345" s="2" t="s">
        <v>49</v>
      </c>
      <c r="O345" s="2" t="s">
        <v>49</v>
      </c>
      <c r="P345" s="2" t="s">
        <v>49</v>
      </c>
      <c r="Q345" s="2" t="s">
        <v>49</v>
      </c>
      <c r="R345" s="2" t="s">
        <v>49</v>
      </c>
      <c r="S345" s="2" t="s">
        <v>49</v>
      </c>
      <c r="T345" s="2" t="s">
        <v>49</v>
      </c>
      <c r="U345" s="2" t="s">
        <v>49</v>
      </c>
      <c r="V345" s="2" t="s">
        <v>49</v>
      </c>
      <c r="W345" s="2" t="s">
        <v>49</v>
      </c>
      <c r="X345" s="2" t="s">
        <v>49</v>
      </c>
      <c r="Y345" s="2" t="s">
        <v>49</v>
      </c>
      <c r="Z345" s="2" t="s">
        <v>49</v>
      </c>
      <c r="AA345" s="2" t="s">
        <v>49</v>
      </c>
      <c r="AB345" s="2" t="s">
        <v>49</v>
      </c>
      <c r="AC345" s="2" t="s">
        <v>49</v>
      </c>
      <c r="AD345" s="2" t="s">
        <v>49</v>
      </c>
      <c r="AE345" s="2" t="s">
        <v>49</v>
      </c>
      <c r="AF345" s="2" t="s">
        <v>49</v>
      </c>
      <c r="AG345" s="2" t="s">
        <v>49</v>
      </c>
      <c r="AH345" s="2" t="s">
        <v>49</v>
      </c>
      <c r="AI345" s="2" t="s">
        <v>49</v>
      </c>
      <c r="AJ345" s="2" t="s">
        <v>49</v>
      </c>
      <c r="AK345" s="2" t="s">
        <v>49</v>
      </c>
      <c r="AL345" s="2" t="s">
        <v>49</v>
      </c>
      <c r="AM345" s="2" t="s">
        <v>49</v>
      </c>
      <c r="AN345" s="2" t="s">
        <v>49</v>
      </c>
      <c r="AO345" s="2" t="s">
        <v>49</v>
      </c>
      <c r="AQ345" s="2">
        <f t="shared" si="55"/>
        <v>0</v>
      </c>
      <c r="AR345" s="2">
        <f t="shared" si="56"/>
        <v>0</v>
      </c>
      <c r="AT345" s="2">
        <f t="shared" si="57"/>
        <v>0</v>
      </c>
      <c r="AU345" s="2">
        <f t="shared" si="58"/>
        <v>0</v>
      </c>
      <c r="AV345" s="27" t="str">
        <f t="shared" si="59"/>
        <v/>
      </c>
      <c r="AY345" s="2">
        <f t="shared" si="60"/>
        <v>0</v>
      </c>
      <c r="AZ345" s="2">
        <f t="shared" si="61"/>
        <v>0</v>
      </c>
      <c r="BA345" s="2">
        <f t="shared" si="62"/>
        <v>0</v>
      </c>
      <c r="BB345" s="2">
        <f t="shared" si="63"/>
        <v>0</v>
      </c>
      <c r="BC345" s="2">
        <f t="shared" si="64"/>
        <v>0</v>
      </c>
      <c r="BD345" s="2">
        <f t="shared" si="65"/>
        <v>0</v>
      </c>
    </row>
    <row r="346" spans="1:56" ht="15" customHeight="1" x14ac:dyDescent="0.45">
      <c r="A346" s="2" t="s">
        <v>7</v>
      </c>
      <c r="B346" s="2" t="s">
        <v>8</v>
      </c>
      <c r="C346" s="2">
        <v>2019</v>
      </c>
      <c r="D346" s="2" t="s">
        <v>49</v>
      </c>
      <c r="E346" s="2" t="s">
        <v>49</v>
      </c>
      <c r="F346" s="2" t="s">
        <v>49</v>
      </c>
      <c r="G346" s="2" t="s">
        <v>49</v>
      </c>
      <c r="H346" s="2" t="s">
        <v>49</v>
      </c>
      <c r="I346" s="2" t="s">
        <v>49</v>
      </c>
      <c r="J346" s="2" t="s">
        <v>49</v>
      </c>
      <c r="K346" s="2" t="s">
        <v>49</v>
      </c>
      <c r="L346" s="2" t="s">
        <v>49</v>
      </c>
      <c r="M346" s="2" t="s">
        <v>49</v>
      </c>
      <c r="N346" s="2" t="s">
        <v>49</v>
      </c>
      <c r="O346" s="2" t="s">
        <v>49</v>
      </c>
      <c r="P346" s="2" t="s">
        <v>49</v>
      </c>
      <c r="Q346" s="2" t="s">
        <v>49</v>
      </c>
      <c r="R346" s="2" t="s">
        <v>49</v>
      </c>
      <c r="S346" s="2" t="s">
        <v>49</v>
      </c>
      <c r="T346" s="2" t="s">
        <v>49</v>
      </c>
      <c r="U346" s="2" t="s">
        <v>49</v>
      </c>
      <c r="V346" s="2" t="s">
        <v>49</v>
      </c>
      <c r="W346" s="2" t="s">
        <v>49</v>
      </c>
      <c r="X346" s="2" t="s">
        <v>49</v>
      </c>
      <c r="Y346" s="2" t="s">
        <v>49</v>
      </c>
      <c r="Z346" s="2" t="s">
        <v>49</v>
      </c>
      <c r="AA346" s="2" t="s">
        <v>49</v>
      </c>
      <c r="AB346" s="2" t="s">
        <v>49</v>
      </c>
      <c r="AC346" s="2" t="s">
        <v>49</v>
      </c>
      <c r="AD346" s="2" t="s">
        <v>49</v>
      </c>
      <c r="AE346" s="2" t="s">
        <v>49</v>
      </c>
      <c r="AF346" s="2" t="s">
        <v>49</v>
      </c>
      <c r="AG346" s="2" t="s">
        <v>49</v>
      </c>
      <c r="AH346" s="2" t="s">
        <v>49</v>
      </c>
      <c r="AI346" s="2" t="s">
        <v>49</v>
      </c>
      <c r="AJ346" s="2" t="s">
        <v>49</v>
      </c>
      <c r="AK346" s="2" t="s">
        <v>49</v>
      </c>
      <c r="AL346" s="2" t="s">
        <v>49</v>
      </c>
      <c r="AM346" s="2" t="s">
        <v>49</v>
      </c>
      <c r="AN346" s="2" t="s">
        <v>49</v>
      </c>
      <c r="AO346" s="2" t="s">
        <v>49</v>
      </c>
      <c r="AQ346" s="2">
        <f t="shared" si="55"/>
        <v>0</v>
      </c>
      <c r="AR346" s="2">
        <f t="shared" si="56"/>
        <v>0</v>
      </c>
      <c r="AT346" s="2">
        <f t="shared" si="57"/>
        <v>0</v>
      </c>
      <c r="AU346" s="2">
        <f t="shared" si="58"/>
        <v>0</v>
      </c>
      <c r="AV346" s="27" t="str">
        <f t="shared" si="59"/>
        <v/>
      </c>
      <c r="AY346" s="2">
        <f t="shared" si="60"/>
        <v>0</v>
      </c>
      <c r="AZ346" s="2">
        <f t="shared" si="61"/>
        <v>0</v>
      </c>
      <c r="BA346" s="2">
        <f t="shared" si="62"/>
        <v>0</v>
      </c>
      <c r="BB346" s="2">
        <f t="shared" si="63"/>
        <v>0</v>
      </c>
      <c r="BC346" s="2">
        <f t="shared" si="64"/>
        <v>0</v>
      </c>
      <c r="BD346" s="2">
        <f t="shared" si="65"/>
        <v>0</v>
      </c>
    </row>
    <row r="347" spans="1:56" ht="15" customHeight="1" x14ac:dyDescent="0.45">
      <c r="A347" s="2" t="s">
        <v>225</v>
      </c>
      <c r="B347" s="2" t="s">
        <v>229</v>
      </c>
      <c r="C347" s="2">
        <v>2019</v>
      </c>
      <c r="D347" s="2" t="s">
        <v>146</v>
      </c>
      <c r="E347" s="2" t="s">
        <v>146</v>
      </c>
      <c r="F347" s="2" t="s">
        <v>146</v>
      </c>
      <c r="G347" s="2" t="s">
        <v>146</v>
      </c>
      <c r="H347" s="2" t="s">
        <v>146</v>
      </c>
      <c r="I347" s="2" t="s">
        <v>146</v>
      </c>
      <c r="J347" s="2" t="s">
        <v>146</v>
      </c>
      <c r="K347" s="2" t="s">
        <v>146</v>
      </c>
      <c r="L347" s="2" t="s">
        <v>146</v>
      </c>
      <c r="M347" s="2" t="s">
        <v>146</v>
      </c>
      <c r="N347" s="2" t="s">
        <v>146</v>
      </c>
      <c r="O347" s="2" t="s">
        <v>146</v>
      </c>
      <c r="P347" s="2" t="s">
        <v>146</v>
      </c>
      <c r="Q347" s="2" t="s">
        <v>146</v>
      </c>
      <c r="R347" s="2" t="s">
        <v>146</v>
      </c>
      <c r="S347" s="2" t="s">
        <v>146</v>
      </c>
      <c r="T347" s="2" t="s">
        <v>146</v>
      </c>
      <c r="U347" s="2" t="s">
        <v>146</v>
      </c>
      <c r="V347" s="2" t="s">
        <v>146</v>
      </c>
      <c r="W347" s="2" t="s">
        <v>146</v>
      </c>
      <c r="X347" s="2" t="s">
        <v>146</v>
      </c>
      <c r="Y347" s="2" t="s">
        <v>146</v>
      </c>
      <c r="Z347" s="2" t="s">
        <v>146</v>
      </c>
      <c r="AA347" s="2" t="s">
        <v>146</v>
      </c>
      <c r="AB347" s="2" t="s">
        <v>146</v>
      </c>
      <c r="AC347" s="2" t="s">
        <v>146</v>
      </c>
      <c r="AD347" s="2" t="s">
        <v>146</v>
      </c>
      <c r="AE347" s="2" t="s">
        <v>146</v>
      </c>
      <c r="AF347" s="2" t="s">
        <v>146</v>
      </c>
      <c r="AG347" s="2" t="s">
        <v>146</v>
      </c>
      <c r="AH347" s="2" t="s">
        <v>146</v>
      </c>
      <c r="AI347" s="2" t="s">
        <v>146</v>
      </c>
      <c r="AJ347" s="2" t="s">
        <v>146</v>
      </c>
      <c r="AK347" s="2" t="s">
        <v>146</v>
      </c>
      <c r="AL347" s="2" t="s">
        <v>146</v>
      </c>
      <c r="AM347" s="2" t="s">
        <v>146</v>
      </c>
      <c r="AN347" s="2" t="s">
        <v>146</v>
      </c>
      <c r="AO347" s="2" t="s">
        <v>146</v>
      </c>
      <c r="AQ347" s="2">
        <f t="shared" si="55"/>
        <v>0</v>
      </c>
      <c r="AR347" s="2">
        <f t="shared" si="56"/>
        <v>0</v>
      </c>
      <c r="AT347" s="2">
        <f t="shared" si="57"/>
        <v>0</v>
      </c>
      <c r="AU347" s="2">
        <f t="shared" si="58"/>
        <v>0</v>
      </c>
      <c r="AV347" s="27" t="str">
        <f t="shared" si="59"/>
        <v/>
      </c>
      <c r="AY347" s="2">
        <f t="shared" si="60"/>
        <v>0</v>
      </c>
      <c r="AZ347" s="2">
        <f t="shared" si="61"/>
        <v>0</v>
      </c>
      <c r="BA347" s="2">
        <f t="shared" si="62"/>
        <v>0</v>
      </c>
      <c r="BB347" s="2">
        <f t="shared" si="63"/>
        <v>0</v>
      </c>
      <c r="BC347" s="2">
        <f t="shared" si="64"/>
        <v>0</v>
      </c>
      <c r="BD347" s="2">
        <f t="shared" si="65"/>
        <v>0</v>
      </c>
    </row>
    <row r="348" spans="1:56" ht="15" customHeight="1" x14ac:dyDescent="0.45">
      <c r="A348" s="2" t="s">
        <v>225</v>
      </c>
      <c r="B348" s="2" t="s">
        <v>228</v>
      </c>
      <c r="C348" s="2">
        <v>2019</v>
      </c>
      <c r="D348" s="2" t="s">
        <v>146</v>
      </c>
      <c r="E348" s="2" t="s">
        <v>146</v>
      </c>
      <c r="F348" s="2" t="s">
        <v>146</v>
      </c>
      <c r="G348" s="2" t="s">
        <v>146</v>
      </c>
      <c r="H348" s="2" t="s">
        <v>146</v>
      </c>
      <c r="I348" s="2" t="s">
        <v>146</v>
      </c>
      <c r="J348" s="2" t="s">
        <v>146</v>
      </c>
      <c r="K348" s="2" t="s">
        <v>146</v>
      </c>
      <c r="L348" s="2" t="s">
        <v>146</v>
      </c>
      <c r="M348" s="2" t="s">
        <v>146</v>
      </c>
      <c r="N348" s="2" t="s">
        <v>146</v>
      </c>
      <c r="O348" s="2" t="s">
        <v>146</v>
      </c>
      <c r="P348" s="2" t="s">
        <v>146</v>
      </c>
      <c r="Q348" s="2" t="s">
        <v>146</v>
      </c>
      <c r="R348" s="2" t="s">
        <v>146</v>
      </c>
      <c r="S348" s="2" t="s">
        <v>146</v>
      </c>
      <c r="T348" s="2" t="s">
        <v>146</v>
      </c>
      <c r="U348" s="2" t="s">
        <v>146</v>
      </c>
      <c r="V348" s="2" t="s">
        <v>146</v>
      </c>
      <c r="W348" s="2" t="s">
        <v>146</v>
      </c>
      <c r="X348" s="2" t="s">
        <v>146</v>
      </c>
      <c r="Y348" s="2" t="s">
        <v>146</v>
      </c>
      <c r="Z348" s="2" t="s">
        <v>146</v>
      </c>
      <c r="AA348" s="2" t="s">
        <v>146</v>
      </c>
      <c r="AB348" s="2" t="s">
        <v>146</v>
      </c>
      <c r="AC348" s="2" t="s">
        <v>146</v>
      </c>
      <c r="AD348" s="2" t="s">
        <v>146</v>
      </c>
      <c r="AE348" s="2" t="s">
        <v>146</v>
      </c>
      <c r="AF348" s="2" t="s">
        <v>146</v>
      </c>
      <c r="AG348" s="2" t="s">
        <v>146</v>
      </c>
      <c r="AH348" s="2" t="s">
        <v>146</v>
      </c>
      <c r="AI348" s="2" t="s">
        <v>146</v>
      </c>
      <c r="AJ348" s="2" t="s">
        <v>146</v>
      </c>
      <c r="AK348" s="2" t="s">
        <v>146</v>
      </c>
      <c r="AL348" s="2" t="s">
        <v>146</v>
      </c>
      <c r="AM348" s="2" t="s">
        <v>146</v>
      </c>
      <c r="AN348" s="2" t="s">
        <v>146</v>
      </c>
      <c r="AO348" s="2" t="s">
        <v>146</v>
      </c>
      <c r="AQ348" s="2">
        <f t="shared" si="55"/>
        <v>0</v>
      </c>
      <c r="AR348" s="2">
        <f t="shared" si="56"/>
        <v>0</v>
      </c>
      <c r="AT348" s="2">
        <f t="shared" si="57"/>
        <v>0</v>
      </c>
      <c r="AU348" s="2">
        <f t="shared" si="58"/>
        <v>0</v>
      </c>
      <c r="AV348" s="27" t="str">
        <f t="shared" si="59"/>
        <v/>
      </c>
      <c r="AY348" s="2">
        <f t="shared" si="60"/>
        <v>0</v>
      </c>
      <c r="AZ348" s="2">
        <f t="shared" si="61"/>
        <v>0</v>
      </c>
      <c r="BA348" s="2">
        <f t="shared" si="62"/>
        <v>0</v>
      </c>
      <c r="BB348" s="2">
        <f t="shared" si="63"/>
        <v>0</v>
      </c>
      <c r="BC348" s="2">
        <f t="shared" si="64"/>
        <v>0</v>
      </c>
      <c r="BD348" s="2">
        <f t="shared" si="65"/>
        <v>0</v>
      </c>
    </row>
    <row r="349" spans="1:56" ht="15" customHeight="1" x14ac:dyDescent="0.45">
      <c r="A349" s="2" t="s">
        <v>225</v>
      </c>
      <c r="B349" s="2" t="s">
        <v>227</v>
      </c>
      <c r="C349" s="2">
        <v>2019</v>
      </c>
      <c r="D349" s="2" t="s">
        <v>146</v>
      </c>
      <c r="E349" s="2" t="s">
        <v>146</v>
      </c>
      <c r="F349" s="2" t="s">
        <v>146</v>
      </c>
      <c r="G349" s="2" t="s">
        <v>146</v>
      </c>
      <c r="H349" s="2" t="s">
        <v>146</v>
      </c>
      <c r="I349" s="2" t="s">
        <v>146</v>
      </c>
      <c r="J349" s="2" t="s">
        <v>146</v>
      </c>
      <c r="K349" s="2" t="s">
        <v>146</v>
      </c>
      <c r="L349" s="2" t="s">
        <v>146</v>
      </c>
      <c r="M349" s="2" t="s">
        <v>146</v>
      </c>
      <c r="N349" s="2" t="s">
        <v>146</v>
      </c>
      <c r="O349" s="2" t="s">
        <v>146</v>
      </c>
      <c r="P349" s="2" t="s">
        <v>146</v>
      </c>
      <c r="Q349" s="2" t="s">
        <v>146</v>
      </c>
      <c r="R349" s="2" t="s">
        <v>146</v>
      </c>
      <c r="S349" s="2" t="s">
        <v>146</v>
      </c>
      <c r="T349" s="2" t="s">
        <v>146</v>
      </c>
      <c r="U349" s="2" t="s">
        <v>146</v>
      </c>
      <c r="V349" s="2" t="s">
        <v>146</v>
      </c>
      <c r="W349" s="2" t="s">
        <v>146</v>
      </c>
      <c r="X349" s="2" t="s">
        <v>146</v>
      </c>
      <c r="Y349" s="2" t="s">
        <v>146</v>
      </c>
      <c r="Z349" s="2" t="s">
        <v>146</v>
      </c>
      <c r="AA349" s="2" t="s">
        <v>146</v>
      </c>
      <c r="AB349" s="2" t="s">
        <v>146</v>
      </c>
      <c r="AC349" s="2" t="s">
        <v>146</v>
      </c>
      <c r="AD349" s="2" t="s">
        <v>146</v>
      </c>
      <c r="AE349" s="2" t="s">
        <v>146</v>
      </c>
      <c r="AF349" s="2" t="s">
        <v>146</v>
      </c>
      <c r="AG349" s="2" t="s">
        <v>146</v>
      </c>
      <c r="AH349" s="2" t="s">
        <v>146</v>
      </c>
      <c r="AI349" s="2" t="s">
        <v>146</v>
      </c>
      <c r="AJ349" s="2" t="s">
        <v>146</v>
      </c>
      <c r="AK349" s="2" t="s">
        <v>146</v>
      </c>
      <c r="AL349" s="2" t="s">
        <v>146</v>
      </c>
      <c r="AM349" s="2" t="s">
        <v>146</v>
      </c>
      <c r="AN349" s="2" t="s">
        <v>146</v>
      </c>
      <c r="AO349" s="2" t="s">
        <v>146</v>
      </c>
      <c r="AQ349" s="2">
        <f t="shared" si="55"/>
        <v>0</v>
      </c>
      <c r="AR349" s="2">
        <f t="shared" si="56"/>
        <v>0</v>
      </c>
      <c r="AT349" s="2">
        <f t="shared" si="57"/>
        <v>0</v>
      </c>
      <c r="AU349" s="2">
        <f t="shared" si="58"/>
        <v>0</v>
      </c>
      <c r="AV349" s="27" t="str">
        <f t="shared" si="59"/>
        <v/>
      </c>
      <c r="AY349" s="2">
        <f t="shared" si="60"/>
        <v>0</v>
      </c>
      <c r="AZ349" s="2">
        <f t="shared" si="61"/>
        <v>0</v>
      </c>
      <c r="BA349" s="2">
        <f t="shared" si="62"/>
        <v>0</v>
      </c>
      <c r="BB349" s="2">
        <f t="shared" si="63"/>
        <v>0</v>
      </c>
      <c r="BC349" s="2">
        <f t="shared" si="64"/>
        <v>0</v>
      </c>
      <c r="BD349" s="2">
        <f t="shared" si="65"/>
        <v>0</v>
      </c>
    </row>
    <row r="350" spans="1:56" ht="15" customHeight="1" x14ac:dyDescent="0.45">
      <c r="A350" s="2" t="s">
        <v>225</v>
      </c>
      <c r="B350" s="2" t="s">
        <v>226</v>
      </c>
      <c r="C350" s="2">
        <v>2019</v>
      </c>
      <c r="D350" s="2" t="s">
        <v>146</v>
      </c>
      <c r="E350" s="2" t="s">
        <v>146</v>
      </c>
      <c r="F350" s="2" t="s">
        <v>146</v>
      </c>
      <c r="G350" s="2" t="s">
        <v>146</v>
      </c>
      <c r="H350" s="2" t="s">
        <v>146</v>
      </c>
      <c r="I350" s="2" t="s">
        <v>146</v>
      </c>
      <c r="J350" s="2" t="s">
        <v>146</v>
      </c>
      <c r="K350" s="2" t="s">
        <v>146</v>
      </c>
      <c r="L350" s="2" t="s">
        <v>146</v>
      </c>
      <c r="M350" s="2" t="s">
        <v>146</v>
      </c>
      <c r="N350" s="2" t="s">
        <v>146</v>
      </c>
      <c r="O350" s="2" t="s">
        <v>146</v>
      </c>
      <c r="P350" s="2" t="s">
        <v>146</v>
      </c>
      <c r="Q350" s="2" t="s">
        <v>146</v>
      </c>
      <c r="R350" s="2" t="s">
        <v>146</v>
      </c>
      <c r="S350" s="2" t="s">
        <v>146</v>
      </c>
      <c r="T350" s="2" t="s">
        <v>146</v>
      </c>
      <c r="U350" s="2" t="s">
        <v>146</v>
      </c>
      <c r="V350" s="2" t="s">
        <v>146</v>
      </c>
      <c r="W350" s="2" t="s">
        <v>146</v>
      </c>
      <c r="X350" s="2" t="s">
        <v>146</v>
      </c>
      <c r="Y350" s="2" t="s">
        <v>146</v>
      </c>
      <c r="Z350" s="2" t="s">
        <v>146</v>
      </c>
      <c r="AA350" s="2" t="s">
        <v>146</v>
      </c>
      <c r="AB350" s="2" t="s">
        <v>146</v>
      </c>
      <c r="AC350" s="2" t="s">
        <v>146</v>
      </c>
      <c r="AD350" s="2" t="s">
        <v>146</v>
      </c>
      <c r="AE350" s="2" t="s">
        <v>146</v>
      </c>
      <c r="AF350" s="2" t="s">
        <v>146</v>
      </c>
      <c r="AG350" s="2" t="s">
        <v>146</v>
      </c>
      <c r="AH350" s="2" t="s">
        <v>146</v>
      </c>
      <c r="AI350" s="2" t="s">
        <v>146</v>
      </c>
      <c r="AJ350" s="2" t="s">
        <v>146</v>
      </c>
      <c r="AK350" s="2" t="s">
        <v>146</v>
      </c>
      <c r="AL350" s="2" t="s">
        <v>146</v>
      </c>
      <c r="AM350" s="2" t="s">
        <v>146</v>
      </c>
      <c r="AN350" s="2" t="s">
        <v>146</v>
      </c>
      <c r="AO350" s="2" t="s">
        <v>146</v>
      </c>
      <c r="AQ350" s="2">
        <f t="shared" si="55"/>
        <v>0</v>
      </c>
      <c r="AR350" s="2">
        <f t="shared" si="56"/>
        <v>0</v>
      </c>
      <c r="AT350" s="2">
        <f t="shared" si="57"/>
        <v>0</v>
      </c>
      <c r="AU350" s="2">
        <f t="shared" si="58"/>
        <v>0</v>
      </c>
      <c r="AV350" s="27" t="str">
        <f t="shared" si="59"/>
        <v/>
      </c>
      <c r="AY350" s="2">
        <f t="shared" si="60"/>
        <v>0</v>
      </c>
      <c r="AZ350" s="2">
        <f t="shared" si="61"/>
        <v>0</v>
      </c>
      <c r="BA350" s="2">
        <f t="shared" si="62"/>
        <v>0</v>
      </c>
      <c r="BB350" s="2">
        <f t="shared" si="63"/>
        <v>0</v>
      </c>
      <c r="BC350" s="2">
        <f t="shared" si="64"/>
        <v>0</v>
      </c>
      <c r="BD350" s="2">
        <f t="shared" si="65"/>
        <v>0</v>
      </c>
    </row>
    <row r="351" spans="1:56" ht="15" customHeight="1" x14ac:dyDescent="0.45">
      <c r="A351" s="2" t="s">
        <v>225</v>
      </c>
      <c r="B351" s="2" t="s">
        <v>224</v>
      </c>
      <c r="C351" s="2">
        <v>2019</v>
      </c>
      <c r="D351" s="2">
        <v>102.068</v>
      </c>
      <c r="E351" s="2">
        <v>25.071000000000002</v>
      </c>
      <c r="F351" s="2" t="s">
        <v>146</v>
      </c>
      <c r="G351" s="2" t="s">
        <v>146</v>
      </c>
      <c r="H351" s="2" t="s">
        <v>146</v>
      </c>
      <c r="I351" s="2">
        <v>159.43600000000001</v>
      </c>
      <c r="J351" s="2" t="s">
        <v>146</v>
      </c>
      <c r="K351" s="2">
        <v>0.1</v>
      </c>
      <c r="L351" s="2" t="s">
        <v>146</v>
      </c>
      <c r="M351" s="2" t="s">
        <v>146</v>
      </c>
      <c r="N351" s="2" t="s">
        <v>146</v>
      </c>
      <c r="O351" s="2" t="s">
        <v>146</v>
      </c>
      <c r="P351" s="2" t="s">
        <v>146</v>
      </c>
      <c r="Q351" s="2">
        <v>78.16</v>
      </c>
      <c r="R351" s="2">
        <v>58.08</v>
      </c>
      <c r="S351" s="2">
        <v>4.37</v>
      </c>
      <c r="T351" s="2" t="s">
        <v>146</v>
      </c>
      <c r="U351" s="2" t="s">
        <v>146</v>
      </c>
      <c r="V351" s="2" t="s">
        <v>146</v>
      </c>
      <c r="W351" s="2" t="s">
        <v>147</v>
      </c>
      <c r="X351" s="2" t="s">
        <v>146</v>
      </c>
      <c r="Y351" s="2" t="s">
        <v>146</v>
      </c>
      <c r="Z351" s="2" t="s">
        <v>146</v>
      </c>
      <c r="AA351" s="2" t="s">
        <v>146</v>
      </c>
      <c r="AB351" s="2" t="s">
        <v>146</v>
      </c>
      <c r="AC351" s="2" t="s">
        <v>146</v>
      </c>
      <c r="AD351" s="2" t="s">
        <v>146</v>
      </c>
      <c r="AE351" s="2" t="s">
        <v>146</v>
      </c>
      <c r="AF351" s="2" t="s">
        <v>146</v>
      </c>
      <c r="AG351" s="2" t="s">
        <v>146</v>
      </c>
      <c r="AH351" s="2" t="s">
        <v>146</v>
      </c>
      <c r="AI351" s="2" t="s">
        <v>146</v>
      </c>
      <c r="AJ351" s="2" t="s">
        <v>146</v>
      </c>
      <c r="AK351" s="2">
        <v>18.725999999999999</v>
      </c>
      <c r="AL351" s="2">
        <v>100</v>
      </c>
      <c r="AM351" s="2" t="s">
        <v>146</v>
      </c>
      <c r="AN351" s="2" t="s">
        <v>146</v>
      </c>
      <c r="AO351" s="2" t="s">
        <v>146</v>
      </c>
      <c r="AQ351" s="2">
        <f t="shared" si="55"/>
        <v>140.70999999999998</v>
      </c>
      <c r="AR351" s="2">
        <f t="shared" si="56"/>
        <v>159.43599999999998</v>
      </c>
      <c r="AT351" s="2">
        <f t="shared" si="57"/>
        <v>102.068</v>
      </c>
      <c r="AU351" s="2">
        <f t="shared" si="58"/>
        <v>25.071000000000002</v>
      </c>
      <c r="AV351" s="27">
        <f t="shared" si="59"/>
        <v>0.79742968965603767</v>
      </c>
      <c r="AY351" s="2">
        <f t="shared" si="60"/>
        <v>18.725999999999999</v>
      </c>
      <c r="AZ351" s="2">
        <f t="shared" si="61"/>
        <v>18.725999999999999</v>
      </c>
      <c r="BA351" s="2">
        <f t="shared" si="62"/>
        <v>0</v>
      </c>
      <c r="BB351" s="2">
        <f t="shared" si="63"/>
        <v>0</v>
      </c>
      <c r="BC351" s="2">
        <f t="shared" si="64"/>
        <v>0</v>
      </c>
      <c r="BD351" s="2">
        <f t="shared" si="65"/>
        <v>0</v>
      </c>
    </row>
    <row r="352" spans="1:56" ht="15" customHeight="1" x14ac:dyDescent="0.45">
      <c r="A352" s="2" t="s">
        <v>221</v>
      </c>
      <c r="B352" s="2" t="s">
        <v>223</v>
      </c>
      <c r="C352" s="2">
        <v>2019</v>
      </c>
      <c r="D352" s="2" t="s">
        <v>146</v>
      </c>
      <c r="E352" s="2" t="s">
        <v>146</v>
      </c>
      <c r="F352" s="2" t="s">
        <v>146</v>
      </c>
      <c r="G352" s="2" t="s">
        <v>146</v>
      </c>
      <c r="H352" s="2" t="s">
        <v>146</v>
      </c>
      <c r="I352" s="2" t="s">
        <v>146</v>
      </c>
      <c r="J352" s="2" t="s">
        <v>146</v>
      </c>
      <c r="K352" s="2" t="s">
        <v>146</v>
      </c>
      <c r="L352" s="2" t="s">
        <v>146</v>
      </c>
      <c r="M352" s="2" t="s">
        <v>146</v>
      </c>
      <c r="N352" s="2" t="s">
        <v>146</v>
      </c>
      <c r="O352" s="2" t="s">
        <v>146</v>
      </c>
      <c r="P352" s="2" t="s">
        <v>146</v>
      </c>
      <c r="Q352" s="2" t="s">
        <v>146</v>
      </c>
      <c r="R352" s="2" t="s">
        <v>146</v>
      </c>
      <c r="S352" s="2" t="s">
        <v>146</v>
      </c>
      <c r="T352" s="2" t="s">
        <v>146</v>
      </c>
      <c r="U352" s="2" t="s">
        <v>146</v>
      </c>
      <c r="V352" s="2" t="s">
        <v>146</v>
      </c>
      <c r="W352" s="2" t="s">
        <v>146</v>
      </c>
      <c r="X352" s="2" t="s">
        <v>146</v>
      </c>
      <c r="Y352" s="2" t="s">
        <v>146</v>
      </c>
      <c r="Z352" s="2" t="s">
        <v>146</v>
      </c>
      <c r="AA352" s="2" t="s">
        <v>146</v>
      </c>
      <c r="AB352" s="2" t="s">
        <v>146</v>
      </c>
      <c r="AC352" s="2" t="s">
        <v>146</v>
      </c>
      <c r="AD352" s="2" t="s">
        <v>146</v>
      </c>
      <c r="AE352" s="2" t="s">
        <v>146</v>
      </c>
      <c r="AF352" s="2" t="s">
        <v>146</v>
      </c>
      <c r="AG352" s="2" t="s">
        <v>146</v>
      </c>
      <c r="AH352" s="2" t="s">
        <v>146</v>
      </c>
      <c r="AI352" s="2" t="s">
        <v>146</v>
      </c>
      <c r="AJ352" s="2" t="s">
        <v>146</v>
      </c>
      <c r="AK352" s="2" t="s">
        <v>146</v>
      </c>
      <c r="AL352" s="2" t="s">
        <v>146</v>
      </c>
      <c r="AM352" s="2" t="s">
        <v>146</v>
      </c>
      <c r="AN352" s="2" t="s">
        <v>146</v>
      </c>
      <c r="AO352" s="2" t="s">
        <v>146</v>
      </c>
      <c r="AQ352" s="2">
        <f t="shared" si="55"/>
        <v>0</v>
      </c>
      <c r="AR352" s="2">
        <f t="shared" si="56"/>
        <v>0</v>
      </c>
      <c r="AT352" s="2">
        <f t="shared" si="57"/>
        <v>0</v>
      </c>
      <c r="AU352" s="2">
        <f t="shared" si="58"/>
        <v>0</v>
      </c>
      <c r="AV352" s="27" t="str">
        <f t="shared" si="59"/>
        <v/>
      </c>
      <c r="AY352" s="2">
        <f t="shared" si="60"/>
        <v>0</v>
      </c>
      <c r="AZ352" s="2">
        <f t="shared" si="61"/>
        <v>0</v>
      </c>
      <c r="BA352" s="2">
        <f t="shared" si="62"/>
        <v>0</v>
      </c>
      <c r="BB352" s="2">
        <f t="shared" si="63"/>
        <v>0</v>
      </c>
      <c r="BC352" s="2">
        <f t="shared" si="64"/>
        <v>0</v>
      </c>
      <c r="BD352" s="2">
        <f t="shared" si="65"/>
        <v>0</v>
      </c>
    </row>
    <row r="353" spans="1:56" ht="15" customHeight="1" x14ac:dyDescent="0.45">
      <c r="A353" s="2" t="s">
        <v>221</v>
      </c>
      <c r="B353" s="2" t="s">
        <v>222</v>
      </c>
      <c r="C353" s="2">
        <v>2019</v>
      </c>
      <c r="D353" s="2">
        <v>141</v>
      </c>
      <c r="E353" s="2">
        <v>27</v>
      </c>
      <c r="F353" s="2">
        <v>0</v>
      </c>
      <c r="G353" s="2" t="s">
        <v>146</v>
      </c>
      <c r="H353" s="2" t="s">
        <v>146</v>
      </c>
      <c r="I353" s="2">
        <v>182.5</v>
      </c>
      <c r="J353" s="2" t="s">
        <v>146</v>
      </c>
      <c r="K353" s="2">
        <v>0.5</v>
      </c>
      <c r="L353" s="2" t="s">
        <v>146</v>
      </c>
      <c r="M353" s="2" t="s">
        <v>146</v>
      </c>
      <c r="N353" s="2" t="s">
        <v>146</v>
      </c>
      <c r="O353" s="2" t="s">
        <v>146</v>
      </c>
      <c r="P353" s="2" t="s">
        <v>146</v>
      </c>
      <c r="Q353" s="2" t="s">
        <v>146</v>
      </c>
      <c r="R353" s="2" t="s">
        <v>146</v>
      </c>
      <c r="S353" s="2" t="s">
        <v>146</v>
      </c>
      <c r="T353" s="2" t="s">
        <v>146</v>
      </c>
      <c r="U353" s="2" t="s">
        <v>146</v>
      </c>
      <c r="V353" s="2" t="s">
        <v>146</v>
      </c>
      <c r="W353" s="2" t="s">
        <v>146</v>
      </c>
      <c r="X353" s="2" t="s">
        <v>146</v>
      </c>
      <c r="Y353" s="2" t="s">
        <v>146</v>
      </c>
      <c r="Z353" s="2" t="s">
        <v>146</v>
      </c>
      <c r="AA353" s="2">
        <v>150</v>
      </c>
      <c r="AB353" s="2" t="s">
        <v>146</v>
      </c>
      <c r="AC353" s="2" t="s">
        <v>146</v>
      </c>
      <c r="AD353" s="2" t="s">
        <v>146</v>
      </c>
      <c r="AE353" s="2" t="s">
        <v>146</v>
      </c>
      <c r="AF353" s="2" t="s">
        <v>146</v>
      </c>
      <c r="AG353" s="2" t="s">
        <v>146</v>
      </c>
      <c r="AH353" s="2" t="s">
        <v>146</v>
      </c>
      <c r="AI353" s="2" t="s">
        <v>146</v>
      </c>
      <c r="AJ353" s="2" t="s">
        <v>146</v>
      </c>
      <c r="AK353" s="2">
        <v>32</v>
      </c>
      <c r="AL353" s="2">
        <v>100</v>
      </c>
      <c r="AM353" s="2" t="s">
        <v>146</v>
      </c>
      <c r="AN353" s="2" t="s">
        <v>146</v>
      </c>
      <c r="AO353" s="2" t="s">
        <v>146</v>
      </c>
      <c r="AQ353" s="2">
        <f t="shared" si="55"/>
        <v>150.5</v>
      </c>
      <c r="AR353" s="2">
        <f t="shared" si="56"/>
        <v>182.5</v>
      </c>
      <c r="AT353" s="2">
        <f t="shared" si="57"/>
        <v>141</v>
      </c>
      <c r="AU353" s="2">
        <f t="shared" si="58"/>
        <v>27</v>
      </c>
      <c r="AV353" s="27">
        <f t="shared" si="59"/>
        <v>0.92054794520547945</v>
      </c>
      <c r="AY353" s="2">
        <f t="shared" si="60"/>
        <v>32</v>
      </c>
      <c r="AZ353" s="2">
        <f t="shared" si="61"/>
        <v>32</v>
      </c>
      <c r="BA353" s="2">
        <f t="shared" si="62"/>
        <v>0</v>
      </c>
      <c r="BB353" s="2">
        <f t="shared" si="63"/>
        <v>0</v>
      </c>
      <c r="BC353" s="2">
        <f t="shared" si="64"/>
        <v>0</v>
      </c>
      <c r="BD353" s="2">
        <f t="shared" si="65"/>
        <v>0</v>
      </c>
    </row>
    <row r="354" spans="1:56" ht="15" customHeight="1" x14ac:dyDescent="0.45">
      <c r="A354" s="2" t="s">
        <v>221</v>
      </c>
      <c r="B354" s="2" t="s">
        <v>220</v>
      </c>
      <c r="C354" s="2">
        <v>2019</v>
      </c>
      <c r="D354" s="2" t="s">
        <v>146</v>
      </c>
      <c r="E354" s="2" t="s">
        <v>146</v>
      </c>
      <c r="F354" s="2" t="s">
        <v>146</v>
      </c>
      <c r="G354" s="2" t="s">
        <v>146</v>
      </c>
      <c r="H354" s="2" t="s">
        <v>146</v>
      </c>
      <c r="I354" s="2" t="s">
        <v>146</v>
      </c>
      <c r="J354" s="2" t="s">
        <v>146</v>
      </c>
      <c r="K354" s="2" t="s">
        <v>146</v>
      </c>
      <c r="L354" s="2" t="s">
        <v>146</v>
      </c>
      <c r="M354" s="2" t="s">
        <v>146</v>
      </c>
      <c r="N354" s="2" t="s">
        <v>146</v>
      </c>
      <c r="O354" s="2" t="s">
        <v>146</v>
      </c>
      <c r="P354" s="2" t="s">
        <v>146</v>
      </c>
      <c r="Q354" s="2" t="s">
        <v>146</v>
      </c>
      <c r="R354" s="2" t="s">
        <v>146</v>
      </c>
      <c r="S354" s="2" t="s">
        <v>146</v>
      </c>
      <c r="T354" s="2" t="s">
        <v>146</v>
      </c>
      <c r="U354" s="2" t="s">
        <v>146</v>
      </c>
      <c r="V354" s="2" t="s">
        <v>146</v>
      </c>
      <c r="W354" s="2" t="s">
        <v>146</v>
      </c>
      <c r="X354" s="2" t="s">
        <v>146</v>
      </c>
      <c r="Y354" s="2" t="s">
        <v>146</v>
      </c>
      <c r="Z354" s="2" t="s">
        <v>146</v>
      </c>
      <c r="AA354" s="2" t="s">
        <v>146</v>
      </c>
      <c r="AB354" s="2" t="s">
        <v>146</v>
      </c>
      <c r="AC354" s="2" t="s">
        <v>146</v>
      </c>
      <c r="AD354" s="2" t="s">
        <v>146</v>
      </c>
      <c r="AE354" s="2" t="s">
        <v>146</v>
      </c>
      <c r="AF354" s="2" t="s">
        <v>146</v>
      </c>
      <c r="AG354" s="2" t="s">
        <v>146</v>
      </c>
      <c r="AH354" s="2" t="s">
        <v>146</v>
      </c>
      <c r="AI354" s="2" t="s">
        <v>146</v>
      </c>
      <c r="AJ354" s="2" t="s">
        <v>146</v>
      </c>
      <c r="AK354" s="2" t="s">
        <v>146</v>
      </c>
      <c r="AL354" s="2" t="s">
        <v>146</v>
      </c>
      <c r="AM354" s="2" t="s">
        <v>146</v>
      </c>
      <c r="AN354" s="2" t="s">
        <v>146</v>
      </c>
      <c r="AO354" s="2" t="s">
        <v>146</v>
      </c>
      <c r="AQ354" s="2">
        <f t="shared" si="55"/>
        <v>0</v>
      </c>
      <c r="AR354" s="2">
        <f t="shared" si="56"/>
        <v>0</v>
      </c>
      <c r="AT354" s="2">
        <f t="shared" si="57"/>
        <v>0</v>
      </c>
      <c r="AU354" s="2">
        <f t="shared" si="58"/>
        <v>0</v>
      </c>
      <c r="AV354" s="27" t="str">
        <f t="shared" si="59"/>
        <v/>
      </c>
      <c r="AY354" s="2">
        <f t="shared" si="60"/>
        <v>0</v>
      </c>
      <c r="AZ354" s="2">
        <f t="shared" si="61"/>
        <v>0</v>
      </c>
      <c r="BA354" s="2">
        <f t="shared" si="62"/>
        <v>0</v>
      </c>
      <c r="BB354" s="2">
        <f t="shared" si="63"/>
        <v>0</v>
      </c>
      <c r="BC354" s="2">
        <f t="shared" si="64"/>
        <v>0</v>
      </c>
      <c r="BD354" s="2">
        <f t="shared" si="65"/>
        <v>0</v>
      </c>
    </row>
    <row r="355" spans="1:56" ht="15" customHeight="1" x14ac:dyDescent="0.45">
      <c r="A355" s="2" t="s">
        <v>48</v>
      </c>
      <c r="B355" s="2" t="s">
        <v>219</v>
      </c>
      <c r="C355" s="2">
        <v>2019</v>
      </c>
      <c r="D355" s="2" t="s">
        <v>146</v>
      </c>
      <c r="E355" s="2" t="s">
        <v>146</v>
      </c>
      <c r="F355" s="2" t="s">
        <v>146</v>
      </c>
      <c r="G355" s="2" t="s">
        <v>146</v>
      </c>
      <c r="H355" s="2" t="s">
        <v>146</v>
      </c>
      <c r="I355" s="2" t="s">
        <v>146</v>
      </c>
      <c r="J355" s="2" t="s">
        <v>146</v>
      </c>
      <c r="K355" s="2" t="s">
        <v>146</v>
      </c>
      <c r="L355" s="2" t="s">
        <v>146</v>
      </c>
      <c r="M355" s="2" t="s">
        <v>146</v>
      </c>
      <c r="N355" s="2" t="s">
        <v>146</v>
      </c>
      <c r="O355" s="2" t="s">
        <v>146</v>
      </c>
      <c r="P355" s="2" t="s">
        <v>146</v>
      </c>
      <c r="Q355" s="2" t="s">
        <v>146</v>
      </c>
      <c r="R355" s="2" t="s">
        <v>146</v>
      </c>
      <c r="S355" s="2" t="s">
        <v>146</v>
      </c>
      <c r="T355" s="2" t="s">
        <v>146</v>
      </c>
      <c r="U355" s="2" t="s">
        <v>146</v>
      </c>
      <c r="V355" s="2" t="s">
        <v>146</v>
      </c>
      <c r="W355" s="2" t="s">
        <v>146</v>
      </c>
      <c r="X355" s="2" t="s">
        <v>146</v>
      </c>
      <c r="Y355" s="2" t="s">
        <v>146</v>
      </c>
      <c r="Z355" s="2" t="s">
        <v>146</v>
      </c>
      <c r="AA355" s="2" t="s">
        <v>146</v>
      </c>
      <c r="AB355" s="2" t="s">
        <v>146</v>
      </c>
      <c r="AC355" s="2" t="s">
        <v>146</v>
      </c>
      <c r="AD355" s="2" t="s">
        <v>146</v>
      </c>
      <c r="AE355" s="2" t="s">
        <v>146</v>
      </c>
      <c r="AF355" s="2" t="s">
        <v>146</v>
      </c>
      <c r="AG355" s="2" t="s">
        <v>146</v>
      </c>
      <c r="AH355" s="2" t="s">
        <v>155</v>
      </c>
      <c r="AI355" s="2" t="s">
        <v>146</v>
      </c>
      <c r="AJ355" s="2" t="s">
        <v>146</v>
      </c>
      <c r="AK355" s="2" t="s">
        <v>146</v>
      </c>
      <c r="AL355" s="2" t="s">
        <v>146</v>
      </c>
      <c r="AM355" s="2" t="s">
        <v>146</v>
      </c>
      <c r="AN355" s="2" t="s">
        <v>146</v>
      </c>
      <c r="AO355" s="2" t="s">
        <v>146</v>
      </c>
      <c r="AQ355" s="2">
        <f t="shared" si="55"/>
        <v>0</v>
      </c>
      <c r="AR355" s="2">
        <f t="shared" si="56"/>
        <v>0</v>
      </c>
      <c r="AT355" s="2">
        <f t="shared" si="57"/>
        <v>0</v>
      </c>
      <c r="AU355" s="2">
        <f t="shared" si="58"/>
        <v>0</v>
      </c>
      <c r="AV355" s="27" t="str">
        <f t="shared" si="59"/>
        <v/>
      </c>
      <c r="AY355" s="2">
        <f t="shared" si="60"/>
        <v>0</v>
      </c>
      <c r="AZ355" s="2">
        <f t="shared" si="61"/>
        <v>0</v>
      </c>
      <c r="BA355" s="2">
        <f t="shared" si="62"/>
        <v>0</v>
      </c>
      <c r="BB355" s="2">
        <f t="shared" si="63"/>
        <v>0</v>
      </c>
      <c r="BC355" s="2">
        <f t="shared" si="64"/>
        <v>0</v>
      </c>
      <c r="BD355" s="2">
        <f t="shared" si="65"/>
        <v>0</v>
      </c>
    </row>
    <row r="356" spans="1:56" ht="15" customHeight="1" x14ac:dyDescent="0.45">
      <c r="A356" s="2" t="s">
        <v>48</v>
      </c>
      <c r="B356" s="2" t="s">
        <v>218</v>
      </c>
      <c r="C356" s="2">
        <v>2019</v>
      </c>
      <c r="D356" s="2" t="s">
        <v>146</v>
      </c>
      <c r="E356" s="2" t="s">
        <v>146</v>
      </c>
      <c r="F356" s="2" t="s">
        <v>146</v>
      </c>
      <c r="G356" s="2" t="s">
        <v>146</v>
      </c>
      <c r="H356" s="2" t="s">
        <v>146</v>
      </c>
      <c r="I356" s="2" t="s">
        <v>146</v>
      </c>
      <c r="J356" s="2" t="s">
        <v>146</v>
      </c>
      <c r="K356" s="2" t="s">
        <v>146</v>
      </c>
      <c r="L356" s="2" t="s">
        <v>146</v>
      </c>
      <c r="M356" s="2" t="s">
        <v>146</v>
      </c>
      <c r="N356" s="2" t="s">
        <v>146</v>
      </c>
      <c r="O356" s="2" t="s">
        <v>146</v>
      </c>
      <c r="P356" s="2" t="s">
        <v>146</v>
      </c>
      <c r="Q356" s="2" t="s">
        <v>146</v>
      </c>
      <c r="R356" s="2" t="s">
        <v>146</v>
      </c>
      <c r="S356" s="2" t="s">
        <v>146</v>
      </c>
      <c r="T356" s="2" t="s">
        <v>146</v>
      </c>
      <c r="U356" s="2" t="s">
        <v>146</v>
      </c>
      <c r="V356" s="2" t="s">
        <v>146</v>
      </c>
      <c r="W356" s="2" t="s">
        <v>146</v>
      </c>
      <c r="X356" s="2" t="s">
        <v>146</v>
      </c>
      <c r="Y356" s="2" t="s">
        <v>146</v>
      </c>
      <c r="Z356" s="2" t="s">
        <v>146</v>
      </c>
      <c r="AA356" s="2" t="s">
        <v>146</v>
      </c>
      <c r="AB356" s="2" t="s">
        <v>146</v>
      </c>
      <c r="AC356" s="2" t="s">
        <v>146</v>
      </c>
      <c r="AD356" s="2" t="s">
        <v>146</v>
      </c>
      <c r="AE356" s="2" t="s">
        <v>146</v>
      </c>
      <c r="AF356" s="2" t="s">
        <v>146</v>
      </c>
      <c r="AG356" s="2" t="s">
        <v>146</v>
      </c>
      <c r="AH356" s="2" t="s">
        <v>155</v>
      </c>
      <c r="AI356" s="2" t="s">
        <v>146</v>
      </c>
      <c r="AJ356" s="2" t="s">
        <v>146</v>
      </c>
      <c r="AK356" s="2" t="s">
        <v>146</v>
      </c>
      <c r="AL356" s="2" t="s">
        <v>146</v>
      </c>
      <c r="AM356" s="2" t="s">
        <v>146</v>
      </c>
      <c r="AN356" s="2" t="s">
        <v>146</v>
      </c>
      <c r="AO356" s="2" t="s">
        <v>146</v>
      </c>
      <c r="AQ356" s="2">
        <f t="shared" si="55"/>
        <v>0</v>
      </c>
      <c r="AR356" s="2">
        <f t="shared" si="56"/>
        <v>0</v>
      </c>
      <c r="AT356" s="2">
        <f t="shared" si="57"/>
        <v>0</v>
      </c>
      <c r="AU356" s="2">
        <f t="shared" si="58"/>
        <v>0</v>
      </c>
      <c r="AV356" s="27" t="str">
        <f t="shared" si="59"/>
        <v/>
      </c>
      <c r="AY356" s="2">
        <f t="shared" si="60"/>
        <v>0</v>
      </c>
      <c r="AZ356" s="2">
        <f t="shared" si="61"/>
        <v>0</v>
      </c>
      <c r="BA356" s="2">
        <f t="shared" si="62"/>
        <v>0</v>
      </c>
      <c r="BB356" s="2">
        <f t="shared" si="63"/>
        <v>0</v>
      </c>
      <c r="BC356" s="2">
        <f t="shared" si="64"/>
        <v>0</v>
      </c>
      <c r="BD356" s="2">
        <f t="shared" si="65"/>
        <v>0</v>
      </c>
    </row>
    <row r="357" spans="1:56" ht="15" customHeight="1" x14ac:dyDescent="0.45">
      <c r="A357" s="2" t="s">
        <v>48</v>
      </c>
      <c r="B357" s="2" t="s">
        <v>217</v>
      </c>
      <c r="C357" s="2">
        <v>2019</v>
      </c>
      <c r="D357" s="2" t="s">
        <v>146</v>
      </c>
      <c r="E357" s="2" t="s">
        <v>146</v>
      </c>
      <c r="F357" s="2" t="s">
        <v>146</v>
      </c>
      <c r="G357" s="2" t="s">
        <v>146</v>
      </c>
      <c r="H357" s="2" t="s">
        <v>146</v>
      </c>
      <c r="I357" s="2" t="s">
        <v>146</v>
      </c>
      <c r="J357" s="2" t="s">
        <v>146</v>
      </c>
      <c r="K357" s="2" t="s">
        <v>146</v>
      </c>
      <c r="L357" s="2" t="s">
        <v>146</v>
      </c>
      <c r="M357" s="2" t="s">
        <v>146</v>
      </c>
      <c r="N357" s="2" t="s">
        <v>146</v>
      </c>
      <c r="O357" s="2" t="s">
        <v>146</v>
      </c>
      <c r="P357" s="2" t="s">
        <v>146</v>
      </c>
      <c r="Q357" s="2" t="s">
        <v>146</v>
      </c>
      <c r="R357" s="2" t="s">
        <v>146</v>
      </c>
      <c r="S357" s="2" t="s">
        <v>146</v>
      </c>
      <c r="T357" s="2" t="s">
        <v>146</v>
      </c>
      <c r="U357" s="2" t="s">
        <v>146</v>
      </c>
      <c r="V357" s="2" t="s">
        <v>146</v>
      </c>
      <c r="W357" s="2" t="s">
        <v>146</v>
      </c>
      <c r="X357" s="2" t="s">
        <v>146</v>
      </c>
      <c r="Y357" s="2" t="s">
        <v>146</v>
      </c>
      <c r="Z357" s="2" t="s">
        <v>146</v>
      </c>
      <c r="AA357" s="2" t="s">
        <v>146</v>
      </c>
      <c r="AB357" s="2" t="s">
        <v>146</v>
      </c>
      <c r="AC357" s="2" t="s">
        <v>146</v>
      </c>
      <c r="AD357" s="2" t="s">
        <v>146</v>
      </c>
      <c r="AE357" s="2" t="s">
        <v>146</v>
      </c>
      <c r="AF357" s="2" t="s">
        <v>146</v>
      </c>
      <c r="AG357" s="2" t="s">
        <v>146</v>
      </c>
      <c r="AH357" s="2" t="s">
        <v>146</v>
      </c>
      <c r="AI357" s="2" t="s">
        <v>146</v>
      </c>
      <c r="AJ357" s="2" t="s">
        <v>146</v>
      </c>
      <c r="AK357" s="2" t="s">
        <v>146</v>
      </c>
      <c r="AL357" s="2" t="s">
        <v>146</v>
      </c>
      <c r="AM357" s="2" t="s">
        <v>146</v>
      </c>
      <c r="AN357" s="2" t="s">
        <v>146</v>
      </c>
      <c r="AO357" s="2" t="s">
        <v>146</v>
      </c>
      <c r="AQ357" s="2">
        <f t="shared" si="55"/>
        <v>0</v>
      </c>
      <c r="AR357" s="2">
        <f t="shared" si="56"/>
        <v>0</v>
      </c>
      <c r="AT357" s="2">
        <f t="shared" si="57"/>
        <v>0</v>
      </c>
      <c r="AU357" s="2">
        <f t="shared" si="58"/>
        <v>0</v>
      </c>
      <c r="AV357" s="27" t="str">
        <f t="shared" si="59"/>
        <v/>
      </c>
      <c r="AY357" s="2">
        <f t="shared" si="60"/>
        <v>0</v>
      </c>
      <c r="AZ357" s="2">
        <f t="shared" si="61"/>
        <v>0</v>
      </c>
      <c r="BA357" s="2">
        <f t="shared" si="62"/>
        <v>0</v>
      </c>
      <c r="BB357" s="2">
        <f t="shared" si="63"/>
        <v>0</v>
      </c>
      <c r="BC357" s="2">
        <f t="shared" si="64"/>
        <v>0</v>
      </c>
      <c r="BD357" s="2">
        <f t="shared" si="65"/>
        <v>0</v>
      </c>
    </row>
    <row r="358" spans="1:56" ht="15" customHeight="1" x14ac:dyDescent="0.45">
      <c r="A358" s="2" t="s">
        <v>48</v>
      </c>
      <c r="B358" s="2" t="s">
        <v>216</v>
      </c>
      <c r="C358" s="2">
        <v>2019</v>
      </c>
      <c r="D358" s="2" t="s">
        <v>146</v>
      </c>
      <c r="E358" s="2" t="s">
        <v>146</v>
      </c>
      <c r="F358" s="2" t="s">
        <v>146</v>
      </c>
      <c r="G358" s="2" t="s">
        <v>146</v>
      </c>
      <c r="H358" s="2" t="s">
        <v>146</v>
      </c>
      <c r="I358" s="2" t="s">
        <v>146</v>
      </c>
      <c r="J358" s="2" t="s">
        <v>146</v>
      </c>
      <c r="K358" s="2" t="s">
        <v>146</v>
      </c>
      <c r="L358" s="2" t="s">
        <v>146</v>
      </c>
      <c r="M358" s="2" t="s">
        <v>146</v>
      </c>
      <c r="N358" s="2" t="s">
        <v>146</v>
      </c>
      <c r="O358" s="2" t="s">
        <v>146</v>
      </c>
      <c r="P358" s="2" t="s">
        <v>146</v>
      </c>
      <c r="Q358" s="2" t="s">
        <v>146</v>
      </c>
      <c r="R358" s="2" t="s">
        <v>146</v>
      </c>
      <c r="S358" s="2" t="s">
        <v>146</v>
      </c>
      <c r="T358" s="2" t="s">
        <v>146</v>
      </c>
      <c r="U358" s="2" t="s">
        <v>146</v>
      </c>
      <c r="V358" s="2" t="s">
        <v>146</v>
      </c>
      <c r="W358" s="2" t="s">
        <v>146</v>
      </c>
      <c r="X358" s="2" t="s">
        <v>146</v>
      </c>
      <c r="Y358" s="2" t="s">
        <v>146</v>
      </c>
      <c r="Z358" s="2" t="s">
        <v>146</v>
      </c>
      <c r="AA358" s="2" t="s">
        <v>146</v>
      </c>
      <c r="AB358" s="2" t="s">
        <v>146</v>
      </c>
      <c r="AC358" s="2" t="s">
        <v>146</v>
      </c>
      <c r="AD358" s="2" t="s">
        <v>146</v>
      </c>
      <c r="AE358" s="2" t="s">
        <v>146</v>
      </c>
      <c r="AF358" s="2" t="s">
        <v>146</v>
      </c>
      <c r="AG358" s="2" t="s">
        <v>146</v>
      </c>
      <c r="AH358" s="2" t="s">
        <v>155</v>
      </c>
      <c r="AI358" s="2" t="s">
        <v>146</v>
      </c>
      <c r="AJ358" s="2" t="s">
        <v>146</v>
      </c>
      <c r="AK358" s="2" t="s">
        <v>146</v>
      </c>
      <c r="AL358" s="2" t="s">
        <v>146</v>
      </c>
      <c r="AM358" s="2" t="s">
        <v>146</v>
      </c>
      <c r="AN358" s="2" t="s">
        <v>146</v>
      </c>
      <c r="AO358" s="2" t="s">
        <v>146</v>
      </c>
      <c r="AQ358" s="2">
        <f t="shared" si="55"/>
        <v>0</v>
      </c>
      <c r="AR358" s="2">
        <f t="shared" si="56"/>
        <v>0</v>
      </c>
      <c r="AT358" s="2">
        <f t="shared" si="57"/>
        <v>0</v>
      </c>
      <c r="AU358" s="2">
        <f t="shared" si="58"/>
        <v>0</v>
      </c>
      <c r="AV358" s="27" t="str">
        <f t="shared" si="59"/>
        <v/>
      </c>
      <c r="AY358" s="2">
        <f t="shared" si="60"/>
        <v>0</v>
      </c>
      <c r="AZ358" s="2">
        <f t="shared" si="61"/>
        <v>0</v>
      </c>
      <c r="BA358" s="2">
        <f t="shared" si="62"/>
        <v>0</v>
      </c>
      <c r="BB358" s="2">
        <f t="shared" si="63"/>
        <v>0</v>
      </c>
      <c r="BC358" s="2">
        <f t="shared" si="64"/>
        <v>0</v>
      </c>
      <c r="BD358" s="2">
        <f t="shared" si="65"/>
        <v>0</v>
      </c>
    </row>
    <row r="359" spans="1:56" ht="15" customHeight="1" x14ac:dyDescent="0.45">
      <c r="A359" s="2" t="s">
        <v>48</v>
      </c>
      <c r="B359" s="2" t="s">
        <v>215</v>
      </c>
      <c r="C359" s="2">
        <v>2019</v>
      </c>
      <c r="D359" s="2">
        <v>33.112000000000002</v>
      </c>
      <c r="E359" s="2">
        <v>0.63500000000000001</v>
      </c>
      <c r="F359" s="2" t="s">
        <v>146</v>
      </c>
      <c r="G359" s="2" t="s">
        <v>146</v>
      </c>
      <c r="H359" s="2" t="s">
        <v>146</v>
      </c>
      <c r="I359" s="2">
        <v>38.457999999999998</v>
      </c>
      <c r="J359" s="2" t="s">
        <v>146</v>
      </c>
      <c r="K359" s="2" t="s">
        <v>146</v>
      </c>
      <c r="L359" s="2" t="s">
        <v>146</v>
      </c>
      <c r="M359" s="2">
        <v>1.2310000000000001</v>
      </c>
      <c r="N359" s="2" t="s">
        <v>146</v>
      </c>
      <c r="O359" s="2" t="s">
        <v>146</v>
      </c>
      <c r="P359" s="2" t="s">
        <v>146</v>
      </c>
      <c r="Q359" s="2" t="s">
        <v>146</v>
      </c>
      <c r="R359" s="2" t="s">
        <v>146</v>
      </c>
      <c r="S359" s="2">
        <v>5.9189999999999996</v>
      </c>
      <c r="T359" s="2">
        <v>26.831</v>
      </c>
      <c r="U359" s="2" t="s">
        <v>146</v>
      </c>
      <c r="V359" s="2">
        <v>4.4770000000000003</v>
      </c>
      <c r="W359" s="2" t="s">
        <v>147</v>
      </c>
      <c r="X359" s="2" t="s">
        <v>146</v>
      </c>
      <c r="Y359" s="2" t="s">
        <v>146</v>
      </c>
      <c r="Z359" s="2" t="s">
        <v>146</v>
      </c>
      <c r="AA359" s="2" t="s">
        <v>146</v>
      </c>
      <c r="AB359" s="2" t="s">
        <v>146</v>
      </c>
      <c r="AC359" s="2" t="s">
        <v>146</v>
      </c>
      <c r="AD359" s="2" t="s">
        <v>146</v>
      </c>
      <c r="AE359" s="2" t="s">
        <v>146</v>
      </c>
      <c r="AF359" s="2" t="s">
        <v>146</v>
      </c>
      <c r="AG359" s="2" t="s">
        <v>146</v>
      </c>
      <c r="AH359" s="2" t="s">
        <v>155</v>
      </c>
      <c r="AI359" s="2" t="s">
        <v>146</v>
      </c>
      <c r="AJ359" s="2" t="s">
        <v>146</v>
      </c>
      <c r="AK359" s="2" t="s">
        <v>146</v>
      </c>
      <c r="AL359" s="2" t="s">
        <v>146</v>
      </c>
      <c r="AM359" s="2" t="s">
        <v>146</v>
      </c>
      <c r="AN359" s="2" t="s">
        <v>146</v>
      </c>
      <c r="AO359" s="2" t="s">
        <v>146</v>
      </c>
      <c r="AQ359" s="2">
        <f t="shared" si="55"/>
        <v>38.457999999999998</v>
      </c>
      <c r="AR359" s="2">
        <f t="shared" si="56"/>
        <v>38.457999999999998</v>
      </c>
      <c r="AT359" s="2">
        <f t="shared" si="57"/>
        <v>33.112000000000002</v>
      </c>
      <c r="AU359" s="2">
        <f t="shared" si="58"/>
        <v>0.63500000000000001</v>
      </c>
      <c r="AV359" s="27">
        <f t="shared" si="59"/>
        <v>0.87750273025118319</v>
      </c>
      <c r="AY359" s="2">
        <f t="shared" si="60"/>
        <v>0</v>
      </c>
      <c r="AZ359" s="2">
        <f t="shared" si="61"/>
        <v>0</v>
      </c>
      <c r="BA359" s="2">
        <f t="shared" si="62"/>
        <v>0</v>
      </c>
      <c r="BB359" s="2">
        <f t="shared" si="63"/>
        <v>0</v>
      </c>
      <c r="BC359" s="2">
        <f t="shared" si="64"/>
        <v>0</v>
      </c>
      <c r="BD359" s="2">
        <f t="shared" si="65"/>
        <v>0</v>
      </c>
    </row>
    <row r="360" spans="1:56" ht="15" customHeight="1" x14ac:dyDescent="0.45">
      <c r="A360" s="2" t="s">
        <v>48</v>
      </c>
      <c r="B360" s="2" t="s">
        <v>214</v>
      </c>
      <c r="C360" s="2">
        <v>2019</v>
      </c>
      <c r="D360" s="2">
        <v>104.218</v>
      </c>
      <c r="E360" s="2">
        <v>25.597999999999999</v>
      </c>
      <c r="F360" s="2" t="s">
        <v>146</v>
      </c>
      <c r="G360" s="2" t="s">
        <v>146</v>
      </c>
      <c r="H360" s="2" t="s">
        <v>146</v>
      </c>
      <c r="I360" s="2">
        <v>152.47499999999999</v>
      </c>
      <c r="J360" s="2" t="s">
        <v>146</v>
      </c>
      <c r="K360" s="2" t="s">
        <v>146</v>
      </c>
      <c r="L360" s="2" t="s">
        <v>146</v>
      </c>
      <c r="M360" s="2" t="s">
        <v>146</v>
      </c>
      <c r="N360" s="2" t="s">
        <v>146</v>
      </c>
      <c r="O360" s="2" t="s">
        <v>146</v>
      </c>
      <c r="P360" s="2" t="s">
        <v>146</v>
      </c>
      <c r="Q360" s="2">
        <v>1.954</v>
      </c>
      <c r="R360" s="2">
        <v>87.102999999999994</v>
      </c>
      <c r="S360" s="2" t="s">
        <v>146</v>
      </c>
      <c r="T360" s="2">
        <v>54.357999999999997</v>
      </c>
      <c r="U360" s="2" t="s">
        <v>146</v>
      </c>
      <c r="V360" s="2">
        <v>9.06</v>
      </c>
      <c r="W360" s="2" t="s">
        <v>147</v>
      </c>
      <c r="X360" s="2" t="s">
        <v>146</v>
      </c>
      <c r="Y360" s="2" t="s">
        <v>146</v>
      </c>
      <c r="Z360" s="2" t="s">
        <v>146</v>
      </c>
      <c r="AA360" s="2" t="s">
        <v>146</v>
      </c>
      <c r="AB360" s="2" t="s">
        <v>146</v>
      </c>
      <c r="AC360" s="2" t="s">
        <v>146</v>
      </c>
      <c r="AD360" s="2" t="s">
        <v>146</v>
      </c>
      <c r="AE360" s="2" t="s">
        <v>146</v>
      </c>
      <c r="AF360" s="2" t="s">
        <v>146</v>
      </c>
      <c r="AG360" s="2" t="s">
        <v>146</v>
      </c>
      <c r="AH360" s="2" t="s">
        <v>155</v>
      </c>
      <c r="AI360" s="2" t="s">
        <v>146</v>
      </c>
      <c r="AJ360" s="2" t="s">
        <v>146</v>
      </c>
      <c r="AK360" s="2" t="s">
        <v>146</v>
      </c>
      <c r="AL360" s="2">
        <v>100</v>
      </c>
      <c r="AM360" s="2">
        <v>0</v>
      </c>
      <c r="AN360" s="2">
        <v>0</v>
      </c>
      <c r="AO360" s="2">
        <v>0</v>
      </c>
      <c r="AQ360" s="2">
        <f t="shared" si="55"/>
        <v>152.47499999999999</v>
      </c>
      <c r="AR360" s="2">
        <f t="shared" si="56"/>
        <v>152.47499999999999</v>
      </c>
      <c r="AT360" s="2">
        <f t="shared" si="57"/>
        <v>104.218</v>
      </c>
      <c r="AU360" s="2">
        <f t="shared" si="58"/>
        <v>25.597999999999999</v>
      </c>
      <c r="AV360" s="27">
        <f t="shared" si="59"/>
        <v>0.85139203148057063</v>
      </c>
      <c r="AY360" s="2">
        <f t="shared" si="60"/>
        <v>0</v>
      </c>
      <c r="AZ360" s="2">
        <f t="shared" si="61"/>
        <v>0</v>
      </c>
      <c r="BA360" s="2">
        <f t="shared" si="62"/>
        <v>0</v>
      </c>
      <c r="BB360" s="2">
        <f t="shared" si="63"/>
        <v>0</v>
      </c>
      <c r="BC360" s="2">
        <f t="shared" si="64"/>
        <v>0</v>
      </c>
      <c r="BD360" s="2">
        <f t="shared" si="65"/>
        <v>0</v>
      </c>
    </row>
    <row r="361" spans="1:56" ht="15" customHeight="1" x14ac:dyDescent="0.45">
      <c r="A361" s="2" t="s">
        <v>48</v>
      </c>
      <c r="B361" s="2" t="s">
        <v>213</v>
      </c>
      <c r="C361" s="2">
        <v>2019</v>
      </c>
      <c r="D361" s="2" t="s">
        <v>146</v>
      </c>
      <c r="E361" s="2" t="s">
        <v>146</v>
      </c>
      <c r="F361" s="2" t="s">
        <v>146</v>
      </c>
      <c r="G361" s="2" t="s">
        <v>146</v>
      </c>
      <c r="H361" s="2" t="s">
        <v>146</v>
      </c>
      <c r="I361" s="2" t="s">
        <v>146</v>
      </c>
      <c r="J361" s="2" t="s">
        <v>146</v>
      </c>
      <c r="K361" s="2" t="s">
        <v>146</v>
      </c>
      <c r="L361" s="2" t="s">
        <v>146</v>
      </c>
      <c r="M361" s="2" t="s">
        <v>146</v>
      </c>
      <c r="N361" s="2" t="s">
        <v>146</v>
      </c>
      <c r="O361" s="2" t="s">
        <v>146</v>
      </c>
      <c r="P361" s="2" t="s">
        <v>146</v>
      </c>
      <c r="Q361" s="2" t="s">
        <v>146</v>
      </c>
      <c r="R361" s="2" t="s">
        <v>146</v>
      </c>
      <c r="S361" s="2" t="s">
        <v>146</v>
      </c>
      <c r="T361" s="2" t="s">
        <v>146</v>
      </c>
      <c r="U361" s="2" t="s">
        <v>146</v>
      </c>
      <c r="V361" s="2" t="s">
        <v>146</v>
      </c>
      <c r="W361" s="2" t="s">
        <v>146</v>
      </c>
      <c r="X361" s="2" t="s">
        <v>146</v>
      </c>
      <c r="Y361" s="2" t="s">
        <v>146</v>
      </c>
      <c r="Z361" s="2" t="s">
        <v>146</v>
      </c>
      <c r="AA361" s="2" t="s">
        <v>146</v>
      </c>
      <c r="AB361" s="2" t="s">
        <v>146</v>
      </c>
      <c r="AC361" s="2" t="s">
        <v>146</v>
      </c>
      <c r="AD361" s="2" t="s">
        <v>146</v>
      </c>
      <c r="AE361" s="2" t="s">
        <v>146</v>
      </c>
      <c r="AF361" s="2" t="s">
        <v>146</v>
      </c>
      <c r="AG361" s="2" t="s">
        <v>146</v>
      </c>
      <c r="AH361" s="2" t="s">
        <v>155</v>
      </c>
      <c r="AI361" s="2" t="s">
        <v>146</v>
      </c>
      <c r="AJ361" s="2" t="s">
        <v>146</v>
      </c>
      <c r="AK361" s="2" t="s">
        <v>146</v>
      </c>
      <c r="AL361" s="2" t="s">
        <v>146</v>
      </c>
      <c r="AM361" s="2" t="s">
        <v>146</v>
      </c>
      <c r="AN361" s="2" t="s">
        <v>146</v>
      </c>
      <c r="AO361" s="2" t="s">
        <v>146</v>
      </c>
      <c r="AQ361" s="2">
        <f t="shared" si="55"/>
        <v>0</v>
      </c>
      <c r="AR361" s="2">
        <f t="shared" si="56"/>
        <v>0</v>
      </c>
      <c r="AT361" s="2">
        <f t="shared" si="57"/>
        <v>0</v>
      </c>
      <c r="AU361" s="2">
        <f t="shared" si="58"/>
        <v>0</v>
      </c>
      <c r="AV361" s="27" t="str">
        <f t="shared" si="59"/>
        <v/>
      </c>
      <c r="AY361" s="2">
        <f t="shared" si="60"/>
        <v>0</v>
      </c>
      <c r="AZ361" s="2">
        <f t="shared" si="61"/>
        <v>0</v>
      </c>
      <c r="BA361" s="2">
        <f t="shared" si="62"/>
        <v>0</v>
      </c>
      <c r="BB361" s="2">
        <f t="shared" si="63"/>
        <v>0</v>
      </c>
      <c r="BC361" s="2">
        <f t="shared" si="64"/>
        <v>0</v>
      </c>
      <c r="BD361" s="2">
        <f t="shared" si="65"/>
        <v>0</v>
      </c>
    </row>
    <row r="362" spans="1:56" ht="15" customHeight="1" x14ac:dyDescent="0.45">
      <c r="A362" s="2" t="s">
        <v>48</v>
      </c>
      <c r="B362" s="2" t="s">
        <v>212</v>
      </c>
      <c r="C362" s="2">
        <v>2019</v>
      </c>
      <c r="D362" s="2" t="s">
        <v>146</v>
      </c>
      <c r="E362" s="2" t="s">
        <v>146</v>
      </c>
      <c r="F362" s="2" t="s">
        <v>146</v>
      </c>
      <c r="G362" s="2" t="s">
        <v>146</v>
      </c>
      <c r="H362" s="2" t="s">
        <v>146</v>
      </c>
      <c r="I362" s="2" t="s">
        <v>146</v>
      </c>
      <c r="J362" s="2" t="s">
        <v>146</v>
      </c>
      <c r="K362" s="2" t="s">
        <v>146</v>
      </c>
      <c r="L362" s="2" t="s">
        <v>146</v>
      </c>
      <c r="M362" s="2" t="s">
        <v>146</v>
      </c>
      <c r="N362" s="2" t="s">
        <v>146</v>
      </c>
      <c r="O362" s="2" t="s">
        <v>146</v>
      </c>
      <c r="P362" s="2" t="s">
        <v>146</v>
      </c>
      <c r="Q362" s="2" t="s">
        <v>146</v>
      </c>
      <c r="R362" s="2" t="s">
        <v>146</v>
      </c>
      <c r="S362" s="2" t="s">
        <v>146</v>
      </c>
      <c r="T362" s="2" t="s">
        <v>146</v>
      </c>
      <c r="U362" s="2" t="s">
        <v>146</v>
      </c>
      <c r="V362" s="2" t="s">
        <v>146</v>
      </c>
      <c r="W362" s="2" t="s">
        <v>146</v>
      </c>
      <c r="X362" s="2" t="s">
        <v>146</v>
      </c>
      <c r="Y362" s="2" t="s">
        <v>146</v>
      </c>
      <c r="Z362" s="2" t="s">
        <v>146</v>
      </c>
      <c r="AA362" s="2" t="s">
        <v>146</v>
      </c>
      <c r="AB362" s="2" t="s">
        <v>146</v>
      </c>
      <c r="AC362" s="2" t="s">
        <v>146</v>
      </c>
      <c r="AD362" s="2" t="s">
        <v>146</v>
      </c>
      <c r="AE362" s="2" t="s">
        <v>146</v>
      </c>
      <c r="AF362" s="2" t="s">
        <v>146</v>
      </c>
      <c r="AG362" s="2" t="s">
        <v>146</v>
      </c>
      <c r="AH362" s="2" t="s">
        <v>155</v>
      </c>
      <c r="AI362" s="2" t="s">
        <v>146</v>
      </c>
      <c r="AJ362" s="2" t="s">
        <v>146</v>
      </c>
      <c r="AK362" s="2" t="s">
        <v>146</v>
      </c>
      <c r="AL362" s="2" t="s">
        <v>146</v>
      </c>
      <c r="AM362" s="2" t="s">
        <v>146</v>
      </c>
      <c r="AN362" s="2" t="s">
        <v>146</v>
      </c>
      <c r="AO362" s="2" t="s">
        <v>146</v>
      </c>
      <c r="AQ362" s="2">
        <f t="shared" si="55"/>
        <v>0</v>
      </c>
      <c r="AR362" s="2">
        <f t="shared" si="56"/>
        <v>0</v>
      </c>
      <c r="AT362" s="2">
        <f t="shared" si="57"/>
        <v>0</v>
      </c>
      <c r="AU362" s="2">
        <f t="shared" si="58"/>
        <v>0</v>
      </c>
      <c r="AV362" s="27" t="str">
        <f t="shared" si="59"/>
        <v/>
      </c>
      <c r="AY362" s="2">
        <f t="shared" si="60"/>
        <v>0</v>
      </c>
      <c r="AZ362" s="2">
        <f t="shared" si="61"/>
        <v>0</v>
      </c>
      <c r="BA362" s="2">
        <f t="shared" si="62"/>
        <v>0</v>
      </c>
      <c r="BB362" s="2">
        <f t="shared" si="63"/>
        <v>0</v>
      </c>
      <c r="BC362" s="2">
        <f t="shared" si="64"/>
        <v>0</v>
      </c>
      <c r="BD362" s="2">
        <f t="shared" si="65"/>
        <v>0</v>
      </c>
    </row>
    <row r="363" spans="1:56" ht="15" customHeight="1" x14ac:dyDescent="0.45">
      <c r="A363" s="2" t="s">
        <v>48</v>
      </c>
      <c r="B363" s="2" t="s">
        <v>211</v>
      </c>
      <c r="C363" s="2">
        <v>2019</v>
      </c>
      <c r="D363" s="2" t="s">
        <v>146</v>
      </c>
      <c r="E363" s="2" t="s">
        <v>146</v>
      </c>
      <c r="F363" s="2" t="s">
        <v>146</v>
      </c>
      <c r="G363" s="2" t="s">
        <v>146</v>
      </c>
      <c r="H363" s="2" t="s">
        <v>146</v>
      </c>
      <c r="I363" s="2" t="s">
        <v>146</v>
      </c>
      <c r="J363" s="2" t="s">
        <v>146</v>
      </c>
      <c r="K363" s="2" t="s">
        <v>146</v>
      </c>
      <c r="L363" s="2" t="s">
        <v>146</v>
      </c>
      <c r="M363" s="2" t="s">
        <v>146</v>
      </c>
      <c r="N363" s="2" t="s">
        <v>146</v>
      </c>
      <c r="O363" s="2" t="s">
        <v>146</v>
      </c>
      <c r="P363" s="2" t="s">
        <v>146</v>
      </c>
      <c r="Q363" s="2" t="s">
        <v>146</v>
      </c>
      <c r="R363" s="2" t="s">
        <v>146</v>
      </c>
      <c r="S363" s="2" t="s">
        <v>146</v>
      </c>
      <c r="T363" s="2" t="s">
        <v>146</v>
      </c>
      <c r="U363" s="2" t="s">
        <v>146</v>
      </c>
      <c r="V363" s="2" t="s">
        <v>146</v>
      </c>
      <c r="W363" s="2" t="s">
        <v>146</v>
      </c>
      <c r="X363" s="2" t="s">
        <v>146</v>
      </c>
      <c r="Y363" s="2" t="s">
        <v>146</v>
      </c>
      <c r="Z363" s="2" t="s">
        <v>146</v>
      </c>
      <c r="AA363" s="2" t="s">
        <v>146</v>
      </c>
      <c r="AB363" s="2" t="s">
        <v>146</v>
      </c>
      <c r="AC363" s="2" t="s">
        <v>146</v>
      </c>
      <c r="AD363" s="2" t="s">
        <v>146</v>
      </c>
      <c r="AE363" s="2" t="s">
        <v>146</v>
      </c>
      <c r="AF363" s="2" t="s">
        <v>146</v>
      </c>
      <c r="AG363" s="2" t="s">
        <v>146</v>
      </c>
      <c r="AH363" s="2" t="s">
        <v>146</v>
      </c>
      <c r="AI363" s="2" t="s">
        <v>146</v>
      </c>
      <c r="AJ363" s="2" t="s">
        <v>146</v>
      </c>
      <c r="AK363" s="2" t="s">
        <v>146</v>
      </c>
      <c r="AL363" s="2" t="s">
        <v>146</v>
      </c>
      <c r="AM363" s="2" t="s">
        <v>146</v>
      </c>
      <c r="AN363" s="2" t="s">
        <v>146</v>
      </c>
      <c r="AO363" s="2" t="s">
        <v>146</v>
      </c>
      <c r="AQ363" s="2">
        <f t="shared" si="55"/>
        <v>0</v>
      </c>
      <c r="AR363" s="2">
        <f t="shared" si="56"/>
        <v>0</v>
      </c>
      <c r="AT363" s="2">
        <f t="shared" si="57"/>
        <v>0</v>
      </c>
      <c r="AU363" s="2">
        <f t="shared" si="58"/>
        <v>0</v>
      </c>
      <c r="AV363" s="27" t="str">
        <f t="shared" si="59"/>
        <v/>
      </c>
      <c r="AY363" s="2">
        <f t="shared" si="60"/>
        <v>0</v>
      </c>
      <c r="AZ363" s="2">
        <f t="shared" si="61"/>
        <v>0</v>
      </c>
      <c r="BA363" s="2">
        <f t="shared" si="62"/>
        <v>0</v>
      </c>
      <c r="BB363" s="2">
        <f t="shared" si="63"/>
        <v>0</v>
      </c>
      <c r="BC363" s="2">
        <f t="shared" si="64"/>
        <v>0</v>
      </c>
      <c r="BD363" s="2">
        <f t="shared" si="65"/>
        <v>0</v>
      </c>
    </row>
    <row r="364" spans="1:56" ht="15" customHeight="1" x14ac:dyDescent="0.45">
      <c r="A364" s="2" t="s">
        <v>48</v>
      </c>
      <c r="B364" s="2" t="s">
        <v>210</v>
      </c>
      <c r="C364" s="2">
        <v>2019</v>
      </c>
      <c r="D364" s="2" t="s">
        <v>146</v>
      </c>
      <c r="E364" s="2" t="s">
        <v>146</v>
      </c>
      <c r="F364" s="2" t="s">
        <v>146</v>
      </c>
      <c r="G364" s="2" t="s">
        <v>146</v>
      </c>
      <c r="H364" s="2" t="s">
        <v>146</v>
      </c>
      <c r="I364" s="2" t="s">
        <v>146</v>
      </c>
      <c r="J364" s="2" t="s">
        <v>146</v>
      </c>
      <c r="K364" s="2" t="s">
        <v>146</v>
      </c>
      <c r="L364" s="2" t="s">
        <v>146</v>
      </c>
      <c r="M364" s="2" t="s">
        <v>146</v>
      </c>
      <c r="N364" s="2" t="s">
        <v>146</v>
      </c>
      <c r="O364" s="2" t="s">
        <v>146</v>
      </c>
      <c r="P364" s="2" t="s">
        <v>146</v>
      </c>
      <c r="Q364" s="2" t="s">
        <v>146</v>
      </c>
      <c r="R364" s="2" t="s">
        <v>146</v>
      </c>
      <c r="S364" s="2" t="s">
        <v>146</v>
      </c>
      <c r="T364" s="2" t="s">
        <v>146</v>
      </c>
      <c r="U364" s="2" t="s">
        <v>146</v>
      </c>
      <c r="V364" s="2" t="s">
        <v>146</v>
      </c>
      <c r="W364" s="2" t="s">
        <v>146</v>
      </c>
      <c r="X364" s="2" t="s">
        <v>146</v>
      </c>
      <c r="Y364" s="2" t="s">
        <v>146</v>
      </c>
      <c r="Z364" s="2" t="s">
        <v>146</v>
      </c>
      <c r="AA364" s="2" t="s">
        <v>146</v>
      </c>
      <c r="AB364" s="2" t="s">
        <v>146</v>
      </c>
      <c r="AC364" s="2" t="s">
        <v>146</v>
      </c>
      <c r="AD364" s="2" t="s">
        <v>146</v>
      </c>
      <c r="AE364" s="2" t="s">
        <v>146</v>
      </c>
      <c r="AF364" s="2" t="s">
        <v>146</v>
      </c>
      <c r="AG364" s="2" t="s">
        <v>146</v>
      </c>
      <c r="AH364" s="2" t="s">
        <v>155</v>
      </c>
      <c r="AI364" s="2" t="s">
        <v>146</v>
      </c>
      <c r="AJ364" s="2" t="s">
        <v>146</v>
      </c>
      <c r="AK364" s="2" t="s">
        <v>146</v>
      </c>
      <c r="AL364" s="2" t="s">
        <v>146</v>
      </c>
      <c r="AM364" s="2" t="s">
        <v>146</v>
      </c>
      <c r="AN364" s="2" t="s">
        <v>146</v>
      </c>
      <c r="AO364" s="2" t="s">
        <v>146</v>
      </c>
      <c r="AQ364" s="2">
        <f t="shared" si="55"/>
        <v>0</v>
      </c>
      <c r="AR364" s="2">
        <f t="shared" si="56"/>
        <v>0</v>
      </c>
      <c r="AT364" s="2">
        <f t="shared" si="57"/>
        <v>0</v>
      </c>
      <c r="AU364" s="2">
        <f t="shared" si="58"/>
        <v>0</v>
      </c>
      <c r="AV364" s="27" t="str">
        <f t="shared" si="59"/>
        <v/>
      </c>
      <c r="AY364" s="2">
        <f t="shared" si="60"/>
        <v>0</v>
      </c>
      <c r="AZ364" s="2">
        <f t="shared" si="61"/>
        <v>0</v>
      </c>
      <c r="BA364" s="2">
        <f t="shared" si="62"/>
        <v>0</v>
      </c>
      <c r="BB364" s="2">
        <f t="shared" si="63"/>
        <v>0</v>
      </c>
      <c r="BC364" s="2">
        <f t="shared" si="64"/>
        <v>0</v>
      </c>
      <c r="BD364" s="2">
        <f t="shared" si="65"/>
        <v>0</v>
      </c>
    </row>
    <row r="365" spans="1:56" ht="15" customHeight="1" x14ac:dyDescent="0.45">
      <c r="A365" s="2" t="s">
        <v>48</v>
      </c>
      <c r="B365" s="2" t="s">
        <v>209</v>
      </c>
      <c r="C365" s="2">
        <v>2019</v>
      </c>
      <c r="D365" s="2">
        <v>19.472999999999999</v>
      </c>
      <c r="E365" s="2">
        <v>3.448</v>
      </c>
      <c r="F365" s="2" t="s">
        <v>146</v>
      </c>
      <c r="G365" s="2" t="s">
        <v>146</v>
      </c>
      <c r="H365" s="2" t="s">
        <v>146</v>
      </c>
      <c r="I365" s="2">
        <v>26.286999999999999</v>
      </c>
      <c r="J365" s="2" t="s">
        <v>146</v>
      </c>
      <c r="K365" s="2">
        <v>0.221</v>
      </c>
      <c r="L365" s="2" t="s">
        <v>146</v>
      </c>
      <c r="M365" s="2">
        <v>0.114</v>
      </c>
      <c r="N365" s="2" t="s">
        <v>146</v>
      </c>
      <c r="O365" s="2" t="s">
        <v>146</v>
      </c>
      <c r="P365" s="2" t="s">
        <v>146</v>
      </c>
      <c r="Q365" s="2">
        <v>2.69</v>
      </c>
      <c r="R365" s="2" t="s">
        <v>146</v>
      </c>
      <c r="S365" s="2">
        <v>0.315</v>
      </c>
      <c r="T365" s="2" t="s">
        <v>146</v>
      </c>
      <c r="U365" s="2" t="s">
        <v>146</v>
      </c>
      <c r="V365" s="2" t="s">
        <v>146</v>
      </c>
      <c r="W365" s="2" t="s">
        <v>147</v>
      </c>
      <c r="X365" s="2" t="s">
        <v>146</v>
      </c>
      <c r="Y365" s="2" t="s">
        <v>146</v>
      </c>
      <c r="Z365" s="2" t="s">
        <v>146</v>
      </c>
      <c r="AA365" s="2">
        <v>21.686</v>
      </c>
      <c r="AB365" s="2" t="s">
        <v>146</v>
      </c>
      <c r="AC365" s="2" t="s">
        <v>146</v>
      </c>
      <c r="AD365" s="2" t="s">
        <v>146</v>
      </c>
      <c r="AE365" s="2" t="s">
        <v>146</v>
      </c>
      <c r="AF365" s="2">
        <v>1.2609999999999999</v>
      </c>
      <c r="AG365" s="2" t="s">
        <v>146</v>
      </c>
      <c r="AH365" s="2" t="s">
        <v>155</v>
      </c>
      <c r="AI365" s="2" t="s">
        <v>146</v>
      </c>
      <c r="AJ365" s="2" t="s">
        <v>146</v>
      </c>
      <c r="AK365" s="2" t="s">
        <v>146</v>
      </c>
      <c r="AL365" s="2" t="s">
        <v>146</v>
      </c>
      <c r="AM365" s="2" t="s">
        <v>146</v>
      </c>
      <c r="AN365" s="2" t="s">
        <v>146</v>
      </c>
      <c r="AO365" s="2" t="s">
        <v>146</v>
      </c>
      <c r="AQ365" s="2">
        <f t="shared" si="55"/>
        <v>26.286999999999999</v>
      </c>
      <c r="AR365" s="2">
        <f t="shared" si="56"/>
        <v>26.286999999999999</v>
      </c>
      <c r="AT365" s="2">
        <f t="shared" si="57"/>
        <v>19.472999999999999</v>
      </c>
      <c r="AU365" s="2">
        <f t="shared" si="58"/>
        <v>3.448</v>
      </c>
      <c r="AV365" s="27">
        <f t="shared" si="59"/>
        <v>0.87195191539544259</v>
      </c>
      <c r="AY365" s="2">
        <f t="shared" si="60"/>
        <v>0</v>
      </c>
      <c r="AZ365" s="2">
        <f t="shared" si="61"/>
        <v>0</v>
      </c>
      <c r="BA365" s="2">
        <f t="shared" si="62"/>
        <v>0</v>
      </c>
      <c r="BB365" s="2">
        <f t="shared" si="63"/>
        <v>0</v>
      </c>
      <c r="BC365" s="2">
        <f t="shared" si="64"/>
        <v>0</v>
      </c>
      <c r="BD365" s="2">
        <f t="shared" si="65"/>
        <v>0</v>
      </c>
    </row>
    <row r="366" spans="1:56" ht="15" customHeight="1" x14ac:dyDescent="0.45">
      <c r="A366" s="2" t="s">
        <v>48</v>
      </c>
      <c r="B366" s="2" t="s">
        <v>208</v>
      </c>
      <c r="C366" s="2">
        <v>2019</v>
      </c>
      <c r="D366" s="2" t="s">
        <v>146</v>
      </c>
      <c r="E366" s="2" t="s">
        <v>146</v>
      </c>
      <c r="F366" s="2" t="s">
        <v>146</v>
      </c>
      <c r="G366" s="2" t="s">
        <v>146</v>
      </c>
      <c r="H366" s="2" t="s">
        <v>146</v>
      </c>
      <c r="I366" s="2" t="s">
        <v>146</v>
      </c>
      <c r="J366" s="2" t="s">
        <v>146</v>
      </c>
      <c r="K366" s="2" t="s">
        <v>146</v>
      </c>
      <c r="L366" s="2" t="s">
        <v>146</v>
      </c>
      <c r="M366" s="2" t="s">
        <v>146</v>
      </c>
      <c r="N366" s="2" t="s">
        <v>146</v>
      </c>
      <c r="O366" s="2" t="s">
        <v>146</v>
      </c>
      <c r="P366" s="2" t="s">
        <v>146</v>
      </c>
      <c r="Q366" s="2" t="s">
        <v>146</v>
      </c>
      <c r="R366" s="2" t="s">
        <v>146</v>
      </c>
      <c r="S366" s="2" t="s">
        <v>146</v>
      </c>
      <c r="T366" s="2" t="s">
        <v>146</v>
      </c>
      <c r="U366" s="2" t="s">
        <v>146</v>
      </c>
      <c r="V366" s="2" t="s">
        <v>146</v>
      </c>
      <c r="W366" s="2" t="s">
        <v>146</v>
      </c>
      <c r="X366" s="2" t="s">
        <v>146</v>
      </c>
      <c r="Y366" s="2" t="s">
        <v>146</v>
      </c>
      <c r="Z366" s="2" t="s">
        <v>146</v>
      </c>
      <c r="AA366" s="2" t="s">
        <v>146</v>
      </c>
      <c r="AB366" s="2" t="s">
        <v>146</v>
      </c>
      <c r="AC366" s="2" t="s">
        <v>146</v>
      </c>
      <c r="AD366" s="2" t="s">
        <v>146</v>
      </c>
      <c r="AE366" s="2" t="s">
        <v>146</v>
      </c>
      <c r="AF366" s="2" t="s">
        <v>146</v>
      </c>
      <c r="AG366" s="2" t="s">
        <v>146</v>
      </c>
      <c r="AH366" s="2" t="s">
        <v>155</v>
      </c>
      <c r="AI366" s="2" t="s">
        <v>146</v>
      </c>
      <c r="AJ366" s="2" t="s">
        <v>146</v>
      </c>
      <c r="AK366" s="2" t="s">
        <v>146</v>
      </c>
      <c r="AL366" s="2" t="s">
        <v>146</v>
      </c>
      <c r="AM366" s="2" t="s">
        <v>146</v>
      </c>
      <c r="AN366" s="2" t="s">
        <v>146</v>
      </c>
      <c r="AO366" s="2" t="s">
        <v>146</v>
      </c>
      <c r="AQ366" s="2">
        <f t="shared" si="55"/>
        <v>0</v>
      </c>
      <c r="AR366" s="2">
        <f t="shared" si="56"/>
        <v>0</v>
      </c>
      <c r="AT366" s="2">
        <f t="shared" si="57"/>
        <v>0</v>
      </c>
      <c r="AU366" s="2">
        <f t="shared" si="58"/>
        <v>0</v>
      </c>
      <c r="AV366" s="27" t="str">
        <f t="shared" si="59"/>
        <v/>
      </c>
      <c r="AY366" s="2">
        <f t="shared" si="60"/>
        <v>0</v>
      </c>
      <c r="AZ366" s="2">
        <f t="shared" si="61"/>
        <v>0</v>
      </c>
      <c r="BA366" s="2">
        <f t="shared" si="62"/>
        <v>0</v>
      </c>
      <c r="BB366" s="2">
        <f t="shared" si="63"/>
        <v>0</v>
      </c>
      <c r="BC366" s="2">
        <f t="shared" si="64"/>
        <v>0</v>
      </c>
      <c r="BD366" s="2">
        <f t="shared" si="65"/>
        <v>0</v>
      </c>
    </row>
    <row r="367" spans="1:56" ht="15" customHeight="1" x14ac:dyDescent="0.45">
      <c r="A367" s="2" t="s">
        <v>48</v>
      </c>
      <c r="B367" s="2" t="s">
        <v>207</v>
      </c>
      <c r="C367" s="2">
        <v>2019</v>
      </c>
      <c r="D367" s="2" t="s">
        <v>146</v>
      </c>
      <c r="E367" s="2" t="s">
        <v>146</v>
      </c>
      <c r="F367" s="2" t="s">
        <v>146</v>
      </c>
      <c r="G367" s="2" t="s">
        <v>146</v>
      </c>
      <c r="H367" s="2" t="s">
        <v>146</v>
      </c>
      <c r="I367" s="2" t="s">
        <v>146</v>
      </c>
      <c r="J367" s="2" t="s">
        <v>146</v>
      </c>
      <c r="K367" s="2" t="s">
        <v>146</v>
      </c>
      <c r="L367" s="2" t="s">
        <v>146</v>
      </c>
      <c r="M367" s="2" t="s">
        <v>146</v>
      </c>
      <c r="N367" s="2" t="s">
        <v>146</v>
      </c>
      <c r="O367" s="2" t="s">
        <v>146</v>
      </c>
      <c r="P367" s="2" t="s">
        <v>146</v>
      </c>
      <c r="Q367" s="2" t="s">
        <v>146</v>
      </c>
      <c r="R367" s="2" t="s">
        <v>146</v>
      </c>
      <c r="S367" s="2" t="s">
        <v>146</v>
      </c>
      <c r="T367" s="2" t="s">
        <v>146</v>
      </c>
      <c r="U367" s="2" t="s">
        <v>146</v>
      </c>
      <c r="V367" s="2" t="s">
        <v>146</v>
      </c>
      <c r="W367" s="2" t="s">
        <v>146</v>
      </c>
      <c r="X367" s="2" t="s">
        <v>146</v>
      </c>
      <c r="Y367" s="2" t="s">
        <v>146</v>
      </c>
      <c r="Z367" s="2" t="s">
        <v>146</v>
      </c>
      <c r="AA367" s="2" t="s">
        <v>146</v>
      </c>
      <c r="AB367" s="2" t="s">
        <v>146</v>
      </c>
      <c r="AC367" s="2" t="s">
        <v>146</v>
      </c>
      <c r="AD367" s="2" t="s">
        <v>146</v>
      </c>
      <c r="AE367" s="2" t="s">
        <v>146</v>
      </c>
      <c r="AF367" s="2" t="s">
        <v>146</v>
      </c>
      <c r="AG367" s="2" t="s">
        <v>146</v>
      </c>
      <c r="AH367" s="2" t="s">
        <v>146</v>
      </c>
      <c r="AI367" s="2" t="s">
        <v>146</v>
      </c>
      <c r="AJ367" s="2" t="s">
        <v>146</v>
      </c>
      <c r="AK367" s="2" t="s">
        <v>146</v>
      </c>
      <c r="AL367" s="2" t="s">
        <v>146</v>
      </c>
      <c r="AM367" s="2" t="s">
        <v>146</v>
      </c>
      <c r="AN367" s="2" t="s">
        <v>146</v>
      </c>
      <c r="AO367" s="2" t="s">
        <v>146</v>
      </c>
      <c r="AQ367" s="2">
        <f t="shared" si="55"/>
        <v>0</v>
      </c>
      <c r="AR367" s="2">
        <f t="shared" si="56"/>
        <v>0</v>
      </c>
      <c r="AT367" s="2">
        <f t="shared" si="57"/>
        <v>0</v>
      </c>
      <c r="AU367" s="2">
        <f t="shared" si="58"/>
        <v>0</v>
      </c>
      <c r="AV367" s="27" t="str">
        <f t="shared" si="59"/>
        <v/>
      </c>
      <c r="AY367" s="2">
        <f t="shared" si="60"/>
        <v>0</v>
      </c>
      <c r="AZ367" s="2">
        <f t="shared" si="61"/>
        <v>0</v>
      </c>
      <c r="BA367" s="2">
        <f t="shared" si="62"/>
        <v>0</v>
      </c>
      <c r="BB367" s="2">
        <f t="shared" si="63"/>
        <v>0</v>
      </c>
      <c r="BC367" s="2">
        <f t="shared" si="64"/>
        <v>0</v>
      </c>
      <c r="BD367" s="2">
        <f t="shared" si="65"/>
        <v>0</v>
      </c>
    </row>
    <row r="368" spans="1:56" ht="15" customHeight="1" x14ac:dyDescent="0.45">
      <c r="A368" s="2" t="s">
        <v>48</v>
      </c>
      <c r="B368" s="2" t="s">
        <v>206</v>
      </c>
      <c r="C368" s="2">
        <v>2019</v>
      </c>
      <c r="D368" s="2" t="s">
        <v>146</v>
      </c>
      <c r="E368" s="2" t="s">
        <v>146</v>
      </c>
      <c r="F368" s="2" t="s">
        <v>146</v>
      </c>
      <c r="G368" s="2" t="s">
        <v>146</v>
      </c>
      <c r="H368" s="2" t="s">
        <v>146</v>
      </c>
      <c r="I368" s="2" t="s">
        <v>146</v>
      </c>
      <c r="J368" s="2" t="s">
        <v>146</v>
      </c>
      <c r="K368" s="2" t="s">
        <v>146</v>
      </c>
      <c r="L368" s="2" t="s">
        <v>146</v>
      </c>
      <c r="M368" s="2" t="s">
        <v>146</v>
      </c>
      <c r="N368" s="2" t="s">
        <v>146</v>
      </c>
      <c r="O368" s="2" t="s">
        <v>146</v>
      </c>
      <c r="P368" s="2" t="s">
        <v>146</v>
      </c>
      <c r="Q368" s="2" t="s">
        <v>146</v>
      </c>
      <c r="R368" s="2" t="s">
        <v>146</v>
      </c>
      <c r="S368" s="2" t="s">
        <v>146</v>
      </c>
      <c r="T368" s="2" t="s">
        <v>146</v>
      </c>
      <c r="U368" s="2" t="s">
        <v>146</v>
      </c>
      <c r="V368" s="2" t="s">
        <v>146</v>
      </c>
      <c r="W368" s="2" t="s">
        <v>146</v>
      </c>
      <c r="X368" s="2" t="s">
        <v>146</v>
      </c>
      <c r="Y368" s="2" t="s">
        <v>146</v>
      </c>
      <c r="Z368" s="2" t="s">
        <v>146</v>
      </c>
      <c r="AA368" s="2" t="s">
        <v>146</v>
      </c>
      <c r="AB368" s="2" t="s">
        <v>146</v>
      </c>
      <c r="AC368" s="2" t="s">
        <v>146</v>
      </c>
      <c r="AD368" s="2" t="s">
        <v>146</v>
      </c>
      <c r="AE368" s="2" t="s">
        <v>146</v>
      </c>
      <c r="AF368" s="2" t="s">
        <v>146</v>
      </c>
      <c r="AG368" s="2" t="s">
        <v>146</v>
      </c>
      <c r="AH368" s="2" t="s">
        <v>155</v>
      </c>
      <c r="AI368" s="2" t="s">
        <v>146</v>
      </c>
      <c r="AJ368" s="2" t="s">
        <v>146</v>
      </c>
      <c r="AK368" s="2" t="s">
        <v>146</v>
      </c>
      <c r="AL368" s="2" t="s">
        <v>146</v>
      </c>
      <c r="AM368" s="2" t="s">
        <v>146</v>
      </c>
      <c r="AN368" s="2" t="s">
        <v>146</v>
      </c>
      <c r="AO368" s="2" t="s">
        <v>146</v>
      </c>
      <c r="AQ368" s="2">
        <f t="shared" si="55"/>
        <v>0</v>
      </c>
      <c r="AR368" s="2">
        <f t="shared" si="56"/>
        <v>0</v>
      </c>
      <c r="AT368" s="2">
        <f t="shared" si="57"/>
        <v>0</v>
      </c>
      <c r="AU368" s="2">
        <f t="shared" si="58"/>
        <v>0</v>
      </c>
      <c r="AV368" s="27" t="str">
        <f t="shared" si="59"/>
        <v/>
      </c>
      <c r="AY368" s="2">
        <f t="shared" si="60"/>
        <v>0</v>
      </c>
      <c r="AZ368" s="2">
        <f t="shared" si="61"/>
        <v>0</v>
      </c>
      <c r="BA368" s="2">
        <f t="shared" si="62"/>
        <v>0</v>
      </c>
      <c r="BB368" s="2">
        <f t="shared" si="63"/>
        <v>0</v>
      </c>
      <c r="BC368" s="2">
        <f t="shared" si="64"/>
        <v>0</v>
      </c>
      <c r="BD368" s="2">
        <f t="shared" si="65"/>
        <v>0</v>
      </c>
    </row>
    <row r="369" spans="1:56" ht="15" customHeight="1" x14ac:dyDescent="0.45">
      <c r="A369" s="2" t="s">
        <v>48</v>
      </c>
      <c r="B369" s="2" t="s">
        <v>205</v>
      </c>
      <c r="C369" s="2">
        <v>2019</v>
      </c>
      <c r="D369" s="2" t="s">
        <v>146</v>
      </c>
      <c r="E369" s="2" t="s">
        <v>146</v>
      </c>
      <c r="F369" s="2" t="s">
        <v>146</v>
      </c>
      <c r="G369" s="2" t="s">
        <v>146</v>
      </c>
      <c r="H369" s="2" t="s">
        <v>146</v>
      </c>
      <c r="I369" s="2" t="s">
        <v>146</v>
      </c>
      <c r="J369" s="2" t="s">
        <v>146</v>
      </c>
      <c r="K369" s="2" t="s">
        <v>146</v>
      </c>
      <c r="L369" s="2" t="s">
        <v>146</v>
      </c>
      <c r="M369" s="2" t="s">
        <v>146</v>
      </c>
      <c r="N369" s="2" t="s">
        <v>146</v>
      </c>
      <c r="O369" s="2" t="s">
        <v>146</v>
      </c>
      <c r="P369" s="2" t="s">
        <v>146</v>
      </c>
      <c r="Q369" s="2" t="s">
        <v>146</v>
      </c>
      <c r="R369" s="2" t="s">
        <v>146</v>
      </c>
      <c r="S369" s="2" t="s">
        <v>146</v>
      </c>
      <c r="T369" s="2" t="s">
        <v>146</v>
      </c>
      <c r="U369" s="2" t="s">
        <v>146</v>
      </c>
      <c r="V369" s="2" t="s">
        <v>146</v>
      </c>
      <c r="W369" s="2" t="s">
        <v>146</v>
      </c>
      <c r="X369" s="2" t="s">
        <v>146</v>
      </c>
      <c r="Y369" s="2" t="s">
        <v>146</v>
      </c>
      <c r="Z369" s="2" t="s">
        <v>146</v>
      </c>
      <c r="AA369" s="2" t="s">
        <v>146</v>
      </c>
      <c r="AB369" s="2" t="s">
        <v>146</v>
      </c>
      <c r="AC369" s="2" t="s">
        <v>146</v>
      </c>
      <c r="AD369" s="2" t="s">
        <v>146</v>
      </c>
      <c r="AE369" s="2" t="s">
        <v>146</v>
      </c>
      <c r="AF369" s="2" t="s">
        <v>146</v>
      </c>
      <c r="AG369" s="2" t="s">
        <v>146</v>
      </c>
      <c r="AH369" s="2" t="s">
        <v>155</v>
      </c>
      <c r="AI369" s="2" t="s">
        <v>146</v>
      </c>
      <c r="AJ369" s="2" t="s">
        <v>146</v>
      </c>
      <c r="AK369" s="2" t="s">
        <v>146</v>
      </c>
      <c r="AL369" s="2" t="s">
        <v>146</v>
      </c>
      <c r="AM369" s="2" t="s">
        <v>146</v>
      </c>
      <c r="AN369" s="2" t="s">
        <v>146</v>
      </c>
      <c r="AO369" s="2" t="s">
        <v>146</v>
      </c>
      <c r="AQ369" s="2">
        <f t="shared" si="55"/>
        <v>0</v>
      </c>
      <c r="AR369" s="2">
        <f t="shared" si="56"/>
        <v>0</v>
      </c>
      <c r="AT369" s="2">
        <f t="shared" si="57"/>
        <v>0</v>
      </c>
      <c r="AU369" s="2">
        <f t="shared" si="58"/>
        <v>0</v>
      </c>
      <c r="AV369" s="27" t="str">
        <f t="shared" si="59"/>
        <v/>
      </c>
      <c r="AY369" s="2">
        <f t="shared" si="60"/>
        <v>0</v>
      </c>
      <c r="AZ369" s="2">
        <f t="shared" si="61"/>
        <v>0</v>
      </c>
      <c r="BA369" s="2">
        <f t="shared" si="62"/>
        <v>0</v>
      </c>
      <c r="BB369" s="2">
        <f t="shared" si="63"/>
        <v>0</v>
      </c>
      <c r="BC369" s="2">
        <f t="shared" si="64"/>
        <v>0</v>
      </c>
      <c r="BD369" s="2">
        <f t="shared" si="65"/>
        <v>0</v>
      </c>
    </row>
    <row r="370" spans="1:56" ht="15" customHeight="1" x14ac:dyDescent="0.45">
      <c r="A370" s="2" t="s">
        <v>48</v>
      </c>
      <c r="B370" s="2" t="s">
        <v>204</v>
      </c>
      <c r="C370" s="2">
        <v>2019</v>
      </c>
      <c r="D370" s="2" t="s">
        <v>49</v>
      </c>
      <c r="E370" s="2" t="s">
        <v>49</v>
      </c>
      <c r="F370" s="2" t="s">
        <v>49</v>
      </c>
      <c r="G370" s="2" t="s">
        <v>49</v>
      </c>
      <c r="H370" s="2" t="s">
        <v>49</v>
      </c>
      <c r="I370" s="2" t="s">
        <v>49</v>
      </c>
      <c r="J370" s="2" t="s">
        <v>49</v>
      </c>
      <c r="K370" s="2" t="s">
        <v>49</v>
      </c>
      <c r="L370" s="2" t="s">
        <v>49</v>
      </c>
      <c r="M370" s="2" t="s">
        <v>49</v>
      </c>
      <c r="N370" s="2" t="s">
        <v>49</v>
      </c>
      <c r="O370" s="2" t="s">
        <v>49</v>
      </c>
      <c r="P370" s="2" t="s">
        <v>49</v>
      </c>
      <c r="Q370" s="2" t="s">
        <v>49</v>
      </c>
      <c r="R370" s="2" t="s">
        <v>49</v>
      </c>
      <c r="S370" s="2" t="s">
        <v>49</v>
      </c>
      <c r="T370" s="2" t="s">
        <v>49</v>
      </c>
      <c r="U370" s="2" t="s">
        <v>49</v>
      </c>
      <c r="V370" s="2" t="s">
        <v>49</v>
      </c>
      <c r="W370" s="2" t="s">
        <v>49</v>
      </c>
      <c r="X370" s="2" t="s">
        <v>49</v>
      </c>
      <c r="Y370" s="2" t="s">
        <v>49</v>
      </c>
      <c r="Z370" s="2" t="s">
        <v>49</v>
      </c>
      <c r="AA370" s="2" t="s">
        <v>49</v>
      </c>
      <c r="AB370" s="2" t="s">
        <v>49</v>
      </c>
      <c r="AC370" s="2" t="s">
        <v>49</v>
      </c>
      <c r="AD370" s="2" t="s">
        <v>49</v>
      </c>
      <c r="AE370" s="2" t="s">
        <v>49</v>
      </c>
      <c r="AF370" s="2" t="s">
        <v>49</v>
      </c>
      <c r="AG370" s="2" t="s">
        <v>49</v>
      </c>
      <c r="AH370" s="2" t="s">
        <v>49</v>
      </c>
      <c r="AI370" s="2" t="s">
        <v>49</v>
      </c>
      <c r="AJ370" s="2" t="s">
        <v>49</v>
      </c>
      <c r="AK370" s="2" t="s">
        <v>49</v>
      </c>
      <c r="AL370" s="2" t="s">
        <v>49</v>
      </c>
      <c r="AM370" s="2" t="s">
        <v>49</v>
      </c>
      <c r="AN370" s="2" t="s">
        <v>49</v>
      </c>
      <c r="AO370" s="2" t="s">
        <v>49</v>
      </c>
      <c r="AQ370" s="2">
        <f t="shared" si="55"/>
        <v>0</v>
      </c>
      <c r="AR370" s="2">
        <f t="shared" si="56"/>
        <v>0</v>
      </c>
      <c r="AT370" s="2">
        <f t="shared" si="57"/>
        <v>0</v>
      </c>
      <c r="AU370" s="2">
        <f t="shared" si="58"/>
        <v>0</v>
      </c>
      <c r="AV370" s="27" t="str">
        <f t="shared" si="59"/>
        <v/>
      </c>
      <c r="AY370" s="2">
        <f t="shared" si="60"/>
        <v>0</v>
      </c>
      <c r="AZ370" s="2">
        <f t="shared" si="61"/>
        <v>0</v>
      </c>
      <c r="BA370" s="2">
        <f t="shared" si="62"/>
        <v>0</v>
      </c>
      <c r="BB370" s="2">
        <f t="shared" si="63"/>
        <v>0</v>
      </c>
      <c r="BC370" s="2">
        <f t="shared" si="64"/>
        <v>0</v>
      </c>
      <c r="BD370" s="2">
        <f t="shared" si="65"/>
        <v>0</v>
      </c>
    </row>
    <row r="371" spans="1:56" ht="15" customHeight="1" x14ac:dyDescent="0.45">
      <c r="A371" s="2" t="s">
        <v>197</v>
      </c>
      <c r="B371" s="2" t="s">
        <v>203</v>
      </c>
      <c r="C371" s="2">
        <v>2019</v>
      </c>
      <c r="D371" s="2" t="s">
        <v>146</v>
      </c>
      <c r="E371" s="2" t="s">
        <v>146</v>
      </c>
      <c r="F371" s="2" t="s">
        <v>146</v>
      </c>
      <c r="G371" s="2" t="s">
        <v>146</v>
      </c>
      <c r="H371" s="2" t="s">
        <v>146</v>
      </c>
      <c r="I371" s="2" t="s">
        <v>146</v>
      </c>
      <c r="J371" s="2" t="s">
        <v>146</v>
      </c>
      <c r="K371" s="2" t="s">
        <v>146</v>
      </c>
      <c r="L371" s="2" t="s">
        <v>146</v>
      </c>
      <c r="M371" s="2" t="s">
        <v>146</v>
      </c>
      <c r="N371" s="2" t="s">
        <v>146</v>
      </c>
      <c r="O371" s="2" t="s">
        <v>146</v>
      </c>
      <c r="P371" s="2" t="s">
        <v>146</v>
      </c>
      <c r="Q371" s="2" t="s">
        <v>146</v>
      </c>
      <c r="R371" s="2" t="s">
        <v>146</v>
      </c>
      <c r="S371" s="2" t="s">
        <v>146</v>
      </c>
      <c r="T371" s="2" t="s">
        <v>146</v>
      </c>
      <c r="U371" s="2" t="s">
        <v>146</v>
      </c>
      <c r="V371" s="2" t="s">
        <v>146</v>
      </c>
      <c r="W371" s="2" t="s">
        <v>146</v>
      </c>
      <c r="X371" s="2" t="s">
        <v>146</v>
      </c>
      <c r="Y371" s="2" t="s">
        <v>146</v>
      </c>
      <c r="Z371" s="2" t="s">
        <v>146</v>
      </c>
      <c r="AA371" s="2" t="s">
        <v>146</v>
      </c>
      <c r="AB371" s="2" t="s">
        <v>146</v>
      </c>
      <c r="AC371" s="2" t="s">
        <v>146</v>
      </c>
      <c r="AD371" s="2" t="s">
        <v>146</v>
      </c>
      <c r="AE371" s="2" t="s">
        <v>146</v>
      </c>
      <c r="AF371" s="2" t="s">
        <v>146</v>
      </c>
      <c r="AG371" s="2" t="s">
        <v>146</v>
      </c>
      <c r="AH371" s="2" t="s">
        <v>146</v>
      </c>
      <c r="AI371" s="2" t="s">
        <v>146</v>
      </c>
      <c r="AJ371" s="2" t="s">
        <v>146</v>
      </c>
      <c r="AK371" s="2" t="s">
        <v>146</v>
      </c>
      <c r="AL371" s="2" t="s">
        <v>146</v>
      </c>
      <c r="AM371" s="2" t="s">
        <v>146</v>
      </c>
      <c r="AN371" s="2" t="s">
        <v>146</v>
      </c>
      <c r="AO371" s="2" t="s">
        <v>146</v>
      </c>
      <c r="AQ371" s="2">
        <f t="shared" si="55"/>
        <v>0</v>
      </c>
      <c r="AR371" s="2">
        <f t="shared" si="56"/>
        <v>0</v>
      </c>
      <c r="AT371" s="2">
        <f t="shared" si="57"/>
        <v>0</v>
      </c>
      <c r="AU371" s="2">
        <f t="shared" si="58"/>
        <v>0</v>
      </c>
      <c r="AV371" s="27" t="str">
        <f t="shared" si="59"/>
        <v/>
      </c>
      <c r="AY371" s="2">
        <f t="shared" si="60"/>
        <v>0</v>
      </c>
      <c r="AZ371" s="2">
        <f t="shared" si="61"/>
        <v>0</v>
      </c>
      <c r="BA371" s="2">
        <f t="shared" si="62"/>
        <v>0</v>
      </c>
      <c r="BB371" s="2">
        <f t="shared" si="63"/>
        <v>0</v>
      </c>
      <c r="BC371" s="2">
        <f t="shared" si="64"/>
        <v>0</v>
      </c>
      <c r="BD371" s="2">
        <f t="shared" si="65"/>
        <v>0</v>
      </c>
    </row>
    <row r="372" spans="1:56" ht="15" customHeight="1" x14ac:dyDescent="0.45">
      <c r="A372" s="2" t="s">
        <v>197</v>
      </c>
      <c r="B372" s="2" t="s">
        <v>202</v>
      </c>
      <c r="C372" s="2">
        <v>2019</v>
      </c>
      <c r="D372" s="2" t="s">
        <v>146</v>
      </c>
      <c r="E372" s="2" t="s">
        <v>146</v>
      </c>
      <c r="F372" s="2" t="s">
        <v>146</v>
      </c>
      <c r="G372" s="2" t="s">
        <v>146</v>
      </c>
      <c r="H372" s="2" t="s">
        <v>146</v>
      </c>
      <c r="I372" s="2" t="s">
        <v>146</v>
      </c>
      <c r="J372" s="2" t="s">
        <v>146</v>
      </c>
      <c r="K372" s="2" t="s">
        <v>146</v>
      </c>
      <c r="L372" s="2" t="s">
        <v>146</v>
      </c>
      <c r="M372" s="2" t="s">
        <v>146</v>
      </c>
      <c r="N372" s="2" t="s">
        <v>146</v>
      </c>
      <c r="O372" s="2" t="s">
        <v>146</v>
      </c>
      <c r="P372" s="2" t="s">
        <v>146</v>
      </c>
      <c r="Q372" s="2" t="s">
        <v>146</v>
      </c>
      <c r="R372" s="2" t="s">
        <v>146</v>
      </c>
      <c r="S372" s="2" t="s">
        <v>146</v>
      </c>
      <c r="T372" s="2" t="s">
        <v>146</v>
      </c>
      <c r="U372" s="2" t="s">
        <v>146</v>
      </c>
      <c r="V372" s="2" t="s">
        <v>146</v>
      </c>
      <c r="W372" s="2" t="s">
        <v>146</v>
      </c>
      <c r="X372" s="2" t="s">
        <v>146</v>
      </c>
      <c r="Y372" s="2" t="s">
        <v>146</v>
      </c>
      <c r="Z372" s="2" t="s">
        <v>146</v>
      </c>
      <c r="AA372" s="2" t="s">
        <v>146</v>
      </c>
      <c r="AB372" s="2" t="s">
        <v>146</v>
      </c>
      <c r="AC372" s="2" t="s">
        <v>146</v>
      </c>
      <c r="AD372" s="2" t="s">
        <v>146</v>
      </c>
      <c r="AE372" s="2" t="s">
        <v>146</v>
      </c>
      <c r="AF372" s="2" t="s">
        <v>146</v>
      </c>
      <c r="AG372" s="2" t="s">
        <v>146</v>
      </c>
      <c r="AH372" s="2" t="s">
        <v>155</v>
      </c>
      <c r="AI372" s="2" t="s">
        <v>146</v>
      </c>
      <c r="AJ372" s="2" t="s">
        <v>146</v>
      </c>
      <c r="AK372" s="2" t="s">
        <v>146</v>
      </c>
      <c r="AL372" s="2" t="s">
        <v>146</v>
      </c>
      <c r="AM372" s="2" t="s">
        <v>146</v>
      </c>
      <c r="AN372" s="2" t="s">
        <v>146</v>
      </c>
      <c r="AO372" s="2" t="s">
        <v>146</v>
      </c>
      <c r="AQ372" s="2">
        <f t="shared" si="55"/>
        <v>0</v>
      </c>
      <c r="AR372" s="2">
        <f t="shared" si="56"/>
        <v>0</v>
      </c>
      <c r="AT372" s="2">
        <f t="shared" si="57"/>
        <v>0</v>
      </c>
      <c r="AU372" s="2">
        <f t="shared" si="58"/>
        <v>0</v>
      </c>
      <c r="AV372" s="27" t="str">
        <f t="shared" si="59"/>
        <v/>
      </c>
      <c r="AY372" s="2">
        <f t="shared" si="60"/>
        <v>0</v>
      </c>
      <c r="AZ372" s="2">
        <f t="shared" si="61"/>
        <v>0</v>
      </c>
      <c r="BA372" s="2">
        <f t="shared" si="62"/>
        <v>0</v>
      </c>
      <c r="BB372" s="2">
        <f t="shared" si="63"/>
        <v>0</v>
      </c>
      <c r="BC372" s="2">
        <f t="shared" si="64"/>
        <v>0</v>
      </c>
      <c r="BD372" s="2">
        <f t="shared" si="65"/>
        <v>0</v>
      </c>
    </row>
    <row r="373" spans="1:56" ht="15" customHeight="1" x14ac:dyDescent="0.45">
      <c r="A373" s="2" t="s">
        <v>197</v>
      </c>
      <c r="B373" s="2" t="s">
        <v>201</v>
      </c>
      <c r="C373" s="2">
        <v>2019</v>
      </c>
      <c r="D373" s="2" t="s">
        <v>146</v>
      </c>
      <c r="E373" s="2" t="s">
        <v>146</v>
      </c>
      <c r="F373" s="2" t="s">
        <v>146</v>
      </c>
      <c r="G373" s="2" t="s">
        <v>146</v>
      </c>
      <c r="H373" s="2" t="s">
        <v>146</v>
      </c>
      <c r="I373" s="2" t="s">
        <v>146</v>
      </c>
      <c r="J373" s="2" t="s">
        <v>146</v>
      </c>
      <c r="K373" s="2" t="s">
        <v>146</v>
      </c>
      <c r="L373" s="2" t="s">
        <v>146</v>
      </c>
      <c r="M373" s="2" t="s">
        <v>146</v>
      </c>
      <c r="N373" s="2" t="s">
        <v>146</v>
      </c>
      <c r="O373" s="2" t="s">
        <v>146</v>
      </c>
      <c r="P373" s="2" t="s">
        <v>146</v>
      </c>
      <c r="Q373" s="2" t="s">
        <v>146</v>
      </c>
      <c r="R373" s="2" t="s">
        <v>146</v>
      </c>
      <c r="S373" s="2" t="s">
        <v>146</v>
      </c>
      <c r="T373" s="2" t="s">
        <v>146</v>
      </c>
      <c r="U373" s="2" t="s">
        <v>146</v>
      </c>
      <c r="V373" s="2" t="s">
        <v>146</v>
      </c>
      <c r="W373" s="2" t="s">
        <v>146</v>
      </c>
      <c r="X373" s="2" t="s">
        <v>146</v>
      </c>
      <c r="Y373" s="2" t="s">
        <v>146</v>
      </c>
      <c r="Z373" s="2" t="s">
        <v>146</v>
      </c>
      <c r="AA373" s="2" t="s">
        <v>146</v>
      </c>
      <c r="AB373" s="2" t="s">
        <v>146</v>
      </c>
      <c r="AC373" s="2" t="s">
        <v>146</v>
      </c>
      <c r="AD373" s="2" t="s">
        <v>146</v>
      </c>
      <c r="AE373" s="2" t="s">
        <v>146</v>
      </c>
      <c r="AF373" s="2" t="s">
        <v>146</v>
      </c>
      <c r="AG373" s="2" t="s">
        <v>146</v>
      </c>
      <c r="AH373" s="2" t="s">
        <v>155</v>
      </c>
      <c r="AI373" s="2" t="s">
        <v>146</v>
      </c>
      <c r="AJ373" s="2" t="s">
        <v>146</v>
      </c>
      <c r="AK373" s="2" t="s">
        <v>146</v>
      </c>
      <c r="AL373" s="2" t="s">
        <v>146</v>
      </c>
      <c r="AM373" s="2" t="s">
        <v>146</v>
      </c>
      <c r="AN373" s="2" t="s">
        <v>146</v>
      </c>
      <c r="AO373" s="2" t="s">
        <v>146</v>
      </c>
      <c r="AQ373" s="2">
        <f t="shared" si="55"/>
        <v>0</v>
      </c>
      <c r="AR373" s="2">
        <f t="shared" si="56"/>
        <v>0</v>
      </c>
      <c r="AT373" s="2">
        <f t="shared" si="57"/>
        <v>0</v>
      </c>
      <c r="AU373" s="2">
        <f t="shared" si="58"/>
        <v>0</v>
      </c>
      <c r="AV373" s="27" t="str">
        <f t="shared" si="59"/>
        <v/>
      </c>
      <c r="AY373" s="2">
        <f t="shared" si="60"/>
        <v>0</v>
      </c>
      <c r="AZ373" s="2">
        <f t="shared" si="61"/>
        <v>0</v>
      </c>
      <c r="BA373" s="2">
        <f t="shared" si="62"/>
        <v>0</v>
      </c>
      <c r="BB373" s="2">
        <f t="shared" si="63"/>
        <v>0</v>
      </c>
      <c r="BC373" s="2">
        <f t="shared" si="64"/>
        <v>0</v>
      </c>
      <c r="BD373" s="2">
        <f t="shared" si="65"/>
        <v>0</v>
      </c>
    </row>
    <row r="374" spans="1:56" ht="15" customHeight="1" x14ac:dyDescent="0.45">
      <c r="A374" s="2" t="s">
        <v>197</v>
      </c>
      <c r="B374" s="2" t="s">
        <v>199</v>
      </c>
      <c r="C374" s="2">
        <v>2019</v>
      </c>
      <c r="D374" s="2" t="s">
        <v>146</v>
      </c>
      <c r="E374" s="2" t="s">
        <v>146</v>
      </c>
      <c r="F374" s="2" t="s">
        <v>146</v>
      </c>
      <c r="G374" s="2" t="s">
        <v>146</v>
      </c>
      <c r="H374" s="2" t="s">
        <v>146</v>
      </c>
      <c r="I374" s="2" t="s">
        <v>146</v>
      </c>
      <c r="J374" s="2" t="s">
        <v>146</v>
      </c>
      <c r="K374" s="2" t="s">
        <v>146</v>
      </c>
      <c r="L374" s="2" t="s">
        <v>146</v>
      </c>
      <c r="M374" s="2" t="s">
        <v>146</v>
      </c>
      <c r="N374" s="2" t="s">
        <v>146</v>
      </c>
      <c r="O374" s="2" t="s">
        <v>146</v>
      </c>
      <c r="P374" s="2" t="s">
        <v>146</v>
      </c>
      <c r="Q374" s="2" t="s">
        <v>146</v>
      </c>
      <c r="R374" s="2" t="s">
        <v>146</v>
      </c>
      <c r="S374" s="2" t="s">
        <v>146</v>
      </c>
      <c r="T374" s="2" t="s">
        <v>146</v>
      </c>
      <c r="U374" s="2" t="s">
        <v>146</v>
      </c>
      <c r="V374" s="2" t="s">
        <v>146</v>
      </c>
      <c r="W374" s="2" t="s">
        <v>146</v>
      </c>
      <c r="X374" s="2" t="s">
        <v>146</v>
      </c>
      <c r="Y374" s="2" t="s">
        <v>146</v>
      </c>
      <c r="Z374" s="2" t="s">
        <v>146</v>
      </c>
      <c r="AA374" s="2" t="s">
        <v>146</v>
      </c>
      <c r="AB374" s="2" t="s">
        <v>146</v>
      </c>
      <c r="AC374" s="2" t="s">
        <v>146</v>
      </c>
      <c r="AD374" s="2" t="s">
        <v>146</v>
      </c>
      <c r="AE374" s="2" t="s">
        <v>146</v>
      </c>
      <c r="AF374" s="2" t="s">
        <v>146</v>
      </c>
      <c r="AG374" s="2" t="s">
        <v>146</v>
      </c>
      <c r="AH374" s="2" t="s">
        <v>155</v>
      </c>
      <c r="AI374" s="2" t="s">
        <v>146</v>
      </c>
      <c r="AJ374" s="2" t="s">
        <v>146</v>
      </c>
      <c r="AK374" s="2" t="s">
        <v>146</v>
      </c>
      <c r="AL374" s="2" t="s">
        <v>146</v>
      </c>
      <c r="AM374" s="2" t="s">
        <v>146</v>
      </c>
      <c r="AN374" s="2" t="s">
        <v>146</v>
      </c>
      <c r="AO374" s="2" t="s">
        <v>146</v>
      </c>
      <c r="AQ374" s="2">
        <f t="shared" si="55"/>
        <v>0</v>
      </c>
      <c r="AR374" s="2">
        <f t="shared" si="56"/>
        <v>0</v>
      </c>
      <c r="AT374" s="2">
        <f t="shared" si="57"/>
        <v>0</v>
      </c>
      <c r="AU374" s="2">
        <f t="shared" si="58"/>
        <v>0</v>
      </c>
      <c r="AV374" s="27" t="str">
        <f t="shared" si="59"/>
        <v/>
      </c>
      <c r="AY374" s="2">
        <f t="shared" si="60"/>
        <v>0</v>
      </c>
      <c r="AZ374" s="2">
        <f t="shared" si="61"/>
        <v>0</v>
      </c>
      <c r="BA374" s="2">
        <f t="shared" si="62"/>
        <v>0</v>
      </c>
      <c r="BB374" s="2">
        <f t="shared" si="63"/>
        <v>0</v>
      </c>
      <c r="BC374" s="2">
        <f t="shared" si="64"/>
        <v>0</v>
      </c>
      <c r="BD374" s="2">
        <f t="shared" si="65"/>
        <v>0</v>
      </c>
    </row>
    <row r="375" spans="1:56" ht="15" customHeight="1" x14ac:dyDescent="0.45">
      <c r="A375" s="2" t="s">
        <v>197</v>
      </c>
      <c r="B375" s="2" t="s">
        <v>198</v>
      </c>
      <c r="C375" s="2">
        <v>2019</v>
      </c>
      <c r="D375" s="2" t="s">
        <v>146</v>
      </c>
      <c r="E375" s="2" t="s">
        <v>146</v>
      </c>
      <c r="F375" s="2" t="s">
        <v>146</v>
      </c>
      <c r="G375" s="2" t="s">
        <v>146</v>
      </c>
      <c r="H375" s="2" t="s">
        <v>146</v>
      </c>
      <c r="I375" s="2" t="s">
        <v>146</v>
      </c>
      <c r="J375" s="2" t="s">
        <v>146</v>
      </c>
      <c r="K375" s="2" t="s">
        <v>146</v>
      </c>
      <c r="L375" s="2" t="s">
        <v>146</v>
      </c>
      <c r="M375" s="2" t="s">
        <v>146</v>
      </c>
      <c r="N375" s="2" t="s">
        <v>146</v>
      </c>
      <c r="O375" s="2" t="s">
        <v>146</v>
      </c>
      <c r="P375" s="2" t="s">
        <v>146</v>
      </c>
      <c r="Q375" s="2" t="s">
        <v>146</v>
      </c>
      <c r="R375" s="2" t="s">
        <v>146</v>
      </c>
      <c r="S375" s="2" t="s">
        <v>146</v>
      </c>
      <c r="T375" s="2" t="s">
        <v>146</v>
      </c>
      <c r="U375" s="2" t="s">
        <v>146</v>
      </c>
      <c r="V375" s="2" t="s">
        <v>146</v>
      </c>
      <c r="W375" s="2" t="s">
        <v>146</v>
      </c>
      <c r="X375" s="2" t="s">
        <v>146</v>
      </c>
      <c r="Y375" s="2" t="s">
        <v>146</v>
      </c>
      <c r="Z375" s="2" t="s">
        <v>146</v>
      </c>
      <c r="AA375" s="2" t="s">
        <v>146</v>
      </c>
      <c r="AB375" s="2" t="s">
        <v>146</v>
      </c>
      <c r="AC375" s="2" t="s">
        <v>146</v>
      </c>
      <c r="AD375" s="2" t="s">
        <v>146</v>
      </c>
      <c r="AE375" s="2" t="s">
        <v>146</v>
      </c>
      <c r="AF375" s="2" t="s">
        <v>146</v>
      </c>
      <c r="AG375" s="2" t="s">
        <v>146</v>
      </c>
      <c r="AH375" s="2" t="s">
        <v>155</v>
      </c>
      <c r="AI375" s="2" t="s">
        <v>146</v>
      </c>
      <c r="AJ375" s="2" t="s">
        <v>146</v>
      </c>
      <c r="AK375" s="2" t="s">
        <v>146</v>
      </c>
      <c r="AL375" s="2" t="s">
        <v>146</v>
      </c>
      <c r="AM375" s="2" t="s">
        <v>146</v>
      </c>
      <c r="AN375" s="2" t="s">
        <v>146</v>
      </c>
      <c r="AO375" s="2" t="s">
        <v>146</v>
      </c>
      <c r="AQ375" s="2">
        <f t="shared" si="55"/>
        <v>0</v>
      </c>
      <c r="AR375" s="2">
        <f t="shared" si="56"/>
        <v>0</v>
      </c>
      <c r="AT375" s="2">
        <f t="shared" si="57"/>
        <v>0</v>
      </c>
      <c r="AU375" s="2">
        <f t="shared" si="58"/>
        <v>0</v>
      </c>
      <c r="AV375" s="27" t="str">
        <f t="shared" si="59"/>
        <v/>
      </c>
      <c r="AY375" s="2">
        <f t="shared" si="60"/>
        <v>0</v>
      </c>
      <c r="AZ375" s="2">
        <f t="shared" si="61"/>
        <v>0</v>
      </c>
      <c r="BA375" s="2">
        <f t="shared" si="62"/>
        <v>0</v>
      </c>
      <c r="BB375" s="2">
        <f t="shared" si="63"/>
        <v>0</v>
      </c>
      <c r="BC375" s="2">
        <f t="shared" si="64"/>
        <v>0</v>
      </c>
      <c r="BD375" s="2">
        <f t="shared" si="65"/>
        <v>0</v>
      </c>
    </row>
    <row r="376" spans="1:56" ht="15" customHeight="1" x14ac:dyDescent="0.45">
      <c r="A376" s="2" t="s">
        <v>197</v>
      </c>
      <c r="B376" s="2" t="s">
        <v>196</v>
      </c>
      <c r="C376" s="2">
        <v>2019</v>
      </c>
      <c r="D376" s="2">
        <v>63.533999999999999</v>
      </c>
      <c r="E376" s="2">
        <v>14.43</v>
      </c>
      <c r="F376" s="2" t="s">
        <v>146</v>
      </c>
      <c r="G376" s="2" t="s">
        <v>725</v>
      </c>
      <c r="H376" s="2" t="s">
        <v>146</v>
      </c>
      <c r="I376" s="2">
        <v>107.38</v>
      </c>
      <c r="J376" s="2" t="s">
        <v>146</v>
      </c>
      <c r="K376" s="2" t="s">
        <v>146</v>
      </c>
      <c r="L376" s="2" t="s">
        <v>146</v>
      </c>
      <c r="M376" s="2" t="s">
        <v>146</v>
      </c>
      <c r="N376" s="2" t="s">
        <v>146</v>
      </c>
      <c r="O376" s="2" t="s">
        <v>146</v>
      </c>
      <c r="P376" s="2" t="s">
        <v>146</v>
      </c>
      <c r="Q376" s="2">
        <v>45.545999999999999</v>
      </c>
      <c r="R376" s="2">
        <v>26.978000000000002</v>
      </c>
      <c r="S376" s="2">
        <v>17.632999999999999</v>
      </c>
      <c r="T376" s="2" t="s">
        <v>146</v>
      </c>
      <c r="U376" s="2" t="s">
        <v>146</v>
      </c>
      <c r="V376" s="2" t="s">
        <v>146</v>
      </c>
      <c r="W376" s="2" t="s">
        <v>147</v>
      </c>
      <c r="X376" s="2" t="s">
        <v>146</v>
      </c>
      <c r="Y376" s="2" t="s">
        <v>146</v>
      </c>
      <c r="Z376" s="2" t="s">
        <v>146</v>
      </c>
      <c r="AA376" s="2" t="s">
        <v>146</v>
      </c>
      <c r="AB376" s="2" t="s">
        <v>146</v>
      </c>
      <c r="AC376" s="2" t="s">
        <v>146</v>
      </c>
      <c r="AD376" s="2" t="s">
        <v>146</v>
      </c>
      <c r="AE376" s="2" t="s">
        <v>146</v>
      </c>
      <c r="AF376" s="2" t="s">
        <v>146</v>
      </c>
      <c r="AG376" s="2" t="s">
        <v>146</v>
      </c>
      <c r="AH376" s="2" t="s">
        <v>155</v>
      </c>
      <c r="AI376" s="2" t="s">
        <v>146</v>
      </c>
      <c r="AJ376" s="2" t="s">
        <v>146</v>
      </c>
      <c r="AK376" s="2">
        <v>17.222999999999999</v>
      </c>
      <c r="AL376" s="2">
        <v>100</v>
      </c>
      <c r="AM376" s="2">
        <v>0</v>
      </c>
      <c r="AN376" s="2">
        <v>0</v>
      </c>
      <c r="AO376" s="2">
        <v>0</v>
      </c>
      <c r="AQ376" s="2">
        <f t="shared" si="55"/>
        <v>90.156999999999996</v>
      </c>
      <c r="AR376" s="2">
        <f t="shared" si="56"/>
        <v>107.38</v>
      </c>
      <c r="AT376" s="2">
        <f t="shared" si="57"/>
        <v>63.533999999999999</v>
      </c>
      <c r="AU376" s="2">
        <f t="shared" si="58"/>
        <v>14.43</v>
      </c>
      <c r="AV376" s="27">
        <f t="shared" si="59"/>
        <v>0.726056993853604</v>
      </c>
      <c r="AY376" s="2">
        <f t="shared" si="60"/>
        <v>17.222999999999999</v>
      </c>
      <c r="AZ376" s="2">
        <f t="shared" si="61"/>
        <v>17.222999999999999</v>
      </c>
      <c r="BA376" s="2">
        <f t="shared" si="62"/>
        <v>0</v>
      </c>
      <c r="BB376" s="2">
        <f t="shared" si="63"/>
        <v>0</v>
      </c>
      <c r="BC376" s="2">
        <f t="shared" si="64"/>
        <v>0</v>
      </c>
      <c r="BD376" s="2">
        <f t="shared" si="65"/>
        <v>0</v>
      </c>
    </row>
    <row r="377" spans="1:56" ht="15" customHeight="1" x14ac:dyDescent="0.45">
      <c r="A377" s="2" t="s">
        <v>191</v>
      </c>
      <c r="B377" s="2" t="s">
        <v>195</v>
      </c>
      <c r="C377" s="2">
        <v>2019</v>
      </c>
      <c r="D377" s="2" t="s">
        <v>146</v>
      </c>
      <c r="E377" s="2" t="s">
        <v>146</v>
      </c>
      <c r="F377" s="2" t="s">
        <v>146</v>
      </c>
      <c r="G377" s="2" t="s">
        <v>146</v>
      </c>
      <c r="H377" s="2" t="s">
        <v>146</v>
      </c>
      <c r="I377" s="2" t="s">
        <v>146</v>
      </c>
      <c r="J377" s="2" t="s">
        <v>146</v>
      </c>
      <c r="K377" s="2" t="s">
        <v>146</v>
      </c>
      <c r="L377" s="2" t="s">
        <v>146</v>
      </c>
      <c r="M377" s="2" t="s">
        <v>146</v>
      </c>
      <c r="N377" s="2" t="s">
        <v>146</v>
      </c>
      <c r="O377" s="2" t="s">
        <v>146</v>
      </c>
      <c r="P377" s="2" t="s">
        <v>146</v>
      </c>
      <c r="Q377" s="2" t="s">
        <v>146</v>
      </c>
      <c r="R377" s="2" t="s">
        <v>146</v>
      </c>
      <c r="S377" s="2" t="s">
        <v>146</v>
      </c>
      <c r="T377" s="2" t="s">
        <v>146</v>
      </c>
      <c r="U377" s="2" t="s">
        <v>146</v>
      </c>
      <c r="V377" s="2" t="s">
        <v>146</v>
      </c>
      <c r="W377" s="2" t="s">
        <v>146</v>
      </c>
      <c r="X377" s="2" t="s">
        <v>146</v>
      </c>
      <c r="Y377" s="2" t="s">
        <v>146</v>
      </c>
      <c r="Z377" s="2" t="s">
        <v>146</v>
      </c>
      <c r="AA377" s="2" t="s">
        <v>146</v>
      </c>
      <c r="AB377" s="2" t="s">
        <v>146</v>
      </c>
      <c r="AC377" s="2" t="s">
        <v>146</v>
      </c>
      <c r="AD377" s="2" t="s">
        <v>146</v>
      </c>
      <c r="AE377" s="2" t="s">
        <v>146</v>
      </c>
      <c r="AF377" s="2" t="s">
        <v>146</v>
      </c>
      <c r="AG377" s="2" t="s">
        <v>146</v>
      </c>
      <c r="AH377" s="2" t="s">
        <v>146</v>
      </c>
      <c r="AI377" s="2" t="s">
        <v>146</v>
      </c>
      <c r="AJ377" s="2" t="s">
        <v>146</v>
      </c>
      <c r="AK377" s="2" t="s">
        <v>146</v>
      </c>
      <c r="AL377" s="2" t="s">
        <v>146</v>
      </c>
      <c r="AM377" s="2" t="s">
        <v>146</v>
      </c>
      <c r="AN377" s="2" t="s">
        <v>146</v>
      </c>
      <c r="AO377" s="2" t="s">
        <v>146</v>
      </c>
      <c r="AQ377" s="2">
        <f t="shared" si="55"/>
        <v>0</v>
      </c>
      <c r="AR377" s="2">
        <f t="shared" si="56"/>
        <v>0</v>
      </c>
      <c r="AT377" s="2">
        <f t="shared" si="57"/>
        <v>0</v>
      </c>
      <c r="AU377" s="2">
        <f t="shared" si="58"/>
        <v>0</v>
      </c>
      <c r="AV377" s="27" t="str">
        <f t="shared" si="59"/>
        <v/>
      </c>
      <c r="AY377" s="2">
        <f t="shared" si="60"/>
        <v>0</v>
      </c>
      <c r="AZ377" s="2">
        <f t="shared" si="61"/>
        <v>0</v>
      </c>
      <c r="BA377" s="2">
        <f t="shared" si="62"/>
        <v>0</v>
      </c>
      <c r="BB377" s="2">
        <f t="shared" si="63"/>
        <v>0</v>
      </c>
      <c r="BC377" s="2">
        <f t="shared" si="64"/>
        <v>0</v>
      </c>
      <c r="BD377" s="2">
        <f t="shared" si="65"/>
        <v>0</v>
      </c>
    </row>
    <row r="378" spans="1:56" ht="15" customHeight="1" x14ac:dyDescent="0.45">
      <c r="A378" s="2" t="s">
        <v>191</v>
      </c>
      <c r="B378" s="2" t="s">
        <v>193</v>
      </c>
      <c r="C378" s="2">
        <v>2019</v>
      </c>
      <c r="D378" s="2" t="s">
        <v>146</v>
      </c>
      <c r="E378" s="2" t="s">
        <v>146</v>
      </c>
      <c r="F378" s="2" t="s">
        <v>146</v>
      </c>
      <c r="G378" s="2" t="s">
        <v>146</v>
      </c>
      <c r="H378" s="2" t="s">
        <v>146</v>
      </c>
      <c r="I378" s="2" t="s">
        <v>146</v>
      </c>
      <c r="J378" s="2" t="s">
        <v>146</v>
      </c>
      <c r="K378" s="2" t="s">
        <v>146</v>
      </c>
      <c r="L378" s="2" t="s">
        <v>146</v>
      </c>
      <c r="M378" s="2" t="s">
        <v>146</v>
      </c>
      <c r="N378" s="2" t="s">
        <v>146</v>
      </c>
      <c r="O378" s="2" t="s">
        <v>146</v>
      </c>
      <c r="P378" s="2" t="s">
        <v>146</v>
      </c>
      <c r="Q378" s="2" t="s">
        <v>146</v>
      </c>
      <c r="R378" s="2" t="s">
        <v>146</v>
      </c>
      <c r="S378" s="2" t="s">
        <v>146</v>
      </c>
      <c r="T378" s="2" t="s">
        <v>146</v>
      </c>
      <c r="U378" s="2" t="s">
        <v>146</v>
      </c>
      <c r="V378" s="2" t="s">
        <v>146</v>
      </c>
      <c r="W378" s="2" t="s">
        <v>146</v>
      </c>
      <c r="X378" s="2" t="s">
        <v>146</v>
      </c>
      <c r="Y378" s="2" t="s">
        <v>146</v>
      </c>
      <c r="Z378" s="2" t="s">
        <v>146</v>
      </c>
      <c r="AA378" s="2" t="s">
        <v>146</v>
      </c>
      <c r="AB378" s="2" t="s">
        <v>146</v>
      </c>
      <c r="AC378" s="2" t="s">
        <v>146</v>
      </c>
      <c r="AD378" s="2" t="s">
        <v>146</v>
      </c>
      <c r="AE378" s="2" t="s">
        <v>146</v>
      </c>
      <c r="AF378" s="2" t="s">
        <v>146</v>
      </c>
      <c r="AG378" s="2" t="s">
        <v>146</v>
      </c>
      <c r="AH378" s="2" t="s">
        <v>146</v>
      </c>
      <c r="AI378" s="2" t="s">
        <v>146</v>
      </c>
      <c r="AJ378" s="2" t="s">
        <v>146</v>
      </c>
      <c r="AK378" s="2" t="s">
        <v>146</v>
      </c>
      <c r="AL378" s="2" t="s">
        <v>146</v>
      </c>
      <c r="AM378" s="2" t="s">
        <v>146</v>
      </c>
      <c r="AN378" s="2" t="s">
        <v>146</v>
      </c>
      <c r="AO378" s="2" t="s">
        <v>146</v>
      </c>
      <c r="AQ378" s="2">
        <f t="shared" si="55"/>
        <v>0</v>
      </c>
      <c r="AR378" s="2">
        <f t="shared" si="56"/>
        <v>0</v>
      </c>
      <c r="AT378" s="2">
        <f t="shared" si="57"/>
        <v>0</v>
      </c>
      <c r="AU378" s="2">
        <f t="shared" si="58"/>
        <v>0</v>
      </c>
      <c r="AV378" s="27" t="str">
        <f t="shared" si="59"/>
        <v/>
      </c>
      <c r="AY378" s="2">
        <f t="shared" si="60"/>
        <v>0</v>
      </c>
      <c r="AZ378" s="2">
        <f t="shared" si="61"/>
        <v>0</v>
      </c>
      <c r="BA378" s="2">
        <f t="shared" si="62"/>
        <v>0</v>
      </c>
      <c r="BB378" s="2">
        <f t="shared" si="63"/>
        <v>0</v>
      </c>
      <c r="BC378" s="2">
        <f t="shared" si="64"/>
        <v>0</v>
      </c>
      <c r="BD378" s="2">
        <f t="shared" si="65"/>
        <v>0</v>
      </c>
    </row>
    <row r="379" spans="1:56" ht="15" customHeight="1" x14ac:dyDescent="0.45">
      <c r="A379" s="2" t="s">
        <v>191</v>
      </c>
      <c r="B379" s="2" t="s">
        <v>192</v>
      </c>
      <c r="C379" s="2">
        <v>2019</v>
      </c>
      <c r="D379" s="2" t="s">
        <v>146</v>
      </c>
      <c r="E379" s="2" t="s">
        <v>146</v>
      </c>
      <c r="F379" s="2" t="s">
        <v>146</v>
      </c>
      <c r="G379" s="2" t="s">
        <v>146</v>
      </c>
      <c r="H379" s="2" t="s">
        <v>146</v>
      </c>
      <c r="I379" s="2" t="s">
        <v>146</v>
      </c>
      <c r="J379" s="2" t="s">
        <v>146</v>
      </c>
      <c r="K379" s="2" t="s">
        <v>146</v>
      </c>
      <c r="L379" s="2" t="s">
        <v>146</v>
      </c>
      <c r="M379" s="2" t="s">
        <v>146</v>
      </c>
      <c r="N379" s="2" t="s">
        <v>146</v>
      </c>
      <c r="O379" s="2" t="s">
        <v>146</v>
      </c>
      <c r="P379" s="2" t="s">
        <v>146</v>
      </c>
      <c r="Q379" s="2" t="s">
        <v>146</v>
      </c>
      <c r="R379" s="2" t="s">
        <v>146</v>
      </c>
      <c r="S379" s="2" t="s">
        <v>146</v>
      </c>
      <c r="T379" s="2" t="s">
        <v>146</v>
      </c>
      <c r="U379" s="2" t="s">
        <v>146</v>
      </c>
      <c r="V379" s="2" t="s">
        <v>146</v>
      </c>
      <c r="W379" s="2" t="s">
        <v>146</v>
      </c>
      <c r="X379" s="2" t="s">
        <v>146</v>
      </c>
      <c r="Y379" s="2" t="s">
        <v>146</v>
      </c>
      <c r="Z379" s="2" t="s">
        <v>146</v>
      </c>
      <c r="AA379" s="2" t="s">
        <v>146</v>
      </c>
      <c r="AB379" s="2" t="s">
        <v>146</v>
      </c>
      <c r="AC379" s="2" t="s">
        <v>146</v>
      </c>
      <c r="AD379" s="2" t="s">
        <v>146</v>
      </c>
      <c r="AE379" s="2" t="s">
        <v>146</v>
      </c>
      <c r="AF379" s="2" t="s">
        <v>146</v>
      </c>
      <c r="AG379" s="2" t="s">
        <v>146</v>
      </c>
      <c r="AH379" s="2" t="s">
        <v>146</v>
      </c>
      <c r="AI379" s="2" t="s">
        <v>146</v>
      </c>
      <c r="AJ379" s="2" t="s">
        <v>146</v>
      </c>
      <c r="AK379" s="2" t="s">
        <v>146</v>
      </c>
      <c r="AL379" s="2" t="s">
        <v>146</v>
      </c>
      <c r="AM379" s="2" t="s">
        <v>146</v>
      </c>
      <c r="AN379" s="2" t="s">
        <v>146</v>
      </c>
      <c r="AO379" s="2" t="s">
        <v>146</v>
      </c>
      <c r="AQ379" s="2">
        <f t="shared" si="55"/>
        <v>0</v>
      </c>
      <c r="AR379" s="2">
        <f t="shared" si="56"/>
        <v>0</v>
      </c>
      <c r="AT379" s="2">
        <f t="shared" si="57"/>
        <v>0</v>
      </c>
      <c r="AU379" s="2">
        <f t="shared" si="58"/>
        <v>0</v>
      </c>
      <c r="AV379" s="27" t="str">
        <f t="shared" si="59"/>
        <v/>
      </c>
      <c r="AY379" s="2">
        <f t="shared" si="60"/>
        <v>0</v>
      </c>
      <c r="AZ379" s="2">
        <f t="shared" si="61"/>
        <v>0</v>
      </c>
      <c r="BA379" s="2">
        <f t="shared" si="62"/>
        <v>0</v>
      </c>
      <c r="BB379" s="2">
        <f t="shared" si="63"/>
        <v>0</v>
      </c>
      <c r="BC379" s="2">
        <f t="shared" si="64"/>
        <v>0</v>
      </c>
      <c r="BD379" s="2">
        <f t="shared" si="65"/>
        <v>0</v>
      </c>
    </row>
    <row r="380" spans="1:56" ht="15" customHeight="1" x14ac:dyDescent="0.45">
      <c r="A380" s="2" t="s">
        <v>191</v>
      </c>
      <c r="B380" s="2" t="s">
        <v>190</v>
      </c>
      <c r="C380" s="2">
        <v>2019</v>
      </c>
      <c r="D380" s="2" t="s">
        <v>146</v>
      </c>
      <c r="E380" s="2" t="s">
        <v>146</v>
      </c>
      <c r="F380" s="2" t="s">
        <v>146</v>
      </c>
      <c r="G380" s="2" t="s">
        <v>146</v>
      </c>
      <c r="H380" s="2" t="s">
        <v>146</v>
      </c>
      <c r="I380" s="2" t="s">
        <v>146</v>
      </c>
      <c r="J380" s="2" t="s">
        <v>146</v>
      </c>
      <c r="K380" s="2" t="s">
        <v>146</v>
      </c>
      <c r="L380" s="2" t="s">
        <v>146</v>
      </c>
      <c r="M380" s="2" t="s">
        <v>146</v>
      </c>
      <c r="N380" s="2" t="s">
        <v>146</v>
      </c>
      <c r="O380" s="2" t="s">
        <v>146</v>
      </c>
      <c r="P380" s="2" t="s">
        <v>146</v>
      </c>
      <c r="Q380" s="2" t="s">
        <v>146</v>
      </c>
      <c r="R380" s="2" t="s">
        <v>146</v>
      </c>
      <c r="S380" s="2" t="s">
        <v>146</v>
      </c>
      <c r="T380" s="2" t="s">
        <v>146</v>
      </c>
      <c r="U380" s="2" t="s">
        <v>146</v>
      </c>
      <c r="V380" s="2" t="s">
        <v>146</v>
      </c>
      <c r="W380" s="2" t="s">
        <v>146</v>
      </c>
      <c r="X380" s="2" t="s">
        <v>146</v>
      </c>
      <c r="Y380" s="2" t="s">
        <v>146</v>
      </c>
      <c r="Z380" s="2" t="s">
        <v>146</v>
      </c>
      <c r="AA380" s="2" t="s">
        <v>146</v>
      </c>
      <c r="AB380" s="2" t="s">
        <v>146</v>
      </c>
      <c r="AC380" s="2" t="s">
        <v>146</v>
      </c>
      <c r="AD380" s="2" t="s">
        <v>146</v>
      </c>
      <c r="AE380" s="2" t="s">
        <v>146</v>
      </c>
      <c r="AF380" s="2" t="s">
        <v>146</v>
      </c>
      <c r="AG380" s="2" t="s">
        <v>146</v>
      </c>
      <c r="AH380" s="2" t="s">
        <v>146</v>
      </c>
      <c r="AI380" s="2" t="s">
        <v>146</v>
      </c>
      <c r="AJ380" s="2" t="s">
        <v>146</v>
      </c>
      <c r="AK380" s="2" t="s">
        <v>146</v>
      </c>
      <c r="AL380" s="2" t="s">
        <v>146</v>
      </c>
      <c r="AM380" s="2" t="s">
        <v>146</v>
      </c>
      <c r="AN380" s="2" t="s">
        <v>146</v>
      </c>
      <c r="AO380" s="2" t="s">
        <v>146</v>
      </c>
      <c r="AQ380" s="2">
        <f t="shared" si="55"/>
        <v>0</v>
      </c>
      <c r="AR380" s="2">
        <f t="shared" si="56"/>
        <v>0</v>
      </c>
      <c r="AT380" s="2">
        <f t="shared" si="57"/>
        <v>0</v>
      </c>
      <c r="AU380" s="2">
        <f t="shared" si="58"/>
        <v>0</v>
      </c>
      <c r="AV380" s="27" t="str">
        <f t="shared" si="59"/>
        <v/>
      </c>
      <c r="AY380" s="2">
        <f t="shared" si="60"/>
        <v>0</v>
      </c>
      <c r="AZ380" s="2">
        <f t="shared" si="61"/>
        <v>0</v>
      </c>
      <c r="BA380" s="2">
        <f t="shared" si="62"/>
        <v>0</v>
      </c>
      <c r="BB380" s="2">
        <f t="shared" si="63"/>
        <v>0</v>
      </c>
      <c r="BC380" s="2">
        <f t="shared" si="64"/>
        <v>0</v>
      </c>
      <c r="BD380" s="2">
        <f t="shared" si="65"/>
        <v>0</v>
      </c>
    </row>
    <row r="381" spans="1:56" ht="15" customHeight="1" x14ac:dyDescent="0.45">
      <c r="A381" s="2" t="s">
        <v>187</v>
      </c>
      <c r="B381" s="2" t="s">
        <v>189</v>
      </c>
      <c r="C381" s="2">
        <v>2019</v>
      </c>
      <c r="D381" s="2" t="s">
        <v>146</v>
      </c>
      <c r="E381" s="2" t="s">
        <v>146</v>
      </c>
      <c r="F381" s="2" t="s">
        <v>146</v>
      </c>
      <c r="G381" s="2" t="s">
        <v>146</v>
      </c>
      <c r="H381" s="2" t="s">
        <v>146</v>
      </c>
      <c r="I381" s="2" t="s">
        <v>146</v>
      </c>
      <c r="J381" s="2" t="s">
        <v>146</v>
      </c>
      <c r="K381" s="2" t="s">
        <v>146</v>
      </c>
      <c r="L381" s="2" t="s">
        <v>146</v>
      </c>
      <c r="M381" s="2" t="s">
        <v>146</v>
      </c>
      <c r="N381" s="2" t="s">
        <v>146</v>
      </c>
      <c r="O381" s="2" t="s">
        <v>146</v>
      </c>
      <c r="P381" s="2" t="s">
        <v>146</v>
      </c>
      <c r="Q381" s="2" t="s">
        <v>146</v>
      </c>
      <c r="R381" s="2" t="s">
        <v>146</v>
      </c>
      <c r="S381" s="2" t="s">
        <v>146</v>
      </c>
      <c r="T381" s="2" t="s">
        <v>146</v>
      </c>
      <c r="U381" s="2" t="s">
        <v>146</v>
      </c>
      <c r="V381" s="2" t="s">
        <v>146</v>
      </c>
      <c r="W381" s="2" t="s">
        <v>146</v>
      </c>
      <c r="X381" s="2" t="s">
        <v>146</v>
      </c>
      <c r="Y381" s="2" t="s">
        <v>146</v>
      </c>
      <c r="Z381" s="2" t="s">
        <v>146</v>
      </c>
      <c r="AA381" s="2" t="s">
        <v>146</v>
      </c>
      <c r="AB381" s="2" t="s">
        <v>146</v>
      </c>
      <c r="AC381" s="2" t="s">
        <v>146</v>
      </c>
      <c r="AD381" s="2" t="s">
        <v>146</v>
      </c>
      <c r="AE381" s="2" t="s">
        <v>146</v>
      </c>
      <c r="AF381" s="2" t="s">
        <v>146</v>
      </c>
      <c r="AG381" s="2" t="s">
        <v>146</v>
      </c>
      <c r="AH381" s="2" t="s">
        <v>146</v>
      </c>
      <c r="AI381" s="2" t="s">
        <v>146</v>
      </c>
      <c r="AJ381" s="2" t="s">
        <v>146</v>
      </c>
      <c r="AK381" s="2" t="s">
        <v>146</v>
      </c>
      <c r="AL381" s="2" t="s">
        <v>146</v>
      </c>
      <c r="AM381" s="2" t="s">
        <v>146</v>
      </c>
      <c r="AN381" s="2" t="s">
        <v>146</v>
      </c>
      <c r="AO381" s="2" t="s">
        <v>146</v>
      </c>
      <c r="AQ381" s="2">
        <f t="shared" si="55"/>
        <v>0</v>
      </c>
      <c r="AR381" s="2">
        <f t="shared" si="56"/>
        <v>0</v>
      </c>
      <c r="AT381" s="2">
        <f t="shared" si="57"/>
        <v>0</v>
      </c>
      <c r="AU381" s="2">
        <f t="shared" si="58"/>
        <v>0</v>
      </c>
      <c r="AV381" s="27" t="str">
        <f t="shared" si="59"/>
        <v/>
      </c>
      <c r="AY381" s="2">
        <f t="shared" si="60"/>
        <v>0</v>
      </c>
      <c r="AZ381" s="2">
        <f t="shared" si="61"/>
        <v>0</v>
      </c>
      <c r="BA381" s="2">
        <f t="shared" si="62"/>
        <v>0</v>
      </c>
      <c r="BB381" s="2">
        <f t="shared" si="63"/>
        <v>0</v>
      </c>
      <c r="BC381" s="2">
        <f t="shared" si="64"/>
        <v>0</v>
      </c>
      <c r="BD381" s="2">
        <f t="shared" si="65"/>
        <v>0</v>
      </c>
    </row>
    <row r="382" spans="1:56" ht="15" customHeight="1" x14ac:dyDescent="0.45">
      <c r="A382" s="2" t="s">
        <v>187</v>
      </c>
      <c r="B382" s="2" t="s">
        <v>188</v>
      </c>
      <c r="C382" s="2">
        <v>2019</v>
      </c>
      <c r="D382" s="2" t="s">
        <v>146</v>
      </c>
      <c r="E382" s="2" t="s">
        <v>146</v>
      </c>
      <c r="F382" s="2" t="s">
        <v>146</v>
      </c>
      <c r="G382" s="2" t="s">
        <v>146</v>
      </c>
      <c r="H382" s="2" t="s">
        <v>146</v>
      </c>
      <c r="I382" s="2" t="s">
        <v>146</v>
      </c>
      <c r="J382" s="2" t="s">
        <v>146</v>
      </c>
      <c r="K382" s="2" t="s">
        <v>146</v>
      </c>
      <c r="L382" s="2" t="s">
        <v>146</v>
      </c>
      <c r="M382" s="2" t="s">
        <v>146</v>
      </c>
      <c r="N382" s="2" t="s">
        <v>146</v>
      </c>
      <c r="O382" s="2" t="s">
        <v>146</v>
      </c>
      <c r="P382" s="2" t="s">
        <v>146</v>
      </c>
      <c r="Q382" s="2" t="s">
        <v>146</v>
      </c>
      <c r="R382" s="2" t="s">
        <v>146</v>
      </c>
      <c r="S382" s="2" t="s">
        <v>146</v>
      </c>
      <c r="T382" s="2" t="s">
        <v>146</v>
      </c>
      <c r="U382" s="2" t="s">
        <v>146</v>
      </c>
      <c r="V382" s="2" t="s">
        <v>146</v>
      </c>
      <c r="W382" s="2" t="s">
        <v>146</v>
      </c>
      <c r="X382" s="2" t="s">
        <v>146</v>
      </c>
      <c r="Y382" s="2" t="s">
        <v>146</v>
      </c>
      <c r="Z382" s="2" t="s">
        <v>146</v>
      </c>
      <c r="AA382" s="2" t="s">
        <v>146</v>
      </c>
      <c r="AB382" s="2" t="s">
        <v>146</v>
      </c>
      <c r="AC382" s="2" t="s">
        <v>146</v>
      </c>
      <c r="AD382" s="2" t="s">
        <v>146</v>
      </c>
      <c r="AE382" s="2" t="s">
        <v>146</v>
      </c>
      <c r="AF382" s="2" t="s">
        <v>146</v>
      </c>
      <c r="AG382" s="2" t="s">
        <v>146</v>
      </c>
      <c r="AH382" s="2" t="s">
        <v>146</v>
      </c>
      <c r="AI382" s="2" t="s">
        <v>146</v>
      </c>
      <c r="AJ382" s="2" t="s">
        <v>146</v>
      </c>
      <c r="AK382" s="2" t="s">
        <v>146</v>
      </c>
      <c r="AL382" s="2" t="s">
        <v>146</v>
      </c>
      <c r="AM382" s="2" t="s">
        <v>146</v>
      </c>
      <c r="AN382" s="2" t="s">
        <v>146</v>
      </c>
      <c r="AO382" s="2" t="s">
        <v>146</v>
      </c>
      <c r="AQ382" s="2">
        <f t="shared" si="55"/>
        <v>0</v>
      </c>
      <c r="AR382" s="2">
        <f t="shared" si="56"/>
        <v>0</v>
      </c>
      <c r="AT382" s="2">
        <f t="shared" si="57"/>
        <v>0</v>
      </c>
      <c r="AU382" s="2">
        <f t="shared" si="58"/>
        <v>0</v>
      </c>
      <c r="AV382" s="27" t="str">
        <f t="shared" si="59"/>
        <v/>
      </c>
      <c r="AY382" s="2">
        <f t="shared" si="60"/>
        <v>0</v>
      </c>
      <c r="AZ382" s="2">
        <f t="shared" si="61"/>
        <v>0</v>
      </c>
      <c r="BA382" s="2">
        <f t="shared" si="62"/>
        <v>0</v>
      </c>
      <c r="BB382" s="2">
        <f t="shared" si="63"/>
        <v>0</v>
      </c>
      <c r="BC382" s="2">
        <f t="shared" si="64"/>
        <v>0</v>
      </c>
      <c r="BD382" s="2">
        <f t="shared" si="65"/>
        <v>0</v>
      </c>
    </row>
    <row r="383" spans="1:56" ht="15" customHeight="1" x14ac:dyDescent="0.45">
      <c r="A383" s="2" t="s">
        <v>187</v>
      </c>
      <c r="B383" s="2" t="s">
        <v>186</v>
      </c>
      <c r="C383" s="2">
        <v>2019</v>
      </c>
      <c r="D383" s="2">
        <v>95.174000000000007</v>
      </c>
      <c r="E383" s="2">
        <v>19.559000000000001</v>
      </c>
      <c r="F383" s="2">
        <v>3.8380000000000001</v>
      </c>
      <c r="G383" s="2" t="s">
        <v>726</v>
      </c>
      <c r="H383" s="2">
        <v>20.399999999999999</v>
      </c>
      <c r="I383" s="2">
        <v>130.56200000000001</v>
      </c>
      <c r="J383" s="2" t="s">
        <v>146</v>
      </c>
      <c r="K383" s="2" t="s">
        <v>146</v>
      </c>
      <c r="L383" s="2" t="s">
        <v>146</v>
      </c>
      <c r="M383" s="2" t="s">
        <v>146</v>
      </c>
      <c r="N383" s="2" t="s">
        <v>146</v>
      </c>
      <c r="O383" s="2" t="s">
        <v>146</v>
      </c>
      <c r="P383" s="2" t="s">
        <v>146</v>
      </c>
      <c r="Q383" s="2" t="s">
        <v>146</v>
      </c>
      <c r="R383" s="2" t="s">
        <v>146</v>
      </c>
      <c r="S383" s="2" t="s">
        <v>146</v>
      </c>
      <c r="T383" s="2" t="s">
        <v>146</v>
      </c>
      <c r="U383" s="2" t="s">
        <v>146</v>
      </c>
      <c r="V383" s="2" t="s">
        <v>146</v>
      </c>
      <c r="W383" s="2" t="s">
        <v>146</v>
      </c>
      <c r="X383" s="2" t="s">
        <v>146</v>
      </c>
      <c r="Y383" s="2" t="s">
        <v>146</v>
      </c>
      <c r="Z383" s="2" t="s">
        <v>146</v>
      </c>
      <c r="AA383" s="2">
        <v>0</v>
      </c>
      <c r="AB383" s="2" t="s">
        <v>146</v>
      </c>
      <c r="AC383" s="2" t="s">
        <v>146</v>
      </c>
      <c r="AD383" s="2" t="s">
        <v>146</v>
      </c>
      <c r="AE383" s="2" t="s">
        <v>146</v>
      </c>
      <c r="AF383" s="2">
        <v>119.962</v>
      </c>
      <c r="AG383" s="2">
        <v>0.87</v>
      </c>
      <c r="AH383" s="2" t="s">
        <v>160</v>
      </c>
      <c r="AI383" s="2">
        <v>37.299999999999997</v>
      </c>
      <c r="AJ383" s="2" t="s">
        <v>146</v>
      </c>
      <c r="AK383" s="2">
        <v>10.6</v>
      </c>
      <c r="AL383" s="2">
        <v>0</v>
      </c>
      <c r="AM383" s="2">
        <v>100</v>
      </c>
      <c r="AN383" s="2" t="s">
        <v>146</v>
      </c>
      <c r="AO383" s="2" t="s">
        <v>146</v>
      </c>
      <c r="AQ383" s="2">
        <f t="shared" si="55"/>
        <v>119.962</v>
      </c>
      <c r="AR383" s="2">
        <f t="shared" si="56"/>
        <v>130.56200000000001</v>
      </c>
      <c r="AT383" s="2">
        <f t="shared" si="57"/>
        <v>95.174000000000007</v>
      </c>
      <c r="AU383" s="2">
        <f t="shared" si="58"/>
        <v>19.559000000000001</v>
      </c>
      <c r="AV383" s="27">
        <f t="shared" si="59"/>
        <v>0.87876258023008225</v>
      </c>
      <c r="AY383" s="2">
        <f t="shared" si="60"/>
        <v>10.6</v>
      </c>
      <c r="AZ383" s="2">
        <f t="shared" si="61"/>
        <v>0</v>
      </c>
      <c r="BA383" s="2">
        <f t="shared" si="62"/>
        <v>10.6</v>
      </c>
      <c r="BB383" s="2">
        <f t="shared" si="63"/>
        <v>0</v>
      </c>
      <c r="BC383" s="2">
        <f t="shared" si="64"/>
        <v>0</v>
      </c>
      <c r="BD383" s="2">
        <f t="shared" si="65"/>
        <v>0</v>
      </c>
    </row>
    <row r="384" spans="1:56" ht="15" customHeight="1" x14ac:dyDescent="0.45">
      <c r="A384" s="2" t="s">
        <v>182</v>
      </c>
      <c r="B384" s="2" t="s">
        <v>185</v>
      </c>
      <c r="C384" s="2">
        <v>2019</v>
      </c>
      <c r="D384" s="2" t="s">
        <v>146</v>
      </c>
      <c r="E384" s="2" t="s">
        <v>146</v>
      </c>
      <c r="F384" s="2" t="s">
        <v>146</v>
      </c>
      <c r="G384" s="2" t="s">
        <v>146</v>
      </c>
      <c r="H384" s="2" t="s">
        <v>146</v>
      </c>
      <c r="I384" s="2" t="s">
        <v>146</v>
      </c>
      <c r="J384" s="2" t="s">
        <v>146</v>
      </c>
      <c r="K384" s="2" t="s">
        <v>146</v>
      </c>
      <c r="L384" s="2" t="s">
        <v>146</v>
      </c>
      <c r="M384" s="2" t="s">
        <v>146</v>
      </c>
      <c r="N384" s="2" t="s">
        <v>146</v>
      </c>
      <c r="O384" s="2" t="s">
        <v>146</v>
      </c>
      <c r="P384" s="2" t="s">
        <v>146</v>
      </c>
      <c r="Q384" s="2" t="s">
        <v>146</v>
      </c>
      <c r="R384" s="2" t="s">
        <v>146</v>
      </c>
      <c r="S384" s="2" t="s">
        <v>146</v>
      </c>
      <c r="T384" s="2" t="s">
        <v>146</v>
      </c>
      <c r="U384" s="2" t="s">
        <v>146</v>
      </c>
      <c r="V384" s="2" t="s">
        <v>146</v>
      </c>
      <c r="W384" s="2" t="s">
        <v>146</v>
      </c>
      <c r="X384" s="2" t="s">
        <v>146</v>
      </c>
      <c r="Y384" s="2" t="s">
        <v>146</v>
      </c>
      <c r="Z384" s="2" t="s">
        <v>146</v>
      </c>
      <c r="AA384" s="2" t="s">
        <v>146</v>
      </c>
      <c r="AB384" s="2" t="s">
        <v>146</v>
      </c>
      <c r="AC384" s="2" t="s">
        <v>146</v>
      </c>
      <c r="AD384" s="2" t="s">
        <v>146</v>
      </c>
      <c r="AE384" s="2" t="s">
        <v>146</v>
      </c>
      <c r="AF384" s="2" t="s">
        <v>146</v>
      </c>
      <c r="AG384" s="2" t="s">
        <v>146</v>
      </c>
      <c r="AH384" s="2" t="s">
        <v>146</v>
      </c>
      <c r="AI384" s="2" t="s">
        <v>146</v>
      </c>
      <c r="AJ384" s="2" t="s">
        <v>146</v>
      </c>
      <c r="AK384" s="2" t="s">
        <v>146</v>
      </c>
      <c r="AL384" s="2" t="s">
        <v>146</v>
      </c>
      <c r="AM384" s="2" t="s">
        <v>146</v>
      </c>
      <c r="AN384" s="2" t="s">
        <v>146</v>
      </c>
      <c r="AO384" s="2" t="s">
        <v>146</v>
      </c>
      <c r="AQ384" s="2">
        <f t="shared" si="55"/>
        <v>0</v>
      </c>
      <c r="AR384" s="2">
        <f t="shared" si="56"/>
        <v>0</v>
      </c>
      <c r="AT384" s="2">
        <f t="shared" si="57"/>
        <v>0</v>
      </c>
      <c r="AU384" s="2">
        <f t="shared" si="58"/>
        <v>0</v>
      </c>
      <c r="AV384" s="27" t="str">
        <f t="shared" si="59"/>
        <v/>
      </c>
      <c r="AY384" s="2">
        <f t="shared" si="60"/>
        <v>0</v>
      </c>
      <c r="AZ384" s="2">
        <f t="shared" si="61"/>
        <v>0</v>
      </c>
      <c r="BA384" s="2">
        <f t="shared" si="62"/>
        <v>0</v>
      </c>
      <c r="BB384" s="2">
        <f t="shared" si="63"/>
        <v>0</v>
      </c>
      <c r="BC384" s="2">
        <f t="shared" si="64"/>
        <v>0</v>
      </c>
      <c r="BD384" s="2">
        <f t="shared" si="65"/>
        <v>0</v>
      </c>
    </row>
    <row r="385" spans="1:56" ht="15" customHeight="1" x14ac:dyDescent="0.45">
      <c r="A385" s="2" t="s">
        <v>182</v>
      </c>
      <c r="B385" s="2" t="s">
        <v>184</v>
      </c>
      <c r="C385" s="2">
        <v>2019</v>
      </c>
      <c r="D385" s="2" t="s">
        <v>49</v>
      </c>
      <c r="E385" s="2" t="s">
        <v>49</v>
      </c>
      <c r="F385" s="2" t="s">
        <v>49</v>
      </c>
      <c r="G385" s="2" t="s">
        <v>49</v>
      </c>
      <c r="H385" s="2" t="s">
        <v>49</v>
      </c>
      <c r="I385" s="2" t="s">
        <v>49</v>
      </c>
      <c r="J385" s="2" t="s">
        <v>49</v>
      </c>
      <c r="K385" s="2" t="s">
        <v>49</v>
      </c>
      <c r="L385" s="2" t="s">
        <v>49</v>
      </c>
      <c r="M385" s="2" t="s">
        <v>49</v>
      </c>
      <c r="N385" s="2" t="s">
        <v>49</v>
      </c>
      <c r="O385" s="2" t="s">
        <v>49</v>
      </c>
      <c r="P385" s="2" t="s">
        <v>49</v>
      </c>
      <c r="Q385" s="2" t="s">
        <v>49</v>
      </c>
      <c r="R385" s="2" t="s">
        <v>49</v>
      </c>
      <c r="S385" s="2" t="s">
        <v>49</v>
      </c>
      <c r="T385" s="2" t="s">
        <v>49</v>
      </c>
      <c r="U385" s="2" t="s">
        <v>49</v>
      </c>
      <c r="V385" s="2" t="s">
        <v>49</v>
      </c>
      <c r="W385" s="2" t="s">
        <v>49</v>
      </c>
      <c r="X385" s="2" t="s">
        <v>49</v>
      </c>
      <c r="Y385" s="2" t="s">
        <v>49</v>
      </c>
      <c r="Z385" s="2" t="s">
        <v>49</v>
      </c>
      <c r="AA385" s="2" t="s">
        <v>49</v>
      </c>
      <c r="AB385" s="2" t="s">
        <v>49</v>
      </c>
      <c r="AC385" s="2" t="s">
        <v>49</v>
      </c>
      <c r="AD385" s="2" t="s">
        <v>49</v>
      </c>
      <c r="AE385" s="2" t="s">
        <v>49</v>
      </c>
      <c r="AF385" s="2" t="s">
        <v>49</v>
      </c>
      <c r="AG385" s="2" t="s">
        <v>49</v>
      </c>
      <c r="AH385" s="2" t="s">
        <v>49</v>
      </c>
      <c r="AI385" s="2" t="s">
        <v>49</v>
      </c>
      <c r="AJ385" s="2" t="s">
        <v>49</v>
      </c>
      <c r="AK385" s="2" t="s">
        <v>49</v>
      </c>
      <c r="AL385" s="2" t="s">
        <v>49</v>
      </c>
      <c r="AM385" s="2" t="s">
        <v>49</v>
      </c>
      <c r="AN385" s="2" t="s">
        <v>49</v>
      </c>
      <c r="AO385" s="2" t="s">
        <v>49</v>
      </c>
      <c r="AQ385" s="2">
        <f t="shared" si="55"/>
        <v>0</v>
      </c>
      <c r="AR385" s="2">
        <f t="shared" si="56"/>
        <v>0</v>
      </c>
      <c r="AT385" s="2">
        <f t="shared" si="57"/>
        <v>0</v>
      </c>
      <c r="AU385" s="2">
        <f t="shared" si="58"/>
        <v>0</v>
      </c>
      <c r="AV385" s="27" t="str">
        <f t="shared" si="59"/>
        <v/>
      </c>
      <c r="AY385" s="2">
        <f t="shared" si="60"/>
        <v>0</v>
      </c>
      <c r="AZ385" s="2">
        <f t="shared" si="61"/>
        <v>0</v>
      </c>
      <c r="BA385" s="2">
        <f t="shared" si="62"/>
        <v>0</v>
      </c>
      <c r="BB385" s="2">
        <f t="shared" si="63"/>
        <v>0</v>
      </c>
      <c r="BC385" s="2">
        <f t="shared" si="64"/>
        <v>0</v>
      </c>
      <c r="BD385" s="2">
        <f t="shared" si="65"/>
        <v>0</v>
      </c>
    </row>
    <row r="386" spans="1:56" ht="15" customHeight="1" x14ac:dyDescent="0.45">
      <c r="A386" s="2" t="s">
        <v>182</v>
      </c>
      <c r="B386" s="2" t="s">
        <v>183</v>
      </c>
      <c r="C386" s="2">
        <v>2019</v>
      </c>
      <c r="D386" s="2" t="s">
        <v>49</v>
      </c>
      <c r="E386" s="2" t="s">
        <v>49</v>
      </c>
      <c r="F386" s="2" t="s">
        <v>49</v>
      </c>
      <c r="G386" s="2" t="s">
        <v>49</v>
      </c>
      <c r="H386" s="2" t="s">
        <v>49</v>
      </c>
      <c r="I386" s="2" t="s">
        <v>49</v>
      </c>
      <c r="J386" s="2" t="s">
        <v>49</v>
      </c>
      <c r="K386" s="2" t="s">
        <v>49</v>
      </c>
      <c r="L386" s="2" t="s">
        <v>49</v>
      </c>
      <c r="M386" s="2" t="s">
        <v>49</v>
      </c>
      <c r="N386" s="2" t="s">
        <v>49</v>
      </c>
      <c r="O386" s="2" t="s">
        <v>49</v>
      </c>
      <c r="P386" s="2" t="s">
        <v>49</v>
      </c>
      <c r="Q386" s="2" t="s">
        <v>49</v>
      </c>
      <c r="R386" s="2" t="s">
        <v>49</v>
      </c>
      <c r="S386" s="2" t="s">
        <v>49</v>
      </c>
      <c r="T386" s="2" t="s">
        <v>49</v>
      </c>
      <c r="U386" s="2" t="s">
        <v>49</v>
      </c>
      <c r="V386" s="2" t="s">
        <v>49</v>
      </c>
      <c r="W386" s="2" t="s">
        <v>49</v>
      </c>
      <c r="X386" s="2" t="s">
        <v>49</v>
      </c>
      <c r="Y386" s="2" t="s">
        <v>49</v>
      </c>
      <c r="Z386" s="2" t="s">
        <v>49</v>
      </c>
      <c r="AA386" s="2" t="s">
        <v>49</v>
      </c>
      <c r="AB386" s="2" t="s">
        <v>49</v>
      </c>
      <c r="AC386" s="2" t="s">
        <v>49</v>
      </c>
      <c r="AD386" s="2" t="s">
        <v>49</v>
      </c>
      <c r="AE386" s="2" t="s">
        <v>49</v>
      </c>
      <c r="AF386" s="2" t="s">
        <v>49</v>
      </c>
      <c r="AG386" s="2" t="s">
        <v>49</v>
      </c>
      <c r="AH386" s="2" t="s">
        <v>49</v>
      </c>
      <c r="AI386" s="2" t="s">
        <v>49</v>
      </c>
      <c r="AJ386" s="2" t="s">
        <v>49</v>
      </c>
      <c r="AK386" s="2" t="s">
        <v>49</v>
      </c>
      <c r="AL386" s="2" t="s">
        <v>49</v>
      </c>
      <c r="AM386" s="2" t="s">
        <v>49</v>
      </c>
      <c r="AN386" s="2" t="s">
        <v>49</v>
      </c>
      <c r="AO386" s="2" t="s">
        <v>49</v>
      </c>
      <c r="AQ386" s="2">
        <f t="shared" si="55"/>
        <v>0</v>
      </c>
      <c r="AR386" s="2">
        <f t="shared" si="56"/>
        <v>0</v>
      </c>
      <c r="AT386" s="2">
        <f t="shared" si="57"/>
        <v>0</v>
      </c>
      <c r="AU386" s="2">
        <f t="shared" si="58"/>
        <v>0</v>
      </c>
      <c r="AV386" s="27" t="str">
        <f t="shared" si="59"/>
        <v/>
      </c>
      <c r="AY386" s="2">
        <f t="shared" si="60"/>
        <v>0</v>
      </c>
      <c r="AZ386" s="2">
        <f t="shared" si="61"/>
        <v>0</v>
      </c>
      <c r="BA386" s="2">
        <f t="shared" si="62"/>
        <v>0</v>
      </c>
      <c r="BB386" s="2">
        <f t="shared" si="63"/>
        <v>0</v>
      </c>
      <c r="BC386" s="2">
        <f t="shared" si="64"/>
        <v>0</v>
      </c>
      <c r="BD386" s="2">
        <f t="shared" si="65"/>
        <v>0</v>
      </c>
    </row>
    <row r="387" spans="1:56" ht="15" customHeight="1" x14ac:dyDescent="0.45">
      <c r="A387" s="2" t="s">
        <v>182</v>
      </c>
      <c r="B387" s="2" t="s">
        <v>181</v>
      </c>
      <c r="C387" s="2">
        <v>2019</v>
      </c>
      <c r="D387" s="2" t="s">
        <v>49</v>
      </c>
      <c r="E387" s="2" t="s">
        <v>49</v>
      </c>
      <c r="F387" s="2" t="s">
        <v>49</v>
      </c>
      <c r="G387" s="2" t="s">
        <v>49</v>
      </c>
      <c r="H387" s="2" t="s">
        <v>49</v>
      </c>
      <c r="I387" s="2" t="s">
        <v>49</v>
      </c>
      <c r="J387" s="2" t="s">
        <v>49</v>
      </c>
      <c r="K387" s="2" t="s">
        <v>49</v>
      </c>
      <c r="L387" s="2" t="s">
        <v>49</v>
      </c>
      <c r="M387" s="2" t="s">
        <v>49</v>
      </c>
      <c r="N387" s="2" t="s">
        <v>49</v>
      </c>
      <c r="O387" s="2" t="s">
        <v>49</v>
      </c>
      <c r="P387" s="2" t="s">
        <v>49</v>
      </c>
      <c r="Q387" s="2" t="s">
        <v>49</v>
      </c>
      <c r="R387" s="2" t="s">
        <v>49</v>
      </c>
      <c r="S387" s="2" t="s">
        <v>49</v>
      </c>
      <c r="T387" s="2" t="s">
        <v>49</v>
      </c>
      <c r="U387" s="2" t="s">
        <v>49</v>
      </c>
      <c r="V387" s="2" t="s">
        <v>49</v>
      </c>
      <c r="W387" s="2" t="s">
        <v>49</v>
      </c>
      <c r="X387" s="2" t="s">
        <v>49</v>
      </c>
      <c r="Y387" s="2" t="s">
        <v>49</v>
      </c>
      <c r="Z387" s="2" t="s">
        <v>49</v>
      </c>
      <c r="AA387" s="2" t="s">
        <v>49</v>
      </c>
      <c r="AB387" s="2" t="s">
        <v>49</v>
      </c>
      <c r="AC387" s="2" t="s">
        <v>49</v>
      </c>
      <c r="AD387" s="2" t="s">
        <v>49</v>
      </c>
      <c r="AE387" s="2" t="s">
        <v>49</v>
      </c>
      <c r="AF387" s="2" t="s">
        <v>49</v>
      </c>
      <c r="AG387" s="2" t="s">
        <v>49</v>
      </c>
      <c r="AH387" s="2" t="s">
        <v>49</v>
      </c>
      <c r="AI387" s="2" t="s">
        <v>49</v>
      </c>
      <c r="AJ387" s="2" t="s">
        <v>49</v>
      </c>
      <c r="AK387" s="2" t="s">
        <v>49</v>
      </c>
      <c r="AL387" s="2" t="s">
        <v>49</v>
      </c>
      <c r="AM387" s="2" t="s">
        <v>49</v>
      </c>
      <c r="AN387" s="2" t="s">
        <v>49</v>
      </c>
      <c r="AO387" s="2" t="s">
        <v>49</v>
      </c>
      <c r="AQ387" s="2">
        <f t="shared" ref="AQ387:AQ409" si="66">SUMPRODUCT(J387:AF387)+IFERROR(AJ387/1,0)</f>
        <v>0</v>
      </c>
      <c r="AR387" s="2">
        <f t="shared" ref="AR387:AR409" si="67">SUMPRODUCT(J387:AF387)+SUMPRODUCT(AJ387:AK387)</f>
        <v>0</v>
      </c>
      <c r="AT387" s="2">
        <f t="shared" ref="AT387:AT409" si="68">IFERROR(D387/1,0)</f>
        <v>0</v>
      </c>
      <c r="AU387" s="2">
        <f t="shared" ref="AU387:AU409" si="69">IFERROR(E387/1,0)</f>
        <v>0</v>
      </c>
      <c r="AV387" s="27" t="str">
        <f t="shared" ref="AV387:AV409" si="70">IFERROR((AT387+AU387)/AR387,"")</f>
        <v/>
      </c>
      <c r="AY387" s="2">
        <f t="shared" ref="AY387:AY409" si="71">IFERROR(AK387/1,0)</f>
        <v>0</v>
      </c>
      <c r="AZ387" s="2">
        <f t="shared" ref="AZ387:AZ409" si="72">IFERROR(AL387/100,0)*$AY387</f>
        <v>0</v>
      </c>
      <c r="BA387" s="2">
        <f t="shared" ref="BA387:BA409" si="73">IFERROR(AM387/100,0)*$AY387</f>
        <v>0</v>
      </c>
      <c r="BB387" s="2">
        <f t="shared" ref="BB387:BB409" si="74">IFERROR(AN387/100,0)*$AY387</f>
        <v>0</v>
      </c>
      <c r="BC387" s="2">
        <f t="shared" ref="BC387:BC409" si="75">IFERROR(AO387/100,0)*$AY387</f>
        <v>0</v>
      </c>
      <c r="BD387" s="2">
        <f t="shared" ref="BD387:BD409" si="76">MAX(AY387-SUM(AZ387:BC387),0)</f>
        <v>0</v>
      </c>
    </row>
    <row r="388" spans="1:56" ht="15" customHeight="1" x14ac:dyDescent="0.45">
      <c r="A388" s="2" t="s">
        <v>175</v>
      </c>
      <c r="B388" s="2" t="s">
        <v>180</v>
      </c>
      <c r="C388" s="2">
        <v>2019</v>
      </c>
      <c r="D388" s="2" t="s">
        <v>146</v>
      </c>
      <c r="E388" s="2" t="s">
        <v>146</v>
      </c>
      <c r="F388" s="2" t="s">
        <v>146</v>
      </c>
      <c r="G388" s="2" t="s">
        <v>146</v>
      </c>
      <c r="H388" s="2" t="s">
        <v>146</v>
      </c>
      <c r="I388" s="2" t="s">
        <v>146</v>
      </c>
      <c r="J388" s="2" t="s">
        <v>146</v>
      </c>
      <c r="K388" s="2" t="s">
        <v>146</v>
      </c>
      <c r="L388" s="2" t="s">
        <v>146</v>
      </c>
      <c r="M388" s="2" t="s">
        <v>146</v>
      </c>
      <c r="N388" s="2" t="s">
        <v>146</v>
      </c>
      <c r="O388" s="2" t="s">
        <v>146</v>
      </c>
      <c r="P388" s="2" t="s">
        <v>146</v>
      </c>
      <c r="Q388" s="2" t="s">
        <v>146</v>
      </c>
      <c r="R388" s="2" t="s">
        <v>146</v>
      </c>
      <c r="S388" s="2" t="s">
        <v>146</v>
      </c>
      <c r="T388" s="2" t="s">
        <v>146</v>
      </c>
      <c r="U388" s="2" t="s">
        <v>146</v>
      </c>
      <c r="V388" s="2" t="s">
        <v>146</v>
      </c>
      <c r="W388" s="2" t="s">
        <v>146</v>
      </c>
      <c r="X388" s="2" t="s">
        <v>146</v>
      </c>
      <c r="Y388" s="2" t="s">
        <v>146</v>
      </c>
      <c r="Z388" s="2" t="s">
        <v>146</v>
      </c>
      <c r="AA388" s="2" t="s">
        <v>146</v>
      </c>
      <c r="AB388" s="2" t="s">
        <v>146</v>
      </c>
      <c r="AC388" s="2" t="s">
        <v>146</v>
      </c>
      <c r="AD388" s="2" t="s">
        <v>146</v>
      </c>
      <c r="AE388" s="2" t="s">
        <v>146</v>
      </c>
      <c r="AF388" s="2" t="s">
        <v>146</v>
      </c>
      <c r="AG388" s="2" t="s">
        <v>146</v>
      </c>
      <c r="AH388" s="2" t="s">
        <v>146</v>
      </c>
      <c r="AI388" s="2" t="s">
        <v>146</v>
      </c>
      <c r="AJ388" s="2" t="s">
        <v>146</v>
      </c>
      <c r="AK388" s="2" t="s">
        <v>146</v>
      </c>
      <c r="AL388" s="2" t="s">
        <v>146</v>
      </c>
      <c r="AM388" s="2" t="s">
        <v>146</v>
      </c>
      <c r="AN388" s="2" t="s">
        <v>146</v>
      </c>
      <c r="AO388" s="2" t="s">
        <v>146</v>
      </c>
      <c r="AQ388" s="2">
        <f t="shared" si="66"/>
        <v>0</v>
      </c>
      <c r="AR388" s="2">
        <f t="shared" si="67"/>
        <v>0</v>
      </c>
      <c r="AT388" s="2">
        <f t="shared" si="68"/>
        <v>0</v>
      </c>
      <c r="AU388" s="2">
        <f t="shared" si="69"/>
        <v>0</v>
      </c>
      <c r="AV388" s="27" t="str">
        <f t="shared" si="70"/>
        <v/>
      </c>
      <c r="AY388" s="2">
        <f t="shared" si="71"/>
        <v>0</v>
      </c>
      <c r="AZ388" s="2">
        <f t="shared" si="72"/>
        <v>0</v>
      </c>
      <c r="BA388" s="2">
        <f t="shared" si="73"/>
        <v>0</v>
      </c>
      <c r="BB388" s="2">
        <f t="shared" si="74"/>
        <v>0</v>
      </c>
      <c r="BC388" s="2">
        <f t="shared" si="75"/>
        <v>0</v>
      </c>
      <c r="BD388" s="2">
        <f t="shared" si="76"/>
        <v>0</v>
      </c>
    </row>
    <row r="389" spans="1:56" ht="15" customHeight="1" x14ac:dyDescent="0.45">
      <c r="A389" s="2" t="s">
        <v>175</v>
      </c>
      <c r="B389" s="2" t="s">
        <v>179</v>
      </c>
      <c r="C389" s="2">
        <v>2019</v>
      </c>
      <c r="D389" s="2" t="s">
        <v>146</v>
      </c>
      <c r="E389" s="2" t="s">
        <v>146</v>
      </c>
      <c r="F389" s="2" t="s">
        <v>146</v>
      </c>
      <c r="G389" s="2" t="s">
        <v>146</v>
      </c>
      <c r="H389" s="2" t="s">
        <v>146</v>
      </c>
      <c r="I389" s="2" t="s">
        <v>146</v>
      </c>
      <c r="J389" s="2" t="s">
        <v>146</v>
      </c>
      <c r="K389" s="2" t="s">
        <v>146</v>
      </c>
      <c r="L389" s="2" t="s">
        <v>146</v>
      </c>
      <c r="M389" s="2" t="s">
        <v>146</v>
      </c>
      <c r="N389" s="2" t="s">
        <v>146</v>
      </c>
      <c r="O389" s="2" t="s">
        <v>146</v>
      </c>
      <c r="P389" s="2" t="s">
        <v>146</v>
      </c>
      <c r="Q389" s="2" t="s">
        <v>146</v>
      </c>
      <c r="R389" s="2" t="s">
        <v>146</v>
      </c>
      <c r="S389" s="2" t="s">
        <v>146</v>
      </c>
      <c r="T389" s="2" t="s">
        <v>146</v>
      </c>
      <c r="U389" s="2" t="s">
        <v>146</v>
      </c>
      <c r="V389" s="2" t="s">
        <v>146</v>
      </c>
      <c r="W389" s="2" t="s">
        <v>146</v>
      </c>
      <c r="X389" s="2" t="s">
        <v>146</v>
      </c>
      <c r="Y389" s="2" t="s">
        <v>146</v>
      </c>
      <c r="Z389" s="2" t="s">
        <v>146</v>
      </c>
      <c r="AA389" s="2" t="s">
        <v>146</v>
      </c>
      <c r="AB389" s="2" t="s">
        <v>146</v>
      </c>
      <c r="AC389" s="2" t="s">
        <v>146</v>
      </c>
      <c r="AD389" s="2" t="s">
        <v>146</v>
      </c>
      <c r="AE389" s="2" t="s">
        <v>146</v>
      </c>
      <c r="AF389" s="2" t="s">
        <v>146</v>
      </c>
      <c r="AG389" s="2" t="s">
        <v>146</v>
      </c>
      <c r="AH389" s="2" t="s">
        <v>146</v>
      </c>
      <c r="AI389" s="2" t="s">
        <v>146</v>
      </c>
      <c r="AJ389" s="2" t="s">
        <v>146</v>
      </c>
      <c r="AK389" s="2" t="s">
        <v>146</v>
      </c>
      <c r="AL389" s="2" t="s">
        <v>146</v>
      </c>
      <c r="AM389" s="2" t="s">
        <v>146</v>
      </c>
      <c r="AN389" s="2" t="s">
        <v>146</v>
      </c>
      <c r="AO389" s="2" t="s">
        <v>146</v>
      </c>
      <c r="AQ389" s="2">
        <f t="shared" si="66"/>
        <v>0</v>
      </c>
      <c r="AR389" s="2">
        <f t="shared" si="67"/>
        <v>0</v>
      </c>
      <c r="AT389" s="2">
        <f t="shared" si="68"/>
        <v>0</v>
      </c>
      <c r="AU389" s="2">
        <f t="shared" si="69"/>
        <v>0</v>
      </c>
      <c r="AV389" s="27" t="str">
        <f t="shared" si="70"/>
        <v/>
      </c>
      <c r="AY389" s="2">
        <f t="shared" si="71"/>
        <v>0</v>
      </c>
      <c r="AZ389" s="2">
        <f t="shared" si="72"/>
        <v>0</v>
      </c>
      <c r="BA389" s="2">
        <f t="shared" si="73"/>
        <v>0</v>
      </c>
      <c r="BB389" s="2">
        <f t="shared" si="74"/>
        <v>0</v>
      </c>
      <c r="BC389" s="2">
        <f t="shared" si="75"/>
        <v>0</v>
      </c>
      <c r="BD389" s="2">
        <f t="shared" si="76"/>
        <v>0</v>
      </c>
    </row>
    <row r="390" spans="1:56" ht="15" customHeight="1" x14ac:dyDescent="0.45">
      <c r="A390" s="2" t="s">
        <v>175</v>
      </c>
      <c r="B390" s="2" t="s">
        <v>178</v>
      </c>
      <c r="C390" s="2">
        <v>2019</v>
      </c>
      <c r="D390" s="2" t="s">
        <v>146</v>
      </c>
      <c r="E390" s="2" t="s">
        <v>146</v>
      </c>
      <c r="F390" s="2" t="s">
        <v>146</v>
      </c>
      <c r="G390" s="2" t="s">
        <v>146</v>
      </c>
      <c r="H390" s="2" t="s">
        <v>146</v>
      </c>
      <c r="I390" s="2" t="s">
        <v>146</v>
      </c>
      <c r="J390" s="2" t="s">
        <v>146</v>
      </c>
      <c r="K390" s="2" t="s">
        <v>146</v>
      </c>
      <c r="L390" s="2" t="s">
        <v>146</v>
      </c>
      <c r="M390" s="2" t="s">
        <v>146</v>
      </c>
      <c r="N390" s="2" t="s">
        <v>146</v>
      </c>
      <c r="O390" s="2" t="s">
        <v>146</v>
      </c>
      <c r="P390" s="2" t="s">
        <v>146</v>
      </c>
      <c r="Q390" s="2" t="s">
        <v>146</v>
      </c>
      <c r="R390" s="2" t="s">
        <v>146</v>
      </c>
      <c r="S390" s="2" t="s">
        <v>146</v>
      </c>
      <c r="T390" s="2" t="s">
        <v>146</v>
      </c>
      <c r="U390" s="2" t="s">
        <v>146</v>
      </c>
      <c r="V390" s="2" t="s">
        <v>146</v>
      </c>
      <c r="W390" s="2" t="s">
        <v>146</v>
      </c>
      <c r="X390" s="2" t="s">
        <v>146</v>
      </c>
      <c r="Y390" s="2" t="s">
        <v>146</v>
      </c>
      <c r="Z390" s="2" t="s">
        <v>146</v>
      </c>
      <c r="AA390" s="2" t="s">
        <v>146</v>
      </c>
      <c r="AB390" s="2" t="s">
        <v>146</v>
      </c>
      <c r="AC390" s="2" t="s">
        <v>146</v>
      </c>
      <c r="AD390" s="2" t="s">
        <v>146</v>
      </c>
      <c r="AE390" s="2" t="s">
        <v>146</v>
      </c>
      <c r="AF390" s="2" t="s">
        <v>146</v>
      </c>
      <c r="AG390" s="2" t="s">
        <v>146</v>
      </c>
      <c r="AH390" s="2" t="s">
        <v>146</v>
      </c>
      <c r="AI390" s="2" t="s">
        <v>146</v>
      </c>
      <c r="AJ390" s="2" t="s">
        <v>146</v>
      </c>
      <c r="AK390" s="2" t="s">
        <v>146</v>
      </c>
      <c r="AL390" s="2" t="s">
        <v>146</v>
      </c>
      <c r="AM390" s="2" t="s">
        <v>146</v>
      </c>
      <c r="AN390" s="2" t="s">
        <v>146</v>
      </c>
      <c r="AO390" s="2" t="s">
        <v>146</v>
      </c>
      <c r="AQ390" s="2">
        <f t="shared" si="66"/>
        <v>0</v>
      </c>
      <c r="AR390" s="2">
        <f t="shared" si="67"/>
        <v>0</v>
      </c>
      <c r="AT390" s="2">
        <f t="shared" si="68"/>
        <v>0</v>
      </c>
      <c r="AU390" s="2">
        <f t="shared" si="69"/>
        <v>0</v>
      </c>
      <c r="AV390" s="27" t="str">
        <f t="shared" si="70"/>
        <v/>
      </c>
      <c r="AY390" s="2">
        <f t="shared" si="71"/>
        <v>0</v>
      </c>
      <c r="AZ390" s="2">
        <f t="shared" si="72"/>
        <v>0</v>
      </c>
      <c r="BA390" s="2">
        <f t="shared" si="73"/>
        <v>0</v>
      </c>
      <c r="BB390" s="2">
        <f t="shared" si="74"/>
        <v>0</v>
      </c>
      <c r="BC390" s="2">
        <f t="shared" si="75"/>
        <v>0</v>
      </c>
      <c r="BD390" s="2">
        <f t="shared" si="76"/>
        <v>0</v>
      </c>
    </row>
    <row r="391" spans="1:56" ht="15" customHeight="1" x14ac:dyDescent="0.45">
      <c r="A391" s="2" t="s">
        <v>175</v>
      </c>
      <c r="B391" s="2" t="s">
        <v>177</v>
      </c>
      <c r="C391" s="2">
        <v>2019</v>
      </c>
      <c r="D391" s="2" t="s">
        <v>146</v>
      </c>
      <c r="E391" s="2" t="s">
        <v>146</v>
      </c>
      <c r="F391" s="2" t="s">
        <v>146</v>
      </c>
      <c r="G391" s="2" t="s">
        <v>146</v>
      </c>
      <c r="H391" s="2" t="s">
        <v>146</v>
      </c>
      <c r="I391" s="2" t="s">
        <v>146</v>
      </c>
      <c r="J391" s="2" t="s">
        <v>146</v>
      </c>
      <c r="K391" s="2" t="s">
        <v>146</v>
      </c>
      <c r="L391" s="2" t="s">
        <v>146</v>
      </c>
      <c r="M391" s="2" t="s">
        <v>146</v>
      </c>
      <c r="N391" s="2" t="s">
        <v>146</v>
      </c>
      <c r="O391" s="2" t="s">
        <v>146</v>
      </c>
      <c r="P391" s="2" t="s">
        <v>146</v>
      </c>
      <c r="Q391" s="2" t="s">
        <v>146</v>
      </c>
      <c r="R391" s="2" t="s">
        <v>146</v>
      </c>
      <c r="S391" s="2" t="s">
        <v>146</v>
      </c>
      <c r="T391" s="2" t="s">
        <v>146</v>
      </c>
      <c r="U391" s="2" t="s">
        <v>146</v>
      </c>
      <c r="V391" s="2" t="s">
        <v>146</v>
      </c>
      <c r="W391" s="2" t="s">
        <v>146</v>
      </c>
      <c r="X391" s="2" t="s">
        <v>146</v>
      </c>
      <c r="Y391" s="2" t="s">
        <v>146</v>
      </c>
      <c r="Z391" s="2" t="s">
        <v>146</v>
      </c>
      <c r="AA391" s="2" t="s">
        <v>146</v>
      </c>
      <c r="AB391" s="2" t="s">
        <v>146</v>
      </c>
      <c r="AC391" s="2" t="s">
        <v>146</v>
      </c>
      <c r="AD391" s="2" t="s">
        <v>146</v>
      </c>
      <c r="AE391" s="2" t="s">
        <v>146</v>
      </c>
      <c r="AF391" s="2" t="s">
        <v>146</v>
      </c>
      <c r="AG391" s="2" t="s">
        <v>146</v>
      </c>
      <c r="AH391" s="2" t="s">
        <v>146</v>
      </c>
      <c r="AI391" s="2" t="s">
        <v>146</v>
      </c>
      <c r="AJ391" s="2" t="s">
        <v>146</v>
      </c>
      <c r="AK391" s="2" t="s">
        <v>146</v>
      </c>
      <c r="AL391" s="2" t="s">
        <v>146</v>
      </c>
      <c r="AM391" s="2" t="s">
        <v>146</v>
      </c>
      <c r="AN391" s="2" t="s">
        <v>146</v>
      </c>
      <c r="AO391" s="2" t="s">
        <v>146</v>
      </c>
      <c r="AQ391" s="2">
        <f t="shared" si="66"/>
        <v>0</v>
      </c>
      <c r="AR391" s="2">
        <f t="shared" si="67"/>
        <v>0</v>
      </c>
      <c r="AT391" s="2">
        <f t="shared" si="68"/>
        <v>0</v>
      </c>
      <c r="AU391" s="2">
        <f t="shared" si="69"/>
        <v>0</v>
      </c>
      <c r="AV391" s="27" t="str">
        <f t="shared" si="70"/>
        <v/>
      </c>
      <c r="AY391" s="2">
        <f t="shared" si="71"/>
        <v>0</v>
      </c>
      <c r="AZ391" s="2">
        <f t="shared" si="72"/>
        <v>0</v>
      </c>
      <c r="BA391" s="2">
        <f t="shared" si="73"/>
        <v>0</v>
      </c>
      <c r="BB391" s="2">
        <f t="shared" si="74"/>
        <v>0</v>
      </c>
      <c r="BC391" s="2">
        <f t="shared" si="75"/>
        <v>0</v>
      </c>
      <c r="BD391" s="2">
        <f t="shared" si="76"/>
        <v>0</v>
      </c>
    </row>
    <row r="392" spans="1:56" ht="15" customHeight="1" x14ac:dyDescent="0.45">
      <c r="A392" s="2" t="s">
        <v>175</v>
      </c>
      <c r="B392" s="2" t="s">
        <v>174</v>
      </c>
      <c r="C392" s="2">
        <v>2019</v>
      </c>
      <c r="D392" s="2">
        <v>539.9</v>
      </c>
      <c r="E392" s="2">
        <v>232.5</v>
      </c>
      <c r="F392" s="2" t="s">
        <v>146</v>
      </c>
      <c r="G392" s="2" t="s">
        <v>146</v>
      </c>
      <c r="H392" s="2" t="s">
        <v>146</v>
      </c>
      <c r="I392" s="2">
        <v>928.7</v>
      </c>
      <c r="J392" s="2" t="s">
        <v>146</v>
      </c>
      <c r="K392" s="2">
        <v>0.9</v>
      </c>
      <c r="L392" s="2" t="s">
        <v>146</v>
      </c>
      <c r="M392" s="2">
        <v>0</v>
      </c>
      <c r="N392" s="2" t="s">
        <v>146</v>
      </c>
      <c r="O392" s="2" t="s">
        <v>146</v>
      </c>
      <c r="P392" s="2" t="s">
        <v>146</v>
      </c>
      <c r="Q392" s="2">
        <v>427.1</v>
      </c>
      <c r="R392" s="2">
        <v>119.5</v>
      </c>
      <c r="S392" s="2">
        <v>112.8</v>
      </c>
      <c r="T392" s="2">
        <v>108.7</v>
      </c>
      <c r="U392" s="2" t="s">
        <v>146</v>
      </c>
      <c r="V392" s="2" t="s">
        <v>146</v>
      </c>
      <c r="W392" s="2" t="s">
        <v>147</v>
      </c>
      <c r="X392" s="2" t="s">
        <v>146</v>
      </c>
      <c r="Y392" s="2" t="s">
        <v>146</v>
      </c>
      <c r="Z392" s="2" t="s">
        <v>146</v>
      </c>
      <c r="AA392" s="2">
        <v>47.7</v>
      </c>
      <c r="AB392" s="2" t="s">
        <v>146</v>
      </c>
      <c r="AC392" s="2" t="s">
        <v>146</v>
      </c>
      <c r="AD392" s="2" t="s">
        <v>146</v>
      </c>
      <c r="AE392" s="2">
        <v>49.1</v>
      </c>
      <c r="AF392" s="2" t="s">
        <v>146</v>
      </c>
      <c r="AG392" s="2" t="s">
        <v>146</v>
      </c>
      <c r="AH392" s="2" t="s">
        <v>155</v>
      </c>
      <c r="AI392" s="2" t="s">
        <v>146</v>
      </c>
      <c r="AJ392" s="2" t="s">
        <v>146</v>
      </c>
      <c r="AK392" s="2">
        <v>62.9</v>
      </c>
      <c r="AL392" s="2">
        <v>99</v>
      </c>
      <c r="AM392" s="2" t="s">
        <v>146</v>
      </c>
      <c r="AN392" s="2" t="s">
        <v>146</v>
      </c>
      <c r="AO392" s="2">
        <v>0</v>
      </c>
      <c r="AQ392" s="2">
        <f t="shared" si="66"/>
        <v>865.80000000000007</v>
      </c>
      <c r="AR392" s="2">
        <f t="shared" si="67"/>
        <v>928.7</v>
      </c>
      <c r="AT392" s="2">
        <f t="shared" si="68"/>
        <v>539.9</v>
      </c>
      <c r="AU392" s="2">
        <f t="shared" si="69"/>
        <v>232.5</v>
      </c>
      <c r="AV392" s="27">
        <f t="shared" si="70"/>
        <v>0.8317002261225368</v>
      </c>
      <c r="AY392" s="2">
        <f t="shared" si="71"/>
        <v>62.9</v>
      </c>
      <c r="AZ392" s="2">
        <f t="shared" si="72"/>
        <v>62.271000000000001</v>
      </c>
      <c r="BA392" s="2">
        <f t="shared" si="73"/>
        <v>0</v>
      </c>
      <c r="BB392" s="2">
        <f t="shared" si="74"/>
        <v>0</v>
      </c>
      <c r="BC392" s="2">
        <f t="shared" si="75"/>
        <v>0</v>
      </c>
      <c r="BD392" s="2">
        <f t="shared" si="76"/>
        <v>0.62899999999999778</v>
      </c>
    </row>
    <row r="393" spans="1:56" ht="15" customHeight="1" x14ac:dyDescent="0.45">
      <c r="A393" s="2" t="s">
        <v>172</v>
      </c>
      <c r="B393" s="2" t="s">
        <v>171</v>
      </c>
      <c r="C393" s="2">
        <v>2019</v>
      </c>
      <c r="D393" s="2" t="s">
        <v>146</v>
      </c>
      <c r="E393" s="2" t="s">
        <v>146</v>
      </c>
      <c r="F393" s="2" t="s">
        <v>146</v>
      </c>
      <c r="G393" s="2" t="s">
        <v>146</v>
      </c>
      <c r="H393" s="2" t="s">
        <v>146</v>
      </c>
      <c r="I393" s="2" t="s">
        <v>146</v>
      </c>
      <c r="J393" s="2" t="s">
        <v>146</v>
      </c>
      <c r="K393" s="2" t="s">
        <v>146</v>
      </c>
      <c r="L393" s="2" t="s">
        <v>146</v>
      </c>
      <c r="M393" s="2" t="s">
        <v>146</v>
      </c>
      <c r="N393" s="2" t="s">
        <v>146</v>
      </c>
      <c r="O393" s="2" t="s">
        <v>146</v>
      </c>
      <c r="P393" s="2" t="s">
        <v>146</v>
      </c>
      <c r="Q393" s="2" t="s">
        <v>146</v>
      </c>
      <c r="R393" s="2" t="s">
        <v>146</v>
      </c>
      <c r="S393" s="2" t="s">
        <v>146</v>
      </c>
      <c r="T393" s="2" t="s">
        <v>146</v>
      </c>
      <c r="U393" s="2" t="s">
        <v>146</v>
      </c>
      <c r="V393" s="2" t="s">
        <v>146</v>
      </c>
      <c r="W393" s="2" t="s">
        <v>146</v>
      </c>
      <c r="X393" s="2" t="s">
        <v>146</v>
      </c>
      <c r="Y393" s="2" t="s">
        <v>146</v>
      </c>
      <c r="Z393" s="2" t="s">
        <v>146</v>
      </c>
      <c r="AA393" s="2" t="s">
        <v>146</v>
      </c>
      <c r="AB393" s="2" t="s">
        <v>146</v>
      </c>
      <c r="AC393" s="2" t="s">
        <v>146</v>
      </c>
      <c r="AD393" s="2" t="s">
        <v>146</v>
      </c>
      <c r="AE393" s="2" t="s">
        <v>146</v>
      </c>
      <c r="AF393" s="2" t="s">
        <v>146</v>
      </c>
      <c r="AG393" s="2" t="s">
        <v>146</v>
      </c>
      <c r="AH393" s="2" t="s">
        <v>146</v>
      </c>
      <c r="AI393" s="2" t="s">
        <v>146</v>
      </c>
      <c r="AJ393" s="2" t="s">
        <v>146</v>
      </c>
      <c r="AK393" s="2" t="s">
        <v>146</v>
      </c>
      <c r="AL393" s="2" t="s">
        <v>146</v>
      </c>
      <c r="AM393" s="2" t="s">
        <v>146</v>
      </c>
      <c r="AN393" s="2" t="s">
        <v>146</v>
      </c>
      <c r="AO393" s="2" t="s">
        <v>146</v>
      </c>
      <c r="AQ393" s="2">
        <f t="shared" si="66"/>
        <v>0</v>
      </c>
      <c r="AR393" s="2">
        <f t="shared" si="67"/>
        <v>0</v>
      </c>
      <c r="AT393" s="2">
        <f t="shared" si="68"/>
        <v>0</v>
      </c>
      <c r="AU393" s="2">
        <f t="shared" si="69"/>
        <v>0</v>
      </c>
      <c r="AV393" s="27" t="str">
        <f t="shared" si="70"/>
        <v/>
      </c>
      <c r="AY393" s="2">
        <f t="shared" si="71"/>
        <v>0</v>
      </c>
      <c r="AZ393" s="2">
        <f t="shared" si="72"/>
        <v>0</v>
      </c>
      <c r="BA393" s="2">
        <f t="shared" si="73"/>
        <v>0</v>
      </c>
      <c r="BB393" s="2">
        <f t="shared" si="74"/>
        <v>0</v>
      </c>
      <c r="BC393" s="2">
        <f t="shared" si="75"/>
        <v>0</v>
      </c>
      <c r="BD393" s="2">
        <f t="shared" si="76"/>
        <v>0</v>
      </c>
    </row>
    <row r="394" spans="1:56" ht="15" customHeight="1" x14ac:dyDescent="0.45">
      <c r="A394" s="2" t="s">
        <v>169</v>
      </c>
      <c r="B394" s="2" t="s">
        <v>170</v>
      </c>
      <c r="C394" s="2">
        <v>2019</v>
      </c>
      <c r="D394" s="2" t="s">
        <v>146</v>
      </c>
      <c r="E394" s="2" t="s">
        <v>146</v>
      </c>
      <c r="F394" s="2" t="s">
        <v>146</v>
      </c>
      <c r="G394" s="2" t="s">
        <v>146</v>
      </c>
      <c r="H394" s="2" t="s">
        <v>146</v>
      </c>
      <c r="I394" s="2" t="s">
        <v>146</v>
      </c>
      <c r="J394" s="2" t="s">
        <v>146</v>
      </c>
      <c r="K394" s="2" t="s">
        <v>146</v>
      </c>
      <c r="L394" s="2" t="s">
        <v>146</v>
      </c>
      <c r="M394" s="2" t="s">
        <v>146</v>
      </c>
      <c r="N394" s="2" t="s">
        <v>146</v>
      </c>
      <c r="O394" s="2" t="s">
        <v>146</v>
      </c>
      <c r="P394" s="2" t="s">
        <v>146</v>
      </c>
      <c r="Q394" s="2" t="s">
        <v>146</v>
      </c>
      <c r="R394" s="2" t="s">
        <v>146</v>
      </c>
      <c r="S394" s="2" t="s">
        <v>146</v>
      </c>
      <c r="T394" s="2" t="s">
        <v>146</v>
      </c>
      <c r="U394" s="2" t="s">
        <v>146</v>
      </c>
      <c r="V394" s="2" t="s">
        <v>146</v>
      </c>
      <c r="W394" s="2" t="s">
        <v>146</v>
      </c>
      <c r="X394" s="2" t="s">
        <v>146</v>
      </c>
      <c r="Y394" s="2" t="s">
        <v>146</v>
      </c>
      <c r="Z394" s="2" t="s">
        <v>146</v>
      </c>
      <c r="AA394" s="2" t="s">
        <v>146</v>
      </c>
      <c r="AB394" s="2" t="s">
        <v>146</v>
      </c>
      <c r="AC394" s="2" t="s">
        <v>146</v>
      </c>
      <c r="AD394" s="2" t="s">
        <v>146</v>
      </c>
      <c r="AE394" s="2" t="s">
        <v>146</v>
      </c>
      <c r="AF394" s="2" t="s">
        <v>146</v>
      </c>
      <c r="AG394" s="2" t="s">
        <v>146</v>
      </c>
      <c r="AH394" s="2" t="s">
        <v>146</v>
      </c>
      <c r="AI394" s="2" t="s">
        <v>146</v>
      </c>
      <c r="AJ394" s="2" t="s">
        <v>146</v>
      </c>
      <c r="AK394" s="2" t="s">
        <v>146</v>
      </c>
      <c r="AL394" s="2" t="s">
        <v>146</v>
      </c>
      <c r="AM394" s="2" t="s">
        <v>146</v>
      </c>
      <c r="AN394" s="2" t="s">
        <v>146</v>
      </c>
      <c r="AO394" s="2" t="s">
        <v>146</v>
      </c>
      <c r="AQ394" s="2">
        <f t="shared" si="66"/>
        <v>0</v>
      </c>
      <c r="AR394" s="2">
        <f t="shared" si="67"/>
        <v>0</v>
      </c>
      <c r="AT394" s="2">
        <f t="shared" si="68"/>
        <v>0</v>
      </c>
      <c r="AU394" s="2">
        <f t="shared" si="69"/>
        <v>0</v>
      </c>
      <c r="AV394" s="27" t="str">
        <f t="shared" si="70"/>
        <v/>
      </c>
      <c r="AY394" s="2">
        <f t="shared" si="71"/>
        <v>0</v>
      </c>
      <c r="AZ394" s="2">
        <f t="shared" si="72"/>
        <v>0</v>
      </c>
      <c r="BA394" s="2">
        <f t="shared" si="73"/>
        <v>0</v>
      </c>
      <c r="BB394" s="2">
        <f t="shared" si="74"/>
        <v>0</v>
      </c>
      <c r="BC394" s="2">
        <f t="shared" si="75"/>
        <v>0</v>
      </c>
      <c r="BD394" s="2">
        <f t="shared" si="76"/>
        <v>0</v>
      </c>
    </row>
    <row r="395" spans="1:56" ht="15" customHeight="1" x14ac:dyDescent="0.45">
      <c r="A395" s="2" t="s">
        <v>169</v>
      </c>
      <c r="B395" s="2" t="s">
        <v>168</v>
      </c>
      <c r="C395" s="2">
        <v>2019</v>
      </c>
      <c r="D395" s="2" t="s">
        <v>146</v>
      </c>
      <c r="E395" s="2" t="s">
        <v>146</v>
      </c>
      <c r="F395" s="2" t="s">
        <v>146</v>
      </c>
      <c r="G395" s="2" t="s">
        <v>146</v>
      </c>
      <c r="H395" s="2" t="s">
        <v>146</v>
      </c>
      <c r="I395" s="2" t="s">
        <v>146</v>
      </c>
      <c r="J395" s="2" t="s">
        <v>146</v>
      </c>
      <c r="K395" s="2" t="s">
        <v>146</v>
      </c>
      <c r="L395" s="2" t="s">
        <v>146</v>
      </c>
      <c r="M395" s="2" t="s">
        <v>146</v>
      </c>
      <c r="N395" s="2" t="s">
        <v>146</v>
      </c>
      <c r="O395" s="2" t="s">
        <v>146</v>
      </c>
      <c r="P395" s="2" t="s">
        <v>146</v>
      </c>
      <c r="Q395" s="2" t="s">
        <v>146</v>
      </c>
      <c r="R395" s="2" t="s">
        <v>146</v>
      </c>
      <c r="S395" s="2" t="s">
        <v>146</v>
      </c>
      <c r="T395" s="2" t="s">
        <v>146</v>
      </c>
      <c r="U395" s="2" t="s">
        <v>146</v>
      </c>
      <c r="V395" s="2" t="s">
        <v>146</v>
      </c>
      <c r="W395" s="2" t="s">
        <v>146</v>
      </c>
      <c r="X395" s="2" t="s">
        <v>146</v>
      </c>
      <c r="Y395" s="2" t="s">
        <v>146</v>
      </c>
      <c r="Z395" s="2" t="s">
        <v>146</v>
      </c>
      <c r="AA395" s="2" t="s">
        <v>146</v>
      </c>
      <c r="AB395" s="2" t="s">
        <v>146</v>
      </c>
      <c r="AC395" s="2" t="s">
        <v>146</v>
      </c>
      <c r="AD395" s="2" t="s">
        <v>146</v>
      </c>
      <c r="AE395" s="2" t="s">
        <v>146</v>
      </c>
      <c r="AF395" s="2" t="s">
        <v>146</v>
      </c>
      <c r="AG395" s="2" t="s">
        <v>146</v>
      </c>
      <c r="AH395" s="2" t="s">
        <v>146</v>
      </c>
      <c r="AI395" s="2" t="s">
        <v>146</v>
      </c>
      <c r="AJ395" s="2" t="s">
        <v>146</v>
      </c>
      <c r="AK395" s="2" t="s">
        <v>146</v>
      </c>
      <c r="AL395" s="2" t="s">
        <v>146</v>
      </c>
      <c r="AM395" s="2" t="s">
        <v>146</v>
      </c>
      <c r="AN395" s="2" t="s">
        <v>146</v>
      </c>
      <c r="AO395" s="2" t="s">
        <v>146</v>
      </c>
      <c r="AQ395" s="2">
        <f t="shared" si="66"/>
        <v>0</v>
      </c>
      <c r="AR395" s="2">
        <f t="shared" si="67"/>
        <v>0</v>
      </c>
      <c r="AT395" s="2">
        <f t="shared" si="68"/>
        <v>0</v>
      </c>
      <c r="AU395" s="2">
        <f t="shared" si="69"/>
        <v>0</v>
      </c>
      <c r="AV395" s="27" t="str">
        <f t="shared" si="70"/>
        <v/>
      </c>
      <c r="AY395" s="2">
        <f t="shared" si="71"/>
        <v>0</v>
      </c>
      <c r="AZ395" s="2">
        <f t="shared" si="72"/>
        <v>0</v>
      </c>
      <c r="BA395" s="2">
        <f t="shared" si="73"/>
        <v>0</v>
      </c>
      <c r="BB395" s="2">
        <f t="shared" si="74"/>
        <v>0</v>
      </c>
      <c r="BC395" s="2">
        <f t="shared" si="75"/>
        <v>0</v>
      </c>
      <c r="BD395" s="2">
        <f t="shared" si="76"/>
        <v>0</v>
      </c>
    </row>
    <row r="396" spans="1:56" ht="15" customHeight="1" x14ac:dyDescent="0.45">
      <c r="A396" s="2" t="s">
        <v>167</v>
      </c>
      <c r="B396" s="2" t="s">
        <v>136</v>
      </c>
      <c r="C396" s="2">
        <v>2019</v>
      </c>
      <c r="D396" s="2" t="s">
        <v>49</v>
      </c>
      <c r="E396" s="2" t="s">
        <v>49</v>
      </c>
      <c r="F396" s="2" t="s">
        <v>49</v>
      </c>
      <c r="G396" s="2" t="s">
        <v>49</v>
      </c>
      <c r="H396" s="2" t="s">
        <v>49</v>
      </c>
      <c r="I396" s="2" t="s">
        <v>49</v>
      </c>
      <c r="J396" s="2" t="s">
        <v>49</v>
      </c>
      <c r="K396" s="2" t="s">
        <v>49</v>
      </c>
      <c r="L396" s="2" t="s">
        <v>49</v>
      </c>
      <c r="M396" s="2" t="s">
        <v>49</v>
      </c>
      <c r="N396" s="2" t="s">
        <v>49</v>
      </c>
      <c r="O396" s="2" t="s">
        <v>49</v>
      </c>
      <c r="P396" s="2" t="s">
        <v>49</v>
      </c>
      <c r="Q396" s="2" t="s">
        <v>49</v>
      </c>
      <c r="R396" s="2" t="s">
        <v>49</v>
      </c>
      <c r="S396" s="2" t="s">
        <v>49</v>
      </c>
      <c r="T396" s="2" t="s">
        <v>49</v>
      </c>
      <c r="U396" s="2" t="s">
        <v>49</v>
      </c>
      <c r="V396" s="2" t="s">
        <v>49</v>
      </c>
      <c r="W396" s="2" t="s">
        <v>49</v>
      </c>
      <c r="X396" s="2" t="s">
        <v>49</v>
      </c>
      <c r="Y396" s="2" t="s">
        <v>49</v>
      </c>
      <c r="Z396" s="2" t="s">
        <v>49</v>
      </c>
      <c r="AA396" s="2" t="s">
        <v>49</v>
      </c>
      <c r="AB396" s="2" t="s">
        <v>49</v>
      </c>
      <c r="AC396" s="2" t="s">
        <v>49</v>
      </c>
      <c r="AD396" s="2" t="s">
        <v>49</v>
      </c>
      <c r="AE396" s="2" t="s">
        <v>49</v>
      </c>
      <c r="AF396" s="2" t="s">
        <v>49</v>
      </c>
      <c r="AG396" s="2" t="s">
        <v>49</v>
      </c>
      <c r="AH396" s="2" t="s">
        <v>49</v>
      </c>
      <c r="AI396" s="2" t="s">
        <v>49</v>
      </c>
      <c r="AJ396" s="2" t="s">
        <v>49</v>
      </c>
      <c r="AK396" s="2" t="s">
        <v>49</v>
      </c>
      <c r="AL396" s="2" t="s">
        <v>49</v>
      </c>
      <c r="AM396" s="2" t="s">
        <v>49</v>
      </c>
      <c r="AN396" s="2" t="s">
        <v>49</v>
      </c>
      <c r="AO396" s="2" t="s">
        <v>49</v>
      </c>
      <c r="AQ396" s="2">
        <f t="shared" si="66"/>
        <v>0</v>
      </c>
      <c r="AR396" s="2">
        <f t="shared" si="67"/>
        <v>0</v>
      </c>
      <c r="AT396" s="2">
        <f t="shared" si="68"/>
        <v>0</v>
      </c>
      <c r="AU396" s="2">
        <f t="shared" si="69"/>
        <v>0</v>
      </c>
      <c r="AV396" s="27" t="str">
        <f t="shared" si="70"/>
        <v/>
      </c>
      <c r="AY396" s="2">
        <f t="shared" si="71"/>
        <v>0</v>
      </c>
      <c r="AZ396" s="2">
        <f t="shared" si="72"/>
        <v>0</v>
      </c>
      <c r="BA396" s="2">
        <f t="shared" si="73"/>
        <v>0</v>
      </c>
      <c r="BB396" s="2">
        <f t="shared" si="74"/>
        <v>0</v>
      </c>
      <c r="BC396" s="2">
        <f t="shared" si="75"/>
        <v>0</v>
      </c>
      <c r="BD396" s="2">
        <f t="shared" si="76"/>
        <v>0</v>
      </c>
    </row>
    <row r="397" spans="1:56" ht="15" customHeight="1" x14ac:dyDescent="0.45">
      <c r="A397" s="2" t="s">
        <v>162</v>
      </c>
      <c r="B397" s="2" t="s">
        <v>166</v>
      </c>
      <c r="C397" s="2">
        <v>2019</v>
      </c>
      <c r="D397" s="2">
        <v>598</v>
      </c>
      <c r="E397" s="2">
        <v>192.93899999999999</v>
      </c>
      <c r="F397" s="2" t="s">
        <v>146</v>
      </c>
      <c r="G397" s="2" t="s">
        <v>146</v>
      </c>
      <c r="H397" s="2" t="s">
        <v>146</v>
      </c>
      <c r="I397" s="2">
        <v>913.65200000000004</v>
      </c>
      <c r="J397" s="2" t="s">
        <v>146</v>
      </c>
      <c r="K397" s="2">
        <v>0.4</v>
      </c>
      <c r="L397" s="2" t="s">
        <v>146</v>
      </c>
      <c r="M397" s="2">
        <v>2.452</v>
      </c>
      <c r="N397" s="2" t="s">
        <v>146</v>
      </c>
      <c r="O397" s="2" t="s">
        <v>146</v>
      </c>
      <c r="P397" s="2" t="s">
        <v>146</v>
      </c>
      <c r="Q397" s="2" t="s">
        <v>146</v>
      </c>
      <c r="R397" s="2" t="s">
        <v>146</v>
      </c>
      <c r="S397" s="2" t="s">
        <v>146</v>
      </c>
      <c r="T397" s="2" t="s">
        <v>146</v>
      </c>
      <c r="U397" s="2" t="s">
        <v>146</v>
      </c>
      <c r="V397" s="2" t="s">
        <v>146</v>
      </c>
      <c r="W397" s="2" t="s">
        <v>146</v>
      </c>
      <c r="X397" s="2">
        <v>308.5</v>
      </c>
      <c r="Y397" s="2" t="s">
        <v>146</v>
      </c>
      <c r="Z397" s="2" t="s">
        <v>146</v>
      </c>
      <c r="AA397" s="2" t="s">
        <v>146</v>
      </c>
      <c r="AB397" s="2" t="s">
        <v>146</v>
      </c>
      <c r="AC397" s="2">
        <v>2.4</v>
      </c>
      <c r="AD397" s="2" t="s">
        <v>146</v>
      </c>
      <c r="AE397" s="2" t="s">
        <v>146</v>
      </c>
      <c r="AF397" s="2">
        <v>599.9</v>
      </c>
      <c r="AG397" s="2" t="s">
        <v>146</v>
      </c>
      <c r="AH397" s="2" t="s">
        <v>160</v>
      </c>
      <c r="AI397" s="2">
        <v>37.299999999999997</v>
      </c>
      <c r="AJ397" s="2" t="s">
        <v>146</v>
      </c>
      <c r="AK397" s="2" t="s">
        <v>146</v>
      </c>
      <c r="AL397" s="2" t="s">
        <v>146</v>
      </c>
      <c r="AM397" s="2">
        <v>100</v>
      </c>
      <c r="AN397" s="2" t="s">
        <v>146</v>
      </c>
      <c r="AO397" s="2" t="s">
        <v>146</v>
      </c>
      <c r="AQ397" s="2">
        <f t="shared" si="66"/>
        <v>913.65199999999993</v>
      </c>
      <c r="AR397" s="2">
        <f t="shared" si="67"/>
        <v>913.65199999999993</v>
      </c>
      <c r="AT397" s="2">
        <f t="shared" si="68"/>
        <v>598</v>
      </c>
      <c r="AU397" s="2">
        <f t="shared" si="69"/>
        <v>192.93899999999999</v>
      </c>
      <c r="AV397" s="27">
        <f t="shared" si="70"/>
        <v>0.86568956232788852</v>
      </c>
      <c r="AY397" s="2">
        <f t="shared" si="71"/>
        <v>0</v>
      </c>
      <c r="AZ397" s="2">
        <f t="shared" si="72"/>
        <v>0</v>
      </c>
      <c r="BA397" s="2">
        <f t="shared" si="73"/>
        <v>0</v>
      </c>
      <c r="BB397" s="2">
        <f t="shared" si="74"/>
        <v>0</v>
      </c>
      <c r="BC397" s="2">
        <f t="shared" si="75"/>
        <v>0</v>
      </c>
      <c r="BD397" s="2">
        <f t="shared" si="76"/>
        <v>0</v>
      </c>
    </row>
    <row r="398" spans="1:56" ht="15" customHeight="1" x14ac:dyDescent="0.45">
      <c r="A398" s="2" t="s">
        <v>162</v>
      </c>
      <c r="B398" s="2" t="s">
        <v>164</v>
      </c>
      <c r="C398" s="2">
        <v>2019</v>
      </c>
      <c r="D398" s="2" t="s">
        <v>146</v>
      </c>
      <c r="E398" s="2" t="s">
        <v>146</v>
      </c>
      <c r="F398" s="2" t="s">
        <v>146</v>
      </c>
      <c r="G398" s="2" t="s">
        <v>146</v>
      </c>
      <c r="H398" s="2" t="s">
        <v>146</v>
      </c>
      <c r="I398" s="2" t="s">
        <v>146</v>
      </c>
      <c r="J398" s="2" t="s">
        <v>146</v>
      </c>
      <c r="K398" s="2" t="s">
        <v>146</v>
      </c>
      <c r="L398" s="2" t="s">
        <v>146</v>
      </c>
      <c r="M398" s="2" t="s">
        <v>146</v>
      </c>
      <c r="N398" s="2" t="s">
        <v>146</v>
      </c>
      <c r="O398" s="2" t="s">
        <v>146</v>
      </c>
      <c r="P398" s="2" t="s">
        <v>146</v>
      </c>
      <c r="Q398" s="2" t="s">
        <v>146</v>
      </c>
      <c r="R398" s="2" t="s">
        <v>146</v>
      </c>
      <c r="S398" s="2" t="s">
        <v>146</v>
      </c>
      <c r="T398" s="2" t="s">
        <v>146</v>
      </c>
      <c r="U398" s="2" t="s">
        <v>146</v>
      </c>
      <c r="V398" s="2" t="s">
        <v>146</v>
      </c>
      <c r="W398" s="2" t="s">
        <v>146</v>
      </c>
      <c r="X398" s="2" t="s">
        <v>146</v>
      </c>
      <c r="Y398" s="2" t="s">
        <v>146</v>
      </c>
      <c r="Z398" s="2" t="s">
        <v>146</v>
      </c>
      <c r="AA398" s="2" t="s">
        <v>146</v>
      </c>
      <c r="AB398" s="2" t="s">
        <v>146</v>
      </c>
      <c r="AC398" s="2" t="s">
        <v>146</v>
      </c>
      <c r="AD398" s="2" t="s">
        <v>146</v>
      </c>
      <c r="AE398" s="2" t="s">
        <v>146</v>
      </c>
      <c r="AF398" s="2" t="s">
        <v>146</v>
      </c>
      <c r="AG398" s="2" t="s">
        <v>146</v>
      </c>
      <c r="AH398" s="2" t="s">
        <v>146</v>
      </c>
      <c r="AI398" s="2" t="s">
        <v>146</v>
      </c>
      <c r="AJ398" s="2" t="s">
        <v>146</v>
      </c>
      <c r="AK398" s="2" t="s">
        <v>146</v>
      </c>
      <c r="AL398" s="2" t="s">
        <v>146</v>
      </c>
      <c r="AM398" s="2" t="s">
        <v>146</v>
      </c>
      <c r="AN398" s="2" t="s">
        <v>146</v>
      </c>
      <c r="AO398" s="2" t="s">
        <v>146</v>
      </c>
      <c r="AQ398" s="2">
        <f t="shared" si="66"/>
        <v>0</v>
      </c>
      <c r="AR398" s="2">
        <f t="shared" si="67"/>
        <v>0</v>
      </c>
      <c r="AT398" s="2">
        <f t="shared" si="68"/>
        <v>0</v>
      </c>
      <c r="AU398" s="2">
        <f t="shared" si="69"/>
        <v>0</v>
      </c>
      <c r="AV398" s="27" t="str">
        <f t="shared" si="70"/>
        <v/>
      </c>
      <c r="AY398" s="2">
        <f t="shared" si="71"/>
        <v>0</v>
      </c>
      <c r="AZ398" s="2">
        <f t="shared" si="72"/>
        <v>0</v>
      </c>
      <c r="BA398" s="2">
        <f t="shared" si="73"/>
        <v>0</v>
      </c>
      <c r="BB398" s="2">
        <f t="shared" si="74"/>
        <v>0</v>
      </c>
      <c r="BC398" s="2">
        <f t="shared" si="75"/>
        <v>0</v>
      </c>
      <c r="BD398" s="2">
        <f t="shared" si="76"/>
        <v>0</v>
      </c>
    </row>
    <row r="399" spans="1:56" ht="15" customHeight="1" x14ac:dyDescent="0.45">
      <c r="A399" s="2" t="s">
        <v>162</v>
      </c>
      <c r="B399" s="2" t="s">
        <v>163</v>
      </c>
      <c r="C399" s="2">
        <v>2019</v>
      </c>
      <c r="D399" s="2" t="s">
        <v>146</v>
      </c>
      <c r="E399" s="2" t="s">
        <v>146</v>
      </c>
      <c r="F399" s="2" t="s">
        <v>146</v>
      </c>
      <c r="G399" s="2" t="s">
        <v>146</v>
      </c>
      <c r="H399" s="2" t="s">
        <v>146</v>
      </c>
      <c r="I399" s="2" t="s">
        <v>146</v>
      </c>
      <c r="J399" s="2" t="s">
        <v>146</v>
      </c>
      <c r="K399" s="2" t="s">
        <v>146</v>
      </c>
      <c r="L399" s="2" t="s">
        <v>146</v>
      </c>
      <c r="M399" s="2" t="s">
        <v>146</v>
      </c>
      <c r="N399" s="2" t="s">
        <v>146</v>
      </c>
      <c r="O399" s="2" t="s">
        <v>146</v>
      </c>
      <c r="P399" s="2" t="s">
        <v>146</v>
      </c>
      <c r="Q399" s="2" t="s">
        <v>146</v>
      </c>
      <c r="R399" s="2" t="s">
        <v>146</v>
      </c>
      <c r="S399" s="2" t="s">
        <v>146</v>
      </c>
      <c r="T399" s="2" t="s">
        <v>146</v>
      </c>
      <c r="U399" s="2" t="s">
        <v>146</v>
      </c>
      <c r="V399" s="2" t="s">
        <v>146</v>
      </c>
      <c r="W399" s="2" t="s">
        <v>146</v>
      </c>
      <c r="X399" s="2" t="s">
        <v>146</v>
      </c>
      <c r="Y399" s="2" t="s">
        <v>146</v>
      </c>
      <c r="Z399" s="2" t="s">
        <v>146</v>
      </c>
      <c r="AA399" s="2" t="s">
        <v>146</v>
      </c>
      <c r="AB399" s="2" t="s">
        <v>146</v>
      </c>
      <c r="AC399" s="2" t="s">
        <v>146</v>
      </c>
      <c r="AD399" s="2" t="s">
        <v>146</v>
      </c>
      <c r="AE399" s="2" t="s">
        <v>146</v>
      </c>
      <c r="AF399" s="2" t="s">
        <v>146</v>
      </c>
      <c r="AG399" s="2" t="s">
        <v>146</v>
      </c>
      <c r="AH399" s="2" t="s">
        <v>146</v>
      </c>
      <c r="AI399" s="2" t="s">
        <v>146</v>
      </c>
      <c r="AJ399" s="2" t="s">
        <v>146</v>
      </c>
      <c r="AK399" s="2" t="s">
        <v>146</v>
      </c>
      <c r="AL399" s="2" t="s">
        <v>146</v>
      </c>
      <c r="AM399" s="2" t="s">
        <v>146</v>
      </c>
      <c r="AN399" s="2" t="s">
        <v>146</v>
      </c>
      <c r="AO399" s="2" t="s">
        <v>146</v>
      </c>
      <c r="AQ399" s="2">
        <f t="shared" si="66"/>
        <v>0</v>
      </c>
      <c r="AR399" s="2">
        <f t="shared" si="67"/>
        <v>0</v>
      </c>
      <c r="AT399" s="2">
        <f t="shared" si="68"/>
        <v>0</v>
      </c>
      <c r="AU399" s="2">
        <f t="shared" si="69"/>
        <v>0</v>
      </c>
      <c r="AV399" s="27" t="str">
        <f t="shared" si="70"/>
        <v/>
      </c>
      <c r="AY399" s="2">
        <f t="shared" si="71"/>
        <v>0</v>
      </c>
      <c r="AZ399" s="2">
        <f t="shared" si="72"/>
        <v>0</v>
      </c>
      <c r="BA399" s="2">
        <f t="shared" si="73"/>
        <v>0</v>
      </c>
      <c r="BB399" s="2">
        <f t="shared" si="74"/>
        <v>0</v>
      </c>
      <c r="BC399" s="2">
        <f t="shared" si="75"/>
        <v>0</v>
      </c>
      <c r="BD399" s="2">
        <f t="shared" si="76"/>
        <v>0</v>
      </c>
    </row>
    <row r="400" spans="1:56" ht="15" customHeight="1" x14ac:dyDescent="0.45">
      <c r="A400" s="2" t="s">
        <v>162</v>
      </c>
      <c r="B400" s="2" t="s">
        <v>161</v>
      </c>
      <c r="C400" s="2">
        <v>2019</v>
      </c>
      <c r="D400" s="2" t="s">
        <v>146</v>
      </c>
      <c r="E400" s="2" t="s">
        <v>146</v>
      </c>
      <c r="F400" s="2" t="s">
        <v>146</v>
      </c>
      <c r="G400" s="2" t="s">
        <v>146</v>
      </c>
      <c r="H400" s="2" t="s">
        <v>146</v>
      </c>
      <c r="I400" s="2" t="s">
        <v>146</v>
      </c>
      <c r="J400" s="2" t="s">
        <v>146</v>
      </c>
      <c r="K400" s="2" t="s">
        <v>146</v>
      </c>
      <c r="L400" s="2" t="s">
        <v>146</v>
      </c>
      <c r="M400" s="2" t="s">
        <v>146</v>
      </c>
      <c r="N400" s="2" t="s">
        <v>146</v>
      </c>
      <c r="O400" s="2" t="s">
        <v>146</v>
      </c>
      <c r="P400" s="2" t="s">
        <v>146</v>
      </c>
      <c r="Q400" s="2" t="s">
        <v>146</v>
      </c>
      <c r="R400" s="2" t="s">
        <v>146</v>
      </c>
      <c r="S400" s="2" t="s">
        <v>146</v>
      </c>
      <c r="T400" s="2" t="s">
        <v>146</v>
      </c>
      <c r="U400" s="2" t="s">
        <v>146</v>
      </c>
      <c r="V400" s="2" t="s">
        <v>146</v>
      </c>
      <c r="W400" s="2" t="s">
        <v>146</v>
      </c>
      <c r="X400" s="2" t="s">
        <v>146</v>
      </c>
      <c r="Y400" s="2" t="s">
        <v>146</v>
      </c>
      <c r="Z400" s="2" t="s">
        <v>146</v>
      </c>
      <c r="AA400" s="2" t="s">
        <v>146</v>
      </c>
      <c r="AB400" s="2" t="s">
        <v>146</v>
      </c>
      <c r="AC400" s="2" t="s">
        <v>146</v>
      </c>
      <c r="AD400" s="2" t="s">
        <v>146</v>
      </c>
      <c r="AE400" s="2" t="s">
        <v>146</v>
      </c>
      <c r="AF400" s="2" t="s">
        <v>146</v>
      </c>
      <c r="AG400" s="2" t="s">
        <v>146</v>
      </c>
      <c r="AH400" s="2" t="s">
        <v>146</v>
      </c>
      <c r="AI400" s="2" t="s">
        <v>146</v>
      </c>
      <c r="AJ400" s="2" t="s">
        <v>146</v>
      </c>
      <c r="AK400" s="2" t="s">
        <v>146</v>
      </c>
      <c r="AL400" s="2" t="s">
        <v>146</v>
      </c>
      <c r="AM400" s="2" t="s">
        <v>146</v>
      </c>
      <c r="AN400" s="2" t="s">
        <v>146</v>
      </c>
      <c r="AO400" s="2" t="s">
        <v>146</v>
      </c>
      <c r="AQ400" s="2">
        <f t="shared" si="66"/>
        <v>0</v>
      </c>
      <c r="AR400" s="2">
        <f t="shared" si="67"/>
        <v>0</v>
      </c>
      <c r="AT400" s="2">
        <f t="shared" si="68"/>
        <v>0</v>
      </c>
      <c r="AU400" s="2">
        <f t="shared" si="69"/>
        <v>0</v>
      </c>
      <c r="AV400" s="27" t="str">
        <f t="shared" si="70"/>
        <v/>
      </c>
      <c r="AY400" s="2">
        <f t="shared" si="71"/>
        <v>0</v>
      </c>
      <c r="AZ400" s="2">
        <f t="shared" si="72"/>
        <v>0</v>
      </c>
      <c r="BA400" s="2">
        <f t="shared" si="73"/>
        <v>0</v>
      </c>
      <c r="BB400" s="2">
        <f t="shared" si="74"/>
        <v>0</v>
      </c>
      <c r="BC400" s="2">
        <f t="shared" si="75"/>
        <v>0</v>
      </c>
      <c r="BD400" s="2">
        <f t="shared" si="76"/>
        <v>0</v>
      </c>
    </row>
    <row r="401" spans="1:56" ht="15" customHeight="1" x14ac:dyDescent="0.45">
      <c r="A401" s="2" t="s">
        <v>159</v>
      </c>
      <c r="B401" s="2" t="s">
        <v>158</v>
      </c>
      <c r="C401" s="2">
        <v>2019</v>
      </c>
      <c r="D401" s="2" t="s">
        <v>146</v>
      </c>
      <c r="E401" s="2" t="s">
        <v>146</v>
      </c>
      <c r="F401" s="2" t="s">
        <v>146</v>
      </c>
      <c r="G401" s="2" t="s">
        <v>146</v>
      </c>
      <c r="H401" s="2" t="s">
        <v>146</v>
      </c>
      <c r="I401" s="2" t="s">
        <v>146</v>
      </c>
      <c r="J401" s="2" t="s">
        <v>146</v>
      </c>
      <c r="K401" s="2" t="s">
        <v>146</v>
      </c>
      <c r="L401" s="2" t="s">
        <v>146</v>
      </c>
      <c r="M401" s="2" t="s">
        <v>146</v>
      </c>
      <c r="N401" s="2" t="s">
        <v>146</v>
      </c>
      <c r="O401" s="2" t="s">
        <v>146</v>
      </c>
      <c r="P401" s="2" t="s">
        <v>146</v>
      </c>
      <c r="Q401" s="2" t="s">
        <v>146</v>
      </c>
      <c r="R401" s="2" t="s">
        <v>146</v>
      </c>
      <c r="S401" s="2" t="s">
        <v>146</v>
      </c>
      <c r="T401" s="2" t="s">
        <v>146</v>
      </c>
      <c r="U401" s="2" t="s">
        <v>146</v>
      </c>
      <c r="V401" s="2" t="s">
        <v>146</v>
      </c>
      <c r="W401" s="2" t="s">
        <v>146</v>
      </c>
      <c r="X401" s="2" t="s">
        <v>146</v>
      </c>
      <c r="Y401" s="2" t="s">
        <v>146</v>
      </c>
      <c r="Z401" s="2" t="s">
        <v>146</v>
      </c>
      <c r="AA401" s="2" t="s">
        <v>146</v>
      </c>
      <c r="AB401" s="2" t="s">
        <v>146</v>
      </c>
      <c r="AC401" s="2" t="s">
        <v>146</v>
      </c>
      <c r="AD401" s="2" t="s">
        <v>146</v>
      </c>
      <c r="AE401" s="2" t="s">
        <v>146</v>
      </c>
      <c r="AF401" s="2" t="s">
        <v>146</v>
      </c>
      <c r="AG401" s="2" t="s">
        <v>146</v>
      </c>
      <c r="AH401" s="2" t="s">
        <v>146</v>
      </c>
      <c r="AI401" s="2" t="s">
        <v>146</v>
      </c>
      <c r="AJ401" s="2" t="s">
        <v>146</v>
      </c>
      <c r="AK401" s="2" t="s">
        <v>146</v>
      </c>
      <c r="AL401" s="2" t="s">
        <v>146</v>
      </c>
      <c r="AM401" s="2" t="s">
        <v>146</v>
      </c>
      <c r="AN401" s="2" t="s">
        <v>146</v>
      </c>
      <c r="AO401" s="2" t="s">
        <v>146</v>
      </c>
      <c r="AQ401" s="2">
        <f t="shared" si="66"/>
        <v>0</v>
      </c>
      <c r="AR401" s="2">
        <f t="shared" si="67"/>
        <v>0</v>
      </c>
      <c r="AT401" s="2">
        <f t="shared" si="68"/>
        <v>0</v>
      </c>
      <c r="AU401" s="2">
        <f t="shared" si="69"/>
        <v>0</v>
      </c>
      <c r="AV401" s="27" t="str">
        <f t="shared" si="70"/>
        <v/>
      </c>
      <c r="AY401" s="2">
        <f t="shared" si="71"/>
        <v>0</v>
      </c>
      <c r="AZ401" s="2">
        <f t="shared" si="72"/>
        <v>0</v>
      </c>
      <c r="BA401" s="2">
        <f t="shared" si="73"/>
        <v>0</v>
      </c>
      <c r="BB401" s="2">
        <f t="shared" si="74"/>
        <v>0</v>
      </c>
      <c r="BC401" s="2">
        <f t="shared" si="75"/>
        <v>0</v>
      </c>
      <c r="BD401" s="2">
        <f t="shared" si="76"/>
        <v>0</v>
      </c>
    </row>
    <row r="402" spans="1:56" ht="15" customHeight="1" x14ac:dyDescent="0.45">
      <c r="A402" s="2" t="s">
        <v>157</v>
      </c>
      <c r="B402" s="2" t="s">
        <v>156</v>
      </c>
      <c r="C402" s="2">
        <v>2019</v>
      </c>
      <c r="D402" s="2" t="s">
        <v>146</v>
      </c>
      <c r="E402" s="2" t="s">
        <v>146</v>
      </c>
      <c r="F402" s="2" t="s">
        <v>146</v>
      </c>
      <c r="G402" s="2" t="s">
        <v>146</v>
      </c>
      <c r="H402" s="2" t="s">
        <v>146</v>
      </c>
      <c r="I402" s="2" t="s">
        <v>146</v>
      </c>
      <c r="J402" s="2" t="s">
        <v>146</v>
      </c>
      <c r="K402" s="2" t="s">
        <v>146</v>
      </c>
      <c r="L402" s="2" t="s">
        <v>146</v>
      </c>
      <c r="M402" s="2" t="s">
        <v>146</v>
      </c>
      <c r="N402" s="2" t="s">
        <v>146</v>
      </c>
      <c r="O402" s="2" t="s">
        <v>146</v>
      </c>
      <c r="P402" s="2" t="s">
        <v>146</v>
      </c>
      <c r="Q402" s="2" t="s">
        <v>146</v>
      </c>
      <c r="R402" s="2" t="s">
        <v>146</v>
      </c>
      <c r="S402" s="2" t="s">
        <v>146</v>
      </c>
      <c r="T402" s="2" t="s">
        <v>146</v>
      </c>
      <c r="U402" s="2" t="s">
        <v>146</v>
      </c>
      <c r="V402" s="2" t="s">
        <v>146</v>
      </c>
      <c r="W402" s="2" t="s">
        <v>146</v>
      </c>
      <c r="X402" s="2" t="s">
        <v>146</v>
      </c>
      <c r="Y402" s="2" t="s">
        <v>146</v>
      </c>
      <c r="Z402" s="2" t="s">
        <v>146</v>
      </c>
      <c r="AA402" s="2" t="s">
        <v>146</v>
      </c>
      <c r="AB402" s="2" t="s">
        <v>146</v>
      </c>
      <c r="AC402" s="2" t="s">
        <v>146</v>
      </c>
      <c r="AD402" s="2" t="s">
        <v>146</v>
      </c>
      <c r="AE402" s="2" t="s">
        <v>146</v>
      </c>
      <c r="AF402" s="2" t="s">
        <v>146</v>
      </c>
      <c r="AG402" s="2" t="s">
        <v>146</v>
      </c>
      <c r="AH402" s="2" t="s">
        <v>155</v>
      </c>
      <c r="AI402" s="2" t="s">
        <v>146</v>
      </c>
      <c r="AJ402" s="2" t="s">
        <v>146</v>
      </c>
      <c r="AK402" s="2" t="s">
        <v>146</v>
      </c>
      <c r="AL402" s="2" t="s">
        <v>146</v>
      </c>
      <c r="AM402" s="2" t="s">
        <v>146</v>
      </c>
      <c r="AN402" s="2" t="s">
        <v>146</v>
      </c>
      <c r="AO402" s="2" t="s">
        <v>146</v>
      </c>
      <c r="AQ402" s="2">
        <f t="shared" si="66"/>
        <v>0</v>
      </c>
      <c r="AR402" s="2">
        <f t="shared" si="67"/>
        <v>0</v>
      </c>
      <c r="AT402" s="2">
        <f t="shared" si="68"/>
        <v>0</v>
      </c>
      <c r="AU402" s="2">
        <f t="shared" si="69"/>
        <v>0</v>
      </c>
      <c r="AV402" s="27" t="str">
        <f t="shared" si="70"/>
        <v/>
      </c>
      <c r="AY402" s="2">
        <f t="shared" si="71"/>
        <v>0</v>
      </c>
      <c r="AZ402" s="2">
        <f t="shared" si="72"/>
        <v>0</v>
      </c>
      <c r="BA402" s="2">
        <f t="shared" si="73"/>
        <v>0</v>
      </c>
      <c r="BB402" s="2">
        <f t="shared" si="74"/>
        <v>0</v>
      </c>
      <c r="BC402" s="2">
        <f t="shared" si="75"/>
        <v>0</v>
      </c>
      <c r="BD402" s="2">
        <f t="shared" si="76"/>
        <v>0</v>
      </c>
    </row>
    <row r="403" spans="1:56" ht="15" customHeight="1" x14ac:dyDescent="0.45">
      <c r="A403" s="2" t="s">
        <v>12</v>
      </c>
      <c r="B403" s="2" t="s">
        <v>14</v>
      </c>
      <c r="C403" s="2">
        <v>2019</v>
      </c>
      <c r="D403" s="2" t="s">
        <v>49</v>
      </c>
      <c r="E403" s="2" t="s">
        <v>49</v>
      </c>
      <c r="F403" s="2" t="s">
        <v>49</v>
      </c>
      <c r="G403" s="2" t="s">
        <v>49</v>
      </c>
      <c r="H403" s="2" t="s">
        <v>49</v>
      </c>
      <c r="I403" s="2" t="s">
        <v>49</v>
      </c>
      <c r="J403" s="2" t="s">
        <v>49</v>
      </c>
      <c r="K403" s="2" t="s">
        <v>49</v>
      </c>
      <c r="L403" s="2" t="s">
        <v>49</v>
      </c>
      <c r="M403" s="2" t="s">
        <v>49</v>
      </c>
      <c r="N403" s="2" t="s">
        <v>49</v>
      </c>
      <c r="O403" s="2" t="s">
        <v>49</v>
      </c>
      <c r="P403" s="2" t="s">
        <v>49</v>
      </c>
      <c r="Q403" s="2" t="s">
        <v>49</v>
      </c>
      <c r="R403" s="2" t="s">
        <v>49</v>
      </c>
      <c r="S403" s="2" t="s">
        <v>49</v>
      </c>
      <c r="T403" s="2" t="s">
        <v>49</v>
      </c>
      <c r="U403" s="2" t="s">
        <v>49</v>
      </c>
      <c r="V403" s="2" t="s">
        <v>49</v>
      </c>
      <c r="W403" s="2" t="s">
        <v>49</v>
      </c>
      <c r="X403" s="2" t="s">
        <v>49</v>
      </c>
      <c r="Y403" s="2" t="s">
        <v>49</v>
      </c>
      <c r="Z403" s="2" t="s">
        <v>49</v>
      </c>
      <c r="AA403" s="2" t="s">
        <v>49</v>
      </c>
      <c r="AB403" s="2" t="s">
        <v>49</v>
      </c>
      <c r="AC403" s="2" t="s">
        <v>49</v>
      </c>
      <c r="AD403" s="2" t="s">
        <v>49</v>
      </c>
      <c r="AE403" s="2" t="s">
        <v>49</v>
      </c>
      <c r="AF403" s="2" t="s">
        <v>49</v>
      </c>
      <c r="AG403" s="2" t="s">
        <v>49</v>
      </c>
      <c r="AH403" s="2" t="s">
        <v>49</v>
      </c>
      <c r="AI403" s="2" t="s">
        <v>49</v>
      </c>
      <c r="AJ403" s="2" t="s">
        <v>49</v>
      </c>
      <c r="AK403" s="2" t="s">
        <v>49</v>
      </c>
      <c r="AL403" s="2" t="s">
        <v>49</v>
      </c>
      <c r="AM403" s="2" t="s">
        <v>49</v>
      </c>
      <c r="AN403" s="2" t="s">
        <v>49</v>
      </c>
      <c r="AO403" s="2" t="s">
        <v>49</v>
      </c>
      <c r="AQ403" s="2">
        <f t="shared" si="66"/>
        <v>0</v>
      </c>
      <c r="AR403" s="2">
        <f t="shared" si="67"/>
        <v>0</v>
      </c>
      <c r="AT403" s="2">
        <f t="shared" si="68"/>
        <v>0</v>
      </c>
      <c r="AU403" s="2">
        <f t="shared" si="69"/>
        <v>0</v>
      </c>
      <c r="AV403" s="27" t="str">
        <f t="shared" si="70"/>
        <v/>
      </c>
      <c r="AY403" s="2">
        <f t="shared" si="71"/>
        <v>0</v>
      </c>
      <c r="AZ403" s="2">
        <f t="shared" si="72"/>
        <v>0</v>
      </c>
      <c r="BA403" s="2">
        <f t="shared" si="73"/>
        <v>0</v>
      </c>
      <c r="BB403" s="2">
        <f t="shared" si="74"/>
        <v>0</v>
      </c>
      <c r="BC403" s="2">
        <f t="shared" si="75"/>
        <v>0</v>
      </c>
      <c r="BD403" s="2">
        <f t="shared" si="76"/>
        <v>0</v>
      </c>
    </row>
    <row r="404" spans="1:56" ht="15" customHeight="1" x14ac:dyDescent="0.45">
      <c r="A404" s="2" t="s">
        <v>149</v>
      </c>
      <c r="B404" s="2" t="s">
        <v>154</v>
      </c>
      <c r="C404" s="2">
        <v>2019</v>
      </c>
      <c r="D404" s="2" t="s">
        <v>146</v>
      </c>
      <c r="E404" s="2" t="s">
        <v>146</v>
      </c>
      <c r="F404" s="2" t="s">
        <v>146</v>
      </c>
      <c r="G404" s="2" t="s">
        <v>146</v>
      </c>
      <c r="H404" s="2" t="s">
        <v>146</v>
      </c>
      <c r="I404" s="2" t="s">
        <v>146</v>
      </c>
      <c r="J404" s="2" t="s">
        <v>146</v>
      </c>
      <c r="K404" s="2" t="s">
        <v>146</v>
      </c>
      <c r="L404" s="2" t="s">
        <v>146</v>
      </c>
      <c r="M404" s="2" t="s">
        <v>146</v>
      </c>
      <c r="N404" s="2" t="s">
        <v>146</v>
      </c>
      <c r="O404" s="2" t="s">
        <v>146</v>
      </c>
      <c r="P404" s="2" t="s">
        <v>146</v>
      </c>
      <c r="Q404" s="2" t="s">
        <v>146</v>
      </c>
      <c r="R404" s="2" t="s">
        <v>146</v>
      </c>
      <c r="S404" s="2" t="s">
        <v>146</v>
      </c>
      <c r="T404" s="2" t="s">
        <v>146</v>
      </c>
      <c r="U404" s="2" t="s">
        <v>146</v>
      </c>
      <c r="V404" s="2" t="s">
        <v>146</v>
      </c>
      <c r="W404" s="2" t="s">
        <v>146</v>
      </c>
      <c r="X404" s="2" t="s">
        <v>146</v>
      </c>
      <c r="Y404" s="2" t="s">
        <v>146</v>
      </c>
      <c r="Z404" s="2" t="s">
        <v>146</v>
      </c>
      <c r="AA404" s="2" t="s">
        <v>146</v>
      </c>
      <c r="AB404" s="2" t="s">
        <v>146</v>
      </c>
      <c r="AC404" s="2" t="s">
        <v>146</v>
      </c>
      <c r="AD404" s="2" t="s">
        <v>146</v>
      </c>
      <c r="AE404" s="2" t="s">
        <v>146</v>
      </c>
      <c r="AF404" s="2" t="s">
        <v>146</v>
      </c>
      <c r="AG404" s="2" t="s">
        <v>146</v>
      </c>
      <c r="AH404" s="2" t="s">
        <v>146</v>
      </c>
      <c r="AI404" s="2" t="s">
        <v>146</v>
      </c>
      <c r="AJ404" s="2" t="s">
        <v>146</v>
      </c>
      <c r="AK404" s="2" t="s">
        <v>146</v>
      </c>
      <c r="AL404" s="2" t="s">
        <v>146</v>
      </c>
      <c r="AM404" s="2" t="s">
        <v>146</v>
      </c>
      <c r="AN404" s="2" t="s">
        <v>146</v>
      </c>
      <c r="AO404" s="2" t="s">
        <v>146</v>
      </c>
      <c r="AQ404" s="2">
        <f t="shared" si="66"/>
        <v>0</v>
      </c>
      <c r="AR404" s="2">
        <f t="shared" si="67"/>
        <v>0</v>
      </c>
      <c r="AT404" s="2">
        <f t="shared" si="68"/>
        <v>0</v>
      </c>
      <c r="AU404" s="2">
        <f t="shared" si="69"/>
        <v>0</v>
      </c>
      <c r="AV404" s="27" t="str">
        <f t="shared" si="70"/>
        <v/>
      </c>
      <c r="AY404" s="2">
        <f t="shared" si="71"/>
        <v>0</v>
      </c>
      <c r="AZ404" s="2">
        <f t="shared" si="72"/>
        <v>0</v>
      </c>
      <c r="BA404" s="2">
        <f t="shared" si="73"/>
        <v>0</v>
      </c>
      <c r="BB404" s="2">
        <f t="shared" si="74"/>
        <v>0</v>
      </c>
      <c r="BC404" s="2">
        <f t="shared" si="75"/>
        <v>0</v>
      </c>
      <c r="BD404" s="2">
        <f t="shared" si="76"/>
        <v>0</v>
      </c>
    </row>
    <row r="405" spans="1:56" ht="15" customHeight="1" x14ac:dyDescent="0.45">
      <c r="A405" s="2" t="s">
        <v>149</v>
      </c>
      <c r="B405" s="2" t="s">
        <v>153</v>
      </c>
      <c r="C405" s="2">
        <v>2019</v>
      </c>
      <c r="D405" s="2" t="s">
        <v>146</v>
      </c>
      <c r="E405" s="2" t="s">
        <v>146</v>
      </c>
      <c r="F405" s="2" t="s">
        <v>146</v>
      </c>
      <c r="G405" s="2" t="s">
        <v>146</v>
      </c>
      <c r="H405" s="2" t="s">
        <v>146</v>
      </c>
      <c r="I405" s="2" t="s">
        <v>146</v>
      </c>
      <c r="J405" s="2" t="s">
        <v>146</v>
      </c>
      <c r="K405" s="2" t="s">
        <v>146</v>
      </c>
      <c r="L405" s="2" t="s">
        <v>146</v>
      </c>
      <c r="M405" s="2" t="s">
        <v>146</v>
      </c>
      <c r="N405" s="2" t="s">
        <v>146</v>
      </c>
      <c r="O405" s="2" t="s">
        <v>146</v>
      </c>
      <c r="P405" s="2" t="s">
        <v>146</v>
      </c>
      <c r="Q405" s="2" t="s">
        <v>146</v>
      </c>
      <c r="R405" s="2" t="s">
        <v>146</v>
      </c>
      <c r="S405" s="2" t="s">
        <v>146</v>
      </c>
      <c r="T405" s="2" t="s">
        <v>146</v>
      </c>
      <c r="U405" s="2" t="s">
        <v>146</v>
      </c>
      <c r="V405" s="2" t="s">
        <v>146</v>
      </c>
      <c r="W405" s="2" t="s">
        <v>146</v>
      </c>
      <c r="X405" s="2" t="s">
        <v>146</v>
      </c>
      <c r="Y405" s="2" t="s">
        <v>146</v>
      </c>
      <c r="Z405" s="2" t="s">
        <v>146</v>
      </c>
      <c r="AA405" s="2" t="s">
        <v>146</v>
      </c>
      <c r="AB405" s="2" t="s">
        <v>146</v>
      </c>
      <c r="AC405" s="2" t="s">
        <v>146</v>
      </c>
      <c r="AD405" s="2" t="s">
        <v>146</v>
      </c>
      <c r="AE405" s="2" t="s">
        <v>146</v>
      </c>
      <c r="AF405" s="2" t="s">
        <v>146</v>
      </c>
      <c r="AG405" s="2" t="s">
        <v>146</v>
      </c>
      <c r="AH405" s="2" t="s">
        <v>146</v>
      </c>
      <c r="AI405" s="2" t="s">
        <v>146</v>
      </c>
      <c r="AJ405" s="2" t="s">
        <v>146</v>
      </c>
      <c r="AK405" s="2" t="s">
        <v>146</v>
      </c>
      <c r="AL405" s="2" t="s">
        <v>146</v>
      </c>
      <c r="AM405" s="2" t="s">
        <v>146</v>
      </c>
      <c r="AN405" s="2" t="s">
        <v>146</v>
      </c>
      <c r="AO405" s="2" t="s">
        <v>146</v>
      </c>
      <c r="AQ405" s="2">
        <f t="shared" si="66"/>
        <v>0</v>
      </c>
      <c r="AR405" s="2">
        <f t="shared" si="67"/>
        <v>0</v>
      </c>
      <c r="AT405" s="2">
        <f t="shared" si="68"/>
        <v>0</v>
      </c>
      <c r="AU405" s="2">
        <f t="shared" si="69"/>
        <v>0</v>
      </c>
      <c r="AV405" s="27" t="str">
        <f t="shared" si="70"/>
        <v/>
      </c>
      <c r="AY405" s="2">
        <f t="shared" si="71"/>
        <v>0</v>
      </c>
      <c r="AZ405" s="2">
        <f t="shared" si="72"/>
        <v>0</v>
      </c>
      <c r="BA405" s="2">
        <f t="shared" si="73"/>
        <v>0</v>
      </c>
      <c r="BB405" s="2">
        <f t="shared" si="74"/>
        <v>0</v>
      </c>
      <c r="BC405" s="2">
        <f t="shared" si="75"/>
        <v>0</v>
      </c>
      <c r="BD405" s="2">
        <f t="shared" si="76"/>
        <v>0</v>
      </c>
    </row>
    <row r="406" spans="1:56" ht="15" customHeight="1" x14ac:dyDescent="0.45">
      <c r="A406" s="2" t="s">
        <v>149</v>
      </c>
      <c r="B406" s="2" t="s">
        <v>152</v>
      </c>
      <c r="C406" s="2">
        <v>2019</v>
      </c>
      <c r="D406" s="2" t="s">
        <v>146</v>
      </c>
      <c r="E406" s="2" t="s">
        <v>146</v>
      </c>
      <c r="F406" s="2" t="s">
        <v>146</v>
      </c>
      <c r="G406" s="2" t="s">
        <v>146</v>
      </c>
      <c r="H406" s="2" t="s">
        <v>146</v>
      </c>
      <c r="I406" s="2" t="s">
        <v>146</v>
      </c>
      <c r="J406" s="2" t="s">
        <v>146</v>
      </c>
      <c r="K406" s="2" t="s">
        <v>146</v>
      </c>
      <c r="L406" s="2" t="s">
        <v>146</v>
      </c>
      <c r="M406" s="2" t="s">
        <v>146</v>
      </c>
      <c r="N406" s="2" t="s">
        <v>146</v>
      </c>
      <c r="O406" s="2" t="s">
        <v>146</v>
      </c>
      <c r="P406" s="2" t="s">
        <v>146</v>
      </c>
      <c r="Q406" s="2" t="s">
        <v>146</v>
      </c>
      <c r="R406" s="2" t="s">
        <v>146</v>
      </c>
      <c r="S406" s="2" t="s">
        <v>146</v>
      </c>
      <c r="T406" s="2" t="s">
        <v>146</v>
      </c>
      <c r="U406" s="2" t="s">
        <v>146</v>
      </c>
      <c r="V406" s="2" t="s">
        <v>146</v>
      </c>
      <c r="W406" s="2" t="s">
        <v>146</v>
      </c>
      <c r="X406" s="2" t="s">
        <v>146</v>
      </c>
      <c r="Y406" s="2" t="s">
        <v>146</v>
      </c>
      <c r="Z406" s="2" t="s">
        <v>146</v>
      </c>
      <c r="AA406" s="2" t="s">
        <v>146</v>
      </c>
      <c r="AB406" s="2" t="s">
        <v>146</v>
      </c>
      <c r="AC406" s="2" t="s">
        <v>146</v>
      </c>
      <c r="AD406" s="2" t="s">
        <v>146</v>
      </c>
      <c r="AE406" s="2" t="s">
        <v>146</v>
      </c>
      <c r="AF406" s="2" t="s">
        <v>146</v>
      </c>
      <c r="AG406" s="2" t="s">
        <v>146</v>
      </c>
      <c r="AH406" s="2" t="s">
        <v>146</v>
      </c>
      <c r="AI406" s="2" t="s">
        <v>146</v>
      </c>
      <c r="AJ406" s="2" t="s">
        <v>146</v>
      </c>
      <c r="AK406" s="2" t="s">
        <v>146</v>
      </c>
      <c r="AL406" s="2" t="s">
        <v>146</v>
      </c>
      <c r="AM406" s="2" t="s">
        <v>146</v>
      </c>
      <c r="AN406" s="2" t="s">
        <v>146</v>
      </c>
      <c r="AO406" s="2" t="s">
        <v>146</v>
      </c>
      <c r="AQ406" s="2">
        <f t="shared" si="66"/>
        <v>0</v>
      </c>
      <c r="AR406" s="2">
        <f t="shared" si="67"/>
        <v>0</v>
      </c>
      <c r="AT406" s="2">
        <f t="shared" si="68"/>
        <v>0</v>
      </c>
      <c r="AU406" s="2">
        <f t="shared" si="69"/>
        <v>0</v>
      </c>
      <c r="AV406" s="27" t="str">
        <f t="shared" si="70"/>
        <v/>
      </c>
      <c r="AY406" s="2">
        <f t="shared" si="71"/>
        <v>0</v>
      </c>
      <c r="AZ406" s="2">
        <f t="shared" si="72"/>
        <v>0</v>
      </c>
      <c r="BA406" s="2">
        <f t="shared" si="73"/>
        <v>0</v>
      </c>
      <c r="BB406" s="2">
        <f t="shared" si="74"/>
        <v>0</v>
      </c>
      <c r="BC406" s="2">
        <f t="shared" si="75"/>
        <v>0</v>
      </c>
      <c r="BD406" s="2">
        <f t="shared" si="76"/>
        <v>0</v>
      </c>
    </row>
    <row r="407" spans="1:56" ht="15" customHeight="1" x14ac:dyDescent="0.45">
      <c r="A407" s="2" t="s">
        <v>149</v>
      </c>
      <c r="B407" s="2" t="s">
        <v>151</v>
      </c>
      <c r="C407" s="2">
        <v>2019</v>
      </c>
      <c r="D407" s="2" t="s">
        <v>146</v>
      </c>
      <c r="E407" s="2" t="s">
        <v>146</v>
      </c>
      <c r="F407" s="2" t="s">
        <v>146</v>
      </c>
      <c r="G407" s="2" t="s">
        <v>146</v>
      </c>
      <c r="H407" s="2" t="s">
        <v>146</v>
      </c>
      <c r="I407" s="2" t="s">
        <v>146</v>
      </c>
      <c r="J407" s="2" t="s">
        <v>146</v>
      </c>
      <c r="K407" s="2" t="s">
        <v>146</v>
      </c>
      <c r="L407" s="2" t="s">
        <v>146</v>
      </c>
      <c r="M407" s="2" t="s">
        <v>146</v>
      </c>
      <c r="N407" s="2" t="s">
        <v>146</v>
      </c>
      <c r="O407" s="2" t="s">
        <v>146</v>
      </c>
      <c r="P407" s="2" t="s">
        <v>146</v>
      </c>
      <c r="Q407" s="2" t="s">
        <v>146</v>
      </c>
      <c r="R407" s="2" t="s">
        <v>146</v>
      </c>
      <c r="S407" s="2" t="s">
        <v>146</v>
      </c>
      <c r="T407" s="2" t="s">
        <v>146</v>
      </c>
      <c r="U407" s="2" t="s">
        <v>146</v>
      </c>
      <c r="V407" s="2" t="s">
        <v>146</v>
      </c>
      <c r="W407" s="2" t="s">
        <v>146</v>
      </c>
      <c r="X407" s="2" t="s">
        <v>146</v>
      </c>
      <c r="Y407" s="2" t="s">
        <v>146</v>
      </c>
      <c r="Z407" s="2" t="s">
        <v>146</v>
      </c>
      <c r="AA407" s="2" t="s">
        <v>146</v>
      </c>
      <c r="AB407" s="2" t="s">
        <v>146</v>
      </c>
      <c r="AC407" s="2" t="s">
        <v>146</v>
      </c>
      <c r="AD407" s="2" t="s">
        <v>146</v>
      </c>
      <c r="AE407" s="2" t="s">
        <v>146</v>
      </c>
      <c r="AF407" s="2" t="s">
        <v>146</v>
      </c>
      <c r="AG407" s="2" t="s">
        <v>146</v>
      </c>
      <c r="AH407" s="2" t="s">
        <v>146</v>
      </c>
      <c r="AI407" s="2" t="s">
        <v>146</v>
      </c>
      <c r="AJ407" s="2" t="s">
        <v>146</v>
      </c>
      <c r="AK407" s="2" t="s">
        <v>146</v>
      </c>
      <c r="AL407" s="2" t="s">
        <v>146</v>
      </c>
      <c r="AM407" s="2" t="s">
        <v>146</v>
      </c>
      <c r="AN407" s="2" t="s">
        <v>146</v>
      </c>
      <c r="AO407" s="2" t="s">
        <v>146</v>
      </c>
      <c r="AQ407" s="2">
        <f t="shared" si="66"/>
        <v>0</v>
      </c>
      <c r="AR407" s="2">
        <f t="shared" si="67"/>
        <v>0</v>
      </c>
      <c r="AT407" s="2">
        <f t="shared" si="68"/>
        <v>0</v>
      </c>
      <c r="AU407" s="2">
        <f t="shared" si="69"/>
        <v>0</v>
      </c>
      <c r="AV407" s="27" t="str">
        <f t="shared" si="70"/>
        <v/>
      </c>
      <c r="AY407" s="2">
        <f t="shared" si="71"/>
        <v>0</v>
      </c>
      <c r="AZ407" s="2">
        <f t="shared" si="72"/>
        <v>0</v>
      </c>
      <c r="BA407" s="2">
        <f t="shared" si="73"/>
        <v>0</v>
      </c>
      <c r="BB407" s="2">
        <f t="shared" si="74"/>
        <v>0</v>
      </c>
      <c r="BC407" s="2">
        <f t="shared" si="75"/>
        <v>0</v>
      </c>
      <c r="BD407" s="2">
        <f t="shared" si="76"/>
        <v>0</v>
      </c>
    </row>
    <row r="408" spans="1:56" ht="15" customHeight="1" x14ac:dyDescent="0.45">
      <c r="A408" s="2" t="s">
        <v>149</v>
      </c>
      <c r="B408" s="2" t="s">
        <v>150</v>
      </c>
      <c r="C408" s="2">
        <v>2019</v>
      </c>
      <c r="D408" s="2">
        <v>266.27100000000002</v>
      </c>
      <c r="E408" s="2">
        <v>98.875</v>
      </c>
      <c r="F408" s="2" t="s">
        <v>146</v>
      </c>
      <c r="G408" s="2" t="s">
        <v>146</v>
      </c>
      <c r="H408" s="2" t="s">
        <v>146</v>
      </c>
      <c r="I408" s="2">
        <v>459.19499999999999</v>
      </c>
      <c r="J408" s="2" t="s">
        <v>146</v>
      </c>
      <c r="K408" s="2">
        <v>10.492000000000001</v>
      </c>
      <c r="L408" s="2" t="s">
        <v>146</v>
      </c>
      <c r="M408" s="2">
        <v>1.738</v>
      </c>
      <c r="N408" s="2" t="s">
        <v>146</v>
      </c>
      <c r="O408" s="2" t="s">
        <v>146</v>
      </c>
      <c r="P408" s="2" t="s">
        <v>146</v>
      </c>
      <c r="Q408" s="2">
        <v>19.152000000000001</v>
      </c>
      <c r="R408" s="2">
        <v>224.71299999999999</v>
      </c>
      <c r="S408" s="2">
        <v>39.069000000000003</v>
      </c>
      <c r="T408" s="2">
        <v>87.736000000000004</v>
      </c>
      <c r="U408" s="2" t="s">
        <v>146</v>
      </c>
      <c r="V408" s="2" t="s">
        <v>146</v>
      </c>
      <c r="W408" s="2" t="s">
        <v>147</v>
      </c>
      <c r="X408" s="2" t="s">
        <v>146</v>
      </c>
      <c r="Y408" s="2" t="s">
        <v>146</v>
      </c>
      <c r="Z408" s="2" t="s">
        <v>146</v>
      </c>
      <c r="AA408" s="2" t="s">
        <v>146</v>
      </c>
      <c r="AB408" s="2" t="s">
        <v>146</v>
      </c>
      <c r="AC408" s="2" t="s">
        <v>146</v>
      </c>
      <c r="AD408" s="2" t="s">
        <v>146</v>
      </c>
      <c r="AE408" s="2">
        <v>72.099000000000004</v>
      </c>
      <c r="AF408" s="2" t="s">
        <v>146</v>
      </c>
      <c r="AG408" s="2" t="s">
        <v>146</v>
      </c>
      <c r="AH408" s="2" t="s">
        <v>146</v>
      </c>
      <c r="AI408" s="2" t="s">
        <v>146</v>
      </c>
      <c r="AJ408" s="2">
        <v>4.1959999999999997</v>
      </c>
      <c r="AK408" s="2" t="s">
        <v>146</v>
      </c>
      <c r="AL408" s="2" t="s">
        <v>146</v>
      </c>
      <c r="AM408" s="2" t="s">
        <v>146</v>
      </c>
      <c r="AN408" s="2" t="s">
        <v>146</v>
      </c>
      <c r="AO408" s="2" t="s">
        <v>146</v>
      </c>
      <c r="AQ408" s="2">
        <f t="shared" si="66"/>
        <v>459.19499999999999</v>
      </c>
      <c r="AR408" s="2">
        <f t="shared" si="67"/>
        <v>459.19499999999999</v>
      </c>
      <c r="AT408" s="2">
        <f t="shared" si="68"/>
        <v>266.27100000000002</v>
      </c>
      <c r="AU408" s="2">
        <f t="shared" si="69"/>
        <v>98.875</v>
      </c>
      <c r="AV408" s="27">
        <f t="shared" si="70"/>
        <v>0.79518722982610879</v>
      </c>
      <c r="AY408" s="2">
        <f t="shared" si="71"/>
        <v>0</v>
      </c>
      <c r="AZ408" s="2">
        <f t="shared" si="72"/>
        <v>0</v>
      </c>
      <c r="BA408" s="2">
        <f t="shared" si="73"/>
        <v>0</v>
      </c>
      <c r="BB408" s="2">
        <f t="shared" si="74"/>
        <v>0</v>
      </c>
      <c r="BC408" s="2">
        <f t="shared" si="75"/>
        <v>0</v>
      </c>
      <c r="BD408" s="2">
        <f t="shared" si="76"/>
        <v>0</v>
      </c>
    </row>
    <row r="409" spans="1:56" ht="15" customHeight="1" x14ac:dyDescent="0.45">
      <c r="A409" s="2" t="s">
        <v>149</v>
      </c>
      <c r="B409" s="2" t="s">
        <v>148</v>
      </c>
      <c r="C409" s="2">
        <v>2019</v>
      </c>
      <c r="D409" s="2">
        <v>177.11099999999999</v>
      </c>
      <c r="E409" s="2">
        <v>88.486000000000004</v>
      </c>
      <c r="F409" s="2">
        <v>13.457000000000001</v>
      </c>
      <c r="G409" s="2" t="s">
        <v>725</v>
      </c>
      <c r="H409" s="2">
        <v>14.355</v>
      </c>
      <c r="I409" s="2">
        <v>372.03899999999999</v>
      </c>
      <c r="J409" s="2" t="s">
        <v>146</v>
      </c>
      <c r="K409" s="2" t="s">
        <v>146</v>
      </c>
      <c r="L409" s="2" t="s">
        <v>146</v>
      </c>
      <c r="M409" s="2">
        <v>0.67100000000000004</v>
      </c>
      <c r="N409" s="2" t="s">
        <v>146</v>
      </c>
      <c r="O409" s="2" t="s">
        <v>146</v>
      </c>
      <c r="P409" s="2" t="s">
        <v>146</v>
      </c>
      <c r="Q409" s="2">
        <v>10.394</v>
      </c>
      <c r="R409" s="2">
        <v>135.76499999999999</v>
      </c>
      <c r="S409" s="2">
        <v>26.190999999999999</v>
      </c>
      <c r="T409" s="2">
        <v>56.831000000000003</v>
      </c>
      <c r="U409" s="2" t="s">
        <v>146</v>
      </c>
      <c r="V409" s="2" t="s">
        <v>146</v>
      </c>
      <c r="W409" s="2" t="s">
        <v>147</v>
      </c>
      <c r="X409" s="2" t="s">
        <v>146</v>
      </c>
      <c r="Y409" s="2" t="s">
        <v>146</v>
      </c>
      <c r="Z409" s="2" t="s">
        <v>146</v>
      </c>
      <c r="AA409" s="2" t="s">
        <v>146</v>
      </c>
      <c r="AB409" s="2" t="s">
        <v>146</v>
      </c>
      <c r="AC409" s="2" t="s">
        <v>146</v>
      </c>
      <c r="AD409" s="2" t="s">
        <v>146</v>
      </c>
      <c r="AE409" s="2">
        <v>49.137999999999998</v>
      </c>
      <c r="AF409" s="2" t="s">
        <v>146</v>
      </c>
      <c r="AG409" s="2" t="s">
        <v>146</v>
      </c>
      <c r="AH409" s="2" t="s">
        <v>155</v>
      </c>
      <c r="AI409" s="2" t="s">
        <v>146</v>
      </c>
      <c r="AJ409" s="2">
        <v>3.1749999999999998</v>
      </c>
      <c r="AK409" s="2">
        <v>89.873999999999995</v>
      </c>
      <c r="AL409" s="2">
        <v>83.4</v>
      </c>
      <c r="AM409" s="2" t="s">
        <v>146</v>
      </c>
      <c r="AN409" s="2">
        <v>0</v>
      </c>
      <c r="AO409" s="2">
        <v>16.600000000000001</v>
      </c>
      <c r="AQ409" s="2">
        <f t="shared" si="66"/>
        <v>282.16499999999996</v>
      </c>
      <c r="AR409" s="2">
        <f t="shared" si="67"/>
        <v>372.03899999999993</v>
      </c>
      <c r="AT409" s="2">
        <f t="shared" si="68"/>
        <v>177.11099999999999</v>
      </c>
      <c r="AU409" s="2">
        <f t="shared" si="69"/>
        <v>88.486000000000004</v>
      </c>
      <c r="AV409" s="27">
        <f t="shared" si="70"/>
        <v>0.71389558621542371</v>
      </c>
      <c r="AY409" s="2">
        <f t="shared" si="71"/>
        <v>89.873999999999995</v>
      </c>
      <c r="AZ409" s="2">
        <f t="shared" si="72"/>
        <v>74.954915999999997</v>
      </c>
      <c r="BA409" s="2">
        <f t="shared" si="73"/>
        <v>0</v>
      </c>
      <c r="BB409" s="2">
        <f t="shared" si="74"/>
        <v>0</v>
      </c>
      <c r="BC409" s="2">
        <f t="shared" si="75"/>
        <v>14.919084</v>
      </c>
      <c r="BD409" s="2">
        <f t="shared" si="76"/>
        <v>0</v>
      </c>
    </row>
  </sheetData>
  <autoFilter ref="A1:BD1" xr:uid="{DE353557-B2B4-4AD9-924F-8780AB23ADB1}"/>
  <conditionalFormatting sqref="B2:B1048576">
    <cfRule type="duplicateValues" dxfId="63" priority="3"/>
  </conditionalFormatting>
  <conditionalFormatting sqref="B1">
    <cfRule type="duplicateValues" dxfId="62" priority="2"/>
  </conditionalFormatting>
  <conditionalFormatting sqref="B1:B1048576">
    <cfRule type="duplicateValues" dxfId="61" priority="1"/>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1FBE9-DCA1-4A57-9F6C-E1B9483B4CAF}">
  <sheetPr codeName="Blad7">
    <tabColor theme="9" tint="0.39997558519241921"/>
  </sheetPr>
  <dimension ref="A1:BA408"/>
  <sheetViews>
    <sheetView workbookViewId="0">
      <selection activeCell="B206" sqref="B206"/>
    </sheetView>
  </sheetViews>
  <sheetFormatPr defaultColWidth="9.1328125" defaultRowHeight="14.25" x14ac:dyDescent="0.45"/>
  <cols>
    <col min="1" max="1" width="30" style="31" customWidth="1"/>
    <col min="2" max="2" width="50" style="31" customWidth="1"/>
    <col min="3" max="41" width="9.1328125" style="31"/>
    <col min="42" max="42" width="11.86328125" style="31" customWidth="1"/>
    <col min="43" max="45" width="9.1328125" style="31"/>
    <col min="46" max="46" width="12.1328125" style="31" customWidth="1"/>
    <col min="47" max="47" width="9.1328125" style="31"/>
    <col min="48" max="48" width="10.59765625" style="31" customWidth="1"/>
    <col min="49" max="50" width="9.1328125" style="31"/>
    <col min="51" max="51" width="3.59765625" style="31" customWidth="1"/>
    <col min="52" max="52" width="2.86328125" style="31" customWidth="1"/>
    <col min="53" max="53" width="18.59765625" style="32" customWidth="1"/>
    <col min="54" max="16384" width="9.1328125" style="31"/>
  </cols>
  <sheetData>
    <row r="1" spans="1:53" customFormat="1" ht="157.15" thickBot="1" x14ac:dyDescent="0.5">
      <c r="A1" s="23" t="s">
        <v>724</v>
      </c>
      <c r="B1" s="23" t="s">
        <v>2</v>
      </c>
      <c r="C1" s="23" t="s">
        <v>723</v>
      </c>
      <c r="D1" s="23" t="s">
        <v>733</v>
      </c>
      <c r="E1" s="23" t="s">
        <v>732</v>
      </c>
      <c r="F1" s="23" t="s">
        <v>731</v>
      </c>
      <c r="G1" s="23" t="s">
        <v>730</v>
      </c>
      <c r="H1" s="23" t="s">
        <v>729</v>
      </c>
      <c r="I1" s="23" t="s">
        <v>721</v>
      </c>
      <c r="J1" s="23" t="s">
        <v>720</v>
      </c>
      <c r="K1" s="23" t="s">
        <v>719</v>
      </c>
      <c r="L1" s="23" t="s">
        <v>718</v>
      </c>
      <c r="M1" s="23" t="s">
        <v>717</v>
      </c>
      <c r="N1" s="23" t="s">
        <v>716</v>
      </c>
      <c r="O1" s="23" t="s">
        <v>714</v>
      </c>
      <c r="P1" s="23" t="s">
        <v>713</v>
      </c>
      <c r="Q1" s="23" t="s">
        <v>712</v>
      </c>
      <c r="R1" s="23" t="s">
        <v>711</v>
      </c>
      <c r="S1" s="23" t="s">
        <v>710</v>
      </c>
      <c r="T1" s="23" t="s">
        <v>709</v>
      </c>
      <c r="U1" s="23" t="s">
        <v>708</v>
      </c>
      <c r="V1" s="23" t="s">
        <v>707</v>
      </c>
      <c r="W1" s="23" t="s">
        <v>706</v>
      </c>
      <c r="X1" s="23" t="s">
        <v>705</v>
      </c>
      <c r="Y1" s="23" t="s">
        <v>704</v>
      </c>
      <c r="Z1" s="23" t="s">
        <v>703</v>
      </c>
      <c r="AA1" s="23" t="s">
        <v>702</v>
      </c>
      <c r="AB1" s="23" t="s">
        <v>701</v>
      </c>
      <c r="AC1" s="23" t="s">
        <v>700</v>
      </c>
      <c r="AD1" s="23" t="s">
        <v>699</v>
      </c>
      <c r="AE1" s="23" t="s">
        <v>698</v>
      </c>
      <c r="AF1" s="23" t="s">
        <v>694</v>
      </c>
      <c r="AG1" s="23" t="s">
        <v>715</v>
      </c>
      <c r="AH1" s="23" t="s">
        <v>728</v>
      </c>
      <c r="AI1" s="29" t="s">
        <v>1203</v>
      </c>
      <c r="AL1" s="24" t="s">
        <v>1204</v>
      </c>
      <c r="AM1" s="24" t="s">
        <v>1205</v>
      </c>
      <c r="AN1" s="30" t="s">
        <v>1206</v>
      </c>
      <c r="AO1" s="24"/>
      <c r="AP1" s="25" t="s">
        <v>1200</v>
      </c>
      <c r="AQ1" s="25" t="s">
        <v>1201</v>
      </c>
      <c r="AR1" s="24" t="s">
        <v>1207</v>
      </c>
      <c r="AS1" s="24"/>
      <c r="AT1" s="24" t="s">
        <v>1208</v>
      </c>
      <c r="AU1" s="24"/>
      <c r="AV1" s="24" t="s">
        <v>1209</v>
      </c>
      <c r="AX1" s="24" t="s">
        <v>1210</v>
      </c>
      <c r="BA1" s="24" t="s">
        <v>1211</v>
      </c>
    </row>
    <row r="2" spans="1:53" x14ac:dyDescent="0.45">
      <c r="A2" s="31" t="s">
        <v>15</v>
      </c>
      <c r="B2" s="31" t="s">
        <v>24</v>
      </c>
      <c r="J2" s="31">
        <v>0</v>
      </c>
      <c r="K2" s="31">
        <v>0</v>
      </c>
      <c r="L2" s="31">
        <v>0</v>
      </c>
      <c r="M2" s="31">
        <v>0</v>
      </c>
      <c r="N2" s="31">
        <v>0</v>
      </c>
      <c r="O2" s="31">
        <v>0</v>
      </c>
      <c r="P2" s="31">
        <v>0</v>
      </c>
      <c r="Q2" s="31">
        <v>0</v>
      </c>
      <c r="R2" s="31">
        <v>0</v>
      </c>
      <c r="S2" s="31">
        <v>0</v>
      </c>
      <c r="T2" s="31">
        <v>0</v>
      </c>
      <c r="U2" s="31">
        <v>0</v>
      </c>
      <c r="W2" s="31">
        <v>0</v>
      </c>
      <c r="X2" s="31">
        <v>0</v>
      </c>
      <c r="Y2" s="31">
        <v>0</v>
      </c>
      <c r="Z2" s="31">
        <v>0</v>
      </c>
      <c r="AA2" s="31">
        <v>0</v>
      </c>
      <c r="AB2" s="31">
        <v>0</v>
      </c>
      <c r="AC2" s="31">
        <v>0</v>
      </c>
      <c r="AD2" s="31">
        <v>0</v>
      </c>
      <c r="AE2" s="31">
        <v>0</v>
      </c>
      <c r="AF2" s="31">
        <v>0</v>
      </c>
      <c r="AG2" s="31">
        <v>0</v>
      </c>
      <c r="AH2" s="31">
        <v>0</v>
      </c>
      <c r="AI2" s="31">
        <v>0</v>
      </c>
      <c r="AL2" s="31">
        <f t="shared" ref="AL2:AL65" si="0">SUM(J2:U2,W2:AI2)</f>
        <v>0</v>
      </c>
      <c r="AM2" s="31">
        <f t="shared" ref="AM2:AM65" si="1">AL2-IFERROR(AI2/1,0)</f>
        <v>0</v>
      </c>
      <c r="AN2" s="31">
        <f t="shared" ref="AN2:AN65" si="2">AM2-IFERROR(AH2/1,0)</f>
        <v>0</v>
      </c>
      <c r="AP2" s="31">
        <f>VLOOKUP($B2,Kraftvärmeprod!$B$1:$BX$549,MATCH(AP$1,Kraftvärmeprod!$B$1:$BX$1,0),FALSE)</f>
        <v>0</v>
      </c>
      <c r="AQ2" s="31">
        <f>VLOOKUP($B2,Kraftvärmeprod!$B$1:$BX$549,MATCH(AQ$1,Kraftvärmeprod!$B$1:$BX$1,0),FALSE)</f>
        <v>0</v>
      </c>
      <c r="AR2" s="31">
        <f>VLOOKUP($B2,Kraftvärmeprod!$B$1:$BX$549,MATCH("Summa tillförd energi exklusive rökgaskondensering",Kraftvärmeprod!$B$1:$BX$1,0),FALSE)</f>
        <v>0</v>
      </c>
      <c r="AT2" s="32" t="str">
        <f t="shared" ref="AT2:AT65" si="3">IF(AN2=0,"",AN2/AR2)</f>
        <v/>
      </c>
      <c r="AV2" s="31">
        <f t="shared" ref="AV2:AV65" si="4">Q2+R2+S2+T2+U2+P2+X2+Y2+Z2+AA2+AB2+AC2+W2</f>
        <v>0</v>
      </c>
      <c r="AX2" s="31" t="str">
        <f>VLOOKUP(B2,Totalt!$B$1:$BZ$554,MATCH(AX$1,Totalt!$B$1:$BZ$1,0),FALSE)</f>
        <v>Ja</v>
      </c>
      <c r="BA2" s="32" t="str">
        <f t="shared" ref="BA2:BA65" si="5">IFERROR(AP2/(AN2+AI2),"")</f>
        <v/>
      </c>
    </row>
    <row r="3" spans="1:53" x14ac:dyDescent="0.45">
      <c r="A3" s="31" t="s">
        <v>15</v>
      </c>
      <c r="B3" s="31" t="s">
        <v>16</v>
      </c>
      <c r="J3" s="31">
        <v>0</v>
      </c>
      <c r="K3" s="31">
        <v>0</v>
      </c>
      <c r="L3" s="31">
        <v>0</v>
      </c>
      <c r="M3" s="31">
        <v>0</v>
      </c>
      <c r="N3" s="31">
        <v>0</v>
      </c>
      <c r="O3" s="31">
        <v>0</v>
      </c>
      <c r="P3" s="31">
        <v>0</v>
      </c>
      <c r="Q3" s="31">
        <v>0</v>
      </c>
      <c r="R3" s="31">
        <v>0</v>
      </c>
      <c r="S3" s="31">
        <v>0</v>
      </c>
      <c r="T3" s="31">
        <v>0</v>
      </c>
      <c r="U3" s="31">
        <v>0</v>
      </c>
      <c r="W3" s="31">
        <v>0</v>
      </c>
      <c r="X3" s="31">
        <v>0</v>
      </c>
      <c r="Y3" s="31">
        <v>0</v>
      </c>
      <c r="Z3" s="31">
        <v>0</v>
      </c>
      <c r="AA3" s="31">
        <v>0</v>
      </c>
      <c r="AB3" s="31">
        <v>0</v>
      </c>
      <c r="AC3" s="31">
        <v>0</v>
      </c>
      <c r="AD3" s="31">
        <v>0</v>
      </c>
      <c r="AE3" s="31">
        <v>0</v>
      </c>
      <c r="AF3" s="31">
        <v>0</v>
      </c>
      <c r="AG3" s="31">
        <v>0</v>
      </c>
      <c r="AH3" s="31">
        <v>0</v>
      </c>
      <c r="AI3" s="31">
        <v>0</v>
      </c>
      <c r="AL3" s="31">
        <f t="shared" si="0"/>
        <v>0</v>
      </c>
      <c r="AM3" s="31">
        <f t="shared" si="1"/>
        <v>0</v>
      </c>
      <c r="AN3" s="31">
        <f t="shared" si="2"/>
        <v>0</v>
      </c>
      <c r="AP3" s="31">
        <f>VLOOKUP($B3,Kraftvärmeprod!$B$1:$BX$549,MATCH(AP$1,Kraftvärmeprod!$B$1:$BX$1,0),FALSE)</f>
        <v>0</v>
      </c>
      <c r="AQ3" s="31">
        <f>VLOOKUP($B3,Kraftvärmeprod!$B$1:$BX$549,MATCH(AQ$1,Kraftvärmeprod!$B$1:$BX$1,0),FALSE)</f>
        <v>0</v>
      </c>
      <c r="AR3" s="31">
        <f>VLOOKUP($B3,Kraftvärmeprod!$B$1:$BX$549,MATCH("Summa tillförd energi exklusive rökgaskondensering",Kraftvärmeprod!$B$1:$BX$1,0),FALSE)</f>
        <v>0</v>
      </c>
      <c r="AT3" s="32" t="str">
        <f t="shared" si="3"/>
        <v/>
      </c>
      <c r="AV3" s="31">
        <f t="shared" si="4"/>
        <v>0</v>
      </c>
      <c r="AX3" s="31" t="str">
        <f>VLOOKUP(B3,Totalt!$B$1:$BZ$554,MATCH(AX$1,Totalt!$B$1:$BZ$1,0),FALSE)</f>
        <v>Ja</v>
      </c>
      <c r="BA3" s="32" t="str">
        <f t="shared" si="5"/>
        <v/>
      </c>
    </row>
    <row r="4" spans="1:53" x14ac:dyDescent="0.45">
      <c r="A4" s="31" t="s">
        <v>15</v>
      </c>
      <c r="B4" s="31" t="s">
        <v>18</v>
      </c>
      <c r="J4" s="31">
        <v>0</v>
      </c>
      <c r="K4" s="31">
        <v>0</v>
      </c>
      <c r="L4" s="31">
        <v>0</v>
      </c>
      <c r="M4" s="31">
        <v>0</v>
      </c>
      <c r="N4" s="31">
        <v>0</v>
      </c>
      <c r="O4" s="31">
        <v>0</v>
      </c>
      <c r="P4" s="31">
        <v>0</v>
      </c>
      <c r="Q4" s="31">
        <v>0</v>
      </c>
      <c r="R4" s="31">
        <v>0</v>
      </c>
      <c r="S4" s="31">
        <v>0</v>
      </c>
      <c r="T4" s="31">
        <v>0</v>
      </c>
      <c r="U4" s="31">
        <v>0</v>
      </c>
      <c r="W4" s="31">
        <v>0</v>
      </c>
      <c r="X4" s="31">
        <v>0</v>
      </c>
      <c r="Y4" s="31">
        <v>0</v>
      </c>
      <c r="Z4" s="31">
        <v>0</v>
      </c>
      <c r="AA4" s="31">
        <v>0</v>
      </c>
      <c r="AB4" s="31">
        <v>0</v>
      </c>
      <c r="AC4" s="31">
        <v>0</v>
      </c>
      <c r="AD4" s="31">
        <v>0</v>
      </c>
      <c r="AE4" s="31">
        <v>0</v>
      </c>
      <c r="AF4" s="31">
        <v>0</v>
      </c>
      <c r="AG4" s="31">
        <v>0</v>
      </c>
      <c r="AH4" s="31">
        <v>0</v>
      </c>
      <c r="AI4" s="31">
        <v>0</v>
      </c>
      <c r="AL4" s="31">
        <f t="shared" si="0"/>
        <v>0</v>
      </c>
      <c r="AM4" s="31">
        <f t="shared" si="1"/>
        <v>0</v>
      </c>
      <c r="AN4" s="31">
        <f t="shared" si="2"/>
        <v>0</v>
      </c>
      <c r="AP4" s="31">
        <f>VLOOKUP($B4,Kraftvärmeprod!$B$1:$BX$549,MATCH(AP$1,Kraftvärmeprod!$B$1:$BX$1,0),FALSE)</f>
        <v>0</v>
      </c>
      <c r="AQ4" s="31">
        <f>VLOOKUP($B4,Kraftvärmeprod!$B$1:$BX$549,MATCH(AQ$1,Kraftvärmeprod!$B$1:$BX$1,0),FALSE)</f>
        <v>0</v>
      </c>
      <c r="AR4" s="31">
        <f>VLOOKUP($B4,Kraftvärmeprod!$B$1:$BX$549,MATCH("Summa tillförd energi exklusive rökgaskondensering",Kraftvärmeprod!$B$1:$BX$1,0),FALSE)</f>
        <v>0</v>
      </c>
      <c r="AT4" s="32" t="str">
        <f t="shared" si="3"/>
        <v/>
      </c>
      <c r="AV4" s="31">
        <f t="shared" si="4"/>
        <v>0</v>
      </c>
      <c r="AX4" s="31" t="str">
        <f>VLOOKUP(B4,Totalt!$B$1:$BZ$554,MATCH(AX$1,Totalt!$B$1:$BZ$1,0),FALSE)</f>
        <v>Ja</v>
      </c>
      <c r="BA4" s="32" t="str">
        <f t="shared" si="5"/>
        <v/>
      </c>
    </row>
    <row r="5" spans="1:53" x14ac:dyDescent="0.45">
      <c r="A5" s="31" t="s">
        <v>15</v>
      </c>
      <c r="B5" s="31" t="s">
        <v>28</v>
      </c>
      <c r="J5" s="31">
        <v>0</v>
      </c>
      <c r="K5" s="31">
        <v>0</v>
      </c>
      <c r="L5" s="31">
        <v>0</v>
      </c>
      <c r="M5" s="31">
        <v>0</v>
      </c>
      <c r="N5" s="31">
        <v>0</v>
      </c>
      <c r="O5" s="31">
        <v>0</v>
      </c>
      <c r="P5" s="31">
        <v>0</v>
      </c>
      <c r="Q5" s="31">
        <v>0</v>
      </c>
      <c r="R5" s="31">
        <v>0</v>
      </c>
      <c r="S5" s="31">
        <v>0</v>
      </c>
      <c r="T5" s="31">
        <v>0</v>
      </c>
      <c r="U5" s="31">
        <v>0</v>
      </c>
      <c r="W5" s="31">
        <v>0</v>
      </c>
      <c r="X5" s="31">
        <v>0</v>
      </c>
      <c r="Y5" s="31">
        <v>0</v>
      </c>
      <c r="Z5" s="31">
        <v>0</v>
      </c>
      <c r="AA5" s="31">
        <v>0</v>
      </c>
      <c r="AB5" s="31">
        <v>0</v>
      </c>
      <c r="AC5" s="31">
        <v>0</v>
      </c>
      <c r="AD5" s="31">
        <v>0</v>
      </c>
      <c r="AE5" s="31">
        <v>0</v>
      </c>
      <c r="AF5" s="31">
        <v>0</v>
      </c>
      <c r="AG5" s="31">
        <v>0</v>
      </c>
      <c r="AH5" s="31">
        <v>0</v>
      </c>
      <c r="AI5" s="31">
        <v>0</v>
      </c>
      <c r="AL5" s="31">
        <f t="shared" si="0"/>
        <v>0</v>
      </c>
      <c r="AM5" s="31">
        <f t="shared" si="1"/>
        <v>0</v>
      </c>
      <c r="AN5" s="31">
        <f t="shared" si="2"/>
        <v>0</v>
      </c>
      <c r="AP5" s="31">
        <f>VLOOKUP($B5,Kraftvärmeprod!$B$1:$BX$549,MATCH(AP$1,Kraftvärmeprod!$B$1:$BX$1,0),FALSE)</f>
        <v>0</v>
      </c>
      <c r="AQ5" s="31">
        <f>VLOOKUP($B5,Kraftvärmeprod!$B$1:$BX$549,MATCH(AQ$1,Kraftvärmeprod!$B$1:$BX$1,0),FALSE)</f>
        <v>0</v>
      </c>
      <c r="AR5" s="31">
        <f>VLOOKUP($B5,Kraftvärmeprod!$B$1:$BX$549,MATCH("Summa tillförd energi exklusive rökgaskondensering",Kraftvärmeprod!$B$1:$BX$1,0),FALSE)</f>
        <v>0</v>
      </c>
      <c r="AT5" s="32" t="str">
        <f t="shared" si="3"/>
        <v/>
      </c>
      <c r="AV5" s="31">
        <f t="shared" si="4"/>
        <v>0</v>
      </c>
      <c r="AX5" s="31" t="str">
        <f>VLOOKUP(B5,Totalt!$B$1:$BZ$554,MATCH(AX$1,Totalt!$B$1:$BZ$1,0),FALSE)</f>
        <v>Ja</v>
      </c>
      <c r="BA5" s="32" t="str">
        <f t="shared" si="5"/>
        <v/>
      </c>
    </row>
    <row r="6" spans="1:53" x14ac:dyDescent="0.45">
      <c r="A6" s="31" t="s">
        <v>15</v>
      </c>
      <c r="B6" s="31" t="s">
        <v>22</v>
      </c>
      <c r="J6" s="31">
        <v>0</v>
      </c>
      <c r="K6" s="31">
        <v>0</v>
      </c>
      <c r="L6" s="31">
        <v>0</v>
      </c>
      <c r="M6" s="31">
        <v>0</v>
      </c>
      <c r="N6" s="31">
        <v>0</v>
      </c>
      <c r="O6" s="31">
        <v>0</v>
      </c>
      <c r="P6" s="31">
        <v>0</v>
      </c>
      <c r="Q6" s="31">
        <v>0</v>
      </c>
      <c r="R6" s="31">
        <v>0</v>
      </c>
      <c r="S6" s="31">
        <v>0</v>
      </c>
      <c r="T6" s="31">
        <v>0</v>
      </c>
      <c r="U6" s="31">
        <v>0</v>
      </c>
      <c r="W6" s="31">
        <v>0</v>
      </c>
      <c r="X6" s="31">
        <v>0</v>
      </c>
      <c r="Y6" s="31">
        <v>0</v>
      </c>
      <c r="Z6" s="31">
        <v>0</v>
      </c>
      <c r="AA6" s="31">
        <v>0</v>
      </c>
      <c r="AB6" s="31">
        <v>0</v>
      </c>
      <c r="AC6" s="31">
        <v>0</v>
      </c>
      <c r="AD6" s="31">
        <v>0</v>
      </c>
      <c r="AE6" s="31">
        <v>0</v>
      </c>
      <c r="AF6" s="31">
        <v>0</v>
      </c>
      <c r="AG6" s="31">
        <v>0</v>
      </c>
      <c r="AH6" s="31">
        <v>0</v>
      </c>
      <c r="AI6" s="31">
        <v>0</v>
      </c>
      <c r="AL6" s="31">
        <f t="shared" si="0"/>
        <v>0</v>
      </c>
      <c r="AM6" s="31">
        <f t="shared" si="1"/>
        <v>0</v>
      </c>
      <c r="AN6" s="31">
        <f t="shared" si="2"/>
        <v>0</v>
      </c>
      <c r="AP6" s="31">
        <f>VLOOKUP($B6,Kraftvärmeprod!$B$1:$BX$549,MATCH(AP$1,Kraftvärmeprod!$B$1:$BX$1,0),FALSE)</f>
        <v>0</v>
      </c>
      <c r="AQ6" s="31">
        <f>VLOOKUP($B6,Kraftvärmeprod!$B$1:$BX$549,MATCH(AQ$1,Kraftvärmeprod!$B$1:$BX$1,0),FALSE)</f>
        <v>0</v>
      </c>
      <c r="AR6" s="31">
        <f>VLOOKUP($B6,Kraftvärmeprod!$B$1:$BX$549,MATCH("Summa tillförd energi exklusive rökgaskondensering",Kraftvärmeprod!$B$1:$BX$1,0),FALSE)</f>
        <v>0</v>
      </c>
      <c r="AT6" s="32" t="str">
        <f t="shared" si="3"/>
        <v/>
      </c>
      <c r="AV6" s="31">
        <f t="shared" si="4"/>
        <v>0</v>
      </c>
      <c r="AX6" s="31" t="str">
        <f>VLOOKUP(B6,Totalt!$B$1:$BZ$554,MATCH(AX$1,Totalt!$B$1:$BZ$1,0),FALSE)</f>
        <v>Ja</v>
      </c>
      <c r="BA6" s="32" t="str">
        <f t="shared" si="5"/>
        <v/>
      </c>
    </row>
    <row r="7" spans="1:53" x14ac:dyDescent="0.45">
      <c r="A7" s="31" t="s">
        <v>15</v>
      </c>
      <c r="B7" s="31" t="s">
        <v>30</v>
      </c>
      <c r="J7" s="31">
        <v>0</v>
      </c>
      <c r="K7" s="31">
        <v>0</v>
      </c>
      <c r="L7" s="31">
        <v>0</v>
      </c>
      <c r="M7" s="31">
        <v>0</v>
      </c>
      <c r="N7" s="31">
        <v>0</v>
      </c>
      <c r="O7" s="31">
        <v>0</v>
      </c>
      <c r="P7" s="31">
        <v>0</v>
      </c>
      <c r="Q7" s="31">
        <v>0</v>
      </c>
      <c r="R7" s="31">
        <v>0</v>
      </c>
      <c r="S7" s="31">
        <v>0</v>
      </c>
      <c r="T7" s="31">
        <v>0</v>
      </c>
      <c r="U7" s="31">
        <v>0</v>
      </c>
      <c r="W7" s="31">
        <v>0</v>
      </c>
      <c r="X7" s="31">
        <v>0</v>
      </c>
      <c r="Y7" s="31">
        <v>0</v>
      </c>
      <c r="Z7" s="31">
        <v>0</v>
      </c>
      <c r="AA7" s="31">
        <v>0</v>
      </c>
      <c r="AB7" s="31">
        <v>0</v>
      </c>
      <c r="AC7" s="31">
        <v>0</v>
      </c>
      <c r="AD7" s="31">
        <v>0</v>
      </c>
      <c r="AE7" s="31">
        <v>0</v>
      </c>
      <c r="AF7" s="31">
        <v>0</v>
      </c>
      <c r="AG7" s="31">
        <v>0</v>
      </c>
      <c r="AH7" s="31">
        <v>0</v>
      </c>
      <c r="AI7" s="31">
        <v>0</v>
      </c>
      <c r="AL7" s="31">
        <f t="shared" si="0"/>
        <v>0</v>
      </c>
      <c r="AM7" s="31">
        <f t="shared" si="1"/>
        <v>0</v>
      </c>
      <c r="AN7" s="31">
        <f t="shared" si="2"/>
        <v>0</v>
      </c>
      <c r="AP7" s="31">
        <f>VLOOKUP($B7,Kraftvärmeprod!$B$1:$BX$549,MATCH(AP$1,Kraftvärmeprod!$B$1:$BX$1,0),FALSE)</f>
        <v>0</v>
      </c>
      <c r="AQ7" s="31">
        <f>VLOOKUP($B7,Kraftvärmeprod!$B$1:$BX$549,MATCH(AQ$1,Kraftvärmeprod!$B$1:$BX$1,0),FALSE)</f>
        <v>0</v>
      </c>
      <c r="AR7" s="31">
        <f>VLOOKUP($B7,Kraftvärmeprod!$B$1:$BX$549,MATCH("Summa tillförd energi exklusive rökgaskondensering",Kraftvärmeprod!$B$1:$BX$1,0),FALSE)</f>
        <v>0</v>
      </c>
      <c r="AT7" s="32" t="str">
        <f t="shared" si="3"/>
        <v/>
      </c>
      <c r="AV7" s="31">
        <f t="shared" si="4"/>
        <v>0</v>
      </c>
      <c r="AX7" s="31" t="str">
        <f>VLOOKUP(B7,Totalt!$B$1:$BZ$554,MATCH(AX$1,Totalt!$B$1:$BZ$1,0),FALSE)</f>
        <v>Ja</v>
      </c>
      <c r="BA7" s="32" t="str">
        <f t="shared" si="5"/>
        <v/>
      </c>
    </row>
    <row r="8" spans="1:53" x14ac:dyDescent="0.45">
      <c r="A8" s="31" t="s">
        <v>15</v>
      </c>
      <c r="B8" s="31" t="s">
        <v>26</v>
      </c>
      <c r="J8" s="31">
        <v>0</v>
      </c>
      <c r="K8" s="31">
        <v>0</v>
      </c>
      <c r="L8" s="31">
        <v>0</v>
      </c>
      <c r="M8" s="31">
        <v>0</v>
      </c>
      <c r="N8" s="31">
        <v>0</v>
      </c>
      <c r="O8" s="31">
        <v>0</v>
      </c>
      <c r="P8" s="31">
        <v>0</v>
      </c>
      <c r="Q8" s="31">
        <v>0</v>
      </c>
      <c r="R8" s="31">
        <v>0</v>
      </c>
      <c r="S8" s="31">
        <v>0</v>
      </c>
      <c r="T8" s="31">
        <v>0</v>
      </c>
      <c r="U8" s="31">
        <v>0</v>
      </c>
      <c r="W8" s="31">
        <v>0</v>
      </c>
      <c r="X8" s="31">
        <v>0</v>
      </c>
      <c r="Y8" s="31">
        <v>0</v>
      </c>
      <c r="Z8" s="31">
        <v>0</v>
      </c>
      <c r="AA8" s="31">
        <v>0</v>
      </c>
      <c r="AB8" s="31">
        <v>0</v>
      </c>
      <c r="AC8" s="31">
        <v>0</v>
      </c>
      <c r="AD8" s="31">
        <v>0</v>
      </c>
      <c r="AE8" s="31">
        <v>0</v>
      </c>
      <c r="AF8" s="31">
        <v>0</v>
      </c>
      <c r="AG8" s="31">
        <v>0</v>
      </c>
      <c r="AH8" s="31">
        <v>0</v>
      </c>
      <c r="AI8" s="31">
        <v>0</v>
      </c>
      <c r="AL8" s="31">
        <f t="shared" si="0"/>
        <v>0</v>
      </c>
      <c r="AM8" s="31">
        <f t="shared" si="1"/>
        <v>0</v>
      </c>
      <c r="AN8" s="31">
        <f t="shared" si="2"/>
        <v>0</v>
      </c>
      <c r="AP8" s="31">
        <f>VLOOKUP($B8,Kraftvärmeprod!$B$1:$BX$549,MATCH(AP$1,Kraftvärmeprod!$B$1:$BX$1,0),FALSE)</f>
        <v>0</v>
      </c>
      <c r="AQ8" s="31">
        <f>VLOOKUP($B8,Kraftvärmeprod!$B$1:$BX$549,MATCH(AQ$1,Kraftvärmeprod!$B$1:$BX$1,0),FALSE)</f>
        <v>0</v>
      </c>
      <c r="AR8" s="31">
        <f>VLOOKUP($B8,Kraftvärmeprod!$B$1:$BX$549,MATCH("Summa tillförd energi exklusive rökgaskondensering",Kraftvärmeprod!$B$1:$BX$1,0),FALSE)</f>
        <v>0</v>
      </c>
      <c r="AT8" s="32" t="str">
        <f t="shared" si="3"/>
        <v/>
      </c>
      <c r="AV8" s="31">
        <f t="shared" si="4"/>
        <v>0</v>
      </c>
      <c r="AX8" s="31" t="str">
        <f>VLOOKUP(B8,Totalt!$B$1:$BZ$554,MATCH(AX$1,Totalt!$B$1:$BZ$1,0),FALSE)</f>
        <v>Ja</v>
      </c>
      <c r="BA8" s="32" t="str">
        <f t="shared" si="5"/>
        <v/>
      </c>
    </row>
    <row r="9" spans="1:53" x14ac:dyDescent="0.45">
      <c r="A9" s="31" t="s">
        <v>15</v>
      </c>
      <c r="B9" s="31" t="s">
        <v>20</v>
      </c>
      <c r="J9" s="31">
        <v>0</v>
      </c>
      <c r="K9" s="31">
        <v>0</v>
      </c>
      <c r="L9" s="31">
        <v>0</v>
      </c>
      <c r="M9" s="31">
        <v>0</v>
      </c>
      <c r="N9" s="31">
        <v>0</v>
      </c>
      <c r="O9" s="31">
        <v>0</v>
      </c>
      <c r="P9" s="31">
        <v>0</v>
      </c>
      <c r="Q9" s="31">
        <v>0</v>
      </c>
      <c r="R9" s="31">
        <v>0</v>
      </c>
      <c r="S9" s="31">
        <v>0</v>
      </c>
      <c r="T9" s="31">
        <v>0</v>
      </c>
      <c r="U9" s="31">
        <v>0</v>
      </c>
      <c r="W9" s="31">
        <v>0</v>
      </c>
      <c r="X9" s="31">
        <v>0</v>
      </c>
      <c r="Y9" s="31">
        <v>0</v>
      </c>
      <c r="Z9" s="31">
        <v>0</v>
      </c>
      <c r="AA9" s="31">
        <v>0</v>
      </c>
      <c r="AB9" s="31">
        <v>0</v>
      </c>
      <c r="AC9" s="31">
        <v>0</v>
      </c>
      <c r="AD9" s="31">
        <v>0</v>
      </c>
      <c r="AE9" s="31">
        <v>0</v>
      </c>
      <c r="AF9" s="31">
        <v>0</v>
      </c>
      <c r="AG9" s="31">
        <v>0</v>
      </c>
      <c r="AH9" s="31">
        <v>0</v>
      </c>
      <c r="AI9" s="31">
        <v>0</v>
      </c>
      <c r="AL9" s="31">
        <f t="shared" si="0"/>
        <v>0</v>
      </c>
      <c r="AM9" s="31">
        <f t="shared" si="1"/>
        <v>0</v>
      </c>
      <c r="AN9" s="31">
        <f t="shared" si="2"/>
        <v>0</v>
      </c>
      <c r="AP9" s="31">
        <f>VLOOKUP($B9,Kraftvärmeprod!$B$1:$BX$549,MATCH(AP$1,Kraftvärmeprod!$B$1:$BX$1,0),FALSE)</f>
        <v>0</v>
      </c>
      <c r="AQ9" s="31">
        <f>VLOOKUP($B9,Kraftvärmeprod!$B$1:$BX$549,MATCH(AQ$1,Kraftvärmeprod!$B$1:$BX$1,0),FALSE)</f>
        <v>0</v>
      </c>
      <c r="AR9" s="31">
        <f>VLOOKUP($B9,Kraftvärmeprod!$B$1:$BX$549,MATCH("Summa tillförd energi exklusive rökgaskondensering",Kraftvärmeprod!$B$1:$BX$1,0),FALSE)</f>
        <v>0</v>
      </c>
      <c r="AT9" s="32" t="str">
        <f t="shared" si="3"/>
        <v/>
      </c>
      <c r="AV9" s="31">
        <f t="shared" si="4"/>
        <v>0</v>
      </c>
      <c r="AX9" s="31" t="str">
        <f>VLOOKUP(B9,Totalt!$B$1:$BZ$554,MATCH(AX$1,Totalt!$B$1:$BZ$1,0),FALSE)</f>
        <v>Ja</v>
      </c>
      <c r="BA9" s="32" t="str">
        <f t="shared" si="5"/>
        <v/>
      </c>
    </row>
    <row r="10" spans="1:53" x14ac:dyDescent="0.45">
      <c r="A10" s="31" t="s">
        <v>15</v>
      </c>
      <c r="B10" s="31" t="s">
        <v>32</v>
      </c>
      <c r="J10" s="31">
        <v>0</v>
      </c>
      <c r="K10" s="31">
        <v>0</v>
      </c>
      <c r="L10" s="31">
        <v>0</v>
      </c>
      <c r="M10" s="31">
        <v>0</v>
      </c>
      <c r="N10" s="31">
        <v>0</v>
      </c>
      <c r="O10" s="31">
        <v>0</v>
      </c>
      <c r="P10" s="31">
        <v>0</v>
      </c>
      <c r="Q10" s="31">
        <v>0</v>
      </c>
      <c r="R10" s="31">
        <v>0</v>
      </c>
      <c r="S10" s="31">
        <v>0</v>
      </c>
      <c r="T10" s="31">
        <v>0</v>
      </c>
      <c r="U10" s="31">
        <v>0</v>
      </c>
      <c r="W10" s="31">
        <v>0</v>
      </c>
      <c r="X10" s="31">
        <v>0</v>
      </c>
      <c r="Y10" s="31">
        <v>0</v>
      </c>
      <c r="Z10" s="31">
        <v>0</v>
      </c>
      <c r="AA10" s="31">
        <v>0</v>
      </c>
      <c r="AB10" s="31">
        <v>0</v>
      </c>
      <c r="AC10" s="31">
        <v>0</v>
      </c>
      <c r="AD10" s="31">
        <v>0</v>
      </c>
      <c r="AE10" s="31">
        <v>0</v>
      </c>
      <c r="AF10" s="31">
        <v>0</v>
      </c>
      <c r="AG10" s="31">
        <v>0</v>
      </c>
      <c r="AH10" s="31">
        <v>0</v>
      </c>
      <c r="AI10" s="31">
        <v>0</v>
      </c>
      <c r="AL10" s="31">
        <f t="shared" si="0"/>
        <v>0</v>
      </c>
      <c r="AM10" s="31">
        <f t="shared" si="1"/>
        <v>0</v>
      </c>
      <c r="AN10" s="31">
        <f t="shared" si="2"/>
        <v>0</v>
      </c>
      <c r="AP10" s="31">
        <f>VLOOKUP($B10,Kraftvärmeprod!$B$1:$BX$549,MATCH(AP$1,Kraftvärmeprod!$B$1:$BX$1,0),FALSE)</f>
        <v>0</v>
      </c>
      <c r="AQ10" s="31">
        <f>VLOOKUP($B10,Kraftvärmeprod!$B$1:$BX$549,MATCH(AQ$1,Kraftvärmeprod!$B$1:$BX$1,0),FALSE)</f>
        <v>0</v>
      </c>
      <c r="AR10" s="31">
        <f>VLOOKUP($B10,Kraftvärmeprod!$B$1:$BX$549,MATCH("Summa tillförd energi exklusive rökgaskondensering",Kraftvärmeprod!$B$1:$BX$1,0),FALSE)</f>
        <v>0</v>
      </c>
      <c r="AT10" s="32" t="str">
        <f t="shared" si="3"/>
        <v/>
      </c>
      <c r="AV10" s="31">
        <f t="shared" si="4"/>
        <v>0</v>
      </c>
      <c r="AX10" s="31" t="str">
        <f>VLOOKUP(B10,Totalt!$B$1:$BZ$554,MATCH(AX$1,Totalt!$B$1:$BZ$1,0),FALSE)</f>
        <v>Ja</v>
      </c>
      <c r="BA10" s="32" t="str">
        <f t="shared" si="5"/>
        <v/>
      </c>
    </row>
    <row r="11" spans="1:53" x14ac:dyDescent="0.45">
      <c r="A11" s="31" t="s">
        <v>672</v>
      </c>
      <c r="B11" s="31" t="s">
        <v>681</v>
      </c>
      <c r="J11" s="31">
        <v>0</v>
      </c>
      <c r="K11" s="31">
        <v>0</v>
      </c>
      <c r="L11" s="31">
        <v>0</v>
      </c>
      <c r="M11" s="31">
        <v>0</v>
      </c>
      <c r="N11" s="31">
        <v>0</v>
      </c>
      <c r="O11" s="31">
        <v>0</v>
      </c>
      <c r="P11" s="31">
        <v>0</v>
      </c>
      <c r="Q11" s="31">
        <v>0</v>
      </c>
      <c r="R11" s="31">
        <v>0</v>
      </c>
      <c r="S11" s="31">
        <v>0</v>
      </c>
      <c r="T11" s="31">
        <v>0</v>
      </c>
      <c r="U11" s="31">
        <v>0</v>
      </c>
      <c r="W11" s="31">
        <v>0</v>
      </c>
      <c r="X11" s="31">
        <v>0</v>
      </c>
      <c r="Y11" s="31">
        <v>0</v>
      </c>
      <c r="Z11" s="31">
        <v>0</v>
      </c>
      <c r="AA11" s="31">
        <v>0</v>
      </c>
      <c r="AB11" s="31">
        <v>0</v>
      </c>
      <c r="AC11" s="31">
        <v>0</v>
      </c>
      <c r="AD11" s="31">
        <v>0</v>
      </c>
      <c r="AE11" s="31">
        <v>0</v>
      </c>
      <c r="AF11" s="31">
        <v>0</v>
      </c>
      <c r="AG11" s="31">
        <v>0</v>
      </c>
      <c r="AH11" s="31">
        <v>0</v>
      </c>
      <c r="AI11" s="31">
        <v>0</v>
      </c>
      <c r="AL11" s="31">
        <f t="shared" si="0"/>
        <v>0</v>
      </c>
      <c r="AM11" s="31">
        <f t="shared" si="1"/>
        <v>0</v>
      </c>
      <c r="AN11" s="31">
        <f t="shared" si="2"/>
        <v>0</v>
      </c>
      <c r="AP11" s="31">
        <f>VLOOKUP($B11,Kraftvärmeprod!$B$1:$BX$549,MATCH(AP$1,Kraftvärmeprod!$B$1:$BX$1,0),FALSE)</f>
        <v>0</v>
      </c>
      <c r="AQ11" s="31">
        <f>VLOOKUP($B11,Kraftvärmeprod!$B$1:$BX$549,MATCH(AQ$1,Kraftvärmeprod!$B$1:$BX$1,0),FALSE)</f>
        <v>0</v>
      </c>
      <c r="AR11" s="31">
        <f>VLOOKUP($B11,Kraftvärmeprod!$B$1:$BX$549,MATCH("Summa tillförd energi exklusive rökgaskondensering",Kraftvärmeprod!$B$1:$BX$1,0),FALSE)</f>
        <v>0</v>
      </c>
      <c r="AT11" s="32" t="str">
        <f t="shared" si="3"/>
        <v/>
      </c>
      <c r="AV11" s="31">
        <f t="shared" si="4"/>
        <v>0</v>
      </c>
      <c r="AX11" s="31" t="str">
        <f>VLOOKUP(B11,Totalt!$B$1:$BZ$554,MATCH(AX$1,Totalt!$B$1:$BZ$1,0),FALSE)</f>
        <v>Ja</v>
      </c>
      <c r="BA11" s="32" t="str">
        <f t="shared" si="5"/>
        <v/>
      </c>
    </row>
    <row r="12" spans="1:53" x14ac:dyDescent="0.45">
      <c r="A12" s="31" t="s">
        <v>672</v>
      </c>
      <c r="B12" s="31" t="s">
        <v>679</v>
      </c>
      <c r="J12" s="31">
        <v>0</v>
      </c>
      <c r="K12" s="31">
        <v>0</v>
      </c>
      <c r="L12" s="31">
        <v>0</v>
      </c>
      <c r="M12" s="31">
        <v>0</v>
      </c>
      <c r="N12" s="31">
        <v>0</v>
      </c>
      <c r="O12" s="31">
        <v>0</v>
      </c>
      <c r="P12" s="31">
        <v>0</v>
      </c>
      <c r="Q12" s="31">
        <v>0</v>
      </c>
      <c r="R12" s="31">
        <v>0</v>
      </c>
      <c r="S12" s="31">
        <v>0</v>
      </c>
      <c r="T12" s="31">
        <v>0</v>
      </c>
      <c r="U12" s="31">
        <v>0</v>
      </c>
      <c r="W12" s="31">
        <v>0</v>
      </c>
      <c r="X12" s="31">
        <v>0</v>
      </c>
      <c r="Y12" s="31">
        <v>0</v>
      </c>
      <c r="Z12" s="31">
        <v>0</v>
      </c>
      <c r="AA12" s="31">
        <v>0</v>
      </c>
      <c r="AB12" s="31">
        <v>0</v>
      </c>
      <c r="AC12" s="31">
        <v>0</v>
      </c>
      <c r="AD12" s="31">
        <v>0</v>
      </c>
      <c r="AE12" s="31">
        <v>0</v>
      </c>
      <c r="AF12" s="31">
        <v>0</v>
      </c>
      <c r="AG12" s="31">
        <v>0</v>
      </c>
      <c r="AH12" s="31">
        <v>0</v>
      </c>
      <c r="AI12" s="31">
        <v>0</v>
      </c>
      <c r="AL12" s="31">
        <f t="shared" si="0"/>
        <v>0</v>
      </c>
      <c r="AM12" s="31">
        <f t="shared" si="1"/>
        <v>0</v>
      </c>
      <c r="AN12" s="31">
        <f t="shared" si="2"/>
        <v>0</v>
      </c>
      <c r="AP12" s="31">
        <f>VLOOKUP($B12,Kraftvärmeprod!$B$1:$BX$549,MATCH(AP$1,Kraftvärmeprod!$B$1:$BX$1,0),FALSE)</f>
        <v>0</v>
      </c>
      <c r="AQ12" s="31">
        <f>VLOOKUP($B12,Kraftvärmeprod!$B$1:$BX$549,MATCH(AQ$1,Kraftvärmeprod!$B$1:$BX$1,0),FALSE)</f>
        <v>0</v>
      </c>
      <c r="AR12" s="31">
        <f>VLOOKUP($B12,Kraftvärmeprod!$B$1:$BX$549,MATCH("Summa tillförd energi exklusive rökgaskondensering",Kraftvärmeprod!$B$1:$BX$1,0),FALSE)</f>
        <v>0</v>
      </c>
      <c r="AT12" s="32" t="str">
        <f t="shared" si="3"/>
        <v/>
      </c>
      <c r="AV12" s="31">
        <f t="shared" si="4"/>
        <v>0</v>
      </c>
      <c r="AX12" s="31" t="str">
        <f>VLOOKUP(B12,Totalt!$B$1:$BZ$554,MATCH(AX$1,Totalt!$B$1:$BZ$1,0),FALSE)</f>
        <v>Ja</v>
      </c>
      <c r="BA12" s="32" t="str">
        <f t="shared" si="5"/>
        <v/>
      </c>
    </row>
    <row r="13" spans="1:53" x14ac:dyDescent="0.45">
      <c r="A13" s="31" t="s">
        <v>672</v>
      </c>
      <c r="B13" s="31" t="s">
        <v>678</v>
      </c>
      <c r="J13" s="31">
        <v>0</v>
      </c>
      <c r="K13" s="31">
        <v>0</v>
      </c>
      <c r="L13" s="31">
        <v>0</v>
      </c>
      <c r="M13" s="31">
        <v>0</v>
      </c>
      <c r="N13" s="31">
        <v>0</v>
      </c>
      <c r="O13" s="31">
        <v>0</v>
      </c>
      <c r="P13" s="31">
        <v>0</v>
      </c>
      <c r="Q13" s="31">
        <v>0</v>
      </c>
      <c r="R13" s="31">
        <v>0</v>
      </c>
      <c r="S13" s="31">
        <v>0</v>
      </c>
      <c r="T13" s="31">
        <v>0</v>
      </c>
      <c r="U13" s="31">
        <v>0</v>
      </c>
      <c r="W13" s="31">
        <v>0</v>
      </c>
      <c r="X13" s="31">
        <v>0</v>
      </c>
      <c r="Y13" s="31">
        <v>0</v>
      </c>
      <c r="Z13" s="31">
        <v>0</v>
      </c>
      <c r="AA13" s="31">
        <v>0</v>
      </c>
      <c r="AB13" s="31">
        <v>0</v>
      </c>
      <c r="AC13" s="31">
        <v>0</v>
      </c>
      <c r="AD13" s="31">
        <v>0</v>
      </c>
      <c r="AE13" s="31">
        <v>0</v>
      </c>
      <c r="AF13" s="31">
        <v>0</v>
      </c>
      <c r="AG13" s="31">
        <v>0</v>
      </c>
      <c r="AH13" s="31">
        <v>0</v>
      </c>
      <c r="AI13" s="31">
        <v>0</v>
      </c>
      <c r="AL13" s="31">
        <f t="shared" si="0"/>
        <v>0</v>
      </c>
      <c r="AM13" s="31">
        <f t="shared" si="1"/>
        <v>0</v>
      </c>
      <c r="AN13" s="31">
        <f t="shared" si="2"/>
        <v>0</v>
      </c>
      <c r="AP13" s="31">
        <f>VLOOKUP($B13,Kraftvärmeprod!$B$1:$BX$549,MATCH(AP$1,Kraftvärmeprod!$B$1:$BX$1,0),FALSE)</f>
        <v>0</v>
      </c>
      <c r="AQ13" s="31">
        <f>VLOOKUP($B13,Kraftvärmeprod!$B$1:$BX$549,MATCH(AQ$1,Kraftvärmeprod!$B$1:$BX$1,0),FALSE)</f>
        <v>0</v>
      </c>
      <c r="AR13" s="31">
        <f>VLOOKUP($B13,Kraftvärmeprod!$B$1:$BX$549,MATCH("Summa tillförd energi exklusive rökgaskondensering",Kraftvärmeprod!$B$1:$BX$1,0),FALSE)</f>
        <v>0</v>
      </c>
      <c r="AT13" s="32" t="str">
        <f t="shared" si="3"/>
        <v/>
      </c>
      <c r="AV13" s="31">
        <f t="shared" si="4"/>
        <v>0</v>
      </c>
      <c r="AX13" s="31" t="str">
        <f>VLOOKUP(B13,Totalt!$B$1:$BZ$554,MATCH(AX$1,Totalt!$B$1:$BZ$1,0),FALSE)</f>
        <v>Ja</v>
      </c>
      <c r="BA13" s="32" t="str">
        <f t="shared" si="5"/>
        <v/>
      </c>
    </row>
    <row r="14" spans="1:53" x14ac:dyDescent="0.45">
      <c r="A14" s="31" t="s">
        <v>672</v>
      </c>
      <c r="B14" s="31" t="s">
        <v>677</v>
      </c>
      <c r="J14" s="31">
        <v>0</v>
      </c>
      <c r="K14" s="31">
        <v>0</v>
      </c>
      <c r="L14" s="31">
        <v>0</v>
      </c>
      <c r="M14" s="31">
        <v>0</v>
      </c>
      <c r="N14" s="31">
        <v>0</v>
      </c>
      <c r="O14" s="31">
        <v>0</v>
      </c>
      <c r="P14" s="31">
        <v>0</v>
      </c>
      <c r="Q14" s="31">
        <v>0</v>
      </c>
      <c r="R14" s="31">
        <v>0</v>
      </c>
      <c r="S14" s="31">
        <v>0</v>
      </c>
      <c r="T14" s="31">
        <v>0</v>
      </c>
      <c r="U14" s="31">
        <v>0</v>
      </c>
      <c r="W14" s="31">
        <v>0</v>
      </c>
      <c r="X14" s="31">
        <v>0</v>
      </c>
      <c r="Y14" s="31">
        <v>0</v>
      </c>
      <c r="Z14" s="31">
        <v>0</v>
      </c>
      <c r="AA14" s="31">
        <v>0</v>
      </c>
      <c r="AB14" s="31">
        <v>0</v>
      </c>
      <c r="AC14" s="31">
        <v>0</v>
      </c>
      <c r="AD14" s="31">
        <v>0</v>
      </c>
      <c r="AE14" s="31">
        <v>0</v>
      </c>
      <c r="AF14" s="31">
        <v>0</v>
      </c>
      <c r="AG14" s="31">
        <v>0</v>
      </c>
      <c r="AH14" s="31">
        <v>0</v>
      </c>
      <c r="AI14" s="31">
        <v>0</v>
      </c>
      <c r="AL14" s="31">
        <f t="shared" si="0"/>
        <v>0</v>
      </c>
      <c r="AM14" s="31">
        <f t="shared" si="1"/>
        <v>0</v>
      </c>
      <c r="AN14" s="31">
        <f t="shared" si="2"/>
        <v>0</v>
      </c>
      <c r="AP14" s="31">
        <f>VLOOKUP($B14,Kraftvärmeprod!$B$1:$BX$549,MATCH(AP$1,Kraftvärmeprod!$B$1:$BX$1,0),FALSE)</f>
        <v>0</v>
      </c>
      <c r="AQ14" s="31">
        <f>VLOOKUP($B14,Kraftvärmeprod!$B$1:$BX$549,MATCH(AQ$1,Kraftvärmeprod!$B$1:$BX$1,0),FALSE)</f>
        <v>0</v>
      </c>
      <c r="AR14" s="31">
        <f>VLOOKUP($B14,Kraftvärmeprod!$B$1:$BX$549,MATCH("Summa tillförd energi exklusive rökgaskondensering",Kraftvärmeprod!$B$1:$BX$1,0),FALSE)</f>
        <v>0</v>
      </c>
      <c r="AT14" s="32" t="str">
        <f t="shared" si="3"/>
        <v/>
      </c>
      <c r="AV14" s="31">
        <f t="shared" si="4"/>
        <v>0</v>
      </c>
      <c r="AX14" s="31" t="str">
        <f>VLOOKUP(B14,Totalt!$B$1:$BZ$554,MATCH(AX$1,Totalt!$B$1:$BZ$1,0),FALSE)</f>
        <v>Ja</v>
      </c>
      <c r="BA14" s="32" t="str">
        <f t="shared" si="5"/>
        <v/>
      </c>
    </row>
    <row r="15" spans="1:53" x14ac:dyDescent="0.45">
      <c r="A15" s="31" t="s">
        <v>672</v>
      </c>
      <c r="B15" s="31" t="s">
        <v>675</v>
      </c>
      <c r="J15" s="31">
        <v>0</v>
      </c>
      <c r="K15" s="31">
        <v>0</v>
      </c>
      <c r="L15" s="31">
        <v>0</v>
      </c>
      <c r="M15" s="31">
        <v>0</v>
      </c>
      <c r="N15" s="31">
        <v>0</v>
      </c>
      <c r="O15" s="31">
        <v>0</v>
      </c>
      <c r="P15" s="31">
        <v>0</v>
      </c>
      <c r="Q15" s="31">
        <v>0</v>
      </c>
      <c r="R15" s="31">
        <v>0</v>
      </c>
      <c r="S15" s="31">
        <v>0</v>
      </c>
      <c r="T15" s="31">
        <v>0</v>
      </c>
      <c r="U15" s="31">
        <v>0</v>
      </c>
      <c r="W15" s="31">
        <v>0</v>
      </c>
      <c r="X15" s="31">
        <v>0</v>
      </c>
      <c r="Y15" s="31">
        <v>0</v>
      </c>
      <c r="Z15" s="31">
        <v>0</v>
      </c>
      <c r="AA15" s="31">
        <v>0</v>
      </c>
      <c r="AB15" s="31">
        <v>0</v>
      </c>
      <c r="AC15" s="31">
        <v>0</v>
      </c>
      <c r="AD15" s="31">
        <v>0</v>
      </c>
      <c r="AE15" s="31">
        <v>0</v>
      </c>
      <c r="AF15" s="31">
        <v>0</v>
      </c>
      <c r="AG15" s="31">
        <v>0</v>
      </c>
      <c r="AH15" s="31">
        <v>0</v>
      </c>
      <c r="AI15" s="31">
        <v>0</v>
      </c>
      <c r="AL15" s="31">
        <f t="shared" si="0"/>
        <v>0</v>
      </c>
      <c r="AM15" s="31">
        <f t="shared" si="1"/>
        <v>0</v>
      </c>
      <c r="AN15" s="31">
        <f t="shared" si="2"/>
        <v>0</v>
      </c>
      <c r="AP15" s="31">
        <f>VLOOKUP($B15,Kraftvärmeprod!$B$1:$BX$549,MATCH(AP$1,Kraftvärmeprod!$B$1:$BX$1,0),FALSE)</f>
        <v>0</v>
      </c>
      <c r="AQ15" s="31">
        <f>VLOOKUP($B15,Kraftvärmeprod!$B$1:$BX$549,MATCH(AQ$1,Kraftvärmeprod!$B$1:$BX$1,0),FALSE)</f>
        <v>0</v>
      </c>
      <c r="AR15" s="31">
        <f>VLOOKUP($B15,Kraftvärmeprod!$B$1:$BX$549,MATCH("Summa tillförd energi exklusive rökgaskondensering",Kraftvärmeprod!$B$1:$BX$1,0),FALSE)</f>
        <v>0</v>
      </c>
      <c r="AT15" s="32" t="str">
        <f t="shared" si="3"/>
        <v/>
      </c>
      <c r="AV15" s="31">
        <f t="shared" si="4"/>
        <v>0</v>
      </c>
      <c r="AX15" s="31" t="str">
        <f>VLOOKUP(B15,Totalt!$B$1:$BZ$554,MATCH(AX$1,Totalt!$B$1:$BZ$1,0),FALSE)</f>
        <v>Ja</v>
      </c>
      <c r="BA15" s="32" t="str">
        <f t="shared" si="5"/>
        <v/>
      </c>
    </row>
    <row r="16" spans="1:53" x14ac:dyDescent="0.45">
      <c r="A16" s="31" t="s">
        <v>672</v>
      </c>
      <c r="B16" s="31" t="s">
        <v>674</v>
      </c>
      <c r="J16" s="31">
        <v>0</v>
      </c>
      <c r="K16" s="31">
        <v>0</v>
      </c>
      <c r="L16" s="31">
        <v>0</v>
      </c>
      <c r="M16" s="31">
        <v>0</v>
      </c>
      <c r="N16" s="31">
        <v>0</v>
      </c>
      <c r="O16" s="31">
        <v>0</v>
      </c>
      <c r="P16" s="31">
        <v>0</v>
      </c>
      <c r="Q16" s="31">
        <v>0</v>
      </c>
      <c r="R16" s="31">
        <v>0</v>
      </c>
      <c r="S16" s="31">
        <v>0</v>
      </c>
      <c r="T16" s="31">
        <v>0</v>
      </c>
      <c r="U16" s="31">
        <v>0</v>
      </c>
      <c r="W16" s="31">
        <v>0</v>
      </c>
      <c r="X16" s="31">
        <v>0</v>
      </c>
      <c r="Y16" s="31">
        <v>0</v>
      </c>
      <c r="Z16" s="31">
        <v>0</v>
      </c>
      <c r="AA16" s="31">
        <v>0</v>
      </c>
      <c r="AB16" s="31">
        <v>0</v>
      </c>
      <c r="AC16" s="31">
        <v>0</v>
      </c>
      <c r="AD16" s="31">
        <v>0</v>
      </c>
      <c r="AE16" s="31">
        <v>0</v>
      </c>
      <c r="AF16" s="31">
        <v>0</v>
      </c>
      <c r="AG16" s="31">
        <v>0</v>
      </c>
      <c r="AH16" s="31">
        <v>0</v>
      </c>
      <c r="AI16" s="31">
        <v>0</v>
      </c>
      <c r="AL16" s="31">
        <f t="shared" si="0"/>
        <v>0</v>
      </c>
      <c r="AM16" s="31">
        <f t="shared" si="1"/>
        <v>0</v>
      </c>
      <c r="AN16" s="31">
        <f t="shared" si="2"/>
        <v>0</v>
      </c>
      <c r="AP16" s="31">
        <f>VLOOKUP($B16,Kraftvärmeprod!$B$1:$BX$549,MATCH(AP$1,Kraftvärmeprod!$B$1:$BX$1,0),FALSE)</f>
        <v>0</v>
      </c>
      <c r="AQ16" s="31">
        <f>VLOOKUP($B16,Kraftvärmeprod!$B$1:$BX$549,MATCH(AQ$1,Kraftvärmeprod!$B$1:$BX$1,0),FALSE)</f>
        <v>0</v>
      </c>
      <c r="AR16" s="31">
        <f>VLOOKUP($B16,Kraftvärmeprod!$B$1:$BX$549,MATCH("Summa tillförd energi exklusive rökgaskondensering",Kraftvärmeprod!$B$1:$BX$1,0),FALSE)</f>
        <v>0</v>
      </c>
      <c r="AT16" s="32" t="str">
        <f t="shared" si="3"/>
        <v/>
      </c>
      <c r="AV16" s="31">
        <f t="shared" si="4"/>
        <v>0</v>
      </c>
      <c r="AX16" s="31" t="str">
        <f>VLOOKUP(B16,Totalt!$B$1:$BZ$554,MATCH(AX$1,Totalt!$B$1:$BZ$1,0),FALSE)</f>
        <v>Ja</v>
      </c>
      <c r="BA16" s="32" t="str">
        <f t="shared" si="5"/>
        <v/>
      </c>
    </row>
    <row r="17" spans="1:53" x14ac:dyDescent="0.45">
      <c r="A17" s="31" t="s">
        <v>672</v>
      </c>
      <c r="B17" s="31" t="s">
        <v>673</v>
      </c>
      <c r="J17" s="31">
        <v>0</v>
      </c>
      <c r="K17" s="31">
        <v>0</v>
      </c>
      <c r="L17" s="31">
        <v>0</v>
      </c>
      <c r="M17" s="31">
        <v>0</v>
      </c>
      <c r="N17" s="31">
        <v>0</v>
      </c>
      <c r="O17" s="31">
        <v>0</v>
      </c>
      <c r="P17" s="31">
        <v>0</v>
      </c>
      <c r="Q17" s="31">
        <v>0</v>
      </c>
      <c r="R17" s="31">
        <v>0</v>
      </c>
      <c r="S17" s="31">
        <v>0</v>
      </c>
      <c r="T17" s="31">
        <v>0</v>
      </c>
      <c r="U17" s="31">
        <v>0</v>
      </c>
      <c r="W17" s="31">
        <v>0</v>
      </c>
      <c r="X17" s="31">
        <v>0</v>
      </c>
      <c r="Y17" s="31">
        <v>0</v>
      </c>
      <c r="Z17" s="31">
        <v>0</v>
      </c>
      <c r="AA17" s="31">
        <v>0</v>
      </c>
      <c r="AB17" s="31">
        <v>0</v>
      </c>
      <c r="AC17" s="31">
        <v>0</v>
      </c>
      <c r="AD17" s="31">
        <v>0</v>
      </c>
      <c r="AE17" s="31">
        <v>0</v>
      </c>
      <c r="AF17" s="31">
        <v>0</v>
      </c>
      <c r="AG17" s="31">
        <v>0</v>
      </c>
      <c r="AH17" s="31">
        <v>0</v>
      </c>
      <c r="AI17" s="31">
        <v>0</v>
      </c>
      <c r="AL17" s="31">
        <f t="shared" si="0"/>
        <v>0</v>
      </c>
      <c r="AM17" s="31">
        <f t="shared" si="1"/>
        <v>0</v>
      </c>
      <c r="AN17" s="31">
        <f t="shared" si="2"/>
        <v>0</v>
      </c>
      <c r="AP17" s="31">
        <f>VLOOKUP($B17,Kraftvärmeprod!$B$1:$BX$549,MATCH(AP$1,Kraftvärmeprod!$B$1:$BX$1,0),FALSE)</f>
        <v>0</v>
      </c>
      <c r="AQ17" s="31">
        <f>VLOOKUP($B17,Kraftvärmeprod!$B$1:$BX$549,MATCH(AQ$1,Kraftvärmeprod!$B$1:$BX$1,0),FALSE)</f>
        <v>0</v>
      </c>
      <c r="AR17" s="31">
        <f>VLOOKUP($B17,Kraftvärmeprod!$B$1:$BX$549,MATCH("Summa tillförd energi exklusive rökgaskondensering",Kraftvärmeprod!$B$1:$BX$1,0),FALSE)</f>
        <v>0</v>
      </c>
      <c r="AT17" s="32" t="str">
        <f t="shared" si="3"/>
        <v/>
      </c>
      <c r="AV17" s="31">
        <f t="shared" si="4"/>
        <v>0</v>
      </c>
      <c r="AX17" s="31" t="str">
        <f>VLOOKUP(B17,Totalt!$B$1:$BZ$554,MATCH(AX$1,Totalt!$B$1:$BZ$1,0),FALSE)</f>
        <v>Ja</v>
      </c>
      <c r="BA17" s="32" t="str">
        <f t="shared" si="5"/>
        <v/>
      </c>
    </row>
    <row r="18" spans="1:53" x14ac:dyDescent="0.45">
      <c r="A18" s="31" t="s">
        <v>672</v>
      </c>
      <c r="B18" s="31" t="s">
        <v>680</v>
      </c>
      <c r="J18" s="31">
        <v>0</v>
      </c>
      <c r="K18" s="31">
        <v>0</v>
      </c>
      <c r="L18" s="31">
        <v>0</v>
      </c>
      <c r="M18" s="31">
        <v>0</v>
      </c>
      <c r="N18" s="31">
        <v>0</v>
      </c>
      <c r="O18" s="31">
        <v>0</v>
      </c>
      <c r="P18" s="31">
        <v>0</v>
      </c>
      <c r="Q18" s="31">
        <v>0</v>
      </c>
      <c r="R18" s="31">
        <v>0</v>
      </c>
      <c r="S18" s="31">
        <v>0</v>
      </c>
      <c r="T18" s="31">
        <v>0</v>
      </c>
      <c r="U18" s="31">
        <v>0</v>
      </c>
      <c r="W18" s="31">
        <v>0</v>
      </c>
      <c r="X18" s="31">
        <v>0</v>
      </c>
      <c r="Y18" s="31">
        <v>0</v>
      </c>
      <c r="Z18" s="31">
        <v>0</v>
      </c>
      <c r="AA18" s="31">
        <v>0</v>
      </c>
      <c r="AB18" s="31">
        <v>0</v>
      </c>
      <c r="AC18" s="31">
        <v>0</v>
      </c>
      <c r="AD18" s="31">
        <v>0</v>
      </c>
      <c r="AE18" s="31">
        <v>0</v>
      </c>
      <c r="AF18" s="31">
        <v>0</v>
      </c>
      <c r="AG18" s="31">
        <v>0</v>
      </c>
      <c r="AH18" s="31">
        <v>0</v>
      </c>
      <c r="AI18" s="31">
        <v>0</v>
      </c>
      <c r="AL18" s="31">
        <f t="shared" si="0"/>
        <v>0</v>
      </c>
      <c r="AM18" s="31">
        <f t="shared" si="1"/>
        <v>0</v>
      </c>
      <c r="AN18" s="31">
        <f t="shared" si="2"/>
        <v>0</v>
      </c>
      <c r="AP18" s="31">
        <f>VLOOKUP($B18,Kraftvärmeprod!$B$1:$BX$549,MATCH(AP$1,Kraftvärmeprod!$B$1:$BX$1,0),FALSE)</f>
        <v>0</v>
      </c>
      <c r="AQ18" s="31">
        <f>VLOOKUP($B18,Kraftvärmeprod!$B$1:$BX$549,MATCH(AQ$1,Kraftvärmeprod!$B$1:$BX$1,0),FALSE)</f>
        <v>0</v>
      </c>
      <c r="AR18" s="31">
        <f>VLOOKUP($B18,Kraftvärmeprod!$B$1:$BX$549,MATCH("Summa tillförd energi exklusive rökgaskondensering",Kraftvärmeprod!$B$1:$BX$1,0),FALSE)</f>
        <v>0</v>
      </c>
      <c r="AT18" s="32" t="str">
        <f t="shared" si="3"/>
        <v/>
      </c>
      <c r="AV18" s="31">
        <f t="shared" si="4"/>
        <v>0</v>
      </c>
      <c r="AX18" s="31" t="str">
        <f>VLOOKUP(B18,Totalt!$B$1:$BZ$554,MATCH(AX$1,Totalt!$B$1:$BZ$1,0),FALSE)</f>
        <v>Ja</v>
      </c>
      <c r="BA18" s="32" t="str">
        <f t="shared" si="5"/>
        <v/>
      </c>
    </row>
    <row r="19" spans="1:53" x14ac:dyDescent="0.45">
      <c r="A19" s="31" t="s">
        <v>672</v>
      </c>
      <c r="B19" s="31" t="s">
        <v>676</v>
      </c>
      <c r="J19" s="31">
        <v>0</v>
      </c>
      <c r="K19" s="31">
        <v>0</v>
      </c>
      <c r="L19" s="31">
        <v>0</v>
      </c>
      <c r="M19" s="31">
        <v>0</v>
      </c>
      <c r="N19" s="31">
        <v>0</v>
      </c>
      <c r="O19" s="31">
        <v>0</v>
      </c>
      <c r="P19" s="31">
        <v>0</v>
      </c>
      <c r="Q19" s="31">
        <v>0</v>
      </c>
      <c r="R19" s="31">
        <v>0</v>
      </c>
      <c r="S19" s="31">
        <v>0</v>
      </c>
      <c r="T19" s="31">
        <v>0</v>
      </c>
      <c r="U19" s="31">
        <v>0</v>
      </c>
      <c r="W19" s="31">
        <v>0</v>
      </c>
      <c r="X19" s="31">
        <v>0</v>
      </c>
      <c r="Y19" s="31">
        <v>0</v>
      </c>
      <c r="Z19" s="31">
        <v>0</v>
      </c>
      <c r="AA19" s="31">
        <v>0</v>
      </c>
      <c r="AB19" s="31">
        <v>0</v>
      </c>
      <c r="AC19" s="31">
        <v>0</v>
      </c>
      <c r="AD19" s="31">
        <v>0</v>
      </c>
      <c r="AE19" s="31">
        <v>0</v>
      </c>
      <c r="AF19" s="31">
        <v>0</v>
      </c>
      <c r="AG19" s="31">
        <v>0</v>
      </c>
      <c r="AH19" s="31">
        <v>0</v>
      </c>
      <c r="AI19" s="31">
        <v>0</v>
      </c>
      <c r="AL19" s="31">
        <f t="shared" si="0"/>
        <v>0</v>
      </c>
      <c r="AM19" s="31">
        <f t="shared" si="1"/>
        <v>0</v>
      </c>
      <c r="AN19" s="31">
        <f t="shared" si="2"/>
        <v>0</v>
      </c>
      <c r="AP19" s="31">
        <f>VLOOKUP($B19,Kraftvärmeprod!$B$1:$BX$549,MATCH(AP$1,Kraftvärmeprod!$B$1:$BX$1,0),FALSE)</f>
        <v>0</v>
      </c>
      <c r="AQ19" s="31">
        <f>VLOOKUP($B19,Kraftvärmeprod!$B$1:$BX$549,MATCH(AQ$1,Kraftvärmeprod!$B$1:$BX$1,0),FALSE)</f>
        <v>0</v>
      </c>
      <c r="AR19" s="31">
        <f>VLOOKUP($B19,Kraftvärmeprod!$B$1:$BX$549,MATCH("Summa tillförd energi exklusive rökgaskondensering",Kraftvärmeprod!$B$1:$BX$1,0),FALSE)</f>
        <v>0</v>
      </c>
      <c r="AT19" s="32" t="str">
        <f t="shared" si="3"/>
        <v/>
      </c>
      <c r="AV19" s="31">
        <f t="shared" si="4"/>
        <v>0</v>
      </c>
      <c r="AX19" s="31" t="str">
        <f>VLOOKUP(B19,Totalt!$B$1:$BZ$554,MATCH(AX$1,Totalt!$B$1:$BZ$1,0),FALSE)</f>
        <v>Ja</v>
      </c>
      <c r="BA19" s="32" t="str">
        <f t="shared" si="5"/>
        <v/>
      </c>
    </row>
    <row r="20" spans="1:53" x14ac:dyDescent="0.45">
      <c r="A20" s="31" t="s">
        <v>672</v>
      </c>
      <c r="B20" s="31" t="s">
        <v>671</v>
      </c>
      <c r="J20" s="31">
        <v>0</v>
      </c>
      <c r="K20" s="31">
        <v>0</v>
      </c>
      <c r="L20" s="31">
        <v>0</v>
      </c>
      <c r="M20" s="31">
        <v>0</v>
      </c>
      <c r="N20" s="31">
        <v>0</v>
      </c>
      <c r="O20" s="31">
        <v>0</v>
      </c>
      <c r="P20" s="31">
        <v>0</v>
      </c>
      <c r="Q20" s="31">
        <v>0</v>
      </c>
      <c r="R20" s="31">
        <v>0</v>
      </c>
      <c r="S20" s="31">
        <v>0</v>
      </c>
      <c r="T20" s="31">
        <v>0</v>
      </c>
      <c r="U20" s="31">
        <v>0</v>
      </c>
      <c r="W20" s="31">
        <v>0</v>
      </c>
      <c r="X20" s="31">
        <v>0</v>
      </c>
      <c r="Y20" s="31">
        <v>0</v>
      </c>
      <c r="Z20" s="31">
        <v>0</v>
      </c>
      <c r="AA20" s="31">
        <v>0</v>
      </c>
      <c r="AB20" s="31">
        <v>0</v>
      </c>
      <c r="AC20" s="31">
        <v>0</v>
      </c>
      <c r="AD20" s="31">
        <v>0</v>
      </c>
      <c r="AE20" s="31">
        <v>0</v>
      </c>
      <c r="AF20" s="31">
        <v>0</v>
      </c>
      <c r="AG20" s="31">
        <v>0</v>
      </c>
      <c r="AH20" s="31">
        <v>0</v>
      </c>
      <c r="AI20" s="31">
        <v>0</v>
      </c>
      <c r="AL20" s="31">
        <f t="shared" si="0"/>
        <v>0</v>
      </c>
      <c r="AM20" s="31">
        <f t="shared" si="1"/>
        <v>0</v>
      </c>
      <c r="AN20" s="31">
        <f t="shared" si="2"/>
        <v>0</v>
      </c>
      <c r="AP20" s="31">
        <f>VLOOKUP($B20,Kraftvärmeprod!$B$1:$BX$549,MATCH(AP$1,Kraftvärmeprod!$B$1:$BX$1,0),FALSE)</f>
        <v>0</v>
      </c>
      <c r="AQ20" s="31">
        <f>VLOOKUP($B20,Kraftvärmeprod!$B$1:$BX$549,MATCH(AQ$1,Kraftvärmeprod!$B$1:$BX$1,0),FALSE)</f>
        <v>0</v>
      </c>
      <c r="AR20" s="31">
        <f>VLOOKUP($B20,Kraftvärmeprod!$B$1:$BX$549,MATCH("Summa tillförd energi exklusive rökgaskondensering",Kraftvärmeprod!$B$1:$BX$1,0),FALSE)</f>
        <v>0</v>
      </c>
      <c r="AT20" s="32" t="str">
        <f t="shared" si="3"/>
        <v/>
      </c>
      <c r="AV20" s="31">
        <f t="shared" si="4"/>
        <v>0</v>
      </c>
      <c r="AX20" s="31" t="str">
        <f>VLOOKUP(B20,Totalt!$B$1:$BZ$554,MATCH(AX$1,Totalt!$B$1:$BZ$1,0),FALSE)</f>
        <v>Ja</v>
      </c>
      <c r="BA20" s="32" t="str">
        <f t="shared" si="5"/>
        <v/>
      </c>
    </row>
    <row r="21" spans="1:53" x14ac:dyDescent="0.45">
      <c r="A21" s="31" t="s">
        <v>666</v>
      </c>
      <c r="B21" s="31" t="s">
        <v>669</v>
      </c>
      <c r="J21" s="31">
        <v>0</v>
      </c>
      <c r="K21" s="31">
        <v>0</v>
      </c>
      <c r="L21" s="31">
        <v>0</v>
      </c>
      <c r="M21" s="31">
        <v>0</v>
      </c>
      <c r="N21" s="31">
        <v>0</v>
      </c>
      <c r="O21" s="31">
        <v>0</v>
      </c>
      <c r="P21" s="31">
        <v>0</v>
      </c>
      <c r="Q21" s="31">
        <v>0</v>
      </c>
      <c r="R21" s="31">
        <v>0</v>
      </c>
      <c r="S21" s="31">
        <v>0</v>
      </c>
      <c r="T21" s="31">
        <v>0</v>
      </c>
      <c r="U21" s="31">
        <v>0</v>
      </c>
      <c r="W21" s="31">
        <v>0</v>
      </c>
      <c r="X21" s="31">
        <v>0</v>
      </c>
      <c r="Y21" s="31">
        <v>0</v>
      </c>
      <c r="Z21" s="31">
        <v>0</v>
      </c>
      <c r="AA21" s="31">
        <v>0</v>
      </c>
      <c r="AB21" s="31">
        <v>0</v>
      </c>
      <c r="AC21" s="31">
        <v>0</v>
      </c>
      <c r="AD21" s="31">
        <v>0</v>
      </c>
      <c r="AE21" s="31">
        <v>0</v>
      </c>
      <c r="AF21" s="31">
        <v>0</v>
      </c>
      <c r="AG21" s="31">
        <v>0</v>
      </c>
      <c r="AH21" s="31">
        <v>0</v>
      </c>
      <c r="AI21" s="31">
        <v>0</v>
      </c>
      <c r="AL21" s="31">
        <f t="shared" si="0"/>
        <v>0</v>
      </c>
      <c r="AM21" s="31">
        <f t="shared" si="1"/>
        <v>0</v>
      </c>
      <c r="AN21" s="31">
        <f t="shared" si="2"/>
        <v>0</v>
      </c>
      <c r="AP21" s="31">
        <f>VLOOKUP($B21,Kraftvärmeprod!$B$1:$BX$549,MATCH(AP$1,Kraftvärmeprod!$B$1:$BX$1,0),FALSE)</f>
        <v>0</v>
      </c>
      <c r="AQ21" s="31">
        <f>VLOOKUP($B21,Kraftvärmeprod!$B$1:$BX$549,MATCH(AQ$1,Kraftvärmeprod!$B$1:$BX$1,0),FALSE)</f>
        <v>0</v>
      </c>
      <c r="AR21" s="31">
        <f>VLOOKUP($B21,Kraftvärmeprod!$B$1:$BX$549,MATCH("Summa tillförd energi exklusive rökgaskondensering",Kraftvärmeprod!$B$1:$BX$1,0),FALSE)</f>
        <v>0</v>
      </c>
      <c r="AT21" s="32" t="str">
        <f t="shared" si="3"/>
        <v/>
      </c>
      <c r="AV21" s="31">
        <f t="shared" si="4"/>
        <v>0</v>
      </c>
      <c r="AX21" s="31" t="str">
        <f>VLOOKUP(B21,Totalt!$B$1:$BZ$554,MATCH(AX$1,Totalt!$B$1:$BZ$1,0),FALSE)</f>
        <v>Ja</v>
      </c>
      <c r="BA21" s="32" t="str">
        <f t="shared" si="5"/>
        <v/>
      </c>
    </row>
    <row r="22" spans="1:53" x14ac:dyDescent="0.45">
      <c r="A22" s="31" t="s">
        <v>666</v>
      </c>
      <c r="B22" s="31" t="s">
        <v>668</v>
      </c>
      <c r="J22" s="31">
        <v>0</v>
      </c>
      <c r="K22" s="31">
        <v>9.8504999999999995E-2</v>
      </c>
      <c r="L22" s="31">
        <v>0</v>
      </c>
      <c r="M22" s="31">
        <v>0</v>
      </c>
      <c r="N22" s="31">
        <v>0</v>
      </c>
      <c r="O22" s="31">
        <v>0</v>
      </c>
      <c r="P22" s="31">
        <v>88.636899999999997</v>
      </c>
      <c r="Q22" s="31">
        <v>20.914200000000001</v>
      </c>
      <c r="R22" s="31">
        <v>1.3767199999999999</v>
      </c>
      <c r="S22" s="31">
        <v>14.176500000000001</v>
      </c>
      <c r="T22" s="31">
        <v>0</v>
      </c>
      <c r="U22" s="31">
        <v>1.3428599999999999</v>
      </c>
      <c r="W22" s="31">
        <v>0</v>
      </c>
      <c r="X22" s="31">
        <v>0</v>
      </c>
      <c r="Y22" s="31">
        <v>0</v>
      </c>
      <c r="Z22" s="31">
        <v>26.052099999999999</v>
      </c>
      <c r="AA22" s="31">
        <v>0</v>
      </c>
      <c r="AB22" s="31">
        <v>0</v>
      </c>
      <c r="AC22" s="31">
        <v>0</v>
      </c>
      <c r="AD22" s="31">
        <v>0</v>
      </c>
      <c r="AE22" s="31">
        <v>0</v>
      </c>
      <c r="AF22" s="31">
        <v>0</v>
      </c>
      <c r="AG22" s="31">
        <v>0</v>
      </c>
      <c r="AH22" s="31">
        <v>48.454999999999998</v>
      </c>
      <c r="AI22" s="31">
        <v>6.3059799999999999</v>
      </c>
      <c r="AL22" s="31">
        <f t="shared" si="0"/>
        <v>207.35876500000003</v>
      </c>
      <c r="AM22" s="31">
        <f t="shared" si="1"/>
        <v>201.05278500000003</v>
      </c>
      <c r="AN22" s="31">
        <f t="shared" si="2"/>
        <v>152.59778500000004</v>
      </c>
      <c r="AP22" s="31">
        <f>VLOOKUP($B22,Kraftvärmeprod!$B$1:$BX$549,MATCH(AP$1,Kraftvärmeprod!$B$1:$BX$1,0),FALSE)</f>
        <v>233.161</v>
      </c>
      <c r="AQ22" s="31">
        <f>VLOOKUP($B22,Kraftvärmeprod!$B$1:$BX$549,MATCH(AQ$1,Kraftvärmeprod!$B$1:$BX$1,0),FALSE)</f>
        <v>63.77</v>
      </c>
      <c r="AR22" s="31">
        <f>VLOOKUP($B22,Kraftvärmeprod!$B$1:$BX$549,MATCH("Summa tillförd energi exklusive rökgaskondensering",Kraftvärmeprod!$B$1:$BX$1,0),FALSE)</f>
        <v>261.34800000000001</v>
      </c>
      <c r="AT22" s="32">
        <f t="shared" si="3"/>
        <v>0.58388732647657549</v>
      </c>
      <c r="AV22" s="31">
        <f t="shared" si="4"/>
        <v>152.49928</v>
      </c>
      <c r="AX22" s="31" t="str">
        <f>VLOOKUP(B22,Totalt!$B$1:$BZ$554,MATCH(AX$1,Totalt!$B$1:$BZ$1,0),FALSE)</f>
        <v>Ja</v>
      </c>
      <c r="BA22" s="32">
        <f t="shared" si="5"/>
        <v>1.4673094750146414</v>
      </c>
    </row>
    <row r="23" spans="1:53" x14ac:dyDescent="0.45">
      <c r="A23" s="31" t="s">
        <v>666</v>
      </c>
      <c r="B23" s="31" t="s">
        <v>665</v>
      </c>
      <c r="J23" s="31">
        <v>0</v>
      </c>
      <c r="K23" s="31">
        <v>0</v>
      </c>
      <c r="L23" s="31">
        <v>0</v>
      </c>
      <c r="M23" s="31">
        <v>0</v>
      </c>
      <c r="N23" s="31">
        <v>0</v>
      </c>
      <c r="O23" s="31">
        <v>0</v>
      </c>
      <c r="P23" s="31">
        <v>0</v>
      </c>
      <c r="Q23" s="31">
        <v>0</v>
      </c>
      <c r="R23" s="31">
        <v>0</v>
      </c>
      <c r="S23" s="31">
        <v>0</v>
      </c>
      <c r="T23" s="31">
        <v>0</v>
      </c>
      <c r="U23" s="31">
        <v>0</v>
      </c>
      <c r="W23" s="31">
        <v>0</v>
      </c>
      <c r="X23" s="31">
        <v>0</v>
      </c>
      <c r="Y23" s="31">
        <v>0</v>
      </c>
      <c r="Z23" s="31">
        <v>0</v>
      </c>
      <c r="AA23" s="31">
        <v>0</v>
      </c>
      <c r="AB23" s="31">
        <v>0</v>
      </c>
      <c r="AC23" s="31">
        <v>0</v>
      </c>
      <c r="AD23" s="31">
        <v>0</v>
      </c>
      <c r="AE23" s="31">
        <v>0</v>
      </c>
      <c r="AF23" s="31">
        <v>0</v>
      </c>
      <c r="AG23" s="31">
        <v>0</v>
      </c>
      <c r="AH23" s="31">
        <v>0</v>
      </c>
      <c r="AI23" s="31">
        <v>0</v>
      </c>
      <c r="AL23" s="31">
        <f t="shared" si="0"/>
        <v>0</v>
      </c>
      <c r="AM23" s="31">
        <f t="shared" si="1"/>
        <v>0</v>
      </c>
      <c r="AN23" s="31">
        <f t="shared" si="2"/>
        <v>0</v>
      </c>
      <c r="AP23" s="31">
        <f>VLOOKUP($B23,Kraftvärmeprod!$B$1:$BX$549,MATCH(AP$1,Kraftvärmeprod!$B$1:$BX$1,0),FALSE)</f>
        <v>0</v>
      </c>
      <c r="AQ23" s="31">
        <f>VLOOKUP($B23,Kraftvärmeprod!$B$1:$BX$549,MATCH(AQ$1,Kraftvärmeprod!$B$1:$BX$1,0),FALSE)</f>
        <v>0</v>
      </c>
      <c r="AR23" s="31">
        <f>VLOOKUP($B23,Kraftvärmeprod!$B$1:$BX$549,MATCH("Summa tillförd energi exklusive rökgaskondensering",Kraftvärmeprod!$B$1:$BX$1,0),FALSE)</f>
        <v>0</v>
      </c>
      <c r="AT23" s="32" t="str">
        <f t="shared" si="3"/>
        <v/>
      </c>
      <c r="AV23" s="31">
        <f t="shared" si="4"/>
        <v>0</v>
      </c>
      <c r="AX23" s="31" t="str">
        <f>VLOOKUP(B23,Totalt!$B$1:$BZ$554,MATCH(AX$1,Totalt!$B$1:$BZ$1,0),FALSE)</f>
        <v>Ja</v>
      </c>
      <c r="BA23" s="32" t="str">
        <f t="shared" si="5"/>
        <v/>
      </c>
    </row>
    <row r="24" spans="1:53" x14ac:dyDescent="0.45">
      <c r="A24" s="31" t="s">
        <v>666</v>
      </c>
      <c r="B24" s="31" t="s">
        <v>667</v>
      </c>
      <c r="J24" s="31">
        <v>0</v>
      </c>
      <c r="K24" s="31">
        <v>0</v>
      </c>
      <c r="L24" s="31">
        <v>0</v>
      </c>
      <c r="M24" s="31">
        <v>0</v>
      </c>
      <c r="N24" s="31">
        <v>0</v>
      </c>
      <c r="O24" s="31">
        <v>0</v>
      </c>
      <c r="P24" s="31">
        <v>0</v>
      </c>
      <c r="Q24" s="31">
        <v>0</v>
      </c>
      <c r="R24" s="31">
        <v>0</v>
      </c>
      <c r="S24" s="31">
        <v>0</v>
      </c>
      <c r="T24" s="31">
        <v>0</v>
      </c>
      <c r="U24" s="31">
        <v>0</v>
      </c>
      <c r="W24" s="31">
        <v>0</v>
      </c>
      <c r="X24" s="31">
        <v>0</v>
      </c>
      <c r="Y24" s="31">
        <v>0</v>
      </c>
      <c r="Z24" s="31">
        <v>0</v>
      </c>
      <c r="AA24" s="31">
        <v>0</v>
      </c>
      <c r="AB24" s="31">
        <v>0</v>
      </c>
      <c r="AC24" s="31">
        <v>0</v>
      </c>
      <c r="AD24" s="31">
        <v>0</v>
      </c>
      <c r="AE24" s="31">
        <v>0</v>
      </c>
      <c r="AF24" s="31">
        <v>0</v>
      </c>
      <c r="AG24" s="31">
        <v>0</v>
      </c>
      <c r="AH24" s="31">
        <v>0</v>
      </c>
      <c r="AI24" s="31">
        <v>0</v>
      </c>
      <c r="AL24" s="31">
        <f t="shared" si="0"/>
        <v>0</v>
      </c>
      <c r="AM24" s="31">
        <f t="shared" si="1"/>
        <v>0</v>
      </c>
      <c r="AN24" s="31">
        <f t="shared" si="2"/>
        <v>0</v>
      </c>
      <c r="AP24" s="31">
        <f>VLOOKUP($B24,Kraftvärmeprod!$B$1:$BX$549,MATCH(AP$1,Kraftvärmeprod!$B$1:$BX$1,0),FALSE)</f>
        <v>0</v>
      </c>
      <c r="AQ24" s="31">
        <f>VLOOKUP($B24,Kraftvärmeprod!$B$1:$BX$549,MATCH(AQ$1,Kraftvärmeprod!$B$1:$BX$1,0),FALSE)</f>
        <v>0</v>
      </c>
      <c r="AR24" s="31">
        <f>VLOOKUP($B24,Kraftvärmeprod!$B$1:$BX$549,MATCH("Summa tillförd energi exklusive rökgaskondensering",Kraftvärmeprod!$B$1:$BX$1,0),FALSE)</f>
        <v>0</v>
      </c>
      <c r="AT24" s="32" t="str">
        <f t="shared" si="3"/>
        <v/>
      </c>
      <c r="AV24" s="31">
        <f t="shared" si="4"/>
        <v>0</v>
      </c>
      <c r="AX24" s="31" t="str">
        <f>VLOOKUP(B24,Totalt!$B$1:$BZ$554,MATCH(AX$1,Totalt!$B$1:$BZ$1,0),FALSE)</f>
        <v>Ja</v>
      </c>
      <c r="BA24" s="32" t="str">
        <f t="shared" si="5"/>
        <v/>
      </c>
    </row>
    <row r="25" spans="1:53" x14ac:dyDescent="0.45">
      <c r="A25" s="31" t="s">
        <v>666</v>
      </c>
      <c r="B25" s="31" t="s">
        <v>670</v>
      </c>
      <c r="J25" s="31">
        <v>0</v>
      </c>
      <c r="K25" s="31">
        <v>0</v>
      </c>
      <c r="L25" s="31">
        <v>0</v>
      </c>
      <c r="M25" s="31">
        <v>0</v>
      </c>
      <c r="N25" s="31">
        <v>0</v>
      </c>
      <c r="O25" s="31">
        <v>0</v>
      </c>
      <c r="P25" s="31">
        <v>0</v>
      </c>
      <c r="Q25" s="31">
        <v>0</v>
      </c>
      <c r="R25" s="31">
        <v>0</v>
      </c>
      <c r="S25" s="31">
        <v>0</v>
      </c>
      <c r="T25" s="31">
        <v>0</v>
      </c>
      <c r="U25" s="31">
        <v>0</v>
      </c>
      <c r="W25" s="31">
        <v>0</v>
      </c>
      <c r="X25" s="31">
        <v>0</v>
      </c>
      <c r="Y25" s="31">
        <v>0</v>
      </c>
      <c r="Z25" s="31">
        <v>0</v>
      </c>
      <c r="AA25" s="31">
        <v>0</v>
      </c>
      <c r="AB25" s="31">
        <v>0</v>
      </c>
      <c r="AC25" s="31">
        <v>0</v>
      </c>
      <c r="AD25" s="31">
        <v>0</v>
      </c>
      <c r="AE25" s="31">
        <v>0</v>
      </c>
      <c r="AF25" s="31">
        <v>0</v>
      </c>
      <c r="AG25" s="31">
        <v>0</v>
      </c>
      <c r="AH25" s="31">
        <v>0</v>
      </c>
      <c r="AI25" s="31">
        <v>0</v>
      </c>
      <c r="AL25" s="31">
        <f t="shared" si="0"/>
        <v>0</v>
      </c>
      <c r="AM25" s="31">
        <f t="shared" si="1"/>
        <v>0</v>
      </c>
      <c r="AN25" s="31">
        <f t="shared" si="2"/>
        <v>0</v>
      </c>
      <c r="AP25" s="31">
        <f>VLOOKUP($B25,Kraftvärmeprod!$B$1:$BX$549,MATCH(AP$1,Kraftvärmeprod!$B$1:$BX$1,0),FALSE)</f>
        <v>0</v>
      </c>
      <c r="AQ25" s="31">
        <f>VLOOKUP($B25,Kraftvärmeprod!$B$1:$BX$549,MATCH(AQ$1,Kraftvärmeprod!$B$1:$BX$1,0),FALSE)</f>
        <v>0</v>
      </c>
      <c r="AR25" s="31">
        <f>VLOOKUP($B25,Kraftvärmeprod!$B$1:$BX$549,MATCH("Summa tillförd energi exklusive rökgaskondensering",Kraftvärmeprod!$B$1:$BX$1,0),FALSE)</f>
        <v>0</v>
      </c>
      <c r="AT25" s="32" t="str">
        <f t="shared" si="3"/>
        <v/>
      </c>
      <c r="AV25" s="31">
        <f t="shared" si="4"/>
        <v>0</v>
      </c>
      <c r="AX25" s="31" t="str">
        <f>VLOOKUP(B25,Totalt!$B$1:$BZ$554,MATCH(AX$1,Totalt!$B$1:$BZ$1,0),FALSE)</f>
        <v>Ja</v>
      </c>
      <c r="BA25" s="32" t="str">
        <f t="shared" si="5"/>
        <v/>
      </c>
    </row>
    <row r="26" spans="1:53" x14ac:dyDescent="0.45">
      <c r="A26" s="31" t="s">
        <v>664</v>
      </c>
      <c r="B26" s="31" t="s">
        <v>663</v>
      </c>
      <c r="J26" s="31">
        <v>0</v>
      </c>
      <c r="K26" s="31">
        <v>0</v>
      </c>
      <c r="L26" s="31">
        <v>0</v>
      </c>
      <c r="M26" s="31">
        <v>0</v>
      </c>
      <c r="N26" s="31">
        <v>0</v>
      </c>
      <c r="O26" s="31">
        <v>0</v>
      </c>
      <c r="P26" s="31">
        <v>0</v>
      </c>
      <c r="Q26" s="31">
        <v>0</v>
      </c>
      <c r="R26" s="31">
        <v>0</v>
      </c>
      <c r="S26" s="31">
        <v>0</v>
      </c>
      <c r="T26" s="31">
        <v>0</v>
      </c>
      <c r="U26" s="31">
        <v>0</v>
      </c>
      <c r="W26" s="31">
        <v>0</v>
      </c>
      <c r="X26" s="31">
        <v>0</v>
      </c>
      <c r="Y26" s="31">
        <v>0</v>
      </c>
      <c r="Z26" s="31">
        <v>0</v>
      </c>
      <c r="AA26" s="31">
        <v>0</v>
      </c>
      <c r="AB26" s="31">
        <v>0</v>
      </c>
      <c r="AC26" s="31">
        <v>0</v>
      </c>
      <c r="AD26" s="31">
        <v>0</v>
      </c>
      <c r="AE26" s="31">
        <v>0</v>
      </c>
      <c r="AF26" s="31">
        <v>0</v>
      </c>
      <c r="AG26" s="31">
        <v>0</v>
      </c>
      <c r="AH26" s="31">
        <v>0</v>
      </c>
      <c r="AI26" s="31">
        <v>0</v>
      </c>
      <c r="AL26" s="31">
        <f t="shared" si="0"/>
        <v>0</v>
      </c>
      <c r="AM26" s="31">
        <f t="shared" si="1"/>
        <v>0</v>
      </c>
      <c r="AN26" s="31">
        <f t="shared" si="2"/>
        <v>0</v>
      </c>
      <c r="AP26" s="31">
        <f>VLOOKUP($B26,Kraftvärmeprod!$B$1:$BX$549,MATCH(AP$1,Kraftvärmeprod!$B$1:$BX$1,0),FALSE)</f>
        <v>0</v>
      </c>
      <c r="AQ26" s="31">
        <f>VLOOKUP($B26,Kraftvärmeprod!$B$1:$BX$549,MATCH(AQ$1,Kraftvärmeprod!$B$1:$BX$1,0),FALSE)</f>
        <v>0</v>
      </c>
      <c r="AR26" s="31">
        <f>VLOOKUP($B26,Kraftvärmeprod!$B$1:$BX$549,MATCH("Summa tillförd energi exklusive rökgaskondensering",Kraftvärmeprod!$B$1:$BX$1,0),FALSE)</f>
        <v>0</v>
      </c>
      <c r="AT26" s="32" t="str">
        <f t="shared" si="3"/>
        <v/>
      </c>
      <c r="AV26" s="31">
        <f t="shared" si="4"/>
        <v>0</v>
      </c>
      <c r="AX26" s="31" t="str">
        <f>VLOOKUP(B26,Totalt!$B$1:$BZ$554,MATCH(AX$1,Totalt!$B$1:$BZ$1,0),FALSE)</f>
        <v>Ja</v>
      </c>
      <c r="BA26" s="32" t="str">
        <f t="shared" si="5"/>
        <v/>
      </c>
    </row>
    <row r="27" spans="1:53" x14ac:dyDescent="0.45">
      <c r="A27" s="31" t="s">
        <v>660</v>
      </c>
      <c r="B27" s="31" t="s">
        <v>662</v>
      </c>
      <c r="J27" s="31">
        <v>0</v>
      </c>
      <c r="K27" s="31">
        <v>0</v>
      </c>
      <c r="L27" s="31">
        <v>0</v>
      </c>
      <c r="M27" s="31">
        <v>0</v>
      </c>
      <c r="N27" s="31">
        <v>0</v>
      </c>
      <c r="O27" s="31">
        <v>0</v>
      </c>
      <c r="P27" s="31">
        <v>0</v>
      </c>
      <c r="Q27" s="31">
        <v>0</v>
      </c>
      <c r="R27" s="31">
        <v>0</v>
      </c>
      <c r="S27" s="31">
        <v>0</v>
      </c>
      <c r="T27" s="31">
        <v>0</v>
      </c>
      <c r="U27" s="31">
        <v>0</v>
      </c>
      <c r="W27" s="31">
        <v>0</v>
      </c>
      <c r="X27" s="31">
        <v>0</v>
      </c>
      <c r="Y27" s="31">
        <v>0</v>
      </c>
      <c r="Z27" s="31">
        <v>0</v>
      </c>
      <c r="AA27" s="31">
        <v>0</v>
      </c>
      <c r="AB27" s="31">
        <v>0</v>
      </c>
      <c r="AC27" s="31">
        <v>0</v>
      </c>
      <c r="AD27" s="31">
        <v>0</v>
      </c>
      <c r="AE27" s="31">
        <v>0</v>
      </c>
      <c r="AF27" s="31">
        <v>0</v>
      </c>
      <c r="AG27" s="31">
        <v>0</v>
      </c>
      <c r="AH27" s="31">
        <v>0</v>
      </c>
      <c r="AI27" s="31">
        <v>0</v>
      </c>
      <c r="AL27" s="31">
        <f t="shared" si="0"/>
        <v>0</v>
      </c>
      <c r="AM27" s="31">
        <f t="shared" si="1"/>
        <v>0</v>
      </c>
      <c r="AN27" s="31">
        <f t="shared" si="2"/>
        <v>0</v>
      </c>
      <c r="AP27" s="31">
        <f>VLOOKUP($B27,Kraftvärmeprod!$B$1:$BX$549,MATCH(AP$1,Kraftvärmeprod!$B$1:$BX$1,0),FALSE)</f>
        <v>0</v>
      </c>
      <c r="AQ27" s="31">
        <f>VLOOKUP($B27,Kraftvärmeprod!$B$1:$BX$549,MATCH(AQ$1,Kraftvärmeprod!$B$1:$BX$1,0),FALSE)</f>
        <v>0</v>
      </c>
      <c r="AR27" s="31">
        <f>VLOOKUP($B27,Kraftvärmeprod!$B$1:$BX$549,MATCH("Summa tillförd energi exklusive rökgaskondensering",Kraftvärmeprod!$B$1:$BX$1,0),FALSE)</f>
        <v>0</v>
      </c>
      <c r="AT27" s="32" t="str">
        <f t="shared" si="3"/>
        <v/>
      </c>
      <c r="AV27" s="31">
        <f t="shared" si="4"/>
        <v>0</v>
      </c>
      <c r="AX27" s="31" t="str">
        <f>VLOOKUP(B27,Totalt!$B$1:$BZ$554,MATCH(AX$1,Totalt!$B$1:$BZ$1,0),FALSE)</f>
        <v>Ja</v>
      </c>
      <c r="BA27" s="32" t="str">
        <f t="shared" si="5"/>
        <v/>
      </c>
    </row>
    <row r="28" spans="1:53" x14ac:dyDescent="0.45">
      <c r="A28" s="31" t="s">
        <v>660</v>
      </c>
      <c r="B28" s="31" t="s">
        <v>661</v>
      </c>
      <c r="J28" s="31">
        <v>0</v>
      </c>
      <c r="K28" s="31">
        <v>0</v>
      </c>
      <c r="L28" s="31">
        <v>0</v>
      </c>
      <c r="M28" s="31">
        <v>0</v>
      </c>
      <c r="N28" s="31">
        <v>0</v>
      </c>
      <c r="O28" s="31">
        <v>0</v>
      </c>
      <c r="P28" s="31">
        <v>0</v>
      </c>
      <c r="Q28" s="31">
        <v>0</v>
      </c>
      <c r="R28" s="31">
        <v>0</v>
      </c>
      <c r="S28" s="31">
        <v>0</v>
      </c>
      <c r="T28" s="31">
        <v>0</v>
      </c>
      <c r="U28" s="31">
        <v>0</v>
      </c>
      <c r="W28" s="31">
        <v>0</v>
      </c>
      <c r="X28" s="31">
        <v>0</v>
      </c>
      <c r="Y28" s="31">
        <v>0</v>
      </c>
      <c r="Z28" s="31">
        <v>0</v>
      </c>
      <c r="AA28" s="31">
        <v>0</v>
      </c>
      <c r="AB28" s="31">
        <v>0</v>
      </c>
      <c r="AC28" s="31">
        <v>0</v>
      </c>
      <c r="AD28" s="31">
        <v>0</v>
      </c>
      <c r="AE28" s="31">
        <v>0</v>
      </c>
      <c r="AF28" s="31">
        <v>0</v>
      </c>
      <c r="AG28" s="31">
        <v>0</v>
      </c>
      <c r="AH28" s="31">
        <v>0</v>
      </c>
      <c r="AI28" s="31">
        <v>0</v>
      </c>
      <c r="AL28" s="31">
        <f t="shared" si="0"/>
        <v>0</v>
      </c>
      <c r="AM28" s="31">
        <f t="shared" si="1"/>
        <v>0</v>
      </c>
      <c r="AN28" s="31">
        <f t="shared" si="2"/>
        <v>0</v>
      </c>
      <c r="AP28" s="31">
        <f>VLOOKUP($B28,Kraftvärmeprod!$B$1:$BX$549,MATCH(AP$1,Kraftvärmeprod!$B$1:$BX$1,0),FALSE)</f>
        <v>0</v>
      </c>
      <c r="AQ28" s="31">
        <f>VLOOKUP($B28,Kraftvärmeprod!$B$1:$BX$549,MATCH(AQ$1,Kraftvärmeprod!$B$1:$BX$1,0),FALSE)</f>
        <v>0</v>
      </c>
      <c r="AR28" s="31">
        <f>VLOOKUP($B28,Kraftvärmeprod!$B$1:$BX$549,MATCH("Summa tillförd energi exklusive rökgaskondensering",Kraftvärmeprod!$B$1:$BX$1,0),FALSE)</f>
        <v>0</v>
      </c>
      <c r="AT28" s="32" t="str">
        <f t="shared" si="3"/>
        <v/>
      </c>
      <c r="AV28" s="31">
        <f t="shared" si="4"/>
        <v>0</v>
      </c>
      <c r="AX28" s="31" t="str">
        <f>VLOOKUP(B28,Totalt!$B$1:$BZ$554,MATCH(AX$1,Totalt!$B$1:$BZ$1,0),FALSE)</f>
        <v>Ja</v>
      </c>
      <c r="BA28" s="32" t="str">
        <f t="shared" si="5"/>
        <v/>
      </c>
    </row>
    <row r="29" spans="1:53" x14ac:dyDescent="0.45">
      <c r="A29" s="31" t="s">
        <v>660</v>
      </c>
      <c r="B29" s="31" t="s">
        <v>659</v>
      </c>
      <c r="J29" s="31">
        <v>0</v>
      </c>
      <c r="K29" s="31">
        <v>0</v>
      </c>
      <c r="L29" s="31">
        <v>0</v>
      </c>
      <c r="M29" s="31">
        <v>0</v>
      </c>
      <c r="N29" s="31">
        <v>0</v>
      </c>
      <c r="O29" s="31">
        <v>0</v>
      </c>
      <c r="P29" s="31">
        <v>0</v>
      </c>
      <c r="Q29" s="31">
        <v>0</v>
      </c>
      <c r="R29" s="31">
        <v>0</v>
      </c>
      <c r="S29" s="31">
        <v>0</v>
      </c>
      <c r="T29" s="31">
        <v>0</v>
      </c>
      <c r="U29" s="31">
        <v>0</v>
      </c>
      <c r="W29" s="31">
        <v>0</v>
      </c>
      <c r="X29" s="31">
        <v>0</v>
      </c>
      <c r="Y29" s="31">
        <v>0</v>
      </c>
      <c r="Z29" s="31">
        <v>0</v>
      </c>
      <c r="AA29" s="31">
        <v>0</v>
      </c>
      <c r="AB29" s="31">
        <v>0</v>
      </c>
      <c r="AC29" s="31">
        <v>0</v>
      </c>
      <c r="AD29" s="31">
        <v>0</v>
      </c>
      <c r="AE29" s="31">
        <v>0</v>
      </c>
      <c r="AF29" s="31">
        <v>0</v>
      </c>
      <c r="AG29" s="31">
        <v>0</v>
      </c>
      <c r="AH29" s="31">
        <v>0</v>
      </c>
      <c r="AI29" s="31">
        <v>0</v>
      </c>
      <c r="AL29" s="31">
        <f t="shared" si="0"/>
        <v>0</v>
      </c>
      <c r="AM29" s="31">
        <f t="shared" si="1"/>
        <v>0</v>
      </c>
      <c r="AN29" s="31">
        <f t="shared" si="2"/>
        <v>0</v>
      </c>
      <c r="AP29" s="31">
        <f>VLOOKUP($B29,Kraftvärmeprod!$B$1:$BX$549,MATCH(AP$1,Kraftvärmeprod!$B$1:$BX$1,0),FALSE)</f>
        <v>0</v>
      </c>
      <c r="AQ29" s="31">
        <f>VLOOKUP($B29,Kraftvärmeprod!$B$1:$BX$549,MATCH(AQ$1,Kraftvärmeprod!$B$1:$BX$1,0),FALSE)</f>
        <v>0</v>
      </c>
      <c r="AR29" s="31">
        <f>VLOOKUP($B29,Kraftvärmeprod!$B$1:$BX$549,MATCH("Summa tillförd energi exklusive rökgaskondensering",Kraftvärmeprod!$B$1:$BX$1,0),FALSE)</f>
        <v>0</v>
      </c>
      <c r="AT29" s="32" t="str">
        <f t="shared" si="3"/>
        <v/>
      </c>
      <c r="AV29" s="31">
        <f t="shared" si="4"/>
        <v>0</v>
      </c>
      <c r="AX29" s="31" t="str">
        <f>VLOOKUP(B29,Totalt!$B$1:$BZ$554,MATCH(AX$1,Totalt!$B$1:$BZ$1,0),FALSE)</f>
        <v>Ja</v>
      </c>
      <c r="BA29" s="32" t="str">
        <f t="shared" si="5"/>
        <v/>
      </c>
    </row>
    <row r="30" spans="1:53" x14ac:dyDescent="0.45">
      <c r="A30" s="31" t="s">
        <v>657</v>
      </c>
      <c r="B30" s="31" t="s">
        <v>656</v>
      </c>
      <c r="J30" s="31">
        <v>0</v>
      </c>
      <c r="K30" s="31">
        <v>0</v>
      </c>
      <c r="L30" s="31">
        <v>0</v>
      </c>
      <c r="M30" s="31">
        <v>0</v>
      </c>
      <c r="N30" s="31">
        <v>0</v>
      </c>
      <c r="O30" s="31">
        <v>0</v>
      </c>
      <c r="P30" s="31">
        <v>0</v>
      </c>
      <c r="Q30" s="31">
        <v>0</v>
      </c>
      <c r="R30" s="31">
        <v>0</v>
      </c>
      <c r="S30" s="31">
        <v>0</v>
      </c>
      <c r="T30" s="31">
        <v>0</v>
      </c>
      <c r="U30" s="31">
        <v>0</v>
      </c>
      <c r="W30" s="31">
        <v>0</v>
      </c>
      <c r="X30" s="31">
        <v>0</v>
      </c>
      <c r="Y30" s="31">
        <v>0</v>
      </c>
      <c r="Z30" s="31">
        <v>0</v>
      </c>
      <c r="AA30" s="31">
        <v>0</v>
      </c>
      <c r="AB30" s="31">
        <v>0</v>
      </c>
      <c r="AC30" s="31">
        <v>0</v>
      </c>
      <c r="AD30" s="31">
        <v>0</v>
      </c>
      <c r="AE30" s="31">
        <v>0</v>
      </c>
      <c r="AF30" s="31">
        <v>0</v>
      </c>
      <c r="AG30" s="31">
        <v>0</v>
      </c>
      <c r="AH30" s="31">
        <v>0</v>
      </c>
      <c r="AI30" s="31">
        <v>0</v>
      </c>
      <c r="AL30" s="31">
        <f t="shared" si="0"/>
        <v>0</v>
      </c>
      <c r="AM30" s="31">
        <f t="shared" si="1"/>
        <v>0</v>
      </c>
      <c r="AN30" s="31">
        <f t="shared" si="2"/>
        <v>0</v>
      </c>
      <c r="AP30" s="31">
        <f>VLOOKUP($B30,Kraftvärmeprod!$B$1:$BX$549,MATCH(AP$1,Kraftvärmeprod!$B$1:$BX$1,0),FALSE)</f>
        <v>0</v>
      </c>
      <c r="AQ30" s="31">
        <f>VLOOKUP($B30,Kraftvärmeprod!$B$1:$BX$549,MATCH(AQ$1,Kraftvärmeprod!$B$1:$BX$1,0),FALSE)</f>
        <v>0</v>
      </c>
      <c r="AR30" s="31">
        <f>VLOOKUP($B30,Kraftvärmeprod!$B$1:$BX$549,MATCH("Summa tillförd energi exklusive rökgaskondensering",Kraftvärmeprod!$B$1:$BX$1,0),FALSE)</f>
        <v>0</v>
      </c>
      <c r="AT30" s="32" t="str">
        <f t="shared" si="3"/>
        <v/>
      </c>
      <c r="AV30" s="31">
        <f t="shared" si="4"/>
        <v>0</v>
      </c>
      <c r="AX30" s="31" t="str">
        <f>VLOOKUP(B30,Totalt!$B$1:$BZ$554,MATCH(AX$1,Totalt!$B$1:$BZ$1,0),FALSE)</f>
        <v>Ja</v>
      </c>
      <c r="BA30" s="32" t="str">
        <f t="shared" si="5"/>
        <v/>
      </c>
    </row>
    <row r="31" spans="1:53" x14ac:dyDescent="0.45">
      <c r="A31" s="31" t="s">
        <v>53</v>
      </c>
      <c r="B31" s="31" t="s">
        <v>54</v>
      </c>
      <c r="J31" s="31">
        <v>0</v>
      </c>
      <c r="K31" s="31">
        <v>0</v>
      </c>
      <c r="L31" s="31">
        <v>0</v>
      </c>
      <c r="M31" s="31">
        <v>0</v>
      </c>
      <c r="N31" s="31">
        <v>0</v>
      </c>
      <c r="O31" s="31">
        <v>0</v>
      </c>
      <c r="P31" s="31">
        <v>0</v>
      </c>
      <c r="Q31" s="31">
        <v>0</v>
      </c>
      <c r="R31" s="31">
        <v>0</v>
      </c>
      <c r="S31" s="31">
        <v>0</v>
      </c>
      <c r="T31" s="31">
        <v>0</v>
      </c>
      <c r="U31" s="31">
        <v>0</v>
      </c>
      <c r="W31" s="31">
        <v>0</v>
      </c>
      <c r="X31" s="31">
        <v>0</v>
      </c>
      <c r="Y31" s="31">
        <v>0</v>
      </c>
      <c r="Z31" s="31">
        <v>0</v>
      </c>
      <c r="AA31" s="31">
        <v>0</v>
      </c>
      <c r="AB31" s="31">
        <v>0</v>
      </c>
      <c r="AC31" s="31">
        <v>0</v>
      </c>
      <c r="AD31" s="31">
        <v>0</v>
      </c>
      <c r="AE31" s="31">
        <v>0</v>
      </c>
      <c r="AF31" s="31">
        <v>0</v>
      </c>
      <c r="AG31" s="31">
        <v>0</v>
      </c>
      <c r="AH31" s="31">
        <v>0</v>
      </c>
      <c r="AI31" s="31">
        <v>0</v>
      </c>
      <c r="AL31" s="31">
        <f t="shared" si="0"/>
        <v>0</v>
      </c>
      <c r="AM31" s="31">
        <f t="shared" si="1"/>
        <v>0</v>
      </c>
      <c r="AN31" s="31">
        <f t="shared" si="2"/>
        <v>0</v>
      </c>
      <c r="AP31" s="31">
        <f>VLOOKUP($B31,Kraftvärmeprod!$B$1:$BX$549,MATCH(AP$1,Kraftvärmeprod!$B$1:$BX$1,0),FALSE)</f>
        <v>0</v>
      </c>
      <c r="AQ31" s="31">
        <f>VLOOKUP($B31,Kraftvärmeprod!$B$1:$BX$549,MATCH(AQ$1,Kraftvärmeprod!$B$1:$BX$1,0),FALSE)</f>
        <v>0</v>
      </c>
      <c r="AR31" s="31">
        <f>VLOOKUP($B31,Kraftvärmeprod!$B$1:$BX$549,MATCH("Summa tillförd energi exklusive rökgaskondensering",Kraftvärmeprod!$B$1:$BX$1,0),FALSE)</f>
        <v>0</v>
      </c>
      <c r="AT31" s="32" t="str">
        <f t="shared" si="3"/>
        <v/>
      </c>
      <c r="AV31" s="31">
        <f t="shared" si="4"/>
        <v>0</v>
      </c>
      <c r="AX31" s="31" t="str">
        <f>VLOOKUP(B31,Totalt!$B$1:$BZ$554,MATCH(AX$1,Totalt!$B$1:$BZ$1,0),FALSE)</f>
        <v>Ja</v>
      </c>
      <c r="BA31" s="32" t="str">
        <f t="shared" si="5"/>
        <v/>
      </c>
    </row>
    <row r="32" spans="1:53" x14ac:dyDescent="0.45">
      <c r="A32" s="31" t="s">
        <v>655</v>
      </c>
      <c r="B32" s="31" t="s">
        <v>654</v>
      </c>
      <c r="J32" s="31">
        <v>0</v>
      </c>
      <c r="K32" s="31">
        <v>0</v>
      </c>
      <c r="L32" s="31">
        <v>0</v>
      </c>
      <c r="M32" s="31">
        <v>0</v>
      </c>
      <c r="N32" s="31">
        <v>0</v>
      </c>
      <c r="O32" s="31">
        <v>0</v>
      </c>
      <c r="P32" s="31">
        <v>0</v>
      </c>
      <c r="Q32" s="31">
        <v>0</v>
      </c>
      <c r="R32" s="31">
        <v>0</v>
      </c>
      <c r="S32" s="31">
        <v>0</v>
      </c>
      <c r="T32" s="31">
        <v>0</v>
      </c>
      <c r="U32" s="31">
        <v>0</v>
      </c>
      <c r="W32" s="31">
        <v>0</v>
      </c>
      <c r="X32" s="31">
        <v>0</v>
      </c>
      <c r="Y32" s="31">
        <v>0</v>
      </c>
      <c r="Z32" s="31">
        <v>0</v>
      </c>
      <c r="AA32" s="31">
        <v>0</v>
      </c>
      <c r="AB32" s="31">
        <v>0</v>
      </c>
      <c r="AC32" s="31">
        <v>0</v>
      </c>
      <c r="AD32" s="31">
        <v>0</v>
      </c>
      <c r="AE32" s="31">
        <v>0</v>
      </c>
      <c r="AF32" s="31">
        <v>0</v>
      </c>
      <c r="AG32" s="31">
        <v>0</v>
      </c>
      <c r="AH32" s="31">
        <v>0</v>
      </c>
      <c r="AI32" s="31">
        <v>0</v>
      </c>
      <c r="AL32" s="31">
        <f t="shared" si="0"/>
        <v>0</v>
      </c>
      <c r="AM32" s="31">
        <f t="shared" si="1"/>
        <v>0</v>
      </c>
      <c r="AN32" s="31">
        <f t="shared" si="2"/>
        <v>0</v>
      </c>
      <c r="AP32" s="31">
        <f>VLOOKUP($B32,Kraftvärmeprod!$B$1:$BX$549,MATCH(AP$1,Kraftvärmeprod!$B$1:$BX$1,0),FALSE)</f>
        <v>0</v>
      </c>
      <c r="AQ32" s="31">
        <f>VLOOKUP($B32,Kraftvärmeprod!$B$1:$BX$549,MATCH(AQ$1,Kraftvärmeprod!$B$1:$BX$1,0),FALSE)</f>
        <v>0</v>
      </c>
      <c r="AR32" s="31">
        <f>VLOOKUP($B32,Kraftvärmeprod!$B$1:$BX$549,MATCH("Summa tillförd energi exklusive rökgaskondensering",Kraftvärmeprod!$B$1:$BX$1,0),FALSE)</f>
        <v>0</v>
      </c>
      <c r="AT32" s="32" t="str">
        <f t="shared" si="3"/>
        <v/>
      </c>
      <c r="AV32" s="31">
        <f t="shared" si="4"/>
        <v>0</v>
      </c>
      <c r="AX32" s="31" t="str">
        <f>VLOOKUP(B32,Totalt!$B$1:$BZ$554,MATCH(AX$1,Totalt!$B$1:$BZ$1,0),FALSE)</f>
        <v>Ja</v>
      </c>
      <c r="BA32" s="32" t="str">
        <f t="shared" si="5"/>
        <v/>
      </c>
    </row>
    <row r="33" spans="1:53" x14ac:dyDescent="0.45">
      <c r="A33" s="31" t="s">
        <v>653</v>
      </c>
      <c r="B33" s="31" t="s">
        <v>652</v>
      </c>
      <c r="J33" s="31">
        <v>0</v>
      </c>
      <c r="K33" s="31">
        <v>0</v>
      </c>
      <c r="L33" s="31">
        <v>0</v>
      </c>
      <c r="M33" s="31">
        <v>0</v>
      </c>
      <c r="N33" s="31">
        <v>0</v>
      </c>
      <c r="O33" s="31">
        <v>0</v>
      </c>
      <c r="P33" s="31">
        <v>0</v>
      </c>
      <c r="Q33" s="31">
        <v>0</v>
      </c>
      <c r="R33" s="31">
        <v>0</v>
      </c>
      <c r="S33" s="31">
        <v>0</v>
      </c>
      <c r="T33" s="31">
        <v>0</v>
      </c>
      <c r="U33" s="31">
        <v>0</v>
      </c>
      <c r="W33" s="31">
        <v>0</v>
      </c>
      <c r="X33" s="31">
        <v>0</v>
      </c>
      <c r="Y33" s="31">
        <v>0</v>
      </c>
      <c r="Z33" s="31">
        <v>0</v>
      </c>
      <c r="AA33" s="31">
        <v>0</v>
      </c>
      <c r="AB33" s="31">
        <v>0</v>
      </c>
      <c r="AC33" s="31">
        <v>0</v>
      </c>
      <c r="AD33" s="31">
        <v>0</v>
      </c>
      <c r="AE33" s="31">
        <v>0</v>
      </c>
      <c r="AF33" s="31">
        <v>0</v>
      </c>
      <c r="AG33" s="31">
        <v>0</v>
      </c>
      <c r="AH33" s="31">
        <v>0</v>
      </c>
      <c r="AI33" s="31">
        <v>0</v>
      </c>
      <c r="AL33" s="31">
        <f t="shared" si="0"/>
        <v>0</v>
      </c>
      <c r="AM33" s="31">
        <f t="shared" si="1"/>
        <v>0</v>
      </c>
      <c r="AN33" s="31">
        <f t="shared" si="2"/>
        <v>0</v>
      </c>
      <c r="AP33" s="31">
        <f>VLOOKUP($B33,Kraftvärmeprod!$B$1:$BX$549,MATCH(AP$1,Kraftvärmeprod!$B$1:$BX$1,0),FALSE)</f>
        <v>0</v>
      </c>
      <c r="AQ33" s="31">
        <f>VLOOKUP($B33,Kraftvärmeprod!$B$1:$BX$549,MATCH(AQ$1,Kraftvärmeprod!$B$1:$BX$1,0),FALSE)</f>
        <v>0</v>
      </c>
      <c r="AR33" s="31">
        <f>VLOOKUP($B33,Kraftvärmeprod!$B$1:$BX$549,MATCH("Summa tillförd energi exklusive rökgaskondensering",Kraftvärmeprod!$B$1:$BX$1,0),FALSE)</f>
        <v>0</v>
      </c>
      <c r="AT33" s="32" t="str">
        <f t="shared" si="3"/>
        <v/>
      </c>
      <c r="AV33" s="31">
        <f t="shared" si="4"/>
        <v>0</v>
      </c>
      <c r="AX33" s="31" t="str">
        <f>VLOOKUP(B33,Totalt!$B$1:$BZ$554,MATCH(AX$1,Totalt!$B$1:$BZ$1,0),FALSE)</f>
        <v>Ja</v>
      </c>
      <c r="BA33" s="32" t="str">
        <f t="shared" si="5"/>
        <v/>
      </c>
    </row>
    <row r="34" spans="1:53" x14ac:dyDescent="0.45">
      <c r="A34" s="31" t="s">
        <v>651</v>
      </c>
      <c r="B34" s="31" t="s">
        <v>62</v>
      </c>
      <c r="J34" s="31">
        <v>0</v>
      </c>
      <c r="K34" s="31">
        <v>0</v>
      </c>
      <c r="L34" s="31">
        <v>0</v>
      </c>
      <c r="M34" s="31">
        <v>0</v>
      </c>
      <c r="N34" s="31">
        <v>0</v>
      </c>
      <c r="O34" s="31">
        <v>0</v>
      </c>
      <c r="P34" s="31">
        <v>0</v>
      </c>
      <c r="Q34" s="31">
        <v>0</v>
      </c>
      <c r="R34" s="31">
        <v>0</v>
      </c>
      <c r="S34" s="31">
        <v>0</v>
      </c>
      <c r="T34" s="31">
        <v>0</v>
      </c>
      <c r="U34" s="31">
        <v>0</v>
      </c>
      <c r="W34" s="31">
        <v>0</v>
      </c>
      <c r="X34" s="31">
        <v>0</v>
      </c>
      <c r="Y34" s="31">
        <v>0</v>
      </c>
      <c r="Z34" s="31">
        <v>3.9540000000000002</v>
      </c>
      <c r="AA34" s="31">
        <v>0</v>
      </c>
      <c r="AB34" s="31">
        <v>0</v>
      </c>
      <c r="AC34" s="31">
        <v>0</v>
      </c>
      <c r="AD34" s="31">
        <v>0</v>
      </c>
      <c r="AE34" s="31">
        <v>225.024</v>
      </c>
      <c r="AF34" s="31">
        <v>0</v>
      </c>
      <c r="AG34" s="31">
        <v>0</v>
      </c>
      <c r="AH34" s="31">
        <v>23.7</v>
      </c>
      <c r="AI34" s="31">
        <v>6.0611800000000002</v>
      </c>
      <c r="AL34" s="31">
        <f t="shared" si="0"/>
        <v>258.73917999999998</v>
      </c>
      <c r="AM34" s="31">
        <f t="shared" si="1"/>
        <v>252.67799999999997</v>
      </c>
      <c r="AN34" s="31">
        <f t="shared" si="2"/>
        <v>228.97799999999998</v>
      </c>
      <c r="AP34" s="31">
        <f>VLOOKUP($B34,Kraftvärmeprod!$B$1:$BX$549,MATCH(AP$1,Kraftvärmeprod!$B$1:$BX$1,0),FALSE)</f>
        <v>277</v>
      </c>
      <c r="AQ34" s="31">
        <f>VLOOKUP($B34,Kraftvärmeprod!$B$1:$BX$549,MATCH(AQ$1,Kraftvärmeprod!$B$1:$BX$1,0),FALSE)</f>
        <v>55</v>
      </c>
      <c r="AR34" s="31">
        <f>VLOOKUP($B34,Kraftvärmeprod!$B$1:$BX$549,MATCH("Summa tillförd energi exklusive rökgaskondensering",Kraftvärmeprod!$B$1:$BX$1,0),FALSE)</f>
        <v>374</v>
      </c>
      <c r="AT34" s="32">
        <f t="shared" si="3"/>
        <v>0.61224064171122994</v>
      </c>
      <c r="AV34" s="31">
        <f t="shared" si="4"/>
        <v>3.9540000000000002</v>
      </c>
      <c r="AX34" s="31" t="str">
        <f>VLOOKUP(B34,Totalt!$B$1:$BZ$554,MATCH(AX$1,Totalt!$B$1:$BZ$1,0),FALSE)</f>
        <v>Ja</v>
      </c>
      <c r="BA34" s="32">
        <f t="shared" si="5"/>
        <v>1.1785269162358378</v>
      </c>
    </row>
    <row r="35" spans="1:53" x14ac:dyDescent="0.45">
      <c r="A35" s="31" t="s">
        <v>647</v>
      </c>
      <c r="B35" s="31" t="s">
        <v>650</v>
      </c>
      <c r="J35" s="31">
        <v>0</v>
      </c>
      <c r="K35" s="31">
        <v>0</v>
      </c>
      <c r="L35" s="31">
        <v>0</v>
      </c>
      <c r="M35" s="31">
        <v>0</v>
      </c>
      <c r="N35" s="31">
        <v>0</v>
      </c>
      <c r="O35" s="31">
        <v>0</v>
      </c>
      <c r="P35" s="31">
        <v>0</v>
      </c>
      <c r="Q35" s="31">
        <v>0</v>
      </c>
      <c r="R35" s="31">
        <v>0</v>
      </c>
      <c r="S35" s="31">
        <v>0</v>
      </c>
      <c r="T35" s="31">
        <v>0</v>
      </c>
      <c r="U35" s="31">
        <v>0</v>
      </c>
      <c r="W35" s="31">
        <v>0</v>
      </c>
      <c r="X35" s="31">
        <v>0</v>
      </c>
      <c r="Y35" s="31">
        <v>0</v>
      </c>
      <c r="Z35" s="31">
        <v>0</v>
      </c>
      <c r="AA35" s="31">
        <v>0</v>
      </c>
      <c r="AB35" s="31">
        <v>0</v>
      </c>
      <c r="AC35" s="31">
        <v>0</v>
      </c>
      <c r="AD35" s="31">
        <v>0</v>
      </c>
      <c r="AE35" s="31">
        <v>0</v>
      </c>
      <c r="AF35" s="31">
        <v>0</v>
      </c>
      <c r="AG35" s="31">
        <v>0</v>
      </c>
      <c r="AH35" s="31">
        <v>0</v>
      </c>
      <c r="AI35" s="31">
        <v>0</v>
      </c>
      <c r="AL35" s="31">
        <f t="shared" si="0"/>
        <v>0</v>
      </c>
      <c r="AM35" s="31">
        <f t="shared" si="1"/>
        <v>0</v>
      </c>
      <c r="AN35" s="31">
        <f t="shared" si="2"/>
        <v>0</v>
      </c>
      <c r="AP35" s="31">
        <f>VLOOKUP($B35,Kraftvärmeprod!$B$1:$BX$549,MATCH(AP$1,Kraftvärmeprod!$B$1:$BX$1,0),FALSE)</f>
        <v>0</v>
      </c>
      <c r="AQ35" s="31">
        <f>VLOOKUP($B35,Kraftvärmeprod!$B$1:$BX$549,MATCH(AQ$1,Kraftvärmeprod!$B$1:$BX$1,0),FALSE)</f>
        <v>0</v>
      </c>
      <c r="AR35" s="31">
        <f>VLOOKUP($B35,Kraftvärmeprod!$B$1:$BX$549,MATCH("Summa tillförd energi exklusive rökgaskondensering",Kraftvärmeprod!$B$1:$BX$1,0),FALSE)</f>
        <v>0</v>
      </c>
      <c r="AT35" s="32" t="str">
        <f t="shared" si="3"/>
        <v/>
      </c>
      <c r="AV35" s="31">
        <f t="shared" si="4"/>
        <v>0</v>
      </c>
      <c r="AX35" s="31" t="str">
        <f>VLOOKUP(B35,Totalt!$B$1:$BZ$554,MATCH(AX$1,Totalt!$B$1:$BZ$1,0),FALSE)</f>
        <v>Ja</v>
      </c>
      <c r="BA35" s="32" t="str">
        <f t="shared" si="5"/>
        <v/>
      </c>
    </row>
    <row r="36" spans="1:53" x14ac:dyDescent="0.45">
      <c r="A36" s="31" t="s">
        <v>647</v>
      </c>
      <c r="B36" s="31" t="s">
        <v>649</v>
      </c>
      <c r="J36" s="31">
        <v>0</v>
      </c>
      <c r="K36" s="31">
        <v>0.43197600000000003</v>
      </c>
      <c r="L36" s="31">
        <v>0</v>
      </c>
      <c r="M36" s="31">
        <v>0</v>
      </c>
      <c r="N36" s="31">
        <v>0</v>
      </c>
      <c r="O36" s="31">
        <v>0</v>
      </c>
      <c r="P36" s="31">
        <v>0</v>
      </c>
      <c r="Q36" s="31">
        <v>1.3876500000000001</v>
      </c>
      <c r="R36" s="31">
        <v>0</v>
      </c>
      <c r="S36" s="31">
        <v>0</v>
      </c>
      <c r="T36" s="31">
        <v>0</v>
      </c>
      <c r="U36" s="31">
        <v>0</v>
      </c>
      <c r="W36" s="31">
        <v>0</v>
      </c>
      <c r="X36" s="31">
        <v>0</v>
      </c>
      <c r="Y36" s="31">
        <v>0</v>
      </c>
      <c r="Z36" s="31">
        <v>2.8601399999999999</v>
      </c>
      <c r="AA36" s="31">
        <v>0</v>
      </c>
      <c r="AB36" s="31">
        <v>0</v>
      </c>
      <c r="AC36" s="31">
        <v>0</v>
      </c>
      <c r="AD36" s="31">
        <v>0</v>
      </c>
      <c r="AE36" s="31">
        <v>89.754099999999994</v>
      </c>
      <c r="AF36" s="31">
        <v>0</v>
      </c>
      <c r="AG36" s="31">
        <v>0</v>
      </c>
      <c r="AH36" s="31">
        <v>12.31</v>
      </c>
      <c r="AI36" s="31">
        <v>4.35642</v>
      </c>
      <c r="AL36" s="31">
        <f t="shared" si="0"/>
        <v>111.100286</v>
      </c>
      <c r="AM36" s="31">
        <f t="shared" si="1"/>
        <v>106.743866</v>
      </c>
      <c r="AN36" s="31">
        <f t="shared" si="2"/>
        <v>94.433865999999995</v>
      </c>
      <c r="AP36" s="31">
        <f>VLOOKUP($B36,Kraftvärmeprod!$B$1:$BX$549,MATCH(AP$1,Kraftvärmeprod!$B$1:$BX$1,0),FALSE)</f>
        <v>130.65</v>
      </c>
      <c r="AQ36" s="31">
        <f>VLOOKUP($B36,Kraftvärmeprod!$B$1:$BX$549,MATCH(AQ$1,Kraftvärmeprod!$B$1:$BX$1,0),FALSE)</f>
        <v>32.6</v>
      </c>
      <c r="AR36" s="31">
        <f>VLOOKUP($B36,Kraftvärmeprod!$B$1:$BX$549,MATCH("Summa tillförd energi exklusive rökgaskondensering",Kraftvärmeprod!$B$1:$BX$1,0),FALSE)</f>
        <v>169.07999999999998</v>
      </c>
      <c r="AT36" s="32">
        <f t="shared" si="3"/>
        <v>0.55851588597113799</v>
      </c>
      <c r="AV36" s="31">
        <f t="shared" si="4"/>
        <v>4.2477900000000002</v>
      </c>
      <c r="AX36" s="31" t="str">
        <f>VLOOKUP(B36,Totalt!$B$1:$BZ$554,MATCH(AX$1,Totalt!$B$1:$BZ$1,0),FALSE)</f>
        <v>Ja</v>
      </c>
      <c r="BA36" s="32">
        <f t="shared" si="5"/>
        <v>1.3224984488859564</v>
      </c>
    </row>
    <row r="37" spans="1:53" x14ac:dyDescent="0.45">
      <c r="A37" s="31" t="s">
        <v>647</v>
      </c>
      <c r="B37" s="31" t="s">
        <v>646</v>
      </c>
      <c r="J37" s="31">
        <v>0</v>
      </c>
      <c r="K37" s="31">
        <v>0</v>
      </c>
      <c r="L37" s="31">
        <v>0</v>
      </c>
      <c r="M37" s="31">
        <v>0</v>
      </c>
      <c r="N37" s="31">
        <v>0</v>
      </c>
      <c r="O37" s="31">
        <v>0</v>
      </c>
      <c r="P37" s="31">
        <v>0</v>
      </c>
      <c r="Q37" s="31">
        <v>0</v>
      </c>
      <c r="R37" s="31">
        <v>0</v>
      </c>
      <c r="S37" s="31">
        <v>0</v>
      </c>
      <c r="T37" s="31">
        <v>0</v>
      </c>
      <c r="U37" s="31">
        <v>0</v>
      </c>
      <c r="W37" s="31">
        <v>0</v>
      </c>
      <c r="X37" s="31">
        <v>0</v>
      </c>
      <c r="Y37" s="31">
        <v>0</v>
      </c>
      <c r="Z37" s="31">
        <v>0</v>
      </c>
      <c r="AA37" s="31">
        <v>0</v>
      </c>
      <c r="AB37" s="31">
        <v>0</v>
      </c>
      <c r="AC37" s="31">
        <v>0</v>
      </c>
      <c r="AD37" s="31">
        <v>0</v>
      </c>
      <c r="AE37" s="31">
        <v>0</v>
      </c>
      <c r="AF37" s="31">
        <v>0</v>
      </c>
      <c r="AG37" s="31">
        <v>0</v>
      </c>
      <c r="AH37" s="31">
        <v>0</v>
      </c>
      <c r="AI37" s="31">
        <v>0</v>
      </c>
      <c r="AL37" s="31">
        <f t="shared" si="0"/>
        <v>0</v>
      </c>
      <c r="AM37" s="31">
        <f t="shared" si="1"/>
        <v>0</v>
      </c>
      <c r="AN37" s="31">
        <f t="shared" si="2"/>
        <v>0</v>
      </c>
      <c r="AP37" s="31">
        <f>VLOOKUP($B37,Kraftvärmeprod!$B$1:$BX$549,MATCH(AP$1,Kraftvärmeprod!$B$1:$BX$1,0),FALSE)</f>
        <v>0</v>
      </c>
      <c r="AQ37" s="31">
        <f>VLOOKUP($B37,Kraftvärmeprod!$B$1:$BX$549,MATCH(AQ$1,Kraftvärmeprod!$B$1:$BX$1,0),FALSE)</f>
        <v>0</v>
      </c>
      <c r="AR37" s="31">
        <f>VLOOKUP($B37,Kraftvärmeprod!$B$1:$BX$549,MATCH("Summa tillförd energi exklusive rökgaskondensering",Kraftvärmeprod!$B$1:$BX$1,0),FALSE)</f>
        <v>0</v>
      </c>
      <c r="AT37" s="32" t="str">
        <f t="shared" si="3"/>
        <v/>
      </c>
      <c r="AV37" s="31">
        <f t="shared" si="4"/>
        <v>0</v>
      </c>
      <c r="AX37" s="31" t="str">
        <f>VLOOKUP(B37,Totalt!$B$1:$BZ$554,MATCH(AX$1,Totalt!$B$1:$BZ$1,0),FALSE)</f>
        <v>Ja</v>
      </c>
      <c r="BA37" s="32" t="str">
        <f t="shared" si="5"/>
        <v/>
      </c>
    </row>
    <row r="38" spans="1:53" x14ac:dyDescent="0.45">
      <c r="A38" s="31" t="s">
        <v>644</v>
      </c>
      <c r="B38" s="31" t="s">
        <v>645</v>
      </c>
      <c r="J38" s="31">
        <v>0</v>
      </c>
      <c r="K38" s="31">
        <v>0</v>
      </c>
      <c r="L38" s="31">
        <v>0</v>
      </c>
      <c r="M38" s="31">
        <v>0</v>
      </c>
      <c r="N38" s="31">
        <v>0</v>
      </c>
      <c r="O38" s="31">
        <v>0</v>
      </c>
      <c r="P38" s="31">
        <v>0</v>
      </c>
      <c r="Q38" s="31">
        <v>0</v>
      </c>
      <c r="R38" s="31">
        <v>0</v>
      </c>
      <c r="S38" s="31">
        <v>0</v>
      </c>
      <c r="T38" s="31">
        <v>0</v>
      </c>
      <c r="U38" s="31">
        <v>0</v>
      </c>
      <c r="W38" s="31">
        <v>0</v>
      </c>
      <c r="X38" s="31">
        <v>0</v>
      </c>
      <c r="Y38" s="31">
        <v>0</v>
      </c>
      <c r="Z38" s="31">
        <v>0</v>
      </c>
      <c r="AA38" s="31">
        <v>0</v>
      </c>
      <c r="AB38" s="31">
        <v>0</v>
      </c>
      <c r="AC38" s="31">
        <v>0</v>
      </c>
      <c r="AD38" s="31">
        <v>0</v>
      </c>
      <c r="AE38" s="31">
        <v>0</v>
      </c>
      <c r="AF38" s="31">
        <v>0</v>
      </c>
      <c r="AG38" s="31">
        <v>0</v>
      </c>
      <c r="AH38" s="31">
        <v>0</v>
      </c>
      <c r="AI38" s="31">
        <v>0</v>
      </c>
      <c r="AL38" s="31">
        <f t="shared" si="0"/>
        <v>0</v>
      </c>
      <c r="AM38" s="31">
        <f t="shared" si="1"/>
        <v>0</v>
      </c>
      <c r="AN38" s="31">
        <f t="shared" si="2"/>
        <v>0</v>
      </c>
      <c r="AP38" s="31">
        <f>VLOOKUP($B38,Kraftvärmeprod!$B$1:$BX$549,MATCH(AP$1,Kraftvärmeprod!$B$1:$BX$1,0),FALSE)</f>
        <v>0</v>
      </c>
      <c r="AQ38" s="31">
        <f>VLOOKUP($B38,Kraftvärmeprod!$B$1:$BX$549,MATCH(AQ$1,Kraftvärmeprod!$B$1:$BX$1,0),FALSE)</f>
        <v>0</v>
      </c>
      <c r="AR38" s="31">
        <f>VLOOKUP($B38,Kraftvärmeprod!$B$1:$BX$549,MATCH("Summa tillförd energi exklusive rökgaskondensering",Kraftvärmeprod!$B$1:$BX$1,0),FALSE)</f>
        <v>0</v>
      </c>
      <c r="AT38" s="32" t="str">
        <f t="shared" si="3"/>
        <v/>
      </c>
      <c r="AV38" s="31">
        <f t="shared" si="4"/>
        <v>0</v>
      </c>
      <c r="AX38" s="31" t="str">
        <f>VLOOKUP(B38,Totalt!$B$1:$BZ$554,MATCH(AX$1,Totalt!$B$1:$BZ$1,0),FALSE)</f>
        <v>Ja</v>
      </c>
      <c r="BA38" s="32" t="str">
        <f t="shared" si="5"/>
        <v/>
      </c>
    </row>
    <row r="39" spans="1:53" x14ac:dyDescent="0.45">
      <c r="A39" s="31" t="s">
        <v>644</v>
      </c>
      <c r="B39" s="31" t="s">
        <v>643</v>
      </c>
      <c r="J39" s="31">
        <v>0</v>
      </c>
      <c r="K39" s="31">
        <v>0</v>
      </c>
      <c r="L39" s="31">
        <v>0</v>
      </c>
      <c r="M39" s="31">
        <v>0</v>
      </c>
      <c r="N39" s="31">
        <v>0</v>
      </c>
      <c r="O39" s="31">
        <v>0</v>
      </c>
      <c r="P39" s="31">
        <v>0</v>
      </c>
      <c r="Q39" s="31">
        <v>0</v>
      </c>
      <c r="R39" s="31">
        <v>0</v>
      </c>
      <c r="S39" s="31">
        <v>0</v>
      </c>
      <c r="T39" s="31">
        <v>0</v>
      </c>
      <c r="U39" s="31">
        <v>0</v>
      </c>
      <c r="W39" s="31">
        <v>0</v>
      </c>
      <c r="X39" s="31">
        <v>0</v>
      </c>
      <c r="Y39" s="31">
        <v>0</v>
      </c>
      <c r="Z39" s="31">
        <v>0</v>
      </c>
      <c r="AA39" s="31">
        <v>0</v>
      </c>
      <c r="AB39" s="31">
        <v>0</v>
      </c>
      <c r="AC39" s="31">
        <v>0</v>
      </c>
      <c r="AD39" s="31">
        <v>0</v>
      </c>
      <c r="AE39" s="31">
        <v>0</v>
      </c>
      <c r="AF39" s="31">
        <v>0</v>
      </c>
      <c r="AG39" s="31">
        <v>0</v>
      </c>
      <c r="AH39" s="31">
        <v>0</v>
      </c>
      <c r="AI39" s="31">
        <v>0</v>
      </c>
      <c r="AL39" s="31">
        <f t="shared" si="0"/>
        <v>0</v>
      </c>
      <c r="AM39" s="31">
        <f t="shared" si="1"/>
        <v>0</v>
      </c>
      <c r="AN39" s="31">
        <f t="shared" si="2"/>
        <v>0</v>
      </c>
      <c r="AP39" s="31">
        <f>VLOOKUP($B39,Kraftvärmeprod!$B$1:$BX$549,MATCH(AP$1,Kraftvärmeprod!$B$1:$BX$1,0),FALSE)</f>
        <v>0</v>
      </c>
      <c r="AQ39" s="31">
        <f>VLOOKUP($B39,Kraftvärmeprod!$B$1:$BX$549,MATCH(AQ$1,Kraftvärmeprod!$B$1:$BX$1,0),FALSE)</f>
        <v>0</v>
      </c>
      <c r="AR39" s="31">
        <f>VLOOKUP($B39,Kraftvärmeprod!$B$1:$BX$549,MATCH("Summa tillförd energi exklusive rökgaskondensering",Kraftvärmeprod!$B$1:$BX$1,0),FALSE)</f>
        <v>0</v>
      </c>
      <c r="AT39" s="32" t="str">
        <f t="shared" si="3"/>
        <v/>
      </c>
      <c r="AV39" s="31">
        <f t="shared" si="4"/>
        <v>0</v>
      </c>
      <c r="AX39" s="31" t="str">
        <f>VLOOKUP(B39,Totalt!$B$1:$BZ$554,MATCH(AX$1,Totalt!$B$1:$BZ$1,0),FALSE)</f>
        <v>Ja</v>
      </c>
      <c r="BA39" s="32" t="str">
        <f t="shared" si="5"/>
        <v/>
      </c>
    </row>
    <row r="40" spans="1:53" x14ac:dyDescent="0.45">
      <c r="A40" s="31" t="s">
        <v>640</v>
      </c>
      <c r="B40" s="31" t="s">
        <v>642</v>
      </c>
      <c r="J40" s="31">
        <v>0</v>
      </c>
      <c r="K40" s="31">
        <v>0</v>
      </c>
      <c r="L40" s="31">
        <v>0</v>
      </c>
      <c r="M40" s="31">
        <v>0</v>
      </c>
      <c r="N40" s="31">
        <v>0</v>
      </c>
      <c r="O40" s="31">
        <v>0</v>
      </c>
      <c r="P40" s="31">
        <v>0</v>
      </c>
      <c r="Q40" s="31">
        <v>0</v>
      </c>
      <c r="R40" s="31">
        <v>0</v>
      </c>
      <c r="S40" s="31">
        <v>0</v>
      </c>
      <c r="T40" s="31">
        <v>0</v>
      </c>
      <c r="U40" s="31">
        <v>0</v>
      </c>
      <c r="W40" s="31">
        <v>0</v>
      </c>
      <c r="X40" s="31">
        <v>0</v>
      </c>
      <c r="Y40" s="31">
        <v>0</v>
      </c>
      <c r="Z40" s="31">
        <v>3.5079199999999999</v>
      </c>
      <c r="AA40" s="31">
        <v>0</v>
      </c>
      <c r="AB40" s="31">
        <v>8.02171E-2</v>
      </c>
      <c r="AC40" s="31">
        <v>0</v>
      </c>
      <c r="AD40" s="31">
        <v>0</v>
      </c>
      <c r="AE40" s="31">
        <v>143.49</v>
      </c>
      <c r="AF40" s="31">
        <v>0</v>
      </c>
      <c r="AG40" s="31">
        <v>0</v>
      </c>
      <c r="AH40" s="31">
        <v>0</v>
      </c>
      <c r="AI40" s="31">
        <v>3.9514</v>
      </c>
      <c r="AL40" s="31">
        <f t="shared" si="0"/>
        <v>151.02953710000003</v>
      </c>
      <c r="AM40" s="31">
        <f t="shared" si="1"/>
        <v>147.07813710000002</v>
      </c>
      <c r="AN40" s="31">
        <f t="shared" si="2"/>
        <v>147.07813710000002</v>
      </c>
      <c r="AP40" s="31">
        <f>VLOOKUP($B40,Kraftvärmeprod!$B$1:$BX$549,MATCH(AP$1,Kraftvärmeprod!$B$1:$BX$1,0),FALSE)</f>
        <v>184.54900000000001</v>
      </c>
      <c r="AQ40" s="31">
        <f>VLOOKUP($B40,Kraftvärmeprod!$B$1:$BX$549,MATCH(AQ$1,Kraftvärmeprod!$B$1:$BX$1,0),FALSE)</f>
        <v>40.698999999999998</v>
      </c>
      <c r="AR40" s="31">
        <f>VLOOKUP($B40,Kraftvärmeprod!$B$1:$BX$549,MATCH("Summa tillförd energi exklusive rökgaskondensering",Kraftvärmeprod!$B$1:$BX$1,0),FALSE)</f>
        <v>250.39099999999999</v>
      </c>
      <c r="AT40" s="32">
        <f t="shared" si="3"/>
        <v>0.58739386439608465</v>
      </c>
      <c r="AV40" s="31">
        <f t="shared" si="4"/>
        <v>3.5881371</v>
      </c>
      <c r="AX40" s="31" t="str">
        <f>VLOOKUP(B40,Totalt!$B$1:$BZ$554,MATCH(AX$1,Totalt!$B$1:$BZ$1,0),FALSE)</f>
        <v>Ja</v>
      </c>
      <c r="BA40" s="32">
        <f t="shared" si="5"/>
        <v>1.221939784386719</v>
      </c>
    </row>
    <row r="41" spans="1:53" x14ac:dyDescent="0.45">
      <c r="A41" s="31" t="s">
        <v>640</v>
      </c>
      <c r="B41" s="31" t="s">
        <v>641</v>
      </c>
      <c r="J41" s="31">
        <v>0</v>
      </c>
      <c r="K41" s="31">
        <v>0</v>
      </c>
      <c r="L41" s="31">
        <v>0</v>
      </c>
      <c r="M41" s="31">
        <v>0</v>
      </c>
      <c r="N41" s="31">
        <v>0</v>
      </c>
      <c r="O41" s="31">
        <v>0</v>
      </c>
      <c r="P41" s="31">
        <v>0</v>
      </c>
      <c r="Q41" s="31">
        <v>0</v>
      </c>
      <c r="R41" s="31">
        <v>0</v>
      </c>
      <c r="S41" s="31">
        <v>0</v>
      </c>
      <c r="T41" s="31">
        <v>0</v>
      </c>
      <c r="U41" s="31">
        <v>0</v>
      </c>
      <c r="W41" s="31">
        <v>0</v>
      </c>
      <c r="X41" s="31">
        <v>0</v>
      </c>
      <c r="Y41" s="31">
        <v>0</v>
      </c>
      <c r="Z41" s="31">
        <v>0</v>
      </c>
      <c r="AA41" s="31">
        <v>0</v>
      </c>
      <c r="AB41" s="31">
        <v>0</v>
      </c>
      <c r="AC41" s="31">
        <v>0</v>
      </c>
      <c r="AD41" s="31">
        <v>0</v>
      </c>
      <c r="AE41" s="31">
        <v>0</v>
      </c>
      <c r="AF41" s="31">
        <v>0</v>
      </c>
      <c r="AG41" s="31">
        <v>0</v>
      </c>
      <c r="AH41" s="31">
        <v>0</v>
      </c>
      <c r="AI41" s="31">
        <v>0</v>
      </c>
      <c r="AL41" s="31">
        <f t="shared" si="0"/>
        <v>0</v>
      </c>
      <c r="AM41" s="31">
        <f t="shared" si="1"/>
        <v>0</v>
      </c>
      <c r="AN41" s="31">
        <f t="shared" si="2"/>
        <v>0</v>
      </c>
      <c r="AP41" s="31">
        <f>VLOOKUP($B41,Kraftvärmeprod!$B$1:$BX$549,MATCH(AP$1,Kraftvärmeprod!$B$1:$BX$1,0),FALSE)</f>
        <v>0</v>
      </c>
      <c r="AQ41" s="31">
        <f>VLOOKUP($B41,Kraftvärmeprod!$B$1:$BX$549,MATCH(AQ$1,Kraftvärmeprod!$B$1:$BX$1,0),FALSE)</f>
        <v>0</v>
      </c>
      <c r="AR41" s="31">
        <f>VLOOKUP($B41,Kraftvärmeprod!$B$1:$BX$549,MATCH("Summa tillförd energi exklusive rökgaskondensering",Kraftvärmeprod!$B$1:$BX$1,0),FALSE)</f>
        <v>0</v>
      </c>
      <c r="AT41" s="32" t="str">
        <f t="shared" si="3"/>
        <v/>
      </c>
      <c r="AV41" s="31">
        <f t="shared" si="4"/>
        <v>0</v>
      </c>
      <c r="AX41" s="31" t="str">
        <f>VLOOKUP(B41,Totalt!$B$1:$BZ$554,MATCH(AX$1,Totalt!$B$1:$BZ$1,0),FALSE)</f>
        <v>Ja</v>
      </c>
      <c r="BA41" s="32" t="str">
        <f t="shared" si="5"/>
        <v/>
      </c>
    </row>
    <row r="42" spans="1:53" x14ac:dyDescent="0.45">
      <c r="A42" s="31" t="s">
        <v>640</v>
      </c>
      <c r="B42" s="31" t="s">
        <v>639</v>
      </c>
      <c r="J42" s="31">
        <v>0</v>
      </c>
      <c r="K42" s="31">
        <v>0</v>
      </c>
      <c r="L42" s="31">
        <v>0</v>
      </c>
      <c r="M42" s="31">
        <v>0</v>
      </c>
      <c r="N42" s="31">
        <v>0</v>
      </c>
      <c r="O42" s="31">
        <v>0</v>
      </c>
      <c r="P42" s="31">
        <v>0</v>
      </c>
      <c r="Q42" s="31">
        <v>0</v>
      </c>
      <c r="R42" s="31">
        <v>0</v>
      </c>
      <c r="S42" s="31">
        <v>0</v>
      </c>
      <c r="T42" s="31">
        <v>0</v>
      </c>
      <c r="U42" s="31">
        <v>0</v>
      </c>
      <c r="W42" s="31">
        <v>0</v>
      </c>
      <c r="X42" s="31">
        <v>0</v>
      </c>
      <c r="Y42" s="31">
        <v>0</v>
      </c>
      <c r="Z42" s="31">
        <v>0</v>
      </c>
      <c r="AA42" s="31">
        <v>0</v>
      </c>
      <c r="AB42" s="31">
        <v>0</v>
      </c>
      <c r="AC42" s="31">
        <v>0</v>
      </c>
      <c r="AD42" s="31">
        <v>0</v>
      </c>
      <c r="AE42" s="31">
        <v>0</v>
      </c>
      <c r="AF42" s="31">
        <v>0</v>
      </c>
      <c r="AG42" s="31">
        <v>0</v>
      </c>
      <c r="AH42" s="31">
        <v>0</v>
      </c>
      <c r="AI42" s="31">
        <v>0</v>
      </c>
      <c r="AL42" s="31">
        <f t="shared" si="0"/>
        <v>0</v>
      </c>
      <c r="AM42" s="31">
        <f t="shared" si="1"/>
        <v>0</v>
      </c>
      <c r="AN42" s="31">
        <f t="shared" si="2"/>
        <v>0</v>
      </c>
      <c r="AP42" s="31">
        <f>VLOOKUP($B42,Kraftvärmeprod!$B$1:$BX$549,MATCH(AP$1,Kraftvärmeprod!$B$1:$BX$1,0),FALSE)</f>
        <v>0</v>
      </c>
      <c r="AQ42" s="31">
        <f>VLOOKUP($B42,Kraftvärmeprod!$B$1:$BX$549,MATCH(AQ$1,Kraftvärmeprod!$B$1:$BX$1,0),FALSE)</f>
        <v>0</v>
      </c>
      <c r="AR42" s="31">
        <f>VLOOKUP($B42,Kraftvärmeprod!$B$1:$BX$549,MATCH("Summa tillförd energi exklusive rökgaskondensering",Kraftvärmeprod!$B$1:$BX$1,0),FALSE)</f>
        <v>0</v>
      </c>
      <c r="AT42" s="32" t="str">
        <f t="shared" si="3"/>
        <v/>
      </c>
      <c r="AV42" s="31">
        <f t="shared" si="4"/>
        <v>0</v>
      </c>
      <c r="AX42" s="31" t="str">
        <f>VLOOKUP(B42,Totalt!$B$1:$BZ$554,MATCH(AX$1,Totalt!$B$1:$BZ$1,0),FALSE)</f>
        <v>Ja</v>
      </c>
      <c r="BA42" s="32" t="str">
        <f t="shared" si="5"/>
        <v/>
      </c>
    </row>
    <row r="43" spans="1:53" x14ac:dyDescent="0.45">
      <c r="A43" s="31" t="s">
        <v>637</v>
      </c>
      <c r="B43" s="31" t="s">
        <v>638</v>
      </c>
      <c r="J43" s="31">
        <v>0</v>
      </c>
      <c r="K43" s="31">
        <v>0</v>
      </c>
      <c r="L43" s="31">
        <v>0</v>
      </c>
      <c r="M43" s="31">
        <v>0</v>
      </c>
      <c r="N43" s="31">
        <v>0</v>
      </c>
      <c r="O43" s="31">
        <v>0</v>
      </c>
      <c r="P43" s="31">
        <v>225.76300000000001</v>
      </c>
      <c r="Q43" s="31">
        <v>51.212299999999999</v>
      </c>
      <c r="R43" s="31">
        <v>0</v>
      </c>
      <c r="S43" s="31">
        <v>14.494899999999999</v>
      </c>
      <c r="T43" s="31">
        <v>0</v>
      </c>
      <c r="U43" s="31">
        <v>14.9716</v>
      </c>
      <c r="W43" s="31">
        <v>0</v>
      </c>
      <c r="X43" s="31">
        <v>1.1077699999999999</v>
      </c>
      <c r="Y43" s="31">
        <v>0</v>
      </c>
      <c r="Z43" s="31">
        <v>0</v>
      </c>
      <c r="AA43" s="31">
        <v>0</v>
      </c>
      <c r="AB43" s="31">
        <v>0</v>
      </c>
      <c r="AC43" s="31">
        <v>44.451599999999999</v>
      </c>
      <c r="AD43" s="31">
        <v>0</v>
      </c>
      <c r="AE43" s="31">
        <v>194.31700000000001</v>
      </c>
      <c r="AF43" s="31">
        <v>0</v>
      </c>
      <c r="AG43" s="31">
        <v>0</v>
      </c>
      <c r="AH43" s="31">
        <v>79.97</v>
      </c>
      <c r="AI43" s="31">
        <v>17.886199999999999</v>
      </c>
      <c r="AL43" s="31">
        <f t="shared" si="0"/>
        <v>644.17437000000007</v>
      </c>
      <c r="AM43" s="31">
        <f t="shared" si="1"/>
        <v>626.28817000000004</v>
      </c>
      <c r="AN43" s="31">
        <f t="shared" si="2"/>
        <v>546.31817000000001</v>
      </c>
      <c r="AP43" s="31">
        <f>VLOOKUP($B43,Kraftvärmeprod!$B$1:$BX$549,MATCH(AP$1,Kraftvärmeprod!$B$1:$BX$1,0),FALSE)</f>
        <v>587.99199999999996</v>
      </c>
      <c r="AQ43" s="31">
        <f>VLOOKUP($B43,Kraftvärmeprod!$B$1:$BX$549,MATCH(AQ$1,Kraftvärmeprod!$B$1:$BX$1,0),FALSE)</f>
        <v>110.44</v>
      </c>
      <c r="AR43" s="31">
        <f>VLOOKUP($B43,Kraftvärmeprod!$B$1:$BX$549,MATCH("Summa tillförd energi exklusive rökgaskondensering",Kraftvärmeprod!$B$1:$BX$1,0),FALSE)</f>
        <v>835.41</v>
      </c>
      <c r="AT43" s="32">
        <f t="shared" si="3"/>
        <v>0.65395215522916894</v>
      </c>
      <c r="AV43" s="31">
        <f t="shared" si="4"/>
        <v>352.00117</v>
      </c>
      <c r="AX43" s="31" t="str">
        <f>VLOOKUP(B43,Totalt!$B$1:$BZ$554,MATCH(AX$1,Totalt!$B$1:$BZ$1,0),FALSE)</f>
        <v>Ja</v>
      </c>
      <c r="BA43" s="32">
        <f t="shared" si="5"/>
        <v>1.0421613714193669</v>
      </c>
    </row>
    <row r="44" spans="1:53" x14ac:dyDescent="0.45">
      <c r="A44" s="31" t="s">
        <v>637</v>
      </c>
      <c r="B44" s="31" t="s">
        <v>636</v>
      </c>
      <c r="J44" s="31">
        <v>0</v>
      </c>
      <c r="K44" s="31">
        <v>0</v>
      </c>
      <c r="L44" s="31">
        <v>0</v>
      </c>
      <c r="M44" s="31">
        <v>0</v>
      </c>
      <c r="N44" s="31">
        <v>0</v>
      </c>
      <c r="O44" s="31">
        <v>0</v>
      </c>
      <c r="P44" s="31">
        <v>0</v>
      </c>
      <c r="Q44" s="31">
        <v>0</v>
      </c>
      <c r="R44" s="31">
        <v>0</v>
      </c>
      <c r="S44" s="31">
        <v>0</v>
      </c>
      <c r="T44" s="31">
        <v>0</v>
      </c>
      <c r="U44" s="31">
        <v>0</v>
      </c>
      <c r="W44" s="31">
        <v>0</v>
      </c>
      <c r="X44" s="31">
        <v>0</v>
      </c>
      <c r="Y44" s="31">
        <v>0</v>
      </c>
      <c r="Z44" s="31">
        <v>0</v>
      </c>
      <c r="AA44" s="31">
        <v>0</v>
      </c>
      <c r="AB44" s="31">
        <v>0</v>
      </c>
      <c r="AC44" s="31">
        <v>0</v>
      </c>
      <c r="AD44" s="31">
        <v>0</v>
      </c>
      <c r="AE44" s="31">
        <v>0</v>
      </c>
      <c r="AF44" s="31">
        <v>0</v>
      </c>
      <c r="AG44" s="31">
        <v>0</v>
      </c>
      <c r="AH44" s="31">
        <v>0</v>
      </c>
      <c r="AI44" s="31">
        <v>0</v>
      </c>
      <c r="AL44" s="31">
        <f t="shared" si="0"/>
        <v>0</v>
      </c>
      <c r="AM44" s="31">
        <f t="shared" si="1"/>
        <v>0</v>
      </c>
      <c r="AN44" s="31">
        <f t="shared" si="2"/>
        <v>0</v>
      </c>
      <c r="AP44" s="31">
        <f>VLOOKUP($B44,Kraftvärmeprod!$B$1:$BX$549,MATCH(AP$1,Kraftvärmeprod!$B$1:$BX$1,0),FALSE)</f>
        <v>0</v>
      </c>
      <c r="AQ44" s="31">
        <f>VLOOKUP($B44,Kraftvärmeprod!$B$1:$BX$549,MATCH(AQ$1,Kraftvärmeprod!$B$1:$BX$1,0),FALSE)</f>
        <v>0</v>
      </c>
      <c r="AR44" s="31">
        <f>VLOOKUP($B44,Kraftvärmeprod!$B$1:$BX$549,MATCH("Summa tillförd energi exklusive rökgaskondensering",Kraftvärmeprod!$B$1:$BX$1,0),FALSE)</f>
        <v>0</v>
      </c>
      <c r="AT44" s="32" t="str">
        <f t="shared" si="3"/>
        <v/>
      </c>
      <c r="AV44" s="31">
        <f t="shared" si="4"/>
        <v>0</v>
      </c>
      <c r="AX44" s="31" t="str">
        <f>VLOOKUP(B44,Totalt!$B$1:$BZ$554,MATCH(AX$1,Totalt!$B$1:$BZ$1,0),FALSE)</f>
        <v>Ja</v>
      </c>
      <c r="BA44" s="32" t="str">
        <f t="shared" si="5"/>
        <v/>
      </c>
    </row>
    <row r="45" spans="1:53" x14ac:dyDescent="0.45">
      <c r="A45" s="31" t="s">
        <v>635</v>
      </c>
      <c r="B45" s="31" t="s">
        <v>634</v>
      </c>
      <c r="J45" s="31">
        <v>0</v>
      </c>
      <c r="K45" s="31">
        <v>0</v>
      </c>
      <c r="L45" s="31">
        <v>0</v>
      </c>
      <c r="M45" s="31">
        <v>0</v>
      </c>
      <c r="N45" s="31">
        <v>0</v>
      </c>
      <c r="O45" s="31">
        <v>0</v>
      </c>
      <c r="P45" s="31">
        <v>0</v>
      </c>
      <c r="Q45" s="31">
        <v>0</v>
      </c>
      <c r="R45" s="31">
        <v>0</v>
      </c>
      <c r="S45" s="31">
        <v>0</v>
      </c>
      <c r="T45" s="31">
        <v>0</v>
      </c>
      <c r="U45" s="31">
        <v>0</v>
      </c>
      <c r="W45" s="31">
        <v>0</v>
      </c>
      <c r="X45" s="31">
        <v>0</v>
      </c>
      <c r="Y45" s="31">
        <v>0</v>
      </c>
      <c r="Z45" s="31">
        <v>0</v>
      </c>
      <c r="AA45" s="31">
        <v>0</v>
      </c>
      <c r="AB45" s="31">
        <v>0</v>
      </c>
      <c r="AC45" s="31">
        <v>0</v>
      </c>
      <c r="AD45" s="31">
        <v>0</v>
      </c>
      <c r="AE45" s="31">
        <v>0</v>
      </c>
      <c r="AF45" s="31">
        <v>0</v>
      </c>
      <c r="AG45" s="31">
        <v>0</v>
      </c>
      <c r="AH45" s="31">
        <v>0</v>
      </c>
      <c r="AI45" s="31">
        <v>0</v>
      </c>
      <c r="AL45" s="31">
        <f t="shared" si="0"/>
        <v>0</v>
      </c>
      <c r="AM45" s="31">
        <f t="shared" si="1"/>
        <v>0</v>
      </c>
      <c r="AN45" s="31">
        <f t="shared" si="2"/>
        <v>0</v>
      </c>
      <c r="AP45" s="31">
        <f>VLOOKUP($B45,Kraftvärmeprod!$B$1:$BX$549,MATCH(AP$1,Kraftvärmeprod!$B$1:$BX$1,0),FALSE)</f>
        <v>0</v>
      </c>
      <c r="AQ45" s="31">
        <f>VLOOKUP($B45,Kraftvärmeprod!$B$1:$BX$549,MATCH(AQ$1,Kraftvärmeprod!$B$1:$BX$1,0),FALSE)</f>
        <v>0</v>
      </c>
      <c r="AR45" s="31">
        <f>VLOOKUP($B45,Kraftvärmeprod!$B$1:$BX$549,MATCH("Summa tillförd energi exklusive rökgaskondensering",Kraftvärmeprod!$B$1:$BX$1,0),FALSE)</f>
        <v>0</v>
      </c>
      <c r="AT45" s="32" t="str">
        <f t="shared" si="3"/>
        <v/>
      </c>
      <c r="AV45" s="31">
        <f t="shared" si="4"/>
        <v>0</v>
      </c>
      <c r="AX45" s="31" t="str">
        <f>VLOOKUP(B45,Totalt!$B$1:$BZ$554,MATCH(AX$1,Totalt!$B$1:$BZ$1,0),FALSE)</f>
        <v>Ja</v>
      </c>
      <c r="BA45" s="32" t="str">
        <f t="shared" si="5"/>
        <v/>
      </c>
    </row>
    <row r="46" spans="1:53" x14ac:dyDescent="0.45">
      <c r="A46" s="31" t="s">
        <v>633</v>
      </c>
      <c r="B46" s="31" t="s">
        <v>65</v>
      </c>
      <c r="J46" s="31">
        <v>0</v>
      </c>
      <c r="K46" s="31">
        <v>0</v>
      </c>
      <c r="L46" s="31">
        <v>0</v>
      </c>
      <c r="M46" s="31">
        <v>0</v>
      </c>
      <c r="N46" s="31">
        <v>0</v>
      </c>
      <c r="O46" s="31">
        <v>0</v>
      </c>
      <c r="P46" s="31">
        <v>0</v>
      </c>
      <c r="Q46" s="31">
        <v>0</v>
      </c>
      <c r="R46" s="31">
        <v>0</v>
      </c>
      <c r="S46" s="31">
        <v>0</v>
      </c>
      <c r="T46" s="31">
        <v>0</v>
      </c>
      <c r="U46" s="31">
        <v>0</v>
      </c>
      <c r="W46" s="31">
        <v>0</v>
      </c>
      <c r="X46" s="31">
        <v>0</v>
      </c>
      <c r="Y46" s="31">
        <v>0</v>
      </c>
      <c r="Z46" s="31">
        <v>0</v>
      </c>
      <c r="AA46" s="31">
        <v>0</v>
      </c>
      <c r="AB46" s="31">
        <v>0</v>
      </c>
      <c r="AC46" s="31">
        <v>0</v>
      </c>
      <c r="AD46" s="31">
        <v>0</v>
      </c>
      <c r="AE46" s="31">
        <v>0</v>
      </c>
      <c r="AF46" s="31">
        <v>0</v>
      </c>
      <c r="AG46" s="31">
        <v>0</v>
      </c>
      <c r="AH46" s="31">
        <v>0</v>
      </c>
      <c r="AI46" s="31">
        <v>0</v>
      </c>
      <c r="AL46" s="31">
        <f t="shared" si="0"/>
        <v>0</v>
      </c>
      <c r="AM46" s="31">
        <f t="shared" si="1"/>
        <v>0</v>
      </c>
      <c r="AN46" s="31">
        <f t="shared" si="2"/>
        <v>0</v>
      </c>
      <c r="AP46" s="31">
        <f>VLOOKUP($B46,Kraftvärmeprod!$B$1:$BX$549,MATCH(AP$1,Kraftvärmeprod!$B$1:$BX$1,0),FALSE)</f>
        <v>0</v>
      </c>
      <c r="AQ46" s="31">
        <f>VLOOKUP($B46,Kraftvärmeprod!$B$1:$BX$549,MATCH(AQ$1,Kraftvärmeprod!$B$1:$BX$1,0),FALSE)</f>
        <v>0</v>
      </c>
      <c r="AR46" s="31">
        <f>VLOOKUP($B46,Kraftvärmeprod!$B$1:$BX$549,MATCH("Summa tillförd energi exklusive rökgaskondensering",Kraftvärmeprod!$B$1:$BX$1,0),FALSE)</f>
        <v>0</v>
      </c>
      <c r="AT46" s="32" t="str">
        <f t="shared" si="3"/>
        <v/>
      </c>
      <c r="AV46" s="31">
        <f t="shared" si="4"/>
        <v>0</v>
      </c>
      <c r="AX46" s="31" t="str">
        <f>VLOOKUP(B46,Totalt!$B$1:$BZ$554,MATCH(AX$1,Totalt!$B$1:$BZ$1,0),FALSE)</f>
        <v>Ja</v>
      </c>
      <c r="BA46" s="32" t="str">
        <f t="shared" si="5"/>
        <v/>
      </c>
    </row>
    <row r="47" spans="1:53" x14ac:dyDescent="0.45">
      <c r="A47" s="31" t="s">
        <v>631</v>
      </c>
      <c r="B47" s="31" t="s">
        <v>632</v>
      </c>
      <c r="J47" s="31">
        <v>0</v>
      </c>
      <c r="K47" s="31">
        <v>0</v>
      </c>
      <c r="L47" s="31">
        <v>0</v>
      </c>
      <c r="M47" s="31">
        <v>0</v>
      </c>
      <c r="N47" s="31">
        <v>0</v>
      </c>
      <c r="O47" s="31">
        <v>0</v>
      </c>
      <c r="P47" s="31">
        <v>0</v>
      </c>
      <c r="Q47" s="31">
        <v>0</v>
      </c>
      <c r="R47" s="31">
        <v>0</v>
      </c>
      <c r="S47" s="31">
        <v>0</v>
      </c>
      <c r="T47" s="31">
        <v>0</v>
      </c>
      <c r="U47" s="31">
        <v>0</v>
      </c>
      <c r="W47" s="31">
        <v>0</v>
      </c>
      <c r="X47" s="31">
        <v>0</v>
      </c>
      <c r="Y47" s="31">
        <v>0</v>
      </c>
      <c r="Z47" s="31">
        <v>0</v>
      </c>
      <c r="AA47" s="31">
        <v>0</v>
      </c>
      <c r="AB47" s="31">
        <v>0</v>
      </c>
      <c r="AC47" s="31">
        <v>0</v>
      </c>
      <c r="AD47" s="31">
        <v>0</v>
      </c>
      <c r="AE47" s="31">
        <v>0</v>
      </c>
      <c r="AF47" s="31">
        <v>0</v>
      </c>
      <c r="AG47" s="31">
        <v>0</v>
      </c>
      <c r="AH47" s="31">
        <v>0</v>
      </c>
      <c r="AI47" s="31">
        <v>0</v>
      </c>
      <c r="AL47" s="31">
        <f t="shared" si="0"/>
        <v>0</v>
      </c>
      <c r="AM47" s="31">
        <f t="shared" si="1"/>
        <v>0</v>
      </c>
      <c r="AN47" s="31">
        <f t="shared" si="2"/>
        <v>0</v>
      </c>
      <c r="AP47" s="31">
        <f>VLOOKUP($B47,Kraftvärmeprod!$B$1:$BX$549,MATCH(AP$1,Kraftvärmeprod!$B$1:$BX$1,0),FALSE)</f>
        <v>0</v>
      </c>
      <c r="AQ47" s="31">
        <f>VLOOKUP($B47,Kraftvärmeprod!$B$1:$BX$549,MATCH(AQ$1,Kraftvärmeprod!$B$1:$BX$1,0),FALSE)</f>
        <v>0</v>
      </c>
      <c r="AR47" s="31">
        <f>VLOOKUP($B47,Kraftvärmeprod!$B$1:$BX$549,MATCH("Summa tillförd energi exklusive rökgaskondensering",Kraftvärmeprod!$B$1:$BX$1,0),FALSE)</f>
        <v>0</v>
      </c>
      <c r="AT47" s="32" t="str">
        <f t="shared" si="3"/>
        <v/>
      </c>
      <c r="AV47" s="31">
        <f t="shared" si="4"/>
        <v>0</v>
      </c>
      <c r="AX47" s="31" t="str">
        <f>VLOOKUP(B47,Totalt!$B$1:$BZ$554,MATCH(AX$1,Totalt!$B$1:$BZ$1,0),FALSE)</f>
        <v>Ja</v>
      </c>
      <c r="BA47" s="32" t="str">
        <f t="shared" si="5"/>
        <v/>
      </c>
    </row>
    <row r="48" spans="1:53" x14ac:dyDescent="0.45">
      <c r="A48" s="31" t="s">
        <v>631</v>
      </c>
      <c r="B48" s="31" t="s">
        <v>630</v>
      </c>
      <c r="J48" s="31">
        <v>0</v>
      </c>
      <c r="K48" s="31">
        <v>0.103084</v>
      </c>
      <c r="L48" s="31">
        <v>0</v>
      </c>
      <c r="M48" s="31">
        <v>0</v>
      </c>
      <c r="N48" s="31">
        <v>0</v>
      </c>
      <c r="O48" s="31">
        <v>0</v>
      </c>
      <c r="P48" s="31">
        <v>187.34299999999999</v>
      </c>
      <c r="Q48" s="31">
        <v>24.4909</v>
      </c>
      <c r="R48" s="31">
        <v>31.7301</v>
      </c>
      <c r="S48" s="31">
        <v>0</v>
      </c>
      <c r="T48" s="31">
        <v>0</v>
      </c>
      <c r="U48" s="31">
        <v>0.28106100000000001</v>
      </c>
      <c r="W48" s="31">
        <v>0</v>
      </c>
      <c r="X48" s="31">
        <v>0</v>
      </c>
      <c r="Y48" s="31">
        <v>0</v>
      </c>
      <c r="Z48" s="31">
        <v>0</v>
      </c>
      <c r="AA48" s="31">
        <v>0</v>
      </c>
      <c r="AB48" s="31">
        <v>0</v>
      </c>
      <c r="AC48" s="31">
        <v>0</v>
      </c>
      <c r="AD48" s="31">
        <v>0</v>
      </c>
      <c r="AE48" s="31">
        <v>0</v>
      </c>
      <c r="AF48" s="31">
        <v>13.1182</v>
      </c>
      <c r="AG48" s="31">
        <v>0</v>
      </c>
      <c r="AH48" s="31">
        <v>80.335999999999999</v>
      </c>
      <c r="AI48" s="31">
        <v>9.8351100000000002</v>
      </c>
      <c r="AL48" s="31">
        <f t="shared" si="0"/>
        <v>347.23745499999995</v>
      </c>
      <c r="AM48" s="31">
        <f t="shared" si="1"/>
        <v>337.40234499999997</v>
      </c>
      <c r="AN48" s="31">
        <f t="shared" si="2"/>
        <v>257.06634499999996</v>
      </c>
      <c r="AP48" s="31">
        <f>VLOOKUP($B48,Kraftvärmeprod!$B$1:$BX$549,MATCH(AP$1,Kraftvärmeprod!$B$1:$BX$1,0),FALSE)</f>
        <v>314.59800000000001</v>
      </c>
      <c r="AQ48" s="31">
        <f>VLOOKUP($B48,Kraftvärmeprod!$B$1:$BX$549,MATCH(AQ$1,Kraftvärmeprod!$B$1:$BX$1,0),FALSE)</f>
        <v>85.875</v>
      </c>
      <c r="AR48" s="31">
        <f>VLOOKUP($B48,Kraftvärmeprod!$B$1:$BX$549,MATCH("Summa tillförd energi exklusive rökgaskondensering",Kraftvärmeprod!$B$1:$BX$1,0),FALSE)</f>
        <v>438.77200000000005</v>
      </c>
      <c r="AT48" s="32">
        <f t="shared" si="3"/>
        <v>0.5858768221308559</v>
      </c>
      <c r="AV48" s="31">
        <f t="shared" si="4"/>
        <v>243.84506099999999</v>
      </c>
      <c r="AX48" s="31" t="str">
        <f>VLOOKUP(B48,Totalt!$B$1:$BZ$554,MATCH(AX$1,Totalt!$B$1:$BZ$1,0),FALSE)</f>
        <v>Ja</v>
      </c>
      <c r="BA48" s="32">
        <f t="shared" si="5"/>
        <v>1.1787047020781511</v>
      </c>
    </row>
    <row r="49" spans="1:53" x14ac:dyDescent="0.45">
      <c r="A49" s="31" t="s">
        <v>628</v>
      </c>
      <c r="B49" s="31" t="s">
        <v>629</v>
      </c>
      <c r="J49" s="31">
        <v>0</v>
      </c>
      <c r="K49" s="31">
        <v>0</v>
      </c>
      <c r="L49" s="31">
        <v>0</v>
      </c>
      <c r="M49" s="31">
        <v>0</v>
      </c>
      <c r="N49" s="31">
        <v>0</v>
      </c>
      <c r="O49" s="31">
        <v>0</v>
      </c>
      <c r="P49" s="31">
        <v>0</v>
      </c>
      <c r="Q49" s="31">
        <v>0</v>
      </c>
      <c r="R49" s="31">
        <v>0</v>
      </c>
      <c r="S49" s="31">
        <v>0</v>
      </c>
      <c r="T49" s="31">
        <v>0</v>
      </c>
      <c r="U49" s="31">
        <v>0</v>
      </c>
      <c r="W49" s="31">
        <v>0</v>
      </c>
      <c r="X49" s="31">
        <v>0</v>
      </c>
      <c r="Y49" s="31">
        <v>0</v>
      </c>
      <c r="Z49" s="31">
        <v>0</v>
      </c>
      <c r="AA49" s="31">
        <v>0</v>
      </c>
      <c r="AB49" s="31">
        <v>0</v>
      </c>
      <c r="AC49" s="31">
        <v>0</v>
      </c>
      <c r="AD49" s="31">
        <v>0</v>
      </c>
      <c r="AE49" s="31">
        <v>0</v>
      </c>
      <c r="AF49" s="31">
        <v>0</v>
      </c>
      <c r="AG49" s="31">
        <v>0</v>
      </c>
      <c r="AH49" s="31">
        <v>0</v>
      </c>
      <c r="AI49" s="31">
        <v>0</v>
      </c>
      <c r="AL49" s="31">
        <f t="shared" si="0"/>
        <v>0</v>
      </c>
      <c r="AM49" s="31">
        <f t="shared" si="1"/>
        <v>0</v>
      </c>
      <c r="AN49" s="31">
        <f t="shared" si="2"/>
        <v>0</v>
      </c>
      <c r="AP49" s="31">
        <f>VLOOKUP($B49,Kraftvärmeprod!$B$1:$BX$549,MATCH(AP$1,Kraftvärmeprod!$B$1:$BX$1,0),FALSE)</f>
        <v>0</v>
      </c>
      <c r="AQ49" s="31">
        <f>VLOOKUP($B49,Kraftvärmeprod!$B$1:$BX$549,MATCH(AQ$1,Kraftvärmeprod!$B$1:$BX$1,0),FALSE)</f>
        <v>0</v>
      </c>
      <c r="AR49" s="31">
        <f>VLOOKUP($B49,Kraftvärmeprod!$B$1:$BX$549,MATCH("Summa tillförd energi exklusive rökgaskondensering",Kraftvärmeprod!$B$1:$BX$1,0),FALSE)</f>
        <v>0</v>
      </c>
      <c r="AT49" s="32" t="str">
        <f t="shared" si="3"/>
        <v/>
      </c>
      <c r="AV49" s="31">
        <f t="shared" si="4"/>
        <v>0</v>
      </c>
      <c r="AX49" s="31" t="str">
        <f>VLOOKUP(B49,Totalt!$B$1:$BZ$554,MATCH(AX$1,Totalt!$B$1:$BZ$1,0),FALSE)</f>
        <v>Ja</v>
      </c>
      <c r="BA49" s="32" t="str">
        <f t="shared" si="5"/>
        <v/>
      </c>
    </row>
    <row r="50" spans="1:53" x14ac:dyDescent="0.45">
      <c r="A50" s="31" t="s">
        <v>628</v>
      </c>
      <c r="B50" s="31" t="s">
        <v>627</v>
      </c>
      <c r="J50" s="31">
        <v>0</v>
      </c>
      <c r="K50" s="31">
        <v>0</v>
      </c>
      <c r="L50" s="31">
        <v>0</v>
      </c>
      <c r="M50" s="31">
        <v>0</v>
      </c>
      <c r="N50" s="31">
        <v>0</v>
      </c>
      <c r="O50" s="31">
        <v>0</v>
      </c>
      <c r="P50" s="31">
        <v>0</v>
      </c>
      <c r="Q50" s="31">
        <v>0</v>
      </c>
      <c r="R50" s="31">
        <v>0</v>
      </c>
      <c r="S50" s="31">
        <v>0</v>
      </c>
      <c r="T50" s="31">
        <v>0</v>
      </c>
      <c r="U50" s="31">
        <v>0</v>
      </c>
      <c r="W50" s="31">
        <v>0</v>
      </c>
      <c r="X50" s="31">
        <v>0</v>
      </c>
      <c r="Y50" s="31">
        <v>0</v>
      </c>
      <c r="Z50" s="31">
        <v>0</v>
      </c>
      <c r="AA50" s="31">
        <v>0</v>
      </c>
      <c r="AB50" s="31">
        <v>0</v>
      </c>
      <c r="AC50" s="31">
        <v>0</v>
      </c>
      <c r="AD50" s="31">
        <v>0</v>
      </c>
      <c r="AE50" s="31">
        <v>0</v>
      </c>
      <c r="AF50" s="31">
        <v>0</v>
      </c>
      <c r="AG50" s="31">
        <v>0</v>
      </c>
      <c r="AH50" s="31">
        <v>0</v>
      </c>
      <c r="AI50" s="31">
        <v>0</v>
      </c>
      <c r="AL50" s="31">
        <f t="shared" si="0"/>
        <v>0</v>
      </c>
      <c r="AM50" s="31">
        <f t="shared" si="1"/>
        <v>0</v>
      </c>
      <c r="AN50" s="31">
        <f t="shared" si="2"/>
        <v>0</v>
      </c>
      <c r="AP50" s="31">
        <f>VLOOKUP($B50,Kraftvärmeprod!$B$1:$BX$549,MATCH(AP$1,Kraftvärmeprod!$B$1:$BX$1,0),FALSE)</f>
        <v>0</v>
      </c>
      <c r="AQ50" s="31">
        <f>VLOOKUP($B50,Kraftvärmeprod!$B$1:$BX$549,MATCH(AQ$1,Kraftvärmeprod!$B$1:$BX$1,0),FALSE)</f>
        <v>0</v>
      </c>
      <c r="AR50" s="31">
        <f>VLOOKUP($B50,Kraftvärmeprod!$B$1:$BX$549,MATCH("Summa tillförd energi exklusive rökgaskondensering",Kraftvärmeprod!$B$1:$BX$1,0),FALSE)</f>
        <v>0</v>
      </c>
      <c r="AT50" s="32" t="str">
        <f t="shared" si="3"/>
        <v/>
      </c>
      <c r="AV50" s="31">
        <f t="shared" si="4"/>
        <v>0</v>
      </c>
      <c r="AX50" s="31" t="str">
        <f>VLOOKUP(B50,Totalt!$B$1:$BZ$554,MATCH(AX$1,Totalt!$B$1:$BZ$1,0),FALSE)</f>
        <v>Ja</v>
      </c>
      <c r="BA50" s="32" t="str">
        <f t="shared" si="5"/>
        <v/>
      </c>
    </row>
    <row r="51" spans="1:53" x14ac:dyDescent="0.45">
      <c r="A51" s="31" t="s">
        <v>623</v>
      </c>
      <c r="B51" s="31" t="s">
        <v>626</v>
      </c>
      <c r="J51" s="31">
        <v>0</v>
      </c>
      <c r="K51" s="31">
        <v>0</v>
      </c>
      <c r="L51" s="31">
        <v>0</v>
      </c>
      <c r="M51" s="31">
        <v>0</v>
      </c>
      <c r="N51" s="31">
        <v>0</v>
      </c>
      <c r="O51" s="31">
        <v>0</v>
      </c>
      <c r="P51" s="31">
        <v>0</v>
      </c>
      <c r="Q51" s="31">
        <v>0</v>
      </c>
      <c r="R51" s="31">
        <v>0</v>
      </c>
      <c r="S51" s="31">
        <v>0</v>
      </c>
      <c r="T51" s="31">
        <v>0</v>
      </c>
      <c r="U51" s="31">
        <v>0</v>
      </c>
      <c r="W51" s="31">
        <v>0</v>
      </c>
      <c r="X51" s="31">
        <v>0</v>
      </c>
      <c r="Y51" s="31">
        <v>0</v>
      </c>
      <c r="Z51" s="31">
        <v>0</v>
      </c>
      <c r="AA51" s="31">
        <v>0</v>
      </c>
      <c r="AB51" s="31">
        <v>0</v>
      </c>
      <c r="AC51" s="31">
        <v>0</v>
      </c>
      <c r="AD51" s="31">
        <v>0</v>
      </c>
      <c r="AE51" s="31">
        <v>0</v>
      </c>
      <c r="AF51" s="31">
        <v>0</v>
      </c>
      <c r="AG51" s="31">
        <v>0</v>
      </c>
      <c r="AH51" s="31">
        <v>0</v>
      </c>
      <c r="AI51" s="31">
        <v>0</v>
      </c>
      <c r="AL51" s="31">
        <f t="shared" si="0"/>
        <v>0</v>
      </c>
      <c r="AM51" s="31">
        <f t="shared" si="1"/>
        <v>0</v>
      </c>
      <c r="AN51" s="31">
        <f t="shared" si="2"/>
        <v>0</v>
      </c>
      <c r="AP51" s="31">
        <f>VLOOKUP($B51,Kraftvärmeprod!$B$1:$BX$549,MATCH(AP$1,Kraftvärmeprod!$B$1:$BX$1,0),FALSE)</f>
        <v>0</v>
      </c>
      <c r="AQ51" s="31">
        <f>VLOOKUP($B51,Kraftvärmeprod!$B$1:$BX$549,MATCH(AQ$1,Kraftvärmeprod!$B$1:$BX$1,0),FALSE)</f>
        <v>0</v>
      </c>
      <c r="AR51" s="31">
        <f>VLOOKUP($B51,Kraftvärmeprod!$B$1:$BX$549,MATCH("Summa tillförd energi exklusive rökgaskondensering",Kraftvärmeprod!$B$1:$BX$1,0),FALSE)</f>
        <v>0</v>
      </c>
      <c r="AT51" s="32" t="str">
        <f t="shared" si="3"/>
        <v/>
      </c>
      <c r="AV51" s="31">
        <f t="shared" si="4"/>
        <v>0</v>
      </c>
      <c r="AX51" s="31" t="str">
        <f>VLOOKUP(B51,Totalt!$B$1:$BZ$554,MATCH(AX$1,Totalt!$B$1:$BZ$1,0),FALSE)</f>
        <v>Ja</v>
      </c>
      <c r="BA51" s="32" t="str">
        <f t="shared" si="5"/>
        <v/>
      </c>
    </row>
    <row r="52" spans="1:53" x14ac:dyDescent="0.45">
      <c r="A52" s="31" t="s">
        <v>623</v>
      </c>
      <c r="B52" s="31" t="s">
        <v>625</v>
      </c>
      <c r="J52" s="31">
        <v>0</v>
      </c>
      <c r="K52" s="31">
        <v>0</v>
      </c>
      <c r="L52" s="31">
        <v>0</v>
      </c>
      <c r="M52" s="31">
        <v>0</v>
      </c>
      <c r="N52" s="31">
        <v>0</v>
      </c>
      <c r="O52" s="31">
        <v>0</v>
      </c>
      <c r="P52" s="31">
        <v>0</v>
      </c>
      <c r="Q52" s="31">
        <v>0</v>
      </c>
      <c r="R52" s="31">
        <v>0</v>
      </c>
      <c r="S52" s="31">
        <v>0</v>
      </c>
      <c r="T52" s="31">
        <v>0</v>
      </c>
      <c r="U52" s="31">
        <v>0</v>
      </c>
      <c r="W52" s="31">
        <v>0</v>
      </c>
      <c r="X52" s="31">
        <v>0</v>
      </c>
      <c r="Y52" s="31">
        <v>0</v>
      </c>
      <c r="Z52" s="31">
        <v>0</v>
      </c>
      <c r="AA52" s="31">
        <v>0</v>
      </c>
      <c r="AB52" s="31">
        <v>0</v>
      </c>
      <c r="AC52" s="31">
        <v>0</v>
      </c>
      <c r="AD52" s="31">
        <v>0</v>
      </c>
      <c r="AE52" s="31">
        <v>0</v>
      </c>
      <c r="AF52" s="31">
        <v>0</v>
      </c>
      <c r="AG52" s="31">
        <v>0</v>
      </c>
      <c r="AH52" s="31">
        <v>0</v>
      </c>
      <c r="AI52" s="31">
        <v>0</v>
      </c>
      <c r="AL52" s="31">
        <f t="shared" si="0"/>
        <v>0</v>
      </c>
      <c r="AM52" s="31">
        <f t="shared" si="1"/>
        <v>0</v>
      </c>
      <c r="AN52" s="31">
        <f t="shared" si="2"/>
        <v>0</v>
      </c>
      <c r="AP52" s="31">
        <f>VLOOKUP($B52,Kraftvärmeprod!$B$1:$BX$549,MATCH(AP$1,Kraftvärmeprod!$B$1:$BX$1,0),FALSE)</f>
        <v>0</v>
      </c>
      <c r="AQ52" s="31">
        <f>VLOOKUP($B52,Kraftvärmeprod!$B$1:$BX$549,MATCH(AQ$1,Kraftvärmeprod!$B$1:$BX$1,0),FALSE)</f>
        <v>0</v>
      </c>
      <c r="AR52" s="31">
        <f>VLOOKUP($B52,Kraftvärmeprod!$B$1:$BX$549,MATCH("Summa tillförd energi exklusive rökgaskondensering",Kraftvärmeprod!$B$1:$BX$1,0),FALSE)</f>
        <v>0</v>
      </c>
      <c r="AT52" s="32" t="str">
        <f t="shared" si="3"/>
        <v/>
      </c>
      <c r="AV52" s="31">
        <f t="shared" si="4"/>
        <v>0</v>
      </c>
      <c r="AX52" s="31" t="str">
        <f>VLOOKUP(B52,Totalt!$B$1:$BZ$554,MATCH(AX$1,Totalt!$B$1:$BZ$1,0),FALSE)</f>
        <v>Nej</v>
      </c>
      <c r="BA52" s="32" t="str">
        <f t="shared" si="5"/>
        <v/>
      </c>
    </row>
    <row r="53" spans="1:53" x14ac:dyDescent="0.45">
      <c r="A53" s="31" t="s">
        <v>623</v>
      </c>
      <c r="B53" s="31" t="s">
        <v>624</v>
      </c>
      <c r="J53" s="31">
        <v>0</v>
      </c>
      <c r="K53" s="31">
        <v>0</v>
      </c>
      <c r="L53" s="31">
        <v>0</v>
      </c>
      <c r="M53" s="31">
        <v>0</v>
      </c>
      <c r="N53" s="31">
        <v>0</v>
      </c>
      <c r="O53" s="31">
        <v>0</v>
      </c>
      <c r="P53" s="31">
        <v>0</v>
      </c>
      <c r="Q53" s="31">
        <v>0</v>
      </c>
      <c r="R53" s="31">
        <v>0</v>
      </c>
      <c r="S53" s="31">
        <v>0</v>
      </c>
      <c r="T53" s="31">
        <v>0</v>
      </c>
      <c r="U53" s="31">
        <v>0</v>
      </c>
      <c r="W53" s="31">
        <v>0</v>
      </c>
      <c r="X53" s="31">
        <v>0</v>
      </c>
      <c r="Y53" s="31">
        <v>0</v>
      </c>
      <c r="Z53" s="31">
        <v>0</v>
      </c>
      <c r="AA53" s="31">
        <v>0</v>
      </c>
      <c r="AB53" s="31">
        <v>0</v>
      </c>
      <c r="AC53" s="31">
        <v>0</v>
      </c>
      <c r="AD53" s="31">
        <v>0</v>
      </c>
      <c r="AE53" s="31">
        <v>0</v>
      </c>
      <c r="AF53" s="31">
        <v>0</v>
      </c>
      <c r="AG53" s="31">
        <v>0</v>
      </c>
      <c r="AH53" s="31">
        <v>0</v>
      </c>
      <c r="AI53" s="31">
        <v>0</v>
      </c>
      <c r="AL53" s="31">
        <f t="shared" si="0"/>
        <v>0</v>
      </c>
      <c r="AM53" s="31">
        <f t="shared" si="1"/>
        <v>0</v>
      </c>
      <c r="AN53" s="31">
        <f t="shared" si="2"/>
        <v>0</v>
      </c>
      <c r="AP53" s="31">
        <f>VLOOKUP($B53,Kraftvärmeprod!$B$1:$BX$549,MATCH(AP$1,Kraftvärmeprod!$B$1:$BX$1,0),FALSE)</f>
        <v>0</v>
      </c>
      <c r="AQ53" s="31">
        <f>VLOOKUP($B53,Kraftvärmeprod!$B$1:$BX$549,MATCH(AQ$1,Kraftvärmeprod!$B$1:$BX$1,0),FALSE)</f>
        <v>0</v>
      </c>
      <c r="AR53" s="31">
        <f>VLOOKUP($B53,Kraftvärmeprod!$B$1:$BX$549,MATCH("Summa tillförd energi exklusive rökgaskondensering",Kraftvärmeprod!$B$1:$BX$1,0),FALSE)</f>
        <v>0</v>
      </c>
      <c r="AT53" s="32" t="str">
        <f t="shared" si="3"/>
        <v/>
      </c>
      <c r="AV53" s="31">
        <f t="shared" si="4"/>
        <v>0</v>
      </c>
      <c r="AX53" s="31" t="str">
        <f>VLOOKUP(B53,Totalt!$B$1:$BZ$554,MATCH(AX$1,Totalt!$B$1:$BZ$1,0),FALSE)</f>
        <v>Ja</v>
      </c>
      <c r="BA53" s="32" t="str">
        <f t="shared" si="5"/>
        <v/>
      </c>
    </row>
    <row r="54" spans="1:53" x14ac:dyDescent="0.45">
      <c r="A54" s="31" t="s">
        <v>623</v>
      </c>
      <c r="B54" s="31" t="s">
        <v>622</v>
      </c>
      <c r="J54" s="31">
        <v>0</v>
      </c>
      <c r="K54" s="31">
        <v>0</v>
      </c>
      <c r="L54" s="31">
        <v>0</v>
      </c>
      <c r="M54" s="31">
        <v>0</v>
      </c>
      <c r="N54" s="31">
        <v>0</v>
      </c>
      <c r="O54" s="31">
        <v>0</v>
      </c>
      <c r="P54" s="31">
        <v>0</v>
      </c>
      <c r="Q54" s="31">
        <v>0</v>
      </c>
      <c r="R54" s="31">
        <v>0</v>
      </c>
      <c r="S54" s="31">
        <v>0</v>
      </c>
      <c r="T54" s="31">
        <v>0</v>
      </c>
      <c r="U54" s="31">
        <v>0</v>
      </c>
      <c r="W54" s="31">
        <v>0</v>
      </c>
      <c r="X54" s="31">
        <v>0</v>
      </c>
      <c r="Y54" s="31">
        <v>0</v>
      </c>
      <c r="Z54" s="31">
        <v>0</v>
      </c>
      <c r="AA54" s="31">
        <v>0</v>
      </c>
      <c r="AB54" s="31">
        <v>0</v>
      </c>
      <c r="AC54" s="31">
        <v>0</v>
      </c>
      <c r="AD54" s="31">
        <v>0</v>
      </c>
      <c r="AE54" s="31">
        <v>0</v>
      </c>
      <c r="AF54" s="31">
        <v>0</v>
      </c>
      <c r="AG54" s="31">
        <v>0</v>
      </c>
      <c r="AH54" s="31">
        <v>0</v>
      </c>
      <c r="AI54" s="31">
        <v>0</v>
      </c>
      <c r="AL54" s="31">
        <f t="shared" si="0"/>
        <v>0</v>
      </c>
      <c r="AM54" s="31">
        <f t="shared" si="1"/>
        <v>0</v>
      </c>
      <c r="AN54" s="31">
        <f t="shared" si="2"/>
        <v>0</v>
      </c>
      <c r="AP54" s="31">
        <f>VLOOKUP($B54,Kraftvärmeprod!$B$1:$BX$549,MATCH(AP$1,Kraftvärmeprod!$B$1:$BX$1,0),FALSE)</f>
        <v>0</v>
      </c>
      <c r="AQ54" s="31">
        <f>VLOOKUP($B54,Kraftvärmeprod!$B$1:$BX$549,MATCH(AQ$1,Kraftvärmeprod!$B$1:$BX$1,0),FALSE)</f>
        <v>0</v>
      </c>
      <c r="AR54" s="31">
        <f>VLOOKUP($B54,Kraftvärmeprod!$B$1:$BX$549,MATCH("Summa tillförd energi exklusive rökgaskondensering",Kraftvärmeprod!$B$1:$BX$1,0),FALSE)</f>
        <v>0</v>
      </c>
      <c r="AT54" s="32" t="str">
        <f t="shared" si="3"/>
        <v/>
      </c>
      <c r="AV54" s="31">
        <f t="shared" si="4"/>
        <v>0</v>
      </c>
      <c r="AX54" s="31" t="str">
        <f>VLOOKUP(B54,Totalt!$B$1:$BZ$554,MATCH(AX$1,Totalt!$B$1:$BZ$1,0),FALSE)</f>
        <v>Ja</v>
      </c>
      <c r="BA54" s="32" t="str">
        <f t="shared" si="5"/>
        <v/>
      </c>
    </row>
    <row r="55" spans="1:53" x14ac:dyDescent="0.45">
      <c r="A55" s="31" t="s">
        <v>610</v>
      </c>
      <c r="B55" s="31" t="s">
        <v>613</v>
      </c>
      <c r="J55" s="31">
        <v>28.180499999999999</v>
      </c>
      <c r="K55" s="31">
        <v>9.0617400000000004</v>
      </c>
      <c r="L55" s="31">
        <v>0</v>
      </c>
      <c r="M55" s="31">
        <v>0</v>
      </c>
      <c r="N55" s="31">
        <v>0</v>
      </c>
      <c r="O55" s="31">
        <v>0</v>
      </c>
      <c r="P55" s="31">
        <v>31.051500000000001</v>
      </c>
      <c r="Q55" s="31">
        <v>0</v>
      </c>
      <c r="R55" s="31">
        <v>0</v>
      </c>
      <c r="S55" s="31">
        <v>0</v>
      </c>
      <c r="T55" s="31">
        <v>0</v>
      </c>
      <c r="U55" s="31">
        <v>0</v>
      </c>
      <c r="W55" s="31">
        <v>0</v>
      </c>
      <c r="X55" s="31">
        <v>0</v>
      </c>
      <c r="Y55" s="31">
        <v>0</v>
      </c>
      <c r="Z55" s="31">
        <v>43.002200000000002</v>
      </c>
      <c r="AA55" s="31">
        <v>0</v>
      </c>
      <c r="AB55" s="31">
        <v>0</v>
      </c>
      <c r="AC55" s="31">
        <v>0</v>
      </c>
      <c r="AD55" s="31">
        <v>0</v>
      </c>
      <c r="AE55" s="31">
        <v>560.60900000000004</v>
      </c>
      <c r="AF55" s="31">
        <v>0</v>
      </c>
      <c r="AG55" s="31">
        <v>0</v>
      </c>
      <c r="AH55" s="31">
        <v>69.599999999999994</v>
      </c>
      <c r="AI55" s="31">
        <v>31.8142</v>
      </c>
      <c r="AL55" s="31">
        <f t="shared" si="0"/>
        <v>773.31914000000006</v>
      </c>
      <c r="AM55" s="31">
        <f t="shared" si="1"/>
        <v>741.50494000000003</v>
      </c>
      <c r="AN55" s="31">
        <f t="shared" si="2"/>
        <v>671.90494000000001</v>
      </c>
      <c r="AP55" s="31">
        <f>VLOOKUP($B55,Kraftvärmeprod!$B$1:$BX$549,MATCH(AP$1,Kraftvärmeprod!$B$1:$BX$1,0),FALSE)</f>
        <v>919.7</v>
      </c>
      <c r="AQ55" s="31">
        <f>VLOOKUP($B55,Kraftvärmeprod!$B$1:$BX$549,MATCH(AQ$1,Kraftvärmeprod!$B$1:$BX$1,0),FALSE)</f>
        <v>338.1</v>
      </c>
      <c r="AR55" s="31">
        <f>VLOOKUP($B55,Kraftvärmeprod!$B$1:$BX$549,MATCH("Summa tillförd energi exklusive rökgaskondensering",Kraftvärmeprod!$B$1:$BX$1,0),FALSE)</f>
        <v>1429.8</v>
      </c>
      <c r="AT55" s="32">
        <f t="shared" si="3"/>
        <v>0.46992931878584421</v>
      </c>
      <c r="AV55" s="31">
        <f t="shared" si="4"/>
        <v>74.053700000000006</v>
      </c>
      <c r="AX55" s="31" t="str">
        <f>VLOOKUP(B55,Totalt!$B$1:$BZ$554,MATCH(AX$1,Totalt!$B$1:$BZ$1,0),FALSE)</f>
        <v>Ja</v>
      </c>
      <c r="BA55" s="32">
        <f t="shared" si="5"/>
        <v>1.3069134370851416</v>
      </c>
    </row>
    <row r="56" spans="1:53" x14ac:dyDescent="0.45">
      <c r="A56" s="31" t="s">
        <v>610</v>
      </c>
      <c r="B56" s="31" t="s">
        <v>621</v>
      </c>
      <c r="J56" s="31">
        <v>0</v>
      </c>
      <c r="K56" s="31">
        <v>0</v>
      </c>
      <c r="L56" s="31">
        <v>0</v>
      </c>
      <c r="M56" s="31">
        <v>0</v>
      </c>
      <c r="N56" s="31">
        <v>0</v>
      </c>
      <c r="O56" s="31">
        <v>0</v>
      </c>
      <c r="P56" s="31">
        <v>0</v>
      </c>
      <c r="Q56" s="31">
        <v>0</v>
      </c>
      <c r="R56" s="31">
        <v>0</v>
      </c>
      <c r="S56" s="31">
        <v>0</v>
      </c>
      <c r="T56" s="31">
        <v>0</v>
      </c>
      <c r="U56" s="31">
        <v>0</v>
      </c>
      <c r="W56" s="31">
        <v>0</v>
      </c>
      <c r="X56" s="31">
        <v>0</v>
      </c>
      <c r="Y56" s="31">
        <v>0</v>
      </c>
      <c r="Z56" s="31">
        <v>0</v>
      </c>
      <c r="AA56" s="31">
        <v>0</v>
      </c>
      <c r="AB56" s="31">
        <v>0</v>
      </c>
      <c r="AC56" s="31">
        <v>0</v>
      </c>
      <c r="AD56" s="31">
        <v>0</v>
      </c>
      <c r="AE56" s="31">
        <v>0</v>
      </c>
      <c r="AF56" s="31">
        <v>0</v>
      </c>
      <c r="AG56" s="31">
        <v>0</v>
      </c>
      <c r="AH56" s="31">
        <v>0</v>
      </c>
      <c r="AI56" s="31">
        <v>0</v>
      </c>
      <c r="AL56" s="31">
        <f t="shared" si="0"/>
        <v>0</v>
      </c>
      <c r="AM56" s="31">
        <f t="shared" si="1"/>
        <v>0</v>
      </c>
      <c r="AN56" s="31">
        <f t="shared" si="2"/>
        <v>0</v>
      </c>
      <c r="AP56" s="31">
        <f>VLOOKUP($B56,Kraftvärmeprod!$B$1:$BX$549,MATCH(AP$1,Kraftvärmeprod!$B$1:$BX$1,0),FALSE)</f>
        <v>0</v>
      </c>
      <c r="AQ56" s="31">
        <f>VLOOKUP($B56,Kraftvärmeprod!$B$1:$BX$549,MATCH(AQ$1,Kraftvärmeprod!$B$1:$BX$1,0),FALSE)</f>
        <v>0</v>
      </c>
      <c r="AR56" s="31">
        <f>VLOOKUP($B56,Kraftvärmeprod!$B$1:$BX$549,MATCH("Summa tillförd energi exklusive rökgaskondensering",Kraftvärmeprod!$B$1:$BX$1,0),FALSE)</f>
        <v>0</v>
      </c>
      <c r="AT56" s="32" t="str">
        <f t="shared" si="3"/>
        <v/>
      </c>
      <c r="AV56" s="31">
        <f t="shared" si="4"/>
        <v>0</v>
      </c>
      <c r="AX56" s="31" t="str">
        <f>VLOOKUP(B56,Totalt!$B$1:$BZ$554,MATCH(AX$1,Totalt!$B$1:$BZ$1,0),FALSE)</f>
        <v>Nej</v>
      </c>
      <c r="BA56" s="32" t="str">
        <f t="shared" si="5"/>
        <v/>
      </c>
    </row>
    <row r="57" spans="1:53" x14ac:dyDescent="0.45">
      <c r="A57" s="31" t="s">
        <v>610</v>
      </c>
      <c r="B57" s="31" t="s">
        <v>620</v>
      </c>
      <c r="J57" s="31">
        <v>0</v>
      </c>
      <c r="K57" s="31">
        <v>0</v>
      </c>
      <c r="L57" s="31">
        <v>0</v>
      </c>
      <c r="M57" s="31">
        <v>0</v>
      </c>
      <c r="N57" s="31">
        <v>0</v>
      </c>
      <c r="O57" s="31">
        <v>0</v>
      </c>
      <c r="P57" s="31">
        <v>0</v>
      </c>
      <c r="Q57" s="31">
        <v>0</v>
      </c>
      <c r="R57" s="31">
        <v>0</v>
      </c>
      <c r="S57" s="31">
        <v>0</v>
      </c>
      <c r="T57" s="31">
        <v>0</v>
      </c>
      <c r="U57" s="31">
        <v>0</v>
      </c>
      <c r="W57" s="31">
        <v>0</v>
      </c>
      <c r="X57" s="31">
        <v>0</v>
      </c>
      <c r="Y57" s="31">
        <v>0</v>
      </c>
      <c r="Z57" s="31">
        <v>0</v>
      </c>
      <c r="AA57" s="31">
        <v>0</v>
      </c>
      <c r="AB57" s="31">
        <v>0</v>
      </c>
      <c r="AC57" s="31">
        <v>0</v>
      </c>
      <c r="AD57" s="31">
        <v>0</v>
      </c>
      <c r="AE57" s="31">
        <v>0</v>
      </c>
      <c r="AF57" s="31">
        <v>0</v>
      </c>
      <c r="AG57" s="31">
        <v>0</v>
      </c>
      <c r="AH57" s="31">
        <v>0</v>
      </c>
      <c r="AI57" s="31">
        <v>0</v>
      </c>
      <c r="AL57" s="31">
        <f t="shared" si="0"/>
        <v>0</v>
      </c>
      <c r="AM57" s="31">
        <f t="shared" si="1"/>
        <v>0</v>
      </c>
      <c r="AN57" s="31">
        <f t="shared" si="2"/>
        <v>0</v>
      </c>
      <c r="AP57" s="31">
        <f>VLOOKUP($B57,Kraftvärmeprod!$B$1:$BX$549,MATCH(AP$1,Kraftvärmeprod!$B$1:$BX$1,0),FALSE)</f>
        <v>0</v>
      </c>
      <c r="AQ57" s="31">
        <f>VLOOKUP($B57,Kraftvärmeprod!$B$1:$BX$549,MATCH(AQ$1,Kraftvärmeprod!$B$1:$BX$1,0),FALSE)</f>
        <v>0</v>
      </c>
      <c r="AR57" s="31">
        <f>VLOOKUP($B57,Kraftvärmeprod!$B$1:$BX$549,MATCH("Summa tillförd energi exklusive rökgaskondensering",Kraftvärmeprod!$B$1:$BX$1,0),FALSE)</f>
        <v>0</v>
      </c>
      <c r="AT57" s="32" t="str">
        <f t="shared" si="3"/>
        <v/>
      </c>
      <c r="AV57" s="31">
        <f t="shared" si="4"/>
        <v>0</v>
      </c>
      <c r="AX57" s="31" t="str">
        <f>VLOOKUP(B57,Totalt!$B$1:$BZ$554,MATCH(AX$1,Totalt!$B$1:$BZ$1,0),FALSE)</f>
        <v>Ja</v>
      </c>
      <c r="BA57" s="32" t="str">
        <f t="shared" si="5"/>
        <v/>
      </c>
    </row>
    <row r="58" spans="1:53" x14ac:dyDescent="0.45">
      <c r="A58" s="31" t="s">
        <v>610</v>
      </c>
      <c r="B58" s="31" t="s">
        <v>619</v>
      </c>
      <c r="J58" s="31">
        <v>0</v>
      </c>
      <c r="K58" s="31">
        <v>0</v>
      </c>
      <c r="L58" s="31">
        <v>0</v>
      </c>
      <c r="M58" s="31">
        <v>0</v>
      </c>
      <c r="N58" s="31">
        <v>0</v>
      </c>
      <c r="O58" s="31">
        <v>0</v>
      </c>
      <c r="P58" s="31">
        <v>0</v>
      </c>
      <c r="Q58" s="31">
        <v>0</v>
      </c>
      <c r="R58" s="31">
        <v>0</v>
      </c>
      <c r="S58" s="31">
        <v>0</v>
      </c>
      <c r="T58" s="31">
        <v>0</v>
      </c>
      <c r="U58" s="31">
        <v>0</v>
      </c>
      <c r="W58" s="31">
        <v>0</v>
      </c>
      <c r="X58" s="31">
        <v>0</v>
      </c>
      <c r="Y58" s="31">
        <v>0</v>
      </c>
      <c r="Z58" s="31">
        <v>0</v>
      </c>
      <c r="AA58" s="31">
        <v>0</v>
      </c>
      <c r="AB58" s="31">
        <v>0</v>
      </c>
      <c r="AC58" s="31">
        <v>0</v>
      </c>
      <c r="AD58" s="31">
        <v>0</v>
      </c>
      <c r="AE58" s="31">
        <v>0</v>
      </c>
      <c r="AF58" s="31">
        <v>0</v>
      </c>
      <c r="AG58" s="31">
        <v>0</v>
      </c>
      <c r="AH58" s="31">
        <v>0</v>
      </c>
      <c r="AI58" s="31">
        <v>0</v>
      </c>
      <c r="AL58" s="31">
        <f t="shared" si="0"/>
        <v>0</v>
      </c>
      <c r="AM58" s="31">
        <f t="shared" si="1"/>
        <v>0</v>
      </c>
      <c r="AN58" s="31">
        <f t="shared" si="2"/>
        <v>0</v>
      </c>
      <c r="AP58" s="31">
        <f>VLOOKUP($B58,Kraftvärmeprod!$B$1:$BX$549,MATCH(AP$1,Kraftvärmeprod!$B$1:$BX$1,0),FALSE)</f>
        <v>0</v>
      </c>
      <c r="AQ58" s="31">
        <f>VLOOKUP($B58,Kraftvärmeprod!$B$1:$BX$549,MATCH(AQ$1,Kraftvärmeprod!$B$1:$BX$1,0),FALSE)</f>
        <v>0</v>
      </c>
      <c r="AR58" s="31">
        <f>VLOOKUP($B58,Kraftvärmeprod!$B$1:$BX$549,MATCH("Summa tillförd energi exklusive rökgaskondensering",Kraftvärmeprod!$B$1:$BX$1,0),FALSE)</f>
        <v>0</v>
      </c>
      <c r="AT58" s="32" t="str">
        <f t="shared" si="3"/>
        <v/>
      </c>
      <c r="AV58" s="31">
        <f t="shared" si="4"/>
        <v>0</v>
      </c>
      <c r="AX58" s="31" t="str">
        <f>VLOOKUP(B58,Totalt!$B$1:$BZ$554,MATCH(AX$1,Totalt!$B$1:$BZ$1,0),FALSE)</f>
        <v>Nej</v>
      </c>
      <c r="BA58" s="32" t="str">
        <f t="shared" si="5"/>
        <v/>
      </c>
    </row>
    <row r="59" spans="1:53" x14ac:dyDescent="0.45">
      <c r="A59" s="31" t="s">
        <v>610</v>
      </c>
      <c r="B59" s="31" t="s">
        <v>618</v>
      </c>
      <c r="J59" s="31">
        <v>0.485095</v>
      </c>
      <c r="K59" s="31">
        <v>0.78283100000000005</v>
      </c>
      <c r="L59" s="31">
        <v>0</v>
      </c>
      <c r="M59" s="31">
        <v>3.7532999999999999</v>
      </c>
      <c r="N59" s="31">
        <v>0</v>
      </c>
      <c r="O59" s="31">
        <v>0</v>
      </c>
      <c r="P59" s="31">
        <v>102.34099999999999</v>
      </c>
      <c r="Q59" s="31">
        <v>49.0426</v>
      </c>
      <c r="R59" s="31">
        <v>108.773</v>
      </c>
      <c r="S59" s="31">
        <v>98.6053</v>
      </c>
      <c r="T59" s="31">
        <v>3.4621200000000001</v>
      </c>
      <c r="U59" s="31">
        <v>0</v>
      </c>
      <c r="W59" s="31">
        <v>0</v>
      </c>
      <c r="X59" s="31">
        <v>0</v>
      </c>
      <c r="Y59" s="31">
        <v>0</v>
      </c>
      <c r="Z59" s="31">
        <v>0</v>
      </c>
      <c r="AA59" s="31">
        <v>0</v>
      </c>
      <c r="AB59" s="31">
        <v>0</v>
      </c>
      <c r="AC59" s="31">
        <v>64.128900000000002</v>
      </c>
      <c r="AD59" s="31">
        <v>0</v>
      </c>
      <c r="AE59" s="31">
        <v>0</v>
      </c>
      <c r="AF59" s="31">
        <v>0</v>
      </c>
      <c r="AG59" s="31">
        <v>0</v>
      </c>
      <c r="AH59" s="31">
        <v>188</v>
      </c>
      <c r="AI59" s="31">
        <v>31.131499999999999</v>
      </c>
      <c r="AL59" s="31">
        <f t="shared" si="0"/>
        <v>650.50564599999996</v>
      </c>
      <c r="AM59" s="31">
        <f t="shared" si="1"/>
        <v>619.374146</v>
      </c>
      <c r="AN59" s="31">
        <f t="shared" si="2"/>
        <v>431.374146</v>
      </c>
      <c r="AP59" s="31">
        <f>VLOOKUP($B59,Kraftvärmeprod!$B$1:$BX$549,MATCH(AP$1,Kraftvärmeprod!$B$1:$BX$1,0),FALSE)</f>
        <v>637.9</v>
      </c>
      <c r="AQ59" s="31">
        <f>VLOOKUP($B59,Kraftvärmeprod!$B$1:$BX$549,MATCH(AQ$1,Kraftvärmeprod!$B$1:$BX$1,0),FALSE)</f>
        <v>272.8</v>
      </c>
      <c r="AR59" s="31">
        <f>VLOOKUP($B59,Kraftvärmeprod!$B$1:$BX$549,MATCH("Summa tillförd energi exklusive rökgaskondensering",Kraftvärmeprod!$B$1:$BX$1,0),FALSE)</f>
        <v>911.7600000000001</v>
      </c>
      <c r="AT59" s="32">
        <f t="shared" si="3"/>
        <v>0.47312247301921551</v>
      </c>
      <c r="AV59" s="31">
        <f t="shared" si="4"/>
        <v>426.35291999999998</v>
      </c>
      <c r="AX59" s="31" t="str">
        <f>VLOOKUP(B59,Totalt!$B$1:$BZ$554,MATCH(AX$1,Totalt!$B$1:$BZ$1,0),FALSE)</f>
        <v>Ja</v>
      </c>
      <c r="BA59" s="32">
        <f t="shared" si="5"/>
        <v>1.3792264062436979</v>
      </c>
    </row>
    <row r="60" spans="1:53" x14ac:dyDescent="0.45">
      <c r="A60" s="31" t="s">
        <v>610</v>
      </c>
      <c r="B60" s="31" t="s">
        <v>616</v>
      </c>
      <c r="J60" s="31">
        <v>0</v>
      </c>
      <c r="K60" s="31">
        <v>0</v>
      </c>
      <c r="L60" s="31">
        <v>0</v>
      </c>
      <c r="M60" s="31">
        <v>0</v>
      </c>
      <c r="N60" s="31">
        <v>0</v>
      </c>
      <c r="O60" s="31">
        <v>0</v>
      </c>
      <c r="P60" s="31">
        <v>0</v>
      </c>
      <c r="Q60" s="31">
        <v>0</v>
      </c>
      <c r="R60" s="31">
        <v>0</v>
      </c>
      <c r="S60" s="31">
        <v>0</v>
      </c>
      <c r="T60" s="31">
        <v>0</v>
      </c>
      <c r="U60" s="31">
        <v>0</v>
      </c>
      <c r="W60" s="31">
        <v>0</v>
      </c>
      <c r="X60" s="31">
        <v>0</v>
      </c>
      <c r="Y60" s="31">
        <v>0</v>
      </c>
      <c r="Z60" s="31">
        <v>0</v>
      </c>
      <c r="AA60" s="31">
        <v>0</v>
      </c>
      <c r="AB60" s="31">
        <v>0</v>
      </c>
      <c r="AC60" s="31">
        <v>0</v>
      </c>
      <c r="AD60" s="31">
        <v>0</v>
      </c>
      <c r="AE60" s="31">
        <v>0</v>
      </c>
      <c r="AF60" s="31">
        <v>0</v>
      </c>
      <c r="AG60" s="31">
        <v>0</v>
      </c>
      <c r="AH60" s="31">
        <v>0</v>
      </c>
      <c r="AI60" s="31">
        <v>0</v>
      </c>
      <c r="AL60" s="31">
        <f t="shared" si="0"/>
        <v>0</v>
      </c>
      <c r="AM60" s="31">
        <f t="shared" si="1"/>
        <v>0</v>
      </c>
      <c r="AN60" s="31">
        <f t="shared" si="2"/>
        <v>0</v>
      </c>
      <c r="AP60" s="31">
        <f>VLOOKUP($B60,Kraftvärmeprod!$B$1:$BX$549,MATCH(AP$1,Kraftvärmeprod!$B$1:$BX$1,0),FALSE)</f>
        <v>0</v>
      </c>
      <c r="AQ60" s="31">
        <f>VLOOKUP($B60,Kraftvärmeprod!$B$1:$BX$549,MATCH(AQ$1,Kraftvärmeprod!$B$1:$BX$1,0),FALSE)</f>
        <v>0</v>
      </c>
      <c r="AR60" s="31">
        <f>VLOOKUP($B60,Kraftvärmeprod!$B$1:$BX$549,MATCH("Summa tillförd energi exklusive rökgaskondensering",Kraftvärmeprod!$B$1:$BX$1,0),FALSE)</f>
        <v>0</v>
      </c>
      <c r="AT60" s="32" t="str">
        <f t="shared" si="3"/>
        <v/>
      </c>
      <c r="AV60" s="31">
        <f t="shared" si="4"/>
        <v>0</v>
      </c>
      <c r="AX60" s="31" t="str">
        <f>VLOOKUP(B60,Totalt!$B$1:$BZ$554,MATCH(AX$1,Totalt!$B$1:$BZ$1,0),FALSE)</f>
        <v>Ja</v>
      </c>
      <c r="BA60" s="32" t="str">
        <f t="shared" si="5"/>
        <v/>
      </c>
    </row>
    <row r="61" spans="1:53" x14ac:dyDescent="0.45">
      <c r="A61" s="31" t="s">
        <v>610</v>
      </c>
      <c r="B61" s="31" t="s">
        <v>615</v>
      </c>
      <c r="J61" s="31">
        <v>0</v>
      </c>
      <c r="K61" s="31">
        <v>0</v>
      </c>
      <c r="L61" s="31">
        <v>0</v>
      </c>
      <c r="M61" s="31">
        <v>0</v>
      </c>
      <c r="N61" s="31">
        <v>0</v>
      </c>
      <c r="O61" s="31">
        <v>0</v>
      </c>
      <c r="P61" s="31">
        <v>0</v>
      </c>
      <c r="Q61" s="31">
        <v>0</v>
      </c>
      <c r="R61" s="31">
        <v>0</v>
      </c>
      <c r="S61" s="31">
        <v>0</v>
      </c>
      <c r="T61" s="31">
        <v>0</v>
      </c>
      <c r="U61" s="31">
        <v>0</v>
      </c>
      <c r="W61" s="31">
        <v>0</v>
      </c>
      <c r="X61" s="31">
        <v>0</v>
      </c>
      <c r="Y61" s="31">
        <v>0</v>
      </c>
      <c r="Z61" s="31">
        <v>0</v>
      </c>
      <c r="AA61" s="31">
        <v>0</v>
      </c>
      <c r="AB61" s="31">
        <v>0</v>
      </c>
      <c r="AC61" s="31">
        <v>0</v>
      </c>
      <c r="AD61" s="31">
        <v>0</v>
      </c>
      <c r="AE61" s="31">
        <v>0</v>
      </c>
      <c r="AF61" s="31">
        <v>0</v>
      </c>
      <c r="AG61" s="31">
        <v>0</v>
      </c>
      <c r="AH61" s="31">
        <v>0</v>
      </c>
      <c r="AI61" s="31">
        <v>0</v>
      </c>
      <c r="AL61" s="31">
        <f t="shared" si="0"/>
        <v>0</v>
      </c>
      <c r="AM61" s="31">
        <f t="shared" si="1"/>
        <v>0</v>
      </c>
      <c r="AN61" s="31">
        <f t="shared" si="2"/>
        <v>0</v>
      </c>
      <c r="AP61" s="31">
        <f>VLOOKUP($B61,Kraftvärmeprod!$B$1:$BX$549,MATCH(AP$1,Kraftvärmeprod!$B$1:$BX$1,0),FALSE)</f>
        <v>0</v>
      </c>
      <c r="AQ61" s="31">
        <f>VLOOKUP($B61,Kraftvärmeprod!$B$1:$BX$549,MATCH(AQ$1,Kraftvärmeprod!$B$1:$BX$1,0),FALSE)</f>
        <v>0</v>
      </c>
      <c r="AR61" s="31">
        <f>VLOOKUP($B61,Kraftvärmeprod!$B$1:$BX$549,MATCH("Summa tillförd energi exklusive rökgaskondensering",Kraftvärmeprod!$B$1:$BX$1,0),FALSE)</f>
        <v>0</v>
      </c>
      <c r="AT61" s="32" t="str">
        <f t="shared" si="3"/>
        <v/>
      </c>
      <c r="AV61" s="31">
        <f t="shared" si="4"/>
        <v>0</v>
      </c>
      <c r="AX61" s="31" t="str">
        <f>VLOOKUP(B61,Totalt!$B$1:$BZ$554,MATCH(AX$1,Totalt!$B$1:$BZ$1,0),FALSE)</f>
        <v>Nej</v>
      </c>
      <c r="BA61" s="32" t="str">
        <f t="shared" si="5"/>
        <v/>
      </c>
    </row>
    <row r="62" spans="1:53" x14ac:dyDescent="0.45">
      <c r="A62" s="31" t="s">
        <v>610</v>
      </c>
      <c r="B62" s="31" t="s">
        <v>614</v>
      </c>
      <c r="J62" s="31">
        <v>0</v>
      </c>
      <c r="K62" s="31">
        <v>4.6888600000000002E-2</v>
      </c>
      <c r="L62" s="31">
        <v>0</v>
      </c>
      <c r="M62" s="31">
        <v>0.249139</v>
      </c>
      <c r="N62" s="31">
        <v>215.428</v>
      </c>
      <c r="O62" s="31">
        <v>0</v>
      </c>
      <c r="P62" s="31">
        <v>0</v>
      </c>
      <c r="Q62" s="31">
        <v>0</v>
      </c>
      <c r="R62" s="31">
        <v>0</v>
      </c>
      <c r="S62" s="31">
        <v>0</v>
      </c>
      <c r="T62" s="31">
        <v>0</v>
      </c>
      <c r="U62" s="31">
        <v>0</v>
      </c>
      <c r="W62" s="31">
        <v>0</v>
      </c>
      <c r="X62" s="31">
        <v>0</v>
      </c>
      <c r="Y62" s="31">
        <v>0</v>
      </c>
      <c r="Z62" s="31">
        <v>0</v>
      </c>
      <c r="AA62" s="31">
        <v>0</v>
      </c>
      <c r="AB62" s="31">
        <v>0</v>
      </c>
      <c r="AC62" s="31">
        <v>0</v>
      </c>
      <c r="AD62" s="31">
        <v>0</v>
      </c>
      <c r="AE62" s="31">
        <v>932.34699999999998</v>
      </c>
      <c r="AF62" s="31">
        <v>33.407800000000002</v>
      </c>
      <c r="AG62" s="31">
        <v>0</v>
      </c>
      <c r="AH62" s="31">
        <v>23</v>
      </c>
      <c r="AI62" s="31">
        <v>8.6071100000000005</v>
      </c>
      <c r="AL62" s="31">
        <f t="shared" si="0"/>
        <v>1213.0859375999999</v>
      </c>
      <c r="AM62" s="31">
        <f t="shared" si="1"/>
        <v>1204.4788275999999</v>
      </c>
      <c r="AN62" s="31">
        <f t="shared" si="2"/>
        <v>1181.4788275999999</v>
      </c>
      <c r="AP62" s="31">
        <f>VLOOKUP($B62,Kraftvärmeprod!$B$1:$BX$549,MATCH(AP$1,Kraftvärmeprod!$B$1:$BX$1,0),FALSE)</f>
        <v>1693</v>
      </c>
      <c r="AQ62" s="31">
        <f>VLOOKUP($B62,Kraftvärmeprod!$B$1:$BX$549,MATCH(AQ$1,Kraftvärmeprod!$B$1:$BX$1,0),FALSE)</f>
        <v>359</v>
      </c>
      <c r="AR62" s="31">
        <f>VLOOKUP($B62,Kraftvärmeprod!$B$1:$BX$549,MATCH("Summa tillförd energi exklusive rökgaskondensering",Kraftvärmeprod!$B$1:$BX$1,0),FALSE)</f>
        <v>1908.0229999999999</v>
      </c>
      <c r="AT62" s="32">
        <f t="shared" si="3"/>
        <v>0.61921623984616536</v>
      </c>
      <c r="AV62" s="31">
        <f t="shared" si="4"/>
        <v>0</v>
      </c>
      <c r="AX62" s="31" t="str">
        <f>VLOOKUP(B62,Totalt!$B$1:$BZ$554,MATCH(AX$1,Totalt!$B$1:$BZ$1,0),FALSE)</f>
        <v>Ja</v>
      </c>
      <c r="BA62" s="32">
        <f t="shared" si="5"/>
        <v>1.4225863414655646</v>
      </c>
    </row>
    <row r="63" spans="1:53" x14ac:dyDescent="0.45">
      <c r="A63" s="31" t="s">
        <v>610</v>
      </c>
      <c r="B63" s="31" t="s">
        <v>611</v>
      </c>
      <c r="J63" s="31">
        <v>0</v>
      </c>
      <c r="K63" s="31">
        <v>0</v>
      </c>
      <c r="L63" s="31">
        <v>0</v>
      </c>
      <c r="M63" s="31">
        <v>0</v>
      </c>
      <c r="N63" s="31">
        <v>0</v>
      </c>
      <c r="O63" s="31">
        <v>0</v>
      </c>
      <c r="P63" s="31">
        <v>0</v>
      </c>
      <c r="Q63" s="31">
        <v>0</v>
      </c>
      <c r="R63" s="31">
        <v>0</v>
      </c>
      <c r="S63" s="31">
        <v>0</v>
      </c>
      <c r="T63" s="31">
        <v>0</v>
      </c>
      <c r="U63" s="31">
        <v>0</v>
      </c>
      <c r="W63" s="31">
        <v>0</v>
      </c>
      <c r="X63" s="31">
        <v>0</v>
      </c>
      <c r="Y63" s="31">
        <v>0</v>
      </c>
      <c r="Z63" s="31">
        <v>0</v>
      </c>
      <c r="AA63" s="31">
        <v>0</v>
      </c>
      <c r="AB63" s="31">
        <v>0</v>
      </c>
      <c r="AC63" s="31">
        <v>0</v>
      </c>
      <c r="AD63" s="31">
        <v>0</v>
      </c>
      <c r="AE63" s="31">
        <v>0</v>
      </c>
      <c r="AF63" s="31">
        <v>0</v>
      </c>
      <c r="AG63" s="31">
        <v>0</v>
      </c>
      <c r="AH63" s="31">
        <v>0</v>
      </c>
      <c r="AI63" s="31">
        <v>0</v>
      </c>
      <c r="AL63" s="31">
        <f t="shared" si="0"/>
        <v>0</v>
      </c>
      <c r="AM63" s="31">
        <f t="shared" si="1"/>
        <v>0</v>
      </c>
      <c r="AN63" s="31">
        <f t="shared" si="2"/>
        <v>0</v>
      </c>
      <c r="AP63" s="31">
        <f>VLOOKUP($B63,Kraftvärmeprod!$B$1:$BX$549,MATCH(AP$1,Kraftvärmeprod!$B$1:$BX$1,0),FALSE)</f>
        <v>0</v>
      </c>
      <c r="AQ63" s="31">
        <f>VLOOKUP($B63,Kraftvärmeprod!$B$1:$BX$549,MATCH(AQ$1,Kraftvärmeprod!$B$1:$BX$1,0),FALSE)</f>
        <v>0</v>
      </c>
      <c r="AR63" s="31">
        <f>VLOOKUP($B63,Kraftvärmeprod!$B$1:$BX$549,MATCH("Summa tillförd energi exklusive rökgaskondensering",Kraftvärmeprod!$B$1:$BX$1,0),FALSE)</f>
        <v>0</v>
      </c>
      <c r="AT63" s="32" t="str">
        <f t="shared" si="3"/>
        <v/>
      </c>
      <c r="AV63" s="31">
        <f t="shared" si="4"/>
        <v>0</v>
      </c>
      <c r="AX63" s="31" t="str">
        <f>VLOOKUP(B63,Totalt!$B$1:$BZ$554,MATCH(AX$1,Totalt!$B$1:$BZ$1,0),FALSE)</f>
        <v>Ja</v>
      </c>
      <c r="BA63" s="32" t="str">
        <f t="shared" si="5"/>
        <v/>
      </c>
    </row>
    <row r="64" spans="1:53" x14ac:dyDescent="0.45">
      <c r="A64" s="31" t="s">
        <v>610</v>
      </c>
      <c r="B64" s="31" t="s">
        <v>609</v>
      </c>
      <c r="J64" s="31">
        <v>0</v>
      </c>
      <c r="K64" s="31">
        <v>0</v>
      </c>
      <c r="L64" s="31">
        <v>0</v>
      </c>
      <c r="M64" s="31">
        <v>0</v>
      </c>
      <c r="N64" s="31">
        <v>0</v>
      </c>
      <c r="O64" s="31">
        <v>0</v>
      </c>
      <c r="P64" s="31">
        <v>0</v>
      </c>
      <c r="Q64" s="31">
        <v>0</v>
      </c>
      <c r="R64" s="31">
        <v>0</v>
      </c>
      <c r="S64" s="31">
        <v>0</v>
      </c>
      <c r="T64" s="31">
        <v>0</v>
      </c>
      <c r="U64" s="31">
        <v>0</v>
      </c>
      <c r="W64" s="31">
        <v>0</v>
      </c>
      <c r="X64" s="31">
        <v>0</v>
      </c>
      <c r="Y64" s="31">
        <v>0</v>
      </c>
      <c r="Z64" s="31">
        <v>0</v>
      </c>
      <c r="AA64" s="31">
        <v>0</v>
      </c>
      <c r="AB64" s="31">
        <v>0</v>
      </c>
      <c r="AC64" s="31">
        <v>0</v>
      </c>
      <c r="AD64" s="31">
        <v>0</v>
      </c>
      <c r="AE64" s="31">
        <v>0</v>
      </c>
      <c r="AF64" s="31">
        <v>0</v>
      </c>
      <c r="AG64" s="31">
        <v>0</v>
      </c>
      <c r="AH64" s="31">
        <v>0</v>
      </c>
      <c r="AI64" s="31">
        <v>0</v>
      </c>
      <c r="AL64" s="31">
        <f t="shared" si="0"/>
        <v>0</v>
      </c>
      <c r="AM64" s="31">
        <f t="shared" si="1"/>
        <v>0</v>
      </c>
      <c r="AN64" s="31">
        <f t="shared" si="2"/>
        <v>0</v>
      </c>
      <c r="AP64" s="31">
        <f>VLOOKUP($B64,Kraftvärmeprod!$B$1:$BX$549,MATCH(AP$1,Kraftvärmeprod!$B$1:$BX$1,0),FALSE)</f>
        <v>0</v>
      </c>
      <c r="AQ64" s="31">
        <f>VLOOKUP($B64,Kraftvärmeprod!$B$1:$BX$549,MATCH(AQ$1,Kraftvärmeprod!$B$1:$BX$1,0),FALSE)</f>
        <v>0</v>
      </c>
      <c r="AR64" s="31">
        <f>VLOOKUP($B64,Kraftvärmeprod!$B$1:$BX$549,MATCH("Summa tillförd energi exklusive rökgaskondensering",Kraftvärmeprod!$B$1:$BX$1,0),FALSE)</f>
        <v>0</v>
      </c>
      <c r="AT64" s="32" t="str">
        <f t="shared" si="3"/>
        <v/>
      </c>
      <c r="AV64" s="31">
        <f t="shared" si="4"/>
        <v>0</v>
      </c>
      <c r="AX64" s="31" t="str">
        <f>VLOOKUP(B64,Totalt!$B$1:$BZ$554,MATCH(AX$1,Totalt!$B$1:$BZ$1,0),FALSE)</f>
        <v>Ja</v>
      </c>
      <c r="BA64" s="32" t="str">
        <f t="shared" si="5"/>
        <v/>
      </c>
    </row>
    <row r="65" spans="1:53" x14ac:dyDescent="0.45">
      <c r="A65" s="31" t="s">
        <v>610</v>
      </c>
      <c r="B65" s="31" t="s">
        <v>612</v>
      </c>
      <c r="J65" s="31">
        <v>0</v>
      </c>
      <c r="K65" s="31">
        <v>0</v>
      </c>
      <c r="L65" s="31">
        <v>0</v>
      </c>
      <c r="M65" s="31">
        <v>0</v>
      </c>
      <c r="N65" s="31">
        <v>0</v>
      </c>
      <c r="O65" s="31">
        <v>0</v>
      </c>
      <c r="P65" s="31">
        <v>0</v>
      </c>
      <c r="Q65" s="31">
        <v>0</v>
      </c>
      <c r="R65" s="31">
        <v>0</v>
      </c>
      <c r="S65" s="31">
        <v>0</v>
      </c>
      <c r="T65" s="31">
        <v>0</v>
      </c>
      <c r="U65" s="31">
        <v>0</v>
      </c>
      <c r="W65" s="31">
        <v>0</v>
      </c>
      <c r="X65" s="31">
        <v>0</v>
      </c>
      <c r="Y65" s="31">
        <v>0</v>
      </c>
      <c r="Z65" s="31">
        <v>0</v>
      </c>
      <c r="AA65" s="31">
        <v>0</v>
      </c>
      <c r="AB65" s="31">
        <v>0</v>
      </c>
      <c r="AC65" s="31">
        <v>0</v>
      </c>
      <c r="AD65" s="31">
        <v>0</v>
      </c>
      <c r="AE65" s="31">
        <v>0</v>
      </c>
      <c r="AF65" s="31">
        <v>0</v>
      </c>
      <c r="AG65" s="31">
        <v>0</v>
      </c>
      <c r="AH65" s="31">
        <v>0</v>
      </c>
      <c r="AI65" s="31">
        <v>0</v>
      </c>
      <c r="AL65" s="31">
        <f t="shared" si="0"/>
        <v>0</v>
      </c>
      <c r="AM65" s="31">
        <f t="shared" si="1"/>
        <v>0</v>
      </c>
      <c r="AN65" s="31">
        <f t="shared" si="2"/>
        <v>0</v>
      </c>
      <c r="AP65" s="31">
        <f>VLOOKUP($B65,Kraftvärmeprod!$B$1:$BX$549,MATCH(AP$1,Kraftvärmeprod!$B$1:$BX$1,0),FALSE)</f>
        <v>0</v>
      </c>
      <c r="AQ65" s="31">
        <f>VLOOKUP($B65,Kraftvärmeprod!$B$1:$BX$549,MATCH(AQ$1,Kraftvärmeprod!$B$1:$BX$1,0),FALSE)</f>
        <v>0</v>
      </c>
      <c r="AR65" s="31">
        <f>VLOOKUP($B65,Kraftvärmeprod!$B$1:$BX$549,MATCH("Summa tillförd energi exklusive rökgaskondensering",Kraftvärmeprod!$B$1:$BX$1,0),FALSE)</f>
        <v>0</v>
      </c>
      <c r="AT65" s="32" t="str">
        <f t="shared" si="3"/>
        <v/>
      </c>
      <c r="AV65" s="31">
        <f t="shared" si="4"/>
        <v>0</v>
      </c>
      <c r="AX65" s="31" t="str">
        <f>VLOOKUP(B65,Totalt!$B$1:$BZ$554,MATCH(AX$1,Totalt!$B$1:$BZ$1,0),FALSE)</f>
        <v>Ja</v>
      </c>
      <c r="BA65" s="32" t="str">
        <f t="shared" si="5"/>
        <v/>
      </c>
    </row>
    <row r="66" spans="1:53" x14ac:dyDescent="0.45">
      <c r="A66" s="31" t="s">
        <v>608</v>
      </c>
      <c r="B66" s="31" t="s">
        <v>608</v>
      </c>
      <c r="J66" s="31">
        <v>0</v>
      </c>
      <c r="K66" s="31">
        <v>0</v>
      </c>
      <c r="L66" s="31">
        <v>0</v>
      </c>
      <c r="M66" s="31">
        <v>0</v>
      </c>
      <c r="N66" s="31">
        <v>0</v>
      </c>
      <c r="O66" s="31">
        <v>0</v>
      </c>
      <c r="P66" s="31">
        <v>0</v>
      </c>
      <c r="Q66" s="31">
        <v>0</v>
      </c>
      <c r="R66" s="31">
        <v>0</v>
      </c>
      <c r="S66" s="31">
        <v>0</v>
      </c>
      <c r="T66" s="31">
        <v>0</v>
      </c>
      <c r="U66" s="31">
        <v>0</v>
      </c>
      <c r="W66" s="31">
        <v>0</v>
      </c>
      <c r="X66" s="31">
        <v>0</v>
      </c>
      <c r="Y66" s="31">
        <v>0</v>
      </c>
      <c r="Z66" s="31">
        <v>0</v>
      </c>
      <c r="AA66" s="31">
        <v>0</v>
      </c>
      <c r="AB66" s="31">
        <v>0</v>
      </c>
      <c r="AC66" s="31">
        <v>0</v>
      </c>
      <c r="AD66" s="31">
        <v>0</v>
      </c>
      <c r="AE66" s="31">
        <v>0</v>
      </c>
      <c r="AF66" s="31">
        <v>0</v>
      </c>
      <c r="AG66" s="31">
        <v>0</v>
      </c>
      <c r="AH66" s="31">
        <v>0</v>
      </c>
      <c r="AI66" s="31">
        <v>0</v>
      </c>
      <c r="AL66" s="31">
        <f t="shared" ref="AL66:AL129" si="6">SUM(J66:U66,W66:AI66)</f>
        <v>0</v>
      </c>
      <c r="AM66" s="31">
        <f t="shared" ref="AM66:AM129" si="7">AL66-IFERROR(AI66/1,0)</f>
        <v>0</v>
      </c>
      <c r="AN66" s="31">
        <f t="shared" ref="AN66:AN129" si="8">AM66-IFERROR(AH66/1,0)</f>
        <v>0</v>
      </c>
      <c r="AP66" s="31">
        <f>VLOOKUP($B66,Kraftvärmeprod!$B$1:$BX$549,MATCH(AP$1,Kraftvärmeprod!$B$1:$BX$1,0),FALSE)</f>
        <v>0</v>
      </c>
      <c r="AQ66" s="31">
        <f>VLOOKUP($B66,Kraftvärmeprod!$B$1:$BX$549,MATCH(AQ$1,Kraftvärmeprod!$B$1:$BX$1,0),FALSE)</f>
        <v>0</v>
      </c>
      <c r="AR66" s="31">
        <f>VLOOKUP($B66,Kraftvärmeprod!$B$1:$BX$549,MATCH("Summa tillförd energi exklusive rökgaskondensering",Kraftvärmeprod!$B$1:$BX$1,0),FALSE)</f>
        <v>0</v>
      </c>
      <c r="AT66" s="32" t="str">
        <f t="shared" ref="AT66:AT129" si="9">IF(AN66=0,"",AN66/AR66)</f>
        <v/>
      </c>
      <c r="AV66" s="31">
        <f t="shared" ref="AV66:AV129" si="10">Q66+R66+S66+T66+U66+P66+X66+Y66+Z66+AA66+AB66+AC66+W66</f>
        <v>0</v>
      </c>
      <c r="AX66" s="31" t="str">
        <f>VLOOKUP(B66,Totalt!$B$1:$BZ$554,MATCH(AX$1,Totalt!$B$1:$BZ$1,0),FALSE)</f>
        <v>Nej</v>
      </c>
      <c r="BA66" s="32" t="str">
        <f t="shared" ref="BA66:BA129" si="11">IFERROR(AP66/(AN66+AI66),"")</f>
        <v/>
      </c>
    </row>
    <row r="67" spans="1:53" x14ac:dyDescent="0.45">
      <c r="A67" s="31" t="s">
        <v>605</v>
      </c>
      <c r="B67" s="31" t="s">
        <v>607</v>
      </c>
      <c r="J67" s="31">
        <v>0</v>
      </c>
      <c r="K67" s="31">
        <v>0</v>
      </c>
      <c r="L67" s="31">
        <v>0</v>
      </c>
      <c r="M67" s="31">
        <v>0</v>
      </c>
      <c r="N67" s="31">
        <v>0</v>
      </c>
      <c r="O67" s="31">
        <v>0</v>
      </c>
      <c r="P67" s="31">
        <v>0</v>
      </c>
      <c r="Q67" s="31">
        <v>0</v>
      </c>
      <c r="R67" s="31">
        <v>0</v>
      </c>
      <c r="S67" s="31">
        <v>0</v>
      </c>
      <c r="T67" s="31">
        <v>0</v>
      </c>
      <c r="U67" s="31">
        <v>0</v>
      </c>
      <c r="W67" s="31">
        <v>0</v>
      </c>
      <c r="X67" s="31">
        <v>0</v>
      </c>
      <c r="Y67" s="31">
        <v>0</v>
      </c>
      <c r="Z67" s="31">
        <v>0</v>
      </c>
      <c r="AA67" s="31">
        <v>0</v>
      </c>
      <c r="AB67" s="31">
        <v>0.34399600000000002</v>
      </c>
      <c r="AC67" s="31">
        <v>0</v>
      </c>
      <c r="AD67" s="31">
        <v>0</v>
      </c>
      <c r="AE67" s="31">
        <v>113.372</v>
      </c>
      <c r="AF67" s="31">
        <v>0</v>
      </c>
      <c r="AG67" s="31">
        <v>0</v>
      </c>
      <c r="AH67" s="31">
        <v>0</v>
      </c>
      <c r="AI67" s="31">
        <v>4.1878200000000003</v>
      </c>
      <c r="AL67" s="31">
        <f t="shared" si="6"/>
        <v>117.90381600000001</v>
      </c>
      <c r="AM67" s="31">
        <f t="shared" si="7"/>
        <v>113.715996</v>
      </c>
      <c r="AN67" s="31">
        <f t="shared" si="8"/>
        <v>113.715996</v>
      </c>
      <c r="AP67" s="31">
        <f>VLOOKUP($B67,Kraftvärmeprod!$B$1:$BX$549,MATCH(AP$1,Kraftvärmeprod!$B$1:$BX$1,0),FALSE)</f>
        <v>130</v>
      </c>
      <c r="AQ67" s="31">
        <f>VLOOKUP($B67,Kraftvärmeprod!$B$1:$BX$549,MATCH(AQ$1,Kraftvärmeprod!$B$1:$BX$1,0),FALSE)</f>
        <v>14.2</v>
      </c>
      <c r="AR67" s="31">
        <f>VLOOKUP($B67,Kraftvärmeprod!$B$1:$BX$549,MATCH("Summa tillförd energi exklusive rökgaskondensering",Kraftvärmeprod!$B$1:$BX$1,0),FALSE)</f>
        <v>153.41999999999999</v>
      </c>
      <c r="AT67" s="32">
        <f t="shared" si="9"/>
        <v>0.74120711771607362</v>
      </c>
      <c r="AV67" s="31">
        <f t="shared" si="10"/>
        <v>0.34399600000000002</v>
      </c>
      <c r="AX67" s="31" t="str">
        <f>VLOOKUP(B67,Totalt!$B$1:$BZ$554,MATCH(AX$1,Totalt!$B$1:$BZ$1,0),FALSE)</f>
        <v>Ja</v>
      </c>
      <c r="BA67" s="32">
        <f t="shared" si="11"/>
        <v>1.1025936599032553</v>
      </c>
    </row>
    <row r="68" spans="1:53" x14ac:dyDescent="0.45">
      <c r="A68" s="31" t="s">
        <v>605</v>
      </c>
      <c r="B68" s="31" t="s">
        <v>606</v>
      </c>
      <c r="J68" s="31">
        <v>0</v>
      </c>
      <c r="K68" s="31">
        <v>0</v>
      </c>
      <c r="L68" s="31">
        <v>0</v>
      </c>
      <c r="M68" s="31">
        <v>0</v>
      </c>
      <c r="N68" s="31">
        <v>0</v>
      </c>
      <c r="O68" s="31">
        <v>0</v>
      </c>
      <c r="P68" s="31">
        <v>0</v>
      </c>
      <c r="Q68" s="31">
        <v>0</v>
      </c>
      <c r="R68" s="31">
        <v>0</v>
      </c>
      <c r="S68" s="31">
        <v>0</v>
      </c>
      <c r="T68" s="31">
        <v>0</v>
      </c>
      <c r="U68" s="31">
        <v>0</v>
      </c>
      <c r="W68" s="31">
        <v>0</v>
      </c>
      <c r="X68" s="31">
        <v>0</v>
      </c>
      <c r="Y68" s="31">
        <v>0</v>
      </c>
      <c r="Z68" s="31">
        <v>0</v>
      </c>
      <c r="AA68" s="31">
        <v>0</v>
      </c>
      <c r="AB68" s="31">
        <v>0</v>
      </c>
      <c r="AC68" s="31">
        <v>0</v>
      </c>
      <c r="AD68" s="31">
        <v>0</v>
      </c>
      <c r="AE68" s="31">
        <v>0</v>
      </c>
      <c r="AF68" s="31">
        <v>0</v>
      </c>
      <c r="AG68" s="31">
        <v>0</v>
      </c>
      <c r="AH68" s="31">
        <v>0</v>
      </c>
      <c r="AI68" s="31">
        <v>0</v>
      </c>
      <c r="AL68" s="31">
        <f t="shared" si="6"/>
        <v>0</v>
      </c>
      <c r="AM68" s="31">
        <f t="shared" si="7"/>
        <v>0</v>
      </c>
      <c r="AN68" s="31">
        <f t="shared" si="8"/>
        <v>0</v>
      </c>
      <c r="AP68" s="31">
        <f>VLOOKUP($B68,Kraftvärmeprod!$B$1:$BX$549,MATCH(AP$1,Kraftvärmeprod!$B$1:$BX$1,0),FALSE)</f>
        <v>0</v>
      </c>
      <c r="AQ68" s="31">
        <f>VLOOKUP($B68,Kraftvärmeprod!$B$1:$BX$549,MATCH(AQ$1,Kraftvärmeprod!$B$1:$BX$1,0),FALSE)</f>
        <v>0</v>
      </c>
      <c r="AR68" s="31">
        <f>VLOOKUP($B68,Kraftvärmeprod!$B$1:$BX$549,MATCH("Summa tillförd energi exklusive rökgaskondensering",Kraftvärmeprod!$B$1:$BX$1,0),FALSE)</f>
        <v>0</v>
      </c>
      <c r="AT68" s="32" t="str">
        <f t="shared" si="9"/>
        <v/>
      </c>
      <c r="AV68" s="31">
        <f t="shared" si="10"/>
        <v>0</v>
      </c>
      <c r="AX68" s="31" t="str">
        <f>VLOOKUP(B68,Totalt!$B$1:$BZ$554,MATCH(AX$1,Totalt!$B$1:$BZ$1,0),FALSE)</f>
        <v>Ja</v>
      </c>
      <c r="BA68" s="32" t="str">
        <f t="shared" si="11"/>
        <v/>
      </c>
    </row>
    <row r="69" spans="1:53" x14ac:dyDescent="0.45">
      <c r="A69" s="31" t="s">
        <v>605</v>
      </c>
      <c r="B69" s="31" t="s">
        <v>604</v>
      </c>
      <c r="J69" s="31">
        <v>0</v>
      </c>
      <c r="K69" s="31">
        <v>0</v>
      </c>
      <c r="L69" s="31">
        <v>0</v>
      </c>
      <c r="M69" s="31">
        <v>0</v>
      </c>
      <c r="N69" s="31">
        <v>0</v>
      </c>
      <c r="O69" s="31">
        <v>0</v>
      </c>
      <c r="P69" s="31">
        <v>0</v>
      </c>
      <c r="Q69" s="31">
        <v>0</v>
      </c>
      <c r="R69" s="31">
        <v>0</v>
      </c>
      <c r="S69" s="31">
        <v>0</v>
      </c>
      <c r="T69" s="31">
        <v>0</v>
      </c>
      <c r="U69" s="31">
        <v>0</v>
      </c>
      <c r="W69" s="31">
        <v>0</v>
      </c>
      <c r="X69" s="31">
        <v>0</v>
      </c>
      <c r="Y69" s="31">
        <v>0</v>
      </c>
      <c r="Z69" s="31">
        <v>0</v>
      </c>
      <c r="AA69" s="31">
        <v>0</v>
      </c>
      <c r="AB69" s="31">
        <v>0</v>
      </c>
      <c r="AC69" s="31">
        <v>0</v>
      </c>
      <c r="AD69" s="31">
        <v>0</v>
      </c>
      <c r="AE69" s="31">
        <v>0</v>
      </c>
      <c r="AF69" s="31">
        <v>0</v>
      </c>
      <c r="AG69" s="31">
        <v>0</v>
      </c>
      <c r="AH69" s="31">
        <v>0</v>
      </c>
      <c r="AI69" s="31">
        <v>0</v>
      </c>
      <c r="AL69" s="31">
        <f t="shared" si="6"/>
        <v>0</v>
      </c>
      <c r="AM69" s="31">
        <f t="shared" si="7"/>
        <v>0</v>
      </c>
      <c r="AN69" s="31">
        <f t="shared" si="8"/>
        <v>0</v>
      </c>
      <c r="AP69" s="31">
        <f>VLOOKUP($B69,Kraftvärmeprod!$B$1:$BX$549,MATCH(AP$1,Kraftvärmeprod!$B$1:$BX$1,0),FALSE)</f>
        <v>0</v>
      </c>
      <c r="AQ69" s="31">
        <f>VLOOKUP($B69,Kraftvärmeprod!$B$1:$BX$549,MATCH(AQ$1,Kraftvärmeprod!$B$1:$BX$1,0),FALSE)</f>
        <v>0</v>
      </c>
      <c r="AR69" s="31">
        <f>VLOOKUP($B69,Kraftvärmeprod!$B$1:$BX$549,MATCH("Summa tillförd energi exklusive rökgaskondensering",Kraftvärmeprod!$B$1:$BX$1,0),FALSE)</f>
        <v>0</v>
      </c>
      <c r="AT69" s="32" t="str">
        <f t="shared" si="9"/>
        <v/>
      </c>
      <c r="AV69" s="31">
        <f t="shared" si="10"/>
        <v>0</v>
      </c>
      <c r="AX69" s="31" t="str">
        <f>VLOOKUP(B69,Totalt!$B$1:$BZ$554,MATCH(AX$1,Totalt!$B$1:$BZ$1,0),FALSE)</f>
        <v>Ja</v>
      </c>
      <c r="BA69" s="32" t="str">
        <f t="shared" si="11"/>
        <v/>
      </c>
    </row>
    <row r="70" spans="1:53" x14ac:dyDescent="0.45">
      <c r="A70" s="31" t="s">
        <v>603</v>
      </c>
      <c r="B70" s="31" t="s">
        <v>602</v>
      </c>
      <c r="J70" s="31">
        <v>0</v>
      </c>
      <c r="K70" s="31">
        <v>0</v>
      </c>
      <c r="L70" s="31">
        <v>0</v>
      </c>
      <c r="M70" s="31">
        <v>0</v>
      </c>
      <c r="N70" s="31">
        <v>0</v>
      </c>
      <c r="O70" s="31">
        <v>0</v>
      </c>
      <c r="P70" s="31">
        <v>0</v>
      </c>
      <c r="Q70" s="31">
        <v>0</v>
      </c>
      <c r="R70" s="31">
        <v>0</v>
      </c>
      <c r="S70" s="31">
        <v>0</v>
      </c>
      <c r="T70" s="31">
        <v>0</v>
      </c>
      <c r="U70" s="31">
        <v>0</v>
      </c>
      <c r="W70" s="31">
        <v>0</v>
      </c>
      <c r="X70" s="31">
        <v>0</v>
      </c>
      <c r="Y70" s="31">
        <v>0</v>
      </c>
      <c r="Z70" s="31">
        <v>0</v>
      </c>
      <c r="AA70" s="31">
        <v>0</v>
      </c>
      <c r="AB70" s="31">
        <v>0</v>
      </c>
      <c r="AC70" s="31">
        <v>0</v>
      </c>
      <c r="AD70" s="31">
        <v>0</v>
      </c>
      <c r="AE70" s="31">
        <v>0</v>
      </c>
      <c r="AF70" s="31">
        <v>0</v>
      </c>
      <c r="AG70" s="31">
        <v>0</v>
      </c>
      <c r="AH70" s="31">
        <v>0</v>
      </c>
      <c r="AI70" s="31">
        <v>0</v>
      </c>
      <c r="AL70" s="31">
        <f t="shared" si="6"/>
        <v>0</v>
      </c>
      <c r="AM70" s="31">
        <f t="shared" si="7"/>
        <v>0</v>
      </c>
      <c r="AN70" s="31">
        <f t="shared" si="8"/>
        <v>0</v>
      </c>
      <c r="AP70" s="31">
        <f>VLOOKUP($B70,Kraftvärmeprod!$B$1:$BX$549,MATCH(AP$1,Kraftvärmeprod!$B$1:$BX$1,0),FALSE)</f>
        <v>0</v>
      </c>
      <c r="AQ70" s="31">
        <f>VLOOKUP($B70,Kraftvärmeprod!$B$1:$BX$549,MATCH(AQ$1,Kraftvärmeprod!$B$1:$BX$1,0),FALSE)</f>
        <v>0</v>
      </c>
      <c r="AR70" s="31">
        <f>VLOOKUP($B70,Kraftvärmeprod!$B$1:$BX$549,MATCH("Summa tillförd energi exklusive rökgaskondensering",Kraftvärmeprod!$B$1:$BX$1,0),FALSE)</f>
        <v>0</v>
      </c>
      <c r="AT70" s="32" t="str">
        <f t="shared" si="9"/>
        <v/>
      </c>
      <c r="AV70" s="31">
        <f t="shared" si="10"/>
        <v>0</v>
      </c>
      <c r="AX70" s="31" t="str">
        <f>VLOOKUP(B70,Totalt!$B$1:$BZ$554,MATCH(AX$1,Totalt!$B$1:$BZ$1,0),FALSE)</f>
        <v>Ja</v>
      </c>
      <c r="BA70" s="32" t="str">
        <f t="shared" si="11"/>
        <v/>
      </c>
    </row>
    <row r="71" spans="1:53" x14ac:dyDescent="0.45">
      <c r="A71" s="31" t="s">
        <v>601</v>
      </c>
      <c r="B71" s="31" t="s">
        <v>600</v>
      </c>
      <c r="J71" s="31">
        <v>0</v>
      </c>
      <c r="K71" s="31">
        <v>0.44649699999999998</v>
      </c>
      <c r="L71" s="31">
        <v>0</v>
      </c>
      <c r="M71" s="31">
        <v>0</v>
      </c>
      <c r="N71" s="31">
        <v>0</v>
      </c>
      <c r="O71" s="31">
        <v>0</v>
      </c>
      <c r="P71" s="31">
        <v>16.435199999999998</v>
      </c>
      <c r="Q71" s="31">
        <v>0</v>
      </c>
      <c r="R71" s="31">
        <v>0</v>
      </c>
      <c r="S71" s="31">
        <v>0</v>
      </c>
      <c r="T71" s="31">
        <v>0</v>
      </c>
      <c r="U71" s="31">
        <v>0</v>
      </c>
      <c r="W71" s="31">
        <v>0</v>
      </c>
      <c r="X71" s="31">
        <v>0</v>
      </c>
      <c r="Y71" s="31">
        <v>0</v>
      </c>
      <c r="Z71" s="31">
        <v>171.13399999999999</v>
      </c>
      <c r="AA71" s="31">
        <v>0</v>
      </c>
      <c r="AB71" s="31">
        <v>0</v>
      </c>
      <c r="AC71" s="31">
        <v>0</v>
      </c>
      <c r="AD71" s="31">
        <v>0</v>
      </c>
      <c r="AE71" s="31">
        <v>0</v>
      </c>
      <c r="AF71" s="31">
        <v>0</v>
      </c>
      <c r="AG71" s="31">
        <v>0</v>
      </c>
      <c r="AH71" s="31">
        <v>0</v>
      </c>
      <c r="AI71" s="31">
        <v>5.0507200000000001</v>
      </c>
      <c r="AL71" s="31">
        <f t="shared" si="6"/>
        <v>193.066417</v>
      </c>
      <c r="AM71" s="31">
        <f t="shared" si="7"/>
        <v>188.01569699999999</v>
      </c>
      <c r="AN71" s="31">
        <f t="shared" si="8"/>
        <v>188.01569699999999</v>
      </c>
      <c r="AP71" s="31">
        <f>VLOOKUP($B71,Kraftvärmeprod!$B$1:$BX$549,MATCH(AP$1,Kraftvärmeprod!$B$1:$BX$1,0),FALSE)</f>
        <v>198</v>
      </c>
      <c r="AQ71" s="31">
        <f>VLOOKUP($B71,Kraftvärmeprod!$B$1:$BX$549,MATCH(AQ$1,Kraftvärmeprod!$B$1:$BX$1,0),FALSE)</f>
        <v>77.5</v>
      </c>
      <c r="AR71" s="31">
        <f>VLOOKUP($B71,Kraftvärmeprod!$B$1:$BX$549,MATCH("Summa tillförd energi exklusive rökgaskondensering",Kraftvärmeprod!$B$1:$BX$1,0),FALSE)</f>
        <v>379.7</v>
      </c>
      <c r="AT71" s="32">
        <f t="shared" si="9"/>
        <v>0.49516907295233076</v>
      </c>
      <c r="AV71" s="31">
        <f t="shared" si="10"/>
        <v>187.5692</v>
      </c>
      <c r="AX71" s="31" t="str">
        <f>VLOOKUP(B71,Totalt!$B$1:$BZ$554,MATCH(AX$1,Totalt!$B$1:$BZ$1,0),FALSE)</f>
        <v>Ja</v>
      </c>
      <c r="BA71" s="32">
        <f t="shared" si="11"/>
        <v>1.025553812396073</v>
      </c>
    </row>
    <row r="72" spans="1:53" x14ac:dyDescent="0.45">
      <c r="A72" s="31" t="s">
        <v>597</v>
      </c>
      <c r="B72" s="31" t="s">
        <v>599</v>
      </c>
      <c r="J72" s="31">
        <v>0</v>
      </c>
      <c r="K72" s="31">
        <v>0</v>
      </c>
      <c r="L72" s="31">
        <v>0</v>
      </c>
      <c r="M72" s="31">
        <v>0</v>
      </c>
      <c r="N72" s="31">
        <v>0</v>
      </c>
      <c r="O72" s="31">
        <v>0</v>
      </c>
      <c r="P72" s="31">
        <v>284.51900000000001</v>
      </c>
      <c r="Q72" s="31">
        <v>90.465500000000006</v>
      </c>
      <c r="R72" s="31">
        <v>0</v>
      </c>
      <c r="S72" s="31">
        <v>0</v>
      </c>
      <c r="T72" s="31">
        <v>0</v>
      </c>
      <c r="U72" s="31">
        <v>0</v>
      </c>
      <c r="W72" s="31">
        <v>0</v>
      </c>
      <c r="X72" s="31">
        <v>0</v>
      </c>
      <c r="Y72" s="31">
        <v>0</v>
      </c>
      <c r="Z72" s="31">
        <v>0</v>
      </c>
      <c r="AA72" s="31">
        <v>0</v>
      </c>
      <c r="AB72" s="31">
        <v>0</v>
      </c>
      <c r="AC72" s="31">
        <v>0</v>
      </c>
      <c r="AD72" s="31">
        <v>0</v>
      </c>
      <c r="AE72" s="31">
        <v>0</v>
      </c>
      <c r="AF72" s="31">
        <v>0</v>
      </c>
      <c r="AG72" s="31">
        <v>0</v>
      </c>
      <c r="AH72" s="31">
        <v>114.503</v>
      </c>
      <c r="AI72" s="31">
        <v>11.4415</v>
      </c>
      <c r="AL72" s="31">
        <f t="shared" si="6"/>
        <v>500.92900000000003</v>
      </c>
      <c r="AM72" s="31">
        <f t="shared" si="7"/>
        <v>489.48750000000001</v>
      </c>
      <c r="AN72" s="31">
        <f t="shared" si="8"/>
        <v>374.98450000000003</v>
      </c>
      <c r="AP72" s="31">
        <f>VLOOKUP($B72,Kraftvärmeprod!$B$1:$BX$549,MATCH(AP$1,Kraftvärmeprod!$B$1:$BX$1,0),FALSE)</f>
        <v>557.33500000000004</v>
      </c>
      <c r="AQ72" s="31">
        <f>VLOOKUP($B72,Kraftvärmeprod!$B$1:$BX$549,MATCH(AQ$1,Kraftvärmeprod!$B$1:$BX$1,0),FALSE)</f>
        <v>183.82400000000001</v>
      </c>
      <c r="AR72" s="31">
        <f>VLOOKUP($B72,Kraftvärmeprod!$B$1:$BX$549,MATCH("Summa tillförd energi exklusive rökgaskondensering",Kraftvärmeprod!$B$1:$BX$1,0),FALSE)</f>
        <v>697.30100000000004</v>
      </c>
      <c r="AT72" s="32">
        <f t="shared" si="9"/>
        <v>0.53776561341515361</v>
      </c>
      <c r="AV72" s="31">
        <f t="shared" si="10"/>
        <v>374.98450000000003</v>
      </c>
      <c r="AX72" s="31" t="str">
        <f>VLOOKUP(B72,Totalt!$B$1:$BZ$554,MATCH(AX$1,Totalt!$B$1:$BZ$1,0),FALSE)</f>
        <v>Ja</v>
      </c>
      <c r="BA72" s="32">
        <f t="shared" si="11"/>
        <v>1.4422813164745643</v>
      </c>
    </row>
    <row r="73" spans="1:53" x14ac:dyDescent="0.45">
      <c r="A73" s="31" t="s">
        <v>597</v>
      </c>
      <c r="B73" s="31" t="s">
        <v>598</v>
      </c>
      <c r="J73" s="31">
        <v>0</v>
      </c>
      <c r="K73" s="31">
        <v>0</v>
      </c>
      <c r="L73" s="31">
        <v>0</v>
      </c>
      <c r="M73" s="31">
        <v>0</v>
      </c>
      <c r="N73" s="31">
        <v>0</v>
      </c>
      <c r="O73" s="31">
        <v>0</v>
      </c>
      <c r="P73" s="31">
        <v>0</v>
      </c>
      <c r="Q73" s="31">
        <v>0</v>
      </c>
      <c r="R73" s="31">
        <v>0</v>
      </c>
      <c r="S73" s="31">
        <v>0</v>
      </c>
      <c r="T73" s="31">
        <v>0</v>
      </c>
      <c r="U73" s="31">
        <v>0</v>
      </c>
      <c r="W73" s="31">
        <v>0</v>
      </c>
      <c r="X73" s="31">
        <v>0</v>
      </c>
      <c r="Y73" s="31">
        <v>0</v>
      </c>
      <c r="Z73" s="31">
        <v>0</v>
      </c>
      <c r="AA73" s="31">
        <v>0</v>
      </c>
      <c r="AB73" s="31">
        <v>0</v>
      </c>
      <c r="AC73" s="31">
        <v>0</v>
      </c>
      <c r="AD73" s="31">
        <v>0</v>
      </c>
      <c r="AE73" s="31">
        <v>0</v>
      </c>
      <c r="AF73" s="31">
        <v>0</v>
      </c>
      <c r="AG73" s="31">
        <v>0</v>
      </c>
      <c r="AH73" s="31">
        <v>0</v>
      </c>
      <c r="AI73" s="31">
        <v>0</v>
      </c>
      <c r="AL73" s="31">
        <f t="shared" si="6"/>
        <v>0</v>
      </c>
      <c r="AM73" s="31">
        <f t="shared" si="7"/>
        <v>0</v>
      </c>
      <c r="AN73" s="31">
        <f t="shared" si="8"/>
        <v>0</v>
      </c>
      <c r="AP73" s="31">
        <f>VLOOKUP($B73,Kraftvärmeprod!$B$1:$BX$549,MATCH(AP$1,Kraftvärmeprod!$B$1:$BX$1,0),FALSE)</f>
        <v>0</v>
      </c>
      <c r="AQ73" s="31">
        <f>VLOOKUP($B73,Kraftvärmeprod!$B$1:$BX$549,MATCH(AQ$1,Kraftvärmeprod!$B$1:$BX$1,0),FALSE)</f>
        <v>0</v>
      </c>
      <c r="AR73" s="31">
        <f>VLOOKUP($B73,Kraftvärmeprod!$B$1:$BX$549,MATCH("Summa tillförd energi exklusive rökgaskondensering",Kraftvärmeprod!$B$1:$BX$1,0),FALSE)</f>
        <v>0</v>
      </c>
      <c r="AT73" s="32" t="str">
        <f t="shared" si="9"/>
        <v/>
      </c>
      <c r="AV73" s="31">
        <f t="shared" si="10"/>
        <v>0</v>
      </c>
      <c r="AX73" s="31" t="str">
        <f>VLOOKUP(B73,Totalt!$B$1:$BZ$554,MATCH(AX$1,Totalt!$B$1:$BZ$1,0),FALSE)</f>
        <v>Ja</v>
      </c>
      <c r="BA73" s="32" t="str">
        <f t="shared" si="11"/>
        <v/>
      </c>
    </row>
    <row r="74" spans="1:53" x14ac:dyDescent="0.45">
      <c r="A74" s="31" t="s">
        <v>597</v>
      </c>
      <c r="B74" s="31" t="s">
        <v>596</v>
      </c>
      <c r="J74" s="31">
        <v>0</v>
      </c>
      <c r="K74" s="31">
        <v>0</v>
      </c>
      <c r="L74" s="31">
        <v>0</v>
      </c>
      <c r="M74" s="31">
        <v>0</v>
      </c>
      <c r="N74" s="31">
        <v>0</v>
      </c>
      <c r="O74" s="31">
        <v>0</v>
      </c>
      <c r="P74" s="31">
        <v>0</v>
      </c>
      <c r="Q74" s="31">
        <v>0</v>
      </c>
      <c r="R74" s="31">
        <v>0</v>
      </c>
      <c r="S74" s="31">
        <v>0</v>
      </c>
      <c r="T74" s="31">
        <v>0</v>
      </c>
      <c r="U74" s="31">
        <v>0</v>
      </c>
      <c r="W74" s="31">
        <v>0</v>
      </c>
      <c r="X74" s="31">
        <v>0</v>
      </c>
      <c r="Y74" s="31">
        <v>0</v>
      </c>
      <c r="Z74" s="31">
        <v>0</v>
      </c>
      <c r="AA74" s="31">
        <v>0</v>
      </c>
      <c r="AB74" s="31">
        <v>0</v>
      </c>
      <c r="AC74" s="31">
        <v>0</v>
      </c>
      <c r="AD74" s="31">
        <v>0</v>
      </c>
      <c r="AE74" s="31">
        <v>0</v>
      </c>
      <c r="AF74" s="31">
        <v>0</v>
      </c>
      <c r="AG74" s="31">
        <v>0</v>
      </c>
      <c r="AH74" s="31">
        <v>0</v>
      </c>
      <c r="AI74" s="31">
        <v>0</v>
      </c>
      <c r="AL74" s="31">
        <f t="shared" si="6"/>
        <v>0</v>
      </c>
      <c r="AM74" s="31">
        <f t="shared" si="7"/>
        <v>0</v>
      </c>
      <c r="AN74" s="31">
        <f t="shared" si="8"/>
        <v>0</v>
      </c>
      <c r="AP74" s="31">
        <f>VLOOKUP($B74,Kraftvärmeprod!$B$1:$BX$549,MATCH(AP$1,Kraftvärmeprod!$B$1:$BX$1,0),FALSE)</f>
        <v>0</v>
      </c>
      <c r="AQ74" s="31">
        <f>VLOOKUP($B74,Kraftvärmeprod!$B$1:$BX$549,MATCH(AQ$1,Kraftvärmeprod!$B$1:$BX$1,0),FALSE)</f>
        <v>0</v>
      </c>
      <c r="AR74" s="31">
        <f>VLOOKUP($B74,Kraftvärmeprod!$B$1:$BX$549,MATCH("Summa tillförd energi exklusive rökgaskondensering",Kraftvärmeprod!$B$1:$BX$1,0),FALSE)</f>
        <v>0</v>
      </c>
      <c r="AT74" s="32" t="str">
        <f t="shared" si="9"/>
        <v/>
      </c>
      <c r="AV74" s="31">
        <f t="shared" si="10"/>
        <v>0</v>
      </c>
      <c r="AX74" s="31" t="str">
        <f>VLOOKUP(B74,Totalt!$B$1:$BZ$554,MATCH(AX$1,Totalt!$B$1:$BZ$1,0),FALSE)</f>
        <v>Ja</v>
      </c>
      <c r="BA74" s="32" t="str">
        <f t="shared" si="11"/>
        <v/>
      </c>
    </row>
    <row r="75" spans="1:53" x14ac:dyDescent="0.45">
      <c r="A75" s="31" t="s">
        <v>593</v>
      </c>
      <c r="B75" s="31" t="s">
        <v>595</v>
      </c>
      <c r="J75" s="31">
        <v>0</v>
      </c>
      <c r="K75" s="31">
        <v>0</v>
      </c>
      <c r="L75" s="31">
        <v>0</v>
      </c>
      <c r="M75" s="31">
        <v>0</v>
      </c>
      <c r="N75" s="31">
        <v>0</v>
      </c>
      <c r="O75" s="31">
        <v>0</v>
      </c>
      <c r="P75" s="31">
        <v>81.192800000000005</v>
      </c>
      <c r="Q75" s="31">
        <v>3.5853299999999999</v>
      </c>
      <c r="R75" s="31">
        <v>0.44816699999999998</v>
      </c>
      <c r="S75" s="31">
        <v>0</v>
      </c>
      <c r="T75" s="31">
        <v>0</v>
      </c>
      <c r="U75" s="31">
        <v>17.2544</v>
      </c>
      <c r="W75" s="31">
        <v>0</v>
      </c>
      <c r="X75" s="31">
        <v>2.6890000000000001</v>
      </c>
      <c r="Y75" s="31">
        <v>0</v>
      </c>
      <c r="Z75" s="31">
        <v>0</v>
      </c>
      <c r="AA75" s="31">
        <v>0</v>
      </c>
      <c r="AB75" s="31">
        <v>0.316718</v>
      </c>
      <c r="AC75" s="31">
        <v>0</v>
      </c>
      <c r="AD75" s="31">
        <v>0</v>
      </c>
      <c r="AE75" s="31">
        <v>0</v>
      </c>
      <c r="AF75" s="31">
        <v>0</v>
      </c>
      <c r="AG75" s="31">
        <v>0</v>
      </c>
      <c r="AH75" s="31">
        <v>23.2</v>
      </c>
      <c r="AI75" s="31">
        <v>0.47812500000000002</v>
      </c>
      <c r="AL75" s="31">
        <f t="shared" si="6"/>
        <v>129.16454000000002</v>
      </c>
      <c r="AM75" s="31">
        <f t="shared" si="7"/>
        <v>128.68641500000001</v>
      </c>
      <c r="AN75" s="31">
        <f t="shared" si="8"/>
        <v>105.48641500000001</v>
      </c>
      <c r="AP75" s="31">
        <f>VLOOKUP($B75,Kraftvärmeprod!$B$1:$BX$549,MATCH(AP$1,Kraftvärmeprod!$B$1:$BX$1,0),FALSE)</f>
        <v>90</v>
      </c>
      <c r="AQ75" s="31">
        <f>VLOOKUP($B75,Kraftvärmeprod!$B$1:$BX$549,MATCH(AQ$1,Kraftvärmeprod!$B$1:$BX$1,0),FALSE)</f>
        <v>11.7</v>
      </c>
      <c r="AR75" s="31">
        <f>VLOOKUP($B75,Kraftvärmeprod!$B$1:$BX$549,MATCH("Summa tillförd energi exklusive rökgaskondensering",Kraftvärmeprod!$B$1:$BX$1,0),FALSE)</f>
        <v>141.19999999999999</v>
      </c>
      <c r="AT75" s="32">
        <f t="shared" si="9"/>
        <v>0.74707092776203976</v>
      </c>
      <c r="AV75" s="31">
        <f t="shared" si="10"/>
        <v>105.48641500000001</v>
      </c>
      <c r="AX75" s="31" t="str">
        <f>VLOOKUP(B75,Totalt!$B$1:$BZ$554,MATCH(AX$1,Totalt!$B$1:$BZ$1,0),FALSE)</f>
        <v>Ja</v>
      </c>
      <c r="BA75" s="32">
        <f t="shared" si="11"/>
        <v>0.84934073228647988</v>
      </c>
    </row>
    <row r="76" spans="1:53" x14ac:dyDescent="0.45">
      <c r="A76" s="31" t="s">
        <v>593</v>
      </c>
      <c r="B76" s="31" t="s">
        <v>594</v>
      </c>
      <c r="J76" s="31">
        <v>0</v>
      </c>
      <c r="K76" s="31">
        <v>0</v>
      </c>
      <c r="L76" s="31">
        <v>0</v>
      </c>
      <c r="M76" s="31">
        <v>0</v>
      </c>
      <c r="N76" s="31">
        <v>0</v>
      </c>
      <c r="O76" s="31">
        <v>0</v>
      </c>
      <c r="P76" s="31">
        <v>0</v>
      </c>
      <c r="Q76" s="31">
        <v>0</v>
      </c>
      <c r="R76" s="31">
        <v>0</v>
      </c>
      <c r="S76" s="31">
        <v>0</v>
      </c>
      <c r="T76" s="31">
        <v>0</v>
      </c>
      <c r="U76" s="31">
        <v>0</v>
      </c>
      <c r="W76" s="31">
        <v>0</v>
      </c>
      <c r="X76" s="31">
        <v>0</v>
      </c>
      <c r="Y76" s="31">
        <v>0</v>
      </c>
      <c r="Z76" s="31">
        <v>0</v>
      </c>
      <c r="AA76" s="31">
        <v>0</v>
      </c>
      <c r="AB76" s="31">
        <v>0</v>
      </c>
      <c r="AC76" s="31">
        <v>0</v>
      </c>
      <c r="AD76" s="31">
        <v>0</v>
      </c>
      <c r="AE76" s="31">
        <v>0</v>
      </c>
      <c r="AF76" s="31">
        <v>0</v>
      </c>
      <c r="AG76" s="31">
        <v>0</v>
      </c>
      <c r="AH76" s="31">
        <v>0</v>
      </c>
      <c r="AI76" s="31">
        <v>0</v>
      </c>
      <c r="AL76" s="31">
        <f t="shared" si="6"/>
        <v>0</v>
      </c>
      <c r="AM76" s="31">
        <f t="shared" si="7"/>
        <v>0</v>
      </c>
      <c r="AN76" s="31">
        <f t="shared" si="8"/>
        <v>0</v>
      </c>
      <c r="AP76" s="31">
        <f>VLOOKUP($B76,Kraftvärmeprod!$B$1:$BX$549,MATCH(AP$1,Kraftvärmeprod!$B$1:$BX$1,0),FALSE)</f>
        <v>0</v>
      </c>
      <c r="AQ76" s="31">
        <f>VLOOKUP($B76,Kraftvärmeprod!$B$1:$BX$549,MATCH(AQ$1,Kraftvärmeprod!$B$1:$BX$1,0),FALSE)</f>
        <v>0</v>
      </c>
      <c r="AR76" s="31">
        <f>VLOOKUP($B76,Kraftvärmeprod!$B$1:$BX$549,MATCH("Summa tillförd energi exklusive rökgaskondensering",Kraftvärmeprod!$B$1:$BX$1,0),FALSE)</f>
        <v>0</v>
      </c>
      <c r="AT76" s="32" t="str">
        <f t="shared" si="9"/>
        <v/>
      </c>
      <c r="AV76" s="31">
        <f t="shared" si="10"/>
        <v>0</v>
      </c>
      <c r="AX76" s="31" t="str">
        <f>VLOOKUP(B76,Totalt!$B$1:$BZ$554,MATCH(AX$1,Totalt!$B$1:$BZ$1,0),FALSE)</f>
        <v>Ja</v>
      </c>
      <c r="BA76" s="32" t="str">
        <f t="shared" si="11"/>
        <v/>
      </c>
    </row>
    <row r="77" spans="1:53" x14ac:dyDescent="0.45">
      <c r="A77" s="31" t="s">
        <v>593</v>
      </c>
      <c r="B77" s="31" t="s">
        <v>592</v>
      </c>
      <c r="J77" s="31">
        <v>0</v>
      </c>
      <c r="K77" s="31">
        <v>0</v>
      </c>
      <c r="L77" s="31">
        <v>0</v>
      </c>
      <c r="M77" s="31">
        <v>0</v>
      </c>
      <c r="N77" s="31">
        <v>0</v>
      </c>
      <c r="O77" s="31">
        <v>0</v>
      </c>
      <c r="P77" s="31">
        <v>0</v>
      </c>
      <c r="Q77" s="31">
        <v>0</v>
      </c>
      <c r="R77" s="31">
        <v>0</v>
      </c>
      <c r="S77" s="31">
        <v>0</v>
      </c>
      <c r="T77" s="31">
        <v>0</v>
      </c>
      <c r="U77" s="31">
        <v>0</v>
      </c>
      <c r="W77" s="31">
        <v>0</v>
      </c>
      <c r="X77" s="31">
        <v>0</v>
      </c>
      <c r="Y77" s="31">
        <v>0</v>
      </c>
      <c r="Z77" s="31">
        <v>0</v>
      </c>
      <c r="AA77" s="31">
        <v>0</v>
      </c>
      <c r="AB77" s="31">
        <v>0</v>
      </c>
      <c r="AC77" s="31">
        <v>0</v>
      </c>
      <c r="AD77" s="31">
        <v>0</v>
      </c>
      <c r="AE77" s="31">
        <v>0</v>
      </c>
      <c r="AF77" s="31">
        <v>0</v>
      </c>
      <c r="AG77" s="31">
        <v>0</v>
      </c>
      <c r="AH77" s="31">
        <v>0</v>
      </c>
      <c r="AI77" s="31">
        <v>0</v>
      </c>
      <c r="AL77" s="31">
        <f t="shared" si="6"/>
        <v>0</v>
      </c>
      <c r="AM77" s="31">
        <f t="shared" si="7"/>
        <v>0</v>
      </c>
      <c r="AN77" s="31">
        <f t="shared" si="8"/>
        <v>0</v>
      </c>
      <c r="AP77" s="31">
        <f>VLOOKUP($B77,Kraftvärmeprod!$B$1:$BX$549,MATCH(AP$1,Kraftvärmeprod!$B$1:$BX$1,0),FALSE)</f>
        <v>0</v>
      </c>
      <c r="AQ77" s="31">
        <f>VLOOKUP($B77,Kraftvärmeprod!$B$1:$BX$549,MATCH(AQ$1,Kraftvärmeprod!$B$1:$BX$1,0),FALSE)</f>
        <v>0</v>
      </c>
      <c r="AR77" s="31">
        <f>VLOOKUP($B77,Kraftvärmeprod!$B$1:$BX$549,MATCH("Summa tillförd energi exklusive rökgaskondensering",Kraftvärmeprod!$B$1:$BX$1,0),FALSE)</f>
        <v>0</v>
      </c>
      <c r="AT77" s="32" t="str">
        <f t="shared" si="9"/>
        <v/>
      </c>
      <c r="AV77" s="31">
        <f t="shared" si="10"/>
        <v>0</v>
      </c>
      <c r="AX77" s="31" t="str">
        <f>VLOOKUP(B77,Totalt!$B$1:$BZ$554,MATCH(AX$1,Totalt!$B$1:$BZ$1,0),FALSE)</f>
        <v>Ja</v>
      </c>
      <c r="BA77" s="32" t="str">
        <f t="shared" si="11"/>
        <v/>
      </c>
    </row>
    <row r="78" spans="1:53" x14ac:dyDescent="0.45">
      <c r="A78" s="31" t="s">
        <v>589</v>
      </c>
      <c r="B78" s="31" t="s">
        <v>591</v>
      </c>
      <c r="J78" s="31">
        <v>0</v>
      </c>
      <c r="K78" s="31">
        <v>0</v>
      </c>
      <c r="L78" s="31">
        <v>0</v>
      </c>
      <c r="M78" s="31">
        <v>0</v>
      </c>
      <c r="N78" s="31">
        <v>0</v>
      </c>
      <c r="O78" s="31">
        <v>0</v>
      </c>
      <c r="P78" s="31">
        <v>0</v>
      </c>
      <c r="Q78" s="31">
        <v>0</v>
      </c>
      <c r="R78" s="31">
        <v>0</v>
      </c>
      <c r="S78" s="31">
        <v>0</v>
      </c>
      <c r="T78" s="31">
        <v>0</v>
      </c>
      <c r="U78" s="31">
        <v>0</v>
      </c>
      <c r="W78" s="31">
        <v>0</v>
      </c>
      <c r="X78" s="31">
        <v>0</v>
      </c>
      <c r="Y78" s="31">
        <v>0</v>
      </c>
      <c r="Z78" s="31">
        <v>0</v>
      </c>
      <c r="AA78" s="31">
        <v>0</v>
      </c>
      <c r="AB78" s="31">
        <v>0</v>
      </c>
      <c r="AC78" s="31">
        <v>0</v>
      </c>
      <c r="AD78" s="31">
        <v>0</v>
      </c>
      <c r="AE78" s="31">
        <v>0</v>
      </c>
      <c r="AF78" s="31">
        <v>0</v>
      </c>
      <c r="AG78" s="31">
        <v>0</v>
      </c>
      <c r="AH78" s="31">
        <v>0</v>
      </c>
      <c r="AI78" s="31">
        <v>0</v>
      </c>
      <c r="AL78" s="31">
        <f t="shared" si="6"/>
        <v>0</v>
      </c>
      <c r="AM78" s="31">
        <f t="shared" si="7"/>
        <v>0</v>
      </c>
      <c r="AN78" s="31">
        <f t="shared" si="8"/>
        <v>0</v>
      </c>
      <c r="AP78" s="31">
        <f>VLOOKUP($B78,Kraftvärmeprod!$B$1:$BX$549,MATCH(AP$1,Kraftvärmeprod!$B$1:$BX$1,0),FALSE)</f>
        <v>0</v>
      </c>
      <c r="AQ78" s="31">
        <f>VLOOKUP($B78,Kraftvärmeprod!$B$1:$BX$549,MATCH(AQ$1,Kraftvärmeprod!$B$1:$BX$1,0),FALSE)</f>
        <v>0</v>
      </c>
      <c r="AR78" s="31">
        <f>VLOOKUP($B78,Kraftvärmeprod!$B$1:$BX$549,MATCH("Summa tillförd energi exklusive rökgaskondensering",Kraftvärmeprod!$B$1:$BX$1,0),FALSE)</f>
        <v>0</v>
      </c>
      <c r="AT78" s="32" t="str">
        <f t="shared" si="9"/>
        <v/>
      </c>
      <c r="AV78" s="31">
        <f t="shared" si="10"/>
        <v>0</v>
      </c>
      <c r="AX78" s="31" t="str">
        <f>VLOOKUP(B78,Totalt!$B$1:$BZ$554,MATCH(AX$1,Totalt!$B$1:$BZ$1,0),FALSE)</f>
        <v>Ja</v>
      </c>
      <c r="BA78" s="32" t="str">
        <f t="shared" si="11"/>
        <v/>
      </c>
    </row>
    <row r="79" spans="1:53" x14ac:dyDescent="0.45">
      <c r="A79" s="31" t="s">
        <v>589</v>
      </c>
      <c r="B79" s="31" t="s">
        <v>590</v>
      </c>
      <c r="J79" s="31">
        <v>0</v>
      </c>
      <c r="K79" s="31">
        <v>0</v>
      </c>
      <c r="L79" s="31">
        <v>0</v>
      </c>
      <c r="M79" s="31">
        <v>0</v>
      </c>
      <c r="N79" s="31">
        <v>0</v>
      </c>
      <c r="O79" s="31">
        <v>0</v>
      </c>
      <c r="P79" s="31">
        <v>0</v>
      </c>
      <c r="Q79" s="31">
        <v>0</v>
      </c>
      <c r="R79" s="31">
        <v>0</v>
      </c>
      <c r="S79" s="31">
        <v>0</v>
      </c>
      <c r="T79" s="31">
        <v>0</v>
      </c>
      <c r="U79" s="31">
        <v>0</v>
      </c>
      <c r="W79" s="31">
        <v>0</v>
      </c>
      <c r="X79" s="31">
        <v>0</v>
      </c>
      <c r="Y79" s="31">
        <v>0</v>
      </c>
      <c r="Z79" s="31">
        <v>0</v>
      </c>
      <c r="AA79" s="31">
        <v>0</v>
      </c>
      <c r="AB79" s="31">
        <v>0</v>
      </c>
      <c r="AC79" s="31">
        <v>0</v>
      </c>
      <c r="AD79" s="31">
        <v>0</v>
      </c>
      <c r="AE79" s="31">
        <v>0</v>
      </c>
      <c r="AF79" s="31">
        <v>0</v>
      </c>
      <c r="AG79" s="31">
        <v>0</v>
      </c>
      <c r="AH79" s="31">
        <v>0</v>
      </c>
      <c r="AI79" s="31">
        <v>0</v>
      </c>
      <c r="AL79" s="31">
        <f t="shared" si="6"/>
        <v>0</v>
      </c>
      <c r="AM79" s="31">
        <f t="shared" si="7"/>
        <v>0</v>
      </c>
      <c r="AN79" s="31">
        <f t="shared" si="8"/>
        <v>0</v>
      </c>
      <c r="AP79" s="31">
        <f>VLOOKUP($B79,Kraftvärmeprod!$B$1:$BX$549,MATCH(AP$1,Kraftvärmeprod!$B$1:$BX$1,0),FALSE)</f>
        <v>0</v>
      </c>
      <c r="AQ79" s="31">
        <f>VLOOKUP($B79,Kraftvärmeprod!$B$1:$BX$549,MATCH(AQ$1,Kraftvärmeprod!$B$1:$BX$1,0),FALSE)</f>
        <v>0</v>
      </c>
      <c r="AR79" s="31">
        <f>VLOOKUP($B79,Kraftvärmeprod!$B$1:$BX$549,MATCH("Summa tillförd energi exklusive rökgaskondensering",Kraftvärmeprod!$B$1:$BX$1,0),FALSE)</f>
        <v>0</v>
      </c>
      <c r="AT79" s="32" t="str">
        <f t="shared" si="9"/>
        <v/>
      </c>
      <c r="AV79" s="31">
        <f t="shared" si="10"/>
        <v>0</v>
      </c>
      <c r="AX79" s="31" t="str">
        <f>VLOOKUP(B79,Totalt!$B$1:$BZ$554,MATCH(AX$1,Totalt!$B$1:$BZ$1,0),FALSE)</f>
        <v>Ja</v>
      </c>
      <c r="BA79" s="32" t="str">
        <f t="shared" si="11"/>
        <v/>
      </c>
    </row>
    <row r="80" spans="1:53" x14ac:dyDescent="0.45">
      <c r="A80" s="31" t="s">
        <v>589</v>
      </c>
      <c r="B80" s="31" t="s">
        <v>588</v>
      </c>
      <c r="J80" s="31">
        <v>0</v>
      </c>
      <c r="K80" s="31">
        <v>0</v>
      </c>
      <c r="L80" s="31">
        <v>0</v>
      </c>
      <c r="M80" s="31">
        <v>0</v>
      </c>
      <c r="N80" s="31">
        <v>0</v>
      </c>
      <c r="O80" s="31">
        <v>0</v>
      </c>
      <c r="P80" s="31">
        <v>0</v>
      </c>
      <c r="Q80" s="31">
        <v>0</v>
      </c>
      <c r="R80" s="31">
        <v>0</v>
      </c>
      <c r="S80" s="31">
        <v>0</v>
      </c>
      <c r="T80" s="31">
        <v>0</v>
      </c>
      <c r="U80" s="31">
        <v>0</v>
      </c>
      <c r="W80" s="31">
        <v>0</v>
      </c>
      <c r="X80" s="31">
        <v>0</v>
      </c>
      <c r="Y80" s="31">
        <v>0</v>
      </c>
      <c r="Z80" s="31">
        <v>0</v>
      </c>
      <c r="AA80" s="31">
        <v>0</v>
      </c>
      <c r="AB80" s="31">
        <v>0</v>
      </c>
      <c r="AC80" s="31">
        <v>0</v>
      </c>
      <c r="AD80" s="31">
        <v>0</v>
      </c>
      <c r="AE80" s="31">
        <v>0</v>
      </c>
      <c r="AF80" s="31">
        <v>0</v>
      </c>
      <c r="AG80" s="31">
        <v>0</v>
      </c>
      <c r="AH80" s="31">
        <v>0</v>
      </c>
      <c r="AI80" s="31">
        <v>0</v>
      </c>
      <c r="AL80" s="31">
        <f t="shared" si="6"/>
        <v>0</v>
      </c>
      <c r="AM80" s="31">
        <f t="shared" si="7"/>
        <v>0</v>
      </c>
      <c r="AN80" s="31">
        <f t="shared" si="8"/>
        <v>0</v>
      </c>
      <c r="AP80" s="31">
        <f>VLOOKUP($B80,Kraftvärmeprod!$B$1:$BX$549,MATCH(AP$1,Kraftvärmeprod!$B$1:$BX$1,0),FALSE)</f>
        <v>0</v>
      </c>
      <c r="AQ80" s="31">
        <f>VLOOKUP($B80,Kraftvärmeprod!$B$1:$BX$549,MATCH(AQ$1,Kraftvärmeprod!$B$1:$BX$1,0),FALSE)</f>
        <v>0</v>
      </c>
      <c r="AR80" s="31">
        <f>VLOOKUP($B80,Kraftvärmeprod!$B$1:$BX$549,MATCH("Summa tillförd energi exklusive rökgaskondensering",Kraftvärmeprod!$B$1:$BX$1,0),FALSE)</f>
        <v>0</v>
      </c>
      <c r="AT80" s="32" t="str">
        <f t="shared" si="9"/>
        <v/>
      </c>
      <c r="AV80" s="31">
        <f t="shared" si="10"/>
        <v>0</v>
      </c>
      <c r="AX80" s="31" t="str">
        <f>VLOOKUP(B80,Totalt!$B$1:$BZ$554,MATCH(AX$1,Totalt!$B$1:$BZ$1,0),FALSE)</f>
        <v>Ja</v>
      </c>
      <c r="BA80" s="32" t="str">
        <f t="shared" si="11"/>
        <v/>
      </c>
    </row>
    <row r="81" spans="1:53" x14ac:dyDescent="0.45">
      <c r="A81" s="31" t="s">
        <v>582</v>
      </c>
      <c r="B81" s="31" t="s">
        <v>586</v>
      </c>
      <c r="J81" s="31">
        <v>0</v>
      </c>
      <c r="K81" s="31">
        <v>0</v>
      </c>
      <c r="L81" s="31">
        <v>0</v>
      </c>
      <c r="M81" s="31">
        <v>0</v>
      </c>
      <c r="N81" s="31">
        <v>0</v>
      </c>
      <c r="O81" s="31">
        <v>0</v>
      </c>
      <c r="P81" s="31">
        <v>0</v>
      </c>
      <c r="Q81" s="31">
        <v>0</v>
      </c>
      <c r="R81" s="31">
        <v>0</v>
      </c>
      <c r="S81" s="31">
        <v>0</v>
      </c>
      <c r="T81" s="31">
        <v>0</v>
      </c>
      <c r="U81" s="31">
        <v>0</v>
      </c>
      <c r="W81" s="31">
        <v>0</v>
      </c>
      <c r="X81" s="31">
        <v>0</v>
      </c>
      <c r="Y81" s="31">
        <v>0</v>
      </c>
      <c r="Z81" s="31">
        <v>0</v>
      </c>
      <c r="AA81" s="31">
        <v>0</v>
      </c>
      <c r="AB81" s="31">
        <v>0</v>
      </c>
      <c r="AC81" s="31">
        <v>0</v>
      </c>
      <c r="AD81" s="31">
        <v>0</v>
      </c>
      <c r="AE81" s="31">
        <v>0</v>
      </c>
      <c r="AF81" s="31">
        <v>0</v>
      </c>
      <c r="AG81" s="31">
        <v>0</v>
      </c>
      <c r="AH81" s="31">
        <v>0</v>
      </c>
      <c r="AI81" s="31">
        <v>0</v>
      </c>
      <c r="AL81" s="31">
        <f t="shared" si="6"/>
        <v>0</v>
      </c>
      <c r="AM81" s="31">
        <f t="shared" si="7"/>
        <v>0</v>
      </c>
      <c r="AN81" s="31">
        <f t="shared" si="8"/>
        <v>0</v>
      </c>
      <c r="AP81" s="31">
        <f>VLOOKUP($B81,Kraftvärmeprod!$B$1:$BX$549,MATCH(AP$1,Kraftvärmeprod!$B$1:$BX$1,0),FALSE)</f>
        <v>0</v>
      </c>
      <c r="AQ81" s="31">
        <f>VLOOKUP($B81,Kraftvärmeprod!$B$1:$BX$549,MATCH(AQ$1,Kraftvärmeprod!$B$1:$BX$1,0),FALSE)</f>
        <v>0</v>
      </c>
      <c r="AR81" s="31">
        <f>VLOOKUP($B81,Kraftvärmeprod!$B$1:$BX$549,MATCH("Summa tillförd energi exklusive rökgaskondensering",Kraftvärmeprod!$B$1:$BX$1,0),FALSE)</f>
        <v>0</v>
      </c>
      <c r="AT81" s="32" t="str">
        <f t="shared" si="9"/>
        <v/>
      </c>
      <c r="AV81" s="31">
        <f t="shared" si="10"/>
        <v>0</v>
      </c>
      <c r="AX81" s="31" t="str">
        <f>VLOOKUP(B81,Totalt!$B$1:$BZ$554,MATCH(AX$1,Totalt!$B$1:$BZ$1,0),FALSE)</f>
        <v>Ja</v>
      </c>
      <c r="BA81" s="32" t="str">
        <f t="shared" si="11"/>
        <v/>
      </c>
    </row>
    <row r="82" spans="1:53" x14ac:dyDescent="0.45">
      <c r="A82" s="31" t="s">
        <v>582</v>
      </c>
      <c r="B82" s="31" t="s">
        <v>585</v>
      </c>
      <c r="J82" s="31">
        <v>0</v>
      </c>
      <c r="K82" s="31">
        <v>1.1000000000000001</v>
      </c>
      <c r="L82" s="31">
        <v>0</v>
      </c>
      <c r="M82" s="31">
        <v>0</v>
      </c>
      <c r="N82" s="31">
        <v>0</v>
      </c>
      <c r="O82" s="31">
        <v>0</v>
      </c>
      <c r="P82" s="31">
        <v>67.553899999999999</v>
      </c>
      <c r="Q82" s="31">
        <v>61.3459</v>
      </c>
      <c r="R82" s="31">
        <v>41.908999999999999</v>
      </c>
      <c r="S82" s="31">
        <v>0</v>
      </c>
      <c r="T82" s="31">
        <v>0</v>
      </c>
      <c r="U82" s="31">
        <v>20.158000000000001</v>
      </c>
      <c r="W82" s="31">
        <v>0</v>
      </c>
      <c r="X82" s="31">
        <v>0</v>
      </c>
      <c r="Y82" s="31">
        <v>0</v>
      </c>
      <c r="Z82" s="31">
        <v>46.228999999999999</v>
      </c>
      <c r="AA82" s="31">
        <v>0</v>
      </c>
      <c r="AB82" s="31">
        <v>0</v>
      </c>
      <c r="AC82" s="31">
        <v>0</v>
      </c>
      <c r="AD82" s="31">
        <v>0</v>
      </c>
      <c r="AE82" s="31">
        <v>0</v>
      </c>
      <c r="AF82" s="31">
        <v>0</v>
      </c>
      <c r="AG82" s="31">
        <v>0</v>
      </c>
      <c r="AH82" s="31">
        <v>65.7</v>
      </c>
      <c r="AI82" s="31">
        <v>10.177099999999999</v>
      </c>
      <c r="AL82" s="31">
        <f t="shared" si="6"/>
        <v>314.17289999999997</v>
      </c>
      <c r="AM82" s="31">
        <f t="shared" si="7"/>
        <v>303.99579999999997</v>
      </c>
      <c r="AN82" s="31">
        <f t="shared" si="8"/>
        <v>238.29579999999999</v>
      </c>
      <c r="AP82" s="31">
        <f>VLOOKUP($B82,Kraftvärmeprod!$B$1:$BX$549,MATCH(AP$1,Kraftvärmeprod!$B$1:$BX$1,0),FALSE)</f>
        <v>258.39999999999998</v>
      </c>
      <c r="AQ82" s="31">
        <f>VLOOKUP($B82,Kraftvärmeprod!$B$1:$BX$549,MATCH(AQ$1,Kraftvärmeprod!$B$1:$BX$1,0),FALSE)</f>
        <v>52.1</v>
      </c>
      <c r="AR82" s="31">
        <f>VLOOKUP($B82,Kraftvärmeprod!$B$1:$BX$549,MATCH("Summa tillförd energi exklusive rökgaskondensering",Kraftvärmeprod!$B$1:$BX$1,0),FALSE)</f>
        <v>362.92999999999995</v>
      </c>
      <c r="AT82" s="32">
        <f t="shared" si="9"/>
        <v>0.65658887388752663</v>
      </c>
      <c r="AV82" s="31">
        <f t="shared" si="10"/>
        <v>237.19579999999996</v>
      </c>
      <c r="AX82" s="31" t="str">
        <f>VLOOKUP(B82,Totalt!$B$1:$BZ$554,MATCH(AX$1,Totalt!$B$1:$BZ$1,0),FALSE)</f>
        <v>Ja</v>
      </c>
      <c r="BA82" s="32">
        <f t="shared" si="11"/>
        <v>1.0399524455182034</v>
      </c>
    </row>
    <row r="83" spans="1:53" x14ac:dyDescent="0.45">
      <c r="A83" s="31" t="s">
        <v>582</v>
      </c>
      <c r="B83" s="31" t="s">
        <v>583</v>
      </c>
      <c r="J83" s="31">
        <v>0</v>
      </c>
      <c r="K83" s="31">
        <v>0</v>
      </c>
      <c r="L83" s="31">
        <v>0</v>
      </c>
      <c r="M83" s="31">
        <v>0</v>
      </c>
      <c r="N83" s="31">
        <v>0</v>
      </c>
      <c r="O83" s="31">
        <v>0</v>
      </c>
      <c r="P83" s="31">
        <v>0</v>
      </c>
      <c r="Q83" s="31">
        <v>0</v>
      </c>
      <c r="R83" s="31">
        <v>0</v>
      </c>
      <c r="S83" s="31">
        <v>0</v>
      </c>
      <c r="T83" s="31">
        <v>0</v>
      </c>
      <c r="U83" s="31">
        <v>0</v>
      </c>
      <c r="W83" s="31">
        <v>0</v>
      </c>
      <c r="X83" s="31">
        <v>0</v>
      </c>
      <c r="Y83" s="31">
        <v>0</v>
      </c>
      <c r="Z83" s="31">
        <v>0</v>
      </c>
      <c r="AA83" s="31">
        <v>0</v>
      </c>
      <c r="AB83" s="31">
        <v>0</v>
      </c>
      <c r="AC83" s="31">
        <v>0</v>
      </c>
      <c r="AD83" s="31">
        <v>0</v>
      </c>
      <c r="AE83" s="31">
        <v>0</v>
      </c>
      <c r="AF83" s="31">
        <v>0</v>
      </c>
      <c r="AG83" s="31">
        <v>0</v>
      </c>
      <c r="AH83" s="31">
        <v>0</v>
      </c>
      <c r="AI83" s="31">
        <v>0</v>
      </c>
      <c r="AL83" s="31">
        <f t="shared" si="6"/>
        <v>0</v>
      </c>
      <c r="AM83" s="31">
        <f t="shared" si="7"/>
        <v>0</v>
      </c>
      <c r="AN83" s="31">
        <f t="shared" si="8"/>
        <v>0</v>
      </c>
      <c r="AP83" s="31">
        <f>VLOOKUP($B83,Kraftvärmeprod!$B$1:$BX$549,MATCH(AP$1,Kraftvärmeprod!$B$1:$BX$1,0),FALSE)</f>
        <v>0</v>
      </c>
      <c r="AQ83" s="31">
        <f>VLOOKUP($B83,Kraftvärmeprod!$B$1:$BX$549,MATCH(AQ$1,Kraftvärmeprod!$B$1:$BX$1,0),FALSE)</f>
        <v>0</v>
      </c>
      <c r="AR83" s="31">
        <f>VLOOKUP($B83,Kraftvärmeprod!$B$1:$BX$549,MATCH("Summa tillförd energi exklusive rökgaskondensering",Kraftvärmeprod!$B$1:$BX$1,0),FALSE)</f>
        <v>0</v>
      </c>
      <c r="AT83" s="32" t="str">
        <f t="shared" si="9"/>
        <v/>
      </c>
      <c r="AV83" s="31">
        <f t="shared" si="10"/>
        <v>0</v>
      </c>
      <c r="AX83" s="31" t="str">
        <f>VLOOKUP(B83,Totalt!$B$1:$BZ$554,MATCH(AX$1,Totalt!$B$1:$BZ$1,0),FALSE)</f>
        <v>Ja</v>
      </c>
      <c r="BA83" s="32" t="str">
        <f t="shared" si="11"/>
        <v/>
      </c>
    </row>
    <row r="84" spans="1:53" x14ac:dyDescent="0.45">
      <c r="A84" s="31" t="s">
        <v>582</v>
      </c>
      <c r="B84" s="31" t="s">
        <v>581</v>
      </c>
      <c r="J84" s="31">
        <v>0</v>
      </c>
      <c r="K84" s="31">
        <v>0</v>
      </c>
      <c r="L84" s="31">
        <v>0</v>
      </c>
      <c r="M84" s="31">
        <v>0</v>
      </c>
      <c r="N84" s="31">
        <v>0</v>
      </c>
      <c r="O84" s="31">
        <v>0</v>
      </c>
      <c r="P84" s="31">
        <v>0</v>
      </c>
      <c r="Q84" s="31">
        <v>0</v>
      </c>
      <c r="R84" s="31">
        <v>0</v>
      </c>
      <c r="S84" s="31">
        <v>0</v>
      </c>
      <c r="T84" s="31">
        <v>0</v>
      </c>
      <c r="U84" s="31">
        <v>0</v>
      </c>
      <c r="W84" s="31">
        <v>0</v>
      </c>
      <c r="X84" s="31">
        <v>0</v>
      </c>
      <c r="Y84" s="31">
        <v>0</v>
      </c>
      <c r="Z84" s="31">
        <v>0</v>
      </c>
      <c r="AA84" s="31">
        <v>0</v>
      </c>
      <c r="AB84" s="31">
        <v>0</v>
      </c>
      <c r="AC84" s="31">
        <v>0</v>
      </c>
      <c r="AD84" s="31">
        <v>0</v>
      </c>
      <c r="AE84" s="31">
        <v>0</v>
      </c>
      <c r="AF84" s="31">
        <v>0</v>
      </c>
      <c r="AG84" s="31">
        <v>0</v>
      </c>
      <c r="AH84" s="31">
        <v>0</v>
      </c>
      <c r="AI84" s="31">
        <v>0</v>
      </c>
      <c r="AL84" s="31">
        <f t="shared" si="6"/>
        <v>0</v>
      </c>
      <c r="AM84" s="31">
        <f t="shared" si="7"/>
        <v>0</v>
      </c>
      <c r="AN84" s="31">
        <f t="shared" si="8"/>
        <v>0</v>
      </c>
      <c r="AP84" s="31">
        <f>VLOOKUP($B84,Kraftvärmeprod!$B$1:$BX$549,MATCH(AP$1,Kraftvärmeprod!$B$1:$BX$1,0),FALSE)</f>
        <v>0</v>
      </c>
      <c r="AQ84" s="31">
        <f>VLOOKUP($B84,Kraftvärmeprod!$B$1:$BX$549,MATCH(AQ$1,Kraftvärmeprod!$B$1:$BX$1,0),FALSE)</f>
        <v>0</v>
      </c>
      <c r="AR84" s="31">
        <f>VLOOKUP($B84,Kraftvärmeprod!$B$1:$BX$549,MATCH("Summa tillförd energi exklusive rökgaskondensering",Kraftvärmeprod!$B$1:$BX$1,0),FALSE)</f>
        <v>0</v>
      </c>
      <c r="AT84" s="32" t="str">
        <f t="shared" si="9"/>
        <v/>
      </c>
      <c r="AV84" s="31">
        <f t="shared" si="10"/>
        <v>0</v>
      </c>
      <c r="AX84" s="31" t="str">
        <f>VLOOKUP(B84,Totalt!$B$1:$BZ$554,MATCH(AX$1,Totalt!$B$1:$BZ$1,0),FALSE)</f>
        <v>Ja</v>
      </c>
      <c r="BA84" s="32" t="str">
        <f t="shared" si="11"/>
        <v/>
      </c>
    </row>
    <row r="85" spans="1:53" x14ac:dyDescent="0.45">
      <c r="A85" s="31" t="s">
        <v>580</v>
      </c>
      <c r="B85" s="31" t="s">
        <v>579</v>
      </c>
      <c r="J85" s="31">
        <v>0</v>
      </c>
      <c r="K85" s="31">
        <v>0</v>
      </c>
      <c r="L85" s="31">
        <v>0</v>
      </c>
      <c r="M85" s="31">
        <v>0</v>
      </c>
      <c r="N85" s="31">
        <v>0</v>
      </c>
      <c r="O85" s="31">
        <v>0</v>
      </c>
      <c r="P85" s="31">
        <v>0</v>
      </c>
      <c r="Q85" s="31">
        <v>0</v>
      </c>
      <c r="R85" s="31">
        <v>0</v>
      </c>
      <c r="S85" s="31">
        <v>0</v>
      </c>
      <c r="T85" s="31">
        <v>0</v>
      </c>
      <c r="U85" s="31">
        <v>0</v>
      </c>
      <c r="W85" s="31">
        <v>0</v>
      </c>
      <c r="X85" s="31">
        <v>0</v>
      </c>
      <c r="Y85" s="31">
        <v>0</v>
      </c>
      <c r="Z85" s="31">
        <v>0</v>
      </c>
      <c r="AA85" s="31">
        <v>0</v>
      </c>
      <c r="AB85" s="31">
        <v>0</v>
      </c>
      <c r="AC85" s="31">
        <v>0</v>
      </c>
      <c r="AD85" s="31">
        <v>0</v>
      </c>
      <c r="AE85" s="31">
        <v>0</v>
      </c>
      <c r="AF85" s="31">
        <v>0</v>
      </c>
      <c r="AG85" s="31">
        <v>0</v>
      </c>
      <c r="AH85" s="31">
        <v>0</v>
      </c>
      <c r="AI85" s="31">
        <v>0</v>
      </c>
      <c r="AL85" s="31">
        <f t="shared" si="6"/>
        <v>0</v>
      </c>
      <c r="AM85" s="31">
        <f t="shared" si="7"/>
        <v>0</v>
      </c>
      <c r="AN85" s="31">
        <f t="shared" si="8"/>
        <v>0</v>
      </c>
      <c r="AP85" s="31">
        <f>VLOOKUP($B85,Kraftvärmeprod!$B$1:$BX$549,MATCH(AP$1,Kraftvärmeprod!$B$1:$BX$1,0),FALSE)</f>
        <v>0</v>
      </c>
      <c r="AQ85" s="31">
        <f>VLOOKUP($B85,Kraftvärmeprod!$B$1:$BX$549,MATCH(AQ$1,Kraftvärmeprod!$B$1:$BX$1,0),FALSE)</f>
        <v>0</v>
      </c>
      <c r="AR85" s="31">
        <f>VLOOKUP($B85,Kraftvärmeprod!$B$1:$BX$549,MATCH("Summa tillförd energi exklusive rökgaskondensering",Kraftvärmeprod!$B$1:$BX$1,0),FALSE)</f>
        <v>0</v>
      </c>
      <c r="AT85" s="32" t="str">
        <f t="shared" si="9"/>
        <v/>
      </c>
      <c r="AV85" s="31">
        <f t="shared" si="10"/>
        <v>0</v>
      </c>
      <c r="AX85" s="31" t="str">
        <f>VLOOKUP(B85,Totalt!$B$1:$BZ$554,MATCH(AX$1,Totalt!$B$1:$BZ$1,0),FALSE)</f>
        <v>Ja</v>
      </c>
      <c r="BA85" s="32" t="str">
        <f t="shared" si="11"/>
        <v/>
      </c>
    </row>
    <row r="86" spans="1:53" x14ac:dyDescent="0.45">
      <c r="A86" s="31" t="s">
        <v>576</v>
      </c>
      <c r="B86" s="31" t="s">
        <v>578</v>
      </c>
      <c r="J86" s="31">
        <v>0</v>
      </c>
      <c r="K86" s="31">
        <v>0</v>
      </c>
      <c r="L86" s="31">
        <v>0</v>
      </c>
      <c r="M86" s="31">
        <v>0</v>
      </c>
      <c r="N86" s="31">
        <v>0</v>
      </c>
      <c r="O86" s="31">
        <v>0</v>
      </c>
      <c r="P86" s="31">
        <v>0</v>
      </c>
      <c r="Q86" s="31">
        <v>0</v>
      </c>
      <c r="R86" s="31">
        <v>0</v>
      </c>
      <c r="S86" s="31">
        <v>0</v>
      </c>
      <c r="T86" s="31">
        <v>0</v>
      </c>
      <c r="U86" s="31">
        <v>0</v>
      </c>
      <c r="W86" s="31">
        <v>0</v>
      </c>
      <c r="X86" s="31">
        <v>0</v>
      </c>
      <c r="Y86" s="31">
        <v>0</v>
      </c>
      <c r="Z86" s="31">
        <v>0</v>
      </c>
      <c r="AA86" s="31">
        <v>0</v>
      </c>
      <c r="AB86" s="31">
        <v>0</v>
      </c>
      <c r="AC86" s="31">
        <v>0</v>
      </c>
      <c r="AD86" s="31">
        <v>0</v>
      </c>
      <c r="AE86" s="31">
        <v>0</v>
      </c>
      <c r="AF86" s="31">
        <v>0</v>
      </c>
      <c r="AG86" s="31">
        <v>0</v>
      </c>
      <c r="AH86" s="31">
        <v>0</v>
      </c>
      <c r="AI86" s="31">
        <v>0</v>
      </c>
      <c r="AL86" s="31">
        <f t="shared" si="6"/>
        <v>0</v>
      </c>
      <c r="AM86" s="31">
        <f t="shared" si="7"/>
        <v>0</v>
      </c>
      <c r="AN86" s="31">
        <f t="shared" si="8"/>
        <v>0</v>
      </c>
      <c r="AP86" s="31">
        <f>VLOOKUP($B86,Kraftvärmeprod!$B$1:$BX$549,MATCH(AP$1,Kraftvärmeprod!$B$1:$BX$1,0),FALSE)</f>
        <v>0</v>
      </c>
      <c r="AQ86" s="31">
        <f>VLOOKUP($B86,Kraftvärmeprod!$B$1:$BX$549,MATCH(AQ$1,Kraftvärmeprod!$B$1:$BX$1,0),FALSE)</f>
        <v>0</v>
      </c>
      <c r="AR86" s="31">
        <f>VLOOKUP($B86,Kraftvärmeprod!$B$1:$BX$549,MATCH("Summa tillförd energi exklusive rökgaskondensering",Kraftvärmeprod!$B$1:$BX$1,0),FALSE)</f>
        <v>0</v>
      </c>
      <c r="AT86" s="32" t="str">
        <f t="shared" si="9"/>
        <v/>
      </c>
      <c r="AV86" s="31">
        <f t="shared" si="10"/>
        <v>0</v>
      </c>
      <c r="AX86" s="31" t="str">
        <f>VLOOKUP(B86,Totalt!$B$1:$BZ$554,MATCH(AX$1,Totalt!$B$1:$BZ$1,0),FALSE)</f>
        <v>Ja</v>
      </c>
      <c r="BA86" s="32" t="str">
        <f t="shared" si="11"/>
        <v/>
      </c>
    </row>
    <row r="87" spans="1:53" x14ac:dyDescent="0.45">
      <c r="A87" s="31" t="s">
        <v>576</v>
      </c>
      <c r="B87" s="31" t="s">
        <v>577</v>
      </c>
      <c r="J87" s="31">
        <v>0</v>
      </c>
      <c r="K87" s="31">
        <v>0</v>
      </c>
      <c r="L87" s="31">
        <v>0</v>
      </c>
      <c r="M87" s="31">
        <v>0</v>
      </c>
      <c r="N87" s="31">
        <v>0</v>
      </c>
      <c r="O87" s="31">
        <v>0</v>
      </c>
      <c r="P87" s="31">
        <v>0</v>
      </c>
      <c r="Q87" s="31">
        <v>0</v>
      </c>
      <c r="R87" s="31">
        <v>0</v>
      </c>
      <c r="S87" s="31">
        <v>0</v>
      </c>
      <c r="T87" s="31">
        <v>0</v>
      </c>
      <c r="U87" s="31">
        <v>0</v>
      </c>
      <c r="W87" s="31">
        <v>0</v>
      </c>
      <c r="X87" s="31">
        <v>0</v>
      </c>
      <c r="Y87" s="31">
        <v>0</v>
      </c>
      <c r="Z87" s="31">
        <v>0</v>
      </c>
      <c r="AA87" s="31">
        <v>0</v>
      </c>
      <c r="AB87" s="31">
        <v>0</v>
      </c>
      <c r="AC87" s="31">
        <v>0</v>
      </c>
      <c r="AD87" s="31">
        <v>0</v>
      </c>
      <c r="AE87" s="31">
        <v>0</v>
      </c>
      <c r="AF87" s="31">
        <v>0</v>
      </c>
      <c r="AG87" s="31">
        <v>0</v>
      </c>
      <c r="AH87" s="31">
        <v>0</v>
      </c>
      <c r="AI87" s="31">
        <v>0</v>
      </c>
      <c r="AL87" s="31">
        <f t="shared" si="6"/>
        <v>0</v>
      </c>
      <c r="AM87" s="31">
        <f t="shared" si="7"/>
        <v>0</v>
      </c>
      <c r="AN87" s="31">
        <f t="shared" si="8"/>
        <v>0</v>
      </c>
      <c r="AP87" s="31">
        <f>VLOOKUP($B87,Kraftvärmeprod!$B$1:$BX$549,MATCH(AP$1,Kraftvärmeprod!$B$1:$BX$1,0),FALSE)</f>
        <v>0</v>
      </c>
      <c r="AQ87" s="31">
        <f>VLOOKUP($B87,Kraftvärmeprod!$B$1:$BX$549,MATCH(AQ$1,Kraftvärmeprod!$B$1:$BX$1,0),FALSE)</f>
        <v>0</v>
      </c>
      <c r="AR87" s="31">
        <f>VLOOKUP($B87,Kraftvärmeprod!$B$1:$BX$549,MATCH("Summa tillförd energi exklusive rökgaskondensering",Kraftvärmeprod!$B$1:$BX$1,0),FALSE)</f>
        <v>0</v>
      </c>
      <c r="AT87" s="32" t="str">
        <f t="shared" si="9"/>
        <v/>
      </c>
      <c r="AV87" s="31">
        <f t="shared" si="10"/>
        <v>0</v>
      </c>
      <c r="AX87" s="31" t="str">
        <f>VLOOKUP(B87,Totalt!$B$1:$BZ$554,MATCH(AX$1,Totalt!$B$1:$BZ$1,0),FALSE)</f>
        <v>Ja</v>
      </c>
      <c r="BA87" s="32" t="str">
        <f t="shared" si="11"/>
        <v/>
      </c>
    </row>
    <row r="88" spans="1:53" x14ac:dyDescent="0.45">
      <c r="A88" s="31" t="s">
        <v>576</v>
      </c>
      <c r="B88" s="31" t="s">
        <v>575</v>
      </c>
      <c r="J88" s="31">
        <v>0</v>
      </c>
      <c r="K88" s="31">
        <v>0</v>
      </c>
      <c r="L88" s="31">
        <v>0</v>
      </c>
      <c r="M88" s="31">
        <v>0</v>
      </c>
      <c r="N88" s="31">
        <v>0</v>
      </c>
      <c r="O88" s="31">
        <v>0</v>
      </c>
      <c r="P88" s="31">
        <v>0</v>
      </c>
      <c r="Q88" s="31">
        <v>0</v>
      </c>
      <c r="R88" s="31">
        <v>0</v>
      </c>
      <c r="S88" s="31">
        <v>0</v>
      </c>
      <c r="T88" s="31">
        <v>0</v>
      </c>
      <c r="U88" s="31">
        <v>0</v>
      </c>
      <c r="W88" s="31">
        <v>0</v>
      </c>
      <c r="X88" s="31">
        <v>0</v>
      </c>
      <c r="Y88" s="31">
        <v>0</v>
      </c>
      <c r="Z88" s="31">
        <v>0</v>
      </c>
      <c r="AA88" s="31">
        <v>0</v>
      </c>
      <c r="AB88" s="31">
        <v>0</v>
      </c>
      <c r="AC88" s="31">
        <v>0</v>
      </c>
      <c r="AD88" s="31">
        <v>0</v>
      </c>
      <c r="AE88" s="31">
        <v>0</v>
      </c>
      <c r="AF88" s="31">
        <v>0</v>
      </c>
      <c r="AG88" s="31">
        <v>0</v>
      </c>
      <c r="AH88" s="31">
        <v>0</v>
      </c>
      <c r="AI88" s="31">
        <v>0</v>
      </c>
      <c r="AL88" s="31">
        <f t="shared" si="6"/>
        <v>0</v>
      </c>
      <c r="AM88" s="31">
        <f t="shared" si="7"/>
        <v>0</v>
      </c>
      <c r="AN88" s="31">
        <f t="shared" si="8"/>
        <v>0</v>
      </c>
      <c r="AP88" s="31">
        <f>VLOOKUP($B88,Kraftvärmeprod!$B$1:$BX$549,MATCH(AP$1,Kraftvärmeprod!$B$1:$BX$1,0),FALSE)</f>
        <v>0</v>
      </c>
      <c r="AQ88" s="31">
        <f>VLOOKUP($B88,Kraftvärmeprod!$B$1:$BX$549,MATCH(AQ$1,Kraftvärmeprod!$B$1:$BX$1,0),FALSE)</f>
        <v>0</v>
      </c>
      <c r="AR88" s="31">
        <f>VLOOKUP($B88,Kraftvärmeprod!$B$1:$BX$549,MATCH("Summa tillförd energi exklusive rökgaskondensering",Kraftvärmeprod!$B$1:$BX$1,0),FALSE)</f>
        <v>0</v>
      </c>
      <c r="AT88" s="32" t="str">
        <f t="shared" si="9"/>
        <v/>
      </c>
      <c r="AV88" s="31">
        <f t="shared" si="10"/>
        <v>0</v>
      </c>
      <c r="AX88" s="31" t="str">
        <f>VLOOKUP(B88,Totalt!$B$1:$BZ$554,MATCH(AX$1,Totalt!$B$1:$BZ$1,0),FALSE)</f>
        <v>Ja</v>
      </c>
      <c r="BA88" s="32" t="str">
        <f t="shared" si="11"/>
        <v/>
      </c>
    </row>
    <row r="89" spans="1:53" x14ac:dyDescent="0.45">
      <c r="A89" s="31" t="s">
        <v>571</v>
      </c>
      <c r="B89" s="31" t="s">
        <v>574</v>
      </c>
      <c r="J89" s="31">
        <v>0</v>
      </c>
      <c r="K89" s="31">
        <v>0</v>
      </c>
      <c r="L89" s="31">
        <v>0</v>
      </c>
      <c r="M89" s="31">
        <v>0</v>
      </c>
      <c r="N89" s="31">
        <v>0</v>
      </c>
      <c r="O89" s="31">
        <v>0</v>
      </c>
      <c r="P89" s="31">
        <v>0</v>
      </c>
      <c r="Q89" s="31">
        <v>0</v>
      </c>
      <c r="R89" s="31">
        <v>0</v>
      </c>
      <c r="S89" s="31">
        <v>0</v>
      </c>
      <c r="T89" s="31">
        <v>0</v>
      </c>
      <c r="U89" s="31">
        <v>0</v>
      </c>
      <c r="W89" s="31">
        <v>0</v>
      </c>
      <c r="X89" s="31">
        <v>0</v>
      </c>
      <c r="Y89" s="31">
        <v>0</v>
      </c>
      <c r="Z89" s="31">
        <v>0</v>
      </c>
      <c r="AA89" s="31">
        <v>0</v>
      </c>
      <c r="AB89" s="31">
        <v>0</v>
      </c>
      <c r="AC89" s="31">
        <v>0</v>
      </c>
      <c r="AD89" s="31">
        <v>0</v>
      </c>
      <c r="AE89" s="31">
        <v>0</v>
      </c>
      <c r="AF89" s="31">
        <v>0</v>
      </c>
      <c r="AG89" s="31">
        <v>0</v>
      </c>
      <c r="AH89" s="31">
        <v>0</v>
      </c>
      <c r="AI89" s="31">
        <v>0</v>
      </c>
      <c r="AL89" s="31">
        <f t="shared" si="6"/>
        <v>0</v>
      </c>
      <c r="AM89" s="31">
        <f t="shared" si="7"/>
        <v>0</v>
      </c>
      <c r="AN89" s="31">
        <f t="shared" si="8"/>
        <v>0</v>
      </c>
      <c r="AP89" s="31">
        <f>VLOOKUP($B89,Kraftvärmeprod!$B$1:$BX$549,MATCH(AP$1,Kraftvärmeprod!$B$1:$BX$1,0),FALSE)</f>
        <v>0</v>
      </c>
      <c r="AQ89" s="31">
        <f>VLOOKUP($B89,Kraftvärmeprod!$B$1:$BX$549,MATCH(AQ$1,Kraftvärmeprod!$B$1:$BX$1,0),FALSE)</f>
        <v>0</v>
      </c>
      <c r="AR89" s="31">
        <f>VLOOKUP($B89,Kraftvärmeprod!$B$1:$BX$549,MATCH("Summa tillförd energi exklusive rökgaskondensering",Kraftvärmeprod!$B$1:$BX$1,0),FALSE)</f>
        <v>0</v>
      </c>
      <c r="AT89" s="32" t="str">
        <f t="shared" si="9"/>
        <v/>
      </c>
      <c r="AV89" s="31">
        <f t="shared" si="10"/>
        <v>0</v>
      </c>
      <c r="AX89" s="31" t="str">
        <f>VLOOKUP(B89,Totalt!$B$1:$BZ$554,MATCH(AX$1,Totalt!$B$1:$BZ$1,0),FALSE)</f>
        <v>Ja</v>
      </c>
      <c r="BA89" s="32" t="str">
        <f t="shared" si="11"/>
        <v/>
      </c>
    </row>
    <row r="90" spans="1:53" x14ac:dyDescent="0.45">
      <c r="A90" s="31" t="s">
        <v>571</v>
      </c>
      <c r="B90" s="31" t="s">
        <v>573</v>
      </c>
      <c r="J90" s="31">
        <v>0</v>
      </c>
      <c r="K90" s="31">
        <v>0</v>
      </c>
      <c r="L90" s="31">
        <v>0</v>
      </c>
      <c r="M90" s="31">
        <v>0</v>
      </c>
      <c r="N90" s="31">
        <v>0</v>
      </c>
      <c r="O90" s="31">
        <v>0</v>
      </c>
      <c r="P90" s="31">
        <v>0</v>
      </c>
      <c r="Q90" s="31">
        <v>0</v>
      </c>
      <c r="R90" s="31">
        <v>0</v>
      </c>
      <c r="S90" s="31">
        <v>0</v>
      </c>
      <c r="T90" s="31">
        <v>0</v>
      </c>
      <c r="U90" s="31">
        <v>0</v>
      </c>
      <c r="W90" s="31">
        <v>0</v>
      </c>
      <c r="X90" s="31">
        <v>0</v>
      </c>
      <c r="Y90" s="31">
        <v>0</v>
      </c>
      <c r="Z90" s="31">
        <v>0</v>
      </c>
      <c r="AA90" s="31">
        <v>0</v>
      </c>
      <c r="AB90" s="31">
        <v>0</v>
      </c>
      <c r="AC90" s="31">
        <v>0</v>
      </c>
      <c r="AD90" s="31">
        <v>0</v>
      </c>
      <c r="AE90" s="31">
        <v>0</v>
      </c>
      <c r="AF90" s="31">
        <v>0</v>
      </c>
      <c r="AG90" s="31">
        <v>0</v>
      </c>
      <c r="AH90" s="31">
        <v>0</v>
      </c>
      <c r="AI90" s="31">
        <v>0</v>
      </c>
      <c r="AL90" s="31">
        <f t="shared" si="6"/>
        <v>0</v>
      </c>
      <c r="AM90" s="31">
        <f t="shared" si="7"/>
        <v>0</v>
      </c>
      <c r="AN90" s="31">
        <f t="shared" si="8"/>
        <v>0</v>
      </c>
      <c r="AP90" s="31">
        <f>VLOOKUP($B90,Kraftvärmeprod!$B$1:$BX$549,MATCH(AP$1,Kraftvärmeprod!$B$1:$BX$1,0),FALSE)</f>
        <v>0</v>
      </c>
      <c r="AQ90" s="31">
        <f>VLOOKUP($B90,Kraftvärmeprod!$B$1:$BX$549,MATCH(AQ$1,Kraftvärmeprod!$B$1:$BX$1,0),FALSE)</f>
        <v>0</v>
      </c>
      <c r="AR90" s="31">
        <f>VLOOKUP($B90,Kraftvärmeprod!$B$1:$BX$549,MATCH("Summa tillförd energi exklusive rökgaskondensering",Kraftvärmeprod!$B$1:$BX$1,0),FALSE)</f>
        <v>0</v>
      </c>
      <c r="AT90" s="32" t="str">
        <f t="shared" si="9"/>
        <v/>
      </c>
      <c r="AV90" s="31">
        <f t="shared" si="10"/>
        <v>0</v>
      </c>
      <c r="AX90" s="31" t="str">
        <f>VLOOKUP(B90,Totalt!$B$1:$BZ$554,MATCH(AX$1,Totalt!$B$1:$BZ$1,0),FALSE)</f>
        <v>Ja</v>
      </c>
      <c r="BA90" s="32" t="str">
        <f t="shared" si="11"/>
        <v/>
      </c>
    </row>
    <row r="91" spans="1:53" x14ac:dyDescent="0.45">
      <c r="A91" s="31" t="s">
        <v>571</v>
      </c>
      <c r="B91" s="31" t="s">
        <v>572</v>
      </c>
      <c r="J91" s="31">
        <v>0</v>
      </c>
      <c r="K91" s="31">
        <v>0</v>
      </c>
      <c r="L91" s="31">
        <v>0</v>
      </c>
      <c r="M91" s="31">
        <v>0</v>
      </c>
      <c r="N91" s="31">
        <v>0</v>
      </c>
      <c r="O91" s="31">
        <v>0</v>
      </c>
      <c r="P91" s="31">
        <v>0</v>
      </c>
      <c r="Q91" s="31">
        <v>0</v>
      </c>
      <c r="R91" s="31">
        <v>0</v>
      </c>
      <c r="S91" s="31">
        <v>0</v>
      </c>
      <c r="T91" s="31">
        <v>0</v>
      </c>
      <c r="U91" s="31">
        <v>0</v>
      </c>
      <c r="W91" s="31">
        <v>0</v>
      </c>
      <c r="X91" s="31">
        <v>0</v>
      </c>
      <c r="Y91" s="31">
        <v>0</v>
      </c>
      <c r="Z91" s="31">
        <v>0</v>
      </c>
      <c r="AA91" s="31">
        <v>0</v>
      </c>
      <c r="AB91" s="31">
        <v>0</v>
      </c>
      <c r="AC91" s="31">
        <v>0</v>
      </c>
      <c r="AD91" s="31">
        <v>0</v>
      </c>
      <c r="AE91" s="31">
        <v>0</v>
      </c>
      <c r="AF91" s="31">
        <v>0</v>
      </c>
      <c r="AG91" s="31">
        <v>0</v>
      </c>
      <c r="AH91" s="31">
        <v>0</v>
      </c>
      <c r="AI91" s="31">
        <v>0</v>
      </c>
      <c r="AL91" s="31">
        <f t="shared" si="6"/>
        <v>0</v>
      </c>
      <c r="AM91" s="31">
        <f t="shared" si="7"/>
        <v>0</v>
      </c>
      <c r="AN91" s="31">
        <f t="shared" si="8"/>
        <v>0</v>
      </c>
      <c r="AP91" s="31">
        <f>VLOOKUP($B91,Kraftvärmeprod!$B$1:$BX$549,MATCH(AP$1,Kraftvärmeprod!$B$1:$BX$1,0),FALSE)</f>
        <v>0</v>
      </c>
      <c r="AQ91" s="31">
        <f>VLOOKUP($B91,Kraftvärmeprod!$B$1:$BX$549,MATCH(AQ$1,Kraftvärmeprod!$B$1:$BX$1,0),FALSE)</f>
        <v>0</v>
      </c>
      <c r="AR91" s="31">
        <f>VLOOKUP($B91,Kraftvärmeprod!$B$1:$BX$549,MATCH("Summa tillförd energi exklusive rökgaskondensering",Kraftvärmeprod!$B$1:$BX$1,0),FALSE)</f>
        <v>0</v>
      </c>
      <c r="AT91" s="32" t="str">
        <f t="shared" si="9"/>
        <v/>
      </c>
      <c r="AV91" s="31">
        <f t="shared" si="10"/>
        <v>0</v>
      </c>
      <c r="AX91" s="31" t="str">
        <f>VLOOKUP(B91,Totalt!$B$1:$BZ$554,MATCH(AX$1,Totalt!$B$1:$BZ$1,0),FALSE)</f>
        <v>Ja</v>
      </c>
      <c r="BA91" s="32" t="str">
        <f t="shared" si="11"/>
        <v/>
      </c>
    </row>
    <row r="92" spans="1:53" x14ac:dyDescent="0.45">
      <c r="A92" s="31" t="s">
        <v>571</v>
      </c>
      <c r="B92" s="31" t="s">
        <v>570</v>
      </c>
      <c r="J92" s="31">
        <v>0</v>
      </c>
      <c r="K92" s="31">
        <v>0</v>
      </c>
      <c r="L92" s="31">
        <v>0</v>
      </c>
      <c r="M92" s="31">
        <v>0</v>
      </c>
      <c r="N92" s="31">
        <v>0</v>
      </c>
      <c r="O92" s="31">
        <v>0</v>
      </c>
      <c r="P92" s="31">
        <v>0</v>
      </c>
      <c r="Q92" s="31">
        <v>0</v>
      </c>
      <c r="R92" s="31">
        <v>0</v>
      </c>
      <c r="S92" s="31">
        <v>0</v>
      </c>
      <c r="T92" s="31">
        <v>0</v>
      </c>
      <c r="U92" s="31">
        <v>0</v>
      </c>
      <c r="W92" s="31">
        <v>0</v>
      </c>
      <c r="X92" s="31">
        <v>0</v>
      </c>
      <c r="Y92" s="31">
        <v>0</v>
      </c>
      <c r="Z92" s="31">
        <v>0</v>
      </c>
      <c r="AA92" s="31">
        <v>0</v>
      </c>
      <c r="AB92" s="31">
        <v>0</v>
      </c>
      <c r="AC92" s="31">
        <v>0</v>
      </c>
      <c r="AD92" s="31">
        <v>0</v>
      </c>
      <c r="AE92" s="31">
        <v>0</v>
      </c>
      <c r="AF92" s="31">
        <v>0</v>
      </c>
      <c r="AG92" s="31">
        <v>0</v>
      </c>
      <c r="AH92" s="31">
        <v>0</v>
      </c>
      <c r="AI92" s="31">
        <v>0</v>
      </c>
      <c r="AL92" s="31">
        <f t="shared" si="6"/>
        <v>0</v>
      </c>
      <c r="AM92" s="31">
        <f t="shared" si="7"/>
        <v>0</v>
      </c>
      <c r="AN92" s="31">
        <f t="shared" si="8"/>
        <v>0</v>
      </c>
      <c r="AP92" s="31">
        <f>VLOOKUP($B92,Kraftvärmeprod!$B$1:$BX$549,MATCH(AP$1,Kraftvärmeprod!$B$1:$BX$1,0),FALSE)</f>
        <v>0</v>
      </c>
      <c r="AQ92" s="31">
        <f>VLOOKUP($B92,Kraftvärmeprod!$B$1:$BX$549,MATCH(AQ$1,Kraftvärmeprod!$B$1:$BX$1,0),FALSE)</f>
        <v>0</v>
      </c>
      <c r="AR92" s="31">
        <f>VLOOKUP($B92,Kraftvärmeprod!$B$1:$BX$549,MATCH("Summa tillförd energi exklusive rökgaskondensering",Kraftvärmeprod!$B$1:$BX$1,0),FALSE)</f>
        <v>0</v>
      </c>
      <c r="AT92" s="32" t="str">
        <f t="shared" si="9"/>
        <v/>
      </c>
      <c r="AV92" s="31">
        <f t="shared" si="10"/>
        <v>0</v>
      </c>
      <c r="AX92" s="31" t="str">
        <f>VLOOKUP(B92,Totalt!$B$1:$BZ$554,MATCH(AX$1,Totalt!$B$1:$BZ$1,0),FALSE)</f>
        <v>Ja</v>
      </c>
      <c r="BA92" s="32" t="str">
        <f t="shared" si="11"/>
        <v/>
      </c>
    </row>
    <row r="93" spans="1:53" x14ac:dyDescent="0.45">
      <c r="A93" s="31" t="s">
        <v>568</v>
      </c>
      <c r="B93" s="31" t="s">
        <v>567</v>
      </c>
      <c r="J93" s="31">
        <v>0</v>
      </c>
      <c r="K93" s="31">
        <v>0</v>
      </c>
      <c r="L93" s="31">
        <v>0</v>
      </c>
      <c r="M93" s="31">
        <v>0</v>
      </c>
      <c r="N93" s="31">
        <v>0</v>
      </c>
      <c r="O93" s="31">
        <v>0</v>
      </c>
      <c r="P93" s="31">
        <v>6.5654500000000002</v>
      </c>
      <c r="Q93" s="31">
        <v>6.5654500000000002</v>
      </c>
      <c r="R93" s="31">
        <v>26.261800000000001</v>
      </c>
      <c r="S93" s="31">
        <v>37.423000000000002</v>
      </c>
      <c r="T93" s="31">
        <v>0</v>
      </c>
      <c r="U93" s="31">
        <v>0</v>
      </c>
      <c r="W93" s="31">
        <v>0</v>
      </c>
      <c r="X93" s="31">
        <v>0</v>
      </c>
      <c r="Y93" s="31">
        <v>0</v>
      </c>
      <c r="Z93" s="31">
        <v>0</v>
      </c>
      <c r="AA93" s="31">
        <v>0</v>
      </c>
      <c r="AB93" s="31">
        <v>0</v>
      </c>
      <c r="AC93" s="31">
        <v>0</v>
      </c>
      <c r="AD93" s="31">
        <v>88.587299999999999</v>
      </c>
      <c r="AE93" s="31">
        <v>0</v>
      </c>
      <c r="AF93" s="31">
        <v>0</v>
      </c>
      <c r="AG93" s="31">
        <v>0</v>
      </c>
      <c r="AH93" s="31">
        <v>20.5</v>
      </c>
      <c r="AI93" s="31">
        <v>5.1350600000000002</v>
      </c>
      <c r="AL93" s="31">
        <f t="shared" si="6"/>
        <v>191.03806000000003</v>
      </c>
      <c r="AM93" s="31">
        <f t="shared" si="7"/>
        <v>185.90300000000002</v>
      </c>
      <c r="AN93" s="31">
        <f t="shared" si="8"/>
        <v>165.40300000000002</v>
      </c>
      <c r="AP93" s="31">
        <f>VLOOKUP($B93,Kraftvärmeprod!$B$1:$BX$549,MATCH(AP$1,Kraftvärmeprod!$B$1:$BX$1,0),FALSE)</f>
        <v>163.4</v>
      </c>
      <c r="AQ93" s="31">
        <f>VLOOKUP($B93,Kraftvärmeprod!$B$1:$BX$549,MATCH(AQ$1,Kraftvärmeprod!$B$1:$BX$1,0),FALSE)</f>
        <v>32.799999999999997</v>
      </c>
      <c r="AR93" s="31">
        <f>VLOOKUP($B93,Kraftvärmeprod!$B$1:$BX$549,MATCH("Summa tillförd energi exklusive rökgaskondensering",Kraftvärmeprod!$B$1:$BX$1,0),FALSE)</f>
        <v>244.8</v>
      </c>
      <c r="AT93" s="32">
        <f t="shared" si="9"/>
        <v>0.67566584967320265</v>
      </c>
      <c r="AV93" s="31">
        <f t="shared" si="10"/>
        <v>76.815699999999993</v>
      </c>
      <c r="AX93" s="31" t="str">
        <f>VLOOKUP(B93,Totalt!$B$1:$BZ$554,MATCH(AX$1,Totalt!$B$1:$BZ$1,0),FALSE)</f>
        <v>Ja</v>
      </c>
      <c r="BA93" s="32">
        <f t="shared" si="11"/>
        <v>0.9581438888187187</v>
      </c>
    </row>
    <row r="94" spans="1:53" x14ac:dyDescent="0.45">
      <c r="A94" s="31" t="s">
        <v>566</v>
      </c>
      <c r="B94" s="31" t="s">
        <v>565</v>
      </c>
      <c r="J94" s="31">
        <v>0</v>
      </c>
      <c r="K94" s="31">
        <v>0</v>
      </c>
      <c r="L94" s="31">
        <v>0</v>
      </c>
      <c r="M94" s="31">
        <v>0</v>
      </c>
      <c r="N94" s="31">
        <v>0</v>
      </c>
      <c r="O94" s="31">
        <v>0</v>
      </c>
      <c r="P94" s="31">
        <v>20.318000000000001</v>
      </c>
      <c r="Q94" s="31">
        <v>64.702299999999994</v>
      </c>
      <c r="R94" s="31">
        <v>14.6661</v>
      </c>
      <c r="S94" s="31">
        <v>0</v>
      </c>
      <c r="T94" s="31">
        <v>0</v>
      </c>
      <c r="U94" s="31">
        <v>0</v>
      </c>
      <c r="W94" s="31">
        <v>0</v>
      </c>
      <c r="X94" s="31">
        <v>0</v>
      </c>
      <c r="Y94" s="31">
        <v>0</v>
      </c>
      <c r="Z94" s="31">
        <v>74.118300000000005</v>
      </c>
      <c r="AA94" s="31">
        <v>0</v>
      </c>
      <c r="AB94" s="31">
        <v>0.17224200000000001</v>
      </c>
      <c r="AC94" s="31">
        <v>0</v>
      </c>
      <c r="AD94" s="31">
        <v>0</v>
      </c>
      <c r="AE94" s="31">
        <v>0</v>
      </c>
      <c r="AF94" s="31">
        <v>0</v>
      </c>
      <c r="AG94" s="31">
        <v>0</v>
      </c>
      <c r="AH94" s="31">
        <v>76.875</v>
      </c>
      <c r="AI94" s="31">
        <v>8.9644100000000009</v>
      </c>
      <c r="AL94" s="31">
        <f t="shared" si="6"/>
        <v>259.81635199999999</v>
      </c>
      <c r="AM94" s="31">
        <f t="shared" si="7"/>
        <v>250.85194200000001</v>
      </c>
      <c r="AN94" s="31">
        <f t="shared" si="8"/>
        <v>173.97694200000001</v>
      </c>
      <c r="AP94" s="31">
        <f>VLOOKUP($B94,Kraftvärmeprod!$B$1:$BX$549,MATCH(AP$1,Kraftvärmeprod!$B$1:$BX$1,0),FALSE)</f>
        <v>212.821</v>
      </c>
      <c r="AQ94" s="31">
        <f>VLOOKUP($B94,Kraftvärmeprod!$B$1:$BX$549,MATCH(AQ$1,Kraftvärmeprod!$B$1:$BX$1,0),FALSE)</f>
        <v>73.155000000000001</v>
      </c>
      <c r="AR94" s="31">
        <f>VLOOKUP($B94,Kraftvärmeprod!$B$1:$BX$549,MATCH("Summa tillförd energi exklusive rökgaskondensering",Kraftvärmeprod!$B$1:$BX$1,0),FALSE)</f>
        <v>329.79199999999997</v>
      </c>
      <c r="AT94" s="32">
        <f t="shared" si="9"/>
        <v>0.52753536168251514</v>
      </c>
      <c r="AV94" s="31">
        <f t="shared" si="10"/>
        <v>173.97694200000001</v>
      </c>
      <c r="AX94" s="31" t="str">
        <f>VLOOKUP(B94,Totalt!$B$1:$BZ$554,MATCH(AX$1,Totalt!$B$1:$BZ$1,0),FALSE)</f>
        <v>Ja</v>
      </c>
      <c r="BA94" s="32">
        <f t="shared" si="11"/>
        <v>1.1633291088829387</v>
      </c>
    </row>
    <row r="95" spans="1:53" x14ac:dyDescent="0.45">
      <c r="A95" s="31" t="s">
        <v>560</v>
      </c>
      <c r="B95" s="31" t="s">
        <v>563</v>
      </c>
      <c r="J95" s="31">
        <v>0</v>
      </c>
      <c r="K95" s="31">
        <v>0</v>
      </c>
      <c r="L95" s="31">
        <v>0</v>
      </c>
      <c r="M95" s="31">
        <v>0</v>
      </c>
      <c r="N95" s="31">
        <v>404.21300000000002</v>
      </c>
      <c r="O95" s="31">
        <v>0</v>
      </c>
      <c r="P95" s="31">
        <v>92.528000000000006</v>
      </c>
      <c r="Q95" s="31">
        <v>41.268999999999998</v>
      </c>
      <c r="R95" s="31">
        <v>28.044</v>
      </c>
      <c r="S95" s="31">
        <v>0</v>
      </c>
      <c r="T95" s="31">
        <v>0</v>
      </c>
      <c r="U95" s="31">
        <v>19.512</v>
      </c>
      <c r="W95" s="31">
        <v>0</v>
      </c>
      <c r="X95" s="31">
        <v>0</v>
      </c>
      <c r="Y95" s="31">
        <v>0</v>
      </c>
      <c r="Z95" s="31">
        <v>0</v>
      </c>
      <c r="AA95" s="31">
        <v>0</v>
      </c>
      <c r="AB95" s="31">
        <v>0.67</v>
      </c>
      <c r="AC95" s="31">
        <v>0</v>
      </c>
      <c r="AD95" s="31">
        <v>0</v>
      </c>
      <c r="AE95" s="31">
        <v>0</v>
      </c>
      <c r="AF95" s="31">
        <v>0</v>
      </c>
      <c r="AG95" s="31">
        <v>0</v>
      </c>
      <c r="AH95" s="31">
        <v>55.040999999999997</v>
      </c>
      <c r="AI95" s="31">
        <v>2.9060000000000001</v>
      </c>
      <c r="AL95" s="31">
        <f t="shared" si="6"/>
        <v>644.18299999999999</v>
      </c>
      <c r="AM95" s="31">
        <f t="shared" si="7"/>
        <v>641.27700000000004</v>
      </c>
      <c r="AN95" s="31">
        <f t="shared" si="8"/>
        <v>586.2360000000001</v>
      </c>
      <c r="AP95" s="31">
        <f>VLOOKUP($B95,Kraftvärmeprod!$B$1:$BX$549,MATCH(AP$1,Kraftvärmeprod!$B$1:$BX$1,0),FALSE)</f>
        <v>666.76900000000001</v>
      </c>
      <c r="AQ95" s="31">
        <f>VLOOKUP($B95,Kraftvärmeprod!$B$1:$BX$549,MATCH(AQ$1,Kraftvärmeprod!$B$1:$BX$1,0),FALSE)</f>
        <v>430.16199999999998</v>
      </c>
      <c r="AR95" s="31">
        <f>VLOOKUP($B95,Kraftvärmeprod!$B$1:$BX$549,MATCH("Summa tillförd energi exklusive rökgaskondensering",Kraftvärmeprod!$B$1:$BX$1,0),FALSE)</f>
        <v>1228.1000000000001</v>
      </c>
      <c r="AT95" s="32">
        <f t="shared" si="9"/>
        <v>0.47735200716554027</v>
      </c>
      <c r="AV95" s="31">
        <f t="shared" si="10"/>
        <v>182.023</v>
      </c>
      <c r="AX95" s="31" t="str">
        <f>VLOOKUP(B95,Totalt!$B$1:$BZ$554,MATCH(AX$1,Totalt!$B$1:$BZ$1,0),FALSE)</f>
        <v>Ja</v>
      </c>
      <c r="BA95" s="32">
        <f t="shared" si="11"/>
        <v>1.1317628008188179</v>
      </c>
    </row>
    <row r="96" spans="1:53" x14ac:dyDescent="0.45">
      <c r="A96" s="31" t="s">
        <v>560</v>
      </c>
      <c r="B96" s="31" t="s">
        <v>562</v>
      </c>
      <c r="J96" s="31">
        <v>0</v>
      </c>
      <c r="K96" s="31">
        <v>0</v>
      </c>
      <c r="L96" s="31">
        <v>0</v>
      </c>
      <c r="M96" s="31">
        <v>0</v>
      </c>
      <c r="N96" s="31">
        <v>0</v>
      </c>
      <c r="O96" s="31">
        <v>0</v>
      </c>
      <c r="P96" s="31">
        <v>68.213999999999999</v>
      </c>
      <c r="Q96" s="31">
        <v>30.423999999999999</v>
      </c>
      <c r="R96" s="31">
        <v>20.675000000000001</v>
      </c>
      <c r="S96" s="31">
        <v>0</v>
      </c>
      <c r="T96" s="31">
        <v>0</v>
      </c>
      <c r="U96" s="31">
        <v>14.385</v>
      </c>
      <c r="W96" s="31">
        <v>0</v>
      </c>
      <c r="X96" s="31">
        <v>0</v>
      </c>
      <c r="Y96" s="31">
        <v>0</v>
      </c>
      <c r="Z96" s="31">
        <v>0</v>
      </c>
      <c r="AA96" s="31">
        <v>0</v>
      </c>
      <c r="AB96" s="31">
        <v>0.49399999999999999</v>
      </c>
      <c r="AC96" s="31">
        <v>0</v>
      </c>
      <c r="AD96" s="31">
        <v>0</v>
      </c>
      <c r="AE96" s="31">
        <v>0</v>
      </c>
      <c r="AF96" s="31">
        <v>0</v>
      </c>
      <c r="AG96" s="31">
        <v>0</v>
      </c>
      <c r="AH96" s="31">
        <v>40.58</v>
      </c>
      <c r="AI96" s="31">
        <v>0.19900000000000001</v>
      </c>
      <c r="AL96" s="31">
        <f t="shared" si="6"/>
        <v>174.971</v>
      </c>
      <c r="AM96" s="31">
        <f t="shared" si="7"/>
        <v>174.77199999999999</v>
      </c>
      <c r="AN96" s="31">
        <f t="shared" si="8"/>
        <v>134.19200000000001</v>
      </c>
      <c r="AP96" s="31">
        <f>VLOOKUP($B96,Kraftvärmeprod!$B$1:$BX$549,MATCH(AP$1,Kraftvärmeprod!$B$1:$BX$1,0),FALSE)</f>
        <v>138.25</v>
      </c>
      <c r="AQ96" s="31">
        <f>VLOOKUP($B96,Kraftvärmeprod!$B$1:$BX$549,MATCH(AQ$1,Kraftvärmeprod!$B$1:$BX$1,0),FALSE)</f>
        <v>17.5</v>
      </c>
      <c r="AR96" s="31">
        <f>VLOOKUP($B96,Kraftvärmeprod!$B$1:$BX$549,MATCH("Summa tillförd energi exklusive rökgaskondensering",Kraftvärmeprod!$B$1:$BX$1,0),FALSE)</f>
        <v>178.41</v>
      </c>
      <c r="AT96" s="32">
        <f t="shared" si="9"/>
        <v>0.75215514825402174</v>
      </c>
      <c r="AV96" s="31">
        <f t="shared" si="10"/>
        <v>134.19200000000001</v>
      </c>
      <c r="AX96" s="31" t="str">
        <f>VLOOKUP(B96,Totalt!$B$1:$BZ$554,MATCH(AX$1,Totalt!$B$1:$BZ$1,0),FALSE)</f>
        <v>Ja</v>
      </c>
      <c r="BA96" s="32">
        <f t="shared" si="11"/>
        <v>1.028714720479794</v>
      </c>
    </row>
    <row r="97" spans="1:53" x14ac:dyDescent="0.45">
      <c r="A97" s="31" t="s">
        <v>560</v>
      </c>
      <c r="B97" s="31" t="s">
        <v>559</v>
      </c>
      <c r="J97" s="31">
        <v>0</v>
      </c>
      <c r="K97" s="31">
        <v>0</v>
      </c>
      <c r="L97" s="31">
        <v>0</v>
      </c>
      <c r="M97" s="31">
        <v>0</v>
      </c>
      <c r="N97" s="31">
        <v>0</v>
      </c>
      <c r="O97" s="31">
        <v>0</v>
      </c>
      <c r="P97" s="31">
        <v>0</v>
      </c>
      <c r="Q97" s="31">
        <v>0</v>
      </c>
      <c r="R97" s="31">
        <v>0</v>
      </c>
      <c r="S97" s="31">
        <v>0</v>
      </c>
      <c r="T97" s="31">
        <v>0</v>
      </c>
      <c r="U97" s="31">
        <v>0</v>
      </c>
      <c r="W97" s="31">
        <v>0</v>
      </c>
      <c r="X97" s="31">
        <v>0</v>
      </c>
      <c r="Y97" s="31">
        <v>0</v>
      </c>
      <c r="Z97" s="31">
        <v>0</v>
      </c>
      <c r="AA97" s="31">
        <v>0</v>
      </c>
      <c r="AB97" s="31">
        <v>0</v>
      </c>
      <c r="AC97" s="31">
        <v>0</v>
      </c>
      <c r="AD97" s="31">
        <v>0</v>
      </c>
      <c r="AE97" s="31">
        <v>0</v>
      </c>
      <c r="AF97" s="31">
        <v>0</v>
      </c>
      <c r="AG97" s="31">
        <v>0</v>
      </c>
      <c r="AH97" s="31">
        <v>0</v>
      </c>
      <c r="AI97" s="31">
        <v>0</v>
      </c>
      <c r="AL97" s="31">
        <f t="shared" si="6"/>
        <v>0</v>
      </c>
      <c r="AM97" s="31">
        <f t="shared" si="7"/>
        <v>0</v>
      </c>
      <c r="AN97" s="31">
        <f t="shared" si="8"/>
        <v>0</v>
      </c>
      <c r="AP97" s="31">
        <f>VLOOKUP($B97,Kraftvärmeprod!$B$1:$BX$549,MATCH(AP$1,Kraftvärmeprod!$B$1:$BX$1,0),FALSE)</f>
        <v>0</v>
      </c>
      <c r="AQ97" s="31">
        <f>VLOOKUP($B97,Kraftvärmeprod!$B$1:$BX$549,MATCH(AQ$1,Kraftvärmeprod!$B$1:$BX$1,0),FALSE)</f>
        <v>0</v>
      </c>
      <c r="AR97" s="31">
        <f>VLOOKUP($B97,Kraftvärmeprod!$B$1:$BX$549,MATCH("Summa tillförd energi exklusive rökgaskondensering",Kraftvärmeprod!$B$1:$BX$1,0),FALSE)</f>
        <v>0</v>
      </c>
      <c r="AT97" s="32" t="str">
        <f t="shared" si="9"/>
        <v/>
      </c>
      <c r="AV97" s="31">
        <f t="shared" si="10"/>
        <v>0</v>
      </c>
      <c r="AX97" s="31" t="str">
        <f>VLOOKUP(B97,Totalt!$B$1:$BZ$554,MATCH(AX$1,Totalt!$B$1:$BZ$1,0),FALSE)</f>
        <v>Nej</v>
      </c>
      <c r="BA97" s="32" t="str">
        <f t="shared" si="11"/>
        <v/>
      </c>
    </row>
    <row r="98" spans="1:53" x14ac:dyDescent="0.45">
      <c r="A98" s="31" t="s">
        <v>560</v>
      </c>
      <c r="B98" s="31" t="s">
        <v>560</v>
      </c>
      <c r="J98" s="31">
        <v>0</v>
      </c>
      <c r="K98" s="31">
        <v>0</v>
      </c>
      <c r="L98" s="31">
        <v>0</v>
      </c>
      <c r="M98" s="31">
        <v>0</v>
      </c>
      <c r="N98" s="31">
        <v>0</v>
      </c>
      <c r="O98" s="31">
        <v>0</v>
      </c>
      <c r="P98" s="31">
        <v>0</v>
      </c>
      <c r="Q98" s="31">
        <v>0</v>
      </c>
      <c r="R98" s="31">
        <v>0</v>
      </c>
      <c r="S98" s="31">
        <v>0</v>
      </c>
      <c r="T98" s="31">
        <v>0</v>
      </c>
      <c r="U98" s="31">
        <v>0</v>
      </c>
      <c r="W98" s="31">
        <v>0</v>
      </c>
      <c r="X98" s="31">
        <v>0</v>
      </c>
      <c r="Y98" s="31">
        <v>0</v>
      </c>
      <c r="Z98" s="31">
        <v>0</v>
      </c>
      <c r="AA98" s="31">
        <v>0</v>
      </c>
      <c r="AB98" s="31">
        <v>0</v>
      </c>
      <c r="AC98" s="31">
        <v>0</v>
      </c>
      <c r="AD98" s="31">
        <v>0</v>
      </c>
      <c r="AE98" s="31">
        <v>0</v>
      </c>
      <c r="AF98" s="31">
        <v>0</v>
      </c>
      <c r="AG98" s="31">
        <v>0</v>
      </c>
      <c r="AH98" s="31">
        <v>0</v>
      </c>
      <c r="AI98" s="31">
        <v>0</v>
      </c>
      <c r="AL98" s="31">
        <f t="shared" si="6"/>
        <v>0</v>
      </c>
      <c r="AM98" s="31">
        <f t="shared" si="7"/>
        <v>0</v>
      </c>
      <c r="AN98" s="31">
        <f t="shared" si="8"/>
        <v>0</v>
      </c>
      <c r="AP98" s="31">
        <f>VLOOKUP($B98,Kraftvärmeprod!$B$1:$BX$549,MATCH(AP$1,Kraftvärmeprod!$B$1:$BX$1,0),FALSE)</f>
        <v>0</v>
      </c>
      <c r="AQ98" s="31">
        <f>VLOOKUP($B98,Kraftvärmeprod!$B$1:$BX$549,MATCH(AQ$1,Kraftvärmeprod!$B$1:$BX$1,0),FALSE)</f>
        <v>0</v>
      </c>
      <c r="AR98" s="31">
        <f>VLOOKUP($B98,Kraftvärmeprod!$B$1:$BX$549,MATCH("Summa tillförd energi exklusive rökgaskondensering",Kraftvärmeprod!$B$1:$BX$1,0),FALSE)</f>
        <v>0</v>
      </c>
      <c r="AT98" s="32" t="str">
        <f t="shared" si="9"/>
        <v/>
      </c>
      <c r="AV98" s="31">
        <f t="shared" si="10"/>
        <v>0</v>
      </c>
      <c r="AX98" s="31" t="str">
        <f>VLOOKUP(B98,Totalt!$B$1:$BZ$554,MATCH(AX$1,Totalt!$B$1:$BZ$1,0),FALSE)</f>
        <v>Nej</v>
      </c>
      <c r="BA98" s="32" t="str">
        <f t="shared" si="11"/>
        <v/>
      </c>
    </row>
    <row r="99" spans="1:53" x14ac:dyDescent="0.45">
      <c r="A99" s="31" t="s">
        <v>560</v>
      </c>
      <c r="B99" s="31" t="s">
        <v>564</v>
      </c>
      <c r="J99" s="31">
        <v>0</v>
      </c>
      <c r="K99" s="31">
        <v>0</v>
      </c>
      <c r="L99" s="31">
        <v>0</v>
      </c>
      <c r="M99" s="31">
        <v>0</v>
      </c>
      <c r="N99" s="31">
        <v>0</v>
      </c>
      <c r="O99" s="31">
        <v>0</v>
      </c>
      <c r="P99" s="31">
        <v>0</v>
      </c>
      <c r="Q99" s="31">
        <v>0</v>
      </c>
      <c r="R99" s="31">
        <v>0</v>
      </c>
      <c r="S99" s="31">
        <v>0</v>
      </c>
      <c r="T99" s="31">
        <v>0</v>
      </c>
      <c r="U99" s="31">
        <v>0</v>
      </c>
      <c r="W99" s="31">
        <v>0</v>
      </c>
      <c r="X99" s="31">
        <v>0</v>
      </c>
      <c r="Y99" s="31">
        <v>0</v>
      </c>
      <c r="Z99" s="31">
        <v>0</v>
      </c>
      <c r="AA99" s="31">
        <v>0</v>
      </c>
      <c r="AB99" s="31">
        <v>0</v>
      </c>
      <c r="AC99" s="31">
        <v>0</v>
      </c>
      <c r="AD99" s="31">
        <v>0</v>
      </c>
      <c r="AE99" s="31">
        <v>0</v>
      </c>
      <c r="AF99" s="31">
        <v>0</v>
      </c>
      <c r="AG99" s="31">
        <v>0</v>
      </c>
      <c r="AH99" s="31">
        <v>0</v>
      </c>
      <c r="AI99" s="31">
        <v>0</v>
      </c>
      <c r="AL99" s="31">
        <f t="shared" si="6"/>
        <v>0</v>
      </c>
      <c r="AM99" s="31">
        <f t="shared" si="7"/>
        <v>0</v>
      </c>
      <c r="AN99" s="31">
        <f t="shared" si="8"/>
        <v>0</v>
      </c>
      <c r="AP99" s="31">
        <f>VLOOKUP($B99,Kraftvärmeprod!$B$1:$BX$549,MATCH(AP$1,Kraftvärmeprod!$B$1:$BX$1,0),FALSE)</f>
        <v>0</v>
      </c>
      <c r="AQ99" s="31">
        <f>VLOOKUP($B99,Kraftvärmeprod!$B$1:$BX$549,MATCH(AQ$1,Kraftvärmeprod!$B$1:$BX$1,0),FALSE)</f>
        <v>0</v>
      </c>
      <c r="AR99" s="31">
        <f>VLOOKUP($B99,Kraftvärmeprod!$B$1:$BX$549,MATCH("Summa tillförd energi exklusive rökgaskondensering",Kraftvärmeprod!$B$1:$BX$1,0),FALSE)</f>
        <v>0</v>
      </c>
      <c r="AT99" s="32" t="str">
        <f t="shared" si="9"/>
        <v/>
      </c>
      <c r="AV99" s="31">
        <f t="shared" si="10"/>
        <v>0</v>
      </c>
      <c r="AX99" s="31" t="str">
        <f>VLOOKUP(B99,Totalt!$B$1:$BZ$554,MATCH(AX$1,Totalt!$B$1:$BZ$1,0),FALSE)</f>
        <v>Nej</v>
      </c>
      <c r="BA99" s="32" t="str">
        <f t="shared" si="11"/>
        <v/>
      </c>
    </row>
    <row r="100" spans="1:53" x14ac:dyDescent="0.45">
      <c r="A100" s="31" t="s">
        <v>560</v>
      </c>
      <c r="B100" s="31" t="s">
        <v>561</v>
      </c>
      <c r="J100" s="31">
        <v>0</v>
      </c>
      <c r="K100" s="31">
        <v>0</v>
      </c>
      <c r="L100" s="31">
        <v>0</v>
      </c>
      <c r="M100" s="31">
        <v>0</v>
      </c>
      <c r="N100" s="31">
        <v>0</v>
      </c>
      <c r="O100" s="31">
        <v>0</v>
      </c>
      <c r="P100" s="31">
        <v>0</v>
      </c>
      <c r="Q100" s="31">
        <v>0</v>
      </c>
      <c r="R100" s="31">
        <v>0</v>
      </c>
      <c r="S100" s="31">
        <v>0</v>
      </c>
      <c r="T100" s="31">
        <v>0</v>
      </c>
      <c r="U100" s="31">
        <v>0</v>
      </c>
      <c r="W100" s="31">
        <v>0</v>
      </c>
      <c r="X100" s="31">
        <v>0</v>
      </c>
      <c r="Y100" s="31">
        <v>0</v>
      </c>
      <c r="Z100" s="31">
        <v>0</v>
      </c>
      <c r="AA100" s="31">
        <v>0</v>
      </c>
      <c r="AB100" s="31">
        <v>0</v>
      </c>
      <c r="AC100" s="31">
        <v>0</v>
      </c>
      <c r="AD100" s="31">
        <v>0</v>
      </c>
      <c r="AE100" s="31">
        <v>0</v>
      </c>
      <c r="AF100" s="31">
        <v>0</v>
      </c>
      <c r="AG100" s="31">
        <v>0</v>
      </c>
      <c r="AH100" s="31">
        <v>0</v>
      </c>
      <c r="AI100" s="31">
        <v>0</v>
      </c>
      <c r="AL100" s="31">
        <f t="shared" si="6"/>
        <v>0</v>
      </c>
      <c r="AM100" s="31">
        <f t="shared" si="7"/>
        <v>0</v>
      </c>
      <c r="AN100" s="31">
        <f t="shared" si="8"/>
        <v>0</v>
      </c>
      <c r="AP100" s="31">
        <f>VLOOKUP($B100,Kraftvärmeprod!$B$1:$BX$549,MATCH(AP$1,Kraftvärmeprod!$B$1:$BX$1,0),FALSE)</f>
        <v>0</v>
      </c>
      <c r="AQ100" s="31">
        <f>VLOOKUP($B100,Kraftvärmeprod!$B$1:$BX$549,MATCH(AQ$1,Kraftvärmeprod!$B$1:$BX$1,0),FALSE)</f>
        <v>0</v>
      </c>
      <c r="AR100" s="31">
        <f>VLOOKUP($B100,Kraftvärmeprod!$B$1:$BX$549,MATCH("Summa tillförd energi exklusive rökgaskondensering",Kraftvärmeprod!$B$1:$BX$1,0),FALSE)</f>
        <v>0</v>
      </c>
      <c r="AT100" s="32" t="str">
        <f t="shared" si="9"/>
        <v/>
      </c>
      <c r="AV100" s="31">
        <f t="shared" si="10"/>
        <v>0</v>
      </c>
      <c r="AX100" s="31" t="str">
        <f>VLOOKUP(B100,Totalt!$B$1:$BZ$554,MATCH(AX$1,Totalt!$B$1:$BZ$1,0),FALSE)</f>
        <v>Nej</v>
      </c>
      <c r="BA100" s="32" t="str">
        <f t="shared" si="11"/>
        <v/>
      </c>
    </row>
    <row r="101" spans="1:53" x14ac:dyDescent="0.45">
      <c r="A101" s="31" t="s">
        <v>556</v>
      </c>
      <c r="B101" s="31" t="s">
        <v>558</v>
      </c>
      <c r="J101" s="31">
        <v>0</v>
      </c>
      <c r="K101" s="31">
        <v>0</v>
      </c>
      <c r="L101" s="31">
        <v>0</v>
      </c>
      <c r="M101" s="31">
        <v>0</v>
      </c>
      <c r="N101" s="31">
        <v>0</v>
      </c>
      <c r="O101" s="31">
        <v>0</v>
      </c>
      <c r="P101" s="31">
        <v>0</v>
      </c>
      <c r="Q101" s="31">
        <v>0</v>
      </c>
      <c r="R101" s="31">
        <v>0</v>
      </c>
      <c r="S101" s="31">
        <v>0</v>
      </c>
      <c r="T101" s="31">
        <v>0</v>
      </c>
      <c r="U101" s="31">
        <v>0</v>
      </c>
      <c r="W101" s="31">
        <v>0</v>
      </c>
      <c r="X101" s="31">
        <v>0</v>
      </c>
      <c r="Y101" s="31">
        <v>0</v>
      </c>
      <c r="Z101" s="31">
        <v>0</v>
      </c>
      <c r="AA101" s="31">
        <v>0</v>
      </c>
      <c r="AB101" s="31">
        <v>0</v>
      </c>
      <c r="AC101" s="31">
        <v>0</v>
      </c>
      <c r="AD101" s="31">
        <v>0</v>
      </c>
      <c r="AE101" s="31">
        <v>0</v>
      </c>
      <c r="AF101" s="31">
        <v>0</v>
      </c>
      <c r="AG101" s="31">
        <v>0</v>
      </c>
      <c r="AH101" s="31">
        <v>0</v>
      </c>
      <c r="AI101" s="31">
        <v>0</v>
      </c>
      <c r="AL101" s="31">
        <f t="shared" si="6"/>
        <v>0</v>
      </c>
      <c r="AM101" s="31">
        <f t="shared" si="7"/>
        <v>0</v>
      </c>
      <c r="AN101" s="31">
        <f t="shared" si="8"/>
        <v>0</v>
      </c>
      <c r="AP101" s="31">
        <f>VLOOKUP($B101,Kraftvärmeprod!$B$1:$BX$549,MATCH(AP$1,Kraftvärmeprod!$B$1:$BX$1,0),FALSE)</f>
        <v>0</v>
      </c>
      <c r="AQ101" s="31">
        <f>VLOOKUP($B101,Kraftvärmeprod!$B$1:$BX$549,MATCH(AQ$1,Kraftvärmeprod!$B$1:$BX$1,0),FALSE)</f>
        <v>0</v>
      </c>
      <c r="AR101" s="31">
        <f>VLOOKUP($B101,Kraftvärmeprod!$B$1:$BX$549,MATCH("Summa tillförd energi exklusive rökgaskondensering",Kraftvärmeprod!$B$1:$BX$1,0),FALSE)</f>
        <v>0</v>
      </c>
      <c r="AT101" s="32" t="str">
        <f t="shared" si="9"/>
        <v/>
      </c>
      <c r="AV101" s="31">
        <f t="shared" si="10"/>
        <v>0</v>
      </c>
      <c r="AX101" s="31" t="str">
        <f>VLOOKUP(B101,Totalt!$B$1:$BZ$554,MATCH(AX$1,Totalt!$B$1:$BZ$1,0),FALSE)</f>
        <v>Ja</v>
      </c>
      <c r="BA101" s="32" t="str">
        <f t="shared" si="11"/>
        <v/>
      </c>
    </row>
    <row r="102" spans="1:53" x14ac:dyDescent="0.45">
      <c r="A102" s="31" t="s">
        <v>556</v>
      </c>
      <c r="B102" s="31" t="s">
        <v>555</v>
      </c>
      <c r="J102" s="31">
        <v>0</v>
      </c>
      <c r="K102" s="31">
        <v>0</v>
      </c>
      <c r="L102" s="31">
        <v>0</v>
      </c>
      <c r="M102" s="31">
        <v>0</v>
      </c>
      <c r="N102" s="31">
        <v>0</v>
      </c>
      <c r="O102" s="31">
        <v>0</v>
      </c>
      <c r="P102" s="31">
        <v>0</v>
      </c>
      <c r="Q102" s="31">
        <v>0</v>
      </c>
      <c r="R102" s="31">
        <v>0</v>
      </c>
      <c r="S102" s="31">
        <v>0</v>
      </c>
      <c r="T102" s="31">
        <v>0</v>
      </c>
      <c r="U102" s="31">
        <v>0</v>
      </c>
      <c r="W102" s="31">
        <v>0</v>
      </c>
      <c r="X102" s="31">
        <v>0</v>
      </c>
      <c r="Y102" s="31">
        <v>0</v>
      </c>
      <c r="Z102" s="31">
        <v>0</v>
      </c>
      <c r="AA102" s="31">
        <v>0</v>
      </c>
      <c r="AB102" s="31">
        <v>0</v>
      </c>
      <c r="AC102" s="31">
        <v>0</v>
      </c>
      <c r="AD102" s="31">
        <v>0</v>
      </c>
      <c r="AE102" s="31">
        <v>0</v>
      </c>
      <c r="AF102" s="31">
        <v>0</v>
      </c>
      <c r="AG102" s="31">
        <v>0</v>
      </c>
      <c r="AH102" s="31">
        <v>0</v>
      </c>
      <c r="AI102" s="31">
        <v>0</v>
      </c>
      <c r="AL102" s="31">
        <f t="shared" si="6"/>
        <v>0</v>
      </c>
      <c r="AM102" s="31">
        <f t="shared" si="7"/>
        <v>0</v>
      </c>
      <c r="AN102" s="31">
        <f t="shared" si="8"/>
        <v>0</v>
      </c>
      <c r="AP102" s="31">
        <f>VLOOKUP($B102,Kraftvärmeprod!$B$1:$BX$549,MATCH(AP$1,Kraftvärmeprod!$B$1:$BX$1,0),FALSE)</f>
        <v>0</v>
      </c>
      <c r="AQ102" s="31">
        <f>VLOOKUP($B102,Kraftvärmeprod!$B$1:$BX$549,MATCH(AQ$1,Kraftvärmeprod!$B$1:$BX$1,0),FALSE)</f>
        <v>0</v>
      </c>
      <c r="AR102" s="31">
        <f>VLOOKUP($B102,Kraftvärmeprod!$B$1:$BX$549,MATCH("Summa tillförd energi exklusive rökgaskondensering",Kraftvärmeprod!$B$1:$BX$1,0),FALSE)</f>
        <v>0</v>
      </c>
      <c r="AT102" s="32" t="str">
        <f t="shared" si="9"/>
        <v/>
      </c>
      <c r="AV102" s="31">
        <f t="shared" si="10"/>
        <v>0</v>
      </c>
      <c r="AX102" s="31" t="str">
        <f>VLOOKUP(B102,Totalt!$B$1:$BZ$554,MATCH(AX$1,Totalt!$B$1:$BZ$1,0),FALSE)</f>
        <v>Ja</v>
      </c>
      <c r="BA102" s="32" t="str">
        <f t="shared" si="11"/>
        <v/>
      </c>
    </row>
    <row r="103" spans="1:53" x14ac:dyDescent="0.45">
      <c r="A103" s="31" t="s">
        <v>554</v>
      </c>
      <c r="B103" s="31" t="s">
        <v>553</v>
      </c>
      <c r="J103" s="31">
        <v>0</v>
      </c>
      <c r="K103" s="31">
        <v>0</v>
      </c>
      <c r="L103" s="31">
        <v>0</v>
      </c>
      <c r="M103" s="31">
        <v>0</v>
      </c>
      <c r="N103" s="31">
        <v>0</v>
      </c>
      <c r="O103" s="31">
        <v>0</v>
      </c>
      <c r="P103" s="31">
        <v>0</v>
      </c>
      <c r="Q103" s="31">
        <v>0</v>
      </c>
      <c r="R103" s="31">
        <v>0</v>
      </c>
      <c r="S103" s="31">
        <v>0</v>
      </c>
      <c r="T103" s="31">
        <v>0</v>
      </c>
      <c r="U103" s="31">
        <v>0</v>
      </c>
      <c r="W103" s="31">
        <v>0</v>
      </c>
      <c r="X103" s="31">
        <v>0</v>
      </c>
      <c r="Y103" s="31">
        <v>0</v>
      </c>
      <c r="Z103" s="31">
        <v>0</v>
      </c>
      <c r="AA103" s="31">
        <v>0</v>
      </c>
      <c r="AB103" s="31">
        <v>0</v>
      </c>
      <c r="AC103" s="31">
        <v>0</v>
      </c>
      <c r="AD103" s="31">
        <v>0</v>
      </c>
      <c r="AE103" s="31">
        <v>0</v>
      </c>
      <c r="AF103" s="31">
        <v>0</v>
      </c>
      <c r="AG103" s="31">
        <v>0</v>
      </c>
      <c r="AH103" s="31">
        <v>0</v>
      </c>
      <c r="AI103" s="31">
        <v>0</v>
      </c>
      <c r="AL103" s="31">
        <f t="shared" si="6"/>
        <v>0</v>
      </c>
      <c r="AM103" s="31">
        <f t="shared" si="7"/>
        <v>0</v>
      </c>
      <c r="AN103" s="31">
        <f t="shared" si="8"/>
        <v>0</v>
      </c>
      <c r="AP103" s="31">
        <f>VLOOKUP($B103,Kraftvärmeprod!$B$1:$BX$549,MATCH(AP$1,Kraftvärmeprod!$B$1:$BX$1,0),FALSE)</f>
        <v>0</v>
      </c>
      <c r="AQ103" s="31">
        <f>VLOOKUP($B103,Kraftvärmeprod!$B$1:$BX$549,MATCH(AQ$1,Kraftvärmeprod!$B$1:$BX$1,0),FALSE)</f>
        <v>0</v>
      </c>
      <c r="AR103" s="31">
        <f>VLOOKUP($B103,Kraftvärmeprod!$B$1:$BX$549,MATCH("Summa tillförd energi exklusive rökgaskondensering",Kraftvärmeprod!$B$1:$BX$1,0),FALSE)</f>
        <v>0</v>
      </c>
      <c r="AT103" s="32" t="str">
        <f t="shared" si="9"/>
        <v/>
      </c>
      <c r="AV103" s="31">
        <f t="shared" si="10"/>
        <v>0</v>
      </c>
      <c r="AX103" s="31" t="str">
        <f>VLOOKUP(B103,Totalt!$B$1:$BZ$554,MATCH(AX$1,Totalt!$B$1:$BZ$1,0),FALSE)</f>
        <v>Ja</v>
      </c>
      <c r="BA103" s="32" t="str">
        <f t="shared" si="11"/>
        <v/>
      </c>
    </row>
    <row r="104" spans="1:53" x14ac:dyDescent="0.45">
      <c r="A104" s="31" t="s">
        <v>550</v>
      </c>
      <c r="B104" s="31" t="s">
        <v>551</v>
      </c>
      <c r="J104" s="31">
        <v>0</v>
      </c>
      <c r="K104" s="31">
        <v>0</v>
      </c>
      <c r="L104" s="31">
        <v>0</v>
      </c>
      <c r="M104" s="31">
        <v>0</v>
      </c>
      <c r="N104" s="31">
        <v>0</v>
      </c>
      <c r="O104" s="31">
        <v>0</v>
      </c>
      <c r="P104" s="31">
        <v>0</v>
      </c>
      <c r="Q104" s="31">
        <v>0</v>
      </c>
      <c r="R104" s="31">
        <v>0</v>
      </c>
      <c r="S104" s="31">
        <v>0</v>
      </c>
      <c r="T104" s="31">
        <v>0</v>
      </c>
      <c r="U104" s="31">
        <v>0</v>
      </c>
      <c r="W104" s="31">
        <v>0</v>
      </c>
      <c r="X104" s="31">
        <v>0</v>
      </c>
      <c r="Y104" s="31">
        <v>0</v>
      </c>
      <c r="Z104" s="31">
        <v>0</v>
      </c>
      <c r="AA104" s="31">
        <v>0</v>
      </c>
      <c r="AB104" s="31">
        <v>0</v>
      </c>
      <c r="AC104" s="31">
        <v>0</v>
      </c>
      <c r="AD104" s="31">
        <v>0</v>
      </c>
      <c r="AE104" s="31">
        <v>0</v>
      </c>
      <c r="AF104" s="31">
        <v>0</v>
      </c>
      <c r="AG104" s="31">
        <v>0</v>
      </c>
      <c r="AH104" s="31">
        <v>0</v>
      </c>
      <c r="AI104" s="31">
        <v>0</v>
      </c>
      <c r="AL104" s="31">
        <f t="shared" si="6"/>
        <v>0</v>
      </c>
      <c r="AM104" s="31">
        <f t="shared" si="7"/>
        <v>0</v>
      </c>
      <c r="AN104" s="31">
        <f t="shared" si="8"/>
        <v>0</v>
      </c>
      <c r="AP104" s="31">
        <f>VLOOKUP($B104,Kraftvärmeprod!$B$1:$BX$549,MATCH(AP$1,Kraftvärmeprod!$B$1:$BX$1,0),FALSE)</f>
        <v>0</v>
      </c>
      <c r="AQ104" s="31">
        <f>VLOOKUP($B104,Kraftvärmeprod!$B$1:$BX$549,MATCH(AQ$1,Kraftvärmeprod!$B$1:$BX$1,0),FALSE)</f>
        <v>0</v>
      </c>
      <c r="AR104" s="31">
        <f>VLOOKUP($B104,Kraftvärmeprod!$B$1:$BX$549,MATCH("Summa tillförd energi exklusive rökgaskondensering",Kraftvärmeprod!$B$1:$BX$1,0),FALSE)</f>
        <v>0</v>
      </c>
      <c r="AT104" s="32" t="str">
        <f t="shared" si="9"/>
        <v/>
      </c>
      <c r="AV104" s="31">
        <f t="shared" si="10"/>
        <v>0</v>
      </c>
      <c r="AX104" s="31" t="str">
        <f>VLOOKUP(B104,Totalt!$B$1:$BZ$554,MATCH(AX$1,Totalt!$B$1:$BZ$1,0),FALSE)</f>
        <v>Ja</v>
      </c>
      <c r="BA104" s="32" t="str">
        <f t="shared" si="11"/>
        <v/>
      </c>
    </row>
    <row r="105" spans="1:53" x14ac:dyDescent="0.45">
      <c r="A105" s="31" t="s">
        <v>550</v>
      </c>
      <c r="B105" s="31" t="s">
        <v>552</v>
      </c>
      <c r="J105" s="31">
        <v>0</v>
      </c>
      <c r="K105" s="31">
        <v>0</v>
      </c>
      <c r="L105" s="31">
        <v>0</v>
      </c>
      <c r="M105" s="31">
        <v>0</v>
      </c>
      <c r="N105" s="31">
        <v>0</v>
      </c>
      <c r="O105" s="31">
        <v>0</v>
      </c>
      <c r="P105" s="31">
        <v>0</v>
      </c>
      <c r="Q105" s="31">
        <v>0</v>
      </c>
      <c r="R105" s="31">
        <v>0</v>
      </c>
      <c r="S105" s="31">
        <v>0</v>
      </c>
      <c r="T105" s="31">
        <v>0</v>
      </c>
      <c r="U105" s="31">
        <v>0</v>
      </c>
      <c r="W105" s="31">
        <v>0</v>
      </c>
      <c r="X105" s="31">
        <v>0</v>
      </c>
      <c r="Y105" s="31">
        <v>0</v>
      </c>
      <c r="Z105" s="31">
        <v>0</v>
      </c>
      <c r="AA105" s="31">
        <v>0</v>
      </c>
      <c r="AB105" s="31">
        <v>0</v>
      </c>
      <c r="AC105" s="31">
        <v>0</v>
      </c>
      <c r="AD105" s="31">
        <v>0</v>
      </c>
      <c r="AE105" s="31">
        <v>0</v>
      </c>
      <c r="AF105" s="31">
        <v>0</v>
      </c>
      <c r="AG105" s="31">
        <v>0</v>
      </c>
      <c r="AH105" s="31">
        <v>0</v>
      </c>
      <c r="AI105" s="31">
        <v>0</v>
      </c>
      <c r="AL105" s="31">
        <f t="shared" si="6"/>
        <v>0</v>
      </c>
      <c r="AM105" s="31">
        <f t="shared" si="7"/>
        <v>0</v>
      </c>
      <c r="AN105" s="31">
        <f t="shared" si="8"/>
        <v>0</v>
      </c>
      <c r="AP105" s="31">
        <f>VLOOKUP($B105,Kraftvärmeprod!$B$1:$BX$549,MATCH(AP$1,Kraftvärmeprod!$B$1:$BX$1,0),FALSE)</f>
        <v>0</v>
      </c>
      <c r="AQ105" s="31">
        <f>VLOOKUP($B105,Kraftvärmeprod!$B$1:$BX$549,MATCH(AQ$1,Kraftvärmeprod!$B$1:$BX$1,0),FALSE)</f>
        <v>0</v>
      </c>
      <c r="AR105" s="31">
        <f>VLOOKUP($B105,Kraftvärmeprod!$B$1:$BX$549,MATCH("Summa tillförd energi exklusive rökgaskondensering",Kraftvärmeprod!$B$1:$BX$1,0),FALSE)</f>
        <v>0</v>
      </c>
      <c r="AT105" s="32" t="str">
        <f t="shared" si="9"/>
        <v/>
      </c>
      <c r="AV105" s="31">
        <f t="shared" si="10"/>
        <v>0</v>
      </c>
      <c r="AX105" s="31" t="str">
        <f>VLOOKUP(B105,Totalt!$B$1:$BZ$554,MATCH(AX$1,Totalt!$B$1:$BZ$1,0),FALSE)</f>
        <v>Ja</v>
      </c>
      <c r="BA105" s="32" t="str">
        <f t="shared" si="11"/>
        <v/>
      </c>
    </row>
    <row r="106" spans="1:53" x14ac:dyDescent="0.45">
      <c r="A106" s="31" t="s">
        <v>550</v>
      </c>
      <c r="B106" s="31" t="s">
        <v>549</v>
      </c>
      <c r="J106" s="31">
        <v>0</v>
      </c>
      <c r="K106" s="31">
        <v>0</v>
      </c>
      <c r="L106" s="31">
        <v>0</v>
      </c>
      <c r="M106" s="31">
        <v>0</v>
      </c>
      <c r="N106" s="31">
        <v>0</v>
      </c>
      <c r="O106" s="31">
        <v>0</v>
      </c>
      <c r="P106" s="31">
        <v>0</v>
      </c>
      <c r="Q106" s="31">
        <v>0</v>
      </c>
      <c r="R106" s="31">
        <v>0</v>
      </c>
      <c r="S106" s="31">
        <v>0</v>
      </c>
      <c r="T106" s="31">
        <v>0</v>
      </c>
      <c r="U106" s="31">
        <v>0</v>
      </c>
      <c r="W106" s="31">
        <v>0</v>
      </c>
      <c r="X106" s="31">
        <v>0</v>
      </c>
      <c r="Y106" s="31">
        <v>0</v>
      </c>
      <c r="Z106" s="31">
        <v>0</v>
      </c>
      <c r="AA106" s="31">
        <v>0</v>
      </c>
      <c r="AB106" s="31">
        <v>0</v>
      </c>
      <c r="AC106" s="31">
        <v>0</v>
      </c>
      <c r="AD106" s="31">
        <v>0</v>
      </c>
      <c r="AE106" s="31">
        <v>0</v>
      </c>
      <c r="AF106" s="31">
        <v>0</v>
      </c>
      <c r="AG106" s="31">
        <v>0</v>
      </c>
      <c r="AH106" s="31">
        <v>0</v>
      </c>
      <c r="AI106" s="31">
        <v>0</v>
      </c>
      <c r="AL106" s="31">
        <f t="shared" si="6"/>
        <v>0</v>
      </c>
      <c r="AM106" s="31">
        <f t="shared" si="7"/>
        <v>0</v>
      </c>
      <c r="AN106" s="31">
        <f t="shared" si="8"/>
        <v>0</v>
      </c>
      <c r="AP106" s="31">
        <f>VLOOKUP($B106,Kraftvärmeprod!$B$1:$BX$549,MATCH(AP$1,Kraftvärmeprod!$B$1:$BX$1,0),FALSE)</f>
        <v>0</v>
      </c>
      <c r="AQ106" s="31">
        <f>VLOOKUP($B106,Kraftvärmeprod!$B$1:$BX$549,MATCH(AQ$1,Kraftvärmeprod!$B$1:$BX$1,0),FALSE)</f>
        <v>0</v>
      </c>
      <c r="AR106" s="31">
        <f>VLOOKUP($B106,Kraftvärmeprod!$B$1:$BX$549,MATCH("Summa tillförd energi exklusive rökgaskondensering",Kraftvärmeprod!$B$1:$BX$1,0),FALSE)</f>
        <v>0</v>
      </c>
      <c r="AT106" s="32" t="str">
        <f t="shared" si="9"/>
        <v/>
      </c>
      <c r="AV106" s="31">
        <f t="shared" si="10"/>
        <v>0</v>
      </c>
      <c r="AX106" s="31" t="str">
        <f>VLOOKUP(B106,Totalt!$B$1:$BZ$554,MATCH(AX$1,Totalt!$B$1:$BZ$1,0),FALSE)</f>
        <v>Ja</v>
      </c>
      <c r="BA106" s="32" t="str">
        <f t="shared" si="11"/>
        <v/>
      </c>
    </row>
    <row r="107" spans="1:53" x14ac:dyDescent="0.45">
      <c r="A107" s="31" t="s">
        <v>548</v>
      </c>
      <c r="B107" s="31" t="s">
        <v>547</v>
      </c>
      <c r="J107" s="31">
        <v>0</v>
      </c>
      <c r="K107" s="31">
        <v>0</v>
      </c>
      <c r="L107" s="31">
        <v>0</v>
      </c>
      <c r="M107" s="31">
        <v>0</v>
      </c>
      <c r="N107" s="31">
        <v>0</v>
      </c>
      <c r="O107" s="31">
        <v>0</v>
      </c>
      <c r="P107" s="31">
        <v>50.4497</v>
      </c>
      <c r="Q107" s="31">
        <v>0</v>
      </c>
      <c r="R107" s="31">
        <v>0</v>
      </c>
      <c r="S107" s="31">
        <v>0</v>
      </c>
      <c r="T107" s="31">
        <v>0</v>
      </c>
      <c r="U107" s="31">
        <v>0</v>
      </c>
      <c r="W107" s="31">
        <v>0</v>
      </c>
      <c r="X107" s="31">
        <v>0</v>
      </c>
      <c r="Y107" s="31">
        <v>0</v>
      </c>
      <c r="Z107" s="31">
        <v>0</v>
      </c>
      <c r="AA107" s="31">
        <v>0</v>
      </c>
      <c r="AB107" s="31">
        <v>0</v>
      </c>
      <c r="AC107" s="31">
        <v>0</v>
      </c>
      <c r="AD107" s="31">
        <v>0</v>
      </c>
      <c r="AE107" s="31">
        <v>191.08699999999999</v>
      </c>
      <c r="AF107" s="31">
        <v>0</v>
      </c>
      <c r="AG107" s="31">
        <v>0</v>
      </c>
      <c r="AH107" s="31">
        <v>44.1</v>
      </c>
      <c r="AI107" s="31">
        <v>10.7182</v>
      </c>
      <c r="AL107" s="31">
        <f t="shared" si="6"/>
        <v>296.35490000000004</v>
      </c>
      <c r="AM107" s="31">
        <f t="shared" si="7"/>
        <v>285.63670000000002</v>
      </c>
      <c r="AN107" s="31">
        <f t="shared" si="8"/>
        <v>241.53670000000002</v>
      </c>
      <c r="AP107" s="31">
        <f>VLOOKUP($B107,Kraftvärmeprod!$B$1:$BX$549,MATCH(AP$1,Kraftvärmeprod!$B$1:$BX$1,0),FALSE)</f>
        <v>309.5</v>
      </c>
      <c r="AQ107" s="31">
        <f>VLOOKUP($B107,Kraftvärmeprod!$B$1:$BX$549,MATCH(AQ$1,Kraftvärmeprod!$B$1:$BX$1,0),FALSE)</f>
        <v>75.099999999999994</v>
      </c>
      <c r="AR107" s="31">
        <f>VLOOKUP($B107,Kraftvärmeprod!$B$1:$BX$549,MATCH("Summa tillförd energi exklusive rökgaskondensering",Kraftvärmeprod!$B$1:$BX$1,0),FALSE)</f>
        <v>421.81399999999996</v>
      </c>
      <c r="AT107" s="32">
        <f t="shared" si="9"/>
        <v>0.57261423281351509</v>
      </c>
      <c r="AV107" s="31">
        <f t="shared" si="10"/>
        <v>50.4497</v>
      </c>
      <c r="AX107" s="31" t="str">
        <f>VLOOKUP(B107,Totalt!$B$1:$BZ$554,MATCH(AX$1,Totalt!$B$1:$BZ$1,0),FALSE)</f>
        <v>Ja</v>
      </c>
      <c r="BA107" s="32">
        <f t="shared" si="11"/>
        <v>1.2269335501510574</v>
      </c>
    </row>
    <row r="108" spans="1:53" x14ac:dyDescent="0.45">
      <c r="A108" s="31" t="s">
        <v>546</v>
      </c>
      <c r="B108" s="31" t="s">
        <v>545</v>
      </c>
      <c r="J108" s="31">
        <v>0</v>
      </c>
      <c r="K108" s="31">
        <v>0</v>
      </c>
      <c r="L108" s="31">
        <v>0</v>
      </c>
      <c r="M108" s="31">
        <v>0</v>
      </c>
      <c r="N108" s="31">
        <v>0</v>
      </c>
      <c r="O108" s="31">
        <v>0</v>
      </c>
      <c r="P108" s="31">
        <v>0</v>
      </c>
      <c r="Q108" s="31">
        <v>0</v>
      </c>
      <c r="R108" s="31">
        <v>0</v>
      </c>
      <c r="S108" s="31">
        <v>0</v>
      </c>
      <c r="T108" s="31">
        <v>0</v>
      </c>
      <c r="U108" s="31">
        <v>0</v>
      </c>
      <c r="W108" s="31">
        <v>0</v>
      </c>
      <c r="X108" s="31">
        <v>0</v>
      </c>
      <c r="Y108" s="31">
        <v>0</v>
      </c>
      <c r="Z108" s="31">
        <v>0</v>
      </c>
      <c r="AA108" s="31">
        <v>0</v>
      </c>
      <c r="AB108" s="31">
        <v>0</v>
      </c>
      <c r="AC108" s="31">
        <v>0</v>
      </c>
      <c r="AD108" s="31">
        <v>0</v>
      </c>
      <c r="AE108" s="31">
        <v>0</v>
      </c>
      <c r="AF108" s="31">
        <v>0</v>
      </c>
      <c r="AG108" s="31">
        <v>0</v>
      </c>
      <c r="AH108" s="31">
        <v>0</v>
      </c>
      <c r="AI108" s="31">
        <v>0</v>
      </c>
      <c r="AL108" s="31">
        <f t="shared" si="6"/>
        <v>0</v>
      </c>
      <c r="AM108" s="31">
        <f t="shared" si="7"/>
        <v>0</v>
      </c>
      <c r="AN108" s="31">
        <f t="shared" si="8"/>
        <v>0</v>
      </c>
      <c r="AP108" s="31">
        <f>VLOOKUP($B108,Kraftvärmeprod!$B$1:$BX$549,MATCH(AP$1,Kraftvärmeprod!$B$1:$BX$1,0),FALSE)</f>
        <v>0</v>
      </c>
      <c r="AQ108" s="31">
        <f>VLOOKUP($B108,Kraftvärmeprod!$B$1:$BX$549,MATCH(AQ$1,Kraftvärmeprod!$B$1:$BX$1,0),FALSE)</f>
        <v>0</v>
      </c>
      <c r="AR108" s="31">
        <f>VLOOKUP($B108,Kraftvärmeprod!$B$1:$BX$549,MATCH("Summa tillförd energi exklusive rökgaskondensering",Kraftvärmeprod!$B$1:$BX$1,0),FALSE)</f>
        <v>0</v>
      </c>
      <c r="AT108" s="32" t="str">
        <f t="shared" si="9"/>
        <v/>
      </c>
      <c r="AV108" s="31">
        <f t="shared" si="10"/>
        <v>0</v>
      </c>
      <c r="AX108" s="31" t="str">
        <f>VLOOKUP(B108,Totalt!$B$1:$BZ$554,MATCH(AX$1,Totalt!$B$1:$BZ$1,0),FALSE)</f>
        <v>Ja</v>
      </c>
      <c r="BA108" s="32" t="str">
        <f t="shared" si="11"/>
        <v/>
      </c>
    </row>
    <row r="109" spans="1:53" x14ac:dyDescent="0.45">
      <c r="A109" s="31" t="s">
        <v>543</v>
      </c>
      <c r="B109" s="31" t="s">
        <v>542</v>
      </c>
      <c r="J109" s="31">
        <v>0</v>
      </c>
      <c r="K109" s="31">
        <v>0</v>
      </c>
      <c r="L109" s="31">
        <v>0</v>
      </c>
      <c r="M109" s="31">
        <v>0</v>
      </c>
      <c r="N109" s="31">
        <v>0</v>
      </c>
      <c r="O109" s="31">
        <v>0</v>
      </c>
      <c r="P109" s="31">
        <v>0</v>
      </c>
      <c r="Q109" s="31">
        <v>0</v>
      </c>
      <c r="R109" s="31">
        <v>0</v>
      </c>
      <c r="S109" s="31">
        <v>0</v>
      </c>
      <c r="T109" s="31">
        <v>0</v>
      </c>
      <c r="U109" s="31">
        <v>0</v>
      </c>
      <c r="W109" s="31">
        <v>0</v>
      </c>
      <c r="X109" s="31">
        <v>0</v>
      </c>
      <c r="Y109" s="31">
        <v>0</v>
      </c>
      <c r="Z109" s="31">
        <v>0</v>
      </c>
      <c r="AA109" s="31">
        <v>0</v>
      </c>
      <c r="AB109" s="31">
        <v>0</v>
      </c>
      <c r="AC109" s="31">
        <v>0</v>
      </c>
      <c r="AD109" s="31">
        <v>0</v>
      </c>
      <c r="AE109" s="31">
        <v>0</v>
      </c>
      <c r="AF109" s="31">
        <v>0</v>
      </c>
      <c r="AG109" s="31">
        <v>0</v>
      </c>
      <c r="AH109" s="31">
        <v>0</v>
      </c>
      <c r="AI109" s="31">
        <v>0</v>
      </c>
      <c r="AL109" s="31">
        <f t="shared" si="6"/>
        <v>0</v>
      </c>
      <c r="AM109" s="31">
        <f t="shared" si="7"/>
        <v>0</v>
      </c>
      <c r="AN109" s="31">
        <f t="shared" si="8"/>
        <v>0</v>
      </c>
      <c r="AP109" s="31">
        <f>VLOOKUP($B109,Kraftvärmeprod!$B$1:$BX$549,MATCH(AP$1,Kraftvärmeprod!$B$1:$BX$1,0),FALSE)</f>
        <v>0</v>
      </c>
      <c r="AQ109" s="31">
        <f>VLOOKUP($B109,Kraftvärmeprod!$B$1:$BX$549,MATCH(AQ$1,Kraftvärmeprod!$B$1:$BX$1,0),FALSE)</f>
        <v>0</v>
      </c>
      <c r="AR109" s="31">
        <f>VLOOKUP($B109,Kraftvärmeprod!$B$1:$BX$549,MATCH("Summa tillförd energi exklusive rökgaskondensering",Kraftvärmeprod!$B$1:$BX$1,0),FALSE)</f>
        <v>0</v>
      </c>
      <c r="AT109" s="32" t="str">
        <f t="shared" si="9"/>
        <v/>
      </c>
      <c r="AV109" s="31">
        <f t="shared" si="10"/>
        <v>0</v>
      </c>
      <c r="AX109" s="31" t="str">
        <f>VLOOKUP(B109,Totalt!$B$1:$BZ$554,MATCH(AX$1,Totalt!$B$1:$BZ$1,0),FALSE)</f>
        <v>Ja</v>
      </c>
      <c r="BA109" s="32" t="str">
        <f t="shared" si="11"/>
        <v/>
      </c>
    </row>
    <row r="110" spans="1:53" x14ac:dyDescent="0.45">
      <c r="A110" s="31" t="s">
        <v>543</v>
      </c>
      <c r="B110" s="31" t="s">
        <v>544</v>
      </c>
      <c r="J110" s="31">
        <v>0</v>
      </c>
      <c r="K110" s="31">
        <v>0</v>
      </c>
      <c r="L110" s="31">
        <v>0</v>
      </c>
      <c r="M110" s="31">
        <v>0</v>
      </c>
      <c r="N110" s="31">
        <v>0</v>
      </c>
      <c r="O110" s="31">
        <v>0</v>
      </c>
      <c r="P110" s="31">
        <v>0</v>
      </c>
      <c r="Q110" s="31">
        <v>0</v>
      </c>
      <c r="R110" s="31">
        <v>0</v>
      </c>
      <c r="S110" s="31">
        <v>0</v>
      </c>
      <c r="T110" s="31">
        <v>0</v>
      </c>
      <c r="U110" s="31">
        <v>0</v>
      </c>
      <c r="W110" s="31">
        <v>0</v>
      </c>
      <c r="X110" s="31">
        <v>0</v>
      </c>
      <c r="Y110" s="31">
        <v>0</v>
      </c>
      <c r="Z110" s="31">
        <v>0</v>
      </c>
      <c r="AA110" s="31">
        <v>0</v>
      </c>
      <c r="AB110" s="31">
        <v>0</v>
      </c>
      <c r="AC110" s="31">
        <v>0</v>
      </c>
      <c r="AD110" s="31">
        <v>0</v>
      </c>
      <c r="AE110" s="31">
        <v>0</v>
      </c>
      <c r="AF110" s="31">
        <v>0</v>
      </c>
      <c r="AG110" s="31">
        <v>0</v>
      </c>
      <c r="AH110" s="31">
        <v>0</v>
      </c>
      <c r="AI110" s="31">
        <v>0</v>
      </c>
      <c r="AL110" s="31">
        <f t="shared" si="6"/>
        <v>0</v>
      </c>
      <c r="AM110" s="31">
        <f t="shared" si="7"/>
        <v>0</v>
      </c>
      <c r="AN110" s="31">
        <f t="shared" si="8"/>
        <v>0</v>
      </c>
      <c r="AP110" s="31">
        <f>VLOOKUP($B110,Kraftvärmeprod!$B$1:$BX$549,MATCH(AP$1,Kraftvärmeprod!$B$1:$BX$1,0),FALSE)</f>
        <v>0</v>
      </c>
      <c r="AQ110" s="31">
        <f>VLOOKUP($B110,Kraftvärmeprod!$B$1:$BX$549,MATCH(AQ$1,Kraftvärmeprod!$B$1:$BX$1,0),FALSE)</f>
        <v>0</v>
      </c>
      <c r="AR110" s="31">
        <f>VLOOKUP($B110,Kraftvärmeprod!$B$1:$BX$549,MATCH("Summa tillförd energi exklusive rökgaskondensering",Kraftvärmeprod!$B$1:$BX$1,0),FALSE)</f>
        <v>0</v>
      </c>
      <c r="AT110" s="32" t="str">
        <f t="shared" si="9"/>
        <v/>
      </c>
      <c r="AV110" s="31">
        <f t="shared" si="10"/>
        <v>0</v>
      </c>
      <c r="AX110" s="31" t="str">
        <f>VLOOKUP(B110,Totalt!$B$1:$BZ$554,MATCH(AX$1,Totalt!$B$1:$BZ$1,0),FALSE)</f>
        <v>Ja</v>
      </c>
      <c r="BA110" s="32" t="str">
        <f t="shared" si="11"/>
        <v/>
      </c>
    </row>
    <row r="111" spans="1:53" x14ac:dyDescent="0.45">
      <c r="A111" s="31" t="s">
        <v>538</v>
      </c>
      <c r="B111" s="31" t="s">
        <v>541</v>
      </c>
      <c r="J111" s="31">
        <v>0</v>
      </c>
      <c r="K111" s="31">
        <v>0</v>
      </c>
      <c r="L111" s="31">
        <v>0</v>
      </c>
      <c r="M111" s="31">
        <v>0</v>
      </c>
      <c r="N111" s="31">
        <v>0</v>
      </c>
      <c r="O111" s="31">
        <v>0</v>
      </c>
      <c r="P111" s="31">
        <v>5.9326400000000001</v>
      </c>
      <c r="Q111" s="31">
        <v>5.9326400000000001</v>
      </c>
      <c r="R111" s="31">
        <v>5.9326400000000001</v>
      </c>
      <c r="S111" s="31">
        <v>5.9326400000000001</v>
      </c>
      <c r="T111" s="31">
        <v>0</v>
      </c>
      <c r="U111" s="31">
        <v>5.9326400000000001</v>
      </c>
      <c r="W111" s="31">
        <v>0</v>
      </c>
      <c r="X111" s="31">
        <v>0</v>
      </c>
      <c r="Y111" s="31">
        <v>0</v>
      </c>
      <c r="Z111" s="31">
        <v>0</v>
      </c>
      <c r="AA111" s="31">
        <v>0</v>
      </c>
      <c r="AB111" s="31">
        <v>0</v>
      </c>
      <c r="AC111" s="31">
        <v>0</v>
      </c>
      <c r="AD111" s="31">
        <v>0</v>
      </c>
      <c r="AE111" s="31">
        <v>0</v>
      </c>
      <c r="AF111" s="31">
        <v>0</v>
      </c>
      <c r="AG111" s="31">
        <v>0</v>
      </c>
      <c r="AH111" s="31">
        <v>6.7</v>
      </c>
      <c r="AI111" s="31">
        <v>1.0347599999999999</v>
      </c>
      <c r="AL111" s="31">
        <f t="shared" si="6"/>
        <v>37.397959999999998</v>
      </c>
      <c r="AM111" s="31">
        <f t="shared" si="7"/>
        <v>36.363199999999999</v>
      </c>
      <c r="AN111" s="31">
        <f t="shared" si="8"/>
        <v>29.6632</v>
      </c>
      <c r="AP111" s="31">
        <f>VLOOKUP($B111,Kraftvärmeprod!$B$1:$BX$549,MATCH(AP$1,Kraftvärmeprod!$B$1:$BX$1,0),FALSE)</f>
        <v>31.3</v>
      </c>
      <c r="AQ111" s="31">
        <f>VLOOKUP($B111,Kraftvärmeprod!$B$1:$BX$549,MATCH(AQ$1,Kraftvärmeprod!$B$1:$BX$1,0),FALSE)</f>
        <v>5.4</v>
      </c>
      <c r="AR111" s="31">
        <f>VLOOKUP($B111,Kraftvärmeprod!$B$1:$BX$549,MATCH("Summa tillförd energi exklusive rökgaskondensering",Kraftvärmeprod!$B$1:$BX$1,0),FALSE)</f>
        <v>43</v>
      </c>
      <c r="AT111" s="32">
        <f t="shared" si="9"/>
        <v>0.68984186046511631</v>
      </c>
      <c r="AV111" s="31">
        <f t="shared" si="10"/>
        <v>29.6632</v>
      </c>
      <c r="AX111" s="31" t="str">
        <f>VLOOKUP(B111,Totalt!$B$1:$BZ$554,MATCH(AX$1,Totalt!$B$1:$BZ$1,0),FALSE)</f>
        <v>Ja</v>
      </c>
      <c r="BA111" s="32">
        <f t="shared" si="11"/>
        <v>1.0196117266424218</v>
      </c>
    </row>
    <row r="112" spans="1:53" x14ac:dyDescent="0.45">
      <c r="A112" s="31" t="s">
        <v>538</v>
      </c>
      <c r="B112" s="31" t="s">
        <v>540</v>
      </c>
      <c r="J112" s="31">
        <v>0</v>
      </c>
      <c r="K112" s="31">
        <v>0</v>
      </c>
      <c r="L112" s="31">
        <v>0</v>
      </c>
      <c r="M112" s="31">
        <v>0</v>
      </c>
      <c r="N112" s="31">
        <v>0</v>
      </c>
      <c r="O112" s="31">
        <v>0</v>
      </c>
      <c r="P112" s="31">
        <v>0</v>
      </c>
      <c r="Q112" s="31">
        <v>0</v>
      </c>
      <c r="R112" s="31">
        <v>0</v>
      </c>
      <c r="S112" s="31">
        <v>0</v>
      </c>
      <c r="T112" s="31">
        <v>0</v>
      </c>
      <c r="U112" s="31">
        <v>0</v>
      </c>
      <c r="W112" s="31">
        <v>0</v>
      </c>
      <c r="X112" s="31">
        <v>0</v>
      </c>
      <c r="Y112" s="31">
        <v>0</v>
      </c>
      <c r="Z112" s="31">
        <v>0</v>
      </c>
      <c r="AA112" s="31">
        <v>0</v>
      </c>
      <c r="AB112" s="31">
        <v>0</v>
      </c>
      <c r="AC112" s="31">
        <v>0</v>
      </c>
      <c r="AD112" s="31">
        <v>0</v>
      </c>
      <c r="AE112" s="31">
        <v>0</v>
      </c>
      <c r="AF112" s="31">
        <v>0</v>
      </c>
      <c r="AG112" s="31">
        <v>0</v>
      </c>
      <c r="AH112" s="31">
        <v>0</v>
      </c>
      <c r="AI112" s="31">
        <v>0</v>
      </c>
      <c r="AL112" s="31">
        <f t="shared" si="6"/>
        <v>0</v>
      </c>
      <c r="AM112" s="31">
        <f t="shared" si="7"/>
        <v>0</v>
      </c>
      <c r="AN112" s="31">
        <f t="shared" si="8"/>
        <v>0</v>
      </c>
      <c r="AP112" s="31">
        <f>VLOOKUP($B112,Kraftvärmeprod!$B$1:$BX$549,MATCH(AP$1,Kraftvärmeprod!$B$1:$BX$1,0),FALSE)</f>
        <v>0</v>
      </c>
      <c r="AQ112" s="31">
        <f>VLOOKUP($B112,Kraftvärmeprod!$B$1:$BX$549,MATCH(AQ$1,Kraftvärmeprod!$B$1:$BX$1,0),FALSE)</f>
        <v>0</v>
      </c>
      <c r="AR112" s="31">
        <f>VLOOKUP($B112,Kraftvärmeprod!$B$1:$BX$549,MATCH("Summa tillförd energi exklusive rökgaskondensering",Kraftvärmeprod!$B$1:$BX$1,0),FALSE)</f>
        <v>0</v>
      </c>
      <c r="AT112" s="32" t="str">
        <f t="shared" si="9"/>
        <v/>
      </c>
      <c r="AV112" s="31">
        <f t="shared" si="10"/>
        <v>0</v>
      </c>
      <c r="AX112" s="31" t="str">
        <f>VLOOKUP(B112,Totalt!$B$1:$BZ$554,MATCH(AX$1,Totalt!$B$1:$BZ$1,0),FALSE)</f>
        <v>Ja</v>
      </c>
      <c r="BA112" s="32" t="str">
        <f t="shared" si="11"/>
        <v/>
      </c>
    </row>
    <row r="113" spans="1:53" x14ac:dyDescent="0.45">
      <c r="A113" s="31" t="s">
        <v>538</v>
      </c>
      <c r="B113" s="31" t="s">
        <v>539</v>
      </c>
      <c r="J113" s="31">
        <v>0</v>
      </c>
      <c r="K113" s="31">
        <v>0</v>
      </c>
      <c r="L113" s="31">
        <v>0</v>
      </c>
      <c r="M113" s="31">
        <v>0</v>
      </c>
      <c r="N113" s="31">
        <v>0</v>
      </c>
      <c r="O113" s="31">
        <v>0</v>
      </c>
      <c r="P113" s="31">
        <v>0</v>
      </c>
      <c r="Q113" s="31">
        <v>0</v>
      </c>
      <c r="R113" s="31">
        <v>0</v>
      </c>
      <c r="S113" s="31">
        <v>0</v>
      </c>
      <c r="T113" s="31">
        <v>0</v>
      </c>
      <c r="U113" s="31">
        <v>0</v>
      </c>
      <c r="W113" s="31">
        <v>0</v>
      </c>
      <c r="X113" s="31">
        <v>0</v>
      </c>
      <c r="Y113" s="31">
        <v>0</v>
      </c>
      <c r="Z113" s="31">
        <v>0</v>
      </c>
      <c r="AA113" s="31">
        <v>0</v>
      </c>
      <c r="AB113" s="31">
        <v>0</v>
      </c>
      <c r="AC113" s="31">
        <v>0</v>
      </c>
      <c r="AD113" s="31">
        <v>0</v>
      </c>
      <c r="AE113" s="31">
        <v>0</v>
      </c>
      <c r="AF113" s="31">
        <v>0</v>
      </c>
      <c r="AG113" s="31">
        <v>0</v>
      </c>
      <c r="AH113" s="31">
        <v>0</v>
      </c>
      <c r="AI113" s="31">
        <v>0</v>
      </c>
      <c r="AL113" s="31">
        <f t="shared" si="6"/>
        <v>0</v>
      </c>
      <c r="AM113" s="31">
        <f t="shared" si="7"/>
        <v>0</v>
      </c>
      <c r="AN113" s="31">
        <f t="shared" si="8"/>
        <v>0</v>
      </c>
      <c r="AP113" s="31">
        <f>VLOOKUP($B113,Kraftvärmeprod!$B$1:$BX$549,MATCH(AP$1,Kraftvärmeprod!$B$1:$BX$1,0),FALSE)</f>
        <v>0</v>
      </c>
      <c r="AQ113" s="31">
        <f>VLOOKUP($B113,Kraftvärmeprod!$B$1:$BX$549,MATCH(AQ$1,Kraftvärmeprod!$B$1:$BX$1,0),FALSE)</f>
        <v>0</v>
      </c>
      <c r="AR113" s="31">
        <f>VLOOKUP($B113,Kraftvärmeprod!$B$1:$BX$549,MATCH("Summa tillförd energi exklusive rökgaskondensering",Kraftvärmeprod!$B$1:$BX$1,0),FALSE)</f>
        <v>0</v>
      </c>
      <c r="AT113" s="32" t="str">
        <f t="shared" si="9"/>
        <v/>
      </c>
      <c r="AV113" s="31">
        <f t="shared" si="10"/>
        <v>0</v>
      </c>
      <c r="AX113" s="31" t="str">
        <f>VLOOKUP(B113,Totalt!$B$1:$BZ$554,MATCH(AX$1,Totalt!$B$1:$BZ$1,0),FALSE)</f>
        <v>Ja</v>
      </c>
      <c r="BA113" s="32" t="str">
        <f t="shared" si="11"/>
        <v/>
      </c>
    </row>
    <row r="114" spans="1:53" x14ac:dyDescent="0.45">
      <c r="A114" s="31" t="s">
        <v>538</v>
      </c>
      <c r="B114" s="31" t="s">
        <v>537</v>
      </c>
      <c r="J114" s="31">
        <v>0</v>
      </c>
      <c r="K114" s="31">
        <v>0</v>
      </c>
      <c r="L114" s="31">
        <v>0</v>
      </c>
      <c r="M114" s="31">
        <v>0</v>
      </c>
      <c r="N114" s="31">
        <v>0</v>
      </c>
      <c r="O114" s="31">
        <v>0</v>
      </c>
      <c r="P114" s="31">
        <v>5.9619900000000001</v>
      </c>
      <c r="Q114" s="31">
        <v>5.9619900000000001</v>
      </c>
      <c r="R114" s="31">
        <v>5.9619900000000001</v>
      </c>
      <c r="S114" s="31">
        <v>5.9619900000000001</v>
      </c>
      <c r="T114" s="31">
        <v>0</v>
      </c>
      <c r="U114" s="31">
        <v>5.9619900000000001</v>
      </c>
      <c r="W114" s="31">
        <v>0</v>
      </c>
      <c r="X114" s="31">
        <v>0</v>
      </c>
      <c r="Y114" s="31">
        <v>0</v>
      </c>
      <c r="Z114" s="31">
        <v>0</v>
      </c>
      <c r="AA114" s="31">
        <v>0</v>
      </c>
      <c r="AB114" s="31">
        <v>0</v>
      </c>
      <c r="AC114" s="31">
        <v>0</v>
      </c>
      <c r="AD114" s="31">
        <v>0</v>
      </c>
      <c r="AE114" s="31">
        <v>0</v>
      </c>
      <c r="AF114" s="31">
        <v>0</v>
      </c>
      <c r="AG114" s="31">
        <v>0</v>
      </c>
      <c r="AH114" s="31">
        <v>4.66</v>
      </c>
      <c r="AI114" s="31">
        <v>1.0142199999999999</v>
      </c>
      <c r="AL114" s="31">
        <f t="shared" si="6"/>
        <v>35.484169999999999</v>
      </c>
      <c r="AM114" s="31">
        <f t="shared" si="7"/>
        <v>34.469949999999997</v>
      </c>
      <c r="AN114" s="31">
        <f t="shared" si="8"/>
        <v>29.809949999999997</v>
      </c>
      <c r="AP114" s="31">
        <f>VLOOKUP($B114,Kraftvärmeprod!$B$1:$BX$549,MATCH(AP$1,Kraftvärmeprod!$B$1:$BX$1,0),FALSE)</f>
        <v>30.7</v>
      </c>
      <c r="AQ114" s="31">
        <f>VLOOKUP($B114,Kraftvärmeprod!$B$1:$BX$549,MATCH(AQ$1,Kraftvärmeprod!$B$1:$BX$1,0),FALSE)</f>
        <v>5.41</v>
      </c>
      <c r="AR114" s="31">
        <f>VLOOKUP($B114,Kraftvärmeprod!$B$1:$BX$549,MATCH("Summa tillförd energi exklusive rökgaskondensering",Kraftvärmeprod!$B$1:$BX$1,0),FALSE)</f>
        <v>43.5</v>
      </c>
      <c r="AT114" s="32">
        <f t="shared" si="9"/>
        <v>0.68528620689655162</v>
      </c>
      <c r="AV114" s="31">
        <f t="shared" si="10"/>
        <v>29.809950000000001</v>
      </c>
      <c r="AX114" s="31" t="str">
        <f>VLOOKUP(B114,Totalt!$B$1:$BZ$554,MATCH(AX$1,Totalt!$B$1:$BZ$1,0),FALSE)</f>
        <v>Ja</v>
      </c>
      <c r="BA114" s="32">
        <f t="shared" si="11"/>
        <v>0.99597166768805145</v>
      </c>
    </row>
    <row r="115" spans="1:53" x14ac:dyDescent="0.45">
      <c r="A115" s="31" t="s">
        <v>536</v>
      </c>
      <c r="B115" s="31" t="s">
        <v>74</v>
      </c>
      <c r="J115" s="31">
        <v>0</v>
      </c>
      <c r="K115" s="31">
        <v>0</v>
      </c>
      <c r="L115" s="31">
        <v>0</v>
      </c>
      <c r="M115" s="31">
        <v>0</v>
      </c>
      <c r="N115" s="31">
        <v>0</v>
      </c>
      <c r="O115" s="31">
        <v>0</v>
      </c>
      <c r="P115" s="31">
        <v>0</v>
      </c>
      <c r="Q115" s="31">
        <v>0</v>
      </c>
      <c r="R115" s="31">
        <v>0</v>
      </c>
      <c r="S115" s="31">
        <v>0</v>
      </c>
      <c r="T115" s="31">
        <v>0</v>
      </c>
      <c r="U115" s="31">
        <v>0</v>
      </c>
      <c r="W115" s="31">
        <v>0</v>
      </c>
      <c r="X115" s="31">
        <v>0</v>
      </c>
      <c r="Y115" s="31">
        <v>0</v>
      </c>
      <c r="Z115" s="31">
        <v>0</v>
      </c>
      <c r="AA115" s="31">
        <v>0</v>
      </c>
      <c r="AB115" s="31">
        <v>0</v>
      </c>
      <c r="AC115" s="31">
        <v>0</v>
      </c>
      <c r="AD115" s="31">
        <v>0</v>
      </c>
      <c r="AE115" s="31">
        <v>0</v>
      </c>
      <c r="AF115" s="31">
        <v>0</v>
      </c>
      <c r="AG115" s="31">
        <v>0</v>
      </c>
      <c r="AH115" s="31">
        <v>0</v>
      </c>
      <c r="AI115" s="31">
        <v>0</v>
      </c>
      <c r="AL115" s="31">
        <f t="shared" si="6"/>
        <v>0</v>
      </c>
      <c r="AM115" s="31">
        <f t="shared" si="7"/>
        <v>0</v>
      </c>
      <c r="AN115" s="31">
        <f t="shared" si="8"/>
        <v>0</v>
      </c>
      <c r="AP115" s="31">
        <f>VLOOKUP($B115,Kraftvärmeprod!$B$1:$BX$549,MATCH(AP$1,Kraftvärmeprod!$B$1:$BX$1,0),FALSE)</f>
        <v>0</v>
      </c>
      <c r="AQ115" s="31">
        <f>VLOOKUP($B115,Kraftvärmeprod!$B$1:$BX$549,MATCH(AQ$1,Kraftvärmeprod!$B$1:$BX$1,0),FALSE)</f>
        <v>0</v>
      </c>
      <c r="AR115" s="31">
        <f>VLOOKUP($B115,Kraftvärmeprod!$B$1:$BX$549,MATCH("Summa tillförd energi exklusive rökgaskondensering",Kraftvärmeprod!$B$1:$BX$1,0),FALSE)</f>
        <v>0</v>
      </c>
      <c r="AT115" s="32" t="str">
        <f t="shared" si="9"/>
        <v/>
      </c>
      <c r="AV115" s="31">
        <f t="shared" si="10"/>
        <v>0</v>
      </c>
      <c r="AX115" s="31" t="str">
        <f>VLOOKUP(B115,Totalt!$B$1:$BZ$554,MATCH(AX$1,Totalt!$B$1:$BZ$1,0),FALSE)</f>
        <v>Nej</v>
      </c>
      <c r="BA115" s="32" t="str">
        <f t="shared" si="11"/>
        <v/>
      </c>
    </row>
    <row r="116" spans="1:53" x14ac:dyDescent="0.45">
      <c r="A116" s="31" t="s">
        <v>535</v>
      </c>
      <c r="B116" s="31" t="s">
        <v>534</v>
      </c>
      <c r="J116" s="31">
        <v>0</v>
      </c>
      <c r="K116" s="31">
        <v>0</v>
      </c>
      <c r="L116" s="31">
        <v>0</v>
      </c>
      <c r="M116" s="31">
        <v>0</v>
      </c>
      <c r="N116" s="31">
        <v>0</v>
      </c>
      <c r="O116" s="31">
        <v>0</v>
      </c>
      <c r="P116" s="31">
        <v>0</v>
      </c>
      <c r="Q116" s="31">
        <v>0</v>
      </c>
      <c r="R116" s="31">
        <v>0</v>
      </c>
      <c r="S116" s="31">
        <v>0</v>
      </c>
      <c r="T116" s="31">
        <v>0</v>
      </c>
      <c r="U116" s="31">
        <v>0</v>
      </c>
      <c r="W116" s="31">
        <v>0</v>
      </c>
      <c r="X116" s="31">
        <v>0</v>
      </c>
      <c r="Y116" s="31">
        <v>0</v>
      </c>
      <c r="Z116" s="31">
        <v>0</v>
      </c>
      <c r="AA116" s="31">
        <v>0</v>
      </c>
      <c r="AB116" s="31">
        <v>0</v>
      </c>
      <c r="AC116" s="31">
        <v>0</v>
      </c>
      <c r="AD116" s="31">
        <v>0</v>
      </c>
      <c r="AE116" s="31">
        <v>0</v>
      </c>
      <c r="AF116" s="31">
        <v>0</v>
      </c>
      <c r="AG116" s="31">
        <v>0</v>
      </c>
      <c r="AH116" s="31">
        <v>0</v>
      </c>
      <c r="AI116" s="31">
        <v>0</v>
      </c>
      <c r="AL116" s="31">
        <f t="shared" si="6"/>
        <v>0</v>
      </c>
      <c r="AM116" s="31">
        <f t="shared" si="7"/>
        <v>0</v>
      </c>
      <c r="AN116" s="31">
        <f t="shared" si="8"/>
        <v>0</v>
      </c>
      <c r="AP116" s="31">
        <f>VLOOKUP($B116,Kraftvärmeprod!$B$1:$BX$549,MATCH(AP$1,Kraftvärmeprod!$B$1:$BX$1,0),FALSE)</f>
        <v>0</v>
      </c>
      <c r="AQ116" s="31">
        <f>VLOOKUP($B116,Kraftvärmeprod!$B$1:$BX$549,MATCH(AQ$1,Kraftvärmeprod!$B$1:$BX$1,0),FALSE)</f>
        <v>0</v>
      </c>
      <c r="AR116" s="31">
        <f>VLOOKUP($B116,Kraftvärmeprod!$B$1:$BX$549,MATCH("Summa tillförd energi exklusive rökgaskondensering",Kraftvärmeprod!$B$1:$BX$1,0),FALSE)</f>
        <v>0</v>
      </c>
      <c r="AT116" s="32" t="str">
        <f t="shared" si="9"/>
        <v/>
      </c>
      <c r="AV116" s="31">
        <f t="shared" si="10"/>
        <v>0</v>
      </c>
      <c r="AX116" s="31" t="str">
        <f>VLOOKUP(B116,Totalt!$B$1:$BZ$554,MATCH(AX$1,Totalt!$B$1:$BZ$1,0),FALSE)</f>
        <v>Ja</v>
      </c>
      <c r="BA116" s="32" t="str">
        <f t="shared" si="11"/>
        <v/>
      </c>
    </row>
    <row r="117" spans="1:53" x14ac:dyDescent="0.45">
      <c r="A117" s="31" t="s">
        <v>533</v>
      </c>
      <c r="B117" s="31" t="s">
        <v>532</v>
      </c>
      <c r="J117" s="31">
        <v>0</v>
      </c>
      <c r="K117" s="31">
        <v>0</v>
      </c>
      <c r="L117" s="31">
        <v>0</v>
      </c>
      <c r="M117" s="31">
        <v>0</v>
      </c>
      <c r="N117" s="31">
        <v>0</v>
      </c>
      <c r="O117" s="31">
        <v>0</v>
      </c>
      <c r="P117" s="31">
        <v>13.248799999999999</v>
      </c>
      <c r="Q117" s="31">
        <v>31.245000000000001</v>
      </c>
      <c r="R117" s="31">
        <v>34.833199999999998</v>
      </c>
      <c r="S117" s="31">
        <v>3.3673899999999999</v>
      </c>
      <c r="T117" s="31">
        <v>0</v>
      </c>
      <c r="U117" s="31">
        <v>0</v>
      </c>
      <c r="W117" s="31">
        <v>0</v>
      </c>
      <c r="X117" s="31">
        <v>0</v>
      </c>
      <c r="Y117" s="31">
        <v>0</v>
      </c>
      <c r="Z117" s="31">
        <v>0</v>
      </c>
      <c r="AA117" s="31">
        <v>0</v>
      </c>
      <c r="AB117" s="31">
        <v>0</v>
      </c>
      <c r="AC117" s="31">
        <v>0</v>
      </c>
      <c r="AD117" s="31">
        <v>18.201799999999999</v>
      </c>
      <c r="AE117" s="31">
        <v>0</v>
      </c>
      <c r="AF117" s="31">
        <v>0</v>
      </c>
      <c r="AG117" s="31">
        <v>0</v>
      </c>
      <c r="AH117" s="31">
        <v>33.4</v>
      </c>
      <c r="AI117" s="31">
        <v>2.9066999999999998</v>
      </c>
      <c r="AL117" s="31">
        <f t="shared" si="6"/>
        <v>137.20289</v>
      </c>
      <c r="AM117" s="31">
        <f t="shared" si="7"/>
        <v>134.29619</v>
      </c>
      <c r="AN117" s="31">
        <f t="shared" si="8"/>
        <v>100.89618999999999</v>
      </c>
      <c r="AP117" s="31">
        <f>VLOOKUP($B117,Kraftvärmeprod!$B$1:$BX$549,MATCH(AP$1,Kraftvärmeprod!$B$1:$BX$1,0),FALSE)</f>
        <v>106.62</v>
      </c>
      <c r="AQ117" s="31">
        <f>VLOOKUP($B117,Kraftvärmeprod!$B$1:$BX$549,MATCH(AQ$1,Kraftvärmeprod!$B$1:$BX$1,0),FALSE)</f>
        <v>33.200000000000003</v>
      </c>
      <c r="AR117" s="31">
        <f>VLOOKUP($B117,Kraftvärmeprod!$B$1:$BX$549,MATCH("Summa tillförd energi exklusive rökgaskondensering",Kraftvärmeprod!$B$1:$BX$1,0),FALSE)</f>
        <v>180.49999999999997</v>
      </c>
      <c r="AT117" s="32">
        <f t="shared" si="9"/>
        <v>0.55898166204986155</v>
      </c>
      <c r="AV117" s="31">
        <f t="shared" si="10"/>
        <v>82.694389999999999</v>
      </c>
      <c r="AX117" s="31" t="str">
        <f>VLOOKUP(B117,Totalt!$B$1:$BZ$554,MATCH(AX$1,Totalt!$B$1:$BZ$1,0),FALSE)</f>
        <v>Ja</v>
      </c>
      <c r="BA117" s="32">
        <f t="shared" si="11"/>
        <v>1.027139032448904</v>
      </c>
    </row>
    <row r="118" spans="1:53" x14ac:dyDescent="0.45">
      <c r="A118" s="31" t="s">
        <v>530</v>
      </c>
      <c r="B118" s="31" t="s">
        <v>531</v>
      </c>
      <c r="J118" s="31">
        <v>0</v>
      </c>
      <c r="K118" s="31">
        <v>0</v>
      </c>
      <c r="L118" s="31">
        <v>0</v>
      </c>
      <c r="M118" s="31">
        <v>0</v>
      </c>
      <c r="N118" s="31">
        <v>0</v>
      </c>
      <c r="O118" s="31">
        <v>0</v>
      </c>
      <c r="P118" s="31">
        <v>0</v>
      </c>
      <c r="Q118" s="31">
        <v>0</v>
      </c>
      <c r="R118" s="31">
        <v>0</v>
      </c>
      <c r="S118" s="31">
        <v>0</v>
      </c>
      <c r="T118" s="31">
        <v>0</v>
      </c>
      <c r="U118" s="31">
        <v>0</v>
      </c>
      <c r="W118" s="31">
        <v>0</v>
      </c>
      <c r="X118" s="31">
        <v>0</v>
      </c>
      <c r="Y118" s="31">
        <v>0</v>
      </c>
      <c r="Z118" s="31">
        <v>0</v>
      </c>
      <c r="AA118" s="31">
        <v>0</v>
      </c>
      <c r="AB118" s="31">
        <v>0.108954</v>
      </c>
      <c r="AC118" s="31">
        <v>0</v>
      </c>
      <c r="AD118" s="31">
        <v>0</v>
      </c>
      <c r="AE118" s="31">
        <v>113.053</v>
      </c>
      <c r="AF118" s="31">
        <v>0</v>
      </c>
      <c r="AG118" s="31">
        <v>0</v>
      </c>
      <c r="AH118" s="31">
        <v>0</v>
      </c>
      <c r="AI118" s="31">
        <v>0</v>
      </c>
      <c r="AL118" s="31">
        <f t="shared" si="6"/>
        <v>113.16195399999999</v>
      </c>
      <c r="AM118" s="31">
        <f t="shared" si="7"/>
        <v>113.16195399999999</v>
      </c>
      <c r="AN118" s="31">
        <f t="shared" si="8"/>
        <v>113.16195399999999</v>
      </c>
      <c r="AP118" s="31">
        <f>VLOOKUP($B118,Kraftvärmeprod!$B$1:$BX$549,MATCH(AP$1,Kraftvärmeprod!$B$1:$BX$1,0),FALSE)</f>
        <v>111</v>
      </c>
      <c r="AQ118" s="31">
        <f>VLOOKUP($B118,Kraftvärmeprod!$B$1:$BX$549,MATCH(AQ$1,Kraftvärmeprod!$B$1:$BX$1,0),FALSE)</f>
        <v>10.6</v>
      </c>
      <c r="AR118" s="31">
        <f>VLOOKUP($B118,Kraftvärmeprod!$B$1:$BX$549,MATCH("Summa tillförd energi exklusive rökgaskondensering",Kraftvärmeprod!$B$1:$BX$1,0),FALSE)</f>
        <v>147.72999999999999</v>
      </c>
      <c r="AT118" s="32">
        <f t="shared" si="9"/>
        <v>0.76600523928789011</v>
      </c>
      <c r="AV118" s="31">
        <f t="shared" si="10"/>
        <v>0.108954</v>
      </c>
      <c r="AX118" s="31" t="str">
        <f>VLOOKUP(B118,Totalt!$B$1:$BZ$554,MATCH(AX$1,Totalt!$B$1:$BZ$1,0),FALSE)</f>
        <v>Ja</v>
      </c>
      <c r="BA118" s="32">
        <f t="shared" si="11"/>
        <v>0.98089504534359673</v>
      </c>
    </row>
    <row r="119" spans="1:53" x14ac:dyDescent="0.45">
      <c r="A119" s="31" t="s">
        <v>530</v>
      </c>
      <c r="B119" s="31" t="s">
        <v>529</v>
      </c>
      <c r="J119" s="31">
        <v>0</v>
      </c>
      <c r="K119" s="31">
        <v>0</v>
      </c>
      <c r="L119" s="31">
        <v>0</v>
      </c>
      <c r="M119" s="31">
        <v>0</v>
      </c>
      <c r="N119" s="31">
        <v>0</v>
      </c>
      <c r="O119" s="31">
        <v>0</v>
      </c>
      <c r="P119" s="31">
        <v>0</v>
      </c>
      <c r="Q119" s="31">
        <v>0</v>
      </c>
      <c r="R119" s="31">
        <v>0</v>
      </c>
      <c r="S119" s="31">
        <v>0</v>
      </c>
      <c r="T119" s="31">
        <v>0</v>
      </c>
      <c r="U119" s="31">
        <v>0</v>
      </c>
      <c r="W119" s="31">
        <v>0</v>
      </c>
      <c r="X119" s="31">
        <v>0</v>
      </c>
      <c r="Y119" s="31">
        <v>0</v>
      </c>
      <c r="Z119" s="31">
        <v>0</v>
      </c>
      <c r="AA119" s="31">
        <v>0</v>
      </c>
      <c r="AB119" s="31">
        <v>0</v>
      </c>
      <c r="AC119" s="31">
        <v>0</v>
      </c>
      <c r="AD119" s="31">
        <v>0</v>
      </c>
      <c r="AE119" s="31">
        <v>0</v>
      </c>
      <c r="AF119" s="31">
        <v>0</v>
      </c>
      <c r="AG119" s="31">
        <v>0</v>
      </c>
      <c r="AH119" s="31">
        <v>0</v>
      </c>
      <c r="AI119" s="31">
        <v>0</v>
      </c>
      <c r="AL119" s="31">
        <f t="shared" si="6"/>
        <v>0</v>
      </c>
      <c r="AM119" s="31">
        <f t="shared" si="7"/>
        <v>0</v>
      </c>
      <c r="AN119" s="31">
        <f t="shared" si="8"/>
        <v>0</v>
      </c>
      <c r="AP119" s="31">
        <f>VLOOKUP($B119,Kraftvärmeprod!$B$1:$BX$549,MATCH(AP$1,Kraftvärmeprod!$B$1:$BX$1,0),FALSE)</f>
        <v>0</v>
      </c>
      <c r="AQ119" s="31">
        <f>VLOOKUP($B119,Kraftvärmeprod!$B$1:$BX$549,MATCH(AQ$1,Kraftvärmeprod!$B$1:$BX$1,0),FALSE)</f>
        <v>0</v>
      </c>
      <c r="AR119" s="31">
        <f>VLOOKUP($B119,Kraftvärmeprod!$B$1:$BX$549,MATCH("Summa tillförd energi exklusive rökgaskondensering",Kraftvärmeprod!$B$1:$BX$1,0),FALSE)</f>
        <v>0</v>
      </c>
      <c r="AT119" s="32" t="str">
        <f t="shared" si="9"/>
        <v/>
      </c>
      <c r="AV119" s="31">
        <f t="shared" si="10"/>
        <v>0</v>
      </c>
      <c r="AX119" s="31" t="str">
        <f>VLOOKUP(B119,Totalt!$B$1:$BZ$554,MATCH(AX$1,Totalt!$B$1:$BZ$1,0),FALSE)</f>
        <v>Ja</v>
      </c>
      <c r="BA119" s="32" t="str">
        <f t="shared" si="11"/>
        <v/>
      </c>
    </row>
    <row r="120" spans="1:53" x14ac:dyDescent="0.45">
      <c r="A120" s="31" t="s">
        <v>528</v>
      </c>
      <c r="B120" s="31" t="s">
        <v>527</v>
      </c>
      <c r="J120" s="31">
        <v>0</v>
      </c>
      <c r="K120" s="31">
        <v>0</v>
      </c>
      <c r="L120" s="31">
        <v>0</v>
      </c>
      <c r="M120" s="31">
        <v>0</v>
      </c>
      <c r="N120" s="31">
        <v>0</v>
      </c>
      <c r="O120" s="31">
        <v>0</v>
      </c>
      <c r="P120" s="31">
        <v>0</v>
      </c>
      <c r="Q120" s="31">
        <v>0</v>
      </c>
      <c r="R120" s="31">
        <v>0</v>
      </c>
      <c r="S120" s="31">
        <v>0</v>
      </c>
      <c r="T120" s="31">
        <v>0</v>
      </c>
      <c r="U120" s="31">
        <v>0</v>
      </c>
      <c r="W120" s="31">
        <v>0</v>
      </c>
      <c r="X120" s="31">
        <v>0</v>
      </c>
      <c r="Y120" s="31">
        <v>0</v>
      </c>
      <c r="Z120" s="31">
        <v>0</v>
      </c>
      <c r="AA120" s="31">
        <v>0</v>
      </c>
      <c r="AB120" s="31">
        <v>0</v>
      </c>
      <c r="AC120" s="31">
        <v>0</v>
      </c>
      <c r="AD120" s="31">
        <v>0</v>
      </c>
      <c r="AE120" s="31">
        <v>0</v>
      </c>
      <c r="AF120" s="31">
        <v>0</v>
      </c>
      <c r="AG120" s="31">
        <v>0</v>
      </c>
      <c r="AH120" s="31">
        <v>0</v>
      </c>
      <c r="AI120" s="31">
        <v>0</v>
      </c>
      <c r="AL120" s="31">
        <f t="shared" si="6"/>
        <v>0</v>
      </c>
      <c r="AM120" s="31">
        <f t="shared" si="7"/>
        <v>0</v>
      </c>
      <c r="AN120" s="31">
        <f t="shared" si="8"/>
        <v>0</v>
      </c>
      <c r="AP120" s="31">
        <f>VLOOKUP($B120,Kraftvärmeprod!$B$1:$BX$549,MATCH(AP$1,Kraftvärmeprod!$B$1:$BX$1,0),FALSE)</f>
        <v>0</v>
      </c>
      <c r="AQ120" s="31">
        <f>VLOOKUP($B120,Kraftvärmeprod!$B$1:$BX$549,MATCH(AQ$1,Kraftvärmeprod!$B$1:$BX$1,0),FALSE)</f>
        <v>0</v>
      </c>
      <c r="AR120" s="31">
        <f>VLOOKUP($B120,Kraftvärmeprod!$B$1:$BX$549,MATCH("Summa tillförd energi exklusive rökgaskondensering",Kraftvärmeprod!$B$1:$BX$1,0),FALSE)</f>
        <v>0</v>
      </c>
      <c r="AT120" s="32" t="str">
        <f t="shared" si="9"/>
        <v/>
      </c>
      <c r="AV120" s="31">
        <f t="shared" si="10"/>
        <v>0</v>
      </c>
      <c r="AX120" s="31" t="str">
        <f>VLOOKUP(B120,Totalt!$B$1:$BZ$554,MATCH(AX$1,Totalt!$B$1:$BZ$1,0),FALSE)</f>
        <v>Ja</v>
      </c>
      <c r="BA120" s="32" t="str">
        <f t="shared" si="11"/>
        <v/>
      </c>
    </row>
    <row r="121" spans="1:53" x14ac:dyDescent="0.45">
      <c r="A121" s="31" t="s">
        <v>526</v>
      </c>
      <c r="B121" s="31" t="s">
        <v>525</v>
      </c>
      <c r="J121" s="31">
        <v>0</v>
      </c>
      <c r="K121" s="31">
        <v>0</v>
      </c>
      <c r="L121" s="31">
        <v>0</v>
      </c>
      <c r="M121" s="31">
        <v>0</v>
      </c>
      <c r="N121" s="31">
        <v>0</v>
      </c>
      <c r="O121" s="31">
        <v>0</v>
      </c>
      <c r="P121" s="31">
        <v>0</v>
      </c>
      <c r="Q121" s="31">
        <v>0</v>
      </c>
      <c r="R121" s="31">
        <v>0</v>
      </c>
      <c r="S121" s="31">
        <v>0</v>
      </c>
      <c r="T121" s="31">
        <v>0</v>
      </c>
      <c r="U121" s="31">
        <v>0</v>
      </c>
      <c r="W121" s="31">
        <v>0</v>
      </c>
      <c r="X121" s="31">
        <v>0</v>
      </c>
      <c r="Y121" s="31">
        <v>0</v>
      </c>
      <c r="Z121" s="31">
        <v>0</v>
      </c>
      <c r="AA121" s="31">
        <v>0</v>
      </c>
      <c r="AB121" s="31">
        <v>0</v>
      </c>
      <c r="AC121" s="31">
        <v>0</v>
      </c>
      <c r="AD121" s="31">
        <v>0</v>
      </c>
      <c r="AE121" s="31">
        <v>0</v>
      </c>
      <c r="AF121" s="31">
        <v>0</v>
      </c>
      <c r="AG121" s="31">
        <v>0</v>
      </c>
      <c r="AH121" s="31">
        <v>0</v>
      </c>
      <c r="AI121" s="31">
        <v>0</v>
      </c>
      <c r="AL121" s="31">
        <f t="shared" si="6"/>
        <v>0</v>
      </c>
      <c r="AM121" s="31">
        <f t="shared" si="7"/>
        <v>0</v>
      </c>
      <c r="AN121" s="31">
        <f t="shared" si="8"/>
        <v>0</v>
      </c>
      <c r="AP121" s="31">
        <f>VLOOKUP($B121,Kraftvärmeprod!$B$1:$BX$549,MATCH(AP$1,Kraftvärmeprod!$B$1:$BX$1,0),FALSE)</f>
        <v>0</v>
      </c>
      <c r="AQ121" s="31">
        <f>VLOOKUP($B121,Kraftvärmeprod!$B$1:$BX$549,MATCH(AQ$1,Kraftvärmeprod!$B$1:$BX$1,0),FALSE)</f>
        <v>0</v>
      </c>
      <c r="AR121" s="31">
        <f>VLOOKUP($B121,Kraftvärmeprod!$B$1:$BX$549,MATCH("Summa tillförd energi exklusive rökgaskondensering",Kraftvärmeprod!$B$1:$BX$1,0),FALSE)</f>
        <v>0</v>
      </c>
      <c r="AT121" s="32" t="str">
        <f t="shared" si="9"/>
        <v/>
      </c>
      <c r="AV121" s="31">
        <f t="shared" si="10"/>
        <v>0</v>
      </c>
      <c r="AX121" s="31" t="str">
        <f>VLOOKUP(B121,Totalt!$B$1:$BZ$554,MATCH(AX$1,Totalt!$B$1:$BZ$1,0),FALSE)</f>
        <v>Ja</v>
      </c>
      <c r="BA121" s="32" t="str">
        <f t="shared" si="11"/>
        <v/>
      </c>
    </row>
    <row r="122" spans="1:53" x14ac:dyDescent="0.45">
      <c r="A122" s="31" t="s">
        <v>520</v>
      </c>
      <c r="B122" s="31" t="s">
        <v>524</v>
      </c>
      <c r="J122" s="31">
        <v>0</v>
      </c>
      <c r="K122" s="31">
        <v>0</v>
      </c>
      <c r="L122" s="31">
        <v>0</v>
      </c>
      <c r="M122" s="31">
        <v>0</v>
      </c>
      <c r="N122" s="31">
        <v>0</v>
      </c>
      <c r="O122" s="31">
        <v>0</v>
      </c>
      <c r="P122" s="31">
        <v>0</v>
      </c>
      <c r="Q122" s="31">
        <v>0</v>
      </c>
      <c r="R122" s="31">
        <v>0</v>
      </c>
      <c r="S122" s="31">
        <v>0</v>
      </c>
      <c r="T122" s="31">
        <v>0</v>
      </c>
      <c r="U122" s="31">
        <v>0</v>
      </c>
      <c r="W122" s="31">
        <v>0</v>
      </c>
      <c r="X122" s="31">
        <v>0</v>
      </c>
      <c r="Y122" s="31">
        <v>0</v>
      </c>
      <c r="Z122" s="31">
        <v>0</v>
      </c>
      <c r="AA122" s="31">
        <v>0</v>
      </c>
      <c r="AB122" s="31">
        <v>0</v>
      </c>
      <c r="AC122" s="31">
        <v>0</v>
      </c>
      <c r="AD122" s="31">
        <v>0</v>
      </c>
      <c r="AE122" s="31">
        <v>0</v>
      </c>
      <c r="AF122" s="31">
        <v>0</v>
      </c>
      <c r="AG122" s="31">
        <v>0</v>
      </c>
      <c r="AH122" s="31">
        <v>0</v>
      </c>
      <c r="AI122" s="31">
        <v>0</v>
      </c>
      <c r="AL122" s="31">
        <f t="shared" si="6"/>
        <v>0</v>
      </c>
      <c r="AM122" s="31">
        <f t="shared" si="7"/>
        <v>0</v>
      </c>
      <c r="AN122" s="31">
        <f t="shared" si="8"/>
        <v>0</v>
      </c>
      <c r="AP122" s="31">
        <f>VLOOKUP($B122,Kraftvärmeprod!$B$1:$BX$549,MATCH(AP$1,Kraftvärmeprod!$B$1:$BX$1,0),FALSE)</f>
        <v>0</v>
      </c>
      <c r="AQ122" s="31">
        <f>VLOOKUP($B122,Kraftvärmeprod!$B$1:$BX$549,MATCH(AQ$1,Kraftvärmeprod!$B$1:$BX$1,0),FALSE)</f>
        <v>0</v>
      </c>
      <c r="AR122" s="31">
        <f>VLOOKUP($B122,Kraftvärmeprod!$B$1:$BX$549,MATCH("Summa tillförd energi exklusive rökgaskondensering",Kraftvärmeprod!$B$1:$BX$1,0),FALSE)</f>
        <v>0</v>
      </c>
      <c r="AT122" s="32" t="str">
        <f t="shared" si="9"/>
        <v/>
      </c>
      <c r="AV122" s="31">
        <f t="shared" si="10"/>
        <v>0</v>
      </c>
      <c r="AX122" s="31" t="str">
        <f>VLOOKUP(B122,Totalt!$B$1:$BZ$554,MATCH(AX$1,Totalt!$B$1:$BZ$1,0),FALSE)</f>
        <v>Nej</v>
      </c>
      <c r="BA122" s="32" t="str">
        <f t="shared" si="11"/>
        <v/>
      </c>
    </row>
    <row r="123" spans="1:53" x14ac:dyDescent="0.45">
      <c r="A123" s="31" t="s">
        <v>520</v>
      </c>
      <c r="B123" s="31" t="s">
        <v>523</v>
      </c>
      <c r="J123" s="31">
        <v>0</v>
      </c>
      <c r="K123" s="31">
        <v>0</v>
      </c>
      <c r="L123" s="31">
        <v>0</v>
      </c>
      <c r="M123" s="31">
        <v>0</v>
      </c>
      <c r="N123" s="31">
        <v>0</v>
      </c>
      <c r="O123" s="31">
        <v>0</v>
      </c>
      <c r="P123" s="31">
        <v>0</v>
      </c>
      <c r="Q123" s="31">
        <v>0</v>
      </c>
      <c r="R123" s="31">
        <v>0</v>
      </c>
      <c r="S123" s="31">
        <v>0</v>
      </c>
      <c r="T123" s="31">
        <v>0</v>
      </c>
      <c r="U123" s="31">
        <v>0</v>
      </c>
      <c r="W123" s="31">
        <v>0</v>
      </c>
      <c r="X123" s="31">
        <v>0</v>
      </c>
      <c r="Y123" s="31">
        <v>0</v>
      </c>
      <c r="Z123" s="31">
        <v>0</v>
      </c>
      <c r="AA123" s="31">
        <v>0</v>
      </c>
      <c r="AB123" s="31">
        <v>0</v>
      </c>
      <c r="AC123" s="31">
        <v>0</v>
      </c>
      <c r="AD123" s="31">
        <v>0</v>
      </c>
      <c r="AE123" s="31">
        <v>0</v>
      </c>
      <c r="AF123" s="31">
        <v>0</v>
      </c>
      <c r="AG123" s="31">
        <v>0</v>
      </c>
      <c r="AH123" s="31">
        <v>0</v>
      </c>
      <c r="AI123" s="31">
        <v>0</v>
      </c>
      <c r="AL123" s="31">
        <f t="shared" si="6"/>
        <v>0</v>
      </c>
      <c r="AM123" s="31">
        <f t="shared" si="7"/>
        <v>0</v>
      </c>
      <c r="AN123" s="31">
        <f t="shared" si="8"/>
        <v>0</v>
      </c>
      <c r="AP123" s="31">
        <f>VLOOKUP($B123,Kraftvärmeprod!$B$1:$BX$549,MATCH(AP$1,Kraftvärmeprod!$B$1:$BX$1,0),FALSE)</f>
        <v>0</v>
      </c>
      <c r="AQ123" s="31">
        <f>VLOOKUP($B123,Kraftvärmeprod!$B$1:$BX$549,MATCH(AQ$1,Kraftvärmeprod!$B$1:$BX$1,0),FALSE)</f>
        <v>0</v>
      </c>
      <c r="AR123" s="31">
        <f>VLOOKUP($B123,Kraftvärmeprod!$B$1:$BX$549,MATCH("Summa tillförd energi exklusive rökgaskondensering",Kraftvärmeprod!$B$1:$BX$1,0),FALSE)</f>
        <v>0</v>
      </c>
      <c r="AT123" s="32" t="str">
        <f t="shared" si="9"/>
        <v/>
      </c>
      <c r="AV123" s="31">
        <f t="shared" si="10"/>
        <v>0</v>
      </c>
      <c r="AX123" s="31" t="str">
        <f>VLOOKUP(B123,Totalt!$B$1:$BZ$554,MATCH(AX$1,Totalt!$B$1:$BZ$1,0),FALSE)</f>
        <v>Ja</v>
      </c>
      <c r="BA123" s="32" t="str">
        <f t="shared" si="11"/>
        <v/>
      </c>
    </row>
    <row r="124" spans="1:53" x14ac:dyDescent="0.45">
      <c r="A124" s="31" t="s">
        <v>520</v>
      </c>
      <c r="B124" s="31" t="s">
        <v>522</v>
      </c>
      <c r="J124" s="31">
        <v>0</v>
      </c>
      <c r="K124" s="31">
        <v>0</v>
      </c>
      <c r="L124" s="31">
        <v>0</v>
      </c>
      <c r="M124" s="31">
        <v>0</v>
      </c>
      <c r="N124" s="31">
        <v>0</v>
      </c>
      <c r="O124" s="31">
        <v>0</v>
      </c>
      <c r="P124" s="31">
        <v>0</v>
      </c>
      <c r="Q124" s="31">
        <v>0</v>
      </c>
      <c r="R124" s="31">
        <v>0</v>
      </c>
      <c r="S124" s="31">
        <v>0</v>
      </c>
      <c r="T124" s="31">
        <v>0</v>
      </c>
      <c r="U124" s="31">
        <v>0</v>
      </c>
      <c r="W124" s="31">
        <v>0</v>
      </c>
      <c r="X124" s="31">
        <v>0</v>
      </c>
      <c r="Y124" s="31">
        <v>0</v>
      </c>
      <c r="Z124" s="31">
        <v>0</v>
      </c>
      <c r="AA124" s="31">
        <v>0</v>
      </c>
      <c r="AB124" s="31">
        <v>0</v>
      </c>
      <c r="AC124" s="31">
        <v>0</v>
      </c>
      <c r="AD124" s="31">
        <v>0</v>
      </c>
      <c r="AE124" s="31">
        <v>0</v>
      </c>
      <c r="AF124" s="31">
        <v>0</v>
      </c>
      <c r="AG124" s="31">
        <v>0</v>
      </c>
      <c r="AH124" s="31">
        <v>0</v>
      </c>
      <c r="AI124" s="31">
        <v>0</v>
      </c>
      <c r="AL124" s="31">
        <f t="shared" si="6"/>
        <v>0</v>
      </c>
      <c r="AM124" s="31">
        <f t="shared" si="7"/>
        <v>0</v>
      </c>
      <c r="AN124" s="31">
        <f t="shared" si="8"/>
        <v>0</v>
      </c>
      <c r="AP124" s="31">
        <f>VLOOKUP($B124,Kraftvärmeprod!$B$1:$BX$549,MATCH(AP$1,Kraftvärmeprod!$B$1:$BX$1,0),FALSE)</f>
        <v>0</v>
      </c>
      <c r="AQ124" s="31">
        <f>VLOOKUP($B124,Kraftvärmeprod!$B$1:$BX$549,MATCH(AQ$1,Kraftvärmeprod!$B$1:$BX$1,0),FALSE)</f>
        <v>0</v>
      </c>
      <c r="AR124" s="31">
        <f>VLOOKUP($B124,Kraftvärmeprod!$B$1:$BX$549,MATCH("Summa tillförd energi exklusive rökgaskondensering",Kraftvärmeprod!$B$1:$BX$1,0),FALSE)</f>
        <v>0</v>
      </c>
      <c r="AT124" s="32" t="str">
        <f t="shared" si="9"/>
        <v/>
      </c>
      <c r="AV124" s="31">
        <f t="shared" si="10"/>
        <v>0</v>
      </c>
      <c r="AX124" s="31" t="str">
        <f>VLOOKUP(B124,Totalt!$B$1:$BZ$554,MATCH(AX$1,Totalt!$B$1:$BZ$1,0),FALSE)</f>
        <v>Ja</v>
      </c>
      <c r="BA124" s="32" t="str">
        <f t="shared" si="11"/>
        <v/>
      </c>
    </row>
    <row r="125" spans="1:53" x14ac:dyDescent="0.45">
      <c r="A125" s="31" t="s">
        <v>520</v>
      </c>
      <c r="B125" s="31" t="s">
        <v>521</v>
      </c>
      <c r="J125" s="31">
        <v>0</v>
      </c>
      <c r="K125" s="31">
        <v>0</v>
      </c>
      <c r="L125" s="31">
        <v>0</v>
      </c>
      <c r="M125" s="31">
        <v>0</v>
      </c>
      <c r="N125" s="31">
        <v>0</v>
      </c>
      <c r="O125" s="31">
        <v>0</v>
      </c>
      <c r="P125" s="31">
        <v>12.644299999999999</v>
      </c>
      <c r="Q125" s="31">
        <v>73.354799999999997</v>
      </c>
      <c r="R125" s="31">
        <v>117.41200000000001</v>
      </c>
      <c r="S125" s="31">
        <v>44.233199999999997</v>
      </c>
      <c r="T125" s="31">
        <v>0</v>
      </c>
      <c r="U125" s="31">
        <v>0</v>
      </c>
      <c r="W125" s="31">
        <v>0</v>
      </c>
      <c r="X125" s="31">
        <v>0</v>
      </c>
      <c r="Y125" s="31">
        <v>0</v>
      </c>
      <c r="Z125" s="31">
        <v>41.589799999999997</v>
      </c>
      <c r="AA125" s="31">
        <v>0</v>
      </c>
      <c r="AB125" s="31">
        <v>0</v>
      </c>
      <c r="AC125" s="31">
        <v>0</v>
      </c>
      <c r="AD125" s="31">
        <v>15.4741</v>
      </c>
      <c r="AE125" s="31">
        <v>0</v>
      </c>
      <c r="AF125" s="31">
        <v>0</v>
      </c>
      <c r="AG125" s="31">
        <v>0</v>
      </c>
      <c r="AH125" s="31">
        <v>128.12</v>
      </c>
      <c r="AI125" s="31">
        <v>0</v>
      </c>
      <c r="AL125" s="31">
        <f t="shared" si="6"/>
        <v>432.82820000000004</v>
      </c>
      <c r="AM125" s="31">
        <f t="shared" si="7"/>
        <v>432.82820000000004</v>
      </c>
      <c r="AN125" s="31">
        <f t="shared" si="8"/>
        <v>304.70820000000003</v>
      </c>
      <c r="AP125" s="31">
        <f>VLOOKUP($B125,Kraftvärmeprod!$B$1:$BX$549,MATCH(AP$1,Kraftvärmeprod!$B$1:$BX$1,0),FALSE)</f>
        <v>392</v>
      </c>
      <c r="AQ125" s="31">
        <f>VLOOKUP($B125,Kraftvärmeprod!$B$1:$BX$549,MATCH(AQ$1,Kraftvärmeprod!$B$1:$BX$1,0),FALSE)</f>
        <v>191</v>
      </c>
      <c r="AR125" s="31">
        <f>VLOOKUP($B125,Kraftvärmeprod!$B$1:$BX$549,MATCH("Summa tillförd energi exklusive rökgaskondensering",Kraftvärmeprod!$B$1:$BX$1,0),FALSE)</f>
        <v>688.6</v>
      </c>
      <c r="AT125" s="32">
        <f t="shared" si="9"/>
        <v>0.44250392099912872</v>
      </c>
      <c r="AV125" s="31">
        <f t="shared" si="10"/>
        <v>289.23410000000001</v>
      </c>
      <c r="AX125" s="31" t="str">
        <f>VLOOKUP(B125,Totalt!$B$1:$BZ$554,MATCH(AX$1,Totalt!$B$1:$BZ$1,0),FALSE)</f>
        <v>Ja</v>
      </c>
      <c r="BA125" s="32">
        <f t="shared" si="11"/>
        <v>1.2864767013162099</v>
      </c>
    </row>
    <row r="126" spans="1:53" x14ac:dyDescent="0.45">
      <c r="A126" s="31" t="s">
        <v>520</v>
      </c>
      <c r="B126" s="31" t="s">
        <v>519</v>
      </c>
      <c r="J126" s="31">
        <v>0</v>
      </c>
      <c r="K126" s="31">
        <v>0</v>
      </c>
      <c r="L126" s="31">
        <v>0</v>
      </c>
      <c r="M126" s="31">
        <v>0</v>
      </c>
      <c r="N126" s="31">
        <v>0</v>
      </c>
      <c r="O126" s="31">
        <v>0</v>
      </c>
      <c r="P126" s="31">
        <v>0</v>
      </c>
      <c r="Q126" s="31">
        <v>0</v>
      </c>
      <c r="R126" s="31">
        <v>0</v>
      </c>
      <c r="S126" s="31">
        <v>0</v>
      </c>
      <c r="T126" s="31">
        <v>0</v>
      </c>
      <c r="U126" s="31">
        <v>0</v>
      </c>
      <c r="W126" s="31">
        <v>0</v>
      </c>
      <c r="X126" s="31">
        <v>0</v>
      </c>
      <c r="Y126" s="31">
        <v>0</v>
      </c>
      <c r="Z126" s="31">
        <v>0</v>
      </c>
      <c r="AA126" s="31">
        <v>0</v>
      </c>
      <c r="AB126" s="31">
        <v>0</v>
      </c>
      <c r="AC126" s="31">
        <v>0</v>
      </c>
      <c r="AD126" s="31">
        <v>0</v>
      </c>
      <c r="AE126" s="31">
        <v>0</v>
      </c>
      <c r="AF126" s="31">
        <v>0</v>
      </c>
      <c r="AG126" s="31">
        <v>0</v>
      </c>
      <c r="AH126" s="31">
        <v>1.5760000000000001</v>
      </c>
      <c r="AI126" s="31">
        <v>0</v>
      </c>
      <c r="AL126" s="31">
        <f t="shared" si="6"/>
        <v>1.5760000000000001</v>
      </c>
      <c r="AM126" s="31">
        <f t="shared" si="7"/>
        <v>1.5760000000000001</v>
      </c>
      <c r="AN126" s="31">
        <f t="shared" si="8"/>
        <v>0</v>
      </c>
      <c r="AP126" s="31">
        <f>VLOOKUP($B126,Kraftvärmeprod!$B$1:$BX$549,MATCH(AP$1,Kraftvärmeprod!$B$1:$BX$1,0),FALSE)</f>
        <v>0</v>
      </c>
      <c r="AQ126" s="31">
        <f>VLOOKUP($B126,Kraftvärmeprod!$B$1:$BX$549,MATCH(AQ$1,Kraftvärmeprod!$B$1:$BX$1,0),FALSE)</f>
        <v>0</v>
      </c>
      <c r="AR126" s="31">
        <f>VLOOKUP($B126,Kraftvärmeprod!$B$1:$BX$549,MATCH("Summa tillförd energi exklusive rökgaskondensering",Kraftvärmeprod!$B$1:$BX$1,0),FALSE)</f>
        <v>0</v>
      </c>
      <c r="AT126" s="32" t="str">
        <f t="shared" si="9"/>
        <v/>
      </c>
      <c r="AV126" s="31">
        <f t="shared" si="10"/>
        <v>0</v>
      </c>
      <c r="AX126" s="31" t="str">
        <f>VLOOKUP(B126,Totalt!$B$1:$BZ$554,MATCH(AX$1,Totalt!$B$1:$BZ$1,0),FALSE)</f>
        <v>Ja</v>
      </c>
      <c r="BA126" s="32" t="str">
        <f t="shared" si="11"/>
        <v/>
      </c>
    </row>
    <row r="127" spans="1:53" x14ac:dyDescent="0.45">
      <c r="A127" s="31" t="s">
        <v>518</v>
      </c>
      <c r="B127" s="31" t="s">
        <v>77</v>
      </c>
      <c r="J127" s="31">
        <v>0</v>
      </c>
      <c r="K127" s="31">
        <v>0</v>
      </c>
      <c r="L127" s="31">
        <v>0</v>
      </c>
      <c r="M127" s="31">
        <v>0</v>
      </c>
      <c r="N127" s="31">
        <v>0</v>
      </c>
      <c r="O127" s="31">
        <v>0</v>
      </c>
      <c r="P127" s="31">
        <v>0</v>
      </c>
      <c r="Q127" s="31">
        <v>0</v>
      </c>
      <c r="R127" s="31">
        <v>0</v>
      </c>
      <c r="S127" s="31">
        <v>0</v>
      </c>
      <c r="T127" s="31">
        <v>0</v>
      </c>
      <c r="U127" s="31">
        <v>0</v>
      </c>
      <c r="W127" s="31">
        <v>0</v>
      </c>
      <c r="X127" s="31">
        <v>0</v>
      </c>
      <c r="Y127" s="31">
        <v>0</v>
      </c>
      <c r="Z127" s="31">
        <v>0</v>
      </c>
      <c r="AA127" s="31">
        <v>0</v>
      </c>
      <c r="AB127" s="31">
        <v>0</v>
      </c>
      <c r="AC127" s="31">
        <v>0</v>
      </c>
      <c r="AD127" s="31">
        <v>0</v>
      </c>
      <c r="AE127" s="31">
        <v>0</v>
      </c>
      <c r="AF127" s="31">
        <v>0</v>
      </c>
      <c r="AG127" s="31">
        <v>0</v>
      </c>
      <c r="AH127" s="31">
        <v>0</v>
      </c>
      <c r="AI127" s="31">
        <v>0</v>
      </c>
      <c r="AL127" s="31">
        <f t="shared" si="6"/>
        <v>0</v>
      </c>
      <c r="AM127" s="31">
        <f t="shared" si="7"/>
        <v>0</v>
      </c>
      <c r="AN127" s="31">
        <f t="shared" si="8"/>
        <v>0</v>
      </c>
      <c r="AP127" s="31">
        <f>VLOOKUP($B127,Kraftvärmeprod!$B$1:$BX$549,MATCH(AP$1,Kraftvärmeprod!$B$1:$BX$1,0),FALSE)</f>
        <v>0</v>
      </c>
      <c r="AQ127" s="31">
        <f>VLOOKUP($B127,Kraftvärmeprod!$B$1:$BX$549,MATCH(AQ$1,Kraftvärmeprod!$B$1:$BX$1,0),FALSE)</f>
        <v>0</v>
      </c>
      <c r="AR127" s="31">
        <f>VLOOKUP($B127,Kraftvärmeprod!$B$1:$BX$549,MATCH("Summa tillförd energi exklusive rökgaskondensering",Kraftvärmeprod!$B$1:$BX$1,0),FALSE)</f>
        <v>0</v>
      </c>
      <c r="AT127" s="32" t="str">
        <f t="shared" si="9"/>
        <v/>
      </c>
      <c r="AV127" s="31">
        <f t="shared" si="10"/>
        <v>0</v>
      </c>
      <c r="AX127" s="31" t="str">
        <f>VLOOKUP(B127,Totalt!$B$1:$BZ$554,MATCH(AX$1,Totalt!$B$1:$BZ$1,0),FALSE)</f>
        <v>Ja</v>
      </c>
      <c r="BA127" s="32" t="str">
        <f t="shared" si="11"/>
        <v/>
      </c>
    </row>
    <row r="128" spans="1:53" x14ac:dyDescent="0.45">
      <c r="A128" s="31" t="s">
        <v>515</v>
      </c>
      <c r="B128" s="31" t="s">
        <v>517</v>
      </c>
      <c r="J128" s="31">
        <v>0</v>
      </c>
      <c r="K128" s="31">
        <v>0</v>
      </c>
      <c r="L128" s="31">
        <v>0</v>
      </c>
      <c r="M128" s="31">
        <v>0</v>
      </c>
      <c r="N128" s="31">
        <v>0</v>
      </c>
      <c r="O128" s="31">
        <v>0</v>
      </c>
      <c r="P128" s="31">
        <v>0</v>
      </c>
      <c r="Q128" s="31">
        <v>0</v>
      </c>
      <c r="R128" s="31">
        <v>0</v>
      </c>
      <c r="S128" s="31">
        <v>0</v>
      </c>
      <c r="T128" s="31">
        <v>0</v>
      </c>
      <c r="U128" s="31">
        <v>0</v>
      </c>
      <c r="W128" s="31">
        <v>0</v>
      </c>
      <c r="X128" s="31">
        <v>0</v>
      </c>
      <c r="Y128" s="31">
        <v>0</v>
      </c>
      <c r="Z128" s="31">
        <v>0</v>
      </c>
      <c r="AA128" s="31">
        <v>0</v>
      </c>
      <c r="AB128" s="31">
        <v>0</v>
      </c>
      <c r="AC128" s="31">
        <v>0</v>
      </c>
      <c r="AD128" s="31">
        <v>0</v>
      </c>
      <c r="AE128" s="31">
        <v>0</v>
      </c>
      <c r="AF128" s="31">
        <v>0</v>
      </c>
      <c r="AG128" s="31">
        <v>0</v>
      </c>
      <c r="AH128" s="31">
        <v>0</v>
      </c>
      <c r="AI128" s="31">
        <v>0</v>
      </c>
      <c r="AL128" s="31">
        <f t="shared" si="6"/>
        <v>0</v>
      </c>
      <c r="AM128" s="31">
        <f t="shared" si="7"/>
        <v>0</v>
      </c>
      <c r="AN128" s="31">
        <f t="shared" si="8"/>
        <v>0</v>
      </c>
      <c r="AP128" s="31">
        <f>VLOOKUP($B128,Kraftvärmeprod!$B$1:$BX$549,MATCH(AP$1,Kraftvärmeprod!$B$1:$BX$1,0),FALSE)</f>
        <v>0</v>
      </c>
      <c r="AQ128" s="31">
        <f>VLOOKUP($B128,Kraftvärmeprod!$B$1:$BX$549,MATCH(AQ$1,Kraftvärmeprod!$B$1:$BX$1,0),FALSE)</f>
        <v>0</v>
      </c>
      <c r="AR128" s="31">
        <f>VLOOKUP($B128,Kraftvärmeprod!$B$1:$BX$549,MATCH("Summa tillförd energi exklusive rökgaskondensering",Kraftvärmeprod!$B$1:$BX$1,0),FALSE)</f>
        <v>0</v>
      </c>
      <c r="AT128" s="32" t="str">
        <f t="shared" si="9"/>
        <v/>
      </c>
      <c r="AV128" s="31">
        <f t="shared" si="10"/>
        <v>0</v>
      </c>
      <c r="AX128" s="31" t="str">
        <f>VLOOKUP(B128,Totalt!$B$1:$BZ$554,MATCH(AX$1,Totalt!$B$1:$BZ$1,0),FALSE)</f>
        <v>Ja</v>
      </c>
      <c r="BA128" s="32" t="str">
        <f t="shared" si="11"/>
        <v/>
      </c>
    </row>
    <row r="129" spans="1:53" x14ac:dyDescent="0.45">
      <c r="A129" s="31" t="s">
        <v>515</v>
      </c>
      <c r="B129" s="31" t="s">
        <v>516</v>
      </c>
      <c r="J129" s="31">
        <v>0</v>
      </c>
      <c r="K129" s="31">
        <v>1.5216700000000001</v>
      </c>
      <c r="L129" s="31">
        <v>0</v>
      </c>
      <c r="M129" s="31">
        <v>0</v>
      </c>
      <c r="N129" s="31">
        <v>0</v>
      </c>
      <c r="O129" s="31">
        <v>0</v>
      </c>
      <c r="P129" s="31">
        <v>128.96700000000001</v>
      </c>
      <c r="Q129" s="31">
        <v>28.075299999999999</v>
      </c>
      <c r="R129" s="31">
        <v>15.0448</v>
      </c>
      <c r="S129" s="31">
        <v>4.7709299999999999</v>
      </c>
      <c r="T129" s="31">
        <v>0</v>
      </c>
      <c r="U129" s="31">
        <v>47.0227</v>
      </c>
      <c r="W129" s="31">
        <v>0</v>
      </c>
      <c r="X129" s="31">
        <v>0</v>
      </c>
      <c r="Y129" s="31">
        <v>0</v>
      </c>
      <c r="Z129" s="31">
        <v>4.3468499999999999</v>
      </c>
      <c r="AA129" s="31">
        <v>0</v>
      </c>
      <c r="AB129" s="31">
        <v>0</v>
      </c>
      <c r="AC129" s="31">
        <v>0</v>
      </c>
      <c r="AD129" s="31">
        <v>0</v>
      </c>
      <c r="AE129" s="31">
        <v>243.90899999999999</v>
      </c>
      <c r="AF129" s="31">
        <v>0</v>
      </c>
      <c r="AG129" s="31">
        <v>0</v>
      </c>
      <c r="AH129" s="31">
        <v>129.667</v>
      </c>
      <c r="AI129" s="31">
        <v>15.221399999999999</v>
      </c>
      <c r="AL129" s="31">
        <f t="shared" si="6"/>
        <v>618.54665</v>
      </c>
      <c r="AM129" s="31">
        <f t="shared" si="7"/>
        <v>603.32524999999998</v>
      </c>
      <c r="AN129" s="31">
        <f t="shared" si="8"/>
        <v>473.65824999999995</v>
      </c>
      <c r="AP129" s="31">
        <f>VLOOKUP($B129,Kraftvärmeprod!$B$1:$BX$549,MATCH(AP$1,Kraftvärmeprod!$B$1:$BX$1,0),FALSE)</f>
        <v>626.04</v>
      </c>
      <c r="AQ129" s="31">
        <f>VLOOKUP($B129,Kraftvärmeprod!$B$1:$BX$549,MATCH(AQ$1,Kraftvärmeprod!$B$1:$BX$1,0),FALSE)</f>
        <v>235.59899999999999</v>
      </c>
      <c r="AR129" s="31">
        <f>VLOOKUP($B129,Kraftvärmeprod!$B$1:$BX$549,MATCH("Summa tillförd energi exklusive rökgaskondensering",Kraftvärmeprod!$B$1:$BX$1,0),FALSE)</f>
        <v>992.38</v>
      </c>
      <c r="AT129" s="32">
        <f t="shared" si="9"/>
        <v>0.47729523972671756</v>
      </c>
      <c r="AV129" s="31">
        <f t="shared" si="10"/>
        <v>228.22758000000002</v>
      </c>
      <c r="AX129" s="31" t="str">
        <f>VLOOKUP(B129,Totalt!$B$1:$BZ$554,MATCH(AX$1,Totalt!$B$1:$BZ$1,0),FALSE)</f>
        <v>Ja</v>
      </c>
      <c r="BA129" s="32">
        <f t="shared" si="11"/>
        <v>1.2805605633206454</v>
      </c>
    </row>
    <row r="130" spans="1:53" x14ac:dyDescent="0.45">
      <c r="A130" s="31" t="s">
        <v>515</v>
      </c>
      <c r="B130" s="31" t="s">
        <v>514</v>
      </c>
      <c r="J130" s="31">
        <v>0</v>
      </c>
      <c r="K130" s="31">
        <v>0</v>
      </c>
      <c r="L130" s="31">
        <v>0</v>
      </c>
      <c r="M130" s="31">
        <v>0</v>
      </c>
      <c r="N130" s="31">
        <v>0</v>
      </c>
      <c r="O130" s="31">
        <v>0</v>
      </c>
      <c r="P130" s="31">
        <v>0</v>
      </c>
      <c r="Q130" s="31">
        <v>0</v>
      </c>
      <c r="R130" s="31">
        <v>0</v>
      </c>
      <c r="S130" s="31">
        <v>0</v>
      </c>
      <c r="T130" s="31">
        <v>0</v>
      </c>
      <c r="U130" s="31">
        <v>0</v>
      </c>
      <c r="W130" s="31">
        <v>0</v>
      </c>
      <c r="X130" s="31">
        <v>0</v>
      </c>
      <c r="Y130" s="31">
        <v>0</v>
      </c>
      <c r="Z130" s="31">
        <v>0</v>
      </c>
      <c r="AA130" s="31">
        <v>0</v>
      </c>
      <c r="AB130" s="31">
        <v>0</v>
      </c>
      <c r="AC130" s="31">
        <v>0</v>
      </c>
      <c r="AD130" s="31">
        <v>0</v>
      </c>
      <c r="AE130" s="31">
        <v>0</v>
      </c>
      <c r="AF130" s="31">
        <v>0</v>
      </c>
      <c r="AG130" s="31">
        <v>0</v>
      </c>
      <c r="AH130" s="31">
        <v>0</v>
      </c>
      <c r="AI130" s="31">
        <v>0</v>
      </c>
      <c r="AL130" s="31">
        <f t="shared" ref="AL130:AL193" si="12">SUM(J130:U130,W130:AI130)</f>
        <v>0</v>
      </c>
      <c r="AM130" s="31">
        <f t="shared" ref="AM130:AM193" si="13">AL130-IFERROR(AI130/1,0)</f>
        <v>0</v>
      </c>
      <c r="AN130" s="31">
        <f t="shared" ref="AN130:AN193" si="14">AM130-IFERROR(AH130/1,0)</f>
        <v>0</v>
      </c>
      <c r="AP130" s="31">
        <f>VLOOKUP($B130,Kraftvärmeprod!$B$1:$BX$549,MATCH(AP$1,Kraftvärmeprod!$B$1:$BX$1,0),FALSE)</f>
        <v>0</v>
      </c>
      <c r="AQ130" s="31">
        <f>VLOOKUP($B130,Kraftvärmeprod!$B$1:$BX$549,MATCH(AQ$1,Kraftvärmeprod!$B$1:$BX$1,0),FALSE)</f>
        <v>0</v>
      </c>
      <c r="AR130" s="31">
        <f>VLOOKUP($B130,Kraftvärmeprod!$B$1:$BX$549,MATCH("Summa tillförd energi exklusive rökgaskondensering",Kraftvärmeprod!$B$1:$BX$1,0),FALSE)</f>
        <v>0</v>
      </c>
      <c r="AT130" s="32" t="str">
        <f t="shared" ref="AT130:AT193" si="15">IF(AN130=0,"",AN130/AR130)</f>
        <v/>
      </c>
      <c r="AV130" s="31">
        <f t="shared" ref="AV130:AV193" si="16">Q130+R130+S130+T130+U130+P130+X130+Y130+Z130+AA130+AB130+AC130+W130</f>
        <v>0</v>
      </c>
      <c r="AX130" s="31" t="str">
        <f>VLOOKUP(B130,Totalt!$B$1:$BZ$554,MATCH(AX$1,Totalt!$B$1:$BZ$1,0),FALSE)</f>
        <v>Ja</v>
      </c>
      <c r="BA130" s="32" t="str">
        <f t="shared" ref="BA130:BA193" si="17">IFERROR(AP130/(AN130+AI130),"")</f>
        <v/>
      </c>
    </row>
    <row r="131" spans="1:53" x14ac:dyDescent="0.45">
      <c r="A131" s="31" t="s">
        <v>513</v>
      </c>
      <c r="B131" s="31" t="s">
        <v>512</v>
      </c>
      <c r="J131" s="31">
        <v>0</v>
      </c>
      <c r="K131" s="31">
        <v>0</v>
      </c>
      <c r="L131" s="31">
        <v>0</v>
      </c>
      <c r="M131" s="31">
        <v>0</v>
      </c>
      <c r="N131" s="31">
        <v>0</v>
      </c>
      <c r="O131" s="31">
        <v>0</v>
      </c>
      <c r="P131" s="31">
        <v>142.80099999999999</v>
      </c>
      <c r="Q131" s="31">
        <v>52.7042</v>
      </c>
      <c r="R131" s="31">
        <v>0.53724899999999998</v>
      </c>
      <c r="S131" s="31">
        <v>28.366800000000001</v>
      </c>
      <c r="T131" s="31">
        <v>0</v>
      </c>
      <c r="U131" s="31">
        <v>0</v>
      </c>
      <c r="W131" s="31">
        <v>0</v>
      </c>
      <c r="X131" s="31">
        <v>0</v>
      </c>
      <c r="Y131" s="31">
        <v>0</v>
      </c>
      <c r="Z131" s="31">
        <v>0</v>
      </c>
      <c r="AA131" s="31">
        <v>0</v>
      </c>
      <c r="AB131" s="31">
        <v>0</v>
      </c>
      <c r="AC131" s="31">
        <v>0</v>
      </c>
      <c r="AD131" s="31">
        <v>0</v>
      </c>
      <c r="AE131" s="31">
        <v>0</v>
      </c>
      <c r="AF131" s="31">
        <v>0</v>
      </c>
      <c r="AG131" s="31">
        <v>0</v>
      </c>
      <c r="AH131" s="31">
        <v>85.5</v>
      </c>
      <c r="AI131" s="31">
        <v>9.0258000000000003</v>
      </c>
      <c r="AL131" s="31">
        <f t="shared" si="12"/>
        <v>318.93504900000005</v>
      </c>
      <c r="AM131" s="31">
        <f t="shared" si="13"/>
        <v>309.90924900000005</v>
      </c>
      <c r="AN131" s="31">
        <f t="shared" si="14"/>
        <v>224.40924900000005</v>
      </c>
      <c r="AP131" s="31">
        <f>VLOOKUP($B131,Kraftvärmeprod!$B$1:$BX$549,MATCH(AP$1,Kraftvärmeprod!$B$1:$BX$1,0),FALSE)</f>
        <v>271.7</v>
      </c>
      <c r="AQ131" s="31">
        <f>VLOOKUP($B131,Kraftvärmeprod!$B$1:$BX$549,MATCH(AQ$1,Kraftvärmeprod!$B$1:$BX$1,0),FALSE)</f>
        <v>89.8</v>
      </c>
      <c r="AR131" s="31">
        <f>VLOOKUP($B131,Kraftvärmeprod!$B$1:$BX$549,MATCH("Summa tillförd energi exklusive rökgaskondensering",Kraftvärmeprod!$B$1:$BX$1,0),FALSE)</f>
        <v>417.7</v>
      </c>
      <c r="AT131" s="32">
        <f t="shared" si="15"/>
        <v>0.53724981805123306</v>
      </c>
      <c r="AV131" s="31">
        <f t="shared" si="16"/>
        <v>224.40924899999999</v>
      </c>
      <c r="AX131" s="31" t="str">
        <f>VLOOKUP(B131,Totalt!$B$1:$BZ$554,MATCH(AX$1,Totalt!$B$1:$BZ$1,0),FALSE)</f>
        <v>Ja</v>
      </c>
      <c r="BA131" s="32">
        <f t="shared" si="17"/>
        <v>1.1639211899152295</v>
      </c>
    </row>
    <row r="132" spans="1:53" x14ac:dyDescent="0.45">
      <c r="A132" s="31" t="s">
        <v>511</v>
      </c>
      <c r="B132" s="31" t="s">
        <v>80</v>
      </c>
      <c r="J132" s="31">
        <v>0</v>
      </c>
      <c r="K132" s="31">
        <v>0</v>
      </c>
      <c r="L132" s="31">
        <v>0</v>
      </c>
      <c r="M132" s="31">
        <v>0</v>
      </c>
      <c r="N132" s="31">
        <v>0</v>
      </c>
      <c r="O132" s="31">
        <v>0</v>
      </c>
      <c r="P132" s="31">
        <v>0</v>
      </c>
      <c r="Q132" s="31">
        <v>0</v>
      </c>
      <c r="R132" s="31">
        <v>0</v>
      </c>
      <c r="S132" s="31">
        <v>0</v>
      </c>
      <c r="T132" s="31">
        <v>0</v>
      </c>
      <c r="U132" s="31">
        <v>0</v>
      </c>
      <c r="W132" s="31">
        <v>0</v>
      </c>
      <c r="X132" s="31">
        <v>0</v>
      </c>
      <c r="Y132" s="31">
        <v>0</v>
      </c>
      <c r="Z132" s="31">
        <v>0</v>
      </c>
      <c r="AA132" s="31">
        <v>0</v>
      </c>
      <c r="AB132" s="31">
        <v>0</v>
      </c>
      <c r="AC132" s="31">
        <v>0</v>
      </c>
      <c r="AD132" s="31">
        <v>0</v>
      </c>
      <c r="AE132" s="31">
        <v>0</v>
      </c>
      <c r="AF132" s="31">
        <v>0</v>
      </c>
      <c r="AG132" s="31">
        <v>0</v>
      </c>
      <c r="AH132" s="31">
        <v>0</v>
      </c>
      <c r="AI132" s="31">
        <v>0</v>
      </c>
      <c r="AL132" s="31">
        <f t="shared" si="12"/>
        <v>0</v>
      </c>
      <c r="AM132" s="31">
        <f t="shared" si="13"/>
        <v>0</v>
      </c>
      <c r="AN132" s="31">
        <f t="shared" si="14"/>
        <v>0</v>
      </c>
      <c r="AP132" s="31">
        <f>VLOOKUP($B132,Kraftvärmeprod!$B$1:$BX$549,MATCH(AP$1,Kraftvärmeprod!$B$1:$BX$1,0),FALSE)</f>
        <v>0</v>
      </c>
      <c r="AQ132" s="31">
        <f>VLOOKUP($B132,Kraftvärmeprod!$B$1:$BX$549,MATCH(AQ$1,Kraftvärmeprod!$B$1:$BX$1,0),FALSE)</f>
        <v>0</v>
      </c>
      <c r="AR132" s="31">
        <f>VLOOKUP($B132,Kraftvärmeprod!$B$1:$BX$549,MATCH("Summa tillförd energi exklusive rökgaskondensering",Kraftvärmeprod!$B$1:$BX$1,0),FALSE)</f>
        <v>0</v>
      </c>
      <c r="AT132" s="32" t="str">
        <f t="shared" si="15"/>
        <v/>
      </c>
      <c r="AV132" s="31">
        <f t="shared" si="16"/>
        <v>0</v>
      </c>
      <c r="AX132" s="31" t="str">
        <f>VLOOKUP(B132,Totalt!$B$1:$BZ$554,MATCH(AX$1,Totalt!$B$1:$BZ$1,0),FALSE)</f>
        <v>Ja</v>
      </c>
      <c r="BA132" s="32" t="str">
        <f t="shared" si="17"/>
        <v/>
      </c>
    </row>
    <row r="133" spans="1:53" x14ac:dyDescent="0.45">
      <c r="A133" s="31" t="s">
        <v>510</v>
      </c>
      <c r="B133" s="31" t="s">
        <v>509</v>
      </c>
      <c r="J133" s="31">
        <v>0</v>
      </c>
      <c r="K133" s="31">
        <v>0</v>
      </c>
      <c r="L133" s="31">
        <v>0</v>
      </c>
      <c r="M133" s="31">
        <v>0</v>
      </c>
      <c r="N133" s="31">
        <v>0</v>
      </c>
      <c r="O133" s="31">
        <v>0</v>
      </c>
      <c r="P133" s="31">
        <v>0</v>
      </c>
      <c r="Q133" s="31">
        <v>0</v>
      </c>
      <c r="R133" s="31">
        <v>0</v>
      </c>
      <c r="S133" s="31">
        <v>0</v>
      </c>
      <c r="T133" s="31">
        <v>0</v>
      </c>
      <c r="U133" s="31">
        <v>0</v>
      </c>
      <c r="W133" s="31">
        <v>0</v>
      </c>
      <c r="X133" s="31">
        <v>0</v>
      </c>
      <c r="Y133" s="31">
        <v>0</v>
      </c>
      <c r="Z133" s="31">
        <v>0</v>
      </c>
      <c r="AA133" s="31">
        <v>0</v>
      </c>
      <c r="AB133" s="31">
        <v>0</v>
      </c>
      <c r="AC133" s="31">
        <v>0</v>
      </c>
      <c r="AD133" s="31">
        <v>0</v>
      </c>
      <c r="AE133" s="31">
        <v>0</v>
      </c>
      <c r="AF133" s="31">
        <v>0</v>
      </c>
      <c r="AG133" s="31">
        <v>0</v>
      </c>
      <c r="AH133" s="31">
        <v>0</v>
      </c>
      <c r="AI133" s="31">
        <v>0</v>
      </c>
      <c r="AL133" s="31">
        <f t="shared" si="12"/>
        <v>0</v>
      </c>
      <c r="AM133" s="31">
        <f t="shared" si="13"/>
        <v>0</v>
      </c>
      <c r="AN133" s="31">
        <f t="shared" si="14"/>
        <v>0</v>
      </c>
      <c r="AP133" s="31">
        <f>VLOOKUP($B133,Kraftvärmeprod!$B$1:$BX$549,MATCH(AP$1,Kraftvärmeprod!$B$1:$BX$1,0),FALSE)</f>
        <v>0</v>
      </c>
      <c r="AQ133" s="31">
        <f>VLOOKUP($B133,Kraftvärmeprod!$B$1:$BX$549,MATCH(AQ$1,Kraftvärmeprod!$B$1:$BX$1,0),FALSE)</f>
        <v>0</v>
      </c>
      <c r="AR133" s="31">
        <f>VLOOKUP($B133,Kraftvärmeprod!$B$1:$BX$549,MATCH("Summa tillförd energi exklusive rökgaskondensering",Kraftvärmeprod!$B$1:$BX$1,0),FALSE)</f>
        <v>0</v>
      </c>
      <c r="AT133" s="32" t="str">
        <f t="shared" si="15"/>
        <v/>
      </c>
      <c r="AV133" s="31">
        <f t="shared" si="16"/>
        <v>0</v>
      </c>
      <c r="AX133" s="31" t="str">
        <f>VLOOKUP(B133,Totalt!$B$1:$BZ$554,MATCH(AX$1,Totalt!$B$1:$BZ$1,0),FALSE)</f>
        <v>Ja</v>
      </c>
      <c r="BA133" s="32" t="str">
        <f t="shared" si="17"/>
        <v/>
      </c>
    </row>
    <row r="134" spans="1:53" x14ac:dyDescent="0.45">
      <c r="A134" s="31" t="s">
        <v>508</v>
      </c>
      <c r="B134" s="31" t="s">
        <v>83</v>
      </c>
      <c r="J134" s="31">
        <v>0</v>
      </c>
      <c r="K134" s="31">
        <v>6.3640699999999999</v>
      </c>
      <c r="L134" s="31">
        <v>0</v>
      </c>
      <c r="M134" s="31">
        <v>0</v>
      </c>
      <c r="N134" s="31">
        <v>0</v>
      </c>
      <c r="O134" s="31">
        <v>0</v>
      </c>
      <c r="P134" s="31">
        <v>0</v>
      </c>
      <c r="Q134" s="31">
        <v>0</v>
      </c>
      <c r="R134" s="31">
        <v>0</v>
      </c>
      <c r="S134" s="31">
        <v>0</v>
      </c>
      <c r="T134" s="31">
        <v>0</v>
      </c>
      <c r="U134" s="31">
        <v>0</v>
      </c>
      <c r="W134" s="31">
        <v>0</v>
      </c>
      <c r="X134" s="31">
        <v>0</v>
      </c>
      <c r="Y134" s="31">
        <v>0</v>
      </c>
      <c r="Z134" s="31">
        <v>164.667</v>
      </c>
      <c r="AA134" s="31">
        <v>0</v>
      </c>
      <c r="AB134" s="31">
        <v>26.711200000000002</v>
      </c>
      <c r="AC134" s="31">
        <v>5.1349600000000004</v>
      </c>
      <c r="AD134" s="31">
        <v>43.780700000000003</v>
      </c>
      <c r="AE134" s="31">
        <v>77.349500000000006</v>
      </c>
      <c r="AF134" s="31">
        <v>0</v>
      </c>
      <c r="AG134" s="31">
        <v>0</v>
      </c>
      <c r="AH134" s="31">
        <v>21.2</v>
      </c>
      <c r="AI134" s="31">
        <v>13.3271</v>
      </c>
      <c r="AL134" s="31">
        <f t="shared" si="12"/>
        <v>358.53452999999996</v>
      </c>
      <c r="AM134" s="31">
        <f t="shared" si="13"/>
        <v>345.20742999999999</v>
      </c>
      <c r="AN134" s="31">
        <f t="shared" si="14"/>
        <v>324.00743</v>
      </c>
      <c r="AP134" s="31">
        <f>VLOOKUP($B134,Kraftvärmeprod!$B$1:$BX$549,MATCH(AP$1,Kraftvärmeprod!$B$1:$BX$1,0),FALSE)</f>
        <v>320.10000000000002</v>
      </c>
      <c r="AQ134" s="31">
        <f>VLOOKUP($B134,Kraftvärmeprod!$B$1:$BX$549,MATCH(AQ$1,Kraftvärmeprod!$B$1:$BX$1,0),FALSE)</f>
        <v>18.3</v>
      </c>
      <c r="AR134" s="31">
        <f>VLOOKUP($B134,Kraftvärmeprod!$B$1:$BX$549,MATCH("Summa tillförd energi exklusive rökgaskondensering",Kraftvärmeprod!$B$1:$BX$1,0),FALSE)</f>
        <v>372.8</v>
      </c>
      <c r="AT134" s="32">
        <f t="shared" si="15"/>
        <v>0.86911864270386263</v>
      </c>
      <c r="AV134" s="31">
        <f t="shared" si="16"/>
        <v>196.51316</v>
      </c>
      <c r="AX134" s="31" t="str">
        <f>VLOOKUP(B134,Totalt!$B$1:$BZ$554,MATCH(AX$1,Totalt!$B$1:$BZ$1,0),FALSE)</f>
        <v>Ja</v>
      </c>
      <c r="BA134" s="32">
        <f t="shared" si="17"/>
        <v>0.94890967728681686</v>
      </c>
    </row>
    <row r="135" spans="1:53" x14ac:dyDescent="0.45">
      <c r="A135" s="31" t="s">
        <v>507</v>
      </c>
      <c r="B135" s="31" t="s">
        <v>506</v>
      </c>
      <c r="J135" s="31">
        <v>0</v>
      </c>
      <c r="K135" s="31">
        <v>1.8414900000000001</v>
      </c>
      <c r="L135" s="31">
        <v>0</v>
      </c>
      <c r="M135" s="31">
        <v>0</v>
      </c>
      <c r="N135" s="31">
        <v>0</v>
      </c>
      <c r="O135" s="31">
        <v>0</v>
      </c>
      <c r="P135" s="31">
        <v>0</v>
      </c>
      <c r="Q135" s="31">
        <v>0</v>
      </c>
      <c r="R135" s="31">
        <v>0</v>
      </c>
      <c r="S135" s="31">
        <v>0</v>
      </c>
      <c r="T135" s="31">
        <v>0</v>
      </c>
      <c r="U135" s="31">
        <v>319.72000000000003</v>
      </c>
      <c r="W135" s="31">
        <v>0</v>
      </c>
      <c r="X135" s="31">
        <v>0</v>
      </c>
      <c r="Y135" s="31">
        <v>0</v>
      </c>
      <c r="Z135" s="31">
        <v>0</v>
      </c>
      <c r="AA135" s="31">
        <v>0</v>
      </c>
      <c r="AB135" s="31">
        <v>0</v>
      </c>
      <c r="AC135" s="31">
        <v>0</v>
      </c>
      <c r="AD135" s="31">
        <v>0</v>
      </c>
      <c r="AE135" s="31">
        <v>0</v>
      </c>
      <c r="AF135" s="31">
        <v>0</v>
      </c>
      <c r="AG135" s="31">
        <v>0</v>
      </c>
      <c r="AH135" s="31">
        <v>129.51400000000001</v>
      </c>
      <c r="AI135" s="31">
        <v>15.722099999999999</v>
      </c>
      <c r="AL135" s="31">
        <f t="shared" si="12"/>
        <v>466.79759000000007</v>
      </c>
      <c r="AM135" s="31">
        <f t="shared" si="13"/>
        <v>451.07549000000006</v>
      </c>
      <c r="AN135" s="31">
        <f t="shared" si="14"/>
        <v>321.56149000000005</v>
      </c>
      <c r="AP135" s="31">
        <f>VLOOKUP($B135,Kraftvärmeprod!$B$1:$BX$549,MATCH(AP$1,Kraftvärmeprod!$B$1:$BX$1,0),FALSE)</f>
        <v>470.69499999999999</v>
      </c>
      <c r="AQ135" s="31">
        <f>VLOOKUP($B135,Kraftvärmeprod!$B$1:$BX$549,MATCH(AQ$1,Kraftvärmeprod!$B$1:$BX$1,0),FALSE)</f>
        <v>130.47499999999999</v>
      </c>
      <c r="AR135" s="31">
        <f>VLOOKUP($B135,Kraftvärmeprod!$B$1:$BX$549,MATCH("Summa tillförd energi exklusive rökgaskondensering",Kraftvärmeprod!$B$1:$BX$1,0),FALSE)</f>
        <v>553.55600000000004</v>
      </c>
      <c r="AT135" s="32">
        <f t="shared" si="15"/>
        <v>0.58090146254398833</v>
      </c>
      <c r="AV135" s="31">
        <f t="shared" si="16"/>
        <v>319.72000000000003</v>
      </c>
      <c r="AX135" s="31" t="str">
        <f>VLOOKUP(B135,Totalt!$B$1:$BZ$554,MATCH(AX$1,Totalt!$B$1:$BZ$1,0),FALSE)</f>
        <v>Ja</v>
      </c>
      <c r="BA135" s="32">
        <f t="shared" si="17"/>
        <v>1.395546697068778</v>
      </c>
    </row>
    <row r="136" spans="1:53" x14ac:dyDescent="0.45">
      <c r="A136" s="31" t="s">
        <v>505</v>
      </c>
      <c r="B136" s="31" t="s">
        <v>504</v>
      </c>
      <c r="J136" s="31">
        <v>0</v>
      </c>
      <c r="K136" s="31">
        <v>0</v>
      </c>
      <c r="L136" s="31">
        <v>0</v>
      </c>
      <c r="M136" s="31">
        <v>0</v>
      </c>
      <c r="N136" s="31">
        <v>0</v>
      </c>
      <c r="O136" s="31">
        <v>0</v>
      </c>
      <c r="P136" s="31">
        <v>0</v>
      </c>
      <c r="Q136" s="31">
        <v>0</v>
      </c>
      <c r="R136" s="31">
        <v>0</v>
      </c>
      <c r="S136" s="31">
        <v>0</v>
      </c>
      <c r="T136" s="31">
        <v>0</v>
      </c>
      <c r="U136" s="31">
        <v>0</v>
      </c>
      <c r="W136" s="31">
        <v>0</v>
      </c>
      <c r="X136" s="31">
        <v>0</v>
      </c>
      <c r="Y136" s="31">
        <v>0</v>
      </c>
      <c r="Z136" s="31">
        <v>0</v>
      </c>
      <c r="AA136" s="31">
        <v>0</v>
      </c>
      <c r="AB136" s="31">
        <v>0</v>
      </c>
      <c r="AC136" s="31">
        <v>0</v>
      </c>
      <c r="AD136" s="31">
        <v>0</v>
      </c>
      <c r="AE136" s="31">
        <v>0</v>
      </c>
      <c r="AF136" s="31">
        <v>0</v>
      </c>
      <c r="AG136" s="31">
        <v>0</v>
      </c>
      <c r="AH136" s="31">
        <v>0</v>
      </c>
      <c r="AI136" s="31">
        <v>0</v>
      </c>
      <c r="AL136" s="31">
        <f t="shared" si="12"/>
        <v>0</v>
      </c>
      <c r="AM136" s="31">
        <f t="shared" si="13"/>
        <v>0</v>
      </c>
      <c r="AN136" s="31">
        <f t="shared" si="14"/>
        <v>0</v>
      </c>
      <c r="AP136" s="31">
        <f>VLOOKUP($B136,Kraftvärmeprod!$B$1:$BX$549,MATCH(AP$1,Kraftvärmeprod!$B$1:$BX$1,0),FALSE)</f>
        <v>0</v>
      </c>
      <c r="AQ136" s="31">
        <f>VLOOKUP($B136,Kraftvärmeprod!$B$1:$BX$549,MATCH(AQ$1,Kraftvärmeprod!$B$1:$BX$1,0),FALSE)</f>
        <v>0</v>
      </c>
      <c r="AR136" s="31">
        <f>VLOOKUP($B136,Kraftvärmeprod!$B$1:$BX$549,MATCH("Summa tillförd energi exklusive rökgaskondensering",Kraftvärmeprod!$B$1:$BX$1,0),FALSE)</f>
        <v>0</v>
      </c>
      <c r="AT136" s="32" t="str">
        <f t="shared" si="15"/>
        <v/>
      </c>
      <c r="AV136" s="31">
        <f t="shared" si="16"/>
        <v>0</v>
      </c>
      <c r="AX136" s="31" t="str">
        <f>VLOOKUP(B136,Totalt!$B$1:$BZ$554,MATCH(AX$1,Totalt!$B$1:$BZ$1,0),FALSE)</f>
        <v>Ja</v>
      </c>
      <c r="BA136" s="32" t="str">
        <f t="shared" si="17"/>
        <v/>
      </c>
    </row>
    <row r="137" spans="1:53" x14ac:dyDescent="0.45">
      <c r="A137" s="31" t="s">
        <v>502</v>
      </c>
      <c r="B137" s="31" t="s">
        <v>503</v>
      </c>
      <c r="J137" s="31">
        <v>0</v>
      </c>
      <c r="K137" s="31">
        <v>0</v>
      </c>
      <c r="L137" s="31">
        <v>0</v>
      </c>
      <c r="M137" s="31">
        <v>0</v>
      </c>
      <c r="N137" s="31">
        <v>0</v>
      </c>
      <c r="O137" s="31">
        <v>0</v>
      </c>
      <c r="P137" s="31">
        <v>0</v>
      </c>
      <c r="Q137" s="31">
        <v>0</v>
      </c>
      <c r="R137" s="31">
        <v>0.38521300000000003</v>
      </c>
      <c r="S137" s="31">
        <v>0</v>
      </c>
      <c r="T137" s="31">
        <v>0</v>
      </c>
      <c r="U137" s="31">
        <v>0</v>
      </c>
      <c r="W137" s="31">
        <v>0</v>
      </c>
      <c r="X137" s="31">
        <v>0</v>
      </c>
      <c r="Y137" s="31">
        <v>0</v>
      </c>
      <c r="Z137" s="31">
        <v>7.4852100000000004</v>
      </c>
      <c r="AA137" s="31">
        <v>0</v>
      </c>
      <c r="AB137" s="31">
        <v>0</v>
      </c>
      <c r="AC137" s="31">
        <v>0</v>
      </c>
      <c r="AD137" s="31">
        <v>0</v>
      </c>
      <c r="AE137" s="31">
        <v>137.36099999999999</v>
      </c>
      <c r="AF137" s="31">
        <v>0</v>
      </c>
      <c r="AG137" s="31">
        <v>0</v>
      </c>
      <c r="AH137" s="31">
        <v>17.873000000000001</v>
      </c>
      <c r="AI137" s="31">
        <v>6.4594300000000002</v>
      </c>
      <c r="AL137" s="31">
        <f t="shared" si="12"/>
        <v>169.56385299999997</v>
      </c>
      <c r="AM137" s="31">
        <f t="shared" si="13"/>
        <v>163.10442299999997</v>
      </c>
      <c r="AN137" s="31">
        <f t="shared" si="14"/>
        <v>145.23142299999998</v>
      </c>
      <c r="AP137" s="31">
        <f>VLOOKUP($B137,Kraftvärmeprod!$B$1:$BX$549,MATCH(AP$1,Kraftvärmeprod!$B$1:$BX$1,0),FALSE)</f>
        <v>147.69399999999999</v>
      </c>
      <c r="AQ137" s="31">
        <f>VLOOKUP($B137,Kraftvärmeprod!$B$1:$BX$549,MATCH(AQ$1,Kraftvärmeprod!$B$1:$BX$1,0),FALSE)</f>
        <v>18.359000000000002</v>
      </c>
      <c r="AR137" s="31">
        <f>VLOOKUP($B137,Kraftvärmeprod!$B$1:$BX$549,MATCH("Summa tillförd energi exklusive rökgaskondensering",Kraftvärmeprod!$B$1:$BX$1,0),FALSE)</f>
        <v>202.42</v>
      </c>
      <c r="AT137" s="32">
        <f t="shared" si="15"/>
        <v>0.71747565951981018</v>
      </c>
      <c r="AV137" s="31">
        <f t="shared" si="16"/>
        <v>7.8704230000000006</v>
      </c>
      <c r="AX137" s="31" t="str">
        <f>VLOOKUP(B137,Totalt!$B$1:$BZ$554,MATCH(AX$1,Totalt!$B$1:$BZ$1,0),FALSE)</f>
        <v>Ja</v>
      </c>
      <c r="BA137" s="32">
        <f t="shared" si="17"/>
        <v>0.97365132490882633</v>
      </c>
    </row>
    <row r="138" spans="1:53" x14ac:dyDescent="0.45">
      <c r="A138" s="31" t="s">
        <v>502</v>
      </c>
      <c r="B138" s="31" t="s">
        <v>501</v>
      </c>
      <c r="J138" s="31">
        <v>0</v>
      </c>
      <c r="K138" s="31">
        <v>0</v>
      </c>
      <c r="L138" s="31">
        <v>0</v>
      </c>
      <c r="M138" s="31">
        <v>0</v>
      </c>
      <c r="N138" s="31">
        <v>0</v>
      </c>
      <c r="O138" s="31">
        <v>0</v>
      </c>
      <c r="P138" s="31">
        <v>0</v>
      </c>
      <c r="Q138" s="31">
        <v>0</v>
      </c>
      <c r="R138" s="31">
        <v>0</v>
      </c>
      <c r="S138" s="31">
        <v>0</v>
      </c>
      <c r="T138" s="31">
        <v>0</v>
      </c>
      <c r="U138" s="31">
        <v>0</v>
      </c>
      <c r="W138" s="31">
        <v>0</v>
      </c>
      <c r="X138" s="31">
        <v>0</v>
      </c>
      <c r="Y138" s="31">
        <v>0</v>
      </c>
      <c r="Z138" s="31">
        <v>0</v>
      </c>
      <c r="AA138" s="31">
        <v>0</v>
      </c>
      <c r="AB138" s="31">
        <v>0</v>
      </c>
      <c r="AC138" s="31">
        <v>0</v>
      </c>
      <c r="AD138" s="31">
        <v>0</v>
      </c>
      <c r="AE138" s="31">
        <v>0</v>
      </c>
      <c r="AF138" s="31">
        <v>0</v>
      </c>
      <c r="AG138" s="31">
        <v>0</v>
      </c>
      <c r="AH138" s="31">
        <v>0</v>
      </c>
      <c r="AI138" s="31">
        <v>0</v>
      </c>
      <c r="AL138" s="31">
        <f t="shared" si="12"/>
        <v>0</v>
      </c>
      <c r="AM138" s="31">
        <f t="shared" si="13"/>
        <v>0</v>
      </c>
      <c r="AN138" s="31">
        <f t="shared" si="14"/>
        <v>0</v>
      </c>
      <c r="AP138" s="31">
        <f>VLOOKUP($B138,Kraftvärmeprod!$B$1:$BX$549,MATCH(AP$1,Kraftvärmeprod!$B$1:$BX$1,0),FALSE)</f>
        <v>0</v>
      </c>
      <c r="AQ138" s="31">
        <f>VLOOKUP($B138,Kraftvärmeprod!$B$1:$BX$549,MATCH(AQ$1,Kraftvärmeprod!$B$1:$BX$1,0),FALSE)</f>
        <v>0</v>
      </c>
      <c r="AR138" s="31">
        <f>VLOOKUP($B138,Kraftvärmeprod!$B$1:$BX$549,MATCH("Summa tillförd energi exklusive rökgaskondensering",Kraftvärmeprod!$B$1:$BX$1,0),FALSE)</f>
        <v>0</v>
      </c>
      <c r="AT138" s="32" t="str">
        <f t="shared" si="15"/>
        <v/>
      </c>
      <c r="AV138" s="31">
        <f t="shared" si="16"/>
        <v>0</v>
      </c>
      <c r="AX138" s="31" t="str">
        <f>VLOOKUP(B138,Totalt!$B$1:$BZ$554,MATCH(AX$1,Totalt!$B$1:$BZ$1,0),FALSE)</f>
        <v>Ja</v>
      </c>
      <c r="BA138" s="32" t="str">
        <f t="shared" si="17"/>
        <v/>
      </c>
    </row>
    <row r="139" spans="1:53" x14ac:dyDescent="0.45">
      <c r="A139" s="31" t="s">
        <v>498</v>
      </c>
      <c r="B139" s="31" t="s">
        <v>500</v>
      </c>
      <c r="J139" s="31">
        <v>0</v>
      </c>
      <c r="K139" s="31">
        <v>0</v>
      </c>
      <c r="L139" s="31">
        <v>0</v>
      </c>
      <c r="M139" s="31">
        <v>0</v>
      </c>
      <c r="N139" s="31">
        <v>0</v>
      </c>
      <c r="O139" s="31">
        <v>0</v>
      </c>
      <c r="P139" s="31">
        <v>0</v>
      </c>
      <c r="Q139" s="31">
        <v>0</v>
      </c>
      <c r="R139" s="31">
        <v>215.42699999999999</v>
      </c>
      <c r="S139" s="31">
        <v>0</v>
      </c>
      <c r="T139" s="31">
        <v>0</v>
      </c>
      <c r="U139" s="31">
        <v>0</v>
      </c>
      <c r="W139" s="31">
        <v>0</v>
      </c>
      <c r="X139" s="31">
        <v>0</v>
      </c>
      <c r="Y139" s="31">
        <v>0</v>
      </c>
      <c r="Z139" s="31">
        <v>169.262</v>
      </c>
      <c r="AA139" s="31">
        <v>0</v>
      </c>
      <c r="AB139" s="31">
        <v>0</v>
      </c>
      <c r="AC139" s="31">
        <v>0</v>
      </c>
      <c r="AD139" s="31">
        <v>0</v>
      </c>
      <c r="AE139" s="31">
        <v>0</v>
      </c>
      <c r="AF139" s="31">
        <v>0</v>
      </c>
      <c r="AG139" s="31">
        <v>0</v>
      </c>
      <c r="AH139" s="31">
        <v>98.091999999999999</v>
      </c>
      <c r="AI139" s="31">
        <v>0</v>
      </c>
      <c r="AL139" s="31">
        <f t="shared" si="12"/>
        <v>482.78099999999995</v>
      </c>
      <c r="AM139" s="31">
        <f t="shared" si="13"/>
        <v>482.78099999999995</v>
      </c>
      <c r="AN139" s="31">
        <f t="shared" si="14"/>
        <v>384.68899999999996</v>
      </c>
      <c r="AP139" s="31">
        <f>VLOOKUP($B139,Kraftvärmeprod!$B$1:$BX$549,MATCH(AP$1,Kraftvärmeprod!$B$1:$BX$1,0),FALSE)</f>
        <v>573.20699999999999</v>
      </c>
      <c r="AQ139" s="31">
        <f>VLOOKUP($B139,Kraftvärmeprod!$B$1:$BX$549,MATCH(AQ$1,Kraftvärmeprod!$B$1:$BX$1,0),FALSE)</f>
        <v>179.71600000000001</v>
      </c>
      <c r="AR139" s="31">
        <f>VLOOKUP($B139,Kraftvärmeprod!$B$1:$BX$549,MATCH("Summa tillförd energi exklusive rökgaskondensering",Kraftvärmeprod!$B$1:$BX$1,0),FALSE)</f>
        <v>753.28099999999995</v>
      </c>
      <c r="AT139" s="32">
        <f t="shared" si="15"/>
        <v>0.51068459180571391</v>
      </c>
      <c r="AV139" s="31">
        <f t="shared" si="16"/>
        <v>384.68899999999996</v>
      </c>
      <c r="AX139" s="31" t="str">
        <f>VLOOKUP(B139,Totalt!$B$1:$BZ$554,MATCH(AX$1,Totalt!$B$1:$BZ$1,0),FALSE)</f>
        <v>Ja</v>
      </c>
      <c r="BA139" s="32">
        <f t="shared" si="17"/>
        <v>1.4900530038550623</v>
      </c>
    </row>
    <row r="140" spans="1:53" x14ac:dyDescent="0.45">
      <c r="A140" s="31" t="s">
        <v>498</v>
      </c>
      <c r="B140" s="31" t="s">
        <v>497</v>
      </c>
      <c r="J140" s="31">
        <v>0</v>
      </c>
      <c r="K140" s="31">
        <v>0</v>
      </c>
      <c r="L140" s="31">
        <v>0</v>
      </c>
      <c r="M140" s="31">
        <v>0</v>
      </c>
      <c r="N140" s="31">
        <v>0</v>
      </c>
      <c r="O140" s="31">
        <v>0</v>
      </c>
      <c r="P140" s="31">
        <v>0</v>
      </c>
      <c r="Q140" s="31">
        <v>0</v>
      </c>
      <c r="R140" s="31">
        <v>0</v>
      </c>
      <c r="S140" s="31">
        <v>0</v>
      </c>
      <c r="T140" s="31">
        <v>0</v>
      </c>
      <c r="U140" s="31">
        <v>0</v>
      </c>
      <c r="W140" s="31">
        <v>0</v>
      </c>
      <c r="X140" s="31">
        <v>0</v>
      </c>
      <c r="Y140" s="31">
        <v>0</v>
      </c>
      <c r="Z140" s="31">
        <v>0</v>
      </c>
      <c r="AA140" s="31">
        <v>0</v>
      </c>
      <c r="AB140" s="31">
        <v>0</v>
      </c>
      <c r="AC140" s="31">
        <v>0</v>
      </c>
      <c r="AD140" s="31">
        <v>0</v>
      </c>
      <c r="AE140" s="31">
        <v>0</v>
      </c>
      <c r="AF140" s="31">
        <v>0</v>
      </c>
      <c r="AG140" s="31">
        <v>0</v>
      </c>
      <c r="AH140" s="31">
        <v>0</v>
      </c>
      <c r="AI140" s="31">
        <v>0</v>
      </c>
      <c r="AL140" s="31">
        <f t="shared" si="12"/>
        <v>0</v>
      </c>
      <c r="AM140" s="31">
        <f t="shared" si="13"/>
        <v>0</v>
      </c>
      <c r="AN140" s="31">
        <f t="shared" si="14"/>
        <v>0</v>
      </c>
      <c r="AP140" s="31">
        <f>VLOOKUP($B140,Kraftvärmeprod!$B$1:$BX$549,MATCH(AP$1,Kraftvärmeprod!$B$1:$BX$1,0),FALSE)</f>
        <v>0</v>
      </c>
      <c r="AQ140" s="31">
        <f>VLOOKUP($B140,Kraftvärmeprod!$B$1:$BX$549,MATCH(AQ$1,Kraftvärmeprod!$B$1:$BX$1,0),FALSE)</f>
        <v>0</v>
      </c>
      <c r="AR140" s="31">
        <f>VLOOKUP($B140,Kraftvärmeprod!$B$1:$BX$549,MATCH("Summa tillförd energi exklusive rökgaskondensering",Kraftvärmeprod!$B$1:$BX$1,0),FALSE)</f>
        <v>0</v>
      </c>
      <c r="AT140" s="32" t="str">
        <f t="shared" si="15"/>
        <v/>
      </c>
      <c r="AV140" s="31">
        <f t="shared" si="16"/>
        <v>0</v>
      </c>
      <c r="AX140" s="31" t="str">
        <f>VLOOKUP(B140,Totalt!$B$1:$BZ$554,MATCH(AX$1,Totalt!$B$1:$BZ$1,0),FALSE)</f>
        <v>Ja</v>
      </c>
      <c r="BA140" s="32" t="str">
        <f t="shared" si="17"/>
        <v/>
      </c>
    </row>
    <row r="141" spans="1:53" x14ac:dyDescent="0.45">
      <c r="A141" s="31" t="s">
        <v>493</v>
      </c>
      <c r="B141" s="31" t="s">
        <v>496</v>
      </c>
      <c r="J141" s="31">
        <v>0</v>
      </c>
      <c r="K141" s="31">
        <v>0</v>
      </c>
      <c r="L141" s="31">
        <v>0</v>
      </c>
      <c r="M141" s="31">
        <v>0</v>
      </c>
      <c r="N141" s="31">
        <v>0</v>
      </c>
      <c r="O141" s="31">
        <v>0</v>
      </c>
      <c r="P141" s="31">
        <v>0</v>
      </c>
      <c r="Q141" s="31">
        <v>0</v>
      </c>
      <c r="R141" s="31">
        <v>0</v>
      </c>
      <c r="S141" s="31">
        <v>0</v>
      </c>
      <c r="T141" s="31">
        <v>0</v>
      </c>
      <c r="U141" s="31">
        <v>0</v>
      </c>
      <c r="W141" s="31">
        <v>0</v>
      </c>
      <c r="X141" s="31">
        <v>0</v>
      </c>
      <c r="Y141" s="31">
        <v>0</v>
      </c>
      <c r="Z141" s="31">
        <v>0</v>
      </c>
      <c r="AA141" s="31">
        <v>0</v>
      </c>
      <c r="AB141" s="31">
        <v>0</v>
      </c>
      <c r="AC141" s="31">
        <v>0</v>
      </c>
      <c r="AD141" s="31">
        <v>0</v>
      </c>
      <c r="AE141" s="31">
        <v>0</v>
      </c>
      <c r="AF141" s="31">
        <v>0</v>
      </c>
      <c r="AG141" s="31">
        <v>0</v>
      </c>
      <c r="AH141" s="31">
        <v>0</v>
      </c>
      <c r="AI141" s="31">
        <v>0</v>
      </c>
      <c r="AL141" s="31">
        <f t="shared" si="12"/>
        <v>0</v>
      </c>
      <c r="AM141" s="31">
        <f t="shared" si="13"/>
        <v>0</v>
      </c>
      <c r="AN141" s="31">
        <f t="shared" si="14"/>
        <v>0</v>
      </c>
      <c r="AP141" s="31">
        <f>VLOOKUP($B141,Kraftvärmeprod!$B$1:$BX$549,MATCH(AP$1,Kraftvärmeprod!$B$1:$BX$1,0),FALSE)</f>
        <v>0</v>
      </c>
      <c r="AQ141" s="31">
        <f>VLOOKUP($B141,Kraftvärmeprod!$B$1:$BX$549,MATCH(AQ$1,Kraftvärmeprod!$B$1:$BX$1,0),FALSE)</f>
        <v>0</v>
      </c>
      <c r="AR141" s="31">
        <f>VLOOKUP($B141,Kraftvärmeprod!$B$1:$BX$549,MATCH("Summa tillförd energi exklusive rökgaskondensering",Kraftvärmeprod!$B$1:$BX$1,0),FALSE)</f>
        <v>0</v>
      </c>
      <c r="AT141" s="32" t="str">
        <f t="shared" si="15"/>
        <v/>
      </c>
      <c r="AV141" s="31">
        <f t="shared" si="16"/>
        <v>0</v>
      </c>
      <c r="AX141" s="31" t="str">
        <f>VLOOKUP(B141,Totalt!$B$1:$BZ$554,MATCH(AX$1,Totalt!$B$1:$BZ$1,0),FALSE)</f>
        <v>Ja</v>
      </c>
      <c r="BA141" s="32" t="str">
        <f t="shared" si="17"/>
        <v/>
      </c>
    </row>
    <row r="142" spans="1:53" x14ac:dyDescent="0.45">
      <c r="A142" s="31" t="s">
        <v>493</v>
      </c>
      <c r="B142" s="31" t="s">
        <v>495</v>
      </c>
      <c r="J142" s="31">
        <v>0</v>
      </c>
      <c r="K142" s="31">
        <v>0</v>
      </c>
      <c r="L142" s="31">
        <v>0</v>
      </c>
      <c r="M142" s="31">
        <v>0</v>
      </c>
      <c r="N142" s="31">
        <v>0</v>
      </c>
      <c r="O142" s="31">
        <v>0</v>
      </c>
      <c r="P142" s="31">
        <v>0</v>
      </c>
      <c r="Q142" s="31">
        <v>0</v>
      </c>
      <c r="R142" s="31">
        <v>0</v>
      </c>
      <c r="S142" s="31">
        <v>0</v>
      </c>
      <c r="T142" s="31">
        <v>0</v>
      </c>
      <c r="U142" s="31">
        <v>0</v>
      </c>
      <c r="W142" s="31">
        <v>0</v>
      </c>
      <c r="X142" s="31">
        <v>0</v>
      </c>
      <c r="Y142" s="31">
        <v>0</v>
      </c>
      <c r="Z142" s="31">
        <v>0</v>
      </c>
      <c r="AA142" s="31">
        <v>0</v>
      </c>
      <c r="AB142" s="31">
        <v>0</v>
      </c>
      <c r="AC142" s="31">
        <v>0</v>
      </c>
      <c r="AD142" s="31">
        <v>0</v>
      </c>
      <c r="AE142" s="31">
        <v>0</v>
      </c>
      <c r="AF142" s="31">
        <v>0</v>
      </c>
      <c r="AG142" s="31">
        <v>0</v>
      </c>
      <c r="AH142" s="31">
        <v>0</v>
      </c>
      <c r="AI142" s="31">
        <v>0</v>
      </c>
      <c r="AL142" s="31">
        <f t="shared" si="12"/>
        <v>0</v>
      </c>
      <c r="AM142" s="31">
        <f t="shared" si="13"/>
        <v>0</v>
      </c>
      <c r="AN142" s="31">
        <f t="shared" si="14"/>
        <v>0</v>
      </c>
      <c r="AP142" s="31">
        <f>VLOOKUP($B142,Kraftvärmeprod!$B$1:$BX$549,MATCH(AP$1,Kraftvärmeprod!$B$1:$BX$1,0),FALSE)</f>
        <v>0</v>
      </c>
      <c r="AQ142" s="31">
        <f>VLOOKUP($B142,Kraftvärmeprod!$B$1:$BX$549,MATCH(AQ$1,Kraftvärmeprod!$B$1:$BX$1,0),FALSE)</f>
        <v>0</v>
      </c>
      <c r="AR142" s="31">
        <f>VLOOKUP($B142,Kraftvärmeprod!$B$1:$BX$549,MATCH("Summa tillförd energi exklusive rökgaskondensering",Kraftvärmeprod!$B$1:$BX$1,0),FALSE)</f>
        <v>0</v>
      </c>
      <c r="AT142" s="32" t="str">
        <f t="shared" si="15"/>
        <v/>
      </c>
      <c r="AV142" s="31">
        <f t="shared" si="16"/>
        <v>0</v>
      </c>
      <c r="AX142" s="31" t="str">
        <f>VLOOKUP(B142,Totalt!$B$1:$BZ$554,MATCH(AX$1,Totalt!$B$1:$BZ$1,0),FALSE)</f>
        <v>Ja</v>
      </c>
      <c r="BA142" s="32" t="str">
        <f t="shared" si="17"/>
        <v/>
      </c>
    </row>
    <row r="143" spans="1:53" x14ac:dyDescent="0.45">
      <c r="A143" s="31" t="s">
        <v>493</v>
      </c>
      <c r="B143" s="31" t="s">
        <v>494</v>
      </c>
      <c r="J143" s="31">
        <v>0</v>
      </c>
      <c r="K143" s="31">
        <v>0</v>
      </c>
      <c r="L143" s="31">
        <v>0</v>
      </c>
      <c r="M143" s="31">
        <v>0</v>
      </c>
      <c r="N143" s="31">
        <v>0</v>
      </c>
      <c r="O143" s="31">
        <v>0</v>
      </c>
      <c r="P143" s="31">
        <v>0</v>
      </c>
      <c r="Q143" s="31">
        <v>0</v>
      </c>
      <c r="R143" s="31">
        <v>0</v>
      </c>
      <c r="S143" s="31">
        <v>0</v>
      </c>
      <c r="T143" s="31">
        <v>0</v>
      </c>
      <c r="U143" s="31">
        <v>0</v>
      </c>
      <c r="W143" s="31">
        <v>0</v>
      </c>
      <c r="X143" s="31">
        <v>0</v>
      </c>
      <c r="Y143" s="31">
        <v>0</v>
      </c>
      <c r="Z143" s="31">
        <v>0</v>
      </c>
      <c r="AA143" s="31">
        <v>0</v>
      </c>
      <c r="AB143" s="31">
        <v>0</v>
      </c>
      <c r="AC143" s="31">
        <v>0</v>
      </c>
      <c r="AD143" s="31">
        <v>0</v>
      </c>
      <c r="AE143" s="31">
        <v>0</v>
      </c>
      <c r="AF143" s="31">
        <v>0</v>
      </c>
      <c r="AG143" s="31">
        <v>0</v>
      </c>
      <c r="AH143" s="31">
        <v>0</v>
      </c>
      <c r="AI143" s="31">
        <v>0</v>
      </c>
      <c r="AL143" s="31">
        <f t="shared" si="12"/>
        <v>0</v>
      </c>
      <c r="AM143" s="31">
        <f t="shared" si="13"/>
        <v>0</v>
      </c>
      <c r="AN143" s="31">
        <f t="shared" si="14"/>
        <v>0</v>
      </c>
      <c r="AP143" s="31">
        <f>VLOOKUP($B143,Kraftvärmeprod!$B$1:$BX$549,MATCH(AP$1,Kraftvärmeprod!$B$1:$BX$1,0),FALSE)</f>
        <v>0</v>
      </c>
      <c r="AQ143" s="31">
        <f>VLOOKUP($B143,Kraftvärmeprod!$B$1:$BX$549,MATCH(AQ$1,Kraftvärmeprod!$B$1:$BX$1,0),FALSE)</f>
        <v>0</v>
      </c>
      <c r="AR143" s="31">
        <f>VLOOKUP($B143,Kraftvärmeprod!$B$1:$BX$549,MATCH("Summa tillförd energi exklusive rökgaskondensering",Kraftvärmeprod!$B$1:$BX$1,0),FALSE)</f>
        <v>0</v>
      </c>
      <c r="AT143" s="32" t="str">
        <f t="shared" si="15"/>
        <v/>
      </c>
      <c r="AV143" s="31">
        <f t="shared" si="16"/>
        <v>0</v>
      </c>
      <c r="AX143" s="31" t="str">
        <f>VLOOKUP(B143,Totalt!$B$1:$BZ$554,MATCH(AX$1,Totalt!$B$1:$BZ$1,0),FALSE)</f>
        <v>Ja</v>
      </c>
      <c r="BA143" s="32" t="str">
        <f t="shared" si="17"/>
        <v/>
      </c>
    </row>
    <row r="144" spans="1:53" x14ac:dyDescent="0.45">
      <c r="A144" s="31" t="s">
        <v>493</v>
      </c>
      <c r="B144" s="31" t="s">
        <v>492</v>
      </c>
      <c r="J144" s="31">
        <v>0</v>
      </c>
      <c r="K144" s="31">
        <v>0</v>
      </c>
      <c r="L144" s="31">
        <v>0</v>
      </c>
      <c r="M144" s="31">
        <v>0</v>
      </c>
      <c r="N144" s="31">
        <v>0</v>
      </c>
      <c r="O144" s="31">
        <v>0</v>
      </c>
      <c r="P144" s="31">
        <v>65</v>
      </c>
      <c r="Q144" s="31">
        <v>22</v>
      </c>
      <c r="R144" s="31">
        <v>17.867100000000001</v>
      </c>
      <c r="S144" s="31">
        <v>22</v>
      </c>
      <c r="T144" s="31">
        <v>0</v>
      </c>
      <c r="U144" s="31">
        <v>0</v>
      </c>
      <c r="W144" s="31">
        <v>0</v>
      </c>
      <c r="X144" s="31">
        <v>0</v>
      </c>
      <c r="Y144" s="31">
        <v>0</v>
      </c>
      <c r="Z144" s="31">
        <v>0</v>
      </c>
      <c r="AA144" s="31">
        <v>0</v>
      </c>
      <c r="AB144" s="31">
        <v>0</v>
      </c>
      <c r="AC144" s="31">
        <v>0</v>
      </c>
      <c r="AD144" s="31">
        <v>0</v>
      </c>
      <c r="AE144" s="31">
        <v>0</v>
      </c>
      <c r="AF144" s="31">
        <v>0</v>
      </c>
      <c r="AG144" s="31">
        <v>0</v>
      </c>
      <c r="AH144" s="31">
        <v>27.6</v>
      </c>
      <c r="AI144" s="31">
        <v>0.57836500000000002</v>
      </c>
      <c r="AL144" s="31">
        <f t="shared" si="12"/>
        <v>155.04546499999998</v>
      </c>
      <c r="AM144" s="31">
        <f t="shared" si="13"/>
        <v>154.46709999999999</v>
      </c>
      <c r="AN144" s="31">
        <f t="shared" si="14"/>
        <v>126.86709999999999</v>
      </c>
      <c r="AP144" s="31">
        <f>VLOOKUP($B144,Kraftvärmeprod!$B$1:$BX$549,MATCH(AP$1,Kraftvärmeprod!$B$1:$BX$1,0),FALSE)</f>
        <v>75.5</v>
      </c>
      <c r="AQ144" s="31">
        <f>VLOOKUP($B144,Kraftvärmeprod!$B$1:$BX$549,MATCH(AQ$1,Kraftvärmeprod!$B$1:$BX$1,0),FALSE)</f>
        <v>7.35</v>
      </c>
      <c r="AR144" s="31">
        <f>VLOOKUP($B144,Kraftvärmeprod!$B$1:$BX$549,MATCH("Summa tillförd energi exklusive rökgaskondensering",Kraftvärmeprod!$B$1:$BX$1,0),FALSE)</f>
        <v>108.80000000000001</v>
      </c>
      <c r="AT144" s="32">
        <f t="shared" si="15"/>
        <v>1.1660579044117645</v>
      </c>
      <c r="AV144" s="31">
        <f t="shared" si="16"/>
        <v>126.86709999999999</v>
      </c>
      <c r="AX144" s="31" t="str">
        <f>VLOOKUP(B144,Totalt!$B$1:$BZ$554,MATCH(AX$1,Totalt!$B$1:$BZ$1,0),FALSE)</f>
        <v>Ja</v>
      </c>
      <c r="BA144" s="32">
        <f t="shared" si="17"/>
        <v>0.59241025171040806</v>
      </c>
    </row>
    <row r="145" spans="1:53" x14ac:dyDescent="0.45">
      <c r="A145" s="31" t="s">
        <v>490</v>
      </c>
      <c r="B145" s="31" t="s">
        <v>489</v>
      </c>
      <c r="J145" s="31">
        <v>0</v>
      </c>
      <c r="K145" s="31">
        <v>1.9063300000000001</v>
      </c>
      <c r="L145" s="31">
        <v>0</v>
      </c>
      <c r="M145" s="31">
        <v>0</v>
      </c>
      <c r="N145" s="31">
        <v>0</v>
      </c>
      <c r="O145" s="31">
        <v>0</v>
      </c>
      <c r="P145" s="31">
        <v>0</v>
      </c>
      <c r="Q145" s="31">
        <v>0</v>
      </c>
      <c r="R145" s="31">
        <v>0</v>
      </c>
      <c r="S145" s="31">
        <v>0</v>
      </c>
      <c r="T145" s="31">
        <v>0</v>
      </c>
      <c r="U145" s="31">
        <v>0</v>
      </c>
      <c r="W145" s="31">
        <v>0</v>
      </c>
      <c r="X145" s="31">
        <v>0</v>
      </c>
      <c r="Y145" s="31">
        <v>0</v>
      </c>
      <c r="Z145" s="31">
        <v>2.5376300000000001</v>
      </c>
      <c r="AA145" s="31">
        <v>0</v>
      </c>
      <c r="AB145" s="31">
        <v>0</v>
      </c>
      <c r="AC145" s="31">
        <v>0</v>
      </c>
      <c r="AD145" s="31">
        <v>0</v>
      </c>
      <c r="AE145" s="31">
        <v>159.48699999999999</v>
      </c>
      <c r="AF145" s="31">
        <v>0</v>
      </c>
      <c r="AG145" s="31">
        <v>0</v>
      </c>
      <c r="AH145" s="31">
        <v>16.75</v>
      </c>
      <c r="AI145" s="31">
        <v>6.6893000000000002</v>
      </c>
      <c r="AL145" s="31">
        <f t="shared" si="12"/>
        <v>187.37026</v>
      </c>
      <c r="AM145" s="31">
        <f t="shared" si="13"/>
        <v>180.68096</v>
      </c>
      <c r="AN145" s="31">
        <f t="shared" si="14"/>
        <v>163.93096</v>
      </c>
      <c r="AP145" s="31">
        <f>VLOOKUP($B145,Kraftvärmeprod!$B$1:$BX$549,MATCH(AP$1,Kraftvärmeprod!$B$1:$BX$1,0),FALSE)</f>
        <v>188.7</v>
      </c>
      <c r="AQ145" s="31">
        <f>VLOOKUP($B145,Kraftvärmeprod!$B$1:$BX$549,MATCH(AQ$1,Kraftvärmeprod!$B$1:$BX$1,0),FALSE)</f>
        <v>23.18</v>
      </c>
      <c r="AR145" s="31">
        <f>VLOOKUP($B145,Kraftvärmeprod!$B$1:$BX$549,MATCH("Summa tillförd energi exklusive rökgaskondensering",Kraftvärmeprod!$B$1:$BX$1,0),FALSE)</f>
        <v>227.91</v>
      </c>
      <c r="AT145" s="32">
        <f t="shared" si="15"/>
        <v>0.71927936466148923</v>
      </c>
      <c r="AV145" s="31">
        <f t="shared" si="16"/>
        <v>2.5376300000000001</v>
      </c>
      <c r="AX145" s="31" t="str">
        <f>VLOOKUP(B145,Totalt!$B$1:$BZ$554,MATCH(AX$1,Totalt!$B$1:$BZ$1,0),FALSE)</f>
        <v>Ja</v>
      </c>
      <c r="BA145" s="32">
        <f t="shared" si="17"/>
        <v>1.1059647898789979</v>
      </c>
    </row>
    <row r="146" spans="1:53" x14ac:dyDescent="0.45">
      <c r="A146" s="31" t="s">
        <v>480</v>
      </c>
      <c r="B146" s="31" t="s">
        <v>488</v>
      </c>
      <c r="J146" s="31">
        <v>0</v>
      </c>
      <c r="K146" s="31">
        <v>0</v>
      </c>
      <c r="L146" s="31">
        <v>0</v>
      </c>
      <c r="M146" s="31">
        <v>0</v>
      </c>
      <c r="N146" s="31">
        <v>0</v>
      </c>
      <c r="O146" s="31">
        <v>0</v>
      </c>
      <c r="P146" s="31">
        <v>0</v>
      </c>
      <c r="Q146" s="31">
        <v>0</v>
      </c>
      <c r="R146" s="31">
        <v>0</v>
      </c>
      <c r="S146" s="31">
        <v>0</v>
      </c>
      <c r="T146" s="31">
        <v>0</v>
      </c>
      <c r="U146" s="31">
        <v>0</v>
      </c>
      <c r="W146" s="31">
        <v>0</v>
      </c>
      <c r="X146" s="31">
        <v>0</v>
      </c>
      <c r="Y146" s="31">
        <v>0</v>
      </c>
      <c r="Z146" s="31">
        <v>0</v>
      </c>
      <c r="AA146" s="31">
        <v>0</v>
      </c>
      <c r="AB146" s="31">
        <v>0</v>
      </c>
      <c r="AC146" s="31">
        <v>0</v>
      </c>
      <c r="AD146" s="31">
        <v>0</v>
      </c>
      <c r="AE146" s="31">
        <v>0</v>
      </c>
      <c r="AF146" s="31">
        <v>0</v>
      </c>
      <c r="AG146" s="31">
        <v>0</v>
      </c>
      <c r="AH146" s="31">
        <v>0</v>
      </c>
      <c r="AI146" s="31">
        <v>0</v>
      </c>
      <c r="AL146" s="31">
        <f t="shared" si="12"/>
        <v>0</v>
      </c>
      <c r="AM146" s="31">
        <f t="shared" si="13"/>
        <v>0</v>
      </c>
      <c r="AN146" s="31">
        <f t="shared" si="14"/>
        <v>0</v>
      </c>
      <c r="AP146" s="31">
        <f>VLOOKUP($B146,Kraftvärmeprod!$B$1:$BX$549,MATCH(AP$1,Kraftvärmeprod!$B$1:$BX$1,0),FALSE)</f>
        <v>0</v>
      </c>
      <c r="AQ146" s="31">
        <f>VLOOKUP($B146,Kraftvärmeprod!$B$1:$BX$549,MATCH(AQ$1,Kraftvärmeprod!$B$1:$BX$1,0),FALSE)</f>
        <v>0</v>
      </c>
      <c r="AR146" s="31">
        <f>VLOOKUP($B146,Kraftvärmeprod!$B$1:$BX$549,MATCH("Summa tillförd energi exklusive rökgaskondensering",Kraftvärmeprod!$B$1:$BX$1,0),FALSE)</f>
        <v>0</v>
      </c>
      <c r="AT146" s="32" t="str">
        <f t="shared" si="15"/>
        <v/>
      </c>
      <c r="AV146" s="31">
        <f t="shared" si="16"/>
        <v>0</v>
      </c>
      <c r="AX146" s="31" t="str">
        <f>VLOOKUP(B146,Totalt!$B$1:$BZ$554,MATCH(AX$1,Totalt!$B$1:$BZ$1,0),FALSE)</f>
        <v>Ja</v>
      </c>
      <c r="BA146" s="32" t="str">
        <f t="shared" si="17"/>
        <v/>
      </c>
    </row>
    <row r="147" spans="1:53" x14ac:dyDescent="0.45">
      <c r="A147" s="31" t="s">
        <v>480</v>
      </c>
      <c r="B147" s="31" t="s">
        <v>487</v>
      </c>
      <c r="J147" s="31">
        <v>0</v>
      </c>
      <c r="K147" s="31">
        <v>0</v>
      </c>
      <c r="L147" s="31">
        <v>0</v>
      </c>
      <c r="M147" s="31">
        <v>0</v>
      </c>
      <c r="N147" s="31">
        <v>0</v>
      </c>
      <c r="O147" s="31">
        <v>0</v>
      </c>
      <c r="P147" s="31">
        <v>0</v>
      </c>
      <c r="Q147" s="31">
        <v>0</v>
      </c>
      <c r="R147" s="31">
        <v>0</v>
      </c>
      <c r="S147" s="31">
        <v>0</v>
      </c>
      <c r="T147" s="31">
        <v>0</v>
      </c>
      <c r="U147" s="31">
        <v>0</v>
      </c>
      <c r="W147" s="31">
        <v>0</v>
      </c>
      <c r="X147" s="31">
        <v>0</v>
      </c>
      <c r="Y147" s="31">
        <v>0</v>
      </c>
      <c r="Z147" s="31">
        <v>0</v>
      </c>
      <c r="AA147" s="31">
        <v>0</v>
      </c>
      <c r="AB147" s="31">
        <v>0</v>
      </c>
      <c r="AC147" s="31">
        <v>0</v>
      </c>
      <c r="AD147" s="31">
        <v>0</v>
      </c>
      <c r="AE147" s="31">
        <v>0</v>
      </c>
      <c r="AF147" s="31">
        <v>0</v>
      </c>
      <c r="AG147" s="31">
        <v>0</v>
      </c>
      <c r="AH147" s="31">
        <v>0</v>
      </c>
      <c r="AI147" s="31">
        <v>0</v>
      </c>
      <c r="AL147" s="31">
        <f t="shared" si="12"/>
        <v>0</v>
      </c>
      <c r="AM147" s="31">
        <f t="shared" si="13"/>
        <v>0</v>
      </c>
      <c r="AN147" s="31">
        <f t="shared" si="14"/>
        <v>0</v>
      </c>
      <c r="AP147" s="31">
        <f>VLOOKUP($B147,Kraftvärmeprod!$B$1:$BX$549,MATCH(AP$1,Kraftvärmeprod!$B$1:$BX$1,0),FALSE)</f>
        <v>0</v>
      </c>
      <c r="AQ147" s="31">
        <f>VLOOKUP($B147,Kraftvärmeprod!$B$1:$BX$549,MATCH(AQ$1,Kraftvärmeprod!$B$1:$BX$1,0),FALSE)</f>
        <v>0</v>
      </c>
      <c r="AR147" s="31">
        <f>VLOOKUP($B147,Kraftvärmeprod!$B$1:$BX$549,MATCH("Summa tillförd energi exklusive rökgaskondensering",Kraftvärmeprod!$B$1:$BX$1,0),FALSE)</f>
        <v>0</v>
      </c>
      <c r="AT147" s="32" t="str">
        <f t="shared" si="15"/>
        <v/>
      </c>
      <c r="AV147" s="31">
        <f t="shared" si="16"/>
        <v>0</v>
      </c>
      <c r="AX147" s="31" t="str">
        <f>VLOOKUP(B147,Totalt!$B$1:$BZ$554,MATCH(AX$1,Totalt!$B$1:$BZ$1,0),FALSE)</f>
        <v>Ja</v>
      </c>
      <c r="BA147" s="32" t="str">
        <f t="shared" si="17"/>
        <v/>
      </c>
    </row>
    <row r="148" spans="1:53" x14ac:dyDescent="0.45">
      <c r="A148" s="31" t="s">
        <v>480</v>
      </c>
      <c r="B148" s="31" t="s">
        <v>486</v>
      </c>
      <c r="J148" s="31">
        <v>0</v>
      </c>
      <c r="K148" s="31">
        <v>0</v>
      </c>
      <c r="L148" s="31">
        <v>0</v>
      </c>
      <c r="M148" s="31">
        <v>0</v>
      </c>
      <c r="N148" s="31">
        <v>0</v>
      </c>
      <c r="O148" s="31">
        <v>0</v>
      </c>
      <c r="P148" s="31">
        <v>0</v>
      </c>
      <c r="Q148" s="31">
        <v>0</v>
      </c>
      <c r="R148" s="31">
        <v>0</v>
      </c>
      <c r="S148" s="31">
        <v>0</v>
      </c>
      <c r="T148" s="31">
        <v>0</v>
      </c>
      <c r="U148" s="31">
        <v>0</v>
      </c>
      <c r="W148" s="31">
        <v>0</v>
      </c>
      <c r="X148" s="31">
        <v>0</v>
      </c>
      <c r="Y148" s="31">
        <v>0</v>
      </c>
      <c r="Z148" s="31">
        <v>0</v>
      </c>
      <c r="AA148" s="31">
        <v>0</v>
      </c>
      <c r="AB148" s="31">
        <v>0</v>
      </c>
      <c r="AC148" s="31">
        <v>0</v>
      </c>
      <c r="AD148" s="31">
        <v>0</v>
      </c>
      <c r="AE148" s="31">
        <v>0</v>
      </c>
      <c r="AF148" s="31">
        <v>0</v>
      </c>
      <c r="AG148" s="31">
        <v>0</v>
      </c>
      <c r="AH148" s="31">
        <v>0</v>
      </c>
      <c r="AI148" s="31">
        <v>0</v>
      </c>
      <c r="AL148" s="31">
        <f t="shared" si="12"/>
        <v>0</v>
      </c>
      <c r="AM148" s="31">
        <f t="shared" si="13"/>
        <v>0</v>
      </c>
      <c r="AN148" s="31">
        <f t="shared" si="14"/>
        <v>0</v>
      </c>
      <c r="AP148" s="31">
        <f>VLOOKUP($B148,Kraftvärmeprod!$B$1:$BX$549,MATCH(AP$1,Kraftvärmeprod!$B$1:$BX$1,0),FALSE)</f>
        <v>0</v>
      </c>
      <c r="AQ148" s="31">
        <f>VLOOKUP($B148,Kraftvärmeprod!$B$1:$BX$549,MATCH(AQ$1,Kraftvärmeprod!$B$1:$BX$1,0),FALSE)</f>
        <v>0</v>
      </c>
      <c r="AR148" s="31">
        <f>VLOOKUP($B148,Kraftvärmeprod!$B$1:$BX$549,MATCH("Summa tillförd energi exklusive rökgaskondensering",Kraftvärmeprod!$B$1:$BX$1,0),FALSE)</f>
        <v>0</v>
      </c>
      <c r="AT148" s="32" t="str">
        <f t="shared" si="15"/>
        <v/>
      </c>
      <c r="AV148" s="31">
        <f t="shared" si="16"/>
        <v>0</v>
      </c>
      <c r="AX148" s="31" t="str">
        <f>VLOOKUP(B148,Totalt!$B$1:$BZ$554,MATCH(AX$1,Totalt!$B$1:$BZ$1,0),FALSE)</f>
        <v>Ja</v>
      </c>
      <c r="BA148" s="32" t="str">
        <f t="shared" si="17"/>
        <v/>
      </c>
    </row>
    <row r="149" spans="1:53" x14ac:dyDescent="0.45">
      <c r="A149" s="31" t="s">
        <v>480</v>
      </c>
      <c r="B149" s="31" t="s">
        <v>485</v>
      </c>
      <c r="J149" s="31">
        <v>0</v>
      </c>
      <c r="K149" s="31">
        <v>0</v>
      </c>
      <c r="L149" s="31">
        <v>0</v>
      </c>
      <c r="M149" s="31">
        <v>0</v>
      </c>
      <c r="N149" s="31">
        <v>0</v>
      </c>
      <c r="O149" s="31">
        <v>0</v>
      </c>
      <c r="P149" s="31">
        <v>0</v>
      </c>
      <c r="Q149" s="31">
        <v>0</v>
      </c>
      <c r="R149" s="31">
        <v>0</v>
      </c>
      <c r="S149" s="31">
        <v>0</v>
      </c>
      <c r="T149" s="31">
        <v>0</v>
      </c>
      <c r="U149" s="31">
        <v>0</v>
      </c>
      <c r="W149" s="31">
        <v>0</v>
      </c>
      <c r="X149" s="31">
        <v>0</v>
      </c>
      <c r="Y149" s="31">
        <v>0</v>
      </c>
      <c r="Z149" s="31">
        <v>0</v>
      </c>
      <c r="AA149" s="31">
        <v>0</v>
      </c>
      <c r="AB149" s="31">
        <v>0</v>
      </c>
      <c r="AC149" s="31">
        <v>0</v>
      </c>
      <c r="AD149" s="31">
        <v>0</v>
      </c>
      <c r="AE149" s="31">
        <v>0</v>
      </c>
      <c r="AF149" s="31">
        <v>0</v>
      </c>
      <c r="AG149" s="31">
        <v>0</v>
      </c>
      <c r="AH149" s="31">
        <v>0</v>
      </c>
      <c r="AI149" s="31">
        <v>0</v>
      </c>
      <c r="AL149" s="31">
        <f t="shared" si="12"/>
        <v>0</v>
      </c>
      <c r="AM149" s="31">
        <f t="shared" si="13"/>
        <v>0</v>
      </c>
      <c r="AN149" s="31">
        <f t="shared" si="14"/>
        <v>0</v>
      </c>
      <c r="AP149" s="31">
        <f>VLOOKUP($B149,Kraftvärmeprod!$B$1:$BX$549,MATCH(AP$1,Kraftvärmeprod!$B$1:$BX$1,0),FALSE)</f>
        <v>0</v>
      </c>
      <c r="AQ149" s="31">
        <f>VLOOKUP($B149,Kraftvärmeprod!$B$1:$BX$549,MATCH(AQ$1,Kraftvärmeprod!$B$1:$BX$1,0),FALSE)</f>
        <v>0</v>
      </c>
      <c r="AR149" s="31">
        <f>VLOOKUP($B149,Kraftvärmeprod!$B$1:$BX$549,MATCH("Summa tillförd energi exklusive rökgaskondensering",Kraftvärmeprod!$B$1:$BX$1,0),FALSE)</f>
        <v>0</v>
      </c>
      <c r="AT149" s="32" t="str">
        <f t="shared" si="15"/>
        <v/>
      </c>
      <c r="AV149" s="31">
        <f t="shared" si="16"/>
        <v>0</v>
      </c>
      <c r="AX149" s="31" t="str">
        <f>VLOOKUP(B149,Totalt!$B$1:$BZ$554,MATCH(AX$1,Totalt!$B$1:$BZ$1,0),FALSE)</f>
        <v>Ja</v>
      </c>
      <c r="BA149" s="32" t="str">
        <f t="shared" si="17"/>
        <v/>
      </c>
    </row>
    <row r="150" spans="1:53" x14ac:dyDescent="0.45">
      <c r="A150" s="31" t="s">
        <v>480</v>
      </c>
      <c r="B150" s="31" t="s">
        <v>484</v>
      </c>
      <c r="J150" s="31">
        <v>0</v>
      </c>
      <c r="K150" s="31">
        <v>0</v>
      </c>
      <c r="L150" s="31">
        <v>0</v>
      </c>
      <c r="M150" s="31">
        <v>0</v>
      </c>
      <c r="N150" s="31">
        <v>0</v>
      </c>
      <c r="O150" s="31">
        <v>0</v>
      </c>
      <c r="P150" s="31">
        <v>0</v>
      </c>
      <c r="Q150" s="31">
        <v>0</v>
      </c>
      <c r="R150" s="31">
        <v>0</v>
      </c>
      <c r="S150" s="31">
        <v>0</v>
      </c>
      <c r="T150" s="31">
        <v>0</v>
      </c>
      <c r="U150" s="31">
        <v>0</v>
      </c>
      <c r="W150" s="31">
        <v>0</v>
      </c>
      <c r="X150" s="31">
        <v>0</v>
      </c>
      <c r="Y150" s="31">
        <v>0</v>
      </c>
      <c r="Z150" s="31">
        <v>0</v>
      </c>
      <c r="AA150" s="31">
        <v>0</v>
      </c>
      <c r="AB150" s="31">
        <v>0</v>
      </c>
      <c r="AC150" s="31">
        <v>0</v>
      </c>
      <c r="AD150" s="31">
        <v>0</v>
      </c>
      <c r="AE150" s="31">
        <v>0</v>
      </c>
      <c r="AF150" s="31">
        <v>0</v>
      </c>
      <c r="AG150" s="31">
        <v>0</v>
      </c>
      <c r="AH150" s="31">
        <v>0</v>
      </c>
      <c r="AI150" s="31">
        <v>0</v>
      </c>
      <c r="AL150" s="31">
        <f t="shared" si="12"/>
        <v>0</v>
      </c>
      <c r="AM150" s="31">
        <f t="shared" si="13"/>
        <v>0</v>
      </c>
      <c r="AN150" s="31">
        <f t="shared" si="14"/>
        <v>0</v>
      </c>
      <c r="AP150" s="31">
        <f>VLOOKUP($B150,Kraftvärmeprod!$B$1:$BX$549,MATCH(AP$1,Kraftvärmeprod!$B$1:$BX$1,0),FALSE)</f>
        <v>0</v>
      </c>
      <c r="AQ150" s="31">
        <f>VLOOKUP($B150,Kraftvärmeprod!$B$1:$BX$549,MATCH(AQ$1,Kraftvärmeprod!$B$1:$BX$1,0),FALSE)</f>
        <v>0</v>
      </c>
      <c r="AR150" s="31">
        <f>VLOOKUP($B150,Kraftvärmeprod!$B$1:$BX$549,MATCH("Summa tillförd energi exklusive rökgaskondensering",Kraftvärmeprod!$B$1:$BX$1,0),FALSE)</f>
        <v>0</v>
      </c>
      <c r="AT150" s="32" t="str">
        <f t="shared" si="15"/>
        <v/>
      </c>
      <c r="AV150" s="31">
        <f t="shared" si="16"/>
        <v>0</v>
      </c>
      <c r="AX150" s="31" t="str">
        <f>VLOOKUP(B150,Totalt!$B$1:$BZ$554,MATCH(AX$1,Totalt!$B$1:$BZ$1,0),FALSE)</f>
        <v>Ja</v>
      </c>
      <c r="BA150" s="32" t="str">
        <f t="shared" si="17"/>
        <v/>
      </c>
    </row>
    <row r="151" spans="1:53" x14ac:dyDescent="0.45">
      <c r="A151" s="31" t="s">
        <v>480</v>
      </c>
      <c r="B151" s="31" t="s">
        <v>483</v>
      </c>
      <c r="J151" s="31">
        <v>0</v>
      </c>
      <c r="K151" s="31">
        <v>0</v>
      </c>
      <c r="L151" s="31">
        <v>0</v>
      </c>
      <c r="M151" s="31">
        <v>0</v>
      </c>
      <c r="N151" s="31">
        <v>0</v>
      </c>
      <c r="O151" s="31">
        <v>0</v>
      </c>
      <c r="P151" s="31">
        <v>0</v>
      </c>
      <c r="Q151" s="31">
        <v>0</v>
      </c>
      <c r="R151" s="31">
        <v>0</v>
      </c>
      <c r="S151" s="31">
        <v>0</v>
      </c>
      <c r="T151" s="31">
        <v>0</v>
      </c>
      <c r="U151" s="31">
        <v>0</v>
      </c>
      <c r="W151" s="31">
        <v>0</v>
      </c>
      <c r="X151" s="31">
        <v>0</v>
      </c>
      <c r="Y151" s="31">
        <v>0</v>
      </c>
      <c r="Z151" s="31">
        <v>0</v>
      </c>
      <c r="AA151" s="31">
        <v>0</v>
      </c>
      <c r="AB151" s="31">
        <v>0</v>
      </c>
      <c r="AC151" s="31">
        <v>0</v>
      </c>
      <c r="AD151" s="31">
        <v>0</v>
      </c>
      <c r="AE151" s="31">
        <v>0</v>
      </c>
      <c r="AF151" s="31">
        <v>0</v>
      </c>
      <c r="AG151" s="31">
        <v>0</v>
      </c>
      <c r="AH151" s="31">
        <v>0</v>
      </c>
      <c r="AI151" s="31">
        <v>0</v>
      </c>
      <c r="AL151" s="31">
        <f t="shared" si="12"/>
        <v>0</v>
      </c>
      <c r="AM151" s="31">
        <f t="shared" si="13"/>
        <v>0</v>
      </c>
      <c r="AN151" s="31">
        <f t="shared" si="14"/>
        <v>0</v>
      </c>
      <c r="AP151" s="31">
        <f>VLOOKUP($B151,Kraftvärmeprod!$B$1:$BX$549,MATCH(AP$1,Kraftvärmeprod!$B$1:$BX$1,0),FALSE)</f>
        <v>0</v>
      </c>
      <c r="AQ151" s="31">
        <f>VLOOKUP($B151,Kraftvärmeprod!$B$1:$BX$549,MATCH(AQ$1,Kraftvärmeprod!$B$1:$BX$1,0),FALSE)</f>
        <v>0</v>
      </c>
      <c r="AR151" s="31">
        <f>VLOOKUP($B151,Kraftvärmeprod!$B$1:$BX$549,MATCH("Summa tillförd energi exklusive rökgaskondensering",Kraftvärmeprod!$B$1:$BX$1,0),FALSE)</f>
        <v>0</v>
      </c>
      <c r="AT151" s="32" t="str">
        <f t="shared" si="15"/>
        <v/>
      </c>
      <c r="AV151" s="31">
        <f t="shared" si="16"/>
        <v>0</v>
      </c>
      <c r="AX151" s="31" t="str">
        <f>VLOOKUP(B151,Totalt!$B$1:$BZ$554,MATCH(AX$1,Totalt!$B$1:$BZ$1,0),FALSE)</f>
        <v>Ja</v>
      </c>
      <c r="BA151" s="32" t="str">
        <f t="shared" si="17"/>
        <v/>
      </c>
    </row>
    <row r="152" spans="1:53" x14ac:dyDescent="0.45">
      <c r="A152" s="31" t="s">
        <v>480</v>
      </c>
      <c r="B152" s="31" t="s">
        <v>481</v>
      </c>
      <c r="J152" s="31">
        <v>0</v>
      </c>
      <c r="K152" s="31">
        <v>0</v>
      </c>
      <c r="L152" s="31">
        <v>0</v>
      </c>
      <c r="M152" s="31">
        <v>0</v>
      </c>
      <c r="N152" s="31">
        <v>0</v>
      </c>
      <c r="O152" s="31">
        <v>0</v>
      </c>
      <c r="P152" s="31">
        <v>0</v>
      </c>
      <c r="Q152" s="31">
        <v>0</v>
      </c>
      <c r="R152" s="31">
        <v>0</v>
      </c>
      <c r="S152" s="31">
        <v>0</v>
      </c>
      <c r="T152" s="31">
        <v>0</v>
      </c>
      <c r="U152" s="31">
        <v>0</v>
      </c>
      <c r="W152" s="31">
        <v>0</v>
      </c>
      <c r="X152" s="31">
        <v>0</v>
      </c>
      <c r="Y152" s="31">
        <v>0</v>
      </c>
      <c r="Z152" s="31">
        <v>0</v>
      </c>
      <c r="AA152" s="31">
        <v>0</v>
      </c>
      <c r="AB152" s="31">
        <v>0</v>
      </c>
      <c r="AC152" s="31">
        <v>0</v>
      </c>
      <c r="AD152" s="31">
        <v>0</v>
      </c>
      <c r="AE152" s="31">
        <v>0</v>
      </c>
      <c r="AF152" s="31">
        <v>0</v>
      </c>
      <c r="AG152" s="31">
        <v>0</v>
      </c>
      <c r="AH152" s="31">
        <v>0</v>
      </c>
      <c r="AI152" s="31">
        <v>0</v>
      </c>
      <c r="AL152" s="31">
        <f t="shared" si="12"/>
        <v>0</v>
      </c>
      <c r="AM152" s="31">
        <f t="shared" si="13"/>
        <v>0</v>
      </c>
      <c r="AN152" s="31">
        <f t="shared" si="14"/>
        <v>0</v>
      </c>
      <c r="AP152" s="31">
        <f>VLOOKUP($B152,Kraftvärmeprod!$B$1:$BX$549,MATCH(AP$1,Kraftvärmeprod!$B$1:$BX$1,0),FALSE)</f>
        <v>0</v>
      </c>
      <c r="AQ152" s="31">
        <f>VLOOKUP($B152,Kraftvärmeprod!$B$1:$BX$549,MATCH(AQ$1,Kraftvärmeprod!$B$1:$BX$1,0),FALSE)</f>
        <v>0</v>
      </c>
      <c r="AR152" s="31">
        <f>VLOOKUP($B152,Kraftvärmeprod!$B$1:$BX$549,MATCH("Summa tillförd energi exklusive rökgaskondensering",Kraftvärmeprod!$B$1:$BX$1,0),FALSE)</f>
        <v>0</v>
      </c>
      <c r="AT152" s="32" t="str">
        <f t="shared" si="15"/>
        <v/>
      </c>
      <c r="AV152" s="31">
        <f t="shared" si="16"/>
        <v>0</v>
      </c>
      <c r="AX152" s="31" t="str">
        <f>VLOOKUP(B152,Totalt!$B$1:$BZ$554,MATCH(AX$1,Totalt!$B$1:$BZ$1,0),FALSE)</f>
        <v>Ja</v>
      </c>
      <c r="BA152" s="32" t="str">
        <f t="shared" si="17"/>
        <v/>
      </c>
    </row>
    <row r="153" spans="1:53" x14ac:dyDescent="0.45">
      <c r="A153" s="31" t="s">
        <v>480</v>
      </c>
      <c r="B153" s="31" t="s">
        <v>479</v>
      </c>
      <c r="J153" s="31">
        <v>0</v>
      </c>
      <c r="K153" s="31">
        <v>0</v>
      </c>
      <c r="L153" s="31">
        <v>0</v>
      </c>
      <c r="M153" s="31">
        <v>0</v>
      </c>
      <c r="N153" s="31">
        <v>0</v>
      </c>
      <c r="O153" s="31">
        <v>0</v>
      </c>
      <c r="P153" s="31">
        <v>0</v>
      </c>
      <c r="Q153" s="31">
        <v>0</v>
      </c>
      <c r="R153" s="31">
        <v>0</v>
      </c>
      <c r="S153" s="31">
        <v>0</v>
      </c>
      <c r="T153" s="31">
        <v>0</v>
      </c>
      <c r="U153" s="31">
        <v>0</v>
      </c>
      <c r="W153" s="31">
        <v>0</v>
      </c>
      <c r="X153" s="31">
        <v>0</v>
      </c>
      <c r="Y153" s="31">
        <v>0</v>
      </c>
      <c r="Z153" s="31">
        <v>0</v>
      </c>
      <c r="AA153" s="31">
        <v>0</v>
      </c>
      <c r="AB153" s="31">
        <v>0</v>
      </c>
      <c r="AC153" s="31">
        <v>0</v>
      </c>
      <c r="AD153" s="31">
        <v>0</v>
      </c>
      <c r="AE153" s="31">
        <v>0</v>
      </c>
      <c r="AF153" s="31">
        <v>0</v>
      </c>
      <c r="AG153" s="31">
        <v>0</v>
      </c>
      <c r="AH153" s="31">
        <v>0</v>
      </c>
      <c r="AI153" s="31">
        <v>0</v>
      </c>
      <c r="AL153" s="31">
        <f t="shared" si="12"/>
        <v>0</v>
      </c>
      <c r="AM153" s="31">
        <f t="shared" si="13"/>
        <v>0</v>
      </c>
      <c r="AN153" s="31">
        <f t="shared" si="14"/>
        <v>0</v>
      </c>
      <c r="AP153" s="31">
        <f>VLOOKUP($B153,Kraftvärmeprod!$B$1:$BX$549,MATCH(AP$1,Kraftvärmeprod!$B$1:$BX$1,0),FALSE)</f>
        <v>0</v>
      </c>
      <c r="AQ153" s="31">
        <f>VLOOKUP($B153,Kraftvärmeprod!$B$1:$BX$549,MATCH(AQ$1,Kraftvärmeprod!$B$1:$BX$1,0),FALSE)</f>
        <v>0</v>
      </c>
      <c r="AR153" s="31">
        <f>VLOOKUP($B153,Kraftvärmeprod!$B$1:$BX$549,MATCH("Summa tillförd energi exklusive rökgaskondensering",Kraftvärmeprod!$B$1:$BX$1,0),FALSE)</f>
        <v>0</v>
      </c>
      <c r="AT153" s="32" t="str">
        <f t="shared" si="15"/>
        <v/>
      </c>
      <c r="AV153" s="31">
        <f t="shared" si="16"/>
        <v>0</v>
      </c>
      <c r="AX153" s="31" t="str">
        <f>VLOOKUP(B153,Totalt!$B$1:$BZ$554,MATCH(AX$1,Totalt!$B$1:$BZ$1,0),FALSE)</f>
        <v>Ja</v>
      </c>
      <c r="BA153" s="32" t="str">
        <f t="shared" si="17"/>
        <v/>
      </c>
    </row>
    <row r="154" spans="1:53" x14ac:dyDescent="0.45">
      <c r="A154" s="31" t="s">
        <v>480</v>
      </c>
      <c r="B154" s="31" t="s">
        <v>482</v>
      </c>
      <c r="J154" s="31">
        <v>0</v>
      </c>
      <c r="K154" s="31">
        <v>0</v>
      </c>
      <c r="L154" s="31">
        <v>0</v>
      </c>
      <c r="M154" s="31">
        <v>0</v>
      </c>
      <c r="N154" s="31">
        <v>0</v>
      </c>
      <c r="O154" s="31">
        <v>0</v>
      </c>
      <c r="P154" s="31">
        <v>0</v>
      </c>
      <c r="Q154" s="31">
        <v>0</v>
      </c>
      <c r="R154" s="31">
        <v>0</v>
      </c>
      <c r="S154" s="31">
        <v>0</v>
      </c>
      <c r="T154" s="31">
        <v>0</v>
      </c>
      <c r="U154" s="31">
        <v>0</v>
      </c>
      <c r="W154" s="31">
        <v>0</v>
      </c>
      <c r="X154" s="31">
        <v>0</v>
      </c>
      <c r="Y154" s="31">
        <v>0</v>
      </c>
      <c r="Z154" s="31">
        <v>0</v>
      </c>
      <c r="AA154" s="31">
        <v>0</v>
      </c>
      <c r="AB154" s="31">
        <v>0</v>
      </c>
      <c r="AC154" s="31">
        <v>0</v>
      </c>
      <c r="AD154" s="31">
        <v>0</v>
      </c>
      <c r="AE154" s="31">
        <v>0</v>
      </c>
      <c r="AF154" s="31">
        <v>0</v>
      </c>
      <c r="AG154" s="31">
        <v>0</v>
      </c>
      <c r="AH154" s="31">
        <v>0</v>
      </c>
      <c r="AI154" s="31">
        <v>0</v>
      </c>
      <c r="AL154" s="31">
        <f t="shared" si="12"/>
        <v>0</v>
      </c>
      <c r="AM154" s="31">
        <f t="shared" si="13"/>
        <v>0</v>
      </c>
      <c r="AN154" s="31">
        <f t="shared" si="14"/>
        <v>0</v>
      </c>
      <c r="AP154" s="31">
        <f>VLOOKUP($B154,Kraftvärmeprod!$B$1:$BX$549,MATCH(AP$1,Kraftvärmeprod!$B$1:$BX$1,0),FALSE)</f>
        <v>0</v>
      </c>
      <c r="AQ154" s="31">
        <f>VLOOKUP($B154,Kraftvärmeprod!$B$1:$BX$549,MATCH(AQ$1,Kraftvärmeprod!$B$1:$BX$1,0),FALSE)</f>
        <v>0</v>
      </c>
      <c r="AR154" s="31">
        <f>VLOOKUP($B154,Kraftvärmeprod!$B$1:$BX$549,MATCH("Summa tillförd energi exklusive rökgaskondensering",Kraftvärmeprod!$B$1:$BX$1,0),FALSE)</f>
        <v>0</v>
      </c>
      <c r="AT154" s="32" t="str">
        <f t="shared" si="15"/>
        <v/>
      </c>
      <c r="AV154" s="31">
        <f t="shared" si="16"/>
        <v>0</v>
      </c>
      <c r="AX154" s="31" t="str">
        <f>VLOOKUP(B154,Totalt!$B$1:$BZ$554,MATCH(AX$1,Totalt!$B$1:$BZ$1,0),FALSE)</f>
        <v>Ja</v>
      </c>
      <c r="BA154" s="32" t="str">
        <f t="shared" si="17"/>
        <v/>
      </c>
    </row>
    <row r="155" spans="1:53" x14ac:dyDescent="0.45">
      <c r="A155" s="31" t="s">
        <v>478</v>
      </c>
      <c r="B155" s="31" t="s">
        <v>477</v>
      </c>
      <c r="J155" s="31">
        <v>0</v>
      </c>
      <c r="K155" s="31">
        <v>0</v>
      </c>
      <c r="L155" s="31">
        <v>0</v>
      </c>
      <c r="M155" s="31">
        <v>0</v>
      </c>
      <c r="N155" s="31">
        <v>0</v>
      </c>
      <c r="O155" s="31">
        <v>0</v>
      </c>
      <c r="P155" s="31">
        <v>0</v>
      </c>
      <c r="Q155" s="31">
        <v>0</v>
      </c>
      <c r="R155" s="31">
        <v>0</v>
      </c>
      <c r="S155" s="31">
        <v>0</v>
      </c>
      <c r="T155" s="31">
        <v>0</v>
      </c>
      <c r="U155" s="31">
        <v>0</v>
      </c>
      <c r="W155" s="31">
        <v>0</v>
      </c>
      <c r="X155" s="31">
        <v>0</v>
      </c>
      <c r="Y155" s="31">
        <v>0</v>
      </c>
      <c r="Z155" s="31">
        <v>0</v>
      </c>
      <c r="AA155" s="31">
        <v>0</v>
      </c>
      <c r="AB155" s="31">
        <v>0</v>
      </c>
      <c r="AC155" s="31">
        <v>0</v>
      </c>
      <c r="AD155" s="31">
        <v>0</v>
      </c>
      <c r="AE155" s="31">
        <v>0</v>
      </c>
      <c r="AF155" s="31">
        <v>0</v>
      </c>
      <c r="AG155" s="31">
        <v>0</v>
      </c>
      <c r="AH155" s="31">
        <v>0</v>
      </c>
      <c r="AI155" s="31">
        <v>0</v>
      </c>
      <c r="AL155" s="31">
        <f t="shared" si="12"/>
        <v>0</v>
      </c>
      <c r="AM155" s="31">
        <f t="shared" si="13"/>
        <v>0</v>
      </c>
      <c r="AN155" s="31">
        <f t="shared" si="14"/>
        <v>0</v>
      </c>
      <c r="AP155" s="31">
        <f>VLOOKUP($B155,Kraftvärmeprod!$B$1:$BX$549,MATCH(AP$1,Kraftvärmeprod!$B$1:$BX$1,0),FALSE)</f>
        <v>0</v>
      </c>
      <c r="AQ155" s="31">
        <f>VLOOKUP($B155,Kraftvärmeprod!$B$1:$BX$549,MATCH(AQ$1,Kraftvärmeprod!$B$1:$BX$1,0),FALSE)</f>
        <v>0</v>
      </c>
      <c r="AR155" s="31">
        <f>VLOOKUP($B155,Kraftvärmeprod!$B$1:$BX$549,MATCH("Summa tillförd energi exklusive rökgaskondensering",Kraftvärmeprod!$B$1:$BX$1,0),FALSE)</f>
        <v>0</v>
      </c>
      <c r="AT155" s="32" t="str">
        <f t="shared" si="15"/>
        <v/>
      </c>
      <c r="AV155" s="31">
        <f t="shared" si="16"/>
        <v>0</v>
      </c>
      <c r="AX155" s="31" t="str">
        <f>VLOOKUP(B155,Totalt!$B$1:$BZ$554,MATCH(AX$1,Totalt!$B$1:$BZ$1,0),FALSE)</f>
        <v>Ja</v>
      </c>
      <c r="BA155" s="32" t="str">
        <f t="shared" si="17"/>
        <v/>
      </c>
    </row>
    <row r="156" spans="1:53" x14ac:dyDescent="0.45">
      <c r="A156" s="31" t="s">
        <v>476</v>
      </c>
      <c r="B156" s="31" t="s">
        <v>89</v>
      </c>
      <c r="J156" s="31">
        <v>0</v>
      </c>
      <c r="K156" s="31">
        <v>0</v>
      </c>
      <c r="L156" s="31">
        <v>0</v>
      </c>
      <c r="M156" s="31">
        <v>0</v>
      </c>
      <c r="N156" s="31">
        <v>0</v>
      </c>
      <c r="O156" s="31">
        <v>0</v>
      </c>
      <c r="P156" s="31">
        <v>0</v>
      </c>
      <c r="Q156" s="31">
        <v>0</v>
      </c>
      <c r="R156" s="31">
        <v>0</v>
      </c>
      <c r="S156" s="31">
        <v>0</v>
      </c>
      <c r="T156" s="31">
        <v>0</v>
      </c>
      <c r="U156" s="31">
        <v>0</v>
      </c>
      <c r="W156" s="31">
        <v>0</v>
      </c>
      <c r="X156" s="31">
        <v>0</v>
      </c>
      <c r="Y156" s="31">
        <v>0</v>
      </c>
      <c r="Z156" s="31">
        <v>0</v>
      </c>
      <c r="AA156" s="31">
        <v>0</v>
      </c>
      <c r="AB156" s="31">
        <v>0</v>
      </c>
      <c r="AC156" s="31">
        <v>0</v>
      </c>
      <c r="AD156" s="31">
        <v>0</v>
      </c>
      <c r="AE156" s="31">
        <v>0</v>
      </c>
      <c r="AF156" s="31">
        <v>0</v>
      </c>
      <c r="AG156" s="31">
        <v>0</v>
      </c>
      <c r="AH156" s="31">
        <v>0</v>
      </c>
      <c r="AI156" s="31">
        <v>0</v>
      </c>
      <c r="AL156" s="31">
        <f t="shared" si="12"/>
        <v>0</v>
      </c>
      <c r="AM156" s="31">
        <f t="shared" si="13"/>
        <v>0</v>
      </c>
      <c r="AN156" s="31">
        <f t="shared" si="14"/>
        <v>0</v>
      </c>
      <c r="AP156" s="31">
        <f>VLOOKUP($B156,Kraftvärmeprod!$B$1:$BX$549,MATCH(AP$1,Kraftvärmeprod!$B$1:$BX$1,0),FALSE)</f>
        <v>0</v>
      </c>
      <c r="AQ156" s="31">
        <f>VLOOKUP($B156,Kraftvärmeprod!$B$1:$BX$549,MATCH(AQ$1,Kraftvärmeprod!$B$1:$BX$1,0),FALSE)</f>
        <v>0</v>
      </c>
      <c r="AR156" s="31">
        <f>VLOOKUP($B156,Kraftvärmeprod!$B$1:$BX$549,MATCH("Summa tillförd energi exklusive rökgaskondensering",Kraftvärmeprod!$B$1:$BX$1,0),FALSE)</f>
        <v>0</v>
      </c>
      <c r="AT156" s="32" t="str">
        <f t="shared" si="15"/>
        <v/>
      </c>
      <c r="AV156" s="31">
        <f t="shared" si="16"/>
        <v>0</v>
      </c>
      <c r="AX156" s="31" t="str">
        <f>VLOOKUP(B156,Totalt!$B$1:$BZ$554,MATCH(AX$1,Totalt!$B$1:$BZ$1,0),FALSE)</f>
        <v>Nej</v>
      </c>
      <c r="BA156" s="32" t="str">
        <f t="shared" si="17"/>
        <v/>
      </c>
    </row>
    <row r="157" spans="1:53" x14ac:dyDescent="0.45">
      <c r="A157" s="31" t="s">
        <v>472</v>
      </c>
      <c r="B157" s="31" t="s">
        <v>475</v>
      </c>
      <c r="J157" s="31">
        <v>0</v>
      </c>
      <c r="K157" s="31">
        <v>0</v>
      </c>
      <c r="L157" s="31">
        <v>0</v>
      </c>
      <c r="M157" s="31">
        <v>0</v>
      </c>
      <c r="N157" s="31">
        <v>0</v>
      </c>
      <c r="O157" s="31">
        <v>0</v>
      </c>
      <c r="P157" s="31">
        <v>0</v>
      </c>
      <c r="Q157" s="31">
        <v>0</v>
      </c>
      <c r="R157" s="31">
        <v>0</v>
      </c>
      <c r="S157" s="31">
        <v>0</v>
      </c>
      <c r="T157" s="31">
        <v>0</v>
      </c>
      <c r="U157" s="31">
        <v>0</v>
      </c>
      <c r="W157" s="31">
        <v>0</v>
      </c>
      <c r="X157" s="31">
        <v>0</v>
      </c>
      <c r="Y157" s="31">
        <v>0</v>
      </c>
      <c r="Z157" s="31">
        <v>0</v>
      </c>
      <c r="AA157" s="31">
        <v>0</v>
      </c>
      <c r="AB157" s="31">
        <v>0</v>
      </c>
      <c r="AC157" s="31">
        <v>0</v>
      </c>
      <c r="AD157" s="31">
        <v>0</v>
      </c>
      <c r="AE157" s="31">
        <v>0</v>
      </c>
      <c r="AF157" s="31">
        <v>0</v>
      </c>
      <c r="AG157" s="31">
        <v>0</v>
      </c>
      <c r="AH157" s="31">
        <v>0</v>
      </c>
      <c r="AI157" s="31">
        <v>0</v>
      </c>
      <c r="AL157" s="31">
        <f t="shared" si="12"/>
        <v>0</v>
      </c>
      <c r="AM157" s="31">
        <f t="shared" si="13"/>
        <v>0</v>
      </c>
      <c r="AN157" s="31">
        <f t="shared" si="14"/>
        <v>0</v>
      </c>
      <c r="AP157" s="31">
        <f>VLOOKUP($B157,Kraftvärmeprod!$B$1:$BX$549,MATCH(AP$1,Kraftvärmeprod!$B$1:$BX$1,0),FALSE)</f>
        <v>0</v>
      </c>
      <c r="AQ157" s="31">
        <f>VLOOKUP($B157,Kraftvärmeprod!$B$1:$BX$549,MATCH(AQ$1,Kraftvärmeprod!$B$1:$BX$1,0),FALSE)</f>
        <v>0</v>
      </c>
      <c r="AR157" s="31">
        <f>VLOOKUP($B157,Kraftvärmeprod!$B$1:$BX$549,MATCH("Summa tillförd energi exklusive rökgaskondensering",Kraftvärmeprod!$B$1:$BX$1,0),FALSE)</f>
        <v>0</v>
      </c>
      <c r="AT157" s="32" t="str">
        <f t="shared" si="15"/>
        <v/>
      </c>
      <c r="AV157" s="31">
        <f t="shared" si="16"/>
        <v>0</v>
      </c>
      <c r="AX157" s="31" t="str">
        <f>VLOOKUP(B157,Totalt!$B$1:$BZ$554,MATCH(AX$1,Totalt!$B$1:$BZ$1,0),FALSE)</f>
        <v>Ja</v>
      </c>
      <c r="BA157" s="32" t="str">
        <f t="shared" si="17"/>
        <v/>
      </c>
    </row>
    <row r="158" spans="1:53" x14ac:dyDescent="0.45">
      <c r="A158" s="31" t="s">
        <v>472</v>
      </c>
      <c r="B158" s="31" t="s">
        <v>474</v>
      </c>
      <c r="J158" s="31">
        <v>0</v>
      </c>
      <c r="K158" s="31">
        <v>0</v>
      </c>
      <c r="L158" s="31">
        <v>0</v>
      </c>
      <c r="M158" s="31">
        <v>0</v>
      </c>
      <c r="N158" s="31">
        <v>0</v>
      </c>
      <c r="O158" s="31">
        <v>0</v>
      </c>
      <c r="P158" s="31">
        <v>0</v>
      </c>
      <c r="Q158" s="31">
        <v>0</v>
      </c>
      <c r="R158" s="31">
        <v>0</v>
      </c>
      <c r="S158" s="31">
        <v>0</v>
      </c>
      <c r="T158" s="31">
        <v>0</v>
      </c>
      <c r="U158" s="31">
        <v>0</v>
      </c>
      <c r="W158" s="31">
        <v>0</v>
      </c>
      <c r="X158" s="31">
        <v>0</v>
      </c>
      <c r="Y158" s="31">
        <v>0</v>
      </c>
      <c r="Z158" s="31">
        <v>0</v>
      </c>
      <c r="AA158" s="31">
        <v>0</v>
      </c>
      <c r="AB158" s="31">
        <v>0</v>
      </c>
      <c r="AC158" s="31">
        <v>0</v>
      </c>
      <c r="AD158" s="31">
        <v>0</v>
      </c>
      <c r="AE158" s="31">
        <v>0</v>
      </c>
      <c r="AF158" s="31">
        <v>0</v>
      </c>
      <c r="AG158" s="31">
        <v>0</v>
      </c>
      <c r="AH158" s="31">
        <v>0</v>
      </c>
      <c r="AI158" s="31">
        <v>0</v>
      </c>
      <c r="AL158" s="31">
        <f t="shared" si="12"/>
        <v>0</v>
      </c>
      <c r="AM158" s="31">
        <f t="shared" si="13"/>
        <v>0</v>
      </c>
      <c r="AN158" s="31">
        <f t="shared" si="14"/>
        <v>0</v>
      </c>
      <c r="AP158" s="31">
        <f>VLOOKUP($B158,Kraftvärmeprod!$B$1:$BX$549,MATCH(AP$1,Kraftvärmeprod!$B$1:$BX$1,0),FALSE)</f>
        <v>0</v>
      </c>
      <c r="AQ158" s="31">
        <f>VLOOKUP($B158,Kraftvärmeprod!$B$1:$BX$549,MATCH(AQ$1,Kraftvärmeprod!$B$1:$BX$1,0),FALSE)</f>
        <v>0</v>
      </c>
      <c r="AR158" s="31">
        <f>VLOOKUP($B158,Kraftvärmeprod!$B$1:$BX$549,MATCH("Summa tillförd energi exklusive rökgaskondensering",Kraftvärmeprod!$B$1:$BX$1,0),FALSE)</f>
        <v>0</v>
      </c>
      <c r="AT158" s="32" t="str">
        <f t="shared" si="15"/>
        <v/>
      </c>
      <c r="AV158" s="31">
        <f t="shared" si="16"/>
        <v>0</v>
      </c>
      <c r="AX158" s="31" t="str">
        <f>VLOOKUP(B158,Totalt!$B$1:$BZ$554,MATCH(AX$1,Totalt!$B$1:$BZ$1,0),FALSE)</f>
        <v>Ja</v>
      </c>
      <c r="BA158" s="32" t="str">
        <f t="shared" si="17"/>
        <v/>
      </c>
    </row>
    <row r="159" spans="1:53" x14ac:dyDescent="0.45">
      <c r="A159" s="31" t="s">
        <v>472</v>
      </c>
      <c r="B159" s="31" t="s">
        <v>473</v>
      </c>
      <c r="J159" s="31">
        <v>0</v>
      </c>
      <c r="K159" s="31">
        <v>0</v>
      </c>
      <c r="L159" s="31">
        <v>0</v>
      </c>
      <c r="M159" s="31">
        <v>0</v>
      </c>
      <c r="N159" s="31">
        <v>0</v>
      </c>
      <c r="O159" s="31">
        <v>0</v>
      </c>
      <c r="P159" s="31">
        <v>0</v>
      </c>
      <c r="Q159" s="31">
        <v>0</v>
      </c>
      <c r="R159" s="31">
        <v>0</v>
      </c>
      <c r="S159" s="31">
        <v>0</v>
      </c>
      <c r="T159" s="31">
        <v>0</v>
      </c>
      <c r="U159" s="31">
        <v>0</v>
      </c>
      <c r="W159" s="31">
        <v>0</v>
      </c>
      <c r="X159" s="31">
        <v>0</v>
      </c>
      <c r="Y159" s="31">
        <v>0</v>
      </c>
      <c r="Z159" s="31">
        <v>0</v>
      </c>
      <c r="AA159" s="31">
        <v>0</v>
      </c>
      <c r="AB159" s="31">
        <v>0</v>
      </c>
      <c r="AC159" s="31">
        <v>0</v>
      </c>
      <c r="AD159" s="31">
        <v>0</v>
      </c>
      <c r="AE159" s="31">
        <v>0</v>
      </c>
      <c r="AF159" s="31">
        <v>0</v>
      </c>
      <c r="AG159" s="31">
        <v>0</v>
      </c>
      <c r="AH159" s="31">
        <v>0</v>
      </c>
      <c r="AI159" s="31">
        <v>0</v>
      </c>
      <c r="AL159" s="31">
        <f t="shared" si="12"/>
        <v>0</v>
      </c>
      <c r="AM159" s="31">
        <f t="shared" si="13"/>
        <v>0</v>
      </c>
      <c r="AN159" s="31">
        <f t="shared" si="14"/>
        <v>0</v>
      </c>
      <c r="AP159" s="31">
        <f>VLOOKUP($B159,Kraftvärmeprod!$B$1:$BX$549,MATCH(AP$1,Kraftvärmeprod!$B$1:$BX$1,0),FALSE)</f>
        <v>0</v>
      </c>
      <c r="AQ159" s="31">
        <f>VLOOKUP($B159,Kraftvärmeprod!$B$1:$BX$549,MATCH(AQ$1,Kraftvärmeprod!$B$1:$BX$1,0),FALSE)</f>
        <v>0</v>
      </c>
      <c r="AR159" s="31">
        <f>VLOOKUP($B159,Kraftvärmeprod!$B$1:$BX$549,MATCH("Summa tillförd energi exklusive rökgaskondensering",Kraftvärmeprod!$B$1:$BX$1,0),FALSE)</f>
        <v>0</v>
      </c>
      <c r="AT159" s="32" t="str">
        <f t="shared" si="15"/>
        <v/>
      </c>
      <c r="AV159" s="31">
        <f t="shared" si="16"/>
        <v>0</v>
      </c>
      <c r="AX159" s="31" t="str">
        <f>VLOOKUP(B159,Totalt!$B$1:$BZ$554,MATCH(AX$1,Totalt!$B$1:$BZ$1,0),FALSE)</f>
        <v>Ja</v>
      </c>
      <c r="BA159" s="32" t="str">
        <f t="shared" si="17"/>
        <v/>
      </c>
    </row>
    <row r="160" spans="1:53" x14ac:dyDescent="0.45">
      <c r="A160" s="31" t="s">
        <v>472</v>
      </c>
      <c r="B160" s="31" t="s">
        <v>471</v>
      </c>
      <c r="J160" s="31">
        <v>0</v>
      </c>
      <c r="K160" s="31">
        <v>0</v>
      </c>
      <c r="L160" s="31">
        <v>0</v>
      </c>
      <c r="M160" s="31">
        <v>0</v>
      </c>
      <c r="N160" s="31">
        <v>0</v>
      </c>
      <c r="O160" s="31">
        <v>0</v>
      </c>
      <c r="P160" s="31">
        <v>0</v>
      </c>
      <c r="Q160" s="31">
        <v>0</v>
      </c>
      <c r="R160" s="31">
        <v>0</v>
      </c>
      <c r="S160" s="31">
        <v>0</v>
      </c>
      <c r="T160" s="31">
        <v>0</v>
      </c>
      <c r="U160" s="31">
        <v>0</v>
      </c>
      <c r="W160" s="31">
        <v>0</v>
      </c>
      <c r="X160" s="31">
        <v>0</v>
      </c>
      <c r="Y160" s="31">
        <v>0</v>
      </c>
      <c r="Z160" s="31">
        <v>0</v>
      </c>
      <c r="AA160" s="31">
        <v>0</v>
      </c>
      <c r="AB160" s="31">
        <v>0</v>
      </c>
      <c r="AC160" s="31">
        <v>0</v>
      </c>
      <c r="AD160" s="31">
        <v>0</v>
      </c>
      <c r="AE160" s="31">
        <v>0</v>
      </c>
      <c r="AF160" s="31">
        <v>0</v>
      </c>
      <c r="AG160" s="31">
        <v>0</v>
      </c>
      <c r="AH160" s="31">
        <v>0</v>
      </c>
      <c r="AI160" s="31">
        <v>0</v>
      </c>
      <c r="AL160" s="31">
        <f t="shared" si="12"/>
        <v>0</v>
      </c>
      <c r="AM160" s="31">
        <f t="shared" si="13"/>
        <v>0</v>
      </c>
      <c r="AN160" s="31">
        <f t="shared" si="14"/>
        <v>0</v>
      </c>
      <c r="AP160" s="31">
        <f>VLOOKUP($B160,Kraftvärmeprod!$B$1:$BX$549,MATCH(AP$1,Kraftvärmeprod!$B$1:$BX$1,0),FALSE)</f>
        <v>0</v>
      </c>
      <c r="AQ160" s="31">
        <f>VLOOKUP($B160,Kraftvärmeprod!$B$1:$BX$549,MATCH(AQ$1,Kraftvärmeprod!$B$1:$BX$1,0),FALSE)</f>
        <v>0</v>
      </c>
      <c r="AR160" s="31">
        <f>VLOOKUP($B160,Kraftvärmeprod!$B$1:$BX$549,MATCH("Summa tillförd energi exklusive rökgaskondensering",Kraftvärmeprod!$B$1:$BX$1,0),FALSE)</f>
        <v>0</v>
      </c>
      <c r="AT160" s="32" t="str">
        <f t="shared" si="15"/>
        <v/>
      </c>
      <c r="AV160" s="31">
        <f t="shared" si="16"/>
        <v>0</v>
      </c>
      <c r="AX160" s="31" t="str">
        <f>VLOOKUP(B160,Totalt!$B$1:$BZ$554,MATCH(AX$1,Totalt!$B$1:$BZ$1,0),FALSE)</f>
        <v>Ja</v>
      </c>
      <c r="BA160" s="32" t="str">
        <f t="shared" si="17"/>
        <v/>
      </c>
    </row>
    <row r="161" spans="1:53" x14ac:dyDescent="0.45">
      <c r="A161" s="31" t="s">
        <v>470</v>
      </c>
      <c r="B161" s="31" t="s">
        <v>469</v>
      </c>
      <c r="J161" s="31">
        <v>0</v>
      </c>
      <c r="K161" s="31">
        <v>0</v>
      </c>
      <c r="L161" s="31">
        <v>0</v>
      </c>
      <c r="M161" s="31">
        <v>0</v>
      </c>
      <c r="N161" s="31">
        <v>0</v>
      </c>
      <c r="O161" s="31">
        <v>0</v>
      </c>
      <c r="P161" s="31">
        <v>0</v>
      </c>
      <c r="Q161" s="31">
        <v>0</v>
      </c>
      <c r="R161" s="31">
        <v>0</v>
      </c>
      <c r="S161" s="31">
        <v>0</v>
      </c>
      <c r="T161" s="31">
        <v>0</v>
      </c>
      <c r="U161" s="31">
        <v>0</v>
      </c>
      <c r="W161" s="31">
        <v>0</v>
      </c>
      <c r="X161" s="31">
        <v>0</v>
      </c>
      <c r="Y161" s="31">
        <v>0</v>
      </c>
      <c r="Z161" s="31">
        <v>0</v>
      </c>
      <c r="AA161" s="31">
        <v>0</v>
      </c>
      <c r="AB161" s="31">
        <v>0</v>
      </c>
      <c r="AC161" s="31">
        <v>0</v>
      </c>
      <c r="AD161" s="31">
        <v>0</v>
      </c>
      <c r="AE161" s="31">
        <v>0</v>
      </c>
      <c r="AF161" s="31">
        <v>0</v>
      </c>
      <c r="AG161" s="31">
        <v>0</v>
      </c>
      <c r="AH161" s="31">
        <v>0</v>
      </c>
      <c r="AI161" s="31">
        <v>0</v>
      </c>
      <c r="AL161" s="31">
        <f t="shared" si="12"/>
        <v>0</v>
      </c>
      <c r="AM161" s="31">
        <f t="shared" si="13"/>
        <v>0</v>
      </c>
      <c r="AN161" s="31">
        <f t="shared" si="14"/>
        <v>0</v>
      </c>
      <c r="AP161" s="31">
        <f>VLOOKUP($B161,Kraftvärmeprod!$B$1:$BX$549,MATCH(AP$1,Kraftvärmeprod!$B$1:$BX$1,0),FALSE)</f>
        <v>0</v>
      </c>
      <c r="AQ161" s="31">
        <f>VLOOKUP($B161,Kraftvärmeprod!$B$1:$BX$549,MATCH(AQ$1,Kraftvärmeprod!$B$1:$BX$1,0),FALSE)</f>
        <v>0</v>
      </c>
      <c r="AR161" s="31">
        <f>VLOOKUP($B161,Kraftvärmeprod!$B$1:$BX$549,MATCH("Summa tillförd energi exklusive rökgaskondensering",Kraftvärmeprod!$B$1:$BX$1,0),FALSE)</f>
        <v>0</v>
      </c>
      <c r="AT161" s="32" t="str">
        <f t="shared" si="15"/>
        <v/>
      </c>
      <c r="AV161" s="31">
        <f t="shared" si="16"/>
        <v>0</v>
      </c>
      <c r="AX161" s="31" t="str">
        <f>VLOOKUP(B161,Totalt!$B$1:$BZ$554,MATCH(AX$1,Totalt!$B$1:$BZ$1,0),FALSE)</f>
        <v>Ja</v>
      </c>
      <c r="BA161" s="32" t="str">
        <f t="shared" si="17"/>
        <v/>
      </c>
    </row>
    <row r="162" spans="1:53" x14ac:dyDescent="0.45">
      <c r="A162" s="31" t="s">
        <v>467</v>
      </c>
      <c r="B162" s="31" t="s">
        <v>466</v>
      </c>
      <c r="J162" s="31">
        <v>0</v>
      </c>
      <c r="K162" s="31">
        <v>0</v>
      </c>
      <c r="L162" s="31">
        <v>0</v>
      </c>
      <c r="M162" s="31">
        <v>0</v>
      </c>
      <c r="N162" s="31">
        <v>0</v>
      </c>
      <c r="O162" s="31">
        <v>0</v>
      </c>
      <c r="P162" s="31">
        <v>0</v>
      </c>
      <c r="Q162" s="31">
        <v>0</v>
      </c>
      <c r="R162" s="31">
        <v>0</v>
      </c>
      <c r="S162" s="31">
        <v>0</v>
      </c>
      <c r="T162" s="31">
        <v>0</v>
      </c>
      <c r="U162" s="31">
        <v>0</v>
      </c>
      <c r="W162" s="31">
        <v>0</v>
      </c>
      <c r="X162" s="31">
        <v>0</v>
      </c>
      <c r="Y162" s="31">
        <v>0</v>
      </c>
      <c r="Z162" s="31">
        <v>0</v>
      </c>
      <c r="AA162" s="31">
        <v>0</v>
      </c>
      <c r="AB162" s="31">
        <v>0</v>
      </c>
      <c r="AC162" s="31">
        <v>0</v>
      </c>
      <c r="AD162" s="31">
        <v>0</v>
      </c>
      <c r="AE162" s="31">
        <v>25.474299999999999</v>
      </c>
      <c r="AF162" s="31">
        <v>0</v>
      </c>
      <c r="AG162" s="31">
        <v>0</v>
      </c>
      <c r="AH162" s="31">
        <v>1.202</v>
      </c>
      <c r="AI162" s="31">
        <v>0</v>
      </c>
      <c r="AL162" s="31">
        <f t="shared" si="12"/>
        <v>26.676299999999998</v>
      </c>
      <c r="AM162" s="31">
        <f t="shared" si="13"/>
        <v>26.676299999999998</v>
      </c>
      <c r="AN162" s="31">
        <f t="shared" si="14"/>
        <v>25.474299999999999</v>
      </c>
      <c r="AP162" s="31">
        <f>VLOOKUP($B162,Kraftvärmeprod!$B$1:$BX$549,MATCH(AP$1,Kraftvärmeprod!$B$1:$BX$1,0),FALSE)</f>
        <v>66.456999999999994</v>
      </c>
      <c r="AQ162" s="31">
        <f>VLOOKUP($B162,Kraftvärmeprod!$B$1:$BX$549,MATCH(AQ$1,Kraftvärmeprod!$B$1:$BX$1,0),FALSE)</f>
        <v>10.099</v>
      </c>
      <c r="AR162" s="31">
        <f>VLOOKUP($B162,Kraftvärmeprod!$B$1:$BX$549,MATCH("Summa tillförd energi exklusive rökgaskondensering",Kraftvärmeprod!$B$1:$BX$1,0),FALSE)</f>
        <v>37.862000000000002</v>
      </c>
      <c r="AT162" s="32">
        <f t="shared" si="15"/>
        <v>0.67281971369711047</v>
      </c>
      <c r="AV162" s="31">
        <f t="shared" si="16"/>
        <v>0</v>
      </c>
      <c r="AX162" s="31" t="str">
        <f>VLOOKUP(B162,Totalt!$B$1:$BZ$554,MATCH(AX$1,Totalt!$B$1:$BZ$1,0),FALSE)</f>
        <v>Ja</v>
      </c>
      <c r="BA162" s="32">
        <f t="shared" si="17"/>
        <v>2.6087861099225491</v>
      </c>
    </row>
    <row r="163" spans="1:53" x14ac:dyDescent="0.45">
      <c r="A163" s="31" t="s">
        <v>467</v>
      </c>
      <c r="B163" s="31" t="s">
        <v>468</v>
      </c>
      <c r="J163" s="31">
        <v>0</v>
      </c>
      <c r="K163" s="31">
        <v>0</v>
      </c>
      <c r="L163" s="31">
        <v>0</v>
      </c>
      <c r="M163" s="31">
        <v>0</v>
      </c>
      <c r="N163" s="31">
        <v>0</v>
      </c>
      <c r="O163" s="31">
        <v>0</v>
      </c>
      <c r="P163" s="31">
        <v>0</v>
      </c>
      <c r="Q163" s="31">
        <v>0</v>
      </c>
      <c r="R163" s="31">
        <v>0</v>
      </c>
      <c r="S163" s="31">
        <v>0</v>
      </c>
      <c r="T163" s="31">
        <v>0</v>
      </c>
      <c r="U163" s="31">
        <v>0</v>
      </c>
      <c r="W163" s="31">
        <v>0</v>
      </c>
      <c r="X163" s="31">
        <v>0</v>
      </c>
      <c r="Y163" s="31">
        <v>0</v>
      </c>
      <c r="Z163" s="31">
        <v>0</v>
      </c>
      <c r="AA163" s="31">
        <v>0</v>
      </c>
      <c r="AB163" s="31">
        <v>0</v>
      </c>
      <c r="AC163" s="31">
        <v>0</v>
      </c>
      <c r="AD163" s="31">
        <v>0</v>
      </c>
      <c r="AE163" s="31">
        <v>52.213000000000001</v>
      </c>
      <c r="AF163" s="31">
        <v>0</v>
      </c>
      <c r="AG163" s="31">
        <v>0</v>
      </c>
      <c r="AH163" s="31">
        <v>0</v>
      </c>
      <c r="AI163" s="31">
        <v>7.133</v>
      </c>
      <c r="AL163" s="31">
        <f t="shared" si="12"/>
        <v>59.346000000000004</v>
      </c>
      <c r="AM163" s="31">
        <f t="shared" si="13"/>
        <v>52.213000000000001</v>
      </c>
      <c r="AN163" s="31">
        <f t="shared" si="14"/>
        <v>52.213000000000001</v>
      </c>
      <c r="AP163" s="31">
        <f>VLOOKUP($B163,Kraftvärmeprod!$B$1:$BX$549,MATCH(AP$1,Kraftvärmeprod!$B$1:$BX$1,0),FALSE)</f>
        <v>64.001999999999995</v>
      </c>
      <c r="AQ163" s="31">
        <f>VLOOKUP($B163,Kraftvärmeprod!$B$1:$BX$549,MATCH(AQ$1,Kraftvärmeprod!$B$1:$BX$1,0),FALSE)</f>
        <v>0</v>
      </c>
      <c r="AR163" s="31">
        <f>VLOOKUP($B163,Kraftvärmeprod!$B$1:$BX$549,MATCH("Summa tillförd energi exklusive rökgaskondensering",Kraftvärmeprod!$B$1:$BX$1,0),FALSE)</f>
        <v>52.213000000000001</v>
      </c>
      <c r="AT163" s="32">
        <f t="shared" si="15"/>
        <v>1</v>
      </c>
      <c r="AV163" s="31">
        <f t="shared" si="16"/>
        <v>0</v>
      </c>
      <c r="AX163" s="31" t="str">
        <f>VLOOKUP(B163,Totalt!$B$1:$BZ$554,MATCH(AX$1,Totalt!$B$1:$BZ$1,0),FALSE)</f>
        <v>Ja</v>
      </c>
      <c r="BA163" s="32">
        <f t="shared" si="17"/>
        <v>1.0784551612577089</v>
      </c>
    </row>
    <row r="164" spans="1:53" x14ac:dyDescent="0.45">
      <c r="A164" s="31" t="s">
        <v>465</v>
      </c>
      <c r="B164" s="31" t="s">
        <v>464</v>
      </c>
      <c r="J164" s="31">
        <v>0</v>
      </c>
      <c r="K164" s="31">
        <v>0</v>
      </c>
      <c r="L164" s="31">
        <v>0</v>
      </c>
      <c r="M164" s="31">
        <v>0</v>
      </c>
      <c r="N164" s="31">
        <v>0</v>
      </c>
      <c r="O164" s="31">
        <v>0</v>
      </c>
      <c r="P164" s="31">
        <v>0</v>
      </c>
      <c r="Q164" s="31">
        <v>0</v>
      </c>
      <c r="R164" s="31">
        <v>0</v>
      </c>
      <c r="S164" s="31">
        <v>0</v>
      </c>
      <c r="T164" s="31">
        <v>0</v>
      </c>
      <c r="U164" s="31">
        <v>0</v>
      </c>
      <c r="W164" s="31">
        <v>0</v>
      </c>
      <c r="X164" s="31">
        <v>0</v>
      </c>
      <c r="Y164" s="31">
        <v>0</v>
      </c>
      <c r="Z164" s="31">
        <v>0</v>
      </c>
      <c r="AA164" s="31">
        <v>0</v>
      </c>
      <c r="AB164" s="31">
        <v>0</v>
      </c>
      <c r="AC164" s="31">
        <v>0</v>
      </c>
      <c r="AD164" s="31">
        <v>0</v>
      </c>
      <c r="AE164" s="31">
        <v>0</v>
      </c>
      <c r="AF164" s="31">
        <v>0</v>
      </c>
      <c r="AG164" s="31">
        <v>0</v>
      </c>
      <c r="AH164" s="31">
        <v>0</v>
      </c>
      <c r="AI164" s="31">
        <v>0</v>
      </c>
      <c r="AL164" s="31">
        <f t="shared" si="12"/>
        <v>0</v>
      </c>
      <c r="AM164" s="31">
        <f t="shared" si="13"/>
        <v>0</v>
      </c>
      <c r="AN164" s="31">
        <f t="shared" si="14"/>
        <v>0</v>
      </c>
      <c r="AP164" s="31">
        <f>VLOOKUP($B164,Kraftvärmeprod!$B$1:$BX$549,MATCH(AP$1,Kraftvärmeprod!$B$1:$BX$1,0),FALSE)</f>
        <v>0</v>
      </c>
      <c r="AQ164" s="31">
        <f>VLOOKUP($B164,Kraftvärmeprod!$B$1:$BX$549,MATCH(AQ$1,Kraftvärmeprod!$B$1:$BX$1,0),FALSE)</f>
        <v>0</v>
      </c>
      <c r="AR164" s="31">
        <f>VLOOKUP($B164,Kraftvärmeprod!$B$1:$BX$549,MATCH("Summa tillförd energi exklusive rökgaskondensering",Kraftvärmeprod!$B$1:$BX$1,0),FALSE)</f>
        <v>0</v>
      </c>
      <c r="AT164" s="32" t="str">
        <f t="shared" si="15"/>
        <v/>
      </c>
      <c r="AV164" s="31">
        <f t="shared" si="16"/>
        <v>0</v>
      </c>
      <c r="AX164" s="31" t="str">
        <f>VLOOKUP(B164,Totalt!$B$1:$BZ$554,MATCH(AX$1,Totalt!$B$1:$BZ$1,0),FALSE)</f>
        <v>Ja</v>
      </c>
      <c r="BA164" s="32" t="str">
        <f t="shared" si="17"/>
        <v/>
      </c>
    </row>
    <row r="165" spans="1:53" x14ac:dyDescent="0.45">
      <c r="A165" s="31" t="s">
        <v>459</v>
      </c>
      <c r="B165" s="31" t="s">
        <v>463</v>
      </c>
      <c r="J165" s="31">
        <v>0</v>
      </c>
      <c r="K165" s="31">
        <v>0</v>
      </c>
      <c r="L165" s="31">
        <v>0</v>
      </c>
      <c r="M165" s="31">
        <v>0</v>
      </c>
      <c r="N165" s="31">
        <v>0</v>
      </c>
      <c r="O165" s="31">
        <v>0</v>
      </c>
      <c r="P165" s="31">
        <v>0</v>
      </c>
      <c r="Q165" s="31">
        <v>0</v>
      </c>
      <c r="R165" s="31">
        <v>0</v>
      </c>
      <c r="S165" s="31">
        <v>0</v>
      </c>
      <c r="T165" s="31">
        <v>0</v>
      </c>
      <c r="U165" s="31">
        <v>0</v>
      </c>
      <c r="W165" s="31">
        <v>0</v>
      </c>
      <c r="X165" s="31">
        <v>0</v>
      </c>
      <c r="Y165" s="31">
        <v>0</v>
      </c>
      <c r="Z165" s="31">
        <v>0</v>
      </c>
      <c r="AA165" s="31">
        <v>0</v>
      </c>
      <c r="AB165" s="31">
        <v>0</v>
      </c>
      <c r="AC165" s="31">
        <v>0</v>
      </c>
      <c r="AD165" s="31">
        <v>0</v>
      </c>
      <c r="AE165" s="31">
        <v>0</v>
      </c>
      <c r="AF165" s="31">
        <v>0</v>
      </c>
      <c r="AG165" s="31">
        <v>0</v>
      </c>
      <c r="AH165" s="31">
        <v>0</v>
      </c>
      <c r="AI165" s="31">
        <v>0</v>
      </c>
      <c r="AL165" s="31">
        <f t="shared" si="12"/>
        <v>0</v>
      </c>
      <c r="AM165" s="31">
        <f t="shared" si="13"/>
        <v>0</v>
      </c>
      <c r="AN165" s="31">
        <f t="shared" si="14"/>
        <v>0</v>
      </c>
      <c r="AP165" s="31">
        <f>VLOOKUP($B165,Kraftvärmeprod!$B$1:$BX$549,MATCH(AP$1,Kraftvärmeprod!$B$1:$BX$1,0),FALSE)</f>
        <v>0</v>
      </c>
      <c r="AQ165" s="31">
        <f>VLOOKUP($B165,Kraftvärmeprod!$B$1:$BX$549,MATCH(AQ$1,Kraftvärmeprod!$B$1:$BX$1,0),FALSE)</f>
        <v>0</v>
      </c>
      <c r="AR165" s="31">
        <f>VLOOKUP($B165,Kraftvärmeprod!$B$1:$BX$549,MATCH("Summa tillförd energi exklusive rökgaskondensering",Kraftvärmeprod!$B$1:$BX$1,0),FALSE)</f>
        <v>0</v>
      </c>
      <c r="AT165" s="32" t="str">
        <f t="shared" si="15"/>
        <v/>
      </c>
      <c r="AV165" s="31">
        <f t="shared" si="16"/>
        <v>0</v>
      </c>
      <c r="AX165" s="31" t="str">
        <f>VLOOKUP(B165,Totalt!$B$1:$BZ$554,MATCH(AX$1,Totalt!$B$1:$BZ$1,0),FALSE)</f>
        <v>Ja</v>
      </c>
      <c r="BA165" s="32" t="str">
        <f t="shared" si="17"/>
        <v/>
      </c>
    </row>
    <row r="166" spans="1:53" x14ac:dyDescent="0.45">
      <c r="A166" s="31" t="s">
        <v>459</v>
      </c>
      <c r="B166" s="31" t="s">
        <v>461</v>
      </c>
      <c r="J166" s="31">
        <v>0</v>
      </c>
      <c r="K166" s="31">
        <v>0</v>
      </c>
      <c r="L166" s="31">
        <v>0</v>
      </c>
      <c r="M166" s="31">
        <v>0</v>
      </c>
      <c r="N166" s="31">
        <v>0</v>
      </c>
      <c r="O166" s="31">
        <v>0</v>
      </c>
      <c r="P166" s="31">
        <v>0</v>
      </c>
      <c r="Q166" s="31">
        <v>0</v>
      </c>
      <c r="R166" s="31">
        <v>0</v>
      </c>
      <c r="S166" s="31">
        <v>0</v>
      </c>
      <c r="T166" s="31">
        <v>0</v>
      </c>
      <c r="U166" s="31">
        <v>0</v>
      </c>
      <c r="W166" s="31">
        <v>0</v>
      </c>
      <c r="X166" s="31">
        <v>0</v>
      </c>
      <c r="Y166" s="31">
        <v>0</v>
      </c>
      <c r="Z166" s="31">
        <v>0</v>
      </c>
      <c r="AA166" s="31">
        <v>0</v>
      </c>
      <c r="AB166" s="31">
        <v>0</v>
      </c>
      <c r="AC166" s="31">
        <v>0</v>
      </c>
      <c r="AD166" s="31">
        <v>0</v>
      </c>
      <c r="AE166" s="31">
        <v>0</v>
      </c>
      <c r="AF166" s="31">
        <v>0</v>
      </c>
      <c r="AG166" s="31">
        <v>0</v>
      </c>
      <c r="AH166" s="31">
        <v>0</v>
      </c>
      <c r="AI166" s="31">
        <v>0</v>
      </c>
      <c r="AL166" s="31">
        <f t="shared" si="12"/>
        <v>0</v>
      </c>
      <c r="AM166" s="31">
        <f t="shared" si="13"/>
        <v>0</v>
      </c>
      <c r="AN166" s="31">
        <f t="shared" si="14"/>
        <v>0</v>
      </c>
      <c r="AP166" s="31">
        <f>VLOOKUP($B166,Kraftvärmeprod!$B$1:$BX$549,MATCH(AP$1,Kraftvärmeprod!$B$1:$BX$1,0),FALSE)</f>
        <v>0</v>
      </c>
      <c r="AQ166" s="31">
        <f>VLOOKUP($B166,Kraftvärmeprod!$B$1:$BX$549,MATCH(AQ$1,Kraftvärmeprod!$B$1:$BX$1,0),FALSE)</f>
        <v>0</v>
      </c>
      <c r="AR166" s="31">
        <f>VLOOKUP($B166,Kraftvärmeprod!$B$1:$BX$549,MATCH("Summa tillförd energi exklusive rökgaskondensering",Kraftvärmeprod!$B$1:$BX$1,0),FALSE)</f>
        <v>0</v>
      </c>
      <c r="AT166" s="32" t="str">
        <f t="shared" si="15"/>
        <v/>
      </c>
      <c r="AV166" s="31">
        <f t="shared" si="16"/>
        <v>0</v>
      </c>
      <c r="AX166" s="31" t="str">
        <f>VLOOKUP(B166,Totalt!$B$1:$BZ$554,MATCH(AX$1,Totalt!$B$1:$BZ$1,0),FALSE)</f>
        <v>Ja</v>
      </c>
      <c r="BA166" s="32" t="str">
        <f t="shared" si="17"/>
        <v/>
      </c>
    </row>
    <row r="167" spans="1:53" x14ac:dyDescent="0.45">
      <c r="A167" s="31" t="s">
        <v>459</v>
      </c>
      <c r="B167" s="31" t="s">
        <v>460</v>
      </c>
      <c r="J167" s="31">
        <v>0</v>
      </c>
      <c r="K167" s="31">
        <v>0</v>
      </c>
      <c r="L167" s="31">
        <v>0</v>
      </c>
      <c r="M167" s="31">
        <v>0</v>
      </c>
      <c r="N167" s="31">
        <v>0</v>
      </c>
      <c r="O167" s="31">
        <v>0</v>
      </c>
      <c r="P167" s="31">
        <v>0</v>
      </c>
      <c r="Q167" s="31">
        <v>0</v>
      </c>
      <c r="R167" s="31">
        <v>0</v>
      </c>
      <c r="S167" s="31">
        <v>0</v>
      </c>
      <c r="T167" s="31">
        <v>0</v>
      </c>
      <c r="U167" s="31">
        <v>0</v>
      </c>
      <c r="W167" s="31">
        <v>0</v>
      </c>
      <c r="X167" s="31">
        <v>0</v>
      </c>
      <c r="Y167" s="31">
        <v>0</v>
      </c>
      <c r="Z167" s="31">
        <v>0</v>
      </c>
      <c r="AA167" s="31">
        <v>0</v>
      </c>
      <c r="AB167" s="31">
        <v>0</v>
      </c>
      <c r="AC167" s="31">
        <v>0</v>
      </c>
      <c r="AD167" s="31">
        <v>0</v>
      </c>
      <c r="AE167" s="31">
        <v>0</v>
      </c>
      <c r="AF167" s="31">
        <v>0</v>
      </c>
      <c r="AG167" s="31">
        <v>0</v>
      </c>
      <c r="AH167" s="31">
        <v>0</v>
      </c>
      <c r="AI167" s="31">
        <v>0</v>
      </c>
      <c r="AL167" s="31">
        <f t="shared" si="12"/>
        <v>0</v>
      </c>
      <c r="AM167" s="31">
        <f t="shared" si="13"/>
        <v>0</v>
      </c>
      <c r="AN167" s="31">
        <f t="shared" si="14"/>
        <v>0</v>
      </c>
      <c r="AP167" s="31">
        <f>VLOOKUP($B167,Kraftvärmeprod!$B$1:$BX$549,MATCH(AP$1,Kraftvärmeprod!$B$1:$BX$1,0),FALSE)</f>
        <v>0</v>
      </c>
      <c r="AQ167" s="31">
        <f>VLOOKUP($B167,Kraftvärmeprod!$B$1:$BX$549,MATCH(AQ$1,Kraftvärmeprod!$B$1:$BX$1,0),FALSE)</f>
        <v>0</v>
      </c>
      <c r="AR167" s="31">
        <f>VLOOKUP($B167,Kraftvärmeprod!$B$1:$BX$549,MATCH("Summa tillförd energi exklusive rökgaskondensering",Kraftvärmeprod!$B$1:$BX$1,0),FALSE)</f>
        <v>0</v>
      </c>
      <c r="AT167" s="32" t="str">
        <f t="shared" si="15"/>
        <v/>
      </c>
      <c r="AV167" s="31">
        <f t="shared" si="16"/>
        <v>0</v>
      </c>
      <c r="AX167" s="31" t="str">
        <f>VLOOKUP(B167,Totalt!$B$1:$BZ$554,MATCH(AX$1,Totalt!$B$1:$BZ$1,0),FALSE)</f>
        <v>Nej</v>
      </c>
      <c r="BA167" s="32" t="str">
        <f t="shared" si="17"/>
        <v/>
      </c>
    </row>
    <row r="168" spans="1:53" x14ac:dyDescent="0.45">
      <c r="A168" s="31" t="s">
        <v>459</v>
      </c>
      <c r="B168" s="31" t="s">
        <v>458</v>
      </c>
      <c r="J168" s="31">
        <v>0</v>
      </c>
      <c r="K168" s="31">
        <v>0</v>
      </c>
      <c r="L168" s="31">
        <v>0</v>
      </c>
      <c r="M168" s="31">
        <v>0</v>
      </c>
      <c r="N168" s="31">
        <v>0</v>
      </c>
      <c r="O168" s="31">
        <v>0</v>
      </c>
      <c r="P168" s="31">
        <v>0</v>
      </c>
      <c r="Q168" s="31">
        <v>0</v>
      </c>
      <c r="R168" s="31">
        <v>0</v>
      </c>
      <c r="S168" s="31">
        <v>0</v>
      </c>
      <c r="T168" s="31">
        <v>0</v>
      </c>
      <c r="U168" s="31">
        <v>0</v>
      </c>
      <c r="W168" s="31">
        <v>0</v>
      </c>
      <c r="X168" s="31">
        <v>0</v>
      </c>
      <c r="Y168" s="31">
        <v>0</v>
      </c>
      <c r="Z168" s="31">
        <v>0</v>
      </c>
      <c r="AA168" s="31">
        <v>0</v>
      </c>
      <c r="AB168" s="31">
        <v>0</v>
      </c>
      <c r="AC168" s="31">
        <v>0</v>
      </c>
      <c r="AD168" s="31">
        <v>0</v>
      </c>
      <c r="AE168" s="31">
        <v>0</v>
      </c>
      <c r="AF168" s="31">
        <v>0</v>
      </c>
      <c r="AG168" s="31">
        <v>0</v>
      </c>
      <c r="AH168" s="31">
        <v>0</v>
      </c>
      <c r="AI168" s="31">
        <v>0</v>
      </c>
      <c r="AL168" s="31">
        <f t="shared" si="12"/>
        <v>0</v>
      </c>
      <c r="AM168" s="31">
        <f t="shared" si="13"/>
        <v>0</v>
      </c>
      <c r="AN168" s="31">
        <f t="shared" si="14"/>
        <v>0</v>
      </c>
      <c r="AP168" s="31">
        <f>VLOOKUP($B168,Kraftvärmeprod!$B$1:$BX$549,MATCH(AP$1,Kraftvärmeprod!$B$1:$BX$1,0),FALSE)</f>
        <v>0</v>
      </c>
      <c r="AQ168" s="31">
        <f>VLOOKUP($B168,Kraftvärmeprod!$B$1:$BX$549,MATCH(AQ$1,Kraftvärmeprod!$B$1:$BX$1,0),FALSE)</f>
        <v>0</v>
      </c>
      <c r="AR168" s="31">
        <f>VLOOKUP($B168,Kraftvärmeprod!$B$1:$BX$549,MATCH("Summa tillförd energi exklusive rökgaskondensering",Kraftvärmeprod!$B$1:$BX$1,0),FALSE)</f>
        <v>0</v>
      </c>
      <c r="AT168" s="32" t="str">
        <f t="shared" si="15"/>
        <v/>
      </c>
      <c r="AV168" s="31">
        <f t="shared" si="16"/>
        <v>0</v>
      </c>
      <c r="AX168" s="31" t="str">
        <f>VLOOKUP(B168,Totalt!$B$1:$BZ$554,MATCH(AX$1,Totalt!$B$1:$BZ$1,0),FALSE)</f>
        <v>Ja</v>
      </c>
      <c r="BA168" s="32" t="str">
        <f t="shared" si="17"/>
        <v/>
      </c>
    </row>
    <row r="169" spans="1:53" x14ac:dyDescent="0.45">
      <c r="A169" s="31" t="s">
        <v>459</v>
      </c>
      <c r="B169" s="31" t="s">
        <v>462</v>
      </c>
      <c r="J169" s="31">
        <v>0</v>
      </c>
      <c r="K169" s="31">
        <v>0</v>
      </c>
      <c r="L169" s="31">
        <v>0</v>
      </c>
      <c r="M169" s="31">
        <v>0</v>
      </c>
      <c r="N169" s="31">
        <v>0</v>
      </c>
      <c r="O169" s="31">
        <v>0</v>
      </c>
      <c r="P169" s="31">
        <v>0</v>
      </c>
      <c r="Q169" s="31">
        <v>0</v>
      </c>
      <c r="R169" s="31">
        <v>0</v>
      </c>
      <c r="S169" s="31">
        <v>0</v>
      </c>
      <c r="T169" s="31">
        <v>0</v>
      </c>
      <c r="U169" s="31">
        <v>0</v>
      </c>
      <c r="W169" s="31">
        <v>0</v>
      </c>
      <c r="X169" s="31">
        <v>0</v>
      </c>
      <c r="Y169" s="31">
        <v>0</v>
      </c>
      <c r="Z169" s="31">
        <v>0</v>
      </c>
      <c r="AA169" s="31">
        <v>0</v>
      </c>
      <c r="AB169" s="31">
        <v>0</v>
      </c>
      <c r="AC169" s="31">
        <v>0</v>
      </c>
      <c r="AD169" s="31">
        <v>0</v>
      </c>
      <c r="AE169" s="31">
        <v>0</v>
      </c>
      <c r="AF169" s="31">
        <v>0</v>
      </c>
      <c r="AG169" s="31">
        <v>0</v>
      </c>
      <c r="AH169" s="31">
        <v>0</v>
      </c>
      <c r="AI169" s="31">
        <v>0</v>
      </c>
      <c r="AL169" s="31">
        <f t="shared" si="12"/>
        <v>0</v>
      </c>
      <c r="AM169" s="31">
        <f t="shared" si="13"/>
        <v>0</v>
      </c>
      <c r="AN169" s="31">
        <f t="shared" si="14"/>
        <v>0</v>
      </c>
      <c r="AP169" s="31">
        <f>VLOOKUP($B169,Kraftvärmeprod!$B$1:$BX$549,MATCH(AP$1,Kraftvärmeprod!$B$1:$BX$1,0),FALSE)</f>
        <v>0</v>
      </c>
      <c r="AQ169" s="31">
        <f>VLOOKUP($B169,Kraftvärmeprod!$B$1:$BX$549,MATCH(AQ$1,Kraftvärmeprod!$B$1:$BX$1,0),FALSE)</f>
        <v>0</v>
      </c>
      <c r="AR169" s="31">
        <f>VLOOKUP($B169,Kraftvärmeprod!$B$1:$BX$549,MATCH("Summa tillförd energi exklusive rökgaskondensering",Kraftvärmeprod!$B$1:$BX$1,0),FALSE)</f>
        <v>0</v>
      </c>
      <c r="AT169" s="32" t="str">
        <f t="shared" si="15"/>
        <v/>
      </c>
      <c r="AV169" s="31">
        <f t="shared" si="16"/>
        <v>0</v>
      </c>
      <c r="AX169" s="31" t="str">
        <f>VLOOKUP(B169,Totalt!$B$1:$BZ$554,MATCH(AX$1,Totalt!$B$1:$BZ$1,0),FALSE)</f>
        <v>Ja</v>
      </c>
      <c r="BA169" s="32" t="str">
        <f t="shared" si="17"/>
        <v/>
      </c>
    </row>
    <row r="170" spans="1:53" x14ac:dyDescent="0.45">
      <c r="A170" s="31" t="s">
        <v>457</v>
      </c>
      <c r="B170" s="31" t="s">
        <v>456</v>
      </c>
      <c r="J170" s="31">
        <v>0</v>
      </c>
      <c r="K170" s="31">
        <v>0</v>
      </c>
      <c r="L170" s="31">
        <v>0</v>
      </c>
      <c r="M170" s="31">
        <v>0</v>
      </c>
      <c r="N170" s="31">
        <v>0</v>
      </c>
      <c r="O170" s="31">
        <v>0</v>
      </c>
      <c r="P170" s="31">
        <v>33.507199999999997</v>
      </c>
      <c r="Q170" s="31">
        <v>0</v>
      </c>
      <c r="R170" s="31">
        <v>0</v>
      </c>
      <c r="S170" s="31">
        <v>0</v>
      </c>
      <c r="T170" s="31">
        <v>0</v>
      </c>
      <c r="U170" s="31">
        <v>0</v>
      </c>
      <c r="W170" s="31">
        <v>0</v>
      </c>
      <c r="X170" s="31">
        <v>0</v>
      </c>
      <c r="Y170" s="31">
        <v>0</v>
      </c>
      <c r="Z170" s="31">
        <v>21.722899999999999</v>
      </c>
      <c r="AA170" s="31">
        <v>0</v>
      </c>
      <c r="AB170" s="31">
        <v>0</v>
      </c>
      <c r="AC170" s="31">
        <v>0</v>
      </c>
      <c r="AD170" s="31">
        <v>0</v>
      </c>
      <c r="AE170" s="31">
        <v>113.57599999999999</v>
      </c>
      <c r="AF170" s="31">
        <v>0</v>
      </c>
      <c r="AG170" s="31">
        <v>0</v>
      </c>
      <c r="AH170" s="31">
        <v>0</v>
      </c>
      <c r="AI170" s="31">
        <v>0</v>
      </c>
      <c r="AL170" s="31">
        <f t="shared" si="12"/>
        <v>168.80609999999999</v>
      </c>
      <c r="AM170" s="31">
        <f t="shared" si="13"/>
        <v>168.80609999999999</v>
      </c>
      <c r="AN170" s="31">
        <f t="shared" si="14"/>
        <v>168.80609999999999</v>
      </c>
      <c r="AP170" s="31">
        <f>VLOOKUP($B170,Kraftvärmeprod!$B$1:$BX$549,MATCH(AP$1,Kraftvärmeprod!$B$1:$BX$1,0),FALSE)</f>
        <v>199.51</v>
      </c>
      <c r="AQ170" s="31">
        <f>VLOOKUP($B170,Kraftvärmeprod!$B$1:$BX$549,MATCH(AQ$1,Kraftvärmeprod!$B$1:$BX$1,0),FALSE)</f>
        <v>22.58</v>
      </c>
      <c r="AR170" s="31">
        <f>VLOOKUP($B170,Kraftvärmeprod!$B$1:$BX$549,MATCH("Summa tillförd energi exklusive rökgaskondensering",Kraftvärmeprod!$B$1:$BX$1,0),FALSE)</f>
        <v>226.23000000000002</v>
      </c>
      <c r="AT170" s="32">
        <f t="shared" si="15"/>
        <v>0.74617026919506679</v>
      </c>
      <c r="AV170" s="31">
        <f t="shared" si="16"/>
        <v>55.230099999999993</v>
      </c>
      <c r="AX170" s="31" t="str">
        <f>VLOOKUP(B170,Totalt!$B$1:$BZ$554,MATCH(AX$1,Totalt!$B$1:$BZ$1,0),FALSE)</f>
        <v>Ja</v>
      </c>
      <c r="BA170" s="32">
        <f t="shared" si="17"/>
        <v>1.181888569192701</v>
      </c>
    </row>
    <row r="171" spans="1:53" x14ac:dyDescent="0.45">
      <c r="A171" s="31" t="s">
        <v>453</v>
      </c>
      <c r="B171" s="31" t="s">
        <v>455</v>
      </c>
      <c r="J171" s="31">
        <v>0</v>
      </c>
      <c r="K171" s="31">
        <v>0</v>
      </c>
      <c r="L171" s="31">
        <v>0</v>
      </c>
      <c r="M171" s="31">
        <v>0</v>
      </c>
      <c r="N171" s="31">
        <v>0</v>
      </c>
      <c r="O171" s="31">
        <v>0</v>
      </c>
      <c r="P171" s="31">
        <v>0</v>
      </c>
      <c r="Q171" s="31">
        <v>0</v>
      </c>
      <c r="R171" s="31">
        <v>0</v>
      </c>
      <c r="S171" s="31">
        <v>0</v>
      </c>
      <c r="T171" s="31">
        <v>0</v>
      </c>
      <c r="U171" s="31">
        <v>0</v>
      </c>
      <c r="W171" s="31">
        <v>0</v>
      </c>
      <c r="X171" s="31">
        <v>0</v>
      </c>
      <c r="Y171" s="31">
        <v>0</v>
      </c>
      <c r="Z171" s="31">
        <v>0</v>
      </c>
      <c r="AA171" s="31">
        <v>0</v>
      </c>
      <c r="AB171" s="31">
        <v>0</v>
      </c>
      <c r="AC171" s="31">
        <v>0</v>
      </c>
      <c r="AD171" s="31">
        <v>0</v>
      </c>
      <c r="AE171" s="31">
        <v>0</v>
      </c>
      <c r="AF171" s="31">
        <v>0</v>
      </c>
      <c r="AG171" s="31">
        <v>0</v>
      </c>
      <c r="AH171" s="31">
        <v>0</v>
      </c>
      <c r="AI171" s="31">
        <v>0</v>
      </c>
      <c r="AL171" s="31">
        <f t="shared" si="12"/>
        <v>0</v>
      </c>
      <c r="AM171" s="31">
        <f t="shared" si="13"/>
        <v>0</v>
      </c>
      <c r="AN171" s="31">
        <f t="shared" si="14"/>
        <v>0</v>
      </c>
      <c r="AP171" s="31">
        <f>VLOOKUP($B171,Kraftvärmeprod!$B$1:$BX$549,MATCH(AP$1,Kraftvärmeprod!$B$1:$BX$1,0),FALSE)</f>
        <v>0</v>
      </c>
      <c r="AQ171" s="31">
        <f>VLOOKUP($B171,Kraftvärmeprod!$B$1:$BX$549,MATCH(AQ$1,Kraftvärmeprod!$B$1:$BX$1,0),FALSE)</f>
        <v>0</v>
      </c>
      <c r="AR171" s="31">
        <f>VLOOKUP($B171,Kraftvärmeprod!$B$1:$BX$549,MATCH("Summa tillförd energi exklusive rökgaskondensering",Kraftvärmeprod!$B$1:$BX$1,0),FALSE)</f>
        <v>0</v>
      </c>
      <c r="AT171" s="32" t="str">
        <f t="shared" si="15"/>
        <v/>
      </c>
      <c r="AV171" s="31">
        <f t="shared" si="16"/>
        <v>0</v>
      </c>
      <c r="AX171" s="31" t="str">
        <f>VLOOKUP(B171,Totalt!$B$1:$BZ$554,MATCH(AX$1,Totalt!$B$1:$BZ$1,0),FALSE)</f>
        <v>Ja</v>
      </c>
      <c r="BA171" s="32" t="str">
        <f t="shared" si="17"/>
        <v/>
      </c>
    </row>
    <row r="172" spans="1:53" x14ac:dyDescent="0.45">
      <c r="A172" s="31" t="s">
        <v>453</v>
      </c>
      <c r="B172" s="31" t="s">
        <v>454</v>
      </c>
      <c r="J172" s="31">
        <v>0</v>
      </c>
      <c r="K172" s="31">
        <v>0</v>
      </c>
      <c r="L172" s="31">
        <v>0</v>
      </c>
      <c r="M172" s="31">
        <v>0</v>
      </c>
      <c r="N172" s="31">
        <v>0</v>
      </c>
      <c r="O172" s="31">
        <v>0</v>
      </c>
      <c r="P172" s="31">
        <v>0</v>
      </c>
      <c r="Q172" s="31">
        <v>0</v>
      </c>
      <c r="R172" s="31">
        <v>0</v>
      </c>
      <c r="S172" s="31">
        <v>0</v>
      </c>
      <c r="T172" s="31">
        <v>0</v>
      </c>
      <c r="U172" s="31">
        <v>0</v>
      </c>
      <c r="W172" s="31">
        <v>0</v>
      </c>
      <c r="X172" s="31">
        <v>0</v>
      </c>
      <c r="Y172" s="31">
        <v>0</v>
      </c>
      <c r="Z172" s="31">
        <v>0</v>
      </c>
      <c r="AA172" s="31">
        <v>0</v>
      </c>
      <c r="AB172" s="31">
        <v>0</v>
      </c>
      <c r="AC172" s="31">
        <v>0</v>
      </c>
      <c r="AD172" s="31">
        <v>0</v>
      </c>
      <c r="AE172" s="31">
        <v>0</v>
      </c>
      <c r="AF172" s="31">
        <v>0</v>
      </c>
      <c r="AG172" s="31">
        <v>0</v>
      </c>
      <c r="AH172" s="31">
        <v>0</v>
      </c>
      <c r="AI172" s="31">
        <v>0</v>
      </c>
      <c r="AL172" s="31">
        <f t="shared" si="12"/>
        <v>0</v>
      </c>
      <c r="AM172" s="31">
        <f t="shared" si="13"/>
        <v>0</v>
      </c>
      <c r="AN172" s="31">
        <f t="shared" si="14"/>
        <v>0</v>
      </c>
      <c r="AP172" s="31">
        <f>VLOOKUP($B172,Kraftvärmeprod!$B$1:$BX$549,MATCH(AP$1,Kraftvärmeprod!$B$1:$BX$1,0),FALSE)</f>
        <v>0</v>
      </c>
      <c r="AQ172" s="31">
        <f>VLOOKUP($B172,Kraftvärmeprod!$B$1:$BX$549,MATCH(AQ$1,Kraftvärmeprod!$B$1:$BX$1,0),FALSE)</f>
        <v>0</v>
      </c>
      <c r="AR172" s="31">
        <f>VLOOKUP($B172,Kraftvärmeprod!$B$1:$BX$549,MATCH("Summa tillförd energi exklusive rökgaskondensering",Kraftvärmeprod!$B$1:$BX$1,0),FALSE)</f>
        <v>0</v>
      </c>
      <c r="AT172" s="32" t="str">
        <f t="shared" si="15"/>
        <v/>
      </c>
      <c r="AV172" s="31">
        <f t="shared" si="16"/>
        <v>0</v>
      </c>
      <c r="AX172" s="31" t="str">
        <f>VLOOKUP(B172,Totalt!$B$1:$BZ$554,MATCH(AX$1,Totalt!$B$1:$BZ$1,0),FALSE)</f>
        <v>Ja</v>
      </c>
      <c r="BA172" s="32" t="str">
        <f t="shared" si="17"/>
        <v/>
      </c>
    </row>
    <row r="173" spans="1:53" x14ac:dyDescent="0.45">
      <c r="A173" s="31" t="s">
        <v>453</v>
      </c>
      <c r="B173" s="31" t="s">
        <v>452</v>
      </c>
      <c r="J173" s="31">
        <v>0</v>
      </c>
      <c r="K173" s="31">
        <v>0</v>
      </c>
      <c r="L173" s="31">
        <v>0</v>
      </c>
      <c r="M173" s="31">
        <v>0</v>
      </c>
      <c r="N173" s="31">
        <v>0</v>
      </c>
      <c r="O173" s="31">
        <v>0</v>
      </c>
      <c r="P173" s="31">
        <v>0</v>
      </c>
      <c r="Q173" s="31">
        <v>0</v>
      </c>
      <c r="R173" s="31">
        <v>0</v>
      </c>
      <c r="S173" s="31">
        <v>0</v>
      </c>
      <c r="T173" s="31">
        <v>0</v>
      </c>
      <c r="U173" s="31">
        <v>0</v>
      </c>
      <c r="W173" s="31">
        <v>0</v>
      </c>
      <c r="X173" s="31">
        <v>0</v>
      </c>
      <c r="Y173" s="31">
        <v>0</v>
      </c>
      <c r="Z173" s="31">
        <v>0</v>
      </c>
      <c r="AA173" s="31">
        <v>0</v>
      </c>
      <c r="AB173" s="31">
        <v>0</v>
      </c>
      <c r="AC173" s="31">
        <v>0</v>
      </c>
      <c r="AD173" s="31">
        <v>0</v>
      </c>
      <c r="AE173" s="31">
        <v>0</v>
      </c>
      <c r="AF173" s="31">
        <v>0</v>
      </c>
      <c r="AG173" s="31">
        <v>0</v>
      </c>
      <c r="AH173" s="31">
        <v>0</v>
      </c>
      <c r="AI173" s="31">
        <v>0</v>
      </c>
      <c r="AL173" s="31">
        <f t="shared" si="12"/>
        <v>0</v>
      </c>
      <c r="AM173" s="31">
        <f t="shared" si="13"/>
        <v>0</v>
      </c>
      <c r="AN173" s="31">
        <f t="shared" si="14"/>
        <v>0</v>
      </c>
      <c r="AP173" s="31">
        <f>VLOOKUP($B173,Kraftvärmeprod!$B$1:$BX$549,MATCH(AP$1,Kraftvärmeprod!$B$1:$BX$1,0),FALSE)</f>
        <v>0</v>
      </c>
      <c r="AQ173" s="31">
        <f>VLOOKUP($B173,Kraftvärmeprod!$B$1:$BX$549,MATCH(AQ$1,Kraftvärmeprod!$B$1:$BX$1,0),FALSE)</f>
        <v>0</v>
      </c>
      <c r="AR173" s="31">
        <f>VLOOKUP($B173,Kraftvärmeprod!$B$1:$BX$549,MATCH("Summa tillförd energi exklusive rökgaskondensering",Kraftvärmeprod!$B$1:$BX$1,0),FALSE)</f>
        <v>0</v>
      </c>
      <c r="AT173" s="32" t="str">
        <f t="shared" si="15"/>
        <v/>
      </c>
      <c r="AV173" s="31">
        <f t="shared" si="16"/>
        <v>0</v>
      </c>
      <c r="AX173" s="31" t="str">
        <f>VLOOKUP(B173,Totalt!$B$1:$BZ$554,MATCH(AX$1,Totalt!$B$1:$BZ$1,0),FALSE)</f>
        <v>Ja</v>
      </c>
      <c r="BA173" s="32" t="str">
        <f t="shared" si="17"/>
        <v/>
      </c>
    </row>
    <row r="174" spans="1:53" x14ac:dyDescent="0.45">
      <c r="A174" s="31" t="s">
        <v>449</v>
      </c>
      <c r="B174" s="31" t="s">
        <v>451</v>
      </c>
      <c r="J174" s="31">
        <v>0</v>
      </c>
      <c r="K174" s="31">
        <v>0</v>
      </c>
      <c r="L174" s="31">
        <v>0</v>
      </c>
      <c r="M174" s="31">
        <v>0</v>
      </c>
      <c r="N174" s="31">
        <v>0</v>
      </c>
      <c r="O174" s="31">
        <v>0</v>
      </c>
      <c r="P174" s="31">
        <v>0</v>
      </c>
      <c r="Q174" s="31">
        <v>0</v>
      </c>
      <c r="R174" s="31">
        <v>0</v>
      </c>
      <c r="S174" s="31">
        <v>0</v>
      </c>
      <c r="T174" s="31">
        <v>0</v>
      </c>
      <c r="U174" s="31">
        <v>0</v>
      </c>
      <c r="W174" s="31">
        <v>0</v>
      </c>
      <c r="X174" s="31">
        <v>0</v>
      </c>
      <c r="Y174" s="31">
        <v>0</v>
      </c>
      <c r="Z174" s="31">
        <v>0</v>
      </c>
      <c r="AA174" s="31">
        <v>0</v>
      </c>
      <c r="AB174" s="31">
        <v>0</v>
      </c>
      <c r="AC174" s="31">
        <v>0</v>
      </c>
      <c r="AD174" s="31">
        <v>0</v>
      </c>
      <c r="AE174" s="31">
        <v>0</v>
      </c>
      <c r="AF174" s="31">
        <v>0</v>
      </c>
      <c r="AG174" s="31">
        <v>0</v>
      </c>
      <c r="AH174" s="31">
        <v>0</v>
      </c>
      <c r="AI174" s="31">
        <v>0</v>
      </c>
      <c r="AL174" s="31">
        <f t="shared" si="12"/>
        <v>0</v>
      </c>
      <c r="AM174" s="31">
        <f t="shared" si="13"/>
        <v>0</v>
      </c>
      <c r="AN174" s="31">
        <f t="shared" si="14"/>
        <v>0</v>
      </c>
      <c r="AP174" s="31">
        <f>VLOOKUP($B174,Kraftvärmeprod!$B$1:$BX$549,MATCH(AP$1,Kraftvärmeprod!$B$1:$BX$1,0),FALSE)</f>
        <v>0</v>
      </c>
      <c r="AQ174" s="31">
        <f>VLOOKUP($B174,Kraftvärmeprod!$B$1:$BX$549,MATCH(AQ$1,Kraftvärmeprod!$B$1:$BX$1,0),FALSE)</f>
        <v>0</v>
      </c>
      <c r="AR174" s="31">
        <f>VLOOKUP($B174,Kraftvärmeprod!$B$1:$BX$549,MATCH("Summa tillförd energi exklusive rökgaskondensering",Kraftvärmeprod!$B$1:$BX$1,0),FALSE)</f>
        <v>0</v>
      </c>
      <c r="AT174" s="32" t="str">
        <f t="shared" si="15"/>
        <v/>
      </c>
      <c r="AV174" s="31">
        <f t="shared" si="16"/>
        <v>0</v>
      </c>
      <c r="AX174" s="31" t="str">
        <f>VLOOKUP(B174,Totalt!$B$1:$BZ$554,MATCH(AX$1,Totalt!$B$1:$BZ$1,0),FALSE)</f>
        <v>Ja</v>
      </c>
      <c r="BA174" s="32" t="str">
        <f t="shared" si="17"/>
        <v/>
      </c>
    </row>
    <row r="175" spans="1:53" x14ac:dyDescent="0.45">
      <c r="A175" s="31" t="s">
        <v>449</v>
      </c>
      <c r="B175" s="31" t="s">
        <v>448</v>
      </c>
      <c r="J175" s="31">
        <v>0</v>
      </c>
      <c r="K175" s="31">
        <v>0</v>
      </c>
      <c r="L175" s="31">
        <v>0</v>
      </c>
      <c r="M175" s="31">
        <v>0</v>
      </c>
      <c r="N175" s="31">
        <v>0</v>
      </c>
      <c r="O175" s="31">
        <v>0</v>
      </c>
      <c r="P175" s="31">
        <v>0</v>
      </c>
      <c r="Q175" s="31">
        <v>0</v>
      </c>
      <c r="R175" s="31">
        <v>0</v>
      </c>
      <c r="S175" s="31">
        <v>0</v>
      </c>
      <c r="T175" s="31">
        <v>0</v>
      </c>
      <c r="U175" s="31">
        <v>0</v>
      </c>
      <c r="W175" s="31">
        <v>0</v>
      </c>
      <c r="X175" s="31">
        <v>0</v>
      </c>
      <c r="Y175" s="31">
        <v>0</v>
      </c>
      <c r="Z175" s="31">
        <v>0</v>
      </c>
      <c r="AA175" s="31">
        <v>0</v>
      </c>
      <c r="AB175" s="31">
        <v>0</v>
      </c>
      <c r="AC175" s="31">
        <v>0</v>
      </c>
      <c r="AD175" s="31">
        <v>0</v>
      </c>
      <c r="AE175" s="31">
        <v>0</v>
      </c>
      <c r="AF175" s="31">
        <v>0</v>
      </c>
      <c r="AG175" s="31">
        <v>0</v>
      </c>
      <c r="AH175" s="31">
        <v>0</v>
      </c>
      <c r="AI175" s="31">
        <v>0</v>
      </c>
      <c r="AL175" s="31">
        <f t="shared" si="12"/>
        <v>0</v>
      </c>
      <c r="AM175" s="31">
        <f t="shared" si="13"/>
        <v>0</v>
      </c>
      <c r="AN175" s="31">
        <f t="shared" si="14"/>
        <v>0</v>
      </c>
      <c r="AP175" s="31">
        <f>VLOOKUP($B175,Kraftvärmeprod!$B$1:$BX$549,MATCH(AP$1,Kraftvärmeprod!$B$1:$BX$1,0),FALSE)</f>
        <v>0</v>
      </c>
      <c r="AQ175" s="31">
        <f>VLOOKUP($B175,Kraftvärmeprod!$B$1:$BX$549,MATCH(AQ$1,Kraftvärmeprod!$B$1:$BX$1,0),FALSE)</f>
        <v>0</v>
      </c>
      <c r="AR175" s="31">
        <f>VLOOKUP($B175,Kraftvärmeprod!$B$1:$BX$549,MATCH("Summa tillförd energi exklusive rökgaskondensering",Kraftvärmeprod!$B$1:$BX$1,0),FALSE)</f>
        <v>0</v>
      </c>
      <c r="AT175" s="32" t="str">
        <f t="shared" si="15"/>
        <v/>
      </c>
      <c r="AV175" s="31">
        <f t="shared" si="16"/>
        <v>0</v>
      </c>
      <c r="AX175" s="31" t="str">
        <f>VLOOKUP(B175,Totalt!$B$1:$BZ$554,MATCH(AX$1,Totalt!$B$1:$BZ$1,0),FALSE)</f>
        <v>Ja</v>
      </c>
      <c r="BA175" s="32" t="str">
        <f t="shared" si="17"/>
        <v/>
      </c>
    </row>
    <row r="176" spans="1:53" x14ac:dyDescent="0.45">
      <c r="A176" s="31" t="s">
        <v>449</v>
      </c>
      <c r="B176" s="31" t="s">
        <v>450</v>
      </c>
      <c r="J176" s="31">
        <v>0</v>
      </c>
      <c r="K176" s="31">
        <v>0</v>
      </c>
      <c r="L176" s="31">
        <v>0</v>
      </c>
      <c r="M176" s="31">
        <v>0</v>
      </c>
      <c r="N176" s="31">
        <v>0</v>
      </c>
      <c r="O176" s="31">
        <v>0</v>
      </c>
      <c r="P176" s="31">
        <v>0</v>
      </c>
      <c r="Q176" s="31">
        <v>0</v>
      </c>
      <c r="R176" s="31">
        <v>0</v>
      </c>
      <c r="S176" s="31">
        <v>0</v>
      </c>
      <c r="T176" s="31">
        <v>0</v>
      </c>
      <c r="U176" s="31">
        <v>0</v>
      </c>
      <c r="W176" s="31">
        <v>0</v>
      </c>
      <c r="X176" s="31">
        <v>0</v>
      </c>
      <c r="Y176" s="31">
        <v>0</v>
      </c>
      <c r="Z176" s="31">
        <v>0</v>
      </c>
      <c r="AA176" s="31">
        <v>0</v>
      </c>
      <c r="AB176" s="31">
        <v>0</v>
      </c>
      <c r="AC176" s="31">
        <v>0</v>
      </c>
      <c r="AD176" s="31">
        <v>0</v>
      </c>
      <c r="AE176" s="31">
        <v>0</v>
      </c>
      <c r="AF176" s="31">
        <v>0</v>
      </c>
      <c r="AG176" s="31">
        <v>0</v>
      </c>
      <c r="AH176" s="31">
        <v>0</v>
      </c>
      <c r="AI176" s="31">
        <v>0</v>
      </c>
      <c r="AL176" s="31">
        <f t="shared" si="12"/>
        <v>0</v>
      </c>
      <c r="AM176" s="31">
        <f t="shared" si="13"/>
        <v>0</v>
      </c>
      <c r="AN176" s="31">
        <f t="shared" si="14"/>
        <v>0</v>
      </c>
      <c r="AP176" s="31">
        <f>VLOOKUP($B176,Kraftvärmeprod!$B$1:$BX$549,MATCH(AP$1,Kraftvärmeprod!$B$1:$BX$1,0),FALSE)</f>
        <v>0</v>
      </c>
      <c r="AQ176" s="31">
        <f>VLOOKUP($B176,Kraftvärmeprod!$B$1:$BX$549,MATCH(AQ$1,Kraftvärmeprod!$B$1:$BX$1,0),FALSE)</f>
        <v>0</v>
      </c>
      <c r="AR176" s="31">
        <f>VLOOKUP($B176,Kraftvärmeprod!$B$1:$BX$549,MATCH("Summa tillförd energi exklusive rökgaskondensering",Kraftvärmeprod!$B$1:$BX$1,0),FALSE)</f>
        <v>0</v>
      </c>
      <c r="AT176" s="32" t="str">
        <f t="shared" si="15"/>
        <v/>
      </c>
      <c r="AV176" s="31">
        <f t="shared" si="16"/>
        <v>0</v>
      </c>
      <c r="AX176" s="31" t="str">
        <f>VLOOKUP(B176,Totalt!$B$1:$BZ$554,MATCH(AX$1,Totalt!$B$1:$BZ$1,0),FALSE)</f>
        <v>Ja</v>
      </c>
      <c r="BA176" s="32" t="str">
        <f t="shared" si="17"/>
        <v/>
      </c>
    </row>
    <row r="177" spans="1:53" x14ac:dyDescent="0.45">
      <c r="A177" s="31" t="s">
        <v>447</v>
      </c>
      <c r="B177" s="31" t="s">
        <v>446</v>
      </c>
      <c r="J177" s="31">
        <v>0</v>
      </c>
      <c r="K177" s="31">
        <v>0</v>
      </c>
      <c r="L177" s="31">
        <v>0</v>
      </c>
      <c r="M177" s="31">
        <v>0</v>
      </c>
      <c r="N177" s="31">
        <v>0</v>
      </c>
      <c r="O177" s="31">
        <v>0</v>
      </c>
      <c r="P177" s="31">
        <v>0</v>
      </c>
      <c r="Q177" s="31">
        <v>0</v>
      </c>
      <c r="R177" s="31">
        <v>0</v>
      </c>
      <c r="S177" s="31">
        <v>0</v>
      </c>
      <c r="T177" s="31">
        <v>0</v>
      </c>
      <c r="U177" s="31">
        <v>0</v>
      </c>
      <c r="W177" s="31">
        <v>0</v>
      </c>
      <c r="X177" s="31">
        <v>0</v>
      </c>
      <c r="Y177" s="31">
        <v>0</v>
      </c>
      <c r="Z177" s="31">
        <v>0</v>
      </c>
      <c r="AA177" s="31">
        <v>0</v>
      </c>
      <c r="AB177" s="31">
        <v>0</v>
      </c>
      <c r="AC177" s="31">
        <v>0</v>
      </c>
      <c r="AD177" s="31">
        <v>0</v>
      </c>
      <c r="AE177" s="31">
        <v>0</v>
      </c>
      <c r="AF177" s="31">
        <v>0</v>
      </c>
      <c r="AG177" s="31">
        <v>0</v>
      </c>
      <c r="AH177" s="31">
        <v>0</v>
      </c>
      <c r="AI177" s="31">
        <v>0</v>
      </c>
      <c r="AL177" s="31">
        <f t="shared" si="12"/>
        <v>0</v>
      </c>
      <c r="AM177" s="31">
        <f t="shared" si="13"/>
        <v>0</v>
      </c>
      <c r="AN177" s="31">
        <f t="shared" si="14"/>
        <v>0</v>
      </c>
      <c r="AP177" s="31">
        <f>VLOOKUP($B177,Kraftvärmeprod!$B$1:$BX$549,MATCH(AP$1,Kraftvärmeprod!$B$1:$BX$1,0),FALSE)</f>
        <v>0</v>
      </c>
      <c r="AQ177" s="31">
        <f>VLOOKUP($B177,Kraftvärmeprod!$B$1:$BX$549,MATCH(AQ$1,Kraftvärmeprod!$B$1:$BX$1,0),FALSE)</f>
        <v>0</v>
      </c>
      <c r="AR177" s="31">
        <f>VLOOKUP($B177,Kraftvärmeprod!$B$1:$BX$549,MATCH("Summa tillförd energi exklusive rökgaskondensering",Kraftvärmeprod!$B$1:$BX$1,0),FALSE)</f>
        <v>0</v>
      </c>
      <c r="AT177" s="32" t="str">
        <f t="shared" si="15"/>
        <v/>
      </c>
      <c r="AV177" s="31">
        <f t="shared" si="16"/>
        <v>0</v>
      </c>
      <c r="AX177" s="31" t="str">
        <f>VLOOKUP(B177,Totalt!$B$1:$BZ$554,MATCH(AX$1,Totalt!$B$1:$BZ$1,0),FALSE)</f>
        <v>Ja</v>
      </c>
      <c r="BA177" s="32" t="str">
        <f t="shared" si="17"/>
        <v/>
      </c>
    </row>
    <row r="178" spans="1:53" x14ac:dyDescent="0.45">
      <c r="A178" s="31" t="s">
        <v>444</v>
      </c>
      <c r="B178" s="31" t="s">
        <v>443</v>
      </c>
      <c r="J178" s="31">
        <v>0</v>
      </c>
      <c r="K178" s="31">
        <v>0</v>
      </c>
      <c r="L178" s="31">
        <v>0</v>
      </c>
      <c r="M178" s="31">
        <v>0</v>
      </c>
      <c r="N178" s="31">
        <v>0</v>
      </c>
      <c r="O178" s="31">
        <v>0</v>
      </c>
      <c r="P178" s="31">
        <v>0</v>
      </c>
      <c r="Q178" s="31">
        <v>0</v>
      </c>
      <c r="R178" s="31">
        <v>0</v>
      </c>
      <c r="S178" s="31">
        <v>0</v>
      </c>
      <c r="T178" s="31">
        <v>0</v>
      </c>
      <c r="U178" s="31">
        <v>0</v>
      </c>
      <c r="W178" s="31">
        <v>0</v>
      </c>
      <c r="X178" s="31">
        <v>0</v>
      </c>
      <c r="Y178" s="31">
        <v>0</v>
      </c>
      <c r="Z178" s="31">
        <v>0</v>
      </c>
      <c r="AA178" s="31">
        <v>0</v>
      </c>
      <c r="AB178" s="31">
        <v>0</v>
      </c>
      <c r="AC178" s="31">
        <v>0</v>
      </c>
      <c r="AD178" s="31">
        <v>0</v>
      </c>
      <c r="AE178" s="31">
        <v>0</v>
      </c>
      <c r="AF178" s="31">
        <v>0</v>
      </c>
      <c r="AG178" s="31">
        <v>0</v>
      </c>
      <c r="AH178" s="31">
        <v>0</v>
      </c>
      <c r="AI178" s="31">
        <v>0</v>
      </c>
      <c r="AL178" s="31">
        <f t="shared" si="12"/>
        <v>0</v>
      </c>
      <c r="AM178" s="31">
        <f t="shared" si="13"/>
        <v>0</v>
      </c>
      <c r="AN178" s="31">
        <f t="shared" si="14"/>
        <v>0</v>
      </c>
      <c r="AP178" s="31">
        <f>VLOOKUP($B178,Kraftvärmeprod!$B$1:$BX$549,MATCH(AP$1,Kraftvärmeprod!$B$1:$BX$1,0),FALSE)</f>
        <v>0</v>
      </c>
      <c r="AQ178" s="31">
        <f>VLOOKUP($B178,Kraftvärmeprod!$B$1:$BX$549,MATCH(AQ$1,Kraftvärmeprod!$B$1:$BX$1,0),FALSE)</f>
        <v>0</v>
      </c>
      <c r="AR178" s="31">
        <f>VLOOKUP($B178,Kraftvärmeprod!$B$1:$BX$549,MATCH("Summa tillförd energi exklusive rökgaskondensering",Kraftvärmeprod!$B$1:$BX$1,0),FALSE)</f>
        <v>0</v>
      </c>
      <c r="AT178" s="32" t="str">
        <f t="shared" si="15"/>
        <v/>
      </c>
      <c r="AV178" s="31">
        <f t="shared" si="16"/>
        <v>0</v>
      </c>
      <c r="AX178" s="31" t="str">
        <f>VLOOKUP(B178,Totalt!$B$1:$BZ$554,MATCH(AX$1,Totalt!$B$1:$BZ$1,0),FALSE)</f>
        <v>Ja</v>
      </c>
      <c r="BA178" s="32" t="str">
        <f t="shared" si="17"/>
        <v/>
      </c>
    </row>
    <row r="179" spans="1:53" x14ac:dyDescent="0.45">
      <c r="A179" s="31" t="s">
        <v>444</v>
      </c>
      <c r="B179" s="31" t="s">
        <v>445</v>
      </c>
      <c r="J179" s="31">
        <v>0</v>
      </c>
      <c r="K179" s="31">
        <v>0</v>
      </c>
      <c r="L179" s="31">
        <v>0</v>
      </c>
      <c r="M179" s="31">
        <v>0</v>
      </c>
      <c r="N179" s="31">
        <v>0</v>
      </c>
      <c r="O179" s="31">
        <v>0</v>
      </c>
      <c r="P179" s="31">
        <v>38.828699999999998</v>
      </c>
      <c r="Q179" s="31">
        <v>2.7267299999999999</v>
      </c>
      <c r="R179" s="31">
        <v>21.137599999999999</v>
      </c>
      <c r="S179" s="31">
        <v>0</v>
      </c>
      <c r="T179" s="31">
        <v>0</v>
      </c>
      <c r="U179" s="31">
        <v>0</v>
      </c>
      <c r="W179" s="31">
        <v>0</v>
      </c>
      <c r="X179" s="31">
        <v>0</v>
      </c>
      <c r="Y179" s="31">
        <v>0</v>
      </c>
      <c r="Z179" s="31">
        <v>0</v>
      </c>
      <c r="AA179" s="31">
        <v>0</v>
      </c>
      <c r="AB179" s="31">
        <v>0</v>
      </c>
      <c r="AC179" s="31">
        <v>0</v>
      </c>
      <c r="AD179" s="31">
        <v>0</v>
      </c>
      <c r="AE179" s="31">
        <v>0</v>
      </c>
      <c r="AF179" s="31">
        <v>0</v>
      </c>
      <c r="AG179" s="31">
        <v>0</v>
      </c>
      <c r="AH179" s="31">
        <v>12.75</v>
      </c>
      <c r="AI179" s="31">
        <v>0.87255400000000005</v>
      </c>
      <c r="AL179" s="31">
        <f t="shared" si="12"/>
        <v>76.315583999999987</v>
      </c>
      <c r="AM179" s="31">
        <f t="shared" si="13"/>
        <v>75.443029999999993</v>
      </c>
      <c r="AN179" s="31">
        <f t="shared" si="14"/>
        <v>62.693029999999993</v>
      </c>
      <c r="AP179" s="31">
        <f>VLOOKUP($B179,Kraftvärmeprod!$B$1:$BX$549,MATCH(AP$1,Kraftvärmeprod!$B$1:$BX$1,0),FALSE)</f>
        <v>62.5</v>
      </c>
      <c r="AQ179" s="31">
        <f>VLOOKUP($B179,Kraftvärmeprod!$B$1:$BX$549,MATCH(AQ$1,Kraftvärmeprod!$B$1:$BX$1,0),FALSE)</f>
        <v>9</v>
      </c>
      <c r="AR179" s="31">
        <f>VLOOKUP($B179,Kraftvärmeprod!$B$1:$BX$549,MATCH("Summa tillförd energi exklusive rökgaskondensering",Kraftvärmeprod!$B$1:$BX$1,0),FALSE)</f>
        <v>86.22</v>
      </c>
      <c r="AT179" s="32">
        <f t="shared" si="15"/>
        <v>0.72712862444908366</v>
      </c>
      <c r="AV179" s="31">
        <f t="shared" si="16"/>
        <v>62.693029999999993</v>
      </c>
      <c r="AX179" s="31" t="str">
        <f>VLOOKUP(B179,Totalt!$B$1:$BZ$554,MATCH(AX$1,Totalt!$B$1:$BZ$1,0),FALSE)</f>
        <v>Ja</v>
      </c>
      <c r="BA179" s="32">
        <f t="shared" si="17"/>
        <v>0.98323646330379044</v>
      </c>
    </row>
    <row r="180" spans="1:53" x14ac:dyDescent="0.45">
      <c r="A180" s="31" t="s">
        <v>442</v>
      </c>
      <c r="B180" s="31" t="s">
        <v>441</v>
      </c>
      <c r="J180" s="31">
        <v>0</v>
      </c>
      <c r="K180" s="31">
        <v>0.16595199999999999</v>
      </c>
      <c r="L180" s="31">
        <v>0</v>
      </c>
      <c r="M180" s="31">
        <v>0</v>
      </c>
      <c r="N180" s="31">
        <v>0</v>
      </c>
      <c r="O180" s="31">
        <v>0</v>
      </c>
      <c r="P180" s="31">
        <v>67.819999999999993</v>
      </c>
      <c r="Q180" s="31">
        <v>0</v>
      </c>
      <c r="R180" s="31">
        <v>7.0074199999999998</v>
      </c>
      <c r="S180" s="31">
        <v>0</v>
      </c>
      <c r="T180" s="31">
        <v>0</v>
      </c>
      <c r="U180" s="31">
        <v>0</v>
      </c>
      <c r="W180" s="31">
        <v>0</v>
      </c>
      <c r="X180" s="31">
        <v>0</v>
      </c>
      <c r="Y180" s="31">
        <v>0</v>
      </c>
      <c r="Z180" s="31">
        <v>0</v>
      </c>
      <c r="AA180" s="31">
        <v>0</v>
      </c>
      <c r="AB180" s="31">
        <v>0</v>
      </c>
      <c r="AC180" s="31">
        <v>0</v>
      </c>
      <c r="AD180" s="31">
        <v>0</v>
      </c>
      <c r="AE180" s="31">
        <v>0</v>
      </c>
      <c r="AF180" s="31">
        <v>0</v>
      </c>
      <c r="AG180" s="31">
        <v>0</v>
      </c>
      <c r="AH180" s="31">
        <v>1.87</v>
      </c>
      <c r="AI180" s="31">
        <v>2.5487899999999999</v>
      </c>
      <c r="AL180" s="31">
        <f t="shared" si="12"/>
        <v>79.412161999999995</v>
      </c>
      <c r="AM180" s="31">
        <f t="shared" si="13"/>
        <v>76.863371999999998</v>
      </c>
      <c r="AN180" s="31">
        <f t="shared" si="14"/>
        <v>74.993371999999994</v>
      </c>
      <c r="AP180" s="31">
        <f>VLOOKUP($B180,Kraftvärmeprod!$B$1:$BX$549,MATCH(AP$1,Kraftvärmeprod!$B$1:$BX$1,0),FALSE)</f>
        <v>90.4</v>
      </c>
      <c r="AQ180" s="31">
        <f>VLOOKUP($B180,Kraftvärmeprod!$B$1:$BX$549,MATCH(AQ$1,Kraftvärmeprod!$B$1:$BX$1,0),FALSE)</f>
        <v>36.1</v>
      </c>
      <c r="AR180" s="31">
        <f>VLOOKUP($B180,Kraftvärmeprod!$B$1:$BX$549,MATCH("Summa tillförd energi exklusive rökgaskondensering",Kraftvärmeprod!$B$1:$BX$1,0),FALSE)</f>
        <v>153.00000000000003</v>
      </c>
      <c r="AT180" s="32">
        <f t="shared" si="15"/>
        <v>0.49015275816993453</v>
      </c>
      <c r="AV180" s="31">
        <f t="shared" si="16"/>
        <v>74.827419999999989</v>
      </c>
      <c r="AX180" s="31" t="str">
        <f>VLOOKUP(B180,Totalt!$B$1:$BZ$554,MATCH(AX$1,Totalt!$B$1:$BZ$1,0),FALSE)</f>
        <v>Ja</v>
      </c>
      <c r="BA180" s="32">
        <f t="shared" si="17"/>
        <v>1.1658173781638952</v>
      </c>
    </row>
    <row r="181" spans="1:53" x14ac:dyDescent="0.45">
      <c r="A181" s="31" t="s">
        <v>440</v>
      </c>
      <c r="B181" s="31" t="s">
        <v>439</v>
      </c>
      <c r="J181" s="31">
        <v>0</v>
      </c>
      <c r="K181" s="31">
        <v>0</v>
      </c>
      <c r="L181" s="31">
        <v>0</v>
      </c>
      <c r="M181" s="31">
        <v>0</v>
      </c>
      <c r="N181" s="31">
        <v>0</v>
      </c>
      <c r="O181" s="31">
        <v>0</v>
      </c>
      <c r="P181" s="31">
        <v>0</v>
      </c>
      <c r="Q181" s="31">
        <v>0</v>
      </c>
      <c r="R181" s="31">
        <v>0</v>
      </c>
      <c r="S181" s="31">
        <v>0</v>
      </c>
      <c r="T181" s="31">
        <v>0</v>
      </c>
      <c r="U181" s="31">
        <v>0</v>
      </c>
      <c r="W181" s="31">
        <v>0</v>
      </c>
      <c r="X181" s="31">
        <v>0</v>
      </c>
      <c r="Y181" s="31">
        <v>0</v>
      </c>
      <c r="Z181" s="31">
        <v>0</v>
      </c>
      <c r="AA181" s="31">
        <v>0</v>
      </c>
      <c r="AB181" s="31">
        <v>0</v>
      </c>
      <c r="AC181" s="31">
        <v>0</v>
      </c>
      <c r="AD181" s="31">
        <v>0</v>
      </c>
      <c r="AE181" s="31">
        <v>0</v>
      </c>
      <c r="AF181" s="31">
        <v>0</v>
      </c>
      <c r="AG181" s="31">
        <v>0</v>
      </c>
      <c r="AH181" s="31">
        <v>0</v>
      </c>
      <c r="AI181" s="31">
        <v>0</v>
      </c>
      <c r="AL181" s="31">
        <f t="shared" si="12"/>
        <v>0</v>
      </c>
      <c r="AM181" s="31">
        <f t="shared" si="13"/>
        <v>0</v>
      </c>
      <c r="AN181" s="31">
        <f t="shared" si="14"/>
        <v>0</v>
      </c>
      <c r="AP181" s="31">
        <f>VLOOKUP($B181,Kraftvärmeprod!$B$1:$BX$549,MATCH(AP$1,Kraftvärmeprod!$B$1:$BX$1,0),FALSE)</f>
        <v>0</v>
      </c>
      <c r="AQ181" s="31">
        <f>VLOOKUP($B181,Kraftvärmeprod!$B$1:$BX$549,MATCH(AQ$1,Kraftvärmeprod!$B$1:$BX$1,0),FALSE)</f>
        <v>0</v>
      </c>
      <c r="AR181" s="31">
        <f>VLOOKUP($B181,Kraftvärmeprod!$B$1:$BX$549,MATCH("Summa tillförd energi exklusive rökgaskondensering",Kraftvärmeprod!$B$1:$BX$1,0),FALSE)</f>
        <v>0</v>
      </c>
      <c r="AT181" s="32" t="str">
        <f t="shared" si="15"/>
        <v/>
      </c>
      <c r="AV181" s="31">
        <f t="shared" si="16"/>
        <v>0</v>
      </c>
      <c r="AX181" s="31" t="str">
        <f>VLOOKUP(B181,Totalt!$B$1:$BZ$554,MATCH(AX$1,Totalt!$B$1:$BZ$1,0),FALSE)</f>
        <v>Nej</v>
      </c>
      <c r="BA181" s="32" t="str">
        <f t="shared" si="17"/>
        <v/>
      </c>
    </row>
    <row r="182" spans="1:53" x14ac:dyDescent="0.45">
      <c r="A182" s="31" t="s">
        <v>438</v>
      </c>
      <c r="B182" s="31" t="s">
        <v>437</v>
      </c>
      <c r="J182" s="31">
        <v>0</v>
      </c>
      <c r="K182" s="31">
        <v>0</v>
      </c>
      <c r="L182" s="31">
        <v>0</v>
      </c>
      <c r="M182" s="31">
        <v>0</v>
      </c>
      <c r="N182" s="31">
        <v>0</v>
      </c>
      <c r="O182" s="31">
        <v>0</v>
      </c>
      <c r="P182" s="31">
        <v>0</v>
      </c>
      <c r="Q182" s="31">
        <v>0</v>
      </c>
      <c r="R182" s="31">
        <v>0</v>
      </c>
      <c r="S182" s="31">
        <v>0</v>
      </c>
      <c r="T182" s="31">
        <v>0</v>
      </c>
      <c r="U182" s="31">
        <v>0</v>
      </c>
      <c r="W182" s="31">
        <v>0</v>
      </c>
      <c r="X182" s="31">
        <v>0</v>
      </c>
      <c r="Y182" s="31">
        <v>0</v>
      </c>
      <c r="Z182" s="31">
        <v>0</v>
      </c>
      <c r="AA182" s="31">
        <v>0</v>
      </c>
      <c r="AB182" s="31">
        <v>0</v>
      </c>
      <c r="AC182" s="31">
        <v>0</v>
      </c>
      <c r="AD182" s="31">
        <v>0</v>
      </c>
      <c r="AE182" s="31">
        <v>0</v>
      </c>
      <c r="AF182" s="31">
        <v>0</v>
      </c>
      <c r="AG182" s="31">
        <v>0</v>
      </c>
      <c r="AH182" s="31">
        <v>0</v>
      </c>
      <c r="AI182" s="31">
        <v>0</v>
      </c>
      <c r="AL182" s="31">
        <f t="shared" si="12"/>
        <v>0</v>
      </c>
      <c r="AM182" s="31">
        <f t="shared" si="13"/>
        <v>0</v>
      </c>
      <c r="AN182" s="31">
        <f t="shared" si="14"/>
        <v>0</v>
      </c>
      <c r="AP182" s="31">
        <f>VLOOKUP($B182,Kraftvärmeprod!$B$1:$BX$549,MATCH(AP$1,Kraftvärmeprod!$B$1:$BX$1,0),FALSE)</f>
        <v>0</v>
      </c>
      <c r="AQ182" s="31">
        <f>VLOOKUP($B182,Kraftvärmeprod!$B$1:$BX$549,MATCH(AQ$1,Kraftvärmeprod!$B$1:$BX$1,0),FALSE)</f>
        <v>0</v>
      </c>
      <c r="AR182" s="31">
        <f>VLOOKUP($B182,Kraftvärmeprod!$B$1:$BX$549,MATCH("Summa tillförd energi exklusive rökgaskondensering",Kraftvärmeprod!$B$1:$BX$1,0),FALSE)</f>
        <v>0</v>
      </c>
      <c r="AT182" s="32" t="str">
        <f t="shared" si="15"/>
        <v/>
      </c>
      <c r="AV182" s="31">
        <f t="shared" si="16"/>
        <v>0</v>
      </c>
      <c r="AX182" s="31" t="str">
        <f>VLOOKUP(B182,Totalt!$B$1:$BZ$554,MATCH(AX$1,Totalt!$B$1:$BZ$1,0),FALSE)</f>
        <v>Nej</v>
      </c>
      <c r="BA182" s="32" t="str">
        <f t="shared" si="17"/>
        <v/>
      </c>
    </row>
    <row r="183" spans="1:53" x14ac:dyDescent="0.45">
      <c r="A183" s="31" t="s">
        <v>432</v>
      </c>
      <c r="B183" s="31" t="s">
        <v>436</v>
      </c>
      <c r="J183" s="31">
        <v>0</v>
      </c>
      <c r="K183" s="31">
        <v>0</v>
      </c>
      <c r="L183" s="31">
        <v>0</v>
      </c>
      <c r="M183" s="31">
        <v>0</v>
      </c>
      <c r="N183" s="31">
        <v>0</v>
      </c>
      <c r="O183" s="31">
        <v>0</v>
      </c>
      <c r="P183" s="31">
        <v>0</v>
      </c>
      <c r="Q183" s="31">
        <v>0</v>
      </c>
      <c r="R183" s="31">
        <v>0</v>
      </c>
      <c r="S183" s="31">
        <v>0</v>
      </c>
      <c r="T183" s="31">
        <v>0</v>
      </c>
      <c r="U183" s="31">
        <v>0</v>
      </c>
      <c r="W183" s="31">
        <v>0</v>
      </c>
      <c r="X183" s="31">
        <v>0</v>
      </c>
      <c r="Y183" s="31">
        <v>0</v>
      </c>
      <c r="Z183" s="31">
        <v>0</v>
      </c>
      <c r="AA183" s="31">
        <v>0</v>
      </c>
      <c r="AB183" s="31">
        <v>0</v>
      </c>
      <c r="AC183" s="31">
        <v>0</v>
      </c>
      <c r="AD183" s="31">
        <v>0</v>
      </c>
      <c r="AE183" s="31">
        <v>0</v>
      </c>
      <c r="AF183" s="31">
        <v>0</v>
      </c>
      <c r="AG183" s="31">
        <v>0</v>
      </c>
      <c r="AH183" s="31">
        <v>0</v>
      </c>
      <c r="AI183" s="31">
        <v>0</v>
      </c>
      <c r="AL183" s="31">
        <f t="shared" si="12"/>
        <v>0</v>
      </c>
      <c r="AM183" s="31">
        <f t="shared" si="13"/>
        <v>0</v>
      </c>
      <c r="AN183" s="31">
        <f t="shared" si="14"/>
        <v>0</v>
      </c>
      <c r="AP183" s="31">
        <f>VLOOKUP($B183,Kraftvärmeprod!$B$1:$BX$549,MATCH(AP$1,Kraftvärmeprod!$B$1:$BX$1,0),FALSE)</f>
        <v>0</v>
      </c>
      <c r="AQ183" s="31">
        <f>VLOOKUP($B183,Kraftvärmeprod!$B$1:$BX$549,MATCH(AQ$1,Kraftvärmeprod!$B$1:$BX$1,0),FALSE)</f>
        <v>0</v>
      </c>
      <c r="AR183" s="31">
        <f>VLOOKUP($B183,Kraftvärmeprod!$B$1:$BX$549,MATCH("Summa tillförd energi exklusive rökgaskondensering",Kraftvärmeprod!$B$1:$BX$1,0),FALSE)</f>
        <v>0</v>
      </c>
      <c r="AT183" s="32" t="str">
        <f t="shared" si="15"/>
        <v/>
      </c>
      <c r="AV183" s="31">
        <f t="shared" si="16"/>
        <v>0</v>
      </c>
      <c r="AX183" s="31" t="str">
        <f>VLOOKUP(B183,Totalt!$B$1:$BZ$554,MATCH(AX$1,Totalt!$B$1:$BZ$1,0),FALSE)</f>
        <v>Ja</v>
      </c>
      <c r="BA183" s="32" t="str">
        <f t="shared" si="17"/>
        <v/>
      </c>
    </row>
    <row r="184" spans="1:53" x14ac:dyDescent="0.45">
      <c r="A184" s="31" t="s">
        <v>432</v>
      </c>
      <c r="B184" s="31" t="s">
        <v>434</v>
      </c>
      <c r="J184" s="31">
        <v>67.569999999999993</v>
      </c>
      <c r="K184" s="31">
        <v>1.59</v>
      </c>
      <c r="L184" s="31">
        <v>0</v>
      </c>
      <c r="M184" s="31">
        <v>0</v>
      </c>
      <c r="N184" s="31">
        <v>0</v>
      </c>
      <c r="O184" s="31">
        <v>0</v>
      </c>
      <c r="P184" s="31">
        <v>57.22</v>
      </c>
      <c r="Q184" s="31">
        <v>31.78</v>
      </c>
      <c r="R184" s="31">
        <v>82.52</v>
      </c>
      <c r="S184" s="31">
        <v>57.28</v>
      </c>
      <c r="T184" s="31">
        <v>2.66</v>
      </c>
      <c r="U184" s="31">
        <v>0</v>
      </c>
      <c r="W184" s="31">
        <v>0</v>
      </c>
      <c r="X184" s="31">
        <v>0</v>
      </c>
      <c r="Y184" s="31">
        <v>0</v>
      </c>
      <c r="Z184" s="31">
        <v>47.97</v>
      </c>
      <c r="AA184" s="31">
        <v>0.18</v>
      </c>
      <c r="AB184" s="31">
        <v>0</v>
      </c>
      <c r="AC184" s="31">
        <v>0</v>
      </c>
      <c r="AD184" s="31">
        <v>44.04</v>
      </c>
      <c r="AE184" s="31">
        <v>397.32</v>
      </c>
      <c r="AF184" s="31">
        <v>0</v>
      </c>
      <c r="AG184" s="31">
        <v>0</v>
      </c>
      <c r="AH184" s="31">
        <v>0</v>
      </c>
      <c r="AI184" s="31">
        <v>35.28</v>
      </c>
      <c r="AL184" s="31">
        <f t="shared" si="12"/>
        <v>825.41000000000008</v>
      </c>
      <c r="AM184" s="31">
        <f t="shared" si="13"/>
        <v>790.13000000000011</v>
      </c>
      <c r="AN184" s="31">
        <f t="shared" si="14"/>
        <v>790.13000000000011</v>
      </c>
      <c r="AP184" s="31">
        <f>VLOOKUP($B184,Kraftvärmeprod!$B$1:$BX$549,MATCH(AP$1,Kraftvärmeprod!$B$1:$BX$1,0),FALSE)</f>
        <v>1189.4100000000001</v>
      </c>
      <c r="AQ184" s="31">
        <f>VLOOKUP($B184,Kraftvärmeprod!$B$1:$BX$549,MATCH(AQ$1,Kraftvärmeprod!$B$1:$BX$1,0),FALSE)</f>
        <v>499.4</v>
      </c>
      <c r="AR184" s="31">
        <f>VLOOKUP($B184,Kraftvärmeprod!$B$1:$BX$549,MATCH("Summa tillförd energi exklusive rökgaskondensering",Kraftvärmeprod!$B$1:$BX$1,0),FALSE)</f>
        <v>1827.98</v>
      </c>
      <c r="AT184" s="32">
        <f t="shared" si="15"/>
        <v>0.43224214706944281</v>
      </c>
      <c r="AV184" s="31">
        <f t="shared" si="16"/>
        <v>279.60999999999996</v>
      </c>
      <c r="AX184" s="31" t="str">
        <f>VLOOKUP(B184,Totalt!$B$1:$BZ$554,MATCH(AX$1,Totalt!$B$1:$BZ$1,0),FALSE)</f>
        <v>Ja</v>
      </c>
      <c r="BA184" s="32">
        <f t="shared" si="17"/>
        <v>1.4409929610738905</v>
      </c>
    </row>
    <row r="185" spans="1:53" x14ac:dyDescent="0.45">
      <c r="A185" s="31" t="s">
        <v>432</v>
      </c>
      <c r="B185" s="31" t="s">
        <v>435</v>
      </c>
      <c r="J185" s="31">
        <v>0</v>
      </c>
      <c r="K185" s="31">
        <v>0</v>
      </c>
      <c r="L185" s="31">
        <v>0</v>
      </c>
      <c r="M185" s="31">
        <v>0</v>
      </c>
      <c r="N185" s="31">
        <v>0</v>
      </c>
      <c r="O185" s="31">
        <v>0</v>
      </c>
      <c r="P185" s="31">
        <v>0</v>
      </c>
      <c r="Q185" s="31">
        <v>0</v>
      </c>
      <c r="R185" s="31">
        <v>0</v>
      </c>
      <c r="S185" s="31">
        <v>0</v>
      </c>
      <c r="T185" s="31">
        <v>0</v>
      </c>
      <c r="U185" s="31">
        <v>0</v>
      </c>
      <c r="W185" s="31">
        <v>0</v>
      </c>
      <c r="X185" s="31">
        <v>0</v>
      </c>
      <c r="Y185" s="31">
        <v>0</v>
      </c>
      <c r="Z185" s="31">
        <v>0</v>
      </c>
      <c r="AA185" s="31">
        <v>0</v>
      </c>
      <c r="AB185" s="31">
        <v>0</v>
      </c>
      <c r="AC185" s="31">
        <v>0</v>
      </c>
      <c r="AD185" s="31">
        <v>0</v>
      </c>
      <c r="AE185" s="31">
        <v>0</v>
      </c>
      <c r="AF185" s="31">
        <v>0</v>
      </c>
      <c r="AG185" s="31">
        <v>0</v>
      </c>
      <c r="AH185" s="31">
        <v>0</v>
      </c>
      <c r="AI185" s="31">
        <v>0</v>
      </c>
      <c r="AL185" s="31">
        <f t="shared" si="12"/>
        <v>0</v>
      </c>
      <c r="AM185" s="31">
        <f t="shared" si="13"/>
        <v>0</v>
      </c>
      <c r="AN185" s="31">
        <f t="shared" si="14"/>
        <v>0</v>
      </c>
      <c r="AP185" s="31">
        <f>VLOOKUP($B185,Kraftvärmeprod!$B$1:$BX$549,MATCH(AP$1,Kraftvärmeprod!$B$1:$BX$1,0),FALSE)</f>
        <v>0</v>
      </c>
      <c r="AQ185" s="31">
        <f>VLOOKUP($B185,Kraftvärmeprod!$B$1:$BX$549,MATCH(AQ$1,Kraftvärmeprod!$B$1:$BX$1,0),FALSE)</f>
        <v>0</v>
      </c>
      <c r="AR185" s="31">
        <f>VLOOKUP($B185,Kraftvärmeprod!$B$1:$BX$549,MATCH("Summa tillförd energi exklusive rökgaskondensering",Kraftvärmeprod!$B$1:$BX$1,0),FALSE)</f>
        <v>0</v>
      </c>
      <c r="AT185" s="32" t="str">
        <f t="shared" si="15"/>
        <v/>
      </c>
      <c r="AV185" s="31">
        <f t="shared" si="16"/>
        <v>0</v>
      </c>
      <c r="AX185" s="31" t="str">
        <f>VLOOKUP(B185,Totalt!$B$1:$BZ$554,MATCH(AX$1,Totalt!$B$1:$BZ$1,0),FALSE)</f>
        <v>Nej</v>
      </c>
      <c r="BA185" s="32" t="str">
        <f t="shared" si="17"/>
        <v/>
      </c>
    </row>
    <row r="186" spans="1:53" x14ac:dyDescent="0.45">
      <c r="A186" s="31" t="s">
        <v>432</v>
      </c>
      <c r="B186" s="31" t="s">
        <v>431</v>
      </c>
      <c r="J186" s="31">
        <v>1.66</v>
      </c>
      <c r="K186" s="31">
        <v>0.28599999999999998</v>
      </c>
      <c r="L186" s="31">
        <v>0</v>
      </c>
      <c r="M186" s="31">
        <v>7.8E-2</v>
      </c>
      <c r="N186" s="31">
        <v>0</v>
      </c>
      <c r="O186" s="31">
        <v>0</v>
      </c>
      <c r="P186" s="31">
        <v>2.1520000000000001</v>
      </c>
      <c r="Q186" s="31">
        <v>1.196</v>
      </c>
      <c r="R186" s="31">
        <v>3.1040000000000001</v>
      </c>
      <c r="S186" s="31">
        <v>2.1520000000000001</v>
      </c>
      <c r="T186" s="31">
        <v>0.1</v>
      </c>
      <c r="U186" s="31">
        <v>0</v>
      </c>
      <c r="W186" s="31">
        <v>0</v>
      </c>
      <c r="X186" s="31">
        <v>0</v>
      </c>
      <c r="Y186" s="31">
        <v>0</v>
      </c>
      <c r="Z186" s="31">
        <v>3.9769999999999999</v>
      </c>
      <c r="AA186" s="31">
        <v>0.17699999999999999</v>
      </c>
      <c r="AB186" s="31">
        <v>0</v>
      </c>
      <c r="AC186" s="31">
        <v>0</v>
      </c>
      <c r="AD186" s="31">
        <v>1.2949999999999999</v>
      </c>
      <c r="AE186" s="31">
        <v>16.39</v>
      </c>
      <c r="AF186" s="31">
        <v>0</v>
      </c>
      <c r="AG186" s="31">
        <v>0</v>
      </c>
      <c r="AH186" s="31">
        <v>0</v>
      </c>
      <c r="AI186" s="31">
        <v>1.1950000000000001</v>
      </c>
      <c r="AL186" s="31">
        <f t="shared" si="12"/>
        <v>33.762</v>
      </c>
      <c r="AM186" s="31">
        <f t="shared" si="13"/>
        <v>32.567</v>
      </c>
      <c r="AN186" s="31">
        <f t="shared" si="14"/>
        <v>32.567</v>
      </c>
      <c r="AP186" s="31">
        <f>VLOOKUP($B186,Kraftvärmeprod!$B$1:$BX$549,MATCH(AP$1,Kraftvärmeprod!$B$1:$BX$1,0),FALSE)</f>
        <v>45.22</v>
      </c>
      <c r="AQ186" s="31">
        <f>VLOOKUP($B186,Kraftvärmeprod!$B$1:$BX$549,MATCH(AQ$1,Kraftvärmeprod!$B$1:$BX$1,0),FALSE)</f>
        <v>18.98</v>
      </c>
      <c r="AR186" s="31">
        <f>VLOOKUP($B186,Kraftvärmeprod!$B$1:$BX$549,MATCH("Summa tillförd energi exklusive rökgaskondensering",Kraftvärmeprod!$B$1:$BX$1,0),FALSE)</f>
        <v>68.199999999999989</v>
      </c>
      <c r="AT186" s="32">
        <f t="shared" si="15"/>
        <v>0.47752199413489743</v>
      </c>
      <c r="AV186" s="31">
        <f t="shared" si="16"/>
        <v>12.858000000000001</v>
      </c>
      <c r="AX186" s="31" t="str">
        <f>VLOOKUP(B186,Totalt!$B$1:$BZ$554,MATCH(AX$1,Totalt!$B$1:$BZ$1,0),FALSE)</f>
        <v>Ja</v>
      </c>
      <c r="BA186" s="32">
        <f t="shared" si="17"/>
        <v>1.3393756294058408</v>
      </c>
    </row>
    <row r="187" spans="1:53" x14ac:dyDescent="0.45">
      <c r="A187" s="31" t="s">
        <v>428</v>
      </c>
      <c r="B187" s="31" t="s">
        <v>430</v>
      </c>
      <c r="J187" s="31">
        <v>0</v>
      </c>
      <c r="K187" s="31">
        <v>0</v>
      </c>
      <c r="L187" s="31">
        <v>0</v>
      </c>
      <c r="M187" s="31">
        <v>0</v>
      </c>
      <c r="N187" s="31">
        <v>0</v>
      </c>
      <c r="O187" s="31">
        <v>0</v>
      </c>
      <c r="P187" s="31">
        <v>21.5899</v>
      </c>
      <c r="Q187" s="31">
        <v>64.663200000000003</v>
      </c>
      <c r="R187" s="31">
        <v>7.0230800000000002</v>
      </c>
      <c r="S187" s="31">
        <v>0</v>
      </c>
      <c r="T187" s="31">
        <v>0</v>
      </c>
      <c r="U187" s="31">
        <v>0</v>
      </c>
      <c r="W187" s="31">
        <v>0</v>
      </c>
      <c r="X187" s="31">
        <v>0</v>
      </c>
      <c r="Y187" s="31">
        <v>0</v>
      </c>
      <c r="Z187" s="31">
        <v>88.253399999999999</v>
      </c>
      <c r="AA187" s="31">
        <v>0</v>
      </c>
      <c r="AB187" s="31">
        <v>7.2269700000000006E-2</v>
      </c>
      <c r="AC187" s="31">
        <v>0</v>
      </c>
      <c r="AD187" s="31">
        <v>0</v>
      </c>
      <c r="AE187" s="31">
        <v>0</v>
      </c>
      <c r="AF187" s="31">
        <v>0</v>
      </c>
      <c r="AG187" s="31">
        <v>0</v>
      </c>
      <c r="AH187" s="31">
        <v>100.45399999999999</v>
      </c>
      <c r="AI187" s="31">
        <v>7.2029100000000001</v>
      </c>
      <c r="AL187" s="31">
        <f t="shared" si="12"/>
        <v>289.25875969999998</v>
      </c>
      <c r="AM187" s="31">
        <f t="shared" si="13"/>
        <v>282.05584970000001</v>
      </c>
      <c r="AN187" s="31">
        <f t="shared" si="14"/>
        <v>181.6018497</v>
      </c>
      <c r="AP187" s="31">
        <f>VLOOKUP($B187,Kraftvärmeprod!$B$1:$BX$549,MATCH(AP$1,Kraftvärmeprod!$B$1:$BX$1,0),FALSE)</f>
        <v>222.88399999999999</v>
      </c>
      <c r="AQ187" s="31">
        <f>VLOOKUP($B187,Kraftvärmeprod!$B$1:$BX$549,MATCH(AQ$1,Kraftvärmeprod!$B$1:$BX$1,0),FALSE)</f>
        <v>101.744</v>
      </c>
      <c r="AR187" s="31">
        <f>VLOOKUP($B187,Kraftvärmeprod!$B$1:$BX$549,MATCH("Summa tillförd energi exklusive rökgaskondensering",Kraftvärmeprod!$B$1:$BX$1,0),FALSE)</f>
        <v>397.62299999999999</v>
      </c>
      <c r="AT187" s="32">
        <f t="shared" si="15"/>
        <v>0.45671867497604518</v>
      </c>
      <c r="AV187" s="31">
        <f t="shared" si="16"/>
        <v>181.6018497</v>
      </c>
      <c r="AX187" s="31" t="str">
        <f>VLOOKUP(B187,Totalt!$B$1:$BZ$554,MATCH(AX$1,Totalt!$B$1:$BZ$1,0),FALSE)</f>
        <v>Ja</v>
      </c>
      <c r="BA187" s="32">
        <f t="shared" si="17"/>
        <v>1.1804999002893251</v>
      </c>
    </row>
    <row r="188" spans="1:53" x14ac:dyDescent="0.45">
      <c r="A188" s="31" t="s">
        <v>428</v>
      </c>
      <c r="B188" s="31" t="s">
        <v>427</v>
      </c>
      <c r="J188" s="31">
        <v>0</v>
      </c>
      <c r="K188" s="31">
        <v>0</v>
      </c>
      <c r="L188" s="31">
        <v>0</v>
      </c>
      <c r="M188" s="31">
        <v>0</v>
      </c>
      <c r="N188" s="31">
        <v>0</v>
      </c>
      <c r="O188" s="31">
        <v>0</v>
      </c>
      <c r="P188" s="31">
        <v>0</v>
      </c>
      <c r="Q188" s="31">
        <v>0</v>
      </c>
      <c r="R188" s="31">
        <v>0</v>
      </c>
      <c r="S188" s="31">
        <v>0</v>
      </c>
      <c r="T188" s="31">
        <v>0</v>
      </c>
      <c r="U188" s="31">
        <v>0</v>
      </c>
      <c r="W188" s="31">
        <v>0</v>
      </c>
      <c r="X188" s="31">
        <v>0</v>
      </c>
      <c r="Y188" s="31">
        <v>0</v>
      </c>
      <c r="Z188" s="31">
        <v>0</v>
      </c>
      <c r="AA188" s="31">
        <v>0</v>
      </c>
      <c r="AB188" s="31">
        <v>0</v>
      </c>
      <c r="AC188" s="31">
        <v>0</v>
      </c>
      <c r="AD188" s="31">
        <v>0</v>
      </c>
      <c r="AE188" s="31">
        <v>0</v>
      </c>
      <c r="AF188" s="31">
        <v>0</v>
      </c>
      <c r="AG188" s="31">
        <v>0</v>
      </c>
      <c r="AH188" s="31">
        <v>0</v>
      </c>
      <c r="AI188" s="31">
        <v>0</v>
      </c>
      <c r="AL188" s="31">
        <f t="shared" si="12"/>
        <v>0</v>
      </c>
      <c r="AM188" s="31">
        <f t="shared" si="13"/>
        <v>0</v>
      </c>
      <c r="AN188" s="31">
        <f t="shared" si="14"/>
        <v>0</v>
      </c>
      <c r="AP188" s="31">
        <f>VLOOKUP($B188,Kraftvärmeprod!$B$1:$BX$549,MATCH(AP$1,Kraftvärmeprod!$B$1:$BX$1,0),FALSE)</f>
        <v>0</v>
      </c>
      <c r="AQ188" s="31">
        <f>VLOOKUP($B188,Kraftvärmeprod!$B$1:$BX$549,MATCH(AQ$1,Kraftvärmeprod!$B$1:$BX$1,0),FALSE)</f>
        <v>0</v>
      </c>
      <c r="AR188" s="31">
        <f>VLOOKUP($B188,Kraftvärmeprod!$B$1:$BX$549,MATCH("Summa tillförd energi exklusive rökgaskondensering",Kraftvärmeprod!$B$1:$BX$1,0),FALSE)</f>
        <v>0</v>
      </c>
      <c r="AT188" s="32" t="str">
        <f t="shared" si="15"/>
        <v/>
      </c>
      <c r="AV188" s="31">
        <f t="shared" si="16"/>
        <v>0</v>
      </c>
      <c r="AX188" s="31" t="str">
        <f>VLOOKUP(B188,Totalt!$B$1:$BZ$554,MATCH(AX$1,Totalt!$B$1:$BZ$1,0),FALSE)</f>
        <v>Nej</v>
      </c>
      <c r="BA188" s="32" t="str">
        <f t="shared" si="17"/>
        <v/>
      </c>
    </row>
    <row r="189" spans="1:53" x14ac:dyDescent="0.45">
      <c r="A189" s="31" t="s">
        <v>428</v>
      </c>
      <c r="B189" s="31" t="s">
        <v>429</v>
      </c>
      <c r="J189" s="31">
        <v>0</v>
      </c>
      <c r="K189" s="31">
        <v>0</v>
      </c>
      <c r="L189" s="31">
        <v>0</v>
      </c>
      <c r="M189" s="31">
        <v>0</v>
      </c>
      <c r="N189" s="31">
        <v>0</v>
      </c>
      <c r="O189" s="31">
        <v>0</v>
      </c>
      <c r="P189" s="31">
        <v>36.668700000000001</v>
      </c>
      <c r="Q189" s="31">
        <v>0</v>
      </c>
      <c r="R189" s="31">
        <v>0</v>
      </c>
      <c r="S189" s="31">
        <v>0</v>
      </c>
      <c r="T189" s="31">
        <v>0</v>
      </c>
      <c r="U189" s="31">
        <v>0</v>
      </c>
      <c r="W189" s="31">
        <v>0</v>
      </c>
      <c r="X189" s="31">
        <v>0</v>
      </c>
      <c r="Y189" s="31">
        <v>0</v>
      </c>
      <c r="Z189" s="31">
        <v>0</v>
      </c>
      <c r="AA189" s="31">
        <v>0</v>
      </c>
      <c r="AB189" s="31">
        <v>0</v>
      </c>
      <c r="AC189" s="31">
        <v>0</v>
      </c>
      <c r="AD189" s="31">
        <v>0</v>
      </c>
      <c r="AE189" s="31">
        <v>0</v>
      </c>
      <c r="AF189" s="31">
        <v>0</v>
      </c>
      <c r="AG189" s="31">
        <v>0</v>
      </c>
      <c r="AH189" s="31">
        <v>20.283999999999999</v>
      </c>
      <c r="AI189" s="31">
        <v>1.4557500000000001</v>
      </c>
      <c r="AL189" s="31">
        <f t="shared" si="12"/>
        <v>58.408450000000002</v>
      </c>
      <c r="AM189" s="31">
        <f t="shared" si="13"/>
        <v>56.9527</v>
      </c>
      <c r="AN189" s="31">
        <f t="shared" si="14"/>
        <v>36.668700000000001</v>
      </c>
      <c r="AP189" s="31">
        <f>VLOOKUP($B189,Kraftvärmeprod!$B$1:$BX$549,MATCH(AP$1,Kraftvärmeprod!$B$1:$BX$1,0),FALSE)</f>
        <v>45.006</v>
      </c>
      <c r="AQ189" s="31">
        <f>VLOOKUP($B189,Kraftvärmeprod!$B$1:$BX$549,MATCH(AQ$1,Kraftvärmeprod!$B$1:$BX$1,0),FALSE)</f>
        <v>20.544</v>
      </c>
      <c r="AR189" s="31">
        <f>VLOOKUP($B189,Kraftvärmeprod!$B$1:$BX$549,MATCH("Summa tillförd energi exklusive rökgaskondensering",Kraftvärmeprod!$B$1:$BX$1,0),FALSE)</f>
        <v>80.289599999999993</v>
      </c>
      <c r="AT189" s="32">
        <f t="shared" si="15"/>
        <v>0.45670547617624208</v>
      </c>
      <c r="AV189" s="31">
        <f t="shared" si="16"/>
        <v>36.668700000000001</v>
      </c>
      <c r="AX189" s="31" t="str">
        <f>VLOOKUP(B189,Totalt!$B$1:$BZ$554,MATCH(AX$1,Totalt!$B$1:$BZ$1,0),FALSE)</f>
        <v>Ja</v>
      </c>
      <c r="BA189" s="32">
        <f t="shared" si="17"/>
        <v>1.1805022760984092</v>
      </c>
    </row>
    <row r="190" spans="1:53" x14ac:dyDescent="0.45">
      <c r="A190" s="31" t="s">
        <v>418</v>
      </c>
      <c r="B190" s="31" t="s">
        <v>424</v>
      </c>
      <c r="J190" s="31">
        <v>0</v>
      </c>
      <c r="K190" s="31">
        <v>0</v>
      </c>
      <c r="L190" s="31">
        <v>0</v>
      </c>
      <c r="M190" s="31">
        <v>0</v>
      </c>
      <c r="N190" s="31">
        <v>0</v>
      </c>
      <c r="O190" s="31">
        <v>0</v>
      </c>
      <c r="P190" s="31">
        <v>0</v>
      </c>
      <c r="Q190" s="31">
        <v>0</v>
      </c>
      <c r="R190" s="31">
        <v>0</v>
      </c>
      <c r="S190" s="31">
        <v>0</v>
      </c>
      <c r="T190" s="31">
        <v>0</v>
      </c>
      <c r="U190" s="31">
        <v>0</v>
      </c>
      <c r="W190" s="31">
        <v>0</v>
      </c>
      <c r="X190" s="31">
        <v>0</v>
      </c>
      <c r="Y190" s="31">
        <v>0</v>
      </c>
      <c r="Z190" s="31">
        <v>0</v>
      </c>
      <c r="AA190" s="31">
        <v>0</v>
      </c>
      <c r="AB190" s="31">
        <v>0</v>
      </c>
      <c r="AC190" s="31">
        <v>0</v>
      </c>
      <c r="AD190" s="31">
        <v>0</v>
      </c>
      <c r="AE190" s="31">
        <v>0</v>
      </c>
      <c r="AF190" s="31">
        <v>0</v>
      </c>
      <c r="AG190" s="31">
        <v>0</v>
      </c>
      <c r="AH190" s="31">
        <v>0</v>
      </c>
      <c r="AI190" s="31">
        <v>0</v>
      </c>
      <c r="AL190" s="31">
        <f t="shared" si="12"/>
        <v>0</v>
      </c>
      <c r="AM190" s="31">
        <f t="shared" si="13"/>
        <v>0</v>
      </c>
      <c r="AN190" s="31">
        <f t="shared" si="14"/>
        <v>0</v>
      </c>
      <c r="AP190" s="31">
        <f>VLOOKUP($B190,Kraftvärmeprod!$B$1:$BX$549,MATCH(AP$1,Kraftvärmeprod!$B$1:$BX$1,0),FALSE)</f>
        <v>0</v>
      </c>
      <c r="AQ190" s="31">
        <f>VLOOKUP($B190,Kraftvärmeprod!$B$1:$BX$549,MATCH(AQ$1,Kraftvärmeprod!$B$1:$BX$1,0),FALSE)</f>
        <v>0</v>
      </c>
      <c r="AR190" s="31">
        <f>VLOOKUP($B190,Kraftvärmeprod!$B$1:$BX$549,MATCH("Summa tillförd energi exklusive rökgaskondensering",Kraftvärmeprod!$B$1:$BX$1,0),FALSE)</f>
        <v>0</v>
      </c>
      <c r="AT190" s="32" t="str">
        <f t="shared" si="15"/>
        <v/>
      </c>
      <c r="AV190" s="31">
        <f t="shared" si="16"/>
        <v>0</v>
      </c>
      <c r="AX190" s="31" t="str">
        <f>VLOOKUP(B190,Totalt!$B$1:$BZ$554,MATCH(AX$1,Totalt!$B$1:$BZ$1,0),FALSE)</f>
        <v>Ja</v>
      </c>
      <c r="BA190" s="32" t="str">
        <f t="shared" si="17"/>
        <v/>
      </c>
    </row>
    <row r="191" spans="1:53" x14ac:dyDescent="0.45">
      <c r="A191" s="31" t="s">
        <v>418</v>
      </c>
      <c r="B191" s="31" t="s">
        <v>97</v>
      </c>
      <c r="J191" s="31">
        <v>0</v>
      </c>
      <c r="K191" s="31">
        <v>0</v>
      </c>
      <c r="L191" s="31">
        <v>0</v>
      </c>
      <c r="M191" s="31">
        <v>0</v>
      </c>
      <c r="N191" s="31">
        <v>0</v>
      </c>
      <c r="O191" s="31">
        <v>0</v>
      </c>
      <c r="P191" s="31">
        <v>0</v>
      </c>
      <c r="Q191" s="31">
        <v>0</v>
      </c>
      <c r="R191" s="31">
        <v>0</v>
      </c>
      <c r="S191" s="31">
        <v>0</v>
      </c>
      <c r="T191" s="31">
        <v>0</v>
      </c>
      <c r="U191" s="31">
        <v>0</v>
      </c>
      <c r="W191" s="31">
        <v>0</v>
      </c>
      <c r="X191" s="31">
        <v>0</v>
      </c>
      <c r="Y191" s="31">
        <v>0</v>
      </c>
      <c r="Z191" s="31">
        <v>0</v>
      </c>
      <c r="AA191" s="31">
        <v>0</v>
      </c>
      <c r="AB191" s="31">
        <v>0</v>
      </c>
      <c r="AC191" s="31">
        <v>0</v>
      </c>
      <c r="AD191" s="31">
        <v>0</v>
      </c>
      <c r="AE191" s="31">
        <v>0</v>
      </c>
      <c r="AF191" s="31">
        <v>0</v>
      </c>
      <c r="AG191" s="31">
        <v>0</v>
      </c>
      <c r="AH191" s="31">
        <v>0</v>
      </c>
      <c r="AI191" s="31">
        <v>0</v>
      </c>
      <c r="AL191" s="31">
        <f t="shared" si="12"/>
        <v>0</v>
      </c>
      <c r="AM191" s="31">
        <f t="shared" si="13"/>
        <v>0</v>
      </c>
      <c r="AN191" s="31">
        <f t="shared" si="14"/>
        <v>0</v>
      </c>
      <c r="AP191" s="31">
        <f>VLOOKUP($B191,Kraftvärmeprod!$B$1:$BX$549,MATCH(AP$1,Kraftvärmeprod!$B$1:$BX$1,0),FALSE)</f>
        <v>0</v>
      </c>
      <c r="AQ191" s="31">
        <f>VLOOKUP($B191,Kraftvärmeprod!$B$1:$BX$549,MATCH(AQ$1,Kraftvärmeprod!$B$1:$BX$1,0),FALSE)</f>
        <v>0</v>
      </c>
      <c r="AR191" s="31">
        <f>VLOOKUP($B191,Kraftvärmeprod!$B$1:$BX$549,MATCH("Summa tillförd energi exklusive rökgaskondensering",Kraftvärmeprod!$B$1:$BX$1,0),FALSE)</f>
        <v>0</v>
      </c>
      <c r="AT191" s="32" t="str">
        <f t="shared" si="15"/>
        <v/>
      </c>
      <c r="AV191" s="31">
        <f t="shared" si="16"/>
        <v>0</v>
      </c>
      <c r="AX191" s="31" t="str">
        <f>VLOOKUP(B191,Totalt!$B$1:$BZ$554,MATCH(AX$1,Totalt!$B$1:$BZ$1,0),FALSE)</f>
        <v>Ja</v>
      </c>
      <c r="BA191" s="32" t="str">
        <f t="shared" si="17"/>
        <v/>
      </c>
    </row>
    <row r="192" spans="1:53" x14ac:dyDescent="0.45">
      <c r="A192" s="31" t="s">
        <v>418</v>
      </c>
      <c r="B192" s="31" t="s">
        <v>99</v>
      </c>
      <c r="J192" s="31">
        <v>0</v>
      </c>
      <c r="K192" s="31">
        <v>0</v>
      </c>
      <c r="L192" s="31">
        <v>0</v>
      </c>
      <c r="M192" s="31">
        <v>0</v>
      </c>
      <c r="N192" s="31">
        <v>0</v>
      </c>
      <c r="O192" s="31">
        <v>0</v>
      </c>
      <c r="P192" s="31">
        <v>0</v>
      </c>
      <c r="Q192" s="31">
        <v>0</v>
      </c>
      <c r="R192" s="31">
        <v>0</v>
      </c>
      <c r="S192" s="31">
        <v>0</v>
      </c>
      <c r="T192" s="31">
        <v>0</v>
      </c>
      <c r="U192" s="31">
        <v>0</v>
      </c>
      <c r="W192" s="31">
        <v>0</v>
      </c>
      <c r="X192" s="31">
        <v>0</v>
      </c>
      <c r="Y192" s="31">
        <v>0</v>
      </c>
      <c r="Z192" s="31">
        <v>0</v>
      </c>
      <c r="AA192" s="31">
        <v>0</v>
      </c>
      <c r="AB192" s="31">
        <v>0</v>
      </c>
      <c r="AC192" s="31">
        <v>0</v>
      </c>
      <c r="AD192" s="31">
        <v>0</v>
      </c>
      <c r="AE192" s="31">
        <v>0</v>
      </c>
      <c r="AF192" s="31">
        <v>0</v>
      </c>
      <c r="AG192" s="31">
        <v>0</v>
      </c>
      <c r="AH192" s="31">
        <v>0</v>
      </c>
      <c r="AI192" s="31">
        <v>0</v>
      </c>
      <c r="AL192" s="31">
        <f t="shared" si="12"/>
        <v>0</v>
      </c>
      <c r="AM192" s="31">
        <f t="shared" si="13"/>
        <v>0</v>
      </c>
      <c r="AN192" s="31">
        <f t="shared" si="14"/>
        <v>0</v>
      </c>
      <c r="AP192" s="31">
        <f>VLOOKUP($B192,Kraftvärmeprod!$B$1:$BX$549,MATCH(AP$1,Kraftvärmeprod!$B$1:$BX$1,0),FALSE)</f>
        <v>0</v>
      </c>
      <c r="AQ192" s="31">
        <f>VLOOKUP($B192,Kraftvärmeprod!$B$1:$BX$549,MATCH(AQ$1,Kraftvärmeprod!$B$1:$BX$1,0),FALSE)</f>
        <v>0</v>
      </c>
      <c r="AR192" s="31">
        <f>VLOOKUP($B192,Kraftvärmeprod!$B$1:$BX$549,MATCH("Summa tillförd energi exklusive rökgaskondensering",Kraftvärmeprod!$B$1:$BX$1,0),FALSE)</f>
        <v>0</v>
      </c>
      <c r="AT192" s="32" t="str">
        <f t="shared" si="15"/>
        <v/>
      </c>
      <c r="AV192" s="31">
        <f t="shared" si="16"/>
        <v>0</v>
      </c>
      <c r="AX192" s="31" t="str">
        <f>VLOOKUP(B192,Totalt!$B$1:$BZ$554,MATCH(AX$1,Totalt!$B$1:$BZ$1,0),FALSE)</f>
        <v>Ja</v>
      </c>
      <c r="BA192" s="32" t="str">
        <f t="shared" si="17"/>
        <v/>
      </c>
    </row>
    <row r="193" spans="1:53" x14ac:dyDescent="0.45">
      <c r="A193" s="31" t="s">
        <v>418</v>
      </c>
      <c r="B193" s="31" t="s">
        <v>101</v>
      </c>
      <c r="J193" s="31">
        <v>0</v>
      </c>
      <c r="K193" s="31">
        <v>0</v>
      </c>
      <c r="L193" s="31">
        <v>0</v>
      </c>
      <c r="M193" s="31">
        <v>0</v>
      </c>
      <c r="N193" s="31">
        <v>0</v>
      </c>
      <c r="O193" s="31">
        <v>0</v>
      </c>
      <c r="P193" s="31">
        <v>0</v>
      </c>
      <c r="Q193" s="31">
        <v>0</v>
      </c>
      <c r="R193" s="31">
        <v>0</v>
      </c>
      <c r="S193" s="31">
        <v>0</v>
      </c>
      <c r="T193" s="31">
        <v>0</v>
      </c>
      <c r="U193" s="31">
        <v>0</v>
      </c>
      <c r="W193" s="31">
        <v>0</v>
      </c>
      <c r="X193" s="31">
        <v>0</v>
      </c>
      <c r="Y193" s="31">
        <v>0</v>
      </c>
      <c r="Z193" s="31">
        <v>0</v>
      </c>
      <c r="AA193" s="31">
        <v>0</v>
      </c>
      <c r="AB193" s="31">
        <v>0</v>
      </c>
      <c r="AC193" s="31">
        <v>0</v>
      </c>
      <c r="AD193" s="31">
        <v>0</v>
      </c>
      <c r="AE193" s="31">
        <v>0</v>
      </c>
      <c r="AF193" s="31">
        <v>0</v>
      </c>
      <c r="AG193" s="31">
        <v>0</v>
      </c>
      <c r="AH193" s="31">
        <v>0</v>
      </c>
      <c r="AI193" s="31">
        <v>0</v>
      </c>
      <c r="AL193" s="31">
        <f t="shared" si="12"/>
        <v>0</v>
      </c>
      <c r="AM193" s="31">
        <f t="shared" si="13"/>
        <v>0</v>
      </c>
      <c r="AN193" s="31">
        <f t="shared" si="14"/>
        <v>0</v>
      </c>
      <c r="AP193" s="31">
        <f>VLOOKUP($B193,Kraftvärmeprod!$B$1:$BX$549,MATCH(AP$1,Kraftvärmeprod!$B$1:$BX$1,0),FALSE)</f>
        <v>0</v>
      </c>
      <c r="AQ193" s="31">
        <f>VLOOKUP($B193,Kraftvärmeprod!$B$1:$BX$549,MATCH(AQ$1,Kraftvärmeprod!$B$1:$BX$1,0),FALSE)</f>
        <v>0</v>
      </c>
      <c r="AR193" s="31">
        <f>VLOOKUP($B193,Kraftvärmeprod!$B$1:$BX$549,MATCH("Summa tillförd energi exklusive rökgaskondensering",Kraftvärmeprod!$B$1:$BX$1,0),FALSE)</f>
        <v>0</v>
      </c>
      <c r="AT193" s="32" t="str">
        <f t="shared" si="15"/>
        <v/>
      </c>
      <c r="AV193" s="31">
        <f t="shared" si="16"/>
        <v>0</v>
      </c>
      <c r="AX193" s="31" t="str">
        <f>VLOOKUP(B193,Totalt!$B$1:$BZ$554,MATCH(AX$1,Totalt!$B$1:$BZ$1,0),FALSE)</f>
        <v>Ja</v>
      </c>
      <c r="BA193" s="32" t="str">
        <f t="shared" si="17"/>
        <v/>
      </c>
    </row>
    <row r="194" spans="1:53" x14ac:dyDescent="0.45">
      <c r="A194" s="31" t="s">
        <v>418</v>
      </c>
      <c r="B194" s="31" t="s">
        <v>103</v>
      </c>
      <c r="J194" s="31">
        <v>0</v>
      </c>
      <c r="K194" s="31">
        <v>0</v>
      </c>
      <c r="L194" s="31">
        <v>0</v>
      </c>
      <c r="M194" s="31">
        <v>0</v>
      </c>
      <c r="N194" s="31">
        <v>0</v>
      </c>
      <c r="O194" s="31">
        <v>0</v>
      </c>
      <c r="P194" s="31">
        <v>0</v>
      </c>
      <c r="Q194" s="31">
        <v>0</v>
      </c>
      <c r="R194" s="31">
        <v>0</v>
      </c>
      <c r="S194" s="31">
        <v>0</v>
      </c>
      <c r="T194" s="31">
        <v>0</v>
      </c>
      <c r="U194" s="31">
        <v>0</v>
      </c>
      <c r="W194" s="31">
        <v>0</v>
      </c>
      <c r="X194" s="31">
        <v>0</v>
      </c>
      <c r="Y194" s="31">
        <v>0</v>
      </c>
      <c r="Z194" s="31">
        <v>0</v>
      </c>
      <c r="AA194" s="31">
        <v>0</v>
      </c>
      <c r="AB194" s="31">
        <v>0</v>
      </c>
      <c r="AC194" s="31">
        <v>0</v>
      </c>
      <c r="AD194" s="31">
        <v>0</v>
      </c>
      <c r="AE194" s="31">
        <v>0</v>
      </c>
      <c r="AF194" s="31">
        <v>0</v>
      </c>
      <c r="AG194" s="31">
        <v>0</v>
      </c>
      <c r="AH194" s="31">
        <v>0</v>
      </c>
      <c r="AI194" s="31">
        <v>0</v>
      </c>
      <c r="AL194" s="31">
        <f t="shared" ref="AL194:AL257" si="18">SUM(J194:U194,W194:AI194)</f>
        <v>0</v>
      </c>
      <c r="AM194" s="31">
        <f t="shared" ref="AM194:AM257" si="19">AL194-IFERROR(AI194/1,0)</f>
        <v>0</v>
      </c>
      <c r="AN194" s="31">
        <f t="shared" ref="AN194:AN257" si="20">AM194-IFERROR(AH194/1,0)</f>
        <v>0</v>
      </c>
      <c r="AP194" s="31">
        <f>VLOOKUP($B194,Kraftvärmeprod!$B$1:$BX$549,MATCH(AP$1,Kraftvärmeprod!$B$1:$BX$1,0),FALSE)</f>
        <v>0</v>
      </c>
      <c r="AQ194" s="31">
        <f>VLOOKUP($B194,Kraftvärmeprod!$B$1:$BX$549,MATCH(AQ$1,Kraftvärmeprod!$B$1:$BX$1,0),FALSE)</f>
        <v>0</v>
      </c>
      <c r="AR194" s="31">
        <f>VLOOKUP($B194,Kraftvärmeprod!$B$1:$BX$549,MATCH("Summa tillförd energi exklusive rökgaskondensering",Kraftvärmeprod!$B$1:$BX$1,0),FALSE)</f>
        <v>0</v>
      </c>
      <c r="AT194" s="32" t="str">
        <f t="shared" ref="AT194:AT257" si="21">IF(AN194=0,"",AN194/AR194)</f>
        <v/>
      </c>
      <c r="AV194" s="31">
        <f t="shared" ref="AV194:AV257" si="22">Q194+R194+S194+T194+U194+P194+X194+Y194+Z194+AA194+AB194+AC194+W194</f>
        <v>0</v>
      </c>
      <c r="AX194" s="31" t="str">
        <f>VLOOKUP(B194,Totalt!$B$1:$BZ$554,MATCH(AX$1,Totalt!$B$1:$BZ$1,0),FALSE)</f>
        <v>Ja</v>
      </c>
      <c r="BA194" s="32" t="str">
        <f t="shared" ref="BA194:BA257" si="23">IFERROR(AP194/(AN194+AI194),"")</f>
        <v/>
      </c>
    </row>
    <row r="195" spans="1:53" x14ac:dyDescent="0.45">
      <c r="A195" s="31" t="s">
        <v>418</v>
      </c>
      <c r="B195" s="31" t="s">
        <v>105</v>
      </c>
      <c r="J195" s="31">
        <v>0</v>
      </c>
      <c r="K195" s="31">
        <v>0</v>
      </c>
      <c r="L195" s="31">
        <v>0</v>
      </c>
      <c r="M195" s="31">
        <v>0</v>
      </c>
      <c r="N195" s="31">
        <v>0</v>
      </c>
      <c r="O195" s="31">
        <v>0</v>
      </c>
      <c r="P195" s="31">
        <v>0</v>
      </c>
      <c r="Q195" s="31">
        <v>0</v>
      </c>
      <c r="R195" s="31">
        <v>0</v>
      </c>
      <c r="S195" s="31">
        <v>0</v>
      </c>
      <c r="T195" s="31">
        <v>0</v>
      </c>
      <c r="U195" s="31">
        <v>0</v>
      </c>
      <c r="W195" s="31">
        <v>0</v>
      </c>
      <c r="X195" s="31">
        <v>0</v>
      </c>
      <c r="Y195" s="31">
        <v>0</v>
      </c>
      <c r="Z195" s="31">
        <v>0</v>
      </c>
      <c r="AA195" s="31">
        <v>0</v>
      </c>
      <c r="AB195" s="31">
        <v>0</v>
      </c>
      <c r="AC195" s="31">
        <v>0</v>
      </c>
      <c r="AD195" s="31">
        <v>0</v>
      </c>
      <c r="AE195" s="31">
        <v>0</v>
      </c>
      <c r="AF195" s="31">
        <v>0</v>
      </c>
      <c r="AG195" s="31">
        <v>0</v>
      </c>
      <c r="AH195" s="31">
        <v>0</v>
      </c>
      <c r="AI195" s="31">
        <v>0</v>
      </c>
      <c r="AL195" s="31">
        <f t="shared" si="18"/>
        <v>0</v>
      </c>
      <c r="AM195" s="31">
        <f t="shared" si="19"/>
        <v>0</v>
      </c>
      <c r="AN195" s="31">
        <f t="shared" si="20"/>
        <v>0</v>
      </c>
      <c r="AP195" s="31">
        <f>VLOOKUP($B195,Kraftvärmeprod!$B$1:$BX$549,MATCH(AP$1,Kraftvärmeprod!$B$1:$BX$1,0),FALSE)</f>
        <v>0</v>
      </c>
      <c r="AQ195" s="31">
        <f>VLOOKUP($B195,Kraftvärmeprod!$B$1:$BX$549,MATCH(AQ$1,Kraftvärmeprod!$B$1:$BX$1,0),FALSE)</f>
        <v>0</v>
      </c>
      <c r="AR195" s="31">
        <f>VLOOKUP($B195,Kraftvärmeprod!$B$1:$BX$549,MATCH("Summa tillförd energi exklusive rökgaskondensering",Kraftvärmeprod!$B$1:$BX$1,0),FALSE)</f>
        <v>0</v>
      </c>
      <c r="AT195" s="32" t="str">
        <f t="shared" si="21"/>
        <v/>
      </c>
      <c r="AV195" s="31">
        <f t="shared" si="22"/>
        <v>0</v>
      </c>
      <c r="AX195" s="31" t="str">
        <f>VLOOKUP(B195,Totalt!$B$1:$BZ$554,MATCH(AX$1,Totalt!$B$1:$BZ$1,0),FALSE)</f>
        <v>Ja</v>
      </c>
      <c r="BA195" s="32" t="str">
        <f t="shared" si="23"/>
        <v/>
      </c>
    </row>
    <row r="196" spans="1:53" x14ac:dyDescent="0.45">
      <c r="A196" s="31" t="s">
        <v>418</v>
      </c>
      <c r="B196" s="31" t="s">
        <v>107</v>
      </c>
      <c r="J196" s="31">
        <v>0</v>
      </c>
      <c r="K196" s="31">
        <v>0</v>
      </c>
      <c r="L196" s="31">
        <v>0</v>
      </c>
      <c r="M196" s="31">
        <v>0</v>
      </c>
      <c r="N196" s="31">
        <v>0</v>
      </c>
      <c r="O196" s="31">
        <v>0</v>
      </c>
      <c r="P196" s="31">
        <v>0</v>
      </c>
      <c r="Q196" s="31">
        <v>0</v>
      </c>
      <c r="R196" s="31">
        <v>0</v>
      </c>
      <c r="S196" s="31">
        <v>0</v>
      </c>
      <c r="T196" s="31">
        <v>0</v>
      </c>
      <c r="U196" s="31">
        <v>0</v>
      </c>
      <c r="W196" s="31">
        <v>0</v>
      </c>
      <c r="X196" s="31">
        <v>0</v>
      </c>
      <c r="Y196" s="31">
        <v>0</v>
      </c>
      <c r="Z196" s="31">
        <v>0</v>
      </c>
      <c r="AA196" s="31">
        <v>0</v>
      </c>
      <c r="AB196" s="31">
        <v>0</v>
      </c>
      <c r="AC196" s="31">
        <v>0</v>
      </c>
      <c r="AD196" s="31">
        <v>0</v>
      </c>
      <c r="AE196" s="31">
        <v>0</v>
      </c>
      <c r="AF196" s="31">
        <v>0</v>
      </c>
      <c r="AG196" s="31">
        <v>0</v>
      </c>
      <c r="AH196" s="31">
        <v>0</v>
      </c>
      <c r="AI196" s="31">
        <v>0</v>
      </c>
      <c r="AL196" s="31">
        <f t="shared" si="18"/>
        <v>0</v>
      </c>
      <c r="AM196" s="31">
        <f t="shared" si="19"/>
        <v>0</v>
      </c>
      <c r="AN196" s="31">
        <f t="shared" si="20"/>
        <v>0</v>
      </c>
      <c r="AP196" s="31">
        <f>VLOOKUP($B196,Kraftvärmeprod!$B$1:$BX$549,MATCH(AP$1,Kraftvärmeprod!$B$1:$BX$1,0),FALSE)</f>
        <v>0</v>
      </c>
      <c r="AQ196" s="31">
        <f>VLOOKUP($B196,Kraftvärmeprod!$B$1:$BX$549,MATCH(AQ$1,Kraftvärmeprod!$B$1:$BX$1,0),FALSE)</f>
        <v>0</v>
      </c>
      <c r="AR196" s="31">
        <f>VLOOKUP($B196,Kraftvärmeprod!$B$1:$BX$549,MATCH("Summa tillförd energi exklusive rökgaskondensering",Kraftvärmeprod!$B$1:$BX$1,0),FALSE)</f>
        <v>0</v>
      </c>
      <c r="AT196" s="32" t="str">
        <f t="shared" si="21"/>
        <v/>
      </c>
      <c r="AV196" s="31">
        <f t="shared" si="22"/>
        <v>0</v>
      </c>
      <c r="AX196" s="31" t="str">
        <f>VLOOKUP(B196,Totalt!$B$1:$BZ$554,MATCH(AX$1,Totalt!$B$1:$BZ$1,0),FALSE)</f>
        <v>Ja</v>
      </c>
      <c r="BA196" s="32" t="str">
        <f t="shared" si="23"/>
        <v/>
      </c>
    </row>
    <row r="197" spans="1:53" x14ac:dyDescent="0.45">
      <c r="A197" s="31" t="s">
        <v>418</v>
      </c>
      <c r="B197" s="31" t="s">
        <v>109</v>
      </c>
      <c r="J197" s="31">
        <v>0</v>
      </c>
      <c r="K197" s="31">
        <v>0</v>
      </c>
      <c r="L197" s="31">
        <v>0</v>
      </c>
      <c r="M197" s="31">
        <v>0</v>
      </c>
      <c r="N197" s="31">
        <v>0</v>
      </c>
      <c r="O197" s="31">
        <v>0</v>
      </c>
      <c r="P197" s="31">
        <v>0</v>
      </c>
      <c r="Q197" s="31">
        <v>0</v>
      </c>
      <c r="R197" s="31">
        <v>0</v>
      </c>
      <c r="S197" s="31">
        <v>0</v>
      </c>
      <c r="T197" s="31">
        <v>0</v>
      </c>
      <c r="U197" s="31">
        <v>0</v>
      </c>
      <c r="W197" s="31">
        <v>0</v>
      </c>
      <c r="X197" s="31">
        <v>0</v>
      </c>
      <c r="Y197" s="31">
        <v>0</v>
      </c>
      <c r="Z197" s="31">
        <v>0</v>
      </c>
      <c r="AA197" s="31">
        <v>0</v>
      </c>
      <c r="AB197" s="31">
        <v>0</v>
      </c>
      <c r="AC197" s="31">
        <v>0</v>
      </c>
      <c r="AD197" s="31">
        <v>0</v>
      </c>
      <c r="AE197" s="31">
        <v>0</v>
      </c>
      <c r="AF197" s="31">
        <v>0</v>
      </c>
      <c r="AG197" s="31">
        <v>0</v>
      </c>
      <c r="AH197" s="31">
        <v>0</v>
      </c>
      <c r="AI197" s="31">
        <v>0</v>
      </c>
      <c r="AL197" s="31">
        <f t="shared" si="18"/>
        <v>0</v>
      </c>
      <c r="AM197" s="31">
        <f t="shared" si="19"/>
        <v>0</v>
      </c>
      <c r="AN197" s="31">
        <f t="shared" si="20"/>
        <v>0</v>
      </c>
      <c r="AP197" s="31">
        <f>VLOOKUP($B197,Kraftvärmeprod!$B$1:$BX$549,MATCH(AP$1,Kraftvärmeprod!$B$1:$BX$1,0),FALSE)</f>
        <v>0</v>
      </c>
      <c r="AQ197" s="31">
        <f>VLOOKUP($B197,Kraftvärmeprod!$B$1:$BX$549,MATCH(AQ$1,Kraftvärmeprod!$B$1:$BX$1,0),FALSE)</f>
        <v>0</v>
      </c>
      <c r="AR197" s="31">
        <f>VLOOKUP($B197,Kraftvärmeprod!$B$1:$BX$549,MATCH("Summa tillförd energi exklusive rökgaskondensering",Kraftvärmeprod!$B$1:$BX$1,0),FALSE)</f>
        <v>0</v>
      </c>
      <c r="AT197" s="32" t="str">
        <f t="shared" si="21"/>
        <v/>
      </c>
      <c r="AV197" s="31">
        <f t="shared" si="22"/>
        <v>0</v>
      </c>
      <c r="AX197" s="31" t="str">
        <f>VLOOKUP(B197,Totalt!$B$1:$BZ$554,MATCH(AX$1,Totalt!$B$1:$BZ$1,0),FALSE)</f>
        <v>Ja</v>
      </c>
      <c r="BA197" s="32" t="str">
        <f t="shared" si="23"/>
        <v/>
      </c>
    </row>
    <row r="198" spans="1:53" x14ac:dyDescent="0.45">
      <c r="A198" s="31" t="s">
        <v>418</v>
      </c>
      <c r="B198" s="31" t="s">
        <v>420</v>
      </c>
      <c r="J198" s="31">
        <v>0</v>
      </c>
      <c r="K198" s="31">
        <v>0</v>
      </c>
      <c r="L198" s="31">
        <v>0</v>
      </c>
      <c r="M198" s="31">
        <v>0</v>
      </c>
      <c r="N198" s="31">
        <v>0</v>
      </c>
      <c r="O198" s="31">
        <v>0</v>
      </c>
      <c r="P198" s="31">
        <v>0</v>
      </c>
      <c r="Q198" s="31">
        <v>0</v>
      </c>
      <c r="R198" s="31">
        <v>0</v>
      </c>
      <c r="S198" s="31">
        <v>0</v>
      </c>
      <c r="T198" s="31">
        <v>0</v>
      </c>
      <c r="U198" s="31">
        <v>0</v>
      </c>
      <c r="W198" s="31">
        <v>0</v>
      </c>
      <c r="X198" s="31">
        <v>0</v>
      </c>
      <c r="Y198" s="31">
        <v>0</v>
      </c>
      <c r="Z198" s="31">
        <v>0</v>
      </c>
      <c r="AA198" s="31">
        <v>0</v>
      </c>
      <c r="AB198" s="31">
        <v>0</v>
      </c>
      <c r="AC198" s="31">
        <v>0</v>
      </c>
      <c r="AD198" s="31">
        <v>0</v>
      </c>
      <c r="AE198" s="31">
        <v>0</v>
      </c>
      <c r="AF198" s="31">
        <v>0</v>
      </c>
      <c r="AG198" s="31">
        <v>0</v>
      </c>
      <c r="AH198" s="31">
        <v>0</v>
      </c>
      <c r="AI198" s="31">
        <v>0</v>
      </c>
      <c r="AL198" s="31">
        <f t="shared" si="18"/>
        <v>0</v>
      </c>
      <c r="AM198" s="31">
        <f t="shared" si="19"/>
        <v>0</v>
      </c>
      <c r="AN198" s="31">
        <f t="shared" si="20"/>
        <v>0</v>
      </c>
      <c r="AP198" s="31">
        <f>VLOOKUP($B198,Kraftvärmeprod!$B$1:$BX$549,MATCH(AP$1,Kraftvärmeprod!$B$1:$BX$1,0),FALSE)</f>
        <v>0</v>
      </c>
      <c r="AQ198" s="31">
        <f>VLOOKUP($B198,Kraftvärmeprod!$B$1:$BX$549,MATCH(AQ$1,Kraftvärmeprod!$B$1:$BX$1,0),FALSE)</f>
        <v>0</v>
      </c>
      <c r="AR198" s="31">
        <f>VLOOKUP($B198,Kraftvärmeprod!$B$1:$BX$549,MATCH("Summa tillförd energi exklusive rökgaskondensering",Kraftvärmeprod!$B$1:$BX$1,0),FALSE)</f>
        <v>0</v>
      </c>
      <c r="AT198" s="32" t="str">
        <f t="shared" si="21"/>
        <v/>
      </c>
      <c r="AV198" s="31">
        <f t="shared" si="22"/>
        <v>0</v>
      </c>
      <c r="AX198" s="31" t="str">
        <f>VLOOKUP(B198,Totalt!$B$1:$BZ$554,MATCH(AX$1,Totalt!$B$1:$BZ$1,0),FALSE)</f>
        <v>Ja</v>
      </c>
      <c r="BA198" s="32" t="str">
        <f t="shared" si="23"/>
        <v/>
      </c>
    </row>
    <row r="199" spans="1:53" x14ac:dyDescent="0.45">
      <c r="A199" s="31" t="s">
        <v>418</v>
      </c>
      <c r="B199" s="31" t="s">
        <v>421</v>
      </c>
      <c r="J199" s="31">
        <v>0</v>
      </c>
      <c r="K199" s="31">
        <v>0</v>
      </c>
      <c r="L199" s="31">
        <v>0</v>
      </c>
      <c r="M199" s="31">
        <v>0</v>
      </c>
      <c r="N199" s="31">
        <v>0</v>
      </c>
      <c r="O199" s="31">
        <v>0</v>
      </c>
      <c r="P199" s="31">
        <v>0</v>
      </c>
      <c r="Q199" s="31">
        <v>0</v>
      </c>
      <c r="R199" s="31">
        <v>0</v>
      </c>
      <c r="S199" s="31">
        <v>0</v>
      </c>
      <c r="T199" s="31">
        <v>0</v>
      </c>
      <c r="U199" s="31">
        <v>0</v>
      </c>
      <c r="W199" s="31">
        <v>0</v>
      </c>
      <c r="X199" s="31">
        <v>0</v>
      </c>
      <c r="Y199" s="31">
        <v>0</v>
      </c>
      <c r="Z199" s="31">
        <v>0</v>
      </c>
      <c r="AA199" s="31">
        <v>0</v>
      </c>
      <c r="AB199" s="31">
        <v>0</v>
      </c>
      <c r="AC199" s="31">
        <v>0</v>
      </c>
      <c r="AD199" s="31">
        <v>0</v>
      </c>
      <c r="AE199" s="31">
        <v>0</v>
      </c>
      <c r="AF199" s="31">
        <v>0</v>
      </c>
      <c r="AG199" s="31">
        <v>0</v>
      </c>
      <c r="AH199" s="31">
        <v>0</v>
      </c>
      <c r="AI199" s="31">
        <v>0</v>
      </c>
      <c r="AL199" s="31">
        <f t="shared" si="18"/>
        <v>0</v>
      </c>
      <c r="AM199" s="31">
        <f t="shared" si="19"/>
        <v>0</v>
      </c>
      <c r="AN199" s="31">
        <f t="shared" si="20"/>
        <v>0</v>
      </c>
      <c r="AP199" s="31">
        <f>VLOOKUP($B199,Kraftvärmeprod!$B$1:$BX$549,MATCH(AP$1,Kraftvärmeprod!$B$1:$BX$1,0),FALSE)</f>
        <v>0</v>
      </c>
      <c r="AQ199" s="31">
        <f>VLOOKUP($B199,Kraftvärmeprod!$B$1:$BX$549,MATCH(AQ$1,Kraftvärmeprod!$B$1:$BX$1,0),FALSE)</f>
        <v>0</v>
      </c>
      <c r="AR199" s="31">
        <f>VLOOKUP($B199,Kraftvärmeprod!$B$1:$BX$549,MATCH("Summa tillförd energi exklusive rökgaskondensering",Kraftvärmeprod!$B$1:$BX$1,0),FALSE)</f>
        <v>0</v>
      </c>
      <c r="AT199" s="32" t="str">
        <f t="shared" si="21"/>
        <v/>
      </c>
      <c r="AV199" s="31">
        <f t="shared" si="22"/>
        <v>0</v>
      </c>
      <c r="AX199" s="31" t="str">
        <f>VLOOKUP(B199,Totalt!$B$1:$BZ$554,MATCH(AX$1,Totalt!$B$1:$BZ$1,0),FALSE)</f>
        <v>Ja</v>
      </c>
      <c r="BA199" s="32" t="str">
        <f t="shared" si="23"/>
        <v/>
      </c>
    </row>
    <row r="200" spans="1:53" x14ac:dyDescent="0.45">
      <c r="A200" s="31" t="s">
        <v>418</v>
      </c>
      <c r="B200" s="31" t="s">
        <v>426</v>
      </c>
      <c r="J200" s="31">
        <v>0</v>
      </c>
      <c r="K200" s="31">
        <v>0</v>
      </c>
      <c r="L200" s="31">
        <v>0</v>
      </c>
      <c r="M200" s="31">
        <v>0</v>
      </c>
      <c r="N200" s="31">
        <v>0</v>
      </c>
      <c r="O200" s="31">
        <v>0</v>
      </c>
      <c r="P200" s="31">
        <v>0</v>
      </c>
      <c r="Q200" s="31">
        <v>0</v>
      </c>
      <c r="R200" s="31">
        <v>0</v>
      </c>
      <c r="S200" s="31">
        <v>0</v>
      </c>
      <c r="T200" s="31">
        <v>0</v>
      </c>
      <c r="U200" s="31">
        <v>0</v>
      </c>
      <c r="W200" s="31">
        <v>0</v>
      </c>
      <c r="X200" s="31">
        <v>0</v>
      </c>
      <c r="Y200" s="31">
        <v>0</v>
      </c>
      <c r="Z200" s="31">
        <v>0</v>
      </c>
      <c r="AA200" s="31">
        <v>0</v>
      </c>
      <c r="AB200" s="31">
        <v>0</v>
      </c>
      <c r="AC200" s="31">
        <v>0</v>
      </c>
      <c r="AD200" s="31">
        <v>0</v>
      </c>
      <c r="AE200" s="31">
        <v>0</v>
      </c>
      <c r="AF200" s="31">
        <v>0</v>
      </c>
      <c r="AG200" s="31">
        <v>0</v>
      </c>
      <c r="AH200" s="31">
        <v>0</v>
      </c>
      <c r="AI200" s="31">
        <v>0</v>
      </c>
      <c r="AL200" s="31">
        <f t="shared" si="18"/>
        <v>0</v>
      </c>
      <c r="AM200" s="31">
        <f t="shared" si="19"/>
        <v>0</v>
      </c>
      <c r="AN200" s="31">
        <f t="shared" si="20"/>
        <v>0</v>
      </c>
      <c r="AP200" s="31">
        <f>VLOOKUP($B200,Kraftvärmeprod!$B$1:$BX$549,MATCH(AP$1,Kraftvärmeprod!$B$1:$BX$1,0),FALSE)</f>
        <v>0</v>
      </c>
      <c r="AQ200" s="31">
        <f>VLOOKUP($B200,Kraftvärmeprod!$B$1:$BX$549,MATCH(AQ$1,Kraftvärmeprod!$B$1:$BX$1,0),FALSE)</f>
        <v>0</v>
      </c>
      <c r="AR200" s="31">
        <f>VLOOKUP($B200,Kraftvärmeprod!$B$1:$BX$549,MATCH("Summa tillförd energi exklusive rökgaskondensering",Kraftvärmeprod!$B$1:$BX$1,0),FALSE)</f>
        <v>0</v>
      </c>
      <c r="AT200" s="32" t="str">
        <f t="shared" si="21"/>
        <v/>
      </c>
      <c r="AV200" s="31">
        <f t="shared" si="22"/>
        <v>0</v>
      </c>
      <c r="AX200" s="31" t="str">
        <f>VLOOKUP(B200,Totalt!$B$1:$BZ$554,MATCH(AX$1,Totalt!$B$1:$BZ$1,0),FALSE)</f>
        <v>Ja</v>
      </c>
      <c r="BA200" s="32" t="str">
        <f t="shared" si="23"/>
        <v/>
      </c>
    </row>
    <row r="201" spans="1:53" x14ac:dyDescent="0.45">
      <c r="A201" s="31" t="s">
        <v>418</v>
      </c>
      <c r="B201" s="31" t="s">
        <v>419</v>
      </c>
      <c r="J201" s="31">
        <v>0</v>
      </c>
      <c r="K201" s="31">
        <v>0</v>
      </c>
      <c r="L201" s="31">
        <v>0</v>
      </c>
      <c r="M201" s="31">
        <v>0</v>
      </c>
      <c r="N201" s="31">
        <v>0</v>
      </c>
      <c r="O201" s="31">
        <v>0</v>
      </c>
      <c r="P201" s="31">
        <v>0</v>
      </c>
      <c r="Q201" s="31">
        <v>0</v>
      </c>
      <c r="R201" s="31">
        <v>0</v>
      </c>
      <c r="S201" s="31">
        <v>0</v>
      </c>
      <c r="T201" s="31">
        <v>0</v>
      </c>
      <c r="U201" s="31">
        <v>0</v>
      </c>
      <c r="W201" s="31">
        <v>0</v>
      </c>
      <c r="X201" s="31">
        <v>0</v>
      </c>
      <c r="Y201" s="31">
        <v>0</v>
      </c>
      <c r="Z201" s="31">
        <v>0</v>
      </c>
      <c r="AA201" s="31">
        <v>0</v>
      </c>
      <c r="AB201" s="31">
        <v>0</v>
      </c>
      <c r="AC201" s="31">
        <v>0</v>
      </c>
      <c r="AD201" s="31">
        <v>0</v>
      </c>
      <c r="AE201" s="31">
        <v>0</v>
      </c>
      <c r="AF201" s="31">
        <v>0</v>
      </c>
      <c r="AG201" s="31">
        <v>0</v>
      </c>
      <c r="AH201" s="31">
        <v>0</v>
      </c>
      <c r="AI201" s="31">
        <v>0</v>
      </c>
      <c r="AL201" s="31">
        <f t="shared" si="18"/>
        <v>0</v>
      </c>
      <c r="AM201" s="31">
        <f t="shared" si="19"/>
        <v>0</v>
      </c>
      <c r="AN201" s="31">
        <f t="shared" si="20"/>
        <v>0</v>
      </c>
      <c r="AP201" s="31">
        <f>VLOOKUP($B201,Kraftvärmeprod!$B$1:$BX$549,MATCH(AP$1,Kraftvärmeprod!$B$1:$BX$1,0),FALSE)</f>
        <v>0</v>
      </c>
      <c r="AQ201" s="31">
        <f>VLOOKUP($B201,Kraftvärmeprod!$B$1:$BX$549,MATCH(AQ$1,Kraftvärmeprod!$B$1:$BX$1,0),FALSE)</f>
        <v>0</v>
      </c>
      <c r="AR201" s="31">
        <f>VLOOKUP($B201,Kraftvärmeprod!$B$1:$BX$549,MATCH("Summa tillförd energi exklusive rökgaskondensering",Kraftvärmeprod!$B$1:$BX$1,0),FALSE)</f>
        <v>0</v>
      </c>
      <c r="AT201" s="32" t="str">
        <f t="shared" si="21"/>
        <v/>
      </c>
      <c r="AV201" s="31">
        <f t="shared" si="22"/>
        <v>0</v>
      </c>
      <c r="AX201" s="31" t="str">
        <f>VLOOKUP(B201,Totalt!$B$1:$BZ$554,MATCH(AX$1,Totalt!$B$1:$BZ$1,0),FALSE)</f>
        <v>Ja</v>
      </c>
      <c r="BA201" s="32" t="str">
        <f t="shared" si="23"/>
        <v/>
      </c>
    </row>
    <row r="202" spans="1:53" x14ac:dyDescent="0.45">
      <c r="A202" s="31" t="s">
        <v>418</v>
      </c>
      <c r="B202" s="31" t="s">
        <v>423</v>
      </c>
      <c r="J202" s="31">
        <v>0</v>
      </c>
      <c r="K202" s="31">
        <v>0</v>
      </c>
      <c r="L202" s="31">
        <v>0</v>
      </c>
      <c r="M202" s="31">
        <v>0</v>
      </c>
      <c r="N202" s="31">
        <v>0</v>
      </c>
      <c r="O202" s="31">
        <v>0</v>
      </c>
      <c r="P202" s="31">
        <v>0</v>
      </c>
      <c r="Q202" s="31">
        <v>0</v>
      </c>
      <c r="R202" s="31">
        <v>0</v>
      </c>
      <c r="S202" s="31">
        <v>0</v>
      </c>
      <c r="T202" s="31">
        <v>0</v>
      </c>
      <c r="U202" s="31">
        <v>0</v>
      </c>
      <c r="W202" s="31">
        <v>0</v>
      </c>
      <c r="X202" s="31">
        <v>0</v>
      </c>
      <c r="Y202" s="31">
        <v>0</v>
      </c>
      <c r="Z202" s="31">
        <v>0</v>
      </c>
      <c r="AA202" s="31">
        <v>0</v>
      </c>
      <c r="AB202" s="31">
        <v>0</v>
      </c>
      <c r="AC202" s="31">
        <v>0</v>
      </c>
      <c r="AD202" s="31">
        <v>0</v>
      </c>
      <c r="AE202" s="31">
        <v>0</v>
      </c>
      <c r="AF202" s="31">
        <v>0</v>
      </c>
      <c r="AG202" s="31">
        <v>0</v>
      </c>
      <c r="AH202" s="31">
        <v>0</v>
      </c>
      <c r="AI202" s="31">
        <v>0</v>
      </c>
      <c r="AL202" s="31">
        <f t="shared" si="18"/>
        <v>0</v>
      </c>
      <c r="AM202" s="31">
        <f t="shared" si="19"/>
        <v>0</v>
      </c>
      <c r="AN202" s="31">
        <f t="shared" si="20"/>
        <v>0</v>
      </c>
      <c r="AP202" s="31">
        <f>VLOOKUP($B202,Kraftvärmeprod!$B$1:$BX$549,MATCH(AP$1,Kraftvärmeprod!$B$1:$BX$1,0),FALSE)</f>
        <v>0</v>
      </c>
      <c r="AQ202" s="31">
        <f>VLOOKUP($B202,Kraftvärmeprod!$B$1:$BX$549,MATCH(AQ$1,Kraftvärmeprod!$B$1:$BX$1,0),FALSE)</f>
        <v>0</v>
      </c>
      <c r="AR202" s="31">
        <f>VLOOKUP($B202,Kraftvärmeprod!$B$1:$BX$549,MATCH("Summa tillförd energi exklusive rökgaskondensering",Kraftvärmeprod!$B$1:$BX$1,0),FALSE)</f>
        <v>0</v>
      </c>
      <c r="AT202" s="32" t="str">
        <f t="shared" si="21"/>
        <v/>
      </c>
      <c r="AV202" s="31">
        <f t="shared" si="22"/>
        <v>0</v>
      </c>
      <c r="AX202" s="31" t="str">
        <f>VLOOKUP(B202,Totalt!$B$1:$BZ$554,MATCH(AX$1,Totalt!$B$1:$BZ$1,0),FALSE)</f>
        <v>Ja</v>
      </c>
      <c r="BA202" s="32" t="str">
        <f t="shared" si="23"/>
        <v/>
      </c>
    </row>
    <row r="203" spans="1:53" x14ac:dyDescent="0.45">
      <c r="A203" s="31" t="s">
        <v>418</v>
      </c>
      <c r="B203" s="31" t="s">
        <v>422</v>
      </c>
      <c r="J203" s="31">
        <v>0</v>
      </c>
      <c r="K203" s="31">
        <v>0</v>
      </c>
      <c r="L203" s="31">
        <v>0</v>
      </c>
      <c r="M203" s="31">
        <v>0</v>
      </c>
      <c r="N203" s="31">
        <v>0</v>
      </c>
      <c r="O203" s="31">
        <v>0</v>
      </c>
      <c r="P203" s="31">
        <v>0</v>
      </c>
      <c r="Q203" s="31">
        <v>0</v>
      </c>
      <c r="R203" s="31">
        <v>0</v>
      </c>
      <c r="S203" s="31">
        <v>0</v>
      </c>
      <c r="T203" s="31">
        <v>0</v>
      </c>
      <c r="U203" s="31">
        <v>0</v>
      </c>
      <c r="W203" s="31">
        <v>0</v>
      </c>
      <c r="X203" s="31">
        <v>0</v>
      </c>
      <c r="Y203" s="31">
        <v>0</v>
      </c>
      <c r="Z203" s="31">
        <v>0</v>
      </c>
      <c r="AA203" s="31">
        <v>0</v>
      </c>
      <c r="AB203" s="31">
        <v>0</v>
      </c>
      <c r="AC203" s="31">
        <v>0</v>
      </c>
      <c r="AD203" s="31">
        <v>0</v>
      </c>
      <c r="AE203" s="31">
        <v>0</v>
      </c>
      <c r="AF203" s="31">
        <v>0</v>
      </c>
      <c r="AG203" s="31">
        <v>0</v>
      </c>
      <c r="AH203" s="31">
        <v>0</v>
      </c>
      <c r="AI203" s="31">
        <v>0</v>
      </c>
      <c r="AL203" s="31">
        <f t="shared" si="18"/>
        <v>0</v>
      </c>
      <c r="AM203" s="31">
        <f t="shared" si="19"/>
        <v>0</v>
      </c>
      <c r="AN203" s="31">
        <f t="shared" si="20"/>
        <v>0</v>
      </c>
      <c r="AP203" s="31">
        <f>VLOOKUP($B203,Kraftvärmeprod!$B$1:$BX$549,MATCH(AP$1,Kraftvärmeprod!$B$1:$BX$1,0),FALSE)</f>
        <v>0</v>
      </c>
      <c r="AQ203" s="31">
        <f>VLOOKUP($B203,Kraftvärmeprod!$B$1:$BX$549,MATCH(AQ$1,Kraftvärmeprod!$B$1:$BX$1,0),FALSE)</f>
        <v>0</v>
      </c>
      <c r="AR203" s="31">
        <f>VLOOKUP($B203,Kraftvärmeprod!$B$1:$BX$549,MATCH("Summa tillförd energi exklusive rökgaskondensering",Kraftvärmeprod!$B$1:$BX$1,0),FALSE)</f>
        <v>0</v>
      </c>
      <c r="AT203" s="32" t="str">
        <f t="shared" si="21"/>
        <v/>
      </c>
      <c r="AV203" s="31">
        <f t="shared" si="22"/>
        <v>0</v>
      </c>
      <c r="AX203" s="31" t="str">
        <f>VLOOKUP(B203,Totalt!$B$1:$BZ$554,MATCH(AX$1,Totalt!$B$1:$BZ$1,0),FALSE)</f>
        <v>Ja</v>
      </c>
      <c r="BA203" s="32" t="str">
        <f t="shared" si="23"/>
        <v/>
      </c>
    </row>
    <row r="204" spans="1:53" x14ac:dyDescent="0.45">
      <c r="A204" s="31" t="s">
        <v>418</v>
      </c>
      <c r="B204" s="31" t="s">
        <v>1183</v>
      </c>
      <c r="J204" s="31">
        <v>0</v>
      </c>
      <c r="K204" s="31">
        <v>0</v>
      </c>
      <c r="L204" s="31">
        <v>0</v>
      </c>
      <c r="M204" s="31">
        <v>0</v>
      </c>
      <c r="N204" s="31">
        <v>0</v>
      </c>
      <c r="O204" s="31">
        <v>0</v>
      </c>
      <c r="P204" s="31">
        <v>0</v>
      </c>
      <c r="Q204" s="31">
        <v>0</v>
      </c>
      <c r="R204" s="31">
        <v>0</v>
      </c>
      <c r="S204" s="31">
        <v>0</v>
      </c>
      <c r="T204" s="31">
        <v>0</v>
      </c>
      <c r="U204" s="31">
        <v>0</v>
      </c>
      <c r="W204" s="31">
        <v>0</v>
      </c>
      <c r="X204" s="31">
        <v>0</v>
      </c>
      <c r="Y204" s="31">
        <v>0</v>
      </c>
      <c r="Z204" s="31">
        <v>0</v>
      </c>
      <c r="AA204" s="31">
        <v>0</v>
      </c>
      <c r="AB204" s="31">
        <v>0</v>
      </c>
      <c r="AC204" s="31">
        <v>0</v>
      </c>
      <c r="AD204" s="31">
        <v>0</v>
      </c>
      <c r="AE204" s="31">
        <v>0</v>
      </c>
      <c r="AF204" s="31">
        <v>0</v>
      </c>
      <c r="AG204" s="31">
        <v>0</v>
      </c>
      <c r="AH204" s="31">
        <v>0</v>
      </c>
      <c r="AI204" s="31">
        <v>0</v>
      </c>
      <c r="AL204" s="31">
        <f t="shared" si="18"/>
        <v>0</v>
      </c>
      <c r="AM204" s="31">
        <f t="shared" si="19"/>
        <v>0</v>
      </c>
      <c r="AN204" s="31">
        <f t="shared" si="20"/>
        <v>0</v>
      </c>
      <c r="AP204" s="31">
        <f>VLOOKUP($B204,Kraftvärmeprod!$B$1:$BX$549,MATCH(AP$1,Kraftvärmeprod!$B$1:$BX$1,0),FALSE)</f>
        <v>0</v>
      </c>
      <c r="AQ204" s="31">
        <f>VLOOKUP($B204,Kraftvärmeprod!$B$1:$BX$549,MATCH(AQ$1,Kraftvärmeprod!$B$1:$BX$1,0),FALSE)</f>
        <v>0</v>
      </c>
      <c r="AR204" s="31">
        <f>VLOOKUP($B204,Kraftvärmeprod!$B$1:$BX$549,MATCH("Summa tillförd energi exklusive rökgaskondensering",Kraftvärmeprod!$B$1:$BX$1,0),FALSE)</f>
        <v>0</v>
      </c>
      <c r="AT204" s="32" t="str">
        <f t="shared" si="21"/>
        <v/>
      </c>
      <c r="AV204" s="31">
        <f t="shared" si="22"/>
        <v>0</v>
      </c>
      <c r="AX204" s="31" t="str">
        <f>VLOOKUP(B204,Totalt!$B$1:$BZ$554,MATCH(AX$1,Totalt!$B$1:$BZ$1,0),FALSE)</f>
        <v>Ja</v>
      </c>
      <c r="BA204" s="32" t="str">
        <f t="shared" si="23"/>
        <v/>
      </c>
    </row>
    <row r="205" spans="1:53" x14ac:dyDescent="0.45">
      <c r="A205" s="31" t="s">
        <v>418</v>
      </c>
      <c r="B205" s="31" t="s">
        <v>1181</v>
      </c>
      <c r="J205" s="31">
        <v>0</v>
      </c>
      <c r="K205" s="31">
        <v>0</v>
      </c>
      <c r="L205" s="31">
        <v>0</v>
      </c>
      <c r="M205" s="31">
        <v>0</v>
      </c>
      <c r="N205" s="31">
        <v>0</v>
      </c>
      <c r="O205" s="31">
        <v>0</v>
      </c>
      <c r="P205" s="31">
        <v>0</v>
      </c>
      <c r="Q205" s="31">
        <v>0</v>
      </c>
      <c r="R205" s="31">
        <v>0</v>
      </c>
      <c r="S205" s="31">
        <v>0</v>
      </c>
      <c r="T205" s="31">
        <v>0</v>
      </c>
      <c r="U205" s="31">
        <v>0</v>
      </c>
      <c r="W205" s="31">
        <v>0</v>
      </c>
      <c r="X205" s="31">
        <v>0</v>
      </c>
      <c r="Y205" s="31">
        <v>0</v>
      </c>
      <c r="Z205" s="31">
        <v>0</v>
      </c>
      <c r="AA205" s="31">
        <v>0</v>
      </c>
      <c r="AB205" s="31">
        <v>0</v>
      </c>
      <c r="AC205" s="31">
        <v>0</v>
      </c>
      <c r="AD205" s="31">
        <v>0</v>
      </c>
      <c r="AE205" s="31">
        <v>0</v>
      </c>
      <c r="AF205" s="31">
        <v>0</v>
      </c>
      <c r="AG205" s="31">
        <v>0</v>
      </c>
      <c r="AH205" s="31">
        <v>0</v>
      </c>
      <c r="AI205" s="31">
        <v>0</v>
      </c>
      <c r="AL205" s="31">
        <f t="shared" si="18"/>
        <v>0</v>
      </c>
      <c r="AM205" s="31">
        <f t="shared" si="19"/>
        <v>0</v>
      </c>
      <c r="AN205" s="31">
        <f t="shared" si="20"/>
        <v>0</v>
      </c>
      <c r="AP205" s="31">
        <f>VLOOKUP($B205,Kraftvärmeprod!$B$1:$BX$549,MATCH(AP$1,Kraftvärmeprod!$B$1:$BX$1,0),FALSE)</f>
        <v>0</v>
      </c>
      <c r="AQ205" s="31">
        <f>VLOOKUP($B205,Kraftvärmeprod!$B$1:$BX$549,MATCH(AQ$1,Kraftvärmeprod!$B$1:$BX$1,0),FALSE)</f>
        <v>0</v>
      </c>
      <c r="AR205" s="31">
        <f>VLOOKUP($B205,Kraftvärmeprod!$B$1:$BX$549,MATCH("Summa tillförd energi exklusive rökgaskondensering",Kraftvärmeprod!$B$1:$BX$1,0),FALSE)</f>
        <v>0</v>
      </c>
      <c r="AT205" s="32" t="str">
        <f t="shared" si="21"/>
        <v/>
      </c>
      <c r="AV205" s="31">
        <f t="shared" si="22"/>
        <v>0</v>
      </c>
      <c r="AX205" s="31" t="str">
        <f>VLOOKUP(B205,Totalt!$B$1:$BZ$554,MATCH(AX$1,Totalt!$B$1:$BZ$1,0),FALSE)</f>
        <v>Ja</v>
      </c>
      <c r="BA205" s="32" t="str">
        <f t="shared" si="23"/>
        <v/>
      </c>
    </row>
    <row r="206" spans="1:53" x14ac:dyDescent="0.45">
      <c r="A206" s="31" t="s">
        <v>416</v>
      </c>
      <c r="B206" s="31" t="s">
        <v>417</v>
      </c>
      <c r="J206" s="31">
        <v>0</v>
      </c>
      <c r="K206" s="31">
        <v>0</v>
      </c>
      <c r="L206" s="31">
        <v>0</v>
      </c>
      <c r="M206" s="31">
        <v>0</v>
      </c>
      <c r="N206" s="31">
        <v>0</v>
      </c>
      <c r="O206" s="31">
        <v>0</v>
      </c>
      <c r="P206" s="31">
        <v>0</v>
      </c>
      <c r="Q206" s="31">
        <v>0</v>
      </c>
      <c r="R206" s="31">
        <v>0</v>
      </c>
      <c r="S206" s="31">
        <v>0</v>
      </c>
      <c r="T206" s="31">
        <v>0</v>
      </c>
      <c r="U206" s="31">
        <v>0</v>
      </c>
      <c r="W206" s="31">
        <v>0</v>
      </c>
      <c r="X206" s="31">
        <v>0</v>
      </c>
      <c r="Y206" s="31">
        <v>0</v>
      </c>
      <c r="Z206" s="31">
        <v>0</v>
      </c>
      <c r="AA206" s="31">
        <v>0</v>
      </c>
      <c r="AB206" s="31">
        <v>0</v>
      </c>
      <c r="AC206" s="31">
        <v>0</v>
      </c>
      <c r="AD206" s="31">
        <v>0</v>
      </c>
      <c r="AE206" s="31">
        <v>0</v>
      </c>
      <c r="AF206" s="31">
        <v>0</v>
      </c>
      <c r="AG206" s="31">
        <v>0</v>
      </c>
      <c r="AH206" s="31">
        <v>0</v>
      </c>
      <c r="AI206" s="31">
        <v>0</v>
      </c>
      <c r="AL206" s="31">
        <f t="shared" si="18"/>
        <v>0</v>
      </c>
      <c r="AM206" s="31">
        <f t="shared" si="19"/>
        <v>0</v>
      </c>
      <c r="AN206" s="31">
        <f t="shared" si="20"/>
        <v>0</v>
      </c>
      <c r="AP206" s="31">
        <f>VLOOKUP($B206,Kraftvärmeprod!$B$1:$BX$549,MATCH(AP$1,Kraftvärmeprod!$B$1:$BX$1,0),FALSE)</f>
        <v>0</v>
      </c>
      <c r="AQ206" s="31">
        <f>VLOOKUP($B206,Kraftvärmeprod!$B$1:$BX$549,MATCH(AQ$1,Kraftvärmeprod!$B$1:$BX$1,0),FALSE)</f>
        <v>0</v>
      </c>
      <c r="AR206" s="31">
        <f>VLOOKUP($B206,Kraftvärmeprod!$B$1:$BX$549,MATCH("Summa tillförd energi exklusive rökgaskondensering",Kraftvärmeprod!$B$1:$BX$1,0),FALSE)</f>
        <v>0</v>
      </c>
      <c r="AT206" s="32" t="str">
        <f t="shared" si="21"/>
        <v/>
      </c>
      <c r="AV206" s="31">
        <f t="shared" si="22"/>
        <v>0</v>
      </c>
      <c r="AX206" s="31" t="str">
        <f>VLOOKUP(B206,Totalt!$B$1:$BZ$554,MATCH(AX$1,Totalt!$B$1:$BZ$1,0),FALSE)</f>
        <v>Ja</v>
      </c>
      <c r="BA206" s="32" t="str">
        <f t="shared" si="23"/>
        <v/>
      </c>
    </row>
    <row r="207" spans="1:53" x14ac:dyDescent="0.45">
      <c r="A207" s="31" t="s">
        <v>416</v>
      </c>
      <c r="B207" s="31" t="s">
        <v>415</v>
      </c>
      <c r="J207" s="31">
        <v>0</v>
      </c>
      <c r="K207" s="31">
        <v>0</v>
      </c>
      <c r="L207" s="31">
        <v>0</v>
      </c>
      <c r="M207" s="31">
        <v>0</v>
      </c>
      <c r="N207" s="31">
        <v>0</v>
      </c>
      <c r="O207" s="31">
        <v>0</v>
      </c>
      <c r="P207" s="31">
        <v>0</v>
      </c>
      <c r="Q207" s="31">
        <v>0</v>
      </c>
      <c r="R207" s="31">
        <v>0</v>
      </c>
      <c r="S207" s="31">
        <v>0</v>
      </c>
      <c r="T207" s="31">
        <v>0</v>
      </c>
      <c r="U207" s="31">
        <v>0</v>
      </c>
      <c r="W207" s="31">
        <v>0</v>
      </c>
      <c r="X207" s="31">
        <v>0</v>
      </c>
      <c r="Y207" s="31">
        <v>0</v>
      </c>
      <c r="Z207" s="31">
        <v>0</v>
      </c>
      <c r="AA207" s="31">
        <v>0</v>
      </c>
      <c r="AB207" s="31">
        <v>0</v>
      </c>
      <c r="AC207" s="31">
        <v>0</v>
      </c>
      <c r="AD207" s="31">
        <v>0</v>
      </c>
      <c r="AE207" s="31">
        <v>0</v>
      </c>
      <c r="AF207" s="31">
        <v>0</v>
      </c>
      <c r="AG207" s="31">
        <v>0</v>
      </c>
      <c r="AH207" s="31">
        <v>0</v>
      </c>
      <c r="AI207" s="31">
        <v>0</v>
      </c>
      <c r="AL207" s="31">
        <f t="shared" si="18"/>
        <v>0</v>
      </c>
      <c r="AM207" s="31">
        <f t="shared" si="19"/>
        <v>0</v>
      </c>
      <c r="AN207" s="31">
        <f t="shared" si="20"/>
        <v>0</v>
      </c>
      <c r="AP207" s="31">
        <f>VLOOKUP($B207,Kraftvärmeprod!$B$1:$BX$549,MATCH(AP$1,Kraftvärmeprod!$B$1:$BX$1,0),FALSE)</f>
        <v>0</v>
      </c>
      <c r="AQ207" s="31">
        <f>VLOOKUP($B207,Kraftvärmeprod!$B$1:$BX$549,MATCH(AQ$1,Kraftvärmeprod!$B$1:$BX$1,0),FALSE)</f>
        <v>0</v>
      </c>
      <c r="AR207" s="31">
        <f>VLOOKUP($B207,Kraftvärmeprod!$B$1:$BX$549,MATCH("Summa tillförd energi exklusive rökgaskondensering",Kraftvärmeprod!$B$1:$BX$1,0),FALSE)</f>
        <v>0</v>
      </c>
      <c r="AT207" s="32" t="str">
        <f t="shared" si="21"/>
        <v/>
      </c>
      <c r="AV207" s="31">
        <f t="shared" si="22"/>
        <v>0</v>
      </c>
      <c r="AX207" s="31" t="str">
        <f>VLOOKUP(B207,Totalt!$B$1:$BZ$554,MATCH(AX$1,Totalt!$B$1:$BZ$1,0),FALSE)</f>
        <v>Ja</v>
      </c>
      <c r="BA207" s="32" t="str">
        <f t="shared" si="23"/>
        <v/>
      </c>
    </row>
    <row r="208" spans="1:53" x14ac:dyDescent="0.45">
      <c r="A208" s="31" t="s">
        <v>413</v>
      </c>
      <c r="B208" s="31" t="s">
        <v>414</v>
      </c>
      <c r="J208" s="31">
        <v>0</v>
      </c>
      <c r="K208" s="31">
        <v>0</v>
      </c>
      <c r="L208" s="31">
        <v>0</v>
      </c>
      <c r="M208" s="31">
        <v>0</v>
      </c>
      <c r="N208" s="31">
        <v>0</v>
      </c>
      <c r="O208" s="31">
        <v>0</v>
      </c>
      <c r="P208" s="31">
        <v>0</v>
      </c>
      <c r="Q208" s="31">
        <v>0</v>
      </c>
      <c r="R208" s="31">
        <v>0</v>
      </c>
      <c r="S208" s="31">
        <v>0</v>
      </c>
      <c r="T208" s="31">
        <v>0</v>
      </c>
      <c r="U208" s="31">
        <v>0</v>
      </c>
      <c r="W208" s="31">
        <v>0</v>
      </c>
      <c r="X208" s="31">
        <v>0</v>
      </c>
      <c r="Y208" s="31">
        <v>0</v>
      </c>
      <c r="Z208" s="31">
        <v>0</v>
      </c>
      <c r="AA208" s="31">
        <v>0</v>
      </c>
      <c r="AB208" s="31">
        <v>0</v>
      </c>
      <c r="AC208" s="31">
        <v>0</v>
      </c>
      <c r="AD208" s="31">
        <v>0</v>
      </c>
      <c r="AE208" s="31">
        <v>0</v>
      </c>
      <c r="AF208" s="31">
        <v>0</v>
      </c>
      <c r="AG208" s="31">
        <v>0</v>
      </c>
      <c r="AH208" s="31">
        <v>0</v>
      </c>
      <c r="AI208" s="31">
        <v>0</v>
      </c>
      <c r="AL208" s="31">
        <f t="shared" si="18"/>
        <v>0</v>
      </c>
      <c r="AM208" s="31">
        <f t="shared" si="19"/>
        <v>0</v>
      </c>
      <c r="AN208" s="31">
        <f t="shared" si="20"/>
        <v>0</v>
      </c>
      <c r="AP208" s="31">
        <f>VLOOKUP($B208,Kraftvärmeprod!$B$1:$BX$549,MATCH(AP$1,Kraftvärmeprod!$B$1:$BX$1,0),FALSE)</f>
        <v>0</v>
      </c>
      <c r="AQ208" s="31">
        <f>VLOOKUP($B208,Kraftvärmeprod!$B$1:$BX$549,MATCH(AQ$1,Kraftvärmeprod!$B$1:$BX$1,0),FALSE)</f>
        <v>0</v>
      </c>
      <c r="AR208" s="31">
        <f>VLOOKUP($B208,Kraftvärmeprod!$B$1:$BX$549,MATCH("Summa tillförd energi exklusive rökgaskondensering",Kraftvärmeprod!$B$1:$BX$1,0),FALSE)</f>
        <v>0</v>
      </c>
      <c r="AT208" s="32" t="str">
        <f t="shared" si="21"/>
        <v/>
      </c>
      <c r="AV208" s="31">
        <f t="shared" si="22"/>
        <v>0</v>
      </c>
      <c r="AX208" s="31" t="str">
        <f>VLOOKUP(B208,Totalt!$B$1:$BZ$554,MATCH(AX$1,Totalt!$B$1:$BZ$1,0),FALSE)</f>
        <v>Ja</v>
      </c>
      <c r="BA208" s="32" t="str">
        <f t="shared" si="23"/>
        <v/>
      </c>
    </row>
    <row r="209" spans="1:53" x14ac:dyDescent="0.45">
      <c r="A209" s="31" t="s">
        <v>413</v>
      </c>
      <c r="B209" s="31" t="s">
        <v>412</v>
      </c>
      <c r="J209" s="31">
        <v>0</v>
      </c>
      <c r="K209" s="31">
        <v>0.144839</v>
      </c>
      <c r="L209" s="31">
        <v>0</v>
      </c>
      <c r="M209" s="31">
        <v>0</v>
      </c>
      <c r="N209" s="31">
        <v>0</v>
      </c>
      <c r="O209" s="31">
        <v>0</v>
      </c>
      <c r="P209" s="31">
        <v>0.26833400000000002</v>
      </c>
      <c r="Q209" s="31">
        <v>0.60375100000000004</v>
      </c>
      <c r="R209" s="31">
        <v>1.2075</v>
      </c>
      <c r="S209" s="31">
        <v>0</v>
      </c>
      <c r="T209" s="31">
        <v>0</v>
      </c>
      <c r="U209" s="31">
        <v>0</v>
      </c>
      <c r="W209" s="31">
        <v>0</v>
      </c>
      <c r="X209" s="31">
        <v>0</v>
      </c>
      <c r="Y209" s="31">
        <v>0</v>
      </c>
      <c r="Z209" s="31">
        <v>84.189700000000002</v>
      </c>
      <c r="AA209" s="31">
        <v>0</v>
      </c>
      <c r="AB209" s="31">
        <v>0</v>
      </c>
      <c r="AC209" s="31">
        <v>0</v>
      </c>
      <c r="AD209" s="31">
        <v>0</v>
      </c>
      <c r="AE209" s="31">
        <v>0</v>
      </c>
      <c r="AF209" s="31">
        <v>0</v>
      </c>
      <c r="AG209" s="31">
        <v>0</v>
      </c>
      <c r="AH209" s="31">
        <v>16</v>
      </c>
      <c r="AI209" s="31">
        <v>0</v>
      </c>
      <c r="AL209" s="31">
        <f t="shared" si="18"/>
        <v>102.414124</v>
      </c>
      <c r="AM209" s="31">
        <f t="shared" si="19"/>
        <v>102.414124</v>
      </c>
      <c r="AN209" s="31">
        <f t="shared" si="20"/>
        <v>86.414124000000001</v>
      </c>
      <c r="AP209" s="31">
        <f>VLOOKUP($B209,Kraftvärmeprod!$B$1:$BX$549,MATCH(AP$1,Kraftvärmeprod!$B$1:$BX$1,0),FALSE)</f>
        <v>95.6</v>
      </c>
      <c r="AQ209" s="31">
        <f>VLOOKUP($B209,Kraftvärmeprod!$B$1:$BX$549,MATCH(AQ$1,Kraftvärmeprod!$B$1:$BX$1,0),FALSE)</f>
        <v>18</v>
      </c>
      <c r="AR209" s="31">
        <f>VLOOKUP($B209,Kraftvärmeprod!$B$1:$BX$549,MATCH("Summa tillförd energi exklusive rökgaskondensering",Kraftvärmeprod!$B$1:$BX$1,0),FALSE)</f>
        <v>128.80000000000001</v>
      </c>
      <c r="AT209" s="32">
        <f t="shared" si="21"/>
        <v>0.67091711180124214</v>
      </c>
      <c r="AV209" s="31">
        <f t="shared" si="22"/>
        <v>86.269284999999996</v>
      </c>
      <c r="AX209" s="31" t="str">
        <f>VLOOKUP(B209,Totalt!$B$1:$BZ$554,MATCH(AX$1,Totalt!$B$1:$BZ$1,0),FALSE)</f>
        <v>Ja</v>
      </c>
      <c r="BA209" s="32">
        <f t="shared" si="23"/>
        <v>1.106300632058713</v>
      </c>
    </row>
    <row r="210" spans="1:53" x14ac:dyDescent="0.45">
      <c r="A210" s="31" t="s">
        <v>411</v>
      </c>
      <c r="B210" s="31" t="s">
        <v>410</v>
      </c>
      <c r="J210" s="31">
        <v>0</v>
      </c>
      <c r="K210" s="31">
        <v>0</v>
      </c>
      <c r="L210" s="31">
        <v>0</v>
      </c>
      <c r="M210" s="31">
        <v>0</v>
      </c>
      <c r="N210" s="31">
        <v>0</v>
      </c>
      <c r="O210" s="31">
        <v>0</v>
      </c>
      <c r="P210" s="31">
        <v>0</v>
      </c>
      <c r="Q210" s="31">
        <v>0</v>
      </c>
      <c r="R210" s="31">
        <v>0</v>
      </c>
      <c r="S210" s="31">
        <v>0</v>
      </c>
      <c r="T210" s="31">
        <v>0</v>
      </c>
      <c r="U210" s="31">
        <v>0</v>
      </c>
      <c r="W210" s="31">
        <v>0</v>
      </c>
      <c r="X210" s="31">
        <v>0</v>
      </c>
      <c r="Y210" s="31">
        <v>0</v>
      </c>
      <c r="Z210" s="31">
        <v>0</v>
      </c>
      <c r="AA210" s="31">
        <v>0</v>
      </c>
      <c r="AB210" s="31">
        <v>0</v>
      </c>
      <c r="AC210" s="31">
        <v>0</v>
      </c>
      <c r="AD210" s="31">
        <v>0</v>
      </c>
      <c r="AE210" s="31">
        <v>0</v>
      </c>
      <c r="AF210" s="31">
        <v>0</v>
      </c>
      <c r="AG210" s="31">
        <v>0</v>
      </c>
      <c r="AH210" s="31">
        <v>0</v>
      </c>
      <c r="AI210" s="31">
        <v>0</v>
      </c>
      <c r="AL210" s="31">
        <f t="shared" si="18"/>
        <v>0</v>
      </c>
      <c r="AM210" s="31">
        <f t="shared" si="19"/>
        <v>0</v>
      </c>
      <c r="AN210" s="31">
        <f t="shared" si="20"/>
        <v>0</v>
      </c>
      <c r="AP210" s="31">
        <f>VLOOKUP($B210,Kraftvärmeprod!$B$1:$BX$549,MATCH(AP$1,Kraftvärmeprod!$B$1:$BX$1,0),FALSE)</f>
        <v>0</v>
      </c>
      <c r="AQ210" s="31">
        <f>VLOOKUP($B210,Kraftvärmeprod!$B$1:$BX$549,MATCH(AQ$1,Kraftvärmeprod!$B$1:$BX$1,0),FALSE)</f>
        <v>0</v>
      </c>
      <c r="AR210" s="31">
        <f>VLOOKUP($B210,Kraftvärmeprod!$B$1:$BX$549,MATCH("Summa tillförd energi exklusive rökgaskondensering",Kraftvärmeprod!$B$1:$BX$1,0),FALSE)</f>
        <v>0</v>
      </c>
      <c r="AT210" s="32" t="str">
        <f t="shared" si="21"/>
        <v/>
      </c>
      <c r="AV210" s="31">
        <f t="shared" si="22"/>
        <v>0</v>
      </c>
      <c r="AX210" s="31" t="str">
        <f>VLOOKUP(B210,Totalt!$B$1:$BZ$554,MATCH(AX$1,Totalt!$B$1:$BZ$1,0),FALSE)</f>
        <v>Ja</v>
      </c>
      <c r="BA210" s="32" t="str">
        <f t="shared" si="23"/>
        <v/>
      </c>
    </row>
    <row r="211" spans="1:53" x14ac:dyDescent="0.45">
      <c r="A211" s="31" t="s">
        <v>111</v>
      </c>
      <c r="B211" s="31" t="s">
        <v>409</v>
      </c>
      <c r="J211" s="31">
        <v>0</v>
      </c>
      <c r="K211" s="31">
        <v>0</v>
      </c>
      <c r="L211" s="31">
        <v>0</v>
      </c>
      <c r="M211" s="31">
        <v>0</v>
      </c>
      <c r="N211" s="31">
        <v>0</v>
      </c>
      <c r="O211" s="31">
        <v>0</v>
      </c>
      <c r="P211" s="31">
        <v>0</v>
      </c>
      <c r="Q211" s="31">
        <v>0</v>
      </c>
      <c r="R211" s="31">
        <v>0</v>
      </c>
      <c r="S211" s="31">
        <v>0</v>
      </c>
      <c r="T211" s="31">
        <v>0</v>
      </c>
      <c r="U211" s="31">
        <v>0</v>
      </c>
      <c r="W211" s="31">
        <v>0</v>
      </c>
      <c r="X211" s="31">
        <v>0</v>
      </c>
      <c r="Y211" s="31">
        <v>0</v>
      </c>
      <c r="Z211" s="31">
        <v>0</v>
      </c>
      <c r="AA211" s="31">
        <v>0</v>
      </c>
      <c r="AB211" s="31">
        <v>0</v>
      </c>
      <c r="AC211" s="31">
        <v>0</v>
      </c>
      <c r="AD211" s="31">
        <v>0</v>
      </c>
      <c r="AE211" s="31">
        <v>0</v>
      </c>
      <c r="AF211" s="31">
        <v>0</v>
      </c>
      <c r="AG211" s="31">
        <v>0</v>
      </c>
      <c r="AH211" s="31">
        <v>0</v>
      </c>
      <c r="AI211" s="31">
        <v>0</v>
      </c>
      <c r="AL211" s="31">
        <f t="shared" si="18"/>
        <v>0</v>
      </c>
      <c r="AM211" s="31">
        <f t="shared" si="19"/>
        <v>0</v>
      </c>
      <c r="AN211" s="31">
        <f t="shared" si="20"/>
        <v>0</v>
      </c>
      <c r="AP211" s="31">
        <f>VLOOKUP($B211,Kraftvärmeprod!$B$1:$BX$549,MATCH(AP$1,Kraftvärmeprod!$B$1:$BX$1,0),FALSE)</f>
        <v>0</v>
      </c>
      <c r="AQ211" s="31">
        <f>VLOOKUP($B211,Kraftvärmeprod!$B$1:$BX$549,MATCH(AQ$1,Kraftvärmeprod!$B$1:$BX$1,0),FALSE)</f>
        <v>0</v>
      </c>
      <c r="AR211" s="31">
        <f>VLOOKUP($B211,Kraftvärmeprod!$B$1:$BX$549,MATCH("Summa tillförd energi exklusive rökgaskondensering",Kraftvärmeprod!$B$1:$BX$1,0),FALSE)</f>
        <v>0</v>
      </c>
      <c r="AT211" s="32" t="str">
        <f t="shared" si="21"/>
        <v/>
      </c>
      <c r="AV211" s="31">
        <f t="shared" si="22"/>
        <v>0</v>
      </c>
      <c r="AX211" s="31" t="str">
        <f>VLOOKUP(B211,Totalt!$B$1:$BZ$554,MATCH(AX$1,Totalt!$B$1:$BZ$1,0),FALSE)</f>
        <v>Ja</v>
      </c>
      <c r="BA211" s="32" t="str">
        <f t="shared" si="23"/>
        <v/>
      </c>
    </row>
    <row r="212" spans="1:53" x14ac:dyDescent="0.45">
      <c r="A212" s="31" t="s">
        <v>406</v>
      </c>
      <c r="B212" s="31" t="s">
        <v>408</v>
      </c>
      <c r="J212" s="31">
        <v>0</v>
      </c>
      <c r="K212" s="31">
        <v>0</v>
      </c>
      <c r="L212" s="31">
        <v>0</v>
      </c>
      <c r="M212" s="31">
        <v>0</v>
      </c>
      <c r="N212" s="31">
        <v>0</v>
      </c>
      <c r="O212" s="31">
        <v>0</v>
      </c>
      <c r="P212" s="31">
        <v>0</v>
      </c>
      <c r="Q212" s="31">
        <v>0</v>
      </c>
      <c r="R212" s="31">
        <v>0</v>
      </c>
      <c r="S212" s="31">
        <v>0</v>
      </c>
      <c r="T212" s="31">
        <v>0</v>
      </c>
      <c r="U212" s="31">
        <v>0</v>
      </c>
      <c r="W212" s="31">
        <v>0</v>
      </c>
      <c r="X212" s="31">
        <v>0</v>
      </c>
      <c r="Y212" s="31">
        <v>0</v>
      </c>
      <c r="Z212" s="31">
        <v>0</v>
      </c>
      <c r="AA212" s="31">
        <v>0</v>
      </c>
      <c r="AB212" s="31">
        <v>0</v>
      </c>
      <c r="AC212" s="31">
        <v>0</v>
      </c>
      <c r="AD212" s="31">
        <v>0</v>
      </c>
      <c r="AE212" s="31">
        <v>0</v>
      </c>
      <c r="AF212" s="31">
        <v>0</v>
      </c>
      <c r="AG212" s="31">
        <v>0</v>
      </c>
      <c r="AH212" s="31">
        <v>0</v>
      </c>
      <c r="AI212" s="31">
        <v>0</v>
      </c>
      <c r="AL212" s="31">
        <f t="shared" si="18"/>
        <v>0</v>
      </c>
      <c r="AM212" s="31">
        <f t="shared" si="19"/>
        <v>0</v>
      </c>
      <c r="AN212" s="31">
        <f t="shared" si="20"/>
        <v>0</v>
      </c>
      <c r="AP212" s="31">
        <f>VLOOKUP($B212,Kraftvärmeprod!$B$1:$BX$549,MATCH(AP$1,Kraftvärmeprod!$B$1:$BX$1,0),FALSE)</f>
        <v>0</v>
      </c>
      <c r="AQ212" s="31">
        <f>VLOOKUP($B212,Kraftvärmeprod!$B$1:$BX$549,MATCH(AQ$1,Kraftvärmeprod!$B$1:$BX$1,0),FALSE)</f>
        <v>0</v>
      </c>
      <c r="AR212" s="31">
        <f>VLOOKUP($B212,Kraftvärmeprod!$B$1:$BX$549,MATCH("Summa tillförd energi exklusive rökgaskondensering",Kraftvärmeprod!$B$1:$BX$1,0),FALSE)</f>
        <v>0</v>
      </c>
      <c r="AT212" s="32" t="str">
        <f t="shared" si="21"/>
        <v/>
      </c>
      <c r="AV212" s="31">
        <f t="shared" si="22"/>
        <v>0</v>
      </c>
      <c r="AX212" s="31" t="str">
        <f>VLOOKUP(B212,Totalt!$B$1:$BZ$554,MATCH(AX$1,Totalt!$B$1:$BZ$1,0),FALSE)</f>
        <v>Ja</v>
      </c>
      <c r="BA212" s="32" t="str">
        <f t="shared" si="23"/>
        <v/>
      </c>
    </row>
    <row r="213" spans="1:53" x14ac:dyDescent="0.45">
      <c r="A213" s="31" t="s">
        <v>406</v>
      </c>
      <c r="B213" s="31" t="s">
        <v>407</v>
      </c>
      <c r="J213" s="31">
        <v>0</v>
      </c>
      <c r="K213" s="31">
        <v>0</v>
      </c>
      <c r="L213" s="31">
        <v>0</v>
      </c>
      <c r="M213" s="31">
        <v>0</v>
      </c>
      <c r="N213" s="31">
        <v>0</v>
      </c>
      <c r="O213" s="31">
        <v>0</v>
      </c>
      <c r="P213" s="31">
        <v>79.742599999999996</v>
      </c>
      <c r="Q213" s="31">
        <v>0</v>
      </c>
      <c r="R213" s="31">
        <v>3.8638300000000001</v>
      </c>
      <c r="S213" s="31">
        <v>0</v>
      </c>
      <c r="T213" s="31">
        <v>0</v>
      </c>
      <c r="U213" s="31">
        <v>0</v>
      </c>
      <c r="W213" s="31">
        <v>0</v>
      </c>
      <c r="X213" s="31">
        <v>0</v>
      </c>
      <c r="Y213" s="31">
        <v>0</v>
      </c>
      <c r="Z213" s="31">
        <v>0</v>
      </c>
      <c r="AA213" s="31">
        <v>0</v>
      </c>
      <c r="AB213" s="31">
        <v>0</v>
      </c>
      <c r="AC213" s="31">
        <v>0</v>
      </c>
      <c r="AD213" s="31">
        <v>0</v>
      </c>
      <c r="AE213" s="31">
        <v>0</v>
      </c>
      <c r="AF213" s="31">
        <v>0</v>
      </c>
      <c r="AG213" s="31">
        <v>0</v>
      </c>
      <c r="AH213" s="31">
        <v>23.632000000000001</v>
      </c>
      <c r="AI213" s="31">
        <v>0.81105300000000002</v>
      </c>
      <c r="AL213" s="31">
        <f t="shared" si="18"/>
        <v>108.049483</v>
      </c>
      <c r="AM213" s="31">
        <f t="shared" si="19"/>
        <v>107.23842999999999</v>
      </c>
      <c r="AN213" s="31">
        <f t="shared" si="20"/>
        <v>83.606429999999989</v>
      </c>
      <c r="AP213" s="31">
        <f>VLOOKUP($B213,Kraftvärmeprod!$B$1:$BX$549,MATCH(AP$1,Kraftvärmeprod!$B$1:$BX$1,0),FALSE)</f>
        <v>86.164000000000001</v>
      </c>
      <c r="AQ213" s="31">
        <f>VLOOKUP($B213,Kraftvärmeprod!$B$1:$BX$549,MATCH(AQ$1,Kraftvärmeprod!$B$1:$BX$1,0),FALSE)</f>
        <v>19.443000000000001</v>
      </c>
      <c r="AR213" s="31">
        <f>VLOOKUP($B213,Kraftvärmeprod!$B$1:$BX$549,MATCH("Summa tillförd energi exklusive rökgaskondensering",Kraftvärmeprod!$B$1:$BX$1,0),FALSE)</f>
        <v>132.77199999999999</v>
      </c>
      <c r="AT213" s="32">
        <f t="shared" si="21"/>
        <v>0.62969925887988432</v>
      </c>
      <c r="AV213" s="31">
        <f t="shared" si="22"/>
        <v>83.606429999999989</v>
      </c>
      <c r="AX213" s="31" t="str">
        <f>VLOOKUP(B213,Totalt!$B$1:$BZ$554,MATCH(AX$1,Totalt!$B$1:$BZ$1,0),FALSE)</f>
        <v>Ja</v>
      </c>
      <c r="BA213" s="32">
        <f t="shared" si="23"/>
        <v>1.0206890437612315</v>
      </c>
    </row>
    <row r="214" spans="1:53" x14ac:dyDescent="0.45">
      <c r="A214" s="31" t="s">
        <v>406</v>
      </c>
      <c r="B214" s="31" t="s">
        <v>405</v>
      </c>
      <c r="J214" s="31">
        <v>0</v>
      </c>
      <c r="K214" s="31">
        <v>0</v>
      </c>
      <c r="L214" s="31">
        <v>0</v>
      </c>
      <c r="M214" s="31">
        <v>0</v>
      </c>
      <c r="N214" s="31">
        <v>0</v>
      </c>
      <c r="O214" s="31">
        <v>0</v>
      </c>
      <c r="P214" s="31">
        <v>0</v>
      </c>
      <c r="Q214" s="31">
        <v>0</v>
      </c>
      <c r="R214" s="31">
        <v>0</v>
      </c>
      <c r="S214" s="31">
        <v>0</v>
      </c>
      <c r="T214" s="31">
        <v>0</v>
      </c>
      <c r="U214" s="31">
        <v>0</v>
      </c>
      <c r="W214" s="31">
        <v>0</v>
      </c>
      <c r="X214" s="31">
        <v>0</v>
      </c>
      <c r="Y214" s="31">
        <v>0</v>
      </c>
      <c r="Z214" s="31">
        <v>0</v>
      </c>
      <c r="AA214" s="31">
        <v>0</v>
      </c>
      <c r="AB214" s="31">
        <v>0</v>
      </c>
      <c r="AC214" s="31">
        <v>0</v>
      </c>
      <c r="AD214" s="31">
        <v>0</v>
      </c>
      <c r="AE214" s="31">
        <v>0</v>
      </c>
      <c r="AF214" s="31">
        <v>0</v>
      </c>
      <c r="AG214" s="31">
        <v>0</v>
      </c>
      <c r="AH214" s="31">
        <v>0</v>
      </c>
      <c r="AI214" s="31">
        <v>0</v>
      </c>
      <c r="AL214" s="31">
        <f t="shared" si="18"/>
        <v>0</v>
      </c>
      <c r="AM214" s="31">
        <f t="shared" si="19"/>
        <v>0</v>
      </c>
      <c r="AN214" s="31">
        <f t="shared" si="20"/>
        <v>0</v>
      </c>
      <c r="AP214" s="31">
        <f>VLOOKUP($B214,Kraftvärmeprod!$B$1:$BX$549,MATCH(AP$1,Kraftvärmeprod!$B$1:$BX$1,0),FALSE)</f>
        <v>0</v>
      </c>
      <c r="AQ214" s="31">
        <f>VLOOKUP($B214,Kraftvärmeprod!$B$1:$BX$549,MATCH(AQ$1,Kraftvärmeprod!$B$1:$BX$1,0),FALSE)</f>
        <v>0</v>
      </c>
      <c r="AR214" s="31">
        <f>VLOOKUP($B214,Kraftvärmeprod!$B$1:$BX$549,MATCH("Summa tillförd energi exklusive rökgaskondensering",Kraftvärmeprod!$B$1:$BX$1,0),FALSE)</f>
        <v>0</v>
      </c>
      <c r="AT214" s="32" t="str">
        <f t="shared" si="21"/>
        <v/>
      </c>
      <c r="AV214" s="31">
        <f t="shared" si="22"/>
        <v>0</v>
      </c>
      <c r="AX214" s="31" t="str">
        <f>VLOOKUP(B214,Totalt!$B$1:$BZ$554,MATCH(AX$1,Totalt!$B$1:$BZ$1,0),FALSE)</f>
        <v>Ja</v>
      </c>
      <c r="BA214" s="32" t="str">
        <f t="shared" si="23"/>
        <v/>
      </c>
    </row>
    <row r="215" spans="1:53" x14ac:dyDescent="0.45">
      <c r="A215" s="31" t="s">
        <v>404</v>
      </c>
      <c r="B215" s="31" t="s">
        <v>403</v>
      </c>
      <c r="J215" s="31">
        <v>0</v>
      </c>
      <c r="K215" s="31">
        <v>0</v>
      </c>
      <c r="L215" s="31">
        <v>0</v>
      </c>
      <c r="M215" s="31">
        <v>0</v>
      </c>
      <c r="N215" s="31">
        <v>0</v>
      </c>
      <c r="O215" s="31">
        <v>0</v>
      </c>
      <c r="P215" s="31">
        <v>0</v>
      </c>
      <c r="Q215" s="31">
        <v>0</v>
      </c>
      <c r="R215" s="31">
        <v>0</v>
      </c>
      <c r="S215" s="31">
        <v>0</v>
      </c>
      <c r="T215" s="31">
        <v>0</v>
      </c>
      <c r="U215" s="31">
        <v>0</v>
      </c>
      <c r="W215" s="31">
        <v>0</v>
      </c>
      <c r="X215" s="31">
        <v>0</v>
      </c>
      <c r="Y215" s="31">
        <v>0</v>
      </c>
      <c r="Z215" s="31">
        <v>0</v>
      </c>
      <c r="AA215" s="31">
        <v>0</v>
      </c>
      <c r="AB215" s="31">
        <v>0</v>
      </c>
      <c r="AC215" s="31">
        <v>0</v>
      </c>
      <c r="AD215" s="31">
        <v>0</v>
      </c>
      <c r="AE215" s="31">
        <v>0</v>
      </c>
      <c r="AF215" s="31">
        <v>0</v>
      </c>
      <c r="AG215" s="31">
        <v>0</v>
      </c>
      <c r="AH215" s="31">
        <v>0</v>
      </c>
      <c r="AI215" s="31">
        <v>0</v>
      </c>
      <c r="AL215" s="31">
        <f t="shared" si="18"/>
        <v>0</v>
      </c>
      <c r="AM215" s="31">
        <f t="shared" si="19"/>
        <v>0</v>
      </c>
      <c r="AN215" s="31">
        <f t="shared" si="20"/>
        <v>0</v>
      </c>
      <c r="AP215" s="31">
        <f>VLOOKUP($B215,Kraftvärmeprod!$B$1:$BX$549,MATCH(AP$1,Kraftvärmeprod!$B$1:$BX$1,0),FALSE)</f>
        <v>0</v>
      </c>
      <c r="AQ215" s="31">
        <f>VLOOKUP($B215,Kraftvärmeprod!$B$1:$BX$549,MATCH(AQ$1,Kraftvärmeprod!$B$1:$BX$1,0),FALSE)</f>
        <v>0</v>
      </c>
      <c r="AR215" s="31">
        <f>VLOOKUP($B215,Kraftvärmeprod!$B$1:$BX$549,MATCH("Summa tillförd energi exklusive rökgaskondensering",Kraftvärmeprod!$B$1:$BX$1,0),FALSE)</f>
        <v>0</v>
      </c>
      <c r="AT215" s="32" t="str">
        <f t="shared" si="21"/>
        <v/>
      </c>
      <c r="AV215" s="31">
        <f t="shared" si="22"/>
        <v>0</v>
      </c>
      <c r="AX215" s="31" t="str">
        <f>VLOOKUP(B215,Totalt!$B$1:$BZ$554,MATCH(AX$1,Totalt!$B$1:$BZ$1,0),FALSE)</f>
        <v>Ja</v>
      </c>
      <c r="BA215" s="32" t="str">
        <f t="shared" si="23"/>
        <v/>
      </c>
    </row>
    <row r="216" spans="1:53" x14ac:dyDescent="0.45">
      <c r="A216" s="31" t="s">
        <v>402</v>
      </c>
      <c r="B216" s="31" t="s">
        <v>401</v>
      </c>
      <c r="J216" s="31">
        <v>0</v>
      </c>
      <c r="K216" s="31">
        <v>3.5188999999999999</v>
      </c>
      <c r="L216" s="31">
        <v>0</v>
      </c>
      <c r="M216" s="31">
        <v>0</v>
      </c>
      <c r="N216" s="31">
        <v>0</v>
      </c>
      <c r="O216" s="31">
        <v>0</v>
      </c>
      <c r="P216" s="31">
        <v>0</v>
      </c>
      <c r="Q216" s="31">
        <v>0</v>
      </c>
      <c r="R216" s="31">
        <v>0</v>
      </c>
      <c r="S216" s="31">
        <v>43.548400000000001</v>
      </c>
      <c r="T216" s="31">
        <v>0</v>
      </c>
      <c r="U216" s="31">
        <v>0</v>
      </c>
      <c r="W216" s="31">
        <v>0</v>
      </c>
      <c r="X216" s="31">
        <v>0</v>
      </c>
      <c r="Y216" s="31">
        <v>0</v>
      </c>
      <c r="Z216" s="31">
        <v>0</v>
      </c>
      <c r="AA216" s="31">
        <v>0</v>
      </c>
      <c r="AB216" s="31">
        <v>0</v>
      </c>
      <c r="AC216" s="31">
        <v>0</v>
      </c>
      <c r="AD216" s="31">
        <v>0</v>
      </c>
      <c r="AE216" s="31">
        <v>123.10299999999999</v>
      </c>
      <c r="AF216" s="31">
        <v>0</v>
      </c>
      <c r="AG216" s="31">
        <v>0</v>
      </c>
      <c r="AH216" s="31">
        <v>0</v>
      </c>
      <c r="AI216" s="31">
        <v>6.5037900000000004</v>
      </c>
      <c r="AL216" s="31">
        <f t="shared" si="18"/>
        <v>176.67409000000001</v>
      </c>
      <c r="AM216" s="31">
        <f t="shared" si="19"/>
        <v>170.1703</v>
      </c>
      <c r="AN216" s="31">
        <f t="shared" si="20"/>
        <v>170.1703</v>
      </c>
      <c r="AP216" s="31">
        <f>VLOOKUP($B216,Kraftvärmeprod!$B$1:$BX$549,MATCH(AP$1,Kraftvärmeprod!$B$1:$BX$1,0),FALSE)</f>
        <v>153.30000000000001</v>
      </c>
      <c r="AQ216" s="31">
        <f>VLOOKUP($B216,Kraftvärmeprod!$B$1:$BX$549,MATCH(AQ$1,Kraftvärmeprod!$B$1:$BX$1,0),FALSE)</f>
        <v>17.899999999999999</v>
      </c>
      <c r="AR216" s="31">
        <f>VLOOKUP($B216,Kraftvärmeprod!$B$1:$BX$549,MATCH("Summa tillförd energi exklusive rökgaskondensering",Kraftvärmeprod!$B$1:$BX$1,0),FALSE)</f>
        <v>230.25</v>
      </c>
      <c r="AT216" s="32">
        <f t="shared" si="21"/>
        <v>0.73906753528773073</v>
      </c>
      <c r="AV216" s="31">
        <f t="shared" si="22"/>
        <v>43.548400000000001</v>
      </c>
      <c r="AX216" s="31" t="str">
        <f>VLOOKUP(B216,Totalt!$B$1:$BZ$554,MATCH(AX$1,Totalt!$B$1:$BZ$1,0),FALSE)</f>
        <v>Ja</v>
      </c>
      <c r="BA216" s="32">
        <f t="shared" si="23"/>
        <v>0.86769938931056612</v>
      </c>
    </row>
    <row r="217" spans="1:53" x14ac:dyDescent="0.45">
      <c r="A217" s="31" t="s">
        <v>398</v>
      </c>
      <c r="B217" s="31" t="s">
        <v>400</v>
      </c>
      <c r="J217" s="31">
        <v>0</v>
      </c>
      <c r="K217" s="31">
        <v>0</v>
      </c>
      <c r="L217" s="31">
        <v>0</v>
      </c>
      <c r="M217" s="31">
        <v>0</v>
      </c>
      <c r="N217" s="31">
        <v>0</v>
      </c>
      <c r="O217" s="31">
        <v>0</v>
      </c>
      <c r="P217" s="31">
        <v>0</v>
      </c>
      <c r="Q217" s="31">
        <v>0</v>
      </c>
      <c r="R217" s="31">
        <v>0</v>
      </c>
      <c r="S217" s="31">
        <v>0</v>
      </c>
      <c r="T217" s="31">
        <v>0</v>
      </c>
      <c r="U217" s="31">
        <v>0</v>
      </c>
      <c r="W217" s="31">
        <v>0</v>
      </c>
      <c r="X217" s="31">
        <v>0</v>
      </c>
      <c r="Y217" s="31">
        <v>0</v>
      </c>
      <c r="Z217" s="31">
        <v>0</v>
      </c>
      <c r="AA217" s="31">
        <v>0</v>
      </c>
      <c r="AB217" s="31">
        <v>0</v>
      </c>
      <c r="AC217" s="31">
        <v>0</v>
      </c>
      <c r="AD217" s="31">
        <v>0</v>
      </c>
      <c r="AE217" s="31">
        <v>0</v>
      </c>
      <c r="AF217" s="31">
        <v>0</v>
      </c>
      <c r="AG217" s="31">
        <v>0</v>
      </c>
      <c r="AH217" s="31">
        <v>0</v>
      </c>
      <c r="AI217" s="31">
        <v>0</v>
      </c>
      <c r="AL217" s="31">
        <f t="shared" si="18"/>
        <v>0</v>
      </c>
      <c r="AM217" s="31">
        <f t="shared" si="19"/>
        <v>0</v>
      </c>
      <c r="AN217" s="31">
        <f t="shared" si="20"/>
        <v>0</v>
      </c>
      <c r="AP217" s="31">
        <f>VLOOKUP($B217,Kraftvärmeprod!$B$1:$BX$549,MATCH(AP$1,Kraftvärmeprod!$B$1:$BX$1,0),FALSE)</f>
        <v>0</v>
      </c>
      <c r="AQ217" s="31">
        <f>VLOOKUP($B217,Kraftvärmeprod!$B$1:$BX$549,MATCH(AQ$1,Kraftvärmeprod!$B$1:$BX$1,0),FALSE)</f>
        <v>0</v>
      </c>
      <c r="AR217" s="31">
        <f>VLOOKUP($B217,Kraftvärmeprod!$B$1:$BX$549,MATCH("Summa tillförd energi exklusive rökgaskondensering",Kraftvärmeprod!$B$1:$BX$1,0),FALSE)</f>
        <v>0</v>
      </c>
      <c r="AT217" s="32" t="str">
        <f t="shared" si="21"/>
        <v/>
      </c>
      <c r="AV217" s="31">
        <f t="shared" si="22"/>
        <v>0</v>
      </c>
      <c r="AX217" s="31" t="str">
        <f>VLOOKUP(B217,Totalt!$B$1:$BZ$554,MATCH(AX$1,Totalt!$B$1:$BZ$1,0),FALSE)</f>
        <v>Ja</v>
      </c>
      <c r="BA217" s="32" t="str">
        <f t="shared" si="23"/>
        <v/>
      </c>
    </row>
    <row r="218" spans="1:53" x14ac:dyDescent="0.45">
      <c r="A218" s="31" t="s">
        <v>398</v>
      </c>
      <c r="B218" s="31" t="s">
        <v>399</v>
      </c>
      <c r="J218" s="31">
        <v>0</v>
      </c>
      <c r="K218" s="31">
        <v>0</v>
      </c>
      <c r="L218" s="31">
        <v>0</v>
      </c>
      <c r="M218" s="31">
        <v>0</v>
      </c>
      <c r="N218" s="31">
        <v>0</v>
      </c>
      <c r="O218" s="31">
        <v>0</v>
      </c>
      <c r="P218" s="31">
        <v>0</v>
      </c>
      <c r="Q218" s="31">
        <v>0</v>
      </c>
      <c r="R218" s="31">
        <v>0</v>
      </c>
      <c r="S218" s="31">
        <v>0</v>
      </c>
      <c r="T218" s="31">
        <v>0</v>
      </c>
      <c r="U218" s="31">
        <v>0</v>
      </c>
      <c r="W218" s="31">
        <v>0</v>
      </c>
      <c r="X218" s="31">
        <v>0</v>
      </c>
      <c r="Y218" s="31">
        <v>0</v>
      </c>
      <c r="Z218" s="31">
        <v>0</v>
      </c>
      <c r="AA218" s="31">
        <v>0</v>
      </c>
      <c r="AB218" s="31">
        <v>0</v>
      </c>
      <c r="AC218" s="31">
        <v>0</v>
      </c>
      <c r="AD218" s="31">
        <v>0</v>
      </c>
      <c r="AE218" s="31">
        <v>0</v>
      </c>
      <c r="AF218" s="31">
        <v>0</v>
      </c>
      <c r="AG218" s="31">
        <v>0</v>
      </c>
      <c r="AH218" s="31">
        <v>0</v>
      </c>
      <c r="AI218" s="31">
        <v>0</v>
      </c>
      <c r="AL218" s="31">
        <f t="shared" si="18"/>
        <v>0</v>
      </c>
      <c r="AM218" s="31">
        <f t="shared" si="19"/>
        <v>0</v>
      </c>
      <c r="AN218" s="31">
        <f t="shared" si="20"/>
        <v>0</v>
      </c>
      <c r="AP218" s="31">
        <f>VLOOKUP($B218,Kraftvärmeprod!$B$1:$BX$549,MATCH(AP$1,Kraftvärmeprod!$B$1:$BX$1,0),FALSE)</f>
        <v>0</v>
      </c>
      <c r="AQ218" s="31">
        <f>VLOOKUP($B218,Kraftvärmeprod!$B$1:$BX$549,MATCH(AQ$1,Kraftvärmeprod!$B$1:$BX$1,0),FALSE)</f>
        <v>0</v>
      </c>
      <c r="AR218" s="31">
        <f>VLOOKUP($B218,Kraftvärmeprod!$B$1:$BX$549,MATCH("Summa tillförd energi exklusive rökgaskondensering",Kraftvärmeprod!$B$1:$BX$1,0),FALSE)</f>
        <v>0</v>
      </c>
      <c r="AT218" s="32" t="str">
        <f t="shared" si="21"/>
        <v/>
      </c>
      <c r="AV218" s="31">
        <f t="shared" si="22"/>
        <v>0</v>
      </c>
      <c r="AX218" s="31" t="str">
        <f>VLOOKUP(B218,Totalt!$B$1:$BZ$554,MATCH(AX$1,Totalt!$B$1:$BZ$1,0),FALSE)</f>
        <v>Ja</v>
      </c>
      <c r="BA218" s="32" t="str">
        <f t="shared" si="23"/>
        <v/>
      </c>
    </row>
    <row r="219" spans="1:53" x14ac:dyDescent="0.45">
      <c r="A219" s="31" t="s">
        <v>398</v>
      </c>
      <c r="B219" s="31" t="s">
        <v>397</v>
      </c>
      <c r="J219" s="31">
        <v>0</v>
      </c>
      <c r="K219" s="31">
        <v>0</v>
      </c>
      <c r="L219" s="31">
        <v>0</v>
      </c>
      <c r="M219" s="31">
        <v>0</v>
      </c>
      <c r="N219" s="31">
        <v>0</v>
      </c>
      <c r="O219" s="31">
        <v>0</v>
      </c>
      <c r="P219" s="31">
        <v>80.265000000000001</v>
      </c>
      <c r="Q219" s="31">
        <v>0</v>
      </c>
      <c r="R219" s="31">
        <v>0</v>
      </c>
      <c r="S219" s="31">
        <v>0</v>
      </c>
      <c r="T219" s="31">
        <v>0</v>
      </c>
      <c r="U219" s="31">
        <v>0</v>
      </c>
      <c r="W219" s="31">
        <v>0</v>
      </c>
      <c r="X219" s="31">
        <v>0</v>
      </c>
      <c r="Y219" s="31">
        <v>0</v>
      </c>
      <c r="Z219" s="31">
        <v>0</v>
      </c>
      <c r="AA219" s="31">
        <v>0</v>
      </c>
      <c r="AB219" s="31">
        <v>0</v>
      </c>
      <c r="AC219" s="31">
        <v>0</v>
      </c>
      <c r="AD219" s="31">
        <v>0</v>
      </c>
      <c r="AE219" s="31">
        <v>0</v>
      </c>
      <c r="AF219" s="31">
        <v>0</v>
      </c>
      <c r="AG219" s="31">
        <v>0</v>
      </c>
      <c r="AH219" s="31">
        <v>23.43</v>
      </c>
      <c r="AI219" s="31">
        <v>3.1309200000000001</v>
      </c>
      <c r="AL219" s="31">
        <f t="shared" si="18"/>
        <v>106.82592</v>
      </c>
      <c r="AM219" s="31">
        <f t="shared" si="19"/>
        <v>103.69499999999999</v>
      </c>
      <c r="AN219" s="31">
        <f t="shared" si="20"/>
        <v>80.264999999999986</v>
      </c>
      <c r="AP219" s="31">
        <f>VLOOKUP($B219,Kraftvärmeprod!$B$1:$BX$549,MATCH(AP$1,Kraftvärmeprod!$B$1:$BX$1,0),FALSE)</f>
        <v>94.75</v>
      </c>
      <c r="AQ219" s="31">
        <f>VLOOKUP($B219,Kraftvärmeprod!$B$1:$BX$549,MATCH(AQ$1,Kraftvärmeprod!$B$1:$BX$1,0),FALSE)</f>
        <v>30.17</v>
      </c>
      <c r="AR219" s="31">
        <f>VLOOKUP($B219,Kraftvärmeprod!$B$1:$BX$549,MATCH("Summa tillförd energi exklusive rökgaskondensering",Kraftvärmeprod!$B$1:$BX$1,0),FALSE)</f>
        <v>146.87</v>
      </c>
      <c r="AT219" s="32">
        <f t="shared" si="21"/>
        <v>0.54650371076462168</v>
      </c>
      <c r="AV219" s="31">
        <f t="shared" si="22"/>
        <v>80.265000000000001</v>
      </c>
      <c r="AX219" s="31" t="str">
        <f>VLOOKUP(B219,Totalt!$B$1:$BZ$554,MATCH(AX$1,Totalt!$B$1:$BZ$1,0),FALSE)</f>
        <v>Ja</v>
      </c>
      <c r="BA219" s="32">
        <f t="shared" si="23"/>
        <v>1.1361467083761414</v>
      </c>
    </row>
    <row r="220" spans="1:53" x14ac:dyDescent="0.45">
      <c r="A220" s="31" t="s">
        <v>396</v>
      </c>
      <c r="B220" s="31" t="s">
        <v>395</v>
      </c>
      <c r="J220" s="31">
        <v>0</v>
      </c>
      <c r="K220" s="31">
        <v>0</v>
      </c>
      <c r="L220" s="31">
        <v>0</v>
      </c>
      <c r="M220" s="31">
        <v>0</v>
      </c>
      <c r="N220" s="31">
        <v>0</v>
      </c>
      <c r="O220" s="31">
        <v>0</v>
      </c>
      <c r="P220" s="31">
        <v>0</v>
      </c>
      <c r="Q220" s="31">
        <v>0</v>
      </c>
      <c r="R220" s="31">
        <v>0</v>
      </c>
      <c r="S220" s="31">
        <v>0</v>
      </c>
      <c r="T220" s="31">
        <v>0</v>
      </c>
      <c r="U220" s="31">
        <v>0</v>
      </c>
      <c r="W220" s="31">
        <v>0</v>
      </c>
      <c r="X220" s="31">
        <v>0</v>
      </c>
      <c r="Y220" s="31">
        <v>0</v>
      </c>
      <c r="Z220" s="31">
        <v>0</v>
      </c>
      <c r="AA220" s="31">
        <v>0</v>
      </c>
      <c r="AB220" s="31">
        <v>0</v>
      </c>
      <c r="AC220" s="31">
        <v>0</v>
      </c>
      <c r="AD220" s="31">
        <v>0</v>
      </c>
      <c r="AE220" s="31">
        <v>0</v>
      </c>
      <c r="AF220" s="31">
        <v>0</v>
      </c>
      <c r="AG220" s="31">
        <v>0</v>
      </c>
      <c r="AH220" s="31">
        <v>0</v>
      </c>
      <c r="AI220" s="31">
        <v>0</v>
      </c>
      <c r="AL220" s="31">
        <f t="shared" si="18"/>
        <v>0</v>
      </c>
      <c r="AM220" s="31">
        <f t="shared" si="19"/>
        <v>0</v>
      </c>
      <c r="AN220" s="31">
        <f t="shared" si="20"/>
        <v>0</v>
      </c>
      <c r="AP220" s="31">
        <f>VLOOKUP($B220,Kraftvärmeprod!$B$1:$BX$549,MATCH(AP$1,Kraftvärmeprod!$B$1:$BX$1,0),FALSE)</f>
        <v>0</v>
      </c>
      <c r="AQ220" s="31">
        <f>VLOOKUP($B220,Kraftvärmeprod!$B$1:$BX$549,MATCH(AQ$1,Kraftvärmeprod!$B$1:$BX$1,0),FALSE)</f>
        <v>0</v>
      </c>
      <c r="AR220" s="31">
        <f>VLOOKUP($B220,Kraftvärmeprod!$B$1:$BX$549,MATCH("Summa tillförd energi exklusive rökgaskondensering",Kraftvärmeprod!$B$1:$BX$1,0),FALSE)</f>
        <v>0</v>
      </c>
      <c r="AT220" s="32" t="str">
        <f t="shared" si="21"/>
        <v/>
      </c>
      <c r="AV220" s="31">
        <f t="shared" si="22"/>
        <v>0</v>
      </c>
      <c r="AX220" s="31" t="str">
        <f>VLOOKUP(B220,Totalt!$B$1:$BZ$554,MATCH(AX$1,Totalt!$B$1:$BZ$1,0),FALSE)</f>
        <v>Ja</v>
      </c>
      <c r="BA220" s="32" t="str">
        <f t="shared" si="23"/>
        <v/>
      </c>
    </row>
    <row r="221" spans="1:53" x14ac:dyDescent="0.45">
      <c r="A221" s="31" t="s">
        <v>393</v>
      </c>
      <c r="B221" s="31" t="s">
        <v>392</v>
      </c>
      <c r="J221" s="31">
        <v>0</v>
      </c>
      <c r="K221" s="31">
        <v>0</v>
      </c>
      <c r="L221" s="31">
        <v>0</v>
      </c>
      <c r="M221" s="31">
        <v>0</v>
      </c>
      <c r="N221" s="31">
        <v>0</v>
      </c>
      <c r="O221" s="31">
        <v>0</v>
      </c>
      <c r="P221" s="31">
        <v>0</v>
      </c>
      <c r="Q221" s="31">
        <v>0</v>
      </c>
      <c r="R221" s="31">
        <v>0</v>
      </c>
      <c r="S221" s="31">
        <v>0</v>
      </c>
      <c r="T221" s="31">
        <v>0</v>
      </c>
      <c r="U221" s="31">
        <v>0</v>
      </c>
      <c r="W221" s="31">
        <v>0</v>
      </c>
      <c r="X221" s="31">
        <v>0</v>
      </c>
      <c r="Y221" s="31">
        <v>0</v>
      </c>
      <c r="Z221" s="31">
        <v>0</v>
      </c>
      <c r="AA221" s="31">
        <v>0</v>
      </c>
      <c r="AB221" s="31">
        <v>0</v>
      </c>
      <c r="AC221" s="31">
        <v>0</v>
      </c>
      <c r="AD221" s="31">
        <v>0</v>
      </c>
      <c r="AE221" s="31">
        <v>0</v>
      </c>
      <c r="AF221" s="31">
        <v>0</v>
      </c>
      <c r="AG221" s="31">
        <v>0</v>
      </c>
      <c r="AH221" s="31">
        <v>0</v>
      </c>
      <c r="AI221" s="31">
        <v>0</v>
      </c>
      <c r="AL221" s="31">
        <f t="shared" si="18"/>
        <v>0</v>
      </c>
      <c r="AM221" s="31">
        <f t="shared" si="19"/>
        <v>0</v>
      </c>
      <c r="AN221" s="31">
        <f t="shared" si="20"/>
        <v>0</v>
      </c>
      <c r="AP221" s="31">
        <f>VLOOKUP($B221,Kraftvärmeprod!$B$1:$BX$549,MATCH(AP$1,Kraftvärmeprod!$B$1:$BX$1,0),FALSE)</f>
        <v>0</v>
      </c>
      <c r="AQ221" s="31">
        <f>VLOOKUP($B221,Kraftvärmeprod!$B$1:$BX$549,MATCH(AQ$1,Kraftvärmeprod!$B$1:$BX$1,0),FALSE)</f>
        <v>0</v>
      </c>
      <c r="AR221" s="31">
        <f>VLOOKUP($B221,Kraftvärmeprod!$B$1:$BX$549,MATCH("Summa tillförd energi exklusive rökgaskondensering",Kraftvärmeprod!$B$1:$BX$1,0),FALSE)</f>
        <v>0</v>
      </c>
      <c r="AT221" s="32" t="str">
        <f t="shared" si="21"/>
        <v/>
      </c>
      <c r="AV221" s="31">
        <f t="shared" si="22"/>
        <v>0</v>
      </c>
      <c r="AX221" s="31" t="str">
        <f>VLOOKUP(B221,Totalt!$B$1:$BZ$554,MATCH(AX$1,Totalt!$B$1:$BZ$1,0),FALSE)</f>
        <v>Nej</v>
      </c>
      <c r="BA221" s="32" t="str">
        <f t="shared" si="23"/>
        <v/>
      </c>
    </row>
    <row r="222" spans="1:53" x14ac:dyDescent="0.45">
      <c r="A222" s="31" t="s">
        <v>393</v>
      </c>
      <c r="B222" s="31" t="s">
        <v>394</v>
      </c>
      <c r="J222" s="31">
        <v>0</v>
      </c>
      <c r="K222" s="31">
        <v>0</v>
      </c>
      <c r="L222" s="31">
        <v>0</v>
      </c>
      <c r="M222" s="31">
        <v>0</v>
      </c>
      <c r="N222" s="31">
        <v>0</v>
      </c>
      <c r="O222" s="31">
        <v>0</v>
      </c>
      <c r="P222" s="31">
        <v>0</v>
      </c>
      <c r="Q222" s="31">
        <v>0</v>
      </c>
      <c r="R222" s="31">
        <v>0</v>
      </c>
      <c r="S222" s="31">
        <v>0</v>
      </c>
      <c r="T222" s="31">
        <v>0</v>
      </c>
      <c r="U222" s="31">
        <v>0</v>
      </c>
      <c r="W222" s="31">
        <v>0</v>
      </c>
      <c r="X222" s="31">
        <v>0</v>
      </c>
      <c r="Y222" s="31">
        <v>0</v>
      </c>
      <c r="Z222" s="31">
        <v>0</v>
      </c>
      <c r="AA222" s="31">
        <v>0</v>
      </c>
      <c r="AB222" s="31">
        <v>0</v>
      </c>
      <c r="AC222" s="31">
        <v>0</v>
      </c>
      <c r="AD222" s="31">
        <v>0</v>
      </c>
      <c r="AE222" s="31">
        <v>0</v>
      </c>
      <c r="AF222" s="31">
        <v>0</v>
      </c>
      <c r="AG222" s="31">
        <v>0</v>
      </c>
      <c r="AH222" s="31">
        <v>0</v>
      </c>
      <c r="AI222" s="31">
        <v>0</v>
      </c>
      <c r="AL222" s="31">
        <f t="shared" si="18"/>
        <v>0</v>
      </c>
      <c r="AM222" s="31">
        <f t="shared" si="19"/>
        <v>0</v>
      </c>
      <c r="AN222" s="31">
        <f t="shared" si="20"/>
        <v>0</v>
      </c>
      <c r="AP222" s="31">
        <f>VLOOKUP($B222,Kraftvärmeprod!$B$1:$BX$549,MATCH(AP$1,Kraftvärmeprod!$B$1:$BX$1,0),FALSE)</f>
        <v>0</v>
      </c>
      <c r="AQ222" s="31">
        <f>VLOOKUP($B222,Kraftvärmeprod!$B$1:$BX$549,MATCH(AQ$1,Kraftvärmeprod!$B$1:$BX$1,0),FALSE)</f>
        <v>0</v>
      </c>
      <c r="AR222" s="31">
        <f>VLOOKUP($B222,Kraftvärmeprod!$B$1:$BX$549,MATCH("Summa tillförd energi exklusive rökgaskondensering",Kraftvärmeprod!$B$1:$BX$1,0),FALSE)</f>
        <v>0</v>
      </c>
      <c r="AT222" s="32" t="str">
        <f t="shared" si="21"/>
        <v/>
      </c>
      <c r="AV222" s="31">
        <f t="shared" si="22"/>
        <v>0</v>
      </c>
      <c r="AX222" s="31" t="str">
        <f>VLOOKUP(B222,Totalt!$B$1:$BZ$554,MATCH(AX$1,Totalt!$B$1:$BZ$1,0),FALSE)</f>
        <v>Nej</v>
      </c>
      <c r="BA222" s="32" t="str">
        <f t="shared" si="23"/>
        <v/>
      </c>
    </row>
    <row r="223" spans="1:53" x14ac:dyDescent="0.45">
      <c r="A223" s="31" t="s">
        <v>391</v>
      </c>
      <c r="B223" s="31" t="s">
        <v>390</v>
      </c>
      <c r="J223" s="31">
        <v>0</v>
      </c>
      <c r="K223" s="31">
        <v>0</v>
      </c>
      <c r="L223" s="31">
        <v>0</v>
      </c>
      <c r="M223" s="31">
        <v>0</v>
      </c>
      <c r="N223" s="31">
        <v>0</v>
      </c>
      <c r="O223" s="31">
        <v>0</v>
      </c>
      <c r="P223" s="31">
        <v>35.239199999999997</v>
      </c>
      <c r="Q223" s="31">
        <v>27.055</v>
      </c>
      <c r="R223" s="31">
        <v>13.5275</v>
      </c>
      <c r="S223" s="31">
        <v>4.3288000000000002</v>
      </c>
      <c r="T223" s="31">
        <v>0</v>
      </c>
      <c r="U223" s="31">
        <v>0</v>
      </c>
      <c r="W223" s="31">
        <v>0</v>
      </c>
      <c r="X223" s="31">
        <v>0</v>
      </c>
      <c r="Y223" s="31">
        <v>0</v>
      </c>
      <c r="Z223" s="31">
        <v>0</v>
      </c>
      <c r="AA223" s="31">
        <v>0</v>
      </c>
      <c r="AB223" s="31">
        <v>0</v>
      </c>
      <c r="AC223" s="31">
        <v>0</v>
      </c>
      <c r="AD223" s="31">
        <v>0</v>
      </c>
      <c r="AE223" s="31">
        <v>0</v>
      </c>
      <c r="AF223" s="31">
        <v>0</v>
      </c>
      <c r="AG223" s="31">
        <v>0</v>
      </c>
      <c r="AH223" s="31">
        <v>25</v>
      </c>
      <c r="AI223" s="31">
        <v>2.0291299999999999</v>
      </c>
      <c r="AL223" s="31">
        <f t="shared" si="18"/>
        <v>107.17962999999999</v>
      </c>
      <c r="AM223" s="31">
        <f t="shared" si="19"/>
        <v>105.15049999999999</v>
      </c>
      <c r="AN223" s="31">
        <f t="shared" si="20"/>
        <v>80.150499999999994</v>
      </c>
      <c r="AP223" s="31">
        <f>VLOOKUP($B223,Kraftvärmeprod!$B$1:$BX$549,MATCH(AP$1,Kraftvärmeprod!$B$1:$BX$1,0),FALSE)</f>
        <v>81.7</v>
      </c>
      <c r="AQ223" s="31">
        <f>VLOOKUP($B223,Kraftvärmeprod!$B$1:$BX$549,MATCH(AQ$1,Kraftvärmeprod!$B$1:$BX$1,0),FALSE)</f>
        <v>15</v>
      </c>
      <c r="AR223" s="31">
        <f>VLOOKUP($B223,Kraftvärmeprod!$B$1:$BX$549,MATCH("Summa tillförd energi exklusive rökgaskondensering",Kraftvärmeprod!$B$1:$BX$1,0),FALSE)</f>
        <v>118.5</v>
      </c>
      <c r="AT223" s="32">
        <f t="shared" si="21"/>
        <v>0.67637552742616025</v>
      </c>
      <c r="AV223" s="31">
        <f t="shared" si="22"/>
        <v>80.150499999999994</v>
      </c>
      <c r="AX223" s="31" t="str">
        <f>VLOOKUP(B223,Totalt!$B$1:$BZ$554,MATCH(AX$1,Totalt!$B$1:$BZ$1,0),FALSE)</f>
        <v>Ja</v>
      </c>
      <c r="BA223" s="32">
        <f t="shared" si="23"/>
        <v>0.99416363884821601</v>
      </c>
    </row>
    <row r="224" spans="1:53" x14ac:dyDescent="0.45">
      <c r="A224" s="31" t="s">
        <v>389</v>
      </c>
      <c r="B224" s="31" t="s">
        <v>388</v>
      </c>
      <c r="J224" s="31">
        <v>0</v>
      </c>
      <c r="K224" s="31">
        <v>0</v>
      </c>
      <c r="L224" s="31">
        <v>0</v>
      </c>
      <c r="M224" s="31">
        <v>0</v>
      </c>
      <c r="N224" s="31">
        <v>0</v>
      </c>
      <c r="O224" s="31">
        <v>0</v>
      </c>
      <c r="P224" s="31">
        <v>0</v>
      </c>
      <c r="Q224" s="31">
        <v>0</v>
      </c>
      <c r="R224" s="31">
        <v>0</v>
      </c>
      <c r="S224" s="31">
        <v>0</v>
      </c>
      <c r="T224" s="31">
        <v>0</v>
      </c>
      <c r="U224" s="31">
        <v>0</v>
      </c>
      <c r="W224" s="31">
        <v>0</v>
      </c>
      <c r="X224" s="31">
        <v>0</v>
      </c>
      <c r="Y224" s="31">
        <v>0</v>
      </c>
      <c r="Z224" s="31">
        <v>0</v>
      </c>
      <c r="AA224" s="31">
        <v>0</v>
      </c>
      <c r="AB224" s="31">
        <v>0</v>
      </c>
      <c r="AC224" s="31">
        <v>0</v>
      </c>
      <c r="AD224" s="31">
        <v>0</v>
      </c>
      <c r="AE224" s="31">
        <v>0</v>
      </c>
      <c r="AF224" s="31">
        <v>0</v>
      </c>
      <c r="AG224" s="31">
        <v>0</v>
      </c>
      <c r="AH224" s="31">
        <v>0</v>
      </c>
      <c r="AI224" s="31">
        <v>0</v>
      </c>
      <c r="AL224" s="31">
        <f t="shared" si="18"/>
        <v>0</v>
      </c>
      <c r="AM224" s="31">
        <f t="shared" si="19"/>
        <v>0</v>
      </c>
      <c r="AN224" s="31">
        <f t="shared" si="20"/>
        <v>0</v>
      </c>
      <c r="AP224" s="31">
        <f>VLOOKUP($B224,Kraftvärmeprod!$B$1:$BX$549,MATCH(AP$1,Kraftvärmeprod!$B$1:$BX$1,0),FALSE)</f>
        <v>0</v>
      </c>
      <c r="AQ224" s="31">
        <f>VLOOKUP($B224,Kraftvärmeprod!$B$1:$BX$549,MATCH(AQ$1,Kraftvärmeprod!$B$1:$BX$1,0),FALSE)</f>
        <v>0</v>
      </c>
      <c r="AR224" s="31">
        <f>VLOOKUP($B224,Kraftvärmeprod!$B$1:$BX$549,MATCH("Summa tillförd energi exklusive rökgaskondensering",Kraftvärmeprod!$B$1:$BX$1,0),FALSE)</f>
        <v>0</v>
      </c>
      <c r="AT224" s="32" t="str">
        <f t="shared" si="21"/>
        <v/>
      </c>
      <c r="AV224" s="31">
        <f t="shared" si="22"/>
        <v>0</v>
      </c>
      <c r="AX224" s="31" t="str">
        <f>VLOOKUP(B224,Totalt!$B$1:$BZ$554,MATCH(AX$1,Totalt!$B$1:$BZ$1,0),FALSE)</f>
        <v>Ja</v>
      </c>
      <c r="BA224" s="32" t="str">
        <f t="shared" si="23"/>
        <v/>
      </c>
    </row>
    <row r="225" spans="1:53" x14ac:dyDescent="0.45">
      <c r="A225" s="31" t="s">
        <v>387</v>
      </c>
      <c r="B225" s="31" t="s">
        <v>114</v>
      </c>
      <c r="J225" s="31">
        <v>0</v>
      </c>
      <c r="K225" s="31">
        <v>0</v>
      </c>
      <c r="L225" s="31">
        <v>0</v>
      </c>
      <c r="M225" s="31">
        <v>0</v>
      </c>
      <c r="N225" s="31">
        <v>0</v>
      </c>
      <c r="O225" s="31">
        <v>0</v>
      </c>
      <c r="P225" s="31">
        <v>0</v>
      </c>
      <c r="Q225" s="31">
        <v>0</v>
      </c>
      <c r="R225" s="31">
        <v>0</v>
      </c>
      <c r="S225" s="31">
        <v>0</v>
      </c>
      <c r="T225" s="31">
        <v>0</v>
      </c>
      <c r="U225" s="31">
        <v>0</v>
      </c>
      <c r="W225" s="31">
        <v>0</v>
      </c>
      <c r="X225" s="31">
        <v>0</v>
      </c>
      <c r="Y225" s="31">
        <v>0</v>
      </c>
      <c r="Z225" s="31">
        <v>0</v>
      </c>
      <c r="AA225" s="31">
        <v>0</v>
      </c>
      <c r="AB225" s="31">
        <v>0</v>
      </c>
      <c r="AC225" s="31">
        <v>0</v>
      </c>
      <c r="AD225" s="31">
        <v>0</v>
      </c>
      <c r="AE225" s="31">
        <v>0</v>
      </c>
      <c r="AF225" s="31">
        <v>0</v>
      </c>
      <c r="AG225" s="31">
        <v>0</v>
      </c>
      <c r="AH225" s="31">
        <v>0</v>
      </c>
      <c r="AI225" s="31">
        <v>0</v>
      </c>
      <c r="AL225" s="31">
        <f t="shared" si="18"/>
        <v>0</v>
      </c>
      <c r="AM225" s="31">
        <f t="shared" si="19"/>
        <v>0</v>
      </c>
      <c r="AN225" s="31">
        <f t="shared" si="20"/>
        <v>0</v>
      </c>
      <c r="AP225" s="31">
        <f>VLOOKUP($B225,Kraftvärmeprod!$B$1:$BX$549,MATCH(AP$1,Kraftvärmeprod!$B$1:$BX$1,0),FALSE)</f>
        <v>0</v>
      </c>
      <c r="AQ225" s="31">
        <f>VLOOKUP($B225,Kraftvärmeprod!$B$1:$BX$549,MATCH(AQ$1,Kraftvärmeprod!$B$1:$BX$1,0),FALSE)</f>
        <v>0</v>
      </c>
      <c r="AR225" s="31">
        <f>VLOOKUP($B225,Kraftvärmeprod!$B$1:$BX$549,MATCH("Summa tillförd energi exklusive rökgaskondensering",Kraftvärmeprod!$B$1:$BX$1,0),FALSE)</f>
        <v>0</v>
      </c>
      <c r="AT225" s="32" t="str">
        <f t="shared" si="21"/>
        <v/>
      </c>
      <c r="AV225" s="31">
        <f t="shared" si="22"/>
        <v>0</v>
      </c>
      <c r="AX225" s="31" t="str">
        <f>VLOOKUP(B225,Totalt!$B$1:$BZ$554,MATCH(AX$1,Totalt!$B$1:$BZ$1,0),FALSE)</f>
        <v>Ja</v>
      </c>
      <c r="BA225" s="32" t="str">
        <f t="shared" si="23"/>
        <v/>
      </c>
    </row>
    <row r="226" spans="1:53" x14ac:dyDescent="0.45">
      <c r="A226" s="31" t="s">
        <v>386</v>
      </c>
      <c r="B226" s="31" t="s">
        <v>385</v>
      </c>
      <c r="J226" s="31">
        <v>0</v>
      </c>
      <c r="K226" s="31">
        <v>0</v>
      </c>
      <c r="L226" s="31">
        <v>0</v>
      </c>
      <c r="M226" s="31">
        <v>0</v>
      </c>
      <c r="N226" s="31">
        <v>0</v>
      </c>
      <c r="O226" s="31">
        <v>0</v>
      </c>
      <c r="P226" s="31">
        <v>0</v>
      </c>
      <c r="Q226" s="31">
        <v>0</v>
      </c>
      <c r="R226" s="31">
        <v>0</v>
      </c>
      <c r="S226" s="31">
        <v>0</v>
      </c>
      <c r="T226" s="31">
        <v>0</v>
      </c>
      <c r="U226" s="31">
        <v>0</v>
      </c>
      <c r="W226" s="31">
        <v>0</v>
      </c>
      <c r="X226" s="31">
        <v>0</v>
      </c>
      <c r="Y226" s="31">
        <v>0</v>
      </c>
      <c r="Z226" s="31">
        <v>0</v>
      </c>
      <c r="AA226" s="31">
        <v>0</v>
      </c>
      <c r="AB226" s="31">
        <v>0</v>
      </c>
      <c r="AC226" s="31">
        <v>0</v>
      </c>
      <c r="AD226" s="31">
        <v>0</v>
      </c>
      <c r="AE226" s="31">
        <v>0</v>
      </c>
      <c r="AF226" s="31">
        <v>0</v>
      </c>
      <c r="AG226" s="31">
        <v>0</v>
      </c>
      <c r="AH226" s="31">
        <v>0</v>
      </c>
      <c r="AI226" s="31">
        <v>0</v>
      </c>
      <c r="AL226" s="31">
        <f t="shared" si="18"/>
        <v>0</v>
      </c>
      <c r="AM226" s="31">
        <f t="shared" si="19"/>
        <v>0</v>
      </c>
      <c r="AN226" s="31">
        <f t="shared" si="20"/>
        <v>0</v>
      </c>
      <c r="AP226" s="31">
        <f>VLOOKUP($B226,Kraftvärmeprod!$B$1:$BX$549,MATCH(AP$1,Kraftvärmeprod!$B$1:$BX$1,0),FALSE)</f>
        <v>0</v>
      </c>
      <c r="AQ226" s="31">
        <f>VLOOKUP($B226,Kraftvärmeprod!$B$1:$BX$549,MATCH(AQ$1,Kraftvärmeprod!$B$1:$BX$1,0),FALSE)</f>
        <v>0</v>
      </c>
      <c r="AR226" s="31">
        <f>VLOOKUP($B226,Kraftvärmeprod!$B$1:$BX$549,MATCH("Summa tillförd energi exklusive rökgaskondensering",Kraftvärmeprod!$B$1:$BX$1,0),FALSE)</f>
        <v>0</v>
      </c>
      <c r="AT226" s="32" t="str">
        <f t="shared" si="21"/>
        <v/>
      </c>
      <c r="AV226" s="31">
        <f t="shared" si="22"/>
        <v>0</v>
      </c>
      <c r="AX226" s="31" t="str">
        <f>VLOOKUP(B226,Totalt!$B$1:$BZ$554,MATCH(AX$1,Totalt!$B$1:$BZ$1,0),FALSE)</f>
        <v>Ja</v>
      </c>
      <c r="BA226" s="32" t="str">
        <f t="shared" si="23"/>
        <v/>
      </c>
    </row>
    <row r="227" spans="1:53" x14ac:dyDescent="0.45">
      <c r="A227" s="31" t="s">
        <v>4</v>
      </c>
      <c r="B227" s="31" t="s">
        <v>5</v>
      </c>
      <c r="J227" s="31">
        <v>0</v>
      </c>
      <c r="K227" s="31">
        <v>0</v>
      </c>
      <c r="L227" s="31">
        <v>0</v>
      </c>
      <c r="M227" s="31">
        <v>0</v>
      </c>
      <c r="N227" s="31">
        <v>0</v>
      </c>
      <c r="O227" s="31">
        <v>0</v>
      </c>
      <c r="P227" s="31">
        <v>0</v>
      </c>
      <c r="Q227" s="31">
        <v>0</v>
      </c>
      <c r="R227" s="31">
        <v>0</v>
      </c>
      <c r="S227" s="31">
        <v>0</v>
      </c>
      <c r="T227" s="31">
        <v>0</v>
      </c>
      <c r="U227" s="31">
        <v>0</v>
      </c>
      <c r="W227" s="31">
        <v>0</v>
      </c>
      <c r="X227" s="31">
        <v>0</v>
      </c>
      <c r="Y227" s="31">
        <v>0</v>
      </c>
      <c r="Z227" s="31">
        <v>0</v>
      </c>
      <c r="AA227" s="31">
        <v>0</v>
      </c>
      <c r="AB227" s="31">
        <v>0</v>
      </c>
      <c r="AC227" s="31">
        <v>0</v>
      </c>
      <c r="AD227" s="31">
        <v>0</v>
      </c>
      <c r="AE227" s="31">
        <v>0</v>
      </c>
      <c r="AF227" s="31">
        <v>0</v>
      </c>
      <c r="AG227" s="31">
        <v>0</v>
      </c>
      <c r="AH227" s="31">
        <v>0</v>
      </c>
      <c r="AI227" s="31">
        <v>0</v>
      </c>
      <c r="AL227" s="31">
        <f t="shared" si="18"/>
        <v>0</v>
      </c>
      <c r="AM227" s="31">
        <f t="shared" si="19"/>
        <v>0</v>
      </c>
      <c r="AN227" s="31">
        <f t="shared" si="20"/>
        <v>0</v>
      </c>
      <c r="AP227" s="31">
        <f>VLOOKUP($B227,Kraftvärmeprod!$B$1:$BX$549,MATCH(AP$1,Kraftvärmeprod!$B$1:$BX$1,0),FALSE)</f>
        <v>0</v>
      </c>
      <c r="AQ227" s="31">
        <f>VLOOKUP($B227,Kraftvärmeprod!$B$1:$BX$549,MATCH(AQ$1,Kraftvärmeprod!$B$1:$BX$1,0),FALSE)</f>
        <v>0</v>
      </c>
      <c r="AR227" s="31">
        <f>VLOOKUP($B227,Kraftvärmeprod!$B$1:$BX$549,MATCH("Summa tillförd energi exklusive rökgaskondensering",Kraftvärmeprod!$B$1:$BX$1,0),FALSE)</f>
        <v>0</v>
      </c>
      <c r="AT227" s="32" t="str">
        <f t="shared" si="21"/>
        <v/>
      </c>
      <c r="AV227" s="31">
        <f t="shared" si="22"/>
        <v>0</v>
      </c>
      <c r="AX227" s="31" t="str">
        <f>VLOOKUP(B227,Totalt!$B$1:$BZ$554,MATCH(AX$1,Totalt!$B$1:$BZ$1,0),FALSE)</f>
        <v>Nej</v>
      </c>
      <c r="BA227" s="32" t="str">
        <f t="shared" si="23"/>
        <v/>
      </c>
    </row>
    <row r="228" spans="1:53" x14ac:dyDescent="0.45">
      <c r="A228" s="31" t="s">
        <v>4</v>
      </c>
      <c r="B228" s="31" t="s">
        <v>382</v>
      </c>
      <c r="J228" s="31">
        <v>0</v>
      </c>
      <c r="K228" s="31">
        <v>0</v>
      </c>
      <c r="L228" s="31">
        <v>0</v>
      </c>
      <c r="M228" s="31">
        <v>0</v>
      </c>
      <c r="N228" s="31">
        <v>0</v>
      </c>
      <c r="O228" s="31">
        <v>0</v>
      </c>
      <c r="P228" s="31">
        <v>0</v>
      </c>
      <c r="Q228" s="31">
        <v>0</v>
      </c>
      <c r="R228" s="31">
        <v>0</v>
      </c>
      <c r="S228" s="31">
        <v>0</v>
      </c>
      <c r="T228" s="31">
        <v>0</v>
      </c>
      <c r="U228" s="31">
        <v>0</v>
      </c>
      <c r="W228" s="31">
        <v>0</v>
      </c>
      <c r="X228" s="31">
        <v>0</v>
      </c>
      <c r="Y228" s="31">
        <v>0</v>
      </c>
      <c r="Z228" s="31">
        <v>0</v>
      </c>
      <c r="AA228" s="31">
        <v>0</v>
      </c>
      <c r="AB228" s="31">
        <v>0</v>
      </c>
      <c r="AC228" s="31">
        <v>0</v>
      </c>
      <c r="AD228" s="31">
        <v>0</v>
      </c>
      <c r="AE228" s="31">
        <v>0</v>
      </c>
      <c r="AF228" s="31">
        <v>0</v>
      </c>
      <c r="AG228" s="31">
        <v>0</v>
      </c>
      <c r="AH228" s="31">
        <v>0</v>
      </c>
      <c r="AI228" s="31">
        <v>0</v>
      </c>
      <c r="AL228" s="31">
        <f t="shared" si="18"/>
        <v>0</v>
      </c>
      <c r="AM228" s="31">
        <f t="shared" si="19"/>
        <v>0</v>
      </c>
      <c r="AN228" s="31">
        <f t="shared" si="20"/>
        <v>0</v>
      </c>
      <c r="AP228" s="31">
        <f>VLOOKUP($B228,Kraftvärmeprod!$B$1:$BX$549,MATCH(AP$1,Kraftvärmeprod!$B$1:$BX$1,0),FALSE)</f>
        <v>0</v>
      </c>
      <c r="AQ228" s="31">
        <f>VLOOKUP($B228,Kraftvärmeprod!$B$1:$BX$549,MATCH(AQ$1,Kraftvärmeprod!$B$1:$BX$1,0),FALSE)</f>
        <v>0</v>
      </c>
      <c r="AR228" s="31">
        <f>VLOOKUP($B228,Kraftvärmeprod!$B$1:$BX$549,MATCH("Summa tillförd energi exklusive rökgaskondensering",Kraftvärmeprod!$B$1:$BX$1,0),FALSE)</f>
        <v>0</v>
      </c>
      <c r="AT228" s="32" t="str">
        <f t="shared" si="21"/>
        <v/>
      </c>
      <c r="AV228" s="31">
        <f t="shared" si="22"/>
        <v>0</v>
      </c>
      <c r="AX228" s="31" t="str">
        <f>VLOOKUP(B228,Totalt!$B$1:$BZ$554,MATCH(AX$1,Totalt!$B$1:$BZ$1,0),FALSE)</f>
        <v>Nej</v>
      </c>
      <c r="BA228" s="32" t="str">
        <f t="shared" si="23"/>
        <v/>
      </c>
    </row>
    <row r="229" spans="1:53" x14ac:dyDescent="0.45">
      <c r="A229" s="31" t="s">
        <v>4</v>
      </c>
      <c r="B229" s="31" t="s">
        <v>383</v>
      </c>
      <c r="J229" s="31">
        <v>0</v>
      </c>
      <c r="K229" s="31">
        <v>0</v>
      </c>
      <c r="L229" s="31">
        <v>0</v>
      </c>
      <c r="M229" s="31">
        <v>0</v>
      </c>
      <c r="N229" s="31">
        <v>0</v>
      </c>
      <c r="O229" s="31">
        <v>0</v>
      </c>
      <c r="P229" s="31">
        <v>0</v>
      </c>
      <c r="Q229" s="31">
        <v>0</v>
      </c>
      <c r="R229" s="31">
        <v>0</v>
      </c>
      <c r="S229" s="31">
        <v>0</v>
      </c>
      <c r="T229" s="31">
        <v>0</v>
      </c>
      <c r="U229" s="31">
        <v>0</v>
      </c>
      <c r="W229" s="31">
        <v>0</v>
      </c>
      <c r="X229" s="31">
        <v>0</v>
      </c>
      <c r="Y229" s="31">
        <v>0</v>
      </c>
      <c r="Z229" s="31">
        <v>0</v>
      </c>
      <c r="AA229" s="31">
        <v>0</v>
      </c>
      <c r="AB229" s="31">
        <v>0</v>
      </c>
      <c r="AC229" s="31">
        <v>0</v>
      </c>
      <c r="AD229" s="31">
        <v>0</v>
      </c>
      <c r="AE229" s="31">
        <v>0</v>
      </c>
      <c r="AF229" s="31">
        <v>0</v>
      </c>
      <c r="AG229" s="31">
        <v>0</v>
      </c>
      <c r="AH229" s="31">
        <v>0</v>
      </c>
      <c r="AI229" s="31">
        <v>0</v>
      </c>
      <c r="AL229" s="31">
        <f t="shared" si="18"/>
        <v>0</v>
      </c>
      <c r="AM229" s="31">
        <f t="shared" si="19"/>
        <v>0</v>
      </c>
      <c r="AN229" s="31">
        <f t="shared" si="20"/>
        <v>0</v>
      </c>
      <c r="AP229" s="31">
        <f>VLOOKUP($B229,Kraftvärmeprod!$B$1:$BX$549,MATCH(AP$1,Kraftvärmeprod!$B$1:$BX$1,0),FALSE)</f>
        <v>0</v>
      </c>
      <c r="AQ229" s="31">
        <f>VLOOKUP($B229,Kraftvärmeprod!$B$1:$BX$549,MATCH(AQ$1,Kraftvärmeprod!$B$1:$BX$1,0),FALSE)</f>
        <v>0</v>
      </c>
      <c r="AR229" s="31">
        <f>VLOOKUP($B229,Kraftvärmeprod!$B$1:$BX$549,MATCH("Summa tillförd energi exklusive rökgaskondensering",Kraftvärmeprod!$B$1:$BX$1,0),FALSE)</f>
        <v>0</v>
      </c>
      <c r="AT229" s="32" t="str">
        <f t="shared" si="21"/>
        <v/>
      </c>
      <c r="AV229" s="31">
        <f t="shared" si="22"/>
        <v>0</v>
      </c>
      <c r="AX229" s="31" t="str">
        <f>VLOOKUP(B229,Totalt!$B$1:$BZ$554,MATCH(AX$1,Totalt!$B$1:$BZ$1,0),FALSE)</f>
        <v>Nej</v>
      </c>
      <c r="BA229" s="32" t="str">
        <f t="shared" si="23"/>
        <v/>
      </c>
    </row>
    <row r="230" spans="1:53" x14ac:dyDescent="0.45">
      <c r="A230" s="31" t="s">
        <v>381</v>
      </c>
      <c r="B230" s="31" t="s">
        <v>380</v>
      </c>
      <c r="J230" s="31">
        <v>0</v>
      </c>
      <c r="K230" s="31">
        <v>0</v>
      </c>
      <c r="L230" s="31">
        <v>0</v>
      </c>
      <c r="M230" s="31">
        <v>0</v>
      </c>
      <c r="N230" s="31">
        <v>0</v>
      </c>
      <c r="O230" s="31">
        <v>0</v>
      </c>
      <c r="P230" s="31">
        <v>0</v>
      </c>
      <c r="Q230" s="31">
        <v>0</v>
      </c>
      <c r="R230" s="31">
        <v>0</v>
      </c>
      <c r="S230" s="31">
        <v>0</v>
      </c>
      <c r="T230" s="31">
        <v>0</v>
      </c>
      <c r="U230" s="31">
        <v>0</v>
      </c>
      <c r="W230" s="31">
        <v>0</v>
      </c>
      <c r="X230" s="31">
        <v>0</v>
      </c>
      <c r="Y230" s="31">
        <v>0</v>
      </c>
      <c r="Z230" s="31">
        <v>0</v>
      </c>
      <c r="AA230" s="31">
        <v>0</v>
      </c>
      <c r="AB230" s="31">
        <v>0</v>
      </c>
      <c r="AC230" s="31">
        <v>0</v>
      </c>
      <c r="AD230" s="31">
        <v>0</v>
      </c>
      <c r="AE230" s="31">
        <v>0</v>
      </c>
      <c r="AF230" s="31">
        <v>0</v>
      </c>
      <c r="AG230" s="31">
        <v>0</v>
      </c>
      <c r="AH230" s="31">
        <v>0</v>
      </c>
      <c r="AI230" s="31">
        <v>0</v>
      </c>
      <c r="AL230" s="31">
        <f t="shared" si="18"/>
        <v>0</v>
      </c>
      <c r="AM230" s="31">
        <f t="shared" si="19"/>
        <v>0</v>
      </c>
      <c r="AN230" s="31">
        <f t="shared" si="20"/>
        <v>0</v>
      </c>
      <c r="AP230" s="31">
        <f>VLOOKUP($B230,Kraftvärmeprod!$B$1:$BX$549,MATCH(AP$1,Kraftvärmeprod!$B$1:$BX$1,0),FALSE)</f>
        <v>0</v>
      </c>
      <c r="AQ230" s="31">
        <f>VLOOKUP($B230,Kraftvärmeprod!$B$1:$BX$549,MATCH(AQ$1,Kraftvärmeprod!$B$1:$BX$1,0),FALSE)</f>
        <v>0</v>
      </c>
      <c r="AR230" s="31">
        <f>VLOOKUP($B230,Kraftvärmeprod!$B$1:$BX$549,MATCH("Summa tillförd energi exklusive rökgaskondensering",Kraftvärmeprod!$B$1:$BX$1,0),FALSE)</f>
        <v>0</v>
      </c>
      <c r="AT230" s="32" t="str">
        <f t="shared" si="21"/>
        <v/>
      </c>
      <c r="AV230" s="31">
        <f t="shared" si="22"/>
        <v>0</v>
      </c>
      <c r="AX230" s="31" t="str">
        <f>VLOOKUP(B230,Totalt!$B$1:$BZ$554,MATCH(AX$1,Totalt!$B$1:$BZ$1,0),FALSE)</f>
        <v>Ja</v>
      </c>
      <c r="BA230" s="32" t="str">
        <f t="shared" si="23"/>
        <v/>
      </c>
    </row>
    <row r="231" spans="1:53" x14ac:dyDescent="0.45">
      <c r="A231" s="31" t="s">
        <v>376</v>
      </c>
      <c r="B231" s="31" t="s">
        <v>379</v>
      </c>
      <c r="J231" s="31">
        <v>0</v>
      </c>
      <c r="K231" s="31">
        <v>0</v>
      </c>
      <c r="L231" s="31">
        <v>0</v>
      </c>
      <c r="M231" s="31">
        <v>0</v>
      </c>
      <c r="N231" s="31">
        <v>0</v>
      </c>
      <c r="O231" s="31">
        <v>0</v>
      </c>
      <c r="P231" s="31">
        <v>0</v>
      </c>
      <c r="Q231" s="31">
        <v>0</v>
      </c>
      <c r="R231" s="31">
        <v>0</v>
      </c>
      <c r="S231" s="31">
        <v>0</v>
      </c>
      <c r="T231" s="31">
        <v>0</v>
      </c>
      <c r="U231" s="31">
        <v>0</v>
      </c>
      <c r="W231" s="31">
        <v>0</v>
      </c>
      <c r="X231" s="31">
        <v>0</v>
      </c>
      <c r="Y231" s="31">
        <v>0</v>
      </c>
      <c r="Z231" s="31">
        <v>0</v>
      </c>
      <c r="AA231" s="31">
        <v>0</v>
      </c>
      <c r="AB231" s="31">
        <v>0</v>
      </c>
      <c r="AC231" s="31">
        <v>0</v>
      </c>
      <c r="AD231" s="31">
        <v>0</v>
      </c>
      <c r="AE231" s="31">
        <v>0</v>
      </c>
      <c r="AF231" s="31">
        <v>0</v>
      </c>
      <c r="AG231" s="31">
        <v>0</v>
      </c>
      <c r="AH231" s="31">
        <v>0</v>
      </c>
      <c r="AI231" s="31">
        <v>0</v>
      </c>
      <c r="AL231" s="31">
        <f t="shared" si="18"/>
        <v>0</v>
      </c>
      <c r="AM231" s="31">
        <f t="shared" si="19"/>
        <v>0</v>
      </c>
      <c r="AN231" s="31">
        <f t="shared" si="20"/>
        <v>0</v>
      </c>
      <c r="AP231" s="31">
        <f>VLOOKUP($B231,Kraftvärmeprod!$B$1:$BX$549,MATCH(AP$1,Kraftvärmeprod!$B$1:$BX$1,0),FALSE)</f>
        <v>0</v>
      </c>
      <c r="AQ231" s="31">
        <f>VLOOKUP($B231,Kraftvärmeprod!$B$1:$BX$549,MATCH(AQ$1,Kraftvärmeprod!$B$1:$BX$1,0),FALSE)</f>
        <v>0</v>
      </c>
      <c r="AR231" s="31">
        <f>VLOOKUP($B231,Kraftvärmeprod!$B$1:$BX$549,MATCH("Summa tillförd energi exklusive rökgaskondensering",Kraftvärmeprod!$B$1:$BX$1,0),FALSE)</f>
        <v>0</v>
      </c>
      <c r="AT231" s="32" t="str">
        <f t="shared" si="21"/>
        <v/>
      </c>
      <c r="AV231" s="31">
        <f t="shared" si="22"/>
        <v>0</v>
      </c>
      <c r="AX231" s="31" t="str">
        <f>VLOOKUP(B231,Totalt!$B$1:$BZ$554,MATCH(AX$1,Totalt!$B$1:$BZ$1,0),FALSE)</f>
        <v>Ja</v>
      </c>
      <c r="BA231" s="32" t="str">
        <f t="shared" si="23"/>
        <v/>
      </c>
    </row>
    <row r="232" spans="1:53" x14ac:dyDescent="0.45">
      <c r="A232" s="31" t="s">
        <v>376</v>
      </c>
      <c r="B232" s="31" t="s">
        <v>378</v>
      </c>
      <c r="J232" s="31">
        <v>0</v>
      </c>
      <c r="K232" s="31">
        <v>0</v>
      </c>
      <c r="L232" s="31">
        <v>0</v>
      </c>
      <c r="M232" s="31">
        <v>0</v>
      </c>
      <c r="N232" s="31">
        <v>0</v>
      </c>
      <c r="O232" s="31">
        <v>0</v>
      </c>
      <c r="P232" s="31">
        <v>0</v>
      </c>
      <c r="Q232" s="31">
        <v>0</v>
      </c>
      <c r="R232" s="31">
        <v>0</v>
      </c>
      <c r="S232" s="31">
        <v>0</v>
      </c>
      <c r="T232" s="31">
        <v>0</v>
      </c>
      <c r="U232" s="31">
        <v>0</v>
      </c>
      <c r="W232" s="31">
        <v>0</v>
      </c>
      <c r="X232" s="31">
        <v>0</v>
      </c>
      <c r="Y232" s="31">
        <v>0</v>
      </c>
      <c r="Z232" s="31">
        <v>0</v>
      </c>
      <c r="AA232" s="31">
        <v>0</v>
      </c>
      <c r="AB232" s="31">
        <v>0</v>
      </c>
      <c r="AC232" s="31">
        <v>0</v>
      </c>
      <c r="AD232" s="31">
        <v>0</v>
      </c>
      <c r="AE232" s="31">
        <v>0</v>
      </c>
      <c r="AF232" s="31">
        <v>0</v>
      </c>
      <c r="AG232" s="31">
        <v>0</v>
      </c>
      <c r="AH232" s="31">
        <v>0</v>
      </c>
      <c r="AI232" s="31">
        <v>0</v>
      </c>
      <c r="AL232" s="31">
        <f t="shared" si="18"/>
        <v>0</v>
      </c>
      <c r="AM232" s="31">
        <f t="shared" si="19"/>
        <v>0</v>
      </c>
      <c r="AN232" s="31">
        <f t="shared" si="20"/>
        <v>0</v>
      </c>
      <c r="AP232" s="31">
        <f>VLOOKUP($B232,Kraftvärmeprod!$B$1:$BX$549,MATCH(AP$1,Kraftvärmeprod!$B$1:$BX$1,0),FALSE)</f>
        <v>0</v>
      </c>
      <c r="AQ232" s="31">
        <f>VLOOKUP($B232,Kraftvärmeprod!$B$1:$BX$549,MATCH(AQ$1,Kraftvärmeprod!$B$1:$BX$1,0),FALSE)</f>
        <v>0</v>
      </c>
      <c r="AR232" s="31">
        <f>VLOOKUP($B232,Kraftvärmeprod!$B$1:$BX$549,MATCH("Summa tillförd energi exklusive rökgaskondensering",Kraftvärmeprod!$B$1:$BX$1,0),FALSE)</f>
        <v>0</v>
      </c>
      <c r="AT232" s="32" t="str">
        <f t="shared" si="21"/>
        <v/>
      </c>
      <c r="AV232" s="31">
        <f t="shared" si="22"/>
        <v>0</v>
      </c>
      <c r="AX232" s="31" t="str">
        <f>VLOOKUP(B232,Totalt!$B$1:$BZ$554,MATCH(AX$1,Totalt!$B$1:$BZ$1,0),FALSE)</f>
        <v>Ja</v>
      </c>
      <c r="BA232" s="32" t="str">
        <f t="shared" si="23"/>
        <v/>
      </c>
    </row>
    <row r="233" spans="1:53" x14ac:dyDescent="0.45">
      <c r="A233" s="31" t="s">
        <v>376</v>
      </c>
      <c r="B233" s="31" t="s">
        <v>377</v>
      </c>
      <c r="J233" s="31">
        <v>0</v>
      </c>
      <c r="K233" s="31">
        <v>0</v>
      </c>
      <c r="L233" s="31">
        <v>0</v>
      </c>
      <c r="M233" s="31">
        <v>0</v>
      </c>
      <c r="N233" s="31">
        <v>0</v>
      </c>
      <c r="O233" s="31">
        <v>0</v>
      </c>
      <c r="P233" s="31">
        <v>0</v>
      </c>
      <c r="Q233" s="31">
        <v>0</v>
      </c>
      <c r="R233" s="31">
        <v>0</v>
      </c>
      <c r="S233" s="31">
        <v>0</v>
      </c>
      <c r="T233" s="31">
        <v>0</v>
      </c>
      <c r="U233" s="31">
        <v>0</v>
      </c>
      <c r="W233" s="31">
        <v>0</v>
      </c>
      <c r="X233" s="31">
        <v>0</v>
      </c>
      <c r="Y233" s="31">
        <v>0</v>
      </c>
      <c r="Z233" s="31">
        <v>0</v>
      </c>
      <c r="AA233" s="31">
        <v>0</v>
      </c>
      <c r="AB233" s="31">
        <v>0</v>
      </c>
      <c r="AC233" s="31">
        <v>0</v>
      </c>
      <c r="AD233" s="31">
        <v>0</v>
      </c>
      <c r="AE233" s="31">
        <v>0</v>
      </c>
      <c r="AF233" s="31">
        <v>0</v>
      </c>
      <c r="AG233" s="31">
        <v>0</v>
      </c>
      <c r="AH233" s="31">
        <v>0</v>
      </c>
      <c r="AI233" s="31">
        <v>0</v>
      </c>
      <c r="AL233" s="31">
        <f t="shared" si="18"/>
        <v>0</v>
      </c>
      <c r="AM233" s="31">
        <f t="shared" si="19"/>
        <v>0</v>
      </c>
      <c r="AN233" s="31">
        <f t="shared" si="20"/>
        <v>0</v>
      </c>
      <c r="AP233" s="31">
        <f>VLOOKUP($B233,Kraftvärmeprod!$B$1:$BX$549,MATCH(AP$1,Kraftvärmeprod!$B$1:$BX$1,0),FALSE)</f>
        <v>0</v>
      </c>
      <c r="AQ233" s="31">
        <f>VLOOKUP($B233,Kraftvärmeprod!$B$1:$BX$549,MATCH(AQ$1,Kraftvärmeprod!$B$1:$BX$1,0),FALSE)</f>
        <v>0</v>
      </c>
      <c r="AR233" s="31">
        <f>VLOOKUP($B233,Kraftvärmeprod!$B$1:$BX$549,MATCH("Summa tillförd energi exklusive rökgaskondensering",Kraftvärmeprod!$B$1:$BX$1,0),FALSE)</f>
        <v>0</v>
      </c>
      <c r="AT233" s="32" t="str">
        <f t="shared" si="21"/>
        <v/>
      </c>
      <c r="AV233" s="31">
        <f t="shared" si="22"/>
        <v>0</v>
      </c>
      <c r="AX233" s="31" t="str">
        <f>VLOOKUP(B233,Totalt!$B$1:$BZ$554,MATCH(AX$1,Totalt!$B$1:$BZ$1,0),FALSE)</f>
        <v>Ja</v>
      </c>
      <c r="BA233" s="32" t="str">
        <f t="shared" si="23"/>
        <v/>
      </c>
    </row>
    <row r="234" spans="1:53" x14ac:dyDescent="0.45">
      <c r="A234" s="31" t="s">
        <v>376</v>
      </c>
      <c r="B234" s="31" t="s">
        <v>375</v>
      </c>
      <c r="J234" s="31">
        <v>0</v>
      </c>
      <c r="K234" s="31">
        <v>0</v>
      </c>
      <c r="L234" s="31">
        <v>0</v>
      </c>
      <c r="M234" s="31">
        <v>0</v>
      </c>
      <c r="N234" s="31">
        <v>0</v>
      </c>
      <c r="O234" s="31">
        <v>0</v>
      </c>
      <c r="P234" s="31">
        <v>0</v>
      </c>
      <c r="Q234" s="31">
        <v>0</v>
      </c>
      <c r="R234" s="31">
        <v>0</v>
      </c>
      <c r="S234" s="31">
        <v>0</v>
      </c>
      <c r="T234" s="31">
        <v>0</v>
      </c>
      <c r="U234" s="31">
        <v>0</v>
      </c>
      <c r="W234" s="31">
        <v>0</v>
      </c>
      <c r="X234" s="31">
        <v>0</v>
      </c>
      <c r="Y234" s="31">
        <v>0</v>
      </c>
      <c r="Z234" s="31">
        <v>0</v>
      </c>
      <c r="AA234" s="31">
        <v>0</v>
      </c>
      <c r="AB234" s="31">
        <v>0</v>
      </c>
      <c r="AC234" s="31">
        <v>0</v>
      </c>
      <c r="AD234" s="31">
        <v>0</v>
      </c>
      <c r="AE234" s="31">
        <v>0</v>
      </c>
      <c r="AF234" s="31">
        <v>0</v>
      </c>
      <c r="AG234" s="31">
        <v>0</v>
      </c>
      <c r="AH234" s="31">
        <v>0</v>
      </c>
      <c r="AI234" s="31">
        <v>0</v>
      </c>
      <c r="AL234" s="31">
        <f t="shared" si="18"/>
        <v>0</v>
      </c>
      <c r="AM234" s="31">
        <f t="shared" si="19"/>
        <v>0</v>
      </c>
      <c r="AN234" s="31">
        <f t="shared" si="20"/>
        <v>0</v>
      </c>
      <c r="AP234" s="31">
        <f>VLOOKUP($B234,Kraftvärmeprod!$B$1:$BX$549,MATCH(AP$1,Kraftvärmeprod!$B$1:$BX$1,0),FALSE)</f>
        <v>0</v>
      </c>
      <c r="AQ234" s="31">
        <f>VLOOKUP($B234,Kraftvärmeprod!$B$1:$BX$549,MATCH(AQ$1,Kraftvärmeprod!$B$1:$BX$1,0),FALSE)</f>
        <v>0</v>
      </c>
      <c r="AR234" s="31">
        <f>VLOOKUP($B234,Kraftvärmeprod!$B$1:$BX$549,MATCH("Summa tillförd energi exklusive rökgaskondensering",Kraftvärmeprod!$B$1:$BX$1,0),FALSE)</f>
        <v>0</v>
      </c>
      <c r="AT234" s="32" t="str">
        <f t="shared" si="21"/>
        <v/>
      </c>
      <c r="AV234" s="31">
        <f t="shared" si="22"/>
        <v>0</v>
      </c>
      <c r="AX234" s="31" t="str">
        <f>VLOOKUP(B234,Totalt!$B$1:$BZ$554,MATCH(AX$1,Totalt!$B$1:$BZ$1,0),FALSE)</f>
        <v>Ja</v>
      </c>
      <c r="BA234" s="32" t="str">
        <f t="shared" si="23"/>
        <v/>
      </c>
    </row>
    <row r="235" spans="1:53" x14ac:dyDescent="0.45">
      <c r="A235" s="31" t="s">
        <v>374</v>
      </c>
      <c r="B235" s="31" t="s">
        <v>373</v>
      </c>
      <c r="J235" s="31">
        <v>0</v>
      </c>
      <c r="K235" s="31">
        <v>0</v>
      </c>
      <c r="L235" s="31">
        <v>0</v>
      </c>
      <c r="M235" s="31">
        <v>0</v>
      </c>
      <c r="N235" s="31">
        <v>0</v>
      </c>
      <c r="O235" s="31">
        <v>0</v>
      </c>
      <c r="P235" s="31">
        <v>0</v>
      </c>
      <c r="Q235" s="31">
        <v>0</v>
      </c>
      <c r="R235" s="31">
        <v>0</v>
      </c>
      <c r="S235" s="31">
        <v>0</v>
      </c>
      <c r="T235" s="31">
        <v>0</v>
      </c>
      <c r="U235" s="31">
        <v>0</v>
      </c>
      <c r="W235" s="31">
        <v>0</v>
      </c>
      <c r="X235" s="31">
        <v>0</v>
      </c>
      <c r="Y235" s="31">
        <v>0</v>
      </c>
      <c r="Z235" s="31">
        <v>0</v>
      </c>
      <c r="AA235" s="31">
        <v>0</v>
      </c>
      <c r="AB235" s="31">
        <v>0</v>
      </c>
      <c r="AC235" s="31">
        <v>0</v>
      </c>
      <c r="AD235" s="31">
        <v>0</v>
      </c>
      <c r="AE235" s="31">
        <v>0</v>
      </c>
      <c r="AF235" s="31">
        <v>0</v>
      </c>
      <c r="AG235" s="31">
        <v>0</v>
      </c>
      <c r="AH235" s="31">
        <v>0</v>
      </c>
      <c r="AI235" s="31">
        <v>0</v>
      </c>
      <c r="AL235" s="31">
        <f t="shared" si="18"/>
        <v>0</v>
      </c>
      <c r="AM235" s="31">
        <f t="shared" si="19"/>
        <v>0</v>
      </c>
      <c r="AN235" s="31">
        <f t="shared" si="20"/>
        <v>0</v>
      </c>
      <c r="AP235" s="31">
        <f>VLOOKUP($B235,Kraftvärmeprod!$B$1:$BX$549,MATCH(AP$1,Kraftvärmeprod!$B$1:$BX$1,0),FALSE)</f>
        <v>0</v>
      </c>
      <c r="AQ235" s="31">
        <f>VLOOKUP($B235,Kraftvärmeprod!$B$1:$BX$549,MATCH(AQ$1,Kraftvärmeprod!$B$1:$BX$1,0),FALSE)</f>
        <v>0</v>
      </c>
      <c r="AR235" s="31">
        <f>VLOOKUP($B235,Kraftvärmeprod!$B$1:$BX$549,MATCH("Summa tillförd energi exklusive rökgaskondensering",Kraftvärmeprod!$B$1:$BX$1,0),FALSE)</f>
        <v>0</v>
      </c>
      <c r="AT235" s="32" t="str">
        <f t="shared" si="21"/>
        <v/>
      </c>
      <c r="AV235" s="31">
        <f t="shared" si="22"/>
        <v>0</v>
      </c>
      <c r="AX235" s="31" t="str">
        <f>VLOOKUP(B235,Totalt!$B$1:$BZ$554,MATCH(AX$1,Totalt!$B$1:$BZ$1,0),FALSE)</f>
        <v>Nej</v>
      </c>
      <c r="BA235" s="32" t="str">
        <f t="shared" si="23"/>
        <v/>
      </c>
    </row>
    <row r="236" spans="1:53" x14ac:dyDescent="0.45">
      <c r="A236" s="31" t="s">
        <v>371</v>
      </c>
      <c r="B236" s="31" t="s">
        <v>372</v>
      </c>
      <c r="J236" s="31">
        <v>0</v>
      </c>
      <c r="K236" s="31">
        <v>0</v>
      </c>
      <c r="L236" s="31">
        <v>0</v>
      </c>
      <c r="M236" s="31">
        <v>0</v>
      </c>
      <c r="N236" s="31">
        <v>0</v>
      </c>
      <c r="O236" s="31">
        <v>0</v>
      </c>
      <c r="P236" s="31">
        <v>0</v>
      </c>
      <c r="Q236" s="31">
        <v>0</v>
      </c>
      <c r="R236" s="31">
        <v>0</v>
      </c>
      <c r="S236" s="31">
        <v>0</v>
      </c>
      <c r="T236" s="31">
        <v>0</v>
      </c>
      <c r="U236" s="31">
        <v>0</v>
      </c>
      <c r="W236" s="31">
        <v>0</v>
      </c>
      <c r="X236" s="31">
        <v>0</v>
      </c>
      <c r="Y236" s="31">
        <v>0</v>
      </c>
      <c r="Z236" s="31">
        <v>0</v>
      </c>
      <c r="AA236" s="31">
        <v>0</v>
      </c>
      <c r="AB236" s="31">
        <v>0</v>
      </c>
      <c r="AC236" s="31">
        <v>0</v>
      </c>
      <c r="AD236" s="31">
        <v>0</v>
      </c>
      <c r="AE236" s="31">
        <v>0</v>
      </c>
      <c r="AF236" s="31">
        <v>0</v>
      </c>
      <c r="AG236" s="31">
        <v>0</v>
      </c>
      <c r="AH236" s="31">
        <v>0</v>
      </c>
      <c r="AI236" s="31">
        <v>0</v>
      </c>
      <c r="AL236" s="31">
        <f t="shared" si="18"/>
        <v>0</v>
      </c>
      <c r="AM236" s="31">
        <f t="shared" si="19"/>
        <v>0</v>
      </c>
      <c r="AN236" s="31">
        <f t="shared" si="20"/>
        <v>0</v>
      </c>
      <c r="AP236" s="31">
        <f>VLOOKUP($B236,Kraftvärmeprod!$B$1:$BX$549,MATCH(AP$1,Kraftvärmeprod!$B$1:$BX$1,0),FALSE)</f>
        <v>0</v>
      </c>
      <c r="AQ236" s="31">
        <f>VLOOKUP($B236,Kraftvärmeprod!$B$1:$BX$549,MATCH(AQ$1,Kraftvärmeprod!$B$1:$BX$1,0),FALSE)</f>
        <v>0</v>
      </c>
      <c r="AR236" s="31">
        <f>VLOOKUP($B236,Kraftvärmeprod!$B$1:$BX$549,MATCH("Summa tillförd energi exklusive rökgaskondensering",Kraftvärmeprod!$B$1:$BX$1,0),FALSE)</f>
        <v>0</v>
      </c>
      <c r="AT236" s="32" t="str">
        <f t="shared" si="21"/>
        <v/>
      </c>
      <c r="AV236" s="31">
        <f t="shared" si="22"/>
        <v>0</v>
      </c>
      <c r="AX236" s="31" t="str">
        <f>VLOOKUP(B236,Totalt!$B$1:$BZ$554,MATCH(AX$1,Totalt!$B$1:$BZ$1,0),FALSE)</f>
        <v>Ja</v>
      </c>
      <c r="BA236" s="32" t="str">
        <f t="shared" si="23"/>
        <v/>
      </c>
    </row>
    <row r="237" spans="1:53" x14ac:dyDescent="0.45">
      <c r="A237" s="31" t="s">
        <v>371</v>
      </c>
      <c r="B237" s="31" t="s">
        <v>370</v>
      </c>
      <c r="J237" s="31">
        <v>0</v>
      </c>
      <c r="K237" s="31">
        <v>0</v>
      </c>
      <c r="L237" s="31">
        <v>0</v>
      </c>
      <c r="M237" s="31">
        <v>0</v>
      </c>
      <c r="N237" s="31">
        <v>0</v>
      </c>
      <c r="O237" s="31">
        <v>0</v>
      </c>
      <c r="P237" s="31">
        <v>6.8731900000000001</v>
      </c>
      <c r="Q237" s="31">
        <v>9.1363099999999999</v>
      </c>
      <c r="R237" s="31">
        <v>6.8731900000000001</v>
      </c>
      <c r="S237" s="31">
        <v>0</v>
      </c>
      <c r="T237" s="31">
        <v>0</v>
      </c>
      <c r="U237" s="31">
        <v>0</v>
      </c>
      <c r="W237" s="31">
        <v>0</v>
      </c>
      <c r="X237" s="31">
        <v>0</v>
      </c>
      <c r="Y237" s="31">
        <v>0</v>
      </c>
      <c r="Z237" s="31">
        <v>0</v>
      </c>
      <c r="AA237" s="31">
        <v>0</v>
      </c>
      <c r="AB237" s="31">
        <v>0</v>
      </c>
      <c r="AC237" s="31">
        <v>0</v>
      </c>
      <c r="AD237" s="31">
        <v>0</v>
      </c>
      <c r="AE237" s="31">
        <v>0</v>
      </c>
      <c r="AF237" s="31">
        <v>0</v>
      </c>
      <c r="AG237" s="31">
        <v>0</v>
      </c>
      <c r="AH237" s="31">
        <v>5.0999999999999996</v>
      </c>
      <c r="AI237" s="31">
        <v>0.67055500000000001</v>
      </c>
      <c r="AL237" s="31">
        <f t="shared" si="18"/>
        <v>28.653244999999998</v>
      </c>
      <c r="AM237" s="31">
        <f t="shared" si="19"/>
        <v>27.982689999999998</v>
      </c>
      <c r="AN237" s="31">
        <f t="shared" si="20"/>
        <v>22.882689999999997</v>
      </c>
      <c r="AP237" s="31">
        <f>VLOOKUP($B237,Kraftvärmeprod!$B$1:$BX$549,MATCH(AP$1,Kraftvärmeprod!$B$1:$BX$1,0),FALSE)</f>
        <v>18.899999999999999</v>
      </c>
      <c r="AQ237" s="31">
        <f>VLOOKUP($B237,Kraftvärmeprod!$B$1:$BX$549,MATCH(AQ$1,Kraftvärmeprod!$B$1:$BX$1,0),FALSE)</f>
        <v>1.4</v>
      </c>
      <c r="AR237" s="31">
        <f>VLOOKUP($B237,Kraftvärmeprod!$B$1:$BX$549,MATCH("Summa tillförd energi exklusive rökgaskondensering",Kraftvärmeprod!$B$1:$BX$1,0),FALSE)</f>
        <v>27.3</v>
      </c>
      <c r="AT237" s="32">
        <f t="shared" si="21"/>
        <v>0.83819377289377273</v>
      </c>
      <c r="AV237" s="31">
        <f t="shared" si="22"/>
        <v>22.88269</v>
      </c>
      <c r="AX237" s="31" t="str">
        <f>VLOOKUP(B237,Totalt!$B$1:$BZ$554,MATCH(AX$1,Totalt!$B$1:$BZ$1,0),FALSE)</f>
        <v>Ja</v>
      </c>
      <c r="BA237" s="32">
        <f t="shared" si="23"/>
        <v>0.80243720132830954</v>
      </c>
    </row>
    <row r="238" spans="1:53" x14ac:dyDescent="0.45">
      <c r="A238" s="31" t="s">
        <v>369</v>
      </c>
      <c r="B238" s="31" t="s">
        <v>368</v>
      </c>
      <c r="J238" s="31">
        <v>0</v>
      </c>
      <c r="K238" s="31">
        <v>0</v>
      </c>
      <c r="L238" s="31">
        <v>0</v>
      </c>
      <c r="M238" s="31">
        <v>0</v>
      </c>
      <c r="N238" s="31">
        <v>0</v>
      </c>
      <c r="O238" s="31">
        <v>0</v>
      </c>
      <c r="P238" s="31">
        <v>0</v>
      </c>
      <c r="Q238" s="31">
        <v>0</v>
      </c>
      <c r="R238" s="31">
        <v>0</v>
      </c>
      <c r="S238" s="31">
        <v>0</v>
      </c>
      <c r="T238" s="31">
        <v>0</v>
      </c>
      <c r="U238" s="31">
        <v>0</v>
      </c>
      <c r="W238" s="31">
        <v>0</v>
      </c>
      <c r="X238" s="31">
        <v>0</v>
      </c>
      <c r="Y238" s="31">
        <v>0</v>
      </c>
      <c r="Z238" s="31">
        <v>0</v>
      </c>
      <c r="AA238" s="31">
        <v>0</v>
      </c>
      <c r="AB238" s="31">
        <v>0</v>
      </c>
      <c r="AC238" s="31">
        <v>0</v>
      </c>
      <c r="AD238" s="31">
        <v>0</v>
      </c>
      <c r="AE238" s="31">
        <v>0</v>
      </c>
      <c r="AF238" s="31">
        <v>0</v>
      </c>
      <c r="AG238" s="31">
        <v>0</v>
      </c>
      <c r="AH238" s="31">
        <v>0</v>
      </c>
      <c r="AI238" s="31">
        <v>0</v>
      </c>
      <c r="AL238" s="31">
        <f t="shared" si="18"/>
        <v>0</v>
      </c>
      <c r="AM238" s="31">
        <f t="shared" si="19"/>
        <v>0</v>
      </c>
      <c r="AN238" s="31">
        <f t="shared" si="20"/>
        <v>0</v>
      </c>
      <c r="AP238" s="31">
        <f>VLOOKUP($B238,Kraftvärmeprod!$B$1:$BX$549,MATCH(AP$1,Kraftvärmeprod!$B$1:$BX$1,0),FALSE)</f>
        <v>0</v>
      </c>
      <c r="AQ238" s="31">
        <f>VLOOKUP($B238,Kraftvärmeprod!$B$1:$BX$549,MATCH(AQ$1,Kraftvärmeprod!$B$1:$BX$1,0),FALSE)</f>
        <v>0</v>
      </c>
      <c r="AR238" s="31">
        <f>VLOOKUP($B238,Kraftvärmeprod!$B$1:$BX$549,MATCH("Summa tillförd energi exklusive rökgaskondensering",Kraftvärmeprod!$B$1:$BX$1,0),FALSE)</f>
        <v>0</v>
      </c>
      <c r="AT238" s="32" t="str">
        <f t="shared" si="21"/>
        <v/>
      </c>
      <c r="AV238" s="31">
        <f t="shared" si="22"/>
        <v>0</v>
      </c>
      <c r="AX238" s="31" t="str">
        <f>VLOOKUP(B238,Totalt!$B$1:$BZ$554,MATCH(AX$1,Totalt!$B$1:$BZ$1,0),FALSE)</f>
        <v>Ja</v>
      </c>
      <c r="BA238" s="32" t="str">
        <f t="shared" si="23"/>
        <v/>
      </c>
    </row>
    <row r="239" spans="1:53" x14ac:dyDescent="0.45">
      <c r="A239" s="31" t="s">
        <v>367</v>
      </c>
      <c r="B239" s="31" t="s">
        <v>366</v>
      </c>
      <c r="J239" s="31">
        <v>0</v>
      </c>
      <c r="K239" s="31">
        <v>0</v>
      </c>
      <c r="L239" s="31">
        <v>0</v>
      </c>
      <c r="M239" s="31">
        <v>0</v>
      </c>
      <c r="N239" s="31">
        <v>0</v>
      </c>
      <c r="O239" s="31">
        <v>0</v>
      </c>
      <c r="P239" s="31">
        <v>34.091799999999999</v>
      </c>
      <c r="Q239" s="31">
        <v>0</v>
      </c>
      <c r="R239" s="31">
        <v>29.864699999999999</v>
      </c>
      <c r="S239" s="31">
        <v>0.209227</v>
      </c>
      <c r="T239" s="31">
        <v>0</v>
      </c>
      <c r="U239" s="31">
        <v>0</v>
      </c>
      <c r="W239" s="31">
        <v>0</v>
      </c>
      <c r="X239" s="31">
        <v>0</v>
      </c>
      <c r="Y239" s="31">
        <v>0</v>
      </c>
      <c r="Z239" s="31">
        <v>3.1898300000000002</v>
      </c>
      <c r="AA239" s="31">
        <v>0</v>
      </c>
      <c r="AB239" s="31">
        <v>0.69267999999999996</v>
      </c>
      <c r="AC239" s="31">
        <v>0</v>
      </c>
      <c r="AD239" s="31">
        <v>0</v>
      </c>
      <c r="AE239" s="31">
        <v>0</v>
      </c>
      <c r="AF239" s="31">
        <v>0</v>
      </c>
      <c r="AG239" s="31">
        <v>0</v>
      </c>
      <c r="AH239" s="31">
        <v>0</v>
      </c>
      <c r="AI239" s="31">
        <v>1.41852</v>
      </c>
      <c r="AL239" s="31">
        <f t="shared" si="18"/>
        <v>69.466757000000001</v>
      </c>
      <c r="AM239" s="31">
        <f t="shared" si="19"/>
        <v>68.048237</v>
      </c>
      <c r="AN239" s="31">
        <f t="shared" si="20"/>
        <v>68.048237</v>
      </c>
      <c r="AP239" s="31">
        <f>VLOOKUP($B239,Kraftvärmeprod!$B$1:$BX$549,MATCH(AP$1,Kraftvärmeprod!$B$1:$BX$1,0),FALSE)</f>
        <v>76.525685999999993</v>
      </c>
      <c r="AQ239" s="31">
        <f>VLOOKUP($B239,Kraftvärmeprod!$B$1:$BX$549,MATCH(AQ$1,Kraftvärmeprod!$B$1:$BX$1,0),FALSE)</f>
        <v>19.105874</v>
      </c>
      <c r="AR239" s="31">
        <f>VLOOKUP($B239,Kraftvärmeprod!$B$1:$BX$549,MATCH("Summa tillförd energi exklusive rökgaskondensering",Kraftvärmeprod!$B$1:$BX$1,0),FALSE)</f>
        <v>112.2225885</v>
      </c>
      <c r="AT239" s="32">
        <f t="shared" si="21"/>
        <v>0.60636844961030278</v>
      </c>
      <c r="AV239" s="31">
        <f t="shared" si="22"/>
        <v>68.048237</v>
      </c>
      <c r="AX239" s="31" t="str">
        <f>VLOOKUP(B239,Totalt!$B$1:$BZ$554,MATCH(AX$1,Totalt!$B$1:$BZ$1,0),FALSE)</f>
        <v>Ja</v>
      </c>
      <c r="BA239" s="32">
        <f t="shared" si="23"/>
        <v>1.1016159283209377</v>
      </c>
    </row>
    <row r="240" spans="1:53" x14ac:dyDescent="0.45">
      <c r="A240" s="31" t="s">
        <v>364</v>
      </c>
      <c r="B240" s="31" t="s">
        <v>363</v>
      </c>
      <c r="J240" s="31">
        <v>0</v>
      </c>
      <c r="K240" s="31">
        <v>0</v>
      </c>
      <c r="L240" s="31">
        <v>0</v>
      </c>
      <c r="M240" s="31">
        <v>0</v>
      </c>
      <c r="N240" s="31">
        <v>0</v>
      </c>
      <c r="O240" s="31">
        <v>0</v>
      </c>
      <c r="P240" s="31">
        <v>0</v>
      </c>
      <c r="Q240" s="31">
        <v>0</v>
      </c>
      <c r="R240" s="31">
        <v>0</v>
      </c>
      <c r="S240" s="31">
        <v>0</v>
      </c>
      <c r="T240" s="31">
        <v>0</v>
      </c>
      <c r="U240" s="31">
        <v>0</v>
      </c>
      <c r="W240" s="31">
        <v>0</v>
      </c>
      <c r="X240" s="31">
        <v>0</v>
      </c>
      <c r="Y240" s="31">
        <v>0</v>
      </c>
      <c r="Z240" s="31">
        <v>0</v>
      </c>
      <c r="AA240" s="31">
        <v>0</v>
      </c>
      <c r="AB240" s="31">
        <v>0</v>
      </c>
      <c r="AC240" s="31">
        <v>0</v>
      </c>
      <c r="AD240" s="31">
        <v>0</v>
      </c>
      <c r="AE240" s="31">
        <v>0</v>
      </c>
      <c r="AF240" s="31">
        <v>0</v>
      </c>
      <c r="AG240" s="31">
        <v>0</v>
      </c>
      <c r="AH240" s="31">
        <v>0</v>
      </c>
      <c r="AI240" s="31">
        <v>0</v>
      </c>
      <c r="AL240" s="31">
        <f t="shared" si="18"/>
        <v>0</v>
      </c>
      <c r="AM240" s="31">
        <f t="shared" si="19"/>
        <v>0</v>
      </c>
      <c r="AN240" s="31">
        <f t="shared" si="20"/>
        <v>0</v>
      </c>
      <c r="AP240" s="31">
        <f>VLOOKUP($B240,Kraftvärmeprod!$B$1:$BX$549,MATCH(AP$1,Kraftvärmeprod!$B$1:$BX$1,0),FALSE)</f>
        <v>0</v>
      </c>
      <c r="AQ240" s="31">
        <f>VLOOKUP($B240,Kraftvärmeprod!$B$1:$BX$549,MATCH(AQ$1,Kraftvärmeprod!$B$1:$BX$1,0),FALSE)</f>
        <v>0</v>
      </c>
      <c r="AR240" s="31">
        <f>VLOOKUP($B240,Kraftvärmeprod!$B$1:$BX$549,MATCH("Summa tillförd energi exklusive rökgaskondensering",Kraftvärmeprod!$B$1:$BX$1,0),FALSE)</f>
        <v>0</v>
      </c>
      <c r="AT240" s="32" t="str">
        <f t="shared" si="21"/>
        <v/>
      </c>
      <c r="AV240" s="31">
        <f t="shared" si="22"/>
        <v>0</v>
      </c>
      <c r="AX240" s="31" t="str">
        <f>VLOOKUP(B240,Totalt!$B$1:$BZ$554,MATCH(AX$1,Totalt!$B$1:$BZ$1,0),FALSE)</f>
        <v>Ja</v>
      </c>
      <c r="BA240" s="32" t="str">
        <f t="shared" si="23"/>
        <v/>
      </c>
    </row>
    <row r="241" spans="1:53" x14ac:dyDescent="0.45">
      <c r="A241" s="31" t="s">
        <v>362</v>
      </c>
      <c r="B241" s="31" t="s">
        <v>361</v>
      </c>
      <c r="J241" s="31">
        <v>0</v>
      </c>
      <c r="K241" s="31">
        <v>0</v>
      </c>
      <c r="L241" s="31">
        <v>0</v>
      </c>
      <c r="M241" s="31">
        <v>0</v>
      </c>
      <c r="N241" s="31">
        <v>0</v>
      </c>
      <c r="O241" s="31">
        <v>0</v>
      </c>
      <c r="P241" s="31">
        <v>16.459499999999998</v>
      </c>
      <c r="Q241" s="31">
        <v>3.0924700000000001</v>
      </c>
      <c r="R241" s="31">
        <v>0</v>
      </c>
      <c r="S241" s="31">
        <v>0</v>
      </c>
      <c r="T241" s="31">
        <v>0</v>
      </c>
      <c r="U241" s="31">
        <v>0</v>
      </c>
      <c r="W241" s="31">
        <v>0</v>
      </c>
      <c r="X241" s="31">
        <v>0</v>
      </c>
      <c r="Y241" s="31">
        <v>0</v>
      </c>
      <c r="Z241" s="31">
        <v>107.268</v>
      </c>
      <c r="AA241" s="31">
        <v>0</v>
      </c>
      <c r="AB241" s="31">
        <v>0</v>
      </c>
      <c r="AC241" s="31">
        <v>0</v>
      </c>
      <c r="AD241" s="31">
        <v>0</v>
      </c>
      <c r="AE241" s="31">
        <v>0</v>
      </c>
      <c r="AF241" s="31">
        <v>0</v>
      </c>
      <c r="AG241" s="31">
        <v>0</v>
      </c>
      <c r="AH241" s="31">
        <v>19.131</v>
      </c>
      <c r="AI241" s="31">
        <v>3.8743500000000002</v>
      </c>
      <c r="AL241" s="31">
        <f t="shared" si="18"/>
        <v>149.82531999999998</v>
      </c>
      <c r="AM241" s="31">
        <f t="shared" si="19"/>
        <v>145.95096999999998</v>
      </c>
      <c r="AN241" s="31">
        <f t="shared" si="20"/>
        <v>126.81996999999998</v>
      </c>
      <c r="AP241" s="31">
        <f>VLOOKUP($B241,Kraftvärmeprod!$B$1:$BX$549,MATCH(AP$1,Kraftvärmeprod!$B$1:$BX$1,0),FALSE)</f>
        <v>137.685</v>
      </c>
      <c r="AQ241" s="31">
        <f>VLOOKUP($B241,Kraftvärmeprod!$B$1:$BX$549,MATCH(AQ$1,Kraftvärmeprod!$B$1:$BX$1,0),FALSE)</f>
        <v>27.172999999999998</v>
      </c>
      <c r="AR241" s="31">
        <f>VLOOKUP($B241,Kraftvärmeprod!$B$1:$BX$549,MATCH("Summa tillförd energi exklusive rökgaskondensering",Kraftvärmeprod!$B$1:$BX$1,0),FALSE)</f>
        <v>192.04599999999999</v>
      </c>
      <c r="AT241" s="32">
        <f t="shared" si="21"/>
        <v>0.66036246524270226</v>
      </c>
      <c r="AV241" s="31">
        <f t="shared" si="22"/>
        <v>126.81997</v>
      </c>
      <c r="AX241" s="31" t="str">
        <f>VLOOKUP(B241,Totalt!$B$1:$BZ$554,MATCH(AX$1,Totalt!$B$1:$BZ$1,0),FALSE)</f>
        <v>Ja</v>
      </c>
      <c r="BA241" s="32">
        <f t="shared" si="23"/>
        <v>1.0534887820679584</v>
      </c>
    </row>
    <row r="242" spans="1:53" x14ac:dyDescent="0.45">
      <c r="A242" s="31" t="s">
        <v>360</v>
      </c>
      <c r="B242" s="31" t="s">
        <v>359</v>
      </c>
      <c r="J242" s="31">
        <v>0</v>
      </c>
      <c r="K242" s="31">
        <v>0</v>
      </c>
      <c r="L242" s="31">
        <v>0</v>
      </c>
      <c r="M242" s="31">
        <v>0</v>
      </c>
      <c r="N242" s="31">
        <v>0</v>
      </c>
      <c r="O242" s="31">
        <v>0</v>
      </c>
      <c r="P242" s="31">
        <v>0</v>
      </c>
      <c r="Q242" s="31">
        <v>0</v>
      </c>
      <c r="R242" s="31">
        <v>0</v>
      </c>
      <c r="S242" s="31">
        <v>0</v>
      </c>
      <c r="T242" s="31">
        <v>0</v>
      </c>
      <c r="U242" s="31">
        <v>0</v>
      </c>
      <c r="W242" s="31">
        <v>0</v>
      </c>
      <c r="X242" s="31">
        <v>0</v>
      </c>
      <c r="Y242" s="31">
        <v>0</v>
      </c>
      <c r="Z242" s="31">
        <v>0</v>
      </c>
      <c r="AA242" s="31">
        <v>0</v>
      </c>
      <c r="AB242" s="31">
        <v>0</v>
      </c>
      <c r="AC242" s="31">
        <v>0</v>
      </c>
      <c r="AD242" s="31">
        <v>0</v>
      </c>
      <c r="AE242" s="31">
        <v>0</v>
      </c>
      <c r="AF242" s="31">
        <v>0</v>
      </c>
      <c r="AG242" s="31">
        <v>0</v>
      </c>
      <c r="AH242" s="31">
        <v>0</v>
      </c>
      <c r="AI242" s="31">
        <v>0</v>
      </c>
      <c r="AL242" s="31">
        <f t="shared" si="18"/>
        <v>0</v>
      </c>
      <c r="AM242" s="31">
        <f t="shared" si="19"/>
        <v>0</v>
      </c>
      <c r="AN242" s="31">
        <f t="shared" si="20"/>
        <v>0</v>
      </c>
      <c r="AP242" s="31">
        <f>VLOOKUP($B242,Kraftvärmeprod!$B$1:$BX$549,MATCH(AP$1,Kraftvärmeprod!$B$1:$BX$1,0),FALSE)</f>
        <v>0</v>
      </c>
      <c r="AQ242" s="31">
        <f>VLOOKUP($B242,Kraftvärmeprod!$B$1:$BX$549,MATCH(AQ$1,Kraftvärmeprod!$B$1:$BX$1,0),FALSE)</f>
        <v>0</v>
      </c>
      <c r="AR242" s="31">
        <f>VLOOKUP($B242,Kraftvärmeprod!$B$1:$BX$549,MATCH("Summa tillförd energi exklusive rökgaskondensering",Kraftvärmeprod!$B$1:$BX$1,0),FALSE)</f>
        <v>0</v>
      </c>
      <c r="AT242" s="32" t="str">
        <f t="shared" si="21"/>
        <v/>
      </c>
      <c r="AV242" s="31">
        <f t="shared" si="22"/>
        <v>0</v>
      </c>
      <c r="AX242" s="31" t="str">
        <f>VLOOKUP(B242,Totalt!$B$1:$BZ$554,MATCH(AX$1,Totalt!$B$1:$BZ$1,0),FALSE)</f>
        <v>Ja</v>
      </c>
      <c r="BA242" s="32" t="str">
        <f t="shared" si="23"/>
        <v/>
      </c>
    </row>
    <row r="243" spans="1:53" x14ac:dyDescent="0.45">
      <c r="A243" s="31" t="s">
        <v>342</v>
      </c>
      <c r="B243" s="31" t="s">
        <v>358</v>
      </c>
      <c r="J243" s="31">
        <v>0</v>
      </c>
      <c r="K243" s="31">
        <v>0</v>
      </c>
      <c r="L243" s="31">
        <v>0</v>
      </c>
      <c r="M243" s="31">
        <v>0</v>
      </c>
      <c r="N243" s="31">
        <v>0</v>
      </c>
      <c r="O243" s="31">
        <v>0</v>
      </c>
      <c r="P243" s="31">
        <v>0</v>
      </c>
      <c r="Q243" s="31">
        <v>0</v>
      </c>
      <c r="R243" s="31">
        <v>0</v>
      </c>
      <c r="S243" s="31">
        <v>0</v>
      </c>
      <c r="T243" s="31">
        <v>0</v>
      </c>
      <c r="U243" s="31">
        <v>0</v>
      </c>
      <c r="W243" s="31">
        <v>0</v>
      </c>
      <c r="X243" s="31">
        <v>0</v>
      </c>
      <c r="Y243" s="31">
        <v>0</v>
      </c>
      <c r="Z243" s="31">
        <v>0</v>
      </c>
      <c r="AA243" s="31">
        <v>0</v>
      </c>
      <c r="AB243" s="31">
        <v>0</v>
      </c>
      <c r="AC243" s="31">
        <v>0</v>
      </c>
      <c r="AD243" s="31">
        <v>0</v>
      </c>
      <c r="AE243" s="31">
        <v>0</v>
      </c>
      <c r="AF243" s="31">
        <v>0</v>
      </c>
      <c r="AG243" s="31">
        <v>0</v>
      </c>
      <c r="AH243" s="31">
        <v>0</v>
      </c>
      <c r="AI243" s="31">
        <v>0</v>
      </c>
      <c r="AL243" s="31">
        <f t="shared" si="18"/>
        <v>0</v>
      </c>
      <c r="AM243" s="31">
        <f t="shared" si="19"/>
        <v>0</v>
      </c>
      <c r="AN243" s="31">
        <f t="shared" si="20"/>
        <v>0</v>
      </c>
      <c r="AP243" s="31">
        <f>VLOOKUP($B243,Kraftvärmeprod!$B$1:$BX$549,MATCH(AP$1,Kraftvärmeprod!$B$1:$BX$1,0),FALSE)</f>
        <v>0</v>
      </c>
      <c r="AQ243" s="31">
        <f>VLOOKUP($B243,Kraftvärmeprod!$B$1:$BX$549,MATCH(AQ$1,Kraftvärmeprod!$B$1:$BX$1,0),FALSE)</f>
        <v>0</v>
      </c>
      <c r="AR243" s="31">
        <f>VLOOKUP($B243,Kraftvärmeprod!$B$1:$BX$549,MATCH("Summa tillförd energi exklusive rökgaskondensering",Kraftvärmeprod!$B$1:$BX$1,0),FALSE)</f>
        <v>0</v>
      </c>
      <c r="AT243" s="32" t="str">
        <f t="shared" si="21"/>
        <v/>
      </c>
      <c r="AV243" s="31">
        <f t="shared" si="22"/>
        <v>0</v>
      </c>
      <c r="AX243" s="31" t="str">
        <f>VLOOKUP(B243,Totalt!$B$1:$BZ$554,MATCH(AX$1,Totalt!$B$1:$BZ$1,0),FALSE)</f>
        <v>Ja</v>
      </c>
      <c r="BA243" s="32" t="str">
        <f t="shared" si="23"/>
        <v/>
      </c>
    </row>
    <row r="244" spans="1:53" x14ac:dyDescent="0.45">
      <c r="A244" s="31" t="s">
        <v>342</v>
      </c>
      <c r="B244" s="31" t="s">
        <v>357</v>
      </c>
      <c r="J244" s="31">
        <v>0</v>
      </c>
      <c r="K244" s="31">
        <v>0</v>
      </c>
      <c r="L244" s="31">
        <v>0</v>
      </c>
      <c r="M244" s="31">
        <v>0</v>
      </c>
      <c r="N244" s="31">
        <v>0</v>
      </c>
      <c r="O244" s="31">
        <v>0</v>
      </c>
      <c r="P244" s="31">
        <v>0</v>
      </c>
      <c r="Q244" s="31">
        <v>0</v>
      </c>
      <c r="R244" s="31">
        <v>0</v>
      </c>
      <c r="S244" s="31">
        <v>0</v>
      </c>
      <c r="T244" s="31">
        <v>0</v>
      </c>
      <c r="U244" s="31">
        <v>0</v>
      </c>
      <c r="W244" s="31">
        <v>0</v>
      </c>
      <c r="X244" s="31">
        <v>0</v>
      </c>
      <c r="Y244" s="31">
        <v>0</v>
      </c>
      <c r="Z244" s="31">
        <v>0</v>
      </c>
      <c r="AA244" s="31">
        <v>0</v>
      </c>
      <c r="AB244" s="31">
        <v>0</v>
      </c>
      <c r="AC244" s="31">
        <v>0</v>
      </c>
      <c r="AD244" s="31">
        <v>0</v>
      </c>
      <c r="AE244" s="31">
        <v>0</v>
      </c>
      <c r="AF244" s="31">
        <v>0</v>
      </c>
      <c r="AG244" s="31">
        <v>0</v>
      </c>
      <c r="AH244" s="31">
        <v>0</v>
      </c>
      <c r="AI244" s="31">
        <v>0</v>
      </c>
      <c r="AL244" s="31">
        <f t="shared" si="18"/>
        <v>0</v>
      </c>
      <c r="AM244" s="31">
        <f t="shared" si="19"/>
        <v>0</v>
      </c>
      <c r="AN244" s="31">
        <f t="shared" si="20"/>
        <v>0</v>
      </c>
      <c r="AP244" s="31">
        <f>VLOOKUP($B244,Kraftvärmeprod!$B$1:$BX$549,MATCH(AP$1,Kraftvärmeprod!$B$1:$BX$1,0),FALSE)</f>
        <v>0</v>
      </c>
      <c r="AQ244" s="31">
        <f>VLOOKUP($B244,Kraftvärmeprod!$B$1:$BX$549,MATCH(AQ$1,Kraftvärmeprod!$B$1:$BX$1,0),FALSE)</f>
        <v>0</v>
      </c>
      <c r="AR244" s="31">
        <f>VLOOKUP($B244,Kraftvärmeprod!$B$1:$BX$549,MATCH("Summa tillförd energi exklusive rökgaskondensering",Kraftvärmeprod!$B$1:$BX$1,0),FALSE)</f>
        <v>0</v>
      </c>
      <c r="AT244" s="32" t="str">
        <f t="shared" si="21"/>
        <v/>
      </c>
      <c r="AV244" s="31">
        <f t="shared" si="22"/>
        <v>0</v>
      </c>
      <c r="AX244" s="31" t="str">
        <f>VLOOKUP(B244,Totalt!$B$1:$BZ$554,MATCH(AX$1,Totalt!$B$1:$BZ$1,0),FALSE)</f>
        <v>Ja</v>
      </c>
      <c r="BA244" s="32" t="str">
        <f t="shared" si="23"/>
        <v/>
      </c>
    </row>
    <row r="245" spans="1:53" x14ac:dyDescent="0.45">
      <c r="A245" s="31" t="s">
        <v>342</v>
      </c>
      <c r="B245" s="31" t="s">
        <v>356</v>
      </c>
      <c r="J245" s="31">
        <v>0</v>
      </c>
      <c r="K245" s="31">
        <v>0</v>
      </c>
      <c r="L245" s="31">
        <v>0</v>
      </c>
      <c r="M245" s="31">
        <v>0</v>
      </c>
      <c r="N245" s="31">
        <v>0</v>
      </c>
      <c r="O245" s="31">
        <v>0</v>
      </c>
      <c r="P245" s="31">
        <v>0</v>
      </c>
      <c r="Q245" s="31">
        <v>0</v>
      </c>
      <c r="R245" s="31">
        <v>0</v>
      </c>
      <c r="S245" s="31">
        <v>0</v>
      </c>
      <c r="T245" s="31">
        <v>0</v>
      </c>
      <c r="U245" s="31">
        <v>0</v>
      </c>
      <c r="W245" s="31">
        <v>0</v>
      </c>
      <c r="X245" s="31">
        <v>0</v>
      </c>
      <c r="Y245" s="31">
        <v>0</v>
      </c>
      <c r="Z245" s="31">
        <v>0</v>
      </c>
      <c r="AA245" s="31">
        <v>0</v>
      </c>
      <c r="AB245" s="31">
        <v>0</v>
      </c>
      <c r="AC245" s="31">
        <v>0</v>
      </c>
      <c r="AD245" s="31">
        <v>0</v>
      </c>
      <c r="AE245" s="31">
        <v>0</v>
      </c>
      <c r="AF245" s="31">
        <v>0</v>
      </c>
      <c r="AG245" s="31">
        <v>0</v>
      </c>
      <c r="AH245" s="31">
        <v>0</v>
      </c>
      <c r="AI245" s="31">
        <v>0</v>
      </c>
      <c r="AL245" s="31">
        <f t="shared" si="18"/>
        <v>0</v>
      </c>
      <c r="AM245" s="31">
        <f t="shared" si="19"/>
        <v>0</v>
      </c>
      <c r="AN245" s="31">
        <f t="shared" si="20"/>
        <v>0</v>
      </c>
      <c r="AP245" s="31">
        <f>VLOOKUP($B245,Kraftvärmeprod!$B$1:$BX$549,MATCH(AP$1,Kraftvärmeprod!$B$1:$BX$1,0),FALSE)</f>
        <v>0</v>
      </c>
      <c r="AQ245" s="31">
        <f>VLOOKUP($B245,Kraftvärmeprod!$B$1:$BX$549,MATCH(AQ$1,Kraftvärmeprod!$B$1:$BX$1,0),FALSE)</f>
        <v>0</v>
      </c>
      <c r="AR245" s="31">
        <f>VLOOKUP($B245,Kraftvärmeprod!$B$1:$BX$549,MATCH("Summa tillförd energi exklusive rökgaskondensering",Kraftvärmeprod!$B$1:$BX$1,0),FALSE)</f>
        <v>0</v>
      </c>
      <c r="AT245" s="32" t="str">
        <f t="shared" si="21"/>
        <v/>
      </c>
      <c r="AV245" s="31">
        <f t="shared" si="22"/>
        <v>0</v>
      </c>
      <c r="AX245" s="31" t="str">
        <f>VLOOKUP(B245,Totalt!$B$1:$BZ$554,MATCH(AX$1,Totalt!$B$1:$BZ$1,0),FALSE)</f>
        <v>Ja</v>
      </c>
      <c r="BA245" s="32" t="str">
        <f t="shared" si="23"/>
        <v/>
      </c>
    </row>
    <row r="246" spans="1:53" x14ac:dyDescent="0.45">
      <c r="A246" s="31" t="s">
        <v>342</v>
      </c>
      <c r="B246" s="31" t="s">
        <v>355</v>
      </c>
      <c r="J246" s="31">
        <v>0</v>
      </c>
      <c r="K246" s="31">
        <v>0</v>
      </c>
      <c r="L246" s="31">
        <v>0</v>
      </c>
      <c r="M246" s="31">
        <v>0</v>
      </c>
      <c r="N246" s="31">
        <v>0</v>
      </c>
      <c r="O246" s="31">
        <v>0</v>
      </c>
      <c r="P246" s="31">
        <v>0</v>
      </c>
      <c r="Q246" s="31">
        <v>0</v>
      </c>
      <c r="R246" s="31">
        <v>0</v>
      </c>
      <c r="S246" s="31">
        <v>0</v>
      </c>
      <c r="T246" s="31">
        <v>0</v>
      </c>
      <c r="U246" s="31">
        <v>0</v>
      </c>
      <c r="W246" s="31">
        <v>0</v>
      </c>
      <c r="X246" s="31">
        <v>0</v>
      </c>
      <c r="Y246" s="31">
        <v>0</v>
      </c>
      <c r="Z246" s="31">
        <v>0</v>
      </c>
      <c r="AA246" s="31">
        <v>0</v>
      </c>
      <c r="AB246" s="31">
        <v>0</v>
      </c>
      <c r="AC246" s="31">
        <v>0</v>
      </c>
      <c r="AD246" s="31">
        <v>0</v>
      </c>
      <c r="AE246" s="31">
        <v>0</v>
      </c>
      <c r="AF246" s="31">
        <v>0</v>
      </c>
      <c r="AG246" s="31">
        <v>0</v>
      </c>
      <c r="AH246" s="31">
        <v>0</v>
      </c>
      <c r="AI246" s="31">
        <v>0</v>
      </c>
      <c r="AL246" s="31">
        <f t="shared" si="18"/>
        <v>0</v>
      </c>
      <c r="AM246" s="31">
        <f t="shared" si="19"/>
        <v>0</v>
      </c>
      <c r="AN246" s="31">
        <f t="shared" si="20"/>
        <v>0</v>
      </c>
      <c r="AP246" s="31">
        <f>VLOOKUP($B246,Kraftvärmeprod!$B$1:$BX$549,MATCH(AP$1,Kraftvärmeprod!$B$1:$BX$1,0),FALSE)</f>
        <v>0</v>
      </c>
      <c r="AQ246" s="31">
        <f>VLOOKUP($B246,Kraftvärmeprod!$B$1:$BX$549,MATCH(AQ$1,Kraftvärmeprod!$B$1:$BX$1,0),FALSE)</f>
        <v>0</v>
      </c>
      <c r="AR246" s="31">
        <f>VLOOKUP($B246,Kraftvärmeprod!$B$1:$BX$549,MATCH("Summa tillförd energi exklusive rökgaskondensering",Kraftvärmeprod!$B$1:$BX$1,0),FALSE)</f>
        <v>0</v>
      </c>
      <c r="AT246" s="32" t="str">
        <f t="shared" si="21"/>
        <v/>
      </c>
      <c r="AV246" s="31">
        <f t="shared" si="22"/>
        <v>0</v>
      </c>
      <c r="AX246" s="31" t="str">
        <f>VLOOKUP(B246,Totalt!$B$1:$BZ$554,MATCH(AX$1,Totalt!$B$1:$BZ$1,0),FALSE)</f>
        <v>Ja</v>
      </c>
      <c r="BA246" s="32" t="str">
        <f t="shared" si="23"/>
        <v/>
      </c>
    </row>
    <row r="247" spans="1:53" x14ac:dyDescent="0.45">
      <c r="A247" s="31" t="s">
        <v>342</v>
      </c>
      <c r="B247" s="31" t="s">
        <v>354</v>
      </c>
      <c r="J247" s="31">
        <v>0</v>
      </c>
      <c r="K247" s="31">
        <v>0</v>
      </c>
      <c r="L247" s="31">
        <v>0</v>
      </c>
      <c r="M247" s="31">
        <v>0</v>
      </c>
      <c r="N247" s="31">
        <v>0</v>
      </c>
      <c r="O247" s="31">
        <v>0</v>
      </c>
      <c r="P247" s="31">
        <v>0</v>
      </c>
      <c r="Q247" s="31">
        <v>0</v>
      </c>
      <c r="R247" s="31">
        <v>0</v>
      </c>
      <c r="S247" s="31">
        <v>0</v>
      </c>
      <c r="T247" s="31">
        <v>0</v>
      </c>
      <c r="U247" s="31">
        <v>0</v>
      </c>
      <c r="W247" s="31">
        <v>0</v>
      </c>
      <c r="X247" s="31">
        <v>0</v>
      </c>
      <c r="Y247" s="31">
        <v>0</v>
      </c>
      <c r="Z247" s="31">
        <v>0</v>
      </c>
      <c r="AA247" s="31">
        <v>0</v>
      </c>
      <c r="AB247" s="31">
        <v>0</v>
      </c>
      <c r="AC247" s="31">
        <v>0</v>
      </c>
      <c r="AD247" s="31">
        <v>0</v>
      </c>
      <c r="AE247" s="31">
        <v>0</v>
      </c>
      <c r="AF247" s="31">
        <v>0</v>
      </c>
      <c r="AG247" s="31">
        <v>0</v>
      </c>
      <c r="AH247" s="31">
        <v>0</v>
      </c>
      <c r="AI247" s="31">
        <v>0</v>
      </c>
      <c r="AL247" s="31">
        <f t="shared" si="18"/>
        <v>0</v>
      </c>
      <c r="AM247" s="31">
        <f t="shared" si="19"/>
        <v>0</v>
      </c>
      <c r="AN247" s="31">
        <f t="shared" si="20"/>
        <v>0</v>
      </c>
      <c r="AP247" s="31">
        <f>VLOOKUP($B247,Kraftvärmeprod!$B$1:$BX$549,MATCH(AP$1,Kraftvärmeprod!$B$1:$BX$1,0),FALSE)</f>
        <v>0</v>
      </c>
      <c r="AQ247" s="31">
        <f>VLOOKUP($B247,Kraftvärmeprod!$B$1:$BX$549,MATCH(AQ$1,Kraftvärmeprod!$B$1:$BX$1,0),FALSE)</f>
        <v>0</v>
      </c>
      <c r="AR247" s="31">
        <f>VLOOKUP($B247,Kraftvärmeprod!$B$1:$BX$549,MATCH("Summa tillförd energi exklusive rökgaskondensering",Kraftvärmeprod!$B$1:$BX$1,0),FALSE)</f>
        <v>0</v>
      </c>
      <c r="AT247" s="32" t="str">
        <f t="shared" si="21"/>
        <v/>
      </c>
      <c r="AV247" s="31">
        <f t="shared" si="22"/>
        <v>0</v>
      </c>
      <c r="AX247" s="31" t="str">
        <f>VLOOKUP(B247,Totalt!$B$1:$BZ$554,MATCH(AX$1,Totalt!$B$1:$BZ$1,0),FALSE)</f>
        <v>Ja</v>
      </c>
      <c r="BA247" s="32" t="str">
        <f t="shared" si="23"/>
        <v/>
      </c>
    </row>
    <row r="248" spans="1:53" x14ac:dyDescent="0.45">
      <c r="A248" s="31" t="s">
        <v>342</v>
      </c>
      <c r="B248" s="31" t="s">
        <v>353</v>
      </c>
      <c r="J248" s="31">
        <v>0</v>
      </c>
      <c r="K248" s="31">
        <v>0</v>
      </c>
      <c r="L248" s="31">
        <v>0</v>
      </c>
      <c r="M248" s="31">
        <v>0</v>
      </c>
      <c r="N248" s="31">
        <v>0</v>
      </c>
      <c r="O248" s="31">
        <v>0</v>
      </c>
      <c r="P248" s="31">
        <v>0</v>
      </c>
      <c r="Q248" s="31">
        <v>0</v>
      </c>
      <c r="R248" s="31">
        <v>0</v>
      </c>
      <c r="S248" s="31">
        <v>0</v>
      </c>
      <c r="T248" s="31">
        <v>0</v>
      </c>
      <c r="U248" s="31">
        <v>0</v>
      </c>
      <c r="W248" s="31">
        <v>0</v>
      </c>
      <c r="X248" s="31">
        <v>0</v>
      </c>
      <c r="Y248" s="31">
        <v>0</v>
      </c>
      <c r="Z248" s="31">
        <v>0</v>
      </c>
      <c r="AA248" s="31">
        <v>0</v>
      </c>
      <c r="AB248" s="31">
        <v>0</v>
      </c>
      <c r="AC248" s="31">
        <v>0</v>
      </c>
      <c r="AD248" s="31">
        <v>0</v>
      </c>
      <c r="AE248" s="31">
        <v>0</v>
      </c>
      <c r="AF248" s="31">
        <v>0</v>
      </c>
      <c r="AG248" s="31">
        <v>0</v>
      </c>
      <c r="AH248" s="31">
        <v>0</v>
      </c>
      <c r="AI248" s="31">
        <v>0</v>
      </c>
      <c r="AL248" s="31">
        <f t="shared" si="18"/>
        <v>0</v>
      </c>
      <c r="AM248" s="31">
        <f t="shared" si="19"/>
        <v>0</v>
      </c>
      <c r="AN248" s="31">
        <f t="shared" si="20"/>
        <v>0</v>
      </c>
      <c r="AP248" s="31">
        <f>VLOOKUP($B248,Kraftvärmeprod!$B$1:$BX$549,MATCH(AP$1,Kraftvärmeprod!$B$1:$BX$1,0),FALSE)</f>
        <v>0</v>
      </c>
      <c r="AQ248" s="31">
        <f>VLOOKUP($B248,Kraftvärmeprod!$B$1:$BX$549,MATCH(AQ$1,Kraftvärmeprod!$B$1:$BX$1,0),FALSE)</f>
        <v>0</v>
      </c>
      <c r="AR248" s="31">
        <f>VLOOKUP($B248,Kraftvärmeprod!$B$1:$BX$549,MATCH("Summa tillförd energi exklusive rökgaskondensering",Kraftvärmeprod!$B$1:$BX$1,0),FALSE)</f>
        <v>0</v>
      </c>
      <c r="AT248" s="32" t="str">
        <f t="shared" si="21"/>
        <v/>
      </c>
      <c r="AV248" s="31">
        <f t="shared" si="22"/>
        <v>0</v>
      </c>
      <c r="AX248" s="31" t="str">
        <f>VLOOKUP(B248,Totalt!$B$1:$BZ$554,MATCH(AX$1,Totalt!$B$1:$BZ$1,0),FALSE)</f>
        <v>Ja</v>
      </c>
      <c r="BA248" s="32" t="str">
        <f t="shared" si="23"/>
        <v/>
      </c>
    </row>
    <row r="249" spans="1:53" x14ac:dyDescent="0.45">
      <c r="A249" s="31" t="s">
        <v>342</v>
      </c>
      <c r="B249" s="31" t="s">
        <v>352</v>
      </c>
      <c r="J249" s="31">
        <v>0</v>
      </c>
      <c r="K249" s="31">
        <v>0</v>
      </c>
      <c r="L249" s="31">
        <v>0</v>
      </c>
      <c r="M249" s="31">
        <v>0</v>
      </c>
      <c r="N249" s="31">
        <v>0</v>
      </c>
      <c r="O249" s="31">
        <v>0</v>
      </c>
      <c r="P249" s="31">
        <v>0</v>
      </c>
      <c r="Q249" s="31">
        <v>0</v>
      </c>
      <c r="R249" s="31">
        <v>0</v>
      </c>
      <c r="S249" s="31">
        <v>0</v>
      </c>
      <c r="T249" s="31">
        <v>0</v>
      </c>
      <c r="U249" s="31">
        <v>0</v>
      </c>
      <c r="W249" s="31">
        <v>0</v>
      </c>
      <c r="X249" s="31">
        <v>0</v>
      </c>
      <c r="Y249" s="31">
        <v>0</v>
      </c>
      <c r="Z249" s="31">
        <v>0</v>
      </c>
      <c r="AA249" s="31">
        <v>0</v>
      </c>
      <c r="AB249" s="31">
        <v>0</v>
      </c>
      <c r="AC249" s="31">
        <v>0</v>
      </c>
      <c r="AD249" s="31">
        <v>0</v>
      </c>
      <c r="AE249" s="31">
        <v>0</v>
      </c>
      <c r="AF249" s="31">
        <v>0</v>
      </c>
      <c r="AG249" s="31">
        <v>0</v>
      </c>
      <c r="AH249" s="31">
        <v>0</v>
      </c>
      <c r="AI249" s="31">
        <v>0</v>
      </c>
      <c r="AL249" s="31">
        <f t="shared" si="18"/>
        <v>0</v>
      </c>
      <c r="AM249" s="31">
        <f t="shared" si="19"/>
        <v>0</v>
      </c>
      <c r="AN249" s="31">
        <f t="shared" si="20"/>
        <v>0</v>
      </c>
      <c r="AP249" s="31">
        <f>VLOOKUP($B249,Kraftvärmeprod!$B$1:$BX$549,MATCH(AP$1,Kraftvärmeprod!$B$1:$BX$1,0),FALSE)</f>
        <v>0</v>
      </c>
      <c r="AQ249" s="31">
        <f>VLOOKUP($B249,Kraftvärmeprod!$B$1:$BX$549,MATCH(AQ$1,Kraftvärmeprod!$B$1:$BX$1,0),FALSE)</f>
        <v>0</v>
      </c>
      <c r="AR249" s="31">
        <f>VLOOKUP($B249,Kraftvärmeprod!$B$1:$BX$549,MATCH("Summa tillförd energi exklusive rökgaskondensering",Kraftvärmeprod!$B$1:$BX$1,0),FALSE)</f>
        <v>0</v>
      </c>
      <c r="AT249" s="32" t="str">
        <f t="shared" si="21"/>
        <v/>
      </c>
      <c r="AV249" s="31">
        <f t="shared" si="22"/>
        <v>0</v>
      </c>
      <c r="AX249" s="31" t="str">
        <f>VLOOKUP(B249,Totalt!$B$1:$BZ$554,MATCH(AX$1,Totalt!$B$1:$BZ$1,0),FALSE)</f>
        <v>Ja</v>
      </c>
      <c r="BA249" s="32" t="str">
        <f t="shared" si="23"/>
        <v/>
      </c>
    </row>
    <row r="250" spans="1:53" x14ac:dyDescent="0.45">
      <c r="A250" s="31" t="s">
        <v>342</v>
      </c>
      <c r="B250" s="31" t="s">
        <v>351</v>
      </c>
      <c r="J250" s="31">
        <v>0</v>
      </c>
      <c r="K250" s="31">
        <v>0</v>
      </c>
      <c r="L250" s="31">
        <v>0</v>
      </c>
      <c r="M250" s="31">
        <v>0</v>
      </c>
      <c r="N250" s="31">
        <v>0</v>
      </c>
      <c r="O250" s="31">
        <v>0</v>
      </c>
      <c r="P250" s="31">
        <v>8.4982100000000003</v>
      </c>
      <c r="Q250" s="31">
        <v>28.494199999999999</v>
      </c>
      <c r="R250" s="31">
        <v>5.9289800000000001</v>
      </c>
      <c r="S250" s="31">
        <v>24.796600000000002</v>
      </c>
      <c r="T250" s="31">
        <v>0</v>
      </c>
      <c r="U250" s="31">
        <v>15.340199999999999</v>
      </c>
      <c r="W250" s="31">
        <v>0</v>
      </c>
      <c r="X250" s="31">
        <v>0</v>
      </c>
      <c r="Y250" s="31">
        <v>0</v>
      </c>
      <c r="Z250" s="31">
        <v>0</v>
      </c>
      <c r="AA250" s="31">
        <v>0</v>
      </c>
      <c r="AB250" s="31">
        <v>0</v>
      </c>
      <c r="AC250" s="31">
        <v>0</v>
      </c>
      <c r="AD250" s="31">
        <v>19.7194</v>
      </c>
      <c r="AE250" s="31">
        <v>0</v>
      </c>
      <c r="AF250" s="31">
        <v>0</v>
      </c>
      <c r="AG250" s="31">
        <v>0</v>
      </c>
      <c r="AH250" s="31">
        <v>0</v>
      </c>
      <c r="AI250" s="31">
        <v>3.2685300000000002</v>
      </c>
      <c r="AL250" s="31">
        <f t="shared" si="18"/>
        <v>106.04612</v>
      </c>
      <c r="AM250" s="31">
        <f t="shared" si="19"/>
        <v>102.77759</v>
      </c>
      <c r="AN250" s="31">
        <f t="shared" si="20"/>
        <v>102.77759</v>
      </c>
      <c r="AP250" s="31">
        <f>VLOOKUP($B250,Kraftvärmeprod!$B$1:$BX$549,MATCH(AP$1,Kraftvärmeprod!$B$1:$BX$1,0),FALSE)</f>
        <v>117.6</v>
      </c>
      <c r="AQ250" s="31">
        <f>VLOOKUP($B250,Kraftvärmeprod!$B$1:$BX$549,MATCH(AQ$1,Kraftvärmeprod!$B$1:$BX$1,0),FALSE)</f>
        <v>43.695</v>
      </c>
      <c r="AR250" s="31">
        <f>VLOOKUP($B250,Kraftvärmeprod!$B$1:$BX$549,MATCH("Summa tillförd energi exklusive rökgaskondensering",Kraftvärmeprod!$B$1:$BX$1,0),FALSE)</f>
        <v>199.35899999999998</v>
      </c>
      <c r="AT250" s="32">
        <f t="shared" si="21"/>
        <v>0.51554025652215352</v>
      </c>
      <c r="AV250" s="31">
        <f t="shared" si="22"/>
        <v>83.058189999999996</v>
      </c>
      <c r="AX250" s="31" t="str">
        <f>VLOOKUP(B250,Totalt!$B$1:$BZ$554,MATCH(AX$1,Totalt!$B$1:$BZ$1,0),FALSE)</f>
        <v>Ja</v>
      </c>
      <c r="BA250" s="32">
        <f t="shared" si="23"/>
        <v>1.1089514637593529</v>
      </c>
    </row>
    <row r="251" spans="1:53" x14ac:dyDescent="0.45">
      <c r="A251" s="31" t="s">
        <v>342</v>
      </c>
      <c r="B251" s="31" t="s">
        <v>350</v>
      </c>
      <c r="J251" s="31">
        <v>0</v>
      </c>
      <c r="K251" s="31">
        <v>0</v>
      </c>
      <c r="L251" s="31">
        <v>0</v>
      </c>
      <c r="M251" s="31">
        <v>0</v>
      </c>
      <c r="N251" s="31">
        <v>0</v>
      </c>
      <c r="O251" s="31">
        <v>0</v>
      </c>
      <c r="P251" s="31">
        <v>0</v>
      </c>
      <c r="Q251" s="31">
        <v>0</v>
      </c>
      <c r="R251" s="31">
        <v>0</v>
      </c>
      <c r="S251" s="31">
        <v>0</v>
      </c>
      <c r="T251" s="31">
        <v>0</v>
      </c>
      <c r="U251" s="31">
        <v>0</v>
      </c>
      <c r="W251" s="31">
        <v>0</v>
      </c>
      <c r="X251" s="31">
        <v>0</v>
      </c>
      <c r="Y251" s="31">
        <v>0</v>
      </c>
      <c r="Z251" s="31">
        <v>0</v>
      </c>
      <c r="AA251" s="31">
        <v>0</v>
      </c>
      <c r="AB251" s="31">
        <v>0</v>
      </c>
      <c r="AC251" s="31">
        <v>0</v>
      </c>
      <c r="AD251" s="31">
        <v>0</v>
      </c>
      <c r="AE251" s="31">
        <v>0</v>
      </c>
      <c r="AF251" s="31">
        <v>0</v>
      </c>
      <c r="AG251" s="31">
        <v>0</v>
      </c>
      <c r="AH251" s="31">
        <v>0</v>
      </c>
      <c r="AI251" s="31">
        <v>0</v>
      </c>
      <c r="AL251" s="31">
        <f t="shared" si="18"/>
        <v>0</v>
      </c>
      <c r="AM251" s="31">
        <f t="shared" si="19"/>
        <v>0</v>
      </c>
      <c r="AN251" s="31">
        <f t="shared" si="20"/>
        <v>0</v>
      </c>
      <c r="AP251" s="31">
        <f>VLOOKUP($B251,Kraftvärmeprod!$B$1:$BX$549,MATCH(AP$1,Kraftvärmeprod!$B$1:$BX$1,0),FALSE)</f>
        <v>0</v>
      </c>
      <c r="AQ251" s="31">
        <f>VLOOKUP($B251,Kraftvärmeprod!$B$1:$BX$549,MATCH(AQ$1,Kraftvärmeprod!$B$1:$BX$1,0),FALSE)</f>
        <v>0</v>
      </c>
      <c r="AR251" s="31">
        <f>VLOOKUP($B251,Kraftvärmeprod!$B$1:$BX$549,MATCH("Summa tillförd energi exklusive rökgaskondensering",Kraftvärmeprod!$B$1:$BX$1,0),FALSE)</f>
        <v>0</v>
      </c>
      <c r="AT251" s="32" t="str">
        <f t="shared" si="21"/>
        <v/>
      </c>
      <c r="AV251" s="31">
        <f t="shared" si="22"/>
        <v>0</v>
      </c>
      <c r="AX251" s="31" t="str">
        <f>VLOOKUP(B251,Totalt!$B$1:$BZ$554,MATCH(AX$1,Totalt!$B$1:$BZ$1,0),FALSE)</f>
        <v>Ja</v>
      </c>
      <c r="BA251" s="32" t="str">
        <f t="shared" si="23"/>
        <v/>
      </c>
    </row>
    <row r="252" spans="1:53" x14ac:dyDescent="0.45">
      <c r="A252" s="31" t="s">
        <v>342</v>
      </c>
      <c r="B252" s="31" t="s">
        <v>349</v>
      </c>
      <c r="J252" s="31">
        <v>0</v>
      </c>
      <c r="K252" s="31">
        <v>5.86039E-2</v>
      </c>
      <c r="L252" s="31">
        <v>0</v>
      </c>
      <c r="M252" s="31">
        <v>0</v>
      </c>
      <c r="N252" s="31">
        <v>0</v>
      </c>
      <c r="O252" s="31">
        <v>0</v>
      </c>
      <c r="P252" s="31">
        <v>0</v>
      </c>
      <c r="Q252" s="31">
        <v>0</v>
      </c>
      <c r="R252" s="31">
        <v>0</v>
      </c>
      <c r="S252" s="31">
        <v>68.524500000000003</v>
      </c>
      <c r="T252" s="31">
        <v>0</v>
      </c>
      <c r="U252" s="31">
        <v>0</v>
      </c>
      <c r="W252" s="31">
        <v>0</v>
      </c>
      <c r="X252" s="31">
        <v>0</v>
      </c>
      <c r="Y252" s="31">
        <v>0</v>
      </c>
      <c r="Z252" s="31">
        <v>0</v>
      </c>
      <c r="AA252" s="31">
        <v>0</v>
      </c>
      <c r="AB252" s="31">
        <v>0</v>
      </c>
      <c r="AC252" s="31">
        <v>0</v>
      </c>
      <c r="AD252" s="31">
        <v>0</v>
      </c>
      <c r="AE252" s="31">
        <v>0</v>
      </c>
      <c r="AF252" s="31">
        <v>0</v>
      </c>
      <c r="AG252" s="31">
        <v>0</v>
      </c>
      <c r="AH252" s="31">
        <v>0</v>
      </c>
      <c r="AI252" s="31">
        <v>2.7717999999999998</v>
      </c>
      <c r="AL252" s="31">
        <f t="shared" si="18"/>
        <v>71.354903899999996</v>
      </c>
      <c r="AM252" s="31">
        <f t="shared" si="19"/>
        <v>68.583103899999998</v>
      </c>
      <c r="AN252" s="31">
        <f t="shared" si="20"/>
        <v>68.583103899999998</v>
      </c>
      <c r="AP252" s="31">
        <f>VLOOKUP($B252,Kraftvärmeprod!$B$1:$BX$549,MATCH(AP$1,Kraftvärmeprod!$B$1:$BX$1,0),FALSE)</f>
        <v>82.441999999999993</v>
      </c>
      <c r="AQ252" s="31">
        <f>VLOOKUP($B252,Kraftvärmeprod!$B$1:$BX$549,MATCH(AQ$1,Kraftvärmeprod!$B$1:$BX$1,0),FALSE)</f>
        <v>18.358000000000001</v>
      </c>
      <c r="AR252" s="31">
        <f>VLOOKUP($B252,Kraftvärmeprod!$B$1:$BX$549,MATCH("Summa tillförd energi exklusive rökgaskondensering",Kraftvärmeprod!$B$1:$BX$1,0),FALSE)</f>
        <v>108.375</v>
      </c>
      <c r="AT252" s="32">
        <f t="shared" si="21"/>
        <v>0.63283140853517872</v>
      </c>
      <c r="AV252" s="31">
        <f t="shared" si="22"/>
        <v>68.524500000000003</v>
      </c>
      <c r="AX252" s="31" t="str">
        <f>VLOOKUP(B252,Totalt!$B$1:$BZ$554,MATCH(AX$1,Totalt!$B$1:$BZ$1,0),FALSE)</f>
        <v>Ja</v>
      </c>
      <c r="BA252" s="32">
        <f t="shared" si="23"/>
        <v>1.1553795954310015</v>
      </c>
    </row>
    <row r="253" spans="1:53" x14ac:dyDescent="0.45">
      <c r="A253" s="31" t="s">
        <v>342</v>
      </c>
      <c r="B253" s="31" t="s">
        <v>348</v>
      </c>
      <c r="J253" s="31">
        <v>0</v>
      </c>
      <c r="K253" s="31">
        <v>0</v>
      </c>
      <c r="L253" s="31">
        <v>0</v>
      </c>
      <c r="M253" s="31">
        <v>0</v>
      </c>
      <c r="N253" s="31">
        <v>0</v>
      </c>
      <c r="O253" s="31">
        <v>0</v>
      </c>
      <c r="P253" s="31">
        <v>0</v>
      </c>
      <c r="Q253" s="31">
        <v>0</v>
      </c>
      <c r="R253" s="31">
        <v>0</v>
      </c>
      <c r="S253" s="31">
        <v>0</v>
      </c>
      <c r="T253" s="31">
        <v>0</v>
      </c>
      <c r="U253" s="31">
        <v>0</v>
      </c>
      <c r="W253" s="31">
        <v>0</v>
      </c>
      <c r="X253" s="31">
        <v>0</v>
      </c>
      <c r="Y253" s="31">
        <v>0</v>
      </c>
      <c r="Z253" s="31">
        <v>0</v>
      </c>
      <c r="AA253" s="31">
        <v>0</v>
      </c>
      <c r="AB253" s="31">
        <v>0</v>
      </c>
      <c r="AC253" s="31">
        <v>0</v>
      </c>
      <c r="AD253" s="31">
        <v>0</v>
      </c>
      <c r="AE253" s="31">
        <v>0</v>
      </c>
      <c r="AF253" s="31">
        <v>0</v>
      </c>
      <c r="AG253" s="31">
        <v>0</v>
      </c>
      <c r="AH253" s="31">
        <v>0</v>
      </c>
      <c r="AI253" s="31">
        <v>0</v>
      </c>
      <c r="AL253" s="31">
        <f t="shared" si="18"/>
        <v>0</v>
      </c>
      <c r="AM253" s="31">
        <f t="shared" si="19"/>
        <v>0</v>
      </c>
      <c r="AN253" s="31">
        <f t="shared" si="20"/>
        <v>0</v>
      </c>
      <c r="AP253" s="31">
        <f>VLOOKUP($B253,Kraftvärmeprod!$B$1:$BX$549,MATCH(AP$1,Kraftvärmeprod!$B$1:$BX$1,0),FALSE)</f>
        <v>0</v>
      </c>
      <c r="AQ253" s="31">
        <f>VLOOKUP($B253,Kraftvärmeprod!$B$1:$BX$549,MATCH(AQ$1,Kraftvärmeprod!$B$1:$BX$1,0),FALSE)</f>
        <v>0</v>
      </c>
      <c r="AR253" s="31">
        <f>VLOOKUP($B253,Kraftvärmeprod!$B$1:$BX$549,MATCH("Summa tillförd energi exklusive rökgaskondensering",Kraftvärmeprod!$B$1:$BX$1,0),FALSE)</f>
        <v>0</v>
      </c>
      <c r="AT253" s="32" t="str">
        <f t="shared" si="21"/>
        <v/>
      </c>
      <c r="AV253" s="31">
        <f t="shared" si="22"/>
        <v>0</v>
      </c>
      <c r="AX253" s="31" t="str">
        <f>VLOOKUP(B253,Totalt!$B$1:$BZ$554,MATCH(AX$1,Totalt!$B$1:$BZ$1,0),FALSE)</f>
        <v>Ja</v>
      </c>
      <c r="BA253" s="32" t="str">
        <f t="shared" si="23"/>
        <v/>
      </c>
    </row>
    <row r="254" spans="1:53" x14ac:dyDescent="0.45">
      <c r="A254" s="31" t="s">
        <v>342</v>
      </c>
      <c r="B254" s="31" t="s">
        <v>347</v>
      </c>
      <c r="J254" s="31">
        <v>0</v>
      </c>
      <c r="K254" s="31">
        <v>0</v>
      </c>
      <c r="L254" s="31">
        <v>0</v>
      </c>
      <c r="M254" s="31">
        <v>0</v>
      </c>
      <c r="N254" s="31">
        <v>0</v>
      </c>
      <c r="O254" s="31">
        <v>0</v>
      </c>
      <c r="P254" s="31">
        <v>0</v>
      </c>
      <c r="Q254" s="31">
        <v>0</v>
      </c>
      <c r="R254" s="31">
        <v>0</v>
      </c>
      <c r="S254" s="31">
        <v>0</v>
      </c>
      <c r="T254" s="31">
        <v>0</v>
      </c>
      <c r="U254" s="31">
        <v>0</v>
      </c>
      <c r="W254" s="31">
        <v>0</v>
      </c>
      <c r="X254" s="31">
        <v>0</v>
      </c>
      <c r="Y254" s="31">
        <v>0</v>
      </c>
      <c r="Z254" s="31">
        <v>0</v>
      </c>
      <c r="AA254" s="31">
        <v>0</v>
      </c>
      <c r="AB254" s="31">
        <v>0</v>
      </c>
      <c r="AC254" s="31">
        <v>0</v>
      </c>
      <c r="AD254" s="31">
        <v>0</v>
      </c>
      <c r="AE254" s="31">
        <v>0</v>
      </c>
      <c r="AF254" s="31">
        <v>0</v>
      </c>
      <c r="AG254" s="31">
        <v>0</v>
      </c>
      <c r="AH254" s="31">
        <v>0</v>
      </c>
      <c r="AI254" s="31">
        <v>0</v>
      </c>
      <c r="AL254" s="31">
        <f t="shared" si="18"/>
        <v>0</v>
      </c>
      <c r="AM254" s="31">
        <f t="shared" si="19"/>
        <v>0</v>
      </c>
      <c r="AN254" s="31">
        <f t="shared" si="20"/>
        <v>0</v>
      </c>
      <c r="AP254" s="31">
        <f>VLOOKUP($B254,Kraftvärmeprod!$B$1:$BX$549,MATCH(AP$1,Kraftvärmeprod!$B$1:$BX$1,0),FALSE)</f>
        <v>0</v>
      </c>
      <c r="AQ254" s="31">
        <f>VLOOKUP($B254,Kraftvärmeprod!$B$1:$BX$549,MATCH(AQ$1,Kraftvärmeprod!$B$1:$BX$1,0),FALSE)</f>
        <v>0</v>
      </c>
      <c r="AR254" s="31">
        <f>VLOOKUP($B254,Kraftvärmeprod!$B$1:$BX$549,MATCH("Summa tillförd energi exklusive rökgaskondensering",Kraftvärmeprod!$B$1:$BX$1,0),FALSE)</f>
        <v>0</v>
      </c>
      <c r="AT254" s="32" t="str">
        <f t="shared" si="21"/>
        <v/>
      </c>
      <c r="AV254" s="31">
        <f t="shared" si="22"/>
        <v>0</v>
      </c>
      <c r="AX254" s="31" t="str">
        <f>VLOOKUP(B254,Totalt!$B$1:$BZ$554,MATCH(AX$1,Totalt!$B$1:$BZ$1,0),FALSE)</f>
        <v>Ja</v>
      </c>
      <c r="BA254" s="32" t="str">
        <f t="shared" si="23"/>
        <v/>
      </c>
    </row>
    <row r="255" spans="1:53" x14ac:dyDescent="0.45">
      <c r="A255" s="31" t="s">
        <v>342</v>
      </c>
      <c r="B255" s="31" t="s">
        <v>346</v>
      </c>
      <c r="J255" s="31">
        <v>0</v>
      </c>
      <c r="K255" s="31">
        <v>0.24912500000000001</v>
      </c>
      <c r="L255" s="31">
        <v>0</v>
      </c>
      <c r="M255" s="31">
        <v>0</v>
      </c>
      <c r="N255" s="31">
        <v>0</v>
      </c>
      <c r="O255" s="31">
        <v>0</v>
      </c>
      <c r="P255" s="31">
        <v>30.633600000000001</v>
      </c>
      <c r="Q255" s="31">
        <v>51.771700000000003</v>
      </c>
      <c r="R255" s="31">
        <v>9.6386000000000003</v>
      </c>
      <c r="S255" s="31">
        <v>57.211300000000001</v>
      </c>
      <c r="T255" s="31">
        <v>0</v>
      </c>
      <c r="U255" s="31">
        <v>38.051000000000002</v>
      </c>
      <c r="W255" s="31">
        <v>0</v>
      </c>
      <c r="X255" s="31">
        <v>0</v>
      </c>
      <c r="Y255" s="31">
        <v>0</v>
      </c>
      <c r="Z255" s="31">
        <v>0</v>
      </c>
      <c r="AA255" s="31">
        <v>0</v>
      </c>
      <c r="AB255" s="31">
        <v>0</v>
      </c>
      <c r="AC255" s="31">
        <v>0</v>
      </c>
      <c r="AD255" s="31">
        <v>30.2958</v>
      </c>
      <c r="AE255" s="31">
        <v>0</v>
      </c>
      <c r="AF255" s="31">
        <v>0</v>
      </c>
      <c r="AG255" s="31">
        <v>0</v>
      </c>
      <c r="AH255" s="31">
        <v>72.900000000000006</v>
      </c>
      <c r="AI255" s="31">
        <v>8.8802400000000006</v>
      </c>
      <c r="AL255" s="31">
        <f t="shared" si="18"/>
        <v>299.63136500000002</v>
      </c>
      <c r="AM255" s="31">
        <f t="shared" si="19"/>
        <v>290.751125</v>
      </c>
      <c r="AN255" s="31">
        <f t="shared" si="20"/>
        <v>217.851125</v>
      </c>
      <c r="AP255" s="31">
        <f>VLOOKUP($B255,Kraftvärmeprod!$B$1:$BX$549,MATCH(AP$1,Kraftvärmeprod!$B$1:$BX$1,0),FALSE)</f>
        <v>272.65699999999998</v>
      </c>
      <c r="AQ255" s="31">
        <f>VLOOKUP($B255,Kraftvärmeprod!$B$1:$BX$549,MATCH(AQ$1,Kraftvärmeprod!$B$1:$BX$1,0),FALSE)</f>
        <v>114.64100000000001</v>
      </c>
      <c r="AR255" s="31">
        <f>VLOOKUP($B255,Kraftvärmeprod!$B$1:$BX$549,MATCH("Summa tillförd energi exklusive rökgaskondensering",Kraftvärmeprod!$B$1:$BX$1,0),FALSE)</f>
        <v>451.39099999999996</v>
      </c>
      <c r="AT255" s="32">
        <f t="shared" si="21"/>
        <v>0.48262177358432051</v>
      </c>
      <c r="AV255" s="31">
        <f t="shared" si="22"/>
        <v>187.30619999999999</v>
      </c>
      <c r="AX255" s="31" t="str">
        <f>VLOOKUP(B255,Totalt!$B$1:$BZ$554,MATCH(AX$1,Totalt!$B$1:$BZ$1,0),FALSE)</f>
        <v>Ja</v>
      </c>
      <c r="BA255" s="32">
        <f t="shared" si="23"/>
        <v>1.2025552794603429</v>
      </c>
    </row>
    <row r="256" spans="1:53" x14ac:dyDescent="0.45">
      <c r="A256" s="31" t="s">
        <v>342</v>
      </c>
      <c r="B256" s="31" t="s">
        <v>345</v>
      </c>
      <c r="J256" s="31">
        <v>0</v>
      </c>
      <c r="K256" s="31">
        <v>0</v>
      </c>
      <c r="L256" s="31">
        <v>0</v>
      </c>
      <c r="M256" s="31">
        <v>0</v>
      </c>
      <c r="N256" s="31">
        <v>0</v>
      </c>
      <c r="O256" s="31">
        <v>0</v>
      </c>
      <c r="P256" s="31">
        <v>0</v>
      </c>
      <c r="Q256" s="31">
        <v>0</v>
      </c>
      <c r="R256" s="31">
        <v>0</v>
      </c>
      <c r="S256" s="31">
        <v>0</v>
      </c>
      <c r="T256" s="31">
        <v>0</v>
      </c>
      <c r="U256" s="31">
        <v>0</v>
      </c>
      <c r="W256" s="31">
        <v>0</v>
      </c>
      <c r="X256" s="31">
        <v>0</v>
      </c>
      <c r="Y256" s="31">
        <v>0</v>
      </c>
      <c r="Z256" s="31">
        <v>0</v>
      </c>
      <c r="AA256" s="31">
        <v>0</v>
      </c>
      <c r="AB256" s="31">
        <v>0</v>
      </c>
      <c r="AC256" s="31">
        <v>0</v>
      </c>
      <c r="AD256" s="31">
        <v>0</v>
      </c>
      <c r="AE256" s="31">
        <v>0</v>
      </c>
      <c r="AF256" s="31">
        <v>0</v>
      </c>
      <c r="AG256" s="31">
        <v>0</v>
      </c>
      <c r="AH256" s="31">
        <v>0</v>
      </c>
      <c r="AI256" s="31">
        <v>0</v>
      </c>
      <c r="AL256" s="31">
        <f t="shared" si="18"/>
        <v>0</v>
      </c>
      <c r="AM256" s="31">
        <f t="shared" si="19"/>
        <v>0</v>
      </c>
      <c r="AN256" s="31">
        <f t="shared" si="20"/>
        <v>0</v>
      </c>
      <c r="AP256" s="31">
        <f>VLOOKUP($B256,Kraftvärmeprod!$B$1:$BX$549,MATCH(AP$1,Kraftvärmeprod!$B$1:$BX$1,0),FALSE)</f>
        <v>0</v>
      </c>
      <c r="AQ256" s="31">
        <f>VLOOKUP($B256,Kraftvärmeprod!$B$1:$BX$549,MATCH(AQ$1,Kraftvärmeprod!$B$1:$BX$1,0),FALSE)</f>
        <v>0</v>
      </c>
      <c r="AR256" s="31">
        <f>VLOOKUP($B256,Kraftvärmeprod!$B$1:$BX$549,MATCH("Summa tillförd energi exklusive rökgaskondensering",Kraftvärmeprod!$B$1:$BX$1,0),FALSE)</f>
        <v>0</v>
      </c>
      <c r="AT256" s="32" t="str">
        <f t="shared" si="21"/>
        <v/>
      </c>
      <c r="AV256" s="31">
        <f t="shared" si="22"/>
        <v>0</v>
      </c>
      <c r="AX256" s="31" t="str">
        <f>VLOOKUP(B256,Totalt!$B$1:$BZ$554,MATCH(AX$1,Totalt!$B$1:$BZ$1,0),FALSE)</f>
        <v>Ja</v>
      </c>
      <c r="BA256" s="32" t="str">
        <f t="shared" si="23"/>
        <v/>
      </c>
    </row>
    <row r="257" spans="1:53" x14ac:dyDescent="0.45">
      <c r="A257" s="31" t="s">
        <v>342</v>
      </c>
      <c r="B257" s="31" t="s">
        <v>344</v>
      </c>
      <c r="J257" s="31">
        <v>0</v>
      </c>
      <c r="K257" s="31">
        <v>0</v>
      </c>
      <c r="L257" s="31">
        <v>0</v>
      </c>
      <c r="M257" s="31">
        <v>0</v>
      </c>
      <c r="N257" s="31">
        <v>0</v>
      </c>
      <c r="O257" s="31">
        <v>0</v>
      </c>
      <c r="P257" s="31">
        <v>0</v>
      </c>
      <c r="Q257" s="31">
        <v>0</v>
      </c>
      <c r="R257" s="31">
        <v>0</v>
      </c>
      <c r="S257" s="31">
        <v>0</v>
      </c>
      <c r="T257" s="31">
        <v>0</v>
      </c>
      <c r="U257" s="31">
        <v>0</v>
      </c>
      <c r="W257" s="31">
        <v>0</v>
      </c>
      <c r="X257" s="31">
        <v>0</v>
      </c>
      <c r="Y257" s="31">
        <v>0</v>
      </c>
      <c r="Z257" s="31">
        <v>0</v>
      </c>
      <c r="AA257" s="31">
        <v>0</v>
      </c>
      <c r="AB257" s="31">
        <v>0</v>
      </c>
      <c r="AC257" s="31">
        <v>0</v>
      </c>
      <c r="AD257" s="31">
        <v>0</v>
      </c>
      <c r="AE257" s="31">
        <v>0</v>
      </c>
      <c r="AF257" s="31">
        <v>0</v>
      </c>
      <c r="AG257" s="31">
        <v>0</v>
      </c>
      <c r="AH257" s="31">
        <v>0</v>
      </c>
      <c r="AI257" s="31">
        <v>0</v>
      </c>
      <c r="AL257" s="31">
        <f t="shared" si="18"/>
        <v>0</v>
      </c>
      <c r="AM257" s="31">
        <f t="shared" si="19"/>
        <v>0</v>
      </c>
      <c r="AN257" s="31">
        <f t="shared" si="20"/>
        <v>0</v>
      </c>
      <c r="AP257" s="31">
        <f>VLOOKUP($B257,Kraftvärmeprod!$B$1:$BX$549,MATCH(AP$1,Kraftvärmeprod!$B$1:$BX$1,0),FALSE)</f>
        <v>0</v>
      </c>
      <c r="AQ257" s="31">
        <f>VLOOKUP($B257,Kraftvärmeprod!$B$1:$BX$549,MATCH(AQ$1,Kraftvärmeprod!$B$1:$BX$1,0),FALSE)</f>
        <v>0</v>
      </c>
      <c r="AR257" s="31">
        <f>VLOOKUP($B257,Kraftvärmeprod!$B$1:$BX$549,MATCH("Summa tillförd energi exklusive rökgaskondensering",Kraftvärmeprod!$B$1:$BX$1,0),FALSE)</f>
        <v>0</v>
      </c>
      <c r="AT257" s="32" t="str">
        <f t="shared" si="21"/>
        <v/>
      </c>
      <c r="AV257" s="31">
        <f t="shared" si="22"/>
        <v>0</v>
      </c>
      <c r="AX257" s="31" t="str">
        <f>VLOOKUP(B257,Totalt!$B$1:$BZ$554,MATCH(AX$1,Totalt!$B$1:$BZ$1,0),FALSE)</f>
        <v>Ja</v>
      </c>
      <c r="BA257" s="32" t="str">
        <f t="shared" si="23"/>
        <v/>
      </c>
    </row>
    <row r="258" spans="1:53" x14ac:dyDescent="0.45">
      <c r="A258" s="31" t="s">
        <v>342</v>
      </c>
      <c r="B258" s="31" t="s">
        <v>343</v>
      </c>
      <c r="J258" s="31">
        <v>0</v>
      </c>
      <c r="K258" s="31">
        <v>0</v>
      </c>
      <c r="L258" s="31">
        <v>0</v>
      </c>
      <c r="M258" s="31">
        <v>0</v>
      </c>
      <c r="N258" s="31">
        <v>0</v>
      </c>
      <c r="O258" s="31">
        <v>0</v>
      </c>
      <c r="P258" s="31">
        <v>0</v>
      </c>
      <c r="Q258" s="31">
        <v>0</v>
      </c>
      <c r="R258" s="31">
        <v>0</v>
      </c>
      <c r="S258" s="31">
        <v>0</v>
      </c>
      <c r="T258" s="31">
        <v>0</v>
      </c>
      <c r="U258" s="31">
        <v>0</v>
      </c>
      <c r="W258" s="31">
        <v>0</v>
      </c>
      <c r="X258" s="31">
        <v>0</v>
      </c>
      <c r="Y258" s="31">
        <v>0</v>
      </c>
      <c r="Z258" s="31">
        <v>0</v>
      </c>
      <c r="AA258" s="31">
        <v>0</v>
      </c>
      <c r="AB258" s="31">
        <v>0</v>
      </c>
      <c r="AC258" s="31">
        <v>0</v>
      </c>
      <c r="AD258" s="31">
        <v>0</v>
      </c>
      <c r="AE258" s="31">
        <v>0</v>
      </c>
      <c r="AF258" s="31">
        <v>0</v>
      </c>
      <c r="AG258" s="31">
        <v>0</v>
      </c>
      <c r="AH258" s="31">
        <v>0</v>
      </c>
      <c r="AI258" s="31">
        <v>0</v>
      </c>
      <c r="AL258" s="31">
        <f t="shared" ref="AL258:AL321" si="24">SUM(J258:U258,W258:AI258)</f>
        <v>0</v>
      </c>
      <c r="AM258" s="31">
        <f t="shared" ref="AM258:AM321" si="25">AL258-IFERROR(AI258/1,0)</f>
        <v>0</v>
      </c>
      <c r="AN258" s="31">
        <f t="shared" ref="AN258:AN321" si="26">AM258-IFERROR(AH258/1,0)</f>
        <v>0</v>
      </c>
      <c r="AP258" s="31">
        <f>VLOOKUP($B258,Kraftvärmeprod!$B$1:$BX$549,MATCH(AP$1,Kraftvärmeprod!$B$1:$BX$1,0),FALSE)</f>
        <v>0</v>
      </c>
      <c r="AQ258" s="31">
        <f>VLOOKUP($B258,Kraftvärmeprod!$B$1:$BX$549,MATCH(AQ$1,Kraftvärmeprod!$B$1:$BX$1,0),FALSE)</f>
        <v>0</v>
      </c>
      <c r="AR258" s="31">
        <f>VLOOKUP($B258,Kraftvärmeprod!$B$1:$BX$549,MATCH("Summa tillförd energi exklusive rökgaskondensering",Kraftvärmeprod!$B$1:$BX$1,0),FALSE)</f>
        <v>0</v>
      </c>
      <c r="AT258" s="32" t="str">
        <f t="shared" ref="AT258:AT321" si="27">IF(AN258=0,"",AN258/AR258)</f>
        <v/>
      </c>
      <c r="AV258" s="31">
        <f t="shared" ref="AV258:AV321" si="28">Q258+R258+S258+T258+U258+P258+X258+Y258+Z258+AA258+AB258+AC258+W258</f>
        <v>0</v>
      </c>
      <c r="AX258" s="31" t="str">
        <f>VLOOKUP(B258,Totalt!$B$1:$BZ$554,MATCH(AX$1,Totalt!$B$1:$BZ$1,0),FALSE)</f>
        <v>Ja</v>
      </c>
      <c r="BA258" s="32" t="str">
        <f t="shared" ref="BA258:BA321" si="29">IFERROR(AP258/(AN258+AI258),"")</f>
        <v/>
      </c>
    </row>
    <row r="259" spans="1:53" x14ac:dyDescent="0.45">
      <c r="A259" s="31" t="s">
        <v>342</v>
      </c>
      <c r="B259" s="31" t="s">
        <v>341</v>
      </c>
      <c r="J259" s="31">
        <v>0</v>
      </c>
      <c r="K259" s="31">
        <v>0</v>
      </c>
      <c r="L259" s="31">
        <v>0</v>
      </c>
      <c r="M259" s="31">
        <v>0</v>
      </c>
      <c r="N259" s="31">
        <v>0</v>
      </c>
      <c r="O259" s="31">
        <v>0</v>
      </c>
      <c r="P259" s="31">
        <v>0</v>
      </c>
      <c r="Q259" s="31">
        <v>0</v>
      </c>
      <c r="R259" s="31">
        <v>0</v>
      </c>
      <c r="S259" s="31">
        <v>0</v>
      </c>
      <c r="T259" s="31">
        <v>0</v>
      </c>
      <c r="U259" s="31">
        <v>0</v>
      </c>
      <c r="W259" s="31">
        <v>0</v>
      </c>
      <c r="X259" s="31">
        <v>0</v>
      </c>
      <c r="Y259" s="31">
        <v>0</v>
      </c>
      <c r="Z259" s="31">
        <v>0</v>
      </c>
      <c r="AA259" s="31">
        <v>0</v>
      </c>
      <c r="AB259" s="31">
        <v>0</v>
      </c>
      <c r="AC259" s="31">
        <v>0</v>
      </c>
      <c r="AD259" s="31">
        <v>0</v>
      </c>
      <c r="AE259" s="31">
        <v>0</v>
      </c>
      <c r="AF259" s="31">
        <v>0</v>
      </c>
      <c r="AG259" s="31">
        <v>0</v>
      </c>
      <c r="AH259" s="31">
        <v>0</v>
      </c>
      <c r="AI259" s="31">
        <v>0</v>
      </c>
      <c r="AL259" s="31">
        <f t="shared" si="24"/>
        <v>0</v>
      </c>
      <c r="AM259" s="31">
        <f t="shared" si="25"/>
        <v>0</v>
      </c>
      <c r="AN259" s="31">
        <f t="shared" si="26"/>
        <v>0</v>
      </c>
      <c r="AP259" s="31">
        <f>VLOOKUP($B259,Kraftvärmeprod!$B$1:$BX$549,MATCH(AP$1,Kraftvärmeprod!$B$1:$BX$1,0),FALSE)</f>
        <v>0</v>
      </c>
      <c r="AQ259" s="31">
        <f>VLOOKUP($B259,Kraftvärmeprod!$B$1:$BX$549,MATCH(AQ$1,Kraftvärmeprod!$B$1:$BX$1,0),FALSE)</f>
        <v>0</v>
      </c>
      <c r="AR259" s="31">
        <f>VLOOKUP($B259,Kraftvärmeprod!$B$1:$BX$549,MATCH("Summa tillförd energi exklusive rökgaskondensering",Kraftvärmeprod!$B$1:$BX$1,0),FALSE)</f>
        <v>0</v>
      </c>
      <c r="AT259" s="32" t="str">
        <f t="shared" si="27"/>
        <v/>
      </c>
      <c r="AV259" s="31">
        <f t="shared" si="28"/>
        <v>0</v>
      </c>
      <c r="AX259" s="31" t="str">
        <f>VLOOKUP(B259,Totalt!$B$1:$BZ$554,MATCH(AX$1,Totalt!$B$1:$BZ$1,0),FALSE)</f>
        <v>Ja</v>
      </c>
      <c r="BA259" s="32" t="str">
        <f t="shared" si="29"/>
        <v/>
      </c>
    </row>
    <row r="260" spans="1:53" x14ac:dyDescent="0.45">
      <c r="A260" s="31" t="s">
        <v>336</v>
      </c>
      <c r="B260" s="31" t="s">
        <v>340</v>
      </c>
      <c r="J260" s="31">
        <v>0</v>
      </c>
      <c r="K260" s="31">
        <v>0</v>
      </c>
      <c r="L260" s="31">
        <v>0</v>
      </c>
      <c r="M260" s="31">
        <v>0</v>
      </c>
      <c r="N260" s="31">
        <v>0</v>
      </c>
      <c r="O260" s="31">
        <v>0</v>
      </c>
      <c r="P260" s="31">
        <v>0</v>
      </c>
      <c r="Q260" s="31">
        <v>0</v>
      </c>
      <c r="R260" s="31">
        <v>0</v>
      </c>
      <c r="S260" s="31">
        <v>0</v>
      </c>
      <c r="T260" s="31">
        <v>0</v>
      </c>
      <c r="U260" s="31">
        <v>0</v>
      </c>
      <c r="W260" s="31">
        <v>0</v>
      </c>
      <c r="X260" s="31">
        <v>0</v>
      </c>
      <c r="Y260" s="31">
        <v>0</v>
      </c>
      <c r="Z260" s="31">
        <v>0</v>
      </c>
      <c r="AA260" s="31">
        <v>0</v>
      </c>
      <c r="AB260" s="31">
        <v>0</v>
      </c>
      <c r="AC260" s="31">
        <v>0</v>
      </c>
      <c r="AD260" s="31">
        <v>0</v>
      </c>
      <c r="AE260" s="31">
        <v>0</v>
      </c>
      <c r="AF260" s="31">
        <v>0</v>
      </c>
      <c r="AG260" s="31">
        <v>0</v>
      </c>
      <c r="AH260" s="31">
        <v>0</v>
      </c>
      <c r="AI260" s="31">
        <v>0</v>
      </c>
      <c r="AL260" s="31">
        <f t="shared" si="24"/>
        <v>0</v>
      </c>
      <c r="AM260" s="31">
        <f t="shared" si="25"/>
        <v>0</v>
      </c>
      <c r="AN260" s="31">
        <f t="shared" si="26"/>
        <v>0</v>
      </c>
      <c r="AP260" s="31">
        <f>VLOOKUP($B260,Kraftvärmeprod!$B$1:$BX$549,MATCH(AP$1,Kraftvärmeprod!$B$1:$BX$1,0),FALSE)</f>
        <v>0</v>
      </c>
      <c r="AQ260" s="31">
        <f>VLOOKUP($B260,Kraftvärmeprod!$B$1:$BX$549,MATCH(AQ$1,Kraftvärmeprod!$B$1:$BX$1,0),FALSE)</f>
        <v>0</v>
      </c>
      <c r="AR260" s="31">
        <f>VLOOKUP($B260,Kraftvärmeprod!$B$1:$BX$549,MATCH("Summa tillförd energi exklusive rökgaskondensering",Kraftvärmeprod!$B$1:$BX$1,0),FALSE)</f>
        <v>0</v>
      </c>
      <c r="AT260" s="32" t="str">
        <f t="shared" si="27"/>
        <v/>
      </c>
      <c r="AV260" s="31">
        <f t="shared" si="28"/>
        <v>0</v>
      </c>
      <c r="AX260" s="31" t="str">
        <f>VLOOKUP(B260,Totalt!$B$1:$BZ$554,MATCH(AX$1,Totalt!$B$1:$BZ$1,0),FALSE)</f>
        <v>Ja</v>
      </c>
      <c r="BA260" s="32" t="str">
        <f t="shared" si="29"/>
        <v/>
      </c>
    </row>
    <row r="261" spans="1:53" x14ac:dyDescent="0.45">
      <c r="A261" s="31" t="s">
        <v>336</v>
      </c>
      <c r="B261" s="31" t="s">
        <v>339</v>
      </c>
      <c r="J261" s="31">
        <v>0</v>
      </c>
      <c r="K261" s="31">
        <v>0.92391500000000004</v>
      </c>
      <c r="L261" s="31">
        <v>0</v>
      </c>
      <c r="M261" s="31">
        <v>0</v>
      </c>
      <c r="N261" s="31">
        <v>0</v>
      </c>
      <c r="O261" s="31">
        <v>0</v>
      </c>
      <c r="P261" s="31">
        <v>143.18100000000001</v>
      </c>
      <c r="Q261" s="31">
        <v>0</v>
      </c>
      <c r="R261" s="31">
        <v>0</v>
      </c>
      <c r="S261" s="31">
        <v>0</v>
      </c>
      <c r="T261" s="31">
        <v>0</v>
      </c>
      <c r="U261" s="31">
        <v>0</v>
      </c>
      <c r="W261" s="31">
        <v>0</v>
      </c>
      <c r="X261" s="31">
        <v>0</v>
      </c>
      <c r="Y261" s="31">
        <v>0</v>
      </c>
      <c r="Z261" s="31">
        <v>0</v>
      </c>
      <c r="AA261" s="31">
        <v>0</v>
      </c>
      <c r="AB261" s="31">
        <v>0</v>
      </c>
      <c r="AC261" s="31">
        <v>0</v>
      </c>
      <c r="AD261" s="31">
        <v>0</v>
      </c>
      <c r="AE261" s="31">
        <v>136.541</v>
      </c>
      <c r="AF261" s="31">
        <v>0</v>
      </c>
      <c r="AG261" s="31">
        <v>0</v>
      </c>
      <c r="AH261" s="31">
        <v>45.58</v>
      </c>
      <c r="AI261" s="31">
        <v>8.8148099999999996</v>
      </c>
      <c r="AL261" s="31">
        <f t="shared" si="24"/>
        <v>335.04072500000001</v>
      </c>
      <c r="AM261" s="31">
        <f t="shared" si="25"/>
        <v>326.22591499999999</v>
      </c>
      <c r="AN261" s="31">
        <f t="shared" si="26"/>
        <v>280.645915</v>
      </c>
      <c r="AP261" s="31">
        <f>VLOOKUP($B261,Kraftvärmeprod!$B$1:$BX$549,MATCH(AP$1,Kraftvärmeprod!$B$1:$BX$1,0),FALSE)</f>
        <v>370.113</v>
      </c>
      <c r="AQ261" s="31">
        <f>VLOOKUP($B261,Kraftvärmeprod!$B$1:$BX$549,MATCH(AQ$1,Kraftvärmeprod!$B$1:$BX$1,0),FALSE)</f>
        <v>44.774999999999999</v>
      </c>
      <c r="AR261" s="31">
        <f>VLOOKUP($B261,Kraftvärmeprod!$B$1:$BX$549,MATCH("Summa tillförd energi exklusive rökgaskondensering",Kraftvärmeprod!$B$1:$BX$1,0),FALSE)</f>
        <v>378.87200000000001</v>
      </c>
      <c r="AT261" s="32">
        <f t="shared" si="27"/>
        <v>0.74074071190270063</v>
      </c>
      <c r="AV261" s="31">
        <f t="shared" si="28"/>
        <v>143.18100000000001</v>
      </c>
      <c r="AX261" s="31" t="str">
        <f>VLOOKUP(B261,Totalt!$B$1:$BZ$554,MATCH(AX$1,Totalt!$B$1:$BZ$1,0),FALSE)</f>
        <v>Ja</v>
      </c>
      <c r="BA261" s="32">
        <f t="shared" si="29"/>
        <v>1.2786294237327014</v>
      </c>
    </row>
    <row r="262" spans="1:53" x14ac:dyDescent="0.45">
      <c r="A262" s="31" t="s">
        <v>336</v>
      </c>
      <c r="B262" s="31" t="s">
        <v>338</v>
      </c>
      <c r="J262" s="31">
        <v>0</v>
      </c>
      <c r="K262" s="31">
        <v>0</v>
      </c>
      <c r="L262" s="31">
        <v>0</v>
      </c>
      <c r="M262" s="31">
        <v>0</v>
      </c>
      <c r="N262" s="31">
        <v>0</v>
      </c>
      <c r="O262" s="31">
        <v>0</v>
      </c>
      <c r="P262" s="31">
        <v>0</v>
      </c>
      <c r="Q262" s="31">
        <v>0</v>
      </c>
      <c r="R262" s="31">
        <v>0</v>
      </c>
      <c r="S262" s="31">
        <v>0</v>
      </c>
      <c r="T262" s="31">
        <v>0</v>
      </c>
      <c r="U262" s="31">
        <v>0</v>
      </c>
      <c r="W262" s="31">
        <v>0</v>
      </c>
      <c r="X262" s="31">
        <v>0</v>
      </c>
      <c r="Y262" s="31">
        <v>0</v>
      </c>
      <c r="Z262" s="31">
        <v>0</v>
      </c>
      <c r="AA262" s="31">
        <v>0</v>
      </c>
      <c r="AB262" s="31">
        <v>0</v>
      </c>
      <c r="AC262" s="31">
        <v>0</v>
      </c>
      <c r="AD262" s="31">
        <v>0</v>
      </c>
      <c r="AE262" s="31">
        <v>0</v>
      </c>
      <c r="AF262" s="31">
        <v>0</v>
      </c>
      <c r="AG262" s="31">
        <v>0</v>
      </c>
      <c r="AH262" s="31">
        <v>0</v>
      </c>
      <c r="AI262" s="31">
        <v>0</v>
      </c>
      <c r="AL262" s="31">
        <f t="shared" si="24"/>
        <v>0</v>
      </c>
      <c r="AM262" s="31">
        <f t="shared" si="25"/>
        <v>0</v>
      </c>
      <c r="AN262" s="31">
        <f t="shared" si="26"/>
        <v>0</v>
      </c>
      <c r="AP262" s="31">
        <f>VLOOKUP($B262,Kraftvärmeprod!$B$1:$BX$549,MATCH(AP$1,Kraftvärmeprod!$B$1:$BX$1,0),FALSE)</f>
        <v>0</v>
      </c>
      <c r="AQ262" s="31">
        <f>VLOOKUP($B262,Kraftvärmeprod!$B$1:$BX$549,MATCH(AQ$1,Kraftvärmeprod!$B$1:$BX$1,0),FALSE)</f>
        <v>0</v>
      </c>
      <c r="AR262" s="31">
        <f>VLOOKUP($B262,Kraftvärmeprod!$B$1:$BX$549,MATCH("Summa tillförd energi exklusive rökgaskondensering",Kraftvärmeprod!$B$1:$BX$1,0),FALSE)</f>
        <v>0</v>
      </c>
      <c r="AT262" s="32" t="str">
        <f t="shared" si="27"/>
        <v/>
      </c>
      <c r="AV262" s="31">
        <f t="shared" si="28"/>
        <v>0</v>
      </c>
      <c r="AX262" s="31" t="str">
        <f>VLOOKUP(B262,Totalt!$B$1:$BZ$554,MATCH(AX$1,Totalt!$B$1:$BZ$1,0),FALSE)</f>
        <v>Ja</v>
      </c>
      <c r="BA262" s="32" t="str">
        <f t="shared" si="29"/>
        <v/>
      </c>
    </row>
    <row r="263" spans="1:53" x14ac:dyDescent="0.45">
      <c r="A263" s="31" t="s">
        <v>336</v>
      </c>
      <c r="B263" s="31" t="s">
        <v>335</v>
      </c>
      <c r="J263" s="31">
        <v>0</v>
      </c>
      <c r="K263" s="31">
        <v>0</v>
      </c>
      <c r="L263" s="31">
        <v>0</v>
      </c>
      <c r="M263" s="31">
        <v>0</v>
      </c>
      <c r="N263" s="31">
        <v>0</v>
      </c>
      <c r="O263" s="31">
        <v>0</v>
      </c>
      <c r="P263" s="31">
        <v>0</v>
      </c>
      <c r="Q263" s="31">
        <v>0</v>
      </c>
      <c r="R263" s="31">
        <v>0</v>
      </c>
      <c r="S263" s="31">
        <v>0</v>
      </c>
      <c r="T263" s="31">
        <v>0</v>
      </c>
      <c r="U263" s="31">
        <v>0</v>
      </c>
      <c r="W263" s="31">
        <v>0</v>
      </c>
      <c r="X263" s="31">
        <v>0</v>
      </c>
      <c r="Y263" s="31">
        <v>0</v>
      </c>
      <c r="Z263" s="31">
        <v>0</v>
      </c>
      <c r="AA263" s="31">
        <v>0</v>
      </c>
      <c r="AB263" s="31">
        <v>0</v>
      </c>
      <c r="AC263" s="31">
        <v>0</v>
      </c>
      <c r="AD263" s="31">
        <v>0</v>
      </c>
      <c r="AE263" s="31">
        <v>0</v>
      </c>
      <c r="AF263" s="31">
        <v>0</v>
      </c>
      <c r="AG263" s="31">
        <v>0</v>
      </c>
      <c r="AH263" s="31">
        <v>0</v>
      </c>
      <c r="AI263" s="31">
        <v>0</v>
      </c>
      <c r="AL263" s="31">
        <f t="shared" si="24"/>
        <v>0</v>
      </c>
      <c r="AM263" s="31">
        <f t="shared" si="25"/>
        <v>0</v>
      </c>
      <c r="AN263" s="31">
        <f t="shared" si="26"/>
        <v>0</v>
      </c>
      <c r="AP263" s="31">
        <f>VLOOKUP($B263,Kraftvärmeprod!$B$1:$BX$549,MATCH(AP$1,Kraftvärmeprod!$B$1:$BX$1,0),FALSE)</f>
        <v>0</v>
      </c>
      <c r="AQ263" s="31">
        <f>VLOOKUP($B263,Kraftvärmeprod!$B$1:$BX$549,MATCH(AQ$1,Kraftvärmeprod!$B$1:$BX$1,0),FALSE)</f>
        <v>0</v>
      </c>
      <c r="AR263" s="31">
        <f>VLOOKUP($B263,Kraftvärmeprod!$B$1:$BX$549,MATCH("Summa tillförd energi exklusive rökgaskondensering",Kraftvärmeprod!$B$1:$BX$1,0),FALSE)</f>
        <v>0</v>
      </c>
      <c r="AT263" s="32" t="str">
        <f t="shared" si="27"/>
        <v/>
      </c>
      <c r="AV263" s="31">
        <f t="shared" si="28"/>
        <v>0</v>
      </c>
      <c r="AX263" s="31" t="str">
        <f>VLOOKUP(B263,Totalt!$B$1:$BZ$554,MATCH(AX$1,Totalt!$B$1:$BZ$1,0),FALSE)</f>
        <v>Ja</v>
      </c>
      <c r="BA263" s="32" t="str">
        <f t="shared" si="29"/>
        <v/>
      </c>
    </row>
    <row r="264" spans="1:53" x14ac:dyDescent="0.45">
      <c r="A264" s="31" t="s">
        <v>336</v>
      </c>
      <c r="B264" s="31" t="s">
        <v>337</v>
      </c>
      <c r="J264" s="31">
        <v>0</v>
      </c>
      <c r="K264" s="31">
        <v>0</v>
      </c>
      <c r="L264" s="31">
        <v>0</v>
      </c>
      <c r="M264" s="31">
        <v>0</v>
      </c>
      <c r="N264" s="31">
        <v>0</v>
      </c>
      <c r="O264" s="31">
        <v>0</v>
      </c>
      <c r="P264" s="31">
        <v>0</v>
      </c>
      <c r="Q264" s="31">
        <v>0</v>
      </c>
      <c r="R264" s="31">
        <v>0</v>
      </c>
      <c r="S264" s="31">
        <v>0</v>
      </c>
      <c r="T264" s="31">
        <v>0</v>
      </c>
      <c r="U264" s="31">
        <v>0</v>
      </c>
      <c r="W264" s="31">
        <v>0</v>
      </c>
      <c r="X264" s="31">
        <v>0</v>
      </c>
      <c r="Y264" s="31">
        <v>0</v>
      </c>
      <c r="Z264" s="31">
        <v>0</v>
      </c>
      <c r="AA264" s="31">
        <v>0</v>
      </c>
      <c r="AB264" s="31">
        <v>0</v>
      </c>
      <c r="AC264" s="31">
        <v>0</v>
      </c>
      <c r="AD264" s="31">
        <v>0</v>
      </c>
      <c r="AE264" s="31">
        <v>0</v>
      </c>
      <c r="AF264" s="31">
        <v>0</v>
      </c>
      <c r="AG264" s="31">
        <v>0</v>
      </c>
      <c r="AH264" s="31">
        <v>0</v>
      </c>
      <c r="AI264" s="31">
        <v>0</v>
      </c>
      <c r="AL264" s="31">
        <f t="shared" si="24"/>
        <v>0</v>
      </c>
      <c r="AM264" s="31">
        <f t="shared" si="25"/>
        <v>0</v>
      </c>
      <c r="AN264" s="31">
        <f t="shared" si="26"/>
        <v>0</v>
      </c>
      <c r="AP264" s="31">
        <f>VLOOKUP($B264,Kraftvärmeprod!$B$1:$BX$549,MATCH(AP$1,Kraftvärmeprod!$B$1:$BX$1,0),FALSE)</f>
        <v>0</v>
      </c>
      <c r="AQ264" s="31">
        <f>VLOOKUP($B264,Kraftvärmeprod!$B$1:$BX$549,MATCH(AQ$1,Kraftvärmeprod!$B$1:$BX$1,0),FALSE)</f>
        <v>0</v>
      </c>
      <c r="AR264" s="31">
        <f>VLOOKUP($B264,Kraftvärmeprod!$B$1:$BX$549,MATCH("Summa tillförd energi exklusive rökgaskondensering",Kraftvärmeprod!$B$1:$BX$1,0),FALSE)</f>
        <v>0</v>
      </c>
      <c r="AT264" s="32" t="str">
        <f t="shared" si="27"/>
        <v/>
      </c>
      <c r="AV264" s="31">
        <f t="shared" si="28"/>
        <v>0</v>
      </c>
      <c r="AX264" s="31" t="str">
        <f>VLOOKUP(B264,Totalt!$B$1:$BZ$554,MATCH(AX$1,Totalt!$B$1:$BZ$1,0),FALSE)</f>
        <v>Ja</v>
      </c>
      <c r="BA264" s="32" t="str">
        <f t="shared" si="29"/>
        <v/>
      </c>
    </row>
    <row r="265" spans="1:53" x14ac:dyDescent="0.45">
      <c r="A265" s="31" t="s">
        <v>333</v>
      </c>
      <c r="B265" s="31" t="s">
        <v>334</v>
      </c>
      <c r="J265" s="31">
        <v>0</v>
      </c>
      <c r="K265" s="31">
        <v>0</v>
      </c>
      <c r="L265" s="31">
        <v>0</v>
      </c>
      <c r="M265" s="31">
        <v>0</v>
      </c>
      <c r="N265" s="31">
        <v>0</v>
      </c>
      <c r="O265" s="31">
        <v>0</v>
      </c>
      <c r="P265" s="31">
        <v>0</v>
      </c>
      <c r="Q265" s="31">
        <v>0</v>
      </c>
      <c r="R265" s="31">
        <v>0</v>
      </c>
      <c r="S265" s="31">
        <v>0</v>
      </c>
      <c r="T265" s="31">
        <v>0</v>
      </c>
      <c r="U265" s="31">
        <v>0</v>
      </c>
      <c r="W265" s="31">
        <v>0</v>
      </c>
      <c r="X265" s="31">
        <v>0</v>
      </c>
      <c r="Y265" s="31">
        <v>0</v>
      </c>
      <c r="Z265" s="31">
        <v>0</v>
      </c>
      <c r="AA265" s="31">
        <v>0</v>
      </c>
      <c r="AB265" s="31">
        <v>0</v>
      </c>
      <c r="AC265" s="31">
        <v>0</v>
      </c>
      <c r="AD265" s="31">
        <v>0</v>
      </c>
      <c r="AE265" s="31">
        <v>0</v>
      </c>
      <c r="AF265" s="31">
        <v>0</v>
      </c>
      <c r="AG265" s="31">
        <v>0</v>
      </c>
      <c r="AH265" s="31">
        <v>0</v>
      </c>
      <c r="AI265" s="31">
        <v>0</v>
      </c>
      <c r="AL265" s="31">
        <f t="shared" si="24"/>
        <v>0</v>
      </c>
      <c r="AM265" s="31">
        <f t="shared" si="25"/>
        <v>0</v>
      </c>
      <c r="AN265" s="31">
        <f t="shared" si="26"/>
        <v>0</v>
      </c>
      <c r="AP265" s="31">
        <f>VLOOKUP($B265,Kraftvärmeprod!$B$1:$BX$549,MATCH(AP$1,Kraftvärmeprod!$B$1:$BX$1,0),FALSE)</f>
        <v>0</v>
      </c>
      <c r="AQ265" s="31">
        <f>VLOOKUP($B265,Kraftvärmeprod!$B$1:$BX$549,MATCH(AQ$1,Kraftvärmeprod!$B$1:$BX$1,0),FALSE)</f>
        <v>0</v>
      </c>
      <c r="AR265" s="31">
        <f>VLOOKUP($B265,Kraftvärmeprod!$B$1:$BX$549,MATCH("Summa tillförd energi exklusive rökgaskondensering",Kraftvärmeprod!$B$1:$BX$1,0),FALSE)</f>
        <v>0</v>
      </c>
      <c r="AT265" s="32" t="str">
        <f t="shared" si="27"/>
        <v/>
      </c>
      <c r="AV265" s="31">
        <f t="shared" si="28"/>
        <v>0</v>
      </c>
      <c r="AX265" s="31" t="str">
        <f>VLOOKUP(B265,Totalt!$B$1:$BZ$554,MATCH(AX$1,Totalt!$B$1:$BZ$1,0),FALSE)</f>
        <v>Ja</v>
      </c>
      <c r="BA265" s="32" t="str">
        <f t="shared" si="29"/>
        <v/>
      </c>
    </row>
    <row r="266" spans="1:53" x14ac:dyDescent="0.45">
      <c r="A266" s="31" t="s">
        <v>333</v>
      </c>
      <c r="B266" s="31" t="s">
        <v>332</v>
      </c>
      <c r="J266" s="31">
        <v>0</v>
      </c>
      <c r="K266" s="31">
        <v>0</v>
      </c>
      <c r="L266" s="31">
        <v>0</v>
      </c>
      <c r="M266" s="31">
        <v>0</v>
      </c>
      <c r="N266" s="31">
        <v>0</v>
      </c>
      <c r="O266" s="31">
        <v>0</v>
      </c>
      <c r="P266" s="31">
        <v>0</v>
      </c>
      <c r="Q266" s="31">
        <v>0</v>
      </c>
      <c r="R266" s="31">
        <v>0</v>
      </c>
      <c r="S266" s="31">
        <v>0</v>
      </c>
      <c r="T266" s="31">
        <v>0</v>
      </c>
      <c r="U266" s="31">
        <v>0</v>
      </c>
      <c r="W266" s="31">
        <v>0</v>
      </c>
      <c r="X266" s="31">
        <v>0</v>
      </c>
      <c r="Y266" s="31">
        <v>0</v>
      </c>
      <c r="Z266" s="31">
        <v>0</v>
      </c>
      <c r="AA266" s="31">
        <v>0</v>
      </c>
      <c r="AB266" s="31">
        <v>0</v>
      </c>
      <c r="AC266" s="31">
        <v>0</v>
      </c>
      <c r="AD266" s="31">
        <v>0</v>
      </c>
      <c r="AE266" s="31">
        <v>0</v>
      </c>
      <c r="AF266" s="31">
        <v>0</v>
      </c>
      <c r="AG266" s="31">
        <v>0</v>
      </c>
      <c r="AH266" s="31">
        <v>0</v>
      </c>
      <c r="AI266" s="31">
        <v>0</v>
      </c>
      <c r="AL266" s="31">
        <f t="shared" si="24"/>
        <v>0</v>
      </c>
      <c r="AM266" s="31">
        <f t="shared" si="25"/>
        <v>0</v>
      </c>
      <c r="AN266" s="31">
        <f t="shared" si="26"/>
        <v>0</v>
      </c>
      <c r="AP266" s="31">
        <f>VLOOKUP($B266,Kraftvärmeprod!$B$1:$BX$549,MATCH(AP$1,Kraftvärmeprod!$B$1:$BX$1,0),FALSE)</f>
        <v>0</v>
      </c>
      <c r="AQ266" s="31">
        <f>VLOOKUP($B266,Kraftvärmeprod!$B$1:$BX$549,MATCH(AQ$1,Kraftvärmeprod!$B$1:$BX$1,0),FALSE)</f>
        <v>0</v>
      </c>
      <c r="AR266" s="31">
        <f>VLOOKUP($B266,Kraftvärmeprod!$B$1:$BX$549,MATCH("Summa tillförd energi exklusive rökgaskondensering",Kraftvärmeprod!$B$1:$BX$1,0),FALSE)</f>
        <v>0</v>
      </c>
      <c r="AT266" s="32" t="str">
        <f t="shared" si="27"/>
        <v/>
      </c>
      <c r="AV266" s="31">
        <f t="shared" si="28"/>
        <v>0</v>
      </c>
      <c r="AX266" s="31" t="str">
        <f>VLOOKUP(B266,Totalt!$B$1:$BZ$554,MATCH(AX$1,Totalt!$B$1:$BZ$1,0),FALSE)</f>
        <v>Ja</v>
      </c>
      <c r="BA266" s="32" t="str">
        <f t="shared" si="29"/>
        <v/>
      </c>
    </row>
    <row r="267" spans="1:53" x14ac:dyDescent="0.45">
      <c r="A267" s="31" t="s">
        <v>331</v>
      </c>
      <c r="B267" s="31" t="s">
        <v>330</v>
      </c>
      <c r="J267" s="31">
        <v>0</v>
      </c>
      <c r="K267" s="31">
        <v>0</v>
      </c>
      <c r="L267" s="31">
        <v>0</v>
      </c>
      <c r="M267" s="31">
        <v>0</v>
      </c>
      <c r="N267" s="31">
        <v>0</v>
      </c>
      <c r="O267" s="31">
        <v>0</v>
      </c>
      <c r="P267" s="31">
        <v>0</v>
      </c>
      <c r="Q267" s="31">
        <v>0</v>
      </c>
      <c r="R267" s="31">
        <v>0</v>
      </c>
      <c r="S267" s="31">
        <v>0</v>
      </c>
      <c r="T267" s="31">
        <v>0</v>
      </c>
      <c r="U267" s="31">
        <v>0</v>
      </c>
      <c r="W267" s="31">
        <v>0</v>
      </c>
      <c r="X267" s="31">
        <v>0</v>
      </c>
      <c r="Y267" s="31">
        <v>0</v>
      </c>
      <c r="Z267" s="31">
        <v>0</v>
      </c>
      <c r="AA267" s="31">
        <v>0</v>
      </c>
      <c r="AB267" s="31">
        <v>0</v>
      </c>
      <c r="AC267" s="31">
        <v>0</v>
      </c>
      <c r="AD267" s="31">
        <v>0</v>
      </c>
      <c r="AE267" s="31">
        <v>0</v>
      </c>
      <c r="AF267" s="31">
        <v>0</v>
      </c>
      <c r="AG267" s="31">
        <v>0</v>
      </c>
      <c r="AH267" s="31">
        <v>0</v>
      </c>
      <c r="AI267" s="31">
        <v>0</v>
      </c>
      <c r="AL267" s="31">
        <f t="shared" si="24"/>
        <v>0</v>
      </c>
      <c r="AM267" s="31">
        <f t="shared" si="25"/>
        <v>0</v>
      </c>
      <c r="AN267" s="31">
        <f t="shared" si="26"/>
        <v>0</v>
      </c>
      <c r="AP267" s="31">
        <f>VLOOKUP($B267,Kraftvärmeprod!$B$1:$BX$549,MATCH(AP$1,Kraftvärmeprod!$B$1:$BX$1,0),FALSE)</f>
        <v>0</v>
      </c>
      <c r="AQ267" s="31">
        <f>VLOOKUP($B267,Kraftvärmeprod!$B$1:$BX$549,MATCH(AQ$1,Kraftvärmeprod!$B$1:$BX$1,0),FALSE)</f>
        <v>0</v>
      </c>
      <c r="AR267" s="31">
        <f>VLOOKUP($B267,Kraftvärmeprod!$B$1:$BX$549,MATCH("Summa tillförd energi exklusive rökgaskondensering",Kraftvärmeprod!$B$1:$BX$1,0),FALSE)</f>
        <v>0</v>
      </c>
      <c r="AT267" s="32" t="str">
        <f t="shared" si="27"/>
        <v/>
      </c>
      <c r="AV267" s="31">
        <f t="shared" si="28"/>
        <v>0</v>
      </c>
      <c r="AX267" s="31" t="str">
        <f>VLOOKUP(B267,Totalt!$B$1:$BZ$554,MATCH(AX$1,Totalt!$B$1:$BZ$1,0),FALSE)</f>
        <v>Ja</v>
      </c>
      <c r="BA267" s="32" t="str">
        <f t="shared" si="29"/>
        <v/>
      </c>
    </row>
    <row r="268" spans="1:53" x14ac:dyDescent="0.45">
      <c r="A268" s="31" t="s">
        <v>329</v>
      </c>
      <c r="B268" s="31" t="s">
        <v>328</v>
      </c>
      <c r="J268" s="31">
        <v>0</v>
      </c>
      <c r="K268" s="31">
        <v>0</v>
      </c>
      <c r="L268" s="31">
        <v>0</v>
      </c>
      <c r="M268" s="31">
        <v>0</v>
      </c>
      <c r="N268" s="31">
        <v>0</v>
      </c>
      <c r="O268" s="31">
        <v>0</v>
      </c>
      <c r="P268" s="31">
        <v>0</v>
      </c>
      <c r="Q268" s="31">
        <v>0</v>
      </c>
      <c r="R268" s="31">
        <v>0</v>
      </c>
      <c r="S268" s="31">
        <v>0</v>
      </c>
      <c r="T268" s="31">
        <v>0</v>
      </c>
      <c r="U268" s="31">
        <v>0</v>
      </c>
      <c r="W268" s="31">
        <v>0</v>
      </c>
      <c r="X268" s="31">
        <v>0</v>
      </c>
      <c r="Y268" s="31">
        <v>0</v>
      </c>
      <c r="Z268" s="31">
        <v>0</v>
      </c>
      <c r="AA268" s="31">
        <v>0</v>
      </c>
      <c r="AB268" s="31">
        <v>0</v>
      </c>
      <c r="AC268" s="31">
        <v>0</v>
      </c>
      <c r="AD268" s="31">
        <v>0</v>
      </c>
      <c r="AE268" s="31">
        <v>0</v>
      </c>
      <c r="AF268" s="31">
        <v>0</v>
      </c>
      <c r="AG268" s="31">
        <v>0</v>
      </c>
      <c r="AH268" s="31">
        <v>0</v>
      </c>
      <c r="AI268" s="31">
        <v>0</v>
      </c>
      <c r="AL268" s="31">
        <f t="shared" si="24"/>
        <v>0</v>
      </c>
      <c r="AM268" s="31">
        <f t="shared" si="25"/>
        <v>0</v>
      </c>
      <c r="AN268" s="31">
        <f t="shared" si="26"/>
        <v>0</v>
      </c>
      <c r="AP268" s="31">
        <f>VLOOKUP($B268,Kraftvärmeprod!$B$1:$BX$549,MATCH(AP$1,Kraftvärmeprod!$B$1:$BX$1,0),FALSE)</f>
        <v>0</v>
      </c>
      <c r="AQ268" s="31">
        <f>VLOOKUP($B268,Kraftvärmeprod!$B$1:$BX$549,MATCH(AQ$1,Kraftvärmeprod!$B$1:$BX$1,0),FALSE)</f>
        <v>0</v>
      </c>
      <c r="AR268" s="31">
        <f>VLOOKUP($B268,Kraftvärmeprod!$B$1:$BX$549,MATCH("Summa tillförd energi exklusive rökgaskondensering",Kraftvärmeprod!$B$1:$BX$1,0),FALSE)</f>
        <v>0</v>
      </c>
      <c r="AT268" s="32" t="str">
        <f t="shared" si="27"/>
        <v/>
      </c>
      <c r="AV268" s="31">
        <f t="shared" si="28"/>
        <v>0</v>
      </c>
      <c r="AX268" s="31" t="str">
        <f>VLOOKUP(B268,Totalt!$B$1:$BZ$554,MATCH(AX$1,Totalt!$B$1:$BZ$1,0),FALSE)</f>
        <v>Nej</v>
      </c>
      <c r="BA268" s="32" t="str">
        <f t="shared" si="29"/>
        <v/>
      </c>
    </row>
    <row r="269" spans="1:53" x14ac:dyDescent="0.45">
      <c r="A269" s="31" t="s">
        <v>324</v>
      </c>
      <c r="B269" s="31" t="s">
        <v>327</v>
      </c>
      <c r="J269" s="31">
        <v>0</v>
      </c>
      <c r="K269" s="31">
        <v>0</v>
      </c>
      <c r="L269" s="31">
        <v>0</v>
      </c>
      <c r="M269" s="31">
        <v>0</v>
      </c>
      <c r="N269" s="31">
        <v>0</v>
      </c>
      <c r="O269" s="31">
        <v>0</v>
      </c>
      <c r="P269" s="31">
        <v>0</v>
      </c>
      <c r="Q269" s="31">
        <v>0</v>
      </c>
      <c r="R269" s="31">
        <v>0</v>
      </c>
      <c r="S269" s="31">
        <v>0</v>
      </c>
      <c r="T269" s="31">
        <v>0</v>
      </c>
      <c r="U269" s="31">
        <v>0</v>
      </c>
      <c r="W269" s="31">
        <v>0</v>
      </c>
      <c r="X269" s="31">
        <v>0</v>
      </c>
      <c r="Y269" s="31">
        <v>0</v>
      </c>
      <c r="Z269" s="31">
        <v>0</v>
      </c>
      <c r="AA269" s="31">
        <v>0</v>
      </c>
      <c r="AB269" s="31">
        <v>0</v>
      </c>
      <c r="AC269" s="31">
        <v>0</v>
      </c>
      <c r="AD269" s="31">
        <v>0</v>
      </c>
      <c r="AE269" s="31">
        <v>0</v>
      </c>
      <c r="AF269" s="31">
        <v>0</v>
      </c>
      <c r="AG269" s="31">
        <v>0</v>
      </c>
      <c r="AH269" s="31">
        <v>0</v>
      </c>
      <c r="AI269" s="31">
        <v>0</v>
      </c>
      <c r="AL269" s="31">
        <f t="shared" si="24"/>
        <v>0</v>
      </c>
      <c r="AM269" s="31">
        <f t="shared" si="25"/>
        <v>0</v>
      </c>
      <c r="AN269" s="31">
        <f t="shared" si="26"/>
        <v>0</v>
      </c>
      <c r="AP269" s="31">
        <f>VLOOKUP($B269,Kraftvärmeprod!$B$1:$BX$549,MATCH(AP$1,Kraftvärmeprod!$B$1:$BX$1,0),FALSE)</f>
        <v>0</v>
      </c>
      <c r="AQ269" s="31">
        <f>VLOOKUP($B269,Kraftvärmeprod!$B$1:$BX$549,MATCH(AQ$1,Kraftvärmeprod!$B$1:$BX$1,0),FALSE)</f>
        <v>0</v>
      </c>
      <c r="AR269" s="31">
        <f>VLOOKUP($B269,Kraftvärmeprod!$B$1:$BX$549,MATCH("Summa tillförd energi exklusive rökgaskondensering",Kraftvärmeprod!$B$1:$BX$1,0),FALSE)</f>
        <v>0</v>
      </c>
      <c r="AT269" s="32" t="str">
        <f t="shared" si="27"/>
        <v/>
      </c>
      <c r="AV269" s="31">
        <f t="shared" si="28"/>
        <v>0</v>
      </c>
      <c r="AX269" s="31" t="str">
        <f>VLOOKUP(B269,Totalt!$B$1:$BZ$554,MATCH(AX$1,Totalt!$B$1:$BZ$1,0),FALSE)</f>
        <v>Ja</v>
      </c>
      <c r="BA269" s="32" t="str">
        <f t="shared" si="29"/>
        <v/>
      </c>
    </row>
    <row r="270" spans="1:53" x14ac:dyDescent="0.45">
      <c r="A270" s="31" t="s">
        <v>324</v>
      </c>
      <c r="B270" s="31" t="s">
        <v>326</v>
      </c>
      <c r="J270" s="31">
        <v>0</v>
      </c>
      <c r="K270" s="31">
        <v>0</v>
      </c>
      <c r="L270" s="31">
        <v>0</v>
      </c>
      <c r="M270" s="31">
        <v>0</v>
      </c>
      <c r="N270" s="31">
        <v>0</v>
      </c>
      <c r="O270" s="31">
        <v>0</v>
      </c>
      <c r="P270" s="31">
        <v>0</v>
      </c>
      <c r="Q270" s="31">
        <v>0</v>
      </c>
      <c r="R270" s="31">
        <v>0</v>
      </c>
      <c r="S270" s="31">
        <v>0</v>
      </c>
      <c r="T270" s="31">
        <v>0</v>
      </c>
      <c r="U270" s="31">
        <v>0</v>
      </c>
      <c r="W270" s="31">
        <v>0</v>
      </c>
      <c r="X270" s="31">
        <v>0</v>
      </c>
      <c r="Y270" s="31">
        <v>0</v>
      </c>
      <c r="Z270" s="31">
        <v>0</v>
      </c>
      <c r="AA270" s="31">
        <v>0</v>
      </c>
      <c r="AB270" s="31">
        <v>0</v>
      </c>
      <c r="AC270" s="31">
        <v>0</v>
      </c>
      <c r="AD270" s="31">
        <v>0</v>
      </c>
      <c r="AE270" s="31">
        <v>0</v>
      </c>
      <c r="AF270" s="31">
        <v>0</v>
      </c>
      <c r="AG270" s="31">
        <v>0</v>
      </c>
      <c r="AH270" s="31">
        <v>0</v>
      </c>
      <c r="AI270" s="31">
        <v>0</v>
      </c>
      <c r="AL270" s="31">
        <f t="shared" si="24"/>
        <v>0</v>
      </c>
      <c r="AM270" s="31">
        <f t="shared" si="25"/>
        <v>0</v>
      </c>
      <c r="AN270" s="31">
        <f t="shared" si="26"/>
        <v>0</v>
      </c>
      <c r="AP270" s="31">
        <f>VLOOKUP($B270,Kraftvärmeprod!$B$1:$BX$549,MATCH(AP$1,Kraftvärmeprod!$B$1:$BX$1,0),FALSE)</f>
        <v>0</v>
      </c>
      <c r="AQ270" s="31">
        <f>VLOOKUP($B270,Kraftvärmeprod!$B$1:$BX$549,MATCH(AQ$1,Kraftvärmeprod!$B$1:$BX$1,0),FALSE)</f>
        <v>0</v>
      </c>
      <c r="AR270" s="31">
        <f>VLOOKUP($B270,Kraftvärmeprod!$B$1:$BX$549,MATCH("Summa tillförd energi exklusive rökgaskondensering",Kraftvärmeprod!$B$1:$BX$1,0),FALSE)</f>
        <v>0</v>
      </c>
      <c r="AT270" s="32" t="str">
        <f t="shared" si="27"/>
        <v/>
      </c>
      <c r="AV270" s="31">
        <f t="shared" si="28"/>
        <v>0</v>
      </c>
      <c r="AX270" s="31" t="str">
        <f>VLOOKUP(B270,Totalt!$B$1:$BZ$554,MATCH(AX$1,Totalt!$B$1:$BZ$1,0),FALSE)</f>
        <v>Ja</v>
      </c>
      <c r="BA270" s="32" t="str">
        <f t="shared" si="29"/>
        <v/>
      </c>
    </row>
    <row r="271" spans="1:53" x14ac:dyDescent="0.45">
      <c r="A271" s="31" t="s">
        <v>324</v>
      </c>
      <c r="B271" s="31" t="s">
        <v>325</v>
      </c>
      <c r="J271" s="31">
        <v>0</v>
      </c>
      <c r="K271" s="31">
        <v>0</v>
      </c>
      <c r="L271" s="31">
        <v>0</v>
      </c>
      <c r="M271" s="31">
        <v>0</v>
      </c>
      <c r="N271" s="31">
        <v>0</v>
      </c>
      <c r="O271" s="31">
        <v>0</v>
      </c>
      <c r="P271" s="31">
        <v>0</v>
      </c>
      <c r="Q271" s="31">
        <v>0</v>
      </c>
      <c r="R271" s="31">
        <v>0</v>
      </c>
      <c r="S271" s="31">
        <v>0</v>
      </c>
      <c r="T271" s="31">
        <v>0</v>
      </c>
      <c r="U271" s="31">
        <v>0</v>
      </c>
      <c r="W271" s="31">
        <v>0</v>
      </c>
      <c r="X271" s="31">
        <v>0</v>
      </c>
      <c r="Y271" s="31">
        <v>0</v>
      </c>
      <c r="Z271" s="31">
        <v>0</v>
      </c>
      <c r="AA271" s="31">
        <v>0</v>
      </c>
      <c r="AB271" s="31">
        <v>0</v>
      </c>
      <c r="AC271" s="31">
        <v>0</v>
      </c>
      <c r="AD271" s="31">
        <v>0</v>
      </c>
      <c r="AE271" s="31">
        <v>0</v>
      </c>
      <c r="AF271" s="31">
        <v>0</v>
      </c>
      <c r="AG271" s="31">
        <v>0</v>
      </c>
      <c r="AH271" s="31">
        <v>0</v>
      </c>
      <c r="AI271" s="31">
        <v>0</v>
      </c>
      <c r="AL271" s="31">
        <f t="shared" si="24"/>
        <v>0</v>
      </c>
      <c r="AM271" s="31">
        <f t="shared" si="25"/>
        <v>0</v>
      </c>
      <c r="AN271" s="31">
        <f t="shared" si="26"/>
        <v>0</v>
      </c>
      <c r="AP271" s="31">
        <f>VLOOKUP($B271,Kraftvärmeprod!$B$1:$BX$549,MATCH(AP$1,Kraftvärmeprod!$B$1:$BX$1,0),FALSE)</f>
        <v>0</v>
      </c>
      <c r="AQ271" s="31">
        <f>VLOOKUP($B271,Kraftvärmeprod!$B$1:$BX$549,MATCH(AQ$1,Kraftvärmeprod!$B$1:$BX$1,0),FALSE)</f>
        <v>0</v>
      </c>
      <c r="AR271" s="31">
        <f>VLOOKUP($B271,Kraftvärmeprod!$B$1:$BX$549,MATCH("Summa tillförd energi exklusive rökgaskondensering",Kraftvärmeprod!$B$1:$BX$1,0),FALSE)</f>
        <v>0</v>
      </c>
      <c r="AT271" s="32" t="str">
        <f t="shared" si="27"/>
        <v/>
      </c>
      <c r="AV271" s="31">
        <f t="shared" si="28"/>
        <v>0</v>
      </c>
      <c r="AX271" s="31" t="str">
        <f>VLOOKUP(B271,Totalt!$B$1:$BZ$554,MATCH(AX$1,Totalt!$B$1:$BZ$1,0),FALSE)</f>
        <v>Ja</v>
      </c>
      <c r="BA271" s="32" t="str">
        <f t="shared" si="29"/>
        <v/>
      </c>
    </row>
    <row r="272" spans="1:53" x14ac:dyDescent="0.45">
      <c r="A272" s="31" t="s">
        <v>324</v>
      </c>
      <c r="B272" s="31" t="s">
        <v>323</v>
      </c>
      <c r="J272" s="31">
        <v>0</v>
      </c>
      <c r="K272" s="31">
        <v>0</v>
      </c>
      <c r="L272" s="31">
        <v>0</v>
      </c>
      <c r="M272" s="31">
        <v>0</v>
      </c>
      <c r="N272" s="31">
        <v>0</v>
      </c>
      <c r="O272" s="31">
        <v>0</v>
      </c>
      <c r="P272" s="31">
        <v>0</v>
      </c>
      <c r="Q272" s="31">
        <v>0</v>
      </c>
      <c r="R272" s="31">
        <v>0</v>
      </c>
      <c r="S272" s="31">
        <v>0</v>
      </c>
      <c r="T272" s="31">
        <v>0</v>
      </c>
      <c r="U272" s="31">
        <v>0</v>
      </c>
      <c r="W272" s="31">
        <v>0</v>
      </c>
      <c r="X272" s="31">
        <v>0</v>
      </c>
      <c r="Y272" s="31">
        <v>0</v>
      </c>
      <c r="Z272" s="31">
        <v>0</v>
      </c>
      <c r="AA272" s="31">
        <v>0</v>
      </c>
      <c r="AB272" s="31">
        <v>0</v>
      </c>
      <c r="AC272" s="31">
        <v>0</v>
      </c>
      <c r="AD272" s="31">
        <v>0</v>
      </c>
      <c r="AE272" s="31">
        <v>0</v>
      </c>
      <c r="AF272" s="31">
        <v>0</v>
      </c>
      <c r="AG272" s="31">
        <v>0</v>
      </c>
      <c r="AH272" s="31">
        <v>0</v>
      </c>
      <c r="AI272" s="31">
        <v>0</v>
      </c>
      <c r="AL272" s="31">
        <f t="shared" si="24"/>
        <v>0</v>
      </c>
      <c r="AM272" s="31">
        <f t="shared" si="25"/>
        <v>0</v>
      </c>
      <c r="AN272" s="31">
        <f t="shared" si="26"/>
        <v>0</v>
      </c>
      <c r="AP272" s="31">
        <f>VLOOKUP($B272,Kraftvärmeprod!$B$1:$BX$549,MATCH(AP$1,Kraftvärmeprod!$B$1:$BX$1,0),FALSE)</f>
        <v>0</v>
      </c>
      <c r="AQ272" s="31">
        <f>VLOOKUP($B272,Kraftvärmeprod!$B$1:$BX$549,MATCH(AQ$1,Kraftvärmeprod!$B$1:$BX$1,0),FALSE)</f>
        <v>0</v>
      </c>
      <c r="AR272" s="31">
        <f>VLOOKUP($B272,Kraftvärmeprod!$B$1:$BX$549,MATCH("Summa tillförd energi exklusive rökgaskondensering",Kraftvärmeprod!$B$1:$BX$1,0),FALSE)</f>
        <v>0</v>
      </c>
      <c r="AT272" s="32" t="str">
        <f t="shared" si="27"/>
        <v/>
      </c>
      <c r="AV272" s="31">
        <f t="shared" si="28"/>
        <v>0</v>
      </c>
      <c r="AX272" s="31" t="str">
        <f>VLOOKUP(B272,Totalt!$B$1:$BZ$554,MATCH(AX$1,Totalt!$B$1:$BZ$1,0),FALSE)</f>
        <v>Ja</v>
      </c>
      <c r="BA272" s="32" t="str">
        <f t="shared" si="29"/>
        <v/>
      </c>
    </row>
    <row r="273" spans="1:53" x14ac:dyDescent="0.45">
      <c r="A273" s="31" t="s">
        <v>321</v>
      </c>
      <c r="B273" s="31" t="s">
        <v>322</v>
      </c>
      <c r="J273" s="31">
        <v>0</v>
      </c>
      <c r="K273" s="31">
        <v>0</v>
      </c>
      <c r="L273" s="31">
        <v>0</v>
      </c>
      <c r="M273" s="31">
        <v>0</v>
      </c>
      <c r="N273" s="31">
        <v>0</v>
      </c>
      <c r="O273" s="31">
        <v>0</v>
      </c>
      <c r="P273" s="31">
        <v>0</v>
      </c>
      <c r="Q273" s="31">
        <v>0</v>
      </c>
      <c r="R273" s="31">
        <v>0</v>
      </c>
      <c r="S273" s="31">
        <v>0</v>
      </c>
      <c r="T273" s="31">
        <v>0</v>
      </c>
      <c r="U273" s="31">
        <v>0</v>
      </c>
      <c r="W273" s="31">
        <v>0</v>
      </c>
      <c r="X273" s="31">
        <v>0</v>
      </c>
      <c r="Y273" s="31">
        <v>0</v>
      </c>
      <c r="Z273" s="31">
        <v>0</v>
      </c>
      <c r="AA273" s="31">
        <v>0</v>
      </c>
      <c r="AB273" s="31">
        <v>0</v>
      </c>
      <c r="AC273" s="31">
        <v>0</v>
      </c>
      <c r="AD273" s="31">
        <v>0</v>
      </c>
      <c r="AE273" s="31">
        <v>0</v>
      </c>
      <c r="AF273" s="31">
        <v>0</v>
      </c>
      <c r="AG273" s="31">
        <v>0</v>
      </c>
      <c r="AH273" s="31">
        <v>0</v>
      </c>
      <c r="AI273" s="31">
        <v>0</v>
      </c>
      <c r="AL273" s="31">
        <f t="shared" si="24"/>
        <v>0</v>
      </c>
      <c r="AM273" s="31">
        <f t="shared" si="25"/>
        <v>0</v>
      </c>
      <c r="AN273" s="31">
        <f t="shared" si="26"/>
        <v>0</v>
      </c>
      <c r="AP273" s="31">
        <f>VLOOKUP($B273,Kraftvärmeprod!$B$1:$BX$549,MATCH(AP$1,Kraftvärmeprod!$B$1:$BX$1,0),FALSE)</f>
        <v>0</v>
      </c>
      <c r="AQ273" s="31">
        <f>VLOOKUP($B273,Kraftvärmeprod!$B$1:$BX$549,MATCH(AQ$1,Kraftvärmeprod!$B$1:$BX$1,0),FALSE)</f>
        <v>0</v>
      </c>
      <c r="AR273" s="31">
        <f>VLOOKUP($B273,Kraftvärmeprod!$B$1:$BX$549,MATCH("Summa tillförd energi exklusive rökgaskondensering",Kraftvärmeprod!$B$1:$BX$1,0),FALSE)</f>
        <v>0</v>
      </c>
      <c r="AT273" s="32" t="str">
        <f t="shared" si="27"/>
        <v/>
      </c>
      <c r="AV273" s="31">
        <f t="shared" si="28"/>
        <v>0</v>
      </c>
      <c r="AX273" s="31" t="str">
        <f>VLOOKUP(B273,Totalt!$B$1:$BZ$554,MATCH(AX$1,Totalt!$B$1:$BZ$1,0),FALSE)</f>
        <v>Ja</v>
      </c>
      <c r="BA273" s="32" t="str">
        <f t="shared" si="29"/>
        <v/>
      </c>
    </row>
    <row r="274" spans="1:53" x14ac:dyDescent="0.45">
      <c r="A274" s="31" t="s">
        <v>321</v>
      </c>
      <c r="B274" s="31" t="s">
        <v>320</v>
      </c>
      <c r="J274" s="31">
        <v>0</v>
      </c>
      <c r="K274" s="31">
        <v>0</v>
      </c>
      <c r="L274" s="31">
        <v>0</v>
      </c>
      <c r="M274" s="31">
        <v>0</v>
      </c>
      <c r="N274" s="31">
        <v>0</v>
      </c>
      <c r="O274" s="31">
        <v>0</v>
      </c>
      <c r="P274" s="31">
        <v>0</v>
      </c>
      <c r="Q274" s="31">
        <v>0</v>
      </c>
      <c r="R274" s="31">
        <v>0</v>
      </c>
      <c r="S274" s="31">
        <v>0</v>
      </c>
      <c r="T274" s="31">
        <v>0</v>
      </c>
      <c r="U274" s="31">
        <v>0</v>
      </c>
      <c r="W274" s="31">
        <v>0</v>
      </c>
      <c r="X274" s="31">
        <v>0</v>
      </c>
      <c r="Y274" s="31">
        <v>0</v>
      </c>
      <c r="Z274" s="31">
        <v>0</v>
      </c>
      <c r="AA274" s="31">
        <v>0</v>
      </c>
      <c r="AB274" s="31">
        <v>0</v>
      </c>
      <c r="AC274" s="31">
        <v>0</v>
      </c>
      <c r="AD274" s="31">
        <v>0</v>
      </c>
      <c r="AE274" s="31">
        <v>0</v>
      </c>
      <c r="AF274" s="31">
        <v>0</v>
      </c>
      <c r="AG274" s="31">
        <v>0</v>
      </c>
      <c r="AH274" s="31">
        <v>0</v>
      </c>
      <c r="AI274" s="31">
        <v>0</v>
      </c>
      <c r="AL274" s="31">
        <f t="shared" si="24"/>
        <v>0</v>
      </c>
      <c r="AM274" s="31">
        <f t="shared" si="25"/>
        <v>0</v>
      </c>
      <c r="AN274" s="31">
        <f t="shared" si="26"/>
        <v>0</v>
      </c>
      <c r="AP274" s="31">
        <f>VLOOKUP($B274,Kraftvärmeprod!$B$1:$BX$549,MATCH(AP$1,Kraftvärmeprod!$B$1:$BX$1,0),FALSE)</f>
        <v>0</v>
      </c>
      <c r="AQ274" s="31">
        <f>VLOOKUP($B274,Kraftvärmeprod!$B$1:$BX$549,MATCH(AQ$1,Kraftvärmeprod!$B$1:$BX$1,0),FALSE)</f>
        <v>0</v>
      </c>
      <c r="AR274" s="31">
        <f>VLOOKUP($B274,Kraftvärmeprod!$B$1:$BX$549,MATCH("Summa tillförd energi exklusive rökgaskondensering",Kraftvärmeprod!$B$1:$BX$1,0),FALSE)</f>
        <v>0</v>
      </c>
      <c r="AT274" s="32" t="str">
        <f t="shared" si="27"/>
        <v/>
      </c>
      <c r="AV274" s="31">
        <f t="shared" si="28"/>
        <v>0</v>
      </c>
      <c r="AX274" s="31" t="str">
        <f>VLOOKUP(B274,Totalt!$B$1:$BZ$554,MATCH(AX$1,Totalt!$B$1:$BZ$1,0),FALSE)</f>
        <v>Ja</v>
      </c>
      <c r="BA274" s="32" t="str">
        <f t="shared" si="29"/>
        <v/>
      </c>
    </row>
    <row r="275" spans="1:53" x14ac:dyDescent="0.45">
      <c r="A275" s="31" t="s">
        <v>312</v>
      </c>
      <c r="B275" s="31" t="s">
        <v>313</v>
      </c>
      <c r="J275" s="31">
        <v>0</v>
      </c>
      <c r="K275" s="31">
        <v>0</v>
      </c>
      <c r="L275" s="31">
        <v>0</v>
      </c>
      <c r="M275" s="31">
        <v>0</v>
      </c>
      <c r="N275" s="31">
        <v>0</v>
      </c>
      <c r="O275" s="31">
        <v>0</v>
      </c>
      <c r="P275" s="31">
        <v>0</v>
      </c>
      <c r="Q275" s="31">
        <v>0</v>
      </c>
      <c r="R275" s="31">
        <v>0</v>
      </c>
      <c r="S275" s="31">
        <v>0</v>
      </c>
      <c r="T275" s="31">
        <v>0</v>
      </c>
      <c r="U275" s="31">
        <v>0</v>
      </c>
      <c r="W275" s="31">
        <v>0</v>
      </c>
      <c r="X275" s="31">
        <v>0</v>
      </c>
      <c r="Y275" s="31">
        <v>0</v>
      </c>
      <c r="Z275" s="31">
        <v>0</v>
      </c>
      <c r="AA275" s="31">
        <v>0</v>
      </c>
      <c r="AB275" s="31">
        <v>0</v>
      </c>
      <c r="AC275" s="31">
        <v>0</v>
      </c>
      <c r="AD275" s="31">
        <v>0</v>
      </c>
      <c r="AE275" s="31">
        <v>0</v>
      </c>
      <c r="AF275" s="31">
        <v>0</v>
      </c>
      <c r="AG275" s="31">
        <v>0</v>
      </c>
      <c r="AH275" s="31">
        <v>0</v>
      </c>
      <c r="AI275" s="31">
        <v>0</v>
      </c>
      <c r="AL275" s="31">
        <f t="shared" si="24"/>
        <v>0</v>
      </c>
      <c r="AM275" s="31">
        <f t="shared" si="25"/>
        <v>0</v>
      </c>
      <c r="AN275" s="31">
        <f t="shared" si="26"/>
        <v>0</v>
      </c>
      <c r="AP275" s="31">
        <f>VLOOKUP($B275,Kraftvärmeprod!$B$1:$BX$549,MATCH(AP$1,Kraftvärmeprod!$B$1:$BX$1,0),FALSE)</f>
        <v>0</v>
      </c>
      <c r="AQ275" s="31">
        <f>VLOOKUP($B275,Kraftvärmeprod!$B$1:$BX$549,MATCH(AQ$1,Kraftvärmeprod!$B$1:$BX$1,0),FALSE)</f>
        <v>0</v>
      </c>
      <c r="AR275" s="31">
        <f>VLOOKUP($B275,Kraftvärmeprod!$B$1:$BX$549,MATCH("Summa tillförd energi exklusive rökgaskondensering",Kraftvärmeprod!$B$1:$BX$1,0),FALSE)</f>
        <v>0</v>
      </c>
      <c r="AT275" s="32" t="str">
        <f t="shared" si="27"/>
        <v/>
      </c>
      <c r="AV275" s="31">
        <f t="shared" si="28"/>
        <v>0</v>
      </c>
      <c r="AX275" s="31" t="str">
        <f>VLOOKUP(B275,Totalt!$B$1:$BZ$554,MATCH(AX$1,Totalt!$B$1:$BZ$1,0),FALSE)</f>
        <v>ja</v>
      </c>
      <c r="BA275" s="32" t="str">
        <f t="shared" si="29"/>
        <v/>
      </c>
    </row>
    <row r="276" spans="1:53" x14ac:dyDescent="0.45">
      <c r="A276" s="31" t="s">
        <v>312</v>
      </c>
      <c r="B276" s="31" t="s">
        <v>112</v>
      </c>
      <c r="J276" s="31">
        <v>369.983</v>
      </c>
      <c r="K276" s="31">
        <v>88.683999999999997</v>
      </c>
      <c r="L276" s="31">
        <v>0</v>
      </c>
      <c r="M276" s="31">
        <v>22.992000000000001</v>
      </c>
      <c r="N276" s="31">
        <v>0</v>
      </c>
      <c r="O276" s="31">
        <v>0</v>
      </c>
      <c r="P276" s="31">
        <v>1045.57</v>
      </c>
      <c r="Q276" s="31">
        <v>0</v>
      </c>
      <c r="R276" s="31">
        <v>0</v>
      </c>
      <c r="S276" s="31">
        <v>0</v>
      </c>
      <c r="T276" s="31">
        <v>0</v>
      </c>
      <c r="U276" s="31">
        <v>8.4090000000000007</v>
      </c>
      <c r="W276" s="31">
        <v>196.55699999999999</v>
      </c>
      <c r="X276" s="31">
        <v>0</v>
      </c>
      <c r="Y276" s="31">
        <v>0</v>
      </c>
      <c r="Z276" s="31">
        <v>0</v>
      </c>
      <c r="AA276" s="31">
        <v>0</v>
      </c>
      <c r="AB276" s="31">
        <v>11.193</v>
      </c>
      <c r="AC276" s="31">
        <v>0</v>
      </c>
      <c r="AD276" s="31">
        <v>0</v>
      </c>
      <c r="AE276" s="31">
        <v>913.41</v>
      </c>
      <c r="AF276" s="31">
        <v>0</v>
      </c>
      <c r="AG276" s="31">
        <v>0</v>
      </c>
      <c r="AH276" s="31">
        <v>1079.2</v>
      </c>
      <c r="AI276" s="31">
        <v>150.596</v>
      </c>
      <c r="AL276" s="31">
        <f t="shared" si="24"/>
        <v>3886.5940000000005</v>
      </c>
      <c r="AM276" s="31">
        <f t="shared" si="25"/>
        <v>3735.9980000000005</v>
      </c>
      <c r="AN276" s="31">
        <f t="shared" si="26"/>
        <v>2656.7980000000007</v>
      </c>
      <c r="AP276" s="31">
        <f>VLOOKUP($B276,Kraftvärmeprod!$B$1:$BX$549,MATCH(AP$1,Kraftvärmeprod!$B$1:$BX$1,0),FALSE)</f>
        <v>3319.482</v>
      </c>
      <c r="AQ276" s="31">
        <f>VLOOKUP($B276,Kraftvärmeprod!$B$1:$BX$549,MATCH(AQ$1,Kraftvärmeprod!$B$1:$BX$1,0),FALSE)</f>
        <v>1567.0039999999999</v>
      </c>
      <c r="AR276" s="31">
        <f>VLOOKUP($B276,Kraftvärmeprod!$B$1:$BX$549,MATCH("Summa tillförd energi exklusive rökgaskondensering",Kraftvärmeprod!$B$1:$BX$1,0),FALSE)</f>
        <v>5887.5599999999995</v>
      </c>
      <c r="AT276" s="32">
        <f t="shared" si="27"/>
        <v>0.45125620800467442</v>
      </c>
      <c r="AV276" s="31">
        <f t="shared" si="28"/>
        <v>1261.729</v>
      </c>
      <c r="AX276" s="31" t="str">
        <f>VLOOKUP(B276,Totalt!$B$1:$BZ$554,MATCH(AX$1,Totalt!$B$1:$BZ$1,0),FALSE)</f>
        <v>Ja</v>
      </c>
      <c r="BA276" s="32">
        <f t="shared" si="29"/>
        <v>1.1824068869563729</v>
      </c>
    </row>
    <row r="277" spans="1:53" x14ac:dyDescent="0.45">
      <c r="A277" s="31" t="s">
        <v>312</v>
      </c>
      <c r="B277" s="31" t="s">
        <v>319</v>
      </c>
      <c r="J277" s="31">
        <v>0</v>
      </c>
      <c r="K277" s="31">
        <v>0</v>
      </c>
      <c r="L277" s="31">
        <v>0</v>
      </c>
      <c r="M277" s="31">
        <v>0</v>
      </c>
      <c r="N277" s="31">
        <v>0</v>
      </c>
      <c r="O277" s="31">
        <v>0</v>
      </c>
      <c r="P277" s="31">
        <v>0</v>
      </c>
      <c r="Q277" s="31">
        <v>0</v>
      </c>
      <c r="R277" s="31">
        <v>0</v>
      </c>
      <c r="S277" s="31">
        <v>0</v>
      </c>
      <c r="T277" s="31">
        <v>0</v>
      </c>
      <c r="U277" s="31">
        <v>0</v>
      </c>
      <c r="W277" s="31">
        <v>0</v>
      </c>
      <c r="X277" s="31">
        <v>0</v>
      </c>
      <c r="Y277" s="31">
        <v>0</v>
      </c>
      <c r="Z277" s="31">
        <v>0</v>
      </c>
      <c r="AA277" s="31">
        <v>0</v>
      </c>
      <c r="AB277" s="31">
        <v>0</v>
      </c>
      <c r="AC277" s="31">
        <v>0</v>
      </c>
      <c r="AD277" s="31">
        <v>0</v>
      </c>
      <c r="AE277" s="31">
        <v>0</v>
      </c>
      <c r="AF277" s="31">
        <v>0</v>
      </c>
      <c r="AG277" s="31">
        <v>0</v>
      </c>
      <c r="AH277" s="31">
        <v>0</v>
      </c>
      <c r="AI277" s="31">
        <v>0</v>
      </c>
      <c r="AL277" s="31">
        <f t="shared" si="24"/>
        <v>0</v>
      </c>
      <c r="AM277" s="31">
        <f t="shared" si="25"/>
        <v>0</v>
      </c>
      <c r="AN277" s="31">
        <f t="shared" si="26"/>
        <v>0</v>
      </c>
      <c r="AP277" s="31">
        <f>VLOOKUP($B277,Kraftvärmeprod!$B$1:$BX$549,MATCH(AP$1,Kraftvärmeprod!$B$1:$BX$1,0),FALSE)</f>
        <v>0</v>
      </c>
      <c r="AQ277" s="31">
        <f>VLOOKUP($B277,Kraftvärmeprod!$B$1:$BX$549,MATCH(AQ$1,Kraftvärmeprod!$B$1:$BX$1,0),FALSE)</f>
        <v>0</v>
      </c>
      <c r="AR277" s="31">
        <f>VLOOKUP($B277,Kraftvärmeprod!$B$1:$BX$549,MATCH("Summa tillförd energi exklusive rökgaskondensering",Kraftvärmeprod!$B$1:$BX$1,0),FALSE)</f>
        <v>0</v>
      </c>
      <c r="AT277" s="32" t="str">
        <f t="shared" si="27"/>
        <v/>
      </c>
      <c r="AV277" s="31">
        <f t="shared" si="28"/>
        <v>0</v>
      </c>
      <c r="AX277" s="31" t="str">
        <f>VLOOKUP(B277,Totalt!$B$1:$BZ$554,MATCH(AX$1,Totalt!$B$1:$BZ$1,0),FALSE)</f>
        <v>Nej</v>
      </c>
      <c r="BA277" s="32" t="str">
        <f t="shared" si="29"/>
        <v/>
      </c>
    </row>
    <row r="278" spans="1:53" x14ac:dyDescent="0.45">
      <c r="A278" s="31" t="s">
        <v>312</v>
      </c>
      <c r="B278" s="31" t="s">
        <v>318</v>
      </c>
      <c r="J278" s="31">
        <v>0</v>
      </c>
      <c r="K278" s="31">
        <v>0</v>
      </c>
      <c r="L278" s="31">
        <v>0</v>
      </c>
      <c r="M278" s="31">
        <v>0</v>
      </c>
      <c r="N278" s="31">
        <v>0</v>
      </c>
      <c r="O278" s="31">
        <v>0</v>
      </c>
      <c r="P278" s="31">
        <v>0</v>
      </c>
      <c r="Q278" s="31">
        <v>0</v>
      </c>
      <c r="R278" s="31">
        <v>0</v>
      </c>
      <c r="S278" s="31">
        <v>0</v>
      </c>
      <c r="T278" s="31">
        <v>0</v>
      </c>
      <c r="U278" s="31">
        <v>0</v>
      </c>
      <c r="W278" s="31">
        <v>0</v>
      </c>
      <c r="X278" s="31">
        <v>0</v>
      </c>
      <c r="Y278" s="31">
        <v>0</v>
      </c>
      <c r="Z278" s="31">
        <v>0</v>
      </c>
      <c r="AA278" s="31">
        <v>0</v>
      </c>
      <c r="AB278" s="31">
        <v>0</v>
      </c>
      <c r="AC278" s="31">
        <v>0</v>
      </c>
      <c r="AD278" s="31">
        <v>0</v>
      </c>
      <c r="AE278" s="31">
        <v>0</v>
      </c>
      <c r="AF278" s="31">
        <v>0</v>
      </c>
      <c r="AG278" s="31">
        <v>0</v>
      </c>
      <c r="AH278" s="31">
        <v>0</v>
      </c>
      <c r="AI278" s="31">
        <v>0</v>
      </c>
      <c r="AL278" s="31">
        <f t="shared" si="24"/>
        <v>0</v>
      </c>
      <c r="AM278" s="31">
        <f t="shared" si="25"/>
        <v>0</v>
      </c>
      <c r="AN278" s="31">
        <f t="shared" si="26"/>
        <v>0</v>
      </c>
      <c r="AP278" s="31">
        <f>VLOOKUP($B278,Kraftvärmeprod!$B$1:$BX$549,MATCH(AP$1,Kraftvärmeprod!$B$1:$BX$1,0),FALSE)</f>
        <v>0</v>
      </c>
      <c r="AQ278" s="31">
        <f>VLOOKUP($B278,Kraftvärmeprod!$B$1:$BX$549,MATCH(AQ$1,Kraftvärmeprod!$B$1:$BX$1,0),FALSE)</f>
        <v>0</v>
      </c>
      <c r="AR278" s="31">
        <f>VLOOKUP($B278,Kraftvärmeprod!$B$1:$BX$549,MATCH("Summa tillförd energi exklusive rökgaskondensering",Kraftvärmeprod!$B$1:$BX$1,0),FALSE)</f>
        <v>0</v>
      </c>
      <c r="AT278" s="32" t="str">
        <f t="shared" si="27"/>
        <v/>
      </c>
      <c r="AV278" s="31">
        <f t="shared" si="28"/>
        <v>0</v>
      </c>
      <c r="AX278" s="31" t="str">
        <f>VLOOKUP(B278,Totalt!$B$1:$BZ$554,MATCH(AX$1,Totalt!$B$1:$BZ$1,0),FALSE)</f>
        <v>Nej</v>
      </c>
      <c r="BA278" s="32" t="str">
        <f t="shared" si="29"/>
        <v/>
      </c>
    </row>
    <row r="279" spans="1:53" x14ac:dyDescent="0.45">
      <c r="A279" s="31" t="s">
        <v>312</v>
      </c>
      <c r="B279" s="31" t="s">
        <v>311</v>
      </c>
      <c r="J279" s="31">
        <v>0</v>
      </c>
      <c r="K279" s="31">
        <v>0</v>
      </c>
      <c r="L279" s="31">
        <v>0</v>
      </c>
      <c r="M279" s="31">
        <v>0</v>
      </c>
      <c r="N279" s="31">
        <v>0</v>
      </c>
      <c r="O279" s="31">
        <v>0</v>
      </c>
      <c r="P279" s="31">
        <v>0</v>
      </c>
      <c r="Q279" s="31">
        <v>0</v>
      </c>
      <c r="R279" s="31">
        <v>0</v>
      </c>
      <c r="S279" s="31">
        <v>0</v>
      </c>
      <c r="T279" s="31">
        <v>0</v>
      </c>
      <c r="U279" s="31">
        <v>0</v>
      </c>
      <c r="W279" s="31">
        <v>0</v>
      </c>
      <c r="X279" s="31">
        <v>0</v>
      </c>
      <c r="Y279" s="31">
        <v>0</v>
      </c>
      <c r="Z279" s="31">
        <v>0</v>
      </c>
      <c r="AA279" s="31">
        <v>0</v>
      </c>
      <c r="AB279" s="31">
        <v>0</v>
      </c>
      <c r="AC279" s="31">
        <v>0</v>
      </c>
      <c r="AD279" s="31">
        <v>0</v>
      </c>
      <c r="AE279" s="31">
        <v>0</v>
      </c>
      <c r="AF279" s="31">
        <v>0</v>
      </c>
      <c r="AG279" s="31">
        <v>0</v>
      </c>
      <c r="AH279" s="31">
        <v>0</v>
      </c>
      <c r="AI279" s="31">
        <v>0</v>
      </c>
      <c r="AL279" s="31">
        <f t="shared" si="24"/>
        <v>0</v>
      </c>
      <c r="AM279" s="31">
        <f t="shared" si="25"/>
        <v>0</v>
      </c>
      <c r="AN279" s="31">
        <f t="shared" si="26"/>
        <v>0</v>
      </c>
      <c r="AP279" s="31">
        <f>VLOOKUP($B279,Kraftvärmeprod!$B$1:$BX$549,MATCH(AP$1,Kraftvärmeprod!$B$1:$BX$1,0),FALSE)</f>
        <v>0</v>
      </c>
      <c r="AQ279" s="31">
        <f>VLOOKUP($B279,Kraftvärmeprod!$B$1:$BX$549,MATCH(AQ$1,Kraftvärmeprod!$B$1:$BX$1,0),FALSE)</f>
        <v>0</v>
      </c>
      <c r="AR279" s="31">
        <f>VLOOKUP($B279,Kraftvärmeprod!$B$1:$BX$549,MATCH("Summa tillförd energi exklusive rökgaskondensering",Kraftvärmeprod!$B$1:$BX$1,0),FALSE)</f>
        <v>0</v>
      </c>
      <c r="AT279" s="32" t="str">
        <f t="shared" si="27"/>
        <v/>
      </c>
      <c r="AV279" s="31">
        <f t="shared" si="28"/>
        <v>0</v>
      </c>
      <c r="AX279" s="31" t="str">
        <f>VLOOKUP(B279,Totalt!$B$1:$BZ$554,MATCH(AX$1,Totalt!$B$1:$BZ$1,0),FALSE)</f>
        <v>Nej</v>
      </c>
      <c r="BA279" s="32" t="str">
        <f t="shared" si="29"/>
        <v/>
      </c>
    </row>
    <row r="280" spans="1:53" x14ac:dyDescent="0.45">
      <c r="A280" s="31" t="s">
        <v>312</v>
      </c>
      <c r="B280" s="31" t="s">
        <v>317</v>
      </c>
      <c r="J280" s="31">
        <v>0</v>
      </c>
      <c r="K280" s="31">
        <v>0</v>
      </c>
      <c r="L280" s="31">
        <v>0</v>
      </c>
      <c r="M280" s="31">
        <v>0</v>
      </c>
      <c r="N280" s="31">
        <v>0</v>
      </c>
      <c r="O280" s="31">
        <v>0</v>
      </c>
      <c r="P280" s="31">
        <v>0</v>
      </c>
      <c r="Q280" s="31">
        <v>0</v>
      </c>
      <c r="R280" s="31">
        <v>0</v>
      </c>
      <c r="S280" s="31">
        <v>0</v>
      </c>
      <c r="T280" s="31">
        <v>0</v>
      </c>
      <c r="U280" s="31">
        <v>0</v>
      </c>
      <c r="W280" s="31">
        <v>0</v>
      </c>
      <c r="X280" s="31">
        <v>0</v>
      </c>
      <c r="Y280" s="31">
        <v>0</v>
      </c>
      <c r="Z280" s="31">
        <v>0</v>
      </c>
      <c r="AA280" s="31">
        <v>0</v>
      </c>
      <c r="AB280" s="31">
        <v>0</v>
      </c>
      <c r="AC280" s="31">
        <v>0</v>
      </c>
      <c r="AD280" s="31">
        <v>0</v>
      </c>
      <c r="AE280" s="31">
        <v>0</v>
      </c>
      <c r="AF280" s="31">
        <v>0</v>
      </c>
      <c r="AG280" s="31">
        <v>0</v>
      </c>
      <c r="AH280" s="31">
        <v>0</v>
      </c>
      <c r="AI280" s="31">
        <v>0</v>
      </c>
      <c r="AL280" s="31">
        <f t="shared" si="24"/>
        <v>0</v>
      </c>
      <c r="AM280" s="31">
        <f t="shared" si="25"/>
        <v>0</v>
      </c>
      <c r="AN280" s="31">
        <f t="shared" si="26"/>
        <v>0</v>
      </c>
      <c r="AP280" s="31">
        <f>VLOOKUP($B280,Kraftvärmeprod!$B$1:$BX$549,MATCH(AP$1,Kraftvärmeprod!$B$1:$BX$1,0),FALSE)</f>
        <v>0</v>
      </c>
      <c r="AQ280" s="31">
        <f>VLOOKUP($B280,Kraftvärmeprod!$B$1:$BX$549,MATCH(AQ$1,Kraftvärmeprod!$B$1:$BX$1,0),FALSE)</f>
        <v>0</v>
      </c>
      <c r="AR280" s="31">
        <f>VLOOKUP($B280,Kraftvärmeprod!$B$1:$BX$549,MATCH("Summa tillförd energi exklusive rökgaskondensering",Kraftvärmeprod!$B$1:$BX$1,0),FALSE)</f>
        <v>0</v>
      </c>
      <c r="AT280" s="32" t="str">
        <f t="shared" si="27"/>
        <v/>
      </c>
      <c r="AV280" s="31">
        <f t="shared" si="28"/>
        <v>0</v>
      </c>
      <c r="AX280" s="31" t="str">
        <f>VLOOKUP(B280,Totalt!$B$1:$BZ$554,MATCH(AX$1,Totalt!$B$1:$BZ$1,0),FALSE)</f>
        <v>Nej</v>
      </c>
      <c r="BA280" s="32" t="str">
        <f t="shared" si="29"/>
        <v/>
      </c>
    </row>
    <row r="281" spans="1:53" x14ac:dyDescent="0.45">
      <c r="A281" s="31" t="s">
        <v>312</v>
      </c>
      <c r="B281" s="31" t="s">
        <v>314</v>
      </c>
      <c r="J281" s="31">
        <v>0</v>
      </c>
      <c r="K281" s="31">
        <v>0</v>
      </c>
      <c r="L281" s="31">
        <v>0</v>
      </c>
      <c r="M281" s="31">
        <v>0</v>
      </c>
      <c r="N281" s="31">
        <v>0</v>
      </c>
      <c r="O281" s="31">
        <v>0</v>
      </c>
      <c r="P281" s="31">
        <v>0</v>
      </c>
      <c r="Q281" s="31">
        <v>0</v>
      </c>
      <c r="R281" s="31">
        <v>0</v>
      </c>
      <c r="S281" s="31">
        <v>0</v>
      </c>
      <c r="T281" s="31">
        <v>0</v>
      </c>
      <c r="U281" s="31">
        <v>0</v>
      </c>
      <c r="W281" s="31">
        <v>0</v>
      </c>
      <c r="X281" s="31">
        <v>0</v>
      </c>
      <c r="Y281" s="31">
        <v>0</v>
      </c>
      <c r="Z281" s="31">
        <v>0</v>
      </c>
      <c r="AA281" s="31">
        <v>0</v>
      </c>
      <c r="AB281" s="31">
        <v>0</v>
      </c>
      <c r="AC281" s="31">
        <v>0</v>
      </c>
      <c r="AD281" s="31">
        <v>0</v>
      </c>
      <c r="AE281" s="31">
        <v>0</v>
      </c>
      <c r="AF281" s="31">
        <v>0</v>
      </c>
      <c r="AG281" s="31">
        <v>0</v>
      </c>
      <c r="AH281" s="31">
        <v>0</v>
      </c>
      <c r="AI281" s="31">
        <v>0</v>
      </c>
      <c r="AL281" s="31">
        <f t="shared" si="24"/>
        <v>0</v>
      </c>
      <c r="AM281" s="31">
        <f t="shared" si="25"/>
        <v>0</v>
      </c>
      <c r="AN281" s="31">
        <f t="shared" si="26"/>
        <v>0</v>
      </c>
      <c r="AP281" s="31">
        <f>VLOOKUP($B281,Kraftvärmeprod!$B$1:$BX$549,MATCH(AP$1,Kraftvärmeprod!$B$1:$BX$1,0),FALSE)</f>
        <v>0</v>
      </c>
      <c r="AQ281" s="31">
        <f>VLOOKUP($B281,Kraftvärmeprod!$B$1:$BX$549,MATCH(AQ$1,Kraftvärmeprod!$B$1:$BX$1,0),FALSE)</f>
        <v>0</v>
      </c>
      <c r="AR281" s="31">
        <f>VLOOKUP($B281,Kraftvärmeprod!$B$1:$BX$549,MATCH("Summa tillförd energi exklusive rökgaskondensering",Kraftvärmeprod!$B$1:$BX$1,0),FALSE)</f>
        <v>0</v>
      </c>
      <c r="AT281" s="32" t="str">
        <f t="shared" si="27"/>
        <v/>
      </c>
      <c r="AV281" s="31">
        <f t="shared" si="28"/>
        <v>0</v>
      </c>
      <c r="AX281" s="31" t="str">
        <f>VLOOKUP(B281,Totalt!$B$1:$BZ$554,MATCH(AX$1,Totalt!$B$1:$BZ$1,0),FALSE)</f>
        <v>Nej</v>
      </c>
      <c r="BA281" s="32" t="str">
        <f t="shared" si="29"/>
        <v/>
      </c>
    </row>
    <row r="282" spans="1:53" x14ac:dyDescent="0.45">
      <c r="A282" s="31" t="s">
        <v>312</v>
      </c>
      <c r="B282" s="31" t="s">
        <v>316</v>
      </c>
      <c r="J282" s="31">
        <v>0</v>
      </c>
      <c r="K282" s="31">
        <v>0</v>
      </c>
      <c r="L282" s="31">
        <v>0</v>
      </c>
      <c r="M282" s="31">
        <v>0</v>
      </c>
      <c r="N282" s="31">
        <v>0</v>
      </c>
      <c r="O282" s="31">
        <v>0</v>
      </c>
      <c r="P282" s="31">
        <v>0</v>
      </c>
      <c r="Q282" s="31">
        <v>0</v>
      </c>
      <c r="R282" s="31">
        <v>0</v>
      </c>
      <c r="S282" s="31">
        <v>0</v>
      </c>
      <c r="T282" s="31">
        <v>0</v>
      </c>
      <c r="U282" s="31">
        <v>0</v>
      </c>
      <c r="W282" s="31">
        <v>0</v>
      </c>
      <c r="X282" s="31">
        <v>0</v>
      </c>
      <c r="Y282" s="31">
        <v>0</v>
      </c>
      <c r="Z282" s="31">
        <v>0</v>
      </c>
      <c r="AA282" s="31">
        <v>0</v>
      </c>
      <c r="AB282" s="31">
        <v>0</v>
      </c>
      <c r="AC282" s="31">
        <v>0</v>
      </c>
      <c r="AD282" s="31">
        <v>0</v>
      </c>
      <c r="AE282" s="31">
        <v>0</v>
      </c>
      <c r="AF282" s="31">
        <v>0</v>
      </c>
      <c r="AG282" s="31">
        <v>0</v>
      </c>
      <c r="AH282" s="31">
        <v>0</v>
      </c>
      <c r="AI282" s="31">
        <v>0</v>
      </c>
      <c r="AL282" s="31">
        <f t="shared" si="24"/>
        <v>0</v>
      </c>
      <c r="AM282" s="31">
        <f t="shared" si="25"/>
        <v>0</v>
      </c>
      <c r="AN282" s="31">
        <f t="shared" si="26"/>
        <v>0</v>
      </c>
      <c r="AP282" s="31">
        <f>VLOOKUP($B282,Kraftvärmeprod!$B$1:$BX$549,MATCH(AP$1,Kraftvärmeprod!$B$1:$BX$1,0),FALSE)</f>
        <v>0</v>
      </c>
      <c r="AQ282" s="31">
        <f>VLOOKUP($B282,Kraftvärmeprod!$B$1:$BX$549,MATCH(AQ$1,Kraftvärmeprod!$B$1:$BX$1,0),FALSE)</f>
        <v>0</v>
      </c>
      <c r="AR282" s="31">
        <f>VLOOKUP($B282,Kraftvärmeprod!$B$1:$BX$549,MATCH("Summa tillförd energi exklusive rökgaskondensering",Kraftvärmeprod!$B$1:$BX$1,0),FALSE)</f>
        <v>0</v>
      </c>
      <c r="AT282" s="32" t="str">
        <f t="shared" si="27"/>
        <v/>
      </c>
      <c r="AV282" s="31">
        <f t="shared" si="28"/>
        <v>0</v>
      </c>
      <c r="AX282" s="31" t="str">
        <f>VLOOKUP(B282,Totalt!$B$1:$BZ$554,MATCH(AX$1,Totalt!$B$1:$BZ$1,0),FALSE)</f>
        <v>Nej</v>
      </c>
      <c r="BA282" s="32" t="str">
        <f t="shared" si="29"/>
        <v/>
      </c>
    </row>
    <row r="283" spans="1:53" x14ac:dyDescent="0.45">
      <c r="A283" s="31" t="s">
        <v>312</v>
      </c>
      <c r="B283" s="31" t="s">
        <v>315</v>
      </c>
      <c r="J283" s="31">
        <v>0</v>
      </c>
      <c r="K283" s="31">
        <v>0</v>
      </c>
      <c r="L283" s="31">
        <v>0</v>
      </c>
      <c r="M283" s="31">
        <v>0</v>
      </c>
      <c r="N283" s="31">
        <v>0</v>
      </c>
      <c r="O283" s="31">
        <v>0</v>
      </c>
      <c r="P283" s="31">
        <v>0</v>
      </c>
      <c r="Q283" s="31">
        <v>0</v>
      </c>
      <c r="R283" s="31">
        <v>0</v>
      </c>
      <c r="S283" s="31">
        <v>0</v>
      </c>
      <c r="T283" s="31">
        <v>0</v>
      </c>
      <c r="U283" s="31">
        <v>0</v>
      </c>
      <c r="W283" s="31">
        <v>0</v>
      </c>
      <c r="X283" s="31">
        <v>0</v>
      </c>
      <c r="Y283" s="31">
        <v>0</v>
      </c>
      <c r="Z283" s="31">
        <v>0</v>
      </c>
      <c r="AA283" s="31">
        <v>0</v>
      </c>
      <c r="AB283" s="31">
        <v>0</v>
      </c>
      <c r="AC283" s="31">
        <v>0</v>
      </c>
      <c r="AD283" s="31">
        <v>0</v>
      </c>
      <c r="AE283" s="31">
        <v>0</v>
      </c>
      <c r="AF283" s="31">
        <v>0</v>
      </c>
      <c r="AG283" s="31">
        <v>0</v>
      </c>
      <c r="AH283" s="31">
        <v>0</v>
      </c>
      <c r="AI283" s="31">
        <v>0</v>
      </c>
      <c r="AL283" s="31">
        <f t="shared" si="24"/>
        <v>0</v>
      </c>
      <c r="AM283" s="31">
        <f t="shared" si="25"/>
        <v>0</v>
      </c>
      <c r="AN283" s="31">
        <f t="shared" si="26"/>
        <v>0</v>
      </c>
      <c r="AP283" s="31">
        <f>VLOOKUP($B283,Kraftvärmeprod!$B$1:$BX$549,MATCH(AP$1,Kraftvärmeprod!$B$1:$BX$1,0),FALSE)</f>
        <v>0</v>
      </c>
      <c r="AQ283" s="31">
        <f>VLOOKUP($B283,Kraftvärmeprod!$B$1:$BX$549,MATCH(AQ$1,Kraftvärmeprod!$B$1:$BX$1,0),FALSE)</f>
        <v>0</v>
      </c>
      <c r="AR283" s="31">
        <f>VLOOKUP($B283,Kraftvärmeprod!$B$1:$BX$549,MATCH("Summa tillförd energi exklusive rökgaskondensering",Kraftvärmeprod!$B$1:$BX$1,0),FALSE)</f>
        <v>0</v>
      </c>
      <c r="AT283" s="32" t="str">
        <f t="shared" si="27"/>
        <v/>
      </c>
      <c r="AV283" s="31">
        <f t="shared" si="28"/>
        <v>0</v>
      </c>
      <c r="AX283" s="31" t="str">
        <f>VLOOKUP(B283,Totalt!$B$1:$BZ$554,MATCH(AX$1,Totalt!$B$1:$BZ$1,0),FALSE)</f>
        <v>Nej</v>
      </c>
      <c r="BA283" s="32" t="str">
        <f t="shared" si="29"/>
        <v/>
      </c>
    </row>
    <row r="284" spans="1:53" x14ac:dyDescent="0.45">
      <c r="A284" s="31" t="s">
        <v>305</v>
      </c>
      <c r="B284" s="31" t="s">
        <v>310</v>
      </c>
      <c r="J284" s="31">
        <v>0</v>
      </c>
      <c r="K284" s="31">
        <v>0</v>
      </c>
      <c r="L284" s="31">
        <v>0</v>
      </c>
      <c r="M284" s="31">
        <v>0</v>
      </c>
      <c r="N284" s="31">
        <v>0</v>
      </c>
      <c r="O284" s="31">
        <v>0</v>
      </c>
      <c r="P284" s="31">
        <v>0</v>
      </c>
      <c r="Q284" s="31">
        <v>0</v>
      </c>
      <c r="R284" s="31">
        <v>0</v>
      </c>
      <c r="S284" s="31">
        <v>0</v>
      </c>
      <c r="T284" s="31">
        <v>0</v>
      </c>
      <c r="U284" s="31">
        <v>0</v>
      </c>
      <c r="W284" s="31">
        <v>0</v>
      </c>
      <c r="X284" s="31">
        <v>0</v>
      </c>
      <c r="Y284" s="31">
        <v>0</v>
      </c>
      <c r="Z284" s="31">
        <v>0</v>
      </c>
      <c r="AA284" s="31">
        <v>0</v>
      </c>
      <c r="AB284" s="31">
        <v>0</v>
      </c>
      <c r="AC284" s="31">
        <v>0</v>
      </c>
      <c r="AD284" s="31">
        <v>0</v>
      </c>
      <c r="AE284" s="31">
        <v>0</v>
      </c>
      <c r="AF284" s="31">
        <v>0</v>
      </c>
      <c r="AG284" s="31">
        <v>0</v>
      </c>
      <c r="AH284" s="31">
        <v>0</v>
      </c>
      <c r="AI284" s="31">
        <v>0</v>
      </c>
      <c r="AL284" s="31">
        <f t="shared" si="24"/>
        <v>0</v>
      </c>
      <c r="AM284" s="31">
        <f t="shared" si="25"/>
        <v>0</v>
      </c>
      <c r="AN284" s="31">
        <f t="shared" si="26"/>
        <v>0</v>
      </c>
      <c r="AP284" s="31">
        <f>VLOOKUP($B284,Kraftvärmeprod!$B$1:$BX$549,MATCH(AP$1,Kraftvärmeprod!$B$1:$BX$1,0),FALSE)</f>
        <v>0</v>
      </c>
      <c r="AQ284" s="31">
        <f>VLOOKUP($B284,Kraftvärmeprod!$B$1:$BX$549,MATCH(AQ$1,Kraftvärmeprod!$B$1:$BX$1,0),FALSE)</f>
        <v>0</v>
      </c>
      <c r="AR284" s="31">
        <f>VLOOKUP($B284,Kraftvärmeprod!$B$1:$BX$549,MATCH("Summa tillförd energi exklusive rökgaskondensering",Kraftvärmeprod!$B$1:$BX$1,0),FALSE)</f>
        <v>0</v>
      </c>
      <c r="AT284" s="32" t="str">
        <f t="shared" si="27"/>
        <v/>
      </c>
      <c r="AV284" s="31">
        <f t="shared" si="28"/>
        <v>0</v>
      </c>
      <c r="AX284" s="31" t="str">
        <f>VLOOKUP(B284,Totalt!$B$1:$BZ$554,MATCH(AX$1,Totalt!$B$1:$BZ$1,0),FALSE)</f>
        <v>Ja</v>
      </c>
      <c r="BA284" s="32" t="str">
        <f t="shared" si="29"/>
        <v/>
      </c>
    </row>
    <row r="285" spans="1:53" x14ac:dyDescent="0.45">
      <c r="A285" s="31" t="s">
        <v>305</v>
      </c>
      <c r="B285" s="31" t="s">
        <v>309</v>
      </c>
      <c r="J285" s="31">
        <v>0</v>
      </c>
      <c r="K285" s="31">
        <v>0</v>
      </c>
      <c r="L285" s="31">
        <v>0</v>
      </c>
      <c r="M285" s="31">
        <v>0</v>
      </c>
      <c r="N285" s="31">
        <v>0</v>
      </c>
      <c r="O285" s="31">
        <v>0</v>
      </c>
      <c r="P285" s="31">
        <v>0</v>
      </c>
      <c r="Q285" s="31">
        <v>0</v>
      </c>
      <c r="R285" s="31">
        <v>0</v>
      </c>
      <c r="S285" s="31">
        <v>0</v>
      </c>
      <c r="T285" s="31">
        <v>0</v>
      </c>
      <c r="U285" s="31">
        <v>0</v>
      </c>
      <c r="W285" s="31">
        <v>0</v>
      </c>
      <c r="X285" s="31">
        <v>0</v>
      </c>
      <c r="Y285" s="31">
        <v>0</v>
      </c>
      <c r="Z285" s="31">
        <v>0</v>
      </c>
      <c r="AA285" s="31">
        <v>0</v>
      </c>
      <c r="AB285" s="31">
        <v>0</v>
      </c>
      <c r="AC285" s="31">
        <v>0</v>
      </c>
      <c r="AD285" s="31">
        <v>0</v>
      </c>
      <c r="AE285" s="31">
        <v>0</v>
      </c>
      <c r="AF285" s="31">
        <v>0</v>
      </c>
      <c r="AG285" s="31">
        <v>0</v>
      </c>
      <c r="AH285" s="31">
        <v>0</v>
      </c>
      <c r="AI285" s="31">
        <v>0</v>
      </c>
      <c r="AL285" s="31">
        <f t="shared" si="24"/>
        <v>0</v>
      </c>
      <c r="AM285" s="31">
        <f t="shared" si="25"/>
        <v>0</v>
      </c>
      <c r="AN285" s="31">
        <f t="shared" si="26"/>
        <v>0</v>
      </c>
      <c r="AP285" s="31">
        <f>VLOOKUP($B285,Kraftvärmeprod!$B$1:$BX$549,MATCH(AP$1,Kraftvärmeprod!$B$1:$BX$1,0),FALSE)</f>
        <v>0</v>
      </c>
      <c r="AQ285" s="31">
        <f>VLOOKUP($B285,Kraftvärmeprod!$B$1:$BX$549,MATCH(AQ$1,Kraftvärmeprod!$B$1:$BX$1,0),FALSE)</f>
        <v>0</v>
      </c>
      <c r="AR285" s="31">
        <f>VLOOKUP($B285,Kraftvärmeprod!$B$1:$BX$549,MATCH("Summa tillförd energi exklusive rökgaskondensering",Kraftvärmeprod!$B$1:$BX$1,0),FALSE)</f>
        <v>0</v>
      </c>
      <c r="AT285" s="32" t="str">
        <f t="shared" si="27"/>
        <v/>
      </c>
      <c r="AV285" s="31">
        <f t="shared" si="28"/>
        <v>0</v>
      </c>
      <c r="AX285" s="31" t="str">
        <f>VLOOKUP(B285,Totalt!$B$1:$BZ$554,MATCH(AX$1,Totalt!$B$1:$BZ$1,0),FALSE)</f>
        <v>Ja</v>
      </c>
      <c r="BA285" s="32" t="str">
        <f t="shared" si="29"/>
        <v/>
      </c>
    </row>
    <row r="286" spans="1:53" x14ac:dyDescent="0.45">
      <c r="A286" s="31" t="s">
        <v>305</v>
      </c>
      <c r="B286" s="31" t="s">
        <v>308</v>
      </c>
      <c r="J286" s="31">
        <v>0</v>
      </c>
      <c r="K286" s="31">
        <v>0</v>
      </c>
      <c r="L286" s="31">
        <v>0</v>
      </c>
      <c r="M286" s="31">
        <v>0</v>
      </c>
      <c r="N286" s="31">
        <v>0</v>
      </c>
      <c r="O286" s="31">
        <v>0</v>
      </c>
      <c r="P286" s="31">
        <v>0</v>
      </c>
      <c r="Q286" s="31">
        <v>0</v>
      </c>
      <c r="R286" s="31">
        <v>0</v>
      </c>
      <c r="S286" s="31">
        <v>0</v>
      </c>
      <c r="T286" s="31">
        <v>0</v>
      </c>
      <c r="U286" s="31">
        <v>0.72013000000000005</v>
      </c>
      <c r="W286" s="31">
        <v>0</v>
      </c>
      <c r="X286" s="31">
        <v>0</v>
      </c>
      <c r="Y286" s="31">
        <v>0</v>
      </c>
      <c r="Z286" s="31">
        <v>0</v>
      </c>
      <c r="AA286" s="31">
        <v>0</v>
      </c>
      <c r="AB286" s="31">
        <v>0</v>
      </c>
      <c r="AC286" s="31">
        <v>0</v>
      </c>
      <c r="AD286" s="31">
        <v>0</v>
      </c>
      <c r="AE286" s="31">
        <v>169.25200000000001</v>
      </c>
      <c r="AF286" s="31">
        <v>0</v>
      </c>
      <c r="AG286" s="31">
        <v>0</v>
      </c>
      <c r="AH286" s="31">
        <v>44.762999999999998</v>
      </c>
      <c r="AI286" s="31">
        <v>7.9863099999999996</v>
      </c>
      <c r="AL286" s="31">
        <f t="shared" si="24"/>
        <v>222.72144000000003</v>
      </c>
      <c r="AM286" s="31">
        <f t="shared" si="25"/>
        <v>214.73513000000003</v>
      </c>
      <c r="AN286" s="31">
        <f t="shared" si="26"/>
        <v>169.97213000000002</v>
      </c>
      <c r="AP286" s="31">
        <f>VLOOKUP($B286,Kraftvärmeprod!$B$1:$BX$549,MATCH(AP$1,Kraftvärmeprod!$B$1:$BX$1,0),FALSE)</f>
        <v>181.93600000000001</v>
      </c>
      <c r="AQ286" s="31">
        <f>VLOOKUP($B286,Kraftvärmeprod!$B$1:$BX$549,MATCH(AQ$1,Kraftvärmeprod!$B$1:$BX$1,0),FALSE)</f>
        <v>40.801000000000002</v>
      </c>
      <c r="AR286" s="31">
        <f>VLOOKUP($B286,Kraftvärmeprod!$B$1:$BX$549,MATCH("Summa tillförd energi exklusive rökgaskondensering",Kraftvärmeprod!$B$1:$BX$1,0),FALSE)</f>
        <v>291.85300000000001</v>
      </c>
      <c r="AT286" s="32">
        <f t="shared" si="27"/>
        <v>0.58238952486354434</v>
      </c>
      <c r="AV286" s="31">
        <f t="shared" si="28"/>
        <v>0.72013000000000005</v>
      </c>
      <c r="AX286" s="31" t="str">
        <f>VLOOKUP(B286,Totalt!$B$1:$BZ$554,MATCH(AX$1,Totalt!$B$1:$BZ$1,0),FALSE)</f>
        <v>Ja</v>
      </c>
      <c r="BA286" s="32">
        <f t="shared" si="29"/>
        <v>1.0223510612927378</v>
      </c>
    </row>
    <row r="287" spans="1:53" x14ac:dyDescent="0.45">
      <c r="A287" s="31" t="s">
        <v>305</v>
      </c>
      <c r="B287" s="31" t="s">
        <v>304</v>
      </c>
      <c r="J287" s="31">
        <v>0</v>
      </c>
      <c r="K287" s="31">
        <v>0</v>
      </c>
      <c r="L287" s="31">
        <v>0</v>
      </c>
      <c r="M287" s="31">
        <v>0</v>
      </c>
      <c r="N287" s="31">
        <v>0</v>
      </c>
      <c r="O287" s="31">
        <v>0</v>
      </c>
      <c r="P287" s="31">
        <v>0</v>
      </c>
      <c r="Q287" s="31">
        <v>0</v>
      </c>
      <c r="R287" s="31">
        <v>0</v>
      </c>
      <c r="S287" s="31">
        <v>0</v>
      </c>
      <c r="T287" s="31">
        <v>0</v>
      </c>
      <c r="U287" s="31">
        <v>0</v>
      </c>
      <c r="W287" s="31">
        <v>0</v>
      </c>
      <c r="X287" s="31">
        <v>0</v>
      </c>
      <c r="Y287" s="31">
        <v>0</v>
      </c>
      <c r="Z287" s="31">
        <v>0</v>
      </c>
      <c r="AA287" s="31">
        <v>0</v>
      </c>
      <c r="AB287" s="31">
        <v>0</v>
      </c>
      <c r="AC287" s="31">
        <v>0</v>
      </c>
      <c r="AD287" s="31">
        <v>0</v>
      </c>
      <c r="AE287" s="31">
        <v>0</v>
      </c>
      <c r="AF287" s="31">
        <v>0</v>
      </c>
      <c r="AG287" s="31">
        <v>0</v>
      </c>
      <c r="AH287" s="31">
        <v>0</v>
      </c>
      <c r="AI287" s="31">
        <v>0</v>
      </c>
      <c r="AL287" s="31">
        <f t="shared" si="24"/>
        <v>0</v>
      </c>
      <c r="AM287" s="31">
        <f t="shared" si="25"/>
        <v>0</v>
      </c>
      <c r="AN287" s="31">
        <f t="shared" si="26"/>
        <v>0</v>
      </c>
      <c r="AP287" s="31">
        <f>VLOOKUP($B287,Kraftvärmeprod!$B$1:$BX$549,MATCH(AP$1,Kraftvärmeprod!$B$1:$BX$1,0),FALSE)</f>
        <v>0</v>
      </c>
      <c r="AQ287" s="31">
        <f>VLOOKUP($B287,Kraftvärmeprod!$B$1:$BX$549,MATCH(AQ$1,Kraftvärmeprod!$B$1:$BX$1,0),FALSE)</f>
        <v>0</v>
      </c>
      <c r="AR287" s="31">
        <f>VLOOKUP($B287,Kraftvärmeprod!$B$1:$BX$549,MATCH("Summa tillförd energi exklusive rökgaskondensering",Kraftvärmeprod!$B$1:$BX$1,0),FALSE)</f>
        <v>0</v>
      </c>
      <c r="AT287" s="32" t="str">
        <f t="shared" si="27"/>
        <v/>
      </c>
      <c r="AV287" s="31">
        <f t="shared" si="28"/>
        <v>0</v>
      </c>
      <c r="AX287" s="31" t="str">
        <f>VLOOKUP(B287,Totalt!$B$1:$BZ$554,MATCH(AX$1,Totalt!$B$1:$BZ$1,0),FALSE)</f>
        <v>Ja</v>
      </c>
      <c r="BA287" s="32" t="str">
        <f t="shared" si="29"/>
        <v/>
      </c>
    </row>
    <row r="288" spans="1:53" x14ac:dyDescent="0.45">
      <c r="A288" s="31" t="s">
        <v>305</v>
      </c>
      <c r="B288" s="31" t="s">
        <v>306</v>
      </c>
      <c r="J288" s="31">
        <v>0</v>
      </c>
      <c r="K288" s="31">
        <v>0</v>
      </c>
      <c r="L288" s="31">
        <v>0</v>
      </c>
      <c r="M288" s="31">
        <v>0</v>
      </c>
      <c r="N288" s="31">
        <v>0</v>
      </c>
      <c r="O288" s="31">
        <v>0</v>
      </c>
      <c r="P288" s="31">
        <v>0</v>
      </c>
      <c r="Q288" s="31">
        <v>0</v>
      </c>
      <c r="R288" s="31">
        <v>0</v>
      </c>
      <c r="S288" s="31">
        <v>0</v>
      </c>
      <c r="T288" s="31">
        <v>0</v>
      </c>
      <c r="U288" s="31">
        <v>0</v>
      </c>
      <c r="W288" s="31">
        <v>0</v>
      </c>
      <c r="X288" s="31">
        <v>0</v>
      </c>
      <c r="Y288" s="31">
        <v>0</v>
      </c>
      <c r="Z288" s="31">
        <v>0</v>
      </c>
      <c r="AA288" s="31">
        <v>0</v>
      </c>
      <c r="AB288" s="31">
        <v>0</v>
      </c>
      <c r="AC288" s="31">
        <v>0</v>
      </c>
      <c r="AD288" s="31">
        <v>0</v>
      </c>
      <c r="AE288" s="31">
        <v>21.185300000000002</v>
      </c>
      <c r="AF288" s="31">
        <v>0</v>
      </c>
      <c r="AG288" s="31">
        <v>0</v>
      </c>
      <c r="AH288" s="31">
        <v>0</v>
      </c>
      <c r="AI288" s="31">
        <v>0.47260000000000002</v>
      </c>
      <c r="AL288" s="31">
        <f t="shared" si="24"/>
        <v>21.657900000000001</v>
      </c>
      <c r="AM288" s="31">
        <f t="shared" si="25"/>
        <v>21.185300000000002</v>
      </c>
      <c r="AN288" s="31">
        <f t="shared" si="26"/>
        <v>21.185300000000002</v>
      </c>
      <c r="AP288" s="31">
        <f>VLOOKUP($B288,Kraftvärmeprod!$B$1:$BX$549,MATCH(AP$1,Kraftvärmeprod!$B$1:$BX$1,0),FALSE)</f>
        <v>27.027999999999999</v>
      </c>
      <c r="AQ288" s="31">
        <f>VLOOKUP($B288,Kraftvärmeprod!$B$1:$BX$549,MATCH(AQ$1,Kraftvärmeprod!$B$1:$BX$1,0),FALSE)</f>
        <v>6.03</v>
      </c>
      <c r="AR288" s="31">
        <f>VLOOKUP($B288,Kraftvärmeprod!$B$1:$BX$549,MATCH("Summa tillförd energi exklusive rökgaskondensering",Kraftvärmeprod!$B$1:$BX$1,0),FALSE)</f>
        <v>36.31</v>
      </c>
      <c r="AT288" s="32">
        <f t="shared" si="27"/>
        <v>0.58345634811346736</v>
      </c>
      <c r="AV288" s="31">
        <f t="shared" si="28"/>
        <v>0</v>
      </c>
      <c r="AX288" s="31" t="str">
        <f>VLOOKUP(B288,Totalt!$B$1:$BZ$554,MATCH(AX$1,Totalt!$B$1:$BZ$1,0),FALSE)</f>
        <v>Ja</v>
      </c>
      <c r="BA288" s="32">
        <f t="shared" si="29"/>
        <v>1.2479510940580572</v>
      </c>
    </row>
    <row r="289" spans="1:53" x14ac:dyDescent="0.45">
      <c r="A289" s="31" t="s">
        <v>305</v>
      </c>
      <c r="B289" s="31" t="s">
        <v>307</v>
      </c>
      <c r="J289" s="31">
        <v>0</v>
      </c>
      <c r="K289" s="31">
        <v>0</v>
      </c>
      <c r="L289" s="31">
        <v>0</v>
      </c>
      <c r="M289" s="31">
        <v>0</v>
      </c>
      <c r="N289" s="31">
        <v>0</v>
      </c>
      <c r="O289" s="31">
        <v>0</v>
      </c>
      <c r="P289" s="31">
        <v>0</v>
      </c>
      <c r="Q289" s="31">
        <v>0</v>
      </c>
      <c r="R289" s="31">
        <v>0</v>
      </c>
      <c r="S289" s="31">
        <v>0</v>
      </c>
      <c r="T289" s="31">
        <v>0</v>
      </c>
      <c r="U289" s="31">
        <v>0</v>
      </c>
      <c r="W289" s="31">
        <v>0</v>
      </c>
      <c r="X289" s="31">
        <v>0</v>
      </c>
      <c r="Y289" s="31">
        <v>0</v>
      </c>
      <c r="Z289" s="31">
        <v>0</v>
      </c>
      <c r="AA289" s="31">
        <v>0</v>
      </c>
      <c r="AB289" s="31">
        <v>0</v>
      </c>
      <c r="AC289" s="31">
        <v>0</v>
      </c>
      <c r="AD289" s="31">
        <v>0</v>
      </c>
      <c r="AE289" s="31">
        <v>0</v>
      </c>
      <c r="AF289" s="31">
        <v>0</v>
      </c>
      <c r="AG289" s="31">
        <v>0</v>
      </c>
      <c r="AH289" s="31">
        <v>0</v>
      </c>
      <c r="AI289" s="31">
        <v>0</v>
      </c>
      <c r="AL289" s="31">
        <f t="shared" si="24"/>
        <v>0</v>
      </c>
      <c r="AM289" s="31">
        <f t="shared" si="25"/>
        <v>0</v>
      </c>
      <c r="AN289" s="31">
        <f t="shared" si="26"/>
        <v>0</v>
      </c>
      <c r="AP289" s="31">
        <f>VLOOKUP($B289,Kraftvärmeprod!$B$1:$BX$549,MATCH(AP$1,Kraftvärmeprod!$B$1:$BX$1,0),FALSE)</f>
        <v>0</v>
      </c>
      <c r="AQ289" s="31">
        <f>VLOOKUP($B289,Kraftvärmeprod!$B$1:$BX$549,MATCH(AQ$1,Kraftvärmeprod!$B$1:$BX$1,0),FALSE)</f>
        <v>0</v>
      </c>
      <c r="AR289" s="31">
        <f>VLOOKUP($B289,Kraftvärmeprod!$B$1:$BX$549,MATCH("Summa tillförd energi exklusive rökgaskondensering",Kraftvärmeprod!$B$1:$BX$1,0),FALSE)</f>
        <v>0</v>
      </c>
      <c r="AT289" s="32" t="str">
        <f t="shared" si="27"/>
        <v/>
      </c>
      <c r="AV289" s="31">
        <f t="shared" si="28"/>
        <v>0</v>
      </c>
      <c r="AX289" s="31" t="str">
        <f>VLOOKUP(B289,Totalt!$B$1:$BZ$554,MATCH(AX$1,Totalt!$B$1:$BZ$1,0),FALSE)</f>
        <v>Nej</v>
      </c>
      <c r="BA289" s="32" t="str">
        <f t="shared" si="29"/>
        <v/>
      </c>
    </row>
    <row r="290" spans="1:53" x14ac:dyDescent="0.45">
      <c r="A290" s="31" t="s">
        <v>299</v>
      </c>
      <c r="B290" s="31" t="s">
        <v>302</v>
      </c>
      <c r="J290" s="31">
        <v>0</v>
      </c>
      <c r="K290" s="31">
        <v>0</v>
      </c>
      <c r="L290" s="31">
        <v>0</v>
      </c>
      <c r="M290" s="31">
        <v>0</v>
      </c>
      <c r="N290" s="31">
        <v>0</v>
      </c>
      <c r="O290" s="31">
        <v>0</v>
      </c>
      <c r="P290" s="31">
        <v>0</v>
      </c>
      <c r="Q290" s="31">
        <v>0</v>
      </c>
      <c r="R290" s="31">
        <v>0</v>
      </c>
      <c r="S290" s="31">
        <v>0</v>
      </c>
      <c r="T290" s="31">
        <v>0</v>
      </c>
      <c r="U290" s="31">
        <v>0</v>
      </c>
      <c r="W290" s="31">
        <v>0</v>
      </c>
      <c r="X290" s="31">
        <v>0</v>
      </c>
      <c r="Y290" s="31">
        <v>0</v>
      </c>
      <c r="Z290" s="31">
        <v>0</v>
      </c>
      <c r="AA290" s="31">
        <v>0</v>
      </c>
      <c r="AB290" s="31">
        <v>0</v>
      </c>
      <c r="AC290" s="31">
        <v>0</v>
      </c>
      <c r="AD290" s="31">
        <v>0</v>
      </c>
      <c r="AE290" s="31">
        <v>0</v>
      </c>
      <c r="AF290" s="31">
        <v>0</v>
      </c>
      <c r="AG290" s="31">
        <v>0</v>
      </c>
      <c r="AH290" s="31">
        <v>0</v>
      </c>
      <c r="AI290" s="31">
        <v>0</v>
      </c>
      <c r="AL290" s="31">
        <f t="shared" si="24"/>
        <v>0</v>
      </c>
      <c r="AM290" s="31">
        <f t="shared" si="25"/>
        <v>0</v>
      </c>
      <c r="AN290" s="31">
        <f t="shared" si="26"/>
        <v>0</v>
      </c>
      <c r="AP290" s="31">
        <f>VLOOKUP($B290,Kraftvärmeprod!$B$1:$BX$549,MATCH(AP$1,Kraftvärmeprod!$B$1:$BX$1,0),FALSE)</f>
        <v>0</v>
      </c>
      <c r="AQ290" s="31">
        <f>VLOOKUP($B290,Kraftvärmeprod!$B$1:$BX$549,MATCH(AQ$1,Kraftvärmeprod!$B$1:$BX$1,0),FALSE)</f>
        <v>0</v>
      </c>
      <c r="AR290" s="31">
        <f>VLOOKUP($B290,Kraftvärmeprod!$B$1:$BX$549,MATCH("Summa tillförd energi exklusive rökgaskondensering",Kraftvärmeprod!$B$1:$BX$1,0),FALSE)</f>
        <v>0</v>
      </c>
      <c r="AT290" s="32" t="str">
        <f t="shared" si="27"/>
        <v/>
      </c>
      <c r="AV290" s="31">
        <f t="shared" si="28"/>
        <v>0</v>
      </c>
      <c r="AX290" s="31" t="str">
        <f>VLOOKUP(B290,Totalt!$B$1:$BZ$554,MATCH(AX$1,Totalt!$B$1:$BZ$1,0),FALSE)</f>
        <v>Ja</v>
      </c>
      <c r="BA290" s="32" t="str">
        <f t="shared" si="29"/>
        <v/>
      </c>
    </row>
    <row r="291" spans="1:53" x14ac:dyDescent="0.45">
      <c r="A291" s="31" t="s">
        <v>299</v>
      </c>
      <c r="B291" s="31" t="s">
        <v>298</v>
      </c>
      <c r="J291" s="31">
        <v>0</v>
      </c>
      <c r="K291" s="31">
        <v>0.21468599999999999</v>
      </c>
      <c r="L291" s="31">
        <v>0</v>
      </c>
      <c r="M291" s="31">
        <v>0</v>
      </c>
      <c r="N291" s="31">
        <v>0</v>
      </c>
      <c r="O291" s="31">
        <v>0</v>
      </c>
      <c r="P291" s="31">
        <v>38.172600000000003</v>
      </c>
      <c r="Q291" s="31">
        <v>27.424600000000002</v>
      </c>
      <c r="R291" s="31">
        <v>10.0044</v>
      </c>
      <c r="S291" s="31">
        <v>0</v>
      </c>
      <c r="T291" s="31">
        <v>0</v>
      </c>
      <c r="U291" s="31">
        <v>4.84429</v>
      </c>
      <c r="W291" s="31">
        <v>0</v>
      </c>
      <c r="X291" s="31">
        <v>0</v>
      </c>
      <c r="Y291" s="31">
        <v>0</v>
      </c>
      <c r="Z291" s="31">
        <v>11.8148</v>
      </c>
      <c r="AA291" s="31">
        <v>0</v>
      </c>
      <c r="AB291" s="31">
        <v>0</v>
      </c>
      <c r="AC291" s="31">
        <v>0</v>
      </c>
      <c r="AD291" s="31">
        <v>0</v>
      </c>
      <c r="AE291" s="31">
        <v>0</v>
      </c>
      <c r="AF291" s="31">
        <v>0</v>
      </c>
      <c r="AG291" s="31">
        <v>0</v>
      </c>
      <c r="AH291" s="31">
        <v>24.303000000000001</v>
      </c>
      <c r="AI291" s="31">
        <v>2.5955400000000002</v>
      </c>
      <c r="AL291" s="31">
        <f t="shared" si="24"/>
        <v>119.37391600000001</v>
      </c>
      <c r="AM291" s="31">
        <f t="shared" si="25"/>
        <v>116.77837600000001</v>
      </c>
      <c r="AN291" s="31">
        <f t="shared" si="26"/>
        <v>92.475376000000011</v>
      </c>
      <c r="AP291" s="31">
        <f>VLOOKUP($B291,Kraftvärmeprod!$B$1:$BX$549,MATCH(AP$1,Kraftvärmeprod!$B$1:$BX$1,0),FALSE)</f>
        <v>105.911</v>
      </c>
      <c r="AQ291" s="31">
        <f>VLOOKUP($B291,Kraftvärmeprod!$B$1:$BX$549,MATCH(AQ$1,Kraftvärmeprod!$B$1:$BX$1,0),FALSE)</f>
        <v>35.929000000000002</v>
      </c>
      <c r="AR291" s="31">
        <f>VLOOKUP($B291,Kraftvärmeprod!$B$1:$BX$549,MATCH("Summa tillförd energi exklusive rökgaskondensering",Kraftvärmeprod!$B$1:$BX$1,0),FALSE)</f>
        <v>174.18799999999999</v>
      </c>
      <c r="AT291" s="32">
        <f t="shared" si="27"/>
        <v>0.53089406847773679</v>
      </c>
      <c r="AV291" s="31">
        <f t="shared" si="28"/>
        <v>92.260690000000011</v>
      </c>
      <c r="AX291" s="31" t="str">
        <f>VLOOKUP(B291,Totalt!$B$1:$BZ$554,MATCH(AX$1,Totalt!$B$1:$BZ$1,0),FALSE)</f>
        <v>Ja</v>
      </c>
      <c r="BA291" s="32">
        <f t="shared" si="29"/>
        <v>1.1140210324680158</v>
      </c>
    </row>
    <row r="292" spans="1:53" x14ac:dyDescent="0.45">
      <c r="A292" s="31" t="s">
        <v>299</v>
      </c>
      <c r="B292" s="31" t="s">
        <v>300</v>
      </c>
      <c r="J292" s="31">
        <v>0</v>
      </c>
      <c r="K292" s="31">
        <v>0</v>
      </c>
      <c r="L292" s="31">
        <v>0</v>
      </c>
      <c r="M292" s="31">
        <v>0</v>
      </c>
      <c r="N292" s="31">
        <v>0</v>
      </c>
      <c r="O292" s="31">
        <v>0</v>
      </c>
      <c r="P292" s="31">
        <v>0</v>
      </c>
      <c r="Q292" s="31">
        <v>0</v>
      </c>
      <c r="R292" s="31">
        <v>0</v>
      </c>
      <c r="S292" s="31">
        <v>0</v>
      </c>
      <c r="T292" s="31">
        <v>0</v>
      </c>
      <c r="U292" s="31">
        <v>0</v>
      </c>
      <c r="W292" s="31">
        <v>0</v>
      </c>
      <c r="X292" s="31">
        <v>0</v>
      </c>
      <c r="Y292" s="31">
        <v>0</v>
      </c>
      <c r="Z292" s="31">
        <v>0</v>
      </c>
      <c r="AA292" s="31">
        <v>0</v>
      </c>
      <c r="AB292" s="31">
        <v>0</v>
      </c>
      <c r="AC292" s="31">
        <v>0</v>
      </c>
      <c r="AD292" s="31">
        <v>0</v>
      </c>
      <c r="AE292" s="31">
        <v>0</v>
      </c>
      <c r="AF292" s="31">
        <v>0</v>
      </c>
      <c r="AG292" s="31">
        <v>0</v>
      </c>
      <c r="AH292" s="31">
        <v>0</v>
      </c>
      <c r="AI292" s="31">
        <v>0</v>
      </c>
      <c r="AL292" s="31">
        <f t="shared" si="24"/>
        <v>0</v>
      </c>
      <c r="AM292" s="31">
        <f t="shared" si="25"/>
        <v>0</v>
      </c>
      <c r="AN292" s="31">
        <f t="shared" si="26"/>
        <v>0</v>
      </c>
      <c r="AP292" s="31">
        <f>VLOOKUP($B292,Kraftvärmeprod!$B$1:$BX$549,MATCH(AP$1,Kraftvärmeprod!$B$1:$BX$1,0),FALSE)</f>
        <v>0</v>
      </c>
      <c r="AQ292" s="31">
        <f>VLOOKUP($B292,Kraftvärmeprod!$B$1:$BX$549,MATCH(AQ$1,Kraftvärmeprod!$B$1:$BX$1,0),FALSE)</f>
        <v>0</v>
      </c>
      <c r="AR292" s="31">
        <f>VLOOKUP($B292,Kraftvärmeprod!$B$1:$BX$549,MATCH("Summa tillförd energi exklusive rökgaskondensering",Kraftvärmeprod!$B$1:$BX$1,0),FALSE)</f>
        <v>0</v>
      </c>
      <c r="AT292" s="32" t="str">
        <f t="shared" si="27"/>
        <v/>
      </c>
      <c r="AV292" s="31">
        <f t="shared" si="28"/>
        <v>0</v>
      </c>
      <c r="AX292" s="31" t="str">
        <f>VLOOKUP(B292,Totalt!$B$1:$BZ$554,MATCH(AX$1,Totalt!$B$1:$BZ$1,0),FALSE)</f>
        <v>Ja</v>
      </c>
      <c r="BA292" s="32" t="str">
        <f t="shared" si="29"/>
        <v/>
      </c>
    </row>
    <row r="293" spans="1:53" x14ac:dyDescent="0.45">
      <c r="A293" s="31" t="s">
        <v>299</v>
      </c>
      <c r="B293" s="31" t="s">
        <v>301</v>
      </c>
      <c r="J293" s="31">
        <v>0</v>
      </c>
      <c r="K293" s="31">
        <v>0</v>
      </c>
      <c r="L293" s="31">
        <v>0</v>
      </c>
      <c r="M293" s="31">
        <v>0</v>
      </c>
      <c r="N293" s="31">
        <v>0</v>
      </c>
      <c r="O293" s="31">
        <v>0</v>
      </c>
      <c r="P293" s="31">
        <v>0</v>
      </c>
      <c r="Q293" s="31">
        <v>0</v>
      </c>
      <c r="R293" s="31">
        <v>0</v>
      </c>
      <c r="S293" s="31">
        <v>0</v>
      </c>
      <c r="T293" s="31">
        <v>0</v>
      </c>
      <c r="U293" s="31">
        <v>0</v>
      </c>
      <c r="W293" s="31">
        <v>0</v>
      </c>
      <c r="X293" s="31">
        <v>0</v>
      </c>
      <c r="Y293" s="31">
        <v>0</v>
      </c>
      <c r="Z293" s="31">
        <v>0</v>
      </c>
      <c r="AA293" s="31">
        <v>0</v>
      </c>
      <c r="AB293" s="31">
        <v>0</v>
      </c>
      <c r="AC293" s="31">
        <v>0</v>
      </c>
      <c r="AD293" s="31">
        <v>0</v>
      </c>
      <c r="AE293" s="31">
        <v>0</v>
      </c>
      <c r="AF293" s="31">
        <v>0</v>
      </c>
      <c r="AG293" s="31">
        <v>0</v>
      </c>
      <c r="AH293" s="31">
        <v>0</v>
      </c>
      <c r="AI293" s="31">
        <v>0</v>
      </c>
      <c r="AL293" s="31">
        <f t="shared" si="24"/>
        <v>0</v>
      </c>
      <c r="AM293" s="31">
        <f t="shared" si="25"/>
        <v>0</v>
      </c>
      <c r="AN293" s="31">
        <f t="shared" si="26"/>
        <v>0</v>
      </c>
      <c r="AP293" s="31">
        <f>VLOOKUP($B293,Kraftvärmeprod!$B$1:$BX$549,MATCH(AP$1,Kraftvärmeprod!$B$1:$BX$1,0),FALSE)</f>
        <v>0</v>
      </c>
      <c r="AQ293" s="31">
        <f>VLOOKUP($B293,Kraftvärmeprod!$B$1:$BX$549,MATCH(AQ$1,Kraftvärmeprod!$B$1:$BX$1,0),FALSE)</f>
        <v>0</v>
      </c>
      <c r="AR293" s="31">
        <f>VLOOKUP($B293,Kraftvärmeprod!$B$1:$BX$549,MATCH("Summa tillförd energi exklusive rökgaskondensering",Kraftvärmeprod!$B$1:$BX$1,0),FALSE)</f>
        <v>0</v>
      </c>
      <c r="AT293" s="32" t="str">
        <f t="shared" si="27"/>
        <v/>
      </c>
      <c r="AV293" s="31">
        <f t="shared" si="28"/>
        <v>0</v>
      </c>
      <c r="AX293" s="31" t="str">
        <f>VLOOKUP(B293,Totalt!$B$1:$BZ$554,MATCH(AX$1,Totalt!$B$1:$BZ$1,0),FALSE)</f>
        <v>Nej</v>
      </c>
      <c r="BA293" s="32" t="str">
        <f t="shared" si="29"/>
        <v/>
      </c>
    </row>
    <row r="294" spans="1:53" x14ac:dyDescent="0.45">
      <c r="A294" s="31" t="s">
        <v>297</v>
      </c>
      <c r="B294" s="31" t="s">
        <v>296</v>
      </c>
      <c r="J294" s="31">
        <v>0</v>
      </c>
      <c r="K294" s="31">
        <v>0.69618599999999997</v>
      </c>
      <c r="L294" s="31">
        <v>0</v>
      </c>
      <c r="M294" s="31">
        <v>0</v>
      </c>
      <c r="N294" s="31">
        <v>0</v>
      </c>
      <c r="O294" s="31">
        <v>0</v>
      </c>
      <c r="P294" s="31">
        <v>8.4189000000000007</v>
      </c>
      <c r="Q294" s="31">
        <v>2.4340899999999999E-2</v>
      </c>
      <c r="R294" s="31">
        <v>36.975499999999997</v>
      </c>
      <c r="S294" s="31">
        <v>70.023499999999999</v>
      </c>
      <c r="T294" s="31">
        <v>0</v>
      </c>
      <c r="U294" s="31">
        <v>0.86062399999999994</v>
      </c>
      <c r="W294" s="31">
        <v>0</v>
      </c>
      <c r="X294" s="31">
        <v>0</v>
      </c>
      <c r="Y294" s="31">
        <v>0</v>
      </c>
      <c r="Z294" s="31">
        <v>267.66500000000002</v>
      </c>
      <c r="AA294" s="31">
        <v>0</v>
      </c>
      <c r="AB294" s="31">
        <v>0</v>
      </c>
      <c r="AC294" s="31">
        <v>0</v>
      </c>
      <c r="AD294" s="31">
        <v>0</v>
      </c>
      <c r="AE294" s="31">
        <v>18.791399999999999</v>
      </c>
      <c r="AF294" s="31">
        <v>0</v>
      </c>
      <c r="AG294" s="31">
        <v>0</v>
      </c>
      <c r="AH294" s="31">
        <v>160.386</v>
      </c>
      <c r="AI294" s="31">
        <v>14.059900000000001</v>
      </c>
      <c r="AL294" s="31">
        <f t="shared" si="24"/>
        <v>577.90135090000001</v>
      </c>
      <c r="AM294" s="31">
        <f t="shared" si="25"/>
        <v>563.84145090000004</v>
      </c>
      <c r="AN294" s="31">
        <f t="shared" si="26"/>
        <v>403.45545090000007</v>
      </c>
      <c r="AP294" s="31">
        <f>VLOOKUP($B294,Kraftvärmeprod!$B$1:$BX$549,MATCH(AP$1,Kraftvärmeprod!$B$1:$BX$1,0),FALSE)</f>
        <v>541.33199999999999</v>
      </c>
      <c r="AQ294" s="31">
        <f>VLOOKUP($B294,Kraftvärmeprod!$B$1:$BX$549,MATCH(AQ$1,Kraftvärmeprod!$B$1:$BX$1,0),FALSE)</f>
        <v>270.173</v>
      </c>
      <c r="AR294" s="31">
        <f>VLOOKUP($B294,Kraftvärmeprod!$B$1:$BX$549,MATCH("Summa tillförd energi exklusive rökgaskondensering",Kraftvärmeprod!$B$1:$BX$1,0),FALSE)</f>
        <v>933.57999999999993</v>
      </c>
      <c r="AT294" s="32">
        <f t="shared" si="27"/>
        <v>0.43215948381499186</v>
      </c>
      <c r="AV294" s="31">
        <f t="shared" si="28"/>
        <v>383.9678649</v>
      </c>
      <c r="AX294" s="31" t="str">
        <f>VLOOKUP(B294,Totalt!$B$1:$BZ$554,MATCH(AX$1,Totalt!$B$1:$BZ$1,0),FALSE)</f>
        <v>Ja</v>
      </c>
      <c r="BA294" s="32">
        <f t="shared" si="29"/>
        <v>1.2965559202388595</v>
      </c>
    </row>
    <row r="295" spans="1:53" x14ac:dyDescent="0.45">
      <c r="A295" s="31" t="s">
        <v>295</v>
      </c>
      <c r="B295" s="31" t="s">
        <v>127</v>
      </c>
      <c r="J295" s="31">
        <v>0</v>
      </c>
      <c r="K295" s="31">
        <v>0</v>
      </c>
      <c r="L295" s="31">
        <v>0</v>
      </c>
      <c r="M295" s="31">
        <v>0</v>
      </c>
      <c r="N295" s="31">
        <v>0</v>
      </c>
      <c r="O295" s="31">
        <v>0</v>
      </c>
      <c r="P295" s="31">
        <v>0</v>
      </c>
      <c r="Q295" s="31">
        <v>0</v>
      </c>
      <c r="R295" s="31">
        <v>0</v>
      </c>
      <c r="S295" s="31">
        <v>0</v>
      </c>
      <c r="T295" s="31">
        <v>0</v>
      </c>
      <c r="U295" s="31">
        <v>0</v>
      </c>
      <c r="W295" s="31">
        <v>0</v>
      </c>
      <c r="X295" s="31">
        <v>0</v>
      </c>
      <c r="Y295" s="31">
        <v>0</v>
      </c>
      <c r="Z295" s="31">
        <v>0</v>
      </c>
      <c r="AA295" s="31">
        <v>0</v>
      </c>
      <c r="AB295" s="31">
        <v>0</v>
      </c>
      <c r="AC295" s="31">
        <v>0</v>
      </c>
      <c r="AD295" s="31">
        <v>0</v>
      </c>
      <c r="AE295" s="31">
        <v>0</v>
      </c>
      <c r="AF295" s="31">
        <v>0</v>
      </c>
      <c r="AG295" s="31">
        <v>0</v>
      </c>
      <c r="AH295" s="31">
        <v>0</v>
      </c>
      <c r="AI295" s="31">
        <v>0</v>
      </c>
      <c r="AL295" s="31">
        <f t="shared" si="24"/>
        <v>0</v>
      </c>
      <c r="AM295" s="31">
        <f t="shared" si="25"/>
        <v>0</v>
      </c>
      <c r="AN295" s="31">
        <f t="shared" si="26"/>
        <v>0</v>
      </c>
      <c r="AP295" s="31">
        <f>VLOOKUP($B295,Kraftvärmeprod!$B$1:$BX$549,MATCH(AP$1,Kraftvärmeprod!$B$1:$BX$1,0),FALSE)</f>
        <v>0</v>
      </c>
      <c r="AQ295" s="31">
        <f>VLOOKUP($B295,Kraftvärmeprod!$B$1:$BX$549,MATCH(AQ$1,Kraftvärmeprod!$B$1:$BX$1,0),FALSE)</f>
        <v>0</v>
      </c>
      <c r="AR295" s="31">
        <f>VLOOKUP($B295,Kraftvärmeprod!$B$1:$BX$549,MATCH("Summa tillförd energi exklusive rökgaskondensering",Kraftvärmeprod!$B$1:$BX$1,0),FALSE)</f>
        <v>0</v>
      </c>
      <c r="AT295" s="32" t="str">
        <f t="shared" si="27"/>
        <v/>
      </c>
      <c r="AV295" s="31">
        <f t="shared" si="28"/>
        <v>0</v>
      </c>
      <c r="AX295" s="31" t="str">
        <f>VLOOKUP(B295,Totalt!$B$1:$BZ$554,MATCH(AX$1,Totalt!$B$1:$BZ$1,0),FALSE)</f>
        <v>Ja</v>
      </c>
      <c r="BA295" s="32" t="str">
        <f t="shared" si="29"/>
        <v/>
      </c>
    </row>
    <row r="296" spans="1:53" x14ac:dyDescent="0.45">
      <c r="A296" s="31" t="s">
        <v>289</v>
      </c>
      <c r="B296" s="31" t="s">
        <v>294</v>
      </c>
      <c r="J296" s="31">
        <v>0</v>
      </c>
      <c r="K296" s="31">
        <v>0</v>
      </c>
      <c r="L296" s="31">
        <v>0</v>
      </c>
      <c r="M296" s="31">
        <v>0</v>
      </c>
      <c r="N296" s="31">
        <v>0</v>
      </c>
      <c r="O296" s="31">
        <v>0</v>
      </c>
      <c r="P296" s="31">
        <v>0</v>
      </c>
      <c r="Q296" s="31">
        <v>0</v>
      </c>
      <c r="R296" s="31">
        <v>0</v>
      </c>
      <c r="S296" s="31">
        <v>0</v>
      </c>
      <c r="T296" s="31">
        <v>0</v>
      </c>
      <c r="U296" s="31">
        <v>0</v>
      </c>
      <c r="W296" s="31">
        <v>0</v>
      </c>
      <c r="X296" s="31">
        <v>0</v>
      </c>
      <c r="Y296" s="31">
        <v>0</v>
      </c>
      <c r="Z296" s="31">
        <v>0</v>
      </c>
      <c r="AA296" s="31">
        <v>0</v>
      </c>
      <c r="AB296" s="31">
        <v>0</v>
      </c>
      <c r="AC296" s="31">
        <v>0</v>
      </c>
      <c r="AD296" s="31">
        <v>0</v>
      </c>
      <c r="AE296" s="31">
        <v>0</v>
      </c>
      <c r="AF296" s="31">
        <v>0</v>
      </c>
      <c r="AG296" s="31">
        <v>0</v>
      </c>
      <c r="AH296" s="31">
        <v>0</v>
      </c>
      <c r="AI296" s="31">
        <v>0</v>
      </c>
      <c r="AL296" s="31">
        <f t="shared" si="24"/>
        <v>0</v>
      </c>
      <c r="AM296" s="31">
        <f t="shared" si="25"/>
        <v>0</v>
      </c>
      <c r="AN296" s="31">
        <f t="shared" si="26"/>
        <v>0</v>
      </c>
      <c r="AP296" s="31">
        <f>VLOOKUP($B296,Kraftvärmeprod!$B$1:$BX$549,MATCH(AP$1,Kraftvärmeprod!$B$1:$BX$1,0),FALSE)</f>
        <v>0</v>
      </c>
      <c r="AQ296" s="31">
        <f>VLOOKUP($B296,Kraftvärmeprod!$B$1:$BX$549,MATCH(AQ$1,Kraftvärmeprod!$B$1:$BX$1,0),FALSE)</f>
        <v>0</v>
      </c>
      <c r="AR296" s="31">
        <f>VLOOKUP($B296,Kraftvärmeprod!$B$1:$BX$549,MATCH("Summa tillförd energi exklusive rökgaskondensering",Kraftvärmeprod!$B$1:$BX$1,0),FALSE)</f>
        <v>0</v>
      </c>
      <c r="AT296" s="32" t="str">
        <f t="shared" si="27"/>
        <v/>
      </c>
      <c r="AV296" s="31">
        <f t="shared" si="28"/>
        <v>0</v>
      </c>
      <c r="AX296" s="31" t="str">
        <f>VLOOKUP(B296,Totalt!$B$1:$BZ$554,MATCH(AX$1,Totalt!$B$1:$BZ$1,0),FALSE)</f>
        <v>Ja</v>
      </c>
      <c r="BA296" s="32" t="str">
        <f t="shared" si="29"/>
        <v/>
      </c>
    </row>
    <row r="297" spans="1:53" x14ac:dyDescent="0.45">
      <c r="A297" s="31" t="s">
        <v>289</v>
      </c>
      <c r="B297" s="31" t="s">
        <v>292</v>
      </c>
      <c r="J297" s="31">
        <v>0</v>
      </c>
      <c r="K297" s="31">
        <v>0</v>
      </c>
      <c r="L297" s="31">
        <v>0</v>
      </c>
      <c r="M297" s="31">
        <v>0</v>
      </c>
      <c r="N297" s="31">
        <v>0</v>
      </c>
      <c r="O297" s="31">
        <v>0</v>
      </c>
      <c r="P297" s="31">
        <v>0</v>
      </c>
      <c r="Q297" s="31">
        <v>0</v>
      </c>
      <c r="R297" s="31">
        <v>0</v>
      </c>
      <c r="S297" s="31">
        <v>0</v>
      </c>
      <c r="T297" s="31">
        <v>0</v>
      </c>
      <c r="U297" s="31">
        <v>0</v>
      </c>
      <c r="W297" s="31">
        <v>0</v>
      </c>
      <c r="X297" s="31">
        <v>0</v>
      </c>
      <c r="Y297" s="31">
        <v>0</v>
      </c>
      <c r="Z297" s="31">
        <v>0</v>
      </c>
      <c r="AA297" s="31">
        <v>0</v>
      </c>
      <c r="AB297" s="31">
        <v>0</v>
      </c>
      <c r="AC297" s="31">
        <v>0</v>
      </c>
      <c r="AD297" s="31">
        <v>0</v>
      </c>
      <c r="AE297" s="31">
        <v>0</v>
      </c>
      <c r="AF297" s="31">
        <v>0</v>
      </c>
      <c r="AG297" s="31">
        <v>0</v>
      </c>
      <c r="AH297" s="31">
        <v>0</v>
      </c>
      <c r="AI297" s="31">
        <v>0</v>
      </c>
      <c r="AL297" s="31">
        <f t="shared" si="24"/>
        <v>0</v>
      </c>
      <c r="AM297" s="31">
        <f t="shared" si="25"/>
        <v>0</v>
      </c>
      <c r="AN297" s="31">
        <f t="shared" si="26"/>
        <v>0</v>
      </c>
      <c r="AP297" s="31">
        <f>VLOOKUP($B297,Kraftvärmeprod!$B$1:$BX$549,MATCH(AP$1,Kraftvärmeprod!$B$1:$BX$1,0),FALSE)</f>
        <v>0</v>
      </c>
      <c r="AQ297" s="31">
        <f>VLOOKUP($B297,Kraftvärmeprod!$B$1:$BX$549,MATCH(AQ$1,Kraftvärmeprod!$B$1:$BX$1,0),FALSE)</f>
        <v>0</v>
      </c>
      <c r="AR297" s="31">
        <f>VLOOKUP($B297,Kraftvärmeprod!$B$1:$BX$549,MATCH("Summa tillförd energi exklusive rökgaskondensering",Kraftvärmeprod!$B$1:$BX$1,0),FALSE)</f>
        <v>0</v>
      </c>
      <c r="AT297" s="32" t="str">
        <f t="shared" si="27"/>
        <v/>
      </c>
      <c r="AV297" s="31">
        <f t="shared" si="28"/>
        <v>0</v>
      </c>
      <c r="AX297" s="31" t="str">
        <f>VLOOKUP(B297,Totalt!$B$1:$BZ$554,MATCH(AX$1,Totalt!$B$1:$BZ$1,0),FALSE)</f>
        <v>Ja</v>
      </c>
      <c r="BA297" s="32" t="str">
        <f t="shared" si="29"/>
        <v/>
      </c>
    </row>
    <row r="298" spans="1:53" x14ac:dyDescent="0.45">
      <c r="A298" s="31" t="s">
        <v>289</v>
      </c>
      <c r="B298" s="31" t="s">
        <v>291</v>
      </c>
      <c r="J298" s="31">
        <v>1</v>
      </c>
      <c r="K298" s="31">
        <v>1</v>
      </c>
      <c r="L298" s="31">
        <v>0</v>
      </c>
      <c r="M298" s="31">
        <v>1</v>
      </c>
      <c r="N298" s="31">
        <v>0</v>
      </c>
      <c r="O298" s="31">
        <v>1</v>
      </c>
      <c r="P298" s="31">
        <v>19.8</v>
      </c>
      <c r="Q298" s="31">
        <v>0.717221</v>
      </c>
      <c r="R298" s="31">
        <v>7.9</v>
      </c>
      <c r="S298" s="31">
        <v>0</v>
      </c>
      <c r="T298" s="31">
        <v>0</v>
      </c>
      <c r="U298" s="31">
        <v>13</v>
      </c>
      <c r="W298" s="31">
        <v>0</v>
      </c>
      <c r="X298" s="31">
        <v>0</v>
      </c>
      <c r="Y298" s="31">
        <v>0</v>
      </c>
      <c r="Z298" s="31">
        <v>135.5</v>
      </c>
      <c r="AA298" s="31">
        <v>0</v>
      </c>
      <c r="AB298" s="31">
        <v>0</v>
      </c>
      <c r="AC298" s="31">
        <v>0</v>
      </c>
      <c r="AD298" s="31">
        <v>0</v>
      </c>
      <c r="AE298" s="31">
        <v>753.3</v>
      </c>
      <c r="AF298" s="31">
        <v>0</v>
      </c>
      <c r="AG298" s="31">
        <v>0</v>
      </c>
      <c r="AH298" s="31">
        <v>192.3</v>
      </c>
      <c r="AI298" s="31">
        <v>40</v>
      </c>
      <c r="AL298" s="31">
        <f t="shared" si="24"/>
        <v>1166.5172209999998</v>
      </c>
      <c r="AM298" s="31">
        <f t="shared" si="25"/>
        <v>1126.5172209999998</v>
      </c>
      <c r="AN298" s="31">
        <f t="shared" si="26"/>
        <v>934.21722099999988</v>
      </c>
      <c r="AP298" s="31">
        <f>VLOOKUP($B298,Kraftvärmeprod!$B$1:$BX$549,MATCH(AP$1,Kraftvärmeprod!$B$1:$BX$1,0),FALSE)</f>
        <v>1206</v>
      </c>
      <c r="AQ298" s="31">
        <f>VLOOKUP($B298,Kraftvärmeprod!$B$1:$BX$549,MATCH(AQ$1,Kraftvärmeprod!$B$1:$BX$1,0),FALSE)</f>
        <v>311.5</v>
      </c>
      <c r="AR298" s="31">
        <f>VLOOKUP($B298,Kraftvärmeprod!$B$1:$BX$549,MATCH("Summa tillförd energi exklusive rökgaskondensering",Kraftvärmeprod!$B$1:$BX$1,0),FALSE)</f>
        <v>1825</v>
      </c>
      <c r="AT298" s="32">
        <f t="shared" si="27"/>
        <v>0.51189984712328762</v>
      </c>
      <c r="AV298" s="31">
        <f t="shared" si="28"/>
        <v>176.91722099999998</v>
      </c>
      <c r="AX298" s="31" t="str">
        <f>VLOOKUP(B298,Totalt!$B$1:$BZ$554,MATCH(AX$1,Totalt!$B$1:$BZ$1,0),FALSE)</f>
        <v>Ja</v>
      </c>
      <c r="BA298" s="32">
        <f t="shared" si="29"/>
        <v>1.2379169388548512</v>
      </c>
    </row>
    <row r="299" spans="1:53" x14ac:dyDescent="0.45">
      <c r="A299" s="31" t="s">
        <v>289</v>
      </c>
      <c r="B299" s="31" t="s">
        <v>290</v>
      </c>
      <c r="J299" s="31">
        <v>0</v>
      </c>
      <c r="K299" s="31">
        <v>0</v>
      </c>
      <c r="L299" s="31">
        <v>0</v>
      </c>
      <c r="M299" s="31">
        <v>0</v>
      </c>
      <c r="N299" s="31">
        <v>0</v>
      </c>
      <c r="O299" s="31">
        <v>0</v>
      </c>
      <c r="P299" s="31">
        <v>0</v>
      </c>
      <c r="Q299" s="31">
        <v>0</v>
      </c>
      <c r="R299" s="31">
        <v>0</v>
      </c>
      <c r="S299" s="31">
        <v>0</v>
      </c>
      <c r="T299" s="31">
        <v>0</v>
      </c>
      <c r="U299" s="31">
        <v>0</v>
      </c>
      <c r="W299" s="31">
        <v>0</v>
      </c>
      <c r="X299" s="31">
        <v>0</v>
      </c>
      <c r="Y299" s="31">
        <v>0</v>
      </c>
      <c r="Z299" s="31">
        <v>0</v>
      </c>
      <c r="AA299" s="31">
        <v>0</v>
      </c>
      <c r="AB299" s="31">
        <v>0</v>
      </c>
      <c r="AC299" s="31">
        <v>0</v>
      </c>
      <c r="AD299" s="31">
        <v>0</v>
      </c>
      <c r="AE299" s="31">
        <v>0</v>
      </c>
      <c r="AF299" s="31">
        <v>0</v>
      </c>
      <c r="AG299" s="31">
        <v>0</v>
      </c>
      <c r="AH299" s="31">
        <v>0</v>
      </c>
      <c r="AI299" s="31">
        <v>0</v>
      </c>
      <c r="AL299" s="31">
        <f t="shared" si="24"/>
        <v>0</v>
      </c>
      <c r="AM299" s="31">
        <f t="shared" si="25"/>
        <v>0</v>
      </c>
      <c r="AN299" s="31">
        <f t="shared" si="26"/>
        <v>0</v>
      </c>
      <c r="AP299" s="31">
        <f>VLOOKUP($B299,Kraftvärmeprod!$B$1:$BX$549,MATCH(AP$1,Kraftvärmeprod!$B$1:$BX$1,0),FALSE)</f>
        <v>0</v>
      </c>
      <c r="AQ299" s="31">
        <f>VLOOKUP($B299,Kraftvärmeprod!$B$1:$BX$549,MATCH(AQ$1,Kraftvärmeprod!$B$1:$BX$1,0),FALSE)</f>
        <v>0</v>
      </c>
      <c r="AR299" s="31">
        <f>VLOOKUP($B299,Kraftvärmeprod!$B$1:$BX$549,MATCH("Summa tillförd energi exklusive rökgaskondensering",Kraftvärmeprod!$B$1:$BX$1,0),FALSE)</f>
        <v>0</v>
      </c>
      <c r="AT299" s="32" t="str">
        <f t="shared" si="27"/>
        <v/>
      </c>
      <c r="AV299" s="31">
        <f t="shared" si="28"/>
        <v>0</v>
      </c>
      <c r="AX299" s="31" t="str">
        <f>VLOOKUP(B299,Totalt!$B$1:$BZ$554,MATCH(AX$1,Totalt!$B$1:$BZ$1,0),FALSE)</f>
        <v>Ja</v>
      </c>
      <c r="BA299" s="32" t="str">
        <f t="shared" si="29"/>
        <v/>
      </c>
    </row>
    <row r="300" spans="1:53" x14ac:dyDescent="0.45">
      <c r="A300" s="31" t="s">
        <v>289</v>
      </c>
      <c r="B300" s="31" t="s">
        <v>288</v>
      </c>
      <c r="J300" s="31">
        <v>0</v>
      </c>
      <c r="K300" s="31">
        <v>0</v>
      </c>
      <c r="L300" s="31">
        <v>0</v>
      </c>
      <c r="M300" s="31">
        <v>0</v>
      </c>
      <c r="N300" s="31">
        <v>0</v>
      </c>
      <c r="O300" s="31">
        <v>0</v>
      </c>
      <c r="P300" s="31">
        <v>0</v>
      </c>
      <c r="Q300" s="31">
        <v>0</v>
      </c>
      <c r="R300" s="31">
        <v>0</v>
      </c>
      <c r="S300" s="31">
        <v>0</v>
      </c>
      <c r="T300" s="31">
        <v>0</v>
      </c>
      <c r="U300" s="31">
        <v>0</v>
      </c>
      <c r="W300" s="31">
        <v>0</v>
      </c>
      <c r="X300" s="31">
        <v>0</v>
      </c>
      <c r="Y300" s="31">
        <v>0</v>
      </c>
      <c r="Z300" s="31">
        <v>0</v>
      </c>
      <c r="AA300" s="31">
        <v>0</v>
      </c>
      <c r="AB300" s="31">
        <v>0</v>
      </c>
      <c r="AC300" s="31">
        <v>0</v>
      </c>
      <c r="AD300" s="31">
        <v>0</v>
      </c>
      <c r="AE300" s="31">
        <v>0</v>
      </c>
      <c r="AF300" s="31">
        <v>0</v>
      </c>
      <c r="AG300" s="31">
        <v>0</v>
      </c>
      <c r="AH300" s="31">
        <v>0</v>
      </c>
      <c r="AI300" s="31">
        <v>0</v>
      </c>
      <c r="AL300" s="31">
        <f t="shared" si="24"/>
        <v>0</v>
      </c>
      <c r="AM300" s="31">
        <f t="shared" si="25"/>
        <v>0</v>
      </c>
      <c r="AN300" s="31">
        <f t="shared" si="26"/>
        <v>0</v>
      </c>
      <c r="AP300" s="31">
        <f>VLOOKUP($B300,Kraftvärmeprod!$B$1:$BX$549,MATCH(AP$1,Kraftvärmeprod!$B$1:$BX$1,0),FALSE)</f>
        <v>0</v>
      </c>
      <c r="AQ300" s="31">
        <f>VLOOKUP($B300,Kraftvärmeprod!$B$1:$BX$549,MATCH(AQ$1,Kraftvärmeprod!$B$1:$BX$1,0),FALSE)</f>
        <v>0</v>
      </c>
      <c r="AR300" s="31">
        <f>VLOOKUP($B300,Kraftvärmeprod!$B$1:$BX$549,MATCH("Summa tillförd energi exklusive rökgaskondensering",Kraftvärmeprod!$B$1:$BX$1,0),FALSE)</f>
        <v>0</v>
      </c>
      <c r="AT300" s="32" t="str">
        <f t="shared" si="27"/>
        <v/>
      </c>
      <c r="AV300" s="31">
        <f t="shared" si="28"/>
        <v>0</v>
      </c>
      <c r="AX300" s="31" t="str">
        <f>VLOOKUP(B300,Totalt!$B$1:$BZ$554,MATCH(AX$1,Totalt!$B$1:$BZ$1,0),FALSE)</f>
        <v>Ja</v>
      </c>
      <c r="BA300" s="32" t="str">
        <f t="shared" si="29"/>
        <v/>
      </c>
    </row>
    <row r="301" spans="1:53" x14ac:dyDescent="0.45">
      <c r="A301" s="31" t="s">
        <v>289</v>
      </c>
      <c r="B301" s="31" t="s">
        <v>293</v>
      </c>
      <c r="J301" s="31">
        <v>0</v>
      </c>
      <c r="K301" s="31">
        <v>0</v>
      </c>
      <c r="L301" s="31">
        <v>0</v>
      </c>
      <c r="M301" s="31">
        <v>0</v>
      </c>
      <c r="N301" s="31">
        <v>0</v>
      </c>
      <c r="O301" s="31">
        <v>0</v>
      </c>
      <c r="P301" s="31">
        <v>1.94503</v>
      </c>
      <c r="Q301" s="31">
        <v>0</v>
      </c>
      <c r="R301" s="31">
        <v>0</v>
      </c>
      <c r="S301" s="31">
        <v>0</v>
      </c>
      <c r="T301" s="31">
        <v>0</v>
      </c>
      <c r="U301" s="31">
        <v>0</v>
      </c>
      <c r="W301" s="31">
        <v>0</v>
      </c>
      <c r="X301" s="31">
        <v>0</v>
      </c>
      <c r="Y301" s="31">
        <v>0</v>
      </c>
      <c r="Z301" s="31">
        <v>82.504000000000005</v>
      </c>
      <c r="AA301" s="31">
        <v>0</v>
      </c>
      <c r="AB301" s="31">
        <v>6.5878199999999998E-2</v>
      </c>
      <c r="AC301" s="31">
        <v>0</v>
      </c>
      <c r="AD301" s="31">
        <v>0</v>
      </c>
      <c r="AE301" s="31">
        <v>0</v>
      </c>
      <c r="AF301" s="31">
        <v>0</v>
      </c>
      <c r="AG301" s="31">
        <v>0</v>
      </c>
      <c r="AH301" s="31">
        <v>0</v>
      </c>
      <c r="AI301" s="31">
        <v>1.69445</v>
      </c>
      <c r="AL301" s="31">
        <f t="shared" si="24"/>
        <v>86.209358200000011</v>
      </c>
      <c r="AM301" s="31">
        <f t="shared" si="25"/>
        <v>84.514908200000008</v>
      </c>
      <c r="AN301" s="31">
        <f t="shared" si="26"/>
        <v>84.514908200000008</v>
      </c>
      <c r="AP301" s="31">
        <f>VLOOKUP($B301,Kraftvärmeprod!$B$1:$BX$549,MATCH(AP$1,Kraftvärmeprod!$B$1:$BX$1,0),FALSE)</f>
        <v>96.67</v>
      </c>
      <c r="AQ301" s="31">
        <f>VLOOKUP($B301,Kraftvärmeprod!$B$1:$BX$549,MATCH(AQ$1,Kraftvärmeprod!$B$1:$BX$1,0),FALSE)</f>
        <v>24.754000000000001</v>
      </c>
      <c r="AR301" s="31">
        <f>VLOOKUP($B301,Kraftvärmeprod!$B$1:$BX$549,MATCH("Summa tillförd energi exklusive rökgaskondensering",Kraftvärmeprod!$B$1:$BX$1,0),FALSE)</f>
        <v>140.904</v>
      </c>
      <c r="AT301" s="32">
        <f t="shared" si="27"/>
        <v>0.59980488985408509</v>
      </c>
      <c r="AV301" s="31">
        <f t="shared" si="28"/>
        <v>84.514908200000008</v>
      </c>
      <c r="AX301" s="31" t="str">
        <f>VLOOKUP(B301,Totalt!$B$1:$BZ$554,MATCH(AX$1,Totalt!$B$1:$BZ$1,0),FALSE)</f>
        <v>Ja</v>
      </c>
      <c r="BA301" s="32">
        <f t="shared" si="29"/>
        <v>1.1213399800023101</v>
      </c>
    </row>
    <row r="302" spans="1:53" x14ac:dyDescent="0.45">
      <c r="A302" s="31" t="s">
        <v>286</v>
      </c>
      <c r="B302" s="31" t="s">
        <v>287</v>
      </c>
      <c r="J302" s="31">
        <v>0</v>
      </c>
      <c r="K302" s="31">
        <v>0</v>
      </c>
      <c r="L302" s="31">
        <v>0</v>
      </c>
      <c r="M302" s="31">
        <v>0</v>
      </c>
      <c r="N302" s="31">
        <v>0</v>
      </c>
      <c r="O302" s="31">
        <v>0</v>
      </c>
      <c r="P302" s="31">
        <v>0</v>
      </c>
      <c r="Q302" s="31">
        <v>0</v>
      </c>
      <c r="R302" s="31">
        <v>0</v>
      </c>
      <c r="S302" s="31">
        <v>0</v>
      </c>
      <c r="T302" s="31">
        <v>0</v>
      </c>
      <c r="U302" s="31">
        <v>0</v>
      </c>
      <c r="W302" s="31">
        <v>0</v>
      </c>
      <c r="X302" s="31">
        <v>0</v>
      </c>
      <c r="Y302" s="31">
        <v>0</v>
      </c>
      <c r="Z302" s="31">
        <v>0</v>
      </c>
      <c r="AA302" s="31">
        <v>0</v>
      </c>
      <c r="AB302" s="31">
        <v>0</v>
      </c>
      <c r="AC302" s="31">
        <v>0</v>
      </c>
      <c r="AD302" s="31">
        <v>0</v>
      </c>
      <c r="AE302" s="31">
        <v>0</v>
      </c>
      <c r="AF302" s="31">
        <v>0</v>
      </c>
      <c r="AG302" s="31">
        <v>0</v>
      </c>
      <c r="AH302" s="31">
        <v>0</v>
      </c>
      <c r="AI302" s="31">
        <v>0</v>
      </c>
      <c r="AL302" s="31">
        <f t="shared" si="24"/>
        <v>0</v>
      </c>
      <c r="AM302" s="31">
        <f t="shared" si="25"/>
        <v>0</v>
      </c>
      <c r="AN302" s="31">
        <f t="shared" si="26"/>
        <v>0</v>
      </c>
      <c r="AP302" s="31">
        <f>VLOOKUP($B302,Kraftvärmeprod!$B$1:$BX$549,MATCH(AP$1,Kraftvärmeprod!$B$1:$BX$1,0),FALSE)</f>
        <v>0</v>
      </c>
      <c r="AQ302" s="31">
        <f>VLOOKUP($B302,Kraftvärmeprod!$B$1:$BX$549,MATCH(AQ$1,Kraftvärmeprod!$B$1:$BX$1,0),FALSE)</f>
        <v>0</v>
      </c>
      <c r="AR302" s="31">
        <f>VLOOKUP($B302,Kraftvärmeprod!$B$1:$BX$549,MATCH("Summa tillförd energi exklusive rökgaskondensering",Kraftvärmeprod!$B$1:$BX$1,0),FALSE)</f>
        <v>0</v>
      </c>
      <c r="AT302" s="32" t="str">
        <f t="shared" si="27"/>
        <v/>
      </c>
      <c r="AV302" s="31">
        <f t="shared" si="28"/>
        <v>0</v>
      </c>
      <c r="AX302" s="31" t="str">
        <f>VLOOKUP(B302,Totalt!$B$1:$BZ$554,MATCH(AX$1,Totalt!$B$1:$BZ$1,0),FALSE)</f>
        <v>Ja</v>
      </c>
      <c r="BA302" s="32" t="str">
        <f t="shared" si="29"/>
        <v/>
      </c>
    </row>
    <row r="303" spans="1:53" x14ac:dyDescent="0.45">
      <c r="A303" s="31" t="s">
        <v>286</v>
      </c>
      <c r="B303" s="31" t="s">
        <v>285</v>
      </c>
      <c r="J303" s="31">
        <v>0</v>
      </c>
      <c r="K303" s="31">
        <v>0.633378</v>
      </c>
      <c r="L303" s="31">
        <v>0</v>
      </c>
      <c r="M303" s="31">
        <v>0</v>
      </c>
      <c r="N303" s="31">
        <v>0</v>
      </c>
      <c r="O303" s="31">
        <v>0</v>
      </c>
      <c r="P303" s="31">
        <v>6.9673600000000002</v>
      </c>
      <c r="Q303" s="31">
        <v>1.7429299999999998E-2</v>
      </c>
      <c r="R303" s="31">
        <v>30.597100000000001</v>
      </c>
      <c r="S303" s="31">
        <v>57.952399999999997</v>
      </c>
      <c r="T303" s="31">
        <v>0</v>
      </c>
      <c r="U303" s="31">
        <v>0.71024399999999999</v>
      </c>
      <c r="W303" s="31">
        <v>0</v>
      </c>
      <c r="X303" s="31">
        <v>0</v>
      </c>
      <c r="Y303" s="31">
        <v>0</v>
      </c>
      <c r="Z303" s="31">
        <v>222.28</v>
      </c>
      <c r="AA303" s="31">
        <v>0</v>
      </c>
      <c r="AB303" s="31">
        <v>0</v>
      </c>
      <c r="AC303" s="31">
        <v>0</v>
      </c>
      <c r="AD303" s="31">
        <v>0</v>
      </c>
      <c r="AE303" s="31">
        <v>15.563000000000001</v>
      </c>
      <c r="AF303" s="31">
        <v>0</v>
      </c>
      <c r="AG303" s="31">
        <v>0</v>
      </c>
      <c r="AH303" s="31">
        <v>131.16999999999999</v>
      </c>
      <c r="AI303" s="31">
        <v>10.9611</v>
      </c>
      <c r="AL303" s="31">
        <f t="shared" si="24"/>
        <v>476.85201129999996</v>
      </c>
      <c r="AM303" s="31">
        <f t="shared" si="25"/>
        <v>465.89091129999997</v>
      </c>
      <c r="AN303" s="31">
        <f t="shared" si="26"/>
        <v>334.72091130000001</v>
      </c>
      <c r="AP303" s="31">
        <f>VLOOKUP($B303,Kraftvärmeprod!$B$1:$BX$549,MATCH(AP$1,Kraftvärmeprod!$B$1:$BX$1,0),FALSE)</f>
        <v>448.77</v>
      </c>
      <c r="AQ303" s="31">
        <f>VLOOKUP($B303,Kraftvärmeprod!$B$1:$BX$549,MATCH(AQ$1,Kraftvärmeprod!$B$1:$BX$1,0),FALSE)</f>
        <v>223</v>
      </c>
      <c r="AR303" s="31">
        <f>VLOOKUP($B303,Kraftvärmeprod!$B$1:$BX$549,MATCH("Summa tillförd energi exklusive rökgaskondensering",Kraftvärmeprod!$B$1:$BX$1,0),FALSE)</f>
        <v>772.58999999999992</v>
      </c>
      <c r="AT303" s="32">
        <f t="shared" si="27"/>
        <v>0.43324520288898388</v>
      </c>
      <c r="AV303" s="31">
        <f t="shared" si="28"/>
        <v>318.52453330000003</v>
      </c>
      <c r="AX303" s="31" t="str">
        <f>VLOOKUP(B303,Totalt!$B$1:$BZ$554,MATCH(AX$1,Totalt!$B$1:$BZ$1,0),FALSE)</f>
        <v>Ja</v>
      </c>
      <c r="BA303" s="32">
        <f t="shared" si="29"/>
        <v>1.2982162372647592</v>
      </c>
    </row>
    <row r="304" spans="1:53" x14ac:dyDescent="0.45">
      <c r="A304" s="31" t="s">
        <v>284</v>
      </c>
      <c r="B304" s="31" t="s">
        <v>283</v>
      </c>
      <c r="J304" s="31">
        <v>0</v>
      </c>
      <c r="K304" s="31">
        <v>3.5678799999999997E-2</v>
      </c>
      <c r="L304" s="31">
        <v>0</v>
      </c>
      <c r="M304" s="31">
        <v>0</v>
      </c>
      <c r="N304" s="31">
        <v>0</v>
      </c>
      <c r="O304" s="31">
        <v>0</v>
      </c>
      <c r="P304" s="31">
        <v>1.73681</v>
      </c>
      <c r="Q304" s="31">
        <v>0</v>
      </c>
      <c r="R304" s="31">
        <v>0</v>
      </c>
      <c r="S304" s="31">
        <v>0</v>
      </c>
      <c r="T304" s="31">
        <v>0</v>
      </c>
      <c r="U304" s="31">
        <v>0</v>
      </c>
      <c r="W304" s="31">
        <v>0</v>
      </c>
      <c r="X304" s="31">
        <v>0</v>
      </c>
      <c r="Y304" s="31">
        <v>0</v>
      </c>
      <c r="Z304" s="31">
        <v>41.577399999999997</v>
      </c>
      <c r="AA304" s="31">
        <v>0</v>
      </c>
      <c r="AB304" s="31">
        <v>0</v>
      </c>
      <c r="AC304" s="31">
        <v>0.450187</v>
      </c>
      <c r="AD304" s="31">
        <v>0</v>
      </c>
      <c r="AE304" s="31">
        <v>0</v>
      </c>
      <c r="AF304" s="31">
        <v>0</v>
      </c>
      <c r="AG304" s="31">
        <v>0</v>
      </c>
      <c r="AH304" s="31">
        <v>0</v>
      </c>
      <c r="AI304" s="31">
        <v>1.2906599999999999</v>
      </c>
      <c r="AL304" s="31">
        <f t="shared" si="24"/>
        <v>45.090735799999997</v>
      </c>
      <c r="AM304" s="31">
        <f t="shared" si="25"/>
        <v>43.800075799999995</v>
      </c>
      <c r="AN304" s="31">
        <f t="shared" si="26"/>
        <v>43.800075799999995</v>
      </c>
      <c r="AP304" s="31">
        <f>VLOOKUP($B304,Kraftvärmeprod!$B$1:$BX$549,MATCH(AP$1,Kraftvärmeprod!$B$1:$BX$1,0),FALSE)</f>
        <v>51.552</v>
      </c>
      <c r="AQ304" s="31">
        <f>VLOOKUP($B304,Kraftvärmeprod!$B$1:$BX$549,MATCH(AQ$1,Kraftvärmeprod!$B$1:$BX$1,0),FALSE)</f>
        <v>10.23</v>
      </c>
      <c r="AR304" s="31">
        <f>VLOOKUP($B304,Kraftvärmeprod!$B$1:$BX$549,MATCH("Summa tillförd energi exklusive rökgaskondensering",Kraftvärmeprod!$B$1:$BX$1,0),FALSE)</f>
        <v>66.447000000000003</v>
      </c>
      <c r="AT304" s="32">
        <f t="shared" si="27"/>
        <v>0.65917311240537557</v>
      </c>
      <c r="AV304" s="31">
        <f t="shared" si="28"/>
        <v>43.764396999999995</v>
      </c>
      <c r="AX304" s="31" t="str">
        <f>VLOOKUP(B304,Totalt!$B$1:$BZ$554,MATCH(AX$1,Totalt!$B$1:$BZ$1,0),FALSE)</f>
        <v>Ja</v>
      </c>
      <c r="BA304" s="32">
        <f t="shared" si="29"/>
        <v>1.1432947164282026</v>
      </c>
    </row>
    <row r="305" spans="1:53" x14ac:dyDescent="0.45">
      <c r="A305" s="31" t="s">
        <v>280</v>
      </c>
      <c r="B305" s="31" t="s">
        <v>281</v>
      </c>
      <c r="J305" s="31">
        <v>0</v>
      </c>
      <c r="K305" s="31">
        <v>0</v>
      </c>
      <c r="L305" s="31">
        <v>0</v>
      </c>
      <c r="M305" s="31">
        <v>0</v>
      </c>
      <c r="N305" s="31">
        <v>0</v>
      </c>
      <c r="O305" s="31">
        <v>0</v>
      </c>
      <c r="P305" s="31">
        <v>0</v>
      </c>
      <c r="Q305" s="31">
        <v>0</v>
      </c>
      <c r="R305" s="31">
        <v>0</v>
      </c>
      <c r="S305" s="31">
        <v>0</v>
      </c>
      <c r="T305" s="31">
        <v>0</v>
      </c>
      <c r="U305" s="31">
        <v>0</v>
      </c>
      <c r="W305" s="31">
        <v>0</v>
      </c>
      <c r="X305" s="31">
        <v>0</v>
      </c>
      <c r="Y305" s="31">
        <v>0</v>
      </c>
      <c r="Z305" s="31">
        <v>0</v>
      </c>
      <c r="AA305" s="31">
        <v>0</v>
      </c>
      <c r="AB305" s="31">
        <v>0</v>
      </c>
      <c r="AC305" s="31">
        <v>0</v>
      </c>
      <c r="AD305" s="31">
        <v>0</v>
      </c>
      <c r="AE305" s="31">
        <v>0</v>
      </c>
      <c r="AF305" s="31">
        <v>0</v>
      </c>
      <c r="AG305" s="31">
        <v>0</v>
      </c>
      <c r="AH305" s="31">
        <v>0</v>
      </c>
      <c r="AI305" s="31">
        <v>0</v>
      </c>
      <c r="AL305" s="31">
        <f t="shared" si="24"/>
        <v>0</v>
      </c>
      <c r="AM305" s="31">
        <f t="shared" si="25"/>
        <v>0</v>
      </c>
      <c r="AN305" s="31">
        <f t="shared" si="26"/>
        <v>0</v>
      </c>
      <c r="AP305" s="31">
        <f>VLOOKUP($B305,Kraftvärmeprod!$B$1:$BX$549,MATCH(AP$1,Kraftvärmeprod!$B$1:$BX$1,0),FALSE)</f>
        <v>0</v>
      </c>
      <c r="AQ305" s="31">
        <f>VLOOKUP($B305,Kraftvärmeprod!$B$1:$BX$549,MATCH(AQ$1,Kraftvärmeprod!$B$1:$BX$1,0),FALSE)</f>
        <v>0</v>
      </c>
      <c r="AR305" s="31">
        <f>VLOOKUP($B305,Kraftvärmeprod!$B$1:$BX$549,MATCH("Summa tillförd energi exklusive rökgaskondensering",Kraftvärmeprod!$B$1:$BX$1,0),FALSE)</f>
        <v>0</v>
      </c>
      <c r="AT305" s="32" t="str">
        <f t="shared" si="27"/>
        <v/>
      </c>
      <c r="AV305" s="31">
        <f t="shared" si="28"/>
        <v>0</v>
      </c>
      <c r="AX305" s="31" t="str">
        <f>VLOOKUP(B305,Totalt!$B$1:$BZ$554,MATCH(AX$1,Totalt!$B$1:$BZ$1,0),FALSE)</f>
        <v>Ja</v>
      </c>
      <c r="BA305" s="32" t="str">
        <f t="shared" si="29"/>
        <v/>
      </c>
    </row>
    <row r="306" spans="1:53" x14ac:dyDescent="0.45">
      <c r="A306" s="31" t="s">
        <v>280</v>
      </c>
      <c r="B306" s="31" t="s">
        <v>279</v>
      </c>
      <c r="J306" s="31">
        <v>0</v>
      </c>
      <c r="K306" s="31">
        <v>0</v>
      </c>
      <c r="L306" s="31">
        <v>0</v>
      </c>
      <c r="M306" s="31">
        <v>0</v>
      </c>
      <c r="N306" s="31">
        <v>0</v>
      </c>
      <c r="O306" s="31">
        <v>0</v>
      </c>
      <c r="P306" s="31">
        <v>0</v>
      </c>
      <c r="Q306" s="31">
        <v>0</v>
      </c>
      <c r="R306" s="31">
        <v>0</v>
      </c>
      <c r="S306" s="31">
        <v>0</v>
      </c>
      <c r="T306" s="31">
        <v>0</v>
      </c>
      <c r="U306" s="31">
        <v>0</v>
      </c>
      <c r="W306" s="31">
        <v>0</v>
      </c>
      <c r="X306" s="31">
        <v>0</v>
      </c>
      <c r="Y306" s="31">
        <v>0</v>
      </c>
      <c r="Z306" s="31">
        <v>0</v>
      </c>
      <c r="AA306" s="31">
        <v>0</v>
      </c>
      <c r="AB306" s="31">
        <v>0</v>
      </c>
      <c r="AC306" s="31">
        <v>0</v>
      </c>
      <c r="AD306" s="31">
        <v>0</v>
      </c>
      <c r="AE306" s="31">
        <v>0</v>
      </c>
      <c r="AF306" s="31">
        <v>0</v>
      </c>
      <c r="AG306" s="31">
        <v>0</v>
      </c>
      <c r="AH306" s="31">
        <v>0</v>
      </c>
      <c r="AI306" s="31">
        <v>0</v>
      </c>
      <c r="AL306" s="31">
        <f t="shared" si="24"/>
        <v>0</v>
      </c>
      <c r="AM306" s="31">
        <f t="shared" si="25"/>
        <v>0</v>
      </c>
      <c r="AN306" s="31">
        <f t="shared" si="26"/>
        <v>0</v>
      </c>
      <c r="AP306" s="31">
        <f>VLOOKUP($B306,Kraftvärmeprod!$B$1:$BX$549,MATCH(AP$1,Kraftvärmeprod!$B$1:$BX$1,0),FALSE)</f>
        <v>0</v>
      </c>
      <c r="AQ306" s="31">
        <f>VLOOKUP($B306,Kraftvärmeprod!$B$1:$BX$549,MATCH(AQ$1,Kraftvärmeprod!$B$1:$BX$1,0),FALSE)</f>
        <v>0</v>
      </c>
      <c r="AR306" s="31">
        <f>VLOOKUP($B306,Kraftvärmeprod!$B$1:$BX$549,MATCH("Summa tillförd energi exklusive rökgaskondensering",Kraftvärmeprod!$B$1:$BX$1,0),FALSE)</f>
        <v>0</v>
      </c>
      <c r="AT306" s="32" t="str">
        <f t="shared" si="27"/>
        <v/>
      </c>
      <c r="AV306" s="31">
        <f t="shared" si="28"/>
        <v>0</v>
      </c>
      <c r="AX306" s="31" t="str">
        <f>VLOOKUP(B306,Totalt!$B$1:$BZ$554,MATCH(AX$1,Totalt!$B$1:$BZ$1,0),FALSE)</f>
        <v>Ja</v>
      </c>
      <c r="BA306" s="32" t="str">
        <f t="shared" si="29"/>
        <v/>
      </c>
    </row>
    <row r="307" spans="1:53" x14ac:dyDescent="0.45">
      <c r="A307" s="31" t="s">
        <v>280</v>
      </c>
      <c r="B307" s="31" t="s">
        <v>282</v>
      </c>
      <c r="J307" s="31">
        <v>0</v>
      </c>
      <c r="K307" s="31">
        <v>0</v>
      </c>
      <c r="L307" s="31">
        <v>0</v>
      </c>
      <c r="M307" s="31">
        <v>0</v>
      </c>
      <c r="N307" s="31">
        <v>0</v>
      </c>
      <c r="O307" s="31">
        <v>0</v>
      </c>
      <c r="P307" s="31">
        <v>0</v>
      </c>
      <c r="Q307" s="31">
        <v>0</v>
      </c>
      <c r="R307" s="31">
        <v>0</v>
      </c>
      <c r="S307" s="31">
        <v>0</v>
      </c>
      <c r="T307" s="31">
        <v>0</v>
      </c>
      <c r="U307" s="31">
        <v>0</v>
      </c>
      <c r="W307" s="31">
        <v>0</v>
      </c>
      <c r="X307" s="31">
        <v>0</v>
      </c>
      <c r="Y307" s="31">
        <v>0</v>
      </c>
      <c r="Z307" s="31">
        <v>0</v>
      </c>
      <c r="AA307" s="31">
        <v>0</v>
      </c>
      <c r="AB307" s="31">
        <v>0</v>
      </c>
      <c r="AC307" s="31">
        <v>0</v>
      </c>
      <c r="AD307" s="31">
        <v>0</v>
      </c>
      <c r="AE307" s="31">
        <v>0</v>
      </c>
      <c r="AF307" s="31">
        <v>0</v>
      </c>
      <c r="AG307" s="31">
        <v>0</v>
      </c>
      <c r="AH307" s="31">
        <v>0</v>
      </c>
      <c r="AI307" s="31">
        <v>0</v>
      </c>
      <c r="AL307" s="31">
        <f t="shared" si="24"/>
        <v>0</v>
      </c>
      <c r="AM307" s="31">
        <f t="shared" si="25"/>
        <v>0</v>
      </c>
      <c r="AN307" s="31">
        <f t="shared" si="26"/>
        <v>0</v>
      </c>
      <c r="AP307" s="31">
        <f>VLOOKUP($B307,Kraftvärmeprod!$B$1:$BX$549,MATCH(AP$1,Kraftvärmeprod!$B$1:$BX$1,0),FALSE)</f>
        <v>0</v>
      </c>
      <c r="AQ307" s="31">
        <f>VLOOKUP($B307,Kraftvärmeprod!$B$1:$BX$549,MATCH(AQ$1,Kraftvärmeprod!$B$1:$BX$1,0),FALSE)</f>
        <v>0</v>
      </c>
      <c r="AR307" s="31">
        <f>VLOOKUP($B307,Kraftvärmeprod!$B$1:$BX$549,MATCH("Summa tillförd energi exklusive rökgaskondensering",Kraftvärmeprod!$B$1:$BX$1,0),FALSE)</f>
        <v>0</v>
      </c>
      <c r="AT307" s="32" t="str">
        <f t="shared" si="27"/>
        <v/>
      </c>
      <c r="AV307" s="31">
        <f t="shared" si="28"/>
        <v>0</v>
      </c>
      <c r="AX307" s="31" t="str">
        <f>VLOOKUP(B307,Totalt!$B$1:$BZ$554,MATCH(AX$1,Totalt!$B$1:$BZ$1,0),FALSE)</f>
        <v>Ja</v>
      </c>
      <c r="BA307" s="32" t="str">
        <f t="shared" si="29"/>
        <v/>
      </c>
    </row>
    <row r="308" spans="1:53" x14ac:dyDescent="0.45">
      <c r="A308" s="31" t="s">
        <v>278</v>
      </c>
      <c r="B308" s="31" t="s">
        <v>278</v>
      </c>
      <c r="J308" s="31">
        <v>0</v>
      </c>
      <c r="K308" s="31">
        <v>0</v>
      </c>
      <c r="L308" s="31">
        <v>0</v>
      </c>
      <c r="M308" s="31">
        <v>0</v>
      </c>
      <c r="N308" s="31">
        <v>0</v>
      </c>
      <c r="O308" s="31">
        <v>0</v>
      </c>
      <c r="P308" s="31">
        <v>0</v>
      </c>
      <c r="Q308" s="31">
        <v>0</v>
      </c>
      <c r="R308" s="31">
        <v>0</v>
      </c>
      <c r="S308" s="31">
        <v>0</v>
      </c>
      <c r="T308" s="31">
        <v>0</v>
      </c>
      <c r="U308" s="31">
        <v>0</v>
      </c>
      <c r="W308" s="31">
        <v>0</v>
      </c>
      <c r="X308" s="31">
        <v>0</v>
      </c>
      <c r="Y308" s="31">
        <v>0</v>
      </c>
      <c r="Z308" s="31">
        <v>0</v>
      </c>
      <c r="AA308" s="31">
        <v>0</v>
      </c>
      <c r="AB308" s="31">
        <v>0</v>
      </c>
      <c r="AC308" s="31">
        <v>0</v>
      </c>
      <c r="AD308" s="31">
        <v>0</v>
      </c>
      <c r="AE308" s="31">
        <v>0</v>
      </c>
      <c r="AF308" s="31">
        <v>0</v>
      </c>
      <c r="AG308" s="31">
        <v>0</v>
      </c>
      <c r="AH308" s="31">
        <v>0</v>
      </c>
      <c r="AI308" s="31">
        <v>0</v>
      </c>
      <c r="AL308" s="31">
        <f t="shared" si="24"/>
        <v>0</v>
      </c>
      <c r="AM308" s="31">
        <f t="shared" si="25"/>
        <v>0</v>
      </c>
      <c r="AN308" s="31">
        <f t="shared" si="26"/>
        <v>0</v>
      </c>
      <c r="AP308" s="31">
        <f>VLOOKUP($B308,Kraftvärmeprod!$B$1:$BX$549,MATCH(AP$1,Kraftvärmeprod!$B$1:$BX$1,0),FALSE)</f>
        <v>0</v>
      </c>
      <c r="AQ308" s="31">
        <f>VLOOKUP($B308,Kraftvärmeprod!$B$1:$BX$549,MATCH(AQ$1,Kraftvärmeprod!$B$1:$BX$1,0),FALSE)</f>
        <v>0</v>
      </c>
      <c r="AR308" s="31">
        <f>VLOOKUP($B308,Kraftvärmeprod!$B$1:$BX$549,MATCH("Summa tillförd energi exklusive rökgaskondensering",Kraftvärmeprod!$B$1:$BX$1,0),FALSE)</f>
        <v>0</v>
      </c>
      <c r="AT308" s="32" t="str">
        <f t="shared" si="27"/>
        <v/>
      </c>
      <c r="AV308" s="31">
        <f t="shared" si="28"/>
        <v>0</v>
      </c>
      <c r="AX308" s="31" t="str">
        <f>VLOOKUP(B308,Totalt!$B$1:$BZ$554,MATCH(AX$1,Totalt!$B$1:$BZ$1,0),FALSE)</f>
        <v>Nej</v>
      </c>
      <c r="BA308" s="32" t="str">
        <f t="shared" si="29"/>
        <v/>
      </c>
    </row>
    <row r="309" spans="1:53" x14ac:dyDescent="0.45">
      <c r="A309" s="31" t="s">
        <v>277</v>
      </c>
      <c r="B309" s="31" t="s">
        <v>130</v>
      </c>
      <c r="J309" s="31">
        <v>0</v>
      </c>
      <c r="K309" s="31">
        <v>0</v>
      </c>
      <c r="L309" s="31">
        <v>0</v>
      </c>
      <c r="M309" s="31">
        <v>0</v>
      </c>
      <c r="N309" s="31">
        <v>0</v>
      </c>
      <c r="O309" s="31">
        <v>0</v>
      </c>
      <c r="P309" s="31">
        <v>0</v>
      </c>
      <c r="Q309" s="31">
        <v>0</v>
      </c>
      <c r="R309" s="31">
        <v>0</v>
      </c>
      <c r="S309" s="31">
        <v>0</v>
      </c>
      <c r="T309" s="31">
        <v>0</v>
      </c>
      <c r="U309" s="31">
        <v>0</v>
      </c>
      <c r="W309" s="31">
        <v>0</v>
      </c>
      <c r="X309" s="31">
        <v>0</v>
      </c>
      <c r="Y309" s="31">
        <v>0</v>
      </c>
      <c r="Z309" s="31">
        <v>0</v>
      </c>
      <c r="AA309" s="31">
        <v>0</v>
      </c>
      <c r="AB309" s="31">
        <v>0</v>
      </c>
      <c r="AC309" s="31">
        <v>0</v>
      </c>
      <c r="AD309" s="31">
        <v>0</v>
      </c>
      <c r="AE309" s="31">
        <v>0</v>
      </c>
      <c r="AF309" s="31">
        <v>0</v>
      </c>
      <c r="AG309" s="31">
        <v>0</v>
      </c>
      <c r="AH309" s="31">
        <v>0</v>
      </c>
      <c r="AI309" s="31">
        <v>0</v>
      </c>
      <c r="AL309" s="31">
        <f t="shared" si="24"/>
        <v>0</v>
      </c>
      <c r="AM309" s="31">
        <f t="shared" si="25"/>
        <v>0</v>
      </c>
      <c r="AN309" s="31">
        <f t="shared" si="26"/>
        <v>0</v>
      </c>
      <c r="AP309" s="31">
        <f>VLOOKUP($B309,Kraftvärmeprod!$B$1:$BX$549,MATCH(AP$1,Kraftvärmeprod!$B$1:$BX$1,0),FALSE)</f>
        <v>0</v>
      </c>
      <c r="AQ309" s="31">
        <f>VLOOKUP($B309,Kraftvärmeprod!$B$1:$BX$549,MATCH(AQ$1,Kraftvärmeprod!$B$1:$BX$1,0),FALSE)</f>
        <v>0</v>
      </c>
      <c r="AR309" s="31">
        <f>VLOOKUP($B309,Kraftvärmeprod!$B$1:$BX$549,MATCH("Summa tillförd energi exklusive rökgaskondensering",Kraftvärmeprod!$B$1:$BX$1,0),FALSE)</f>
        <v>0</v>
      </c>
      <c r="AT309" s="32" t="str">
        <f t="shared" si="27"/>
        <v/>
      </c>
      <c r="AV309" s="31">
        <f t="shared" si="28"/>
        <v>0</v>
      </c>
      <c r="AX309" s="31" t="str">
        <f>VLOOKUP(B309,Totalt!$B$1:$BZ$554,MATCH(AX$1,Totalt!$B$1:$BZ$1,0),FALSE)</f>
        <v>Ja</v>
      </c>
      <c r="BA309" s="32" t="str">
        <f t="shared" si="29"/>
        <v/>
      </c>
    </row>
    <row r="310" spans="1:53" x14ac:dyDescent="0.45">
      <c r="A310" s="31" t="s">
        <v>276</v>
      </c>
      <c r="B310" s="31" t="s">
        <v>275</v>
      </c>
      <c r="J310" s="31">
        <v>0</v>
      </c>
      <c r="K310" s="31">
        <v>0</v>
      </c>
      <c r="L310" s="31">
        <v>0</v>
      </c>
      <c r="M310" s="31">
        <v>0</v>
      </c>
      <c r="N310" s="31">
        <v>0</v>
      </c>
      <c r="O310" s="31">
        <v>0</v>
      </c>
      <c r="P310" s="31">
        <v>78.0899</v>
      </c>
      <c r="Q310" s="31">
        <v>17.639700000000001</v>
      </c>
      <c r="R310" s="31">
        <v>0</v>
      </c>
      <c r="S310" s="31">
        <v>4.3205600000000004</v>
      </c>
      <c r="T310" s="31">
        <v>0</v>
      </c>
      <c r="U310" s="31">
        <v>0</v>
      </c>
      <c r="W310" s="31">
        <v>0</v>
      </c>
      <c r="X310" s="31">
        <v>0</v>
      </c>
      <c r="Y310" s="31">
        <v>0</v>
      </c>
      <c r="Z310" s="31">
        <v>0</v>
      </c>
      <c r="AA310" s="31">
        <v>0</v>
      </c>
      <c r="AB310" s="31">
        <v>0</v>
      </c>
      <c r="AC310" s="31">
        <v>0</v>
      </c>
      <c r="AD310" s="31">
        <v>0</v>
      </c>
      <c r="AE310" s="31">
        <v>0</v>
      </c>
      <c r="AF310" s="31">
        <v>0</v>
      </c>
      <c r="AG310" s="31">
        <v>0</v>
      </c>
      <c r="AH310" s="31">
        <v>25.3</v>
      </c>
      <c r="AI310" s="31">
        <v>0</v>
      </c>
      <c r="AL310" s="31">
        <f t="shared" si="24"/>
        <v>125.35016</v>
      </c>
      <c r="AM310" s="31">
        <f t="shared" si="25"/>
        <v>125.35016</v>
      </c>
      <c r="AN310" s="31">
        <f t="shared" si="26"/>
        <v>100.05016000000001</v>
      </c>
      <c r="AP310" s="31">
        <f>VLOOKUP($B310,Kraftvärmeprod!$B$1:$BX$549,MATCH(AP$1,Kraftvärmeprod!$B$1:$BX$1,0),FALSE)</f>
        <v>122.7</v>
      </c>
      <c r="AQ310" s="31">
        <f>VLOOKUP($B310,Kraftvärmeprod!$B$1:$BX$549,MATCH(AQ$1,Kraftvärmeprod!$B$1:$BX$1,0),FALSE)</f>
        <v>28</v>
      </c>
      <c r="AR310" s="31">
        <f>VLOOKUP($B310,Kraftvärmeprod!$B$1:$BX$549,MATCH("Summa tillförd energi exklusive rökgaskondensering",Kraftvärmeprod!$B$1:$BX$1,0),FALSE)</f>
        <v>159.54999999999998</v>
      </c>
      <c r="AT310" s="32">
        <f t="shared" si="27"/>
        <v>0.62707715449702295</v>
      </c>
      <c r="AV310" s="31">
        <f t="shared" si="28"/>
        <v>100.05016000000001</v>
      </c>
      <c r="AX310" s="31" t="str">
        <f>VLOOKUP(B310,Totalt!$B$1:$BZ$554,MATCH(AX$1,Totalt!$B$1:$BZ$1,0),FALSE)</f>
        <v>Ja</v>
      </c>
      <c r="BA310" s="32">
        <f t="shared" si="29"/>
        <v>1.2263848453615667</v>
      </c>
    </row>
    <row r="311" spans="1:53" x14ac:dyDescent="0.45">
      <c r="A311" s="31" t="s">
        <v>273</v>
      </c>
      <c r="B311" s="31" t="s">
        <v>272</v>
      </c>
      <c r="J311" s="31">
        <v>0</v>
      </c>
      <c r="K311" s="31">
        <v>0</v>
      </c>
      <c r="L311" s="31">
        <v>0</v>
      </c>
      <c r="M311" s="31">
        <v>0</v>
      </c>
      <c r="N311" s="31">
        <v>0</v>
      </c>
      <c r="O311" s="31">
        <v>0</v>
      </c>
      <c r="P311" s="31">
        <v>0</v>
      </c>
      <c r="Q311" s="31">
        <v>0</v>
      </c>
      <c r="R311" s="31">
        <v>0</v>
      </c>
      <c r="S311" s="31">
        <v>0</v>
      </c>
      <c r="T311" s="31">
        <v>0</v>
      </c>
      <c r="U311" s="31">
        <v>0</v>
      </c>
      <c r="W311" s="31">
        <v>0</v>
      </c>
      <c r="X311" s="31">
        <v>0</v>
      </c>
      <c r="Y311" s="31">
        <v>0</v>
      </c>
      <c r="Z311" s="31">
        <v>0</v>
      </c>
      <c r="AA311" s="31">
        <v>0</v>
      </c>
      <c r="AB311" s="31">
        <v>0</v>
      </c>
      <c r="AC311" s="31">
        <v>0</v>
      </c>
      <c r="AD311" s="31">
        <v>0</v>
      </c>
      <c r="AE311" s="31">
        <v>0</v>
      </c>
      <c r="AF311" s="31">
        <v>0</v>
      </c>
      <c r="AG311" s="31">
        <v>0</v>
      </c>
      <c r="AH311" s="31">
        <v>0</v>
      </c>
      <c r="AI311" s="31">
        <v>0</v>
      </c>
      <c r="AL311" s="31">
        <f t="shared" si="24"/>
        <v>0</v>
      </c>
      <c r="AM311" s="31">
        <f t="shared" si="25"/>
        <v>0</v>
      </c>
      <c r="AN311" s="31">
        <f t="shared" si="26"/>
        <v>0</v>
      </c>
      <c r="AP311" s="31">
        <f>VLOOKUP($B311,Kraftvärmeprod!$B$1:$BX$549,MATCH(AP$1,Kraftvärmeprod!$B$1:$BX$1,0),FALSE)</f>
        <v>0</v>
      </c>
      <c r="AQ311" s="31">
        <f>VLOOKUP($B311,Kraftvärmeprod!$B$1:$BX$549,MATCH(AQ$1,Kraftvärmeprod!$B$1:$BX$1,0),FALSE)</f>
        <v>0</v>
      </c>
      <c r="AR311" s="31">
        <f>VLOOKUP($B311,Kraftvärmeprod!$B$1:$BX$549,MATCH("Summa tillförd energi exklusive rökgaskondensering",Kraftvärmeprod!$B$1:$BX$1,0),FALSE)</f>
        <v>0</v>
      </c>
      <c r="AT311" s="32" t="str">
        <f t="shared" si="27"/>
        <v/>
      </c>
      <c r="AV311" s="31">
        <f t="shared" si="28"/>
        <v>0</v>
      </c>
      <c r="AX311" s="31" t="str">
        <f>VLOOKUP(B311,Totalt!$B$1:$BZ$554,MATCH(AX$1,Totalt!$B$1:$BZ$1,0),FALSE)</f>
        <v>Ja</v>
      </c>
      <c r="BA311" s="32" t="str">
        <f t="shared" si="29"/>
        <v/>
      </c>
    </row>
    <row r="312" spans="1:53" x14ac:dyDescent="0.45">
      <c r="A312" s="31" t="s">
        <v>271</v>
      </c>
      <c r="B312" s="31" t="s">
        <v>270</v>
      </c>
      <c r="J312" s="31">
        <v>0</v>
      </c>
      <c r="K312" s="31">
        <v>0</v>
      </c>
      <c r="L312" s="31">
        <v>0</v>
      </c>
      <c r="M312" s="31">
        <v>0</v>
      </c>
      <c r="N312" s="31">
        <v>0</v>
      </c>
      <c r="O312" s="31">
        <v>0</v>
      </c>
      <c r="P312" s="31">
        <v>62.965000000000003</v>
      </c>
      <c r="Q312" s="31">
        <v>0</v>
      </c>
      <c r="R312" s="31">
        <v>0</v>
      </c>
      <c r="S312" s="31">
        <v>0</v>
      </c>
      <c r="T312" s="31">
        <v>0</v>
      </c>
      <c r="U312" s="31">
        <v>0</v>
      </c>
      <c r="W312" s="31">
        <v>0</v>
      </c>
      <c r="X312" s="31">
        <v>0</v>
      </c>
      <c r="Y312" s="31">
        <v>0</v>
      </c>
      <c r="Z312" s="31">
        <v>0</v>
      </c>
      <c r="AA312" s="31">
        <v>0</v>
      </c>
      <c r="AB312" s="31">
        <v>0</v>
      </c>
      <c r="AC312" s="31">
        <v>0</v>
      </c>
      <c r="AD312" s="31">
        <v>0</v>
      </c>
      <c r="AE312" s="31">
        <v>0</v>
      </c>
      <c r="AF312" s="31">
        <v>0</v>
      </c>
      <c r="AG312" s="31">
        <v>0</v>
      </c>
      <c r="AH312" s="31">
        <v>18.100000000000001</v>
      </c>
      <c r="AI312" s="31">
        <v>1.89368</v>
      </c>
      <c r="AL312" s="31">
        <f t="shared" si="24"/>
        <v>82.958680000000001</v>
      </c>
      <c r="AM312" s="31">
        <f t="shared" si="25"/>
        <v>81.064999999999998</v>
      </c>
      <c r="AN312" s="31">
        <f t="shared" si="26"/>
        <v>62.964999999999996</v>
      </c>
      <c r="AP312" s="31">
        <f>VLOOKUP($B312,Kraftvärmeprod!$B$1:$BX$549,MATCH(AP$1,Kraftvärmeprod!$B$1:$BX$1,0),FALSE)</f>
        <v>80.900000000000006</v>
      </c>
      <c r="AQ312" s="31">
        <f>VLOOKUP($B312,Kraftvärmeprod!$B$1:$BX$549,MATCH(AQ$1,Kraftvärmeprod!$B$1:$BX$1,0),FALSE)</f>
        <v>8.3000000000000007</v>
      </c>
      <c r="AR312" s="31">
        <f>VLOOKUP($B312,Kraftvärmeprod!$B$1:$BX$549,MATCH("Summa tillförd energi exklusive rökgaskondensering",Kraftvärmeprod!$B$1:$BX$1,0),FALSE)</f>
        <v>79.8</v>
      </c>
      <c r="AT312" s="32">
        <f t="shared" si="27"/>
        <v>0.7890350877192982</v>
      </c>
      <c r="AV312" s="31">
        <f t="shared" si="28"/>
        <v>62.965000000000003</v>
      </c>
      <c r="AX312" s="31" t="str">
        <f>VLOOKUP(B312,Totalt!$B$1:$BZ$554,MATCH(AX$1,Totalt!$B$1:$BZ$1,0),FALSE)</f>
        <v>Ja</v>
      </c>
      <c r="BA312" s="32">
        <f t="shared" si="29"/>
        <v>1.2473272659881456</v>
      </c>
    </row>
    <row r="313" spans="1:53" x14ac:dyDescent="0.45">
      <c r="A313" s="31" t="s">
        <v>267</v>
      </c>
      <c r="B313" s="31" t="s">
        <v>269</v>
      </c>
      <c r="J313" s="31">
        <v>0</v>
      </c>
      <c r="K313" s="31">
        <v>0</v>
      </c>
      <c r="L313" s="31">
        <v>0</v>
      </c>
      <c r="M313" s="31">
        <v>0</v>
      </c>
      <c r="N313" s="31">
        <v>0</v>
      </c>
      <c r="O313" s="31">
        <v>0</v>
      </c>
      <c r="P313" s="31">
        <v>0</v>
      </c>
      <c r="Q313" s="31">
        <v>0</v>
      </c>
      <c r="R313" s="31">
        <v>0</v>
      </c>
      <c r="S313" s="31">
        <v>0</v>
      </c>
      <c r="T313" s="31">
        <v>0</v>
      </c>
      <c r="U313" s="31">
        <v>0</v>
      </c>
      <c r="W313" s="31">
        <v>0</v>
      </c>
      <c r="X313" s="31">
        <v>0</v>
      </c>
      <c r="Y313" s="31">
        <v>0</v>
      </c>
      <c r="Z313" s="31">
        <v>0</v>
      </c>
      <c r="AA313" s="31">
        <v>0</v>
      </c>
      <c r="AB313" s="31">
        <v>0</v>
      </c>
      <c r="AC313" s="31">
        <v>0</v>
      </c>
      <c r="AD313" s="31">
        <v>0</v>
      </c>
      <c r="AE313" s="31">
        <v>0</v>
      </c>
      <c r="AF313" s="31">
        <v>0</v>
      </c>
      <c r="AG313" s="31">
        <v>0</v>
      </c>
      <c r="AH313" s="31">
        <v>0</v>
      </c>
      <c r="AI313" s="31">
        <v>0</v>
      </c>
      <c r="AL313" s="31">
        <f t="shared" si="24"/>
        <v>0</v>
      </c>
      <c r="AM313" s="31">
        <f t="shared" si="25"/>
        <v>0</v>
      </c>
      <c r="AN313" s="31">
        <f t="shared" si="26"/>
        <v>0</v>
      </c>
      <c r="AP313" s="31">
        <f>VLOOKUP($B313,Kraftvärmeprod!$B$1:$BX$549,MATCH(AP$1,Kraftvärmeprod!$B$1:$BX$1,0),FALSE)</f>
        <v>0</v>
      </c>
      <c r="AQ313" s="31">
        <f>VLOOKUP($B313,Kraftvärmeprod!$B$1:$BX$549,MATCH(AQ$1,Kraftvärmeprod!$B$1:$BX$1,0),FALSE)</f>
        <v>0</v>
      </c>
      <c r="AR313" s="31">
        <f>VLOOKUP($B313,Kraftvärmeprod!$B$1:$BX$549,MATCH("Summa tillförd energi exklusive rökgaskondensering",Kraftvärmeprod!$B$1:$BX$1,0),FALSE)</f>
        <v>0</v>
      </c>
      <c r="AT313" s="32" t="str">
        <f t="shared" si="27"/>
        <v/>
      </c>
      <c r="AV313" s="31">
        <f t="shared" si="28"/>
        <v>0</v>
      </c>
      <c r="AX313" s="31" t="str">
        <f>VLOOKUP(B313,Totalt!$B$1:$BZ$554,MATCH(AX$1,Totalt!$B$1:$BZ$1,0),FALSE)</f>
        <v>Ja</v>
      </c>
      <c r="BA313" s="32" t="str">
        <f t="shared" si="29"/>
        <v/>
      </c>
    </row>
    <row r="314" spans="1:53" x14ac:dyDescent="0.45">
      <c r="A314" s="31" t="s">
        <v>267</v>
      </c>
      <c r="B314" s="31" t="s">
        <v>268</v>
      </c>
      <c r="J314" s="31">
        <v>0</v>
      </c>
      <c r="K314" s="31">
        <v>0</v>
      </c>
      <c r="L314" s="31">
        <v>0</v>
      </c>
      <c r="M314" s="31">
        <v>0</v>
      </c>
      <c r="N314" s="31">
        <v>0</v>
      </c>
      <c r="O314" s="31">
        <v>0</v>
      </c>
      <c r="P314" s="31">
        <v>0</v>
      </c>
      <c r="Q314" s="31">
        <v>0</v>
      </c>
      <c r="R314" s="31">
        <v>0</v>
      </c>
      <c r="S314" s="31">
        <v>0</v>
      </c>
      <c r="T314" s="31">
        <v>0</v>
      </c>
      <c r="U314" s="31">
        <v>0</v>
      </c>
      <c r="W314" s="31">
        <v>0</v>
      </c>
      <c r="X314" s="31">
        <v>0</v>
      </c>
      <c r="Y314" s="31">
        <v>0</v>
      </c>
      <c r="Z314" s="31">
        <v>0</v>
      </c>
      <c r="AA314" s="31">
        <v>0</v>
      </c>
      <c r="AB314" s="31">
        <v>0</v>
      </c>
      <c r="AC314" s="31">
        <v>0</v>
      </c>
      <c r="AD314" s="31">
        <v>0</v>
      </c>
      <c r="AE314" s="31">
        <v>0</v>
      </c>
      <c r="AF314" s="31">
        <v>0</v>
      </c>
      <c r="AG314" s="31">
        <v>0</v>
      </c>
      <c r="AH314" s="31">
        <v>0</v>
      </c>
      <c r="AI314" s="31">
        <v>0</v>
      </c>
      <c r="AL314" s="31">
        <f t="shared" si="24"/>
        <v>0</v>
      </c>
      <c r="AM314" s="31">
        <f t="shared" si="25"/>
        <v>0</v>
      </c>
      <c r="AN314" s="31">
        <f t="shared" si="26"/>
        <v>0</v>
      </c>
      <c r="AP314" s="31">
        <f>VLOOKUP($B314,Kraftvärmeprod!$B$1:$BX$549,MATCH(AP$1,Kraftvärmeprod!$B$1:$BX$1,0),FALSE)</f>
        <v>0</v>
      </c>
      <c r="AQ314" s="31">
        <f>VLOOKUP($B314,Kraftvärmeprod!$B$1:$BX$549,MATCH(AQ$1,Kraftvärmeprod!$B$1:$BX$1,0),FALSE)</f>
        <v>0</v>
      </c>
      <c r="AR314" s="31">
        <f>VLOOKUP($B314,Kraftvärmeprod!$B$1:$BX$549,MATCH("Summa tillförd energi exklusive rökgaskondensering",Kraftvärmeprod!$B$1:$BX$1,0),FALSE)</f>
        <v>0</v>
      </c>
      <c r="AT314" s="32" t="str">
        <f t="shared" si="27"/>
        <v/>
      </c>
      <c r="AV314" s="31">
        <f t="shared" si="28"/>
        <v>0</v>
      </c>
      <c r="AX314" s="31" t="str">
        <f>VLOOKUP(B314,Totalt!$B$1:$BZ$554,MATCH(AX$1,Totalt!$B$1:$BZ$1,0),FALSE)</f>
        <v>Ja</v>
      </c>
      <c r="BA314" s="32" t="str">
        <f t="shared" si="29"/>
        <v/>
      </c>
    </row>
    <row r="315" spans="1:53" x14ac:dyDescent="0.45">
      <c r="A315" s="31" t="s">
        <v>267</v>
      </c>
      <c r="B315" s="31" t="s">
        <v>266</v>
      </c>
      <c r="J315" s="31">
        <v>0</v>
      </c>
      <c r="K315" s="31">
        <v>0.28456300000000001</v>
      </c>
      <c r="L315" s="31">
        <v>0</v>
      </c>
      <c r="M315" s="31">
        <v>0</v>
      </c>
      <c r="N315" s="31">
        <v>0</v>
      </c>
      <c r="O315" s="31">
        <v>0</v>
      </c>
      <c r="P315" s="31">
        <v>0</v>
      </c>
      <c r="Q315" s="31">
        <v>0</v>
      </c>
      <c r="R315" s="31">
        <v>0</v>
      </c>
      <c r="S315" s="31">
        <v>0</v>
      </c>
      <c r="T315" s="31">
        <v>0</v>
      </c>
      <c r="U315" s="31">
        <v>0</v>
      </c>
      <c r="W315" s="31">
        <v>0</v>
      </c>
      <c r="X315" s="31">
        <v>0</v>
      </c>
      <c r="Y315" s="31">
        <v>0</v>
      </c>
      <c r="Z315" s="31">
        <v>0</v>
      </c>
      <c r="AA315" s="31">
        <v>0</v>
      </c>
      <c r="AB315" s="31">
        <v>0</v>
      </c>
      <c r="AC315" s="31">
        <v>0</v>
      </c>
      <c r="AD315" s="31">
        <v>0</v>
      </c>
      <c r="AE315" s="31">
        <v>174.381</v>
      </c>
      <c r="AF315" s="31">
        <v>0</v>
      </c>
      <c r="AG315" s="31">
        <v>0</v>
      </c>
      <c r="AH315" s="31">
        <v>44.061</v>
      </c>
      <c r="AI315" s="31">
        <v>7.3766400000000001</v>
      </c>
      <c r="AL315" s="31">
        <f t="shared" si="24"/>
        <v>226.10320300000001</v>
      </c>
      <c r="AM315" s="31">
        <f t="shared" si="25"/>
        <v>218.726563</v>
      </c>
      <c r="AN315" s="31">
        <f t="shared" si="26"/>
        <v>174.66556299999999</v>
      </c>
      <c r="AP315" s="31">
        <f>VLOOKUP($B315,Kraftvärmeprod!$B$1:$BX$549,MATCH(AP$1,Kraftvärmeprod!$B$1:$BX$1,0),FALSE)</f>
        <v>229.16</v>
      </c>
      <c r="AQ315" s="31">
        <f>VLOOKUP($B315,Kraftvärmeprod!$B$1:$BX$549,MATCH(AQ$1,Kraftvärmeprod!$B$1:$BX$1,0),FALSE)</f>
        <v>71.040999999999997</v>
      </c>
      <c r="AR315" s="31">
        <f>VLOOKUP($B315,Kraftvärmeprod!$B$1:$BX$549,MATCH("Summa tillförd energi exklusive rökgaskondensering",Kraftvärmeprod!$B$1:$BX$1,0),FALSE)</f>
        <v>347.83300000000003</v>
      </c>
      <c r="AT315" s="32">
        <f t="shared" si="27"/>
        <v>0.50215351332392266</v>
      </c>
      <c r="AV315" s="31">
        <f t="shared" si="28"/>
        <v>0</v>
      </c>
      <c r="AX315" s="31" t="str">
        <f>VLOOKUP(B315,Totalt!$B$1:$BZ$554,MATCH(AX$1,Totalt!$B$1:$BZ$1,0),FALSE)</f>
        <v>Ja</v>
      </c>
      <c r="BA315" s="32">
        <f t="shared" si="29"/>
        <v>1.2588289760479332</v>
      </c>
    </row>
    <row r="316" spans="1:53" x14ac:dyDescent="0.45">
      <c r="A316" s="31" t="s">
        <v>263</v>
      </c>
      <c r="B316" s="31" t="s">
        <v>265</v>
      </c>
      <c r="J316" s="31">
        <v>0</v>
      </c>
      <c r="K316" s="31">
        <v>0</v>
      </c>
      <c r="L316" s="31">
        <v>0</v>
      </c>
      <c r="M316" s="31">
        <v>0</v>
      </c>
      <c r="N316" s="31">
        <v>0</v>
      </c>
      <c r="O316" s="31">
        <v>0</v>
      </c>
      <c r="P316" s="31">
        <v>0</v>
      </c>
      <c r="Q316" s="31">
        <v>0</v>
      </c>
      <c r="R316" s="31">
        <v>0</v>
      </c>
      <c r="S316" s="31">
        <v>0</v>
      </c>
      <c r="T316" s="31">
        <v>0</v>
      </c>
      <c r="U316" s="31">
        <v>0</v>
      </c>
      <c r="W316" s="31">
        <v>0</v>
      </c>
      <c r="X316" s="31">
        <v>0</v>
      </c>
      <c r="Y316" s="31">
        <v>0</v>
      </c>
      <c r="Z316" s="31">
        <v>0</v>
      </c>
      <c r="AA316" s="31">
        <v>0</v>
      </c>
      <c r="AB316" s="31">
        <v>0</v>
      </c>
      <c r="AC316" s="31">
        <v>0</v>
      </c>
      <c r="AD316" s="31">
        <v>0</v>
      </c>
      <c r="AE316" s="31">
        <v>0</v>
      </c>
      <c r="AF316" s="31">
        <v>0</v>
      </c>
      <c r="AG316" s="31">
        <v>0</v>
      </c>
      <c r="AH316" s="31">
        <v>0</v>
      </c>
      <c r="AI316" s="31">
        <v>0</v>
      </c>
      <c r="AL316" s="31">
        <f t="shared" si="24"/>
        <v>0</v>
      </c>
      <c r="AM316" s="31">
        <f t="shared" si="25"/>
        <v>0</v>
      </c>
      <c r="AN316" s="31">
        <f t="shared" si="26"/>
        <v>0</v>
      </c>
      <c r="AP316" s="31">
        <f>VLOOKUP($B316,Kraftvärmeprod!$B$1:$BX$549,MATCH(AP$1,Kraftvärmeprod!$B$1:$BX$1,0),FALSE)</f>
        <v>0</v>
      </c>
      <c r="AQ316" s="31">
        <f>VLOOKUP($B316,Kraftvärmeprod!$B$1:$BX$549,MATCH(AQ$1,Kraftvärmeprod!$B$1:$BX$1,0),FALSE)</f>
        <v>0</v>
      </c>
      <c r="AR316" s="31">
        <f>VLOOKUP($B316,Kraftvärmeprod!$B$1:$BX$549,MATCH("Summa tillförd energi exklusive rökgaskondensering",Kraftvärmeprod!$B$1:$BX$1,0),FALSE)</f>
        <v>0</v>
      </c>
      <c r="AT316" s="32" t="str">
        <f t="shared" si="27"/>
        <v/>
      </c>
      <c r="AV316" s="31">
        <f t="shared" si="28"/>
        <v>0</v>
      </c>
      <c r="AX316" s="31" t="str">
        <f>VLOOKUP(B316,Totalt!$B$1:$BZ$554,MATCH(AX$1,Totalt!$B$1:$BZ$1,0),FALSE)</f>
        <v>Ja</v>
      </c>
      <c r="BA316" s="32" t="str">
        <f t="shared" si="29"/>
        <v/>
      </c>
    </row>
    <row r="317" spans="1:53" x14ac:dyDescent="0.45">
      <c r="A317" s="31" t="s">
        <v>263</v>
      </c>
      <c r="B317" s="31" t="s">
        <v>262</v>
      </c>
      <c r="J317" s="31">
        <v>0</v>
      </c>
      <c r="K317" s="31">
        <v>0</v>
      </c>
      <c r="L317" s="31">
        <v>0</v>
      </c>
      <c r="M317" s="31">
        <v>0</v>
      </c>
      <c r="N317" s="31">
        <v>0</v>
      </c>
      <c r="O317" s="31">
        <v>0</v>
      </c>
      <c r="P317" s="31">
        <v>0</v>
      </c>
      <c r="Q317" s="31">
        <v>0</v>
      </c>
      <c r="R317" s="31">
        <v>0</v>
      </c>
      <c r="S317" s="31">
        <v>0</v>
      </c>
      <c r="T317" s="31">
        <v>0</v>
      </c>
      <c r="U317" s="31">
        <v>0</v>
      </c>
      <c r="W317" s="31">
        <v>0</v>
      </c>
      <c r="X317" s="31">
        <v>0</v>
      </c>
      <c r="Y317" s="31">
        <v>0</v>
      </c>
      <c r="Z317" s="31">
        <v>0</v>
      </c>
      <c r="AA317" s="31">
        <v>0</v>
      </c>
      <c r="AB317" s="31">
        <v>0</v>
      </c>
      <c r="AC317" s="31">
        <v>0</v>
      </c>
      <c r="AD317" s="31">
        <v>0</v>
      </c>
      <c r="AE317" s="31">
        <v>0</v>
      </c>
      <c r="AF317" s="31">
        <v>0</v>
      </c>
      <c r="AG317" s="31">
        <v>0</v>
      </c>
      <c r="AH317" s="31">
        <v>0</v>
      </c>
      <c r="AI317" s="31">
        <v>0</v>
      </c>
      <c r="AL317" s="31">
        <f t="shared" si="24"/>
        <v>0</v>
      </c>
      <c r="AM317" s="31">
        <f t="shared" si="25"/>
        <v>0</v>
      </c>
      <c r="AN317" s="31">
        <f t="shared" si="26"/>
        <v>0</v>
      </c>
      <c r="AP317" s="31">
        <f>VLOOKUP($B317,Kraftvärmeprod!$B$1:$BX$549,MATCH(AP$1,Kraftvärmeprod!$B$1:$BX$1,0),FALSE)</f>
        <v>0</v>
      </c>
      <c r="AQ317" s="31">
        <f>VLOOKUP($B317,Kraftvärmeprod!$B$1:$BX$549,MATCH(AQ$1,Kraftvärmeprod!$B$1:$BX$1,0),FALSE)</f>
        <v>0</v>
      </c>
      <c r="AR317" s="31">
        <f>VLOOKUP($B317,Kraftvärmeprod!$B$1:$BX$549,MATCH("Summa tillförd energi exklusive rökgaskondensering",Kraftvärmeprod!$B$1:$BX$1,0),FALSE)</f>
        <v>0</v>
      </c>
      <c r="AT317" s="32" t="str">
        <f t="shared" si="27"/>
        <v/>
      </c>
      <c r="AV317" s="31">
        <f t="shared" si="28"/>
        <v>0</v>
      </c>
      <c r="AX317" s="31" t="str">
        <f>VLOOKUP(B317,Totalt!$B$1:$BZ$554,MATCH(AX$1,Totalt!$B$1:$BZ$1,0),FALSE)</f>
        <v>Ja</v>
      </c>
      <c r="BA317" s="32" t="str">
        <f t="shared" si="29"/>
        <v/>
      </c>
    </row>
    <row r="318" spans="1:53" x14ac:dyDescent="0.45">
      <c r="A318" s="31" t="s">
        <v>263</v>
      </c>
      <c r="B318" s="31" t="s">
        <v>264</v>
      </c>
      <c r="J318" s="31">
        <v>0</v>
      </c>
      <c r="K318" s="31">
        <v>0</v>
      </c>
      <c r="L318" s="31">
        <v>0</v>
      </c>
      <c r="M318" s="31">
        <v>0</v>
      </c>
      <c r="N318" s="31">
        <v>0</v>
      </c>
      <c r="O318" s="31">
        <v>0</v>
      </c>
      <c r="P318" s="31">
        <v>0</v>
      </c>
      <c r="Q318" s="31">
        <v>0</v>
      </c>
      <c r="R318" s="31">
        <v>0</v>
      </c>
      <c r="S318" s="31">
        <v>0</v>
      </c>
      <c r="T318" s="31">
        <v>0</v>
      </c>
      <c r="U318" s="31">
        <v>0</v>
      </c>
      <c r="W318" s="31">
        <v>0</v>
      </c>
      <c r="X318" s="31">
        <v>0</v>
      </c>
      <c r="Y318" s="31">
        <v>0</v>
      </c>
      <c r="Z318" s="31">
        <v>0</v>
      </c>
      <c r="AA318" s="31">
        <v>0</v>
      </c>
      <c r="AB318" s="31">
        <v>0</v>
      </c>
      <c r="AC318" s="31">
        <v>0</v>
      </c>
      <c r="AD318" s="31">
        <v>0</v>
      </c>
      <c r="AE318" s="31">
        <v>0</v>
      </c>
      <c r="AF318" s="31">
        <v>0</v>
      </c>
      <c r="AG318" s="31">
        <v>0</v>
      </c>
      <c r="AH318" s="31">
        <v>0</v>
      </c>
      <c r="AI318" s="31">
        <v>0</v>
      </c>
      <c r="AL318" s="31">
        <f t="shared" si="24"/>
        <v>0</v>
      </c>
      <c r="AM318" s="31">
        <f t="shared" si="25"/>
        <v>0</v>
      </c>
      <c r="AN318" s="31">
        <f t="shared" si="26"/>
        <v>0</v>
      </c>
      <c r="AP318" s="31">
        <f>VLOOKUP($B318,Kraftvärmeprod!$B$1:$BX$549,MATCH(AP$1,Kraftvärmeprod!$B$1:$BX$1,0),FALSE)</f>
        <v>0</v>
      </c>
      <c r="AQ318" s="31">
        <f>VLOOKUP($B318,Kraftvärmeprod!$B$1:$BX$549,MATCH(AQ$1,Kraftvärmeprod!$B$1:$BX$1,0),FALSE)</f>
        <v>0</v>
      </c>
      <c r="AR318" s="31">
        <f>VLOOKUP($B318,Kraftvärmeprod!$B$1:$BX$549,MATCH("Summa tillförd energi exklusive rökgaskondensering",Kraftvärmeprod!$B$1:$BX$1,0),FALSE)</f>
        <v>0</v>
      </c>
      <c r="AT318" s="32" t="str">
        <f t="shared" si="27"/>
        <v/>
      </c>
      <c r="AV318" s="31">
        <f t="shared" si="28"/>
        <v>0</v>
      </c>
      <c r="AX318" s="31" t="str">
        <f>VLOOKUP(B318,Totalt!$B$1:$BZ$554,MATCH(AX$1,Totalt!$B$1:$BZ$1,0),FALSE)</f>
        <v>Ja</v>
      </c>
      <c r="BA318" s="32" t="str">
        <f t="shared" si="29"/>
        <v/>
      </c>
    </row>
    <row r="319" spans="1:53" x14ac:dyDescent="0.45">
      <c r="A319" s="31" t="s">
        <v>258</v>
      </c>
      <c r="B319" s="31" t="s">
        <v>261</v>
      </c>
      <c r="J319" s="31">
        <v>0</v>
      </c>
      <c r="K319" s="31">
        <v>0</v>
      </c>
      <c r="L319" s="31">
        <v>0</v>
      </c>
      <c r="M319" s="31">
        <v>0</v>
      </c>
      <c r="N319" s="31">
        <v>0</v>
      </c>
      <c r="O319" s="31">
        <v>0</v>
      </c>
      <c r="P319" s="31">
        <v>0</v>
      </c>
      <c r="Q319" s="31">
        <v>0</v>
      </c>
      <c r="R319" s="31">
        <v>0</v>
      </c>
      <c r="S319" s="31">
        <v>0</v>
      </c>
      <c r="T319" s="31">
        <v>0</v>
      </c>
      <c r="U319" s="31">
        <v>0</v>
      </c>
      <c r="W319" s="31">
        <v>0</v>
      </c>
      <c r="X319" s="31">
        <v>0</v>
      </c>
      <c r="Y319" s="31">
        <v>0</v>
      </c>
      <c r="Z319" s="31">
        <v>0</v>
      </c>
      <c r="AA319" s="31">
        <v>0</v>
      </c>
      <c r="AB319" s="31">
        <v>0</v>
      </c>
      <c r="AC319" s="31">
        <v>0</v>
      </c>
      <c r="AD319" s="31">
        <v>0</v>
      </c>
      <c r="AE319" s="31">
        <v>0</v>
      </c>
      <c r="AF319" s="31">
        <v>0</v>
      </c>
      <c r="AG319" s="31">
        <v>0</v>
      </c>
      <c r="AH319" s="31">
        <v>0</v>
      </c>
      <c r="AI319" s="31">
        <v>0</v>
      </c>
      <c r="AL319" s="31">
        <f t="shared" si="24"/>
        <v>0</v>
      </c>
      <c r="AM319" s="31">
        <f t="shared" si="25"/>
        <v>0</v>
      </c>
      <c r="AN319" s="31">
        <f t="shared" si="26"/>
        <v>0</v>
      </c>
      <c r="AP319" s="31">
        <f>VLOOKUP($B319,Kraftvärmeprod!$B$1:$BX$549,MATCH(AP$1,Kraftvärmeprod!$B$1:$BX$1,0),FALSE)</f>
        <v>0</v>
      </c>
      <c r="AQ319" s="31">
        <f>VLOOKUP($B319,Kraftvärmeprod!$B$1:$BX$549,MATCH(AQ$1,Kraftvärmeprod!$B$1:$BX$1,0),FALSE)</f>
        <v>0</v>
      </c>
      <c r="AR319" s="31">
        <f>VLOOKUP($B319,Kraftvärmeprod!$B$1:$BX$549,MATCH("Summa tillförd energi exklusive rökgaskondensering",Kraftvärmeprod!$B$1:$BX$1,0),FALSE)</f>
        <v>0</v>
      </c>
      <c r="AT319" s="32" t="str">
        <f t="shared" si="27"/>
        <v/>
      </c>
      <c r="AV319" s="31">
        <f t="shared" si="28"/>
        <v>0</v>
      </c>
      <c r="AX319" s="31" t="str">
        <f>VLOOKUP(B319,Totalt!$B$1:$BZ$554,MATCH(AX$1,Totalt!$B$1:$BZ$1,0),FALSE)</f>
        <v>Ja</v>
      </c>
      <c r="BA319" s="32" t="str">
        <f t="shared" si="29"/>
        <v/>
      </c>
    </row>
    <row r="320" spans="1:53" x14ac:dyDescent="0.45">
      <c r="A320" s="31" t="s">
        <v>258</v>
      </c>
      <c r="B320" s="31" t="s">
        <v>260</v>
      </c>
      <c r="J320" s="31">
        <v>0</v>
      </c>
      <c r="K320" s="31">
        <v>0</v>
      </c>
      <c r="L320" s="31">
        <v>0</v>
      </c>
      <c r="M320" s="31">
        <v>0</v>
      </c>
      <c r="N320" s="31">
        <v>0</v>
      </c>
      <c r="O320" s="31">
        <v>0</v>
      </c>
      <c r="P320" s="31">
        <v>0</v>
      </c>
      <c r="Q320" s="31">
        <v>0</v>
      </c>
      <c r="R320" s="31">
        <v>0</v>
      </c>
      <c r="S320" s="31">
        <v>0</v>
      </c>
      <c r="T320" s="31">
        <v>0</v>
      </c>
      <c r="U320" s="31">
        <v>0</v>
      </c>
      <c r="W320" s="31">
        <v>0</v>
      </c>
      <c r="X320" s="31">
        <v>0</v>
      </c>
      <c r="Y320" s="31">
        <v>0</v>
      </c>
      <c r="Z320" s="31">
        <v>0</v>
      </c>
      <c r="AA320" s="31">
        <v>0</v>
      </c>
      <c r="AB320" s="31">
        <v>0</v>
      </c>
      <c r="AC320" s="31">
        <v>0</v>
      </c>
      <c r="AD320" s="31">
        <v>0</v>
      </c>
      <c r="AE320" s="31">
        <v>0</v>
      </c>
      <c r="AF320" s="31">
        <v>0</v>
      </c>
      <c r="AG320" s="31">
        <v>0</v>
      </c>
      <c r="AH320" s="31">
        <v>0</v>
      </c>
      <c r="AI320" s="31">
        <v>0</v>
      </c>
      <c r="AL320" s="31">
        <f t="shared" si="24"/>
        <v>0</v>
      </c>
      <c r="AM320" s="31">
        <f t="shared" si="25"/>
        <v>0</v>
      </c>
      <c r="AN320" s="31">
        <f t="shared" si="26"/>
        <v>0</v>
      </c>
      <c r="AP320" s="31">
        <f>VLOOKUP($B320,Kraftvärmeprod!$B$1:$BX$549,MATCH(AP$1,Kraftvärmeprod!$B$1:$BX$1,0),FALSE)</f>
        <v>0</v>
      </c>
      <c r="AQ320" s="31">
        <f>VLOOKUP($B320,Kraftvärmeprod!$B$1:$BX$549,MATCH(AQ$1,Kraftvärmeprod!$B$1:$BX$1,0),FALSE)</f>
        <v>0</v>
      </c>
      <c r="AR320" s="31">
        <f>VLOOKUP($B320,Kraftvärmeprod!$B$1:$BX$549,MATCH("Summa tillförd energi exklusive rökgaskondensering",Kraftvärmeprod!$B$1:$BX$1,0),FALSE)</f>
        <v>0</v>
      </c>
      <c r="AT320" s="32" t="str">
        <f t="shared" si="27"/>
        <v/>
      </c>
      <c r="AV320" s="31">
        <f t="shared" si="28"/>
        <v>0</v>
      </c>
      <c r="AX320" s="31" t="str">
        <f>VLOOKUP(B320,Totalt!$B$1:$BZ$554,MATCH(AX$1,Totalt!$B$1:$BZ$1,0),FALSE)</f>
        <v>Ja</v>
      </c>
      <c r="BA320" s="32" t="str">
        <f t="shared" si="29"/>
        <v/>
      </c>
    </row>
    <row r="321" spans="1:53" x14ac:dyDescent="0.45">
      <c r="A321" s="31" t="s">
        <v>258</v>
      </c>
      <c r="B321" s="31" t="s">
        <v>259</v>
      </c>
      <c r="J321" s="31">
        <v>0</v>
      </c>
      <c r="K321" s="31">
        <v>0</v>
      </c>
      <c r="L321" s="31">
        <v>0</v>
      </c>
      <c r="M321" s="31">
        <v>0</v>
      </c>
      <c r="N321" s="31">
        <v>0</v>
      </c>
      <c r="O321" s="31">
        <v>0</v>
      </c>
      <c r="P321" s="31">
        <v>0</v>
      </c>
      <c r="Q321" s="31">
        <v>0</v>
      </c>
      <c r="R321" s="31">
        <v>0</v>
      </c>
      <c r="S321" s="31">
        <v>0</v>
      </c>
      <c r="T321" s="31">
        <v>0</v>
      </c>
      <c r="U321" s="31">
        <v>0</v>
      </c>
      <c r="W321" s="31">
        <v>0</v>
      </c>
      <c r="X321" s="31">
        <v>0</v>
      </c>
      <c r="Y321" s="31">
        <v>0</v>
      </c>
      <c r="Z321" s="31">
        <v>0</v>
      </c>
      <c r="AA321" s="31">
        <v>0</v>
      </c>
      <c r="AB321" s="31">
        <v>0</v>
      </c>
      <c r="AC321" s="31">
        <v>0</v>
      </c>
      <c r="AD321" s="31">
        <v>0</v>
      </c>
      <c r="AE321" s="31">
        <v>0</v>
      </c>
      <c r="AF321" s="31">
        <v>0</v>
      </c>
      <c r="AG321" s="31">
        <v>0</v>
      </c>
      <c r="AH321" s="31">
        <v>0</v>
      </c>
      <c r="AI321" s="31">
        <v>0</v>
      </c>
      <c r="AL321" s="31">
        <f t="shared" si="24"/>
        <v>0</v>
      </c>
      <c r="AM321" s="31">
        <f t="shared" si="25"/>
        <v>0</v>
      </c>
      <c r="AN321" s="31">
        <f t="shared" si="26"/>
        <v>0</v>
      </c>
      <c r="AP321" s="31">
        <f>VLOOKUP($B321,Kraftvärmeprod!$B$1:$BX$549,MATCH(AP$1,Kraftvärmeprod!$B$1:$BX$1,0),FALSE)</f>
        <v>0</v>
      </c>
      <c r="AQ321" s="31">
        <f>VLOOKUP($B321,Kraftvärmeprod!$B$1:$BX$549,MATCH(AQ$1,Kraftvärmeprod!$B$1:$BX$1,0),FALSE)</f>
        <v>0</v>
      </c>
      <c r="AR321" s="31">
        <f>VLOOKUP($B321,Kraftvärmeprod!$B$1:$BX$549,MATCH("Summa tillförd energi exklusive rökgaskondensering",Kraftvärmeprod!$B$1:$BX$1,0),FALSE)</f>
        <v>0</v>
      </c>
      <c r="AT321" s="32" t="str">
        <f t="shared" si="27"/>
        <v/>
      </c>
      <c r="AV321" s="31">
        <f t="shared" si="28"/>
        <v>0</v>
      </c>
      <c r="AX321" s="31" t="str">
        <f>VLOOKUP(B321,Totalt!$B$1:$BZ$554,MATCH(AX$1,Totalt!$B$1:$BZ$1,0),FALSE)</f>
        <v>Ja</v>
      </c>
      <c r="BA321" s="32" t="str">
        <f t="shared" si="29"/>
        <v/>
      </c>
    </row>
    <row r="322" spans="1:53" x14ac:dyDescent="0.45">
      <c r="A322" s="31" t="s">
        <v>258</v>
      </c>
      <c r="B322" s="31" t="s">
        <v>257</v>
      </c>
      <c r="J322" s="31">
        <v>0</v>
      </c>
      <c r="K322" s="31">
        <v>4.7</v>
      </c>
      <c r="L322" s="31">
        <v>0</v>
      </c>
      <c r="M322" s="31">
        <v>0</v>
      </c>
      <c r="N322" s="31">
        <v>0</v>
      </c>
      <c r="O322" s="31">
        <v>0</v>
      </c>
      <c r="P322" s="31">
        <v>9.3000000000000007</v>
      </c>
      <c r="Q322" s="31">
        <v>115.7</v>
      </c>
      <c r="R322" s="31">
        <v>52.2</v>
      </c>
      <c r="S322" s="31">
        <v>53.9</v>
      </c>
      <c r="T322" s="31">
        <v>0</v>
      </c>
      <c r="U322" s="31">
        <v>31.2</v>
      </c>
      <c r="W322" s="31">
        <v>0.8</v>
      </c>
      <c r="X322" s="31">
        <v>0</v>
      </c>
      <c r="Y322" s="31">
        <v>0</v>
      </c>
      <c r="Z322" s="31">
        <v>0</v>
      </c>
      <c r="AA322" s="31">
        <v>0</v>
      </c>
      <c r="AB322" s="31">
        <v>0</v>
      </c>
      <c r="AC322" s="31">
        <v>0</v>
      </c>
      <c r="AD322" s="31">
        <v>6.5</v>
      </c>
      <c r="AE322" s="31">
        <v>259.7</v>
      </c>
      <c r="AF322" s="31">
        <v>0</v>
      </c>
      <c r="AG322" s="31">
        <v>0</v>
      </c>
      <c r="AH322" s="31">
        <v>187.1</v>
      </c>
      <c r="AI322" s="31">
        <v>23.948</v>
      </c>
      <c r="AL322" s="31">
        <f t="shared" ref="AL322:AL385" si="30">SUM(J322:U322,W322:AI322)</f>
        <v>745.048</v>
      </c>
      <c r="AM322" s="31">
        <f t="shared" ref="AM322:AM385" si="31">AL322-IFERROR(AI322/1,0)</f>
        <v>721.1</v>
      </c>
      <c r="AN322" s="31">
        <f t="shared" ref="AN322:AN385" si="32">AM322-IFERROR(AH322/1,0)</f>
        <v>534</v>
      </c>
      <c r="AP322" s="31">
        <f>VLOOKUP($B322,Kraftvärmeprod!$B$1:$BX$549,MATCH(AP$1,Kraftvärmeprod!$B$1:$BX$1,0),FALSE)</f>
        <v>660.1</v>
      </c>
      <c r="AQ322" s="31">
        <f>VLOOKUP($B322,Kraftvärmeprod!$B$1:$BX$549,MATCH(AQ$1,Kraftvärmeprod!$B$1:$BX$1,0),FALSE)</f>
        <v>232.8</v>
      </c>
      <c r="AR322" s="31">
        <f>VLOOKUP($B322,Kraftvärmeprod!$B$1:$BX$549,MATCH("Summa tillförd energi exklusive rökgaskondensering",Kraftvärmeprod!$B$1:$BX$1,0),FALSE)</f>
        <v>1061.4000000000001</v>
      </c>
      <c r="AT322" s="32">
        <f t="shared" ref="AT322:AT385" si="33">IF(AN322=0,"",AN322/AR322)</f>
        <v>0.50310910118711127</v>
      </c>
      <c r="AV322" s="31">
        <f t="shared" ref="AV322:AV385" si="34">Q322+R322+S322+T322+U322+P322+X322+Y322+Z322+AA322+AB322+AC322+W322</f>
        <v>263.10000000000002</v>
      </c>
      <c r="AX322" s="31" t="str">
        <f>VLOOKUP(B322,Totalt!$B$1:$BZ$554,MATCH(AX$1,Totalt!$B$1:$BZ$1,0),FALSE)</f>
        <v>Ja</v>
      </c>
      <c r="BA322" s="32">
        <f t="shared" ref="BA322:BA385" si="35">IFERROR(AP322/(AN322+AI322),"")</f>
        <v>1.1830851620581131</v>
      </c>
    </row>
    <row r="323" spans="1:53" x14ac:dyDescent="0.45">
      <c r="A323" s="31" t="s">
        <v>255</v>
      </c>
      <c r="B323" s="31" t="s">
        <v>256</v>
      </c>
      <c r="J323" s="31">
        <v>0</v>
      </c>
      <c r="K323" s="31">
        <v>0</v>
      </c>
      <c r="L323" s="31">
        <v>0</v>
      </c>
      <c r="M323" s="31">
        <v>0</v>
      </c>
      <c r="N323" s="31">
        <v>0</v>
      </c>
      <c r="O323" s="31">
        <v>0</v>
      </c>
      <c r="P323" s="31">
        <v>0</v>
      </c>
      <c r="Q323" s="31">
        <v>0</v>
      </c>
      <c r="R323" s="31">
        <v>0</v>
      </c>
      <c r="S323" s="31">
        <v>0</v>
      </c>
      <c r="T323" s="31">
        <v>0</v>
      </c>
      <c r="U323" s="31">
        <v>0</v>
      </c>
      <c r="W323" s="31">
        <v>0</v>
      </c>
      <c r="X323" s="31">
        <v>0</v>
      </c>
      <c r="Y323" s="31">
        <v>0</v>
      </c>
      <c r="Z323" s="31">
        <v>0</v>
      </c>
      <c r="AA323" s="31">
        <v>0</v>
      </c>
      <c r="AB323" s="31">
        <v>0</v>
      </c>
      <c r="AC323" s="31">
        <v>0</v>
      </c>
      <c r="AD323" s="31">
        <v>0</v>
      </c>
      <c r="AE323" s="31">
        <v>0</v>
      </c>
      <c r="AF323" s="31">
        <v>0</v>
      </c>
      <c r="AG323" s="31">
        <v>0</v>
      </c>
      <c r="AH323" s="31">
        <v>0</v>
      </c>
      <c r="AI323" s="31">
        <v>0</v>
      </c>
      <c r="AL323" s="31">
        <f t="shared" si="30"/>
        <v>0</v>
      </c>
      <c r="AM323" s="31">
        <f t="shared" si="31"/>
        <v>0</v>
      </c>
      <c r="AN323" s="31">
        <f t="shared" si="32"/>
        <v>0</v>
      </c>
      <c r="AP323" s="31">
        <f>VLOOKUP($B323,Kraftvärmeprod!$B$1:$BX$549,MATCH(AP$1,Kraftvärmeprod!$B$1:$BX$1,0),FALSE)</f>
        <v>0</v>
      </c>
      <c r="AQ323" s="31">
        <f>VLOOKUP($B323,Kraftvärmeprod!$B$1:$BX$549,MATCH(AQ$1,Kraftvärmeprod!$B$1:$BX$1,0),FALSE)</f>
        <v>0</v>
      </c>
      <c r="AR323" s="31">
        <f>VLOOKUP($B323,Kraftvärmeprod!$B$1:$BX$549,MATCH("Summa tillförd energi exklusive rökgaskondensering",Kraftvärmeprod!$B$1:$BX$1,0),FALSE)</f>
        <v>0</v>
      </c>
      <c r="AT323" s="32" t="str">
        <f t="shared" si="33"/>
        <v/>
      </c>
      <c r="AV323" s="31">
        <f t="shared" si="34"/>
        <v>0</v>
      </c>
      <c r="AX323" s="31" t="str">
        <f>VLOOKUP(B323,Totalt!$B$1:$BZ$554,MATCH(AX$1,Totalt!$B$1:$BZ$1,0),FALSE)</f>
        <v>Ja</v>
      </c>
      <c r="BA323" s="32" t="str">
        <f t="shared" si="35"/>
        <v/>
      </c>
    </row>
    <row r="324" spans="1:53" x14ac:dyDescent="0.45">
      <c r="A324" s="31" t="s">
        <v>255</v>
      </c>
      <c r="B324" s="31" t="s">
        <v>254</v>
      </c>
      <c r="J324" s="31">
        <v>0</v>
      </c>
      <c r="K324" s="31">
        <v>0</v>
      </c>
      <c r="L324" s="31">
        <v>0</v>
      </c>
      <c r="M324" s="31">
        <v>0</v>
      </c>
      <c r="N324" s="31">
        <v>0</v>
      </c>
      <c r="O324" s="31">
        <v>0</v>
      </c>
      <c r="P324" s="31">
        <v>0</v>
      </c>
      <c r="Q324" s="31">
        <v>0</v>
      </c>
      <c r="R324" s="31">
        <v>0</v>
      </c>
      <c r="S324" s="31">
        <v>0</v>
      </c>
      <c r="T324" s="31">
        <v>0</v>
      </c>
      <c r="U324" s="31">
        <v>0</v>
      </c>
      <c r="W324" s="31">
        <v>0</v>
      </c>
      <c r="X324" s="31">
        <v>0</v>
      </c>
      <c r="Y324" s="31">
        <v>0</v>
      </c>
      <c r="Z324" s="31">
        <v>0</v>
      </c>
      <c r="AA324" s="31">
        <v>0</v>
      </c>
      <c r="AB324" s="31">
        <v>0</v>
      </c>
      <c r="AC324" s="31">
        <v>0</v>
      </c>
      <c r="AD324" s="31">
        <v>0</v>
      </c>
      <c r="AE324" s="31">
        <v>0</v>
      </c>
      <c r="AF324" s="31">
        <v>0</v>
      </c>
      <c r="AG324" s="31">
        <v>0</v>
      </c>
      <c r="AH324" s="31">
        <v>0</v>
      </c>
      <c r="AI324" s="31">
        <v>0</v>
      </c>
      <c r="AL324" s="31">
        <f t="shared" si="30"/>
        <v>0</v>
      </c>
      <c r="AM324" s="31">
        <f t="shared" si="31"/>
        <v>0</v>
      </c>
      <c r="AN324" s="31">
        <f t="shared" si="32"/>
        <v>0</v>
      </c>
      <c r="AP324" s="31">
        <f>VLOOKUP($B324,Kraftvärmeprod!$B$1:$BX$549,MATCH(AP$1,Kraftvärmeprod!$B$1:$BX$1,0),FALSE)</f>
        <v>0</v>
      </c>
      <c r="AQ324" s="31">
        <f>VLOOKUP($B324,Kraftvärmeprod!$B$1:$BX$549,MATCH(AQ$1,Kraftvärmeprod!$B$1:$BX$1,0),FALSE)</f>
        <v>0</v>
      </c>
      <c r="AR324" s="31">
        <f>VLOOKUP($B324,Kraftvärmeprod!$B$1:$BX$549,MATCH("Summa tillförd energi exklusive rökgaskondensering",Kraftvärmeprod!$B$1:$BX$1,0),FALSE)</f>
        <v>0</v>
      </c>
      <c r="AT324" s="32" t="str">
        <f t="shared" si="33"/>
        <v/>
      </c>
      <c r="AV324" s="31">
        <f t="shared" si="34"/>
        <v>0</v>
      </c>
      <c r="AX324" s="31" t="str">
        <f>VLOOKUP(B324,Totalt!$B$1:$BZ$554,MATCH(AX$1,Totalt!$B$1:$BZ$1,0),FALSE)</f>
        <v>Ja</v>
      </c>
      <c r="BA324" s="32" t="str">
        <f t="shared" si="35"/>
        <v/>
      </c>
    </row>
    <row r="325" spans="1:53" x14ac:dyDescent="0.45">
      <c r="A325" s="31" t="s">
        <v>253</v>
      </c>
      <c r="B325" s="31" t="s">
        <v>252</v>
      </c>
      <c r="J325" s="31">
        <v>0</v>
      </c>
      <c r="K325" s="31">
        <v>0</v>
      </c>
      <c r="L325" s="31">
        <v>0</v>
      </c>
      <c r="M325" s="31">
        <v>0</v>
      </c>
      <c r="N325" s="31">
        <v>0</v>
      </c>
      <c r="O325" s="31">
        <v>0</v>
      </c>
      <c r="P325" s="31">
        <v>0</v>
      </c>
      <c r="Q325" s="31">
        <v>0</v>
      </c>
      <c r="R325" s="31">
        <v>0</v>
      </c>
      <c r="S325" s="31">
        <v>0</v>
      </c>
      <c r="T325" s="31">
        <v>0</v>
      </c>
      <c r="U325" s="31">
        <v>0</v>
      </c>
      <c r="W325" s="31">
        <v>0</v>
      </c>
      <c r="X325" s="31">
        <v>0</v>
      </c>
      <c r="Y325" s="31">
        <v>0</v>
      </c>
      <c r="Z325" s="31">
        <v>0</v>
      </c>
      <c r="AA325" s="31">
        <v>0</v>
      </c>
      <c r="AB325" s="31">
        <v>0</v>
      </c>
      <c r="AC325" s="31">
        <v>0</v>
      </c>
      <c r="AD325" s="31">
        <v>0</v>
      </c>
      <c r="AE325" s="31">
        <v>0</v>
      </c>
      <c r="AF325" s="31">
        <v>0</v>
      </c>
      <c r="AG325" s="31">
        <v>0</v>
      </c>
      <c r="AH325" s="31">
        <v>0</v>
      </c>
      <c r="AI325" s="31">
        <v>0</v>
      </c>
      <c r="AL325" s="31">
        <f t="shared" si="30"/>
        <v>0</v>
      </c>
      <c r="AM325" s="31">
        <f t="shared" si="31"/>
        <v>0</v>
      </c>
      <c r="AN325" s="31">
        <f t="shared" si="32"/>
        <v>0</v>
      </c>
      <c r="AP325" s="31">
        <f>VLOOKUP($B325,Kraftvärmeprod!$B$1:$BX$549,MATCH(AP$1,Kraftvärmeprod!$B$1:$BX$1,0),FALSE)</f>
        <v>0</v>
      </c>
      <c r="AQ325" s="31">
        <f>VLOOKUP($B325,Kraftvärmeprod!$B$1:$BX$549,MATCH(AQ$1,Kraftvärmeprod!$B$1:$BX$1,0),FALSE)</f>
        <v>0</v>
      </c>
      <c r="AR325" s="31">
        <f>VLOOKUP($B325,Kraftvärmeprod!$B$1:$BX$549,MATCH("Summa tillförd energi exklusive rökgaskondensering",Kraftvärmeprod!$B$1:$BX$1,0),FALSE)</f>
        <v>0</v>
      </c>
      <c r="AT325" s="32" t="str">
        <f t="shared" si="33"/>
        <v/>
      </c>
      <c r="AV325" s="31">
        <f t="shared" si="34"/>
        <v>0</v>
      </c>
      <c r="AX325" s="31" t="str">
        <f>VLOOKUP(B325,Totalt!$B$1:$BZ$554,MATCH(AX$1,Totalt!$B$1:$BZ$1,0),FALSE)</f>
        <v>Ja</v>
      </c>
      <c r="BA325" s="32" t="str">
        <f t="shared" si="35"/>
        <v/>
      </c>
    </row>
    <row r="326" spans="1:53" x14ac:dyDescent="0.45">
      <c r="A326" s="31" t="s">
        <v>249</v>
      </c>
      <c r="B326" s="31" t="s">
        <v>251</v>
      </c>
      <c r="J326" s="31">
        <v>0</v>
      </c>
      <c r="K326" s="31">
        <v>0</v>
      </c>
      <c r="L326" s="31">
        <v>0</v>
      </c>
      <c r="M326" s="31">
        <v>0</v>
      </c>
      <c r="N326" s="31">
        <v>0</v>
      </c>
      <c r="O326" s="31">
        <v>0</v>
      </c>
      <c r="P326" s="31">
        <v>0</v>
      </c>
      <c r="Q326" s="31">
        <v>0</v>
      </c>
      <c r="R326" s="31">
        <v>0</v>
      </c>
      <c r="S326" s="31">
        <v>0</v>
      </c>
      <c r="T326" s="31">
        <v>0</v>
      </c>
      <c r="U326" s="31">
        <v>0</v>
      </c>
      <c r="W326" s="31">
        <v>0</v>
      </c>
      <c r="X326" s="31">
        <v>0</v>
      </c>
      <c r="Y326" s="31">
        <v>0</v>
      </c>
      <c r="Z326" s="31">
        <v>0</v>
      </c>
      <c r="AA326" s="31">
        <v>0</v>
      </c>
      <c r="AB326" s="31">
        <v>0</v>
      </c>
      <c r="AC326" s="31">
        <v>0</v>
      </c>
      <c r="AD326" s="31">
        <v>0</v>
      </c>
      <c r="AE326" s="31">
        <v>0</v>
      </c>
      <c r="AF326" s="31">
        <v>0</v>
      </c>
      <c r="AG326" s="31">
        <v>0</v>
      </c>
      <c r="AH326" s="31">
        <v>0</v>
      </c>
      <c r="AI326" s="31">
        <v>0</v>
      </c>
      <c r="AL326" s="31">
        <f t="shared" si="30"/>
        <v>0</v>
      </c>
      <c r="AM326" s="31">
        <f t="shared" si="31"/>
        <v>0</v>
      </c>
      <c r="AN326" s="31">
        <f t="shared" si="32"/>
        <v>0</v>
      </c>
      <c r="AP326" s="31">
        <f>VLOOKUP($B326,Kraftvärmeprod!$B$1:$BX$549,MATCH(AP$1,Kraftvärmeprod!$B$1:$BX$1,0),FALSE)</f>
        <v>0</v>
      </c>
      <c r="AQ326" s="31">
        <f>VLOOKUP($B326,Kraftvärmeprod!$B$1:$BX$549,MATCH(AQ$1,Kraftvärmeprod!$B$1:$BX$1,0),FALSE)</f>
        <v>0</v>
      </c>
      <c r="AR326" s="31">
        <f>VLOOKUP($B326,Kraftvärmeprod!$B$1:$BX$549,MATCH("Summa tillförd energi exklusive rökgaskondensering",Kraftvärmeprod!$B$1:$BX$1,0),FALSE)</f>
        <v>0</v>
      </c>
      <c r="AT326" s="32" t="str">
        <f t="shared" si="33"/>
        <v/>
      </c>
      <c r="AV326" s="31">
        <f t="shared" si="34"/>
        <v>0</v>
      </c>
      <c r="AX326" s="31" t="str">
        <f>VLOOKUP(B326,Totalt!$B$1:$BZ$554,MATCH(AX$1,Totalt!$B$1:$BZ$1,0),FALSE)</f>
        <v>Ja</v>
      </c>
      <c r="BA326" s="32" t="str">
        <f t="shared" si="35"/>
        <v/>
      </c>
    </row>
    <row r="327" spans="1:53" x14ac:dyDescent="0.45">
      <c r="A327" s="31" t="s">
        <v>249</v>
      </c>
      <c r="B327" s="31" t="s">
        <v>250</v>
      </c>
      <c r="J327" s="31">
        <v>0</v>
      </c>
      <c r="K327" s="31">
        <v>0</v>
      </c>
      <c r="L327" s="31">
        <v>0</v>
      </c>
      <c r="M327" s="31">
        <v>0</v>
      </c>
      <c r="N327" s="31">
        <v>0</v>
      </c>
      <c r="O327" s="31">
        <v>0</v>
      </c>
      <c r="P327" s="31">
        <v>0</v>
      </c>
      <c r="Q327" s="31">
        <v>0</v>
      </c>
      <c r="R327" s="31">
        <v>0</v>
      </c>
      <c r="S327" s="31">
        <v>0</v>
      </c>
      <c r="T327" s="31">
        <v>0</v>
      </c>
      <c r="U327" s="31">
        <v>0</v>
      </c>
      <c r="W327" s="31">
        <v>0</v>
      </c>
      <c r="X327" s="31">
        <v>0</v>
      </c>
      <c r="Y327" s="31">
        <v>0</v>
      </c>
      <c r="Z327" s="31">
        <v>0</v>
      </c>
      <c r="AA327" s="31">
        <v>0</v>
      </c>
      <c r="AB327" s="31">
        <v>0</v>
      </c>
      <c r="AC327" s="31">
        <v>0</v>
      </c>
      <c r="AD327" s="31">
        <v>0</v>
      </c>
      <c r="AE327" s="31">
        <v>0</v>
      </c>
      <c r="AF327" s="31">
        <v>0</v>
      </c>
      <c r="AG327" s="31">
        <v>0</v>
      </c>
      <c r="AH327" s="31">
        <v>0</v>
      </c>
      <c r="AI327" s="31">
        <v>0</v>
      </c>
      <c r="AL327" s="31">
        <f t="shared" si="30"/>
        <v>0</v>
      </c>
      <c r="AM327" s="31">
        <f t="shared" si="31"/>
        <v>0</v>
      </c>
      <c r="AN327" s="31">
        <f t="shared" si="32"/>
        <v>0</v>
      </c>
      <c r="AP327" s="31">
        <f>VLOOKUP($B327,Kraftvärmeprod!$B$1:$BX$549,MATCH(AP$1,Kraftvärmeprod!$B$1:$BX$1,0),FALSE)</f>
        <v>0</v>
      </c>
      <c r="AQ327" s="31">
        <f>VLOOKUP($B327,Kraftvärmeprod!$B$1:$BX$549,MATCH(AQ$1,Kraftvärmeprod!$B$1:$BX$1,0),FALSE)</f>
        <v>0</v>
      </c>
      <c r="AR327" s="31">
        <f>VLOOKUP($B327,Kraftvärmeprod!$B$1:$BX$549,MATCH("Summa tillförd energi exklusive rökgaskondensering",Kraftvärmeprod!$B$1:$BX$1,0),FALSE)</f>
        <v>0</v>
      </c>
      <c r="AT327" s="32" t="str">
        <f t="shared" si="33"/>
        <v/>
      </c>
      <c r="AV327" s="31">
        <f t="shared" si="34"/>
        <v>0</v>
      </c>
      <c r="AX327" s="31" t="str">
        <f>VLOOKUP(B327,Totalt!$B$1:$BZ$554,MATCH(AX$1,Totalt!$B$1:$BZ$1,0),FALSE)</f>
        <v>Ja</v>
      </c>
      <c r="BA327" s="32" t="str">
        <f t="shared" si="35"/>
        <v/>
      </c>
    </row>
    <row r="328" spans="1:53" x14ac:dyDescent="0.45">
      <c r="A328" s="31" t="s">
        <v>249</v>
      </c>
      <c r="B328" s="31" t="s">
        <v>248</v>
      </c>
      <c r="J328" s="31">
        <v>0</v>
      </c>
      <c r="K328" s="31">
        <v>0</v>
      </c>
      <c r="L328" s="31">
        <v>0</v>
      </c>
      <c r="M328" s="31">
        <v>0</v>
      </c>
      <c r="N328" s="31">
        <v>0</v>
      </c>
      <c r="O328" s="31">
        <v>0</v>
      </c>
      <c r="P328" s="31">
        <v>0</v>
      </c>
      <c r="Q328" s="31">
        <v>0</v>
      </c>
      <c r="R328" s="31">
        <v>0</v>
      </c>
      <c r="S328" s="31">
        <v>0</v>
      </c>
      <c r="T328" s="31">
        <v>0</v>
      </c>
      <c r="U328" s="31">
        <v>0</v>
      </c>
      <c r="W328" s="31">
        <v>0</v>
      </c>
      <c r="X328" s="31">
        <v>0</v>
      </c>
      <c r="Y328" s="31">
        <v>0</v>
      </c>
      <c r="Z328" s="31">
        <v>0</v>
      </c>
      <c r="AA328" s="31">
        <v>0</v>
      </c>
      <c r="AB328" s="31">
        <v>0</v>
      </c>
      <c r="AC328" s="31">
        <v>0</v>
      </c>
      <c r="AD328" s="31">
        <v>0</v>
      </c>
      <c r="AE328" s="31">
        <v>0</v>
      </c>
      <c r="AF328" s="31">
        <v>0</v>
      </c>
      <c r="AG328" s="31">
        <v>0</v>
      </c>
      <c r="AH328" s="31">
        <v>0</v>
      </c>
      <c r="AI328" s="31">
        <v>0</v>
      </c>
      <c r="AL328" s="31">
        <f t="shared" si="30"/>
        <v>0</v>
      </c>
      <c r="AM328" s="31">
        <f t="shared" si="31"/>
        <v>0</v>
      </c>
      <c r="AN328" s="31">
        <f t="shared" si="32"/>
        <v>0</v>
      </c>
      <c r="AP328" s="31">
        <f>VLOOKUP($B328,Kraftvärmeprod!$B$1:$BX$549,MATCH(AP$1,Kraftvärmeprod!$B$1:$BX$1,0),FALSE)</f>
        <v>0</v>
      </c>
      <c r="AQ328" s="31">
        <f>VLOOKUP($B328,Kraftvärmeprod!$B$1:$BX$549,MATCH(AQ$1,Kraftvärmeprod!$B$1:$BX$1,0),FALSE)</f>
        <v>0</v>
      </c>
      <c r="AR328" s="31">
        <f>VLOOKUP($B328,Kraftvärmeprod!$B$1:$BX$549,MATCH("Summa tillförd energi exklusive rökgaskondensering",Kraftvärmeprod!$B$1:$BX$1,0),FALSE)</f>
        <v>0</v>
      </c>
      <c r="AT328" s="32" t="str">
        <f t="shared" si="33"/>
        <v/>
      </c>
      <c r="AV328" s="31">
        <f t="shared" si="34"/>
        <v>0</v>
      </c>
      <c r="AX328" s="31" t="str">
        <f>VLOOKUP(B328,Totalt!$B$1:$BZ$554,MATCH(AX$1,Totalt!$B$1:$BZ$1,0),FALSE)</f>
        <v>Ja</v>
      </c>
      <c r="BA328" s="32" t="str">
        <f t="shared" si="35"/>
        <v/>
      </c>
    </row>
    <row r="329" spans="1:53" x14ac:dyDescent="0.45">
      <c r="A329" s="31" t="s">
        <v>243</v>
      </c>
      <c r="B329" s="31" t="s">
        <v>244</v>
      </c>
      <c r="J329" s="31">
        <v>0</v>
      </c>
      <c r="K329" s="31">
        <v>0</v>
      </c>
      <c r="L329" s="31">
        <v>0</v>
      </c>
      <c r="M329" s="31">
        <v>0</v>
      </c>
      <c r="N329" s="31">
        <v>0</v>
      </c>
      <c r="O329" s="31">
        <v>0</v>
      </c>
      <c r="P329" s="31">
        <v>0</v>
      </c>
      <c r="Q329" s="31">
        <v>0</v>
      </c>
      <c r="R329" s="31">
        <v>0</v>
      </c>
      <c r="S329" s="31">
        <v>0</v>
      </c>
      <c r="T329" s="31">
        <v>0</v>
      </c>
      <c r="U329" s="31">
        <v>0</v>
      </c>
      <c r="W329" s="31">
        <v>0</v>
      </c>
      <c r="X329" s="31">
        <v>0</v>
      </c>
      <c r="Y329" s="31">
        <v>0</v>
      </c>
      <c r="Z329" s="31">
        <v>0</v>
      </c>
      <c r="AA329" s="31">
        <v>0</v>
      </c>
      <c r="AB329" s="31">
        <v>0</v>
      </c>
      <c r="AC329" s="31">
        <v>0</v>
      </c>
      <c r="AD329" s="31">
        <v>0</v>
      </c>
      <c r="AE329" s="31">
        <v>0</v>
      </c>
      <c r="AF329" s="31">
        <v>0</v>
      </c>
      <c r="AG329" s="31">
        <v>0</v>
      </c>
      <c r="AH329" s="31">
        <v>0</v>
      </c>
      <c r="AI329" s="31">
        <v>0</v>
      </c>
      <c r="AL329" s="31">
        <f t="shared" si="30"/>
        <v>0</v>
      </c>
      <c r="AM329" s="31">
        <f t="shared" si="31"/>
        <v>0</v>
      </c>
      <c r="AN329" s="31">
        <f t="shared" si="32"/>
        <v>0</v>
      </c>
      <c r="AP329" s="31">
        <f>VLOOKUP($B329,Kraftvärmeprod!$B$1:$BX$549,MATCH(AP$1,Kraftvärmeprod!$B$1:$BX$1,0),FALSE)</f>
        <v>0</v>
      </c>
      <c r="AQ329" s="31">
        <f>VLOOKUP($B329,Kraftvärmeprod!$B$1:$BX$549,MATCH(AQ$1,Kraftvärmeprod!$B$1:$BX$1,0),FALSE)</f>
        <v>0</v>
      </c>
      <c r="AR329" s="31">
        <f>VLOOKUP($B329,Kraftvärmeprod!$B$1:$BX$549,MATCH("Summa tillförd energi exklusive rökgaskondensering",Kraftvärmeprod!$B$1:$BX$1,0),FALSE)</f>
        <v>0</v>
      </c>
      <c r="AT329" s="32" t="str">
        <f t="shared" si="33"/>
        <v/>
      </c>
      <c r="AV329" s="31">
        <f t="shared" si="34"/>
        <v>0</v>
      </c>
      <c r="AX329" s="31" t="str">
        <f>VLOOKUP(B329,Totalt!$B$1:$BZ$554,MATCH(AX$1,Totalt!$B$1:$BZ$1,0),FALSE)</f>
        <v>Ja</v>
      </c>
      <c r="BA329" s="32" t="str">
        <f t="shared" si="35"/>
        <v/>
      </c>
    </row>
    <row r="330" spans="1:53" x14ac:dyDescent="0.45">
      <c r="A330" s="31" t="s">
        <v>243</v>
      </c>
      <c r="B330" s="31" t="s">
        <v>133</v>
      </c>
      <c r="J330" s="31">
        <v>0</v>
      </c>
      <c r="K330" s="31">
        <v>0</v>
      </c>
      <c r="L330" s="31">
        <v>0</v>
      </c>
      <c r="M330" s="31">
        <v>0</v>
      </c>
      <c r="N330" s="31">
        <v>0</v>
      </c>
      <c r="O330" s="31">
        <v>0</v>
      </c>
      <c r="P330" s="31">
        <v>0</v>
      </c>
      <c r="Q330" s="31">
        <v>0</v>
      </c>
      <c r="R330" s="31">
        <v>0</v>
      </c>
      <c r="S330" s="31">
        <v>0</v>
      </c>
      <c r="T330" s="31">
        <v>0</v>
      </c>
      <c r="U330" s="31">
        <v>0</v>
      </c>
      <c r="W330" s="31">
        <v>0</v>
      </c>
      <c r="X330" s="31">
        <v>0</v>
      </c>
      <c r="Y330" s="31">
        <v>0</v>
      </c>
      <c r="Z330" s="31">
        <v>0</v>
      </c>
      <c r="AA330" s="31">
        <v>0</v>
      </c>
      <c r="AB330" s="31">
        <v>0</v>
      </c>
      <c r="AC330" s="31">
        <v>0</v>
      </c>
      <c r="AD330" s="31">
        <v>0</v>
      </c>
      <c r="AE330" s="31">
        <v>0</v>
      </c>
      <c r="AF330" s="31">
        <v>0</v>
      </c>
      <c r="AG330" s="31">
        <v>0</v>
      </c>
      <c r="AH330" s="31">
        <v>0</v>
      </c>
      <c r="AI330" s="31">
        <v>0</v>
      </c>
      <c r="AL330" s="31">
        <f t="shared" si="30"/>
        <v>0</v>
      </c>
      <c r="AM330" s="31">
        <f t="shared" si="31"/>
        <v>0</v>
      </c>
      <c r="AN330" s="31">
        <f t="shared" si="32"/>
        <v>0</v>
      </c>
      <c r="AP330" s="31">
        <f>VLOOKUP($B330,Kraftvärmeprod!$B$1:$BX$549,MATCH(AP$1,Kraftvärmeprod!$B$1:$BX$1,0),FALSE)</f>
        <v>0</v>
      </c>
      <c r="AQ330" s="31">
        <f>VLOOKUP($B330,Kraftvärmeprod!$B$1:$BX$549,MATCH(AQ$1,Kraftvärmeprod!$B$1:$BX$1,0),FALSE)</f>
        <v>0</v>
      </c>
      <c r="AR330" s="31">
        <f>VLOOKUP($B330,Kraftvärmeprod!$B$1:$BX$549,MATCH("Summa tillförd energi exklusive rökgaskondensering",Kraftvärmeprod!$B$1:$BX$1,0),FALSE)</f>
        <v>0</v>
      </c>
      <c r="AT330" s="32" t="str">
        <f t="shared" si="33"/>
        <v/>
      </c>
      <c r="AV330" s="31">
        <f t="shared" si="34"/>
        <v>0</v>
      </c>
      <c r="AX330" s="31" t="str">
        <f>VLOOKUP(B330,Totalt!$B$1:$BZ$554,MATCH(AX$1,Totalt!$B$1:$BZ$1,0),FALSE)</f>
        <v>Ja</v>
      </c>
      <c r="BA330" s="32" t="str">
        <f t="shared" si="35"/>
        <v/>
      </c>
    </row>
    <row r="331" spans="1:53" x14ac:dyDescent="0.45">
      <c r="A331" s="31" t="s">
        <v>243</v>
      </c>
      <c r="B331" s="31" t="s">
        <v>245</v>
      </c>
      <c r="J331" s="31">
        <v>0</v>
      </c>
      <c r="K331" s="31">
        <v>0</v>
      </c>
      <c r="L331" s="31">
        <v>0</v>
      </c>
      <c r="M331" s="31">
        <v>0</v>
      </c>
      <c r="N331" s="31">
        <v>0</v>
      </c>
      <c r="O331" s="31">
        <v>0</v>
      </c>
      <c r="P331" s="31">
        <v>0</v>
      </c>
      <c r="Q331" s="31">
        <v>0</v>
      </c>
      <c r="R331" s="31">
        <v>0</v>
      </c>
      <c r="S331" s="31">
        <v>0</v>
      </c>
      <c r="T331" s="31">
        <v>0</v>
      </c>
      <c r="U331" s="31">
        <v>0</v>
      </c>
      <c r="W331" s="31">
        <v>0</v>
      </c>
      <c r="X331" s="31">
        <v>0</v>
      </c>
      <c r="Y331" s="31">
        <v>0</v>
      </c>
      <c r="Z331" s="31">
        <v>0</v>
      </c>
      <c r="AA331" s="31">
        <v>0</v>
      </c>
      <c r="AB331" s="31">
        <v>0</v>
      </c>
      <c r="AC331" s="31">
        <v>0</v>
      </c>
      <c r="AD331" s="31">
        <v>0</v>
      </c>
      <c r="AE331" s="31">
        <v>0</v>
      </c>
      <c r="AF331" s="31">
        <v>0</v>
      </c>
      <c r="AG331" s="31">
        <v>0</v>
      </c>
      <c r="AH331" s="31">
        <v>0</v>
      </c>
      <c r="AI331" s="31">
        <v>0</v>
      </c>
      <c r="AL331" s="31">
        <f t="shared" si="30"/>
        <v>0</v>
      </c>
      <c r="AM331" s="31">
        <f t="shared" si="31"/>
        <v>0</v>
      </c>
      <c r="AN331" s="31">
        <f t="shared" si="32"/>
        <v>0</v>
      </c>
      <c r="AP331" s="31">
        <f>VLOOKUP($B331,Kraftvärmeprod!$B$1:$BX$549,MATCH(AP$1,Kraftvärmeprod!$B$1:$BX$1,0),FALSE)</f>
        <v>0</v>
      </c>
      <c r="AQ331" s="31">
        <f>VLOOKUP($B331,Kraftvärmeprod!$B$1:$BX$549,MATCH(AQ$1,Kraftvärmeprod!$B$1:$BX$1,0),FALSE)</f>
        <v>0</v>
      </c>
      <c r="AR331" s="31">
        <f>VLOOKUP($B331,Kraftvärmeprod!$B$1:$BX$549,MATCH("Summa tillförd energi exklusive rökgaskondensering",Kraftvärmeprod!$B$1:$BX$1,0),FALSE)</f>
        <v>0</v>
      </c>
      <c r="AT331" s="32" t="str">
        <f t="shared" si="33"/>
        <v/>
      </c>
      <c r="AV331" s="31">
        <f t="shared" si="34"/>
        <v>0</v>
      </c>
      <c r="AX331" s="31" t="str">
        <f>VLOOKUP(B331,Totalt!$B$1:$BZ$554,MATCH(AX$1,Totalt!$B$1:$BZ$1,0),FALSE)</f>
        <v>Ja</v>
      </c>
      <c r="BA331" s="32" t="str">
        <f t="shared" si="35"/>
        <v/>
      </c>
    </row>
    <row r="332" spans="1:53" x14ac:dyDescent="0.45">
      <c r="A332" s="31" t="s">
        <v>243</v>
      </c>
      <c r="B332" s="31" t="s">
        <v>247</v>
      </c>
      <c r="J332" s="31">
        <v>0</v>
      </c>
      <c r="K332" s="31">
        <v>0</v>
      </c>
      <c r="L332" s="31">
        <v>0</v>
      </c>
      <c r="M332" s="31">
        <v>0</v>
      </c>
      <c r="N332" s="31">
        <v>0</v>
      </c>
      <c r="O332" s="31">
        <v>0</v>
      </c>
      <c r="P332" s="31">
        <v>0</v>
      </c>
      <c r="Q332" s="31">
        <v>0</v>
      </c>
      <c r="R332" s="31">
        <v>0</v>
      </c>
      <c r="S332" s="31">
        <v>0</v>
      </c>
      <c r="T332" s="31">
        <v>0</v>
      </c>
      <c r="U332" s="31">
        <v>0</v>
      </c>
      <c r="W332" s="31">
        <v>0</v>
      </c>
      <c r="X332" s="31">
        <v>0</v>
      </c>
      <c r="Y332" s="31">
        <v>0</v>
      </c>
      <c r="Z332" s="31">
        <v>0</v>
      </c>
      <c r="AA332" s="31">
        <v>0</v>
      </c>
      <c r="AB332" s="31">
        <v>0</v>
      </c>
      <c r="AC332" s="31">
        <v>0</v>
      </c>
      <c r="AD332" s="31">
        <v>0</v>
      </c>
      <c r="AE332" s="31">
        <v>0</v>
      </c>
      <c r="AF332" s="31">
        <v>0</v>
      </c>
      <c r="AG332" s="31">
        <v>0</v>
      </c>
      <c r="AH332" s="31">
        <v>0</v>
      </c>
      <c r="AI332" s="31">
        <v>0</v>
      </c>
      <c r="AL332" s="31">
        <f t="shared" si="30"/>
        <v>0</v>
      </c>
      <c r="AM332" s="31">
        <f t="shared" si="31"/>
        <v>0</v>
      </c>
      <c r="AN332" s="31">
        <f t="shared" si="32"/>
        <v>0</v>
      </c>
      <c r="AP332" s="31">
        <f>VLOOKUP($B332,Kraftvärmeprod!$B$1:$BX$549,MATCH(AP$1,Kraftvärmeprod!$B$1:$BX$1,0),FALSE)</f>
        <v>0</v>
      </c>
      <c r="AQ332" s="31">
        <f>VLOOKUP($B332,Kraftvärmeprod!$B$1:$BX$549,MATCH(AQ$1,Kraftvärmeprod!$B$1:$BX$1,0),FALSE)</f>
        <v>0</v>
      </c>
      <c r="AR332" s="31">
        <f>VLOOKUP($B332,Kraftvärmeprod!$B$1:$BX$549,MATCH("Summa tillförd energi exklusive rökgaskondensering",Kraftvärmeprod!$B$1:$BX$1,0),FALSE)</f>
        <v>0</v>
      </c>
      <c r="AT332" s="32" t="str">
        <f t="shared" si="33"/>
        <v/>
      </c>
      <c r="AV332" s="31">
        <f t="shared" si="34"/>
        <v>0</v>
      </c>
      <c r="AX332" s="31" t="str">
        <f>VLOOKUP(B332,Totalt!$B$1:$BZ$554,MATCH(AX$1,Totalt!$B$1:$BZ$1,0),FALSE)</f>
        <v>Ja</v>
      </c>
      <c r="BA332" s="32" t="str">
        <f t="shared" si="35"/>
        <v/>
      </c>
    </row>
    <row r="333" spans="1:53" x14ac:dyDescent="0.45">
      <c r="A333" s="31" t="s">
        <v>243</v>
      </c>
      <c r="B333" s="31" t="s">
        <v>246</v>
      </c>
      <c r="J333" s="31">
        <v>0</v>
      </c>
      <c r="K333" s="31">
        <v>0</v>
      </c>
      <c r="L333" s="31">
        <v>0</v>
      </c>
      <c r="M333" s="31">
        <v>0</v>
      </c>
      <c r="N333" s="31">
        <v>0</v>
      </c>
      <c r="O333" s="31">
        <v>0</v>
      </c>
      <c r="P333" s="31">
        <v>0</v>
      </c>
      <c r="Q333" s="31">
        <v>0</v>
      </c>
      <c r="R333" s="31">
        <v>0</v>
      </c>
      <c r="S333" s="31">
        <v>0</v>
      </c>
      <c r="T333" s="31">
        <v>0</v>
      </c>
      <c r="U333" s="31">
        <v>0</v>
      </c>
      <c r="W333" s="31">
        <v>0</v>
      </c>
      <c r="X333" s="31">
        <v>0</v>
      </c>
      <c r="Y333" s="31">
        <v>0</v>
      </c>
      <c r="Z333" s="31">
        <v>0</v>
      </c>
      <c r="AA333" s="31">
        <v>0</v>
      </c>
      <c r="AB333" s="31">
        <v>0</v>
      </c>
      <c r="AC333" s="31">
        <v>0</v>
      </c>
      <c r="AD333" s="31">
        <v>0</v>
      </c>
      <c r="AE333" s="31">
        <v>0</v>
      </c>
      <c r="AF333" s="31">
        <v>0</v>
      </c>
      <c r="AG333" s="31">
        <v>0</v>
      </c>
      <c r="AH333" s="31">
        <v>0</v>
      </c>
      <c r="AI333" s="31">
        <v>0</v>
      </c>
      <c r="AL333" s="31">
        <f t="shared" si="30"/>
        <v>0</v>
      </c>
      <c r="AM333" s="31">
        <f t="shared" si="31"/>
        <v>0</v>
      </c>
      <c r="AN333" s="31">
        <f t="shared" si="32"/>
        <v>0</v>
      </c>
      <c r="AP333" s="31">
        <f>VLOOKUP($B333,Kraftvärmeprod!$B$1:$BX$549,MATCH(AP$1,Kraftvärmeprod!$B$1:$BX$1,0),FALSE)</f>
        <v>0</v>
      </c>
      <c r="AQ333" s="31">
        <f>VLOOKUP($B333,Kraftvärmeprod!$B$1:$BX$549,MATCH(AQ$1,Kraftvärmeprod!$B$1:$BX$1,0),FALSE)</f>
        <v>0</v>
      </c>
      <c r="AR333" s="31">
        <f>VLOOKUP($B333,Kraftvärmeprod!$B$1:$BX$549,MATCH("Summa tillförd energi exklusive rökgaskondensering",Kraftvärmeprod!$B$1:$BX$1,0),FALSE)</f>
        <v>0</v>
      </c>
      <c r="AT333" s="32" t="str">
        <f t="shared" si="33"/>
        <v/>
      </c>
      <c r="AV333" s="31">
        <f t="shared" si="34"/>
        <v>0</v>
      </c>
      <c r="AX333" s="31" t="str">
        <f>VLOOKUP(B333,Totalt!$B$1:$BZ$554,MATCH(AX$1,Totalt!$B$1:$BZ$1,0),FALSE)</f>
        <v>Ja</v>
      </c>
      <c r="BA333" s="32" t="str">
        <f t="shared" si="35"/>
        <v/>
      </c>
    </row>
    <row r="334" spans="1:53" x14ac:dyDescent="0.45">
      <c r="A334" s="31" t="s">
        <v>232</v>
      </c>
      <c r="B334" s="31" t="s">
        <v>242</v>
      </c>
      <c r="J334" s="31">
        <v>0</v>
      </c>
      <c r="K334" s="31">
        <v>0</v>
      </c>
      <c r="L334" s="31">
        <v>0</v>
      </c>
      <c r="M334" s="31">
        <v>0</v>
      </c>
      <c r="N334" s="31">
        <v>0</v>
      </c>
      <c r="O334" s="31">
        <v>0</v>
      </c>
      <c r="P334" s="31">
        <v>0</v>
      </c>
      <c r="Q334" s="31">
        <v>0</v>
      </c>
      <c r="R334" s="31">
        <v>0</v>
      </c>
      <c r="S334" s="31">
        <v>0</v>
      </c>
      <c r="T334" s="31">
        <v>0</v>
      </c>
      <c r="U334" s="31">
        <v>0</v>
      </c>
      <c r="W334" s="31">
        <v>0</v>
      </c>
      <c r="X334" s="31">
        <v>0</v>
      </c>
      <c r="Y334" s="31">
        <v>0</v>
      </c>
      <c r="Z334" s="31">
        <v>0</v>
      </c>
      <c r="AA334" s="31">
        <v>0</v>
      </c>
      <c r="AB334" s="31">
        <v>0</v>
      </c>
      <c r="AC334" s="31">
        <v>0</v>
      </c>
      <c r="AD334" s="31">
        <v>0</v>
      </c>
      <c r="AE334" s="31">
        <v>0</v>
      </c>
      <c r="AF334" s="31">
        <v>0</v>
      </c>
      <c r="AG334" s="31">
        <v>0</v>
      </c>
      <c r="AH334" s="31">
        <v>0</v>
      </c>
      <c r="AI334" s="31">
        <v>0</v>
      </c>
      <c r="AL334" s="31">
        <f t="shared" si="30"/>
        <v>0</v>
      </c>
      <c r="AM334" s="31">
        <f t="shared" si="31"/>
        <v>0</v>
      </c>
      <c r="AN334" s="31">
        <f t="shared" si="32"/>
        <v>0</v>
      </c>
      <c r="AP334" s="31">
        <f>VLOOKUP($B334,Kraftvärmeprod!$B$1:$BX$549,MATCH(AP$1,Kraftvärmeprod!$B$1:$BX$1,0),FALSE)</f>
        <v>0</v>
      </c>
      <c r="AQ334" s="31">
        <f>VLOOKUP($B334,Kraftvärmeprod!$B$1:$BX$549,MATCH(AQ$1,Kraftvärmeprod!$B$1:$BX$1,0),FALSE)</f>
        <v>0</v>
      </c>
      <c r="AR334" s="31">
        <f>VLOOKUP($B334,Kraftvärmeprod!$B$1:$BX$549,MATCH("Summa tillförd energi exklusive rökgaskondensering",Kraftvärmeprod!$B$1:$BX$1,0),FALSE)</f>
        <v>0</v>
      </c>
      <c r="AT334" s="32" t="str">
        <f t="shared" si="33"/>
        <v/>
      </c>
      <c r="AV334" s="31">
        <f t="shared" si="34"/>
        <v>0</v>
      </c>
      <c r="AX334" s="31" t="str">
        <f>VLOOKUP(B334,Totalt!$B$1:$BZ$554,MATCH(AX$1,Totalt!$B$1:$BZ$1,0),FALSE)</f>
        <v>Ja</v>
      </c>
      <c r="BA334" s="32" t="str">
        <f t="shared" si="35"/>
        <v/>
      </c>
    </row>
    <row r="335" spans="1:53" x14ac:dyDescent="0.45">
      <c r="A335" s="31" t="s">
        <v>232</v>
      </c>
      <c r="B335" s="31" t="s">
        <v>241</v>
      </c>
      <c r="J335" s="31">
        <v>0</v>
      </c>
      <c r="K335" s="31">
        <v>0</v>
      </c>
      <c r="L335" s="31">
        <v>0</v>
      </c>
      <c r="M335" s="31">
        <v>0</v>
      </c>
      <c r="N335" s="31">
        <v>0</v>
      </c>
      <c r="O335" s="31">
        <v>0</v>
      </c>
      <c r="P335" s="31">
        <v>0</v>
      </c>
      <c r="Q335" s="31">
        <v>0</v>
      </c>
      <c r="R335" s="31">
        <v>2.4540600000000001</v>
      </c>
      <c r="S335" s="31">
        <v>0</v>
      </c>
      <c r="T335" s="31">
        <v>0</v>
      </c>
      <c r="U335" s="31">
        <v>0</v>
      </c>
      <c r="W335" s="31">
        <v>0</v>
      </c>
      <c r="X335" s="31">
        <v>0</v>
      </c>
      <c r="Y335" s="31">
        <v>0</v>
      </c>
      <c r="Z335" s="31">
        <v>268.50299999999999</v>
      </c>
      <c r="AA335" s="31">
        <v>0</v>
      </c>
      <c r="AB335" s="31">
        <v>0.21209600000000001</v>
      </c>
      <c r="AC335" s="31">
        <v>0</v>
      </c>
      <c r="AD335" s="31">
        <v>0</v>
      </c>
      <c r="AE335" s="31">
        <v>0</v>
      </c>
      <c r="AF335" s="31">
        <v>0</v>
      </c>
      <c r="AG335" s="31">
        <v>0</v>
      </c>
      <c r="AH335" s="31">
        <v>49.13</v>
      </c>
      <c r="AI335" s="31">
        <v>10.1835</v>
      </c>
      <c r="AL335" s="31">
        <f t="shared" si="30"/>
        <v>330.48265599999996</v>
      </c>
      <c r="AM335" s="31">
        <f t="shared" si="31"/>
        <v>320.29915599999998</v>
      </c>
      <c r="AN335" s="31">
        <f t="shared" si="32"/>
        <v>271.16915599999999</v>
      </c>
      <c r="AP335" s="31">
        <f>VLOOKUP($B335,Kraftvärmeprod!$B$1:$BX$549,MATCH(AP$1,Kraftvärmeprod!$B$1:$BX$1,0),FALSE)</f>
        <v>307.96699999999998</v>
      </c>
      <c r="AQ335" s="31">
        <f>VLOOKUP($B335,Kraftvärmeprod!$B$1:$BX$549,MATCH(AQ$1,Kraftvärmeprod!$B$1:$BX$1,0),FALSE)</f>
        <v>74.587999999999994</v>
      </c>
      <c r="AR335" s="31">
        <f>VLOOKUP($B335,Kraftvärmeprod!$B$1:$BX$549,MATCH("Summa tillförd energi exklusive rökgaskondensering",Kraftvärmeprod!$B$1:$BX$1,0),FALSE)</f>
        <v>442.29499999999996</v>
      </c>
      <c r="AT335" s="32">
        <f t="shared" si="33"/>
        <v>0.61309568500661327</v>
      </c>
      <c r="AV335" s="31">
        <f t="shared" si="34"/>
        <v>271.16915599999999</v>
      </c>
      <c r="AX335" s="31" t="str">
        <f>VLOOKUP(B335,Totalt!$B$1:$BZ$554,MATCH(AX$1,Totalt!$B$1:$BZ$1,0),FALSE)</f>
        <v>Ja</v>
      </c>
      <c r="BA335" s="32">
        <f t="shared" si="35"/>
        <v>1.0945942518488256</v>
      </c>
    </row>
    <row r="336" spans="1:53" x14ac:dyDescent="0.45">
      <c r="A336" s="31" t="s">
        <v>232</v>
      </c>
      <c r="B336" s="31" t="s">
        <v>240</v>
      </c>
      <c r="J336" s="31">
        <v>0</v>
      </c>
      <c r="K336" s="31">
        <v>0</v>
      </c>
      <c r="L336" s="31">
        <v>0</v>
      </c>
      <c r="M336" s="31">
        <v>0</v>
      </c>
      <c r="N336" s="31">
        <v>0</v>
      </c>
      <c r="O336" s="31">
        <v>0</v>
      </c>
      <c r="P336" s="31">
        <v>0</v>
      </c>
      <c r="Q336" s="31">
        <v>0</v>
      </c>
      <c r="R336" s="31">
        <v>0</v>
      </c>
      <c r="S336" s="31">
        <v>0</v>
      </c>
      <c r="T336" s="31">
        <v>0</v>
      </c>
      <c r="U336" s="31">
        <v>0</v>
      </c>
      <c r="W336" s="31">
        <v>0</v>
      </c>
      <c r="X336" s="31">
        <v>0</v>
      </c>
      <c r="Y336" s="31">
        <v>0</v>
      </c>
      <c r="Z336" s="31">
        <v>0</v>
      </c>
      <c r="AA336" s="31">
        <v>0</v>
      </c>
      <c r="AB336" s="31">
        <v>0</v>
      </c>
      <c r="AC336" s="31">
        <v>0</v>
      </c>
      <c r="AD336" s="31">
        <v>0</v>
      </c>
      <c r="AE336" s="31">
        <v>0</v>
      </c>
      <c r="AF336" s="31">
        <v>0</v>
      </c>
      <c r="AG336" s="31">
        <v>0</v>
      </c>
      <c r="AH336" s="31">
        <v>0</v>
      </c>
      <c r="AI336" s="31">
        <v>0</v>
      </c>
      <c r="AL336" s="31">
        <f t="shared" si="30"/>
        <v>0</v>
      </c>
      <c r="AM336" s="31">
        <f t="shared" si="31"/>
        <v>0</v>
      </c>
      <c r="AN336" s="31">
        <f t="shared" si="32"/>
        <v>0</v>
      </c>
      <c r="AP336" s="31">
        <f>VLOOKUP($B336,Kraftvärmeprod!$B$1:$BX$549,MATCH(AP$1,Kraftvärmeprod!$B$1:$BX$1,0),FALSE)</f>
        <v>0</v>
      </c>
      <c r="AQ336" s="31">
        <f>VLOOKUP($B336,Kraftvärmeprod!$B$1:$BX$549,MATCH(AQ$1,Kraftvärmeprod!$B$1:$BX$1,0),FALSE)</f>
        <v>0</v>
      </c>
      <c r="AR336" s="31">
        <f>VLOOKUP($B336,Kraftvärmeprod!$B$1:$BX$549,MATCH("Summa tillförd energi exklusive rökgaskondensering",Kraftvärmeprod!$B$1:$BX$1,0),FALSE)</f>
        <v>0</v>
      </c>
      <c r="AT336" s="32" t="str">
        <f t="shared" si="33"/>
        <v/>
      </c>
      <c r="AV336" s="31">
        <f t="shared" si="34"/>
        <v>0</v>
      </c>
      <c r="AX336" s="31" t="str">
        <f>VLOOKUP(B336,Totalt!$B$1:$BZ$554,MATCH(AX$1,Totalt!$B$1:$BZ$1,0),FALSE)</f>
        <v>Ja</v>
      </c>
      <c r="BA336" s="32" t="str">
        <f t="shared" si="35"/>
        <v/>
      </c>
    </row>
    <row r="337" spans="1:53" x14ac:dyDescent="0.45">
      <c r="A337" s="31" t="s">
        <v>232</v>
      </c>
      <c r="B337" s="31" t="s">
        <v>239</v>
      </c>
      <c r="J337" s="31">
        <v>0</v>
      </c>
      <c r="K337" s="31">
        <v>0</v>
      </c>
      <c r="L337" s="31">
        <v>0</v>
      </c>
      <c r="M337" s="31">
        <v>0</v>
      </c>
      <c r="N337" s="31">
        <v>0</v>
      </c>
      <c r="O337" s="31">
        <v>0</v>
      </c>
      <c r="P337" s="31">
        <v>0</v>
      </c>
      <c r="Q337" s="31">
        <v>0</v>
      </c>
      <c r="R337" s="31">
        <v>0</v>
      </c>
      <c r="S337" s="31">
        <v>0</v>
      </c>
      <c r="T337" s="31">
        <v>0</v>
      </c>
      <c r="U337" s="31">
        <v>0</v>
      </c>
      <c r="W337" s="31">
        <v>0</v>
      </c>
      <c r="X337" s="31">
        <v>0</v>
      </c>
      <c r="Y337" s="31">
        <v>0</v>
      </c>
      <c r="Z337" s="31">
        <v>0</v>
      </c>
      <c r="AA337" s="31">
        <v>0</v>
      </c>
      <c r="AB337" s="31">
        <v>0</v>
      </c>
      <c r="AC337" s="31">
        <v>0</v>
      </c>
      <c r="AD337" s="31">
        <v>0</v>
      </c>
      <c r="AE337" s="31">
        <v>0</v>
      </c>
      <c r="AF337" s="31">
        <v>0</v>
      </c>
      <c r="AG337" s="31">
        <v>0</v>
      </c>
      <c r="AH337" s="31">
        <v>0</v>
      </c>
      <c r="AI337" s="31">
        <v>0</v>
      </c>
      <c r="AL337" s="31">
        <f t="shared" si="30"/>
        <v>0</v>
      </c>
      <c r="AM337" s="31">
        <f t="shared" si="31"/>
        <v>0</v>
      </c>
      <c r="AN337" s="31">
        <f t="shared" si="32"/>
        <v>0</v>
      </c>
      <c r="AP337" s="31">
        <f>VLOOKUP($B337,Kraftvärmeprod!$B$1:$BX$549,MATCH(AP$1,Kraftvärmeprod!$B$1:$BX$1,0),FALSE)</f>
        <v>0</v>
      </c>
      <c r="AQ337" s="31">
        <f>VLOOKUP($B337,Kraftvärmeprod!$B$1:$BX$549,MATCH(AQ$1,Kraftvärmeprod!$B$1:$BX$1,0),FALSE)</f>
        <v>0</v>
      </c>
      <c r="AR337" s="31">
        <f>VLOOKUP($B337,Kraftvärmeprod!$B$1:$BX$549,MATCH("Summa tillförd energi exklusive rökgaskondensering",Kraftvärmeprod!$B$1:$BX$1,0),FALSE)</f>
        <v>0</v>
      </c>
      <c r="AT337" s="32" t="str">
        <f t="shared" si="33"/>
        <v/>
      </c>
      <c r="AV337" s="31">
        <f t="shared" si="34"/>
        <v>0</v>
      </c>
      <c r="AX337" s="31" t="str">
        <f>VLOOKUP(B337,Totalt!$B$1:$BZ$554,MATCH(AX$1,Totalt!$B$1:$BZ$1,0),FALSE)</f>
        <v>Ja</v>
      </c>
      <c r="BA337" s="32" t="str">
        <f t="shared" si="35"/>
        <v/>
      </c>
    </row>
    <row r="338" spans="1:53" x14ac:dyDescent="0.45">
      <c r="A338" s="31" t="s">
        <v>232</v>
      </c>
      <c r="B338" s="31" t="s">
        <v>238</v>
      </c>
      <c r="J338" s="31">
        <v>0</v>
      </c>
      <c r="K338" s="31">
        <v>0</v>
      </c>
      <c r="L338" s="31">
        <v>0</v>
      </c>
      <c r="M338" s="31">
        <v>0</v>
      </c>
      <c r="N338" s="31">
        <v>0</v>
      </c>
      <c r="O338" s="31">
        <v>0</v>
      </c>
      <c r="P338" s="31">
        <v>36.605800000000002</v>
      </c>
      <c r="Q338" s="31">
        <v>19.9145</v>
      </c>
      <c r="R338" s="31">
        <v>4.1179600000000001</v>
      </c>
      <c r="S338" s="31">
        <v>7.1144800000000004</v>
      </c>
      <c r="T338" s="31">
        <v>0</v>
      </c>
      <c r="U338" s="31">
        <v>0</v>
      </c>
      <c r="W338" s="31">
        <v>0</v>
      </c>
      <c r="X338" s="31">
        <v>0</v>
      </c>
      <c r="Y338" s="31">
        <v>0</v>
      </c>
      <c r="Z338" s="31">
        <v>0</v>
      </c>
      <c r="AA338" s="31">
        <v>0</v>
      </c>
      <c r="AB338" s="31">
        <v>0</v>
      </c>
      <c r="AC338" s="31">
        <v>0</v>
      </c>
      <c r="AD338" s="31">
        <v>0</v>
      </c>
      <c r="AE338" s="31">
        <v>0</v>
      </c>
      <c r="AF338" s="31">
        <v>0</v>
      </c>
      <c r="AG338" s="31">
        <v>0</v>
      </c>
      <c r="AH338" s="31">
        <v>22.925999999999998</v>
      </c>
      <c r="AI338" s="31">
        <v>1.3674299999999999</v>
      </c>
      <c r="AL338" s="31">
        <f t="shared" si="30"/>
        <v>92.046170000000004</v>
      </c>
      <c r="AM338" s="31">
        <f t="shared" si="31"/>
        <v>90.678740000000005</v>
      </c>
      <c r="AN338" s="31">
        <f t="shared" si="32"/>
        <v>67.752740000000003</v>
      </c>
      <c r="AP338" s="31">
        <f>VLOOKUP($B338,Kraftvärmeprod!$B$1:$BX$549,MATCH(AP$1,Kraftvärmeprod!$B$1:$BX$1,0),FALSE)</f>
        <v>74.796000000000006</v>
      </c>
      <c r="AQ338" s="31">
        <f>VLOOKUP($B338,Kraftvärmeprod!$B$1:$BX$549,MATCH(AQ$1,Kraftvärmeprod!$B$1:$BX$1,0),FALSE)</f>
        <v>18.902000000000001</v>
      </c>
      <c r="AR338" s="31">
        <f>VLOOKUP($B338,Kraftvärmeprod!$B$1:$BX$549,MATCH("Summa tillförd energi exklusive rökgaskondensering",Kraftvärmeprod!$B$1:$BX$1,0),FALSE)</f>
        <v>112.374</v>
      </c>
      <c r="AT338" s="32">
        <f t="shared" si="33"/>
        <v>0.60292185025005784</v>
      </c>
      <c r="AV338" s="31">
        <f t="shared" si="34"/>
        <v>67.752740000000003</v>
      </c>
      <c r="AX338" s="31" t="str">
        <f>VLOOKUP(B338,Totalt!$B$1:$BZ$554,MATCH(AX$1,Totalt!$B$1:$BZ$1,0),FALSE)</f>
        <v>Ja</v>
      </c>
      <c r="BA338" s="32">
        <f t="shared" si="35"/>
        <v>1.0821153941027635</v>
      </c>
    </row>
    <row r="339" spans="1:53" x14ac:dyDescent="0.45">
      <c r="A339" s="31" t="s">
        <v>232</v>
      </c>
      <c r="B339" s="31" t="s">
        <v>237</v>
      </c>
      <c r="J339" s="31">
        <v>0</v>
      </c>
      <c r="K339" s="31">
        <v>0</v>
      </c>
      <c r="L339" s="31">
        <v>0.92197499999999999</v>
      </c>
      <c r="M339" s="31">
        <v>0</v>
      </c>
      <c r="N339" s="31">
        <v>0</v>
      </c>
      <c r="O339" s="31">
        <v>0</v>
      </c>
      <c r="P339" s="31">
        <v>13.7234</v>
      </c>
      <c r="Q339" s="31">
        <v>0</v>
      </c>
      <c r="R339" s="31">
        <v>0</v>
      </c>
      <c r="S339" s="31">
        <v>0</v>
      </c>
      <c r="T339" s="31">
        <v>0</v>
      </c>
      <c r="U339" s="31">
        <v>0</v>
      </c>
      <c r="W339" s="31">
        <v>0</v>
      </c>
      <c r="X339" s="31">
        <v>0</v>
      </c>
      <c r="Y339" s="31">
        <v>0</v>
      </c>
      <c r="Z339" s="31">
        <v>161.07400000000001</v>
      </c>
      <c r="AA339" s="31">
        <v>0</v>
      </c>
      <c r="AB339" s="31">
        <v>0</v>
      </c>
      <c r="AC339" s="31">
        <v>0</v>
      </c>
      <c r="AD339" s="31">
        <v>0</v>
      </c>
      <c r="AE339" s="31">
        <v>0.85668299999999997</v>
      </c>
      <c r="AF339" s="31">
        <v>0.25237199999999999</v>
      </c>
      <c r="AG339" s="31">
        <v>0</v>
      </c>
      <c r="AH339" s="31">
        <v>51.087000000000003</v>
      </c>
      <c r="AI339" s="31">
        <v>6.9236700000000004</v>
      </c>
      <c r="AL339" s="31">
        <f t="shared" si="30"/>
        <v>234.8391</v>
      </c>
      <c r="AM339" s="31">
        <f t="shared" si="31"/>
        <v>227.91543000000001</v>
      </c>
      <c r="AN339" s="31">
        <f t="shared" si="32"/>
        <v>176.82843000000003</v>
      </c>
      <c r="AP339" s="31">
        <f>VLOOKUP($B339,Kraftvärmeprod!$B$1:$BX$549,MATCH(AP$1,Kraftvärmeprod!$B$1:$BX$1,0),FALSE)</f>
        <v>204.68700000000001</v>
      </c>
      <c r="AQ339" s="31">
        <f>VLOOKUP($B339,Kraftvärmeprod!$B$1:$BX$549,MATCH(AQ$1,Kraftvärmeprod!$B$1:$BX$1,0),FALSE)</f>
        <v>88.576999999999998</v>
      </c>
      <c r="AR339" s="31">
        <f>VLOOKUP($B339,Kraftvärmeprod!$B$1:$BX$549,MATCH("Summa tillförd energi exklusive rökgaskondensering",Kraftvärmeprod!$B$1:$BX$1,0),FALSE)</f>
        <v>376.2</v>
      </c>
      <c r="AT339" s="32">
        <f t="shared" si="33"/>
        <v>0.47003835725677839</v>
      </c>
      <c r="AV339" s="31">
        <f t="shared" si="34"/>
        <v>174.79740000000001</v>
      </c>
      <c r="AX339" s="31" t="str">
        <f>VLOOKUP(B339,Totalt!$B$1:$BZ$554,MATCH(AX$1,Totalt!$B$1:$BZ$1,0),FALSE)</f>
        <v>Ja</v>
      </c>
      <c r="BA339" s="32">
        <f t="shared" si="35"/>
        <v>1.1139301265128398</v>
      </c>
    </row>
    <row r="340" spans="1:53" x14ac:dyDescent="0.45">
      <c r="A340" s="31" t="s">
        <v>232</v>
      </c>
      <c r="B340" s="31" t="s">
        <v>236</v>
      </c>
      <c r="J340" s="31">
        <v>0</v>
      </c>
      <c r="K340" s="31">
        <v>0</v>
      </c>
      <c r="L340" s="31">
        <v>0</v>
      </c>
      <c r="M340" s="31">
        <v>0</v>
      </c>
      <c r="N340" s="31">
        <v>0</v>
      </c>
      <c r="O340" s="31">
        <v>0</v>
      </c>
      <c r="P340" s="31">
        <v>0</v>
      </c>
      <c r="Q340" s="31">
        <v>0</v>
      </c>
      <c r="R340" s="31">
        <v>0</v>
      </c>
      <c r="S340" s="31">
        <v>0</v>
      </c>
      <c r="T340" s="31">
        <v>0</v>
      </c>
      <c r="U340" s="31">
        <v>0</v>
      </c>
      <c r="W340" s="31">
        <v>0</v>
      </c>
      <c r="X340" s="31">
        <v>0</v>
      </c>
      <c r="Y340" s="31">
        <v>0</v>
      </c>
      <c r="Z340" s="31">
        <v>0</v>
      </c>
      <c r="AA340" s="31">
        <v>0</v>
      </c>
      <c r="AB340" s="31">
        <v>0</v>
      </c>
      <c r="AC340" s="31">
        <v>0</v>
      </c>
      <c r="AD340" s="31">
        <v>0</v>
      </c>
      <c r="AE340" s="31">
        <v>0</v>
      </c>
      <c r="AF340" s="31">
        <v>0</v>
      </c>
      <c r="AG340" s="31">
        <v>0</v>
      </c>
      <c r="AH340" s="31">
        <v>0</v>
      </c>
      <c r="AI340" s="31">
        <v>0</v>
      </c>
      <c r="AL340" s="31">
        <f t="shared" si="30"/>
        <v>0</v>
      </c>
      <c r="AM340" s="31">
        <f t="shared" si="31"/>
        <v>0</v>
      </c>
      <c r="AN340" s="31">
        <f t="shared" si="32"/>
        <v>0</v>
      </c>
      <c r="AP340" s="31">
        <f>VLOOKUP($B340,Kraftvärmeprod!$B$1:$BX$549,MATCH(AP$1,Kraftvärmeprod!$B$1:$BX$1,0),FALSE)</f>
        <v>0</v>
      </c>
      <c r="AQ340" s="31">
        <f>VLOOKUP($B340,Kraftvärmeprod!$B$1:$BX$549,MATCH(AQ$1,Kraftvärmeprod!$B$1:$BX$1,0),FALSE)</f>
        <v>0</v>
      </c>
      <c r="AR340" s="31">
        <f>VLOOKUP($B340,Kraftvärmeprod!$B$1:$BX$549,MATCH("Summa tillförd energi exklusive rökgaskondensering",Kraftvärmeprod!$B$1:$BX$1,0),FALSE)</f>
        <v>0</v>
      </c>
      <c r="AT340" s="32" t="str">
        <f t="shared" si="33"/>
        <v/>
      </c>
      <c r="AV340" s="31">
        <f t="shared" si="34"/>
        <v>0</v>
      </c>
      <c r="AX340" s="31" t="str">
        <f>VLOOKUP(B340,Totalt!$B$1:$BZ$554,MATCH(AX$1,Totalt!$B$1:$BZ$1,0),FALSE)</f>
        <v>Ja</v>
      </c>
      <c r="BA340" s="32" t="str">
        <f t="shared" si="35"/>
        <v/>
      </c>
    </row>
    <row r="341" spans="1:53" x14ac:dyDescent="0.45">
      <c r="A341" s="31" t="s">
        <v>232</v>
      </c>
      <c r="B341" s="31" t="s">
        <v>235</v>
      </c>
      <c r="J341" s="31">
        <v>0</v>
      </c>
      <c r="K341" s="31">
        <v>0</v>
      </c>
      <c r="L341" s="31">
        <v>0</v>
      </c>
      <c r="M341" s="31">
        <v>0</v>
      </c>
      <c r="N341" s="31">
        <v>0</v>
      </c>
      <c r="O341" s="31">
        <v>0</v>
      </c>
      <c r="P341" s="31">
        <v>0</v>
      </c>
      <c r="Q341" s="31">
        <v>0</v>
      </c>
      <c r="R341" s="31">
        <v>0</v>
      </c>
      <c r="S341" s="31">
        <v>0</v>
      </c>
      <c r="T341" s="31">
        <v>0</v>
      </c>
      <c r="U341" s="31">
        <v>0</v>
      </c>
      <c r="W341" s="31">
        <v>0</v>
      </c>
      <c r="X341" s="31">
        <v>0</v>
      </c>
      <c r="Y341" s="31">
        <v>0</v>
      </c>
      <c r="Z341" s="31">
        <v>0</v>
      </c>
      <c r="AA341" s="31">
        <v>0</v>
      </c>
      <c r="AB341" s="31">
        <v>0</v>
      </c>
      <c r="AC341" s="31">
        <v>0</v>
      </c>
      <c r="AD341" s="31">
        <v>0</v>
      </c>
      <c r="AE341" s="31">
        <v>0</v>
      </c>
      <c r="AF341" s="31">
        <v>0</v>
      </c>
      <c r="AG341" s="31">
        <v>0</v>
      </c>
      <c r="AH341" s="31">
        <v>0</v>
      </c>
      <c r="AI341" s="31">
        <v>0</v>
      </c>
      <c r="AL341" s="31">
        <f t="shared" si="30"/>
        <v>0</v>
      </c>
      <c r="AM341" s="31">
        <f t="shared" si="31"/>
        <v>0</v>
      </c>
      <c r="AN341" s="31">
        <f t="shared" si="32"/>
        <v>0</v>
      </c>
      <c r="AP341" s="31">
        <f>VLOOKUP($B341,Kraftvärmeprod!$B$1:$BX$549,MATCH(AP$1,Kraftvärmeprod!$B$1:$BX$1,0),FALSE)</f>
        <v>0</v>
      </c>
      <c r="AQ341" s="31">
        <f>VLOOKUP($B341,Kraftvärmeprod!$B$1:$BX$549,MATCH(AQ$1,Kraftvärmeprod!$B$1:$BX$1,0),FALSE)</f>
        <v>0</v>
      </c>
      <c r="AR341" s="31">
        <f>VLOOKUP($B341,Kraftvärmeprod!$B$1:$BX$549,MATCH("Summa tillförd energi exklusive rökgaskondensering",Kraftvärmeprod!$B$1:$BX$1,0),FALSE)</f>
        <v>0</v>
      </c>
      <c r="AT341" s="32" t="str">
        <f t="shared" si="33"/>
        <v/>
      </c>
      <c r="AV341" s="31">
        <f t="shared" si="34"/>
        <v>0</v>
      </c>
      <c r="AX341" s="31" t="str">
        <f>VLOOKUP(B341,Totalt!$B$1:$BZ$554,MATCH(AX$1,Totalt!$B$1:$BZ$1,0),FALSE)</f>
        <v>Ja</v>
      </c>
      <c r="BA341" s="32" t="str">
        <f t="shared" si="35"/>
        <v/>
      </c>
    </row>
    <row r="342" spans="1:53" x14ac:dyDescent="0.45">
      <c r="A342" s="31" t="s">
        <v>232</v>
      </c>
      <c r="B342" s="31" t="s">
        <v>234</v>
      </c>
      <c r="J342" s="31">
        <v>35.567999999999998</v>
      </c>
      <c r="K342" s="31">
        <v>4.5359299999999996</v>
      </c>
      <c r="L342" s="31">
        <v>0</v>
      </c>
      <c r="M342" s="31">
        <v>29.395199999999999</v>
      </c>
      <c r="N342" s="31">
        <v>0</v>
      </c>
      <c r="O342" s="31">
        <v>0</v>
      </c>
      <c r="P342" s="31">
        <v>0</v>
      </c>
      <c r="Q342" s="31">
        <v>0</v>
      </c>
      <c r="R342" s="31">
        <v>0</v>
      </c>
      <c r="S342" s="31">
        <v>0</v>
      </c>
      <c r="T342" s="31">
        <v>0</v>
      </c>
      <c r="U342" s="31">
        <v>0</v>
      </c>
      <c r="W342" s="31">
        <v>14.062099999999999</v>
      </c>
      <c r="X342" s="31">
        <v>0</v>
      </c>
      <c r="Y342" s="31">
        <v>0</v>
      </c>
      <c r="Z342" s="31">
        <v>0</v>
      </c>
      <c r="AA342" s="31">
        <v>0</v>
      </c>
      <c r="AB342" s="31">
        <v>0</v>
      </c>
      <c r="AC342" s="31">
        <v>0</v>
      </c>
      <c r="AD342" s="31">
        <v>99.917000000000002</v>
      </c>
      <c r="AE342" s="31">
        <v>93.223200000000006</v>
      </c>
      <c r="AF342" s="31">
        <v>0</v>
      </c>
      <c r="AG342" s="31">
        <v>0</v>
      </c>
      <c r="AH342" s="31">
        <v>0</v>
      </c>
      <c r="AI342" s="31">
        <v>8.8947400000000005</v>
      </c>
      <c r="AL342" s="31">
        <f t="shared" si="30"/>
        <v>285.59617000000003</v>
      </c>
      <c r="AM342" s="31">
        <f t="shared" si="31"/>
        <v>276.70143000000002</v>
      </c>
      <c r="AN342" s="31">
        <f t="shared" si="32"/>
        <v>276.70143000000002</v>
      </c>
      <c r="AP342" s="31">
        <f>VLOOKUP($B342,Kraftvärmeprod!$B$1:$BX$549,MATCH(AP$1,Kraftvärmeprod!$B$1:$BX$1,0),FALSE)</f>
        <v>315.2</v>
      </c>
      <c r="AQ342" s="31">
        <f>VLOOKUP($B342,Kraftvärmeprod!$B$1:$BX$549,MATCH(AQ$1,Kraftvärmeprod!$B$1:$BX$1,0),FALSE)</f>
        <v>108.7</v>
      </c>
      <c r="AR342" s="31">
        <f>VLOOKUP($B342,Kraftvärmeprod!$B$1:$BX$549,MATCH("Summa tillförd energi exklusive rökgaskondensering",Kraftvärmeprod!$B$1:$BX$1,0),FALSE)</f>
        <v>516.4</v>
      </c>
      <c r="AT342" s="32">
        <f t="shared" si="33"/>
        <v>0.53582771107668481</v>
      </c>
      <c r="AV342" s="31">
        <f t="shared" si="34"/>
        <v>14.062099999999999</v>
      </c>
      <c r="AX342" s="31" t="str">
        <f>VLOOKUP(B342,Totalt!$B$1:$BZ$554,MATCH(AX$1,Totalt!$B$1:$BZ$1,0),FALSE)</f>
        <v>Ja</v>
      </c>
      <c r="BA342" s="32">
        <f t="shared" si="35"/>
        <v>1.1036562570149311</v>
      </c>
    </row>
    <row r="343" spans="1:53" x14ac:dyDescent="0.45">
      <c r="A343" s="31" t="s">
        <v>232</v>
      </c>
      <c r="B343" s="31" t="s">
        <v>231</v>
      </c>
      <c r="J343" s="31">
        <v>0</v>
      </c>
      <c r="K343" s="31">
        <v>0</v>
      </c>
      <c r="L343" s="31">
        <v>0</v>
      </c>
      <c r="M343" s="31">
        <v>0</v>
      </c>
      <c r="N343" s="31">
        <v>0</v>
      </c>
      <c r="O343" s="31">
        <v>0</v>
      </c>
      <c r="P343" s="31">
        <v>0</v>
      </c>
      <c r="Q343" s="31">
        <v>0</v>
      </c>
      <c r="R343" s="31">
        <v>0</v>
      </c>
      <c r="S343" s="31">
        <v>0</v>
      </c>
      <c r="T343" s="31">
        <v>0</v>
      </c>
      <c r="U343" s="31">
        <v>0</v>
      </c>
      <c r="W343" s="31">
        <v>0</v>
      </c>
      <c r="X343" s="31">
        <v>0</v>
      </c>
      <c r="Y343" s="31">
        <v>0</v>
      </c>
      <c r="Z343" s="31">
        <v>0</v>
      </c>
      <c r="AA343" s="31">
        <v>0</v>
      </c>
      <c r="AB343" s="31">
        <v>0</v>
      </c>
      <c r="AC343" s="31">
        <v>0</v>
      </c>
      <c r="AD343" s="31">
        <v>0</v>
      </c>
      <c r="AE343" s="31">
        <v>0</v>
      </c>
      <c r="AF343" s="31">
        <v>0</v>
      </c>
      <c r="AG343" s="31">
        <v>0</v>
      </c>
      <c r="AH343" s="31">
        <v>0</v>
      </c>
      <c r="AI343" s="31">
        <v>0</v>
      </c>
      <c r="AL343" s="31">
        <f t="shared" si="30"/>
        <v>0</v>
      </c>
      <c r="AM343" s="31">
        <f t="shared" si="31"/>
        <v>0</v>
      </c>
      <c r="AN343" s="31">
        <f t="shared" si="32"/>
        <v>0</v>
      </c>
      <c r="AP343" s="31">
        <f>VLOOKUP($B343,Kraftvärmeprod!$B$1:$BX$549,MATCH(AP$1,Kraftvärmeprod!$B$1:$BX$1,0),FALSE)</f>
        <v>0</v>
      </c>
      <c r="AQ343" s="31">
        <f>VLOOKUP($B343,Kraftvärmeprod!$B$1:$BX$549,MATCH(AQ$1,Kraftvärmeprod!$B$1:$BX$1,0),FALSE)</f>
        <v>0</v>
      </c>
      <c r="AR343" s="31">
        <f>VLOOKUP($B343,Kraftvärmeprod!$B$1:$BX$549,MATCH("Summa tillförd energi exklusive rökgaskondensering",Kraftvärmeprod!$B$1:$BX$1,0),FALSE)</f>
        <v>0</v>
      </c>
      <c r="AT343" s="32" t="str">
        <f t="shared" si="33"/>
        <v/>
      </c>
      <c r="AV343" s="31">
        <f t="shared" si="34"/>
        <v>0</v>
      </c>
      <c r="AX343" s="31" t="str">
        <f>VLOOKUP(B343,Totalt!$B$1:$BZ$554,MATCH(AX$1,Totalt!$B$1:$BZ$1,0),FALSE)</f>
        <v>Ja</v>
      </c>
      <c r="BA343" s="32" t="str">
        <f t="shared" si="35"/>
        <v/>
      </c>
    </row>
    <row r="344" spans="1:53" x14ac:dyDescent="0.45">
      <c r="A344" s="31" t="s">
        <v>7</v>
      </c>
      <c r="B344" s="31" t="s">
        <v>230</v>
      </c>
      <c r="J344" s="31">
        <v>0</v>
      </c>
      <c r="K344" s="31">
        <v>0</v>
      </c>
      <c r="L344" s="31">
        <v>0</v>
      </c>
      <c r="M344" s="31">
        <v>0</v>
      </c>
      <c r="N344" s="31">
        <v>0</v>
      </c>
      <c r="O344" s="31">
        <v>0</v>
      </c>
      <c r="P344" s="31">
        <v>0</v>
      </c>
      <c r="Q344" s="31">
        <v>0</v>
      </c>
      <c r="R344" s="31">
        <v>0</v>
      </c>
      <c r="S344" s="31">
        <v>0</v>
      </c>
      <c r="T344" s="31">
        <v>0</v>
      </c>
      <c r="U344" s="31">
        <v>0</v>
      </c>
      <c r="W344" s="31">
        <v>0</v>
      </c>
      <c r="X344" s="31">
        <v>0</v>
      </c>
      <c r="Y344" s="31">
        <v>0</v>
      </c>
      <c r="Z344" s="31">
        <v>0</v>
      </c>
      <c r="AA344" s="31">
        <v>0</v>
      </c>
      <c r="AB344" s="31">
        <v>0</v>
      </c>
      <c r="AC344" s="31">
        <v>0</v>
      </c>
      <c r="AD344" s="31">
        <v>0</v>
      </c>
      <c r="AE344" s="31">
        <v>0</v>
      </c>
      <c r="AF344" s="31">
        <v>0</v>
      </c>
      <c r="AG344" s="31">
        <v>0</v>
      </c>
      <c r="AH344" s="31">
        <v>0</v>
      </c>
      <c r="AI344" s="31">
        <v>0</v>
      </c>
      <c r="AL344" s="31">
        <f t="shared" si="30"/>
        <v>0</v>
      </c>
      <c r="AM344" s="31">
        <f t="shared" si="31"/>
        <v>0</v>
      </c>
      <c r="AN344" s="31">
        <f t="shared" si="32"/>
        <v>0</v>
      </c>
      <c r="AP344" s="31">
        <f>VLOOKUP($B344,Kraftvärmeprod!$B$1:$BX$549,MATCH(AP$1,Kraftvärmeprod!$B$1:$BX$1,0),FALSE)</f>
        <v>0</v>
      </c>
      <c r="AQ344" s="31">
        <f>VLOOKUP($B344,Kraftvärmeprod!$B$1:$BX$549,MATCH(AQ$1,Kraftvärmeprod!$B$1:$BX$1,0),FALSE)</f>
        <v>0</v>
      </c>
      <c r="AR344" s="31">
        <f>VLOOKUP($B344,Kraftvärmeprod!$B$1:$BX$549,MATCH("Summa tillförd energi exklusive rökgaskondensering",Kraftvärmeprod!$B$1:$BX$1,0),FALSE)</f>
        <v>0</v>
      </c>
      <c r="AT344" s="32" t="str">
        <f t="shared" si="33"/>
        <v/>
      </c>
      <c r="AV344" s="31">
        <f t="shared" si="34"/>
        <v>0</v>
      </c>
      <c r="AX344" s="31" t="str">
        <f>VLOOKUP(B344,Totalt!$B$1:$BZ$554,MATCH(AX$1,Totalt!$B$1:$BZ$1,0),FALSE)</f>
        <v>Nej</v>
      </c>
      <c r="BA344" s="32" t="str">
        <f t="shared" si="35"/>
        <v/>
      </c>
    </row>
    <row r="345" spans="1:53" x14ac:dyDescent="0.45">
      <c r="A345" s="31" t="s">
        <v>7</v>
      </c>
      <c r="B345" s="31" t="s">
        <v>8</v>
      </c>
      <c r="J345" s="31">
        <v>0</v>
      </c>
      <c r="K345" s="31">
        <v>0</v>
      </c>
      <c r="L345" s="31">
        <v>0</v>
      </c>
      <c r="M345" s="31">
        <v>0</v>
      </c>
      <c r="N345" s="31">
        <v>0</v>
      </c>
      <c r="O345" s="31">
        <v>0</v>
      </c>
      <c r="P345" s="31">
        <v>0</v>
      </c>
      <c r="Q345" s="31">
        <v>0</v>
      </c>
      <c r="R345" s="31">
        <v>0</v>
      </c>
      <c r="S345" s="31">
        <v>0</v>
      </c>
      <c r="T345" s="31">
        <v>0</v>
      </c>
      <c r="U345" s="31">
        <v>0</v>
      </c>
      <c r="W345" s="31">
        <v>0</v>
      </c>
      <c r="X345" s="31">
        <v>0</v>
      </c>
      <c r="Y345" s="31">
        <v>0</v>
      </c>
      <c r="Z345" s="31">
        <v>0</v>
      </c>
      <c r="AA345" s="31">
        <v>0</v>
      </c>
      <c r="AB345" s="31">
        <v>0</v>
      </c>
      <c r="AC345" s="31">
        <v>0</v>
      </c>
      <c r="AD345" s="31">
        <v>0</v>
      </c>
      <c r="AE345" s="31">
        <v>0</v>
      </c>
      <c r="AF345" s="31">
        <v>0</v>
      </c>
      <c r="AG345" s="31">
        <v>0</v>
      </c>
      <c r="AH345" s="31">
        <v>0</v>
      </c>
      <c r="AI345" s="31">
        <v>0</v>
      </c>
      <c r="AL345" s="31">
        <f t="shared" si="30"/>
        <v>0</v>
      </c>
      <c r="AM345" s="31">
        <f t="shared" si="31"/>
        <v>0</v>
      </c>
      <c r="AN345" s="31">
        <f t="shared" si="32"/>
        <v>0</v>
      </c>
      <c r="AP345" s="31">
        <f>VLOOKUP($B345,Kraftvärmeprod!$B$1:$BX$549,MATCH(AP$1,Kraftvärmeprod!$B$1:$BX$1,0),FALSE)</f>
        <v>0</v>
      </c>
      <c r="AQ345" s="31">
        <f>VLOOKUP($B345,Kraftvärmeprod!$B$1:$BX$549,MATCH(AQ$1,Kraftvärmeprod!$B$1:$BX$1,0),FALSE)</f>
        <v>0</v>
      </c>
      <c r="AR345" s="31">
        <f>VLOOKUP($B345,Kraftvärmeprod!$B$1:$BX$549,MATCH("Summa tillförd energi exklusive rökgaskondensering",Kraftvärmeprod!$B$1:$BX$1,0),FALSE)</f>
        <v>0</v>
      </c>
      <c r="AT345" s="32" t="str">
        <f t="shared" si="33"/>
        <v/>
      </c>
      <c r="AV345" s="31">
        <f t="shared" si="34"/>
        <v>0</v>
      </c>
      <c r="AX345" s="31" t="str">
        <f>VLOOKUP(B345,Totalt!$B$1:$BZ$554,MATCH(AX$1,Totalt!$B$1:$BZ$1,0),FALSE)</f>
        <v>Nej</v>
      </c>
      <c r="BA345" s="32" t="str">
        <f t="shared" si="35"/>
        <v/>
      </c>
    </row>
    <row r="346" spans="1:53" x14ac:dyDescent="0.45">
      <c r="A346" s="31" t="s">
        <v>225</v>
      </c>
      <c r="B346" s="31" t="s">
        <v>229</v>
      </c>
      <c r="J346" s="31">
        <v>0</v>
      </c>
      <c r="K346" s="31">
        <v>0</v>
      </c>
      <c r="L346" s="31">
        <v>0</v>
      </c>
      <c r="M346" s="31">
        <v>0</v>
      </c>
      <c r="N346" s="31">
        <v>0</v>
      </c>
      <c r="O346" s="31">
        <v>0</v>
      </c>
      <c r="P346" s="31">
        <v>0</v>
      </c>
      <c r="Q346" s="31">
        <v>0</v>
      </c>
      <c r="R346" s="31">
        <v>0</v>
      </c>
      <c r="S346" s="31">
        <v>0</v>
      </c>
      <c r="T346" s="31">
        <v>0</v>
      </c>
      <c r="U346" s="31">
        <v>0</v>
      </c>
      <c r="W346" s="31">
        <v>0</v>
      </c>
      <c r="X346" s="31">
        <v>0</v>
      </c>
      <c r="Y346" s="31">
        <v>0</v>
      </c>
      <c r="Z346" s="31">
        <v>0</v>
      </c>
      <c r="AA346" s="31">
        <v>0</v>
      </c>
      <c r="AB346" s="31">
        <v>0</v>
      </c>
      <c r="AC346" s="31">
        <v>0</v>
      </c>
      <c r="AD346" s="31">
        <v>0</v>
      </c>
      <c r="AE346" s="31">
        <v>0</v>
      </c>
      <c r="AF346" s="31">
        <v>0</v>
      </c>
      <c r="AG346" s="31">
        <v>0</v>
      </c>
      <c r="AH346" s="31">
        <v>0</v>
      </c>
      <c r="AI346" s="31">
        <v>0</v>
      </c>
      <c r="AL346" s="31">
        <f t="shared" si="30"/>
        <v>0</v>
      </c>
      <c r="AM346" s="31">
        <f t="shared" si="31"/>
        <v>0</v>
      </c>
      <c r="AN346" s="31">
        <f t="shared" si="32"/>
        <v>0</v>
      </c>
      <c r="AP346" s="31">
        <f>VLOOKUP($B346,Kraftvärmeprod!$B$1:$BX$549,MATCH(AP$1,Kraftvärmeprod!$B$1:$BX$1,0),FALSE)</f>
        <v>0</v>
      </c>
      <c r="AQ346" s="31">
        <f>VLOOKUP($B346,Kraftvärmeprod!$B$1:$BX$549,MATCH(AQ$1,Kraftvärmeprod!$B$1:$BX$1,0),FALSE)</f>
        <v>0</v>
      </c>
      <c r="AR346" s="31">
        <f>VLOOKUP($B346,Kraftvärmeprod!$B$1:$BX$549,MATCH("Summa tillförd energi exklusive rökgaskondensering",Kraftvärmeprod!$B$1:$BX$1,0),FALSE)</f>
        <v>0</v>
      </c>
      <c r="AT346" s="32" t="str">
        <f t="shared" si="33"/>
        <v/>
      </c>
      <c r="AV346" s="31">
        <f t="shared" si="34"/>
        <v>0</v>
      </c>
      <c r="AX346" s="31" t="str">
        <f>VLOOKUP(B346,Totalt!$B$1:$BZ$554,MATCH(AX$1,Totalt!$B$1:$BZ$1,0),FALSE)</f>
        <v>Ja</v>
      </c>
      <c r="BA346" s="32" t="str">
        <f t="shared" si="35"/>
        <v/>
      </c>
    </row>
    <row r="347" spans="1:53" x14ac:dyDescent="0.45">
      <c r="A347" s="31" t="s">
        <v>225</v>
      </c>
      <c r="B347" s="31" t="s">
        <v>228</v>
      </c>
      <c r="J347" s="31">
        <v>0</v>
      </c>
      <c r="K347" s="31">
        <v>0</v>
      </c>
      <c r="L347" s="31">
        <v>0</v>
      </c>
      <c r="M347" s="31">
        <v>0</v>
      </c>
      <c r="N347" s="31">
        <v>0</v>
      </c>
      <c r="O347" s="31">
        <v>0</v>
      </c>
      <c r="P347" s="31">
        <v>0</v>
      </c>
      <c r="Q347" s="31">
        <v>0</v>
      </c>
      <c r="R347" s="31">
        <v>0</v>
      </c>
      <c r="S347" s="31">
        <v>0</v>
      </c>
      <c r="T347" s="31">
        <v>0</v>
      </c>
      <c r="U347" s="31">
        <v>0</v>
      </c>
      <c r="W347" s="31">
        <v>0</v>
      </c>
      <c r="X347" s="31">
        <v>0</v>
      </c>
      <c r="Y347" s="31">
        <v>0</v>
      </c>
      <c r="Z347" s="31">
        <v>0</v>
      </c>
      <c r="AA347" s="31">
        <v>0</v>
      </c>
      <c r="AB347" s="31">
        <v>0</v>
      </c>
      <c r="AC347" s="31">
        <v>0</v>
      </c>
      <c r="AD347" s="31">
        <v>0</v>
      </c>
      <c r="AE347" s="31">
        <v>0</v>
      </c>
      <c r="AF347" s="31">
        <v>0</v>
      </c>
      <c r="AG347" s="31">
        <v>0</v>
      </c>
      <c r="AH347" s="31">
        <v>0</v>
      </c>
      <c r="AI347" s="31">
        <v>0</v>
      </c>
      <c r="AL347" s="31">
        <f t="shared" si="30"/>
        <v>0</v>
      </c>
      <c r="AM347" s="31">
        <f t="shared" si="31"/>
        <v>0</v>
      </c>
      <c r="AN347" s="31">
        <f t="shared" si="32"/>
        <v>0</v>
      </c>
      <c r="AP347" s="31">
        <f>VLOOKUP($B347,Kraftvärmeprod!$B$1:$BX$549,MATCH(AP$1,Kraftvärmeprod!$B$1:$BX$1,0),FALSE)</f>
        <v>0</v>
      </c>
      <c r="AQ347" s="31">
        <f>VLOOKUP($B347,Kraftvärmeprod!$B$1:$BX$549,MATCH(AQ$1,Kraftvärmeprod!$B$1:$BX$1,0),FALSE)</f>
        <v>0</v>
      </c>
      <c r="AR347" s="31">
        <f>VLOOKUP($B347,Kraftvärmeprod!$B$1:$BX$549,MATCH("Summa tillförd energi exklusive rökgaskondensering",Kraftvärmeprod!$B$1:$BX$1,0),FALSE)</f>
        <v>0</v>
      </c>
      <c r="AT347" s="32" t="str">
        <f t="shared" si="33"/>
        <v/>
      </c>
      <c r="AV347" s="31">
        <f t="shared" si="34"/>
        <v>0</v>
      </c>
      <c r="AX347" s="31" t="str">
        <f>VLOOKUP(B347,Totalt!$B$1:$BZ$554,MATCH(AX$1,Totalt!$B$1:$BZ$1,0),FALSE)</f>
        <v>Ja</v>
      </c>
      <c r="BA347" s="32" t="str">
        <f t="shared" si="35"/>
        <v/>
      </c>
    </row>
    <row r="348" spans="1:53" x14ac:dyDescent="0.45">
      <c r="A348" s="31" t="s">
        <v>225</v>
      </c>
      <c r="B348" s="31" t="s">
        <v>227</v>
      </c>
      <c r="J348" s="31">
        <v>0</v>
      </c>
      <c r="K348" s="31">
        <v>0</v>
      </c>
      <c r="L348" s="31">
        <v>0</v>
      </c>
      <c r="M348" s="31">
        <v>0</v>
      </c>
      <c r="N348" s="31">
        <v>0</v>
      </c>
      <c r="O348" s="31">
        <v>0</v>
      </c>
      <c r="P348" s="31">
        <v>0</v>
      </c>
      <c r="Q348" s="31">
        <v>0</v>
      </c>
      <c r="R348" s="31">
        <v>0</v>
      </c>
      <c r="S348" s="31">
        <v>0</v>
      </c>
      <c r="T348" s="31">
        <v>0</v>
      </c>
      <c r="U348" s="31">
        <v>0</v>
      </c>
      <c r="W348" s="31">
        <v>0</v>
      </c>
      <c r="X348" s="31">
        <v>0</v>
      </c>
      <c r="Y348" s="31">
        <v>0</v>
      </c>
      <c r="Z348" s="31">
        <v>0</v>
      </c>
      <c r="AA348" s="31">
        <v>0</v>
      </c>
      <c r="AB348" s="31">
        <v>0</v>
      </c>
      <c r="AC348" s="31">
        <v>0</v>
      </c>
      <c r="AD348" s="31">
        <v>0</v>
      </c>
      <c r="AE348" s="31">
        <v>0</v>
      </c>
      <c r="AF348" s="31">
        <v>0</v>
      </c>
      <c r="AG348" s="31">
        <v>0</v>
      </c>
      <c r="AH348" s="31">
        <v>0</v>
      </c>
      <c r="AI348" s="31">
        <v>0</v>
      </c>
      <c r="AL348" s="31">
        <f t="shared" si="30"/>
        <v>0</v>
      </c>
      <c r="AM348" s="31">
        <f t="shared" si="31"/>
        <v>0</v>
      </c>
      <c r="AN348" s="31">
        <f t="shared" si="32"/>
        <v>0</v>
      </c>
      <c r="AP348" s="31">
        <f>VLOOKUP($B348,Kraftvärmeprod!$B$1:$BX$549,MATCH(AP$1,Kraftvärmeprod!$B$1:$BX$1,0),FALSE)</f>
        <v>0</v>
      </c>
      <c r="AQ348" s="31">
        <f>VLOOKUP($B348,Kraftvärmeprod!$B$1:$BX$549,MATCH(AQ$1,Kraftvärmeprod!$B$1:$BX$1,0),FALSE)</f>
        <v>0</v>
      </c>
      <c r="AR348" s="31">
        <f>VLOOKUP($B348,Kraftvärmeprod!$B$1:$BX$549,MATCH("Summa tillförd energi exklusive rökgaskondensering",Kraftvärmeprod!$B$1:$BX$1,0),FALSE)</f>
        <v>0</v>
      </c>
      <c r="AT348" s="32" t="str">
        <f t="shared" si="33"/>
        <v/>
      </c>
      <c r="AV348" s="31">
        <f t="shared" si="34"/>
        <v>0</v>
      </c>
      <c r="AX348" s="31" t="str">
        <f>VLOOKUP(B348,Totalt!$B$1:$BZ$554,MATCH(AX$1,Totalt!$B$1:$BZ$1,0),FALSE)</f>
        <v>Ja</v>
      </c>
      <c r="BA348" s="32" t="str">
        <f t="shared" si="35"/>
        <v/>
      </c>
    </row>
    <row r="349" spans="1:53" x14ac:dyDescent="0.45">
      <c r="A349" s="31" t="s">
        <v>225</v>
      </c>
      <c r="B349" s="31" t="s">
        <v>226</v>
      </c>
      <c r="J349" s="31">
        <v>0</v>
      </c>
      <c r="K349" s="31">
        <v>0</v>
      </c>
      <c r="L349" s="31">
        <v>0</v>
      </c>
      <c r="M349" s="31">
        <v>0</v>
      </c>
      <c r="N349" s="31">
        <v>0</v>
      </c>
      <c r="O349" s="31">
        <v>0</v>
      </c>
      <c r="P349" s="31">
        <v>0</v>
      </c>
      <c r="Q349" s="31">
        <v>0</v>
      </c>
      <c r="R349" s="31">
        <v>0</v>
      </c>
      <c r="S349" s="31">
        <v>0</v>
      </c>
      <c r="T349" s="31">
        <v>0</v>
      </c>
      <c r="U349" s="31">
        <v>0</v>
      </c>
      <c r="W349" s="31">
        <v>0</v>
      </c>
      <c r="X349" s="31">
        <v>0</v>
      </c>
      <c r="Y349" s="31">
        <v>0</v>
      </c>
      <c r="Z349" s="31">
        <v>0</v>
      </c>
      <c r="AA349" s="31">
        <v>0</v>
      </c>
      <c r="AB349" s="31">
        <v>0</v>
      </c>
      <c r="AC349" s="31">
        <v>0</v>
      </c>
      <c r="AD349" s="31">
        <v>0</v>
      </c>
      <c r="AE349" s="31">
        <v>0</v>
      </c>
      <c r="AF349" s="31">
        <v>0</v>
      </c>
      <c r="AG349" s="31">
        <v>0</v>
      </c>
      <c r="AH349" s="31">
        <v>0</v>
      </c>
      <c r="AI349" s="31">
        <v>0</v>
      </c>
      <c r="AL349" s="31">
        <f t="shared" si="30"/>
        <v>0</v>
      </c>
      <c r="AM349" s="31">
        <f t="shared" si="31"/>
        <v>0</v>
      </c>
      <c r="AN349" s="31">
        <f t="shared" si="32"/>
        <v>0</v>
      </c>
      <c r="AP349" s="31">
        <f>VLOOKUP($B349,Kraftvärmeprod!$B$1:$BX$549,MATCH(AP$1,Kraftvärmeprod!$B$1:$BX$1,0),FALSE)</f>
        <v>0</v>
      </c>
      <c r="AQ349" s="31">
        <f>VLOOKUP($B349,Kraftvärmeprod!$B$1:$BX$549,MATCH(AQ$1,Kraftvärmeprod!$B$1:$BX$1,0),FALSE)</f>
        <v>0</v>
      </c>
      <c r="AR349" s="31">
        <f>VLOOKUP($B349,Kraftvärmeprod!$B$1:$BX$549,MATCH("Summa tillförd energi exklusive rökgaskondensering",Kraftvärmeprod!$B$1:$BX$1,0),FALSE)</f>
        <v>0</v>
      </c>
      <c r="AT349" s="32" t="str">
        <f t="shared" si="33"/>
        <v/>
      </c>
      <c r="AV349" s="31">
        <f t="shared" si="34"/>
        <v>0</v>
      </c>
      <c r="AX349" s="31" t="str">
        <f>VLOOKUP(B349,Totalt!$B$1:$BZ$554,MATCH(AX$1,Totalt!$B$1:$BZ$1,0),FALSE)</f>
        <v>Ja</v>
      </c>
      <c r="BA349" s="32" t="str">
        <f t="shared" si="35"/>
        <v/>
      </c>
    </row>
    <row r="350" spans="1:53" x14ac:dyDescent="0.45">
      <c r="A350" s="31" t="s">
        <v>225</v>
      </c>
      <c r="B350" s="31" t="s">
        <v>224</v>
      </c>
      <c r="J350" s="31">
        <v>0</v>
      </c>
      <c r="K350" s="31">
        <v>6.68073E-2</v>
      </c>
      <c r="L350" s="31">
        <v>0</v>
      </c>
      <c r="M350" s="31">
        <v>0</v>
      </c>
      <c r="N350" s="31">
        <v>0</v>
      </c>
      <c r="O350" s="31">
        <v>0</v>
      </c>
      <c r="P350" s="31">
        <v>47.654800000000002</v>
      </c>
      <c r="Q350" s="31">
        <v>35.411900000000003</v>
      </c>
      <c r="R350" s="31">
        <v>2.6644299999999999</v>
      </c>
      <c r="S350" s="31">
        <v>0</v>
      </c>
      <c r="T350" s="31">
        <v>0</v>
      </c>
      <c r="U350" s="31">
        <v>0</v>
      </c>
      <c r="W350" s="31">
        <v>0</v>
      </c>
      <c r="X350" s="31">
        <v>0</v>
      </c>
      <c r="Y350" s="31">
        <v>0</v>
      </c>
      <c r="Z350" s="31">
        <v>0</v>
      </c>
      <c r="AA350" s="31">
        <v>0</v>
      </c>
      <c r="AB350" s="31">
        <v>0</v>
      </c>
      <c r="AC350" s="31">
        <v>0</v>
      </c>
      <c r="AD350" s="31">
        <v>0</v>
      </c>
      <c r="AE350" s="31">
        <v>0</v>
      </c>
      <c r="AF350" s="31">
        <v>0</v>
      </c>
      <c r="AG350" s="31">
        <v>0</v>
      </c>
      <c r="AH350" s="31">
        <v>18.725999999999999</v>
      </c>
      <c r="AI350" s="31">
        <v>0.37377700000000003</v>
      </c>
      <c r="AL350" s="31">
        <f t="shared" si="30"/>
        <v>104.8977143</v>
      </c>
      <c r="AM350" s="31">
        <f t="shared" si="31"/>
        <v>104.5239373</v>
      </c>
      <c r="AN350" s="31">
        <f t="shared" si="32"/>
        <v>85.797937300000001</v>
      </c>
      <c r="AP350" s="31">
        <f>VLOOKUP($B350,Kraftvärmeprod!$B$1:$BX$549,MATCH(AP$1,Kraftvärmeprod!$B$1:$BX$1,0),FALSE)</f>
        <v>102.068</v>
      </c>
      <c r="AQ350" s="31">
        <f>VLOOKUP($B350,Kraftvärmeprod!$B$1:$BX$549,MATCH(AQ$1,Kraftvärmeprod!$B$1:$BX$1,0),FALSE)</f>
        <v>25.071000000000002</v>
      </c>
      <c r="AR350" s="31">
        <f>VLOOKUP($B350,Kraftvärmeprod!$B$1:$BX$549,MATCH("Summa tillförd energi exklusive rökgaskondensering",Kraftvärmeprod!$B$1:$BX$1,0),FALSE)</f>
        <v>140.70999999999998</v>
      </c>
      <c r="AT350" s="32">
        <f t="shared" si="33"/>
        <v>0.60975010518086858</v>
      </c>
      <c r="AV350" s="31">
        <f t="shared" si="34"/>
        <v>85.731130000000007</v>
      </c>
      <c r="AX350" s="31" t="str">
        <f>VLOOKUP(B350,Totalt!$B$1:$BZ$554,MATCH(AX$1,Totalt!$B$1:$BZ$1,0),FALSE)</f>
        <v>Ja</v>
      </c>
      <c r="BA350" s="32">
        <f t="shared" si="35"/>
        <v>1.1844721998294978</v>
      </c>
    </row>
    <row r="351" spans="1:53" x14ac:dyDescent="0.45">
      <c r="A351" s="31" t="s">
        <v>221</v>
      </c>
      <c r="B351" s="31" t="s">
        <v>223</v>
      </c>
      <c r="J351" s="31">
        <v>0</v>
      </c>
      <c r="K351" s="31">
        <v>0</v>
      </c>
      <c r="L351" s="31">
        <v>0</v>
      </c>
      <c r="M351" s="31">
        <v>0</v>
      </c>
      <c r="N351" s="31">
        <v>0</v>
      </c>
      <c r="O351" s="31">
        <v>0</v>
      </c>
      <c r="P351" s="31">
        <v>0</v>
      </c>
      <c r="Q351" s="31">
        <v>0</v>
      </c>
      <c r="R351" s="31">
        <v>0</v>
      </c>
      <c r="S351" s="31">
        <v>0</v>
      </c>
      <c r="T351" s="31">
        <v>0</v>
      </c>
      <c r="U351" s="31">
        <v>0</v>
      </c>
      <c r="W351" s="31">
        <v>0</v>
      </c>
      <c r="X351" s="31">
        <v>0</v>
      </c>
      <c r="Y351" s="31">
        <v>0</v>
      </c>
      <c r="Z351" s="31">
        <v>0</v>
      </c>
      <c r="AA351" s="31">
        <v>0</v>
      </c>
      <c r="AB351" s="31">
        <v>0</v>
      </c>
      <c r="AC351" s="31">
        <v>0</v>
      </c>
      <c r="AD351" s="31">
        <v>0</v>
      </c>
      <c r="AE351" s="31">
        <v>0</v>
      </c>
      <c r="AF351" s="31">
        <v>0</v>
      </c>
      <c r="AG351" s="31">
        <v>0</v>
      </c>
      <c r="AH351" s="31">
        <v>0</v>
      </c>
      <c r="AI351" s="31">
        <v>0</v>
      </c>
      <c r="AL351" s="31">
        <f t="shared" si="30"/>
        <v>0</v>
      </c>
      <c r="AM351" s="31">
        <f t="shared" si="31"/>
        <v>0</v>
      </c>
      <c r="AN351" s="31">
        <f t="shared" si="32"/>
        <v>0</v>
      </c>
      <c r="AP351" s="31">
        <f>VLOOKUP($B351,Kraftvärmeprod!$B$1:$BX$549,MATCH(AP$1,Kraftvärmeprod!$B$1:$BX$1,0),FALSE)</f>
        <v>0</v>
      </c>
      <c r="AQ351" s="31">
        <f>VLOOKUP($B351,Kraftvärmeprod!$B$1:$BX$549,MATCH(AQ$1,Kraftvärmeprod!$B$1:$BX$1,0),FALSE)</f>
        <v>0</v>
      </c>
      <c r="AR351" s="31">
        <f>VLOOKUP($B351,Kraftvärmeprod!$B$1:$BX$549,MATCH("Summa tillförd energi exklusive rökgaskondensering",Kraftvärmeprod!$B$1:$BX$1,0),FALSE)</f>
        <v>0</v>
      </c>
      <c r="AT351" s="32" t="str">
        <f t="shared" si="33"/>
        <v/>
      </c>
      <c r="AV351" s="31">
        <f t="shared" si="34"/>
        <v>0</v>
      </c>
      <c r="AX351" s="31" t="str">
        <f>VLOOKUP(B351,Totalt!$B$1:$BZ$554,MATCH(AX$1,Totalt!$B$1:$BZ$1,0),FALSE)</f>
        <v>Ja</v>
      </c>
      <c r="BA351" s="32" t="str">
        <f t="shared" si="35"/>
        <v/>
      </c>
    </row>
    <row r="352" spans="1:53" x14ac:dyDescent="0.45">
      <c r="A352" s="31" t="s">
        <v>221</v>
      </c>
      <c r="B352" s="31" t="s">
        <v>222</v>
      </c>
      <c r="J352" s="31">
        <v>0</v>
      </c>
      <c r="K352" s="31">
        <v>0.360404</v>
      </c>
      <c r="L352" s="31">
        <v>0</v>
      </c>
      <c r="M352" s="31">
        <v>0</v>
      </c>
      <c r="N352" s="31">
        <v>0</v>
      </c>
      <c r="O352" s="31">
        <v>0</v>
      </c>
      <c r="P352" s="31">
        <v>0</v>
      </c>
      <c r="Q352" s="31">
        <v>0</v>
      </c>
      <c r="R352" s="31">
        <v>0</v>
      </c>
      <c r="S352" s="31">
        <v>0</v>
      </c>
      <c r="T352" s="31">
        <v>0</v>
      </c>
      <c r="U352" s="31">
        <v>0</v>
      </c>
      <c r="W352" s="31">
        <v>0</v>
      </c>
      <c r="X352" s="31">
        <v>0</v>
      </c>
      <c r="Y352" s="31">
        <v>0</v>
      </c>
      <c r="Z352" s="31">
        <v>100.065</v>
      </c>
      <c r="AA352" s="31">
        <v>0</v>
      </c>
      <c r="AB352" s="31">
        <v>0</v>
      </c>
      <c r="AC352" s="31">
        <v>0</v>
      </c>
      <c r="AD352" s="31">
        <v>0</v>
      </c>
      <c r="AE352" s="31">
        <v>0</v>
      </c>
      <c r="AF352" s="31">
        <v>0</v>
      </c>
      <c r="AG352" s="31">
        <v>0</v>
      </c>
      <c r="AH352" s="31">
        <v>32</v>
      </c>
      <c r="AI352" s="31">
        <v>2.1352899999999999</v>
      </c>
      <c r="AL352" s="31">
        <f t="shared" si="30"/>
        <v>134.56069400000001</v>
      </c>
      <c r="AM352" s="31">
        <f t="shared" si="31"/>
        <v>132.42540400000001</v>
      </c>
      <c r="AN352" s="31">
        <f t="shared" si="32"/>
        <v>100.42540400000001</v>
      </c>
      <c r="AP352" s="31">
        <f>VLOOKUP($B352,Kraftvärmeprod!$B$1:$BX$549,MATCH(AP$1,Kraftvärmeprod!$B$1:$BX$1,0),FALSE)</f>
        <v>141</v>
      </c>
      <c r="AQ352" s="31">
        <f>VLOOKUP($B352,Kraftvärmeprod!$B$1:$BX$549,MATCH(AQ$1,Kraftvärmeprod!$B$1:$BX$1,0),FALSE)</f>
        <v>27</v>
      </c>
      <c r="AR352" s="31">
        <f>VLOOKUP($B352,Kraftvärmeprod!$B$1:$BX$549,MATCH("Summa tillförd energi exklusive rökgaskondensering",Kraftvärmeprod!$B$1:$BX$1,0),FALSE)</f>
        <v>150.5</v>
      </c>
      <c r="AT352" s="32">
        <f t="shared" si="33"/>
        <v>0.66727843189368785</v>
      </c>
      <c r="AV352" s="31">
        <f t="shared" si="34"/>
        <v>100.065</v>
      </c>
      <c r="AX352" s="31" t="str">
        <f>VLOOKUP(B352,Totalt!$B$1:$BZ$554,MATCH(AX$1,Totalt!$B$1:$BZ$1,0),FALSE)</f>
        <v>Ja</v>
      </c>
      <c r="BA352" s="32">
        <f t="shared" si="35"/>
        <v>1.3747956892725393</v>
      </c>
    </row>
    <row r="353" spans="1:53" x14ac:dyDescent="0.45">
      <c r="A353" s="31" t="s">
        <v>221</v>
      </c>
      <c r="B353" s="31" t="s">
        <v>220</v>
      </c>
      <c r="J353" s="31">
        <v>0</v>
      </c>
      <c r="K353" s="31">
        <v>0</v>
      </c>
      <c r="L353" s="31">
        <v>0</v>
      </c>
      <c r="M353" s="31">
        <v>0</v>
      </c>
      <c r="N353" s="31">
        <v>0</v>
      </c>
      <c r="O353" s="31">
        <v>0</v>
      </c>
      <c r="P353" s="31">
        <v>0</v>
      </c>
      <c r="Q353" s="31">
        <v>0</v>
      </c>
      <c r="R353" s="31">
        <v>0</v>
      </c>
      <c r="S353" s="31">
        <v>0</v>
      </c>
      <c r="T353" s="31">
        <v>0</v>
      </c>
      <c r="U353" s="31">
        <v>0</v>
      </c>
      <c r="W353" s="31">
        <v>0</v>
      </c>
      <c r="X353" s="31">
        <v>0</v>
      </c>
      <c r="Y353" s="31">
        <v>0</v>
      </c>
      <c r="Z353" s="31">
        <v>0</v>
      </c>
      <c r="AA353" s="31">
        <v>0</v>
      </c>
      <c r="AB353" s="31">
        <v>0</v>
      </c>
      <c r="AC353" s="31">
        <v>0</v>
      </c>
      <c r="AD353" s="31">
        <v>0</v>
      </c>
      <c r="AE353" s="31">
        <v>0</v>
      </c>
      <c r="AF353" s="31">
        <v>0</v>
      </c>
      <c r="AG353" s="31">
        <v>0</v>
      </c>
      <c r="AH353" s="31">
        <v>0</v>
      </c>
      <c r="AI353" s="31">
        <v>0</v>
      </c>
      <c r="AL353" s="31">
        <f t="shared" si="30"/>
        <v>0</v>
      </c>
      <c r="AM353" s="31">
        <f t="shared" si="31"/>
        <v>0</v>
      </c>
      <c r="AN353" s="31">
        <f t="shared" si="32"/>
        <v>0</v>
      </c>
      <c r="AP353" s="31">
        <f>VLOOKUP($B353,Kraftvärmeprod!$B$1:$BX$549,MATCH(AP$1,Kraftvärmeprod!$B$1:$BX$1,0),FALSE)</f>
        <v>0</v>
      </c>
      <c r="AQ353" s="31">
        <f>VLOOKUP($B353,Kraftvärmeprod!$B$1:$BX$549,MATCH(AQ$1,Kraftvärmeprod!$B$1:$BX$1,0),FALSE)</f>
        <v>0</v>
      </c>
      <c r="AR353" s="31">
        <f>VLOOKUP($B353,Kraftvärmeprod!$B$1:$BX$549,MATCH("Summa tillförd energi exklusive rökgaskondensering",Kraftvärmeprod!$B$1:$BX$1,0),FALSE)</f>
        <v>0</v>
      </c>
      <c r="AT353" s="32" t="str">
        <f t="shared" si="33"/>
        <v/>
      </c>
      <c r="AV353" s="31">
        <f t="shared" si="34"/>
        <v>0</v>
      </c>
      <c r="AX353" s="31" t="str">
        <f>VLOOKUP(B353,Totalt!$B$1:$BZ$554,MATCH(AX$1,Totalt!$B$1:$BZ$1,0),FALSE)</f>
        <v>Ja</v>
      </c>
      <c r="BA353" s="32" t="str">
        <f t="shared" si="35"/>
        <v/>
      </c>
    </row>
    <row r="354" spans="1:53" x14ac:dyDescent="0.45">
      <c r="A354" s="31" t="s">
        <v>48</v>
      </c>
      <c r="B354" s="31" t="s">
        <v>219</v>
      </c>
      <c r="J354" s="31">
        <v>0</v>
      </c>
      <c r="K354" s="31">
        <v>0</v>
      </c>
      <c r="L354" s="31">
        <v>0</v>
      </c>
      <c r="M354" s="31">
        <v>0</v>
      </c>
      <c r="N354" s="31">
        <v>0</v>
      </c>
      <c r="O354" s="31">
        <v>0</v>
      </c>
      <c r="P354" s="31">
        <v>0</v>
      </c>
      <c r="Q354" s="31">
        <v>0</v>
      </c>
      <c r="R354" s="31">
        <v>0</v>
      </c>
      <c r="S354" s="31">
        <v>0</v>
      </c>
      <c r="T354" s="31">
        <v>0</v>
      </c>
      <c r="U354" s="31">
        <v>0</v>
      </c>
      <c r="W354" s="31">
        <v>0</v>
      </c>
      <c r="X354" s="31">
        <v>0</v>
      </c>
      <c r="Y354" s="31">
        <v>0</v>
      </c>
      <c r="Z354" s="31">
        <v>0</v>
      </c>
      <c r="AA354" s="31">
        <v>0</v>
      </c>
      <c r="AB354" s="31">
        <v>0</v>
      </c>
      <c r="AC354" s="31">
        <v>0</v>
      </c>
      <c r="AD354" s="31">
        <v>0</v>
      </c>
      <c r="AE354" s="31">
        <v>0</v>
      </c>
      <c r="AF354" s="31">
        <v>0</v>
      </c>
      <c r="AG354" s="31">
        <v>0</v>
      </c>
      <c r="AH354" s="31">
        <v>0</v>
      </c>
      <c r="AI354" s="31">
        <v>0</v>
      </c>
      <c r="AL354" s="31">
        <f t="shared" si="30"/>
        <v>0</v>
      </c>
      <c r="AM354" s="31">
        <f t="shared" si="31"/>
        <v>0</v>
      </c>
      <c r="AN354" s="31">
        <f t="shared" si="32"/>
        <v>0</v>
      </c>
      <c r="AP354" s="31">
        <f>VLOOKUP($B354,Kraftvärmeprod!$B$1:$BX$549,MATCH(AP$1,Kraftvärmeprod!$B$1:$BX$1,0),FALSE)</f>
        <v>0</v>
      </c>
      <c r="AQ354" s="31">
        <f>VLOOKUP($B354,Kraftvärmeprod!$B$1:$BX$549,MATCH(AQ$1,Kraftvärmeprod!$B$1:$BX$1,0),FALSE)</f>
        <v>0</v>
      </c>
      <c r="AR354" s="31">
        <f>VLOOKUP($B354,Kraftvärmeprod!$B$1:$BX$549,MATCH("Summa tillförd energi exklusive rökgaskondensering",Kraftvärmeprod!$B$1:$BX$1,0),FALSE)</f>
        <v>0</v>
      </c>
      <c r="AT354" s="32" t="str">
        <f t="shared" si="33"/>
        <v/>
      </c>
      <c r="AV354" s="31">
        <f t="shared" si="34"/>
        <v>0</v>
      </c>
      <c r="AX354" s="31" t="str">
        <f>VLOOKUP(B354,Totalt!$B$1:$BZ$554,MATCH(AX$1,Totalt!$B$1:$BZ$1,0),FALSE)</f>
        <v>Ja</v>
      </c>
      <c r="BA354" s="32" t="str">
        <f t="shared" si="35"/>
        <v/>
      </c>
    </row>
    <row r="355" spans="1:53" x14ac:dyDescent="0.45">
      <c r="A355" s="31" t="s">
        <v>48</v>
      </c>
      <c r="B355" s="31" t="s">
        <v>218</v>
      </c>
      <c r="J355" s="31">
        <v>0</v>
      </c>
      <c r="K355" s="31">
        <v>0</v>
      </c>
      <c r="L355" s="31">
        <v>0</v>
      </c>
      <c r="M355" s="31">
        <v>0</v>
      </c>
      <c r="N355" s="31">
        <v>0</v>
      </c>
      <c r="O355" s="31">
        <v>0</v>
      </c>
      <c r="P355" s="31">
        <v>0</v>
      </c>
      <c r="Q355" s="31">
        <v>0</v>
      </c>
      <c r="R355" s="31">
        <v>0</v>
      </c>
      <c r="S355" s="31">
        <v>0</v>
      </c>
      <c r="T355" s="31">
        <v>0</v>
      </c>
      <c r="U355" s="31">
        <v>0</v>
      </c>
      <c r="W355" s="31">
        <v>0</v>
      </c>
      <c r="X355" s="31">
        <v>0</v>
      </c>
      <c r="Y355" s="31">
        <v>0</v>
      </c>
      <c r="Z355" s="31">
        <v>0</v>
      </c>
      <c r="AA355" s="31">
        <v>0</v>
      </c>
      <c r="AB355" s="31">
        <v>0</v>
      </c>
      <c r="AC355" s="31">
        <v>0</v>
      </c>
      <c r="AD355" s="31">
        <v>0</v>
      </c>
      <c r="AE355" s="31">
        <v>0</v>
      </c>
      <c r="AF355" s="31">
        <v>0</v>
      </c>
      <c r="AG355" s="31">
        <v>0</v>
      </c>
      <c r="AH355" s="31">
        <v>0</v>
      </c>
      <c r="AI355" s="31">
        <v>0</v>
      </c>
      <c r="AL355" s="31">
        <f t="shared" si="30"/>
        <v>0</v>
      </c>
      <c r="AM355" s="31">
        <f t="shared" si="31"/>
        <v>0</v>
      </c>
      <c r="AN355" s="31">
        <f t="shared" si="32"/>
        <v>0</v>
      </c>
      <c r="AP355" s="31">
        <f>VLOOKUP($B355,Kraftvärmeprod!$B$1:$BX$549,MATCH(AP$1,Kraftvärmeprod!$B$1:$BX$1,0),FALSE)</f>
        <v>0</v>
      </c>
      <c r="AQ355" s="31">
        <f>VLOOKUP($B355,Kraftvärmeprod!$B$1:$BX$549,MATCH(AQ$1,Kraftvärmeprod!$B$1:$BX$1,0),FALSE)</f>
        <v>0</v>
      </c>
      <c r="AR355" s="31">
        <f>VLOOKUP($B355,Kraftvärmeprod!$B$1:$BX$549,MATCH("Summa tillförd energi exklusive rökgaskondensering",Kraftvärmeprod!$B$1:$BX$1,0),FALSE)</f>
        <v>0</v>
      </c>
      <c r="AT355" s="32" t="str">
        <f t="shared" si="33"/>
        <v/>
      </c>
      <c r="AV355" s="31">
        <f t="shared" si="34"/>
        <v>0</v>
      </c>
      <c r="AX355" s="31" t="str">
        <f>VLOOKUP(B355,Totalt!$B$1:$BZ$554,MATCH(AX$1,Totalt!$B$1:$BZ$1,0),FALSE)</f>
        <v>Ja</v>
      </c>
      <c r="BA355" s="32" t="str">
        <f t="shared" si="35"/>
        <v/>
      </c>
    </row>
    <row r="356" spans="1:53" x14ac:dyDescent="0.45">
      <c r="A356" s="31" t="s">
        <v>48</v>
      </c>
      <c r="B356" s="31" t="s">
        <v>217</v>
      </c>
      <c r="J356" s="31">
        <v>0</v>
      </c>
      <c r="K356" s="31">
        <v>0</v>
      </c>
      <c r="L356" s="31">
        <v>0</v>
      </c>
      <c r="M356" s="31">
        <v>0</v>
      </c>
      <c r="N356" s="31">
        <v>0</v>
      </c>
      <c r="O356" s="31">
        <v>0</v>
      </c>
      <c r="P356" s="31">
        <v>0</v>
      </c>
      <c r="Q356" s="31">
        <v>0</v>
      </c>
      <c r="R356" s="31">
        <v>0</v>
      </c>
      <c r="S356" s="31">
        <v>0</v>
      </c>
      <c r="T356" s="31">
        <v>0</v>
      </c>
      <c r="U356" s="31">
        <v>0</v>
      </c>
      <c r="W356" s="31">
        <v>0</v>
      </c>
      <c r="X356" s="31">
        <v>0</v>
      </c>
      <c r="Y356" s="31">
        <v>0</v>
      </c>
      <c r="Z356" s="31">
        <v>0</v>
      </c>
      <c r="AA356" s="31">
        <v>0</v>
      </c>
      <c r="AB356" s="31">
        <v>0</v>
      </c>
      <c r="AC356" s="31">
        <v>0</v>
      </c>
      <c r="AD356" s="31">
        <v>0</v>
      </c>
      <c r="AE356" s="31">
        <v>0</v>
      </c>
      <c r="AF356" s="31">
        <v>0</v>
      </c>
      <c r="AG356" s="31">
        <v>0</v>
      </c>
      <c r="AH356" s="31">
        <v>0</v>
      </c>
      <c r="AI356" s="31">
        <v>0</v>
      </c>
      <c r="AL356" s="31">
        <f t="shared" si="30"/>
        <v>0</v>
      </c>
      <c r="AM356" s="31">
        <f t="shared" si="31"/>
        <v>0</v>
      </c>
      <c r="AN356" s="31">
        <f t="shared" si="32"/>
        <v>0</v>
      </c>
      <c r="AP356" s="31">
        <f>VLOOKUP($B356,Kraftvärmeprod!$B$1:$BX$549,MATCH(AP$1,Kraftvärmeprod!$B$1:$BX$1,0),FALSE)</f>
        <v>0</v>
      </c>
      <c r="AQ356" s="31">
        <f>VLOOKUP($B356,Kraftvärmeprod!$B$1:$BX$549,MATCH(AQ$1,Kraftvärmeprod!$B$1:$BX$1,0),FALSE)</f>
        <v>0</v>
      </c>
      <c r="AR356" s="31">
        <f>VLOOKUP($B356,Kraftvärmeprod!$B$1:$BX$549,MATCH("Summa tillförd energi exklusive rökgaskondensering",Kraftvärmeprod!$B$1:$BX$1,0),FALSE)</f>
        <v>0</v>
      </c>
      <c r="AT356" s="32" t="str">
        <f t="shared" si="33"/>
        <v/>
      </c>
      <c r="AV356" s="31">
        <f t="shared" si="34"/>
        <v>0</v>
      </c>
      <c r="AX356" s="31" t="str">
        <f>VLOOKUP(B356,Totalt!$B$1:$BZ$554,MATCH(AX$1,Totalt!$B$1:$BZ$1,0),FALSE)</f>
        <v>Ja</v>
      </c>
      <c r="BA356" s="32" t="str">
        <f t="shared" si="35"/>
        <v/>
      </c>
    </row>
    <row r="357" spans="1:53" x14ac:dyDescent="0.45">
      <c r="A357" s="31" t="s">
        <v>48</v>
      </c>
      <c r="B357" s="31" t="s">
        <v>216</v>
      </c>
      <c r="J357" s="31">
        <v>0</v>
      </c>
      <c r="K357" s="31">
        <v>0</v>
      </c>
      <c r="L357" s="31">
        <v>0</v>
      </c>
      <c r="M357" s="31">
        <v>0</v>
      </c>
      <c r="N357" s="31">
        <v>0</v>
      </c>
      <c r="O357" s="31">
        <v>0</v>
      </c>
      <c r="P357" s="31">
        <v>0</v>
      </c>
      <c r="Q357" s="31">
        <v>0</v>
      </c>
      <c r="R357" s="31">
        <v>0</v>
      </c>
      <c r="S357" s="31">
        <v>0</v>
      </c>
      <c r="T357" s="31">
        <v>0</v>
      </c>
      <c r="U357" s="31">
        <v>0</v>
      </c>
      <c r="W357" s="31">
        <v>0</v>
      </c>
      <c r="X357" s="31">
        <v>0</v>
      </c>
      <c r="Y357" s="31">
        <v>0</v>
      </c>
      <c r="Z357" s="31">
        <v>0</v>
      </c>
      <c r="AA357" s="31">
        <v>0</v>
      </c>
      <c r="AB357" s="31">
        <v>0</v>
      </c>
      <c r="AC357" s="31">
        <v>0</v>
      </c>
      <c r="AD357" s="31">
        <v>0</v>
      </c>
      <c r="AE357" s="31">
        <v>0</v>
      </c>
      <c r="AF357" s="31">
        <v>0</v>
      </c>
      <c r="AG357" s="31">
        <v>0</v>
      </c>
      <c r="AH357" s="31">
        <v>0</v>
      </c>
      <c r="AI357" s="31">
        <v>0</v>
      </c>
      <c r="AL357" s="31">
        <f t="shared" si="30"/>
        <v>0</v>
      </c>
      <c r="AM357" s="31">
        <f t="shared" si="31"/>
        <v>0</v>
      </c>
      <c r="AN357" s="31">
        <f t="shared" si="32"/>
        <v>0</v>
      </c>
      <c r="AP357" s="31">
        <f>VLOOKUP($B357,Kraftvärmeprod!$B$1:$BX$549,MATCH(AP$1,Kraftvärmeprod!$B$1:$BX$1,0),FALSE)</f>
        <v>0</v>
      </c>
      <c r="AQ357" s="31">
        <f>VLOOKUP($B357,Kraftvärmeprod!$B$1:$BX$549,MATCH(AQ$1,Kraftvärmeprod!$B$1:$BX$1,0),FALSE)</f>
        <v>0</v>
      </c>
      <c r="AR357" s="31">
        <f>VLOOKUP($B357,Kraftvärmeprod!$B$1:$BX$549,MATCH("Summa tillförd energi exklusive rökgaskondensering",Kraftvärmeprod!$B$1:$BX$1,0),FALSE)</f>
        <v>0</v>
      </c>
      <c r="AT357" s="32" t="str">
        <f t="shared" si="33"/>
        <v/>
      </c>
      <c r="AV357" s="31">
        <f t="shared" si="34"/>
        <v>0</v>
      </c>
      <c r="AX357" s="31" t="str">
        <f>VLOOKUP(B357,Totalt!$B$1:$BZ$554,MATCH(AX$1,Totalt!$B$1:$BZ$1,0),FALSE)</f>
        <v>Ja</v>
      </c>
      <c r="BA357" s="32" t="str">
        <f t="shared" si="35"/>
        <v/>
      </c>
    </row>
    <row r="358" spans="1:53" x14ac:dyDescent="0.45">
      <c r="A358" s="31" t="s">
        <v>48</v>
      </c>
      <c r="B358" s="31" t="s">
        <v>215</v>
      </c>
      <c r="J358" s="31">
        <v>0</v>
      </c>
      <c r="K358" s="31">
        <v>0</v>
      </c>
      <c r="L358" s="31">
        <v>0</v>
      </c>
      <c r="M358" s="31">
        <v>1.18503</v>
      </c>
      <c r="N358" s="31">
        <v>0</v>
      </c>
      <c r="O358" s="31">
        <v>0</v>
      </c>
      <c r="P358" s="31">
        <v>0</v>
      </c>
      <c r="Q358" s="31">
        <v>0</v>
      </c>
      <c r="R358" s="31">
        <v>5.6372600000000004</v>
      </c>
      <c r="S358" s="31">
        <v>25.553899999999999</v>
      </c>
      <c r="T358" s="31">
        <v>0</v>
      </c>
      <c r="U358" s="31">
        <v>4.2638999999999996</v>
      </c>
      <c r="W358" s="31">
        <v>0</v>
      </c>
      <c r="X358" s="31">
        <v>0</v>
      </c>
      <c r="Y358" s="31">
        <v>0</v>
      </c>
      <c r="Z358" s="31">
        <v>0</v>
      </c>
      <c r="AA358" s="31">
        <v>0</v>
      </c>
      <c r="AB358" s="31">
        <v>0</v>
      </c>
      <c r="AC358" s="31">
        <v>0</v>
      </c>
      <c r="AD358" s="31">
        <v>0</v>
      </c>
      <c r="AE358" s="31">
        <v>0</v>
      </c>
      <c r="AF358" s="31">
        <v>0</v>
      </c>
      <c r="AG358" s="31">
        <v>0</v>
      </c>
      <c r="AH358" s="31">
        <v>0</v>
      </c>
      <c r="AI358" s="31">
        <v>0.170539</v>
      </c>
      <c r="AL358" s="31">
        <f t="shared" si="30"/>
        <v>36.810628999999999</v>
      </c>
      <c r="AM358" s="31">
        <f t="shared" si="31"/>
        <v>36.640090000000001</v>
      </c>
      <c r="AN358" s="31">
        <f t="shared" si="32"/>
        <v>36.640090000000001</v>
      </c>
      <c r="AP358" s="31">
        <f>VLOOKUP($B358,Kraftvärmeprod!$B$1:$BX$549,MATCH(AP$1,Kraftvärmeprod!$B$1:$BX$1,0),FALSE)</f>
        <v>33.112000000000002</v>
      </c>
      <c r="AQ358" s="31">
        <f>VLOOKUP($B358,Kraftvärmeprod!$B$1:$BX$549,MATCH(AQ$1,Kraftvärmeprod!$B$1:$BX$1,0),FALSE)</f>
        <v>0.63500000000000001</v>
      </c>
      <c r="AR358" s="31">
        <f>VLOOKUP($B358,Kraftvärmeprod!$B$1:$BX$549,MATCH("Summa tillförd energi exklusive rökgaskondensering",Kraftvärmeprod!$B$1:$BX$1,0),FALSE)</f>
        <v>38.457999999999998</v>
      </c>
      <c r="AT358" s="32">
        <f t="shared" si="33"/>
        <v>0.95272999115918666</v>
      </c>
      <c r="AV358" s="31">
        <f t="shared" si="34"/>
        <v>35.455060000000003</v>
      </c>
      <c r="AX358" s="31" t="str">
        <f>VLOOKUP(B358,Totalt!$B$1:$BZ$554,MATCH(AX$1,Totalt!$B$1:$BZ$1,0),FALSE)</f>
        <v>Ja</v>
      </c>
      <c r="BA358" s="32">
        <f t="shared" si="35"/>
        <v>0.89952279815702152</v>
      </c>
    </row>
    <row r="359" spans="1:53" x14ac:dyDescent="0.45">
      <c r="A359" s="31" t="s">
        <v>48</v>
      </c>
      <c r="B359" s="31" t="s">
        <v>214</v>
      </c>
      <c r="J359" s="31">
        <v>0</v>
      </c>
      <c r="K359" s="31">
        <v>0</v>
      </c>
      <c r="L359" s="31">
        <v>0</v>
      </c>
      <c r="M359" s="31">
        <v>0</v>
      </c>
      <c r="N359" s="31">
        <v>0</v>
      </c>
      <c r="O359" s="31">
        <v>0</v>
      </c>
      <c r="P359" s="31">
        <v>1.1913899999999999</v>
      </c>
      <c r="Q359" s="31">
        <v>53.1083</v>
      </c>
      <c r="R359" s="31">
        <v>0</v>
      </c>
      <c r="S359" s="31">
        <v>33.143099999999997</v>
      </c>
      <c r="T359" s="31">
        <v>0</v>
      </c>
      <c r="U359" s="31">
        <v>5.5240499999999999</v>
      </c>
      <c r="W359" s="31">
        <v>0</v>
      </c>
      <c r="X359" s="31">
        <v>0</v>
      </c>
      <c r="Y359" s="31">
        <v>0</v>
      </c>
      <c r="Z359" s="31">
        <v>0</v>
      </c>
      <c r="AA359" s="31">
        <v>0</v>
      </c>
      <c r="AB359" s="31">
        <v>0</v>
      </c>
      <c r="AC359" s="31">
        <v>0</v>
      </c>
      <c r="AD359" s="31">
        <v>0</v>
      </c>
      <c r="AE359" s="31">
        <v>0</v>
      </c>
      <c r="AF359" s="31">
        <v>0</v>
      </c>
      <c r="AG359" s="31">
        <v>0</v>
      </c>
      <c r="AH359" s="31">
        <v>0</v>
      </c>
      <c r="AI359" s="31">
        <v>3.70404</v>
      </c>
      <c r="AL359" s="31">
        <f t="shared" si="30"/>
        <v>96.670880000000011</v>
      </c>
      <c r="AM359" s="31">
        <f t="shared" si="31"/>
        <v>92.966840000000005</v>
      </c>
      <c r="AN359" s="31">
        <f t="shared" si="32"/>
        <v>92.966840000000005</v>
      </c>
      <c r="AP359" s="31">
        <f>VLOOKUP($B359,Kraftvärmeprod!$B$1:$BX$549,MATCH(AP$1,Kraftvärmeprod!$B$1:$BX$1,0),FALSE)</f>
        <v>104.218</v>
      </c>
      <c r="AQ359" s="31">
        <f>VLOOKUP($B359,Kraftvärmeprod!$B$1:$BX$549,MATCH(AQ$1,Kraftvärmeprod!$B$1:$BX$1,0),FALSE)</f>
        <v>25.597999999999999</v>
      </c>
      <c r="AR359" s="31">
        <f>VLOOKUP($B359,Kraftvärmeprod!$B$1:$BX$549,MATCH("Summa tillförd energi exklusive rökgaskondensering",Kraftvärmeprod!$B$1:$BX$1,0),FALSE)</f>
        <v>152.47499999999999</v>
      </c>
      <c r="AT359" s="32">
        <f t="shared" si="33"/>
        <v>0.60971857681587149</v>
      </c>
      <c r="AV359" s="31">
        <f t="shared" si="34"/>
        <v>92.966839999999991</v>
      </c>
      <c r="AX359" s="31" t="str">
        <f>VLOOKUP(B359,Totalt!$B$1:$BZ$554,MATCH(AX$1,Totalt!$B$1:$BZ$1,0),FALSE)</f>
        <v>Ja</v>
      </c>
      <c r="BA359" s="32">
        <f t="shared" si="35"/>
        <v>1.0780702523862407</v>
      </c>
    </row>
    <row r="360" spans="1:53" x14ac:dyDescent="0.45">
      <c r="A360" s="31" t="s">
        <v>48</v>
      </c>
      <c r="B360" s="31" t="s">
        <v>213</v>
      </c>
      <c r="J360" s="31">
        <v>0</v>
      </c>
      <c r="K360" s="31">
        <v>0</v>
      </c>
      <c r="L360" s="31">
        <v>0</v>
      </c>
      <c r="M360" s="31">
        <v>0</v>
      </c>
      <c r="N360" s="31">
        <v>0</v>
      </c>
      <c r="O360" s="31">
        <v>0</v>
      </c>
      <c r="P360" s="31">
        <v>0</v>
      </c>
      <c r="Q360" s="31">
        <v>0</v>
      </c>
      <c r="R360" s="31">
        <v>0</v>
      </c>
      <c r="S360" s="31">
        <v>0</v>
      </c>
      <c r="T360" s="31">
        <v>0</v>
      </c>
      <c r="U360" s="31">
        <v>0</v>
      </c>
      <c r="W360" s="31">
        <v>0</v>
      </c>
      <c r="X360" s="31">
        <v>0</v>
      </c>
      <c r="Y360" s="31">
        <v>0</v>
      </c>
      <c r="Z360" s="31">
        <v>0</v>
      </c>
      <c r="AA360" s="31">
        <v>0</v>
      </c>
      <c r="AB360" s="31">
        <v>0</v>
      </c>
      <c r="AC360" s="31">
        <v>0</v>
      </c>
      <c r="AD360" s="31">
        <v>0</v>
      </c>
      <c r="AE360" s="31">
        <v>0</v>
      </c>
      <c r="AF360" s="31">
        <v>0</v>
      </c>
      <c r="AG360" s="31">
        <v>0</v>
      </c>
      <c r="AH360" s="31">
        <v>0</v>
      </c>
      <c r="AI360" s="31">
        <v>0</v>
      </c>
      <c r="AL360" s="31">
        <f t="shared" si="30"/>
        <v>0</v>
      </c>
      <c r="AM360" s="31">
        <f t="shared" si="31"/>
        <v>0</v>
      </c>
      <c r="AN360" s="31">
        <f t="shared" si="32"/>
        <v>0</v>
      </c>
      <c r="AP360" s="31">
        <f>VLOOKUP($B360,Kraftvärmeprod!$B$1:$BX$549,MATCH(AP$1,Kraftvärmeprod!$B$1:$BX$1,0),FALSE)</f>
        <v>0</v>
      </c>
      <c r="AQ360" s="31">
        <f>VLOOKUP($B360,Kraftvärmeprod!$B$1:$BX$549,MATCH(AQ$1,Kraftvärmeprod!$B$1:$BX$1,0),FALSE)</f>
        <v>0</v>
      </c>
      <c r="AR360" s="31">
        <f>VLOOKUP($B360,Kraftvärmeprod!$B$1:$BX$549,MATCH("Summa tillförd energi exklusive rökgaskondensering",Kraftvärmeprod!$B$1:$BX$1,0),FALSE)</f>
        <v>0</v>
      </c>
      <c r="AT360" s="32" t="str">
        <f t="shared" si="33"/>
        <v/>
      </c>
      <c r="AV360" s="31">
        <f t="shared" si="34"/>
        <v>0</v>
      </c>
      <c r="AX360" s="31" t="str">
        <f>VLOOKUP(B360,Totalt!$B$1:$BZ$554,MATCH(AX$1,Totalt!$B$1:$BZ$1,0),FALSE)</f>
        <v>Ja</v>
      </c>
      <c r="BA360" s="32" t="str">
        <f t="shared" si="35"/>
        <v/>
      </c>
    </row>
    <row r="361" spans="1:53" x14ac:dyDescent="0.45">
      <c r="A361" s="31" t="s">
        <v>48</v>
      </c>
      <c r="B361" s="31" t="s">
        <v>212</v>
      </c>
      <c r="J361" s="31">
        <v>0</v>
      </c>
      <c r="K361" s="31">
        <v>0</v>
      </c>
      <c r="L361" s="31">
        <v>0</v>
      </c>
      <c r="M361" s="31">
        <v>0</v>
      </c>
      <c r="N361" s="31">
        <v>0</v>
      </c>
      <c r="O361" s="31">
        <v>0</v>
      </c>
      <c r="P361" s="31">
        <v>0</v>
      </c>
      <c r="Q361" s="31">
        <v>0</v>
      </c>
      <c r="R361" s="31">
        <v>0</v>
      </c>
      <c r="S361" s="31">
        <v>0</v>
      </c>
      <c r="T361" s="31">
        <v>0</v>
      </c>
      <c r="U361" s="31">
        <v>0</v>
      </c>
      <c r="W361" s="31">
        <v>0</v>
      </c>
      <c r="X361" s="31">
        <v>0</v>
      </c>
      <c r="Y361" s="31">
        <v>0</v>
      </c>
      <c r="Z361" s="31">
        <v>0</v>
      </c>
      <c r="AA361" s="31">
        <v>0</v>
      </c>
      <c r="AB361" s="31">
        <v>0</v>
      </c>
      <c r="AC361" s="31">
        <v>0</v>
      </c>
      <c r="AD361" s="31">
        <v>0</v>
      </c>
      <c r="AE361" s="31">
        <v>0</v>
      </c>
      <c r="AF361" s="31">
        <v>0</v>
      </c>
      <c r="AG361" s="31">
        <v>0</v>
      </c>
      <c r="AH361" s="31">
        <v>0</v>
      </c>
      <c r="AI361" s="31">
        <v>0</v>
      </c>
      <c r="AL361" s="31">
        <f t="shared" si="30"/>
        <v>0</v>
      </c>
      <c r="AM361" s="31">
        <f t="shared" si="31"/>
        <v>0</v>
      </c>
      <c r="AN361" s="31">
        <f t="shared" si="32"/>
        <v>0</v>
      </c>
      <c r="AP361" s="31">
        <f>VLOOKUP($B361,Kraftvärmeprod!$B$1:$BX$549,MATCH(AP$1,Kraftvärmeprod!$B$1:$BX$1,0),FALSE)</f>
        <v>0</v>
      </c>
      <c r="AQ361" s="31">
        <f>VLOOKUP($B361,Kraftvärmeprod!$B$1:$BX$549,MATCH(AQ$1,Kraftvärmeprod!$B$1:$BX$1,0),FALSE)</f>
        <v>0</v>
      </c>
      <c r="AR361" s="31">
        <f>VLOOKUP($B361,Kraftvärmeprod!$B$1:$BX$549,MATCH("Summa tillförd energi exklusive rökgaskondensering",Kraftvärmeprod!$B$1:$BX$1,0),FALSE)</f>
        <v>0</v>
      </c>
      <c r="AT361" s="32" t="str">
        <f t="shared" si="33"/>
        <v/>
      </c>
      <c r="AV361" s="31">
        <f t="shared" si="34"/>
        <v>0</v>
      </c>
      <c r="AX361" s="31" t="str">
        <f>VLOOKUP(B361,Totalt!$B$1:$BZ$554,MATCH(AX$1,Totalt!$B$1:$BZ$1,0),FALSE)</f>
        <v>Ja</v>
      </c>
      <c r="BA361" s="32" t="str">
        <f t="shared" si="35"/>
        <v/>
      </c>
    </row>
    <row r="362" spans="1:53" x14ac:dyDescent="0.45">
      <c r="A362" s="31" t="s">
        <v>48</v>
      </c>
      <c r="B362" s="31" t="s">
        <v>211</v>
      </c>
      <c r="J362" s="31">
        <v>0</v>
      </c>
      <c r="K362" s="31">
        <v>0</v>
      </c>
      <c r="L362" s="31">
        <v>0</v>
      </c>
      <c r="M362" s="31">
        <v>0</v>
      </c>
      <c r="N362" s="31">
        <v>0</v>
      </c>
      <c r="O362" s="31">
        <v>0</v>
      </c>
      <c r="P362" s="31">
        <v>0</v>
      </c>
      <c r="Q362" s="31">
        <v>0</v>
      </c>
      <c r="R362" s="31">
        <v>0</v>
      </c>
      <c r="S362" s="31">
        <v>0</v>
      </c>
      <c r="T362" s="31">
        <v>0</v>
      </c>
      <c r="U362" s="31">
        <v>0</v>
      </c>
      <c r="W362" s="31">
        <v>0</v>
      </c>
      <c r="X362" s="31">
        <v>0</v>
      </c>
      <c r="Y362" s="31">
        <v>0</v>
      </c>
      <c r="Z362" s="31">
        <v>0</v>
      </c>
      <c r="AA362" s="31">
        <v>0</v>
      </c>
      <c r="AB362" s="31">
        <v>0</v>
      </c>
      <c r="AC362" s="31">
        <v>0</v>
      </c>
      <c r="AD362" s="31">
        <v>0</v>
      </c>
      <c r="AE362" s="31">
        <v>0</v>
      </c>
      <c r="AF362" s="31">
        <v>0</v>
      </c>
      <c r="AG362" s="31">
        <v>0</v>
      </c>
      <c r="AH362" s="31">
        <v>0</v>
      </c>
      <c r="AI362" s="31">
        <v>0</v>
      </c>
      <c r="AL362" s="31">
        <f t="shared" si="30"/>
        <v>0</v>
      </c>
      <c r="AM362" s="31">
        <f t="shared" si="31"/>
        <v>0</v>
      </c>
      <c r="AN362" s="31">
        <f t="shared" si="32"/>
        <v>0</v>
      </c>
      <c r="AP362" s="31">
        <f>VLOOKUP($B362,Kraftvärmeprod!$B$1:$BX$549,MATCH(AP$1,Kraftvärmeprod!$B$1:$BX$1,0),FALSE)</f>
        <v>0</v>
      </c>
      <c r="AQ362" s="31">
        <f>VLOOKUP($B362,Kraftvärmeprod!$B$1:$BX$549,MATCH(AQ$1,Kraftvärmeprod!$B$1:$BX$1,0),FALSE)</f>
        <v>0</v>
      </c>
      <c r="AR362" s="31">
        <f>VLOOKUP($B362,Kraftvärmeprod!$B$1:$BX$549,MATCH("Summa tillförd energi exklusive rökgaskondensering",Kraftvärmeprod!$B$1:$BX$1,0),FALSE)</f>
        <v>0</v>
      </c>
      <c r="AT362" s="32" t="str">
        <f t="shared" si="33"/>
        <v/>
      </c>
      <c r="AV362" s="31">
        <f t="shared" si="34"/>
        <v>0</v>
      </c>
      <c r="AX362" s="31" t="str">
        <f>VLOOKUP(B362,Totalt!$B$1:$BZ$554,MATCH(AX$1,Totalt!$B$1:$BZ$1,0),FALSE)</f>
        <v>Ja</v>
      </c>
      <c r="BA362" s="32" t="str">
        <f t="shared" si="35"/>
        <v/>
      </c>
    </row>
    <row r="363" spans="1:53" x14ac:dyDescent="0.45">
      <c r="A363" s="31" t="s">
        <v>48</v>
      </c>
      <c r="B363" s="31" t="s">
        <v>210</v>
      </c>
      <c r="J363" s="31">
        <v>0</v>
      </c>
      <c r="K363" s="31">
        <v>0</v>
      </c>
      <c r="L363" s="31">
        <v>0</v>
      </c>
      <c r="M363" s="31">
        <v>0</v>
      </c>
      <c r="N363" s="31">
        <v>0</v>
      </c>
      <c r="O363" s="31">
        <v>0</v>
      </c>
      <c r="P363" s="31">
        <v>0</v>
      </c>
      <c r="Q363" s="31">
        <v>0</v>
      </c>
      <c r="R363" s="31">
        <v>0</v>
      </c>
      <c r="S363" s="31">
        <v>0</v>
      </c>
      <c r="T363" s="31">
        <v>0</v>
      </c>
      <c r="U363" s="31">
        <v>0</v>
      </c>
      <c r="W363" s="31">
        <v>0</v>
      </c>
      <c r="X363" s="31">
        <v>0</v>
      </c>
      <c r="Y363" s="31">
        <v>0</v>
      </c>
      <c r="Z363" s="31">
        <v>0</v>
      </c>
      <c r="AA363" s="31">
        <v>0</v>
      </c>
      <c r="AB363" s="31">
        <v>0</v>
      </c>
      <c r="AC363" s="31">
        <v>0</v>
      </c>
      <c r="AD363" s="31">
        <v>0</v>
      </c>
      <c r="AE363" s="31">
        <v>0</v>
      </c>
      <c r="AF363" s="31">
        <v>0</v>
      </c>
      <c r="AG363" s="31">
        <v>0</v>
      </c>
      <c r="AH363" s="31">
        <v>0</v>
      </c>
      <c r="AI363" s="31">
        <v>0</v>
      </c>
      <c r="AL363" s="31">
        <f t="shared" si="30"/>
        <v>0</v>
      </c>
      <c r="AM363" s="31">
        <f t="shared" si="31"/>
        <v>0</v>
      </c>
      <c r="AN363" s="31">
        <f t="shared" si="32"/>
        <v>0</v>
      </c>
      <c r="AP363" s="31">
        <f>VLOOKUP($B363,Kraftvärmeprod!$B$1:$BX$549,MATCH(AP$1,Kraftvärmeprod!$B$1:$BX$1,0),FALSE)</f>
        <v>0</v>
      </c>
      <c r="AQ363" s="31">
        <f>VLOOKUP($B363,Kraftvärmeprod!$B$1:$BX$549,MATCH(AQ$1,Kraftvärmeprod!$B$1:$BX$1,0),FALSE)</f>
        <v>0</v>
      </c>
      <c r="AR363" s="31">
        <f>VLOOKUP($B363,Kraftvärmeprod!$B$1:$BX$549,MATCH("Summa tillförd energi exklusive rökgaskondensering",Kraftvärmeprod!$B$1:$BX$1,0),FALSE)</f>
        <v>0</v>
      </c>
      <c r="AT363" s="32" t="str">
        <f t="shared" si="33"/>
        <v/>
      </c>
      <c r="AV363" s="31">
        <f t="shared" si="34"/>
        <v>0</v>
      </c>
      <c r="AX363" s="31" t="str">
        <f>VLOOKUP(B363,Totalt!$B$1:$BZ$554,MATCH(AX$1,Totalt!$B$1:$BZ$1,0),FALSE)</f>
        <v>Ja</v>
      </c>
      <c r="BA363" s="32" t="str">
        <f t="shared" si="35"/>
        <v/>
      </c>
    </row>
    <row r="364" spans="1:53" x14ac:dyDescent="0.45">
      <c r="A364" s="31" t="s">
        <v>48</v>
      </c>
      <c r="B364" s="31" t="s">
        <v>209</v>
      </c>
      <c r="J364" s="31">
        <v>0</v>
      </c>
      <c r="K364" s="31">
        <v>0.162721</v>
      </c>
      <c r="L364" s="31">
        <v>0</v>
      </c>
      <c r="M364" s="31">
        <v>8.3937399999999995E-2</v>
      </c>
      <c r="N364" s="31">
        <v>0</v>
      </c>
      <c r="O364" s="31">
        <v>0</v>
      </c>
      <c r="P364" s="31">
        <v>1.8406499999999999</v>
      </c>
      <c r="Q364" s="31">
        <v>0</v>
      </c>
      <c r="R364" s="31">
        <v>0.21554000000000001</v>
      </c>
      <c r="S364" s="31">
        <v>0</v>
      </c>
      <c r="T364" s="31">
        <v>0</v>
      </c>
      <c r="U364" s="31">
        <v>0</v>
      </c>
      <c r="W364" s="31">
        <v>0</v>
      </c>
      <c r="X364" s="31">
        <v>0</v>
      </c>
      <c r="Y364" s="31">
        <v>0</v>
      </c>
      <c r="Z364" s="31">
        <v>14.838699999999999</v>
      </c>
      <c r="AA364" s="31">
        <v>0</v>
      </c>
      <c r="AB364" s="31">
        <v>0</v>
      </c>
      <c r="AC364" s="31">
        <v>0</v>
      </c>
      <c r="AD364" s="31">
        <v>0</v>
      </c>
      <c r="AE364" s="31">
        <v>0.80492300000000006</v>
      </c>
      <c r="AF364" s="31">
        <v>0</v>
      </c>
      <c r="AG364" s="31">
        <v>0</v>
      </c>
      <c r="AH364" s="31">
        <v>0</v>
      </c>
      <c r="AI364" s="31">
        <v>2.13279</v>
      </c>
      <c r="AL364" s="31">
        <f t="shared" si="30"/>
        <v>20.079261399999996</v>
      </c>
      <c r="AM364" s="31">
        <f t="shared" si="31"/>
        <v>17.946471399999997</v>
      </c>
      <c r="AN364" s="31">
        <f t="shared" si="32"/>
        <v>17.946471399999997</v>
      </c>
      <c r="AP364" s="31">
        <f>VLOOKUP($B364,Kraftvärmeprod!$B$1:$BX$549,MATCH(AP$1,Kraftvärmeprod!$B$1:$BX$1,0),FALSE)</f>
        <v>19.472999999999999</v>
      </c>
      <c r="AQ364" s="31">
        <f>VLOOKUP($B364,Kraftvärmeprod!$B$1:$BX$549,MATCH(AQ$1,Kraftvärmeprod!$B$1:$BX$1,0),FALSE)</f>
        <v>3.448</v>
      </c>
      <c r="AR364" s="31">
        <f>VLOOKUP($B364,Kraftvärmeprod!$B$1:$BX$549,MATCH("Summa tillförd energi exklusive rökgaskondensering",Kraftvärmeprod!$B$1:$BX$1,0),FALSE)</f>
        <v>26.286999999999999</v>
      </c>
      <c r="AT364" s="32">
        <f t="shared" si="33"/>
        <v>0.68271280100429854</v>
      </c>
      <c r="AV364" s="31">
        <f t="shared" si="34"/>
        <v>16.89489</v>
      </c>
      <c r="AX364" s="31" t="str">
        <f>VLOOKUP(B364,Totalt!$B$1:$BZ$554,MATCH(AX$1,Totalt!$B$1:$BZ$1,0),FALSE)</f>
        <v>Ja</v>
      </c>
      <c r="BA364" s="32">
        <f t="shared" si="35"/>
        <v>0.96980658860290558</v>
      </c>
    </row>
    <row r="365" spans="1:53" x14ac:dyDescent="0.45">
      <c r="A365" s="31" t="s">
        <v>48</v>
      </c>
      <c r="B365" s="31" t="s">
        <v>208</v>
      </c>
      <c r="J365" s="31">
        <v>0</v>
      </c>
      <c r="K365" s="31">
        <v>0</v>
      </c>
      <c r="L365" s="31">
        <v>0</v>
      </c>
      <c r="M365" s="31">
        <v>0</v>
      </c>
      <c r="N365" s="31">
        <v>0</v>
      </c>
      <c r="O365" s="31">
        <v>0</v>
      </c>
      <c r="P365" s="31">
        <v>0</v>
      </c>
      <c r="Q365" s="31">
        <v>0</v>
      </c>
      <c r="R365" s="31">
        <v>0</v>
      </c>
      <c r="S365" s="31">
        <v>0</v>
      </c>
      <c r="T365" s="31">
        <v>0</v>
      </c>
      <c r="U365" s="31">
        <v>0</v>
      </c>
      <c r="W365" s="31">
        <v>0</v>
      </c>
      <c r="X365" s="31">
        <v>0</v>
      </c>
      <c r="Y365" s="31">
        <v>0</v>
      </c>
      <c r="Z365" s="31">
        <v>0</v>
      </c>
      <c r="AA365" s="31">
        <v>0</v>
      </c>
      <c r="AB365" s="31">
        <v>0</v>
      </c>
      <c r="AC365" s="31">
        <v>0</v>
      </c>
      <c r="AD365" s="31">
        <v>0</v>
      </c>
      <c r="AE365" s="31">
        <v>0</v>
      </c>
      <c r="AF365" s="31">
        <v>0</v>
      </c>
      <c r="AG365" s="31">
        <v>0</v>
      </c>
      <c r="AH365" s="31">
        <v>0</v>
      </c>
      <c r="AI365" s="31">
        <v>0</v>
      </c>
      <c r="AL365" s="31">
        <f t="shared" si="30"/>
        <v>0</v>
      </c>
      <c r="AM365" s="31">
        <f t="shared" si="31"/>
        <v>0</v>
      </c>
      <c r="AN365" s="31">
        <f t="shared" si="32"/>
        <v>0</v>
      </c>
      <c r="AP365" s="31">
        <f>VLOOKUP($B365,Kraftvärmeprod!$B$1:$BX$549,MATCH(AP$1,Kraftvärmeprod!$B$1:$BX$1,0),FALSE)</f>
        <v>0</v>
      </c>
      <c r="AQ365" s="31">
        <f>VLOOKUP($B365,Kraftvärmeprod!$B$1:$BX$549,MATCH(AQ$1,Kraftvärmeprod!$B$1:$BX$1,0),FALSE)</f>
        <v>0</v>
      </c>
      <c r="AR365" s="31">
        <f>VLOOKUP($B365,Kraftvärmeprod!$B$1:$BX$549,MATCH("Summa tillförd energi exklusive rökgaskondensering",Kraftvärmeprod!$B$1:$BX$1,0),FALSE)</f>
        <v>0</v>
      </c>
      <c r="AT365" s="32" t="str">
        <f t="shared" si="33"/>
        <v/>
      </c>
      <c r="AV365" s="31">
        <f t="shared" si="34"/>
        <v>0</v>
      </c>
      <c r="AX365" s="31" t="str">
        <f>VLOOKUP(B365,Totalt!$B$1:$BZ$554,MATCH(AX$1,Totalt!$B$1:$BZ$1,0),FALSE)</f>
        <v>Ja</v>
      </c>
      <c r="BA365" s="32" t="str">
        <f t="shared" si="35"/>
        <v/>
      </c>
    </row>
    <row r="366" spans="1:53" x14ac:dyDescent="0.45">
      <c r="A366" s="31" t="s">
        <v>48</v>
      </c>
      <c r="B366" s="31" t="s">
        <v>207</v>
      </c>
      <c r="J366" s="31">
        <v>0</v>
      </c>
      <c r="K366" s="31">
        <v>0</v>
      </c>
      <c r="L366" s="31">
        <v>0</v>
      </c>
      <c r="M366" s="31">
        <v>0</v>
      </c>
      <c r="N366" s="31">
        <v>0</v>
      </c>
      <c r="O366" s="31">
        <v>0</v>
      </c>
      <c r="P366" s="31">
        <v>0</v>
      </c>
      <c r="Q366" s="31">
        <v>0</v>
      </c>
      <c r="R366" s="31">
        <v>0</v>
      </c>
      <c r="S366" s="31">
        <v>0</v>
      </c>
      <c r="T366" s="31">
        <v>0</v>
      </c>
      <c r="U366" s="31">
        <v>0</v>
      </c>
      <c r="W366" s="31">
        <v>0</v>
      </c>
      <c r="X366" s="31">
        <v>0</v>
      </c>
      <c r="Y366" s="31">
        <v>0</v>
      </c>
      <c r="Z366" s="31">
        <v>0</v>
      </c>
      <c r="AA366" s="31">
        <v>0</v>
      </c>
      <c r="AB366" s="31">
        <v>0</v>
      </c>
      <c r="AC366" s="31">
        <v>0</v>
      </c>
      <c r="AD366" s="31">
        <v>0</v>
      </c>
      <c r="AE366" s="31">
        <v>0</v>
      </c>
      <c r="AF366" s="31">
        <v>0</v>
      </c>
      <c r="AG366" s="31">
        <v>0</v>
      </c>
      <c r="AH366" s="31">
        <v>0</v>
      </c>
      <c r="AI366" s="31">
        <v>0</v>
      </c>
      <c r="AL366" s="31">
        <f t="shared" si="30"/>
        <v>0</v>
      </c>
      <c r="AM366" s="31">
        <f t="shared" si="31"/>
        <v>0</v>
      </c>
      <c r="AN366" s="31">
        <f t="shared" si="32"/>
        <v>0</v>
      </c>
      <c r="AP366" s="31">
        <f>VLOOKUP($B366,Kraftvärmeprod!$B$1:$BX$549,MATCH(AP$1,Kraftvärmeprod!$B$1:$BX$1,0),FALSE)</f>
        <v>0</v>
      </c>
      <c r="AQ366" s="31">
        <f>VLOOKUP($B366,Kraftvärmeprod!$B$1:$BX$549,MATCH(AQ$1,Kraftvärmeprod!$B$1:$BX$1,0),FALSE)</f>
        <v>0</v>
      </c>
      <c r="AR366" s="31">
        <f>VLOOKUP($B366,Kraftvärmeprod!$B$1:$BX$549,MATCH("Summa tillförd energi exklusive rökgaskondensering",Kraftvärmeprod!$B$1:$BX$1,0),FALSE)</f>
        <v>0</v>
      </c>
      <c r="AT366" s="32" t="str">
        <f t="shared" si="33"/>
        <v/>
      </c>
      <c r="AV366" s="31">
        <f t="shared" si="34"/>
        <v>0</v>
      </c>
      <c r="AX366" s="31" t="str">
        <f>VLOOKUP(B366,Totalt!$B$1:$BZ$554,MATCH(AX$1,Totalt!$B$1:$BZ$1,0),FALSE)</f>
        <v>Ja</v>
      </c>
      <c r="BA366" s="32" t="str">
        <f t="shared" si="35"/>
        <v/>
      </c>
    </row>
    <row r="367" spans="1:53" x14ac:dyDescent="0.45">
      <c r="A367" s="31" t="s">
        <v>48</v>
      </c>
      <c r="B367" s="31" t="s">
        <v>206</v>
      </c>
      <c r="J367" s="31">
        <v>0</v>
      </c>
      <c r="K367" s="31">
        <v>0</v>
      </c>
      <c r="L367" s="31">
        <v>0</v>
      </c>
      <c r="M367" s="31">
        <v>0</v>
      </c>
      <c r="N367" s="31">
        <v>0</v>
      </c>
      <c r="O367" s="31">
        <v>0</v>
      </c>
      <c r="P367" s="31">
        <v>0</v>
      </c>
      <c r="Q367" s="31">
        <v>0</v>
      </c>
      <c r="R367" s="31">
        <v>0</v>
      </c>
      <c r="S367" s="31">
        <v>0</v>
      </c>
      <c r="T367" s="31">
        <v>0</v>
      </c>
      <c r="U367" s="31">
        <v>0</v>
      </c>
      <c r="W367" s="31">
        <v>0</v>
      </c>
      <c r="X367" s="31">
        <v>0</v>
      </c>
      <c r="Y367" s="31">
        <v>0</v>
      </c>
      <c r="Z367" s="31">
        <v>0</v>
      </c>
      <c r="AA367" s="31">
        <v>0</v>
      </c>
      <c r="AB367" s="31">
        <v>0</v>
      </c>
      <c r="AC367" s="31">
        <v>0</v>
      </c>
      <c r="AD367" s="31">
        <v>0</v>
      </c>
      <c r="AE367" s="31">
        <v>0</v>
      </c>
      <c r="AF367" s="31">
        <v>0</v>
      </c>
      <c r="AG367" s="31">
        <v>0</v>
      </c>
      <c r="AH367" s="31">
        <v>0</v>
      </c>
      <c r="AI367" s="31">
        <v>0</v>
      </c>
      <c r="AL367" s="31">
        <f t="shared" si="30"/>
        <v>0</v>
      </c>
      <c r="AM367" s="31">
        <f t="shared" si="31"/>
        <v>0</v>
      </c>
      <c r="AN367" s="31">
        <f t="shared" si="32"/>
        <v>0</v>
      </c>
      <c r="AP367" s="31">
        <f>VLOOKUP($B367,Kraftvärmeprod!$B$1:$BX$549,MATCH(AP$1,Kraftvärmeprod!$B$1:$BX$1,0),FALSE)</f>
        <v>0</v>
      </c>
      <c r="AQ367" s="31">
        <f>VLOOKUP($B367,Kraftvärmeprod!$B$1:$BX$549,MATCH(AQ$1,Kraftvärmeprod!$B$1:$BX$1,0),FALSE)</f>
        <v>0</v>
      </c>
      <c r="AR367" s="31">
        <f>VLOOKUP($B367,Kraftvärmeprod!$B$1:$BX$549,MATCH("Summa tillförd energi exklusive rökgaskondensering",Kraftvärmeprod!$B$1:$BX$1,0),FALSE)</f>
        <v>0</v>
      </c>
      <c r="AT367" s="32" t="str">
        <f t="shared" si="33"/>
        <v/>
      </c>
      <c r="AV367" s="31">
        <f t="shared" si="34"/>
        <v>0</v>
      </c>
      <c r="AX367" s="31" t="str">
        <f>VLOOKUP(B367,Totalt!$B$1:$BZ$554,MATCH(AX$1,Totalt!$B$1:$BZ$1,0),FALSE)</f>
        <v>Ja</v>
      </c>
      <c r="BA367" s="32" t="str">
        <f t="shared" si="35"/>
        <v/>
      </c>
    </row>
    <row r="368" spans="1:53" x14ac:dyDescent="0.45">
      <c r="A368" s="31" t="s">
        <v>48</v>
      </c>
      <c r="B368" s="31" t="s">
        <v>205</v>
      </c>
      <c r="J368" s="31">
        <v>0</v>
      </c>
      <c r="K368" s="31">
        <v>0</v>
      </c>
      <c r="L368" s="31">
        <v>0</v>
      </c>
      <c r="M368" s="31">
        <v>0</v>
      </c>
      <c r="N368" s="31">
        <v>0</v>
      </c>
      <c r="O368" s="31">
        <v>0</v>
      </c>
      <c r="P368" s="31">
        <v>0</v>
      </c>
      <c r="Q368" s="31">
        <v>0</v>
      </c>
      <c r="R368" s="31">
        <v>0</v>
      </c>
      <c r="S368" s="31">
        <v>0</v>
      </c>
      <c r="T368" s="31">
        <v>0</v>
      </c>
      <c r="U368" s="31">
        <v>0</v>
      </c>
      <c r="W368" s="31">
        <v>0</v>
      </c>
      <c r="X368" s="31">
        <v>0</v>
      </c>
      <c r="Y368" s="31">
        <v>0</v>
      </c>
      <c r="Z368" s="31">
        <v>0</v>
      </c>
      <c r="AA368" s="31">
        <v>0</v>
      </c>
      <c r="AB368" s="31">
        <v>0</v>
      </c>
      <c r="AC368" s="31">
        <v>0</v>
      </c>
      <c r="AD368" s="31">
        <v>0</v>
      </c>
      <c r="AE368" s="31">
        <v>0</v>
      </c>
      <c r="AF368" s="31">
        <v>0</v>
      </c>
      <c r="AG368" s="31">
        <v>0</v>
      </c>
      <c r="AH368" s="31">
        <v>0</v>
      </c>
      <c r="AI368" s="31">
        <v>0</v>
      </c>
      <c r="AL368" s="31">
        <f t="shared" si="30"/>
        <v>0</v>
      </c>
      <c r="AM368" s="31">
        <f t="shared" si="31"/>
        <v>0</v>
      </c>
      <c r="AN368" s="31">
        <f t="shared" si="32"/>
        <v>0</v>
      </c>
      <c r="AP368" s="31">
        <f>VLOOKUP($B368,Kraftvärmeprod!$B$1:$BX$549,MATCH(AP$1,Kraftvärmeprod!$B$1:$BX$1,0),FALSE)</f>
        <v>0</v>
      </c>
      <c r="AQ368" s="31">
        <f>VLOOKUP($B368,Kraftvärmeprod!$B$1:$BX$549,MATCH(AQ$1,Kraftvärmeprod!$B$1:$BX$1,0),FALSE)</f>
        <v>0</v>
      </c>
      <c r="AR368" s="31">
        <f>VLOOKUP($B368,Kraftvärmeprod!$B$1:$BX$549,MATCH("Summa tillförd energi exklusive rökgaskondensering",Kraftvärmeprod!$B$1:$BX$1,0),FALSE)</f>
        <v>0</v>
      </c>
      <c r="AT368" s="32" t="str">
        <f t="shared" si="33"/>
        <v/>
      </c>
      <c r="AV368" s="31">
        <f t="shared" si="34"/>
        <v>0</v>
      </c>
      <c r="AX368" s="31" t="str">
        <f>VLOOKUP(B368,Totalt!$B$1:$BZ$554,MATCH(AX$1,Totalt!$B$1:$BZ$1,0),FALSE)</f>
        <v>Ja</v>
      </c>
      <c r="BA368" s="32" t="str">
        <f t="shared" si="35"/>
        <v/>
      </c>
    </row>
    <row r="369" spans="1:53" x14ac:dyDescent="0.45">
      <c r="A369" s="31" t="s">
        <v>48</v>
      </c>
      <c r="B369" s="31" t="s">
        <v>204</v>
      </c>
      <c r="J369" s="31">
        <v>0</v>
      </c>
      <c r="K369" s="31">
        <v>0</v>
      </c>
      <c r="L369" s="31">
        <v>0</v>
      </c>
      <c r="M369" s="31">
        <v>0</v>
      </c>
      <c r="N369" s="31">
        <v>0</v>
      </c>
      <c r="O369" s="31">
        <v>0</v>
      </c>
      <c r="P369" s="31">
        <v>0</v>
      </c>
      <c r="Q369" s="31">
        <v>0</v>
      </c>
      <c r="R369" s="31">
        <v>0</v>
      </c>
      <c r="S369" s="31">
        <v>0</v>
      </c>
      <c r="T369" s="31">
        <v>0</v>
      </c>
      <c r="U369" s="31">
        <v>0</v>
      </c>
      <c r="W369" s="31">
        <v>0</v>
      </c>
      <c r="X369" s="31">
        <v>0</v>
      </c>
      <c r="Y369" s="31">
        <v>0</v>
      </c>
      <c r="Z369" s="31">
        <v>0</v>
      </c>
      <c r="AA369" s="31">
        <v>0</v>
      </c>
      <c r="AB369" s="31">
        <v>0</v>
      </c>
      <c r="AC369" s="31">
        <v>0</v>
      </c>
      <c r="AD369" s="31">
        <v>0</v>
      </c>
      <c r="AE369" s="31">
        <v>0</v>
      </c>
      <c r="AF369" s="31">
        <v>0</v>
      </c>
      <c r="AG369" s="31">
        <v>0</v>
      </c>
      <c r="AH369" s="31">
        <v>0</v>
      </c>
      <c r="AI369" s="31">
        <v>0</v>
      </c>
      <c r="AL369" s="31">
        <f t="shared" si="30"/>
        <v>0</v>
      </c>
      <c r="AM369" s="31">
        <f t="shared" si="31"/>
        <v>0</v>
      </c>
      <c r="AN369" s="31">
        <f t="shared" si="32"/>
        <v>0</v>
      </c>
      <c r="AP369" s="31">
        <f>VLOOKUP($B369,Kraftvärmeprod!$B$1:$BX$549,MATCH(AP$1,Kraftvärmeprod!$B$1:$BX$1,0),FALSE)</f>
        <v>0</v>
      </c>
      <c r="AQ369" s="31">
        <f>VLOOKUP($B369,Kraftvärmeprod!$B$1:$BX$549,MATCH(AQ$1,Kraftvärmeprod!$B$1:$BX$1,0),FALSE)</f>
        <v>0</v>
      </c>
      <c r="AR369" s="31">
        <f>VLOOKUP($B369,Kraftvärmeprod!$B$1:$BX$549,MATCH("Summa tillförd energi exklusive rökgaskondensering",Kraftvärmeprod!$B$1:$BX$1,0),FALSE)</f>
        <v>0</v>
      </c>
      <c r="AT369" s="32" t="str">
        <f t="shared" si="33"/>
        <v/>
      </c>
      <c r="AV369" s="31">
        <f t="shared" si="34"/>
        <v>0</v>
      </c>
      <c r="AX369" s="31" t="str">
        <f>VLOOKUP(B369,Totalt!$B$1:$BZ$554,MATCH(AX$1,Totalt!$B$1:$BZ$1,0),FALSE)</f>
        <v>Nej</v>
      </c>
      <c r="BA369" s="32" t="str">
        <f t="shared" si="35"/>
        <v/>
      </c>
    </row>
    <row r="370" spans="1:53" x14ac:dyDescent="0.45">
      <c r="A370" s="31" t="s">
        <v>197</v>
      </c>
      <c r="B370" s="31" t="s">
        <v>198</v>
      </c>
      <c r="J370" s="31">
        <v>0</v>
      </c>
      <c r="K370" s="31">
        <v>0</v>
      </c>
      <c r="L370" s="31">
        <v>0</v>
      </c>
      <c r="M370" s="31">
        <v>0</v>
      </c>
      <c r="N370" s="31">
        <v>0</v>
      </c>
      <c r="O370" s="31">
        <v>0</v>
      </c>
      <c r="P370" s="31">
        <v>0</v>
      </c>
      <c r="Q370" s="31">
        <v>0</v>
      </c>
      <c r="R370" s="31">
        <v>0</v>
      </c>
      <c r="S370" s="31">
        <v>0</v>
      </c>
      <c r="T370" s="31">
        <v>0</v>
      </c>
      <c r="U370" s="31">
        <v>0</v>
      </c>
      <c r="W370" s="31">
        <v>0</v>
      </c>
      <c r="X370" s="31">
        <v>0</v>
      </c>
      <c r="Y370" s="31">
        <v>0</v>
      </c>
      <c r="Z370" s="31">
        <v>0</v>
      </c>
      <c r="AA370" s="31">
        <v>0</v>
      </c>
      <c r="AB370" s="31">
        <v>0</v>
      </c>
      <c r="AC370" s="31">
        <v>0</v>
      </c>
      <c r="AD370" s="31">
        <v>0</v>
      </c>
      <c r="AE370" s="31">
        <v>0</v>
      </c>
      <c r="AF370" s="31">
        <v>0</v>
      </c>
      <c r="AG370" s="31">
        <v>0</v>
      </c>
      <c r="AH370" s="31">
        <v>0</v>
      </c>
      <c r="AI370" s="31">
        <v>0</v>
      </c>
      <c r="AL370" s="31">
        <f t="shared" si="30"/>
        <v>0</v>
      </c>
      <c r="AM370" s="31">
        <f t="shared" si="31"/>
        <v>0</v>
      </c>
      <c r="AN370" s="31">
        <f t="shared" si="32"/>
        <v>0</v>
      </c>
      <c r="AP370" s="31">
        <f>VLOOKUP($B370,Kraftvärmeprod!$B$1:$BX$549,MATCH(AP$1,Kraftvärmeprod!$B$1:$BX$1,0),FALSE)</f>
        <v>0</v>
      </c>
      <c r="AQ370" s="31">
        <f>VLOOKUP($B370,Kraftvärmeprod!$B$1:$BX$549,MATCH(AQ$1,Kraftvärmeprod!$B$1:$BX$1,0),FALSE)</f>
        <v>0</v>
      </c>
      <c r="AR370" s="31">
        <f>VLOOKUP($B370,Kraftvärmeprod!$B$1:$BX$549,MATCH("Summa tillförd energi exklusive rökgaskondensering",Kraftvärmeprod!$B$1:$BX$1,0),FALSE)</f>
        <v>0</v>
      </c>
      <c r="AT370" s="32" t="str">
        <f t="shared" si="33"/>
        <v/>
      </c>
      <c r="AV370" s="31">
        <f t="shared" si="34"/>
        <v>0</v>
      </c>
      <c r="AX370" s="31" t="str">
        <f>VLOOKUP(B370,Totalt!$B$1:$BZ$554,MATCH(AX$1,Totalt!$B$1:$BZ$1,0),FALSE)</f>
        <v>Ja</v>
      </c>
      <c r="BA370" s="32" t="str">
        <f t="shared" si="35"/>
        <v/>
      </c>
    </row>
    <row r="371" spans="1:53" x14ac:dyDescent="0.45">
      <c r="A371" s="31" t="s">
        <v>197</v>
      </c>
      <c r="B371" s="31" t="s">
        <v>196</v>
      </c>
      <c r="J371" s="31">
        <v>0</v>
      </c>
      <c r="K371" s="31">
        <v>0</v>
      </c>
      <c r="L371" s="31">
        <v>0</v>
      </c>
      <c r="M371" s="31">
        <v>0</v>
      </c>
      <c r="N371" s="31">
        <v>0</v>
      </c>
      <c r="O371" s="31">
        <v>0</v>
      </c>
      <c r="P371" s="31">
        <v>28.6112</v>
      </c>
      <c r="Q371" s="31">
        <v>16.947099999999999</v>
      </c>
      <c r="R371" s="31">
        <v>11.076700000000001</v>
      </c>
      <c r="S371" s="31">
        <v>0</v>
      </c>
      <c r="T371" s="31">
        <v>0</v>
      </c>
      <c r="U371" s="31">
        <v>0</v>
      </c>
      <c r="W371" s="31">
        <v>0</v>
      </c>
      <c r="X371" s="31">
        <v>0</v>
      </c>
      <c r="Y371" s="31">
        <v>0</v>
      </c>
      <c r="Z371" s="31">
        <v>0</v>
      </c>
      <c r="AA371" s="31">
        <v>0</v>
      </c>
      <c r="AB371" s="31">
        <v>0</v>
      </c>
      <c r="AC371" s="31">
        <v>0</v>
      </c>
      <c r="AD371" s="31">
        <v>0</v>
      </c>
      <c r="AE371" s="31">
        <v>0</v>
      </c>
      <c r="AF371" s="31">
        <v>0</v>
      </c>
      <c r="AG371" s="31">
        <v>0</v>
      </c>
      <c r="AH371" s="31">
        <v>17.222999999999999</v>
      </c>
      <c r="AI371" s="31">
        <v>0</v>
      </c>
      <c r="AL371" s="31">
        <f t="shared" si="30"/>
        <v>73.858000000000004</v>
      </c>
      <c r="AM371" s="31">
        <f t="shared" si="31"/>
        <v>73.858000000000004</v>
      </c>
      <c r="AN371" s="31">
        <f t="shared" si="32"/>
        <v>56.635000000000005</v>
      </c>
      <c r="AP371" s="31">
        <f>VLOOKUP($B371,Kraftvärmeprod!$B$1:$BX$549,MATCH(AP$1,Kraftvärmeprod!$B$1:$BX$1,0),FALSE)</f>
        <v>63.533999999999999</v>
      </c>
      <c r="AQ371" s="31">
        <f>VLOOKUP($B371,Kraftvärmeprod!$B$1:$BX$549,MATCH(AQ$1,Kraftvärmeprod!$B$1:$BX$1,0),FALSE)</f>
        <v>14.43</v>
      </c>
      <c r="AR371" s="31">
        <f>VLOOKUP($B371,Kraftvärmeprod!$B$1:$BX$549,MATCH("Summa tillförd energi exklusive rökgaskondensering",Kraftvärmeprod!$B$1:$BX$1,0),FALSE)</f>
        <v>90.156999999999996</v>
      </c>
      <c r="AT371" s="32">
        <f t="shared" si="33"/>
        <v>0.62818194926628002</v>
      </c>
      <c r="AV371" s="31">
        <f t="shared" si="34"/>
        <v>56.635000000000005</v>
      </c>
      <c r="AX371" s="31" t="str">
        <f>VLOOKUP(B371,Totalt!$B$1:$BZ$554,MATCH(AX$1,Totalt!$B$1:$BZ$1,0),FALSE)</f>
        <v>Ja</v>
      </c>
      <c r="BA371" s="32">
        <f t="shared" si="35"/>
        <v>1.1218151319855212</v>
      </c>
    </row>
    <row r="372" spans="1:53" x14ac:dyDescent="0.45">
      <c r="A372" s="31" t="s">
        <v>197</v>
      </c>
      <c r="B372" s="31" t="s">
        <v>199</v>
      </c>
      <c r="J372" s="31">
        <v>0</v>
      </c>
      <c r="K372" s="31">
        <v>0</v>
      </c>
      <c r="L372" s="31">
        <v>0</v>
      </c>
      <c r="M372" s="31">
        <v>0</v>
      </c>
      <c r="N372" s="31">
        <v>0</v>
      </c>
      <c r="O372" s="31">
        <v>0</v>
      </c>
      <c r="P372" s="31">
        <v>0</v>
      </c>
      <c r="Q372" s="31">
        <v>0</v>
      </c>
      <c r="R372" s="31">
        <v>0</v>
      </c>
      <c r="S372" s="31">
        <v>0</v>
      </c>
      <c r="T372" s="31">
        <v>0</v>
      </c>
      <c r="U372" s="31">
        <v>0</v>
      </c>
      <c r="W372" s="31">
        <v>0</v>
      </c>
      <c r="X372" s="31">
        <v>0</v>
      </c>
      <c r="Y372" s="31">
        <v>0</v>
      </c>
      <c r="Z372" s="31">
        <v>0</v>
      </c>
      <c r="AA372" s="31">
        <v>0</v>
      </c>
      <c r="AB372" s="31">
        <v>0</v>
      </c>
      <c r="AC372" s="31">
        <v>0</v>
      </c>
      <c r="AD372" s="31">
        <v>0</v>
      </c>
      <c r="AE372" s="31">
        <v>0</v>
      </c>
      <c r="AF372" s="31">
        <v>0</v>
      </c>
      <c r="AG372" s="31">
        <v>0</v>
      </c>
      <c r="AH372" s="31">
        <v>0</v>
      </c>
      <c r="AI372" s="31">
        <v>0</v>
      </c>
      <c r="AL372" s="31">
        <f t="shared" si="30"/>
        <v>0</v>
      </c>
      <c r="AM372" s="31">
        <f t="shared" si="31"/>
        <v>0</v>
      </c>
      <c r="AN372" s="31">
        <f t="shared" si="32"/>
        <v>0</v>
      </c>
      <c r="AP372" s="31">
        <f>VLOOKUP($B372,Kraftvärmeprod!$B$1:$BX$549,MATCH(AP$1,Kraftvärmeprod!$B$1:$BX$1,0),FALSE)</f>
        <v>0</v>
      </c>
      <c r="AQ372" s="31">
        <f>VLOOKUP($B372,Kraftvärmeprod!$B$1:$BX$549,MATCH(AQ$1,Kraftvärmeprod!$B$1:$BX$1,0),FALSE)</f>
        <v>0</v>
      </c>
      <c r="AR372" s="31">
        <f>VLOOKUP($B372,Kraftvärmeprod!$B$1:$BX$549,MATCH("Summa tillförd energi exklusive rökgaskondensering",Kraftvärmeprod!$B$1:$BX$1,0),FALSE)</f>
        <v>0</v>
      </c>
      <c r="AT372" s="32" t="str">
        <f t="shared" si="33"/>
        <v/>
      </c>
      <c r="AV372" s="31">
        <f t="shared" si="34"/>
        <v>0</v>
      </c>
      <c r="AX372" s="31" t="str">
        <f>VLOOKUP(B372,Totalt!$B$1:$BZ$554,MATCH(AX$1,Totalt!$B$1:$BZ$1,0),FALSE)</f>
        <v>Ja</v>
      </c>
      <c r="BA372" s="32" t="str">
        <f t="shared" si="35"/>
        <v/>
      </c>
    </row>
    <row r="373" spans="1:53" x14ac:dyDescent="0.45">
      <c r="A373" s="31" t="s">
        <v>197</v>
      </c>
      <c r="B373" s="31" t="s">
        <v>202</v>
      </c>
      <c r="J373" s="31">
        <v>0</v>
      </c>
      <c r="K373" s="31">
        <v>0</v>
      </c>
      <c r="L373" s="31">
        <v>0</v>
      </c>
      <c r="M373" s="31">
        <v>0</v>
      </c>
      <c r="N373" s="31">
        <v>0</v>
      </c>
      <c r="O373" s="31">
        <v>0</v>
      </c>
      <c r="P373" s="31">
        <v>0</v>
      </c>
      <c r="Q373" s="31">
        <v>0</v>
      </c>
      <c r="R373" s="31">
        <v>0</v>
      </c>
      <c r="S373" s="31">
        <v>0</v>
      </c>
      <c r="T373" s="31">
        <v>0</v>
      </c>
      <c r="U373" s="31">
        <v>0</v>
      </c>
      <c r="W373" s="31">
        <v>0</v>
      </c>
      <c r="X373" s="31">
        <v>0</v>
      </c>
      <c r="Y373" s="31">
        <v>0</v>
      </c>
      <c r="Z373" s="31">
        <v>0</v>
      </c>
      <c r="AA373" s="31">
        <v>0</v>
      </c>
      <c r="AB373" s="31">
        <v>0</v>
      </c>
      <c r="AC373" s="31">
        <v>0</v>
      </c>
      <c r="AD373" s="31">
        <v>0</v>
      </c>
      <c r="AE373" s="31">
        <v>0</v>
      </c>
      <c r="AF373" s="31">
        <v>0</v>
      </c>
      <c r="AG373" s="31">
        <v>0</v>
      </c>
      <c r="AH373" s="31">
        <v>0</v>
      </c>
      <c r="AI373" s="31">
        <v>0</v>
      </c>
      <c r="AL373" s="31">
        <f t="shared" si="30"/>
        <v>0</v>
      </c>
      <c r="AM373" s="31">
        <f t="shared" si="31"/>
        <v>0</v>
      </c>
      <c r="AN373" s="31">
        <f t="shared" si="32"/>
        <v>0</v>
      </c>
      <c r="AP373" s="31">
        <f>VLOOKUP($B373,Kraftvärmeprod!$B$1:$BX$549,MATCH(AP$1,Kraftvärmeprod!$B$1:$BX$1,0),FALSE)</f>
        <v>0</v>
      </c>
      <c r="AQ373" s="31">
        <f>VLOOKUP($B373,Kraftvärmeprod!$B$1:$BX$549,MATCH(AQ$1,Kraftvärmeprod!$B$1:$BX$1,0),FALSE)</f>
        <v>0</v>
      </c>
      <c r="AR373" s="31">
        <f>VLOOKUP($B373,Kraftvärmeprod!$B$1:$BX$549,MATCH("Summa tillförd energi exklusive rökgaskondensering",Kraftvärmeprod!$B$1:$BX$1,0),FALSE)</f>
        <v>0</v>
      </c>
      <c r="AT373" s="32" t="str">
        <f t="shared" si="33"/>
        <v/>
      </c>
      <c r="AV373" s="31">
        <f t="shared" si="34"/>
        <v>0</v>
      </c>
      <c r="AX373" s="31" t="str">
        <f>VLOOKUP(B373,Totalt!$B$1:$BZ$554,MATCH(AX$1,Totalt!$B$1:$BZ$1,0),FALSE)</f>
        <v>Ja</v>
      </c>
      <c r="BA373" s="32" t="str">
        <f t="shared" si="35"/>
        <v/>
      </c>
    </row>
    <row r="374" spans="1:53" x14ac:dyDescent="0.45">
      <c r="A374" s="31" t="s">
        <v>197</v>
      </c>
      <c r="B374" s="31" t="s">
        <v>201</v>
      </c>
      <c r="J374" s="31">
        <v>0</v>
      </c>
      <c r="K374" s="31">
        <v>0</v>
      </c>
      <c r="L374" s="31">
        <v>0</v>
      </c>
      <c r="M374" s="31">
        <v>0</v>
      </c>
      <c r="N374" s="31">
        <v>0</v>
      </c>
      <c r="O374" s="31">
        <v>0</v>
      </c>
      <c r="P374" s="31">
        <v>0</v>
      </c>
      <c r="Q374" s="31">
        <v>0</v>
      </c>
      <c r="R374" s="31">
        <v>0</v>
      </c>
      <c r="S374" s="31">
        <v>0</v>
      </c>
      <c r="T374" s="31">
        <v>0</v>
      </c>
      <c r="U374" s="31">
        <v>0</v>
      </c>
      <c r="W374" s="31">
        <v>0</v>
      </c>
      <c r="X374" s="31">
        <v>0</v>
      </c>
      <c r="Y374" s="31">
        <v>0</v>
      </c>
      <c r="Z374" s="31">
        <v>0</v>
      </c>
      <c r="AA374" s="31">
        <v>0</v>
      </c>
      <c r="AB374" s="31">
        <v>0</v>
      </c>
      <c r="AC374" s="31">
        <v>0</v>
      </c>
      <c r="AD374" s="31">
        <v>0</v>
      </c>
      <c r="AE374" s="31">
        <v>0</v>
      </c>
      <c r="AF374" s="31">
        <v>0</v>
      </c>
      <c r="AG374" s="31">
        <v>0</v>
      </c>
      <c r="AH374" s="31">
        <v>0</v>
      </c>
      <c r="AI374" s="31">
        <v>0</v>
      </c>
      <c r="AL374" s="31">
        <f t="shared" si="30"/>
        <v>0</v>
      </c>
      <c r="AM374" s="31">
        <f t="shared" si="31"/>
        <v>0</v>
      </c>
      <c r="AN374" s="31">
        <f t="shared" si="32"/>
        <v>0</v>
      </c>
      <c r="AP374" s="31">
        <f>VLOOKUP($B374,Kraftvärmeprod!$B$1:$BX$549,MATCH(AP$1,Kraftvärmeprod!$B$1:$BX$1,0),FALSE)</f>
        <v>0</v>
      </c>
      <c r="AQ374" s="31">
        <f>VLOOKUP($B374,Kraftvärmeprod!$B$1:$BX$549,MATCH(AQ$1,Kraftvärmeprod!$B$1:$BX$1,0),FALSE)</f>
        <v>0</v>
      </c>
      <c r="AR374" s="31">
        <f>VLOOKUP($B374,Kraftvärmeprod!$B$1:$BX$549,MATCH("Summa tillförd energi exklusive rökgaskondensering",Kraftvärmeprod!$B$1:$BX$1,0),FALSE)</f>
        <v>0</v>
      </c>
      <c r="AT374" s="32" t="str">
        <f t="shared" si="33"/>
        <v/>
      </c>
      <c r="AV374" s="31">
        <f t="shared" si="34"/>
        <v>0</v>
      </c>
      <c r="AX374" s="31" t="str">
        <f>VLOOKUP(B374,Totalt!$B$1:$BZ$554,MATCH(AX$1,Totalt!$B$1:$BZ$1,0),FALSE)</f>
        <v>Ja</v>
      </c>
      <c r="BA374" s="32" t="str">
        <f t="shared" si="35"/>
        <v/>
      </c>
    </row>
    <row r="375" spans="1:53" x14ac:dyDescent="0.45">
      <c r="A375" s="31" t="s">
        <v>197</v>
      </c>
      <c r="B375" s="31" t="s">
        <v>203</v>
      </c>
      <c r="J375" s="31">
        <v>0</v>
      </c>
      <c r="K375" s="31">
        <v>0</v>
      </c>
      <c r="L375" s="31">
        <v>0</v>
      </c>
      <c r="M375" s="31">
        <v>0</v>
      </c>
      <c r="N375" s="31">
        <v>0</v>
      </c>
      <c r="O375" s="31">
        <v>0</v>
      </c>
      <c r="P375" s="31">
        <v>0</v>
      </c>
      <c r="Q375" s="31">
        <v>0</v>
      </c>
      <c r="R375" s="31">
        <v>0</v>
      </c>
      <c r="S375" s="31">
        <v>0</v>
      </c>
      <c r="T375" s="31">
        <v>0</v>
      </c>
      <c r="U375" s="31">
        <v>0</v>
      </c>
      <c r="W375" s="31">
        <v>0</v>
      </c>
      <c r="X375" s="31">
        <v>0</v>
      </c>
      <c r="Y375" s="31">
        <v>0</v>
      </c>
      <c r="Z375" s="31">
        <v>0</v>
      </c>
      <c r="AA375" s="31">
        <v>0</v>
      </c>
      <c r="AB375" s="31">
        <v>0</v>
      </c>
      <c r="AC375" s="31">
        <v>0</v>
      </c>
      <c r="AD375" s="31">
        <v>0</v>
      </c>
      <c r="AE375" s="31">
        <v>0</v>
      </c>
      <c r="AF375" s="31">
        <v>0</v>
      </c>
      <c r="AG375" s="31">
        <v>0</v>
      </c>
      <c r="AH375" s="31">
        <v>0</v>
      </c>
      <c r="AI375" s="31">
        <v>0</v>
      </c>
      <c r="AL375" s="31">
        <f t="shared" si="30"/>
        <v>0</v>
      </c>
      <c r="AM375" s="31">
        <f t="shared" si="31"/>
        <v>0</v>
      </c>
      <c r="AN375" s="31">
        <f t="shared" si="32"/>
        <v>0</v>
      </c>
      <c r="AP375" s="31">
        <f>VLOOKUP($B375,Kraftvärmeprod!$B$1:$BX$549,MATCH(AP$1,Kraftvärmeprod!$B$1:$BX$1,0),FALSE)</f>
        <v>0</v>
      </c>
      <c r="AQ375" s="31">
        <f>VLOOKUP($B375,Kraftvärmeprod!$B$1:$BX$549,MATCH(AQ$1,Kraftvärmeprod!$B$1:$BX$1,0),FALSE)</f>
        <v>0</v>
      </c>
      <c r="AR375" s="31">
        <f>VLOOKUP($B375,Kraftvärmeprod!$B$1:$BX$549,MATCH("Summa tillförd energi exklusive rökgaskondensering",Kraftvärmeprod!$B$1:$BX$1,0),FALSE)</f>
        <v>0</v>
      </c>
      <c r="AT375" s="32" t="str">
        <f t="shared" si="33"/>
        <v/>
      </c>
      <c r="AV375" s="31">
        <f t="shared" si="34"/>
        <v>0</v>
      </c>
      <c r="AX375" s="31" t="str">
        <f>VLOOKUP(B375,Totalt!$B$1:$BZ$554,MATCH(AX$1,Totalt!$B$1:$BZ$1,0),FALSE)</f>
        <v>Ja</v>
      </c>
      <c r="BA375" s="32" t="str">
        <f t="shared" si="35"/>
        <v/>
      </c>
    </row>
    <row r="376" spans="1:53" x14ac:dyDescent="0.45">
      <c r="A376" s="31" t="s">
        <v>191</v>
      </c>
      <c r="B376" s="31" t="s">
        <v>195</v>
      </c>
      <c r="J376" s="31">
        <v>0</v>
      </c>
      <c r="K376" s="31">
        <v>0</v>
      </c>
      <c r="L376" s="31">
        <v>0</v>
      </c>
      <c r="M376" s="31">
        <v>0</v>
      </c>
      <c r="N376" s="31">
        <v>0</v>
      </c>
      <c r="O376" s="31">
        <v>0</v>
      </c>
      <c r="P376" s="31">
        <v>0</v>
      </c>
      <c r="Q376" s="31">
        <v>0</v>
      </c>
      <c r="R376" s="31">
        <v>0</v>
      </c>
      <c r="S376" s="31">
        <v>0</v>
      </c>
      <c r="T376" s="31">
        <v>0</v>
      </c>
      <c r="U376" s="31">
        <v>0</v>
      </c>
      <c r="W376" s="31">
        <v>0</v>
      </c>
      <c r="X376" s="31">
        <v>0</v>
      </c>
      <c r="Y376" s="31">
        <v>0</v>
      </c>
      <c r="Z376" s="31">
        <v>0</v>
      </c>
      <c r="AA376" s="31">
        <v>0</v>
      </c>
      <c r="AB376" s="31">
        <v>0</v>
      </c>
      <c r="AC376" s="31">
        <v>0</v>
      </c>
      <c r="AD376" s="31">
        <v>0</v>
      </c>
      <c r="AE376" s="31">
        <v>0</v>
      </c>
      <c r="AF376" s="31">
        <v>0</v>
      </c>
      <c r="AG376" s="31">
        <v>0</v>
      </c>
      <c r="AH376" s="31">
        <v>0</v>
      </c>
      <c r="AI376" s="31">
        <v>0</v>
      </c>
      <c r="AL376" s="31">
        <f t="shared" si="30"/>
        <v>0</v>
      </c>
      <c r="AM376" s="31">
        <f t="shared" si="31"/>
        <v>0</v>
      </c>
      <c r="AN376" s="31">
        <f t="shared" si="32"/>
        <v>0</v>
      </c>
      <c r="AP376" s="31">
        <f>VLOOKUP($B376,Kraftvärmeprod!$B$1:$BX$549,MATCH(AP$1,Kraftvärmeprod!$B$1:$BX$1,0),FALSE)</f>
        <v>0</v>
      </c>
      <c r="AQ376" s="31">
        <f>VLOOKUP($B376,Kraftvärmeprod!$B$1:$BX$549,MATCH(AQ$1,Kraftvärmeprod!$B$1:$BX$1,0),FALSE)</f>
        <v>0</v>
      </c>
      <c r="AR376" s="31">
        <f>VLOOKUP($B376,Kraftvärmeprod!$B$1:$BX$549,MATCH("Summa tillförd energi exklusive rökgaskondensering",Kraftvärmeprod!$B$1:$BX$1,0),FALSE)</f>
        <v>0</v>
      </c>
      <c r="AT376" s="32" t="str">
        <f t="shared" si="33"/>
        <v/>
      </c>
      <c r="AV376" s="31">
        <f t="shared" si="34"/>
        <v>0</v>
      </c>
      <c r="AX376" s="31" t="str">
        <f>VLOOKUP(B376,Totalt!$B$1:$BZ$554,MATCH(AX$1,Totalt!$B$1:$BZ$1,0),FALSE)</f>
        <v>Ja</v>
      </c>
      <c r="BA376" s="32" t="str">
        <f t="shared" si="35"/>
        <v/>
      </c>
    </row>
    <row r="377" spans="1:53" x14ac:dyDescent="0.45">
      <c r="A377" s="31" t="s">
        <v>191</v>
      </c>
      <c r="B377" s="31" t="s">
        <v>193</v>
      </c>
      <c r="J377" s="31">
        <v>0</v>
      </c>
      <c r="K377" s="31">
        <v>0</v>
      </c>
      <c r="L377" s="31">
        <v>0</v>
      </c>
      <c r="M377" s="31">
        <v>0</v>
      </c>
      <c r="N377" s="31">
        <v>0</v>
      </c>
      <c r="O377" s="31">
        <v>0</v>
      </c>
      <c r="P377" s="31">
        <v>0</v>
      </c>
      <c r="Q377" s="31">
        <v>0</v>
      </c>
      <c r="R377" s="31">
        <v>0</v>
      </c>
      <c r="S377" s="31">
        <v>0</v>
      </c>
      <c r="T377" s="31">
        <v>0</v>
      </c>
      <c r="U377" s="31">
        <v>0</v>
      </c>
      <c r="W377" s="31">
        <v>0</v>
      </c>
      <c r="X377" s="31">
        <v>0</v>
      </c>
      <c r="Y377" s="31">
        <v>0</v>
      </c>
      <c r="Z377" s="31">
        <v>0</v>
      </c>
      <c r="AA377" s="31">
        <v>0</v>
      </c>
      <c r="AB377" s="31">
        <v>0</v>
      </c>
      <c r="AC377" s="31">
        <v>0</v>
      </c>
      <c r="AD377" s="31">
        <v>0</v>
      </c>
      <c r="AE377" s="31">
        <v>0</v>
      </c>
      <c r="AF377" s="31">
        <v>0</v>
      </c>
      <c r="AG377" s="31">
        <v>0</v>
      </c>
      <c r="AH377" s="31">
        <v>0</v>
      </c>
      <c r="AI377" s="31">
        <v>0</v>
      </c>
      <c r="AL377" s="31">
        <f t="shared" si="30"/>
        <v>0</v>
      </c>
      <c r="AM377" s="31">
        <f t="shared" si="31"/>
        <v>0</v>
      </c>
      <c r="AN377" s="31">
        <f t="shared" si="32"/>
        <v>0</v>
      </c>
      <c r="AP377" s="31">
        <f>VLOOKUP($B377,Kraftvärmeprod!$B$1:$BX$549,MATCH(AP$1,Kraftvärmeprod!$B$1:$BX$1,0),FALSE)</f>
        <v>0</v>
      </c>
      <c r="AQ377" s="31">
        <f>VLOOKUP($B377,Kraftvärmeprod!$B$1:$BX$549,MATCH(AQ$1,Kraftvärmeprod!$B$1:$BX$1,0),FALSE)</f>
        <v>0</v>
      </c>
      <c r="AR377" s="31">
        <f>VLOOKUP($B377,Kraftvärmeprod!$B$1:$BX$549,MATCH("Summa tillförd energi exklusive rökgaskondensering",Kraftvärmeprod!$B$1:$BX$1,0),FALSE)</f>
        <v>0</v>
      </c>
      <c r="AT377" s="32" t="str">
        <f t="shared" si="33"/>
        <v/>
      </c>
      <c r="AV377" s="31">
        <f t="shared" si="34"/>
        <v>0</v>
      </c>
      <c r="AX377" s="31" t="str">
        <f>VLOOKUP(B377,Totalt!$B$1:$BZ$554,MATCH(AX$1,Totalt!$B$1:$BZ$1,0),FALSE)</f>
        <v>Ja</v>
      </c>
      <c r="BA377" s="32" t="str">
        <f t="shared" si="35"/>
        <v/>
      </c>
    </row>
    <row r="378" spans="1:53" x14ac:dyDescent="0.45">
      <c r="A378" s="31" t="s">
        <v>191</v>
      </c>
      <c r="B378" s="31" t="s">
        <v>192</v>
      </c>
      <c r="J378" s="31">
        <v>0</v>
      </c>
      <c r="K378" s="31">
        <v>0</v>
      </c>
      <c r="L378" s="31">
        <v>0</v>
      </c>
      <c r="M378" s="31">
        <v>0</v>
      </c>
      <c r="N378" s="31">
        <v>0</v>
      </c>
      <c r="O378" s="31">
        <v>0</v>
      </c>
      <c r="P378" s="31">
        <v>0</v>
      </c>
      <c r="Q378" s="31">
        <v>0</v>
      </c>
      <c r="R378" s="31">
        <v>0</v>
      </c>
      <c r="S378" s="31">
        <v>0</v>
      </c>
      <c r="T378" s="31">
        <v>0</v>
      </c>
      <c r="U378" s="31">
        <v>0</v>
      </c>
      <c r="W378" s="31">
        <v>0</v>
      </c>
      <c r="X378" s="31">
        <v>0</v>
      </c>
      <c r="Y378" s="31">
        <v>0</v>
      </c>
      <c r="Z378" s="31">
        <v>0</v>
      </c>
      <c r="AA378" s="31">
        <v>0</v>
      </c>
      <c r="AB378" s="31">
        <v>0</v>
      </c>
      <c r="AC378" s="31">
        <v>0</v>
      </c>
      <c r="AD378" s="31">
        <v>0</v>
      </c>
      <c r="AE378" s="31">
        <v>0</v>
      </c>
      <c r="AF378" s="31">
        <v>0</v>
      </c>
      <c r="AG378" s="31">
        <v>0</v>
      </c>
      <c r="AH378" s="31">
        <v>0</v>
      </c>
      <c r="AI378" s="31">
        <v>0</v>
      </c>
      <c r="AL378" s="31">
        <f t="shared" si="30"/>
        <v>0</v>
      </c>
      <c r="AM378" s="31">
        <f t="shared" si="31"/>
        <v>0</v>
      </c>
      <c r="AN378" s="31">
        <f t="shared" si="32"/>
        <v>0</v>
      </c>
      <c r="AP378" s="31">
        <f>VLOOKUP($B378,Kraftvärmeprod!$B$1:$BX$549,MATCH(AP$1,Kraftvärmeprod!$B$1:$BX$1,0),FALSE)</f>
        <v>0</v>
      </c>
      <c r="AQ378" s="31">
        <f>VLOOKUP($B378,Kraftvärmeprod!$B$1:$BX$549,MATCH(AQ$1,Kraftvärmeprod!$B$1:$BX$1,0),FALSE)</f>
        <v>0</v>
      </c>
      <c r="AR378" s="31">
        <f>VLOOKUP($B378,Kraftvärmeprod!$B$1:$BX$549,MATCH("Summa tillförd energi exklusive rökgaskondensering",Kraftvärmeprod!$B$1:$BX$1,0),FALSE)</f>
        <v>0</v>
      </c>
      <c r="AT378" s="32" t="str">
        <f t="shared" si="33"/>
        <v/>
      </c>
      <c r="AV378" s="31">
        <f t="shared" si="34"/>
        <v>0</v>
      </c>
      <c r="AX378" s="31" t="str">
        <f>VLOOKUP(B378,Totalt!$B$1:$BZ$554,MATCH(AX$1,Totalt!$B$1:$BZ$1,0),FALSE)</f>
        <v>Ja</v>
      </c>
      <c r="BA378" s="32" t="str">
        <f t="shared" si="35"/>
        <v/>
      </c>
    </row>
    <row r="379" spans="1:53" x14ac:dyDescent="0.45">
      <c r="A379" s="31" t="s">
        <v>191</v>
      </c>
      <c r="B379" s="31" t="s">
        <v>190</v>
      </c>
      <c r="J379" s="31">
        <v>0</v>
      </c>
      <c r="K379" s="31">
        <v>0</v>
      </c>
      <c r="L379" s="31">
        <v>0</v>
      </c>
      <c r="M379" s="31">
        <v>0</v>
      </c>
      <c r="N379" s="31">
        <v>0</v>
      </c>
      <c r="O379" s="31">
        <v>0</v>
      </c>
      <c r="P379" s="31">
        <v>0</v>
      </c>
      <c r="Q379" s="31">
        <v>0</v>
      </c>
      <c r="R379" s="31">
        <v>0</v>
      </c>
      <c r="S379" s="31">
        <v>0</v>
      </c>
      <c r="T379" s="31">
        <v>0</v>
      </c>
      <c r="U379" s="31">
        <v>0</v>
      </c>
      <c r="W379" s="31">
        <v>0</v>
      </c>
      <c r="X379" s="31">
        <v>0</v>
      </c>
      <c r="Y379" s="31">
        <v>0</v>
      </c>
      <c r="Z379" s="31">
        <v>0</v>
      </c>
      <c r="AA379" s="31">
        <v>0</v>
      </c>
      <c r="AB379" s="31">
        <v>0</v>
      </c>
      <c r="AC379" s="31">
        <v>0</v>
      </c>
      <c r="AD379" s="31">
        <v>0</v>
      </c>
      <c r="AE379" s="31">
        <v>0</v>
      </c>
      <c r="AF379" s="31">
        <v>0</v>
      </c>
      <c r="AG379" s="31">
        <v>0</v>
      </c>
      <c r="AH379" s="31">
        <v>0</v>
      </c>
      <c r="AI379" s="31">
        <v>0</v>
      </c>
      <c r="AL379" s="31">
        <f t="shared" si="30"/>
        <v>0</v>
      </c>
      <c r="AM379" s="31">
        <f t="shared" si="31"/>
        <v>0</v>
      </c>
      <c r="AN379" s="31">
        <f t="shared" si="32"/>
        <v>0</v>
      </c>
      <c r="AP379" s="31">
        <f>VLOOKUP($B379,Kraftvärmeprod!$B$1:$BX$549,MATCH(AP$1,Kraftvärmeprod!$B$1:$BX$1,0),FALSE)</f>
        <v>0</v>
      </c>
      <c r="AQ379" s="31">
        <f>VLOOKUP($B379,Kraftvärmeprod!$B$1:$BX$549,MATCH(AQ$1,Kraftvärmeprod!$B$1:$BX$1,0),FALSE)</f>
        <v>0</v>
      </c>
      <c r="AR379" s="31">
        <f>VLOOKUP($B379,Kraftvärmeprod!$B$1:$BX$549,MATCH("Summa tillförd energi exklusive rökgaskondensering",Kraftvärmeprod!$B$1:$BX$1,0),FALSE)</f>
        <v>0</v>
      </c>
      <c r="AT379" s="32" t="str">
        <f t="shared" si="33"/>
        <v/>
      </c>
      <c r="AV379" s="31">
        <f t="shared" si="34"/>
        <v>0</v>
      </c>
      <c r="AX379" s="31" t="str">
        <f>VLOOKUP(B379,Totalt!$B$1:$BZ$554,MATCH(AX$1,Totalt!$B$1:$BZ$1,0),FALSE)</f>
        <v>Ja</v>
      </c>
      <c r="BA379" s="32" t="str">
        <f t="shared" si="35"/>
        <v/>
      </c>
    </row>
    <row r="380" spans="1:53" x14ac:dyDescent="0.45">
      <c r="A380" s="31" t="s">
        <v>187</v>
      </c>
      <c r="B380" s="31" t="s">
        <v>189</v>
      </c>
      <c r="J380" s="31">
        <v>0</v>
      </c>
      <c r="K380" s="31">
        <v>0</v>
      </c>
      <c r="L380" s="31">
        <v>0</v>
      </c>
      <c r="M380" s="31">
        <v>0</v>
      </c>
      <c r="N380" s="31">
        <v>0</v>
      </c>
      <c r="O380" s="31">
        <v>0</v>
      </c>
      <c r="P380" s="31">
        <v>0</v>
      </c>
      <c r="Q380" s="31">
        <v>0</v>
      </c>
      <c r="R380" s="31">
        <v>0</v>
      </c>
      <c r="S380" s="31">
        <v>0</v>
      </c>
      <c r="T380" s="31">
        <v>0</v>
      </c>
      <c r="U380" s="31">
        <v>0</v>
      </c>
      <c r="W380" s="31">
        <v>0</v>
      </c>
      <c r="X380" s="31">
        <v>0</v>
      </c>
      <c r="Y380" s="31">
        <v>0</v>
      </c>
      <c r="Z380" s="31">
        <v>0</v>
      </c>
      <c r="AA380" s="31">
        <v>0</v>
      </c>
      <c r="AB380" s="31">
        <v>0</v>
      </c>
      <c r="AC380" s="31">
        <v>0</v>
      </c>
      <c r="AD380" s="31">
        <v>0</v>
      </c>
      <c r="AE380" s="31">
        <v>0</v>
      </c>
      <c r="AF380" s="31">
        <v>0</v>
      </c>
      <c r="AG380" s="31">
        <v>0</v>
      </c>
      <c r="AH380" s="31">
        <v>0</v>
      </c>
      <c r="AI380" s="31">
        <v>0</v>
      </c>
      <c r="AL380" s="31">
        <f t="shared" si="30"/>
        <v>0</v>
      </c>
      <c r="AM380" s="31">
        <f t="shared" si="31"/>
        <v>0</v>
      </c>
      <c r="AN380" s="31">
        <f t="shared" si="32"/>
        <v>0</v>
      </c>
      <c r="AP380" s="31">
        <f>VLOOKUP($B380,Kraftvärmeprod!$B$1:$BX$549,MATCH(AP$1,Kraftvärmeprod!$B$1:$BX$1,0),FALSE)</f>
        <v>0</v>
      </c>
      <c r="AQ380" s="31">
        <f>VLOOKUP($B380,Kraftvärmeprod!$B$1:$BX$549,MATCH(AQ$1,Kraftvärmeprod!$B$1:$BX$1,0),FALSE)</f>
        <v>0</v>
      </c>
      <c r="AR380" s="31">
        <f>VLOOKUP($B380,Kraftvärmeprod!$B$1:$BX$549,MATCH("Summa tillförd energi exklusive rökgaskondensering",Kraftvärmeprod!$B$1:$BX$1,0),FALSE)</f>
        <v>0</v>
      </c>
      <c r="AT380" s="32" t="str">
        <f t="shared" si="33"/>
        <v/>
      </c>
      <c r="AV380" s="31">
        <f t="shared" si="34"/>
        <v>0</v>
      </c>
      <c r="AX380" s="31" t="str">
        <f>VLOOKUP(B380,Totalt!$B$1:$BZ$554,MATCH(AX$1,Totalt!$B$1:$BZ$1,0),FALSE)</f>
        <v>Ja</v>
      </c>
      <c r="BA380" s="32" t="str">
        <f t="shared" si="35"/>
        <v/>
      </c>
    </row>
    <row r="381" spans="1:53" x14ac:dyDescent="0.45">
      <c r="A381" s="31" t="s">
        <v>187</v>
      </c>
      <c r="B381" s="31" t="s">
        <v>188</v>
      </c>
      <c r="J381" s="31">
        <v>0</v>
      </c>
      <c r="K381" s="31">
        <v>0</v>
      </c>
      <c r="L381" s="31">
        <v>0</v>
      </c>
      <c r="M381" s="31">
        <v>0</v>
      </c>
      <c r="N381" s="31">
        <v>0</v>
      </c>
      <c r="O381" s="31">
        <v>0</v>
      </c>
      <c r="P381" s="31">
        <v>0</v>
      </c>
      <c r="Q381" s="31">
        <v>0</v>
      </c>
      <c r="R381" s="31">
        <v>0</v>
      </c>
      <c r="S381" s="31">
        <v>0</v>
      </c>
      <c r="T381" s="31">
        <v>0</v>
      </c>
      <c r="U381" s="31">
        <v>0</v>
      </c>
      <c r="W381" s="31">
        <v>0</v>
      </c>
      <c r="X381" s="31">
        <v>0</v>
      </c>
      <c r="Y381" s="31">
        <v>0</v>
      </c>
      <c r="Z381" s="31">
        <v>0</v>
      </c>
      <c r="AA381" s="31">
        <v>0</v>
      </c>
      <c r="AB381" s="31">
        <v>0</v>
      </c>
      <c r="AC381" s="31">
        <v>0</v>
      </c>
      <c r="AD381" s="31">
        <v>0</v>
      </c>
      <c r="AE381" s="31">
        <v>0</v>
      </c>
      <c r="AF381" s="31">
        <v>0</v>
      </c>
      <c r="AG381" s="31">
        <v>0</v>
      </c>
      <c r="AH381" s="31">
        <v>0</v>
      </c>
      <c r="AI381" s="31">
        <v>0</v>
      </c>
      <c r="AL381" s="31">
        <f t="shared" si="30"/>
        <v>0</v>
      </c>
      <c r="AM381" s="31">
        <f t="shared" si="31"/>
        <v>0</v>
      </c>
      <c r="AN381" s="31">
        <f t="shared" si="32"/>
        <v>0</v>
      </c>
      <c r="AP381" s="31">
        <f>VLOOKUP($B381,Kraftvärmeprod!$B$1:$BX$549,MATCH(AP$1,Kraftvärmeprod!$B$1:$BX$1,0),FALSE)</f>
        <v>0</v>
      </c>
      <c r="AQ381" s="31">
        <f>VLOOKUP($B381,Kraftvärmeprod!$B$1:$BX$549,MATCH(AQ$1,Kraftvärmeprod!$B$1:$BX$1,0),FALSE)</f>
        <v>0</v>
      </c>
      <c r="AR381" s="31">
        <f>VLOOKUP($B381,Kraftvärmeprod!$B$1:$BX$549,MATCH("Summa tillförd energi exklusive rökgaskondensering",Kraftvärmeprod!$B$1:$BX$1,0),FALSE)</f>
        <v>0</v>
      </c>
      <c r="AT381" s="32" t="str">
        <f t="shared" si="33"/>
        <v/>
      </c>
      <c r="AV381" s="31">
        <f t="shared" si="34"/>
        <v>0</v>
      </c>
      <c r="AX381" s="31" t="str">
        <f>VLOOKUP(B381,Totalt!$B$1:$BZ$554,MATCH(AX$1,Totalt!$B$1:$BZ$1,0),FALSE)</f>
        <v>Ja</v>
      </c>
      <c r="BA381" s="32" t="str">
        <f t="shared" si="35"/>
        <v/>
      </c>
    </row>
    <row r="382" spans="1:53" x14ac:dyDescent="0.45">
      <c r="A382" s="31" t="s">
        <v>187</v>
      </c>
      <c r="B382" s="31" t="s">
        <v>186</v>
      </c>
      <c r="J382" s="31">
        <v>0</v>
      </c>
      <c r="K382" s="31">
        <v>0</v>
      </c>
      <c r="L382" s="31">
        <v>0</v>
      </c>
      <c r="M382" s="31">
        <v>0</v>
      </c>
      <c r="N382" s="31">
        <v>0</v>
      </c>
      <c r="O382" s="31">
        <v>0</v>
      </c>
      <c r="P382" s="31">
        <v>0</v>
      </c>
      <c r="Q382" s="31">
        <v>0</v>
      </c>
      <c r="R382" s="31">
        <v>0</v>
      </c>
      <c r="S382" s="31">
        <v>0</v>
      </c>
      <c r="T382" s="31">
        <v>0</v>
      </c>
      <c r="U382" s="31">
        <v>0</v>
      </c>
      <c r="W382" s="31">
        <v>0</v>
      </c>
      <c r="X382" s="31">
        <v>0</v>
      </c>
      <c r="Y382" s="31">
        <v>0</v>
      </c>
      <c r="Z382" s="31">
        <v>0</v>
      </c>
      <c r="AA382" s="31">
        <v>0</v>
      </c>
      <c r="AB382" s="31">
        <v>0</v>
      </c>
      <c r="AC382" s="31">
        <v>0</v>
      </c>
      <c r="AD382" s="31">
        <v>0</v>
      </c>
      <c r="AE382" s="31">
        <v>72.369799999999998</v>
      </c>
      <c r="AF382" s="31">
        <v>0</v>
      </c>
      <c r="AG382" s="31">
        <v>0</v>
      </c>
      <c r="AH382" s="31">
        <v>10.6</v>
      </c>
      <c r="AI382" s="31">
        <v>4.1143200000000002</v>
      </c>
      <c r="AL382" s="31">
        <f t="shared" si="30"/>
        <v>87.084119999999999</v>
      </c>
      <c r="AM382" s="31">
        <f t="shared" si="31"/>
        <v>82.969799999999992</v>
      </c>
      <c r="AN382" s="31">
        <f t="shared" si="32"/>
        <v>72.369799999999998</v>
      </c>
      <c r="AP382" s="31">
        <f>VLOOKUP($B382,Kraftvärmeprod!$B$1:$BX$549,MATCH(AP$1,Kraftvärmeprod!$B$1:$BX$1,0),FALSE)</f>
        <v>95.174000000000007</v>
      </c>
      <c r="AQ382" s="31">
        <f>VLOOKUP($B382,Kraftvärmeprod!$B$1:$BX$549,MATCH(AQ$1,Kraftvärmeprod!$B$1:$BX$1,0),FALSE)</f>
        <v>19.559000000000001</v>
      </c>
      <c r="AR382" s="31">
        <f>VLOOKUP($B382,Kraftvärmeprod!$B$1:$BX$549,MATCH("Summa tillförd energi exklusive rökgaskondensering",Kraftvärmeprod!$B$1:$BX$1,0),FALSE)</f>
        <v>119.962</v>
      </c>
      <c r="AT382" s="32">
        <f t="shared" si="33"/>
        <v>0.60327270302262381</v>
      </c>
      <c r="AV382" s="31">
        <f t="shared" si="34"/>
        <v>0</v>
      </c>
      <c r="AX382" s="31" t="str">
        <f>VLOOKUP(B382,Totalt!$B$1:$BZ$554,MATCH(AX$1,Totalt!$B$1:$BZ$1,0),FALSE)</f>
        <v>Ja</v>
      </c>
      <c r="BA382" s="32">
        <f t="shared" si="35"/>
        <v>1.2443628821250738</v>
      </c>
    </row>
    <row r="383" spans="1:53" x14ac:dyDescent="0.45">
      <c r="A383" s="31" t="s">
        <v>182</v>
      </c>
      <c r="B383" s="31" t="s">
        <v>184</v>
      </c>
      <c r="J383" s="31">
        <v>0</v>
      </c>
      <c r="K383" s="31">
        <v>0</v>
      </c>
      <c r="L383" s="31">
        <v>0</v>
      </c>
      <c r="M383" s="31">
        <v>0</v>
      </c>
      <c r="N383" s="31">
        <v>0</v>
      </c>
      <c r="O383" s="31">
        <v>0</v>
      </c>
      <c r="P383" s="31">
        <v>0</v>
      </c>
      <c r="Q383" s="31">
        <v>0</v>
      </c>
      <c r="R383" s="31">
        <v>0</v>
      </c>
      <c r="S383" s="31">
        <v>0</v>
      </c>
      <c r="T383" s="31">
        <v>0</v>
      </c>
      <c r="U383" s="31">
        <v>0</v>
      </c>
      <c r="W383" s="31">
        <v>0</v>
      </c>
      <c r="X383" s="31">
        <v>0</v>
      </c>
      <c r="Y383" s="31">
        <v>0</v>
      </c>
      <c r="Z383" s="31">
        <v>0</v>
      </c>
      <c r="AA383" s="31">
        <v>0</v>
      </c>
      <c r="AB383" s="31">
        <v>0</v>
      </c>
      <c r="AC383" s="31">
        <v>0</v>
      </c>
      <c r="AD383" s="31">
        <v>0</v>
      </c>
      <c r="AE383" s="31">
        <v>0</v>
      </c>
      <c r="AF383" s="31">
        <v>0</v>
      </c>
      <c r="AG383" s="31">
        <v>0</v>
      </c>
      <c r="AH383" s="31">
        <v>0</v>
      </c>
      <c r="AI383" s="31">
        <v>0</v>
      </c>
      <c r="AL383" s="31">
        <f t="shared" si="30"/>
        <v>0</v>
      </c>
      <c r="AM383" s="31">
        <f t="shared" si="31"/>
        <v>0</v>
      </c>
      <c r="AN383" s="31">
        <f t="shared" si="32"/>
        <v>0</v>
      </c>
      <c r="AP383" s="31">
        <f>VLOOKUP($B383,Kraftvärmeprod!$B$1:$BX$549,MATCH(AP$1,Kraftvärmeprod!$B$1:$BX$1,0),FALSE)</f>
        <v>0</v>
      </c>
      <c r="AQ383" s="31">
        <f>VLOOKUP($B383,Kraftvärmeprod!$B$1:$BX$549,MATCH(AQ$1,Kraftvärmeprod!$B$1:$BX$1,0),FALSE)</f>
        <v>0</v>
      </c>
      <c r="AR383" s="31">
        <f>VLOOKUP($B383,Kraftvärmeprod!$B$1:$BX$549,MATCH("Summa tillförd energi exklusive rökgaskondensering",Kraftvärmeprod!$B$1:$BX$1,0),FALSE)</f>
        <v>0</v>
      </c>
      <c r="AT383" s="32" t="str">
        <f t="shared" si="33"/>
        <v/>
      </c>
      <c r="AV383" s="31">
        <f t="shared" si="34"/>
        <v>0</v>
      </c>
      <c r="AX383" s="31" t="str">
        <f>VLOOKUP(B383,Totalt!$B$1:$BZ$554,MATCH(AX$1,Totalt!$B$1:$BZ$1,0),FALSE)</f>
        <v>Nej</v>
      </c>
      <c r="BA383" s="32" t="str">
        <f t="shared" si="35"/>
        <v/>
      </c>
    </row>
    <row r="384" spans="1:53" x14ac:dyDescent="0.45">
      <c r="A384" s="31" t="s">
        <v>182</v>
      </c>
      <c r="B384" s="31" t="s">
        <v>181</v>
      </c>
      <c r="J384" s="31">
        <v>0</v>
      </c>
      <c r="K384" s="31">
        <v>0</v>
      </c>
      <c r="L384" s="31">
        <v>0</v>
      </c>
      <c r="M384" s="31">
        <v>0</v>
      </c>
      <c r="N384" s="31">
        <v>0</v>
      </c>
      <c r="O384" s="31">
        <v>0</v>
      </c>
      <c r="P384" s="31">
        <v>0</v>
      </c>
      <c r="Q384" s="31">
        <v>0</v>
      </c>
      <c r="R384" s="31">
        <v>0</v>
      </c>
      <c r="S384" s="31">
        <v>0</v>
      </c>
      <c r="T384" s="31">
        <v>0</v>
      </c>
      <c r="U384" s="31">
        <v>0</v>
      </c>
      <c r="W384" s="31">
        <v>0</v>
      </c>
      <c r="X384" s="31">
        <v>0</v>
      </c>
      <c r="Y384" s="31">
        <v>0</v>
      </c>
      <c r="Z384" s="31">
        <v>0</v>
      </c>
      <c r="AA384" s="31">
        <v>0</v>
      </c>
      <c r="AB384" s="31">
        <v>0</v>
      </c>
      <c r="AC384" s="31">
        <v>0</v>
      </c>
      <c r="AD384" s="31">
        <v>0</v>
      </c>
      <c r="AE384" s="31">
        <v>0</v>
      </c>
      <c r="AF384" s="31">
        <v>0</v>
      </c>
      <c r="AG384" s="31">
        <v>0</v>
      </c>
      <c r="AH384" s="31">
        <v>0</v>
      </c>
      <c r="AI384" s="31">
        <v>0</v>
      </c>
      <c r="AL384" s="31">
        <f t="shared" si="30"/>
        <v>0</v>
      </c>
      <c r="AM384" s="31">
        <f t="shared" si="31"/>
        <v>0</v>
      </c>
      <c r="AN384" s="31">
        <f t="shared" si="32"/>
        <v>0</v>
      </c>
      <c r="AP384" s="31">
        <f>VLOOKUP($B384,Kraftvärmeprod!$B$1:$BX$549,MATCH(AP$1,Kraftvärmeprod!$B$1:$BX$1,0),FALSE)</f>
        <v>0</v>
      </c>
      <c r="AQ384" s="31">
        <f>VLOOKUP($B384,Kraftvärmeprod!$B$1:$BX$549,MATCH(AQ$1,Kraftvärmeprod!$B$1:$BX$1,0),FALSE)</f>
        <v>0</v>
      </c>
      <c r="AR384" s="31">
        <f>VLOOKUP($B384,Kraftvärmeprod!$B$1:$BX$549,MATCH("Summa tillförd energi exklusive rökgaskondensering",Kraftvärmeprod!$B$1:$BX$1,0),FALSE)</f>
        <v>0</v>
      </c>
      <c r="AT384" s="32" t="str">
        <f t="shared" si="33"/>
        <v/>
      </c>
      <c r="AV384" s="31">
        <f t="shared" si="34"/>
        <v>0</v>
      </c>
      <c r="AX384" s="31" t="str">
        <f>VLOOKUP(B384,Totalt!$B$1:$BZ$554,MATCH(AX$1,Totalt!$B$1:$BZ$1,0),FALSE)</f>
        <v>Nej</v>
      </c>
      <c r="BA384" s="32" t="str">
        <f t="shared" si="35"/>
        <v/>
      </c>
    </row>
    <row r="385" spans="1:53" x14ac:dyDescent="0.45">
      <c r="A385" s="31" t="s">
        <v>182</v>
      </c>
      <c r="B385" s="31" t="s">
        <v>185</v>
      </c>
      <c r="J385" s="31">
        <v>0</v>
      </c>
      <c r="K385" s="31">
        <v>0</v>
      </c>
      <c r="L385" s="31">
        <v>0</v>
      </c>
      <c r="M385" s="31">
        <v>0</v>
      </c>
      <c r="N385" s="31">
        <v>0</v>
      </c>
      <c r="O385" s="31">
        <v>0</v>
      </c>
      <c r="P385" s="31">
        <v>0</v>
      </c>
      <c r="Q385" s="31">
        <v>0</v>
      </c>
      <c r="R385" s="31">
        <v>0</v>
      </c>
      <c r="S385" s="31">
        <v>0</v>
      </c>
      <c r="T385" s="31">
        <v>0</v>
      </c>
      <c r="U385" s="31">
        <v>0</v>
      </c>
      <c r="W385" s="31">
        <v>0</v>
      </c>
      <c r="X385" s="31">
        <v>0</v>
      </c>
      <c r="Y385" s="31">
        <v>0</v>
      </c>
      <c r="Z385" s="31">
        <v>0</v>
      </c>
      <c r="AA385" s="31">
        <v>0</v>
      </c>
      <c r="AB385" s="31">
        <v>0</v>
      </c>
      <c r="AC385" s="31">
        <v>0</v>
      </c>
      <c r="AD385" s="31">
        <v>0</v>
      </c>
      <c r="AE385" s="31">
        <v>0</v>
      </c>
      <c r="AF385" s="31">
        <v>0</v>
      </c>
      <c r="AG385" s="31">
        <v>0</v>
      </c>
      <c r="AH385" s="31">
        <v>0</v>
      </c>
      <c r="AI385" s="31">
        <v>0</v>
      </c>
      <c r="AL385" s="31">
        <f t="shared" si="30"/>
        <v>0</v>
      </c>
      <c r="AM385" s="31">
        <f t="shared" si="31"/>
        <v>0</v>
      </c>
      <c r="AN385" s="31">
        <f t="shared" si="32"/>
        <v>0</v>
      </c>
      <c r="AP385" s="31">
        <f>VLOOKUP($B385,Kraftvärmeprod!$B$1:$BX$549,MATCH(AP$1,Kraftvärmeprod!$B$1:$BX$1,0),FALSE)</f>
        <v>0</v>
      </c>
      <c r="AQ385" s="31">
        <f>VLOOKUP($B385,Kraftvärmeprod!$B$1:$BX$549,MATCH(AQ$1,Kraftvärmeprod!$B$1:$BX$1,0),FALSE)</f>
        <v>0</v>
      </c>
      <c r="AR385" s="31">
        <f>VLOOKUP($B385,Kraftvärmeprod!$B$1:$BX$549,MATCH("Summa tillförd energi exklusive rökgaskondensering",Kraftvärmeprod!$B$1:$BX$1,0),FALSE)</f>
        <v>0</v>
      </c>
      <c r="AT385" s="32" t="str">
        <f t="shared" si="33"/>
        <v/>
      </c>
      <c r="AV385" s="31">
        <f t="shared" si="34"/>
        <v>0</v>
      </c>
      <c r="AX385" s="31" t="str">
        <f>VLOOKUP(B385,Totalt!$B$1:$BZ$554,MATCH(AX$1,Totalt!$B$1:$BZ$1,0),FALSE)</f>
        <v>Ja</v>
      </c>
      <c r="BA385" s="32" t="str">
        <f t="shared" si="35"/>
        <v/>
      </c>
    </row>
    <row r="386" spans="1:53" x14ac:dyDescent="0.45">
      <c r="A386" s="31" t="s">
        <v>182</v>
      </c>
      <c r="B386" s="31" t="s">
        <v>183</v>
      </c>
      <c r="J386" s="31">
        <v>0</v>
      </c>
      <c r="K386" s="31">
        <v>0</v>
      </c>
      <c r="L386" s="31">
        <v>0</v>
      </c>
      <c r="M386" s="31">
        <v>0</v>
      </c>
      <c r="N386" s="31">
        <v>0</v>
      </c>
      <c r="O386" s="31">
        <v>0</v>
      </c>
      <c r="P386" s="31">
        <v>0</v>
      </c>
      <c r="Q386" s="31">
        <v>0</v>
      </c>
      <c r="R386" s="31">
        <v>0</v>
      </c>
      <c r="S386" s="31">
        <v>0</v>
      </c>
      <c r="T386" s="31">
        <v>0</v>
      </c>
      <c r="U386" s="31">
        <v>0</v>
      </c>
      <c r="W386" s="31">
        <v>0</v>
      </c>
      <c r="X386" s="31">
        <v>0</v>
      </c>
      <c r="Y386" s="31">
        <v>0</v>
      </c>
      <c r="Z386" s="31">
        <v>0</v>
      </c>
      <c r="AA386" s="31">
        <v>0</v>
      </c>
      <c r="AB386" s="31">
        <v>0</v>
      </c>
      <c r="AC386" s="31">
        <v>0</v>
      </c>
      <c r="AD386" s="31">
        <v>0</v>
      </c>
      <c r="AE386" s="31">
        <v>0</v>
      </c>
      <c r="AF386" s="31">
        <v>0</v>
      </c>
      <c r="AG386" s="31">
        <v>0</v>
      </c>
      <c r="AH386" s="31">
        <v>0</v>
      </c>
      <c r="AI386" s="31">
        <v>0</v>
      </c>
      <c r="AL386" s="31">
        <f t="shared" ref="AL386:AL408" si="36">SUM(J386:U386,W386:AI386)</f>
        <v>0</v>
      </c>
      <c r="AM386" s="31">
        <f t="shared" ref="AM386:AM408" si="37">AL386-IFERROR(AI386/1,0)</f>
        <v>0</v>
      </c>
      <c r="AN386" s="31">
        <f t="shared" ref="AN386:AN408" si="38">AM386-IFERROR(AH386/1,0)</f>
        <v>0</v>
      </c>
      <c r="AP386" s="31">
        <f>VLOOKUP($B386,Kraftvärmeprod!$B$1:$BX$549,MATCH(AP$1,Kraftvärmeprod!$B$1:$BX$1,0),FALSE)</f>
        <v>0</v>
      </c>
      <c r="AQ386" s="31">
        <f>VLOOKUP($B386,Kraftvärmeprod!$B$1:$BX$549,MATCH(AQ$1,Kraftvärmeprod!$B$1:$BX$1,0),FALSE)</f>
        <v>0</v>
      </c>
      <c r="AR386" s="31">
        <f>VLOOKUP($B386,Kraftvärmeprod!$B$1:$BX$549,MATCH("Summa tillförd energi exklusive rökgaskondensering",Kraftvärmeprod!$B$1:$BX$1,0),FALSE)</f>
        <v>0</v>
      </c>
      <c r="AT386" s="32" t="str">
        <f t="shared" ref="AT386:AT408" si="39">IF(AN386=0,"",AN386/AR386)</f>
        <v/>
      </c>
      <c r="AV386" s="31">
        <f t="shared" ref="AV386:AV408" si="40">Q386+R386+S386+T386+U386+P386+X386+Y386+Z386+AA386+AB386+AC386+W386</f>
        <v>0</v>
      </c>
      <c r="AX386" s="31" t="str">
        <f>VLOOKUP(B386,Totalt!$B$1:$BZ$554,MATCH(AX$1,Totalt!$B$1:$BZ$1,0),FALSE)</f>
        <v>Nej</v>
      </c>
      <c r="BA386" s="32" t="str">
        <f t="shared" ref="BA386:BA408" si="41">IFERROR(AP386/(AN386+AI386),"")</f>
        <v/>
      </c>
    </row>
    <row r="387" spans="1:53" x14ac:dyDescent="0.45">
      <c r="A387" s="31" t="s">
        <v>175</v>
      </c>
      <c r="B387" s="31" t="s">
        <v>180</v>
      </c>
      <c r="J387" s="31">
        <v>0</v>
      </c>
      <c r="K387" s="31">
        <v>0</v>
      </c>
      <c r="L387" s="31">
        <v>0</v>
      </c>
      <c r="M387" s="31">
        <v>0</v>
      </c>
      <c r="N387" s="31">
        <v>0</v>
      </c>
      <c r="O387" s="31">
        <v>0</v>
      </c>
      <c r="P387" s="31">
        <v>0</v>
      </c>
      <c r="Q387" s="31">
        <v>0</v>
      </c>
      <c r="R387" s="31">
        <v>0</v>
      </c>
      <c r="S387" s="31">
        <v>0</v>
      </c>
      <c r="T387" s="31">
        <v>0</v>
      </c>
      <c r="U387" s="31">
        <v>0</v>
      </c>
      <c r="W387" s="31">
        <v>0</v>
      </c>
      <c r="X387" s="31">
        <v>0</v>
      </c>
      <c r="Y387" s="31">
        <v>0</v>
      </c>
      <c r="Z387" s="31">
        <v>0</v>
      </c>
      <c r="AA387" s="31">
        <v>0</v>
      </c>
      <c r="AB387" s="31">
        <v>0</v>
      </c>
      <c r="AC387" s="31">
        <v>0</v>
      </c>
      <c r="AD387" s="31">
        <v>0</v>
      </c>
      <c r="AE387" s="31">
        <v>0</v>
      </c>
      <c r="AF387" s="31">
        <v>0</v>
      </c>
      <c r="AG387" s="31">
        <v>0</v>
      </c>
      <c r="AH387" s="31">
        <v>0</v>
      </c>
      <c r="AI387" s="31">
        <v>0</v>
      </c>
      <c r="AL387" s="31">
        <f t="shared" si="36"/>
        <v>0</v>
      </c>
      <c r="AM387" s="31">
        <f t="shared" si="37"/>
        <v>0</v>
      </c>
      <c r="AN387" s="31">
        <f t="shared" si="38"/>
        <v>0</v>
      </c>
      <c r="AP387" s="31">
        <f>VLOOKUP($B387,Kraftvärmeprod!$B$1:$BX$549,MATCH(AP$1,Kraftvärmeprod!$B$1:$BX$1,0),FALSE)</f>
        <v>0</v>
      </c>
      <c r="AQ387" s="31">
        <f>VLOOKUP($B387,Kraftvärmeprod!$B$1:$BX$549,MATCH(AQ$1,Kraftvärmeprod!$B$1:$BX$1,0),FALSE)</f>
        <v>0</v>
      </c>
      <c r="AR387" s="31">
        <f>VLOOKUP($B387,Kraftvärmeprod!$B$1:$BX$549,MATCH("Summa tillförd energi exklusive rökgaskondensering",Kraftvärmeprod!$B$1:$BX$1,0),FALSE)</f>
        <v>0</v>
      </c>
      <c r="AT387" s="32" t="str">
        <f t="shared" si="39"/>
        <v/>
      </c>
      <c r="AV387" s="31">
        <f t="shared" si="40"/>
        <v>0</v>
      </c>
      <c r="AX387" s="31" t="str">
        <f>VLOOKUP(B387,Totalt!$B$1:$BZ$554,MATCH(AX$1,Totalt!$B$1:$BZ$1,0),FALSE)</f>
        <v>Ja</v>
      </c>
      <c r="BA387" s="32" t="str">
        <f t="shared" si="41"/>
        <v/>
      </c>
    </row>
    <row r="388" spans="1:53" x14ac:dyDescent="0.45">
      <c r="A388" s="31" t="s">
        <v>175</v>
      </c>
      <c r="B388" s="31" t="s">
        <v>179</v>
      </c>
      <c r="J388" s="31">
        <v>0</v>
      </c>
      <c r="K388" s="31">
        <v>0</v>
      </c>
      <c r="L388" s="31">
        <v>0</v>
      </c>
      <c r="M388" s="31">
        <v>0</v>
      </c>
      <c r="N388" s="31">
        <v>0</v>
      </c>
      <c r="O388" s="31">
        <v>0</v>
      </c>
      <c r="P388" s="31">
        <v>0</v>
      </c>
      <c r="Q388" s="31">
        <v>0</v>
      </c>
      <c r="R388" s="31">
        <v>0</v>
      </c>
      <c r="S388" s="31">
        <v>0</v>
      </c>
      <c r="T388" s="31">
        <v>0</v>
      </c>
      <c r="U388" s="31">
        <v>0</v>
      </c>
      <c r="W388" s="31">
        <v>0</v>
      </c>
      <c r="X388" s="31">
        <v>0</v>
      </c>
      <c r="Y388" s="31">
        <v>0</v>
      </c>
      <c r="Z388" s="31">
        <v>0</v>
      </c>
      <c r="AA388" s="31">
        <v>0</v>
      </c>
      <c r="AB388" s="31">
        <v>0</v>
      </c>
      <c r="AC388" s="31">
        <v>0</v>
      </c>
      <c r="AD388" s="31">
        <v>0</v>
      </c>
      <c r="AE388" s="31">
        <v>0</v>
      </c>
      <c r="AF388" s="31">
        <v>0</v>
      </c>
      <c r="AG388" s="31">
        <v>0</v>
      </c>
      <c r="AH388" s="31">
        <v>0</v>
      </c>
      <c r="AI388" s="31">
        <v>0</v>
      </c>
      <c r="AL388" s="31">
        <f t="shared" si="36"/>
        <v>0</v>
      </c>
      <c r="AM388" s="31">
        <f t="shared" si="37"/>
        <v>0</v>
      </c>
      <c r="AN388" s="31">
        <f t="shared" si="38"/>
        <v>0</v>
      </c>
      <c r="AP388" s="31">
        <f>VLOOKUP($B388,Kraftvärmeprod!$B$1:$BX$549,MATCH(AP$1,Kraftvärmeprod!$B$1:$BX$1,0),FALSE)</f>
        <v>0</v>
      </c>
      <c r="AQ388" s="31">
        <f>VLOOKUP($B388,Kraftvärmeprod!$B$1:$BX$549,MATCH(AQ$1,Kraftvärmeprod!$B$1:$BX$1,0),FALSE)</f>
        <v>0</v>
      </c>
      <c r="AR388" s="31">
        <f>VLOOKUP($B388,Kraftvärmeprod!$B$1:$BX$549,MATCH("Summa tillförd energi exklusive rökgaskondensering",Kraftvärmeprod!$B$1:$BX$1,0),FALSE)</f>
        <v>0</v>
      </c>
      <c r="AT388" s="32" t="str">
        <f t="shared" si="39"/>
        <v/>
      </c>
      <c r="AV388" s="31">
        <f t="shared" si="40"/>
        <v>0</v>
      </c>
      <c r="AX388" s="31" t="str">
        <f>VLOOKUP(B388,Totalt!$B$1:$BZ$554,MATCH(AX$1,Totalt!$B$1:$BZ$1,0),FALSE)</f>
        <v>Ja</v>
      </c>
      <c r="BA388" s="32" t="str">
        <f t="shared" si="41"/>
        <v/>
      </c>
    </row>
    <row r="389" spans="1:53" x14ac:dyDescent="0.45">
      <c r="A389" s="31" t="s">
        <v>175</v>
      </c>
      <c r="B389" s="31" t="s">
        <v>178</v>
      </c>
      <c r="J389" s="31">
        <v>0</v>
      </c>
      <c r="K389" s="31">
        <v>0</v>
      </c>
      <c r="L389" s="31">
        <v>0</v>
      </c>
      <c r="M389" s="31">
        <v>0</v>
      </c>
      <c r="N389" s="31">
        <v>0</v>
      </c>
      <c r="O389" s="31">
        <v>0</v>
      </c>
      <c r="P389" s="31">
        <v>0</v>
      </c>
      <c r="Q389" s="31">
        <v>0</v>
      </c>
      <c r="R389" s="31">
        <v>0</v>
      </c>
      <c r="S389" s="31">
        <v>0</v>
      </c>
      <c r="T389" s="31">
        <v>0</v>
      </c>
      <c r="U389" s="31">
        <v>0</v>
      </c>
      <c r="W389" s="31">
        <v>0</v>
      </c>
      <c r="X389" s="31">
        <v>0</v>
      </c>
      <c r="Y389" s="31">
        <v>0</v>
      </c>
      <c r="Z389" s="31">
        <v>0</v>
      </c>
      <c r="AA389" s="31">
        <v>0</v>
      </c>
      <c r="AB389" s="31">
        <v>0</v>
      </c>
      <c r="AC389" s="31">
        <v>0</v>
      </c>
      <c r="AD389" s="31">
        <v>0</v>
      </c>
      <c r="AE389" s="31">
        <v>0</v>
      </c>
      <c r="AF389" s="31">
        <v>0</v>
      </c>
      <c r="AG389" s="31">
        <v>0</v>
      </c>
      <c r="AH389" s="31">
        <v>0</v>
      </c>
      <c r="AI389" s="31">
        <v>0</v>
      </c>
      <c r="AL389" s="31">
        <f t="shared" si="36"/>
        <v>0</v>
      </c>
      <c r="AM389" s="31">
        <f t="shared" si="37"/>
        <v>0</v>
      </c>
      <c r="AN389" s="31">
        <f t="shared" si="38"/>
        <v>0</v>
      </c>
      <c r="AP389" s="31">
        <f>VLOOKUP($B389,Kraftvärmeprod!$B$1:$BX$549,MATCH(AP$1,Kraftvärmeprod!$B$1:$BX$1,0),FALSE)</f>
        <v>0</v>
      </c>
      <c r="AQ389" s="31">
        <f>VLOOKUP($B389,Kraftvärmeprod!$B$1:$BX$549,MATCH(AQ$1,Kraftvärmeprod!$B$1:$BX$1,0),FALSE)</f>
        <v>0</v>
      </c>
      <c r="AR389" s="31">
        <f>VLOOKUP($B389,Kraftvärmeprod!$B$1:$BX$549,MATCH("Summa tillförd energi exklusive rökgaskondensering",Kraftvärmeprod!$B$1:$BX$1,0),FALSE)</f>
        <v>0</v>
      </c>
      <c r="AT389" s="32" t="str">
        <f t="shared" si="39"/>
        <v/>
      </c>
      <c r="AV389" s="31">
        <f t="shared" si="40"/>
        <v>0</v>
      </c>
      <c r="AX389" s="31" t="str">
        <f>VLOOKUP(B389,Totalt!$B$1:$BZ$554,MATCH(AX$1,Totalt!$B$1:$BZ$1,0),FALSE)</f>
        <v>Ja</v>
      </c>
      <c r="BA389" s="32" t="str">
        <f t="shared" si="41"/>
        <v/>
      </c>
    </row>
    <row r="390" spans="1:53" x14ac:dyDescent="0.45">
      <c r="A390" s="31" t="s">
        <v>175</v>
      </c>
      <c r="B390" s="31" t="s">
        <v>174</v>
      </c>
      <c r="J390" s="31">
        <v>0</v>
      </c>
      <c r="K390" s="31">
        <v>0.48101100000000002</v>
      </c>
      <c r="L390" s="31">
        <v>0</v>
      </c>
      <c r="M390" s="31">
        <v>0</v>
      </c>
      <c r="N390" s="31">
        <v>0</v>
      </c>
      <c r="O390" s="31">
        <v>0</v>
      </c>
      <c r="P390" s="31">
        <v>201.24799999999999</v>
      </c>
      <c r="Q390" s="31">
        <v>56.307899999999997</v>
      </c>
      <c r="R390" s="31">
        <v>53.150799999999997</v>
      </c>
      <c r="S390" s="31">
        <v>51.218899999999998</v>
      </c>
      <c r="T390" s="31">
        <v>0</v>
      </c>
      <c r="U390" s="31">
        <v>0</v>
      </c>
      <c r="W390" s="31">
        <v>0</v>
      </c>
      <c r="X390" s="31">
        <v>0</v>
      </c>
      <c r="Y390" s="31">
        <v>0</v>
      </c>
      <c r="Z390" s="31">
        <v>22.475999999999999</v>
      </c>
      <c r="AA390" s="31">
        <v>0</v>
      </c>
      <c r="AB390" s="31">
        <v>0</v>
      </c>
      <c r="AC390" s="31">
        <v>0</v>
      </c>
      <c r="AD390" s="31">
        <v>25.1846</v>
      </c>
      <c r="AE390" s="31">
        <v>0</v>
      </c>
      <c r="AF390" s="31">
        <v>0</v>
      </c>
      <c r="AG390" s="31">
        <v>0</v>
      </c>
      <c r="AH390" s="31">
        <v>62.9</v>
      </c>
      <c r="AI390" s="31">
        <v>14.111700000000001</v>
      </c>
      <c r="AL390" s="31">
        <f t="shared" si="36"/>
        <v>487.07891099999995</v>
      </c>
      <c r="AM390" s="31">
        <f t="shared" si="37"/>
        <v>472.96721099999996</v>
      </c>
      <c r="AN390" s="31">
        <f t="shared" si="38"/>
        <v>410.06721099999999</v>
      </c>
      <c r="AP390" s="31">
        <f>VLOOKUP($B390,Kraftvärmeprod!$B$1:$BX$549,MATCH(AP$1,Kraftvärmeprod!$B$1:$BX$1,0),FALSE)</f>
        <v>539.9</v>
      </c>
      <c r="AQ390" s="31">
        <f>VLOOKUP($B390,Kraftvärmeprod!$B$1:$BX$549,MATCH(AQ$1,Kraftvärmeprod!$B$1:$BX$1,0),FALSE)</f>
        <v>232.5</v>
      </c>
      <c r="AR390" s="31">
        <f>VLOOKUP($B390,Kraftvärmeprod!$B$1:$BX$549,MATCH("Summa tillförd energi exklusive rökgaskondensering",Kraftvärmeprod!$B$1:$BX$1,0),FALSE)</f>
        <v>865.80000000000007</v>
      </c>
      <c r="AT390" s="32">
        <f t="shared" si="39"/>
        <v>0.47362810233310226</v>
      </c>
      <c r="AV390" s="31">
        <f t="shared" si="40"/>
        <v>384.40159999999997</v>
      </c>
      <c r="AX390" s="31" t="str">
        <f>VLOOKUP(B390,Totalt!$B$1:$BZ$554,MATCH(AX$1,Totalt!$B$1:$BZ$1,0),FALSE)</f>
        <v>Ja</v>
      </c>
      <c r="BA390" s="32">
        <f t="shared" si="41"/>
        <v>1.2728119809803558</v>
      </c>
    </row>
    <row r="391" spans="1:53" x14ac:dyDescent="0.45">
      <c r="A391" s="31" t="s">
        <v>175</v>
      </c>
      <c r="B391" s="31" t="s">
        <v>177</v>
      </c>
      <c r="J391" s="31">
        <v>0</v>
      </c>
      <c r="K391" s="31">
        <v>0</v>
      </c>
      <c r="L391" s="31">
        <v>0</v>
      </c>
      <c r="M391" s="31">
        <v>0</v>
      </c>
      <c r="N391" s="31">
        <v>0</v>
      </c>
      <c r="O391" s="31">
        <v>0</v>
      </c>
      <c r="P391" s="31">
        <v>0</v>
      </c>
      <c r="Q391" s="31">
        <v>0</v>
      </c>
      <c r="R391" s="31">
        <v>0</v>
      </c>
      <c r="S391" s="31">
        <v>0</v>
      </c>
      <c r="T391" s="31">
        <v>0</v>
      </c>
      <c r="U391" s="31">
        <v>0</v>
      </c>
      <c r="W391" s="31">
        <v>0</v>
      </c>
      <c r="X391" s="31">
        <v>0</v>
      </c>
      <c r="Y391" s="31">
        <v>0</v>
      </c>
      <c r="Z391" s="31">
        <v>0</v>
      </c>
      <c r="AA391" s="31">
        <v>0</v>
      </c>
      <c r="AB391" s="31">
        <v>0</v>
      </c>
      <c r="AC391" s="31">
        <v>0</v>
      </c>
      <c r="AD391" s="31">
        <v>0</v>
      </c>
      <c r="AE391" s="31">
        <v>0</v>
      </c>
      <c r="AF391" s="31">
        <v>0</v>
      </c>
      <c r="AG391" s="31">
        <v>0</v>
      </c>
      <c r="AH391" s="31">
        <v>0</v>
      </c>
      <c r="AI391" s="31">
        <v>0</v>
      </c>
      <c r="AL391" s="31">
        <f t="shared" si="36"/>
        <v>0</v>
      </c>
      <c r="AM391" s="31">
        <f t="shared" si="37"/>
        <v>0</v>
      </c>
      <c r="AN391" s="31">
        <f t="shared" si="38"/>
        <v>0</v>
      </c>
      <c r="AP391" s="31">
        <f>VLOOKUP($B391,Kraftvärmeprod!$B$1:$BX$549,MATCH(AP$1,Kraftvärmeprod!$B$1:$BX$1,0),FALSE)</f>
        <v>0</v>
      </c>
      <c r="AQ391" s="31">
        <f>VLOOKUP($B391,Kraftvärmeprod!$B$1:$BX$549,MATCH(AQ$1,Kraftvärmeprod!$B$1:$BX$1,0),FALSE)</f>
        <v>0</v>
      </c>
      <c r="AR391" s="31">
        <f>VLOOKUP($B391,Kraftvärmeprod!$B$1:$BX$549,MATCH("Summa tillförd energi exklusive rökgaskondensering",Kraftvärmeprod!$B$1:$BX$1,0),FALSE)</f>
        <v>0</v>
      </c>
      <c r="AT391" s="32" t="str">
        <f t="shared" si="39"/>
        <v/>
      </c>
      <c r="AV391" s="31">
        <f t="shared" si="40"/>
        <v>0</v>
      </c>
      <c r="AX391" s="31" t="str">
        <f>VLOOKUP(B391,Totalt!$B$1:$BZ$554,MATCH(AX$1,Totalt!$B$1:$BZ$1,0),FALSE)</f>
        <v>Ja</v>
      </c>
      <c r="BA391" s="32" t="str">
        <f t="shared" si="41"/>
        <v/>
      </c>
    </row>
    <row r="392" spans="1:53" x14ac:dyDescent="0.45">
      <c r="A392" s="31" t="s">
        <v>172</v>
      </c>
      <c r="B392" s="31" t="s">
        <v>171</v>
      </c>
      <c r="J392" s="31">
        <v>0</v>
      </c>
      <c r="K392" s="31">
        <v>0</v>
      </c>
      <c r="L392" s="31">
        <v>0</v>
      </c>
      <c r="M392" s="31">
        <v>0</v>
      </c>
      <c r="N392" s="31">
        <v>0</v>
      </c>
      <c r="O392" s="31">
        <v>0</v>
      </c>
      <c r="P392" s="31">
        <v>0</v>
      </c>
      <c r="Q392" s="31">
        <v>0</v>
      </c>
      <c r="R392" s="31">
        <v>0</v>
      </c>
      <c r="S392" s="31">
        <v>0</v>
      </c>
      <c r="T392" s="31">
        <v>0</v>
      </c>
      <c r="U392" s="31">
        <v>0</v>
      </c>
      <c r="W392" s="31">
        <v>0</v>
      </c>
      <c r="X392" s="31">
        <v>0</v>
      </c>
      <c r="Y392" s="31">
        <v>0</v>
      </c>
      <c r="Z392" s="31">
        <v>0</v>
      </c>
      <c r="AA392" s="31">
        <v>0</v>
      </c>
      <c r="AB392" s="31">
        <v>0</v>
      </c>
      <c r="AC392" s="31">
        <v>0</v>
      </c>
      <c r="AD392" s="31">
        <v>0</v>
      </c>
      <c r="AE392" s="31">
        <v>0</v>
      </c>
      <c r="AF392" s="31">
        <v>0</v>
      </c>
      <c r="AG392" s="31">
        <v>0</v>
      </c>
      <c r="AH392" s="31">
        <v>0</v>
      </c>
      <c r="AI392" s="31">
        <v>0</v>
      </c>
      <c r="AL392" s="31">
        <f t="shared" si="36"/>
        <v>0</v>
      </c>
      <c r="AM392" s="31">
        <f t="shared" si="37"/>
        <v>0</v>
      </c>
      <c r="AN392" s="31">
        <f t="shared" si="38"/>
        <v>0</v>
      </c>
      <c r="AP392" s="31">
        <f>VLOOKUP($B392,Kraftvärmeprod!$B$1:$BX$549,MATCH(AP$1,Kraftvärmeprod!$B$1:$BX$1,0),FALSE)</f>
        <v>0</v>
      </c>
      <c r="AQ392" s="31">
        <f>VLOOKUP($B392,Kraftvärmeprod!$B$1:$BX$549,MATCH(AQ$1,Kraftvärmeprod!$B$1:$BX$1,0),FALSE)</f>
        <v>0</v>
      </c>
      <c r="AR392" s="31">
        <f>VLOOKUP($B392,Kraftvärmeprod!$B$1:$BX$549,MATCH("Summa tillförd energi exklusive rökgaskondensering",Kraftvärmeprod!$B$1:$BX$1,0),FALSE)</f>
        <v>0</v>
      </c>
      <c r="AT392" s="32" t="str">
        <f t="shared" si="39"/>
        <v/>
      </c>
      <c r="AV392" s="31">
        <f t="shared" si="40"/>
        <v>0</v>
      </c>
      <c r="AX392" s="31" t="str">
        <f>VLOOKUP(B392,Totalt!$B$1:$BZ$554,MATCH(AX$1,Totalt!$B$1:$BZ$1,0),FALSE)</f>
        <v>Ja</v>
      </c>
      <c r="BA392" s="32" t="str">
        <f t="shared" si="41"/>
        <v/>
      </c>
    </row>
    <row r="393" spans="1:53" x14ac:dyDescent="0.45">
      <c r="A393" s="31" t="s">
        <v>169</v>
      </c>
      <c r="B393" s="31" t="s">
        <v>170</v>
      </c>
      <c r="J393" s="31">
        <v>0</v>
      </c>
      <c r="K393" s="31">
        <v>0</v>
      </c>
      <c r="L393" s="31">
        <v>0</v>
      </c>
      <c r="M393" s="31">
        <v>0</v>
      </c>
      <c r="N393" s="31">
        <v>0</v>
      </c>
      <c r="O393" s="31">
        <v>0</v>
      </c>
      <c r="P393" s="31">
        <v>0</v>
      </c>
      <c r="Q393" s="31">
        <v>0</v>
      </c>
      <c r="R393" s="31">
        <v>0</v>
      </c>
      <c r="S393" s="31">
        <v>0</v>
      </c>
      <c r="T393" s="31">
        <v>0</v>
      </c>
      <c r="U393" s="31">
        <v>0</v>
      </c>
      <c r="W393" s="31">
        <v>0</v>
      </c>
      <c r="X393" s="31">
        <v>0</v>
      </c>
      <c r="Y393" s="31">
        <v>0</v>
      </c>
      <c r="Z393" s="31">
        <v>0</v>
      </c>
      <c r="AA393" s="31">
        <v>0</v>
      </c>
      <c r="AB393" s="31">
        <v>0</v>
      </c>
      <c r="AC393" s="31">
        <v>0</v>
      </c>
      <c r="AD393" s="31">
        <v>0</v>
      </c>
      <c r="AE393" s="31">
        <v>0</v>
      </c>
      <c r="AF393" s="31">
        <v>0</v>
      </c>
      <c r="AG393" s="31">
        <v>0</v>
      </c>
      <c r="AH393" s="31">
        <v>0</v>
      </c>
      <c r="AI393" s="31">
        <v>0</v>
      </c>
      <c r="AL393" s="31">
        <f t="shared" si="36"/>
        <v>0</v>
      </c>
      <c r="AM393" s="31">
        <f t="shared" si="37"/>
        <v>0</v>
      </c>
      <c r="AN393" s="31">
        <f t="shared" si="38"/>
        <v>0</v>
      </c>
      <c r="AP393" s="31">
        <f>VLOOKUP($B393,Kraftvärmeprod!$B$1:$BX$549,MATCH(AP$1,Kraftvärmeprod!$B$1:$BX$1,0),FALSE)</f>
        <v>0</v>
      </c>
      <c r="AQ393" s="31">
        <f>VLOOKUP($B393,Kraftvärmeprod!$B$1:$BX$549,MATCH(AQ$1,Kraftvärmeprod!$B$1:$BX$1,0),FALSE)</f>
        <v>0</v>
      </c>
      <c r="AR393" s="31">
        <f>VLOOKUP($B393,Kraftvärmeprod!$B$1:$BX$549,MATCH("Summa tillförd energi exklusive rökgaskondensering",Kraftvärmeprod!$B$1:$BX$1,0),FALSE)</f>
        <v>0</v>
      </c>
      <c r="AT393" s="32" t="str">
        <f t="shared" si="39"/>
        <v/>
      </c>
      <c r="AV393" s="31">
        <f t="shared" si="40"/>
        <v>0</v>
      </c>
      <c r="AX393" s="31" t="str">
        <f>VLOOKUP(B393,Totalt!$B$1:$BZ$554,MATCH(AX$1,Totalt!$B$1:$BZ$1,0),FALSE)</f>
        <v>Ja</v>
      </c>
      <c r="BA393" s="32" t="str">
        <f t="shared" si="41"/>
        <v/>
      </c>
    </row>
    <row r="394" spans="1:53" x14ac:dyDescent="0.45">
      <c r="A394" s="31" t="s">
        <v>169</v>
      </c>
      <c r="B394" s="31" t="s">
        <v>168</v>
      </c>
      <c r="J394" s="31">
        <v>0</v>
      </c>
      <c r="K394" s="31">
        <v>0</v>
      </c>
      <c r="L394" s="31">
        <v>0</v>
      </c>
      <c r="M394" s="31">
        <v>0</v>
      </c>
      <c r="N394" s="31">
        <v>0</v>
      </c>
      <c r="O394" s="31">
        <v>0</v>
      </c>
      <c r="P394" s="31">
        <v>0</v>
      </c>
      <c r="Q394" s="31">
        <v>0</v>
      </c>
      <c r="R394" s="31">
        <v>0</v>
      </c>
      <c r="S394" s="31">
        <v>0</v>
      </c>
      <c r="T394" s="31">
        <v>0</v>
      </c>
      <c r="U394" s="31">
        <v>0</v>
      </c>
      <c r="W394" s="31">
        <v>0</v>
      </c>
      <c r="X394" s="31">
        <v>0</v>
      </c>
      <c r="Y394" s="31">
        <v>0</v>
      </c>
      <c r="Z394" s="31">
        <v>0</v>
      </c>
      <c r="AA394" s="31">
        <v>0</v>
      </c>
      <c r="AB394" s="31">
        <v>0</v>
      </c>
      <c r="AC394" s="31">
        <v>0</v>
      </c>
      <c r="AD394" s="31">
        <v>0</v>
      </c>
      <c r="AE394" s="31">
        <v>0</v>
      </c>
      <c r="AF394" s="31">
        <v>0</v>
      </c>
      <c r="AG394" s="31">
        <v>0</v>
      </c>
      <c r="AH394" s="31">
        <v>0</v>
      </c>
      <c r="AI394" s="31">
        <v>0</v>
      </c>
      <c r="AL394" s="31">
        <f t="shared" si="36"/>
        <v>0</v>
      </c>
      <c r="AM394" s="31">
        <f t="shared" si="37"/>
        <v>0</v>
      </c>
      <c r="AN394" s="31">
        <f t="shared" si="38"/>
        <v>0</v>
      </c>
      <c r="AP394" s="31">
        <f>VLOOKUP($B394,Kraftvärmeprod!$B$1:$BX$549,MATCH(AP$1,Kraftvärmeprod!$B$1:$BX$1,0),FALSE)</f>
        <v>0</v>
      </c>
      <c r="AQ394" s="31">
        <f>VLOOKUP($B394,Kraftvärmeprod!$B$1:$BX$549,MATCH(AQ$1,Kraftvärmeprod!$B$1:$BX$1,0),FALSE)</f>
        <v>0</v>
      </c>
      <c r="AR394" s="31">
        <f>VLOOKUP($B394,Kraftvärmeprod!$B$1:$BX$549,MATCH("Summa tillförd energi exklusive rökgaskondensering",Kraftvärmeprod!$B$1:$BX$1,0),FALSE)</f>
        <v>0</v>
      </c>
      <c r="AT394" s="32" t="str">
        <f t="shared" si="39"/>
        <v/>
      </c>
      <c r="AV394" s="31">
        <f t="shared" si="40"/>
        <v>0</v>
      </c>
      <c r="AX394" s="31" t="str">
        <f>VLOOKUP(B394,Totalt!$B$1:$BZ$554,MATCH(AX$1,Totalt!$B$1:$BZ$1,0),FALSE)</f>
        <v>Ja</v>
      </c>
      <c r="BA394" s="32" t="str">
        <f t="shared" si="41"/>
        <v/>
      </c>
    </row>
    <row r="395" spans="1:53" x14ac:dyDescent="0.45">
      <c r="A395" s="31" t="s">
        <v>167</v>
      </c>
      <c r="B395" s="31" t="s">
        <v>136</v>
      </c>
      <c r="J395" s="31">
        <v>0</v>
      </c>
      <c r="K395" s="31">
        <v>0</v>
      </c>
      <c r="L395" s="31">
        <v>0</v>
      </c>
      <c r="M395" s="31">
        <v>0</v>
      </c>
      <c r="N395" s="31">
        <v>0</v>
      </c>
      <c r="O395" s="31">
        <v>0</v>
      </c>
      <c r="P395" s="31">
        <v>0</v>
      </c>
      <c r="Q395" s="31">
        <v>0</v>
      </c>
      <c r="R395" s="31">
        <v>0</v>
      </c>
      <c r="S395" s="31">
        <v>0</v>
      </c>
      <c r="T395" s="31">
        <v>0</v>
      </c>
      <c r="U395" s="31">
        <v>0</v>
      </c>
      <c r="W395" s="31">
        <v>0</v>
      </c>
      <c r="X395" s="31">
        <v>0</v>
      </c>
      <c r="Y395" s="31">
        <v>0</v>
      </c>
      <c r="Z395" s="31">
        <v>0</v>
      </c>
      <c r="AA395" s="31">
        <v>0</v>
      </c>
      <c r="AB395" s="31">
        <v>0</v>
      </c>
      <c r="AC395" s="31">
        <v>0</v>
      </c>
      <c r="AD395" s="31">
        <v>0</v>
      </c>
      <c r="AE395" s="31">
        <v>0</v>
      </c>
      <c r="AF395" s="31">
        <v>0</v>
      </c>
      <c r="AG395" s="31">
        <v>0</v>
      </c>
      <c r="AH395" s="31">
        <v>0</v>
      </c>
      <c r="AI395" s="31">
        <v>0</v>
      </c>
      <c r="AL395" s="31">
        <f t="shared" si="36"/>
        <v>0</v>
      </c>
      <c r="AM395" s="31">
        <f t="shared" si="37"/>
        <v>0</v>
      </c>
      <c r="AN395" s="31">
        <f t="shared" si="38"/>
        <v>0</v>
      </c>
      <c r="AP395" s="31">
        <f>VLOOKUP($B395,Kraftvärmeprod!$B$1:$BX$549,MATCH(AP$1,Kraftvärmeprod!$B$1:$BX$1,0),FALSE)</f>
        <v>0</v>
      </c>
      <c r="AQ395" s="31">
        <f>VLOOKUP($B395,Kraftvärmeprod!$B$1:$BX$549,MATCH(AQ$1,Kraftvärmeprod!$B$1:$BX$1,0),FALSE)</f>
        <v>0</v>
      </c>
      <c r="AR395" s="31">
        <f>VLOOKUP($B395,Kraftvärmeprod!$B$1:$BX$549,MATCH("Summa tillförd energi exklusive rökgaskondensering",Kraftvärmeprod!$B$1:$BX$1,0),FALSE)</f>
        <v>0</v>
      </c>
      <c r="AT395" s="32" t="str">
        <f t="shared" si="39"/>
        <v/>
      </c>
      <c r="AV395" s="31">
        <f t="shared" si="40"/>
        <v>0</v>
      </c>
      <c r="AX395" s="31" t="str">
        <f>VLOOKUP(B395,Totalt!$B$1:$BZ$554,MATCH(AX$1,Totalt!$B$1:$BZ$1,0),FALSE)</f>
        <v>Nej</v>
      </c>
      <c r="BA395" s="32" t="str">
        <f t="shared" si="41"/>
        <v/>
      </c>
    </row>
    <row r="396" spans="1:53" x14ac:dyDescent="0.45">
      <c r="A396" s="31" t="s">
        <v>162</v>
      </c>
      <c r="B396" s="31" t="s">
        <v>166</v>
      </c>
      <c r="J396" s="31">
        <v>0</v>
      </c>
      <c r="K396" s="31">
        <v>0.219</v>
      </c>
      <c r="L396" s="31">
        <v>0</v>
      </c>
      <c r="M396" s="31">
        <v>1.34</v>
      </c>
      <c r="N396" s="31">
        <v>0</v>
      </c>
      <c r="O396" s="31">
        <v>0</v>
      </c>
      <c r="P396" s="31">
        <v>0</v>
      </c>
      <c r="Q396" s="31">
        <v>0</v>
      </c>
      <c r="R396" s="31">
        <v>0</v>
      </c>
      <c r="S396" s="31">
        <v>0</v>
      </c>
      <c r="T396" s="31">
        <v>0</v>
      </c>
      <c r="U396" s="31">
        <v>0</v>
      </c>
      <c r="W396" s="31">
        <v>149.1</v>
      </c>
      <c r="X396" s="31">
        <v>0</v>
      </c>
      <c r="Y396" s="31">
        <v>0</v>
      </c>
      <c r="Z396" s="31">
        <v>0</v>
      </c>
      <c r="AA396" s="31">
        <v>0</v>
      </c>
      <c r="AB396" s="31">
        <v>1.29</v>
      </c>
      <c r="AC396" s="31">
        <v>0</v>
      </c>
      <c r="AD396" s="31">
        <v>0</v>
      </c>
      <c r="AE396" s="31">
        <v>274.24</v>
      </c>
      <c r="AF396" s="31">
        <v>0</v>
      </c>
      <c r="AG396" s="31">
        <v>0</v>
      </c>
      <c r="AH396" s="31">
        <v>0</v>
      </c>
      <c r="AI396" s="31">
        <v>13.3475</v>
      </c>
      <c r="AL396" s="31">
        <f t="shared" si="36"/>
        <v>439.53649999999999</v>
      </c>
      <c r="AM396" s="31">
        <f t="shared" si="37"/>
        <v>426.18899999999996</v>
      </c>
      <c r="AN396" s="31">
        <f t="shared" si="38"/>
        <v>426.18899999999996</v>
      </c>
      <c r="AP396" s="31">
        <f>VLOOKUP($B396,Kraftvärmeprod!$B$1:$BX$549,MATCH(AP$1,Kraftvärmeprod!$B$1:$BX$1,0),FALSE)</f>
        <v>598</v>
      </c>
      <c r="AQ396" s="31">
        <f>VLOOKUP($B396,Kraftvärmeprod!$B$1:$BX$549,MATCH(AQ$1,Kraftvärmeprod!$B$1:$BX$1,0),FALSE)</f>
        <v>192.93899999999999</v>
      </c>
      <c r="AR396" s="31">
        <f>VLOOKUP($B396,Kraftvärmeprod!$B$1:$BX$549,MATCH("Summa tillförd energi exklusive rökgaskondensering",Kraftvärmeprod!$B$1:$BX$1,0),FALSE)</f>
        <v>913.65199999999993</v>
      </c>
      <c r="AT396" s="32">
        <f t="shared" si="39"/>
        <v>0.46646753906301303</v>
      </c>
      <c r="AV396" s="31">
        <f t="shared" si="40"/>
        <v>150.38999999999999</v>
      </c>
      <c r="AX396" s="31" t="str">
        <f>VLOOKUP(B396,Totalt!$B$1:$BZ$554,MATCH(AX$1,Totalt!$B$1:$BZ$1,0),FALSE)</f>
        <v>Ja</v>
      </c>
      <c r="BA396" s="32">
        <f t="shared" si="41"/>
        <v>1.3605240975436625</v>
      </c>
    </row>
    <row r="397" spans="1:53" x14ac:dyDescent="0.45">
      <c r="A397" s="31" t="s">
        <v>162</v>
      </c>
      <c r="B397" s="31" t="s">
        <v>164</v>
      </c>
      <c r="J397" s="31">
        <v>0</v>
      </c>
      <c r="K397" s="31">
        <v>0</v>
      </c>
      <c r="L397" s="31">
        <v>0</v>
      </c>
      <c r="M397" s="31">
        <v>0</v>
      </c>
      <c r="N397" s="31">
        <v>0</v>
      </c>
      <c r="O397" s="31">
        <v>0</v>
      </c>
      <c r="P397" s="31">
        <v>0</v>
      </c>
      <c r="Q397" s="31">
        <v>0</v>
      </c>
      <c r="R397" s="31">
        <v>0</v>
      </c>
      <c r="S397" s="31">
        <v>0</v>
      </c>
      <c r="T397" s="31">
        <v>0</v>
      </c>
      <c r="U397" s="31">
        <v>0</v>
      </c>
      <c r="W397" s="31">
        <v>0</v>
      </c>
      <c r="X397" s="31">
        <v>0</v>
      </c>
      <c r="Y397" s="31">
        <v>0</v>
      </c>
      <c r="Z397" s="31">
        <v>0</v>
      </c>
      <c r="AA397" s="31">
        <v>0</v>
      </c>
      <c r="AB397" s="31">
        <v>0</v>
      </c>
      <c r="AC397" s="31">
        <v>0</v>
      </c>
      <c r="AD397" s="31">
        <v>0</v>
      </c>
      <c r="AE397" s="31">
        <v>0</v>
      </c>
      <c r="AF397" s="31">
        <v>0</v>
      </c>
      <c r="AG397" s="31">
        <v>0</v>
      </c>
      <c r="AH397" s="31">
        <v>0</v>
      </c>
      <c r="AI397" s="31">
        <v>0</v>
      </c>
      <c r="AL397" s="31">
        <f t="shared" si="36"/>
        <v>0</v>
      </c>
      <c r="AM397" s="31">
        <f t="shared" si="37"/>
        <v>0</v>
      </c>
      <c r="AN397" s="31">
        <f t="shared" si="38"/>
        <v>0</v>
      </c>
      <c r="AP397" s="31">
        <f>VLOOKUP($B397,Kraftvärmeprod!$B$1:$BX$549,MATCH(AP$1,Kraftvärmeprod!$B$1:$BX$1,0),FALSE)</f>
        <v>0</v>
      </c>
      <c r="AQ397" s="31">
        <f>VLOOKUP($B397,Kraftvärmeprod!$B$1:$BX$549,MATCH(AQ$1,Kraftvärmeprod!$B$1:$BX$1,0),FALSE)</f>
        <v>0</v>
      </c>
      <c r="AR397" s="31">
        <f>VLOOKUP($B397,Kraftvärmeprod!$B$1:$BX$549,MATCH("Summa tillförd energi exklusive rökgaskondensering",Kraftvärmeprod!$B$1:$BX$1,0),FALSE)</f>
        <v>0</v>
      </c>
      <c r="AT397" s="32" t="str">
        <f t="shared" si="39"/>
        <v/>
      </c>
      <c r="AV397" s="31">
        <f t="shared" si="40"/>
        <v>0</v>
      </c>
      <c r="AX397" s="31" t="str">
        <f>VLOOKUP(B397,Totalt!$B$1:$BZ$554,MATCH(AX$1,Totalt!$B$1:$BZ$1,0),FALSE)</f>
        <v>Ja</v>
      </c>
      <c r="BA397" s="32" t="str">
        <f t="shared" si="41"/>
        <v/>
      </c>
    </row>
    <row r="398" spans="1:53" x14ac:dyDescent="0.45">
      <c r="A398" s="31" t="s">
        <v>162</v>
      </c>
      <c r="B398" s="31" t="s">
        <v>163</v>
      </c>
      <c r="J398" s="31">
        <v>0</v>
      </c>
      <c r="K398" s="31">
        <v>0</v>
      </c>
      <c r="L398" s="31">
        <v>0</v>
      </c>
      <c r="M398" s="31">
        <v>0</v>
      </c>
      <c r="N398" s="31">
        <v>0</v>
      </c>
      <c r="O398" s="31">
        <v>0</v>
      </c>
      <c r="P398" s="31">
        <v>0</v>
      </c>
      <c r="Q398" s="31">
        <v>0</v>
      </c>
      <c r="R398" s="31">
        <v>0</v>
      </c>
      <c r="S398" s="31">
        <v>0</v>
      </c>
      <c r="T398" s="31">
        <v>0</v>
      </c>
      <c r="U398" s="31">
        <v>0</v>
      </c>
      <c r="W398" s="31">
        <v>0</v>
      </c>
      <c r="X398" s="31">
        <v>0</v>
      </c>
      <c r="Y398" s="31">
        <v>0</v>
      </c>
      <c r="Z398" s="31">
        <v>0</v>
      </c>
      <c r="AA398" s="31">
        <v>0</v>
      </c>
      <c r="AB398" s="31">
        <v>0</v>
      </c>
      <c r="AC398" s="31">
        <v>0</v>
      </c>
      <c r="AD398" s="31">
        <v>0</v>
      </c>
      <c r="AE398" s="31">
        <v>0</v>
      </c>
      <c r="AF398" s="31">
        <v>0</v>
      </c>
      <c r="AG398" s="31">
        <v>0</v>
      </c>
      <c r="AH398" s="31">
        <v>0</v>
      </c>
      <c r="AI398" s="31">
        <v>0</v>
      </c>
      <c r="AL398" s="31">
        <f t="shared" si="36"/>
        <v>0</v>
      </c>
      <c r="AM398" s="31">
        <f t="shared" si="37"/>
        <v>0</v>
      </c>
      <c r="AN398" s="31">
        <f t="shared" si="38"/>
        <v>0</v>
      </c>
      <c r="AP398" s="31">
        <f>VLOOKUP($B398,Kraftvärmeprod!$B$1:$BX$549,MATCH(AP$1,Kraftvärmeprod!$B$1:$BX$1,0),FALSE)</f>
        <v>0</v>
      </c>
      <c r="AQ398" s="31">
        <f>VLOOKUP($B398,Kraftvärmeprod!$B$1:$BX$549,MATCH(AQ$1,Kraftvärmeprod!$B$1:$BX$1,0),FALSE)</f>
        <v>0</v>
      </c>
      <c r="AR398" s="31">
        <f>VLOOKUP($B398,Kraftvärmeprod!$B$1:$BX$549,MATCH("Summa tillförd energi exklusive rökgaskondensering",Kraftvärmeprod!$B$1:$BX$1,0),FALSE)</f>
        <v>0</v>
      </c>
      <c r="AT398" s="32" t="str">
        <f t="shared" si="39"/>
        <v/>
      </c>
      <c r="AV398" s="31">
        <f t="shared" si="40"/>
        <v>0</v>
      </c>
      <c r="AX398" s="31" t="str">
        <f>VLOOKUP(B398,Totalt!$B$1:$BZ$554,MATCH(AX$1,Totalt!$B$1:$BZ$1,0),FALSE)</f>
        <v>Ja</v>
      </c>
      <c r="BA398" s="32" t="str">
        <f t="shared" si="41"/>
        <v/>
      </c>
    </row>
    <row r="399" spans="1:53" x14ac:dyDescent="0.45">
      <c r="A399" s="31" t="s">
        <v>162</v>
      </c>
      <c r="B399" s="31" t="s">
        <v>161</v>
      </c>
      <c r="J399" s="31">
        <v>0</v>
      </c>
      <c r="K399" s="31">
        <v>0</v>
      </c>
      <c r="L399" s="31">
        <v>0</v>
      </c>
      <c r="M399" s="31">
        <v>0</v>
      </c>
      <c r="N399" s="31">
        <v>0</v>
      </c>
      <c r="O399" s="31">
        <v>0</v>
      </c>
      <c r="P399" s="31">
        <v>0</v>
      </c>
      <c r="Q399" s="31">
        <v>0</v>
      </c>
      <c r="R399" s="31">
        <v>0</v>
      </c>
      <c r="S399" s="31">
        <v>0</v>
      </c>
      <c r="T399" s="31">
        <v>0</v>
      </c>
      <c r="U399" s="31">
        <v>0</v>
      </c>
      <c r="W399" s="31">
        <v>0</v>
      </c>
      <c r="X399" s="31">
        <v>0</v>
      </c>
      <c r="Y399" s="31">
        <v>0</v>
      </c>
      <c r="Z399" s="31">
        <v>0</v>
      </c>
      <c r="AA399" s="31">
        <v>0</v>
      </c>
      <c r="AB399" s="31">
        <v>0</v>
      </c>
      <c r="AC399" s="31">
        <v>0</v>
      </c>
      <c r="AD399" s="31">
        <v>0</v>
      </c>
      <c r="AE399" s="31">
        <v>0</v>
      </c>
      <c r="AF399" s="31">
        <v>0</v>
      </c>
      <c r="AG399" s="31">
        <v>0</v>
      </c>
      <c r="AH399" s="31">
        <v>0</v>
      </c>
      <c r="AI399" s="31">
        <v>0</v>
      </c>
      <c r="AL399" s="31">
        <f t="shared" si="36"/>
        <v>0</v>
      </c>
      <c r="AM399" s="31">
        <f t="shared" si="37"/>
        <v>0</v>
      </c>
      <c r="AN399" s="31">
        <f t="shared" si="38"/>
        <v>0</v>
      </c>
      <c r="AP399" s="31">
        <f>VLOOKUP($B399,Kraftvärmeprod!$B$1:$BX$549,MATCH(AP$1,Kraftvärmeprod!$B$1:$BX$1,0),FALSE)</f>
        <v>0</v>
      </c>
      <c r="AQ399" s="31">
        <f>VLOOKUP($B399,Kraftvärmeprod!$B$1:$BX$549,MATCH(AQ$1,Kraftvärmeprod!$B$1:$BX$1,0),FALSE)</f>
        <v>0</v>
      </c>
      <c r="AR399" s="31">
        <f>VLOOKUP($B399,Kraftvärmeprod!$B$1:$BX$549,MATCH("Summa tillförd energi exklusive rökgaskondensering",Kraftvärmeprod!$B$1:$BX$1,0),FALSE)</f>
        <v>0</v>
      </c>
      <c r="AT399" s="32" t="str">
        <f t="shared" si="39"/>
        <v/>
      </c>
      <c r="AV399" s="31">
        <f t="shared" si="40"/>
        <v>0</v>
      </c>
      <c r="AX399" s="31" t="str">
        <f>VLOOKUP(B399,Totalt!$B$1:$BZ$554,MATCH(AX$1,Totalt!$B$1:$BZ$1,0),FALSE)</f>
        <v>Ja</v>
      </c>
      <c r="BA399" s="32" t="str">
        <f t="shared" si="41"/>
        <v/>
      </c>
    </row>
    <row r="400" spans="1:53" x14ac:dyDescent="0.45">
      <c r="A400" s="31" t="s">
        <v>159</v>
      </c>
      <c r="B400" s="31" t="s">
        <v>158</v>
      </c>
      <c r="J400" s="31">
        <v>0</v>
      </c>
      <c r="K400" s="31">
        <v>0</v>
      </c>
      <c r="L400" s="31">
        <v>0</v>
      </c>
      <c r="M400" s="31">
        <v>0</v>
      </c>
      <c r="N400" s="31">
        <v>0</v>
      </c>
      <c r="O400" s="31">
        <v>0</v>
      </c>
      <c r="P400" s="31">
        <v>0</v>
      </c>
      <c r="Q400" s="31">
        <v>0</v>
      </c>
      <c r="R400" s="31">
        <v>0</v>
      </c>
      <c r="S400" s="31">
        <v>0</v>
      </c>
      <c r="T400" s="31">
        <v>0</v>
      </c>
      <c r="U400" s="31">
        <v>0</v>
      </c>
      <c r="W400" s="31">
        <v>0</v>
      </c>
      <c r="X400" s="31">
        <v>0</v>
      </c>
      <c r="Y400" s="31">
        <v>0</v>
      </c>
      <c r="Z400" s="31">
        <v>0</v>
      </c>
      <c r="AA400" s="31">
        <v>0</v>
      </c>
      <c r="AB400" s="31">
        <v>0</v>
      </c>
      <c r="AC400" s="31">
        <v>0</v>
      </c>
      <c r="AD400" s="31">
        <v>0</v>
      </c>
      <c r="AE400" s="31">
        <v>0</v>
      </c>
      <c r="AF400" s="31">
        <v>0</v>
      </c>
      <c r="AG400" s="31">
        <v>0</v>
      </c>
      <c r="AH400" s="31">
        <v>0</v>
      </c>
      <c r="AI400" s="31">
        <v>0</v>
      </c>
      <c r="AL400" s="31">
        <f t="shared" si="36"/>
        <v>0</v>
      </c>
      <c r="AM400" s="31">
        <f t="shared" si="37"/>
        <v>0</v>
      </c>
      <c r="AN400" s="31">
        <f t="shared" si="38"/>
        <v>0</v>
      </c>
      <c r="AP400" s="31">
        <f>VLOOKUP($B400,Kraftvärmeprod!$B$1:$BX$549,MATCH(AP$1,Kraftvärmeprod!$B$1:$BX$1,0),FALSE)</f>
        <v>0</v>
      </c>
      <c r="AQ400" s="31">
        <f>VLOOKUP($B400,Kraftvärmeprod!$B$1:$BX$549,MATCH(AQ$1,Kraftvärmeprod!$B$1:$BX$1,0),FALSE)</f>
        <v>0</v>
      </c>
      <c r="AR400" s="31">
        <f>VLOOKUP($B400,Kraftvärmeprod!$B$1:$BX$549,MATCH("Summa tillförd energi exklusive rökgaskondensering",Kraftvärmeprod!$B$1:$BX$1,0),FALSE)</f>
        <v>0</v>
      </c>
      <c r="AT400" s="32" t="str">
        <f t="shared" si="39"/>
        <v/>
      </c>
      <c r="AV400" s="31">
        <f t="shared" si="40"/>
        <v>0</v>
      </c>
      <c r="AX400" s="31" t="str">
        <f>VLOOKUP(B400,Totalt!$B$1:$BZ$554,MATCH(AX$1,Totalt!$B$1:$BZ$1,0),FALSE)</f>
        <v>Ja</v>
      </c>
      <c r="BA400" s="32" t="str">
        <f t="shared" si="41"/>
        <v/>
      </c>
    </row>
    <row r="401" spans="1:53" x14ac:dyDescent="0.45">
      <c r="A401" s="31" t="s">
        <v>157</v>
      </c>
      <c r="B401" s="31" t="s">
        <v>156</v>
      </c>
      <c r="J401" s="31">
        <v>0</v>
      </c>
      <c r="K401" s="31">
        <v>0</v>
      </c>
      <c r="L401" s="31">
        <v>0</v>
      </c>
      <c r="M401" s="31">
        <v>0</v>
      </c>
      <c r="N401" s="31">
        <v>0</v>
      </c>
      <c r="O401" s="31">
        <v>0</v>
      </c>
      <c r="P401" s="31">
        <v>0</v>
      </c>
      <c r="Q401" s="31">
        <v>0</v>
      </c>
      <c r="R401" s="31">
        <v>0</v>
      </c>
      <c r="S401" s="31">
        <v>0</v>
      </c>
      <c r="T401" s="31">
        <v>0</v>
      </c>
      <c r="U401" s="31">
        <v>0</v>
      </c>
      <c r="W401" s="31">
        <v>0</v>
      </c>
      <c r="X401" s="31">
        <v>0</v>
      </c>
      <c r="Y401" s="31">
        <v>0</v>
      </c>
      <c r="Z401" s="31">
        <v>0</v>
      </c>
      <c r="AA401" s="31">
        <v>0</v>
      </c>
      <c r="AB401" s="31">
        <v>0</v>
      </c>
      <c r="AC401" s="31">
        <v>0</v>
      </c>
      <c r="AD401" s="31">
        <v>0</v>
      </c>
      <c r="AE401" s="31">
        <v>0</v>
      </c>
      <c r="AF401" s="31">
        <v>0</v>
      </c>
      <c r="AG401" s="31">
        <v>0</v>
      </c>
      <c r="AH401" s="31">
        <v>0</v>
      </c>
      <c r="AI401" s="31">
        <v>0</v>
      </c>
      <c r="AL401" s="31">
        <f t="shared" si="36"/>
        <v>0</v>
      </c>
      <c r="AM401" s="31">
        <f t="shared" si="37"/>
        <v>0</v>
      </c>
      <c r="AN401" s="31">
        <f t="shared" si="38"/>
        <v>0</v>
      </c>
      <c r="AP401" s="31">
        <f>VLOOKUP($B401,Kraftvärmeprod!$B$1:$BX$549,MATCH(AP$1,Kraftvärmeprod!$B$1:$BX$1,0),FALSE)</f>
        <v>0</v>
      </c>
      <c r="AQ401" s="31">
        <f>VLOOKUP($B401,Kraftvärmeprod!$B$1:$BX$549,MATCH(AQ$1,Kraftvärmeprod!$B$1:$BX$1,0),FALSE)</f>
        <v>0</v>
      </c>
      <c r="AR401" s="31">
        <f>VLOOKUP($B401,Kraftvärmeprod!$B$1:$BX$549,MATCH("Summa tillförd energi exklusive rökgaskondensering",Kraftvärmeprod!$B$1:$BX$1,0),FALSE)</f>
        <v>0</v>
      </c>
      <c r="AT401" s="32" t="str">
        <f t="shared" si="39"/>
        <v/>
      </c>
      <c r="AV401" s="31">
        <f t="shared" si="40"/>
        <v>0</v>
      </c>
      <c r="AX401" s="31" t="str">
        <f>VLOOKUP(B401,Totalt!$B$1:$BZ$554,MATCH(AX$1,Totalt!$B$1:$BZ$1,0),FALSE)</f>
        <v>Ja</v>
      </c>
      <c r="BA401" s="32" t="str">
        <f t="shared" si="41"/>
        <v/>
      </c>
    </row>
    <row r="402" spans="1:53" x14ac:dyDescent="0.45">
      <c r="A402" s="31" t="s">
        <v>12</v>
      </c>
      <c r="B402" s="31" t="s">
        <v>14</v>
      </c>
      <c r="J402" s="31">
        <v>0</v>
      </c>
      <c r="K402" s="31">
        <v>0</v>
      </c>
      <c r="L402" s="31">
        <v>0</v>
      </c>
      <c r="M402" s="31">
        <v>0</v>
      </c>
      <c r="N402" s="31">
        <v>0</v>
      </c>
      <c r="O402" s="31">
        <v>0</v>
      </c>
      <c r="P402" s="31">
        <v>0</v>
      </c>
      <c r="Q402" s="31">
        <v>0</v>
      </c>
      <c r="R402" s="31">
        <v>0</v>
      </c>
      <c r="S402" s="31">
        <v>0</v>
      </c>
      <c r="T402" s="31">
        <v>0</v>
      </c>
      <c r="U402" s="31">
        <v>0</v>
      </c>
      <c r="W402" s="31">
        <v>0</v>
      </c>
      <c r="X402" s="31">
        <v>0</v>
      </c>
      <c r="Y402" s="31">
        <v>0</v>
      </c>
      <c r="Z402" s="31">
        <v>0</v>
      </c>
      <c r="AA402" s="31">
        <v>0</v>
      </c>
      <c r="AB402" s="31">
        <v>0</v>
      </c>
      <c r="AC402" s="31">
        <v>0</v>
      </c>
      <c r="AD402" s="31">
        <v>0</v>
      </c>
      <c r="AE402" s="31">
        <v>0</v>
      </c>
      <c r="AF402" s="31">
        <v>0</v>
      </c>
      <c r="AG402" s="31">
        <v>0</v>
      </c>
      <c r="AH402" s="31">
        <v>0</v>
      </c>
      <c r="AI402" s="31">
        <v>0</v>
      </c>
      <c r="AL402" s="31">
        <f t="shared" si="36"/>
        <v>0</v>
      </c>
      <c r="AM402" s="31">
        <f t="shared" si="37"/>
        <v>0</v>
      </c>
      <c r="AN402" s="31">
        <f t="shared" si="38"/>
        <v>0</v>
      </c>
      <c r="AP402" s="31">
        <f>VLOOKUP($B402,Kraftvärmeprod!$B$1:$BX$549,MATCH(AP$1,Kraftvärmeprod!$B$1:$BX$1,0),FALSE)</f>
        <v>0</v>
      </c>
      <c r="AQ402" s="31">
        <f>VLOOKUP($B402,Kraftvärmeprod!$B$1:$BX$549,MATCH(AQ$1,Kraftvärmeprod!$B$1:$BX$1,0),FALSE)</f>
        <v>0</v>
      </c>
      <c r="AR402" s="31">
        <f>VLOOKUP($B402,Kraftvärmeprod!$B$1:$BX$549,MATCH("Summa tillförd energi exklusive rökgaskondensering",Kraftvärmeprod!$B$1:$BX$1,0),FALSE)</f>
        <v>0</v>
      </c>
      <c r="AT402" s="32" t="str">
        <f t="shared" si="39"/>
        <v/>
      </c>
      <c r="AV402" s="31">
        <f t="shared" si="40"/>
        <v>0</v>
      </c>
      <c r="AX402" s="31" t="str">
        <f>VLOOKUP(B402,Totalt!$B$1:$BZ$554,MATCH(AX$1,Totalt!$B$1:$BZ$1,0),FALSE)</f>
        <v>Nej</v>
      </c>
      <c r="BA402" s="32" t="str">
        <f t="shared" si="41"/>
        <v/>
      </c>
    </row>
    <row r="403" spans="1:53" x14ac:dyDescent="0.45">
      <c r="A403" s="31" t="s">
        <v>149</v>
      </c>
      <c r="B403" s="31" t="s">
        <v>154</v>
      </c>
      <c r="J403" s="31">
        <v>0</v>
      </c>
      <c r="K403" s="31">
        <v>0</v>
      </c>
      <c r="L403" s="31">
        <v>0</v>
      </c>
      <c r="M403" s="31">
        <v>0</v>
      </c>
      <c r="N403" s="31">
        <v>0</v>
      </c>
      <c r="O403" s="31">
        <v>0</v>
      </c>
      <c r="P403" s="31">
        <v>0</v>
      </c>
      <c r="Q403" s="31">
        <v>0</v>
      </c>
      <c r="R403" s="31">
        <v>0</v>
      </c>
      <c r="S403" s="31">
        <v>0</v>
      </c>
      <c r="T403" s="31">
        <v>0</v>
      </c>
      <c r="U403" s="31">
        <v>0</v>
      </c>
      <c r="W403" s="31">
        <v>0</v>
      </c>
      <c r="X403" s="31">
        <v>0</v>
      </c>
      <c r="Y403" s="31">
        <v>0</v>
      </c>
      <c r="Z403" s="31">
        <v>0</v>
      </c>
      <c r="AA403" s="31">
        <v>0</v>
      </c>
      <c r="AB403" s="31">
        <v>0</v>
      </c>
      <c r="AC403" s="31">
        <v>0</v>
      </c>
      <c r="AD403" s="31">
        <v>0</v>
      </c>
      <c r="AE403" s="31">
        <v>0</v>
      </c>
      <c r="AF403" s="31">
        <v>0</v>
      </c>
      <c r="AG403" s="31">
        <v>0</v>
      </c>
      <c r="AH403" s="31">
        <v>0</v>
      </c>
      <c r="AI403" s="31">
        <v>0</v>
      </c>
      <c r="AL403" s="31">
        <f t="shared" si="36"/>
        <v>0</v>
      </c>
      <c r="AM403" s="31">
        <f t="shared" si="37"/>
        <v>0</v>
      </c>
      <c r="AN403" s="31">
        <f t="shared" si="38"/>
        <v>0</v>
      </c>
      <c r="AP403" s="31">
        <f>VLOOKUP($B403,Kraftvärmeprod!$B$1:$BX$549,MATCH(AP$1,Kraftvärmeprod!$B$1:$BX$1,0),FALSE)</f>
        <v>0</v>
      </c>
      <c r="AQ403" s="31">
        <f>VLOOKUP($B403,Kraftvärmeprod!$B$1:$BX$549,MATCH(AQ$1,Kraftvärmeprod!$B$1:$BX$1,0),FALSE)</f>
        <v>0</v>
      </c>
      <c r="AR403" s="31">
        <f>VLOOKUP($B403,Kraftvärmeprod!$B$1:$BX$549,MATCH("Summa tillförd energi exklusive rökgaskondensering",Kraftvärmeprod!$B$1:$BX$1,0),FALSE)</f>
        <v>0</v>
      </c>
      <c r="AT403" s="32" t="str">
        <f t="shared" si="39"/>
        <v/>
      </c>
      <c r="AV403" s="31">
        <f t="shared" si="40"/>
        <v>0</v>
      </c>
      <c r="AX403" s="31" t="str">
        <f>VLOOKUP(B403,Totalt!$B$1:$BZ$554,MATCH(AX$1,Totalt!$B$1:$BZ$1,0),FALSE)</f>
        <v>Ja</v>
      </c>
      <c r="BA403" s="32" t="str">
        <f t="shared" si="41"/>
        <v/>
      </c>
    </row>
    <row r="404" spans="1:53" x14ac:dyDescent="0.45">
      <c r="A404" s="31" t="s">
        <v>149</v>
      </c>
      <c r="B404" s="31" t="s">
        <v>153</v>
      </c>
      <c r="J404" s="31">
        <v>0</v>
      </c>
      <c r="K404" s="31">
        <v>0</v>
      </c>
      <c r="L404" s="31">
        <v>0</v>
      </c>
      <c r="M404" s="31">
        <v>0</v>
      </c>
      <c r="N404" s="31">
        <v>0</v>
      </c>
      <c r="O404" s="31">
        <v>0</v>
      </c>
      <c r="P404" s="31">
        <v>0</v>
      </c>
      <c r="Q404" s="31">
        <v>0</v>
      </c>
      <c r="R404" s="31">
        <v>0</v>
      </c>
      <c r="S404" s="31">
        <v>0</v>
      </c>
      <c r="T404" s="31">
        <v>0</v>
      </c>
      <c r="U404" s="31">
        <v>0</v>
      </c>
      <c r="W404" s="31">
        <v>0</v>
      </c>
      <c r="X404" s="31">
        <v>0</v>
      </c>
      <c r="Y404" s="31">
        <v>0</v>
      </c>
      <c r="Z404" s="31">
        <v>0</v>
      </c>
      <c r="AA404" s="31">
        <v>0</v>
      </c>
      <c r="AB404" s="31">
        <v>0</v>
      </c>
      <c r="AC404" s="31">
        <v>0</v>
      </c>
      <c r="AD404" s="31">
        <v>0</v>
      </c>
      <c r="AE404" s="31">
        <v>0</v>
      </c>
      <c r="AF404" s="31">
        <v>0</v>
      </c>
      <c r="AG404" s="31">
        <v>0</v>
      </c>
      <c r="AH404" s="31">
        <v>0</v>
      </c>
      <c r="AI404" s="31">
        <v>0</v>
      </c>
      <c r="AL404" s="31">
        <f t="shared" si="36"/>
        <v>0</v>
      </c>
      <c r="AM404" s="31">
        <f t="shared" si="37"/>
        <v>0</v>
      </c>
      <c r="AN404" s="31">
        <f t="shared" si="38"/>
        <v>0</v>
      </c>
      <c r="AP404" s="31">
        <f>VLOOKUP($B404,Kraftvärmeprod!$B$1:$BX$549,MATCH(AP$1,Kraftvärmeprod!$B$1:$BX$1,0),FALSE)</f>
        <v>0</v>
      </c>
      <c r="AQ404" s="31">
        <f>VLOOKUP($B404,Kraftvärmeprod!$B$1:$BX$549,MATCH(AQ$1,Kraftvärmeprod!$B$1:$BX$1,0),FALSE)</f>
        <v>0</v>
      </c>
      <c r="AR404" s="31">
        <f>VLOOKUP($B404,Kraftvärmeprod!$B$1:$BX$549,MATCH("Summa tillförd energi exklusive rökgaskondensering",Kraftvärmeprod!$B$1:$BX$1,0),FALSE)</f>
        <v>0</v>
      </c>
      <c r="AT404" s="32" t="str">
        <f t="shared" si="39"/>
        <v/>
      </c>
      <c r="AV404" s="31">
        <f t="shared" si="40"/>
        <v>0</v>
      </c>
      <c r="AX404" s="31" t="str">
        <f>VLOOKUP(B404,Totalt!$B$1:$BZ$554,MATCH(AX$1,Totalt!$B$1:$BZ$1,0),FALSE)</f>
        <v>Ja</v>
      </c>
      <c r="BA404" s="32" t="str">
        <f t="shared" si="41"/>
        <v/>
      </c>
    </row>
    <row r="405" spans="1:53" x14ac:dyDescent="0.45">
      <c r="A405" s="31" t="s">
        <v>149</v>
      </c>
      <c r="B405" s="31" t="s">
        <v>152</v>
      </c>
      <c r="J405" s="31">
        <v>0</v>
      </c>
      <c r="K405" s="31">
        <v>0</v>
      </c>
      <c r="L405" s="31">
        <v>0</v>
      </c>
      <c r="M405" s="31">
        <v>0</v>
      </c>
      <c r="N405" s="31">
        <v>0</v>
      </c>
      <c r="O405" s="31">
        <v>0</v>
      </c>
      <c r="P405" s="31">
        <v>0</v>
      </c>
      <c r="Q405" s="31">
        <v>0</v>
      </c>
      <c r="R405" s="31">
        <v>0</v>
      </c>
      <c r="S405" s="31">
        <v>0</v>
      </c>
      <c r="T405" s="31">
        <v>0</v>
      </c>
      <c r="U405" s="31">
        <v>0</v>
      </c>
      <c r="W405" s="31">
        <v>0</v>
      </c>
      <c r="X405" s="31">
        <v>0</v>
      </c>
      <c r="Y405" s="31">
        <v>0</v>
      </c>
      <c r="Z405" s="31">
        <v>0</v>
      </c>
      <c r="AA405" s="31">
        <v>0</v>
      </c>
      <c r="AB405" s="31">
        <v>0</v>
      </c>
      <c r="AC405" s="31">
        <v>0</v>
      </c>
      <c r="AD405" s="31">
        <v>0</v>
      </c>
      <c r="AE405" s="31">
        <v>0</v>
      </c>
      <c r="AF405" s="31">
        <v>0</v>
      </c>
      <c r="AG405" s="31">
        <v>0</v>
      </c>
      <c r="AH405" s="31">
        <v>0</v>
      </c>
      <c r="AI405" s="31">
        <v>0</v>
      </c>
      <c r="AL405" s="31">
        <f t="shared" si="36"/>
        <v>0</v>
      </c>
      <c r="AM405" s="31">
        <f t="shared" si="37"/>
        <v>0</v>
      </c>
      <c r="AN405" s="31">
        <f t="shared" si="38"/>
        <v>0</v>
      </c>
      <c r="AP405" s="31">
        <f>VLOOKUP($B405,Kraftvärmeprod!$B$1:$BX$549,MATCH(AP$1,Kraftvärmeprod!$B$1:$BX$1,0),FALSE)</f>
        <v>0</v>
      </c>
      <c r="AQ405" s="31">
        <f>VLOOKUP($B405,Kraftvärmeprod!$B$1:$BX$549,MATCH(AQ$1,Kraftvärmeprod!$B$1:$BX$1,0),FALSE)</f>
        <v>0</v>
      </c>
      <c r="AR405" s="31">
        <f>VLOOKUP($B405,Kraftvärmeprod!$B$1:$BX$549,MATCH("Summa tillförd energi exklusive rökgaskondensering",Kraftvärmeprod!$B$1:$BX$1,0),FALSE)</f>
        <v>0</v>
      </c>
      <c r="AT405" s="32" t="str">
        <f t="shared" si="39"/>
        <v/>
      </c>
      <c r="AV405" s="31">
        <f t="shared" si="40"/>
        <v>0</v>
      </c>
      <c r="AX405" s="31" t="str">
        <f>VLOOKUP(B405,Totalt!$B$1:$BZ$554,MATCH(AX$1,Totalt!$B$1:$BZ$1,0),FALSE)</f>
        <v>Ja</v>
      </c>
      <c r="BA405" s="32" t="str">
        <f t="shared" si="41"/>
        <v/>
      </c>
    </row>
    <row r="406" spans="1:53" x14ac:dyDescent="0.45">
      <c r="A406" s="31" t="s">
        <v>149</v>
      </c>
      <c r="B406" s="31" t="s">
        <v>151</v>
      </c>
      <c r="J406" s="31">
        <v>0</v>
      </c>
      <c r="K406" s="31">
        <v>0</v>
      </c>
      <c r="L406" s="31">
        <v>0</v>
      </c>
      <c r="M406" s="31">
        <v>0</v>
      </c>
      <c r="N406" s="31">
        <v>0</v>
      </c>
      <c r="O406" s="31">
        <v>0</v>
      </c>
      <c r="P406" s="31">
        <v>0</v>
      </c>
      <c r="Q406" s="31">
        <v>0</v>
      </c>
      <c r="R406" s="31">
        <v>0</v>
      </c>
      <c r="S406" s="31">
        <v>0</v>
      </c>
      <c r="T406" s="31">
        <v>0</v>
      </c>
      <c r="U406" s="31">
        <v>0</v>
      </c>
      <c r="W406" s="31">
        <v>0</v>
      </c>
      <c r="X406" s="31">
        <v>0</v>
      </c>
      <c r="Y406" s="31">
        <v>0</v>
      </c>
      <c r="Z406" s="31">
        <v>0</v>
      </c>
      <c r="AA406" s="31">
        <v>0</v>
      </c>
      <c r="AB406" s="31">
        <v>0</v>
      </c>
      <c r="AC406" s="31">
        <v>0</v>
      </c>
      <c r="AD406" s="31">
        <v>0</v>
      </c>
      <c r="AE406" s="31">
        <v>0</v>
      </c>
      <c r="AF406" s="31">
        <v>0</v>
      </c>
      <c r="AG406" s="31">
        <v>0</v>
      </c>
      <c r="AH406" s="31">
        <v>0</v>
      </c>
      <c r="AI406" s="31">
        <v>0</v>
      </c>
      <c r="AL406" s="31">
        <f t="shared" si="36"/>
        <v>0</v>
      </c>
      <c r="AM406" s="31">
        <f t="shared" si="37"/>
        <v>0</v>
      </c>
      <c r="AN406" s="31">
        <f t="shared" si="38"/>
        <v>0</v>
      </c>
      <c r="AP406" s="31">
        <f>VLOOKUP($B406,Kraftvärmeprod!$B$1:$BX$549,MATCH(AP$1,Kraftvärmeprod!$B$1:$BX$1,0),FALSE)</f>
        <v>0</v>
      </c>
      <c r="AQ406" s="31">
        <f>VLOOKUP($B406,Kraftvärmeprod!$B$1:$BX$549,MATCH(AQ$1,Kraftvärmeprod!$B$1:$BX$1,0),FALSE)</f>
        <v>0</v>
      </c>
      <c r="AR406" s="31">
        <f>VLOOKUP($B406,Kraftvärmeprod!$B$1:$BX$549,MATCH("Summa tillförd energi exklusive rökgaskondensering",Kraftvärmeprod!$B$1:$BX$1,0),FALSE)</f>
        <v>0</v>
      </c>
      <c r="AT406" s="32" t="str">
        <f t="shared" si="39"/>
        <v/>
      </c>
      <c r="AV406" s="31">
        <f t="shared" si="40"/>
        <v>0</v>
      </c>
      <c r="AX406" s="31" t="str">
        <f>VLOOKUP(B406,Totalt!$B$1:$BZ$554,MATCH(AX$1,Totalt!$B$1:$BZ$1,0),FALSE)</f>
        <v>Ja</v>
      </c>
      <c r="BA406" s="32" t="str">
        <f t="shared" si="41"/>
        <v/>
      </c>
    </row>
    <row r="407" spans="1:53" x14ac:dyDescent="0.45">
      <c r="A407" s="31" t="s">
        <v>149</v>
      </c>
      <c r="B407" s="31" t="s">
        <v>148</v>
      </c>
      <c r="J407" s="31">
        <v>0</v>
      </c>
      <c r="K407" s="31">
        <v>0</v>
      </c>
      <c r="L407" s="31">
        <v>0</v>
      </c>
      <c r="M407" s="31">
        <v>0.33373599999999998</v>
      </c>
      <c r="N407" s="31">
        <v>0</v>
      </c>
      <c r="O407" s="31">
        <v>0</v>
      </c>
      <c r="P407" s="31">
        <v>4.5151899999999996</v>
      </c>
      <c r="Q407" s="31">
        <v>58.976799999999997</v>
      </c>
      <c r="R407" s="31">
        <v>11.3775</v>
      </c>
      <c r="S407" s="31">
        <v>24.6876</v>
      </c>
      <c r="T407" s="31">
        <v>0</v>
      </c>
      <c r="U407" s="31">
        <v>0</v>
      </c>
      <c r="W407" s="31">
        <v>0</v>
      </c>
      <c r="X407" s="31">
        <v>0</v>
      </c>
      <c r="Y407" s="31">
        <v>0</v>
      </c>
      <c r="Z407" s="31">
        <v>0</v>
      </c>
      <c r="AA407" s="31">
        <v>0</v>
      </c>
      <c r="AB407" s="31">
        <v>0</v>
      </c>
      <c r="AC407" s="31">
        <v>0</v>
      </c>
      <c r="AD407" s="31">
        <v>23.380099999999999</v>
      </c>
      <c r="AE407" s="31">
        <v>0</v>
      </c>
      <c r="AF407" s="31">
        <v>1.4822900000000001</v>
      </c>
      <c r="AG407" s="31">
        <v>0</v>
      </c>
      <c r="AH407" s="31">
        <v>89.873999999999995</v>
      </c>
      <c r="AI407" s="31">
        <v>5.4249200000000002</v>
      </c>
      <c r="AL407" s="31">
        <f t="shared" si="36"/>
        <v>220.05213600000002</v>
      </c>
      <c r="AM407" s="31">
        <f t="shared" si="37"/>
        <v>214.62721600000003</v>
      </c>
      <c r="AN407" s="31">
        <f t="shared" si="38"/>
        <v>124.75321600000004</v>
      </c>
      <c r="AP407" s="31">
        <f>VLOOKUP($B407,Kraftvärmeprod!$B$1:$BX$549,MATCH(AP$1,Kraftvärmeprod!$B$1:$BX$1,0),FALSE)</f>
        <v>177.11099999999999</v>
      </c>
      <c r="AQ407" s="31">
        <f>VLOOKUP($B407,Kraftvärmeprod!$B$1:$BX$549,MATCH(AQ$1,Kraftvärmeprod!$B$1:$BX$1,0),FALSE)</f>
        <v>88.486000000000004</v>
      </c>
      <c r="AR407" s="31">
        <f>VLOOKUP($B407,Kraftvärmeprod!$B$1:$BX$549,MATCH("Summa tillförd energi exklusive rökgaskondensering",Kraftvärmeprod!$B$1:$BX$1,0),FALSE)</f>
        <v>282.16499999999996</v>
      </c>
      <c r="AT407" s="32">
        <f t="shared" si="39"/>
        <v>0.44212859851505343</v>
      </c>
      <c r="AV407" s="31">
        <f t="shared" si="40"/>
        <v>99.557090000000002</v>
      </c>
      <c r="AX407" s="31" t="str">
        <f>VLOOKUP(B407,Totalt!$B$1:$BZ$554,MATCH(AX$1,Totalt!$B$1:$BZ$1,0),FALSE)</f>
        <v>Ja</v>
      </c>
      <c r="BA407" s="32">
        <f t="shared" si="41"/>
        <v>1.3605280075603472</v>
      </c>
    </row>
    <row r="408" spans="1:53" x14ac:dyDescent="0.45">
      <c r="A408" s="31" t="s">
        <v>149</v>
      </c>
      <c r="B408" s="31" t="s">
        <v>150</v>
      </c>
      <c r="J408" s="31">
        <v>0</v>
      </c>
      <c r="K408" s="31">
        <v>5.9916499999999999</v>
      </c>
      <c r="L408" s="31">
        <v>0</v>
      </c>
      <c r="M408" s="31">
        <v>0.99251699999999998</v>
      </c>
      <c r="N408" s="31">
        <v>0</v>
      </c>
      <c r="O408" s="31">
        <v>0</v>
      </c>
      <c r="P408" s="31">
        <v>9.7331199999999995</v>
      </c>
      <c r="Q408" s="31">
        <v>114.2</v>
      </c>
      <c r="R408" s="31">
        <v>19.855</v>
      </c>
      <c r="S408" s="31">
        <v>44.587800000000001</v>
      </c>
      <c r="T408" s="31">
        <v>0</v>
      </c>
      <c r="U408" s="31">
        <v>0</v>
      </c>
      <c r="W408" s="31">
        <v>0</v>
      </c>
      <c r="X408" s="31">
        <v>0</v>
      </c>
      <c r="Y408" s="31">
        <v>0</v>
      </c>
      <c r="Z408" s="31">
        <v>0</v>
      </c>
      <c r="AA408" s="31">
        <v>0</v>
      </c>
      <c r="AB408" s="31">
        <v>0</v>
      </c>
      <c r="AC408" s="31">
        <v>0</v>
      </c>
      <c r="AD408" s="31">
        <v>39.6402</v>
      </c>
      <c r="AE408" s="31">
        <v>0</v>
      </c>
      <c r="AF408" s="31">
        <v>2.2696299999999998</v>
      </c>
      <c r="AG408" s="31">
        <v>0</v>
      </c>
      <c r="AH408" s="31">
        <v>0</v>
      </c>
      <c r="AI408" s="31">
        <v>8.8352000000000004</v>
      </c>
      <c r="AL408" s="31">
        <f t="shared" si="36"/>
        <v>246.10511699999995</v>
      </c>
      <c r="AM408" s="31">
        <f t="shared" si="37"/>
        <v>237.26991699999996</v>
      </c>
      <c r="AN408" s="31">
        <f t="shared" si="38"/>
        <v>237.26991699999996</v>
      </c>
      <c r="AP408" s="31">
        <f>VLOOKUP($B408,Kraftvärmeprod!$B$1:$BX$549,MATCH(AP$1,Kraftvärmeprod!$B$1:$BX$1,0),FALSE)</f>
        <v>266.27100000000002</v>
      </c>
      <c r="AQ408" s="31">
        <f>VLOOKUP($B408,Kraftvärmeprod!$B$1:$BX$549,MATCH(AQ$1,Kraftvärmeprod!$B$1:$BX$1,0),FALSE)</f>
        <v>98.875</v>
      </c>
      <c r="AR408" s="31">
        <f>VLOOKUP($B408,Kraftvärmeprod!$B$1:$BX$549,MATCH("Summa tillförd energi exklusive rökgaskondensering",Kraftvärmeprod!$B$1:$BX$1,0),FALSE)</f>
        <v>459.19499999999999</v>
      </c>
      <c r="AT408" s="32">
        <f t="shared" si="39"/>
        <v>0.51670840710373578</v>
      </c>
      <c r="AV408" s="31">
        <f t="shared" si="40"/>
        <v>188.37592000000001</v>
      </c>
      <c r="AX408" s="31" t="str">
        <f>VLOOKUP(B408,Totalt!$B$1:$BZ$554,MATCH(AX$1,Totalt!$B$1:$BZ$1,0),FALSE)</f>
        <v>Ja</v>
      </c>
      <c r="BA408" s="32">
        <f t="shared" si="41"/>
        <v>1.0819401207330446</v>
      </c>
    </row>
  </sheetData>
  <autoFilter ref="A1:BA1" xr:uid="{5B327663-6DE4-42F7-8F9C-5C508BC4F0AF}">
    <sortState xmlns:xlrd2="http://schemas.microsoft.com/office/spreadsheetml/2017/richdata2" ref="A2:BA408">
      <sortCondition ref="A1"/>
    </sortState>
  </autoFilter>
  <conditionalFormatting sqref="B1">
    <cfRule type="duplicateValues" dxfId="60" priority="3"/>
  </conditionalFormatting>
  <conditionalFormatting sqref="B1">
    <cfRule type="duplicateValues" dxfId="59" priority="2"/>
  </conditionalFormatting>
  <conditionalFormatting sqref="B1:B1048576">
    <cfRule type="duplicateValues" dxfId="58" priority="1"/>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B309-CA0F-4C5B-A57D-453F14F05CFA}">
  <sheetPr codeName="Blad8">
    <tabColor theme="9" tint="0.39997558519241921"/>
  </sheetPr>
  <dimension ref="A1:AT410"/>
  <sheetViews>
    <sheetView workbookViewId="0">
      <pane xSplit="2" ySplit="2" topLeftCell="AA3" activePane="bottomRight" state="frozen"/>
      <selection pane="topRight" activeCell="C1" sqref="C1"/>
      <selection pane="bottomLeft" activeCell="A3" sqref="A3"/>
      <selection pane="bottomRight" activeCell="AF18" sqref="AF18"/>
    </sheetView>
  </sheetViews>
  <sheetFormatPr defaultRowHeight="14.25" x14ac:dyDescent="0.45"/>
  <cols>
    <col min="1" max="1" width="30" style="31" customWidth="1"/>
    <col min="2" max="2" width="50" style="31" customWidth="1"/>
    <col min="3" max="31" width="9.1328125" style="31"/>
    <col min="35" max="35" width="9.3984375" style="40" bestFit="1" customWidth="1"/>
    <col min="44" max="44" width="13" customWidth="1"/>
  </cols>
  <sheetData>
    <row r="1" spans="1:46" ht="78" customHeight="1" x14ac:dyDescent="0.7">
      <c r="A1" s="347" t="s">
        <v>1236</v>
      </c>
      <c r="B1" s="347"/>
      <c r="C1"/>
      <c r="D1"/>
      <c r="E1"/>
      <c r="F1" s="33" t="s">
        <v>1228</v>
      </c>
      <c r="G1" s="34"/>
      <c r="H1" s="34"/>
      <c r="I1" s="34"/>
      <c r="J1" s="34"/>
      <c r="K1"/>
      <c r="L1"/>
      <c r="M1"/>
      <c r="N1"/>
      <c r="O1"/>
      <c r="P1"/>
      <c r="Q1"/>
      <c r="R1"/>
      <c r="S1"/>
      <c r="T1"/>
      <c r="U1"/>
      <c r="V1"/>
      <c r="W1"/>
      <c r="X1"/>
      <c r="Y1"/>
      <c r="Z1"/>
      <c r="AA1"/>
      <c r="AB1"/>
      <c r="AC1"/>
      <c r="AD1"/>
      <c r="AE1"/>
    </row>
    <row r="2" spans="1:46" ht="142.9" thickBot="1" x14ac:dyDescent="0.5">
      <c r="A2" s="23" t="s">
        <v>724</v>
      </c>
      <c r="B2" s="23" t="s">
        <v>2</v>
      </c>
      <c r="C2" s="23" t="s">
        <v>733</v>
      </c>
      <c r="D2" s="23" t="s">
        <v>732</v>
      </c>
      <c r="E2" s="23"/>
      <c r="F2" s="23" t="s">
        <v>720</v>
      </c>
      <c r="G2" s="23" t="s">
        <v>719</v>
      </c>
      <c r="H2" s="23" t="s">
        <v>718</v>
      </c>
      <c r="I2" s="23" t="s">
        <v>717</v>
      </c>
      <c r="J2" s="23" t="s">
        <v>716</v>
      </c>
      <c r="K2" s="23" t="s">
        <v>714</v>
      </c>
      <c r="L2" s="23" t="s">
        <v>713</v>
      </c>
      <c r="M2" s="23" t="s">
        <v>712</v>
      </c>
      <c r="N2" s="23" t="s">
        <v>711</v>
      </c>
      <c r="O2" s="23" t="s">
        <v>710</v>
      </c>
      <c r="P2" s="23" t="s">
        <v>709</v>
      </c>
      <c r="Q2" s="23" t="s">
        <v>708</v>
      </c>
      <c r="R2" s="23" t="s">
        <v>707</v>
      </c>
      <c r="S2" s="23" t="s">
        <v>706</v>
      </c>
      <c r="T2" s="23" t="s">
        <v>705</v>
      </c>
      <c r="U2" s="23" t="s">
        <v>704</v>
      </c>
      <c r="V2" s="23" t="s">
        <v>703</v>
      </c>
      <c r="W2" s="23" t="s">
        <v>702</v>
      </c>
      <c r="X2" s="23" t="s">
        <v>701</v>
      </c>
      <c r="Y2" s="23" t="s">
        <v>700</v>
      </c>
      <c r="Z2" s="23" t="s">
        <v>699</v>
      </c>
      <c r="AA2" s="23" t="s">
        <v>698</v>
      </c>
      <c r="AB2" s="23" t="s">
        <v>694</v>
      </c>
      <c r="AC2" s="23" t="s">
        <v>715</v>
      </c>
      <c r="AD2" s="23" t="s">
        <v>728</v>
      </c>
      <c r="AE2" s="29" t="s">
        <v>1203</v>
      </c>
      <c r="AI2" s="36" t="s">
        <v>1229</v>
      </c>
      <c r="AJ2" s="36"/>
      <c r="AK2" s="37" t="s">
        <v>1230</v>
      </c>
      <c r="AL2" s="36"/>
      <c r="AM2" s="38" t="s">
        <v>1231</v>
      </c>
      <c r="AO2" s="35" t="s">
        <v>1232</v>
      </c>
      <c r="AP2" t="s">
        <v>1233</v>
      </c>
      <c r="AR2" s="24" t="s">
        <v>1234</v>
      </c>
      <c r="AT2" t="s">
        <v>1235</v>
      </c>
    </row>
    <row r="3" spans="1:46" s="31" customFormat="1" x14ac:dyDescent="0.45">
      <c r="A3" s="31" t="s">
        <v>15</v>
      </c>
      <c r="B3" s="31" t="s">
        <v>24</v>
      </c>
      <c r="C3" s="31" t="str">
        <f>IFERROR(VLOOKUP($B3,Kraftvärmeprod!$B$1:$AH$479,MATCH(C$2,Kraftvärmeprod!$B$1:$AG$1,0),FALSE)/1,"")</f>
        <v/>
      </c>
      <c r="D3" s="31" t="str">
        <f>IFERROR(VLOOKUP($B3,Kraftvärmeprod!$B$1:$AH$479,MATCH(D$2,Kraftvärmeprod!$B$1:$AG$1,0),FALSE)/1,"")</f>
        <v/>
      </c>
      <c r="F3" s="31" t="str">
        <f>IF($D3="","",IFERROR(VLOOKUP($B3,Kraftvärmeprod!$B$1:$BX$550,MATCH(F$2,Kraftvärmeprod!$B$1:$VX$1,0),FALSE)/1,0)-IFERROR(VLOOKUP($B3,'Slutlig allokering kvv'!$B$2:$BX$550,MATCH(F$2,'Slutlig allokering kvv'!$B$1:$BX$1,0),FALSE)/1,0))</f>
        <v/>
      </c>
      <c r="G3" s="31" t="str">
        <f>IF($D3="","",IFERROR(VLOOKUP($B3,Kraftvärmeprod!$B$1:$BX$550,MATCH(G$2,Kraftvärmeprod!$B$1:$VX$1,0),FALSE)/1,0)-IFERROR(VLOOKUP($B3,'Slutlig allokering kvv'!$B$2:$BX$550,MATCH(G$2,'Slutlig allokering kvv'!$B$1:$BX$1,0),FALSE)/1,0))</f>
        <v/>
      </c>
      <c r="H3" s="31" t="str">
        <f>IF($D3="","",IFERROR(VLOOKUP($B3,Kraftvärmeprod!$B$1:$BX$550,MATCH(H$2,Kraftvärmeprod!$B$1:$VX$1,0),FALSE)/1,0)-IFERROR(VLOOKUP($B3,'Slutlig allokering kvv'!$B$2:$BX$550,MATCH(H$2,'Slutlig allokering kvv'!$B$1:$BX$1,0),FALSE)/1,0))</f>
        <v/>
      </c>
      <c r="I3" s="31" t="str">
        <f>IF($D3="","",IFERROR(VLOOKUP($B3,Kraftvärmeprod!$B$1:$BX$550,MATCH(I$2,Kraftvärmeprod!$B$1:$VX$1,0),FALSE)/1,0)-IFERROR(VLOOKUP($B3,'Slutlig allokering kvv'!$B$2:$BX$550,MATCH(I$2,'Slutlig allokering kvv'!$B$1:$BX$1,0),FALSE)/1,0))</f>
        <v/>
      </c>
      <c r="J3" s="31" t="str">
        <f>IF($D3="","",IFERROR(VLOOKUP($B3,Kraftvärmeprod!$B$1:$BX$550,MATCH(J$2,Kraftvärmeprod!$B$1:$VX$1,0),FALSE)/1,0)-IFERROR(VLOOKUP($B3,'Slutlig allokering kvv'!$B$2:$BX$550,MATCH(J$2,'Slutlig allokering kvv'!$B$1:$BX$1,0),FALSE)/1,0))</f>
        <v/>
      </c>
      <c r="K3" s="31" t="str">
        <f>IF($D3="","",IFERROR(VLOOKUP($B3,Kraftvärmeprod!$B$1:$BX$550,MATCH(K$2,Kraftvärmeprod!$B$1:$VX$1,0),FALSE)/1,0)-IFERROR(VLOOKUP($B3,'Slutlig allokering kvv'!$B$2:$BX$550,MATCH(K$2,'Slutlig allokering kvv'!$B$1:$BX$1,0),FALSE)/1,0))</f>
        <v/>
      </c>
      <c r="L3" s="31" t="str">
        <f>IF($D3="","",IFERROR(VLOOKUP($B3,Kraftvärmeprod!$B$1:$BX$550,MATCH(L$2,Kraftvärmeprod!$B$1:$VX$1,0),FALSE)/1,0)-IFERROR(VLOOKUP($B3,'Slutlig allokering kvv'!$B$2:$BX$550,MATCH(L$2,'Slutlig allokering kvv'!$B$1:$BX$1,0),FALSE)/1,0))</f>
        <v/>
      </c>
      <c r="M3" s="31" t="str">
        <f>IF($D3="","",IFERROR(VLOOKUP($B3,Kraftvärmeprod!$B$1:$BX$550,MATCH(M$2,Kraftvärmeprod!$B$1:$VX$1,0),FALSE)/1,0)-IFERROR(VLOOKUP($B3,'Slutlig allokering kvv'!$B$2:$BX$550,MATCH(M$2,'Slutlig allokering kvv'!$B$1:$BX$1,0),FALSE)/1,0))</f>
        <v/>
      </c>
      <c r="N3" s="31" t="str">
        <f>IF($D3="","",IFERROR(VLOOKUP($B3,Kraftvärmeprod!$B$1:$BX$550,MATCH(N$2,Kraftvärmeprod!$B$1:$VX$1,0),FALSE)/1,0)-IFERROR(VLOOKUP($B3,'Slutlig allokering kvv'!$B$2:$BX$550,MATCH(N$2,'Slutlig allokering kvv'!$B$1:$BX$1,0),FALSE)/1,0))</f>
        <v/>
      </c>
      <c r="O3" s="31" t="str">
        <f>IF($D3="","",IFERROR(VLOOKUP($B3,Kraftvärmeprod!$B$1:$BX$550,MATCH(O$2,Kraftvärmeprod!$B$1:$VX$1,0),FALSE)/1,0)-IFERROR(VLOOKUP($B3,'Slutlig allokering kvv'!$B$2:$BX$550,MATCH(O$2,'Slutlig allokering kvv'!$B$1:$BX$1,0),FALSE)/1,0))</f>
        <v/>
      </c>
      <c r="P3" s="31" t="str">
        <f>IF($D3="","",IFERROR(VLOOKUP($B3,Kraftvärmeprod!$B$1:$BX$550,MATCH(P$2,Kraftvärmeprod!$B$1:$VX$1,0),FALSE)/1,0)-IFERROR(VLOOKUP($B3,'Slutlig allokering kvv'!$B$2:$BX$550,MATCH(P$2,'Slutlig allokering kvv'!$B$1:$BX$1,0),FALSE)/1,0))</f>
        <v/>
      </c>
      <c r="Q3" s="31" t="str">
        <f>IF($D3="","",IFERROR(VLOOKUP($B3,Kraftvärmeprod!$B$1:$BX$550,MATCH(Q$2,Kraftvärmeprod!$B$1:$VX$1,0),FALSE)/1,0)-IFERROR(VLOOKUP($B3,'Slutlig allokering kvv'!$B$2:$BX$550,MATCH(Q$2,'Slutlig allokering kvv'!$B$1:$BX$1,0),FALSE)/1,0))</f>
        <v/>
      </c>
      <c r="R3" s="31" t="str">
        <f>IF($D3="","",IFERROR(VLOOKUP($B3,Kraftvärmeprod!$B$1:$BX$550,MATCH(R$2,Kraftvärmeprod!$B$1:$VX$1,0),FALSE)/1,0)-IFERROR(VLOOKUP($B3,'Slutlig allokering kvv'!$B$2:$BX$550,MATCH(R$2,'Slutlig allokering kvv'!$B$1:$BX$1,0),FALSE)/1,0))</f>
        <v/>
      </c>
      <c r="S3" s="31" t="str">
        <f>IF($D3="","",IFERROR(VLOOKUP($B3,Kraftvärmeprod!$B$1:$BX$550,MATCH(S$2,Kraftvärmeprod!$B$1:$VX$1,0),FALSE)/1,0)-IFERROR(VLOOKUP($B3,'Slutlig allokering kvv'!$B$2:$BX$550,MATCH(S$2,'Slutlig allokering kvv'!$B$1:$BX$1,0),FALSE)/1,0))</f>
        <v/>
      </c>
      <c r="T3" s="31" t="str">
        <f>IF($D3="","",IFERROR(VLOOKUP($B3,Kraftvärmeprod!$B$1:$BX$550,MATCH(T$2,Kraftvärmeprod!$B$1:$VX$1,0),FALSE)/1,0)-IFERROR(VLOOKUP($B3,'Slutlig allokering kvv'!$B$2:$BX$550,MATCH(T$2,'Slutlig allokering kvv'!$B$1:$BX$1,0),FALSE)/1,0))</f>
        <v/>
      </c>
      <c r="U3" s="31" t="str">
        <f>IF($D3="","",IFERROR(VLOOKUP($B3,Kraftvärmeprod!$B$1:$BX$550,MATCH(U$2,Kraftvärmeprod!$B$1:$VX$1,0),FALSE)/1,0)-IFERROR(VLOOKUP($B3,'Slutlig allokering kvv'!$B$2:$BX$550,MATCH(U$2,'Slutlig allokering kvv'!$B$1:$BX$1,0),FALSE)/1,0))</f>
        <v/>
      </c>
      <c r="V3" s="31" t="str">
        <f>IF($D3="","",IFERROR(VLOOKUP($B3,Kraftvärmeprod!$B$1:$BX$550,MATCH(V$2,Kraftvärmeprod!$B$1:$VX$1,0),FALSE)/1,0)-IFERROR(VLOOKUP($B3,'Slutlig allokering kvv'!$B$2:$BX$550,MATCH(V$2,'Slutlig allokering kvv'!$B$1:$BX$1,0),FALSE)/1,0))</f>
        <v/>
      </c>
      <c r="W3" s="31" t="str">
        <f>IF($D3="","",IFERROR(VLOOKUP($B3,Kraftvärmeprod!$B$1:$BX$550,MATCH(W$2,Kraftvärmeprod!$B$1:$VX$1,0),FALSE)/1,0)-IFERROR(VLOOKUP($B3,'Slutlig allokering kvv'!$B$2:$BX$550,MATCH(W$2,'Slutlig allokering kvv'!$B$1:$BX$1,0),FALSE)/1,0))</f>
        <v/>
      </c>
      <c r="X3" s="31" t="str">
        <f>IF($D3="","",IFERROR(VLOOKUP($B3,Kraftvärmeprod!$B$1:$BX$550,MATCH(X$2,Kraftvärmeprod!$B$1:$VX$1,0),FALSE)/1,0)-IFERROR(VLOOKUP($B3,'Slutlig allokering kvv'!$B$2:$BX$550,MATCH(X$2,'Slutlig allokering kvv'!$B$1:$BX$1,0),FALSE)/1,0))</f>
        <v/>
      </c>
      <c r="Y3" s="31" t="str">
        <f>IF($D3="","",IFERROR(VLOOKUP($B3,Kraftvärmeprod!$B$1:$BX$550,MATCH(Y$2,Kraftvärmeprod!$B$1:$VX$1,0),FALSE)/1,0)-IFERROR(VLOOKUP($B3,'Slutlig allokering kvv'!$B$2:$BX$550,MATCH(Y$2,'Slutlig allokering kvv'!$B$1:$BX$1,0),FALSE)/1,0))</f>
        <v/>
      </c>
      <c r="Z3" s="31" t="str">
        <f>IF($D3="","",IFERROR(VLOOKUP($B3,Kraftvärmeprod!$B$1:$BX$550,MATCH(Z$2,Kraftvärmeprod!$B$1:$VX$1,0),FALSE)/1,0)-IFERROR(VLOOKUP($B3,'Slutlig allokering kvv'!$B$2:$BX$550,MATCH(Z$2,'Slutlig allokering kvv'!$B$1:$BX$1,0),FALSE)/1,0))</f>
        <v/>
      </c>
      <c r="AA3" s="31" t="str">
        <f>IF($D3="","",IFERROR(VLOOKUP($B3,Kraftvärmeprod!$B$1:$BX$550,MATCH(AA$2,Kraftvärmeprod!$B$1:$VX$1,0),FALSE)/1,0)-IFERROR(VLOOKUP($B3,'Slutlig allokering kvv'!$B$2:$BX$550,MATCH(AA$2,'Slutlig allokering kvv'!$B$1:$BX$1,0),FALSE)/1,0))</f>
        <v/>
      </c>
      <c r="AB3" s="31" t="str">
        <f>IF($D3="","",IFERROR(VLOOKUP($B3,Kraftvärmeprod!$B$1:$BX$550,MATCH(AB$2,Kraftvärmeprod!$B$1:$VX$1,0),FALSE)/1,0)-IFERROR(VLOOKUP($B3,'Slutlig allokering kvv'!$B$2:$BX$550,MATCH(AB$2,'Slutlig allokering kvv'!$B$1:$BX$1,0),FALSE)/1,0))</f>
        <v/>
      </c>
      <c r="AC3" s="31" t="str">
        <f>IF($D3="","",IFERROR(VLOOKUP($B3,Kraftvärmeprod!$B$1:$BX$550,MATCH(AC$2,Kraftvärmeprod!$B$1:$VX$1,0),FALSE)/1,0)-IFERROR(VLOOKUP($B3,'Slutlig allokering kvv'!$B$2:$BX$550,MATCH(AC$2,'Slutlig allokering kvv'!$B$1:$BX$1,0),FALSE)/1,0))</f>
        <v/>
      </c>
      <c r="AD3" s="31" t="str">
        <f>IF($D3="","",IFERROR(VLOOKUP($B3,Kraftvärmeprod!$B$1:$BX$550,MATCH(AD$2,Kraftvärmeprod!$B$1:$VX$1,0),FALSE)/1,0)-IFERROR(VLOOKUP($B3,'Slutlig allokering kvv'!$B$2:$BX$550,MATCH(AD$2,'Slutlig allokering kvv'!$B$1:$BX$1,0),FALSE)/1,0))</f>
        <v/>
      </c>
      <c r="AE3" s="31" t="str">
        <f>IF($D3="","",IFERROR(VLOOKUP($B3,Miljö!$B$1:$E$550,MATCH("Hjälpel kraftvärme (GWh)",Miljö!$B$1:$E$1,0),FALSE)/1,0)-IFERROR(VLOOKUP($B3,'Slutlig allokering kvv'!$B$2:$BX$549,MATCH(AE$2,'Slutlig allokering kvv'!$B$1:$BX$1,0),FALSE)/1,0))</f>
        <v/>
      </c>
      <c r="AI3" s="39">
        <f>SUM(F3:AC3)</f>
        <v>0</v>
      </c>
      <c r="AK3" s="31">
        <f>IFERROR(VLOOKUP($B3,'Slutlig allokering kvv'!$B$2:$AX$549,MATCH("Summa slutlig allokerad tillförd energi (utan hjälpel och rökgaskondensering):",'Slutlig allokering kvv'!$B$1:$AX$1,0),FALSE)/1,"")</f>
        <v>0</v>
      </c>
      <c r="AM3" s="31" t="str">
        <f>IFERROR(1-VLOOKUP($B3,'Slutlig allokering kvv'!$B$2:$AX$549,MATCH("Andel av bränsle i kvv som allokerats till värme, exklusive rökgaskondensering och hjälpel",'Slutlig allokering kvv'!$B$1:$AX$1,0),FALSE),"")</f>
        <v/>
      </c>
      <c r="AO3" s="31" t="str">
        <f>IFERROR(AI3/(AI3+AK3),"")</f>
        <v/>
      </c>
      <c r="AP3" s="31" t="str">
        <f>IFERROR(AM3-AO3,"")</f>
        <v/>
      </c>
      <c r="AR3" s="32" t="str">
        <f>IFERROR(D3/(AI3+AE3),"")</f>
        <v/>
      </c>
    </row>
    <row r="4" spans="1:46" s="31" customFormat="1" x14ac:dyDescent="0.45">
      <c r="A4" s="31" t="s">
        <v>15</v>
      </c>
      <c r="B4" s="31" t="s">
        <v>16</v>
      </c>
      <c r="C4" s="31" t="str">
        <f>IFERROR(VLOOKUP($B4,Kraftvärmeprod!$B$1:$AH$479,MATCH(C$2,Kraftvärmeprod!$B$1:$AG$1,0),FALSE)/1,"")</f>
        <v/>
      </c>
      <c r="D4" s="31" t="str">
        <f>IFERROR(VLOOKUP($B4,Kraftvärmeprod!$B$1:$AH$479,MATCH(D$2,Kraftvärmeprod!$B$1:$AG$1,0),FALSE)/1,"")</f>
        <v/>
      </c>
      <c r="F4" s="31" t="str">
        <f>IF($D4="","",IFERROR(VLOOKUP($B4,Kraftvärmeprod!$B$1:$BX$550,MATCH(F$2,Kraftvärmeprod!$B$1:$VX$1,0),FALSE)/1,0)-IFERROR(VLOOKUP($B4,'Slutlig allokering kvv'!$B$2:$BX$550,MATCH(F$2,'Slutlig allokering kvv'!$B$1:$BX$1,0),FALSE)/1,0))</f>
        <v/>
      </c>
      <c r="G4" s="31" t="str">
        <f>IF($D4="","",IFERROR(VLOOKUP($B4,Kraftvärmeprod!$B$1:$BX$550,MATCH(G$2,Kraftvärmeprod!$B$1:$VX$1,0),FALSE)/1,0)-IFERROR(VLOOKUP($B4,'Slutlig allokering kvv'!$B$2:$BX$550,MATCH(G$2,'Slutlig allokering kvv'!$B$1:$BX$1,0),FALSE)/1,0))</f>
        <v/>
      </c>
      <c r="H4" s="31" t="str">
        <f>IF($D4="","",IFERROR(VLOOKUP($B4,Kraftvärmeprod!$B$1:$BX$550,MATCH(H$2,Kraftvärmeprod!$B$1:$VX$1,0),FALSE)/1,0)-IFERROR(VLOOKUP($B4,'Slutlig allokering kvv'!$B$2:$BX$550,MATCH(H$2,'Slutlig allokering kvv'!$B$1:$BX$1,0),FALSE)/1,0))</f>
        <v/>
      </c>
      <c r="I4" s="31" t="str">
        <f>IF($D4="","",IFERROR(VLOOKUP($B4,Kraftvärmeprod!$B$1:$BX$550,MATCH(I$2,Kraftvärmeprod!$B$1:$VX$1,0),FALSE)/1,0)-IFERROR(VLOOKUP($B4,'Slutlig allokering kvv'!$B$2:$BX$550,MATCH(I$2,'Slutlig allokering kvv'!$B$1:$BX$1,0),FALSE)/1,0))</f>
        <v/>
      </c>
      <c r="J4" s="31" t="str">
        <f>IF($D4="","",IFERROR(VLOOKUP($B4,Kraftvärmeprod!$B$1:$BX$550,MATCH(J$2,Kraftvärmeprod!$B$1:$VX$1,0),FALSE)/1,0)-IFERROR(VLOOKUP($B4,'Slutlig allokering kvv'!$B$2:$BX$550,MATCH(J$2,'Slutlig allokering kvv'!$B$1:$BX$1,0),FALSE)/1,0))</f>
        <v/>
      </c>
      <c r="K4" s="31" t="str">
        <f>IF($D4="","",IFERROR(VLOOKUP($B4,Kraftvärmeprod!$B$1:$BX$550,MATCH(K$2,Kraftvärmeprod!$B$1:$VX$1,0),FALSE)/1,0)-IFERROR(VLOOKUP($B4,'Slutlig allokering kvv'!$B$2:$BX$550,MATCH(K$2,'Slutlig allokering kvv'!$B$1:$BX$1,0),FALSE)/1,0))</f>
        <v/>
      </c>
      <c r="L4" s="31" t="str">
        <f>IF($D4="","",IFERROR(VLOOKUP($B4,Kraftvärmeprod!$B$1:$BX$550,MATCH(L$2,Kraftvärmeprod!$B$1:$VX$1,0),FALSE)/1,0)-IFERROR(VLOOKUP($B4,'Slutlig allokering kvv'!$B$2:$BX$550,MATCH(L$2,'Slutlig allokering kvv'!$B$1:$BX$1,0),FALSE)/1,0))</f>
        <v/>
      </c>
      <c r="M4" s="31" t="str">
        <f>IF($D4="","",IFERROR(VLOOKUP($B4,Kraftvärmeprod!$B$1:$BX$550,MATCH(M$2,Kraftvärmeprod!$B$1:$VX$1,0),FALSE)/1,0)-IFERROR(VLOOKUP($B4,'Slutlig allokering kvv'!$B$2:$BX$550,MATCH(M$2,'Slutlig allokering kvv'!$B$1:$BX$1,0),FALSE)/1,0))</f>
        <v/>
      </c>
      <c r="N4" s="31" t="str">
        <f>IF($D4="","",IFERROR(VLOOKUP($B4,Kraftvärmeprod!$B$1:$BX$550,MATCH(N$2,Kraftvärmeprod!$B$1:$VX$1,0),FALSE)/1,0)-IFERROR(VLOOKUP($B4,'Slutlig allokering kvv'!$B$2:$BX$550,MATCH(N$2,'Slutlig allokering kvv'!$B$1:$BX$1,0),FALSE)/1,0))</f>
        <v/>
      </c>
      <c r="O4" s="31" t="str">
        <f>IF($D4="","",IFERROR(VLOOKUP($B4,Kraftvärmeprod!$B$1:$BX$550,MATCH(O$2,Kraftvärmeprod!$B$1:$VX$1,0),FALSE)/1,0)-IFERROR(VLOOKUP($B4,'Slutlig allokering kvv'!$B$2:$BX$550,MATCH(O$2,'Slutlig allokering kvv'!$B$1:$BX$1,0),FALSE)/1,0))</f>
        <v/>
      </c>
      <c r="P4" s="31" t="str">
        <f>IF($D4="","",IFERROR(VLOOKUP($B4,Kraftvärmeprod!$B$1:$BX$550,MATCH(P$2,Kraftvärmeprod!$B$1:$VX$1,0),FALSE)/1,0)-IFERROR(VLOOKUP($B4,'Slutlig allokering kvv'!$B$2:$BX$550,MATCH(P$2,'Slutlig allokering kvv'!$B$1:$BX$1,0),FALSE)/1,0))</f>
        <v/>
      </c>
      <c r="Q4" s="31" t="str">
        <f>IF($D4="","",IFERROR(VLOOKUP($B4,Kraftvärmeprod!$B$1:$BX$550,MATCH(Q$2,Kraftvärmeprod!$B$1:$VX$1,0),FALSE)/1,0)-IFERROR(VLOOKUP($B4,'Slutlig allokering kvv'!$B$2:$BX$550,MATCH(Q$2,'Slutlig allokering kvv'!$B$1:$BX$1,0),FALSE)/1,0))</f>
        <v/>
      </c>
      <c r="R4" s="31" t="str">
        <f>IF($D4="","",IFERROR(VLOOKUP($B4,Kraftvärmeprod!$B$1:$BX$550,MATCH(R$2,Kraftvärmeprod!$B$1:$VX$1,0),FALSE)/1,0)-IFERROR(VLOOKUP($B4,'Slutlig allokering kvv'!$B$2:$BX$550,MATCH(R$2,'Slutlig allokering kvv'!$B$1:$BX$1,0),FALSE)/1,0))</f>
        <v/>
      </c>
      <c r="S4" s="31" t="str">
        <f>IF($D4="","",IFERROR(VLOOKUP($B4,Kraftvärmeprod!$B$1:$BX$550,MATCH(S$2,Kraftvärmeprod!$B$1:$VX$1,0),FALSE)/1,0)-IFERROR(VLOOKUP($B4,'Slutlig allokering kvv'!$B$2:$BX$550,MATCH(S$2,'Slutlig allokering kvv'!$B$1:$BX$1,0),FALSE)/1,0))</f>
        <v/>
      </c>
      <c r="T4" s="31" t="str">
        <f>IF($D4="","",IFERROR(VLOOKUP($B4,Kraftvärmeprod!$B$1:$BX$550,MATCH(T$2,Kraftvärmeprod!$B$1:$VX$1,0),FALSE)/1,0)-IFERROR(VLOOKUP($B4,'Slutlig allokering kvv'!$B$2:$BX$550,MATCH(T$2,'Slutlig allokering kvv'!$B$1:$BX$1,0),FALSE)/1,0))</f>
        <v/>
      </c>
      <c r="U4" s="31" t="str">
        <f>IF($D4="","",IFERROR(VLOOKUP($B4,Kraftvärmeprod!$B$1:$BX$550,MATCH(U$2,Kraftvärmeprod!$B$1:$VX$1,0),FALSE)/1,0)-IFERROR(VLOOKUP($B4,'Slutlig allokering kvv'!$B$2:$BX$550,MATCH(U$2,'Slutlig allokering kvv'!$B$1:$BX$1,0),FALSE)/1,0))</f>
        <v/>
      </c>
      <c r="V4" s="31" t="str">
        <f>IF($D4="","",IFERROR(VLOOKUP($B4,Kraftvärmeprod!$B$1:$BX$550,MATCH(V$2,Kraftvärmeprod!$B$1:$VX$1,0),FALSE)/1,0)-IFERROR(VLOOKUP($B4,'Slutlig allokering kvv'!$B$2:$BX$550,MATCH(V$2,'Slutlig allokering kvv'!$B$1:$BX$1,0),FALSE)/1,0))</f>
        <v/>
      </c>
      <c r="W4" s="31" t="str">
        <f>IF($D4="","",IFERROR(VLOOKUP($B4,Kraftvärmeprod!$B$1:$BX$550,MATCH(W$2,Kraftvärmeprod!$B$1:$VX$1,0),FALSE)/1,0)-IFERROR(VLOOKUP($B4,'Slutlig allokering kvv'!$B$2:$BX$550,MATCH(W$2,'Slutlig allokering kvv'!$B$1:$BX$1,0),FALSE)/1,0))</f>
        <v/>
      </c>
      <c r="X4" s="31" t="str">
        <f>IF($D4="","",IFERROR(VLOOKUP($B4,Kraftvärmeprod!$B$1:$BX$550,MATCH(X$2,Kraftvärmeprod!$B$1:$VX$1,0),FALSE)/1,0)-IFERROR(VLOOKUP($B4,'Slutlig allokering kvv'!$B$2:$BX$550,MATCH(X$2,'Slutlig allokering kvv'!$B$1:$BX$1,0),FALSE)/1,0))</f>
        <v/>
      </c>
      <c r="Y4" s="31" t="str">
        <f>IF($D4="","",IFERROR(VLOOKUP($B4,Kraftvärmeprod!$B$1:$BX$550,MATCH(Y$2,Kraftvärmeprod!$B$1:$VX$1,0),FALSE)/1,0)-IFERROR(VLOOKUP($B4,'Slutlig allokering kvv'!$B$2:$BX$550,MATCH(Y$2,'Slutlig allokering kvv'!$B$1:$BX$1,0),FALSE)/1,0))</f>
        <v/>
      </c>
      <c r="Z4" s="31" t="str">
        <f>IF($D4="","",IFERROR(VLOOKUP($B4,Kraftvärmeprod!$B$1:$BX$550,MATCH(Z$2,Kraftvärmeprod!$B$1:$VX$1,0),FALSE)/1,0)-IFERROR(VLOOKUP($B4,'Slutlig allokering kvv'!$B$2:$BX$550,MATCH(Z$2,'Slutlig allokering kvv'!$B$1:$BX$1,0),FALSE)/1,0))</f>
        <v/>
      </c>
      <c r="AA4" s="31" t="str">
        <f>IF($D4="","",IFERROR(VLOOKUP($B4,Kraftvärmeprod!$B$1:$BX$550,MATCH(AA$2,Kraftvärmeprod!$B$1:$VX$1,0),FALSE)/1,0)-IFERROR(VLOOKUP($B4,'Slutlig allokering kvv'!$B$2:$BX$550,MATCH(AA$2,'Slutlig allokering kvv'!$B$1:$BX$1,0),FALSE)/1,0))</f>
        <v/>
      </c>
      <c r="AB4" s="31" t="str">
        <f>IF($D4="","",IFERROR(VLOOKUP($B4,Kraftvärmeprod!$B$1:$BX$550,MATCH(AB$2,Kraftvärmeprod!$B$1:$VX$1,0),FALSE)/1,0)-IFERROR(VLOOKUP($B4,'Slutlig allokering kvv'!$B$2:$BX$550,MATCH(AB$2,'Slutlig allokering kvv'!$B$1:$BX$1,0),FALSE)/1,0))</f>
        <v/>
      </c>
      <c r="AC4" s="31" t="str">
        <f>IF($D4="","",IFERROR(VLOOKUP($B4,Kraftvärmeprod!$B$1:$BX$550,MATCH(AC$2,Kraftvärmeprod!$B$1:$VX$1,0),FALSE)/1,0)-IFERROR(VLOOKUP($B4,'Slutlig allokering kvv'!$B$2:$BX$550,MATCH(AC$2,'Slutlig allokering kvv'!$B$1:$BX$1,0),FALSE)/1,0))</f>
        <v/>
      </c>
      <c r="AD4" s="31" t="str">
        <f>IF($D4="","",IFERROR(VLOOKUP($B4,Kraftvärmeprod!$B$1:$BX$550,MATCH(AD$2,Kraftvärmeprod!$B$1:$VX$1,0),FALSE)/1,0)-IFERROR(VLOOKUP($B4,'Slutlig allokering kvv'!$B$2:$BX$550,MATCH(AD$2,'Slutlig allokering kvv'!$B$1:$BX$1,0),FALSE)/1,0))</f>
        <v/>
      </c>
      <c r="AE4" s="31" t="str">
        <f>IF($D4="","",IFERROR(VLOOKUP($B4,Miljö!$B$1:$E$550,MATCH("Hjälpel kraftvärme (GWh)",Miljö!$B$1:$E$1,0),FALSE)/1,0)-IFERROR(VLOOKUP($B4,'Slutlig allokering kvv'!$B$2:$BX$549,MATCH(AE$2,'Slutlig allokering kvv'!$B$1:$BX$1,0),FALSE)/1,0))</f>
        <v/>
      </c>
      <c r="AI4" s="39">
        <f t="shared" ref="AI4:AI67" si="0">SUM(F4:AC4)</f>
        <v>0</v>
      </c>
      <c r="AK4" s="31">
        <f>IFERROR(VLOOKUP($B4,'Slutlig allokering kvv'!$B$2:$AX$549,MATCH("Summa slutlig allokerad tillförd energi (utan hjälpel och rökgaskondensering):",'Slutlig allokering kvv'!$B$1:$AX$1,0),FALSE)/1,"")</f>
        <v>0</v>
      </c>
      <c r="AM4" s="31" t="str">
        <f>IFERROR(1-VLOOKUP($B4,'Slutlig allokering kvv'!$B$2:$AX$549,MATCH("Andel av bränsle i kvv som allokerats till värme, exklusive rökgaskondensering och hjälpel",'Slutlig allokering kvv'!$B$1:$AX$1,0),FALSE),"")</f>
        <v/>
      </c>
      <c r="AO4" s="31" t="str">
        <f t="shared" ref="AO4:AO67" si="1">IFERROR(AI4/(AI4+AK4),"")</f>
        <v/>
      </c>
      <c r="AP4" s="31" t="str">
        <f t="shared" ref="AP4:AP67" si="2">IFERROR(AM4-AO4,"")</f>
        <v/>
      </c>
      <c r="AR4" s="32" t="str">
        <f t="shared" ref="AR4:AR67" si="3">IFERROR(D4/(AI4+AE4),"")</f>
        <v/>
      </c>
    </row>
    <row r="5" spans="1:46" s="31" customFormat="1" x14ac:dyDescent="0.45">
      <c r="A5" s="31" t="s">
        <v>15</v>
      </c>
      <c r="B5" s="31" t="s">
        <v>18</v>
      </c>
      <c r="C5" s="31" t="str">
        <f>IFERROR(VLOOKUP($B5,Kraftvärmeprod!$B$1:$AH$479,MATCH(C$2,Kraftvärmeprod!$B$1:$AG$1,0),FALSE)/1,"")</f>
        <v/>
      </c>
      <c r="D5" s="31" t="str">
        <f>IFERROR(VLOOKUP($B5,Kraftvärmeprod!$B$1:$AH$479,MATCH(D$2,Kraftvärmeprod!$B$1:$AG$1,0),FALSE)/1,"")</f>
        <v/>
      </c>
      <c r="F5" s="31" t="str">
        <f>IF($D5="","",IFERROR(VLOOKUP($B5,Kraftvärmeprod!$B$1:$BX$550,MATCH(F$2,Kraftvärmeprod!$B$1:$VX$1,0),FALSE)/1,0)-IFERROR(VLOOKUP($B5,'Slutlig allokering kvv'!$B$2:$BX$550,MATCH(F$2,'Slutlig allokering kvv'!$B$1:$BX$1,0),FALSE)/1,0))</f>
        <v/>
      </c>
      <c r="G5" s="31" t="str">
        <f>IF($D5="","",IFERROR(VLOOKUP($B5,Kraftvärmeprod!$B$1:$BX$550,MATCH(G$2,Kraftvärmeprod!$B$1:$VX$1,0),FALSE)/1,0)-IFERROR(VLOOKUP($B5,'Slutlig allokering kvv'!$B$2:$BX$550,MATCH(G$2,'Slutlig allokering kvv'!$B$1:$BX$1,0),FALSE)/1,0))</f>
        <v/>
      </c>
      <c r="H5" s="31" t="str">
        <f>IF($D5="","",IFERROR(VLOOKUP($B5,Kraftvärmeprod!$B$1:$BX$550,MATCH(H$2,Kraftvärmeprod!$B$1:$VX$1,0),FALSE)/1,0)-IFERROR(VLOOKUP($B5,'Slutlig allokering kvv'!$B$2:$BX$550,MATCH(H$2,'Slutlig allokering kvv'!$B$1:$BX$1,0),FALSE)/1,0))</f>
        <v/>
      </c>
      <c r="I5" s="31" t="str">
        <f>IF($D5="","",IFERROR(VLOOKUP($B5,Kraftvärmeprod!$B$1:$BX$550,MATCH(I$2,Kraftvärmeprod!$B$1:$VX$1,0),FALSE)/1,0)-IFERROR(VLOOKUP($B5,'Slutlig allokering kvv'!$B$2:$BX$550,MATCH(I$2,'Slutlig allokering kvv'!$B$1:$BX$1,0),FALSE)/1,0))</f>
        <v/>
      </c>
      <c r="J5" s="31" t="str">
        <f>IF($D5="","",IFERROR(VLOOKUP($B5,Kraftvärmeprod!$B$1:$BX$550,MATCH(J$2,Kraftvärmeprod!$B$1:$VX$1,0),FALSE)/1,0)-IFERROR(VLOOKUP($B5,'Slutlig allokering kvv'!$B$2:$BX$550,MATCH(J$2,'Slutlig allokering kvv'!$B$1:$BX$1,0),FALSE)/1,0))</f>
        <v/>
      </c>
      <c r="K5" s="31" t="str">
        <f>IF($D5="","",IFERROR(VLOOKUP($B5,Kraftvärmeprod!$B$1:$BX$550,MATCH(K$2,Kraftvärmeprod!$B$1:$VX$1,0),FALSE)/1,0)-IFERROR(VLOOKUP($B5,'Slutlig allokering kvv'!$B$2:$BX$550,MATCH(K$2,'Slutlig allokering kvv'!$B$1:$BX$1,0),FALSE)/1,0))</f>
        <v/>
      </c>
      <c r="L5" s="31" t="str">
        <f>IF($D5="","",IFERROR(VLOOKUP($B5,Kraftvärmeprod!$B$1:$BX$550,MATCH(L$2,Kraftvärmeprod!$B$1:$VX$1,0),FALSE)/1,0)-IFERROR(VLOOKUP($B5,'Slutlig allokering kvv'!$B$2:$BX$550,MATCH(L$2,'Slutlig allokering kvv'!$B$1:$BX$1,0),FALSE)/1,0))</f>
        <v/>
      </c>
      <c r="M5" s="31" t="str">
        <f>IF($D5="","",IFERROR(VLOOKUP($B5,Kraftvärmeprod!$B$1:$BX$550,MATCH(M$2,Kraftvärmeprod!$B$1:$VX$1,0),FALSE)/1,0)-IFERROR(VLOOKUP($B5,'Slutlig allokering kvv'!$B$2:$BX$550,MATCH(M$2,'Slutlig allokering kvv'!$B$1:$BX$1,0),FALSE)/1,0))</f>
        <v/>
      </c>
      <c r="N5" s="31" t="str">
        <f>IF($D5="","",IFERROR(VLOOKUP($B5,Kraftvärmeprod!$B$1:$BX$550,MATCH(N$2,Kraftvärmeprod!$B$1:$VX$1,0),FALSE)/1,0)-IFERROR(VLOOKUP($B5,'Slutlig allokering kvv'!$B$2:$BX$550,MATCH(N$2,'Slutlig allokering kvv'!$B$1:$BX$1,0),FALSE)/1,0))</f>
        <v/>
      </c>
      <c r="O5" s="31" t="str">
        <f>IF($D5="","",IFERROR(VLOOKUP($B5,Kraftvärmeprod!$B$1:$BX$550,MATCH(O$2,Kraftvärmeprod!$B$1:$VX$1,0),FALSE)/1,0)-IFERROR(VLOOKUP($B5,'Slutlig allokering kvv'!$B$2:$BX$550,MATCH(O$2,'Slutlig allokering kvv'!$B$1:$BX$1,0),FALSE)/1,0))</f>
        <v/>
      </c>
      <c r="P5" s="31" t="str">
        <f>IF($D5="","",IFERROR(VLOOKUP($B5,Kraftvärmeprod!$B$1:$BX$550,MATCH(P$2,Kraftvärmeprod!$B$1:$VX$1,0),FALSE)/1,0)-IFERROR(VLOOKUP($B5,'Slutlig allokering kvv'!$B$2:$BX$550,MATCH(P$2,'Slutlig allokering kvv'!$B$1:$BX$1,0),FALSE)/1,0))</f>
        <v/>
      </c>
      <c r="Q5" s="31" t="str">
        <f>IF($D5="","",IFERROR(VLOOKUP($B5,Kraftvärmeprod!$B$1:$BX$550,MATCH(Q$2,Kraftvärmeprod!$B$1:$VX$1,0),FALSE)/1,0)-IFERROR(VLOOKUP($B5,'Slutlig allokering kvv'!$B$2:$BX$550,MATCH(Q$2,'Slutlig allokering kvv'!$B$1:$BX$1,0),FALSE)/1,0))</f>
        <v/>
      </c>
      <c r="R5" s="31" t="str">
        <f>IF($D5="","",IFERROR(VLOOKUP($B5,Kraftvärmeprod!$B$1:$BX$550,MATCH(R$2,Kraftvärmeprod!$B$1:$VX$1,0),FALSE)/1,0)-IFERROR(VLOOKUP($B5,'Slutlig allokering kvv'!$B$2:$BX$550,MATCH(R$2,'Slutlig allokering kvv'!$B$1:$BX$1,0),FALSE)/1,0))</f>
        <v/>
      </c>
      <c r="S5" s="31" t="str">
        <f>IF($D5="","",IFERROR(VLOOKUP($B5,Kraftvärmeprod!$B$1:$BX$550,MATCH(S$2,Kraftvärmeprod!$B$1:$VX$1,0),FALSE)/1,0)-IFERROR(VLOOKUP($B5,'Slutlig allokering kvv'!$B$2:$BX$550,MATCH(S$2,'Slutlig allokering kvv'!$B$1:$BX$1,0),FALSE)/1,0))</f>
        <v/>
      </c>
      <c r="T5" s="31" t="str">
        <f>IF($D5="","",IFERROR(VLOOKUP($B5,Kraftvärmeprod!$B$1:$BX$550,MATCH(T$2,Kraftvärmeprod!$B$1:$VX$1,0),FALSE)/1,0)-IFERROR(VLOOKUP($B5,'Slutlig allokering kvv'!$B$2:$BX$550,MATCH(T$2,'Slutlig allokering kvv'!$B$1:$BX$1,0),FALSE)/1,0))</f>
        <v/>
      </c>
      <c r="U5" s="31" t="str">
        <f>IF($D5="","",IFERROR(VLOOKUP($B5,Kraftvärmeprod!$B$1:$BX$550,MATCH(U$2,Kraftvärmeprod!$B$1:$VX$1,0),FALSE)/1,0)-IFERROR(VLOOKUP($B5,'Slutlig allokering kvv'!$B$2:$BX$550,MATCH(U$2,'Slutlig allokering kvv'!$B$1:$BX$1,0),FALSE)/1,0))</f>
        <v/>
      </c>
      <c r="V5" s="31" t="str">
        <f>IF($D5="","",IFERROR(VLOOKUP($B5,Kraftvärmeprod!$B$1:$BX$550,MATCH(V$2,Kraftvärmeprod!$B$1:$VX$1,0),FALSE)/1,0)-IFERROR(VLOOKUP($B5,'Slutlig allokering kvv'!$B$2:$BX$550,MATCH(V$2,'Slutlig allokering kvv'!$B$1:$BX$1,0),FALSE)/1,0))</f>
        <v/>
      </c>
      <c r="W5" s="31" t="str">
        <f>IF($D5="","",IFERROR(VLOOKUP($B5,Kraftvärmeprod!$B$1:$BX$550,MATCH(W$2,Kraftvärmeprod!$B$1:$VX$1,0),FALSE)/1,0)-IFERROR(VLOOKUP($B5,'Slutlig allokering kvv'!$B$2:$BX$550,MATCH(W$2,'Slutlig allokering kvv'!$B$1:$BX$1,0),FALSE)/1,0))</f>
        <v/>
      </c>
      <c r="X5" s="31" t="str">
        <f>IF($D5="","",IFERROR(VLOOKUP($B5,Kraftvärmeprod!$B$1:$BX$550,MATCH(X$2,Kraftvärmeprod!$B$1:$VX$1,0),FALSE)/1,0)-IFERROR(VLOOKUP($B5,'Slutlig allokering kvv'!$B$2:$BX$550,MATCH(X$2,'Slutlig allokering kvv'!$B$1:$BX$1,0),FALSE)/1,0))</f>
        <v/>
      </c>
      <c r="Y5" s="31" t="str">
        <f>IF($D5="","",IFERROR(VLOOKUP($B5,Kraftvärmeprod!$B$1:$BX$550,MATCH(Y$2,Kraftvärmeprod!$B$1:$VX$1,0),FALSE)/1,0)-IFERROR(VLOOKUP($B5,'Slutlig allokering kvv'!$B$2:$BX$550,MATCH(Y$2,'Slutlig allokering kvv'!$B$1:$BX$1,0),FALSE)/1,0))</f>
        <v/>
      </c>
      <c r="Z5" s="31" t="str">
        <f>IF($D5="","",IFERROR(VLOOKUP($B5,Kraftvärmeprod!$B$1:$BX$550,MATCH(Z$2,Kraftvärmeprod!$B$1:$VX$1,0),FALSE)/1,0)-IFERROR(VLOOKUP($B5,'Slutlig allokering kvv'!$B$2:$BX$550,MATCH(Z$2,'Slutlig allokering kvv'!$B$1:$BX$1,0),FALSE)/1,0))</f>
        <v/>
      </c>
      <c r="AA5" s="31" t="str">
        <f>IF($D5="","",IFERROR(VLOOKUP($B5,Kraftvärmeprod!$B$1:$BX$550,MATCH(AA$2,Kraftvärmeprod!$B$1:$VX$1,0),FALSE)/1,0)-IFERROR(VLOOKUP($B5,'Slutlig allokering kvv'!$B$2:$BX$550,MATCH(AA$2,'Slutlig allokering kvv'!$B$1:$BX$1,0),FALSE)/1,0))</f>
        <v/>
      </c>
      <c r="AB5" s="31" t="str">
        <f>IF($D5="","",IFERROR(VLOOKUP($B5,Kraftvärmeprod!$B$1:$BX$550,MATCH(AB$2,Kraftvärmeprod!$B$1:$VX$1,0),FALSE)/1,0)-IFERROR(VLOOKUP($B5,'Slutlig allokering kvv'!$B$2:$BX$550,MATCH(AB$2,'Slutlig allokering kvv'!$B$1:$BX$1,0),FALSE)/1,0))</f>
        <v/>
      </c>
      <c r="AC5" s="31" t="str">
        <f>IF($D5="","",IFERROR(VLOOKUP($B5,Kraftvärmeprod!$B$1:$BX$550,MATCH(AC$2,Kraftvärmeprod!$B$1:$VX$1,0),FALSE)/1,0)-IFERROR(VLOOKUP($B5,'Slutlig allokering kvv'!$B$2:$BX$550,MATCH(AC$2,'Slutlig allokering kvv'!$B$1:$BX$1,0),FALSE)/1,0))</f>
        <v/>
      </c>
      <c r="AD5" s="31" t="str">
        <f>IF($D5="","",IFERROR(VLOOKUP($B5,Kraftvärmeprod!$B$1:$BX$550,MATCH(AD$2,Kraftvärmeprod!$B$1:$VX$1,0),FALSE)/1,0)-IFERROR(VLOOKUP($B5,'Slutlig allokering kvv'!$B$2:$BX$550,MATCH(AD$2,'Slutlig allokering kvv'!$B$1:$BX$1,0),FALSE)/1,0))</f>
        <v/>
      </c>
      <c r="AE5" s="31" t="str">
        <f>IF($D5="","",IFERROR(VLOOKUP($B5,Miljö!$B$1:$E$550,MATCH("Hjälpel kraftvärme (GWh)",Miljö!$B$1:$E$1,0),FALSE)/1,0)-IFERROR(VLOOKUP($B5,'Slutlig allokering kvv'!$B$2:$BX$549,MATCH(AE$2,'Slutlig allokering kvv'!$B$1:$BX$1,0),FALSE)/1,0))</f>
        <v/>
      </c>
      <c r="AI5" s="39">
        <f t="shared" si="0"/>
        <v>0</v>
      </c>
      <c r="AK5" s="31">
        <f>IFERROR(VLOOKUP($B5,'Slutlig allokering kvv'!$B$2:$AX$549,MATCH("Summa slutlig allokerad tillförd energi (utan hjälpel och rökgaskondensering):",'Slutlig allokering kvv'!$B$1:$AX$1,0),FALSE)/1,"")</f>
        <v>0</v>
      </c>
      <c r="AM5" s="31" t="str">
        <f>IFERROR(1-VLOOKUP($B5,'Slutlig allokering kvv'!$B$2:$AX$549,MATCH("Andel av bränsle i kvv som allokerats till värme, exklusive rökgaskondensering och hjälpel",'Slutlig allokering kvv'!$B$1:$AX$1,0),FALSE),"")</f>
        <v/>
      </c>
      <c r="AO5" s="31" t="str">
        <f t="shared" si="1"/>
        <v/>
      </c>
      <c r="AP5" s="31" t="str">
        <f t="shared" si="2"/>
        <v/>
      </c>
      <c r="AR5" s="32" t="str">
        <f t="shared" si="3"/>
        <v/>
      </c>
    </row>
    <row r="6" spans="1:46" s="31" customFormat="1" x14ac:dyDescent="0.45">
      <c r="A6" s="31" t="s">
        <v>15</v>
      </c>
      <c r="B6" s="31" t="s">
        <v>28</v>
      </c>
      <c r="C6" s="31" t="str">
        <f>IFERROR(VLOOKUP($B6,Kraftvärmeprod!$B$1:$AH$479,MATCH(C$2,Kraftvärmeprod!$B$1:$AG$1,0),FALSE)/1,"")</f>
        <v/>
      </c>
      <c r="D6" s="31" t="str">
        <f>IFERROR(VLOOKUP($B6,Kraftvärmeprod!$B$1:$AH$479,MATCH(D$2,Kraftvärmeprod!$B$1:$AG$1,0),FALSE)/1,"")</f>
        <v/>
      </c>
      <c r="F6" s="31" t="str">
        <f>IF($D6="","",IFERROR(VLOOKUP($B6,Kraftvärmeprod!$B$1:$BX$550,MATCH(F$2,Kraftvärmeprod!$B$1:$VX$1,0),FALSE)/1,0)-IFERROR(VLOOKUP($B6,'Slutlig allokering kvv'!$B$2:$BX$550,MATCH(F$2,'Slutlig allokering kvv'!$B$1:$BX$1,0),FALSE)/1,0))</f>
        <v/>
      </c>
      <c r="G6" s="31" t="str">
        <f>IF($D6="","",IFERROR(VLOOKUP($B6,Kraftvärmeprod!$B$1:$BX$550,MATCH(G$2,Kraftvärmeprod!$B$1:$VX$1,0),FALSE)/1,0)-IFERROR(VLOOKUP($B6,'Slutlig allokering kvv'!$B$2:$BX$550,MATCH(G$2,'Slutlig allokering kvv'!$B$1:$BX$1,0),FALSE)/1,0))</f>
        <v/>
      </c>
      <c r="H6" s="31" t="str">
        <f>IF($D6="","",IFERROR(VLOOKUP($B6,Kraftvärmeprod!$B$1:$BX$550,MATCH(H$2,Kraftvärmeprod!$B$1:$VX$1,0),FALSE)/1,0)-IFERROR(VLOOKUP($B6,'Slutlig allokering kvv'!$B$2:$BX$550,MATCH(H$2,'Slutlig allokering kvv'!$B$1:$BX$1,0),FALSE)/1,0))</f>
        <v/>
      </c>
      <c r="I6" s="31" t="str">
        <f>IF($D6="","",IFERROR(VLOOKUP($B6,Kraftvärmeprod!$B$1:$BX$550,MATCH(I$2,Kraftvärmeprod!$B$1:$VX$1,0),FALSE)/1,0)-IFERROR(VLOOKUP($B6,'Slutlig allokering kvv'!$B$2:$BX$550,MATCH(I$2,'Slutlig allokering kvv'!$B$1:$BX$1,0),FALSE)/1,0))</f>
        <v/>
      </c>
      <c r="J6" s="31" t="str">
        <f>IF($D6="","",IFERROR(VLOOKUP($B6,Kraftvärmeprod!$B$1:$BX$550,MATCH(J$2,Kraftvärmeprod!$B$1:$VX$1,0),FALSE)/1,0)-IFERROR(VLOOKUP($B6,'Slutlig allokering kvv'!$B$2:$BX$550,MATCH(J$2,'Slutlig allokering kvv'!$B$1:$BX$1,0),FALSE)/1,0))</f>
        <v/>
      </c>
      <c r="K6" s="31" t="str">
        <f>IF($D6="","",IFERROR(VLOOKUP($B6,Kraftvärmeprod!$B$1:$BX$550,MATCH(K$2,Kraftvärmeprod!$B$1:$VX$1,0),FALSE)/1,0)-IFERROR(VLOOKUP($B6,'Slutlig allokering kvv'!$B$2:$BX$550,MATCH(K$2,'Slutlig allokering kvv'!$B$1:$BX$1,0),FALSE)/1,0))</f>
        <v/>
      </c>
      <c r="L6" s="31" t="str">
        <f>IF($D6="","",IFERROR(VLOOKUP($B6,Kraftvärmeprod!$B$1:$BX$550,MATCH(L$2,Kraftvärmeprod!$B$1:$VX$1,0),FALSE)/1,0)-IFERROR(VLOOKUP($B6,'Slutlig allokering kvv'!$B$2:$BX$550,MATCH(L$2,'Slutlig allokering kvv'!$B$1:$BX$1,0),FALSE)/1,0))</f>
        <v/>
      </c>
      <c r="M6" s="31" t="str">
        <f>IF($D6="","",IFERROR(VLOOKUP($B6,Kraftvärmeprod!$B$1:$BX$550,MATCH(M$2,Kraftvärmeprod!$B$1:$VX$1,0),FALSE)/1,0)-IFERROR(VLOOKUP($B6,'Slutlig allokering kvv'!$B$2:$BX$550,MATCH(M$2,'Slutlig allokering kvv'!$B$1:$BX$1,0),FALSE)/1,0))</f>
        <v/>
      </c>
      <c r="N6" s="31" t="str">
        <f>IF($D6="","",IFERROR(VLOOKUP($B6,Kraftvärmeprod!$B$1:$BX$550,MATCH(N$2,Kraftvärmeprod!$B$1:$VX$1,0),FALSE)/1,0)-IFERROR(VLOOKUP($B6,'Slutlig allokering kvv'!$B$2:$BX$550,MATCH(N$2,'Slutlig allokering kvv'!$B$1:$BX$1,0),FALSE)/1,0))</f>
        <v/>
      </c>
      <c r="O6" s="31" t="str">
        <f>IF($D6="","",IFERROR(VLOOKUP($B6,Kraftvärmeprod!$B$1:$BX$550,MATCH(O$2,Kraftvärmeprod!$B$1:$VX$1,0),FALSE)/1,0)-IFERROR(VLOOKUP($B6,'Slutlig allokering kvv'!$B$2:$BX$550,MATCH(O$2,'Slutlig allokering kvv'!$B$1:$BX$1,0),FALSE)/1,0))</f>
        <v/>
      </c>
      <c r="P6" s="31" t="str">
        <f>IF($D6="","",IFERROR(VLOOKUP($B6,Kraftvärmeprod!$B$1:$BX$550,MATCH(P$2,Kraftvärmeprod!$B$1:$VX$1,0),FALSE)/1,0)-IFERROR(VLOOKUP($B6,'Slutlig allokering kvv'!$B$2:$BX$550,MATCH(P$2,'Slutlig allokering kvv'!$B$1:$BX$1,0),FALSE)/1,0))</f>
        <v/>
      </c>
      <c r="Q6" s="31" t="str">
        <f>IF($D6="","",IFERROR(VLOOKUP($B6,Kraftvärmeprod!$B$1:$BX$550,MATCH(Q$2,Kraftvärmeprod!$B$1:$VX$1,0),FALSE)/1,0)-IFERROR(VLOOKUP($B6,'Slutlig allokering kvv'!$B$2:$BX$550,MATCH(Q$2,'Slutlig allokering kvv'!$B$1:$BX$1,0),FALSE)/1,0))</f>
        <v/>
      </c>
      <c r="R6" s="31" t="str">
        <f>IF($D6="","",IFERROR(VLOOKUP($B6,Kraftvärmeprod!$B$1:$BX$550,MATCH(R$2,Kraftvärmeprod!$B$1:$VX$1,0),FALSE)/1,0)-IFERROR(VLOOKUP($B6,'Slutlig allokering kvv'!$B$2:$BX$550,MATCH(R$2,'Slutlig allokering kvv'!$B$1:$BX$1,0),FALSE)/1,0))</f>
        <v/>
      </c>
      <c r="S6" s="31" t="str">
        <f>IF($D6="","",IFERROR(VLOOKUP($B6,Kraftvärmeprod!$B$1:$BX$550,MATCH(S$2,Kraftvärmeprod!$B$1:$VX$1,0),FALSE)/1,0)-IFERROR(VLOOKUP($B6,'Slutlig allokering kvv'!$B$2:$BX$550,MATCH(S$2,'Slutlig allokering kvv'!$B$1:$BX$1,0),FALSE)/1,0))</f>
        <v/>
      </c>
      <c r="T6" s="31" t="str">
        <f>IF($D6="","",IFERROR(VLOOKUP($B6,Kraftvärmeprod!$B$1:$BX$550,MATCH(T$2,Kraftvärmeprod!$B$1:$VX$1,0),FALSE)/1,0)-IFERROR(VLOOKUP($B6,'Slutlig allokering kvv'!$B$2:$BX$550,MATCH(T$2,'Slutlig allokering kvv'!$B$1:$BX$1,0),FALSE)/1,0))</f>
        <v/>
      </c>
      <c r="U6" s="31" t="str">
        <f>IF($D6="","",IFERROR(VLOOKUP($B6,Kraftvärmeprod!$B$1:$BX$550,MATCH(U$2,Kraftvärmeprod!$B$1:$VX$1,0),FALSE)/1,0)-IFERROR(VLOOKUP($B6,'Slutlig allokering kvv'!$B$2:$BX$550,MATCH(U$2,'Slutlig allokering kvv'!$B$1:$BX$1,0),FALSE)/1,0))</f>
        <v/>
      </c>
      <c r="V6" s="31" t="str">
        <f>IF($D6="","",IFERROR(VLOOKUP($B6,Kraftvärmeprod!$B$1:$BX$550,MATCH(V$2,Kraftvärmeprod!$B$1:$VX$1,0),FALSE)/1,0)-IFERROR(VLOOKUP($B6,'Slutlig allokering kvv'!$B$2:$BX$550,MATCH(V$2,'Slutlig allokering kvv'!$B$1:$BX$1,0),FALSE)/1,0))</f>
        <v/>
      </c>
      <c r="W6" s="31" t="str">
        <f>IF($D6="","",IFERROR(VLOOKUP($B6,Kraftvärmeprod!$B$1:$BX$550,MATCH(W$2,Kraftvärmeprod!$B$1:$VX$1,0),FALSE)/1,0)-IFERROR(VLOOKUP($B6,'Slutlig allokering kvv'!$B$2:$BX$550,MATCH(W$2,'Slutlig allokering kvv'!$B$1:$BX$1,0),FALSE)/1,0))</f>
        <v/>
      </c>
      <c r="X6" s="31" t="str">
        <f>IF($D6="","",IFERROR(VLOOKUP($B6,Kraftvärmeprod!$B$1:$BX$550,MATCH(X$2,Kraftvärmeprod!$B$1:$VX$1,0),FALSE)/1,0)-IFERROR(VLOOKUP($B6,'Slutlig allokering kvv'!$B$2:$BX$550,MATCH(X$2,'Slutlig allokering kvv'!$B$1:$BX$1,0),FALSE)/1,0))</f>
        <v/>
      </c>
      <c r="Y6" s="31" t="str">
        <f>IF($D6="","",IFERROR(VLOOKUP($B6,Kraftvärmeprod!$B$1:$BX$550,MATCH(Y$2,Kraftvärmeprod!$B$1:$VX$1,0),FALSE)/1,0)-IFERROR(VLOOKUP($B6,'Slutlig allokering kvv'!$B$2:$BX$550,MATCH(Y$2,'Slutlig allokering kvv'!$B$1:$BX$1,0),FALSE)/1,0))</f>
        <v/>
      </c>
      <c r="Z6" s="31" t="str">
        <f>IF($D6="","",IFERROR(VLOOKUP($B6,Kraftvärmeprod!$B$1:$BX$550,MATCH(Z$2,Kraftvärmeprod!$B$1:$VX$1,0),FALSE)/1,0)-IFERROR(VLOOKUP($B6,'Slutlig allokering kvv'!$B$2:$BX$550,MATCH(Z$2,'Slutlig allokering kvv'!$B$1:$BX$1,0),FALSE)/1,0))</f>
        <v/>
      </c>
      <c r="AA6" s="31" t="str">
        <f>IF($D6="","",IFERROR(VLOOKUP($B6,Kraftvärmeprod!$B$1:$BX$550,MATCH(AA$2,Kraftvärmeprod!$B$1:$VX$1,0),FALSE)/1,0)-IFERROR(VLOOKUP($B6,'Slutlig allokering kvv'!$B$2:$BX$550,MATCH(AA$2,'Slutlig allokering kvv'!$B$1:$BX$1,0),FALSE)/1,0))</f>
        <v/>
      </c>
      <c r="AB6" s="31" t="str">
        <f>IF($D6="","",IFERROR(VLOOKUP($B6,Kraftvärmeprod!$B$1:$BX$550,MATCH(AB$2,Kraftvärmeprod!$B$1:$VX$1,0),FALSE)/1,0)-IFERROR(VLOOKUP($B6,'Slutlig allokering kvv'!$B$2:$BX$550,MATCH(AB$2,'Slutlig allokering kvv'!$B$1:$BX$1,0),FALSE)/1,0))</f>
        <v/>
      </c>
      <c r="AC6" s="31" t="str">
        <f>IF($D6="","",IFERROR(VLOOKUP($B6,Kraftvärmeprod!$B$1:$BX$550,MATCH(AC$2,Kraftvärmeprod!$B$1:$VX$1,0),FALSE)/1,0)-IFERROR(VLOOKUP($B6,'Slutlig allokering kvv'!$B$2:$BX$550,MATCH(AC$2,'Slutlig allokering kvv'!$B$1:$BX$1,0),FALSE)/1,0))</f>
        <v/>
      </c>
      <c r="AD6" s="31" t="str">
        <f>IF($D6="","",IFERROR(VLOOKUP($B6,Kraftvärmeprod!$B$1:$BX$550,MATCH(AD$2,Kraftvärmeprod!$B$1:$VX$1,0),FALSE)/1,0)-IFERROR(VLOOKUP($B6,'Slutlig allokering kvv'!$B$2:$BX$550,MATCH(AD$2,'Slutlig allokering kvv'!$B$1:$BX$1,0),FALSE)/1,0))</f>
        <v/>
      </c>
      <c r="AE6" s="31" t="str">
        <f>IF($D6="","",IFERROR(VLOOKUP($B6,Miljö!$B$1:$E$550,MATCH("Hjälpel kraftvärme (GWh)",Miljö!$B$1:$E$1,0),FALSE)/1,0)-IFERROR(VLOOKUP($B6,'Slutlig allokering kvv'!$B$2:$BX$549,MATCH(AE$2,'Slutlig allokering kvv'!$B$1:$BX$1,0),FALSE)/1,0))</f>
        <v/>
      </c>
      <c r="AI6" s="39">
        <f t="shared" si="0"/>
        <v>0</v>
      </c>
      <c r="AK6" s="31">
        <f>IFERROR(VLOOKUP($B6,'Slutlig allokering kvv'!$B$2:$AX$549,MATCH("Summa slutlig allokerad tillförd energi (utan hjälpel och rökgaskondensering):",'Slutlig allokering kvv'!$B$1:$AX$1,0),FALSE)/1,"")</f>
        <v>0</v>
      </c>
      <c r="AM6" s="31" t="str">
        <f>IFERROR(1-VLOOKUP($B6,'Slutlig allokering kvv'!$B$2:$AX$549,MATCH("Andel av bränsle i kvv som allokerats till värme, exklusive rökgaskondensering och hjälpel",'Slutlig allokering kvv'!$B$1:$AX$1,0),FALSE),"")</f>
        <v/>
      </c>
      <c r="AO6" s="31" t="str">
        <f t="shared" si="1"/>
        <v/>
      </c>
      <c r="AP6" s="31" t="str">
        <f t="shared" si="2"/>
        <v/>
      </c>
      <c r="AR6" s="32" t="str">
        <f t="shared" si="3"/>
        <v/>
      </c>
    </row>
    <row r="7" spans="1:46" s="31" customFormat="1" x14ac:dyDescent="0.45">
      <c r="A7" s="31" t="s">
        <v>15</v>
      </c>
      <c r="B7" s="31" t="s">
        <v>22</v>
      </c>
      <c r="C7" s="31" t="str">
        <f>IFERROR(VLOOKUP($B7,Kraftvärmeprod!$B$1:$AH$479,MATCH(C$2,Kraftvärmeprod!$B$1:$AG$1,0),FALSE)/1,"")</f>
        <v/>
      </c>
      <c r="D7" s="31" t="str">
        <f>IFERROR(VLOOKUP($B7,Kraftvärmeprod!$B$1:$AH$479,MATCH(D$2,Kraftvärmeprod!$B$1:$AG$1,0),FALSE)/1,"")</f>
        <v/>
      </c>
      <c r="F7" s="31" t="str">
        <f>IF($D7="","",IFERROR(VLOOKUP($B7,Kraftvärmeprod!$B$1:$BX$550,MATCH(F$2,Kraftvärmeprod!$B$1:$VX$1,0),FALSE)/1,0)-IFERROR(VLOOKUP($B7,'Slutlig allokering kvv'!$B$2:$BX$550,MATCH(F$2,'Slutlig allokering kvv'!$B$1:$BX$1,0),FALSE)/1,0))</f>
        <v/>
      </c>
      <c r="G7" s="31" t="str">
        <f>IF($D7="","",IFERROR(VLOOKUP($B7,Kraftvärmeprod!$B$1:$BX$550,MATCH(G$2,Kraftvärmeprod!$B$1:$VX$1,0),FALSE)/1,0)-IFERROR(VLOOKUP($B7,'Slutlig allokering kvv'!$B$2:$BX$550,MATCH(G$2,'Slutlig allokering kvv'!$B$1:$BX$1,0),FALSE)/1,0))</f>
        <v/>
      </c>
      <c r="H7" s="31" t="str">
        <f>IF($D7="","",IFERROR(VLOOKUP($B7,Kraftvärmeprod!$B$1:$BX$550,MATCH(H$2,Kraftvärmeprod!$B$1:$VX$1,0),FALSE)/1,0)-IFERROR(VLOOKUP($B7,'Slutlig allokering kvv'!$B$2:$BX$550,MATCH(H$2,'Slutlig allokering kvv'!$B$1:$BX$1,0),FALSE)/1,0))</f>
        <v/>
      </c>
      <c r="I7" s="31" t="str">
        <f>IF($D7="","",IFERROR(VLOOKUP($B7,Kraftvärmeprod!$B$1:$BX$550,MATCH(I$2,Kraftvärmeprod!$B$1:$VX$1,0),FALSE)/1,0)-IFERROR(VLOOKUP($B7,'Slutlig allokering kvv'!$B$2:$BX$550,MATCH(I$2,'Slutlig allokering kvv'!$B$1:$BX$1,0),FALSE)/1,0))</f>
        <v/>
      </c>
      <c r="J7" s="31" t="str">
        <f>IF($D7="","",IFERROR(VLOOKUP($B7,Kraftvärmeprod!$B$1:$BX$550,MATCH(J$2,Kraftvärmeprod!$B$1:$VX$1,0),FALSE)/1,0)-IFERROR(VLOOKUP($B7,'Slutlig allokering kvv'!$B$2:$BX$550,MATCH(J$2,'Slutlig allokering kvv'!$B$1:$BX$1,0),FALSE)/1,0))</f>
        <v/>
      </c>
      <c r="K7" s="31" t="str">
        <f>IF($D7="","",IFERROR(VLOOKUP($B7,Kraftvärmeprod!$B$1:$BX$550,MATCH(K$2,Kraftvärmeprod!$B$1:$VX$1,0),FALSE)/1,0)-IFERROR(VLOOKUP($B7,'Slutlig allokering kvv'!$B$2:$BX$550,MATCH(K$2,'Slutlig allokering kvv'!$B$1:$BX$1,0),FALSE)/1,0))</f>
        <v/>
      </c>
      <c r="L7" s="31" t="str">
        <f>IF($D7="","",IFERROR(VLOOKUP($B7,Kraftvärmeprod!$B$1:$BX$550,MATCH(L$2,Kraftvärmeprod!$B$1:$VX$1,0),FALSE)/1,0)-IFERROR(VLOOKUP($B7,'Slutlig allokering kvv'!$B$2:$BX$550,MATCH(L$2,'Slutlig allokering kvv'!$B$1:$BX$1,0),FALSE)/1,0))</f>
        <v/>
      </c>
      <c r="M7" s="31" t="str">
        <f>IF($D7="","",IFERROR(VLOOKUP($B7,Kraftvärmeprod!$B$1:$BX$550,MATCH(M$2,Kraftvärmeprod!$B$1:$VX$1,0),FALSE)/1,0)-IFERROR(VLOOKUP($B7,'Slutlig allokering kvv'!$B$2:$BX$550,MATCH(M$2,'Slutlig allokering kvv'!$B$1:$BX$1,0),FALSE)/1,0))</f>
        <v/>
      </c>
      <c r="N7" s="31" t="str">
        <f>IF($D7="","",IFERROR(VLOOKUP($B7,Kraftvärmeprod!$B$1:$BX$550,MATCH(N$2,Kraftvärmeprod!$B$1:$VX$1,0),FALSE)/1,0)-IFERROR(VLOOKUP($B7,'Slutlig allokering kvv'!$B$2:$BX$550,MATCH(N$2,'Slutlig allokering kvv'!$B$1:$BX$1,0),FALSE)/1,0))</f>
        <v/>
      </c>
      <c r="O7" s="31" t="str">
        <f>IF($D7="","",IFERROR(VLOOKUP($B7,Kraftvärmeprod!$B$1:$BX$550,MATCH(O$2,Kraftvärmeprod!$B$1:$VX$1,0),FALSE)/1,0)-IFERROR(VLOOKUP($B7,'Slutlig allokering kvv'!$B$2:$BX$550,MATCH(O$2,'Slutlig allokering kvv'!$B$1:$BX$1,0),FALSE)/1,0))</f>
        <v/>
      </c>
      <c r="P7" s="31" t="str">
        <f>IF($D7="","",IFERROR(VLOOKUP($B7,Kraftvärmeprod!$B$1:$BX$550,MATCH(P$2,Kraftvärmeprod!$B$1:$VX$1,0),FALSE)/1,0)-IFERROR(VLOOKUP($B7,'Slutlig allokering kvv'!$B$2:$BX$550,MATCH(P$2,'Slutlig allokering kvv'!$B$1:$BX$1,0),FALSE)/1,0))</f>
        <v/>
      </c>
      <c r="Q7" s="31" t="str">
        <f>IF($D7="","",IFERROR(VLOOKUP($B7,Kraftvärmeprod!$B$1:$BX$550,MATCH(Q$2,Kraftvärmeprod!$B$1:$VX$1,0),FALSE)/1,0)-IFERROR(VLOOKUP($B7,'Slutlig allokering kvv'!$B$2:$BX$550,MATCH(Q$2,'Slutlig allokering kvv'!$B$1:$BX$1,0),FALSE)/1,0))</f>
        <v/>
      </c>
      <c r="R7" s="31" t="str">
        <f>IF($D7="","",IFERROR(VLOOKUP($B7,Kraftvärmeprod!$B$1:$BX$550,MATCH(R$2,Kraftvärmeprod!$B$1:$VX$1,0),FALSE)/1,0)-IFERROR(VLOOKUP($B7,'Slutlig allokering kvv'!$B$2:$BX$550,MATCH(R$2,'Slutlig allokering kvv'!$B$1:$BX$1,0),FALSE)/1,0))</f>
        <v/>
      </c>
      <c r="S7" s="31" t="str">
        <f>IF($D7="","",IFERROR(VLOOKUP($B7,Kraftvärmeprod!$B$1:$BX$550,MATCH(S$2,Kraftvärmeprod!$B$1:$VX$1,0),FALSE)/1,0)-IFERROR(VLOOKUP($B7,'Slutlig allokering kvv'!$B$2:$BX$550,MATCH(S$2,'Slutlig allokering kvv'!$B$1:$BX$1,0),FALSE)/1,0))</f>
        <v/>
      </c>
      <c r="T7" s="31" t="str">
        <f>IF($D7="","",IFERROR(VLOOKUP($B7,Kraftvärmeprod!$B$1:$BX$550,MATCH(T$2,Kraftvärmeprod!$B$1:$VX$1,0),FALSE)/1,0)-IFERROR(VLOOKUP($B7,'Slutlig allokering kvv'!$B$2:$BX$550,MATCH(T$2,'Slutlig allokering kvv'!$B$1:$BX$1,0),FALSE)/1,0))</f>
        <v/>
      </c>
      <c r="U7" s="31" t="str">
        <f>IF($D7="","",IFERROR(VLOOKUP($B7,Kraftvärmeprod!$B$1:$BX$550,MATCH(U$2,Kraftvärmeprod!$B$1:$VX$1,0),FALSE)/1,0)-IFERROR(VLOOKUP($B7,'Slutlig allokering kvv'!$B$2:$BX$550,MATCH(U$2,'Slutlig allokering kvv'!$B$1:$BX$1,0),FALSE)/1,0))</f>
        <v/>
      </c>
      <c r="V7" s="31" t="str">
        <f>IF($D7="","",IFERROR(VLOOKUP($B7,Kraftvärmeprod!$B$1:$BX$550,MATCH(V$2,Kraftvärmeprod!$B$1:$VX$1,0),FALSE)/1,0)-IFERROR(VLOOKUP($B7,'Slutlig allokering kvv'!$B$2:$BX$550,MATCH(V$2,'Slutlig allokering kvv'!$B$1:$BX$1,0),FALSE)/1,0))</f>
        <v/>
      </c>
      <c r="W7" s="31" t="str">
        <f>IF($D7="","",IFERROR(VLOOKUP($B7,Kraftvärmeprod!$B$1:$BX$550,MATCH(W$2,Kraftvärmeprod!$B$1:$VX$1,0),FALSE)/1,0)-IFERROR(VLOOKUP($B7,'Slutlig allokering kvv'!$B$2:$BX$550,MATCH(W$2,'Slutlig allokering kvv'!$B$1:$BX$1,0),FALSE)/1,0))</f>
        <v/>
      </c>
      <c r="X7" s="31" t="str">
        <f>IF($D7="","",IFERROR(VLOOKUP($B7,Kraftvärmeprod!$B$1:$BX$550,MATCH(X$2,Kraftvärmeprod!$B$1:$VX$1,0),FALSE)/1,0)-IFERROR(VLOOKUP($B7,'Slutlig allokering kvv'!$B$2:$BX$550,MATCH(X$2,'Slutlig allokering kvv'!$B$1:$BX$1,0),FALSE)/1,0))</f>
        <v/>
      </c>
      <c r="Y7" s="31" t="str">
        <f>IF($D7="","",IFERROR(VLOOKUP($B7,Kraftvärmeprod!$B$1:$BX$550,MATCH(Y$2,Kraftvärmeprod!$B$1:$VX$1,0),FALSE)/1,0)-IFERROR(VLOOKUP($B7,'Slutlig allokering kvv'!$B$2:$BX$550,MATCH(Y$2,'Slutlig allokering kvv'!$B$1:$BX$1,0),FALSE)/1,0))</f>
        <v/>
      </c>
      <c r="Z7" s="31" t="str">
        <f>IF($D7="","",IFERROR(VLOOKUP($B7,Kraftvärmeprod!$B$1:$BX$550,MATCH(Z$2,Kraftvärmeprod!$B$1:$VX$1,0),FALSE)/1,0)-IFERROR(VLOOKUP($B7,'Slutlig allokering kvv'!$B$2:$BX$550,MATCH(Z$2,'Slutlig allokering kvv'!$B$1:$BX$1,0),FALSE)/1,0))</f>
        <v/>
      </c>
      <c r="AA7" s="31" t="str">
        <f>IF($D7="","",IFERROR(VLOOKUP($B7,Kraftvärmeprod!$B$1:$BX$550,MATCH(AA$2,Kraftvärmeprod!$B$1:$VX$1,0),FALSE)/1,0)-IFERROR(VLOOKUP($B7,'Slutlig allokering kvv'!$B$2:$BX$550,MATCH(AA$2,'Slutlig allokering kvv'!$B$1:$BX$1,0),FALSE)/1,0))</f>
        <v/>
      </c>
      <c r="AB7" s="31" t="str">
        <f>IF($D7="","",IFERROR(VLOOKUP($B7,Kraftvärmeprod!$B$1:$BX$550,MATCH(AB$2,Kraftvärmeprod!$B$1:$VX$1,0),FALSE)/1,0)-IFERROR(VLOOKUP($B7,'Slutlig allokering kvv'!$B$2:$BX$550,MATCH(AB$2,'Slutlig allokering kvv'!$B$1:$BX$1,0),FALSE)/1,0))</f>
        <v/>
      </c>
      <c r="AC7" s="31" t="str">
        <f>IF($D7="","",IFERROR(VLOOKUP($B7,Kraftvärmeprod!$B$1:$BX$550,MATCH(AC$2,Kraftvärmeprod!$B$1:$VX$1,0),FALSE)/1,0)-IFERROR(VLOOKUP($B7,'Slutlig allokering kvv'!$B$2:$BX$550,MATCH(AC$2,'Slutlig allokering kvv'!$B$1:$BX$1,0),FALSE)/1,0))</f>
        <v/>
      </c>
      <c r="AD7" s="31" t="str">
        <f>IF($D7="","",IFERROR(VLOOKUP($B7,Kraftvärmeprod!$B$1:$BX$550,MATCH(AD$2,Kraftvärmeprod!$B$1:$VX$1,0),FALSE)/1,0)-IFERROR(VLOOKUP($B7,'Slutlig allokering kvv'!$B$2:$BX$550,MATCH(AD$2,'Slutlig allokering kvv'!$B$1:$BX$1,0),FALSE)/1,0))</f>
        <v/>
      </c>
      <c r="AE7" s="31" t="str">
        <f>IF($D7="","",IFERROR(VLOOKUP($B7,Miljö!$B$1:$E$550,MATCH("Hjälpel kraftvärme (GWh)",Miljö!$B$1:$E$1,0),FALSE)/1,0)-IFERROR(VLOOKUP($B7,'Slutlig allokering kvv'!$B$2:$BX$549,MATCH(AE$2,'Slutlig allokering kvv'!$B$1:$BX$1,0),FALSE)/1,0))</f>
        <v/>
      </c>
      <c r="AI7" s="39">
        <f t="shared" si="0"/>
        <v>0</v>
      </c>
      <c r="AK7" s="31">
        <f>IFERROR(VLOOKUP($B7,'Slutlig allokering kvv'!$B$2:$AX$549,MATCH("Summa slutlig allokerad tillförd energi (utan hjälpel och rökgaskondensering):",'Slutlig allokering kvv'!$B$1:$AX$1,0),FALSE)/1,"")</f>
        <v>0</v>
      </c>
      <c r="AM7" s="31" t="str">
        <f>IFERROR(1-VLOOKUP($B7,'Slutlig allokering kvv'!$B$2:$AX$549,MATCH("Andel av bränsle i kvv som allokerats till värme, exklusive rökgaskondensering och hjälpel",'Slutlig allokering kvv'!$B$1:$AX$1,0),FALSE),"")</f>
        <v/>
      </c>
      <c r="AO7" s="31" t="str">
        <f t="shared" si="1"/>
        <v/>
      </c>
      <c r="AP7" s="31" t="str">
        <f t="shared" si="2"/>
        <v/>
      </c>
      <c r="AR7" s="32" t="str">
        <f t="shared" si="3"/>
        <v/>
      </c>
    </row>
    <row r="8" spans="1:46" s="31" customFormat="1" x14ac:dyDescent="0.45">
      <c r="A8" s="31" t="s">
        <v>15</v>
      </c>
      <c r="B8" s="31" t="s">
        <v>30</v>
      </c>
      <c r="C8" s="31" t="str">
        <f>IFERROR(VLOOKUP($B8,Kraftvärmeprod!$B$1:$AH$479,MATCH(C$2,Kraftvärmeprod!$B$1:$AG$1,0),FALSE)/1,"")</f>
        <v/>
      </c>
      <c r="D8" s="31" t="str">
        <f>IFERROR(VLOOKUP($B8,Kraftvärmeprod!$B$1:$AH$479,MATCH(D$2,Kraftvärmeprod!$B$1:$AG$1,0),FALSE)/1,"")</f>
        <v/>
      </c>
      <c r="F8" s="31" t="str">
        <f>IF($D8="","",IFERROR(VLOOKUP($B8,Kraftvärmeprod!$B$1:$BX$550,MATCH(F$2,Kraftvärmeprod!$B$1:$VX$1,0),FALSE)/1,0)-IFERROR(VLOOKUP($B8,'Slutlig allokering kvv'!$B$2:$BX$550,MATCH(F$2,'Slutlig allokering kvv'!$B$1:$BX$1,0),FALSE)/1,0))</f>
        <v/>
      </c>
      <c r="G8" s="31" t="str">
        <f>IF($D8="","",IFERROR(VLOOKUP($B8,Kraftvärmeprod!$B$1:$BX$550,MATCH(G$2,Kraftvärmeprod!$B$1:$VX$1,0),FALSE)/1,0)-IFERROR(VLOOKUP($B8,'Slutlig allokering kvv'!$B$2:$BX$550,MATCH(G$2,'Slutlig allokering kvv'!$B$1:$BX$1,0),FALSE)/1,0))</f>
        <v/>
      </c>
      <c r="H8" s="31" t="str">
        <f>IF($D8="","",IFERROR(VLOOKUP($B8,Kraftvärmeprod!$B$1:$BX$550,MATCH(H$2,Kraftvärmeprod!$B$1:$VX$1,0),FALSE)/1,0)-IFERROR(VLOOKUP($B8,'Slutlig allokering kvv'!$B$2:$BX$550,MATCH(H$2,'Slutlig allokering kvv'!$B$1:$BX$1,0),FALSE)/1,0))</f>
        <v/>
      </c>
      <c r="I8" s="31" t="str">
        <f>IF($D8="","",IFERROR(VLOOKUP($B8,Kraftvärmeprod!$B$1:$BX$550,MATCH(I$2,Kraftvärmeprod!$B$1:$VX$1,0),FALSE)/1,0)-IFERROR(VLOOKUP($B8,'Slutlig allokering kvv'!$B$2:$BX$550,MATCH(I$2,'Slutlig allokering kvv'!$B$1:$BX$1,0),FALSE)/1,0))</f>
        <v/>
      </c>
      <c r="J8" s="31" t="str">
        <f>IF($D8="","",IFERROR(VLOOKUP($B8,Kraftvärmeprod!$B$1:$BX$550,MATCH(J$2,Kraftvärmeprod!$B$1:$VX$1,0),FALSE)/1,0)-IFERROR(VLOOKUP($B8,'Slutlig allokering kvv'!$B$2:$BX$550,MATCH(J$2,'Slutlig allokering kvv'!$B$1:$BX$1,0),FALSE)/1,0))</f>
        <v/>
      </c>
      <c r="K8" s="31" t="str">
        <f>IF($D8="","",IFERROR(VLOOKUP($B8,Kraftvärmeprod!$B$1:$BX$550,MATCH(K$2,Kraftvärmeprod!$B$1:$VX$1,0),FALSE)/1,0)-IFERROR(VLOOKUP($B8,'Slutlig allokering kvv'!$B$2:$BX$550,MATCH(K$2,'Slutlig allokering kvv'!$B$1:$BX$1,0),FALSE)/1,0))</f>
        <v/>
      </c>
      <c r="L8" s="31" t="str">
        <f>IF($D8="","",IFERROR(VLOOKUP($B8,Kraftvärmeprod!$B$1:$BX$550,MATCH(L$2,Kraftvärmeprod!$B$1:$VX$1,0),FALSE)/1,0)-IFERROR(VLOOKUP($B8,'Slutlig allokering kvv'!$B$2:$BX$550,MATCH(L$2,'Slutlig allokering kvv'!$B$1:$BX$1,0),FALSE)/1,0))</f>
        <v/>
      </c>
      <c r="M8" s="31" t="str">
        <f>IF($D8="","",IFERROR(VLOOKUP($B8,Kraftvärmeprod!$B$1:$BX$550,MATCH(M$2,Kraftvärmeprod!$B$1:$VX$1,0),FALSE)/1,0)-IFERROR(VLOOKUP($B8,'Slutlig allokering kvv'!$B$2:$BX$550,MATCH(M$2,'Slutlig allokering kvv'!$B$1:$BX$1,0),FALSE)/1,0))</f>
        <v/>
      </c>
      <c r="N8" s="31" t="str">
        <f>IF($D8="","",IFERROR(VLOOKUP($B8,Kraftvärmeprod!$B$1:$BX$550,MATCH(N$2,Kraftvärmeprod!$B$1:$VX$1,0),FALSE)/1,0)-IFERROR(VLOOKUP($B8,'Slutlig allokering kvv'!$B$2:$BX$550,MATCH(N$2,'Slutlig allokering kvv'!$B$1:$BX$1,0),FALSE)/1,0))</f>
        <v/>
      </c>
      <c r="O8" s="31" t="str">
        <f>IF($D8="","",IFERROR(VLOOKUP($B8,Kraftvärmeprod!$B$1:$BX$550,MATCH(O$2,Kraftvärmeprod!$B$1:$VX$1,0),FALSE)/1,0)-IFERROR(VLOOKUP($B8,'Slutlig allokering kvv'!$B$2:$BX$550,MATCH(O$2,'Slutlig allokering kvv'!$B$1:$BX$1,0),FALSE)/1,0))</f>
        <v/>
      </c>
      <c r="P8" s="31" t="str">
        <f>IF($D8="","",IFERROR(VLOOKUP($B8,Kraftvärmeprod!$B$1:$BX$550,MATCH(P$2,Kraftvärmeprod!$B$1:$VX$1,0),FALSE)/1,0)-IFERROR(VLOOKUP($B8,'Slutlig allokering kvv'!$B$2:$BX$550,MATCH(P$2,'Slutlig allokering kvv'!$B$1:$BX$1,0),FALSE)/1,0))</f>
        <v/>
      </c>
      <c r="Q8" s="31" t="str">
        <f>IF($D8="","",IFERROR(VLOOKUP($B8,Kraftvärmeprod!$B$1:$BX$550,MATCH(Q$2,Kraftvärmeprod!$B$1:$VX$1,0),FALSE)/1,0)-IFERROR(VLOOKUP($B8,'Slutlig allokering kvv'!$B$2:$BX$550,MATCH(Q$2,'Slutlig allokering kvv'!$B$1:$BX$1,0),FALSE)/1,0))</f>
        <v/>
      </c>
      <c r="R8" s="31" t="str">
        <f>IF($D8="","",IFERROR(VLOOKUP($B8,Kraftvärmeprod!$B$1:$BX$550,MATCH(R$2,Kraftvärmeprod!$B$1:$VX$1,0),FALSE)/1,0)-IFERROR(VLOOKUP($B8,'Slutlig allokering kvv'!$B$2:$BX$550,MATCH(R$2,'Slutlig allokering kvv'!$B$1:$BX$1,0),FALSE)/1,0))</f>
        <v/>
      </c>
      <c r="S8" s="31" t="str">
        <f>IF($D8="","",IFERROR(VLOOKUP($B8,Kraftvärmeprod!$B$1:$BX$550,MATCH(S$2,Kraftvärmeprod!$B$1:$VX$1,0),FALSE)/1,0)-IFERROR(VLOOKUP($B8,'Slutlig allokering kvv'!$B$2:$BX$550,MATCH(S$2,'Slutlig allokering kvv'!$B$1:$BX$1,0),FALSE)/1,0))</f>
        <v/>
      </c>
      <c r="T8" s="31" t="str">
        <f>IF($D8="","",IFERROR(VLOOKUP($B8,Kraftvärmeprod!$B$1:$BX$550,MATCH(T$2,Kraftvärmeprod!$B$1:$VX$1,0),FALSE)/1,0)-IFERROR(VLOOKUP($B8,'Slutlig allokering kvv'!$B$2:$BX$550,MATCH(T$2,'Slutlig allokering kvv'!$B$1:$BX$1,0),FALSE)/1,0))</f>
        <v/>
      </c>
      <c r="U8" s="31" t="str">
        <f>IF($D8="","",IFERROR(VLOOKUP($B8,Kraftvärmeprod!$B$1:$BX$550,MATCH(U$2,Kraftvärmeprod!$B$1:$VX$1,0),FALSE)/1,0)-IFERROR(VLOOKUP($B8,'Slutlig allokering kvv'!$B$2:$BX$550,MATCH(U$2,'Slutlig allokering kvv'!$B$1:$BX$1,0),FALSE)/1,0))</f>
        <v/>
      </c>
      <c r="V8" s="31" t="str">
        <f>IF($D8="","",IFERROR(VLOOKUP($B8,Kraftvärmeprod!$B$1:$BX$550,MATCH(V$2,Kraftvärmeprod!$B$1:$VX$1,0),FALSE)/1,0)-IFERROR(VLOOKUP($B8,'Slutlig allokering kvv'!$B$2:$BX$550,MATCH(V$2,'Slutlig allokering kvv'!$B$1:$BX$1,0),FALSE)/1,0))</f>
        <v/>
      </c>
      <c r="W8" s="31" t="str">
        <f>IF($D8="","",IFERROR(VLOOKUP($B8,Kraftvärmeprod!$B$1:$BX$550,MATCH(W$2,Kraftvärmeprod!$B$1:$VX$1,0),FALSE)/1,0)-IFERROR(VLOOKUP($B8,'Slutlig allokering kvv'!$B$2:$BX$550,MATCH(W$2,'Slutlig allokering kvv'!$B$1:$BX$1,0),FALSE)/1,0))</f>
        <v/>
      </c>
      <c r="X8" s="31" t="str">
        <f>IF($D8="","",IFERROR(VLOOKUP($B8,Kraftvärmeprod!$B$1:$BX$550,MATCH(X$2,Kraftvärmeprod!$B$1:$VX$1,0),FALSE)/1,0)-IFERROR(VLOOKUP($B8,'Slutlig allokering kvv'!$B$2:$BX$550,MATCH(X$2,'Slutlig allokering kvv'!$B$1:$BX$1,0),FALSE)/1,0))</f>
        <v/>
      </c>
      <c r="Y8" s="31" t="str">
        <f>IF($D8="","",IFERROR(VLOOKUP($B8,Kraftvärmeprod!$B$1:$BX$550,MATCH(Y$2,Kraftvärmeprod!$B$1:$VX$1,0),FALSE)/1,0)-IFERROR(VLOOKUP($B8,'Slutlig allokering kvv'!$B$2:$BX$550,MATCH(Y$2,'Slutlig allokering kvv'!$B$1:$BX$1,0),FALSE)/1,0))</f>
        <v/>
      </c>
      <c r="Z8" s="31" t="str">
        <f>IF($D8="","",IFERROR(VLOOKUP($B8,Kraftvärmeprod!$B$1:$BX$550,MATCH(Z$2,Kraftvärmeprod!$B$1:$VX$1,0),FALSE)/1,0)-IFERROR(VLOOKUP($B8,'Slutlig allokering kvv'!$B$2:$BX$550,MATCH(Z$2,'Slutlig allokering kvv'!$B$1:$BX$1,0),FALSE)/1,0))</f>
        <v/>
      </c>
      <c r="AA8" s="31" t="str">
        <f>IF($D8="","",IFERROR(VLOOKUP($B8,Kraftvärmeprod!$B$1:$BX$550,MATCH(AA$2,Kraftvärmeprod!$B$1:$VX$1,0),FALSE)/1,0)-IFERROR(VLOOKUP($B8,'Slutlig allokering kvv'!$B$2:$BX$550,MATCH(AA$2,'Slutlig allokering kvv'!$B$1:$BX$1,0),FALSE)/1,0))</f>
        <v/>
      </c>
      <c r="AB8" s="31" t="str">
        <f>IF($D8="","",IFERROR(VLOOKUP($B8,Kraftvärmeprod!$B$1:$BX$550,MATCH(AB$2,Kraftvärmeprod!$B$1:$VX$1,0),FALSE)/1,0)-IFERROR(VLOOKUP($B8,'Slutlig allokering kvv'!$B$2:$BX$550,MATCH(AB$2,'Slutlig allokering kvv'!$B$1:$BX$1,0),FALSE)/1,0))</f>
        <v/>
      </c>
      <c r="AC8" s="31" t="str">
        <f>IF($D8="","",IFERROR(VLOOKUP($B8,Kraftvärmeprod!$B$1:$BX$550,MATCH(AC$2,Kraftvärmeprod!$B$1:$VX$1,0),FALSE)/1,0)-IFERROR(VLOOKUP($B8,'Slutlig allokering kvv'!$B$2:$BX$550,MATCH(AC$2,'Slutlig allokering kvv'!$B$1:$BX$1,0),FALSE)/1,0))</f>
        <v/>
      </c>
      <c r="AD8" s="31" t="str">
        <f>IF($D8="","",IFERROR(VLOOKUP($B8,Kraftvärmeprod!$B$1:$BX$550,MATCH(AD$2,Kraftvärmeprod!$B$1:$VX$1,0),FALSE)/1,0)-IFERROR(VLOOKUP($B8,'Slutlig allokering kvv'!$B$2:$BX$550,MATCH(AD$2,'Slutlig allokering kvv'!$B$1:$BX$1,0),FALSE)/1,0))</f>
        <v/>
      </c>
      <c r="AE8" s="31" t="str">
        <f>IF($D8="","",IFERROR(VLOOKUP($B8,Miljö!$B$1:$E$550,MATCH("Hjälpel kraftvärme (GWh)",Miljö!$B$1:$E$1,0),FALSE)/1,0)-IFERROR(VLOOKUP($B8,'Slutlig allokering kvv'!$B$2:$BX$549,MATCH(AE$2,'Slutlig allokering kvv'!$B$1:$BX$1,0),FALSE)/1,0))</f>
        <v/>
      </c>
      <c r="AI8" s="39">
        <f t="shared" si="0"/>
        <v>0</v>
      </c>
      <c r="AK8" s="31">
        <f>IFERROR(VLOOKUP($B8,'Slutlig allokering kvv'!$B$2:$AX$549,MATCH("Summa slutlig allokerad tillförd energi (utan hjälpel och rökgaskondensering):",'Slutlig allokering kvv'!$B$1:$AX$1,0),FALSE)/1,"")</f>
        <v>0</v>
      </c>
      <c r="AM8" s="31" t="str">
        <f>IFERROR(1-VLOOKUP($B8,'Slutlig allokering kvv'!$B$2:$AX$549,MATCH("Andel av bränsle i kvv som allokerats till värme, exklusive rökgaskondensering och hjälpel",'Slutlig allokering kvv'!$B$1:$AX$1,0),FALSE),"")</f>
        <v/>
      </c>
      <c r="AO8" s="31" t="str">
        <f t="shared" si="1"/>
        <v/>
      </c>
      <c r="AP8" s="31" t="str">
        <f t="shared" si="2"/>
        <v/>
      </c>
      <c r="AR8" s="32" t="str">
        <f t="shared" si="3"/>
        <v/>
      </c>
    </row>
    <row r="9" spans="1:46" s="31" customFormat="1" x14ac:dyDescent="0.45">
      <c r="A9" s="31" t="s">
        <v>15</v>
      </c>
      <c r="B9" s="31" t="s">
        <v>26</v>
      </c>
      <c r="C9" s="31" t="str">
        <f>IFERROR(VLOOKUP($B9,Kraftvärmeprod!$B$1:$AH$479,MATCH(C$2,Kraftvärmeprod!$B$1:$AG$1,0),FALSE)/1,"")</f>
        <v/>
      </c>
      <c r="D9" s="31" t="str">
        <f>IFERROR(VLOOKUP($B9,Kraftvärmeprod!$B$1:$AH$479,MATCH(D$2,Kraftvärmeprod!$B$1:$AG$1,0),FALSE)/1,"")</f>
        <v/>
      </c>
      <c r="F9" s="31" t="str">
        <f>IF($D9="","",IFERROR(VLOOKUP($B9,Kraftvärmeprod!$B$1:$BX$550,MATCH(F$2,Kraftvärmeprod!$B$1:$VX$1,0),FALSE)/1,0)-IFERROR(VLOOKUP($B9,'Slutlig allokering kvv'!$B$2:$BX$550,MATCH(F$2,'Slutlig allokering kvv'!$B$1:$BX$1,0),FALSE)/1,0))</f>
        <v/>
      </c>
      <c r="G9" s="31" t="str">
        <f>IF($D9="","",IFERROR(VLOOKUP($B9,Kraftvärmeprod!$B$1:$BX$550,MATCH(G$2,Kraftvärmeprod!$B$1:$VX$1,0),FALSE)/1,0)-IFERROR(VLOOKUP($B9,'Slutlig allokering kvv'!$B$2:$BX$550,MATCH(G$2,'Slutlig allokering kvv'!$B$1:$BX$1,0),FALSE)/1,0))</f>
        <v/>
      </c>
      <c r="H9" s="31" t="str">
        <f>IF($D9="","",IFERROR(VLOOKUP($B9,Kraftvärmeprod!$B$1:$BX$550,MATCH(H$2,Kraftvärmeprod!$B$1:$VX$1,0),FALSE)/1,0)-IFERROR(VLOOKUP($B9,'Slutlig allokering kvv'!$B$2:$BX$550,MATCH(H$2,'Slutlig allokering kvv'!$B$1:$BX$1,0),FALSE)/1,0))</f>
        <v/>
      </c>
      <c r="I9" s="31" t="str">
        <f>IF($D9="","",IFERROR(VLOOKUP($B9,Kraftvärmeprod!$B$1:$BX$550,MATCH(I$2,Kraftvärmeprod!$B$1:$VX$1,0),FALSE)/1,0)-IFERROR(VLOOKUP($B9,'Slutlig allokering kvv'!$B$2:$BX$550,MATCH(I$2,'Slutlig allokering kvv'!$B$1:$BX$1,0),FALSE)/1,0))</f>
        <v/>
      </c>
      <c r="J9" s="31" t="str">
        <f>IF($D9="","",IFERROR(VLOOKUP($B9,Kraftvärmeprod!$B$1:$BX$550,MATCH(J$2,Kraftvärmeprod!$B$1:$VX$1,0),FALSE)/1,0)-IFERROR(VLOOKUP($B9,'Slutlig allokering kvv'!$B$2:$BX$550,MATCH(J$2,'Slutlig allokering kvv'!$B$1:$BX$1,0),FALSE)/1,0))</f>
        <v/>
      </c>
      <c r="K9" s="31" t="str">
        <f>IF($D9="","",IFERROR(VLOOKUP($B9,Kraftvärmeprod!$B$1:$BX$550,MATCH(K$2,Kraftvärmeprod!$B$1:$VX$1,0),FALSE)/1,0)-IFERROR(VLOOKUP($B9,'Slutlig allokering kvv'!$B$2:$BX$550,MATCH(K$2,'Slutlig allokering kvv'!$B$1:$BX$1,0),FALSE)/1,0))</f>
        <v/>
      </c>
      <c r="L9" s="31" t="str">
        <f>IF($D9="","",IFERROR(VLOOKUP($B9,Kraftvärmeprod!$B$1:$BX$550,MATCH(L$2,Kraftvärmeprod!$B$1:$VX$1,0),FALSE)/1,0)-IFERROR(VLOOKUP($B9,'Slutlig allokering kvv'!$B$2:$BX$550,MATCH(L$2,'Slutlig allokering kvv'!$B$1:$BX$1,0),FALSE)/1,0))</f>
        <v/>
      </c>
      <c r="M9" s="31" t="str">
        <f>IF($D9="","",IFERROR(VLOOKUP($B9,Kraftvärmeprod!$B$1:$BX$550,MATCH(M$2,Kraftvärmeprod!$B$1:$VX$1,0),FALSE)/1,0)-IFERROR(VLOOKUP($B9,'Slutlig allokering kvv'!$B$2:$BX$550,MATCH(M$2,'Slutlig allokering kvv'!$B$1:$BX$1,0),FALSE)/1,0))</f>
        <v/>
      </c>
      <c r="N9" s="31" t="str">
        <f>IF($D9="","",IFERROR(VLOOKUP($B9,Kraftvärmeprod!$B$1:$BX$550,MATCH(N$2,Kraftvärmeprod!$B$1:$VX$1,0),FALSE)/1,0)-IFERROR(VLOOKUP($B9,'Slutlig allokering kvv'!$B$2:$BX$550,MATCH(N$2,'Slutlig allokering kvv'!$B$1:$BX$1,0),FALSE)/1,0))</f>
        <v/>
      </c>
      <c r="O9" s="31" t="str">
        <f>IF($D9="","",IFERROR(VLOOKUP($B9,Kraftvärmeprod!$B$1:$BX$550,MATCH(O$2,Kraftvärmeprod!$B$1:$VX$1,0),FALSE)/1,0)-IFERROR(VLOOKUP($B9,'Slutlig allokering kvv'!$B$2:$BX$550,MATCH(O$2,'Slutlig allokering kvv'!$B$1:$BX$1,0),FALSE)/1,0))</f>
        <v/>
      </c>
      <c r="P9" s="31" t="str">
        <f>IF($D9="","",IFERROR(VLOOKUP($B9,Kraftvärmeprod!$B$1:$BX$550,MATCH(P$2,Kraftvärmeprod!$B$1:$VX$1,0),FALSE)/1,0)-IFERROR(VLOOKUP($B9,'Slutlig allokering kvv'!$B$2:$BX$550,MATCH(P$2,'Slutlig allokering kvv'!$B$1:$BX$1,0),FALSE)/1,0))</f>
        <v/>
      </c>
      <c r="Q9" s="31" t="str">
        <f>IF($D9="","",IFERROR(VLOOKUP($B9,Kraftvärmeprod!$B$1:$BX$550,MATCH(Q$2,Kraftvärmeprod!$B$1:$VX$1,0),FALSE)/1,0)-IFERROR(VLOOKUP($B9,'Slutlig allokering kvv'!$B$2:$BX$550,MATCH(Q$2,'Slutlig allokering kvv'!$B$1:$BX$1,0),FALSE)/1,0))</f>
        <v/>
      </c>
      <c r="R9" s="31" t="str">
        <f>IF($D9="","",IFERROR(VLOOKUP($B9,Kraftvärmeprod!$B$1:$BX$550,MATCH(R$2,Kraftvärmeprod!$B$1:$VX$1,0),FALSE)/1,0)-IFERROR(VLOOKUP($B9,'Slutlig allokering kvv'!$B$2:$BX$550,MATCH(R$2,'Slutlig allokering kvv'!$B$1:$BX$1,0),FALSE)/1,0))</f>
        <v/>
      </c>
      <c r="S9" s="31" t="str">
        <f>IF($D9="","",IFERROR(VLOOKUP($B9,Kraftvärmeprod!$B$1:$BX$550,MATCH(S$2,Kraftvärmeprod!$B$1:$VX$1,0),FALSE)/1,0)-IFERROR(VLOOKUP($B9,'Slutlig allokering kvv'!$B$2:$BX$550,MATCH(S$2,'Slutlig allokering kvv'!$B$1:$BX$1,0),FALSE)/1,0))</f>
        <v/>
      </c>
      <c r="T9" s="31" t="str">
        <f>IF($D9="","",IFERROR(VLOOKUP($B9,Kraftvärmeprod!$B$1:$BX$550,MATCH(T$2,Kraftvärmeprod!$B$1:$VX$1,0),FALSE)/1,0)-IFERROR(VLOOKUP($B9,'Slutlig allokering kvv'!$B$2:$BX$550,MATCH(T$2,'Slutlig allokering kvv'!$B$1:$BX$1,0),FALSE)/1,0))</f>
        <v/>
      </c>
      <c r="U9" s="31" t="str">
        <f>IF($D9="","",IFERROR(VLOOKUP($B9,Kraftvärmeprod!$B$1:$BX$550,MATCH(U$2,Kraftvärmeprod!$B$1:$VX$1,0),FALSE)/1,0)-IFERROR(VLOOKUP($B9,'Slutlig allokering kvv'!$B$2:$BX$550,MATCH(U$2,'Slutlig allokering kvv'!$B$1:$BX$1,0),FALSE)/1,0))</f>
        <v/>
      </c>
      <c r="V9" s="31" t="str">
        <f>IF($D9="","",IFERROR(VLOOKUP($B9,Kraftvärmeprod!$B$1:$BX$550,MATCH(V$2,Kraftvärmeprod!$B$1:$VX$1,0),FALSE)/1,0)-IFERROR(VLOOKUP($B9,'Slutlig allokering kvv'!$B$2:$BX$550,MATCH(V$2,'Slutlig allokering kvv'!$B$1:$BX$1,0),FALSE)/1,0))</f>
        <v/>
      </c>
      <c r="W9" s="31" t="str">
        <f>IF($D9="","",IFERROR(VLOOKUP($B9,Kraftvärmeprod!$B$1:$BX$550,MATCH(W$2,Kraftvärmeprod!$B$1:$VX$1,0),FALSE)/1,0)-IFERROR(VLOOKUP($B9,'Slutlig allokering kvv'!$B$2:$BX$550,MATCH(W$2,'Slutlig allokering kvv'!$B$1:$BX$1,0),FALSE)/1,0))</f>
        <v/>
      </c>
      <c r="X9" s="31" t="str">
        <f>IF($D9="","",IFERROR(VLOOKUP($B9,Kraftvärmeprod!$B$1:$BX$550,MATCH(X$2,Kraftvärmeprod!$B$1:$VX$1,0),FALSE)/1,0)-IFERROR(VLOOKUP($B9,'Slutlig allokering kvv'!$B$2:$BX$550,MATCH(X$2,'Slutlig allokering kvv'!$B$1:$BX$1,0),FALSE)/1,0))</f>
        <v/>
      </c>
      <c r="Y9" s="31" t="str">
        <f>IF($D9="","",IFERROR(VLOOKUP($B9,Kraftvärmeprod!$B$1:$BX$550,MATCH(Y$2,Kraftvärmeprod!$B$1:$VX$1,0),FALSE)/1,0)-IFERROR(VLOOKUP($B9,'Slutlig allokering kvv'!$B$2:$BX$550,MATCH(Y$2,'Slutlig allokering kvv'!$B$1:$BX$1,0),FALSE)/1,0))</f>
        <v/>
      </c>
      <c r="Z9" s="31" t="str">
        <f>IF($D9="","",IFERROR(VLOOKUP($B9,Kraftvärmeprod!$B$1:$BX$550,MATCH(Z$2,Kraftvärmeprod!$B$1:$VX$1,0),FALSE)/1,0)-IFERROR(VLOOKUP($B9,'Slutlig allokering kvv'!$B$2:$BX$550,MATCH(Z$2,'Slutlig allokering kvv'!$B$1:$BX$1,0),FALSE)/1,0))</f>
        <v/>
      </c>
      <c r="AA9" s="31" t="str">
        <f>IF($D9="","",IFERROR(VLOOKUP($B9,Kraftvärmeprod!$B$1:$BX$550,MATCH(AA$2,Kraftvärmeprod!$B$1:$VX$1,0),FALSE)/1,0)-IFERROR(VLOOKUP($B9,'Slutlig allokering kvv'!$B$2:$BX$550,MATCH(AA$2,'Slutlig allokering kvv'!$B$1:$BX$1,0),FALSE)/1,0))</f>
        <v/>
      </c>
      <c r="AB9" s="31" t="str">
        <f>IF($D9="","",IFERROR(VLOOKUP($B9,Kraftvärmeprod!$B$1:$BX$550,MATCH(AB$2,Kraftvärmeprod!$B$1:$VX$1,0),FALSE)/1,0)-IFERROR(VLOOKUP($B9,'Slutlig allokering kvv'!$B$2:$BX$550,MATCH(AB$2,'Slutlig allokering kvv'!$B$1:$BX$1,0),FALSE)/1,0))</f>
        <v/>
      </c>
      <c r="AC9" s="31" t="str">
        <f>IF($D9="","",IFERROR(VLOOKUP($B9,Kraftvärmeprod!$B$1:$BX$550,MATCH(AC$2,Kraftvärmeprod!$B$1:$VX$1,0),FALSE)/1,0)-IFERROR(VLOOKUP($B9,'Slutlig allokering kvv'!$B$2:$BX$550,MATCH(AC$2,'Slutlig allokering kvv'!$B$1:$BX$1,0),FALSE)/1,0))</f>
        <v/>
      </c>
      <c r="AD9" s="31" t="str">
        <f>IF($D9="","",IFERROR(VLOOKUP($B9,Kraftvärmeprod!$B$1:$BX$550,MATCH(AD$2,Kraftvärmeprod!$B$1:$VX$1,0),FALSE)/1,0)-IFERROR(VLOOKUP($B9,'Slutlig allokering kvv'!$B$2:$BX$550,MATCH(AD$2,'Slutlig allokering kvv'!$B$1:$BX$1,0),FALSE)/1,0))</f>
        <v/>
      </c>
      <c r="AE9" s="31" t="str">
        <f>IF($D9="","",IFERROR(VLOOKUP($B9,Miljö!$B$1:$E$550,MATCH("Hjälpel kraftvärme (GWh)",Miljö!$B$1:$E$1,0),FALSE)/1,0)-IFERROR(VLOOKUP($B9,'Slutlig allokering kvv'!$B$2:$BX$549,MATCH(AE$2,'Slutlig allokering kvv'!$B$1:$BX$1,0),FALSE)/1,0))</f>
        <v/>
      </c>
      <c r="AI9" s="39">
        <f t="shared" si="0"/>
        <v>0</v>
      </c>
      <c r="AK9" s="31">
        <f>IFERROR(VLOOKUP($B9,'Slutlig allokering kvv'!$B$2:$AX$549,MATCH("Summa slutlig allokerad tillförd energi (utan hjälpel och rökgaskondensering):",'Slutlig allokering kvv'!$B$1:$AX$1,0),FALSE)/1,"")</f>
        <v>0</v>
      </c>
      <c r="AM9" s="31" t="str">
        <f>IFERROR(1-VLOOKUP($B9,'Slutlig allokering kvv'!$B$2:$AX$549,MATCH("Andel av bränsle i kvv som allokerats till värme, exklusive rökgaskondensering och hjälpel",'Slutlig allokering kvv'!$B$1:$AX$1,0),FALSE),"")</f>
        <v/>
      </c>
      <c r="AO9" s="31" t="str">
        <f t="shared" si="1"/>
        <v/>
      </c>
      <c r="AP9" s="31" t="str">
        <f t="shared" si="2"/>
        <v/>
      </c>
      <c r="AR9" s="32" t="str">
        <f t="shared" si="3"/>
        <v/>
      </c>
    </row>
    <row r="10" spans="1:46" s="31" customFormat="1" x14ac:dyDescent="0.45">
      <c r="A10" s="31" t="s">
        <v>15</v>
      </c>
      <c r="B10" s="31" t="s">
        <v>20</v>
      </c>
      <c r="C10" s="31" t="str">
        <f>IFERROR(VLOOKUP($B10,Kraftvärmeprod!$B$1:$AH$479,MATCH(C$2,Kraftvärmeprod!$B$1:$AG$1,0),FALSE)/1,"")</f>
        <v/>
      </c>
      <c r="D10" s="31" t="str">
        <f>IFERROR(VLOOKUP($B10,Kraftvärmeprod!$B$1:$AH$479,MATCH(D$2,Kraftvärmeprod!$B$1:$AG$1,0),FALSE)/1,"")</f>
        <v/>
      </c>
      <c r="F10" s="31" t="str">
        <f>IF($D10="","",IFERROR(VLOOKUP($B10,Kraftvärmeprod!$B$1:$BX$550,MATCH(F$2,Kraftvärmeprod!$B$1:$VX$1,0),FALSE)/1,0)-IFERROR(VLOOKUP($B10,'Slutlig allokering kvv'!$B$2:$BX$550,MATCH(F$2,'Slutlig allokering kvv'!$B$1:$BX$1,0),FALSE)/1,0))</f>
        <v/>
      </c>
      <c r="G10" s="31" t="str">
        <f>IF($D10="","",IFERROR(VLOOKUP($B10,Kraftvärmeprod!$B$1:$BX$550,MATCH(G$2,Kraftvärmeprod!$B$1:$VX$1,0),FALSE)/1,0)-IFERROR(VLOOKUP($B10,'Slutlig allokering kvv'!$B$2:$BX$550,MATCH(G$2,'Slutlig allokering kvv'!$B$1:$BX$1,0),FALSE)/1,0))</f>
        <v/>
      </c>
      <c r="H10" s="31" t="str">
        <f>IF($D10="","",IFERROR(VLOOKUP($B10,Kraftvärmeprod!$B$1:$BX$550,MATCH(H$2,Kraftvärmeprod!$B$1:$VX$1,0),FALSE)/1,0)-IFERROR(VLOOKUP($B10,'Slutlig allokering kvv'!$B$2:$BX$550,MATCH(H$2,'Slutlig allokering kvv'!$B$1:$BX$1,0),FALSE)/1,0))</f>
        <v/>
      </c>
      <c r="I10" s="31" t="str">
        <f>IF($D10="","",IFERROR(VLOOKUP($B10,Kraftvärmeprod!$B$1:$BX$550,MATCH(I$2,Kraftvärmeprod!$B$1:$VX$1,0),FALSE)/1,0)-IFERROR(VLOOKUP($B10,'Slutlig allokering kvv'!$B$2:$BX$550,MATCH(I$2,'Slutlig allokering kvv'!$B$1:$BX$1,0),FALSE)/1,0))</f>
        <v/>
      </c>
      <c r="J10" s="31" t="str">
        <f>IF($D10="","",IFERROR(VLOOKUP($B10,Kraftvärmeprod!$B$1:$BX$550,MATCH(J$2,Kraftvärmeprod!$B$1:$VX$1,0),FALSE)/1,0)-IFERROR(VLOOKUP($B10,'Slutlig allokering kvv'!$B$2:$BX$550,MATCH(J$2,'Slutlig allokering kvv'!$B$1:$BX$1,0),FALSE)/1,0))</f>
        <v/>
      </c>
      <c r="K10" s="31" t="str">
        <f>IF($D10="","",IFERROR(VLOOKUP($B10,Kraftvärmeprod!$B$1:$BX$550,MATCH(K$2,Kraftvärmeprod!$B$1:$VX$1,0),FALSE)/1,0)-IFERROR(VLOOKUP($B10,'Slutlig allokering kvv'!$B$2:$BX$550,MATCH(K$2,'Slutlig allokering kvv'!$B$1:$BX$1,0),FALSE)/1,0))</f>
        <v/>
      </c>
      <c r="L10" s="31" t="str">
        <f>IF($D10="","",IFERROR(VLOOKUP($B10,Kraftvärmeprod!$B$1:$BX$550,MATCH(L$2,Kraftvärmeprod!$B$1:$VX$1,0),FALSE)/1,0)-IFERROR(VLOOKUP($B10,'Slutlig allokering kvv'!$B$2:$BX$550,MATCH(L$2,'Slutlig allokering kvv'!$B$1:$BX$1,0),FALSE)/1,0))</f>
        <v/>
      </c>
      <c r="M10" s="31" t="str">
        <f>IF($D10="","",IFERROR(VLOOKUP($B10,Kraftvärmeprod!$B$1:$BX$550,MATCH(M$2,Kraftvärmeprod!$B$1:$VX$1,0),FALSE)/1,0)-IFERROR(VLOOKUP($B10,'Slutlig allokering kvv'!$B$2:$BX$550,MATCH(M$2,'Slutlig allokering kvv'!$B$1:$BX$1,0),FALSE)/1,0))</f>
        <v/>
      </c>
      <c r="N10" s="31" t="str">
        <f>IF($D10="","",IFERROR(VLOOKUP($B10,Kraftvärmeprod!$B$1:$BX$550,MATCH(N$2,Kraftvärmeprod!$B$1:$VX$1,0),FALSE)/1,0)-IFERROR(VLOOKUP($B10,'Slutlig allokering kvv'!$B$2:$BX$550,MATCH(N$2,'Slutlig allokering kvv'!$B$1:$BX$1,0),FALSE)/1,0))</f>
        <v/>
      </c>
      <c r="O10" s="31" t="str">
        <f>IF($D10="","",IFERROR(VLOOKUP($B10,Kraftvärmeprod!$B$1:$BX$550,MATCH(O$2,Kraftvärmeprod!$B$1:$VX$1,0),FALSE)/1,0)-IFERROR(VLOOKUP($B10,'Slutlig allokering kvv'!$B$2:$BX$550,MATCH(O$2,'Slutlig allokering kvv'!$B$1:$BX$1,0),FALSE)/1,0))</f>
        <v/>
      </c>
      <c r="P10" s="31" t="str">
        <f>IF($D10="","",IFERROR(VLOOKUP($B10,Kraftvärmeprod!$B$1:$BX$550,MATCH(P$2,Kraftvärmeprod!$B$1:$VX$1,0),FALSE)/1,0)-IFERROR(VLOOKUP($B10,'Slutlig allokering kvv'!$B$2:$BX$550,MATCH(P$2,'Slutlig allokering kvv'!$B$1:$BX$1,0),FALSE)/1,0))</f>
        <v/>
      </c>
      <c r="Q10" s="31" t="str">
        <f>IF($D10="","",IFERROR(VLOOKUP($B10,Kraftvärmeprod!$B$1:$BX$550,MATCH(Q$2,Kraftvärmeprod!$B$1:$VX$1,0),FALSE)/1,0)-IFERROR(VLOOKUP($B10,'Slutlig allokering kvv'!$B$2:$BX$550,MATCH(Q$2,'Slutlig allokering kvv'!$B$1:$BX$1,0),FALSE)/1,0))</f>
        <v/>
      </c>
      <c r="R10" s="31" t="str">
        <f>IF($D10="","",IFERROR(VLOOKUP($B10,Kraftvärmeprod!$B$1:$BX$550,MATCH(R$2,Kraftvärmeprod!$B$1:$VX$1,0),FALSE)/1,0)-IFERROR(VLOOKUP($B10,'Slutlig allokering kvv'!$B$2:$BX$550,MATCH(R$2,'Slutlig allokering kvv'!$B$1:$BX$1,0),FALSE)/1,0))</f>
        <v/>
      </c>
      <c r="S10" s="31" t="str">
        <f>IF($D10="","",IFERROR(VLOOKUP($B10,Kraftvärmeprod!$B$1:$BX$550,MATCH(S$2,Kraftvärmeprod!$B$1:$VX$1,0),FALSE)/1,0)-IFERROR(VLOOKUP($B10,'Slutlig allokering kvv'!$B$2:$BX$550,MATCH(S$2,'Slutlig allokering kvv'!$B$1:$BX$1,0),FALSE)/1,0))</f>
        <v/>
      </c>
      <c r="T10" s="31" t="str">
        <f>IF($D10="","",IFERROR(VLOOKUP($B10,Kraftvärmeprod!$B$1:$BX$550,MATCH(T$2,Kraftvärmeprod!$B$1:$VX$1,0),FALSE)/1,0)-IFERROR(VLOOKUP($B10,'Slutlig allokering kvv'!$B$2:$BX$550,MATCH(T$2,'Slutlig allokering kvv'!$B$1:$BX$1,0),FALSE)/1,0))</f>
        <v/>
      </c>
      <c r="U10" s="31" t="str">
        <f>IF($D10="","",IFERROR(VLOOKUP($B10,Kraftvärmeprod!$B$1:$BX$550,MATCH(U$2,Kraftvärmeprod!$B$1:$VX$1,0),FALSE)/1,0)-IFERROR(VLOOKUP($B10,'Slutlig allokering kvv'!$B$2:$BX$550,MATCH(U$2,'Slutlig allokering kvv'!$B$1:$BX$1,0),FALSE)/1,0))</f>
        <v/>
      </c>
      <c r="V10" s="31" t="str">
        <f>IF($D10="","",IFERROR(VLOOKUP($B10,Kraftvärmeprod!$B$1:$BX$550,MATCH(V$2,Kraftvärmeprod!$B$1:$VX$1,0),FALSE)/1,0)-IFERROR(VLOOKUP($B10,'Slutlig allokering kvv'!$B$2:$BX$550,MATCH(V$2,'Slutlig allokering kvv'!$B$1:$BX$1,0),FALSE)/1,0))</f>
        <v/>
      </c>
      <c r="W10" s="31" t="str">
        <f>IF($D10="","",IFERROR(VLOOKUP($B10,Kraftvärmeprod!$B$1:$BX$550,MATCH(W$2,Kraftvärmeprod!$B$1:$VX$1,0),FALSE)/1,0)-IFERROR(VLOOKUP($B10,'Slutlig allokering kvv'!$B$2:$BX$550,MATCH(W$2,'Slutlig allokering kvv'!$B$1:$BX$1,0),FALSE)/1,0))</f>
        <v/>
      </c>
      <c r="X10" s="31" t="str">
        <f>IF($D10="","",IFERROR(VLOOKUP($B10,Kraftvärmeprod!$B$1:$BX$550,MATCH(X$2,Kraftvärmeprod!$B$1:$VX$1,0),FALSE)/1,0)-IFERROR(VLOOKUP($B10,'Slutlig allokering kvv'!$B$2:$BX$550,MATCH(X$2,'Slutlig allokering kvv'!$B$1:$BX$1,0),FALSE)/1,0))</f>
        <v/>
      </c>
      <c r="Y10" s="31" t="str">
        <f>IF($D10="","",IFERROR(VLOOKUP($B10,Kraftvärmeprod!$B$1:$BX$550,MATCH(Y$2,Kraftvärmeprod!$B$1:$VX$1,0),FALSE)/1,0)-IFERROR(VLOOKUP($B10,'Slutlig allokering kvv'!$B$2:$BX$550,MATCH(Y$2,'Slutlig allokering kvv'!$B$1:$BX$1,0),FALSE)/1,0))</f>
        <v/>
      </c>
      <c r="Z10" s="31" t="str">
        <f>IF($D10="","",IFERROR(VLOOKUP($B10,Kraftvärmeprod!$B$1:$BX$550,MATCH(Z$2,Kraftvärmeprod!$B$1:$VX$1,0),FALSE)/1,0)-IFERROR(VLOOKUP($B10,'Slutlig allokering kvv'!$B$2:$BX$550,MATCH(Z$2,'Slutlig allokering kvv'!$B$1:$BX$1,0),FALSE)/1,0))</f>
        <v/>
      </c>
      <c r="AA10" s="31" t="str">
        <f>IF($D10="","",IFERROR(VLOOKUP($B10,Kraftvärmeprod!$B$1:$BX$550,MATCH(AA$2,Kraftvärmeprod!$B$1:$VX$1,0),FALSE)/1,0)-IFERROR(VLOOKUP($B10,'Slutlig allokering kvv'!$B$2:$BX$550,MATCH(AA$2,'Slutlig allokering kvv'!$B$1:$BX$1,0),FALSE)/1,0))</f>
        <v/>
      </c>
      <c r="AB10" s="31" t="str">
        <f>IF($D10="","",IFERROR(VLOOKUP($B10,Kraftvärmeprod!$B$1:$BX$550,MATCH(AB$2,Kraftvärmeprod!$B$1:$VX$1,0),FALSE)/1,0)-IFERROR(VLOOKUP($B10,'Slutlig allokering kvv'!$B$2:$BX$550,MATCH(AB$2,'Slutlig allokering kvv'!$B$1:$BX$1,0),FALSE)/1,0))</f>
        <v/>
      </c>
      <c r="AC10" s="31" t="str">
        <f>IF($D10="","",IFERROR(VLOOKUP($B10,Kraftvärmeprod!$B$1:$BX$550,MATCH(AC$2,Kraftvärmeprod!$B$1:$VX$1,0),FALSE)/1,0)-IFERROR(VLOOKUP($B10,'Slutlig allokering kvv'!$B$2:$BX$550,MATCH(AC$2,'Slutlig allokering kvv'!$B$1:$BX$1,0),FALSE)/1,0))</f>
        <v/>
      </c>
      <c r="AD10" s="31" t="str">
        <f>IF($D10="","",IFERROR(VLOOKUP($B10,Kraftvärmeprod!$B$1:$BX$550,MATCH(AD$2,Kraftvärmeprod!$B$1:$VX$1,0),FALSE)/1,0)-IFERROR(VLOOKUP($B10,'Slutlig allokering kvv'!$B$2:$BX$550,MATCH(AD$2,'Slutlig allokering kvv'!$B$1:$BX$1,0),FALSE)/1,0))</f>
        <v/>
      </c>
      <c r="AE10" s="31" t="str">
        <f>IF($D10="","",IFERROR(VLOOKUP($B10,Miljö!$B$1:$E$550,MATCH("Hjälpel kraftvärme (GWh)",Miljö!$B$1:$E$1,0),FALSE)/1,0)-IFERROR(VLOOKUP($B10,'Slutlig allokering kvv'!$B$2:$BX$549,MATCH(AE$2,'Slutlig allokering kvv'!$B$1:$BX$1,0),FALSE)/1,0))</f>
        <v/>
      </c>
      <c r="AI10" s="39">
        <f t="shared" si="0"/>
        <v>0</v>
      </c>
      <c r="AK10" s="31">
        <f>IFERROR(VLOOKUP($B10,'Slutlig allokering kvv'!$B$2:$AX$549,MATCH("Summa slutlig allokerad tillförd energi (utan hjälpel och rökgaskondensering):",'Slutlig allokering kvv'!$B$1:$AX$1,0),FALSE)/1,"")</f>
        <v>0</v>
      </c>
      <c r="AM10" s="31" t="str">
        <f>IFERROR(1-VLOOKUP($B10,'Slutlig allokering kvv'!$B$2:$AX$549,MATCH("Andel av bränsle i kvv som allokerats till värme, exklusive rökgaskondensering och hjälpel",'Slutlig allokering kvv'!$B$1:$AX$1,0),FALSE),"")</f>
        <v/>
      </c>
      <c r="AO10" s="31" t="str">
        <f t="shared" si="1"/>
        <v/>
      </c>
      <c r="AP10" s="31" t="str">
        <f t="shared" si="2"/>
        <v/>
      </c>
      <c r="AR10" s="32" t="str">
        <f t="shared" si="3"/>
        <v/>
      </c>
    </row>
    <row r="11" spans="1:46" s="31" customFormat="1" x14ac:dyDescent="0.45">
      <c r="A11" s="31" t="s">
        <v>15</v>
      </c>
      <c r="B11" s="31" t="s">
        <v>32</v>
      </c>
      <c r="C11" s="31" t="str">
        <f>IFERROR(VLOOKUP($B11,Kraftvärmeprod!$B$1:$AH$479,MATCH(C$2,Kraftvärmeprod!$B$1:$AG$1,0),FALSE)/1,"")</f>
        <v/>
      </c>
      <c r="D11" s="31" t="str">
        <f>IFERROR(VLOOKUP($B11,Kraftvärmeprod!$B$1:$AH$479,MATCH(D$2,Kraftvärmeprod!$B$1:$AG$1,0),FALSE)/1,"")</f>
        <v/>
      </c>
      <c r="F11" s="31" t="str">
        <f>IF($D11="","",IFERROR(VLOOKUP($B11,Kraftvärmeprod!$B$1:$BX$550,MATCH(F$2,Kraftvärmeprod!$B$1:$VX$1,0),FALSE)/1,0)-IFERROR(VLOOKUP($B11,'Slutlig allokering kvv'!$B$2:$BX$550,MATCH(F$2,'Slutlig allokering kvv'!$B$1:$BX$1,0),FALSE)/1,0))</f>
        <v/>
      </c>
      <c r="G11" s="31" t="str">
        <f>IF($D11="","",IFERROR(VLOOKUP($B11,Kraftvärmeprod!$B$1:$BX$550,MATCH(G$2,Kraftvärmeprod!$B$1:$VX$1,0),FALSE)/1,0)-IFERROR(VLOOKUP($B11,'Slutlig allokering kvv'!$B$2:$BX$550,MATCH(G$2,'Slutlig allokering kvv'!$B$1:$BX$1,0),FALSE)/1,0))</f>
        <v/>
      </c>
      <c r="H11" s="31" t="str">
        <f>IF($D11="","",IFERROR(VLOOKUP($B11,Kraftvärmeprod!$B$1:$BX$550,MATCH(H$2,Kraftvärmeprod!$B$1:$VX$1,0),FALSE)/1,0)-IFERROR(VLOOKUP($B11,'Slutlig allokering kvv'!$B$2:$BX$550,MATCH(H$2,'Slutlig allokering kvv'!$B$1:$BX$1,0),FALSE)/1,0))</f>
        <v/>
      </c>
      <c r="I11" s="31" t="str">
        <f>IF($D11="","",IFERROR(VLOOKUP($B11,Kraftvärmeprod!$B$1:$BX$550,MATCH(I$2,Kraftvärmeprod!$B$1:$VX$1,0),FALSE)/1,0)-IFERROR(VLOOKUP($B11,'Slutlig allokering kvv'!$B$2:$BX$550,MATCH(I$2,'Slutlig allokering kvv'!$B$1:$BX$1,0),FALSE)/1,0))</f>
        <v/>
      </c>
      <c r="J11" s="31" t="str">
        <f>IF($D11="","",IFERROR(VLOOKUP($B11,Kraftvärmeprod!$B$1:$BX$550,MATCH(J$2,Kraftvärmeprod!$B$1:$VX$1,0),FALSE)/1,0)-IFERROR(VLOOKUP($B11,'Slutlig allokering kvv'!$B$2:$BX$550,MATCH(J$2,'Slutlig allokering kvv'!$B$1:$BX$1,0),FALSE)/1,0))</f>
        <v/>
      </c>
      <c r="K11" s="31" t="str">
        <f>IF($D11="","",IFERROR(VLOOKUP($B11,Kraftvärmeprod!$B$1:$BX$550,MATCH(K$2,Kraftvärmeprod!$B$1:$VX$1,0),FALSE)/1,0)-IFERROR(VLOOKUP($B11,'Slutlig allokering kvv'!$B$2:$BX$550,MATCH(K$2,'Slutlig allokering kvv'!$B$1:$BX$1,0),FALSE)/1,0))</f>
        <v/>
      </c>
      <c r="L11" s="31" t="str">
        <f>IF($D11="","",IFERROR(VLOOKUP($B11,Kraftvärmeprod!$B$1:$BX$550,MATCH(L$2,Kraftvärmeprod!$B$1:$VX$1,0),FALSE)/1,0)-IFERROR(VLOOKUP($B11,'Slutlig allokering kvv'!$B$2:$BX$550,MATCH(L$2,'Slutlig allokering kvv'!$B$1:$BX$1,0),FALSE)/1,0))</f>
        <v/>
      </c>
      <c r="M11" s="31" t="str">
        <f>IF($D11="","",IFERROR(VLOOKUP($B11,Kraftvärmeprod!$B$1:$BX$550,MATCH(M$2,Kraftvärmeprod!$B$1:$VX$1,0),FALSE)/1,0)-IFERROR(VLOOKUP($B11,'Slutlig allokering kvv'!$B$2:$BX$550,MATCH(M$2,'Slutlig allokering kvv'!$B$1:$BX$1,0),FALSE)/1,0))</f>
        <v/>
      </c>
      <c r="N11" s="31" t="str">
        <f>IF($D11="","",IFERROR(VLOOKUP($B11,Kraftvärmeprod!$B$1:$BX$550,MATCH(N$2,Kraftvärmeprod!$B$1:$VX$1,0),FALSE)/1,0)-IFERROR(VLOOKUP($B11,'Slutlig allokering kvv'!$B$2:$BX$550,MATCH(N$2,'Slutlig allokering kvv'!$B$1:$BX$1,0),FALSE)/1,0))</f>
        <v/>
      </c>
      <c r="O11" s="31" t="str">
        <f>IF($D11="","",IFERROR(VLOOKUP($B11,Kraftvärmeprod!$B$1:$BX$550,MATCH(O$2,Kraftvärmeprod!$B$1:$VX$1,0),FALSE)/1,0)-IFERROR(VLOOKUP($B11,'Slutlig allokering kvv'!$B$2:$BX$550,MATCH(O$2,'Slutlig allokering kvv'!$B$1:$BX$1,0),FALSE)/1,0))</f>
        <v/>
      </c>
      <c r="P11" s="31" t="str">
        <f>IF($D11="","",IFERROR(VLOOKUP($B11,Kraftvärmeprod!$B$1:$BX$550,MATCH(P$2,Kraftvärmeprod!$B$1:$VX$1,0),FALSE)/1,0)-IFERROR(VLOOKUP($B11,'Slutlig allokering kvv'!$B$2:$BX$550,MATCH(P$2,'Slutlig allokering kvv'!$B$1:$BX$1,0),FALSE)/1,0))</f>
        <v/>
      </c>
      <c r="Q11" s="31" t="str">
        <f>IF($D11="","",IFERROR(VLOOKUP($B11,Kraftvärmeprod!$B$1:$BX$550,MATCH(Q$2,Kraftvärmeprod!$B$1:$VX$1,0),FALSE)/1,0)-IFERROR(VLOOKUP($B11,'Slutlig allokering kvv'!$B$2:$BX$550,MATCH(Q$2,'Slutlig allokering kvv'!$B$1:$BX$1,0),FALSE)/1,0))</f>
        <v/>
      </c>
      <c r="R11" s="31" t="str">
        <f>IF($D11="","",IFERROR(VLOOKUP($B11,Kraftvärmeprod!$B$1:$BX$550,MATCH(R$2,Kraftvärmeprod!$B$1:$VX$1,0),FALSE)/1,0)-IFERROR(VLOOKUP($B11,'Slutlig allokering kvv'!$B$2:$BX$550,MATCH(R$2,'Slutlig allokering kvv'!$B$1:$BX$1,0),FALSE)/1,0))</f>
        <v/>
      </c>
      <c r="S11" s="31" t="str">
        <f>IF($D11="","",IFERROR(VLOOKUP($B11,Kraftvärmeprod!$B$1:$BX$550,MATCH(S$2,Kraftvärmeprod!$B$1:$VX$1,0),FALSE)/1,0)-IFERROR(VLOOKUP($B11,'Slutlig allokering kvv'!$B$2:$BX$550,MATCH(S$2,'Slutlig allokering kvv'!$B$1:$BX$1,0),FALSE)/1,0))</f>
        <v/>
      </c>
      <c r="T11" s="31" t="str">
        <f>IF($D11="","",IFERROR(VLOOKUP($B11,Kraftvärmeprod!$B$1:$BX$550,MATCH(T$2,Kraftvärmeprod!$B$1:$VX$1,0),FALSE)/1,0)-IFERROR(VLOOKUP($B11,'Slutlig allokering kvv'!$B$2:$BX$550,MATCH(T$2,'Slutlig allokering kvv'!$B$1:$BX$1,0),FALSE)/1,0))</f>
        <v/>
      </c>
      <c r="U11" s="31" t="str">
        <f>IF($D11="","",IFERROR(VLOOKUP($B11,Kraftvärmeprod!$B$1:$BX$550,MATCH(U$2,Kraftvärmeprod!$B$1:$VX$1,0),FALSE)/1,0)-IFERROR(VLOOKUP($B11,'Slutlig allokering kvv'!$B$2:$BX$550,MATCH(U$2,'Slutlig allokering kvv'!$B$1:$BX$1,0),FALSE)/1,0))</f>
        <v/>
      </c>
      <c r="V11" s="31" t="str">
        <f>IF($D11="","",IFERROR(VLOOKUP($B11,Kraftvärmeprod!$B$1:$BX$550,MATCH(V$2,Kraftvärmeprod!$B$1:$VX$1,0),FALSE)/1,0)-IFERROR(VLOOKUP($B11,'Slutlig allokering kvv'!$B$2:$BX$550,MATCH(V$2,'Slutlig allokering kvv'!$B$1:$BX$1,0),FALSE)/1,0))</f>
        <v/>
      </c>
      <c r="W11" s="31" t="str">
        <f>IF($D11="","",IFERROR(VLOOKUP($B11,Kraftvärmeprod!$B$1:$BX$550,MATCH(W$2,Kraftvärmeprod!$B$1:$VX$1,0),FALSE)/1,0)-IFERROR(VLOOKUP($B11,'Slutlig allokering kvv'!$B$2:$BX$550,MATCH(W$2,'Slutlig allokering kvv'!$B$1:$BX$1,0),FALSE)/1,0))</f>
        <v/>
      </c>
      <c r="X11" s="31" t="str">
        <f>IF($D11="","",IFERROR(VLOOKUP($B11,Kraftvärmeprod!$B$1:$BX$550,MATCH(X$2,Kraftvärmeprod!$B$1:$VX$1,0),FALSE)/1,0)-IFERROR(VLOOKUP($B11,'Slutlig allokering kvv'!$B$2:$BX$550,MATCH(X$2,'Slutlig allokering kvv'!$B$1:$BX$1,0),FALSE)/1,0))</f>
        <v/>
      </c>
      <c r="Y11" s="31" t="str">
        <f>IF($D11="","",IFERROR(VLOOKUP($B11,Kraftvärmeprod!$B$1:$BX$550,MATCH(Y$2,Kraftvärmeprod!$B$1:$VX$1,0),FALSE)/1,0)-IFERROR(VLOOKUP($B11,'Slutlig allokering kvv'!$B$2:$BX$550,MATCH(Y$2,'Slutlig allokering kvv'!$B$1:$BX$1,0),FALSE)/1,0))</f>
        <v/>
      </c>
      <c r="Z11" s="31" t="str">
        <f>IF($D11="","",IFERROR(VLOOKUP($B11,Kraftvärmeprod!$B$1:$BX$550,MATCH(Z$2,Kraftvärmeprod!$B$1:$VX$1,0),FALSE)/1,0)-IFERROR(VLOOKUP($B11,'Slutlig allokering kvv'!$B$2:$BX$550,MATCH(Z$2,'Slutlig allokering kvv'!$B$1:$BX$1,0),FALSE)/1,0))</f>
        <v/>
      </c>
      <c r="AA11" s="31" t="str">
        <f>IF($D11="","",IFERROR(VLOOKUP($B11,Kraftvärmeprod!$B$1:$BX$550,MATCH(AA$2,Kraftvärmeprod!$B$1:$VX$1,0),FALSE)/1,0)-IFERROR(VLOOKUP($B11,'Slutlig allokering kvv'!$B$2:$BX$550,MATCH(AA$2,'Slutlig allokering kvv'!$B$1:$BX$1,0),FALSE)/1,0))</f>
        <v/>
      </c>
      <c r="AB11" s="31" t="str">
        <f>IF($D11="","",IFERROR(VLOOKUP($B11,Kraftvärmeprod!$B$1:$BX$550,MATCH(AB$2,Kraftvärmeprod!$B$1:$VX$1,0),FALSE)/1,0)-IFERROR(VLOOKUP($B11,'Slutlig allokering kvv'!$B$2:$BX$550,MATCH(AB$2,'Slutlig allokering kvv'!$B$1:$BX$1,0),FALSE)/1,0))</f>
        <v/>
      </c>
      <c r="AC11" s="31" t="str">
        <f>IF($D11="","",IFERROR(VLOOKUP($B11,Kraftvärmeprod!$B$1:$BX$550,MATCH(AC$2,Kraftvärmeprod!$B$1:$VX$1,0),FALSE)/1,0)-IFERROR(VLOOKUP($B11,'Slutlig allokering kvv'!$B$2:$BX$550,MATCH(AC$2,'Slutlig allokering kvv'!$B$1:$BX$1,0),FALSE)/1,0))</f>
        <v/>
      </c>
      <c r="AD11" s="31" t="str">
        <f>IF($D11="","",IFERROR(VLOOKUP($B11,Kraftvärmeprod!$B$1:$BX$550,MATCH(AD$2,Kraftvärmeprod!$B$1:$VX$1,0),FALSE)/1,0)-IFERROR(VLOOKUP($B11,'Slutlig allokering kvv'!$B$2:$BX$550,MATCH(AD$2,'Slutlig allokering kvv'!$B$1:$BX$1,0),FALSE)/1,0))</f>
        <v/>
      </c>
      <c r="AE11" s="31" t="str">
        <f>IF($D11="","",IFERROR(VLOOKUP($B11,Miljö!$B$1:$E$550,MATCH("Hjälpel kraftvärme (GWh)",Miljö!$B$1:$E$1,0),FALSE)/1,0)-IFERROR(VLOOKUP($B11,'Slutlig allokering kvv'!$B$2:$BX$549,MATCH(AE$2,'Slutlig allokering kvv'!$B$1:$BX$1,0),FALSE)/1,0))</f>
        <v/>
      </c>
      <c r="AI11" s="39">
        <f t="shared" si="0"/>
        <v>0</v>
      </c>
      <c r="AK11" s="31">
        <f>IFERROR(VLOOKUP($B11,'Slutlig allokering kvv'!$B$2:$AX$549,MATCH("Summa slutlig allokerad tillförd energi (utan hjälpel och rökgaskondensering):",'Slutlig allokering kvv'!$B$1:$AX$1,0),FALSE)/1,"")</f>
        <v>0</v>
      </c>
      <c r="AM11" s="31" t="str">
        <f>IFERROR(1-VLOOKUP($B11,'Slutlig allokering kvv'!$B$2:$AX$549,MATCH("Andel av bränsle i kvv som allokerats till värme, exklusive rökgaskondensering och hjälpel",'Slutlig allokering kvv'!$B$1:$AX$1,0),FALSE),"")</f>
        <v/>
      </c>
      <c r="AO11" s="31" t="str">
        <f t="shared" si="1"/>
        <v/>
      </c>
      <c r="AP11" s="31" t="str">
        <f t="shared" si="2"/>
        <v/>
      </c>
      <c r="AR11" s="32" t="str">
        <f t="shared" si="3"/>
        <v/>
      </c>
    </row>
    <row r="12" spans="1:46" s="31" customFormat="1" x14ac:dyDescent="0.45">
      <c r="A12" s="31" t="s">
        <v>672</v>
      </c>
      <c r="B12" s="31" t="s">
        <v>681</v>
      </c>
      <c r="C12" s="31" t="str">
        <f>IFERROR(VLOOKUP($B12,Kraftvärmeprod!$B$1:$AH$479,MATCH(C$2,Kraftvärmeprod!$B$1:$AG$1,0),FALSE)/1,"")</f>
        <v/>
      </c>
      <c r="D12" s="31" t="str">
        <f>IFERROR(VLOOKUP($B12,Kraftvärmeprod!$B$1:$AH$479,MATCH(D$2,Kraftvärmeprod!$B$1:$AG$1,0),FALSE)/1,"")</f>
        <v/>
      </c>
      <c r="F12" s="31" t="str">
        <f>IF($D12="","",IFERROR(VLOOKUP($B12,Kraftvärmeprod!$B$1:$BX$550,MATCH(F$2,Kraftvärmeprod!$B$1:$VX$1,0),FALSE)/1,0)-IFERROR(VLOOKUP($B12,'Slutlig allokering kvv'!$B$2:$BX$550,MATCH(F$2,'Slutlig allokering kvv'!$B$1:$BX$1,0),FALSE)/1,0))</f>
        <v/>
      </c>
      <c r="G12" s="31" t="str">
        <f>IF($D12="","",IFERROR(VLOOKUP($B12,Kraftvärmeprod!$B$1:$BX$550,MATCH(G$2,Kraftvärmeprod!$B$1:$VX$1,0),FALSE)/1,0)-IFERROR(VLOOKUP($B12,'Slutlig allokering kvv'!$B$2:$BX$550,MATCH(G$2,'Slutlig allokering kvv'!$B$1:$BX$1,0),FALSE)/1,0))</f>
        <v/>
      </c>
      <c r="H12" s="31" t="str">
        <f>IF($D12="","",IFERROR(VLOOKUP($B12,Kraftvärmeprod!$B$1:$BX$550,MATCH(H$2,Kraftvärmeprod!$B$1:$VX$1,0),FALSE)/1,0)-IFERROR(VLOOKUP($B12,'Slutlig allokering kvv'!$B$2:$BX$550,MATCH(H$2,'Slutlig allokering kvv'!$B$1:$BX$1,0),FALSE)/1,0))</f>
        <v/>
      </c>
      <c r="I12" s="31" t="str">
        <f>IF($D12="","",IFERROR(VLOOKUP($B12,Kraftvärmeprod!$B$1:$BX$550,MATCH(I$2,Kraftvärmeprod!$B$1:$VX$1,0),FALSE)/1,0)-IFERROR(VLOOKUP($B12,'Slutlig allokering kvv'!$B$2:$BX$550,MATCH(I$2,'Slutlig allokering kvv'!$B$1:$BX$1,0),FALSE)/1,0))</f>
        <v/>
      </c>
      <c r="J12" s="31" t="str">
        <f>IF($D12="","",IFERROR(VLOOKUP($B12,Kraftvärmeprod!$B$1:$BX$550,MATCH(J$2,Kraftvärmeprod!$B$1:$VX$1,0),FALSE)/1,0)-IFERROR(VLOOKUP($B12,'Slutlig allokering kvv'!$B$2:$BX$550,MATCH(J$2,'Slutlig allokering kvv'!$B$1:$BX$1,0),FALSE)/1,0))</f>
        <v/>
      </c>
      <c r="K12" s="31" t="str">
        <f>IF($D12="","",IFERROR(VLOOKUP($B12,Kraftvärmeprod!$B$1:$BX$550,MATCH(K$2,Kraftvärmeprod!$B$1:$VX$1,0),FALSE)/1,0)-IFERROR(VLOOKUP($B12,'Slutlig allokering kvv'!$B$2:$BX$550,MATCH(K$2,'Slutlig allokering kvv'!$B$1:$BX$1,0),FALSE)/1,0))</f>
        <v/>
      </c>
      <c r="L12" s="31" t="str">
        <f>IF($D12="","",IFERROR(VLOOKUP($B12,Kraftvärmeprod!$B$1:$BX$550,MATCH(L$2,Kraftvärmeprod!$B$1:$VX$1,0),FALSE)/1,0)-IFERROR(VLOOKUP($B12,'Slutlig allokering kvv'!$B$2:$BX$550,MATCH(L$2,'Slutlig allokering kvv'!$B$1:$BX$1,0),FALSE)/1,0))</f>
        <v/>
      </c>
      <c r="M12" s="31" t="str">
        <f>IF($D12="","",IFERROR(VLOOKUP($B12,Kraftvärmeprod!$B$1:$BX$550,MATCH(M$2,Kraftvärmeprod!$B$1:$VX$1,0),FALSE)/1,0)-IFERROR(VLOOKUP($B12,'Slutlig allokering kvv'!$B$2:$BX$550,MATCH(M$2,'Slutlig allokering kvv'!$B$1:$BX$1,0),FALSE)/1,0))</f>
        <v/>
      </c>
      <c r="N12" s="31" t="str">
        <f>IF($D12="","",IFERROR(VLOOKUP($B12,Kraftvärmeprod!$B$1:$BX$550,MATCH(N$2,Kraftvärmeprod!$B$1:$VX$1,0),FALSE)/1,0)-IFERROR(VLOOKUP($B12,'Slutlig allokering kvv'!$B$2:$BX$550,MATCH(N$2,'Slutlig allokering kvv'!$B$1:$BX$1,0),FALSE)/1,0))</f>
        <v/>
      </c>
      <c r="O12" s="31" t="str">
        <f>IF($D12="","",IFERROR(VLOOKUP($B12,Kraftvärmeprod!$B$1:$BX$550,MATCH(O$2,Kraftvärmeprod!$B$1:$VX$1,0),FALSE)/1,0)-IFERROR(VLOOKUP($B12,'Slutlig allokering kvv'!$B$2:$BX$550,MATCH(O$2,'Slutlig allokering kvv'!$B$1:$BX$1,0),FALSE)/1,0))</f>
        <v/>
      </c>
      <c r="P12" s="31" t="str">
        <f>IF($D12="","",IFERROR(VLOOKUP($B12,Kraftvärmeprod!$B$1:$BX$550,MATCH(P$2,Kraftvärmeprod!$B$1:$VX$1,0),FALSE)/1,0)-IFERROR(VLOOKUP($B12,'Slutlig allokering kvv'!$B$2:$BX$550,MATCH(P$2,'Slutlig allokering kvv'!$B$1:$BX$1,0),FALSE)/1,0))</f>
        <v/>
      </c>
      <c r="Q12" s="31" t="str">
        <f>IF($D12="","",IFERROR(VLOOKUP($B12,Kraftvärmeprod!$B$1:$BX$550,MATCH(Q$2,Kraftvärmeprod!$B$1:$VX$1,0),FALSE)/1,0)-IFERROR(VLOOKUP($B12,'Slutlig allokering kvv'!$B$2:$BX$550,MATCH(Q$2,'Slutlig allokering kvv'!$B$1:$BX$1,0),FALSE)/1,0))</f>
        <v/>
      </c>
      <c r="R12" s="31" t="str">
        <f>IF($D12="","",IFERROR(VLOOKUP($B12,Kraftvärmeprod!$B$1:$BX$550,MATCH(R$2,Kraftvärmeprod!$B$1:$VX$1,0),FALSE)/1,0)-IFERROR(VLOOKUP($B12,'Slutlig allokering kvv'!$B$2:$BX$550,MATCH(R$2,'Slutlig allokering kvv'!$B$1:$BX$1,0),FALSE)/1,0))</f>
        <v/>
      </c>
      <c r="S12" s="31" t="str">
        <f>IF($D12="","",IFERROR(VLOOKUP($B12,Kraftvärmeprod!$B$1:$BX$550,MATCH(S$2,Kraftvärmeprod!$B$1:$VX$1,0),FALSE)/1,0)-IFERROR(VLOOKUP($B12,'Slutlig allokering kvv'!$B$2:$BX$550,MATCH(S$2,'Slutlig allokering kvv'!$B$1:$BX$1,0),FALSE)/1,0))</f>
        <v/>
      </c>
      <c r="T12" s="31" t="str">
        <f>IF($D12="","",IFERROR(VLOOKUP($B12,Kraftvärmeprod!$B$1:$BX$550,MATCH(T$2,Kraftvärmeprod!$B$1:$VX$1,0),FALSE)/1,0)-IFERROR(VLOOKUP($B12,'Slutlig allokering kvv'!$B$2:$BX$550,MATCH(T$2,'Slutlig allokering kvv'!$B$1:$BX$1,0),FALSE)/1,0))</f>
        <v/>
      </c>
      <c r="U12" s="31" t="str">
        <f>IF($D12="","",IFERROR(VLOOKUP($B12,Kraftvärmeprod!$B$1:$BX$550,MATCH(U$2,Kraftvärmeprod!$B$1:$VX$1,0),FALSE)/1,0)-IFERROR(VLOOKUP($B12,'Slutlig allokering kvv'!$B$2:$BX$550,MATCH(U$2,'Slutlig allokering kvv'!$B$1:$BX$1,0),FALSE)/1,0))</f>
        <v/>
      </c>
      <c r="V12" s="31" t="str">
        <f>IF($D12="","",IFERROR(VLOOKUP($B12,Kraftvärmeprod!$B$1:$BX$550,MATCH(V$2,Kraftvärmeprod!$B$1:$VX$1,0),FALSE)/1,0)-IFERROR(VLOOKUP($B12,'Slutlig allokering kvv'!$B$2:$BX$550,MATCH(V$2,'Slutlig allokering kvv'!$B$1:$BX$1,0),FALSE)/1,0))</f>
        <v/>
      </c>
      <c r="W12" s="31" t="str">
        <f>IF($D12="","",IFERROR(VLOOKUP($B12,Kraftvärmeprod!$B$1:$BX$550,MATCH(W$2,Kraftvärmeprod!$B$1:$VX$1,0),FALSE)/1,0)-IFERROR(VLOOKUP($B12,'Slutlig allokering kvv'!$B$2:$BX$550,MATCH(W$2,'Slutlig allokering kvv'!$B$1:$BX$1,0),FALSE)/1,0))</f>
        <v/>
      </c>
      <c r="X12" s="31" t="str">
        <f>IF($D12="","",IFERROR(VLOOKUP($B12,Kraftvärmeprod!$B$1:$BX$550,MATCH(X$2,Kraftvärmeprod!$B$1:$VX$1,0),FALSE)/1,0)-IFERROR(VLOOKUP($B12,'Slutlig allokering kvv'!$B$2:$BX$550,MATCH(X$2,'Slutlig allokering kvv'!$B$1:$BX$1,0),FALSE)/1,0))</f>
        <v/>
      </c>
      <c r="Y12" s="31" t="str">
        <f>IF($D12="","",IFERROR(VLOOKUP($B12,Kraftvärmeprod!$B$1:$BX$550,MATCH(Y$2,Kraftvärmeprod!$B$1:$VX$1,0),FALSE)/1,0)-IFERROR(VLOOKUP($B12,'Slutlig allokering kvv'!$B$2:$BX$550,MATCH(Y$2,'Slutlig allokering kvv'!$B$1:$BX$1,0),FALSE)/1,0))</f>
        <v/>
      </c>
      <c r="Z12" s="31" t="str">
        <f>IF($D12="","",IFERROR(VLOOKUP($B12,Kraftvärmeprod!$B$1:$BX$550,MATCH(Z$2,Kraftvärmeprod!$B$1:$VX$1,0),FALSE)/1,0)-IFERROR(VLOOKUP($B12,'Slutlig allokering kvv'!$B$2:$BX$550,MATCH(Z$2,'Slutlig allokering kvv'!$B$1:$BX$1,0),FALSE)/1,0))</f>
        <v/>
      </c>
      <c r="AA12" s="31" t="str">
        <f>IF($D12="","",IFERROR(VLOOKUP($B12,Kraftvärmeprod!$B$1:$BX$550,MATCH(AA$2,Kraftvärmeprod!$B$1:$VX$1,0),FALSE)/1,0)-IFERROR(VLOOKUP($B12,'Slutlig allokering kvv'!$B$2:$BX$550,MATCH(AA$2,'Slutlig allokering kvv'!$B$1:$BX$1,0),FALSE)/1,0))</f>
        <v/>
      </c>
      <c r="AB12" s="31" t="str">
        <f>IF($D12="","",IFERROR(VLOOKUP($B12,Kraftvärmeprod!$B$1:$BX$550,MATCH(AB$2,Kraftvärmeprod!$B$1:$VX$1,0),FALSE)/1,0)-IFERROR(VLOOKUP($B12,'Slutlig allokering kvv'!$B$2:$BX$550,MATCH(AB$2,'Slutlig allokering kvv'!$B$1:$BX$1,0),FALSE)/1,0))</f>
        <v/>
      </c>
      <c r="AC12" s="31" t="str">
        <f>IF($D12="","",IFERROR(VLOOKUP($B12,Kraftvärmeprod!$B$1:$BX$550,MATCH(AC$2,Kraftvärmeprod!$B$1:$VX$1,0),FALSE)/1,0)-IFERROR(VLOOKUP($B12,'Slutlig allokering kvv'!$B$2:$BX$550,MATCH(AC$2,'Slutlig allokering kvv'!$B$1:$BX$1,0),FALSE)/1,0))</f>
        <v/>
      </c>
      <c r="AD12" s="31" t="str">
        <f>IF($D12="","",IFERROR(VLOOKUP($B12,Kraftvärmeprod!$B$1:$BX$550,MATCH(AD$2,Kraftvärmeprod!$B$1:$VX$1,0),FALSE)/1,0)-IFERROR(VLOOKUP($B12,'Slutlig allokering kvv'!$B$2:$BX$550,MATCH(AD$2,'Slutlig allokering kvv'!$B$1:$BX$1,0),FALSE)/1,0))</f>
        <v/>
      </c>
      <c r="AE12" s="31" t="str">
        <f>IF($D12="","",IFERROR(VLOOKUP($B12,Miljö!$B$1:$E$550,MATCH("Hjälpel kraftvärme (GWh)",Miljö!$B$1:$E$1,0),FALSE)/1,0)-IFERROR(VLOOKUP($B12,'Slutlig allokering kvv'!$B$2:$BX$549,MATCH(AE$2,'Slutlig allokering kvv'!$B$1:$BX$1,0),FALSE)/1,0))</f>
        <v/>
      </c>
      <c r="AI12" s="39">
        <f t="shared" si="0"/>
        <v>0</v>
      </c>
      <c r="AK12" s="31">
        <f>IFERROR(VLOOKUP($B12,'Slutlig allokering kvv'!$B$2:$AX$549,MATCH("Summa slutlig allokerad tillförd energi (utan hjälpel och rökgaskondensering):",'Slutlig allokering kvv'!$B$1:$AX$1,0),FALSE)/1,"")</f>
        <v>0</v>
      </c>
      <c r="AM12" s="31" t="str">
        <f>IFERROR(1-VLOOKUP($B12,'Slutlig allokering kvv'!$B$2:$AX$549,MATCH("Andel av bränsle i kvv som allokerats till värme, exklusive rökgaskondensering och hjälpel",'Slutlig allokering kvv'!$B$1:$AX$1,0),FALSE),"")</f>
        <v/>
      </c>
      <c r="AO12" s="31" t="str">
        <f t="shared" si="1"/>
        <v/>
      </c>
      <c r="AP12" s="31" t="str">
        <f t="shared" si="2"/>
        <v/>
      </c>
      <c r="AR12" s="32" t="str">
        <f t="shared" si="3"/>
        <v/>
      </c>
    </row>
    <row r="13" spans="1:46" s="31" customFormat="1" x14ac:dyDescent="0.45">
      <c r="A13" s="31" t="s">
        <v>672</v>
      </c>
      <c r="B13" s="31" t="s">
        <v>679</v>
      </c>
      <c r="C13" s="31" t="str">
        <f>IFERROR(VLOOKUP($B13,Kraftvärmeprod!$B$1:$AH$479,MATCH(C$2,Kraftvärmeprod!$B$1:$AG$1,0),FALSE)/1,"")</f>
        <v/>
      </c>
      <c r="D13" s="31" t="str">
        <f>IFERROR(VLOOKUP($B13,Kraftvärmeprod!$B$1:$AH$479,MATCH(D$2,Kraftvärmeprod!$B$1:$AG$1,0),FALSE)/1,"")</f>
        <v/>
      </c>
      <c r="F13" s="31" t="str">
        <f>IF($D13="","",IFERROR(VLOOKUP($B13,Kraftvärmeprod!$B$1:$BX$550,MATCH(F$2,Kraftvärmeprod!$B$1:$VX$1,0),FALSE)/1,0)-IFERROR(VLOOKUP($B13,'Slutlig allokering kvv'!$B$2:$BX$550,MATCH(F$2,'Slutlig allokering kvv'!$B$1:$BX$1,0),FALSE)/1,0))</f>
        <v/>
      </c>
      <c r="G13" s="31" t="str">
        <f>IF($D13="","",IFERROR(VLOOKUP($B13,Kraftvärmeprod!$B$1:$BX$550,MATCH(G$2,Kraftvärmeprod!$B$1:$VX$1,0),FALSE)/1,0)-IFERROR(VLOOKUP($B13,'Slutlig allokering kvv'!$B$2:$BX$550,MATCH(G$2,'Slutlig allokering kvv'!$B$1:$BX$1,0),FALSE)/1,0))</f>
        <v/>
      </c>
      <c r="H13" s="31" t="str">
        <f>IF($D13="","",IFERROR(VLOOKUP($B13,Kraftvärmeprod!$B$1:$BX$550,MATCH(H$2,Kraftvärmeprod!$B$1:$VX$1,0),FALSE)/1,0)-IFERROR(VLOOKUP($B13,'Slutlig allokering kvv'!$B$2:$BX$550,MATCH(H$2,'Slutlig allokering kvv'!$B$1:$BX$1,0),FALSE)/1,0))</f>
        <v/>
      </c>
      <c r="I13" s="31" t="str">
        <f>IF($D13="","",IFERROR(VLOOKUP($B13,Kraftvärmeprod!$B$1:$BX$550,MATCH(I$2,Kraftvärmeprod!$B$1:$VX$1,0),FALSE)/1,0)-IFERROR(VLOOKUP($B13,'Slutlig allokering kvv'!$B$2:$BX$550,MATCH(I$2,'Slutlig allokering kvv'!$B$1:$BX$1,0),FALSE)/1,0))</f>
        <v/>
      </c>
      <c r="J13" s="31" t="str">
        <f>IF($D13="","",IFERROR(VLOOKUP($B13,Kraftvärmeprod!$B$1:$BX$550,MATCH(J$2,Kraftvärmeprod!$B$1:$VX$1,0),FALSE)/1,0)-IFERROR(VLOOKUP($B13,'Slutlig allokering kvv'!$B$2:$BX$550,MATCH(J$2,'Slutlig allokering kvv'!$B$1:$BX$1,0),FALSE)/1,0))</f>
        <v/>
      </c>
      <c r="K13" s="31" t="str">
        <f>IF($D13="","",IFERROR(VLOOKUP($B13,Kraftvärmeprod!$B$1:$BX$550,MATCH(K$2,Kraftvärmeprod!$B$1:$VX$1,0),FALSE)/1,0)-IFERROR(VLOOKUP($B13,'Slutlig allokering kvv'!$B$2:$BX$550,MATCH(K$2,'Slutlig allokering kvv'!$B$1:$BX$1,0),FALSE)/1,0))</f>
        <v/>
      </c>
      <c r="L13" s="31" t="str">
        <f>IF($D13="","",IFERROR(VLOOKUP($B13,Kraftvärmeprod!$B$1:$BX$550,MATCH(L$2,Kraftvärmeprod!$B$1:$VX$1,0),FALSE)/1,0)-IFERROR(VLOOKUP($B13,'Slutlig allokering kvv'!$B$2:$BX$550,MATCH(L$2,'Slutlig allokering kvv'!$B$1:$BX$1,0),FALSE)/1,0))</f>
        <v/>
      </c>
      <c r="M13" s="31" t="str">
        <f>IF($D13="","",IFERROR(VLOOKUP($B13,Kraftvärmeprod!$B$1:$BX$550,MATCH(M$2,Kraftvärmeprod!$B$1:$VX$1,0),FALSE)/1,0)-IFERROR(VLOOKUP($B13,'Slutlig allokering kvv'!$B$2:$BX$550,MATCH(M$2,'Slutlig allokering kvv'!$B$1:$BX$1,0),FALSE)/1,0))</f>
        <v/>
      </c>
      <c r="N13" s="31" t="str">
        <f>IF($D13="","",IFERROR(VLOOKUP($B13,Kraftvärmeprod!$B$1:$BX$550,MATCH(N$2,Kraftvärmeprod!$B$1:$VX$1,0),FALSE)/1,0)-IFERROR(VLOOKUP($B13,'Slutlig allokering kvv'!$B$2:$BX$550,MATCH(N$2,'Slutlig allokering kvv'!$B$1:$BX$1,0),FALSE)/1,0))</f>
        <v/>
      </c>
      <c r="O13" s="31" t="str">
        <f>IF($D13="","",IFERROR(VLOOKUP($B13,Kraftvärmeprod!$B$1:$BX$550,MATCH(O$2,Kraftvärmeprod!$B$1:$VX$1,0),FALSE)/1,0)-IFERROR(VLOOKUP($B13,'Slutlig allokering kvv'!$B$2:$BX$550,MATCH(O$2,'Slutlig allokering kvv'!$B$1:$BX$1,0),FALSE)/1,0))</f>
        <v/>
      </c>
      <c r="P13" s="31" t="str">
        <f>IF($D13="","",IFERROR(VLOOKUP($B13,Kraftvärmeprod!$B$1:$BX$550,MATCH(P$2,Kraftvärmeprod!$B$1:$VX$1,0),FALSE)/1,0)-IFERROR(VLOOKUP($B13,'Slutlig allokering kvv'!$B$2:$BX$550,MATCH(P$2,'Slutlig allokering kvv'!$B$1:$BX$1,0),FALSE)/1,0))</f>
        <v/>
      </c>
      <c r="Q13" s="31" t="str">
        <f>IF($D13="","",IFERROR(VLOOKUP($B13,Kraftvärmeprod!$B$1:$BX$550,MATCH(Q$2,Kraftvärmeprod!$B$1:$VX$1,0),FALSE)/1,0)-IFERROR(VLOOKUP($B13,'Slutlig allokering kvv'!$B$2:$BX$550,MATCH(Q$2,'Slutlig allokering kvv'!$B$1:$BX$1,0),FALSE)/1,0))</f>
        <v/>
      </c>
      <c r="R13" s="31" t="str">
        <f>IF($D13="","",IFERROR(VLOOKUP($B13,Kraftvärmeprod!$B$1:$BX$550,MATCH(R$2,Kraftvärmeprod!$B$1:$VX$1,0),FALSE)/1,0)-IFERROR(VLOOKUP($B13,'Slutlig allokering kvv'!$B$2:$BX$550,MATCH(R$2,'Slutlig allokering kvv'!$B$1:$BX$1,0),FALSE)/1,0))</f>
        <v/>
      </c>
      <c r="S13" s="31" t="str">
        <f>IF($D13="","",IFERROR(VLOOKUP($B13,Kraftvärmeprod!$B$1:$BX$550,MATCH(S$2,Kraftvärmeprod!$B$1:$VX$1,0),FALSE)/1,0)-IFERROR(VLOOKUP($B13,'Slutlig allokering kvv'!$B$2:$BX$550,MATCH(S$2,'Slutlig allokering kvv'!$B$1:$BX$1,0),FALSE)/1,0))</f>
        <v/>
      </c>
      <c r="T13" s="31" t="str">
        <f>IF($D13="","",IFERROR(VLOOKUP($B13,Kraftvärmeprod!$B$1:$BX$550,MATCH(T$2,Kraftvärmeprod!$B$1:$VX$1,0),FALSE)/1,0)-IFERROR(VLOOKUP($B13,'Slutlig allokering kvv'!$B$2:$BX$550,MATCH(T$2,'Slutlig allokering kvv'!$B$1:$BX$1,0),FALSE)/1,0))</f>
        <v/>
      </c>
      <c r="U13" s="31" t="str">
        <f>IF($D13="","",IFERROR(VLOOKUP($B13,Kraftvärmeprod!$B$1:$BX$550,MATCH(U$2,Kraftvärmeprod!$B$1:$VX$1,0),FALSE)/1,0)-IFERROR(VLOOKUP($B13,'Slutlig allokering kvv'!$B$2:$BX$550,MATCH(U$2,'Slutlig allokering kvv'!$B$1:$BX$1,0),FALSE)/1,0))</f>
        <v/>
      </c>
      <c r="V13" s="31" t="str">
        <f>IF($D13="","",IFERROR(VLOOKUP($B13,Kraftvärmeprod!$B$1:$BX$550,MATCH(V$2,Kraftvärmeprod!$B$1:$VX$1,0),FALSE)/1,0)-IFERROR(VLOOKUP($B13,'Slutlig allokering kvv'!$B$2:$BX$550,MATCH(V$2,'Slutlig allokering kvv'!$B$1:$BX$1,0),FALSE)/1,0))</f>
        <v/>
      </c>
      <c r="W13" s="31" t="str">
        <f>IF($D13="","",IFERROR(VLOOKUP($B13,Kraftvärmeprod!$B$1:$BX$550,MATCH(W$2,Kraftvärmeprod!$B$1:$VX$1,0),FALSE)/1,0)-IFERROR(VLOOKUP($B13,'Slutlig allokering kvv'!$B$2:$BX$550,MATCH(W$2,'Slutlig allokering kvv'!$B$1:$BX$1,0),FALSE)/1,0))</f>
        <v/>
      </c>
      <c r="X13" s="31" t="str">
        <f>IF($D13="","",IFERROR(VLOOKUP($B13,Kraftvärmeprod!$B$1:$BX$550,MATCH(X$2,Kraftvärmeprod!$B$1:$VX$1,0),FALSE)/1,0)-IFERROR(VLOOKUP($B13,'Slutlig allokering kvv'!$B$2:$BX$550,MATCH(X$2,'Slutlig allokering kvv'!$B$1:$BX$1,0),FALSE)/1,0))</f>
        <v/>
      </c>
      <c r="Y13" s="31" t="str">
        <f>IF($D13="","",IFERROR(VLOOKUP($B13,Kraftvärmeprod!$B$1:$BX$550,MATCH(Y$2,Kraftvärmeprod!$B$1:$VX$1,0),FALSE)/1,0)-IFERROR(VLOOKUP($B13,'Slutlig allokering kvv'!$B$2:$BX$550,MATCH(Y$2,'Slutlig allokering kvv'!$B$1:$BX$1,0),FALSE)/1,0))</f>
        <v/>
      </c>
      <c r="Z13" s="31" t="str">
        <f>IF($D13="","",IFERROR(VLOOKUP($B13,Kraftvärmeprod!$B$1:$BX$550,MATCH(Z$2,Kraftvärmeprod!$B$1:$VX$1,0),FALSE)/1,0)-IFERROR(VLOOKUP($B13,'Slutlig allokering kvv'!$B$2:$BX$550,MATCH(Z$2,'Slutlig allokering kvv'!$B$1:$BX$1,0),FALSE)/1,0))</f>
        <v/>
      </c>
      <c r="AA13" s="31" t="str">
        <f>IF($D13="","",IFERROR(VLOOKUP($B13,Kraftvärmeprod!$B$1:$BX$550,MATCH(AA$2,Kraftvärmeprod!$B$1:$VX$1,0),FALSE)/1,0)-IFERROR(VLOOKUP($B13,'Slutlig allokering kvv'!$B$2:$BX$550,MATCH(AA$2,'Slutlig allokering kvv'!$B$1:$BX$1,0),FALSE)/1,0))</f>
        <v/>
      </c>
      <c r="AB13" s="31" t="str">
        <f>IF($D13="","",IFERROR(VLOOKUP($B13,Kraftvärmeprod!$B$1:$BX$550,MATCH(AB$2,Kraftvärmeprod!$B$1:$VX$1,0),FALSE)/1,0)-IFERROR(VLOOKUP($B13,'Slutlig allokering kvv'!$B$2:$BX$550,MATCH(AB$2,'Slutlig allokering kvv'!$B$1:$BX$1,0),FALSE)/1,0))</f>
        <v/>
      </c>
      <c r="AC13" s="31" t="str">
        <f>IF($D13="","",IFERROR(VLOOKUP($B13,Kraftvärmeprod!$B$1:$BX$550,MATCH(AC$2,Kraftvärmeprod!$B$1:$VX$1,0),FALSE)/1,0)-IFERROR(VLOOKUP($B13,'Slutlig allokering kvv'!$B$2:$BX$550,MATCH(AC$2,'Slutlig allokering kvv'!$B$1:$BX$1,0),FALSE)/1,0))</f>
        <v/>
      </c>
      <c r="AD13" s="31" t="str">
        <f>IF($D13="","",IFERROR(VLOOKUP($B13,Kraftvärmeprod!$B$1:$BX$550,MATCH(AD$2,Kraftvärmeprod!$B$1:$VX$1,0),FALSE)/1,0)-IFERROR(VLOOKUP($B13,'Slutlig allokering kvv'!$B$2:$BX$550,MATCH(AD$2,'Slutlig allokering kvv'!$B$1:$BX$1,0),FALSE)/1,0))</f>
        <v/>
      </c>
      <c r="AE13" s="31" t="str">
        <f>IF($D13="","",IFERROR(VLOOKUP($B13,Miljö!$B$1:$E$550,MATCH("Hjälpel kraftvärme (GWh)",Miljö!$B$1:$E$1,0),FALSE)/1,0)-IFERROR(VLOOKUP($B13,'Slutlig allokering kvv'!$B$2:$BX$549,MATCH(AE$2,'Slutlig allokering kvv'!$B$1:$BX$1,0),FALSE)/1,0))</f>
        <v/>
      </c>
      <c r="AI13" s="39">
        <f t="shared" si="0"/>
        <v>0</v>
      </c>
      <c r="AK13" s="31">
        <f>IFERROR(VLOOKUP($B13,'Slutlig allokering kvv'!$B$2:$AX$549,MATCH("Summa slutlig allokerad tillförd energi (utan hjälpel och rökgaskondensering):",'Slutlig allokering kvv'!$B$1:$AX$1,0),FALSE)/1,"")</f>
        <v>0</v>
      </c>
      <c r="AM13" s="31" t="str">
        <f>IFERROR(1-VLOOKUP($B13,'Slutlig allokering kvv'!$B$2:$AX$549,MATCH("Andel av bränsle i kvv som allokerats till värme, exklusive rökgaskondensering och hjälpel",'Slutlig allokering kvv'!$B$1:$AX$1,0),FALSE),"")</f>
        <v/>
      </c>
      <c r="AO13" s="31" t="str">
        <f t="shared" si="1"/>
        <v/>
      </c>
      <c r="AP13" s="31" t="str">
        <f t="shared" si="2"/>
        <v/>
      </c>
      <c r="AR13" s="32" t="str">
        <f t="shared" si="3"/>
        <v/>
      </c>
    </row>
    <row r="14" spans="1:46" s="31" customFormat="1" x14ac:dyDescent="0.45">
      <c r="A14" s="31" t="s">
        <v>672</v>
      </c>
      <c r="B14" s="31" t="s">
        <v>678</v>
      </c>
      <c r="C14" s="31" t="str">
        <f>IFERROR(VLOOKUP($B14,Kraftvärmeprod!$B$1:$AH$479,MATCH(C$2,Kraftvärmeprod!$B$1:$AG$1,0),FALSE)/1,"")</f>
        <v/>
      </c>
      <c r="D14" s="31" t="str">
        <f>IFERROR(VLOOKUP($B14,Kraftvärmeprod!$B$1:$AH$479,MATCH(D$2,Kraftvärmeprod!$B$1:$AG$1,0),FALSE)/1,"")</f>
        <v/>
      </c>
      <c r="F14" s="31" t="str">
        <f>IF($D14="","",IFERROR(VLOOKUP($B14,Kraftvärmeprod!$B$1:$BX$550,MATCH(F$2,Kraftvärmeprod!$B$1:$VX$1,0),FALSE)/1,0)-IFERROR(VLOOKUP($B14,'Slutlig allokering kvv'!$B$2:$BX$550,MATCH(F$2,'Slutlig allokering kvv'!$B$1:$BX$1,0),FALSE)/1,0))</f>
        <v/>
      </c>
      <c r="G14" s="31" t="str">
        <f>IF($D14="","",IFERROR(VLOOKUP($B14,Kraftvärmeprod!$B$1:$BX$550,MATCH(G$2,Kraftvärmeprod!$B$1:$VX$1,0),FALSE)/1,0)-IFERROR(VLOOKUP($B14,'Slutlig allokering kvv'!$B$2:$BX$550,MATCH(G$2,'Slutlig allokering kvv'!$B$1:$BX$1,0),FALSE)/1,0))</f>
        <v/>
      </c>
      <c r="H14" s="31" t="str">
        <f>IF($D14="","",IFERROR(VLOOKUP($B14,Kraftvärmeprod!$B$1:$BX$550,MATCH(H$2,Kraftvärmeprod!$B$1:$VX$1,0),FALSE)/1,0)-IFERROR(VLOOKUP($B14,'Slutlig allokering kvv'!$B$2:$BX$550,MATCH(H$2,'Slutlig allokering kvv'!$B$1:$BX$1,0),FALSE)/1,0))</f>
        <v/>
      </c>
      <c r="I14" s="31" t="str">
        <f>IF($D14="","",IFERROR(VLOOKUP($B14,Kraftvärmeprod!$B$1:$BX$550,MATCH(I$2,Kraftvärmeprod!$B$1:$VX$1,0),FALSE)/1,0)-IFERROR(VLOOKUP($B14,'Slutlig allokering kvv'!$B$2:$BX$550,MATCH(I$2,'Slutlig allokering kvv'!$B$1:$BX$1,0),FALSE)/1,0))</f>
        <v/>
      </c>
      <c r="J14" s="31" t="str">
        <f>IF($D14="","",IFERROR(VLOOKUP($B14,Kraftvärmeprod!$B$1:$BX$550,MATCH(J$2,Kraftvärmeprod!$B$1:$VX$1,0),FALSE)/1,0)-IFERROR(VLOOKUP($B14,'Slutlig allokering kvv'!$B$2:$BX$550,MATCH(J$2,'Slutlig allokering kvv'!$B$1:$BX$1,0),FALSE)/1,0))</f>
        <v/>
      </c>
      <c r="K14" s="31" t="str">
        <f>IF($D14="","",IFERROR(VLOOKUP($B14,Kraftvärmeprod!$B$1:$BX$550,MATCH(K$2,Kraftvärmeprod!$B$1:$VX$1,0),FALSE)/1,0)-IFERROR(VLOOKUP($B14,'Slutlig allokering kvv'!$B$2:$BX$550,MATCH(K$2,'Slutlig allokering kvv'!$B$1:$BX$1,0),FALSE)/1,0))</f>
        <v/>
      </c>
      <c r="L14" s="31" t="str">
        <f>IF($D14="","",IFERROR(VLOOKUP($B14,Kraftvärmeprod!$B$1:$BX$550,MATCH(L$2,Kraftvärmeprod!$B$1:$VX$1,0),FALSE)/1,0)-IFERROR(VLOOKUP($B14,'Slutlig allokering kvv'!$B$2:$BX$550,MATCH(L$2,'Slutlig allokering kvv'!$B$1:$BX$1,0),FALSE)/1,0))</f>
        <v/>
      </c>
      <c r="M14" s="31" t="str">
        <f>IF($D14="","",IFERROR(VLOOKUP($B14,Kraftvärmeprod!$B$1:$BX$550,MATCH(M$2,Kraftvärmeprod!$B$1:$VX$1,0),FALSE)/1,0)-IFERROR(VLOOKUP($B14,'Slutlig allokering kvv'!$B$2:$BX$550,MATCH(M$2,'Slutlig allokering kvv'!$B$1:$BX$1,0),FALSE)/1,0))</f>
        <v/>
      </c>
      <c r="N14" s="31" t="str">
        <f>IF($D14="","",IFERROR(VLOOKUP($B14,Kraftvärmeprod!$B$1:$BX$550,MATCH(N$2,Kraftvärmeprod!$B$1:$VX$1,0),FALSE)/1,0)-IFERROR(VLOOKUP($B14,'Slutlig allokering kvv'!$B$2:$BX$550,MATCH(N$2,'Slutlig allokering kvv'!$B$1:$BX$1,0),FALSE)/1,0))</f>
        <v/>
      </c>
      <c r="O14" s="31" t="str">
        <f>IF($D14="","",IFERROR(VLOOKUP($B14,Kraftvärmeprod!$B$1:$BX$550,MATCH(O$2,Kraftvärmeprod!$B$1:$VX$1,0),FALSE)/1,0)-IFERROR(VLOOKUP($B14,'Slutlig allokering kvv'!$B$2:$BX$550,MATCH(O$2,'Slutlig allokering kvv'!$B$1:$BX$1,0),FALSE)/1,0))</f>
        <v/>
      </c>
      <c r="P14" s="31" t="str">
        <f>IF($D14="","",IFERROR(VLOOKUP($B14,Kraftvärmeprod!$B$1:$BX$550,MATCH(P$2,Kraftvärmeprod!$B$1:$VX$1,0),FALSE)/1,0)-IFERROR(VLOOKUP($B14,'Slutlig allokering kvv'!$B$2:$BX$550,MATCH(P$2,'Slutlig allokering kvv'!$B$1:$BX$1,0),FALSE)/1,0))</f>
        <v/>
      </c>
      <c r="Q14" s="31" t="str">
        <f>IF($D14="","",IFERROR(VLOOKUP($B14,Kraftvärmeprod!$B$1:$BX$550,MATCH(Q$2,Kraftvärmeprod!$B$1:$VX$1,0),FALSE)/1,0)-IFERROR(VLOOKUP($B14,'Slutlig allokering kvv'!$B$2:$BX$550,MATCH(Q$2,'Slutlig allokering kvv'!$B$1:$BX$1,0),FALSE)/1,0))</f>
        <v/>
      </c>
      <c r="R14" s="31" t="str">
        <f>IF($D14="","",IFERROR(VLOOKUP($B14,Kraftvärmeprod!$B$1:$BX$550,MATCH(R$2,Kraftvärmeprod!$B$1:$VX$1,0),FALSE)/1,0)-IFERROR(VLOOKUP($B14,'Slutlig allokering kvv'!$B$2:$BX$550,MATCH(R$2,'Slutlig allokering kvv'!$B$1:$BX$1,0),FALSE)/1,0))</f>
        <v/>
      </c>
      <c r="S14" s="31" t="str">
        <f>IF($D14="","",IFERROR(VLOOKUP($B14,Kraftvärmeprod!$B$1:$BX$550,MATCH(S$2,Kraftvärmeprod!$B$1:$VX$1,0),FALSE)/1,0)-IFERROR(VLOOKUP($B14,'Slutlig allokering kvv'!$B$2:$BX$550,MATCH(S$2,'Slutlig allokering kvv'!$B$1:$BX$1,0),FALSE)/1,0))</f>
        <v/>
      </c>
      <c r="T14" s="31" t="str">
        <f>IF($D14="","",IFERROR(VLOOKUP($B14,Kraftvärmeprod!$B$1:$BX$550,MATCH(T$2,Kraftvärmeprod!$B$1:$VX$1,0),FALSE)/1,0)-IFERROR(VLOOKUP($B14,'Slutlig allokering kvv'!$B$2:$BX$550,MATCH(T$2,'Slutlig allokering kvv'!$B$1:$BX$1,0),FALSE)/1,0))</f>
        <v/>
      </c>
      <c r="U14" s="31" t="str">
        <f>IF($D14="","",IFERROR(VLOOKUP($B14,Kraftvärmeprod!$B$1:$BX$550,MATCH(U$2,Kraftvärmeprod!$B$1:$VX$1,0),FALSE)/1,0)-IFERROR(VLOOKUP($B14,'Slutlig allokering kvv'!$B$2:$BX$550,MATCH(U$2,'Slutlig allokering kvv'!$B$1:$BX$1,0),FALSE)/1,0))</f>
        <v/>
      </c>
      <c r="V14" s="31" t="str">
        <f>IF($D14="","",IFERROR(VLOOKUP($B14,Kraftvärmeprod!$B$1:$BX$550,MATCH(V$2,Kraftvärmeprod!$B$1:$VX$1,0),FALSE)/1,0)-IFERROR(VLOOKUP($B14,'Slutlig allokering kvv'!$B$2:$BX$550,MATCH(V$2,'Slutlig allokering kvv'!$B$1:$BX$1,0),FALSE)/1,0))</f>
        <v/>
      </c>
      <c r="W14" s="31" t="str">
        <f>IF($D14="","",IFERROR(VLOOKUP($B14,Kraftvärmeprod!$B$1:$BX$550,MATCH(W$2,Kraftvärmeprod!$B$1:$VX$1,0),FALSE)/1,0)-IFERROR(VLOOKUP($B14,'Slutlig allokering kvv'!$B$2:$BX$550,MATCH(W$2,'Slutlig allokering kvv'!$B$1:$BX$1,0),FALSE)/1,0))</f>
        <v/>
      </c>
      <c r="X14" s="31" t="str">
        <f>IF($D14="","",IFERROR(VLOOKUP($B14,Kraftvärmeprod!$B$1:$BX$550,MATCH(X$2,Kraftvärmeprod!$B$1:$VX$1,0),FALSE)/1,0)-IFERROR(VLOOKUP($B14,'Slutlig allokering kvv'!$B$2:$BX$550,MATCH(X$2,'Slutlig allokering kvv'!$B$1:$BX$1,0),FALSE)/1,0))</f>
        <v/>
      </c>
      <c r="Y14" s="31" t="str">
        <f>IF($D14="","",IFERROR(VLOOKUP($B14,Kraftvärmeprod!$B$1:$BX$550,MATCH(Y$2,Kraftvärmeprod!$B$1:$VX$1,0),FALSE)/1,0)-IFERROR(VLOOKUP($B14,'Slutlig allokering kvv'!$B$2:$BX$550,MATCH(Y$2,'Slutlig allokering kvv'!$B$1:$BX$1,0),FALSE)/1,0))</f>
        <v/>
      </c>
      <c r="Z14" s="31" t="str">
        <f>IF($D14="","",IFERROR(VLOOKUP($B14,Kraftvärmeprod!$B$1:$BX$550,MATCH(Z$2,Kraftvärmeprod!$B$1:$VX$1,0),FALSE)/1,0)-IFERROR(VLOOKUP($B14,'Slutlig allokering kvv'!$B$2:$BX$550,MATCH(Z$2,'Slutlig allokering kvv'!$B$1:$BX$1,0),FALSE)/1,0))</f>
        <v/>
      </c>
      <c r="AA14" s="31" t="str">
        <f>IF($D14="","",IFERROR(VLOOKUP($B14,Kraftvärmeprod!$B$1:$BX$550,MATCH(AA$2,Kraftvärmeprod!$B$1:$VX$1,0),FALSE)/1,0)-IFERROR(VLOOKUP($B14,'Slutlig allokering kvv'!$B$2:$BX$550,MATCH(AA$2,'Slutlig allokering kvv'!$B$1:$BX$1,0),FALSE)/1,0))</f>
        <v/>
      </c>
      <c r="AB14" s="31" t="str">
        <f>IF($D14="","",IFERROR(VLOOKUP($B14,Kraftvärmeprod!$B$1:$BX$550,MATCH(AB$2,Kraftvärmeprod!$B$1:$VX$1,0),FALSE)/1,0)-IFERROR(VLOOKUP($B14,'Slutlig allokering kvv'!$B$2:$BX$550,MATCH(AB$2,'Slutlig allokering kvv'!$B$1:$BX$1,0),FALSE)/1,0))</f>
        <v/>
      </c>
      <c r="AC14" s="31" t="str">
        <f>IF($D14="","",IFERROR(VLOOKUP($B14,Kraftvärmeprod!$B$1:$BX$550,MATCH(AC$2,Kraftvärmeprod!$B$1:$VX$1,0),FALSE)/1,0)-IFERROR(VLOOKUP($B14,'Slutlig allokering kvv'!$B$2:$BX$550,MATCH(AC$2,'Slutlig allokering kvv'!$B$1:$BX$1,0),FALSE)/1,0))</f>
        <v/>
      </c>
      <c r="AD14" s="31" t="str">
        <f>IF($D14="","",IFERROR(VLOOKUP($B14,Kraftvärmeprod!$B$1:$BX$550,MATCH(AD$2,Kraftvärmeprod!$B$1:$VX$1,0),FALSE)/1,0)-IFERROR(VLOOKUP($B14,'Slutlig allokering kvv'!$B$2:$BX$550,MATCH(AD$2,'Slutlig allokering kvv'!$B$1:$BX$1,0),FALSE)/1,0))</f>
        <v/>
      </c>
      <c r="AE14" s="31" t="str">
        <f>IF($D14="","",IFERROR(VLOOKUP($B14,Miljö!$B$1:$E$550,MATCH("Hjälpel kraftvärme (GWh)",Miljö!$B$1:$E$1,0),FALSE)/1,0)-IFERROR(VLOOKUP($B14,'Slutlig allokering kvv'!$B$2:$BX$549,MATCH(AE$2,'Slutlig allokering kvv'!$B$1:$BX$1,0),FALSE)/1,0))</f>
        <v/>
      </c>
      <c r="AI14" s="39">
        <f t="shared" si="0"/>
        <v>0</v>
      </c>
      <c r="AK14" s="31">
        <f>IFERROR(VLOOKUP($B14,'Slutlig allokering kvv'!$B$2:$AX$549,MATCH("Summa slutlig allokerad tillförd energi (utan hjälpel och rökgaskondensering):",'Slutlig allokering kvv'!$B$1:$AX$1,0),FALSE)/1,"")</f>
        <v>0</v>
      </c>
      <c r="AM14" s="31" t="str">
        <f>IFERROR(1-VLOOKUP($B14,'Slutlig allokering kvv'!$B$2:$AX$549,MATCH("Andel av bränsle i kvv som allokerats till värme, exklusive rökgaskondensering och hjälpel",'Slutlig allokering kvv'!$B$1:$AX$1,0),FALSE),"")</f>
        <v/>
      </c>
      <c r="AO14" s="31" t="str">
        <f t="shared" si="1"/>
        <v/>
      </c>
      <c r="AP14" s="31" t="str">
        <f t="shared" si="2"/>
        <v/>
      </c>
      <c r="AR14" s="32" t="str">
        <f t="shared" si="3"/>
        <v/>
      </c>
    </row>
    <row r="15" spans="1:46" s="31" customFormat="1" x14ac:dyDescent="0.45">
      <c r="A15" s="31" t="s">
        <v>672</v>
      </c>
      <c r="B15" s="31" t="s">
        <v>677</v>
      </c>
      <c r="C15" s="31" t="str">
        <f>IFERROR(VLOOKUP($B15,Kraftvärmeprod!$B$1:$AH$479,MATCH(C$2,Kraftvärmeprod!$B$1:$AG$1,0),FALSE)/1,"")</f>
        <v/>
      </c>
      <c r="D15" s="31" t="str">
        <f>IFERROR(VLOOKUP($B15,Kraftvärmeprod!$B$1:$AH$479,MATCH(D$2,Kraftvärmeprod!$B$1:$AG$1,0),FALSE)/1,"")</f>
        <v/>
      </c>
      <c r="F15" s="31" t="str">
        <f>IF($D15="","",IFERROR(VLOOKUP($B15,Kraftvärmeprod!$B$1:$BX$550,MATCH(F$2,Kraftvärmeprod!$B$1:$VX$1,0),FALSE)/1,0)-IFERROR(VLOOKUP($B15,'Slutlig allokering kvv'!$B$2:$BX$550,MATCH(F$2,'Slutlig allokering kvv'!$B$1:$BX$1,0),FALSE)/1,0))</f>
        <v/>
      </c>
      <c r="G15" s="31" t="str">
        <f>IF($D15="","",IFERROR(VLOOKUP($B15,Kraftvärmeprod!$B$1:$BX$550,MATCH(G$2,Kraftvärmeprod!$B$1:$VX$1,0),FALSE)/1,0)-IFERROR(VLOOKUP($B15,'Slutlig allokering kvv'!$B$2:$BX$550,MATCH(G$2,'Slutlig allokering kvv'!$B$1:$BX$1,0),FALSE)/1,0))</f>
        <v/>
      </c>
      <c r="H15" s="31" t="str">
        <f>IF($D15="","",IFERROR(VLOOKUP($B15,Kraftvärmeprod!$B$1:$BX$550,MATCH(H$2,Kraftvärmeprod!$B$1:$VX$1,0),FALSE)/1,0)-IFERROR(VLOOKUP($B15,'Slutlig allokering kvv'!$B$2:$BX$550,MATCH(H$2,'Slutlig allokering kvv'!$B$1:$BX$1,0),FALSE)/1,0))</f>
        <v/>
      </c>
      <c r="I15" s="31" t="str">
        <f>IF($D15="","",IFERROR(VLOOKUP($B15,Kraftvärmeprod!$B$1:$BX$550,MATCH(I$2,Kraftvärmeprod!$B$1:$VX$1,0),FALSE)/1,0)-IFERROR(VLOOKUP($B15,'Slutlig allokering kvv'!$B$2:$BX$550,MATCH(I$2,'Slutlig allokering kvv'!$B$1:$BX$1,0),FALSE)/1,0))</f>
        <v/>
      </c>
      <c r="J15" s="31" t="str">
        <f>IF($D15="","",IFERROR(VLOOKUP($B15,Kraftvärmeprod!$B$1:$BX$550,MATCH(J$2,Kraftvärmeprod!$B$1:$VX$1,0),FALSE)/1,0)-IFERROR(VLOOKUP($B15,'Slutlig allokering kvv'!$B$2:$BX$550,MATCH(J$2,'Slutlig allokering kvv'!$B$1:$BX$1,0),FALSE)/1,0))</f>
        <v/>
      </c>
      <c r="K15" s="31" t="str">
        <f>IF($D15="","",IFERROR(VLOOKUP($B15,Kraftvärmeprod!$B$1:$BX$550,MATCH(K$2,Kraftvärmeprod!$B$1:$VX$1,0),FALSE)/1,0)-IFERROR(VLOOKUP($B15,'Slutlig allokering kvv'!$B$2:$BX$550,MATCH(K$2,'Slutlig allokering kvv'!$B$1:$BX$1,0),FALSE)/1,0))</f>
        <v/>
      </c>
      <c r="L15" s="31" t="str">
        <f>IF($D15="","",IFERROR(VLOOKUP($B15,Kraftvärmeprod!$B$1:$BX$550,MATCH(L$2,Kraftvärmeprod!$B$1:$VX$1,0),FALSE)/1,0)-IFERROR(VLOOKUP($B15,'Slutlig allokering kvv'!$B$2:$BX$550,MATCH(L$2,'Slutlig allokering kvv'!$B$1:$BX$1,0),FALSE)/1,0))</f>
        <v/>
      </c>
      <c r="M15" s="31" t="str">
        <f>IF($D15="","",IFERROR(VLOOKUP($B15,Kraftvärmeprod!$B$1:$BX$550,MATCH(M$2,Kraftvärmeprod!$B$1:$VX$1,0),FALSE)/1,0)-IFERROR(VLOOKUP($B15,'Slutlig allokering kvv'!$B$2:$BX$550,MATCH(M$2,'Slutlig allokering kvv'!$B$1:$BX$1,0),FALSE)/1,0))</f>
        <v/>
      </c>
      <c r="N15" s="31" t="str">
        <f>IF($D15="","",IFERROR(VLOOKUP($B15,Kraftvärmeprod!$B$1:$BX$550,MATCH(N$2,Kraftvärmeprod!$B$1:$VX$1,0),FALSE)/1,0)-IFERROR(VLOOKUP($B15,'Slutlig allokering kvv'!$B$2:$BX$550,MATCH(N$2,'Slutlig allokering kvv'!$B$1:$BX$1,0),FALSE)/1,0))</f>
        <v/>
      </c>
      <c r="O15" s="31" t="str">
        <f>IF($D15="","",IFERROR(VLOOKUP($B15,Kraftvärmeprod!$B$1:$BX$550,MATCH(O$2,Kraftvärmeprod!$B$1:$VX$1,0),FALSE)/1,0)-IFERROR(VLOOKUP($B15,'Slutlig allokering kvv'!$B$2:$BX$550,MATCH(O$2,'Slutlig allokering kvv'!$B$1:$BX$1,0),FALSE)/1,0))</f>
        <v/>
      </c>
      <c r="P15" s="31" t="str">
        <f>IF($D15="","",IFERROR(VLOOKUP($B15,Kraftvärmeprod!$B$1:$BX$550,MATCH(P$2,Kraftvärmeprod!$B$1:$VX$1,0),FALSE)/1,0)-IFERROR(VLOOKUP($B15,'Slutlig allokering kvv'!$B$2:$BX$550,MATCH(P$2,'Slutlig allokering kvv'!$B$1:$BX$1,0),FALSE)/1,0))</f>
        <v/>
      </c>
      <c r="Q15" s="31" t="str">
        <f>IF($D15="","",IFERROR(VLOOKUP($B15,Kraftvärmeprod!$B$1:$BX$550,MATCH(Q$2,Kraftvärmeprod!$B$1:$VX$1,0),FALSE)/1,0)-IFERROR(VLOOKUP($B15,'Slutlig allokering kvv'!$B$2:$BX$550,MATCH(Q$2,'Slutlig allokering kvv'!$B$1:$BX$1,0),FALSE)/1,0))</f>
        <v/>
      </c>
      <c r="R15" s="31" t="str">
        <f>IF($D15="","",IFERROR(VLOOKUP($B15,Kraftvärmeprod!$B$1:$BX$550,MATCH(R$2,Kraftvärmeprod!$B$1:$VX$1,0),FALSE)/1,0)-IFERROR(VLOOKUP($B15,'Slutlig allokering kvv'!$B$2:$BX$550,MATCH(R$2,'Slutlig allokering kvv'!$B$1:$BX$1,0),FALSE)/1,0))</f>
        <v/>
      </c>
      <c r="S15" s="31" t="str">
        <f>IF($D15="","",IFERROR(VLOOKUP($B15,Kraftvärmeprod!$B$1:$BX$550,MATCH(S$2,Kraftvärmeprod!$B$1:$VX$1,0),FALSE)/1,0)-IFERROR(VLOOKUP($B15,'Slutlig allokering kvv'!$B$2:$BX$550,MATCH(S$2,'Slutlig allokering kvv'!$B$1:$BX$1,0),FALSE)/1,0))</f>
        <v/>
      </c>
      <c r="T15" s="31" t="str">
        <f>IF($D15="","",IFERROR(VLOOKUP($B15,Kraftvärmeprod!$B$1:$BX$550,MATCH(T$2,Kraftvärmeprod!$B$1:$VX$1,0),FALSE)/1,0)-IFERROR(VLOOKUP($B15,'Slutlig allokering kvv'!$B$2:$BX$550,MATCH(T$2,'Slutlig allokering kvv'!$B$1:$BX$1,0),FALSE)/1,0))</f>
        <v/>
      </c>
      <c r="U15" s="31" t="str">
        <f>IF($D15="","",IFERROR(VLOOKUP($B15,Kraftvärmeprod!$B$1:$BX$550,MATCH(U$2,Kraftvärmeprod!$B$1:$VX$1,0),FALSE)/1,0)-IFERROR(VLOOKUP($B15,'Slutlig allokering kvv'!$B$2:$BX$550,MATCH(U$2,'Slutlig allokering kvv'!$B$1:$BX$1,0),FALSE)/1,0))</f>
        <v/>
      </c>
      <c r="V15" s="31" t="str">
        <f>IF($D15="","",IFERROR(VLOOKUP($B15,Kraftvärmeprod!$B$1:$BX$550,MATCH(V$2,Kraftvärmeprod!$B$1:$VX$1,0),FALSE)/1,0)-IFERROR(VLOOKUP($B15,'Slutlig allokering kvv'!$B$2:$BX$550,MATCH(V$2,'Slutlig allokering kvv'!$B$1:$BX$1,0),FALSE)/1,0))</f>
        <v/>
      </c>
      <c r="W15" s="31" t="str">
        <f>IF($D15="","",IFERROR(VLOOKUP($B15,Kraftvärmeprod!$B$1:$BX$550,MATCH(W$2,Kraftvärmeprod!$B$1:$VX$1,0),FALSE)/1,0)-IFERROR(VLOOKUP($B15,'Slutlig allokering kvv'!$B$2:$BX$550,MATCH(W$2,'Slutlig allokering kvv'!$B$1:$BX$1,0),FALSE)/1,0))</f>
        <v/>
      </c>
      <c r="X15" s="31" t="str">
        <f>IF($D15="","",IFERROR(VLOOKUP($B15,Kraftvärmeprod!$B$1:$BX$550,MATCH(X$2,Kraftvärmeprod!$B$1:$VX$1,0),FALSE)/1,0)-IFERROR(VLOOKUP($B15,'Slutlig allokering kvv'!$B$2:$BX$550,MATCH(X$2,'Slutlig allokering kvv'!$B$1:$BX$1,0),FALSE)/1,0))</f>
        <v/>
      </c>
      <c r="Y15" s="31" t="str">
        <f>IF($D15="","",IFERROR(VLOOKUP($B15,Kraftvärmeprod!$B$1:$BX$550,MATCH(Y$2,Kraftvärmeprod!$B$1:$VX$1,0),FALSE)/1,0)-IFERROR(VLOOKUP($B15,'Slutlig allokering kvv'!$B$2:$BX$550,MATCH(Y$2,'Slutlig allokering kvv'!$B$1:$BX$1,0),FALSE)/1,0))</f>
        <v/>
      </c>
      <c r="Z15" s="31" t="str">
        <f>IF($D15="","",IFERROR(VLOOKUP($B15,Kraftvärmeprod!$B$1:$BX$550,MATCH(Z$2,Kraftvärmeprod!$B$1:$VX$1,0),FALSE)/1,0)-IFERROR(VLOOKUP($B15,'Slutlig allokering kvv'!$B$2:$BX$550,MATCH(Z$2,'Slutlig allokering kvv'!$B$1:$BX$1,0),FALSE)/1,0))</f>
        <v/>
      </c>
      <c r="AA15" s="31" t="str">
        <f>IF($D15="","",IFERROR(VLOOKUP($B15,Kraftvärmeprod!$B$1:$BX$550,MATCH(AA$2,Kraftvärmeprod!$B$1:$VX$1,0),FALSE)/1,0)-IFERROR(VLOOKUP($B15,'Slutlig allokering kvv'!$B$2:$BX$550,MATCH(AA$2,'Slutlig allokering kvv'!$B$1:$BX$1,0),FALSE)/1,0))</f>
        <v/>
      </c>
      <c r="AB15" s="31" t="str">
        <f>IF($D15="","",IFERROR(VLOOKUP($B15,Kraftvärmeprod!$B$1:$BX$550,MATCH(AB$2,Kraftvärmeprod!$B$1:$VX$1,0),FALSE)/1,0)-IFERROR(VLOOKUP($B15,'Slutlig allokering kvv'!$B$2:$BX$550,MATCH(AB$2,'Slutlig allokering kvv'!$B$1:$BX$1,0),FALSE)/1,0))</f>
        <v/>
      </c>
      <c r="AC15" s="31" t="str">
        <f>IF($D15="","",IFERROR(VLOOKUP($B15,Kraftvärmeprod!$B$1:$BX$550,MATCH(AC$2,Kraftvärmeprod!$B$1:$VX$1,0),FALSE)/1,0)-IFERROR(VLOOKUP($B15,'Slutlig allokering kvv'!$B$2:$BX$550,MATCH(AC$2,'Slutlig allokering kvv'!$B$1:$BX$1,0),FALSE)/1,0))</f>
        <v/>
      </c>
      <c r="AD15" s="31" t="str">
        <f>IF($D15="","",IFERROR(VLOOKUP($B15,Kraftvärmeprod!$B$1:$BX$550,MATCH(AD$2,Kraftvärmeprod!$B$1:$VX$1,0),FALSE)/1,0)-IFERROR(VLOOKUP($B15,'Slutlig allokering kvv'!$B$2:$BX$550,MATCH(AD$2,'Slutlig allokering kvv'!$B$1:$BX$1,0),FALSE)/1,0))</f>
        <v/>
      </c>
      <c r="AE15" s="31" t="str">
        <f>IF($D15="","",IFERROR(VLOOKUP($B15,Miljö!$B$1:$E$550,MATCH("Hjälpel kraftvärme (GWh)",Miljö!$B$1:$E$1,0),FALSE)/1,0)-IFERROR(VLOOKUP($B15,'Slutlig allokering kvv'!$B$2:$BX$549,MATCH(AE$2,'Slutlig allokering kvv'!$B$1:$BX$1,0),FALSE)/1,0))</f>
        <v/>
      </c>
      <c r="AI15" s="39">
        <f t="shared" si="0"/>
        <v>0</v>
      </c>
      <c r="AK15" s="31">
        <f>IFERROR(VLOOKUP($B15,'Slutlig allokering kvv'!$B$2:$AX$549,MATCH("Summa slutlig allokerad tillförd energi (utan hjälpel och rökgaskondensering):",'Slutlig allokering kvv'!$B$1:$AX$1,0),FALSE)/1,"")</f>
        <v>0</v>
      </c>
      <c r="AM15" s="31" t="str">
        <f>IFERROR(1-VLOOKUP($B15,'Slutlig allokering kvv'!$B$2:$AX$549,MATCH("Andel av bränsle i kvv som allokerats till värme, exklusive rökgaskondensering och hjälpel",'Slutlig allokering kvv'!$B$1:$AX$1,0),FALSE),"")</f>
        <v/>
      </c>
      <c r="AO15" s="31" t="str">
        <f t="shared" si="1"/>
        <v/>
      </c>
      <c r="AP15" s="31" t="str">
        <f t="shared" si="2"/>
        <v/>
      </c>
      <c r="AR15" s="32" t="str">
        <f t="shared" si="3"/>
        <v/>
      </c>
    </row>
    <row r="16" spans="1:46" s="31" customFormat="1" x14ac:dyDescent="0.45">
      <c r="A16" s="31" t="s">
        <v>672</v>
      </c>
      <c r="B16" s="31" t="s">
        <v>675</v>
      </c>
      <c r="C16" s="31" t="str">
        <f>IFERROR(VLOOKUP($B16,Kraftvärmeprod!$B$1:$AH$479,MATCH(C$2,Kraftvärmeprod!$B$1:$AG$1,0),FALSE)/1,"")</f>
        <v/>
      </c>
      <c r="D16" s="31" t="str">
        <f>IFERROR(VLOOKUP($B16,Kraftvärmeprod!$B$1:$AH$479,MATCH(D$2,Kraftvärmeprod!$B$1:$AG$1,0),FALSE)/1,"")</f>
        <v/>
      </c>
      <c r="F16" s="31" t="str">
        <f>IF($D16="","",IFERROR(VLOOKUP($B16,Kraftvärmeprod!$B$1:$BX$550,MATCH(F$2,Kraftvärmeprod!$B$1:$VX$1,0),FALSE)/1,0)-IFERROR(VLOOKUP($B16,'Slutlig allokering kvv'!$B$2:$BX$550,MATCH(F$2,'Slutlig allokering kvv'!$B$1:$BX$1,0),FALSE)/1,0))</f>
        <v/>
      </c>
      <c r="G16" s="31" t="str">
        <f>IF($D16="","",IFERROR(VLOOKUP($B16,Kraftvärmeprod!$B$1:$BX$550,MATCH(G$2,Kraftvärmeprod!$B$1:$VX$1,0),FALSE)/1,0)-IFERROR(VLOOKUP($B16,'Slutlig allokering kvv'!$B$2:$BX$550,MATCH(G$2,'Slutlig allokering kvv'!$B$1:$BX$1,0),FALSE)/1,0))</f>
        <v/>
      </c>
      <c r="H16" s="31" t="str">
        <f>IF($D16="","",IFERROR(VLOOKUP($B16,Kraftvärmeprod!$B$1:$BX$550,MATCH(H$2,Kraftvärmeprod!$B$1:$VX$1,0),FALSE)/1,0)-IFERROR(VLOOKUP($B16,'Slutlig allokering kvv'!$B$2:$BX$550,MATCH(H$2,'Slutlig allokering kvv'!$B$1:$BX$1,0),FALSE)/1,0))</f>
        <v/>
      </c>
      <c r="I16" s="31" t="str">
        <f>IF($D16="","",IFERROR(VLOOKUP($B16,Kraftvärmeprod!$B$1:$BX$550,MATCH(I$2,Kraftvärmeprod!$B$1:$VX$1,0),FALSE)/1,0)-IFERROR(VLOOKUP($B16,'Slutlig allokering kvv'!$B$2:$BX$550,MATCH(I$2,'Slutlig allokering kvv'!$B$1:$BX$1,0),FALSE)/1,0))</f>
        <v/>
      </c>
      <c r="J16" s="31" t="str">
        <f>IF($D16="","",IFERROR(VLOOKUP($B16,Kraftvärmeprod!$B$1:$BX$550,MATCH(J$2,Kraftvärmeprod!$B$1:$VX$1,0),FALSE)/1,0)-IFERROR(VLOOKUP($B16,'Slutlig allokering kvv'!$B$2:$BX$550,MATCH(J$2,'Slutlig allokering kvv'!$B$1:$BX$1,0),FALSE)/1,0))</f>
        <v/>
      </c>
      <c r="K16" s="31" t="str">
        <f>IF($D16="","",IFERROR(VLOOKUP($B16,Kraftvärmeprod!$B$1:$BX$550,MATCH(K$2,Kraftvärmeprod!$B$1:$VX$1,0),FALSE)/1,0)-IFERROR(VLOOKUP($B16,'Slutlig allokering kvv'!$B$2:$BX$550,MATCH(K$2,'Slutlig allokering kvv'!$B$1:$BX$1,0),FALSE)/1,0))</f>
        <v/>
      </c>
      <c r="L16" s="31" t="str">
        <f>IF($D16="","",IFERROR(VLOOKUP($B16,Kraftvärmeprod!$B$1:$BX$550,MATCH(L$2,Kraftvärmeprod!$B$1:$VX$1,0),FALSE)/1,0)-IFERROR(VLOOKUP($B16,'Slutlig allokering kvv'!$B$2:$BX$550,MATCH(L$2,'Slutlig allokering kvv'!$B$1:$BX$1,0),FALSE)/1,0))</f>
        <v/>
      </c>
      <c r="M16" s="31" t="str">
        <f>IF($D16="","",IFERROR(VLOOKUP($B16,Kraftvärmeprod!$B$1:$BX$550,MATCH(M$2,Kraftvärmeprod!$B$1:$VX$1,0),FALSE)/1,0)-IFERROR(VLOOKUP($B16,'Slutlig allokering kvv'!$B$2:$BX$550,MATCH(M$2,'Slutlig allokering kvv'!$B$1:$BX$1,0),FALSE)/1,0))</f>
        <v/>
      </c>
      <c r="N16" s="31" t="str">
        <f>IF($D16="","",IFERROR(VLOOKUP($B16,Kraftvärmeprod!$B$1:$BX$550,MATCH(N$2,Kraftvärmeprod!$B$1:$VX$1,0),FALSE)/1,0)-IFERROR(VLOOKUP($B16,'Slutlig allokering kvv'!$B$2:$BX$550,MATCH(N$2,'Slutlig allokering kvv'!$B$1:$BX$1,0),FALSE)/1,0))</f>
        <v/>
      </c>
      <c r="O16" s="31" t="str">
        <f>IF($D16="","",IFERROR(VLOOKUP($B16,Kraftvärmeprod!$B$1:$BX$550,MATCH(O$2,Kraftvärmeprod!$B$1:$VX$1,0),FALSE)/1,0)-IFERROR(VLOOKUP($B16,'Slutlig allokering kvv'!$B$2:$BX$550,MATCH(O$2,'Slutlig allokering kvv'!$B$1:$BX$1,0),FALSE)/1,0))</f>
        <v/>
      </c>
      <c r="P16" s="31" t="str">
        <f>IF($D16="","",IFERROR(VLOOKUP($B16,Kraftvärmeprod!$B$1:$BX$550,MATCH(P$2,Kraftvärmeprod!$B$1:$VX$1,0),FALSE)/1,0)-IFERROR(VLOOKUP($B16,'Slutlig allokering kvv'!$B$2:$BX$550,MATCH(P$2,'Slutlig allokering kvv'!$B$1:$BX$1,0),FALSE)/1,0))</f>
        <v/>
      </c>
      <c r="Q16" s="31" t="str">
        <f>IF($D16="","",IFERROR(VLOOKUP($B16,Kraftvärmeprod!$B$1:$BX$550,MATCH(Q$2,Kraftvärmeprod!$B$1:$VX$1,0),FALSE)/1,0)-IFERROR(VLOOKUP($B16,'Slutlig allokering kvv'!$B$2:$BX$550,MATCH(Q$2,'Slutlig allokering kvv'!$B$1:$BX$1,0),FALSE)/1,0))</f>
        <v/>
      </c>
      <c r="R16" s="31" t="str">
        <f>IF($D16="","",IFERROR(VLOOKUP($B16,Kraftvärmeprod!$B$1:$BX$550,MATCH(R$2,Kraftvärmeprod!$B$1:$VX$1,0),FALSE)/1,0)-IFERROR(VLOOKUP($B16,'Slutlig allokering kvv'!$B$2:$BX$550,MATCH(R$2,'Slutlig allokering kvv'!$B$1:$BX$1,0),FALSE)/1,0))</f>
        <v/>
      </c>
      <c r="S16" s="31" t="str">
        <f>IF($D16="","",IFERROR(VLOOKUP($B16,Kraftvärmeprod!$B$1:$BX$550,MATCH(S$2,Kraftvärmeprod!$B$1:$VX$1,0),FALSE)/1,0)-IFERROR(VLOOKUP($B16,'Slutlig allokering kvv'!$B$2:$BX$550,MATCH(S$2,'Slutlig allokering kvv'!$B$1:$BX$1,0),FALSE)/1,0))</f>
        <v/>
      </c>
      <c r="T16" s="31" t="str">
        <f>IF($D16="","",IFERROR(VLOOKUP($B16,Kraftvärmeprod!$B$1:$BX$550,MATCH(T$2,Kraftvärmeprod!$B$1:$VX$1,0),FALSE)/1,0)-IFERROR(VLOOKUP($B16,'Slutlig allokering kvv'!$B$2:$BX$550,MATCH(T$2,'Slutlig allokering kvv'!$B$1:$BX$1,0),FALSE)/1,0))</f>
        <v/>
      </c>
      <c r="U16" s="31" t="str">
        <f>IF($D16="","",IFERROR(VLOOKUP($B16,Kraftvärmeprod!$B$1:$BX$550,MATCH(U$2,Kraftvärmeprod!$B$1:$VX$1,0),FALSE)/1,0)-IFERROR(VLOOKUP($B16,'Slutlig allokering kvv'!$B$2:$BX$550,MATCH(U$2,'Slutlig allokering kvv'!$B$1:$BX$1,0),FALSE)/1,0))</f>
        <v/>
      </c>
      <c r="V16" s="31" t="str">
        <f>IF($D16="","",IFERROR(VLOOKUP($B16,Kraftvärmeprod!$B$1:$BX$550,MATCH(V$2,Kraftvärmeprod!$B$1:$VX$1,0),FALSE)/1,0)-IFERROR(VLOOKUP($B16,'Slutlig allokering kvv'!$B$2:$BX$550,MATCH(V$2,'Slutlig allokering kvv'!$B$1:$BX$1,0),FALSE)/1,0))</f>
        <v/>
      </c>
      <c r="W16" s="31" t="str">
        <f>IF($D16="","",IFERROR(VLOOKUP($B16,Kraftvärmeprod!$B$1:$BX$550,MATCH(W$2,Kraftvärmeprod!$B$1:$VX$1,0),FALSE)/1,0)-IFERROR(VLOOKUP($B16,'Slutlig allokering kvv'!$B$2:$BX$550,MATCH(W$2,'Slutlig allokering kvv'!$B$1:$BX$1,0),FALSE)/1,0))</f>
        <v/>
      </c>
      <c r="X16" s="31" t="str">
        <f>IF($D16="","",IFERROR(VLOOKUP($B16,Kraftvärmeprod!$B$1:$BX$550,MATCH(X$2,Kraftvärmeprod!$B$1:$VX$1,0),FALSE)/1,0)-IFERROR(VLOOKUP($B16,'Slutlig allokering kvv'!$B$2:$BX$550,MATCH(X$2,'Slutlig allokering kvv'!$B$1:$BX$1,0),FALSE)/1,0))</f>
        <v/>
      </c>
      <c r="Y16" s="31" t="str">
        <f>IF($D16="","",IFERROR(VLOOKUP($B16,Kraftvärmeprod!$B$1:$BX$550,MATCH(Y$2,Kraftvärmeprod!$B$1:$VX$1,0),FALSE)/1,0)-IFERROR(VLOOKUP($B16,'Slutlig allokering kvv'!$B$2:$BX$550,MATCH(Y$2,'Slutlig allokering kvv'!$B$1:$BX$1,0),FALSE)/1,0))</f>
        <v/>
      </c>
      <c r="Z16" s="31" t="str">
        <f>IF($D16="","",IFERROR(VLOOKUP($B16,Kraftvärmeprod!$B$1:$BX$550,MATCH(Z$2,Kraftvärmeprod!$B$1:$VX$1,0),FALSE)/1,0)-IFERROR(VLOOKUP($B16,'Slutlig allokering kvv'!$B$2:$BX$550,MATCH(Z$2,'Slutlig allokering kvv'!$B$1:$BX$1,0),FALSE)/1,0))</f>
        <v/>
      </c>
      <c r="AA16" s="31" t="str">
        <f>IF($D16="","",IFERROR(VLOOKUP($B16,Kraftvärmeprod!$B$1:$BX$550,MATCH(AA$2,Kraftvärmeprod!$B$1:$VX$1,0),FALSE)/1,0)-IFERROR(VLOOKUP($B16,'Slutlig allokering kvv'!$B$2:$BX$550,MATCH(AA$2,'Slutlig allokering kvv'!$B$1:$BX$1,0),FALSE)/1,0))</f>
        <v/>
      </c>
      <c r="AB16" s="31" t="str">
        <f>IF($D16="","",IFERROR(VLOOKUP($B16,Kraftvärmeprod!$B$1:$BX$550,MATCH(AB$2,Kraftvärmeprod!$B$1:$VX$1,0),FALSE)/1,0)-IFERROR(VLOOKUP($B16,'Slutlig allokering kvv'!$B$2:$BX$550,MATCH(AB$2,'Slutlig allokering kvv'!$B$1:$BX$1,0),FALSE)/1,0))</f>
        <v/>
      </c>
      <c r="AC16" s="31" t="str">
        <f>IF($D16="","",IFERROR(VLOOKUP($B16,Kraftvärmeprod!$B$1:$BX$550,MATCH(AC$2,Kraftvärmeprod!$B$1:$VX$1,0),FALSE)/1,0)-IFERROR(VLOOKUP($B16,'Slutlig allokering kvv'!$B$2:$BX$550,MATCH(AC$2,'Slutlig allokering kvv'!$B$1:$BX$1,0),FALSE)/1,0))</f>
        <v/>
      </c>
      <c r="AD16" s="31" t="str">
        <f>IF($D16="","",IFERROR(VLOOKUP($B16,Kraftvärmeprod!$B$1:$BX$550,MATCH(AD$2,Kraftvärmeprod!$B$1:$VX$1,0),FALSE)/1,0)-IFERROR(VLOOKUP($B16,'Slutlig allokering kvv'!$B$2:$BX$550,MATCH(AD$2,'Slutlig allokering kvv'!$B$1:$BX$1,0),FALSE)/1,0))</f>
        <v/>
      </c>
      <c r="AE16" s="31" t="str">
        <f>IF($D16="","",IFERROR(VLOOKUP($B16,Miljö!$B$1:$E$550,MATCH("Hjälpel kraftvärme (GWh)",Miljö!$B$1:$E$1,0),FALSE)/1,0)-IFERROR(VLOOKUP($B16,'Slutlig allokering kvv'!$B$2:$BX$549,MATCH(AE$2,'Slutlig allokering kvv'!$B$1:$BX$1,0),FALSE)/1,0))</f>
        <v/>
      </c>
      <c r="AI16" s="39">
        <f t="shared" si="0"/>
        <v>0</v>
      </c>
      <c r="AK16" s="31">
        <f>IFERROR(VLOOKUP($B16,'Slutlig allokering kvv'!$B$2:$AX$549,MATCH("Summa slutlig allokerad tillförd energi (utan hjälpel och rökgaskondensering):",'Slutlig allokering kvv'!$B$1:$AX$1,0),FALSE)/1,"")</f>
        <v>0</v>
      </c>
      <c r="AM16" s="31" t="str">
        <f>IFERROR(1-VLOOKUP($B16,'Slutlig allokering kvv'!$B$2:$AX$549,MATCH("Andel av bränsle i kvv som allokerats till värme, exklusive rökgaskondensering och hjälpel",'Slutlig allokering kvv'!$B$1:$AX$1,0),FALSE),"")</f>
        <v/>
      </c>
      <c r="AO16" s="31" t="str">
        <f t="shared" si="1"/>
        <v/>
      </c>
      <c r="AP16" s="31" t="str">
        <f t="shared" si="2"/>
        <v/>
      </c>
      <c r="AR16" s="32" t="str">
        <f t="shared" si="3"/>
        <v/>
      </c>
    </row>
    <row r="17" spans="1:44" s="31" customFormat="1" x14ac:dyDescent="0.45">
      <c r="A17" s="31" t="s">
        <v>672</v>
      </c>
      <c r="B17" s="31" t="s">
        <v>674</v>
      </c>
      <c r="C17" s="31" t="str">
        <f>IFERROR(VLOOKUP($B17,Kraftvärmeprod!$B$1:$AH$479,MATCH(C$2,Kraftvärmeprod!$B$1:$AG$1,0),FALSE)/1,"")</f>
        <v/>
      </c>
      <c r="D17" s="31" t="str">
        <f>IFERROR(VLOOKUP($B17,Kraftvärmeprod!$B$1:$AH$479,MATCH(D$2,Kraftvärmeprod!$B$1:$AG$1,0),FALSE)/1,"")</f>
        <v/>
      </c>
      <c r="F17" s="31" t="str">
        <f>IF($D17="","",IFERROR(VLOOKUP($B17,Kraftvärmeprod!$B$1:$BX$550,MATCH(F$2,Kraftvärmeprod!$B$1:$VX$1,0),FALSE)/1,0)-IFERROR(VLOOKUP($B17,'Slutlig allokering kvv'!$B$2:$BX$550,MATCH(F$2,'Slutlig allokering kvv'!$B$1:$BX$1,0),FALSE)/1,0))</f>
        <v/>
      </c>
      <c r="G17" s="31" t="str">
        <f>IF($D17="","",IFERROR(VLOOKUP($B17,Kraftvärmeprod!$B$1:$BX$550,MATCH(G$2,Kraftvärmeprod!$B$1:$VX$1,0),FALSE)/1,0)-IFERROR(VLOOKUP($B17,'Slutlig allokering kvv'!$B$2:$BX$550,MATCH(G$2,'Slutlig allokering kvv'!$B$1:$BX$1,0),FALSE)/1,0))</f>
        <v/>
      </c>
      <c r="H17" s="31" t="str">
        <f>IF($D17="","",IFERROR(VLOOKUP($B17,Kraftvärmeprod!$B$1:$BX$550,MATCH(H$2,Kraftvärmeprod!$B$1:$VX$1,0),FALSE)/1,0)-IFERROR(VLOOKUP($B17,'Slutlig allokering kvv'!$B$2:$BX$550,MATCH(H$2,'Slutlig allokering kvv'!$B$1:$BX$1,0),FALSE)/1,0))</f>
        <v/>
      </c>
      <c r="I17" s="31" t="str">
        <f>IF($D17="","",IFERROR(VLOOKUP($B17,Kraftvärmeprod!$B$1:$BX$550,MATCH(I$2,Kraftvärmeprod!$B$1:$VX$1,0),FALSE)/1,0)-IFERROR(VLOOKUP($B17,'Slutlig allokering kvv'!$B$2:$BX$550,MATCH(I$2,'Slutlig allokering kvv'!$B$1:$BX$1,0),FALSE)/1,0))</f>
        <v/>
      </c>
      <c r="J17" s="31" t="str">
        <f>IF($D17="","",IFERROR(VLOOKUP($B17,Kraftvärmeprod!$B$1:$BX$550,MATCH(J$2,Kraftvärmeprod!$B$1:$VX$1,0),FALSE)/1,0)-IFERROR(VLOOKUP($B17,'Slutlig allokering kvv'!$B$2:$BX$550,MATCH(J$2,'Slutlig allokering kvv'!$B$1:$BX$1,0),FALSE)/1,0))</f>
        <v/>
      </c>
      <c r="K17" s="31" t="str">
        <f>IF($D17="","",IFERROR(VLOOKUP($B17,Kraftvärmeprod!$B$1:$BX$550,MATCH(K$2,Kraftvärmeprod!$B$1:$VX$1,0),FALSE)/1,0)-IFERROR(VLOOKUP($B17,'Slutlig allokering kvv'!$B$2:$BX$550,MATCH(K$2,'Slutlig allokering kvv'!$B$1:$BX$1,0),FALSE)/1,0))</f>
        <v/>
      </c>
      <c r="L17" s="31" t="str">
        <f>IF($D17="","",IFERROR(VLOOKUP($B17,Kraftvärmeprod!$B$1:$BX$550,MATCH(L$2,Kraftvärmeprod!$B$1:$VX$1,0),FALSE)/1,0)-IFERROR(VLOOKUP($B17,'Slutlig allokering kvv'!$B$2:$BX$550,MATCH(L$2,'Slutlig allokering kvv'!$B$1:$BX$1,0),FALSE)/1,0))</f>
        <v/>
      </c>
      <c r="M17" s="31" t="str">
        <f>IF($D17="","",IFERROR(VLOOKUP($B17,Kraftvärmeprod!$B$1:$BX$550,MATCH(M$2,Kraftvärmeprod!$B$1:$VX$1,0),FALSE)/1,0)-IFERROR(VLOOKUP($B17,'Slutlig allokering kvv'!$B$2:$BX$550,MATCH(M$2,'Slutlig allokering kvv'!$B$1:$BX$1,0),FALSE)/1,0))</f>
        <v/>
      </c>
      <c r="N17" s="31" t="str">
        <f>IF($D17="","",IFERROR(VLOOKUP($B17,Kraftvärmeprod!$B$1:$BX$550,MATCH(N$2,Kraftvärmeprod!$B$1:$VX$1,0),FALSE)/1,0)-IFERROR(VLOOKUP($B17,'Slutlig allokering kvv'!$B$2:$BX$550,MATCH(N$2,'Slutlig allokering kvv'!$B$1:$BX$1,0),FALSE)/1,0))</f>
        <v/>
      </c>
      <c r="O17" s="31" t="str">
        <f>IF($D17="","",IFERROR(VLOOKUP($B17,Kraftvärmeprod!$B$1:$BX$550,MATCH(O$2,Kraftvärmeprod!$B$1:$VX$1,0),FALSE)/1,0)-IFERROR(VLOOKUP($B17,'Slutlig allokering kvv'!$B$2:$BX$550,MATCH(O$2,'Slutlig allokering kvv'!$B$1:$BX$1,0),FALSE)/1,0))</f>
        <v/>
      </c>
      <c r="P17" s="31" t="str">
        <f>IF($D17="","",IFERROR(VLOOKUP($B17,Kraftvärmeprod!$B$1:$BX$550,MATCH(P$2,Kraftvärmeprod!$B$1:$VX$1,0),FALSE)/1,0)-IFERROR(VLOOKUP($B17,'Slutlig allokering kvv'!$B$2:$BX$550,MATCH(P$2,'Slutlig allokering kvv'!$B$1:$BX$1,0),FALSE)/1,0))</f>
        <v/>
      </c>
      <c r="Q17" s="31" t="str">
        <f>IF($D17="","",IFERROR(VLOOKUP($B17,Kraftvärmeprod!$B$1:$BX$550,MATCH(Q$2,Kraftvärmeprod!$B$1:$VX$1,0),FALSE)/1,0)-IFERROR(VLOOKUP($B17,'Slutlig allokering kvv'!$B$2:$BX$550,MATCH(Q$2,'Slutlig allokering kvv'!$B$1:$BX$1,0),FALSE)/1,0))</f>
        <v/>
      </c>
      <c r="R17" s="31" t="str">
        <f>IF($D17="","",IFERROR(VLOOKUP($B17,Kraftvärmeprod!$B$1:$BX$550,MATCH(R$2,Kraftvärmeprod!$B$1:$VX$1,0),FALSE)/1,0)-IFERROR(VLOOKUP($B17,'Slutlig allokering kvv'!$B$2:$BX$550,MATCH(R$2,'Slutlig allokering kvv'!$B$1:$BX$1,0),FALSE)/1,0))</f>
        <v/>
      </c>
      <c r="S17" s="31" t="str">
        <f>IF($D17="","",IFERROR(VLOOKUP($B17,Kraftvärmeprod!$B$1:$BX$550,MATCH(S$2,Kraftvärmeprod!$B$1:$VX$1,0),FALSE)/1,0)-IFERROR(VLOOKUP($B17,'Slutlig allokering kvv'!$B$2:$BX$550,MATCH(S$2,'Slutlig allokering kvv'!$B$1:$BX$1,0),FALSE)/1,0))</f>
        <v/>
      </c>
      <c r="T17" s="31" t="str">
        <f>IF($D17="","",IFERROR(VLOOKUP($B17,Kraftvärmeprod!$B$1:$BX$550,MATCH(T$2,Kraftvärmeprod!$B$1:$VX$1,0),FALSE)/1,0)-IFERROR(VLOOKUP($B17,'Slutlig allokering kvv'!$B$2:$BX$550,MATCH(T$2,'Slutlig allokering kvv'!$B$1:$BX$1,0),FALSE)/1,0))</f>
        <v/>
      </c>
      <c r="U17" s="31" t="str">
        <f>IF($D17="","",IFERROR(VLOOKUP($B17,Kraftvärmeprod!$B$1:$BX$550,MATCH(U$2,Kraftvärmeprod!$B$1:$VX$1,0),FALSE)/1,0)-IFERROR(VLOOKUP($B17,'Slutlig allokering kvv'!$B$2:$BX$550,MATCH(U$2,'Slutlig allokering kvv'!$B$1:$BX$1,0),FALSE)/1,0))</f>
        <v/>
      </c>
      <c r="V17" s="31" t="str">
        <f>IF($D17="","",IFERROR(VLOOKUP($B17,Kraftvärmeprod!$B$1:$BX$550,MATCH(V$2,Kraftvärmeprod!$B$1:$VX$1,0),FALSE)/1,0)-IFERROR(VLOOKUP($B17,'Slutlig allokering kvv'!$B$2:$BX$550,MATCH(V$2,'Slutlig allokering kvv'!$B$1:$BX$1,0),FALSE)/1,0))</f>
        <v/>
      </c>
      <c r="W17" s="31" t="str">
        <f>IF($D17="","",IFERROR(VLOOKUP($B17,Kraftvärmeprod!$B$1:$BX$550,MATCH(W$2,Kraftvärmeprod!$B$1:$VX$1,0),FALSE)/1,0)-IFERROR(VLOOKUP($B17,'Slutlig allokering kvv'!$B$2:$BX$550,MATCH(W$2,'Slutlig allokering kvv'!$B$1:$BX$1,0),FALSE)/1,0))</f>
        <v/>
      </c>
      <c r="X17" s="31" t="str">
        <f>IF($D17="","",IFERROR(VLOOKUP($B17,Kraftvärmeprod!$B$1:$BX$550,MATCH(X$2,Kraftvärmeprod!$B$1:$VX$1,0),FALSE)/1,0)-IFERROR(VLOOKUP($B17,'Slutlig allokering kvv'!$B$2:$BX$550,MATCH(X$2,'Slutlig allokering kvv'!$B$1:$BX$1,0),FALSE)/1,0))</f>
        <v/>
      </c>
      <c r="Y17" s="31" t="str">
        <f>IF($D17="","",IFERROR(VLOOKUP($B17,Kraftvärmeprod!$B$1:$BX$550,MATCH(Y$2,Kraftvärmeprod!$B$1:$VX$1,0),FALSE)/1,0)-IFERROR(VLOOKUP($B17,'Slutlig allokering kvv'!$B$2:$BX$550,MATCH(Y$2,'Slutlig allokering kvv'!$B$1:$BX$1,0),FALSE)/1,0))</f>
        <v/>
      </c>
      <c r="Z17" s="31" t="str">
        <f>IF($D17="","",IFERROR(VLOOKUP($B17,Kraftvärmeprod!$B$1:$BX$550,MATCH(Z$2,Kraftvärmeprod!$B$1:$VX$1,0),FALSE)/1,0)-IFERROR(VLOOKUP($B17,'Slutlig allokering kvv'!$B$2:$BX$550,MATCH(Z$2,'Slutlig allokering kvv'!$B$1:$BX$1,0),FALSE)/1,0))</f>
        <v/>
      </c>
      <c r="AA17" s="31" t="str">
        <f>IF($D17="","",IFERROR(VLOOKUP($B17,Kraftvärmeprod!$B$1:$BX$550,MATCH(AA$2,Kraftvärmeprod!$B$1:$VX$1,0),FALSE)/1,0)-IFERROR(VLOOKUP($B17,'Slutlig allokering kvv'!$B$2:$BX$550,MATCH(AA$2,'Slutlig allokering kvv'!$B$1:$BX$1,0),FALSE)/1,0))</f>
        <v/>
      </c>
      <c r="AB17" s="31" t="str">
        <f>IF($D17="","",IFERROR(VLOOKUP($B17,Kraftvärmeprod!$B$1:$BX$550,MATCH(AB$2,Kraftvärmeprod!$B$1:$VX$1,0),FALSE)/1,0)-IFERROR(VLOOKUP($B17,'Slutlig allokering kvv'!$B$2:$BX$550,MATCH(AB$2,'Slutlig allokering kvv'!$B$1:$BX$1,0),FALSE)/1,0))</f>
        <v/>
      </c>
      <c r="AC17" s="31" t="str">
        <f>IF($D17="","",IFERROR(VLOOKUP($B17,Kraftvärmeprod!$B$1:$BX$550,MATCH(AC$2,Kraftvärmeprod!$B$1:$VX$1,0),FALSE)/1,0)-IFERROR(VLOOKUP($B17,'Slutlig allokering kvv'!$B$2:$BX$550,MATCH(AC$2,'Slutlig allokering kvv'!$B$1:$BX$1,0),FALSE)/1,0))</f>
        <v/>
      </c>
      <c r="AD17" s="31" t="str">
        <f>IF($D17="","",IFERROR(VLOOKUP($B17,Kraftvärmeprod!$B$1:$BX$550,MATCH(AD$2,Kraftvärmeprod!$B$1:$VX$1,0),FALSE)/1,0)-IFERROR(VLOOKUP($B17,'Slutlig allokering kvv'!$B$2:$BX$550,MATCH(AD$2,'Slutlig allokering kvv'!$B$1:$BX$1,0),FALSE)/1,0))</f>
        <v/>
      </c>
      <c r="AE17" s="31" t="str">
        <f>IF($D17="","",IFERROR(VLOOKUP($B17,Miljö!$B$1:$E$550,MATCH("Hjälpel kraftvärme (GWh)",Miljö!$B$1:$E$1,0),FALSE)/1,0)-IFERROR(VLOOKUP($B17,'Slutlig allokering kvv'!$B$2:$BX$549,MATCH(AE$2,'Slutlig allokering kvv'!$B$1:$BX$1,0),FALSE)/1,0))</f>
        <v/>
      </c>
      <c r="AI17" s="39">
        <f t="shared" si="0"/>
        <v>0</v>
      </c>
      <c r="AK17" s="31">
        <f>IFERROR(VLOOKUP($B17,'Slutlig allokering kvv'!$B$2:$AX$549,MATCH("Summa slutlig allokerad tillförd energi (utan hjälpel och rökgaskondensering):",'Slutlig allokering kvv'!$B$1:$AX$1,0),FALSE)/1,"")</f>
        <v>0</v>
      </c>
      <c r="AM17" s="31" t="str">
        <f>IFERROR(1-VLOOKUP($B17,'Slutlig allokering kvv'!$B$2:$AX$549,MATCH("Andel av bränsle i kvv som allokerats till värme, exklusive rökgaskondensering och hjälpel",'Slutlig allokering kvv'!$B$1:$AX$1,0),FALSE),"")</f>
        <v/>
      </c>
      <c r="AO17" s="31" t="str">
        <f t="shared" si="1"/>
        <v/>
      </c>
      <c r="AP17" s="31" t="str">
        <f t="shared" si="2"/>
        <v/>
      </c>
      <c r="AR17" s="32" t="str">
        <f t="shared" si="3"/>
        <v/>
      </c>
    </row>
    <row r="18" spans="1:44" s="31" customFormat="1" x14ac:dyDescent="0.45">
      <c r="A18" s="31" t="s">
        <v>672</v>
      </c>
      <c r="B18" s="31" t="s">
        <v>673</v>
      </c>
      <c r="C18" s="31" t="str">
        <f>IFERROR(VLOOKUP($B18,Kraftvärmeprod!$B$1:$AH$479,MATCH(C$2,Kraftvärmeprod!$B$1:$AG$1,0),FALSE)/1,"")</f>
        <v/>
      </c>
      <c r="D18" s="31" t="str">
        <f>IFERROR(VLOOKUP($B18,Kraftvärmeprod!$B$1:$AH$479,MATCH(D$2,Kraftvärmeprod!$B$1:$AG$1,0),FALSE)/1,"")</f>
        <v/>
      </c>
      <c r="F18" s="31" t="str">
        <f>IF($D18="","",IFERROR(VLOOKUP($B18,Kraftvärmeprod!$B$1:$BX$550,MATCH(F$2,Kraftvärmeprod!$B$1:$VX$1,0),FALSE)/1,0)-IFERROR(VLOOKUP($B18,'Slutlig allokering kvv'!$B$2:$BX$550,MATCH(F$2,'Slutlig allokering kvv'!$B$1:$BX$1,0),FALSE)/1,0))</f>
        <v/>
      </c>
      <c r="G18" s="31" t="str">
        <f>IF($D18="","",IFERROR(VLOOKUP($B18,Kraftvärmeprod!$B$1:$BX$550,MATCH(G$2,Kraftvärmeprod!$B$1:$VX$1,0),FALSE)/1,0)-IFERROR(VLOOKUP($B18,'Slutlig allokering kvv'!$B$2:$BX$550,MATCH(G$2,'Slutlig allokering kvv'!$B$1:$BX$1,0),FALSE)/1,0))</f>
        <v/>
      </c>
      <c r="H18" s="31" t="str">
        <f>IF($D18="","",IFERROR(VLOOKUP($B18,Kraftvärmeprod!$B$1:$BX$550,MATCH(H$2,Kraftvärmeprod!$B$1:$VX$1,0),FALSE)/1,0)-IFERROR(VLOOKUP($B18,'Slutlig allokering kvv'!$B$2:$BX$550,MATCH(H$2,'Slutlig allokering kvv'!$B$1:$BX$1,0),FALSE)/1,0))</f>
        <v/>
      </c>
      <c r="I18" s="31" t="str">
        <f>IF($D18="","",IFERROR(VLOOKUP($B18,Kraftvärmeprod!$B$1:$BX$550,MATCH(I$2,Kraftvärmeprod!$B$1:$VX$1,0),FALSE)/1,0)-IFERROR(VLOOKUP($B18,'Slutlig allokering kvv'!$B$2:$BX$550,MATCH(I$2,'Slutlig allokering kvv'!$B$1:$BX$1,0),FALSE)/1,0))</f>
        <v/>
      </c>
      <c r="J18" s="31" t="str">
        <f>IF($D18="","",IFERROR(VLOOKUP($B18,Kraftvärmeprod!$B$1:$BX$550,MATCH(J$2,Kraftvärmeprod!$B$1:$VX$1,0),FALSE)/1,0)-IFERROR(VLOOKUP($B18,'Slutlig allokering kvv'!$B$2:$BX$550,MATCH(J$2,'Slutlig allokering kvv'!$B$1:$BX$1,0),FALSE)/1,0))</f>
        <v/>
      </c>
      <c r="K18" s="31" t="str">
        <f>IF($D18="","",IFERROR(VLOOKUP($B18,Kraftvärmeprod!$B$1:$BX$550,MATCH(K$2,Kraftvärmeprod!$B$1:$VX$1,0),FALSE)/1,0)-IFERROR(VLOOKUP($B18,'Slutlig allokering kvv'!$B$2:$BX$550,MATCH(K$2,'Slutlig allokering kvv'!$B$1:$BX$1,0),FALSE)/1,0))</f>
        <v/>
      </c>
      <c r="L18" s="31" t="str">
        <f>IF($D18="","",IFERROR(VLOOKUP($B18,Kraftvärmeprod!$B$1:$BX$550,MATCH(L$2,Kraftvärmeprod!$B$1:$VX$1,0),FALSE)/1,0)-IFERROR(VLOOKUP($B18,'Slutlig allokering kvv'!$B$2:$BX$550,MATCH(L$2,'Slutlig allokering kvv'!$B$1:$BX$1,0),FALSE)/1,0))</f>
        <v/>
      </c>
      <c r="M18" s="31" t="str">
        <f>IF($D18="","",IFERROR(VLOOKUP($B18,Kraftvärmeprod!$B$1:$BX$550,MATCH(M$2,Kraftvärmeprod!$B$1:$VX$1,0),FALSE)/1,0)-IFERROR(VLOOKUP($B18,'Slutlig allokering kvv'!$B$2:$BX$550,MATCH(M$2,'Slutlig allokering kvv'!$B$1:$BX$1,0),FALSE)/1,0))</f>
        <v/>
      </c>
      <c r="N18" s="31" t="str">
        <f>IF($D18="","",IFERROR(VLOOKUP($B18,Kraftvärmeprod!$B$1:$BX$550,MATCH(N$2,Kraftvärmeprod!$B$1:$VX$1,0),FALSE)/1,0)-IFERROR(VLOOKUP($B18,'Slutlig allokering kvv'!$B$2:$BX$550,MATCH(N$2,'Slutlig allokering kvv'!$B$1:$BX$1,0),FALSE)/1,0))</f>
        <v/>
      </c>
      <c r="O18" s="31" t="str">
        <f>IF($D18="","",IFERROR(VLOOKUP($B18,Kraftvärmeprod!$B$1:$BX$550,MATCH(O$2,Kraftvärmeprod!$B$1:$VX$1,0),FALSE)/1,0)-IFERROR(VLOOKUP($B18,'Slutlig allokering kvv'!$B$2:$BX$550,MATCH(O$2,'Slutlig allokering kvv'!$B$1:$BX$1,0),FALSE)/1,0))</f>
        <v/>
      </c>
      <c r="P18" s="31" t="str">
        <f>IF($D18="","",IFERROR(VLOOKUP($B18,Kraftvärmeprod!$B$1:$BX$550,MATCH(P$2,Kraftvärmeprod!$B$1:$VX$1,0),FALSE)/1,0)-IFERROR(VLOOKUP($B18,'Slutlig allokering kvv'!$B$2:$BX$550,MATCH(P$2,'Slutlig allokering kvv'!$B$1:$BX$1,0),FALSE)/1,0))</f>
        <v/>
      </c>
      <c r="Q18" s="31" t="str">
        <f>IF($D18="","",IFERROR(VLOOKUP($B18,Kraftvärmeprod!$B$1:$BX$550,MATCH(Q$2,Kraftvärmeprod!$B$1:$VX$1,0),FALSE)/1,0)-IFERROR(VLOOKUP($B18,'Slutlig allokering kvv'!$B$2:$BX$550,MATCH(Q$2,'Slutlig allokering kvv'!$B$1:$BX$1,0),FALSE)/1,0))</f>
        <v/>
      </c>
      <c r="R18" s="31" t="str">
        <f>IF($D18="","",IFERROR(VLOOKUP($B18,Kraftvärmeprod!$B$1:$BX$550,MATCH(R$2,Kraftvärmeprod!$B$1:$VX$1,0),FALSE)/1,0)-IFERROR(VLOOKUP($B18,'Slutlig allokering kvv'!$B$2:$BX$550,MATCH(R$2,'Slutlig allokering kvv'!$B$1:$BX$1,0),FALSE)/1,0))</f>
        <v/>
      </c>
      <c r="S18" s="31" t="str">
        <f>IF($D18="","",IFERROR(VLOOKUP($B18,Kraftvärmeprod!$B$1:$BX$550,MATCH(S$2,Kraftvärmeprod!$B$1:$VX$1,0),FALSE)/1,0)-IFERROR(VLOOKUP($B18,'Slutlig allokering kvv'!$B$2:$BX$550,MATCH(S$2,'Slutlig allokering kvv'!$B$1:$BX$1,0),FALSE)/1,0))</f>
        <v/>
      </c>
      <c r="T18" s="31" t="str">
        <f>IF($D18="","",IFERROR(VLOOKUP($B18,Kraftvärmeprod!$B$1:$BX$550,MATCH(T$2,Kraftvärmeprod!$B$1:$VX$1,0),FALSE)/1,0)-IFERROR(VLOOKUP($B18,'Slutlig allokering kvv'!$B$2:$BX$550,MATCH(T$2,'Slutlig allokering kvv'!$B$1:$BX$1,0),FALSE)/1,0))</f>
        <v/>
      </c>
      <c r="U18" s="31" t="str">
        <f>IF($D18="","",IFERROR(VLOOKUP($B18,Kraftvärmeprod!$B$1:$BX$550,MATCH(U$2,Kraftvärmeprod!$B$1:$VX$1,0),FALSE)/1,0)-IFERROR(VLOOKUP($B18,'Slutlig allokering kvv'!$B$2:$BX$550,MATCH(U$2,'Slutlig allokering kvv'!$B$1:$BX$1,0),FALSE)/1,0))</f>
        <v/>
      </c>
      <c r="V18" s="31" t="str">
        <f>IF($D18="","",IFERROR(VLOOKUP($B18,Kraftvärmeprod!$B$1:$BX$550,MATCH(V$2,Kraftvärmeprod!$B$1:$VX$1,0),FALSE)/1,0)-IFERROR(VLOOKUP($B18,'Slutlig allokering kvv'!$B$2:$BX$550,MATCH(V$2,'Slutlig allokering kvv'!$B$1:$BX$1,0),FALSE)/1,0))</f>
        <v/>
      </c>
      <c r="W18" s="31" t="str">
        <f>IF($D18="","",IFERROR(VLOOKUP($B18,Kraftvärmeprod!$B$1:$BX$550,MATCH(W$2,Kraftvärmeprod!$B$1:$VX$1,0),FALSE)/1,0)-IFERROR(VLOOKUP($B18,'Slutlig allokering kvv'!$B$2:$BX$550,MATCH(W$2,'Slutlig allokering kvv'!$B$1:$BX$1,0),FALSE)/1,0))</f>
        <v/>
      </c>
      <c r="X18" s="31" t="str">
        <f>IF($D18="","",IFERROR(VLOOKUP($B18,Kraftvärmeprod!$B$1:$BX$550,MATCH(X$2,Kraftvärmeprod!$B$1:$VX$1,0),FALSE)/1,0)-IFERROR(VLOOKUP($B18,'Slutlig allokering kvv'!$B$2:$BX$550,MATCH(X$2,'Slutlig allokering kvv'!$B$1:$BX$1,0),FALSE)/1,0))</f>
        <v/>
      </c>
      <c r="Y18" s="31" t="str">
        <f>IF($D18="","",IFERROR(VLOOKUP($B18,Kraftvärmeprod!$B$1:$BX$550,MATCH(Y$2,Kraftvärmeprod!$B$1:$VX$1,0),FALSE)/1,0)-IFERROR(VLOOKUP($B18,'Slutlig allokering kvv'!$B$2:$BX$550,MATCH(Y$2,'Slutlig allokering kvv'!$B$1:$BX$1,0),FALSE)/1,0))</f>
        <v/>
      </c>
      <c r="Z18" s="31" t="str">
        <f>IF($D18="","",IFERROR(VLOOKUP($B18,Kraftvärmeprod!$B$1:$BX$550,MATCH(Z$2,Kraftvärmeprod!$B$1:$VX$1,0),FALSE)/1,0)-IFERROR(VLOOKUP($B18,'Slutlig allokering kvv'!$B$2:$BX$550,MATCH(Z$2,'Slutlig allokering kvv'!$B$1:$BX$1,0),FALSE)/1,0))</f>
        <v/>
      </c>
      <c r="AA18" s="31" t="str">
        <f>IF($D18="","",IFERROR(VLOOKUP($B18,Kraftvärmeprod!$B$1:$BX$550,MATCH(AA$2,Kraftvärmeprod!$B$1:$VX$1,0),FALSE)/1,0)-IFERROR(VLOOKUP($B18,'Slutlig allokering kvv'!$B$2:$BX$550,MATCH(AA$2,'Slutlig allokering kvv'!$B$1:$BX$1,0),FALSE)/1,0))</f>
        <v/>
      </c>
      <c r="AB18" s="31" t="str">
        <f>IF($D18="","",IFERROR(VLOOKUP($B18,Kraftvärmeprod!$B$1:$BX$550,MATCH(AB$2,Kraftvärmeprod!$B$1:$VX$1,0),FALSE)/1,0)-IFERROR(VLOOKUP($B18,'Slutlig allokering kvv'!$B$2:$BX$550,MATCH(AB$2,'Slutlig allokering kvv'!$B$1:$BX$1,0),FALSE)/1,0))</f>
        <v/>
      </c>
      <c r="AC18" s="31" t="str">
        <f>IF($D18="","",IFERROR(VLOOKUP($B18,Kraftvärmeprod!$B$1:$BX$550,MATCH(AC$2,Kraftvärmeprod!$B$1:$VX$1,0),FALSE)/1,0)-IFERROR(VLOOKUP($B18,'Slutlig allokering kvv'!$B$2:$BX$550,MATCH(AC$2,'Slutlig allokering kvv'!$B$1:$BX$1,0),FALSE)/1,0))</f>
        <v/>
      </c>
      <c r="AD18" s="31" t="str">
        <f>IF($D18="","",IFERROR(VLOOKUP($B18,Kraftvärmeprod!$B$1:$BX$550,MATCH(AD$2,Kraftvärmeprod!$B$1:$VX$1,0),FALSE)/1,0)-IFERROR(VLOOKUP($B18,'Slutlig allokering kvv'!$B$2:$BX$550,MATCH(AD$2,'Slutlig allokering kvv'!$B$1:$BX$1,0),FALSE)/1,0))</f>
        <v/>
      </c>
      <c r="AE18" s="31" t="str">
        <f>IF($D18="","",IFERROR(VLOOKUP($B18,Miljö!$B$1:$E$550,MATCH("Hjälpel kraftvärme (GWh)",Miljö!$B$1:$E$1,0),FALSE)/1,0)-IFERROR(VLOOKUP($B18,'Slutlig allokering kvv'!$B$2:$BX$549,MATCH(AE$2,'Slutlig allokering kvv'!$B$1:$BX$1,0),FALSE)/1,0))</f>
        <v/>
      </c>
      <c r="AI18" s="39">
        <f t="shared" si="0"/>
        <v>0</v>
      </c>
      <c r="AK18" s="31">
        <f>IFERROR(VLOOKUP($B18,'Slutlig allokering kvv'!$B$2:$AX$549,MATCH("Summa slutlig allokerad tillförd energi (utan hjälpel och rökgaskondensering):",'Slutlig allokering kvv'!$B$1:$AX$1,0),FALSE)/1,"")</f>
        <v>0</v>
      </c>
      <c r="AM18" s="31" t="str">
        <f>IFERROR(1-VLOOKUP($B18,'Slutlig allokering kvv'!$B$2:$AX$549,MATCH("Andel av bränsle i kvv som allokerats till värme, exklusive rökgaskondensering och hjälpel",'Slutlig allokering kvv'!$B$1:$AX$1,0),FALSE),"")</f>
        <v/>
      </c>
      <c r="AO18" s="31" t="str">
        <f t="shared" si="1"/>
        <v/>
      </c>
      <c r="AP18" s="31" t="str">
        <f t="shared" si="2"/>
        <v/>
      </c>
      <c r="AR18" s="32" t="str">
        <f t="shared" si="3"/>
        <v/>
      </c>
    </row>
    <row r="19" spans="1:44" s="31" customFormat="1" x14ac:dyDescent="0.45">
      <c r="A19" s="31" t="s">
        <v>672</v>
      </c>
      <c r="B19" s="31" t="s">
        <v>680</v>
      </c>
      <c r="C19" s="31" t="str">
        <f>IFERROR(VLOOKUP($B19,Kraftvärmeprod!$B$1:$AH$479,MATCH(C$2,Kraftvärmeprod!$B$1:$AG$1,0),FALSE)/1,"")</f>
        <v/>
      </c>
      <c r="D19" s="31" t="str">
        <f>IFERROR(VLOOKUP($B19,Kraftvärmeprod!$B$1:$AH$479,MATCH(D$2,Kraftvärmeprod!$B$1:$AG$1,0),FALSE)/1,"")</f>
        <v/>
      </c>
      <c r="F19" s="31" t="str">
        <f>IF($D19="","",IFERROR(VLOOKUP($B19,Kraftvärmeprod!$B$1:$BX$550,MATCH(F$2,Kraftvärmeprod!$B$1:$VX$1,0),FALSE)/1,0)-IFERROR(VLOOKUP($B19,'Slutlig allokering kvv'!$B$2:$BX$550,MATCH(F$2,'Slutlig allokering kvv'!$B$1:$BX$1,0),FALSE)/1,0))</f>
        <v/>
      </c>
      <c r="G19" s="31" t="str">
        <f>IF($D19="","",IFERROR(VLOOKUP($B19,Kraftvärmeprod!$B$1:$BX$550,MATCH(G$2,Kraftvärmeprod!$B$1:$VX$1,0),FALSE)/1,0)-IFERROR(VLOOKUP($B19,'Slutlig allokering kvv'!$B$2:$BX$550,MATCH(G$2,'Slutlig allokering kvv'!$B$1:$BX$1,0),FALSE)/1,0))</f>
        <v/>
      </c>
      <c r="H19" s="31" t="str">
        <f>IF($D19="","",IFERROR(VLOOKUP($B19,Kraftvärmeprod!$B$1:$BX$550,MATCH(H$2,Kraftvärmeprod!$B$1:$VX$1,0),FALSE)/1,0)-IFERROR(VLOOKUP($B19,'Slutlig allokering kvv'!$B$2:$BX$550,MATCH(H$2,'Slutlig allokering kvv'!$B$1:$BX$1,0),FALSE)/1,0))</f>
        <v/>
      </c>
      <c r="I19" s="31" t="str">
        <f>IF($D19="","",IFERROR(VLOOKUP($B19,Kraftvärmeprod!$B$1:$BX$550,MATCH(I$2,Kraftvärmeprod!$B$1:$VX$1,0),FALSE)/1,0)-IFERROR(VLOOKUP($B19,'Slutlig allokering kvv'!$B$2:$BX$550,MATCH(I$2,'Slutlig allokering kvv'!$B$1:$BX$1,0),FALSE)/1,0))</f>
        <v/>
      </c>
      <c r="J19" s="31" t="str">
        <f>IF($D19="","",IFERROR(VLOOKUP($B19,Kraftvärmeprod!$B$1:$BX$550,MATCH(J$2,Kraftvärmeprod!$B$1:$VX$1,0),FALSE)/1,0)-IFERROR(VLOOKUP($B19,'Slutlig allokering kvv'!$B$2:$BX$550,MATCH(J$2,'Slutlig allokering kvv'!$B$1:$BX$1,0),FALSE)/1,0))</f>
        <v/>
      </c>
      <c r="K19" s="31" t="str">
        <f>IF($D19="","",IFERROR(VLOOKUP($B19,Kraftvärmeprod!$B$1:$BX$550,MATCH(K$2,Kraftvärmeprod!$B$1:$VX$1,0),FALSE)/1,0)-IFERROR(VLOOKUP($B19,'Slutlig allokering kvv'!$B$2:$BX$550,MATCH(K$2,'Slutlig allokering kvv'!$B$1:$BX$1,0),FALSE)/1,0))</f>
        <v/>
      </c>
      <c r="L19" s="31" t="str">
        <f>IF($D19="","",IFERROR(VLOOKUP($B19,Kraftvärmeprod!$B$1:$BX$550,MATCH(L$2,Kraftvärmeprod!$B$1:$VX$1,0),FALSE)/1,0)-IFERROR(VLOOKUP($B19,'Slutlig allokering kvv'!$B$2:$BX$550,MATCH(L$2,'Slutlig allokering kvv'!$B$1:$BX$1,0),FALSE)/1,0))</f>
        <v/>
      </c>
      <c r="M19" s="31" t="str">
        <f>IF($D19="","",IFERROR(VLOOKUP($B19,Kraftvärmeprod!$B$1:$BX$550,MATCH(M$2,Kraftvärmeprod!$B$1:$VX$1,0),FALSE)/1,0)-IFERROR(VLOOKUP($B19,'Slutlig allokering kvv'!$B$2:$BX$550,MATCH(M$2,'Slutlig allokering kvv'!$B$1:$BX$1,0),FALSE)/1,0))</f>
        <v/>
      </c>
      <c r="N19" s="31" t="str">
        <f>IF($D19="","",IFERROR(VLOOKUP($B19,Kraftvärmeprod!$B$1:$BX$550,MATCH(N$2,Kraftvärmeprod!$B$1:$VX$1,0),FALSE)/1,0)-IFERROR(VLOOKUP($B19,'Slutlig allokering kvv'!$B$2:$BX$550,MATCH(N$2,'Slutlig allokering kvv'!$B$1:$BX$1,0),FALSE)/1,0))</f>
        <v/>
      </c>
      <c r="O19" s="31" t="str">
        <f>IF($D19="","",IFERROR(VLOOKUP($B19,Kraftvärmeprod!$B$1:$BX$550,MATCH(O$2,Kraftvärmeprod!$B$1:$VX$1,0),FALSE)/1,0)-IFERROR(VLOOKUP($B19,'Slutlig allokering kvv'!$B$2:$BX$550,MATCH(O$2,'Slutlig allokering kvv'!$B$1:$BX$1,0),FALSE)/1,0))</f>
        <v/>
      </c>
      <c r="P19" s="31" t="str">
        <f>IF($D19="","",IFERROR(VLOOKUP($B19,Kraftvärmeprod!$B$1:$BX$550,MATCH(P$2,Kraftvärmeprod!$B$1:$VX$1,0),FALSE)/1,0)-IFERROR(VLOOKUP($B19,'Slutlig allokering kvv'!$B$2:$BX$550,MATCH(P$2,'Slutlig allokering kvv'!$B$1:$BX$1,0),FALSE)/1,0))</f>
        <v/>
      </c>
      <c r="Q19" s="31" t="str">
        <f>IF($D19="","",IFERROR(VLOOKUP($B19,Kraftvärmeprod!$B$1:$BX$550,MATCH(Q$2,Kraftvärmeprod!$B$1:$VX$1,0),FALSE)/1,0)-IFERROR(VLOOKUP($B19,'Slutlig allokering kvv'!$B$2:$BX$550,MATCH(Q$2,'Slutlig allokering kvv'!$B$1:$BX$1,0),FALSE)/1,0))</f>
        <v/>
      </c>
      <c r="R19" s="31" t="str">
        <f>IF($D19="","",IFERROR(VLOOKUP($B19,Kraftvärmeprod!$B$1:$BX$550,MATCH(R$2,Kraftvärmeprod!$B$1:$VX$1,0),FALSE)/1,0)-IFERROR(VLOOKUP($B19,'Slutlig allokering kvv'!$B$2:$BX$550,MATCH(R$2,'Slutlig allokering kvv'!$B$1:$BX$1,0),FALSE)/1,0))</f>
        <v/>
      </c>
      <c r="S19" s="31" t="str">
        <f>IF($D19="","",IFERROR(VLOOKUP($B19,Kraftvärmeprod!$B$1:$BX$550,MATCH(S$2,Kraftvärmeprod!$B$1:$VX$1,0),FALSE)/1,0)-IFERROR(VLOOKUP($B19,'Slutlig allokering kvv'!$B$2:$BX$550,MATCH(S$2,'Slutlig allokering kvv'!$B$1:$BX$1,0),FALSE)/1,0))</f>
        <v/>
      </c>
      <c r="T19" s="31" t="str">
        <f>IF($D19="","",IFERROR(VLOOKUP($B19,Kraftvärmeprod!$B$1:$BX$550,MATCH(T$2,Kraftvärmeprod!$B$1:$VX$1,0),FALSE)/1,0)-IFERROR(VLOOKUP($B19,'Slutlig allokering kvv'!$B$2:$BX$550,MATCH(T$2,'Slutlig allokering kvv'!$B$1:$BX$1,0),FALSE)/1,0))</f>
        <v/>
      </c>
      <c r="U19" s="31" t="str">
        <f>IF($D19="","",IFERROR(VLOOKUP($B19,Kraftvärmeprod!$B$1:$BX$550,MATCH(U$2,Kraftvärmeprod!$B$1:$VX$1,0),FALSE)/1,0)-IFERROR(VLOOKUP($B19,'Slutlig allokering kvv'!$B$2:$BX$550,MATCH(U$2,'Slutlig allokering kvv'!$B$1:$BX$1,0),FALSE)/1,0))</f>
        <v/>
      </c>
      <c r="V19" s="31" t="str">
        <f>IF($D19="","",IFERROR(VLOOKUP($B19,Kraftvärmeprod!$B$1:$BX$550,MATCH(V$2,Kraftvärmeprod!$B$1:$VX$1,0),FALSE)/1,0)-IFERROR(VLOOKUP($B19,'Slutlig allokering kvv'!$B$2:$BX$550,MATCH(V$2,'Slutlig allokering kvv'!$B$1:$BX$1,0),FALSE)/1,0))</f>
        <v/>
      </c>
      <c r="W19" s="31" t="str">
        <f>IF($D19="","",IFERROR(VLOOKUP($B19,Kraftvärmeprod!$B$1:$BX$550,MATCH(W$2,Kraftvärmeprod!$B$1:$VX$1,0),FALSE)/1,0)-IFERROR(VLOOKUP($B19,'Slutlig allokering kvv'!$B$2:$BX$550,MATCH(W$2,'Slutlig allokering kvv'!$B$1:$BX$1,0),FALSE)/1,0))</f>
        <v/>
      </c>
      <c r="X19" s="31" t="str">
        <f>IF($D19="","",IFERROR(VLOOKUP($B19,Kraftvärmeprod!$B$1:$BX$550,MATCH(X$2,Kraftvärmeprod!$B$1:$VX$1,0),FALSE)/1,0)-IFERROR(VLOOKUP($B19,'Slutlig allokering kvv'!$B$2:$BX$550,MATCH(X$2,'Slutlig allokering kvv'!$B$1:$BX$1,0),FALSE)/1,0))</f>
        <v/>
      </c>
      <c r="Y19" s="31" t="str">
        <f>IF($D19="","",IFERROR(VLOOKUP($B19,Kraftvärmeprod!$B$1:$BX$550,MATCH(Y$2,Kraftvärmeprod!$B$1:$VX$1,0),FALSE)/1,0)-IFERROR(VLOOKUP($B19,'Slutlig allokering kvv'!$B$2:$BX$550,MATCH(Y$2,'Slutlig allokering kvv'!$B$1:$BX$1,0),FALSE)/1,0))</f>
        <v/>
      </c>
      <c r="Z19" s="31" t="str">
        <f>IF($D19="","",IFERROR(VLOOKUP($B19,Kraftvärmeprod!$B$1:$BX$550,MATCH(Z$2,Kraftvärmeprod!$B$1:$VX$1,0),FALSE)/1,0)-IFERROR(VLOOKUP($B19,'Slutlig allokering kvv'!$B$2:$BX$550,MATCH(Z$2,'Slutlig allokering kvv'!$B$1:$BX$1,0),FALSE)/1,0))</f>
        <v/>
      </c>
      <c r="AA19" s="31" t="str">
        <f>IF($D19="","",IFERROR(VLOOKUP($B19,Kraftvärmeprod!$B$1:$BX$550,MATCH(AA$2,Kraftvärmeprod!$B$1:$VX$1,0),FALSE)/1,0)-IFERROR(VLOOKUP($B19,'Slutlig allokering kvv'!$B$2:$BX$550,MATCH(AA$2,'Slutlig allokering kvv'!$B$1:$BX$1,0),FALSE)/1,0))</f>
        <v/>
      </c>
      <c r="AB19" s="31" t="str">
        <f>IF($D19="","",IFERROR(VLOOKUP($B19,Kraftvärmeprod!$B$1:$BX$550,MATCH(AB$2,Kraftvärmeprod!$B$1:$VX$1,0),FALSE)/1,0)-IFERROR(VLOOKUP($B19,'Slutlig allokering kvv'!$B$2:$BX$550,MATCH(AB$2,'Slutlig allokering kvv'!$B$1:$BX$1,0),FALSE)/1,0))</f>
        <v/>
      </c>
      <c r="AC19" s="31" t="str">
        <f>IF($D19="","",IFERROR(VLOOKUP($B19,Kraftvärmeprod!$B$1:$BX$550,MATCH(AC$2,Kraftvärmeprod!$B$1:$VX$1,0),FALSE)/1,0)-IFERROR(VLOOKUP($B19,'Slutlig allokering kvv'!$B$2:$BX$550,MATCH(AC$2,'Slutlig allokering kvv'!$B$1:$BX$1,0),FALSE)/1,0))</f>
        <v/>
      </c>
      <c r="AD19" s="31" t="str">
        <f>IF($D19="","",IFERROR(VLOOKUP($B19,Kraftvärmeprod!$B$1:$BX$550,MATCH(AD$2,Kraftvärmeprod!$B$1:$VX$1,0),FALSE)/1,0)-IFERROR(VLOOKUP($B19,'Slutlig allokering kvv'!$B$2:$BX$550,MATCH(AD$2,'Slutlig allokering kvv'!$B$1:$BX$1,0),FALSE)/1,0))</f>
        <v/>
      </c>
      <c r="AE19" s="31" t="str">
        <f>IF($D19="","",IFERROR(VLOOKUP($B19,Miljö!$B$1:$E$550,MATCH("Hjälpel kraftvärme (GWh)",Miljö!$B$1:$E$1,0),FALSE)/1,0)-IFERROR(VLOOKUP($B19,'Slutlig allokering kvv'!$B$2:$BX$549,MATCH(AE$2,'Slutlig allokering kvv'!$B$1:$BX$1,0),FALSE)/1,0))</f>
        <v/>
      </c>
      <c r="AI19" s="39">
        <f t="shared" si="0"/>
        <v>0</v>
      </c>
      <c r="AK19" s="31">
        <f>IFERROR(VLOOKUP($B19,'Slutlig allokering kvv'!$B$2:$AX$549,MATCH("Summa slutlig allokerad tillförd energi (utan hjälpel och rökgaskondensering):",'Slutlig allokering kvv'!$B$1:$AX$1,0),FALSE)/1,"")</f>
        <v>0</v>
      </c>
      <c r="AM19" s="31" t="str">
        <f>IFERROR(1-VLOOKUP($B19,'Slutlig allokering kvv'!$B$2:$AX$549,MATCH("Andel av bränsle i kvv som allokerats till värme, exklusive rökgaskondensering och hjälpel",'Slutlig allokering kvv'!$B$1:$AX$1,0),FALSE),"")</f>
        <v/>
      </c>
      <c r="AO19" s="31" t="str">
        <f t="shared" si="1"/>
        <v/>
      </c>
      <c r="AP19" s="31" t="str">
        <f t="shared" si="2"/>
        <v/>
      </c>
      <c r="AR19" s="32" t="str">
        <f t="shared" si="3"/>
        <v/>
      </c>
    </row>
    <row r="20" spans="1:44" s="31" customFormat="1" x14ac:dyDescent="0.45">
      <c r="A20" s="31" t="s">
        <v>672</v>
      </c>
      <c r="B20" s="31" t="s">
        <v>676</v>
      </c>
      <c r="C20" s="31" t="str">
        <f>IFERROR(VLOOKUP($B20,Kraftvärmeprod!$B$1:$AH$479,MATCH(C$2,Kraftvärmeprod!$B$1:$AG$1,0),FALSE)/1,"")</f>
        <v/>
      </c>
      <c r="D20" s="31" t="str">
        <f>IFERROR(VLOOKUP($B20,Kraftvärmeprod!$B$1:$AH$479,MATCH(D$2,Kraftvärmeprod!$B$1:$AG$1,0),FALSE)/1,"")</f>
        <v/>
      </c>
      <c r="F20" s="31" t="str">
        <f>IF($D20="","",IFERROR(VLOOKUP($B20,Kraftvärmeprod!$B$1:$BX$550,MATCH(F$2,Kraftvärmeprod!$B$1:$VX$1,0),FALSE)/1,0)-IFERROR(VLOOKUP($B20,'Slutlig allokering kvv'!$B$2:$BX$550,MATCH(F$2,'Slutlig allokering kvv'!$B$1:$BX$1,0),FALSE)/1,0))</f>
        <v/>
      </c>
      <c r="G20" s="31" t="str">
        <f>IF($D20="","",IFERROR(VLOOKUP($B20,Kraftvärmeprod!$B$1:$BX$550,MATCH(G$2,Kraftvärmeprod!$B$1:$VX$1,0),FALSE)/1,0)-IFERROR(VLOOKUP($B20,'Slutlig allokering kvv'!$B$2:$BX$550,MATCH(G$2,'Slutlig allokering kvv'!$B$1:$BX$1,0),FALSE)/1,0))</f>
        <v/>
      </c>
      <c r="H20" s="31" t="str">
        <f>IF($D20="","",IFERROR(VLOOKUP($B20,Kraftvärmeprod!$B$1:$BX$550,MATCH(H$2,Kraftvärmeprod!$B$1:$VX$1,0),FALSE)/1,0)-IFERROR(VLOOKUP($B20,'Slutlig allokering kvv'!$B$2:$BX$550,MATCH(H$2,'Slutlig allokering kvv'!$B$1:$BX$1,0),FALSE)/1,0))</f>
        <v/>
      </c>
      <c r="I20" s="31" t="str">
        <f>IF($D20="","",IFERROR(VLOOKUP($B20,Kraftvärmeprod!$B$1:$BX$550,MATCH(I$2,Kraftvärmeprod!$B$1:$VX$1,0),FALSE)/1,0)-IFERROR(VLOOKUP($B20,'Slutlig allokering kvv'!$B$2:$BX$550,MATCH(I$2,'Slutlig allokering kvv'!$B$1:$BX$1,0),FALSE)/1,0))</f>
        <v/>
      </c>
      <c r="J20" s="31" t="str">
        <f>IF($D20="","",IFERROR(VLOOKUP($B20,Kraftvärmeprod!$B$1:$BX$550,MATCH(J$2,Kraftvärmeprod!$B$1:$VX$1,0),FALSE)/1,0)-IFERROR(VLOOKUP($B20,'Slutlig allokering kvv'!$B$2:$BX$550,MATCH(J$2,'Slutlig allokering kvv'!$B$1:$BX$1,0),FALSE)/1,0))</f>
        <v/>
      </c>
      <c r="K20" s="31" t="str">
        <f>IF($D20="","",IFERROR(VLOOKUP($B20,Kraftvärmeprod!$B$1:$BX$550,MATCH(K$2,Kraftvärmeprod!$B$1:$VX$1,0),FALSE)/1,0)-IFERROR(VLOOKUP($B20,'Slutlig allokering kvv'!$B$2:$BX$550,MATCH(K$2,'Slutlig allokering kvv'!$B$1:$BX$1,0),FALSE)/1,0))</f>
        <v/>
      </c>
      <c r="L20" s="31" t="str">
        <f>IF($D20="","",IFERROR(VLOOKUP($B20,Kraftvärmeprod!$B$1:$BX$550,MATCH(L$2,Kraftvärmeprod!$B$1:$VX$1,0),FALSE)/1,0)-IFERROR(VLOOKUP($B20,'Slutlig allokering kvv'!$B$2:$BX$550,MATCH(L$2,'Slutlig allokering kvv'!$B$1:$BX$1,0),FALSE)/1,0))</f>
        <v/>
      </c>
      <c r="M20" s="31" t="str">
        <f>IF($D20="","",IFERROR(VLOOKUP($B20,Kraftvärmeprod!$B$1:$BX$550,MATCH(M$2,Kraftvärmeprod!$B$1:$VX$1,0),FALSE)/1,0)-IFERROR(VLOOKUP($B20,'Slutlig allokering kvv'!$B$2:$BX$550,MATCH(M$2,'Slutlig allokering kvv'!$B$1:$BX$1,0),FALSE)/1,0))</f>
        <v/>
      </c>
      <c r="N20" s="31" t="str">
        <f>IF($D20="","",IFERROR(VLOOKUP($B20,Kraftvärmeprod!$B$1:$BX$550,MATCH(N$2,Kraftvärmeprod!$B$1:$VX$1,0),FALSE)/1,0)-IFERROR(VLOOKUP($B20,'Slutlig allokering kvv'!$B$2:$BX$550,MATCH(N$2,'Slutlig allokering kvv'!$B$1:$BX$1,0),FALSE)/1,0))</f>
        <v/>
      </c>
      <c r="O20" s="31" t="str">
        <f>IF($D20="","",IFERROR(VLOOKUP($B20,Kraftvärmeprod!$B$1:$BX$550,MATCH(O$2,Kraftvärmeprod!$B$1:$VX$1,0),FALSE)/1,0)-IFERROR(VLOOKUP($B20,'Slutlig allokering kvv'!$B$2:$BX$550,MATCH(O$2,'Slutlig allokering kvv'!$B$1:$BX$1,0),FALSE)/1,0))</f>
        <v/>
      </c>
      <c r="P20" s="31" t="str">
        <f>IF($D20="","",IFERROR(VLOOKUP($B20,Kraftvärmeprod!$B$1:$BX$550,MATCH(P$2,Kraftvärmeprod!$B$1:$VX$1,0),FALSE)/1,0)-IFERROR(VLOOKUP($B20,'Slutlig allokering kvv'!$B$2:$BX$550,MATCH(P$2,'Slutlig allokering kvv'!$B$1:$BX$1,0),FALSE)/1,0))</f>
        <v/>
      </c>
      <c r="Q20" s="31" t="str">
        <f>IF($D20="","",IFERROR(VLOOKUP($B20,Kraftvärmeprod!$B$1:$BX$550,MATCH(Q$2,Kraftvärmeprod!$B$1:$VX$1,0),FALSE)/1,0)-IFERROR(VLOOKUP($B20,'Slutlig allokering kvv'!$B$2:$BX$550,MATCH(Q$2,'Slutlig allokering kvv'!$B$1:$BX$1,0),FALSE)/1,0))</f>
        <v/>
      </c>
      <c r="R20" s="31" t="str">
        <f>IF($D20="","",IFERROR(VLOOKUP($B20,Kraftvärmeprod!$B$1:$BX$550,MATCH(R$2,Kraftvärmeprod!$B$1:$VX$1,0),FALSE)/1,0)-IFERROR(VLOOKUP($B20,'Slutlig allokering kvv'!$B$2:$BX$550,MATCH(R$2,'Slutlig allokering kvv'!$B$1:$BX$1,0),FALSE)/1,0))</f>
        <v/>
      </c>
      <c r="S20" s="31" t="str">
        <f>IF($D20="","",IFERROR(VLOOKUP($B20,Kraftvärmeprod!$B$1:$BX$550,MATCH(S$2,Kraftvärmeprod!$B$1:$VX$1,0),FALSE)/1,0)-IFERROR(VLOOKUP($B20,'Slutlig allokering kvv'!$B$2:$BX$550,MATCH(S$2,'Slutlig allokering kvv'!$B$1:$BX$1,0),FALSE)/1,0))</f>
        <v/>
      </c>
      <c r="T20" s="31" t="str">
        <f>IF($D20="","",IFERROR(VLOOKUP($B20,Kraftvärmeprod!$B$1:$BX$550,MATCH(T$2,Kraftvärmeprod!$B$1:$VX$1,0),FALSE)/1,0)-IFERROR(VLOOKUP($B20,'Slutlig allokering kvv'!$B$2:$BX$550,MATCH(T$2,'Slutlig allokering kvv'!$B$1:$BX$1,0),FALSE)/1,0))</f>
        <v/>
      </c>
      <c r="U20" s="31" t="str">
        <f>IF($D20="","",IFERROR(VLOOKUP($B20,Kraftvärmeprod!$B$1:$BX$550,MATCH(U$2,Kraftvärmeprod!$B$1:$VX$1,0),FALSE)/1,0)-IFERROR(VLOOKUP($B20,'Slutlig allokering kvv'!$B$2:$BX$550,MATCH(U$2,'Slutlig allokering kvv'!$B$1:$BX$1,0),FALSE)/1,0))</f>
        <v/>
      </c>
      <c r="V20" s="31" t="str">
        <f>IF($D20="","",IFERROR(VLOOKUP($B20,Kraftvärmeprod!$B$1:$BX$550,MATCH(V$2,Kraftvärmeprod!$B$1:$VX$1,0),FALSE)/1,0)-IFERROR(VLOOKUP($B20,'Slutlig allokering kvv'!$B$2:$BX$550,MATCH(V$2,'Slutlig allokering kvv'!$B$1:$BX$1,0),FALSE)/1,0))</f>
        <v/>
      </c>
      <c r="W20" s="31" t="str">
        <f>IF($D20="","",IFERROR(VLOOKUP($B20,Kraftvärmeprod!$B$1:$BX$550,MATCH(W$2,Kraftvärmeprod!$B$1:$VX$1,0),FALSE)/1,0)-IFERROR(VLOOKUP($B20,'Slutlig allokering kvv'!$B$2:$BX$550,MATCH(W$2,'Slutlig allokering kvv'!$B$1:$BX$1,0),FALSE)/1,0))</f>
        <v/>
      </c>
      <c r="X20" s="31" t="str">
        <f>IF($D20="","",IFERROR(VLOOKUP($B20,Kraftvärmeprod!$B$1:$BX$550,MATCH(X$2,Kraftvärmeprod!$B$1:$VX$1,0),FALSE)/1,0)-IFERROR(VLOOKUP($B20,'Slutlig allokering kvv'!$B$2:$BX$550,MATCH(X$2,'Slutlig allokering kvv'!$B$1:$BX$1,0),FALSE)/1,0))</f>
        <v/>
      </c>
      <c r="Y20" s="31" t="str">
        <f>IF($D20="","",IFERROR(VLOOKUP($B20,Kraftvärmeprod!$B$1:$BX$550,MATCH(Y$2,Kraftvärmeprod!$B$1:$VX$1,0),FALSE)/1,0)-IFERROR(VLOOKUP($B20,'Slutlig allokering kvv'!$B$2:$BX$550,MATCH(Y$2,'Slutlig allokering kvv'!$B$1:$BX$1,0),FALSE)/1,0))</f>
        <v/>
      </c>
      <c r="Z20" s="31" t="str">
        <f>IF($D20="","",IFERROR(VLOOKUP($B20,Kraftvärmeprod!$B$1:$BX$550,MATCH(Z$2,Kraftvärmeprod!$B$1:$VX$1,0),FALSE)/1,0)-IFERROR(VLOOKUP($B20,'Slutlig allokering kvv'!$B$2:$BX$550,MATCH(Z$2,'Slutlig allokering kvv'!$B$1:$BX$1,0),FALSE)/1,0))</f>
        <v/>
      </c>
      <c r="AA20" s="31" t="str">
        <f>IF($D20="","",IFERROR(VLOOKUP($B20,Kraftvärmeprod!$B$1:$BX$550,MATCH(AA$2,Kraftvärmeprod!$B$1:$VX$1,0),FALSE)/1,0)-IFERROR(VLOOKUP($B20,'Slutlig allokering kvv'!$B$2:$BX$550,MATCH(AA$2,'Slutlig allokering kvv'!$B$1:$BX$1,0),FALSE)/1,0))</f>
        <v/>
      </c>
      <c r="AB20" s="31" t="str">
        <f>IF($D20="","",IFERROR(VLOOKUP($B20,Kraftvärmeprod!$B$1:$BX$550,MATCH(AB$2,Kraftvärmeprod!$B$1:$VX$1,0),FALSE)/1,0)-IFERROR(VLOOKUP($B20,'Slutlig allokering kvv'!$B$2:$BX$550,MATCH(AB$2,'Slutlig allokering kvv'!$B$1:$BX$1,0),FALSE)/1,0))</f>
        <v/>
      </c>
      <c r="AC20" s="31" t="str">
        <f>IF($D20="","",IFERROR(VLOOKUP($B20,Kraftvärmeprod!$B$1:$BX$550,MATCH(AC$2,Kraftvärmeprod!$B$1:$VX$1,0),FALSE)/1,0)-IFERROR(VLOOKUP($B20,'Slutlig allokering kvv'!$B$2:$BX$550,MATCH(AC$2,'Slutlig allokering kvv'!$B$1:$BX$1,0),FALSE)/1,0))</f>
        <v/>
      </c>
      <c r="AD20" s="31" t="str">
        <f>IF($D20="","",IFERROR(VLOOKUP($B20,Kraftvärmeprod!$B$1:$BX$550,MATCH(AD$2,Kraftvärmeprod!$B$1:$VX$1,0),FALSE)/1,0)-IFERROR(VLOOKUP($B20,'Slutlig allokering kvv'!$B$2:$BX$550,MATCH(AD$2,'Slutlig allokering kvv'!$B$1:$BX$1,0),FALSE)/1,0))</f>
        <v/>
      </c>
      <c r="AE20" s="31" t="str">
        <f>IF($D20="","",IFERROR(VLOOKUP($B20,Miljö!$B$1:$E$550,MATCH("Hjälpel kraftvärme (GWh)",Miljö!$B$1:$E$1,0),FALSE)/1,0)-IFERROR(VLOOKUP($B20,'Slutlig allokering kvv'!$B$2:$BX$549,MATCH(AE$2,'Slutlig allokering kvv'!$B$1:$BX$1,0),FALSE)/1,0))</f>
        <v/>
      </c>
      <c r="AI20" s="39">
        <f t="shared" si="0"/>
        <v>0</v>
      </c>
      <c r="AK20" s="31">
        <f>IFERROR(VLOOKUP($B20,'Slutlig allokering kvv'!$B$2:$AX$549,MATCH("Summa slutlig allokerad tillförd energi (utan hjälpel och rökgaskondensering):",'Slutlig allokering kvv'!$B$1:$AX$1,0),FALSE)/1,"")</f>
        <v>0</v>
      </c>
      <c r="AM20" s="31" t="str">
        <f>IFERROR(1-VLOOKUP($B20,'Slutlig allokering kvv'!$B$2:$AX$549,MATCH("Andel av bränsle i kvv som allokerats till värme, exklusive rökgaskondensering och hjälpel",'Slutlig allokering kvv'!$B$1:$AX$1,0),FALSE),"")</f>
        <v/>
      </c>
      <c r="AO20" s="31" t="str">
        <f t="shared" si="1"/>
        <v/>
      </c>
      <c r="AP20" s="31" t="str">
        <f t="shared" si="2"/>
        <v/>
      </c>
      <c r="AR20" s="32" t="str">
        <f t="shared" si="3"/>
        <v/>
      </c>
    </row>
    <row r="21" spans="1:44" s="31" customFormat="1" x14ac:dyDescent="0.45">
      <c r="A21" s="31" t="s">
        <v>672</v>
      </c>
      <c r="B21" s="31" t="s">
        <v>671</v>
      </c>
      <c r="C21" s="31" t="str">
        <f>IFERROR(VLOOKUP($B21,Kraftvärmeprod!$B$1:$AH$479,MATCH(C$2,Kraftvärmeprod!$B$1:$AG$1,0),FALSE)/1,"")</f>
        <v/>
      </c>
      <c r="D21" s="31" t="str">
        <f>IFERROR(VLOOKUP($B21,Kraftvärmeprod!$B$1:$AH$479,MATCH(D$2,Kraftvärmeprod!$B$1:$AG$1,0),FALSE)/1,"")</f>
        <v/>
      </c>
      <c r="F21" s="31" t="str">
        <f>IF($D21="","",IFERROR(VLOOKUP($B21,Kraftvärmeprod!$B$1:$BX$550,MATCH(F$2,Kraftvärmeprod!$B$1:$VX$1,0),FALSE)/1,0)-IFERROR(VLOOKUP($B21,'Slutlig allokering kvv'!$B$2:$BX$550,MATCH(F$2,'Slutlig allokering kvv'!$B$1:$BX$1,0),FALSE)/1,0))</f>
        <v/>
      </c>
      <c r="G21" s="31" t="str">
        <f>IF($D21="","",IFERROR(VLOOKUP($B21,Kraftvärmeprod!$B$1:$BX$550,MATCH(G$2,Kraftvärmeprod!$B$1:$VX$1,0),FALSE)/1,0)-IFERROR(VLOOKUP($B21,'Slutlig allokering kvv'!$B$2:$BX$550,MATCH(G$2,'Slutlig allokering kvv'!$B$1:$BX$1,0),FALSE)/1,0))</f>
        <v/>
      </c>
      <c r="H21" s="31" t="str">
        <f>IF($D21="","",IFERROR(VLOOKUP($B21,Kraftvärmeprod!$B$1:$BX$550,MATCH(H$2,Kraftvärmeprod!$B$1:$VX$1,0),FALSE)/1,0)-IFERROR(VLOOKUP($B21,'Slutlig allokering kvv'!$B$2:$BX$550,MATCH(H$2,'Slutlig allokering kvv'!$B$1:$BX$1,0),FALSE)/1,0))</f>
        <v/>
      </c>
      <c r="I21" s="31" t="str">
        <f>IF($D21="","",IFERROR(VLOOKUP($B21,Kraftvärmeprod!$B$1:$BX$550,MATCH(I$2,Kraftvärmeprod!$B$1:$VX$1,0),FALSE)/1,0)-IFERROR(VLOOKUP($B21,'Slutlig allokering kvv'!$B$2:$BX$550,MATCH(I$2,'Slutlig allokering kvv'!$B$1:$BX$1,0),FALSE)/1,0))</f>
        <v/>
      </c>
      <c r="J21" s="31" t="str">
        <f>IF($D21="","",IFERROR(VLOOKUP($B21,Kraftvärmeprod!$B$1:$BX$550,MATCH(J$2,Kraftvärmeprod!$B$1:$VX$1,0),FALSE)/1,0)-IFERROR(VLOOKUP($B21,'Slutlig allokering kvv'!$B$2:$BX$550,MATCH(J$2,'Slutlig allokering kvv'!$B$1:$BX$1,0),FALSE)/1,0))</f>
        <v/>
      </c>
      <c r="K21" s="31" t="str">
        <f>IF($D21="","",IFERROR(VLOOKUP($B21,Kraftvärmeprod!$B$1:$BX$550,MATCH(K$2,Kraftvärmeprod!$B$1:$VX$1,0),FALSE)/1,0)-IFERROR(VLOOKUP($B21,'Slutlig allokering kvv'!$B$2:$BX$550,MATCH(K$2,'Slutlig allokering kvv'!$B$1:$BX$1,0),FALSE)/1,0))</f>
        <v/>
      </c>
      <c r="L21" s="31" t="str">
        <f>IF($D21="","",IFERROR(VLOOKUP($B21,Kraftvärmeprod!$B$1:$BX$550,MATCH(L$2,Kraftvärmeprod!$B$1:$VX$1,0),FALSE)/1,0)-IFERROR(VLOOKUP($B21,'Slutlig allokering kvv'!$B$2:$BX$550,MATCH(L$2,'Slutlig allokering kvv'!$B$1:$BX$1,0),FALSE)/1,0))</f>
        <v/>
      </c>
      <c r="M21" s="31" t="str">
        <f>IF($D21="","",IFERROR(VLOOKUP($B21,Kraftvärmeprod!$B$1:$BX$550,MATCH(M$2,Kraftvärmeprod!$B$1:$VX$1,0),FALSE)/1,0)-IFERROR(VLOOKUP($B21,'Slutlig allokering kvv'!$B$2:$BX$550,MATCH(M$2,'Slutlig allokering kvv'!$B$1:$BX$1,0),FALSE)/1,0))</f>
        <v/>
      </c>
      <c r="N21" s="31" t="str">
        <f>IF($D21="","",IFERROR(VLOOKUP($B21,Kraftvärmeprod!$B$1:$BX$550,MATCH(N$2,Kraftvärmeprod!$B$1:$VX$1,0),FALSE)/1,0)-IFERROR(VLOOKUP($B21,'Slutlig allokering kvv'!$B$2:$BX$550,MATCH(N$2,'Slutlig allokering kvv'!$B$1:$BX$1,0),FALSE)/1,0))</f>
        <v/>
      </c>
      <c r="O21" s="31" t="str">
        <f>IF($D21="","",IFERROR(VLOOKUP($B21,Kraftvärmeprod!$B$1:$BX$550,MATCH(O$2,Kraftvärmeprod!$B$1:$VX$1,0),FALSE)/1,0)-IFERROR(VLOOKUP($B21,'Slutlig allokering kvv'!$B$2:$BX$550,MATCH(O$2,'Slutlig allokering kvv'!$B$1:$BX$1,0),FALSE)/1,0))</f>
        <v/>
      </c>
      <c r="P21" s="31" t="str">
        <f>IF($D21="","",IFERROR(VLOOKUP($B21,Kraftvärmeprod!$B$1:$BX$550,MATCH(P$2,Kraftvärmeprod!$B$1:$VX$1,0),FALSE)/1,0)-IFERROR(VLOOKUP($B21,'Slutlig allokering kvv'!$B$2:$BX$550,MATCH(P$2,'Slutlig allokering kvv'!$B$1:$BX$1,0),FALSE)/1,0))</f>
        <v/>
      </c>
      <c r="Q21" s="31" t="str">
        <f>IF($D21="","",IFERROR(VLOOKUP($B21,Kraftvärmeprod!$B$1:$BX$550,MATCH(Q$2,Kraftvärmeprod!$B$1:$VX$1,0),FALSE)/1,0)-IFERROR(VLOOKUP($B21,'Slutlig allokering kvv'!$B$2:$BX$550,MATCH(Q$2,'Slutlig allokering kvv'!$B$1:$BX$1,0),FALSE)/1,0))</f>
        <v/>
      </c>
      <c r="R21" s="31" t="str">
        <f>IF($D21="","",IFERROR(VLOOKUP($B21,Kraftvärmeprod!$B$1:$BX$550,MATCH(R$2,Kraftvärmeprod!$B$1:$VX$1,0),FALSE)/1,0)-IFERROR(VLOOKUP($B21,'Slutlig allokering kvv'!$B$2:$BX$550,MATCH(R$2,'Slutlig allokering kvv'!$B$1:$BX$1,0),FALSE)/1,0))</f>
        <v/>
      </c>
      <c r="S21" s="31" t="str">
        <f>IF($D21="","",IFERROR(VLOOKUP($B21,Kraftvärmeprod!$B$1:$BX$550,MATCH(S$2,Kraftvärmeprod!$B$1:$VX$1,0),FALSE)/1,0)-IFERROR(VLOOKUP($B21,'Slutlig allokering kvv'!$B$2:$BX$550,MATCH(S$2,'Slutlig allokering kvv'!$B$1:$BX$1,0),FALSE)/1,0))</f>
        <v/>
      </c>
      <c r="T21" s="31" t="str">
        <f>IF($D21="","",IFERROR(VLOOKUP($B21,Kraftvärmeprod!$B$1:$BX$550,MATCH(T$2,Kraftvärmeprod!$B$1:$VX$1,0),FALSE)/1,0)-IFERROR(VLOOKUP($B21,'Slutlig allokering kvv'!$B$2:$BX$550,MATCH(T$2,'Slutlig allokering kvv'!$B$1:$BX$1,0),FALSE)/1,0))</f>
        <v/>
      </c>
      <c r="U21" s="31" t="str">
        <f>IF($D21="","",IFERROR(VLOOKUP($B21,Kraftvärmeprod!$B$1:$BX$550,MATCH(U$2,Kraftvärmeprod!$B$1:$VX$1,0),FALSE)/1,0)-IFERROR(VLOOKUP($B21,'Slutlig allokering kvv'!$B$2:$BX$550,MATCH(U$2,'Slutlig allokering kvv'!$B$1:$BX$1,0),FALSE)/1,0))</f>
        <v/>
      </c>
      <c r="V21" s="31" t="str">
        <f>IF($D21="","",IFERROR(VLOOKUP($B21,Kraftvärmeprod!$B$1:$BX$550,MATCH(V$2,Kraftvärmeprod!$B$1:$VX$1,0),FALSE)/1,0)-IFERROR(VLOOKUP($B21,'Slutlig allokering kvv'!$B$2:$BX$550,MATCH(V$2,'Slutlig allokering kvv'!$B$1:$BX$1,0),FALSE)/1,0))</f>
        <v/>
      </c>
      <c r="W21" s="31" t="str">
        <f>IF($D21="","",IFERROR(VLOOKUP($B21,Kraftvärmeprod!$B$1:$BX$550,MATCH(W$2,Kraftvärmeprod!$B$1:$VX$1,0),FALSE)/1,0)-IFERROR(VLOOKUP($B21,'Slutlig allokering kvv'!$B$2:$BX$550,MATCH(W$2,'Slutlig allokering kvv'!$B$1:$BX$1,0),FALSE)/1,0))</f>
        <v/>
      </c>
      <c r="X21" s="31" t="str">
        <f>IF($D21="","",IFERROR(VLOOKUP($B21,Kraftvärmeprod!$B$1:$BX$550,MATCH(X$2,Kraftvärmeprod!$B$1:$VX$1,0),FALSE)/1,0)-IFERROR(VLOOKUP($B21,'Slutlig allokering kvv'!$B$2:$BX$550,MATCH(X$2,'Slutlig allokering kvv'!$B$1:$BX$1,0),FALSE)/1,0))</f>
        <v/>
      </c>
      <c r="Y21" s="31" t="str">
        <f>IF($D21="","",IFERROR(VLOOKUP($B21,Kraftvärmeprod!$B$1:$BX$550,MATCH(Y$2,Kraftvärmeprod!$B$1:$VX$1,0),FALSE)/1,0)-IFERROR(VLOOKUP($B21,'Slutlig allokering kvv'!$B$2:$BX$550,MATCH(Y$2,'Slutlig allokering kvv'!$B$1:$BX$1,0),FALSE)/1,0))</f>
        <v/>
      </c>
      <c r="Z21" s="31" t="str">
        <f>IF($D21="","",IFERROR(VLOOKUP($B21,Kraftvärmeprod!$B$1:$BX$550,MATCH(Z$2,Kraftvärmeprod!$B$1:$VX$1,0),FALSE)/1,0)-IFERROR(VLOOKUP($B21,'Slutlig allokering kvv'!$B$2:$BX$550,MATCH(Z$2,'Slutlig allokering kvv'!$B$1:$BX$1,0),FALSE)/1,0))</f>
        <v/>
      </c>
      <c r="AA21" s="31" t="str">
        <f>IF($D21="","",IFERROR(VLOOKUP($B21,Kraftvärmeprod!$B$1:$BX$550,MATCH(AA$2,Kraftvärmeprod!$B$1:$VX$1,0),FALSE)/1,0)-IFERROR(VLOOKUP($B21,'Slutlig allokering kvv'!$B$2:$BX$550,MATCH(AA$2,'Slutlig allokering kvv'!$B$1:$BX$1,0),FALSE)/1,0))</f>
        <v/>
      </c>
      <c r="AB21" s="31" t="str">
        <f>IF($D21="","",IFERROR(VLOOKUP($B21,Kraftvärmeprod!$B$1:$BX$550,MATCH(AB$2,Kraftvärmeprod!$B$1:$VX$1,0),FALSE)/1,0)-IFERROR(VLOOKUP($B21,'Slutlig allokering kvv'!$B$2:$BX$550,MATCH(AB$2,'Slutlig allokering kvv'!$B$1:$BX$1,0),FALSE)/1,0))</f>
        <v/>
      </c>
      <c r="AC21" s="31" t="str">
        <f>IF($D21="","",IFERROR(VLOOKUP($B21,Kraftvärmeprod!$B$1:$BX$550,MATCH(AC$2,Kraftvärmeprod!$B$1:$VX$1,0),FALSE)/1,0)-IFERROR(VLOOKUP($B21,'Slutlig allokering kvv'!$B$2:$BX$550,MATCH(AC$2,'Slutlig allokering kvv'!$B$1:$BX$1,0),FALSE)/1,0))</f>
        <v/>
      </c>
      <c r="AD21" s="31" t="str">
        <f>IF($D21="","",IFERROR(VLOOKUP($B21,Kraftvärmeprod!$B$1:$BX$550,MATCH(AD$2,Kraftvärmeprod!$B$1:$VX$1,0),FALSE)/1,0)-IFERROR(VLOOKUP($B21,'Slutlig allokering kvv'!$B$2:$BX$550,MATCH(AD$2,'Slutlig allokering kvv'!$B$1:$BX$1,0),FALSE)/1,0))</f>
        <v/>
      </c>
      <c r="AE21" s="31" t="str">
        <f>IF($D21="","",IFERROR(VLOOKUP($B21,Miljö!$B$1:$E$550,MATCH("Hjälpel kraftvärme (GWh)",Miljö!$B$1:$E$1,0),FALSE)/1,0)-IFERROR(VLOOKUP($B21,'Slutlig allokering kvv'!$B$2:$BX$549,MATCH(AE$2,'Slutlig allokering kvv'!$B$1:$BX$1,0),FALSE)/1,0))</f>
        <v/>
      </c>
      <c r="AI21" s="39">
        <f t="shared" si="0"/>
        <v>0</v>
      </c>
      <c r="AK21" s="31">
        <f>IFERROR(VLOOKUP($B21,'Slutlig allokering kvv'!$B$2:$AX$549,MATCH("Summa slutlig allokerad tillförd energi (utan hjälpel och rökgaskondensering):",'Slutlig allokering kvv'!$B$1:$AX$1,0),FALSE)/1,"")</f>
        <v>0</v>
      </c>
      <c r="AM21" s="31" t="str">
        <f>IFERROR(1-VLOOKUP($B21,'Slutlig allokering kvv'!$B$2:$AX$549,MATCH("Andel av bränsle i kvv som allokerats till värme, exklusive rökgaskondensering och hjälpel",'Slutlig allokering kvv'!$B$1:$AX$1,0),FALSE),"")</f>
        <v/>
      </c>
      <c r="AO21" s="31" t="str">
        <f t="shared" si="1"/>
        <v/>
      </c>
      <c r="AP21" s="31" t="str">
        <f t="shared" si="2"/>
        <v/>
      </c>
      <c r="AR21" s="32" t="str">
        <f t="shared" si="3"/>
        <v/>
      </c>
    </row>
    <row r="22" spans="1:44" s="31" customFormat="1" x14ac:dyDescent="0.45">
      <c r="A22" s="31" t="s">
        <v>666</v>
      </c>
      <c r="B22" s="31" t="s">
        <v>669</v>
      </c>
      <c r="C22" s="31" t="str">
        <f>IFERROR(VLOOKUP($B22,Kraftvärmeprod!$B$1:$AH$479,MATCH(C$2,Kraftvärmeprod!$B$1:$AG$1,0),FALSE)/1,"")</f>
        <v/>
      </c>
      <c r="D22" s="31" t="str">
        <f>IFERROR(VLOOKUP($B22,Kraftvärmeprod!$B$1:$AH$479,MATCH(D$2,Kraftvärmeprod!$B$1:$AG$1,0),FALSE)/1,"")</f>
        <v/>
      </c>
      <c r="F22" s="31" t="str">
        <f>IF($D22="","",IFERROR(VLOOKUP($B22,Kraftvärmeprod!$B$1:$BX$550,MATCH(F$2,Kraftvärmeprod!$B$1:$VX$1,0),FALSE)/1,0)-IFERROR(VLOOKUP($B22,'Slutlig allokering kvv'!$B$2:$BX$550,MATCH(F$2,'Slutlig allokering kvv'!$B$1:$BX$1,0),FALSE)/1,0))</f>
        <v/>
      </c>
      <c r="G22" s="31" t="str">
        <f>IF($D22="","",IFERROR(VLOOKUP($B22,Kraftvärmeprod!$B$1:$BX$550,MATCH(G$2,Kraftvärmeprod!$B$1:$VX$1,0),FALSE)/1,0)-IFERROR(VLOOKUP($B22,'Slutlig allokering kvv'!$B$2:$BX$550,MATCH(G$2,'Slutlig allokering kvv'!$B$1:$BX$1,0),FALSE)/1,0))</f>
        <v/>
      </c>
      <c r="H22" s="31" t="str">
        <f>IF($D22="","",IFERROR(VLOOKUP($B22,Kraftvärmeprod!$B$1:$BX$550,MATCH(H$2,Kraftvärmeprod!$B$1:$VX$1,0),FALSE)/1,0)-IFERROR(VLOOKUP($B22,'Slutlig allokering kvv'!$B$2:$BX$550,MATCH(H$2,'Slutlig allokering kvv'!$B$1:$BX$1,0),FALSE)/1,0))</f>
        <v/>
      </c>
      <c r="I22" s="31" t="str">
        <f>IF($D22="","",IFERROR(VLOOKUP($B22,Kraftvärmeprod!$B$1:$BX$550,MATCH(I$2,Kraftvärmeprod!$B$1:$VX$1,0),FALSE)/1,0)-IFERROR(VLOOKUP($B22,'Slutlig allokering kvv'!$B$2:$BX$550,MATCH(I$2,'Slutlig allokering kvv'!$B$1:$BX$1,0),FALSE)/1,0))</f>
        <v/>
      </c>
      <c r="J22" s="31" t="str">
        <f>IF($D22="","",IFERROR(VLOOKUP($B22,Kraftvärmeprod!$B$1:$BX$550,MATCH(J$2,Kraftvärmeprod!$B$1:$VX$1,0),FALSE)/1,0)-IFERROR(VLOOKUP($B22,'Slutlig allokering kvv'!$B$2:$BX$550,MATCH(J$2,'Slutlig allokering kvv'!$B$1:$BX$1,0),FALSE)/1,0))</f>
        <v/>
      </c>
      <c r="K22" s="31" t="str">
        <f>IF($D22="","",IFERROR(VLOOKUP($B22,Kraftvärmeprod!$B$1:$BX$550,MATCH(K$2,Kraftvärmeprod!$B$1:$VX$1,0),FALSE)/1,0)-IFERROR(VLOOKUP($B22,'Slutlig allokering kvv'!$B$2:$BX$550,MATCH(K$2,'Slutlig allokering kvv'!$B$1:$BX$1,0),FALSE)/1,0))</f>
        <v/>
      </c>
      <c r="L22" s="31" t="str">
        <f>IF($D22="","",IFERROR(VLOOKUP($B22,Kraftvärmeprod!$B$1:$BX$550,MATCH(L$2,Kraftvärmeprod!$B$1:$VX$1,0),FALSE)/1,0)-IFERROR(VLOOKUP($B22,'Slutlig allokering kvv'!$B$2:$BX$550,MATCH(L$2,'Slutlig allokering kvv'!$B$1:$BX$1,0),FALSE)/1,0))</f>
        <v/>
      </c>
      <c r="M22" s="31" t="str">
        <f>IF($D22="","",IFERROR(VLOOKUP($B22,Kraftvärmeprod!$B$1:$BX$550,MATCH(M$2,Kraftvärmeprod!$B$1:$VX$1,0),FALSE)/1,0)-IFERROR(VLOOKUP($B22,'Slutlig allokering kvv'!$B$2:$BX$550,MATCH(M$2,'Slutlig allokering kvv'!$B$1:$BX$1,0),FALSE)/1,0))</f>
        <v/>
      </c>
      <c r="N22" s="31" t="str">
        <f>IF($D22="","",IFERROR(VLOOKUP($B22,Kraftvärmeprod!$B$1:$BX$550,MATCH(N$2,Kraftvärmeprod!$B$1:$VX$1,0),FALSE)/1,0)-IFERROR(VLOOKUP($B22,'Slutlig allokering kvv'!$B$2:$BX$550,MATCH(N$2,'Slutlig allokering kvv'!$B$1:$BX$1,0),FALSE)/1,0))</f>
        <v/>
      </c>
      <c r="O22" s="31" t="str">
        <f>IF($D22="","",IFERROR(VLOOKUP($B22,Kraftvärmeprod!$B$1:$BX$550,MATCH(O$2,Kraftvärmeprod!$B$1:$VX$1,0),FALSE)/1,0)-IFERROR(VLOOKUP($B22,'Slutlig allokering kvv'!$B$2:$BX$550,MATCH(O$2,'Slutlig allokering kvv'!$B$1:$BX$1,0),FALSE)/1,0))</f>
        <v/>
      </c>
      <c r="P22" s="31" t="str">
        <f>IF($D22="","",IFERROR(VLOOKUP($B22,Kraftvärmeprod!$B$1:$BX$550,MATCH(P$2,Kraftvärmeprod!$B$1:$VX$1,0),FALSE)/1,0)-IFERROR(VLOOKUP($B22,'Slutlig allokering kvv'!$B$2:$BX$550,MATCH(P$2,'Slutlig allokering kvv'!$B$1:$BX$1,0),FALSE)/1,0))</f>
        <v/>
      </c>
      <c r="Q22" s="31" t="str">
        <f>IF($D22="","",IFERROR(VLOOKUP($B22,Kraftvärmeprod!$B$1:$BX$550,MATCH(Q$2,Kraftvärmeprod!$B$1:$VX$1,0),FALSE)/1,0)-IFERROR(VLOOKUP($B22,'Slutlig allokering kvv'!$B$2:$BX$550,MATCH(Q$2,'Slutlig allokering kvv'!$B$1:$BX$1,0),FALSE)/1,0))</f>
        <v/>
      </c>
      <c r="R22" s="31" t="str">
        <f>IF($D22="","",IFERROR(VLOOKUP($B22,Kraftvärmeprod!$B$1:$BX$550,MATCH(R$2,Kraftvärmeprod!$B$1:$VX$1,0),FALSE)/1,0)-IFERROR(VLOOKUP($B22,'Slutlig allokering kvv'!$B$2:$BX$550,MATCH(R$2,'Slutlig allokering kvv'!$B$1:$BX$1,0),FALSE)/1,0))</f>
        <v/>
      </c>
      <c r="S22" s="31" t="str">
        <f>IF($D22="","",IFERROR(VLOOKUP($B22,Kraftvärmeprod!$B$1:$BX$550,MATCH(S$2,Kraftvärmeprod!$B$1:$VX$1,0),FALSE)/1,0)-IFERROR(VLOOKUP($B22,'Slutlig allokering kvv'!$B$2:$BX$550,MATCH(S$2,'Slutlig allokering kvv'!$B$1:$BX$1,0),FALSE)/1,0))</f>
        <v/>
      </c>
      <c r="T22" s="31" t="str">
        <f>IF($D22="","",IFERROR(VLOOKUP($B22,Kraftvärmeprod!$B$1:$BX$550,MATCH(T$2,Kraftvärmeprod!$B$1:$VX$1,0),FALSE)/1,0)-IFERROR(VLOOKUP($B22,'Slutlig allokering kvv'!$B$2:$BX$550,MATCH(T$2,'Slutlig allokering kvv'!$B$1:$BX$1,0),FALSE)/1,0))</f>
        <v/>
      </c>
      <c r="U22" s="31" t="str">
        <f>IF($D22="","",IFERROR(VLOOKUP($B22,Kraftvärmeprod!$B$1:$BX$550,MATCH(U$2,Kraftvärmeprod!$B$1:$VX$1,0),FALSE)/1,0)-IFERROR(VLOOKUP($B22,'Slutlig allokering kvv'!$B$2:$BX$550,MATCH(U$2,'Slutlig allokering kvv'!$B$1:$BX$1,0),FALSE)/1,0))</f>
        <v/>
      </c>
      <c r="V22" s="31" t="str">
        <f>IF($D22="","",IFERROR(VLOOKUP($B22,Kraftvärmeprod!$B$1:$BX$550,MATCH(V$2,Kraftvärmeprod!$B$1:$VX$1,0),FALSE)/1,0)-IFERROR(VLOOKUP($B22,'Slutlig allokering kvv'!$B$2:$BX$550,MATCH(V$2,'Slutlig allokering kvv'!$B$1:$BX$1,0),FALSE)/1,0))</f>
        <v/>
      </c>
      <c r="W22" s="31" t="str">
        <f>IF($D22="","",IFERROR(VLOOKUP($B22,Kraftvärmeprod!$B$1:$BX$550,MATCH(W$2,Kraftvärmeprod!$B$1:$VX$1,0),FALSE)/1,0)-IFERROR(VLOOKUP($B22,'Slutlig allokering kvv'!$B$2:$BX$550,MATCH(W$2,'Slutlig allokering kvv'!$B$1:$BX$1,0),FALSE)/1,0))</f>
        <v/>
      </c>
      <c r="X22" s="31" t="str">
        <f>IF($D22="","",IFERROR(VLOOKUP($B22,Kraftvärmeprod!$B$1:$BX$550,MATCH(X$2,Kraftvärmeprod!$B$1:$VX$1,0),FALSE)/1,0)-IFERROR(VLOOKUP($B22,'Slutlig allokering kvv'!$B$2:$BX$550,MATCH(X$2,'Slutlig allokering kvv'!$B$1:$BX$1,0),FALSE)/1,0))</f>
        <v/>
      </c>
      <c r="Y22" s="31" t="str">
        <f>IF($D22="","",IFERROR(VLOOKUP($B22,Kraftvärmeprod!$B$1:$BX$550,MATCH(Y$2,Kraftvärmeprod!$B$1:$VX$1,0),FALSE)/1,0)-IFERROR(VLOOKUP($B22,'Slutlig allokering kvv'!$B$2:$BX$550,MATCH(Y$2,'Slutlig allokering kvv'!$B$1:$BX$1,0),FALSE)/1,0))</f>
        <v/>
      </c>
      <c r="Z22" s="31" t="str">
        <f>IF($D22="","",IFERROR(VLOOKUP($B22,Kraftvärmeprod!$B$1:$BX$550,MATCH(Z$2,Kraftvärmeprod!$B$1:$VX$1,0),FALSE)/1,0)-IFERROR(VLOOKUP($B22,'Slutlig allokering kvv'!$B$2:$BX$550,MATCH(Z$2,'Slutlig allokering kvv'!$B$1:$BX$1,0),FALSE)/1,0))</f>
        <v/>
      </c>
      <c r="AA22" s="31" t="str">
        <f>IF($D22="","",IFERROR(VLOOKUP($B22,Kraftvärmeprod!$B$1:$BX$550,MATCH(AA$2,Kraftvärmeprod!$B$1:$VX$1,0),FALSE)/1,0)-IFERROR(VLOOKUP($B22,'Slutlig allokering kvv'!$B$2:$BX$550,MATCH(AA$2,'Slutlig allokering kvv'!$B$1:$BX$1,0),FALSE)/1,0))</f>
        <v/>
      </c>
      <c r="AB22" s="31" t="str">
        <f>IF($D22="","",IFERROR(VLOOKUP($B22,Kraftvärmeprod!$B$1:$BX$550,MATCH(AB$2,Kraftvärmeprod!$B$1:$VX$1,0),FALSE)/1,0)-IFERROR(VLOOKUP($B22,'Slutlig allokering kvv'!$B$2:$BX$550,MATCH(AB$2,'Slutlig allokering kvv'!$B$1:$BX$1,0),FALSE)/1,0))</f>
        <v/>
      </c>
      <c r="AC22" s="31" t="str">
        <f>IF($D22="","",IFERROR(VLOOKUP($B22,Kraftvärmeprod!$B$1:$BX$550,MATCH(AC$2,Kraftvärmeprod!$B$1:$VX$1,0),FALSE)/1,0)-IFERROR(VLOOKUP($B22,'Slutlig allokering kvv'!$B$2:$BX$550,MATCH(AC$2,'Slutlig allokering kvv'!$B$1:$BX$1,0),FALSE)/1,0))</f>
        <v/>
      </c>
      <c r="AD22" s="31" t="str">
        <f>IF($D22="","",IFERROR(VLOOKUP($B22,Kraftvärmeprod!$B$1:$BX$550,MATCH(AD$2,Kraftvärmeprod!$B$1:$VX$1,0),FALSE)/1,0)-IFERROR(VLOOKUP($B22,'Slutlig allokering kvv'!$B$2:$BX$550,MATCH(AD$2,'Slutlig allokering kvv'!$B$1:$BX$1,0),FALSE)/1,0))</f>
        <v/>
      </c>
      <c r="AE22" s="31" t="str">
        <f>IF($D22="","",IFERROR(VLOOKUP($B22,Miljö!$B$1:$E$550,MATCH("Hjälpel kraftvärme (GWh)",Miljö!$B$1:$E$1,0),FALSE)/1,0)-IFERROR(VLOOKUP($B22,'Slutlig allokering kvv'!$B$2:$BX$549,MATCH(AE$2,'Slutlig allokering kvv'!$B$1:$BX$1,0),FALSE)/1,0))</f>
        <v/>
      </c>
      <c r="AI22" s="39">
        <f t="shared" si="0"/>
        <v>0</v>
      </c>
      <c r="AK22" s="31">
        <f>IFERROR(VLOOKUP($B22,'Slutlig allokering kvv'!$B$2:$AX$549,MATCH("Summa slutlig allokerad tillförd energi (utan hjälpel och rökgaskondensering):",'Slutlig allokering kvv'!$B$1:$AX$1,0),FALSE)/1,"")</f>
        <v>0</v>
      </c>
      <c r="AM22" s="31" t="str">
        <f>IFERROR(1-VLOOKUP($B22,'Slutlig allokering kvv'!$B$2:$AX$549,MATCH("Andel av bränsle i kvv som allokerats till värme, exklusive rökgaskondensering och hjälpel",'Slutlig allokering kvv'!$B$1:$AX$1,0),FALSE),"")</f>
        <v/>
      </c>
      <c r="AO22" s="31" t="str">
        <f t="shared" si="1"/>
        <v/>
      </c>
      <c r="AP22" s="31" t="str">
        <f t="shared" si="2"/>
        <v/>
      </c>
      <c r="AR22" s="32" t="str">
        <f t="shared" si="3"/>
        <v/>
      </c>
    </row>
    <row r="23" spans="1:44" s="31" customFormat="1" x14ac:dyDescent="0.45">
      <c r="A23" s="31" t="s">
        <v>666</v>
      </c>
      <c r="B23" s="31" t="s">
        <v>668</v>
      </c>
      <c r="C23" s="31">
        <f>IFERROR(VLOOKUP($B23,Kraftvärmeprod!$B$1:$AH$479,MATCH(C$2,Kraftvärmeprod!$B$1:$AG$1,0),FALSE)/1,"")</f>
        <v>233.161</v>
      </c>
      <c r="D23" s="31">
        <f>IFERROR(VLOOKUP($B23,Kraftvärmeprod!$B$1:$AH$479,MATCH(D$2,Kraftvärmeprod!$B$1:$AG$1,0),FALSE)/1,"")</f>
        <v>63.77</v>
      </c>
      <c r="F23" s="31">
        <f>IF($D23="","",IFERROR(VLOOKUP($B23,Kraftvärmeprod!$B$1:$BX$550,MATCH(F$2,Kraftvärmeprod!$B$1:$VX$1,0),FALSE)/1,0)-IFERROR(VLOOKUP($B23,'Slutlig allokering kvv'!$B$2:$BX$550,MATCH(F$2,'Slutlig allokering kvv'!$B$1:$BX$1,0),FALSE)/1,0))</f>
        <v>0</v>
      </c>
      <c r="G23" s="31">
        <f>IF($D23="","",IFERROR(VLOOKUP($B23,Kraftvärmeprod!$B$1:$BX$550,MATCH(G$2,Kraftvärmeprod!$B$1:$VX$1,0),FALSE)/1,0)-IFERROR(VLOOKUP($B23,'Slutlig allokering kvv'!$B$2:$BX$550,MATCH(G$2,'Slutlig allokering kvv'!$B$1:$BX$1,0),FALSE)/1,0))</f>
        <v>5.4495000000000002E-2</v>
      </c>
      <c r="H23" s="31">
        <f>IF($D23="","",IFERROR(VLOOKUP($B23,Kraftvärmeprod!$B$1:$BX$550,MATCH(H$2,Kraftvärmeprod!$B$1:$VX$1,0),FALSE)/1,0)-IFERROR(VLOOKUP($B23,'Slutlig allokering kvv'!$B$2:$BX$550,MATCH(H$2,'Slutlig allokering kvv'!$B$1:$BX$1,0),FALSE)/1,0))</f>
        <v>0</v>
      </c>
      <c r="I23" s="31">
        <f>IF($D23="","",IFERROR(VLOOKUP($B23,Kraftvärmeprod!$B$1:$BX$550,MATCH(I$2,Kraftvärmeprod!$B$1:$VX$1,0),FALSE)/1,0)-IFERROR(VLOOKUP($B23,'Slutlig allokering kvv'!$B$2:$BX$550,MATCH(I$2,'Slutlig allokering kvv'!$B$1:$BX$1,0),FALSE)/1,0))</f>
        <v>0</v>
      </c>
      <c r="J23" s="31">
        <f>IF($D23="","",IFERROR(VLOOKUP($B23,Kraftvärmeprod!$B$1:$BX$550,MATCH(J$2,Kraftvärmeprod!$B$1:$VX$1,0),FALSE)/1,0)-IFERROR(VLOOKUP($B23,'Slutlig allokering kvv'!$B$2:$BX$550,MATCH(J$2,'Slutlig allokering kvv'!$B$1:$BX$1,0),FALSE)/1,0))</f>
        <v>0</v>
      </c>
      <c r="K23" s="31">
        <f>IF($D23="","",IFERROR(VLOOKUP($B23,Kraftvärmeprod!$B$1:$BX$550,MATCH(K$2,Kraftvärmeprod!$B$1:$VX$1,0),FALSE)/1,0)-IFERROR(VLOOKUP($B23,'Slutlig allokering kvv'!$B$2:$BX$550,MATCH(K$2,'Slutlig allokering kvv'!$B$1:$BX$1,0),FALSE)/1,0))</f>
        <v>0</v>
      </c>
      <c r="L23" s="31">
        <f>IF($D23="","",IFERROR(VLOOKUP($B23,Kraftvärmeprod!$B$1:$BX$550,MATCH(L$2,Kraftvärmeprod!$B$1:$VX$1,0),FALSE)/1,0)-IFERROR(VLOOKUP($B23,'Slutlig allokering kvv'!$B$2:$BX$550,MATCH(L$2,'Slutlig allokering kvv'!$B$1:$BX$1,0),FALSE)/1,0))</f>
        <v>63.177099999999996</v>
      </c>
      <c r="M23" s="31">
        <f>IF($D23="","",IFERROR(VLOOKUP($B23,Kraftvärmeprod!$B$1:$BX$550,MATCH(M$2,Kraftvärmeprod!$B$1:$VX$1,0),FALSE)/1,0)-IFERROR(VLOOKUP($B23,'Slutlig allokering kvv'!$B$2:$BX$550,MATCH(M$2,'Slutlig allokering kvv'!$B$1:$BX$1,0),FALSE)/1,0))</f>
        <v>14.906799999999997</v>
      </c>
      <c r="N23" s="31">
        <f>IF($D23="","",IFERROR(VLOOKUP($B23,Kraftvärmeprod!$B$1:$BX$550,MATCH(N$2,Kraftvärmeprod!$B$1:$VX$1,0),FALSE)/1,0)-IFERROR(VLOOKUP($B23,'Slutlig allokering kvv'!$B$2:$BX$550,MATCH(N$2,'Slutlig allokering kvv'!$B$1:$BX$1,0),FALSE)/1,0))</f>
        <v>0.98128000000000015</v>
      </c>
      <c r="O23" s="31">
        <f>IF($D23="","",IFERROR(VLOOKUP($B23,Kraftvärmeprod!$B$1:$BX$550,MATCH(O$2,Kraftvärmeprod!$B$1:$VX$1,0),FALSE)/1,0)-IFERROR(VLOOKUP($B23,'Slutlig allokering kvv'!$B$2:$BX$550,MATCH(O$2,'Slutlig allokering kvv'!$B$1:$BX$1,0),FALSE)/1,0))</f>
        <v>10.104499999999998</v>
      </c>
      <c r="P23" s="31">
        <f>IF($D23="","",IFERROR(VLOOKUP($B23,Kraftvärmeprod!$B$1:$BX$550,MATCH(P$2,Kraftvärmeprod!$B$1:$VX$1,0),FALSE)/1,0)-IFERROR(VLOOKUP($B23,'Slutlig allokering kvv'!$B$2:$BX$550,MATCH(P$2,'Slutlig allokering kvv'!$B$1:$BX$1,0),FALSE)/1,0))</f>
        <v>0</v>
      </c>
      <c r="Q23" s="31">
        <f>IF($D23="","",IFERROR(VLOOKUP($B23,Kraftvärmeprod!$B$1:$BX$550,MATCH(Q$2,Kraftvärmeprod!$B$1:$VX$1,0),FALSE)/1,0)-IFERROR(VLOOKUP($B23,'Slutlig allokering kvv'!$B$2:$BX$550,MATCH(Q$2,'Slutlig allokering kvv'!$B$1:$BX$1,0),FALSE)/1,0))</f>
        <v>0.95713999999999988</v>
      </c>
      <c r="R23" s="31">
        <f>IF($D23="","",IFERROR(VLOOKUP($B23,Kraftvärmeprod!$B$1:$BX$550,MATCH(R$2,Kraftvärmeprod!$B$1:$VX$1,0),FALSE)/1,0)-IFERROR(VLOOKUP($B23,'Slutlig allokering kvv'!$B$2:$BX$550,MATCH(R$2,'Slutlig allokering kvv'!$B$1:$BX$1,0),FALSE)/1,0))</f>
        <v>0</v>
      </c>
      <c r="S23" s="31">
        <f>IF($D23="","",IFERROR(VLOOKUP($B23,Kraftvärmeprod!$B$1:$BX$550,MATCH(S$2,Kraftvärmeprod!$B$1:$VX$1,0),FALSE)/1,0)-IFERROR(VLOOKUP($B23,'Slutlig allokering kvv'!$B$2:$BX$550,MATCH(S$2,'Slutlig allokering kvv'!$B$1:$BX$1,0),FALSE)/1,0))</f>
        <v>0</v>
      </c>
      <c r="T23" s="31">
        <f>IF($D23="","",IFERROR(VLOOKUP($B23,Kraftvärmeprod!$B$1:$BX$550,MATCH(T$2,Kraftvärmeprod!$B$1:$VX$1,0),FALSE)/1,0)-IFERROR(VLOOKUP($B23,'Slutlig allokering kvv'!$B$2:$BX$550,MATCH(T$2,'Slutlig allokering kvv'!$B$1:$BX$1,0),FALSE)/1,0))</f>
        <v>0</v>
      </c>
      <c r="U23" s="31">
        <f>IF($D23="","",IFERROR(VLOOKUP($B23,Kraftvärmeprod!$B$1:$BX$550,MATCH(U$2,Kraftvärmeprod!$B$1:$VX$1,0),FALSE)/1,0)-IFERROR(VLOOKUP($B23,'Slutlig allokering kvv'!$B$2:$BX$550,MATCH(U$2,'Slutlig allokering kvv'!$B$1:$BX$1,0),FALSE)/1,0))</f>
        <v>0</v>
      </c>
      <c r="V23" s="31">
        <f>IF($D23="","",IFERROR(VLOOKUP($B23,Kraftvärmeprod!$B$1:$BX$550,MATCH(V$2,Kraftvärmeprod!$B$1:$VX$1,0),FALSE)/1,0)-IFERROR(VLOOKUP($B23,'Slutlig allokering kvv'!$B$2:$BX$550,MATCH(V$2,'Slutlig allokering kvv'!$B$1:$BX$1,0),FALSE)/1,0))</f>
        <v>18.568900000000003</v>
      </c>
      <c r="W23" s="31">
        <f>IF($D23="","",IFERROR(VLOOKUP($B23,Kraftvärmeprod!$B$1:$BX$550,MATCH(W$2,Kraftvärmeprod!$B$1:$VX$1,0),FALSE)/1,0)-IFERROR(VLOOKUP($B23,'Slutlig allokering kvv'!$B$2:$BX$550,MATCH(W$2,'Slutlig allokering kvv'!$B$1:$BX$1,0),FALSE)/1,0))</f>
        <v>0</v>
      </c>
      <c r="X23" s="31">
        <f>IF($D23="","",IFERROR(VLOOKUP($B23,Kraftvärmeprod!$B$1:$BX$550,MATCH(X$2,Kraftvärmeprod!$B$1:$VX$1,0),FALSE)/1,0)-IFERROR(VLOOKUP($B23,'Slutlig allokering kvv'!$B$2:$BX$550,MATCH(X$2,'Slutlig allokering kvv'!$B$1:$BX$1,0),FALSE)/1,0))</f>
        <v>0</v>
      </c>
      <c r="Y23" s="31">
        <f>IF($D23="","",IFERROR(VLOOKUP($B23,Kraftvärmeprod!$B$1:$BX$550,MATCH(Y$2,Kraftvärmeprod!$B$1:$VX$1,0),FALSE)/1,0)-IFERROR(VLOOKUP($B23,'Slutlig allokering kvv'!$B$2:$BX$550,MATCH(Y$2,'Slutlig allokering kvv'!$B$1:$BX$1,0),FALSE)/1,0))</f>
        <v>0</v>
      </c>
      <c r="Z23" s="31">
        <f>IF($D23="","",IFERROR(VLOOKUP($B23,Kraftvärmeprod!$B$1:$BX$550,MATCH(Z$2,Kraftvärmeprod!$B$1:$VX$1,0),FALSE)/1,0)-IFERROR(VLOOKUP($B23,'Slutlig allokering kvv'!$B$2:$BX$550,MATCH(Z$2,'Slutlig allokering kvv'!$B$1:$BX$1,0),FALSE)/1,0))</f>
        <v>0</v>
      </c>
      <c r="AA23" s="31">
        <f>IF($D23="","",IFERROR(VLOOKUP($B23,Kraftvärmeprod!$B$1:$BX$550,MATCH(AA$2,Kraftvärmeprod!$B$1:$VX$1,0),FALSE)/1,0)-IFERROR(VLOOKUP($B23,'Slutlig allokering kvv'!$B$2:$BX$550,MATCH(AA$2,'Slutlig allokering kvv'!$B$1:$BX$1,0),FALSE)/1,0))</f>
        <v>0</v>
      </c>
      <c r="AB23" s="31">
        <f>IF($D23="","",IFERROR(VLOOKUP($B23,Kraftvärmeprod!$B$1:$BX$550,MATCH(AB$2,Kraftvärmeprod!$B$1:$VX$1,0),FALSE)/1,0)-IFERROR(VLOOKUP($B23,'Slutlig allokering kvv'!$B$2:$BX$550,MATCH(AB$2,'Slutlig allokering kvv'!$B$1:$BX$1,0),FALSE)/1,0))</f>
        <v>0</v>
      </c>
      <c r="AC23" s="31">
        <f>IF($D23="","",IFERROR(VLOOKUP($B23,Kraftvärmeprod!$B$1:$BX$550,MATCH(AC$2,Kraftvärmeprod!$B$1:$VX$1,0),FALSE)/1,0)-IFERROR(VLOOKUP($B23,'Slutlig allokering kvv'!$B$2:$BX$550,MATCH(AC$2,'Slutlig allokering kvv'!$B$1:$BX$1,0),FALSE)/1,0))</f>
        <v>0</v>
      </c>
      <c r="AD23" s="31">
        <f>IF($D23="","",IFERROR(VLOOKUP($B23,Kraftvärmeprod!$B$1:$BX$550,MATCH(AD$2,Kraftvärmeprod!$B$1:$VX$1,0),FALSE)/1,0)-IFERROR(VLOOKUP($B23,'Slutlig allokering kvv'!$B$2:$BX$550,MATCH(AD$2,'Slutlig allokering kvv'!$B$1:$BX$1,0),FALSE)/1,0))</f>
        <v>0</v>
      </c>
      <c r="AE23" s="31">
        <f>IF($D23="","",IFERROR(VLOOKUP($B23,Miljö!$B$1:$E$550,MATCH("Hjälpel kraftvärme (GWh)",Miljö!$B$1:$E$1,0),FALSE)/1,0)-IFERROR(VLOOKUP($B23,'Slutlig allokering kvv'!$B$2:$BX$549,MATCH(AE$2,'Slutlig allokering kvv'!$B$1:$BX$1,0),FALSE)/1,0))</f>
        <v>4.4940200000000008</v>
      </c>
      <c r="AI23" s="39">
        <f t="shared" si="0"/>
        <v>108.750215</v>
      </c>
      <c r="AK23" s="31">
        <f>IFERROR(VLOOKUP($B23,'Slutlig allokering kvv'!$B$2:$AX$549,MATCH("Summa slutlig allokerad tillförd energi (utan hjälpel och rökgaskondensering):",'Slutlig allokering kvv'!$B$1:$AX$1,0),FALSE)/1,"")</f>
        <v>152.59778500000004</v>
      </c>
      <c r="AM23" s="31">
        <f>IFERROR(1-VLOOKUP($B23,'Slutlig allokering kvv'!$B$2:$AX$549,MATCH("Andel av bränsle i kvv som allokerats till värme, exklusive rökgaskondensering och hjälpel",'Slutlig allokering kvv'!$B$1:$AX$1,0),FALSE),"")</f>
        <v>0.41611267352342451</v>
      </c>
      <c r="AO23" s="31">
        <f t="shared" si="1"/>
        <v>0.41611267352342457</v>
      </c>
      <c r="AP23" s="31">
        <f t="shared" si="2"/>
        <v>-5.5511151231257827E-17</v>
      </c>
      <c r="AR23" s="32">
        <f t="shared" si="3"/>
        <v>0.56311917335129691</v>
      </c>
    </row>
    <row r="24" spans="1:44" s="31" customFormat="1" x14ac:dyDescent="0.45">
      <c r="A24" s="31" t="s">
        <v>666</v>
      </c>
      <c r="B24" s="31" t="s">
        <v>665</v>
      </c>
      <c r="C24" s="31" t="str">
        <f>IFERROR(VLOOKUP($B24,Kraftvärmeprod!$B$1:$AH$479,MATCH(C$2,Kraftvärmeprod!$B$1:$AG$1,0),FALSE)/1,"")</f>
        <v/>
      </c>
      <c r="D24" s="31" t="str">
        <f>IFERROR(VLOOKUP($B24,Kraftvärmeprod!$B$1:$AH$479,MATCH(D$2,Kraftvärmeprod!$B$1:$AG$1,0),FALSE)/1,"")</f>
        <v/>
      </c>
      <c r="F24" s="31" t="str">
        <f>IF($D24="","",IFERROR(VLOOKUP($B24,Kraftvärmeprod!$B$1:$BX$550,MATCH(F$2,Kraftvärmeprod!$B$1:$VX$1,0),FALSE)/1,0)-IFERROR(VLOOKUP($B24,'Slutlig allokering kvv'!$B$2:$BX$550,MATCH(F$2,'Slutlig allokering kvv'!$B$1:$BX$1,0),FALSE)/1,0))</f>
        <v/>
      </c>
      <c r="G24" s="31" t="str">
        <f>IF($D24="","",IFERROR(VLOOKUP($B24,Kraftvärmeprod!$B$1:$BX$550,MATCH(G$2,Kraftvärmeprod!$B$1:$VX$1,0),FALSE)/1,0)-IFERROR(VLOOKUP($B24,'Slutlig allokering kvv'!$B$2:$BX$550,MATCH(G$2,'Slutlig allokering kvv'!$B$1:$BX$1,0),FALSE)/1,0))</f>
        <v/>
      </c>
      <c r="H24" s="31" t="str">
        <f>IF($D24="","",IFERROR(VLOOKUP($B24,Kraftvärmeprod!$B$1:$BX$550,MATCH(H$2,Kraftvärmeprod!$B$1:$VX$1,0),FALSE)/1,0)-IFERROR(VLOOKUP($B24,'Slutlig allokering kvv'!$B$2:$BX$550,MATCH(H$2,'Slutlig allokering kvv'!$B$1:$BX$1,0),FALSE)/1,0))</f>
        <v/>
      </c>
      <c r="I24" s="31" t="str">
        <f>IF($D24="","",IFERROR(VLOOKUP($B24,Kraftvärmeprod!$B$1:$BX$550,MATCH(I$2,Kraftvärmeprod!$B$1:$VX$1,0),FALSE)/1,0)-IFERROR(VLOOKUP($B24,'Slutlig allokering kvv'!$B$2:$BX$550,MATCH(I$2,'Slutlig allokering kvv'!$B$1:$BX$1,0),FALSE)/1,0))</f>
        <v/>
      </c>
      <c r="J24" s="31" t="str">
        <f>IF($D24="","",IFERROR(VLOOKUP($B24,Kraftvärmeprod!$B$1:$BX$550,MATCH(J$2,Kraftvärmeprod!$B$1:$VX$1,0),FALSE)/1,0)-IFERROR(VLOOKUP($B24,'Slutlig allokering kvv'!$B$2:$BX$550,MATCH(J$2,'Slutlig allokering kvv'!$B$1:$BX$1,0),FALSE)/1,0))</f>
        <v/>
      </c>
      <c r="K24" s="31" t="str">
        <f>IF($D24="","",IFERROR(VLOOKUP($B24,Kraftvärmeprod!$B$1:$BX$550,MATCH(K$2,Kraftvärmeprod!$B$1:$VX$1,0),FALSE)/1,0)-IFERROR(VLOOKUP($B24,'Slutlig allokering kvv'!$B$2:$BX$550,MATCH(K$2,'Slutlig allokering kvv'!$B$1:$BX$1,0),FALSE)/1,0))</f>
        <v/>
      </c>
      <c r="L24" s="31" t="str">
        <f>IF($D24="","",IFERROR(VLOOKUP($B24,Kraftvärmeprod!$B$1:$BX$550,MATCH(L$2,Kraftvärmeprod!$B$1:$VX$1,0),FALSE)/1,0)-IFERROR(VLOOKUP($B24,'Slutlig allokering kvv'!$B$2:$BX$550,MATCH(L$2,'Slutlig allokering kvv'!$B$1:$BX$1,0),FALSE)/1,0))</f>
        <v/>
      </c>
      <c r="M24" s="31" t="str">
        <f>IF($D24="","",IFERROR(VLOOKUP($B24,Kraftvärmeprod!$B$1:$BX$550,MATCH(M$2,Kraftvärmeprod!$B$1:$VX$1,0),FALSE)/1,0)-IFERROR(VLOOKUP($B24,'Slutlig allokering kvv'!$B$2:$BX$550,MATCH(M$2,'Slutlig allokering kvv'!$B$1:$BX$1,0),FALSE)/1,0))</f>
        <v/>
      </c>
      <c r="N24" s="31" t="str">
        <f>IF($D24="","",IFERROR(VLOOKUP($B24,Kraftvärmeprod!$B$1:$BX$550,MATCH(N$2,Kraftvärmeprod!$B$1:$VX$1,0),FALSE)/1,0)-IFERROR(VLOOKUP($B24,'Slutlig allokering kvv'!$B$2:$BX$550,MATCH(N$2,'Slutlig allokering kvv'!$B$1:$BX$1,0),FALSE)/1,0))</f>
        <v/>
      </c>
      <c r="O24" s="31" t="str">
        <f>IF($D24="","",IFERROR(VLOOKUP($B24,Kraftvärmeprod!$B$1:$BX$550,MATCH(O$2,Kraftvärmeprod!$B$1:$VX$1,0),FALSE)/1,0)-IFERROR(VLOOKUP($B24,'Slutlig allokering kvv'!$B$2:$BX$550,MATCH(O$2,'Slutlig allokering kvv'!$B$1:$BX$1,0),FALSE)/1,0))</f>
        <v/>
      </c>
      <c r="P24" s="31" t="str">
        <f>IF($D24="","",IFERROR(VLOOKUP($B24,Kraftvärmeprod!$B$1:$BX$550,MATCH(P$2,Kraftvärmeprod!$B$1:$VX$1,0),FALSE)/1,0)-IFERROR(VLOOKUP($B24,'Slutlig allokering kvv'!$B$2:$BX$550,MATCH(P$2,'Slutlig allokering kvv'!$B$1:$BX$1,0),FALSE)/1,0))</f>
        <v/>
      </c>
      <c r="Q24" s="31" t="str">
        <f>IF($D24="","",IFERROR(VLOOKUP($B24,Kraftvärmeprod!$B$1:$BX$550,MATCH(Q$2,Kraftvärmeprod!$B$1:$VX$1,0),FALSE)/1,0)-IFERROR(VLOOKUP($B24,'Slutlig allokering kvv'!$B$2:$BX$550,MATCH(Q$2,'Slutlig allokering kvv'!$B$1:$BX$1,0),FALSE)/1,0))</f>
        <v/>
      </c>
      <c r="R24" s="31" t="str">
        <f>IF($D24="","",IFERROR(VLOOKUP($B24,Kraftvärmeprod!$B$1:$BX$550,MATCH(R$2,Kraftvärmeprod!$B$1:$VX$1,0),FALSE)/1,0)-IFERROR(VLOOKUP($B24,'Slutlig allokering kvv'!$B$2:$BX$550,MATCH(R$2,'Slutlig allokering kvv'!$B$1:$BX$1,0),FALSE)/1,0))</f>
        <v/>
      </c>
      <c r="S24" s="31" t="str">
        <f>IF($D24="","",IFERROR(VLOOKUP($B24,Kraftvärmeprod!$B$1:$BX$550,MATCH(S$2,Kraftvärmeprod!$B$1:$VX$1,0),FALSE)/1,0)-IFERROR(VLOOKUP($B24,'Slutlig allokering kvv'!$B$2:$BX$550,MATCH(S$2,'Slutlig allokering kvv'!$B$1:$BX$1,0),FALSE)/1,0))</f>
        <v/>
      </c>
      <c r="T24" s="31" t="str">
        <f>IF($D24="","",IFERROR(VLOOKUP($B24,Kraftvärmeprod!$B$1:$BX$550,MATCH(T$2,Kraftvärmeprod!$B$1:$VX$1,0),FALSE)/1,0)-IFERROR(VLOOKUP($B24,'Slutlig allokering kvv'!$B$2:$BX$550,MATCH(T$2,'Slutlig allokering kvv'!$B$1:$BX$1,0),FALSE)/1,0))</f>
        <v/>
      </c>
      <c r="U24" s="31" t="str">
        <f>IF($D24="","",IFERROR(VLOOKUP($B24,Kraftvärmeprod!$B$1:$BX$550,MATCH(U$2,Kraftvärmeprod!$B$1:$VX$1,0),FALSE)/1,0)-IFERROR(VLOOKUP($B24,'Slutlig allokering kvv'!$B$2:$BX$550,MATCH(U$2,'Slutlig allokering kvv'!$B$1:$BX$1,0),FALSE)/1,0))</f>
        <v/>
      </c>
      <c r="V24" s="31" t="str">
        <f>IF($D24="","",IFERROR(VLOOKUP($B24,Kraftvärmeprod!$B$1:$BX$550,MATCH(V$2,Kraftvärmeprod!$B$1:$VX$1,0),FALSE)/1,0)-IFERROR(VLOOKUP($B24,'Slutlig allokering kvv'!$B$2:$BX$550,MATCH(V$2,'Slutlig allokering kvv'!$B$1:$BX$1,0),FALSE)/1,0))</f>
        <v/>
      </c>
      <c r="W24" s="31" t="str">
        <f>IF($D24="","",IFERROR(VLOOKUP($B24,Kraftvärmeprod!$B$1:$BX$550,MATCH(W$2,Kraftvärmeprod!$B$1:$VX$1,0),FALSE)/1,0)-IFERROR(VLOOKUP($B24,'Slutlig allokering kvv'!$B$2:$BX$550,MATCH(W$2,'Slutlig allokering kvv'!$B$1:$BX$1,0),FALSE)/1,0))</f>
        <v/>
      </c>
      <c r="X24" s="31" t="str">
        <f>IF($D24="","",IFERROR(VLOOKUP($B24,Kraftvärmeprod!$B$1:$BX$550,MATCH(X$2,Kraftvärmeprod!$B$1:$VX$1,0),FALSE)/1,0)-IFERROR(VLOOKUP($B24,'Slutlig allokering kvv'!$B$2:$BX$550,MATCH(X$2,'Slutlig allokering kvv'!$B$1:$BX$1,0),FALSE)/1,0))</f>
        <v/>
      </c>
      <c r="Y24" s="31" t="str">
        <f>IF($D24="","",IFERROR(VLOOKUP($B24,Kraftvärmeprod!$B$1:$BX$550,MATCH(Y$2,Kraftvärmeprod!$B$1:$VX$1,0),FALSE)/1,0)-IFERROR(VLOOKUP($B24,'Slutlig allokering kvv'!$B$2:$BX$550,MATCH(Y$2,'Slutlig allokering kvv'!$B$1:$BX$1,0),FALSE)/1,0))</f>
        <v/>
      </c>
      <c r="Z24" s="31" t="str">
        <f>IF($D24="","",IFERROR(VLOOKUP($B24,Kraftvärmeprod!$B$1:$BX$550,MATCH(Z$2,Kraftvärmeprod!$B$1:$VX$1,0),FALSE)/1,0)-IFERROR(VLOOKUP($B24,'Slutlig allokering kvv'!$B$2:$BX$550,MATCH(Z$2,'Slutlig allokering kvv'!$B$1:$BX$1,0),FALSE)/1,0))</f>
        <v/>
      </c>
      <c r="AA24" s="31" t="str">
        <f>IF($D24="","",IFERROR(VLOOKUP($B24,Kraftvärmeprod!$B$1:$BX$550,MATCH(AA$2,Kraftvärmeprod!$B$1:$VX$1,0),FALSE)/1,0)-IFERROR(VLOOKUP($B24,'Slutlig allokering kvv'!$B$2:$BX$550,MATCH(AA$2,'Slutlig allokering kvv'!$B$1:$BX$1,0),FALSE)/1,0))</f>
        <v/>
      </c>
      <c r="AB24" s="31" t="str">
        <f>IF($D24="","",IFERROR(VLOOKUP($B24,Kraftvärmeprod!$B$1:$BX$550,MATCH(AB$2,Kraftvärmeprod!$B$1:$VX$1,0),FALSE)/1,0)-IFERROR(VLOOKUP($B24,'Slutlig allokering kvv'!$B$2:$BX$550,MATCH(AB$2,'Slutlig allokering kvv'!$B$1:$BX$1,0),FALSE)/1,0))</f>
        <v/>
      </c>
      <c r="AC24" s="31" t="str">
        <f>IF($D24="","",IFERROR(VLOOKUP($B24,Kraftvärmeprod!$B$1:$BX$550,MATCH(AC$2,Kraftvärmeprod!$B$1:$VX$1,0),FALSE)/1,0)-IFERROR(VLOOKUP($B24,'Slutlig allokering kvv'!$B$2:$BX$550,MATCH(AC$2,'Slutlig allokering kvv'!$B$1:$BX$1,0),FALSE)/1,0))</f>
        <v/>
      </c>
      <c r="AD24" s="31" t="str">
        <f>IF($D24="","",IFERROR(VLOOKUP($B24,Kraftvärmeprod!$B$1:$BX$550,MATCH(AD$2,Kraftvärmeprod!$B$1:$VX$1,0),FALSE)/1,0)-IFERROR(VLOOKUP($B24,'Slutlig allokering kvv'!$B$2:$BX$550,MATCH(AD$2,'Slutlig allokering kvv'!$B$1:$BX$1,0),FALSE)/1,0))</f>
        <v/>
      </c>
      <c r="AE24" s="31" t="str">
        <f>IF($D24="","",IFERROR(VLOOKUP($B24,Miljö!$B$1:$E$550,MATCH("Hjälpel kraftvärme (GWh)",Miljö!$B$1:$E$1,0),FALSE)/1,0)-IFERROR(VLOOKUP($B24,'Slutlig allokering kvv'!$B$2:$BX$549,MATCH(AE$2,'Slutlig allokering kvv'!$B$1:$BX$1,0),FALSE)/1,0))</f>
        <v/>
      </c>
      <c r="AI24" s="39">
        <f t="shared" si="0"/>
        <v>0</v>
      </c>
      <c r="AK24" s="31">
        <f>IFERROR(VLOOKUP($B24,'Slutlig allokering kvv'!$B$2:$AX$549,MATCH("Summa slutlig allokerad tillförd energi (utan hjälpel och rökgaskondensering):",'Slutlig allokering kvv'!$B$1:$AX$1,0),FALSE)/1,"")</f>
        <v>0</v>
      </c>
      <c r="AM24" s="31" t="str">
        <f>IFERROR(1-VLOOKUP($B24,'Slutlig allokering kvv'!$B$2:$AX$549,MATCH("Andel av bränsle i kvv som allokerats till värme, exklusive rökgaskondensering och hjälpel",'Slutlig allokering kvv'!$B$1:$AX$1,0),FALSE),"")</f>
        <v/>
      </c>
      <c r="AO24" s="31" t="str">
        <f t="shared" si="1"/>
        <v/>
      </c>
      <c r="AP24" s="31" t="str">
        <f t="shared" si="2"/>
        <v/>
      </c>
      <c r="AR24" s="32" t="str">
        <f t="shared" si="3"/>
        <v/>
      </c>
    </row>
    <row r="25" spans="1:44" s="31" customFormat="1" x14ac:dyDescent="0.45">
      <c r="A25" s="31" t="s">
        <v>666</v>
      </c>
      <c r="B25" s="31" t="s">
        <v>667</v>
      </c>
      <c r="C25" s="31" t="str">
        <f>IFERROR(VLOOKUP($B25,Kraftvärmeprod!$B$1:$AH$479,MATCH(C$2,Kraftvärmeprod!$B$1:$AG$1,0),FALSE)/1,"")</f>
        <v/>
      </c>
      <c r="D25" s="31" t="str">
        <f>IFERROR(VLOOKUP($B25,Kraftvärmeprod!$B$1:$AH$479,MATCH(D$2,Kraftvärmeprod!$B$1:$AG$1,0),FALSE)/1,"")</f>
        <v/>
      </c>
      <c r="F25" s="31" t="str">
        <f>IF($D25="","",IFERROR(VLOOKUP($B25,Kraftvärmeprod!$B$1:$BX$550,MATCH(F$2,Kraftvärmeprod!$B$1:$VX$1,0),FALSE)/1,0)-IFERROR(VLOOKUP($B25,'Slutlig allokering kvv'!$B$2:$BX$550,MATCH(F$2,'Slutlig allokering kvv'!$B$1:$BX$1,0),FALSE)/1,0))</f>
        <v/>
      </c>
      <c r="G25" s="31" t="str">
        <f>IF($D25="","",IFERROR(VLOOKUP($B25,Kraftvärmeprod!$B$1:$BX$550,MATCH(G$2,Kraftvärmeprod!$B$1:$VX$1,0),FALSE)/1,0)-IFERROR(VLOOKUP($B25,'Slutlig allokering kvv'!$B$2:$BX$550,MATCH(G$2,'Slutlig allokering kvv'!$B$1:$BX$1,0),FALSE)/1,0))</f>
        <v/>
      </c>
      <c r="H25" s="31" t="str">
        <f>IF($D25="","",IFERROR(VLOOKUP($B25,Kraftvärmeprod!$B$1:$BX$550,MATCH(H$2,Kraftvärmeprod!$B$1:$VX$1,0),FALSE)/1,0)-IFERROR(VLOOKUP($B25,'Slutlig allokering kvv'!$B$2:$BX$550,MATCH(H$2,'Slutlig allokering kvv'!$B$1:$BX$1,0),FALSE)/1,0))</f>
        <v/>
      </c>
      <c r="I25" s="31" t="str">
        <f>IF($D25="","",IFERROR(VLOOKUP($B25,Kraftvärmeprod!$B$1:$BX$550,MATCH(I$2,Kraftvärmeprod!$B$1:$VX$1,0),FALSE)/1,0)-IFERROR(VLOOKUP($B25,'Slutlig allokering kvv'!$B$2:$BX$550,MATCH(I$2,'Slutlig allokering kvv'!$B$1:$BX$1,0),FALSE)/1,0))</f>
        <v/>
      </c>
      <c r="J25" s="31" t="str">
        <f>IF($D25="","",IFERROR(VLOOKUP($B25,Kraftvärmeprod!$B$1:$BX$550,MATCH(J$2,Kraftvärmeprod!$B$1:$VX$1,0),FALSE)/1,0)-IFERROR(VLOOKUP($B25,'Slutlig allokering kvv'!$B$2:$BX$550,MATCH(J$2,'Slutlig allokering kvv'!$B$1:$BX$1,0),FALSE)/1,0))</f>
        <v/>
      </c>
      <c r="K25" s="31" t="str">
        <f>IF($D25="","",IFERROR(VLOOKUP($B25,Kraftvärmeprod!$B$1:$BX$550,MATCH(K$2,Kraftvärmeprod!$B$1:$VX$1,0),FALSE)/1,0)-IFERROR(VLOOKUP($B25,'Slutlig allokering kvv'!$B$2:$BX$550,MATCH(K$2,'Slutlig allokering kvv'!$B$1:$BX$1,0),FALSE)/1,0))</f>
        <v/>
      </c>
      <c r="L25" s="31" t="str">
        <f>IF($D25="","",IFERROR(VLOOKUP($B25,Kraftvärmeprod!$B$1:$BX$550,MATCH(L$2,Kraftvärmeprod!$B$1:$VX$1,0),FALSE)/1,0)-IFERROR(VLOOKUP($B25,'Slutlig allokering kvv'!$B$2:$BX$550,MATCH(L$2,'Slutlig allokering kvv'!$B$1:$BX$1,0),FALSE)/1,0))</f>
        <v/>
      </c>
      <c r="M25" s="31" t="str">
        <f>IF($D25="","",IFERROR(VLOOKUP($B25,Kraftvärmeprod!$B$1:$BX$550,MATCH(M$2,Kraftvärmeprod!$B$1:$VX$1,0),FALSE)/1,0)-IFERROR(VLOOKUP($B25,'Slutlig allokering kvv'!$B$2:$BX$550,MATCH(M$2,'Slutlig allokering kvv'!$B$1:$BX$1,0),FALSE)/1,0))</f>
        <v/>
      </c>
      <c r="N25" s="31" t="str">
        <f>IF($D25="","",IFERROR(VLOOKUP($B25,Kraftvärmeprod!$B$1:$BX$550,MATCH(N$2,Kraftvärmeprod!$B$1:$VX$1,0),FALSE)/1,0)-IFERROR(VLOOKUP($B25,'Slutlig allokering kvv'!$B$2:$BX$550,MATCH(N$2,'Slutlig allokering kvv'!$B$1:$BX$1,0),FALSE)/1,0))</f>
        <v/>
      </c>
      <c r="O25" s="31" t="str">
        <f>IF($D25="","",IFERROR(VLOOKUP($B25,Kraftvärmeprod!$B$1:$BX$550,MATCH(O$2,Kraftvärmeprod!$B$1:$VX$1,0),FALSE)/1,0)-IFERROR(VLOOKUP($B25,'Slutlig allokering kvv'!$B$2:$BX$550,MATCH(O$2,'Slutlig allokering kvv'!$B$1:$BX$1,0),FALSE)/1,0))</f>
        <v/>
      </c>
      <c r="P25" s="31" t="str">
        <f>IF($D25="","",IFERROR(VLOOKUP($B25,Kraftvärmeprod!$B$1:$BX$550,MATCH(P$2,Kraftvärmeprod!$B$1:$VX$1,0),FALSE)/1,0)-IFERROR(VLOOKUP($B25,'Slutlig allokering kvv'!$B$2:$BX$550,MATCH(P$2,'Slutlig allokering kvv'!$B$1:$BX$1,0),FALSE)/1,0))</f>
        <v/>
      </c>
      <c r="Q25" s="31" t="str">
        <f>IF($D25="","",IFERROR(VLOOKUP($B25,Kraftvärmeprod!$B$1:$BX$550,MATCH(Q$2,Kraftvärmeprod!$B$1:$VX$1,0),FALSE)/1,0)-IFERROR(VLOOKUP($B25,'Slutlig allokering kvv'!$B$2:$BX$550,MATCH(Q$2,'Slutlig allokering kvv'!$B$1:$BX$1,0),FALSE)/1,0))</f>
        <v/>
      </c>
      <c r="R25" s="31" t="str">
        <f>IF($D25="","",IFERROR(VLOOKUP($B25,Kraftvärmeprod!$B$1:$BX$550,MATCH(R$2,Kraftvärmeprod!$B$1:$VX$1,0),FALSE)/1,0)-IFERROR(VLOOKUP($B25,'Slutlig allokering kvv'!$B$2:$BX$550,MATCH(R$2,'Slutlig allokering kvv'!$B$1:$BX$1,0),FALSE)/1,0))</f>
        <v/>
      </c>
      <c r="S25" s="31" t="str">
        <f>IF($D25="","",IFERROR(VLOOKUP($B25,Kraftvärmeprod!$B$1:$BX$550,MATCH(S$2,Kraftvärmeprod!$B$1:$VX$1,0),FALSE)/1,0)-IFERROR(VLOOKUP($B25,'Slutlig allokering kvv'!$B$2:$BX$550,MATCH(S$2,'Slutlig allokering kvv'!$B$1:$BX$1,0),FALSE)/1,0))</f>
        <v/>
      </c>
      <c r="T25" s="31" t="str">
        <f>IF($D25="","",IFERROR(VLOOKUP($B25,Kraftvärmeprod!$B$1:$BX$550,MATCH(T$2,Kraftvärmeprod!$B$1:$VX$1,0),FALSE)/1,0)-IFERROR(VLOOKUP($B25,'Slutlig allokering kvv'!$B$2:$BX$550,MATCH(T$2,'Slutlig allokering kvv'!$B$1:$BX$1,0),FALSE)/1,0))</f>
        <v/>
      </c>
      <c r="U25" s="31" t="str">
        <f>IF($D25="","",IFERROR(VLOOKUP($B25,Kraftvärmeprod!$B$1:$BX$550,MATCH(U$2,Kraftvärmeprod!$B$1:$VX$1,0),FALSE)/1,0)-IFERROR(VLOOKUP($B25,'Slutlig allokering kvv'!$B$2:$BX$550,MATCH(U$2,'Slutlig allokering kvv'!$B$1:$BX$1,0),FALSE)/1,0))</f>
        <v/>
      </c>
      <c r="V25" s="31" t="str">
        <f>IF($D25="","",IFERROR(VLOOKUP($B25,Kraftvärmeprod!$B$1:$BX$550,MATCH(V$2,Kraftvärmeprod!$B$1:$VX$1,0),FALSE)/1,0)-IFERROR(VLOOKUP($B25,'Slutlig allokering kvv'!$B$2:$BX$550,MATCH(V$2,'Slutlig allokering kvv'!$B$1:$BX$1,0),FALSE)/1,0))</f>
        <v/>
      </c>
      <c r="W25" s="31" t="str">
        <f>IF($D25="","",IFERROR(VLOOKUP($B25,Kraftvärmeprod!$B$1:$BX$550,MATCH(W$2,Kraftvärmeprod!$B$1:$VX$1,0),FALSE)/1,0)-IFERROR(VLOOKUP($B25,'Slutlig allokering kvv'!$B$2:$BX$550,MATCH(W$2,'Slutlig allokering kvv'!$B$1:$BX$1,0),FALSE)/1,0))</f>
        <v/>
      </c>
      <c r="X25" s="31" t="str">
        <f>IF($D25="","",IFERROR(VLOOKUP($B25,Kraftvärmeprod!$B$1:$BX$550,MATCH(X$2,Kraftvärmeprod!$B$1:$VX$1,0),FALSE)/1,0)-IFERROR(VLOOKUP($B25,'Slutlig allokering kvv'!$B$2:$BX$550,MATCH(X$2,'Slutlig allokering kvv'!$B$1:$BX$1,0),FALSE)/1,0))</f>
        <v/>
      </c>
      <c r="Y25" s="31" t="str">
        <f>IF($D25="","",IFERROR(VLOOKUP($B25,Kraftvärmeprod!$B$1:$BX$550,MATCH(Y$2,Kraftvärmeprod!$B$1:$VX$1,0),FALSE)/1,0)-IFERROR(VLOOKUP($B25,'Slutlig allokering kvv'!$B$2:$BX$550,MATCH(Y$2,'Slutlig allokering kvv'!$B$1:$BX$1,0),FALSE)/1,0))</f>
        <v/>
      </c>
      <c r="Z25" s="31" t="str">
        <f>IF($D25="","",IFERROR(VLOOKUP($B25,Kraftvärmeprod!$B$1:$BX$550,MATCH(Z$2,Kraftvärmeprod!$B$1:$VX$1,0),FALSE)/1,0)-IFERROR(VLOOKUP($B25,'Slutlig allokering kvv'!$B$2:$BX$550,MATCH(Z$2,'Slutlig allokering kvv'!$B$1:$BX$1,0),FALSE)/1,0))</f>
        <v/>
      </c>
      <c r="AA25" s="31" t="str">
        <f>IF($D25="","",IFERROR(VLOOKUP($B25,Kraftvärmeprod!$B$1:$BX$550,MATCH(AA$2,Kraftvärmeprod!$B$1:$VX$1,0),FALSE)/1,0)-IFERROR(VLOOKUP($B25,'Slutlig allokering kvv'!$B$2:$BX$550,MATCH(AA$2,'Slutlig allokering kvv'!$B$1:$BX$1,0),FALSE)/1,0))</f>
        <v/>
      </c>
      <c r="AB25" s="31" t="str">
        <f>IF($D25="","",IFERROR(VLOOKUP($B25,Kraftvärmeprod!$B$1:$BX$550,MATCH(AB$2,Kraftvärmeprod!$B$1:$VX$1,0),FALSE)/1,0)-IFERROR(VLOOKUP($B25,'Slutlig allokering kvv'!$B$2:$BX$550,MATCH(AB$2,'Slutlig allokering kvv'!$B$1:$BX$1,0),FALSE)/1,0))</f>
        <v/>
      </c>
      <c r="AC25" s="31" t="str">
        <f>IF($D25="","",IFERROR(VLOOKUP($B25,Kraftvärmeprod!$B$1:$BX$550,MATCH(AC$2,Kraftvärmeprod!$B$1:$VX$1,0),FALSE)/1,0)-IFERROR(VLOOKUP($B25,'Slutlig allokering kvv'!$B$2:$BX$550,MATCH(AC$2,'Slutlig allokering kvv'!$B$1:$BX$1,0),FALSE)/1,0))</f>
        <v/>
      </c>
      <c r="AD25" s="31" t="str">
        <f>IF($D25="","",IFERROR(VLOOKUP($B25,Kraftvärmeprod!$B$1:$BX$550,MATCH(AD$2,Kraftvärmeprod!$B$1:$VX$1,0),FALSE)/1,0)-IFERROR(VLOOKUP($B25,'Slutlig allokering kvv'!$B$2:$BX$550,MATCH(AD$2,'Slutlig allokering kvv'!$B$1:$BX$1,0),FALSE)/1,0))</f>
        <v/>
      </c>
      <c r="AE25" s="31" t="str">
        <f>IF($D25="","",IFERROR(VLOOKUP($B25,Miljö!$B$1:$E$550,MATCH("Hjälpel kraftvärme (GWh)",Miljö!$B$1:$E$1,0),FALSE)/1,0)-IFERROR(VLOOKUP($B25,'Slutlig allokering kvv'!$B$2:$BX$549,MATCH(AE$2,'Slutlig allokering kvv'!$B$1:$BX$1,0),FALSE)/1,0))</f>
        <v/>
      </c>
      <c r="AI25" s="39">
        <f t="shared" si="0"/>
        <v>0</v>
      </c>
      <c r="AK25" s="31">
        <f>IFERROR(VLOOKUP($B25,'Slutlig allokering kvv'!$B$2:$AX$549,MATCH("Summa slutlig allokerad tillförd energi (utan hjälpel och rökgaskondensering):",'Slutlig allokering kvv'!$B$1:$AX$1,0),FALSE)/1,"")</f>
        <v>0</v>
      </c>
      <c r="AM25" s="31" t="str">
        <f>IFERROR(1-VLOOKUP($B25,'Slutlig allokering kvv'!$B$2:$AX$549,MATCH("Andel av bränsle i kvv som allokerats till värme, exklusive rökgaskondensering och hjälpel",'Slutlig allokering kvv'!$B$1:$AX$1,0),FALSE),"")</f>
        <v/>
      </c>
      <c r="AO25" s="31" t="str">
        <f t="shared" si="1"/>
        <v/>
      </c>
      <c r="AP25" s="31" t="str">
        <f t="shared" si="2"/>
        <v/>
      </c>
      <c r="AR25" s="32" t="str">
        <f t="shared" si="3"/>
        <v/>
      </c>
    </row>
    <row r="26" spans="1:44" s="31" customFormat="1" x14ac:dyDescent="0.45">
      <c r="A26" s="31" t="s">
        <v>666</v>
      </c>
      <c r="B26" s="31" t="s">
        <v>670</v>
      </c>
      <c r="C26" s="31" t="str">
        <f>IFERROR(VLOOKUP($B26,Kraftvärmeprod!$B$1:$AH$479,MATCH(C$2,Kraftvärmeprod!$B$1:$AG$1,0),FALSE)/1,"")</f>
        <v/>
      </c>
      <c r="D26" s="31" t="str">
        <f>IFERROR(VLOOKUP($B26,Kraftvärmeprod!$B$1:$AH$479,MATCH(D$2,Kraftvärmeprod!$B$1:$AG$1,0),FALSE)/1,"")</f>
        <v/>
      </c>
      <c r="F26" s="31" t="str">
        <f>IF($D26="","",IFERROR(VLOOKUP($B26,Kraftvärmeprod!$B$1:$BX$550,MATCH(F$2,Kraftvärmeprod!$B$1:$VX$1,0),FALSE)/1,0)-IFERROR(VLOOKUP($B26,'Slutlig allokering kvv'!$B$2:$BX$550,MATCH(F$2,'Slutlig allokering kvv'!$B$1:$BX$1,0),FALSE)/1,0))</f>
        <v/>
      </c>
      <c r="G26" s="31" t="str">
        <f>IF($D26="","",IFERROR(VLOOKUP($B26,Kraftvärmeprod!$B$1:$BX$550,MATCH(G$2,Kraftvärmeprod!$B$1:$VX$1,0),FALSE)/1,0)-IFERROR(VLOOKUP($B26,'Slutlig allokering kvv'!$B$2:$BX$550,MATCH(G$2,'Slutlig allokering kvv'!$B$1:$BX$1,0),FALSE)/1,0))</f>
        <v/>
      </c>
      <c r="H26" s="31" t="str">
        <f>IF($D26="","",IFERROR(VLOOKUP($B26,Kraftvärmeprod!$B$1:$BX$550,MATCH(H$2,Kraftvärmeprod!$B$1:$VX$1,0),FALSE)/1,0)-IFERROR(VLOOKUP($B26,'Slutlig allokering kvv'!$B$2:$BX$550,MATCH(H$2,'Slutlig allokering kvv'!$B$1:$BX$1,0),FALSE)/1,0))</f>
        <v/>
      </c>
      <c r="I26" s="31" t="str">
        <f>IF($D26="","",IFERROR(VLOOKUP($B26,Kraftvärmeprod!$B$1:$BX$550,MATCH(I$2,Kraftvärmeprod!$B$1:$VX$1,0),FALSE)/1,0)-IFERROR(VLOOKUP($B26,'Slutlig allokering kvv'!$B$2:$BX$550,MATCH(I$2,'Slutlig allokering kvv'!$B$1:$BX$1,0),FALSE)/1,0))</f>
        <v/>
      </c>
      <c r="J26" s="31" t="str">
        <f>IF($D26="","",IFERROR(VLOOKUP($B26,Kraftvärmeprod!$B$1:$BX$550,MATCH(J$2,Kraftvärmeprod!$B$1:$VX$1,0),FALSE)/1,0)-IFERROR(VLOOKUP($B26,'Slutlig allokering kvv'!$B$2:$BX$550,MATCH(J$2,'Slutlig allokering kvv'!$B$1:$BX$1,0),FALSE)/1,0))</f>
        <v/>
      </c>
      <c r="K26" s="31" t="str">
        <f>IF($D26="","",IFERROR(VLOOKUP($B26,Kraftvärmeprod!$B$1:$BX$550,MATCH(K$2,Kraftvärmeprod!$B$1:$VX$1,0),FALSE)/1,0)-IFERROR(VLOOKUP($B26,'Slutlig allokering kvv'!$B$2:$BX$550,MATCH(K$2,'Slutlig allokering kvv'!$B$1:$BX$1,0),FALSE)/1,0))</f>
        <v/>
      </c>
      <c r="L26" s="31" t="str">
        <f>IF($D26="","",IFERROR(VLOOKUP($B26,Kraftvärmeprod!$B$1:$BX$550,MATCH(L$2,Kraftvärmeprod!$B$1:$VX$1,0),FALSE)/1,0)-IFERROR(VLOOKUP($B26,'Slutlig allokering kvv'!$B$2:$BX$550,MATCH(L$2,'Slutlig allokering kvv'!$B$1:$BX$1,0),FALSE)/1,0))</f>
        <v/>
      </c>
      <c r="M26" s="31" t="str">
        <f>IF($D26="","",IFERROR(VLOOKUP($B26,Kraftvärmeprod!$B$1:$BX$550,MATCH(M$2,Kraftvärmeprod!$B$1:$VX$1,0),FALSE)/1,0)-IFERROR(VLOOKUP($B26,'Slutlig allokering kvv'!$B$2:$BX$550,MATCH(M$2,'Slutlig allokering kvv'!$B$1:$BX$1,0),FALSE)/1,0))</f>
        <v/>
      </c>
      <c r="N26" s="31" t="str">
        <f>IF($D26="","",IFERROR(VLOOKUP($B26,Kraftvärmeprod!$B$1:$BX$550,MATCH(N$2,Kraftvärmeprod!$B$1:$VX$1,0),FALSE)/1,0)-IFERROR(VLOOKUP($B26,'Slutlig allokering kvv'!$B$2:$BX$550,MATCH(N$2,'Slutlig allokering kvv'!$B$1:$BX$1,0),FALSE)/1,0))</f>
        <v/>
      </c>
      <c r="O26" s="31" t="str">
        <f>IF($D26="","",IFERROR(VLOOKUP($B26,Kraftvärmeprod!$B$1:$BX$550,MATCH(O$2,Kraftvärmeprod!$B$1:$VX$1,0),FALSE)/1,0)-IFERROR(VLOOKUP($B26,'Slutlig allokering kvv'!$B$2:$BX$550,MATCH(O$2,'Slutlig allokering kvv'!$B$1:$BX$1,0),FALSE)/1,0))</f>
        <v/>
      </c>
      <c r="P26" s="31" t="str">
        <f>IF($D26="","",IFERROR(VLOOKUP($B26,Kraftvärmeprod!$B$1:$BX$550,MATCH(P$2,Kraftvärmeprod!$B$1:$VX$1,0),FALSE)/1,0)-IFERROR(VLOOKUP($B26,'Slutlig allokering kvv'!$B$2:$BX$550,MATCH(P$2,'Slutlig allokering kvv'!$B$1:$BX$1,0),FALSE)/1,0))</f>
        <v/>
      </c>
      <c r="Q26" s="31" t="str">
        <f>IF($D26="","",IFERROR(VLOOKUP($B26,Kraftvärmeprod!$B$1:$BX$550,MATCH(Q$2,Kraftvärmeprod!$B$1:$VX$1,0),FALSE)/1,0)-IFERROR(VLOOKUP($B26,'Slutlig allokering kvv'!$B$2:$BX$550,MATCH(Q$2,'Slutlig allokering kvv'!$B$1:$BX$1,0),FALSE)/1,0))</f>
        <v/>
      </c>
      <c r="R26" s="31" t="str">
        <f>IF($D26="","",IFERROR(VLOOKUP($B26,Kraftvärmeprod!$B$1:$BX$550,MATCH(R$2,Kraftvärmeprod!$B$1:$VX$1,0),FALSE)/1,0)-IFERROR(VLOOKUP($B26,'Slutlig allokering kvv'!$B$2:$BX$550,MATCH(R$2,'Slutlig allokering kvv'!$B$1:$BX$1,0),FALSE)/1,0))</f>
        <v/>
      </c>
      <c r="S26" s="31" t="str">
        <f>IF($D26="","",IFERROR(VLOOKUP($B26,Kraftvärmeprod!$B$1:$BX$550,MATCH(S$2,Kraftvärmeprod!$B$1:$VX$1,0),FALSE)/1,0)-IFERROR(VLOOKUP($B26,'Slutlig allokering kvv'!$B$2:$BX$550,MATCH(S$2,'Slutlig allokering kvv'!$B$1:$BX$1,0),FALSE)/1,0))</f>
        <v/>
      </c>
      <c r="T26" s="31" t="str">
        <f>IF($D26="","",IFERROR(VLOOKUP($B26,Kraftvärmeprod!$B$1:$BX$550,MATCH(T$2,Kraftvärmeprod!$B$1:$VX$1,0),FALSE)/1,0)-IFERROR(VLOOKUP($B26,'Slutlig allokering kvv'!$B$2:$BX$550,MATCH(T$2,'Slutlig allokering kvv'!$B$1:$BX$1,0),FALSE)/1,0))</f>
        <v/>
      </c>
      <c r="U26" s="31" t="str">
        <f>IF($D26="","",IFERROR(VLOOKUP($B26,Kraftvärmeprod!$B$1:$BX$550,MATCH(U$2,Kraftvärmeprod!$B$1:$VX$1,0),FALSE)/1,0)-IFERROR(VLOOKUP($B26,'Slutlig allokering kvv'!$B$2:$BX$550,MATCH(U$2,'Slutlig allokering kvv'!$B$1:$BX$1,0),FALSE)/1,0))</f>
        <v/>
      </c>
      <c r="V26" s="31" t="str">
        <f>IF($D26="","",IFERROR(VLOOKUP($B26,Kraftvärmeprod!$B$1:$BX$550,MATCH(V$2,Kraftvärmeprod!$B$1:$VX$1,0),FALSE)/1,0)-IFERROR(VLOOKUP($B26,'Slutlig allokering kvv'!$B$2:$BX$550,MATCH(V$2,'Slutlig allokering kvv'!$B$1:$BX$1,0),FALSE)/1,0))</f>
        <v/>
      </c>
      <c r="W26" s="31" t="str">
        <f>IF($D26="","",IFERROR(VLOOKUP($B26,Kraftvärmeprod!$B$1:$BX$550,MATCH(W$2,Kraftvärmeprod!$B$1:$VX$1,0),FALSE)/1,0)-IFERROR(VLOOKUP($B26,'Slutlig allokering kvv'!$B$2:$BX$550,MATCH(W$2,'Slutlig allokering kvv'!$B$1:$BX$1,0),FALSE)/1,0))</f>
        <v/>
      </c>
      <c r="X26" s="31" t="str">
        <f>IF($D26="","",IFERROR(VLOOKUP($B26,Kraftvärmeprod!$B$1:$BX$550,MATCH(X$2,Kraftvärmeprod!$B$1:$VX$1,0),FALSE)/1,0)-IFERROR(VLOOKUP($B26,'Slutlig allokering kvv'!$B$2:$BX$550,MATCH(X$2,'Slutlig allokering kvv'!$B$1:$BX$1,0),FALSE)/1,0))</f>
        <v/>
      </c>
      <c r="Y26" s="31" t="str">
        <f>IF($D26="","",IFERROR(VLOOKUP($B26,Kraftvärmeprod!$B$1:$BX$550,MATCH(Y$2,Kraftvärmeprod!$B$1:$VX$1,0),FALSE)/1,0)-IFERROR(VLOOKUP($B26,'Slutlig allokering kvv'!$B$2:$BX$550,MATCH(Y$2,'Slutlig allokering kvv'!$B$1:$BX$1,0),FALSE)/1,0))</f>
        <v/>
      </c>
      <c r="Z26" s="31" t="str">
        <f>IF($D26="","",IFERROR(VLOOKUP($B26,Kraftvärmeprod!$B$1:$BX$550,MATCH(Z$2,Kraftvärmeprod!$B$1:$VX$1,0),FALSE)/1,0)-IFERROR(VLOOKUP($B26,'Slutlig allokering kvv'!$B$2:$BX$550,MATCH(Z$2,'Slutlig allokering kvv'!$B$1:$BX$1,0),FALSE)/1,0))</f>
        <v/>
      </c>
      <c r="AA26" s="31" t="str">
        <f>IF($D26="","",IFERROR(VLOOKUP($B26,Kraftvärmeprod!$B$1:$BX$550,MATCH(AA$2,Kraftvärmeprod!$B$1:$VX$1,0),FALSE)/1,0)-IFERROR(VLOOKUP($B26,'Slutlig allokering kvv'!$B$2:$BX$550,MATCH(AA$2,'Slutlig allokering kvv'!$B$1:$BX$1,0),FALSE)/1,0))</f>
        <v/>
      </c>
      <c r="AB26" s="31" t="str">
        <f>IF($D26="","",IFERROR(VLOOKUP($B26,Kraftvärmeprod!$B$1:$BX$550,MATCH(AB$2,Kraftvärmeprod!$B$1:$VX$1,0),FALSE)/1,0)-IFERROR(VLOOKUP($B26,'Slutlig allokering kvv'!$B$2:$BX$550,MATCH(AB$2,'Slutlig allokering kvv'!$B$1:$BX$1,0),FALSE)/1,0))</f>
        <v/>
      </c>
      <c r="AC26" s="31" t="str">
        <f>IF($D26="","",IFERROR(VLOOKUP($B26,Kraftvärmeprod!$B$1:$BX$550,MATCH(AC$2,Kraftvärmeprod!$B$1:$VX$1,0),FALSE)/1,0)-IFERROR(VLOOKUP($B26,'Slutlig allokering kvv'!$B$2:$BX$550,MATCH(AC$2,'Slutlig allokering kvv'!$B$1:$BX$1,0),FALSE)/1,0))</f>
        <v/>
      </c>
      <c r="AD26" s="31" t="str">
        <f>IF($D26="","",IFERROR(VLOOKUP($B26,Kraftvärmeprod!$B$1:$BX$550,MATCH(AD$2,Kraftvärmeprod!$B$1:$VX$1,0),FALSE)/1,0)-IFERROR(VLOOKUP($B26,'Slutlig allokering kvv'!$B$2:$BX$550,MATCH(AD$2,'Slutlig allokering kvv'!$B$1:$BX$1,0),FALSE)/1,0))</f>
        <v/>
      </c>
      <c r="AE26" s="31" t="str">
        <f>IF($D26="","",IFERROR(VLOOKUP($B26,Miljö!$B$1:$E$550,MATCH("Hjälpel kraftvärme (GWh)",Miljö!$B$1:$E$1,0),FALSE)/1,0)-IFERROR(VLOOKUP($B26,'Slutlig allokering kvv'!$B$2:$BX$549,MATCH(AE$2,'Slutlig allokering kvv'!$B$1:$BX$1,0),FALSE)/1,0))</f>
        <v/>
      </c>
      <c r="AI26" s="39">
        <f t="shared" si="0"/>
        <v>0</v>
      </c>
      <c r="AK26" s="31">
        <f>IFERROR(VLOOKUP($B26,'Slutlig allokering kvv'!$B$2:$AX$549,MATCH("Summa slutlig allokerad tillförd energi (utan hjälpel och rökgaskondensering):",'Slutlig allokering kvv'!$B$1:$AX$1,0),FALSE)/1,"")</f>
        <v>0</v>
      </c>
      <c r="AM26" s="31" t="str">
        <f>IFERROR(1-VLOOKUP($B26,'Slutlig allokering kvv'!$B$2:$AX$549,MATCH("Andel av bränsle i kvv som allokerats till värme, exklusive rökgaskondensering och hjälpel",'Slutlig allokering kvv'!$B$1:$AX$1,0),FALSE),"")</f>
        <v/>
      </c>
      <c r="AO26" s="31" t="str">
        <f t="shared" si="1"/>
        <v/>
      </c>
      <c r="AP26" s="31" t="str">
        <f t="shared" si="2"/>
        <v/>
      </c>
      <c r="AR26" s="32" t="str">
        <f t="shared" si="3"/>
        <v/>
      </c>
    </row>
    <row r="27" spans="1:44" s="31" customFormat="1" x14ac:dyDescent="0.45">
      <c r="A27" s="31" t="s">
        <v>664</v>
      </c>
      <c r="B27" s="31" t="s">
        <v>663</v>
      </c>
      <c r="C27" s="31" t="str">
        <f>IFERROR(VLOOKUP($B27,Kraftvärmeprod!$B$1:$AH$479,MATCH(C$2,Kraftvärmeprod!$B$1:$AG$1,0),FALSE)/1,"")</f>
        <v/>
      </c>
      <c r="D27" s="31" t="str">
        <f>IFERROR(VLOOKUP($B27,Kraftvärmeprod!$B$1:$AH$479,MATCH(D$2,Kraftvärmeprod!$B$1:$AG$1,0),FALSE)/1,"")</f>
        <v/>
      </c>
      <c r="F27" s="31" t="str">
        <f>IF($D27="","",IFERROR(VLOOKUP($B27,Kraftvärmeprod!$B$1:$BX$550,MATCH(F$2,Kraftvärmeprod!$B$1:$VX$1,0),FALSE)/1,0)-IFERROR(VLOOKUP($B27,'Slutlig allokering kvv'!$B$2:$BX$550,MATCH(F$2,'Slutlig allokering kvv'!$B$1:$BX$1,0),FALSE)/1,0))</f>
        <v/>
      </c>
      <c r="G27" s="31" t="str">
        <f>IF($D27="","",IFERROR(VLOOKUP($B27,Kraftvärmeprod!$B$1:$BX$550,MATCH(G$2,Kraftvärmeprod!$B$1:$VX$1,0),FALSE)/1,0)-IFERROR(VLOOKUP($B27,'Slutlig allokering kvv'!$B$2:$BX$550,MATCH(G$2,'Slutlig allokering kvv'!$B$1:$BX$1,0),FALSE)/1,0))</f>
        <v/>
      </c>
      <c r="H27" s="31" t="str">
        <f>IF($D27="","",IFERROR(VLOOKUP($B27,Kraftvärmeprod!$B$1:$BX$550,MATCH(H$2,Kraftvärmeprod!$B$1:$VX$1,0),FALSE)/1,0)-IFERROR(VLOOKUP($B27,'Slutlig allokering kvv'!$B$2:$BX$550,MATCH(H$2,'Slutlig allokering kvv'!$B$1:$BX$1,0),FALSE)/1,0))</f>
        <v/>
      </c>
      <c r="I27" s="31" t="str">
        <f>IF($D27="","",IFERROR(VLOOKUP($B27,Kraftvärmeprod!$B$1:$BX$550,MATCH(I$2,Kraftvärmeprod!$B$1:$VX$1,0),FALSE)/1,0)-IFERROR(VLOOKUP($B27,'Slutlig allokering kvv'!$B$2:$BX$550,MATCH(I$2,'Slutlig allokering kvv'!$B$1:$BX$1,0),FALSE)/1,0))</f>
        <v/>
      </c>
      <c r="J27" s="31" t="str">
        <f>IF($D27="","",IFERROR(VLOOKUP($B27,Kraftvärmeprod!$B$1:$BX$550,MATCH(J$2,Kraftvärmeprod!$B$1:$VX$1,0),FALSE)/1,0)-IFERROR(VLOOKUP($B27,'Slutlig allokering kvv'!$B$2:$BX$550,MATCH(J$2,'Slutlig allokering kvv'!$B$1:$BX$1,0),FALSE)/1,0))</f>
        <v/>
      </c>
      <c r="K27" s="31" t="str">
        <f>IF($D27="","",IFERROR(VLOOKUP($B27,Kraftvärmeprod!$B$1:$BX$550,MATCH(K$2,Kraftvärmeprod!$B$1:$VX$1,0),FALSE)/1,0)-IFERROR(VLOOKUP($B27,'Slutlig allokering kvv'!$B$2:$BX$550,MATCH(K$2,'Slutlig allokering kvv'!$B$1:$BX$1,0),FALSE)/1,0))</f>
        <v/>
      </c>
      <c r="L27" s="31" t="str">
        <f>IF($D27="","",IFERROR(VLOOKUP($B27,Kraftvärmeprod!$B$1:$BX$550,MATCH(L$2,Kraftvärmeprod!$B$1:$VX$1,0),FALSE)/1,0)-IFERROR(VLOOKUP($B27,'Slutlig allokering kvv'!$B$2:$BX$550,MATCH(L$2,'Slutlig allokering kvv'!$B$1:$BX$1,0),FALSE)/1,0))</f>
        <v/>
      </c>
      <c r="M27" s="31" t="str">
        <f>IF($D27="","",IFERROR(VLOOKUP($B27,Kraftvärmeprod!$B$1:$BX$550,MATCH(M$2,Kraftvärmeprod!$B$1:$VX$1,0),FALSE)/1,0)-IFERROR(VLOOKUP($B27,'Slutlig allokering kvv'!$B$2:$BX$550,MATCH(M$2,'Slutlig allokering kvv'!$B$1:$BX$1,0),FALSE)/1,0))</f>
        <v/>
      </c>
      <c r="N27" s="31" t="str">
        <f>IF($D27="","",IFERROR(VLOOKUP($B27,Kraftvärmeprod!$B$1:$BX$550,MATCH(N$2,Kraftvärmeprod!$B$1:$VX$1,0),FALSE)/1,0)-IFERROR(VLOOKUP($B27,'Slutlig allokering kvv'!$B$2:$BX$550,MATCH(N$2,'Slutlig allokering kvv'!$B$1:$BX$1,0),FALSE)/1,0))</f>
        <v/>
      </c>
      <c r="O27" s="31" t="str">
        <f>IF($D27="","",IFERROR(VLOOKUP($B27,Kraftvärmeprod!$B$1:$BX$550,MATCH(O$2,Kraftvärmeprod!$B$1:$VX$1,0),FALSE)/1,0)-IFERROR(VLOOKUP($B27,'Slutlig allokering kvv'!$B$2:$BX$550,MATCH(O$2,'Slutlig allokering kvv'!$B$1:$BX$1,0),FALSE)/1,0))</f>
        <v/>
      </c>
      <c r="P27" s="31" t="str">
        <f>IF($D27="","",IFERROR(VLOOKUP($B27,Kraftvärmeprod!$B$1:$BX$550,MATCH(P$2,Kraftvärmeprod!$B$1:$VX$1,0),FALSE)/1,0)-IFERROR(VLOOKUP($B27,'Slutlig allokering kvv'!$B$2:$BX$550,MATCH(P$2,'Slutlig allokering kvv'!$B$1:$BX$1,0),FALSE)/1,0))</f>
        <v/>
      </c>
      <c r="Q27" s="31" t="str">
        <f>IF($D27="","",IFERROR(VLOOKUP($B27,Kraftvärmeprod!$B$1:$BX$550,MATCH(Q$2,Kraftvärmeprod!$B$1:$VX$1,0),FALSE)/1,0)-IFERROR(VLOOKUP($B27,'Slutlig allokering kvv'!$B$2:$BX$550,MATCH(Q$2,'Slutlig allokering kvv'!$B$1:$BX$1,0),FALSE)/1,0))</f>
        <v/>
      </c>
      <c r="R27" s="31" t="str">
        <f>IF($D27="","",IFERROR(VLOOKUP($B27,Kraftvärmeprod!$B$1:$BX$550,MATCH(R$2,Kraftvärmeprod!$B$1:$VX$1,0),FALSE)/1,0)-IFERROR(VLOOKUP($B27,'Slutlig allokering kvv'!$B$2:$BX$550,MATCH(R$2,'Slutlig allokering kvv'!$B$1:$BX$1,0),FALSE)/1,0))</f>
        <v/>
      </c>
      <c r="S27" s="31" t="str">
        <f>IF($D27="","",IFERROR(VLOOKUP($B27,Kraftvärmeprod!$B$1:$BX$550,MATCH(S$2,Kraftvärmeprod!$B$1:$VX$1,0),FALSE)/1,0)-IFERROR(VLOOKUP($B27,'Slutlig allokering kvv'!$B$2:$BX$550,MATCH(S$2,'Slutlig allokering kvv'!$B$1:$BX$1,0),FALSE)/1,0))</f>
        <v/>
      </c>
      <c r="T27" s="31" t="str">
        <f>IF($D27="","",IFERROR(VLOOKUP($B27,Kraftvärmeprod!$B$1:$BX$550,MATCH(T$2,Kraftvärmeprod!$B$1:$VX$1,0),FALSE)/1,0)-IFERROR(VLOOKUP($B27,'Slutlig allokering kvv'!$B$2:$BX$550,MATCH(T$2,'Slutlig allokering kvv'!$B$1:$BX$1,0),FALSE)/1,0))</f>
        <v/>
      </c>
      <c r="U27" s="31" t="str">
        <f>IF($D27="","",IFERROR(VLOOKUP($B27,Kraftvärmeprod!$B$1:$BX$550,MATCH(U$2,Kraftvärmeprod!$B$1:$VX$1,0),FALSE)/1,0)-IFERROR(VLOOKUP($B27,'Slutlig allokering kvv'!$B$2:$BX$550,MATCH(U$2,'Slutlig allokering kvv'!$B$1:$BX$1,0),FALSE)/1,0))</f>
        <v/>
      </c>
      <c r="V27" s="31" t="str">
        <f>IF($D27="","",IFERROR(VLOOKUP($B27,Kraftvärmeprod!$B$1:$BX$550,MATCH(V$2,Kraftvärmeprod!$B$1:$VX$1,0),FALSE)/1,0)-IFERROR(VLOOKUP($B27,'Slutlig allokering kvv'!$B$2:$BX$550,MATCH(V$2,'Slutlig allokering kvv'!$B$1:$BX$1,0),FALSE)/1,0))</f>
        <v/>
      </c>
      <c r="W27" s="31" t="str">
        <f>IF($D27="","",IFERROR(VLOOKUP($B27,Kraftvärmeprod!$B$1:$BX$550,MATCH(W$2,Kraftvärmeprod!$B$1:$VX$1,0),FALSE)/1,0)-IFERROR(VLOOKUP($B27,'Slutlig allokering kvv'!$B$2:$BX$550,MATCH(W$2,'Slutlig allokering kvv'!$B$1:$BX$1,0),FALSE)/1,0))</f>
        <v/>
      </c>
      <c r="X27" s="31" t="str">
        <f>IF($D27="","",IFERROR(VLOOKUP($B27,Kraftvärmeprod!$B$1:$BX$550,MATCH(X$2,Kraftvärmeprod!$B$1:$VX$1,0),FALSE)/1,0)-IFERROR(VLOOKUP($B27,'Slutlig allokering kvv'!$B$2:$BX$550,MATCH(X$2,'Slutlig allokering kvv'!$B$1:$BX$1,0),FALSE)/1,0))</f>
        <v/>
      </c>
      <c r="Y27" s="31" t="str">
        <f>IF($D27="","",IFERROR(VLOOKUP($B27,Kraftvärmeprod!$B$1:$BX$550,MATCH(Y$2,Kraftvärmeprod!$B$1:$VX$1,0),FALSE)/1,0)-IFERROR(VLOOKUP($B27,'Slutlig allokering kvv'!$B$2:$BX$550,MATCH(Y$2,'Slutlig allokering kvv'!$B$1:$BX$1,0),FALSE)/1,0))</f>
        <v/>
      </c>
      <c r="Z27" s="31" t="str">
        <f>IF($D27="","",IFERROR(VLOOKUP($B27,Kraftvärmeprod!$B$1:$BX$550,MATCH(Z$2,Kraftvärmeprod!$B$1:$VX$1,0),FALSE)/1,0)-IFERROR(VLOOKUP($B27,'Slutlig allokering kvv'!$B$2:$BX$550,MATCH(Z$2,'Slutlig allokering kvv'!$B$1:$BX$1,0),FALSE)/1,0))</f>
        <v/>
      </c>
      <c r="AA27" s="31" t="str">
        <f>IF($D27="","",IFERROR(VLOOKUP($B27,Kraftvärmeprod!$B$1:$BX$550,MATCH(AA$2,Kraftvärmeprod!$B$1:$VX$1,0),FALSE)/1,0)-IFERROR(VLOOKUP($B27,'Slutlig allokering kvv'!$B$2:$BX$550,MATCH(AA$2,'Slutlig allokering kvv'!$B$1:$BX$1,0),FALSE)/1,0))</f>
        <v/>
      </c>
      <c r="AB27" s="31" t="str">
        <f>IF($D27="","",IFERROR(VLOOKUP($B27,Kraftvärmeprod!$B$1:$BX$550,MATCH(AB$2,Kraftvärmeprod!$B$1:$VX$1,0),FALSE)/1,0)-IFERROR(VLOOKUP($B27,'Slutlig allokering kvv'!$B$2:$BX$550,MATCH(AB$2,'Slutlig allokering kvv'!$B$1:$BX$1,0),FALSE)/1,0))</f>
        <v/>
      </c>
      <c r="AC27" s="31" t="str">
        <f>IF($D27="","",IFERROR(VLOOKUP($B27,Kraftvärmeprod!$B$1:$BX$550,MATCH(AC$2,Kraftvärmeprod!$B$1:$VX$1,0),FALSE)/1,0)-IFERROR(VLOOKUP($B27,'Slutlig allokering kvv'!$B$2:$BX$550,MATCH(AC$2,'Slutlig allokering kvv'!$B$1:$BX$1,0),FALSE)/1,0))</f>
        <v/>
      </c>
      <c r="AD27" s="31" t="str">
        <f>IF($D27="","",IFERROR(VLOOKUP($B27,Kraftvärmeprod!$B$1:$BX$550,MATCH(AD$2,Kraftvärmeprod!$B$1:$VX$1,0),FALSE)/1,0)-IFERROR(VLOOKUP($B27,'Slutlig allokering kvv'!$B$2:$BX$550,MATCH(AD$2,'Slutlig allokering kvv'!$B$1:$BX$1,0),FALSE)/1,0))</f>
        <v/>
      </c>
      <c r="AE27" s="31" t="str">
        <f>IF($D27="","",IFERROR(VLOOKUP($B27,Miljö!$B$1:$E$550,MATCH("Hjälpel kraftvärme (GWh)",Miljö!$B$1:$E$1,0),FALSE)/1,0)-IFERROR(VLOOKUP($B27,'Slutlig allokering kvv'!$B$2:$BX$549,MATCH(AE$2,'Slutlig allokering kvv'!$B$1:$BX$1,0),FALSE)/1,0))</f>
        <v/>
      </c>
      <c r="AI27" s="39">
        <f t="shared" si="0"/>
        <v>0</v>
      </c>
      <c r="AK27" s="31">
        <f>IFERROR(VLOOKUP($B27,'Slutlig allokering kvv'!$B$2:$AX$549,MATCH("Summa slutlig allokerad tillförd energi (utan hjälpel och rökgaskondensering):",'Slutlig allokering kvv'!$B$1:$AX$1,0),FALSE)/1,"")</f>
        <v>0</v>
      </c>
      <c r="AM27" s="31" t="str">
        <f>IFERROR(1-VLOOKUP($B27,'Slutlig allokering kvv'!$B$2:$AX$549,MATCH("Andel av bränsle i kvv som allokerats till värme, exklusive rökgaskondensering och hjälpel",'Slutlig allokering kvv'!$B$1:$AX$1,0),FALSE),"")</f>
        <v/>
      </c>
      <c r="AO27" s="31" t="str">
        <f t="shared" si="1"/>
        <v/>
      </c>
      <c r="AP27" s="31" t="str">
        <f t="shared" si="2"/>
        <v/>
      </c>
      <c r="AR27" s="32" t="str">
        <f t="shared" si="3"/>
        <v/>
      </c>
    </row>
    <row r="28" spans="1:44" s="31" customFormat="1" x14ac:dyDescent="0.45">
      <c r="A28" s="31" t="s">
        <v>660</v>
      </c>
      <c r="B28" s="31" t="s">
        <v>662</v>
      </c>
      <c r="C28" s="31" t="str">
        <f>IFERROR(VLOOKUP($B28,Kraftvärmeprod!$B$1:$AH$479,MATCH(C$2,Kraftvärmeprod!$B$1:$AG$1,0),FALSE)/1,"")</f>
        <v/>
      </c>
      <c r="D28" s="31" t="str">
        <f>IFERROR(VLOOKUP($B28,Kraftvärmeprod!$B$1:$AH$479,MATCH(D$2,Kraftvärmeprod!$B$1:$AG$1,0),FALSE)/1,"")</f>
        <v/>
      </c>
      <c r="F28" s="31" t="str">
        <f>IF($D28="","",IFERROR(VLOOKUP($B28,Kraftvärmeprod!$B$1:$BX$550,MATCH(F$2,Kraftvärmeprod!$B$1:$VX$1,0),FALSE)/1,0)-IFERROR(VLOOKUP($B28,'Slutlig allokering kvv'!$B$2:$BX$550,MATCH(F$2,'Slutlig allokering kvv'!$B$1:$BX$1,0),FALSE)/1,0))</f>
        <v/>
      </c>
      <c r="G28" s="31" t="str">
        <f>IF($D28="","",IFERROR(VLOOKUP($B28,Kraftvärmeprod!$B$1:$BX$550,MATCH(G$2,Kraftvärmeprod!$B$1:$VX$1,0),FALSE)/1,0)-IFERROR(VLOOKUP($B28,'Slutlig allokering kvv'!$B$2:$BX$550,MATCH(G$2,'Slutlig allokering kvv'!$B$1:$BX$1,0),FALSE)/1,0))</f>
        <v/>
      </c>
      <c r="H28" s="31" t="str">
        <f>IF($D28="","",IFERROR(VLOOKUP($B28,Kraftvärmeprod!$B$1:$BX$550,MATCH(H$2,Kraftvärmeprod!$B$1:$VX$1,0),FALSE)/1,0)-IFERROR(VLOOKUP($B28,'Slutlig allokering kvv'!$B$2:$BX$550,MATCH(H$2,'Slutlig allokering kvv'!$B$1:$BX$1,0),FALSE)/1,0))</f>
        <v/>
      </c>
      <c r="I28" s="31" t="str">
        <f>IF($D28="","",IFERROR(VLOOKUP($B28,Kraftvärmeprod!$B$1:$BX$550,MATCH(I$2,Kraftvärmeprod!$B$1:$VX$1,0),FALSE)/1,0)-IFERROR(VLOOKUP($B28,'Slutlig allokering kvv'!$B$2:$BX$550,MATCH(I$2,'Slutlig allokering kvv'!$B$1:$BX$1,0),FALSE)/1,0))</f>
        <v/>
      </c>
      <c r="J28" s="31" t="str">
        <f>IF($D28="","",IFERROR(VLOOKUP($B28,Kraftvärmeprod!$B$1:$BX$550,MATCH(J$2,Kraftvärmeprod!$B$1:$VX$1,0),FALSE)/1,0)-IFERROR(VLOOKUP($B28,'Slutlig allokering kvv'!$B$2:$BX$550,MATCH(J$2,'Slutlig allokering kvv'!$B$1:$BX$1,0),FALSE)/1,0))</f>
        <v/>
      </c>
      <c r="K28" s="31" t="str">
        <f>IF($D28="","",IFERROR(VLOOKUP($B28,Kraftvärmeprod!$B$1:$BX$550,MATCH(K$2,Kraftvärmeprod!$B$1:$VX$1,0),FALSE)/1,0)-IFERROR(VLOOKUP($B28,'Slutlig allokering kvv'!$B$2:$BX$550,MATCH(K$2,'Slutlig allokering kvv'!$B$1:$BX$1,0),FALSE)/1,0))</f>
        <v/>
      </c>
      <c r="L28" s="31" t="str">
        <f>IF($D28="","",IFERROR(VLOOKUP($B28,Kraftvärmeprod!$B$1:$BX$550,MATCH(L$2,Kraftvärmeprod!$B$1:$VX$1,0),FALSE)/1,0)-IFERROR(VLOOKUP($B28,'Slutlig allokering kvv'!$B$2:$BX$550,MATCH(L$2,'Slutlig allokering kvv'!$B$1:$BX$1,0),FALSE)/1,0))</f>
        <v/>
      </c>
      <c r="M28" s="31" t="str">
        <f>IF($D28="","",IFERROR(VLOOKUP($B28,Kraftvärmeprod!$B$1:$BX$550,MATCH(M$2,Kraftvärmeprod!$B$1:$VX$1,0),FALSE)/1,0)-IFERROR(VLOOKUP($B28,'Slutlig allokering kvv'!$B$2:$BX$550,MATCH(M$2,'Slutlig allokering kvv'!$B$1:$BX$1,0),FALSE)/1,0))</f>
        <v/>
      </c>
      <c r="N28" s="31" t="str">
        <f>IF($D28="","",IFERROR(VLOOKUP($B28,Kraftvärmeprod!$B$1:$BX$550,MATCH(N$2,Kraftvärmeprod!$B$1:$VX$1,0),FALSE)/1,0)-IFERROR(VLOOKUP($B28,'Slutlig allokering kvv'!$B$2:$BX$550,MATCH(N$2,'Slutlig allokering kvv'!$B$1:$BX$1,0),FALSE)/1,0))</f>
        <v/>
      </c>
      <c r="O28" s="31" t="str">
        <f>IF($D28="","",IFERROR(VLOOKUP($B28,Kraftvärmeprod!$B$1:$BX$550,MATCH(O$2,Kraftvärmeprod!$B$1:$VX$1,0),FALSE)/1,0)-IFERROR(VLOOKUP($B28,'Slutlig allokering kvv'!$B$2:$BX$550,MATCH(O$2,'Slutlig allokering kvv'!$B$1:$BX$1,0),FALSE)/1,0))</f>
        <v/>
      </c>
      <c r="P28" s="31" t="str">
        <f>IF($D28="","",IFERROR(VLOOKUP($B28,Kraftvärmeprod!$B$1:$BX$550,MATCH(P$2,Kraftvärmeprod!$B$1:$VX$1,0),FALSE)/1,0)-IFERROR(VLOOKUP($B28,'Slutlig allokering kvv'!$B$2:$BX$550,MATCH(P$2,'Slutlig allokering kvv'!$B$1:$BX$1,0),FALSE)/1,0))</f>
        <v/>
      </c>
      <c r="Q28" s="31" t="str">
        <f>IF($D28="","",IFERROR(VLOOKUP($B28,Kraftvärmeprod!$B$1:$BX$550,MATCH(Q$2,Kraftvärmeprod!$B$1:$VX$1,0),FALSE)/1,0)-IFERROR(VLOOKUP($B28,'Slutlig allokering kvv'!$B$2:$BX$550,MATCH(Q$2,'Slutlig allokering kvv'!$B$1:$BX$1,0),FALSE)/1,0))</f>
        <v/>
      </c>
      <c r="R28" s="31" t="str">
        <f>IF($D28="","",IFERROR(VLOOKUP($B28,Kraftvärmeprod!$B$1:$BX$550,MATCH(R$2,Kraftvärmeprod!$B$1:$VX$1,0),FALSE)/1,0)-IFERROR(VLOOKUP($B28,'Slutlig allokering kvv'!$B$2:$BX$550,MATCH(R$2,'Slutlig allokering kvv'!$B$1:$BX$1,0),FALSE)/1,0))</f>
        <v/>
      </c>
      <c r="S28" s="31" t="str">
        <f>IF($D28="","",IFERROR(VLOOKUP($B28,Kraftvärmeprod!$B$1:$BX$550,MATCH(S$2,Kraftvärmeprod!$B$1:$VX$1,0),FALSE)/1,0)-IFERROR(VLOOKUP($B28,'Slutlig allokering kvv'!$B$2:$BX$550,MATCH(S$2,'Slutlig allokering kvv'!$B$1:$BX$1,0),FALSE)/1,0))</f>
        <v/>
      </c>
      <c r="T28" s="31" t="str">
        <f>IF($D28="","",IFERROR(VLOOKUP($B28,Kraftvärmeprod!$B$1:$BX$550,MATCH(T$2,Kraftvärmeprod!$B$1:$VX$1,0),FALSE)/1,0)-IFERROR(VLOOKUP($B28,'Slutlig allokering kvv'!$B$2:$BX$550,MATCH(T$2,'Slutlig allokering kvv'!$B$1:$BX$1,0),FALSE)/1,0))</f>
        <v/>
      </c>
      <c r="U28" s="31" t="str">
        <f>IF($D28="","",IFERROR(VLOOKUP($B28,Kraftvärmeprod!$B$1:$BX$550,MATCH(U$2,Kraftvärmeprod!$B$1:$VX$1,0),FALSE)/1,0)-IFERROR(VLOOKUP($B28,'Slutlig allokering kvv'!$B$2:$BX$550,MATCH(U$2,'Slutlig allokering kvv'!$B$1:$BX$1,0),FALSE)/1,0))</f>
        <v/>
      </c>
      <c r="V28" s="31" t="str">
        <f>IF($D28="","",IFERROR(VLOOKUP($B28,Kraftvärmeprod!$B$1:$BX$550,MATCH(V$2,Kraftvärmeprod!$B$1:$VX$1,0),FALSE)/1,0)-IFERROR(VLOOKUP($B28,'Slutlig allokering kvv'!$B$2:$BX$550,MATCH(V$2,'Slutlig allokering kvv'!$B$1:$BX$1,0),FALSE)/1,0))</f>
        <v/>
      </c>
      <c r="W28" s="31" t="str">
        <f>IF($D28="","",IFERROR(VLOOKUP($B28,Kraftvärmeprod!$B$1:$BX$550,MATCH(W$2,Kraftvärmeprod!$B$1:$VX$1,0),FALSE)/1,0)-IFERROR(VLOOKUP($B28,'Slutlig allokering kvv'!$B$2:$BX$550,MATCH(W$2,'Slutlig allokering kvv'!$B$1:$BX$1,0),FALSE)/1,0))</f>
        <v/>
      </c>
      <c r="X28" s="31" t="str">
        <f>IF($D28="","",IFERROR(VLOOKUP($B28,Kraftvärmeprod!$B$1:$BX$550,MATCH(X$2,Kraftvärmeprod!$B$1:$VX$1,0),FALSE)/1,0)-IFERROR(VLOOKUP($B28,'Slutlig allokering kvv'!$B$2:$BX$550,MATCH(X$2,'Slutlig allokering kvv'!$B$1:$BX$1,0),FALSE)/1,0))</f>
        <v/>
      </c>
      <c r="Y28" s="31" t="str">
        <f>IF($D28="","",IFERROR(VLOOKUP($B28,Kraftvärmeprod!$B$1:$BX$550,MATCH(Y$2,Kraftvärmeprod!$B$1:$VX$1,0),FALSE)/1,0)-IFERROR(VLOOKUP($B28,'Slutlig allokering kvv'!$B$2:$BX$550,MATCH(Y$2,'Slutlig allokering kvv'!$B$1:$BX$1,0),FALSE)/1,0))</f>
        <v/>
      </c>
      <c r="Z28" s="31" t="str">
        <f>IF($D28="","",IFERROR(VLOOKUP($B28,Kraftvärmeprod!$B$1:$BX$550,MATCH(Z$2,Kraftvärmeprod!$B$1:$VX$1,0),FALSE)/1,0)-IFERROR(VLOOKUP($B28,'Slutlig allokering kvv'!$B$2:$BX$550,MATCH(Z$2,'Slutlig allokering kvv'!$B$1:$BX$1,0),FALSE)/1,0))</f>
        <v/>
      </c>
      <c r="AA28" s="31" t="str">
        <f>IF($D28="","",IFERROR(VLOOKUP($B28,Kraftvärmeprod!$B$1:$BX$550,MATCH(AA$2,Kraftvärmeprod!$B$1:$VX$1,0),FALSE)/1,0)-IFERROR(VLOOKUP($B28,'Slutlig allokering kvv'!$B$2:$BX$550,MATCH(AA$2,'Slutlig allokering kvv'!$B$1:$BX$1,0),FALSE)/1,0))</f>
        <v/>
      </c>
      <c r="AB28" s="31" t="str">
        <f>IF($D28="","",IFERROR(VLOOKUP($B28,Kraftvärmeprod!$B$1:$BX$550,MATCH(AB$2,Kraftvärmeprod!$B$1:$VX$1,0),FALSE)/1,0)-IFERROR(VLOOKUP($B28,'Slutlig allokering kvv'!$B$2:$BX$550,MATCH(AB$2,'Slutlig allokering kvv'!$B$1:$BX$1,0),FALSE)/1,0))</f>
        <v/>
      </c>
      <c r="AC28" s="31" t="str">
        <f>IF($D28="","",IFERROR(VLOOKUP($B28,Kraftvärmeprod!$B$1:$BX$550,MATCH(AC$2,Kraftvärmeprod!$B$1:$VX$1,0),FALSE)/1,0)-IFERROR(VLOOKUP($B28,'Slutlig allokering kvv'!$B$2:$BX$550,MATCH(AC$2,'Slutlig allokering kvv'!$B$1:$BX$1,0),FALSE)/1,0))</f>
        <v/>
      </c>
      <c r="AD28" s="31" t="str">
        <f>IF($D28="","",IFERROR(VLOOKUP($B28,Kraftvärmeprod!$B$1:$BX$550,MATCH(AD$2,Kraftvärmeprod!$B$1:$VX$1,0),FALSE)/1,0)-IFERROR(VLOOKUP($B28,'Slutlig allokering kvv'!$B$2:$BX$550,MATCH(AD$2,'Slutlig allokering kvv'!$B$1:$BX$1,0),FALSE)/1,0))</f>
        <v/>
      </c>
      <c r="AE28" s="31" t="str">
        <f>IF($D28="","",IFERROR(VLOOKUP($B28,Miljö!$B$1:$E$550,MATCH("Hjälpel kraftvärme (GWh)",Miljö!$B$1:$E$1,0),FALSE)/1,0)-IFERROR(VLOOKUP($B28,'Slutlig allokering kvv'!$B$2:$BX$549,MATCH(AE$2,'Slutlig allokering kvv'!$B$1:$BX$1,0),FALSE)/1,0))</f>
        <v/>
      </c>
      <c r="AI28" s="39">
        <f t="shared" si="0"/>
        <v>0</v>
      </c>
      <c r="AK28" s="31">
        <f>IFERROR(VLOOKUP($B28,'Slutlig allokering kvv'!$B$2:$AX$549,MATCH("Summa slutlig allokerad tillförd energi (utan hjälpel och rökgaskondensering):",'Slutlig allokering kvv'!$B$1:$AX$1,0),FALSE)/1,"")</f>
        <v>0</v>
      </c>
      <c r="AM28" s="31" t="str">
        <f>IFERROR(1-VLOOKUP($B28,'Slutlig allokering kvv'!$B$2:$AX$549,MATCH("Andel av bränsle i kvv som allokerats till värme, exklusive rökgaskondensering och hjälpel",'Slutlig allokering kvv'!$B$1:$AX$1,0),FALSE),"")</f>
        <v/>
      </c>
      <c r="AO28" s="31" t="str">
        <f t="shared" si="1"/>
        <v/>
      </c>
      <c r="AP28" s="31" t="str">
        <f t="shared" si="2"/>
        <v/>
      </c>
      <c r="AR28" s="32" t="str">
        <f t="shared" si="3"/>
        <v/>
      </c>
    </row>
    <row r="29" spans="1:44" s="31" customFormat="1" x14ac:dyDescent="0.45">
      <c r="A29" s="31" t="s">
        <v>660</v>
      </c>
      <c r="B29" s="31" t="s">
        <v>661</v>
      </c>
      <c r="C29" s="31" t="str">
        <f>IFERROR(VLOOKUP($B29,Kraftvärmeprod!$B$1:$AH$479,MATCH(C$2,Kraftvärmeprod!$B$1:$AG$1,0),FALSE)/1,"")</f>
        <v/>
      </c>
      <c r="D29" s="31" t="str">
        <f>IFERROR(VLOOKUP($B29,Kraftvärmeprod!$B$1:$AH$479,MATCH(D$2,Kraftvärmeprod!$B$1:$AG$1,0),FALSE)/1,"")</f>
        <v/>
      </c>
      <c r="F29" s="31" t="str">
        <f>IF($D29="","",IFERROR(VLOOKUP($B29,Kraftvärmeprod!$B$1:$BX$550,MATCH(F$2,Kraftvärmeprod!$B$1:$VX$1,0),FALSE)/1,0)-IFERROR(VLOOKUP($B29,'Slutlig allokering kvv'!$B$2:$BX$550,MATCH(F$2,'Slutlig allokering kvv'!$B$1:$BX$1,0),FALSE)/1,0))</f>
        <v/>
      </c>
      <c r="G29" s="31" t="str">
        <f>IF($D29="","",IFERROR(VLOOKUP($B29,Kraftvärmeprod!$B$1:$BX$550,MATCH(G$2,Kraftvärmeprod!$B$1:$VX$1,0),FALSE)/1,0)-IFERROR(VLOOKUP($B29,'Slutlig allokering kvv'!$B$2:$BX$550,MATCH(G$2,'Slutlig allokering kvv'!$B$1:$BX$1,0),FALSE)/1,0))</f>
        <v/>
      </c>
      <c r="H29" s="31" t="str">
        <f>IF($D29="","",IFERROR(VLOOKUP($B29,Kraftvärmeprod!$B$1:$BX$550,MATCH(H$2,Kraftvärmeprod!$B$1:$VX$1,0),FALSE)/1,0)-IFERROR(VLOOKUP($B29,'Slutlig allokering kvv'!$B$2:$BX$550,MATCH(H$2,'Slutlig allokering kvv'!$B$1:$BX$1,0),FALSE)/1,0))</f>
        <v/>
      </c>
      <c r="I29" s="31" t="str">
        <f>IF($D29="","",IFERROR(VLOOKUP($B29,Kraftvärmeprod!$B$1:$BX$550,MATCH(I$2,Kraftvärmeprod!$B$1:$VX$1,0),FALSE)/1,0)-IFERROR(VLOOKUP($B29,'Slutlig allokering kvv'!$B$2:$BX$550,MATCH(I$2,'Slutlig allokering kvv'!$B$1:$BX$1,0),FALSE)/1,0))</f>
        <v/>
      </c>
      <c r="J29" s="31" t="str">
        <f>IF($D29="","",IFERROR(VLOOKUP($B29,Kraftvärmeprod!$B$1:$BX$550,MATCH(J$2,Kraftvärmeprod!$B$1:$VX$1,0),FALSE)/1,0)-IFERROR(VLOOKUP($B29,'Slutlig allokering kvv'!$B$2:$BX$550,MATCH(J$2,'Slutlig allokering kvv'!$B$1:$BX$1,0),FALSE)/1,0))</f>
        <v/>
      </c>
      <c r="K29" s="31" t="str">
        <f>IF($D29="","",IFERROR(VLOOKUP($B29,Kraftvärmeprod!$B$1:$BX$550,MATCH(K$2,Kraftvärmeprod!$B$1:$VX$1,0),FALSE)/1,0)-IFERROR(VLOOKUP($B29,'Slutlig allokering kvv'!$B$2:$BX$550,MATCH(K$2,'Slutlig allokering kvv'!$B$1:$BX$1,0),FALSE)/1,0))</f>
        <v/>
      </c>
      <c r="L29" s="31" t="str">
        <f>IF($D29="","",IFERROR(VLOOKUP($B29,Kraftvärmeprod!$B$1:$BX$550,MATCH(L$2,Kraftvärmeprod!$B$1:$VX$1,0),FALSE)/1,0)-IFERROR(VLOOKUP($B29,'Slutlig allokering kvv'!$B$2:$BX$550,MATCH(L$2,'Slutlig allokering kvv'!$B$1:$BX$1,0),FALSE)/1,0))</f>
        <v/>
      </c>
      <c r="M29" s="31" t="str">
        <f>IF($D29="","",IFERROR(VLOOKUP($B29,Kraftvärmeprod!$B$1:$BX$550,MATCH(M$2,Kraftvärmeprod!$B$1:$VX$1,0),FALSE)/1,0)-IFERROR(VLOOKUP($B29,'Slutlig allokering kvv'!$B$2:$BX$550,MATCH(M$2,'Slutlig allokering kvv'!$B$1:$BX$1,0),FALSE)/1,0))</f>
        <v/>
      </c>
      <c r="N29" s="31" t="str">
        <f>IF($D29="","",IFERROR(VLOOKUP($B29,Kraftvärmeprod!$B$1:$BX$550,MATCH(N$2,Kraftvärmeprod!$B$1:$VX$1,0),FALSE)/1,0)-IFERROR(VLOOKUP($B29,'Slutlig allokering kvv'!$B$2:$BX$550,MATCH(N$2,'Slutlig allokering kvv'!$B$1:$BX$1,0),FALSE)/1,0))</f>
        <v/>
      </c>
      <c r="O29" s="31" t="str">
        <f>IF($D29="","",IFERROR(VLOOKUP($B29,Kraftvärmeprod!$B$1:$BX$550,MATCH(O$2,Kraftvärmeprod!$B$1:$VX$1,0),FALSE)/1,0)-IFERROR(VLOOKUP($B29,'Slutlig allokering kvv'!$B$2:$BX$550,MATCH(O$2,'Slutlig allokering kvv'!$B$1:$BX$1,0),FALSE)/1,0))</f>
        <v/>
      </c>
      <c r="P29" s="31" t="str">
        <f>IF($D29="","",IFERROR(VLOOKUP($B29,Kraftvärmeprod!$B$1:$BX$550,MATCH(P$2,Kraftvärmeprod!$B$1:$VX$1,0),FALSE)/1,0)-IFERROR(VLOOKUP($B29,'Slutlig allokering kvv'!$B$2:$BX$550,MATCH(P$2,'Slutlig allokering kvv'!$B$1:$BX$1,0),FALSE)/1,0))</f>
        <v/>
      </c>
      <c r="Q29" s="31" t="str">
        <f>IF($D29="","",IFERROR(VLOOKUP($B29,Kraftvärmeprod!$B$1:$BX$550,MATCH(Q$2,Kraftvärmeprod!$B$1:$VX$1,0),FALSE)/1,0)-IFERROR(VLOOKUP($B29,'Slutlig allokering kvv'!$B$2:$BX$550,MATCH(Q$2,'Slutlig allokering kvv'!$B$1:$BX$1,0),FALSE)/1,0))</f>
        <v/>
      </c>
      <c r="R29" s="31" t="str">
        <f>IF($D29="","",IFERROR(VLOOKUP($B29,Kraftvärmeprod!$B$1:$BX$550,MATCH(R$2,Kraftvärmeprod!$B$1:$VX$1,0),FALSE)/1,0)-IFERROR(VLOOKUP($B29,'Slutlig allokering kvv'!$B$2:$BX$550,MATCH(R$2,'Slutlig allokering kvv'!$B$1:$BX$1,0),FALSE)/1,0))</f>
        <v/>
      </c>
      <c r="S29" s="31" t="str">
        <f>IF($D29="","",IFERROR(VLOOKUP($B29,Kraftvärmeprod!$B$1:$BX$550,MATCH(S$2,Kraftvärmeprod!$B$1:$VX$1,0),FALSE)/1,0)-IFERROR(VLOOKUP($B29,'Slutlig allokering kvv'!$B$2:$BX$550,MATCH(S$2,'Slutlig allokering kvv'!$B$1:$BX$1,0),FALSE)/1,0))</f>
        <v/>
      </c>
      <c r="T29" s="31" t="str">
        <f>IF($D29="","",IFERROR(VLOOKUP($B29,Kraftvärmeprod!$B$1:$BX$550,MATCH(T$2,Kraftvärmeprod!$B$1:$VX$1,0),FALSE)/1,0)-IFERROR(VLOOKUP($B29,'Slutlig allokering kvv'!$B$2:$BX$550,MATCH(T$2,'Slutlig allokering kvv'!$B$1:$BX$1,0),FALSE)/1,0))</f>
        <v/>
      </c>
      <c r="U29" s="31" t="str">
        <f>IF($D29="","",IFERROR(VLOOKUP($B29,Kraftvärmeprod!$B$1:$BX$550,MATCH(U$2,Kraftvärmeprod!$B$1:$VX$1,0),FALSE)/1,0)-IFERROR(VLOOKUP($B29,'Slutlig allokering kvv'!$B$2:$BX$550,MATCH(U$2,'Slutlig allokering kvv'!$B$1:$BX$1,0),FALSE)/1,0))</f>
        <v/>
      </c>
      <c r="V29" s="31" t="str">
        <f>IF($D29="","",IFERROR(VLOOKUP($B29,Kraftvärmeprod!$B$1:$BX$550,MATCH(V$2,Kraftvärmeprod!$B$1:$VX$1,0),FALSE)/1,0)-IFERROR(VLOOKUP($B29,'Slutlig allokering kvv'!$B$2:$BX$550,MATCH(V$2,'Slutlig allokering kvv'!$B$1:$BX$1,0),FALSE)/1,0))</f>
        <v/>
      </c>
      <c r="W29" s="31" t="str">
        <f>IF($D29="","",IFERROR(VLOOKUP($B29,Kraftvärmeprod!$B$1:$BX$550,MATCH(W$2,Kraftvärmeprod!$B$1:$VX$1,0),FALSE)/1,0)-IFERROR(VLOOKUP($B29,'Slutlig allokering kvv'!$B$2:$BX$550,MATCH(W$2,'Slutlig allokering kvv'!$B$1:$BX$1,0),FALSE)/1,0))</f>
        <v/>
      </c>
      <c r="X29" s="31" t="str">
        <f>IF($D29="","",IFERROR(VLOOKUP($B29,Kraftvärmeprod!$B$1:$BX$550,MATCH(X$2,Kraftvärmeprod!$B$1:$VX$1,0),FALSE)/1,0)-IFERROR(VLOOKUP($B29,'Slutlig allokering kvv'!$B$2:$BX$550,MATCH(X$2,'Slutlig allokering kvv'!$B$1:$BX$1,0),FALSE)/1,0))</f>
        <v/>
      </c>
      <c r="Y29" s="31" t="str">
        <f>IF($D29="","",IFERROR(VLOOKUP($B29,Kraftvärmeprod!$B$1:$BX$550,MATCH(Y$2,Kraftvärmeprod!$B$1:$VX$1,0),FALSE)/1,0)-IFERROR(VLOOKUP($B29,'Slutlig allokering kvv'!$B$2:$BX$550,MATCH(Y$2,'Slutlig allokering kvv'!$B$1:$BX$1,0),FALSE)/1,0))</f>
        <v/>
      </c>
      <c r="Z29" s="31" t="str">
        <f>IF($D29="","",IFERROR(VLOOKUP($B29,Kraftvärmeprod!$B$1:$BX$550,MATCH(Z$2,Kraftvärmeprod!$B$1:$VX$1,0),FALSE)/1,0)-IFERROR(VLOOKUP($B29,'Slutlig allokering kvv'!$B$2:$BX$550,MATCH(Z$2,'Slutlig allokering kvv'!$B$1:$BX$1,0),FALSE)/1,0))</f>
        <v/>
      </c>
      <c r="AA29" s="31" t="str">
        <f>IF($D29="","",IFERROR(VLOOKUP($B29,Kraftvärmeprod!$B$1:$BX$550,MATCH(AA$2,Kraftvärmeprod!$B$1:$VX$1,0),FALSE)/1,0)-IFERROR(VLOOKUP($B29,'Slutlig allokering kvv'!$B$2:$BX$550,MATCH(AA$2,'Slutlig allokering kvv'!$B$1:$BX$1,0),FALSE)/1,0))</f>
        <v/>
      </c>
      <c r="AB29" s="31" t="str">
        <f>IF($D29="","",IFERROR(VLOOKUP($B29,Kraftvärmeprod!$B$1:$BX$550,MATCH(AB$2,Kraftvärmeprod!$B$1:$VX$1,0),FALSE)/1,0)-IFERROR(VLOOKUP($B29,'Slutlig allokering kvv'!$B$2:$BX$550,MATCH(AB$2,'Slutlig allokering kvv'!$B$1:$BX$1,0),FALSE)/1,0))</f>
        <v/>
      </c>
      <c r="AC29" s="31" t="str">
        <f>IF($D29="","",IFERROR(VLOOKUP($B29,Kraftvärmeprod!$B$1:$BX$550,MATCH(AC$2,Kraftvärmeprod!$B$1:$VX$1,0),FALSE)/1,0)-IFERROR(VLOOKUP($B29,'Slutlig allokering kvv'!$B$2:$BX$550,MATCH(AC$2,'Slutlig allokering kvv'!$B$1:$BX$1,0),FALSE)/1,0))</f>
        <v/>
      </c>
      <c r="AD29" s="31" t="str">
        <f>IF($D29="","",IFERROR(VLOOKUP($B29,Kraftvärmeprod!$B$1:$BX$550,MATCH(AD$2,Kraftvärmeprod!$B$1:$VX$1,0),FALSE)/1,0)-IFERROR(VLOOKUP($B29,'Slutlig allokering kvv'!$B$2:$BX$550,MATCH(AD$2,'Slutlig allokering kvv'!$B$1:$BX$1,0),FALSE)/1,0))</f>
        <v/>
      </c>
      <c r="AE29" s="31" t="str">
        <f>IF($D29="","",IFERROR(VLOOKUP($B29,Miljö!$B$1:$E$550,MATCH("Hjälpel kraftvärme (GWh)",Miljö!$B$1:$E$1,0),FALSE)/1,0)-IFERROR(VLOOKUP($B29,'Slutlig allokering kvv'!$B$2:$BX$549,MATCH(AE$2,'Slutlig allokering kvv'!$B$1:$BX$1,0),FALSE)/1,0))</f>
        <v/>
      </c>
      <c r="AI29" s="39">
        <f t="shared" si="0"/>
        <v>0</v>
      </c>
      <c r="AK29" s="31">
        <f>IFERROR(VLOOKUP($B29,'Slutlig allokering kvv'!$B$2:$AX$549,MATCH("Summa slutlig allokerad tillförd energi (utan hjälpel och rökgaskondensering):",'Slutlig allokering kvv'!$B$1:$AX$1,0),FALSE)/1,"")</f>
        <v>0</v>
      </c>
      <c r="AM29" s="31" t="str">
        <f>IFERROR(1-VLOOKUP($B29,'Slutlig allokering kvv'!$B$2:$AX$549,MATCH("Andel av bränsle i kvv som allokerats till värme, exklusive rökgaskondensering och hjälpel",'Slutlig allokering kvv'!$B$1:$AX$1,0),FALSE),"")</f>
        <v/>
      </c>
      <c r="AO29" s="31" t="str">
        <f t="shared" si="1"/>
        <v/>
      </c>
      <c r="AP29" s="31" t="str">
        <f t="shared" si="2"/>
        <v/>
      </c>
      <c r="AR29" s="32" t="str">
        <f t="shared" si="3"/>
        <v/>
      </c>
    </row>
    <row r="30" spans="1:44" s="31" customFormat="1" x14ac:dyDescent="0.45">
      <c r="A30" s="31" t="s">
        <v>660</v>
      </c>
      <c r="B30" s="31" t="s">
        <v>659</v>
      </c>
      <c r="C30" s="31" t="str">
        <f>IFERROR(VLOOKUP($B30,Kraftvärmeprod!$B$1:$AH$479,MATCH(C$2,Kraftvärmeprod!$B$1:$AG$1,0),FALSE)/1,"")</f>
        <v/>
      </c>
      <c r="D30" s="31" t="str">
        <f>IFERROR(VLOOKUP($B30,Kraftvärmeprod!$B$1:$AH$479,MATCH(D$2,Kraftvärmeprod!$B$1:$AG$1,0),FALSE)/1,"")</f>
        <v/>
      </c>
      <c r="F30" s="31" t="str">
        <f>IF($D30="","",IFERROR(VLOOKUP($B30,Kraftvärmeprod!$B$1:$BX$550,MATCH(F$2,Kraftvärmeprod!$B$1:$VX$1,0),FALSE)/1,0)-IFERROR(VLOOKUP($B30,'Slutlig allokering kvv'!$B$2:$BX$550,MATCH(F$2,'Slutlig allokering kvv'!$B$1:$BX$1,0),FALSE)/1,0))</f>
        <v/>
      </c>
      <c r="G30" s="31" t="str">
        <f>IF($D30="","",IFERROR(VLOOKUP($B30,Kraftvärmeprod!$B$1:$BX$550,MATCH(G$2,Kraftvärmeprod!$B$1:$VX$1,0),FALSE)/1,0)-IFERROR(VLOOKUP($B30,'Slutlig allokering kvv'!$B$2:$BX$550,MATCH(G$2,'Slutlig allokering kvv'!$B$1:$BX$1,0),FALSE)/1,0))</f>
        <v/>
      </c>
      <c r="H30" s="31" t="str">
        <f>IF($D30="","",IFERROR(VLOOKUP($B30,Kraftvärmeprod!$B$1:$BX$550,MATCH(H$2,Kraftvärmeprod!$B$1:$VX$1,0),FALSE)/1,0)-IFERROR(VLOOKUP($B30,'Slutlig allokering kvv'!$B$2:$BX$550,MATCH(H$2,'Slutlig allokering kvv'!$B$1:$BX$1,0),FALSE)/1,0))</f>
        <v/>
      </c>
      <c r="I30" s="31" t="str">
        <f>IF($D30="","",IFERROR(VLOOKUP($B30,Kraftvärmeprod!$B$1:$BX$550,MATCH(I$2,Kraftvärmeprod!$B$1:$VX$1,0),FALSE)/1,0)-IFERROR(VLOOKUP($B30,'Slutlig allokering kvv'!$B$2:$BX$550,MATCH(I$2,'Slutlig allokering kvv'!$B$1:$BX$1,0),FALSE)/1,0))</f>
        <v/>
      </c>
      <c r="J30" s="31" t="str">
        <f>IF($D30="","",IFERROR(VLOOKUP($B30,Kraftvärmeprod!$B$1:$BX$550,MATCH(J$2,Kraftvärmeprod!$B$1:$VX$1,0),FALSE)/1,0)-IFERROR(VLOOKUP($B30,'Slutlig allokering kvv'!$B$2:$BX$550,MATCH(J$2,'Slutlig allokering kvv'!$B$1:$BX$1,0),FALSE)/1,0))</f>
        <v/>
      </c>
      <c r="K30" s="31" t="str">
        <f>IF($D30="","",IFERROR(VLOOKUP($B30,Kraftvärmeprod!$B$1:$BX$550,MATCH(K$2,Kraftvärmeprod!$B$1:$VX$1,0),FALSE)/1,0)-IFERROR(VLOOKUP($B30,'Slutlig allokering kvv'!$B$2:$BX$550,MATCH(K$2,'Slutlig allokering kvv'!$B$1:$BX$1,0),FALSE)/1,0))</f>
        <v/>
      </c>
      <c r="L30" s="31" t="str">
        <f>IF($D30="","",IFERROR(VLOOKUP($B30,Kraftvärmeprod!$B$1:$BX$550,MATCH(L$2,Kraftvärmeprod!$B$1:$VX$1,0),FALSE)/1,0)-IFERROR(VLOOKUP($B30,'Slutlig allokering kvv'!$B$2:$BX$550,MATCH(L$2,'Slutlig allokering kvv'!$B$1:$BX$1,0),FALSE)/1,0))</f>
        <v/>
      </c>
      <c r="M30" s="31" t="str">
        <f>IF($D30="","",IFERROR(VLOOKUP($B30,Kraftvärmeprod!$B$1:$BX$550,MATCH(M$2,Kraftvärmeprod!$B$1:$VX$1,0),FALSE)/1,0)-IFERROR(VLOOKUP($B30,'Slutlig allokering kvv'!$B$2:$BX$550,MATCH(M$2,'Slutlig allokering kvv'!$B$1:$BX$1,0),FALSE)/1,0))</f>
        <v/>
      </c>
      <c r="N30" s="31" t="str">
        <f>IF($D30="","",IFERROR(VLOOKUP($B30,Kraftvärmeprod!$B$1:$BX$550,MATCH(N$2,Kraftvärmeprod!$B$1:$VX$1,0),FALSE)/1,0)-IFERROR(VLOOKUP($B30,'Slutlig allokering kvv'!$B$2:$BX$550,MATCH(N$2,'Slutlig allokering kvv'!$B$1:$BX$1,0),FALSE)/1,0))</f>
        <v/>
      </c>
      <c r="O30" s="31" t="str">
        <f>IF($D30="","",IFERROR(VLOOKUP($B30,Kraftvärmeprod!$B$1:$BX$550,MATCH(O$2,Kraftvärmeprod!$B$1:$VX$1,0),FALSE)/1,0)-IFERROR(VLOOKUP($B30,'Slutlig allokering kvv'!$B$2:$BX$550,MATCH(O$2,'Slutlig allokering kvv'!$B$1:$BX$1,0),FALSE)/1,0))</f>
        <v/>
      </c>
      <c r="P30" s="31" t="str">
        <f>IF($D30="","",IFERROR(VLOOKUP($B30,Kraftvärmeprod!$B$1:$BX$550,MATCH(P$2,Kraftvärmeprod!$B$1:$VX$1,0),FALSE)/1,0)-IFERROR(VLOOKUP($B30,'Slutlig allokering kvv'!$B$2:$BX$550,MATCH(P$2,'Slutlig allokering kvv'!$B$1:$BX$1,0),FALSE)/1,0))</f>
        <v/>
      </c>
      <c r="Q30" s="31" t="str">
        <f>IF($D30="","",IFERROR(VLOOKUP($B30,Kraftvärmeprod!$B$1:$BX$550,MATCH(Q$2,Kraftvärmeprod!$B$1:$VX$1,0),FALSE)/1,0)-IFERROR(VLOOKUP($B30,'Slutlig allokering kvv'!$B$2:$BX$550,MATCH(Q$2,'Slutlig allokering kvv'!$B$1:$BX$1,0),FALSE)/1,0))</f>
        <v/>
      </c>
      <c r="R30" s="31" t="str">
        <f>IF($D30="","",IFERROR(VLOOKUP($B30,Kraftvärmeprod!$B$1:$BX$550,MATCH(R$2,Kraftvärmeprod!$B$1:$VX$1,0),FALSE)/1,0)-IFERROR(VLOOKUP($B30,'Slutlig allokering kvv'!$B$2:$BX$550,MATCH(R$2,'Slutlig allokering kvv'!$B$1:$BX$1,0),FALSE)/1,0))</f>
        <v/>
      </c>
      <c r="S30" s="31" t="str">
        <f>IF($D30="","",IFERROR(VLOOKUP($B30,Kraftvärmeprod!$B$1:$BX$550,MATCH(S$2,Kraftvärmeprod!$B$1:$VX$1,0),FALSE)/1,0)-IFERROR(VLOOKUP($B30,'Slutlig allokering kvv'!$B$2:$BX$550,MATCH(S$2,'Slutlig allokering kvv'!$B$1:$BX$1,0),FALSE)/1,0))</f>
        <v/>
      </c>
      <c r="T30" s="31" t="str">
        <f>IF($D30="","",IFERROR(VLOOKUP($B30,Kraftvärmeprod!$B$1:$BX$550,MATCH(T$2,Kraftvärmeprod!$B$1:$VX$1,0),FALSE)/1,0)-IFERROR(VLOOKUP($B30,'Slutlig allokering kvv'!$B$2:$BX$550,MATCH(T$2,'Slutlig allokering kvv'!$B$1:$BX$1,0),FALSE)/1,0))</f>
        <v/>
      </c>
      <c r="U30" s="31" t="str">
        <f>IF($D30="","",IFERROR(VLOOKUP($B30,Kraftvärmeprod!$B$1:$BX$550,MATCH(U$2,Kraftvärmeprod!$B$1:$VX$1,0),FALSE)/1,0)-IFERROR(VLOOKUP($B30,'Slutlig allokering kvv'!$B$2:$BX$550,MATCH(U$2,'Slutlig allokering kvv'!$B$1:$BX$1,0),FALSE)/1,0))</f>
        <v/>
      </c>
      <c r="V30" s="31" t="str">
        <f>IF($D30="","",IFERROR(VLOOKUP($B30,Kraftvärmeprod!$B$1:$BX$550,MATCH(V$2,Kraftvärmeprod!$B$1:$VX$1,0),FALSE)/1,0)-IFERROR(VLOOKUP($B30,'Slutlig allokering kvv'!$B$2:$BX$550,MATCH(V$2,'Slutlig allokering kvv'!$B$1:$BX$1,0),FALSE)/1,0))</f>
        <v/>
      </c>
      <c r="W30" s="31" t="str">
        <f>IF($D30="","",IFERROR(VLOOKUP($B30,Kraftvärmeprod!$B$1:$BX$550,MATCH(W$2,Kraftvärmeprod!$B$1:$VX$1,0),FALSE)/1,0)-IFERROR(VLOOKUP($B30,'Slutlig allokering kvv'!$B$2:$BX$550,MATCH(W$2,'Slutlig allokering kvv'!$B$1:$BX$1,0),FALSE)/1,0))</f>
        <v/>
      </c>
      <c r="X30" s="31" t="str">
        <f>IF($D30="","",IFERROR(VLOOKUP($B30,Kraftvärmeprod!$B$1:$BX$550,MATCH(X$2,Kraftvärmeprod!$B$1:$VX$1,0),FALSE)/1,0)-IFERROR(VLOOKUP($B30,'Slutlig allokering kvv'!$B$2:$BX$550,MATCH(X$2,'Slutlig allokering kvv'!$B$1:$BX$1,0),FALSE)/1,0))</f>
        <v/>
      </c>
      <c r="Y30" s="31" t="str">
        <f>IF($D30="","",IFERROR(VLOOKUP($B30,Kraftvärmeprod!$B$1:$BX$550,MATCH(Y$2,Kraftvärmeprod!$B$1:$VX$1,0),FALSE)/1,0)-IFERROR(VLOOKUP($B30,'Slutlig allokering kvv'!$B$2:$BX$550,MATCH(Y$2,'Slutlig allokering kvv'!$B$1:$BX$1,0),FALSE)/1,0))</f>
        <v/>
      </c>
      <c r="Z30" s="31" t="str">
        <f>IF($D30="","",IFERROR(VLOOKUP($B30,Kraftvärmeprod!$B$1:$BX$550,MATCH(Z$2,Kraftvärmeprod!$B$1:$VX$1,0),FALSE)/1,0)-IFERROR(VLOOKUP($B30,'Slutlig allokering kvv'!$B$2:$BX$550,MATCH(Z$2,'Slutlig allokering kvv'!$B$1:$BX$1,0),FALSE)/1,0))</f>
        <v/>
      </c>
      <c r="AA30" s="31" t="str">
        <f>IF($D30="","",IFERROR(VLOOKUP($B30,Kraftvärmeprod!$B$1:$BX$550,MATCH(AA$2,Kraftvärmeprod!$B$1:$VX$1,0),FALSE)/1,0)-IFERROR(VLOOKUP($B30,'Slutlig allokering kvv'!$B$2:$BX$550,MATCH(AA$2,'Slutlig allokering kvv'!$B$1:$BX$1,0),FALSE)/1,0))</f>
        <v/>
      </c>
      <c r="AB30" s="31" t="str">
        <f>IF($D30="","",IFERROR(VLOOKUP($B30,Kraftvärmeprod!$B$1:$BX$550,MATCH(AB$2,Kraftvärmeprod!$B$1:$VX$1,0),FALSE)/1,0)-IFERROR(VLOOKUP($B30,'Slutlig allokering kvv'!$B$2:$BX$550,MATCH(AB$2,'Slutlig allokering kvv'!$B$1:$BX$1,0),FALSE)/1,0))</f>
        <v/>
      </c>
      <c r="AC30" s="31" t="str">
        <f>IF($D30="","",IFERROR(VLOOKUP($B30,Kraftvärmeprod!$B$1:$BX$550,MATCH(AC$2,Kraftvärmeprod!$B$1:$VX$1,0),FALSE)/1,0)-IFERROR(VLOOKUP($B30,'Slutlig allokering kvv'!$B$2:$BX$550,MATCH(AC$2,'Slutlig allokering kvv'!$B$1:$BX$1,0),FALSE)/1,0))</f>
        <v/>
      </c>
      <c r="AD30" s="31" t="str">
        <f>IF($D30="","",IFERROR(VLOOKUP($B30,Kraftvärmeprod!$B$1:$BX$550,MATCH(AD$2,Kraftvärmeprod!$B$1:$VX$1,0),FALSE)/1,0)-IFERROR(VLOOKUP($B30,'Slutlig allokering kvv'!$B$2:$BX$550,MATCH(AD$2,'Slutlig allokering kvv'!$B$1:$BX$1,0),FALSE)/1,0))</f>
        <v/>
      </c>
      <c r="AE30" s="31" t="str">
        <f>IF($D30="","",IFERROR(VLOOKUP($B30,Miljö!$B$1:$E$550,MATCH("Hjälpel kraftvärme (GWh)",Miljö!$B$1:$E$1,0),FALSE)/1,0)-IFERROR(VLOOKUP($B30,'Slutlig allokering kvv'!$B$2:$BX$549,MATCH(AE$2,'Slutlig allokering kvv'!$B$1:$BX$1,0),FALSE)/1,0))</f>
        <v/>
      </c>
      <c r="AI30" s="39">
        <f t="shared" si="0"/>
        <v>0</v>
      </c>
      <c r="AK30" s="31">
        <f>IFERROR(VLOOKUP($B30,'Slutlig allokering kvv'!$B$2:$AX$549,MATCH("Summa slutlig allokerad tillförd energi (utan hjälpel och rökgaskondensering):",'Slutlig allokering kvv'!$B$1:$AX$1,0),FALSE)/1,"")</f>
        <v>0</v>
      </c>
      <c r="AM30" s="31" t="str">
        <f>IFERROR(1-VLOOKUP($B30,'Slutlig allokering kvv'!$B$2:$AX$549,MATCH("Andel av bränsle i kvv som allokerats till värme, exklusive rökgaskondensering och hjälpel",'Slutlig allokering kvv'!$B$1:$AX$1,0),FALSE),"")</f>
        <v/>
      </c>
      <c r="AO30" s="31" t="str">
        <f t="shared" si="1"/>
        <v/>
      </c>
      <c r="AP30" s="31" t="str">
        <f t="shared" si="2"/>
        <v/>
      </c>
      <c r="AR30" s="32" t="str">
        <f t="shared" si="3"/>
        <v/>
      </c>
    </row>
    <row r="31" spans="1:44" s="31" customFormat="1" x14ac:dyDescent="0.45">
      <c r="A31" s="31" t="s">
        <v>657</v>
      </c>
      <c r="B31" s="31" t="s">
        <v>656</v>
      </c>
      <c r="C31" s="31" t="str">
        <f>IFERROR(VLOOKUP($B31,Kraftvärmeprod!$B$1:$AH$479,MATCH(C$2,Kraftvärmeprod!$B$1:$AG$1,0),FALSE)/1,"")</f>
        <v/>
      </c>
      <c r="D31" s="31" t="str">
        <f>IFERROR(VLOOKUP($B31,Kraftvärmeprod!$B$1:$AH$479,MATCH(D$2,Kraftvärmeprod!$B$1:$AG$1,0),FALSE)/1,"")</f>
        <v/>
      </c>
      <c r="F31" s="31" t="str">
        <f>IF($D31="","",IFERROR(VLOOKUP($B31,Kraftvärmeprod!$B$1:$BX$550,MATCH(F$2,Kraftvärmeprod!$B$1:$VX$1,0),FALSE)/1,0)-IFERROR(VLOOKUP($B31,'Slutlig allokering kvv'!$B$2:$BX$550,MATCH(F$2,'Slutlig allokering kvv'!$B$1:$BX$1,0),FALSE)/1,0))</f>
        <v/>
      </c>
      <c r="G31" s="31" t="str">
        <f>IF($D31="","",IFERROR(VLOOKUP($B31,Kraftvärmeprod!$B$1:$BX$550,MATCH(G$2,Kraftvärmeprod!$B$1:$VX$1,0),FALSE)/1,0)-IFERROR(VLOOKUP($B31,'Slutlig allokering kvv'!$B$2:$BX$550,MATCH(G$2,'Slutlig allokering kvv'!$B$1:$BX$1,0),FALSE)/1,0))</f>
        <v/>
      </c>
      <c r="H31" s="31" t="str">
        <f>IF($D31="","",IFERROR(VLOOKUP($B31,Kraftvärmeprod!$B$1:$BX$550,MATCH(H$2,Kraftvärmeprod!$B$1:$VX$1,0),FALSE)/1,0)-IFERROR(VLOOKUP($B31,'Slutlig allokering kvv'!$B$2:$BX$550,MATCH(H$2,'Slutlig allokering kvv'!$B$1:$BX$1,0),FALSE)/1,0))</f>
        <v/>
      </c>
      <c r="I31" s="31" t="str">
        <f>IF($D31="","",IFERROR(VLOOKUP($B31,Kraftvärmeprod!$B$1:$BX$550,MATCH(I$2,Kraftvärmeprod!$B$1:$VX$1,0),FALSE)/1,0)-IFERROR(VLOOKUP($B31,'Slutlig allokering kvv'!$B$2:$BX$550,MATCH(I$2,'Slutlig allokering kvv'!$B$1:$BX$1,0),FALSE)/1,0))</f>
        <v/>
      </c>
      <c r="J31" s="31" t="str">
        <f>IF($D31="","",IFERROR(VLOOKUP($B31,Kraftvärmeprod!$B$1:$BX$550,MATCH(J$2,Kraftvärmeprod!$B$1:$VX$1,0),FALSE)/1,0)-IFERROR(VLOOKUP($B31,'Slutlig allokering kvv'!$B$2:$BX$550,MATCH(J$2,'Slutlig allokering kvv'!$B$1:$BX$1,0),FALSE)/1,0))</f>
        <v/>
      </c>
      <c r="K31" s="31" t="str">
        <f>IF($D31="","",IFERROR(VLOOKUP($B31,Kraftvärmeprod!$B$1:$BX$550,MATCH(K$2,Kraftvärmeprod!$B$1:$VX$1,0),FALSE)/1,0)-IFERROR(VLOOKUP($B31,'Slutlig allokering kvv'!$B$2:$BX$550,MATCH(K$2,'Slutlig allokering kvv'!$B$1:$BX$1,0),FALSE)/1,0))</f>
        <v/>
      </c>
      <c r="L31" s="31" t="str">
        <f>IF($D31="","",IFERROR(VLOOKUP($B31,Kraftvärmeprod!$B$1:$BX$550,MATCH(L$2,Kraftvärmeprod!$B$1:$VX$1,0),FALSE)/1,0)-IFERROR(VLOOKUP($B31,'Slutlig allokering kvv'!$B$2:$BX$550,MATCH(L$2,'Slutlig allokering kvv'!$B$1:$BX$1,0),FALSE)/1,0))</f>
        <v/>
      </c>
      <c r="M31" s="31" t="str">
        <f>IF($D31="","",IFERROR(VLOOKUP($B31,Kraftvärmeprod!$B$1:$BX$550,MATCH(M$2,Kraftvärmeprod!$B$1:$VX$1,0),FALSE)/1,0)-IFERROR(VLOOKUP($B31,'Slutlig allokering kvv'!$B$2:$BX$550,MATCH(M$2,'Slutlig allokering kvv'!$B$1:$BX$1,0),FALSE)/1,0))</f>
        <v/>
      </c>
      <c r="N31" s="31" t="str">
        <f>IF($D31="","",IFERROR(VLOOKUP($B31,Kraftvärmeprod!$B$1:$BX$550,MATCH(N$2,Kraftvärmeprod!$B$1:$VX$1,0),FALSE)/1,0)-IFERROR(VLOOKUP($B31,'Slutlig allokering kvv'!$B$2:$BX$550,MATCH(N$2,'Slutlig allokering kvv'!$B$1:$BX$1,0),FALSE)/1,0))</f>
        <v/>
      </c>
      <c r="O31" s="31" t="str">
        <f>IF($D31="","",IFERROR(VLOOKUP($B31,Kraftvärmeprod!$B$1:$BX$550,MATCH(O$2,Kraftvärmeprod!$B$1:$VX$1,0),FALSE)/1,0)-IFERROR(VLOOKUP($B31,'Slutlig allokering kvv'!$B$2:$BX$550,MATCH(O$2,'Slutlig allokering kvv'!$B$1:$BX$1,0),FALSE)/1,0))</f>
        <v/>
      </c>
      <c r="P31" s="31" t="str">
        <f>IF($D31="","",IFERROR(VLOOKUP($B31,Kraftvärmeprod!$B$1:$BX$550,MATCH(P$2,Kraftvärmeprod!$B$1:$VX$1,0),FALSE)/1,0)-IFERROR(VLOOKUP($B31,'Slutlig allokering kvv'!$B$2:$BX$550,MATCH(P$2,'Slutlig allokering kvv'!$B$1:$BX$1,0),FALSE)/1,0))</f>
        <v/>
      </c>
      <c r="Q31" s="31" t="str">
        <f>IF($D31="","",IFERROR(VLOOKUP($B31,Kraftvärmeprod!$B$1:$BX$550,MATCH(Q$2,Kraftvärmeprod!$B$1:$VX$1,0),FALSE)/1,0)-IFERROR(VLOOKUP($B31,'Slutlig allokering kvv'!$B$2:$BX$550,MATCH(Q$2,'Slutlig allokering kvv'!$B$1:$BX$1,0),FALSE)/1,0))</f>
        <v/>
      </c>
      <c r="R31" s="31" t="str">
        <f>IF($D31="","",IFERROR(VLOOKUP($B31,Kraftvärmeprod!$B$1:$BX$550,MATCH(R$2,Kraftvärmeprod!$B$1:$VX$1,0),FALSE)/1,0)-IFERROR(VLOOKUP($B31,'Slutlig allokering kvv'!$B$2:$BX$550,MATCH(R$2,'Slutlig allokering kvv'!$B$1:$BX$1,0),FALSE)/1,0))</f>
        <v/>
      </c>
      <c r="S31" s="31" t="str">
        <f>IF($D31="","",IFERROR(VLOOKUP($B31,Kraftvärmeprod!$B$1:$BX$550,MATCH(S$2,Kraftvärmeprod!$B$1:$VX$1,0),FALSE)/1,0)-IFERROR(VLOOKUP($B31,'Slutlig allokering kvv'!$B$2:$BX$550,MATCH(S$2,'Slutlig allokering kvv'!$B$1:$BX$1,0),FALSE)/1,0))</f>
        <v/>
      </c>
      <c r="T31" s="31" t="str">
        <f>IF($D31="","",IFERROR(VLOOKUP($B31,Kraftvärmeprod!$B$1:$BX$550,MATCH(T$2,Kraftvärmeprod!$B$1:$VX$1,0),FALSE)/1,0)-IFERROR(VLOOKUP($B31,'Slutlig allokering kvv'!$B$2:$BX$550,MATCH(T$2,'Slutlig allokering kvv'!$B$1:$BX$1,0),FALSE)/1,0))</f>
        <v/>
      </c>
      <c r="U31" s="31" t="str">
        <f>IF($D31="","",IFERROR(VLOOKUP($B31,Kraftvärmeprod!$B$1:$BX$550,MATCH(U$2,Kraftvärmeprod!$B$1:$VX$1,0),FALSE)/1,0)-IFERROR(VLOOKUP($B31,'Slutlig allokering kvv'!$B$2:$BX$550,MATCH(U$2,'Slutlig allokering kvv'!$B$1:$BX$1,0),FALSE)/1,0))</f>
        <v/>
      </c>
      <c r="V31" s="31" t="str">
        <f>IF($D31="","",IFERROR(VLOOKUP($B31,Kraftvärmeprod!$B$1:$BX$550,MATCH(V$2,Kraftvärmeprod!$B$1:$VX$1,0),FALSE)/1,0)-IFERROR(VLOOKUP($B31,'Slutlig allokering kvv'!$B$2:$BX$550,MATCH(V$2,'Slutlig allokering kvv'!$B$1:$BX$1,0),FALSE)/1,0))</f>
        <v/>
      </c>
      <c r="W31" s="31" t="str">
        <f>IF($D31="","",IFERROR(VLOOKUP($B31,Kraftvärmeprod!$B$1:$BX$550,MATCH(W$2,Kraftvärmeprod!$B$1:$VX$1,0),FALSE)/1,0)-IFERROR(VLOOKUP($B31,'Slutlig allokering kvv'!$B$2:$BX$550,MATCH(W$2,'Slutlig allokering kvv'!$B$1:$BX$1,0),FALSE)/1,0))</f>
        <v/>
      </c>
      <c r="X31" s="31" t="str">
        <f>IF($D31="","",IFERROR(VLOOKUP($B31,Kraftvärmeprod!$B$1:$BX$550,MATCH(X$2,Kraftvärmeprod!$B$1:$VX$1,0),FALSE)/1,0)-IFERROR(VLOOKUP($B31,'Slutlig allokering kvv'!$B$2:$BX$550,MATCH(X$2,'Slutlig allokering kvv'!$B$1:$BX$1,0),FALSE)/1,0))</f>
        <v/>
      </c>
      <c r="Y31" s="31" t="str">
        <f>IF($D31="","",IFERROR(VLOOKUP($B31,Kraftvärmeprod!$B$1:$BX$550,MATCH(Y$2,Kraftvärmeprod!$B$1:$VX$1,0),FALSE)/1,0)-IFERROR(VLOOKUP($B31,'Slutlig allokering kvv'!$B$2:$BX$550,MATCH(Y$2,'Slutlig allokering kvv'!$B$1:$BX$1,0),FALSE)/1,0))</f>
        <v/>
      </c>
      <c r="Z31" s="31" t="str">
        <f>IF($D31="","",IFERROR(VLOOKUP($B31,Kraftvärmeprod!$B$1:$BX$550,MATCH(Z$2,Kraftvärmeprod!$B$1:$VX$1,0),FALSE)/1,0)-IFERROR(VLOOKUP($B31,'Slutlig allokering kvv'!$B$2:$BX$550,MATCH(Z$2,'Slutlig allokering kvv'!$B$1:$BX$1,0),FALSE)/1,0))</f>
        <v/>
      </c>
      <c r="AA31" s="31" t="str">
        <f>IF($D31="","",IFERROR(VLOOKUP($B31,Kraftvärmeprod!$B$1:$BX$550,MATCH(AA$2,Kraftvärmeprod!$B$1:$VX$1,0),FALSE)/1,0)-IFERROR(VLOOKUP($B31,'Slutlig allokering kvv'!$B$2:$BX$550,MATCH(AA$2,'Slutlig allokering kvv'!$B$1:$BX$1,0),FALSE)/1,0))</f>
        <v/>
      </c>
      <c r="AB31" s="31" t="str">
        <f>IF($D31="","",IFERROR(VLOOKUP($B31,Kraftvärmeprod!$B$1:$BX$550,MATCH(AB$2,Kraftvärmeprod!$B$1:$VX$1,0),FALSE)/1,0)-IFERROR(VLOOKUP($B31,'Slutlig allokering kvv'!$B$2:$BX$550,MATCH(AB$2,'Slutlig allokering kvv'!$B$1:$BX$1,0),FALSE)/1,0))</f>
        <v/>
      </c>
      <c r="AC31" s="31" t="str">
        <f>IF($D31="","",IFERROR(VLOOKUP($B31,Kraftvärmeprod!$B$1:$BX$550,MATCH(AC$2,Kraftvärmeprod!$B$1:$VX$1,0),FALSE)/1,0)-IFERROR(VLOOKUP($B31,'Slutlig allokering kvv'!$B$2:$BX$550,MATCH(AC$2,'Slutlig allokering kvv'!$B$1:$BX$1,0),FALSE)/1,0))</f>
        <v/>
      </c>
      <c r="AD31" s="31" t="str">
        <f>IF($D31="","",IFERROR(VLOOKUP($B31,Kraftvärmeprod!$B$1:$BX$550,MATCH(AD$2,Kraftvärmeprod!$B$1:$VX$1,0),FALSE)/1,0)-IFERROR(VLOOKUP($B31,'Slutlig allokering kvv'!$B$2:$BX$550,MATCH(AD$2,'Slutlig allokering kvv'!$B$1:$BX$1,0),FALSE)/1,0))</f>
        <v/>
      </c>
      <c r="AE31" s="31" t="str">
        <f>IF($D31="","",IFERROR(VLOOKUP($B31,Miljö!$B$1:$E$550,MATCH("Hjälpel kraftvärme (GWh)",Miljö!$B$1:$E$1,0),FALSE)/1,0)-IFERROR(VLOOKUP($B31,'Slutlig allokering kvv'!$B$2:$BX$549,MATCH(AE$2,'Slutlig allokering kvv'!$B$1:$BX$1,0),FALSE)/1,0))</f>
        <v/>
      </c>
      <c r="AI31" s="39">
        <f t="shared" si="0"/>
        <v>0</v>
      </c>
      <c r="AK31" s="31">
        <f>IFERROR(VLOOKUP($B31,'Slutlig allokering kvv'!$B$2:$AX$549,MATCH("Summa slutlig allokerad tillförd energi (utan hjälpel och rökgaskondensering):",'Slutlig allokering kvv'!$B$1:$AX$1,0),FALSE)/1,"")</f>
        <v>0</v>
      </c>
      <c r="AM31" s="31" t="str">
        <f>IFERROR(1-VLOOKUP($B31,'Slutlig allokering kvv'!$B$2:$AX$549,MATCH("Andel av bränsle i kvv som allokerats till värme, exklusive rökgaskondensering och hjälpel",'Slutlig allokering kvv'!$B$1:$AX$1,0),FALSE),"")</f>
        <v/>
      </c>
      <c r="AO31" s="31" t="str">
        <f t="shared" si="1"/>
        <v/>
      </c>
      <c r="AP31" s="31" t="str">
        <f t="shared" si="2"/>
        <v/>
      </c>
      <c r="AR31" s="32" t="str">
        <f t="shared" si="3"/>
        <v/>
      </c>
    </row>
    <row r="32" spans="1:44" s="31" customFormat="1" x14ac:dyDescent="0.45">
      <c r="A32" s="31" t="s">
        <v>53</v>
      </c>
      <c r="B32" s="31" t="s">
        <v>54</v>
      </c>
      <c r="C32" s="31" t="str">
        <f>IFERROR(VLOOKUP($B32,Kraftvärmeprod!$B$1:$AH$479,MATCH(C$2,Kraftvärmeprod!$B$1:$AG$1,0),FALSE)/1,"")</f>
        <v/>
      </c>
      <c r="D32" s="31" t="str">
        <f>IFERROR(VLOOKUP($B32,Kraftvärmeprod!$B$1:$AH$479,MATCH(D$2,Kraftvärmeprod!$B$1:$AG$1,0),FALSE)/1,"")</f>
        <v/>
      </c>
      <c r="F32" s="31" t="str">
        <f>IF($D32="","",IFERROR(VLOOKUP($B32,Kraftvärmeprod!$B$1:$BX$550,MATCH(F$2,Kraftvärmeprod!$B$1:$VX$1,0),FALSE)/1,0)-IFERROR(VLOOKUP($B32,'Slutlig allokering kvv'!$B$2:$BX$550,MATCH(F$2,'Slutlig allokering kvv'!$B$1:$BX$1,0),FALSE)/1,0))</f>
        <v/>
      </c>
      <c r="G32" s="31" t="str">
        <f>IF($D32="","",IFERROR(VLOOKUP($B32,Kraftvärmeprod!$B$1:$BX$550,MATCH(G$2,Kraftvärmeprod!$B$1:$VX$1,0),FALSE)/1,0)-IFERROR(VLOOKUP($B32,'Slutlig allokering kvv'!$B$2:$BX$550,MATCH(G$2,'Slutlig allokering kvv'!$B$1:$BX$1,0),FALSE)/1,0))</f>
        <v/>
      </c>
      <c r="H32" s="31" t="str">
        <f>IF($D32="","",IFERROR(VLOOKUP($B32,Kraftvärmeprod!$B$1:$BX$550,MATCH(H$2,Kraftvärmeprod!$B$1:$VX$1,0),FALSE)/1,0)-IFERROR(VLOOKUP($B32,'Slutlig allokering kvv'!$B$2:$BX$550,MATCH(H$2,'Slutlig allokering kvv'!$B$1:$BX$1,0),FALSE)/1,0))</f>
        <v/>
      </c>
      <c r="I32" s="31" t="str">
        <f>IF($D32="","",IFERROR(VLOOKUP($B32,Kraftvärmeprod!$B$1:$BX$550,MATCH(I$2,Kraftvärmeprod!$B$1:$VX$1,0),FALSE)/1,0)-IFERROR(VLOOKUP($B32,'Slutlig allokering kvv'!$B$2:$BX$550,MATCH(I$2,'Slutlig allokering kvv'!$B$1:$BX$1,0),FALSE)/1,0))</f>
        <v/>
      </c>
      <c r="J32" s="31" t="str">
        <f>IF($D32="","",IFERROR(VLOOKUP($B32,Kraftvärmeprod!$B$1:$BX$550,MATCH(J$2,Kraftvärmeprod!$B$1:$VX$1,0),FALSE)/1,0)-IFERROR(VLOOKUP($B32,'Slutlig allokering kvv'!$B$2:$BX$550,MATCH(J$2,'Slutlig allokering kvv'!$B$1:$BX$1,0),FALSE)/1,0))</f>
        <v/>
      </c>
      <c r="K32" s="31" t="str">
        <f>IF($D32="","",IFERROR(VLOOKUP($B32,Kraftvärmeprod!$B$1:$BX$550,MATCH(K$2,Kraftvärmeprod!$B$1:$VX$1,0),FALSE)/1,0)-IFERROR(VLOOKUP($B32,'Slutlig allokering kvv'!$B$2:$BX$550,MATCH(K$2,'Slutlig allokering kvv'!$B$1:$BX$1,0),FALSE)/1,0))</f>
        <v/>
      </c>
      <c r="L32" s="31" t="str">
        <f>IF($D32="","",IFERROR(VLOOKUP($B32,Kraftvärmeprod!$B$1:$BX$550,MATCH(L$2,Kraftvärmeprod!$B$1:$VX$1,0),FALSE)/1,0)-IFERROR(VLOOKUP($B32,'Slutlig allokering kvv'!$B$2:$BX$550,MATCH(L$2,'Slutlig allokering kvv'!$B$1:$BX$1,0),FALSE)/1,0))</f>
        <v/>
      </c>
      <c r="M32" s="31" t="str">
        <f>IF($D32="","",IFERROR(VLOOKUP($B32,Kraftvärmeprod!$B$1:$BX$550,MATCH(M$2,Kraftvärmeprod!$B$1:$VX$1,0),FALSE)/1,0)-IFERROR(VLOOKUP($B32,'Slutlig allokering kvv'!$B$2:$BX$550,MATCH(M$2,'Slutlig allokering kvv'!$B$1:$BX$1,0),FALSE)/1,0))</f>
        <v/>
      </c>
      <c r="N32" s="31" t="str">
        <f>IF($D32="","",IFERROR(VLOOKUP($B32,Kraftvärmeprod!$B$1:$BX$550,MATCH(N$2,Kraftvärmeprod!$B$1:$VX$1,0),FALSE)/1,0)-IFERROR(VLOOKUP($B32,'Slutlig allokering kvv'!$B$2:$BX$550,MATCH(N$2,'Slutlig allokering kvv'!$B$1:$BX$1,0),FALSE)/1,0))</f>
        <v/>
      </c>
      <c r="O32" s="31" t="str">
        <f>IF($D32="","",IFERROR(VLOOKUP($B32,Kraftvärmeprod!$B$1:$BX$550,MATCH(O$2,Kraftvärmeprod!$B$1:$VX$1,0),FALSE)/1,0)-IFERROR(VLOOKUP($B32,'Slutlig allokering kvv'!$B$2:$BX$550,MATCH(O$2,'Slutlig allokering kvv'!$B$1:$BX$1,0),FALSE)/1,0))</f>
        <v/>
      </c>
      <c r="P32" s="31" t="str">
        <f>IF($D32="","",IFERROR(VLOOKUP($B32,Kraftvärmeprod!$B$1:$BX$550,MATCH(P$2,Kraftvärmeprod!$B$1:$VX$1,0),FALSE)/1,0)-IFERROR(VLOOKUP($B32,'Slutlig allokering kvv'!$B$2:$BX$550,MATCH(P$2,'Slutlig allokering kvv'!$B$1:$BX$1,0),FALSE)/1,0))</f>
        <v/>
      </c>
      <c r="Q32" s="31" t="str">
        <f>IF($D32="","",IFERROR(VLOOKUP($B32,Kraftvärmeprod!$B$1:$BX$550,MATCH(Q$2,Kraftvärmeprod!$B$1:$VX$1,0),FALSE)/1,0)-IFERROR(VLOOKUP($B32,'Slutlig allokering kvv'!$B$2:$BX$550,MATCH(Q$2,'Slutlig allokering kvv'!$B$1:$BX$1,0),FALSE)/1,0))</f>
        <v/>
      </c>
      <c r="R32" s="31" t="str">
        <f>IF($D32="","",IFERROR(VLOOKUP($B32,Kraftvärmeprod!$B$1:$BX$550,MATCH(R$2,Kraftvärmeprod!$B$1:$VX$1,0),FALSE)/1,0)-IFERROR(VLOOKUP($B32,'Slutlig allokering kvv'!$B$2:$BX$550,MATCH(R$2,'Slutlig allokering kvv'!$B$1:$BX$1,0),FALSE)/1,0))</f>
        <v/>
      </c>
      <c r="S32" s="31" t="str">
        <f>IF($D32="","",IFERROR(VLOOKUP($B32,Kraftvärmeprod!$B$1:$BX$550,MATCH(S$2,Kraftvärmeprod!$B$1:$VX$1,0),FALSE)/1,0)-IFERROR(VLOOKUP($B32,'Slutlig allokering kvv'!$B$2:$BX$550,MATCH(S$2,'Slutlig allokering kvv'!$B$1:$BX$1,0),FALSE)/1,0))</f>
        <v/>
      </c>
      <c r="T32" s="31" t="str">
        <f>IF($D32="","",IFERROR(VLOOKUP($B32,Kraftvärmeprod!$B$1:$BX$550,MATCH(T$2,Kraftvärmeprod!$B$1:$VX$1,0),FALSE)/1,0)-IFERROR(VLOOKUP($B32,'Slutlig allokering kvv'!$B$2:$BX$550,MATCH(T$2,'Slutlig allokering kvv'!$B$1:$BX$1,0),FALSE)/1,0))</f>
        <v/>
      </c>
      <c r="U32" s="31" t="str">
        <f>IF($D32="","",IFERROR(VLOOKUP($B32,Kraftvärmeprod!$B$1:$BX$550,MATCH(U$2,Kraftvärmeprod!$B$1:$VX$1,0),FALSE)/1,0)-IFERROR(VLOOKUP($B32,'Slutlig allokering kvv'!$B$2:$BX$550,MATCH(U$2,'Slutlig allokering kvv'!$B$1:$BX$1,0),FALSE)/1,0))</f>
        <v/>
      </c>
      <c r="V32" s="31" t="str">
        <f>IF($D32="","",IFERROR(VLOOKUP($B32,Kraftvärmeprod!$B$1:$BX$550,MATCH(V$2,Kraftvärmeprod!$B$1:$VX$1,0),FALSE)/1,0)-IFERROR(VLOOKUP($B32,'Slutlig allokering kvv'!$B$2:$BX$550,MATCH(V$2,'Slutlig allokering kvv'!$B$1:$BX$1,0),FALSE)/1,0))</f>
        <v/>
      </c>
      <c r="W32" s="31" t="str">
        <f>IF($D32="","",IFERROR(VLOOKUP($B32,Kraftvärmeprod!$B$1:$BX$550,MATCH(W$2,Kraftvärmeprod!$B$1:$VX$1,0),FALSE)/1,0)-IFERROR(VLOOKUP($B32,'Slutlig allokering kvv'!$B$2:$BX$550,MATCH(W$2,'Slutlig allokering kvv'!$B$1:$BX$1,0),FALSE)/1,0))</f>
        <v/>
      </c>
      <c r="X32" s="31" t="str">
        <f>IF($D32="","",IFERROR(VLOOKUP($B32,Kraftvärmeprod!$B$1:$BX$550,MATCH(X$2,Kraftvärmeprod!$B$1:$VX$1,0),FALSE)/1,0)-IFERROR(VLOOKUP($B32,'Slutlig allokering kvv'!$B$2:$BX$550,MATCH(X$2,'Slutlig allokering kvv'!$B$1:$BX$1,0),FALSE)/1,0))</f>
        <v/>
      </c>
      <c r="Y32" s="31" t="str">
        <f>IF($D32="","",IFERROR(VLOOKUP($B32,Kraftvärmeprod!$B$1:$BX$550,MATCH(Y$2,Kraftvärmeprod!$B$1:$VX$1,0),FALSE)/1,0)-IFERROR(VLOOKUP($B32,'Slutlig allokering kvv'!$B$2:$BX$550,MATCH(Y$2,'Slutlig allokering kvv'!$B$1:$BX$1,0),FALSE)/1,0))</f>
        <v/>
      </c>
      <c r="Z32" s="31" t="str">
        <f>IF($D32="","",IFERROR(VLOOKUP($B32,Kraftvärmeprod!$B$1:$BX$550,MATCH(Z$2,Kraftvärmeprod!$B$1:$VX$1,0),FALSE)/1,0)-IFERROR(VLOOKUP($B32,'Slutlig allokering kvv'!$B$2:$BX$550,MATCH(Z$2,'Slutlig allokering kvv'!$B$1:$BX$1,0),FALSE)/1,0))</f>
        <v/>
      </c>
      <c r="AA32" s="31" t="str">
        <f>IF($D32="","",IFERROR(VLOOKUP($B32,Kraftvärmeprod!$B$1:$BX$550,MATCH(AA$2,Kraftvärmeprod!$B$1:$VX$1,0),FALSE)/1,0)-IFERROR(VLOOKUP($B32,'Slutlig allokering kvv'!$B$2:$BX$550,MATCH(AA$2,'Slutlig allokering kvv'!$B$1:$BX$1,0),FALSE)/1,0))</f>
        <v/>
      </c>
      <c r="AB32" s="31" t="str">
        <f>IF($D32="","",IFERROR(VLOOKUP($B32,Kraftvärmeprod!$B$1:$BX$550,MATCH(AB$2,Kraftvärmeprod!$B$1:$VX$1,0),FALSE)/1,0)-IFERROR(VLOOKUP($B32,'Slutlig allokering kvv'!$B$2:$BX$550,MATCH(AB$2,'Slutlig allokering kvv'!$B$1:$BX$1,0),FALSE)/1,0))</f>
        <v/>
      </c>
      <c r="AC32" s="31" t="str">
        <f>IF($D32="","",IFERROR(VLOOKUP($B32,Kraftvärmeprod!$B$1:$BX$550,MATCH(AC$2,Kraftvärmeprod!$B$1:$VX$1,0),FALSE)/1,0)-IFERROR(VLOOKUP($B32,'Slutlig allokering kvv'!$B$2:$BX$550,MATCH(AC$2,'Slutlig allokering kvv'!$B$1:$BX$1,0),FALSE)/1,0))</f>
        <v/>
      </c>
      <c r="AD32" s="31" t="str">
        <f>IF($D32="","",IFERROR(VLOOKUP($B32,Kraftvärmeprod!$B$1:$BX$550,MATCH(AD$2,Kraftvärmeprod!$B$1:$VX$1,0),FALSE)/1,0)-IFERROR(VLOOKUP($B32,'Slutlig allokering kvv'!$B$2:$BX$550,MATCH(AD$2,'Slutlig allokering kvv'!$B$1:$BX$1,0),FALSE)/1,0))</f>
        <v/>
      </c>
      <c r="AE32" s="31" t="str">
        <f>IF($D32="","",IFERROR(VLOOKUP($B32,Miljö!$B$1:$E$550,MATCH("Hjälpel kraftvärme (GWh)",Miljö!$B$1:$E$1,0),FALSE)/1,0)-IFERROR(VLOOKUP($B32,'Slutlig allokering kvv'!$B$2:$BX$549,MATCH(AE$2,'Slutlig allokering kvv'!$B$1:$BX$1,0),FALSE)/1,0))</f>
        <v/>
      </c>
      <c r="AI32" s="39">
        <f t="shared" si="0"/>
        <v>0</v>
      </c>
      <c r="AK32" s="31">
        <f>IFERROR(VLOOKUP($B32,'Slutlig allokering kvv'!$B$2:$AX$549,MATCH("Summa slutlig allokerad tillförd energi (utan hjälpel och rökgaskondensering):",'Slutlig allokering kvv'!$B$1:$AX$1,0),FALSE)/1,"")</f>
        <v>0</v>
      </c>
      <c r="AM32" s="31" t="str">
        <f>IFERROR(1-VLOOKUP($B32,'Slutlig allokering kvv'!$B$2:$AX$549,MATCH("Andel av bränsle i kvv som allokerats till värme, exklusive rökgaskondensering och hjälpel",'Slutlig allokering kvv'!$B$1:$AX$1,0),FALSE),"")</f>
        <v/>
      </c>
      <c r="AO32" s="31" t="str">
        <f t="shared" si="1"/>
        <v/>
      </c>
      <c r="AP32" s="31" t="str">
        <f t="shared" si="2"/>
        <v/>
      </c>
      <c r="AR32" s="32" t="str">
        <f t="shared" si="3"/>
        <v/>
      </c>
    </row>
    <row r="33" spans="1:44" s="31" customFormat="1" x14ac:dyDescent="0.45">
      <c r="A33" s="31" t="s">
        <v>655</v>
      </c>
      <c r="B33" s="31" t="s">
        <v>654</v>
      </c>
      <c r="C33" s="31" t="str">
        <f>IFERROR(VLOOKUP($B33,Kraftvärmeprod!$B$1:$AH$479,MATCH(C$2,Kraftvärmeprod!$B$1:$AG$1,0),FALSE)/1,"")</f>
        <v/>
      </c>
      <c r="D33" s="31" t="str">
        <f>IFERROR(VLOOKUP($B33,Kraftvärmeprod!$B$1:$AH$479,MATCH(D$2,Kraftvärmeprod!$B$1:$AG$1,0),FALSE)/1,"")</f>
        <v/>
      </c>
      <c r="F33" s="31" t="str">
        <f>IF($D33="","",IFERROR(VLOOKUP($B33,Kraftvärmeprod!$B$1:$BX$550,MATCH(F$2,Kraftvärmeprod!$B$1:$VX$1,0),FALSE)/1,0)-IFERROR(VLOOKUP($B33,'Slutlig allokering kvv'!$B$2:$BX$550,MATCH(F$2,'Slutlig allokering kvv'!$B$1:$BX$1,0),FALSE)/1,0))</f>
        <v/>
      </c>
      <c r="G33" s="31" t="str">
        <f>IF($D33="","",IFERROR(VLOOKUP($B33,Kraftvärmeprod!$B$1:$BX$550,MATCH(G$2,Kraftvärmeprod!$B$1:$VX$1,0),FALSE)/1,0)-IFERROR(VLOOKUP($B33,'Slutlig allokering kvv'!$B$2:$BX$550,MATCH(G$2,'Slutlig allokering kvv'!$B$1:$BX$1,0),FALSE)/1,0))</f>
        <v/>
      </c>
      <c r="H33" s="31" t="str">
        <f>IF($D33="","",IFERROR(VLOOKUP($B33,Kraftvärmeprod!$B$1:$BX$550,MATCH(H$2,Kraftvärmeprod!$B$1:$VX$1,0),FALSE)/1,0)-IFERROR(VLOOKUP($B33,'Slutlig allokering kvv'!$B$2:$BX$550,MATCH(H$2,'Slutlig allokering kvv'!$B$1:$BX$1,0),FALSE)/1,0))</f>
        <v/>
      </c>
      <c r="I33" s="31" t="str">
        <f>IF($D33="","",IFERROR(VLOOKUP($B33,Kraftvärmeprod!$B$1:$BX$550,MATCH(I$2,Kraftvärmeprod!$B$1:$VX$1,0),FALSE)/1,0)-IFERROR(VLOOKUP($B33,'Slutlig allokering kvv'!$B$2:$BX$550,MATCH(I$2,'Slutlig allokering kvv'!$B$1:$BX$1,0),FALSE)/1,0))</f>
        <v/>
      </c>
      <c r="J33" s="31" t="str">
        <f>IF($D33="","",IFERROR(VLOOKUP($B33,Kraftvärmeprod!$B$1:$BX$550,MATCH(J$2,Kraftvärmeprod!$B$1:$VX$1,0),FALSE)/1,0)-IFERROR(VLOOKUP($B33,'Slutlig allokering kvv'!$B$2:$BX$550,MATCH(J$2,'Slutlig allokering kvv'!$B$1:$BX$1,0),FALSE)/1,0))</f>
        <v/>
      </c>
      <c r="K33" s="31" t="str">
        <f>IF($D33="","",IFERROR(VLOOKUP($B33,Kraftvärmeprod!$B$1:$BX$550,MATCH(K$2,Kraftvärmeprod!$B$1:$VX$1,0),FALSE)/1,0)-IFERROR(VLOOKUP($B33,'Slutlig allokering kvv'!$B$2:$BX$550,MATCH(K$2,'Slutlig allokering kvv'!$B$1:$BX$1,0),FALSE)/1,0))</f>
        <v/>
      </c>
      <c r="L33" s="31" t="str">
        <f>IF($D33="","",IFERROR(VLOOKUP($B33,Kraftvärmeprod!$B$1:$BX$550,MATCH(L$2,Kraftvärmeprod!$B$1:$VX$1,0),FALSE)/1,0)-IFERROR(VLOOKUP($B33,'Slutlig allokering kvv'!$B$2:$BX$550,MATCH(L$2,'Slutlig allokering kvv'!$B$1:$BX$1,0),FALSE)/1,0))</f>
        <v/>
      </c>
      <c r="M33" s="31" t="str">
        <f>IF($D33="","",IFERROR(VLOOKUP($B33,Kraftvärmeprod!$B$1:$BX$550,MATCH(M$2,Kraftvärmeprod!$B$1:$VX$1,0),FALSE)/1,0)-IFERROR(VLOOKUP($B33,'Slutlig allokering kvv'!$B$2:$BX$550,MATCH(M$2,'Slutlig allokering kvv'!$B$1:$BX$1,0),FALSE)/1,0))</f>
        <v/>
      </c>
      <c r="N33" s="31" t="str">
        <f>IF($D33="","",IFERROR(VLOOKUP($B33,Kraftvärmeprod!$B$1:$BX$550,MATCH(N$2,Kraftvärmeprod!$B$1:$VX$1,0),FALSE)/1,0)-IFERROR(VLOOKUP($B33,'Slutlig allokering kvv'!$B$2:$BX$550,MATCH(N$2,'Slutlig allokering kvv'!$B$1:$BX$1,0),FALSE)/1,0))</f>
        <v/>
      </c>
      <c r="O33" s="31" t="str">
        <f>IF($D33="","",IFERROR(VLOOKUP($B33,Kraftvärmeprod!$B$1:$BX$550,MATCH(O$2,Kraftvärmeprod!$B$1:$VX$1,0),FALSE)/1,0)-IFERROR(VLOOKUP($B33,'Slutlig allokering kvv'!$B$2:$BX$550,MATCH(O$2,'Slutlig allokering kvv'!$B$1:$BX$1,0),FALSE)/1,0))</f>
        <v/>
      </c>
      <c r="P33" s="31" t="str">
        <f>IF($D33="","",IFERROR(VLOOKUP($B33,Kraftvärmeprod!$B$1:$BX$550,MATCH(P$2,Kraftvärmeprod!$B$1:$VX$1,0),FALSE)/1,0)-IFERROR(VLOOKUP($B33,'Slutlig allokering kvv'!$B$2:$BX$550,MATCH(P$2,'Slutlig allokering kvv'!$B$1:$BX$1,0),FALSE)/1,0))</f>
        <v/>
      </c>
      <c r="Q33" s="31" t="str">
        <f>IF($D33="","",IFERROR(VLOOKUP($B33,Kraftvärmeprod!$B$1:$BX$550,MATCH(Q$2,Kraftvärmeprod!$B$1:$VX$1,0),FALSE)/1,0)-IFERROR(VLOOKUP($B33,'Slutlig allokering kvv'!$B$2:$BX$550,MATCH(Q$2,'Slutlig allokering kvv'!$B$1:$BX$1,0),FALSE)/1,0))</f>
        <v/>
      </c>
      <c r="R33" s="31" t="str">
        <f>IF($D33="","",IFERROR(VLOOKUP($B33,Kraftvärmeprod!$B$1:$BX$550,MATCH(R$2,Kraftvärmeprod!$B$1:$VX$1,0),FALSE)/1,0)-IFERROR(VLOOKUP($B33,'Slutlig allokering kvv'!$B$2:$BX$550,MATCH(R$2,'Slutlig allokering kvv'!$B$1:$BX$1,0),FALSE)/1,0))</f>
        <v/>
      </c>
      <c r="S33" s="31" t="str">
        <f>IF($D33="","",IFERROR(VLOOKUP($B33,Kraftvärmeprod!$B$1:$BX$550,MATCH(S$2,Kraftvärmeprod!$B$1:$VX$1,0),FALSE)/1,0)-IFERROR(VLOOKUP($B33,'Slutlig allokering kvv'!$B$2:$BX$550,MATCH(S$2,'Slutlig allokering kvv'!$B$1:$BX$1,0),FALSE)/1,0))</f>
        <v/>
      </c>
      <c r="T33" s="31" t="str">
        <f>IF($D33="","",IFERROR(VLOOKUP($B33,Kraftvärmeprod!$B$1:$BX$550,MATCH(T$2,Kraftvärmeprod!$B$1:$VX$1,0),FALSE)/1,0)-IFERROR(VLOOKUP($B33,'Slutlig allokering kvv'!$B$2:$BX$550,MATCH(T$2,'Slutlig allokering kvv'!$B$1:$BX$1,0),FALSE)/1,0))</f>
        <v/>
      </c>
      <c r="U33" s="31" t="str">
        <f>IF($D33="","",IFERROR(VLOOKUP($B33,Kraftvärmeprod!$B$1:$BX$550,MATCH(U$2,Kraftvärmeprod!$B$1:$VX$1,0),FALSE)/1,0)-IFERROR(VLOOKUP($B33,'Slutlig allokering kvv'!$B$2:$BX$550,MATCH(U$2,'Slutlig allokering kvv'!$B$1:$BX$1,0),FALSE)/1,0))</f>
        <v/>
      </c>
      <c r="V33" s="31" t="str">
        <f>IF($D33="","",IFERROR(VLOOKUP($B33,Kraftvärmeprod!$B$1:$BX$550,MATCH(V$2,Kraftvärmeprod!$B$1:$VX$1,0),FALSE)/1,0)-IFERROR(VLOOKUP($B33,'Slutlig allokering kvv'!$B$2:$BX$550,MATCH(V$2,'Slutlig allokering kvv'!$B$1:$BX$1,0),FALSE)/1,0))</f>
        <v/>
      </c>
      <c r="W33" s="31" t="str">
        <f>IF($D33="","",IFERROR(VLOOKUP($B33,Kraftvärmeprod!$B$1:$BX$550,MATCH(W$2,Kraftvärmeprod!$B$1:$VX$1,0),FALSE)/1,0)-IFERROR(VLOOKUP($B33,'Slutlig allokering kvv'!$B$2:$BX$550,MATCH(W$2,'Slutlig allokering kvv'!$B$1:$BX$1,0),FALSE)/1,0))</f>
        <v/>
      </c>
      <c r="X33" s="31" t="str">
        <f>IF($D33="","",IFERROR(VLOOKUP($B33,Kraftvärmeprod!$B$1:$BX$550,MATCH(X$2,Kraftvärmeprod!$B$1:$VX$1,0),FALSE)/1,0)-IFERROR(VLOOKUP($B33,'Slutlig allokering kvv'!$B$2:$BX$550,MATCH(X$2,'Slutlig allokering kvv'!$B$1:$BX$1,0),FALSE)/1,0))</f>
        <v/>
      </c>
      <c r="Y33" s="31" t="str">
        <f>IF($D33="","",IFERROR(VLOOKUP($B33,Kraftvärmeprod!$B$1:$BX$550,MATCH(Y$2,Kraftvärmeprod!$B$1:$VX$1,0),FALSE)/1,0)-IFERROR(VLOOKUP($B33,'Slutlig allokering kvv'!$B$2:$BX$550,MATCH(Y$2,'Slutlig allokering kvv'!$B$1:$BX$1,0),FALSE)/1,0))</f>
        <v/>
      </c>
      <c r="Z33" s="31" t="str">
        <f>IF($D33="","",IFERROR(VLOOKUP($B33,Kraftvärmeprod!$B$1:$BX$550,MATCH(Z$2,Kraftvärmeprod!$B$1:$VX$1,0),FALSE)/1,0)-IFERROR(VLOOKUP($B33,'Slutlig allokering kvv'!$B$2:$BX$550,MATCH(Z$2,'Slutlig allokering kvv'!$B$1:$BX$1,0),FALSE)/1,0))</f>
        <v/>
      </c>
      <c r="AA33" s="31" t="str">
        <f>IF($D33="","",IFERROR(VLOOKUP($B33,Kraftvärmeprod!$B$1:$BX$550,MATCH(AA$2,Kraftvärmeprod!$B$1:$VX$1,0),FALSE)/1,0)-IFERROR(VLOOKUP($B33,'Slutlig allokering kvv'!$B$2:$BX$550,MATCH(AA$2,'Slutlig allokering kvv'!$B$1:$BX$1,0),FALSE)/1,0))</f>
        <v/>
      </c>
      <c r="AB33" s="31" t="str">
        <f>IF($D33="","",IFERROR(VLOOKUP($B33,Kraftvärmeprod!$B$1:$BX$550,MATCH(AB$2,Kraftvärmeprod!$B$1:$VX$1,0),FALSE)/1,0)-IFERROR(VLOOKUP($B33,'Slutlig allokering kvv'!$B$2:$BX$550,MATCH(AB$2,'Slutlig allokering kvv'!$B$1:$BX$1,0),FALSE)/1,0))</f>
        <v/>
      </c>
      <c r="AC33" s="31" t="str">
        <f>IF($D33="","",IFERROR(VLOOKUP($B33,Kraftvärmeprod!$B$1:$BX$550,MATCH(AC$2,Kraftvärmeprod!$B$1:$VX$1,0),FALSE)/1,0)-IFERROR(VLOOKUP($B33,'Slutlig allokering kvv'!$B$2:$BX$550,MATCH(AC$2,'Slutlig allokering kvv'!$B$1:$BX$1,0),FALSE)/1,0))</f>
        <v/>
      </c>
      <c r="AD33" s="31" t="str">
        <f>IF($D33="","",IFERROR(VLOOKUP($B33,Kraftvärmeprod!$B$1:$BX$550,MATCH(AD$2,Kraftvärmeprod!$B$1:$VX$1,0),FALSE)/1,0)-IFERROR(VLOOKUP($B33,'Slutlig allokering kvv'!$B$2:$BX$550,MATCH(AD$2,'Slutlig allokering kvv'!$B$1:$BX$1,0),FALSE)/1,0))</f>
        <v/>
      </c>
      <c r="AE33" s="31" t="str">
        <f>IF($D33="","",IFERROR(VLOOKUP($B33,Miljö!$B$1:$E$550,MATCH("Hjälpel kraftvärme (GWh)",Miljö!$B$1:$E$1,0),FALSE)/1,0)-IFERROR(VLOOKUP($B33,'Slutlig allokering kvv'!$B$2:$BX$549,MATCH(AE$2,'Slutlig allokering kvv'!$B$1:$BX$1,0),FALSE)/1,0))</f>
        <v/>
      </c>
      <c r="AI33" s="39">
        <f t="shared" si="0"/>
        <v>0</v>
      </c>
      <c r="AK33" s="31">
        <f>IFERROR(VLOOKUP($B33,'Slutlig allokering kvv'!$B$2:$AX$549,MATCH("Summa slutlig allokerad tillförd energi (utan hjälpel och rökgaskondensering):",'Slutlig allokering kvv'!$B$1:$AX$1,0),FALSE)/1,"")</f>
        <v>0</v>
      </c>
      <c r="AM33" s="31" t="str">
        <f>IFERROR(1-VLOOKUP($B33,'Slutlig allokering kvv'!$B$2:$AX$549,MATCH("Andel av bränsle i kvv som allokerats till värme, exklusive rökgaskondensering och hjälpel",'Slutlig allokering kvv'!$B$1:$AX$1,0),FALSE),"")</f>
        <v/>
      </c>
      <c r="AO33" s="31" t="str">
        <f t="shared" si="1"/>
        <v/>
      </c>
      <c r="AP33" s="31" t="str">
        <f t="shared" si="2"/>
        <v/>
      </c>
      <c r="AR33" s="32" t="str">
        <f t="shared" si="3"/>
        <v/>
      </c>
    </row>
    <row r="34" spans="1:44" s="31" customFormat="1" x14ac:dyDescent="0.45">
      <c r="A34" s="31" t="s">
        <v>653</v>
      </c>
      <c r="B34" s="31" t="s">
        <v>652</v>
      </c>
      <c r="C34" s="31" t="str">
        <f>IFERROR(VLOOKUP($B34,Kraftvärmeprod!$B$1:$AH$479,MATCH(C$2,Kraftvärmeprod!$B$1:$AG$1,0),FALSE)/1,"")</f>
        <v/>
      </c>
      <c r="D34" s="31" t="str">
        <f>IFERROR(VLOOKUP($B34,Kraftvärmeprod!$B$1:$AH$479,MATCH(D$2,Kraftvärmeprod!$B$1:$AG$1,0),FALSE)/1,"")</f>
        <v/>
      </c>
      <c r="F34" s="31" t="str">
        <f>IF($D34="","",IFERROR(VLOOKUP($B34,Kraftvärmeprod!$B$1:$BX$550,MATCH(F$2,Kraftvärmeprod!$B$1:$VX$1,0),FALSE)/1,0)-IFERROR(VLOOKUP($B34,'Slutlig allokering kvv'!$B$2:$BX$550,MATCH(F$2,'Slutlig allokering kvv'!$B$1:$BX$1,0),FALSE)/1,0))</f>
        <v/>
      </c>
      <c r="G34" s="31" t="str">
        <f>IF($D34="","",IFERROR(VLOOKUP($B34,Kraftvärmeprod!$B$1:$BX$550,MATCH(G$2,Kraftvärmeprod!$B$1:$VX$1,0),FALSE)/1,0)-IFERROR(VLOOKUP($B34,'Slutlig allokering kvv'!$B$2:$BX$550,MATCH(G$2,'Slutlig allokering kvv'!$B$1:$BX$1,0),FALSE)/1,0))</f>
        <v/>
      </c>
      <c r="H34" s="31" t="str">
        <f>IF($D34="","",IFERROR(VLOOKUP($B34,Kraftvärmeprod!$B$1:$BX$550,MATCH(H$2,Kraftvärmeprod!$B$1:$VX$1,0),FALSE)/1,0)-IFERROR(VLOOKUP($B34,'Slutlig allokering kvv'!$B$2:$BX$550,MATCH(H$2,'Slutlig allokering kvv'!$B$1:$BX$1,0),FALSE)/1,0))</f>
        <v/>
      </c>
      <c r="I34" s="31" t="str">
        <f>IF($D34="","",IFERROR(VLOOKUP($B34,Kraftvärmeprod!$B$1:$BX$550,MATCH(I$2,Kraftvärmeprod!$B$1:$VX$1,0),FALSE)/1,0)-IFERROR(VLOOKUP($B34,'Slutlig allokering kvv'!$B$2:$BX$550,MATCH(I$2,'Slutlig allokering kvv'!$B$1:$BX$1,0),FALSE)/1,0))</f>
        <v/>
      </c>
      <c r="J34" s="31" t="str">
        <f>IF($D34="","",IFERROR(VLOOKUP($B34,Kraftvärmeprod!$B$1:$BX$550,MATCH(J$2,Kraftvärmeprod!$B$1:$VX$1,0),FALSE)/1,0)-IFERROR(VLOOKUP($B34,'Slutlig allokering kvv'!$B$2:$BX$550,MATCH(J$2,'Slutlig allokering kvv'!$B$1:$BX$1,0),FALSE)/1,0))</f>
        <v/>
      </c>
      <c r="K34" s="31" t="str">
        <f>IF($D34="","",IFERROR(VLOOKUP($B34,Kraftvärmeprod!$B$1:$BX$550,MATCH(K$2,Kraftvärmeprod!$B$1:$VX$1,0),FALSE)/1,0)-IFERROR(VLOOKUP($B34,'Slutlig allokering kvv'!$B$2:$BX$550,MATCH(K$2,'Slutlig allokering kvv'!$B$1:$BX$1,0),FALSE)/1,0))</f>
        <v/>
      </c>
      <c r="L34" s="31" t="str">
        <f>IF($D34="","",IFERROR(VLOOKUP($B34,Kraftvärmeprod!$B$1:$BX$550,MATCH(L$2,Kraftvärmeprod!$B$1:$VX$1,0),FALSE)/1,0)-IFERROR(VLOOKUP($B34,'Slutlig allokering kvv'!$B$2:$BX$550,MATCH(L$2,'Slutlig allokering kvv'!$B$1:$BX$1,0),FALSE)/1,0))</f>
        <v/>
      </c>
      <c r="M34" s="31" t="str">
        <f>IF($D34="","",IFERROR(VLOOKUP($B34,Kraftvärmeprod!$B$1:$BX$550,MATCH(M$2,Kraftvärmeprod!$B$1:$VX$1,0),FALSE)/1,0)-IFERROR(VLOOKUP($B34,'Slutlig allokering kvv'!$B$2:$BX$550,MATCH(M$2,'Slutlig allokering kvv'!$B$1:$BX$1,0),FALSE)/1,0))</f>
        <v/>
      </c>
      <c r="N34" s="31" t="str">
        <f>IF($D34="","",IFERROR(VLOOKUP($B34,Kraftvärmeprod!$B$1:$BX$550,MATCH(N$2,Kraftvärmeprod!$B$1:$VX$1,0),FALSE)/1,0)-IFERROR(VLOOKUP($B34,'Slutlig allokering kvv'!$B$2:$BX$550,MATCH(N$2,'Slutlig allokering kvv'!$B$1:$BX$1,0),FALSE)/1,0))</f>
        <v/>
      </c>
      <c r="O34" s="31" t="str">
        <f>IF($D34="","",IFERROR(VLOOKUP($B34,Kraftvärmeprod!$B$1:$BX$550,MATCH(O$2,Kraftvärmeprod!$B$1:$VX$1,0),FALSE)/1,0)-IFERROR(VLOOKUP($B34,'Slutlig allokering kvv'!$B$2:$BX$550,MATCH(O$2,'Slutlig allokering kvv'!$B$1:$BX$1,0),FALSE)/1,0))</f>
        <v/>
      </c>
      <c r="P34" s="31" t="str">
        <f>IF($D34="","",IFERROR(VLOOKUP($B34,Kraftvärmeprod!$B$1:$BX$550,MATCH(P$2,Kraftvärmeprod!$B$1:$VX$1,0),FALSE)/1,0)-IFERROR(VLOOKUP($B34,'Slutlig allokering kvv'!$B$2:$BX$550,MATCH(P$2,'Slutlig allokering kvv'!$B$1:$BX$1,0),FALSE)/1,0))</f>
        <v/>
      </c>
      <c r="Q34" s="31" t="str">
        <f>IF($D34="","",IFERROR(VLOOKUP($B34,Kraftvärmeprod!$B$1:$BX$550,MATCH(Q$2,Kraftvärmeprod!$B$1:$VX$1,0),FALSE)/1,0)-IFERROR(VLOOKUP($B34,'Slutlig allokering kvv'!$B$2:$BX$550,MATCH(Q$2,'Slutlig allokering kvv'!$B$1:$BX$1,0),FALSE)/1,0))</f>
        <v/>
      </c>
      <c r="R34" s="31" t="str">
        <f>IF($D34="","",IFERROR(VLOOKUP($B34,Kraftvärmeprod!$B$1:$BX$550,MATCH(R$2,Kraftvärmeprod!$B$1:$VX$1,0),FALSE)/1,0)-IFERROR(VLOOKUP($B34,'Slutlig allokering kvv'!$B$2:$BX$550,MATCH(R$2,'Slutlig allokering kvv'!$B$1:$BX$1,0),FALSE)/1,0))</f>
        <v/>
      </c>
      <c r="S34" s="31" t="str">
        <f>IF($D34="","",IFERROR(VLOOKUP($B34,Kraftvärmeprod!$B$1:$BX$550,MATCH(S$2,Kraftvärmeprod!$B$1:$VX$1,0),FALSE)/1,0)-IFERROR(VLOOKUP($B34,'Slutlig allokering kvv'!$B$2:$BX$550,MATCH(S$2,'Slutlig allokering kvv'!$B$1:$BX$1,0),FALSE)/1,0))</f>
        <v/>
      </c>
      <c r="T34" s="31" t="str">
        <f>IF($D34="","",IFERROR(VLOOKUP($B34,Kraftvärmeprod!$B$1:$BX$550,MATCH(T$2,Kraftvärmeprod!$B$1:$VX$1,0),FALSE)/1,0)-IFERROR(VLOOKUP($B34,'Slutlig allokering kvv'!$B$2:$BX$550,MATCH(T$2,'Slutlig allokering kvv'!$B$1:$BX$1,0),FALSE)/1,0))</f>
        <v/>
      </c>
      <c r="U34" s="31" t="str">
        <f>IF($D34="","",IFERROR(VLOOKUP($B34,Kraftvärmeprod!$B$1:$BX$550,MATCH(U$2,Kraftvärmeprod!$B$1:$VX$1,0),FALSE)/1,0)-IFERROR(VLOOKUP($B34,'Slutlig allokering kvv'!$B$2:$BX$550,MATCH(U$2,'Slutlig allokering kvv'!$B$1:$BX$1,0),FALSE)/1,0))</f>
        <v/>
      </c>
      <c r="V34" s="31" t="str">
        <f>IF($D34="","",IFERROR(VLOOKUP($B34,Kraftvärmeprod!$B$1:$BX$550,MATCH(V$2,Kraftvärmeprod!$B$1:$VX$1,0),FALSE)/1,0)-IFERROR(VLOOKUP($B34,'Slutlig allokering kvv'!$B$2:$BX$550,MATCH(V$2,'Slutlig allokering kvv'!$B$1:$BX$1,0),FALSE)/1,0))</f>
        <v/>
      </c>
      <c r="W34" s="31" t="str">
        <f>IF($D34="","",IFERROR(VLOOKUP($B34,Kraftvärmeprod!$B$1:$BX$550,MATCH(W$2,Kraftvärmeprod!$B$1:$VX$1,0),FALSE)/1,0)-IFERROR(VLOOKUP($B34,'Slutlig allokering kvv'!$B$2:$BX$550,MATCH(W$2,'Slutlig allokering kvv'!$B$1:$BX$1,0),FALSE)/1,0))</f>
        <v/>
      </c>
      <c r="X34" s="31" t="str">
        <f>IF($D34="","",IFERROR(VLOOKUP($B34,Kraftvärmeprod!$B$1:$BX$550,MATCH(X$2,Kraftvärmeprod!$B$1:$VX$1,0),FALSE)/1,0)-IFERROR(VLOOKUP($B34,'Slutlig allokering kvv'!$B$2:$BX$550,MATCH(X$2,'Slutlig allokering kvv'!$B$1:$BX$1,0),FALSE)/1,0))</f>
        <v/>
      </c>
      <c r="Y34" s="31" t="str">
        <f>IF($D34="","",IFERROR(VLOOKUP($B34,Kraftvärmeprod!$B$1:$BX$550,MATCH(Y$2,Kraftvärmeprod!$B$1:$VX$1,0),FALSE)/1,0)-IFERROR(VLOOKUP($B34,'Slutlig allokering kvv'!$B$2:$BX$550,MATCH(Y$2,'Slutlig allokering kvv'!$B$1:$BX$1,0),FALSE)/1,0))</f>
        <v/>
      </c>
      <c r="Z34" s="31" t="str">
        <f>IF($D34="","",IFERROR(VLOOKUP($B34,Kraftvärmeprod!$B$1:$BX$550,MATCH(Z$2,Kraftvärmeprod!$B$1:$VX$1,0),FALSE)/1,0)-IFERROR(VLOOKUP($B34,'Slutlig allokering kvv'!$B$2:$BX$550,MATCH(Z$2,'Slutlig allokering kvv'!$B$1:$BX$1,0),FALSE)/1,0))</f>
        <v/>
      </c>
      <c r="AA34" s="31" t="str">
        <f>IF($D34="","",IFERROR(VLOOKUP($B34,Kraftvärmeprod!$B$1:$BX$550,MATCH(AA$2,Kraftvärmeprod!$B$1:$VX$1,0),FALSE)/1,0)-IFERROR(VLOOKUP($B34,'Slutlig allokering kvv'!$B$2:$BX$550,MATCH(AA$2,'Slutlig allokering kvv'!$B$1:$BX$1,0),FALSE)/1,0))</f>
        <v/>
      </c>
      <c r="AB34" s="31" t="str">
        <f>IF($D34="","",IFERROR(VLOOKUP($B34,Kraftvärmeprod!$B$1:$BX$550,MATCH(AB$2,Kraftvärmeprod!$B$1:$VX$1,0),FALSE)/1,0)-IFERROR(VLOOKUP($B34,'Slutlig allokering kvv'!$B$2:$BX$550,MATCH(AB$2,'Slutlig allokering kvv'!$B$1:$BX$1,0),FALSE)/1,0))</f>
        <v/>
      </c>
      <c r="AC34" s="31" t="str">
        <f>IF($D34="","",IFERROR(VLOOKUP($B34,Kraftvärmeprod!$B$1:$BX$550,MATCH(AC$2,Kraftvärmeprod!$B$1:$VX$1,0),FALSE)/1,0)-IFERROR(VLOOKUP($B34,'Slutlig allokering kvv'!$B$2:$BX$550,MATCH(AC$2,'Slutlig allokering kvv'!$B$1:$BX$1,0),FALSE)/1,0))</f>
        <v/>
      </c>
      <c r="AD34" s="31" t="str">
        <f>IF($D34="","",IFERROR(VLOOKUP($B34,Kraftvärmeprod!$B$1:$BX$550,MATCH(AD$2,Kraftvärmeprod!$B$1:$VX$1,0),FALSE)/1,0)-IFERROR(VLOOKUP($B34,'Slutlig allokering kvv'!$B$2:$BX$550,MATCH(AD$2,'Slutlig allokering kvv'!$B$1:$BX$1,0),FALSE)/1,0))</f>
        <v/>
      </c>
      <c r="AE34" s="31" t="str">
        <f>IF($D34="","",IFERROR(VLOOKUP($B34,Miljö!$B$1:$E$550,MATCH("Hjälpel kraftvärme (GWh)",Miljö!$B$1:$E$1,0),FALSE)/1,0)-IFERROR(VLOOKUP($B34,'Slutlig allokering kvv'!$B$2:$BX$549,MATCH(AE$2,'Slutlig allokering kvv'!$B$1:$BX$1,0),FALSE)/1,0))</f>
        <v/>
      </c>
      <c r="AI34" s="39">
        <f t="shared" si="0"/>
        <v>0</v>
      </c>
      <c r="AK34" s="31">
        <f>IFERROR(VLOOKUP($B34,'Slutlig allokering kvv'!$B$2:$AX$549,MATCH("Summa slutlig allokerad tillförd energi (utan hjälpel och rökgaskondensering):",'Slutlig allokering kvv'!$B$1:$AX$1,0),FALSE)/1,"")</f>
        <v>0</v>
      </c>
      <c r="AM34" s="31" t="str">
        <f>IFERROR(1-VLOOKUP($B34,'Slutlig allokering kvv'!$B$2:$AX$549,MATCH("Andel av bränsle i kvv som allokerats till värme, exklusive rökgaskondensering och hjälpel",'Slutlig allokering kvv'!$B$1:$AX$1,0),FALSE),"")</f>
        <v/>
      </c>
      <c r="AO34" s="31" t="str">
        <f t="shared" si="1"/>
        <v/>
      </c>
      <c r="AP34" s="31" t="str">
        <f t="shared" si="2"/>
        <v/>
      </c>
      <c r="AR34" s="32" t="str">
        <f t="shared" si="3"/>
        <v/>
      </c>
    </row>
    <row r="35" spans="1:44" s="31" customFormat="1" x14ac:dyDescent="0.45">
      <c r="A35" s="31" t="s">
        <v>651</v>
      </c>
      <c r="B35" s="31" t="s">
        <v>62</v>
      </c>
      <c r="C35" s="31">
        <f>IFERROR(VLOOKUP($B35,Kraftvärmeprod!$B$1:$AH$479,MATCH(C$2,Kraftvärmeprod!$B$1:$AG$1,0),FALSE)/1,"")</f>
        <v>277</v>
      </c>
      <c r="D35" s="31">
        <f>IFERROR(VLOOKUP($B35,Kraftvärmeprod!$B$1:$AH$479,MATCH(D$2,Kraftvärmeprod!$B$1:$AG$1,0),FALSE)/1,"")</f>
        <v>55</v>
      </c>
      <c r="F35" s="31">
        <f>IF($D35="","",IFERROR(VLOOKUP($B35,Kraftvärmeprod!$B$1:$BX$550,MATCH(F$2,Kraftvärmeprod!$B$1:$VX$1,0),FALSE)/1,0)-IFERROR(VLOOKUP($B35,'Slutlig allokering kvv'!$B$2:$BX$550,MATCH(F$2,'Slutlig allokering kvv'!$B$1:$BX$1,0),FALSE)/1,0))</f>
        <v>0</v>
      </c>
      <c r="G35" s="31">
        <f>IF($D35="","",IFERROR(VLOOKUP($B35,Kraftvärmeprod!$B$1:$BX$550,MATCH(G$2,Kraftvärmeprod!$B$1:$VX$1,0),FALSE)/1,0)-IFERROR(VLOOKUP($B35,'Slutlig allokering kvv'!$B$2:$BX$550,MATCH(G$2,'Slutlig allokering kvv'!$B$1:$BX$1,0),FALSE)/1,0))</f>
        <v>0</v>
      </c>
      <c r="H35" s="31">
        <f>IF($D35="","",IFERROR(VLOOKUP($B35,Kraftvärmeprod!$B$1:$BX$550,MATCH(H$2,Kraftvärmeprod!$B$1:$VX$1,0),FALSE)/1,0)-IFERROR(VLOOKUP($B35,'Slutlig allokering kvv'!$B$2:$BX$550,MATCH(H$2,'Slutlig allokering kvv'!$B$1:$BX$1,0),FALSE)/1,0))</f>
        <v>0</v>
      </c>
      <c r="I35" s="31">
        <f>IF($D35="","",IFERROR(VLOOKUP($B35,Kraftvärmeprod!$B$1:$BX$550,MATCH(I$2,Kraftvärmeprod!$B$1:$VX$1,0),FALSE)/1,0)-IFERROR(VLOOKUP($B35,'Slutlig allokering kvv'!$B$2:$BX$550,MATCH(I$2,'Slutlig allokering kvv'!$B$1:$BX$1,0),FALSE)/1,0))</f>
        <v>0</v>
      </c>
      <c r="J35" s="31">
        <f>IF($D35="","",IFERROR(VLOOKUP($B35,Kraftvärmeprod!$B$1:$BX$550,MATCH(J$2,Kraftvärmeprod!$B$1:$VX$1,0),FALSE)/1,0)-IFERROR(VLOOKUP($B35,'Slutlig allokering kvv'!$B$2:$BX$550,MATCH(J$2,'Slutlig allokering kvv'!$B$1:$BX$1,0),FALSE)/1,0))</f>
        <v>0</v>
      </c>
      <c r="K35" s="31">
        <f>IF($D35="","",IFERROR(VLOOKUP($B35,Kraftvärmeprod!$B$1:$BX$550,MATCH(K$2,Kraftvärmeprod!$B$1:$VX$1,0),FALSE)/1,0)-IFERROR(VLOOKUP($B35,'Slutlig allokering kvv'!$B$2:$BX$550,MATCH(K$2,'Slutlig allokering kvv'!$B$1:$BX$1,0),FALSE)/1,0))</f>
        <v>0</v>
      </c>
      <c r="L35" s="31">
        <f>IF($D35="","",IFERROR(VLOOKUP($B35,Kraftvärmeprod!$B$1:$BX$550,MATCH(L$2,Kraftvärmeprod!$B$1:$VX$1,0),FALSE)/1,0)-IFERROR(VLOOKUP($B35,'Slutlig allokering kvv'!$B$2:$BX$550,MATCH(L$2,'Slutlig allokering kvv'!$B$1:$BX$1,0),FALSE)/1,0))</f>
        <v>0</v>
      </c>
      <c r="M35" s="31">
        <f>IF($D35="","",IFERROR(VLOOKUP($B35,Kraftvärmeprod!$B$1:$BX$550,MATCH(M$2,Kraftvärmeprod!$B$1:$VX$1,0),FALSE)/1,0)-IFERROR(VLOOKUP($B35,'Slutlig allokering kvv'!$B$2:$BX$550,MATCH(M$2,'Slutlig allokering kvv'!$B$1:$BX$1,0),FALSE)/1,0))</f>
        <v>0</v>
      </c>
      <c r="N35" s="31">
        <f>IF($D35="","",IFERROR(VLOOKUP($B35,Kraftvärmeprod!$B$1:$BX$550,MATCH(N$2,Kraftvärmeprod!$B$1:$VX$1,0),FALSE)/1,0)-IFERROR(VLOOKUP($B35,'Slutlig allokering kvv'!$B$2:$BX$550,MATCH(N$2,'Slutlig allokering kvv'!$B$1:$BX$1,0),FALSE)/1,0))</f>
        <v>0</v>
      </c>
      <c r="O35" s="31">
        <f>IF($D35="","",IFERROR(VLOOKUP($B35,Kraftvärmeprod!$B$1:$BX$550,MATCH(O$2,Kraftvärmeprod!$B$1:$VX$1,0),FALSE)/1,0)-IFERROR(VLOOKUP($B35,'Slutlig allokering kvv'!$B$2:$BX$550,MATCH(O$2,'Slutlig allokering kvv'!$B$1:$BX$1,0),FALSE)/1,0))</f>
        <v>0</v>
      </c>
      <c r="P35" s="31">
        <f>IF($D35="","",IFERROR(VLOOKUP($B35,Kraftvärmeprod!$B$1:$BX$550,MATCH(P$2,Kraftvärmeprod!$B$1:$VX$1,0),FALSE)/1,0)-IFERROR(VLOOKUP($B35,'Slutlig allokering kvv'!$B$2:$BX$550,MATCH(P$2,'Slutlig allokering kvv'!$B$1:$BX$1,0),FALSE)/1,0))</f>
        <v>0</v>
      </c>
      <c r="Q35" s="31">
        <f>IF($D35="","",IFERROR(VLOOKUP($B35,Kraftvärmeprod!$B$1:$BX$550,MATCH(Q$2,Kraftvärmeprod!$B$1:$VX$1,0),FALSE)/1,0)-IFERROR(VLOOKUP($B35,'Slutlig allokering kvv'!$B$2:$BX$550,MATCH(Q$2,'Slutlig allokering kvv'!$B$1:$BX$1,0),FALSE)/1,0))</f>
        <v>0</v>
      </c>
      <c r="R35" s="31">
        <f>IF($D35="","",IFERROR(VLOOKUP($B35,Kraftvärmeprod!$B$1:$BX$550,MATCH(R$2,Kraftvärmeprod!$B$1:$VX$1,0),FALSE)/1,0)-IFERROR(VLOOKUP($B35,'Slutlig allokering kvv'!$B$2:$BX$550,MATCH(R$2,'Slutlig allokering kvv'!$B$1:$BX$1,0),FALSE)/1,0))</f>
        <v>0</v>
      </c>
      <c r="S35" s="31">
        <f>IF($D35="","",IFERROR(VLOOKUP($B35,Kraftvärmeprod!$B$1:$BX$550,MATCH(S$2,Kraftvärmeprod!$B$1:$VX$1,0),FALSE)/1,0)-IFERROR(VLOOKUP($B35,'Slutlig allokering kvv'!$B$2:$BX$550,MATCH(S$2,'Slutlig allokering kvv'!$B$1:$BX$1,0),FALSE)/1,0))</f>
        <v>0</v>
      </c>
      <c r="T35" s="31">
        <f>IF($D35="","",IFERROR(VLOOKUP($B35,Kraftvärmeprod!$B$1:$BX$550,MATCH(T$2,Kraftvärmeprod!$B$1:$VX$1,0),FALSE)/1,0)-IFERROR(VLOOKUP($B35,'Slutlig allokering kvv'!$B$2:$BX$550,MATCH(T$2,'Slutlig allokering kvv'!$B$1:$BX$1,0),FALSE)/1,0))</f>
        <v>0</v>
      </c>
      <c r="U35" s="31">
        <f>IF($D35="","",IFERROR(VLOOKUP($B35,Kraftvärmeprod!$B$1:$BX$550,MATCH(U$2,Kraftvärmeprod!$B$1:$VX$1,0),FALSE)/1,0)-IFERROR(VLOOKUP($B35,'Slutlig allokering kvv'!$B$2:$BX$550,MATCH(U$2,'Slutlig allokering kvv'!$B$1:$BX$1,0),FALSE)/1,0))</f>
        <v>0</v>
      </c>
      <c r="V35" s="31">
        <f>IF($D35="","",IFERROR(VLOOKUP($B35,Kraftvärmeprod!$B$1:$BX$550,MATCH(V$2,Kraftvärmeprod!$B$1:$VX$1,0),FALSE)/1,0)-IFERROR(VLOOKUP($B35,'Slutlig allokering kvv'!$B$2:$BX$550,MATCH(V$2,'Slutlig allokering kvv'!$B$1:$BX$1,0),FALSE)/1,0))</f>
        <v>2.0459999999999998</v>
      </c>
      <c r="W35" s="31">
        <f>IF($D35="","",IFERROR(VLOOKUP($B35,Kraftvärmeprod!$B$1:$BX$550,MATCH(W$2,Kraftvärmeprod!$B$1:$VX$1,0),FALSE)/1,0)-IFERROR(VLOOKUP($B35,'Slutlig allokering kvv'!$B$2:$BX$550,MATCH(W$2,'Slutlig allokering kvv'!$B$1:$BX$1,0),FALSE)/1,0))</f>
        <v>0</v>
      </c>
      <c r="X35" s="31">
        <f>IF($D35="","",IFERROR(VLOOKUP($B35,Kraftvärmeprod!$B$1:$BX$550,MATCH(X$2,Kraftvärmeprod!$B$1:$VX$1,0),FALSE)/1,0)-IFERROR(VLOOKUP($B35,'Slutlig allokering kvv'!$B$2:$BX$550,MATCH(X$2,'Slutlig allokering kvv'!$B$1:$BX$1,0),FALSE)/1,0))</f>
        <v>0</v>
      </c>
      <c r="Y35" s="31">
        <f>IF($D35="","",IFERROR(VLOOKUP($B35,Kraftvärmeprod!$B$1:$BX$550,MATCH(Y$2,Kraftvärmeprod!$B$1:$VX$1,0),FALSE)/1,0)-IFERROR(VLOOKUP($B35,'Slutlig allokering kvv'!$B$2:$BX$550,MATCH(Y$2,'Slutlig allokering kvv'!$B$1:$BX$1,0),FALSE)/1,0))</f>
        <v>0</v>
      </c>
      <c r="Z35" s="31">
        <f>IF($D35="","",IFERROR(VLOOKUP($B35,Kraftvärmeprod!$B$1:$BX$550,MATCH(Z$2,Kraftvärmeprod!$B$1:$VX$1,0),FALSE)/1,0)-IFERROR(VLOOKUP($B35,'Slutlig allokering kvv'!$B$2:$BX$550,MATCH(Z$2,'Slutlig allokering kvv'!$B$1:$BX$1,0),FALSE)/1,0))</f>
        <v>0</v>
      </c>
      <c r="AA35" s="31">
        <f>IF($D35="","",IFERROR(VLOOKUP($B35,Kraftvärmeprod!$B$1:$BX$550,MATCH(AA$2,Kraftvärmeprod!$B$1:$VX$1,0),FALSE)/1,0)-IFERROR(VLOOKUP($B35,'Slutlig allokering kvv'!$B$2:$BX$550,MATCH(AA$2,'Slutlig allokering kvv'!$B$1:$BX$1,0),FALSE)/1,0))</f>
        <v>142.976</v>
      </c>
      <c r="AB35" s="31">
        <f>IF($D35="","",IFERROR(VLOOKUP($B35,Kraftvärmeprod!$B$1:$BX$550,MATCH(AB$2,Kraftvärmeprod!$B$1:$VX$1,0),FALSE)/1,0)-IFERROR(VLOOKUP($B35,'Slutlig allokering kvv'!$B$2:$BX$550,MATCH(AB$2,'Slutlig allokering kvv'!$B$1:$BX$1,0),FALSE)/1,0))</f>
        <v>0</v>
      </c>
      <c r="AC35" s="31">
        <f>IF($D35="","",IFERROR(VLOOKUP($B35,Kraftvärmeprod!$B$1:$BX$550,MATCH(AC$2,Kraftvärmeprod!$B$1:$VX$1,0),FALSE)/1,0)-IFERROR(VLOOKUP($B35,'Slutlig allokering kvv'!$B$2:$BX$550,MATCH(AC$2,'Slutlig allokering kvv'!$B$1:$BX$1,0),FALSE)/1,0))</f>
        <v>0</v>
      </c>
      <c r="AD35" s="31">
        <f>IF($D35="","",IFERROR(VLOOKUP($B35,Kraftvärmeprod!$B$1:$BX$550,MATCH(AD$2,Kraftvärmeprod!$B$1:$VX$1,0),FALSE)/1,0)-IFERROR(VLOOKUP($B35,'Slutlig allokering kvv'!$B$2:$BX$550,MATCH(AD$2,'Slutlig allokering kvv'!$B$1:$BX$1,0),FALSE)/1,0))</f>
        <v>0</v>
      </c>
      <c r="AE35" s="31">
        <f>IF($D35="","",IFERROR(VLOOKUP($B35,Miljö!$B$1:$E$550,MATCH("Hjälpel kraftvärme (GWh)",Miljö!$B$1:$E$1,0),FALSE)/1,0)-IFERROR(VLOOKUP($B35,'Slutlig allokering kvv'!$B$2:$BX$549,MATCH(AE$2,'Slutlig allokering kvv'!$B$1:$BX$1,0),FALSE)/1,0))</f>
        <v>3.8388200000000001</v>
      </c>
      <c r="AI35" s="39">
        <f t="shared" si="0"/>
        <v>145.02199999999999</v>
      </c>
      <c r="AK35" s="31">
        <f>IFERROR(VLOOKUP($B35,'Slutlig allokering kvv'!$B$2:$AX$549,MATCH("Summa slutlig allokerad tillförd energi (utan hjälpel och rökgaskondensering):",'Slutlig allokering kvv'!$B$1:$AX$1,0),FALSE)/1,"")</f>
        <v>228.97799999999998</v>
      </c>
      <c r="AM35" s="31">
        <f>IFERROR(1-VLOOKUP($B35,'Slutlig allokering kvv'!$B$2:$AX$549,MATCH("Andel av bränsle i kvv som allokerats till värme, exklusive rökgaskondensering och hjälpel",'Slutlig allokering kvv'!$B$1:$AX$1,0),FALSE),"")</f>
        <v>0.38775935828877006</v>
      </c>
      <c r="AO35" s="31">
        <f t="shared" si="1"/>
        <v>0.38775935828877001</v>
      </c>
      <c r="AP35" s="31">
        <f t="shared" si="2"/>
        <v>5.5511151231257827E-17</v>
      </c>
      <c r="AR35" s="32">
        <f t="shared" si="3"/>
        <v>0.36947263893884236</v>
      </c>
    </row>
    <row r="36" spans="1:44" s="31" customFormat="1" x14ac:dyDescent="0.45">
      <c r="A36" s="31" t="s">
        <v>647</v>
      </c>
      <c r="B36" s="31" t="s">
        <v>650</v>
      </c>
      <c r="C36" s="31" t="str">
        <f>IFERROR(VLOOKUP($B36,Kraftvärmeprod!$B$1:$AH$479,MATCH(C$2,Kraftvärmeprod!$B$1:$AG$1,0),FALSE)/1,"")</f>
        <v/>
      </c>
      <c r="D36" s="31" t="str">
        <f>IFERROR(VLOOKUP($B36,Kraftvärmeprod!$B$1:$AH$479,MATCH(D$2,Kraftvärmeprod!$B$1:$AG$1,0),FALSE)/1,"")</f>
        <v/>
      </c>
      <c r="F36" s="31" t="str">
        <f>IF($D36="","",IFERROR(VLOOKUP($B36,Kraftvärmeprod!$B$1:$BX$550,MATCH(F$2,Kraftvärmeprod!$B$1:$VX$1,0),FALSE)/1,0)-IFERROR(VLOOKUP($B36,'Slutlig allokering kvv'!$B$2:$BX$550,MATCH(F$2,'Slutlig allokering kvv'!$B$1:$BX$1,0),FALSE)/1,0))</f>
        <v/>
      </c>
      <c r="G36" s="31" t="str">
        <f>IF($D36="","",IFERROR(VLOOKUP($B36,Kraftvärmeprod!$B$1:$BX$550,MATCH(G$2,Kraftvärmeprod!$B$1:$VX$1,0),FALSE)/1,0)-IFERROR(VLOOKUP($B36,'Slutlig allokering kvv'!$B$2:$BX$550,MATCH(G$2,'Slutlig allokering kvv'!$B$1:$BX$1,0),FALSE)/1,0))</f>
        <v/>
      </c>
      <c r="H36" s="31" t="str">
        <f>IF($D36="","",IFERROR(VLOOKUP($B36,Kraftvärmeprod!$B$1:$BX$550,MATCH(H$2,Kraftvärmeprod!$B$1:$VX$1,0),FALSE)/1,0)-IFERROR(VLOOKUP($B36,'Slutlig allokering kvv'!$B$2:$BX$550,MATCH(H$2,'Slutlig allokering kvv'!$B$1:$BX$1,0),FALSE)/1,0))</f>
        <v/>
      </c>
      <c r="I36" s="31" t="str">
        <f>IF($D36="","",IFERROR(VLOOKUP($B36,Kraftvärmeprod!$B$1:$BX$550,MATCH(I$2,Kraftvärmeprod!$B$1:$VX$1,0),FALSE)/1,0)-IFERROR(VLOOKUP($B36,'Slutlig allokering kvv'!$B$2:$BX$550,MATCH(I$2,'Slutlig allokering kvv'!$B$1:$BX$1,0),FALSE)/1,0))</f>
        <v/>
      </c>
      <c r="J36" s="31" t="str">
        <f>IF($D36="","",IFERROR(VLOOKUP($B36,Kraftvärmeprod!$B$1:$BX$550,MATCH(J$2,Kraftvärmeprod!$B$1:$VX$1,0),FALSE)/1,0)-IFERROR(VLOOKUP($B36,'Slutlig allokering kvv'!$B$2:$BX$550,MATCH(J$2,'Slutlig allokering kvv'!$B$1:$BX$1,0),FALSE)/1,0))</f>
        <v/>
      </c>
      <c r="K36" s="31" t="str">
        <f>IF($D36="","",IFERROR(VLOOKUP($B36,Kraftvärmeprod!$B$1:$BX$550,MATCH(K$2,Kraftvärmeprod!$B$1:$VX$1,0),FALSE)/1,0)-IFERROR(VLOOKUP($B36,'Slutlig allokering kvv'!$B$2:$BX$550,MATCH(K$2,'Slutlig allokering kvv'!$B$1:$BX$1,0),FALSE)/1,0))</f>
        <v/>
      </c>
      <c r="L36" s="31" t="str">
        <f>IF($D36="","",IFERROR(VLOOKUP($B36,Kraftvärmeprod!$B$1:$BX$550,MATCH(L$2,Kraftvärmeprod!$B$1:$VX$1,0),FALSE)/1,0)-IFERROR(VLOOKUP($B36,'Slutlig allokering kvv'!$B$2:$BX$550,MATCH(L$2,'Slutlig allokering kvv'!$B$1:$BX$1,0),FALSE)/1,0))</f>
        <v/>
      </c>
      <c r="M36" s="31" t="str">
        <f>IF($D36="","",IFERROR(VLOOKUP($B36,Kraftvärmeprod!$B$1:$BX$550,MATCH(M$2,Kraftvärmeprod!$B$1:$VX$1,0),FALSE)/1,0)-IFERROR(VLOOKUP($B36,'Slutlig allokering kvv'!$B$2:$BX$550,MATCH(M$2,'Slutlig allokering kvv'!$B$1:$BX$1,0),FALSE)/1,0))</f>
        <v/>
      </c>
      <c r="N36" s="31" t="str">
        <f>IF($D36="","",IFERROR(VLOOKUP($B36,Kraftvärmeprod!$B$1:$BX$550,MATCH(N$2,Kraftvärmeprod!$B$1:$VX$1,0),FALSE)/1,0)-IFERROR(VLOOKUP($B36,'Slutlig allokering kvv'!$B$2:$BX$550,MATCH(N$2,'Slutlig allokering kvv'!$B$1:$BX$1,0),FALSE)/1,0))</f>
        <v/>
      </c>
      <c r="O36" s="31" t="str">
        <f>IF($D36="","",IFERROR(VLOOKUP($B36,Kraftvärmeprod!$B$1:$BX$550,MATCH(O$2,Kraftvärmeprod!$B$1:$VX$1,0),FALSE)/1,0)-IFERROR(VLOOKUP($B36,'Slutlig allokering kvv'!$B$2:$BX$550,MATCH(O$2,'Slutlig allokering kvv'!$B$1:$BX$1,0),FALSE)/1,0))</f>
        <v/>
      </c>
      <c r="P36" s="31" t="str">
        <f>IF($D36="","",IFERROR(VLOOKUP($B36,Kraftvärmeprod!$B$1:$BX$550,MATCH(P$2,Kraftvärmeprod!$B$1:$VX$1,0),FALSE)/1,0)-IFERROR(VLOOKUP($B36,'Slutlig allokering kvv'!$B$2:$BX$550,MATCH(P$2,'Slutlig allokering kvv'!$B$1:$BX$1,0),FALSE)/1,0))</f>
        <v/>
      </c>
      <c r="Q36" s="31" t="str">
        <f>IF($D36="","",IFERROR(VLOOKUP($B36,Kraftvärmeprod!$B$1:$BX$550,MATCH(Q$2,Kraftvärmeprod!$B$1:$VX$1,0),FALSE)/1,0)-IFERROR(VLOOKUP($B36,'Slutlig allokering kvv'!$B$2:$BX$550,MATCH(Q$2,'Slutlig allokering kvv'!$B$1:$BX$1,0),FALSE)/1,0))</f>
        <v/>
      </c>
      <c r="R36" s="31" t="str">
        <f>IF($D36="","",IFERROR(VLOOKUP($B36,Kraftvärmeprod!$B$1:$BX$550,MATCH(R$2,Kraftvärmeprod!$B$1:$VX$1,0),FALSE)/1,0)-IFERROR(VLOOKUP($B36,'Slutlig allokering kvv'!$B$2:$BX$550,MATCH(R$2,'Slutlig allokering kvv'!$B$1:$BX$1,0),FALSE)/1,0))</f>
        <v/>
      </c>
      <c r="S36" s="31" t="str">
        <f>IF($D36="","",IFERROR(VLOOKUP($B36,Kraftvärmeprod!$B$1:$BX$550,MATCH(S$2,Kraftvärmeprod!$B$1:$VX$1,0),FALSE)/1,0)-IFERROR(VLOOKUP($B36,'Slutlig allokering kvv'!$B$2:$BX$550,MATCH(S$2,'Slutlig allokering kvv'!$B$1:$BX$1,0),FALSE)/1,0))</f>
        <v/>
      </c>
      <c r="T36" s="31" t="str">
        <f>IF($D36="","",IFERROR(VLOOKUP($B36,Kraftvärmeprod!$B$1:$BX$550,MATCH(T$2,Kraftvärmeprod!$B$1:$VX$1,0),FALSE)/1,0)-IFERROR(VLOOKUP($B36,'Slutlig allokering kvv'!$B$2:$BX$550,MATCH(T$2,'Slutlig allokering kvv'!$B$1:$BX$1,0),FALSE)/1,0))</f>
        <v/>
      </c>
      <c r="U36" s="31" t="str">
        <f>IF($D36="","",IFERROR(VLOOKUP($B36,Kraftvärmeprod!$B$1:$BX$550,MATCH(U$2,Kraftvärmeprod!$B$1:$VX$1,0),FALSE)/1,0)-IFERROR(VLOOKUP($B36,'Slutlig allokering kvv'!$B$2:$BX$550,MATCH(U$2,'Slutlig allokering kvv'!$B$1:$BX$1,0),FALSE)/1,0))</f>
        <v/>
      </c>
      <c r="V36" s="31" t="str">
        <f>IF($D36="","",IFERROR(VLOOKUP($B36,Kraftvärmeprod!$B$1:$BX$550,MATCH(V$2,Kraftvärmeprod!$B$1:$VX$1,0),FALSE)/1,0)-IFERROR(VLOOKUP($B36,'Slutlig allokering kvv'!$B$2:$BX$550,MATCH(V$2,'Slutlig allokering kvv'!$B$1:$BX$1,0),FALSE)/1,0))</f>
        <v/>
      </c>
      <c r="W36" s="31" t="str">
        <f>IF($D36="","",IFERROR(VLOOKUP($B36,Kraftvärmeprod!$B$1:$BX$550,MATCH(W$2,Kraftvärmeprod!$B$1:$VX$1,0),FALSE)/1,0)-IFERROR(VLOOKUP($B36,'Slutlig allokering kvv'!$B$2:$BX$550,MATCH(W$2,'Slutlig allokering kvv'!$B$1:$BX$1,0),FALSE)/1,0))</f>
        <v/>
      </c>
      <c r="X36" s="31" t="str">
        <f>IF($D36="","",IFERROR(VLOOKUP($B36,Kraftvärmeprod!$B$1:$BX$550,MATCH(X$2,Kraftvärmeprod!$B$1:$VX$1,0),FALSE)/1,0)-IFERROR(VLOOKUP($B36,'Slutlig allokering kvv'!$B$2:$BX$550,MATCH(X$2,'Slutlig allokering kvv'!$B$1:$BX$1,0),FALSE)/1,0))</f>
        <v/>
      </c>
      <c r="Y36" s="31" t="str">
        <f>IF($D36="","",IFERROR(VLOOKUP($B36,Kraftvärmeprod!$B$1:$BX$550,MATCH(Y$2,Kraftvärmeprod!$B$1:$VX$1,0),FALSE)/1,0)-IFERROR(VLOOKUP($B36,'Slutlig allokering kvv'!$B$2:$BX$550,MATCH(Y$2,'Slutlig allokering kvv'!$B$1:$BX$1,0),FALSE)/1,0))</f>
        <v/>
      </c>
      <c r="Z36" s="31" t="str">
        <f>IF($D36="","",IFERROR(VLOOKUP($B36,Kraftvärmeprod!$B$1:$BX$550,MATCH(Z$2,Kraftvärmeprod!$B$1:$VX$1,0),FALSE)/1,0)-IFERROR(VLOOKUP($B36,'Slutlig allokering kvv'!$B$2:$BX$550,MATCH(Z$2,'Slutlig allokering kvv'!$B$1:$BX$1,0),FALSE)/1,0))</f>
        <v/>
      </c>
      <c r="AA36" s="31" t="str">
        <f>IF($D36="","",IFERROR(VLOOKUP($B36,Kraftvärmeprod!$B$1:$BX$550,MATCH(AA$2,Kraftvärmeprod!$B$1:$VX$1,0),FALSE)/1,0)-IFERROR(VLOOKUP($B36,'Slutlig allokering kvv'!$B$2:$BX$550,MATCH(AA$2,'Slutlig allokering kvv'!$B$1:$BX$1,0),FALSE)/1,0))</f>
        <v/>
      </c>
      <c r="AB36" s="31" t="str">
        <f>IF($D36="","",IFERROR(VLOOKUP($B36,Kraftvärmeprod!$B$1:$BX$550,MATCH(AB$2,Kraftvärmeprod!$B$1:$VX$1,0),FALSE)/1,0)-IFERROR(VLOOKUP($B36,'Slutlig allokering kvv'!$B$2:$BX$550,MATCH(AB$2,'Slutlig allokering kvv'!$B$1:$BX$1,0),FALSE)/1,0))</f>
        <v/>
      </c>
      <c r="AC36" s="31" t="str">
        <f>IF($D36="","",IFERROR(VLOOKUP($B36,Kraftvärmeprod!$B$1:$BX$550,MATCH(AC$2,Kraftvärmeprod!$B$1:$VX$1,0),FALSE)/1,0)-IFERROR(VLOOKUP($B36,'Slutlig allokering kvv'!$B$2:$BX$550,MATCH(AC$2,'Slutlig allokering kvv'!$B$1:$BX$1,0),FALSE)/1,0))</f>
        <v/>
      </c>
      <c r="AD36" s="31" t="str">
        <f>IF($D36="","",IFERROR(VLOOKUP($B36,Kraftvärmeprod!$B$1:$BX$550,MATCH(AD$2,Kraftvärmeprod!$B$1:$VX$1,0),FALSE)/1,0)-IFERROR(VLOOKUP($B36,'Slutlig allokering kvv'!$B$2:$BX$550,MATCH(AD$2,'Slutlig allokering kvv'!$B$1:$BX$1,0),FALSE)/1,0))</f>
        <v/>
      </c>
      <c r="AE36" s="31" t="str">
        <f>IF($D36="","",IFERROR(VLOOKUP($B36,Miljö!$B$1:$E$550,MATCH("Hjälpel kraftvärme (GWh)",Miljö!$B$1:$E$1,0),FALSE)/1,0)-IFERROR(VLOOKUP($B36,'Slutlig allokering kvv'!$B$2:$BX$549,MATCH(AE$2,'Slutlig allokering kvv'!$B$1:$BX$1,0),FALSE)/1,0))</f>
        <v/>
      </c>
      <c r="AI36" s="39">
        <f t="shared" si="0"/>
        <v>0</v>
      </c>
      <c r="AK36" s="31">
        <f>IFERROR(VLOOKUP($B36,'Slutlig allokering kvv'!$B$2:$AX$549,MATCH("Summa slutlig allokerad tillförd energi (utan hjälpel och rökgaskondensering):",'Slutlig allokering kvv'!$B$1:$AX$1,0),FALSE)/1,"")</f>
        <v>0</v>
      </c>
      <c r="AM36" s="31" t="str">
        <f>IFERROR(1-VLOOKUP($B36,'Slutlig allokering kvv'!$B$2:$AX$549,MATCH("Andel av bränsle i kvv som allokerats till värme, exklusive rökgaskondensering och hjälpel",'Slutlig allokering kvv'!$B$1:$AX$1,0),FALSE),"")</f>
        <v/>
      </c>
      <c r="AO36" s="31" t="str">
        <f t="shared" si="1"/>
        <v/>
      </c>
      <c r="AP36" s="31" t="str">
        <f t="shared" si="2"/>
        <v/>
      </c>
      <c r="AR36" s="32" t="str">
        <f t="shared" si="3"/>
        <v/>
      </c>
    </row>
    <row r="37" spans="1:44" s="31" customFormat="1" x14ac:dyDescent="0.45">
      <c r="A37" s="31" t="s">
        <v>647</v>
      </c>
      <c r="B37" s="31" t="s">
        <v>649</v>
      </c>
      <c r="C37" s="31">
        <f>IFERROR(VLOOKUP($B37,Kraftvärmeprod!$B$1:$AH$479,MATCH(C$2,Kraftvärmeprod!$B$1:$AG$1,0),FALSE)/1,"")</f>
        <v>130.65</v>
      </c>
      <c r="D37" s="31">
        <f>IFERROR(VLOOKUP($B37,Kraftvärmeprod!$B$1:$AH$479,MATCH(D$2,Kraftvärmeprod!$B$1:$AG$1,0),FALSE)/1,"")</f>
        <v>32.6</v>
      </c>
      <c r="F37" s="31">
        <f>IF($D37="","",IFERROR(VLOOKUP($B37,Kraftvärmeprod!$B$1:$BX$550,MATCH(F$2,Kraftvärmeprod!$B$1:$VX$1,0),FALSE)/1,0)-IFERROR(VLOOKUP($B37,'Slutlig allokering kvv'!$B$2:$BX$550,MATCH(F$2,'Slutlig allokering kvv'!$B$1:$BX$1,0),FALSE)/1,0))</f>
        <v>0</v>
      </c>
      <c r="G37" s="31">
        <f>IF($D37="","",IFERROR(VLOOKUP($B37,Kraftvärmeprod!$B$1:$BX$550,MATCH(G$2,Kraftvärmeprod!$B$1:$VX$1,0),FALSE)/1,0)-IFERROR(VLOOKUP($B37,'Slutlig allokering kvv'!$B$2:$BX$550,MATCH(G$2,'Slutlig allokering kvv'!$B$1:$BX$1,0),FALSE)/1,0))</f>
        <v>0.218024</v>
      </c>
      <c r="H37" s="31">
        <f>IF($D37="","",IFERROR(VLOOKUP($B37,Kraftvärmeprod!$B$1:$BX$550,MATCH(H$2,Kraftvärmeprod!$B$1:$VX$1,0),FALSE)/1,0)-IFERROR(VLOOKUP($B37,'Slutlig allokering kvv'!$B$2:$BX$550,MATCH(H$2,'Slutlig allokering kvv'!$B$1:$BX$1,0),FALSE)/1,0))</f>
        <v>0</v>
      </c>
      <c r="I37" s="31">
        <f>IF($D37="","",IFERROR(VLOOKUP($B37,Kraftvärmeprod!$B$1:$BX$550,MATCH(I$2,Kraftvärmeprod!$B$1:$VX$1,0),FALSE)/1,0)-IFERROR(VLOOKUP($B37,'Slutlig allokering kvv'!$B$2:$BX$550,MATCH(I$2,'Slutlig allokering kvv'!$B$1:$BX$1,0),FALSE)/1,0))</f>
        <v>0</v>
      </c>
      <c r="J37" s="31">
        <f>IF($D37="","",IFERROR(VLOOKUP($B37,Kraftvärmeprod!$B$1:$BX$550,MATCH(J$2,Kraftvärmeprod!$B$1:$VX$1,0),FALSE)/1,0)-IFERROR(VLOOKUP($B37,'Slutlig allokering kvv'!$B$2:$BX$550,MATCH(J$2,'Slutlig allokering kvv'!$B$1:$BX$1,0),FALSE)/1,0))</f>
        <v>0</v>
      </c>
      <c r="K37" s="31">
        <f>IF($D37="","",IFERROR(VLOOKUP($B37,Kraftvärmeprod!$B$1:$BX$550,MATCH(K$2,Kraftvärmeprod!$B$1:$VX$1,0),FALSE)/1,0)-IFERROR(VLOOKUP($B37,'Slutlig allokering kvv'!$B$2:$BX$550,MATCH(K$2,'Slutlig allokering kvv'!$B$1:$BX$1,0),FALSE)/1,0))</f>
        <v>0</v>
      </c>
      <c r="L37" s="31">
        <f>IF($D37="","",IFERROR(VLOOKUP($B37,Kraftvärmeprod!$B$1:$BX$550,MATCH(L$2,Kraftvärmeprod!$B$1:$VX$1,0),FALSE)/1,0)-IFERROR(VLOOKUP($B37,'Slutlig allokering kvv'!$B$2:$BX$550,MATCH(L$2,'Slutlig allokering kvv'!$B$1:$BX$1,0),FALSE)/1,0))</f>
        <v>0</v>
      </c>
      <c r="M37" s="31">
        <f>IF($D37="","",IFERROR(VLOOKUP($B37,Kraftvärmeprod!$B$1:$BX$550,MATCH(M$2,Kraftvärmeprod!$B$1:$VX$1,0),FALSE)/1,0)-IFERROR(VLOOKUP($B37,'Slutlig allokering kvv'!$B$2:$BX$550,MATCH(M$2,'Slutlig allokering kvv'!$B$1:$BX$1,0),FALSE)/1,0))</f>
        <v>0.90234999999999999</v>
      </c>
      <c r="N37" s="31">
        <f>IF($D37="","",IFERROR(VLOOKUP($B37,Kraftvärmeprod!$B$1:$BX$550,MATCH(N$2,Kraftvärmeprod!$B$1:$VX$1,0),FALSE)/1,0)-IFERROR(VLOOKUP($B37,'Slutlig allokering kvv'!$B$2:$BX$550,MATCH(N$2,'Slutlig allokering kvv'!$B$1:$BX$1,0),FALSE)/1,0))</f>
        <v>0</v>
      </c>
      <c r="O37" s="31">
        <f>IF($D37="","",IFERROR(VLOOKUP($B37,Kraftvärmeprod!$B$1:$BX$550,MATCH(O$2,Kraftvärmeprod!$B$1:$VX$1,0),FALSE)/1,0)-IFERROR(VLOOKUP($B37,'Slutlig allokering kvv'!$B$2:$BX$550,MATCH(O$2,'Slutlig allokering kvv'!$B$1:$BX$1,0),FALSE)/1,0))</f>
        <v>0</v>
      </c>
      <c r="P37" s="31">
        <f>IF($D37="","",IFERROR(VLOOKUP($B37,Kraftvärmeprod!$B$1:$BX$550,MATCH(P$2,Kraftvärmeprod!$B$1:$VX$1,0),FALSE)/1,0)-IFERROR(VLOOKUP($B37,'Slutlig allokering kvv'!$B$2:$BX$550,MATCH(P$2,'Slutlig allokering kvv'!$B$1:$BX$1,0),FALSE)/1,0))</f>
        <v>0</v>
      </c>
      <c r="Q37" s="31">
        <f>IF($D37="","",IFERROR(VLOOKUP($B37,Kraftvärmeprod!$B$1:$BX$550,MATCH(Q$2,Kraftvärmeprod!$B$1:$VX$1,0),FALSE)/1,0)-IFERROR(VLOOKUP($B37,'Slutlig allokering kvv'!$B$2:$BX$550,MATCH(Q$2,'Slutlig allokering kvv'!$B$1:$BX$1,0),FALSE)/1,0))</f>
        <v>0</v>
      </c>
      <c r="R37" s="31">
        <f>IF($D37="","",IFERROR(VLOOKUP($B37,Kraftvärmeprod!$B$1:$BX$550,MATCH(R$2,Kraftvärmeprod!$B$1:$VX$1,0),FALSE)/1,0)-IFERROR(VLOOKUP($B37,'Slutlig allokering kvv'!$B$2:$BX$550,MATCH(R$2,'Slutlig allokering kvv'!$B$1:$BX$1,0),FALSE)/1,0))</f>
        <v>0</v>
      </c>
      <c r="S37" s="31">
        <f>IF($D37="","",IFERROR(VLOOKUP($B37,Kraftvärmeprod!$B$1:$BX$550,MATCH(S$2,Kraftvärmeprod!$B$1:$VX$1,0),FALSE)/1,0)-IFERROR(VLOOKUP($B37,'Slutlig allokering kvv'!$B$2:$BX$550,MATCH(S$2,'Slutlig allokering kvv'!$B$1:$BX$1,0),FALSE)/1,0))</f>
        <v>0</v>
      </c>
      <c r="T37" s="31">
        <f>IF($D37="","",IFERROR(VLOOKUP($B37,Kraftvärmeprod!$B$1:$BX$550,MATCH(T$2,Kraftvärmeprod!$B$1:$VX$1,0),FALSE)/1,0)-IFERROR(VLOOKUP($B37,'Slutlig allokering kvv'!$B$2:$BX$550,MATCH(T$2,'Slutlig allokering kvv'!$B$1:$BX$1,0),FALSE)/1,0))</f>
        <v>0</v>
      </c>
      <c r="U37" s="31">
        <f>IF($D37="","",IFERROR(VLOOKUP($B37,Kraftvärmeprod!$B$1:$BX$550,MATCH(U$2,Kraftvärmeprod!$B$1:$VX$1,0),FALSE)/1,0)-IFERROR(VLOOKUP($B37,'Slutlig allokering kvv'!$B$2:$BX$550,MATCH(U$2,'Slutlig allokering kvv'!$B$1:$BX$1,0),FALSE)/1,0))</f>
        <v>0</v>
      </c>
      <c r="V37" s="31">
        <f>IF($D37="","",IFERROR(VLOOKUP($B37,Kraftvärmeprod!$B$1:$BX$550,MATCH(V$2,Kraftvärmeprod!$B$1:$VX$1,0),FALSE)/1,0)-IFERROR(VLOOKUP($B37,'Slutlig allokering kvv'!$B$2:$BX$550,MATCH(V$2,'Slutlig allokering kvv'!$B$1:$BX$1,0),FALSE)/1,0))</f>
        <v>1.8598599999999998</v>
      </c>
      <c r="W37" s="31">
        <f>IF($D37="","",IFERROR(VLOOKUP($B37,Kraftvärmeprod!$B$1:$BX$550,MATCH(W$2,Kraftvärmeprod!$B$1:$VX$1,0),FALSE)/1,0)-IFERROR(VLOOKUP($B37,'Slutlig allokering kvv'!$B$2:$BX$550,MATCH(W$2,'Slutlig allokering kvv'!$B$1:$BX$1,0),FALSE)/1,0))</f>
        <v>0</v>
      </c>
      <c r="X37" s="31">
        <f>IF($D37="","",IFERROR(VLOOKUP($B37,Kraftvärmeprod!$B$1:$BX$550,MATCH(X$2,Kraftvärmeprod!$B$1:$VX$1,0),FALSE)/1,0)-IFERROR(VLOOKUP($B37,'Slutlig allokering kvv'!$B$2:$BX$550,MATCH(X$2,'Slutlig allokering kvv'!$B$1:$BX$1,0),FALSE)/1,0))</f>
        <v>0</v>
      </c>
      <c r="Y37" s="31">
        <f>IF($D37="","",IFERROR(VLOOKUP($B37,Kraftvärmeprod!$B$1:$BX$550,MATCH(Y$2,Kraftvärmeprod!$B$1:$VX$1,0),FALSE)/1,0)-IFERROR(VLOOKUP($B37,'Slutlig allokering kvv'!$B$2:$BX$550,MATCH(Y$2,'Slutlig allokering kvv'!$B$1:$BX$1,0),FALSE)/1,0))</f>
        <v>0</v>
      </c>
      <c r="Z37" s="31">
        <f>IF($D37="","",IFERROR(VLOOKUP($B37,Kraftvärmeprod!$B$1:$BX$550,MATCH(Z$2,Kraftvärmeprod!$B$1:$VX$1,0),FALSE)/1,0)-IFERROR(VLOOKUP($B37,'Slutlig allokering kvv'!$B$2:$BX$550,MATCH(Z$2,'Slutlig allokering kvv'!$B$1:$BX$1,0),FALSE)/1,0))</f>
        <v>0</v>
      </c>
      <c r="AA37" s="31">
        <f>IF($D37="","",IFERROR(VLOOKUP($B37,Kraftvärmeprod!$B$1:$BX$550,MATCH(AA$2,Kraftvärmeprod!$B$1:$VX$1,0),FALSE)/1,0)-IFERROR(VLOOKUP($B37,'Slutlig allokering kvv'!$B$2:$BX$550,MATCH(AA$2,'Slutlig allokering kvv'!$B$1:$BX$1,0),FALSE)/1,0))</f>
        <v>71.665899999999993</v>
      </c>
      <c r="AB37" s="31">
        <f>IF($D37="","",IFERROR(VLOOKUP($B37,Kraftvärmeprod!$B$1:$BX$550,MATCH(AB$2,Kraftvärmeprod!$B$1:$VX$1,0),FALSE)/1,0)-IFERROR(VLOOKUP($B37,'Slutlig allokering kvv'!$B$2:$BX$550,MATCH(AB$2,'Slutlig allokering kvv'!$B$1:$BX$1,0),FALSE)/1,0))</f>
        <v>0</v>
      </c>
      <c r="AC37" s="31">
        <f>IF($D37="","",IFERROR(VLOOKUP($B37,Kraftvärmeprod!$B$1:$BX$550,MATCH(AC$2,Kraftvärmeprod!$B$1:$VX$1,0),FALSE)/1,0)-IFERROR(VLOOKUP($B37,'Slutlig allokering kvv'!$B$2:$BX$550,MATCH(AC$2,'Slutlig allokering kvv'!$B$1:$BX$1,0),FALSE)/1,0))</f>
        <v>0</v>
      </c>
      <c r="AD37" s="31">
        <f>IF($D37="","",IFERROR(VLOOKUP($B37,Kraftvärmeprod!$B$1:$BX$550,MATCH(AD$2,Kraftvärmeprod!$B$1:$VX$1,0),FALSE)/1,0)-IFERROR(VLOOKUP($B37,'Slutlig allokering kvv'!$B$2:$BX$550,MATCH(AD$2,'Slutlig allokering kvv'!$B$1:$BX$1,0),FALSE)/1,0))</f>
        <v>0</v>
      </c>
      <c r="AE37" s="31">
        <f>IF($D37="","",IFERROR(VLOOKUP($B37,Miljö!$B$1:$E$550,MATCH("Hjälpel kraftvärme (GWh)",Miljö!$B$1:$E$1,0),FALSE)/1,0)-IFERROR(VLOOKUP($B37,'Slutlig allokering kvv'!$B$2:$BX$549,MATCH(AE$2,'Slutlig allokering kvv'!$B$1:$BX$1,0),FALSE)/1,0))</f>
        <v>3.4435799999999999</v>
      </c>
      <c r="AI37" s="39">
        <f t="shared" si="0"/>
        <v>74.646133999999989</v>
      </c>
      <c r="AK37" s="31">
        <f>IFERROR(VLOOKUP($B37,'Slutlig allokering kvv'!$B$2:$AX$549,MATCH("Summa slutlig allokerad tillförd energi (utan hjälpel och rökgaskondensering):",'Slutlig allokering kvv'!$B$1:$AX$1,0),FALSE)/1,"")</f>
        <v>94.433865999999995</v>
      </c>
      <c r="AM37" s="31">
        <f>IFERROR(1-VLOOKUP($B37,'Slutlig allokering kvv'!$B$2:$AX$549,MATCH("Andel av bränsle i kvv som allokerats till värme, exklusive rökgaskondensering och hjälpel",'Slutlig allokering kvv'!$B$1:$AX$1,0),FALSE),"")</f>
        <v>0.44148411402886201</v>
      </c>
      <c r="AO37" s="31">
        <f t="shared" si="1"/>
        <v>0.44148411402886206</v>
      </c>
      <c r="AP37" s="31">
        <f t="shared" si="2"/>
        <v>-5.5511151231257827E-17</v>
      </c>
      <c r="AR37" s="32">
        <f t="shared" si="3"/>
        <v>0.41746855418115641</v>
      </c>
    </row>
    <row r="38" spans="1:44" s="31" customFormat="1" x14ac:dyDescent="0.45">
      <c r="A38" s="31" t="s">
        <v>647</v>
      </c>
      <c r="B38" s="31" t="s">
        <v>646</v>
      </c>
      <c r="C38" s="31" t="str">
        <f>IFERROR(VLOOKUP($B38,Kraftvärmeprod!$B$1:$AH$479,MATCH(C$2,Kraftvärmeprod!$B$1:$AG$1,0),FALSE)/1,"")</f>
        <v/>
      </c>
      <c r="D38" s="31" t="str">
        <f>IFERROR(VLOOKUP($B38,Kraftvärmeprod!$B$1:$AH$479,MATCH(D$2,Kraftvärmeprod!$B$1:$AG$1,0),FALSE)/1,"")</f>
        <v/>
      </c>
      <c r="F38" s="31" t="str">
        <f>IF($D38="","",IFERROR(VLOOKUP($B38,Kraftvärmeprod!$B$1:$BX$550,MATCH(F$2,Kraftvärmeprod!$B$1:$VX$1,0),FALSE)/1,0)-IFERROR(VLOOKUP($B38,'Slutlig allokering kvv'!$B$2:$BX$550,MATCH(F$2,'Slutlig allokering kvv'!$B$1:$BX$1,0),FALSE)/1,0))</f>
        <v/>
      </c>
      <c r="G38" s="31" t="str">
        <f>IF($D38="","",IFERROR(VLOOKUP($B38,Kraftvärmeprod!$B$1:$BX$550,MATCH(G$2,Kraftvärmeprod!$B$1:$VX$1,0),FALSE)/1,0)-IFERROR(VLOOKUP($B38,'Slutlig allokering kvv'!$B$2:$BX$550,MATCH(G$2,'Slutlig allokering kvv'!$B$1:$BX$1,0),FALSE)/1,0))</f>
        <v/>
      </c>
      <c r="H38" s="31" t="str">
        <f>IF($D38="","",IFERROR(VLOOKUP($B38,Kraftvärmeprod!$B$1:$BX$550,MATCH(H$2,Kraftvärmeprod!$B$1:$VX$1,0),FALSE)/1,0)-IFERROR(VLOOKUP($B38,'Slutlig allokering kvv'!$B$2:$BX$550,MATCH(H$2,'Slutlig allokering kvv'!$B$1:$BX$1,0),FALSE)/1,0))</f>
        <v/>
      </c>
      <c r="I38" s="31" t="str">
        <f>IF($D38="","",IFERROR(VLOOKUP($B38,Kraftvärmeprod!$B$1:$BX$550,MATCH(I$2,Kraftvärmeprod!$B$1:$VX$1,0),FALSE)/1,0)-IFERROR(VLOOKUP($B38,'Slutlig allokering kvv'!$B$2:$BX$550,MATCH(I$2,'Slutlig allokering kvv'!$B$1:$BX$1,0),FALSE)/1,0))</f>
        <v/>
      </c>
      <c r="J38" s="31" t="str">
        <f>IF($D38="","",IFERROR(VLOOKUP($B38,Kraftvärmeprod!$B$1:$BX$550,MATCH(J$2,Kraftvärmeprod!$B$1:$VX$1,0),FALSE)/1,0)-IFERROR(VLOOKUP($B38,'Slutlig allokering kvv'!$B$2:$BX$550,MATCH(J$2,'Slutlig allokering kvv'!$B$1:$BX$1,0),FALSE)/1,0))</f>
        <v/>
      </c>
      <c r="K38" s="31" t="str">
        <f>IF($D38="","",IFERROR(VLOOKUP($B38,Kraftvärmeprod!$B$1:$BX$550,MATCH(K$2,Kraftvärmeprod!$B$1:$VX$1,0),FALSE)/1,0)-IFERROR(VLOOKUP($B38,'Slutlig allokering kvv'!$B$2:$BX$550,MATCH(K$2,'Slutlig allokering kvv'!$B$1:$BX$1,0),FALSE)/1,0))</f>
        <v/>
      </c>
      <c r="L38" s="31" t="str">
        <f>IF($D38="","",IFERROR(VLOOKUP($B38,Kraftvärmeprod!$B$1:$BX$550,MATCH(L$2,Kraftvärmeprod!$B$1:$VX$1,0),FALSE)/1,0)-IFERROR(VLOOKUP($B38,'Slutlig allokering kvv'!$B$2:$BX$550,MATCH(L$2,'Slutlig allokering kvv'!$B$1:$BX$1,0),FALSE)/1,0))</f>
        <v/>
      </c>
      <c r="M38" s="31" t="str">
        <f>IF($D38="","",IFERROR(VLOOKUP($B38,Kraftvärmeprod!$B$1:$BX$550,MATCH(M$2,Kraftvärmeprod!$B$1:$VX$1,0),FALSE)/1,0)-IFERROR(VLOOKUP($B38,'Slutlig allokering kvv'!$B$2:$BX$550,MATCH(M$2,'Slutlig allokering kvv'!$B$1:$BX$1,0),FALSE)/1,0))</f>
        <v/>
      </c>
      <c r="N38" s="31" t="str">
        <f>IF($D38="","",IFERROR(VLOOKUP($B38,Kraftvärmeprod!$B$1:$BX$550,MATCH(N$2,Kraftvärmeprod!$B$1:$VX$1,0),FALSE)/1,0)-IFERROR(VLOOKUP($B38,'Slutlig allokering kvv'!$B$2:$BX$550,MATCH(N$2,'Slutlig allokering kvv'!$B$1:$BX$1,0),FALSE)/1,0))</f>
        <v/>
      </c>
      <c r="O38" s="31" t="str">
        <f>IF($D38="","",IFERROR(VLOOKUP($B38,Kraftvärmeprod!$B$1:$BX$550,MATCH(O$2,Kraftvärmeprod!$B$1:$VX$1,0),FALSE)/1,0)-IFERROR(VLOOKUP($B38,'Slutlig allokering kvv'!$B$2:$BX$550,MATCH(O$2,'Slutlig allokering kvv'!$B$1:$BX$1,0),FALSE)/1,0))</f>
        <v/>
      </c>
      <c r="P38" s="31" t="str">
        <f>IF($D38="","",IFERROR(VLOOKUP($B38,Kraftvärmeprod!$B$1:$BX$550,MATCH(P$2,Kraftvärmeprod!$B$1:$VX$1,0),FALSE)/1,0)-IFERROR(VLOOKUP($B38,'Slutlig allokering kvv'!$B$2:$BX$550,MATCH(P$2,'Slutlig allokering kvv'!$B$1:$BX$1,0),FALSE)/1,0))</f>
        <v/>
      </c>
      <c r="Q38" s="31" t="str">
        <f>IF($D38="","",IFERROR(VLOOKUP($B38,Kraftvärmeprod!$B$1:$BX$550,MATCH(Q$2,Kraftvärmeprod!$B$1:$VX$1,0),FALSE)/1,0)-IFERROR(VLOOKUP($B38,'Slutlig allokering kvv'!$B$2:$BX$550,MATCH(Q$2,'Slutlig allokering kvv'!$B$1:$BX$1,0),FALSE)/1,0))</f>
        <v/>
      </c>
      <c r="R38" s="31" t="str">
        <f>IF($D38="","",IFERROR(VLOOKUP($B38,Kraftvärmeprod!$B$1:$BX$550,MATCH(R$2,Kraftvärmeprod!$B$1:$VX$1,0),FALSE)/1,0)-IFERROR(VLOOKUP($B38,'Slutlig allokering kvv'!$B$2:$BX$550,MATCH(R$2,'Slutlig allokering kvv'!$B$1:$BX$1,0),FALSE)/1,0))</f>
        <v/>
      </c>
      <c r="S38" s="31" t="str">
        <f>IF($D38="","",IFERROR(VLOOKUP($B38,Kraftvärmeprod!$B$1:$BX$550,MATCH(S$2,Kraftvärmeprod!$B$1:$VX$1,0),FALSE)/1,0)-IFERROR(VLOOKUP($B38,'Slutlig allokering kvv'!$B$2:$BX$550,MATCH(S$2,'Slutlig allokering kvv'!$B$1:$BX$1,0),FALSE)/1,0))</f>
        <v/>
      </c>
      <c r="T38" s="31" t="str">
        <f>IF($D38="","",IFERROR(VLOOKUP($B38,Kraftvärmeprod!$B$1:$BX$550,MATCH(T$2,Kraftvärmeprod!$B$1:$VX$1,0),FALSE)/1,0)-IFERROR(VLOOKUP($B38,'Slutlig allokering kvv'!$B$2:$BX$550,MATCH(T$2,'Slutlig allokering kvv'!$B$1:$BX$1,0),FALSE)/1,0))</f>
        <v/>
      </c>
      <c r="U38" s="31" t="str">
        <f>IF($D38="","",IFERROR(VLOOKUP($B38,Kraftvärmeprod!$B$1:$BX$550,MATCH(U$2,Kraftvärmeprod!$B$1:$VX$1,0),FALSE)/1,0)-IFERROR(VLOOKUP($B38,'Slutlig allokering kvv'!$B$2:$BX$550,MATCH(U$2,'Slutlig allokering kvv'!$B$1:$BX$1,0),FALSE)/1,0))</f>
        <v/>
      </c>
      <c r="V38" s="31" t="str">
        <f>IF($D38="","",IFERROR(VLOOKUP($B38,Kraftvärmeprod!$B$1:$BX$550,MATCH(V$2,Kraftvärmeprod!$B$1:$VX$1,0),FALSE)/1,0)-IFERROR(VLOOKUP($B38,'Slutlig allokering kvv'!$B$2:$BX$550,MATCH(V$2,'Slutlig allokering kvv'!$B$1:$BX$1,0),FALSE)/1,0))</f>
        <v/>
      </c>
      <c r="W38" s="31" t="str">
        <f>IF($D38="","",IFERROR(VLOOKUP($B38,Kraftvärmeprod!$B$1:$BX$550,MATCH(W$2,Kraftvärmeprod!$B$1:$VX$1,0),FALSE)/1,0)-IFERROR(VLOOKUP($B38,'Slutlig allokering kvv'!$B$2:$BX$550,MATCH(W$2,'Slutlig allokering kvv'!$B$1:$BX$1,0),FALSE)/1,0))</f>
        <v/>
      </c>
      <c r="X38" s="31" t="str">
        <f>IF($D38="","",IFERROR(VLOOKUP($B38,Kraftvärmeprod!$B$1:$BX$550,MATCH(X$2,Kraftvärmeprod!$B$1:$VX$1,0),FALSE)/1,0)-IFERROR(VLOOKUP($B38,'Slutlig allokering kvv'!$B$2:$BX$550,MATCH(X$2,'Slutlig allokering kvv'!$B$1:$BX$1,0),FALSE)/1,0))</f>
        <v/>
      </c>
      <c r="Y38" s="31" t="str">
        <f>IF($D38="","",IFERROR(VLOOKUP($B38,Kraftvärmeprod!$B$1:$BX$550,MATCH(Y$2,Kraftvärmeprod!$B$1:$VX$1,0),FALSE)/1,0)-IFERROR(VLOOKUP($B38,'Slutlig allokering kvv'!$B$2:$BX$550,MATCH(Y$2,'Slutlig allokering kvv'!$B$1:$BX$1,0),FALSE)/1,0))</f>
        <v/>
      </c>
      <c r="Z38" s="31" t="str">
        <f>IF($D38="","",IFERROR(VLOOKUP($B38,Kraftvärmeprod!$B$1:$BX$550,MATCH(Z$2,Kraftvärmeprod!$B$1:$VX$1,0),FALSE)/1,0)-IFERROR(VLOOKUP($B38,'Slutlig allokering kvv'!$B$2:$BX$550,MATCH(Z$2,'Slutlig allokering kvv'!$B$1:$BX$1,0),FALSE)/1,0))</f>
        <v/>
      </c>
      <c r="AA38" s="31" t="str">
        <f>IF($D38="","",IFERROR(VLOOKUP($B38,Kraftvärmeprod!$B$1:$BX$550,MATCH(AA$2,Kraftvärmeprod!$B$1:$VX$1,0),FALSE)/1,0)-IFERROR(VLOOKUP($B38,'Slutlig allokering kvv'!$B$2:$BX$550,MATCH(AA$2,'Slutlig allokering kvv'!$B$1:$BX$1,0),FALSE)/1,0))</f>
        <v/>
      </c>
      <c r="AB38" s="31" t="str">
        <f>IF($D38="","",IFERROR(VLOOKUP($B38,Kraftvärmeprod!$B$1:$BX$550,MATCH(AB$2,Kraftvärmeprod!$B$1:$VX$1,0),FALSE)/1,0)-IFERROR(VLOOKUP($B38,'Slutlig allokering kvv'!$B$2:$BX$550,MATCH(AB$2,'Slutlig allokering kvv'!$B$1:$BX$1,0),FALSE)/1,0))</f>
        <v/>
      </c>
      <c r="AC38" s="31" t="str">
        <f>IF($D38="","",IFERROR(VLOOKUP($B38,Kraftvärmeprod!$B$1:$BX$550,MATCH(AC$2,Kraftvärmeprod!$B$1:$VX$1,0),FALSE)/1,0)-IFERROR(VLOOKUP($B38,'Slutlig allokering kvv'!$B$2:$BX$550,MATCH(AC$2,'Slutlig allokering kvv'!$B$1:$BX$1,0),FALSE)/1,0))</f>
        <v/>
      </c>
      <c r="AD38" s="31" t="str">
        <f>IF($D38="","",IFERROR(VLOOKUP($B38,Kraftvärmeprod!$B$1:$BX$550,MATCH(AD$2,Kraftvärmeprod!$B$1:$VX$1,0),FALSE)/1,0)-IFERROR(VLOOKUP($B38,'Slutlig allokering kvv'!$B$2:$BX$550,MATCH(AD$2,'Slutlig allokering kvv'!$B$1:$BX$1,0),FALSE)/1,0))</f>
        <v/>
      </c>
      <c r="AE38" s="31" t="str">
        <f>IF($D38="","",IFERROR(VLOOKUP($B38,Miljö!$B$1:$E$550,MATCH("Hjälpel kraftvärme (GWh)",Miljö!$B$1:$E$1,0),FALSE)/1,0)-IFERROR(VLOOKUP($B38,'Slutlig allokering kvv'!$B$2:$BX$549,MATCH(AE$2,'Slutlig allokering kvv'!$B$1:$BX$1,0),FALSE)/1,0))</f>
        <v/>
      </c>
      <c r="AI38" s="39">
        <f t="shared" si="0"/>
        <v>0</v>
      </c>
      <c r="AK38" s="31">
        <f>IFERROR(VLOOKUP($B38,'Slutlig allokering kvv'!$B$2:$AX$549,MATCH("Summa slutlig allokerad tillförd energi (utan hjälpel och rökgaskondensering):",'Slutlig allokering kvv'!$B$1:$AX$1,0),FALSE)/1,"")</f>
        <v>0</v>
      </c>
      <c r="AM38" s="31" t="str">
        <f>IFERROR(1-VLOOKUP($B38,'Slutlig allokering kvv'!$B$2:$AX$549,MATCH("Andel av bränsle i kvv som allokerats till värme, exklusive rökgaskondensering och hjälpel",'Slutlig allokering kvv'!$B$1:$AX$1,0),FALSE),"")</f>
        <v/>
      </c>
      <c r="AO38" s="31" t="str">
        <f t="shared" si="1"/>
        <v/>
      </c>
      <c r="AP38" s="31" t="str">
        <f t="shared" si="2"/>
        <v/>
      </c>
      <c r="AR38" s="32" t="str">
        <f t="shared" si="3"/>
        <v/>
      </c>
    </row>
    <row r="39" spans="1:44" s="31" customFormat="1" x14ac:dyDescent="0.45">
      <c r="A39" s="31" t="s">
        <v>644</v>
      </c>
      <c r="B39" s="31" t="s">
        <v>645</v>
      </c>
      <c r="C39" s="31" t="str">
        <f>IFERROR(VLOOKUP($B39,Kraftvärmeprod!$B$1:$AH$479,MATCH(C$2,Kraftvärmeprod!$B$1:$AG$1,0),FALSE)/1,"")</f>
        <v/>
      </c>
      <c r="D39" s="31" t="str">
        <f>IFERROR(VLOOKUP($B39,Kraftvärmeprod!$B$1:$AH$479,MATCH(D$2,Kraftvärmeprod!$B$1:$AG$1,0),FALSE)/1,"")</f>
        <v/>
      </c>
      <c r="F39" s="31" t="str">
        <f>IF($D39="","",IFERROR(VLOOKUP($B39,Kraftvärmeprod!$B$1:$BX$550,MATCH(F$2,Kraftvärmeprod!$B$1:$VX$1,0),FALSE)/1,0)-IFERROR(VLOOKUP($B39,'Slutlig allokering kvv'!$B$2:$BX$550,MATCH(F$2,'Slutlig allokering kvv'!$B$1:$BX$1,0),FALSE)/1,0))</f>
        <v/>
      </c>
      <c r="G39" s="31" t="str">
        <f>IF($D39="","",IFERROR(VLOOKUP($B39,Kraftvärmeprod!$B$1:$BX$550,MATCH(G$2,Kraftvärmeprod!$B$1:$VX$1,0),FALSE)/1,0)-IFERROR(VLOOKUP($B39,'Slutlig allokering kvv'!$B$2:$BX$550,MATCH(G$2,'Slutlig allokering kvv'!$B$1:$BX$1,0),FALSE)/1,0))</f>
        <v/>
      </c>
      <c r="H39" s="31" t="str">
        <f>IF($D39="","",IFERROR(VLOOKUP($B39,Kraftvärmeprod!$B$1:$BX$550,MATCH(H$2,Kraftvärmeprod!$B$1:$VX$1,0),FALSE)/1,0)-IFERROR(VLOOKUP($B39,'Slutlig allokering kvv'!$B$2:$BX$550,MATCH(H$2,'Slutlig allokering kvv'!$B$1:$BX$1,0),FALSE)/1,0))</f>
        <v/>
      </c>
      <c r="I39" s="31" t="str">
        <f>IF($D39="","",IFERROR(VLOOKUP($B39,Kraftvärmeprod!$B$1:$BX$550,MATCH(I$2,Kraftvärmeprod!$B$1:$VX$1,0),FALSE)/1,0)-IFERROR(VLOOKUP($B39,'Slutlig allokering kvv'!$B$2:$BX$550,MATCH(I$2,'Slutlig allokering kvv'!$B$1:$BX$1,0),FALSE)/1,0))</f>
        <v/>
      </c>
      <c r="J39" s="31" t="str">
        <f>IF($D39="","",IFERROR(VLOOKUP($B39,Kraftvärmeprod!$B$1:$BX$550,MATCH(J$2,Kraftvärmeprod!$B$1:$VX$1,0),FALSE)/1,0)-IFERROR(VLOOKUP($B39,'Slutlig allokering kvv'!$B$2:$BX$550,MATCH(J$2,'Slutlig allokering kvv'!$B$1:$BX$1,0),FALSE)/1,0))</f>
        <v/>
      </c>
      <c r="K39" s="31" t="str">
        <f>IF($D39="","",IFERROR(VLOOKUP($B39,Kraftvärmeprod!$B$1:$BX$550,MATCH(K$2,Kraftvärmeprod!$B$1:$VX$1,0),FALSE)/1,0)-IFERROR(VLOOKUP($B39,'Slutlig allokering kvv'!$B$2:$BX$550,MATCH(K$2,'Slutlig allokering kvv'!$B$1:$BX$1,0),FALSE)/1,0))</f>
        <v/>
      </c>
      <c r="L39" s="31" t="str">
        <f>IF($D39="","",IFERROR(VLOOKUP($B39,Kraftvärmeprod!$B$1:$BX$550,MATCH(L$2,Kraftvärmeprod!$B$1:$VX$1,0),FALSE)/1,0)-IFERROR(VLOOKUP($B39,'Slutlig allokering kvv'!$B$2:$BX$550,MATCH(L$2,'Slutlig allokering kvv'!$B$1:$BX$1,0),FALSE)/1,0))</f>
        <v/>
      </c>
      <c r="M39" s="31" t="str">
        <f>IF($D39="","",IFERROR(VLOOKUP($B39,Kraftvärmeprod!$B$1:$BX$550,MATCH(M$2,Kraftvärmeprod!$B$1:$VX$1,0),FALSE)/1,0)-IFERROR(VLOOKUP($B39,'Slutlig allokering kvv'!$B$2:$BX$550,MATCH(M$2,'Slutlig allokering kvv'!$B$1:$BX$1,0),FALSE)/1,0))</f>
        <v/>
      </c>
      <c r="N39" s="31" t="str">
        <f>IF($D39="","",IFERROR(VLOOKUP($B39,Kraftvärmeprod!$B$1:$BX$550,MATCH(N$2,Kraftvärmeprod!$B$1:$VX$1,0),FALSE)/1,0)-IFERROR(VLOOKUP($B39,'Slutlig allokering kvv'!$B$2:$BX$550,MATCH(N$2,'Slutlig allokering kvv'!$B$1:$BX$1,0),FALSE)/1,0))</f>
        <v/>
      </c>
      <c r="O39" s="31" t="str">
        <f>IF($D39="","",IFERROR(VLOOKUP($B39,Kraftvärmeprod!$B$1:$BX$550,MATCH(O$2,Kraftvärmeprod!$B$1:$VX$1,0),FALSE)/1,0)-IFERROR(VLOOKUP($B39,'Slutlig allokering kvv'!$B$2:$BX$550,MATCH(O$2,'Slutlig allokering kvv'!$B$1:$BX$1,0),FALSE)/1,0))</f>
        <v/>
      </c>
      <c r="P39" s="31" t="str">
        <f>IF($D39="","",IFERROR(VLOOKUP($B39,Kraftvärmeprod!$B$1:$BX$550,MATCH(P$2,Kraftvärmeprod!$B$1:$VX$1,0),FALSE)/1,0)-IFERROR(VLOOKUP($B39,'Slutlig allokering kvv'!$B$2:$BX$550,MATCH(P$2,'Slutlig allokering kvv'!$B$1:$BX$1,0),FALSE)/1,0))</f>
        <v/>
      </c>
      <c r="Q39" s="31" t="str">
        <f>IF($D39="","",IFERROR(VLOOKUP($B39,Kraftvärmeprod!$B$1:$BX$550,MATCH(Q$2,Kraftvärmeprod!$B$1:$VX$1,0),FALSE)/1,0)-IFERROR(VLOOKUP($B39,'Slutlig allokering kvv'!$B$2:$BX$550,MATCH(Q$2,'Slutlig allokering kvv'!$B$1:$BX$1,0),FALSE)/1,0))</f>
        <v/>
      </c>
      <c r="R39" s="31" t="str">
        <f>IF($D39="","",IFERROR(VLOOKUP($B39,Kraftvärmeprod!$B$1:$BX$550,MATCH(R$2,Kraftvärmeprod!$B$1:$VX$1,0),FALSE)/1,0)-IFERROR(VLOOKUP($B39,'Slutlig allokering kvv'!$B$2:$BX$550,MATCH(R$2,'Slutlig allokering kvv'!$B$1:$BX$1,0),FALSE)/1,0))</f>
        <v/>
      </c>
      <c r="S39" s="31" t="str">
        <f>IF($D39="","",IFERROR(VLOOKUP($B39,Kraftvärmeprod!$B$1:$BX$550,MATCH(S$2,Kraftvärmeprod!$B$1:$VX$1,0),FALSE)/1,0)-IFERROR(VLOOKUP($B39,'Slutlig allokering kvv'!$B$2:$BX$550,MATCH(S$2,'Slutlig allokering kvv'!$B$1:$BX$1,0),FALSE)/1,0))</f>
        <v/>
      </c>
      <c r="T39" s="31" t="str">
        <f>IF($D39="","",IFERROR(VLOOKUP($B39,Kraftvärmeprod!$B$1:$BX$550,MATCH(T$2,Kraftvärmeprod!$B$1:$VX$1,0),FALSE)/1,0)-IFERROR(VLOOKUP($B39,'Slutlig allokering kvv'!$B$2:$BX$550,MATCH(T$2,'Slutlig allokering kvv'!$B$1:$BX$1,0),FALSE)/1,0))</f>
        <v/>
      </c>
      <c r="U39" s="31" t="str">
        <f>IF($D39="","",IFERROR(VLOOKUP($B39,Kraftvärmeprod!$B$1:$BX$550,MATCH(U$2,Kraftvärmeprod!$B$1:$VX$1,0),FALSE)/1,0)-IFERROR(VLOOKUP($B39,'Slutlig allokering kvv'!$B$2:$BX$550,MATCH(U$2,'Slutlig allokering kvv'!$B$1:$BX$1,0),FALSE)/1,0))</f>
        <v/>
      </c>
      <c r="V39" s="31" t="str">
        <f>IF($D39="","",IFERROR(VLOOKUP($B39,Kraftvärmeprod!$B$1:$BX$550,MATCH(V$2,Kraftvärmeprod!$B$1:$VX$1,0),FALSE)/1,0)-IFERROR(VLOOKUP($B39,'Slutlig allokering kvv'!$B$2:$BX$550,MATCH(V$2,'Slutlig allokering kvv'!$B$1:$BX$1,0),FALSE)/1,0))</f>
        <v/>
      </c>
      <c r="W39" s="31" t="str">
        <f>IF($D39="","",IFERROR(VLOOKUP($B39,Kraftvärmeprod!$B$1:$BX$550,MATCH(W$2,Kraftvärmeprod!$B$1:$VX$1,0),FALSE)/1,0)-IFERROR(VLOOKUP($B39,'Slutlig allokering kvv'!$B$2:$BX$550,MATCH(W$2,'Slutlig allokering kvv'!$B$1:$BX$1,0),FALSE)/1,0))</f>
        <v/>
      </c>
      <c r="X39" s="31" t="str">
        <f>IF($D39="","",IFERROR(VLOOKUP($B39,Kraftvärmeprod!$B$1:$BX$550,MATCH(X$2,Kraftvärmeprod!$B$1:$VX$1,0),FALSE)/1,0)-IFERROR(VLOOKUP($B39,'Slutlig allokering kvv'!$B$2:$BX$550,MATCH(X$2,'Slutlig allokering kvv'!$B$1:$BX$1,0),FALSE)/1,0))</f>
        <v/>
      </c>
      <c r="Y39" s="31" t="str">
        <f>IF($D39="","",IFERROR(VLOOKUP($B39,Kraftvärmeprod!$B$1:$BX$550,MATCH(Y$2,Kraftvärmeprod!$B$1:$VX$1,0),FALSE)/1,0)-IFERROR(VLOOKUP($B39,'Slutlig allokering kvv'!$B$2:$BX$550,MATCH(Y$2,'Slutlig allokering kvv'!$B$1:$BX$1,0),FALSE)/1,0))</f>
        <v/>
      </c>
      <c r="Z39" s="31" t="str">
        <f>IF($D39="","",IFERROR(VLOOKUP($B39,Kraftvärmeprod!$B$1:$BX$550,MATCH(Z$2,Kraftvärmeprod!$B$1:$VX$1,0),FALSE)/1,0)-IFERROR(VLOOKUP($B39,'Slutlig allokering kvv'!$B$2:$BX$550,MATCH(Z$2,'Slutlig allokering kvv'!$B$1:$BX$1,0),FALSE)/1,0))</f>
        <v/>
      </c>
      <c r="AA39" s="31" t="str">
        <f>IF($D39="","",IFERROR(VLOOKUP($B39,Kraftvärmeprod!$B$1:$BX$550,MATCH(AA$2,Kraftvärmeprod!$B$1:$VX$1,0),FALSE)/1,0)-IFERROR(VLOOKUP($B39,'Slutlig allokering kvv'!$B$2:$BX$550,MATCH(AA$2,'Slutlig allokering kvv'!$B$1:$BX$1,0),FALSE)/1,0))</f>
        <v/>
      </c>
      <c r="AB39" s="31" t="str">
        <f>IF($D39="","",IFERROR(VLOOKUP($B39,Kraftvärmeprod!$B$1:$BX$550,MATCH(AB$2,Kraftvärmeprod!$B$1:$VX$1,0),FALSE)/1,0)-IFERROR(VLOOKUP($B39,'Slutlig allokering kvv'!$B$2:$BX$550,MATCH(AB$2,'Slutlig allokering kvv'!$B$1:$BX$1,0),FALSE)/1,0))</f>
        <v/>
      </c>
      <c r="AC39" s="31" t="str">
        <f>IF($D39="","",IFERROR(VLOOKUP($B39,Kraftvärmeprod!$B$1:$BX$550,MATCH(AC$2,Kraftvärmeprod!$B$1:$VX$1,0),FALSE)/1,0)-IFERROR(VLOOKUP($B39,'Slutlig allokering kvv'!$B$2:$BX$550,MATCH(AC$2,'Slutlig allokering kvv'!$B$1:$BX$1,0),FALSE)/1,0))</f>
        <v/>
      </c>
      <c r="AD39" s="31" t="str">
        <f>IF($D39="","",IFERROR(VLOOKUP($B39,Kraftvärmeprod!$B$1:$BX$550,MATCH(AD$2,Kraftvärmeprod!$B$1:$VX$1,0),FALSE)/1,0)-IFERROR(VLOOKUP($B39,'Slutlig allokering kvv'!$B$2:$BX$550,MATCH(AD$2,'Slutlig allokering kvv'!$B$1:$BX$1,0),FALSE)/1,0))</f>
        <v/>
      </c>
      <c r="AE39" s="31" t="str">
        <f>IF($D39="","",IFERROR(VLOOKUP($B39,Miljö!$B$1:$E$550,MATCH("Hjälpel kraftvärme (GWh)",Miljö!$B$1:$E$1,0),FALSE)/1,0)-IFERROR(VLOOKUP($B39,'Slutlig allokering kvv'!$B$2:$BX$549,MATCH(AE$2,'Slutlig allokering kvv'!$B$1:$BX$1,0),FALSE)/1,0))</f>
        <v/>
      </c>
      <c r="AI39" s="39">
        <f t="shared" si="0"/>
        <v>0</v>
      </c>
      <c r="AK39" s="31">
        <f>IFERROR(VLOOKUP($B39,'Slutlig allokering kvv'!$B$2:$AX$549,MATCH("Summa slutlig allokerad tillförd energi (utan hjälpel och rökgaskondensering):",'Slutlig allokering kvv'!$B$1:$AX$1,0),FALSE)/1,"")</f>
        <v>0</v>
      </c>
      <c r="AM39" s="31" t="str">
        <f>IFERROR(1-VLOOKUP($B39,'Slutlig allokering kvv'!$B$2:$AX$549,MATCH("Andel av bränsle i kvv som allokerats till värme, exklusive rökgaskondensering och hjälpel",'Slutlig allokering kvv'!$B$1:$AX$1,0),FALSE),"")</f>
        <v/>
      </c>
      <c r="AO39" s="31" t="str">
        <f t="shared" si="1"/>
        <v/>
      </c>
      <c r="AP39" s="31" t="str">
        <f t="shared" si="2"/>
        <v/>
      </c>
      <c r="AR39" s="32" t="str">
        <f t="shared" si="3"/>
        <v/>
      </c>
    </row>
    <row r="40" spans="1:44" s="31" customFormat="1" x14ac:dyDescent="0.45">
      <c r="A40" s="31" t="s">
        <v>644</v>
      </c>
      <c r="B40" s="31" t="s">
        <v>643</v>
      </c>
      <c r="C40" s="31" t="str">
        <f>IFERROR(VLOOKUP($B40,Kraftvärmeprod!$B$1:$AH$479,MATCH(C$2,Kraftvärmeprod!$B$1:$AG$1,0),FALSE)/1,"")</f>
        <v/>
      </c>
      <c r="D40" s="31" t="str">
        <f>IFERROR(VLOOKUP($B40,Kraftvärmeprod!$B$1:$AH$479,MATCH(D$2,Kraftvärmeprod!$B$1:$AG$1,0),FALSE)/1,"")</f>
        <v/>
      </c>
      <c r="F40" s="31" t="str">
        <f>IF($D40="","",IFERROR(VLOOKUP($B40,Kraftvärmeprod!$B$1:$BX$550,MATCH(F$2,Kraftvärmeprod!$B$1:$VX$1,0),FALSE)/1,0)-IFERROR(VLOOKUP($B40,'Slutlig allokering kvv'!$B$2:$BX$550,MATCH(F$2,'Slutlig allokering kvv'!$B$1:$BX$1,0),FALSE)/1,0))</f>
        <v/>
      </c>
      <c r="G40" s="31" t="str">
        <f>IF($D40="","",IFERROR(VLOOKUP($B40,Kraftvärmeprod!$B$1:$BX$550,MATCH(G$2,Kraftvärmeprod!$B$1:$VX$1,0),FALSE)/1,0)-IFERROR(VLOOKUP($B40,'Slutlig allokering kvv'!$B$2:$BX$550,MATCH(G$2,'Slutlig allokering kvv'!$B$1:$BX$1,0),FALSE)/1,0))</f>
        <v/>
      </c>
      <c r="H40" s="31" t="str">
        <f>IF($D40="","",IFERROR(VLOOKUP($B40,Kraftvärmeprod!$B$1:$BX$550,MATCH(H$2,Kraftvärmeprod!$B$1:$VX$1,0),FALSE)/1,0)-IFERROR(VLOOKUP($B40,'Slutlig allokering kvv'!$B$2:$BX$550,MATCH(H$2,'Slutlig allokering kvv'!$B$1:$BX$1,0),FALSE)/1,0))</f>
        <v/>
      </c>
      <c r="I40" s="31" t="str">
        <f>IF($D40="","",IFERROR(VLOOKUP($B40,Kraftvärmeprod!$B$1:$BX$550,MATCH(I$2,Kraftvärmeprod!$B$1:$VX$1,0),FALSE)/1,0)-IFERROR(VLOOKUP($B40,'Slutlig allokering kvv'!$B$2:$BX$550,MATCH(I$2,'Slutlig allokering kvv'!$B$1:$BX$1,0),FALSE)/1,0))</f>
        <v/>
      </c>
      <c r="J40" s="31" t="str">
        <f>IF($D40="","",IFERROR(VLOOKUP($B40,Kraftvärmeprod!$B$1:$BX$550,MATCH(J$2,Kraftvärmeprod!$B$1:$VX$1,0),FALSE)/1,0)-IFERROR(VLOOKUP($B40,'Slutlig allokering kvv'!$B$2:$BX$550,MATCH(J$2,'Slutlig allokering kvv'!$B$1:$BX$1,0),FALSE)/1,0))</f>
        <v/>
      </c>
      <c r="K40" s="31" t="str">
        <f>IF($D40="","",IFERROR(VLOOKUP($B40,Kraftvärmeprod!$B$1:$BX$550,MATCH(K$2,Kraftvärmeprod!$B$1:$VX$1,0),FALSE)/1,0)-IFERROR(VLOOKUP($B40,'Slutlig allokering kvv'!$B$2:$BX$550,MATCH(K$2,'Slutlig allokering kvv'!$B$1:$BX$1,0),FALSE)/1,0))</f>
        <v/>
      </c>
      <c r="L40" s="31" t="str">
        <f>IF($D40="","",IFERROR(VLOOKUP($B40,Kraftvärmeprod!$B$1:$BX$550,MATCH(L$2,Kraftvärmeprod!$B$1:$VX$1,0),FALSE)/1,0)-IFERROR(VLOOKUP($B40,'Slutlig allokering kvv'!$B$2:$BX$550,MATCH(L$2,'Slutlig allokering kvv'!$B$1:$BX$1,0),FALSE)/1,0))</f>
        <v/>
      </c>
      <c r="M40" s="31" t="str">
        <f>IF($D40="","",IFERROR(VLOOKUP($B40,Kraftvärmeprod!$B$1:$BX$550,MATCH(M$2,Kraftvärmeprod!$B$1:$VX$1,0),FALSE)/1,0)-IFERROR(VLOOKUP($B40,'Slutlig allokering kvv'!$B$2:$BX$550,MATCH(M$2,'Slutlig allokering kvv'!$B$1:$BX$1,0),FALSE)/1,0))</f>
        <v/>
      </c>
      <c r="N40" s="31" t="str">
        <f>IF($D40="","",IFERROR(VLOOKUP($B40,Kraftvärmeprod!$B$1:$BX$550,MATCH(N$2,Kraftvärmeprod!$B$1:$VX$1,0),FALSE)/1,0)-IFERROR(VLOOKUP($B40,'Slutlig allokering kvv'!$B$2:$BX$550,MATCH(N$2,'Slutlig allokering kvv'!$B$1:$BX$1,0),FALSE)/1,0))</f>
        <v/>
      </c>
      <c r="O40" s="31" t="str">
        <f>IF($D40="","",IFERROR(VLOOKUP($B40,Kraftvärmeprod!$B$1:$BX$550,MATCH(O$2,Kraftvärmeprod!$B$1:$VX$1,0),FALSE)/1,0)-IFERROR(VLOOKUP($B40,'Slutlig allokering kvv'!$B$2:$BX$550,MATCH(O$2,'Slutlig allokering kvv'!$B$1:$BX$1,0),FALSE)/1,0))</f>
        <v/>
      </c>
      <c r="P40" s="31" t="str">
        <f>IF($D40="","",IFERROR(VLOOKUP($B40,Kraftvärmeprod!$B$1:$BX$550,MATCH(P$2,Kraftvärmeprod!$B$1:$VX$1,0),FALSE)/1,0)-IFERROR(VLOOKUP($B40,'Slutlig allokering kvv'!$B$2:$BX$550,MATCH(P$2,'Slutlig allokering kvv'!$B$1:$BX$1,0),FALSE)/1,0))</f>
        <v/>
      </c>
      <c r="Q40" s="31" t="str">
        <f>IF($D40="","",IFERROR(VLOOKUP($B40,Kraftvärmeprod!$B$1:$BX$550,MATCH(Q$2,Kraftvärmeprod!$B$1:$VX$1,0),FALSE)/1,0)-IFERROR(VLOOKUP($B40,'Slutlig allokering kvv'!$B$2:$BX$550,MATCH(Q$2,'Slutlig allokering kvv'!$B$1:$BX$1,0),FALSE)/1,0))</f>
        <v/>
      </c>
      <c r="R40" s="31" t="str">
        <f>IF($D40="","",IFERROR(VLOOKUP($B40,Kraftvärmeprod!$B$1:$BX$550,MATCH(R$2,Kraftvärmeprod!$B$1:$VX$1,0),FALSE)/1,0)-IFERROR(VLOOKUP($B40,'Slutlig allokering kvv'!$B$2:$BX$550,MATCH(R$2,'Slutlig allokering kvv'!$B$1:$BX$1,0),FALSE)/1,0))</f>
        <v/>
      </c>
      <c r="S40" s="31" t="str">
        <f>IF($D40="","",IFERROR(VLOOKUP($B40,Kraftvärmeprod!$B$1:$BX$550,MATCH(S$2,Kraftvärmeprod!$B$1:$VX$1,0),FALSE)/1,0)-IFERROR(VLOOKUP($B40,'Slutlig allokering kvv'!$B$2:$BX$550,MATCH(S$2,'Slutlig allokering kvv'!$B$1:$BX$1,0),FALSE)/1,0))</f>
        <v/>
      </c>
      <c r="T40" s="31" t="str">
        <f>IF($D40="","",IFERROR(VLOOKUP($B40,Kraftvärmeprod!$B$1:$BX$550,MATCH(T$2,Kraftvärmeprod!$B$1:$VX$1,0),FALSE)/1,0)-IFERROR(VLOOKUP($B40,'Slutlig allokering kvv'!$B$2:$BX$550,MATCH(T$2,'Slutlig allokering kvv'!$B$1:$BX$1,0),FALSE)/1,0))</f>
        <v/>
      </c>
      <c r="U40" s="31" t="str">
        <f>IF($D40="","",IFERROR(VLOOKUP($B40,Kraftvärmeprod!$B$1:$BX$550,MATCH(U$2,Kraftvärmeprod!$B$1:$VX$1,0),FALSE)/1,0)-IFERROR(VLOOKUP($B40,'Slutlig allokering kvv'!$B$2:$BX$550,MATCH(U$2,'Slutlig allokering kvv'!$B$1:$BX$1,0),FALSE)/1,0))</f>
        <v/>
      </c>
      <c r="V40" s="31" t="str">
        <f>IF($D40="","",IFERROR(VLOOKUP($B40,Kraftvärmeprod!$B$1:$BX$550,MATCH(V$2,Kraftvärmeprod!$B$1:$VX$1,0),FALSE)/1,0)-IFERROR(VLOOKUP($B40,'Slutlig allokering kvv'!$B$2:$BX$550,MATCH(V$2,'Slutlig allokering kvv'!$B$1:$BX$1,0),FALSE)/1,0))</f>
        <v/>
      </c>
      <c r="W40" s="31" t="str">
        <f>IF($D40="","",IFERROR(VLOOKUP($B40,Kraftvärmeprod!$B$1:$BX$550,MATCH(W$2,Kraftvärmeprod!$B$1:$VX$1,0),FALSE)/1,0)-IFERROR(VLOOKUP($B40,'Slutlig allokering kvv'!$B$2:$BX$550,MATCH(W$2,'Slutlig allokering kvv'!$B$1:$BX$1,0),FALSE)/1,0))</f>
        <v/>
      </c>
      <c r="X40" s="31" t="str">
        <f>IF($D40="","",IFERROR(VLOOKUP($B40,Kraftvärmeprod!$B$1:$BX$550,MATCH(X$2,Kraftvärmeprod!$B$1:$VX$1,0),FALSE)/1,0)-IFERROR(VLOOKUP($B40,'Slutlig allokering kvv'!$B$2:$BX$550,MATCH(X$2,'Slutlig allokering kvv'!$B$1:$BX$1,0),FALSE)/1,0))</f>
        <v/>
      </c>
      <c r="Y40" s="31" t="str">
        <f>IF($D40="","",IFERROR(VLOOKUP($B40,Kraftvärmeprod!$B$1:$BX$550,MATCH(Y$2,Kraftvärmeprod!$B$1:$VX$1,0),FALSE)/1,0)-IFERROR(VLOOKUP($B40,'Slutlig allokering kvv'!$B$2:$BX$550,MATCH(Y$2,'Slutlig allokering kvv'!$B$1:$BX$1,0),FALSE)/1,0))</f>
        <v/>
      </c>
      <c r="Z40" s="31" t="str">
        <f>IF($D40="","",IFERROR(VLOOKUP($B40,Kraftvärmeprod!$B$1:$BX$550,MATCH(Z$2,Kraftvärmeprod!$B$1:$VX$1,0),FALSE)/1,0)-IFERROR(VLOOKUP($B40,'Slutlig allokering kvv'!$B$2:$BX$550,MATCH(Z$2,'Slutlig allokering kvv'!$B$1:$BX$1,0),FALSE)/1,0))</f>
        <v/>
      </c>
      <c r="AA40" s="31" t="str">
        <f>IF($D40="","",IFERROR(VLOOKUP($B40,Kraftvärmeprod!$B$1:$BX$550,MATCH(AA$2,Kraftvärmeprod!$B$1:$VX$1,0),FALSE)/1,0)-IFERROR(VLOOKUP($B40,'Slutlig allokering kvv'!$B$2:$BX$550,MATCH(AA$2,'Slutlig allokering kvv'!$B$1:$BX$1,0),FALSE)/1,0))</f>
        <v/>
      </c>
      <c r="AB40" s="31" t="str">
        <f>IF($D40="","",IFERROR(VLOOKUP($B40,Kraftvärmeprod!$B$1:$BX$550,MATCH(AB$2,Kraftvärmeprod!$B$1:$VX$1,0),FALSE)/1,0)-IFERROR(VLOOKUP($B40,'Slutlig allokering kvv'!$B$2:$BX$550,MATCH(AB$2,'Slutlig allokering kvv'!$B$1:$BX$1,0),FALSE)/1,0))</f>
        <v/>
      </c>
      <c r="AC40" s="31" t="str">
        <f>IF($D40="","",IFERROR(VLOOKUP($B40,Kraftvärmeprod!$B$1:$BX$550,MATCH(AC$2,Kraftvärmeprod!$B$1:$VX$1,0),FALSE)/1,0)-IFERROR(VLOOKUP($B40,'Slutlig allokering kvv'!$B$2:$BX$550,MATCH(AC$2,'Slutlig allokering kvv'!$B$1:$BX$1,0),FALSE)/1,0))</f>
        <v/>
      </c>
      <c r="AD40" s="31" t="str">
        <f>IF($D40="","",IFERROR(VLOOKUP($B40,Kraftvärmeprod!$B$1:$BX$550,MATCH(AD$2,Kraftvärmeprod!$B$1:$VX$1,0),FALSE)/1,0)-IFERROR(VLOOKUP($B40,'Slutlig allokering kvv'!$B$2:$BX$550,MATCH(AD$2,'Slutlig allokering kvv'!$B$1:$BX$1,0),FALSE)/1,0))</f>
        <v/>
      </c>
      <c r="AE40" s="31" t="str">
        <f>IF($D40="","",IFERROR(VLOOKUP($B40,Miljö!$B$1:$E$550,MATCH("Hjälpel kraftvärme (GWh)",Miljö!$B$1:$E$1,0),FALSE)/1,0)-IFERROR(VLOOKUP($B40,'Slutlig allokering kvv'!$B$2:$BX$549,MATCH(AE$2,'Slutlig allokering kvv'!$B$1:$BX$1,0),FALSE)/1,0))</f>
        <v/>
      </c>
      <c r="AI40" s="39">
        <f t="shared" si="0"/>
        <v>0</v>
      </c>
      <c r="AK40" s="31">
        <f>IFERROR(VLOOKUP($B40,'Slutlig allokering kvv'!$B$2:$AX$549,MATCH("Summa slutlig allokerad tillförd energi (utan hjälpel och rökgaskondensering):",'Slutlig allokering kvv'!$B$1:$AX$1,0),FALSE)/1,"")</f>
        <v>0</v>
      </c>
      <c r="AM40" s="31" t="str">
        <f>IFERROR(1-VLOOKUP($B40,'Slutlig allokering kvv'!$B$2:$AX$549,MATCH("Andel av bränsle i kvv som allokerats till värme, exklusive rökgaskondensering och hjälpel",'Slutlig allokering kvv'!$B$1:$AX$1,0),FALSE),"")</f>
        <v/>
      </c>
      <c r="AO40" s="31" t="str">
        <f t="shared" si="1"/>
        <v/>
      </c>
      <c r="AP40" s="31" t="str">
        <f t="shared" si="2"/>
        <v/>
      </c>
      <c r="AR40" s="32" t="str">
        <f t="shared" si="3"/>
        <v/>
      </c>
    </row>
    <row r="41" spans="1:44" s="31" customFormat="1" x14ac:dyDescent="0.45">
      <c r="A41" s="31" t="s">
        <v>640</v>
      </c>
      <c r="B41" s="31" t="s">
        <v>642</v>
      </c>
      <c r="C41" s="31">
        <f>IFERROR(VLOOKUP($B41,Kraftvärmeprod!$B$1:$AH$479,MATCH(C$2,Kraftvärmeprod!$B$1:$AG$1,0),FALSE)/1,"")</f>
        <v>184.54900000000001</v>
      </c>
      <c r="D41" s="31">
        <f>IFERROR(VLOOKUP($B41,Kraftvärmeprod!$B$1:$AH$479,MATCH(D$2,Kraftvärmeprod!$B$1:$AG$1,0),FALSE)/1,"")</f>
        <v>40.698999999999998</v>
      </c>
      <c r="F41" s="31">
        <f>IF($D41="","",IFERROR(VLOOKUP($B41,Kraftvärmeprod!$B$1:$BX$550,MATCH(F$2,Kraftvärmeprod!$B$1:$VX$1,0),FALSE)/1,0)-IFERROR(VLOOKUP($B41,'Slutlig allokering kvv'!$B$2:$BX$550,MATCH(F$2,'Slutlig allokering kvv'!$B$1:$BX$1,0),FALSE)/1,0))</f>
        <v>0</v>
      </c>
      <c r="G41" s="31">
        <f>IF($D41="","",IFERROR(VLOOKUP($B41,Kraftvärmeprod!$B$1:$BX$550,MATCH(G$2,Kraftvärmeprod!$B$1:$VX$1,0),FALSE)/1,0)-IFERROR(VLOOKUP($B41,'Slutlig allokering kvv'!$B$2:$BX$550,MATCH(G$2,'Slutlig allokering kvv'!$B$1:$BX$1,0),FALSE)/1,0))</f>
        <v>0</v>
      </c>
      <c r="H41" s="31">
        <f>IF($D41="","",IFERROR(VLOOKUP($B41,Kraftvärmeprod!$B$1:$BX$550,MATCH(H$2,Kraftvärmeprod!$B$1:$VX$1,0),FALSE)/1,0)-IFERROR(VLOOKUP($B41,'Slutlig allokering kvv'!$B$2:$BX$550,MATCH(H$2,'Slutlig allokering kvv'!$B$1:$BX$1,0),FALSE)/1,0))</f>
        <v>0</v>
      </c>
      <c r="I41" s="31">
        <f>IF($D41="","",IFERROR(VLOOKUP($B41,Kraftvärmeprod!$B$1:$BX$550,MATCH(I$2,Kraftvärmeprod!$B$1:$VX$1,0),FALSE)/1,0)-IFERROR(VLOOKUP($B41,'Slutlig allokering kvv'!$B$2:$BX$550,MATCH(I$2,'Slutlig allokering kvv'!$B$1:$BX$1,0),FALSE)/1,0))</f>
        <v>0</v>
      </c>
      <c r="J41" s="31">
        <f>IF($D41="","",IFERROR(VLOOKUP($B41,Kraftvärmeprod!$B$1:$BX$550,MATCH(J$2,Kraftvärmeprod!$B$1:$VX$1,0),FALSE)/1,0)-IFERROR(VLOOKUP($B41,'Slutlig allokering kvv'!$B$2:$BX$550,MATCH(J$2,'Slutlig allokering kvv'!$B$1:$BX$1,0),FALSE)/1,0))</f>
        <v>0</v>
      </c>
      <c r="K41" s="31">
        <f>IF($D41="","",IFERROR(VLOOKUP($B41,Kraftvärmeprod!$B$1:$BX$550,MATCH(K$2,Kraftvärmeprod!$B$1:$VX$1,0),FALSE)/1,0)-IFERROR(VLOOKUP($B41,'Slutlig allokering kvv'!$B$2:$BX$550,MATCH(K$2,'Slutlig allokering kvv'!$B$1:$BX$1,0),FALSE)/1,0))</f>
        <v>0</v>
      </c>
      <c r="L41" s="31">
        <f>IF($D41="","",IFERROR(VLOOKUP($B41,Kraftvärmeprod!$B$1:$BX$550,MATCH(L$2,Kraftvärmeprod!$B$1:$VX$1,0),FALSE)/1,0)-IFERROR(VLOOKUP($B41,'Slutlig allokering kvv'!$B$2:$BX$550,MATCH(L$2,'Slutlig allokering kvv'!$B$1:$BX$1,0),FALSE)/1,0))</f>
        <v>0</v>
      </c>
      <c r="M41" s="31">
        <f>IF($D41="","",IFERROR(VLOOKUP($B41,Kraftvärmeprod!$B$1:$BX$550,MATCH(M$2,Kraftvärmeprod!$B$1:$VX$1,0),FALSE)/1,0)-IFERROR(VLOOKUP($B41,'Slutlig allokering kvv'!$B$2:$BX$550,MATCH(M$2,'Slutlig allokering kvv'!$B$1:$BX$1,0),FALSE)/1,0))</f>
        <v>0</v>
      </c>
      <c r="N41" s="31">
        <f>IF($D41="","",IFERROR(VLOOKUP($B41,Kraftvärmeprod!$B$1:$BX$550,MATCH(N$2,Kraftvärmeprod!$B$1:$VX$1,0),FALSE)/1,0)-IFERROR(VLOOKUP($B41,'Slutlig allokering kvv'!$B$2:$BX$550,MATCH(N$2,'Slutlig allokering kvv'!$B$1:$BX$1,0),FALSE)/1,0))</f>
        <v>0</v>
      </c>
      <c r="O41" s="31">
        <f>IF($D41="","",IFERROR(VLOOKUP($B41,Kraftvärmeprod!$B$1:$BX$550,MATCH(O$2,Kraftvärmeprod!$B$1:$VX$1,0),FALSE)/1,0)-IFERROR(VLOOKUP($B41,'Slutlig allokering kvv'!$B$2:$BX$550,MATCH(O$2,'Slutlig allokering kvv'!$B$1:$BX$1,0),FALSE)/1,0))</f>
        <v>0</v>
      </c>
      <c r="P41" s="31">
        <f>IF($D41="","",IFERROR(VLOOKUP($B41,Kraftvärmeprod!$B$1:$BX$550,MATCH(P$2,Kraftvärmeprod!$B$1:$VX$1,0),FALSE)/1,0)-IFERROR(VLOOKUP($B41,'Slutlig allokering kvv'!$B$2:$BX$550,MATCH(P$2,'Slutlig allokering kvv'!$B$1:$BX$1,0),FALSE)/1,0))</f>
        <v>0</v>
      </c>
      <c r="Q41" s="31">
        <f>IF($D41="","",IFERROR(VLOOKUP($B41,Kraftvärmeprod!$B$1:$BX$550,MATCH(Q$2,Kraftvärmeprod!$B$1:$VX$1,0),FALSE)/1,0)-IFERROR(VLOOKUP($B41,'Slutlig allokering kvv'!$B$2:$BX$550,MATCH(Q$2,'Slutlig allokering kvv'!$B$1:$BX$1,0),FALSE)/1,0))</f>
        <v>0</v>
      </c>
      <c r="R41" s="31">
        <f>IF($D41="","",IFERROR(VLOOKUP($B41,Kraftvärmeprod!$B$1:$BX$550,MATCH(R$2,Kraftvärmeprod!$B$1:$VX$1,0),FALSE)/1,0)-IFERROR(VLOOKUP($B41,'Slutlig allokering kvv'!$B$2:$BX$550,MATCH(R$2,'Slutlig allokering kvv'!$B$1:$BX$1,0),FALSE)/1,0))</f>
        <v>0</v>
      </c>
      <c r="S41" s="31">
        <f>IF($D41="","",IFERROR(VLOOKUP($B41,Kraftvärmeprod!$B$1:$BX$550,MATCH(S$2,Kraftvärmeprod!$B$1:$VX$1,0),FALSE)/1,0)-IFERROR(VLOOKUP($B41,'Slutlig allokering kvv'!$B$2:$BX$550,MATCH(S$2,'Slutlig allokering kvv'!$B$1:$BX$1,0),FALSE)/1,0))</f>
        <v>0</v>
      </c>
      <c r="T41" s="31">
        <f>IF($D41="","",IFERROR(VLOOKUP($B41,Kraftvärmeprod!$B$1:$BX$550,MATCH(T$2,Kraftvärmeprod!$B$1:$VX$1,0),FALSE)/1,0)-IFERROR(VLOOKUP($B41,'Slutlig allokering kvv'!$B$2:$BX$550,MATCH(T$2,'Slutlig allokering kvv'!$B$1:$BX$1,0),FALSE)/1,0))</f>
        <v>0</v>
      </c>
      <c r="U41" s="31">
        <f>IF($D41="","",IFERROR(VLOOKUP($B41,Kraftvärmeprod!$B$1:$BX$550,MATCH(U$2,Kraftvärmeprod!$B$1:$VX$1,0),FALSE)/1,0)-IFERROR(VLOOKUP($B41,'Slutlig allokering kvv'!$B$2:$BX$550,MATCH(U$2,'Slutlig allokering kvv'!$B$1:$BX$1,0),FALSE)/1,0))</f>
        <v>0</v>
      </c>
      <c r="V41" s="31">
        <f>IF($D41="","",IFERROR(VLOOKUP($B41,Kraftvärmeprod!$B$1:$BX$550,MATCH(V$2,Kraftvärmeprod!$B$1:$VX$1,0),FALSE)/1,0)-IFERROR(VLOOKUP($B41,'Slutlig allokering kvv'!$B$2:$BX$550,MATCH(V$2,'Slutlig allokering kvv'!$B$1:$BX$1,0),FALSE)/1,0))</f>
        <v>2.0160800000000001</v>
      </c>
      <c r="W41" s="31">
        <f>IF($D41="","",IFERROR(VLOOKUP($B41,Kraftvärmeprod!$B$1:$BX$550,MATCH(W$2,Kraftvärmeprod!$B$1:$VX$1,0),FALSE)/1,0)-IFERROR(VLOOKUP($B41,'Slutlig allokering kvv'!$B$2:$BX$550,MATCH(W$2,'Slutlig allokering kvv'!$B$1:$BX$1,0),FALSE)/1,0))</f>
        <v>0</v>
      </c>
      <c r="X41" s="31">
        <f>IF($D41="","",IFERROR(VLOOKUP($B41,Kraftvärmeprod!$B$1:$BX$550,MATCH(X$2,Kraftvärmeprod!$B$1:$VX$1,0),FALSE)/1,0)-IFERROR(VLOOKUP($B41,'Slutlig allokering kvv'!$B$2:$BX$550,MATCH(X$2,'Slutlig allokering kvv'!$B$1:$BX$1,0),FALSE)/1,0))</f>
        <v>3.5782900000000006E-2</v>
      </c>
      <c r="Y41" s="31">
        <f>IF($D41="","",IFERROR(VLOOKUP($B41,Kraftvärmeprod!$B$1:$BX$550,MATCH(Y$2,Kraftvärmeprod!$B$1:$VX$1,0),FALSE)/1,0)-IFERROR(VLOOKUP($B41,'Slutlig allokering kvv'!$B$2:$BX$550,MATCH(Y$2,'Slutlig allokering kvv'!$B$1:$BX$1,0),FALSE)/1,0))</f>
        <v>0</v>
      </c>
      <c r="Z41" s="31">
        <f>IF($D41="","",IFERROR(VLOOKUP($B41,Kraftvärmeprod!$B$1:$BX$550,MATCH(Z$2,Kraftvärmeprod!$B$1:$VX$1,0),FALSE)/1,0)-IFERROR(VLOOKUP($B41,'Slutlig allokering kvv'!$B$2:$BX$550,MATCH(Z$2,'Slutlig allokering kvv'!$B$1:$BX$1,0),FALSE)/1,0))</f>
        <v>0</v>
      </c>
      <c r="AA41" s="31">
        <f>IF($D41="","",IFERROR(VLOOKUP($B41,Kraftvärmeprod!$B$1:$BX$550,MATCH(AA$2,Kraftvärmeprod!$B$1:$VX$1,0),FALSE)/1,0)-IFERROR(VLOOKUP($B41,'Slutlig allokering kvv'!$B$2:$BX$550,MATCH(AA$2,'Slutlig allokering kvv'!$B$1:$BX$1,0),FALSE)/1,0))</f>
        <v>101.261</v>
      </c>
      <c r="AB41" s="31">
        <f>IF($D41="","",IFERROR(VLOOKUP($B41,Kraftvärmeprod!$B$1:$BX$550,MATCH(AB$2,Kraftvärmeprod!$B$1:$VX$1,0),FALSE)/1,0)-IFERROR(VLOOKUP($B41,'Slutlig allokering kvv'!$B$2:$BX$550,MATCH(AB$2,'Slutlig allokering kvv'!$B$1:$BX$1,0),FALSE)/1,0))</f>
        <v>0</v>
      </c>
      <c r="AC41" s="31">
        <f>IF($D41="","",IFERROR(VLOOKUP($B41,Kraftvärmeprod!$B$1:$BX$550,MATCH(AC$2,Kraftvärmeprod!$B$1:$VX$1,0),FALSE)/1,0)-IFERROR(VLOOKUP($B41,'Slutlig allokering kvv'!$B$2:$BX$550,MATCH(AC$2,'Slutlig allokering kvv'!$B$1:$BX$1,0),FALSE)/1,0))</f>
        <v>0</v>
      </c>
      <c r="AD41" s="31">
        <f>IF($D41="","",IFERROR(VLOOKUP($B41,Kraftvärmeprod!$B$1:$BX$550,MATCH(AD$2,Kraftvärmeprod!$B$1:$VX$1,0),FALSE)/1,0)-IFERROR(VLOOKUP($B41,'Slutlig allokering kvv'!$B$2:$BX$550,MATCH(AD$2,'Slutlig allokering kvv'!$B$1:$BX$1,0),FALSE)/1,0))</f>
        <v>0</v>
      </c>
      <c r="AE41" s="31">
        <f>IF($D41="","",IFERROR(VLOOKUP($B41,Miljö!$B$1:$E$550,MATCH("Hjälpel kraftvärme (GWh)",Miljö!$B$1:$E$1,0),FALSE)/1,0)-IFERROR(VLOOKUP($B41,'Slutlig allokering kvv'!$B$2:$BX$549,MATCH(AE$2,'Slutlig allokering kvv'!$B$1:$BX$1,0),FALSE)/1,0))</f>
        <v>2.7756000000000003</v>
      </c>
      <c r="AI41" s="39">
        <f t="shared" si="0"/>
        <v>103.3128629</v>
      </c>
      <c r="AK41" s="31">
        <f>IFERROR(VLOOKUP($B41,'Slutlig allokering kvv'!$B$2:$AX$549,MATCH("Summa slutlig allokerad tillförd energi (utan hjälpel och rökgaskondensering):",'Slutlig allokering kvv'!$B$1:$AX$1,0),FALSE)/1,"")</f>
        <v>147.07813710000002</v>
      </c>
      <c r="AM41" s="31">
        <f>IFERROR(1-VLOOKUP($B41,'Slutlig allokering kvv'!$B$2:$AX$549,MATCH("Andel av bränsle i kvv som allokerats till värme, exklusive rökgaskondensering och hjälpel",'Slutlig allokering kvv'!$B$1:$AX$1,0),FALSE),"")</f>
        <v>0.41260613560391535</v>
      </c>
      <c r="AO41" s="31">
        <f t="shared" si="1"/>
        <v>0.41260613560391546</v>
      </c>
      <c r="AP41" s="31">
        <f t="shared" si="2"/>
        <v>-1.1102230246251565E-16</v>
      </c>
      <c r="AR41" s="32">
        <f t="shared" si="3"/>
        <v>0.3836326673746161</v>
      </c>
    </row>
    <row r="42" spans="1:44" s="31" customFormat="1" x14ac:dyDescent="0.45">
      <c r="A42" s="31" t="s">
        <v>640</v>
      </c>
      <c r="B42" s="31" t="s">
        <v>641</v>
      </c>
      <c r="C42" s="31" t="str">
        <f>IFERROR(VLOOKUP($B42,Kraftvärmeprod!$B$1:$AH$479,MATCH(C$2,Kraftvärmeprod!$B$1:$AG$1,0),FALSE)/1,"")</f>
        <v/>
      </c>
      <c r="D42" s="31" t="str">
        <f>IFERROR(VLOOKUP($B42,Kraftvärmeprod!$B$1:$AH$479,MATCH(D$2,Kraftvärmeprod!$B$1:$AG$1,0),FALSE)/1,"")</f>
        <v/>
      </c>
      <c r="F42" s="31" t="str">
        <f>IF($D42="","",IFERROR(VLOOKUP($B42,Kraftvärmeprod!$B$1:$BX$550,MATCH(F$2,Kraftvärmeprod!$B$1:$VX$1,0),FALSE)/1,0)-IFERROR(VLOOKUP($B42,'Slutlig allokering kvv'!$B$2:$BX$550,MATCH(F$2,'Slutlig allokering kvv'!$B$1:$BX$1,0),FALSE)/1,0))</f>
        <v/>
      </c>
      <c r="G42" s="31" t="str">
        <f>IF($D42="","",IFERROR(VLOOKUP($B42,Kraftvärmeprod!$B$1:$BX$550,MATCH(G$2,Kraftvärmeprod!$B$1:$VX$1,0),FALSE)/1,0)-IFERROR(VLOOKUP($B42,'Slutlig allokering kvv'!$B$2:$BX$550,MATCH(G$2,'Slutlig allokering kvv'!$B$1:$BX$1,0),FALSE)/1,0))</f>
        <v/>
      </c>
      <c r="H42" s="31" t="str">
        <f>IF($D42="","",IFERROR(VLOOKUP($B42,Kraftvärmeprod!$B$1:$BX$550,MATCH(H$2,Kraftvärmeprod!$B$1:$VX$1,0),FALSE)/1,0)-IFERROR(VLOOKUP($B42,'Slutlig allokering kvv'!$B$2:$BX$550,MATCH(H$2,'Slutlig allokering kvv'!$B$1:$BX$1,0),FALSE)/1,0))</f>
        <v/>
      </c>
      <c r="I42" s="31" t="str">
        <f>IF($D42="","",IFERROR(VLOOKUP($B42,Kraftvärmeprod!$B$1:$BX$550,MATCH(I$2,Kraftvärmeprod!$B$1:$VX$1,0),FALSE)/1,0)-IFERROR(VLOOKUP($B42,'Slutlig allokering kvv'!$B$2:$BX$550,MATCH(I$2,'Slutlig allokering kvv'!$B$1:$BX$1,0),FALSE)/1,0))</f>
        <v/>
      </c>
      <c r="J42" s="31" t="str">
        <f>IF($D42="","",IFERROR(VLOOKUP($B42,Kraftvärmeprod!$B$1:$BX$550,MATCH(J$2,Kraftvärmeprod!$B$1:$VX$1,0),FALSE)/1,0)-IFERROR(VLOOKUP($B42,'Slutlig allokering kvv'!$B$2:$BX$550,MATCH(J$2,'Slutlig allokering kvv'!$B$1:$BX$1,0),FALSE)/1,0))</f>
        <v/>
      </c>
      <c r="K42" s="31" t="str">
        <f>IF($D42="","",IFERROR(VLOOKUP($B42,Kraftvärmeprod!$B$1:$BX$550,MATCH(K$2,Kraftvärmeprod!$B$1:$VX$1,0),FALSE)/1,0)-IFERROR(VLOOKUP($B42,'Slutlig allokering kvv'!$B$2:$BX$550,MATCH(K$2,'Slutlig allokering kvv'!$B$1:$BX$1,0),FALSE)/1,0))</f>
        <v/>
      </c>
      <c r="L42" s="31" t="str">
        <f>IF($D42="","",IFERROR(VLOOKUP($B42,Kraftvärmeprod!$B$1:$BX$550,MATCH(L$2,Kraftvärmeprod!$B$1:$VX$1,0),FALSE)/1,0)-IFERROR(VLOOKUP($B42,'Slutlig allokering kvv'!$B$2:$BX$550,MATCH(L$2,'Slutlig allokering kvv'!$B$1:$BX$1,0),FALSE)/1,0))</f>
        <v/>
      </c>
      <c r="M42" s="31" t="str">
        <f>IF($D42="","",IFERROR(VLOOKUP($B42,Kraftvärmeprod!$B$1:$BX$550,MATCH(M$2,Kraftvärmeprod!$B$1:$VX$1,0),FALSE)/1,0)-IFERROR(VLOOKUP($B42,'Slutlig allokering kvv'!$B$2:$BX$550,MATCH(M$2,'Slutlig allokering kvv'!$B$1:$BX$1,0),FALSE)/1,0))</f>
        <v/>
      </c>
      <c r="N42" s="31" t="str">
        <f>IF($D42="","",IFERROR(VLOOKUP($B42,Kraftvärmeprod!$B$1:$BX$550,MATCH(N$2,Kraftvärmeprod!$B$1:$VX$1,0),FALSE)/1,0)-IFERROR(VLOOKUP($B42,'Slutlig allokering kvv'!$B$2:$BX$550,MATCH(N$2,'Slutlig allokering kvv'!$B$1:$BX$1,0),FALSE)/1,0))</f>
        <v/>
      </c>
      <c r="O42" s="31" t="str">
        <f>IF($D42="","",IFERROR(VLOOKUP($B42,Kraftvärmeprod!$B$1:$BX$550,MATCH(O$2,Kraftvärmeprod!$B$1:$VX$1,0),FALSE)/1,0)-IFERROR(VLOOKUP($B42,'Slutlig allokering kvv'!$B$2:$BX$550,MATCH(O$2,'Slutlig allokering kvv'!$B$1:$BX$1,0),FALSE)/1,0))</f>
        <v/>
      </c>
      <c r="P42" s="31" t="str">
        <f>IF($D42="","",IFERROR(VLOOKUP($B42,Kraftvärmeprod!$B$1:$BX$550,MATCH(P$2,Kraftvärmeprod!$B$1:$VX$1,0),FALSE)/1,0)-IFERROR(VLOOKUP($B42,'Slutlig allokering kvv'!$B$2:$BX$550,MATCH(P$2,'Slutlig allokering kvv'!$B$1:$BX$1,0),FALSE)/1,0))</f>
        <v/>
      </c>
      <c r="Q42" s="31" t="str">
        <f>IF($D42="","",IFERROR(VLOOKUP($B42,Kraftvärmeprod!$B$1:$BX$550,MATCH(Q$2,Kraftvärmeprod!$B$1:$VX$1,0),FALSE)/1,0)-IFERROR(VLOOKUP($B42,'Slutlig allokering kvv'!$B$2:$BX$550,MATCH(Q$2,'Slutlig allokering kvv'!$B$1:$BX$1,0),FALSE)/1,0))</f>
        <v/>
      </c>
      <c r="R42" s="31" t="str">
        <f>IF($D42="","",IFERROR(VLOOKUP($B42,Kraftvärmeprod!$B$1:$BX$550,MATCH(R$2,Kraftvärmeprod!$B$1:$VX$1,0),FALSE)/1,0)-IFERROR(VLOOKUP($B42,'Slutlig allokering kvv'!$B$2:$BX$550,MATCH(R$2,'Slutlig allokering kvv'!$B$1:$BX$1,0),FALSE)/1,0))</f>
        <v/>
      </c>
      <c r="S42" s="31" t="str">
        <f>IF($D42="","",IFERROR(VLOOKUP($B42,Kraftvärmeprod!$B$1:$BX$550,MATCH(S$2,Kraftvärmeprod!$B$1:$VX$1,0),FALSE)/1,0)-IFERROR(VLOOKUP($B42,'Slutlig allokering kvv'!$B$2:$BX$550,MATCH(S$2,'Slutlig allokering kvv'!$B$1:$BX$1,0),FALSE)/1,0))</f>
        <v/>
      </c>
      <c r="T42" s="31" t="str">
        <f>IF($D42="","",IFERROR(VLOOKUP($B42,Kraftvärmeprod!$B$1:$BX$550,MATCH(T$2,Kraftvärmeprod!$B$1:$VX$1,0),FALSE)/1,0)-IFERROR(VLOOKUP($B42,'Slutlig allokering kvv'!$B$2:$BX$550,MATCH(T$2,'Slutlig allokering kvv'!$B$1:$BX$1,0),FALSE)/1,0))</f>
        <v/>
      </c>
      <c r="U42" s="31" t="str">
        <f>IF($D42="","",IFERROR(VLOOKUP($B42,Kraftvärmeprod!$B$1:$BX$550,MATCH(U$2,Kraftvärmeprod!$B$1:$VX$1,0),FALSE)/1,0)-IFERROR(VLOOKUP($B42,'Slutlig allokering kvv'!$B$2:$BX$550,MATCH(U$2,'Slutlig allokering kvv'!$B$1:$BX$1,0),FALSE)/1,0))</f>
        <v/>
      </c>
      <c r="V42" s="31" t="str">
        <f>IF($D42="","",IFERROR(VLOOKUP($B42,Kraftvärmeprod!$B$1:$BX$550,MATCH(V$2,Kraftvärmeprod!$B$1:$VX$1,0),FALSE)/1,0)-IFERROR(VLOOKUP($B42,'Slutlig allokering kvv'!$B$2:$BX$550,MATCH(V$2,'Slutlig allokering kvv'!$B$1:$BX$1,0),FALSE)/1,0))</f>
        <v/>
      </c>
      <c r="W42" s="31" t="str">
        <f>IF($D42="","",IFERROR(VLOOKUP($B42,Kraftvärmeprod!$B$1:$BX$550,MATCH(W$2,Kraftvärmeprod!$B$1:$VX$1,0),FALSE)/1,0)-IFERROR(VLOOKUP($B42,'Slutlig allokering kvv'!$B$2:$BX$550,MATCH(W$2,'Slutlig allokering kvv'!$B$1:$BX$1,0),FALSE)/1,0))</f>
        <v/>
      </c>
      <c r="X42" s="31" t="str">
        <f>IF($D42="","",IFERROR(VLOOKUP($B42,Kraftvärmeprod!$B$1:$BX$550,MATCH(X$2,Kraftvärmeprod!$B$1:$VX$1,0),FALSE)/1,0)-IFERROR(VLOOKUP($B42,'Slutlig allokering kvv'!$B$2:$BX$550,MATCH(X$2,'Slutlig allokering kvv'!$B$1:$BX$1,0),FALSE)/1,0))</f>
        <v/>
      </c>
      <c r="Y42" s="31" t="str">
        <f>IF($D42="","",IFERROR(VLOOKUP($B42,Kraftvärmeprod!$B$1:$BX$550,MATCH(Y$2,Kraftvärmeprod!$B$1:$VX$1,0),FALSE)/1,0)-IFERROR(VLOOKUP($B42,'Slutlig allokering kvv'!$B$2:$BX$550,MATCH(Y$2,'Slutlig allokering kvv'!$B$1:$BX$1,0),FALSE)/1,0))</f>
        <v/>
      </c>
      <c r="Z42" s="31" t="str">
        <f>IF($D42="","",IFERROR(VLOOKUP($B42,Kraftvärmeprod!$B$1:$BX$550,MATCH(Z$2,Kraftvärmeprod!$B$1:$VX$1,0),FALSE)/1,0)-IFERROR(VLOOKUP($B42,'Slutlig allokering kvv'!$B$2:$BX$550,MATCH(Z$2,'Slutlig allokering kvv'!$B$1:$BX$1,0),FALSE)/1,0))</f>
        <v/>
      </c>
      <c r="AA42" s="31" t="str">
        <f>IF($D42="","",IFERROR(VLOOKUP($B42,Kraftvärmeprod!$B$1:$BX$550,MATCH(AA$2,Kraftvärmeprod!$B$1:$VX$1,0),FALSE)/1,0)-IFERROR(VLOOKUP($B42,'Slutlig allokering kvv'!$B$2:$BX$550,MATCH(AA$2,'Slutlig allokering kvv'!$B$1:$BX$1,0),FALSE)/1,0))</f>
        <v/>
      </c>
      <c r="AB42" s="31" t="str">
        <f>IF($D42="","",IFERROR(VLOOKUP($B42,Kraftvärmeprod!$B$1:$BX$550,MATCH(AB$2,Kraftvärmeprod!$B$1:$VX$1,0),FALSE)/1,0)-IFERROR(VLOOKUP($B42,'Slutlig allokering kvv'!$B$2:$BX$550,MATCH(AB$2,'Slutlig allokering kvv'!$B$1:$BX$1,0),FALSE)/1,0))</f>
        <v/>
      </c>
      <c r="AC42" s="31" t="str">
        <f>IF($D42="","",IFERROR(VLOOKUP($B42,Kraftvärmeprod!$B$1:$BX$550,MATCH(AC$2,Kraftvärmeprod!$B$1:$VX$1,0),FALSE)/1,0)-IFERROR(VLOOKUP($B42,'Slutlig allokering kvv'!$B$2:$BX$550,MATCH(AC$2,'Slutlig allokering kvv'!$B$1:$BX$1,0),FALSE)/1,0))</f>
        <v/>
      </c>
      <c r="AD42" s="31" t="str">
        <f>IF($D42="","",IFERROR(VLOOKUP($B42,Kraftvärmeprod!$B$1:$BX$550,MATCH(AD$2,Kraftvärmeprod!$B$1:$VX$1,0),FALSE)/1,0)-IFERROR(VLOOKUP($B42,'Slutlig allokering kvv'!$B$2:$BX$550,MATCH(AD$2,'Slutlig allokering kvv'!$B$1:$BX$1,0),FALSE)/1,0))</f>
        <v/>
      </c>
      <c r="AE42" s="31" t="str">
        <f>IF($D42="","",IFERROR(VLOOKUP($B42,Miljö!$B$1:$E$550,MATCH("Hjälpel kraftvärme (GWh)",Miljö!$B$1:$E$1,0),FALSE)/1,0)-IFERROR(VLOOKUP($B42,'Slutlig allokering kvv'!$B$2:$BX$549,MATCH(AE$2,'Slutlig allokering kvv'!$B$1:$BX$1,0),FALSE)/1,0))</f>
        <v/>
      </c>
      <c r="AI42" s="39">
        <f t="shared" si="0"/>
        <v>0</v>
      </c>
      <c r="AK42" s="31">
        <f>IFERROR(VLOOKUP($B42,'Slutlig allokering kvv'!$B$2:$AX$549,MATCH("Summa slutlig allokerad tillförd energi (utan hjälpel och rökgaskondensering):",'Slutlig allokering kvv'!$B$1:$AX$1,0),FALSE)/1,"")</f>
        <v>0</v>
      </c>
      <c r="AM42" s="31" t="str">
        <f>IFERROR(1-VLOOKUP($B42,'Slutlig allokering kvv'!$B$2:$AX$549,MATCH("Andel av bränsle i kvv som allokerats till värme, exklusive rökgaskondensering och hjälpel",'Slutlig allokering kvv'!$B$1:$AX$1,0),FALSE),"")</f>
        <v/>
      </c>
      <c r="AO42" s="31" t="str">
        <f t="shared" si="1"/>
        <v/>
      </c>
      <c r="AP42" s="31" t="str">
        <f t="shared" si="2"/>
        <v/>
      </c>
      <c r="AR42" s="32" t="str">
        <f t="shared" si="3"/>
        <v/>
      </c>
    </row>
    <row r="43" spans="1:44" s="31" customFormat="1" x14ac:dyDescent="0.45">
      <c r="A43" s="31" t="s">
        <v>640</v>
      </c>
      <c r="B43" s="31" t="s">
        <v>639</v>
      </c>
      <c r="C43" s="31" t="str">
        <f>IFERROR(VLOOKUP($B43,Kraftvärmeprod!$B$1:$AH$479,MATCH(C$2,Kraftvärmeprod!$B$1:$AG$1,0),FALSE)/1,"")</f>
        <v/>
      </c>
      <c r="D43" s="31" t="str">
        <f>IFERROR(VLOOKUP($B43,Kraftvärmeprod!$B$1:$AH$479,MATCH(D$2,Kraftvärmeprod!$B$1:$AG$1,0),FALSE)/1,"")</f>
        <v/>
      </c>
      <c r="F43" s="31" t="str">
        <f>IF($D43="","",IFERROR(VLOOKUP($B43,Kraftvärmeprod!$B$1:$BX$550,MATCH(F$2,Kraftvärmeprod!$B$1:$VX$1,0),FALSE)/1,0)-IFERROR(VLOOKUP($B43,'Slutlig allokering kvv'!$B$2:$BX$550,MATCH(F$2,'Slutlig allokering kvv'!$B$1:$BX$1,0),FALSE)/1,0))</f>
        <v/>
      </c>
      <c r="G43" s="31" t="str">
        <f>IF($D43="","",IFERROR(VLOOKUP($B43,Kraftvärmeprod!$B$1:$BX$550,MATCH(G$2,Kraftvärmeprod!$B$1:$VX$1,0),FALSE)/1,0)-IFERROR(VLOOKUP($B43,'Slutlig allokering kvv'!$B$2:$BX$550,MATCH(G$2,'Slutlig allokering kvv'!$B$1:$BX$1,0),FALSE)/1,0))</f>
        <v/>
      </c>
      <c r="H43" s="31" t="str">
        <f>IF($D43="","",IFERROR(VLOOKUP($B43,Kraftvärmeprod!$B$1:$BX$550,MATCH(H$2,Kraftvärmeprod!$B$1:$VX$1,0),FALSE)/1,0)-IFERROR(VLOOKUP($B43,'Slutlig allokering kvv'!$B$2:$BX$550,MATCH(H$2,'Slutlig allokering kvv'!$B$1:$BX$1,0),FALSE)/1,0))</f>
        <v/>
      </c>
      <c r="I43" s="31" t="str">
        <f>IF($D43="","",IFERROR(VLOOKUP($B43,Kraftvärmeprod!$B$1:$BX$550,MATCH(I$2,Kraftvärmeprod!$B$1:$VX$1,0),FALSE)/1,0)-IFERROR(VLOOKUP($B43,'Slutlig allokering kvv'!$B$2:$BX$550,MATCH(I$2,'Slutlig allokering kvv'!$B$1:$BX$1,0),FALSE)/1,0))</f>
        <v/>
      </c>
      <c r="J43" s="31" t="str">
        <f>IF($D43="","",IFERROR(VLOOKUP($B43,Kraftvärmeprod!$B$1:$BX$550,MATCH(J$2,Kraftvärmeprod!$B$1:$VX$1,0),FALSE)/1,0)-IFERROR(VLOOKUP($B43,'Slutlig allokering kvv'!$B$2:$BX$550,MATCH(J$2,'Slutlig allokering kvv'!$B$1:$BX$1,0),FALSE)/1,0))</f>
        <v/>
      </c>
      <c r="K43" s="31" t="str">
        <f>IF($D43="","",IFERROR(VLOOKUP($B43,Kraftvärmeprod!$B$1:$BX$550,MATCH(K$2,Kraftvärmeprod!$B$1:$VX$1,0),FALSE)/1,0)-IFERROR(VLOOKUP($B43,'Slutlig allokering kvv'!$B$2:$BX$550,MATCH(K$2,'Slutlig allokering kvv'!$B$1:$BX$1,0),FALSE)/1,0))</f>
        <v/>
      </c>
      <c r="L43" s="31" t="str">
        <f>IF($D43="","",IFERROR(VLOOKUP($B43,Kraftvärmeprod!$B$1:$BX$550,MATCH(L$2,Kraftvärmeprod!$B$1:$VX$1,0),FALSE)/1,0)-IFERROR(VLOOKUP($B43,'Slutlig allokering kvv'!$B$2:$BX$550,MATCH(L$2,'Slutlig allokering kvv'!$B$1:$BX$1,0),FALSE)/1,0))</f>
        <v/>
      </c>
      <c r="M43" s="31" t="str">
        <f>IF($D43="","",IFERROR(VLOOKUP($B43,Kraftvärmeprod!$B$1:$BX$550,MATCH(M$2,Kraftvärmeprod!$B$1:$VX$1,0),FALSE)/1,0)-IFERROR(VLOOKUP($B43,'Slutlig allokering kvv'!$B$2:$BX$550,MATCH(M$2,'Slutlig allokering kvv'!$B$1:$BX$1,0),FALSE)/1,0))</f>
        <v/>
      </c>
      <c r="N43" s="31" t="str">
        <f>IF($D43="","",IFERROR(VLOOKUP($B43,Kraftvärmeprod!$B$1:$BX$550,MATCH(N$2,Kraftvärmeprod!$B$1:$VX$1,0),FALSE)/1,0)-IFERROR(VLOOKUP($B43,'Slutlig allokering kvv'!$B$2:$BX$550,MATCH(N$2,'Slutlig allokering kvv'!$B$1:$BX$1,0),FALSE)/1,0))</f>
        <v/>
      </c>
      <c r="O43" s="31" t="str">
        <f>IF($D43="","",IFERROR(VLOOKUP($B43,Kraftvärmeprod!$B$1:$BX$550,MATCH(O$2,Kraftvärmeprod!$B$1:$VX$1,0),FALSE)/1,0)-IFERROR(VLOOKUP($B43,'Slutlig allokering kvv'!$B$2:$BX$550,MATCH(O$2,'Slutlig allokering kvv'!$B$1:$BX$1,0),FALSE)/1,0))</f>
        <v/>
      </c>
      <c r="P43" s="31" t="str">
        <f>IF($D43="","",IFERROR(VLOOKUP($B43,Kraftvärmeprod!$B$1:$BX$550,MATCH(P$2,Kraftvärmeprod!$B$1:$VX$1,0),FALSE)/1,0)-IFERROR(VLOOKUP($B43,'Slutlig allokering kvv'!$B$2:$BX$550,MATCH(P$2,'Slutlig allokering kvv'!$B$1:$BX$1,0),FALSE)/1,0))</f>
        <v/>
      </c>
      <c r="Q43" s="31" t="str">
        <f>IF($D43="","",IFERROR(VLOOKUP($B43,Kraftvärmeprod!$B$1:$BX$550,MATCH(Q$2,Kraftvärmeprod!$B$1:$VX$1,0),FALSE)/1,0)-IFERROR(VLOOKUP($B43,'Slutlig allokering kvv'!$B$2:$BX$550,MATCH(Q$2,'Slutlig allokering kvv'!$B$1:$BX$1,0),FALSE)/1,0))</f>
        <v/>
      </c>
      <c r="R43" s="31" t="str">
        <f>IF($D43="","",IFERROR(VLOOKUP($B43,Kraftvärmeprod!$B$1:$BX$550,MATCH(R$2,Kraftvärmeprod!$B$1:$VX$1,0),FALSE)/1,0)-IFERROR(VLOOKUP($B43,'Slutlig allokering kvv'!$B$2:$BX$550,MATCH(R$2,'Slutlig allokering kvv'!$B$1:$BX$1,0),FALSE)/1,0))</f>
        <v/>
      </c>
      <c r="S43" s="31" t="str">
        <f>IF($D43="","",IFERROR(VLOOKUP($B43,Kraftvärmeprod!$B$1:$BX$550,MATCH(S$2,Kraftvärmeprod!$B$1:$VX$1,0),FALSE)/1,0)-IFERROR(VLOOKUP($B43,'Slutlig allokering kvv'!$B$2:$BX$550,MATCH(S$2,'Slutlig allokering kvv'!$B$1:$BX$1,0),FALSE)/1,0))</f>
        <v/>
      </c>
      <c r="T43" s="31" t="str">
        <f>IF($D43="","",IFERROR(VLOOKUP($B43,Kraftvärmeprod!$B$1:$BX$550,MATCH(T$2,Kraftvärmeprod!$B$1:$VX$1,0),FALSE)/1,0)-IFERROR(VLOOKUP($B43,'Slutlig allokering kvv'!$B$2:$BX$550,MATCH(T$2,'Slutlig allokering kvv'!$B$1:$BX$1,0),FALSE)/1,0))</f>
        <v/>
      </c>
      <c r="U43" s="31" t="str">
        <f>IF($D43="","",IFERROR(VLOOKUP($B43,Kraftvärmeprod!$B$1:$BX$550,MATCH(U$2,Kraftvärmeprod!$B$1:$VX$1,0),FALSE)/1,0)-IFERROR(VLOOKUP($B43,'Slutlig allokering kvv'!$B$2:$BX$550,MATCH(U$2,'Slutlig allokering kvv'!$B$1:$BX$1,0),FALSE)/1,0))</f>
        <v/>
      </c>
      <c r="V43" s="31" t="str">
        <f>IF($D43="","",IFERROR(VLOOKUP($B43,Kraftvärmeprod!$B$1:$BX$550,MATCH(V$2,Kraftvärmeprod!$B$1:$VX$1,0),FALSE)/1,0)-IFERROR(VLOOKUP($B43,'Slutlig allokering kvv'!$B$2:$BX$550,MATCH(V$2,'Slutlig allokering kvv'!$B$1:$BX$1,0),FALSE)/1,0))</f>
        <v/>
      </c>
      <c r="W43" s="31" t="str">
        <f>IF($D43="","",IFERROR(VLOOKUP($B43,Kraftvärmeprod!$B$1:$BX$550,MATCH(W$2,Kraftvärmeprod!$B$1:$VX$1,0),FALSE)/1,0)-IFERROR(VLOOKUP($B43,'Slutlig allokering kvv'!$B$2:$BX$550,MATCH(W$2,'Slutlig allokering kvv'!$B$1:$BX$1,0),FALSE)/1,0))</f>
        <v/>
      </c>
      <c r="X43" s="31" t="str">
        <f>IF($D43="","",IFERROR(VLOOKUP($B43,Kraftvärmeprod!$B$1:$BX$550,MATCH(X$2,Kraftvärmeprod!$B$1:$VX$1,0),FALSE)/1,0)-IFERROR(VLOOKUP($B43,'Slutlig allokering kvv'!$B$2:$BX$550,MATCH(X$2,'Slutlig allokering kvv'!$B$1:$BX$1,0),FALSE)/1,0))</f>
        <v/>
      </c>
      <c r="Y43" s="31" t="str">
        <f>IF($D43="","",IFERROR(VLOOKUP($B43,Kraftvärmeprod!$B$1:$BX$550,MATCH(Y$2,Kraftvärmeprod!$B$1:$VX$1,0),FALSE)/1,0)-IFERROR(VLOOKUP($B43,'Slutlig allokering kvv'!$B$2:$BX$550,MATCH(Y$2,'Slutlig allokering kvv'!$B$1:$BX$1,0),FALSE)/1,0))</f>
        <v/>
      </c>
      <c r="Z43" s="31" t="str">
        <f>IF($D43="","",IFERROR(VLOOKUP($B43,Kraftvärmeprod!$B$1:$BX$550,MATCH(Z$2,Kraftvärmeprod!$B$1:$VX$1,0),FALSE)/1,0)-IFERROR(VLOOKUP($B43,'Slutlig allokering kvv'!$B$2:$BX$550,MATCH(Z$2,'Slutlig allokering kvv'!$B$1:$BX$1,0),FALSE)/1,0))</f>
        <v/>
      </c>
      <c r="AA43" s="31" t="str">
        <f>IF($D43="","",IFERROR(VLOOKUP($B43,Kraftvärmeprod!$B$1:$BX$550,MATCH(AA$2,Kraftvärmeprod!$B$1:$VX$1,0),FALSE)/1,0)-IFERROR(VLOOKUP($B43,'Slutlig allokering kvv'!$B$2:$BX$550,MATCH(AA$2,'Slutlig allokering kvv'!$B$1:$BX$1,0),FALSE)/1,0))</f>
        <v/>
      </c>
      <c r="AB43" s="31" t="str">
        <f>IF($D43="","",IFERROR(VLOOKUP($B43,Kraftvärmeprod!$B$1:$BX$550,MATCH(AB$2,Kraftvärmeprod!$B$1:$VX$1,0),FALSE)/1,0)-IFERROR(VLOOKUP($B43,'Slutlig allokering kvv'!$B$2:$BX$550,MATCH(AB$2,'Slutlig allokering kvv'!$B$1:$BX$1,0),FALSE)/1,0))</f>
        <v/>
      </c>
      <c r="AC43" s="31" t="str">
        <f>IF($D43="","",IFERROR(VLOOKUP($B43,Kraftvärmeprod!$B$1:$BX$550,MATCH(AC$2,Kraftvärmeprod!$B$1:$VX$1,0),FALSE)/1,0)-IFERROR(VLOOKUP($B43,'Slutlig allokering kvv'!$B$2:$BX$550,MATCH(AC$2,'Slutlig allokering kvv'!$B$1:$BX$1,0),FALSE)/1,0))</f>
        <v/>
      </c>
      <c r="AD43" s="31" t="str">
        <f>IF($D43="","",IFERROR(VLOOKUP($B43,Kraftvärmeprod!$B$1:$BX$550,MATCH(AD$2,Kraftvärmeprod!$B$1:$VX$1,0),FALSE)/1,0)-IFERROR(VLOOKUP($B43,'Slutlig allokering kvv'!$B$2:$BX$550,MATCH(AD$2,'Slutlig allokering kvv'!$B$1:$BX$1,0),FALSE)/1,0))</f>
        <v/>
      </c>
      <c r="AE43" s="31" t="str">
        <f>IF($D43="","",IFERROR(VLOOKUP($B43,Miljö!$B$1:$E$550,MATCH("Hjälpel kraftvärme (GWh)",Miljö!$B$1:$E$1,0),FALSE)/1,0)-IFERROR(VLOOKUP($B43,'Slutlig allokering kvv'!$B$2:$BX$549,MATCH(AE$2,'Slutlig allokering kvv'!$B$1:$BX$1,0),FALSE)/1,0))</f>
        <v/>
      </c>
      <c r="AI43" s="39">
        <f t="shared" si="0"/>
        <v>0</v>
      </c>
      <c r="AK43" s="31">
        <f>IFERROR(VLOOKUP($B43,'Slutlig allokering kvv'!$B$2:$AX$549,MATCH("Summa slutlig allokerad tillförd energi (utan hjälpel och rökgaskondensering):",'Slutlig allokering kvv'!$B$1:$AX$1,0),FALSE)/1,"")</f>
        <v>0</v>
      </c>
      <c r="AM43" s="31" t="str">
        <f>IFERROR(1-VLOOKUP($B43,'Slutlig allokering kvv'!$B$2:$AX$549,MATCH("Andel av bränsle i kvv som allokerats till värme, exklusive rökgaskondensering och hjälpel",'Slutlig allokering kvv'!$B$1:$AX$1,0),FALSE),"")</f>
        <v/>
      </c>
      <c r="AO43" s="31" t="str">
        <f t="shared" si="1"/>
        <v/>
      </c>
      <c r="AP43" s="31" t="str">
        <f t="shared" si="2"/>
        <v/>
      </c>
      <c r="AR43" s="32" t="str">
        <f t="shared" si="3"/>
        <v/>
      </c>
    </row>
    <row r="44" spans="1:44" s="31" customFormat="1" x14ac:dyDescent="0.45">
      <c r="A44" s="31" t="s">
        <v>637</v>
      </c>
      <c r="B44" s="31" t="s">
        <v>638</v>
      </c>
      <c r="C44" s="31">
        <f>IFERROR(VLOOKUP($B44,Kraftvärmeprod!$B$1:$AH$479,MATCH(C$2,Kraftvärmeprod!$B$1:$AG$1,0),FALSE)/1,"")</f>
        <v>587.99199999999996</v>
      </c>
      <c r="D44" s="31">
        <f>IFERROR(VLOOKUP($B44,Kraftvärmeprod!$B$1:$AH$479,MATCH(D$2,Kraftvärmeprod!$B$1:$AG$1,0),FALSE)/1,"")</f>
        <v>110.44</v>
      </c>
      <c r="F44" s="31">
        <f>IF($D44="","",IFERROR(VLOOKUP($B44,Kraftvärmeprod!$B$1:$BX$550,MATCH(F$2,Kraftvärmeprod!$B$1:$VX$1,0),FALSE)/1,0)-IFERROR(VLOOKUP($B44,'Slutlig allokering kvv'!$B$2:$BX$550,MATCH(F$2,'Slutlig allokering kvv'!$B$1:$BX$1,0),FALSE)/1,0))</f>
        <v>0</v>
      </c>
      <c r="G44" s="31">
        <f>IF($D44="","",IFERROR(VLOOKUP($B44,Kraftvärmeprod!$B$1:$BX$550,MATCH(G$2,Kraftvärmeprod!$B$1:$VX$1,0),FALSE)/1,0)-IFERROR(VLOOKUP($B44,'Slutlig allokering kvv'!$B$2:$BX$550,MATCH(G$2,'Slutlig allokering kvv'!$B$1:$BX$1,0),FALSE)/1,0))</f>
        <v>0</v>
      </c>
      <c r="H44" s="31">
        <f>IF($D44="","",IFERROR(VLOOKUP($B44,Kraftvärmeprod!$B$1:$BX$550,MATCH(H$2,Kraftvärmeprod!$B$1:$VX$1,0),FALSE)/1,0)-IFERROR(VLOOKUP($B44,'Slutlig allokering kvv'!$B$2:$BX$550,MATCH(H$2,'Slutlig allokering kvv'!$B$1:$BX$1,0),FALSE)/1,0))</f>
        <v>0</v>
      </c>
      <c r="I44" s="31">
        <f>IF($D44="","",IFERROR(VLOOKUP($B44,Kraftvärmeprod!$B$1:$BX$550,MATCH(I$2,Kraftvärmeprod!$B$1:$VX$1,0),FALSE)/1,0)-IFERROR(VLOOKUP($B44,'Slutlig allokering kvv'!$B$2:$BX$550,MATCH(I$2,'Slutlig allokering kvv'!$B$1:$BX$1,0),FALSE)/1,0))</f>
        <v>0</v>
      </c>
      <c r="J44" s="31">
        <f>IF($D44="","",IFERROR(VLOOKUP($B44,Kraftvärmeprod!$B$1:$BX$550,MATCH(J$2,Kraftvärmeprod!$B$1:$VX$1,0),FALSE)/1,0)-IFERROR(VLOOKUP($B44,'Slutlig allokering kvv'!$B$2:$BX$550,MATCH(J$2,'Slutlig allokering kvv'!$B$1:$BX$1,0),FALSE)/1,0))</f>
        <v>0</v>
      </c>
      <c r="K44" s="31">
        <f>IF($D44="","",IFERROR(VLOOKUP($B44,Kraftvärmeprod!$B$1:$BX$550,MATCH(K$2,Kraftvärmeprod!$B$1:$VX$1,0),FALSE)/1,0)-IFERROR(VLOOKUP($B44,'Slutlig allokering kvv'!$B$2:$BX$550,MATCH(K$2,'Slutlig allokering kvv'!$B$1:$BX$1,0),FALSE)/1,0))</f>
        <v>0</v>
      </c>
      <c r="L44" s="31">
        <f>IF($D44="","",IFERROR(VLOOKUP($B44,Kraftvärmeprod!$B$1:$BX$550,MATCH(L$2,Kraftvärmeprod!$B$1:$VX$1,0),FALSE)/1,0)-IFERROR(VLOOKUP($B44,'Slutlig allokering kvv'!$B$2:$BX$550,MATCH(L$2,'Slutlig allokering kvv'!$B$1:$BX$1,0),FALSE)/1,0))</f>
        <v>110.50699999999998</v>
      </c>
      <c r="M44" s="31">
        <f>IF($D44="","",IFERROR(VLOOKUP($B44,Kraftvärmeprod!$B$1:$BX$550,MATCH(M$2,Kraftvärmeprod!$B$1:$VX$1,0),FALSE)/1,0)-IFERROR(VLOOKUP($B44,'Slutlig allokering kvv'!$B$2:$BX$550,MATCH(M$2,'Slutlig allokering kvv'!$B$1:$BX$1,0),FALSE)/1,0))</f>
        <v>25.067700000000002</v>
      </c>
      <c r="N44" s="31">
        <f>IF($D44="","",IFERROR(VLOOKUP($B44,Kraftvärmeprod!$B$1:$BX$550,MATCH(N$2,Kraftvärmeprod!$B$1:$VX$1,0),FALSE)/1,0)-IFERROR(VLOOKUP($B44,'Slutlig allokering kvv'!$B$2:$BX$550,MATCH(N$2,'Slutlig allokering kvv'!$B$1:$BX$1,0),FALSE)/1,0))</f>
        <v>0</v>
      </c>
      <c r="O44" s="31">
        <f>IF($D44="","",IFERROR(VLOOKUP($B44,Kraftvärmeprod!$B$1:$BX$550,MATCH(O$2,Kraftvärmeprod!$B$1:$VX$1,0),FALSE)/1,0)-IFERROR(VLOOKUP($B44,'Slutlig allokering kvv'!$B$2:$BX$550,MATCH(O$2,'Slutlig allokering kvv'!$B$1:$BX$1,0),FALSE)/1,0))</f>
        <v>7.0951000000000004</v>
      </c>
      <c r="P44" s="31">
        <f>IF($D44="","",IFERROR(VLOOKUP($B44,Kraftvärmeprod!$B$1:$BX$550,MATCH(P$2,Kraftvärmeprod!$B$1:$VX$1,0),FALSE)/1,0)-IFERROR(VLOOKUP($B44,'Slutlig allokering kvv'!$B$2:$BX$550,MATCH(P$2,'Slutlig allokering kvv'!$B$1:$BX$1,0),FALSE)/1,0))</f>
        <v>0</v>
      </c>
      <c r="Q44" s="31">
        <f>IF($D44="","",IFERROR(VLOOKUP($B44,Kraftvärmeprod!$B$1:$BX$550,MATCH(Q$2,Kraftvärmeprod!$B$1:$VX$1,0),FALSE)/1,0)-IFERROR(VLOOKUP($B44,'Slutlig allokering kvv'!$B$2:$BX$550,MATCH(Q$2,'Slutlig allokering kvv'!$B$1:$BX$1,0),FALSE)/1,0))</f>
        <v>7.3284000000000002</v>
      </c>
      <c r="R44" s="31">
        <f>IF($D44="","",IFERROR(VLOOKUP($B44,Kraftvärmeprod!$B$1:$BX$550,MATCH(R$2,Kraftvärmeprod!$B$1:$VX$1,0),FALSE)/1,0)-IFERROR(VLOOKUP($B44,'Slutlig allokering kvv'!$B$2:$BX$550,MATCH(R$2,'Slutlig allokering kvv'!$B$1:$BX$1,0),FALSE)/1,0))</f>
        <v>0</v>
      </c>
      <c r="S44" s="31">
        <f>IF($D44="","",IFERROR(VLOOKUP($B44,Kraftvärmeprod!$B$1:$BX$550,MATCH(S$2,Kraftvärmeprod!$B$1:$VX$1,0),FALSE)/1,0)-IFERROR(VLOOKUP($B44,'Slutlig allokering kvv'!$B$2:$BX$550,MATCH(S$2,'Slutlig allokering kvv'!$B$1:$BX$1,0),FALSE)/1,0))</f>
        <v>0</v>
      </c>
      <c r="T44" s="31">
        <f>IF($D44="","",IFERROR(VLOOKUP($B44,Kraftvärmeprod!$B$1:$BX$550,MATCH(T$2,Kraftvärmeprod!$B$1:$VX$1,0),FALSE)/1,0)-IFERROR(VLOOKUP($B44,'Slutlig allokering kvv'!$B$2:$BX$550,MATCH(T$2,'Slutlig allokering kvv'!$B$1:$BX$1,0),FALSE)/1,0))</f>
        <v>0.54222999999999999</v>
      </c>
      <c r="U44" s="31">
        <f>IF($D44="","",IFERROR(VLOOKUP($B44,Kraftvärmeprod!$B$1:$BX$550,MATCH(U$2,Kraftvärmeprod!$B$1:$VX$1,0),FALSE)/1,0)-IFERROR(VLOOKUP($B44,'Slutlig allokering kvv'!$B$2:$BX$550,MATCH(U$2,'Slutlig allokering kvv'!$B$1:$BX$1,0),FALSE)/1,0))</f>
        <v>0</v>
      </c>
      <c r="V44" s="31">
        <f>IF($D44="","",IFERROR(VLOOKUP($B44,Kraftvärmeprod!$B$1:$BX$550,MATCH(V$2,Kraftvärmeprod!$B$1:$VX$1,0),FALSE)/1,0)-IFERROR(VLOOKUP($B44,'Slutlig allokering kvv'!$B$2:$BX$550,MATCH(V$2,'Slutlig allokering kvv'!$B$1:$BX$1,0),FALSE)/1,0))</f>
        <v>0</v>
      </c>
      <c r="W44" s="31">
        <f>IF($D44="","",IFERROR(VLOOKUP($B44,Kraftvärmeprod!$B$1:$BX$550,MATCH(W$2,Kraftvärmeprod!$B$1:$VX$1,0),FALSE)/1,0)-IFERROR(VLOOKUP($B44,'Slutlig allokering kvv'!$B$2:$BX$550,MATCH(W$2,'Slutlig allokering kvv'!$B$1:$BX$1,0),FALSE)/1,0))</f>
        <v>0</v>
      </c>
      <c r="X44" s="31">
        <f>IF($D44="","",IFERROR(VLOOKUP($B44,Kraftvärmeprod!$B$1:$BX$550,MATCH(X$2,Kraftvärmeprod!$B$1:$VX$1,0),FALSE)/1,0)-IFERROR(VLOOKUP($B44,'Slutlig allokering kvv'!$B$2:$BX$550,MATCH(X$2,'Slutlig allokering kvv'!$B$1:$BX$1,0),FALSE)/1,0))</f>
        <v>0</v>
      </c>
      <c r="Y44" s="31">
        <f>IF($D44="","",IFERROR(VLOOKUP($B44,Kraftvärmeprod!$B$1:$BX$550,MATCH(Y$2,Kraftvärmeprod!$B$1:$VX$1,0),FALSE)/1,0)-IFERROR(VLOOKUP($B44,'Slutlig allokering kvv'!$B$2:$BX$550,MATCH(Y$2,'Slutlig allokering kvv'!$B$1:$BX$1,0),FALSE)/1,0))</f>
        <v>21.758399999999995</v>
      </c>
      <c r="Z44" s="31">
        <f>IF($D44="","",IFERROR(VLOOKUP($B44,Kraftvärmeprod!$B$1:$BX$550,MATCH(Z$2,Kraftvärmeprod!$B$1:$VX$1,0),FALSE)/1,0)-IFERROR(VLOOKUP($B44,'Slutlig allokering kvv'!$B$2:$BX$550,MATCH(Z$2,'Slutlig allokering kvv'!$B$1:$BX$1,0),FALSE)/1,0))</f>
        <v>0</v>
      </c>
      <c r="AA44" s="31">
        <f>IF($D44="","",IFERROR(VLOOKUP($B44,Kraftvärmeprod!$B$1:$BX$550,MATCH(AA$2,Kraftvärmeprod!$B$1:$VX$1,0),FALSE)/1,0)-IFERROR(VLOOKUP($B44,'Slutlig allokering kvv'!$B$2:$BX$550,MATCH(AA$2,'Slutlig allokering kvv'!$B$1:$BX$1,0),FALSE)/1,0))</f>
        <v>116.79300000000001</v>
      </c>
      <c r="AB44" s="31">
        <f>IF($D44="","",IFERROR(VLOOKUP($B44,Kraftvärmeprod!$B$1:$BX$550,MATCH(AB$2,Kraftvärmeprod!$B$1:$VX$1,0),FALSE)/1,0)-IFERROR(VLOOKUP($B44,'Slutlig allokering kvv'!$B$2:$BX$550,MATCH(AB$2,'Slutlig allokering kvv'!$B$1:$BX$1,0),FALSE)/1,0))</f>
        <v>0</v>
      </c>
      <c r="AC44" s="31">
        <f>IF($D44="","",IFERROR(VLOOKUP($B44,Kraftvärmeprod!$B$1:$BX$550,MATCH(AC$2,Kraftvärmeprod!$B$1:$VX$1,0),FALSE)/1,0)-IFERROR(VLOOKUP($B44,'Slutlig allokering kvv'!$B$2:$BX$550,MATCH(AC$2,'Slutlig allokering kvv'!$B$1:$BX$1,0),FALSE)/1,0))</f>
        <v>0</v>
      </c>
      <c r="AD44" s="31">
        <f>IF($D44="","",IFERROR(VLOOKUP($B44,Kraftvärmeprod!$B$1:$BX$550,MATCH(AD$2,Kraftvärmeprod!$B$1:$VX$1,0),FALSE)/1,0)-IFERROR(VLOOKUP($B44,'Slutlig allokering kvv'!$B$2:$BX$550,MATCH(AD$2,'Slutlig allokering kvv'!$B$1:$BX$1,0),FALSE)/1,0))</f>
        <v>0</v>
      </c>
      <c r="AE44" s="31">
        <f>IF($D44="","",IFERROR(VLOOKUP($B44,Miljö!$B$1:$E$550,MATCH("Hjälpel kraftvärme (GWh)",Miljö!$B$1:$E$1,0),FALSE)/1,0)-IFERROR(VLOOKUP($B44,'Slutlig allokering kvv'!$B$2:$BX$549,MATCH(AE$2,'Slutlig allokering kvv'!$B$1:$BX$1,0),FALSE)/1,0))</f>
        <v>9.4648000000000003</v>
      </c>
      <c r="AI44" s="39">
        <f t="shared" si="0"/>
        <v>289.09182999999996</v>
      </c>
      <c r="AK44" s="31">
        <f>IFERROR(VLOOKUP($B44,'Slutlig allokering kvv'!$B$2:$AX$549,MATCH("Summa slutlig allokerad tillförd energi (utan hjälpel och rökgaskondensering):",'Slutlig allokering kvv'!$B$1:$AX$1,0),FALSE)/1,"")</f>
        <v>546.31817000000001</v>
      </c>
      <c r="AM44" s="31">
        <f>IFERROR(1-VLOOKUP($B44,'Slutlig allokering kvv'!$B$2:$AX$549,MATCH("Andel av bränsle i kvv som allokerats till värme, exklusive rökgaskondensering och hjälpel",'Slutlig allokering kvv'!$B$1:$AX$1,0),FALSE),"")</f>
        <v>0.34604784477083106</v>
      </c>
      <c r="AO44" s="31">
        <f t="shared" si="1"/>
        <v>0.34604784477083106</v>
      </c>
      <c r="AP44" s="31">
        <f t="shared" si="2"/>
        <v>0</v>
      </c>
      <c r="AR44" s="32">
        <f t="shared" si="3"/>
        <v>0.36991307143304775</v>
      </c>
    </row>
    <row r="45" spans="1:44" s="31" customFormat="1" x14ac:dyDescent="0.45">
      <c r="A45" s="31" t="s">
        <v>637</v>
      </c>
      <c r="B45" s="31" t="s">
        <v>636</v>
      </c>
      <c r="C45" s="31" t="str">
        <f>IFERROR(VLOOKUP($B45,Kraftvärmeprod!$B$1:$AH$479,MATCH(C$2,Kraftvärmeprod!$B$1:$AG$1,0),FALSE)/1,"")</f>
        <v/>
      </c>
      <c r="D45" s="31" t="str">
        <f>IFERROR(VLOOKUP($B45,Kraftvärmeprod!$B$1:$AH$479,MATCH(D$2,Kraftvärmeprod!$B$1:$AG$1,0),FALSE)/1,"")</f>
        <v/>
      </c>
      <c r="F45" s="31" t="str">
        <f>IF($D45="","",IFERROR(VLOOKUP($B45,Kraftvärmeprod!$B$1:$BX$550,MATCH(F$2,Kraftvärmeprod!$B$1:$VX$1,0),FALSE)/1,0)-IFERROR(VLOOKUP($B45,'Slutlig allokering kvv'!$B$2:$BX$550,MATCH(F$2,'Slutlig allokering kvv'!$B$1:$BX$1,0),FALSE)/1,0))</f>
        <v/>
      </c>
      <c r="G45" s="31" t="str">
        <f>IF($D45="","",IFERROR(VLOOKUP($B45,Kraftvärmeprod!$B$1:$BX$550,MATCH(G$2,Kraftvärmeprod!$B$1:$VX$1,0),FALSE)/1,0)-IFERROR(VLOOKUP($B45,'Slutlig allokering kvv'!$B$2:$BX$550,MATCH(G$2,'Slutlig allokering kvv'!$B$1:$BX$1,0),FALSE)/1,0))</f>
        <v/>
      </c>
      <c r="H45" s="31" t="str">
        <f>IF($D45="","",IFERROR(VLOOKUP($B45,Kraftvärmeprod!$B$1:$BX$550,MATCH(H$2,Kraftvärmeprod!$B$1:$VX$1,0),FALSE)/1,0)-IFERROR(VLOOKUP($B45,'Slutlig allokering kvv'!$B$2:$BX$550,MATCH(H$2,'Slutlig allokering kvv'!$B$1:$BX$1,0),FALSE)/1,0))</f>
        <v/>
      </c>
      <c r="I45" s="31" t="str">
        <f>IF($D45="","",IFERROR(VLOOKUP($B45,Kraftvärmeprod!$B$1:$BX$550,MATCH(I$2,Kraftvärmeprod!$B$1:$VX$1,0),FALSE)/1,0)-IFERROR(VLOOKUP($B45,'Slutlig allokering kvv'!$B$2:$BX$550,MATCH(I$2,'Slutlig allokering kvv'!$B$1:$BX$1,0),FALSE)/1,0))</f>
        <v/>
      </c>
      <c r="J45" s="31" t="str">
        <f>IF($D45="","",IFERROR(VLOOKUP($B45,Kraftvärmeprod!$B$1:$BX$550,MATCH(J$2,Kraftvärmeprod!$B$1:$VX$1,0),FALSE)/1,0)-IFERROR(VLOOKUP($B45,'Slutlig allokering kvv'!$B$2:$BX$550,MATCH(J$2,'Slutlig allokering kvv'!$B$1:$BX$1,0),FALSE)/1,0))</f>
        <v/>
      </c>
      <c r="K45" s="31" t="str">
        <f>IF($D45="","",IFERROR(VLOOKUP($B45,Kraftvärmeprod!$B$1:$BX$550,MATCH(K$2,Kraftvärmeprod!$B$1:$VX$1,0),FALSE)/1,0)-IFERROR(VLOOKUP($B45,'Slutlig allokering kvv'!$B$2:$BX$550,MATCH(K$2,'Slutlig allokering kvv'!$B$1:$BX$1,0),FALSE)/1,0))</f>
        <v/>
      </c>
      <c r="L45" s="31" t="str">
        <f>IF($D45="","",IFERROR(VLOOKUP($B45,Kraftvärmeprod!$B$1:$BX$550,MATCH(L$2,Kraftvärmeprod!$B$1:$VX$1,0),FALSE)/1,0)-IFERROR(VLOOKUP($B45,'Slutlig allokering kvv'!$B$2:$BX$550,MATCH(L$2,'Slutlig allokering kvv'!$B$1:$BX$1,0),FALSE)/1,0))</f>
        <v/>
      </c>
      <c r="M45" s="31" t="str">
        <f>IF($D45="","",IFERROR(VLOOKUP($B45,Kraftvärmeprod!$B$1:$BX$550,MATCH(M$2,Kraftvärmeprod!$B$1:$VX$1,0),FALSE)/1,0)-IFERROR(VLOOKUP($B45,'Slutlig allokering kvv'!$B$2:$BX$550,MATCH(M$2,'Slutlig allokering kvv'!$B$1:$BX$1,0),FALSE)/1,0))</f>
        <v/>
      </c>
      <c r="N45" s="31" t="str">
        <f>IF($D45="","",IFERROR(VLOOKUP($B45,Kraftvärmeprod!$B$1:$BX$550,MATCH(N$2,Kraftvärmeprod!$B$1:$VX$1,0),FALSE)/1,0)-IFERROR(VLOOKUP($B45,'Slutlig allokering kvv'!$B$2:$BX$550,MATCH(N$2,'Slutlig allokering kvv'!$B$1:$BX$1,0),FALSE)/1,0))</f>
        <v/>
      </c>
      <c r="O45" s="31" t="str">
        <f>IF($D45="","",IFERROR(VLOOKUP($B45,Kraftvärmeprod!$B$1:$BX$550,MATCH(O$2,Kraftvärmeprod!$B$1:$VX$1,0),FALSE)/1,0)-IFERROR(VLOOKUP($B45,'Slutlig allokering kvv'!$B$2:$BX$550,MATCH(O$2,'Slutlig allokering kvv'!$B$1:$BX$1,0),FALSE)/1,0))</f>
        <v/>
      </c>
      <c r="P45" s="31" t="str">
        <f>IF($D45="","",IFERROR(VLOOKUP($B45,Kraftvärmeprod!$B$1:$BX$550,MATCH(P$2,Kraftvärmeprod!$B$1:$VX$1,0),FALSE)/1,0)-IFERROR(VLOOKUP($B45,'Slutlig allokering kvv'!$B$2:$BX$550,MATCH(P$2,'Slutlig allokering kvv'!$B$1:$BX$1,0),FALSE)/1,0))</f>
        <v/>
      </c>
      <c r="Q45" s="31" t="str">
        <f>IF($D45="","",IFERROR(VLOOKUP($B45,Kraftvärmeprod!$B$1:$BX$550,MATCH(Q$2,Kraftvärmeprod!$B$1:$VX$1,0),FALSE)/1,0)-IFERROR(VLOOKUP($B45,'Slutlig allokering kvv'!$B$2:$BX$550,MATCH(Q$2,'Slutlig allokering kvv'!$B$1:$BX$1,0),FALSE)/1,0))</f>
        <v/>
      </c>
      <c r="R45" s="31" t="str">
        <f>IF($D45="","",IFERROR(VLOOKUP($B45,Kraftvärmeprod!$B$1:$BX$550,MATCH(R$2,Kraftvärmeprod!$B$1:$VX$1,0),FALSE)/1,0)-IFERROR(VLOOKUP($B45,'Slutlig allokering kvv'!$B$2:$BX$550,MATCH(R$2,'Slutlig allokering kvv'!$B$1:$BX$1,0),FALSE)/1,0))</f>
        <v/>
      </c>
      <c r="S45" s="31" t="str">
        <f>IF($D45="","",IFERROR(VLOOKUP($B45,Kraftvärmeprod!$B$1:$BX$550,MATCH(S$2,Kraftvärmeprod!$B$1:$VX$1,0),FALSE)/1,0)-IFERROR(VLOOKUP($B45,'Slutlig allokering kvv'!$B$2:$BX$550,MATCH(S$2,'Slutlig allokering kvv'!$B$1:$BX$1,0),FALSE)/1,0))</f>
        <v/>
      </c>
      <c r="T45" s="31" t="str">
        <f>IF($D45="","",IFERROR(VLOOKUP($B45,Kraftvärmeprod!$B$1:$BX$550,MATCH(T$2,Kraftvärmeprod!$B$1:$VX$1,0),FALSE)/1,0)-IFERROR(VLOOKUP($B45,'Slutlig allokering kvv'!$B$2:$BX$550,MATCH(T$2,'Slutlig allokering kvv'!$B$1:$BX$1,0),FALSE)/1,0))</f>
        <v/>
      </c>
      <c r="U45" s="31" t="str">
        <f>IF($D45="","",IFERROR(VLOOKUP($B45,Kraftvärmeprod!$B$1:$BX$550,MATCH(U$2,Kraftvärmeprod!$B$1:$VX$1,0),FALSE)/1,0)-IFERROR(VLOOKUP($B45,'Slutlig allokering kvv'!$B$2:$BX$550,MATCH(U$2,'Slutlig allokering kvv'!$B$1:$BX$1,0),FALSE)/1,0))</f>
        <v/>
      </c>
      <c r="V45" s="31" t="str">
        <f>IF($D45="","",IFERROR(VLOOKUP($B45,Kraftvärmeprod!$B$1:$BX$550,MATCH(V$2,Kraftvärmeprod!$B$1:$VX$1,0),FALSE)/1,0)-IFERROR(VLOOKUP($B45,'Slutlig allokering kvv'!$B$2:$BX$550,MATCH(V$2,'Slutlig allokering kvv'!$B$1:$BX$1,0),FALSE)/1,0))</f>
        <v/>
      </c>
      <c r="W45" s="31" t="str">
        <f>IF($D45="","",IFERROR(VLOOKUP($B45,Kraftvärmeprod!$B$1:$BX$550,MATCH(W$2,Kraftvärmeprod!$B$1:$VX$1,0),FALSE)/1,0)-IFERROR(VLOOKUP($B45,'Slutlig allokering kvv'!$B$2:$BX$550,MATCH(W$2,'Slutlig allokering kvv'!$B$1:$BX$1,0),FALSE)/1,0))</f>
        <v/>
      </c>
      <c r="X45" s="31" t="str">
        <f>IF($D45="","",IFERROR(VLOOKUP($B45,Kraftvärmeprod!$B$1:$BX$550,MATCH(X$2,Kraftvärmeprod!$B$1:$VX$1,0),FALSE)/1,0)-IFERROR(VLOOKUP($B45,'Slutlig allokering kvv'!$B$2:$BX$550,MATCH(X$2,'Slutlig allokering kvv'!$B$1:$BX$1,0),FALSE)/1,0))</f>
        <v/>
      </c>
      <c r="Y45" s="31" t="str">
        <f>IF($D45="","",IFERROR(VLOOKUP($B45,Kraftvärmeprod!$B$1:$BX$550,MATCH(Y$2,Kraftvärmeprod!$B$1:$VX$1,0),FALSE)/1,0)-IFERROR(VLOOKUP($B45,'Slutlig allokering kvv'!$B$2:$BX$550,MATCH(Y$2,'Slutlig allokering kvv'!$B$1:$BX$1,0),FALSE)/1,0))</f>
        <v/>
      </c>
      <c r="Z45" s="31" t="str">
        <f>IF($D45="","",IFERROR(VLOOKUP($B45,Kraftvärmeprod!$B$1:$BX$550,MATCH(Z$2,Kraftvärmeprod!$B$1:$VX$1,0),FALSE)/1,0)-IFERROR(VLOOKUP($B45,'Slutlig allokering kvv'!$B$2:$BX$550,MATCH(Z$2,'Slutlig allokering kvv'!$B$1:$BX$1,0),FALSE)/1,0))</f>
        <v/>
      </c>
      <c r="AA45" s="31" t="str">
        <f>IF($D45="","",IFERROR(VLOOKUP($B45,Kraftvärmeprod!$B$1:$BX$550,MATCH(AA$2,Kraftvärmeprod!$B$1:$VX$1,0),FALSE)/1,0)-IFERROR(VLOOKUP($B45,'Slutlig allokering kvv'!$B$2:$BX$550,MATCH(AA$2,'Slutlig allokering kvv'!$B$1:$BX$1,0),FALSE)/1,0))</f>
        <v/>
      </c>
      <c r="AB45" s="31" t="str">
        <f>IF($D45="","",IFERROR(VLOOKUP($B45,Kraftvärmeprod!$B$1:$BX$550,MATCH(AB$2,Kraftvärmeprod!$B$1:$VX$1,0),FALSE)/1,0)-IFERROR(VLOOKUP($B45,'Slutlig allokering kvv'!$B$2:$BX$550,MATCH(AB$2,'Slutlig allokering kvv'!$B$1:$BX$1,0),FALSE)/1,0))</f>
        <v/>
      </c>
      <c r="AC45" s="31" t="str">
        <f>IF($D45="","",IFERROR(VLOOKUP($B45,Kraftvärmeprod!$B$1:$BX$550,MATCH(AC$2,Kraftvärmeprod!$B$1:$VX$1,0),FALSE)/1,0)-IFERROR(VLOOKUP($B45,'Slutlig allokering kvv'!$B$2:$BX$550,MATCH(AC$2,'Slutlig allokering kvv'!$B$1:$BX$1,0),FALSE)/1,0))</f>
        <v/>
      </c>
      <c r="AD45" s="31" t="str">
        <f>IF($D45="","",IFERROR(VLOOKUP($B45,Kraftvärmeprod!$B$1:$BX$550,MATCH(AD$2,Kraftvärmeprod!$B$1:$VX$1,0),FALSE)/1,0)-IFERROR(VLOOKUP($B45,'Slutlig allokering kvv'!$B$2:$BX$550,MATCH(AD$2,'Slutlig allokering kvv'!$B$1:$BX$1,0),FALSE)/1,0))</f>
        <v/>
      </c>
      <c r="AE45" s="31" t="str">
        <f>IF($D45="","",IFERROR(VLOOKUP($B45,Miljö!$B$1:$E$550,MATCH("Hjälpel kraftvärme (GWh)",Miljö!$B$1:$E$1,0),FALSE)/1,0)-IFERROR(VLOOKUP($B45,'Slutlig allokering kvv'!$B$2:$BX$549,MATCH(AE$2,'Slutlig allokering kvv'!$B$1:$BX$1,0),FALSE)/1,0))</f>
        <v/>
      </c>
      <c r="AI45" s="39">
        <f t="shared" si="0"/>
        <v>0</v>
      </c>
      <c r="AK45" s="31">
        <f>IFERROR(VLOOKUP($B45,'Slutlig allokering kvv'!$B$2:$AX$549,MATCH("Summa slutlig allokerad tillförd energi (utan hjälpel och rökgaskondensering):",'Slutlig allokering kvv'!$B$1:$AX$1,0),FALSE)/1,"")</f>
        <v>0</v>
      </c>
      <c r="AM45" s="31" t="str">
        <f>IFERROR(1-VLOOKUP($B45,'Slutlig allokering kvv'!$B$2:$AX$549,MATCH("Andel av bränsle i kvv som allokerats till värme, exklusive rökgaskondensering och hjälpel",'Slutlig allokering kvv'!$B$1:$AX$1,0),FALSE),"")</f>
        <v/>
      </c>
      <c r="AO45" s="31" t="str">
        <f t="shared" si="1"/>
        <v/>
      </c>
      <c r="AP45" s="31" t="str">
        <f t="shared" si="2"/>
        <v/>
      </c>
      <c r="AR45" s="32" t="str">
        <f t="shared" si="3"/>
        <v/>
      </c>
    </row>
    <row r="46" spans="1:44" s="31" customFormat="1" x14ac:dyDescent="0.45">
      <c r="A46" s="31" t="s">
        <v>635</v>
      </c>
      <c r="B46" s="31" t="s">
        <v>634</v>
      </c>
      <c r="C46" s="31" t="str">
        <f>IFERROR(VLOOKUP($B46,Kraftvärmeprod!$B$1:$AH$479,MATCH(C$2,Kraftvärmeprod!$B$1:$AG$1,0),FALSE)/1,"")</f>
        <v/>
      </c>
      <c r="D46" s="31" t="str">
        <f>IFERROR(VLOOKUP($B46,Kraftvärmeprod!$B$1:$AH$479,MATCH(D$2,Kraftvärmeprod!$B$1:$AG$1,0),FALSE)/1,"")</f>
        <v/>
      </c>
      <c r="F46" s="31" t="str">
        <f>IF($D46="","",IFERROR(VLOOKUP($B46,Kraftvärmeprod!$B$1:$BX$550,MATCH(F$2,Kraftvärmeprod!$B$1:$VX$1,0),FALSE)/1,0)-IFERROR(VLOOKUP($B46,'Slutlig allokering kvv'!$B$2:$BX$550,MATCH(F$2,'Slutlig allokering kvv'!$B$1:$BX$1,0),FALSE)/1,0))</f>
        <v/>
      </c>
      <c r="G46" s="31" t="str">
        <f>IF($D46="","",IFERROR(VLOOKUP($B46,Kraftvärmeprod!$B$1:$BX$550,MATCH(G$2,Kraftvärmeprod!$B$1:$VX$1,0),FALSE)/1,0)-IFERROR(VLOOKUP($B46,'Slutlig allokering kvv'!$B$2:$BX$550,MATCH(G$2,'Slutlig allokering kvv'!$B$1:$BX$1,0),FALSE)/1,0))</f>
        <v/>
      </c>
      <c r="H46" s="31" t="str">
        <f>IF($D46="","",IFERROR(VLOOKUP($B46,Kraftvärmeprod!$B$1:$BX$550,MATCH(H$2,Kraftvärmeprod!$B$1:$VX$1,0),FALSE)/1,0)-IFERROR(VLOOKUP($B46,'Slutlig allokering kvv'!$B$2:$BX$550,MATCH(H$2,'Slutlig allokering kvv'!$B$1:$BX$1,0),FALSE)/1,0))</f>
        <v/>
      </c>
      <c r="I46" s="31" t="str">
        <f>IF($D46="","",IFERROR(VLOOKUP($B46,Kraftvärmeprod!$B$1:$BX$550,MATCH(I$2,Kraftvärmeprod!$B$1:$VX$1,0),FALSE)/1,0)-IFERROR(VLOOKUP($B46,'Slutlig allokering kvv'!$B$2:$BX$550,MATCH(I$2,'Slutlig allokering kvv'!$B$1:$BX$1,0),FALSE)/1,0))</f>
        <v/>
      </c>
      <c r="J46" s="31" t="str">
        <f>IF($D46="","",IFERROR(VLOOKUP($B46,Kraftvärmeprod!$B$1:$BX$550,MATCH(J$2,Kraftvärmeprod!$B$1:$VX$1,0),FALSE)/1,0)-IFERROR(VLOOKUP($B46,'Slutlig allokering kvv'!$B$2:$BX$550,MATCH(J$2,'Slutlig allokering kvv'!$B$1:$BX$1,0),FALSE)/1,0))</f>
        <v/>
      </c>
      <c r="K46" s="31" t="str">
        <f>IF($D46="","",IFERROR(VLOOKUP($B46,Kraftvärmeprod!$B$1:$BX$550,MATCH(K$2,Kraftvärmeprod!$B$1:$VX$1,0),FALSE)/1,0)-IFERROR(VLOOKUP($B46,'Slutlig allokering kvv'!$B$2:$BX$550,MATCH(K$2,'Slutlig allokering kvv'!$B$1:$BX$1,0),FALSE)/1,0))</f>
        <v/>
      </c>
      <c r="L46" s="31" t="str">
        <f>IF($D46="","",IFERROR(VLOOKUP($B46,Kraftvärmeprod!$B$1:$BX$550,MATCH(L$2,Kraftvärmeprod!$B$1:$VX$1,0),FALSE)/1,0)-IFERROR(VLOOKUP($B46,'Slutlig allokering kvv'!$B$2:$BX$550,MATCH(L$2,'Slutlig allokering kvv'!$B$1:$BX$1,0),FALSE)/1,0))</f>
        <v/>
      </c>
      <c r="M46" s="31" t="str">
        <f>IF($D46="","",IFERROR(VLOOKUP($B46,Kraftvärmeprod!$B$1:$BX$550,MATCH(M$2,Kraftvärmeprod!$B$1:$VX$1,0),FALSE)/1,0)-IFERROR(VLOOKUP($B46,'Slutlig allokering kvv'!$B$2:$BX$550,MATCH(M$2,'Slutlig allokering kvv'!$B$1:$BX$1,0),FALSE)/1,0))</f>
        <v/>
      </c>
      <c r="N46" s="31" t="str">
        <f>IF($D46="","",IFERROR(VLOOKUP($B46,Kraftvärmeprod!$B$1:$BX$550,MATCH(N$2,Kraftvärmeprod!$B$1:$VX$1,0),FALSE)/1,0)-IFERROR(VLOOKUP($B46,'Slutlig allokering kvv'!$B$2:$BX$550,MATCH(N$2,'Slutlig allokering kvv'!$B$1:$BX$1,0),FALSE)/1,0))</f>
        <v/>
      </c>
      <c r="O46" s="31" t="str">
        <f>IF($D46="","",IFERROR(VLOOKUP($B46,Kraftvärmeprod!$B$1:$BX$550,MATCH(O$2,Kraftvärmeprod!$B$1:$VX$1,0),FALSE)/1,0)-IFERROR(VLOOKUP($B46,'Slutlig allokering kvv'!$B$2:$BX$550,MATCH(O$2,'Slutlig allokering kvv'!$B$1:$BX$1,0),FALSE)/1,0))</f>
        <v/>
      </c>
      <c r="P46" s="31" t="str">
        <f>IF($D46="","",IFERROR(VLOOKUP($B46,Kraftvärmeprod!$B$1:$BX$550,MATCH(P$2,Kraftvärmeprod!$B$1:$VX$1,0),FALSE)/1,0)-IFERROR(VLOOKUP($B46,'Slutlig allokering kvv'!$B$2:$BX$550,MATCH(P$2,'Slutlig allokering kvv'!$B$1:$BX$1,0),FALSE)/1,0))</f>
        <v/>
      </c>
      <c r="Q46" s="31" t="str">
        <f>IF($D46="","",IFERROR(VLOOKUP($B46,Kraftvärmeprod!$B$1:$BX$550,MATCH(Q$2,Kraftvärmeprod!$B$1:$VX$1,0),FALSE)/1,0)-IFERROR(VLOOKUP($B46,'Slutlig allokering kvv'!$B$2:$BX$550,MATCH(Q$2,'Slutlig allokering kvv'!$B$1:$BX$1,0),FALSE)/1,0))</f>
        <v/>
      </c>
      <c r="R46" s="31" t="str">
        <f>IF($D46="","",IFERROR(VLOOKUP($B46,Kraftvärmeprod!$B$1:$BX$550,MATCH(R$2,Kraftvärmeprod!$B$1:$VX$1,0),FALSE)/1,0)-IFERROR(VLOOKUP($B46,'Slutlig allokering kvv'!$B$2:$BX$550,MATCH(R$2,'Slutlig allokering kvv'!$B$1:$BX$1,0),FALSE)/1,0))</f>
        <v/>
      </c>
      <c r="S46" s="31" t="str">
        <f>IF($D46="","",IFERROR(VLOOKUP($B46,Kraftvärmeprod!$B$1:$BX$550,MATCH(S$2,Kraftvärmeprod!$B$1:$VX$1,0),FALSE)/1,0)-IFERROR(VLOOKUP($B46,'Slutlig allokering kvv'!$B$2:$BX$550,MATCH(S$2,'Slutlig allokering kvv'!$B$1:$BX$1,0),FALSE)/1,0))</f>
        <v/>
      </c>
      <c r="T46" s="31" t="str">
        <f>IF($D46="","",IFERROR(VLOOKUP($B46,Kraftvärmeprod!$B$1:$BX$550,MATCH(T$2,Kraftvärmeprod!$B$1:$VX$1,0),FALSE)/1,0)-IFERROR(VLOOKUP($B46,'Slutlig allokering kvv'!$B$2:$BX$550,MATCH(T$2,'Slutlig allokering kvv'!$B$1:$BX$1,0),FALSE)/1,0))</f>
        <v/>
      </c>
      <c r="U46" s="31" t="str">
        <f>IF($D46="","",IFERROR(VLOOKUP($B46,Kraftvärmeprod!$B$1:$BX$550,MATCH(U$2,Kraftvärmeprod!$B$1:$VX$1,0),FALSE)/1,0)-IFERROR(VLOOKUP($B46,'Slutlig allokering kvv'!$B$2:$BX$550,MATCH(U$2,'Slutlig allokering kvv'!$B$1:$BX$1,0),FALSE)/1,0))</f>
        <v/>
      </c>
      <c r="V46" s="31" t="str">
        <f>IF($D46="","",IFERROR(VLOOKUP($B46,Kraftvärmeprod!$B$1:$BX$550,MATCH(V$2,Kraftvärmeprod!$B$1:$VX$1,0),FALSE)/1,0)-IFERROR(VLOOKUP($B46,'Slutlig allokering kvv'!$B$2:$BX$550,MATCH(V$2,'Slutlig allokering kvv'!$B$1:$BX$1,0),FALSE)/1,0))</f>
        <v/>
      </c>
      <c r="W46" s="31" t="str">
        <f>IF($D46="","",IFERROR(VLOOKUP($B46,Kraftvärmeprod!$B$1:$BX$550,MATCH(W$2,Kraftvärmeprod!$B$1:$VX$1,0),FALSE)/1,0)-IFERROR(VLOOKUP($B46,'Slutlig allokering kvv'!$B$2:$BX$550,MATCH(W$2,'Slutlig allokering kvv'!$B$1:$BX$1,0),FALSE)/1,0))</f>
        <v/>
      </c>
      <c r="X46" s="31" t="str">
        <f>IF($D46="","",IFERROR(VLOOKUP($B46,Kraftvärmeprod!$B$1:$BX$550,MATCH(X$2,Kraftvärmeprod!$B$1:$VX$1,0),FALSE)/1,0)-IFERROR(VLOOKUP($B46,'Slutlig allokering kvv'!$B$2:$BX$550,MATCH(X$2,'Slutlig allokering kvv'!$B$1:$BX$1,0),FALSE)/1,0))</f>
        <v/>
      </c>
      <c r="Y46" s="31" t="str">
        <f>IF($D46="","",IFERROR(VLOOKUP($B46,Kraftvärmeprod!$B$1:$BX$550,MATCH(Y$2,Kraftvärmeprod!$B$1:$VX$1,0),FALSE)/1,0)-IFERROR(VLOOKUP($B46,'Slutlig allokering kvv'!$B$2:$BX$550,MATCH(Y$2,'Slutlig allokering kvv'!$B$1:$BX$1,0),FALSE)/1,0))</f>
        <v/>
      </c>
      <c r="Z46" s="31" t="str">
        <f>IF($D46="","",IFERROR(VLOOKUP($B46,Kraftvärmeprod!$B$1:$BX$550,MATCH(Z$2,Kraftvärmeprod!$B$1:$VX$1,0),FALSE)/1,0)-IFERROR(VLOOKUP($B46,'Slutlig allokering kvv'!$B$2:$BX$550,MATCH(Z$2,'Slutlig allokering kvv'!$B$1:$BX$1,0),FALSE)/1,0))</f>
        <v/>
      </c>
      <c r="AA46" s="31" t="str">
        <f>IF($D46="","",IFERROR(VLOOKUP($B46,Kraftvärmeprod!$B$1:$BX$550,MATCH(AA$2,Kraftvärmeprod!$B$1:$VX$1,0),FALSE)/1,0)-IFERROR(VLOOKUP($B46,'Slutlig allokering kvv'!$B$2:$BX$550,MATCH(AA$2,'Slutlig allokering kvv'!$B$1:$BX$1,0),FALSE)/1,0))</f>
        <v/>
      </c>
      <c r="AB46" s="31" t="str">
        <f>IF($D46="","",IFERROR(VLOOKUP($B46,Kraftvärmeprod!$B$1:$BX$550,MATCH(AB$2,Kraftvärmeprod!$B$1:$VX$1,0),FALSE)/1,0)-IFERROR(VLOOKUP($B46,'Slutlig allokering kvv'!$B$2:$BX$550,MATCH(AB$2,'Slutlig allokering kvv'!$B$1:$BX$1,0),FALSE)/1,0))</f>
        <v/>
      </c>
      <c r="AC46" s="31" t="str">
        <f>IF($D46="","",IFERROR(VLOOKUP($B46,Kraftvärmeprod!$B$1:$BX$550,MATCH(AC$2,Kraftvärmeprod!$B$1:$VX$1,0),FALSE)/1,0)-IFERROR(VLOOKUP($B46,'Slutlig allokering kvv'!$B$2:$BX$550,MATCH(AC$2,'Slutlig allokering kvv'!$B$1:$BX$1,0),FALSE)/1,0))</f>
        <v/>
      </c>
      <c r="AD46" s="31" t="str">
        <f>IF($D46="","",IFERROR(VLOOKUP($B46,Kraftvärmeprod!$B$1:$BX$550,MATCH(AD$2,Kraftvärmeprod!$B$1:$VX$1,0),FALSE)/1,0)-IFERROR(VLOOKUP($B46,'Slutlig allokering kvv'!$B$2:$BX$550,MATCH(AD$2,'Slutlig allokering kvv'!$B$1:$BX$1,0),FALSE)/1,0))</f>
        <v/>
      </c>
      <c r="AE46" s="31" t="str">
        <f>IF($D46="","",IFERROR(VLOOKUP($B46,Miljö!$B$1:$E$550,MATCH("Hjälpel kraftvärme (GWh)",Miljö!$B$1:$E$1,0),FALSE)/1,0)-IFERROR(VLOOKUP($B46,'Slutlig allokering kvv'!$B$2:$BX$549,MATCH(AE$2,'Slutlig allokering kvv'!$B$1:$BX$1,0),FALSE)/1,0))</f>
        <v/>
      </c>
      <c r="AI46" s="39">
        <f t="shared" si="0"/>
        <v>0</v>
      </c>
      <c r="AK46" s="31">
        <f>IFERROR(VLOOKUP($B46,'Slutlig allokering kvv'!$B$2:$AX$549,MATCH("Summa slutlig allokerad tillförd energi (utan hjälpel och rökgaskondensering):",'Slutlig allokering kvv'!$B$1:$AX$1,0),FALSE)/1,"")</f>
        <v>0</v>
      </c>
      <c r="AM46" s="31" t="str">
        <f>IFERROR(1-VLOOKUP($B46,'Slutlig allokering kvv'!$B$2:$AX$549,MATCH("Andel av bränsle i kvv som allokerats till värme, exklusive rökgaskondensering och hjälpel",'Slutlig allokering kvv'!$B$1:$AX$1,0),FALSE),"")</f>
        <v/>
      </c>
      <c r="AO46" s="31" t="str">
        <f t="shared" si="1"/>
        <v/>
      </c>
      <c r="AP46" s="31" t="str">
        <f t="shared" si="2"/>
        <v/>
      </c>
      <c r="AR46" s="32" t="str">
        <f t="shared" si="3"/>
        <v/>
      </c>
    </row>
    <row r="47" spans="1:44" s="31" customFormat="1" x14ac:dyDescent="0.45">
      <c r="A47" s="31" t="s">
        <v>633</v>
      </c>
      <c r="B47" s="31" t="s">
        <v>65</v>
      </c>
      <c r="C47" s="31" t="str">
        <f>IFERROR(VLOOKUP($B47,Kraftvärmeprod!$B$1:$AH$479,MATCH(C$2,Kraftvärmeprod!$B$1:$AG$1,0),FALSE)/1,"")</f>
        <v/>
      </c>
      <c r="D47" s="31" t="str">
        <f>IFERROR(VLOOKUP($B47,Kraftvärmeprod!$B$1:$AH$479,MATCH(D$2,Kraftvärmeprod!$B$1:$AG$1,0),FALSE)/1,"")</f>
        <v/>
      </c>
      <c r="F47" s="31" t="str">
        <f>IF($D47="","",IFERROR(VLOOKUP($B47,Kraftvärmeprod!$B$1:$BX$550,MATCH(F$2,Kraftvärmeprod!$B$1:$VX$1,0),FALSE)/1,0)-IFERROR(VLOOKUP($B47,'Slutlig allokering kvv'!$B$2:$BX$550,MATCH(F$2,'Slutlig allokering kvv'!$B$1:$BX$1,0),FALSE)/1,0))</f>
        <v/>
      </c>
      <c r="G47" s="31" t="str">
        <f>IF($D47="","",IFERROR(VLOOKUP($B47,Kraftvärmeprod!$B$1:$BX$550,MATCH(G$2,Kraftvärmeprod!$B$1:$VX$1,0),FALSE)/1,0)-IFERROR(VLOOKUP($B47,'Slutlig allokering kvv'!$B$2:$BX$550,MATCH(G$2,'Slutlig allokering kvv'!$B$1:$BX$1,0),FALSE)/1,0))</f>
        <v/>
      </c>
      <c r="H47" s="31" t="str">
        <f>IF($D47="","",IFERROR(VLOOKUP($B47,Kraftvärmeprod!$B$1:$BX$550,MATCH(H$2,Kraftvärmeprod!$B$1:$VX$1,0),FALSE)/1,0)-IFERROR(VLOOKUP($B47,'Slutlig allokering kvv'!$B$2:$BX$550,MATCH(H$2,'Slutlig allokering kvv'!$B$1:$BX$1,0),FALSE)/1,0))</f>
        <v/>
      </c>
      <c r="I47" s="31" t="str">
        <f>IF($D47="","",IFERROR(VLOOKUP($B47,Kraftvärmeprod!$B$1:$BX$550,MATCH(I$2,Kraftvärmeprod!$B$1:$VX$1,0),FALSE)/1,0)-IFERROR(VLOOKUP($B47,'Slutlig allokering kvv'!$B$2:$BX$550,MATCH(I$2,'Slutlig allokering kvv'!$B$1:$BX$1,0),FALSE)/1,0))</f>
        <v/>
      </c>
      <c r="J47" s="31" t="str">
        <f>IF($D47="","",IFERROR(VLOOKUP($B47,Kraftvärmeprod!$B$1:$BX$550,MATCH(J$2,Kraftvärmeprod!$B$1:$VX$1,0),FALSE)/1,0)-IFERROR(VLOOKUP($B47,'Slutlig allokering kvv'!$B$2:$BX$550,MATCH(J$2,'Slutlig allokering kvv'!$B$1:$BX$1,0),FALSE)/1,0))</f>
        <v/>
      </c>
      <c r="K47" s="31" t="str">
        <f>IF($D47="","",IFERROR(VLOOKUP($B47,Kraftvärmeprod!$B$1:$BX$550,MATCH(K$2,Kraftvärmeprod!$B$1:$VX$1,0),FALSE)/1,0)-IFERROR(VLOOKUP($B47,'Slutlig allokering kvv'!$B$2:$BX$550,MATCH(K$2,'Slutlig allokering kvv'!$B$1:$BX$1,0),FALSE)/1,0))</f>
        <v/>
      </c>
      <c r="L47" s="31" t="str">
        <f>IF($D47="","",IFERROR(VLOOKUP($B47,Kraftvärmeprod!$B$1:$BX$550,MATCH(L$2,Kraftvärmeprod!$B$1:$VX$1,0),FALSE)/1,0)-IFERROR(VLOOKUP($B47,'Slutlig allokering kvv'!$B$2:$BX$550,MATCH(L$2,'Slutlig allokering kvv'!$B$1:$BX$1,0),FALSE)/1,0))</f>
        <v/>
      </c>
      <c r="M47" s="31" t="str">
        <f>IF($D47="","",IFERROR(VLOOKUP($B47,Kraftvärmeprod!$B$1:$BX$550,MATCH(M$2,Kraftvärmeprod!$B$1:$VX$1,0),FALSE)/1,0)-IFERROR(VLOOKUP($B47,'Slutlig allokering kvv'!$B$2:$BX$550,MATCH(M$2,'Slutlig allokering kvv'!$B$1:$BX$1,0),FALSE)/1,0))</f>
        <v/>
      </c>
      <c r="N47" s="31" t="str">
        <f>IF($D47="","",IFERROR(VLOOKUP($B47,Kraftvärmeprod!$B$1:$BX$550,MATCH(N$2,Kraftvärmeprod!$B$1:$VX$1,0),FALSE)/1,0)-IFERROR(VLOOKUP($B47,'Slutlig allokering kvv'!$B$2:$BX$550,MATCH(N$2,'Slutlig allokering kvv'!$B$1:$BX$1,0),FALSE)/1,0))</f>
        <v/>
      </c>
      <c r="O47" s="31" t="str">
        <f>IF($D47="","",IFERROR(VLOOKUP($B47,Kraftvärmeprod!$B$1:$BX$550,MATCH(O$2,Kraftvärmeprod!$B$1:$VX$1,0),FALSE)/1,0)-IFERROR(VLOOKUP($B47,'Slutlig allokering kvv'!$B$2:$BX$550,MATCH(O$2,'Slutlig allokering kvv'!$B$1:$BX$1,0),FALSE)/1,0))</f>
        <v/>
      </c>
      <c r="P47" s="31" t="str">
        <f>IF($D47="","",IFERROR(VLOOKUP($B47,Kraftvärmeprod!$B$1:$BX$550,MATCH(P$2,Kraftvärmeprod!$B$1:$VX$1,0),FALSE)/1,0)-IFERROR(VLOOKUP($B47,'Slutlig allokering kvv'!$B$2:$BX$550,MATCH(P$2,'Slutlig allokering kvv'!$B$1:$BX$1,0),FALSE)/1,0))</f>
        <v/>
      </c>
      <c r="Q47" s="31" t="str">
        <f>IF($D47="","",IFERROR(VLOOKUP($B47,Kraftvärmeprod!$B$1:$BX$550,MATCH(Q$2,Kraftvärmeprod!$B$1:$VX$1,0),FALSE)/1,0)-IFERROR(VLOOKUP($B47,'Slutlig allokering kvv'!$B$2:$BX$550,MATCH(Q$2,'Slutlig allokering kvv'!$B$1:$BX$1,0),FALSE)/1,0))</f>
        <v/>
      </c>
      <c r="R47" s="31" t="str">
        <f>IF($D47="","",IFERROR(VLOOKUP($B47,Kraftvärmeprod!$B$1:$BX$550,MATCH(R$2,Kraftvärmeprod!$B$1:$VX$1,0),FALSE)/1,0)-IFERROR(VLOOKUP($B47,'Slutlig allokering kvv'!$B$2:$BX$550,MATCH(R$2,'Slutlig allokering kvv'!$B$1:$BX$1,0),FALSE)/1,0))</f>
        <v/>
      </c>
      <c r="S47" s="31" t="str">
        <f>IF($D47="","",IFERROR(VLOOKUP($B47,Kraftvärmeprod!$B$1:$BX$550,MATCH(S$2,Kraftvärmeprod!$B$1:$VX$1,0),FALSE)/1,0)-IFERROR(VLOOKUP($B47,'Slutlig allokering kvv'!$B$2:$BX$550,MATCH(S$2,'Slutlig allokering kvv'!$B$1:$BX$1,0),FALSE)/1,0))</f>
        <v/>
      </c>
      <c r="T47" s="31" t="str">
        <f>IF($D47="","",IFERROR(VLOOKUP($B47,Kraftvärmeprod!$B$1:$BX$550,MATCH(T$2,Kraftvärmeprod!$B$1:$VX$1,0),FALSE)/1,0)-IFERROR(VLOOKUP($B47,'Slutlig allokering kvv'!$B$2:$BX$550,MATCH(T$2,'Slutlig allokering kvv'!$B$1:$BX$1,0),FALSE)/1,0))</f>
        <v/>
      </c>
      <c r="U47" s="31" t="str">
        <f>IF($D47="","",IFERROR(VLOOKUP($B47,Kraftvärmeprod!$B$1:$BX$550,MATCH(U$2,Kraftvärmeprod!$B$1:$VX$1,0),FALSE)/1,0)-IFERROR(VLOOKUP($B47,'Slutlig allokering kvv'!$B$2:$BX$550,MATCH(U$2,'Slutlig allokering kvv'!$B$1:$BX$1,0),FALSE)/1,0))</f>
        <v/>
      </c>
      <c r="V47" s="31" t="str">
        <f>IF($D47="","",IFERROR(VLOOKUP($B47,Kraftvärmeprod!$B$1:$BX$550,MATCH(V$2,Kraftvärmeprod!$B$1:$VX$1,0),FALSE)/1,0)-IFERROR(VLOOKUP($B47,'Slutlig allokering kvv'!$B$2:$BX$550,MATCH(V$2,'Slutlig allokering kvv'!$B$1:$BX$1,0),FALSE)/1,0))</f>
        <v/>
      </c>
      <c r="W47" s="31" t="str">
        <f>IF($D47="","",IFERROR(VLOOKUP($B47,Kraftvärmeprod!$B$1:$BX$550,MATCH(W$2,Kraftvärmeprod!$B$1:$VX$1,0),FALSE)/1,0)-IFERROR(VLOOKUP($B47,'Slutlig allokering kvv'!$B$2:$BX$550,MATCH(W$2,'Slutlig allokering kvv'!$B$1:$BX$1,0),FALSE)/1,0))</f>
        <v/>
      </c>
      <c r="X47" s="31" t="str">
        <f>IF($D47="","",IFERROR(VLOOKUP($B47,Kraftvärmeprod!$B$1:$BX$550,MATCH(X$2,Kraftvärmeprod!$B$1:$VX$1,0),FALSE)/1,0)-IFERROR(VLOOKUP($B47,'Slutlig allokering kvv'!$B$2:$BX$550,MATCH(X$2,'Slutlig allokering kvv'!$B$1:$BX$1,0),FALSE)/1,0))</f>
        <v/>
      </c>
      <c r="Y47" s="31" t="str">
        <f>IF($D47="","",IFERROR(VLOOKUP($B47,Kraftvärmeprod!$B$1:$BX$550,MATCH(Y$2,Kraftvärmeprod!$B$1:$VX$1,0),FALSE)/1,0)-IFERROR(VLOOKUP($B47,'Slutlig allokering kvv'!$B$2:$BX$550,MATCH(Y$2,'Slutlig allokering kvv'!$B$1:$BX$1,0),FALSE)/1,0))</f>
        <v/>
      </c>
      <c r="Z47" s="31" t="str">
        <f>IF($D47="","",IFERROR(VLOOKUP($B47,Kraftvärmeprod!$B$1:$BX$550,MATCH(Z$2,Kraftvärmeprod!$B$1:$VX$1,0),FALSE)/1,0)-IFERROR(VLOOKUP($B47,'Slutlig allokering kvv'!$B$2:$BX$550,MATCH(Z$2,'Slutlig allokering kvv'!$B$1:$BX$1,0),FALSE)/1,0))</f>
        <v/>
      </c>
      <c r="AA47" s="31" t="str">
        <f>IF($D47="","",IFERROR(VLOOKUP($B47,Kraftvärmeprod!$B$1:$BX$550,MATCH(AA$2,Kraftvärmeprod!$B$1:$VX$1,0),FALSE)/1,0)-IFERROR(VLOOKUP($B47,'Slutlig allokering kvv'!$B$2:$BX$550,MATCH(AA$2,'Slutlig allokering kvv'!$B$1:$BX$1,0),FALSE)/1,0))</f>
        <v/>
      </c>
      <c r="AB47" s="31" t="str">
        <f>IF($D47="","",IFERROR(VLOOKUP($B47,Kraftvärmeprod!$B$1:$BX$550,MATCH(AB$2,Kraftvärmeprod!$B$1:$VX$1,0),FALSE)/1,0)-IFERROR(VLOOKUP($B47,'Slutlig allokering kvv'!$B$2:$BX$550,MATCH(AB$2,'Slutlig allokering kvv'!$B$1:$BX$1,0),FALSE)/1,0))</f>
        <v/>
      </c>
      <c r="AC47" s="31" t="str">
        <f>IF($D47="","",IFERROR(VLOOKUP($B47,Kraftvärmeprod!$B$1:$BX$550,MATCH(AC$2,Kraftvärmeprod!$B$1:$VX$1,0),FALSE)/1,0)-IFERROR(VLOOKUP($B47,'Slutlig allokering kvv'!$B$2:$BX$550,MATCH(AC$2,'Slutlig allokering kvv'!$B$1:$BX$1,0),FALSE)/1,0))</f>
        <v/>
      </c>
      <c r="AD47" s="31" t="str">
        <f>IF($D47="","",IFERROR(VLOOKUP($B47,Kraftvärmeprod!$B$1:$BX$550,MATCH(AD$2,Kraftvärmeprod!$B$1:$VX$1,0),FALSE)/1,0)-IFERROR(VLOOKUP($B47,'Slutlig allokering kvv'!$B$2:$BX$550,MATCH(AD$2,'Slutlig allokering kvv'!$B$1:$BX$1,0),FALSE)/1,0))</f>
        <v/>
      </c>
      <c r="AE47" s="31" t="str">
        <f>IF($D47="","",IFERROR(VLOOKUP($B47,Miljö!$B$1:$E$550,MATCH("Hjälpel kraftvärme (GWh)",Miljö!$B$1:$E$1,0),FALSE)/1,0)-IFERROR(VLOOKUP($B47,'Slutlig allokering kvv'!$B$2:$BX$549,MATCH(AE$2,'Slutlig allokering kvv'!$B$1:$BX$1,0),FALSE)/1,0))</f>
        <v/>
      </c>
      <c r="AI47" s="39">
        <f t="shared" si="0"/>
        <v>0</v>
      </c>
      <c r="AK47" s="31">
        <f>IFERROR(VLOOKUP($B47,'Slutlig allokering kvv'!$B$2:$AX$549,MATCH("Summa slutlig allokerad tillförd energi (utan hjälpel och rökgaskondensering):",'Slutlig allokering kvv'!$B$1:$AX$1,0),FALSE)/1,"")</f>
        <v>0</v>
      </c>
      <c r="AM47" s="31" t="str">
        <f>IFERROR(1-VLOOKUP($B47,'Slutlig allokering kvv'!$B$2:$AX$549,MATCH("Andel av bränsle i kvv som allokerats till värme, exklusive rökgaskondensering och hjälpel",'Slutlig allokering kvv'!$B$1:$AX$1,0),FALSE),"")</f>
        <v/>
      </c>
      <c r="AO47" s="31" t="str">
        <f t="shared" si="1"/>
        <v/>
      </c>
      <c r="AP47" s="31" t="str">
        <f t="shared" si="2"/>
        <v/>
      </c>
      <c r="AR47" s="32" t="str">
        <f t="shared" si="3"/>
        <v/>
      </c>
    </row>
    <row r="48" spans="1:44" s="31" customFormat="1" x14ac:dyDescent="0.45">
      <c r="A48" s="31" t="s">
        <v>631</v>
      </c>
      <c r="B48" s="31" t="s">
        <v>632</v>
      </c>
      <c r="C48" s="31" t="str">
        <f>IFERROR(VLOOKUP($B48,Kraftvärmeprod!$B$1:$AH$479,MATCH(C$2,Kraftvärmeprod!$B$1:$AG$1,0),FALSE)/1,"")</f>
        <v/>
      </c>
      <c r="D48" s="31" t="str">
        <f>IFERROR(VLOOKUP($B48,Kraftvärmeprod!$B$1:$AH$479,MATCH(D$2,Kraftvärmeprod!$B$1:$AG$1,0),FALSE)/1,"")</f>
        <v/>
      </c>
      <c r="F48" s="31" t="str">
        <f>IF($D48="","",IFERROR(VLOOKUP($B48,Kraftvärmeprod!$B$1:$BX$550,MATCH(F$2,Kraftvärmeprod!$B$1:$VX$1,0),FALSE)/1,0)-IFERROR(VLOOKUP($B48,'Slutlig allokering kvv'!$B$2:$BX$550,MATCH(F$2,'Slutlig allokering kvv'!$B$1:$BX$1,0),FALSE)/1,0))</f>
        <v/>
      </c>
      <c r="G48" s="31" t="str">
        <f>IF($D48="","",IFERROR(VLOOKUP($B48,Kraftvärmeprod!$B$1:$BX$550,MATCH(G$2,Kraftvärmeprod!$B$1:$VX$1,0),FALSE)/1,0)-IFERROR(VLOOKUP($B48,'Slutlig allokering kvv'!$B$2:$BX$550,MATCH(G$2,'Slutlig allokering kvv'!$B$1:$BX$1,0),FALSE)/1,0))</f>
        <v/>
      </c>
      <c r="H48" s="31" t="str">
        <f>IF($D48="","",IFERROR(VLOOKUP($B48,Kraftvärmeprod!$B$1:$BX$550,MATCH(H$2,Kraftvärmeprod!$B$1:$VX$1,0),FALSE)/1,0)-IFERROR(VLOOKUP($B48,'Slutlig allokering kvv'!$B$2:$BX$550,MATCH(H$2,'Slutlig allokering kvv'!$B$1:$BX$1,0),FALSE)/1,0))</f>
        <v/>
      </c>
      <c r="I48" s="31" t="str">
        <f>IF($D48="","",IFERROR(VLOOKUP($B48,Kraftvärmeprod!$B$1:$BX$550,MATCH(I$2,Kraftvärmeprod!$B$1:$VX$1,0),FALSE)/1,0)-IFERROR(VLOOKUP($B48,'Slutlig allokering kvv'!$B$2:$BX$550,MATCH(I$2,'Slutlig allokering kvv'!$B$1:$BX$1,0),FALSE)/1,0))</f>
        <v/>
      </c>
      <c r="J48" s="31" t="str">
        <f>IF($D48="","",IFERROR(VLOOKUP($B48,Kraftvärmeprod!$B$1:$BX$550,MATCH(J$2,Kraftvärmeprod!$B$1:$VX$1,0),FALSE)/1,0)-IFERROR(VLOOKUP($B48,'Slutlig allokering kvv'!$B$2:$BX$550,MATCH(J$2,'Slutlig allokering kvv'!$B$1:$BX$1,0),FALSE)/1,0))</f>
        <v/>
      </c>
      <c r="K48" s="31" t="str">
        <f>IF($D48="","",IFERROR(VLOOKUP($B48,Kraftvärmeprod!$B$1:$BX$550,MATCH(K$2,Kraftvärmeprod!$B$1:$VX$1,0),FALSE)/1,0)-IFERROR(VLOOKUP($B48,'Slutlig allokering kvv'!$B$2:$BX$550,MATCH(K$2,'Slutlig allokering kvv'!$B$1:$BX$1,0),FALSE)/1,0))</f>
        <v/>
      </c>
      <c r="L48" s="31" t="str">
        <f>IF($D48="","",IFERROR(VLOOKUP($B48,Kraftvärmeprod!$B$1:$BX$550,MATCH(L$2,Kraftvärmeprod!$B$1:$VX$1,0),FALSE)/1,0)-IFERROR(VLOOKUP($B48,'Slutlig allokering kvv'!$B$2:$BX$550,MATCH(L$2,'Slutlig allokering kvv'!$B$1:$BX$1,0),FALSE)/1,0))</f>
        <v/>
      </c>
      <c r="M48" s="31" t="str">
        <f>IF($D48="","",IFERROR(VLOOKUP($B48,Kraftvärmeprod!$B$1:$BX$550,MATCH(M$2,Kraftvärmeprod!$B$1:$VX$1,0),FALSE)/1,0)-IFERROR(VLOOKUP($B48,'Slutlig allokering kvv'!$B$2:$BX$550,MATCH(M$2,'Slutlig allokering kvv'!$B$1:$BX$1,0),FALSE)/1,0))</f>
        <v/>
      </c>
      <c r="N48" s="31" t="str">
        <f>IF($D48="","",IFERROR(VLOOKUP($B48,Kraftvärmeprod!$B$1:$BX$550,MATCH(N$2,Kraftvärmeprod!$B$1:$VX$1,0),FALSE)/1,0)-IFERROR(VLOOKUP($B48,'Slutlig allokering kvv'!$B$2:$BX$550,MATCH(N$2,'Slutlig allokering kvv'!$B$1:$BX$1,0),FALSE)/1,0))</f>
        <v/>
      </c>
      <c r="O48" s="31" t="str">
        <f>IF($D48="","",IFERROR(VLOOKUP($B48,Kraftvärmeprod!$B$1:$BX$550,MATCH(O$2,Kraftvärmeprod!$B$1:$VX$1,0),FALSE)/1,0)-IFERROR(VLOOKUP($B48,'Slutlig allokering kvv'!$B$2:$BX$550,MATCH(O$2,'Slutlig allokering kvv'!$B$1:$BX$1,0),FALSE)/1,0))</f>
        <v/>
      </c>
      <c r="P48" s="31" t="str">
        <f>IF($D48="","",IFERROR(VLOOKUP($B48,Kraftvärmeprod!$B$1:$BX$550,MATCH(P$2,Kraftvärmeprod!$B$1:$VX$1,0),FALSE)/1,0)-IFERROR(VLOOKUP($B48,'Slutlig allokering kvv'!$B$2:$BX$550,MATCH(P$2,'Slutlig allokering kvv'!$B$1:$BX$1,0),FALSE)/1,0))</f>
        <v/>
      </c>
      <c r="Q48" s="31" t="str">
        <f>IF($D48="","",IFERROR(VLOOKUP($B48,Kraftvärmeprod!$B$1:$BX$550,MATCH(Q$2,Kraftvärmeprod!$B$1:$VX$1,0),FALSE)/1,0)-IFERROR(VLOOKUP($B48,'Slutlig allokering kvv'!$B$2:$BX$550,MATCH(Q$2,'Slutlig allokering kvv'!$B$1:$BX$1,0),FALSE)/1,0))</f>
        <v/>
      </c>
      <c r="R48" s="31" t="str">
        <f>IF($D48="","",IFERROR(VLOOKUP($B48,Kraftvärmeprod!$B$1:$BX$550,MATCH(R$2,Kraftvärmeprod!$B$1:$VX$1,0),FALSE)/1,0)-IFERROR(VLOOKUP($B48,'Slutlig allokering kvv'!$B$2:$BX$550,MATCH(R$2,'Slutlig allokering kvv'!$B$1:$BX$1,0),FALSE)/1,0))</f>
        <v/>
      </c>
      <c r="S48" s="31" t="str">
        <f>IF($D48="","",IFERROR(VLOOKUP($B48,Kraftvärmeprod!$B$1:$BX$550,MATCH(S$2,Kraftvärmeprod!$B$1:$VX$1,0),FALSE)/1,0)-IFERROR(VLOOKUP($B48,'Slutlig allokering kvv'!$B$2:$BX$550,MATCH(S$2,'Slutlig allokering kvv'!$B$1:$BX$1,0),FALSE)/1,0))</f>
        <v/>
      </c>
      <c r="T48" s="31" t="str">
        <f>IF($D48="","",IFERROR(VLOOKUP($B48,Kraftvärmeprod!$B$1:$BX$550,MATCH(T$2,Kraftvärmeprod!$B$1:$VX$1,0),FALSE)/1,0)-IFERROR(VLOOKUP($B48,'Slutlig allokering kvv'!$B$2:$BX$550,MATCH(T$2,'Slutlig allokering kvv'!$B$1:$BX$1,0),FALSE)/1,0))</f>
        <v/>
      </c>
      <c r="U48" s="31" t="str">
        <f>IF($D48="","",IFERROR(VLOOKUP($B48,Kraftvärmeprod!$B$1:$BX$550,MATCH(U$2,Kraftvärmeprod!$B$1:$VX$1,0),FALSE)/1,0)-IFERROR(VLOOKUP($B48,'Slutlig allokering kvv'!$B$2:$BX$550,MATCH(U$2,'Slutlig allokering kvv'!$B$1:$BX$1,0),FALSE)/1,0))</f>
        <v/>
      </c>
      <c r="V48" s="31" t="str">
        <f>IF($D48="","",IFERROR(VLOOKUP($B48,Kraftvärmeprod!$B$1:$BX$550,MATCH(V$2,Kraftvärmeprod!$B$1:$VX$1,0),FALSE)/1,0)-IFERROR(VLOOKUP($B48,'Slutlig allokering kvv'!$B$2:$BX$550,MATCH(V$2,'Slutlig allokering kvv'!$B$1:$BX$1,0),FALSE)/1,0))</f>
        <v/>
      </c>
      <c r="W48" s="31" t="str">
        <f>IF($D48="","",IFERROR(VLOOKUP($B48,Kraftvärmeprod!$B$1:$BX$550,MATCH(W$2,Kraftvärmeprod!$B$1:$VX$1,0),FALSE)/1,0)-IFERROR(VLOOKUP($B48,'Slutlig allokering kvv'!$B$2:$BX$550,MATCH(W$2,'Slutlig allokering kvv'!$B$1:$BX$1,0),FALSE)/1,0))</f>
        <v/>
      </c>
      <c r="X48" s="31" t="str">
        <f>IF($D48="","",IFERROR(VLOOKUP($B48,Kraftvärmeprod!$B$1:$BX$550,MATCH(X$2,Kraftvärmeprod!$B$1:$VX$1,0),FALSE)/1,0)-IFERROR(VLOOKUP($B48,'Slutlig allokering kvv'!$B$2:$BX$550,MATCH(X$2,'Slutlig allokering kvv'!$B$1:$BX$1,0),FALSE)/1,0))</f>
        <v/>
      </c>
      <c r="Y48" s="31" t="str">
        <f>IF($D48="","",IFERROR(VLOOKUP($B48,Kraftvärmeprod!$B$1:$BX$550,MATCH(Y$2,Kraftvärmeprod!$B$1:$VX$1,0),FALSE)/1,0)-IFERROR(VLOOKUP($B48,'Slutlig allokering kvv'!$B$2:$BX$550,MATCH(Y$2,'Slutlig allokering kvv'!$B$1:$BX$1,0),FALSE)/1,0))</f>
        <v/>
      </c>
      <c r="Z48" s="31" t="str">
        <f>IF($D48="","",IFERROR(VLOOKUP($B48,Kraftvärmeprod!$B$1:$BX$550,MATCH(Z$2,Kraftvärmeprod!$B$1:$VX$1,0),FALSE)/1,0)-IFERROR(VLOOKUP($B48,'Slutlig allokering kvv'!$B$2:$BX$550,MATCH(Z$2,'Slutlig allokering kvv'!$B$1:$BX$1,0),FALSE)/1,0))</f>
        <v/>
      </c>
      <c r="AA48" s="31" t="str">
        <f>IF($D48="","",IFERROR(VLOOKUP($B48,Kraftvärmeprod!$B$1:$BX$550,MATCH(AA$2,Kraftvärmeprod!$B$1:$VX$1,0),FALSE)/1,0)-IFERROR(VLOOKUP($B48,'Slutlig allokering kvv'!$B$2:$BX$550,MATCH(AA$2,'Slutlig allokering kvv'!$B$1:$BX$1,0),FALSE)/1,0))</f>
        <v/>
      </c>
      <c r="AB48" s="31" t="str">
        <f>IF($D48="","",IFERROR(VLOOKUP($B48,Kraftvärmeprod!$B$1:$BX$550,MATCH(AB$2,Kraftvärmeprod!$B$1:$VX$1,0),FALSE)/1,0)-IFERROR(VLOOKUP($B48,'Slutlig allokering kvv'!$B$2:$BX$550,MATCH(AB$2,'Slutlig allokering kvv'!$B$1:$BX$1,0),FALSE)/1,0))</f>
        <v/>
      </c>
      <c r="AC48" s="31" t="str">
        <f>IF($D48="","",IFERROR(VLOOKUP($B48,Kraftvärmeprod!$B$1:$BX$550,MATCH(AC$2,Kraftvärmeprod!$B$1:$VX$1,0),FALSE)/1,0)-IFERROR(VLOOKUP($B48,'Slutlig allokering kvv'!$B$2:$BX$550,MATCH(AC$2,'Slutlig allokering kvv'!$B$1:$BX$1,0),FALSE)/1,0))</f>
        <v/>
      </c>
      <c r="AD48" s="31" t="str">
        <f>IF($D48="","",IFERROR(VLOOKUP($B48,Kraftvärmeprod!$B$1:$BX$550,MATCH(AD$2,Kraftvärmeprod!$B$1:$VX$1,0),FALSE)/1,0)-IFERROR(VLOOKUP($B48,'Slutlig allokering kvv'!$B$2:$BX$550,MATCH(AD$2,'Slutlig allokering kvv'!$B$1:$BX$1,0),FALSE)/1,0))</f>
        <v/>
      </c>
      <c r="AE48" s="31" t="str">
        <f>IF($D48="","",IFERROR(VLOOKUP($B48,Miljö!$B$1:$E$550,MATCH("Hjälpel kraftvärme (GWh)",Miljö!$B$1:$E$1,0),FALSE)/1,0)-IFERROR(VLOOKUP($B48,'Slutlig allokering kvv'!$B$2:$BX$549,MATCH(AE$2,'Slutlig allokering kvv'!$B$1:$BX$1,0),FALSE)/1,0))</f>
        <v/>
      </c>
      <c r="AI48" s="39">
        <f t="shared" si="0"/>
        <v>0</v>
      </c>
      <c r="AK48" s="31">
        <f>IFERROR(VLOOKUP($B48,'Slutlig allokering kvv'!$B$2:$AX$549,MATCH("Summa slutlig allokerad tillförd energi (utan hjälpel och rökgaskondensering):",'Slutlig allokering kvv'!$B$1:$AX$1,0),FALSE)/1,"")</f>
        <v>0</v>
      </c>
      <c r="AM48" s="31" t="str">
        <f>IFERROR(1-VLOOKUP($B48,'Slutlig allokering kvv'!$B$2:$AX$549,MATCH("Andel av bränsle i kvv som allokerats till värme, exklusive rökgaskondensering och hjälpel",'Slutlig allokering kvv'!$B$1:$AX$1,0),FALSE),"")</f>
        <v/>
      </c>
      <c r="AO48" s="31" t="str">
        <f t="shared" si="1"/>
        <v/>
      </c>
      <c r="AP48" s="31" t="str">
        <f t="shared" si="2"/>
        <v/>
      </c>
      <c r="AR48" s="32" t="str">
        <f t="shared" si="3"/>
        <v/>
      </c>
    </row>
    <row r="49" spans="1:44" s="31" customFormat="1" x14ac:dyDescent="0.45">
      <c r="A49" s="31" t="s">
        <v>631</v>
      </c>
      <c r="B49" s="31" t="s">
        <v>630</v>
      </c>
      <c r="C49" s="31">
        <f>IFERROR(VLOOKUP($B49,Kraftvärmeprod!$B$1:$AH$479,MATCH(C$2,Kraftvärmeprod!$B$1:$AG$1,0),FALSE)/1,"")</f>
        <v>314.59800000000001</v>
      </c>
      <c r="D49" s="31">
        <f>IFERROR(VLOOKUP($B49,Kraftvärmeprod!$B$1:$AH$479,MATCH(D$2,Kraftvärmeprod!$B$1:$AG$1,0),FALSE)/1,"")</f>
        <v>85.875</v>
      </c>
      <c r="F49" s="31">
        <f>IF($D49="","",IFERROR(VLOOKUP($B49,Kraftvärmeprod!$B$1:$BX$550,MATCH(F$2,Kraftvärmeprod!$B$1:$VX$1,0),FALSE)/1,0)-IFERROR(VLOOKUP($B49,'Slutlig allokering kvv'!$B$2:$BX$550,MATCH(F$2,'Slutlig allokering kvv'!$B$1:$BX$1,0),FALSE)/1,0))</f>
        <v>0</v>
      </c>
      <c r="G49" s="31">
        <f>IF($D49="","",IFERROR(VLOOKUP($B49,Kraftvärmeprod!$B$1:$BX$550,MATCH(G$2,Kraftvärmeprod!$B$1:$VX$1,0),FALSE)/1,0)-IFERROR(VLOOKUP($B49,'Slutlig allokering kvv'!$B$2:$BX$550,MATCH(G$2,'Slutlig allokering kvv'!$B$1:$BX$1,0),FALSE)/1,0))</f>
        <v>5.6916000000000008E-2</v>
      </c>
      <c r="H49" s="31">
        <f>IF($D49="","",IFERROR(VLOOKUP($B49,Kraftvärmeprod!$B$1:$BX$550,MATCH(H$2,Kraftvärmeprod!$B$1:$VX$1,0),FALSE)/1,0)-IFERROR(VLOOKUP($B49,'Slutlig allokering kvv'!$B$2:$BX$550,MATCH(H$2,'Slutlig allokering kvv'!$B$1:$BX$1,0),FALSE)/1,0))</f>
        <v>0</v>
      </c>
      <c r="I49" s="31">
        <f>IF($D49="","",IFERROR(VLOOKUP($B49,Kraftvärmeprod!$B$1:$BX$550,MATCH(I$2,Kraftvärmeprod!$B$1:$VX$1,0),FALSE)/1,0)-IFERROR(VLOOKUP($B49,'Slutlig allokering kvv'!$B$2:$BX$550,MATCH(I$2,'Slutlig allokering kvv'!$B$1:$BX$1,0),FALSE)/1,0))</f>
        <v>0</v>
      </c>
      <c r="J49" s="31">
        <f>IF($D49="","",IFERROR(VLOOKUP($B49,Kraftvärmeprod!$B$1:$BX$550,MATCH(J$2,Kraftvärmeprod!$B$1:$VX$1,0),FALSE)/1,0)-IFERROR(VLOOKUP($B49,'Slutlig allokering kvv'!$B$2:$BX$550,MATCH(J$2,'Slutlig allokering kvv'!$B$1:$BX$1,0),FALSE)/1,0))</f>
        <v>0</v>
      </c>
      <c r="K49" s="31">
        <f>IF($D49="","",IFERROR(VLOOKUP($B49,Kraftvärmeprod!$B$1:$BX$550,MATCH(K$2,Kraftvärmeprod!$B$1:$VX$1,0),FALSE)/1,0)-IFERROR(VLOOKUP($B49,'Slutlig allokering kvv'!$B$2:$BX$550,MATCH(K$2,'Slutlig allokering kvv'!$B$1:$BX$1,0),FALSE)/1,0))</f>
        <v>0</v>
      </c>
      <c r="L49" s="31">
        <f>IF($D49="","",IFERROR(VLOOKUP($B49,Kraftvärmeprod!$B$1:$BX$550,MATCH(L$2,Kraftvärmeprod!$B$1:$VX$1,0),FALSE)/1,0)-IFERROR(VLOOKUP($B49,'Slutlig allokering kvv'!$B$2:$BX$550,MATCH(L$2,'Slutlig allokering kvv'!$B$1:$BX$1,0),FALSE)/1,0))</f>
        <v>133.27000000000001</v>
      </c>
      <c r="M49" s="31">
        <f>IF($D49="","",IFERROR(VLOOKUP($B49,Kraftvärmeprod!$B$1:$BX$550,MATCH(M$2,Kraftvärmeprod!$B$1:$VX$1,0),FALSE)/1,0)-IFERROR(VLOOKUP($B49,'Slutlig allokering kvv'!$B$2:$BX$550,MATCH(M$2,'Slutlig allokering kvv'!$B$1:$BX$1,0),FALSE)/1,0))</f>
        <v>17.422099999999997</v>
      </c>
      <c r="N49" s="31">
        <f>IF($D49="","",IFERROR(VLOOKUP($B49,Kraftvärmeprod!$B$1:$BX$550,MATCH(N$2,Kraftvärmeprod!$B$1:$VX$1,0),FALSE)/1,0)-IFERROR(VLOOKUP($B49,'Slutlig allokering kvv'!$B$2:$BX$550,MATCH(N$2,'Slutlig allokering kvv'!$B$1:$BX$1,0),FALSE)/1,0))</f>
        <v>22.571899999999999</v>
      </c>
      <c r="O49" s="31">
        <f>IF($D49="","",IFERROR(VLOOKUP($B49,Kraftvärmeprod!$B$1:$BX$550,MATCH(O$2,Kraftvärmeprod!$B$1:$VX$1,0),FALSE)/1,0)-IFERROR(VLOOKUP($B49,'Slutlig allokering kvv'!$B$2:$BX$550,MATCH(O$2,'Slutlig allokering kvv'!$B$1:$BX$1,0),FALSE)/1,0))</f>
        <v>0</v>
      </c>
      <c r="P49" s="31">
        <f>IF($D49="","",IFERROR(VLOOKUP($B49,Kraftvärmeprod!$B$1:$BX$550,MATCH(P$2,Kraftvärmeprod!$B$1:$VX$1,0),FALSE)/1,0)-IFERROR(VLOOKUP($B49,'Slutlig allokering kvv'!$B$2:$BX$550,MATCH(P$2,'Slutlig allokering kvv'!$B$1:$BX$1,0),FALSE)/1,0))</f>
        <v>0</v>
      </c>
      <c r="Q49" s="31">
        <f>IF($D49="","",IFERROR(VLOOKUP($B49,Kraftvärmeprod!$B$1:$BX$550,MATCH(Q$2,Kraftvärmeprod!$B$1:$VX$1,0),FALSE)/1,0)-IFERROR(VLOOKUP($B49,'Slutlig allokering kvv'!$B$2:$BX$550,MATCH(Q$2,'Slutlig allokering kvv'!$B$1:$BX$1,0),FALSE)/1,0))</f>
        <v>0.19993899999999998</v>
      </c>
      <c r="R49" s="31">
        <f>IF($D49="","",IFERROR(VLOOKUP($B49,Kraftvärmeprod!$B$1:$BX$550,MATCH(R$2,Kraftvärmeprod!$B$1:$VX$1,0),FALSE)/1,0)-IFERROR(VLOOKUP($B49,'Slutlig allokering kvv'!$B$2:$BX$550,MATCH(R$2,'Slutlig allokering kvv'!$B$1:$BX$1,0),FALSE)/1,0))</f>
        <v>0</v>
      </c>
      <c r="S49" s="31">
        <f>IF($D49="","",IFERROR(VLOOKUP($B49,Kraftvärmeprod!$B$1:$BX$550,MATCH(S$2,Kraftvärmeprod!$B$1:$VX$1,0),FALSE)/1,0)-IFERROR(VLOOKUP($B49,'Slutlig allokering kvv'!$B$2:$BX$550,MATCH(S$2,'Slutlig allokering kvv'!$B$1:$BX$1,0),FALSE)/1,0))</f>
        <v>0</v>
      </c>
      <c r="T49" s="31">
        <f>IF($D49="","",IFERROR(VLOOKUP($B49,Kraftvärmeprod!$B$1:$BX$550,MATCH(T$2,Kraftvärmeprod!$B$1:$VX$1,0),FALSE)/1,0)-IFERROR(VLOOKUP($B49,'Slutlig allokering kvv'!$B$2:$BX$550,MATCH(T$2,'Slutlig allokering kvv'!$B$1:$BX$1,0),FALSE)/1,0))</f>
        <v>0</v>
      </c>
      <c r="U49" s="31">
        <f>IF($D49="","",IFERROR(VLOOKUP($B49,Kraftvärmeprod!$B$1:$BX$550,MATCH(U$2,Kraftvärmeprod!$B$1:$VX$1,0),FALSE)/1,0)-IFERROR(VLOOKUP($B49,'Slutlig allokering kvv'!$B$2:$BX$550,MATCH(U$2,'Slutlig allokering kvv'!$B$1:$BX$1,0),FALSE)/1,0))</f>
        <v>0</v>
      </c>
      <c r="V49" s="31">
        <f>IF($D49="","",IFERROR(VLOOKUP($B49,Kraftvärmeprod!$B$1:$BX$550,MATCH(V$2,Kraftvärmeprod!$B$1:$VX$1,0),FALSE)/1,0)-IFERROR(VLOOKUP($B49,'Slutlig allokering kvv'!$B$2:$BX$550,MATCH(V$2,'Slutlig allokering kvv'!$B$1:$BX$1,0),FALSE)/1,0))</f>
        <v>0</v>
      </c>
      <c r="W49" s="31">
        <f>IF($D49="","",IFERROR(VLOOKUP($B49,Kraftvärmeprod!$B$1:$BX$550,MATCH(W$2,Kraftvärmeprod!$B$1:$VX$1,0),FALSE)/1,0)-IFERROR(VLOOKUP($B49,'Slutlig allokering kvv'!$B$2:$BX$550,MATCH(W$2,'Slutlig allokering kvv'!$B$1:$BX$1,0),FALSE)/1,0))</f>
        <v>0</v>
      </c>
      <c r="X49" s="31">
        <f>IF($D49="","",IFERROR(VLOOKUP($B49,Kraftvärmeprod!$B$1:$BX$550,MATCH(X$2,Kraftvärmeprod!$B$1:$VX$1,0),FALSE)/1,0)-IFERROR(VLOOKUP($B49,'Slutlig allokering kvv'!$B$2:$BX$550,MATCH(X$2,'Slutlig allokering kvv'!$B$1:$BX$1,0),FALSE)/1,0))</f>
        <v>0</v>
      </c>
      <c r="Y49" s="31">
        <f>IF($D49="","",IFERROR(VLOOKUP($B49,Kraftvärmeprod!$B$1:$BX$550,MATCH(Y$2,Kraftvärmeprod!$B$1:$VX$1,0),FALSE)/1,0)-IFERROR(VLOOKUP($B49,'Slutlig allokering kvv'!$B$2:$BX$550,MATCH(Y$2,'Slutlig allokering kvv'!$B$1:$BX$1,0),FALSE)/1,0))</f>
        <v>0</v>
      </c>
      <c r="Z49" s="31">
        <f>IF($D49="","",IFERROR(VLOOKUP($B49,Kraftvärmeprod!$B$1:$BX$550,MATCH(Z$2,Kraftvärmeprod!$B$1:$VX$1,0),FALSE)/1,0)-IFERROR(VLOOKUP($B49,'Slutlig allokering kvv'!$B$2:$BX$550,MATCH(Z$2,'Slutlig allokering kvv'!$B$1:$BX$1,0),FALSE)/1,0))</f>
        <v>0</v>
      </c>
      <c r="AA49" s="31">
        <f>IF($D49="","",IFERROR(VLOOKUP($B49,Kraftvärmeprod!$B$1:$BX$550,MATCH(AA$2,Kraftvärmeprod!$B$1:$VX$1,0),FALSE)/1,0)-IFERROR(VLOOKUP($B49,'Slutlig allokering kvv'!$B$2:$BX$550,MATCH(AA$2,'Slutlig allokering kvv'!$B$1:$BX$1,0),FALSE)/1,0))</f>
        <v>0</v>
      </c>
      <c r="AB49" s="31">
        <f>IF($D49="","",IFERROR(VLOOKUP($B49,Kraftvärmeprod!$B$1:$BX$550,MATCH(AB$2,Kraftvärmeprod!$B$1:$VX$1,0),FALSE)/1,0)-IFERROR(VLOOKUP($B49,'Slutlig allokering kvv'!$B$2:$BX$550,MATCH(AB$2,'Slutlig allokering kvv'!$B$1:$BX$1,0),FALSE)/1,0))</f>
        <v>8.184800000000001</v>
      </c>
      <c r="AC49" s="31">
        <f>IF($D49="","",IFERROR(VLOOKUP($B49,Kraftvärmeprod!$B$1:$BX$550,MATCH(AC$2,Kraftvärmeprod!$B$1:$VX$1,0),FALSE)/1,0)-IFERROR(VLOOKUP($B49,'Slutlig allokering kvv'!$B$2:$BX$550,MATCH(AC$2,'Slutlig allokering kvv'!$B$1:$BX$1,0),FALSE)/1,0))</f>
        <v>0</v>
      </c>
      <c r="AD49" s="31">
        <f>IF($D49="","",IFERROR(VLOOKUP($B49,Kraftvärmeprod!$B$1:$BX$550,MATCH(AD$2,Kraftvärmeprod!$B$1:$VX$1,0),FALSE)/1,0)-IFERROR(VLOOKUP($B49,'Slutlig allokering kvv'!$B$2:$BX$550,MATCH(AD$2,'Slutlig allokering kvv'!$B$1:$BX$1,0),FALSE)/1,0))</f>
        <v>0</v>
      </c>
      <c r="AE49" s="31">
        <f>IF($D49="","",IFERROR(VLOOKUP($B49,Miljö!$B$1:$E$550,MATCH("Hjälpel kraftvärme (GWh)",Miljö!$B$1:$E$1,0),FALSE)/1,0)-IFERROR(VLOOKUP($B49,'Slutlig allokering kvv'!$B$2:$BX$549,MATCH(AE$2,'Slutlig allokering kvv'!$B$1:$BX$1,0),FALSE)/1,0))</f>
        <v>6.9518899999999988</v>
      </c>
      <c r="AI49" s="39">
        <f t="shared" si="0"/>
        <v>181.70565500000001</v>
      </c>
      <c r="AK49" s="31">
        <f>IFERROR(VLOOKUP($B49,'Slutlig allokering kvv'!$B$2:$AX$549,MATCH("Summa slutlig allokerad tillförd energi (utan hjälpel och rökgaskondensering):",'Slutlig allokering kvv'!$B$1:$AX$1,0),FALSE)/1,"")</f>
        <v>257.06634499999996</v>
      </c>
      <c r="AM49" s="31">
        <f>IFERROR(1-VLOOKUP($B49,'Slutlig allokering kvv'!$B$2:$AX$549,MATCH("Andel av bränsle i kvv som allokerats till värme, exklusive rökgaskondensering och hjälpel",'Slutlig allokering kvv'!$B$1:$AX$1,0),FALSE),"")</f>
        <v>0.4141231778691441</v>
      </c>
      <c r="AO49" s="31">
        <f t="shared" si="1"/>
        <v>0.41412317786914399</v>
      </c>
      <c r="AP49" s="31">
        <f t="shared" si="2"/>
        <v>1.1102230246251565E-16</v>
      </c>
      <c r="AR49" s="32">
        <f t="shared" si="3"/>
        <v>0.4551898520676711</v>
      </c>
    </row>
    <row r="50" spans="1:44" s="31" customFormat="1" x14ac:dyDescent="0.45">
      <c r="A50" s="31" t="s">
        <v>628</v>
      </c>
      <c r="B50" s="31" t="s">
        <v>629</v>
      </c>
      <c r="C50" s="31" t="str">
        <f>IFERROR(VLOOKUP($B50,Kraftvärmeprod!$B$1:$AH$479,MATCH(C$2,Kraftvärmeprod!$B$1:$AG$1,0),FALSE)/1,"")</f>
        <v/>
      </c>
      <c r="D50" s="31" t="str">
        <f>IFERROR(VLOOKUP($B50,Kraftvärmeprod!$B$1:$AH$479,MATCH(D$2,Kraftvärmeprod!$B$1:$AG$1,0),FALSE)/1,"")</f>
        <v/>
      </c>
      <c r="F50" s="31" t="str">
        <f>IF($D50="","",IFERROR(VLOOKUP($B50,Kraftvärmeprod!$B$1:$BX$550,MATCH(F$2,Kraftvärmeprod!$B$1:$VX$1,0),FALSE)/1,0)-IFERROR(VLOOKUP($B50,'Slutlig allokering kvv'!$B$2:$BX$550,MATCH(F$2,'Slutlig allokering kvv'!$B$1:$BX$1,0),FALSE)/1,0))</f>
        <v/>
      </c>
      <c r="G50" s="31" t="str">
        <f>IF($D50="","",IFERROR(VLOOKUP($B50,Kraftvärmeprod!$B$1:$BX$550,MATCH(G$2,Kraftvärmeprod!$B$1:$VX$1,0),FALSE)/1,0)-IFERROR(VLOOKUP($B50,'Slutlig allokering kvv'!$B$2:$BX$550,MATCH(G$2,'Slutlig allokering kvv'!$B$1:$BX$1,0),FALSE)/1,0))</f>
        <v/>
      </c>
      <c r="H50" s="31" t="str">
        <f>IF($D50="","",IFERROR(VLOOKUP($B50,Kraftvärmeprod!$B$1:$BX$550,MATCH(H$2,Kraftvärmeprod!$B$1:$VX$1,0),FALSE)/1,0)-IFERROR(VLOOKUP($B50,'Slutlig allokering kvv'!$B$2:$BX$550,MATCH(H$2,'Slutlig allokering kvv'!$B$1:$BX$1,0),FALSE)/1,0))</f>
        <v/>
      </c>
      <c r="I50" s="31" t="str">
        <f>IF($D50="","",IFERROR(VLOOKUP($B50,Kraftvärmeprod!$B$1:$BX$550,MATCH(I$2,Kraftvärmeprod!$B$1:$VX$1,0),FALSE)/1,0)-IFERROR(VLOOKUP($B50,'Slutlig allokering kvv'!$B$2:$BX$550,MATCH(I$2,'Slutlig allokering kvv'!$B$1:$BX$1,0),FALSE)/1,0))</f>
        <v/>
      </c>
      <c r="J50" s="31" t="str">
        <f>IF($D50="","",IFERROR(VLOOKUP($B50,Kraftvärmeprod!$B$1:$BX$550,MATCH(J$2,Kraftvärmeprod!$B$1:$VX$1,0),FALSE)/1,0)-IFERROR(VLOOKUP($B50,'Slutlig allokering kvv'!$B$2:$BX$550,MATCH(J$2,'Slutlig allokering kvv'!$B$1:$BX$1,0),FALSE)/1,0))</f>
        <v/>
      </c>
      <c r="K50" s="31" t="str">
        <f>IF($D50="","",IFERROR(VLOOKUP($B50,Kraftvärmeprod!$B$1:$BX$550,MATCH(K$2,Kraftvärmeprod!$B$1:$VX$1,0),FALSE)/1,0)-IFERROR(VLOOKUP($B50,'Slutlig allokering kvv'!$B$2:$BX$550,MATCH(K$2,'Slutlig allokering kvv'!$B$1:$BX$1,0),FALSE)/1,0))</f>
        <v/>
      </c>
      <c r="L50" s="31" t="str">
        <f>IF($D50="","",IFERROR(VLOOKUP($B50,Kraftvärmeprod!$B$1:$BX$550,MATCH(L$2,Kraftvärmeprod!$B$1:$VX$1,0),FALSE)/1,0)-IFERROR(VLOOKUP($B50,'Slutlig allokering kvv'!$B$2:$BX$550,MATCH(L$2,'Slutlig allokering kvv'!$B$1:$BX$1,0),FALSE)/1,0))</f>
        <v/>
      </c>
      <c r="M50" s="31" t="str">
        <f>IF($D50="","",IFERROR(VLOOKUP($B50,Kraftvärmeprod!$B$1:$BX$550,MATCH(M$2,Kraftvärmeprod!$B$1:$VX$1,0),FALSE)/1,0)-IFERROR(VLOOKUP($B50,'Slutlig allokering kvv'!$B$2:$BX$550,MATCH(M$2,'Slutlig allokering kvv'!$B$1:$BX$1,0),FALSE)/1,0))</f>
        <v/>
      </c>
      <c r="N50" s="31" t="str">
        <f>IF($D50="","",IFERROR(VLOOKUP($B50,Kraftvärmeprod!$B$1:$BX$550,MATCH(N$2,Kraftvärmeprod!$B$1:$VX$1,0),FALSE)/1,0)-IFERROR(VLOOKUP($B50,'Slutlig allokering kvv'!$B$2:$BX$550,MATCH(N$2,'Slutlig allokering kvv'!$B$1:$BX$1,0),FALSE)/1,0))</f>
        <v/>
      </c>
      <c r="O50" s="31" t="str">
        <f>IF($D50="","",IFERROR(VLOOKUP($B50,Kraftvärmeprod!$B$1:$BX$550,MATCH(O$2,Kraftvärmeprod!$B$1:$VX$1,0),FALSE)/1,0)-IFERROR(VLOOKUP($B50,'Slutlig allokering kvv'!$B$2:$BX$550,MATCH(O$2,'Slutlig allokering kvv'!$B$1:$BX$1,0),FALSE)/1,0))</f>
        <v/>
      </c>
      <c r="P50" s="31" t="str">
        <f>IF($D50="","",IFERROR(VLOOKUP($B50,Kraftvärmeprod!$B$1:$BX$550,MATCH(P$2,Kraftvärmeprod!$B$1:$VX$1,0),FALSE)/1,0)-IFERROR(VLOOKUP($B50,'Slutlig allokering kvv'!$B$2:$BX$550,MATCH(P$2,'Slutlig allokering kvv'!$B$1:$BX$1,0),FALSE)/1,0))</f>
        <v/>
      </c>
      <c r="Q50" s="31" t="str">
        <f>IF($D50="","",IFERROR(VLOOKUP($B50,Kraftvärmeprod!$B$1:$BX$550,MATCH(Q$2,Kraftvärmeprod!$B$1:$VX$1,0),FALSE)/1,0)-IFERROR(VLOOKUP($B50,'Slutlig allokering kvv'!$B$2:$BX$550,MATCH(Q$2,'Slutlig allokering kvv'!$B$1:$BX$1,0),FALSE)/1,0))</f>
        <v/>
      </c>
      <c r="R50" s="31" t="str">
        <f>IF($D50="","",IFERROR(VLOOKUP($B50,Kraftvärmeprod!$B$1:$BX$550,MATCH(R$2,Kraftvärmeprod!$B$1:$VX$1,0),FALSE)/1,0)-IFERROR(VLOOKUP($B50,'Slutlig allokering kvv'!$B$2:$BX$550,MATCH(R$2,'Slutlig allokering kvv'!$B$1:$BX$1,0),FALSE)/1,0))</f>
        <v/>
      </c>
      <c r="S50" s="31" t="str">
        <f>IF($D50="","",IFERROR(VLOOKUP($B50,Kraftvärmeprod!$B$1:$BX$550,MATCH(S$2,Kraftvärmeprod!$B$1:$VX$1,0),FALSE)/1,0)-IFERROR(VLOOKUP($B50,'Slutlig allokering kvv'!$B$2:$BX$550,MATCH(S$2,'Slutlig allokering kvv'!$B$1:$BX$1,0),FALSE)/1,0))</f>
        <v/>
      </c>
      <c r="T50" s="31" t="str">
        <f>IF($D50="","",IFERROR(VLOOKUP($B50,Kraftvärmeprod!$B$1:$BX$550,MATCH(T$2,Kraftvärmeprod!$B$1:$VX$1,0),FALSE)/1,0)-IFERROR(VLOOKUP($B50,'Slutlig allokering kvv'!$B$2:$BX$550,MATCH(T$2,'Slutlig allokering kvv'!$B$1:$BX$1,0),FALSE)/1,0))</f>
        <v/>
      </c>
      <c r="U50" s="31" t="str">
        <f>IF($D50="","",IFERROR(VLOOKUP($B50,Kraftvärmeprod!$B$1:$BX$550,MATCH(U$2,Kraftvärmeprod!$B$1:$VX$1,0),FALSE)/1,0)-IFERROR(VLOOKUP($B50,'Slutlig allokering kvv'!$B$2:$BX$550,MATCH(U$2,'Slutlig allokering kvv'!$B$1:$BX$1,0),FALSE)/1,0))</f>
        <v/>
      </c>
      <c r="V50" s="31" t="str">
        <f>IF($D50="","",IFERROR(VLOOKUP($B50,Kraftvärmeprod!$B$1:$BX$550,MATCH(V$2,Kraftvärmeprod!$B$1:$VX$1,0),FALSE)/1,0)-IFERROR(VLOOKUP($B50,'Slutlig allokering kvv'!$B$2:$BX$550,MATCH(V$2,'Slutlig allokering kvv'!$B$1:$BX$1,0),FALSE)/1,0))</f>
        <v/>
      </c>
      <c r="W50" s="31" t="str">
        <f>IF($D50="","",IFERROR(VLOOKUP($B50,Kraftvärmeprod!$B$1:$BX$550,MATCH(W$2,Kraftvärmeprod!$B$1:$VX$1,0),FALSE)/1,0)-IFERROR(VLOOKUP($B50,'Slutlig allokering kvv'!$B$2:$BX$550,MATCH(W$2,'Slutlig allokering kvv'!$B$1:$BX$1,0),FALSE)/1,0))</f>
        <v/>
      </c>
      <c r="X50" s="31" t="str">
        <f>IF($D50="","",IFERROR(VLOOKUP($B50,Kraftvärmeprod!$B$1:$BX$550,MATCH(X$2,Kraftvärmeprod!$B$1:$VX$1,0),FALSE)/1,0)-IFERROR(VLOOKUP($B50,'Slutlig allokering kvv'!$B$2:$BX$550,MATCH(X$2,'Slutlig allokering kvv'!$B$1:$BX$1,0),FALSE)/1,0))</f>
        <v/>
      </c>
      <c r="Y50" s="31" t="str">
        <f>IF($D50="","",IFERROR(VLOOKUP($B50,Kraftvärmeprod!$B$1:$BX$550,MATCH(Y$2,Kraftvärmeprod!$B$1:$VX$1,0),FALSE)/1,0)-IFERROR(VLOOKUP($B50,'Slutlig allokering kvv'!$B$2:$BX$550,MATCH(Y$2,'Slutlig allokering kvv'!$B$1:$BX$1,0),FALSE)/1,0))</f>
        <v/>
      </c>
      <c r="Z50" s="31" t="str">
        <f>IF($D50="","",IFERROR(VLOOKUP($B50,Kraftvärmeprod!$B$1:$BX$550,MATCH(Z$2,Kraftvärmeprod!$B$1:$VX$1,0),FALSE)/1,0)-IFERROR(VLOOKUP($B50,'Slutlig allokering kvv'!$B$2:$BX$550,MATCH(Z$2,'Slutlig allokering kvv'!$B$1:$BX$1,0),FALSE)/1,0))</f>
        <v/>
      </c>
      <c r="AA50" s="31" t="str">
        <f>IF($D50="","",IFERROR(VLOOKUP($B50,Kraftvärmeprod!$B$1:$BX$550,MATCH(AA$2,Kraftvärmeprod!$B$1:$VX$1,0),FALSE)/1,0)-IFERROR(VLOOKUP($B50,'Slutlig allokering kvv'!$B$2:$BX$550,MATCH(AA$2,'Slutlig allokering kvv'!$B$1:$BX$1,0),FALSE)/1,0))</f>
        <v/>
      </c>
      <c r="AB50" s="31" t="str">
        <f>IF($D50="","",IFERROR(VLOOKUP($B50,Kraftvärmeprod!$B$1:$BX$550,MATCH(AB$2,Kraftvärmeprod!$B$1:$VX$1,0),FALSE)/1,0)-IFERROR(VLOOKUP($B50,'Slutlig allokering kvv'!$B$2:$BX$550,MATCH(AB$2,'Slutlig allokering kvv'!$B$1:$BX$1,0),FALSE)/1,0))</f>
        <v/>
      </c>
      <c r="AC50" s="31" t="str">
        <f>IF($D50="","",IFERROR(VLOOKUP($B50,Kraftvärmeprod!$B$1:$BX$550,MATCH(AC$2,Kraftvärmeprod!$B$1:$VX$1,0),FALSE)/1,0)-IFERROR(VLOOKUP($B50,'Slutlig allokering kvv'!$B$2:$BX$550,MATCH(AC$2,'Slutlig allokering kvv'!$B$1:$BX$1,0),FALSE)/1,0))</f>
        <v/>
      </c>
      <c r="AD50" s="31" t="str">
        <f>IF($D50="","",IFERROR(VLOOKUP($B50,Kraftvärmeprod!$B$1:$BX$550,MATCH(AD$2,Kraftvärmeprod!$B$1:$VX$1,0),FALSE)/1,0)-IFERROR(VLOOKUP($B50,'Slutlig allokering kvv'!$B$2:$BX$550,MATCH(AD$2,'Slutlig allokering kvv'!$B$1:$BX$1,0),FALSE)/1,0))</f>
        <v/>
      </c>
      <c r="AE50" s="31" t="str">
        <f>IF($D50="","",IFERROR(VLOOKUP($B50,Miljö!$B$1:$E$550,MATCH("Hjälpel kraftvärme (GWh)",Miljö!$B$1:$E$1,0),FALSE)/1,0)-IFERROR(VLOOKUP($B50,'Slutlig allokering kvv'!$B$2:$BX$549,MATCH(AE$2,'Slutlig allokering kvv'!$B$1:$BX$1,0),FALSE)/1,0))</f>
        <v/>
      </c>
      <c r="AI50" s="39">
        <f t="shared" si="0"/>
        <v>0</v>
      </c>
      <c r="AK50" s="31">
        <f>IFERROR(VLOOKUP($B50,'Slutlig allokering kvv'!$B$2:$AX$549,MATCH("Summa slutlig allokerad tillförd energi (utan hjälpel och rökgaskondensering):",'Slutlig allokering kvv'!$B$1:$AX$1,0),FALSE)/1,"")</f>
        <v>0</v>
      </c>
      <c r="AM50" s="31" t="str">
        <f>IFERROR(1-VLOOKUP($B50,'Slutlig allokering kvv'!$B$2:$AX$549,MATCH("Andel av bränsle i kvv som allokerats till värme, exklusive rökgaskondensering och hjälpel",'Slutlig allokering kvv'!$B$1:$AX$1,0),FALSE),"")</f>
        <v/>
      </c>
      <c r="AO50" s="31" t="str">
        <f t="shared" si="1"/>
        <v/>
      </c>
      <c r="AP50" s="31" t="str">
        <f t="shared" si="2"/>
        <v/>
      </c>
      <c r="AR50" s="32" t="str">
        <f t="shared" si="3"/>
        <v/>
      </c>
    </row>
    <row r="51" spans="1:44" s="31" customFormat="1" x14ac:dyDescent="0.45">
      <c r="A51" s="31" t="s">
        <v>628</v>
      </c>
      <c r="B51" s="31" t="s">
        <v>627</v>
      </c>
      <c r="C51" s="31" t="str">
        <f>IFERROR(VLOOKUP($B51,Kraftvärmeprod!$B$1:$AH$479,MATCH(C$2,Kraftvärmeprod!$B$1:$AG$1,0),FALSE)/1,"")</f>
        <v/>
      </c>
      <c r="D51" s="31" t="str">
        <f>IFERROR(VLOOKUP($B51,Kraftvärmeprod!$B$1:$AH$479,MATCH(D$2,Kraftvärmeprod!$B$1:$AG$1,0),FALSE)/1,"")</f>
        <v/>
      </c>
      <c r="F51" s="31" t="str">
        <f>IF($D51="","",IFERROR(VLOOKUP($B51,Kraftvärmeprod!$B$1:$BX$550,MATCH(F$2,Kraftvärmeprod!$B$1:$VX$1,0),FALSE)/1,0)-IFERROR(VLOOKUP($B51,'Slutlig allokering kvv'!$B$2:$BX$550,MATCH(F$2,'Slutlig allokering kvv'!$B$1:$BX$1,0),FALSE)/1,0))</f>
        <v/>
      </c>
      <c r="G51" s="31" t="str">
        <f>IF($D51="","",IFERROR(VLOOKUP($B51,Kraftvärmeprod!$B$1:$BX$550,MATCH(G$2,Kraftvärmeprod!$B$1:$VX$1,0),FALSE)/1,0)-IFERROR(VLOOKUP($B51,'Slutlig allokering kvv'!$B$2:$BX$550,MATCH(G$2,'Slutlig allokering kvv'!$B$1:$BX$1,0),FALSE)/1,0))</f>
        <v/>
      </c>
      <c r="H51" s="31" t="str">
        <f>IF($D51="","",IFERROR(VLOOKUP($B51,Kraftvärmeprod!$B$1:$BX$550,MATCH(H$2,Kraftvärmeprod!$B$1:$VX$1,0),FALSE)/1,0)-IFERROR(VLOOKUP($B51,'Slutlig allokering kvv'!$B$2:$BX$550,MATCH(H$2,'Slutlig allokering kvv'!$B$1:$BX$1,0),FALSE)/1,0))</f>
        <v/>
      </c>
      <c r="I51" s="31" t="str">
        <f>IF($D51="","",IFERROR(VLOOKUP($B51,Kraftvärmeprod!$B$1:$BX$550,MATCH(I$2,Kraftvärmeprod!$B$1:$VX$1,0),FALSE)/1,0)-IFERROR(VLOOKUP($B51,'Slutlig allokering kvv'!$B$2:$BX$550,MATCH(I$2,'Slutlig allokering kvv'!$B$1:$BX$1,0),FALSE)/1,0))</f>
        <v/>
      </c>
      <c r="J51" s="31" t="str">
        <f>IF($D51="","",IFERROR(VLOOKUP($B51,Kraftvärmeprod!$B$1:$BX$550,MATCH(J$2,Kraftvärmeprod!$B$1:$VX$1,0),FALSE)/1,0)-IFERROR(VLOOKUP($B51,'Slutlig allokering kvv'!$B$2:$BX$550,MATCH(J$2,'Slutlig allokering kvv'!$B$1:$BX$1,0),FALSE)/1,0))</f>
        <v/>
      </c>
      <c r="K51" s="31" t="str">
        <f>IF($D51="","",IFERROR(VLOOKUP($B51,Kraftvärmeprod!$B$1:$BX$550,MATCH(K$2,Kraftvärmeprod!$B$1:$VX$1,0),FALSE)/1,0)-IFERROR(VLOOKUP($B51,'Slutlig allokering kvv'!$B$2:$BX$550,MATCH(K$2,'Slutlig allokering kvv'!$B$1:$BX$1,0),FALSE)/1,0))</f>
        <v/>
      </c>
      <c r="L51" s="31" t="str">
        <f>IF($D51="","",IFERROR(VLOOKUP($B51,Kraftvärmeprod!$B$1:$BX$550,MATCH(L$2,Kraftvärmeprod!$B$1:$VX$1,0),FALSE)/1,0)-IFERROR(VLOOKUP($B51,'Slutlig allokering kvv'!$B$2:$BX$550,MATCH(L$2,'Slutlig allokering kvv'!$B$1:$BX$1,0),FALSE)/1,0))</f>
        <v/>
      </c>
      <c r="M51" s="31" t="str">
        <f>IF($D51="","",IFERROR(VLOOKUP($B51,Kraftvärmeprod!$B$1:$BX$550,MATCH(M$2,Kraftvärmeprod!$B$1:$VX$1,0),FALSE)/1,0)-IFERROR(VLOOKUP($B51,'Slutlig allokering kvv'!$B$2:$BX$550,MATCH(M$2,'Slutlig allokering kvv'!$B$1:$BX$1,0),FALSE)/1,0))</f>
        <v/>
      </c>
      <c r="N51" s="31" t="str">
        <f>IF($D51="","",IFERROR(VLOOKUP($B51,Kraftvärmeprod!$B$1:$BX$550,MATCH(N$2,Kraftvärmeprod!$B$1:$VX$1,0),FALSE)/1,0)-IFERROR(VLOOKUP($B51,'Slutlig allokering kvv'!$B$2:$BX$550,MATCH(N$2,'Slutlig allokering kvv'!$B$1:$BX$1,0),FALSE)/1,0))</f>
        <v/>
      </c>
      <c r="O51" s="31" t="str">
        <f>IF($D51="","",IFERROR(VLOOKUP($B51,Kraftvärmeprod!$B$1:$BX$550,MATCH(O$2,Kraftvärmeprod!$B$1:$VX$1,0),FALSE)/1,0)-IFERROR(VLOOKUP($B51,'Slutlig allokering kvv'!$B$2:$BX$550,MATCH(O$2,'Slutlig allokering kvv'!$B$1:$BX$1,0),FALSE)/1,0))</f>
        <v/>
      </c>
      <c r="P51" s="31" t="str">
        <f>IF($D51="","",IFERROR(VLOOKUP($B51,Kraftvärmeprod!$B$1:$BX$550,MATCH(P$2,Kraftvärmeprod!$B$1:$VX$1,0),FALSE)/1,0)-IFERROR(VLOOKUP($B51,'Slutlig allokering kvv'!$B$2:$BX$550,MATCH(P$2,'Slutlig allokering kvv'!$B$1:$BX$1,0),FALSE)/1,0))</f>
        <v/>
      </c>
      <c r="Q51" s="31" t="str">
        <f>IF($D51="","",IFERROR(VLOOKUP($B51,Kraftvärmeprod!$B$1:$BX$550,MATCH(Q$2,Kraftvärmeprod!$B$1:$VX$1,0),FALSE)/1,0)-IFERROR(VLOOKUP($B51,'Slutlig allokering kvv'!$B$2:$BX$550,MATCH(Q$2,'Slutlig allokering kvv'!$B$1:$BX$1,0),FALSE)/1,0))</f>
        <v/>
      </c>
      <c r="R51" s="31" t="str">
        <f>IF($D51="","",IFERROR(VLOOKUP($B51,Kraftvärmeprod!$B$1:$BX$550,MATCH(R$2,Kraftvärmeprod!$B$1:$VX$1,0),FALSE)/1,0)-IFERROR(VLOOKUP($B51,'Slutlig allokering kvv'!$B$2:$BX$550,MATCH(R$2,'Slutlig allokering kvv'!$B$1:$BX$1,0),FALSE)/1,0))</f>
        <v/>
      </c>
      <c r="S51" s="31" t="str">
        <f>IF($D51="","",IFERROR(VLOOKUP($B51,Kraftvärmeprod!$B$1:$BX$550,MATCH(S$2,Kraftvärmeprod!$B$1:$VX$1,0),FALSE)/1,0)-IFERROR(VLOOKUP($B51,'Slutlig allokering kvv'!$B$2:$BX$550,MATCH(S$2,'Slutlig allokering kvv'!$B$1:$BX$1,0),FALSE)/1,0))</f>
        <v/>
      </c>
      <c r="T51" s="31" t="str">
        <f>IF($D51="","",IFERROR(VLOOKUP($B51,Kraftvärmeprod!$B$1:$BX$550,MATCH(T$2,Kraftvärmeprod!$B$1:$VX$1,0),FALSE)/1,0)-IFERROR(VLOOKUP($B51,'Slutlig allokering kvv'!$B$2:$BX$550,MATCH(T$2,'Slutlig allokering kvv'!$B$1:$BX$1,0),FALSE)/1,0))</f>
        <v/>
      </c>
      <c r="U51" s="31" t="str">
        <f>IF($D51="","",IFERROR(VLOOKUP($B51,Kraftvärmeprod!$B$1:$BX$550,MATCH(U$2,Kraftvärmeprod!$B$1:$VX$1,0),FALSE)/1,0)-IFERROR(VLOOKUP($B51,'Slutlig allokering kvv'!$B$2:$BX$550,MATCH(U$2,'Slutlig allokering kvv'!$B$1:$BX$1,0),FALSE)/1,0))</f>
        <v/>
      </c>
      <c r="V51" s="31" t="str">
        <f>IF($D51="","",IFERROR(VLOOKUP($B51,Kraftvärmeprod!$B$1:$BX$550,MATCH(V$2,Kraftvärmeprod!$B$1:$VX$1,0),FALSE)/1,0)-IFERROR(VLOOKUP($B51,'Slutlig allokering kvv'!$B$2:$BX$550,MATCH(V$2,'Slutlig allokering kvv'!$B$1:$BX$1,0),FALSE)/1,0))</f>
        <v/>
      </c>
      <c r="W51" s="31" t="str">
        <f>IF($D51="","",IFERROR(VLOOKUP($B51,Kraftvärmeprod!$B$1:$BX$550,MATCH(W$2,Kraftvärmeprod!$B$1:$VX$1,0),FALSE)/1,0)-IFERROR(VLOOKUP($B51,'Slutlig allokering kvv'!$B$2:$BX$550,MATCH(W$2,'Slutlig allokering kvv'!$B$1:$BX$1,0),FALSE)/1,0))</f>
        <v/>
      </c>
      <c r="X51" s="31" t="str">
        <f>IF($D51="","",IFERROR(VLOOKUP($B51,Kraftvärmeprod!$B$1:$BX$550,MATCH(X$2,Kraftvärmeprod!$B$1:$VX$1,0),FALSE)/1,0)-IFERROR(VLOOKUP($B51,'Slutlig allokering kvv'!$B$2:$BX$550,MATCH(X$2,'Slutlig allokering kvv'!$B$1:$BX$1,0),FALSE)/1,0))</f>
        <v/>
      </c>
      <c r="Y51" s="31" t="str">
        <f>IF($D51="","",IFERROR(VLOOKUP($B51,Kraftvärmeprod!$B$1:$BX$550,MATCH(Y$2,Kraftvärmeprod!$B$1:$VX$1,0),FALSE)/1,0)-IFERROR(VLOOKUP($B51,'Slutlig allokering kvv'!$B$2:$BX$550,MATCH(Y$2,'Slutlig allokering kvv'!$B$1:$BX$1,0),FALSE)/1,0))</f>
        <v/>
      </c>
      <c r="Z51" s="31" t="str">
        <f>IF($D51="","",IFERROR(VLOOKUP($B51,Kraftvärmeprod!$B$1:$BX$550,MATCH(Z$2,Kraftvärmeprod!$B$1:$VX$1,0),FALSE)/1,0)-IFERROR(VLOOKUP($B51,'Slutlig allokering kvv'!$B$2:$BX$550,MATCH(Z$2,'Slutlig allokering kvv'!$B$1:$BX$1,0),FALSE)/1,0))</f>
        <v/>
      </c>
      <c r="AA51" s="31" t="str">
        <f>IF($D51="","",IFERROR(VLOOKUP($B51,Kraftvärmeprod!$B$1:$BX$550,MATCH(AA$2,Kraftvärmeprod!$B$1:$VX$1,0),FALSE)/1,0)-IFERROR(VLOOKUP($B51,'Slutlig allokering kvv'!$B$2:$BX$550,MATCH(AA$2,'Slutlig allokering kvv'!$B$1:$BX$1,0),FALSE)/1,0))</f>
        <v/>
      </c>
      <c r="AB51" s="31" t="str">
        <f>IF($D51="","",IFERROR(VLOOKUP($B51,Kraftvärmeprod!$B$1:$BX$550,MATCH(AB$2,Kraftvärmeprod!$B$1:$VX$1,0),FALSE)/1,0)-IFERROR(VLOOKUP($B51,'Slutlig allokering kvv'!$B$2:$BX$550,MATCH(AB$2,'Slutlig allokering kvv'!$B$1:$BX$1,0),FALSE)/1,0))</f>
        <v/>
      </c>
      <c r="AC51" s="31" t="str">
        <f>IF($D51="","",IFERROR(VLOOKUP($B51,Kraftvärmeprod!$B$1:$BX$550,MATCH(AC$2,Kraftvärmeprod!$B$1:$VX$1,0),FALSE)/1,0)-IFERROR(VLOOKUP($B51,'Slutlig allokering kvv'!$B$2:$BX$550,MATCH(AC$2,'Slutlig allokering kvv'!$B$1:$BX$1,0),FALSE)/1,0))</f>
        <v/>
      </c>
      <c r="AD51" s="31" t="str">
        <f>IF($D51="","",IFERROR(VLOOKUP($B51,Kraftvärmeprod!$B$1:$BX$550,MATCH(AD$2,Kraftvärmeprod!$B$1:$VX$1,0),FALSE)/1,0)-IFERROR(VLOOKUP($B51,'Slutlig allokering kvv'!$B$2:$BX$550,MATCH(AD$2,'Slutlig allokering kvv'!$B$1:$BX$1,0),FALSE)/1,0))</f>
        <v/>
      </c>
      <c r="AE51" s="31" t="str">
        <f>IF($D51="","",IFERROR(VLOOKUP($B51,Miljö!$B$1:$E$550,MATCH("Hjälpel kraftvärme (GWh)",Miljö!$B$1:$E$1,0),FALSE)/1,0)-IFERROR(VLOOKUP($B51,'Slutlig allokering kvv'!$B$2:$BX$549,MATCH(AE$2,'Slutlig allokering kvv'!$B$1:$BX$1,0),FALSE)/1,0))</f>
        <v/>
      </c>
      <c r="AI51" s="39">
        <f t="shared" si="0"/>
        <v>0</v>
      </c>
      <c r="AK51" s="31">
        <f>IFERROR(VLOOKUP($B51,'Slutlig allokering kvv'!$B$2:$AX$549,MATCH("Summa slutlig allokerad tillförd energi (utan hjälpel och rökgaskondensering):",'Slutlig allokering kvv'!$B$1:$AX$1,0),FALSE)/1,"")</f>
        <v>0</v>
      </c>
      <c r="AM51" s="31" t="str">
        <f>IFERROR(1-VLOOKUP($B51,'Slutlig allokering kvv'!$B$2:$AX$549,MATCH("Andel av bränsle i kvv som allokerats till värme, exklusive rökgaskondensering och hjälpel",'Slutlig allokering kvv'!$B$1:$AX$1,0),FALSE),"")</f>
        <v/>
      </c>
      <c r="AO51" s="31" t="str">
        <f t="shared" si="1"/>
        <v/>
      </c>
      <c r="AP51" s="31" t="str">
        <f t="shared" si="2"/>
        <v/>
      </c>
      <c r="AR51" s="32" t="str">
        <f t="shared" si="3"/>
        <v/>
      </c>
    </row>
    <row r="52" spans="1:44" s="31" customFormat="1" x14ac:dyDescent="0.45">
      <c r="A52" s="31" t="s">
        <v>623</v>
      </c>
      <c r="B52" s="31" t="s">
        <v>626</v>
      </c>
      <c r="C52" s="31" t="str">
        <f>IFERROR(VLOOKUP($B52,Kraftvärmeprod!$B$1:$AH$479,MATCH(C$2,Kraftvärmeprod!$B$1:$AG$1,0),FALSE)/1,"")</f>
        <v/>
      </c>
      <c r="D52" s="31" t="str">
        <f>IFERROR(VLOOKUP($B52,Kraftvärmeprod!$B$1:$AH$479,MATCH(D$2,Kraftvärmeprod!$B$1:$AG$1,0),FALSE)/1,"")</f>
        <v/>
      </c>
      <c r="F52" s="31" t="str">
        <f>IF($D52="","",IFERROR(VLOOKUP($B52,Kraftvärmeprod!$B$1:$BX$550,MATCH(F$2,Kraftvärmeprod!$B$1:$VX$1,0),FALSE)/1,0)-IFERROR(VLOOKUP($B52,'Slutlig allokering kvv'!$B$2:$BX$550,MATCH(F$2,'Slutlig allokering kvv'!$B$1:$BX$1,0),FALSE)/1,0))</f>
        <v/>
      </c>
      <c r="G52" s="31" t="str">
        <f>IF($D52="","",IFERROR(VLOOKUP($B52,Kraftvärmeprod!$B$1:$BX$550,MATCH(G$2,Kraftvärmeprod!$B$1:$VX$1,0),FALSE)/1,0)-IFERROR(VLOOKUP($B52,'Slutlig allokering kvv'!$B$2:$BX$550,MATCH(G$2,'Slutlig allokering kvv'!$B$1:$BX$1,0),FALSE)/1,0))</f>
        <v/>
      </c>
      <c r="H52" s="31" t="str">
        <f>IF($D52="","",IFERROR(VLOOKUP($B52,Kraftvärmeprod!$B$1:$BX$550,MATCH(H$2,Kraftvärmeprod!$B$1:$VX$1,0),FALSE)/1,0)-IFERROR(VLOOKUP($B52,'Slutlig allokering kvv'!$B$2:$BX$550,MATCH(H$2,'Slutlig allokering kvv'!$B$1:$BX$1,0),FALSE)/1,0))</f>
        <v/>
      </c>
      <c r="I52" s="31" t="str">
        <f>IF($D52="","",IFERROR(VLOOKUP($B52,Kraftvärmeprod!$B$1:$BX$550,MATCH(I$2,Kraftvärmeprod!$B$1:$VX$1,0),FALSE)/1,0)-IFERROR(VLOOKUP($B52,'Slutlig allokering kvv'!$B$2:$BX$550,MATCH(I$2,'Slutlig allokering kvv'!$B$1:$BX$1,0),FALSE)/1,0))</f>
        <v/>
      </c>
      <c r="J52" s="31" t="str">
        <f>IF($D52="","",IFERROR(VLOOKUP($B52,Kraftvärmeprod!$B$1:$BX$550,MATCH(J$2,Kraftvärmeprod!$B$1:$VX$1,0),FALSE)/1,0)-IFERROR(VLOOKUP($B52,'Slutlig allokering kvv'!$B$2:$BX$550,MATCH(J$2,'Slutlig allokering kvv'!$B$1:$BX$1,0),FALSE)/1,0))</f>
        <v/>
      </c>
      <c r="K52" s="31" t="str">
        <f>IF($D52="","",IFERROR(VLOOKUP($B52,Kraftvärmeprod!$B$1:$BX$550,MATCH(K$2,Kraftvärmeprod!$B$1:$VX$1,0),FALSE)/1,0)-IFERROR(VLOOKUP($B52,'Slutlig allokering kvv'!$B$2:$BX$550,MATCH(K$2,'Slutlig allokering kvv'!$B$1:$BX$1,0),FALSE)/1,0))</f>
        <v/>
      </c>
      <c r="L52" s="31" t="str">
        <f>IF($D52="","",IFERROR(VLOOKUP($B52,Kraftvärmeprod!$B$1:$BX$550,MATCH(L$2,Kraftvärmeprod!$B$1:$VX$1,0),FALSE)/1,0)-IFERROR(VLOOKUP($B52,'Slutlig allokering kvv'!$B$2:$BX$550,MATCH(L$2,'Slutlig allokering kvv'!$B$1:$BX$1,0),FALSE)/1,0))</f>
        <v/>
      </c>
      <c r="M52" s="31" t="str">
        <f>IF($D52="","",IFERROR(VLOOKUP($B52,Kraftvärmeprod!$B$1:$BX$550,MATCH(M$2,Kraftvärmeprod!$B$1:$VX$1,0),FALSE)/1,0)-IFERROR(VLOOKUP($B52,'Slutlig allokering kvv'!$B$2:$BX$550,MATCH(M$2,'Slutlig allokering kvv'!$B$1:$BX$1,0),FALSE)/1,0))</f>
        <v/>
      </c>
      <c r="N52" s="31" t="str">
        <f>IF($D52="","",IFERROR(VLOOKUP($B52,Kraftvärmeprod!$B$1:$BX$550,MATCH(N$2,Kraftvärmeprod!$B$1:$VX$1,0),FALSE)/1,0)-IFERROR(VLOOKUP($B52,'Slutlig allokering kvv'!$B$2:$BX$550,MATCH(N$2,'Slutlig allokering kvv'!$B$1:$BX$1,0),FALSE)/1,0))</f>
        <v/>
      </c>
      <c r="O52" s="31" t="str">
        <f>IF($D52="","",IFERROR(VLOOKUP($B52,Kraftvärmeprod!$B$1:$BX$550,MATCH(O$2,Kraftvärmeprod!$B$1:$VX$1,0),FALSE)/1,0)-IFERROR(VLOOKUP($B52,'Slutlig allokering kvv'!$B$2:$BX$550,MATCH(O$2,'Slutlig allokering kvv'!$B$1:$BX$1,0),FALSE)/1,0))</f>
        <v/>
      </c>
      <c r="P52" s="31" t="str">
        <f>IF($D52="","",IFERROR(VLOOKUP($B52,Kraftvärmeprod!$B$1:$BX$550,MATCH(P$2,Kraftvärmeprod!$B$1:$VX$1,0),FALSE)/1,0)-IFERROR(VLOOKUP($B52,'Slutlig allokering kvv'!$B$2:$BX$550,MATCH(P$2,'Slutlig allokering kvv'!$B$1:$BX$1,0),FALSE)/1,0))</f>
        <v/>
      </c>
      <c r="Q52" s="31" t="str">
        <f>IF($D52="","",IFERROR(VLOOKUP($B52,Kraftvärmeprod!$B$1:$BX$550,MATCH(Q$2,Kraftvärmeprod!$B$1:$VX$1,0),FALSE)/1,0)-IFERROR(VLOOKUP($B52,'Slutlig allokering kvv'!$B$2:$BX$550,MATCH(Q$2,'Slutlig allokering kvv'!$B$1:$BX$1,0),FALSE)/1,0))</f>
        <v/>
      </c>
      <c r="R52" s="31" t="str">
        <f>IF($D52="","",IFERROR(VLOOKUP($B52,Kraftvärmeprod!$B$1:$BX$550,MATCH(R$2,Kraftvärmeprod!$B$1:$VX$1,0),FALSE)/1,0)-IFERROR(VLOOKUP($B52,'Slutlig allokering kvv'!$B$2:$BX$550,MATCH(R$2,'Slutlig allokering kvv'!$B$1:$BX$1,0),FALSE)/1,0))</f>
        <v/>
      </c>
      <c r="S52" s="31" t="str">
        <f>IF($D52="","",IFERROR(VLOOKUP($B52,Kraftvärmeprod!$B$1:$BX$550,MATCH(S$2,Kraftvärmeprod!$B$1:$VX$1,0),FALSE)/1,0)-IFERROR(VLOOKUP($B52,'Slutlig allokering kvv'!$B$2:$BX$550,MATCH(S$2,'Slutlig allokering kvv'!$B$1:$BX$1,0),FALSE)/1,0))</f>
        <v/>
      </c>
      <c r="T52" s="31" t="str">
        <f>IF($D52="","",IFERROR(VLOOKUP($B52,Kraftvärmeprod!$B$1:$BX$550,MATCH(T$2,Kraftvärmeprod!$B$1:$VX$1,0),FALSE)/1,0)-IFERROR(VLOOKUP($B52,'Slutlig allokering kvv'!$B$2:$BX$550,MATCH(T$2,'Slutlig allokering kvv'!$B$1:$BX$1,0),FALSE)/1,0))</f>
        <v/>
      </c>
      <c r="U52" s="31" t="str">
        <f>IF($D52="","",IFERROR(VLOOKUP($B52,Kraftvärmeprod!$B$1:$BX$550,MATCH(U$2,Kraftvärmeprod!$B$1:$VX$1,0),FALSE)/1,0)-IFERROR(VLOOKUP($B52,'Slutlig allokering kvv'!$B$2:$BX$550,MATCH(U$2,'Slutlig allokering kvv'!$B$1:$BX$1,0),FALSE)/1,0))</f>
        <v/>
      </c>
      <c r="V52" s="31" t="str">
        <f>IF($D52="","",IFERROR(VLOOKUP($B52,Kraftvärmeprod!$B$1:$BX$550,MATCH(V$2,Kraftvärmeprod!$B$1:$VX$1,0),FALSE)/1,0)-IFERROR(VLOOKUP($B52,'Slutlig allokering kvv'!$B$2:$BX$550,MATCH(V$2,'Slutlig allokering kvv'!$B$1:$BX$1,0),FALSE)/1,0))</f>
        <v/>
      </c>
      <c r="W52" s="31" t="str">
        <f>IF($D52="","",IFERROR(VLOOKUP($B52,Kraftvärmeprod!$B$1:$BX$550,MATCH(W$2,Kraftvärmeprod!$B$1:$VX$1,0),FALSE)/1,0)-IFERROR(VLOOKUP($B52,'Slutlig allokering kvv'!$B$2:$BX$550,MATCH(W$2,'Slutlig allokering kvv'!$B$1:$BX$1,0),FALSE)/1,0))</f>
        <v/>
      </c>
      <c r="X52" s="31" t="str">
        <f>IF($D52="","",IFERROR(VLOOKUP($B52,Kraftvärmeprod!$B$1:$BX$550,MATCH(X$2,Kraftvärmeprod!$B$1:$VX$1,0),FALSE)/1,0)-IFERROR(VLOOKUP($B52,'Slutlig allokering kvv'!$B$2:$BX$550,MATCH(X$2,'Slutlig allokering kvv'!$B$1:$BX$1,0),FALSE)/1,0))</f>
        <v/>
      </c>
      <c r="Y52" s="31" t="str">
        <f>IF($D52="","",IFERROR(VLOOKUP($B52,Kraftvärmeprod!$B$1:$BX$550,MATCH(Y$2,Kraftvärmeprod!$B$1:$VX$1,0),FALSE)/1,0)-IFERROR(VLOOKUP($B52,'Slutlig allokering kvv'!$B$2:$BX$550,MATCH(Y$2,'Slutlig allokering kvv'!$B$1:$BX$1,0),FALSE)/1,0))</f>
        <v/>
      </c>
      <c r="Z52" s="31" t="str">
        <f>IF($D52="","",IFERROR(VLOOKUP($B52,Kraftvärmeprod!$B$1:$BX$550,MATCH(Z$2,Kraftvärmeprod!$B$1:$VX$1,0),FALSE)/1,0)-IFERROR(VLOOKUP($B52,'Slutlig allokering kvv'!$B$2:$BX$550,MATCH(Z$2,'Slutlig allokering kvv'!$B$1:$BX$1,0),FALSE)/1,0))</f>
        <v/>
      </c>
      <c r="AA52" s="31" t="str">
        <f>IF($D52="","",IFERROR(VLOOKUP($B52,Kraftvärmeprod!$B$1:$BX$550,MATCH(AA$2,Kraftvärmeprod!$B$1:$VX$1,0),FALSE)/1,0)-IFERROR(VLOOKUP($B52,'Slutlig allokering kvv'!$B$2:$BX$550,MATCH(AA$2,'Slutlig allokering kvv'!$B$1:$BX$1,0),FALSE)/1,0))</f>
        <v/>
      </c>
      <c r="AB52" s="31" t="str">
        <f>IF($D52="","",IFERROR(VLOOKUP($B52,Kraftvärmeprod!$B$1:$BX$550,MATCH(AB$2,Kraftvärmeprod!$B$1:$VX$1,0),FALSE)/1,0)-IFERROR(VLOOKUP($B52,'Slutlig allokering kvv'!$B$2:$BX$550,MATCH(AB$2,'Slutlig allokering kvv'!$B$1:$BX$1,0),FALSE)/1,0))</f>
        <v/>
      </c>
      <c r="AC52" s="31" t="str">
        <f>IF($D52="","",IFERROR(VLOOKUP($B52,Kraftvärmeprod!$B$1:$BX$550,MATCH(AC$2,Kraftvärmeprod!$B$1:$VX$1,0),FALSE)/1,0)-IFERROR(VLOOKUP($B52,'Slutlig allokering kvv'!$B$2:$BX$550,MATCH(AC$2,'Slutlig allokering kvv'!$B$1:$BX$1,0),FALSE)/1,0))</f>
        <v/>
      </c>
      <c r="AD52" s="31" t="str">
        <f>IF($D52="","",IFERROR(VLOOKUP($B52,Kraftvärmeprod!$B$1:$BX$550,MATCH(AD$2,Kraftvärmeprod!$B$1:$VX$1,0),FALSE)/1,0)-IFERROR(VLOOKUP($B52,'Slutlig allokering kvv'!$B$2:$BX$550,MATCH(AD$2,'Slutlig allokering kvv'!$B$1:$BX$1,0),FALSE)/1,0))</f>
        <v/>
      </c>
      <c r="AE52" s="31" t="str">
        <f>IF($D52="","",IFERROR(VLOOKUP($B52,Miljö!$B$1:$E$550,MATCH("Hjälpel kraftvärme (GWh)",Miljö!$B$1:$E$1,0),FALSE)/1,0)-IFERROR(VLOOKUP($B52,'Slutlig allokering kvv'!$B$2:$BX$549,MATCH(AE$2,'Slutlig allokering kvv'!$B$1:$BX$1,0),FALSE)/1,0))</f>
        <v/>
      </c>
      <c r="AI52" s="39">
        <f t="shared" si="0"/>
        <v>0</v>
      </c>
      <c r="AK52" s="31">
        <f>IFERROR(VLOOKUP($B52,'Slutlig allokering kvv'!$B$2:$AX$549,MATCH("Summa slutlig allokerad tillförd energi (utan hjälpel och rökgaskondensering):",'Slutlig allokering kvv'!$B$1:$AX$1,0),FALSE)/1,"")</f>
        <v>0</v>
      </c>
      <c r="AM52" s="31" t="str">
        <f>IFERROR(1-VLOOKUP($B52,'Slutlig allokering kvv'!$B$2:$AX$549,MATCH("Andel av bränsle i kvv som allokerats till värme, exklusive rökgaskondensering och hjälpel",'Slutlig allokering kvv'!$B$1:$AX$1,0),FALSE),"")</f>
        <v/>
      </c>
      <c r="AO52" s="31" t="str">
        <f t="shared" si="1"/>
        <v/>
      </c>
      <c r="AP52" s="31" t="str">
        <f t="shared" si="2"/>
        <v/>
      </c>
      <c r="AR52" s="32" t="str">
        <f t="shared" si="3"/>
        <v/>
      </c>
    </row>
    <row r="53" spans="1:44" s="31" customFormat="1" x14ac:dyDescent="0.45">
      <c r="A53" s="31" t="s">
        <v>623</v>
      </c>
      <c r="B53" s="31" t="s">
        <v>624</v>
      </c>
      <c r="C53" s="31" t="str">
        <f>IFERROR(VLOOKUP($B53,Kraftvärmeprod!$B$1:$AH$479,MATCH(C$2,Kraftvärmeprod!$B$1:$AG$1,0),FALSE)/1,"")</f>
        <v/>
      </c>
      <c r="D53" s="31" t="str">
        <f>IFERROR(VLOOKUP($B53,Kraftvärmeprod!$B$1:$AH$479,MATCH(D$2,Kraftvärmeprod!$B$1:$AG$1,0),FALSE)/1,"")</f>
        <v/>
      </c>
      <c r="F53" s="31" t="str">
        <f>IF($D53="","",IFERROR(VLOOKUP($B53,Kraftvärmeprod!$B$1:$BX$550,MATCH(F$2,Kraftvärmeprod!$B$1:$VX$1,0),FALSE)/1,0)-IFERROR(VLOOKUP($B53,'Slutlig allokering kvv'!$B$2:$BX$550,MATCH(F$2,'Slutlig allokering kvv'!$B$1:$BX$1,0),FALSE)/1,0))</f>
        <v/>
      </c>
      <c r="G53" s="31" t="str">
        <f>IF($D53="","",IFERROR(VLOOKUP($B53,Kraftvärmeprod!$B$1:$BX$550,MATCH(G$2,Kraftvärmeprod!$B$1:$VX$1,0),FALSE)/1,0)-IFERROR(VLOOKUP($B53,'Slutlig allokering kvv'!$B$2:$BX$550,MATCH(G$2,'Slutlig allokering kvv'!$B$1:$BX$1,0),FALSE)/1,0))</f>
        <v/>
      </c>
      <c r="H53" s="31" t="str">
        <f>IF($D53="","",IFERROR(VLOOKUP($B53,Kraftvärmeprod!$B$1:$BX$550,MATCH(H$2,Kraftvärmeprod!$B$1:$VX$1,0),FALSE)/1,0)-IFERROR(VLOOKUP($B53,'Slutlig allokering kvv'!$B$2:$BX$550,MATCH(H$2,'Slutlig allokering kvv'!$B$1:$BX$1,0),FALSE)/1,0))</f>
        <v/>
      </c>
      <c r="I53" s="31" t="str">
        <f>IF($D53="","",IFERROR(VLOOKUP($B53,Kraftvärmeprod!$B$1:$BX$550,MATCH(I$2,Kraftvärmeprod!$B$1:$VX$1,0),FALSE)/1,0)-IFERROR(VLOOKUP($B53,'Slutlig allokering kvv'!$B$2:$BX$550,MATCH(I$2,'Slutlig allokering kvv'!$B$1:$BX$1,0),FALSE)/1,0))</f>
        <v/>
      </c>
      <c r="J53" s="31" t="str">
        <f>IF($D53="","",IFERROR(VLOOKUP($B53,Kraftvärmeprod!$B$1:$BX$550,MATCH(J$2,Kraftvärmeprod!$B$1:$VX$1,0),FALSE)/1,0)-IFERROR(VLOOKUP($B53,'Slutlig allokering kvv'!$B$2:$BX$550,MATCH(J$2,'Slutlig allokering kvv'!$B$1:$BX$1,0),FALSE)/1,0))</f>
        <v/>
      </c>
      <c r="K53" s="31" t="str">
        <f>IF($D53="","",IFERROR(VLOOKUP($B53,Kraftvärmeprod!$B$1:$BX$550,MATCH(K$2,Kraftvärmeprod!$B$1:$VX$1,0),FALSE)/1,0)-IFERROR(VLOOKUP($B53,'Slutlig allokering kvv'!$B$2:$BX$550,MATCH(K$2,'Slutlig allokering kvv'!$B$1:$BX$1,0),FALSE)/1,0))</f>
        <v/>
      </c>
      <c r="L53" s="31" t="str">
        <f>IF($D53="","",IFERROR(VLOOKUP($B53,Kraftvärmeprod!$B$1:$BX$550,MATCH(L$2,Kraftvärmeprod!$B$1:$VX$1,0),FALSE)/1,0)-IFERROR(VLOOKUP($B53,'Slutlig allokering kvv'!$B$2:$BX$550,MATCH(L$2,'Slutlig allokering kvv'!$B$1:$BX$1,0),FALSE)/1,0))</f>
        <v/>
      </c>
      <c r="M53" s="31" t="str">
        <f>IF($D53="","",IFERROR(VLOOKUP($B53,Kraftvärmeprod!$B$1:$BX$550,MATCH(M$2,Kraftvärmeprod!$B$1:$VX$1,0),FALSE)/1,0)-IFERROR(VLOOKUP($B53,'Slutlig allokering kvv'!$B$2:$BX$550,MATCH(M$2,'Slutlig allokering kvv'!$B$1:$BX$1,0),FALSE)/1,0))</f>
        <v/>
      </c>
      <c r="N53" s="31" t="str">
        <f>IF($D53="","",IFERROR(VLOOKUP($B53,Kraftvärmeprod!$B$1:$BX$550,MATCH(N$2,Kraftvärmeprod!$B$1:$VX$1,0),FALSE)/1,0)-IFERROR(VLOOKUP($B53,'Slutlig allokering kvv'!$B$2:$BX$550,MATCH(N$2,'Slutlig allokering kvv'!$B$1:$BX$1,0),FALSE)/1,0))</f>
        <v/>
      </c>
      <c r="O53" s="31" t="str">
        <f>IF($D53="","",IFERROR(VLOOKUP($B53,Kraftvärmeprod!$B$1:$BX$550,MATCH(O$2,Kraftvärmeprod!$B$1:$VX$1,0),FALSE)/1,0)-IFERROR(VLOOKUP($B53,'Slutlig allokering kvv'!$B$2:$BX$550,MATCH(O$2,'Slutlig allokering kvv'!$B$1:$BX$1,0),FALSE)/1,0))</f>
        <v/>
      </c>
      <c r="P53" s="31" t="str">
        <f>IF($D53="","",IFERROR(VLOOKUP($B53,Kraftvärmeprod!$B$1:$BX$550,MATCH(P$2,Kraftvärmeprod!$B$1:$VX$1,0),FALSE)/1,0)-IFERROR(VLOOKUP($B53,'Slutlig allokering kvv'!$B$2:$BX$550,MATCH(P$2,'Slutlig allokering kvv'!$B$1:$BX$1,0),FALSE)/1,0))</f>
        <v/>
      </c>
      <c r="Q53" s="31" t="str">
        <f>IF($D53="","",IFERROR(VLOOKUP($B53,Kraftvärmeprod!$B$1:$BX$550,MATCH(Q$2,Kraftvärmeprod!$B$1:$VX$1,0),FALSE)/1,0)-IFERROR(VLOOKUP($B53,'Slutlig allokering kvv'!$B$2:$BX$550,MATCH(Q$2,'Slutlig allokering kvv'!$B$1:$BX$1,0),FALSE)/1,0))</f>
        <v/>
      </c>
      <c r="R53" s="31" t="str">
        <f>IF($D53="","",IFERROR(VLOOKUP($B53,Kraftvärmeprod!$B$1:$BX$550,MATCH(R$2,Kraftvärmeprod!$B$1:$VX$1,0),FALSE)/1,0)-IFERROR(VLOOKUP($B53,'Slutlig allokering kvv'!$B$2:$BX$550,MATCH(R$2,'Slutlig allokering kvv'!$B$1:$BX$1,0),FALSE)/1,0))</f>
        <v/>
      </c>
      <c r="S53" s="31" t="str">
        <f>IF($D53="","",IFERROR(VLOOKUP($B53,Kraftvärmeprod!$B$1:$BX$550,MATCH(S$2,Kraftvärmeprod!$B$1:$VX$1,0),FALSE)/1,0)-IFERROR(VLOOKUP($B53,'Slutlig allokering kvv'!$B$2:$BX$550,MATCH(S$2,'Slutlig allokering kvv'!$B$1:$BX$1,0),FALSE)/1,0))</f>
        <v/>
      </c>
      <c r="T53" s="31" t="str">
        <f>IF($D53="","",IFERROR(VLOOKUP($B53,Kraftvärmeprod!$B$1:$BX$550,MATCH(T$2,Kraftvärmeprod!$B$1:$VX$1,0),FALSE)/1,0)-IFERROR(VLOOKUP($B53,'Slutlig allokering kvv'!$B$2:$BX$550,MATCH(T$2,'Slutlig allokering kvv'!$B$1:$BX$1,0),FALSE)/1,0))</f>
        <v/>
      </c>
      <c r="U53" s="31" t="str">
        <f>IF($D53="","",IFERROR(VLOOKUP($B53,Kraftvärmeprod!$B$1:$BX$550,MATCH(U$2,Kraftvärmeprod!$B$1:$VX$1,0),FALSE)/1,0)-IFERROR(VLOOKUP($B53,'Slutlig allokering kvv'!$B$2:$BX$550,MATCH(U$2,'Slutlig allokering kvv'!$B$1:$BX$1,0),FALSE)/1,0))</f>
        <v/>
      </c>
      <c r="V53" s="31" t="str">
        <f>IF($D53="","",IFERROR(VLOOKUP($B53,Kraftvärmeprod!$B$1:$BX$550,MATCH(V$2,Kraftvärmeprod!$B$1:$VX$1,0),FALSE)/1,0)-IFERROR(VLOOKUP($B53,'Slutlig allokering kvv'!$B$2:$BX$550,MATCH(V$2,'Slutlig allokering kvv'!$B$1:$BX$1,0),FALSE)/1,0))</f>
        <v/>
      </c>
      <c r="W53" s="31" t="str">
        <f>IF($D53="","",IFERROR(VLOOKUP($B53,Kraftvärmeprod!$B$1:$BX$550,MATCH(W$2,Kraftvärmeprod!$B$1:$VX$1,0),FALSE)/1,0)-IFERROR(VLOOKUP($B53,'Slutlig allokering kvv'!$B$2:$BX$550,MATCH(W$2,'Slutlig allokering kvv'!$B$1:$BX$1,0),FALSE)/1,0))</f>
        <v/>
      </c>
      <c r="X53" s="31" t="str">
        <f>IF($D53="","",IFERROR(VLOOKUP($B53,Kraftvärmeprod!$B$1:$BX$550,MATCH(X$2,Kraftvärmeprod!$B$1:$VX$1,0),FALSE)/1,0)-IFERROR(VLOOKUP($B53,'Slutlig allokering kvv'!$B$2:$BX$550,MATCH(X$2,'Slutlig allokering kvv'!$B$1:$BX$1,0),FALSE)/1,0))</f>
        <v/>
      </c>
      <c r="Y53" s="31" t="str">
        <f>IF($D53="","",IFERROR(VLOOKUP($B53,Kraftvärmeprod!$B$1:$BX$550,MATCH(Y$2,Kraftvärmeprod!$B$1:$VX$1,0),FALSE)/1,0)-IFERROR(VLOOKUP($B53,'Slutlig allokering kvv'!$B$2:$BX$550,MATCH(Y$2,'Slutlig allokering kvv'!$B$1:$BX$1,0),FALSE)/1,0))</f>
        <v/>
      </c>
      <c r="Z53" s="31" t="str">
        <f>IF($D53="","",IFERROR(VLOOKUP($B53,Kraftvärmeprod!$B$1:$BX$550,MATCH(Z$2,Kraftvärmeprod!$B$1:$VX$1,0),FALSE)/1,0)-IFERROR(VLOOKUP($B53,'Slutlig allokering kvv'!$B$2:$BX$550,MATCH(Z$2,'Slutlig allokering kvv'!$B$1:$BX$1,0),FALSE)/1,0))</f>
        <v/>
      </c>
      <c r="AA53" s="31" t="str">
        <f>IF($D53="","",IFERROR(VLOOKUP($B53,Kraftvärmeprod!$B$1:$BX$550,MATCH(AA$2,Kraftvärmeprod!$B$1:$VX$1,0),FALSE)/1,0)-IFERROR(VLOOKUP($B53,'Slutlig allokering kvv'!$B$2:$BX$550,MATCH(AA$2,'Slutlig allokering kvv'!$B$1:$BX$1,0),FALSE)/1,0))</f>
        <v/>
      </c>
      <c r="AB53" s="31" t="str">
        <f>IF($D53="","",IFERROR(VLOOKUP($B53,Kraftvärmeprod!$B$1:$BX$550,MATCH(AB$2,Kraftvärmeprod!$B$1:$VX$1,0),FALSE)/1,0)-IFERROR(VLOOKUP($B53,'Slutlig allokering kvv'!$B$2:$BX$550,MATCH(AB$2,'Slutlig allokering kvv'!$B$1:$BX$1,0),FALSE)/1,0))</f>
        <v/>
      </c>
      <c r="AC53" s="31" t="str">
        <f>IF($D53="","",IFERROR(VLOOKUP($B53,Kraftvärmeprod!$B$1:$BX$550,MATCH(AC$2,Kraftvärmeprod!$B$1:$VX$1,0),FALSE)/1,0)-IFERROR(VLOOKUP($B53,'Slutlig allokering kvv'!$B$2:$BX$550,MATCH(AC$2,'Slutlig allokering kvv'!$B$1:$BX$1,0),FALSE)/1,0))</f>
        <v/>
      </c>
      <c r="AD53" s="31" t="str">
        <f>IF($D53="","",IFERROR(VLOOKUP($B53,Kraftvärmeprod!$B$1:$BX$550,MATCH(AD$2,Kraftvärmeprod!$B$1:$VX$1,0),FALSE)/1,0)-IFERROR(VLOOKUP($B53,'Slutlig allokering kvv'!$B$2:$BX$550,MATCH(AD$2,'Slutlig allokering kvv'!$B$1:$BX$1,0),FALSE)/1,0))</f>
        <v/>
      </c>
      <c r="AE53" s="31" t="str">
        <f>IF($D53="","",IFERROR(VLOOKUP($B53,Miljö!$B$1:$E$550,MATCH("Hjälpel kraftvärme (GWh)",Miljö!$B$1:$E$1,0),FALSE)/1,0)-IFERROR(VLOOKUP($B53,'Slutlig allokering kvv'!$B$2:$BX$549,MATCH(AE$2,'Slutlig allokering kvv'!$B$1:$BX$1,0),FALSE)/1,0))</f>
        <v/>
      </c>
      <c r="AI53" s="39">
        <f t="shared" si="0"/>
        <v>0</v>
      </c>
      <c r="AK53" s="31">
        <f>IFERROR(VLOOKUP($B53,'Slutlig allokering kvv'!$B$2:$AX$549,MATCH("Summa slutlig allokerad tillförd energi (utan hjälpel och rökgaskondensering):",'Slutlig allokering kvv'!$B$1:$AX$1,0),FALSE)/1,"")</f>
        <v>0</v>
      </c>
      <c r="AM53" s="31" t="str">
        <f>IFERROR(1-VLOOKUP($B53,'Slutlig allokering kvv'!$B$2:$AX$549,MATCH("Andel av bränsle i kvv som allokerats till värme, exklusive rökgaskondensering och hjälpel",'Slutlig allokering kvv'!$B$1:$AX$1,0),FALSE),"")</f>
        <v/>
      </c>
      <c r="AO53" s="31" t="str">
        <f t="shared" si="1"/>
        <v/>
      </c>
      <c r="AP53" s="31" t="str">
        <f t="shared" si="2"/>
        <v/>
      </c>
      <c r="AR53" s="32" t="str">
        <f t="shared" si="3"/>
        <v/>
      </c>
    </row>
    <row r="54" spans="1:44" s="31" customFormat="1" x14ac:dyDescent="0.45">
      <c r="A54" s="31" t="s">
        <v>623</v>
      </c>
      <c r="B54" s="31" t="s">
        <v>622</v>
      </c>
      <c r="C54" s="31" t="str">
        <f>IFERROR(VLOOKUP($B54,Kraftvärmeprod!$B$1:$AH$479,MATCH(C$2,Kraftvärmeprod!$B$1:$AG$1,0),FALSE)/1,"")</f>
        <v/>
      </c>
      <c r="D54" s="31" t="str">
        <f>IFERROR(VLOOKUP($B54,Kraftvärmeprod!$B$1:$AH$479,MATCH(D$2,Kraftvärmeprod!$B$1:$AG$1,0),FALSE)/1,"")</f>
        <v/>
      </c>
      <c r="F54" s="31" t="str">
        <f>IF($D54="","",IFERROR(VLOOKUP($B54,Kraftvärmeprod!$B$1:$BX$550,MATCH(F$2,Kraftvärmeprod!$B$1:$VX$1,0),FALSE)/1,0)-IFERROR(VLOOKUP($B54,'Slutlig allokering kvv'!$B$2:$BX$550,MATCH(F$2,'Slutlig allokering kvv'!$B$1:$BX$1,0),FALSE)/1,0))</f>
        <v/>
      </c>
      <c r="G54" s="31" t="str">
        <f>IF($D54="","",IFERROR(VLOOKUP($B54,Kraftvärmeprod!$B$1:$BX$550,MATCH(G$2,Kraftvärmeprod!$B$1:$VX$1,0),FALSE)/1,0)-IFERROR(VLOOKUP($B54,'Slutlig allokering kvv'!$B$2:$BX$550,MATCH(G$2,'Slutlig allokering kvv'!$B$1:$BX$1,0),FALSE)/1,0))</f>
        <v/>
      </c>
      <c r="H54" s="31" t="str">
        <f>IF($D54="","",IFERROR(VLOOKUP($B54,Kraftvärmeprod!$B$1:$BX$550,MATCH(H$2,Kraftvärmeprod!$B$1:$VX$1,0),FALSE)/1,0)-IFERROR(VLOOKUP($B54,'Slutlig allokering kvv'!$B$2:$BX$550,MATCH(H$2,'Slutlig allokering kvv'!$B$1:$BX$1,0),FALSE)/1,0))</f>
        <v/>
      </c>
      <c r="I54" s="31" t="str">
        <f>IF($D54="","",IFERROR(VLOOKUP($B54,Kraftvärmeprod!$B$1:$BX$550,MATCH(I$2,Kraftvärmeprod!$B$1:$VX$1,0),FALSE)/1,0)-IFERROR(VLOOKUP($B54,'Slutlig allokering kvv'!$B$2:$BX$550,MATCH(I$2,'Slutlig allokering kvv'!$B$1:$BX$1,0),FALSE)/1,0))</f>
        <v/>
      </c>
      <c r="J54" s="31" t="str">
        <f>IF($D54="","",IFERROR(VLOOKUP($B54,Kraftvärmeprod!$B$1:$BX$550,MATCH(J$2,Kraftvärmeprod!$B$1:$VX$1,0),FALSE)/1,0)-IFERROR(VLOOKUP($B54,'Slutlig allokering kvv'!$B$2:$BX$550,MATCH(J$2,'Slutlig allokering kvv'!$B$1:$BX$1,0),FALSE)/1,0))</f>
        <v/>
      </c>
      <c r="K54" s="31" t="str">
        <f>IF($D54="","",IFERROR(VLOOKUP($B54,Kraftvärmeprod!$B$1:$BX$550,MATCH(K$2,Kraftvärmeprod!$B$1:$VX$1,0),FALSE)/1,0)-IFERROR(VLOOKUP($B54,'Slutlig allokering kvv'!$B$2:$BX$550,MATCH(K$2,'Slutlig allokering kvv'!$B$1:$BX$1,0),FALSE)/1,0))</f>
        <v/>
      </c>
      <c r="L54" s="31" t="str">
        <f>IF($D54="","",IFERROR(VLOOKUP($B54,Kraftvärmeprod!$B$1:$BX$550,MATCH(L$2,Kraftvärmeprod!$B$1:$VX$1,0),FALSE)/1,0)-IFERROR(VLOOKUP($B54,'Slutlig allokering kvv'!$B$2:$BX$550,MATCH(L$2,'Slutlig allokering kvv'!$B$1:$BX$1,0),FALSE)/1,0))</f>
        <v/>
      </c>
      <c r="M54" s="31" t="str">
        <f>IF($D54="","",IFERROR(VLOOKUP($B54,Kraftvärmeprod!$B$1:$BX$550,MATCH(M$2,Kraftvärmeprod!$B$1:$VX$1,0),FALSE)/1,0)-IFERROR(VLOOKUP($B54,'Slutlig allokering kvv'!$B$2:$BX$550,MATCH(M$2,'Slutlig allokering kvv'!$B$1:$BX$1,0),FALSE)/1,0))</f>
        <v/>
      </c>
      <c r="N54" s="31" t="str">
        <f>IF($D54="","",IFERROR(VLOOKUP($B54,Kraftvärmeprod!$B$1:$BX$550,MATCH(N$2,Kraftvärmeprod!$B$1:$VX$1,0),FALSE)/1,0)-IFERROR(VLOOKUP($B54,'Slutlig allokering kvv'!$B$2:$BX$550,MATCH(N$2,'Slutlig allokering kvv'!$B$1:$BX$1,0),FALSE)/1,0))</f>
        <v/>
      </c>
      <c r="O54" s="31" t="str">
        <f>IF($D54="","",IFERROR(VLOOKUP($B54,Kraftvärmeprod!$B$1:$BX$550,MATCH(O$2,Kraftvärmeprod!$B$1:$VX$1,0),FALSE)/1,0)-IFERROR(VLOOKUP($B54,'Slutlig allokering kvv'!$B$2:$BX$550,MATCH(O$2,'Slutlig allokering kvv'!$B$1:$BX$1,0),FALSE)/1,0))</f>
        <v/>
      </c>
      <c r="P54" s="31" t="str">
        <f>IF($D54="","",IFERROR(VLOOKUP($B54,Kraftvärmeprod!$B$1:$BX$550,MATCH(P$2,Kraftvärmeprod!$B$1:$VX$1,0),FALSE)/1,0)-IFERROR(VLOOKUP($B54,'Slutlig allokering kvv'!$B$2:$BX$550,MATCH(P$2,'Slutlig allokering kvv'!$B$1:$BX$1,0),FALSE)/1,0))</f>
        <v/>
      </c>
      <c r="Q54" s="31" t="str">
        <f>IF($D54="","",IFERROR(VLOOKUP($B54,Kraftvärmeprod!$B$1:$BX$550,MATCH(Q$2,Kraftvärmeprod!$B$1:$VX$1,0),FALSE)/1,0)-IFERROR(VLOOKUP($B54,'Slutlig allokering kvv'!$B$2:$BX$550,MATCH(Q$2,'Slutlig allokering kvv'!$B$1:$BX$1,0),FALSE)/1,0))</f>
        <v/>
      </c>
      <c r="R54" s="31" t="str">
        <f>IF($D54="","",IFERROR(VLOOKUP($B54,Kraftvärmeprod!$B$1:$BX$550,MATCH(R$2,Kraftvärmeprod!$B$1:$VX$1,0),FALSE)/1,0)-IFERROR(VLOOKUP($B54,'Slutlig allokering kvv'!$B$2:$BX$550,MATCH(R$2,'Slutlig allokering kvv'!$B$1:$BX$1,0),FALSE)/1,0))</f>
        <v/>
      </c>
      <c r="S54" s="31" t="str">
        <f>IF($D54="","",IFERROR(VLOOKUP($B54,Kraftvärmeprod!$B$1:$BX$550,MATCH(S$2,Kraftvärmeprod!$B$1:$VX$1,0),FALSE)/1,0)-IFERROR(VLOOKUP($B54,'Slutlig allokering kvv'!$B$2:$BX$550,MATCH(S$2,'Slutlig allokering kvv'!$B$1:$BX$1,0),FALSE)/1,0))</f>
        <v/>
      </c>
      <c r="T54" s="31" t="str">
        <f>IF($D54="","",IFERROR(VLOOKUP($B54,Kraftvärmeprod!$B$1:$BX$550,MATCH(T$2,Kraftvärmeprod!$B$1:$VX$1,0),FALSE)/1,0)-IFERROR(VLOOKUP($B54,'Slutlig allokering kvv'!$B$2:$BX$550,MATCH(T$2,'Slutlig allokering kvv'!$B$1:$BX$1,0),FALSE)/1,0))</f>
        <v/>
      </c>
      <c r="U54" s="31" t="str">
        <f>IF($D54="","",IFERROR(VLOOKUP($B54,Kraftvärmeprod!$B$1:$BX$550,MATCH(U$2,Kraftvärmeprod!$B$1:$VX$1,0),FALSE)/1,0)-IFERROR(VLOOKUP($B54,'Slutlig allokering kvv'!$B$2:$BX$550,MATCH(U$2,'Slutlig allokering kvv'!$B$1:$BX$1,0),FALSE)/1,0))</f>
        <v/>
      </c>
      <c r="V54" s="31" t="str">
        <f>IF($D54="","",IFERROR(VLOOKUP($B54,Kraftvärmeprod!$B$1:$BX$550,MATCH(V$2,Kraftvärmeprod!$B$1:$VX$1,0),FALSE)/1,0)-IFERROR(VLOOKUP($B54,'Slutlig allokering kvv'!$B$2:$BX$550,MATCH(V$2,'Slutlig allokering kvv'!$B$1:$BX$1,0),FALSE)/1,0))</f>
        <v/>
      </c>
      <c r="W54" s="31" t="str">
        <f>IF($D54="","",IFERROR(VLOOKUP($B54,Kraftvärmeprod!$B$1:$BX$550,MATCH(W$2,Kraftvärmeprod!$B$1:$VX$1,0),FALSE)/1,0)-IFERROR(VLOOKUP($B54,'Slutlig allokering kvv'!$B$2:$BX$550,MATCH(W$2,'Slutlig allokering kvv'!$B$1:$BX$1,0),FALSE)/1,0))</f>
        <v/>
      </c>
      <c r="X54" s="31" t="str">
        <f>IF($D54="","",IFERROR(VLOOKUP($B54,Kraftvärmeprod!$B$1:$BX$550,MATCH(X$2,Kraftvärmeprod!$B$1:$VX$1,0),FALSE)/1,0)-IFERROR(VLOOKUP($B54,'Slutlig allokering kvv'!$B$2:$BX$550,MATCH(X$2,'Slutlig allokering kvv'!$B$1:$BX$1,0),FALSE)/1,0))</f>
        <v/>
      </c>
      <c r="Y54" s="31" t="str">
        <f>IF($D54="","",IFERROR(VLOOKUP($B54,Kraftvärmeprod!$B$1:$BX$550,MATCH(Y$2,Kraftvärmeprod!$B$1:$VX$1,0),FALSE)/1,0)-IFERROR(VLOOKUP($B54,'Slutlig allokering kvv'!$B$2:$BX$550,MATCH(Y$2,'Slutlig allokering kvv'!$B$1:$BX$1,0),FALSE)/1,0))</f>
        <v/>
      </c>
      <c r="Z54" s="31" t="str">
        <f>IF($D54="","",IFERROR(VLOOKUP($B54,Kraftvärmeprod!$B$1:$BX$550,MATCH(Z$2,Kraftvärmeprod!$B$1:$VX$1,0),FALSE)/1,0)-IFERROR(VLOOKUP($B54,'Slutlig allokering kvv'!$B$2:$BX$550,MATCH(Z$2,'Slutlig allokering kvv'!$B$1:$BX$1,0),FALSE)/1,0))</f>
        <v/>
      </c>
      <c r="AA54" s="31" t="str">
        <f>IF($D54="","",IFERROR(VLOOKUP($B54,Kraftvärmeprod!$B$1:$BX$550,MATCH(AA$2,Kraftvärmeprod!$B$1:$VX$1,0),FALSE)/1,0)-IFERROR(VLOOKUP($B54,'Slutlig allokering kvv'!$B$2:$BX$550,MATCH(AA$2,'Slutlig allokering kvv'!$B$1:$BX$1,0),FALSE)/1,0))</f>
        <v/>
      </c>
      <c r="AB54" s="31" t="str">
        <f>IF($D54="","",IFERROR(VLOOKUP($B54,Kraftvärmeprod!$B$1:$BX$550,MATCH(AB$2,Kraftvärmeprod!$B$1:$VX$1,0),FALSE)/1,0)-IFERROR(VLOOKUP($B54,'Slutlig allokering kvv'!$B$2:$BX$550,MATCH(AB$2,'Slutlig allokering kvv'!$B$1:$BX$1,0),FALSE)/1,0))</f>
        <v/>
      </c>
      <c r="AC54" s="31" t="str">
        <f>IF($D54="","",IFERROR(VLOOKUP($B54,Kraftvärmeprod!$B$1:$BX$550,MATCH(AC$2,Kraftvärmeprod!$B$1:$VX$1,0),FALSE)/1,0)-IFERROR(VLOOKUP($B54,'Slutlig allokering kvv'!$B$2:$BX$550,MATCH(AC$2,'Slutlig allokering kvv'!$B$1:$BX$1,0),FALSE)/1,0))</f>
        <v/>
      </c>
      <c r="AD54" s="31" t="str">
        <f>IF($D54="","",IFERROR(VLOOKUP($B54,Kraftvärmeprod!$B$1:$BX$550,MATCH(AD$2,Kraftvärmeprod!$B$1:$VX$1,0),FALSE)/1,0)-IFERROR(VLOOKUP($B54,'Slutlig allokering kvv'!$B$2:$BX$550,MATCH(AD$2,'Slutlig allokering kvv'!$B$1:$BX$1,0),FALSE)/1,0))</f>
        <v/>
      </c>
      <c r="AE54" s="31" t="str">
        <f>IF($D54="","",IFERROR(VLOOKUP($B54,Miljö!$B$1:$E$550,MATCH("Hjälpel kraftvärme (GWh)",Miljö!$B$1:$E$1,0),FALSE)/1,0)-IFERROR(VLOOKUP($B54,'Slutlig allokering kvv'!$B$2:$BX$549,MATCH(AE$2,'Slutlig allokering kvv'!$B$1:$BX$1,0),FALSE)/1,0))</f>
        <v/>
      </c>
      <c r="AI54" s="39">
        <f t="shared" si="0"/>
        <v>0</v>
      </c>
      <c r="AK54" s="31">
        <f>IFERROR(VLOOKUP($B54,'Slutlig allokering kvv'!$B$2:$AX$549,MATCH("Summa slutlig allokerad tillförd energi (utan hjälpel och rökgaskondensering):",'Slutlig allokering kvv'!$B$1:$AX$1,0),FALSE)/1,"")</f>
        <v>0</v>
      </c>
      <c r="AM54" s="31" t="str">
        <f>IFERROR(1-VLOOKUP($B54,'Slutlig allokering kvv'!$B$2:$AX$549,MATCH("Andel av bränsle i kvv som allokerats till värme, exklusive rökgaskondensering och hjälpel",'Slutlig allokering kvv'!$B$1:$AX$1,0),FALSE),"")</f>
        <v/>
      </c>
      <c r="AO54" s="31" t="str">
        <f t="shared" si="1"/>
        <v/>
      </c>
      <c r="AP54" s="31" t="str">
        <f t="shared" si="2"/>
        <v/>
      </c>
      <c r="AR54" s="32" t="str">
        <f t="shared" si="3"/>
        <v/>
      </c>
    </row>
    <row r="55" spans="1:44" s="31" customFormat="1" x14ac:dyDescent="0.45">
      <c r="A55" s="31" t="s">
        <v>610</v>
      </c>
      <c r="B55" s="31" t="s">
        <v>613</v>
      </c>
      <c r="C55" s="31">
        <f>IFERROR(VLOOKUP($B55,Kraftvärmeprod!$B$1:$AH$479,MATCH(C$2,Kraftvärmeprod!$B$1:$AG$1,0),FALSE)/1,"")</f>
        <v>919.7</v>
      </c>
      <c r="D55" s="31">
        <f>IFERROR(VLOOKUP($B55,Kraftvärmeprod!$B$1:$AH$479,MATCH(D$2,Kraftvärmeprod!$B$1:$AG$1,0),FALSE)/1,"")</f>
        <v>338.1</v>
      </c>
      <c r="F55" s="31">
        <f>IF($D55="","",IFERROR(VLOOKUP($B55,Kraftvärmeprod!$B$1:$BX$550,MATCH(F$2,Kraftvärmeprod!$B$1:$VX$1,0),FALSE)/1,0)-IFERROR(VLOOKUP($B55,'Slutlig allokering kvv'!$B$2:$BX$550,MATCH(F$2,'Slutlig allokering kvv'!$B$1:$BX$1,0),FALSE)/1,0))</f>
        <v>20.7195</v>
      </c>
      <c r="G55" s="31">
        <f>IF($D55="","",IFERROR(VLOOKUP($B55,Kraftvärmeprod!$B$1:$BX$550,MATCH(G$2,Kraftvärmeprod!$B$1:$VX$1,0),FALSE)/1,0)-IFERROR(VLOOKUP($B55,'Slutlig allokering kvv'!$B$2:$BX$550,MATCH(G$2,'Slutlig allokering kvv'!$B$1:$BX$1,0),FALSE)/1,0))</f>
        <v>6.7382600000000004</v>
      </c>
      <c r="H55" s="31">
        <f>IF($D55="","",IFERROR(VLOOKUP($B55,Kraftvärmeprod!$B$1:$BX$550,MATCH(H$2,Kraftvärmeprod!$B$1:$VX$1,0),FALSE)/1,0)-IFERROR(VLOOKUP($B55,'Slutlig allokering kvv'!$B$2:$BX$550,MATCH(H$2,'Slutlig allokering kvv'!$B$1:$BX$1,0),FALSE)/1,0))</f>
        <v>0</v>
      </c>
      <c r="I55" s="31">
        <f>IF($D55="","",IFERROR(VLOOKUP($B55,Kraftvärmeprod!$B$1:$BX$550,MATCH(I$2,Kraftvärmeprod!$B$1:$VX$1,0),FALSE)/1,0)-IFERROR(VLOOKUP($B55,'Slutlig allokering kvv'!$B$2:$BX$550,MATCH(I$2,'Slutlig allokering kvv'!$B$1:$BX$1,0),FALSE)/1,0))</f>
        <v>0</v>
      </c>
      <c r="J55" s="31">
        <f>IF($D55="","",IFERROR(VLOOKUP($B55,Kraftvärmeprod!$B$1:$BX$550,MATCH(J$2,Kraftvärmeprod!$B$1:$VX$1,0),FALSE)/1,0)-IFERROR(VLOOKUP($B55,'Slutlig allokering kvv'!$B$2:$BX$550,MATCH(J$2,'Slutlig allokering kvv'!$B$1:$BX$1,0),FALSE)/1,0))</f>
        <v>0</v>
      </c>
      <c r="K55" s="31">
        <f>IF($D55="","",IFERROR(VLOOKUP($B55,Kraftvärmeprod!$B$1:$BX$550,MATCH(K$2,Kraftvärmeprod!$B$1:$VX$1,0),FALSE)/1,0)-IFERROR(VLOOKUP($B55,'Slutlig allokering kvv'!$B$2:$BX$550,MATCH(K$2,'Slutlig allokering kvv'!$B$1:$BX$1,0),FALSE)/1,0))</f>
        <v>0</v>
      </c>
      <c r="L55" s="31">
        <f>IF($D55="","",IFERROR(VLOOKUP($B55,Kraftvärmeprod!$B$1:$BX$550,MATCH(L$2,Kraftvärmeprod!$B$1:$VX$1,0),FALSE)/1,0)-IFERROR(VLOOKUP($B55,'Slutlig allokering kvv'!$B$2:$BX$550,MATCH(L$2,'Slutlig allokering kvv'!$B$1:$BX$1,0),FALSE)/1,0))</f>
        <v>29.748499999999996</v>
      </c>
      <c r="M55" s="31">
        <f>IF($D55="","",IFERROR(VLOOKUP($B55,Kraftvärmeprod!$B$1:$BX$550,MATCH(M$2,Kraftvärmeprod!$B$1:$VX$1,0),FALSE)/1,0)-IFERROR(VLOOKUP($B55,'Slutlig allokering kvv'!$B$2:$BX$550,MATCH(M$2,'Slutlig allokering kvv'!$B$1:$BX$1,0),FALSE)/1,0))</f>
        <v>0</v>
      </c>
      <c r="N55" s="31">
        <f>IF($D55="","",IFERROR(VLOOKUP($B55,Kraftvärmeprod!$B$1:$BX$550,MATCH(N$2,Kraftvärmeprod!$B$1:$VX$1,0),FALSE)/1,0)-IFERROR(VLOOKUP($B55,'Slutlig allokering kvv'!$B$2:$BX$550,MATCH(N$2,'Slutlig allokering kvv'!$B$1:$BX$1,0),FALSE)/1,0))</f>
        <v>0</v>
      </c>
      <c r="O55" s="31">
        <f>IF($D55="","",IFERROR(VLOOKUP($B55,Kraftvärmeprod!$B$1:$BX$550,MATCH(O$2,Kraftvärmeprod!$B$1:$VX$1,0),FALSE)/1,0)-IFERROR(VLOOKUP($B55,'Slutlig allokering kvv'!$B$2:$BX$550,MATCH(O$2,'Slutlig allokering kvv'!$B$1:$BX$1,0),FALSE)/1,0))</f>
        <v>0</v>
      </c>
      <c r="P55" s="31">
        <f>IF($D55="","",IFERROR(VLOOKUP($B55,Kraftvärmeprod!$B$1:$BX$550,MATCH(P$2,Kraftvärmeprod!$B$1:$VX$1,0),FALSE)/1,0)-IFERROR(VLOOKUP($B55,'Slutlig allokering kvv'!$B$2:$BX$550,MATCH(P$2,'Slutlig allokering kvv'!$B$1:$BX$1,0),FALSE)/1,0))</f>
        <v>0</v>
      </c>
      <c r="Q55" s="31">
        <f>IF($D55="","",IFERROR(VLOOKUP($B55,Kraftvärmeprod!$B$1:$BX$550,MATCH(Q$2,Kraftvärmeprod!$B$1:$VX$1,0),FALSE)/1,0)-IFERROR(VLOOKUP($B55,'Slutlig allokering kvv'!$B$2:$BX$550,MATCH(Q$2,'Slutlig allokering kvv'!$B$1:$BX$1,0),FALSE)/1,0))</f>
        <v>0</v>
      </c>
      <c r="R55" s="31">
        <f>IF($D55="","",IFERROR(VLOOKUP($B55,Kraftvärmeprod!$B$1:$BX$550,MATCH(R$2,Kraftvärmeprod!$B$1:$VX$1,0),FALSE)/1,0)-IFERROR(VLOOKUP($B55,'Slutlig allokering kvv'!$B$2:$BX$550,MATCH(R$2,'Slutlig allokering kvv'!$B$1:$BX$1,0),FALSE)/1,0))</f>
        <v>0</v>
      </c>
      <c r="S55" s="31">
        <f>IF($D55="","",IFERROR(VLOOKUP($B55,Kraftvärmeprod!$B$1:$BX$550,MATCH(S$2,Kraftvärmeprod!$B$1:$VX$1,0),FALSE)/1,0)-IFERROR(VLOOKUP($B55,'Slutlig allokering kvv'!$B$2:$BX$550,MATCH(S$2,'Slutlig allokering kvv'!$B$1:$BX$1,0),FALSE)/1,0))</f>
        <v>0</v>
      </c>
      <c r="T55" s="31">
        <f>IF($D55="","",IFERROR(VLOOKUP($B55,Kraftvärmeprod!$B$1:$BX$550,MATCH(T$2,Kraftvärmeprod!$B$1:$VX$1,0),FALSE)/1,0)-IFERROR(VLOOKUP($B55,'Slutlig allokering kvv'!$B$2:$BX$550,MATCH(T$2,'Slutlig allokering kvv'!$B$1:$BX$1,0),FALSE)/1,0))</f>
        <v>0</v>
      </c>
      <c r="U55" s="31">
        <f>IF($D55="","",IFERROR(VLOOKUP($B55,Kraftvärmeprod!$B$1:$BX$550,MATCH(U$2,Kraftvärmeprod!$B$1:$VX$1,0),FALSE)/1,0)-IFERROR(VLOOKUP($B55,'Slutlig allokering kvv'!$B$2:$BX$550,MATCH(U$2,'Slutlig allokering kvv'!$B$1:$BX$1,0),FALSE)/1,0))</f>
        <v>0</v>
      </c>
      <c r="V55" s="31">
        <f>IF($D55="","",IFERROR(VLOOKUP($B55,Kraftvärmeprod!$B$1:$BX$550,MATCH(V$2,Kraftvärmeprod!$B$1:$VX$1,0),FALSE)/1,0)-IFERROR(VLOOKUP($B55,'Slutlig allokering kvv'!$B$2:$BX$550,MATCH(V$2,'Slutlig allokering kvv'!$B$1:$BX$1,0),FALSE)/1,0))</f>
        <v>41.197800000000001</v>
      </c>
      <c r="W55" s="31">
        <f>IF($D55="","",IFERROR(VLOOKUP($B55,Kraftvärmeprod!$B$1:$BX$550,MATCH(W$2,Kraftvärmeprod!$B$1:$VX$1,0),FALSE)/1,0)-IFERROR(VLOOKUP($B55,'Slutlig allokering kvv'!$B$2:$BX$550,MATCH(W$2,'Slutlig allokering kvv'!$B$1:$BX$1,0),FALSE)/1,0))</f>
        <v>0</v>
      </c>
      <c r="X55" s="31">
        <f>IF($D55="","",IFERROR(VLOOKUP($B55,Kraftvärmeprod!$B$1:$BX$550,MATCH(X$2,Kraftvärmeprod!$B$1:$VX$1,0),FALSE)/1,0)-IFERROR(VLOOKUP($B55,'Slutlig allokering kvv'!$B$2:$BX$550,MATCH(X$2,'Slutlig allokering kvv'!$B$1:$BX$1,0),FALSE)/1,0))</f>
        <v>0</v>
      </c>
      <c r="Y55" s="31">
        <f>IF($D55="","",IFERROR(VLOOKUP($B55,Kraftvärmeprod!$B$1:$BX$550,MATCH(Y$2,Kraftvärmeprod!$B$1:$VX$1,0),FALSE)/1,0)-IFERROR(VLOOKUP($B55,'Slutlig allokering kvv'!$B$2:$BX$550,MATCH(Y$2,'Slutlig allokering kvv'!$B$1:$BX$1,0),FALSE)/1,0))</f>
        <v>0</v>
      </c>
      <c r="Z55" s="31">
        <f>IF($D55="","",IFERROR(VLOOKUP($B55,Kraftvärmeprod!$B$1:$BX$550,MATCH(Z$2,Kraftvärmeprod!$B$1:$VX$1,0),FALSE)/1,0)-IFERROR(VLOOKUP($B55,'Slutlig allokering kvv'!$B$2:$BX$550,MATCH(Z$2,'Slutlig allokering kvv'!$B$1:$BX$1,0),FALSE)/1,0))</f>
        <v>0</v>
      </c>
      <c r="AA55" s="31">
        <f>IF($D55="","",IFERROR(VLOOKUP($B55,Kraftvärmeprod!$B$1:$BX$550,MATCH(AA$2,Kraftvärmeprod!$B$1:$VX$1,0),FALSE)/1,0)-IFERROR(VLOOKUP($B55,'Slutlig allokering kvv'!$B$2:$BX$550,MATCH(AA$2,'Slutlig allokering kvv'!$B$1:$BX$1,0),FALSE)/1,0))</f>
        <v>659.49099999999987</v>
      </c>
      <c r="AB55" s="31">
        <f>IF($D55="","",IFERROR(VLOOKUP($B55,Kraftvärmeprod!$B$1:$BX$550,MATCH(AB$2,Kraftvärmeprod!$B$1:$VX$1,0),FALSE)/1,0)-IFERROR(VLOOKUP($B55,'Slutlig allokering kvv'!$B$2:$BX$550,MATCH(AB$2,'Slutlig allokering kvv'!$B$1:$BX$1,0),FALSE)/1,0))</f>
        <v>0</v>
      </c>
      <c r="AC55" s="31">
        <f>IF($D55="","",IFERROR(VLOOKUP($B55,Kraftvärmeprod!$B$1:$BX$550,MATCH(AC$2,Kraftvärmeprod!$B$1:$VX$1,0),FALSE)/1,0)-IFERROR(VLOOKUP($B55,'Slutlig allokering kvv'!$B$2:$BX$550,MATCH(AC$2,'Slutlig allokering kvv'!$B$1:$BX$1,0),FALSE)/1,0))</f>
        <v>0</v>
      </c>
      <c r="AD55" s="31">
        <f>IF($D55="","",IFERROR(VLOOKUP($B55,Kraftvärmeprod!$B$1:$BX$550,MATCH(AD$2,Kraftvärmeprod!$B$1:$VX$1,0),FALSE)/1,0)-IFERROR(VLOOKUP($B55,'Slutlig allokering kvv'!$B$2:$BX$550,MATCH(AD$2,'Slutlig allokering kvv'!$B$1:$BX$1,0),FALSE)/1,0))</f>
        <v>0</v>
      </c>
      <c r="AE55" s="31">
        <f>IF($D55="","",IFERROR(VLOOKUP($B55,Miljö!$B$1:$E$550,MATCH("Hjälpel kraftvärme (GWh)",Miljö!$B$1:$E$1,0),FALSE)/1,0)-IFERROR(VLOOKUP($B55,'Slutlig allokering kvv'!$B$2:$BX$549,MATCH(AE$2,'Slutlig allokering kvv'!$B$1:$BX$1,0),FALSE)/1,0))</f>
        <v>35.885800000000003</v>
      </c>
      <c r="AI55" s="39">
        <f t="shared" si="0"/>
        <v>757.89505999999983</v>
      </c>
      <c r="AK55" s="31">
        <f>IFERROR(VLOOKUP($B55,'Slutlig allokering kvv'!$B$2:$AX$549,MATCH("Summa slutlig allokerad tillförd energi (utan hjälpel och rökgaskondensering):",'Slutlig allokering kvv'!$B$1:$AX$1,0),FALSE)/1,"")</f>
        <v>671.90494000000001</v>
      </c>
      <c r="AM55" s="31">
        <f>IFERROR(1-VLOOKUP($B55,'Slutlig allokering kvv'!$B$2:$AX$549,MATCH("Andel av bränsle i kvv som allokerats till värme, exklusive rökgaskondensering och hjälpel",'Slutlig allokering kvv'!$B$1:$AX$1,0),FALSE),"")</f>
        <v>0.53007068121415579</v>
      </c>
      <c r="AO55" s="31">
        <f t="shared" si="1"/>
        <v>0.53007068121415579</v>
      </c>
      <c r="AP55" s="31">
        <f t="shared" si="2"/>
        <v>0</v>
      </c>
      <c r="AR55" s="32">
        <f t="shared" si="3"/>
        <v>0.42593619604282229</v>
      </c>
    </row>
    <row r="56" spans="1:44" s="31" customFormat="1" x14ac:dyDescent="0.45">
      <c r="A56" s="31" t="s">
        <v>610</v>
      </c>
      <c r="B56" s="31" t="s">
        <v>620</v>
      </c>
      <c r="C56" s="31" t="str">
        <f>IFERROR(VLOOKUP($B56,Kraftvärmeprod!$B$1:$AH$479,MATCH(C$2,Kraftvärmeprod!$B$1:$AG$1,0),FALSE)/1,"")</f>
        <v/>
      </c>
      <c r="D56" s="31" t="str">
        <f>IFERROR(VLOOKUP($B56,Kraftvärmeprod!$B$1:$AH$479,MATCH(D$2,Kraftvärmeprod!$B$1:$AG$1,0),FALSE)/1,"")</f>
        <v/>
      </c>
      <c r="F56" s="31" t="str">
        <f>IF($D56="","",IFERROR(VLOOKUP($B56,Kraftvärmeprod!$B$1:$BX$550,MATCH(F$2,Kraftvärmeprod!$B$1:$VX$1,0),FALSE)/1,0)-IFERROR(VLOOKUP($B56,'Slutlig allokering kvv'!$B$2:$BX$550,MATCH(F$2,'Slutlig allokering kvv'!$B$1:$BX$1,0),FALSE)/1,0))</f>
        <v/>
      </c>
      <c r="G56" s="31" t="str">
        <f>IF($D56="","",IFERROR(VLOOKUP($B56,Kraftvärmeprod!$B$1:$BX$550,MATCH(G$2,Kraftvärmeprod!$B$1:$VX$1,0),FALSE)/1,0)-IFERROR(VLOOKUP($B56,'Slutlig allokering kvv'!$B$2:$BX$550,MATCH(G$2,'Slutlig allokering kvv'!$B$1:$BX$1,0),FALSE)/1,0))</f>
        <v/>
      </c>
      <c r="H56" s="31" t="str">
        <f>IF($D56="","",IFERROR(VLOOKUP($B56,Kraftvärmeprod!$B$1:$BX$550,MATCH(H$2,Kraftvärmeprod!$B$1:$VX$1,0),FALSE)/1,0)-IFERROR(VLOOKUP($B56,'Slutlig allokering kvv'!$B$2:$BX$550,MATCH(H$2,'Slutlig allokering kvv'!$B$1:$BX$1,0),FALSE)/1,0))</f>
        <v/>
      </c>
      <c r="I56" s="31" t="str">
        <f>IF($D56="","",IFERROR(VLOOKUP($B56,Kraftvärmeprod!$B$1:$BX$550,MATCH(I$2,Kraftvärmeprod!$B$1:$VX$1,0),FALSE)/1,0)-IFERROR(VLOOKUP($B56,'Slutlig allokering kvv'!$B$2:$BX$550,MATCH(I$2,'Slutlig allokering kvv'!$B$1:$BX$1,0),FALSE)/1,0))</f>
        <v/>
      </c>
      <c r="J56" s="31" t="str">
        <f>IF($D56="","",IFERROR(VLOOKUP($B56,Kraftvärmeprod!$B$1:$BX$550,MATCH(J$2,Kraftvärmeprod!$B$1:$VX$1,0),FALSE)/1,0)-IFERROR(VLOOKUP($B56,'Slutlig allokering kvv'!$B$2:$BX$550,MATCH(J$2,'Slutlig allokering kvv'!$B$1:$BX$1,0),FALSE)/1,0))</f>
        <v/>
      </c>
      <c r="K56" s="31" t="str">
        <f>IF($D56="","",IFERROR(VLOOKUP($B56,Kraftvärmeprod!$B$1:$BX$550,MATCH(K$2,Kraftvärmeprod!$B$1:$VX$1,0),FALSE)/1,0)-IFERROR(VLOOKUP($B56,'Slutlig allokering kvv'!$B$2:$BX$550,MATCH(K$2,'Slutlig allokering kvv'!$B$1:$BX$1,0),FALSE)/1,0))</f>
        <v/>
      </c>
      <c r="L56" s="31" t="str">
        <f>IF($D56="","",IFERROR(VLOOKUP($B56,Kraftvärmeprod!$B$1:$BX$550,MATCH(L$2,Kraftvärmeprod!$B$1:$VX$1,0),FALSE)/1,0)-IFERROR(VLOOKUP($B56,'Slutlig allokering kvv'!$B$2:$BX$550,MATCH(L$2,'Slutlig allokering kvv'!$B$1:$BX$1,0),FALSE)/1,0))</f>
        <v/>
      </c>
      <c r="M56" s="31" t="str">
        <f>IF($D56="","",IFERROR(VLOOKUP($B56,Kraftvärmeprod!$B$1:$BX$550,MATCH(M$2,Kraftvärmeprod!$B$1:$VX$1,0),FALSE)/1,0)-IFERROR(VLOOKUP($B56,'Slutlig allokering kvv'!$B$2:$BX$550,MATCH(M$2,'Slutlig allokering kvv'!$B$1:$BX$1,0),FALSE)/1,0))</f>
        <v/>
      </c>
      <c r="N56" s="31" t="str">
        <f>IF($D56="","",IFERROR(VLOOKUP($B56,Kraftvärmeprod!$B$1:$BX$550,MATCH(N$2,Kraftvärmeprod!$B$1:$VX$1,0),FALSE)/1,0)-IFERROR(VLOOKUP($B56,'Slutlig allokering kvv'!$B$2:$BX$550,MATCH(N$2,'Slutlig allokering kvv'!$B$1:$BX$1,0),FALSE)/1,0))</f>
        <v/>
      </c>
      <c r="O56" s="31" t="str">
        <f>IF($D56="","",IFERROR(VLOOKUP($B56,Kraftvärmeprod!$B$1:$BX$550,MATCH(O$2,Kraftvärmeprod!$B$1:$VX$1,0),FALSE)/1,0)-IFERROR(VLOOKUP($B56,'Slutlig allokering kvv'!$B$2:$BX$550,MATCH(O$2,'Slutlig allokering kvv'!$B$1:$BX$1,0),FALSE)/1,0))</f>
        <v/>
      </c>
      <c r="P56" s="31" t="str">
        <f>IF($D56="","",IFERROR(VLOOKUP($B56,Kraftvärmeprod!$B$1:$BX$550,MATCH(P$2,Kraftvärmeprod!$B$1:$VX$1,0),FALSE)/1,0)-IFERROR(VLOOKUP($B56,'Slutlig allokering kvv'!$B$2:$BX$550,MATCH(P$2,'Slutlig allokering kvv'!$B$1:$BX$1,0),FALSE)/1,0))</f>
        <v/>
      </c>
      <c r="Q56" s="31" t="str">
        <f>IF($D56="","",IFERROR(VLOOKUP($B56,Kraftvärmeprod!$B$1:$BX$550,MATCH(Q$2,Kraftvärmeprod!$B$1:$VX$1,0),FALSE)/1,0)-IFERROR(VLOOKUP($B56,'Slutlig allokering kvv'!$B$2:$BX$550,MATCH(Q$2,'Slutlig allokering kvv'!$B$1:$BX$1,0),FALSE)/1,0))</f>
        <v/>
      </c>
      <c r="R56" s="31" t="str">
        <f>IF($D56="","",IFERROR(VLOOKUP($B56,Kraftvärmeprod!$B$1:$BX$550,MATCH(R$2,Kraftvärmeprod!$B$1:$VX$1,0),FALSE)/1,0)-IFERROR(VLOOKUP($B56,'Slutlig allokering kvv'!$B$2:$BX$550,MATCH(R$2,'Slutlig allokering kvv'!$B$1:$BX$1,0),FALSE)/1,0))</f>
        <v/>
      </c>
      <c r="S56" s="31" t="str">
        <f>IF($D56="","",IFERROR(VLOOKUP($B56,Kraftvärmeprod!$B$1:$BX$550,MATCH(S$2,Kraftvärmeprod!$B$1:$VX$1,0),FALSE)/1,0)-IFERROR(VLOOKUP($B56,'Slutlig allokering kvv'!$B$2:$BX$550,MATCH(S$2,'Slutlig allokering kvv'!$B$1:$BX$1,0),FALSE)/1,0))</f>
        <v/>
      </c>
      <c r="T56" s="31" t="str">
        <f>IF($D56="","",IFERROR(VLOOKUP($B56,Kraftvärmeprod!$B$1:$BX$550,MATCH(T$2,Kraftvärmeprod!$B$1:$VX$1,0),FALSE)/1,0)-IFERROR(VLOOKUP($B56,'Slutlig allokering kvv'!$B$2:$BX$550,MATCH(T$2,'Slutlig allokering kvv'!$B$1:$BX$1,0),FALSE)/1,0))</f>
        <v/>
      </c>
      <c r="U56" s="31" t="str">
        <f>IF($D56="","",IFERROR(VLOOKUP($B56,Kraftvärmeprod!$B$1:$BX$550,MATCH(U$2,Kraftvärmeprod!$B$1:$VX$1,0),FALSE)/1,0)-IFERROR(VLOOKUP($B56,'Slutlig allokering kvv'!$B$2:$BX$550,MATCH(U$2,'Slutlig allokering kvv'!$B$1:$BX$1,0),FALSE)/1,0))</f>
        <v/>
      </c>
      <c r="V56" s="31" t="str">
        <f>IF($D56="","",IFERROR(VLOOKUP($B56,Kraftvärmeprod!$B$1:$BX$550,MATCH(V$2,Kraftvärmeprod!$B$1:$VX$1,0),FALSE)/1,0)-IFERROR(VLOOKUP($B56,'Slutlig allokering kvv'!$B$2:$BX$550,MATCH(V$2,'Slutlig allokering kvv'!$B$1:$BX$1,0),FALSE)/1,0))</f>
        <v/>
      </c>
      <c r="W56" s="31" t="str">
        <f>IF($D56="","",IFERROR(VLOOKUP($B56,Kraftvärmeprod!$B$1:$BX$550,MATCH(W$2,Kraftvärmeprod!$B$1:$VX$1,0),FALSE)/1,0)-IFERROR(VLOOKUP($B56,'Slutlig allokering kvv'!$B$2:$BX$550,MATCH(W$2,'Slutlig allokering kvv'!$B$1:$BX$1,0),FALSE)/1,0))</f>
        <v/>
      </c>
      <c r="X56" s="31" t="str">
        <f>IF($D56="","",IFERROR(VLOOKUP($B56,Kraftvärmeprod!$B$1:$BX$550,MATCH(X$2,Kraftvärmeprod!$B$1:$VX$1,0),FALSE)/1,0)-IFERROR(VLOOKUP($B56,'Slutlig allokering kvv'!$B$2:$BX$550,MATCH(X$2,'Slutlig allokering kvv'!$B$1:$BX$1,0),FALSE)/1,0))</f>
        <v/>
      </c>
      <c r="Y56" s="31" t="str">
        <f>IF($D56="","",IFERROR(VLOOKUP($B56,Kraftvärmeprod!$B$1:$BX$550,MATCH(Y$2,Kraftvärmeprod!$B$1:$VX$1,0),FALSE)/1,0)-IFERROR(VLOOKUP($B56,'Slutlig allokering kvv'!$B$2:$BX$550,MATCH(Y$2,'Slutlig allokering kvv'!$B$1:$BX$1,0),FALSE)/1,0))</f>
        <v/>
      </c>
      <c r="Z56" s="31" t="str">
        <f>IF($D56="","",IFERROR(VLOOKUP($B56,Kraftvärmeprod!$B$1:$BX$550,MATCH(Z$2,Kraftvärmeprod!$B$1:$VX$1,0),FALSE)/1,0)-IFERROR(VLOOKUP($B56,'Slutlig allokering kvv'!$B$2:$BX$550,MATCH(Z$2,'Slutlig allokering kvv'!$B$1:$BX$1,0),FALSE)/1,0))</f>
        <v/>
      </c>
      <c r="AA56" s="31" t="str">
        <f>IF($D56="","",IFERROR(VLOOKUP($B56,Kraftvärmeprod!$B$1:$BX$550,MATCH(AA$2,Kraftvärmeprod!$B$1:$VX$1,0),FALSE)/1,0)-IFERROR(VLOOKUP($B56,'Slutlig allokering kvv'!$B$2:$BX$550,MATCH(AA$2,'Slutlig allokering kvv'!$B$1:$BX$1,0),FALSE)/1,0))</f>
        <v/>
      </c>
      <c r="AB56" s="31" t="str">
        <f>IF($D56="","",IFERROR(VLOOKUP($B56,Kraftvärmeprod!$B$1:$BX$550,MATCH(AB$2,Kraftvärmeprod!$B$1:$VX$1,0),FALSE)/1,0)-IFERROR(VLOOKUP($B56,'Slutlig allokering kvv'!$B$2:$BX$550,MATCH(AB$2,'Slutlig allokering kvv'!$B$1:$BX$1,0),FALSE)/1,0))</f>
        <v/>
      </c>
      <c r="AC56" s="31" t="str">
        <f>IF($D56="","",IFERROR(VLOOKUP($B56,Kraftvärmeprod!$B$1:$BX$550,MATCH(AC$2,Kraftvärmeprod!$B$1:$VX$1,0),FALSE)/1,0)-IFERROR(VLOOKUP($B56,'Slutlig allokering kvv'!$B$2:$BX$550,MATCH(AC$2,'Slutlig allokering kvv'!$B$1:$BX$1,0),FALSE)/1,0))</f>
        <v/>
      </c>
      <c r="AD56" s="31" t="str">
        <f>IF($D56="","",IFERROR(VLOOKUP($B56,Kraftvärmeprod!$B$1:$BX$550,MATCH(AD$2,Kraftvärmeprod!$B$1:$VX$1,0),FALSE)/1,0)-IFERROR(VLOOKUP($B56,'Slutlig allokering kvv'!$B$2:$BX$550,MATCH(AD$2,'Slutlig allokering kvv'!$B$1:$BX$1,0),FALSE)/1,0))</f>
        <v/>
      </c>
      <c r="AE56" s="31" t="str">
        <f>IF($D56="","",IFERROR(VLOOKUP($B56,Miljö!$B$1:$E$550,MATCH("Hjälpel kraftvärme (GWh)",Miljö!$B$1:$E$1,0),FALSE)/1,0)-IFERROR(VLOOKUP($B56,'Slutlig allokering kvv'!$B$2:$BX$549,MATCH(AE$2,'Slutlig allokering kvv'!$B$1:$BX$1,0),FALSE)/1,0))</f>
        <v/>
      </c>
      <c r="AI56" s="39">
        <f t="shared" si="0"/>
        <v>0</v>
      </c>
      <c r="AK56" s="31">
        <f>IFERROR(VLOOKUP($B56,'Slutlig allokering kvv'!$B$2:$AX$549,MATCH("Summa slutlig allokerad tillförd energi (utan hjälpel och rökgaskondensering):",'Slutlig allokering kvv'!$B$1:$AX$1,0),FALSE)/1,"")</f>
        <v>0</v>
      </c>
      <c r="AM56" s="31" t="str">
        <f>IFERROR(1-VLOOKUP($B56,'Slutlig allokering kvv'!$B$2:$AX$549,MATCH("Andel av bränsle i kvv som allokerats till värme, exklusive rökgaskondensering och hjälpel",'Slutlig allokering kvv'!$B$1:$AX$1,0),FALSE),"")</f>
        <v/>
      </c>
      <c r="AO56" s="31" t="str">
        <f t="shared" si="1"/>
        <v/>
      </c>
      <c r="AP56" s="31" t="str">
        <f t="shared" si="2"/>
        <v/>
      </c>
      <c r="AR56" s="32" t="str">
        <f t="shared" si="3"/>
        <v/>
      </c>
    </row>
    <row r="57" spans="1:44" s="31" customFormat="1" x14ac:dyDescent="0.45">
      <c r="A57" s="31" t="s">
        <v>610</v>
      </c>
      <c r="B57" s="31" t="s">
        <v>618</v>
      </c>
      <c r="C57" s="31">
        <f>IFERROR(VLOOKUP($B57,Kraftvärmeprod!$B$1:$AH$479,MATCH(C$2,Kraftvärmeprod!$B$1:$AG$1,0),FALSE)/1,"")</f>
        <v>637.9</v>
      </c>
      <c r="D57" s="31">
        <f>IFERROR(VLOOKUP($B57,Kraftvärmeprod!$B$1:$AH$479,MATCH(D$2,Kraftvärmeprod!$B$1:$AG$1,0),FALSE)/1,"")</f>
        <v>272.8</v>
      </c>
      <c r="F57" s="31">
        <f>IF($D57="","",IFERROR(VLOOKUP($B57,Kraftvärmeprod!$B$1:$BX$550,MATCH(F$2,Kraftvärmeprod!$B$1:$VX$1,0),FALSE)/1,0)-IFERROR(VLOOKUP($B57,'Slutlig allokering kvv'!$B$2:$BX$550,MATCH(F$2,'Slutlig allokering kvv'!$B$1:$BX$1,0),FALSE)/1,0))</f>
        <v>0.41490500000000002</v>
      </c>
      <c r="G57" s="31">
        <f>IF($D57="","",IFERROR(VLOOKUP($B57,Kraftvärmeprod!$B$1:$BX$550,MATCH(G$2,Kraftvärmeprod!$B$1:$VX$1,0),FALSE)/1,0)-IFERROR(VLOOKUP($B57,'Slutlig allokering kvv'!$B$2:$BX$550,MATCH(G$2,'Slutlig allokering kvv'!$B$1:$BX$1,0),FALSE)/1,0))</f>
        <v>0.67716899999999991</v>
      </c>
      <c r="H57" s="31">
        <f>IF($D57="","",IFERROR(VLOOKUP($B57,Kraftvärmeprod!$B$1:$BX$550,MATCH(H$2,Kraftvärmeprod!$B$1:$VX$1,0),FALSE)/1,0)-IFERROR(VLOOKUP($B57,'Slutlig allokering kvv'!$B$2:$BX$550,MATCH(H$2,'Slutlig allokering kvv'!$B$1:$BX$1,0),FALSE)/1,0))</f>
        <v>0</v>
      </c>
      <c r="I57" s="31">
        <f>IF($D57="","",IFERROR(VLOOKUP($B57,Kraftvärmeprod!$B$1:$BX$550,MATCH(I$2,Kraftvärmeprod!$B$1:$VX$1,0),FALSE)/1,0)-IFERROR(VLOOKUP($B57,'Slutlig allokering kvv'!$B$2:$BX$550,MATCH(I$2,'Slutlig allokering kvv'!$B$1:$BX$1,0),FALSE)/1,0))</f>
        <v>3.2467000000000001</v>
      </c>
      <c r="J57" s="31">
        <f>IF($D57="","",IFERROR(VLOOKUP($B57,Kraftvärmeprod!$B$1:$BX$550,MATCH(J$2,Kraftvärmeprod!$B$1:$VX$1,0),FALSE)/1,0)-IFERROR(VLOOKUP($B57,'Slutlig allokering kvv'!$B$2:$BX$550,MATCH(J$2,'Slutlig allokering kvv'!$B$1:$BX$1,0),FALSE)/1,0))</f>
        <v>0</v>
      </c>
      <c r="K57" s="31">
        <f>IF($D57="","",IFERROR(VLOOKUP($B57,Kraftvärmeprod!$B$1:$BX$550,MATCH(K$2,Kraftvärmeprod!$B$1:$VX$1,0),FALSE)/1,0)-IFERROR(VLOOKUP($B57,'Slutlig allokering kvv'!$B$2:$BX$550,MATCH(K$2,'Slutlig allokering kvv'!$B$1:$BX$1,0),FALSE)/1,0))</f>
        <v>0</v>
      </c>
      <c r="L57" s="31">
        <f>IF($D57="","",IFERROR(VLOOKUP($B57,Kraftvärmeprod!$B$1:$BX$550,MATCH(L$2,Kraftvärmeprod!$B$1:$VX$1,0),FALSE)/1,0)-IFERROR(VLOOKUP($B57,'Slutlig allokering kvv'!$B$2:$BX$550,MATCH(L$2,'Slutlig allokering kvv'!$B$1:$BX$1,0),FALSE)/1,0))</f>
        <v>114.05900000000001</v>
      </c>
      <c r="M57" s="31">
        <f>IF($D57="","",IFERROR(VLOOKUP($B57,Kraftvärmeprod!$B$1:$BX$550,MATCH(M$2,Kraftvärmeprod!$B$1:$VX$1,0),FALSE)/1,0)-IFERROR(VLOOKUP($B57,'Slutlig allokering kvv'!$B$2:$BX$550,MATCH(M$2,'Slutlig allokering kvv'!$B$1:$BX$1,0),FALSE)/1,0))</f>
        <v>54.657400000000003</v>
      </c>
      <c r="N57" s="31">
        <f>IF($D57="","",IFERROR(VLOOKUP($B57,Kraftvärmeprod!$B$1:$BX$550,MATCH(N$2,Kraftvärmeprod!$B$1:$VX$1,0),FALSE)/1,0)-IFERROR(VLOOKUP($B57,'Slutlig allokering kvv'!$B$2:$BX$550,MATCH(N$2,'Slutlig allokering kvv'!$B$1:$BX$1,0),FALSE)/1,0))</f>
        <v>121.227</v>
      </c>
      <c r="O57" s="31">
        <f>IF($D57="","",IFERROR(VLOOKUP($B57,Kraftvärmeprod!$B$1:$BX$550,MATCH(O$2,Kraftvärmeprod!$B$1:$VX$1,0),FALSE)/1,0)-IFERROR(VLOOKUP($B57,'Slutlig allokering kvv'!$B$2:$BX$550,MATCH(O$2,'Slutlig allokering kvv'!$B$1:$BX$1,0),FALSE)/1,0))</f>
        <v>109.8947</v>
      </c>
      <c r="P57" s="31">
        <f>IF($D57="","",IFERROR(VLOOKUP($B57,Kraftvärmeprod!$B$1:$BX$550,MATCH(P$2,Kraftvärmeprod!$B$1:$VX$1,0),FALSE)/1,0)-IFERROR(VLOOKUP($B57,'Slutlig allokering kvv'!$B$2:$BX$550,MATCH(P$2,'Slutlig allokering kvv'!$B$1:$BX$1,0),FALSE)/1,0))</f>
        <v>4.7378799999999988</v>
      </c>
      <c r="Q57" s="31">
        <f>IF($D57="","",IFERROR(VLOOKUP($B57,Kraftvärmeprod!$B$1:$BX$550,MATCH(Q$2,Kraftvärmeprod!$B$1:$VX$1,0),FALSE)/1,0)-IFERROR(VLOOKUP($B57,'Slutlig allokering kvv'!$B$2:$BX$550,MATCH(Q$2,'Slutlig allokering kvv'!$B$1:$BX$1,0),FALSE)/1,0))</f>
        <v>0</v>
      </c>
      <c r="R57" s="31">
        <f>IF($D57="","",IFERROR(VLOOKUP($B57,Kraftvärmeprod!$B$1:$BX$550,MATCH(R$2,Kraftvärmeprod!$B$1:$VX$1,0),FALSE)/1,0)-IFERROR(VLOOKUP($B57,'Slutlig allokering kvv'!$B$2:$BX$550,MATCH(R$2,'Slutlig allokering kvv'!$B$1:$BX$1,0),FALSE)/1,0))</f>
        <v>0</v>
      </c>
      <c r="S57" s="31">
        <f>IF($D57="","",IFERROR(VLOOKUP($B57,Kraftvärmeprod!$B$1:$BX$550,MATCH(S$2,Kraftvärmeprod!$B$1:$VX$1,0),FALSE)/1,0)-IFERROR(VLOOKUP($B57,'Slutlig allokering kvv'!$B$2:$BX$550,MATCH(S$2,'Slutlig allokering kvv'!$B$1:$BX$1,0),FALSE)/1,0))</f>
        <v>0</v>
      </c>
      <c r="T57" s="31">
        <f>IF($D57="","",IFERROR(VLOOKUP($B57,Kraftvärmeprod!$B$1:$BX$550,MATCH(T$2,Kraftvärmeprod!$B$1:$VX$1,0),FALSE)/1,0)-IFERROR(VLOOKUP($B57,'Slutlig allokering kvv'!$B$2:$BX$550,MATCH(T$2,'Slutlig allokering kvv'!$B$1:$BX$1,0),FALSE)/1,0))</f>
        <v>0</v>
      </c>
      <c r="U57" s="31">
        <f>IF($D57="","",IFERROR(VLOOKUP($B57,Kraftvärmeprod!$B$1:$BX$550,MATCH(U$2,Kraftvärmeprod!$B$1:$VX$1,0),FALSE)/1,0)-IFERROR(VLOOKUP($B57,'Slutlig allokering kvv'!$B$2:$BX$550,MATCH(U$2,'Slutlig allokering kvv'!$B$1:$BX$1,0),FALSE)/1,0))</f>
        <v>0</v>
      </c>
      <c r="V57" s="31">
        <f>IF($D57="","",IFERROR(VLOOKUP($B57,Kraftvärmeprod!$B$1:$BX$550,MATCH(V$2,Kraftvärmeprod!$B$1:$VX$1,0),FALSE)/1,0)-IFERROR(VLOOKUP($B57,'Slutlig allokering kvv'!$B$2:$BX$550,MATCH(V$2,'Slutlig allokering kvv'!$B$1:$BX$1,0),FALSE)/1,0))</f>
        <v>0</v>
      </c>
      <c r="W57" s="31">
        <f>IF($D57="","",IFERROR(VLOOKUP($B57,Kraftvärmeprod!$B$1:$BX$550,MATCH(W$2,Kraftvärmeprod!$B$1:$VX$1,0),FALSE)/1,0)-IFERROR(VLOOKUP($B57,'Slutlig allokering kvv'!$B$2:$BX$550,MATCH(W$2,'Slutlig allokering kvv'!$B$1:$BX$1,0),FALSE)/1,0))</f>
        <v>0</v>
      </c>
      <c r="X57" s="31">
        <f>IF($D57="","",IFERROR(VLOOKUP($B57,Kraftvärmeprod!$B$1:$BX$550,MATCH(X$2,Kraftvärmeprod!$B$1:$VX$1,0),FALSE)/1,0)-IFERROR(VLOOKUP($B57,'Slutlig allokering kvv'!$B$2:$BX$550,MATCH(X$2,'Slutlig allokering kvv'!$B$1:$BX$1,0),FALSE)/1,0))</f>
        <v>0</v>
      </c>
      <c r="Y57" s="31">
        <f>IF($D57="","",IFERROR(VLOOKUP($B57,Kraftvärmeprod!$B$1:$BX$550,MATCH(Y$2,Kraftvärmeprod!$B$1:$VX$1,0),FALSE)/1,0)-IFERROR(VLOOKUP($B57,'Slutlig allokering kvv'!$B$2:$BX$550,MATCH(Y$2,'Slutlig allokering kvv'!$B$1:$BX$1,0),FALSE)/1,0))</f>
        <v>71.471099999999993</v>
      </c>
      <c r="Z57" s="31">
        <f>IF($D57="","",IFERROR(VLOOKUP($B57,Kraftvärmeprod!$B$1:$BX$550,MATCH(Z$2,Kraftvärmeprod!$B$1:$VX$1,0),FALSE)/1,0)-IFERROR(VLOOKUP($B57,'Slutlig allokering kvv'!$B$2:$BX$550,MATCH(Z$2,'Slutlig allokering kvv'!$B$1:$BX$1,0),FALSE)/1,0))</f>
        <v>0</v>
      </c>
      <c r="AA57" s="31">
        <f>IF($D57="","",IFERROR(VLOOKUP($B57,Kraftvärmeprod!$B$1:$BX$550,MATCH(AA$2,Kraftvärmeprod!$B$1:$VX$1,0),FALSE)/1,0)-IFERROR(VLOOKUP($B57,'Slutlig allokering kvv'!$B$2:$BX$550,MATCH(AA$2,'Slutlig allokering kvv'!$B$1:$BX$1,0),FALSE)/1,0))</f>
        <v>0</v>
      </c>
      <c r="AB57" s="31">
        <f>IF($D57="","",IFERROR(VLOOKUP($B57,Kraftvärmeprod!$B$1:$BX$550,MATCH(AB$2,Kraftvärmeprod!$B$1:$VX$1,0),FALSE)/1,0)-IFERROR(VLOOKUP($B57,'Slutlig allokering kvv'!$B$2:$BX$550,MATCH(AB$2,'Slutlig allokering kvv'!$B$1:$BX$1,0),FALSE)/1,0))</f>
        <v>0</v>
      </c>
      <c r="AC57" s="31">
        <f>IF($D57="","",IFERROR(VLOOKUP($B57,Kraftvärmeprod!$B$1:$BX$550,MATCH(AC$2,Kraftvärmeprod!$B$1:$VX$1,0),FALSE)/1,0)-IFERROR(VLOOKUP($B57,'Slutlig allokering kvv'!$B$2:$BX$550,MATCH(AC$2,'Slutlig allokering kvv'!$B$1:$BX$1,0),FALSE)/1,0))</f>
        <v>0</v>
      </c>
      <c r="AD57" s="31">
        <f>IF($D57="","",IFERROR(VLOOKUP($B57,Kraftvärmeprod!$B$1:$BX$550,MATCH(AD$2,Kraftvärmeprod!$B$1:$VX$1,0),FALSE)/1,0)-IFERROR(VLOOKUP($B57,'Slutlig allokering kvv'!$B$2:$BX$550,MATCH(AD$2,'Slutlig allokering kvv'!$B$1:$BX$1,0),FALSE)/1,0))</f>
        <v>0</v>
      </c>
      <c r="AE57" s="31">
        <f>IF($D57="","",IFERROR(VLOOKUP($B57,Miljö!$B$1:$E$550,MATCH("Hjälpel kraftvärme (GWh)",Miljö!$B$1:$E$1,0),FALSE)/1,0)-IFERROR(VLOOKUP($B57,'Slutlig allokering kvv'!$B$2:$BX$549,MATCH(AE$2,'Slutlig allokering kvv'!$B$1:$BX$1,0),FALSE)/1,0))</f>
        <v>34.668499999999995</v>
      </c>
      <c r="AI57" s="39">
        <f t="shared" si="0"/>
        <v>480.38585400000005</v>
      </c>
      <c r="AK57" s="31">
        <f>IFERROR(VLOOKUP($B57,'Slutlig allokering kvv'!$B$2:$AX$549,MATCH("Summa slutlig allokerad tillförd energi (utan hjälpel och rökgaskondensering):",'Slutlig allokering kvv'!$B$1:$AX$1,0),FALSE)/1,"")</f>
        <v>431.374146</v>
      </c>
      <c r="AM57" s="31">
        <f>IFERROR(1-VLOOKUP($B57,'Slutlig allokering kvv'!$B$2:$AX$549,MATCH("Andel av bränsle i kvv som allokerats till värme, exklusive rökgaskondensering och hjälpel",'Slutlig allokering kvv'!$B$1:$AX$1,0),FALSE),"")</f>
        <v>0.52687752698078449</v>
      </c>
      <c r="AO57" s="31">
        <f t="shared" si="1"/>
        <v>0.52687752698078449</v>
      </c>
      <c r="AP57" s="31">
        <f t="shared" si="2"/>
        <v>0</v>
      </c>
      <c r="AR57" s="32">
        <f t="shared" si="3"/>
        <v>0.52965283737801383</v>
      </c>
    </row>
    <row r="58" spans="1:44" s="31" customFormat="1" x14ac:dyDescent="0.45">
      <c r="A58" s="31" t="s">
        <v>610</v>
      </c>
      <c r="B58" s="31" t="s">
        <v>616</v>
      </c>
      <c r="C58" s="31" t="str">
        <f>IFERROR(VLOOKUP($B58,Kraftvärmeprod!$B$1:$AH$479,MATCH(C$2,Kraftvärmeprod!$B$1:$AG$1,0),FALSE)/1,"")</f>
        <v/>
      </c>
      <c r="D58" s="31" t="str">
        <f>IFERROR(VLOOKUP($B58,Kraftvärmeprod!$B$1:$AH$479,MATCH(D$2,Kraftvärmeprod!$B$1:$AG$1,0),FALSE)/1,"")</f>
        <v/>
      </c>
      <c r="F58" s="31" t="str">
        <f>IF($D58="","",IFERROR(VLOOKUP($B58,Kraftvärmeprod!$B$1:$BX$550,MATCH(F$2,Kraftvärmeprod!$B$1:$VX$1,0),FALSE)/1,0)-IFERROR(VLOOKUP($B58,'Slutlig allokering kvv'!$B$2:$BX$550,MATCH(F$2,'Slutlig allokering kvv'!$B$1:$BX$1,0),FALSE)/1,0))</f>
        <v/>
      </c>
      <c r="G58" s="31" t="str">
        <f>IF($D58="","",IFERROR(VLOOKUP($B58,Kraftvärmeprod!$B$1:$BX$550,MATCH(G$2,Kraftvärmeprod!$B$1:$VX$1,0),FALSE)/1,0)-IFERROR(VLOOKUP($B58,'Slutlig allokering kvv'!$B$2:$BX$550,MATCH(G$2,'Slutlig allokering kvv'!$B$1:$BX$1,0),FALSE)/1,0))</f>
        <v/>
      </c>
      <c r="H58" s="31" t="str">
        <f>IF($D58="","",IFERROR(VLOOKUP($B58,Kraftvärmeprod!$B$1:$BX$550,MATCH(H$2,Kraftvärmeprod!$B$1:$VX$1,0),FALSE)/1,0)-IFERROR(VLOOKUP($B58,'Slutlig allokering kvv'!$B$2:$BX$550,MATCH(H$2,'Slutlig allokering kvv'!$B$1:$BX$1,0),FALSE)/1,0))</f>
        <v/>
      </c>
      <c r="I58" s="31" t="str">
        <f>IF($D58="","",IFERROR(VLOOKUP($B58,Kraftvärmeprod!$B$1:$BX$550,MATCH(I$2,Kraftvärmeprod!$B$1:$VX$1,0),FALSE)/1,0)-IFERROR(VLOOKUP($B58,'Slutlig allokering kvv'!$B$2:$BX$550,MATCH(I$2,'Slutlig allokering kvv'!$B$1:$BX$1,0),FALSE)/1,0))</f>
        <v/>
      </c>
      <c r="J58" s="31" t="str">
        <f>IF($D58="","",IFERROR(VLOOKUP($B58,Kraftvärmeprod!$B$1:$BX$550,MATCH(J$2,Kraftvärmeprod!$B$1:$VX$1,0),FALSE)/1,0)-IFERROR(VLOOKUP($B58,'Slutlig allokering kvv'!$B$2:$BX$550,MATCH(J$2,'Slutlig allokering kvv'!$B$1:$BX$1,0),FALSE)/1,0))</f>
        <v/>
      </c>
      <c r="K58" s="31" t="str">
        <f>IF($D58="","",IFERROR(VLOOKUP($B58,Kraftvärmeprod!$B$1:$BX$550,MATCH(K$2,Kraftvärmeprod!$B$1:$VX$1,0),FALSE)/1,0)-IFERROR(VLOOKUP($B58,'Slutlig allokering kvv'!$B$2:$BX$550,MATCH(K$2,'Slutlig allokering kvv'!$B$1:$BX$1,0),FALSE)/1,0))</f>
        <v/>
      </c>
      <c r="L58" s="31" t="str">
        <f>IF($D58="","",IFERROR(VLOOKUP($B58,Kraftvärmeprod!$B$1:$BX$550,MATCH(L$2,Kraftvärmeprod!$B$1:$VX$1,0),FALSE)/1,0)-IFERROR(VLOOKUP($B58,'Slutlig allokering kvv'!$B$2:$BX$550,MATCH(L$2,'Slutlig allokering kvv'!$B$1:$BX$1,0),FALSE)/1,0))</f>
        <v/>
      </c>
      <c r="M58" s="31" t="str">
        <f>IF($D58="","",IFERROR(VLOOKUP($B58,Kraftvärmeprod!$B$1:$BX$550,MATCH(M$2,Kraftvärmeprod!$B$1:$VX$1,0),FALSE)/1,0)-IFERROR(VLOOKUP($B58,'Slutlig allokering kvv'!$B$2:$BX$550,MATCH(M$2,'Slutlig allokering kvv'!$B$1:$BX$1,0),FALSE)/1,0))</f>
        <v/>
      </c>
      <c r="N58" s="31" t="str">
        <f>IF($D58="","",IFERROR(VLOOKUP($B58,Kraftvärmeprod!$B$1:$BX$550,MATCH(N$2,Kraftvärmeprod!$B$1:$VX$1,0),FALSE)/1,0)-IFERROR(VLOOKUP($B58,'Slutlig allokering kvv'!$B$2:$BX$550,MATCH(N$2,'Slutlig allokering kvv'!$B$1:$BX$1,0),FALSE)/1,0))</f>
        <v/>
      </c>
      <c r="O58" s="31" t="str">
        <f>IF($D58="","",IFERROR(VLOOKUP($B58,Kraftvärmeprod!$B$1:$BX$550,MATCH(O$2,Kraftvärmeprod!$B$1:$VX$1,0),FALSE)/1,0)-IFERROR(VLOOKUP($B58,'Slutlig allokering kvv'!$B$2:$BX$550,MATCH(O$2,'Slutlig allokering kvv'!$B$1:$BX$1,0),FALSE)/1,0))</f>
        <v/>
      </c>
      <c r="P58" s="31" t="str">
        <f>IF($D58="","",IFERROR(VLOOKUP($B58,Kraftvärmeprod!$B$1:$BX$550,MATCH(P$2,Kraftvärmeprod!$B$1:$VX$1,0),FALSE)/1,0)-IFERROR(VLOOKUP($B58,'Slutlig allokering kvv'!$B$2:$BX$550,MATCH(P$2,'Slutlig allokering kvv'!$B$1:$BX$1,0),FALSE)/1,0))</f>
        <v/>
      </c>
      <c r="Q58" s="31" t="str">
        <f>IF($D58="","",IFERROR(VLOOKUP($B58,Kraftvärmeprod!$B$1:$BX$550,MATCH(Q$2,Kraftvärmeprod!$B$1:$VX$1,0),FALSE)/1,0)-IFERROR(VLOOKUP($B58,'Slutlig allokering kvv'!$B$2:$BX$550,MATCH(Q$2,'Slutlig allokering kvv'!$B$1:$BX$1,0),FALSE)/1,0))</f>
        <v/>
      </c>
      <c r="R58" s="31" t="str">
        <f>IF($D58="","",IFERROR(VLOOKUP($B58,Kraftvärmeprod!$B$1:$BX$550,MATCH(R$2,Kraftvärmeprod!$B$1:$VX$1,0),FALSE)/1,0)-IFERROR(VLOOKUP($B58,'Slutlig allokering kvv'!$B$2:$BX$550,MATCH(R$2,'Slutlig allokering kvv'!$B$1:$BX$1,0),FALSE)/1,0))</f>
        <v/>
      </c>
      <c r="S58" s="31" t="str">
        <f>IF($D58="","",IFERROR(VLOOKUP($B58,Kraftvärmeprod!$B$1:$BX$550,MATCH(S$2,Kraftvärmeprod!$B$1:$VX$1,0),FALSE)/1,0)-IFERROR(VLOOKUP($B58,'Slutlig allokering kvv'!$B$2:$BX$550,MATCH(S$2,'Slutlig allokering kvv'!$B$1:$BX$1,0),FALSE)/1,0))</f>
        <v/>
      </c>
      <c r="T58" s="31" t="str">
        <f>IF($D58="","",IFERROR(VLOOKUP($B58,Kraftvärmeprod!$B$1:$BX$550,MATCH(T$2,Kraftvärmeprod!$B$1:$VX$1,0),FALSE)/1,0)-IFERROR(VLOOKUP($B58,'Slutlig allokering kvv'!$B$2:$BX$550,MATCH(T$2,'Slutlig allokering kvv'!$B$1:$BX$1,0),FALSE)/1,0))</f>
        <v/>
      </c>
      <c r="U58" s="31" t="str">
        <f>IF($D58="","",IFERROR(VLOOKUP($B58,Kraftvärmeprod!$B$1:$BX$550,MATCH(U$2,Kraftvärmeprod!$B$1:$VX$1,0),FALSE)/1,0)-IFERROR(VLOOKUP($B58,'Slutlig allokering kvv'!$B$2:$BX$550,MATCH(U$2,'Slutlig allokering kvv'!$B$1:$BX$1,0),FALSE)/1,0))</f>
        <v/>
      </c>
      <c r="V58" s="31" t="str">
        <f>IF($D58="","",IFERROR(VLOOKUP($B58,Kraftvärmeprod!$B$1:$BX$550,MATCH(V$2,Kraftvärmeprod!$B$1:$VX$1,0),FALSE)/1,0)-IFERROR(VLOOKUP($B58,'Slutlig allokering kvv'!$B$2:$BX$550,MATCH(V$2,'Slutlig allokering kvv'!$B$1:$BX$1,0),FALSE)/1,0))</f>
        <v/>
      </c>
      <c r="W58" s="31" t="str">
        <f>IF($D58="","",IFERROR(VLOOKUP($B58,Kraftvärmeprod!$B$1:$BX$550,MATCH(W$2,Kraftvärmeprod!$B$1:$VX$1,0),FALSE)/1,0)-IFERROR(VLOOKUP($B58,'Slutlig allokering kvv'!$B$2:$BX$550,MATCH(W$2,'Slutlig allokering kvv'!$B$1:$BX$1,0),FALSE)/1,0))</f>
        <v/>
      </c>
      <c r="X58" s="31" t="str">
        <f>IF($D58="","",IFERROR(VLOOKUP($B58,Kraftvärmeprod!$B$1:$BX$550,MATCH(X$2,Kraftvärmeprod!$B$1:$VX$1,0),FALSE)/1,0)-IFERROR(VLOOKUP($B58,'Slutlig allokering kvv'!$B$2:$BX$550,MATCH(X$2,'Slutlig allokering kvv'!$B$1:$BX$1,0),FALSE)/1,0))</f>
        <v/>
      </c>
      <c r="Y58" s="31" t="str">
        <f>IF($D58="","",IFERROR(VLOOKUP($B58,Kraftvärmeprod!$B$1:$BX$550,MATCH(Y$2,Kraftvärmeprod!$B$1:$VX$1,0),FALSE)/1,0)-IFERROR(VLOOKUP($B58,'Slutlig allokering kvv'!$B$2:$BX$550,MATCH(Y$2,'Slutlig allokering kvv'!$B$1:$BX$1,0),FALSE)/1,0))</f>
        <v/>
      </c>
      <c r="Z58" s="31" t="str">
        <f>IF($D58="","",IFERROR(VLOOKUP($B58,Kraftvärmeprod!$B$1:$BX$550,MATCH(Z$2,Kraftvärmeprod!$B$1:$VX$1,0),FALSE)/1,0)-IFERROR(VLOOKUP($B58,'Slutlig allokering kvv'!$B$2:$BX$550,MATCH(Z$2,'Slutlig allokering kvv'!$B$1:$BX$1,0),FALSE)/1,0))</f>
        <v/>
      </c>
      <c r="AA58" s="31" t="str">
        <f>IF($D58="","",IFERROR(VLOOKUP($B58,Kraftvärmeprod!$B$1:$BX$550,MATCH(AA$2,Kraftvärmeprod!$B$1:$VX$1,0),FALSE)/1,0)-IFERROR(VLOOKUP($B58,'Slutlig allokering kvv'!$B$2:$BX$550,MATCH(AA$2,'Slutlig allokering kvv'!$B$1:$BX$1,0),FALSE)/1,0))</f>
        <v/>
      </c>
      <c r="AB58" s="31" t="str">
        <f>IF($D58="","",IFERROR(VLOOKUP($B58,Kraftvärmeprod!$B$1:$BX$550,MATCH(AB$2,Kraftvärmeprod!$B$1:$VX$1,0),FALSE)/1,0)-IFERROR(VLOOKUP($B58,'Slutlig allokering kvv'!$B$2:$BX$550,MATCH(AB$2,'Slutlig allokering kvv'!$B$1:$BX$1,0),FALSE)/1,0))</f>
        <v/>
      </c>
      <c r="AC58" s="31" t="str">
        <f>IF($D58="","",IFERROR(VLOOKUP($B58,Kraftvärmeprod!$B$1:$BX$550,MATCH(AC$2,Kraftvärmeprod!$B$1:$VX$1,0),FALSE)/1,0)-IFERROR(VLOOKUP($B58,'Slutlig allokering kvv'!$B$2:$BX$550,MATCH(AC$2,'Slutlig allokering kvv'!$B$1:$BX$1,0),FALSE)/1,0))</f>
        <v/>
      </c>
      <c r="AD58" s="31" t="str">
        <f>IF($D58="","",IFERROR(VLOOKUP($B58,Kraftvärmeprod!$B$1:$BX$550,MATCH(AD$2,Kraftvärmeprod!$B$1:$VX$1,0),FALSE)/1,0)-IFERROR(VLOOKUP($B58,'Slutlig allokering kvv'!$B$2:$BX$550,MATCH(AD$2,'Slutlig allokering kvv'!$B$1:$BX$1,0),FALSE)/1,0))</f>
        <v/>
      </c>
      <c r="AE58" s="31" t="str">
        <f>IF($D58="","",IFERROR(VLOOKUP($B58,Miljö!$B$1:$E$550,MATCH("Hjälpel kraftvärme (GWh)",Miljö!$B$1:$E$1,0),FALSE)/1,0)-IFERROR(VLOOKUP($B58,'Slutlig allokering kvv'!$B$2:$BX$549,MATCH(AE$2,'Slutlig allokering kvv'!$B$1:$BX$1,0),FALSE)/1,0))</f>
        <v/>
      </c>
      <c r="AI58" s="39">
        <f t="shared" si="0"/>
        <v>0</v>
      </c>
      <c r="AK58" s="31">
        <f>IFERROR(VLOOKUP($B58,'Slutlig allokering kvv'!$B$2:$AX$549,MATCH("Summa slutlig allokerad tillförd energi (utan hjälpel och rökgaskondensering):",'Slutlig allokering kvv'!$B$1:$AX$1,0),FALSE)/1,"")</f>
        <v>0</v>
      </c>
      <c r="AM58" s="31" t="str">
        <f>IFERROR(1-VLOOKUP($B58,'Slutlig allokering kvv'!$B$2:$AX$549,MATCH("Andel av bränsle i kvv som allokerats till värme, exklusive rökgaskondensering och hjälpel",'Slutlig allokering kvv'!$B$1:$AX$1,0),FALSE),"")</f>
        <v/>
      </c>
      <c r="AO58" s="31" t="str">
        <f t="shared" si="1"/>
        <v/>
      </c>
      <c r="AP58" s="31" t="str">
        <f t="shared" si="2"/>
        <v/>
      </c>
      <c r="AR58" s="32" t="str">
        <f t="shared" si="3"/>
        <v/>
      </c>
    </row>
    <row r="59" spans="1:44" s="31" customFormat="1" x14ac:dyDescent="0.45">
      <c r="A59" s="31" t="s">
        <v>610</v>
      </c>
      <c r="B59" s="31" t="s">
        <v>614</v>
      </c>
      <c r="C59" s="31">
        <f>IFERROR(VLOOKUP($B59,Kraftvärmeprod!$B$1:$AH$479,MATCH(C$2,Kraftvärmeprod!$B$1:$AG$1,0),FALSE)/1,"")</f>
        <v>1693</v>
      </c>
      <c r="D59" s="31">
        <f>IFERROR(VLOOKUP($B59,Kraftvärmeprod!$B$1:$AH$479,MATCH(D$2,Kraftvärmeprod!$B$1:$AG$1,0),FALSE)/1,"")</f>
        <v>359</v>
      </c>
      <c r="F59" s="31">
        <f>IF($D59="","",IFERROR(VLOOKUP($B59,Kraftvärmeprod!$B$1:$BX$550,MATCH(F$2,Kraftvärmeprod!$B$1:$VX$1,0),FALSE)/1,0)-IFERROR(VLOOKUP($B59,'Slutlig allokering kvv'!$B$2:$BX$550,MATCH(F$2,'Slutlig allokering kvv'!$B$1:$BX$1,0),FALSE)/1,0))</f>
        <v>0</v>
      </c>
      <c r="G59" s="31">
        <f>IF($D59="","",IFERROR(VLOOKUP($B59,Kraftvärmeprod!$B$1:$BX$550,MATCH(G$2,Kraftvärmeprod!$B$1:$VX$1,0),FALSE)/1,0)-IFERROR(VLOOKUP($B59,'Slutlig allokering kvv'!$B$2:$BX$550,MATCH(G$2,'Slutlig allokering kvv'!$B$1:$BX$1,0),FALSE)/1,0))</f>
        <v>2.0111400000000001E-2</v>
      </c>
      <c r="H59" s="31">
        <f>IF($D59="","",IFERROR(VLOOKUP($B59,Kraftvärmeprod!$B$1:$BX$550,MATCH(H$2,Kraftvärmeprod!$B$1:$VX$1,0),FALSE)/1,0)-IFERROR(VLOOKUP($B59,'Slutlig allokering kvv'!$B$2:$BX$550,MATCH(H$2,'Slutlig allokering kvv'!$B$1:$BX$1,0),FALSE)/1,0))</f>
        <v>0</v>
      </c>
      <c r="I59" s="31">
        <f>IF($D59="","",IFERROR(VLOOKUP($B59,Kraftvärmeprod!$B$1:$BX$550,MATCH(I$2,Kraftvärmeprod!$B$1:$VX$1,0),FALSE)/1,0)-IFERROR(VLOOKUP($B59,'Slutlig allokering kvv'!$B$2:$BX$550,MATCH(I$2,'Slutlig allokering kvv'!$B$1:$BX$1,0),FALSE)/1,0))</f>
        <v>0.10686099999999998</v>
      </c>
      <c r="J59" s="31">
        <f>IF($D59="","",IFERROR(VLOOKUP($B59,Kraftvärmeprod!$B$1:$BX$550,MATCH(J$2,Kraftvärmeprod!$B$1:$VX$1,0),FALSE)/1,0)-IFERROR(VLOOKUP($B59,'Slutlig allokering kvv'!$B$2:$BX$550,MATCH(J$2,'Slutlig allokering kvv'!$B$1:$BX$1,0),FALSE)/1,0))</f>
        <v>77.572000000000003</v>
      </c>
      <c r="K59" s="31">
        <f>IF($D59="","",IFERROR(VLOOKUP($B59,Kraftvärmeprod!$B$1:$BX$550,MATCH(K$2,Kraftvärmeprod!$B$1:$VX$1,0),FALSE)/1,0)-IFERROR(VLOOKUP($B59,'Slutlig allokering kvv'!$B$2:$BX$550,MATCH(K$2,'Slutlig allokering kvv'!$B$1:$BX$1,0),FALSE)/1,0))</f>
        <v>0</v>
      </c>
      <c r="L59" s="31">
        <f>IF($D59="","",IFERROR(VLOOKUP($B59,Kraftvärmeprod!$B$1:$BX$550,MATCH(L$2,Kraftvärmeprod!$B$1:$VX$1,0),FALSE)/1,0)-IFERROR(VLOOKUP($B59,'Slutlig allokering kvv'!$B$2:$BX$550,MATCH(L$2,'Slutlig allokering kvv'!$B$1:$BX$1,0),FALSE)/1,0))</f>
        <v>0</v>
      </c>
      <c r="M59" s="31">
        <f>IF($D59="","",IFERROR(VLOOKUP($B59,Kraftvärmeprod!$B$1:$BX$550,MATCH(M$2,Kraftvärmeprod!$B$1:$VX$1,0),FALSE)/1,0)-IFERROR(VLOOKUP($B59,'Slutlig allokering kvv'!$B$2:$BX$550,MATCH(M$2,'Slutlig allokering kvv'!$B$1:$BX$1,0),FALSE)/1,0))</f>
        <v>0</v>
      </c>
      <c r="N59" s="31">
        <f>IF($D59="","",IFERROR(VLOOKUP($B59,Kraftvärmeprod!$B$1:$BX$550,MATCH(N$2,Kraftvärmeprod!$B$1:$VX$1,0),FALSE)/1,0)-IFERROR(VLOOKUP($B59,'Slutlig allokering kvv'!$B$2:$BX$550,MATCH(N$2,'Slutlig allokering kvv'!$B$1:$BX$1,0),FALSE)/1,0))</f>
        <v>0</v>
      </c>
      <c r="O59" s="31">
        <f>IF($D59="","",IFERROR(VLOOKUP($B59,Kraftvärmeprod!$B$1:$BX$550,MATCH(O$2,Kraftvärmeprod!$B$1:$VX$1,0),FALSE)/1,0)-IFERROR(VLOOKUP($B59,'Slutlig allokering kvv'!$B$2:$BX$550,MATCH(O$2,'Slutlig allokering kvv'!$B$1:$BX$1,0),FALSE)/1,0))</f>
        <v>0</v>
      </c>
      <c r="P59" s="31">
        <f>IF($D59="","",IFERROR(VLOOKUP($B59,Kraftvärmeprod!$B$1:$BX$550,MATCH(P$2,Kraftvärmeprod!$B$1:$VX$1,0),FALSE)/1,0)-IFERROR(VLOOKUP($B59,'Slutlig allokering kvv'!$B$2:$BX$550,MATCH(P$2,'Slutlig allokering kvv'!$B$1:$BX$1,0),FALSE)/1,0))</f>
        <v>0</v>
      </c>
      <c r="Q59" s="31">
        <f>IF($D59="","",IFERROR(VLOOKUP($B59,Kraftvärmeprod!$B$1:$BX$550,MATCH(Q$2,Kraftvärmeprod!$B$1:$VX$1,0),FALSE)/1,0)-IFERROR(VLOOKUP($B59,'Slutlig allokering kvv'!$B$2:$BX$550,MATCH(Q$2,'Slutlig allokering kvv'!$B$1:$BX$1,0),FALSE)/1,0))</f>
        <v>0</v>
      </c>
      <c r="R59" s="31">
        <f>IF($D59="","",IFERROR(VLOOKUP($B59,Kraftvärmeprod!$B$1:$BX$550,MATCH(R$2,Kraftvärmeprod!$B$1:$VX$1,0),FALSE)/1,0)-IFERROR(VLOOKUP($B59,'Slutlig allokering kvv'!$B$2:$BX$550,MATCH(R$2,'Slutlig allokering kvv'!$B$1:$BX$1,0),FALSE)/1,0))</f>
        <v>0</v>
      </c>
      <c r="S59" s="31">
        <f>IF($D59="","",IFERROR(VLOOKUP($B59,Kraftvärmeprod!$B$1:$BX$550,MATCH(S$2,Kraftvärmeprod!$B$1:$VX$1,0),FALSE)/1,0)-IFERROR(VLOOKUP($B59,'Slutlig allokering kvv'!$B$2:$BX$550,MATCH(S$2,'Slutlig allokering kvv'!$B$1:$BX$1,0),FALSE)/1,0))</f>
        <v>0</v>
      </c>
      <c r="T59" s="31">
        <f>IF($D59="","",IFERROR(VLOOKUP($B59,Kraftvärmeprod!$B$1:$BX$550,MATCH(T$2,Kraftvärmeprod!$B$1:$VX$1,0),FALSE)/1,0)-IFERROR(VLOOKUP($B59,'Slutlig allokering kvv'!$B$2:$BX$550,MATCH(T$2,'Slutlig allokering kvv'!$B$1:$BX$1,0),FALSE)/1,0))</f>
        <v>0</v>
      </c>
      <c r="U59" s="31">
        <f>IF($D59="","",IFERROR(VLOOKUP($B59,Kraftvärmeprod!$B$1:$BX$550,MATCH(U$2,Kraftvärmeprod!$B$1:$VX$1,0),FALSE)/1,0)-IFERROR(VLOOKUP($B59,'Slutlig allokering kvv'!$B$2:$BX$550,MATCH(U$2,'Slutlig allokering kvv'!$B$1:$BX$1,0),FALSE)/1,0))</f>
        <v>0</v>
      </c>
      <c r="V59" s="31">
        <f>IF($D59="","",IFERROR(VLOOKUP($B59,Kraftvärmeprod!$B$1:$BX$550,MATCH(V$2,Kraftvärmeprod!$B$1:$VX$1,0),FALSE)/1,0)-IFERROR(VLOOKUP($B59,'Slutlig allokering kvv'!$B$2:$BX$550,MATCH(V$2,'Slutlig allokering kvv'!$B$1:$BX$1,0),FALSE)/1,0))</f>
        <v>0</v>
      </c>
      <c r="W59" s="31">
        <f>IF($D59="","",IFERROR(VLOOKUP($B59,Kraftvärmeprod!$B$1:$BX$550,MATCH(W$2,Kraftvärmeprod!$B$1:$VX$1,0),FALSE)/1,0)-IFERROR(VLOOKUP($B59,'Slutlig allokering kvv'!$B$2:$BX$550,MATCH(W$2,'Slutlig allokering kvv'!$B$1:$BX$1,0),FALSE)/1,0))</f>
        <v>0</v>
      </c>
      <c r="X59" s="31">
        <f>IF($D59="","",IFERROR(VLOOKUP($B59,Kraftvärmeprod!$B$1:$BX$550,MATCH(X$2,Kraftvärmeprod!$B$1:$VX$1,0),FALSE)/1,0)-IFERROR(VLOOKUP($B59,'Slutlig allokering kvv'!$B$2:$BX$550,MATCH(X$2,'Slutlig allokering kvv'!$B$1:$BX$1,0),FALSE)/1,0))</f>
        <v>0</v>
      </c>
      <c r="Y59" s="31">
        <f>IF($D59="","",IFERROR(VLOOKUP($B59,Kraftvärmeprod!$B$1:$BX$550,MATCH(Y$2,Kraftvärmeprod!$B$1:$VX$1,0),FALSE)/1,0)-IFERROR(VLOOKUP($B59,'Slutlig allokering kvv'!$B$2:$BX$550,MATCH(Y$2,'Slutlig allokering kvv'!$B$1:$BX$1,0),FALSE)/1,0))</f>
        <v>0</v>
      </c>
      <c r="Z59" s="31">
        <f>IF($D59="","",IFERROR(VLOOKUP($B59,Kraftvärmeprod!$B$1:$BX$550,MATCH(Z$2,Kraftvärmeprod!$B$1:$VX$1,0),FALSE)/1,0)-IFERROR(VLOOKUP($B59,'Slutlig allokering kvv'!$B$2:$BX$550,MATCH(Z$2,'Slutlig allokering kvv'!$B$1:$BX$1,0),FALSE)/1,0))</f>
        <v>0</v>
      </c>
      <c r="AA59" s="31">
        <f>IF($D59="","",IFERROR(VLOOKUP($B59,Kraftvärmeprod!$B$1:$BX$550,MATCH(AA$2,Kraftvärmeprod!$B$1:$VX$1,0),FALSE)/1,0)-IFERROR(VLOOKUP($B59,'Slutlig allokering kvv'!$B$2:$BX$550,MATCH(AA$2,'Slutlig allokering kvv'!$B$1:$BX$1,0),FALSE)/1,0))</f>
        <v>632.65300000000002</v>
      </c>
      <c r="AB59" s="31">
        <f>IF($D59="","",IFERROR(VLOOKUP($B59,Kraftvärmeprod!$B$1:$BX$550,MATCH(AB$2,Kraftvärmeprod!$B$1:$VX$1,0),FALSE)/1,0)-IFERROR(VLOOKUP($B59,'Slutlig allokering kvv'!$B$2:$BX$550,MATCH(AB$2,'Slutlig allokering kvv'!$B$1:$BX$1,0),FALSE)/1,0))</f>
        <v>16.1922</v>
      </c>
      <c r="AC59" s="31">
        <f>IF($D59="","",IFERROR(VLOOKUP($B59,Kraftvärmeprod!$B$1:$BX$550,MATCH(AC$2,Kraftvärmeprod!$B$1:$VX$1,0),FALSE)/1,0)-IFERROR(VLOOKUP($B59,'Slutlig allokering kvv'!$B$2:$BX$550,MATCH(AC$2,'Slutlig allokering kvv'!$B$1:$BX$1,0),FALSE)/1,0))</f>
        <v>0</v>
      </c>
      <c r="AD59" s="31">
        <f>IF($D59="","",IFERROR(VLOOKUP($B59,Kraftvärmeprod!$B$1:$BX$550,MATCH(AD$2,Kraftvärmeprod!$B$1:$VX$1,0),FALSE)/1,0)-IFERROR(VLOOKUP($B59,'Slutlig allokering kvv'!$B$2:$BX$550,MATCH(AD$2,'Slutlig allokering kvv'!$B$1:$BX$1,0),FALSE)/1,0))</f>
        <v>0</v>
      </c>
      <c r="AE59" s="31">
        <f>IF($D59="","",IFERROR(VLOOKUP($B59,Miljö!$B$1:$E$550,MATCH("Hjälpel kraftvärme (GWh)",Miljö!$B$1:$E$1,0),FALSE)/1,0)-IFERROR(VLOOKUP($B59,'Slutlig allokering kvv'!$B$2:$BX$549,MATCH(AE$2,'Slutlig allokering kvv'!$B$1:$BX$1,0),FALSE)/1,0))</f>
        <v>5.2928899999999999</v>
      </c>
      <c r="AI59" s="39">
        <f t="shared" si="0"/>
        <v>726.54417239999998</v>
      </c>
      <c r="AK59" s="31">
        <f>IFERROR(VLOOKUP($B59,'Slutlig allokering kvv'!$B$2:$AX$549,MATCH("Summa slutlig allokerad tillförd energi (utan hjälpel och rökgaskondensering):",'Slutlig allokering kvv'!$B$1:$AX$1,0),FALSE)/1,"")</f>
        <v>1181.4788275999999</v>
      </c>
      <c r="AM59" s="31">
        <f>IFERROR(1-VLOOKUP($B59,'Slutlig allokering kvv'!$B$2:$AX$549,MATCH("Andel av bränsle i kvv som allokerats till värme, exklusive rökgaskondensering och hjälpel",'Slutlig allokering kvv'!$B$1:$AX$1,0),FALSE),"")</f>
        <v>0.38078376015383464</v>
      </c>
      <c r="AO59" s="31">
        <f t="shared" si="1"/>
        <v>0.38078376015383464</v>
      </c>
      <c r="AP59" s="31">
        <f t="shared" si="2"/>
        <v>0</v>
      </c>
      <c r="AR59" s="32">
        <f t="shared" si="3"/>
        <v>0.49054635033471633</v>
      </c>
    </row>
    <row r="60" spans="1:44" s="31" customFormat="1" x14ac:dyDescent="0.45">
      <c r="A60" s="31" t="s">
        <v>610</v>
      </c>
      <c r="B60" s="31" t="s">
        <v>611</v>
      </c>
      <c r="C60" s="31" t="str">
        <f>IFERROR(VLOOKUP($B60,Kraftvärmeprod!$B$1:$AH$479,MATCH(C$2,Kraftvärmeprod!$B$1:$AG$1,0),FALSE)/1,"")</f>
        <v/>
      </c>
      <c r="D60" s="31" t="str">
        <f>IFERROR(VLOOKUP($B60,Kraftvärmeprod!$B$1:$AH$479,MATCH(D$2,Kraftvärmeprod!$B$1:$AG$1,0),FALSE)/1,"")</f>
        <v/>
      </c>
      <c r="F60" s="31" t="str">
        <f>IF($D60="","",IFERROR(VLOOKUP($B60,Kraftvärmeprod!$B$1:$BX$550,MATCH(F$2,Kraftvärmeprod!$B$1:$VX$1,0),FALSE)/1,0)-IFERROR(VLOOKUP($B60,'Slutlig allokering kvv'!$B$2:$BX$550,MATCH(F$2,'Slutlig allokering kvv'!$B$1:$BX$1,0),FALSE)/1,0))</f>
        <v/>
      </c>
      <c r="G60" s="31" t="str">
        <f>IF($D60="","",IFERROR(VLOOKUP($B60,Kraftvärmeprod!$B$1:$BX$550,MATCH(G$2,Kraftvärmeprod!$B$1:$VX$1,0),FALSE)/1,0)-IFERROR(VLOOKUP($B60,'Slutlig allokering kvv'!$B$2:$BX$550,MATCH(G$2,'Slutlig allokering kvv'!$B$1:$BX$1,0),FALSE)/1,0))</f>
        <v/>
      </c>
      <c r="H60" s="31" t="str">
        <f>IF($D60="","",IFERROR(VLOOKUP($B60,Kraftvärmeprod!$B$1:$BX$550,MATCH(H$2,Kraftvärmeprod!$B$1:$VX$1,0),FALSE)/1,0)-IFERROR(VLOOKUP($B60,'Slutlig allokering kvv'!$B$2:$BX$550,MATCH(H$2,'Slutlig allokering kvv'!$B$1:$BX$1,0),FALSE)/1,0))</f>
        <v/>
      </c>
      <c r="I60" s="31" t="str">
        <f>IF($D60="","",IFERROR(VLOOKUP($B60,Kraftvärmeprod!$B$1:$BX$550,MATCH(I$2,Kraftvärmeprod!$B$1:$VX$1,0),FALSE)/1,0)-IFERROR(VLOOKUP($B60,'Slutlig allokering kvv'!$B$2:$BX$550,MATCH(I$2,'Slutlig allokering kvv'!$B$1:$BX$1,0),FALSE)/1,0))</f>
        <v/>
      </c>
      <c r="J60" s="31" t="str">
        <f>IF($D60="","",IFERROR(VLOOKUP($B60,Kraftvärmeprod!$B$1:$BX$550,MATCH(J$2,Kraftvärmeprod!$B$1:$VX$1,0),FALSE)/1,0)-IFERROR(VLOOKUP($B60,'Slutlig allokering kvv'!$B$2:$BX$550,MATCH(J$2,'Slutlig allokering kvv'!$B$1:$BX$1,0),FALSE)/1,0))</f>
        <v/>
      </c>
      <c r="K60" s="31" t="str">
        <f>IF($D60="","",IFERROR(VLOOKUP($B60,Kraftvärmeprod!$B$1:$BX$550,MATCH(K$2,Kraftvärmeprod!$B$1:$VX$1,0),FALSE)/1,0)-IFERROR(VLOOKUP($B60,'Slutlig allokering kvv'!$B$2:$BX$550,MATCH(K$2,'Slutlig allokering kvv'!$B$1:$BX$1,0),FALSE)/1,0))</f>
        <v/>
      </c>
      <c r="L60" s="31" t="str">
        <f>IF($D60="","",IFERROR(VLOOKUP($B60,Kraftvärmeprod!$B$1:$BX$550,MATCH(L$2,Kraftvärmeprod!$B$1:$VX$1,0),FALSE)/1,0)-IFERROR(VLOOKUP($B60,'Slutlig allokering kvv'!$B$2:$BX$550,MATCH(L$2,'Slutlig allokering kvv'!$B$1:$BX$1,0),FALSE)/1,0))</f>
        <v/>
      </c>
      <c r="M60" s="31" t="str">
        <f>IF($D60="","",IFERROR(VLOOKUP($B60,Kraftvärmeprod!$B$1:$BX$550,MATCH(M$2,Kraftvärmeprod!$B$1:$VX$1,0),FALSE)/1,0)-IFERROR(VLOOKUP($B60,'Slutlig allokering kvv'!$B$2:$BX$550,MATCH(M$2,'Slutlig allokering kvv'!$B$1:$BX$1,0),FALSE)/1,0))</f>
        <v/>
      </c>
      <c r="N60" s="31" t="str">
        <f>IF($D60="","",IFERROR(VLOOKUP($B60,Kraftvärmeprod!$B$1:$BX$550,MATCH(N$2,Kraftvärmeprod!$B$1:$VX$1,0),FALSE)/1,0)-IFERROR(VLOOKUP($B60,'Slutlig allokering kvv'!$B$2:$BX$550,MATCH(N$2,'Slutlig allokering kvv'!$B$1:$BX$1,0),FALSE)/1,0))</f>
        <v/>
      </c>
      <c r="O60" s="31" t="str">
        <f>IF($D60="","",IFERROR(VLOOKUP($B60,Kraftvärmeprod!$B$1:$BX$550,MATCH(O$2,Kraftvärmeprod!$B$1:$VX$1,0),FALSE)/1,0)-IFERROR(VLOOKUP($B60,'Slutlig allokering kvv'!$B$2:$BX$550,MATCH(O$2,'Slutlig allokering kvv'!$B$1:$BX$1,0),FALSE)/1,0))</f>
        <v/>
      </c>
      <c r="P60" s="31" t="str">
        <f>IF($D60="","",IFERROR(VLOOKUP($B60,Kraftvärmeprod!$B$1:$BX$550,MATCH(P$2,Kraftvärmeprod!$B$1:$VX$1,0),FALSE)/1,0)-IFERROR(VLOOKUP($B60,'Slutlig allokering kvv'!$B$2:$BX$550,MATCH(P$2,'Slutlig allokering kvv'!$B$1:$BX$1,0),FALSE)/1,0))</f>
        <v/>
      </c>
      <c r="Q60" s="31" t="str">
        <f>IF($D60="","",IFERROR(VLOOKUP($B60,Kraftvärmeprod!$B$1:$BX$550,MATCH(Q$2,Kraftvärmeprod!$B$1:$VX$1,0),FALSE)/1,0)-IFERROR(VLOOKUP($B60,'Slutlig allokering kvv'!$B$2:$BX$550,MATCH(Q$2,'Slutlig allokering kvv'!$B$1:$BX$1,0),FALSE)/1,0))</f>
        <v/>
      </c>
      <c r="R60" s="31" t="str">
        <f>IF($D60="","",IFERROR(VLOOKUP($B60,Kraftvärmeprod!$B$1:$BX$550,MATCH(R$2,Kraftvärmeprod!$B$1:$VX$1,0),FALSE)/1,0)-IFERROR(VLOOKUP($B60,'Slutlig allokering kvv'!$B$2:$BX$550,MATCH(R$2,'Slutlig allokering kvv'!$B$1:$BX$1,0),FALSE)/1,0))</f>
        <v/>
      </c>
      <c r="S60" s="31" t="str">
        <f>IF($D60="","",IFERROR(VLOOKUP($B60,Kraftvärmeprod!$B$1:$BX$550,MATCH(S$2,Kraftvärmeprod!$B$1:$VX$1,0),FALSE)/1,0)-IFERROR(VLOOKUP($B60,'Slutlig allokering kvv'!$B$2:$BX$550,MATCH(S$2,'Slutlig allokering kvv'!$B$1:$BX$1,0),FALSE)/1,0))</f>
        <v/>
      </c>
      <c r="T60" s="31" t="str">
        <f>IF($D60="","",IFERROR(VLOOKUP($B60,Kraftvärmeprod!$B$1:$BX$550,MATCH(T$2,Kraftvärmeprod!$B$1:$VX$1,0),FALSE)/1,0)-IFERROR(VLOOKUP($B60,'Slutlig allokering kvv'!$B$2:$BX$550,MATCH(T$2,'Slutlig allokering kvv'!$B$1:$BX$1,0),FALSE)/1,0))</f>
        <v/>
      </c>
      <c r="U60" s="31" t="str">
        <f>IF($D60="","",IFERROR(VLOOKUP($B60,Kraftvärmeprod!$B$1:$BX$550,MATCH(U$2,Kraftvärmeprod!$B$1:$VX$1,0),FALSE)/1,0)-IFERROR(VLOOKUP($B60,'Slutlig allokering kvv'!$B$2:$BX$550,MATCH(U$2,'Slutlig allokering kvv'!$B$1:$BX$1,0),FALSE)/1,0))</f>
        <v/>
      </c>
      <c r="V60" s="31" t="str">
        <f>IF($D60="","",IFERROR(VLOOKUP($B60,Kraftvärmeprod!$B$1:$BX$550,MATCH(V$2,Kraftvärmeprod!$B$1:$VX$1,0),FALSE)/1,0)-IFERROR(VLOOKUP($B60,'Slutlig allokering kvv'!$B$2:$BX$550,MATCH(V$2,'Slutlig allokering kvv'!$B$1:$BX$1,0),FALSE)/1,0))</f>
        <v/>
      </c>
      <c r="W60" s="31" t="str">
        <f>IF($D60="","",IFERROR(VLOOKUP($B60,Kraftvärmeprod!$B$1:$BX$550,MATCH(W$2,Kraftvärmeprod!$B$1:$VX$1,0),FALSE)/1,0)-IFERROR(VLOOKUP($B60,'Slutlig allokering kvv'!$B$2:$BX$550,MATCH(W$2,'Slutlig allokering kvv'!$B$1:$BX$1,0),FALSE)/1,0))</f>
        <v/>
      </c>
      <c r="X60" s="31" t="str">
        <f>IF($D60="","",IFERROR(VLOOKUP($B60,Kraftvärmeprod!$B$1:$BX$550,MATCH(X$2,Kraftvärmeprod!$B$1:$VX$1,0),FALSE)/1,0)-IFERROR(VLOOKUP($B60,'Slutlig allokering kvv'!$B$2:$BX$550,MATCH(X$2,'Slutlig allokering kvv'!$B$1:$BX$1,0),FALSE)/1,0))</f>
        <v/>
      </c>
      <c r="Y60" s="31" t="str">
        <f>IF($D60="","",IFERROR(VLOOKUP($B60,Kraftvärmeprod!$B$1:$BX$550,MATCH(Y$2,Kraftvärmeprod!$B$1:$VX$1,0),FALSE)/1,0)-IFERROR(VLOOKUP($B60,'Slutlig allokering kvv'!$B$2:$BX$550,MATCH(Y$2,'Slutlig allokering kvv'!$B$1:$BX$1,0),FALSE)/1,0))</f>
        <v/>
      </c>
      <c r="Z60" s="31" t="str">
        <f>IF($D60="","",IFERROR(VLOOKUP($B60,Kraftvärmeprod!$B$1:$BX$550,MATCH(Z$2,Kraftvärmeprod!$B$1:$VX$1,0),FALSE)/1,0)-IFERROR(VLOOKUP($B60,'Slutlig allokering kvv'!$B$2:$BX$550,MATCH(Z$2,'Slutlig allokering kvv'!$B$1:$BX$1,0),FALSE)/1,0))</f>
        <v/>
      </c>
      <c r="AA60" s="31" t="str">
        <f>IF($D60="","",IFERROR(VLOOKUP($B60,Kraftvärmeprod!$B$1:$BX$550,MATCH(AA$2,Kraftvärmeprod!$B$1:$VX$1,0),FALSE)/1,0)-IFERROR(VLOOKUP($B60,'Slutlig allokering kvv'!$B$2:$BX$550,MATCH(AA$2,'Slutlig allokering kvv'!$B$1:$BX$1,0),FALSE)/1,0))</f>
        <v/>
      </c>
      <c r="AB60" s="31" t="str">
        <f>IF($D60="","",IFERROR(VLOOKUP($B60,Kraftvärmeprod!$B$1:$BX$550,MATCH(AB$2,Kraftvärmeprod!$B$1:$VX$1,0),FALSE)/1,0)-IFERROR(VLOOKUP($B60,'Slutlig allokering kvv'!$B$2:$BX$550,MATCH(AB$2,'Slutlig allokering kvv'!$B$1:$BX$1,0),FALSE)/1,0))</f>
        <v/>
      </c>
      <c r="AC60" s="31" t="str">
        <f>IF($D60="","",IFERROR(VLOOKUP($B60,Kraftvärmeprod!$B$1:$BX$550,MATCH(AC$2,Kraftvärmeprod!$B$1:$VX$1,0),FALSE)/1,0)-IFERROR(VLOOKUP($B60,'Slutlig allokering kvv'!$B$2:$BX$550,MATCH(AC$2,'Slutlig allokering kvv'!$B$1:$BX$1,0),FALSE)/1,0))</f>
        <v/>
      </c>
      <c r="AD60" s="31" t="str">
        <f>IF($D60="","",IFERROR(VLOOKUP($B60,Kraftvärmeprod!$B$1:$BX$550,MATCH(AD$2,Kraftvärmeprod!$B$1:$VX$1,0),FALSE)/1,0)-IFERROR(VLOOKUP($B60,'Slutlig allokering kvv'!$B$2:$BX$550,MATCH(AD$2,'Slutlig allokering kvv'!$B$1:$BX$1,0),FALSE)/1,0))</f>
        <v/>
      </c>
      <c r="AE60" s="31" t="str">
        <f>IF($D60="","",IFERROR(VLOOKUP($B60,Miljö!$B$1:$E$550,MATCH("Hjälpel kraftvärme (GWh)",Miljö!$B$1:$E$1,0),FALSE)/1,0)-IFERROR(VLOOKUP($B60,'Slutlig allokering kvv'!$B$2:$BX$549,MATCH(AE$2,'Slutlig allokering kvv'!$B$1:$BX$1,0),FALSE)/1,0))</f>
        <v/>
      </c>
      <c r="AI60" s="39">
        <f t="shared" si="0"/>
        <v>0</v>
      </c>
      <c r="AK60" s="31">
        <f>IFERROR(VLOOKUP($B60,'Slutlig allokering kvv'!$B$2:$AX$549,MATCH("Summa slutlig allokerad tillförd energi (utan hjälpel och rökgaskondensering):",'Slutlig allokering kvv'!$B$1:$AX$1,0),FALSE)/1,"")</f>
        <v>0</v>
      </c>
      <c r="AM60" s="31" t="str">
        <f>IFERROR(1-VLOOKUP($B60,'Slutlig allokering kvv'!$B$2:$AX$549,MATCH("Andel av bränsle i kvv som allokerats till värme, exklusive rökgaskondensering och hjälpel",'Slutlig allokering kvv'!$B$1:$AX$1,0),FALSE),"")</f>
        <v/>
      </c>
      <c r="AO60" s="31" t="str">
        <f t="shared" si="1"/>
        <v/>
      </c>
      <c r="AP60" s="31" t="str">
        <f t="shared" si="2"/>
        <v/>
      </c>
      <c r="AR60" s="32" t="str">
        <f t="shared" si="3"/>
        <v/>
      </c>
    </row>
    <row r="61" spans="1:44" s="31" customFormat="1" x14ac:dyDescent="0.45">
      <c r="A61" s="31" t="s">
        <v>610</v>
      </c>
      <c r="B61" s="31" t="s">
        <v>609</v>
      </c>
      <c r="C61" s="31" t="str">
        <f>IFERROR(VLOOKUP($B61,Kraftvärmeprod!$B$1:$AH$479,MATCH(C$2,Kraftvärmeprod!$B$1:$AG$1,0),FALSE)/1,"")</f>
        <v/>
      </c>
      <c r="D61" s="31" t="str">
        <f>IFERROR(VLOOKUP($B61,Kraftvärmeprod!$B$1:$AH$479,MATCH(D$2,Kraftvärmeprod!$B$1:$AG$1,0),FALSE)/1,"")</f>
        <v/>
      </c>
      <c r="F61" s="31" t="str">
        <f>IF($D61="","",IFERROR(VLOOKUP($B61,Kraftvärmeprod!$B$1:$BX$550,MATCH(F$2,Kraftvärmeprod!$B$1:$VX$1,0),FALSE)/1,0)-IFERROR(VLOOKUP($B61,'Slutlig allokering kvv'!$B$2:$BX$550,MATCH(F$2,'Slutlig allokering kvv'!$B$1:$BX$1,0),FALSE)/1,0))</f>
        <v/>
      </c>
      <c r="G61" s="31" t="str">
        <f>IF($D61="","",IFERROR(VLOOKUP($B61,Kraftvärmeprod!$B$1:$BX$550,MATCH(G$2,Kraftvärmeprod!$B$1:$VX$1,0),FALSE)/1,0)-IFERROR(VLOOKUP($B61,'Slutlig allokering kvv'!$B$2:$BX$550,MATCH(G$2,'Slutlig allokering kvv'!$B$1:$BX$1,0),FALSE)/1,0))</f>
        <v/>
      </c>
      <c r="H61" s="31" t="str">
        <f>IF($D61="","",IFERROR(VLOOKUP($B61,Kraftvärmeprod!$B$1:$BX$550,MATCH(H$2,Kraftvärmeprod!$B$1:$VX$1,0),FALSE)/1,0)-IFERROR(VLOOKUP($B61,'Slutlig allokering kvv'!$B$2:$BX$550,MATCH(H$2,'Slutlig allokering kvv'!$B$1:$BX$1,0),FALSE)/1,0))</f>
        <v/>
      </c>
      <c r="I61" s="31" t="str">
        <f>IF($D61="","",IFERROR(VLOOKUP($B61,Kraftvärmeprod!$B$1:$BX$550,MATCH(I$2,Kraftvärmeprod!$B$1:$VX$1,0),FALSE)/1,0)-IFERROR(VLOOKUP($B61,'Slutlig allokering kvv'!$B$2:$BX$550,MATCH(I$2,'Slutlig allokering kvv'!$B$1:$BX$1,0),FALSE)/1,0))</f>
        <v/>
      </c>
      <c r="J61" s="31" t="str">
        <f>IF($D61="","",IFERROR(VLOOKUP($B61,Kraftvärmeprod!$B$1:$BX$550,MATCH(J$2,Kraftvärmeprod!$B$1:$VX$1,0),FALSE)/1,0)-IFERROR(VLOOKUP($B61,'Slutlig allokering kvv'!$B$2:$BX$550,MATCH(J$2,'Slutlig allokering kvv'!$B$1:$BX$1,0),FALSE)/1,0))</f>
        <v/>
      </c>
      <c r="K61" s="31" t="str">
        <f>IF($D61="","",IFERROR(VLOOKUP($B61,Kraftvärmeprod!$B$1:$BX$550,MATCH(K$2,Kraftvärmeprod!$B$1:$VX$1,0),FALSE)/1,0)-IFERROR(VLOOKUP($B61,'Slutlig allokering kvv'!$B$2:$BX$550,MATCH(K$2,'Slutlig allokering kvv'!$B$1:$BX$1,0),FALSE)/1,0))</f>
        <v/>
      </c>
      <c r="L61" s="31" t="str">
        <f>IF($D61="","",IFERROR(VLOOKUP($B61,Kraftvärmeprod!$B$1:$BX$550,MATCH(L$2,Kraftvärmeprod!$B$1:$VX$1,0),FALSE)/1,0)-IFERROR(VLOOKUP($B61,'Slutlig allokering kvv'!$B$2:$BX$550,MATCH(L$2,'Slutlig allokering kvv'!$B$1:$BX$1,0),FALSE)/1,0))</f>
        <v/>
      </c>
      <c r="M61" s="31" t="str">
        <f>IF($D61="","",IFERROR(VLOOKUP($B61,Kraftvärmeprod!$B$1:$BX$550,MATCH(M$2,Kraftvärmeprod!$B$1:$VX$1,0),FALSE)/1,0)-IFERROR(VLOOKUP($B61,'Slutlig allokering kvv'!$B$2:$BX$550,MATCH(M$2,'Slutlig allokering kvv'!$B$1:$BX$1,0),FALSE)/1,0))</f>
        <v/>
      </c>
      <c r="N61" s="31" t="str">
        <f>IF($D61="","",IFERROR(VLOOKUP($B61,Kraftvärmeprod!$B$1:$BX$550,MATCH(N$2,Kraftvärmeprod!$B$1:$VX$1,0),FALSE)/1,0)-IFERROR(VLOOKUP($B61,'Slutlig allokering kvv'!$B$2:$BX$550,MATCH(N$2,'Slutlig allokering kvv'!$B$1:$BX$1,0),FALSE)/1,0))</f>
        <v/>
      </c>
      <c r="O61" s="31" t="str">
        <f>IF($D61="","",IFERROR(VLOOKUP($B61,Kraftvärmeprod!$B$1:$BX$550,MATCH(O$2,Kraftvärmeprod!$B$1:$VX$1,0),FALSE)/1,0)-IFERROR(VLOOKUP($B61,'Slutlig allokering kvv'!$B$2:$BX$550,MATCH(O$2,'Slutlig allokering kvv'!$B$1:$BX$1,0),FALSE)/1,0))</f>
        <v/>
      </c>
      <c r="P61" s="31" t="str">
        <f>IF($D61="","",IFERROR(VLOOKUP($B61,Kraftvärmeprod!$B$1:$BX$550,MATCH(P$2,Kraftvärmeprod!$B$1:$VX$1,0),FALSE)/1,0)-IFERROR(VLOOKUP($B61,'Slutlig allokering kvv'!$B$2:$BX$550,MATCH(P$2,'Slutlig allokering kvv'!$B$1:$BX$1,0),FALSE)/1,0))</f>
        <v/>
      </c>
      <c r="Q61" s="31" t="str">
        <f>IF($D61="","",IFERROR(VLOOKUP($B61,Kraftvärmeprod!$B$1:$BX$550,MATCH(Q$2,Kraftvärmeprod!$B$1:$VX$1,0),FALSE)/1,0)-IFERROR(VLOOKUP($B61,'Slutlig allokering kvv'!$B$2:$BX$550,MATCH(Q$2,'Slutlig allokering kvv'!$B$1:$BX$1,0),FALSE)/1,0))</f>
        <v/>
      </c>
      <c r="R61" s="31" t="str">
        <f>IF($D61="","",IFERROR(VLOOKUP($B61,Kraftvärmeprod!$B$1:$BX$550,MATCH(R$2,Kraftvärmeprod!$B$1:$VX$1,0),FALSE)/1,0)-IFERROR(VLOOKUP($B61,'Slutlig allokering kvv'!$B$2:$BX$550,MATCH(R$2,'Slutlig allokering kvv'!$B$1:$BX$1,0),FALSE)/1,0))</f>
        <v/>
      </c>
      <c r="S61" s="31" t="str">
        <f>IF($D61="","",IFERROR(VLOOKUP($B61,Kraftvärmeprod!$B$1:$BX$550,MATCH(S$2,Kraftvärmeprod!$B$1:$VX$1,0),FALSE)/1,0)-IFERROR(VLOOKUP($B61,'Slutlig allokering kvv'!$B$2:$BX$550,MATCH(S$2,'Slutlig allokering kvv'!$B$1:$BX$1,0),FALSE)/1,0))</f>
        <v/>
      </c>
      <c r="T61" s="31" t="str">
        <f>IF($D61="","",IFERROR(VLOOKUP($B61,Kraftvärmeprod!$B$1:$BX$550,MATCH(T$2,Kraftvärmeprod!$B$1:$VX$1,0),FALSE)/1,0)-IFERROR(VLOOKUP($B61,'Slutlig allokering kvv'!$B$2:$BX$550,MATCH(T$2,'Slutlig allokering kvv'!$B$1:$BX$1,0),FALSE)/1,0))</f>
        <v/>
      </c>
      <c r="U61" s="31" t="str">
        <f>IF($D61="","",IFERROR(VLOOKUP($B61,Kraftvärmeprod!$B$1:$BX$550,MATCH(U$2,Kraftvärmeprod!$B$1:$VX$1,0),FALSE)/1,0)-IFERROR(VLOOKUP($B61,'Slutlig allokering kvv'!$B$2:$BX$550,MATCH(U$2,'Slutlig allokering kvv'!$B$1:$BX$1,0),FALSE)/1,0))</f>
        <v/>
      </c>
      <c r="V61" s="31" t="str">
        <f>IF($D61="","",IFERROR(VLOOKUP($B61,Kraftvärmeprod!$B$1:$BX$550,MATCH(V$2,Kraftvärmeprod!$B$1:$VX$1,0),FALSE)/1,0)-IFERROR(VLOOKUP($B61,'Slutlig allokering kvv'!$B$2:$BX$550,MATCH(V$2,'Slutlig allokering kvv'!$B$1:$BX$1,0),FALSE)/1,0))</f>
        <v/>
      </c>
      <c r="W61" s="31" t="str">
        <f>IF($D61="","",IFERROR(VLOOKUP($B61,Kraftvärmeprod!$B$1:$BX$550,MATCH(W$2,Kraftvärmeprod!$B$1:$VX$1,0),FALSE)/1,0)-IFERROR(VLOOKUP($B61,'Slutlig allokering kvv'!$B$2:$BX$550,MATCH(W$2,'Slutlig allokering kvv'!$B$1:$BX$1,0),FALSE)/1,0))</f>
        <v/>
      </c>
      <c r="X61" s="31" t="str">
        <f>IF($D61="","",IFERROR(VLOOKUP($B61,Kraftvärmeprod!$B$1:$BX$550,MATCH(X$2,Kraftvärmeprod!$B$1:$VX$1,0),FALSE)/1,0)-IFERROR(VLOOKUP($B61,'Slutlig allokering kvv'!$B$2:$BX$550,MATCH(X$2,'Slutlig allokering kvv'!$B$1:$BX$1,0),FALSE)/1,0))</f>
        <v/>
      </c>
      <c r="Y61" s="31" t="str">
        <f>IF($D61="","",IFERROR(VLOOKUP($B61,Kraftvärmeprod!$B$1:$BX$550,MATCH(Y$2,Kraftvärmeprod!$B$1:$VX$1,0),FALSE)/1,0)-IFERROR(VLOOKUP($B61,'Slutlig allokering kvv'!$B$2:$BX$550,MATCH(Y$2,'Slutlig allokering kvv'!$B$1:$BX$1,0),FALSE)/1,0))</f>
        <v/>
      </c>
      <c r="Z61" s="31" t="str">
        <f>IF($D61="","",IFERROR(VLOOKUP($B61,Kraftvärmeprod!$B$1:$BX$550,MATCH(Z$2,Kraftvärmeprod!$B$1:$VX$1,0),FALSE)/1,0)-IFERROR(VLOOKUP($B61,'Slutlig allokering kvv'!$B$2:$BX$550,MATCH(Z$2,'Slutlig allokering kvv'!$B$1:$BX$1,0),FALSE)/1,0))</f>
        <v/>
      </c>
      <c r="AA61" s="31" t="str">
        <f>IF($D61="","",IFERROR(VLOOKUP($B61,Kraftvärmeprod!$B$1:$BX$550,MATCH(AA$2,Kraftvärmeprod!$B$1:$VX$1,0),FALSE)/1,0)-IFERROR(VLOOKUP($B61,'Slutlig allokering kvv'!$B$2:$BX$550,MATCH(AA$2,'Slutlig allokering kvv'!$B$1:$BX$1,0),FALSE)/1,0))</f>
        <v/>
      </c>
      <c r="AB61" s="31" t="str">
        <f>IF($D61="","",IFERROR(VLOOKUP($B61,Kraftvärmeprod!$B$1:$BX$550,MATCH(AB$2,Kraftvärmeprod!$B$1:$VX$1,0),FALSE)/1,0)-IFERROR(VLOOKUP($B61,'Slutlig allokering kvv'!$B$2:$BX$550,MATCH(AB$2,'Slutlig allokering kvv'!$B$1:$BX$1,0),FALSE)/1,0))</f>
        <v/>
      </c>
      <c r="AC61" s="31" t="str">
        <f>IF($D61="","",IFERROR(VLOOKUP($B61,Kraftvärmeprod!$B$1:$BX$550,MATCH(AC$2,Kraftvärmeprod!$B$1:$VX$1,0),FALSE)/1,0)-IFERROR(VLOOKUP($B61,'Slutlig allokering kvv'!$B$2:$BX$550,MATCH(AC$2,'Slutlig allokering kvv'!$B$1:$BX$1,0),FALSE)/1,0))</f>
        <v/>
      </c>
      <c r="AD61" s="31" t="str">
        <f>IF($D61="","",IFERROR(VLOOKUP($B61,Kraftvärmeprod!$B$1:$BX$550,MATCH(AD$2,Kraftvärmeprod!$B$1:$VX$1,0),FALSE)/1,0)-IFERROR(VLOOKUP($B61,'Slutlig allokering kvv'!$B$2:$BX$550,MATCH(AD$2,'Slutlig allokering kvv'!$B$1:$BX$1,0),FALSE)/1,0))</f>
        <v/>
      </c>
      <c r="AE61" s="31" t="str">
        <f>IF($D61="","",IFERROR(VLOOKUP($B61,Miljö!$B$1:$E$550,MATCH("Hjälpel kraftvärme (GWh)",Miljö!$B$1:$E$1,0),FALSE)/1,0)-IFERROR(VLOOKUP($B61,'Slutlig allokering kvv'!$B$2:$BX$549,MATCH(AE$2,'Slutlig allokering kvv'!$B$1:$BX$1,0),FALSE)/1,0))</f>
        <v/>
      </c>
      <c r="AI61" s="39">
        <f t="shared" si="0"/>
        <v>0</v>
      </c>
      <c r="AK61" s="31">
        <f>IFERROR(VLOOKUP($B61,'Slutlig allokering kvv'!$B$2:$AX$549,MATCH("Summa slutlig allokerad tillförd energi (utan hjälpel och rökgaskondensering):",'Slutlig allokering kvv'!$B$1:$AX$1,0),FALSE)/1,"")</f>
        <v>0</v>
      </c>
      <c r="AM61" s="31" t="str">
        <f>IFERROR(1-VLOOKUP($B61,'Slutlig allokering kvv'!$B$2:$AX$549,MATCH("Andel av bränsle i kvv som allokerats till värme, exklusive rökgaskondensering och hjälpel",'Slutlig allokering kvv'!$B$1:$AX$1,0),FALSE),"")</f>
        <v/>
      </c>
      <c r="AO61" s="31" t="str">
        <f t="shared" si="1"/>
        <v/>
      </c>
      <c r="AP61" s="31" t="str">
        <f t="shared" si="2"/>
        <v/>
      </c>
      <c r="AR61" s="32" t="str">
        <f t="shared" si="3"/>
        <v/>
      </c>
    </row>
    <row r="62" spans="1:44" s="31" customFormat="1" x14ac:dyDescent="0.45">
      <c r="A62" s="31" t="s">
        <v>610</v>
      </c>
      <c r="B62" s="31" t="s">
        <v>612</v>
      </c>
      <c r="C62" s="31" t="str">
        <f>IFERROR(VLOOKUP($B62,Kraftvärmeprod!$B$1:$AH$479,MATCH(C$2,Kraftvärmeprod!$B$1:$AG$1,0),FALSE)/1,"")</f>
        <v/>
      </c>
      <c r="D62" s="31" t="str">
        <f>IFERROR(VLOOKUP($B62,Kraftvärmeprod!$B$1:$AH$479,MATCH(D$2,Kraftvärmeprod!$B$1:$AG$1,0),FALSE)/1,"")</f>
        <v/>
      </c>
      <c r="F62" s="31" t="str">
        <f>IF($D62="","",IFERROR(VLOOKUP($B62,Kraftvärmeprod!$B$1:$BX$550,MATCH(F$2,Kraftvärmeprod!$B$1:$VX$1,0),FALSE)/1,0)-IFERROR(VLOOKUP($B62,'Slutlig allokering kvv'!$B$2:$BX$550,MATCH(F$2,'Slutlig allokering kvv'!$B$1:$BX$1,0),FALSE)/1,0))</f>
        <v/>
      </c>
      <c r="G62" s="31" t="str">
        <f>IF($D62="","",IFERROR(VLOOKUP($B62,Kraftvärmeprod!$B$1:$BX$550,MATCH(G$2,Kraftvärmeprod!$B$1:$VX$1,0),FALSE)/1,0)-IFERROR(VLOOKUP($B62,'Slutlig allokering kvv'!$B$2:$BX$550,MATCH(G$2,'Slutlig allokering kvv'!$B$1:$BX$1,0),FALSE)/1,0))</f>
        <v/>
      </c>
      <c r="H62" s="31" t="str">
        <f>IF($D62="","",IFERROR(VLOOKUP($B62,Kraftvärmeprod!$B$1:$BX$550,MATCH(H$2,Kraftvärmeprod!$B$1:$VX$1,0),FALSE)/1,0)-IFERROR(VLOOKUP($B62,'Slutlig allokering kvv'!$B$2:$BX$550,MATCH(H$2,'Slutlig allokering kvv'!$B$1:$BX$1,0),FALSE)/1,0))</f>
        <v/>
      </c>
      <c r="I62" s="31" t="str">
        <f>IF($D62="","",IFERROR(VLOOKUP($B62,Kraftvärmeprod!$B$1:$BX$550,MATCH(I$2,Kraftvärmeprod!$B$1:$VX$1,0),FALSE)/1,0)-IFERROR(VLOOKUP($B62,'Slutlig allokering kvv'!$B$2:$BX$550,MATCH(I$2,'Slutlig allokering kvv'!$B$1:$BX$1,0),FALSE)/1,0))</f>
        <v/>
      </c>
      <c r="J62" s="31" t="str">
        <f>IF($D62="","",IFERROR(VLOOKUP($B62,Kraftvärmeprod!$B$1:$BX$550,MATCH(J$2,Kraftvärmeprod!$B$1:$VX$1,0),FALSE)/1,0)-IFERROR(VLOOKUP($B62,'Slutlig allokering kvv'!$B$2:$BX$550,MATCH(J$2,'Slutlig allokering kvv'!$B$1:$BX$1,0),FALSE)/1,0))</f>
        <v/>
      </c>
      <c r="K62" s="31" t="str">
        <f>IF($D62="","",IFERROR(VLOOKUP($B62,Kraftvärmeprod!$B$1:$BX$550,MATCH(K$2,Kraftvärmeprod!$B$1:$VX$1,0),FALSE)/1,0)-IFERROR(VLOOKUP($B62,'Slutlig allokering kvv'!$B$2:$BX$550,MATCH(K$2,'Slutlig allokering kvv'!$B$1:$BX$1,0),FALSE)/1,0))</f>
        <v/>
      </c>
      <c r="L62" s="31" t="str">
        <f>IF($D62="","",IFERROR(VLOOKUP($B62,Kraftvärmeprod!$B$1:$BX$550,MATCH(L$2,Kraftvärmeprod!$B$1:$VX$1,0),FALSE)/1,0)-IFERROR(VLOOKUP($B62,'Slutlig allokering kvv'!$B$2:$BX$550,MATCH(L$2,'Slutlig allokering kvv'!$B$1:$BX$1,0),FALSE)/1,0))</f>
        <v/>
      </c>
      <c r="M62" s="31" t="str">
        <f>IF($D62="","",IFERROR(VLOOKUP($B62,Kraftvärmeprod!$B$1:$BX$550,MATCH(M$2,Kraftvärmeprod!$B$1:$VX$1,0),FALSE)/1,0)-IFERROR(VLOOKUP($B62,'Slutlig allokering kvv'!$B$2:$BX$550,MATCH(M$2,'Slutlig allokering kvv'!$B$1:$BX$1,0),FALSE)/1,0))</f>
        <v/>
      </c>
      <c r="N62" s="31" t="str">
        <f>IF($D62="","",IFERROR(VLOOKUP($B62,Kraftvärmeprod!$B$1:$BX$550,MATCH(N$2,Kraftvärmeprod!$B$1:$VX$1,0),FALSE)/1,0)-IFERROR(VLOOKUP($B62,'Slutlig allokering kvv'!$B$2:$BX$550,MATCH(N$2,'Slutlig allokering kvv'!$B$1:$BX$1,0),FALSE)/1,0))</f>
        <v/>
      </c>
      <c r="O62" s="31" t="str">
        <f>IF($D62="","",IFERROR(VLOOKUP($B62,Kraftvärmeprod!$B$1:$BX$550,MATCH(O$2,Kraftvärmeprod!$B$1:$VX$1,0),FALSE)/1,0)-IFERROR(VLOOKUP($B62,'Slutlig allokering kvv'!$B$2:$BX$550,MATCH(O$2,'Slutlig allokering kvv'!$B$1:$BX$1,0),FALSE)/1,0))</f>
        <v/>
      </c>
      <c r="P62" s="31" t="str">
        <f>IF($D62="","",IFERROR(VLOOKUP($B62,Kraftvärmeprod!$B$1:$BX$550,MATCH(P$2,Kraftvärmeprod!$B$1:$VX$1,0),FALSE)/1,0)-IFERROR(VLOOKUP($B62,'Slutlig allokering kvv'!$B$2:$BX$550,MATCH(P$2,'Slutlig allokering kvv'!$B$1:$BX$1,0),FALSE)/1,0))</f>
        <v/>
      </c>
      <c r="Q62" s="31" t="str">
        <f>IF($D62="","",IFERROR(VLOOKUP($B62,Kraftvärmeprod!$B$1:$BX$550,MATCH(Q$2,Kraftvärmeprod!$B$1:$VX$1,0),FALSE)/1,0)-IFERROR(VLOOKUP($B62,'Slutlig allokering kvv'!$B$2:$BX$550,MATCH(Q$2,'Slutlig allokering kvv'!$B$1:$BX$1,0),FALSE)/1,0))</f>
        <v/>
      </c>
      <c r="R62" s="31" t="str">
        <f>IF($D62="","",IFERROR(VLOOKUP($B62,Kraftvärmeprod!$B$1:$BX$550,MATCH(R$2,Kraftvärmeprod!$B$1:$VX$1,0),FALSE)/1,0)-IFERROR(VLOOKUP($B62,'Slutlig allokering kvv'!$B$2:$BX$550,MATCH(R$2,'Slutlig allokering kvv'!$B$1:$BX$1,0),FALSE)/1,0))</f>
        <v/>
      </c>
      <c r="S62" s="31" t="str">
        <f>IF($D62="","",IFERROR(VLOOKUP($B62,Kraftvärmeprod!$B$1:$BX$550,MATCH(S$2,Kraftvärmeprod!$B$1:$VX$1,0),FALSE)/1,0)-IFERROR(VLOOKUP($B62,'Slutlig allokering kvv'!$B$2:$BX$550,MATCH(S$2,'Slutlig allokering kvv'!$B$1:$BX$1,0),FALSE)/1,0))</f>
        <v/>
      </c>
      <c r="T62" s="31" t="str">
        <f>IF($D62="","",IFERROR(VLOOKUP($B62,Kraftvärmeprod!$B$1:$BX$550,MATCH(T$2,Kraftvärmeprod!$B$1:$VX$1,0),FALSE)/1,0)-IFERROR(VLOOKUP($B62,'Slutlig allokering kvv'!$B$2:$BX$550,MATCH(T$2,'Slutlig allokering kvv'!$B$1:$BX$1,0),FALSE)/1,0))</f>
        <v/>
      </c>
      <c r="U62" s="31" t="str">
        <f>IF($D62="","",IFERROR(VLOOKUP($B62,Kraftvärmeprod!$B$1:$BX$550,MATCH(U$2,Kraftvärmeprod!$B$1:$VX$1,0),FALSE)/1,0)-IFERROR(VLOOKUP($B62,'Slutlig allokering kvv'!$B$2:$BX$550,MATCH(U$2,'Slutlig allokering kvv'!$B$1:$BX$1,0),FALSE)/1,0))</f>
        <v/>
      </c>
      <c r="V62" s="31" t="str">
        <f>IF($D62="","",IFERROR(VLOOKUP($B62,Kraftvärmeprod!$B$1:$BX$550,MATCH(V$2,Kraftvärmeprod!$B$1:$VX$1,0),FALSE)/1,0)-IFERROR(VLOOKUP($B62,'Slutlig allokering kvv'!$B$2:$BX$550,MATCH(V$2,'Slutlig allokering kvv'!$B$1:$BX$1,0),FALSE)/1,0))</f>
        <v/>
      </c>
      <c r="W62" s="31" t="str">
        <f>IF($D62="","",IFERROR(VLOOKUP($B62,Kraftvärmeprod!$B$1:$BX$550,MATCH(W$2,Kraftvärmeprod!$B$1:$VX$1,0),FALSE)/1,0)-IFERROR(VLOOKUP($B62,'Slutlig allokering kvv'!$B$2:$BX$550,MATCH(W$2,'Slutlig allokering kvv'!$B$1:$BX$1,0),FALSE)/1,0))</f>
        <v/>
      </c>
      <c r="X62" s="31" t="str">
        <f>IF($D62="","",IFERROR(VLOOKUP($B62,Kraftvärmeprod!$B$1:$BX$550,MATCH(X$2,Kraftvärmeprod!$B$1:$VX$1,0),FALSE)/1,0)-IFERROR(VLOOKUP($B62,'Slutlig allokering kvv'!$B$2:$BX$550,MATCH(X$2,'Slutlig allokering kvv'!$B$1:$BX$1,0),FALSE)/1,0))</f>
        <v/>
      </c>
      <c r="Y62" s="31" t="str">
        <f>IF($D62="","",IFERROR(VLOOKUP($B62,Kraftvärmeprod!$B$1:$BX$550,MATCH(Y$2,Kraftvärmeprod!$B$1:$VX$1,0),FALSE)/1,0)-IFERROR(VLOOKUP($B62,'Slutlig allokering kvv'!$B$2:$BX$550,MATCH(Y$2,'Slutlig allokering kvv'!$B$1:$BX$1,0),FALSE)/1,0))</f>
        <v/>
      </c>
      <c r="Z62" s="31" t="str">
        <f>IF($D62="","",IFERROR(VLOOKUP($B62,Kraftvärmeprod!$B$1:$BX$550,MATCH(Z$2,Kraftvärmeprod!$B$1:$VX$1,0),FALSE)/1,0)-IFERROR(VLOOKUP($B62,'Slutlig allokering kvv'!$B$2:$BX$550,MATCH(Z$2,'Slutlig allokering kvv'!$B$1:$BX$1,0),FALSE)/1,0))</f>
        <v/>
      </c>
      <c r="AA62" s="31" t="str">
        <f>IF($D62="","",IFERROR(VLOOKUP($B62,Kraftvärmeprod!$B$1:$BX$550,MATCH(AA$2,Kraftvärmeprod!$B$1:$VX$1,0),FALSE)/1,0)-IFERROR(VLOOKUP($B62,'Slutlig allokering kvv'!$B$2:$BX$550,MATCH(AA$2,'Slutlig allokering kvv'!$B$1:$BX$1,0),FALSE)/1,0))</f>
        <v/>
      </c>
      <c r="AB62" s="31" t="str">
        <f>IF($D62="","",IFERROR(VLOOKUP($B62,Kraftvärmeprod!$B$1:$BX$550,MATCH(AB$2,Kraftvärmeprod!$B$1:$VX$1,0),FALSE)/1,0)-IFERROR(VLOOKUP($B62,'Slutlig allokering kvv'!$B$2:$BX$550,MATCH(AB$2,'Slutlig allokering kvv'!$B$1:$BX$1,0),FALSE)/1,0))</f>
        <v/>
      </c>
      <c r="AC62" s="31" t="str">
        <f>IF($D62="","",IFERROR(VLOOKUP($B62,Kraftvärmeprod!$B$1:$BX$550,MATCH(AC$2,Kraftvärmeprod!$B$1:$VX$1,0),FALSE)/1,0)-IFERROR(VLOOKUP($B62,'Slutlig allokering kvv'!$B$2:$BX$550,MATCH(AC$2,'Slutlig allokering kvv'!$B$1:$BX$1,0),FALSE)/1,0))</f>
        <v/>
      </c>
      <c r="AD62" s="31" t="str">
        <f>IF($D62="","",IFERROR(VLOOKUP($B62,Kraftvärmeprod!$B$1:$BX$550,MATCH(AD$2,Kraftvärmeprod!$B$1:$VX$1,0),FALSE)/1,0)-IFERROR(VLOOKUP($B62,'Slutlig allokering kvv'!$B$2:$BX$550,MATCH(AD$2,'Slutlig allokering kvv'!$B$1:$BX$1,0),FALSE)/1,0))</f>
        <v/>
      </c>
      <c r="AE62" s="31" t="str">
        <f>IF($D62="","",IFERROR(VLOOKUP($B62,Miljö!$B$1:$E$550,MATCH("Hjälpel kraftvärme (GWh)",Miljö!$B$1:$E$1,0),FALSE)/1,0)-IFERROR(VLOOKUP($B62,'Slutlig allokering kvv'!$B$2:$BX$549,MATCH(AE$2,'Slutlig allokering kvv'!$B$1:$BX$1,0),FALSE)/1,0))</f>
        <v/>
      </c>
      <c r="AI62" s="39">
        <f t="shared" si="0"/>
        <v>0</v>
      </c>
      <c r="AK62" s="31">
        <f>IFERROR(VLOOKUP($B62,'Slutlig allokering kvv'!$B$2:$AX$549,MATCH("Summa slutlig allokerad tillförd energi (utan hjälpel och rökgaskondensering):",'Slutlig allokering kvv'!$B$1:$AX$1,0),FALSE)/1,"")</f>
        <v>0</v>
      </c>
      <c r="AM62" s="31" t="str">
        <f>IFERROR(1-VLOOKUP($B62,'Slutlig allokering kvv'!$B$2:$AX$549,MATCH("Andel av bränsle i kvv som allokerats till värme, exklusive rökgaskondensering och hjälpel",'Slutlig allokering kvv'!$B$1:$AX$1,0),FALSE),"")</f>
        <v/>
      </c>
      <c r="AO62" s="31" t="str">
        <f t="shared" si="1"/>
        <v/>
      </c>
      <c r="AP62" s="31" t="str">
        <f t="shared" si="2"/>
        <v/>
      </c>
      <c r="AR62" s="32" t="str">
        <f t="shared" si="3"/>
        <v/>
      </c>
    </row>
    <row r="63" spans="1:44" s="31" customFormat="1" x14ac:dyDescent="0.45">
      <c r="A63" s="31" t="s">
        <v>605</v>
      </c>
      <c r="B63" s="31" t="s">
        <v>607</v>
      </c>
      <c r="C63" s="31">
        <f>IFERROR(VLOOKUP($B63,Kraftvärmeprod!$B$1:$AH$479,MATCH(C$2,Kraftvärmeprod!$B$1:$AG$1,0),FALSE)/1,"")</f>
        <v>130</v>
      </c>
      <c r="D63" s="31">
        <f>IFERROR(VLOOKUP($B63,Kraftvärmeprod!$B$1:$AH$479,MATCH(D$2,Kraftvärmeprod!$B$1:$AG$1,0),FALSE)/1,"")</f>
        <v>14.2</v>
      </c>
      <c r="F63" s="31">
        <f>IF($D63="","",IFERROR(VLOOKUP($B63,Kraftvärmeprod!$B$1:$BX$550,MATCH(F$2,Kraftvärmeprod!$B$1:$VX$1,0),FALSE)/1,0)-IFERROR(VLOOKUP($B63,'Slutlig allokering kvv'!$B$2:$BX$550,MATCH(F$2,'Slutlig allokering kvv'!$B$1:$BX$1,0),FALSE)/1,0))</f>
        <v>0</v>
      </c>
      <c r="G63" s="31">
        <f>IF($D63="","",IFERROR(VLOOKUP($B63,Kraftvärmeprod!$B$1:$BX$550,MATCH(G$2,Kraftvärmeprod!$B$1:$VX$1,0),FALSE)/1,0)-IFERROR(VLOOKUP($B63,'Slutlig allokering kvv'!$B$2:$BX$550,MATCH(G$2,'Slutlig allokering kvv'!$B$1:$BX$1,0),FALSE)/1,0))</f>
        <v>0</v>
      </c>
      <c r="H63" s="31">
        <f>IF($D63="","",IFERROR(VLOOKUP($B63,Kraftvärmeprod!$B$1:$BX$550,MATCH(H$2,Kraftvärmeprod!$B$1:$VX$1,0),FALSE)/1,0)-IFERROR(VLOOKUP($B63,'Slutlig allokering kvv'!$B$2:$BX$550,MATCH(H$2,'Slutlig allokering kvv'!$B$1:$BX$1,0),FALSE)/1,0))</f>
        <v>0</v>
      </c>
      <c r="I63" s="31">
        <f>IF($D63="","",IFERROR(VLOOKUP($B63,Kraftvärmeprod!$B$1:$BX$550,MATCH(I$2,Kraftvärmeprod!$B$1:$VX$1,0),FALSE)/1,0)-IFERROR(VLOOKUP($B63,'Slutlig allokering kvv'!$B$2:$BX$550,MATCH(I$2,'Slutlig allokering kvv'!$B$1:$BX$1,0),FALSE)/1,0))</f>
        <v>0</v>
      </c>
      <c r="J63" s="31">
        <f>IF($D63="","",IFERROR(VLOOKUP($B63,Kraftvärmeprod!$B$1:$BX$550,MATCH(J$2,Kraftvärmeprod!$B$1:$VX$1,0),FALSE)/1,0)-IFERROR(VLOOKUP($B63,'Slutlig allokering kvv'!$B$2:$BX$550,MATCH(J$2,'Slutlig allokering kvv'!$B$1:$BX$1,0),FALSE)/1,0))</f>
        <v>0</v>
      </c>
      <c r="K63" s="31">
        <f>IF($D63="","",IFERROR(VLOOKUP($B63,Kraftvärmeprod!$B$1:$BX$550,MATCH(K$2,Kraftvärmeprod!$B$1:$VX$1,0),FALSE)/1,0)-IFERROR(VLOOKUP($B63,'Slutlig allokering kvv'!$B$2:$BX$550,MATCH(K$2,'Slutlig allokering kvv'!$B$1:$BX$1,0),FALSE)/1,0))</f>
        <v>0</v>
      </c>
      <c r="L63" s="31">
        <f>IF($D63="","",IFERROR(VLOOKUP($B63,Kraftvärmeprod!$B$1:$BX$550,MATCH(L$2,Kraftvärmeprod!$B$1:$VX$1,0),FALSE)/1,0)-IFERROR(VLOOKUP($B63,'Slutlig allokering kvv'!$B$2:$BX$550,MATCH(L$2,'Slutlig allokering kvv'!$B$1:$BX$1,0),FALSE)/1,0))</f>
        <v>0</v>
      </c>
      <c r="M63" s="31">
        <f>IF($D63="","",IFERROR(VLOOKUP($B63,Kraftvärmeprod!$B$1:$BX$550,MATCH(M$2,Kraftvärmeprod!$B$1:$VX$1,0),FALSE)/1,0)-IFERROR(VLOOKUP($B63,'Slutlig allokering kvv'!$B$2:$BX$550,MATCH(M$2,'Slutlig allokering kvv'!$B$1:$BX$1,0),FALSE)/1,0))</f>
        <v>0</v>
      </c>
      <c r="N63" s="31">
        <f>IF($D63="","",IFERROR(VLOOKUP($B63,Kraftvärmeprod!$B$1:$BX$550,MATCH(N$2,Kraftvärmeprod!$B$1:$VX$1,0),FALSE)/1,0)-IFERROR(VLOOKUP($B63,'Slutlig allokering kvv'!$B$2:$BX$550,MATCH(N$2,'Slutlig allokering kvv'!$B$1:$BX$1,0),FALSE)/1,0))</f>
        <v>0</v>
      </c>
      <c r="O63" s="31">
        <f>IF($D63="","",IFERROR(VLOOKUP($B63,Kraftvärmeprod!$B$1:$BX$550,MATCH(O$2,Kraftvärmeprod!$B$1:$VX$1,0),FALSE)/1,0)-IFERROR(VLOOKUP($B63,'Slutlig allokering kvv'!$B$2:$BX$550,MATCH(O$2,'Slutlig allokering kvv'!$B$1:$BX$1,0),FALSE)/1,0))</f>
        <v>0</v>
      </c>
      <c r="P63" s="31">
        <f>IF($D63="","",IFERROR(VLOOKUP($B63,Kraftvärmeprod!$B$1:$BX$550,MATCH(P$2,Kraftvärmeprod!$B$1:$VX$1,0),FALSE)/1,0)-IFERROR(VLOOKUP($B63,'Slutlig allokering kvv'!$B$2:$BX$550,MATCH(P$2,'Slutlig allokering kvv'!$B$1:$BX$1,0),FALSE)/1,0))</f>
        <v>0</v>
      </c>
      <c r="Q63" s="31">
        <f>IF($D63="","",IFERROR(VLOOKUP($B63,Kraftvärmeprod!$B$1:$BX$550,MATCH(Q$2,Kraftvärmeprod!$B$1:$VX$1,0),FALSE)/1,0)-IFERROR(VLOOKUP($B63,'Slutlig allokering kvv'!$B$2:$BX$550,MATCH(Q$2,'Slutlig allokering kvv'!$B$1:$BX$1,0),FALSE)/1,0))</f>
        <v>0</v>
      </c>
      <c r="R63" s="31">
        <f>IF($D63="","",IFERROR(VLOOKUP($B63,Kraftvärmeprod!$B$1:$BX$550,MATCH(R$2,Kraftvärmeprod!$B$1:$VX$1,0),FALSE)/1,0)-IFERROR(VLOOKUP($B63,'Slutlig allokering kvv'!$B$2:$BX$550,MATCH(R$2,'Slutlig allokering kvv'!$B$1:$BX$1,0),FALSE)/1,0))</f>
        <v>0</v>
      </c>
      <c r="S63" s="31">
        <f>IF($D63="","",IFERROR(VLOOKUP($B63,Kraftvärmeprod!$B$1:$BX$550,MATCH(S$2,Kraftvärmeprod!$B$1:$VX$1,0),FALSE)/1,0)-IFERROR(VLOOKUP($B63,'Slutlig allokering kvv'!$B$2:$BX$550,MATCH(S$2,'Slutlig allokering kvv'!$B$1:$BX$1,0),FALSE)/1,0))</f>
        <v>0</v>
      </c>
      <c r="T63" s="31">
        <f>IF($D63="","",IFERROR(VLOOKUP($B63,Kraftvärmeprod!$B$1:$BX$550,MATCH(T$2,Kraftvärmeprod!$B$1:$VX$1,0),FALSE)/1,0)-IFERROR(VLOOKUP($B63,'Slutlig allokering kvv'!$B$2:$BX$550,MATCH(T$2,'Slutlig allokering kvv'!$B$1:$BX$1,0),FALSE)/1,0))</f>
        <v>0</v>
      </c>
      <c r="U63" s="31">
        <f>IF($D63="","",IFERROR(VLOOKUP($B63,Kraftvärmeprod!$B$1:$BX$550,MATCH(U$2,Kraftvärmeprod!$B$1:$VX$1,0),FALSE)/1,0)-IFERROR(VLOOKUP($B63,'Slutlig allokering kvv'!$B$2:$BX$550,MATCH(U$2,'Slutlig allokering kvv'!$B$1:$BX$1,0),FALSE)/1,0))</f>
        <v>0</v>
      </c>
      <c r="V63" s="31">
        <f>IF($D63="","",IFERROR(VLOOKUP($B63,Kraftvärmeprod!$B$1:$BX$550,MATCH(V$2,Kraftvärmeprod!$B$1:$VX$1,0),FALSE)/1,0)-IFERROR(VLOOKUP($B63,'Slutlig allokering kvv'!$B$2:$BX$550,MATCH(V$2,'Slutlig allokering kvv'!$B$1:$BX$1,0),FALSE)/1,0))</f>
        <v>0</v>
      </c>
      <c r="W63" s="31">
        <f>IF($D63="","",IFERROR(VLOOKUP($B63,Kraftvärmeprod!$B$1:$BX$550,MATCH(W$2,Kraftvärmeprod!$B$1:$VX$1,0),FALSE)/1,0)-IFERROR(VLOOKUP($B63,'Slutlig allokering kvv'!$B$2:$BX$550,MATCH(W$2,'Slutlig allokering kvv'!$B$1:$BX$1,0),FALSE)/1,0))</f>
        <v>0</v>
      </c>
      <c r="X63" s="31">
        <f>IF($D63="","",IFERROR(VLOOKUP($B63,Kraftvärmeprod!$B$1:$BX$550,MATCH(X$2,Kraftvärmeprod!$B$1:$VX$1,0),FALSE)/1,0)-IFERROR(VLOOKUP($B63,'Slutlig allokering kvv'!$B$2:$BX$550,MATCH(X$2,'Slutlig allokering kvv'!$B$1:$BX$1,0),FALSE)/1,0))</f>
        <v>7.600399999999996E-2</v>
      </c>
      <c r="Y63" s="31">
        <f>IF($D63="","",IFERROR(VLOOKUP($B63,Kraftvärmeprod!$B$1:$BX$550,MATCH(Y$2,Kraftvärmeprod!$B$1:$VX$1,0),FALSE)/1,0)-IFERROR(VLOOKUP($B63,'Slutlig allokering kvv'!$B$2:$BX$550,MATCH(Y$2,'Slutlig allokering kvv'!$B$1:$BX$1,0),FALSE)/1,0))</f>
        <v>0</v>
      </c>
      <c r="Z63" s="31">
        <f>IF($D63="","",IFERROR(VLOOKUP($B63,Kraftvärmeprod!$B$1:$BX$550,MATCH(Z$2,Kraftvärmeprod!$B$1:$VX$1,0),FALSE)/1,0)-IFERROR(VLOOKUP($B63,'Slutlig allokering kvv'!$B$2:$BX$550,MATCH(Z$2,'Slutlig allokering kvv'!$B$1:$BX$1,0),FALSE)/1,0))</f>
        <v>0</v>
      </c>
      <c r="AA63" s="31">
        <f>IF($D63="","",IFERROR(VLOOKUP($B63,Kraftvärmeprod!$B$1:$BX$550,MATCH(AA$2,Kraftvärmeprod!$B$1:$VX$1,0),FALSE)/1,0)-IFERROR(VLOOKUP($B63,'Slutlig allokering kvv'!$B$2:$BX$550,MATCH(AA$2,'Slutlig allokering kvv'!$B$1:$BX$1,0),FALSE)/1,0))</f>
        <v>39.628</v>
      </c>
      <c r="AB63" s="31">
        <f>IF($D63="","",IFERROR(VLOOKUP($B63,Kraftvärmeprod!$B$1:$BX$550,MATCH(AB$2,Kraftvärmeprod!$B$1:$VX$1,0),FALSE)/1,0)-IFERROR(VLOOKUP($B63,'Slutlig allokering kvv'!$B$2:$BX$550,MATCH(AB$2,'Slutlig allokering kvv'!$B$1:$BX$1,0),FALSE)/1,0))</f>
        <v>0</v>
      </c>
      <c r="AC63" s="31">
        <f>IF($D63="","",IFERROR(VLOOKUP($B63,Kraftvärmeprod!$B$1:$BX$550,MATCH(AC$2,Kraftvärmeprod!$B$1:$VX$1,0),FALSE)/1,0)-IFERROR(VLOOKUP($B63,'Slutlig allokering kvv'!$B$2:$BX$550,MATCH(AC$2,'Slutlig allokering kvv'!$B$1:$BX$1,0),FALSE)/1,0))</f>
        <v>0</v>
      </c>
      <c r="AD63" s="31">
        <f>IF($D63="","",IFERROR(VLOOKUP($B63,Kraftvärmeprod!$B$1:$BX$550,MATCH(AD$2,Kraftvärmeprod!$B$1:$VX$1,0),FALSE)/1,0)-IFERROR(VLOOKUP($B63,'Slutlig allokering kvv'!$B$2:$BX$550,MATCH(AD$2,'Slutlig allokering kvv'!$B$1:$BX$1,0),FALSE)/1,0))</f>
        <v>0</v>
      </c>
      <c r="AE63" s="31">
        <f>IF($D63="","",IFERROR(VLOOKUP($B63,Miljö!$B$1:$E$550,MATCH("Hjälpel kraftvärme (GWh)",Miljö!$B$1:$E$1,0),FALSE)/1,0)-IFERROR(VLOOKUP($B63,'Slutlig allokering kvv'!$B$2:$BX$549,MATCH(AE$2,'Slutlig allokering kvv'!$B$1:$BX$1,0),FALSE)/1,0))</f>
        <v>1.46218</v>
      </c>
      <c r="AI63" s="39">
        <f t="shared" si="0"/>
        <v>39.704003999999998</v>
      </c>
      <c r="AK63" s="31">
        <f>IFERROR(VLOOKUP($B63,'Slutlig allokering kvv'!$B$2:$AX$549,MATCH("Summa slutlig allokerad tillförd energi (utan hjälpel och rökgaskondensering):",'Slutlig allokering kvv'!$B$1:$AX$1,0),FALSE)/1,"")</f>
        <v>113.715996</v>
      </c>
      <c r="AM63" s="31">
        <f>IFERROR(1-VLOOKUP($B63,'Slutlig allokering kvv'!$B$2:$AX$549,MATCH("Andel av bränsle i kvv som allokerats till värme, exklusive rökgaskondensering och hjälpel",'Slutlig allokering kvv'!$B$1:$AX$1,0),FALSE),"")</f>
        <v>0.25879288228392638</v>
      </c>
      <c r="AO63" s="31">
        <f t="shared" si="1"/>
        <v>0.25879288228392644</v>
      </c>
      <c r="AP63" s="31">
        <f t="shared" si="2"/>
        <v>-5.5511151231257827E-17</v>
      </c>
      <c r="AR63" s="32">
        <f t="shared" si="3"/>
        <v>0.34494331561069635</v>
      </c>
    </row>
    <row r="64" spans="1:44" s="31" customFormat="1" x14ac:dyDescent="0.45">
      <c r="A64" s="31" t="s">
        <v>605</v>
      </c>
      <c r="B64" s="31" t="s">
        <v>606</v>
      </c>
      <c r="C64" s="31" t="str">
        <f>IFERROR(VLOOKUP($B64,Kraftvärmeprod!$B$1:$AH$479,MATCH(C$2,Kraftvärmeprod!$B$1:$AG$1,0),FALSE)/1,"")</f>
        <v/>
      </c>
      <c r="D64" s="31" t="str">
        <f>IFERROR(VLOOKUP($B64,Kraftvärmeprod!$B$1:$AH$479,MATCH(D$2,Kraftvärmeprod!$B$1:$AG$1,0),FALSE)/1,"")</f>
        <v/>
      </c>
      <c r="F64" s="31" t="str">
        <f>IF($D64="","",IFERROR(VLOOKUP($B64,Kraftvärmeprod!$B$1:$BX$550,MATCH(F$2,Kraftvärmeprod!$B$1:$VX$1,0),FALSE)/1,0)-IFERROR(VLOOKUP($B64,'Slutlig allokering kvv'!$B$2:$BX$550,MATCH(F$2,'Slutlig allokering kvv'!$B$1:$BX$1,0),FALSE)/1,0))</f>
        <v/>
      </c>
      <c r="G64" s="31" t="str">
        <f>IF($D64="","",IFERROR(VLOOKUP($B64,Kraftvärmeprod!$B$1:$BX$550,MATCH(G$2,Kraftvärmeprod!$B$1:$VX$1,0),FALSE)/1,0)-IFERROR(VLOOKUP($B64,'Slutlig allokering kvv'!$B$2:$BX$550,MATCH(G$2,'Slutlig allokering kvv'!$B$1:$BX$1,0),FALSE)/1,0))</f>
        <v/>
      </c>
      <c r="H64" s="31" t="str">
        <f>IF($D64="","",IFERROR(VLOOKUP($B64,Kraftvärmeprod!$B$1:$BX$550,MATCH(H$2,Kraftvärmeprod!$B$1:$VX$1,0),FALSE)/1,0)-IFERROR(VLOOKUP($B64,'Slutlig allokering kvv'!$B$2:$BX$550,MATCH(H$2,'Slutlig allokering kvv'!$B$1:$BX$1,0),FALSE)/1,0))</f>
        <v/>
      </c>
      <c r="I64" s="31" t="str">
        <f>IF($D64="","",IFERROR(VLOOKUP($B64,Kraftvärmeprod!$B$1:$BX$550,MATCH(I$2,Kraftvärmeprod!$B$1:$VX$1,0),FALSE)/1,0)-IFERROR(VLOOKUP($B64,'Slutlig allokering kvv'!$B$2:$BX$550,MATCH(I$2,'Slutlig allokering kvv'!$B$1:$BX$1,0),FALSE)/1,0))</f>
        <v/>
      </c>
      <c r="J64" s="31" t="str">
        <f>IF($D64="","",IFERROR(VLOOKUP($B64,Kraftvärmeprod!$B$1:$BX$550,MATCH(J$2,Kraftvärmeprod!$B$1:$VX$1,0),FALSE)/1,0)-IFERROR(VLOOKUP($B64,'Slutlig allokering kvv'!$B$2:$BX$550,MATCH(J$2,'Slutlig allokering kvv'!$B$1:$BX$1,0),FALSE)/1,0))</f>
        <v/>
      </c>
      <c r="K64" s="31" t="str">
        <f>IF($D64="","",IFERROR(VLOOKUP($B64,Kraftvärmeprod!$B$1:$BX$550,MATCH(K$2,Kraftvärmeprod!$B$1:$VX$1,0),FALSE)/1,0)-IFERROR(VLOOKUP($B64,'Slutlig allokering kvv'!$B$2:$BX$550,MATCH(K$2,'Slutlig allokering kvv'!$B$1:$BX$1,0),FALSE)/1,0))</f>
        <v/>
      </c>
      <c r="L64" s="31" t="str">
        <f>IF($D64="","",IFERROR(VLOOKUP($B64,Kraftvärmeprod!$B$1:$BX$550,MATCH(L$2,Kraftvärmeprod!$B$1:$VX$1,0),FALSE)/1,0)-IFERROR(VLOOKUP($B64,'Slutlig allokering kvv'!$B$2:$BX$550,MATCH(L$2,'Slutlig allokering kvv'!$B$1:$BX$1,0),FALSE)/1,0))</f>
        <v/>
      </c>
      <c r="M64" s="31" t="str">
        <f>IF($D64="","",IFERROR(VLOOKUP($B64,Kraftvärmeprod!$B$1:$BX$550,MATCH(M$2,Kraftvärmeprod!$B$1:$VX$1,0),FALSE)/1,0)-IFERROR(VLOOKUP($B64,'Slutlig allokering kvv'!$B$2:$BX$550,MATCH(M$2,'Slutlig allokering kvv'!$B$1:$BX$1,0),FALSE)/1,0))</f>
        <v/>
      </c>
      <c r="N64" s="31" t="str">
        <f>IF($D64="","",IFERROR(VLOOKUP($B64,Kraftvärmeprod!$B$1:$BX$550,MATCH(N$2,Kraftvärmeprod!$B$1:$VX$1,0),FALSE)/1,0)-IFERROR(VLOOKUP($B64,'Slutlig allokering kvv'!$B$2:$BX$550,MATCH(N$2,'Slutlig allokering kvv'!$B$1:$BX$1,0),FALSE)/1,0))</f>
        <v/>
      </c>
      <c r="O64" s="31" t="str">
        <f>IF($D64="","",IFERROR(VLOOKUP($B64,Kraftvärmeprod!$B$1:$BX$550,MATCH(O$2,Kraftvärmeprod!$B$1:$VX$1,0),FALSE)/1,0)-IFERROR(VLOOKUP($B64,'Slutlig allokering kvv'!$B$2:$BX$550,MATCH(O$2,'Slutlig allokering kvv'!$B$1:$BX$1,0),FALSE)/1,0))</f>
        <v/>
      </c>
      <c r="P64" s="31" t="str">
        <f>IF($D64="","",IFERROR(VLOOKUP($B64,Kraftvärmeprod!$B$1:$BX$550,MATCH(P$2,Kraftvärmeprod!$B$1:$VX$1,0),FALSE)/1,0)-IFERROR(VLOOKUP($B64,'Slutlig allokering kvv'!$B$2:$BX$550,MATCH(P$2,'Slutlig allokering kvv'!$B$1:$BX$1,0),FALSE)/1,0))</f>
        <v/>
      </c>
      <c r="Q64" s="31" t="str">
        <f>IF($D64="","",IFERROR(VLOOKUP($B64,Kraftvärmeprod!$B$1:$BX$550,MATCH(Q$2,Kraftvärmeprod!$B$1:$VX$1,0),FALSE)/1,0)-IFERROR(VLOOKUP($B64,'Slutlig allokering kvv'!$B$2:$BX$550,MATCH(Q$2,'Slutlig allokering kvv'!$B$1:$BX$1,0),FALSE)/1,0))</f>
        <v/>
      </c>
      <c r="R64" s="31" t="str">
        <f>IF($D64="","",IFERROR(VLOOKUP($B64,Kraftvärmeprod!$B$1:$BX$550,MATCH(R$2,Kraftvärmeprod!$B$1:$VX$1,0),FALSE)/1,0)-IFERROR(VLOOKUP($B64,'Slutlig allokering kvv'!$B$2:$BX$550,MATCH(R$2,'Slutlig allokering kvv'!$B$1:$BX$1,0),FALSE)/1,0))</f>
        <v/>
      </c>
      <c r="S64" s="31" t="str">
        <f>IF($D64="","",IFERROR(VLOOKUP($B64,Kraftvärmeprod!$B$1:$BX$550,MATCH(S$2,Kraftvärmeprod!$B$1:$VX$1,0),FALSE)/1,0)-IFERROR(VLOOKUP($B64,'Slutlig allokering kvv'!$B$2:$BX$550,MATCH(S$2,'Slutlig allokering kvv'!$B$1:$BX$1,0),FALSE)/1,0))</f>
        <v/>
      </c>
      <c r="T64" s="31" t="str">
        <f>IF($D64="","",IFERROR(VLOOKUP($B64,Kraftvärmeprod!$B$1:$BX$550,MATCH(T$2,Kraftvärmeprod!$B$1:$VX$1,0),FALSE)/1,0)-IFERROR(VLOOKUP($B64,'Slutlig allokering kvv'!$B$2:$BX$550,MATCH(T$2,'Slutlig allokering kvv'!$B$1:$BX$1,0),FALSE)/1,0))</f>
        <v/>
      </c>
      <c r="U64" s="31" t="str">
        <f>IF($D64="","",IFERROR(VLOOKUP($B64,Kraftvärmeprod!$B$1:$BX$550,MATCH(U$2,Kraftvärmeprod!$B$1:$VX$1,0),FALSE)/1,0)-IFERROR(VLOOKUP($B64,'Slutlig allokering kvv'!$B$2:$BX$550,MATCH(U$2,'Slutlig allokering kvv'!$B$1:$BX$1,0),FALSE)/1,0))</f>
        <v/>
      </c>
      <c r="V64" s="31" t="str">
        <f>IF($D64="","",IFERROR(VLOOKUP($B64,Kraftvärmeprod!$B$1:$BX$550,MATCH(V$2,Kraftvärmeprod!$B$1:$VX$1,0),FALSE)/1,0)-IFERROR(VLOOKUP($B64,'Slutlig allokering kvv'!$B$2:$BX$550,MATCH(V$2,'Slutlig allokering kvv'!$B$1:$BX$1,0),FALSE)/1,0))</f>
        <v/>
      </c>
      <c r="W64" s="31" t="str">
        <f>IF($D64="","",IFERROR(VLOOKUP($B64,Kraftvärmeprod!$B$1:$BX$550,MATCH(W$2,Kraftvärmeprod!$B$1:$VX$1,0),FALSE)/1,0)-IFERROR(VLOOKUP($B64,'Slutlig allokering kvv'!$B$2:$BX$550,MATCH(W$2,'Slutlig allokering kvv'!$B$1:$BX$1,0),FALSE)/1,0))</f>
        <v/>
      </c>
      <c r="X64" s="31" t="str">
        <f>IF($D64="","",IFERROR(VLOOKUP($B64,Kraftvärmeprod!$B$1:$BX$550,MATCH(X$2,Kraftvärmeprod!$B$1:$VX$1,0),FALSE)/1,0)-IFERROR(VLOOKUP($B64,'Slutlig allokering kvv'!$B$2:$BX$550,MATCH(X$2,'Slutlig allokering kvv'!$B$1:$BX$1,0),FALSE)/1,0))</f>
        <v/>
      </c>
      <c r="Y64" s="31" t="str">
        <f>IF($D64="","",IFERROR(VLOOKUP($B64,Kraftvärmeprod!$B$1:$BX$550,MATCH(Y$2,Kraftvärmeprod!$B$1:$VX$1,0),FALSE)/1,0)-IFERROR(VLOOKUP($B64,'Slutlig allokering kvv'!$B$2:$BX$550,MATCH(Y$2,'Slutlig allokering kvv'!$B$1:$BX$1,0),FALSE)/1,0))</f>
        <v/>
      </c>
      <c r="Z64" s="31" t="str">
        <f>IF($D64="","",IFERROR(VLOOKUP($B64,Kraftvärmeprod!$B$1:$BX$550,MATCH(Z$2,Kraftvärmeprod!$B$1:$VX$1,0),FALSE)/1,0)-IFERROR(VLOOKUP($B64,'Slutlig allokering kvv'!$B$2:$BX$550,MATCH(Z$2,'Slutlig allokering kvv'!$B$1:$BX$1,0),FALSE)/1,0))</f>
        <v/>
      </c>
      <c r="AA64" s="31" t="str">
        <f>IF($D64="","",IFERROR(VLOOKUP($B64,Kraftvärmeprod!$B$1:$BX$550,MATCH(AA$2,Kraftvärmeprod!$B$1:$VX$1,0),FALSE)/1,0)-IFERROR(VLOOKUP($B64,'Slutlig allokering kvv'!$B$2:$BX$550,MATCH(AA$2,'Slutlig allokering kvv'!$B$1:$BX$1,0),FALSE)/1,0))</f>
        <v/>
      </c>
      <c r="AB64" s="31" t="str">
        <f>IF($D64="","",IFERROR(VLOOKUP($B64,Kraftvärmeprod!$B$1:$BX$550,MATCH(AB$2,Kraftvärmeprod!$B$1:$VX$1,0),FALSE)/1,0)-IFERROR(VLOOKUP($B64,'Slutlig allokering kvv'!$B$2:$BX$550,MATCH(AB$2,'Slutlig allokering kvv'!$B$1:$BX$1,0),FALSE)/1,0))</f>
        <v/>
      </c>
      <c r="AC64" s="31" t="str">
        <f>IF($D64="","",IFERROR(VLOOKUP($B64,Kraftvärmeprod!$B$1:$BX$550,MATCH(AC$2,Kraftvärmeprod!$B$1:$VX$1,0),FALSE)/1,0)-IFERROR(VLOOKUP($B64,'Slutlig allokering kvv'!$B$2:$BX$550,MATCH(AC$2,'Slutlig allokering kvv'!$B$1:$BX$1,0),FALSE)/1,0))</f>
        <v/>
      </c>
      <c r="AD64" s="31" t="str">
        <f>IF($D64="","",IFERROR(VLOOKUP($B64,Kraftvärmeprod!$B$1:$BX$550,MATCH(AD$2,Kraftvärmeprod!$B$1:$VX$1,0),FALSE)/1,0)-IFERROR(VLOOKUP($B64,'Slutlig allokering kvv'!$B$2:$BX$550,MATCH(AD$2,'Slutlig allokering kvv'!$B$1:$BX$1,0),FALSE)/1,0))</f>
        <v/>
      </c>
      <c r="AE64" s="31" t="str">
        <f>IF($D64="","",IFERROR(VLOOKUP($B64,Miljö!$B$1:$E$550,MATCH("Hjälpel kraftvärme (GWh)",Miljö!$B$1:$E$1,0),FALSE)/1,0)-IFERROR(VLOOKUP($B64,'Slutlig allokering kvv'!$B$2:$BX$549,MATCH(AE$2,'Slutlig allokering kvv'!$B$1:$BX$1,0),FALSE)/1,0))</f>
        <v/>
      </c>
      <c r="AI64" s="39">
        <f t="shared" si="0"/>
        <v>0</v>
      </c>
      <c r="AK64" s="31">
        <f>IFERROR(VLOOKUP($B64,'Slutlig allokering kvv'!$B$2:$AX$549,MATCH("Summa slutlig allokerad tillförd energi (utan hjälpel och rökgaskondensering):",'Slutlig allokering kvv'!$B$1:$AX$1,0),FALSE)/1,"")</f>
        <v>0</v>
      </c>
      <c r="AM64" s="31" t="str">
        <f>IFERROR(1-VLOOKUP($B64,'Slutlig allokering kvv'!$B$2:$AX$549,MATCH("Andel av bränsle i kvv som allokerats till värme, exklusive rökgaskondensering och hjälpel",'Slutlig allokering kvv'!$B$1:$AX$1,0),FALSE),"")</f>
        <v/>
      </c>
      <c r="AO64" s="31" t="str">
        <f t="shared" si="1"/>
        <v/>
      </c>
      <c r="AP64" s="31" t="str">
        <f t="shared" si="2"/>
        <v/>
      </c>
      <c r="AR64" s="32" t="str">
        <f t="shared" si="3"/>
        <v/>
      </c>
    </row>
    <row r="65" spans="1:44" s="31" customFormat="1" x14ac:dyDescent="0.45">
      <c r="A65" s="31" t="s">
        <v>605</v>
      </c>
      <c r="B65" s="31" t="s">
        <v>604</v>
      </c>
      <c r="C65" s="31" t="str">
        <f>IFERROR(VLOOKUP($B65,Kraftvärmeprod!$B$1:$AH$479,MATCH(C$2,Kraftvärmeprod!$B$1:$AG$1,0),FALSE)/1,"")</f>
        <v/>
      </c>
      <c r="D65" s="31" t="str">
        <f>IFERROR(VLOOKUP($B65,Kraftvärmeprod!$B$1:$AH$479,MATCH(D$2,Kraftvärmeprod!$B$1:$AG$1,0),FALSE)/1,"")</f>
        <v/>
      </c>
      <c r="F65" s="31" t="str">
        <f>IF($D65="","",IFERROR(VLOOKUP($B65,Kraftvärmeprod!$B$1:$BX$550,MATCH(F$2,Kraftvärmeprod!$B$1:$VX$1,0),FALSE)/1,0)-IFERROR(VLOOKUP($B65,'Slutlig allokering kvv'!$B$2:$BX$550,MATCH(F$2,'Slutlig allokering kvv'!$B$1:$BX$1,0),FALSE)/1,0))</f>
        <v/>
      </c>
      <c r="G65" s="31" t="str">
        <f>IF($D65="","",IFERROR(VLOOKUP($B65,Kraftvärmeprod!$B$1:$BX$550,MATCH(G$2,Kraftvärmeprod!$B$1:$VX$1,0),FALSE)/1,0)-IFERROR(VLOOKUP($B65,'Slutlig allokering kvv'!$B$2:$BX$550,MATCH(G$2,'Slutlig allokering kvv'!$B$1:$BX$1,0),FALSE)/1,0))</f>
        <v/>
      </c>
      <c r="H65" s="31" t="str">
        <f>IF($D65="","",IFERROR(VLOOKUP($B65,Kraftvärmeprod!$B$1:$BX$550,MATCH(H$2,Kraftvärmeprod!$B$1:$VX$1,0),FALSE)/1,0)-IFERROR(VLOOKUP($B65,'Slutlig allokering kvv'!$B$2:$BX$550,MATCH(H$2,'Slutlig allokering kvv'!$B$1:$BX$1,0),FALSE)/1,0))</f>
        <v/>
      </c>
      <c r="I65" s="31" t="str">
        <f>IF($D65="","",IFERROR(VLOOKUP($B65,Kraftvärmeprod!$B$1:$BX$550,MATCH(I$2,Kraftvärmeprod!$B$1:$VX$1,0),FALSE)/1,0)-IFERROR(VLOOKUP($B65,'Slutlig allokering kvv'!$B$2:$BX$550,MATCH(I$2,'Slutlig allokering kvv'!$B$1:$BX$1,0),FALSE)/1,0))</f>
        <v/>
      </c>
      <c r="J65" s="31" t="str">
        <f>IF($D65="","",IFERROR(VLOOKUP($B65,Kraftvärmeprod!$B$1:$BX$550,MATCH(J$2,Kraftvärmeprod!$B$1:$VX$1,0),FALSE)/1,0)-IFERROR(VLOOKUP($B65,'Slutlig allokering kvv'!$B$2:$BX$550,MATCH(J$2,'Slutlig allokering kvv'!$B$1:$BX$1,0),FALSE)/1,0))</f>
        <v/>
      </c>
      <c r="K65" s="31" t="str">
        <f>IF($D65="","",IFERROR(VLOOKUP($B65,Kraftvärmeprod!$B$1:$BX$550,MATCH(K$2,Kraftvärmeprod!$B$1:$VX$1,0),FALSE)/1,0)-IFERROR(VLOOKUP($B65,'Slutlig allokering kvv'!$B$2:$BX$550,MATCH(K$2,'Slutlig allokering kvv'!$B$1:$BX$1,0),FALSE)/1,0))</f>
        <v/>
      </c>
      <c r="L65" s="31" t="str">
        <f>IF($D65="","",IFERROR(VLOOKUP($B65,Kraftvärmeprod!$B$1:$BX$550,MATCH(L$2,Kraftvärmeprod!$B$1:$VX$1,0),FALSE)/1,0)-IFERROR(VLOOKUP($B65,'Slutlig allokering kvv'!$B$2:$BX$550,MATCH(L$2,'Slutlig allokering kvv'!$B$1:$BX$1,0),FALSE)/1,0))</f>
        <v/>
      </c>
      <c r="M65" s="31" t="str">
        <f>IF($D65="","",IFERROR(VLOOKUP($B65,Kraftvärmeprod!$B$1:$BX$550,MATCH(M$2,Kraftvärmeprod!$B$1:$VX$1,0),FALSE)/1,0)-IFERROR(VLOOKUP($B65,'Slutlig allokering kvv'!$B$2:$BX$550,MATCH(M$2,'Slutlig allokering kvv'!$B$1:$BX$1,0),FALSE)/1,0))</f>
        <v/>
      </c>
      <c r="N65" s="31" t="str">
        <f>IF($D65="","",IFERROR(VLOOKUP($B65,Kraftvärmeprod!$B$1:$BX$550,MATCH(N$2,Kraftvärmeprod!$B$1:$VX$1,0),FALSE)/1,0)-IFERROR(VLOOKUP($B65,'Slutlig allokering kvv'!$B$2:$BX$550,MATCH(N$2,'Slutlig allokering kvv'!$B$1:$BX$1,0),FALSE)/1,0))</f>
        <v/>
      </c>
      <c r="O65" s="31" t="str">
        <f>IF($D65="","",IFERROR(VLOOKUP($B65,Kraftvärmeprod!$B$1:$BX$550,MATCH(O$2,Kraftvärmeprod!$B$1:$VX$1,0),FALSE)/1,0)-IFERROR(VLOOKUP($B65,'Slutlig allokering kvv'!$B$2:$BX$550,MATCH(O$2,'Slutlig allokering kvv'!$B$1:$BX$1,0),FALSE)/1,0))</f>
        <v/>
      </c>
      <c r="P65" s="31" t="str">
        <f>IF($D65="","",IFERROR(VLOOKUP($B65,Kraftvärmeprod!$B$1:$BX$550,MATCH(P$2,Kraftvärmeprod!$B$1:$VX$1,0),FALSE)/1,0)-IFERROR(VLOOKUP($B65,'Slutlig allokering kvv'!$B$2:$BX$550,MATCH(P$2,'Slutlig allokering kvv'!$B$1:$BX$1,0),FALSE)/1,0))</f>
        <v/>
      </c>
      <c r="Q65" s="31" t="str">
        <f>IF($D65="","",IFERROR(VLOOKUP($B65,Kraftvärmeprod!$B$1:$BX$550,MATCH(Q$2,Kraftvärmeprod!$B$1:$VX$1,0),FALSE)/1,0)-IFERROR(VLOOKUP($B65,'Slutlig allokering kvv'!$B$2:$BX$550,MATCH(Q$2,'Slutlig allokering kvv'!$B$1:$BX$1,0),FALSE)/1,0))</f>
        <v/>
      </c>
      <c r="R65" s="31" t="str">
        <f>IF($D65="","",IFERROR(VLOOKUP($B65,Kraftvärmeprod!$B$1:$BX$550,MATCH(R$2,Kraftvärmeprod!$B$1:$VX$1,0),FALSE)/1,0)-IFERROR(VLOOKUP($B65,'Slutlig allokering kvv'!$B$2:$BX$550,MATCH(R$2,'Slutlig allokering kvv'!$B$1:$BX$1,0),FALSE)/1,0))</f>
        <v/>
      </c>
      <c r="S65" s="31" t="str">
        <f>IF($D65="","",IFERROR(VLOOKUP($B65,Kraftvärmeprod!$B$1:$BX$550,MATCH(S$2,Kraftvärmeprod!$B$1:$VX$1,0),FALSE)/1,0)-IFERROR(VLOOKUP($B65,'Slutlig allokering kvv'!$B$2:$BX$550,MATCH(S$2,'Slutlig allokering kvv'!$B$1:$BX$1,0),FALSE)/1,0))</f>
        <v/>
      </c>
      <c r="T65" s="31" t="str">
        <f>IF($D65="","",IFERROR(VLOOKUP($B65,Kraftvärmeprod!$B$1:$BX$550,MATCH(T$2,Kraftvärmeprod!$B$1:$VX$1,0),FALSE)/1,0)-IFERROR(VLOOKUP($B65,'Slutlig allokering kvv'!$B$2:$BX$550,MATCH(T$2,'Slutlig allokering kvv'!$B$1:$BX$1,0),FALSE)/1,0))</f>
        <v/>
      </c>
      <c r="U65" s="31" t="str">
        <f>IF($D65="","",IFERROR(VLOOKUP($B65,Kraftvärmeprod!$B$1:$BX$550,MATCH(U$2,Kraftvärmeprod!$B$1:$VX$1,0),FALSE)/1,0)-IFERROR(VLOOKUP($B65,'Slutlig allokering kvv'!$B$2:$BX$550,MATCH(U$2,'Slutlig allokering kvv'!$B$1:$BX$1,0),FALSE)/1,0))</f>
        <v/>
      </c>
      <c r="V65" s="31" t="str">
        <f>IF($D65="","",IFERROR(VLOOKUP($B65,Kraftvärmeprod!$B$1:$BX$550,MATCH(V$2,Kraftvärmeprod!$B$1:$VX$1,0),FALSE)/1,0)-IFERROR(VLOOKUP($B65,'Slutlig allokering kvv'!$B$2:$BX$550,MATCH(V$2,'Slutlig allokering kvv'!$B$1:$BX$1,0),FALSE)/1,0))</f>
        <v/>
      </c>
      <c r="W65" s="31" t="str">
        <f>IF($D65="","",IFERROR(VLOOKUP($B65,Kraftvärmeprod!$B$1:$BX$550,MATCH(W$2,Kraftvärmeprod!$B$1:$VX$1,0),FALSE)/1,0)-IFERROR(VLOOKUP($B65,'Slutlig allokering kvv'!$B$2:$BX$550,MATCH(W$2,'Slutlig allokering kvv'!$B$1:$BX$1,0),FALSE)/1,0))</f>
        <v/>
      </c>
      <c r="X65" s="31" t="str">
        <f>IF($D65="","",IFERROR(VLOOKUP($B65,Kraftvärmeprod!$B$1:$BX$550,MATCH(X$2,Kraftvärmeprod!$B$1:$VX$1,0),FALSE)/1,0)-IFERROR(VLOOKUP($B65,'Slutlig allokering kvv'!$B$2:$BX$550,MATCH(X$2,'Slutlig allokering kvv'!$B$1:$BX$1,0),FALSE)/1,0))</f>
        <v/>
      </c>
      <c r="Y65" s="31" t="str">
        <f>IF($D65="","",IFERROR(VLOOKUP($B65,Kraftvärmeprod!$B$1:$BX$550,MATCH(Y$2,Kraftvärmeprod!$B$1:$VX$1,0),FALSE)/1,0)-IFERROR(VLOOKUP($B65,'Slutlig allokering kvv'!$B$2:$BX$550,MATCH(Y$2,'Slutlig allokering kvv'!$B$1:$BX$1,0),FALSE)/1,0))</f>
        <v/>
      </c>
      <c r="Z65" s="31" t="str">
        <f>IF($D65="","",IFERROR(VLOOKUP($B65,Kraftvärmeprod!$B$1:$BX$550,MATCH(Z$2,Kraftvärmeprod!$B$1:$VX$1,0),FALSE)/1,0)-IFERROR(VLOOKUP($B65,'Slutlig allokering kvv'!$B$2:$BX$550,MATCH(Z$2,'Slutlig allokering kvv'!$B$1:$BX$1,0),FALSE)/1,0))</f>
        <v/>
      </c>
      <c r="AA65" s="31" t="str">
        <f>IF($D65="","",IFERROR(VLOOKUP($B65,Kraftvärmeprod!$B$1:$BX$550,MATCH(AA$2,Kraftvärmeprod!$B$1:$VX$1,0),FALSE)/1,0)-IFERROR(VLOOKUP($B65,'Slutlig allokering kvv'!$B$2:$BX$550,MATCH(AA$2,'Slutlig allokering kvv'!$B$1:$BX$1,0),FALSE)/1,0))</f>
        <v/>
      </c>
      <c r="AB65" s="31" t="str">
        <f>IF($D65="","",IFERROR(VLOOKUP($B65,Kraftvärmeprod!$B$1:$BX$550,MATCH(AB$2,Kraftvärmeprod!$B$1:$VX$1,0),FALSE)/1,0)-IFERROR(VLOOKUP($B65,'Slutlig allokering kvv'!$B$2:$BX$550,MATCH(AB$2,'Slutlig allokering kvv'!$B$1:$BX$1,0),FALSE)/1,0))</f>
        <v/>
      </c>
      <c r="AC65" s="31" t="str">
        <f>IF($D65="","",IFERROR(VLOOKUP($B65,Kraftvärmeprod!$B$1:$BX$550,MATCH(AC$2,Kraftvärmeprod!$B$1:$VX$1,0),FALSE)/1,0)-IFERROR(VLOOKUP($B65,'Slutlig allokering kvv'!$B$2:$BX$550,MATCH(AC$2,'Slutlig allokering kvv'!$B$1:$BX$1,0),FALSE)/1,0))</f>
        <v/>
      </c>
      <c r="AD65" s="31" t="str">
        <f>IF($D65="","",IFERROR(VLOOKUP($B65,Kraftvärmeprod!$B$1:$BX$550,MATCH(AD$2,Kraftvärmeprod!$B$1:$VX$1,0),FALSE)/1,0)-IFERROR(VLOOKUP($B65,'Slutlig allokering kvv'!$B$2:$BX$550,MATCH(AD$2,'Slutlig allokering kvv'!$B$1:$BX$1,0),FALSE)/1,0))</f>
        <v/>
      </c>
      <c r="AE65" s="31" t="str">
        <f>IF($D65="","",IFERROR(VLOOKUP($B65,Miljö!$B$1:$E$550,MATCH("Hjälpel kraftvärme (GWh)",Miljö!$B$1:$E$1,0),FALSE)/1,0)-IFERROR(VLOOKUP($B65,'Slutlig allokering kvv'!$B$2:$BX$549,MATCH(AE$2,'Slutlig allokering kvv'!$B$1:$BX$1,0),FALSE)/1,0))</f>
        <v/>
      </c>
      <c r="AI65" s="39">
        <f t="shared" si="0"/>
        <v>0</v>
      </c>
      <c r="AK65" s="31">
        <f>IFERROR(VLOOKUP($B65,'Slutlig allokering kvv'!$B$2:$AX$549,MATCH("Summa slutlig allokerad tillförd energi (utan hjälpel och rökgaskondensering):",'Slutlig allokering kvv'!$B$1:$AX$1,0),FALSE)/1,"")</f>
        <v>0</v>
      </c>
      <c r="AM65" s="31" t="str">
        <f>IFERROR(1-VLOOKUP($B65,'Slutlig allokering kvv'!$B$2:$AX$549,MATCH("Andel av bränsle i kvv som allokerats till värme, exklusive rökgaskondensering och hjälpel",'Slutlig allokering kvv'!$B$1:$AX$1,0),FALSE),"")</f>
        <v/>
      </c>
      <c r="AO65" s="31" t="str">
        <f t="shared" si="1"/>
        <v/>
      </c>
      <c r="AP65" s="31" t="str">
        <f t="shared" si="2"/>
        <v/>
      </c>
      <c r="AR65" s="32" t="str">
        <f t="shared" si="3"/>
        <v/>
      </c>
    </row>
    <row r="66" spans="1:44" s="31" customFormat="1" x14ac:dyDescent="0.45">
      <c r="A66" s="31" t="s">
        <v>603</v>
      </c>
      <c r="B66" s="31" t="s">
        <v>602</v>
      </c>
      <c r="C66" s="31" t="str">
        <f>IFERROR(VLOOKUP($B66,Kraftvärmeprod!$B$1:$AH$479,MATCH(C$2,Kraftvärmeprod!$B$1:$AG$1,0),FALSE)/1,"")</f>
        <v/>
      </c>
      <c r="D66" s="31" t="str">
        <f>IFERROR(VLOOKUP($B66,Kraftvärmeprod!$B$1:$AH$479,MATCH(D$2,Kraftvärmeprod!$B$1:$AG$1,0),FALSE)/1,"")</f>
        <v/>
      </c>
      <c r="F66" s="31" t="str">
        <f>IF($D66="","",IFERROR(VLOOKUP($B66,Kraftvärmeprod!$B$1:$BX$550,MATCH(F$2,Kraftvärmeprod!$B$1:$VX$1,0),FALSE)/1,0)-IFERROR(VLOOKUP($B66,'Slutlig allokering kvv'!$B$2:$BX$550,MATCH(F$2,'Slutlig allokering kvv'!$B$1:$BX$1,0),FALSE)/1,0))</f>
        <v/>
      </c>
      <c r="G66" s="31" t="str">
        <f>IF($D66="","",IFERROR(VLOOKUP($B66,Kraftvärmeprod!$B$1:$BX$550,MATCH(G$2,Kraftvärmeprod!$B$1:$VX$1,0),FALSE)/1,0)-IFERROR(VLOOKUP($B66,'Slutlig allokering kvv'!$B$2:$BX$550,MATCH(G$2,'Slutlig allokering kvv'!$B$1:$BX$1,0),FALSE)/1,0))</f>
        <v/>
      </c>
      <c r="H66" s="31" t="str">
        <f>IF($D66="","",IFERROR(VLOOKUP($B66,Kraftvärmeprod!$B$1:$BX$550,MATCH(H$2,Kraftvärmeprod!$B$1:$VX$1,0),FALSE)/1,0)-IFERROR(VLOOKUP($B66,'Slutlig allokering kvv'!$B$2:$BX$550,MATCH(H$2,'Slutlig allokering kvv'!$B$1:$BX$1,0),FALSE)/1,0))</f>
        <v/>
      </c>
      <c r="I66" s="31" t="str">
        <f>IF($D66="","",IFERROR(VLOOKUP($B66,Kraftvärmeprod!$B$1:$BX$550,MATCH(I$2,Kraftvärmeprod!$B$1:$VX$1,0),FALSE)/1,0)-IFERROR(VLOOKUP($B66,'Slutlig allokering kvv'!$B$2:$BX$550,MATCH(I$2,'Slutlig allokering kvv'!$B$1:$BX$1,0),FALSE)/1,0))</f>
        <v/>
      </c>
      <c r="J66" s="31" t="str">
        <f>IF($D66="","",IFERROR(VLOOKUP($B66,Kraftvärmeprod!$B$1:$BX$550,MATCH(J$2,Kraftvärmeprod!$B$1:$VX$1,0),FALSE)/1,0)-IFERROR(VLOOKUP($B66,'Slutlig allokering kvv'!$B$2:$BX$550,MATCH(J$2,'Slutlig allokering kvv'!$B$1:$BX$1,0),FALSE)/1,0))</f>
        <v/>
      </c>
      <c r="K66" s="31" t="str">
        <f>IF($D66="","",IFERROR(VLOOKUP($B66,Kraftvärmeprod!$B$1:$BX$550,MATCH(K$2,Kraftvärmeprod!$B$1:$VX$1,0),FALSE)/1,0)-IFERROR(VLOOKUP($B66,'Slutlig allokering kvv'!$B$2:$BX$550,MATCH(K$2,'Slutlig allokering kvv'!$B$1:$BX$1,0),FALSE)/1,0))</f>
        <v/>
      </c>
      <c r="L66" s="31" t="str">
        <f>IF($D66="","",IFERROR(VLOOKUP($B66,Kraftvärmeprod!$B$1:$BX$550,MATCH(L$2,Kraftvärmeprod!$B$1:$VX$1,0),FALSE)/1,0)-IFERROR(VLOOKUP($B66,'Slutlig allokering kvv'!$B$2:$BX$550,MATCH(L$2,'Slutlig allokering kvv'!$B$1:$BX$1,0),FALSE)/1,0))</f>
        <v/>
      </c>
      <c r="M66" s="31" t="str">
        <f>IF($D66="","",IFERROR(VLOOKUP($B66,Kraftvärmeprod!$B$1:$BX$550,MATCH(M$2,Kraftvärmeprod!$B$1:$VX$1,0),FALSE)/1,0)-IFERROR(VLOOKUP($B66,'Slutlig allokering kvv'!$B$2:$BX$550,MATCH(M$2,'Slutlig allokering kvv'!$B$1:$BX$1,0),FALSE)/1,0))</f>
        <v/>
      </c>
      <c r="N66" s="31" t="str">
        <f>IF($D66="","",IFERROR(VLOOKUP($B66,Kraftvärmeprod!$B$1:$BX$550,MATCH(N$2,Kraftvärmeprod!$B$1:$VX$1,0),FALSE)/1,0)-IFERROR(VLOOKUP($B66,'Slutlig allokering kvv'!$B$2:$BX$550,MATCH(N$2,'Slutlig allokering kvv'!$B$1:$BX$1,0),FALSE)/1,0))</f>
        <v/>
      </c>
      <c r="O66" s="31" t="str">
        <f>IF($D66="","",IFERROR(VLOOKUP($B66,Kraftvärmeprod!$B$1:$BX$550,MATCH(O$2,Kraftvärmeprod!$B$1:$VX$1,0),FALSE)/1,0)-IFERROR(VLOOKUP($B66,'Slutlig allokering kvv'!$B$2:$BX$550,MATCH(O$2,'Slutlig allokering kvv'!$B$1:$BX$1,0),FALSE)/1,0))</f>
        <v/>
      </c>
      <c r="P66" s="31" t="str">
        <f>IF($D66="","",IFERROR(VLOOKUP($B66,Kraftvärmeprod!$B$1:$BX$550,MATCH(P$2,Kraftvärmeprod!$B$1:$VX$1,0),FALSE)/1,0)-IFERROR(VLOOKUP($B66,'Slutlig allokering kvv'!$B$2:$BX$550,MATCH(P$2,'Slutlig allokering kvv'!$B$1:$BX$1,0),FALSE)/1,0))</f>
        <v/>
      </c>
      <c r="Q66" s="31" t="str">
        <f>IF($D66="","",IFERROR(VLOOKUP($B66,Kraftvärmeprod!$B$1:$BX$550,MATCH(Q$2,Kraftvärmeprod!$B$1:$VX$1,0),FALSE)/1,0)-IFERROR(VLOOKUP($B66,'Slutlig allokering kvv'!$B$2:$BX$550,MATCH(Q$2,'Slutlig allokering kvv'!$B$1:$BX$1,0),FALSE)/1,0))</f>
        <v/>
      </c>
      <c r="R66" s="31" t="str">
        <f>IF($D66="","",IFERROR(VLOOKUP($B66,Kraftvärmeprod!$B$1:$BX$550,MATCH(R$2,Kraftvärmeprod!$B$1:$VX$1,0),FALSE)/1,0)-IFERROR(VLOOKUP($B66,'Slutlig allokering kvv'!$B$2:$BX$550,MATCH(R$2,'Slutlig allokering kvv'!$B$1:$BX$1,0),FALSE)/1,0))</f>
        <v/>
      </c>
      <c r="S66" s="31" t="str">
        <f>IF($D66="","",IFERROR(VLOOKUP($B66,Kraftvärmeprod!$B$1:$BX$550,MATCH(S$2,Kraftvärmeprod!$B$1:$VX$1,0),FALSE)/1,0)-IFERROR(VLOOKUP($B66,'Slutlig allokering kvv'!$B$2:$BX$550,MATCH(S$2,'Slutlig allokering kvv'!$B$1:$BX$1,0),FALSE)/1,0))</f>
        <v/>
      </c>
      <c r="T66" s="31" t="str">
        <f>IF($D66="","",IFERROR(VLOOKUP($B66,Kraftvärmeprod!$B$1:$BX$550,MATCH(T$2,Kraftvärmeprod!$B$1:$VX$1,0),FALSE)/1,0)-IFERROR(VLOOKUP($B66,'Slutlig allokering kvv'!$B$2:$BX$550,MATCH(T$2,'Slutlig allokering kvv'!$B$1:$BX$1,0),FALSE)/1,0))</f>
        <v/>
      </c>
      <c r="U66" s="31" t="str">
        <f>IF($D66="","",IFERROR(VLOOKUP($B66,Kraftvärmeprod!$B$1:$BX$550,MATCH(U$2,Kraftvärmeprod!$B$1:$VX$1,0),FALSE)/1,0)-IFERROR(VLOOKUP($B66,'Slutlig allokering kvv'!$B$2:$BX$550,MATCH(U$2,'Slutlig allokering kvv'!$B$1:$BX$1,0),FALSE)/1,0))</f>
        <v/>
      </c>
      <c r="V66" s="31" t="str">
        <f>IF($D66="","",IFERROR(VLOOKUP($B66,Kraftvärmeprod!$B$1:$BX$550,MATCH(V$2,Kraftvärmeprod!$B$1:$VX$1,0),FALSE)/1,0)-IFERROR(VLOOKUP($B66,'Slutlig allokering kvv'!$B$2:$BX$550,MATCH(V$2,'Slutlig allokering kvv'!$B$1:$BX$1,0),FALSE)/1,0))</f>
        <v/>
      </c>
      <c r="W66" s="31" t="str">
        <f>IF($D66="","",IFERROR(VLOOKUP($B66,Kraftvärmeprod!$B$1:$BX$550,MATCH(W$2,Kraftvärmeprod!$B$1:$VX$1,0),FALSE)/1,0)-IFERROR(VLOOKUP($B66,'Slutlig allokering kvv'!$B$2:$BX$550,MATCH(W$2,'Slutlig allokering kvv'!$B$1:$BX$1,0),FALSE)/1,0))</f>
        <v/>
      </c>
      <c r="X66" s="31" t="str">
        <f>IF($D66="","",IFERROR(VLOOKUP($B66,Kraftvärmeprod!$B$1:$BX$550,MATCH(X$2,Kraftvärmeprod!$B$1:$VX$1,0),FALSE)/1,0)-IFERROR(VLOOKUP($B66,'Slutlig allokering kvv'!$B$2:$BX$550,MATCH(X$2,'Slutlig allokering kvv'!$B$1:$BX$1,0),FALSE)/1,0))</f>
        <v/>
      </c>
      <c r="Y66" s="31" t="str">
        <f>IF($D66="","",IFERROR(VLOOKUP($B66,Kraftvärmeprod!$B$1:$BX$550,MATCH(Y$2,Kraftvärmeprod!$B$1:$VX$1,0),FALSE)/1,0)-IFERROR(VLOOKUP($B66,'Slutlig allokering kvv'!$B$2:$BX$550,MATCH(Y$2,'Slutlig allokering kvv'!$B$1:$BX$1,0),FALSE)/1,0))</f>
        <v/>
      </c>
      <c r="Z66" s="31" t="str">
        <f>IF($D66="","",IFERROR(VLOOKUP($B66,Kraftvärmeprod!$B$1:$BX$550,MATCH(Z$2,Kraftvärmeprod!$B$1:$VX$1,0),FALSE)/1,0)-IFERROR(VLOOKUP($B66,'Slutlig allokering kvv'!$B$2:$BX$550,MATCH(Z$2,'Slutlig allokering kvv'!$B$1:$BX$1,0),FALSE)/1,0))</f>
        <v/>
      </c>
      <c r="AA66" s="31" t="str">
        <f>IF($D66="","",IFERROR(VLOOKUP($B66,Kraftvärmeprod!$B$1:$BX$550,MATCH(AA$2,Kraftvärmeprod!$B$1:$VX$1,0),FALSE)/1,0)-IFERROR(VLOOKUP($B66,'Slutlig allokering kvv'!$B$2:$BX$550,MATCH(AA$2,'Slutlig allokering kvv'!$B$1:$BX$1,0),FALSE)/1,0))</f>
        <v/>
      </c>
      <c r="AB66" s="31" t="str">
        <f>IF($D66="","",IFERROR(VLOOKUP($B66,Kraftvärmeprod!$B$1:$BX$550,MATCH(AB$2,Kraftvärmeprod!$B$1:$VX$1,0),FALSE)/1,0)-IFERROR(VLOOKUP($B66,'Slutlig allokering kvv'!$B$2:$BX$550,MATCH(AB$2,'Slutlig allokering kvv'!$B$1:$BX$1,0),FALSE)/1,0))</f>
        <v/>
      </c>
      <c r="AC66" s="31" t="str">
        <f>IF($D66="","",IFERROR(VLOOKUP($B66,Kraftvärmeprod!$B$1:$BX$550,MATCH(AC$2,Kraftvärmeprod!$B$1:$VX$1,0),FALSE)/1,0)-IFERROR(VLOOKUP($B66,'Slutlig allokering kvv'!$B$2:$BX$550,MATCH(AC$2,'Slutlig allokering kvv'!$B$1:$BX$1,0),FALSE)/1,0))</f>
        <v/>
      </c>
      <c r="AD66" s="31" t="str">
        <f>IF($D66="","",IFERROR(VLOOKUP($B66,Kraftvärmeprod!$B$1:$BX$550,MATCH(AD$2,Kraftvärmeprod!$B$1:$VX$1,0),FALSE)/1,0)-IFERROR(VLOOKUP($B66,'Slutlig allokering kvv'!$B$2:$BX$550,MATCH(AD$2,'Slutlig allokering kvv'!$B$1:$BX$1,0),FALSE)/1,0))</f>
        <v/>
      </c>
      <c r="AE66" s="31" t="str">
        <f>IF($D66="","",IFERROR(VLOOKUP($B66,Miljö!$B$1:$E$550,MATCH("Hjälpel kraftvärme (GWh)",Miljö!$B$1:$E$1,0),FALSE)/1,0)-IFERROR(VLOOKUP($B66,'Slutlig allokering kvv'!$B$2:$BX$549,MATCH(AE$2,'Slutlig allokering kvv'!$B$1:$BX$1,0),FALSE)/1,0))</f>
        <v/>
      </c>
      <c r="AI66" s="39">
        <f t="shared" si="0"/>
        <v>0</v>
      </c>
      <c r="AK66" s="31">
        <f>IFERROR(VLOOKUP($B66,'Slutlig allokering kvv'!$B$2:$AX$549,MATCH("Summa slutlig allokerad tillförd energi (utan hjälpel och rökgaskondensering):",'Slutlig allokering kvv'!$B$1:$AX$1,0),FALSE)/1,"")</f>
        <v>0</v>
      </c>
      <c r="AM66" s="31" t="str">
        <f>IFERROR(1-VLOOKUP($B66,'Slutlig allokering kvv'!$B$2:$AX$549,MATCH("Andel av bränsle i kvv som allokerats till värme, exklusive rökgaskondensering och hjälpel",'Slutlig allokering kvv'!$B$1:$AX$1,0),FALSE),"")</f>
        <v/>
      </c>
      <c r="AO66" s="31" t="str">
        <f t="shared" si="1"/>
        <v/>
      </c>
      <c r="AP66" s="31" t="str">
        <f t="shared" si="2"/>
        <v/>
      </c>
      <c r="AR66" s="32" t="str">
        <f t="shared" si="3"/>
        <v/>
      </c>
    </row>
    <row r="67" spans="1:44" s="31" customFormat="1" x14ac:dyDescent="0.45">
      <c r="A67" s="31" t="s">
        <v>601</v>
      </c>
      <c r="B67" s="31" t="s">
        <v>600</v>
      </c>
      <c r="C67" s="31">
        <f>IFERROR(VLOOKUP($B67,Kraftvärmeprod!$B$1:$AH$479,MATCH(C$2,Kraftvärmeprod!$B$1:$AG$1,0),FALSE)/1,"")</f>
        <v>198</v>
      </c>
      <c r="D67" s="31">
        <f>IFERROR(VLOOKUP($B67,Kraftvärmeprod!$B$1:$AH$479,MATCH(D$2,Kraftvärmeprod!$B$1:$AG$1,0),FALSE)/1,"")</f>
        <v>77.5</v>
      </c>
      <c r="F67" s="31">
        <f>IF($D67="","",IFERROR(VLOOKUP($B67,Kraftvärmeprod!$B$1:$BX$550,MATCH(F$2,Kraftvärmeprod!$B$1:$VX$1,0),FALSE)/1,0)-IFERROR(VLOOKUP($B67,'Slutlig allokering kvv'!$B$2:$BX$550,MATCH(F$2,'Slutlig allokering kvv'!$B$1:$BX$1,0),FALSE)/1,0))</f>
        <v>0</v>
      </c>
      <c r="G67" s="31">
        <f>IF($D67="","",IFERROR(VLOOKUP($B67,Kraftvärmeprod!$B$1:$BX$550,MATCH(G$2,Kraftvärmeprod!$B$1:$VX$1,0),FALSE)/1,0)-IFERROR(VLOOKUP($B67,'Slutlig allokering kvv'!$B$2:$BX$550,MATCH(G$2,'Slutlig allokering kvv'!$B$1:$BX$1,0),FALSE)/1,0))</f>
        <v>0.35350300000000007</v>
      </c>
      <c r="H67" s="31">
        <f>IF($D67="","",IFERROR(VLOOKUP($B67,Kraftvärmeprod!$B$1:$BX$550,MATCH(H$2,Kraftvärmeprod!$B$1:$VX$1,0),FALSE)/1,0)-IFERROR(VLOOKUP($B67,'Slutlig allokering kvv'!$B$2:$BX$550,MATCH(H$2,'Slutlig allokering kvv'!$B$1:$BX$1,0),FALSE)/1,0))</f>
        <v>0</v>
      </c>
      <c r="I67" s="31">
        <f>IF($D67="","",IFERROR(VLOOKUP($B67,Kraftvärmeprod!$B$1:$BX$550,MATCH(I$2,Kraftvärmeprod!$B$1:$VX$1,0),FALSE)/1,0)-IFERROR(VLOOKUP($B67,'Slutlig allokering kvv'!$B$2:$BX$550,MATCH(I$2,'Slutlig allokering kvv'!$B$1:$BX$1,0),FALSE)/1,0))</f>
        <v>0</v>
      </c>
      <c r="J67" s="31">
        <f>IF($D67="","",IFERROR(VLOOKUP($B67,Kraftvärmeprod!$B$1:$BX$550,MATCH(J$2,Kraftvärmeprod!$B$1:$VX$1,0),FALSE)/1,0)-IFERROR(VLOOKUP($B67,'Slutlig allokering kvv'!$B$2:$BX$550,MATCH(J$2,'Slutlig allokering kvv'!$B$1:$BX$1,0),FALSE)/1,0))</f>
        <v>0</v>
      </c>
      <c r="K67" s="31">
        <f>IF($D67="","",IFERROR(VLOOKUP($B67,Kraftvärmeprod!$B$1:$BX$550,MATCH(K$2,Kraftvärmeprod!$B$1:$VX$1,0),FALSE)/1,0)-IFERROR(VLOOKUP($B67,'Slutlig allokering kvv'!$B$2:$BX$550,MATCH(K$2,'Slutlig allokering kvv'!$B$1:$BX$1,0),FALSE)/1,0))</f>
        <v>0</v>
      </c>
      <c r="L67" s="31">
        <f>IF($D67="","",IFERROR(VLOOKUP($B67,Kraftvärmeprod!$B$1:$BX$550,MATCH(L$2,Kraftvärmeprod!$B$1:$VX$1,0),FALSE)/1,0)-IFERROR(VLOOKUP($B67,'Slutlig allokering kvv'!$B$2:$BX$550,MATCH(L$2,'Slutlig allokering kvv'!$B$1:$BX$1,0),FALSE)/1,0))</f>
        <v>16.764800000000005</v>
      </c>
      <c r="M67" s="31">
        <f>IF($D67="","",IFERROR(VLOOKUP($B67,Kraftvärmeprod!$B$1:$BX$550,MATCH(M$2,Kraftvärmeprod!$B$1:$VX$1,0),FALSE)/1,0)-IFERROR(VLOOKUP($B67,'Slutlig allokering kvv'!$B$2:$BX$550,MATCH(M$2,'Slutlig allokering kvv'!$B$1:$BX$1,0),FALSE)/1,0))</f>
        <v>0</v>
      </c>
      <c r="N67" s="31">
        <f>IF($D67="","",IFERROR(VLOOKUP($B67,Kraftvärmeprod!$B$1:$BX$550,MATCH(N$2,Kraftvärmeprod!$B$1:$VX$1,0),FALSE)/1,0)-IFERROR(VLOOKUP($B67,'Slutlig allokering kvv'!$B$2:$BX$550,MATCH(N$2,'Slutlig allokering kvv'!$B$1:$BX$1,0),FALSE)/1,0))</f>
        <v>0</v>
      </c>
      <c r="O67" s="31">
        <f>IF($D67="","",IFERROR(VLOOKUP($B67,Kraftvärmeprod!$B$1:$BX$550,MATCH(O$2,Kraftvärmeprod!$B$1:$VX$1,0),FALSE)/1,0)-IFERROR(VLOOKUP($B67,'Slutlig allokering kvv'!$B$2:$BX$550,MATCH(O$2,'Slutlig allokering kvv'!$B$1:$BX$1,0),FALSE)/1,0))</f>
        <v>0</v>
      </c>
      <c r="P67" s="31">
        <f>IF($D67="","",IFERROR(VLOOKUP($B67,Kraftvärmeprod!$B$1:$BX$550,MATCH(P$2,Kraftvärmeprod!$B$1:$VX$1,0),FALSE)/1,0)-IFERROR(VLOOKUP($B67,'Slutlig allokering kvv'!$B$2:$BX$550,MATCH(P$2,'Slutlig allokering kvv'!$B$1:$BX$1,0),FALSE)/1,0))</f>
        <v>0</v>
      </c>
      <c r="Q67" s="31">
        <f>IF($D67="","",IFERROR(VLOOKUP($B67,Kraftvärmeprod!$B$1:$BX$550,MATCH(Q$2,Kraftvärmeprod!$B$1:$VX$1,0),FALSE)/1,0)-IFERROR(VLOOKUP($B67,'Slutlig allokering kvv'!$B$2:$BX$550,MATCH(Q$2,'Slutlig allokering kvv'!$B$1:$BX$1,0),FALSE)/1,0))</f>
        <v>0</v>
      </c>
      <c r="R67" s="31">
        <f>IF($D67="","",IFERROR(VLOOKUP($B67,Kraftvärmeprod!$B$1:$BX$550,MATCH(R$2,Kraftvärmeprod!$B$1:$VX$1,0),FALSE)/1,0)-IFERROR(VLOOKUP($B67,'Slutlig allokering kvv'!$B$2:$BX$550,MATCH(R$2,'Slutlig allokering kvv'!$B$1:$BX$1,0),FALSE)/1,0))</f>
        <v>0</v>
      </c>
      <c r="S67" s="31">
        <f>IF($D67="","",IFERROR(VLOOKUP($B67,Kraftvärmeprod!$B$1:$BX$550,MATCH(S$2,Kraftvärmeprod!$B$1:$VX$1,0),FALSE)/1,0)-IFERROR(VLOOKUP($B67,'Slutlig allokering kvv'!$B$2:$BX$550,MATCH(S$2,'Slutlig allokering kvv'!$B$1:$BX$1,0),FALSE)/1,0))</f>
        <v>0</v>
      </c>
      <c r="T67" s="31">
        <f>IF($D67="","",IFERROR(VLOOKUP($B67,Kraftvärmeprod!$B$1:$BX$550,MATCH(T$2,Kraftvärmeprod!$B$1:$VX$1,0),FALSE)/1,0)-IFERROR(VLOOKUP($B67,'Slutlig allokering kvv'!$B$2:$BX$550,MATCH(T$2,'Slutlig allokering kvv'!$B$1:$BX$1,0),FALSE)/1,0))</f>
        <v>0</v>
      </c>
      <c r="U67" s="31">
        <f>IF($D67="","",IFERROR(VLOOKUP($B67,Kraftvärmeprod!$B$1:$BX$550,MATCH(U$2,Kraftvärmeprod!$B$1:$VX$1,0),FALSE)/1,0)-IFERROR(VLOOKUP($B67,'Slutlig allokering kvv'!$B$2:$BX$550,MATCH(U$2,'Slutlig allokering kvv'!$B$1:$BX$1,0),FALSE)/1,0))</f>
        <v>0</v>
      </c>
      <c r="V67" s="31">
        <f>IF($D67="","",IFERROR(VLOOKUP($B67,Kraftvärmeprod!$B$1:$BX$550,MATCH(V$2,Kraftvärmeprod!$B$1:$VX$1,0),FALSE)/1,0)-IFERROR(VLOOKUP($B67,'Slutlig allokering kvv'!$B$2:$BX$550,MATCH(V$2,'Slutlig allokering kvv'!$B$1:$BX$1,0),FALSE)/1,0))</f>
        <v>174.566</v>
      </c>
      <c r="W67" s="31">
        <f>IF($D67="","",IFERROR(VLOOKUP($B67,Kraftvärmeprod!$B$1:$BX$550,MATCH(W$2,Kraftvärmeprod!$B$1:$VX$1,0),FALSE)/1,0)-IFERROR(VLOOKUP($B67,'Slutlig allokering kvv'!$B$2:$BX$550,MATCH(W$2,'Slutlig allokering kvv'!$B$1:$BX$1,0),FALSE)/1,0))</f>
        <v>0</v>
      </c>
      <c r="X67" s="31">
        <f>IF($D67="","",IFERROR(VLOOKUP($B67,Kraftvärmeprod!$B$1:$BX$550,MATCH(X$2,Kraftvärmeprod!$B$1:$VX$1,0),FALSE)/1,0)-IFERROR(VLOOKUP($B67,'Slutlig allokering kvv'!$B$2:$BX$550,MATCH(X$2,'Slutlig allokering kvv'!$B$1:$BX$1,0),FALSE)/1,0))</f>
        <v>0</v>
      </c>
      <c r="Y67" s="31">
        <f>IF($D67="","",IFERROR(VLOOKUP($B67,Kraftvärmeprod!$B$1:$BX$550,MATCH(Y$2,Kraftvärmeprod!$B$1:$VX$1,0),FALSE)/1,0)-IFERROR(VLOOKUP($B67,'Slutlig allokering kvv'!$B$2:$BX$550,MATCH(Y$2,'Slutlig allokering kvv'!$B$1:$BX$1,0),FALSE)/1,0))</f>
        <v>0</v>
      </c>
      <c r="Z67" s="31">
        <f>IF($D67="","",IFERROR(VLOOKUP($B67,Kraftvärmeprod!$B$1:$BX$550,MATCH(Z$2,Kraftvärmeprod!$B$1:$VX$1,0),FALSE)/1,0)-IFERROR(VLOOKUP($B67,'Slutlig allokering kvv'!$B$2:$BX$550,MATCH(Z$2,'Slutlig allokering kvv'!$B$1:$BX$1,0),FALSE)/1,0))</f>
        <v>0</v>
      </c>
      <c r="AA67" s="31">
        <f>IF($D67="","",IFERROR(VLOOKUP($B67,Kraftvärmeprod!$B$1:$BX$550,MATCH(AA$2,Kraftvärmeprod!$B$1:$VX$1,0),FALSE)/1,0)-IFERROR(VLOOKUP($B67,'Slutlig allokering kvv'!$B$2:$BX$550,MATCH(AA$2,'Slutlig allokering kvv'!$B$1:$BX$1,0),FALSE)/1,0))</f>
        <v>0</v>
      </c>
      <c r="AB67" s="31">
        <f>IF($D67="","",IFERROR(VLOOKUP($B67,Kraftvärmeprod!$B$1:$BX$550,MATCH(AB$2,Kraftvärmeprod!$B$1:$VX$1,0),FALSE)/1,0)-IFERROR(VLOOKUP($B67,'Slutlig allokering kvv'!$B$2:$BX$550,MATCH(AB$2,'Slutlig allokering kvv'!$B$1:$BX$1,0),FALSE)/1,0))</f>
        <v>0</v>
      </c>
      <c r="AC67" s="31">
        <f>IF($D67="","",IFERROR(VLOOKUP($B67,Kraftvärmeprod!$B$1:$BX$550,MATCH(AC$2,Kraftvärmeprod!$B$1:$VX$1,0),FALSE)/1,0)-IFERROR(VLOOKUP($B67,'Slutlig allokering kvv'!$B$2:$BX$550,MATCH(AC$2,'Slutlig allokering kvv'!$B$1:$BX$1,0),FALSE)/1,0))</f>
        <v>0</v>
      </c>
      <c r="AD67" s="31">
        <f>IF($D67="","",IFERROR(VLOOKUP($B67,Kraftvärmeprod!$B$1:$BX$550,MATCH(AD$2,Kraftvärmeprod!$B$1:$VX$1,0),FALSE)/1,0)-IFERROR(VLOOKUP($B67,'Slutlig allokering kvv'!$B$2:$BX$550,MATCH(AD$2,'Slutlig allokering kvv'!$B$1:$BX$1,0),FALSE)/1,0))</f>
        <v>0</v>
      </c>
      <c r="AE67" s="31">
        <f>IF($D67="","",IFERROR(VLOOKUP($B67,Miljö!$B$1:$E$550,MATCH("Hjälpel kraftvärme (GWh)",Miljö!$B$1:$E$1,0),FALSE)/1,0)-IFERROR(VLOOKUP($B67,'Slutlig allokering kvv'!$B$2:$BX$549,MATCH(AE$2,'Slutlig allokering kvv'!$B$1:$BX$1,0),FALSE)/1,0))</f>
        <v>5.1492799999999992</v>
      </c>
      <c r="AI67" s="39">
        <f t="shared" si="0"/>
        <v>191.684303</v>
      </c>
      <c r="AK67" s="31">
        <f>IFERROR(VLOOKUP($B67,'Slutlig allokering kvv'!$B$2:$AX$549,MATCH("Summa slutlig allokerad tillförd energi (utan hjälpel och rökgaskondensering):",'Slutlig allokering kvv'!$B$1:$AX$1,0),FALSE)/1,"")</f>
        <v>188.01569699999999</v>
      </c>
      <c r="AM67" s="31">
        <f>IFERROR(1-VLOOKUP($B67,'Slutlig allokering kvv'!$B$2:$AX$549,MATCH("Andel av bränsle i kvv som allokerats till värme, exklusive rökgaskondensering och hjälpel",'Slutlig allokering kvv'!$B$1:$AX$1,0),FALSE),"")</f>
        <v>0.50483092704766919</v>
      </c>
      <c r="AO67" s="31">
        <f t="shared" si="1"/>
        <v>0.50483092704766919</v>
      </c>
      <c r="AP67" s="31">
        <f t="shared" si="2"/>
        <v>0</v>
      </c>
      <c r="AR67" s="32">
        <f t="shared" si="3"/>
        <v>0.39373362420578401</v>
      </c>
    </row>
    <row r="68" spans="1:44" s="31" customFormat="1" x14ac:dyDescent="0.45">
      <c r="A68" s="31" t="s">
        <v>597</v>
      </c>
      <c r="B68" s="31" t="s">
        <v>599</v>
      </c>
      <c r="C68" s="31">
        <f>IFERROR(VLOOKUP($B68,Kraftvärmeprod!$B$1:$AH$479,MATCH(C$2,Kraftvärmeprod!$B$1:$AG$1,0),FALSE)/1,"")</f>
        <v>557.33500000000004</v>
      </c>
      <c r="D68" s="31">
        <f>IFERROR(VLOOKUP($B68,Kraftvärmeprod!$B$1:$AH$479,MATCH(D$2,Kraftvärmeprod!$B$1:$AG$1,0),FALSE)/1,"")</f>
        <v>183.82400000000001</v>
      </c>
      <c r="F68" s="31">
        <f>IF($D68="","",IFERROR(VLOOKUP($B68,Kraftvärmeprod!$B$1:$BX$550,MATCH(F$2,Kraftvärmeprod!$B$1:$VX$1,0),FALSE)/1,0)-IFERROR(VLOOKUP($B68,'Slutlig allokering kvv'!$B$2:$BX$550,MATCH(F$2,'Slutlig allokering kvv'!$B$1:$BX$1,0),FALSE)/1,0))</f>
        <v>0</v>
      </c>
      <c r="G68" s="31">
        <f>IF($D68="","",IFERROR(VLOOKUP($B68,Kraftvärmeprod!$B$1:$BX$550,MATCH(G$2,Kraftvärmeprod!$B$1:$VX$1,0),FALSE)/1,0)-IFERROR(VLOOKUP($B68,'Slutlig allokering kvv'!$B$2:$BX$550,MATCH(G$2,'Slutlig allokering kvv'!$B$1:$BX$1,0),FALSE)/1,0))</f>
        <v>0</v>
      </c>
      <c r="H68" s="31">
        <f>IF($D68="","",IFERROR(VLOOKUP($B68,Kraftvärmeprod!$B$1:$BX$550,MATCH(H$2,Kraftvärmeprod!$B$1:$VX$1,0),FALSE)/1,0)-IFERROR(VLOOKUP($B68,'Slutlig allokering kvv'!$B$2:$BX$550,MATCH(H$2,'Slutlig allokering kvv'!$B$1:$BX$1,0),FALSE)/1,0))</f>
        <v>0</v>
      </c>
      <c r="I68" s="31">
        <f>IF($D68="","",IFERROR(VLOOKUP($B68,Kraftvärmeprod!$B$1:$BX$550,MATCH(I$2,Kraftvärmeprod!$B$1:$VX$1,0),FALSE)/1,0)-IFERROR(VLOOKUP($B68,'Slutlig allokering kvv'!$B$2:$BX$550,MATCH(I$2,'Slutlig allokering kvv'!$B$1:$BX$1,0),FALSE)/1,0))</f>
        <v>0</v>
      </c>
      <c r="J68" s="31">
        <f>IF($D68="","",IFERROR(VLOOKUP($B68,Kraftvärmeprod!$B$1:$BX$550,MATCH(J$2,Kraftvärmeprod!$B$1:$VX$1,0),FALSE)/1,0)-IFERROR(VLOOKUP($B68,'Slutlig allokering kvv'!$B$2:$BX$550,MATCH(J$2,'Slutlig allokering kvv'!$B$1:$BX$1,0),FALSE)/1,0))</f>
        <v>0</v>
      </c>
      <c r="K68" s="31">
        <f>IF($D68="","",IFERROR(VLOOKUP($B68,Kraftvärmeprod!$B$1:$BX$550,MATCH(K$2,Kraftvärmeprod!$B$1:$VX$1,0),FALSE)/1,0)-IFERROR(VLOOKUP($B68,'Slutlig allokering kvv'!$B$2:$BX$550,MATCH(K$2,'Slutlig allokering kvv'!$B$1:$BX$1,0),FALSE)/1,0))</f>
        <v>0</v>
      </c>
      <c r="L68" s="31">
        <f>IF($D68="","",IFERROR(VLOOKUP($B68,Kraftvärmeprod!$B$1:$BX$550,MATCH(L$2,Kraftvärmeprod!$B$1:$VX$1,0),FALSE)/1,0)-IFERROR(VLOOKUP($B68,'Slutlig allokering kvv'!$B$2:$BX$550,MATCH(L$2,'Slutlig allokering kvv'!$B$1:$BX$1,0),FALSE)/1,0))</f>
        <v>244.55700000000002</v>
      </c>
      <c r="M68" s="31">
        <f>IF($D68="","",IFERROR(VLOOKUP($B68,Kraftvärmeprod!$B$1:$BX$550,MATCH(M$2,Kraftvärmeprod!$B$1:$VX$1,0),FALSE)/1,0)-IFERROR(VLOOKUP($B68,'Slutlig allokering kvv'!$B$2:$BX$550,MATCH(M$2,'Slutlig allokering kvv'!$B$1:$BX$1,0),FALSE)/1,0))</f>
        <v>77.759499999999989</v>
      </c>
      <c r="N68" s="31">
        <f>IF($D68="","",IFERROR(VLOOKUP($B68,Kraftvärmeprod!$B$1:$BX$550,MATCH(N$2,Kraftvärmeprod!$B$1:$VX$1,0),FALSE)/1,0)-IFERROR(VLOOKUP($B68,'Slutlig allokering kvv'!$B$2:$BX$550,MATCH(N$2,'Slutlig allokering kvv'!$B$1:$BX$1,0),FALSE)/1,0))</f>
        <v>0</v>
      </c>
      <c r="O68" s="31">
        <f>IF($D68="","",IFERROR(VLOOKUP($B68,Kraftvärmeprod!$B$1:$BX$550,MATCH(O$2,Kraftvärmeprod!$B$1:$VX$1,0),FALSE)/1,0)-IFERROR(VLOOKUP($B68,'Slutlig allokering kvv'!$B$2:$BX$550,MATCH(O$2,'Slutlig allokering kvv'!$B$1:$BX$1,0),FALSE)/1,0))</f>
        <v>0</v>
      </c>
      <c r="P68" s="31">
        <f>IF($D68="","",IFERROR(VLOOKUP($B68,Kraftvärmeprod!$B$1:$BX$550,MATCH(P$2,Kraftvärmeprod!$B$1:$VX$1,0),FALSE)/1,0)-IFERROR(VLOOKUP($B68,'Slutlig allokering kvv'!$B$2:$BX$550,MATCH(P$2,'Slutlig allokering kvv'!$B$1:$BX$1,0),FALSE)/1,0))</f>
        <v>0</v>
      </c>
      <c r="Q68" s="31">
        <f>IF($D68="","",IFERROR(VLOOKUP($B68,Kraftvärmeprod!$B$1:$BX$550,MATCH(Q$2,Kraftvärmeprod!$B$1:$VX$1,0),FALSE)/1,0)-IFERROR(VLOOKUP($B68,'Slutlig allokering kvv'!$B$2:$BX$550,MATCH(Q$2,'Slutlig allokering kvv'!$B$1:$BX$1,0),FALSE)/1,0))</f>
        <v>0</v>
      </c>
      <c r="R68" s="31">
        <f>IF($D68="","",IFERROR(VLOOKUP($B68,Kraftvärmeprod!$B$1:$BX$550,MATCH(R$2,Kraftvärmeprod!$B$1:$VX$1,0),FALSE)/1,0)-IFERROR(VLOOKUP($B68,'Slutlig allokering kvv'!$B$2:$BX$550,MATCH(R$2,'Slutlig allokering kvv'!$B$1:$BX$1,0),FALSE)/1,0))</f>
        <v>0</v>
      </c>
      <c r="S68" s="31">
        <f>IF($D68="","",IFERROR(VLOOKUP($B68,Kraftvärmeprod!$B$1:$BX$550,MATCH(S$2,Kraftvärmeprod!$B$1:$VX$1,0),FALSE)/1,0)-IFERROR(VLOOKUP($B68,'Slutlig allokering kvv'!$B$2:$BX$550,MATCH(S$2,'Slutlig allokering kvv'!$B$1:$BX$1,0),FALSE)/1,0))</f>
        <v>0</v>
      </c>
      <c r="T68" s="31">
        <f>IF($D68="","",IFERROR(VLOOKUP($B68,Kraftvärmeprod!$B$1:$BX$550,MATCH(T$2,Kraftvärmeprod!$B$1:$VX$1,0),FALSE)/1,0)-IFERROR(VLOOKUP($B68,'Slutlig allokering kvv'!$B$2:$BX$550,MATCH(T$2,'Slutlig allokering kvv'!$B$1:$BX$1,0),FALSE)/1,0))</f>
        <v>0</v>
      </c>
      <c r="U68" s="31">
        <f>IF($D68="","",IFERROR(VLOOKUP($B68,Kraftvärmeprod!$B$1:$BX$550,MATCH(U$2,Kraftvärmeprod!$B$1:$VX$1,0),FALSE)/1,0)-IFERROR(VLOOKUP($B68,'Slutlig allokering kvv'!$B$2:$BX$550,MATCH(U$2,'Slutlig allokering kvv'!$B$1:$BX$1,0),FALSE)/1,0))</f>
        <v>0</v>
      </c>
      <c r="V68" s="31">
        <f>IF($D68="","",IFERROR(VLOOKUP($B68,Kraftvärmeprod!$B$1:$BX$550,MATCH(V$2,Kraftvärmeprod!$B$1:$VX$1,0),FALSE)/1,0)-IFERROR(VLOOKUP($B68,'Slutlig allokering kvv'!$B$2:$BX$550,MATCH(V$2,'Slutlig allokering kvv'!$B$1:$BX$1,0),FALSE)/1,0))</f>
        <v>0</v>
      </c>
      <c r="W68" s="31">
        <f>IF($D68="","",IFERROR(VLOOKUP($B68,Kraftvärmeprod!$B$1:$BX$550,MATCH(W$2,Kraftvärmeprod!$B$1:$VX$1,0),FALSE)/1,0)-IFERROR(VLOOKUP($B68,'Slutlig allokering kvv'!$B$2:$BX$550,MATCH(W$2,'Slutlig allokering kvv'!$B$1:$BX$1,0),FALSE)/1,0))</f>
        <v>0</v>
      </c>
      <c r="X68" s="31">
        <f>IF($D68="","",IFERROR(VLOOKUP($B68,Kraftvärmeprod!$B$1:$BX$550,MATCH(X$2,Kraftvärmeprod!$B$1:$VX$1,0),FALSE)/1,0)-IFERROR(VLOOKUP($B68,'Slutlig allokering kvv'!$B$2:$BX$550,MATCH(X$2,'Slutlig allokering kvv'!$B$1:$BX$1,0),FALSE)/1,0))</f>
        <v>0</v>
      </c>
      <c r="Y68" s="31">
        <f>IF($D68="","",IFERROR(VLOOKUP($B68,Kraftvärmeprod!$B$1:$BX$550,MATCH(Y$2,Kraftvärmeprod!$B$1:$VX$1,0),FALSE)/1,0)-IFERROR(VLOOKUP($B68,'Slutlig allokering kvv'!$B$2:$BX$550,MATCH(Y$2,'Slutlig allokering kvv'!$B$1:$BX$1,0),FALSE)/1,0))</f>
        <v>0</v>
      </c>
      <c r="Z68" s="31">
        <f>IF($D68="","",IFERROR(VLOOKUP($B68,Kraftvärmeprod!$B$1:$BX$550,MATCH(Z$2,Kraftvärmeprod!$B$1:$VX$1,0),FALSE)/1,0)-IFERROR(VLOOKUP($B68,'Slutlig allokering kvv'!$B$2:$BX$550,MATCH(Z$2,'Slutlig allokering kvv'!$B$1:$BX$1,0),FALSE)/1,0))</f>
        <v>0</v>
      </c>
      <c r="AA68" s="31">
        <f>IF($D68="","",IFERROR(VLOOKUP($B68,Kraftvärmeprod!$B$1:$BX$550,MATCH(AA$2,Kraftvärmeprod!$B$1:$VX$1,0),FALSE)/1,0)-IFERROR(VLOOKUP($B68,'Slutlig allokering kvv'!$B$2:$BX$550,MATCH(AA$2,'Slutlig allokering kvv'!$B$1:$BX$1,0),FALSE)/1,0))</f>
        <v>0</v>
      </c>
      <c r="AB68" s="31">
        <f>IF($D68="","",IFERROR(VLOOKUP($B68,Kraftvärmeprod!$B$1:$BX$550,MATCH(AB$2,Kraftvärmeprod!$B$1:$VX$1,0),FALSE)/1,0)-IFERROR(VLOOKUP($B68,'Slutlig allokering kvv'!$B$2:$BX$550,MATCH(AB$2,'Slutlig allokering kvv'!$B$1:$BX$1,0),FALSE)/1,0))</f>
        <v>0</v>
      </c>
      <c r="AC68" s="31">
        <f>IF($D68="","",IFERROR(VLOOKUP($B68,Kraftvärmeprod!$B$1:$BX$550,MATCH(AC$2,Kraftvärmeprod!$B$1:$VX$1,0),FALSE)/1,0)-IFERROR(VLOOKUP($B68,'Slutlig allokering kvv'!$B$2:$BX$550,MATCH(AC$2,'Slutlig allokering kvv'!$B$1:$BX$1,0),FALSE)/1,0))</f>
        <v>0</v>
      </c>
      <c r="AD68" s="31">
        <f>IF($D68="","",IFERROR(VLOOKUP($B68,Kraftvärmeprod!$B$1:$BX$550,MATCH(AD$2,Kraftvärmeprod!$B$1:$VX$1,0),FALSE)/1,0)-IFERROR(VLOOKUP($B68,'Slutlig allokering kvv'!$B$2:$BX$550,MATCH(AD$2,'Slutlig allokering kvv'!$B$1:$BX$1,0),FALSE)/1,0))</f>
        <v>0</v>
      </c>
      <c r="AE68" s="31">
        <f>IF($D68="","",IFERROR(VLOOKUP($B68,Miljö!$B$1:$E$550,MATCH("Hjälpel kraftvärme (GWh)",Miljö!$B$1:$E$1,0),FALSE)/1,0)-IFERROR(VLOOKUP($B68,'Slutlig allokering kvv'!$B$2:$BX$549,MATCH(AE$2,'Slutlig allokering kvv'!$B$1:$BX$1,0),FALSE)/1,0))</f>
        <v>9.8345000000000002</v>
      </c>
      <c r="AI68" s="39">
        <f t="shared" ref="AI68:AI131" si="4">SUM(F68:AC68)</f>
        <v>322.31650000000002</v>
      </c>
      <c r="AK68" s="31">
        <f>IFERROR(VLOOKUP($B68,'Slutlig allokering kvv'!$B$2:$AX$549,MATCH("Summa slutlig allokerad tillförd energi (utan hjälpel och rökgaskondensering):",'Slutlig allokering kvv'!$B$1:$AX$1,0),FALSE)/1,"")</f>
        <v>374.98450000000003</v>
      </c>
      <c r="AM68" s="31">
        <f>IFERROR(1-VLOOKUP($B68,'Slutlig allokering kvv'!$B$2:$AX$549,MATCH("Andel av bränsle i kvv som allokerats till värme, exklusive rökgaskondensering och hjälpel",'Slutlig allokering kvv'!$B$1:$AX$1,0),FALSE),"")</f>
        <v>0.46223438658484639</v>
      </c>
      <c r="AO68" s="31">
        <f t="shared" ref="AO68:AO131" si="5">IFERROR(AI68/(AI68+AK68),"")</f>
        <v>0.46223438658484645</v>
      </c>
      <c r="AP68" s="31">
        <f t="shared" ref="AP68:AP131" si="6">IFERROR(AM68-AO68,"")</f>
        <v>-5.5511151231257827E-17</v>
      </c>
      <c r="AR68" s="32">
        <f t="shared" ref="AR68:AR131" si="7">IFERROR(D68/(AI68+AE68),"")</f>
        <v>0.5534350340658315</v>
      </c>
    </row>
    <row r="69" spans="1:44" s="31" customFormat="1" x14ac:dyDescent="0.45">
      <c r="A69" s="31" t="s">
        <v>597</v>
      </c>
      <c r="B69" s="31" t="s">
        <v>598</v>
      </c>
      <c r="C69" s="31" t="str">
        <f>IFERROR(VLOOKUP($B69,Kraftvärmeprod!$B$1:$AH$479,MATCH(C$2,Kraftvärmeprod!$B$1:$AG$1,0),FALSE)/1,"")</f>
        <v/>
      </c>
      <c r="D69" s="31" t="str">
        <f>IFERROR(VLOOKUP($B69,Kraftvärmeprod!$B$1:$AH$479,MATCH(D$2,Kraftvärmeprod!$B$1:$AG$1,0),FALSE)/1,"")</f>
        <v/>
      </c>
      <c r="F69" s="31" t="str">
        <f>IF($D69="","",IFERROR(VLOOKUP($B69,Kraftvärmeprod!$B$1:$BX$550,MATCH(F$2,Kraftvärmeprod!$B$1:$VX$1,0),FALSE)/1,0)-IFERROR(VLOOKUP($B69,'Slutlig allokering kvv'!$B$2:$BX$550,MATCH(F$2,'Slutlig allokering kvv'!$B$1:$BX$1,0),FALSE)/1,0))</f>
        <v/>
      </c>
      <c r="G69" s="31" t="str">
        <f>IF($D69="","",IFERROR(VLOOKUP($B69,Kraftvärmeprod!$B$1:$BX$550,MATCH(G$2,Kraftvärmeprod!$B$1:$VX$1,0),FALSE)/1,0)-IFERROR(VLOOKUP($B69,'Slutlig allokering kvv'!$B$2:$BX$550,MATCH(G$2,'Slutlig allokering kvv'!$B$1:$BX$1,0),FALSE)/1,0))</f>
        <v/>
      </c>
      <c r="H69" s="31" t="str">
        <f>IF($D69="","",IFERROR(VLOOKUP($B69,Kraftvärmeprod!$B$1:$BX$550,MATCH(H$2,Kraftvärmeprod!$B$1:$VX$1,0),FALSE)/1,0)-IFERROR(VLOOKUP($B69,'Slutlig allokering kvv'!$B$2:$BX$550,MATCH(H$2,'Slutlig allokering kvv'!$B$1:$BX$1,0),FALSE)/1,0))</f>
        <v/>
      </c>
      <c r="I69" s="31" t="str">
        <f>IF($D69="","",IFERROR(VLOOKUP($B69,Kraftvärmeprod!$B$1:$BX$550,MATCH(I$2,Kraftvärmeprod!$B$1:$VX$1,0),FALSE)/1,0)-IFERROR(VLOOKUP($B69,'Slutlig allokering kvv'!$B$2:$BX$550,MATCH(I$2,'Slutlig allokering kvv'!$B$1:$BX$1,0),FALSE)/1,0))</f>
        <v/>
      </c>
      <c r="J69" s="31" t="str">
        <f>IF($D69="","",IFERROR(VLOOKUP($B69,Kraftvärmeprod!$B$1:$BX$550,MATCH(J$2,Kraftvärmeprod!$B$1:$VX$1,0),FALSE)/1,0)-IFERROR(VLOOKUP($B69,'Slutlig allokering kvv'!$B$2:$BX$550,MATCH(J$2,'Slutlig allokering kvv'!$B$1:$BX$1,0),FALSE)/1,0))</f>
        <v/>
      </c>
      <c r="K69" s="31" t="str">
        <f>IF($D69="","",IFERROR(VLOOKUP($B69,Kraftvärmeprod!$B$1:$BX$550,MATCH(K$2,Kraftvärmeprod!$B$1:$VX$1,0),FALSE)/1,0)-IFERROR(VLOOKUP($B69,'Slutlig allokering kvv'!$B$2:$BX$550,MATCH(K$2,'Slutlig allokering kvv'!$B$1:$BX$1,0),FALSE)/1,0))</f>
        <v/>
      </c>
      <c r="L69" s="31" t="str">
        <f>IF($D69="","",IFERROR(VLOOKUP($B69,Kraftvärmeprod!$B$1:$BX$550,MATCH(L$2,Kraftvärmeprod!$B$1:$VX$1,0),FALSE)/1,0)-IFERROR(VLOOKUP($B69,'Slutlig allokering kvv'!$B$2:$BX$550,MATCH(L$2,'Slutlig allokering kvv'!$B$1:$BX$1,0),FALSE)/1,0))</f>
        <v/>
      </c>
      <c r="M69" s="31" t="str">
        <f>IF($D69="","",IFERROR(VLOOKUP($B69,Kraftvärmeprod!$B$1:$BX$550,MATCH(M$2,Kraftvärmeprod!$B$1:$VX$1,0),FALSE)/1,0)-IFERROR(VLOOKUP($B69,'Slutlig allokering kvv'!$B$2:$BX$550,MATCH(M$2,'Slutlig allokering kvv'!$B$1:$BX$1,0),FALSE)/1,0))</f>
        <v/>
      </c>
      <c r="N69" s="31" t="str">
        <f>IF($D69="","",IFERROR(VLOOKUP($B69,Kraftvärmeprod!$B$1:$BX$550,MATCH(N$2,Kraftvärmeprod!$B$1:$VX$1,0),FALSE)/1,0)-IFERROR(VLOOKUP($B69,'Slutlig allokering kvv'!$B$2:$BX$550,MATCH(N$2,'Slutlig allokering kvv'!$B$1:$BX$1,0),FALSE)/1,0))</f>
        <v/>
      </c>
      <c r="O69" s="31" t="str">
        <f>IF($D69="","",IFERROR(VLOOKUP($B69,Kraftvärmeprod!$B$1:$BX$550,MATCH(O$2,Kraftvärmeprod!$B$1:$VX$1,0),FALSE)/1,0)-IFERROR(VLOOKUP($B69,'Slutlig allokering kvv'!$B$2:$BX$550,MATCH(O$2,'Slutlig allokering kvv'!$B$1:$BX$1,0),FALSE)/1,0))</f>
        <v/>
      </c>
      <c r="P69" s="31" t="str">
        <f>IF($D69="","",IFERROR(VLOOKUP($B69,Kraftvärmeprod!$B$1:$BX$550,MATCH(P$2,Kraftvärmeprod!$B$1:$VX$1,0),FALSE)/1,0)-IFERROR(VLOOKUP($B69,'Slutlig allokering kvv'!$B$2:$BX$550,MATCH(P$2,'Slutlig allokering kvv'!$B$1:$BX$1,0),FALSE)/1,0))</f>
        <v/>
      </c>
      <c r="Q69" s="31" t="str">
        <f>IF($D69="","",IFERROR(VLOOKUP($B69,Kraftvärmeprod!$B$1:$BX$550,MATCH(Q$2,Kraftvärmeprod!$B$1:$VX$1,0),FALSE)/1,0)-IFERROR(VLOOKUP($B69,'Slutlig allokering kvv'!$B$2:$BX$550,MATCH(Q$2,'Slutlig allokering kvv'!$B$1:$BX$1,0),FALSE)/1,0))</f>
        <v/>
      </c>
      <c r="R69" s="31" t="str">
        <f>IF($D69="","",IFERROR(VLOOKUP($B69,Kraftvärmeprod!$B$1:$BX$550,MATCH(R$2,Kraftvärmeprod!$B$1:$VX$1,0),FALSE)/1,0)-IFERROR(VLOOKUP($B69,'Slutlig allokering kvv'!$B$2:$BX$550,MATCH(R$2,'Slutlig allokering kvv'!$B$1:$BX$1,0),FALSE)/1,0))</f>
        <v/>
      </c>
      <c r="S69" s="31" t="str">
        <f>IF($D69="","",IFERROR(VLOOKUP($B69,Kraftvärmeprod!$B$1:$BX$550,MATCH(S$2,Kraftvärmeprod!$B$1:$VX$1,0),FALSE)/1,0)-IFERROR(VLOOKUP($B69,'Slutlig allokering kvv'!$B$2:$BX$550,MATCH(S$2,'Slutlig allokering kvv'!$B$1:$BX$1,0),FALSE)/1,0))</f>
        <v/>
      </c>
      <c r="T69" s="31" t="str">
        <f>IF($D69="","",IFERROR(VLOOKUP($B69,Kraftvärmeprod!$B$1:$BX$550,MATCH(T$2,Kraftvärmeprod!$B$1:$VX$1,0),FALSE)/1,0)-IFERROR(VLOOKUP($B69,'Slutlig allokering kvv'!$B$2:$BX$550,MATCH(T$2,'Slutlig allokering kvv'!$B$1:$BX$1,0),FALSE)/1,0))</f>
        <v/>
      </c>
      <c r="U69" s="31" t="str">
        <f>IF($D69="","",IFERROR(VLOOKUP($B69,Kraftvärmeprod!$B$1:$BX$550,MATCH(U$2,Kraftvärmeprod!$B$1:$VX$1,0),FALSE)/1,0)-IFERROR(VLOOKUP($B69,'Slutlig allokering kvv'!$B$2:$BX$550,MATCH(U$2,'Slutlig allokering kvv'!$B$1:$BX$1,0),FALSE)/1,0))</f>
        <v/>
      </c>
      <c r="V69" s="31" t="str">
        <f>IF($D69="","",IFERROR(VLOOKUP($B69,Kraftvärmeprod!$B$1:$BX$550,MATCH(V$2,Kraftvärmeprod!$B$1:$VX$1,0),FALSE)/1,0)-IFERROR(VLOOKUP($B69,'Slutlig allokering kvv'!$B$2:$BX$550,MATCH(V$2,'Slutlig allokering kvv'!$B$1:$BX$1,0),FALSE)/1,0))</f>
        <v/>
      </c>
      <c r="W69" s="31" t="str">
        <f>IF($D69="","",IFERROR(VLOOKUP($B69,Kraftvärmeprod!$B$1:$BX$550,MATCH(W$2,Kraftvärmeprod!$B$1:$VX$1,0),FALSE)/1,0)-IFERROR(VLOOKUP($B69,'Slutlig allokering kvv'!$B$2:$BX$550,MATCH(W$2,'Slutlig allokering kvv'!$B$1:$BX$1,0),FALSE)/1,0))</f>
        <v/>
      </c>
      <c r="X69" s="31" t="str">
        <f>IF($D69="","",IFERROR(VLOOKUP($B69,Kraftvärmeprod!$B$1:$BX$550,MATCH(X$2,Kraftvärmeprod!$B$1:$VX$1,0),FALSE)/1,0)-IFERROR(VLOOKUP($B69,'Slutlig allokering kvv'!$B$2:$BX$550,MATCH(X$2,'Slutlig allokering kvv'!$B$1:$BX$1,0),FALSE)/1,0))</f>
        <v/>
      </c>
      <c r="Y69" s="31" t="str">
        <f>IF($D69="","",IFERROR(VLOOKUP($B69,Kraftvärmeprod!$B$1:$BX$550,MATCH(Y$2,Kraftvärmeprod!$B$1:$VX$1,0),FALSE)/1,0)-IFERROR(VLOOKUP($B69,'Slutlig allokering kvv'!$B$2:$BX$550,MATCH(Y$2,'Slutlig allokering kvv'!$B$1:$BX$1,0),FALSE)/1,0))</f>
        <v/>
      </c>
      <c r="Z69" s="31" t="str">
        <f>IF($D69="","",IFERROR(VLOOKUP($B69,Kraftvärmeprod!$B$1:$BX$550,MATCH(Z$2,Kraftvärmeprod!$B$1:$VX$1,0),FALSE)/1,0)-IFERROR(VLOOKUP($B69,'Slutlig allokering kvv'!$B$2:$BX$550,MATCH(Z$2,'Slutlig allokering kvv'!$B$1:$BX$1,0),FALSE)/1,0))</f>
        <v/>
      </c>
      <c r="AA69" s="31" t="str">
        <f>IF($D69="","",IFERROR(VLOOKUP($B69,Kraftvärmeprod!$B$1:$BX$550,MATCH(AA$2,Kraftvärmeprod!$B$1:$VX$1,0),FALSE)/1,0)-IFERROR(VLOOKUP($B69,'Slutlig allokering kvv'!$B$2:$BX$550,MATCH(AA$2,'Slutlig allokering kvv'!$B$1:$BX$1,0),FALSE)/1,0))</f>
        <v/>
      </c>
      <c r="AB69" s="31" t="str">
        <f>IF($D69="","",IFERROR(VLOOKUP($B69,Kraftvärmeprod!$B$1:$BX$550,MATCH(AB$2,Kraftvärmeprod!$B$1:$VX$1,0),FALSE)/1,0)-IFERROR(VLOOKUP($B69,'Slutlig allokering kvv'!$B$2:$BX$550,MATCH(AB$2,'Slutlig allokering kvv'!$B$1:$BX$1,0),FALSE)/1,0))</f>
        <v/>
      </c>
      <c r="AC69" s="31" t="str">
        <f>IF($D69="","",IFERROR(VLOOKUP($B69,Kraftvärmeprod!$B$1:$BX$550,MATCH(AC$2,Kraftvärmeprod!$B$1:$VX$1,0),FALSE)/1,0)-IFERROR(VLOOKUP($B69,'Slutlig allokering kvv'!$B$2:$BX$550,MATCH(AC$2,'Slutlig allokering kvv'!$B$1:$BX$1,0),FALSE)/1,0))</f>
        <v/>
      </c>
      <c r="AD69" s="31" t="str">
        <f>IF($D69="","",IFERROR(VLOOKUP($B69,Kraftvärmeprod!$B$1:$BX$550,MATCH(AD$2,Kraftvärmeprod!$B$1:$VX$1,0),FALSE)/1,0)-IFERROR(VLOOKUP($B69,'Slutlig allokering kvv'!$B$2:$BX$550,MATCH(AD$2,'Slutlig allokering kvv'!$B$1:$BX$1,0),FALSE)/1,0))</f>
        <v/>
      </c>
      <c r="AE69" s="31" t="str">
        <f>IF($D69="","",IFERROR(VLOOKUP($B69,Miljö!$B$1:$E$550,MATCH("Hjälpel kraftvärme (GWh)",Miljö!$B$1:$E$1,0),FALSE)/1,0)-IFERROR(VLOOKUP($B69,'Slutlig allokering kvv'!$B$2:$BX$549,MATCH(AE$2,'Slutlig allokering kvv'!$B$1:$BX$1,0),FALSE)/1,0))</f>
        <v/>
      </c>
      <c r="AI69" s="39">
        <f t="shared" si="4"/>
        <v>0</v>
      </c>
      <c r="AK69" s="31">
        <f>IFERROR(VLOOKUP($B69,'Slutlig allokering kvv'!$B$2:$AX$549,MATCH("Summa slutlig allokerad tillförd energi (utan hjälpel och rökgaskondensering):",'Slutlig allokering kvv'!$B$1:$AX$1,0),FALSE)/1,"")</f>
        <v>0</v>
      </c>
      <c r="AM69" s="31" t="str">
        <f>IFERROR(1-VLOOKUP($B69,'Slutlig allokering kvv'!$B$2:$AX$549,MATCH("Andel av bränsle i kvv som allokerats till värme, exklusive rökgaskondensering och hjälpel",'Slutlig allokering kvv'!$B$1:$AX$1,0),FALSE),"")</f>
        <v/>
      </c>
      <c r="AO69" s="31" t="str">
        <f t="shared" si="5"/>
        <v/>
      </c>
      <c r="AP69" s="31" t="str">
        <f t="shared" si="6"/>
        <v/>
      </c>
      <c r="AR69" s="32" t="str">
        <f t="shared" si="7"/>
        <v/>
      </c>
    </row>
    <row r="70" spans="1:44" s="31" customFormat="1" x14ac:dyDescent="0.45">
      <c r="A70" s="31" t="s">
        <v>597</v>
      </c>
      <c r="B70" s="31" t="s">
        <v>596</v>
      </c>
      <c r="C70" s="31" t="str">
        <f>IFERROR(VLOOKUP($B70,Kraftvärmeprod!$B$1:$AH$479,MATCH(C$2,Kraftvärmeprod!$B$1:$AG$1,0),FALSE)/1,"")</f>
        <v/>
      </c>
      <c r="D70" s="31" t="str">
        <f>IFERROR(VLOOKUP($B70,Kraftvärmeprod!$B$1:$AH$479,MATCH(D$2,Kraftvärmeprod!$B$1:$AG$1,0),FALSE)/1,"")</f>
        <v/>
      </c>
      <c r="F70" s="31" t="str">
        <f>IF($D70="","",IFERROR(VLOOKUP($B70,Kraftvärmeprod!$B$1:$BX$550,MATCH(F$2,Kraftvärmeprod!$B$1:$VX$1,0),FALSE)/1,0)-IFERROR(VLOOKUP($B70,'Slutlig allokering kvv'!$B$2:$BX$550,MATCH(F$2,'Slutlig allokering kvv'!$B$1:$BX$1,0),FALSE)/1,0))</f>
        <v/>
      </c>
      <c r="G70" s="31" t="str">
        <f>IF($D70="","",IFERROR(VLOOKUP($B70,Kraftvärmeprod!$B$1:$BX$550,MATCH(G$2,Kraftvärmeprod!$B$1:$VX$1,0),FALSE)/1,0)-IFERROR(VLOOKUP($B70,'Slutlig allokering kvv'!$B$2:$BX$550,MATCH(G$2,'Slutlig allokering kvv'!$B$1:$BX$1,0),FALSE)/1,0))</f>
        <v/>
      </c>
      <c r="H70" s="31" t="str">
        <f>IF($D70="","",IFERROR(VLOOKUP($B70,Kraftvärmeprod!$B$1:$BX$550,MATCH(H$2,Kraftvärmeprod!$B$1:$VX$1,0),FALSE)/1,0)-IFERROR(VLOOKUP($B70,'Slutlig allokering kvv'!$B$2:$BX$550,MATCH(H$2,'Slutlig allokering kvv'!$B$1:$BX$1,0),FALSE)/1,0))</f>
        <v/>
      </c>
      <c r="I70" s="31" t="str">
        <f>IF($D70="","",IFERROR(VLOOKUP($B70,Kraftvärmeprod!$B$1:$BX$550,MATCH(I$2,Kraftvärmeprod!$B$1:$VX$1,0),FALSE)/1,0)-IFERROR(VLOOKUP($B70,'Slutlig allokering kvv'!$B$2:$BX$550,MATCH(I$2,'Slutlig allokering kvv'!$B$1:$BX$1,0),FALSE)/1,0))</f>
        <v/>
      </c>
      <c r="J70" s="31" t="str">
        <f>IF($D70="","",IFERROR(VLOOKUP($B70,Kraftvärmeprod!$B$1:$BX$550,MATCH(J$2,Kraftvärmeprod!$B$1:$VX$1,0),FALSE)/1,0)-IFERROR(VLOOKUP($B70,'Slutlig allokering kvv'!$B$2:$BX$550,MATCH(J$2,'Slutlig allokering kvv'!$B$1:$BX$1,0),FALSE)/1,0))</f>
        <v/>
      </c>
      <c r="K70" s="31" t="str">
        <f>IF($D70="","",IFERROR(VLOOKUP($B70,Kraftvärmeprod!$B$1:$BX$550,MATCH(K$2,Kraftvärmeprod!$B$1:$VX$1,0),FALSE)/1,0)-IFERROR(VLOOKUP($B70,'Slutlig allokering kvv'!$B$2:$BX$550,MATCH(K$2,'Slutlig allokering kvv'!$B$1:$BX$1,0),FALSE)/1,0))</f>
        <v/>
      </c>
      <c r="L70" s="31" t="str">
        <f>IF($D70="","",IFERROR(VLOOKUP($B70,Kraftvärmeprod!$B$1:$BX$550,MATCH(L$2,Kraftvärmeprod!$B$1:$VX$1,0),FALSE)/1,0)-IFERROR(VLOOKUP($B70,'Slutlig allokering kvv'!$B$2:$BX$550,MATCH(L$2,'Slutlig allokering kvv'!$B$1:$BX$1,0),FALSE)/1,0))</f>
        <v/>
      </c>
      <c r="M70" s="31" t="str">
        <f>IF($D70="","",IFERROR(VLOOKUP($B70,Kraftvärmeprod!$B$1:$BX$550,MATCH(M$2,Kraftvärmeprod!$B$1:$VX$1,0),FALSE)/1,0)-IFERROR(VLOOKUP($B70,'Slutlig allokering kvv'!$B$2:$BX$550,MATCH(M$2,'Slutlig allokering kvv'!$B$1:$BX$1,0),FALSE)/1,0))</f>
        <v/>
      </c>
      <c r="N70" s="31" t="str">
        <f>IF($D70="","",IFERROR(VLOOKUP($B70,Kraftvärmeprod!$B$1:$BX$550,MATCH(N$2,Kraftvärmeprod!$B$1:$VX$1,0),FALSE)/1,0)-IFERROR(VLOOKUP($B70,'Slutlig allokering kvv'!$B$2:$BX$550,MATCH(N$2,'Slutlig allokering kvv'!$B$1:$BX$1,0),FALSE)/1,0))</f>
        <v/>
      </c>
      <c r="O70" s="31" t="str">
        <f>IF($D70="","",IFERROR(VLOOKUP($B70,Kraftvärmeprod!$B$1:$BX$550,MATCH(O$2,Kraftvärmeprod!$B$1:$VX$1,0),FALSE)/1,0)-IFERROR(VLOOKUP($B70,'Slutlig allokering kvv'!$B$2:$BX$550,MATCH(O$2,'Slutlig allokering kvv'!$B$1:$BX$1,0),FALSE)/1,0))</f>
        <v/>
      </c>
      <c r="P70" s="31" t="str">
        <f>IF($D70="","",IFERROR(VLOOKUP($B70,Kraftvärmeprod!$B$1:$BX$550,MATCH(P$2,Kraftvärmeprod!$B$1:$VX$1,0),FALSE)/1,0)-IFERROR(VLOOKUP($B70,'Slutlig allokering kvv'!$B$2:$BX$550,MATCH(P$2,'Slutlig allokering kvv'!$B$1:$BX$1,0),FALSE)/1,0))</f>
        <v/>
      </c>
      <c r="Q70" s="31" t="str">
        <f>IF($D70="","",IFERROR(VLOOKUP($B70,Kraftvärmeprod!$B$1:$BX$550,MATCH(Q$2,Kraftvärmeprod!$B$1:$VX$1,0),FALSE)/1,0)-IFERROR(VLOOKUP($B70,'Slutlig allokering kvv'!$B$2:$BX$550,MATCH(Q$2,'Slutlig allokering kvv'!$B$1:$BX$1,0),FALSE)/1,0))</f>
        <v/>
      </c>
      <c r="R70" s="31" t="str">
        <f>IF($D70="","",IFERROR(VLOOKUP($B70,Kraftvärmeprod!$B$1:$BX$550,MATCH(R$2,Kraftvärmeprod!$B$1:$VX$1,0),FALSE)/1,0)-IFERROR(VLOOKUP($B70,'Slutlig allokering kvv'!$B$2:$BX$550,MATCH(R$2,'Slutlig allokering kvv'!$B$1:$BX$1,0),FALSE)/1,0))</f>
        <v/>
      </c>
      <c r="S70" s="31" t="str">
        <f>IF($D70="","",IFERROR(VLOOKUP($B70,Kraftvärmeprod!$B$1:$BX$550,MATCH(S$2,Kraftvärmeprod!$B$1:$VX$1,0),FALSE)/1,0)-IFERROR(VLOOKUP($B70,'Slutlig allokering kvv'!$B$2:$BX$550,MATCH(S$2,'Slutlig allokering kvv'!$B$1:$BX$1,0),FALSE)/1,0))</f>
        <v/>
      </c>
      <c r="T70" s="31" t="str">
        <f>IF($D70="","",IFERROR(VLOOKUP($B70,Kraftvärmeprod!$B$1:$BX$550,MATCH(T$2,Kraftvärmeprod!$B$1:$VX$1,0),FALSE)/1,0)-IFERROR(VLOOKUP($B70,'Slutlig allokering kvv'!$B$2:$BX$550,MATCH(T$2,'Slutlig allokering kvv'!$B$1:$BX$1,0),FALSE)/1,0))</f>
        <v/>
      </c>
      <c r="U70" s="31" t="str">
        <f>IF($D70="","",IFERROR(VLOOKUP($B70,Kraftvärmeprod!$B$1:$BX$550,MATCH(U$2,Kraftvärmeprod!$B$1:$VX$1,0),FALSE)/1,0)-IFERROR(VLOOKUP($B70,'Slutlig allokering kvv'!$B$2:$BX$550,MATCH(U$2,'Slutlig allokering kvv'!$B$1:$BX$1,0),FALSE)/1,0))</f>
        <v/>
      </c>
      <c r="V70" s="31" t="str">
        <f>IF($D70="","",IFERROR(VLOOKUP($B70,Kraftvärmeprod!$B$1:$BX$550,MATCH(V$2,Kraftvärmeprod!$B$1:$VX$1,0),FALSE)/1,0)-IFERROR(VLOOKUP($B70,'Slutlig allokering kvv'!$B$2:$BX$550,MATCH(V$2,'Slutlig allokering kvv'!$B$1:$BX$1,0),FALSE)/1,0))</f>
        <v/>
      </c>
      <c r="W70" s="31" t="str">
        <f>IF($D70="","",IFERROR(VLOOKUP($B70,Kraftvärmeprod!$B$1:$BX$550,MATCH(W$2,Kraftvärmeprod!$B$1:$VX$1,0),FALSE)/1,0)-IFERROR(VLOOKUP($B70,'Slutlig allokering kvv'!$B$2:$BX$550,MATCH(W$2,'Slutlig allokering kvv'!$B$1:$BX$1,0),FALSE)/1,0))</f>
        <v/>
      </c>
      <c r="X70" s="31" t="str">
        <f>IF($D70="","",IFERROR(VLOOKUP($B70,Kraftvärmeprod!$B$1:$BX$550,MATCH(X$2,Kraftvärmeprod!$B$1:$VX$1,0),FALSE)/1,0)-IFERROR(VLOOKUP($B70,'Slutlig allokering kvv'!$B$2:$BX$550,MATCH(X$2,'Slutlig allokering kvv'!$B$1:$BX$1,0),FALSE)/1,0))</f>
        <v/>
      </c>
      <c r="Y70" s="31" t="str">
        <f>IF($D70="","",IFERROR(VLOOKUP($B70,Kraftvärmeprod!$B$1:$BX$550,MATCH(Y$2,Kraftvärmeprod!$B$1:$VX$1,0),FALSE)/1,0)-IFERROR(VLOOKUP($B70,'Slutlig allokering kvv'!$B$2:$BX$550,MATCH(Y$2,'Slutlig allokering kvv'!$B$1:$BX$1,0),FALSE)/1,0))</f>
        <v/>
      </c>
      <c r="Z70" s="31" t="str">
        <f>IF($D70="","",IFERROR(VLOOKUP($B70,Kraftvärmeprod!$B$1:$BX$550,MATCH(Z$2,Kraftvärmeprod!$B$1:$VX$1,0),FALSE)/1,0)-IFERROR(VLOOKUP($B70,'Slutlig allokering kvv'!$B$2:$BX$550,MATCH(Z$2,'Slutlig allokering kvv'!$B$1:$BX$1,0),FALSE)/1,0))</f>
        <v/>
      </c>
      <c r="AA70" s="31" t="str">
        <f>IF($D70="","",IFERROR(VLOOKUP($B70,Kraftvärmeprod!$B$1:$BX$550,MATCH(AA$2,Kraftvärmeprod!$B$1:$VX$1,0),FALSE)/1,0)-IFERROR(VLOOKUP($B70,'Slutlig allokering kvv'!$B$2:$BX$550,MATCH(AA$2,'Slutlig allokering kvv'!$B$1:$BX$1,0),FALSE)/1,0))</f>
        <v/>
      </c>
      <c r="AB70" s="31" t="str">
        <f>IF($D70="","",IFERROR(VLOOKUP($B70,Kraftvärmeprod!$B$1:$BX$550,MATCH(AB$2,Kraftvärmeprod!$B$1:$VX$1,0),FALSE)/1,0)-IFERROR(VLOOKUP($B70,'Slutlig allokering kvv'!$B$2:$BX$550,MATCH(AB$2,'Slutlig allokering kvv'!$B$1:$BX$1,0),FALSE)/1,0))</f>
        <v/>
      </c>
      <c r="AC70" s="31" t="str">
        <f>IF($D70="","",IFERROR(VLOOKUP($B70,Kraftvärmeprod!$B$1:$BX$550,MATCH(AC$2,Kraftvärmeprod!$B$1:$VX$1,0),FALSE)/1,0)-IFERROR(VLOOKUP($B70,'Slutlig allokering kvv'!$B$2:$BX$550,MATCH(AC$2,'Slutlig allokering kvv'!$B$1:$BX$1,0),FALSE)/1,0))</f>
        <v/>
      </c>
      <c r="AD70" s="31" t="str">
        <f>IF($D70="","",IFERROR(VLOOKUP($B70,Kraftvärmeprod!$B$1:$BX$550,MATCH(AD$2,Kraftvärmeprod!$B$1:$VX$1,0),FALSE)/1,0)-IFERROR(VLOOKUP($B70,'Slutlig allokering kvv'!$B$2:$BX$550,MATCH(AD$2,'Slutlig allokering kvv'!$B$1:$BX$1,0),FALSE)/1,0))</f>
        <v/>
      </c>
      <c r="AE70" s="31" t="str">
        <f>IF($D70="","",IFERROR(VLOOKUP($B70,Miljö!$B$1:$E$550,MATCH("Hjälpel kraftvärme (GWh)",Miljö!$B$1:$E$1,0),FALSE)/1,0)-IFERROR(VLOOKUP($B70,'Slutlig allokering kvv'!$B$2:$BX$549,MATCH(AE$2,'Slutlig allokering kvv'!$B$1:$BX$1,0),FALSE)/1,0))</f>
        <v/>
      </c>
      <c r="AI70" s="39">
        <f t="shared" si="4"/>
        <v>0</v>
      </c>
      <c r="AK70" s="31">
        <f>IFERROR(VLOOKUP($B70,'Slutlig allokering kvv'!$B$2:$AX$549,MATCH("Summa slutlig allokerad tillförd energi (utan hjälpel och rökgaskondensering):",'Slutlig allokering kvv'!$B$1:$AX$1,0),FALSE)/1,"")</f>
        <v>0</v>
      </c>
      <c r="AM70" s="31" t="str">
        <f>IFERROR(1-VLOOKUP($B70,'Slutlig allokering kvv'!$B$2:$AX$549,MATCH("Andel av bränsle i kvv som allokerats till värme, exklusive rökgaskondensering och hjälpel",'Slutlig allokering kvv'!$B$1:$AX$1,0),FALSE),"")</f>
        <v/>
      </c>
      <c r="AO70" s="31" t="str">
        <f t="shared" si="5"/>
        <v/>
      </c>
      <c r="AP70" s="31" t="str">
        <f t="shared" si="6"/>
        <v/>
      </c>
      <c r="AR70" s="32" t="str">
        <f t="shared" si="7"/>
        <v/>
      </c>
    </row>
    <row r="71" spans="1:44" s="31" customFormat="1" x14ac:dyDescent="0.45">
      <c r="A71" s="31" t="s">
        <v>593</v>
      </c>
      <c r="B71" s="31" t="s">
        <v>595</v>
      </c>
      <c r="C71" s="31">
        <f>IFERROR(VLOOKUP($B71,Kraftvärmeprod!$B$1:$AH$479,MATCH(C$2,Kraftvärmeprod!$B$1:$AG$1,0),FALSE)/1,"")</f>
        <v>90</v>
      </c>
      <c r="D71" s="31">
        <f>IFERROR(VLOOKUP($B71,Kraftvärmeprod!$B$1:$AH$479,MATCH(D$2,Kraftvärmeprod!$B$1:$AG$1,0),FALSE)/1,"")</f>
        <v>11.7</v>
      </c>
      <c r="F71" s="31">
        <f>IF($D71="","",IFERROR(VLOOKUP($B71,Kraftvärmeprod!$B$1:$BX$550,MATCH(F$2,Kraftvärmeprod!$B$1:$VX$1,0),FALSE)/1,0)-IFERROR(VLOOKUP($B71,'Slutlig allokering kvv'!$B$2:$BX$550,MATCH(F$2,'Slutlig allokering kvv'!$B$1:$BX$1,0),FALSE)/1,0))</f>
        <v>0</v>
      </c>
      <c r="G71" s="31">
        <f>IF($D71="","",IFERROR(VLOOKUP($B71,Kraftvärmeprod!$B$1:$BX$550,MATCH(G$2,Kraftvärmeprod!$B$1:$VX$1,0),FALSE)/1,0)-IFERROR(VLOOKUP($B71,'Slutlig allokering kvv'!$B$2:$BX$550,MATCH(G$2,'Slutlig allokering kvv'!$B$1:$BX$1,0),FALSE)/1,0))</f>
        <v>0</v>
      </c>
      <c r="H71" s="31">
        <f>IF($D71="","",IFERROR(VLOOKUP($B71,Kraftvärmeprod!$B$1:$BX$550,MATCH(H$2,Kraftvärmeprod!$B$1:$VX$1,0),FALSE)/1,0)-IFERROR(VLOOKUP($B71,'Slutlig allokering kvv'!$B$2:$BX$550,MATCH(H$2,'Slutlig allokering kvv'!$B$1:$BX$1,0),FALSE)/1,0))</f>
        <v>0</v>
      </c>
      <c r="I71" s="31">
        <f>IF($D71="","",IFERROR(VLOOKUP($B71,Kraftvärmeprod!$B$1:$BX$550,MATCH(I$2,Kraftvärmeprod!$B$1:$VX$1,0),FALSE)/1,0)-IFERROR(VLOOKUP($B71,'Slutlig allokering kvv'!$B$2:$BX$550,MATCH(I$2,'Slutlig allokering kvv'!$B$1:$BX$1,0),FALSE)/1,0))</f>
        <v>0</v>
      </c>
      <c r="J71" s="31">
        <f>IF($D71="","",IFERROR(VLOOKUP($B71,Kraftvärmeprod!$B$1:$BX$550,MATCH(J$2,Kraftvärmeprod!$B$1:$VX$1,0),FALSE)/1,0)-IFERROR(VLOOKUP($B71,'Slutlig allokering kvv'!$B$2:$BX$550,MATCH(J$2,'Slutlig allokering kvv'!$B$1:$BX$1,0),FALSE)/1,0))</f>
        <v>0</v>
      </c>
      <c r="K71" s="31">
        <f>IF($D71="","",IFERROR(VLOOKUP($B71,Kraftvärmeprod!$B$1:$BX$550,MATCH(K$2,Kraftvärmeprod!$B$1:$VX$1,0),FALSE)/1,0)-IFERROR(VLOOKUP($B71,'Slutlig allokering kvv'!$B$2:$BX$550,MATCH(K$2,'Slutlig allokering kvv'!$B$1:$BX$1,0),FALSE)/1,0))</f>
        <v>0</v>
      </c>
      <c r="L71" s="31">
        <f>IF($D71="","",IFERROR(VLOOKUP($B71,Kraftvärmeprod!$B$1:$BX$550,MATCH(L$2,Kraftvärmeprod!$B$1:$VX$1,0),FALSE)/1,0)-IFERROR(VLOOKUP($B71,'Slutlig allokering kvv'!$B$2:$BX$550,MATCH(L$2,'Slutlig allokering kvv'!$B$1:$BX$1,0),FALSE)/1,0))</f>
        <v>27.507199999999997</v>
      </c>
      <c r="M71" s="31">
        <f>IF($D71="","",IFERROR(VLOOKUP($B71,Kraftvärmeprod!$B$1:$BX$550,MATCH(M$2,Kraftvärmeprod!$B$1:$VX$1,0),FALSE)/1,0)-IFERROR(VLOOKUP($B71,'Slutlig allokering kvv'!$B$2:$BX$550,MATCH(M$2,'Slutlig allokering kvv'!$B$1:$BX$1,0),FALSE)/1,0))</f>
        <v>1.2146699999999999</v>
      </c>
      <c r="N71" s="31">
        <f>IF($D71="","",IFERROR(VLOOKUP($B71,Kraftvärmeprod!$B$1:$BX$550,MATCH(N$2,Kraftvärmeprod!$B$1:$VX$1,0),FALSE)/1,0)-IFERROR(VLOOKUP($B71,'Slutlig allokering kvv'!$B$2:$BX$550,MATCH(N$2,'Slutlig allokering kvv'!$B$1:$BX$1,0),FALSE)/1,0))</f>
        <v>0.151833</v>
      </c>
      <c r="O71" s="31">
        <f>IF($D71="","",IFERROR(VLOOKUP($B71,Kraftvärmeprod!$B$1:$BX$550,MATCH(O$2,Kraftvärmeprod!$B$1:$VX$1,0),FALSE)/1,0)-IFERROR(VLOOKUP($B71,'Slutlig allokering kvv'!$B$2:$BX$550,MATCH(O$2,'Slutlig allokering kvv'!$B$1:$BX$1,0),FALSE)/1,0))</f>
        <v>0</v>
      </c>
      <c r="P71" s="31">
        <f>IF($D71="","",IFERROR(VLOOKUP($B71,Kraftvärmeprod!$B$1:$BX$550,MATCH(P$2,Kraftvärmeprod!$B$1:$VX$1,0),FALSE)/1,0)-IFERROR(VLOOKUP($B71,'Slutlig allokering kvv'!$B$2:$BX$550,MATCH(P$2,'Slutlig allokering kvv'!$B$1:$BX$1,0),FALSE)/1,0))</f>
        <v>0</v>
      </c>
      <c r="Q71" s="31">
        <f>IF($D71="","",IFERROR(VLOOKUP($B71,Kraftvärmeprod!$B$1:$BX$550,MATCH(Q$2,Kraftvärmeprod!$B$1:$VX$1,0),FALSE)/1,0)-IFERROR(VLOOKUP($B71,'Slutlig allokering kvv'!$B$2:$BX$550,MATCH(Q$2,'Slutlig allokering kvv'!$B$1:$BX$1,0),FALSE)/1,0))</f>
        <v>5.845600000000001</v>
      </c>
      <c r="R71" s="31">
        <f>IF($D71="","",IFERROR(VLOOKUP($B71,Kraftvärmeprod!$B$1:$BX$550,MATCH(R$2,Kraftvärmeprod!$B$1:$VX$1,0),FALSE)/1,0)-IFERROR(VLOOKUP($B71,'Slutlig allokering kvv'!$B$2:$BX$550,MATCH(R$2,'Slutlig allokering kvv'!$B$1:$BX$1,0),FALSE)/1,0))</f>
        <v>0</v>
      </c>
      <c r="S71" s="31">
        <f>IF($D71="","",IFERROR(VLOOKUP($B71,Kraftvärmeprod!$B$1:$BX$550,MATCH(S$2,Kraftvärmeprod!$B$1:$VX$1,0),FALSE)/1,0)-IFERROR(VLOOKUP($B71,'Slutlig allokering kvv'!$B$2:$BX$550,MATCH(S$2,'Slutlig allokering kvv'!$B$1:$BX$1,0),FALSE)/1,0))</f>
        <v>0</v>
      </c>
      <c r="T71" s="31">
        <f>IF($D71="","",IFERROR(VLOOKUP($B71,Kraftvärmeprod!$B$1:$BX$550,MATCH(T$2,Kraftvärmeprod!$B$1:$VX$1,0),FALSE)/1,0)-IFERROR(VLOOKUP($B71,'Slutlig allokering kvv'!$B$2:$BX$550,MATCH(T$2,'Slutlig allokering kvv'!$B$1:$BX$1,0),FALSE)/1,0))</f>
        <v>0.91100000000000003</v>
      </c>
      <c r="U71" s="31">
        <f>IF($D71="","",IFERROR(VLOOKUP($B71,Kraftvärmeprod!$B$1:$BX$550,MATCH(U$2,Kraftvärmeprod!$B$1:$VX$1,0),FALSE)/1,0)-IFERROR(VLOOKUP($B71,'Slutlig allokering kvv'!$B$2:$BX$550,MATCH(U$2,'Slutlig allokering kvv'!$B$1:$BX$1,0),FALSE)/1,0))</f>
        <v>0</v>
      </c>
      <c r="V71" s="31">
        <f>IF($D71="","",IFERROR(VLOOKUP($B71,Kraftvärmeprod!$B$1:$BX$550,MATCH(V$2,Kraftvärmeprod!$B$1:$VX$1,0),FALSE)/1,0)-IFERROR(VLOOKUP($B71,'Slutlig allokering kvv'!$B$2:$BX$550,MATCH(V$2,'Slutlig allokering kvv'!$B$1:$BX$1,0),FALSE)/1,0))</f>
        <v>0</v>
      </c>
      <c r="W71" s="31">
        <f>IF($D71="","",IFERROR(VLOOKUP($B71,Kraftvärmeprod!$B$1:$BX$550,MATCH(W$2,Kraftvärmeprod!$B$1:$VX$1,0),FALSE)/1,0)-IFERROR(VLOOKUP($B71,'Slutlig allokering kvv'!$B$2:$BX$550,MATCH(W$2,'Slutlig allokering kvv'!$B$1:$BX$1,0),FALSE)/1,0))</f>
        <v>0</v>
      </c>
      <c r="X71" s="31">
        <f>IF($D71="","",IFERROR(VLOOKUP($B71,Kraftvärmeprod!$B$1:$BX$550,MATCH(X$2,Kraftvärmeprod!$B$1:$VX$1,0),FALSE)/1,0)-IFERROR(VLOOKUP($B71,'Slutlig allokering kvv'!$B$2:$BX$550,MATCH(X$2,'Slutlig allokering kvv'!$B$1:$BX$1,0),FALSE)/1,0))</f>
        <v>8.3282000000000023E-2</v>
      </c>
      <c r="Y71" s="31">
        <f>IF($D71="","",IFERROR(VLOOKUP($B71,Kraftvärmeprod!$B$1:$BX$550,MATCH(Y$2,Kraftvärmeprod!$B$1:$VX$1,0),FALSE)/1,0)-IFERROR(VLOOKUP($B71,'Slutlig allokering kvv'!$B$2:$BX$550,MATCH(Y$2,'Slutlig allokering kvv'!$B$1:$BX$1,0),FALSE)/1,0))</f>
        <v>0</v>
      </c>
      <c r="Z71" s="31">
        <f>IF($D71="","",IFERROR(VLOOKUP($B71,Kraftvärmeprod!$B$1:$BX$550,MATCH(Z$2,Kraftvärmeprod!$B$1:$VX$1,0),FALSE)/1,0)-IFERROR(VLOOKUP($B71,'Slutlig allokering kvv'!$B$2:$BX$550,MATCH(Z$2,'Slutlig allokering kvv'!$B$1:$BX$1,0),FALSE)/1,0))</f>
        <v>0</v>
      </c>
      <c r="AA71" s="31">
        <f>IF($D71="","",IFERROR(VLOOKUP($B71,Kraftvärmeprod!$B$1:$BX$550,MATCH(AA$2,Kraftvärmeprod!$B$1:$VX$1,0),FALSE)/1,0)-IFERROR(VLOOKUP($B71,'Slutlig allokering kvv'!$B$2:$BX$550,MATCH(AA$2,'Slutlig allokering kvv'!$B$1:$BX$1,0),FALSE)/1,0))</f>
        <v>0</v>
      </c>
      <c r="AB71" s="31">
        <f>IF($D71="","",IFERROR(VLOOKUP($B71,Kraftvärmeprod!$B$1:$BX$550,MATCH(AB$2,Kraftvärmeprod!$B$1:$VX$1,0),FALSE)/1,0)-IFERROR(VLOOKUP($B71,'Slutlig allokering kvv'!$B$2:$BX$550,MATCH(AB$2,'Slutlig allokering kvv'!$B$1:$BX$1,0),FALSE)/1,0))</f>
        <v>0</v>
      </c>
      <c r="AC71" s="31">
        <f>IF($D71="","",IFERROR(VLOOKUP($B71,Kraftvärmeprod!$B$1:$BX$550,MATCH(AC$2,Kraftvärmeprod!$B$1:$VX$1,0),FALSE)/1,0)-IFERROR(VLOOKUP($B71,'Slutlig allokering kvv'!$B$2:$BX$550,MATCH(AC$2,'Slutlig allokering kvv'!$B$1:$BX$1,0),FALSE)/1,0))</f>
        <v>0</v>
      </c>
      <c r="AD71" s="31">
        <f>IF($D71="","",IFERROR(VLOOKUP($B71,Kraftvärmeprod!$B$1:$BX$550,MATCH(AD$2,Kraftvärmeprod!$B$1:$VX$1,0),FALSE)/1,0)-IFERROR(VLOOKUP($B71,'Slutlig allokering kvv'!$B$2:$BX$550,MATCH(AD$2,'Slutlig allokering kvv'!$B$1:$BX$1,0),FALSE)/1,0))</f>
        <v>0</v>
      </c>
      <c r="AE71" s="31">
        <f>IF($D71="","",IFERROR(VLOOKUP($B71,Miljö!$B$1:$E$550,MATCH("Hjälpel kraftvärme (GWh)",Miljö!$B$1:$E$1,0),FALSE)/1,0)-IFERROR(VLOOKUP($B71,'Slutlig allokering kvv'!$B$2:$BX$549,MATCH(AE$2,'Slutlig allokering kvv'!$B$1:$BX$1,0),FALSE)/1,0))</f>
        <v>0.16187499999999999</v>
      </c>
      <c r="AI71" s="39">
        <f t="shared" si="4"/>
        <v>35.713584999999995</v>
      </c>
      <c r="AK71" s="31">
        <f>IFERROR(VLOOKUP($B71,'Slutlig allokering kvv'!$B$2:$AX$549,MATCH("Summa slutlig allokerad tillförd energi (utan hjälpel och rökgaskondensering):",'Slutlig allokering kvv'!$B$1:$AX$1,0),FALSE)/1,"")</f>
        <v>105.48641500000001</v>
      </c>
      <c r="AM71" s="31">
        <f>IFERROR(1-VLOOKUP($B71,'Slutlig allokering kvv'!$B$2:$AX$549,MATCH("Andel av bränsle i kvv som allokerats till värme, exklusive rökgaskondensering och hjälpel",'Slutlig allokering kvv'!$B$1:$AX$1,0),FALSE),"")</f>
        <v>0.25292907223796024</v>
      </c>
      <c r="AO71" s="31">
        <f t="shared" si="5"/>
        <v>0.25292907223796035</v>
      </c>
      <c r="AP71" s="31">
        <f t="shared" si="6"/>
        <v>-1.1102230246251565E-16</v>
      </c>
      <c r="AR71" s="32">
        <f t="shared" si="7"/>
        <v>0.32612822246739137</v>
      </c>
    </row>
    <row r="72" spans="1:44" s="31" customFormat="1" x14ac:dyDescent="0.45">
      <c r="A72" s="31" t="s">
        <v>593</v>
      </c>
      <c r="B72" s="31" t="s">
        <v>594</v>
      </c>
      <c r="C72" s="31" t="str">
        <f>IFERROR(VLOOKUP($B72,Kraftvärmeprod!$B$1:$AH$479,MATCH(C$2,Kraftvärmeprod!$B$1:$AG$1,0),FALSE)/1,"")</f>
        <v/>
      </c>
      <c r="D72" s="31" t="str">
        <f>IFERROR(VLOOKUP($B72,Kraftvärmeprod!$B$1:$AH$479,MATCH(D$2,Kraftvärmeprod!$B$1:$AG$1,0),FALSE)/1,"")</f>
        <v/>
      </c>
      <c r="F72" s="31" t="str">
        <f>IF($D72="","",IFERROR(VLOOKUP($B72,Kraftvärmeprod!$B$1:$BX$550,MATCH(F$2,Kraftvärmeprod!$B$1:$VX$1,0),FALSE)/1,0)-IFERROR(VLOOKUP($B72,'Slutlig allokering kvv'!$B$2:$BX$550,MATCH(F$2,'Slutlig allokering kvv'!$B$1:$BX$1,0),FALSE)/1,0))</f>
        <v/>
      </c>
      <c r="G72" s="31" t="str">
        <f>IF($D72="","",IFERROR(VLOOKUP($B72,Kraftvärmeprod!$B$1:$BX$550,MATCH(G$2,Kraftvärmeprod!$B$1:$VX$1,0),FALSE)/1,0)-IFERROR(VLOOKUP($B72,'Slutlig allokering kvv'!$B$2:$BX$550,MATCH(G$2,'Slutlig allokering kvv'!$B$1:$BX$1,0),FALSE)/1,0))</f>
        <v/>
      </c>
      <c r="H72" s="31" t="str">
        <f>IF($D72="","",IFERROR(VLOOKUP($B72,Kraftvärmeprod!$B$1:$BX$550,MATCH(H$2,Kraftvärmeprod!$B$1:$VX$1,0),FALSE)/1,0)-IFERROR(VLOOKUP($B72,'Slutlig allokering kvv'!$B$2:$BX$550,MATCH(H$2,'Slutlig allokering kvv'!$B$1:$BX$1,0),FALSE)/1,0))</f>
        <v/>
      </c>
      <c r="I72" s="31" t="str">
        <f>IF($D72="","",IFERROR(VLOOKUP($B72,Kraftvärmeprod!$B$1:$BX$550,MATCH(I$2,Kraftvärmeprod!$B$1:$VX$1,0),FALSE)/1,0)-IFERROR(VLOOKUP($B72,'Slutlig allokering kvv'!$B$2:$BX$550,MATCH(I$2,'Slutlig allokering kvv'!$B$1:$BX$1,0),FALSE)/1,0))</f>
        <v/>
      </c>
      <c r="J72" s="31" t="str">
        <f>IF($D72="","",IFERROR(VLOOKUP($B72,Kraftvärmeprod!$B$1:$BX$550,MATCH(J$2,Kraftvärmeprod!$B$1:$VX$1,0),FALSE)/1,0)-IFERROR(VLOOKUP($B72,'Slutlig allokering kvv'!$B$2:$BX$550,MATCH(J$2,'Slutlig allokering kvv'!$B$1:$BX$1,0),FALSE)/1,0))</f>
        <v/>
      </c>
      <c r="K72" s="31" t="str">
        <f>IF($D72="","",IFERROR(VLOOKUP($B72,Kraftvärmeprod!$B$1:$BX$550,MATCH(K$2,Kraftvärmeprod!$B$1:$VX$1,0),FALSE)/1,0)-IFERROR(VLOOKUP($B72,'Slutlig allokering kvv'!$B$2:$BX$550,MATCH(K$2,'Slutlig allokering kvv'!$B$1:$BX$1,0),FALSE)/1,0))</f>
        <v/>
      </c>
      <c r="L72" s="31" t="str">
        <f>IF($D72="","",IFERROR(VLOOKUP($B72,Kraftvärmeprod!$B$1:$BX$550,MATCH(L$2,Kraftvärmeprod!$B$1:$VX$1,0),FALSE)/1,0)-IFERROR(VLOOKUP($B72,'Slutlig allokering kvv'!$B$2:$BX$550,MATCH(L$2,'Slutlig allokering kvv'!$B$1:$BX$1,0),FALSE)/1,0))</f>
        <v/>
      </c>
      <c r="M72" s="31" t="str">
        <f>IF($D72="","",IFERROR(VLOOKUP($B72,Kraftvärmeprod!$B$1:$BX$550,MATCH(M$2,Kraftvärmeprod!$B$1:$VX$1,0),FALSE)/1,0)-IFERROR(VLOOKUP($B72,'Slutlig allokering kvv'!$B$2:$BX$550,MATCH(M$2,'Slutlig allokering kvv'!$B$1:$BX$1,0),FALSE)/1,0))</f>
        <v/>
      </c>
      <c r="N72" s="31" t="str">
        <f>IF($D72="","",IFERROR(VLOOKUP($B72,Kraftvärmeprod!$B$1:$BX$550,MATCH(N$2,Kraftvärmeprod!$B$1:$VX$1,0),FALSE)/1,0)-IFERROR(VLOOKUP($B72,'Slutlig allokering kvv'!$B$2:$BX$550,MATCH(N$2,'Slutlig allokering kvv'!$B$1:$BX$1,0),FALSE)/1,0))</f>
        <v/>
      </c>
      <c r="O72" s="31" t="str">
        <f>IF($D72="","",IFERROR(VLOOKUP($B72,Kraftvärmeprod!$B$1:$BX$550,MATCH(O$2,Kraftvärmeprod!$B$1:$VX$1,0),FALSE)/1,0)-IFERROR(VLOOKUP($B72,'Slutlig allokering kvv'!$B$2:$BX$550,MATCH(O$2,'Slutlig allokering kvv'!$B$1:$BX$1,0),FALSE)/1,0))</f>
        <v/>
      </c>
      <c r="P72" s="31" t="str">
        <f>IF($D72="","",IFERROR(VLOOKUP($B72,Kraftvärmeprod!$B$1:$BX$550,MATCH(P$2,Kraftvärmeprod!$B$1:$VX$1,0),FALSE)/1,0)-IFERROR(VLOOKUP($B72,'Slutlig allokering kvv'!$B$2:$BX$550,MATCH(P$2,'Slutlig allokering kvv'!$B$1:$BX$1,0),FALSE)/1,0))</f>
        <v/>
      </c>
      <c r="Q72" s="31" t="str">
        <f>IF($D72="","",IFERROR(VLOOKUP($B72,Kraftvärmeprod!$B$1:$BX$550,MATCH(Q$2,Kraftvärmeprod!$B$1:$VX$1,0),FALSE)/1,0)-IFERROR(VLOOKUP($B72,'Slutlig allokering kvv'!$B$2:$BX$550,MATCH(Q$2,'Slutlig allokering kvv'!$B$1:$BX$1,0),FALSE)/1,0))</f>
        <v/>
      </c>
      <c r="R72" s="31" t="str">
        <f>IF($D72="","",IFERROR(VLOOKUP($B72,Kraftvärmeprod!$B$1:$BX$550,MATCH(R$2,Kraftvärmeprod!$B$1:$VX$1,0),FALSE)/1,0)-IFERROR(VLOOKUP($B72,'Slutlig allokering kvv'!$B$2:$BX$550,MATCH(R$2,'Slutlig allokering kvv'!$B$1:$BX$1,0),FALSE)/1,0))</f>
        <v/>
      </c>
      <c r="S72" s="31" t="str">
        <f>IF($D72="","",IFERROR(VLOOKUP($B72,Kraftvärmeprod!$B$1:$BX$550,MATCH(S$2,Kraftvärmeprod!$B$1:$VX$1,0),FALSE)/1,0)-IFERROR(VLOOKUP($B72,'Slutlig allokering kvv'!$B$2:$BX$550,MATCH(S$2,'Slutlig allokering kvv'!$B$1:$BX$1,0),FALSE)/1,0))</f>
        <v/>
      </c>
      <c r="T72" s="31" t="str">
        <f>IF($D72="","",IFERROR(VLOOKUP($B72,Kraftvärmeprod!$B$1:$BX$550,MATCH(T$2,Kraftvärmeprod!$B$1:$VX$1,0),FALSE)/1,0)-IFERROR(VLOOKUP($B72,'Slutlig allokering kvv'!$B$2:$BX$550,MATCH(T$2,'Slutlig allokering kvv'!$B$1:$BX$1,0),FALSE)/1,0))</f>
        <v/>
      </c>
      <c r="U72" s="31" t="str">
        <f>IF($D72="","",IFERROR(VLOOKUP($B72,Kraftvärmeprod!$B$1:$BX$550,MATCH(U$2,Kraftvärmeprod!$B$1:$VX$1,0),FALSE)/1,0)-IFERROR(VLOOKUP($B72,'Slutlig allokering kvv'!$B$2:$BX$550,MATCH(U$2,'Slutlig allokering kvv'!$B$1:$BX$1,0),FALSE)/1,0))</f>
        <v/>
      </c>
      <c r="V72" s="31" t="str">
        <f>IF($D72="","",IFERROR(VLOOKUP($B72,Kraftvärmeprod!$B$1:$BX$550,MATCH(V$2,Kraftvärmeprod!$B$1:$VX$1,0),FALSE)/1,0)-IFERROR(VLOOKUP($B72,'Slutlig allokering kvv'!$B$2:$BX$550,MATCH(V$2,'Slutlig allokering kvv'!$B$1:$BX$1,0),FALSE)/1,0))</f>
        <v/>
      </c>
      <c r="W72" s="31" t="str">
        <f>IF($D72="","",IFERROR(VLOOKUP($B72,Kraftvärmeprod!$B$1:$BX$550,MATCH(W$2,Kraftvärmeprod!$B$1:$VX$1,0),FALSE)/1,0)-IFERROR(VLOOKUP($B72,'Slutlig allokering kvv'!$B$2:$BX$550,MATCH(W$2,'Slutlig allokering kvv'!$B$1:$BX$1,0),FALSE)/1,0))</f>
        <v/>
      </c>
      <c r="X72" s="31" t="str">
        <f>IF($D72="","",IFERROR(VLOOKUP($B72,Kraftvärmeprod!$B$1:$BX$550,MATCH(X$2,Kraftvärmeprod!$B$1:$VX$1,0),FALSE)/1,0)-IFERROR(VLOOKUP($B72,'Slutlig allokering kvv'!$B$2:$BX$550,MATCH(X$2,'Slutlig allokering kvv'!$B$1:$BX$1,0),FALSE)/1,0))</f>
        <v/>
      </c>
      <c r="Y72" s="31" t="str">
        <f>IF($D72="","",IFERROR(VLOOKUP($B72,Kraftvärmeprod!$B$1:$BX$550,MATCH(Y$2,Kraftvärmeprod!$B$1:$VX$1,0),FALSE)/1,0)-IFERROR(VLOOKUP($B72,'Slutlig allokering kvv'!$B$2:$BX$550,MATCH(Y$2,'Slutlig allokering kvv'!$B$1:$BX$1,0),FALSE)/1,0))</f>
        <v/>
      </c>
      <c r="Z72" s="31" t="str">
        <f>IF($D72="","",IFERROR(VLOOKUP($B72,Kraftvärmeprod!$B$1:$BX$550,MATCH(Z$2,Kraftvärmeprod!$B$1:$VX$1,0),FALSE)/1,0)-IFERROR(VLOOKUP($B72,'Slutlig allokering kvv'!$B$2:$BX$550,MATCH(Z$2,'Slutlig allokering kvv'!$B$1:$BX$1,0),FALSE)/1,0))</f>
        <v/>
      </c>
      <c r="AA72" s="31" t="str">
        <f>IF($D72="","",IFERROR(VLOOKUP($B72,Kraftvärmeprod!$B$1:$BX$550,MATCH(AA$2,Kraftvärmeprod!$B$1:$VX$1,0),FALSE)/1,0)-IFERROR(VLOOKUP($B72,'Slutlig allokering kvv'!$B$2:$BX$550,MATCH(AA$2,'Slutlig allokering kvv'!$B$1:$BX$1,0),FALSE)/1,0))</f>
        <v/>
      </c>
      <c r="AB72" s="31" t="str">
        <f>IF($D72="","",IFERROR(VLOOKUP($B72,Kraftvärmeprod!$B$1:$BX$550,MATCH(AB$2,Kraftvärmeprod!$B$1:$VX$1,0),FALSE)/1,0)-IFERROR(VLOOKUP($B72,'Slutlig allokering kvv'!$B$2:$BX$550,MATCH(AB$2,'Slutlig allokering kvv'!$B$1:$BX$1,0),FALSE)/1,0))</f>
        <v/>
      </c>
      <c r="AC72" s="31" t="str">
        <f>IF($D72="","",IFERROR(VLOOKUP($B72,Kraftvärmeprod!$B$1:$BX$550,MATCH(AC$2,Kraftvärmeprod!$B$1:$VX$1,0),FALSE)/1,0)-IFERROR(VLOOKUP($B72,'Slutlig allokering kvv'!$B$2:$BX$550,MATCH(AC$2,'Slutlig allokering kvv'!$B$1:$BX$1,0),FALSE)/1,0))</f>
        <v/>
      </c>
      <c r="AD72" s="31" t="str">
        <f>IF($D72="","",IFERROR(VLOOKUP($B72,Kraftvärmeprod!$B$1:$BX$550,MATCH(AD$2,Kraftvärmeprod!$B$1:$VX$1,0),FALSE)/1,0)-IFERROR(VLOOKUP($B72,'Slutlig allokering kvv'!$B$2:$BX$550,MATCH(AD$2,'Slutlig allokering kvv'!$B$1:$BX$1,0),FALSE)/1,0))</f>
        <v/>
      </c>
      <c r="AE72" s="31" t="str">
        <f>IF($D72="","",IFERROR(VLOOKUP($B72,Miljö!$B$1:$E$550,MATCH("Hjälpel kraftvärme (GWh)",Miljö!$B$1:$E$1,0),FALSE)/1,0)-IFERROR(VLOOKUP($B72,'Slutlig allokering kvv'!$B$2:$BX$549,MATCH(AE$2,'Slutlig allokering kvv'!$B$1:$BX$1,0),FALSE)/1,0))</f>
        <v/>
      </c>
      <c r="AI72" s="39">
        <f t="shared" si="4"/>
        <v>0</v>
      </c>
      <c r="AK72" s="31">
        <f>IFERROR(VLOOKUP($B72,'Slutlig allokering kvv'!$B$2:$AX$549,MATCH("Summa slutlig allokerad tillförd energi (utan hjälpel och rökgaskondensering):",'Slutlig allokering kvv'!$B$1:$AX$1,0),FALSE)/1,"")</f>
        <v>0</v>
      </c>
      <c r="AM72" s="31" t="str">
        <f>IFERROR(1-VLOOKUP($B72,'Slutlig allokering kvv'!$B$2:$AX$549,MATCH("Andel av bränsle i kvv som allokerats till värme, exklusive rökgaskondensering och hjälpel",'Slutlig allokering kvv'!$B$1:$AX$1,0),FALSE),"")</f>
        <v/>
      </c>
      <c r="AO72" s="31" t="str">
        <f t="shared" si="5"/>
        <v/>
      </c>
      <c r="AP72" s="31" t="str">
        <f t="shared" si="6"/>
        <v/>
      </c>
      <c r="AR72" s="32" t="str">
        <f t="shared" si="7"/>
        <v/>
      </c>
    </row>
    <row r="73" spans="1:44" s="31" customFormat="1" x14ac:dyDescent="0.45">
      <c r="A73" s="31" t="s">
        <v>593</v>
      </c>
      <c r="B73" s="31" t="s">
        <v>592</v>
      </c>
      <c r="C73" s="31" t="str">
        <f>IFERROR(VLOOKUP($B73,Kraftvärmeprod!$B$1:$AH$479,MATCH(C$2,Kraftvärmeprod!$B$1:$AG$1,0),FALSE)/1,"")</f>
        <v/>
      </c>
      <c r="D73" s="31" t="str">
        <f>IFERROR(VLOOKUP($B73,Kraftvärmeprod!$B$1:$AH$479,MATCH(D$2,Kraftvärmeprod!$B$1:$AG$1,0),FALSE)/1,"")</f>
        <v/>
      </c>
      <c r="F73" s="31" t="str">
        <f>IF($D73="","",IFERROR(VLOOKUP($B73,Kraftvärmeprod!$B$1:$BX$550,MATCH(F$2,Kraftvärmeprod!$B$1:$VX$1,0),FALSE)/1,0)-IFERROR(VLOOKUP($B73,'Slutlig allokering kvv'!$B$2:$BX$550,MATCH(F$2,'Slutlig allokering kvv'!$B$1:$BX$1,0),FALSE)/1,0))</f>
        <v/>
      </c>
      <c r="G73" s="31" t="str">
        <f>IF($D73="","",IFERROR(VLOOKUP($B73,Kraftvärmeprod!$B$1:$BX$550,MATCH(G$2,Kraftvärmeprod!$B$1:$VX$1,0),FALSE)/1,0)-IFERROR(VLOOKUP($B73,'Slutlig allokering kvv'!$B$2:$BX$550,MATCH(G$2,'Slutlig allokering kvv'!$B$1:$BX$1,0),FALSE)/1,0))</f>
        <v/>
      </c>
      <c r="H73" s="31" t="str">
        <f>IF($D73="","",IFERROR(VLOOKUP($B73,Kraftvärmeprod!$B$1:$BX$550,MATCH(H$2,Kraftvärmeprod!$B$1:$VX$1,0),FALSE)/1,0)-IFERROR(VLOOKUP($B73,'Slutlig allokering kvv'!$B$2:$BX$550,MATCH(H$2,'Slutlig allokering kvv'!$B$1:$BX$1,0),FALSE)/1,0))</f>
        <v/>
      </c>
      <c r="I73" s="31" t="str">
        <f>IF($D73="","",IFERROR(VLOOKUP($B73,Kraftvärmeprod!$B$1:$BX$550,MATCH(I$2,Kraftvärmeprod!$B$1:$VX$1,0),FALSE)/1,0)-IFERROR(VLOOKUP($B73,'Slutlig allokering kvv'!$B$2:$BX$550,MATCH(I$2,'Slutlig allokering kvv'!$B$1:$BX$1,0),FALSE)/1,0))</f>
        <v/>
      </c>
      <c r="J73" s="31" t="str">
        <f>IF($D73="","",IFERROR(VLOOKUP($B73,Kraftvärmeprod!$B$1:$BX$550,MATCH(J$2,Kraftvärmeprod!$B$1:$VX$1,0),FALSE)/1,0)-IFERROR(VLOOKUP($B73,'Slutlig allokering kvv'!$B$2:$BX$550,MATCH(J$2,'Slutlig allokering kvv'!$B$1:$BX$1,0),FALSE)/1,0))</f>
        <v/>
      </c>
      <c r="K73" s="31" t="str">
        <f>IF($D73="","",IFERROR(VLOOKUP($B73,Kraftvärmeprod!$B$1:$BX$550,MATCH(K$2,Kraftvärmeprod!$B$1:$VX$1,0),FALSE)/1,0)-IFERROR(VLOOKUP($B73,'Slutlig allokering kvv'!$B$2:$BX$550,MATCH(K$2,'Slutlig allokering kvv'!$B$1:$BX$1,0),FALSE)/1,0))</f>
        <v/>
      </c>
      <c r="L73" s="31" t="str">
        <f>IF($D73="","",IFERROR(VLOOKUP($B73,Kraftvärmeprod!$B$1:$BX$550,MATCH(L$2,Kraftvärmeprod!$B$1:$VX$1,0),FALSE)/1,0)-IFERROR(VLOOKUP($B73,'Slutlig allokering kvv'!$B$2:$BX$550,MATCH(L$2,'Slutlig allokering kvv'!$B$1:$BX$1,0),FALSE)/1,0))</f>
        <v/>
      </c>
      <c r="M73" s="31" t="str">
        <f>IF($D73="","",IFERROR(VLOOKUP($B73,Kraftvärmeprod!$B$1:$BX$550,MATCH(M$2,Kraftvärmeprod!$B$1:$VX$1,0),FALSE)/1,0)-IFERROR(VLOOKUP($B73,'Slutlig allokering kvv'!$B$2:$BX$550,MATCH(M$2,'Slutlig allokering kvv'!$B$1:$BX$1,0),FALSE)/1,0))</f>
        <v/>
      </c>
      <c r="N73" s="31" t="str">
        <f>IF($D73="","",IFERROR(VLOOKUP($B73,Kraftvärmeprod!$B$1:$BX$550,MATCH(N$2,Kraftvärmeprod!$B$1:$VX$1,0),FALSE)/1,0)-IFERROR(VLOOKUP($B73,'Slutlig allokering kvv'!$B$2:$BX$550,MATCH(N$2,'Slutlig allokering kvv'!$B$1:$BX$1,0),FALSE)/1,0))</f>
        <v/>
      </c>
      <c r="O73" s="31" t="str">
        <f>IF($D73="","",IFERROR(VLOOKUP($B73,Kraftvärmeprod!$B$1:$BX$550,MATCH(O$2,Kraftvärmeprod!$B$1:$VX$1,0),FALSE)/1,0)-IFERROR(VLOOKUP($B73,'Slutlig allokering kvv'!$B$2:$BX$550,MATCH(O$2,'Slutlig allokering kvv'!$B$1:$BX$1,0),FALSE)/1,0))</f>
        <v/>
      </c>
      <c r="P73" s="31" t="str">
        <f>IF($D73="","",IFERROR(VLOOKUP($B73,Kraftvärmeprod!$B$1:$BX$550,MATCH(P$2,Kraftvärmeprod!$B$1:$VX$1,0),FALSE)/1,0)-IFERROR(VLOOKUP($B73,'Slutlig allokering kvv'!$B$2:$BX$550,MATCH(P$2,'Slutlig allokering kvv'!$B$1:$BX$1,0),FALSE)/1,0))</f>
        <v/>
      </c>
      <c r="Q73" s="31" t="str">
        <f>IF($D73="","",IFERROR(VLOOKUP($B73,Kraftvärmeprod!$B$1:$BX$550,MATCH(Q$2,Kraftvärmeprod!$B$1:$VX$1,0),FALSE)/1,0)-IFERROR(VLOOKUP($B73,'Slutlig allokering kvv'!$B$2:$BX$550,MATCH(Q$2,'Slutlig allokering kvv'!$B$1:$BX$1,0),FALSE)/1,0))</f>
        <v/>
      </c>
      <c r="R73" s="31" t="str">
        <f>IF($D73="","",IFERROR(VLOOKUP($B73,Kraftvärmeprod!$B$1:$BX$550,MATCH(R$2,Kraftvärmeprod!$B$1:$VX$1,0),FALSE)/1,0)-IFERROR(VLOOKUP($B73,'Slutlig allokering kvv'!$B$2:$BX$550,MATCH(R$2,'Slutlig allokering kvv'!$B$1:$BX$1,0),FALSE)/1,0))</f>
        <v/>
      </c>
      <c r="S73" s="31" t="str">
        <f>IF($D73="","",IFERROR(VLOOKUP($B73,Kraftvärmeprod!$B$1:$BX$550,MATCH(S$2,Kraftvärmeprod!$B$1:$VX$1,0),FALSE)/1,0)-IFERROR(VLOOKUP($B73,'Slutlig allokering kvv'!$B$2:$BX$550,MATCH(S$2,'Slutlig allokering kvv'!$B$1:$BX$1,0),FALSE)/1,0))</f>
        <v/>
      </c>
      <c r="T73" s="31" t="str">
        <f>IF($D73="","",IFERROR(VLOOKUP($B73,Kraftvärmeprod!$B$1:$BX$550,MATCH(T$2,Kraftvärmeprod!$B$1:$VX$1,0),FALSE)/1,0)-IFERROR(VLOOKUP($B73,'Slutlig allokering kvv'!$B$2:$BX$550,MATCH(T$2,'Slutlig allokering kvv'!$B$1:$BX$1,0),FALSE)/1,0))</f>
        <v/>
      </c>
      <c r="U73" s="31" t="str">
        <f>IF($D73="","",IFERROR(VLOOKUP($B73,Kraftvärmeprod!$B$1:$BX$550,MATCH(U$2,Kraftvärmeprod!$B$1:$VX$1,0),FALSE)/1,0)-IFERROR(VLOOKUP($B73,'Slutlig allokering kvv'!$B$2:$BX$550,MATCH(U$2,'Slutlig allokering kvv'!$B$1:$BX$1,0),FALSE)/1,0))</f>
        <v/>
      </c>
      <c r="V73" s="31" t="str">
        <f>IF($D73="","",IFERROR(VLOOKUP($B73,Kraftvärmeprod!$B$1:$BX$550,MATCH(V$2,Kraftvärmeprod!$B$1:$VX$1,0),FALSE)/1,0)-IFERROR(VLOOKUP($B73,'Slutlig allokering kvv'!$B$2:$BX$550,MATCH(V$2,'Slutlig allokering kvv'!$B$1:$BX$1,0),FALSE)/1,0))</f>
        <v/>
      </c>
      <c r="W73" s="31" t="str">
        <f>IF($D73="","",IFERROR(VLOOKUP($B73,Kraftvärmeprod!$B$1:$BX$550,MATCH(W$2,Kraftvärmeprod!$B$1:$VX$1,0),FALSE)/1,0)-IFERROR(VLOOKUP($B73,'Slutlig allokering kvv'!$B$2:$BX$550,MATCH(W$2,'Slutlig allokering kvv'!$B$1:$BX$1,0),FALSE)/1,0))</f>
        <v/>
      </c>
      <c r="X73" s="31" t="str">
        <f>IF($D73="","",IFERROR(VLOOKUP($B73,Kraftvärmeprod!$B$1:$BX$550,MATCH(X$2,Kraftvärmeprod!$B$1:$VX$1,0),FALSE)/1,0)-IFERROR(VLOOKUP($B73,'Slutlig allokering kvv'!$B$2:$BX$550,MATCH(X$2,'Slutlig allokering kvv'!$B$1:$BX$1,0),FALSE)/1,0))</f>
        <v/>
      </c>
      <c r="Y73" s="31" t="str">
        <f>IF($D73="","",IFERROR(VLOOKUP($B73,Kraftvärmeprod!$B$1:$BX$550,MATCH(Y$2,Kraftvärmeprod!$B$1:$VX$1,0),FALSE)/1,0)-IFERROR(VLOOKUP($B73,'Slutlig allokering kvv'!$B$2:$BX$550,MATCH(Y$2,'Slutlig allokering kvv'!$B$1:$BX$1,0),FALSE)/1,0))</f>
        <v/>
      </c>
      <c r="Z73" s="31" t="str">
        <f>IF($D73="","",IFERROR(VLOOKUP($B73,Kraftvärmeprod!$B$1:$BX$550,MATCH(Z$2,Kraftvärmeprod!$B$1:$VX$1,0),FALSE)/1,0)-IFERROR(VLOOKUP($B73,'Slutlig allokering kvv'!$B$2:$BX$550,MATCH(Z$2,'Slutlig allokering kvv'!$B$1:$BX$1,0),FALSE)/1,0))</f>
        <v/>
      </c>
      <c r="AA73" s="31" t="str">
        <f>IF($D73="","",IFERROR(VLOOKUP($B73,Kraftvärmeprod!$B$1:$BX$550,MATCH(AA$2,Kraftvärmeprod!$B$1:$VX$1,0),FALSE)/1,0)-IFERROR(VLOOKUP($B73,'Slutlig allokering kvv'!$B$2:$BX$550,MATCH(AA$2,'Slutlig allokering kvv'!$B$1:$BX$1,0),FALSE)/1,0))</f>
        <v/>
      </c>
      <c r="AB73" s="31" t="str">
        <f>IF($D73="","",IFERROR(VLOOKUP($B73,Kraftvärmeprod!$B$1:$BX$550,MATCH(AB$2,Kraftvärmeprod!$B$1:$VX$1,0),FALSE)/1,0)-IFERROR(VLOOKUP($B73,'Slutlig allokering kvv'!$B$2:$BX$550,MATCH(AB$2,'Slutlig allokering kvv'!$B$1:$BX$1,0),FALSE)/1,0))</f>
        <v/>
      </c>
      <c r="AC73" s="31" t="str">
        <f>IF($D73="","",IFERROR(VLOOKUP($B73,Kraftvärmeprod!$B$1:$BX$550,MATCH(AC$2,Kraftvärmeprod!$B$1:$VX$1,0),FALSE)/1,0)-IFERROR(VLOOKUP($B73,'Slutlig allokering kvv'!$B$2:$BX$550,MATCH(AC$2,'Slutlig allokering kvv'!$B$1:$BX$1,0),FALSE)/1,0))</f>
        <v/>
      </c>
      <c r="AD73" s="31" t="str">
        <f>IF($D73="","",IFERROR(VLOOKUP($B73,Kraftvärmeprod!$B$1:$BX$550,MATCH(AD$2,Kraftvärmeprod!$B$1:$VX$1,0),FALSE)/1,0)-IFERROR(VLOOKUP($B73,'Slutlig allokering kvv'!$B$2:$BX$550,MATCH(AD$2,'Slutlig allokering kvv'!$B$1:$BX$1,0),FALSE)/1,0))</f>
        <v/>
      </c>
      <c r="AE73" s="31" t="str">
        <f>IF($D73="","",IFERROR(VLOOKUP($B73,Miljö!$B$1:$E$550,MATCH("Hjälpel kraftvärme (GWh)",Miljö!$B$1:$E$1,0),FALSE)/1,0)-IFERROR(VLOOKUP($B73,'Slutlig allokering kvv'!$B$2:$BX$549,MATCH(AE$2,'Slutlig allokering kvv'!$B$1:$BX$1,0),FALSE)/1,0))</f>
        <v/>
      </c>
      <c r="AI73" s="39">
        <f t="shared" si="4"/>
        <v>0</v>
      </c>
      <c r="AK73" s="31">
        <f>IFERROR(VLOOKUP($B73,'Slutlig allokering kvv'!$B$2:$AX$549,MATCH("Summa slutlig allokerad tillförd energi (utan hjälpel och rökgaskondensering):",'Slutlig allokering kvv'!$B$1:$AX$1,0),FALSE)/1,"")</f>
        <v>0</v>
      </c>
      <c r="AM73" s="31" t="str">
        <f>IFERROR(1-VLOOKUP($B73,'Slutlig allokering kvv'!$B$2:$AX$549,MATCH("Andel av bränsle i kvv som allokerats till värme, exklusive rökgaskondensering och hjälpel",'Slutlig allokering kvv'!$B$1:$AX$1,0),FALSE),"")</f>
        <v/>
      </c>
      <c r="AO73" s="31" t="str">
        <f t="shared" si="5"/>
        <v/>
      </c>
      <c r="AP73" s="31" t="str">
        <f t="shared" si="6"/>
        <v/>
      </c>
      <c r="AR73" s="32" t="str">
        <f t="shared" si="7"/>
        <v/>
      </c>
    </row>
    <row r="74" spans="1:44" s="31" customFormat="1" x14ac:dyDescent="0.45">
      <c r="A74" s="31" t="s">
        <v>589</v>
      </c>
      <c r="B74" s="31" t="s">
        <v>591</v>
      </c>
      <c r="C74" s="31" t="str">
        <f>IFERROR(VLOOKUP($B74,Kraftvärmeprod!$B$1:$AH$479,MATCH(C$2,Kraftvärmeprod!$B$1:$AG$1,0),FALSE)/1,"")</f>
        <v/>
      </c>
      <c r="D74" s="31" t="str">
        <f>IFERROR(VLOOKUP($B74,Kraftvärmeprod!$B$1:$AH$479,MATCH(D$2,Kraftvärmeprod!$B$1:$AG$1,0),FALSE)/1,"")</f>
        <v/>
      </c>
      <c r="F74" s="31" t="str">
        <f>IF($D74="","",IFERROR(VLOOKUP($B74,Kraftvärmeprod!$B$1:$BX$550,MATCH(F$2,Kraftvärmeprod!$B$1:$VX$1,0),FALSE)/1,0)-IFERROR(VLOOKUP($B74,'Slutlig allokering kvv'!$B$2:$BX$550,MATCH(F$2,'Slutlig allokering kvv'!$B$1:$BX$1,0),FALSE)/1,0))</f>
        <v/>
      </c>
      <c r="G74" s="31" t="str">
        <f>IF($D74="","",IFERROR(VLOOKUP($B74,Kraftvärmeprod!$B$1:$BX$550,MATCH(G$2,Kraftvärmeprod!$B$1:$VX$1,0),FALSE)/1,0)-IFERROR(VLOOKUP($B74,'Slutlig allokering kvv'!$B$2:$BX$550,MATCH(G$2,'Slutlig allokering kvv'!$B$1:$BX$1,0),FALSE)/1,0))</f>
        <v/>
      </c>
      <c r="H74" s="31" t="str">
        <f>IF($D74="","",IFERROR(VLOOKUP($B74,Kraftvärmeprod!$B$1:$BX$550,MATCH(H$2,Kraftvärmeprod!$B$1:$VX$1,0),FALSE)/1,0)-IFERROR(VLOOKUP($B74,'Slutlig allokering kvv'!$B$2:$BX$550,MATCH(H$2,'Slutlig allokering kvv'!$B$1:$BX$1,0),FALSE)/1,0))</f>
        <v/>
      </c>
      <c r="I74" s="31" t="str">
        <f>IF($D74="","",IFERROR(VLOOKUP($B74,Kraftvärmeprod!$B$1:$BX$550,MATCH(I$2,Kraftvärmeprod!$B$1:$VX$1,0),FALSE)/1,0)-IFERROR(VLOOKUP($B74,'Slutlig allokering kvv'!$B$2:$BX$550,MATCH(I$2,'Slutlig allokering kvv'!$B$1:$BX$1,0),FALSE)/1,0))</f>
        <v/>
      </c>
      <c r="J74" s="31" t="str">
        <f>IF($D74="","",IFERROR(VLOOKUP($B74,Kraftvärmeprod!$B$1:$BX$550,MATCH(J$2,Kraftvärmeprod!$B$1:$VX$1,0),FALSE)/1,0)-IFERROR(VLOOKUP($B74,'Slutlig allokering kvv'!$B$2:$BX$550,MATCH(J$2,'Slutlig allokering kvv'!$B$1:$BX$1,0),FALSE)/1,0))</f>
        <v/>
      </c>
      <c r="K74" s="31" t="str">
        <f>IF($D74="","",IFERROR(VLOOKUP($B74,Kraftvärmeprod!$B$1:$BX$550,MATCH(K$2,Kraftvärmeprod!$B$1:$VX$1,0),FALSE)/1,0)-IFERROR(VLOOKUP($B74,'Slutlig allokering kvv'!$B$2:$BX$550,MATCH(K$2,'Slutlig allokering kvv'!$B$1:$BX$1,0),FALSE)/1,0))</f>
        <v/>
      </c>
      <c r="L74" s="31" t="str">
        <f>IF($D74="","",IFERROR(VLOOKUP($B74,Kraftvärmeprod!$B$1:$BX$550,MATCH(L$2,Kraftvärmeprod!$B$1:$VX$1,0),FALSE)/1,0)-IFERROR(VLOOKUP($B74,'Slutlig allokering kvv'!$B$2:$BX$550,MATCH(L$2,'Slutlig allokering kvv'!$B$1:$BX$1,0),FALSE)/1,0))</f>
        <v/>
      </c>
      <c r="M74" s="31" t="str">
        <f>IF($D74="","",IFERROR(VLOOKUP($B74,Kraftvärmeprod!$B$1:$BX$550,MATCH(M$2,Kraftvärmeprod!$B$1:$VX$1,0),FALSE)/1,0)-IFERROR(VLOOKUP($B74,'Slutlig allokering kvv'!$B$2:$BX$550,MATCH(M$2,'Slutlig allokering kvv'!$B$1:$BX$1,0),FALSE)/1,0))</f>
        <v/>
      </c>
      <c r="N74" s="31" t="str">
        <f>IF($D74="","",IFERROR(VLOOKUP($B74,Kraftvärmeprod!$B$1:$BX$550,MATCH(N$2,Kraftvärmeprod!$B$1:$VX$1,0),FALSE)/1,0)-IFERROR(VLOOKUP($B74,'Slutlig allokering kvv'!$B$2:$BX$550,MATCH(N$2,'Slutlig allokering kvv'!$B$1:$BX$1,0),FALSE)/1,0))</f>
        <v/>
      </c>
      <c r="O74" s="31" t="str">
        <f>IF($D74="","",IFERROR(VLOOKUP($B74,Kraftvärmeprod!$B$1:$BX$550,MATCH(O$2,Kraftvärmeprod!$B$1:$VX$1,0),FALSE)/1,0)-IFERROR(VLOOKUP($B74,'Slutlig allokering kvv'!$B$2:$BX$550,MATCH(O$2,'Slutlig allokering kvv'!$B$1:$BX$1,0),FALSE)/1,0))</f>
        <v/>
      </c>
      <c r="P74" s="31" t="str">
        <f>IF($D74="","",IFERROR(VLOOKUP($B74,Kraftvärmeprod!$B$1:$BX$550,MATCH(P$2,Kraftvärmeprod!$B$1:$VX$1,0),FALSE)/1,0)-IFERROR(VLOOKUP($B74,'Slutlig allokering kvv'!$B$2:$BX$550,MATCH(P$2,'Slutlig allokering kvv'!$B$1:$BX$1,0),FALSE)/1,0))</f>
        <v/>
      </c>
      <c r="Q74" s="31" t="str">
        <f>IF($D74="","",IFERROR(VLOOKUP($B74,Kraftvärmeprod!$B$1:$BX$550,MATCH(Q$2,Kraftvärmeprod!$B$1:$VX$1,0),FALSE)/1,0)-IFERROR(VLOOKUP($B74,'Slutlig allokering kvv'!$B$2:$BX$550,MATCH(Q$2,'Slutlig allokering kvv'!$B$1:$BX$1,0),FALSE)/1,0))</f>
        <v/>
      </c>
      <c r="R74" s="31" t="str">
        <f>IF($D74="","",IFERROR(VLOOKUP($B74,Kraftvärmeprod!$B$1:$BX$550,MATCH(R$2,Kraftvärmeprod!$B$1:$VX$1,0),FALSE)/1,0)-IFERROR(VLOOKUP($B74,'Slutlig allokering kvv'!$B$2:$BX$550,MATCH(R$2,'Slutlig allokering kvv'!$B$1:$BX$1,0),FALSE)/1,0))</f>
        <v/>
      </c>
      <c r="S74" s="31" t="str">
        <f>IF($D74="","",IFERROR(VLOOKUP($B74,Kraftvärmeprod!$B$1:$BX$550,MATCH(S$2,Kraftvärmeprod!$B$1:$VX$1,0),FALSE)/1,0)-IFERROR(VLOOKUP($B74,'Slutlig allokering kvv'!$B$2:$BX$550,MATCH(S$2,'Slutlig allokering kvv'!$B$1:$BX$1,0),FALSE)/1,0))</f>
        <v/>
      </c>
      <c r="T74" s="31" t="str">
        <f>IF($D74="","",IFERROR(VLOOKUP($B74,Kraftvärmeprod!$B$1:$BX$550,MATCH(T$2,Kraftvärmeprod!$B$1:$VX$1,0),FALSE)/1,0)-IFERROR(VLOOKUP($B74,'Slutlig allokering kvv'!$B$2:$BX$550,MATCH(T$2,'Slutlig allokering kvv'!$B$1:$BX$1,0),FALSE)/1,0))</f>
        <v/>
      </c>
      <c r="U74" s="31" t="str">
        <f>IF($D74="","",IFERROR(VLOOKUP($B74,Kraftvärmeprod!$B$1:$BX$550,MATCH(U$2,Kraftvärmeprod!$B$1:$VX$1,0),FALSE)/1,0)-IFERROR(VLOOKUP($B74,'Slutlig allokering kvv'!$B$2:$BX$550,MATCH(U$2,'Slutlig allokering kvv'!$B$1:$BX$1,0),FALSE)/1,0))</f>
        <v/>
      </c>
      <c r="V74" s="31" t="str">
        <f>IF($D74="","",IFERROR(VLOOKUP($B74,Kraftvärmeprod!$B$1:$BX$550,MATCH(V$2,Kraftvärmeprod!$B$1:$VX$1,0),FALSE)/1,0)-IFERROR(VLOOKUP($B74,'Slutlig allokering kvv'!$B$2:$BX$550,MATCH(V$2,'Slutlig allokering kvv'!$B$1:$BX$1,0),FALSE)/1,0))</f>
        <v/>
      </c>
      <c r="W74" s="31" t="str">
        <f>IF($D74="","",IFERROR(VLOOKUP($B74,Kraftvärmeprod!$B$1:$BX$550,MATCH(W$2,Kraftvärmeprod!$B$1:$VX$1,0),FALSE)/1,0)-IFERROR(VLOOKUP($B74,'Slutlig allokering kvv'!$B$2:$BX$550,MATCH(W$2,'Slutlig allokering kvv'!$B$1:$BX$1,0),FALSE)/1,0))</f>
        <v/>
      </c>
      <c r="X74" s="31" t="str">
        <f>IF($D74="","",IFERROR(VLOOKUP($B74,Kraftvärmeprod!$B$1:$BX$550,MATCH(X$2,Kraftvärmeprod!$B$1:$VX$1,0),FALSE)/1,0)-IFERROR(VLOOKUP($B74,'Slutlig allokering kvv'!$B$2:$BX$550,MATCH(X$2,'Slutlig allokering kvv'!$B$1:$BX$1,0),FALSE)/1,0))</f>
        <v/>
      </c>
      <c r="Y74" s="31" t="str">
        <f>IF($D74="","",IFERROR(VLOOKUP($B74,Kraftvärmeprod!$B$1:$BX$550,MATCH(Y$2,Kraftvärmeprod!$B$1:$VX$1,0),FALSE)/1,0)-IFERROR(VLOOKUP($B74,'Slutlig allokering kvv'!$B$2:$BX$550,MATCH(Y$2,'Slutlig allokering kvv'!$B$1:$BX$1,0),FALSE)/1,0))</f>
        <v/>
      </c>
      <c r="Z74" s="31" t="str">
        <f>IF($D74="","",IFERROR(VLOOKUP($B74,Kraftvärmeprod!$B$1:$BX$550,MATCH(Z$2,Kraftvärmeprod!$B$1:$VX$1,0),FALSE)/1,0)-IFERROR(VLOOKUP($B74,'Slutlig allokering kvv'!$B$2:$BX$550,MATCH(Z$2,'Slutlig allokering kvv'!$B$1:$BX$1,0),FALSE)/1,0))</f>
        <v/>
      </c>
      <c r="AA74" s="31" t="str">
        <f>IF($D74="","",IFERROR(VLOOKUP($B74,Kraftvärmeprod!$B$1:$BX$550,MATCH(AA$2,Kraftvärmeprod!$B$1:$VX$1,0),FALSE)/1,0)-IFERROR(VLOOKUP($B74,'Slutlig allokering kvv'!$B$2:$BX$550,MATCH(AA$2,'Slutlig allokering kvv'!$B$1:$BX$1,0),FALSE)/1,0))</f>
        <v/>
      </c>
      <c r="AB74" s="31" t="str">
        <f>IF($D74="","",IFERROR(VLOOKUP($B74,Kraftvärmeprod!$B$1:$BX$550,MATCH(AB$2,Kraftvärmeprod!$B$1:$VX$1,0),FALSE)/1,0)-IFERROR(VLOOKUP($B74,'Slutlig allokering kvv'!$B$2:$BX$550,MATCH(AB$2,'Slutlig allokering kvv'!$B$1:$BX$1,0),FALSE)/1,0))</f>
        <v/>
      </c>
      <c r="AC74" s="31" t="str">
        <f>IF($D74="","",IFERROR(VLOOKUP($B74,Kraftvärmeprod!$B$1:$BX$550,MATCH(AC$2,Kraftvärmeprod!$B$1:$VX$1,0),FALSE)/1,0)-IFERROR(VLOOKUP($B74,'Slutlig allokering kvv'!$B$2:$BX$550,MATCH(AC$2,'Slutlig allokering kvv'!$B$1:$BX$1,0),FALSE)/1,0))</f>
        <v/>
      </c>
      <c r="AD74" s="31" t="str">
        <f>IF($D74="","",IFERROR(VLOOKUP($B74,Kraftvärmeprod!$B$1:$BX$550,MATCH(AD$2,Kraftvärmeprod!$B$1:$VX$1,0),FALSE)/1,0)-IFERROR(VLOOKUP($B74,'Slutlig allokering kvv'!$B$2:$BX$550,MATCH(AD$2,'Slutlig allokering kvv'!$B$1:$BX$1,0),FALSE)/1,0))</f>
        <v/>
      </c>
      <c r="AE74" s="31" t="str">
        <f>IF($D74="","",IFERROR(VLOOKUP($B74,Miljö!$B$1:$E$550,MATCH("Hjälpel kraftvärme (GWh)",Miljö!$B$1:$E$1,0),FALSE)/1,0)-IFERROR(VLOOKUP($B74,'Slutlig allokering kvv'!$B$2:$BX$549,MATCH(AE$2,'Slutlig allokering kvv'!$B$1:$BX$1,0),FALSE)/1,0))</f>
        <v/>
      </c>
      <c r="AI74" s="39">
        <f t="shared" si="4"/>
        <v>0</v>
      </c>
      <c r="AK74" s="31">
        <f>IFERROR(VLOOKUP($B74,'Slutlig allokering kvv'!$B$2:$AX$549,MATCH("Summa slutlig allokerad tillförd energi (utan hjälpel och rökgaskondensering):",'Slutlig allokering kvv'!$B$1:$AX$1,0),FALSE)/1,"")</f>
        <v>0</v>
      </c>
      <c r="AM74" s="31" t="str">
        <f>IFERROR(1-VLOOKUP($B74,'Slutlig allokering kvv'!$B$2:$AX$549,MATCH("Andel av bränsle i kvv som allokerats till värme, exklusive rökgaskondensering och hjälpel",'Slutlig allokering kvv'!$B$1:$AX$1,0),FALSE),"")</f>
        <v/>
      </c>
      <c r="AO74" s="31" t="str">
        <f t="shared" si="5"/>
        <v/>
      </c>
      <c r="AP74" s="31" t="str">
        <f t="shared" si="6"/>
        <v/>
      </c>
      <c r="AR74" s="32" t="str">
        <f t="shared" si="7"/>
        <v/>
      </c>
    </row>
    <row r="75" spans="1:44" s="31" customFormat="1" x14ac:dyDescent="0.45">
      <c r="A75" s="31" t="s">
        <v>589</v>
      </c>
      <c r="B75" s="31" t="s">
        <v>590</v>
      </c>
      <c r="C75" s="31" t="str">
        <f>IFERROR(VLOOKUP($B75,Kraftvärmeprod!$B$1:$AH$479,MATCH(C$2,Kraftvärmeprod!$B$1:$AG$1,0),FALSE)/1,"")</f>
        <v/>
      </c>
      <c r="D75" s="31" t="str">
        <f>IFERROR(VLOOKUP($B75,Kraftvärmeprod!$B$1:$AH$479,MATCH(D$2,Kraftvärmeprod!$B$1:$AG$1,0),FALSE)/1,"")</f>
        <v/>
      </c>
      <c r="F75" s="31" t="str">
        <f>IF($D75="","",IFERROR(VLOOKUP($B75,Kraftvärmeprod!$B$1:$BX$550,MATCH(F$2,Kraftvärmeprod!$B$1:$VX$1,0),FALSE)/1,0)-IFERROR(VLOOKUP($B75,'Slutlig allokering kvv'!$B$2:$BX$550,MATCH(F$2,'Slutlig allokering kvv'!$B$1:$BX$1,0),FALSE)/1,0))</f>
        <v/>
      </c>
      <c r="G75" s="31" t="str">
        <f>IF($D75="","",IFERROR(VLOOKUP($B75,Kraftvärmeprod!$B$1:$BX$550,MATCH(G$2,Kraftvärmeprod!$B$1:$VX$1,0),FALSE)/1,0)-IFERROR(VLOOKUP($B75,'Slutlig allokering kvv'!$B$2:$BX$550,MATCH(G$2,'Slutlig allokering kvv'!$B$1:$BX$1,0),FALSE)/1,0))</f>
        <v/>
      </c>
      <c r="H75" s="31" t="str">
        <f>IF($D75="","",IFERROR(VLOOKUP($B75,Kraftvärmeprod!$B$1:$BX$550,MATCH(H$2,Kraftvärmeprod!$B$1:$VX$1,0),FALSE)/1,0)-IFERROR(VLOOKUP($B75,'Slutlig allokering kvv'!$B$2:$BX$550,MATCH(H$2,'Slutlig allokering kvv'!$B$1:$BX$1,0),FALSE)/1,0))</f>
        <v/>
      </c>
      <c r="I75" s="31" t="str">
        <f>IF($D75="","",IFERROR(VLOOKUP($B75,Kraftvärmeprod!$B$1:$BX$550,MATCH(I$2,Kraftvärmeprod!$B$1:$VX$1,0),FALSE)/1,0)-IFERROR(VLOOKUP($B75,'Slutlig allokering kvv'!$B$2:$BX$550,MATCH(I$2,'Slutlig allokering kvv'!$B$1:$BX$1,0),FALSE)/1,0))</f>
        <v/>
      </c>
      <c r="J75" s="31" t="str">
        <f>IF($D75="","",IFERROR(VLOOKUP($B75,Kraftvärmeprod!$B$1:$BX$550,MATCH(J$2,Kraftvärmeprod!$B$1:$VX$1,0),FALSE)/1,0)-IFERROR(VLOOKUP($B75,'Slutlig allokering kvv'!$B$2:$BX$550,MATCH(J$2,'Slutlig allokering kvv'!$B$1:$BX$1,0),FALSE)/1,0))</f>
        <v/>
      </c>
      <c r="K75" s="31" t="str">
        <f>IF($D75="","",IFERROR(VLOOKUP($B75,Kraftvärmeprod!$B$1:$BX$550,MATCH(K$2,Kraftvärmeprod!$B$1:$VX$1,0),FALSE)/1,0)-IFERROR(VLOOKUP($B75,'Slutlig allokering kvv'!$B$2:$BX$550,MATCH(K$2,'Slutlig allokering kvv'!$B$1:$BX$1,0),FALSE)/1,0))</f>
        <v/>
      </c>
      <c r="L75" s="31" t="str">
        <f>IF($D75="","",IFERROR(VLOOKUP($B75,Kraftvärmeprod!$B$1:$BX$550,MATCH(L$2,Kraftvärmeprod!$B$1:$VX$1,0),FALSE)/1,0)-IFERROR(VLOOKUP($B75,'Slutlig allokering kvv'!$B$2:$BX$550,MATCH(L$2,'Slutlig allokering kvv'!$B$1:$BX$1,0),FALSE)/1,0))</f>
        <v/>
      </c>
      <c r="M75" s="31" t="str">
        <f>IF($D75="","",IFERROR(VLOOKUP($B75,Kraftvärmeprod!$B$1:$BX$550,MATCH(M$2,Kraftvärmeprod!$B$1:$VX$1,0),FALSE)/1,0)-IFERROR(VLOOKUP($B75,'Slutlig allokering kvv'!$B$2:$BX$550,MATCH(M$2,'Slutlig allokering kvv'!$B$1:$BX$1,0),FALSE)/1,0))</f>
        <v/>
      </c>
      <c r="N75" s="31" t="str">
        <f>IF($D75="","",IFERROR(VLOOKUP($B75,Kraftvärmeprod!$B$1:$BX$550,MATCH(N$2,Kraftvärmeprod!$B$1:$VX$1,0),FALSE)/1,0)-IFERROR(VLOOKUP($B75,'Slutlig allokering kvv'!$B$2:$BX$550,MATCH(N$2,'Slutlig allokering kvv'!$B$1:$BX$1,0),FALSE)/1,0))</f>
        <v/>
      </c>
      <c r="O75" s="31" t="str">
        <f>IF($D75="","",IFERROR(VLOOKUP($B75,Kraftvärmeprod!$B$1:$BX$550,MATCH(O$2,Kraftvärmeprod!$B$1:$VX$1,0),FALSE)/1,0)-IFERROR(VLOOKUP($B75,'Slutlig allokering kvv'!$B$2:$BX$550,MATCH(O$2,'Slutlig allokering kvv'!$B$1:$BX$1,0),FALSE)/1,0))</f>
        <v/>
      </c>
      <c r="P75" s="31" t="str">
        <f>IF($D75="","",IFERROR(VLOOKUP($B75,Kraftvärmeprod!$B$1:$BX$550,MATCH(P$2,Kraftvärmeprod!$B$1:$VX$1,0),FALSE)/1,0)-IFERROR(VLOOKUP($B75,'Slutlig allokering kvv'!$B$2:$BX$550,MATCH(P$2,'Slutlig allokering kvv'!$B$1:$BX$1,0),FALSE)/1,0))</f>
        <v/>
      </c>
      <c r="Q75" s="31" t="str">
        <f>IF($D75="","",IFERROR(VLOOKUP($B75,Kraftvärmeprod!$B$1:$BX$550,MATCH(Q$2,Kraftvärmeprod!$B$1:$VX$1,0),FALSE)/1,0)-IFERROR(VLOOKUP($B75,'Slutlig allokering kvv'!$B$2:$BX$550,MATCH(Q$2,'Slutlig allokering kvv'!$B$1:$BX$1,0),FALSE)/1,0))</f>
        <v/>
      </c>
      <c r="R75" s="31" t="str">
        <f>IF($D75="","",IFERROR(VLOOKUP($B75,Kraftvärmeprod!$B$1:$BX$550,MATCH(R$2,Kraftvärmeprod!$B$1:$VX$1,0),FALSE)/1,0)-IFERROR(VLOOKUP($B75,'Slutlig allokering kvv'!$B$2:$BX$550,MATCH(R$2,'Slutlig allokering kvv'!$B$1:$BX$1,0),FALSE)/1,0))</f>
        <v/>
      </c>
      <c r="S75" s="31" t="str">
        <f>IF($D75="","",IFERROR(VLOOKUP($B75,Kraftvärmeprod!$B$1:$BX$550,MATCH(S$2,Kraftvärmeprod!$B$1:$VX$1,0),FALSE)/1,0)-IFERROR(VLOOKUP($B75,'Slutlig allokering kvv'!$B$2:$BX$550,MATCH(S$2,'Slutlig allokering kvv'!$B$1:$BX$1,0),FALSE)/1,0))</f>
        <v/>
      </c>
      <c r="T75" s="31" t="str">
        <f>IF($D75="","",IFERROR(VLOOKUP($B75,Kraftvärmeprod!$B$1:$BX$550,MATCH(T$2,Kraftvärmeprod!$B$1:$VX$1,0),FALSE)/1,0)-IFERROR(VLOOKUP($B75,'Slutlig allokering kvv'!$B$2:$BX$550,MATCH(T$2,'Slutlig allokering kvv'!$B$1:$BX$1,0),FALSE)/1,0))</f>
        <v/>
      </c>
      <c r="U75" s="31" t="str">
        <f>IF($D75="","",IFERROR(VLOOKUP($B75,Kraftvärmeprod!$B$1:$BX$550,MATCH(U$2,Kraftvärmeprod!$B$1:$VX$1,0),FALSE)/1,0)-IFERROR(VLOOKUP($B75,'Slutlig allokering kvv'!$B$2:$BX$550,MATCH(U$2,'Slutlig allokering kvv'!$B$1:$BX$1,0),FALSE)/1,0))</f>
        <v/>
      </c>
      <c r="V75" s="31" t="str">
        <f>IF($D75="","",IFERROR(VLOOKUP($B75,Kraftvärmeprod!$B$1:$BX$550,MATCH(V$2,Kraftvärmeprod!$B$1:$VX$1,0),FALSE)/1,0)-IFERROR(VLOOKUP($B75,'Slutlig allokering kvv'!$B$2:$BX$550,MATCH(V$2,'Slutlig allokering kvv'!$B$1:$BX$1,0),FALSE)/1,0))</f>
        <v/>
      </c>
      <c r="W75" s="31" t="str">
        <f>IF($D75="","",IFERROR(VLOOKUP($B75,Kraftvärmeprod!$B$1:$BX$550,MATCH(W$2,Kraftvärmeprod!$B$1:$VX$1,0),FALSE)/1,0)-IFERROR(VLOOKUP($B75,'Slutlig allokering kvv'!$B$2:$BX$550,MATCH(W$2,'Slutlig allokering kvv'!$B$1:$BX$1,0),FALSE)/1,0))</f>
        <v/>
      </c>
      <c r="X75" s="31" t="str">
        <f>IF($D75="","",IFERROR(VLOOKUP($B75,Kraftvärmeprod!$B$1:$BX$550,MATCH(X$2,Kraftvärmeprod!$B$1:$VX$1,0),FALSE)/1,0)-IFERROR(VLOOKUP($B75,'Slutlig allokering kvv'!$B$2:$BX$550,MATCH(X$2,'Slutlig allokering kvv'!$B$1:$BX$1,0),FALSE)/1,0))</f>
        <v/>
      </c>
      <c r="Y75" s="31" t="str">
        <f>IF($D75="","",IFERROR(VLOOKUP($B75,Kraftvärmeprod!$B$1:$BX$550,MATCH(Y$2,Kraftvärmeprod!$B$1:$VX$1,0),FALSE)/1,0)-IFERROR(VLOOKUP($B75,'Slutlig allokering kvv'!$B$2:$BX$550,MATCH(Y$2,'Slutlig allokering kvv'!$B$1:$BX$1,0),FALSE)/1,0))</f>
        <v/>
      </c>
      <c r="Z75" s="31" t="str">
        <f>IF($D75="","",IFERROR(VLOOKUP($B75,Kraftvärmeprod!$B$1:$BX$550,MATCH(Z$2,Kraftvärmeprod!$B$1:$VX$1,0),FALSE)/1,0)-IFERROR(VLOOKUP($B75,'Slutlig allokering kvv'!$B$2:$BX$550,MATCH(Z$2,'Slutlig allokering kvv'!$B$1:$BX$1,0),FALSE)/1,0))</f>
        <v/>
      </c>
      <c r="AA75" s="31" t="str">
        <f>IF($D75="","",IFERROR(VLOOKUP($B75,Kraftvärmeprod!$B$1:$BX$550,MATCH(AA$2,Kraftvärmeprod!$B$1:$VX$1,0),FALSE)/1,0)-IFERROR(VLOOKUP($B75,'Slutlig allokering kvv'!$B$2:$BX$550,MATCH(AA$2,'Slutlig allokering kvv'!$B$1:$BX$1,0),FALSE)/1,0))</f>
        <v/>
      </c>
      <c r="AB75" s="31" t="str">
        <f>IF($D75="","",IFERROR(VLOOKUP($B75,Kraftvärmeprod!$B$1:$BX$550,MATCH(AB$2,Kraftvärmeprod!$B$1:$VX$1,0),FALSE)/1,0)-IFERROR(VLOOKUP($B75,'Slutlig allokering kvv'!$B$2:$BX$550,MATCH(AB$2,'Slutlig allokering kvv'!$B$1:$BX$1,0),FALSE)/1,0))</f>
        <v/>
      </c>
      <c r="AC75" s="31" t="str">
        <f>IF($D75="","",IFERROR(VLOOKUP($B75,Kraftvärmeprod!$B$1:$BX$550,MATCH(AC$2,Kraftvärmeprod!$B$1:$VX$1,0),FALSE)/1,0)-IFERROR(VLOOKUP($B75,'Slutlig allokering kvv'!$B$2:$BX$550,MATCH(AC$2,'Slutlig allokering kvv'!$B$1:$BX$1,0),FALSE)/1,0))</f>
        <v/>
      </c>
      <c r="AD75" s="31" t="str">
        <f>IF($D75="","",IFERROR(VLOOKUP($B75,Kraftvärmeprod!$B$1:$BX$550,MATCH(AD$2,Kraftvärmeprod!$B$1:$VX$1,0),FALSE)/1,0)-IFERROR(VLOOKUP($B75,'Slutlig allokering kvv'!$B$2:$BX$550,MATCH(AD$2,'Slutlig allokering kvv'!$B$1:$BX$1,0),FALSE)/1,0))</f>
        <v/>
      </c>
      <c r="AE75" s="31" t="str">
        <f>IF($D75="","",IFERROR(VLOOKUP($B75,Miljö!$B$1:$E$550,MATCH("Hjälpel kraftvärme (GWh)",Miljö!$B$1:$E$1,0),FALSE)/1,0)-IFERROR(VLOOKUP($B75,'Slutlig allokering kvv'!$B$2:$BX$549,MATCH(AE$2,'Slutlig allokering kvv'!$B$1:$BX$1,0),FALSE)/1,0))</f>
        <v/>
      </c>
      <c r="AI75" s="39">
        <f t="shared" si="4"/>
        <v>0</v>
      </c>
      <c r="AK75" s="31">
        <f>IFERROR(VLOOKUP($B75,'Slutlig allokering kvv'!$B$2:$AX$549,MATCH("Summa slutlig allokerad tillförd energi (utan hjälpel och rökgaskondensering):",'Slutlig allokering kvv'!$B$1:$AX$1,0),FALSE)/1,"")</f>
        <v>0</v>
      </c>
      <c r="AM75" s="31" t="str">
        <f>IFERROR(1-VLOOKUP($B75,'Slutlig allokering kvv'!$B$2:$AX$549,MATCH("Andel av bränsle i kvv som allokerats till värme, exklusive rökgaskondensering och hjälpel",'Slutlig allokering kvv'!$B$1:$AX$1,0),FALSE),"")</f>
        <v/>
      </c>
      <c r="AO75" s="31" t="str">
        <f t="shared" si="5"/>
        <v/>
      </c>
      <c r="AP75" s="31" t="str">
        <f t="shared" si="6"/>
        <v/>
      </c>
      <c r="AR75" s="32" t="str">
        <f t="shared" si="7"/>
        <v/>
      </c>
    </row>
    <row r="76" spans="1:44" s="31" customFormat="1" x14ac:dyDescent="0.45">
      <c r="A76" s="31" t="s">
        <v>589</v>
      </c>
      <c r="B76" s="31" t="s">
        <v>588</v>
      </c>
      <c r="C76" s="31" t="str">
        <f>IFERROR(VLOOKUP($B76,Kraftvärmeprod!$B$1:$AH$479,MATCH(C$2,Kraftvärmeprod!$B$1:$AG$1,0),FALSE)/1,"")</f>
        <v/>
      </c>
      <c r="D76" s="31" t="str">
        <f>IFERROR(VLOOKUP($B76,Kraftvärmeprod!$B$1:$AH$479,MATCH(D$2,Kraftvärmeprod!$B$1:$AG$1,0),FALSE)/1,"")</f>
        <v/>
      </c>
      <c r="F76" s="31" t="str">
        <f>IF($D76="","",IFERROR(VLOOKUP($B76,Kraftvärmeprod!$B$1:$BX$550,MATCH(F$2,Kraftvärmeprod!$B$1:$VX$1,0),FALSE)/1,0)-IFERROR(VLOOKUP($B76,'Slutlig allokering kvv'!$B$2:$BX$550,MATCH(F$2,'Slutlig allokering kvv'!$B$1:$BX$1,0),FALSE)/1,0))</f>
        <v/>
      </c>
      <c r="G76" s="31" t="str">
        <f>IF($D76="","",IFERROR(VLOOKUP($B76,Kraftvärmeprod!$B$1:$BX$550,MATCH(G$2,Kraftvärmeprod!$B$1:$VX$1,0),FALSE)/1,0)-IFERROR(VLOOKUP($B76,'Slutlig allokering kvv'!$B$2:$BX$550,MATCH(G$2,'Slutlig allokering kvv'!$B$1:$BX$1,0),FALSE)/1,0))</f>
        <v/>
      </c>
      <c r="H76" s="31" t="str">
        <f>IF($D76="","",IFERROR(VLOOKUP($B76,Kraftvärmeprod!$B$1:$BX$550,MATCH(H$2,Kraftvärmeprod!$B$1:$VX$1,0),FALSE)/1,0)-IFERROR(VLOOKUP($B76,'Slutlig allokering kvv'!$B$2:$BX$550,MATCH(H$2,'Slutlig allokering kvv'!$B$1:$BX$1,0),FALSE)/1,0))</f>
        <v/>
      </c>
      <c r="I76" s="31" t="str">
        <f>IF($D76="","",IFERROR(VLOOKUP($B76,Kraftvärmeprod!$B$1:$BX$550,MATCH(I$2,Kraftvärmeprod!$B$1:$VX$1,0),FALSE)/1,0)-IFERROR(VLOOKUP($B76,'Slutlig allokering kvv'!$B$2:$BX$550,MATCH(I$2,'Slutlig allokering kvv'!$B$1:$BX$1,0),FALSE)/1,0))</f>
        <v/>
      </c>
      <c r="J76" s="31" t="str">
        <f>IF($D76="","",IFERROR(VLOOKUP($B76,Kraftvärmeprod!$B$1:$BX$550,MATCH(J$2,Kraftvärmeprod!$B$1:$VX$1,0),FALSE)/1,0)-IFERROR(VLOOKUP($B76,'Slutlig allokering kvv'!$B$2:$BX$550,MATCH(J$2,'Slutlig allokering kvv'!$B$1:$BX$1,0),FALSE)/1,0))</f>
        <v/>
      </c>
      <c r="K76" s="31" t="str">
        <f>IF($D76="","",IFERROR(VLOOKUP($B76,Kraftvärmeprod!$B$1:$BX$550,MATCH(K$2,Kraftvärmeprod!$B$1:$VX$1,0),FALSE)/1,0)-IFERROR(VLOOKUP($B76,'Slutlig allokering kvv'!$B$2:$BX$550,MATCH(K$2,'Slutlig allokering kvv'!$B$1:$BX$1,0),FALSE)/1,0))</f>
        <v/>
      </c>
      <c r="L76" s="31" t="str">
        <f>IF($D76="","",IFERROR(VLOOKUP($B76,Kraftvärmeprod!$B$1:$BX$550,MATCH(L$2,Kraftvärmeprod!$B$1:$VX$1,0),FALSE)/1,0)-IFERROR(VLOOKUP($B76,'Slutlig allokering kvv'!$B$2:$BX$550,MATCH(L$2,'Slutlig allokering kvv'!$B$1:$BX$1,0),FALSE)/1,0))</f>
        <v/>
      </c>
      <c r="M76" s="31" t="str">
        <f>IF($D76="","",IFERROR(VLOOKUP($B76,Kraftvärmeprod!$B$1:$BX$550,MATCH(M$2,Kraftvärmeprod!$B$1:$VX$1,0),FALSE)/1,0)-IFERROR(VLOOKUP($B76,'Slutlig allokering kvv'!$B$2:$BX$550,MATCH(M$2,'Slutlig allokering kvv'!$B$1:$BX$1,0),FALSE)/1,0))</f>
        <v/>
      </c>
      <c r="N76" s="31" t="str">
        <f>IF($D76="","",IFERROR(VLOOKUP($B76,Kraftvärmeprod!$B$1:$BX$550,MATCH(N$2,Kraftvärmeprod!$B$1:$VX$1,0),FALSE)/1,0)-IFERROR(VLOOKUP($B76,'Slutlig allokering kvv'!$B$2:$BX$550,MATCH(N$2,'Slutlig allokering kvv'!$B$1:$BX$1,0),FALSE)/1,0))</f>
        <v/>
      </c>
      <c r="O76" s="31" t="str">
        <f>IF($D76="","",IFERROR(VLOOKUP($B76,Kraftvärmeprod!$B$1:$BX$550,MATCH(O$2,Kraftvärmeprod!$B$1:$VX$1,0),FALSE)/1,0)-IFERROR(VLOOKUP($B76,'Slutlig allokering kvv'!$B$2:$BX$550,MATCH(O$2,'Slutlig allokering kvv'!$B$1:$BX$1,0),FALSE)/1,0))</f>
        <v/>
      </c>
      <c r="P76" s="31" t="str">
        <f>IF($D76="","",IFERROR(VLOOKUP($B76,Kraftvärmeprod!$B$1:$BX$550,MATCH(P$2,Kraftvärmeprod!$B$1:$VX$1,0),FALSE)/1,0)-IFERROR(VLOOKUP($B76,'Slutlig allokering kvv'!$B$2:$BX$550,MATCH(P$2,'Slutlig allokering kvv'!$B$1:$BX$1,0),FALSE)/1,0))</f>
        <v/>
      </c>
      <c r="Q76" s="31" t="str">
        <f>IF($D76="","",IFERROR(VLOOKUP($B76,Kraftvärmeprod!$B$1:$BX$550,MATCH(Q$2,Kraftvärmeprod!$B$1:$VX$1,0),FALSE)/1,0)-IFERROR(VLOOKUP($B76,'Slutlig allokering kvv'!$B$2:$BX$550,MATCH(Q$2,'Slutlig allokering kvv'!$B$1:$BX$1,0),FALSE)/1,0))</f>
        <v/>
      </c>
      <c r="R76" s="31" t="str">
        <f>IF($D76="","",IFERROR(VLOOKUP($B76,Kraftvärmeprod!$B$1:$BX$550,MATCH(R$2,Kraftvärmeprod!$B$1:$VX$1,0),FALSE)/1,0)-IFERROR(VLOOKUP($B76,'Slutlig allokering kvv'!$B$2:$BX$550,MATCH(R$2,'Slutlig allokering kvv'!$B$1:$BX$1,0),FALSE)/1,0))</f>
        <v/>
      </c>
      <c r="S76" s="31" t="str">
        <f>IF($D76="","",IFERROR(VLOOKUP($B76,Kraftvärmeprod!$B$1:$BX$550,MATCH(S$2,Kraftvärmeprod!$B$1:$VX$1,0),FALSE)/1,0)-IFERROR(VLOOKUP($B76,'Slutlig allokering kvv'!$B$2:$BX$550,MATCH(S$2,'Slutlig allokering kvv'!$B$1:$BX$1,0),FALSE)/1,0))</f>
        <v/>
      </c>
      <c r="T76" s="31" t="str">
        <f>IF($D76="","",IFERROR(VLOOKUP($B76,Kraftvärmeprod!$B$1:$BX$550,MATCH(T$2,Kraftvärmeprod!$B$1:$VX$1,0),FALSE)/1,0)-IFERROR(VLOOKUP($B76,'Slutlig allokering kvv'!$B$2:$BX$550,MATCH(T$2,'Slutlig allokering kvv'!$B$1:$BX$1,0),FALSE)/1,0))</f>
        <v/>
      </c>
      <c r="U76" s="31" t="str">
        <f>IF($D76="","",IFERROR(VLOOKUP($B76,Kraftvärmeprod!$B$1:$BX$550,MATCH(U$2,Kraftvärmeprod!$B$1:$VX$1,0),FALSE)/1,0)-IFERROR(VLOOKUP($B76,'Slutlig allokering kvv'!$B$2:$BX$550,MATCH(U$2,'Slutlig allokering kvv'!$B$1:$BX$1,0),FALSE)/1,0))</f>
        <v/>
      </c>
      <c r="V76" s="31" t="str">
        <f>IF($D76="","",IFERROR(VLOOKUP($B76,Kraftvärmeprod!$B$1:$BX$550,MATCH(V$2,Kraftvärmeprod!$B$1:$VX$1,0),FALSE)/1,0)-IFERROR(VLOOKUP($B76,'Slutlig allokering kvv'!$B$2:$BX$550,MATCH(V$2,'Slutlig allokering kvv'!$B$1:$BX$1,0),FALSE)/1,0))</f>
        <v/>
      </c>
      <c r="W76" s="31" t="str">
        <f>IF($D76="","",IFERROR(VLOOKUP($B76,Kraftvärmeprod!$B$1:$BX$550,MATCH(W$2,Kraftvärmeprod!$B$1:$VX$1,0),FALSE)/1,0)-IFERROR(VLOOKUP($B76,'Slutlig allokering kvv'!$B$2:$BX$550,MATCH(W$2,'Slutlig allokering kvv'!$B$1:$BX$1,0),FALSE)/1,0))</f>
        <v/>
      </c>
      <c r="X76" s="31" t="str">
        <f>IF($D76="","",IFERROR(VLOOKUP($B76,Kraftvärmeprod!$B$1:$BX$550,MATCH(X$2,Kraftvärmeprod!$B$1:$VX$1,0),FALSE)/1,0)-IFERROR(VLOOKUP($B76,'Slutlig allokering kvv'!$B$2:$BX$550,MATCH(X$2,'Slutlig allokering kvv'!$B$1:$BX$1,0),FALSE)/1,0))</f>
        <v/>
      </c>
      <c r="Y76" s="31" t="str">
        <f>IF($D76="","",IFERROR(VLOOKUP($B76,Kraftvärmeprod!$B$1:$BX$550,MATCH(Y$2,Kraftvärmeprod!$B$1:$VX$1,0),FALSE)/1,0)-IFERROR(VLOOKUP($B76,'Slutlig allokering kvv'!$B$2:$BX$550,MATCH(Y$2,'Slutlig allokering kvv'!$B$1:$BX$1,0),FALSE)/1,0))</f>
        <v/>
      </c>
      <c r="Z76" s="31" t="str">
        <f>IF($D76="","",IFERROR(VLOOKUP($B76,Kraftvärmeprod!$B$1:$BX$550,MATCH(Z$2,Kraftvärmeprod!$B$1:$VX$1,0),FALSE)/1,0)-IFERROR(VLOOKUP($B76,'Slutlig allokering kvv'!$B$2:$BX$550,MATCH(Z$2,'Slutlig allokering kvv'!$B$1:$BX$1,0),FALSE)/1,0))</f>
        <v/>
      </c>
      <c r="AA76" s="31" t="str">
        <f>IF($D76="","",IFERROR(VLOOKUP($B76,Kraftvärmeprod!$B$1:$BX$550,MATCH(AA$2,Kraftvärmeprod!$B$1:$VX$1,0),FALSE)/1,0)-IFERROR(VLOOKUP($B76,'Slutlig allokering kvv'!$B$2:$BX$550,MATCH(AA$2,'Slutlig allokering kvv'!$B$1:$BX$1,0),FALSE)/1,0))</f>
        <v/>
      </c>
      <c r="AB76" s="31" t="str">
        <f>IF($D76="","",IFERROR(VLOOKUP($B76,Kraftvärmeprod!$B$1:$BX$550,MATCH(AB$2,Kraftvärmeprod!$B$1:$VX$1,0),FALSE)/1,0)-IFERROR(VLOOKUP($B76,'Slutlig allokering kvv'!$B$2:$BX$550,MATCH(AB$2,'Slutlig allokering kvv'!$B$1:$BX$1,0),FALSE)/1,0))</f>
        <v/>
      </c>
      <c r="AC76" s="31" t="str">
        <f>IF($D76="","",IFERROR(VLOOKUP($B76,Kraftvärmeprod!$B$1:$BX$550,MATCH(AC$2,Kraftvärmeprod!$B$1:$VX$1,0),FALSE)/1,0)-IFERROR(VLOOKUP($B76,'Slutlig allokering kvv'!$B$2:$BX$550,MATCH(AC$2,'Slutlig allokering kvv'!$B$1:$BX$1,0),FALSE)/1,0))</f>
        <v/>
      </c>
      <c r="AD76" s="31" t="str">
        <f>IF($D76="","",IFERROR(VLOOKUP($B76,Kraftvärmeprod!$B$1:$BX$550,MATCH(AD$2,Kraftvärmeprod!$B$1:$VX$1,0),FALSE)/1,0)-IFERROR(VLOOKUP($B76,'Slutlig allokering kvv'!$B$2:$BX$550,MATCH(AD$2,'Slutlig allokering kvv'!$B$1:$BX$1,0),FALSE)/1,0))</f>
        <v/>
      </c>
      <c r="AE76" s="31" t="str">
        <f>IF($D76="","",IFERROR(VLOOKUP($B76,Miljö!$B$1:$E$550,MATCH("Hjälpel kraftvärme (GWh)",Miljö!$B$1:$E$1,0),FALSE)/1,0)-IFERROR(VLOOKUP($B76,'Slutlig allokering kvv'!$B$2:$BX$549,MATCH(AE$2,'Slutlig allokering kvv'!$B$1:$BX$1,0),FALSE)/1,0))</f>
        <v/>
      </c>
      <c r="AI76" s="39">
        <f t="shared" si="4"/>
        <v>0</v>
      </c>
      <c r="AK76" s="31">
        <f>IFERROR(VLOOKUP($B76,'Slutlig allokering kvv'!$B$2:$AX$549,MATCH("Summa slutlig allokerad tillförd energi (utan hjälpel och rökgaskondensering):",'Slutlig allokering kvv'!$B$1:$AX$1,0),FALSE)/1,"")</f>
        <v>0</v>
      </c>
      <c r="AM76" s="31" t="str">
        <f>IFERROR(1-VLOOKUP($B76,'Slutlig allokering kvv'!$B$2:$AX$549,MATCH("Andel av bränsle i kvv som allokerats till värme, exklusive rökgaskondensering och hjälpel",'Slutlig allokering kvv'!$B$1:$AX$1,0),FALSE),"")</f>
        <v/>
      </c>
      <c r="AO76" s="31" t="str">
        <f t="shared" si="5"/>
        <v/>
      </c>
      <c r="AP76" s="31" t="str">
        <f t="shared" si="6"/>
        <v/>
      </c>
      <c r="AR76" s="32" t="str">
        <f t="shared" si="7"/>
        <v/>
      </c>
    </row>
    <row r="77" spans="1:44" s="31" customFormat="1" x14ac:dyDescent="0.45">
      <c r="A77" s="31" t="s">
        <v>582</v>
      </c>
      <c r="B77" s="31" t="s">
        <v>586</v>
      </c>
      <c r="C77" s="31" t="str">
        <f>IFERROR(VLOOKUP($B77,Kraftvärmeprod!$B$1:$AH$479,MATCH(C$2,Kraftvärmeprod!$B$1:$AG$1,0),FALSE)/1,"")</f>
        <v/>
      </c>
      <c r="D77" s="31" t="str">
        <f>IFERROR(VLOOKUP($B77,Kraftvärmeprod!$B$1:$AH$479,MATCH(D$2,Kraftvärmeprod!$B$1:$AG$1,0),FALSE)/1,"")</f>
        <v/>
      </c>
      <c r="F77" s="31" t="str">
        <f>IF($D77="","",IFERROR(VLOOKUP($B77,Kraftvärmeprod!$B$1:$BX$550,MATCH(F$2,Kraftvärmeprod!$B$1:$VX$1,0),FALSE)/1,0)-IFERROR(VLOOKUP($B77,'Slutlig allokering kvv'!$B$2:$BX$550,MATCH(F$2,'Slutlig allokering kvv'!$B$1:$BX$1,0),FALSE)/1,0))</f>
        <v/>
      </c>
      <c r="G77" s="31" t="str">
        <f>IF($D77="","",IFERROR(VLOOKUP($B77,Kraftvärmeprod!$B$1:$BX$550,MATCH(G$2,Kraftvärmeprod!$B$1:$VX$1,0),FALSE)/1,0)-IFERROR(VLOOKUP($B77,'Slutlig allokering kvv'!$B$2:$BX$550,MATCH(G$2,'Slutlig allokering kvv'!$B$1:$BX$1,0),FALSE)/1,0))</f>
        <v/>
      </c>
      <c r="H77" s="31" t="str">
        <f>IF($D77="","",IFERROR(VLOOKUP($B77,Kraftvärmeprod!$B$1:$BX$550,MATCH(H$2,Kraftvärmeprod!$B$1:$VX$1,0),FALSE)/1,0)-IFERROR(VLOOKUP($B77,'Slutlig allokering kvv'!$B$2:$BX$550,MATCH(H$2,'Slutlig allokering kvv'!$B$1:$BX$1,0),FALSE)/1,0))</f>
        <v/>
      </c>
      <c r="I77" s="31" t="str">
        <f>IF($D77="","",IFERROR(VLOOKUP($B77,Kraftvärmeprod!$B$1:$BX$550,MATCH(I$2,Kraftvärmeprod!$B$1:$VX$1,0),FALSE)/1,0)-IFERROR(VLOOKUP($B77,'Slutlig allokering kvv'!$B$2:$BX$550,MATCH(I$2,'Slutlig allokering kvv'!$B$1:$BX$1,0),FALSE)/1,0))</f>
        <v/>
      </c>
      <c r="J77" s="31" t="str">
        <f>IF($D77="","",IFERROR(VLOOKUP($B77,Kraftvärmeprod!$B$1:$BX$550,MATCH(J$2,Kraftvärmeprod!$B$1:$VX$1,0),FALSE)/1,0)-IFERROR(VLOOKUP($B77,'Slutlig allokering kvv'!$B$2:$BX$550,MATCH(J$2,'Slutlig allokering kvv'!$B$1:$BX$1,0),FALSE)/1,0))</f>
        <v/>
      </c>
      <c r="K77" s="31" t="str">
        <f>IF($D77="","",IFERROR(VLOOKUP($B77,Kraftvärmeprod!$B$1:$BX$550,MATCH(K$2,Kraftvärmeprod!$B$1:$VX$1,0),FALSE)/1,0)-IFERROR(VLOOKUP($B77,'Slutlig allokering kvv'!$B$2:$BX$550,MATCH(K$2,'Slutlig allokering kvv'!$B$1:$BX$1,0),FALSE)/1,0))</f>
        <v/>
      </c>
      <c r="L77" s="31" t="str">
        <f>IF($D77="","",IFERROR(VLOOKUP($B77,Kraftvärmeprod!$B$1:$BX$550,MATCH(L$2,Kraftvärmeprod!$B$1:$VX$1,0),FALSE)/1,0)-IFERROR(VLOOKUP($B77,'Slutlig allokering kvv'!$B$2:$BX$550,MATCH(L$2,'Slutlig allokering kvv'!$B$1:$BX$1,0),FALSE)/1,0))</f>
        <v/>
      </c>
      <c r="M77" s="31" t="str">
        <f>IF($D77="","",IFERROR(VLOOKUP($B77,Kraftvärmeprod!$B$1:$BX$550,MATCH(M$2,Kraftvärmeprod!$B$1:$VX$1,0),FALSE)/1,0)-IFERROR(VLOOKUP($B77,'Slutlig allokering kvv'!$B$2:$BX$550,MATCH(M$2,'Slutlig allokering kvv'!$B$1:$BX$1,0),FALSE)/1,0))</f>
        <v/>
      </c>
      <c r="N77" s="31" t="str">
        <f>IF($D77="","",IFERROR(VLOOKUP($B77,Kraftvärmeprod!$B$1:$BX$550,MATCH(N$2,Kraftvärmeprod!$B$1:$VX$1,0),FALSE)/1,0)-IFERROR(VLOOKUP($B77,'Slutlig allokering kvv'!$B$2:$BX$550,MATCH(N$2,'Slutlig allokering kvv'!$B$1:$BX$1,0),FALSE)/1,0))</f>
        <v/>
      </c>
      <c r="O77" s="31" t="str">
        <f>IF($D77="","",IFERROR(VLOOKUP($B77,Kraftvärmeprod!$B$1:$BX$550,MATCH(O$2,Kraftvärmeprod!$B$1:$VX$1,0),FALSE)/1,0)-IFERROR(VLOOKUP($B77,'Slutlig allokering kvv'!$B$2:$BX$550,MATCH(O$2,'Slutlig allokering kvv'!$B$1:$BX$1,0),FALSE)/1,0))</f>
        <v/>
      </c>
      <c r="P77" s="31" t="str">
        <f>IF($D77="","",IFERROR(VLOOKUP($B77,Kraftvärmeprod!$B$1:$BX$550,MATCH(P$2,Kraftvärmeprod!$B$1:$VX$1,0),FALSE)/1,0)-IFERROR(VLOOKUP($B77,'Slutlig allokering kvv'!$B$2:$BX$550,MATCH(P$2,'Slutlig allokering kvv'!$B$1:$BX$1,0),FALSE)/1,0))</f>
        <v/>
      </c>
      <c r="Q77" s="31" t="str">
        <f>IF($D77="","",IFERROR(VLOOKUP($B77,Kraftvärmeprod!$B$1:$BX$550,MATCH(Q$2,Kraftvärmeprod!$B$1:$VX$1,0),FALSE)/1,0)-IFERROR(VLOOKUP($B77,'Slutlig allokering kvv'!$B$2:$BX$550,MATCH(Q$2,'Slutlig allokering kvv'!$B$1:$BX$1,0),FALSE)/1,0))</f>
        <v/>
      </c>
      <c r="R77" s="31" t="str">
        <f>IF($D77="","",IFERROR(VLOOKUP($B77,Kraftvärmeprod!$B$1:$BX$550,MATCH(R$2,Kraftvärmeprod!$B$1:$VX$1,0),FALSE)/1,0)-IFERROR(VLOOKUP($B77,'Slutlig allokering kvv'!$B$2:$BX$550,MATCH(R$2,'Slutlig allokering kvv'!$B$1:$BX$1,0),FALSE)/1,0))</f>
        <v/>
      </c>
      <c r="S77" s="31" t="str">
        <f>IF($D77="","",IFERROR(VLOOKUP($B77,Kraftvärmeprod!$B$1:$BX$550,MATCH(S$2,Kraftvärmeprod!$B$1:$VX$1,0),FALSE)/1,0)-IFERROR(VLOOKUP($B77,'Slutlig allokering kvv'!$B$2:$BX$550,MATCH(S$2,'Slutlig allokering kvv'!$B$1:$BX$1,0),FALSE)/1,0))</f>
        <v/>
      </c>
      <c r="T77" s="31" t="str">
        <f>IF($D77="","",IFERROR(VLOOKUP($B77,Kraftvärmeprod!$B$1:$BX$550,MATCH(T$2,Kraftvärmeprod!$B$1:$VX$1,0),FALSE)/1,0)-IFERROR(VLOOKUP($B77,'Slutlig allokering kvv'!$B$2:$BX$550,MATCH(T$2,'Slutlig allokering kvv'!$B$1:$BX$1,0),FALSE)/1,0))</f>
        <v/>
      </c>
      <c r="U77" s="31" t="str">
        <f>IF($D77="","",IFERROR(VLOOKUP($B77,Kraftvärmeprod!$B$1:$BX$550,MATCH(U$2,Kraftvärmeprod!$B$1:$VX$1,0),FALSE)/1,0)-IFERROR(VLOOKUP($B77,'Slutlig allokering kvv'!$B$2:$BX$550,MATCH(U$2,'Slutlig allokering kvv'!$B$1:$BX$1,0),FALSE)/1,0))</f>
        <v/>
      </c>
      <c r="V77" s="31" t="str">
        <f>IF($D77="","",IFERROR(VLOOKUP($B77,Kraftvärmeprod!$B$1:$BX$550,MATCH(V$2,Kraftvärmeprod!$B$1:$VX$1,0),FALSE)/1,0)-IFERROR(VLOOKUP($B77,'Slutlig allokering kvv'!$B$2:$BX$550,MATCH(V$2,'Slutlig allokering kvv'!$B$1:$BX$1,0),FALSE)/1,0))</f>
        <v/>
      </c>
      <c r="W77" s="31" t="str">
        <f>IF($D77="","",IFERROR(VLOOKUP($B77,Kraftvärmeprod!$B$1:$BX$550,MATCH(W$2,Kraftvärmeprod!$B$1:$VX$1,0),FALSE)/1,0)-IFERROR(VLOOKUP($B77,'Slutlig allokering kvv'!$B$2:$BX$550,MATCH(W$2,'Slutlig allokering kvv'!$B$1:$BX$1,0),FALSE)/1,0))</f>
        <v/>
      </c>
      <c r="X77" s="31" t="str">
        <f>IF($D77="","",IFERROR(VLOOKUP($B77,Kraftvärmeprod!$B$1:$BX$550,MATCH(X$2,Kraftvärmeprod!$B$1:$VX$1,0),FALSE)/1,0)-IFERROR(VLOOKUP($B77,'Slutlig allokering kvv'!$B$2:$BX$550,MATCH(X$2,'Slutlig allokering kvv'!$B$1:$BX$1,0),FALSE)/1,0))</f>
        <v/>
      </c>
      <c r="Y77" s="31" t="str">
        <f>IF($D77="","",IFERROR(VLOOKUP($B77,Kraftvärmeprod!$B$1:$BX$550,MATCH(Y$2,Kraftvärmeprod!$B$1:$VX$1,0),FALSE)/1,0)-IFERROR(VLOOKUP($B77,'Slutlig allokering kvv'!$B$2:$BX$550,MATCH(Y$2,'Slutlig allokering kvv'!$B$1:$BX$1,0),FALSE)/1,0))</f>
        <v/>
      </c>
      <c r="Z77" s="31" t="str">
        <f>IF($D77="","",IFERROR(VLOOKUP($B77,Kraftvärmeprod!$B$1:$BX$550,MATCH(Z$2,Kraftvärmeprod!$B$1:$VX$1,0),FALSE)/1,0)-IFERROR(VLOOKUP($B77,'Slutlig allokering kvv'!$B$2:$BX$550,MATCH(Z$2,'Slutlig allokering kvv'!$B$1:$BX$1,0),FALSE)/1,0))</f>
        <v/>
      </c>
      <c r="AA77" s="31" t="str">
        <f>IF($D77="","",IFERROR(VLOOKUP($B77,Kraftvärmeprod!$B$1:$BX$550,MATCH(AA$2,Kraftvärmeprod!$B$1:$VX$1,0),FALSE)/1,0)-IFERROR(VLOOKUP($B77,'Slutlig allokering kvv'!$B$2:$BX$550,MATCH(AA$2,'Slutlig allokering kvv'!$B$1:$BX$1,0),FALSE)/1,0))</f>
        <v/>
      </c>
      <c r="AB77" s="31" t="str">
        <f>IF($D77="","",IFERROR(VLOOKUP($B77,Kraftvärmeprod!$B$1:$BX$550,MATCH(AB$2,Kraftvärmeprod!$B$1:$VX$1,0),FALSE)/1,0)-IFERROR(VLOOKUP($B77,'Slutlig allokering kvv'!$B$2:$BX$550,MATCH(AB$2,'Slutlig allokering kvv'!$B$1:$BX$1,0),FALSE)/1,0))</f>
        <v/>
      </c>
      <c r="AC77" s="31" t="str">
        <f>IF($D77="","",IFERROR(VLOOKUP($B77,Kraftvärmeprod!$B$1:$BX$550,MATCH(AC$2,Kraftvärmeprod!$B$1:$VX$1,0),FALSE)/1,0)-IFERROR(VLOOKUP($B77,'Slutlig allokering kvv'!$B$2:$BX$550,MATCH(AC$2,'Slutlig allokering kvv'!$B$1:$BX$1,0),FALSE)/1,0))</f>
        <v/>
      </c>
      <c r="AD77" s="31" t="str">
        <f>IF($D77="","",IFERROR(VLOOKUP($B77,Kraftvärmeprod!$B$1:$BX$550,MATCH(AD$2,Kraftvärmeprod!$B$1:$VX$1,0),FALSE)/1,0)-IFERROR(VLOOKUP($B77,'Slutlig allokering kvv'!$B$2:$BX$550,MATCH(AD$2,'Slutlig allokering kvv'!$B$1:$BX$1,0),FALSE)/1,0))</f>
        <v/>
      </c>
      <c r="AE77" s="31" t="str">
        <f>IF($D77="","",IFERROR(VLOOKUP($B77,Miljö!$B$1:$E$550,MATCH("Hjälpel kraftvärme (GWh)",Miljö!$B$1:$E$1,0),FALSE)/1,0)-IFERROR(VLOOKUP($B77,'Slutlig allokering kvv'!$B$2:$BX$549,MATCH(AE$2,'Slutlig allokering kvv'!$B$1:$BX$1,0),FALSE)/1,0))</f>
        <v/>
      </c>
      <c r="AI77" s="39">
        <f t="shared" si="4"/>
        <v>0</v>
      </c>
      <c r="AK77" s="31">
        <f>IFERROR(VLOOKUP($B77,'Slutlig allokering kvv'!$B$2:$AX$549,MATCH("Summa slutlig allokerad tillförd energi (utan hjälpel och rökgaskondensering):",'Slutlig allokering kvv'!$B$1:$AX$1,0),FALSE)/1,"")</f>
        <v>0</v>
      </c>
      <c r="AM77" s="31" t="str">
        <f>IFERROR(1-VLOOKUP($B77,'Slutlig allokering kvv'!$B$2:$AX$549,MATCH("Andel av bränsle i kvv som allokerats till värme, exklusive rökgaskondensering och hjälpel",'Slutlig allokering kvv'!$B$1:$AX$1,0),FALSE),"")</f>
        <v/>
      </c>
      <c r="AO77" s="31" t="str">
        <f t="shared" si="5"/>
        <v/>
      </c>
      <c r="AP77" s="31" t="str">
        <f t="shared" si="6"/>
        <v/>
      </c>
      <c r="AR77" s="32" t="str">
        <f t="shared" si="7"/>
        <v/>
      </c>
    </row>
    <row r="78" spans="1:44" s="31" customFormat="1" x14ac:dyDescent="0.45">
      <c r="A78" s="31" t="s">
        <v>582</v>
      </c>
      <c r="B78" s="31" t="s">
        <v>585</v>
      </c>
      <c r="C78" s="31">
        <f>IFERROR(VLOOKUP($B78,Kraftvärmeprod!$B$1:$AH$479,MATCH(C$2,Kraftvärmeprod!$B$1:$AG$1,0),FALSE)/1,"")</f>
        <v>258.39999999999998</v>
      </c>
      <c r="D78" s="31">
        <f>IFERROR(VLOOKUP($B78,Kraftvärmeprod!$B$1:$AH$479,MATCH(D$2,Kraftvärmeprod!$B$1:$AG$1,0),FALSE)/1,"")</f>
        <v>52.1</v>
      </c>
      <c r="F78" s="31">
        <f>IF($D78="","",IFERROR(VLOOKUP($B78,Kraftvärmeprod!$B$1:$BX$550,MATCH(F$2,Kraftvärmeprod!$B$1:$VX$1,0),FALSE)/1,0)-IFERROR(VLOOKUP($B78,'Slutlig allokering kvv'!$B$2:$BX$550,MATCH(F$2,'Slutlig allokering kvv'!$B$1:$BX$1,0),FALSE)/1,0))</f>
        <v>0</v>
      </c>
      <c r="G78" s="31">
        <f>IF($D78="","",IFERROR(VLOOKUP($B78,Kraftvärmeprod!$B$1:$BX$550,MATCH(G$2,Kraftvärmeprod!$B$1:$VX$1,0),FALSE)/1,0)-IFERROR(VLOOKUP($B78,'Slutlig allokering kvv'!$B$2:$BX$550,MATCH(G$2,'Slutlig allokering kvv'!$B$1:$BX$1,0),FALSE)/1,0))</f>
        <v>0</v>
      </c>
      <c r="H78" s="31">
        <f>IF($D78="","",IFERROR(VLOOKUP($B78,Kraftvärmeprod!$B$1:$BX$550,MATCH(H$2,Kraftvärmeprod!$B$1:$VX$1,0),FALSE)/1,0)-IFERROR(VLOOKUP($B78,'Slutlig allokering kvv'!$B$2:$BX$550,MATCH(H$2,'Slutlig allokering kvv'!$B$1:$BX$1,0),FALSE)/1,0))</f>
        <v>0</v>
      </c>
      <c r="I78" s="31">
        <f>IF($D78="","",IFERROR(VLOOKUP($B78,Kraftvärmeprod!$B$1:$BX$550,MATCH(I$2,Kraftvärmeprod!$B$1:$VX$1,0),FALSE)/1,0)-IFERROR(VLOOKUP($B78,'Slutlig allokering kvv'!$B$2:$BX$550,MATCH(I$2,'Slutlig allokering kvv'!$B$1:$BX$1,0),FALSE)/1,0))</f>
        <v>0</v>
      </c>
      <c r="J78" s="31">
        <f>IF($D78="","",IFERROR(VLOOKUP($B78,Kraftvärmeprod!$B$1:$BX$550,MATCH(J$2,Kraftvärmeprod!$B$1:$VX$1,0),FALSE)/1,0)-IFERROR(VLOOKUP($B78,'Slutlig allokering kvv'!$B$2:$BX$550,MATCH(J$2,'Slutlig allokering kvv'!$B$1:$BX$1,0),FALSE)/1,0))</f>
        <v>0</v>
      </c>
      <c r="K78" s="31">
        <f>IF($D78="","",IFERROR(VLOOKUP($B78,Kraftvärmeprod!$B$1:$BX$550,MATCH(K$2,Kraftvärmeprod!$B$1:$VX$1,0),FALSE)/1,0)-IFERROR(VLOOKUP($B78,'Slutlig allokering kvv'!$B$2:$BX$550,MATCH(K$2,'Slutlig allokering kvv'!$B$1:$BX$1,0),FALSE)/1,0))</f>
        <v>0</v>
      </c>
      <c r="L78" s="31">
        <f>IF($D78="","",IFERROR(VLOOKUP($B78,Kraftvärmeprod!$B$1:$BX$550,MATCH(L$2,Kraftvärmeprod!$B$1:$VX$1,0),FALSE)/1,0)-IFERROR(VLOOKUP($B78,'Slutlig allokering kvv'!$B$2:$BX$550,MATCH(L$2,'Slutlig allokering kvv'!$B$1:$BX$1,0),FALSE)/1,0))</f>
        <v>35.496099999999998</v>
      </c>
      <c r="M78" s="31">
        <f>IF($D78="","",IFERROR(VLOOKUP($B78,Kraftvärmeprod!$B$1:$BX$550,MATCH(M$2,Kraftvärmeprod!$B$1:$VX$1,0),FALSE)/1,0)-IFERROR(VLOOKUP($B78,'Slutlig allokering kvv'!$B$2:$BX$550,MATCH(M$2,'Slutlig allokering kvv'!$B$1:$BX$1,0),FALSE)/1,0))</f>
        <v>32.234099999999998</v>
      </c>
      <c r="N78" s="31">
        <f>IF($D78="","",IFERROR(VLOOKUP($B78,Kraftvärmeprod!$B$1:$BX$550,MATCH(N$2,Kraftvärmeprod!$B$1:$VX$1,0),FALSE)/1,0)-IFERROR(VLOOKUP($B78,'Slutlig allokering kvv'!$B$2:$BX$550,MATCH(N$2,'Slutlig allokering kvv'!$B$1:$BX$1,0),FALSE)/1,0))</f>
        <v>22.021000000000001</v>
      </c>
      <c r="O78" s="31">
        <f>IF($D78="","",IFERROR(VLOOKUP($B78,Kraftvärmeprod!$B$1:$BX$550,MATCH(O$2,Kraftvärmeprod!$B$1:$VX$1,0),FALSE)/1,0)-IFERROR(VLOOKUP($B78,'Slutlig allokering kvv'!$B$2:$BX$550,MATCH(O$2,'Slutlig allokering kvv'!$B$1:$BX$1,0),FALSE)/1,0))</f>
        <v>0</v>
      </c>
      <c r="P78" s="31">
        <f>IF($D78="","",IFERROR(VLOOKUP($B78,Kraftvärmeprod!$B$1:$BX$550,MATCH(P$2,Kraftvärmeprod!$B$1:$VX$1,0),FALSE)/1,0)-IFERROR(VLOOKUP($B78,'Slutlig allokering kvv'!$B$2:$BX$550,MATCH(P$2,'Slutlig allokering kvv'!$B$1:$BX$1,0),FALSE)/1,0))</f>
        <v>0</v>
      </c>
      <c r="Q78" s="31">
        <f>IF($D78="","",IFERROR(VLOOKUP($B78,Kraftvärmeprod!$B$1:$BX$550,MATCH(Q$2,Kraftvärmeprod!$B$1:$VX$1,0),FALSE)/1,0)-IFERROR(VLOOKUP($B78,'Slutlig allokering kvv'!$B$2:$BX$550,MATCH(Q$2,'Slutlig allokering kvv'!$B$1:$BX$1,0),FALSE)/1,0))</f>
        <v>10.591999999999999</v>
      </c>
      <c r="R78" s="31">
        <f>IF($D78="","",IFERROR(VLOOKUP($B78,Kraftvärmeprod!$B$1:$BX$550,MATCH(R$2,Kraftvärmeprod!$B$1:$VX$1,0),FALSE)/1,0)-IFERROR(VLOOKUP($B78,'Slutlig allokering kvv'!$B$2:$BX$550,MATCH(R$2,'Slutlig allokering kvv'!$B$1:$BX$1,0),FALSE)/1,0))</f>
        <v>0</v>
      </c>
      <c r="S78" s="31">
        <f>IF($D78="","",IFERROR(VLOOKUP($B78,Kraftvärmeprod!$B$1:$BX$550,MATCH(S$2,Kraftvärmeprod!$B$1:$VX$1,0),FALSE)/1,0)-IFERROR(VLOOKUP($B78,'Slutlig allokering kvv'!$B$2:$BX$550,MATCH(S$2,'Slutlig allokering kvv'!$B$1:$BX$1,0),FALSE)/1,0))</f>
        <v>0</v>
      </c>
      <c r="T78" s="31">
        <f>IF($D78="","",IFERROR(VLOOKUP($B78,Kraftvärmeprod!$B$1:$BX$550,MATCH(T$2,Kraftvärmeprod!$B$1:$VX$1,0),FALSE)/1,0)-IFERROR(VLOOKUP($B78,'Slutlig allokering kvv'!$B$2:$BX$550,MATCH(T$2,'Slutlig allokering kvv'!$B$1:$BX$1,0),FALSE)/1,0))</f>
        <v>0</v>
      </c>
      <c r="U78" s="31">
        <f>IF($D78="","",IFERROR(VLOOKUP($B78,Kraftvärmeprod!$B$1:$BX$550,MATCH(U$2,Kraftvärmeprod!$B$1:$VX$1,0),FALSE)/1,0)-IFERROR(VLOOKUP($B78,'Slutlig allokering kvv'!$B$2:$BX$550,MATCH(U$2,'Slutlig allokering kvv'!$B$1:$BX$1,0),FALSE)/1,0))</f>
        <v>0</v>
      </c>
      <c r="V78" s="31">
        <f>IF($D78="","",IFERROR(VLOOKUP($B78,Kraftvärmeprod!$B$1:$BX$550,MATCH(V$2,Kraftvärmeprod!$B$1:$VX$1,0),FALSE)/1,0)-IFERROR(VLOOKUP($B78,'Slutlig allokering kvv'!$B$2:$BX$550,MATCH(V$2,'Slutlig allokering kvv'!$B$1:$BX$1,0),FALSE)/1,0))</f>
        <v>24.290999999999997</v>
      </c>
      <c r="W78" s="31">
        <f>IF($D78="","",IFERROR(VLOOKUP($B78,Kraftvärmeprod!$B$1:$BX$550,MATCH(W$2,Kraftvärmeprod!$B$1:$VX$1,0),FALSE)/1,0)-IFERROR(VLOOKUP($B78,'Slutlig allokering kvv'!$B$2:$BX$550,MATCH(W$2,'Slutlig allokering kvv'!$B$1:$BX$1,0),FALSE)/1,0))</f>
        <v>0</v>
      </c>
      <c r="X78" s="31">
        <f>IF($D78="","",IFERROR(VLOOKUP($B78,Kraftvärmeprod!$B$1:$BX$550,MATCH(X$2,Kraftvärmeprod!$B$1:$VX$1,0),FALSE)/1,0)-IFERROR(VLOOKUP($B78,'Slutlig allokering kvv'!$B$2:$BX$550,MATCH(X$2,'Slutlig allokering kvv'!$B$1:$BX$1,0),FALSE)/1,0))</f>
        <v>0</v>
      </c>
      <c r="Y78" s="31">
        <f>IF($D78="","",IFERROR(VLOOKUP($B78,Kraftvärmeprod!$B$1:$BX$550,MATCH(Y$2,Kraftvärmeprod!$B$1:$VX$1,0),FALSE)/1,0)-IFERROR(VLOOKUP($B78,'Slutlig allokering kvv'!$B$2:$BX$550,MATCH(Y$2,'Slutlig allokering kvv'!$B$1:$BX$1,0),FALSE)/1,0))</f>
        <v>0</v>
      </c>
      <c r="Z78" s="31">
        <f>IF($D78="","",IFERROR(VLOOKUP($B78,Kraftvärmeprod!$B$1:$BX$550,MATCH(Z$2,Kraftvärmeprod!$B$1:$VX$1,0),FALSE)/1,0)-IFERROR(VLOOKUP($B78,'Slutlig allokering kvv'!$B$2:$BX$550,MATCH(Z$2,'Slutlig allokering kvv'!$B$1:$BX$1,0),FALSE)/1,0))</f>
        <v>0</v>
      </c>
      <c r="AA78" s="31">
        <f>IF($D78="","",IFERROR(VLOOKUP($B78,Kraftvärmeprod!$B$1:$BX$550,MATCH(AA$2,Kraftvärmeprod!$B$1:$VX$1,0),FALSE)/1,0)-IFERROR(VLOOKUP($B78,'Slutlig allokering kvv'!$B$2:$BX$550,MATCH(AA$2,'Slutlig allokering kvv'!$B$1:$BX$1,0),FALSE)/1,0))</f>
        <v>0</v>
      </c>
      <c r="AB78" s="31">
        <f>IF($D78="","",IFERROR(VLOOKUP($B78,Kraftvärmeprod!$B$1:$BX$550,MATCH(AB$2,Kraftvärmeprod!$B$1:$VX$1,0),FALSE)/1,0)-IFERROR(VLOOKUP($B78,'Slutlig allokering kvv'!$B$2:$BX$550,MATCH(AB$2,'Slutlig allokering kvv'!$B$1:$BX$1,0),FALSE)/1,0))</f>
        <v>0</v>
      </c>
      <c r="AC78" s="31">
        <f>IF($D78="","",IFERROR(VLOOKUP($B78,Kraftvärmeprod!$B$1:$BX$550,MATCH(AC$2,Kraftvärmeprod!$B$1:$VX$1,0),FALSE)/1,0)-IFERROR(VLOOKUP($B78,'Slutlig allokering kvv'!$B$2:$BX$550,MATCH(AC$2,'Slutlig allokering kvv'!$B$1:$BX$1,0),FALSE)/1,0))</f>
        <v>0</v>
      </c>
      <c r="AD78" s="31">
        <f>IF($D78="","",IFERROR(VLOOKUP($B78,Kraftvärmeprod!$B$1:$BX$550,MATCH(AD$2,Kraftvärmeprod!$B$1:$VX$1,0),FALSE)/1,0)-IFERROR(VLOOKUP($B78,'Slutlig allokering kvv'!$B$2:$BX$550,MATCH(AD$2,'Slutlig allokering kvv'!$B$1:$BX$1,0),FALSE)/1,0))</f>
        <v>0</v>
      </c>
      <c r="AE78" s="31">
        <f>IF($D78="","",IFERROR(VLOOKUP($B78,Miljö!$B$1:$E$550,MATCH("Hjälpel kraftvärme (GWh)",Miljö!$B$1:$E$1,0),FALSE)/1,0)-IFERROR(VLOOKUP($B78,'Slutlig allokering kvv'!$B$2:$BX$549,MATCH(AE$2,'Slutlig allokering kvv'!$B$1:$BX$1,0),FALSE)/1,0))</f>
        <v>5.3229000000000006</v>
      </c>
      <c r="AI78" s="39">
        <f t="shared" si="4"/>
        <v>124.63419999999999</v>
      </c>
      <c r="AK78" s="31">
        <f>IFERROR(VLOOKUP($B78,'Slutlig allokering kvv'!$B$2:$AX$549,MATCH("Summa slutlig allokerad tillförd energi (utan hjälpel och rökgaskondensering):",'Slutlig allokering kvv'!$B$1:$AX$1,0),FALSE)/1,"")</f>
        <v>238.29579999999999</v>
      </c>
      <c r="AM78" s="31">
        <f>IFERROR(1-VLOOKUP($B78,'Slutlig allokering kvv'!$B$2:$AX$549,MATCH("Andel av bränsle i kvv som allokerats till värme, exklusive rökgaskondensering och hjälpel",'Slutlig allokering kvv'!$B$1:$AX$1,0),FALSE),"")</f>
        <v>0.34341112611247337</v>
      </c>
      <c r="AO78" s="31">
        <f t="shared" si="5"/>
        <v>0.34341112611247349</v>
      </c>
      <c r="AP78" s="31">
        <f t="shared" si="6"/>
        <v>-1.1102230246251565E-16</v>
      </c>
      <c r="AR78" s="32">
        <f t="shared" si="7"/>
        <v>0.40090152827356107</v>
      </c>
    </row>
    <row r="79" spans="1:44" s="31" customFormat="1" x14ac:dyDescent="0.45">
      <c r="A79" s="31" t="s">
        <v>582</v>
      </c>
      <c r="B79" s="31" t="s">
        <v>583</v>
      </c>
      <c r="C79" s="31" t="str">
        <f>IFERROR(VLOOKUP($B79,Kraftvärmeprod!$B$1:$AH$479,MATCH(C$2,Kraftvärmeprod!$B$1:$AG$1,0),FALSE)/1,"")</f>
        <v/>
      </c>
      <c r="D79" s="31" t="str">
        <f>IFERROR(VLOOKUP($B79,Kraftvärmeprod!$B$1:$AH$479,MATCH(D$2,Kraftvärmeprod!$B$1:$AG$1,0),FALSE)/1,"")</f>
        <v/>
      </c>
      <c r="F79" s="31" t="str">
        <f>IF($D79="","",IFERROR(VLOOKUP($B79,Kraftvärmeprod!$B$1:$BX$550,MATCH(F$2,Kraftvärmeprod!$B$1:$VX$1,0),FALSE)/1,0)-IFERROR(VLOOKUP($B79,'Slutlig allokering kvv'!$B$2:$BX$550,MATCH(F$2,'Slutlig allokering kvv'!$B$1:$BX$1,0),FALSE)/1,0))</f>
        <v/>
      </c>
      <c r="G79" s="31" t="str">
        <f>IF($D79="","",IFERROR(VLOOKUP($B79,Kraftvärmeprod!$B$1:$BX$550,MATCH(G$2,Kraftvärmeprod!$B$1:$VX$1,0),FALSE)/1,0)-IFERROR(VLOOKUP($B79,'Slutlig allokering kvv'!$B$2:$BX$550,MATCH(G$2,'Slutlig allokering kvv'!$B$1:$BX$1,0),FALSE)/1,0))</f>
        <v/>
      </c>
      <c r="H79" s="31" t="str">
        <f>IF($D79="","",IFERROR(VLOOKUP($B79,Kraftvärmeprod!$B$1:$BX$550,MATCH(H$2,Kraftvärmeprod!$B$1:$VX$1,0),FALSE)/1,0)-IFERROR(VLOOKUP($B79,'Slutlig allokering kvv'!$B$2:$BX$550,MATCH(H$2,'Slutlig allokering kvv'!$B$1:$BX$1,0),FALSE)/1,0))</f>
        <v/>
      </c>
      <c r="I79" s="31" t="str">
        <f>IF($D79="","",IFERROR(VLOOKUP($B79,Kraftvärmeprod!$B$1:$BX$550,MATCH(I$2,Kraftvärmeprod!$B$1:$VX$1,0),FALSE)/1,0)-IFERROR(VLOOKUP($B79,'Slutlig allokering kvv'!$B$2:$BX$550,MATCH(I$2,'Slutlig allokering kvv'!$B$1:$BX$1,0),FALSE)/1,0))</f>
        <v/>
      </c>
      <c r="J79" s="31" t="str">
        <f>IF($D79="","",IFERROR(VLOOKUP($B79,Kraftvärmeprod!$B$1:$BX$550,MATCH(J$2,Kraftvärmeprod!$B$1:$VX$1,0),FALSE)/1,0)-IFERROR(VLOOKUP($B79,'Slutlig allokering kvv'!$B$2:$BX$550,MATCH(J$2,'Slutlig allokering kvv'!$B$1:$BX$1,0),FALSE)/1,0))</f>
        <v/>
      </c>
      <c r="K79" s="31" t="str">
        <f>IF($D79="","",IFERROR(VLOOKUP($B79,Kraftvärmeprod!$B$1:$BX$550,MATCH(K$2,Kraftvärmeprod!$B$1:$VX$1,0),FALSE)/1,0)-IFERROR(VLOOKUP($B79,'Slutlig allokering kvv'!$B$2:$BX$550,MATCH(K$2,'Slutlig allokering kvv'!$B$1:$BX$1,0),FALSE)/1,0))</f>
        <v/>
      </c>
      <c r="L79" s="31" t="str">
        <f>IF($D79="","",IFERROR(VLOOKUP($B79,Kraftvärmeprod!$B$1:$BX$550,MATCH(L$2,Kraftvärmeprod!$B$1:$VX$1,0),FALSE)/1,0)-IFERROR(VLOOKUP($B79,'Slutlig allokering kvv'!$B$2:$BX$550,MATCH(L$2,'Slutlig allokering kvv'!$B$1:$BX$1,0),FALSE)/1,0))</f>
        <v/>
      </c>
      <c r="M79" s="31" t="str">
        <f>IF($D79="","",IFERROR(VLOOKUP($B79,Kraftvärmeprod!$B$1:$BX$550,MATCH(M$2,Kraftvärmeprod!$B$1:$VX$1,0),FALSE)/1,0)-IFERROR(VLOOKUP($B79,'Slutlig allokering kvv'!$B$2:$BX$550,MATCH(M$2,'Slutlig allokering kvv'!$B$1:$BX$1,0),FALSE)/1,0))</f>
        <v/>
      </c>
      <c r="N79" s="31" t="str">
        <f>IF($D79="","",IFERROR(VLOOKUP($B79,Kraftvärmeprod!$B$1:$BX$550,MATCH(N$2,Kraftvärmeprod!$B$1:$VX$1,0),FALSE)/1,0)-IFERROR(VLOOKUP($B79,'Slutlig allokering kvv'!$B$2:$BX$550,MATCH(N$2,'Slutlig allokering kvv'!$B$1:$BX$1,0),FALSE)/1,0))</f>
        <v/>
      </c>
      <c r="O79" s="31" t="str">
        <f>IF($D79="","",IFERROR(VLOOKUP($B79,Kraftvärmeprod!$B$1:$BX$550,MATCH(O$2,Kraftvärmeprod!$B$1:$VX$1,0),FALSE)/1,0)-IFERROR(VLOOKUP($B79,'Slutlig allokering kvv'!$B$2:$BX$550,MATCH(O$2,'Slutlig allokering kvv'!$B$1:$BX$1,0),FALSE)/1,0))</f>
        <v/>
      </c>
      <c r="P79" s="31" t="str">
        <f>IF($D79="","",IFERROR(VLOOKUP($B79,Kraftvärmeprod!$B$1:$BX$550,MATCH(P$2,Kraftvärmeprod!$B$1:$VX$1,0),FALSE)/1,0)-IFERROR(VLOOKUP($B79,'Slutlig allokering kvv'!$B$2:$BX$550,MATCH(P$2,'Slutlig allokering kvv'!$B$1:$BX$1,0),FALSE)/1,0))</f>
        <v/>
      </c>
      <c r="Q79" s="31" t="str">
        <f>IF($D79="","",IFERROR(VLOOKUP($B79,Kraftvärmeprod!$B$1:$BX$550,MATCH(Q$2,Kraftvärmeprod!$B$1:$VX$1,0),FALSE)/1,0)-IFERROR(VLOOKUP($B79,'Slutlig allokering kvv'!$B$2:$BX$550,MATCH(Q$2,'Slutlig allokering kvv'!$B$1:$BX$1,0),FALSE)/1,0))</f>
        <v/>
      </c>
      <c r="R79" s="31" t="str">
        <f>IF($D79="","",IFERROR(VLOOKUP($B79,Kraftvärmeprod!$B$1:$BX$550,MATCH(R$2,Kraftvärmeprod!$B$1:$VX$1,0),FALSE)/1,0)-IFERROR(VLOOKUP($B79,'Slutlig allokering kvv'!$B$2:$BX$550,MATCH(R$2,'Slutlig allokering kvv'!$B$1:$BX$1,0),FALSE)/1,0))</f>
        <v/>
      </c>
      <c r="S79" s="31" t="str">
        <f>IF($D79="","",IFERROR(VLOOKUP($B79,Kraftvärmeprod!$B$1:$BX$550,MATCH(S$2,Kraftvärmeprod!$B$1:$VX$1,0),FALSE)/1,0)-IFERROR(VLOOKUP($B79,'Slutlig allokering kvv'!$B$2:$BX$550,MATCH(S$2,'Slutlig allokering kvv'!$B$1:$BX$1,0),FALSE)/1,0))</f>
        <v/>
      </c>
      <c r="T79" s="31" t="str">
        <f>IF($D79="","",IFERROR(VLOOKUP($B79,Kraftvärmeprod!$B$1:$BX$550,MATCH(T$2,Kraftvärmeprod!$B$1:$VX$1,0),FALSE)/1,0)-IFERROR(VLOOKUP($B79,'Slutlig allokering kvv'!$B$2:$BX$550,MATCH(T$2,'Slutlig allokering kvv'!$B$1:$BX$1,0),FALSE)/1,0))</f>
        <v/>
      </c>
      <c r="U79" s="31" t="str">
        <f>IF($D79="","",IFERROR(VLOOKUP($B79,Kraftvärmeprod!$B$1:$BX$550,MATCH(U$2,Kraftvärmeprod!$B$1:$VX$1,0),FALSE)/1,0)-IFERROR(VLOOKUP($B79,'Slutlig allokering kvv'!$B$2:$BX$550,MATCH(U$2,'Slutlig allokering kvv'!$B$1:$BX$1,0),FALSE)/1,0))</f>
        <v/>
      </c>
      <c r="V79" s="31" t="str">
        <f>IF($D79="","",IFERROR(VLOOKUP($B79,Kraftvärmeprod!$B$1:$BX$550,MATCH(V$2,Kraftvärmeprod!$B$1:$VX$1,0),FALSE)/1,0)-IFERROR(VLOOKUP($B79,'Slutlig allokering kvv'!$B$2:$BX$550,MATCH(V$2,'Slutlig allokering kvv'!$B$1:$BX$1,0),FALSE)/1,0))</f>
        <v/>
      </c>
      <c r="W79" s="31" t="str">
        <f>IF($D79="","",IFERROR(VLOOKUP($B79,Kraftvärmeprod!$B$1:$BX$550,MATCH(W$2,Kraftvärmeprod!$B$1:$VX$1,0),FALSE)/1,0)-IFERROR(VLOOKUP($B79,'Slutlig allokering kvv'!$B$2:$BX$550,MATCH(W$2,'Slutlig allokering kvv'!$B$1:$BX$1,0),FALSE)/1,0))</f>
        <v/>
      </c>
      <c r="X79" s="31" t="str">
        <f>IF($D79="","",IFERROR(VLOOKUP($B79,Kraftvärmeprod!$B$1:$BX$550,MATCH(X$2,Kraftvärmeprod!$B$1:$VX$1,0),FALSE)/1,0)-IFERROR(VLOOKUP($B79,'Slutlig allokering kvv'!$B$2:$BX$550,MATCH(X$2,'Slutlig allokering kvv'!$B$1:$BX$1,0),FALSE)/1,0))</f>
        <v/>
      </c>
      <c r="Y79" s="31" t="str">
        <f>IF($D79="","",IFERROR(VLOOKUP($B79,Kraftvärmeprod!$B$1:$BX$550,MATCH(Y$2,Kraftvärmeprod!$B$1:$VX$1,0),FALSE)/1,0)-IFERROR(VLOOKUP($B79,'Slutlig allokering kvv'!$B$2:$BX$550,MATCH(Y$2,'Slutlig allokering kvv'!$B$1:$BX$1,0),FALSE)/1,0))</f>
        <v/>
      </c>
      <c r="Z79" s="31" t="str">
        <f>IF($D79="","",IFERROR(VLOOKUP($B79,Kraftvärmeprod!$B$1:$BX$550,MATCH(Z$2,Kraftvärmeprod!$B$1:$VX$1,0),FALSE)/1,0)-IFERROR(VLOOKUP($B79,'Slutlig allokering kvv'!$B$2:$BX$550,MATCH(Z$2,'Slutlig allokering kvv'!$B$1:$BX$1,0),FALSE)/1,0))</f>
        <v/>
      </c>
      <c r="AA79" s="31" t="str">
        <f>IF($D79="","",IFERROR(VLOOKUP($B79,Kraftvärmeprod!$B$1:$BX$550,MATCH(AA$2,Kraftvärmeprod!$B$1:$VX$1,0),FALSE)/1,0)-IFERROR(VLOOKUP($B79,'Slutlig allokering kvv'!$B$2:$BX$550,MATCH(AA$2,'Slutlig allokering kvv'!$B$1:$BX$1,0),FALSE)/1,0))</f>
        <v/>
      </c>
      <c r="AB79" s="31" t="str">
        <f>IF($D79="","",IFERROR(VLOOKUP($B79,Kraftvärmeprod!$B$1:$BX$550,MATCH(AB$2,Kraftvärmeprod!$B$1:$VX$1,0),FALSE)/1,0)-IFERROR(VLOOKUP($B79,'Slutlig allokering kvv'!$B$2:$BX$550,MATCH(AB$2,'Slutlig allokering kvv'!$B$1:$BX$1,0),FALSE)/1,0))</f>
        <v/>
      </c>
      <c r="AC79" s="31" t="str">
        <f>IF($D79="","",IFERROR(VLOOKUP($B79,Kraftvärmeprod!$B$1:$BX$550,MATCH(AC$2,Kraftvärmeprod!$B$1:$VX$1,0),FALSE)/1,0)-IFERROR(VLOOKUP($B79,'Slutlig allokering kvv'!$B$2:$BX$550,MATCH(AC$2,'Slutlig allokering kvv'!$B$1:$BX$1,0),FALSE)/1,0))</f>
        <v/>
      </c>
      <c r="AD79" s="31" t="str">
        <f>IF($D79="","",IFERROR(VLOOKUP($B79,Kraftvärmeprod!$B$1:$BX$550,MATCH(AD$2,Kraftvärmeprod!$B$1:$VX$1,0),FALSE)/1,0)-IFERROR(VLOOKUP($B79,'Slutlig allokering kvv'!$B$2:$BX$550,MATCH(AD$2,'Slutlig allokering kvv'!$B$1:$BX$1,0),FALSE)/1,0))</f>
        <v/>
      </c>
      <c r="AE79" s="31" t="str">
        <f>IF($D79="","",IFERROR(VLOOKUP($B79,Miljö!$B$1:$E$550,MATCH("Hjälpel kraftvärme (GWh)",Miljö!$B$1:$E$1,0),FALSE)/1,0)-IFERROR(VLOOKUP($B79,'Slutlig allokering kvv'!$B$2:$BX$549,MATCH(AE$2,'Slutlig allokering kvv'!$B$1:$BX$1,0),FALSE)/1,0))</f>
        <v/>
      </c>
      <c r="AI79" s="39">
        <f t="shared" si="4"/>
        <v>0</v>
      </c>
      <c r="AK79" s="31">
        <f>IFERROR(VLOOKUP($B79,'Slutlig allokering kvv'!$B$2:$AX$549,MATCH("Summa slutlig allokerad tillförd energi (utan hjälpel och rökgaskondensering):",'Slutlig allokering kvv'!$B$1:$AX$1,0),FALSE)/1,"")</f>
        <v>0</v>
      </c>
      <c r="AM79" s="31" t="str">
        <f>IFERROR(1-VLOOKUP($B79,'Slutlig allokering kvv'!$B$2:$AX$549,MATCH("Andel av bränsle i kvv som allokerats till värme, exklusive rökgaskondensering och hjälpel",'Slutlig allokering kvv'!$B$1:$AX$1,0),FALSE),"")</f>
        <v/>
      </c>
      <c r="AO79" s="31" t="str">
        <f t="shared" si="5"/>
        <v/>
      </c>
      <c r="AP79" s="31" t="str">
        <f t="shared" si="6"/>
        <v/>
      </c>
      <c r="AR79" s="32" t="str">
        <f t="shared" si="7"/>
        <v/>
      </c>
    </row>
    <row r="80" spans="1:44" s="31" customFormat="1" x14ac:dyDescent="0.45">
      <c r="A80" s="31" t="s">
        <v>582</v>
      </c>
      <c r="B80" s="31" t="s">
        <v>581</v>
      </c>
      <c r="C80" s="31" t="str">
        <f>IFERROR(VLOOKUP($B80,Kraftvärmeprod!$B$1:$AH$479,MATCH(C$2,Kraftvärmeprod!$B$1:$AG$1,0),FALSE)/1,"")</f>
        <v/>
      </c>
      <c r="D80" s="31" t="str">
        <f>IFERROR(VLOOKUP($B80,Kraftvärmeprod!$B$1:$AH$479,MATCH(D$2,Kraftvärmeprod!$B$1:$AG$1,0),FALSE)/1,"")</f>
        <v/>
      </c>
      <c r="F80" s="31" t="str">
        <f>IF($D80="","",IFERROR(VLOOKUP($B80,Kraftvärmeprod!$B$1:$BX$550,MATCH(F$2,Kraftvärmeprod!$B$1:$VX$1,0),FALSE)/1,0)-IFERROR(VLOOKUP($B80,'Slutlig allokering kvv'!$B$2:$BX$550,MATCH(F$2,'Slutlig allokering kvv'!$B$1:$BX$1,0),FALSE)/1,0))</f>
        <v/>
      </c>
      <c r="G80" s="31" t="str">
        <f>IF($D80="","",IFERROR(VLOOKUP($B80,Kraftvärmeprod!$B$1:$BX$550,MATCH(G$2,Kraftvärmeprod!$B$1:$VX$1,0),FALSE)/1,0)-IFERROR(VLOOKUP($B80,'Slutlig allokering kvv'!$B$2:$BX$550,MATCH(G$2,'Slutlig allokering kvv'!$B$1:$BX$1,0),FALSE)/1,0))</f>
        <v/>
      </c>
      <c r="H80" s="31" t="str">
        <f>IF($D80="","",IFERROR(VLOOKUP($B80,Kraftvärmeprod!$B$1:$BX$550,MATCH(H$2,Kraftvärmeprod!$B$1:$VX$1,0),FALSE)/1,0)-IFERROR(VLOOKUP($B80,'Slutlig allokering kvv'!$B$2:$BX$550,MATCH(H$2,'Slutlig allokering kvv'!$B$1:$BX$1,0),FALSE)/1,0))</f>
        <v/>
      </c>
      <c r="I80" s="31" t="str">
        <f>IF($D80="","",IFERROR(VLOOKUP($B80,Kraftvärmeprod!$B$1:$BX$550,MATCH(I$2,Kraftvärmeprod!$B$1:$VX$1,0),FALSE)/1,0)-IFERROR(VLOOKUP($B80,'Slutlig allokering kvv'!$B$2:$BX$550,MATCH(I$2,'Slutlig allokering kvv'!$B$1:$BX$1,0),FALSE)/1,0))</f>
        <v/>
      </c>
      <c r="J80" s="31" t="str">
        <f>IF($D80="","",IFERROR(VLOOKUP($B80,Kraftvärmeprod!$B$1:$BX$550,MATCH(J$2,Kraftvärmeprod!$B$1:$VX$1,0),FALSE)/1,0)-IFERROR(VLOOKUP($B80,'Slutlig allokering kvv'!$B$2:$BX$550,MATCH(J$2,'Slutlig allokering kvv'!$B$1:$BX$1,0),FALSE)/1,0))</f>
        <v/>
      </c>
      <c r="K80" s="31" t="str">
        <f>IF($D80="","",IFERROR(VLOOKUP($B80,Kraftvärmeprod!$B$1:$BX$550,MATCH(K$2,Kraftvärmeprod!$B$1:$VX$1,0),FALSE)/1,0)-IFERROR(VLOOKUP($B80,'Slutlig allokering kvv'!$B$2:$BX$550,MATCH(K$2,'Slutlig allokering kvv'!$B$1:$BX$1,0),FALSE)/1,0))</f>
        <v/>
      </c>
      <c r="L80" s="31" t="str">
        <f>IF($D80="","",IFERROR(VLOOKUP($B80,Kraftvärmeprod!$B$1:$BX$550,MATCH(L$2,Kraftvärmeprod!$B$1:$VX$1,0),FALSE)/1,0)-IFERROR(VLOOKUP($B80,'Slutlig allokering kvv'!$B$2:$BX$550,MATCH(L$2,'Slutlig allokering kvv'!$B$1:$BX$1,0),FALSE)/1,0))</f>
        <v/>
      </c>
      <c r="M80" s="31" t="str">
        <f>IF($D80="","",IFERROR(VLOOKUP($B80,Kraftvärmeprod!$B$1:$BX$550,MATCH(M$2,Kraftvärmeprod!$B$1:$VX$1,0),FALSE)/1,0)-IFERROR(VLOOKUP($B80,'Slutlig allokering kvv'!$B$2:$BX$550,MATCH(M$2,'Slutlig allokering kvv'!$B$1:$BX$1,0),FALSE)/1,0))</f>
        <v/>
      </c>
      <c r="N80" s="31" t="str">
        <f>IF($D80="","",IFERROR(VLOOKUP($B80,Kraftvärmeprod!$B$1:$BX$550,MATCH(N$2,Kraftvärmeprod!$B$1:$VX$1,0),FALSE)/1,0)-IFERROR(VLOOKUP($B80,'Slutlig allokering kvv'!$B$2:$BX$550,MATCH(N$2,'Slutlig allokering kvv'!$B$1:$BX$1,0),FALSE)/1,0))</f>
        <v/>
      </c>
      <c r="O80" s="31" t="str">
        <f>IF($D80="","",IFERROR(VLOOKUP($B80,Kraftvärmeprod!$B$1:$BX$550,MATCH(O$2,Kraftvärmeprod!$B$1:$VX$1,0),FALSE)/1,0)-IFERROR(VLOOKUP($B80,'Slutlig allokering kvv'!$B$2:$BX$550,MATCH(O$2,'Slutlig allokering kvv'!$B$1:$BX$1,0),FALSE)/1,0))</f>
        <v/>
      </c>
      <c r="P80" s="31" t="str">
        <f>IF($D80="","",IFERROR(VLOOKUP($B80,Kraftvärmeprod!$B$1:$BX$550,MATCH(P$2,Kraftvärmeprod!$B$1:$VX$1,0),FALSE)/1,0)-IFERROR(VLOOKUP($B80,'Slutlig allokering kvv'!$B$2:$BX$550,MATCH(P$2,'Slutlig allokering kvv'!$B$1:$BX$1,0),FALSE)/1,0))</f>
        <v/>
      </c>
      <c r="Q80" s="31" t="str">
        <f>IF($D80="","",IFERROR(VLOOKUP($B80,Kraftvärmeprod!$B$1:$BX$550,MATCH(Q$2,Kraftvärmeprod!$B$1:$VX$1,0),FALSE)/1,0)-IFERROR(VLOOKUP($B80,'Slutlig allokering kvv'!$B$2:$BX$550,MATCH(Q$2,'Slutlig allokering kvv'!$B$1:$BX$1,0),FALSE)/1,0))</f>
        <v/>
      </c>
      <c r="R80" s="31" t="str">
        <f>IF($D80="","",IFERROR(VLOOKUP($B80,Kraftvärmeprod!$B$1:$BX$550,MATCH(R$2,Kraftvärmeprod!$B$1:$VX$1,0),FALSE)/1,0)-IFERROR(VLOOKUP($B80,'Slutlig allokering kvv'!$B$2:$BX$550,MATCH(R$2,'Slutlig allokering kvv'!$B$1:$BX$1,0),FALSE)/1,0))</f>
        <v/>
      </c>
      <c r="S80" s="31" t="str">
        <f>IF($D80="","",IFERROR(VLOOKUP($B80,Kraftvärmeprod!$B$1:$BX$550,MATCH(S$2,Kraftvärmeprod!$B$1:$VX$1,0),FALSE)/1,0)-IFERROR(VLOOKUP($B80,'Slutlig allokering kvv'!$B$2:$BX$550,MATCH(S$2,'Slutlig allokering kvv'!$B$1:$BX$1,0),FALSE)/1,0))</f>
        <v/>
      </c>
      <c r="T80" s="31" t="str">
        <f>IF($D80="","",IFERROR(VLOOKUP($B80,Kraftvärmeprod!$B$1:$BX$550,MATCH(T$2,Kraftvärmeprod!$B$1:$VX$1,0),FALSE)/1,0)-IFERROR(VLOOKUP($B80,'Slutlig allokering kvv'!$B$2:$BX$550,MATCH(T$2,'Slutlig allokering kvv'!$B$1:$BX$1,0),FALSE)/1,0))</f>
        <v/>
      </c>
      <c r="U80" s="31" t="str">
        <f>IF($D80="","",IFERROR(VLOOKUP($B80,Kraftvärmeprod!$B$1:$BX$550,MATCH(U$2,Kraftvärmeprod!$B$1:$VX$1,0),FALSE)/1,0)-IFERROR(VLOOKUP($B80,'Slutlig allokering kvv'!$B$2:$BX$550,MATCH(U$2,'Slutlig allokering kvv'!$B$1:$BX$1,0),FALSE)/1,0))</f>
        <v/>
      </c>
      <c r="V80" s="31" t="str">
        <f>IF($D80="","",IFERROR(VLOOKUP($B80,Kraftvärmeprod!$B$1:$BX$550,MATCH(V$2,Kraftvärmeprod!$B$1:$VX$1,0),FALSE)/1,0)-IFERROR(VLOOKUP($B80,'Slutlig allokering kvv'!$B$2:$BX$550,MATCH(V$2,'Slutlig allokering kvv'!$B$1:$BX$1,0),FALSE)/1,0))</f>
        <v/>
      </c>
      <c r="W80" s="31" t="str">
        <f>IF($D80="","",IFERROR(VLOOKUP($B80,Kraftvärmeprod!$B$1:$BX$550,MATCH(W$2,Kraftvärmeprod!$B$1:$VX$1,0),FALSE)/1,0)-IFERROR(VLOOKUP($B80,'Slutlig allokering kvv'!$B$2:$BX$550,MATCH(W$2,'Slutlig allokering kvv'!$B$1:$BX$1,0),FALSE)/1,0))</f>
        <v/>
      </c>
      <c r="X80" s="31" t="str">
        <f>IF($D80="","",IFERROR(VLOOKUP($B80,Kraftvärmeprod!$B$1:$BX$550,MATCH(X$2,Kraftvärmeprod!$B$1:$VX$1,0),FALSE)/1,0)-IFERROR(VLOOKUP($B80,'Slutlig allokering kvv'!$B$2:$BX$550,MATCH(X$2,'Slutlig allokering kvv'!$B$1:$BX$1,0),FALSE)/1,0))</f>
        <v/>
      </c>
      <c r="Y80" s="31" t="str">
        <f>IF($D80="","",IFERROR(VLOOKUP($B80,Kraftvärmeprod!$B$1:$BX$550,MATCH(Y$2,Kraftvärmeprod!$B$1:$VX$1,0),FALSE)/1,0)-IFERROR(VLOOKUP($B80,'Slutlig allokering kvv'!$B$2:$BX$550,MATCH(Y$2,'Slutlig allokering kvv'!$B$1:$BX$1,0),FALSE)/1,0))</f>
        <v/>
      </c>
      <c r="Z80" s="31" t="str">
        <f>IF($D80="","",IFERROR(VLOOKUP($B80,Kraftvärmeprod!$B$1:$BX$550,MATCH(Z$2,Kraftvärmeprod!$B$1:$VX$1,0),FALSE)/1,0)-IFERROR(VLOOKUP($B80,'Slutlig allokering kvv'!$B$2:$BX$550,MATCH(Z$2,'Slutlig allokering kvv'!$B$1:$BX$1,0),FALSE)/1,0))</f>
        <v/>
      </c>
      <c r="AA80" s="31" t="str">
        <f>IF($D80="","",IFERROR(VLOOKUP($B80,Kraftvärmeprod!$B$1:$BX$550,MATCH(AA$2,Kraftvärmeprod!$B$1:$VX$1,0),FALSE)/1,0)-IFERROR(VLOOKUP($B80,'Slutlig allokering kvv'!$B$2:$BX$550,MATCH(AA$2,'Slutlig allokering kvv'!$B$1:$BX$1,0),FALSE)/1,0))</f>
        <v/>
      </c>
      <c r="AB80" s="31" t="str">
        <f>IF($D80="","",IFERROR(VLOOKUP($B80,Kraftvärmeprod!$B$1:$BX$550,MATCH(AB$2,Kraftvärmeprod!$B$1:$VX$1,0),FALSE)/1,0)-IFERROR(VLOOKUP($B80,'Slutlig allokering kvv'!$B$2:$BX$550,MATCH(AB$2,'Slutlig allokering kvv'!$B$1:$BX$1,0),FALSE)/1,0))</f>
        <v/>
      </c>
      <c r="AC80" s="31" t="str">
        <f>IF($D80="","",IFERROR(VLOOKUP($B80,Kraftvärmeprod!$B$1:$BX$550,MATCH(AC$2,Kraftvärmeprod!$B$1:$VX$1,0),FALSE)/1,0)-IFERROR(VLOOKUP($B80,'Slutlig allokering kvv'!$B$2:$BX$550,MATCH(AC$2,'Slutlig allokering kvv'!$B$1:$BX$1,0),FALSE)/1,0))</f>
        <v/>
      </c>
      <c r="AD80" s="31" t="str">
        <f>IF($D80="","",IFERROR(VLOOKUP($B80,Kraftvärmeprod!$B$1:$BX$550,MATCH(AD$2,Kraftvärmeprod!$B$1:$VX$1,0),FALSE)/1,0)-IFERROR(VLOOKUP($B80,'Slutlig allokering kvv'!$B$2:$BX$550,MATCH(AD$2,'Slutlig allokering kvv'!$B$1:$BX$1,0),FALSE)/1,0))</f>
        <v/>
      </c>
      <c r="AE80" s="31" t="str">
        <f>IF($D80="","",IFERROR(VLOOKUP($B80,Miljö!$B$1:$E$550,MATCH("Hjälpel kraftvärme (GWh)",Miljö!$B$1:$E$1,0),FALSE)/1,0)-IFERROR(VLOOKUP($B80,'Slutlig allokering kvv'!$B$2:$BX$549,MATCH(AE$2,'Slutlig allokering kvv'!$B$1:$BX$1,0),FALSE)/1,0))</f>
        <v/>
      </c>
      <c r="AI80" s="39">
        <f t="shared" si="4"/>
        <v>0</v>
      </c>
      <c r="AK80" s="31">
        <f>IFERROR(VLOOKUP($B80,'Slutlig allokering kvv'!$B$2:$AX$549,MATCH("Summa slutlig allokerad tillförd energi (utan hjälpel och rökgaskondensering):",'Slutlig allokering kvv'!$B$1:$AX$1,0),FALSE)/1,"")</f>
        <v>0</v>
      </c>
      <c r="AM80" s="31" t="str">
        <f>IFERROR(1-VLOOKUP($B80,'Slutlig allokering kvv'!$B$2:$AX$549,MATCH("Andel av bränsle i kvv som allokerats till värme, exklusive rökgaskondensering och hjälpel",'Slutlig allokering kvv'!$B$1:$AX$1,0),FALSE),"")</f>
        <v/>
      </c>
      <c r="AO80" s="31" t="str">
        <f t="shared" si="5"/>
        <v/>
      </c>
      <c r="AP80" s="31" t="str">
        <f t="shared" si="6"/>
        <v/>
      </c>
      <c r="AR80" s="32" t="str">
        <f t="shared" si="7"/>
        <v/>
      </c>
    </row>
    <row r="81" spans="1:44" s="31" customFormat="1" x14ac:dyDescent="0.45">
      <c r="A81" s="31" t="s">
        <v>580</v>
      </c>
      <c r="B81" s="31" t="s">
        <v>579</v>
      </c>
      <c r="C81" s="31" t="str">
        <f>IFERROR(VLOOKUP($B81,Kraftvärmeprod!$B$1:$AH$479,MATCH(C$2,Kraftvärmeprod!$B$1:$AG$1,0),FALSE)/1,"")</f>
        <v/>
      </c>
      <c r="D81" s="31" t="str">
        <f>IFERROR(VLOOKUP($B81,Kraftvärmeprod!$B$1:$AH$479,MATCH(D$2,Kraftvärmeprod!$B$1:$AG$1,0),FALSE)/1,"")</f>
        <v/>
      </c>
      <c r="F81" s="31" t="str">
        <f>IF($D81="","",IFERROR(VLOOKUP($B81,Kraftvärmeprod!$B$1:$BX$550,MATCH(F$2,Kraftvärmeprod!$B$1:$VX$1,0),FALSE)/1,0)-IFERROR(VLOOKUP($B81,'Slutlig allokering kvv'!$B$2:$BX$550,MATCH(F$2,'Slutlig allokering kvv'!$B$1:$BX$1,0),FALSE)/1,0))</f>
        <v/>
      </c>
      <c r="G81" s="31" t="str">
        <f>IF($D81="","",IFERROR(VLOOKUP($B81,Kraftvärmeprod!$B$1:$BX$550,MATCH(G$2,Kraftvärmeprod!$B$1:$VX$1,0),FALSE)/1,0)-IFERROR(VLOOKUP($B81,'Slutlig allokering kvv'!$B$2:$BX$550,MATCH(G$2,'Slutlig allokering kvv'!$B$1:$BX$1,0),FALSE)/1,0))</f>
        <v/>
      </c>
      <c r="H81" s="31" t="str">
        <f>IF($D81="","",IFERROR(VLOOKUP($B81,Kraftvärmeprod!$B$1:$BX$550,MATCH(H$2,Kraftvärmeprod!$B$1:$VX$1,0),FALSE)/1,0)-IFERROR(VLOOKUP($B81,'Slutlig allokering kvv'!$B$2:$BX$550,MATCH(H$2,'Slutlig allokering kvv'!$B$1:$BX$1,0),FALSE)/1,0))</f>
        <v/>
      </c>
      <c r="I81" s="31" t="str">
        <f>IF($D81="","",IFERROR(VLOOKUP($B81,Kraftvärmeprod!$B$1:$BX$550,MATCH(I$2,Kraftvärmeprod!$B$1:$VX$1,0),FALSE)/1,0)-IFERROR(VLOOKUP($B81,'Slutlig allokering kvv'!$B$2:$BX$550,MATCH(I$2,'Slutlig allokering kvv'!$B$1:$BX$1,0),FALSE)/1,0))</f>
        <v/>
      </c>
      <c r="J81" s="31" t="str">
        <f>IF($D81="","",IFERROR(VLOOKUP($B81,Kraftvärmeprod!$B$1:$BX$550,MATCH(J$2,Kraftvärmeprod!$B$1:$VX$1,0),FALSE)/1,0)-IFERROR(VLOOKUP($B81,'Slutlig allokering kvv'!$B$2:$BX$550,MATCH(J$2,'Slutlig allokering kvv'!$B$1:$BX$1,0),FALSE)/1,0))</f>
        <v/>
      </c>
      <c r="K81" s="31" t="str">
        <f>IF($D81="","",IFERROR(VLOOKUP($B81,Kraftvärmeprod!$B$1:$BX$550,MATCH(K$2,Kraftvärmeprod!$B$1:$VX$1,0),FALSE)/1,0)-IFERROR(VLOOKUP($B81,'Slutlig allokering kvv'!$B$2:$BX$550,MATCH(K$2,'Slutlig allokering kvv'!$B$1:$BX$1,0),FALSE)/1,0))</f>
        <v/>
      </c>
      <c r="L81" s="31" t="str">
        <f>IF($D81="","",IFERROR(VLOOKUP($B81,Kraftvärmeprod!$B$1:$BX$550,MATCH(L$2,Kraftvärmeprod!$B$1:$VX$1,0),FALSE)/1,0)-IFERROR(VLOOKUP($B81,'Slutlig allokering kvv'!$B$2:$BX$550,MATCH(L$2,'Slutlig allokering kvv'!$B$1:$BX$1,0),FALSE)/1,0))</f>
        <v/>
      </c>
      <c r="M81" s="31" t="str">
        <f>IF($D81="","",IFERROR(VLOOKUP($B81,Kraftvärmeprod!$B$1:$BX$550,MATCH(M$2,Kraftvärmeprod!$B$1:$VX$1,0),FALSE)/1,0)-IFERROR(VLOOKUP($B81,'Slutlig allokering kvv'!$B$2:$BX$550,MATCH(M$2,'Slutlig allokering kvv'!$B$1:$BX$1,0),FALSE)/1,0))</f>
        <v/>
      </c>
      <c r="N81" s="31" t="str">
        <f>IF($D81="","",IFERROR(VLOOKUP($B81,Kraftvärmeprod!$B$1:$BX$550,MATCH(N$2,Kraftvärmeprod!$B$1:$VX$1,0),FALSE)/1,0)-IFERROR(VLOOKUP($B81,'Slutlig allokering kvv'!$B$2:$BX$550,MATCH(N$2,'Slutlig allokering kvv'!$B$1:$BX$1,0),FALSE)/1,0))</f>
        <v/>
      </c>
      <c r="O81" s="31" t="str">
        <f>IF($D81="","",IFERROR(VLOOKUP($B81,Kraftvärmeprod!$B$1:$BX$550,MATCH(O$2,Kraftvärmeprod!$B$1:$VX$1,0),FALSE)/1,0)-IFERROR(VLOOKUP($B81,'Slutlig allokering kvv'!$B$2:$BX$550,MATCH(O$2,'Slutlig allokering kvv'!$B$1:$BX$1,0),FALSE)/1,0))</f>
        <v/>
      </c>
      <c r="P81" s="31" t="str">
        <f>IF($D81="","",IFERROR(VLOOKUP($B81,Kraftvärmeprod!$B$1:$BX$550,MATCH(P$2,Kraftvärmeprod!$B$1:$VX$1,0),FALSE)/1,0)-IFERROR(VLOOKUP($B81,'Slutlig allokering kvv'!$B$2:$BX$550,MATCH(P$2,'Slutlig allokering kvv'!$B$1:$BX$1,0),FALSE)/1,0))</f>
        <v/>
      </c>
      <c r="Q81" s="31" t="str">
        <f>IF($D81="","",IFERROR(VLOOKUP($B81,Kraftvärmeprod!$B$1:$BX$550,MATCH(Q$2,Kraftvärmeprod!$B$1:$VX$1,0),FALSE)/1,0)-IFERROR(VLOOKUP($B81,'Slutlig allokering kvv'!$B$2:$BX$550,MATCH(Q$2,'Slutlig allokering kvv'!$B$1:$BX$1,0),FALSE)/1,0))</f>
        <v/>
      </c>
      <c r="R81" s="31" t="str">
        <f>IF($D81="","",IFERROR(VLOOKUP($B81,Kraftvärmeprod!$B$1:$BX$550,MATCH(R$2,Kraftvärmeprod!$B$1:$VX$1,0),FALSE)/1,0)-IFERROR(VLOOKUP($B81,'Slutlig allokering kvv'!$B$2:$BX$550,MATCH(R$2,'Slutlig allokering kvv'!$B$1:$BX$1,0),FALSE)/1,0))</f>
        <v/>
      </c>
      <c r="S81" s="31" t="str">
        <f>IF($D81="","",IFERROR(VLOOKUP($B81,Kraftvärmeprod!$B$1:$BX$550,MATCH(S$2,Kraftvärmeprod!$B$1:$VX$1,0),FALSE)/1,0)-IFERROR(VLOOKUP($B81,'Slutlig allokering kvv'!$B$2:$BX$550,MATCH(S$2,'Slutlig allokering kvv'!$B$1:$BX$1,0),FALSE)/1,0))</f>
        <v/>
      </c>
      <c r="T81" s="31" t="str">
        <f>IF($D81="","",IFERROR(VLOOKUP($B81,Kraftvärmeprod!$B$1:$BX$550,MATCH(T$2,Kraftvärmeprod!$B$1:$VX$1,0),FALSE)/1,0)-IFERROR(VLOOKUP($B81,'Slutlig allokering kvv'!$B$2:$BX$550,MATCH(T$2,'Slutlig allokering kvv'!$B$1:$BX$1,0),FALSE)/1,0))</f>
        <v/>
      </c>
      <c r="U81" s="31" t="str">
        <f>IF($D81="","",IFERROR(VLOOKUP($B81,Kraftvärmeprod!$B$1:$BX$550,MATCH(U$2,Kraftvärmeprod!$B$1:$VX$1,0),FALSE)/1,0)-IFERROR(VLOOKUP($B81,'Slutlig allokering kvv'!$B$2:$BX$550,MATCH(U$2,'Slutlig allokering kvv'!$B$1:$BX$1,0),FALSE)/1,0))</f>
        <v/>
      </c>
      <c r="V81" s="31" t="str">
        <f>IF($D81="","",IFERROR(VLOOKUP($B81,Kraftvärmeprod!$B$1:$BX$550,MATCH(V$2,Kraftvärmeprod!$B$1:$VX$1,0),FALSE)/1,0)-IFERROR(VLOOKUP($B81,'Slutlig allokering kvv'!$B$2:$BX$550,MATCH(V$2,'Slutlig allokering kvv'!$B$1:$BX$1,0),FALSE)/1,0))</f>
        <v/>
      </c>
      <c r="W81" s="31" t="str">
        <f>IF($D81="","",IFERROR(VLOOKUP($B81,Kraftvärmeprod!$B$1:$BX$550,MATCH(W$2,Kraftvärmeprod!$B$1:$VX$1,0),FALSE)/1,0)-IFERROR(VLOOKUP($B81,'Slutlig allokering kvv'!$B$2:$BX$550,MATCH(W$2,'Slutlig allokering kvv'!$B$1:$BX$1,0),FALSE)/1,0))</f>
        <v/>
      </c>
      <c r="X81" s="31" t="str">
        <f>IF($D81="","",IFERROR(VLOOKUP($B81,Kraftvärmeprod!$B$1:$BX$550,MATCH(X$2,Kraftvärmeprod!$B$1:$VX$1,0),FALSE)/1,0)-IFERROR(VLOOKUP($B81,'Slutlig allokering kvv'!$B$2:$BX$550,MATCH(X$2,'Slutlig allokering kvv'!$B$1:$BX$1,0),FALSE)/1,0))</f>
        <v/>
      </c>
      <c r="Y81" s="31" t="str">
        <f>IF($D81="","",IFERROR(VLOOKUP($B81,Kraftvärmeprod!$B$1:$BX$550,MATCH(Y$2,Kraftvärmeprod!$B$1:$VX$1,0),FALSE)/1,0)-IFERROR(VLOOKUP($B81,'Slutlig allokering kvv'!$B$2:$BX$550,MATCH(Y$2,'Slutlig allokering kvv'!$B$1:$BX$1,0),FALSE)/1,0))</f>
        <v/>
      </c>
      <c r="Z81" s="31" t="str">
        <f>IF($D81="","",IFERROR(VLOOKUP($B81,Kraftvärmeprod!$B$1:$BX$550,MATCH(Z$2,Kraftvärmeprod!$B$1:$VX$1,0),FALSE)/1,0)-IFERROR(VLOOKUP($B81,'Slutlig allokering kvv'!$B$2:$BX$550,MATCH(Z$2,'Slutlig allokering kvv'!$B$1:$BX$1,0),FALSE)/1,0))</f>
        <v/>
      </c>
      <c r="AA81" s="31" t="str">
        <f>IF($D81="","",IFERROR(VLOOKUP($B81,Kraftvärmeprod!$B$1:$BX$550,MATCH(AA$2,Kraftvärmeprod!$B$1:$VX$1,0),FALSE)/1,0)-IFERROR(VLOOKUP($B81,'Slutlig allokering kvv'!$B$2:$BX$550,MATCH(AA$2,'Slutlig allokering kvv'!$B$1:$BX$1,0),FALSE)/1,0))</f>
        <v/>
      </c>
      <c r="AB81" s="31" t="str">
        <f>IF($D81="","",IFERROR(VLOOKUP($B81,Kraftvärmeprod!$B$1:$BX$550,MATCH(AB$2,Kraftvärmeprod!$B$1:$VX$1,0),FALSE)/1,0)-IFERROR(VLOOKUP($B81,'Slutlig allokering kvv'!$B$2:$BX$550,MATCH(AB$2,'Slutlig allokering kvv'!$B$1:$BX$1,0),FALSE)/1,0))</f>
        <v/>
      </c>
      <c r="AC81" s="31" t="str">
        <f>IF($D81="","",IFERROR(VLOOKUP($B81,Kraftvärmeprod!$B$1:$BX$550,MATCH(AC$2,Kraftvärmeprod!$B$1:$VX$1,0),FALSE)/1,0)-IFERROR(VLOOKUP($B81,'Slutlig allokering kvv'!$B$2:$BX$550,MATCH(AC$2,'Slutlig allokering kvv'!$B$1:$BX$1,0),FALSE)/1,0))</f>
        <v/>
      </c>
      <c r="AD81" s="31" t="str">
        <f>IF($D81="","",IFERROR(VLOOKUP($B81,Kraftvärmeprod!$B$1:$BX$550,MATCH(AD$2,Kraftvärmeprod!$B$1:$VX$1,0),FALSE)/1,0)-IFERROR(VLOOKUP($B81,'Slutlig allokering kvv'!$B$2:$BX$550,MATCH(AD$2,'Slutlig allokering kvv'!$B$1:$BX$1,0),FALSE)/1,0))</f>
        <v/>
      </c>
      <c r="AE81" s="31" t="str">
        <f>IF($D81="","",IFERROR(VLOOKUP($B81,Miljö!$B$1:$E$550,MATCH("Hjälpel kraftvärme (GWh)",Miljö!$B$1:$E$1,0),FALSE)/1,0)-IFERROR(VLOOKUP($B81,'Slutlig allokering kvv'!$B$2:$BX$549,MATCH(AE$2,'Slutlig allokering kvv'!$B$1:$BX$1,0),FALSE)/1,0))</f>
        <v/>
      </c>
      <c r="AI81" s="39">
        <f t="shared" si="4"/>
        <v>0</v>
      </c>
      <c r="AK81" s="31">
        <f>IFERROR(VLOOKUP($B81,'Slutlig allokering kvv'!$B$2:$AX$549,MATCH("Summa slutlig allokerad tillförd energi (utan hjälpel och rökgaskondensering):",'Slutlig allokering kvv'!$B$1:$AX$1,0),FALSE)/1,"")</f>
        <v>0</v>
      </c>
      <c r="AM81" s="31" t="str">
        <f>IFERROR(1-VLOOKUP($B81,'Slutlig allokering kvv'!$B$2:$AX$549,MATCH("Andel av bränsle i kvv som allokerats till värme, exklusive rökgaskondensering och hjälpel",'Slutlig allokering kvv'!$B$1:$AX$1,0),FALSE),"")</f>
        <v/>
      </c>
      <c r="AO81" s="31" t="str">
        <f t="shared" si="5"/>
        <v/>
      </c>
      <c r="AP81" s="31" t="str">
        <f t="shared" si="6"/>
        <v/>
      </c>
      <c r="AR81" s="32" t="str">
        <f t="shared" si="7"/>
        <v/>
      </c>
    </row>
    <row r="82" spans="1:44" s="31" customFormat="1" x14ac:dyDescent="0.45">
      <c r="A82" s="31" t="s">
        <v>576</v>
      </c>
      <c r="B82" s="31" t="s">
        <v>578</v>
      </c>
      <c r="C82" s="31" t="str">
        <f>IFERROR(VLOOKUP($B82,Kraftvärmeprod!$B$1:$AH$479,MATCH(C$2,Kraftvärmeprod!$B$1:$AG$1,0),FALSE)/1,"")</f>
        <v/>
      </c>
      <c r="D82" s="31" t="str">
        <f>IFERROR(VLOOKUP($B82,Kraftvärmeprod!$B$1:$AH$479,MATCH(D$2,Kraftvärmeprod!$B$1:$AG$1,0),FALSE)/1,"")</f>
        <v/>
      </c>
      <c r="F82" s="31" t="str">
        <f>IF($D82="","",IFERROR(VLOOKUP($B82,Kraftvärmeprod!$B$1:$BX$550,MATCH(F$2,Kraftvärmeprod!$B$1:$VX$1,0),FALSE)/1,0)-IFERROR(VLOOKUP($B82,'Slutlig allokering kvv'!$B$2:$BX$550,MATCH(F$2,'Slutlig allokering kvv'!$B$1:$BX$1,0),FALSE)/1,0))</f>
        <v/>
      </c>
      <c r="G82" s="31" t="str">
        <f>IF($D82="","",IFERROR(VLOOKUP($B82,Kraftvärmeprod!$B$1:$BX$550,MATCH(G$2,Kraftvärmeprod!$B$1:$VX$1,0),FALSE)/1,0)-IFERROR(VLOOKUP($B82,'Slutlig allokering kvv'!$B$2:$BX$550,MATCH(G$2,'Slutlig allokering kvv'!$B$1:$BX$1,0),FALSE)/1,0))</f>
        <v/>
      </c>
      <c r="H82" s="31" t="str">
        <f>IF($D82="","",IFERROR(VLOOKUP($B82,Kraftvärmeprod!$B$1:$BX$550,MATCH(H$2,Kraftvärmeprod!$B$1:$VX$1,0),FALSE)/1,0)-IFERROR(VLOOKUP($B82,'Slutlig allokering kvv'!$B$2:$BX$550,MATCH(H$2,'Slutlig allokering kvv'!$B$1:$BX$1,0),FALSE)/1,0))</f>
        <v/>
      </c>
      <c r="I82" s="31" t="str">
        <f>IF($D82="","",IFERROR(VLOOKUP($B82,Kraftvärmeprod!$B$1:$BX$550,MATCH(I$2,Kraftvärmeprod!$B$1:$VX$1,0),FALSE)/1,0)-IFERROR(VLOOKUP($B82,'Slutlig allokering kvv'!$B$2:$BX$550,MATCH(I$2,'Slutlig allokering kvv'!$B$1:$BX$1,0),FALSE)/1,0))</f>
        <v/>
      </c>
      <c r="J82" s="31" t="str">
        <f>IF($D82="","",IFERROR(VLOOKUP($B82,Kraftvärmeprod!$B$1:$BX$550,MATCH(J$2,Kraftvärmeprod!$B$1:$VX$1,0),FALSE)/1,0)-IFERROR(VLOOKUP($B82,'Slutlig allokering kvv'!$B$2:$BX$550,MATCH(J$2,'Slutlig allokering kvv'!$B$1:$BX$1,0),FALSE)/1,0))</f>
        <v/>
      </c>
      <c r="K82" s="31" t="str">
        <f>IF($D82="","",IFERROR(VLOOKUP($B82,Kraftvärmeprod!$B$1:$BX$550,MATCH(K$2,Kraftvärmeprod!$B$1:$VX$1,0),FALSE)/1,0)-IFERROR(VLOOKUP($B82,'Slutlig allokering kvv'!$B$2:$BX$550,MATCH(K$2,'Slutlig allokering kvv'!$B$1:$BX$1,0),FALSE)/1,0))</f>
        <v/>
      </c>
      <c r="L82" s="31" t="str">
        <f>IF($D82="","",IFERROR(VLOOKUP($B82,Kraftvärmeprod!$B$1:$BX$550,MATCH(L$2,Kraftvärmeprod!$B$1:$VX$1,0),FALSE)/1,0)-IFERROR(VLOOKUP($B82,'Slutlig allokering kvv'!$B$2:$BX$550,MATCH(L$2,'Slutlig allokering kvv'!$B$1:$BX$1,0),FALSE)/1,0))</f>
        <v/>
      </c>
      <c r="M82" s="31" t="str">
        <f>IF($D82="","",IFERROR(VLOOKUP($B82,Kraftvärmeprod!$B$1:$BX$550,MATCH(M$2,Kraftvärmeprod!$B$1:$VX$1,0),FALSE)/1,0)-IFERROR(VLOOKUP($B82,'Slutlig allokering kvv'!$B$2:$BX$550,MATCH(M$2,'Slutlig allokering kvv'!$B$1:$BX$1,0),FALSE)/1,0))</f>
        <v/>
      </c>
      <c r="N82" s="31" t="str">
        <f>IF($D82="","",IFERROR(VLOOKUP($B82,Kraftvärmeprod!$B$1:$BX$550,MATCH(N$2,Kraftvärmeprod!$B$1:$VX$1,0),FALSE)/1,0)-IFERROR(VLOOKUP($B82,'Slutlig allokering kvv'!$B$2:$BX$550,MATCH(N$2,'Slutlig allokering kvv'!$B$1:$BX$1,0),FALSE)/1,0))</f>
        <v/>
      </c>
      <c r="O82" s="31" t="str">
        <f>IF($D82="","",IFERROR(VLOOKUP($B82,Kraftvärmeprod!$B$1:$BX$550,MATCH(O$2,Kraftvärmeprod!$B$1:$VX$1,0),FALSE)/1,0)-IFERROR(VLOOKUP($B82,'Slutlig allokering kvv'!$B$2:$BX$550,MATCH(O$2,'Slutlig allokering kvv'!$B$1:$BX$1,0),FALSE)/1,0))</f>
        <v/>
      </c>
      <c r="P82" s="31" t="str">
        <f>IF($D82="","",IFERROR(VLOOKUP($B82,Kraftvärmeprod!$B$1:$BX$550,MATCH(P$2,Kraftvärmeprod!$B$1:$VX$1,0),FALSE)/1,0)-IFERROR(VLOOKUP($B82,'Slutlig allokering kvv'!$B$2:$BX$550,MATCH(P$2,'Slutlig allokering kvv'!$B$1:$BX$1,0),FALSE)/1,0))</f>
        <v/>
      </c>
      <c r="Q82" s="31" t="str">
        <f>IF($D82="","",IFERROR(VLOOKUP($B82,Kraftvärmeprod!$B$1:$BX$550,MATCH(Q$2,Kraftvärmeprod!$B$1:$VX$1,0),FALSE)/1,0)-IFERROR(VLOOKUP($B82,'Slutlig allokering kvv'!$B$2:$BX$550,MATCH(Q$2,'Slutlig allokering kvv'!$B$1:$BX$1,0),FALSE)/1,0))</f>
        <v/>
      </c>
      <c r="R82" s="31" t="str">
        <f>IF($D82="","",IFERROR(VLOOKUP($B82,Kraftvärmeprod!$B$1:$BX$550,MATCH(R$2,Kraftvärmeprod!$B$1:$VX$1,0),FALSE)/1,0)-IFERROR(VLOOKUP($B82,'Slutlig allokering kvv'!$B$2:$BX$550,MATCH(R$2,'Slutlig allokering kvv'!$B$1:$BX$1,0),FALSE)/1,0))</f>
        <v/>
      </c>
      <c r="S82" s="31" t="str">
        <f>IF($D82="","",IFERROR(VLOOKUP($B82,Kraftvärmeprod!$B$1:$BX$550,MATCH(S$2,Kraftvärmeprod!$B$1:$VX$1,0),FALSE)/1,0)-IFERROR(VLOOKUP($B82,'Slutlig allokering kvv'!$B$2:$BX$550,MATCH(S$2,'Slutlig allokering kvv'!$B$1:$BX$1,0),FALSE)/1,0))</f>
        <v/>
      </c>
      <c r="T82" s="31" t="str">
        <f>IF($D82="","",IFERROR(VLOOKUP($B82,Kraftvärmeprod!$B$1:$BX$550,MATCH(T$2,Kraftvärmeprod!$B$1:$VX$1,0),FALSE)/1,0)-IFERROR(VLOOKUP($B82,'Slutlig allokering kvv'!$B$2:$BX$550,MATCH(T$2,'Slutlig allokering kvv'!$B$1:$BX$1,0),FALSE)/1,0))</f>
        <v/>
      </c>
      <c r="U82" s="31" t="str">
        <f>IF($D82="","",IFERROR(VLOOKUP($B82,Kraftvärmeprod!$B$1:$BX$550,MATCH(U$2,Kraftvärmeprod!$B$1:$VX$1,0),FALSE)/1,0)-IFERROR(VLOOKUP($B82,'Slutlig allokering kvv'!$B$2:$BX$550,MATCH(U$2,'Slutlig allokering kvv'!$B$1:$BX$1,0),FALSE)/1,0))</f>
        <v/>
      </c>
      <c r="V82" s="31" t="str">
        <f>IF($D82="","",IFERROR(VLOOKUP($B82,Kraftvärmeprod!$B$1:$BX$550,MATCH(V$2,Kraftvärmeprod!$B$1:$VX$1,0),FALSE)/1,0)-IFERROR(VLOOKUP($B82,'Slutlig allokering kvv'!$B$2:$BX$550,MATCH(V$2,'Slutlig allokering kvv'!$B$1:$BX$1,0),FALSE)/1,0))</f>
        <v/>
      </c>
      <c r="W82" s="31" t="str">
        <f>IF($D82="","",IFERROR(VLOOKUP($B82,Kraftvärmeprod!$B$1:$BX$550,MATCH(W$2,Kraftvärmeprod!$B$1:$VX$1,0),FALSE)/1,0)-IFERROR(VLOOKUP($B82,'Slutlig allokering kvv'!$B$2:$BX$550,MATCH(W$2,'Slutlig allokering kvv'!$B$1:$BX$1,0),FALSE)/1,0))</f>
        <v/>
      </c>
      <c r="X82" s="31" t="str">
        <f>IF($D82="","",IFERROR(VLOOKUP($B82,Kraftvärmeprod!$B$1:$BX$550,MATCH(X$2,Kraftvärmeprod!$B$1:$VX$1,0),FALSE)/1,0)-IFERROR(VLOOKUP($B82,'Slutlig allokering kvv'!$B$2:$BX$550,MATCH(X$2,'Slutlig allokering kvv'!$B$1:$BX$1,0),FALSE)/1,0))</f>
        <v/>
      </c>
      <c r="Y82" s="31" t="str">
        <f>IF($D82="","",IFERROR(VLOOKUP($B82,Kraftvärmeprod!$B$1:$BX$550,MATCH(Y$2,Kraftvärmeprod!$B$1:$VX$1,0),FALSE)/1,0)-IFERROR(VLOOKUP($B82,'Slutlig allokering kvv'!$B$2:$BX$550,MATCH(Y$2,'Slutlig allokering kvv'!$B$1:$BX$1,0),FALSE)/1,0))</f>
        <v/>
      </c>
      <c r="Z82" s="31" t="str">
        <f>IF($D82="","",IFERROR(VLOOKUP($B82,Kraftvärmeprod!$B$1:$BX$550,MATCH(Z$2,Kraftvärmeprod!$B$1:$VX$1,0),FALSE)/1,0)-IFERROR(VLOOKUP($B82,'Slutlig allokering kvv'!$B$2:$BX$550,MATCH(Z$2,'Slutlig allokering kvv'!$B$1:$BX$1,0),FALSE)/1,0))</f>
        <v/>
      </c>
      <c r="AA82" s="31" t="str">
        <f>IF($D82="","",IFERROR(VLOOKUP($B82,Kraftvärmeprod!$B$1:$BX$550,MATCH(AA$2,Kraftvärmeprod!$B$1:$VX$1,0),FALSE)/1,0)-IFERROR(VLOOKUP($B82,'Slutlig allokering kvv'!$B$2:$BX$550,MATCH(AA$2,'Slutlig allokering kvv'!$B$1:$BX$1,0),FALSE)/1,0))</f>
        <v/>
      </c>
      <c r="AB82" s="31" t="str">
        <f>IF($D82="","",IFERROR(VLOOKUP($B82,Kraftvärmeprod!$B$1:$BX$550,MATCH(AB$2,Kraftvärmeprod!$B$1:$VX$1,0),FALSE)/1,0)-IFERROR(VLOOKUP($B82,'Slutlig allokering kvv'!$B$2:$BX$550,MATCH(AB$2,'Slutlig allokering kvv'!$B$1:$BX$1,0),FALSE)/1,0))</f>
        <v/>
      </c>
      <c r="AC82" s="31" t="str">
        <f>IF($D82="","",IFERROR(VLOOKUP($B82,Kraftvärmeprod!$B$1:$BX$550,MATCH(AC$2,Kraftvärmeprod!$B$1:$VX$1,0),FALSE)/1,0)-IFERROR(VLOOKUP($B82,'Slutlig allokering kvv'!$B$2:$BX$550,MATCH(AC$2,'Slutlig allokering kvv'!$B$1:$BX$1,0),FALSE)/1,0))</f>
        <v/>
      </c>
      <c r="AD82" s="31" t="str">
        <f>IF($D82="","",IFERROR(VLOOKUP($B82,Kraftvärmeprod!$B$1:$BX$550,MATCH(AD$2,Kraftvärmeprod!$B$1:$VX$1,0),FALSE)/1,0)-IFERROR(VLOOKUP($B82,'Slutlig allokering kvv'!$B$2:$BX$550,MATCH(AD$2,'Slutlig allokering kvv'!$B$1:$BX$1,0),FALSE)/1,0))</f>
        <v/>
      </c>
      <c r="AE82" s="31" t="str">
        <f>IF($D82="","",IFERROR(VLOOKUP($B82,Miljö!$B$1:$E$550,MATCH("Hjälpel kraftvärme (GWh)",Miljö!$B$1:$E$1,0),FALSE)/1,0)-IFERROR(VLOOKUP($B82,'Slutlig allokering kvv'!$B$2:$BX$549,MATCH(AE$2,'Slutlig allokering kvv'!$B$1:$BX$1,0),FALSE)/1,0))</f>
        <v/>
      </c>
      <c r="AI82" s="39">
        <f t="shared" si="4"/>
        <v>0</v>
      </c>
      <c r="AK82" s="31">
        <f>IFERROR(VLOOKUP($B82,'Slutlig allokering kvv'!$B$2:$AX$549,MATCH("Summa slutlig allokerad tillförd energi (utan hjälpel och rökgaskondensering):",'Slutlig allokering kvv'!$B$1:$AX$1,0),FALSE)/1,"")</f>
        <v>0</v>
      </c>
      <c r="AM82" s="31" t="str">
        <f>IFERROR(1-VLOOKUP($B82,'Slutlig allokering kvv'!$B$2:$AX$549,MATCH("Andel av bränsle i kvv som allokerats till värme, exklusive rökgaskondensering och hjälpel",'Slutlig allokering kvv'!$B$1:$AX$1,0),FALSE),"")</f>
        <v/>
      </c>
      <c r="AO82" s="31" t="str">
        <f t="shared" si="5"/>
        <v/>
      </c>
      <c r="AP82" s="31" t="str">
        <f t="shared" si="6"/>
        <v/>
      </c>
      <c r="AR82" s="32" t="str">
        <f t="shared" si="7"/>
        <v/>
      </c>
    </row>
    <row r="83" spans="1:44" s="31" customFormat="1" x14ac:dyDescent="0.45">
      <c r="A83" s="31" t="s">
        <v>576</v>
      </c>
      <c r="B83" s="31" t="s">
        <v>577</v>
      </c>
      <c r="C83" s="31" t="str">
        <f>IFERROR(VLOOKUP($B83,Kraftvärmeprod!$B$1:$AH$479,MATCH(C$2,Kraftvärmeprod!$B$1:$AG$1,0),FALSE)/1,"")</f>
        <v/>
      </c>
      <c r="D83" s="31" t="str">
        <f>IFERROR(VLOOKUP($B83,Kraftvärmeprod!$B$1:$AH$479,MATCH(D$2,Kraftvärmeprod!$B$1:$AG$1,0),FALSE)/1,"")</f>
        <v/>
      </c>
      <c r="F83" s="31" t="str">
        <f>IF($D83="","",IFERROR(VLOOKUP($B83,Kraftvärmeprod!$B$1:$BX$550,MATCH(F$2,Kraftvärmeprod!$B$1:$VX$1,0),FALSE)/1,0)-IFERROR(VLOOKUP($B83,'Slutlig allokering kvv'!$B$2:$BX$550,MATCH(F$2,'Slutlig allokering kvv'!$B$1:$BX$1,0),FALSE)/1,0))</f>
        <v/>
      </c>
      <c r="G83" s="31" t="str">
        <f>IF($D83="","",IFERROR(VLOOKUP($B83,Kraftvärmeprod!$B$1:$BX$550,MATCH(G$2,Kraftvärmeprod!$B$1:$VX$1,0),FALSE)/1,0)-IFERROR(VLOOKUP($B83,'Slutlig allokering kvv'!$B$2:$BX$550,MATCH(G$2,'Slutlig allokering kvv'!$B$1:$BX$1,0),FALSE)/1,0))</f>
        <v/>
      </c>
      <c r="H83" s="31" t="str">
        <f>IF($D83="","",IFERROR(VLOOKUP($B83,Kraftvärmeprod!$B$1:$BX$550,MATCH(H$2,Kraftvärmeprod!$B$1:$VX$1,0),FALSE)/1,0)-IFERROR(VLOOKUP($B83,'Slutlig allokering kvv'!$B$2:$BX$550,MATCH(H$2,'Slutlig allokering kvv'!$B$1:$BX$1,0),FALSE)/1,0))</f>
        <v/>
      </c>
      <c r="I83" s="31" t="str">
        <f>IF($D83="","",IFERROR(VLOOKUP($B83,Kraftvärmeprod!$B$1:$BX$550,MATCH(I$2,Kraftvärmeprod!$B$1:$VX$1,0),FALSE)/1,0)-IFERROR(VLOOKUP($B83,'Slutlig allokering kvv'!$B$2:$BX$550,MATCH(I$2,'Slutlig allokering kvv'!$B$1:$BX$1,0),FALSE)/1,0))</f>
        <v/>
      </c>
      <c r="J83" s="31" t="str">
        <f>IF($D83="","",IFERROR(VLOOKUP($B83,Kraftvärmeprod!$B$1:$BX$550,MATCH(J$2,Kraftvärmeprod!$B$1:$VX$1,0),FALSE)/1,0)-IFERROR(VLOOKUP($B83,'Slutlig allokering kvv'!$B$2:$BX$550,MATCH(J$2,'Slutlig allokering kvv'!$B$1:$BX$1,0),FALSE)/1,0))</f>
        <v/>
      </c>
      <c r="K83" s="31" t="str">
        <f>IF($D83="","",IFERROR(VLOOKUP($B83,Kraftvärmeprod!$B$1:$BX$550,MATCH(K$2,Kraftvärmeprod!$B$1:$VX$1,0),FALSE)/1,0)-IFERROR(VLOOKUP($B83,'Slutlig allokering kvv'!$B$2:$BX$550,MATCH(K$2,'Slutlig allokering kvv'!$B$1:$BX$1,0),FALSE)/1,0))</f>
        <v/>
      </c>
      <c r="L83" s="31" t="str">
        <f>IF($D83="","",IFERROR(VLOOKUP($B83,Kraftvärmeprod!$B$1:$BX$550,MATCH(L$2,Kraftvärmeprod!$B$1:$VX$1,0),FALSE)/1,0)-IFERROR(VLOOKUP($B83,'Slutlig allokering kvv'!$B$2:$BX$550,MATCH(L$2,'Slutlig allokering kvv'!$B$1:$BX$1,0),FALSE)/1,0))</f>
        <v/>
      </c>
      <c r="M83" s="31" t="str">
        <f>IF($D83="","",IFERROR(VLOOKUP($B83,Kraftvärmeprod!$B$1:$BX$550,MATCH(M$2,Kraftvärmeprod!$B$1:$VX$1,0),FALSE)/1,0)-IFERROR(VLOOKUP($B83,'Slutlig allokering kvv'!$B$2:$BX$550,MATCH(M$2,'Slutlig allokering kvv'!$B$1:$BX$1,0),FALSE)/1,0))</f>
        <v/>
      </c>
      <c r="N83" s="31" t="str">
        <f>IF($D83="","",IFERROR(VLOOKUP($B83,Kraftvärmeprod!$B$1:$BX$550,MATCH(N$2,Kraftvärmeprod!$B$1:$VX$1,0),FALSE)/1,0)-IFERROR(VLOOKUP($B83,'Slutlig allokering kvv'!$B$2:$BX$550,MATCH(N$2,'Slutlig allokering kvv'!$B$1:$BX$1,0),FALSE)/1,0))</f>
        <v/>
      </c>
      <c r="O83" s="31" t="str">
        <f>IF($D83="","",IFERROR(VLOOKUP($B83,Kraftvärmeprod!$B$1:$BX$550,MATCH(O$2,Kraftvärmeprod!$B$1:$VX$1,0),FALSE)/1,0)-IFERROR(VLOOKUP($B83,'Slutlig allokering kvv'!$B$2:$BX$550,MATCH(O$2,'Slutlig allokering kvv'!$B$1:$BX$1,0),FALSE)/1,0))</f>
        <v/>
      </c>
      <c r="P83" s="31" t="str">
        <f>IF($D83="","",IFERROR(VLOOKUP($B83,Kraftvärmeprod!$B$1:$BX$550,MATCH(P$2,Kraftvärmeprod!$B$1:$VX$1,0),FALSE)/1,0)-IFERROR(VLOOKUP($B83,'Slutlig allokering kvv'!$B$2:$BX$550,MATCH(P$2,'Slutlig allokering kvv'!$B$1:$BX$1,0),FALSE)/1,0))</f>
        <v/>
      </c>
      <c r="Q83" s="31" t="str">
        <f>IF($D83="","",IFERROR(VLOOKUP($B83,Kraftvärmeprod!$B$1:$BX$550,MATCH(Q$2,Kraftvärmeprod!$B$1:$VX$1,0),FALSE)/1,0)-IFERROR(VLOOKUP($B83,'Slutlig allokering kvv'!$B$2:$BX$550,MATCH(Q$2,'Slutlig allokering kvv'!$B$1:$BX$1,0),FALSE)/1,0))</f>
        <v/>
      </c>
      <c r="R83" s="31" t="str">
        <f>IF($D83="","",IFERROR(VLOOKUP($B83,Kraftvärmeprod!$B$1:$BX$550,MATCH(R$2,Kraftvärmeprod!$B$1:$VX$1,0),FALSE)/1,0)-IFERROR(VLOOKUP($B83,'Slutlig allokering kvv'!$B$2:$BX$550,MATCH(R$2,'Slutlig allokering kvv'!$B$1:$BX$1,0),FALSE)/1,0))</f>
        <v/>
      </c>
      <c r="S83" s="31" t="str">
        <f>IF($D83="","",IFERROR(VLOOKUP($B83,Kraftvärmeprod!$B$1:$BX$550,MATCH(S$2,Kraftvärmeprod!$B$1:$VX$1,0),FALSE)/1,0)-IFERROR(VLOOKUP($B83,'Slutlig allokering kvv'!$B$2:$BX$550,MATCH(S$2,'Slutlig allokering kvv'!$B$1:$BX$1,0),FALSE)/1,0))</f>
        <v/>
      </c>
      <c r="T83" s="31" t="str">
        <f>IF($D83="","",IFERROR(VLOOKUP($B83,Kraftvärmeprod!$B$1:$BX$550,MATCH(T$2,Kraftvärmeprod!$B$1:$VX$1,0),FALSE)/1,0)-IFERROR(VLOOKUP($B83,'Slutlig allokering kvv'!$B$2:$BX$550,MATCH(T$2,'Slutlig allokering kvv'!$B$1:$BX$1,0),FALSE)/1,0))</f>
        <v/>
      </c>
      <c r="U83" s="31" t="str">
        <f>IF($D83="","",IFERROR(VLOOKUP($B83,Kraftvärmeprod!$B$1:$BX$550,MATCH(U$2,Kraftvärmeprod!$B$1:$VX$1,0),FALSE)/1,0)-IFERROR(VLOOKUP($B83,'Slutlig allokering kvv'!$B$2:$BX$550,MATCH(U$2,'Slutlig allokering kvv'!$B$1:$BX$1,0),FALSE)/1,0))</f>
        <v/>
      </c>
      <c r="V83" s="31" t="str">
        <f>IF($D83="","",IFERROR(VLOOKUP($B83,Kraftvärmeprod!$B$1:$BX$550,MATCH(V$2,Kraftvärmeprod!$B$1:$VX$1,0),FALSE)/1,0)-IFERROR(VLOOKUP($B83,'Slutlig allokering kvv'!$B$2:$BX$550,MATCH(V$2,'Slutlig allokering kvv'!$B$1:$BX$1,0),FALSE)/1,0))</f>
        <v/>
      </c>
      <c r="W83" s="31" t="str">
        <f>IF($D83="","",IFERROR(VLOOKUP($B83,Kraftvärmeprod!$B$1:$BX$550,MATCH(W$2,Kraftvärmeprod!$B$1:$VX$1,0),FALSE)/1,0)-IFERROR(VLOOKUP($B83,'Slutlig allokering kvv'!$B$2:$BX$550,MATCH(W$2,'Slutlig allokering kvv'!$B$1:$BX$1,0),FALSE)/1,0))</f>
        <v/>
      </c>
      <c r="X83" s="31" t="str">
        <f>IF($D83="","",IFERROR(VLOOKUP($B83,Kraftvärmeprod!$B$1:$BX$550,MATCH(X$2,Kraftvärmeprod!$B$1:$VX$1,0),FALSE)/1,0)-IFERROR(VLOOKUP($B83,'Slutlig allokering kvv'!$B$2:$BX$550,MATCH(X$2,'Slutlig allokering kvv'!$B$1:$BX$1,0),FALSE)/1,0))</f>
        <v/>
      </c>
      <c r="Y83" s="31" t="str">
        <f>IF($D83="","",IFERROR(VLOOKUP($B83,Kraftvärmeprod!$B$1:$BX$550,MATCH(Y$2,Kraftvärmeprod!$B$1:$VX$1,0),FALSE)/1,0)-IFERROR(VLOOKUP($B83,'Slutlig allokering kvv'!$B$2:$BX$550,MATCH(Y$2,'Slutlig allokering kvv'!$B$1:$BX$1,0),FALSE)/1,0))</f>
        <v/>
      </c>
      <c r="Z83" s="31" t="str">
        <f>IF($D83="","",IFERROR(VLOOKUP($B83,Kraftvärmeprod!$B$1:$BX$550,MATCH(Z$2,Kraftvärmeprod!$B$1:$VX$1,0),FALSE)/1,0)-IFERROR(VLOOKUP($B83,'Slutlig allokering kvv'!$B$2:$BX$550,MATCH(Z$2,'Slutlig allokering kvv'!$B$1:$BX$1,0),FALSE)/1,0))</f>
        <v/>
      </c>
      <c r="AA83" s="31" t="str">
        <f>IF($D83="","",IFERROR(VLOOKUP($B83,Kraftvärmeprod!$B$1:$BX$550,MATCH(AA$2,Kraftvärmeprod!$B$1:$VX$1,0),FALSE)/1,0)-IFERROR(VLOOKUP($B83,'Slutlig allokering kvv'!$B$2:$BX$550,MATCH(AA$2,'Slutlig allokering kvv'!$B$1:$BX$1,0),FALSE)/1,0))</f>
        <v/>
      </c>
      <c r="AB83" s="31" t="str">
        <f>IF($D83="","",IFERROR(VLOOKUP($B83,Kraftvärmeprod!$B$1:$BX$550,MATCH(AB$2,Kraftvärmeprod!$B$1:$VX$1,0),FALSE)/1,0)-IFERROR(VLOOKUP($B83,'Slutlig allokering kvv'!$B$2:$BX$550,MATCH(AB$2,'Slutlig allokering kvv'!$B$1:$BX$1,0),FALSE)/1,0))</f>
        <v/>
      </c>
      <c r="AC83" s="31" t="str">
        <f>IF($D83="","",IFERROR(VLOOKUP($B83,Kraftvärmeprod!$B$1:$BX$550,MATCH(AC$2,Kraftvärmeprod!$B$1:$VX$1,0),FALSE)/1,0)-IFERROR(VLOOKUP($B83,'Slutlig allokering kvv'!$B$2:$BX$550,MATCH(AC$2,'Slutlig allokering kvv'!$B$1:$BX$1,0),FALSE)/1,0))</f>
        <v/>
      </c>
      <c r="AD83" s="31" t="str">
        <f>IF($D83="","",IFERROR(VLOOKUP($B83,Kraftvärmeprod!$B$1:$BX$550,MATCH(AD$2,Kraftvärmeprod!$B$1:$VX$1,0),FALSE)/1,0)-IFERROR(VLOOKUP($B83,'Slutlig allokering kvv'!$B$2:$BX$550,MATCH(AD$2,'Slutlig allokering kvv'!$B$1:$BX$1,0),FALSE)/1,0))</f>
        <v/>
      </c>
      <c r="AE83" s="31" t="str">
        <f>IF($D83="","",IFERROR(VLOOKUP($B83,Miljö!$B$1:$E$550,MATCH("Hjälpel kraftvärme (GWh)",Miljö!$B$1:$E$1,0),FALSE)/1,0)-IFERROR(VLOOKUP($B83,'Slutlig allokering kvv'!$B$2:$BX$549,MATCH(AE$2,'Slutlig allokering kvv'!$B$1:$BX$1,0),FALSE)/1,0))</f>
        <v/>
      </c>
      <c r="AI83" s="39">
        <f t="shared" si="4"/>
        <v>0</v>
      </c>
      <c r="AK83" s="31">
        <f>IFERROR(VLOOKUP($B83,'Slutlig allokering kvv'!$B$2:$AX$549,MATCH("Summa slutlig allokerad tillförd energi (utan hjälpel och rökgaskondensering):",'Slutlig allokering kvv'!$B$1:$AX$1,0),FALSE)/1,"")</f>
        <v>0</v>
      </c>
      <c r="AM83" s="31" t="str">
        <f>IFERROR(1-VLOOKUP($B83,'Slutlig allokering kvv'!$B$2:$AX$549,MATCH("Andel av bränsle i kvv som allokerats till värme, exklusive rökgaskondensering och hjälpel",'Slutlig allokering kvv'!$B$1:$AX$1,0),FALSE),"")</f>
        <v/>
      </c>
      <c r="AO83" s="31" t="str">
        <f t="shared" si="5"/>
        <v/>
      </c>
      <c r="AP83" s="31" t="str">
        <f t="shared" si="6"/>
        <v/>
      </c>
      <c r="AR83" s="32" t="str">
        <f t="shared" si="7"/>
        <v/>
      </c>
    </row>
    <row r="84" spans="1:44" s="31" customFormat="1" x14ac:dyDescent="0.45">
      <c r="A84" s="31" t="s">
        <v>576</v>
      </c>
      <c r="B84" s="31" t="s">
        <v>575</v>
      </c>
      <c r="C84" s="31" t="str">
        <f>IFERROR(VLOOKUP($B84,Kraftvärmeprod!$B$1:$AH$479,MATCH(C$2,Kraftvärmeprod!$B$1:$AG$1,0),FALSE)/1,"")</f>
        <v/>
      </c>
      <c r="D84" s="31" t="str">
        <f>IFERROR(VLOOKUP($B84,Kraftvärmeprod!$B$1:$AH$479,MATCH(D$2,Kraftvärmeprod!$B$1:$AG$1,0),FALSE)/1,"")</f>
        <v/>
      </c>
      <c r="F84" s="31" t="str">
        <f>IF($D84="","",IFERROR(VLOOKUP($B84,Kraftvärmeprod!$B$1:$BX$550,MATCH(F$2,Kraftvärmeprod!$B$1:$VX$1,0),FALSE)/1,0)-IFERROR(VLOOKUP($B84,'Slutlig allokering kvv'!$B$2:$BX$550,MATCH(F$2,'Slutlig allokering kvv'!$B$1:$BX$1,0),FALSE)/1,0))</f>
        <v/>
      </c>
      <c r="G84" s="31" t="str">
        <f>IF($D84="","",IFERROR(VLOOKUP($B84,Kraftvärmeprod!$B$1:$BX$550,MATCH(G$2,Kraftvärmeprod!$B$1:$VX$1,0),FALSE)/1,0)-IFERROR(VLOOKUP($B84,'Slutlig allokering kvv'!$B$2:$BX$550,MATCH(G$2,'Slutlig allokering kvv'!$B$1:$BX$1,0),FALSE)/1,0))</f>
        <v/>
      </c>
      <c r="H84" s="31" t="str">
        <f>IF($D84="","",IFERROR(VLOOKUP($B84,Kraftvärmeprod!$B$1:$BX$550,MATCH(H$2,Kraftvärmeprod!$B$1:$VX$1,0),FALSE)/1,0)-IFERROR(VLOOKUP($B84,'Slutlig allokering kvv'!$B$2:$BX$550,MATCH(H$2,'Slutlig allokering kvv'!$B$1:$BX$1,0),FALSE)/1,0))</f>
        <v/>
      </c>
      <c r="I84" s="31" t="str">
        <f>IF($D84="","",IFERROR(VLOOKUP($B84,Kraftvärmeprod!$B$1:$BX$550,MATCH(I$2,Kraftvärmeprod!$B$1:$VX$1,0),FALSE)/1,0)-IFERROR(VLOOKUP($B84,'Slutlig allokering kvv'!$B$2:$BX$550,MATCH(I$2,'Slutlig allokering kvv'!$B$1:$BX$1,0),FALSE)/1,0))</f>
        <v/>
      </c>
      <c r="J84" s="31" t="str">
        <f>IF($D84="","",IFERROR(VLOOKUP($B84,Kraftvärmeprod!$B$1:$BX$550,MATCH(J$2,Kraftvärmeprod!$B$1:$VX$1,0),FALSE)/1,0)-IFERROR(VLOOKUP($B84,'Slutlig allokering kvv'!$B$2:$BX$550,MATCH(J$2,'Slutlig allokering kvv'!$B$1:$BX$1,0),FALSE)/1,0))</f>
        <v/>
      </c>
      <c r="K84" s="31" t="str">
        <f>IF($D84="","",IFERROR(VLOOKUP($B84,Kraftvärmeprod!$B$1:$BX$550,MATCH(K$2,Kraftvärmeprod!$B$1:$VX$1,0),FALSE)/1,0)-IFERROR(VLOOKUP($B84,'Slutlig allokering kvv'!$B$2:$BX$550,MATCH(K$2,'Slutlig allokering kvv'!$B$1:$BX$1,0),FALSE)/1,0))</f>
        <v/>
      </c>
      <c r="L84" s="31" t="str">
        <f>IF($D84="","",IFERROR(VLOOKUP($B84,Kraftvärmeprod!$B$1:$BX$550,MATCH(L$2,Kraftvärmeprod!$B$1:$VX$1,0),FALSE)/1,0)-IFERROR(VLOOKUP($B84,'Slutlig allokering kvv'!$B$2:$BX$550,MATCH(L$2,'Slutlig allokering kvv'!$B$1:$BX$1,0),FALSE)/1,0))</f>
        <v/>
      </c>
      <c r="M84" s="31" t="str">
        <f>IF($D84="","",IFERROR(VLOOKUP($B84,Kraftvärmeprod!$B$1:$BX$550,MATCH(M$2,Kraftvärmeprod!$B$1:$VX$1,0),FALSE)/1,0)-IFERROR(VLOOKUP($B84,'Slutlig allokering kvv'!$B$2:$BX$550,MATCH(M$2,'Slutlig allokering kvv'!$B$1:$BX$1,0),FALSE)/1,0))</f>
        <v/>
      </c>
      <c r="N84" s="31" t="str">
        <f>IF($D84="","",IFERROR(VLOOKUP($B84,Kraftvärmeprod!$B$1:$BX$550,MATCH(N$2,Kraftvärmeprod!$B$1:$VX$1,0),FALSE)/1,0)-IFERROR(VLOOKUP($B84,'Slutlig allokering kvv'!$B$2:$BX$550,MATCH(N$2,'Slutlig allokering kvv'!$B$1:$BX$1,0),FALSE)/1,0))</f>
        <v/>
      </c>
      <c r="O84" s="31" t="str">
        <f>IF($D84="","",IFERROR(VLOOKUP($B84,Kraftvärmeprod!$B$1:$BX$550,MATCH(O$2,Kraftvärmeprod!$B$1:$VX$1,0),FALSE)/1,0)-IFERROR(VLOOKUP($B84,'Slutlig allokering kvv'!$B$2:$BX$550,MATCH(O$2,'Slutlig allokering kvv'!$B$1:$BX$1,0),FALSE)/1,0))</f>
        <v/>
      </c>
      <c r="P84" s="31" t="str">
        <f>IF($D84="","",IFERROR(VLOOKUP($B84,Kraftvärmeprod!$B$1:$BX$550,MATCH(P$2,Kraftvärmeprod!$B$1:$VX$1,0),FALSE)/1,0)-IFERROR(VLOOKUP($B84,'Slutlig allokering kvv'!$B$2:$BX$550,MATCH(P$2,'Slutlig allokering kvv'!$B$1:$BX$1,0),FALSE)/1,0))</f>
        <v/>
      </c>
      <c r="Q84" s="31" t="str">
        <f>IF($D84="","",IFERROR(VLOOKUP($B84,Kraftvärmeprod!$B$1:$BX$550,MATCH(Q$2,Kraftvärmeprod!$B$1:$VX$1,0),FALSE)/1,0)-IFERROR(VLOOKUP($B84,'Slutlig allokering kvv'!$B$2:$BX$550,MATCH(Q$2,'Slutlig allokering kvv'!$B$1:$BX$1,0),FALSE)/1,0))</f>
        <v/>
      </c>
      <c r="R84" s="31" t="str">
        <f>IF($D84="","",IFERROR(VLOOKUP($B84,Kraftvärmeprod!$B$1:$BX$550,MATCH(R$2,Kraftvärmeprod!$B$1:$VX$1,0),FALSE)/1,0)-IFERROR(VLOOKUP($B84,'Slutlig allokering kvv'!$B$2:$BX$550,MATCH(R$2,'Slutlig allokering kvv'!$B$1:$BX$1,0),FALSE)/1,0))</f>
        <v/>
      </c>
      <c r="S84" s="31" t="str">
        <f>IF($D84="","",IFERROR(VLOOKUP($B84,Kraftvärmeprod!$B$1:$BX$550,MATCH(S$2,Kraftvärmeprod!$B$1:$VX$1,0),FALSE)/1,0)-IFERROR(VLOOKUP($B84,'Slutlig allokering kvv'!$B$2:$BX$550,MATCH(S$2,'Slutlig allokering kvv'!$B$1:$BX$1,0),FALSE)/1,0))</f>
        <v/>
      </c>
      <c r="T84" s="31" t="str">
        <f>IF($D84="","",IFERROR(VLOOKUP($B84,Kraftvärmeprod!$B$1:$BX$550,MATCH(T$2,Kraftvärmeprod!$B$1:$VX$1,0),FALSE)/1,0)-IFERROR(VLOOKUP($B84,'Slutlig allokering kvv'!$B$2:$BX$550,MATCH(T$2,'Slutlig allokering kvv'!$B$1:$BX$1,0),FALSE)/1,0))</f>
        <v/>
      </c>
      <c r="U84" s="31" t="str">
        <f>IF($D84="","",IFERROR(VLOOKUP($B84,Kraftvärmeprod!$B$1:$BX$550,MATCH(U$2,Kraftvärmeprod!$B$1:$VX$1,0),FALSE)/1,0)-IFERROR(VLOOKUP($B84,'Slutlig allokering kvv'!$B$2:$BX$550,MATCH(U$2,'Slutlig allokering kvv'!$B$1:$BX$1,0),FALSE)/1,0))</f>
        <v/>
      </c>
      <c r="V84" s="31" t="str">
        <f>IF($D84="","",IFERROR(VLOOKUP($B84,Kraftvärmeprod!$B$1:$BX$550,MATCH(V$2,Kraftvärmeprod!$B$1:$VX$1,0),FALSE)/1,0)-IFERROR(VLOOKUP($B84,'Slutlig allokering kvv'!$B$2:$BX$550,MATCH(V$2,'Slutlig allokering kvv'!$B$1:$BX$1,0),FALSE)/1,0))</f>
        <v/>
      </c>
      <c r="W84" s="31" t="str">
        <f>IF($D84="","",IFERROR(VLOOKUP($B84,Kraftvärmeprod!$B$1:$BX$550,MATCH(W$2,Kraftvärmeprod!$B$1:$VX$1,0),FALSE)/1,0)-IFERROR(VLOOKUP($B84,'Slutlig allokering kvv'!$B$2:$BX$550,MATCH(W$2,'Slutlig allokering kvv'!$B$1:$BX$1,0),FALSE)/1,0))</f>
        <v/>
      </c>
      <c r="X84" s="31" t="str">
        <f>IF($D84="","",IFERROR(VLOOKUP($B84,Kraftvärmeprod!$B$1:$BX$550,MATCH(X$2,Kraftvärmeprod!$B$1:$VX$1,0),FALSE)/1,0)-IFERROR(VLOOKUP($B84,'Slutlig allokering kvv'!$B$2:$BX$550,MATCH(X$2,'Slutlig allokering kvv'!$B$1:$BX$1,0),FALSE)/1,0))</f>
        <v/>
      </c>
      <c r="Y84" s="31" t="str">
        <f>IF($D84="","",IFERROR(VLOOKUP($B84,Kraftvärmeprod!$B$1:$BX$550,MATCH(Y$2,Kraftvärmeprod!$B$1:$VX$1,0),FALSE)/1,0)-IFERROR(VLOOKUP($B84,'Slutlig allokering kvv'!$B$2:$BX$550,MATCH(Y$2,'Slutlig allokering kvv'!$B$1:$BX$1,0),FALSE)/1,0))</f>
        <v/>
      </c>
      <c r="Z84" s="31" t="str">
        <f>IF($D84="","",IFERROR(VLOOKUP($B84,Kraftvärmeprod!$B$1:$BX$550,MATCH(Z$2,Kraftvärmeprod!$B$1:$VX$1,0),FALSE)/1,0)-IFERROR(VLOOKUP($B84,'Slutlig allokering kvv'!$B$2:$BX$550,MATCH(Z$2,'Slutlig allokering kvv'!$B$1:$BX$1,0),FALSE)/1,0))</f>
        <v/>
      </c>
      <c r="AA84" s="31" t="str">
        <f>IF($D84="","",IFERROR(VLOOKUP($B84,Kraftvärmeprod!$B$1:$BX$550,MATCH(AA$2,Kraftvärmeprod!$B$1:$VX$1,0),FALSE)/1,0)-IFERROR(VLOOKUP($B84,'Slutlig allokering kvv'!$B$2:$BX$550,MATCH(AA$2,'Slutlig allokering kvv'!$B$1:$BX$1,0),FALSE)/1,0))</f>
        <v/>
      </c>
      <c r="AB84" s="31" t="str">
        <f>IF($D84="","",IFERROR(VLOOKUP($B84,Kraftvärmeprod!$B$1:$BX$550,MATCH(AB$2,Kraftvärmeprod!$B$1:$VX$1,0),FALSE)/1,0)-IFERROR(VLOOKUP($B84,'Slutlig allokering kvv'!$B$2:$BX$550,MATCH(AB$2,'Slutlig allokering kvv'!$B$1:$BX$1,0),FALSE)/1,0))</f>
        <v/>
      </c>
      <c r="AC84" s="31" t="str">
        <f>IF($D84="","",IFERROR(VLOOKUP($B84,Kraftvärmeprod!$B$1:$BX$550,MATCH(AC$2,Kraftvärmeprod!$B$1:$VX$1,0),FALSE)/1,0)-IFERROR(VLOOKUP($B84,'Slutlig allokering kvv'!$B$2:$BX$550,MATCH(AC$2,'Slutlig allokering kvv'!$B$1:$BX$1,0),FALSE)/1,0))</f>
        <v/>
      </c>
      <c r="AD84" s="31" t="str">
        <f>IF($D84="","",IFERROR(VLOOKUP($B84,Kraftvärmeprod!$B$1:$BX$550,MATCH(AD$2,Kraftvärmeprod!$B$1:$VX$1,0),FALSE)/1,0)-IFERROR(VLOOKUP($B84,'Slutlig allokering kvv'!$B$2:$BX$550,MATCH(AD$2,'Slutlig allokering kvv'!$B$1:$BX$1,0),FALSE)/1,0))</f>
        <v/>
      </c>
      <c r="AE84" s="31" t="str">
        <f>IF($D84="","",IFERROR(VLOOKUP($B84,Miljö!$B$1:$E$550,MATCH("Hjälpel kraftvärme (GWh)",Miljö!$B$1:$E$1,0),FALSE)/1,0)-IFERROR(VLOOKUP($B84,'Slutlig allokering kvv'!$B$2:$BX$549,MATCH(AE$2,'Slutlig allokering kvv'!$B$1:$BX$1,0),FALSE)/1,0))</f>
        <v/>
      </c>
      <c r="AI84" s="39">
        <f t="shared" si="4"/>
        <v>0</v>
      </c>
      <c r="AK84" s="31">
        <f>IFERROR(VLOOKUP($B84,'Slutlig allokering kvv'!$B$2:$AX$549,MATCH("Summa slutlig allokerad tillförd energi (utan hjälpel och rökgaskondensering):",'Slutlig allokering kvv'!$B$1:$AX$1,0),FALSE)/1,"")</f>
        <v>0</v>
      </c>
      <c r="AM84" s="31" t="str">
        <f>IFERROR(1-VLOOKUP($B84,'Slutlig allokering kvv'!$B$2:$AX$549,MATCH("Andel av bränsle i kvv som allokerats till värme, exklusive rökgaskondensering och hjälpel",'Slutlig allokering kvv'!$B$1:$AX$1,0),FALSE),"")</f>
        <v/>
      </c>
      <c r="AO84" s="31" t="str">
        <f t="shared" si="5"/>
        <v/>
      </c>
      <c r="AP84" s="31" t="str">
        <f t="shared" si="6"/>
        <v/>
      </c>
      <c r="AR84" s="32" t="str">
        <f t="shared" si="7"/>
        <v/>
      </c>
    </row>
    <row r="85" spans="1:44" s="31" customFormat="1" x14ac:dyDescent="0.45">
      <c r="A85" s="31" t="s">
        <v>571</v>
      </c>
      <c r="B85" s="31" t="s">
        <v>574</v>
      </c>
      <c r="C85" s="31" t="str">
        <f>IFERROR(VLOOKUP($B85,Kraftvärmeprod!$B$1:$AH$479,MATCH(C$2,Kraftvärmeprod!$B$1:$AG$1,0),FALSE)/1,"")</f>
        <v/>
      </c>
      <c r="D85" s="31" t="str">
        <f>IFERROR(VLOOKUP($B85,Kraftvärmeprod!$B$1:$AH$479,MATCH(D$2,Kraftvärmeprod!$B$1:$AG$1,0),FALSE)/1,"")</f>
        <v/>
      </c>
      <c r="F85" s="31" t="str">
        <f>IF($D85="","",IFERROR(VLOOKUP($B85,Kraftvärmeprod!$B$1:$BX$550,MATCH(F$2,Kraftvärmeprod!$B$1:$VX$1,0),FALSE)/1,0)-IFERROR(VLOOKUP($B85,'Slutlig allokering kvv'!$B$2:$BX$550,MATCH(F$2,'Slutlig allokering kvv'!$B$1:$BX$1,0),FALSE)/1,0))</f>
        <v/>
      </c>
      <c r="G85" s="31" t="str">
        <f>IF($D85="","",IFERROR(VLOOKUP($B85,Kraftvärmeprod!$B$1:$BX$550,MATCH(G$2,Kraftvärmeprod!$B$1:$VX$1,0),FALSE)/1,0)-IFERROR(VLOOKUP($B85,'Slutlig allokering kvv'!$B$2:$BX$550,MATCH(G$2,'Slutlig allokering kvv'!$B$1:$BX$1,0),FALSE)/1,0))</f>
        <v/>
      </c>
      <c r="H85" s="31" t="str">
        <f>IF($D85="","",IFERROR(VLOOKUP($B85,Kraftvärmeprod!$B$1:$BX$550,MATCH(H$2,Kraftvärmeprod!$B$1:$VX$1,0),FALSE)/1,0)-IFERROR(VLOOKUP($B85,'Slutlig allokering kvv'!$B$2:$BX$550,MATCH(H$2,'Slutlig allokering kvv'!$B$1:$BX$1,0),FALSE)/1,0))</f>
        <v/>
      </c>
      <c r="I85" s="31" t="str">
        <f>IF($D85="","",IFERROR(VLOOKUP($B85,Kraftvärmeprod!$B$1:$BX$550,MATCH(I$2,Kraftvärmeprod!$B$1:$VX$1,0),FALSE)/1,0)-IFERROR(VLOOKUP($B85,'Slutlig allokering kvv'!$B$2:$BX$550,MATCH(I$2,'Slutlig allokering kvv'!$B$1:$BX$1,0),FALSE)/1,0))</f>
        <v/>
      </c>
      <c r="J85" s="31" t="str">
        <f>IF($D85="","",IFERROR(VLOOKUP($B85,Kraftvärmeprod!$B$1:$BX$550,MATCH(J$2,Kraftvärmeprod!$B$1:$VX$1,0),FALSE)/1,0)-IFERROR(VLOOKUP($B85,'Slutlig allokering kvv'!$B$2:$BX$550,MATCH(J$2,'Slutlig allokering kvv'!$B$1:$BX$1,0),FALSE)/1,0))</f>
        <v/>
      </c>
      <c r="K85" s="31" t="str">
        <f>IF($D85="","",IFERROR(VLOOKUP($B85,Kraftvärmeprod!$B$1:$BX$550,MATCH(K$2,Kraftvärmeprod!$B$1:$VX$1,0),FALSE)/1,0)-IFERROR(VLOOKUP($B85,'Slutlig allokering kvv'!$B$2:$BX$550,MATCH(K$2,'Slutlig allokering kvv'!$B$1:$BX$1,0),FALSE)/1,0))</f>
        <v/>
      </c>
      <c r="L85" s="31" t="str">
        <f>IF($D85="","",IFERROR(VLOOKUP($B85,Kraftvärmeprod!$B$1:$BX$550,MATCH(L$2,Kraftvärmeprod!$B$1:$VX$1,0),FALSE)/1,0)-IFERROR(VLOOKUP($B85,'Slutlig allokering kvv'!$B$2:$BX$550,MATCH(L$2,'Slutlig allokering kvv'!$B$1:$BX$1,0),FALSE)/1,0))</f>
        <v/>
      </c>
      <c r="M85" s="31" t="str">
        <f>IF($D85="","",IFERROR(VLOOKUP($B85,Kraftvärmeprod!$B$1:$BX$550,MATCH(M$2,Kraftvärmeprod!$B$1:$VX$1,0),FALSE)/1,0)-IFERROR(VLOOKUP($B85,'Slutlig allokering kvv'!$B$2:$BX$550,MATCH(M$2,'Slutlig allokering kvv'!$B$1:$BX$1,0),FALSE)/1,0))</f>
        <v/>
      </c>
      <c r="N85" s="31" t="str">
        <f>IF($D85="","",IFERROR(VLOOKUP($B85,Kraftvärmeprod!$B$1:$BX$550,MATCH(N$2,Kraftvärmeprod!$B$1:$VX$1,0),FALSE)/1,0)-IFERROR(VLOOKUP($B85,'Slutlig allokering kvv'!$B$2:$BX$550,MATCH(N$2,'Slutlig allokering kvv'!$B$1:$BX$1,0),FALSE)/1,0))</f>
        <v/>
      </c>
      <c r="O85" s="31" t="str">
        <f>IF($D85="","",IFERROR(VLOOKUP($B85,Kraftvärmeprod!$B$1:$BX$550,MATCH(O$2,Kraftvärmeprod!$B$1:$VX$1,0),FALSE)/1,0)-IFERROR(VLOOKUP($B85,'Slutlig allokering kvv'!$B$2:$BX$550,MATCH(O$2,'Slutlig allokering kvv'!$B$1:$BX$1,0),FALSE)/1,0))</f>
        <v/>
      </c>
      <c r="P85" s="31" t="str">
        <f>IF($D85="","",IFERROR(VLOOKUP($B85,Kraftvärmeprod!$B$1:$BX$550,MATCH(P$2,Kraftvärmeprod!$B$1:$VX$1,0),FALSE)/1,0)-IFERROR(VLOOKUP($B85,'Slutlig allokering kvv'!$B$2:$BX$550,MATCH(P$2,'Slutlig allokering kvv'!$B$1:$BX$1,0),FALSE)/1,0))</f>
        <v/>
      </c>
      <c r="Q85" s="31" t="str">
        <f>IF($D85="","",IFERROR(VLOOKUP($B85,Kraftvärmeprod!$B$1:$BX$550,MATCH(Q$2,Kraftvärmeprod!$B$1:$VX$1,0),FALSE)/1,0)-IFERROR(VLOOKUP($B85,'Slutlig allokering kvv'!$B$2:$BX$550,MATCH(Q$2,'Slutlig allokering kvv'!$B$1:$BX$1,0),FALSE)/1,0))</f>
        <v/>
      </c>
      <c r="R85" s="31" t="str">
        <f>IF($D85="","",IFERROR(VLOOKUP($B85,Kraftvärmeprod!$B$1:$BX$550,MATCH(R$2,Kraftvärmeprod!$B$1:$VX$1,0),FALSE)/1,0)-IFERROR(VLOOKUP($B85,'Slutlig allokering kvv'!$B$2:$BX$550,MATCH(R$2,'Slutlig allokering kvv'!$B$1:$BX$1,0),FALSE)/1,0))</f>
        <v/>
      </c>
      <c r="S85" s="31" t="str">
        <f>IF($D85="","",IFERROR(VLOOKUP($B85,Kraftvärmeprod!$B$1:$BX$550,MATCH(S$2,Kraftvärmeprod!$B$1:$VX$1,0),FALSE)/1,0)-IFERROR(VLOOKUP($B85,'Slutlig allokering kvv'!$B$2:$BX$550,MATCH(S$2,'Slutlig allokering kvv'!$B$1:$BX$1,0),FALSE)/1,0))</f>
        <v/>
      </c>
      <c r="T85" s="31" t="str">
        <f>IF($D85="","",IFERROR(VLOOKUP($B85,Kraftvärmeprod!$B$1:$BX$550,MATCH(T$2,Kraftvärmeprod!$B$1:$VX$1,0),FALSE)/1,0)-IFERROR(VLOOKUP($B85,'Slutlig allokering kvv'!$B$2:$BX$550,MATCH(T$2,'Slutlig allokering kvv'!$B$1:$BX$1,0),FALSE)/1,0))</f>
        <v/>
      </c>
      <c r="U85" s="31" t="str">
        <f>IF($D85="","",IFERROR(VLOOKUP($B85,Kraftvärmeprod!$B$1:$BX$550,MATCH(U$2,Kraftvärmeprod!$B$1:$VX$1,0),FALSE)/1,0)-IFERROR(VLOOKUP($B85,'Slutlig allokering kvv'!$B$2:$BX$550,MATCH(U$2,'Slutlig allokering kvv'!$B$1:$BX$1,0),FALSE)/1,0))</f>
        <v/>
      </c>
      <c r="V85" s="31" t="str">
        <f>IF($D85="","",IFERROR(VLOOKUP($B85,Kraftvärmeprod!$B$1:$BX$550,MATCH(V$2,Kraftvärmeprod!$B$1:$VX$1,0),FALSE)/1,0)-IFERROR(VLOOKUP($B85,'Slutlig allokering kvv'!$B$2:$BX$550,MATCH(V$2,'Slutlig allokering kvv'!$B$1:$BX$1,0),FALSE)/1,0))</f>
        <v/>
      </c>
      <c r="W85" s="31" t="str">
        <f>IF($D85="","",IFERROR(VLOOKUP($B85,Kraftvärmeprod!$B$1:$BX$550,MATCH(W$2,Kraftvärmeprod!$B$1:$VX$1,0),FALSE)/1,0)-IFERROR(VLOOKUP($B85,'Slutlig allokering kvv'!$B$2:$BX$550,MATCH(W$2,'Slutlig allokering kvv'!$B$1:$BX$1,0),FALSE)/1,0))</f>
        <v/>
      </c>
      <c r="X85" s="31" t="str">
        <f>IF($D85="","",IFERROR(VLOOKUP($B85,Kraftvärmeprod!$B$1:$BX$550,MATCH(X$2,Kraftvärmeprod!$B$1:$VX$1,0),FALSE)/1,0)-IFERROR(VLOOKUP($B85,'Slutlig allokering kvv'!$B$2:$BX$550,MATCH(X$2,'Slutlig allokering kvv'!$B$1:$BX$1,0),FALSE)/1,0))</f>
        <v/>
      </c>
      <c r="Y85" s="31" t="str">
        <f>IF($D85="","",IFERROR(VLOOKUP($B85,Kraftvärmeprod!$B$1:$BX$550,MATCH(Y$2,Kraftvärmeprod!$B$1:$VX$1,0),FALSE)/1,0)-IFERROR(VLOOKUP($B85,'Slutlig allokering kvv'!$B$2:$BX$550,MATCH(Y$2,'Slutlig allokering kvv'!$B$1:$BX$1,0),FALSE)/1,0))</f>
        <v/>
      </c>
      <c r="Z85" s="31" t="str">
        <f>IF($D85="","",IFERROR(VLOOKUP($B85,Kraftvärmeprod!$B$1:$BX$550,MATCH(Z$2,Kraftvärmeprod!$B$1:$VX$1,0),FALSE)/1,0)-IFERROR(VLOOKUP($B85,'Slutlig allokering kvv'!$B$2:$BX$550,MATCH(Z$2,'Slutlig allokering kvv'!$B$1:$BX$1,0),FALSE)/1,0))</f>
        <v/>
      </c>
      <c r="AA85" s="31" t="str">
        <f>IF($D85="","",IFERROR(VLOOKUP($B85,Kraftvärmeprod!$B$1:$BX$550,MATCH(AA$2,Kraftvärmeprod!$B$1:$VX$1,0),FALSE)/1,0)-IFERROR(VLOOKUP($B85,'Slutlig allokering kvv'!$B$2:$BX$550,MATCH(AA$2,'Slutlig allokering kvv'!$B$1:$BX$1,0),FALSE)/1,0))</f>
        <v/>
      </c>
      <c r="AB85" s="31" t="str">
        <f>IF($D85="","",IFERROR(VLOOKUP($B85,Kraftvärmeprod!$B$1:$BX$550,MATCH(AB$2,Kraftvärmeprod!$B$1:$VX$1,0),FALSE)/1,0)-IFERROR(VLOOKUP($B85,'Slutlig allokering kvv'!$B$2:$BX$550,MATCH(AB$2,'Slutlig allokering kvv'!$B$1:$BX$1,0),FALSE)/1,0))</f>
        <v/>
      </c>
      <c r="AC85" s="31" t="str">
        <f>IF($D85="","",IFERROR(VLOOKUP($B85,Kraftvärmeprod!$B$1:$BX$550,MATCH(AC$2,Kraftvärmeprod!$B$1:$VX$1,0),FALSE)/1,0)-IFERROR(VLOOKUP($B85,'Slutlig allokering kvv'!$B$2:$BX$550,MATCH(AC$2,'Slutlig allokering kvv'!$B$1:$BX$1,0),FALSE)/1,0))</f>
        <v/>
      </c>
      <c r="AD85" s="31" t="str">
        <f>IF($D85="","",IFERROR(VLOOKUP($B85,Kraftvärmeprod!$B$1:$BX$550,MATCH(AD$2,Kraftvärmeprod!$B$1:$VX$1,0),FALSE)/1,0)-IFERROR(VLOOKUP($B85,'Slutlig allokering kvv'!$B$2:$BX$550,MATCH(AD$2,'Slutlig allokering kvv'!$B$1:$BX$1,0),FALSE)/1,0))</f>
        <v/>
      </c>
      <c r="AE85" s="31" t="str">
        <f>IF($D85="","",IFERROR(VLOOKUP($B85,Miljö!$B$1:$E$550,MATCH("Hjälpel kraftvärme (GWh)",Miljö!$B$1:$E$1,0),FALSE)/1,0)-IFERROR(VLOOKUP($B85,'Slutlig allokering kvv'!$B$2:$BX$549,MATCH(AE$2,'Slutlig allokering kvv'!$B$1:$BX$1,0),FALSE)/1,0))</f>
        <v/>
      </c>
      <c r="AI85" s="39">
        <f t="shared" si="4"/>
        <v>0</v>
      </c>
      <c r="AK85" s="31">
        <f>IFERROR(VLOOKUP($B85,'Slutlig allokering kvv'!$B$2:$AX$549,MATCH("Summa slutlig allokerad tillförd energi (utan hjälpel och rökgaskondensering):",'Slutlig allokering kvv'!$B$1:$AX$1,0),FALSE)/1,"")</f>
        <v>0</v>
      </c>
      <c r="AM85" s="31" t="str">
        <f>IFERROR(1-VLOOKUP($B85,'Slutlig allokering kvv'!$B$2:$AX$549,MATCH("Andel av bränsle i kvv som allokerats till värme, exklusive rökgaskondensering och hjälpel",'Slutlig allokering kvv'!$B$1:$AX$1,0),FALSE),"")</f>
        <v/>
      </c>
      <c r="AO85" s="31" t="str">
        <f t="shared" si="5"/>
        <v/>
      </c>
      <c r="AP85" s="31" t="str">
        <f t="shared" si="6"/>
        <v/>
      </c>
      <c r="AR85" s="32" t="str">
        <f t="shared" si="7"/>
        <v/>
      </c>
    </row>
    <row r="86" spans="1:44" s="31" customFormat="1" x14ac:dyDescent="0.45">
      <c r="A86" s="31" t="s">
        <v>571</v>
      </c>
      <c r="B86" s="31" t="s">
        <v>573</v>
      </c>
      <c r="C86" s="31" t="str">
        <f>IFERROR(VLOOKUP($B86,Kraftvärmeprod!$B$1:$AH$479,MATCH(C$2,Kraftvärmeprod!$B$1:$AG$1,0),FALSE)/1,"")</f>
        <v/>
      </c>
      <c r="D86" s="31" t="str">
        <f>IFERROR(VLOOKUP($B86,Kraftvärmeprod!$B$1:$AH$479,MATCH(D$2,Kraftvärmeprod!$B$1:$AG$1,0),FALSE)/1,"")</f>
        <v/>
      </c>
      <c r="F86" s="31" t="str">
        <f>IF($D86="","",IFERROR(VLOOKUP($B86,Kraftvärmeprod!$B$1:$BX$550,MATCH(F$2,Kraftvärmeprod!$B$1:$VX$1,0),FALSE)/1,0)-IFERROR(VLOOKUP($B86,'Slutlig allokering kvv'!$B$2:$BX$550,MATCH(F$2,'Slutlig allokering kvv'!$B$1:$BX$1,0),FALSE)/1,0))</f>
        <v/>
      </c>
      <c r="G86" s="31" t="str">
        <f>IF($D86="","",IFERROR(VLOOKUP($B86,Kraftvärmeprod!$B$1:$BX$550,MATCH(G$2,Kraftvärmeprod!$B$1:$VX$1,0),FALSE)/1,0)-IFERROR(VLOOKUP($B86,'Slutlig allokering kvv'!$B$2:$BX$550,MATCH(G$2,'Slutlig allokering kvv'!$B$1:$BX$1,0),FALSE)/1,0))</f>
        <v/>
      </c>
      <c r="H86" s="31" t="str">
        <f>IF($D86="","",IFERROR(VLOOKUP($B86,Kraftvärmeprod!$B$1:$BX$550,MATCH(H$2,Kraftvärmeprod!$B$1:$VX$1,0),FALSE)/1,0)-IFERROR(VLOOKUP($B86,'Slutlig allokering kvv'!$B$2:$BX$550,MATCH(H$2,'Slutlig allokering kvv'!$B$1:$BX$1,0),FALSE)/1,0))</f>
        <v/>
      </c>
      <c r="I86" s="31" t="str">
        <f>IF($D86="","",IFERROR(VLOOKUP($B86,Kraftvärmeprod!$B$1:$BX$550,MATCH(I$2,Kraftvärmeprod!$B$1:$VX$1,0),FALSE)/1,0)-IFERROR(VLOOKUP($B86,'Slutlig allokering kvv'!$B$2:$BX$550,MATCH(I$2,'Slutlig allokering kvv'!$B$1:$BX$1,0),FALSE)/1,0))</f>
        <v/>
      </c>
      <c r="J86" s="31" t="str">
        <f>IF($D86="","",IFERROR(VLOOKUP($B86,Kraftvärmeprod!$B$1:$BX$550,MATCH(J$2,Kraftvärmeprod!$B$1:$VX$1,0),FALSE)/1,0)-IFERROR(VLOOKUP($B86,'Slutlig allokering kvv'!$B$2:$BX$550,MATCH(J$2,'Slutlig allokering kvv'!$B$1:$BX$1,0),FALSE)/1,0))</f>
        <v/>
      </c>
      <c r="K86" s="31" t="str">
        <f>IF($D86="","",IFERROR(VLOOKUP($B86,Kraftvärmeprod!$B$1:$BX$550,MATCH(K$2,Kraftvärmeprod!$B$1:$VX$1,0),FALSE)/1,0)-IFERROR(VLOOKUP($B86,'Slutlig allokering kvv'!$B$2:$BX$550,MATCH(K$2,'Slutlig allokering kvv'!$B$1:$BX$1,0),FALSE)/1,0))</f>
        <v/>
      </c>
      <c r="L86" s="31" t="str">
        <f>IF($D86="","",IFERROR(VLOOKUP($B86,Kraftvärmeprod!$B$1:$BX$550,MATCH(L$2,Kraftvärmeprod!$B$1:$VX$1,0),FALSE)/1,0)-IFERROR(VLOOKUP($B86,'Slutlig allokering kvv'!$B$2:$BX$550,MATCH(L$2,'Slutlig allokering kvv'!$B$1:$BX$1,0),FALSE)/1,0))</f>
        <v/>
      </c>
      <c r="M86" s="31" t="str">
        <f>IF($D86="","",IFERROR(VLOOKUP($B86,Kraftvärmeprod!$B$1:$BX$550,MATCH(M$2,Kraftvärmeprod!$B$1:$VX$1,0),FALSE)/1,0)-IFERROR(VLOOKUP($B86,'Slutlig allokering kvv'!$B$2:$BX$550,MATCH(M$2,'Slutlig allokering kvv'!$B$1:$BX$1,0),FALSE)/1,0))</f>
        <v/>
      </c>
      <c r="N86" s="31" t="str">
        <f>IF($D86="","",IFERROR(VLOOKUP($B86,Kraftvärmeprod!$B$1:$BX$550,MATCH(N$2,Kraftvärmeprod!$B$1:$VX$1,0),FALSE)/1,0)-IFERROR(VLOOKUP($B86,'Slutlig allokering kvv'!$B$2:$BX$550,MATCH(N$2,'Slutlig allokering kvv'!$B$1:$BX$1,0),FALSE)/1,0))</f>
        <v/>
      </c>
      <c r="O86" s="31" t="str">
        <f>IF($D86="","",IFERROR(VLOOKUP($B86,Kraftvärmeprod!$B$1:$BX$550,MATCH(O$2,Kraftvärmeprod!$B$1:$VX$1,0),FALSE)/1,0)-IFERROR(VLOOKUP($B86,'Slutlig allokering kvv'!$B$2:$BX$550,MATCH(O$2,'Slutlig allokering kvv'!$B$1:$BX$1,0),FALSE)/1,0))</f>
        <v/>
      </c>
      <c r="P86" s="31" t="str">
        <f>IF($D86="","",IFERROR(VLOOKUP($B86,Kraftvärmeprod!$B$1:$BX$550,MATCH(P$2,Kraftvärmeprod!$B$1:$VX$1,0),FALSE)/1,0)-IFERROR(VLOOKUP($B86,'Slutlig allokering kvv'!$B$2:$BX$550,MATCH(P$2,'Slutlig allokering kvv'!$B$1:$BX$1,0),FALSE)/1,0))</f>
        <v/>
      </c>
      <c r="Q86" s="31" t="str">
        <f>IF($D86="","",IFERROR(VLOOKUP($B86,Kraftvärmeprod!$B$1:$BX$550,MATCH(Q$2,Kraftvärmeprod!$B$1:$VX$1,0),FALSE)/1,0)-IFERROR(VLOOKUP($B86,'Slutlig allokering kvv'!$B$2:$BX$550,MATCH(Q$2,'Slutlig allokering kvv'!$B$1:$BX$1,0),FALSE)/1,0))</f>
        <v/>
      </c>
      <c r="R86" s="31" t="str">
        <f>IF($D86="","",IFERROR(VLOOKUP($B86,Kraftvärmeprod!$B$1:$BX$550,MATCH(R$2,Kraftvärmeprod!$B$1:$VX$1,0),FALSE)/1,0)-IFERROR(VLOOKUP($B86,'Slutlig allokering kvv'!$B$2:$BX$550,MATCH(R$2,'Slutlig allokering kvv'!$B$1:$BX$1,0),FALSE)/1,0))</f>
        <v/>
      </c>
      <c r="S86" s="31" t="str">
        <f>IF($D86="","",IFERROR(VLOOKUP($B86,Kraftvärmeprod!$B$1:$BX$550,MATCH(S$2,Kraftvärmeprod!$B$1:$VX$1,0),FALSE)/1,0)-IFERROR(VLOOKUP($B86,'Slutlig allokering kvv'!$B$2:$BX$550,MATCH(S$2,'Slutlig allokering kvv'!$B$1:$BX$1,0),FALSE)/1,0))</f>
        <v/>
      </c>
      <c r="T86" s="31" t="str">
        <f>IF($D86="","",IFERROR(VLOOKUP($B86,Kraftvärmeprod!$B$1:$BX$550,MATCH(T$2,Kraftvärmeprod!$B$1:$VX$1,0),FALSE)/1,0)-IFERROR(VLOOKUP($B86,'Slutlig allokering kvv'!$B$2:$BX$550,MATCH(T$2,'Slutlig allokering kvv'!$B$1:$BX$1,0),FALSE)/1,0))</f>
        <v/>
      </c>
      <c r="U86" s="31" t="str">
        <f>IF($D86="","",IFERROR(VLOOKUP($B86,Kraftvärmeprod!$B$1:$BX$550,MATCH(U$2,Kraftvärmeprod!$B$1:$VX$1,0),FALSE)/1,0)-IFERROR(VLOOKUP($B86,'Slutlig allokering kvv'!$B$2:$BX$550,MATCH(U$2,'Slutlig allokering kvv'!$B$1:$BX$1,0),FALSE)/1,0))</f>
        <v/>
      </c>
      <c r="V86" s="31" t="str">
        <f>IF($D86="","",IFERROR(VLOOKUP($B86,Kraftvärmeprod!$B$1:$BX$550,MATCH(V$2,Kraftvärmeprod!$B$1:$VX$1,0),FALSE)/1,0)-IFERROR(VLOOKUP($B86,'Slutlig allokering kvv'!$B$2:$BX$550,MATCH(V$2,'Slutlig allokering kvv'!$B$1:$BX$1,0),FALSE)/1,0))</f>
        <v/>
      </c>
      <c r="W86" s="31" t="str">
        <f>IF($D86="","",IFERROR(VLOOKUP($B86,Kraftvärmeprod!$B$1:$BX$550,MATCH(W$2,Kraftvärmeprod!$B$1:$VX$1,0),FALSE)/1,0)-IFERROR(VLOOKUP($B86,'Slutlig allokering kvv'!$B$2:$BX$550,MATCH(W$2,'Slutlig allokering kvv'!$B$1:$BX$1,0),FALSE)/1,0))</f>
        <v/>
      </c>
      <c r="X86" s="31" t="str">
        <f>IF($D86="","",IFERROR(VLOOKUP($B86,Kraftvärmeprod!$B$1:$BX$550,MATCH(X$2,Kraftvärmeprod!$B$1:$VX$1,0),FALSE)/1,0)-IFERROR(VLOOKUP($B86,'Slutlig allokering kvv'!$B$2:$BX$550,MATCH(X$2,'Slutlig allokering kvv'!$B$1:$BX$1,0),FALSE)/1,0))</f>
        <v/>
      </c>
      <c r="Y86" s="31" t="str">
        <f>IF($D86="","",IFERROR(VLOOKUP($B86,Kraftvärmeprod!$B$1:$BX$550,MATCH(Y$2,Kraftvärmeprod!$B$1:$VX$1,0),FALSE)/1,0)-IFERROR(VLOOKUP($B86,'Slutlig allokering kvv'!$B$2:$BX$550,MATCH(Y$2,'Slutlig allokering kvv'!$B$1:$BX$1,0),FALSE)/1,0))</f>
        <v/>
      </c>
      <c r="Z86" s="31" t="str">
        <f>IF($D86="","",IFERROR(VLOOKUP($B86,Kraftvärmeprod!$B$1:$BX$550,MATCH(Z$2,Kraftvärmeprod!$B$1:$VX$1,0),FALSE)/1,0)-IFERROR(VLOOKUP($B86,'Slutlig allokering kvv'!$B$2:$BX$550,MATCH(Z$2,'Slutlig allokering kvv'!$B$1:$BX$1,0),FALSE)/1,0))</f>
        <v/>
      </c>
      <c r="AA86" s="31" t="str">
        <f>IF($D86="","",IFERROR(VLOOKUP($B86,Kraftvärmeprod!$B$1:$BX$550,MATCH(AA$2,Kraftvärmeprod!$B$1:$VX$1,0),FALSE)/1,0)-IFERROR(VLOOKUP($B86,'Slutlig allokering kvv'!$B$2:$BX$550,MATCH(AA$2,'Slutlig allokering kvv'!$B$1:$BX$1,0),FALSE)/1,0))</f>
        <v/>
      </c>
      <c r="AB86" s="31" t="str">
        <f>IF($D86="","",IFERROR(VLOOKUP($B86,Kraftvärmeprod!$B$1:$BX$550,MATCH(AB$2,Kraftvärmeprod!$B$1:$VX$1,0),FALSE)/1,0)-IFERROR(VLOOKUP($B86,'Slutlig allokering kvv'!$B$2:$BX$550,MATCH(AB$2,'Slutlig allokering kvv'!$B$1:$BX$1,0),FALSE)/1,0))</f>
        <v/>
      </c>
      <c r="AC86" s="31" t="str">
        <f>IF($D86="","",IFERROR(VLOOKUP($B86,Kraftvärmeprod!$B$1:$BX$550,MATCH(AC$2,Kraftvärmeprod!$B$1:$VX$1,0),FALSE)/1,0)-IFERROR(VLOOKUP($B86,'Slutlig allokering kvv'!$B$2:$BX$550,MATCH(AC$2,'Slutlig allokering kvv'!$B$1:$BX$1,0),FALSE)/1,0))</f>
        <v/>
      </c>
      <c r="AD86" s="31" t="str">
        <f>IF($D86="","",IFERROR(VLOOKUP($B86,Kraftvärmeprod!$B$1:$BX$550,MATCH(AD$2,Kraftvärmeprod!$B$1:$VX$1,0),FALSE)/1,0)-IFERROR(VLOOKUP($B86,'Slutlig allokering kvv'!$B$2:$BX$550,MATCH(AD$2,'Slutlig allokering kvv'!$B$1:$BX$1,0),FALSE)/1,0))</f>
        <v/>
      </c>
      <c r="AE86" s="31" t="str">
        <f>IF($D86="","",IFERROR(VLOOKUP($B86,Miljö!$B$1:$E$550,MATCH("Hjälpel kraftvärme (GWh)",Miljö!$B$1:$E$1,0),FALSE)/1,0)-IFERROR(VLOOKUP($B86,'Slutlig allokering kvv'!$B$2:$BX$549,MATCH(AE$2,'Slutlig allokering kvv'!$B$1:$BX$1,0),FALSE)/1,0))</f>
        <v/>
      </c>
      <c r="AI86" s="39">
        <f t="shared" si="4"/>
        <v>0</v>
      </c>
      <c r="AK86" s="31">
        <f>IFERROR(VLOOKUP($B86,'Slutlig allokering kvv'!$B$2:$AX$549,MATCH("Summa slutlig allokerad tillförd energi (utan hjälpel och rökgaskondensering):",'Slutlig allokering kvv'!$B$1:$AX$1,0),FALSE)/1,"")</f>
        <v>0</v>
      </c>
      <c r="AM86" s="31" t="str">
        <f>IFERROR(1-VLOOKUP($B86,'Slutlig allokering kvv'!$B$2:$AX$549,MATCH("Andel av bränsle i kvv som allokerats till värme, exklusive rökgaskondensering och hjälpel",'Slutlig allokering kvv'!$B$1:$AX$1,0),FALSE),"")</f>
        <v/>
      </c>
      <c r="AO86" s="31" t="str">
        <f t="shared" si="5"/>
        <v/>
      </c>
      <c r="AP86" s="31" t="str">
        <f t="shared" si="6"/>
        <v/>
      </c>
      <c r="AR86" s="32" t="str">
        <f t="shared" si="7"/>
        <v/>
      </c>
    </row>
    <row r="87" spans="1:44" s="31" customFormat="1" x14ac:dyDescent="0.45">
      <c r="A87" s="31" t="s">
        <v>571</v>
      </c>
      <c r="B87" s="31" t="s">
        <v>572</v>
      </c>
      <c r="C87" s="31" t="str">
        <f>IFERROR(VLOOKUP($B87,Kraftvärmeprod!$B$1:$AH$479,MATCH(C$2,Kraftvärmeprod!$B$1:$AG$1,0),FALSE)/1,"")</f>
        <v/>
      </c>
      <c r="D87" s="31" t="str">
        <f>IFERROR(VLOOKUP($B87,Kraftvärmeprod!$B$1:$AH$479,MATCH(D$2,Kraftvärmeprod!$B$1:$AG$1,0),FALSE)/1,"")</f>
        <v/>
      </c>
      <c r="F87" s="31" t="str">
        <f>IF($D87="","",IFERROR(VLOOKUP($B87,Kraftvärmeprod!$B$1:$BX$550,MATCH(F$2,Kraftvärmeprod!$B$1:$VX$1,0),FALSE)/1,0)-IFERROR(VLOOKUP($B87,'Slutlig allokering kvv'!$B$2:$BX$550,MATCH(F$2,'Slutlig allokering kvv'!$B$1:$BX$1,0),FALSE)/1,0))</f>
        <v/>
      </c>
      <c r="G87" s="31" t="str">
        <f>IF($D87="","",IFERROR(VLOOKUP($B87,Kraftvärmeprod!$B$1:$BX$550,MATCH(G$2,Kraftvärmeprod!$B$1:$VX$1,0),FALSE)/1,0)-IFERROR(VLOOKUP($B87,'Slutlig allokering kvv'!$B$2:$BX$550,MATCH(G$2,'Slutlig allokering kvv'!$B$1:$BX$1,0),FALSE)/1,0))</f>
        <v/>
      </c>
      <c r="H87" s="31" t="str">
        <f>IF($D87="","",IFERROR(VLOOKUP($B87,Kraftvärmeprod!$B$1:$BX$550,MATCH(H$2,Kraftvärmeprod!$B$1:$VX$1,0),FALSE)/1,0)-IFERROR(VLOOKUP($B87,'Slutlig allokering kvv'!$B$2:$BX$550,MATCH(H$2,'Slutlig allokering kvv'!$B$1:$BX$1,0),FALSE)/1,0))</f>
        <v/>
      </c>
      <c r="I87" s="31" t="str">
        <f>IF($D87="","",IFERROR(VLOOKUP($B87,Kraftvärmeprod!$B$1:$BX$550,MATCH(I$2,Kraftvärmeprod!$B$1:$VX$1,0),FALSE)/1,0)-IFERROR(VLOOKUP($B87,'Slutlig allokering kvv'!$B$2:$BX$550,MATCH(I$2,'Slutlig allokering kvv'!$B$1:$BX$1,0),FALSE)/1,0))</f>
        <v/>
      </c>
      <c r="J87" s="31" t="str">
        <f>IF($D87="","",IFERROR(VLOOKUP($B87,Kraftvärmeprod!$B$1:$BX$550,MATCH(J$2,Kraftvärmeprod!$B$1:$VX$1,0),FALSE)/1,0)-IFERROR(VLOOKUP($B87,'Slutlig allokering kvv'!$B$2:$BX$550,MATCH(J$2,'Slutlig allokering kvv'!$B$1:$BX$1,0),FALSE)/1,0))</f>
        <v/>
      </c>
      <c r="K87" s="31" t="str">
        <f>IF($D87="","",IFERROR(VLOOKUP($B87,Kraftvärmeprod!$B$1:$BX$550,MATCH(K$2,Kraftvärmeprod!$B$1:$VX$1,0),FALSE)/1,0)-IFERROR(VLOOKUP($B87,'Slutlig allokering kvv'!$B$2:$BX$550,MATCH(K$2,'Slutlig allokering kvv'!$B$1:$BX$1,0),FALSE)/1,0))</f>
        <v/>
      </c>
      <c r="L87" s="31" t="str">
        <f>IF($D87="","",IFERROR(VLOOKUP($B87,Kraftvärmeprod!$B$1:$BX$550,MATCH(L$2,Kraftvärmeprod!$B$1:$VX$1,0),FALSE)/1,0)-IFERROR(VLOOKUP($B87,'Slutlig allokering kvv'!$B$2:$BX$550,MATCH(L$2,'Slutlig allokering kvv'!$B$1:$BX$1,0),FALSE)/1,0))</f>
        <v/>
      </c>
      <c r="M87" s="31" t="str">
        <f>IF($D87="","",IFERROR(VLOOKUP($B87,Kraftvärmeprod!$B$1:$BX$550,MATCH(M$2,Kraftvärmeprod!$B$1:$VX$1,0),FALSE)/1,0)-IFERROR(VLOOKUP($B87,'Slutlig allokering kvv'!$B$2:$BX$550,MATCH(M$2,'Slutlig allokering kvv'!$B$1:$BX$1,0),FALSE)/1,0))</f>
        <v/>
      </c>
      <c r="N87" s="31" t="str">
        <f>IF($D87="","",IFERROR(VLOOKUP($B87,Kraftvärmeprod!$B$1:$BX$550,MATCH(N$2,Kraftvärmeprod!$B$1:$VX$1,0),FALSE)/1,0)-IFERROR(VLOOKUP($B87,'Slutlig allokering kvv'!$B$2:$BX$550,MATCH(N$2,'Slutlig allokering kvv'!$B$1:$BX$1,0),FALSE)/1,0))</f>
        <v/>
      </c>
      <c r="O87" s="31" t="str">
        <f>IF($D87="","",IFERROR(VLOOKUP($B87,Kraftvärmeprod!$B$1:$BX$550,MATCH(O$2,Kraftvärmeprod!$B$1:$VX$1,0),FALSE)/1,0)-IFERROR(VLOOKUP($B87,'Slutlig allokering kvv'!$B$2:$BX$550,MATCH(O$2,'Slutlig allokering kvv'!$B$1:$BX$1,0),FALSE)/1,0))</f>
        <v/>
      </c>
      <c r="P87" s="31" t="str">
        <f>IF($D87="","",IFERROR(VLOOKUP($B87,Kraftvärmeprod!$B$1:$BX$550,MATCH(P$2,Kraftvärmeprod!$B$1:$VX$1,0),FALSE)/1,0)-IFERROR(VLOOKUP($B87,'Slutlig allokering kvv'!$B$2:$BX$550,MATCH(P$2,'Slutlig allokering kvv'!$B$1:$BX$1,0),FALSE)/1,0))</f>
        <v/>
      </c>
      <c r="Q87" s="31" t="str">
        <f>IF($D87="","",IFERROR(VLOOKUP($B87,Kraftvärmeprod!$B$1:$BX$550,MATCH(Q$2,Kraftvärmeprod!$B$1:$VX$1,0),FALSE)/1,0)-IFERROR(VLOOKUP($B87,'Slutlig allokering kvv'!$B$2:$BX$550,MATCH(Q$2,'Slutlig allokering kvv'!$B$1:$BX$1,0),FALSE)/1,0))</f>
        <v/>
      </c>
      <c r="R87" s="31" t="str">
        <f>IF($D87="","",IFERROR(VLOOKUP($B87,Kraftvärmeprod!$B$1:$BX$550,MATCH(R$2,Kraftvärmeprod!$B$1:$VX$1,0),FALSE)/1,0)-IFERROR(VLOOKUP($B87,'Slutlig allokering kvv'!$B$2:$BX$550,MATCH(R$2,'Slutlig allokering kvv'!$B$1:$BX$1,0),FALSE)/1,0))</f>
        <v/>
      </c>
      <c r="S87" s="31" t="str">
        <f>IF($D87="","",IFERROR(VLOOKUP($B87,Kraftvärmeprod!$B$1:$BX$550,MATCH(S$2,Kraftvärmeprod!$B$1:$VX$1,0),FALSE)/1,0)-IFERROR(VLOOKUP($B87,'Slutlig allokering kvv'!$B$2:$BX$550,MATCH(S$2,'Slutlig allokering kvv'!$B$1:$BX$1,0),FALSE)/1,0))</f>
        <v/>
      </c>
      <c r="T87" s="31" t="str">
        <f>IF($D87="","",IFERROR(VLOOKUP($B87,Kraftvärmeprod!$B$1:$BX$550,MATCH(T$2,Kraftvärmeprod!$B$1:$VX$1,0),FALSE)/1,0)-IFERROR(VLOOKUP($B87,'Slutlig allokering kvv'!$B$2:$BX$550,MATCH(T$2,'Slutlig allokering kvv'!$B$1:$BX$1,0),FALSE)/1,0))</f>
        <v/>
      </c>
      <c r="U87" s="31" t="str">
        <f>IF($D87="","",IFERROR(VLOOKUP($B87,Kraftvärmeprod!$B$1:$BX$550,MATCH(U$2,Kraftvärmeprod!$B$1:$VX$1,0),FALSE)/1,0)-IFERROR(VLOOKUP($B87,'Slutlig allokering kvv'!$B$2:$BX$550,MATCH(U$2,'Slutlig allokering kvv'!$B$1:$BX$1,0),FALSE)/1,0))</f>
        <v/>
      </c>
      <c r="V87" s="31" t="str">
        <f>IF($D87="","",IFERROR(VLOOKUP($B87,Kraftvärmeprod!$B$1:$BX$550,MATCH(V$2,Kraftvärmeprod!$B$1:$VX$1,0),FALSE)/1,0)-IFERROR(VLOOKUP($B87,'Slutlig allokering kvv'!$B$2:$BX$550,MATCH(V$2,'Slutlig allokering kvv'!$B$1:$BX$1,0),FALSE)/1,0))</f>
        <v/>
      </c>
      <c r="W87" s="31" t="str">
        <f>IF($D87="","",IFERROR(VLOOKUP($B87,Kraftvärmeprod!$B$1:$BX$550,MATCH(W$2,Kraftvärmeprod!$B$1:$VX$1,0),FALSE)/1,0)-IFERROR(VLOOKUP($B87,'Slutlig allokering kvv'!$B$2:$BX$550,MATCH(W$2,'Slutlig allokering kvv'!$B$1:$BX$1,0),FALSE)/1,0))</f>
        <v/>
      </c>
      <c r="X87" s="31" t="str">
        <f>IF($D87="","",IFERROR(VLOOKUP($B87,Kraftvärmeprod!$B$1:$BX$550,MATCH(X$2,Kraftvärmeprod!$B$1:$VX$1,0),FALSE)/1,0)-IFERROR(VLOOKUP($B87,'Slutlig allokering kvv'!$B$2:$BX$550,MATCH(X$2,'Slutlig allokering kvv'!$B$1:$BX$1,0),FALSE)/1,0))</f>
        <v/>
      </c>
      <c r="Y87" s="31" t="str">
        <f>IF($D87="","",IFERROR(VLOOKUP($B87,Kraftvärmeprod!$B$1:$BX$550,MATCH(Y$2,Kraftvärmeprod!$B$1:$VX$1,0),FALSE)/1,0)-IFERROR(VLOOKUP($B87,'Slutlig allokering kvv'!$B$2:$BX$550,MATCH(Y$2,'Slutlig allokering kvv'!$B$1:$BX$1,0),FALSE)/1,0))</f>
        <v/>
      </c>
      <c r="Z87" s="31" t="str">
        <f>IF($D87="","",IFERROR(VLOOKUP($B87,Kraftvärmeprod!$B$1:$BX$550,MATCH(Z$2,Kraftvärmeprod!$B$1:$VX$1,0),FALSE)/1,0)-IFERROR(VLOOKUP($B87,'Slutlig allokering kvv'!$B$2:$BX$550,MATCH(Z$2,'Slutlig allokering kvv'!$B$1:$BX$1,0),FALSE)/1,0))</f>
        <v/>
      </c>
      <c r="AA87" s="31" t="str">
        <f>IF($D87="","",IFERROR(VLOOKUP($B87,Kraftvärmeprod!$B$1:$BX$550,MATCH(AA$2,Kraftvärmeprod!$B$1:$VX$1,0),FALSE)/1,0)-IFERROR(VLOOKUP($B87,'Slutlig allokering kvv'!$B$2:$BX$550,MATCH(AA$2,'Slutlig allokering kvv'!$B$1:$BX$1,0),FALSE)/1,0))</f>
        <v/>
      </c>
      <c r="AB87" s="31" t="str">
        <f>IF($D87="","",IFERROR(VLOOKUP($B87,Kraftvärmeprod!$B$1:$BX$550,MATCH(AB$2,Kraftvärmeprod!$B$1:$VX$1,0),FALSE)/1,0)-IFERROR(VLOOKUP($B87,'Slutlig allokering kvv'!$B$2:$BX$550,MATCH(AB$2,'Slutlig allokering kvv'!$B$1:$BX$1,0),FALSE)/1,0))</f>
        <v/>
      </c>
      <c r="AC87" s="31" t="str">
        <f>IF($D87="","",IFERROR(VLOOKUP($B87,Kraftvärmeprod!$B$1:$BX$550,MATCH(AC$2,Kraftvärmeprod!$B$1:$VX$1,0),FALSE)/1,0)-IFERROR(VLOOKUP($B87,'Slutlig allokering kvv'!$B$2:$BX$550,MATCH(AC$2,'Slutlig allokering kvv'!$B$1:$BX$1,0),FALSE)/1,0))</f>
        <v/>
      </c>
      <c r="AD87" s="31" t="str">
        <f>IF($D87="","",IFERROR(VLOOKUP($B87,Kraftvärmeprod!$B$1:$BX$550,MATCH(AD$2,Kraftvärmeprod!$B$1:$VX$1,0),FALSE)/1,0)-IFERROR(VLOOKUP($B87,'Slutlig allokering kvv'!$B$2:$BX$550,MATCH(AD$2,'Slutlig allokering kvv'!$B$1:$BX$1,0),FALSE)/1,0))</f>
        <v/>
      </c>
      <c r="AE87" s="31" t="str">
        <f>IF($D87="","",IFERROR(VLOOKUP($B87,Miljö!$B$1:$E$550,MATCH("Hjälpel kraftvärme (GWh)",Miljö!$B$1:$E$1,0),FALSE)/1,0)-IFERROR(VLOOKUP($B87,'Slutlig allokering kvv'!$B$2:$BX$549,MATCH(AE$2,'Slutlig allokering kvv'!$B$1:$BX$1,0),FALSE)/1,0))</f>
        <v/>
      </c>
      <c r="AI87" s="39">
        <f t="shared" si="4"/>
        <v>0</v>
      </c>
      <c r="AK87" s="31">
        <f>IFERROR(VLOOKUP($B87,'Slutlig allokering kvv'!$B$2:$AX$549,MATCH("Summa slutlig allokerad tillförd energi (utan hjälpel och rökgaskondensering):",'Slutlig allokering kvv'!$B$1:$AX$1,0),FALSE)/1,"")</f>
        <v>0</v>
      </c>
      <c r="AM87" s="31" t="str">
        <f>IFERROR(1-VLOOKUP($B87,'Slutlig allokering kvv'!$B$2:$AX$549,MATCH("Andel av bränsle i kvv som allokerats till värme, exklusive rökgaskondensering och hjälpel",'Slutlig allokering kvv'!$B$1:$AX$1,0),FALSE),"")</f>
        <v/>
      </c>
      <c r="AO87" s="31" t="str">
        <f t="shared" si="5"/>
        <v/>
      </c>
      <c r="AP87" s="31" t="str">
        <f t="shared" si="6"/>
        <v/>
      </c>
      <c r="AR87" s="32" t="str">
        <f t="shared" si="7"/>
        <v/>
      </c>
    </row>
    <row r="88" spans="1:44" s="31" customFormat="1" x14ac:dyDescent="0.45">
      <c r="A88" s="31" t="s">
        <v>571</v>
      </c>
      <c r="B88" s="31" t="s">
        <v>570</v>
      </c>
      <c r="C88" s="31" t="str">
        <f>IFERROR(VLOOKUP($B88,Kraftvärmeprod!$B$1:$AH$479,MATCH(C$2,Kraftvärmeprod!$B$1:$AG$1,0),FALSE)/1,"")</f>
        <v/>
      </c>
      <c r="D88" s="31" t="str">
        <f>IFERROR(VLOOKUP($B88,Kraftvärmeprod!$B$1:$AH$479,MATCH(D$2,Kraftvärmeprod!$B$1:$AG$1,0),FALSE)/1,"")</f>
        <v/>
      </c>
      <c r="F88" s="31" t="str">
        <f>IF($D88="","",IFERROR(VLOOKUP($B88,Kraftvärmeprod!$B$1:$BX$550,MATCH(F$2,Kraftvärmeprod!$B$1:$VX$1,0),FALSE)/1,0)-IFERROR(VLOOKUP($B88,'Slutlig allokering kvv'!$B$2:$BX$550,MATCH(F$2,'Slutlig allokering kvv'!$B$1:$BX$1,0),FALSE)/1,0))</f>
        <v/>
      </c>
      <c r="G88" s="31" t="str">
        <f>IF($D88="","",IFERROR(VLOOKUP($B88,Kraftvärmeprod!$B$1:$BX$550,MATCH(G$2,Kraftvärmeprod!$B$1:$VX$1,0),FALSE)/1,0)-IFERROR(VLOOKUP($B88,'Slutlig allokering kvv'!$B$2:$BX$550,MATCH(G$2,'Slutlig allokering kvv'!$B$1:$BX$1,0),FALSE)/1,0))</f>
        <v/>
      </c>
      <c r="H88" s="31" t="str">
        <f>IF($D88="","",IFERROR(VLOOKUP($B88,Kraftvärmeprod!$B$1:$BX$550,MATCH(H$2,Kraftvärmeprod!$B$1:$VX$1,0),FALSE)/1,0)-IFERROR(VLOOKUP($B88,'Slutlig allokering kvv'!$B$2:$BX$550,MATCH(H$2,'Slutlig allokering kvv'!$B$1:$BX$1,0),FALSE)/1,0))</f>
        <v/>
      </c>
      <c r="I88" s="31" t="str">
        <f>IF($D88="","",IFERROR(VLOOKUP($B88,Kraftvärmeprod!$B$1:$BX$550,MATCH(I$2,Kraftvärmeprod!$B$1:$VX$1,0),FALSE)/1,0)-IFERROR(VLOOKUP($B88,'Slutlig allokering kvv'!$B$2:$BX$550,MATCH(I$2,'Slutlig allokering kvv'!$B$1:$BX$1,0),FALSE)/1,0))</f>
        <v/>
      </c>
      <c r="J88" s="31" t="str">
        <f>IF($D88="","",IFERROR(VLOOKUP($B88,Kraftvärmeprod!$B$1:$BX$550,MATCH(J$2,Kraftvärmeprod!$B$1:$VX$1,0),FALSE)/1,0)-IFERROR(VLOOKUP($B88,'Slutlig allokering kvv'!$B$2:$BX$550,MATCH(J$2,'Slutlig allokering kvv'!$B$1:$BX$1,0),FALSE)/1,0))</f>
        <v/>
      </c>
      <c r="K88" s="31" t="str">
        <f>IF($D88="","",IFERROR(VLOOKUP($B88,Kraftvärmeprod!$B$1:$BX$550,MATCH(K$2,Kraftvärmeprod!$B$1:$VX$1,0),FALSE)/1,0)-IFERROR(VLOOKUP($B88,'Slutlig allokering kvv'!$B$2:$BX$550,MATCH(K$2,'Slutlig allokering kvv'!$B$1:$BX$1,0),FALSE)/1,0))</f>
        <v/>
      </c>
      <c r="L88" s="31" t="str">
        <f>IF($D88="","",IFERROR(VLOOKUP($B88,Kraftvärmeprod!$B$1:$BX$550,MATCH(L$2,Kraftvärmeprod!$B$1:$VX$1,0),FALSE)/1,0)-IFERROR(VLOOKUP($B88,'Slutlig allokering kvv'!$B$2:$BX$550,MATCH(L$2,'Slutlig allokering kvv'!$B$1:$BX$1,0),FALSE)/1,0))</f>
        <v/>
      </c>
      <c r="M88" s="31" t="str">
        <f>IF($D88="","",IFERROR(VLOOKUP($B88,Kraftvärmeprod!$B$1:$BX$550,MATCH(M$2,Kraftvärmeprod!$B$1:$VX$1,0),FALSE)/1,0)-IFERROR(VLOOKUP($B88,'Slutlig allokering kvv'!$B$2:$BX$550,MATCH(M$2,'Slutlig allokering kvv'!$B$1:$BX$1,0),FALSE)/1,0))</f>
        <v/>
      </c>
      <c r="N88" s="31" t="str">
        <f>IF($D88="","",IFERROR(VLOOKUP($B88,Kraftvärmeprod!$B$1:$BX$550,MATCH(N$2,Kraftvärmeprod!$B$1:$VX$1,0),FALSE)/1,0)-IFERROR(VLOOKUP($B88,'Slutlig allokering kvv'!$B$2:$BX$550,MATCH(N$2,'Slutlig allokering kvv'!$B$1:$BX$1,0),FALSE)/1,0))</f>
        <v/>
      </c>
      <c r="O88" s="31" t="str">
        <f>IF($D88="","",IFERROR(VLOOKUP($B88,Kraftvärmeprod!$B$1:$BX$550,MATCH(O$2,Kraftvärmeprod!$B$1:$VX$1,0),FALSE)/1,0)-IFERROR(VLOOKUP($B88,'Slutlig allokering kvv'!$B$2:$BX$550,MATCH(O$2,'Slutlig allokering kvv'!$B$1:$BX$1,0),FALSE)/1,0))</f>
        <v/>
      </c>
      <c r="P88" s="31" t="str">
        <f>IF($D88="","",IFERROR(VLOOKUP($B88,Kraftvärmeprod!$B$1:$BX$550,MATCH(P$2,Kraftvärmeprod!$B$1:$VX$1,0),FALSE)/1,0)-IFERROR(VLOOKUP($B88,'Slutlig allokering kvv'!$B$2:$BX$550,MATCH(P$2,'Slutlig allokering kvv'!$B$1:$BX$1,0),FALSE)/1,0))</f>
        <v/>
      </c>
      <c r="Q88" s="31" t="str">
        <f>IF($D88="","",IFERROR(VLOOKUP($B88,Kraftvärmeprod!$B$1:$BX$550,MATCH(Q$2,Kraftvärmeprod!$B$1:$VX$1,0),FALSE)/1,0)-IFERROR(VLOOKUP($B88,'Slutlig allokering kvv'!$B$2:$BX$550,MATCH(Q$2,'Slutlig allokering kvv'!$B$1:$BX$1,0),FALSE)/1,0))</f>
        <v/>
      </c>
      <c r="R88" s="31" t="str">
        <f>IF($D88="","",IFERROR(VLOOKUP($B88,Kraftvärmeprod!$B$1:$BX$550,MATCH(R$2,Kraftvärmeprod!$B$1:$VX$1,0),FALSE)/1,0)-IFERROR(VLOOKUP($B88,'Slutlig allokering kvv'!$B$2:$BX$550,MATCH(R$2,'Slutlig allokering kvv'!$B$1:$BX$1,0),FALSE)/1,0))</f>
        <v/>
      </c>
      <c r="S88" s="31" t="str">
        <f>IF($D88="","",IFERROR(VLOOKUP($B88,Kraftvärmeprod!$B$1:$BX$550,MATCH(S$2,Kraftvärmeprod!$B$1:$VX$1,0),FALSE)/1,0)-IFERROR(VLOOKUP($B88,'Slutlig allokering kvv'!$B$2:$BX$550,MATCH(S$2,'Slutlig allokering kvv'!$B$1:$BX$1,0),FALSE)/1,0))</f>
        <v/>
      </c>
      <c r="T88" s="31" t="str">
        <f>IF($D88="","",IFERROR(VLOOKUP($B88,Kraftvärmeprod!$B$1:$BX$550,MATCH(T$2,Kraftvärmeprod!$B$1:$VX$1,0),FALSE)/1,0)-IFERROR(VLOOKUP($B88,'Slutlig allokering kvv'!$B$2:$BX$550,MATCH(T$2,'Slutlig allokering kvv'!$B$1:$BX$1,0),FALSE)/1,0))</f>
        <v/>
      </c>
      <c r="U88" s="31" t="str">
        <f>IF($D88="","",IFERROR(VLOOKUP($B88,Kraftvärmeprod!$B$1:$BX$550,MATCH(U$2,Kraftvärmeprod!$B$1:$VX$1,0),FALSE)/1,0)-IFERROR(VLOOKUP($B88,'Slutlig allokering kvv'!$B$2:$BX$550,MATCH(U$2,'Slutlig allokering kvv'!$B$1:$BX$1,0),FALSE)/1,0))</f>
        <v/>
      </c>
      <c r="V88" s="31" t="str">
        <f>IF($D88="","",IFERROR(VLOOKUP($B88,Kraftvärmeprod!$B$1:$BX$550,MATCH(V$2,Kraftvärmeprod!$B$1:$VX$1,0),FALSE)/1,0)-IFERROR(VLOOKUP($B88,'Slutlig allokering kvv'!$B$2:$BX$550,MATCH(V$2,'Slutlig allokering kvv'!$B$1:$BX$1,0),FALSE)/1,0))</f>
        <v/>
      </c>
      <c r="W88" s="31" t="str">
        <f>IF($D88="","",IFERROR(VLOOKUP($B88,Kraftvärmeprod!$B$1:$BX$550,MATCH(W$2,Kraftvärmeprod!$B$1:$VX$1,0),FALSE)/1,0)-IFERROR(VLOOKUP($B88,'Slutlig allokering kvv'!$B$2:$BX$550,MATCH(W$2,'Slutlig allokering kvv'!$B$1:$BX$1,0),FALSE)/1,0))</f>
        <v/>
      </c>
      <c r="X88" s="31" t="str">
        <f>IF($D88="","",IFERROR(VLOOKUP($B88,Kraftvärmeprod!$B$1:$BX$550,MATCH(X$2,Kraftvärmeprod!$B$1:$VX$1,0),FALSE)/1,0)-IFERROR(VLOOKUP($B88,'Slutlig allokering kvv'!$B$2:$BX$550,MATCH(X$2,'Slutlig allokering kvv'!$B$1:$BX$1,0),FALSE)/1,0))</f>
        <v/>
      </c>
      <c r="Y88" s="31" t="str">
        <f>IF($D88="","",IFERROR(VLOOKUP($B88,Kraftvärmeprod!$B$1:$BX$550,MATCH(Y$2,Kraftvärmeprod!$B$1:$VX$1,0),FALSE)/1,0)-IFERROR(VLOOKUP($B88,'Slutlig allokering kvv'!$B$2:$BX$550,MATCH(Y$2,'Slutlig allokering kvv'!$B$1:$BX$1,0),FALSE)/1,0))</f>
        <v/>
      </c>
      <c r="Z88" s="31" t="str">
        <f>IF($D88="","",IFERROR(VLOOKUP($B88,Kraftvärmeprod!$B$1:$BX$550,MATCH(Z$2,Kraftvärmeprod!$B$1:$VX$1,0),FALSE)/1,0)-IFERROR(VLOOKUP($B88,'Slutlig allokering kvv'!$B$2:$BX$550,MATCH(Z$2,'Slutlig allokering kvv'!$B$1:$BX$1,0),FALSE)/1,0))</f>
        <v/>
      </c>
      <c r="AA88" s="31" t="str">
        <f>IF($D88="","",IFERROR(VLOOKUP($B88,Kraftvärmeprod!$B$1:$BX$550,MATCH(AA$2,Kraftvärmeprod!$B$1:$VX$1,0),FALSE)/1,0)-IFERROR(VLOOKUP($B88,'Slutlig allokering kvv'!$B$2:$BX$550,MATCH(AA$2,'Slutlig allokering kvv'!$B$1:$BX$1,0),FALSE)/1,0))</f>
        <v/>
      </c>
      <c r="AB88" s="31" t="str">
        <f>IF($D88="","",IFERROR(VLOOKUP($B88,Kraftvärmeprod!$B$1:$BX$550,MATCH(AB$2,Kraftvärmeprod!$B$1:$VX$1,0),FALSE)/1,0)-IFERROR(VLOOKUP($B88,'Slutlig allokering kvv'!$B$2:$BX$550,MATCH(AB$2,'Slutlig allokering kvv'!$B$1:$BX$1,0),FALSE)/1,0))</f>
        <v/>
      </c>
      <c r="AC88" s="31" t="str">
        <f>IF($D88="","",IFERROR(VLOOKUP($B88,Kraftvärmeprod!$B$1:$BX$550,MATCH(AC$2,Kraftvärmeprod!$B$1:$VX$1,0),FALSE)/1,0)-IFERROR(VLOOKUP($B88,'Slutlig allokering kvv'!$B$2:$BX$550,MATCH(AC$2,'Slutlig allokering kvv'!$B$1:$BX$1,0),FALSE)/1,0))</f>
        <v/>
      </c>
      <c r="AD88" s="31" t="str">
        <f>IF($D88="","",IFERROR(VLOOKUP($B88,Kraftvärmeprod!$B$1:$BX$550,MATCH(AD$2,Kraftvärmeprod!$B$1:$VX$1,0),FALSE)/1,0)-IFERROR(VLOOKUP($B88,'Slutlig allokering kvv'!$B$2:$BX$550,MATCH(AD$2,'Slutlig allokering kvv'!$B$1:$BX$1,0),FALSE)/1,0))</f>
        <v/>
      </c>
      <c r="AE88" s="31" t="str">
        <f>IF($D88="","",IFERROR(VLOOKUP($B88,Miljö!$B$1:$E$550,MATCH("Hjälpel kraftvärme (GWh)",Miljö!$B$1:$E$1,0),FALSE)/1,0)-IFERROR(VLOOKUP($B88,'Slutlig allokering kvv'!$B$2:$BX$549,MATCH(AE$2,'Slutlig allokering kvv'!$B$1:$BX$1,0),FALSE)/1,0))</f>
        <v/>
      </c>
      <c r="AI88" s="39">
        <f t="shared" si="4"/>
        <v>0</v>
      </c>
      <c r="AK88" s="31">
        <f>IFERROR(VLOOKUP($B88,'Slutlig allokering kvv'!$B$2:$AX$549,MATCH("Summa slutlig allokerad tillförd energi (utan hjälpel och rökgaskondensering):",'Slutlig allokering kvv'!$B$1:$AX$1,0),FALSE)/1,"")</f>
        <v>0</v>
      </c>
      <c r="AM88" s="31" t="str">
        <f>IFERROR(1-VLOOKUP($B88,'Slutlig allokering kvv'!$B$2:$AX$549,MATCH("Andel av bränsle i kvv som allokerats till värme, exklusive rökgaskondensering och hjälpel",'Slutlig allokering kvv'!$B$1:$AX$1,0),FALSE),"")</f>
        <v/>
      </c>
      <c r="AO88" s="31" t="str">
        <f t="shared" si="5"/>
        <v/>
      </c>
      <c r="AP88" s="31" t="str">
        <f t="shared" si="6"/>
        <v/>
      </c>
      <c r="AR88" s="32" t="str">
        <f t="shared" si="7"/>
        <v/>
      </c>
    </row>
    <row r="89" spans="1:44" s="31" customFormat="1" x14ac:dyDescent="0.45">
      <c r="A89" s="31" t="s">
        <v>568</v>
      </c>
      <c r="B89" s="31" t="s">
        <v>567</v>
      </c>
      <c r="C89" s="31">
        <f>IFERROR(VLOOKUP($B89,Kraftvärmeprod!$B$1:$AH$479,MATCH(C$2,Kraftvärmeprod!$B$1:$AG$1,0),FALSE)/1,"")</f>
        <v>163.4</v>
      </c>
      <c r="D89" s="31">
        <f>IFERROR(VLOOKUP($B89,Kraftvärmeprod!$B$1:$AH$479,MATCH(D$2,Kraftvärmeprod!$B$1:$AG$1,0),FALSE)/1,"")</f>
        <v>32.799999999999997</v>
      </c>
      <c r="F89" s="31">
        <f>IF($D89="","",IFERROR(VLOOKUP($B89,Kraftvärmeprod!$B$1:$BX$550,MATCH(F$2,Kraftvärmeprod!$B$1:$VX$1,0),FALSE)/1,0)-IFERROR(VLOOKUP($B89,'Slutlig allokering kvv'!$B$2:$BX$550,MATCH(F$2,'Slutlig allokering kvv'!$B$1:$BX$1,0),FALSE)/1,0))</f>
        <v>0</v>
      </c>
      <c r="G89" s="31">
        <f>IF($D89="","",IFERROR(VLOOKUP($B89,Kraftvärmeprod!$B$1:$BX$550,MATCH(G$2,Kraftvärmeprod!$B$1:$VX$1,0),FALSE)/1,0)-IFERROR(VLOOKUP($B89,'Slutlig allokering kvv'!$B$2:$BX$550,MATCH(G$2,'Slutlig allokering kvv'!$B$1:$BX$1,0),FALSE)/1,0))</f>
        <v>0</v>
      </c>
      <c r="H89" s="31">
        <f>IF($D89="","",IFERROR(VLOOKUP($B89,Kraftvärmeprod!$B$1:$BX$550,MATCH(H$2,Kraftvärmeprod!$B$1:$VX$1,0),FALSE)/1,0)-IFERROR(VLOOKUP($B89,'Slutlig allokering kvv'!$B$2:$BX$550,MATCH(H$2,'Slutlig allokering kvv'!$B$1:$BX$1,0),FALSE)/1,0))</f>
        <v>0</v>
      </c>
      <c r="I89" s="31">
        <f>IF($D89="","",IFERROR(VLOOKUP($B89,Kraftvärmeprod!$B$1:$BX$550,MATCH(I$2,Kraftvärmeprod!$B$1:$VX$1,0),FALSE)/1,0)-IFERROR(VLOOKUP($B89,'Slutlig allokering kvv'!$B$2:$BX$550,MATCH(I$2,'Slutlig allokering kvv'!$B$1:$BX$1,0),FALSE)/1,0))</f>
        <v>0</v>
      </c>
      <c r="J89" s="31">
        <f>IF($D89="","",IFERROR(VLOOKUP($B89,Kraftvärmeprod!$B$1:$BX$550,MATCH(J$2,Kraftvärmeprod!$B$1:$VX$1,0),FALSE)/1,0)-IFERROR(VLOOKUP($B89,'Slutlig allokering kvv'!$B$2:$BX$550,MATCH(J$2,'Slutlig allokering kvv'!$B$1:$BX$1,0),FALSE)/1,0))</f>
        <v>0</v>
      </c>
      <c r="K89" s="31">
        <f>IF($D89="","",IFERROR(VLOOKUP($B89,Kraftvärmeprod!$B$1:$BX$550,MATCH(K$2,Kraftvärmeprod!$B$1:$VX$1,0),FALSE)/1,0)-IFERROR(VLOOKUP($B89,'Slutlig allokering kvv'!$B$2:$BX$550,MATCH(K$2,'Slutlig allokering kvv'!$B$1:$BX$1,0),FALSE)/1,0))</f>
        <v>0</v>
      </c>
      <c r="L89" s="31">
        <f>IF($D89="","",IFERROR(VLOOKUP($B89,Kraftvärmeprod!$B$1:$BX$550,MATCH(L$2,Kraftvärmeprod!$B$1:$VX$1,0),FALSE)/1,0)-IFERROR(VLOOKUP($B89,'Slutlig allokering kvv'!$B$2:$BX$550,MATCH(L$2,'Slutlig allokering kvv'!$B$1:$BX$1,0),FALSE)/1,0))</f>
        <v>3.4345499999999998</v>
      </c>
      <c r="M89" s="31">
        <f>IF($D89="","",IFERROR(VLOOKUP($B89,Kraftvärmeprod!$B$1:$BX$550,MATCH(M$2,Kraftvärmeprod!$B$1:$VX$1,0),FALSE)/1,0)-IFERROR(VLOOKUP($B89,'Slutlig allokering kvv'!$B$2:$BX$550,MATCH(M$2,'Slutlig allokering kvv'!$B$1:$BX$1,0),FALSE)/1,0))</f>
        <v>3.4345499999999998</v>
      </c>
      <c r="N89" s="31">
        <f>IF($D89="","",IFERROR(VLOOKUP($B89,Kraftvärmeprod!$B$1:$BX$550,MATCH(N$2,Kraftvärmeprod!$B$1:$VX$1,0),FALSE)/1,0)-IFERROR(VLOOKUP($B89,'Slutlig allokering kvv'!$B$2:$BX$550,MATCH(N$2,'Slutlig allokering kvv'!$B$1:$BX$1,0),FALSE)/1,0))</f>
        <v>13.738199999999999</v>
      </c>
      <c r="O89" s="31">
        <f>IF($D89="","",IFERROR(VLOOKUP($B89,Kraftvärmeprod!$B$1:$BX$550,MATCH(O$2,Kraftvärmeprod!$B$1:$VX$1,0),FALSE)/1,0)-IFERROR(VLOOKUP($B89,'Slutlig allokering kvv'!$B$2:$BX$550,MATCH(O$2,'Slutlig allokering kvv'!$B$1:$BX$1,0),FALSE)/1,0))</f>
        <v>19.576999999999998</v>
      </c>
      <c r="P89" s="31">
        <f>IF($D89="","",IFERROR(VLOOKUP($B89,Kraftvärmeprod!$B$1:$BX$550,MATCH(P$2,Kraftvärmeprod!$B$1:$VX$1,0),FALSE)/1,0)-IFERROR(VLOOKUP($B89,'Slutlig allokering kvv'!$B$2:$BX$550,MATCH(P$2,'Slutlig allokering kvv'!$B$1:$BX$1,0),FALSE)/1,0))</f>
        <v>0</v>
      </c>
      <c r="Q89" s="31">
        <f>IF($D89="","",IFERROR(VLOOKUP($B89,Kraftvärmeprod!$B$1:$BX$550,MATCH(Q$2,Kraftvärmeprod!$B$1:$VX$1,0),FALSE)/1,0)-IFERROR(VLOOKUP($B89,'Slutlig allokering kvv'!$B$2:$BX$550,MATCH(Q$2,'Slutlig allokering kvv'!$B$1:$BX$1,0),FALSE)/1,0))</f>
        <v>0</v>
      </c>
      <c r="R89" s="31">
        <f>IF($D89="","",IFERROR(VLOOKUP($B89,Kraftvärmeprod!$B$1:$BX$550,MATCH(R$2,Kraftvärmeprod!$B$1:$VX$1,0),FALSE)/1,0)-IFERROR(VLOOKUP($B89,'Slutlig allokering kvv'!$B$2:$BX$550,MATCH(R$2,'Slutlig allokering kvv'!$B$1:$BX$1,0),FALSE)/1,0))</f>
        <v>0</v>
      </c>
      <c r="S89" s="31">
        <f>IF($D89="","",IFERROR(VLOOKUP($B89,Kraftvärmeprod!$B$1:$BX$550,MATCH(S$2,Kraftvärmeprod!$B$1:$VX$1,0),FALSE)/1,0)-IFERROR(VLOOKUP($B89,'Slutlig allokering kvv'!$B$2:$BX$550,MATCH(S$2,'Slutlig allokering kvv'!$B$1:$BX$1,0),FALSE)/1,0))</f>
        <v>0</v>
      </c>
      <c r="T89" s="31">
        <f>IF($D89="","",IFERROR(VLOOKUP($B89,Kraftvärmeprod!$B$1:$BX$550,MATCH(T$2,Kraftvärmeprod!$B$1:$VX$1,0),FALSE)/1,0)-IFERROR(VLOOKUP($B89,'Slutlig allokering kvv'!$B$2:$BX$550,MATCH(T$2,'Slutlig allokering kvv'!$B$1:$BX$1,0),FALSE)/1,0))</f>
        <v>0</v>
      </c>
      <c r="U89" s="31">
        <f>IF($D89="","",IFERROR(VLOOKUP($B89,Kraftvärmeprod!$B$1:$BX$550,MATCH(U$2,Kraftvärmeprod!$B$1:$VX$1,0),FALSE)/1,0)-IFERROR(VLOOKUP($B89,'Slutlig allokering kvv'!$B$2:$BX$550,MATCH(U$2,'Slutlig allokering kvv'!$B$1:$BX$1,0),FALSE)/1,0))</f>
        <v>0</v>
      </c>
      <c r="V89" s="31">
        <f>IF($D89="","",IFERROR(VLOOKUP($B89,Kraftvärmeprod!$B$1:$BX$550,MATCH(V$2,Kraftvärmeprod!$B$1:$VX$1,0),FALSE)/1,0)-IFERROR(VLOOKUP($B89,'Slutlig allokering kvv'!$B$2:$BX$550,MATCH(V$2,'Slutlig allokering kvv'!$B$1:$BX$1,0),FALSE)/1,0))</f>
        <v>0</v>
      </c>
      <c r="W89" s="31">
        <f>IF($D89="","",IFERROR(VLOOKUP($B89,Kraftvärmeprod!$B$1:$BX$550,MATCH(W$2,Kraftvärmeprod!$B$1:$VX$1,0),FALSE)/1,0)-IFERROR(VLOOKUP($B89,'Slutlig allokering kvv'!$B$2:$BX$550,MATCH(W$2,'Slutlig allokering kvv'!$B$1:$BX$1,0),FALSE)/1,0))</f>
        <v>0</v>
      </c>
      <c r="X89" s="31">
        <f>IF($D89="","",IFERROR(VLOOKUP($B89,Kraftvärmeprod!$B$1:$BX$550,MATCH(X$2,Kraftvärmeprod!$B$1:$VX$1,0),FALSE)/1,0)-IFERROR(VLOOKUP($B89,'Slutlig allokering kvv'!$B$2:$BX$550,MATCH(X$2,'Slutlig allokering kvv'!$B$1:$BX$1,0),FALSE)/1,0))</f>
        <v>0</v>
      </c>
      <c r="Y89" s="31">
        <f>IF($D89="","",IFERROR(VLOOKUP($B89,Kraftvärmeprod!$B$1:$BX$550,MATCH(Y$2,Kraftvärmeprod!$B$1:$VX$1,0),FALSE)/1,0)-IFERROR(VLOOKUP($B89,'Slutlig allokering kvv'!$B$2:$BX$550,MATCH(Y$2,'Slutlig allokering kvv'!$B$1:$BX$1,0),FALSE)/1,0))</f>
        <v>0</v>
      </c>
      <c r="Z89" s="31">
        <f>IF($D89="","",IFERROR(VLOOKUP($B89,Kraftvärmeprod!$B$1:$BX$550,MATCH(Z$2,Kraftvärmeprod!$B$1:$VX$1,0),FALSE)/1,0)-IFERROR(VLOOKUP($B89,'Slutlig allokering kvv'!$B$2:$BX$550,MATCH(Z$2,'Slutlig allokering kvv'!$B$1:$BX$1,0),FALSE)/1,0))</f>
        <v>39.212699999999998</v>
      </c>
      <c r="AA89" s="31">
        <f>IF($D89="","",IFERROR(VLOOKUP($B89,Kraftvärmeprod!$B$1:$BX$550,MATCH(AA$2,Kraftvärmeprod!$B$1:$VX$1,0),FALSE)/1,0)-IFERROR(VLOOKUP($B89,'Slutlig allokering kvv'!$B$2:$BX$550,MATCH(AA$2,'Slutlig allokering kvv'!$B$1:$BX$1,0),FALSE)/1,0))</f>
        <v>0</v>
      </c>
      <c r="AB89" s="31">
        <f>IF($D89="","",IFERROR(VLOOKUP($B89,Kraftvärmeprod!$B$1:$BX$550,MATCH(AB$2,Kraftvärmeprod!$B$1:$VX$1,0),FALSE)/1,0)-IFERROR(VLOOKUP($B89,'Slutlig allokering kvv'!$B$2:$BX$550,MATCH(AB$2,'Slutlig allokering kvv'!$B$1:$BX$1,0),FALSE)/1,0))</f>
        <v>0</v>
      </c>
      <c r="AC89" s="31">
        <f>IF($D89="","",IFERROR(VLOOKUP($B89,Kraftvärmeprod!$B$1:$BX$550,MATCH(AC$2,Kraftvärmeprod!$B$1:$VX$1,0),FALSE)/1,0)-IFERROR(VLOOKUP($B89,'Slutlig allokering kvv'!$B$2:$BX$550,MATCH(AC$2,'Slutlig allokering kvv'!$B$1:$BX$1,0),FALSE)/1,0))</f>
        <v>0</v>
      </c>
      <c r="AD89" s="31">
        <f>IF($D89="","",IFERROR(VLOOKUP($B89,Kraftvärmeprod!$B$1:$BX$550,MATCH(AD$2,Kraftvärmeprod!$B$1:$VX$1,0),FALSE)/1,0)-IFERROR(VLOOKUP($B89,'Slutlig allokering kvv'!$B$2:$BX$550,MATCH(AD$2,'Slutlig allokering kvv'!$B$1:$BX$1,0),FALSE)/1,0))</f>
        <v>0</v>
      </c>
      <c r="AE89" s="31">
        <f>IF($D89="","",IFERROR(VLOOKUP($B89,Miljö!$B$1:$E$550,MATCH("Hjälpel kraftvärme (GWh)",Miljö!$B$1:$E$1,0),FALSE)/1,0)-IFERROR(VLOOKUP($B89,'Slutlig allokering kvv'!$B$2:$BX$549,MATCH(AE$2,'Slutlig allokering kvv'!$B$1:$BX$1,0),FALSE)/1,0))</f>
        <v>2.4649399999999995</v>
      </c>
      <c r="AI89" s="39">
        <f t="shared" si="4"/>
        <v>79.396999999999991</v>
      </c>
      <c r="AK89" s="31">
        <f>IFERROR(VLOOKUP($B89,'Slutlig allokering kvv'!$B$2:$AX$549,MATCH("Summa slutlig allokerad tillförd energi (utan hjälpel och rökgaskondensering):",'Slutlig allokering kvv'!$B$1:$AX$1,0),FALSE)/1,"")</f>
        <v>165.40300000000002</v>
      </c>
      <c r="AM89" s="31">
        <f>IFERROR(1-VLOOKUP($B89,'Slutlig allokering kvv'!$B$2:$AX$549,MATCH("Andel av bränsle i kvv som allokerats till värme, exklusive rökgaskondensering och hjälpel",'Slutlig allokering kvv'!$B$1:$AX$1,0),FALSE),"")</f>
        <v>0.32433415032679735</v>
      </c>
      <c r="AO89" s="31">
        <f t="shared" si="5"/>
        <v>0.32433415032679735</v>
      </c>
      <c r="AP89" s="31">
        <f t="shared" si="6"/>
        <v>0</v>
      </c>
      <c r="AR89" s="32">
        <f t="shared" si="7"/>
        <v>0.40067459920935178</v>
      </c>
    </row>
    <row r="90" spans="1:44" s="31" customFormat="1" x14ac:dyDescent="0.45">
      <c r="A90" s="31" t="s">
        <v>566</v>
      </c>
      <c r="B90" s="31" t="s">
        <v>565</v>
      </c>
      <c r="C90" s="31">
        <f>IFERROR(VLOOKUP($B90,Kraftvärmeprod!$B$1:$AH$479,MATCH(C$2,Kraftvärmeprod!$B$1:$AG$1,0),FALSE)/1,"")</f>
        <v>212.821</v>
      </c>
      <c r="D90" s="31">
        <f>IFERROR(VLOOKUP($B90,Kraftvärmeprod!$B$1:$AH$479,MATCH(D$2,Kraftvärmeprod!$B$1:$AG$1,0),FALSE)/1,"")</f>
        <v>73.155000000000001</v>
      </c>
      <c r="F90" s="31">
        <f>IF($D90="","",IFERROR(VLOOKUP($B90,Kraftvärmeprod!$B$1:$BX$550,MATCH(F$2,Kraftvärmeprod!$B$1:$VX$1,0),FALSE)/1,0)-IFERROR(VLOOKUP($B90,'Slutlig allokering kvv'!$B$2:$BX$550,MATCH(F$2,'Slutlig allokering kvv'!$B$1:$BX$1,0),FALSE)/1,0))</f>
        <v>0</v>
      </c>
      <c r="G90" s="31">
        <f>IF($D90="","",IFERROR(VLOOKUP($B90,Kraftvärmeprod!$B$1:$BX$550,MATCH(G$2,Kraftvärmeprod!$B$1:$VX$1,0),FALSE)/1,0)-IFERROR(VLOOKUP($B90,'Slutlig allokering kvv'!$B$2:$BX$550,MATCH(G$2,'Slutlig allokering kvv'!$B$1:$BX$1,0),FALSE)/1,0))</f>
        <v>0</v>
      </c>
      <c r="H90" s="31">
        <f>IF($D90="","",IFERROR(VLOOKUP($B90,Kraftvärmeprod!$B$1:$BX$550,MATCH(H$2,Kraftvärmeprod!$B$1:$VX$1,0),FALSE)/1,0)-IFERROR(VLOOKUP($B90,'Slutlig allokering kvv'!$B$2:$BX$550,MATCH(H$2,'Slutlig allokering kvv'!$B$1:$BX$1,0),FALSE)/1,0))</f>
        <v>0</v>
      </c>
      <c r="I90" s="31">
        <f>IF($D90="","",IFERROR(VLOOKUP($B90,Kraftvärmeprod!$B$1:$BX$550,MATCH(I$2,Kraftvärmeprod!$B$1:$VX$1,0),FALSE)/1,0)-IFERROR(VLOOKUP($B90,'Slutlig allokering kvv'!$B$2:$BX$550,MATCH(I$2,'Slutlig allokering kvv'!$B$1:$BX$1,0),FALSE)/1,0))</f>
        <v>0</v>
      </c>
      <c r="J90" s="31">
        <f>IF($D90="","",IFERROR(VLOOKUP($B90,Kraftvärmeprod!$B$1:$BX$550,MATCH(J$2,Kraftvärmeprod!$B$1:$VX$1,0),FALSE)/1,0)-IFERROR(VLOOKUP($B90,'Slutlig allokering kvv'!$B$2:$BX$550,MATCH(J$2,'Slutlig allokering kvv'!$B$1:$BX$1,0),FALSE)/1,0))</f>
        <v>0</v>
      </c>
      <c r="K90" s="31">
        <f>IF($D90="","",IFERROR(VLOOKUP($B90,Kraftvärmeprod!$B$1:$BX$550,MATCH(K$2,Kraftvärmeprod!$B$1:$VX$1,0),FALSE)/1,0)-IFERROR(VLOOKUP($B90,'Slutlig allokering kvv'!$B$2:$BX$550,MATCH(K$2,'Slutlig allokering kvv'!$B$1:$BX$1,0),FALSE)/1,0))</f>
        <v>0</v>
      </c>
      <c r="L90" s="31">
        <f>IF($D90="","",IFERROR(VLOOKUP($B90,Kraftvärmeprod!$B$1:$BX$550,MATCH(L$2,Kraftvärmeprod!$B$1:$VX$1,0),FALSE)/1,0)-IFERROR(VLOOKUP($B90,'Slutlig allokering kvv'!$B$2:$BX$550,MATCH(L$2,'Slutlig allokering kvv'!$B$1:$BX$1,0),FALSE)/1,0))</f>
        <v>18.200999999999997</v>
      </c>
      <c r="M90" s="31">
        <f>IF($D90="","",IFERROR(VLOOKUP($B90,Kraftvärmeprod!$B$1:$BX$550,MATCH(M$2,Kraftvärmeprod!$B$1:$VX$1,0),FALSE)/1,0)-IFERROR(VLOOKUP($B90,'Slutlig allokering kvv'!$B$2:$BX$550,MATCH(M$2,'Slutlig allokering kvv'!$B$1:$BX$1,0),FALSE)/1,0))</f>
        <v>57.960700000000003</v>
      </c>
      <c r="N90" s="31">
        <f>IF($D90="","",IFERROR(VLOOKUP($B90,Kraftvärmeprod!$B$1:$BX$550,MATCH(N$2,Kraftvärmeprod!$B$1:$VX$1,0),FALSE)/1,0)-IFERROR(VLOOKUP($B90,'Slutlig allokering kvv'!$B$2:$BX$550,MATCH(N$2,'Slutlig allokering kvv'!$B$1:$BX$1,0),FALSE)/1,0))</f>
        <v>13.137899999999998</v>
      </c>
      <c r="O90" s="31">
        <f>IF($D90="","",IFERROR(VLOOKUP($B90,Kraftvärmeprod!$B$1:$BX$550,MATCH(O$2,Kraftvärmeprod!$B$1:$VX$1,0),FALSE)/1,0)-IFERROR(VLOOKUP($B90,'Slutlig allokering kvv'!$B$2:$BX$550,MATCH(O$2,'Slutlig allokering kvv'!$B$1:$BX$1,0),FALSE)/1,0))</f>
        <v>0</v>
      </c>
      <c r="P90" s="31">
        <f>IF($D90="","",IFERROR(VLOOKUP($B90,Kraftvärmeprod!$B$1:$BX$550,MATCH(P$2,Kraftvärmeprod!$B$1:$VX$1,0),FALSE)/1,0)-IFERROR(VLOOKUP($B90,'Slutlig allokering kvv'!$B$2:$BX$550,MATCH(P$2,'Slutlig allokering kvv'!$B$1:$BX$1,0),FALSE)/1,0))</f>
        <v>0</v>
      </c>
      <c r="Q90" s="31">
        <f>IF($D90="","",IFERROR(VLOOKUP($B90,Kraftvärmeprod!$B$1:$BX$550,MATCH(Q$2,Kraftvärmeprod!$B$1:$VX$1,0),FALSE)/1,0)-IFERROR(VLOOKUP($B90,'Slutlig allokering kvv'!$B$2:$BX$550,MATCH(Q$2,'Slutlig allokering kvv'!$B$1:$BX$1,0),FALSE)/1,0))</f>
        <v>0</v>
      </c>
      <c r="R90" s="31">
        <f>IF($D90="","",IFERROR(VLOOKUP($B90,Kraftvärmeprod!$B$1:$BX$550,MATCH(R$2,Kraftvärmeprod!$B$1:$VX$1,0),FALSE)/1,0)-IFERROR(VLOOKUP($B90,'Slutlig allokering kvv'!$B$2:$BX$550,MATCH(R$2,'Slutlig allokering kvv'!$B$1:$BX$1,0),FALSE)/1,0))</f>
        <v>0</v>
      </c>
      <c r="S90" s="31">
        <f>IF($D90="","",IFERROR(VLOOKUP($B90,Kraftvärmeprod!$B$1:$BX$550,MATCH(S$2,Kraftvärmeprod!$B$1:$VX$1,0),FALSE)/1,0)-IFERROR(VLOOKUP($B90,'Slutlig allokering kvv'!$B$2:$BX$550,MATCH(S$2,'Slutlig allokering kvv'!$B$1:$BX$1,0),FALSE)/1,0))</f>
        <v>0</v>
      </c>
      <c r="T90" s="31">
        <f>IF($D90="","",IFERROR(VLOOKUP($B90,Kraftvärmeprod!$B$1:$BX$550,MATCH(T$2,Kraftvärmeprod!$B$1:$VX$1,0),FALSE)/1,0)-IFERROR(VLOOKUP($B90,'Slutlig allokering kvv'!$B$2:$BX$550,MATCH(T$2,'Slutlig allokering kvv'!$B$1:$BX$1,0),FALSE)/1,0))</f>
        <v>0</v>
      </c>
      <c r="U90" s="31">
        <f>IF($D90="","",IFERROR(VLOOKUP($B90,Kraftvärmeprod!$B$1:$BX$550,MATCH(U$2,Kraftvärmeprod!$B$1:$VX$1,0),FALSE)/1,0)-IFERROR(VLOOKUP($B90,'Slutlig allokering kvv'!$B$2:$BX$550,MATCH(U$2,'Slutlig allokering kvv'!$B$1:$BX$1,0),FALSE)/1,0))</f>
        <v>0</v>
      </c>
      <c r="V90" s="31">
        <f>IF($D90="","",IFERROR(VLOOKUP($B90,Kraftvärmeprod!$B$1:$BX$550,MATCH(V$2,Kraftvärmeprod!$B$1:$VX$1,0),FALSE)/1,0)-IFERROR(VLOOKUP($B90,'Slutlig allokering kvv'!$B$2:$BX$550,MATCH(V$2,'Slutlig allokering kvv'!$B$1:$BX$1,0),FALSE)/1,0))</f>
        <v>66.395700000000005</v>
      </c>
      <c r="W90" s="31">
        <f>IF($D90="","",IFERROR(VLOOKUP($B90,Kraftvärmeprod!$B$1:$BX$550,MATCH(W$2,Kraftvärmeprod!$B$1:$VX$1,0),FALSE)/1,0)-IFERROR(VLOOKUP($B90,'Slutlig allokering kvv'!$B$2:$BX$550,MATCH(W$2,'Slutlig allokering kvv'!$B$1:$BX$1,0),FALSE)/1,0))</f>
        <v>0</v>
      </c>
      <c r="X90" s="31">
        <f>IF($D90="","",IFERROR(VLOOKUP($B90,Kraftvärmeprod!$B$1:$BX$550,MATCH(X$2,Kraftvärmeprod!$B$1:$VX$1,0),FALSE)/1,0)-IFERROR(VLOOKUP($B90,'Slutlig allokering kvv'!$B$2:$BX$550,MATCH(X$2,'Slutlig allokering kvv'!$B$1:$BX$1,0),FALSE)/1,0))</f>
        <v>0.11975799999999998</v>
      </c>
      <c r="Y90" s="31">
        <f>IF($D90="","",IFERROR(VLOOKUP($B90,Kraftvärmeprod!$B$1:$BX$550,MATCH(Y$2,Kraftvärmeprod!$B$1:$VX$1,0),FALSE)/1,0)-IFERROR(VLOOKUP($B90,'Slutlig allokering kvv'!$B$2:$BX$550,MATCH(Y$2,'Slutlig allokering kvv'!$B$1:$BX$1,0),FALSE)/1,0))</f>
        <v>0</v>
      </c>
      <c r="Z90" s="31">
        <f>IF($D90="","",IFERROR(VLOOKUP($B90,Kraftvärmeprod!$B$1:$BX$550,MATCH(Z$2,Kraftvärmeprod!$B$1:$VX$1,0),FALSE)/1,0)-IFERROR(VLOOKUP($B90,'Slutlig allokering kvv'!$B$2:$BX$550,MATCH(Z$2,'Slutlig allokering kvv'!$B$1:$BX$1,0),FALSE)/1,0))</f>
        <v>0</v>
      </c>
      <c r="AA90" s="31">
        <f>IF($D90="","",IFERROR(VLOOKUP($B90,Kraftvärmeprod!$B$1:$BX$550,MATCH(AA$2,Kraftvärmeprod!$B$1:$VX$1,0),FALSE)/1,0)-IFERROR(VLOOKUP($B90,'Slutlig allokering kvv'!$B$2:$BX$550,MATCH(AA$2,'Slutlig allokering kvv'!$B$1:$BX$1,0),FALSE)/1,0))</f>
        <v>0</v>
      </c>
      <c r="AB90" s="31">
        <f>IF($D90="","",IFERROR(VLOOKUP($B90,Kraftvärmeprod!$B$1:$BX$550,MATCH(AB$2,Kraftvärmeprod!$B$1:$VX$1,0),FALSE)/1,0)-IFERROR(VLOOKUP($B90,'Slutlig allokering kvv'!$B$2:$BX$550,MATCH(AB$2,'Slutlig allokering kvv'!$B$1:$BX$1,0),FALSE)/1,0))</f>
        <v>0</v>
      </c>
      <c r="AC90" s="31">
        <f>IF($D90="","",IFERROR(VLOOKUP($B90,Kraftvärmeprod!$B$1:$BX$550,MATCH(AC$2,Kraftvärmeprod!$B$1:$VX$1,0),FALSE)/1,0)-IFERROR(VLOOKUP($B90,'Slutlig allokering kvv'!$B$2:$BX$550,MATCH(AC$2,'Slutlig allokering kvv'!$B$1:$BX$1,0),FALSE)/1,0))</f>
        <v>0</v>
      </c>
      <c r="AD90" s="31">
        <f>IF($D90="","",IFERROR(VLOOKUP($B90,Kraftvärmeprod!$B$1:$BX$550,MATCH(AD$2,Kraftvärmeprod!$B$1:$VX$1,0),FALSE)/1,0)-IFERROR(VLOOKUP($B90,'Slutlig allokering kvv'!$B$2:$BX$550,MATCH(AD$2,'Slutlig allokering kvv'!$B$1:$BX$1,0),FALSE)/1,0))</f>
        <v>0</v>
      </c>
      <c r="AE90" s="31">
        <f>IF($D90="","",IFERROR(VLOOKUP($B90,Miljö!$B$1:$E$550,MATCH("Hjälpel kraftvärme (GWh)",Miljö!$B$1:$E$1,0),FALSE)/1,0)-IFERROR(VLOOKUP($B90,'Slutlig allokering kvv'!$B$2:$BX$549,MATCH(AE$2,'Slutlig allokering kvv'!$B$1:$BX$1,0),FALSE)/1,0))</f>
        <v>8.0285899999999977</v>
      </c>
      <c r="AI90" s="39">
        <f t="shared" si="4"/>
        <v>155.81505799999999</v>
      </c>
      <c r="AK90" s="31">
        <f>IFERROR(VLOOKUP($B90,'Slutlig allokering kvv'!$B$2:$AX$549,MATCH("Summa slutlig allokerad tillförd energi (utan hjälpel och rökgaskondensering):",'Slutlig allokering kvv'!$B$1:$AX$1,0),FALSE)/1,"")</f>
        <v>173.97694200000001</v>
      </c>
      <c r="AM90" s="31">
        <f>IFERROR(1-VLOOKUP($B90,'Slutlig allokering kvv'!$B$2:$AX$549,MATCH("Andel av bränsle i kvv som allokerats till värme, exklusive rökgaskondensering och hjälpel",'Slutlig allokering kvv'!$B$1:$AX$1,0),FALSE),"")</f>
        <v>0.47246463831748486</v>
      </c>
      <c r="AO90" s="31">
        <f t="shared" si="5"/>
        <v>0.47246463831748492</v>
      </c>
      <c r="AP90" s="31">
        <f t="shared" si="6"/>
        <v>-5.5511151231257827E-17</v>
      </c>
      <c r="AR90" s="32">
        <f t="shared" si="7"/>
        <v>0.44649274410686951</v>
      </c>
    </row>
    <row r="91" spans="1:44" s="31" customFormat="1" x14ac:dyDescent="0.45">
      <c r="A91" s="31" t="s">
        <v>560</v>
      </c>
      <c r="B91" s="31" t="s">
        <v>563</v>
      </c>
      <c r="C91" s="31">
        <f>IFERROR(VLOOKUP($B91,Kraftvärmeprod!$B$1:$AH$479,MATCH(C$2,Kraftvärmeprod!$B$1:$AG$1,0),FALSE)/1,"")</f>
        <v>666.76900000000001</v>
      </c>
      <c r="D91" s="31">
        <f>IFERROR(VLOOKUP($B91,Kraftvärmeprod!$B$1:$AH$479,MATCH(D$2,Kraftvärmeprod!$B$1:$AG$1,0),FALSE)/1,"")</f>
        <v>430.16199999999998</v>
      </c>
      <c r="F91" s="31">
        <f>IF($D91="","",IFERROR(VLOOKUP($B91,Kraftvärmeprod!$B$1:$BX$550,MATCH(F$2,Kraftvärmeprod!$B$1:$VX$1,0),FALSE)/1,0)-IFERROR(VLOOKUP($B91,'Slutlig allokering kvv'!$B$2:$BX$550,MATCH(F$2,'Slutlig allokering kvv'!$B$1:$BX$1,0),FALSE)/1,0))</f>
        <v>0</v>
      </c>
      <c r="G91" s="31">
        <f>IF($D91="","",IFERROR(VLOOKUP($B91,Kraftvärmeprod!$B$1:$BX$550,MATCH(G$2,Kraftvärmeprod!$B$1:$VX$1,0),FALSE)/1,0)-IFERROR(VLOOKUP($B91,'Slutlig allokering kvv'!$B$2:$BX$550,MATCH(G$2,'Slutlig allokering kvv'!$B$1:$BX$1,0),FALSE)/1,0))</f>
        <v>0</v>
      </c>
      <c r="H91" s="31">
        <f>IF($D91="","",IFERROR(VLOOKUP($B91,Kraftvärmeprod!$B$1:$BX$550,MATCH(H$2,Kraftvärmeprod!$B$1:$VX$1,0),FALSE)/1,0)-IFERROR(VLOOKUP($B91,'Slutlig allokering kvv'!$B$2:$BX$550,MATCH(H$2,'Slutlig allokering kvv'!$B$1:$BX$1,0),FALSE)/1,0))</f>
        <v>0</v>
      </c>
      <c r="I91" s="31">
        <f>IF($D91="","",IFERROR(VLOOKUP($B91,Kraftvärmeprod!$B$1:$BX$550,MATCH(I$2,Kraftvärmeprod!$B$1:$VX$1,0),FALSE)/1,0)-IFERROR(VLOOKUP($B91,'Slutlig allokering kvv'!$B$2:$BX$550,MATCH(I$2,'Slutlig allokering kvv'!$B$1:$BX$1,0),FALSE)/1,0))</f>
        <v>0</v>
      </c>
      <c r="J91" s="31">
        <f>IF($D91="","",IFERROR(VLOOKUP($B91,Kraftvärmeprod!$B$1:$BX$550,MATCH(J$2,Kraftvärmeprod!$B$1:$VX$1,0),FALSE)/1,0)-IFERROR(VLOOKUP($B91,'Slutlig allokering kvv'!$B$2:$BX$550,MATCH(J$2,'Slutlig allokering kvv'!$B$1:$BX$1,0),FALSE)/1,0))</f>
        <v>581.86699999999996</v>
      </c>
      <c r="K91" s="31">
        <f>IF($D91="","",IFERROR(VLOOKUP($B91,Kraftvärmeprod!$B$1:$BX$550,MATCH(K$2,Kraftvärmeprod!$B$1:$VX$1,0),FALSE)/1,0)-IFERROR(VLOOKUP($B91,'Slutlig allokering kvv'!$B$2:$BX$550,MATCH(K$2,'Slutlig allokering kvv'!$B$1:$BX$1,0),FALSE)/1,0))</f>
        <v>0</v>
      </c>
      <c r="L91" s="31">
        <f>IF($D91="","",IFERROR(VLOOKUP($B91,Kraftvärmeprod!$B$1:$BX$550,MATCH(L$2,Kraftvärmeprod!$B$1:$VX$1,0),FALSE)/1,0)-IFERROR(VLOOKUP($B91,'Slutlig allokering kvv'!$B$2:$BX$550,MATCH(L$2,'Slutlig allokering kvv'!$B$1:$BX$1,0),FALSE)/1,0))</f>
        <v>30.521999999999991</v>
      </c>
      <c r="M91" s="31">
        <f>IF($D91="","",IFERROR(VLOOKUP($B91,Kraftvärmeprod!$B$1:$BX$550,MATCH(M$2,Kraftvärmeprod!$B$1:$VX$1,0),FALSE)/1,0)-IFERROR(VLOOKUP($B91,'Slutlig allokering kvv'!$B$2:$BX$550,MATCH(M$2,'Slutlig allokering kvv'!$B$1:$BX$1,0),FALSE)/1,0))</f>
        <v>13.611000000000004</v>
      </c>
      <c r="N91" s="31">
        <f>IF($D91="","",IFERROR(VLOOKUP($B91,Kraftvärmeprod!$B$1:$BX$550,MATCH(N$2,Kraftvärmeprod!$B$1:$VX$1,0),FALSE)/1,0)-IFERROR(VLOOKUP($B91,'Slutlig allokering kvv'!$B$2:$BX$550,MATCH(N$2,'Slutlig allokering kvv'!$B$1:$BX$1,0),FALSE)/1,0))</f>
        <v>9.2559999999999967</v>
      </c>
      <c r="O91" s="31">
        <f>IF($D91="","",IFERROR(VLOOKUP($B91,Kraftvärmeprod!$B$1:$BX$550,MATCH(O$2,Kraftvärmeprod!$B$1:$VX$1,0),FALSE)/1,0)-IFERROR(VLOOKUP($B91,'Slutlig allokering kvv'!$B$2:$BX$550,MATCH(O$2,'Slutlig allokering kvv'!$B$1:$BX$1,0),FALSE)/1,0))</f>
        <v>0</v>
      </c>
      <c r="P91" s="31">
        <f>IF($D91="","",IFERROR(VLOOKUP($B91,Kraftvärmeprod!$B$1:$BX$550,MATCH(P$2,Kraftvärmeprod!$B$1:$VX$1,0),FALSE)/1,0)-IFERROR(VLOOKUP($B91,'Slutlig allokering kvv'!$B$2:$BX$550,MATCH(P$2,'Slutlig allokering kvv'!$B$1:$BX$1,0),FALSE)/1,0))</f>
        <v>0</v>
      </c>
      <c r="Q91" s="31">
        <f>IF($D91="","",IFERROR(VLOOKUP($B91,Kraftvärmeprod!$B$1:$BX$550,MATCH(Q$2,Kraftvärmeprod!$B$1:$VX$1,0),FALSE)/1,0)-IFERROR(VLOOKUP($B91,'Slutlig allokering kvv'!$B$2:$BX$550,MATCH(Q$2,'Slutlig allokering kvv'!$B$1:$BX$1,0),FALSE)/1,0))</f>
        <v>6.4379999999999988</v>
      </c>
      <c r="R91" s="31">
        <f>IF($D91="","",IFERROR(VLOOKUP($B91,Kraftvärmeprod!$B$1:$BX$550,MATCH(R$2,Kraftvärmeprod!$B$1:$VX$1,0),FALSE)/1,0)-IFERROR(VLOOKUP($B91,'Slutlig allokering kvv'!$B$2:$BX$550,MATCH(R$2,'Slutlig allokering kvv'!$B$1:$BX$1,0),FALSE)/1,0))</f>
        <v>0</v>
      </c>
      <c r="S91" s="31">
        <f>IF($D91="","",IFERROR(VLOOKUP($B91,Kraftvärmeprod!$B$1:$BX$550,MATCH(S$2,Kraftvärmeprod!$B$1:$VX$1,0),FALSE)/1,0)-IFERROR(VLOOKUP($B91,'Slutlig allokering kvv'!$B$2:$BX$550,MATCH(S$2,'Slutlig allokering kvv'!$B$1:$BX$1,0),FALSE)/1,0))</f>
        <v>0</v>
      </c>
      <c r="T91" s="31">
        <f>IF($D91="","",IFERROR(VLOOKUP($B91,Kraftvärmeprod!$B$1:$BX$550,MATCH(T$2,Kraftvärmeprod!$B$1:$VX$1,0),FALSE)/1,0)-IFERROR(VLOOKUP($B91,'Slutlig allokering kvv'!$B$2:$BX$550,MATCH(T$2,'Slutlig allokering kvv'!$B$1:$BX$1,0),FALSE)/1,0))</f>
        <v>0</v>
      </c>
      <c r="U91" s="31">
        <f>IF($D91="","",IFERROR(VLOOKUP($B91,Kraftvärmeprod!$B$1:$BX$550,MATCH(U$2,Kraftvärmeprod!$B$1:$VX$1,0),FALSE)/1,0)-IFERROR(VLOOKUP($B91,'Slutlig allokering kvv'!$B$2:$BX$550,MATCH(U$2,'Slutlig allokering kvv'!$B$1:$BX$1,0),FALSE)/1,0))</f>
        <v>0</v>
      </c>
      <c r="V91" s="31">
        <f>IF($D91="","",IFERROR(VLOOKUP($B91,Kraftvärmeprod!$B$1:$BX$550,MATCH(V$2,Kraftvärmeprod!$B$1:$VX$1,0),FALSE)/1,0)-IFERROR(VLOOKUP($B91,'Slutlig allokering kvv'!$B$2:$BX$550,MATCH(V$2,'Slutlig allokering kvv'!$B$1:$BX$1,0),FALSE)/1,0))</f>
        <v>0</v>
      </c>
      <c r="W91" s="31">
        <f>IF($D91="","",IFERROR(VLOOKUP($B91,Kraftvärmeprod!$B$1:$BX$550,MATCH(W$2,Kraftvärmeprod!$B$1:$VX$1,0),FALSE)/1,0)-IFERROR(VLOOKUP($B91,'Slutlig allokering kvv'!$B$2:$BX$550,MATCH(W$2,'Slutlig allokering kvv'!$B$1:$BX$1,0),FALSE)/1,0))</f>
        <v>0</v>
      </c>
      <c r="X91" s="31">
        <f>IF($D91="","",IFERROR(VLOOKUP($B91,Kraftvärmeprod!$B$1:$BX$550,MATCH(X$2,Kraftvärmeprod!$B$1:$VX$1,0),FALSE)/1,0)-IFERROR(VLOOKUP($B91,'Slutlig allokering kvv'!$B$2:$BX$550,MATCH(X$2,'Slutlig allokering kvv'!$B$1:$BX$1,0),FALSE)/1,0))</f>
        <v>0.16999999999999993</v>
      </c>
      <c r="Y91" s="31">
        <f>IF($D91="","",IFERROR(VLOOKUP($B91,Kraftvärmeprod!$B$1:$BX$550,MATCH(Y$2,Kraftvärmeprod!$B$1:$VX$1,0),FALSE)/1,0)-IFERROR(VLOOKUP($B91,'Slutlig allokering kvv'!$B$2:$BX$550,MATCH(Y$2,'Slutlig allokering kvv'!$B$1:$BX$1,0),FALSE)/1,0))</f>
        <v>0</v>
      </c>
      <c r="Z91" s="31">
        <f>IF($D91="","",IFERROR(VLOOKUP($B91,Kraftvärmeprod!$B$1:$BX$550,MATCH(Z$2,Kraftvärmeprod!$B$1:$VX$1,0),FALSE)/1,0)-IFERROR(VLOOKUP($B91,'Slutlig allokering kvv'!$B$2:$BX$550,MATCH(Z$2,'Slutlig allokering kvv'!$B$1:$BX$1,0),FALSE)/1,0))</f>
        <v>0</v>
      </c>
      <c r="AA91" s="31">
        <f>IF($D91="","",IFERROR(VLOOKUP($B91,Kraftvärmeprod!$B$1:$BX$550,MATCH(AA$2,Kraftvärmeprod!$B$1:$VX$1,0),FALSE)/1,0)-IFERROR(VLOOKUP($B91,'Slutlig allokering kvv'!$B$2:$BX$550,MATCH(AA$2,'Slutlig allokering kvv'!$B$1:$BX$1,0),FALSE)/1,0))</f>
        <v>0</v>
      </c>
      <c r="AB91" s="31">
        <f>IF($D91="","",IFERROR(VLOOKUP($B91,Kraftvärmeprod!$B$1:$BX$550,MATCH(AB$2,Kraftvärmeprod!$B$1:$VX$1,0),FALSE)/1,0)-IFERROR(VLOOKUP($B91,'Slutlig allokering kvv'!$B$2:$BX$550,MATCH(AB$2,'Slutlig allokering kvv'!$B$1:$BX$1,0),FALSE)/1,0))</f>
        <v>0</v>
      </c>
      <c r="AC91" s="31">
        <f>IF($D91="","",IFERROR(VLOOKUP($B91,Kraftvärmeprod!$B$1:$BX$550,MATCH(AC$2,Kraftvärmeprod!$B$1:$VX$1,0),FALSE)/1,0)-IFERROR(VLOOKUP($B91,'Slutlig allokering kvv'!$B$2:$BX$550,MATCH(AC$2,'Slutlig allokering kvv'!$B$1:$BX$1,0),FALSE)/1,0))</f>
        <v>0</v>
      </c>
      <c r="AD91" s="31">
        <f>IF($D91="","",IFERROR(VLOOKUP($B91,Kraftvärmeprod!$B$1:$BX$550,MATCH(AD$2,Kraftvärmeprod!$B$1:$VX$1,0),FALSE)/1,0)-IFERROR(VLOOKUP($B91,'Slutlig allokering kvv'!$B$2:$BX$550,MATCH(AD$2,'Slutlig allokering kvv'!$B$1:$BX$1,0),FALSE)/1,0))</f>
        <v>0</v>
      </c>
      <c r="AE91" s="31">
        <f>IF($D91="","",IFERROR(VLOOKUP($B91,Miljö!$B$1:$E$550,MATCH("Hjälpel kraftvärme (GWh)",Miljö!$B$1:$E$1,0),FALSE)/1,0)-IFERROR(VLOOKUP($B91,'Slutlig allokering kvv'!$B$2:$BX$549,MATCH(AE$2,'Slutlig allokering kvv'!$B$1:$BX$1,0),FALSE)/1,0))</f>
        <v>3.8779999999999997</v>
      </c>
      <c r="AI91" s="39">
        <f t="shared" si="4"/>
        <v>641.86399999999981</v>
      </c>
      <c r="AK91" s="31">
        <f>IFERROR(VLOOKUP($B91,'Slutlig allokering kvv'!$B$2:$AX$549,MATCH("Summa slutlig allokerad tillförd energi (utan hjälpel och rökgaskondensering):",'Slutlig allokering kvv'!$B$1:$AX$1,0),FALSE)/1,"")</f>
        <v>586.2360000000001</v>
      </c>
      <c r="AM91" s="31">
        <f>IFERROR(1-VLOOKUP($B91,'Slutlig allokering kvv'!$B$2:$AX$549,MATCH("Andel av bränsle i kvv som allokerats till värme, exklusive rökgaskondensering och hjälpel",'Slutlig allokering kvv'!$B$1:$AX$1,0),FALSE),"")</f>
        <v>0.52264799283445973</v>
      </c>
      <c r="AO91" s="31">
        <f t="shared" si="5"/>
        <v>0.52264799283445962</v>
      </c>
      <c r="AP91" s="31">
        <f t="shared" si="6"/>
        <v>1.1102230246251565E-16</v>
      </c>
      <c r="AR91" s="32">
        <f t="shared" si="7"/>
        <v>0.66615149703751664</v>
      </c>
    </row>
    <row r="92" spans="1:44" s="31" customFormat="1" x14ac:dyDescent="0.45">
      <c r="A92" s="31" t="s">
        <v>560</v>
      </c>
      <c r="B92" s="31" t="s">
        <v>562</v>
      </c>
      <c r="C92" s="31">
        <f>IFERROR(VLOOKUP($B92,Kraftvärmeprod!$B$1:$AH$479,MATCH(C$2,Kraftvärmeprod!$B$1:$AG$1,0),FALSE)/1,"")</f>
        <v>138.25</v>
      </c>
      <c r="D92" s="31">
        <f>IFERROR(VLOOKUP($B92,Kraftvärmeprod!$B$1:$AH$479,MATCH(D$2,Kraftvärmeprod!$B$1:$AG$1,0),FALSE)/1,"")</f>
        <v>17.5</v>
      </c>
      <c r="F92" s="31">
        <f>IF($D92="","",IFERROR(VLOOKUP($B92,Kraftvärmeprod!$B$1:$BX$550,MATCH(F$2,Kraftvärmeprod!$B$1:$VX$1,0),FALSE)/1,0)-IFERROR(VLOOKUP($B92,'Slutlig allokering kvv'!$B$2:$BX$550,MATCH(F$2,'Slutlig allokering kvv'!$B$1:$BX$1,0),FALSE)/1,0))</f>
        <v>0</v>
      </c>
      <c r="G92" s="31">
        <f>IF($D92="","",IFERROR(VLOOKUP($B92,Kraftvärmeprod!$B$1:$BX$550,MATCH(G$2,Kraftvärmeprod!$B$1:$VX$1,0),FALSE)/1,0)-IFERROR(VLOOKUP($B92,'Slutlig allokering kvv'!$B$2:$BX$550,MATCH(G$2,'Slutlig allokering kvv'!$B$1:$BX$1,0),FALSE)/1,0))</f>
        <v>0</v>
      </c>
      <c r="H92" s="31">
        <f>IF($D92="","",IFERROR(VLOOKUP($B92,Kraftvärmeprod!$B$1:$BX$550,MATCH(H$2,Kraftvärmeprod!$B$1:$VX$1,0),FALSE)/1,0)-IFERROR(VLOOKUP($B92,'Slutlig allokering kvv'!$B$2:$BX$550,MATCH(H$2,'Slutlig allokering kvv'!$B$1:$BX$1,0),FALSE)/1,0))</f>
        <v>0</v>
      </c>
      <c r="I92" s="31">
        <f>IF($D92="","",IFERROR(VLOOKUP($B92,Kraftvärmeprod!$B$1:$BX$550,MATCH(I$2,Kraftvärmeprod!$B$1:$VX$1,0),FALSE)/1,0)-IFERROR(VLOOKUP($B92,'Slutlig allokering kvv'!$B$2:$BX$550,MATCH(I$2,'Slutlig allokering kvv'!$B$1:$BX$1,0),FALSE)/1,0))</f>
        <v>0</v>
      </c>
      <c r="J92" s="31">
        <f>IF($D92="","",IFERROR(VLOOKUP($B92,Kraftvärmeprod!$B$1:$BX$550,MATCH(J$2,Kraftvärmeprod!$B$1:$VX$1,0),FALSE)/1,0)-IFERROR(VLOOKUP($B92,'Slutlig allokering kvv'!$B$2:$BX$550,MATCH(J$2,'Slutlig allokering kvv'!$B$1:$BX$1,0),FALSE)/1,0))</f>
        <v>0</v>
      </c>
      <c r="K92" s="31">
        <f>IF($D92="","",IFERROR(VLOOKUP($B92,Kraftvärmeprod!$B$1:$BX$550,MATCH(K$2,Kraftvärmeprod!$B$1:$VX$1,0),FALSE)/1,0)-IFERROR(VLOOKUP($B92,'Slutlig allokering kvv'!$B$2:$BX$550,MATCH(K$2,'Slutlig allokering kvv'!$B$1:$BX$1,0),FALSE)/1,0))</f>
        <v>0</v>
      </c>
      <c r="L92" s="31">
        <f>IF($D92="","",IFERROR(VLOOKUP($B92,Kraftvärmeprod!$B$1:$BX$550,MATCH(L$2,Kraftvärmeprod!$B$1:$VX$1,0),FALSE)/1,0)-IFERROR(VLOOKUP($B92,'Slutlig allokering kvv'!$B$2:$BX$550,MATCH(L$2,'Slutlig allokering kvv'!$B$1:$BX$1,0),FALSE)/1,0))</f>
        <v>22.495999999999995</v>
      </c>
      <c r="M92" s="31">
        <f>IF($D92="","",IFERROR(VLOOKUP($B92,Kraftvärmeprod!$B$1:$BX$550,MATCH(M$2,Kraftvärmeprod!$B$1:$VX$1,0),FALSE)/1,0)-IFERROR(VLOOKUP($B92,'Slutlig allokering kvv'!$B$2:$BX$550,MATCH(M$2,'Slutlig allokering kvv'!$B$1:$BX$1,0),FALSE)/1,0))</f>
        <v>10.036000000000001</v>
      </c>
      <c r="N92" s="31">
        <f>IF($D92="","",IFERROR(VLOOKUP($B92,Kraftvärmeprod!$B$1:$BX$550,MATCH(N$2,Kraftvärmeprod!$B$1:$VX$1,0),FALSE)/1,0)-IFERROR(VLOOKUP($B92,'Slutlig allokering kvv'!$B$2:$BX$550,MATCH(N$2,'Slutlig allokering kvv'!$B$1:$BX$1,0),FALSE)/1,0))</f>
        <v>6.8149999999999977</v>
      </c>
      <c r="O92" s="31">
        <f>IF($D92="","",IFERROR(VLOOKUP($B92,Kraftvärmeprod!$B$1:$BX$550,MATCH(O$2,Kraftvärmeprod!$B$1:$VX$1,0),FALSE)/1,0)-IFERROR(VLOOKUP($B92,'Slutlig allokering kvv'!$B$2:$BX$550,MATCH(O$2,'Slutlig allokering kvv'!$B$1:$BX$1,0),FALSE)/1,0))</f>
        <v>0</v>
      </c>
      <c r="P92" s="31">
        <f>IF($D92="","",IFERROR(VLOOKUP($B92,Kraftvärmeprod!$B$1:$BX$550,MATCH(P$2,Kraftvärmeprod!$B$1:$VX$1,0),FALSE)/1,0)-IFERROR(VLOOKUP($B92,'Slutlig allokering kvv'!$B$2:$BX$550,MATCH(P$2,'Slutlig allokering kvv'!$B$1:$BX$1,0),FALSE)/1,0))</f>
        <v>0</v>
      </c>
      <c r="Q92" s="31">
        <f>IF($D92="","",IFERROR(VLOOKUP($B92,Kraftvärmeprod!$B$1:$BX$550,MATCH(Q$2,Kraftvärmeprod!$B$1:$VX$1,0),FALSE)/1,0)-IFERROR(VLOOKUP($B92,'Slutlig allokering kvv'!$B$2:$BX$550,MATCH(Q$2,'Slutlig allokering kvv'!$B$1:$BX$1,0),FALSE)/1,0))</f>
        <v>4.7449999999999992</v>
      </c>
      <c r="R92" s="31">
        <f>IF($D92="","",IFERROR(VLOOKUP($B92,Kraftvärmeprod!$B$1:$BX$550,MATCH(R$2,Kraftvärmeprod!$B$1:$VX$1,0),FALSE)/1,0)-IFERROR(VLOOKUP($B92,'Slutlig allokering kvv'!$B$2:$BX$550,MATCH(R$2,'Slutlig allokering kvv'!$B$1:$BX$1,0),FALSE)/1,0))</f>
        <v>0</v>
      </c>
      <c r="S92" s="31">
        <f>IF($D92="","",IFERROR(VLOOKUP($B92,Kraftvärmeprod!$B$1:$BX$550,MATCH(S$2,Kraftvärmeprod!$B$1:$VX$1,0),FALSE)/1,0)-IFERROR(VLOOKUP($B92,'Slutlig allokering kvv'!$B$2:$BX$550,MATCH(S$2,'Slutlig allokering kvv'!$B$1:$BX$1,0),FALSE)/1,0))</f>
        <v>0</v>
      </c>
      <c r="T92" s="31">
        <f>IF($D92="","",IFERROR(VLOOKUP($B92,Kraftvärmeprod!$B$1:$BX$550,MATCH(T$2,Kraftvärmeprod!$B$1:$VX$1,0),FALSE)/1,0)-IFERROR(VLOOKUP($B92,'Slutlig allokering kvv'!$B$2:$BX$550,MATCH(T$2,'Slutlig allokering kvv'!$B$1:$BX$1,0),FALSE)/1,0))</f>
        <v>0</v>
      </c>
      <c r="U92" s="31">
        <f>IF($D92="","",IFERROR(VLOOKUP($B92,Kraftvärmeprod!$B$1:$BX$550,MATCH(U$2,Kraftvärmeprod!$B$1:$VX$1,0),FALSE)/1,0)-IFERROR(VLOOKUP($B92,'Slutlig allokering kvv'!$B$2:$BX$550,MATCH(U$2,'Slutlig allokering kvv'!$B$1:$BX$1,0),FALSE)/1,0))</f>
        <v>0</v>
      </c>
      <c r="V92" s="31">
        <f>IF($D92="","",IFERROR(VLOOKUP($B92,Kraftvärmeprod!$B$1:$BX$550,MATCH(V$2,Kraftvärmeprod!$B$1:$VX$1,0),FALSE)/1,0)-IFERROR(VLOOKUP($B92,'Slutlig allokering kvv'!$B$2:$BX$550,MATCH(V$2,'Slutlig allokering kvv'!$B$1:$BX$1,0),FALSE)/1,0))</f>
        <v>0</v>
      </c>
      <c r="W92" s="31">
        <f>IF($D92="","",IFERROR(VLOOKUP($B92,Kraftvärmeprod!$B$1:$BX$550,MATCH(W$2,Kraftvärmeprod!$B$1:$VX$1,0),FALSE)/1,0)-IFERROR(VLOOKUP($B92,'Slutlig allokering kvv'!$B$2:$BX$550,MATCH(W$2,'Slutlig allokering kvv'!$B$1:$BX$1,0),FALSE)/1,0))</f>
        <v>0</v>
      </c>
      <c r="X92" s="31">
        <f>IF($D92="","",IFERROR(VLOOKUP($B92,Kraftvärmeprod!$B$1:$BX$550,MATCH(X$2,Kraftvärmeprod!$B$1:$VX$1,0),FALSE)/1,0)-IFERROR(VLOOKUP($B92,'Slutlig allokering kvv'!$B$2:$BX$550,MATCH(X$2,'Slutlig allokering kvv'!$B$1:$BX$1,0),FALSE)/1,0))</f>
        <v>0.126</v>
      </c>
      <c r="Y92" s="31">
        <f>IF($D92="","",IFERROR(VLOOKUP($B92,Kraftvärmeprod!$B$1:$BX$550,MATCH(Y$2,Kraftvärmeprod!$B$1:$VX$1,0),FALSE)/1,0)-IFERROR(VLOOKUP($B92,'Slutlig allokering kvv'!$B$2:$BX$550,MATCH(Y$2,'Slutlig allokering kvv'!$B$1:$BX$1,0),FALSE)/1,0))</f>
        <v>0</v>
      </c>
      <c r="Z92" s="31">
        <f>IF($D92="","",IFERROR(VLOOKUP($B92,Kraftvärmeprod!$B$1:$BX$550,MATCH(Z$2,Kraftvärmeprod!$B$1:$VX$1,0),FALSE)/1,0)-IFERROR(VLOOKUP($B92,'Slutlig allokering kvv'!$B$2:$BX$550,MATCH(Z$2,'Slutlig allokering kvv'!$B$1:$BX$1,0),FALSE)/1,0))</f>
        <v>0</v>
      </c>
      <c r="AA92" s="31">
        <f>IF($D92="","",IFERROR(VLOOKUP($B92,Kraftvärmeprod!$B$1:$BX$550,MATCH(AA$2,Kraftvärmeprod!$B$1:$VX$1,0),FALSE)/1,0)-IFERROR(VLOOKUP($B92,'Slutlig allokering kvv'!$B$2:$BX$550,MATCH(AA$2,'Slutlig allokering kvv'!$B$1:$BX$1,0),FALSE)/1,0))</f>
        <v>0</v>
      </c>
      <c r="AB92" s="31">
        <f>IF($D92="","",IFERROR(VLOOKUP($B92,Kraftvärmeprod!$B$1:$BX$550,MATCH(AB$2,Kraftvärmeprod!$B$1:$VX$1,0),FALSE)/1,0)-IFERROR(VLOOKUP($B92,'Slutlig allokering kvv'!$B$2:$BX$550,MATCH(AB$2,'Slutlig allokering kvv'!$B$1:$BX$1,0),FALSE)/1,0))</f>
        <v>0</v>
      </c>
      <c r="AC92" s="31">
        <f>IF($D92="","",IFERROR(VLOOKUP($B92,Kraftvärmeprod!$B$1:$BX$550,MATCH(AC$2,Kraftvärmeprod!$B$1:$VX$1,0),FALSE)/1,0)-IFERROR(VLOOKUP($B92,'Slutlig allokering kvv'!$B$2:$BX$550,MATCH(AC$2,'Slutlig allokering kvv'!$B$1:$BX$1,0),FALSE)/1,0))</f>
        <v>0</v>
      </c>
      <c r="AD92" s="31">
        <f>IF($D92="","",IFERROR(VLOOKUP($B92,Kraftvärmeprod!$B$1:$BX$550,MATCH(AD$2,Kraftvärmeprod!$B$1:$VX$1,0),FALSE)/1,0)-IFERROR(VLOOKUP($B92,'Slutlig allokering kvv'!$B$2:$BX$550,MATCH(AD$2,'Slutlig allokering kvv'!$B$1:$BX$1,0),FALSE)/1,0))</f>
        <v>0</v>
      </c>
      <c r="AE92" s="31">
        <f>IF($D92="","",IFERROR(VLOOKUP($B92,Miljö!$B$1:$E$550,MATCH("Hjälpel kraftvärme (GWh)",Miljö!$B$1:$E$1,0),FALSE)/1,0)-IFERROR(VLOOKUP($B92,'Slutlig allokering kvv'!$B$2:$BX$549,MATCH(AE$2,'Slutlig allokering kvv'!$B$1:$BX$1,0),FALSE)/1,0))</f>
        <v>6.5000000000000002E-2</v>
      </c>
      <c r="AI92" s="39">
        <f t="shared" si="4"/>
        <v>44.217999999999989</v>
      </c>
      <c r="AK92" s="31">
        <f>IFERROR(VLOOKUP($B92,'Slutlig allokering kvv'!$B$2:$AX$549,MATCH("Summa slutlig allokerad tillförd energi (utan hjälpel och rökgaskondensering):",'Slutlig allokering kvv'!$B$1:$AX$1,0),FALSE)/1,"")</f>
        <v>134.19200000000001</v>
      </c>
      <c r="AM92" s="31">
        <f>IFERROR(1-VLOOKUP($B92,'Slutlig allokering kvv'!$B$2:$AX$549,MATCH("Andel av bränsle i kvv som allokerats till värme, exklusive rökgaskondensering och hjälpel",'Slutlig allokering kvv'!$B$1:$AX$1,0),FALSE),"")</f>
        <v>0.24784485174597826</v>
      </c>
      <c r="AO92" s="31">
        <f t="shared" si="5"/>
        <v>0.24784485174597831</v>
      </c>
      <c r="AP92" s="31">
        <f t="shared" si="6"/>
        <v>-5.5511151231257827E-17</v>
      </c>
      <c r="AR92" s="32">
        <f t="shared" si="7"/>
        <v>0.39518551137005181</v>
      </c>
    </row>
    <row r="93" spans="1:44" s="31" customFormat="1" x14ac:dyDescent="0.45">
      <c r="A93" s="31" t="s">
        <v>556</v>
      </c>
      <c r="B93" s="31" t="s">
        <v>558</v>
      </c>
      <c r="C93" s="31" t="str">
        <f>IFERROR(VLOOKUP($B93,Kraftvärmeprod!$B$1:$AH$479,MATCH(C$2,Kraftvärmeprod!$B$1:$AG$1,0),FALSE)/1,"")</f>
        <v/>
      </c>
      <c r="D93" s="31" t="str">
        <f>IFERROR(VLOOKUP($B93,Kraftvärmeprod!$B$1:$AH$479,MATCH(D$2,Kraftvärmeprod!$B$1:$AG$1,0),FALSE)/1,"")</f>
        <v/>
      </c>
      <c r="F93" s="31" t="str">
        <f>IF($D93="","",IFERROR(VLOOKUP($B93,Kraftvärmeprod!$B$1:$BX$550,MATCH(F$2,Kraftvärmeprod!$B$1:$VX$1,0),FALSE)/1,0)-IFERROR(VLOOKUP($B93,'Slutlig allokering kvv'!$B$2:$BX$550,MATCH(F$2,'Slutlig allokering kvv'!$B$1:$BX$1,0),FALSE)/1,0))</f>
        <v/>
      </c>
      <c r="G93" s="31" t="str">
        <f>IF($D93="","",IFERROR(VLOOKUP($B93,Kraftvärmeprod!$B$1:$BX$550,MATCH(G$2,Kraftvärmeprod!$B$1:$VX$1,0),FALSE)/1,0)-IFERROR(VLOOKUP($B93,'Slutlig allokering kvv'!$B$2:$BX$550,MATCH(G$2,'Slutlig allokering kvv'!$B$1:$BX$1,0),FALSE)/1,0))</f>
        <v/>
      </c>
      <c r="H93" s="31" t="str">
        <f>IF($D93="","",IFERROR(VLOOKUP($B93,Kraftvärmeprod!$B$1:$BX$550,MATCH(H$2,Kraftvärmeprod!$B$1:$VX$1,0),FALSE)/1,0)-IFERROR(VLOOKUP($B93,'Slutlig allokering kvv'!$B$2:$BX$550,MATCH(H$2,'Slutlig allokering kvv'!$B$1:$BX$1,0),FALSE)/1,0))</f>
        <v/>
      </c>
      <c r="I93" s="31" t="str">
        <f>IF($D93="","",IFERROR(VLOOKUP($B93,Kraftvärmeprod!$B$1:$BX$550,MATCH(I$2,Kraftvärmeprod!$B$1:$VX$1,0),FALSE)/1,0)-IFERROR(VLOOKUP($B93,'Slutlig allokering kvv'!$B$2:$BX$550,MATCH(I$2,'Slutlig allokering kvv'!$B$1:$BX$1,0),FALSE)/1,0))</f>
        <v/>
      </c>
      <c r="J93" s="31" t="str">
        <f>IF($D93="","",IFERROR(VLOOKUP($B93,Kraftvärmeprod!$B$1:$BX$550,MATCH(J$2,Kraftvärmeprod!$B$1:$VX$1,0),FALSE)/1,0)-IFERROR(VLOOKUP($B93,'Slutlig allokering kvv'!$B$2:$BX$550,MATCH(J$2,'Slutlig allokering kvv'!$B$1:$BX$1,0),FALSE)/1,0))</f>
        <v/>
      </c>
      <c r="K93" s="31" t="str">
        <f>IF($D93="","",IFERROR(VLOOKUP($B93,Kraftvärmeprod!$B$1:$BX$550,MATCH(K$2,Kraftvärmeprod!$B$1:$VX$1,0),FALSE)/1,0)-IFERROR(VLOOKUP($B93,'Slutlig allokering kvv'!$B$2:$BX$550,MATCH(K$2,'Slutlig allokering kvv'!$B$1:$BX$1,0),FALSE)/1,0))</f>
        <v/>
      </c>
      <c r="L93" s="31" t="str">
        <f>IF($D93="","",IFERROR(VLOOKUP($B93,Kraftvärmeprod!$B$1:$BX$550,MATCH(L$2,Kraftvärmeprod!$B$1:$VX$1,0),FALSE)/1,0)-IFERROR(VLOOKUP($B93,'Slutlig allokering kvv'!$B$2:$BX$550,MATCH(L$2,'Slutlig allokering kvv'!$B$1:$BX$1,0),FALSE)/1,0))</f>
        <v/>
      </c>
      <c r="M93" s="31" t="str">
        <f>IF($D93="","",IFERROR(VLOOKUP($B93,Kraftvärmeprod!$B$1:$BX$550,MATCH(M$2,Kraftvärmeprod!$B$1:$VX$1,0),FALSE)/1,0)-IFERROR(VLOOKUP($B93,'Slutlig allokering kvv'!$B$2:$BX$550,MATCH(M$2,'Slutlig allokering kvv'!$B$1:$BX$1,0),FALSE)/1,0))</f>
        <v/>
      </c>
      <c r="N93" s="31" t="str">
        <f>IF($D93="","",IFERROR(VLOOKUP($B93,Kraftvärmeprod!$B$1:$BX$550,MATCH(N$2,Kraftvärmeprod!$B$1:$VX$1,0),FALSE)/1,0)-IFERROR(VLOOKUP($B93,'Slutlig allokering kvv'!$B$2:$BX$550,MATCH(N$2,'Slutlig allokering kvv'!$B$1:$BX$1,0),FALSE)/1,0))</f>
        <v/>
      </c>
      <c r="O93" s="31" t="str">
        <f>IF($D93="","",IFERROR(VLOOKUP($B93,Kraftvärmeprod!$B$1:$BX$550,MATCH(O$2,Kraftvärmeprod!$B$1:$VX$1,0),FALSE)/1,0)-IFERROR(VLOOKUP($B93,'Slutlig allokering kvv'!$B$2:$BX$550,MATCH(O$2,'Slutlig allokering kvv'!$B$1:$BX$1,0),FALSE)/1,0))</f>
        <v/>
      </c>
      <c r="P93" s="31" t="str">
        <f>IF($D93="","",IFERROR(VLOOKUP($B93,Kraftvärmeprod!$B$1:$BX$550,MATCH(P$2,Kraftvärmeprod!$B$1:$VX$1,0),FALSE)/1,0)-IFERROR(VLOOKUP($B93,'Slutlig allokering kvv'!$B$2:$BX$550,MATCH(P$2,'Slutlig allokering kvv'!$B$1:$BX$1,0),FALSE)/1,0))</f>
        <v/>
      </c>
      <c r="Q93" s="31" t="str">
        <f>IF($D93="","",IFERROR(VLOOKUP($B93,Kraftvärmeprod!$B$1:$BX$550,MATCH(Q$2,Kraftvärmeprod!$B$1:$VX$1,0),FALSE)/1,0)-IFERROR(VLOOKUP($B93,'Slutlig allokering kvv'!$B$2:$BX$550,MATCH(Q$2,'Slutlig allokering kvv'!$B$1:$BX$1,0),FALSE)/1,0))</f>
        <v/>
      </c>
      <c r="R93" s="31" t="str">
        <f>IF($D93="","",IFERROR(VLOOKUP($B93,Kraftvärmeprod!$B$1:$BX$550,MATCH(R$2,Kraftvärmeprod!$B$1:$VX$1,0),FALSE)/1,0)-IFERROR(VLOOKUP($B93,'Slutlig allokering kvv'!$B$2:$BX$550,MATCH(R$2,'Slutlig allokering kvv'!$B$1:$BX$1,0),FALSE)/1,0))</f>
        <v/>
      </c>
      <c r="S93" s="31" t="str">
        <f>IF($D93="","",IFERROR(VLOOKUP($B93,Kraftvärmeprod!$B$1:$BX$550,MATCH(S$2,Kraftvärmeprod!$B$1:$VX$1,0),FALSE)/1,0)-IFERROR(VLOOKUP($B93,'Slutlig allokering kvv'!$B$2:$BX$550,MATCH(S$2,'Slutlig allokering kvv'!$B$1:$BX$1,0),FALSE)/1,0))</f>
        <v/>
      </c>
      <c r="T93" s="31" t="str">
        <f>IF($D93="","",IFERROR(VLOOKUP($B93,Kraftvärmeprod!$B$1:$BX$550,MATCH(T$2,Kraftvärmeprod!$B$1:$VX$1,0),FALSE)/1,0)-IFERROR(VLOOKUP($B93,'Slutlig allokering kvv'!$B$2:$BX$550,MATCH(T$2,'Slutlig allokering kvv'!$B$1:$BX$1,0),FALSE)/1,0))</f>
        <v/>
      </c>
      <c r="U93" s="31" t="str">
        <f>IF($D93="","",IFERROR(VLOOKUP($B93,Kraftvärmeprod!$B$1:$BX$550,MATCH(U$2,Kraftvärmeprod!$B$1:$VX$1,0),FALSE)/1,0)-IFERROR(VLOOKUP($B93,'Slutlig allokering kvv'!$B$2:$BX$550,MATCH(U$2,'Slutlig allokering kvv'!$B$1:$BX$1,0),FALSE)/1,0))</f>
        <v/>
      </c>
      <c r="V93" s="31" t="str">
        <f>IF($D93="","",IFERROR(VLOOKUP($B93,Kraftvärmeprod!$B$1:$BX$550,MATCH(V$2,Kraftvärmeprod!$B$1:$VX$1,0),FALSE)/1,0)-IFERROR(VLOOKUP($B93,'Slutlig allokering kvv'!$B$2:$BX$550,MATCH(V$2,'Slutlig allokering kvv'!$B$1:$BX$1,0),FALSE)/1,0))</f>
        <v/>
      </c>
      <c r="W93" s="31" t="str">
        <f>IF($D93="","",IFERROR(VLOOKUP($B93,Kraftvärmeprod!$B$1:$BX$550,MATCH(W$2,Kraftvärmeprod!$B$1:$VX$1,0),FALSE)/1,0)-IFERROR(VLOOKUP($B93,'Slutlig allokering kvv'!$B$2:$BX$550,MATCH(W$2,'Slutlig allokering kvv'!$B$1:$BX$1,0),FALSE)/1,0))</f>
        <v/>
      </c>
      <c r="X93" s="31" t="str">
        <f>IF($D93="","",IFERROR(VLOOKUP($B93,Kraftvärmeprod!$B$1:$BX$550,MATCH(X$2,Kraftvärmeprod!$B$1:$VX$1,0),FALSE)/1,0)-IFERROR(VLOOKUP($B93,'Slutlig allokering kvv'!$B$2:$BX$550,MATCH(X$2,'Slutlig allokering kvv'!$B$1:$BX$1,0),FALSE)/1,0))</f>
        <v/>
      </c>
      <c r="Y93" s="31" t="str">
        <f>IF($D93="","",IFERROR(VLOOKUP($B93,Kraftvärmeprod!$B$1:$BX$550,MATCH(Y$2,Kraftvärmeprod!$B$1:$VX$1,0),FALSE)/1,0)-IFERROR(VLOOKUP($B93,'Slutlig allokering kvv'!$B$2:$BX$550,MATCH(Y$2,'Slutlig allokering kvv'!$B$1:$BX$1,0),FALSE)/1,0))</f>
        <v/>
      </c>
      <c r="Z93" s="31" t="str">
        <f>IF($D93="","",IFERROR(VLOOKUP($B93,Kraftvärmeprod!$B$1:$BX$550,MATCH(Z$2,Kraftvärmeprod!$B$1:$VX$1,0),FALSE)/1,0)-IFERROR(VLOOKUP($B93,'Slutlig allokering kvv'!$B$2:$BX$550,MATCH(Z$2,'Slutlig allokering kvv'!$B$1:$BX$1,0),FALSE)/1,0))</f>
        <v/>
      </c>
      <c r="AA93" s="31" t="str">
        <f>IF($D93="","",IFERROR(VLOOKUP($B93,Kraftvärmeprod!$B$1:$BX$550,MATCH(AA$2,Kraftvärmeprod!$B$1:$VX$1,0),FALSE)/1,0)-IFERROR(VLOOKUP($B93,'Slutlig allokering kvv'!$B$2:$BX$550,MATCH(AA$2,'Slutlig allokering kvv'!$B$1:$BX$1,0),FALSE)/1,0))</f>
        <v/>
      </c>
      <c r="AB93" s="31" t="str">
        <f>IF($D93="","",IFERROR(VLOOKUP($B93,Kraftvärmeprod!$B$1:$BX$550,MATCH(AB$2,Kraftvärmeprod!$B$1:$VX$1,0),FALSE)/1,0)-IFERROR(VLOOKUP($B93,'Slutlig allokering kvv'!$B$2:$BX$550,MATCH(AB$2,'Slutlig allokering kvv'!$B$1:$BX$1,0),FALSE)/1,0))</f>
        <v/>
      </c>
      <c r="AC93" s="31" t="str">
        <f>IF($D93="","",IFERROR(VLOOKUP($B93,Kraftvärmeprod!$B$1:$BX$550,MATCH(AC$2,Kraftvärmeprod!$B$1:$VX$1,0),FALSE)/1,0)-IFERROR(VLOOKUP($B93,'Slutlig allokering kvv'!$B$2:$BX$550,MATCH(AC$2,'Slutlig allokering kvv'!$B$1:$BX$1,0),FALSE)/1,0))</f>
        <v/>
      </c>
      <c r="AD93" s="31" t="str">
        <f>IF($D93="","",IFERROR(VLOOKUP($B93,Kraftvärmeprod!$B$1:$BX$550,MATCH(AD$2,Kraftvärmeprod!$B$1:$VX$1,0),FALSE)/1,0)-IFERROR(VLOOKUP($B93,'Slutlig allokering kvv'!$B$2:$BX$550,MATCH(AD$2,'Slutlig allokering kvv'!$B$1:$BX$1,0),FALSE)/1,0))</f>
        <v/>
      </c>
      <c r="AE93" s="31" t="str">
        <f>IF($D93="","",IFERROR(VLOOKUP($B93,Miljö!$B$1:$E$550,MATCH("Hjälpel kraftvärme (GWh)",Miljö!$B$1:$E$1,0),FALSE)/1,0)-IFERROR(VLOOKUP($B93,'Slutlig allokering kvv'!$B$2:$BX$549,MATCH(AE$2,'Slutlig allokering kvv'!$B$1:$BX$1,0),FALSE)/1,0))</f>
        <v/>
      </c>
      <c r="AI93" s="39">
        <f t="shared" si="4"/>
        <v>0</v>
      </c>
      <c r="AK93" s="31">
        <f>IFERROR(VLOOKUP($B93,'Slutlig allokering kvv'!$B$2:$AX$549,MATCH("Summa slutlig allokerad tillförd energi (utan hjälpel och rökgaskondensering):",'Slutlig allokering kvv'!$B$1:$AX$1,0),FALSE)/1,"")</f>
        <v>0</v>
      </c>
      <c r="AM93" s="31" t="str">
        <f>IFERROR(1-VLOOKUP($B93,'Slutlig allokering kvv'!$B$2:$AX$549,MATCH("Andel av bränsle i kvv som allokerats till värme, exklusive rökgaskondensering och hjälpel",'Slutlig allokering kvv'!$B$1:$AX$1,0),FALSE),"")</f>
        <v/>
      </c>
      <c r="AO93" s="31" t="str">
        <f t="shared" si="5"/>
        <v/>
      </c>
      <c r="AP93" s="31" t="str">
        <f t="shared" si="6"/>
        <v/>
      </c>
      <c r="AR93" s="32" t="str">
        <f t="shared" si="7"/>
        <v/>
      </c>
    </row>
    <row r="94" spans="1:44" s="31" customFormat="1" x14ac:dyDescent="0.45">
      <c r="A94" s="31" t="s">
        <v>556</v>
      </c>
      <c r="B94" s="31" t="s">
        <v>555</v>
      </c>
      <c r="C94" s="31" t="str">
        <f>IFERROR(VLOOKUP($B94,Kraftvärmeprod!$B$1:$AH$479,MATCH(C$2,Kraftvärmeprod!$B$1:$AG$1,0),FALSE)/1,"")</f>
        <v/>
      </c>
      <c r="D94" s="31" t="str">
        <f>IFERROR(VLOOKUP($B94,Kraftvärmeprod!$B$1:$AH$479,MATCH(D$2,Kraftvärmeprod!$B$1:$AG$1,0),FALSE)/1,"")</f>
        <v/>
      </c>
      <c r="F94" s="31" t="str">
        <f>IF($D94="","",IFERROR(VLOOKUP($B94,Kraftvärmeprod!$B$1:$BX$550,MATCH(F$2,Kraftvärmeprod!$B$1:$VX$1,0),FALSE)/1,0)-IFERROR(VLOOKUP($B94,'Slutlig allokering kvv'!$B$2:$BX$550,MATCH(F$2,'Slutlig allokering kvv'!$B$1:$BX$1,0),FALSE)/1,0))</f>
        <v/>
      </c>
      <c r="G94" s="31" t="str">
        <f>IF($D94="","",IFERROR(VLOOKUP($B94,Kraftvärmeprod!$B$1:$BX$550,MATCH(G$2,Kraftvärmeprod!$B$1:$VX$1,0),FALSE)/1,0)-IFERROR(VLOOKUP($B94,'Slutlig allokering kvv'!$B$2:$BX$550,MATCH(G$2,'Slutlig allokering kvv'!$B$1:$BX$1,0),FALSE)/1,0))</f>
        <v/>
      </c>
      <c r="H94" s="31" t="str">
        <f>IF($D94="","",IFERROR(VLOOKUP($B94,Kraftvärmeprod!$B$1:$BX$550,MATCH(H$2,Kraftvärmeprod!$B$1:$VX$1,0),FALSE)/1,0)-IFERROR(VLOOKUP($B94,'Slutlig allokering kvv'!$B$2:$BX$550,MATCH(H$2,'Slutlig allokering kvv'!$B$1:$BX$1,0),FALSE)/1,0))</f>
        <v/>
      </c>
      <c r="I94" s="31" t="str">
        <f>IF($D94="","",IFERROR(VLOOKUP($B94,Kraftvärmeprod!$B$1:$BX$550,MATCH(I$2,Kraftvärmeprod!$B$1:$VX$1,0),FALSE)/1,0)-IFERROR(VLOOKUP($B94,'Slutlig allokering kvv'!$B$2:$BX$550,MATCH(I$2,'Slutlig allokering kvv'!$B$1:$BX$1,0),FALSE)/1,0))</f>
        <v/>
      </c>
      <c r="J94" s="31" t="str">
        <f>IF($D94="","",IFERROR(VLOOKUP($B94,Kraftvärmeprod!$B$1:$BX$550,MATCH(J$2,Kraftvärmeprod!$B$1:$VX$1,0),FALSE)/1,0)-IFERROR(VLOOKUP($B94,'Slutlig allokering kvv'!$B$2:$BX$550,MATCH(J$2,'Slutlig allokering kvv'!$B$1:$BX$1,0),FALSE)/1,0))</f>
        <v/>
      </c>
      <c r="K94" s="31" t="str">
        <f>IF($D94="","",IFERROR(VLOOKUP($B94,Kraftvärmeprod!$B$1:$BX$550,MATCH(K$2,Kraftvärmeprod!$B$1:$VX$1,0),FALSE)/1,0)-IFERROR(VLOOKUP($B94,'Slutlig allokering kvv'!$B$2:$BX$550,MATCH(K$2,'Slutlig allokering kvv'!$B$1:$BX$1,0),FALSE)/1,0))</f>
        <v/>
      </c>
      <c r="L94" s="31" t="str">
        <f>IF($D94="","",IFERROR(VLOOKUP($B94,Kraftvärmeprod!$B$1:$BX$550,MATCH(L$2,Kraftvärmeprod!$B$1:$VX$1,0),FALSE)/1,0)-IFERROR(VLOOKUP($B94,'Slutlig allokering kvv'!$B$2:$BX$550,MATCH(L$2,'Slutlig allokering kvv'!$B$1:$BX$1,0),FALSE)/1,0))</f>
        <v/>
      </c>
      <c r="M94" s="31" t="str">
        <f>IF($D94="","",IFERROR(VLOOKUP($B94,Kraftvärmeprod!$B$1:$BX$550,MATCH(M$2,Kraftvärmeprod!$B$1:$VX$1,0),FALSE)/1,0)-IFERROR(VLOOKUP($B94,'Slutlig allokering kvv'!$B$2:$BX$550,MATCH(M$2,'Slutlig allokering kvv'!$B$1:$BX$1,0),FALSE)/1,0))</f>
        <v/>
      </c>
      <c r="N94" s="31" t="str">
        <f>IF($D94="","",IFERROR(VLOOKUP($B94,Kraftvärmeprod!$B$1:$BX$550,MATCH(N$2,Kraftvärmeprod!$B$1:$VX$1,0),FALSE)/1,0)-IFERROR(VLOOKUP($B94,'Slutlig allokering kvv'!$B$2:$BX$550,MATCH(N$2,'Slutlig allokering kvv'!$B$1:$BX$1,0),FALSE)/1,0))</f>
        <v/>
      </c>
      <c r="O94" s="31" t="str">
        <f>IF($D94="","",IFERROR(VLOOKUP($B94,Kraftvärmeprod!$B$1:$BX$550,MATCH(O$2,Kraftvärmeprod!$B$1:$VX$1,0),FALSE)/1,0)-IFERROR(VLOOKUP($B94,'Slutlig allokering kvv'!$B$2:$BX$550,MATCH(O$2,'Slutlig allokering kvv'!$B$1:$BX$1,0),FALSE)/1,0))</f>
        <v/>
      </c>
      <c r="P94" s="31" t="str">
        <f>IF($D94="","",IFERROR(VLOOKUP($B94,Kraftvärmeprod!$B$1:$BX$550,MATCH(P$2,Kraftvärmeprod!$B$1:$VX$1,0),FALSE)/1,0)-IFERROR(VLOOKUP($B94,'Slutlig allokering kvv'!$B$2:$BX$550,MATCH(P$2,'Slutlig allokering kvv'!$B$1:$BX$1,0),FALSE)/1,0))</f>
        <v/>
      </c>
      <c r="Q94" s="31" t="str">
        <f>IF($D94="","",IFERROR(VLOOKUP($B94,Kraftvärmeprod!$B$1:$BX$550,MATCH(Q$2,Kraftvärmeprod!$B$1:$VX$1,0),FALSE)/1,0)-IFERROR(VLOOKUP($B94,'Slutlig allokering kvv'!$B$2:$BX$550,MATCH(Q$2,'Slutlig allokering kvv'!$B$1:$BX$1,0),FALSE)/1,0))</f>
        <v/>
      </c>
      <c r="R94" s="31" t="str">
        <f>IF($D94="","",IFERROR(VLOOKUP($B94,Kraftvärmeprod!$B$1:$BX$550,MATCH(R$2,Kraftvärmeprod!$B$1:$VX$1,0),FALSE)/1,0)-IFERROR(VLOOKUP($B94,'Slutlig allokering kvv'!$B$2:$BX$550,MATCH(R$2,'Slutlig allokering kvv'!$B$1:$BX$1,0),FALSE)/1,0))</f>
        <v/>
      </c>
      <c r="S94" s="31" t="str">
        <f>IF($D94="","",IFERROR(VLOOKUP($B94,Kraftvärmeprod!$B$1:$BX$550,MATCH(S$2,Kraftvärmeprod!$B$1:$VX$1,0),FALSE)/1,0)-IFERROR(VLOOKUP($B94,'Slutlig allokering kvv'!$B$2:$BX$550,MATCH(S$2,'Slutlig allokering kvv'!$B$1:$BX$1,0),FALSE)/1,0))</f>
        <v/>
      </c>
      <c r="T94" s="31" t="str">
        <f>IF($D94="","",IFERROR(VLOOKUP($B94,Kraftvärmeprod!$B$1:$BX$550,MATCH(T$2,Kraftvärmeprod!$B$1:$VX$1,0),FALSE)/1,0)-IFERROR(VLOOKUP($B94,'Slutlig allokering kvv'!$B$2:$BX$550,MATCH(T$2,'Slutlig allokering kvv'!$B$1:$BX$1,0),FALSE)/1,0))</f>
        <v/>
      </c>
      <c r="U94" s="31" t="str">
        <f>IF($D94="","",IFERROR(VLOOKUP($B94,Kraftvärmeprod!$B$1:$BX$550,MATCH(U$2,Kraftvärmeprod!$B$1:$VX$1,0),FALSE)/1,0)-IFERROR(VLOOKUP($B94,'Slutlig allokering kvv'!$B$2:$BX$550,MATCH(U$2,'Slutlig allokering kvv'!$B$1:$BX$1,0),FALSE)/1,0))</f>
        <v/>
      </c>
      <c r="V94" s="31" t="str">
        <f>IF($D94="","",IFERROR(VLOOKUP($B94,Kraftvärmeprod!$B$1:$BX$550,MATCH(V$2,Kraftvärmeprod!$B$1:$VX$1,0),FALSE)/1,0)-IFERROR(VLOOKUP($B94,'Slutlig allokering kvv'!$B$2:$BX$550,MATCH(V$2,'Slutlig allokering kvv'!$B$1:$BX$1,0),FALSE)/1,0))</f>
        <v/>
      </c>
      <c r="W94" s="31" t="str">
        <f>IF($D94="","",IFERROR(VLOOKUP($B94,Kraftvärmeprod!$B$1:$BX$550,MATCH(W$2,Kraftvärmeprod!$B$1:$VX$1,0),FALSE)/1,0)-IFERROR(VLOOKUP($B94,'Slutlig allokering kvv'!$B$2:$BX$550,MATCH(W$2,'Slutlig allokering kvv'!$B$1:$BX$1,0),FALSE)/1,0))</f>
        <v/>
      </c>
      <c r="X94" s="31" t="str">
        <f>IF($D94="","",IFERROR(VLOOKUP($B94,Kraftvärmeprod!$B$1:$BX$550,MATCH(X$2,Kraftvärmeprod!$B$1:$VX$1,0),FALSE)/1,0)-IFERROR(VLOOKUP($B94,'Slutlig allokering kvv'!$B$2:$BX$550,MATCH(X$2,'Slutlig allokering kvv'!$B$1:$BX$1,0),FALSE)/1,0))</f>
        <v/>
      </c>
      <c r="Y94" s="31" t="str">
        <f>IF($D94="","",IFERROR(VLOOKUP($B94,Kraftvärmeprod!$B$1:$BX$550,MATCH(Y$2,Kraftvärmeprod!$B$1:$VX$1,0),FALSE)/1,0)-IFERROR(VLOOKUP($B94,'Slutlig allokering kvv'!$B$2:$BX$550,MATCH(Y$2,'Slutlig allokering kvv'!$B$1:$BX$1,0),FALSE)/1,0))</f>
        <v/>
      </c>
      <c r="Z94" s="31" t="str">
        <f>IF($D94="","",IFERROR(VLOOKUP($B94,Kraftvärmeprod!$B$1:$BX$550,MATCH(Z$2,Kraftvärmeprod!$B$1:$VX$1,0),FALSE)/1,0)-IFERROR(VLOOKUP($B94,'Slutlig allokering kvv'!$B$2:$BX$550,MATCH(Z$2,'Slutlig allokering kvv'!$B$1:$BX$1,0),FALSE)/1,0))</f>
        <v/>
      </c>
      <c r="AA94" s="31" t="str">
        <f>IF($D94="","",IFERROR(VLOOKUP($B94,Kraftvärmeprod!$B$1:$BX$550,MATCH(AA$2,Kraftvärmeprod!$B$1:$VX$1,0),FALSE)/1,0)-IFERROR(VLOOKUP($B94,'Slutlig allokering kvv'!$B$2:$BX$550,MATCH(AA$2,'Slutlig allokering kvv'!$B$1:$BX$1,0),FALSE)/1,0))</f>
        <v/>
      </c>
      <c r="AB94" s="31" t="str">
        <f>IF($D94="","",IFERROR(VLOOKUP($B94,Kraftvärmeprod!$B$1:$BX$550,MATCH(AB$2,Kraftvärmeprod!$B$1:$VX$1,0),FALSE)/1,0)-IFERROR(VLOOKUP($B94,'Slutlig allokering kvv'!$B$2:$BX$550,MATCH(AB$2,'Slutlig allokering kvv'!$B$1:$BX$1,0),FALSE)/1,0))</f>
        <v/>
      </c>
      <c r="AC94" s="31" t="str">
        <f>IF($D94="","",IFERROR(VLOOKUP($B94,Kraftvärmeprod!$B$1:$BX$550,MATCH(AC$2,Kraftvärmeprod!$B$1:$VX$1,0),FALSE)/1,0)-IFERROR(VLOOKUP($B94,'Slutlig allokering kvv'!$B$2:$BX$550,MATCH(AC$2,'Slutlig allokering kvv'!$B$1:$BX$1,0),FALSE)/1,0))</f>
        <v/>
      </c>
      <c r="AD94" s="31" t="str">
        <f>IF($D94="","",IFERROR(VLOOKUP($B94,Kraftvärmeprod!$B$1:$BX$550,MATCH(AD$2,Kraftvärmeprod!$B$1:$VX$1,0),FALSE)/1,0)-IFERROR(VLOOKUP($B94,'Slutlig allokering kvv'!$B$2:$BX$550,MATCH(AD$2,'Slutlig allokering kvv'!$B$1:$BX$1,0),FALSE)/1,0))</f>
        <v/>
      </c>
      <c r="AE94" s="31" t="str">
        <f>IF($D94="","",IFERROR(VLOOKUP($B94,Miljö!$B$1:$E$550,MATCH("Hjälpel kraftvärme (GWh)",Miljö!$B$1:$E$1,0),FALSE)/1,0)-IFERROR(VLOOKUP($B94,'Slutlig allokering kvv'!$B$2:$BX$549,MATCH(AE$2,'Slutlig allokering kvv'!$B$1:$BX$1,0),FALSE)/1,0))</f>
        <v/>
      </c>
      <c r="AI94" s="39">
        <f t="shared" si="4"/>
        <v>0</v>
      </c>
      <c r="AK94" s="31">
        <f>IFERROR(VLOOKUP($B94,'Slutlig allokering kvv'!$B$2:$AX$549,MATCH("Summa slutlig allokerad tillförd energi (utan hjälpel och rökgaskondensering):",'Slutlig allokering kvv'!$B$1:$AX$1,0),FALSE)/1,"")</f>
        <v>0</v>
      </c>
      <c r="AM94" s="31" t="str">
        <f>IFERROR(1-VLOOKUP($B94,'Slutlig allokering kvv'!$B$2:$AX$549,MATCH("Andel av bränsle i kvv som allokerats till värme, exklusive rökgaskondensering och hjälpel",'Slutlig allokering kvv'!$B$1:$AX$1,0),FALSE),"")</f>
        <v/>
      </c>
      <c r="AO94" s="31" t="str">
        <f t="shared" si="5"/>
        <v/>
      </c>
      <c r="AP94" s="31" t="str">
        <f t="shared" si="6"/>
        <v/>
      </c>
      <c r="AR94" s="32" t="str">
        <f t="shared" si="7"/>
        <v/>
      </c>
    </row>
    <row r="95" spans="1:44" s="31" customFormat="1" x14ac:dyDescent="0.45">
      <c r="A95" s="31" t="s">
        <v>554</v>
      </c>
      <c r="B95" s="31" t="s">
        <v>553</v>
      </c>
      <c r="C95" s="31" t="str">
        <f>IFERROR(VLOOKUP($B95,Kraftvärmeprod!$B$1:$AH$479,MATCH(C$2,Kraftvärmeprod!$B$1:$AG$1,0),FALSE)/1,"")</f>
        <v/>
      </c>
      <c r="D95" s="31" t="str">
        <f>IFERROR(VLOOKUP($B95,Kraftvärmeprod!$B$1:$AH$479,MATCH(D$2,Kraftvärmeprod!$B$1:$AG$1,0),FALSE)/1,"")</f>
        <v/>
      </c>
      <c r="F95" s="31" t="str">
        <f>IF($D95="","",IFERROR(VLOOKUP($B95,Kraftvärmeprod!$B$1:$BX$550,MATCH(F$2,Kraftvärmeprod!$B$1:$VX$1,0),FALSE)/1,0)-IFERROR(VLOOKUP($B95,'Slutlig allokering kvv'!$B$2:$BX$550,MATCH(F$2,'Slutlig allokering kvv'!$B$1:$BX$1,0),FALSE)/1,0))</f>
        <v/>
      </c>
      <c r="G95" s="31" t="str">
        <f>IF($D95="","",IFERROR(VLOOKUP($B95,Kraftvärmeprod!$B$1:$BX$550,MATCH(G$2,Kraftvärmeprod!$B$1:$VX$1,0),FALSE)/1,0)-IFERROR(VLOOKUP($B95,'Slutlig allokering kvv'!$B$2:$BX$550,MATCH(G$2,'Slutlig allokering kvv'!$B$1:$BX$1,0),FALSE)/1,0))</f>
        <v/>
      </c>
      <c r="H95" s="31" t="str">
        <f>IF($D95="","",IFERROR(VLOOKUP($B95,Kraftvärmeprod!$B$1:$BX$550,MATCH(H$2,Kraftvärmeprod!$B$1:$VX$1,0),FALSE)/1,0)-IFERROR(VLOOKUP($B95,'Slutlig allokering kvv'!$B$2:$BX$550,MATCH(H$2,'Slutlig allokering kvv'!$B$1:$BX$1,0),FALSE)/1,0))</f>
        <v/>
      </c>
      <c r="I95" s="31" t="str">
        <f>IF($D95="","",IFERROR(VLOOKUP($B95,Kraftvärmeprod!$B$1:$BX$550,MATCH(I$2,Kraftvärmeprod!$B$1:$VX$1,0),FALSE)/1,0)-IFERROR(VLOOKUP($B95,'Slutlig allokering kvv'!$B$2:$BX$550,MATCH(I$2,'Slutlig allokering kvv'!$B$1:$BX$1,0),FALSE)/1,0))</f>
        <v/>
      </c>
      <c r="J95" s="31" t="str">
        <f>IF($D95="","",IFERROR(VLOOKUP($B95,Kraftvärmeprod!$B$1:$BX$550,MATCH(J$2,Kraftvärmeprod!$B$1:$VX$1,0),FALSE)/1,0)-IFERROR(VLOOKUP($B95,'Slutlig allokering kvv'!$B$2:$BX$550,MATCH(J$2,'Slutlig allokering kvv'!$B$1:$BX$1,0),FALSE)/1,0))</f>
        <v/>
      </c>
      <c r="K95" s="31" t="str">
        <f>IF($D95="","",IFERROR(VLOOKUP($B95,Kraftvärmeprod!$B$1:$BX$550,MATCH(K$2,Kraftvärmeprod!$B$1:$VX$1,0),FALSE)/1,0)-IFERROR(VLOOKUP($B95,'Slutlig allokering kvv'!$B$2:$BX$550,MATCH(K$2,'Slutlig allokering kvv'!$B$1:$BX$1,0),FALSE)/1,0))</f>
        <v/>
      </c>
      <c r="L95" s="31" t="str">
        <f>IF($D95="","",IFERROR(VLOOKUP($B95,Kraftvärmeprod!$B$1:$BX$550,MATCH(L$2,Kraftvärmeprod!$B$1:$VX$1,0),FALSE)/1,0)-IFERROR(VLOOKUP($B95,'Slutlig allokering kvv'!$B$2:$BX$550,MATCH(L$2,'Slutlig allokering kvv'!$B$1:$BX$1,0),FALSE)/1,0))</f>
        <v/>
      </c>
      <c r="M95" s="31" t="str">
        <f>IF($D95="","",IFERROR(VLOOKUP($B95,Kraftvärmeprod!$B$1:$BX$550,MATCH(M$2,Kraftvärmeprod!$B$1:$VX$1,0),FALSE)/1,0)-IFERROR(VLOOKUP($B95,'Slutlig allokering kvv'!$B$2:$BX$550,MATCH(M$2,'Slutlig allokering kvv'!$B$1:$BX$1,0),FALSE)/1,0))</f>
        <v/>
      </c>
      <c r="N95" s="31" t="str">
        <f>IF($D95="","",IFERROR(VLOOKUP($B95,Kraftvärmeprod!$B$1:$BX$550,MATCH(N$2,Kraftvärmeprod!$B$1:$VX$1,0),FALSE)/1,0)-IFERROR(VLOOKUP($B95,'Slutlig allokering kvv'!$B$2:$BX$550,MATCH(N$2,'Slutlig allokering kvv'!$B$1:$BX$1,0),FALSE)/1,0))</f>
        <v/>
      </c>
      <c r="O95" s="31" t="str">
        <f>IF($D95="","",IFERROR(VLOOKUP($B95,Kraftvärmeprod!$B$1:$BX$550,MATCH(O$2,Kraftvärmeprod!$B$1:$VX$1,0),FALSE)/1,0)-IFERROR(VLOOKUP($B95,'Slutlig allokering kvv'!$B$2:$BX$550,MATCH(O$2,'Slutlig allokering kvv'!$B$1:$BX$1,0),FALSE)/1,0))</f>
        <v/>
      </c>
      <c r="P95" s="31" t="str">
        <f>IF($D95="","",IFERROR(VLOOKUP($B95,Kraftvärmeprod!$B$1:$BX$550,MATCH(P$2,Kraftvärmeprod!$B$1:$VX$1,0),FALSE)/1,0)-IFERROR(VLOOKUP($B95,'Slutlig allokering kvv'!$B$2:$BX$550,MATCH(P$2,'Slutlig allokering kvv'!$B$1:$BX$1,0),FALSE)/1,0))</f>
        <v/>
      </c>
      <c r="Q95" s="31" t="str">
        <f>IF($D95="","",IFERROR(VLOOKUP($B95,Kraftvärmeprod!$B$1:$BX$550,MATCH(Q$2,Kraftvärmeprod!$B$1:$VX$1,0),FALSE)/1,0)-IFERROR(VLOOKUP($B95,'Slutlig allokering kvv'!$B$2:$BX$550,MATCH(Q$2,'Slutlig allokering kvv'!$B$1:$BX$1,0),FALSE)/1,0))</f>
        <v/>
      </c>
      <c r="R95" s="31" t="str">
        <f>IF($D95="","",IFERROR(VLOOKUP($B95,Kraftvärmeprod!$B$1:$BX$550,MATCH(R$2,Kraftvärmeprod!$B$1:$VX$1,0),FALSE)/1,0)-IFERROR(VLOOKUP($B95,'Slutlig allokering kvv'!$B$2:$BX$550,MATCH(R$2,'Slutlig allokering kvv'!$B$1:$BX$1,0),FALSE)/1,0))</f>
        <v/>
      </c>
      <c r="S95" s="31" t="str">
        <f>IF($D95="","",IFERROR(VLOOKUP($B95,Kraftvärmeprod!$B$1:$BX$550,MATCH(S$2,Kraftvärmeprod!$B$1:$VX$1,0),FALSE)/1,0)-IFERROR(VLOOKUP($B95,'Slutlig allokering kvv'!$B$2:$BX$550,MATCH(S$2,'Slutlig allokering kvv'!$B$1:$BX$1,0),FALSE)/1,0))</f>
        <v/>
      </c>
      <c r="T95" s="31" t="str">
        <f>IF($D95="","",IFERROR(VLOOKUP($B95,Kraftvärmeprod!$B$1:$BX$550,MATCH(T$2,Kraftvärmeprod!$B$1:$VX$1,0),FALSE)/1,0)-IFERROR(VLOOKUP($B95,'Slutlig allokering kvv'!$B$2:$BX$550,MATCH(T$2,'Slutlig allokering kvv'!$B$1:$BX$1,0),FALSE)/1,0))</f>
        <v/>
      </c>
      <c r="U95" s="31" t="str">
        <f>IF($D95="","",IFERROR(VLOOKUP($B95,Kraftvärmeprod!$B$1:$BX$550,MATCH(U$2,Kraftvärmeprod!$B$1:$VX$1,0),FALSE)/1,0)-IFERROR(VLOOKUP($B95,'Slutlig allokering kvv'!$B$2:$BX$550,MATCH(U$2,'Slutlig allokering kvv'!$B$1:$BX$1,0),FALSE)/1,0))</f>
        <v/>
      </c>
      <c r="V95" s="31" t="str">
        <f>IF($D95="","",IFERROR(VLOOKUP($B95,Kraftvärmeprod!$B$1:$BX$550,MATCH(V$2,Kraftvärmeprod!$B$1:$VX$1,0),FALSE)/1,0)-IFERROR(VLOOKUP($B95,'Slutlig allokering kvv'!$B$2:$BX$550,MATCH(V$2,'Slutlig allokering kvv'!$B$1:$BX$1,0),FALSE)/1,0))</f>
        <v/>
      </c>
      <c r="W95" s="31" t="str">
        <f>IF($D95="","",IFERROR(VLOOKUP($B95,Kraftvärmeprod!$B$1:$BX$550,MATCH(W$2,Kraftvärmeprod!$B$1:$VX$1,0),FALSE)/1,0)-IFERROR(VLOOKUP($B95,'Slutlig allokering kvv'!$B$2:$BX$550,MATCH(W$2,'Slutlig allokering kvv'!$B$1:$BX$1,0),FALSE)/1,0))</f>
        <v/>
      </c>
      <c r="X95" s="31" t="str">
        <f>IF($D95="","",IFERROR(VLOOKUP($B95,Kraftvärmeprod!$B$1:$BX$550,MATCH(X$2,Kraftvärmeprod!$B$1:$VX$1,0),FALSE)/1,0)-IFERROR(VLOOKUP($B95,'Slutlig allokering kvv'!$B$2:$BX$550,MATCH(X$2,'Slutlig allokering kvv'!$B$1:$BX$1,0),FALSE)/1,0))</f>
        <v/>
      </c>
      <c r="Y95" s="31" t="str">
        <f>IF($D95="","",IFERROR(VLOOKUP($B95,Kraftvärmeprod!$B$1:$BX$550,MATCH(Y$2,Kraftvärmeprod!$B$1:$VX$1,0),FALSE)/1,0)-IFERROR(VLOOKUP($B95,'Slutlig allokering kvv'!$B$2:$BX$550,MATCH(Y$2,'Slutlig allokering kvv'!$B$1:$BX$1,0),FALSE)/1,0))</f>
        <v/>
      </c>
      <c r="Z95" s="31" t="str">
        <f>IF($D95="","",IFERROR(VLOOKUP($B95,Kraftvärmeprod!$B$1:$BX$550,MATCH(Z$2,Kraftvärmeprod!$B$1:$VX$1,0),FALSE)/1,0)-IFERROR(VLOOKUP($B95,'Slutlig allokering kvv'!$B$2:$BX$550,MATCH(Z$2,'Slutlig allokering kvv'!$B$1:$BX$1,0),FALSE)/1,0))</f>
        <v/>
      </c>
      <c r="AA95" s="31" t="str">
        <f>IF($D95="","",IFERROR(VLOOKUP($B95,Kraftvärmeprod!$B$1:$BX$550,MATCH(AA$2,Kraftvärmeprod!$B$1:$VX$1,0),FALSE)/1,0)-IFERROR(VLOOKUP($B95,'Slutlig allokering kvv'!$B$2:$BX$550,MATCH(AA$2,'Slutlig allokering kvv'!$B$1:$BX$1,0),FALSE)/1,0))</f>
        <v/>
      </c>
      <c r="AB95" s="31" t="str">
        <f>IF($D95="","",IFERROR(VLOOKUP($B95,Kraftvärmeprod!$B$1:$BX$550,MATCH(AB$2,Kraftvärmeprod!$B$1:$VX$1,0),FALSE)/1,0)-IFERROR(VLOOKUP($B95,'Slutlig allokering kvv'!$B$2:$BX$550,MATCH(AB$2,'Slutlig allokering kvv'!$B$1:$BX$1,0),FALSE)/1,0))</f>
        <v/>
      </c>
      <c r="AC95" s="31" t="str">
        <f>IF($D95="","",IFERROR(VLOOKUP($B95,Kraftvärmeprod!$B$1:$BX$550,MATCH(AC$2,Kraftvärmeprod!$B$1:$VX$1,0),FALSE)/1,0)-IFERROR(VLOOKUP($B95,'Slutlig allokering kvv'!$B$2:$BX$550,MATCH(AC$2,'Slutlig allokering kvv'!$B$1:$BX$1,0),FALSE)/1,0))</f>
        <v/>
      </c>
      <c r="AD95" s="31" t="str">
        <f>IF($D95="","",IFERROR(VLOOKUP($B95,Kraftvärmeprod!$B$1:$BX$550,MATCH(AD$2,Kraftvärmeprod!$B$1:$VX$1,0),FALSE)/1,0)-IFERROR(VLOOKUP($B95,'Slutlig allokering kvv'!$B$2:$BX$550,MATCH(AD$2,'Slutlig allokering kvv'!$B$1:$BX$1,0),FALSE)/1,0))</f>
        <v/>
      </c>
      <c r="AE95" s="31" t="str">
        <f>IF($D95="","",IFERROR(VLOOKUP($B95,Miljö!$B$1:$E$550,MATCH("Hjälpel kraftvärme (GWh)",Miljö!$B$1:$E$1,0),FALSE)/1,0)-IFERROR(VLOOKUP($B95,'Slutlig allokering kvv'!$B$2:$BX$549,MATCH(AE$2,'Slutlig allokering kvv'!$B$1:$BX$1,0),FALSE)/1,0))</f>
        <v/>
      </c>
      <c r="AI95" s="39">
        <f t="shared" si="4"/>
        <v>0</v>
      </c>
      <c r="AK95" s="31">
        <f>IFERROR(VLOOKUP($B95,'Slutlig allokering kvv'!$B$2:$AX$549,MATCH("Summa slutlig allokerad tillförd energi (utan hjälpel och rökgaskondensering):",'Slutlig allokering kvv'!$B$1:$AX$1,0),FALSE)/1,"")</f>
        <v>0</v>
      </c>
      <c r="AM95" s="31" t="str">
        <f>IFERROR(1-VLOOKUP($B95,'Slutlig allokering kvv'!$B$2:$AX$549,MATCH("Andel av bränsle i kvv som allokerats till värme, exklusive rökgaskondensering och hjälpel",'Slutlig allokering kvv'!$B$1:$AX$1,0),FALSE),"")</f>
        <v/>
      </c>
      <c r="AO95" s="31" t="str">
        <f t="shared" si="5"/>
        <v/>
      </c>
      <c r="AP95" s="31" t="str">
        <f t="shared" si="6"/>
        <v/>
      </c>
      <c r="AR95" s="32" t="str">
        <f t="shared" si="7"/>
        <v/>
      </c>
    </row>
    <row r="96" spans="1:44" s="31" customFormat="1" x14ac:dyDescent="0.45">
      <c r="A96" s="31" t="s">
        <v>550</v>
      </c>
      <c r="B96" s="31" t="s">
        <v>551</v>
      </c>
      <c r="C96" s="31" t="str">
        <f>IFERROR(VLOOKUP($B96,Kraftvärmeprod!$B$1:$AH$479,MATCH(C$2,Kraftvärmeprod!$B$1:$AG$1,0),FALSE)/1,"")</f>
        <v/>
      </c>
      <c r="D96" s="31" t="str">
        <f>IFERROR(VLOOKUP($B96,Kraftvärmeprod!$B$1:$AH$479,MATCH(D$2,Kraftvärmeprod!$B$1:$AG$1,0),FALSE)/1,"")</f>
        <v/>
      </c>
      <c r="F96" s="31" t="str">
        <f>IF($D96="","",IFERROR(VLOOKUP($B96,Kraftvärmeprod!$B$1:$BX$550,MATCH(F$2,Kraftvärmeprod!$B$1:$VX$1,0),FALSE)/1,0)-IFERROR(VLOOKUP($B96,'Slutlig allokering kvv'!$B$2:$BX$550,MATCH(F$2,'Slutlig allokering kvv'!$B$1:$BX$1,0),FALSE)/1,0))</f>
        <v/>
      </c>
      <c r="G96" s="31" t="str">
        <f>IF($D96="","",IFERROR(VLOOKUP($B96,Kraftvärmeprod!$B$1:$BX$550,MATCH(G$2,Kraftvärmeprod!$B$1:$VX$1,0),FALSE)/1,0)-IFERROR(VLOOKUP($B96,'Slutlig allokering kvv'!$B$2:$BX$550,MATCH(G$2,'Slutlig allokering kvv'!$B$1:$BX$1,0),FALSE)/1,0))</f>
        <v/>
      </c>
      <c r="H96" s="31" t="str">
        <f>IF($D96="","",IFERROR(VLOOKUP($B96,Kraftvärmeprod!$B$1:$BX$550,MATCH(H$2,Kraftvärmeprod!$B$1:$VX$1,0),FALSE)/1,0)-IFERROR(VLOOKUP($B96,'Slutlig allokering kvv'!$B$2:$BX$550,MATCH(H$2,'Slutlig allokering kvv'!$B$1:$BX$1,0),FALSE)/1,0))</f>
        <v/>
      </c>
      <c r="I96" s="31" t="str">
        <f>IF($D96="","",IFERROR(VLOOKUP($B96,Kraftvärmeprod!$B$1:$BX$550,MATCH(I$2,Kraftvärmeprod!$B$1:$VX$1,0),FALSE)/1,0)-IFERROR(VLOOKUP($B96,'Slutlig allokering kvv'!$B$2:$BX$550,MATCH(I$2,'Slutlig allokering kvv'!$B$1:$BX$1,0),FALSE)/1,0))</f>
        <v/>
      </c>
      <c r="J96" s="31" t="str">
        <f>IF($D96="","",IFERROR(VLOOKUP($B96,Kraftvärmeprod!$B$1:$BX$550,MATCH(J$2,Kraftvärmeprod!$B$1:$VX$1,0),FALSE)/1,0)-IFERROR(VLOOKUP($B96,'Slutlig allokering kvv'!$B$2:$BX$550,MATCH(J$2,'Slutlig allokering kvv'!$B$1:$BX$1,0),FALSE)/1,0))</f>
        <v/>
      </c>
      <c r="K96" s="31" t="str">
        <f>IF($D96="","",IFERROR(VLOOKUP($B96,Kraftvärmeprod!$B$1:$BX$550,MATCH(K$2,Kraftvärmeprod!$B$1:$VX$1,0),FALSE)/1,0)-IFERROR(VLOOKUP($B96,'Slutlig allokering kvv'!$B$2:$BX$550,MATCH(K$2,'Slutlig allokering kvv'!$B$1:$BX$1,0),FALSE)/1,0))</f>
        <v/>
      </c>
      <c r="L96" s="31" t="str">
        <f>IF($D96="","",IFERROR(VLOOKUP($B96,Kraftvärmeprod!$B$1:$BX$550,MATCH(L$2,Kraftvärmeprod!$B$1:$VX$1,0),FALSE)/1,0)-IFERROR(VLOOKUP($B96,'Slutlig allokering kvv'!$B$2:$BX$550,MATCH(L$2,'Slutlig allokering kvv'!$B$1:$BX$1,0),FALSE)/1,0))</f>
        <v/>
      </c>
      <c r="M96" s="31" t="str">
        <f>IF($D96="","",IFERROR(VLOOKUP($B96,Kraftvärmeprod!$B$1:$BX$550,MATCH(M$2,Kraftvärmeprod!$B$1:$VX$1,0),FALSE)/1,0)-IFERROR(VLOOKUP($B96,'Slutlig allokering kvv'!$B$2:$BX$550,MATCH(M$2,'Slutlig allokering kvv'!$B$1:$BX$1,0),FALSE)/1,0))</f>
        <v/>
      </c>
      <c r="N96" s="31" t="str">
        <f>IF($D96="","",IFERROR(VLOOKUP($B96,Kraftvärmeprod!$B$1:$BX$550,MATCH(N$2,Kraftvärmeprod!$B$1:$VX$1,0),FALSE)/1,0)-IFERROR(VLOOKUP($B96,'Slutlig allokering kvv'!$B$2:$BX$550,MATCH(N$2,'Slutlig allokering kvv'!$B$1:$BX$1,0),FALSE)/1,0))</f>
        <v/>
      </c>
      <c r="O96" s="31" t="str">
        <f>IF($D96="","",IFERROR(VLOOKUP($B96,Kraftvärmeprod!$B$1:$BX$550,MATCH(O$2,Kraftvärmeprod!$B$1:$VX$1,0),FALSE)/1,0)-IFERROR(VLOOKUP($B96,'Slutlig allokering kvv'!$B$2:$BX$550,MATCH(O$2,'Slutlig allokering kvv'!$B$1:$BX$1,0),FALSE)/1,0))</f>
        <v/>
      </c>
      <c r="P96" s="31" t="str">
        <f>IF($D96="","",IFERROR(VLOOKUP($B96,Kraftvärmeprod!$B$1:$BX$550,MATCH(P$2,Kraftvärmeprod!$B$1:$VX$1,0),FALSE)/1,0)-IFERROR(VLOOKUP($B96,'Slutlig allokering kvv'!$B$2:$BX$550,MATCH(P$2,'Slutlig allokering kvv'!$B$1:$BX$1,0),FALSE)/1,0))</f>
        <v/>
      </c>
      <c r="Q96" s="31" t="str">
        <f>IF($D96="","",IFERROR(VLOOKUP($B96,Kraftvärmeprod!$B$1:$BX$550,MATCH(Q$2,Kraftvärmeprod!$B$1:$VX$1,0),FALSE)/1,0)-IFERROR(VLOOKUP($B96,'Slutlig allokering kvv'!$B$2:$BX$550,MATCH(Q$2,'Slutlig allokering kvv'!$B$1:$BX$1,0),FALSE)/1,0))</f>
        <v/>
      </c>
      <c r="R96" s="31" t="str">
        <f>IF($D96="","",IFERROR(VLOOKUP($B96,Kraftvärmeprod!$B$1:$BX$550,MATCH(R$2,Kraftvärmeprod!$B$1:$VX$1,0),FALSE)/1,0)-IFERROR(VLOOKUP($B96,'Slutlig allokering kvv'!$B$2:$BX$550,MATCH(R$2,'Slutlig allokering kvv'!$B$1:$BX$1,0),FALSE)/1,0))</f>
        <v/>
      </c>
      <c r="S96" s="31" t="str">
        <f>IF($D96="","",IFERROR(VLOOKUP($B96,Kraftvärmeprod!$B$1:$BX$550,MATCH(S$2,Kraftvärmeprod!$B$1:$VX$1,0),FALSE)/1,0)-IFERROR(VLOOKUP($B96,'Slutlig allokering kvv'!$B$2:$BX$550,MATCH(S$2,'Slutlig allokering kvv'!$B$1:$BX$1,0),FALSE)/1,0))</f>
        <v/>
      </c>
      <c r="T96" s="31" t="str">
        <f>IF($D96="","",IFERROR(VLOOKUP($B96,Kraftvärmeprod!$B$1:$BX$550,MATCH(T$2,Kraftvärmeprod!$B$1:$VX$1,0),FALSE)/1,0)-IFERROR(VLOOKUP($B96,'Slutlig allokering kvv'!$B$2:$BX$550,MATCH(T$2,'Slutlig allokering kvv'!$B$1:$BX$1,0),FALSE)/1,0))</f>
        <v/>
      </c>
      <c r="U96" s="31" t="str">
        <f>IF($D96="","",IFERROR(VLOOKUP($B96,Kraftvärmeprod!$B$1:$BX$550,MATCH(U$2,Kraftvärmeprod!$B$1:$VX$1,0),FALSE)/1,0)-IFERROR(VLOOKUP($B96,'Slutlig allokering kvv'!$B$2:$BX$550,MATCH(U$2,'Slutlig allokering kvv'!$B$1:$BX$1,0),FALSE)/1,0))</f>
        <v/>
      </c>
      <c r="V96" s="31" t="str">
        <f>IF($D96="","",IFERROR(VLOOKUP($B96,Kraftvärmeprod!$B$1:$BX$550,MATCH(V$2,Kraftvärmeprod!$B$1:$VX$1,0),FALSE)/1,0)-IFERROR(VLOOKUP($B96,'Slutlig allokering kvv'!$B$2:$BX$550,MATCH(V$2,'Slutlig allokering kvv'!$B$1:$BX$1,0),FALSE)/1,0))</f>
        <v/>
      </c>
      <c r="W96" s="31" t="str">
        <f>IF($D96="","",IFERROR(VLOOKUP($B96,Kraftvärmeprod!$B$1:$BX$550,MATCH(W$2,Kraftvärmeprod!$B$1:$VX$1,0),FALSE)/1,0)-IFERROR(VLOOKUP($B96,'Slutlig allokering kvv'!$B$2:$BX$550,MATCH(W$2,'Slutlig allokering kvv'!$B$1:$BX$1,0),FALSE)/1,0))</f>
        <v/>
      </c>
      <c r="X96" s="31" t="str">
        <f>IF($D96="","",IFERROR(VLOOKUP($B96,Kraftvärmeprod!$B$1:$BX$550,MATCH(X$2,Kraftvärmeprod!$B$1:$VX$1,0),FALSE)/1,0)-IFERROR(VLOOKUP($B96,'Slutlig allokering kvv'!$B$2:$BX$550,MATCH(X$2,'Slutlig allokering kvv'!$B$1:$BX$1,0),FALSE)/1,0))</f>
        <v/>
      </c>
      <c r="Y96" s="31" t="str">
        <f>IF($D96="","",IFERROR(VLOOKUP($B96,Kraftvärmeprod!$B$1:$BX$550,MATCH(Y$2,Kraftvärmeprod!$B$1:$VX$1,0),FALSE)/1,0)-IFERROR(VLOOKUP($B96,'Slutlig allokering kvv'!$B$2:$BX$550,MATCH(Y$2,'Slutlig allokering kvv'!$B$1:$BX$1,0),FALSE)/1,0))</f>
        <v/>
      </c>
      <c r="Z96" s="31" t="str">
        <f>IF($D96="","",IFERROR(VLOOKUP($B96,Kraftvärmeprod!$B$1:$BX$550,MATCH(Z$2,Kraftvärmeprod!$B$1:$VX$1,0),FALSE)/1,0)-IFERROR(VLOOKUP($B96,'Slutlig allokering kvv'!$B$2:$BX$550,MATCH(Z$2,'Slutlig allokering kvv'!$B$1:$BX$1,0),FALSE)/1,0))</f>
        <v/>
      </c>
      <c r="AA96" s="31" t="str">
        <f>IF($D96="","",IFERROR(VLOOKUP($B96,Kraftvärmeprod!$B$1:$BX$550,MATCH(AA$2,Kraftvärmeprod!$B$1:$VX$1,0),FALSE)/1,0)-IFERROR(VLOOKUP($B96,'Slutlig allokering kvv'!$B$2:$BX$550,MATCH(AA$2,'Slutlig allokering kvv'!$B$1:$BX$1,0),FALSE)/1,0))</f>
        <v/>
      </c>
      <c r="AB96" s="31" t="str">
        <f>IF($D96="","",IFERROR(VLOOKUP($B96,Kraftvärmeprod!$B$1:$BX$550,MATCH(AB$2,Kraftvärmeprod!$B$1:$VX$1,0),FALSE)/1,0)-IFERROR(VLOOKUP($B96,'Slutlig allokering kvv'!$B$2:$BX$550,MATCH(AB$2,'Slutlig allokering kvv'!$B$1:$BX$1,0),FALSE)/1,0))</f>
        <v/>
      </c>
      <c r="AC96" s="31" t="str">
        <f>IF($D96="","",IFERROR(VLOOKUP($B96,Kraftvärmeprod!$B$1:$BX$550,MATCH(AC$2,Kraftvärmeprod!$B$1:$VX$1,0),FALSE)/1,0)-IFERROR(VLOOKUP($B96,'Slutlig allokering kvv'!$B$2:$BX$550,MATCH(AC$2,'Slutlig allokering kvv'!$B$1:$BX$1,0),FALSE)/1,0))</f>
        <v/>
      </c>
      <c r="AD96" s="31" t="str">
        <f>IF($D96="","",IFERROR(VLOOKUP($B96,Kraftvärmeprod!$B$1:$BX$550,MATCH(AD$2,Kraftvärmeprod!$B$1:$VX$1,0),FALSE)/1,0)-IFERROR(VLOOKUP($B96,'Slutlig allokering kvv'!$B$2:$BX$550,MATCH(AD$2,'Slutlig allokering kvv'!$B$1:$BX$1,0),FALSE)/1,0))</f>
        <v/>
      </c>
      <c r="AE96" s="31" t="str">
        <f>IF($D96="","",IFERROR(VLOOKUP($B96,Miljö!$B$1:$E$550,MATCH("Hjälpel kraftvärme (GWh)",Miljö!$B$1:$E$1,0),FALSE)/1,0)-IFERROR(VLOOKUP($B96,'Slutlig allokering kvv'!$B$2:$BX$549,MATCH(AE$2,'Slutlig allokering kvv'!$B$1:$BX$1,0),FALSE)/1,0))</f>
        <v/>
      </c>
      <c r="AI96" s="39">
        <f t="shared" si="4"/>
        <v>0</v>
      </c>
      <c r="AK96" s="31">
        <f>IFERROR(VLOOKUP($B96,'Slutlig allokering kvv'!$B$2:$AX$549,MATCH("Summa slutlig allokerad tillförd energi (utan hjälpel och rökgaskondensering):",'Slutlig allokering kvv'!$B$1:$AX$1,0),FALSE)/1,"")</f>
        <v>0</v>
      </c>
      <c r="AM96" s="31" t="str">
        <f>IFERROR(1-VLOOKUP($B96,'Slutlig allokering kvv'!$B$2:$AX$549,MATCH("Andel av bränsle i kvv som allokerats till värme, exklusive rökgaskondensering och hjälpel",'Slutlig allokering kvv'!$B$1:$AX$1,0),FALSE),"")</f>
        <v/>
      </c>
      <c r="AO96" s="31" t="str">
        <f t="shared" si="5"/>
        <v/>
      </c>
      <c r="AP96" s="31" t="str">
        <f t="shared" si="6"/>
        <v/>
      </c>
      <c r="AR96" s="32" t="str">
        <f t="shared" si="7"/>
        <v/>
      </c>
    </row>
    <row r="97" spans="1:44" s="31" customFormat="1" x14ac:dyDescent="0.45">
      <c r="A97" s="31" t="s">
        <v>550</v>
      </c>
      <c r="B97" s="31" t="s">
        <v>552</v>
      </c>
      <c r="C97" s="31" t="str">
        <f>IFERROR(VLOOKUP($B97,Kraftvärmeprod!$B$1:$AH$479,MATCH(C$2,Kraftvärmeprod!$B$1:$AG$1,0),FALSE)/1,"")</f>
        <v/>
      </c>
      <c r="D97" s="31" t="str">
        <f>IFERROR(VLOOKUP($B97,Kraftvärmeprod!$B$1:$AH$479,MATCH(D$2,Kraftvärmeprod!$B$1:$AG$1,0),FALSE)/1,"")</f>
        <v/>
      </c>
      <c r="F97" s="31" t="str">
        <f>IF($D97="","",IFERROR(VLOOKUP($B97,Kraftvärmeprod!$B$1:$BX$550,MATCH(F$2,Kraftvärmeprod!$B$1:$VX$1,0),FALSE)/1,0)-IFERROR(VLOOKUP($B97,'Slutlig allokering kvv'!$B$2:$BX$550,MATCH(F$2,'Slutlig allokering kvv'!$B$1:$BX$1,0),FALSE)/1,0))</f>
        <v/>
      </c>
      <c r="G97" s="31" t="str">
        <f>IF($D97="","",IFERROR(VLOOKUP($B97,Kraftvärmeprod!$B$1:$BX$550,MATCH(G$2,Kraftvärmeprod!$B$1:$VX$1,0),FALSE)/1,0)-IFERROR(VLOOKUP($B97,'Slutlig allokering kvv'!$B$2:$BX$550,MATCH(G$2,'Slutlig allokering kvv'!$B$1:$BX$1,0),FALSE)/1,0))</f>
        <v/>
      </c>
      <c r="H97" s="31" t="str">
        <f>IF($D97="","",IFERROR(VLOOKUP($B97,Kraftvärmeprod!$B$1:$BX$550,MATCH(H$2,Kraftvärmeprod!$B$1:$VX$1,0),FALSE)/1,0)-IFERROR(VLOOKUP($B97,'Slutlig allokering kvv'!$B$2:$BX$550,MATCH(H$2,'Slutlig allokering kvv'!$B$1:$BX$1,0),FALSE)/1,0))</f>
        <v/>
      </c>
      <c r="I97" s="31" t="str">
        <f>IF($D97="","",IFERROR(VLOOKUP($B97,Kraftvärmeprod!$B$1:$BX$550,MATCH(I$2,Kraftvärmeprod!$B$1:$VX$1,0),FALSE)/1,0)-IFERROR(VLOOKUP($B97,'Slutlig allokering kvv'!$B$2:$BX$550,MATCH(I$2,'Slutlig allokering kvv'!$B$1:$BX$1,0),FALSE)/1,0))</f>
        <v/>
      </c>
      <c r="J97" s="31" t="str">
        <f>IF($D97="","",IFERROR(VLOOKUP($B97,Kraftvärmeprod!$B$1:$BX$550,MATCH(J$2,Kraftvärmeprod!$B$1:$VX$1,0),FALSE)/1,0)-IFERROR(VLOOKUP($B97,'Slutlig allokering kvv'!$B$2:$BX$550,MATCH(J$2,'Slutlig allokering kvv'!$B$1:$BX$1,0),FALSE)/1,0))</f>
        <v/>
      </c>
      <c r="K97" s="31" t="str">
        <f>IF($D97="","",IFERROR(VLOOKUP($B97,Kraftvärmeprod!$B$1:$BX$550,MATCH(K$2,Kraftvärmeprod!$B$1:$VX$1,0),FALSE)/1,0)-IFERROR(VLOOKUP($B97,'Slutlig allokering kvv'!$B$2:$BX$550,MATCH(K$2,'Slutlig allokering kvv'!$B$1:$BX$1,0),FALSE)/1,0))</f>
        <v/>
      </c>
      <c r="L97" s="31" t="str">
        <f>IF($D97="","",IFERROR(VLOOKUP($B97,Kraftvärmeprod!$B$1:$BX$550,MATCH(L$2,Kraftvärmeprod!$B$1:$VX$1,0),FALSE)/1,0)-IFERROR(VLOOKUP($B97,'Slutlig allokering kvv'!$B$2:$BX$550,MATCH(L$2,'Slutlig allokering kvv'!$B$1:$BX$1,0),FALSE)/1,0))</f>
        <v/>
      </c>
      <c r="M97" s="31" t="str">
        <f>IF($D97="","",IFERROR(VLOOKUP($B97,Kraftvärmeprod!$B$1:$BX$550,MATCH(M$2,Kraftvärmeprod!$B$1:$VX$1,0),FALSE)/1,0)-IFERROR(VLOOKUP($B97,'Slutlig allokering kvv'!$B$2:$BX$550,MATCH(M$2,'Slutlig allokering kvv'!$B$1:$BX$1,0),FALSE)/1,0))</f>
        <v/>
      </c>
      <c r="N97" s="31" t="str">
        <f>IF($D97="","",IFERROR(VLOOKUP($B97,Kraftvärmeprod!$B$1:$BX$550,MATCH(N$2,Kraftvärmeprod!$B$1:$VX$1,0),FALSE)/1,0)-IFERROR(VLOOKUP($B97,'Slutlig allokering kvv'!$B$2:$BX$550,MATCH(N$2,'Slutlig allokering kvv'!$B$1:$BX$1,0),FALSE)/1,0))</f>
        <v/>
      </c>
      <c r="O97" s="31" t="str">
        <f>IF($D97="","",IFERROR(VLOOKUP($B97,Kraftvärmeprod!$B$1:$BX$550,MATCH(O$2,Kraftvärmeprod!$B$1:$VX$1,0),FALSE)/1,0)-IFERROR(VLOOKUP($B97,'Slutlig allokering kvv'!$B$2:$BX$550,MATCH(O$2,'Slutlig allokering kvv'!$B$1:$BX$1,0),FALSE)/1,0))</f>
        <v/>
      </c>
      <c r="P97" s="31" t="str">
        <f>IF($D97="","",IFERROR(VLOOKUP($B97,Kraftvärmeprod!$B$1:$BX$550,MATCH(P$2,Kraftvärmeprod!$B$1:$VX$1,0),FALSE)/1,0)-IFERROR(VLOOKUP($B97,'Slutlig allokering kvv'!$B$2:$BX$550,MATCH(P$2,'Slutlig allokering kvv'!$B$1:$BX$1,0),FALSE)/1,0))</f>
        <v/>
      </c>
      <c r="Q97" s="31" t="str">
        <f>IF($D97="","",IFERROR(VLOOKUP($B97,Kraftvärmeprod!$B$1:$BX$550,MATCH(Q$2,Kraftvärmeprod!$B$1:$VX$1,0),FALSE)/1,0)-IFERROR(VLOOKUP($B97,'Slutlig allokering kvv'!$B$2:$BX$550,MATCH(Q$2,'Slutlig allokering kvv'!$B$1:$BX$1,0),FALSE)/1,0))</f>
        <v/>
      </c>
      <c r="R97" s="31" t="str">
        <f>IF($D97="","",IFERROR(VLOOKUP($B97,Kraftvärmeprod!$B$1:$BX$550,MATCH(R$2,Kraftvärmeprod!$B$1:$VX$1,0),FALSE)/1,0)-IFERROR(VLOOKUP($B97,'Slutlig allokering kvv'!$B$2:$BX$550,MATCH(R$2,'Slutlig allokering kvv'!$B$1:$BX$1,0),FALSE)/1,0))</f>
        <v/>
      </c>
      <c r="S97" s="31" t="str">
        <f>IF($D97="","",IFERROR(VLOOKUP($B97,Kraftvärmeprod!$B$1:$BX$550,MATCH(S$2,Kraftvärmeprod!$B$1:$VX$1,0),FALSE)/1,0)-IFERROR(VLOOKUP($B97,'Slutlig allokering kvv'!$B$2:$BX$550,MATCH(S$2,'Slutlig allokering kvv'!$B$1:$BX$1,0),FALSE)/1,0))</f>
        <v/>
      </c>
      <c r="T97" s="31" t="str">
        <f>IF($D97="","",IFERROR(VLOOKUP($B97,Kraftvärmeprod!$B$1:$BX$550,MATCH(T$2,Kraftvärmeprod!$B$1:$VX$1,0),FALSE)/1,0)-IFERROR(VLOOKUP($B97,'Slutlig allokering kvv'!$B$2:$BX$550,MATCH(T$2,'Slutlig allokering kvv'!$B$1:$BX$1,0),FALSE)/1,0))</f>
        <v/>
      </c>
      <c r="U97" s="31" t="str">
        <f>IF($D97="","",IFERROR(VLOOKUP($B97,Kraftvärmeprod!$B$1:$BX$550,MATCH(U$2,Kraftvärmeprod!$B$1:$VX$1,0),FALSE)/1,0)-IFERROR(VLOOKUP($B97,'Slutlig allokering kvv'!$B$2:$BX$550,MATCH(U$2,'Slutlig allokering kvv'!$B$1:$BX$1,0),FALSE)/1,0))</f>
        <v/>
      </c>
      <c r="V97" s="31" t="str">
        <f>IF($D97="","",IFERROR(VLOOKUP($B97,Kraftvärmeprod!$B$1:$BX$550,MATCH(V$2,Kraftvärmeprod!$B$1:$VX$1,0),FALSE)/1,0)-IFERROR(VLOOKUP($B97,'Slutlig allokering kvv'!$B$2:$BX$550,MATCH(V$2,'Slutlig allokering kvv'!$B$1:$BX$1,0),FALSE)/1,0))</f>
        <v/>
      </c>
      <c r="W97" s="31" t="str">
        <f>IF($D97="","",IFERROR(VLOOKUP($B97,Kraftvärmeprod!$B$1:$BX$550,MATCH(W$2,Kraftvärmeprod!$B$1:$VX$1,0),FALSE)/1,0)-IFERROR(VLOOKUP($B97,'Slutlig allokering kvv'!$B$2:$BX$550,MATCH(W$2,'Slutlig allokering kvv'!$B$1:$BX$1,0),FALSE)/1,0))</f>
        <v/>
      </c>
      <c r="X97" s="31" t="str">
        <f>IF($D97="","",IFERROR(VLOOKUP($B97,Kraftvärmeprod!$B$1:$BX$550,MATCH(X$2,Kraftvärmeprod!$B$1:$VX$1,0),FALSE)/1,0)-IFERROR(VLOOKUP($B97,'Slutlig allokering kvv'!$B$2:$BX$550,MATCH(X$2,'Slutlig allokering kvv'!$B$1:$BX$1,0),FALSE)/1,0))</f>
        <v/>
      </c>
      <c r="Y97" s="31" t="str">
        <f>IF($D97="","",IFERROR(VLOOKUP($B97,Kraftvärmeprod!$B$1:$BX$550,MATCH(Y$2,Kraftvärmeprod!$B$1:$VX$1,0),FALSE)/1,0)-IFERROR(VLOOKUP($B97,'Slutlig allokering kvv'!$B$2:$BX$550,MATCH(Y$2,'Slutlig allokering kvv'!$B$1:$BX$1,0),FALSE)/1,0))</f>
        <v/>
      </c>
      <c r="Z97" s="31" t="str">
        <f>IF($D97="","",IFERROR(VLOOKUP($B97,Kraftvärmeprod!$B$1:$BX$550,MATCH(Z$2,Kraftvärmeprod!$B$1:$VX$1,0),FALSE)/1,0)-IFERROR(VLOOKUP($B97,'Slutlig allokering kvv'!$B$2:$BX$550,MATCH(Z$2,'Slutlig allokering kvv'!$B$1:$BX$1,0),FALSE)/1,0))</f>
        <v/>
      </c>
      <c r="AA97" s="31" t="str">
        <f>IF($D97="","",IFERROR(VLOOKUP($B97,Kraftvärmeprod!$B$1:$BX$550,MATCH(AA$2,Kraftvärmeprod!$B$1:$VX$1,0),FALSE)/1,0)-IFERROR(VLOOKUP($B97,'Slutlig allokering kvv'!$B$2:$BX$550,MATCH(AA$2,'Slutlig allokering kvv'!$B$1:$BX$1,0),FALSE)/1,0))</f>
        <v/>
      </c>
      <c r="AB97" s="31" t="str">
        <f>IF($D97="","",IFERROR(VLOOKUP($B97,Kraftvärmeprod!$B$1:$BX$550,MATCH(AB$2,Kraftvärmeprod!$B$1:$VX$1,0),FALSE)/1,0)-IFERROR(VLOOKUP($B97,'Slutlig allokering kvv'!$B$2:$BX$550,MATCH(AB$2,'Slutlig allokering kvv'!$B$1:$BX$1,0),FALSE)/1,0))</f>
        <v/>
      </c>
      <c r="AC97" s="31" t="str">
        <f>IF($D97="","",IFERROR(VLOOKUP($B97,Kraftvärmeprod!$B$1:$BX$550,MATCH(AC$2,Kraftvärmeprod!$B$1:$VX$1,0),FALSE)/1,0)-IFERROR(VLOOKUP($B97,'Slutlig allokering kvv'!$B$2:$BX$550,MATCH(AC$2,'Slutlig allokering kvv'!$B$1:$BX$1,0),FALSE)/1,0))</f>
        <v/>
      </c>
      <c r="AD97" s="31" t="str">
        <f>IF($D97="","",IFERROR(VLOOKUP($B97,Kraftvärmeprod!$B$1:$BX$550,MATCH(AD$2,Kraftvärmeprod!$B$1:$VX$1,0),FALSE)/1,0)-IFERROR(VLOOKUP($B97,'Slutlig allokering kvv'!$B$2:$BX$550,MATCH(AD$2,'Slutlig allokering kvv'!$B$1:$BX$1,0),FALSE)/1,0))</f>
        <v/>
      </c>
      <c r="AE97" s="31" t="str">
        <f>IF($D97="","",IFERROR(VLOOKUP($B97,Miljö!$B$1:$E$550,MATCH("Hjälpel kraftvärme (GWh)",Miljö!$B$1:$E$1,0),FALSE)/1,0)-IFERROR(VLOOKUP($B97,'Slutlig allokering kvv'!$B$2:$BX$549,MATCH(AE$2,'Slutlig allokering kvv'!$B$1:$BX$1,0),FALSE)/1,0))</f>
        <v/>
      </c>
      <c r="AI97" s="39">
        <f t="shared" si="4"/>
        <v>0</v>
      </c>
      <c r="AK97" s="31">
        <f>IFERROR(VLOOKUP($B97,'Slutlig allokering kvv'!$B$2:$AX$549,MATCH("Summa slutlig allokerad tillförd energi (utan hjälpel och rökgaskondensering):",'Slutlig allokering kvv'!$B$1:$AX$1,0),FALSE)/1,"")</f>
        <v>0</v>
      </c>
      <c r="AM97" s="31" t="str">
        <f>IFERROR(1-VLOOKUP($B97,'Slutlig allokering kvv'!$B$2:$AX$549,MATCH("Andel av bränsle i kvv som allokerats till värme, exklusive rökgaskondensering och hjälpel",'Slutlig allokering kvv'!$B$1:$AX$1,0),FALSE),"")</f>
        <v/>
      </c>
      <c r="AO97" s="31" t="str">
        <f t="shared" si="5"/>
        <v/>
      </c>
      <c r="AP97" s="31" t="str">
        <f t="shared" si="6"/>
        <v/>
      </c>
      <c r="AR97" s="32" t="str">
        <f t="shared" si="7"/>
        <v/>
      </c>
    </row>
    <row r="98" spans="1:44" s="31" customFormat="1" x14ac:dyDescent="0.45">
      <c r="A98" s="31" t="s">
        <v>550</v>
      </c>
      <c r="B98" s="31" t="s">
        <v>549</v>
      </c>
      <c r="C98" s="31" t="str">
        <f>IFERROR(VLOOKUP($B98,Kraftvärmeprod!$B$1:$AH$479,MATCH(C$2,Kraftvärmeprod!$B$1:$AG$1,0),FALSE)/1,"")</f>
        <v/>
      </c>
      <c r="D98" s="31" t="str">
        <f>IFERROR(VLOOKUP($B98,Kraftvärmeprod!$B$1:$AH$479,MATCH(D$2,Kraftvärmeprod!$B$1:$AG$1,0),FALSE)/1,"")</f>
        <v/>
      </c>
      <c r="F98" s="31" t="str">
        <f>IF($D98="","",IFERROR(VLOOKUP($B98,Kraftvärmeprod!$B$1:$BX$550,MATCH(F$2,Kraftvärmeprod!$B$1:$VX$1,0),FALSE)/1,0)-IFERROR(VLOOKUP($B98,'Slutlig allokering kvv'!$B$2:$BX$550,MATCH(F$2,'Slutlig allokering kvv'!$B$1:$BX$1,0),FALSE)/1,0))</f>
        <v/>
      </c>
      <c r="G98" s="31" t="str">
        <f>IF($D98="","",IFERROR(VLOOKUP($B98,Kraftvärmeprod!$B$1:$BX$550,MATCH(G$2,Kraftvärmeprod!$B$1:$VX$1,0),FALSE)/1,0)-IFERROR(VLOOKUP($B98,'Slutlig allokering kvv'!$B$2:$BX$550,MATCH(G$2,'Slutlig allokering kvv'!$B$1:$BX$1,0),FALSE)/1,0))</f>
        <v/>
      </c>
      <c r="H98" s="31" t="str">
        <f>IF($D98="","",IFERROR(VLOOKUP($B98,Kraftvärmeprod!$B$1:$BX$550,MATCH(H$2,Kraftvärmeprod!$B$1:$VX$1,0),FALSE)/1,0)-IFERROR(VLOOKUP($B98,'Slutlig allokering kvv'!$B$2:$BX$550,MATCH(H$2,'Slutlig allokering kvv'!$B$1:$BX$1,0),FALSE)/1,0))</f>
        <v/>
      </c>
      <c r="I98" s="31" t="str">
        <f>IF($D98="","",IFERROR(VLOOKUP($B98,Kraftvärmeprod!$B$1:$BX$550,MATCH(I$2,Kraftvärmeprod!$B$1:$VX$1,0),FALSE)/1,0)-IFERROR(VLOOKUP($B98,'Slutlig allokering kvv'!$B$2:$BX$550,MATCH(I$2,'Slutlig allokering kvv'!$B$1:$BX$1,0),FALSE)/1,0))</f>
        <v/>
      </c>
      <c r="J98" s="31" t="str">
        <f>IF($D98="","",IFERROR(VLOOKUP($B98,Kraftvärmeprod!$B$1:$BX$550,MATCH(J$2,Kraftvärmeprod!$B$1:$VX$1,0),FALSE)/1,0)-IFERROR(VLOOKUP($B98,'Slutlig allokering kvv'!$B$2:$BX$550,MATCH(J$2,'Slutlig allokering kvv'!$B$1:$BX$1,0),FALSE)/1,0))</f>
        <v/>
      </c>
      <c r="K98" s="31" t="str">
        <f>IF($D98="","",IFERROR(VLOOKUP($B98,Kraftvärmeprod!$B$1:$BX$550,MATCH(K$2,Kraftvärmeprod!$B$1:$VX$1,0),FALSE)/1,0)-IFERROR(VLOOKUP($B98,'Slutlig allokering kvv'!$B$2:$BX$550,MATCH(K$2,'Slutlig allokering kvv'!$B$1:$BX$1,0),FALSE)/1,0))</f>
        <v/>
      </c>
      <c r="L98" s="31" t="str">
        <f>IF($D98="","",IFERROR(VLOOKUP($B98,Kraftvärmeprod!$B$1:$BX$550,MATCH(L$2,Kraftvärmeprod!$B$1:$VX$1,0),FALSE)/1,0)-IFERROR(VLOOKUP($B98,'Slutlig allokering kvv'!$B$2:$BX$550,MATCH(L$2,'Slutlig allokering kvv'!$B$1:$BX$1,0),FALSE)/1,0))</f>
        <v/>
      </c>
      <c r="M98" s="31" t="str">
        <f>IF($D98="","",IFERROR(VLOOKUP($B98,Kraftvärmeprod!$B$1:$BX$550,MATCH(M$2,Kraftvärmeprod!$B$1:$VX$1,0),FALSE)/1,0)-IFERROR(VLOOKUP($B98,'Slutlig allokering kvv'!$B$2:$BX$550,MATCH(M$2,'Slutlig allokering kvv'!$B$1:$BX$1,0),FALSE)/1,0))</f>
        <v/>
      </c>
      <c r="N98" s="31" t="str">
        <f>IF($D98="","",IFERROR(VLOOKUP($B98,Kraftvärmeprod!$B$1:$BX$550,MATCH(N$2,Kraftvärmeprod!$B$1:$VX$1,0),FALSE)/1,0)-IFERROR(VLOOKUP($B98,'Slutlig allokering kvv'!$B$2:$BX$550,MATCH(N$2,'Slutlig allokering kvv'!$B$1:$BX$1,0),FALSE)/1,0))</f>
        <v/>
      </c>
      <c r="O98" s="31" t="str">
        <f>IF($D98="","",IFERROR(VLOOKUP($B98,Kraftvärmeprod!$B$1:$BX$550,MATCH(O$2,Kraftvärmeprod!$B$1:$VX$1,0),FALSE)/1,0)-IFERROR(VLOOKUP($B98,'Slutlig allokering kvv'!$B$2:$BX$550,MATCH(O$2,'Slutlig allokering kvv'!$B$1:$BX$1,0),FALSE)/1,0))</f>
        <v/>
      </c>
      <c r="P98" s="31" t="str">
        <f>IF($D98="","",IFERROR(VLOOKUP($B98,Kraftvärmeprod!$B$1:$BX$550,MATCH(P$2,Kraftvärmeprod!$B$1:$VX$1,0),FALSE)/1,0)-IFERROR(VLOOKUP($B98,'Slutlig allokering kvv'!$B$2:$BX$550,MATCH(P$2,'Slutlig allokering kvv'!$B$1:$BX$1,0),FALSE)/1,0))</f>
        <v/>
      </c>
      <c r="Q98" s="31" t="str">
        <f>IF($D98="","",IFERROR(VLOOKUP($B98,Kraftvärmeprod!$B$1:$BX$550,MATCH(Q$2,Kraftvärmeprod!$B$1:$VX$1,0),FALSE)/1,0)-IFERROR(VLOOKUP($B98,'Slutlig allokering kvv'!$B$2:$BX$550,MATCH(Q$2,'Slutlig allokering kvv'!$B$1:$BX$1,0),FALSE)/1,0))</f>
        <v/>
      </c>
      <c r="R98" s="31" t="str">
        <f>IF($D98="","",IFERROR(VLOOKUP($B98,Kraftvärmeprod!$B$1:$BX$550,MATCH(R$2,Kraftvärmeprod!$B$1:$VX$1,0),FALSE)/1,0)-IFERROR(VLOOKUP($B98,'Slutlig allokering kvv'!$B$2:$BX$550,MATCH(R$2,'Slutlig allokering kvv'!$B$1:$BX$1,0),FALSE)/1,0))</f>
        <v/>
      </c>
      <c r="S98" s="31" t="str">
        <f>IF($D98="","",IFERROR(VLOOKUP($B98,Kraftvärmeprod!$B$1:$BX$550,MATCH(S$2,Kraftvärmeprod!$B$1:$VX$1,0),FALSE)/1,0)-IFERROR(VLOOKUP($B98,'Slutlig allokering kvv'!$B$2:$BX$550,MATCH(S$2,'Slutlig allokering kvv'!$B$1:$BX$1,0),FALSE)/1,0))</f>
        <v/>
      </c>
      <c r="T98" s="31" t="str">
        <f>IF($D98="","",IFERROR(VLOOKUP($B98,Kraftvärmeprod!$B$1:$BX$550,MATCH(T$2,Kraftvärmeprod!$B$1:$VX$1,0),FALSE)/1,0)-IFERROR(VLOOKUP($B98,'Slutlig allokering kvv'!$B$2:$BX$550,MATCH(T$2,'Slutlig allokering kvv'!$B$1:$BX$1,0),FALSE)/1,0))</f>
        <v/>
      </c>
      <c r="U98" s="31" t="str">
        <f>IF($D98="","",IFERROR(VLOOKUP($B98,Kraftvärmeprod!$B$1:$BX$550,MATCH(U$2,Kraftvärmeprod!$B$1:$VX$1,0),FALSE)/1,0)-IFERROR(VLOOKUP($B98,'Slutlig allokering kvv'!$B$2:$BX$550,MATCH(U$2,'Slutlig allokering kvv'!$B$1:$BX$1,0),FALSE)/1,0))</f>
        <v/>
      </c>
      <c r="V98" s="31" t="str">
        <f>IF($D98="","",IFERROR(VLOOKUP($B98,Kraftvärmeprod!$B$1:$BX$550,MATCH(V$2,Kraftvärmeprod!$B$1:$VX$1,0),FALSE)/1,0)-IFERROR(VLOOKUP($B98,'Slutlig allokering kvv'!$B$2:$BX$550,MATCH(V$2,'Slutlig allokering kvv'!$B$1:$BX$1,0),FALSE)/1,0))</f>
        <v/>
      </c>
      <c r="W98" s="31" t="str">
        <f>IF($D98="","",IFERROR(VLOOKUP($B98,Kraftvärmeprod!$B$1:$BX$550,MATCH(W$2,Kraftvärmeprod!$B$1:$VX$1,0),FALSE)/1,0)-IFERROR(VLOOKUP($B98,'Slutlig allokering kvv'!$B$2:$BX$550,MATCH(W$2,'Slutlig allokering kvv'!$B$1:$BX$1,0),FALSE)/1,0))</f>
        <v/>
      </c>
      <c r="X98" s="31" t="str">
        <f>IF($D98="","",IFERROR(VLOOKUP($B98,Kraftvärmeprod!$B$1:$BX$550,MATCH(X$2,Kraftvärmeprod!$B$1:$VX$1,0),FALSE)/1,0)-IFERROR(VLOOKUP($B98,'Slutlig allokering kvv'!$B$2:$BX$550,MATCH(X$2,'Slutlig allokering kvv'!$B$1:$BX$1,0),FALSE)/1,0))</f>
        <v/>
      </c>
      <c r="Y98" s="31" t="str">
        <f>IF($D98="","",IFERROR(VLOOKUP($B98,Kraftvärmeprod!$B$1:$BX$550,MATCH(Y$2,Kraftvärmeprod!$B$1:$VX$1,0),FALSE)/1,0)-IFERROR(VLOOKUP($B98,'Slutlig allokering kvv'!$B$2:$BX$550,MATCH(Y$2,'Slutlig allokering kvv'!$B$1:$BX$1,0),FALSE)/1,0))</f>
        <v/>
      </c>
      <c r="Z98" s="31" t="str">
        <f>IF($D98="","",IFERROR(VLOOKUP($B98,Kraftvärmeprod!$B$1:$BX$550,MATCH(Z$2,Kraftvärmeprod!$B$1:$VX$1,0),FALSE)/1,0)-IFERROR(VLOOKUP($B98,'Slutlig allokering kvv'!$B$2:$BX$550,MATCH(Z$2,'Slutlig allokering kvv'!$B$1:$BX$1,0),FALSE)/1,0))</f>
        <v/>
      </c>
      <c r="AA98" s="31" t="str">
        <f>IF($D98="","",IFERROR(VLOOKUP($B98,Kraftvärmeprod!$B$1:$BX$550,MATCH(AA$2,Kraftvärmeprod!$B$1:$VX$1,0),FALSE)/1,0)-IFERROR(VLOOKUP($B98,'Slutlig allokering kvv'!$B$2:$BX$550,MATCH(AA$2,'Slutlig allokering kvv'!$B$1:$BX$1,0),FALSE)/1,0))</f>
        <v/>
      </c>
      <c r="AB98" s="31" t="str">
        <f>IF($D98="","",IFERROR(VLOOKUP($B98,Kraftvärmeprod!$B$1:$BX$550,MATCH(AB$2,Kraftvärmeprod!$B$1:$VX$1,0),FALSE)/1,0)-IFERROR(VLOOKUP($B98,'Slutlig allokering kvv'!$B$2:$BX$550,MATCH(AB$2,'Slutlig allokering kvv'!$B$1:$BX$1,0),FALSE)/1,0))</f>
        <v/>
      </c>
      <c r="AC98" s="31" t="str">
        <f>IF($D98="","",IFERROR(VLOOKUP($B98,Kraftvärmeprod!$B$1:$BX$550,MATCH(AC$2,Kraftvärmeprod!$B$1:$VX$1,0),FALSE)/1,0)-IFERROR(VLOOKUP($B98,'Slutlig allokering kvv'!$B$2:$BX$550,MATCH(AC$2,'Slutlig allokering kvv'!$B$1:$BX$1,0),FALSE)/1,0))</f>
        <v/>
      </c>
      <c r="AD98" s="31" t="str">
        <f>IF($D98="","",IFERROR(VLOOKUP($B98,Kraftvärmeprod!$B$1:$BX$550,MATCH(AD$2,Kraftvärmeprod!$B$1:$VX$1,0),FALSE)/1,0)-IFERROR(VLOOKUP($B98,'Slutlig allokering kvv'!$B$2:$BX$550,MATCH(AD$2,'Slutlig allokering kvv'!$B$1:$BX$1,0),FALSE)/1,0))</f>
        <v/>
      </c>
      <c r="AE98" s="31" t="str">
        <f>IF($D98="","",IFERROR(VLOOKUP($B98,Miljö!$B$1:$E$550,MATCH("Hjälpel kraftvärme (GWh)",Miljö!$B$1:$E$1,0),FALSE)/1,0)-IFERROR(VLOOKUP($B98,'Slutlig allokering kvv'!$B$2:$BX$549,MATCH(AE$2,'Slutlig allokering kvv'!$B$1:$BX$1,0),FALSE)/1,0))</f>
        <v/>
      </c>
      <c r="AI98" s="39">
        <f t="shared" si="4"/>
        <v>0</v>
      </c>
      <c r="AK98" s="31">
        <f>IFERROR(VLOOKUP($B98,'Slutlig allokering kvv'!$B$2:$AX$549,MATCH("Summa slutlig allokerad tillförd energi (utan hjälpel och rökgaskondensering):",'Slutlig allokering kvv'!$B$1:$AX$1,0),FALSE)/1,"")</f>
        <v>0</v>
      </c>
      <c r="AM98" s="31" t="str">
        <f>IFERROR(1-VLOOKUP($B98,'Slutlig allokering kvv'!$B$2:$AX$549,MATCH("Andel av bränsle i kvv som allokerats till värme, exklusive rökgaskondensering och hjälpel",'Slutlig allokering kvv'!$B$1:$AX$1,0),FALSE),"")</f>
        <v/>
      </c>
      <c r="AO98" s="31" t="str">
        <f t="shared" si="5"/>
        <v/>
      </c>
      <c r="AP98" s="31" t="str">
        <f t="shared" si="6"/>
        <v/>
      </c>
      <c r="AR98" s="32" t="str">
        <f t="shared" si="7"/>
        <v/>
      </c>
    </row>
    <row r="99" spans="1:44" s="31" customFormat="1" x14ac:dyDescent="0.45">
      <c r="A99" s="31" t="s">
        <v>548</v>
      </c>
      <c r="B99" s="31" t="s">
        <v>547</v>
      </c>
      <c r="C99" s="31">
        <f>IFERROR(VLOOKUP($B99,Kraftvärmeprod!$B$1:$AH$479,MATCH(C$2,Kraftvärmeprod!$B$1:$AG$1,0),FALSE)/1,"")</f>
        <v>309.5</v>
      </c>
      <c r="D99" s="31">
        <f>IFERROR(VLOOKUP($B99,Kraftvärmeprod!$B$1:$AH$479,MATCH(D$2,Kraftvärmeprod!$B$1:$AG$1,0),FALSE)/1,"")</f>
        <v>75.099999999999994</v>
      </c>
      <c r="F99" s="31">
        <f>IF($D99="","",IFERROR(VLOOKUP($B99,Kraftvärmeprod!$B$1:$BX$550,MATCH(F$2,Kraftvärmeprod!$B$1:$VX$1,0),FALSE)/1,0)-IFERROR(VLOOKUP($B99,'Slutlig allokering kvv'!$B$2:$BX$550,MATCH(F$2,'Slutlig allokering kvv'!$B$1:$BX$1,0),FALSE)/1,0))</f>
        <v>0</v>
      </c>
      <c r="G99" s="31">
        <f>IF($D99="","",IFERROR(VLOOKUP($B99,Kraftvärmeprod!$B$1:$BX$550,MATCH(G$2,Kraftvärmeprod!$B$1:$VX$1,0),FALSE)/1,0)-IFERROR(VLOOKUP($B99,'Slutlig allokering kvv'!$B$2:$BX$550,MATCH(G$2,'Slutlig allokering kvv'!$B$1:$BX$1,0),FALSE)/1,0))</f>
        <v>0</v>
      </c>
      <c r="H99" s="31">
        <f>IF($D99="","",IFERROR(VLOOKUP($B99,Kraftvärmeprod!$B$1:$BX$550,MATCH(H$2,Kraftvärmeprod!$B$1:$VX$1,0),FALSE)/1,0)-IFERROR(VLOOKUP($B99,'Slutlig allokering kvv'!$B$2:$BX$550,MATCH(H$2,'Slutlig allokering kvv'!$B$1:$BX$1,0),FALSE)/1,0))</f>
        <v>0</v>
      </c>
      <c r="I99" s="31">
        <f>IF($D99="","",IFERROR(VLOOKUP($B99,Kraftvärmeprod!$B$1:$BX$550,MATCH(I$2,Kraftvärmeprod!$B$1:$VX$1,0),FALSE)/1,0)-IFERROR(VLOOKUP($B99,'Slutlig allokering kvv'!$B$2:$BX$550,MATCH(I$2,'Slutlig allokering kvv'!$B$1:$BX$1,0),FALSE)/1,0))</f>
        <v>0</v>
      </c>
      <c r="J99" s="31">
        <f>IF($D99="","",IFERROR(VLOOKUP($B99,Kraftvärmeprod!$B$1:$BX$550,MATCH(J$2,Kraftvärmeprod!$B$1:$VX$1,0),FALSE)/1,0)-IFERROR(VLOOKUP($B99,'Slutlig allokering kvv'!$B$2:$BX$550,MATCH(J$2,'Slutlig allokering kvv'!$B$1:$BX$1,0),FALSE)/1,0))</f>
        <v>0</v>
      </c>
      <c r="K99" s="31">
        <f>IF($D99="","",IFERROR(VLOOKUP($B99,Kraftvärmeprod!$B$1:$BX$550,MATCH(K$2,Kraftvärmeprod!$B$1:$VX$1,0),FALSE)/1,0)-IFERROR(VLOOKUP($B99,'Slutlig allokering kvv'!$B$2:$BX$550,MATCH(K$2,'Slutlig allokering kvv'!$B$1:$BX$1,0),FALSE)/1,0))</f>
        <v>0</v>
      </c>
      <c r="L99" s="31">
        <f>IF($D99="","",IFERROR(VLOOKUP($B99,Kraftvärmeprod!$B$1:$BX$550,MATCH(L$2,Kraftvärmeprod!$B$1:$VX$1,0),FALSE)/1,0)-IFERROR(VLOOKUP($B99,'Slutlig allokering kvv'!$B$2:$BX$550,MATCH(L$2,'Slutlig allokering kvv'!$B$1:$BX$1,0),FALSE)/1,0))</f>
        <v>31.902300000000004</v>
      </c>
      <c r="M99" s="31">
        <f>IF($D99="","",IFERROR(VLOOKUP($B99,Kraftvärmeprod!$B$1:$BX$550,MATCH(M$2,Kraftvärmeprod!$B$1:$VX$1,0),FALSE)/1,0)-IFERROR(VLOOKUP($B99,'Slutlig allokering kvv'!$B$2:$BX$550,MATCH(M$2,'Slutlig allokering kvv'!$B$1:$BX$1,0),FALSE)/1,0))</f>
        <v>0</v>
      </c>
      <c r="N99" s="31">
        <f>IF($D99="","",IFERROR(VLOOKUP($B99,Kraftvärmeprod!$B$1:$BX$550,MATCH(N$2,Kraftvärmeprod!$B$1:$VX$1,0),FALSE)/1,0)-IFERROR(VLOOKUP($B99,'Slutlig allokering kvv'!$B$2:$BX$550,MATCH(N$2,'Slutlig allokering kvv'!$B$1:$BX$1,0),FALSE)/1,0))</f>
        <v>0</v>
      </c>
      <c r="O99" s="31">
        <f>IF($D99="","",IFERROR(VLOOKUP($B99,Kraftvärmeprod!$B$1:$BX$550,MATCH(O$2,Kraftvärmeprod!$B$1:$VX$1,0),FALSE)/1,0)-IFERROR(VLOOKUP($B99,'Slutlig allokering kvv'!$B$2:$BX$550,MATCH(O$2,'Slutlig allokering kvv'!$B$1:$BX$1,0),FALSE)/1,0))</f>
        <v>0</v>
      </c>
      <c r="P99" s="31">
        <f>IF($D99="","",IFERROR(VLOOKUP($B99,Kraftvärmeprod!$B$1:$BX$550,MATCH(P$2,Kraftvärmeprod!$B$1:$VX$1,0),FALSE)/1,0)-IFERROR(VLOOKUP($B99,'Slutlig allokering kvv'!$B$2:$BX$550,MATCH(P$2,'Slutlig allokering kvv'!$B$1:$BX$1,0),FALSE)/1,0))</f>
        <v>0</v>
      </c>
      <c r="Q99" s="31">
        <f>IF($D99="","",IFERROR(VLOOKUP($B99,Kraftvärmeprod!$B$1:$BX$550,MATCH(Q$2,Kraftvärmeprod!$B$1:$VX$1,0),FALSE)/1,0)-IFERROR(VLOOKUP($B99,'Slutlig allokering kvv'!$B$2:$BX$550,MATCH(Q$2,'Slutlig allokering kvv'!$B$1:$BX$1,0),FALSE)/1,0))</f>
        <v>0</v>
      </c>
      <c r="R99" s="31">
        <f>IF($D99="","",IFERROR(VLOOKUP($B99,Kraftvärmeprod!$B$1:$BX$550,MATCH(R$2,Kraftvärmeprod!$B$1:$VX$1,0),FALSE)/1,0)-IFERROR(VLOOKUP($B99,'Slutlig allokering kvv'!$B$2:$BX$550,MATCH(R$2,'Slutlig allokering kvv'!$B$1:$BX$1,0),FALSE)/1,0))</f>
        <v>0</v>
      </c>
      <c r="S99" s="31">
        <f>IF($D99="","",IFERROR(VLOOKUP($B99,Kraftvärmeprod!$B$1:$BX$550,MATCH(S$2,Kraftvärmeprod!$B$1:$VX$1,0),FALSE)/1,0)-IFERROR(VLOOKUP($B99,'Slutlig allokering kvv'!$B$2:$BX$550,MATCH(S$2,'Slutlig allokering kvv'!$B$1:$BX$1,0),FALSE)/1,0))</f>
        <v>0</v>
      </c>
      <c r="T99" s="31">
        <f>IF($D99="","",IFERROR(VLOOKUP($B99,Kraftvärmeprod!$B$1:$BX$550,MATCH(T$2,Kraftvärmeprod!$B$1:$VX$1,0),FALSE)/1,0)-IFERROR(VLOOKUP($B99,'Slutlig allokering kvv'!$B$2:$BX$550,MATCH(T$2,'Slutlig allokering kvv'!$B$1:$BX$1,0),FALSE)/1,0))</f>
        <v>0</v>
      </c>
      <c r="U99" s="31">
        <f>IF($D99="","",IFERROR(VLOOKUP($B99,Kraftvärmeprod!$B$1:$BX$550,MATCH(U$2,Kraftvärmeprod!$B$1:$VX$1,0),FALSE)/1,0)-IFERROR(VLOOKUP($B99,'Slutlig allokering kvv'!$B$2:$BX$550,MATCH(U$2,'Slutlig allokering kvv'!$B$1:$BX$1,0),FALSE)/1,0))</f>
        <v>0</v>
      </c>
      <c r="V99" s="31">
        <f>IF($D99="","",IFERROR(VLOOKUP($B99,Kraftvärmeprod!$B$1:$BX$550,MATCH(V$2,Kraftvärmeprod!$B$1:$VX$1,0),FALSE)/1,0)-IFERROR(VLOOKUP($B99,'Slutlig allokering kvv'!$B$2:$BX$550,MATCH(V$2,'Slutlig allokering kvv'!$B$1:$BX$1,0),FALSE)/1,0))</f>
        <v>0</v>
      </c>
      <c r="W99" s="31">
        <f>IF($D99="","",IFERROR(VLOOKUP($B99,Kraftvärmeprod!$B$1:$BX$550,MATCH(W$2,Kraftvärmeprod!$B$1:$VX$1,0),FALSE)/1,0)-IFERROR(VLOOKUP($B99,'Slutlig allokering kvv'!$B$2:$BX$550,MATCH(W$2,'Slutlig allokering kvv'!$B$1:$BX$1,0),FALSE)/1,0))</f>
        <v>0</v>
      </c>
      <c r="X99" s="31">
        <f>IF($D99="","",IFERROR(VLOOKUP($B99,Kraftvärmeprod!$B$1:$BX$550,MATCH(X$2,Kraftvärmeprod!$B$1:$VX$1,0),FALSE)/1,0)-IFERROR(VLOOKUP($B99,'Slutlig allokering kvv'!$B$2:$BX$550,MATCH(X$2,'Slutlig allokering kvv'!$B$1:$BX$1,0),FALSE)/1,0))</f>
        <v>0</v>
      </c>
      <c r="Y99" s="31">
        <f>IF($D99="","",IFERROR(VLOOKUP($B99,Kraftvärmeprod!$B$1:$BX$550,MATCH(Y$2,Kraftvärmeprod!$B$1:$VX$1,0),FALSE)/1,0)-IFERROR(VLOOKUP($B99,'Slutlig allokering kvv'!$B$2:$BX$550,MATCH(Y$2,'Slutlig allokering kvv'!$B$1:$BX$1,0),FALSE)/1,0))</f>
        <v>0</v>
      </c>
      <c r="Z99" s="31">
        <f>IF($D99="","",IFERROR(VLOOKUP($B99,Kraftvärmeprod!$B$1:$BX$550,MATCH(Z$2,Kraftvärmeprod!$B$1:$VX$1,0),FALSE)/1,0)-IFERROR(VLOOKUP($B99,'Slutlig allokering kvv'!$B$2:$BX$550,MATCH(Z$2,'Slutlig allokering kvv'!$B$1:$BX$1,0),FALSE)/1,0))</f>
        <v>0</v>
      </c>
      <c r="AA99" s="31">
        <f>IF($D99="","",IFERROR(VLOOKUP($B99,Kraftvärmeprod!$B$1:$BX$550,MATCH(AA$2,Kraftvärmeprod!$B$1:$VX$1,0),FALSE)/1,0)-IFERROR(VLOOKUP($B99,'Slutlig allokering kvv'!$B$2:$BX$550,MATCH(AA$2,'Slutlig allokering kvv'!$B$1:$BX$1,0),FALSE)/1,0))</f>
        <v>148.375</v>
      </c>
      <c r="AB99" s="31">
        <f>IF($D99="","",IFERROR(VLOOKUP($B99,Kraftvärmeprod!$B$1:$BX$550,MATCH(AB$2,Kraftvärmeprod!$B$1:$VX$1,0),FALSE)/1,0)-IFERROR(VLOOKUP($B99,'Slutlig allokering kvv'!$B$2:$BX$550,MATCH(AB$2,'Slutlig allokering kvv'!$B$1:$BX$1,0),FALSE)/1,0))</f>
        <v>0</v>
      </c>
      <c r="AC99" s="31">
        <f>IF($D99="","",IFERROR(VLOOKUP($B99,Kraftvärmeprod!$B$1:$BX$550,MATCH(AC$2,Kraftvärmeprod!$B$1:$VX$1,0),FALSE)/1,0)-IFERROR(VLOOKUP($B99,'Slutlig allokering kvv'!$B$2:$BX$550,MATCH(AC$2,'Slutlig allokering kvv'!$B$1:$BX$1,0),FALSE)/1,0))</f>
        <v>0</v>
      </c>
      <c r="AD99" s="31">
        <f>IF($D99="","",IFERROR(VLOOKUP($B99,Kraftvärmeprod!$B$1:$BX$550,MATCH(AD$2,Kraftvärmeprod!$B$1:$VX$1,0),FALSE)/1,0)-IFERROR(VLOOKUP($B99,'Slutlig allokering kvv'!$B$2:$BX$550,MATCH(AD$2,'Slutlig allokering kvv'!$B$1:$BX$1,0),FALSE)/1,0))</f>
        <v>0</v>
      </c>
      <c r="AE99" s="31">
        <f>IF($D99="","",IFERROR(VLOOKUP($B99,Miljö!$B$1:$E$550,MATCH("Hjälpel kraftvärme (GWh)",Miljö!$B$1:$E$1,0),FALSE)/1,0)-IFERROR(VLOOKUP($B99,'Slutlig allokering kvv'!$B$2:$BX$549,MATCH(AE$2,'Slutlig allokering kvv'!$B$1:$BX$1,0),FALSE)/1,0))</f>
        <v>7.9998000000000005</v>
      </c>
      <c r="AI99" s="39">
        <f t="shared" si="4"/>
        <v>180.2773</v>
      </c>
      <c r="AK99" s="31">
        <f>IFERROR(VLOOKUP($B99,'Slutlig allokering kvv'!$B$2:$AX$549,MATCH("Summa slutlig allokerad tillförd energi (utan hjälpel och rökgaskondensering):",'Slutlig allokering kvv'!$B$1:$AX$1,0),FALSE)/1,"")</f>
        <v>241.53670000000002</v>
      </c>
      <c r="AM99" s="31">
        <f>IFERROR(1-VLOOKUP($B99,'Slutlig allokering kvv'!$B$2:$AX$549,MATCH("Andel av bränsle i kvv som allokerats till värme, exklusive rökgaskondensering och hjälpel",'Slutlig allokering kvv'!$B$1:$AX$1,0),FALSE),"")</f>
        <v>0.42738576718648491</v>
      </c>
      <c r="AO99" s="31">
        <f t="shared" si="5"/>
        <v>0.42738576718648502</v>
      </c>
      <c r="AP99" s="31">
        <f t="shared" si="6"/>
        <v>-1.1102230246251565E-16</v>
      </c>
      <c r="AR99" s="32">
        <f t="shared" si="7"/>
        <v>0.39888016120919645</v>
      </c>
    </row>
    <row r="100" spans="1:44" s="31" customFormat="1" x14ac:dyDescent="0.45">
      <c r="A100" s="31" t="s">
        <v>546</v>
      </c>
      <c r="B100" s="31" t="s">
        <v>545</v>
      </c>
      <c r="C100" s="31" t="str">
        <f>IFERROR(VLOOKUP($B100,Kraftvärmeprod!$B$1:$AH$479,MATCH(C$2,Kraftvärmeprod!$B$1:$AG$1,0),FALSE)/1,"")</f>
        <v/>
      </c>
      <c r="D100" s="31" t="str">
        <f>IFERROR(VLOOKUP($B100,Kraftvärmeprod!$B$1:$AH$479,MATCH(D$2,Kraftvärmeprod!$B$1:$AG$1,0),FALSE)/1,"")</f>
        <v/>
      </c>
      <c r="F100" s="31" t="str">
        <f>IF($D100="","",IFERROR(VLOOKUP($B100,Kraftvärmeprod!$B$1:$BX$550,MATCH(F$2,Kraftvärmeprod!$B$1:$VX$1,0),FALSE)/1,0)-IFERROR(VLOOKUP($B100,'Slutlig allokering kvv'!$B$2:$BX$550,MATCH(F$2,'Slutlig allokering kvv'!$B$1:$BX$1,0),FALSE)/1,0))</f>
        <v/>
      </c>
      <c r="G100" s="31" t="str">
        <f>IF($D100="","",IFERROR(VLOOKUP($B100,Kraftvärmeprod!$B$1:$BX$550,MATCH(G$2,Kraftvärmeprod!$B$1:$VX$1,0),FALSE)/1,0)-IFERROR(VLOOKUP($B100,'Slutlig allokering kvv'!$B$2:$BX$550,MATCH(G$2,'Slutlig allokering kvv'!$B$1:$BX$1,0),FALSE)/1,0))</f>
        <v/>
      </c>
      <c r="H100" s="31" t="str">
        <f>IF($D100="","",IFERROR(VLOOKUP($B100,Kraftvärmeprod!$B$1:$BX$550,MATCH(H$2,Kraftvärmeprod!$B$1:$VX$1,0),FALSE)/1,0)-IFERROR(VLOOKUP($B100,'Slutlig allokering kvv'!$B$2:$BX$550,MATCH(H$2,'Slutlig allokering kvv'!$B$1:$BX$1,0),FALSE)/1,0))</f>
        <v/>
      </c>
      <c r="I100" s="31" t="str">
        <f>IF($D100="","",IFERROR(VLOOKUP($B100,Kraftvärmeprod!$B$1:$BX$550,MATCH(I$2,Kraftvärmeprod!$B$1:$VX$1,0),FALSE)/1,0)-IFERROR(VLOOKUP($B100,'Slutlig allokering kvv'!$B$2:$BX$550,MATCH(I$2,'Slutlig allokering kvv'!$B$1:$BX$1,0),FALSE)/1,0))</f>
        <v/>
      </c>
      <c r="J100" s="31" t="str">
        <f>IF($D100="","",IFERROR(VLOOKUP($B100,Kraftvärmeprod!$B$1:$BX$550,MATCH(J$2,Kraftvärmeprod!$B$1:$VX$1,0),FALSE)/1,0)-IFERROR(VLOOKUP($B100,'Slutlig allokering kvv'!$B$2:$BX$550,MATCH(J$2,'Slutlig allokering kvv'!$B$1:$BX$1,0),FALSE)/1,0))</f>
        <v/>
      </c>
      <c r="K100" s="31" t="str">
        <f>IF($D100="","",IFERROR(VLOOKUP($B100,Kraftvärmeprod!$B$1:$BX$550,MATCH(K$2,Kraftvärmeprod!$B$1:$VX$1,0),FALSE)/1,0)-IFERROR(VLOOKUP($B100,'Slutlig allokering kvv'!$B$2:$BX$550,MATCH(K$2,'Slutlig allokering kvv'!$B$1:$BX$1,0),FALSE)/1,0))</f>
        <v/>
      </c>
      <c r="L100" s="31" t="str">
        <f>IF($D100="","",IFERROR(VLOOKUP($B100,Kraftvärmeprod!$B$1:$BX$550,MATCH(L$2,Kraftvärmeprod!$B$1:$VX$1,0),FALSE)/1,0)-IFERROR(VLOOKUP($B100,'Slutlig allokering kvv'!$B$2:$BX$550,MATCH(L$2,'Slutlig allokering kvv'!$B$1:$BX$1,0),FALSE)/1,0))</f>
        <v/>
      </c>
      <c r="M100" s="31" t="str">
        <f>IF($D100="","",IFERROR(VLOOKUP($B100,Kraftvärmeprod!$B$1:$BX$550,MATCH(M$2,Kraftvärmeprod!$B$1:$VX$1,0),FALSE)/1,0)-IFERROR(VLOOKUP($B100,'Slutlig allokering kvv'!$B$2:$BX$550,MATCH(M$2,'Slutlig allokering kvv'!$B$1:$BX$1,0),FALSE)/1,0))</f>
        <v/>
      </c>
      <c r="N100" s="31" t="str">
        <f>IF($D100="","",IFERROR(VLOOKUP($B100,Kraftvärmeprod!$B$1:$BX$550,MATCH(N$2,Kraftvärmeprod!$B$1:$VX$1,0),FALSE)/1,0)-IFERROR(VLOOKUP($B100,'Slutlig allokering kvv'!$B$2:$BX$550,MATCH(N$2,'Slutlig allokering kvv'!$B$1:$BX$1,0),FALSE)/1,0))</f>
        <v/>
      </c>
      <c r="O100" s="31" t="str">
        <f>IF($D100="","",IFERROR(VLOOKUP($B100,Kraftvärmeprod!$B$1:$BX$550,MATCH(O$2,Kraftvärmeprod!$B$1:$VX$1,0),FALSE)/1,0)-IFERROR(VLOOKUP($B100,'Slutlig allokering kvv'!$B$2:$BX$550,MATCH(O$2,'Slutlig allokering kvv'!$B$1:$BX$1,0),FALSE)/1,0))</f>
        <v/>
      </c>
      <c r="P100" s="31" t="str">
        <f>IF($D100="","",IFERROR(VLOOKUP($B100,Kraftvärmeprod!$B$1:$BX$550,MATCH(P$2,Kraftvärmeprod!$B$1:$VX$1,0),FALSE)/1,0)-IFERROR(VLOOKUP($B100,'Slutlig allokering kvv'!$B$2:$BX$550,MATCH(P$2,'Slutlig allokering kvv'!$B$1:$BX$1,0),FALSE)/1,0))</f>
        <v/>
      </c>
      <c r="Q100" s="31" t="str">
        <f>IF($D100="","",IFERROR(VLOOKUP($B100,Kraftvärmeprod!$B$1:$BX$550,MATCH(Q$2,Kraftvärmeprod!$B$1:$VX$1,0),FALSE)/1,0)-IFERROR(VLOOKUP($B100,'Slutlig allokering kvv'!$B$2:$BX$550,MATCH(Q$2,'Slutlig allokering kvv'!$B$1:$BX$1,0),FALSE)/1,0))</f>
        <v/>
      </c>
      <c r="R100" s="31" t="str">
        <f>IF($D100="","",IFERROR(VLOOKUP($B100,Kraftvärmeprod!$B$1:$BX$550,MATCH(R$2,Kraftvärmeprod!$B$1:$VX$1,0),FALSE)/1,0)-IFERROR(VLOOKUP($B100,'Slutlig allokering kvv'!$B$2:$BX$550,MATCH(R$2,'Slutlig allokering kvv'!$B$1:$BX$1,0),FALSE)/1,0))</f>
        <v/>
      </c>
      <c r="S100" s="31" t="str">
        <f>IF($D100="","",IFERROR(VLOOKUP($B100,Kraftvärmeprod!$B$1:$BX$550,MATCH(S$2,Kraftvärmeprod!$B$1:$VX$1,0),FALSE)/1,0)-IFERROR(VLOOKUP($B100,'Slutlig allokering kvv'!$B$2:$BX$550,MATCH(S$2,'Slutlig allokering kvv'!$B$1:$BX$1,0),FALSE)/1,0))</f>
        <v/>
      </c>
      <c r="T100" s="31" t="str">
        <f>IF($D100="","",IFERROR(VLOOKUP($B100,Kraftvärmeprod!$B$1:$BX$550,MATCH(T$2,Kraftvärmeprod!$B$1:$VX$1,0),FALSE)/1,0)-IFERROR(VLOOKUP($B100,'Slutlig allokering kvv'!$B$2:$BX$550,MATCH(T$2,'Slutlig allokering kvv'!$B$1:$BX$1,0),FALSE)/1,0))</f>
        <v/>
      </c>
      <c r="U100" s="31" t="str">
        <f>IF($D100="","",IFERROR(VLOOKUP($B100,Kraftvärmeprod!$B$1:$BX$550,MATCH(U$2,Kraftvärmeprod!$B$1:$VX$1,0),FALSE)/1,0)-IFERROR(VLOOKUP($B100,'Slutlig allokering kvv'!$B$2:$BX$550,MATCH(U$2,'Slutlig allokering kvv'!$B$1:$BX$1,0),FALSE)/1,0))</f>
        <v/>
      </c>
      <c r="V100" s="31" t="str">
        <f>IF($D100="","",IFERROR(VLOOKUP($B100,Kraftvärmeprod!$B$1:$BX$550,MATCH(V$2,Kraftvärmeprod!$B$1:$VX$1,0),FALSE)/1,0)-IFERROR(VLOOKUP($B100,'Slutlig allokering kvv'!$B$2:$BX$550,MATCH(V$2,'Slutlig allokering kvv'!$B$1:$BX$1,0),FALSE)/1,0))</f>
        <v/>
      </c>
      <c r="W100" s="31" t="str">
        <f>IF($D100="","",IFERROR(VLOOKUP($B100,Kraftvärmeprod!$B$1:$BX$550,MATCH(W$2,Kraftvärmeprod!$B$1:$VX$1,0),FALSE)/1,0)-IFERROR(VLOOKUP($B100,'Slutlig allokering kvv'!$B$2:$BX$550,MATCH(W$2,'Slutlig allokering kvv'!$B$1:$BX$1,0),FALSE)/1,0))</f>
        <v/>
      </c>
      <c r="X100" s="31" t="str">
        <f>IF($D100="","",IFERROR(VLOOKUP($B100,Kraftvärmeprod!$B$1:$BX$550,MATCH(X$2,Kraftvärmeprod!$B$1:$VX$1,0),FALSE)/1,0)-IFERROR(VLOOKUP($B100,'Slutlig allokering kvv'!$B$2:$BX$550,MATCH(X$2,'Slutlig allokering kvv'!$B$1:$BX$1,0),FALSE)/1,0))</f>
        <v/>
      </c>
      <c r="Y100" s="31" t="str">
        <f>IF($D100="","",IFERROR(VLOOKUP($B100,Kraftvärmeprod!$B$1:$BX$550,MATCH(Y$2,Kraftvärmeprod!$B$1:$VX$1,0),FALSE)/1,0)-IFERROR(VLOOKUP($B100,'Slutlig allokering kvv'!$B$2:$BX$550,MATCH(Y$2,'Slutlig allokering kvv'!$B$1:$BX$1,0),FALSE)/1,0))</f>
        <v/>
      </c>
      <c r="Z100" s="31" t="str">
        <f>IF($D100="","",IFERROR(VLOOKUP($B100,Kraftvärmeprod!$B$1:$BX$550,MATCH(Z$2,Kraftvärmeprod!$B$1:$VX$1,0),FALSE)/1,0)-IFERROR(VLOOKUP($B100,'Slutlig allokering kvv'!$B$2:$BX$550,MATCH(Z$2,'Slutlig allokering kvv'!$B$1:$BX$1,0),FALSE)/1,0))</f>
        <v/>
      </c>
      <c r="AA100" s="31" t="str">
        <f>IF($D100="","",IFERROR(VLOOKUP($B100,Kraftvärmeprod!$B$1:$BX$550,MATCH(AA$2,Kraftvärmeprod!$B$1:$VX$1,0),FALSE)/1,0)-IFERROR(VLOOKUP($B100,'Slutlig allokering kvv'!$B$2:$BX$550,MATCH(AA$2,'Slutlig allokering kvv'!$B$1:$BX$1,0),FALSE)/1,0))</f>
        <v/>
      </c>
      <c r="AB100" s="31" t="str">
        <f>IF($D100="","",IFERROR(VLOOKUP($B100,Kraftvärmeprod!$B$1:$BX$550,MATCH(AB$2,Kraftvärmeprod!$B$1:$VX$1,0),FALSE)/1,0)-IFERROR(VLOOKUP($B100,'Slutlig allokering kvv'!$B$2:$BX$550,MATCH(AB$2,'Slutlig allokering kvv'!$B$1:$BX$1,0),FALSE)/1,0))</f>
        <v/>
      </c>
      <c r="AC100" s="31" t="str">
        <f>IF($D100="","",IFERROR(VLOOKUP($B100,Kraftvärmeprod!$B$1:$BX$550,MATCH(AC$2,Kraftvärmeprod!$B$1:$VX$1,0),FALSE)/1,0)-IFERROR(VLOOKUP($B100,'Slutlig allokering kvv'!$B$2:$BX$550,MATCH(AC$2,'Slutlig allokering kvv'!$B$1:$BX$1,0),FALSE)/1,0))</f>
        <v/>
      </c>
      <c r="AD100" s="31" t="str">
        <f>IF($D100="","",IFERROR(VLOOKUP($B100,Kraftvärmeprod!$B$1:$BX$550,MATCH(AD$2,Kraftvärmeprod!$B$1:$VX$1,0),FALSE)/1,0)-IFERROR(VLOOKUP($B100,'Slutlig allokering kvv'!$B$2:$BX$550,MATCH(AD$2,'Slutlig allokering kvv'!$B$1:$BX$1,0),FALSE)/1,0))</f>
        <v/>
      </c>
      <c r="AE100" s="31" t="str">
        <f>IF($D100="","",IFERROR(VLOOKUP($B100,Miljö!$B$1:$E$550,MATCH("Hjälpel kraftvärme (GWh)",Miljö!$B$1:$E$1,0),FALSE)/1,0)-IFERROR(VLOOKUP($B100,'Slutlig allokering kvv'!$B$2:$BX$549,MATCH(AE$2,'Slutlig allokering kvv'!$B$1:$BX$1,0),FALSE)/1,0))</f>
        <v/>
      </c>
      <c r="AI100" s="39">
        <f t="shared" si="4"/>
        <v>0</v>
      </c>
      <c r="AK100" s="31">
        <f>IFERROR(VLOOKUP($B100,'Slutlig allokering kvv'!$B$2:$AX$549,MATCH("Summa slutlig allokerad tillförd energi (utan hjälpel och rökgaskondensering):",'Slutlig allokering kvv'!$B$1:$AX$1,0),FALSE)/1,"")</f>
        <v>0</v>
      </c>
      <c r="AM100" s="31" t="str">
        <f>IFERROR(1-VLOOKUP($B100,'Slutlig allokering kvv'!$B$2:$AX$549,MATCH("Andel av bränsle i kvv som allokerats till värme, exklusive rökgaskondensering och hjälpel",'Slutlig allokering kvv'!$B$1:$AX$1,0),FALSE),"")</f>
        <v/>
      </c>
      <c r="AO100" s="31" t="str">
        <f t="shared" si="5"/>
        <v/>
      </c>
      <c r="AP100" s="31" t="str">
        <f t="shared" si="6"/>
        <v/>
      </c>
      <c r="AR100" s="32" t="str">
        <f t="shared" si="7"/>
        <v/>
      </c>
    </row>
    <row r="101" spans="1:44" s="31" customFormat="1" x14ac:dyDescent="0.45">
      <c r="A101" s="31" t="s">
        <v>543</v>
      </c>
      <c r="B101" s="31" t="s">
        <v>542</v>
      </c>
      <c r="C101" s="31" t="str">
        <f>IFERROR(VLOOKUP($B101,Kraftvärmeprod!$B$1:$AH$479,MATCH(C$2,Kraftvärmeprod!$B$1:$AG$1,0),FALSE)/1,"")</f>
        <v/>
      </c>
      <c r="D101" s="31" t="str">
        <f>IFERROR(VLOOKUP($B101,Kraftvärmeprod!$B$1:$AH$479,MATCH(D$2,Kraftvärmeprod!$B$1:$AG$1,0),FALSE)/1,"")</f>
        <v/>
      </c>
      <c r="F101" s="31" t="str">
        <f>IF($D101="","",IFERROR(VLOOKUP($B101,Kraftvärmeprod!$B$1:$BX$550,MATCH(F$2,Kraftvärmeprod!$B$1:$VX$1,0),FALSE)/1,0)-IFERROR(VLOOKUP($B101,'Slutlig allokering kvv'!$B$2:$BX$550,MATCH(F$2,'Slutlig allokering kvv'!$B$1:$BX$1,0),FALSE)/1,0))</f>
        <v/>
      </c>
      <c r="G101" s="31" t="str">
        <f>IF($D101="","",IFERROR(VLOOKUP($B101,Kraftvärmeprod!$B$1:$BX$550,MATCH(G$2,Kraftvärmeprod!$B$1:$VX$1,0),FALSE)/1,0)-IFERROR(VLOOKUP($B101,'Slutlig allokering kvv'!$B$2:$BX$550,MATCH(G$2,'Slutlig allokering kvv'!$B$1:$BX$1,0),FALSE)/1,0))</f>
        <v/>
      </c>
      <c r="H101" s="31" t="str">
        <f>IF($D101="","",IFERROR(VLOOKUP($B101,Kraftvärmeprod!$B$1:$BX$550,MATCH(H$2,Kraftvärmeprod!$B$1:$VX$1,0),FALSE)/1,0)-IFERROR(VLOOKUP($B101,'Slutlig allokering kvv'!$B$2:$BX$550,MATCH(H$2,'Slutlig allokering kvv'!$B$1:$BX$1,0),FALSE)/1,0))</f>
        <v/>
      </c>
      <c r="I101" s="31" t="str">
        <f>IF($D101="","",IFERROR(VLOOKUP($B101,Kraftvärmeprod!$B$1:$BX$550,MATCH(I$2,Kraftvärmeprod!$B$1:$VX$1,0),FALSE)/1,0)-IFERROR(VLOOKUP($B101,'Slutlig allokering kvv'!$B$2:$BX$550,MATCH(I$2,'Slutlig allokering kvv'!$B$1:$BX$1,0),FALSE)/1,0))</f>
        <v/>
      </c>
      <c r="J101" s="31" t="str">
        <f>IF($D101="","",IFERROR(VLOOKUP($B101,Kraftvärmeprod!$B$1:$BX$550,MATCH(J$2,Kraftvärmeprod!$B$1:$VX$1,0),FALSE)/1,0)-IFERROR(VLOOKUP($B101,'Slutlig allokering kvv'!$B$2:$BX$550,MATCH(J$2,'Slutlig allokering kvv'!$B$1:$BX$1,0),FALSE)/1,0))</f>
        <v/>
      </c>
      <c r="K101" s="31" t="str">
        <f>IF($D101="","",IFERROR(VLOOKUP($B101,Kraftvärmeprod!$B$1:$BX$550,MATCH(K$2,Kraftvärmeprod!$B$1:$VX$1,0),FALSE)/1,0)-IFERROR(VLOOKUP($B101,'Slutlig allokering kvv'!$B$2:$BX$550,MATCH(K$2,'Slutlig allokering kvv'!$B$1:$BX$1,0),FALSE)/1,0))</f>
        <v/>
      </c>
      <c r="L101" s="31" t="str">
        <f>IF($D101="","",IFERROR(VLOOKUP($B101,Kraftvärmeprod!$B$1:$BX$550,MATCH(L$2,Kraftvärmeprod!$B$1:$VX$1,0),FALSE)/1,0)-IFERROR(VLOOKUP($B101,'Slutlig allokering kvv'!$B$2:$BX$550,MATCH(L$2,'Slutlig allokering kvv'!$B$1:$BX$1,0),FALSE)/1,0))</f>
        <v/>
      </c>
      <c r="M101" s="31" t="str">
        <f>IF($D101="","",IFERROR(VLOOKUP($B101,Kraftvärmeprod!$B$1:$BX$550,MATCH(M$2,Kraftvärmeprod!$B$1:$VX$1,0),FALSE)/1,0)-IFERROR(VLOOKUP($B101,'Slutlig allokering kvv'!$B$2:$BX$550,MATCH(M$2,'Slutlig allokering kvv'!$B$1:$BX$1,0),FALSE)/1,0))</f>
        <v/>
      </c>
      <c r="N101" s="31" t="str">
        <f>IF($D101="","",IFERROR(VLOOKUP($B101,Kraftvärmeprod!$B$1:$BX$550,MATCH(N$2,Kraftvärmeprod!$B$1:$VX$1,0),FALSE)/1,0)-IFERROR(VLOOKUP($B101,'Slutlig allokering kvv'!$B$2:$BX$550,MATCH(N$2,'Slutlig allokering kvv'!$B$1:$BX$1,0),FALSE)/1,0))</f>
        <v/>
      </c>
      <c r="O101" s="31" t="str">
        <f>IF($D101="","",IFERROR(VLOOKUP($B101,Kraftvärmeprod!$B$1:$BX$550,MATCH(O$2,Kraftvärmeprod!$B$1:$VX$1,0),FALSE)/1,0)-IFERROR(VLOOKUP($B101,'Slutlig allokering kvv'!$B$2:$BX$550,MATCH(O$2,'Slutlig allokering kvv'!$B$1:$BX$1,0),FALSE)/1,0))</f>
        <v/>
      </c>
      <c r="P101" s="31" t="str">
        <f>IF($D101="","",IFERROR(VLOOKUP($B101,Kraftvärmeprod!$B$1:$BX$550,MATCH(P$2,Kraftvärmeprod!$B$1:$VX$1,0),FALSE)/1,0)-IFERROR(VLOOKUP($B101,'Slutlig allokering kvv'!$B$2:$BX$550,MATCH(P$2,'Slutlig allokering kvv'!$B$1:$BX$1,0),FALSE)/1,0))</f>
        <v/>
      </c>
      <c r="Q101" s="31" t="str">
        <f>IF($D101="","",IFERROR(VLOOKUP($B101,Kraftvärmeprod!$B$1:$BX$550,MATCH(Q$2,Kraftvärmeprod!$B$1:$VX$1,0),FALSE)/1,0)-IFERROR(VLOOKUP($B101,'Slutlig allokering kvv'!$B$2:$BX$550,MATCH(Q$2,'Slutlig allokering kvv'!$B$1:$BX$1,0),FALSE)/1,0))</f>
        <v/>
      </c>
      <c r="R101" s="31" t="str">
        <f>IF($D101="","",IFERROR(VLOOKUP($B101,Kraftvärmeprod!$B$1:$BX$550,MATCH(R$2,Kraftvärmeprod!$B$1:$VX$1,0),FALSE)/1,0)-IFERROR(VLOOKUP($B101,'Slutlig allokering kvv'!$B$2:$BX$550,MATCH(R$2,'Slutlig allokering kvv'!$B$1:$BX$1,0),FALSE)/1,0))</f>
        <v/>
      </c>
      <c r="S101" s="31" t="str">
        <f>IF($D101="","",IFERROR(VLOOKUP($B101,Kraftvärmeprod!$B$1:$BX$550,MATCH(S$2,Kraftvärmeprod!$B$1:$VX$1,0),FALSE)/1,0)-IFERROR(VLOOKUP($B101,'Slutlig allokering kvv'!$B$2:$BX$550,MATCH(S$2,'Slutlig allokering kvv'!$B$1:$BX$1,0),FALSE)/1,0))</f>
        <v/>
      </c>
      <c r="T101" s="31" t="str">
        <f>IF($D101="","",IFERROR(VLOOKUP($B101,Kraftvärmeprod!$B$1:$BX$550,MATCH(T$2,Kraftvärmeprod!$B$1:$VX$1,0),FALSE)/1,0)-IFERROR(VLOOKUP($B101,'Slutlig allokering kvv'!$B$2:$BX$550,MATCH(T$2,'Slutlig allokering kvv'!$B$1:$BX$1,0),FALSE)/1,0))</f>
        <v/>
      </c>
      <c r="U101" s="31" t="str">
        <f>IF($D101="","",IFERROR(VLOOKUP($B101,Kraftvärmeprod!$B$1:$BX$550,MATCH(U$2,Kraftvärmeprod!$B$1:$VX$1,0),FALSE)/1,0)-IFERROR(VLOOKUP($B101,'Slutlig allokering kvv'!$B$2:$BX$550,MATCH(U$2,'Slutlig allokering kvv'!$B$1:$BX$1,0),FALSE)/1,0))</f>
        <v/>
      </c>
      <c r="V101" s="31" t="str">
        <f>IF($D101="","",IFERROR(VLOOKUP($B101,Kraftvärmeprod!$B$1:$BX$550,MATCH(V$2,Kraftvärmeprod!$B$1:$VX$1,0),FALSE)/1,0)-IFERROR(VLOOKUP($B101,'Slutlig allokering kvv'!$B$2:$BX$550,MATCH(V$2,'Slutlig allokering kvv'!$B$1:$BX$1,0),FALSE)/1,0))</f>
        <v/>
      </c>
      <c r="W101" s="31" t="str">
        <f>IF($D101="","",IFERROR(VLOOKUP($B101,Kraftvärmeprod!$B$1:$BX$550,MATCH(W$2,Kraftvärmeprod!$B$1:$VX$1,0),FALSE)/1,0)-IFERROR(VLOOKUP($B101,'Slutlig allokering kvv'!$B$2:$BX$550,MATCH(W$2,'Slutlig allokering kvv'!$B$1:$BX$1,0),FALSE)/1,0))</f>
        <v/>
      </c>
      <c r="X101" s="31" t="str">
        <f>IF($D101="","",IFERROR(VLOOKUP($B101,Kraftvärmeprod!$B$1:$BX$550,MATCH(X$2,Kraftvärmeprod!$B$1:$VX$1,0),FALSE)/1,0)-IFERROR(VLOOKUP($B101,'Slutlig allokering kvv'!$B$2:$BX$550,MATCH(X$2,'Slutlig allokering kvv'!$B$1:$BX$1,0),FALSE)/1,0))</f>
        <v/>
      </c>
      <c r="Y101" s="31" t="str">
        <f>IF($D101="","",IFERROR(VLOOKUP($B101,Kraftvärmeprod!$B$1:$BX$550,MATCH(Y$2,Kraftvärmeprod!$B$1:$VX$1,0),FALSE)/1,0)-IFERROR(VLOOKUP($B101,'Slutlig allokering kvv'!$B$2:$BX$550,MATCH(Y$2,'Slutlig allokering kvv'!$B$1:$BX$1,0),FALSE)/1,0))</f>
        <v/>
      </c>
      <c r="Z101" s="31" t="str">
        <f>IF($D101="","",IFERROR(VLOOKUP($B101,Kraftvärmeprod!$B$1:$BX$550,MATCH(Z$2,Kraftvärmeprod!$B$1:$VX$1,0),FALSE)/1,0)-IFERROR(VLOOKUP($B101,'Slutlig allokering kvv'!$B$2:$BX$550,MATCH(Z$2,'Slutlig allokering kvv'!$B$1:$BX$1,0),FALSE)/1,0))</f>
        <v/>
      </c>
      <c r="AA101" s="31" t="str">
        <f>IF($D101="","",IFERROR(VLOOKUP($B101,Kraftvärmeprod!$B$1:$BX$550,MATCH(AA$2,Kraftvärmeprod!$B$1:$VX$1,0),FALSE)/1,0)-IFERROR(VLOOKUP($B101,'Slutlig allokering kvv'!$B$2:$BX$550,MATCH(AA$2,'Slutlig allokering kvv'!$B$1:$BX$1,0),FALSE)/1,0))</f>
        <v/>
      </c>
      <c r="AB101" s="31" t="str">
        <f>IF($D101="","",IFERROR(VLOOKUP($B101,Kraftvärmeprod!$B$1:$BX$550,MATCH(AB$2,Kraftvärmeprod!$B$1:$VX$1,0),FALSE)/1,0)-IFERROR(VLOOKUP($B101,'Slutlig allokering kvv'!$B$2:$BX$550,MATCH(AB$2,'Slutlig allokering kvv'!$B$1:$BX$1,0),FALSE)/1,0))</f>
        <v/>
      </c>
      <c r="AC101" s="31" t="str">
        <f>IF($D101="","",IFERROR(VLOOKUP($B101,Kraftvärmeprod!$B$1:$BX$550,MATCH(AC$2,Kraftvärmeprod!$B$1:$VX$1,0),FALSE)/1,0)-IFERROR(VLOOKUP($B101,'Slutlig allokering kvv'!$B$2:$BX$550,MATCH(AC$2,'Slutlig allokering kvv'!$B$1:$BX$1,0),FALSE)/1,0))</f>
        <v/>
      </c>
      <c r="AD101" s="31" t="str">
        <f>IF($D101="","",IFERROR(VLOOKUP($B101,Kraftvärmeprod!$B$1:$BX$550,MATCH(AD$2,Kraftvärmeprod!$B$1:$VX$1,0),FALSE)/1,0)-IFERROR(VLOOKUP($B101,'Slutlig allokering kvv'!$B$2:$BX$550,MATCH(AD$2,'Slutlig allokering kvv'!$B$1:$BX$1,0),FALSE)/1,0))</f>
        <v/>
      </c>
      <c r="AE101" s="31" t="str">
        <f>IF($D101="","",IFERROR(VLOOKUP($B101,Miljö!$B$1:$E$550,MATCH("Hjälpel kraftvärme (GWh)",Miljö!$B$1:$E$1,0),FALSE)/1,0)-IFERROR(VLOOKUP($B101,'Slutlig allokering kvv'!$B$2:$BX$549,MATCH(AE$2,'Slutlig allokering kvv'!$B$1:$BX$1,0),FALSE)/1,0))</f>
        <v/>
      </c>
      <c r="AI101" s="39">
        <f t="shared" si="4"/>
        <v>0</v>
      </c>
      <c r="AK101" s="31">
        <f>IFERROR(VLOOKUP($B101,'Slutlig allokering kvv'!$B$2:$AX$549,MATCH("Summa slutlig allokerad tillförd energi (utan hjälpel och rökgaskondensering):",'Slutlig allokering kvv'!$B$1:$AX$1,0),FALSE)/1,"")</f>
        <v>0</v>
      </c>
      <c r="AM101" s="31" t="str">
        <f>IFERROR(1-VLOOKUP($B101,'Slutlig allokering kvv'!$B$2:$AX$549,MATCH("Andel av bränsle i kvv som allokerats till värme, exklusive rökgaskondensering och hjälpel",'Slutlig allokering kvv'!$B$1:$AX$1,0),FALSE),"")</f>
        <v/>
      </c>
      <c r="AO101" s="31" t="str">
        <f t="shared" si="5"/>
        <v/>
      </c>
      <c r="AP101" s="31" t="str">
        <f t="shared" si="6"/>
        <v/>
      </c>
      <c r="AR101" s="32" t="str">
        <f t="shared" si="7"/>
        <v/>
      </c>
    </row>
    <row r="102" spans="1:44" s="31" customFormat="1" x14ac:dyDescent="0.45">
      <c r="A102" s="31" t="s">
        <v>543</v>
      </c>
      <c r="B102" s="31" t="s">
        <v>544</v>
      </c>
      <c r="C102" s="31" t="str">
        <f>IFERROR(VLOOKUP($B102,Kraftvärmeprod!$B$1:$AH$479,MATCH(C$2,Kraftvärmeprod!$B$1:$AG$1,0),FALSE)/1,"")</f>
        <v/>
      </c>
      <c r="D102" s="31" t="str">
        <f>IFERROR(VLOOKUP($B102,Kraftvärmeprod!$B$1:$AH$479,MATCH(D$2,Kraftvärmeprod!$B$1:$AG$1,0),FALSE)/1,"")</f>
        <v/>
      </c>
      <c r="F102" s="31" t="str">
        <f>IF($D102="","",IFERROR(VLOOKUP($B102,Kraftvärmeprod!$B$1:$BX$550,MATCH(F$2,Kraftvärmeprod!$B$1:$VX$1,0),FALSE)/1,0)-IFERROR(VLOOKUP($B102,'Slutlig allokering kvv'!$B$2:$BX$550,MATCH(F$2,'Slutlig allokering kvv'!$B$1:$BX$1,0),FALSE)/1,0))</f>
        <v/>
      </c>
      <c r="G102" s="31" t="str">
        <f>IF($D102="","",IFERROR(VLOOKUP($B102,Kraftvärmeprod!$B$1:$BX$550,MATCH(G$2,Kraftvärmeprod!$B$1:$VX$1,0),FALSE)/1,0)-IFERROR(VLOOKUP($B102,'Slutlig allokering kvv'!$B$2:$BX$550,MATCH(G$2,'Slutlig allokering kvv'!$B$1:$BX$1,0),FALSE)/1,0))</f>
        <v/>
      </c>
      <c r="H102" s="31" t="str">
        <f>IF($D102="","",IFERROR(VLOOKUP($B102,Kraftvärmeprod!$B$1:$BX$550,MATCH(H$2,Kraftvärmeprod!$B$1:$VX$1,0),FALSE)/1,0)-IFERROR(VLOOKUP($B102,'Slutlig allokering kvv'!$B$2:$BX$550,MATCH(H$2,'Slutlig allokering kvv'!$B$1:$BX$1,0),FALSE)/1,0))</f>
        <v/>
      </c>
      <c r="I102" s="31" t="str">
        <f>IF($D102="","",IFERROR(VLOOKUP($B102,Kraftvärmeprod!$B$1:$BX$550,MATCH(I$2,Kraftvärmeprod!$B$1:$VX$1,0),FALSE)/1,0)-IFERROR(VLOOKUP($B102,'Slutlig allokering kvv'!$B$2:$BX$550,MATCH(I$2,'Slutlig allokering kvv'!$B$1:$BX$1,0),FALSE)/1,0))</f>
        <v/>
      </c>
      <c r="J102" s="31" t="str">
        <f>IF($D102="","",IFERROR(VLOOKUP($B102,Kraftvärmeprod!$B$1:$BX$550,MATCH(J$2,Kraftvärmeprod!$B$1:$VX$1,0),FALSE)/1,0)-IFERROR(VLOOKUP($B102,'Slutlig allokering kvv'!$B$2:$BX$550,MATCH(J$2,'Slutlig allokering kvv'!$B$1:$BX$1,0),FALSE)/1,0))</f>
        <v/>
      </c>
      <c r="K102" s="31" t="str">
        <f>IF($D102="","",IFERROR(VLOOKUP($B102,Kraftvärmeprod!$B$1:$BX$550,MATCH(K$2,Kraftvärmeprod!$B$1:$VX$1,0),FALSE)/1,0)-IFERROR(VLOOKUP($B102,'Slutlig allokering kvv'!$B$2:$BX$550,MATCH(K$2,'Slutlig allokering kvv'!$B$1:$BX$1,0),FALSE)/1,0))</f>
        <v/>
      </c>
      <c r="L102" s="31" t="str">
        <f>IF($D102="","",IFERROR(VLOOKUP($B102,Kraftvärmeprod!$B$1:$BX$550,MATCH(L$2,Kraftvärmeprod!$B$1:$VX$1,0),FALSE)/1,0)-IFERROR(VLOOKUP($B102,'Slutlig allokering kvv'!$B$2:$BX$550,MATCH(L$2,'Slutlig allokering kvv'!$B$1:$BX$1,0),FALSE)/1,0))</f>
        <v/>
      </c>
      <c r="M102" s="31" t="str">
        <f>IF($D102="","",IFERROR(VLOOKUP($B102,Kraftvärmeprod!$B$1:$BX$550,MATCH(M$2,Kraftvärmeprod!$B$1:$VX$1,0),FALSE)/1,0)-IFERROR(VLOOKUP($B102,'Slutlig allokering kvv'!$B$2:$BX$550,MATCH(M$2,'Slutlig allokering kvv'!$B$1:$BX$1,0),FALSE)/1,0))</f>
        <v/>
      </c>
      <c r="N102" s="31" t="str">
        <f>IF($D102="","",IFERROR(VLOOKUP($B102,Kraftvärmeprod!$B$1:$BX$550,MATCH(N$2,Kraftvärmeprod!$B$1:$VX$1,0),FALSE)/1,0)-IFERROR(VLOOKUP($B102,'Slutlig allokering kvv'!$B$2:$BX$550,MATCH(N$2,'Slutlig allokering kvv'!$B$1:$BX$1,0),FALSE)/1,0))</f>
        <v/>
      </c>
      <c r="O102" s="31" t="str">
        <f>IF($D102="","",IFERROR(VLOOKUP($B102,Kraftvärmeprod!$B$1:$BX$550,MATCH(O$2,Kraftvärmeprod!$B$1:$VX$1,0),FALSE)/1,0)-IFERROR(VLOOKUP($B102,'Slutlig allokering kvv'!$B$2:$BX$550,MATCH(O$2,'Slutlig allokering kvv'!$B$1:$BX$1,0),FALSE)/1,0))</f>
        <v/>
      </c>
      <c r="P102" s="31" t="str">
        <f>IF($D102="","",IFERROR(VLOOKUP($B102,Kraftvärmeprod!$B$1:$BX$550,MATCH(P$2,Kraftvärmeprod!$B$1:$VX$1,0),FALSE)/1,0)-IFERROR(VLOOKUP($B102,'Slutlig allokering kvv'!$B$2:$BX$550,MATCH(P$2,'Slutlig allokering kvv'!$B$1:$BX$1,0),FALSE)/1,0))</f>
        <v/>
      </c>
      <c r="Q102" s="31" t="str">
        <f>IF($D102="","",IFERROR(VLOOKUP($B102,Kraftvärmeprod!$B$1:$BX$550,MATCH(Q$2,Kraftvärmeprod!$B$1:$VX$1,0),FALSE)/1,0)-IFERROR(VLOOKUP($B102,'Slutlig allokering kvv'!$B$2:$BX$550,MATCH(Q$2,'Slutlig allokering kvv'!$B$1:$BX$1,0),FALSE)/1,0))</f>
        <v/>
      </c>
      <c r="R102" s="31" t="str">
        <f>IF($D102="","",IFERROR(VLOOKUP($B102,Kraftvärmeprod!$B$1:$BX$550,MATCH(R$2,Kraftvärmeprod!$B$1:$VX$1,0),FALSE)/1,0)-IFERROR(VLOOKUP($B102,'Slutlig allokering kvv'!$B$2:$BX$550,MATCH(R$2,'Slutlig allokering kvv'!$B$1:$BX$1,0),FALSE)/1,0))</f>
        <v/>
      </c>
      <c r="S102" s="31" t="str">
        <f>IF($D102="","",IFERROR(VLOOKUP($B102,Kraftvärmeprod!$B$1:$BX$550,MATCH(S$2,Kraftvärmeprod!$B$1:$VX$1,0),FALSE)/1,0)-IFERROR(VLOOKUP($B102,'Slutlig allokering kvv'!$B$2:$BX$550,MATCH(S$2,'Slutlig allokering kvv'!$B$1:$BX$1,0),FALSE)/1,0))</f>
        <v/>
      </c>
      <c r="T102" s="31" t="str">
        <f>IF($D102="","",IFERROR(VLOOKUP($B102,Kraftvärmeprod!$B$1:$BX$550,MATCH(T$2,Kraftvärmeprod!$B$1:$VX$1,0),FALSE)/1,0)-IFERROR(VLOOKUP($B102,'Slutlig allokering kvv'!$B$2:$BX$550,MATCH(T$2,'Slutlig allokering kvv'!$B$1:$BX$1,0),FALSE)/1,0))</f>
        <v/>
      </c>
      <c r="U102" s="31" t="str">
        <f>IF($D102="","",IFERROR(VLOOKUP($B102,Kraftvärmeprod!$B$1:$BX$550,MATCH(U$2,Kraftvärmeprod!$B$1:$VX$1,0),FALSE)/1,0)-IFERROR(VLOOKUP($B102,'Slutlig allokering kvv'!$B$2:$BX$550,MATCH(U$2,'Slutlig allokering kvv'!$B$1:$BX$1,0),FALSE)/1,0))</f>
        <v/>
      </c>
      <c r="V102" s="31" t="str">
        <f>IF($D102="","",IFERROR(VLOOKUP($B102,Kraftvärmeprod!$B$1:$BX$550,MATCH(V$2,Kraftvärmeprod!$B$1:$VX$1,0),FALSE)/1,0)-IFERROR(VLOOKUP($B102,'Slutlig allokering kvv'!$B$2:$BX$550,MATCH(V$2,'Slutlig allokering kvv'!$B$1:$BX$1,0),FALSE)/1,0))</f>
        <v/>
      </c>
      <c r="W102" s="31" t="str">
        <f>IF($D102="","",IFERROR(VLOOKUP($B102,Kraftvärmeprod!$B$1:$BX$550,MATCH(W$2,Kraftvärmeprod!$B$1:$VX$1,0),FALSE)/1,0)-IFERROR(VLOOKUP($B102,'Slutlig allokering kvv'!$B$2:$BX$550,MATCH(W$2,'Slutlig allokering kvv'!$B$1:$BX$1,0),FALSE)/1,0))</f>
        <v/>
      </c>
      <c r="X102" s="31" t="str">
        <f>IF($D102="","",IFERROR(VLOOKUP($B102,Kraftvärmeprod!$B$1:$BX$550,MATCH(X$2,Kraftvärmeprod!$B$1:$VX$1,0),FALSE)/1,0)-IFERROR(VLOOKUP($B102,'Slutlig allokering kvv'!$B$2:$BX$550,MATCH(X$2,'Slutlig allokering kvv'!$B$1:$BX$1,0),FALSE)/1,0))</f>
        <v/>
      </c>
      <c r="Y102" s="31" t="str">
        <f>IF($D102="","",IFERROR(VLOOKUP($B102,Kraftvärmeprod!$B$1:$BX$550,MATCH(Y$2,Kraftvärmeprod!$B$1:$VX$1,0),FALSE)/1,0)-IFERROR(VLOOKUP($B102,'Slutlig allokering kvv'!$B$2:$BX$550,MATCH(Y$2,'Slutlig allokering kvv'!$B$1:$BX$1,0),FALSE)/1,0))</f>
        <v/>
      </c>
      <c r="Z102" s="31" t="str">
        <f>IF($D102="","",IFERROR(VLOOKUP($B102,Kraftvärmeprod!$B$1:$BX$550,MATCH(Z$2,Kraftvärmeprod!$B$1:$VX$1,0),FALSE)/1,0)-IFERROR(VLOOKUP($B102,'Slutlig allokering kvv'!$B$2:$BX$550,MATCH(Z$2,'Slutlig allokering kvv'!$B$1:$BX$1,0),FALSE)/1,0))</f>
        <v/>
      </c>
      <c r="AA102" s="31" t="str">
        <f>IF($D102="","",IFERROR(VLOOKUP($B102,Kraftvärmeprod!$B$1:$BX$550,MATCH(AA$2,Kraftvärmeprod!$B$1:$VX$1,0),FALSE)/1,0)-IFERROR(VLOOKUP($B102,'Slutlig allokering kvv'!$B$2:$BX$550,MATCH(AA$2,'Slutlig allokering kvv'!$B$1:$BX$1,0),FALSE)/1,0))</f>
        <v/>
      </c>
      <c r="AB102" s="31" t="str">
        <f>IF($D102="","",IFERROR(VLOOKUP($B102,Kraftvärmeprod!$B$1:$BX$550,MATCH(AB$2,Kraftvärmeprod!$B$1:$VX$1,0),FALSE)/1,0)-IFERROR(VLOOKUP($B102,'Slutlig allokering kvv'!$B$2:$BX$550,MATCH(AB$2,'Slutlig allokering kvv'!$B$1:$BX$1,0),FALSE)/1,0))</f>
        <v/>
      </c>
      <c r="AC102" s="31" t="str">
        <f>IF($D102="","",IFERROR(VLOOKUP($B102,Kraftvärmeprod!$B$1:$BX$550,MATCH(AC$2,Kraftvärmeprod!$B$1:$VX$1,0),FALSE)/1,0)-IFERROR(VLOOKUP($B102,'Slutlig allokering kvv'!$B$2:$BX$550,MATCH(AC$2,'Slutlig allokering kvv'!$B$1:$BX$1,0),FALSE)/1,0))</f>
        <v/>
      </c>
      <c r="AD102" s="31" t="str">
        <f>IF($D102="","",IFERROR(VLOOKUP($B102,Kraftvärmeprod!$B$1:$BX$550,MATCH(AD$2,Kraftvärmeprod!$B$1:$VX$1,0),FALSE)/1,0)-IFERROR(VLOOKUP($B102,'Slutlig allokering kvv'!$B$2:$BX$550,MATCH(AD$2,'Slutlig allokering kvv'!$B$1:$BX$1,0),FALSE)/1,0))</f>
        <v/>
      </c>
      <c r="AE102" s="31" t="str">
        <f>IF($D102="","",IFERROR(VLOOKUP($B102,Miljö!$B$1:$E$550,MATCH("Hjälpel kraftvärme (GWh)",Miljö!$B$1:$E$1,0),FALSE)/1,0)-IFERROR(VLOOKUP($B102,'Slutlig allokering kvv'!$B$2:$BX$549,MATCH(AE$2,'Slutlig allokering kvv'!$B$1:$BX$1,0),FALSE)/1,0))</f>
        <v/>
      </c>
      <c r="AI102" s="39">
        <f t="shared" si="4"/>
        <v>0</v>
      </c>
      <c r="AK102" s="31">
        <f>IFERROR(VLOOKUP($B102,'Slutlig allokering kvv'!$B$2:$AX$549,MATCH("Summa slutlig allokerad tillförd energi (utan hjälpel och rökgaskondensering):",'Slutlig allokering kvv'!$B$1:$AX$1,0),FALSE)/1,"")</f>
        <v>0</v>
      </c>
      <c r="AM102" s="31" t="str">
        <f>IFERROR(1-VLOOKUP($B102,'Slutlig allokering kvv'!$B$2:$AX$549,MATCH("Andel av bränsle i kvv som allokerats till värme, exklusive rökgaskondensering och hjälpel",'Slutlig allokering kvv'!$B$1:$AX$1,0),FALSE),"")</f>
        <v/>
      </c>
      <c r="AO102" s="31" t="str">
        <f t="shared" si="5"/>
        <v/>
      </c>
      <c r="AP102" s="31" t="str">
        <f t="shared" si="6"/>
        <v/>
      </c>
      <c r="AR102" s="32" t="str">
        <f t="shared" si="7"/>
        <v/>
      </c>
    </row>
    <row r="103" spans="1:44" s="31" customFormat="1" x14ac:dyDescent="0.45">
      <c r="A103" s="31" t="s">
        <v>538</v>
      </c>
      <c r="B103" s="31" t="s">
        <v>541</v>
      </c>
      <c r="C103" s="31">
        <f>IFERROR(VLOOKUP($B103,Kraftvärmeprod!$B$1:$AH$479,MATCH(C$2,Kraftvärmeprod!$B$1:$AG$1,0),FALSE)/1,"")</f>
        <v>31.3</v>
      </c>
      <c r="D103" s="31">
        <f>IFERROR(VLOOKUP($B103,Kraftvärmeprod!$B$1:$AH$479,MATCH(D$2,Kraftvärmeprod!$B$1:$AG$1,0),FALSE)/1,"")</f>
        <v>5.4</v>
      </c>
      <c r="F103" s="31">
        <f>IF($D103="","",IFERROR(VLOOKUP($B103,Kraftvärmeprod!$B$1:$BX$550,MATCH(F$2,Kraftvärmeprod!$B$1:$VX$1,0),FALSE)/1,0)-IFERROR(VLOOKUP($B103,'Slutlig allokering kvv'!$B$2:$BX$550,MATCH(F$2,'Slutlig allokering kvv'!$B$1:$BX$1,0),FALSE)/1,0))</f>
        <v>0</v>
      </c>
      <c r="G103" s="31">
        <f>IF($D103="","",IFERROR(VLOOKUP($B103,Kraftvärmeprod!$B$1:$BX$550,MATCH(G$2,Kraftvärmeprod!$B$1:$VX$1,0),FALSE)/1,0)-IFERROR(VLOOKUP($B103,'Slutlig allokering kvv'!$B$2:$BX$550,MATCH(G$2,'Slutlig allokering kvv'!$B$1:$BX$1,0),FALSE)/1,0))</f>
        <v>0</v>
      </c>
      <c r="H103" s="31">
        <f>IF($D103="","",IFERROR(VLOOKUP($B103,Kraftvärmeprod!$B$1:$BX$550,MATCH(H$2,Kraftvärmeprod!$B$1:$VX$1,0),FALSE)/1,0)-IFERROR(VLOOKUP($B103,'Slutlig allokering kvv'!$B$2:$BX$550,MATCH(H$2,'Slutlig allokering kvv'!$B$1:$BX$1,0),FALSE)/1,0))</f>
        <v>0</v>
      </c>
      <c r="I103" s="31">
        <f>IF($D103="","",IFERROR(VLOOKUP($B103,Kraftvärmeprod!$B$1:$BX$550,MATCH(I$2,Kraftvärmeprod!$B$1:$VX$1,0),FALSE)/1,0)-IFERROR(VLOOKUP($B103,'Slutlig allokering kvv'!$B$2:$BX$550,MATCH(I$2,'Slutlig allokering kvv'!$B$1:$BX$1,0),FALSE)/1,0))</f>
        <v>0</v>
      </c>
      <c r="J103" s="31">
        <f>IF($D103="","",IFERROR(VLOOKUP($B103,Kraftvärmeprod!$B$1:$BX$550,MATCH(J$2,Kraftvärmeprod!$B$1:$VX$1,0),FALSE)/1,0)-IFERROR(VLOOKUP($B103,'Slutlig allokering kvv'!$B$2:$BX$550,MATCH(J$2,'Slutlig allokering kvv'!$B$1:$BX$1,0),FALSE)/1,0))</f>
        <v>0</v>
      </c>
      <c r="K103" s="31">
        <f>IF($D103="","",IFERROR(VLOOKUP($B103,Kraftvärmeprod!$B$1:$BX$550,MATCH(K$2,Kraftvärmeprod!$B$1:$VX$1,0),FALSE)/1,0)-IFERROR(VLOOKUP($B103,'Slutlig allokering kvv'!$B$2:$BX$550,MATCH(K$2,'Slutlig allokering kvv'!$B$1:$BX$1,0),FALSE)/1,0))</f>
        <v>0</v>
      </c>
      <c r="L103" s="31">
        <f>IF($D103="","",IFERROR(VLOOKUP($B103,Kraftvärmeprod!$B$1:$BX$550,MATCH(L$2,Kraftvärmeprod!$B$1:$VX$1,0),FALSE)/1,0)-IFERROR(VLOOKUP($B103,'Slutlig allokering kvv'!$B$2:$BX$550,MATCH(L$2,'Slutlig allokering kvv'!$B$1:$BX$1,0),FALSE)/1,0))</f>
        <v>2.6673599999999995</v>
      </c>
      <c r="M103" s="31">
        <f>IF($D103="","",IFERROR(VLOOKUP($B103,Kraftvärmeprod!$B$1:$BX$550,MATCH(M$2,Kraftvärmeprod!$B$1:$VX$1,0),FALSE)/1,0)-IFERROR(VLOOKUP($B103,'Slutlig allokering kvv'!$B$2:$BX$550,MATCH(M$2,'Slutlig allokering kvv'!$B$1:$BX$1,0),FALSE)/1,0))</f>
        <v>2.6673599999999995</v>
      </c>
      <c r="N103" s="31">
        <f>IF($D103="","",IFERROR(VLOOKUP($B103,Kraftvärmeprod!$B$1:$BX$550,MATCH(N$2,Kraftvärmeprod!$B$1:$VX$1,0),FALSE)/1,0)-IFERROR(VLOOKUP($B103,'Slutlig allokering kvv'!$B$2:$BX$550,MATCH(N$2,'Slutlig allokering kvv'!$B$1:$BX$1,0),FALSE)/1,0))</f>
        <v>2.6673599999999995</v>
      </c>
      <c r="O103" s="31">
        <f>IF($D103="","",IFERROR(VLOOKUP($B103,Kraftvärmeprod!$B$1:$BX$550,MATCH(O$2,Kraftvärmeprod!$B$1:$VX$1,0),FALSE)/1,0)-IFERROR(VLOOKUP($B103,'Slutlig allokering kvv'!$B$2:$BX$550,MATCH(O$2,'Slutlig allokering kvv'!$B$1:$BX$1,0),FALSE)/1,0))</f>
        <v>2.6673599999999995</v>
      </c>
      <c r="P103" s="31">
        <f>IF($D103="","",IFERROR(VLOOKUP($B103,Kraftvärmeprod!$B$1:$BX$550,MATCH(P$2,Kraftvärmeprod!$B$1:$VX$1,0),FALSE)/1,0)-IFERROR(VLOOKUP($B103,'Slutlig allokering kvv'!$B$2:$BX$550,MATCH(P$2,'Slutlig allokering kvv'!$B$1:$BX$1,0),FALSE)/1,0))</f>
        <v>0</v>
      </c>
      <c r="Q103" s="31">
        <f>IF($D103="","",IFERROR(VLOOKUP($B103,Kraftvärmeprod!$B$1:$BX$550,MATCH(Q$2,Kraftvärmeprod!$B$1:$VX$1,0),FALSE)/1,0)-IFERROR(VLOOKUP($B103,'Slutlig allokering kvv'!$B$2:$BX$550,MATCH(Q$2,'Slutlig allokering kvv'!$B$1:$BX$1,0),FALSE)/1,0))</f>
        <v>2.6673599999999995</v>
      </c>
      <c r="R103" s="31">
        <f>IF($D103="","",IFERROR(VLOOKUP($B103,Kraftvärmeprod!$B$1:$BX$550,MATCH(R$2,Kraftvärmeprod!$B$1:$VX$1,0),FALSE)/1,0)-IFERROR(VLOOKUP($B103,'Slutlig allokering kvv'!$B$2:$BX$550,MATCH(R$2,'Slutlig allokering kvv'!$B$1:$BX$1,0),FALSE)/1,0))</f>
        <v>0</v>
      </c>
      <c r="S103" s="31">
        <f>IF($D103="","",IFERROR(VLOOKUP($B103,Kraftvärmeprod!$B$1:$BX$550,MATCH(S$2,Kraftvärmeprod!$B$1:$VX$1,0),FALSE)/1,0)-IFERROR(VLOOKUP($B103,'Slutlig allokering kvv'!$B$2:$BX$550,MATCH(S$2,'Slutlig allokering kvv'!$B$1:$BX$1,0),FALSE)/1,0))</f>
        <v>0</v>
      </c>
      <c r="T103" s="31">
        <f>IF($D103="","",IFERROR(VLOOKUP($B103,Kraftvärmeprod!$B$1:$BX$550,MATCH(T$2,Kraftvärmeprod!$B$1:$VX$1,0),FALSE)/1,0)-IFERROR(VLOOKUP($B103,'Slutlig allokering kvv'!$B$2:$BX$550,MATCH(T$2,'Slutlig allokering kvv'!$B$1:$BX$1,0),FALSE)/1,0))</f>
        <v>0</v>
      </c>
      <c r="U103" s="31">
        <f>IF($D103="","",IFERROR(VLOOKUP($B103,Kraftvärmeprod!$B$1:$BX$550,MATCH(U$2,Kraftvärmeprod!$B$1:$VX$1,0),FALSE)/1,0)-IFERROR(VLOOKUP($B103,'Slutlig allokering kvv'!$B$2:$BX$550,MATCH(U$2,'Slutlig allokering kvv'!$B$1:$BX$1,0),FALSE)/1,0))</f>
        <v>0</v>
      </c>
      <c r="V103" s="31">
        <f>IF($D103="","",IFERROR(VLOOKUP($B103,Kraftvärmeprod!$B$1:$BX$550,MATCH(V$2,Kraftvärmeprod!$B$1:$VX$1,0),FALSE)/1,0)-IFERROR(VLOOKUP($B103,'Slutlig allokering kvv'!$B$2:$BX$550,MATCH(V$2,'Slutlig allokering kvv'!$B$1:$BX$1,0),FALSE)/1,0))</f>
        <v>0</v>
      </c>
      <c r="W103" s="31">
        <f>IF($D103="","",IFERROR(VLOOKUP($B103,Kraftvärmeprod!$B$1:$BX$550,MATCH(W$2,Kraftvärmeprod!$B$1:$VX$1,0),FALSE)/1,0)-IFERROR(VLOOKUP($B103,'Slutlig allokering kvv'!$B$2:$BX$550,MATCH(W$2,'Slutlig allokering kvv'!$B$1:$BX$1,0),FALSE)/1,0))</f>
        <v>0</v>
      </c>
      <c r="X103" s="31">
        <f>IF($D103="","",IFERROR(VLOOKUP($B103,Kraftvärmeprod!$B$1:$BX$550,MATCH(X$2,Kraftvärmeprod!$B$1:$VX$1,0),FALSE)/1,0)-IFERROR(VLOOKUP($B103,'Slutlig allokering kvv'!$B$2:$BX$550,MATCH(X$2,'Slutlig allokering kvv'!$B$1:$BX$1,0),FALSE)/1,0))</f>
        <v>0</v>
      </c>
      <c r="Y103" s="31">
        <f>IF($D103="","",IFERROR(VLOOKUP($B103,Kraftvärmeprod!$B$1:$BX$550,MATCH(Y$2,Kraftvärmeprod!$B$1:$VX$1,0),FALSE)/1,0)-IFERROR(VLOOKUP($B103,'Slutlig allokering kvv'!$B$2:$BX$550,MATCH(Y$2,'Slutlig allokering kvv'!$B$1:$BX$1,0),FALSE)/1,0))</f>
        <v>0</v>
      </c>
      <c r="Z103" s="31">
        <f>IF($D103="","",IFERROR(VLOOKUP($B103,Kraftvärmeprod!$B$1:$BX$550,MATCH(Z$2,Kraftvärmeprod!$B$1:$VX$1,0),FALSE)/1,0)-IFERROR(VLOOKUP($B103,'Slutlig allokering kvv'!$B$2:$BX$550,MATCH(Z$2,'Slutlig allokering kvv'!$B$1:$BX$1,0),FALSE)/1,0))</f>
        <v>0</v>
      </c>
      <c r="AA103" s="31">
        <f>IF($D103="","",IFERROR(VLOOKUP($B103,Kraftvärmeprod!$B$1:$BX$550,MATCH(AA$2,Kraftvärmeprod!$B$1:$VX$1,0),FALSE)/1,0)-IFERROR(VLOOKUP($B103,'Slutlig allokering kvv'!$B$2:$BX$550,MATCH(AA$2,'Slutlig allokering kvv'!$B$1:$BX$1,0),FALSE)/1,0))</f>
        <v>0</v>
      </c>
      <c r="AB103" s="31">
        <f>IF($D103="","",IFERROR(VLOOKUP($B103,Kraftvärmeprod!$B$1:$BX$550,MATCH(AB$2,Kraftvärmeprod!$B$1:$VX$1,0),FALSE)/1,0)-IFERROR(VLOOKUP($B103,'Slutlig allokering kvv'!$B$2:$BX$550,MATCH(AB$2,'Slutlig allokering kvv'!$B$1:$BX$1,0),FALSE)/1,0))</f>
        <v>0</v>
      </c>
      <c r="AC103" s="31">
        <f>IF($D103="","",IFERROR(VLOOKUP($B103,Kraftvärmeprod!$B$1:$BX$550,MATCH(AC$2,Kraftvärmeprod!$B$1:$VX$1,0),FALSE)/1,0)-IFERROR(VLOOKUP($B103,'Slutlig allokering kvv'!$B$2:$BX$550,MATCH(AC$2,'Slutlig allokering kvv'!$B$1:$BX$1,0),FALSE)/1,0))</f>
        <v>0</v>
      </c>
      <c r="AD103" s="31">
        <f>IF($D103="","",IFERROR(VLOOKUP($B103,Kraftvärmeprod!$B$1:$BX$550,MATCH(AD$2,Kraftvärmeprod!$B$1:$VX$1,0),FALSE)/1,0)-IFERROR(VLOOKUP($B103,'Slutlig allokering kvv'!$B$2:$BX$550,MATCH(AD$2,'Slutlig allokering kvv'!$B$1:$BX$1,0),FALSE)/1,0))</f>
        <v>0</v>
      </c>
      <c r="AE103" s="31">
        <f>IF($D103="","",IFERROR(VLOOKUP($B103,Miljö!$B$1:$E$550,MATCH("Hjälpel kraftvärme (GWh)",Miljö!$B$1:$E$1,0),FALSE)/1,0)-IFERROR(VLOOKUP($B103,'Slutlig allokering kvv'!$B$2:$BX$549,MATCH(AE$2,'Slutlig allokering kvv'!$B$1:$BX$1,0),FALSE)/1,0))</f>
        <v>0.4652400000000001</v>
      </c>
      <c r="AI103" s="39">
        <f t="shared" si="4"/>
        <v>13.336799999999997</v>
      </c>
      <c r="AK103" s="31">
        <f>IFERROR(VLOOKUP($B103,'Slutlig allokering kvv'!$B$2:$AX$549,MATCH("Summa slutlig allokerad tillförd energi (utan hjälpel och rökgaskondensering):",'Slutlig allokering kvv'!$B$1:$AX$1,0),FALSE)/1,"")</f>
        <v>29.6632</v>
      </c>
      <c r="AM103" s="31">
        <f>IFERROR(1-VLOOKUP($B103,'Slutlig allokering kvv'!$B$2:$AX$549,MATCH("Andel av bränsle i kvv som allokerats till värme, exklusive rökgaskondensering och hjälpel",'Slutlig allokering kvv'!$B$1:$AX$1,0),FALSE),"")</f>
        <v>0.31015813953488369</v>
      </c>
      <c r="AO103" s="31">
        <f t="shared" si="5"/>
        <v>0.31015813953488364</v>
      </c>
      <c r="AP103" s="31">
        <f t="shared" si="6"/>
        <v>5.5511151231257827E-17</v>
      </c>
      <c r="AR103" s="32">
        <f t="shared" si="7"/>
        <v>0.39124651138527361</v>
      </c>
    </row>
    <row r="104" spans="1:44" s="31" customFormat="1" x14ac:dyDescent="0.45">
      <c r="A104" s="31" t="s">
        <v>538</v>
      </c>
      <c r="B104" s="31" t="s">
        <v>540</v>
      </c>
      <c r="C104" s="31" t="str">
        <f>IFERROR(VLOOKUP($B104,Kraftvärmeprod!$B$1:$AH$479,MATCH(C$2,Kraftvärmeprod!$B$1:$AG$1,0),FALSE)/1,"")</f>
        <v/>
      </c>
      <c r="D104" s="31" t="str">
        <f>IFERROR(VLOOKUP($B104,Kraftvärmeprod!$B$1:$AH$479,MATCH(D$2,Kraftvärmeprod!$B$1:$AG$1,0),FALSE)/1,"")</f>
        <v/>
      </c>
      <c r="F104" s="31" t="str">
        <f>IF($D104="","",IFERROR(VLOOKUP($B104,Kraftvärmeprod!$B$1:$BX$550,MATCH(F$2,Kraftvärmeprod!$B$1:$VX$1,0),FALSE)/1,0)-IFERROR(VLOOKUP($B104,'Slutlig allokering kvv'!$B$2:$BX$550,MATCH(F$2,'Slutlig allokering kvv'!$B$1:$BX$1,0),FALSE)/1,0))</f>
        <v/>
      </c>
      <c r="G104" s="31" t="str">
        <f>IF($D104="","",IFERROR(VLOOKUP($B104,Kraftvärmeprod!$B$1:$BX$550,MATCH(G$2,Kraftvärmeprod!$B$1:$VX$1,0),FALSE)/1,0)-IFERROR(VLOOKUP($B104,'Slutlig allokering kvv'!$B$2:$BX$550,MATCH(G$2,'Slutlig allokering kvv'!$B$1:$BX$1,0),FALSE)/1,0))</f>
        <v/>
      </c>
      <c r="H104" s="31" t="str">
        <f>IF($D104="","",IFERROR(VLOOKUP($B104,Kraftvärmeprod!$B$1:$BX$550,MATCH(H$2,Kraftvärmeprod!$B$1:$VX$1,0),FALSE)/1,0)-IFERROR(VLOOKUP($B104,'Slutlig allokering kvv'!$B$2:$BX$550,MATCH(H$2,'Slutlig allokering kvv'!$B$1:$BX$1,0),FALSE)/1,0))</f>
        <v/>
      </c>
      <c r="I104" s="31" t="str">
        <f>IF($D104="","",IFERROR(VLOOKUP($B104,Kraftvärmeprod!$B$1:$BX$550,MATCH(I$2,Kraftvärmeprod!$B$1:$VX$1,0),FALSE)/1,0)-IFERROR(VLOOKUP($B104,'Slutlig allokering kvv'!$B$2:$BX$550,MATCH(I$2,'Slutlig allokering kvv'!$B$1:$BX$1,0),FALSE)/1,0))</f>
        <v/>
      </c>
      <c r="J104" s="31" t="str">
        <f>IF($D104="","",IFERROR(VLOOKUP($B104,Kraftvärmeprod!$B$1:$BX$550,MATCH(J$2,Kraftvärmeprod!$B$1:$VX$1,0),FALSE)/1,0)-IFERROR(VLOOKUP($B104,'Slutlig allokering kvv'!$B$2:$BX$550,MATCH(J$2,'Slutlig allokering kvv'!$B$1:$BX$1,0),FALSE)/1,0))</f>
        <v/>
      </c>
      <c r="K104" s="31" t="str">
        <f>IF($D104="","",IFERROR(VLOOKUP($B104,Kraftvärmeprod!$B$1:$BX$550,MATCH(K$2,Kraftvärmeprod!$B$1:$VX$1,0),FALSE)/1,0)-IFERROR(VLOOKUP($B104,'Slutlig allokering kvv'!$B$2:$BX$550,MATCH(K$2,'Slutlig allokering kvv'!$B$1:$BX$1,0),FALSE)/1,0))</f>
        <v/>
      </c>
      <c r="L104" s="31" t="str">
        <f>IF($D104="","",IFERROR(VLOOKUP($B104,Kraftvärmeprod!$B$1:$BX$550,MATCH(L$2,Kraftvärmeprod!$B$1:$VX$1,0),FALSE)/1,0)-IFERROR(VLOOKUP($B104,'Slutlig allokering kvv'!$B$2:$BX$550,MATCH(L$2,'Slutlig allokering kvv'!$B$1:$BX$1,0),FALSE)/1,0))</f>
        <v/>
      </c>
      <c r="M104" s="31" t="str">
        <f>IF($D104="","",IFERROR(VLOOKUP($B104,Kraftvärmeprod!$B$1:$BX$550,MATCH(M$2,Kraftvärmeprod!$B$1:$VX$1,0),FALSE)/1,0)-IFERROR(VLOOKUP($B104,'Slutlig allokering kvv'!$B$2:$BX$550,MATCH(M$2,'Slutlig allokering kvv'!$B$1:$BX$1,0),FALSE)/1,0))</f>
        <v/>
      </c>
      <c r="N104" s="31" t="str">
        <f>IF($D104="","",IFERROR(VLOOKUP($B104,Kraftvärmeprod!$B$1:$BX$550,MATCH(N$2,Kraftvärmeprod!$B$1:$VX$1,0),FALSE)/1,0)-IFERROR(VLOOKUP($B104,'Slutlig allokering kvv'!$B$2:$BX$550,MATCH(N$2,'Slutlig allokering kvv'!$B$1:$BX$1,0),FALSE)/1,0))</f>
        <v/>
      </c>
      <c r="O104" s="31" t="str">
        <f>IF($D104="","",IFERROR(VLOOKUP($B104,Kraftvärmeprod!$B$1:$BX$550,MATCH(O$2,Kraftvärmeprod!$B$1:$VX$1,0),FALSE)/1,0)-IFERROR(VLOOKUP($B104,'Slutlig allokering kvv'!$B$2:$BX$550,MATCH(O$2,'Slutlig allokering kvv'!$B$1:$BX$1,0),FALSE)/1,0))</f>
        <v/>
      </c>
      <c r="P104" s="31" t="str">
        <f>IF($D104="","",IFERROR(VLOOKUP($B104,Kraftvärmeprod!$B$1:$BX$550,MATCH(P$2,Kraftvärmeprod!$B$1:$VX$1,0),FALSE)/1,0)-IFERROR(VLOOKUP($B104,'Slutlig allokering kvv'!$B$2:$BX$550,MATCH(P$2,'Slutlig allokering kvv'!$B$1:$BX$1,0),FALSE)/1,0))</f>
        <v/>
      </c>
      <c r="Q104" s="31" t="str">
        <f>IF($D104="","",IFERROR(VLOOKUP($B104,Kraftvärmeprod!$B$1:$BX$550,MATCH(Q$2,Kraftvärmeprod!$B$1:$VX$1,0),FALSE)/1,0)-IFERROR(VLOOKUP($B104,'Slutlig allokering kvv'!$B$2:$BX$550,MATCH(Q$2,'Slutlig allokering kvv'!$B$1:$BX$1,0),FALSE)/1,0))</f>
        <v/>
      </c>
      <c r="R104" s="31" t="str">
        <f>IF($D104="","",IFERROR(VLOOKUP($B104,Kraftvärmeprod!$B$1:$BX$550,MATCH(R$2,Kraftvärmeprod!$B$1:$VX$1,0),FALSE)/1,0)-IFERROR(VLOOKUP($B104,'Slutlig allokering kvv'!$B$2:$BX$550,MATCH(R$2,'Slutlig allokering kvv'!$B$1:$BX$1,0),FALSE)/1,0))</f>
        <v/>
      </c>
      <c r="S104" s="31" t="str">
        <f>IF($D104="","",IFERROR(VLOOKUP($B104,Kraftvärmeprod!$B$1:$BX$550,MATCH(S$2,Kraftvärmeprod!$B$1:$VX$1,0),FALSE)/1,0)-IFERROR(VLOOKUP($B104,'Slutlig allokering kvv'!$B$2:$BX$550,MATCH(S$2,'Slutlig allokering kvv'!$B$1:$BX$1,0),FALSE)/1,0))</f>
        <v/>
      </c>
      <c r="T104" s="31" t="str">
        <f>IF($D104="","",IFERROR(VLOOKUP($B104,Kraftvärmeprod!$B$1:$BX$550,MATCH(T$2,Kraftvärmeprod!$B$1:$VX$1,0),FALSE)/1,0)-IFERROR(VLOOKUP($B104,'Slutlig allokering kvv'!$B$2:$BX$550,MATCH(T$2,'Slutlig allokering kvv'!$B$1:$BX$1,0),FALSE)/1,0))</f>
        <v/>
      </c>
      <c r="U104" s="31" t="str">
        <f>IF($D104="","",IFERROR(VLOOKUP($B104,Kraftvärmeprod!$B$1:$BX$550,MATCH(U$2,Kraftvärmeprod!$B$1:$VX$1,0),FALSE)/1,0)-IFERROR(VLOOKUP($B104,'Slutlig allokering kvv'!$B$2:$BX$550,MATCH(U$2,'Slutlig allokering kvv'!$B$1:$BX$1,0),FALSE)/1,0))</f>
        <v/>
      </c>
      <c r="V104" s="31" t="str">
        <f>IF($D104="","",IFERROR(VLOOKUP($B104,Kraftvärmeprod!$B$1:$BX$550,MATCH(V$2,Kraftvärmeprod!$B$1:$VX$1,0),FALSE)/1,0)-IFERROR(VLOOKUP($B104,'Slutlig allokering kvv'!$B$2:$BX$550,MATCH(V$2,'Slutlig allokering kvv'!$B$1:$BX$1,0),FALSE)/1,0))</f>
        <v/>
      </c>
      <c r="W104" s="31" t="str">
        <f>IF($D104="","",IFERROR(VLOOKUP($B104,Kraftvärmeprod!$B$1:$BX$550,MATCH(W$2,Kraftvärmeprod!$B$1:$VX$1,0),FALSE)/1,0)-IFERROR(VLOOKUP($B104,'Slutlig allokering kvv'!$B$2:$BX$550,MATCH(W$2,'Slutlig allokering kvv'!$B$1:$BX$1,0),FALSE)/1,0))</f>
        <v/>
      </c>
      <c r="X104" s="31" t="str">
        <f>IF($D104="","",IFERROR(VLOOKUP($B104,Kraftvärmeprod!$B$1:$BX$550,MATCH(X$2,Kraftvärmeprod!$B$1:$VX$1,0),FALSE)/1,0)-IFERROR(VLOOKUP($B104,'Slutlig allokering kvv'!$B$2:$BX$550,MATCH(X$2,'Slutlig allokering kvv'!$B$1:$BX$1,0),FALSE)/1,0))</f>
        <v/>
      </c>
      <c r="Y104" s="31" t="str">
        <f>IF($D104="","",IFERROR(VLOOKUP($B104,Kraftvärmeprod!$B$1:$BX$550,MATCH(Y$2,Kraftvärmeprod!$B$1:$VX$1,0),FALSE)/1,0)-IFERROR(VLOOKUP($B104,'Slutlig allokering kvv'!$B$2:$BX$550,MATCH(Y$2,'Slutlig allokering kvv'!$B$1:$BX$1,0),FALSE)/1,0))</f>
        <v/>
      </c>
      <c r="Z104" s="31" t="str">
        <f>IF($D104="","",IFERROR(VLOOKUP($B104,Kraftvärmeprod!$B$1:$BX$550,MATCH(Z$2,Kraftvärmeprod!$B$1:$VX$1,0),FALSE)/1,0)-IFERROR(VLOOKUP($B104,'Slutlig allokering kvv'!$B$2:$BX$550,MATCH(Z$2,'Slutlig allokering kvv'!$B$1:$BX$1,0),FALSE)/1,0))</f>
        <v/>
      </c>
      <c r="AA104" s="31" t="str">
        <f>IF($D104="","",IFERROR(VLOOKUP($B104,Kraftvärmeprod!$B$1:$BX$550,MATCH(AA$2,Kraftvärmeprod!$B$1:$VX$1,0),FALSE)/1,0)-IFERROR(VLOOKUP($B104,'Slutlig allokering kvv'!$B$2:$BX$550,MATCH(AA$2,'Slutlig allokering kvv'!$B$1:$BX$1,0),FALSE)/1,0))</f>
        <v/>
      </c>
      <c r="AB104" s="31" t="str">
        <f>IF($D104="","",IFERROR(VLOOKUP($B104,Kraftvärmeprod!$B$1:$BX$550,MATCH(AB$2,Kraftvärmeprod!$B$1:$VX$1,0),FALSE)/1,0)-IFERROR(VLOOKUP($B104,'Slutlig allokering kvv'!$B$2:$BX$550,MATCH(AB$2,'Slutlig allokering kvv'!$B$1:$BX$1,0),FALSE)/1,0))</f>
        <v/>
      </c>
      <c r="AC104" s="31" t="str">
        <f>IF($D104="","",IFERROR(VLOOKUP($B104,Kraftvärmeprod!$B$1:$BX$550,MATCH(AC$2,Kraftvärmeprod!$B$1:$VX$1,0),FALSE)/1,0)-IFERROR(VLOOKUP($B104,'Slutlig allokering kvv'!$B$2:$BX$550,MATCH(AC$2,'Slutlig allokering kvv'!$B$1:$BX$1,0),FALSE)/1,0))</f>
        <v/>
      </c>
      <c r="AD104" s="31" t="str">
        <f>IF($D104="","",IFERROR(VLOOKUP($B104,Kraftvärmeprod!$B$1:$BX$550,MATCH(AD$2,Kraftvärmeprod!$B$1:$VX$1,0),FALSE)/1,0)-IFERROR(VLOOKUP($B104,'Slutlig allokering kvv'!$B$2:$BX$550,MATCH(AD$2,'Slutlig allokering kvv'!$B$1:$BX$1,0),FALSE)/1,0))</f>
        <v/>
      </c>
      <c r="AE104" s="31" t="str">
        <f>IF($D104="","",IFERROR(VLOOKUP($B104,Miljö!$B$1:$E$550,MATCH("Hjälpel kraftvärme (GWh)",Miljö!$B$1:$E$1,0),FALSE)/1,0)-IFERROR(VLOOKUP($B104,'Slutlig allokering kvv'!$B$2:$BX$549,MATCH(AE$2,'Slutlig allokering kvv'!$B$1:$BX$1,0),FALSE)/1,0))</f>
        <v/>
      </c>
      <c r="AI104" s="39">
        <f t="shared" si="4"/>
        <v>0</v>
      </c>
      <c r="AK104" s="31">
        <f>IFERROR(VLOOKUP($B104,'Slutlig allokering kvv'!$B$2:$AX$549,MATCH("Summa slutlig allokerad tillförd energi (utan hjälpel och rökgaskondensering):",'Slutlig allokering kvv'!$B$1:$AX$1,0),FALSE)/1,"")</f>
        <v>0</v>
      </c>
      <c r="AM104" s="31" t="str">
        <f>IFERROR(1-VLOOKUP($B104,'Slutlig allokering kvv'!$B$2:$AX$549,MATCH("Andel av bränsle i kvv som allokerats till värme, exklusive rökgaskondensering och hjälpel",'Slutlig allokering kvv'!$B$1:$AX$1,0),FALSE),"")</f>
        <v/>
      </c>
      <c r="AO104" s="31" t="str">
        <f t="shared" si="5"/>
        <v/>
      </c>
      <c r="AP104" s="31" t="str">
        <f t="shared" si="6"/>
        <v/>
      </c>
      <c r="AR104" s="32" t="str">
        <f t="shared" si="7"/>
        <v/>
      </c>
    </row>
    <row r="105" spans="1:44" s="31" customFormat="1" x14ac:dyDescent="0.45">
      <c r="A105" s="31" t="s">
        <v>538</v>
      </c>
      <c r="B105" s="31" t="s">
        <v>539</v>
      </c>
      <c r="C105" s="31" t="str">
        <f>IFERROR(VLOOKUP($B105,Kraftvärmeprod!$B$1:$AH$479,MATCH(C$2,Kraftvärmeprod!$B$1:$AG$1,0),FALSE)/1,"")</f>
        <v/>
      </c>
      <c r="D105" s="31" t="str">
        <f>IFERROR(VLOOKUP($B105,Kraftvärmeprod!$B$1:$AH$479,MATCH(D$2,Kraftvärmeprod!$B$1:$AG$1,0),FALSE)/1,"")</f>
        <v/>
      </c>
      <c r="F105" s="31" t="str">
        <f>IF($D105="","",IFERROR(VLOOKUP($B105,Kraftvärmeprod!$B$1:$BX$550,MATCH(F$2,Kraftvärmeprod!$B$1:$VX$1,0),FALSE)/1,0)-IFERROR(VLOOKUP($B105,'Slutlig allokering kvv'!$B$2:$BX$550,MATCH(F$2,'Slutlig allokering kvv'!$B$1:$BX$1,0),FALSE)/1,0))</f>
        <v/>
      </c>
      <c r="G105" s="31" t="str">
        <f>IF($D105="","",IFERROR(VLOOKUP($B105,Kraftvärmeprod!$B$1:$BX$550,MATCH(G$2,Kraftvärmeprod!$B$1:$VX$1,0),FALSE)/1,0)-IFERROR(VLOOKUP($B105,'Slutlig allokering kvv'!$B$2:$BX$550,MATCH(G$2,'Slutlig allokering kvv'!$B$1:$BX$1,0),FALSE)/1,0))</f>
        <v/>
      </c>
      <c r="H105" s="31" t="str">
        <f>IF($D105="","",IFERROR(VLOOKUP($B105,Kraftvärmeprod!$B$1:$BX$550,MATCH(H$2,Kraftvärmeprod!$B$1:$VX$1,0),FALSE)/1,0)-IFERROR(VLOOKUP($B105,'Slutlig allokering kvv'!$B$2:$BX$550,MATCH(H$2,'Slutlig allokering kvv'!$B$1:$BX$1,0),FALSE)/1,0))</f>
        <v/>
      </c>
      <c r="I105" s="31" t="str">
        <f>IF($D105="","",IFERROR(VLOOKUP($B105,Kraftvärmeprod!$B$1:$BX$550,MATCH(I$2,Kraftvärmeprod!$B$1:$VX$1,0),FALSE)/1,0)-IFERROR(VLOOKUP($B105,'Slutlig allokering kvv'!$B$2:$BX$550,MATCH(I$2,'Slutlig allokering kvv'!$B$1:$BX$1,0),FALSE)/1,0))</f>
        <v/>
      </c>
      <c r="J105" s="31" t="str">
        <f>IF($D105="","",IFERROR(VLOOKUP($B105,Kraftvärmeprod!$B$1:$BX$550,MATCH(J$2,Kraftvärmeprod!$B$1:$VX$1,0),FALSE)/1,0)-IFERROR(VLOOKUP($B105,'Slutlig allokering kvv'!$B$2:$BX$550,MATCH(J$2,'Slutlig allokering kvv'!$B$1:$BX$1,0),FALSE)/1,0))</f>
        <v/>
      </c>
      <c r="K105" s="31" t="str">
        <f>IF($D105="","",IFERROR(VLOOKUP($B105,Kraftvärmeprod!$B$1:$BX$550,MATCH(K$2,Kraftvärmeprod!$B$1:$VX$1,0),FALSE)/1,0)-IFERROR(VLOOKUP($B105,'Slutlig allokering kvv'!$B$2:$BX$550,MATCH(K$2,'Slutlig allokering kvv'!$B$1:$BX$1,0),FALSE)/1,0))</f>
        <v/>
      </c>
      <c r="L105" s="31" t="str">
        <f>IF($D105="","",IFERROR(VLOOKUP($B105,Kraftvärmeprod!$B$1:$BX$550,MATCH(L$2,Kraftvärmeprod!$B$1:$VX$1,0),FALSE)/1,0)-IFERROR(VLOOKUP($B105,'Slutlig allokering kvv'!$B$2:$BX$550,MATCH(L$2,'Slutlig allokering kvv'!$B$1:$BX$1,0),FALSE)/1,0))</f>
        <v/>
      </c>
      <c r="M105" s="31" t="str">
        <f>IF($D105="","",IFERROR(VLOOKUP($B105,Kraftvärmeprod!$B$1:$BX$550,MATCH(M$2,Kraftvärmeprod!$B$1:$VX$1,0),FALSE)/1,0)-IFERROR(VLOOKUP($B105,'Slutlig allokering kvv'!$B$2:$BX$550,MATCH(M$2,'Slutlig allokering kvv'!$B$1:$BX$1,0),FALSE)/1,0))</f>
        <v/>
      </c>
      <c r="N105" s="31" t="str">
        <f>IF($D105="","",IFERROR(VLOOKUP($B105,Kraftvärmeprod!$B$1:$BX$550,MATCH(N$2,Kraftvärmeprod!$B$1:$VX$1,0),FALSE)/1,0)-IFERROR(VLOOKUP($B105,'Slutlig allokering kvv'!$B$2:$BX$550,MATCH(N$2,'Slutlig allokering kvv'!$B$1:$BX$1,0),FALSE)/1,0))</f>
        <v/>
      </c>
      <c r="O105" s="31" t="str">
        <f>IF($D105="","",IFERROR(VLOOKUP($B105,Kraftvärmeprod!$B$1:$BX$550,MATCH(O$2,Kraftvärmeprod!$B$1:$VX$1,0),FALSE)/1,0)-IFERROR(VLOOKUP($B105,'Slutlig allokering kvv'!$B$2:$BX$550,MATCH(O$2,'Slutlig allokering kvv'!$B$1:$BX$1,0),FALSE)/1,0))</f>
        <v/>
      </c>
      <c r="P105" s="31" t="str">
        <f>IF($D105="","",IFERROR(VLOOKUP($B105,Kraftvärmeprod!$B$1:$BX$550,MATCH(P$2,Kraftvärmeprod!$B$1:$VX$1,0),FALSE)/1,0)-IFERROR(VLOOKUP($B105,'Slutlig allokering kvv'!$B$2:$BX$550,MATCH(P$2,'Slutlig allokering kvv'!$B$1:$BX$1,0),FALSE)/1,0))</f>
        <v/>
      </c>
      <c r="Q105" s="31" t="str">
        <f>IF($D105="","",IFERROR(VLOOKUP($B105,Kraftvärmeprod!$B$1:$BX$550,MATCH(Q$2,Kraftvärmeprod!$B$1:$VX$1,0),FALSE)/1,0)-IFERROR(VLOOKUP($B105,'Slutlig allokering kvv'!$B$2:$BX$550,MATCH(Q$2,'Slutlig allokering kvv'!$B$1:$BX$1,0),FALSE)/1,0))</f>
        <v/>
      </c>
      <c r="R105" s="31" t="str">
        <f>IF($D105="","",IFERROR(VLOOKUP($B105,Kraftvärmeprod!$B$1:$BX$550,MATCH(R$2,Kraftvärmeprod!$B$1:$VX$1,0),FALSE)/1,0)-IFERROR(VLOOKUP($B105,'Slutlig allokering kvv'!$B$2:$BX$550,MATCH(R$2,'Slutlig allokering kvv'!$B$1:$BX$1,0),FALSE)/1,0))</f>
        <v/>
      </c>
      <c r="S105" s="31" t="str">
        <f>IF($D105="","",IFERROR(VLOOKUP($B105,Kraftvärmeprod!$B$1:$BX$550,MATCH(S$2,Kraftvärmeprod!$B$1:$VX$1,0),FALSE)/1,0)-IFERROR(VLOOKUP($B105,'Slutlig allokering kvv'!$B$2:$BX$550,MATCH(S$2,'Slutlig allokering kvv'!$B$1:$BX$1,0),FALSE)/1,0))</f>
        <v/>
      </c>
      <c r="T105" s="31" t="str">
        <f>IF($D105="","",IFERROR(VLOOKUP($B105,Kraftvärmeprod!$B$1:$BX$550,MATCH(T$2,Kraftvärmeprod!$B$1:$VX$1,0),FALSE)/1,0)-IFERROR(VLOOKUP($B105,'Slutlig allokering kvv'!$B$2:$BX$550,MATCH(T$2,'Slutlig allokering kvv'!$B$1:$BX$1,0),FALSE)/1,0))</f>
        <v/>
      </c>
      <c r="U105" s="31" t="str">
        <f>IF($D105="","",IFERROR(VLOOKUP($B105,Kraftvärmeprod!$B$1:$BX$550,MATCH(U$2,Kraftvärmeprod!$B$1:$VX$1,0),FALSE)/1,0)-IFERROR(VLOOKUP($B105,'Slutlig allokering kvv'!$B$2:$BX$550,MATCH(U$2,'Slutlig allokering kvv'!$B$1:$BX$1,0),FALSE)/1,0))</f>
        <v/>
      </c>
      <c r="V105" s="31" t="str">
        <f>IF($D105="","",IFERROR(VLOOKUP($B105,Kraftvärmeprod!$B$1:$BX$550,MATCH(V$2,Kraftvärmeprod!$B$1:$VX$1,0),FALSE)/1,0)-IFERROR(VLOOKUP($B105,'Slutlig allokering kvv'!$B$2:$BX$550,MATCH(V$2,'Slutlig allokering kvv'!$B$1:$BX$1,0),FALSE)/1,0))</f>
        <v/>
      </c>
      <c r="W105" s="31" t="str">
        <f>IF($D105="","",IFERROR(VLOOKUP($B105,Kraftvärmeprod!$B$1:$BX$550,MATCH(W$2,Kraftvärmeprod!$B$1:$VX$1,0),FALSE)/1,0)-IFERROR(VLOOKUP($B105,'Slutlig allokering kvv'!$B$2:$BX$550,MATCH(W$2,'Slutlig allokering kvv'!$B$1:$BX$1,0),FALSE)/1,0))</f>
        <v/>
      </c>
      <c r="X105" s="31" t="str">
        <f>IF($D105="","",IFERROR(VLOOKUP($B105,Kraftvärmeprod!$B$1:$BX$550,MATCH(X$2,Kraftvärmeprod!$B$1:$VX$1,0),FALSE)/1,0)-IFERROR(VLOOKUP($B105,'Slutlig allokering kvv'!$B$2:$BX$550,MATCH(X$2,'Slutlig allokering kvv'!$B$1:$BX$1,0),FALSE)/1,0))</f>
        <v/>
      </c>
      <c r="Y105" s="31" t="str">
        <f>IF($D105="","",IFERROR(VLOOKUP($B105,Kraftvärmeprod!$B$1:$BX$550,MATCH(Y$2,Kraftvärmeprod!$B$1:$VX$1,0),FALSE)/1,0)-IFERROR(VLOOKUP($B105,'Slutlig allokering kvv'!$B$2:$BX$550,MATCH(Y$2,'Slutlig allokering kvv'!$B$1:$BX$1,0),FALSE)/1,0))</f>
        <v/>
      </c>
      <c r="Z105" s="31" t="str">
        <f>IF($D105="","",IFERROR(VLOOKUP($B105,Kraftvärmeprod!$B$1:$BX$550,MATCH(Z$2,Kraftvärmeprod!$B$1:$VX$1,0),FALSE)/1,0)-IFERROR(VLOOKUP($B105,'Slutlig allokering kvv'!$B$2:$BX$550,MATCH(Z$2,'Slutlig allokering kvv'!$B$1:$BX$1,0),FALSE)/1,0))</f>
        <v/>
      </c>
      <c r="AA105" s="31" t="str">
        <f>IF($D105="","",IFERROR(VLOOKUP($B105,Kraftvärmeprod!$B$1:$BX$550,MATCH(AA$2,Kraftvärmeprod!$B$1:$VX$1,0),FALSE)/1,0)-IFERROR(VLOOKUP($B105,'Slutlig allokering kvv'!$B$2:$BX$550,MATCH(AA$2,'Slutlig allokering kvv'!$B$1:$BX$1,0),FALSE)/1,0))</f>
        <v/>
      </c>
      <c r="AB105" s="31" t="str">
        <f>IF($D105="","",IFERROR(VLOOKUP($B105,Kraftvärmeprod!$B$1:$BX$550,MATCH(AB$2,Kraftvärmeprod!$B$1:$VX$1,0),FALSE)/1,0)-IFERROR(VLOOKUP($B105,'Slutlig allokering kvv'!$B$2:$BX$550,MATCH(AB$2,'Slutlig allokering kvv'!$B$1:$BX$1,0),FALSE)/1,0))</f>
        <v/>
      </c>
      <c r="AC105" s="31" t="str">
        <f>IF($D105="","",IFERROR(VLOOKUP($B105,Kraftvärmeprod!$B$1:$BX$550,MATCH(AC$2,Kraftvärmeprod!$B$1:$VX$1,0),FALSE)/1,0)-IFERROR(VLOOKUP($B105,'Slutlig allokering kvv'!$B$2:$BX$550,MATCH(AC$2,'Slutlig allokering kvv'!$B$1:$BX$1,0),FALSE)/1,0))</f>
        <v/>
      </c>
      <c r="AD105" s="31" t="str">
        <f>IF($D105="","",IFERROR(VLOOKUP($B105,Kraftvärmeprod!$B$1:$BX$550,MATCH(AD$2,Kraftvärmeprod!$B$1:$VX$1,0),FALSE)/1,0)-IFERROR(VLOOKUP($B105,'Slutlig allokering kvv'!$B$2:$BX$550,MATCH(AD$2,'Slutlig allokering kvv'!$B$1:$BX$1,0),FALSE)/1,0))</f>
        <v/>
      </c>
      <c r="AE105" s="31" t="str">
        <f>IF($D105="","",IFERROR(VLOOKUP($B105,Miljö!$B$1:$E$550,MATCH("Hjälpel kraftvärme (GWh)",Miljö!$B$1:$E$1,0),FALSE)/1,0)-IFERROR(VLOOKUP($B105,'Slutlig allokering kvv'!$B$2:$BX$549,MATCH(AE$2,'Slutlig allokering kvv'!$B$1:$BX$1,0),FALSE)/1,0))</f>
        <v/>
      </c>
      <c r="AI105" s="39">
        <f t="shared" si="4"/>
        <v>0</v>
      </c>
      <c r="AK105" s="31">
        <f>IFERROR(VLOOKUP($B105,'Slutlig allokering kvv'!$B$2:$AX$549,MATCH("Summa slutlig allokerad tillförd energi (utan hjälpel och rökgaskondensering):",'Slutlig allokering kvv'!$B$1:$AX$1,0),FALSE)/1,"")</f>
        <v>0</v>
      </c>
      <c r="AM105" s="31" t="str">
        <f>IFERROR(1-VLOOKUP($B105,'Slutlig allokering kvv'!$B$2:$AX$549,MATCH("Andel av bränsle i kvv som allokerats till värme, exklusive rökgaskondensering och hjälpel",'Slutlig allokering kvv'!$B$1:$AX$1,0),FALSE),"")</f>
        <v/>
      </c>
      <c r="AO105" s="31" t="str">
        <f t="shared" si="5"/>
        <v/>
      </c>
      <c r="AP105" s="31" t="str">
        <f t="shared" si="6"/>
        <v/>
      </c>
      <c r="AR105" s="32" t="str">
        <f t="shared" si="7"/>
        <v/>
      </c>
    </row>
    <row r="106" spans="1:44" s="31" customFormat="1" x14ac:dyDescent="0.45">
      <c r="A106" s="31" t="s">
        <v>538</v>
      </c>
      <c r="B106" s="31" t="s">
        <v>537</v>
      </c>
      <c r="C106" s="31">
        <f>IFERROR(VLOOKUP($B106,Kraftvärmeprod!$B$1:$AH$479,MATCH(C$2,Kraftvärmeprod!$B$1:$AG$1,0),FALSE)/1,"")</f>
        <v>30.7</v>
      </c>
      <c r="D106" s="31">
        <f>IFERROR(VLOOKUP($B106,Kraftvärmeprod!$B$1:$AH$479,MATCH(D$2,Kraftvärmeprod!$B$1:$AG$1,0),FALSE)/1,"")</f>
        <v>5.41</v>
      </c>
      <c r="F106" s="31">
        <f>IF($D106="","",IFERROR(VLOOKUP($B106,Kraftvärmeprod!$B$1:$BX$550,MATCH(F$2,Kraftvärmeprod!$B$1:$VX$1,0),FALSE)/1,0)-IFERROR(VLOOKUP($B106,'Slutlig allokering kvv'!$B$2:$BX$550,MATCH(F$2,'Slutlig allokering kvv'!$B$1:$BX$1,0),FALSE)/1,0))</f>
        <v>0</v>
      </c>
      <c r="G106" s="31">
        <f>IF($D106="","",IFERROR(VLOOKUP($B106,Kraftvärmeprod!$B$1:$BX$550,MATCH(G$2,Kraftvärmeprod!$B$1:$VX$1,0),FALSE)/1,0)-IFERROR(VLOOKUP($B106,'Slutlig allokering kvv'!$B$2:$BX$550,MATCH(G$2,'Slutlig allokering kvv'!$B$1:$BX$1,0),FALSE)/1,0))</f>
        <v>0</v>
      </c>
      <c r="H106" s="31">
        <f>IF($D106="","",IFERROR(VLOOKUP($B106,Kraftvärmeprod!$B$1:$BX$550,MATCH(H$2,Kraftvärmeprod!$B$1:$VX$1,0),FALSE)/1,0)-IFERROR(VLOOKUP($B106,'Slutlig allokering kvv'!$B$2:$BX$550,MATCH(H$2,'Slutlig allokering kvv'!$B$1:$BX$1,0),FALSE)/1,0))</f>
        <v>0</v>
      </c>
      <c r="I106" s="31">
        <f>IF($D106="","",IFERROR(VLOOKUP($B106,Kraftvärmeprod!$B$1:$BX$550,MATCH(I$2,Kraftvärmeprod!$B$1:$VX$1,0),FALSE)/1,0)-IFERROR(VLOOKUP($B106,'Slutlig allokering kvv'!$B$2:$BX$550,MATCH(I$2,'Slutlig allokering kvv'!$B$1:$BX$1,0),FALSE)/1,0))</f>
        <v>0</v>
      </c>
      <c r="J106" s="31">
        <f>IF($D106="","",IFERROR(VLOOKUP($B106,Kraftvärmeprod!$B$1:$BX$550,MATCH(J$2,Kraftvärmeprod!$B$1:$VX$1,0),FALSE)/1,0)-IFERROR(VLOOKUP($B106,'Slutlig allokering kvv'!$B$2:$BX$550,MATCH(J$2,'Slutlig allokering kvv'!$B$1:$BX$1,0),FALSE)/1,0))</f>
        <v>0</v>
      </c>
      <c r="K106" s="31">
        <f>IF($D106="","",IFERROR(VLOOKUP($B106,Kraftvärmeprod!$B$1:$BX$550,MATCH(K$2,Kraftvärmeprod!$B$1:$VX$1,0),FALSE)/1,0)-IFERROR(VLOOKUP($B106,'Slutlig allokering kvv'!$B$2:$BX$550,MATCH(K$2,'Slutlig allokering kvv'!$B$1:$BX$1,0),FALSE)/1,0))</f>
        <v>0</v>
      </c>
      <c r="L106" s="31">
        <f>IF($D106="","",IFERROR(VLOOKUP($B106,Kraftvärmeprod!$B$1:$BX$550,MATCH(L$2,Kraftvärmeprod!$B$1:$VX$1,0),FALSE)/1,0)-IFERROR(VLOOKUP($B106,'Slutlig allokering kvv'!$B$2:$BX$550,MATCH(L$2,'Slutlig allokering kvv'!$B$1:$BX$1,0),FALSE)/1,0))</f>
        <v>2.7380099999999992</v>
      </c>
      <c r="M106" s="31">
        <f>IF($D106="","",IFERROR(VLOOKUP($B106,Kraftvärmeprod!$B$1:$BX$550,MATCH(M$2,Kraftvärmeprod!$B$1:$VX$1,0),FALSE)/1,0)-IFERROR(VLOOKUP($B106,'Slutlig allokering kvv'!$B$2:$BX$550,MATCH(M$2,'Slutlig allokering kvv'!$B$1:$BX$1,0),FALSE)/1,0))</f>
        <v>2.7380099999999992</v>
      </c>
      <c r="N106" s="31">
        <f>IF($D106="","",IFERROR(VLOOKUP($B106,Kraftvärmeprod!$B$1:$BX$550,MATCH(N$2,Kraftvärmeprod!$B$1:$VX$1,0),FALSE)/1,0)-IFERROR(VLOOKUP($B106,'Slutlig allokering kvv'!$B$2:$BX$550,MATCH(N$2,'Slutlig allokering kvv'!$B$1:$BX$1,0),FALSE)/1,0))</f>
        <v>2.7380099999999992</v>
      </c>
      <c r="O106" s="31">
        <f>IF($D106="","",IFERROR(VLOOKUP($B106,Kraftvärmeprod!$B$1:$BX$550,MATCH(O$2,Kraftvärmeprod!$B$1:$VX$1,0),FALSE)/1,0)-IFERROR(VLOOKUP($B106,'Slutlig allokering kvv'!$B$2:$BX$550,MATCH(O$2,'Slutlig allokering kvv'!$B$1:$BX$1,0),FALSE)/1,0))</f>
        <v>2.7380099999999992</v>
      </c>
      <c r="P106" s="31">
        <f>IF($D106="","",IFERROR(VLOOKUP($B106,Kraftvärmeprod!$B$1:$BX$550,MATCH(P$2,Kraftvärmeprod!$B$1:$VX$1,0),FALSE)/1,0)-IFERROR(VLOOKUP($B106,'Slutlig allokering kvv'!$B$2:$BX$550,MATCH(P$2,'Slutlig allokering kvv'!$B$1:$BX$1,0),FALSE)/1,0))</f>
        <v>0</v>
      </c>
      <c r="Q106" s="31">
        <f>IF($D106="","",IFERROR(VLOOKUP($B106,Kraftvärmeprod!$B$1:$BX$550,MATCH(Q$2,Kraftvärmeprod!$B$1:$VX$1,0),FALSE)/1,0)-IFERROR(VLOOKUP($B106,'Slutlig allokering kvv'!$B$2:$BX$550,MATCH(Q$2,'Slutlig allokering kvv'!$B$1:$BX$1,0),FALSE)/1,0))</f>
        <v>2.7380099999999992</v>
      </c>
      <c r="R106" s="31">
        <f>IF($D106="","",IFERROR(VLOOKUP($B106,Kraftvärmeprod!$B$1:$BX$550,MATCH(R$2,Kraftvärmeprod!$B$1:$VX$1,0),FALSE)/1,0)-IFERROR(VLOOKUP($B106,'Slutlig allokering kvv'!$B$2:$BX$550,MATCH(R$2,'Slutlig allokering kvv'!$B$1:$BX$1,0),FALSE)/1,0))</f>
        <v>0</v>
      </c>
      <c r="S106" s="31">
        <f>IF($D106="","",IFERROR(VLOOKUP($B106,Kraftvärmeprod!$B$1:$BX$550,MATCH(S$2,Kraftvärmeprod!$B$1:$VX$1,0),FALSE)/1,0)-IFERROR(VLOOKUP($B106,'Slutlig allokering kvv'!$B$2:$BX$550,MATCH(S$2,'Slutlig allokering kvv'!$B$1:$BX$1,0),FALSE)/1,0))</f>
        <v>0</v>
      </c>
      <c r="T106" s="31">
        <f>IF($D106="","",IFERROR(VLOOKUP($B106,Kraftvärmeprod!$B$1:$BX$550,MATCH(T$2,Kraftvärmeprod!$B$1:$VX$1,0),FALSE)/1,0)-IFERROR(VLOOKUP($B106,'Slutlig allokering kvv'!$B$2:$BX$550,MATCH(T$2,'Slutlig allokering kvv'!$B$1:$BX$1,0),FALSE)/1,0))</f>
        <v>0</v>
      </c>
      <c r="U106" s="31">
        <f>IF($D106="","",IFERROR(VLOOKUP($B106,Kraftvärmeprod!$B$1:$BX$550,MATCH(U$2,Kraftvärmeprod!$B$1:$VX$1,0),FALSE)/1,0)-IFERROR(VLOOKUP($B106,'Slutlig allokering kvv'!$B$2:$BX$550,MATCH(U$2,'Slutlig allokering kvv'!$B$1:$BX$1,0),FALSE)/1,0))</f>
        <v>0</v>
      </c>
      <c r="V106" s="31">
        <f>IF($D106="","",IFERROR(VLOOKUP($B106,Kraftvärmeprod!$B$1:$BX$550,MATCH(V$2,Kraftvärmeprod!$B$1:$VX$1,0),FALSE)/1,0)-IFERROR(VLOOKUP($B106,'Slutlig allokering kvv'!$B$2:$BX$550,MATCH(V$2,'Slutlig allokering kvv'!$B$1:$BX$1,0),FALSE)/1,0))</f>
        <v>0</v>
      </c>
      <c r="W106" s="31">
        <f>IF($D106="","",IFERROR(VLOOKUP($B106,Kraftvärmeprod!$B$1:$BX$550,MATCH(W$2,Kraftvärmeprod!$B$1:$VX$1,0),FALSE)/1,0)-IFERROR(VLOOKUP($B106,'Slutlig allokering kvv'!$B$2:$BX$550,MATCH(W$2,'Slutlig allokering kvv'!$B$1:$BX$1,0),FALSE)/1,0))</f>
        <v>0</v>
      </c>
      <c r="X106" s="31">
        <f>IF($D106="","",IFERROR(VLOOKUP($B106,Kraftvärmeprod!$B$1:$BX$550,MATCH(X$2,Kraftvärmeprod!$B$1:$VX$1,0),FALSE)/1,0)-IFERROR(VLOOKUP($B106,'Slutlig allokering kvv'!$B$2:$BX$550,MATCH(X$2,'Slutlig allokering kvv'!$B$1:$BX$1,0),FALSE)/1,0))</f>
        <v>0</v>
      </c>
      <c r="Y106" s="31">
        <f>IF($D106="","",IFERROR(VLOOKUP($B106,Kraftvärmeprod!$B$1:$BX$550,MATCH(Y$2,Kraftvärmeprod!$B$1:$VX$1,0),FALSE)/1,0)-IFERROR(VLOOKUP($B106,'Slutlig allokering kvv'!$B$2:$BX$550,MATCH(Y$2,'Slutlig allokering kvv'!$B$1:$BX$1,0),FALSE)/1,0))</f>
        <v>0</v>
      </c>
      <c r="Z106" s="31">
        <f>IF($D106="","",IFERROR(VLOOKUP($B106,Kraftvärmeprod!$B$1:$BX$550,MATCH(Z$2,Kraftvärmeprod!$B$1:$VX$1,0),FALSE)/1,0)-IFERROR(VLOOKUP($B106,'Slutlig allokering kvv'!$B$2:$BX$550,MATCH(Z$2,'Slutlig allokering kvv'!$B$1:$BX$1,0),FALSE)/1,0))</f>
        <v>0</v>
      </c>
      <c r="AA106" s="31">
        <f>IF($D106="","",IFERROR(VLOOKUP($B106,Kraftvärmeprod!$B$1:$BX$550,MATCH(AA$2,Kraftvärmeprod!$B$1:$VX$1,0),FALSE)/1,0)-IFERROR(VLOOKUP($B106,'Slutlig allokering kvv'!$B$2:$BX$550,MATCH(AA$2,'Slutlig allokering kvv'!$B$1:$BX$1,0),FALSE)/1,0))</f>
        <v>0</v>
      </c>
      <c r="AB106" s="31">
        <f>IF($D106="","",IFERROR(VLOOKUP($B106,Kraftvärmeprod!$B$1:$BX$550,MATCH(AB$2,Kraftvärmeprod!$B$1:$VX$1,0),FALSE)/1,0)-IFERROR(VLOOKUP($B106,'Slutlig allokering kvv'!$B$2:$BX$550,MATCH(AB$2,'Slutlig allokering kvv'!$B$1:$BX$1,0),FALSE)/1,0))</f>
        <v>0</v>
      </c>
      <c r="AC106" s="31">
        <f>IF($D106="","",IFERROR(VLOOKUP($B106,Kraftvärmeprod!$B$1:$BX$550,MATCH(AC$2,Kraftvärmeprod!$B$1:$VX$1,0),FALSE)/1,0)-IFERROR(VLOOKUP($B106,'Slutlig allokering kvv'!$B$2:$BX$550,MATCH(AC$2,'Slutlig allokering kvv'!$B$1:$BX$1,0),FALSE)/1,0))</f>
        <v>0</v>
      </c>
      <c r="AD106" s="31">
        <f>IF($D106="","",IFERROR(VLOOKUP($B106,Kraftvärmeprod!$B$1:$BX$550,MATCH(AD$2,Kraftvärmeprod!$B$1:$VX$1,0),FALSE)/1,0)-IFERROR(VLOOKUP($B106,'Slutlig allokering kvv'!$B$2:$BX$550,MATCH(AD$2,'Slutlig allokering kvv'!$B$1:$BX$1,0),FALSE)/1,0))</f>
        <v>0</v>
      </c>
      <c r="AE106" s="31">
        <f>IF($D106="","",IFERROR(VLOOKUP($B106,Miljö!$B$1:$E$550,MATCH("Hjälpel kraftvärme (GWh)",Miljö!$B$1:$E$1,0),FALSE)/1,0)-IFERROR(VLOOKUP($B106,'Slutlig allokering kvv'!$B$2:$BX$549,MATCH(AE$2,'Slutlig allokering kvv'!$B$1:$BX$1,0),FALSE)/1,0))</f>
        <v>0.46578000000000008</v>
      </c>
      <c r="AI106" s="39">
        <f t="shared" si="4"/>
        <v>13.690049999999996</v>
      </c>
      <c r="AK106" s="31">
        <f>IFERROR(VLOOKUP($B106,'Slutlig allokering kvv'!$B$2:$AX$549,MATCH("Summa slutlig allokerad tillförd energi (utan hjälpel och rökgaskondensering):",'Slutlig allokering kvv'!$B$1:$AX$1,0),FALSE)/1,"")</f>
        <v>29.809949999999997</v>
      </c>
      <c r="AM106" s="31">
        <f>IFERROR(1-VLOOKUP($B106,'Slutlig allokering kvv'!$B$2:$AX$549,MATCH("Andel av bränsle i kvv som allokerats till värme, exklusive rökgaskondensering och hjälpel",'Slutlig allokering kvv'!$B$1:$AX$1,0),FALSE),"")</f>
        <v>0.31471379310344838</v>
      </c>
      <c r="AO106" s="31">
        <f t="shared" si="5"/>
        <v>0.31471379310344821</v>
      </c>
      <c r="AP106" s="31">
        <f t="shared" si="6"/>
        <v>1.6653345369377348E-16</v>
      </c>
      <c r="AR106" s="32">
        <f t="shared" si="7"/>
        <v>0.38217469410129973</v>
      </c>
    </row>
    <row r="107" spans="1:44" s="31" customFormat="1" x14ac:dyDescent="0.45">
      <c r="A107" s="31" t="s">
        <v>535</v>
      </c>
      <c r="B107" s="31" t="s">
        <v>534</v>
      </c>
      <c r="C107" s="31" t="str">
        <f>IFERROR(VLOOKUP($B107,Kraftvärmeprod!$B$1:$AH$479,MATCH(C$2,Kraftvärmeprod!$B$1:$AG$1,0),FALSE)/1,"")</f>
        <v/>
      </c>
      <c r="D107" s="31" t="str">
        <f>IFERROR(VLOOKUP($B107,Kraftvärmeprod!$B$1:$AH$479,MATCH(D$2,Kraftvärmeprod!$B$1:$AG$1,0),FALSE)/1,"")</f>
        <v/>
      </c>
      <c r="F107" s="31" t="str">
        <f>IF($D107="","",IFERROR(VLOOKUP($B107,Kraftvärmeprod!$B$1:$BX$550,MATCH(F$2,Kraftvärmeprod!$B$1:$VX$1,0),FALSE)/1,0)-IFERROR(VLOOKUP($B107,'Slutlig allokering kvv'!$B$2:$BX$550,MATCH(F$2,'Slutlig allokering kvv'!$B$1:$BX$1,0),FALSE)/1,0))</f>
        <v/>
      </c>
      <c r="G107" s="31" t="str">
        <f>IF($D107="","",IFERROR(VLOOKUP($B107,Kraftvärmeprod!$B$1:$BX$550,MATCH(G$2,Kraftvärmeprod!$B$1:$VX$1,0),FALSE)/1,0)-IFERROR(VLOOKUP($B107,'Slutlig allokering kvv'!$B$2:$BX$550,MATCH(G$2,'Slutlig allokering kvv'!$B$1:$BX$1,0),FALSE)/1,0))</f>
        <v/>
      </c>
      <c r="H107" s="31" t="str">
        <f>IF($D107="","",IFERROR(VLOOKUP($B107,Kraftvärmeprod!$B$1:$BX$550,MATCH(H$2,Kraftvärmeprod!$B$1:$VX$1,0),FALSE)/1,0)-IFERROR(VLOOKUP($B107,'Slutlig allokering kvv'!$B$2:$BX$550,MATCH(H$2,'Slutlig allokering kvv'!$B$1:$BX$1,0),FALSE)/1,0))</f>
        <v/>
      </c>
      <c r="I107" s="31" t="str">
        <f>IF($D107="","",IFERROR(VLOOKUP($B107,Kraftvärmeprod!$B$1:$BX$550,MATCH(I$2,Kraftvärmeprod!$B$1:$VX$1,0),FALSE)/1,0)-IFERROR(VLOOKUP($B107,'Slutlig allokering kvv'!$B$2:$BX$550,MATCH(I$2,'Slutlig allokering kvv'!$B$1:$BX$1,0),FALSE)/1,0))</f>
        <v/>
      </c>
      <c r="J107" s="31" t="str">
        <f>IF($D107="","",IFERROR(VLOOKUP($B107,Kraftvärmeprod!$B$1:$BX$550,MATCH(J$2,Kraftvärmeprod!$B$1:$VX$1,0),FALSE)/1,0)-IFERROR(VLOOKUP($B107,'Slutlig allokering kvv'!$B$2:$BX$550,MATCH(J$2,'Slutlig allokering kvv'!$B$1:$BX$1,0),FALSE)/1,0))</f>
        <v/>
      </c>
      <c r="K107" s="31" t="str">
        <f>IF($D107="","",IFERROR(VLOOKUP($B107,Kraftvärmeprod!$B$1:$BX$550,MATCH(K$2,Kraftvärmeprod!$B$1:$VX$1,0),FALSE)/1,0)-IFERROR(VLOOKUP($B107,'Slutlig allokering kvv'!$B$2:$BX$550,MATCH(K$2,'Slutlig allokering kvv'!$B$1:$BX$1,0),FALSE)/1,0))</f>
        <v/>
      </c>
      <c r="L107" s="31" t="str">
        <f>IF($D107="","",IFERROR(VLOOKUP($B107,Kraftvärmeprod!$B$1:$BX$550,MATCH(L$2,Kraftvärmeprod!$B$1:$VX$1,0),FALSE)/1,0)-IFERROR(VLOOKUP($B107,'Slutlig allokering kvv'!$B$2:$BX$550,MATCH(L$2,'Slutlig allokering kvv'!$B$1:$BX$1,0),FALSE)/1,0))</f>
        <v/>
      </c>
      <c r="M107" s="31" t="str">
        <f>IF($D107="","",IFERROR(VLOOKUP($B107,Kraftvärmeprod!$B$1:$BX$550,MATCH(M$2,Kraftvärmeprod!$B$1:$VX$1,0),FALSE)/1,0)-IFERROR(VLOOKUP($B107,'Slutlig allokering kvv'!$B$2:$BX$550,MATCH(M$2,'Slutlig allokering kvv'!$B$1:$BX$1,0),FALSE)/1,0))</f>
        <v/>
      </c>
      <c r="N107" s="31" t="str">
        <f>IF($D107="","",IFERROR(VLOOKUP($B107,Kraftvärmeprod!$B$1:$BX$550,MATCH(N$2,Kraftvärmeprod!$B$1:$VX$1,0),FALSE)/1,0)-IFERROR(VLOOKUP($B107,'Slutlig allokering kvv'!$B$2:$BX$550,MATCH(N$2,'Slutlig allokering kvv'!$B$1:$BX$1,0),FALSE)/1,0))</f>
        <v/>
      </c>
      <c r="O107" s="31" t="str">
        <f>IF($D107="","",IFERROR(VLOOKUP($B107,Kraftvärmeprod!$B$1:$BX$550,MATCH(O$2,Kraftvärmeprod!$B$1:$VX$1,0),FALSE)/1,0)-IFERROR(VLOOKUP($B107,'Slutlig allokering kvv'!$B$2:$BX$550,MATCH(O$2,'Slutlig allokering kvv'!$B$1:$BX$1,0),FALSE)/1,0))</f>
        <v/>
      </c>
      <c r="P107" s="31" t="str">
        <f>IF($D107="","",IFERROR(VLOOKUP($B107,Kraftvärmeprod!$B$1:$BX$550,MATCH(P$2,Kraftvärmeprod!$B$1:$VX$1,0),FALSE)/1,0)-IFERROR(VLOOKUP($B107,'Slutlig allokering kvv'!$B$2:$BX$550,MATCH(P$2,'Slutlig allokering kvv'!$B$1:$BX$1,0),FALSE)/1,0))</f>
        <v/>
      </c>
      <c r="Q107" s="31" t="str">
        <f>IF($D107="","",IFERROR(VLOOKUP($B107,Kraftvärmeprod!$B$1:$BX$550,MATCH(Q$2,Kraftvärmeprod!$B$1:$VX$1,0),FALSE)/1,0)-IFERROR(VLOOKUP($B107,'Slutlig allokering kvv'!$B$2:$BX$550,MATCH(Q$2,'Slutlig allokering kvv'!$B$1:$BX$1,0),FALSE)/1,0))</f>
        <v/>
      </c>
      <c r="R107" s="31" t="str">
        <f>IF($D107="","",IFERROR(VLOOKUP($B107,Kraftvärmeprod!$B$1:$BX$550,MATCH(R$2,Kraftvärmeprod!$B$1:$VX$1,0),FALSE)/1,0)-IFERROR(VLOOKUP($B107,'Slutlig allokering kvv'!$B$2:$BX$550,MATCH(R$2,'Slutlig allokering kvv'!$B$1:$BX$1,0),FALSE)/1,0))</f>
        <v/>
      </c>
      <c r="S107" s="31" t="str">
        <f>IF($D107="","",IFERROR(VLOOKUP($B107,Kraftvärmeprod!$B$1:$BX$550,MATCH(S$2,Kraftvärmeprod!$B$1:$VX$1,0),FALSE)/1,0)-IFERROR(VLOOKUP($B107,'Slutlig allokering kvv'!$B$2:$BX$550,MATCH(S$2,'Slutlig allokering kvv'!$B$1:$BX$1,0),FALSE)/1,0))</f>
        <v/>
      </c>
      <c r="T107" s="31" t="str">
        <f>IF($D107="","",IFERROR(VLOOKUP($B107,Kraftvärmeprod!$B$1:$BX$550,MATCH(T$2,Kraftvärmeprod!$B$1:$VX$1,0),FALSE)/1,0)-IFERROR(VLOOKUP($B107,'Slutlig allokering kvv'!$B$2:$BX$550,MATCH(T$2,'Slutlig allokering kvv'!$B$1:$BX$1,0),FALSE)/1,0))</f>
        <v/>
      </c>
      <c r="U107" s="31" t="str">
        <f>IF($D107="","",IFERROR(VLOOKUP($B107,Kraftvärmeprod!$B$1:$BX$550,MATCH(U$2,Kraftvärmeprod!$B$1:$VX$1,0),FALSE)/1,0)-IFERROR(VLOOKUP($B107,'Slutlig allokering kvv'!$B$2:$BX$550,MATCH(U$2,'Slutlig allokering kvv'!$B$1:$BX$1,0),FALSE)/1,0))</f>
        <v/>
      </c>
      <c r="V107" s="31" t="str">
        <f>IF($D107="","",IFERROR(VLOOKUP($B107,Kraftvärmeprod!$B$1:$BX$550,MATCH(V$2,Kraftvärmeprod!$B$1:$VX$1,0),FALSE)/1,0)-IFERROR(VLOOKUP($B107,'Slutlig allokering kvv'!$B$2:$BX$550,MATCH(V$2,'Slutlig allokering kvv'!$B$1:$BX$1,0),FALSE)/1,0))</f>
        <v/>
      </c>
      <c r="W107" s="31" t="str">
        <f>IF($D107="","",IFERROR(VLOOKUP($B107,Kraftvärmeprod!$B$1:$BX$550,MATCH(W$2,Kraftvärmeprod!$B$1:$VX$1,0),FALSE)/1,0)-IFERROR(VLOOKUP($B107,'Slutlig allokering kvv'!$B$2:$BX$550,MATCH(W$2,'Slutlig allokering kvv'!$B$1:$BX$1,0),FALSE)/1,0))</f>
        <v/>
      </c>
      <c r="X107" s="31" t="str">
        <f>IF($D107="","",IFERROR(VLOOKUP($B107,Kraftvärmeprod!$B$1:$BX$550,MATCH(X$2,Kraftvärmeprod!$B$1:$VX$1,0),FALSE)/1,0)-IFERROR(VLOOKUP($B107,'Slutlig allokering kvv'!$B$2:$BX$550,MATCH(X$2,'Slutlig allokering kvv'!$B$1:$BX$1,0),FALSE)/1,0))</f>
        <v/>
      </c>
      <c r="Y107" s="31" t="str">
        <f>IF($D107="","",IFERROR(VLOOKUP($B107,Kraftvärmeprod!$B$1:$BX$550,MATCH(Y$2,Kraftvärmeprod!$B$1:$VX$1,0),FALSE)/1,0)-IFERROR(VLOOKUP($B107,'Slutlig allokering kvv'!$B$2:$BX$550,MATCH(Y$2,'Slutlig allokering kvv'!$B$1:$BX$1,0),FALSE)/1,0))</f>
        <v/>
      </c>
      <c r="Z107" s="31" t="str">
        <f>IF($D107="","",IFERROR(VLOOKUP($B107,Kraftvärmeprod!$B$1:$BX$550,MATCH(Z$2,Kraftvärmeprod!$B$1:$VX$1,0),FALSE)/1,0)-IFERROR(VLOOKUP($B107,'Slutlig allokering kvv'!$B$2:$BX$550,MATCH(Z$2,'Slutlig allokering kvv'!$B$1:$BX$1,0),FALSE)/1,0))</f>
        <v/>
      </c>
      <c r="AA107" s="31" t="str">
        <f>IF($D107="","",IFERROR(VLOOKUP($B107,Kraftvärmeprod!$B$1:$BX$550,MATCH(AA$2,Kraftvärmeprod!$B$1:$VX$1,0),FALSE)/1,0)-IFERROR(VLOOKUP($B107,'Slutlig allokering kvv'!$B$2:$BX$550,MATCH(AA$2,'Slutlig allokering kvv'!$B$1:$BX$1,0),FALSE)/1,0))</f>
        <v/>
      </c>
      <c r="AB107" s="31" t="str">
        <f>IF($D107="","",IFERROR(VLOOKUP($B107,Kraftvärmeprod!$B$1:$BX$550,MATCH(AB$2,Kraftvärmeprod!$B$1:$VX$1,0),FALSE)/1,0)-IFERROR(VLOOKUP($B107,'Slutlig allokering kvv'!$B$2:$BX$550,MATCH(AB$2,'Slutlig allokering kvv'!$B$1:$BX$1,0),FALSE)/1,0))</f>
        <v/>
      </c>
      <c r="AC107" s="31" t="str">
        <f>IF($D107="","",IFERROR(VLOOKUP($B107,Kraftvärmeprod!$B$1:$BX$550,MATCH(AC$2,Kraftvärmeprod!$B$1:$VX$1,0),FALSE)/1,0)-IFERROR(VLOOKUP($B107,'Slutlig allokering kvv'!$B$2:$BX$550,MATCH(AC$2,'Slutlig allokering kvv'!$B$1:$BX$1,0),FALSE)/1,0))</f>
        <v/>
      </c>
      <c r="AD107" s="31" t="str">
        <f>IF($D107="","",IFERROR(VLOOKUP($B107,Kraftvärmeprod!$B$1:$BX$550,MATCH(AD$2,Kraftvärmeprod!$B$1:$VX$1,0),FALSE)/1,0)-IFERROR(VLOOKUP($B107,'Slutlig allokering kvv'!$B$2:$BX$550,MATCH(AD$2,'Slutlig allokering kvv'!$B$1:$BX$1,0),FALSE)/1,0))</f>
        <v/>
      </c>
      <c r="AE107" s="31" t="str">
        <f>IF($D107="","",IFERROR(VLOOKUP($B107,Miljö!$B$1:$E$550,MATCH("Hjälpel kraftvärme (GWh)",Miljö!$B$1:$E$1,0),FALSE)/1,0)-IFERROR(VLOOKUP($B107,'Slutlig allokering kvv'!$B$2:$BX$549,MATCH(AE$2,'Slutlig allokering kvv'!$B$1:$BX$1,0),FALSE)/1,0))</f>
        <v/>
      </c>
      <c r="AI107" s="39">
        <f t="shared" si="4"/>
        <v>0</v>
      </c>
      <c r="AK107" s="31">
        <f>IFERROR(VLOOKUP($B107,'Slutlig allokering kvv'!$B$2:$AX$549,MATCH("Summa slutlig allokerad tillförd energi (utan hjälpel och rökgaskondensering):",'Slutlig allokering kvv'!$B$1:$AX$1,0),FALSE)/1,"")</f>
        <v>0</v>
      </c>
      <c r="AM107" s="31" t="str">
        <f>IFERROR(1-VLOOKUP($B107,'Slutlig allokering kvv'!$B$2:$AX$549,MATCH("Andel av bränsle i kvv som allokerats till värme, exklusive rökgaskondensering och hjälpel",'Slutlig allokering kvv'!$B$1:$AX$1,0),FALSE),"")</f>
        <v/>
      </c>
      <c r="AO107" s="31" t="str">
        <f t="shared" si="5"/>
        <v/>
      </c>
      <c r="AP107" s="31" t="str">
        <f t="shared" si="6"/>
        <v/>
      </c>
      <c r="AR107" s="32" t="str">
        <f t="shared" si="7"/>
        <v/>
      </c>
    </row>
    <row r="108" spans="1:44" s="31" customFormat="1" x14ac:dyDescent="0.45">
      <c r="A108" s="31" t="s">
        <v>533</v>
      </c>
      <c r="B108" s="31" t="s">
        <v>532</v>
      </c>
      <c r="C108" s="31">
        <f>IFERROR(VLOOKUP($B108,Kraftvärmeprod!$B$1:$AH$479,MATCH(C$2,Kraftvärmeprod!$B$1:$AG$1,0),FALSE)/1,"")</f>
        <v>106.62</v>
      </c>
      <c r="D108" s="31">
        <f>IFERROR(VLOOKUP($B108,Kraftvärmeprod!$B$1:$AH$479,MATCH(D$2,Kraftvärmeprod!$B$1:$AG$1,0),FALSE)/1,"")</f>
        <v>33.200000000000003</v>
      </c>
      <c r="F108" s="31">
        <f>IF($D108="","",IFERROR(VLOOKUP($B108,Kraftvärmeprod!$B$1:$BX$550,MATCH(F$2,Kraftvärmeprod!$B$1:$VX$1,0),FALSE)/1,0)-IFERROR(VLOOKUP($B108,'Slutlig allokering kvv'!$B$2:$BX$550,MATCH(F$2,'Slutlig allokering kvv'!$B$1:$BX$1,0),FALSE)/1,0))</f>
        <v>0</v>
      </c>
      <c r="G108" s="31">
        <f>IF($D108="","",IFERROR(VLOOKUP($B108,Kraftvärmeprod!$B$1:$BX$550,MATCH(G$2,Kraftvärmeprod!$B$1:$VX$1,0),FALSE)/1,0)-IFERROR(VLOOKUP($B108,'Slutlig allokering kvv'!$B$2:$BX$550,MATCH(G$2,'Slutlig allokering kvv'!$B$1:$BX$1,0),FALSE)/1,0))</f>
        <v>0</v>
      </c>
      <c r="H108" s="31">
        <f>IF($D108="","",IFERROR(VLOOKUP($B108,Kraftvärmeprod!$B$1:$BX$550,MATCH(H$2,Kraftvärmeprod!$B$1:$VX$1,0),FALSE)/1,0)-IFERROR(VLOOKUP($B108,'Slutlig allokering kvv'!$B$2:$BX$550,MATCH(H$2,'Slutlig allokering kvv'!$B$1:$BX$1,0),FALSE)/1,0))</f>
        <v>0</v>
      </c>
      <c r="I108" s="31">
        <f>IF($D108="","",IFERROR(VLOOKUP($B108,Kraftvärmeprod!$B$1:$BX$550,MATCH(I$2,Kraftvärmeprod!$B$1:$VX$1,0),FALSE)/1,0)-IFERROR(VLOOKUP($B108,'Slutlig allokering kvv'!$B$2:$BX$550,MATCH(I$2,'Slutlig allokering kvv'!$B$1:$BX$1,0),FALSE)/1,0))</f>
        <v>0</v>
      </c>
      <c r="J108" s="31">
        <f>IF($D108="","",IFERROR(VLOOKUP($B108,Kraftvärmeprod!$B$1:$BX$550,MATCH(J$2,Kraftvärmeprod!$B$1:$VX$1,0),FALSE)/1,0)-IFERROR(VLOOKUP($B108,'Slutlig allokering kvv'!$B$2:$BX$550,MATCH(J$2,'Slutlig allokering kvv'!$B$1:$BX$1,0),FALSE)/1,0))</f>
        <v>0</v>
      </c>
      <c r="K108" s="31">
        <f>IF($D108="","",IFERROR(VLOOKUP($B108,Kraftvärmeprod!$B$1:$BX$550,MATCH(K$2,Kraftvärmeprod!$B$1:$VX$1,0),FALSE)/1,0)-IFERROR(VLOOKUP($B108,'Slutlig allokering kvv'!$B$2:$BX$550,MATCH(K$2,'Slutlig allokering kvv'!$B$1:$BX$1,0),FALSE)/1,0))</f>
        <v>0</v>
      </c>
      <c r="L108" s="31">
        <f>IF($D108="","",IFERROR(VLOOKUP($B108,Kraftvärmeprod!$B$1:$BX$550,MATCH(L$2,Kraftvärmeprod!$B$1:$VX$1,0),FALSE)/1,0)-IFERROR(VLOOKUP($B108,'Slutlig allokering kvv'!$B$2:$BX$550,MATCH(L$2,'Slutlig allokering kvv'!$B$1:$BX$1,0),FALSE)/1,0))</f>
        <v>10.751200000000001</v>
      </c>
      <c r="M108" s="31">
        <f>IF($D108="","",IFERROR(VLOOKUP($B108,Kraftvärmeprod!$B$1:$BX$550,MATCH(M$2,Kraftvärmeprod!$B$1:$VX$1,0),FALSE)/1,0)-IFERROR(VLOOKUP($B108,'Slutlig allokering kvv'!$B$2:$BX$550,MATCH(M$2,'Slutlig allokering kvv'!$B$1:$BX$1,0),FALSE)/1,0))</f>
        <v>25.355</v>
      </c>
      <c r="N108" s="31">
        <f>IF($D108="","",IFERROR(VLOOKUP($B108,Kraftvärmeprod!$B$1:$BX$550,MATCH(N$2,Kraftvärmeprod!$B$1:$VX$1,0),FALSE)/1,0)-IFERROR(VLOOKUP($B108,'Slutlig allokering kvv'!$B$2:$BX$550,MATCH(N$2,'Slutlig allokering kvv'!$B$1:$BX$1,0),FALSE)/1,0))</f>
        <v>28.266800000000003</v>
      </c>
      <c r="O108" s="31">
        <f>IF($D108="","",IFERROR(VLOOKUP($B108,Kraftvärmeprod!$B$1:$BX$550,MATCH(O$2,Kraftvärmeprod!$B$1:$VX$1,0),FALSE)/1,0)-IFERROR(VLOOKUP($B108,'Slutlig allokering kvv'!$B$2:$BX$550,MATCH(O$2,'Slutlig allokering kvv'!$B$1:$BX$1,0),FALSE)/1,0))</f>
        <v>2.7326099999999998</v>
      </c>
      <c r="P108" s="31">
        <f>IF($D108="","",IFERROR(VLOOKUP($B108,Kraftvärmeprod!$B$1:$BX$550,MATCH(P$2,Kraftvärmeprod!$B$1:$VX$1,0),FALSE)/1,0)-IFERROR(VLOOKUP($B108,'Slutlig allokering kvv'!$B$2:$BX$550,MATCH(P$2,'Slutlig allokering kvv'!$B$1:$BX$1,0),FALSE)/1,0))</f>
        <v>0</v>
      </c>
      <c r="Q108" s="31">
        <f>IF($D108="","",IFERROR(VLOOKUP($B108,Kraftvärmeprod!$B$1:$BX$550,MATCH(Q$2,Kraftvärmeprod!$B$1:$VX$1,0),FALSE)/1,0)-IFERROR(VLOOKUP($B108,'Slutlig allokering kvv'!$B$2:$BX$550,MATCH(Q$2,'Slutlig allokering kvv'!$B$1:$BX$1,0),FALSE)/1,0))</f>
        <v>0</v>
      </c>
      <c r="R108" s="31">
        <f>IF($D108="","",IFERROR(VLOOKUP($B108,Kraftvärmeprod!$B$1:$BX$550,MATCH(R$2,Kraftvärmeprod!$B$1:$VX$1,0),FALSE)/1,0)-IFERROR(VLOOKUP($B108,'Slutlig allokering kvv'!$B$2:$BX$550,MATCH(R$2,'Slutlig allokering kvv'!$B$1:$BX$1,0),FALSE)/1,0))</f>
        <v>0</v>
      </c>
      <c r="S108" s="31">
        <f>IF($D108="","",IFERROR(VLOOKUP($B108,Kraftvärmeprod!$B$1:$BX$550,MATCH(S$2,Kraftvärmeprod!$B$1:$VX$1,0),FALSE)/1,0)-IFERROR(VLOOKUP($B108,'Slutlig allokering kvv'!$B$2:$BX$550,MATCH(S$2,'Slutlig allokering kvv'!$B$1:$BX$1,0),FALSE)/1,0))</f>
        <v>0</v>
      </c>
      <c r="T108" s="31">
        <f>IF($D108="","",IFERROR(VLOOKUP($B108,Kraftvärmeprod!$B$1:$BX$550,MATCH(T$2,Kraftvärmeprod!$B$1:$VX$1,0),FALSE)/1,0)-IFERROR(VLOOKUP($B108,'Slutlig allokering kvv'!$B$2:$BX$550,MATCH(T$2,'Slutlig allokering kvv'!$B$1:$BX$1,0),FALSE)/1,0))</f>
        <v>0</v>
      </c>
      <c r="U108" s="31">
        <f>IF($D108="","",IFERROR(VLOOKUP($B108,Kraftvärmeprod!$B$1:$BX$550,MATCH(U$2,Kraftvärmeprod!$B$1:$VX$1,0),FALSE)/1,0)-IFERROR(VLOOKUP($B108,'Slutlig allokering kvv'!$B$2:$BX$550,MATCH(U$2,'Slutlig allokering kvv'!$B$1:$BX$1,0),FALSE)/1,0))</f>
        <v>0</v>
      </c>
      <c r="V108" s="31">
        <f>IF($D108="","",IFERROR(VLOOKUP($B108,Kraftvärmeprod!$B$1:$BX$550,MATCH(V$2,Kraftvärmeprod!$B$1:$VX$1,0),FALSE)/1,0)-IFERROR(VLOOKUP($B108,'Slutlig allokering kvv'!$B$2:$BX$550,MATCH(V$2,'Slutlig allokering kvv'!$B$1:$BX$1,0),FALSE)/1,0))</f>
        <v>0</v>
      </c>
      <c r="W108" s="31">
        <f>IF($D108="","",IFERROR(VLOOKUP($B108,Kraftvärmeprod!$B$1:$BX$550,MATCH(W$2,Kraftvärmeprod!$B$1:$VX$1,0),FALSE)/1,0)-IFERROR(VLOOKUP($B108,'Slutlig allokering kvv'!$B$2:$BX$550,MATCH(W$2,'Slutlig allokering kvv'!$B$1:$BX$1,0),FALSE)/1,0))</f>
        <v>0</v>
      </c>
      <c r="X108" s="31">
        <f>IF($D108="","",IFERROR(VLOOKUP($B108,Kraftvärmeprod!$B$1:$BX$550,MATCH(X$2,Kraftvärmeprod!$B$1:$VX$1,0),FALSE)/1,0)-IFERROR(VLOOKUP($B108,'Slutlig allokering kvv'!$B$2:$BX$550,MATCH(X$2,'Slutlig allokering kvv'!$B$1:$BX$1,0),FALSE)/1,0))</f>
        <v>0</v>
      </c>
      <c r="Y108" s="31">
        <f>IF($D108="","",IFERROR(VLOOKUP($B108,Kraftvärmeprod!$B$1:$BX$550,MATCH(Y$2,Kraftvärmeprod!$B$1:$VX$1,0),FALSE)/1,0)-IFERROR(VLOOKUP($B108,'Slutlig allokering kvv'!$B$2:$BX$550,MATCH(Y$2,'Slutlig allokering kvv'!$B$1:$BX$1,0),FALSE)/1,0))</f>
        <v>0</v>
      </c>
      <c r="Z108" s="31">
        <f>IF($D108="","",IFERROR(VLOOKUP($B108,Kraftvärmeprod!$B$1:$BX$550,MATCH(Z$2,Kraftvärmeprod!$B$1:$VX$1,0),FALSE)/1,0)-IFERROR(VLOOKUP($B108,'Slutlig allokering kvv'!$B$2:$BX$550,MATCH(Z$2,'Slutlig allokering kvv'!$B$1:$BX$1,0),FALSE)/1,0))</f>
        <v>12.498200000000001</v>
      </c>
      <c r="AA108" s="31">
        <f>IF($D108="","",IFERROR(VLOOKUP($B108,Kraftvärmeprod!$B$1:$BX$550,MATCH(AA$2,Kraftvärmeprod!$B$1:$VX$1,0),FALSE)/1,0)-IFERROR(VLOOKUP($B108,'Slutlig allokering kvv'!$B$2:$BX$550,MATCH(AA$2,'Slutlig allokering kvv'!$B$1:$BX$1,0),FALSE)/1,0))</f>
        <v>0</v>
      </c>
      <c r="AB108" s="31">
        <f>IF($D108="","",IFERROR(VLOOKUP($B108,Kraftvärmeprod!$B$1:$BX$550,MATCH(AB$2,Kraftvärmeprod!$B$1:$VX$1,0),FALSE)/1,0)-IFERROR(VLOOKUP($B108,'Slutlig allokering kvv'!$B$2:$BX$550,MATCH(AB$2,'Slutlig allokering kvv'!$B$1:$BX$1,0),FALSE)/1,0))</f>
        <v>0</v>
      </c>
      <c r="AC108" s="31">
        <f>IF($D108="","",IFERROR(VLOOKUP($B108,Kraftvärmeprod!$B$1:$BX$550,MATCH(AC$2,Kraftvärmeprod!$B$1:$VX$1,0),FALSE)/1,0)-IFERROR(VLOOKUP($B108,'Slutlig allokering kvv'!$B$2:$BX$550,MATCH(AC$2,'Slutlig allokering kvv'!$B$1:$BX$1,0),FALSE)/1,0))</f>
        <v>0</v>
      </c>
      <c r="AD108" s="31">
        <f>IF($D108="","",IFERROR(VLOOKUP($B108,Kraftvärmeprod!$B$1:$BX$550,MATCH(AD$2,Kraftvärmeprod!$B$1:$VX$1,0),FALSE)/1,0)-IFERROR(VLOOKUP($B108,'Slutlig allokering kvv'!$B$2:$BX$550,MATCH(AD$2,'Slutlig allokering kvv'!$B$1:$BX$1,0),FALSE)/1,0))</f>
        <v>0</v>
      </c>
      <c r="AE108" s="31">
        <f>IF($D108="","",IFERROR(VLOOKUP($B108,Miljö!$B$1:$E$550,MATCH("Hjälpel kraftvärme (GWh)",Miljö!$B$1:$E$1,0),FALSE)/1,0)-IFERROR(VLOOKUP($B108,'Slutlig allokering kvv'!$B$2:$BX$549,MATCH(AE$2,'Slutlig allokering kvv'!$B$1:$BX$1,0),FALSE)/1,0))</f>
        <v>2.2933000000000003</v>
      </c>
      <c r="AI108" s="39">
        <f t="shared" si="4"/>
        <v>79.603809999999996</v>
      </c>
      <c r="AK108" s="31">
        <f>IFERROR(VLOOKUP($B108,'Slutlig allokering kvv'!$B$2:$AX$549,MATCH("Summa slutlig allokerad tillförd energi (utan hjälpel och rökgaskondensering):",'Slutlig allokering kvv'!$B$1:$AX$1,0),FALSE)/1,"")</f>
        <v>100.89618999999999</v>
      </c>
      <c r="AM108" s="31">
        <f>IFERROR(1-VLOOKUP($B108,'Slutlig allokering kvv'!$B$2:$AX$549,MATCH("Andel av bränsle i kvv som allokerats till värme, exklusive rökgaskondensering och hjälpel",'Slutlig allokering kvv'!$B$1:$AX$1,0),FALSE),"")</f>
        <v>0.44101833795013845</v>
      </c>
      <c r="AO108" s="31">
        <f t="shared" si="5"/>
        <v>0.44101833795013851</v>
      </c>
      <c r="AP108" s="31">
        <f t="shared" si="6"/>
        <v>-5.5511151231257827E-17</v>
      </c>
      <c r="AR108" s="32">
        <f t="shared" si="7"/>
        <v>0.40538671022701539</v>
      </c>
    </row>
    <row r="109" spans="1:44" s="31" customFormat="1" x14ac:dyDescent="0.45">
      <c r="A109" s="31" t="s">
        <v>530</v>
      </c>
      <c r="B109" s="31" t="s">
        <v>531</v>
      </c>
      <c r="C109" s="31">
        <f>IFERROR(VLOOKUP($B109,Kraftvärmeprod!$B$1:$AH$479,MATCH(C$2,Kraftvärmeprod!$B$1:$AG$1,0),FALSE)/1,"")</f>
        <v>111</v>
      </c>
      <c r="D109" s="31">
        <f>IFERROR(VLOOKUP($B109,Kraftvärmeprod!$B$1:$AH$479,MATCH(D$2,Kraftvärmeprod!$B$1:$AG$1,0),FALSE)/1,"")</f>
        <v>10.6</v>
      </c>
      <c r="F109" s="31">
        <f>IF($D109="","",IFERROR(VLOOKUP($B109,Kraftvärmeprod!$B$1:$BX$550,MATCH(F$2,Kraftvärmeprod!$B$1:$VX$1,0),FALSE)/1,0)-IFERROR(VLOOKUP($B109,'Slutlig allokering kvv'!$B$2:$BX$550,MATCH(F$2,'Slutlig allokering kvv'!$B$1:$BX$1,0),FALSE)/1,0))</f>
        <v>0</v>
      </c>
      <c r="G109" s="31">
        <f>IF($D109="","",IFERROR(VLOOKUP($B109,Kraftvärmeprod!$B$1:$BX$550,MATCH(G$2,Kraftvärmeprod!$B$1:$VX$1,0),FALSE)/1,0)-IFERROR(VLOOKUP($B109,'Slutlig allokering kvv'!$B$2:$BX$550,MATCH(G$2,'Slutlig allokering kvv'!$B$1:$BX$1,0),FALSE)/1,0))</f>
        <v>0</v>
      </c>
      <c r="H109" s="31">
        <f>IF($D109="","",IFERROR(VLOOKUP($B109,Kraftvärmeprod!$B$1:$BX$550,MATCH(H$2,Kraftvärmeprod!$B$1:$VX$1,0),FALSE)/1,0)-IFERROR(VLOOKUP($B109,'Slutlig allokering kvv'!$B$2:$BX$550,MATCH(H$2,'Slutlig allokering kvv'!$B$1:$BX$1,0),FALSE)/1,0))</f>
        <v>0</v>
      </c>
      <c r="I109" s="31">
        <f>IF($D109="","",IFERROR(VLOOKUP($B109,Kraftvärmeprod!$B$1:$BX$550,MATCH(I$2,Kraftvärmeprod!$B$1:$VX$1,0),FALSE)/1,0)-IFERROR(VLOOKUP($B109,'Slutlig allokering kvv'!$B$2:$BX$550,MATCH(I$2,'Slutlig allokering kvv'!$B$1:$BX$1,0),FALSE)/1,0))</f>
        <v>0</v>
      </c>
      <c r="J109" s="31">
        <f>IF($D109="","",IFERROR(VLOOKUP($B109,Kraftvärmeprod!$B$1:$BX$550,MATCH(J$2,Kraftvärmeprod!$B$1:$VX$1,0),FALSE)/1,0)-IFERROR(VLOOKUP($B109,'Slutlig allokering kvv'!$B$2:$BX$550,MATCH(J$2,'Slutlig allokering kvv'!$B$1:$BX$1,0),FALSE)/1,0))</f>
        <v>0</v>
      </c>
      <c r="K109" s="31">
        <f>IF($D109="","",IFERROR(VLOOKUP($B109,Kraftvärmeprod!$B$1:$BX$550,MATCH(K$2,Kraftvärmeprod!$B$1:$VX$1,0),FALSE)/1,0)-IFERROR(VLOOKUP($B109,'Slutlig allokering kvv'!$B$2:$BX$550,MATCH(K$2,'Slutlig allokering kvv'!$B$1:$BX$1,0),FALSE)/1,0))</f>
        <v>0</v>
      </c>
      <c r="L109" s="31">
        <f>IF($D109="","",IFERROR(VLOOKUP($B109,Kraftvärmeprod!$B$1:$BX$550,MATCH(L$2,Kraftvärmeprod!$B$1:$VX$1,0),FALSE)/1,0)-IFERROR(VLOOKUP($B109,'Slutlig allokering kvv'!$B$2:$BX$550,MATCH(L$2,'Slutlig allokering kvv'!$B$1:$BX$1,0),FALSE)/1,0))</f>
        <v>0</v>
      </c>
      <c r="M109" s="31">
        <f>IF($D109="","",IFERROR(VLOOKUP($B109,Kraftvärmeprod!$B$1:$BX$550,MATCH(M$2,Kraftvärmeprod!$B$1:$VX$1,0),FALSE)/1,0)-IFERROR(VLOOKUP($B109,'Slutlig allokering kvv'!$B$2:$BX$550,MATCH(M$2,'Slutlig allokering kvv'!$B$1:$BX$1,0),FALSE)/1,0))</f>
        <v>0</v>
      </c>
      <c r="N109" s="31">
        <f>IF($D109="","",IFERROR(VLOOKUP($B109,Kraftvärmeprod!$B$1:$BX$550,MATCH(N$2,Kraftvärmeprod!$B$1:$VX$1,0),FALSE)/1,0)-IFERROR(VLOOKUP($B109,'Slutlig allokering kvv'!$B$2:$BX$550,MATCH(N$2,'Slutlig allokering kvv'!$B$1:$BX$1,0),FALSE)/1,0))</f>
        <v>0</v>
      </c>
      <c r="O109" s="31">
        <f>IF($D109="","",IFERROR(VLOOKUP($B109,Kraftvärmeprod!$B$1:$BX$550,MATCH(O$2,Kraftvärmeprod!$B$1:$VX$1,0),FALSE)/1,0)-IFERROR(VLOOKUP($B109,'Slutlig allokering kvv'!$B$2:$BX$550,MATCH(O$2,'Slutlig allokering kvv'!$B$1:$BX$1,0),FALSE)/1,0))</f>
        <v>0</v>
      </c>
      <c r="P109" s="31">
        <f>IF($D109="","",IFERROR(VLOOKUP($B109,Kraftvärmeprod!$B$1:$BX$550,MATCH(P$2,Kraftvärmeprod!$B$1:$VX$1,0),FALSE)/1,0)-IFERROR(VLOOKUP($B109,'Slutlig allokering kvv'!$B$2:$BX$550,MATCH(P$2,'Slutlig allokering kvv'!$B$1:$BX$1,0),FALSE)/1,0))</f>
        <v>0</v>
      </c>
      <c r="Q109" s="31">
        <f>IF($D109="","",IFERROR(VLOOKUP($B109,Kraftvärmeprod!$B$1:$BX$550,MATCH(Q$2,Kraftvärmeprod!$B$1:$VX$1,0),FALSE)/1,0)-IFERROR(VLOOKUP($B109,'Slutlig allokering kvv'!$B$2:$BX$550,MATCH(Q$2,'Slutlig allokering kvv'!$B$1:$BX$1,0),FALSE)/1,0))</f>
        <v>0</v>
      </c>
      <c r="R109" s="31">
        <f>IF($D109="","",IFERROR(VLOOKUP($B109,Kraftvärmeprod!$B$1:$BX$550,MATCH(R$2,Kraftvärmeprod!$B$1:$VX$1,0),FALSE)/1,0)-IFERROR(VLOOKUP($B109,'Slutlig allokering kvv'!$B$2:$BX$550,MATCH(R$2,'Slutlig allokering kvv'!$B$1:$BX$1,0),FALSE)/1,0))</f>
        <v>0</v>
      </c>
      <c r="S109" s="31">
        <f>IF($D109="","",IFERROR(VLOOKUP($B109,Kraftvärmeprod!$B$1:$BX$550,MATCH(S$2,Kraftvärmeprod!$B$1:$VX$1,0),FALSE)/1,0)-IFERROR(VLOOKUP($B109,'Slutlig allokering kvv'!$B$2:$BX$550,MATCH(S$2,'Slutlig allokering kvv'!$B$1:$BX$1,0),FALSE)/1,0))</f>
        <v>0</v>
      </c>
      <c r="T109" s="31">
        <f>IF($D109="","",IFERROR(VLOOKUP($B109,Kraftvärmeprod!$B$1:$BX$550,MATCH(T$2,Kraftvärmeprod!$B$1:$VX$1,0),FALSE)/1,0)-IFERROR(VLOOKUP($B109,'Slutlig allokering kvv'!$B$2:$BX$550,MATCH(T$2,'Slutlig allokering kvv'!$B$1:$BX$1,0),FALSE)/1,0))</f>
        <v>0</v>
      </c>
      <c r="U109" s="31">
        <f>IF($D109="","",IFERROR(VLOOKUP($B109,Kraftvärmeprod!$B$1:$BX$550,MATCH(U$2,Kraftvärmeprod!$B$1:$VX$1,0),FALSE)/1,0)-IFERROR(VLOOKUP($B109,'Slutlig allokering kvv'!$B$2:$BX$550,MATCH(U$2,'Slutlig allokering kvv'!$B$1:$BX$1,0),FALSE)/1,0))</f>
        <v>0</v>
      </c>
      <c r="V109" s="31">
        <f>IF($D109="","",IFERROR(VLOOKUP($B109,Kraftvärmeprod!$B$1:$BX$550,MATCH(V$2,Kraftvärmeprod!$B$1:$VX$1,0),FALSE)/1,0)-IFERROR(VLOOKUP($B109,'Slutlig allokering kvv'!$B$2:$BX$550,MATCH(V$2,'Slutlig allokering kvv'!$B$1:$BX$1,0),FALSE)/1,0))</f>
        <v>0</v>
      </c>
      <c r="W109" s="31">
        <f>IF($D109="","",IFERROR(VLOOKUP($B109,Kraftvärmeprod!$B$1:$BX$550,MATCH(W$2,Kraftvärmeprod!$B$1:$VX$1,0),FALSE)/1,0)-IFERROR(VLOOKUP($B109,'Slutlig allokering kvv'!$B$2:$BX$550,MATCH(W$2,'Slutlig allokering kvv'!$B$1:$BX$1,0),FALSE)/1,0))</f>
        <v>0</v>
      </c>
      <c r="X109" s="31">
        <f>IF($D109="","",IFERROR(VLOOKUP($B109,Kraftvärmeprod!$B$1:$BX$550,MATCH(X$2,Kraftvärmeprod!$B$1:$VX$1,0),FALSE)/1,0)-IFERROR(VLOOKUP($B109,'Slutlig allokering kvv'!$B$2:$BX$550,MATCH(X$2,'Slutlig allokering kvv'!$B$1:$BX$1,0),FALSE)/1,0))</f>
        <v>2.1046000000000009E-2</v>
      </c>
      <c r="Y109" s="31">
        <f>IF($D109="","",IFERROR(VLOOKUP($B109,Kraftvärmeprod!$B$1:$BX$550,MATCH(Y$2,Kraftvärmeprod!$B$1:$VX$1,0),FALSE)/1,0)-IFERROR(VLOOKUP($B109,'Slutlig allokering kvv'!$B$2:$BX$550,MATCH(Y$2,'Slutlig allokering kvv'!$B$1:$BX$1,0),FALSE)/1,0))</f>
        <v>0</v>
      </c>
      <c r="Z109" s="31">
        <f>IF($D109="","",IFERROR(VLOOKUP($B109,Kraftvärmeprod!$B$1:$BX$550,MATCH(Z$2,Kraftvärmeprod!$B$1:$VX$1,0),FALSE)/1,0)-IFERROR(VLOOKUP($B109,'Slutlig allokering kvv'!$B$2:$BX$550,MATCH(Z$2,'Slutlig allokering kvv'!$B$1:$BX$1,0),FALSE)/1,0))</f>
        <v>0</v>
      </c>
      <c r="AA109" s="31">
        <f>IF($D109="","",IFERROR(VLOOKUP($B109,Kraftvärmeprod!$B$1:$BX$550,MATCH(AA$2,Kraftvärmeprod!$B$1:$VX$1,0),FALSE)/1,0)-IFERROR(VLOOKUP($B109,'Slutlig allokering kvv'!$B$2:$BX$550,MATCH(AA$2,'Slutlig allokering kvv'!$B$1:$BX$1,0),FALSE)/1,0))</f>
        <v>34.546999999999997</v>
      </c>
      <c r="AB109" s="31">
        <f>IF($D109="","",IFERROR(VLOOKUP($B109,Kraftvärmeprod!$B$1:$BX$550,MATCH(AB$2,Kraftvärmeprod!$B$1:$VX$1,0),FALSE)/1,0)-IFERROR(VLOOKUP($B109,'Slutlig allokering kvv'!$B$2:$BX$550,MATCH(AB$2,'Slutlig allokering kvv'!$B$1:$BX$1,0),FALSE)/1,0))</f>
        <v>0</v>
      </c>
      <c r="AC109" s="31">
        <f>IF($D109="","",IFERROR(VLOOKUP($B109,Kraftvärmeprod!$B$1:$BX$550,MATCH(AC$2,Kraftvärmeprod!$B$1:$VX$1,0),FALSE)/1,0)-IFERROR(VLOOKUP($B109,'Slutlig allokering kvv'!$B$2:$BX$550,MATCH(AC$2,'Slutlig allokering kvv'!$B$1:$BX$1,0),FALSE)/1,0))</f>
        <v>0</v>
      </c>
      <c r="AD109" s="31">
        <f>IF($D109="","",IFERROR(VLOOKUP($B109,Kraftvärmeprod!$B$1:$BX$550,MATCH(AD$2,Kraftvärmeprod!$B$1:$VX$1,0),FALSE)/1,0)-IFERROR(VLOOKUP($B109,'Slutlig allokering kvv'!$B$2:$BX$550,MATCH(AD$2,'Slutlig allokering kvv'!$B$1:$BX$1,0),FALSE)/1,0))</f>
        <v>0</v>
      </c>
      <c r="AE109" s="31">
        <f>IF($D109="","",IFERROR(VLOOKUP($B109,Miljö!$B$1:$E$550,MATCH("Hjälpel kraftvärme (GWh)",Miljö!$B$1:$E$1,0),FALSE)/1,0)-IFERROR(VLOOKUP($B109,'Slutlig allokering kvv'!$B$2:$BX$549,MATCH(AE$2,'Slutlig allokering kvv'!$B$1:$BX$1,0),FALSE)/1,0))</f>
        <v>0</v>
      </c>
      <c r="AI109" s="39">
        <f t="shared" si="4"/>
        <v>34.568045999999995</v>
      </c>
      <c r="AK109" s="31">
        <f>IFERROR(VLOOKUP($B109,'Slutlig allokering kvv'!$B$2:$AX$549,MATCH("Summa slutlig allokerad tillförd energi (utan hjälpel och rökgaskondensering):",'Slutlig allokering kvv'!$B$1:$AX$1,0),FALSE)/1,"")</f>
        <v>113.16195399999999</v>
      </c>
      <c r="AM109" s="31">
        <f>IFERROR(1-VLOOKUP($B109,'Slutlig allokering kvv'!$B$2:$AX$549,MATCH("Andel av bränsle i kvv som allokerats till värme, exklusive rökgaskondensering och hjälpel",'Slutlig allokering kvv'!$B$1:$AX$1,0),FALSE),"")</f>
        <v>0.23399476071210989</v>
      </c>
      <c r="AO109" s="31">
        <f t="shared" si="5"/>
        <v>0.23399476071210992</v>
      </c>
      <c r="AP109" s="31">
        <f t="shared" si="6"/>
        <v>-2.7755575615628914E-17</v>
      </c>
      <c r="AR109" s="32">
        <f t="shared" si="7"/>
        <v>0.30664157297175548</v>
      </c>
    </row>
    <row r="110" spans="1:44" s="31" customFormat="1" x14ac:dyDescent="0.45">
      <c r="A110" s="31" t="s">
        <v>530</v>
      </c>
      <c r="B110" s="31" t="s">
        <v>529</v>
      </c>
      <c r="C110" s="31" t="str">
        <f>IFERROR(VLOOKUP($B110,Kraftvärmeprod!$B$1:$AH$479,MATCH(C$2,Kraftvärmeprod!$B$1:$AG$1,0),FALSE)/1,"")</f>
        <v/>
      </c>
      <c r="D110" s="31" t="str">
        <f>IFERROR(VLOOKUP($B110,Kraftvärmeprod!$B$1:$AH$479,MATCH(D$2,Kraftvärmeprod!$B$1:$AG$1,0),FALSE)/1,"")</f>
        <v/>
      </c>
      <c r="F110" s="31" t="str">
        <f>IF($D110="","",IFERROR(VLOOKUP($B110,Kraftvärmeprod!$B$1:$BX$550,MATCH(F$2,Kraftvärmeprod!$B$1:$VX$1,0),FALSE)/1,0)-IFERROR(VLOOKUP($B110,'Slutlig allokering kvv'!$B$2:$BX$550,MATCH(F$2,'Slutlig allokering kvv'!$B$1:$BX$1,0),FALSE)/1,0))</f>
        <v/>
      </c>
      <c r="G110" s="31" t="str">
        <f>IF($D110="","",IFERROR(VLOOKUP($B110,Kraftvärmeprod!$B$1:$BX$550,MATCH(G$2,Kraftvärmeprod!$B$1:$VX$1,0),FALSE)/1,0)-IFERROR(VLOOKUP($B110,'Slutlig allokering kvv'!$B$2:$BX$550,MATCH(G$2,'Slutlig allokering kvv'!$B$1:$BX$1,0),FALSE)/1,0))</f>
        <v/>
      </c>
      <c r="H110" s="31" t="str">
        <f>IF($D110="","",IFERROR(VLOOKUP($B110,Kraftvärmeprod!$B$1:$BX$550,MATCH(H$2,Kraftvärmeprod!$B$1:$VX$1,0),FALSE)/1,0)-IFERROR(VLOOKUP($B110,'Slutlig allokering kvv'!$B$2:$BX$550,MATCH(H$2,'Slutlig allokering kvv'!$B$1:$BX$1,0),FALSE)/1,0))</f>
        <v/>
      </c>
      <c r="I110" s="31" t="str">
        <f>IF($D110="","",IFERROR(VLOOKUP($B110,Kraftvärmeprod!$B$1:$BX$550,MATCH(I$2,Kraftvärmeprod!$B$1:$VX$1,0),FALSE)/1,0)-IFERROR(VLOOKUP($B110,'Slutlig allokering kvv'!$B$2:$BX$550,MATCH(I$2,'Slutlig allokering kvv'!$B$1:$BX$1,0),FALSE)/1,0))</f>
        <v/>
      </c>
      <c r="J110" s="31" t="str">
        <f>IF($D110="","",IFERROR(VLOOKUP($B110,Kraftvärmeprod!$B$1:$BX$550,MATCH(J$2,Kraftvärmeprod!$B$1:$VX$1,0),FALSE)/1,0)-IFERROR(VLOOKUP($B110,'Slutlig allokering kvv'!$B$2:$BX$550,MATCH(J$2,'Slutlig allokering kvv'!$B$1:$BX$1,0),FALSE)/1,0))</f>
        <v/>
      </c>
      <c r="K110" s="31" t="str">
        <f>IF($D110="","",IFERROR(VLOOKUP($B110,Kraftvärmeprod!$B$1:$BX$550,MATCH(K$2,Kraftvärmeprod!$B$1:$VX$1,0),FALSE)/1,0)-IFERROR(VLOOKUP($B110,'Slutlig allokering kvv'!$B$2:$BX$550,MATCH(K$2,'Slutlig allokering kvv'!$B$1:$BX$1,0),FALSE)/1,0))</f>
        <v/>
      </c>
      <c r="L110" s="31" t="str">
        <f>IF($D110="","",IFERROR(VLOOKUP($B110,Kraftvärmeprod!$B$1:$BX$550,MATCH(L$2,Kraftvärmeprod!$B$1:$VX$1,0),FALSE)/1,0)-IFERROR(VLOOKUP($B110,'Slutlig allokering kvv'!$B$2:$BX$550,MATCH(L$2,'Slutlig allokering kvv'!$B$1:$BX$1,0),FALSE)/1,0))</f>
        <v/>
      </c>
      <c r="M110" s="31" t="str">
        <f>IF($D110="","",IFERROR(VLOOKUP($B110,Kraftvärmeprod!$B$1:$BX$550,MATCH(M$2,Kraftvärmeprod!$B$1:$VX$1,0),FALSE)/1,0)-IFERROR(VLOOKUP($B110,'Slutlig allokering kvv'!$B$2:$BX$550,MATCH(M$2,'Slutlig allokering kvv'!$B$1:$BX$1,0),FALSE)/1,0))</f>
        <v/>
      </c>
      <c r="N110" s="31" t="str">
        <f>IF($D110="","",IFERROR(VLOOKUP($B110,Kraftvärmeprod!$B$1:$BX$550,MATCH(N$2,Kraftvärmeprod!$B$1:$VX$1,0),FALSE)/1,0)-IFERROR(VLOOKUP($B110,'Slutlig allokering kvv'!$B$2:$BX$550,MATCH(N$2,'Slutlig allokering kvv'!$B$1:$BX$1,0),FALSE)/1,0))</f>
        <v/>
      </c>
      <c r="O110" s="31" t="str">
        <f>IF($D110="","",IFERROR(VLOOKUP($B110,Kraftvärmeprod!$B$1:$BX$550,MATCH(O$2,Kraftvärmeprod!$B$1:$VX$1,0),FALSE)/1,0)-IFERROR(VLOOKUP($B110,'Slutlig allokering kvv'!$B$2:$BX$550,MATCH(O$2,'Slutlig allokering kvv'!$B$1:$BX$1,0),FALSE)/1,0))</f>
        <v/>
      </c>
      <c r="P110" s="31" t="str">
        <f>IF($D110="","",IFERROR(VLOOKUP($B110,Kraftvärmeprod!$B$1:$BX$550,MATCH(P$2,Kraftvärmeprod!$B$1:$VX$1,0),FALSE)/1,0)-IFERROR(VLOOKUP($B110,'Slutlig allokering kvv'!$B$2:$BX$550,MATCH(P$2,'Slutlig allokering kvv'!$B$1:$BX$1,0),FALSE)/1,0))</f>
        <v/>
      </c>
      <c r="Q110" s="31" t="str">
        <f>IF($D110="","",IFERROR(VLOOKUP($B110,Kraftvärmeprod!$B$1:$BX$550,MATCH(Q$2,Kraftvärmeprod!$B$1:$VX$1,0),FALSE)/1,0)-IFERROR(VLOOKUP($B110,'Slutlig allokering kvv'!$B$2:$BX$550,MATCH(Q$2,'Slutlig allokering kvv'!$B$1:$BX$1,0),FALSE)/1,0))</f>
        <v/>
      </c>
      <c r="R110" s="31" t="str">
        <f>IF($D110="","",IFERROR(VLOOKUP($B110,Kraftvärmeprod!$B$1:$BX$550,MATCH(R$2,Kraftvärmeprod!$B$1:$VX$1,0),FALSE)/1,0)-IFERROR(VLOOKUP($B110,'Slutlig allokering kvv'!$B$2:$BX$550,MATCH(R$2,'Slutlig allokering kvv'!$B$1:$BX$1,0),FALSE)/1,0))</f>
        <v/>
      </c>
      <c r="S110" s="31" t="str">
        <f>IF($D110="","",IFERROR(VLOOKUP($B110,Kraftvärmeprod!$B$1:$BX$550,MATCH(S$2,Kraftvärmeprod!$B$1:$VX$1,0),FALSE)/1,0)-IFERROR(VLOOKUP($B110,'Slutlig allokering kvv'!$B$2:$BX$550,MATCH(S$2,'Slutlig allokering kvv'!$B$1:$BX$1,0),FALSE)/1,0))</f>
        <v/>
      </c>
      <c r="T110" s="31" t="str">
        <f>IF($D110="","",IFERROR(VLOOKUP($B110,Kraftvärmeprod!$B$1:$BX$550,MATCH(T$2,Kraftvärmeprod!$B$1:$VX$1,0),FALSE)/1,0)-IFERROR(VLOOKUP($B110,'Slutlig allokering kvv'!$B$2:$BX$550,MATCH(T$2,'Slutlig allokering kvv'!$B$1:$BX$1,0),FALSE)/1,0))</f>
        <v/>
      </c>
      <c r="U110" s="31" t="str">
        <f>IF($D110="","",IFERROR(VLOOKUP($B110,Kraftvärmeprod!$B$1:$BX$550,MATCH(U$2,Kraftvärmeprod!$B$1:$VX$1,0),FALSE)/1,0)-IFERROR(VLOOKUP($B110,'Slutlig allokering kvv'!$B$2:$BX$550,MATCH(U$2,'Slutlig allokering kvv'!$B$1:$BX$1,0),FALSE)/1,0))</f>
        <v/>
      </c>
      <c r="V110" s="31" t="str">
        <f>IF($D110="","",IFERROR(VLOOKUP($B110,Kraftvärmeprod!$B$1:$BX$550,MATCH(V$2,Kraftvärmeprod!$B$1:$VX$1,0),FALSE)/1,0)-IFERROR(VLOOKUP($B110,'Slutlig allokering kvv'!$B$2:$BX$550,MATCH(V$2,'Slutlig allokering kvv'!$B$1:$BX$1,0),FALSE)/1,0))</f>
        <v/>
      </c>
      <c r="W110" s="31" t="str">
        <f>IF($D110="","",IFERROR(VLOOKUP($B110,Kraftvärmeprod!$B$1:$BX$550,MATCH(W$2,Kraftvärmeprod!$B$1:$VX$1,0),FALSE)/1,0)-IFERROR(VLOOKUP($B110,'Slutlig allokering kvv'!$B$2:$BX$550,MATCH(W$2,'Slutlig allokering kvv'!$B$1:$BX$1,0),FALSE)/1,0))</f>
        <v/>
      </c>
      <c r="X110" s="31" t="str">
        <f>IF($D110="","",IFERROR(VLOOKUP($B110,Kraftvärmeprod!$B$1:$BX$550,MATCH(X$2,Kraftvärmeprod!$B$1:$VX$1,0),FALSE)/1,0)-IFERROR(VLOOKUP($B110,'Slutlig allokering kvv'!$B$2:$BX$550,MATCH(X$2,'Slutlig allokering kvv'!$B$1:$BX$1,0),FALSE)/1,0))</f>
        <v/>
      </c>
      <c r="Y110" s="31" t="str">
        <f>IF($D110="","",IFERROR(VLOOKUP($B110,Kraftvärmeprod!$B$1:$BX$550,MATCH(Y$2,Kraftvärmeprod!$B$1:$VX$1,0),FALSE)/1,0)-IFERROR(VLOOKUP($B110,'Slutlig allokering kvv'!$B$2:$BX$550,MATCH(Y$2,'Slutlig allokering kvv'!$B$1:$BX$1,0),FALSE)/1,0))</f>
        <v/>
      </c>
      <c r="Z110" s="31" t="str">
        <f>IF($D110="","",IFERROR(VLOOKUP($B110,Kraftvärmeprod!$B$1:$BX$550,MATCH(Z$2,Kraftvärmeprod!$B$1:$VX$1,0),FALSE)/1,0)-IFERROR(VLOOKUP($B110,'Slutlig allokering kvv'!$B$2:$BX$550,MATCH(Z$2,'Slutlig allokering kvv'!$B$1:$BX$1,0),FALSE)/1,0))</f>
        <v/>
      </c>
      <c r="AA110" s="31" t="str">
        <f>IF($D110="","",IFERROR(VLOOKUP($B110,Kraftvärmeprod!$B$1:$BX$550,MATCH(AA$2,Kraftvärmeprod!$B$1:$VX$1,0),FALSE)/1,0)-IFERROR(VLOOKUP($B110,'Slutlig allokering kvv'!$B$2:$BX$550,MATCH(AA$2,'Slutlig allokering kvv'!$B$1:$BX$1,0),FALSE)/1,0))</f>
        <v/>
      </c>
      <c r="AB110" s="31" t="str">
        <f>IF($D110="","",IFERROR(VLOOKUP($B110,Kraftvärmeprod!$B$1:$BX$550,MATCH(AB$2,Kraftvärmeprod!$B$1:$VX$1,0),FALSE)/1,0)-IFERROR(VLOOKUP($B110,'Slutlig allokering kvv'!$B$2:$BX$550,MATCH(AB$2,'Slutlig allokering kvv'!$B$1:$BX$1,0),FALSE)/1,0))</f>
        <v/>
      </c>
      <c r="AC110" s="31" t="str">
        <f>IF($D110="","",IFERROR(VLOOKUP($B110,Kraftvärmeprod!$B$1:$BX$550,MATCH(AC$2,Kraftvärmeprod!$B$1:$VX$1,0),FALSE)/1,0)-IFERROR(VLOOKUP($B110,'Slutlig allokering kvv'!$B$2:$BX$550,MATCH(AC$2,'Slutlig allokering kvv'!$B$1:$BX$1,0),FALSE)/1,0))</f>
        <v/>
      </c>
      <c r="AD110" s="31" t="str">
        <f>IF($D110="","",IFERROR(VLOOKUP($B110,Kraftvärmeprod!$B$1:$BX$550,MATCH(AD$2,Kraftvärmeprod!$B$1:$VX$1,0),FALSE)/1,0)-IFERROR(VLOOKUP($B110,'Slutlig allokering kvv'!$B$2:$BX$550,MATCH(AD$2,'Slutlig allokering kvv'!$B$1:$BX$1,0),FALSE)/1,0))</f>
        <v/>
      </c>
      <c r="AE110" s="31" t="str">
        <f>IF($D110="","",IFERROR(VLOOKUP($B110,Miljö!$B$1:$E$550,MATCH("Hjälpel kraftvärme (GWh)",Miljö!$B$1:$E$1,0),FALSE)/1,0)-IFERROR(VLOOKUP($B110,'Slutlig allokering kvv'!$B$2:$BX$549,MATCH(AE$2,'Slutlig allokering kvv'!$B$1:$BX$1,0),FALSE)/1,0))</f>
        <v/>
      </c>
      <c r="AI110" s="39">
        <f t="shared" si="4"/>
        <v>0</v>
      </c>
      <c r="AK110" s="31">
        <f>IFERROR(VLOOKUP($B110,'Slutlig allokering kvv'!$B$2:$AX$549,MATCH("Summa slutlig allokerad tillförd energi (utan hjälpel och rökgaskondensering):",'Slutlig allokering kvv'!$B$1:$AX$1,0),FALSE)/1,"")</f>
        <v>0</v>
      </c>
      <c r="AM110" s="31" t="str">
        <f>IFERROR(1-VLOOKUP($B110,'Slutlig allokering kvv'!$B$2:$AX$549,MATCH("Andel av bränsle i kvv som allokerats till värme, exklusive rökgaskondensering och hjälpel",'Slutlig allokering kvv'!$B$1:$AX$1,0),FALSE),"")</f>
        <v/>
      </c>
      <c r="AO110" s="31" t="str">
        <f t="shared" si="5"/>
        <v/>
      </c>
      <c r="AP110" s="31" t="str">
        <f t="shared" si="6"/>
        <v/>
      </c>
      <c r="AR110" s="32" t="str">
        <f t="shared" si="7"/>
        <v/>
      </c>
    </row>
    <row r="111" spans="1:44" s="31" customFormat="1" x14ac:dyDescent="0.45">
      <c r="A111" s="31" t="s">
        <v>528</v>
      </c>
      <c r="B111" s="31" t="s">
        <v>527</v>
      </c>
      <c r="C111" s="31" t="str">
        <f>IFERROR(VLOOKUP($B111,Kraftvärmeprod!$B$1:$AH$479,MATCH(C$2,Kraftvärmeprod!$B$1:$AG$1,0),FALSE)/1,"")</f>
        <v/>
      </c>
      <c r="D111" s="31" t="str">
        <f>IFERROR(VLOOKUP($B111,Kraftvärmeprod!$B$1:$AH$479,MATCH(D$2,Kraftvärmeprod!$B$1:$AG$1,0),FALSE)/1,"")</f>
        <v/>
      </c>
      <c r="F111" s="31" t="str">
        <f>IF($D111="","",IFERROR(VLOOKUP($B111,Kraftvärmeprod!$B$1:$BX$550,MATCH(F$2,Kraftvärmeprod!$B$1:$VX$1,0),FALSE)/1,0)-IFERROR(VLOOKUP($B111,'Slutlig allokering kvv'!$B$2:$BX$550,MATCH(F$2,'Slutlig allokering kvv'!$B$1:$BX$1,0),FALSE)/1,0))</f>
        <v/>
      </c>
      <c r="G111" s="31" t="str">
        <f>IF($D111="","",IFERROR(VLOOKUP($B111,Kraftvärmeprod!$B$1:$BX$550,MATCH(G$2,Kraftvärmeprod!$B$1:$VX$1,0),FALSE)/1,0)-IFERROR(VLOOKUP($B111,'Slutlig allokering kvv'!$B$2:$BX$550,MATCH(G$2,'Slutlig allokering kvv'!$B$1:$BX$1,0),FALSE)/1,0))</f>
        <v/>
      </c>
      <c r="H111" s="31" t="str">
        <f>IF($D111="","",IFERROR(VLOOKUP($B111,Kraftvärmeprod!$B$1:$BX$550,MATCH(H$2,Kraftvärmeprod!$B$1:$VX$1,0),FALSE)/1,0)-IFERROR(VLOOKUP($B111,'Slutlig allokering kvv'!$B$2:$BX$550,MATCH(H$2,'Slutlig allokering kvv'!$B$1:$BX$1,0),FALSE)/1,0))</f>
        <v/>
      </c>
      <c r="I111" s="31" t="str">
        <f>IF($D111="","",IFERROR(VLOOKUP($B111,Kraftvärmeprod!$B$1:$BX$550,MATCH(I$2,Kraftvärmeprod!$B$1:$VX$1,0),FALSE)/1,0)-IFERROR(VLOOKUP($B111,'Slutlig allokering kvv'!$B$2:$BX$550,MATCH(I$2,'Slutlig allokering kvv'!$B$1:$BX$1,0),FALSE)/1,0))</f>
        <v/>
      </c>
      <c r="J111" s="31" t="str">
        <f>IF($D111="","",IFERROR(VLOOKUP($B111,Kraftvärmeprod!$B$1:$BX$550,MATCH(J$2,Kraftvärmeprod!$B$1:$VX$1,0),FALSE)/1,0)-IFERROR(VLOOKUP($B111,'Slutlig allokering kvv'!$B$2:$BX$550,MATCH(J$2,'Slutlig allokering kvv'!$B$1:$BX$1,0),FALSE)/1,0))</f>
        <v/>
      </c>
      <c r="K111" s="31" t="str">
        <f>IF($D111="","",IFERROR(VLOOKUP($B111,Kraftvärmeprod!$B$1:$BX$550,MATCH(K$2,Kraftvärmeprod!$B$1:$VX$1,0),FALSE)/1,0)-IFERROR(VLOOKUP($B111,'Slutlig allokering kvv'!$B$2:$BX$550,MATCH(K$2,'Slutlig allokering kvv'!$B$1:$BX$1,0),FALSE)/1,0))</f>
        <v/>
      </c>
      <c r="L111" s="31" t="str">
        <f>IF($D111="","",IFERROR(VLOOKUP($B111,Kraftvärmeprod!$B$1:$BX$550,MATCH(L$2,Kraftvärmeprod!$B$1:$VX$1,0),FALSE)/1,0)-IFERROR(VLOOKUP($B111,'Slutlig allokering kvv'!$B$2:$BX$550,MATCH(L$2,'Slutlig allokering kvv'!$B$1:$BX$1,0),FALSE)/1,0))</f>
        <v/>
      </c>
      <c r="M111" s="31" t="str">
        <f>IF($D111="","",IFERROR(VLOOKUP($B111,Kraftvärmeprod!$B$1:$BX$550,MATCH(M$2,Kraftvärmeprod!$B$1:$VX$1,0),FALSE)/1,0)-IFERROR(VLOOKUP($B111,'Slutlig allokering kvv'!$B$2:$BX$550,MATCH(M$2,'Slutlig allokering kvv'!$B$1:$BX$1,0),FALSE)/1,0))</f>
        <v/>
      </c>
      <c r="N111" s="31" t="str">
        <f>IF($D111="","",IFERROR(VLOOKUP($B111,Kraftvärmeprod!$B$1:$BX$550,MATCH(N$2,Kraftvärmeprod!$B$1:$VX$1,0),FALSE)/1,0)-IFERROR(VLOOKUP($B111,'Slutlig allokering kvv'!$B$2:$BX$550,MATCH(N$2,'Slutlig allokering kvv'!$B$1:$BX$1,0),FALSE)/1,0))</f>
        <v/>
      </c>
      <c r="O111" s="31" t="str">
        <f>IF($D111="","",IFERROR(VLOOKUP($B111,Kraftvärmeprod!$B$1:$BX$550,MATCH(O$2,Kraftvärmeprod!$B$1:$VX$1,0),FALSE)/1,0)-IFERROR(VLOOKUP($B111,'Slutlig allokering kvv'!$B$2:$BX$550,MATCH(O$2,'Slutlig allokering kvv'!$B$1:$BX$1,0),FALSE)/1,0))</f>
        <v/>
      </c>
      <c r="P111" s="31" t="str">
        <f>IF($D111="","",IFERROR(VLOOKUP($B111,Kraftvärmeprod!$B$1:$BX$550,MATCH(P$2,Kraftvärmeprod!$B$1:$VX$1,0),FALSE)/1,0)-IFERROR(VLOOKUP($B111,'Slutlig allokering kvv'!$B$2:$BX$550,MATCH(P$2,'Slutlig allokering kvv'!$B$1:$BX$1,0),FALSE)/1,0))</f>
        <v/>
      </c>
      <c r="Q111" s="31" t="str">
        <f>IF($D111="","",IFERROR(VLOOKUP($B111,Kraftvärmeprod!$B$1:$BX$550,MATCH(Q$2,Kraftvärmeprod!$B$1:$VX$1,0),FALSE)/1,0)-IFERROR(VLOOKUP($B111,'Slutlig allokering kvv'!$B$2:$BX$550,MATCH(Q$2,'Slutlig allokering kvv'!$B$1:$BX$1,0),FALSE)/1,0))</f>
        <v/>
      </c>
      <c r="R111" s="31" t="str">
        <f>IF($D111="","",IFERROR(VLOOKUP($B111,Kraftvärmeprod!$B$1:$BX$550,MATCH(R$2,Kraftvärmeprod!$B$1:$VX$1,0),FALSE)/1,0)-IFERROR(VLOOKUP($B111,'Slutlig allokering kvv'!$B$2:$BX$550,MATCH(R$2,'Slutlig allokering kvv'!$B$1:$BX$1,0),FALSE)/1,0))</f>
        <v/>
      </c>
      <c r="S111" s="31" t="str">
        <f>IF($D111="","",IFERROR(VLOOKUP($B111,Kraftvärmeprod!$B$1:$BX$550,MATCH(S$2,Kraftvärmeprod!$B$1:$VX$1,0),FALSE)/1,0)-IFERROR(VLOOKUP($B111,'Slutlig allokering kvv'!$B$2:$BX$550,MATCH(S$2,'Slutlig allokering kvv'!$B$1:$BX$1,0),FALSE)/1,0))</f>
        <v/>
      </c>
      <c r="T111" s="31" t="str">
        <f>IF($D111="","",IFERROR(VLOOKUP($B111,Kraftvärmeprod!$B$1:$BX$550,MATCH(T$2,Kraftvärmeprod!$B$1:$VX$1,0),FALSE)/1,0)-IFERROR(VLOOKUP($B111,'Slutlig allokering kvv'!$B$2:$BX$550,MATCH(T$2,'Slutlig allokering kvv'!$B$1:$BX$1,0),FALSE)/1,0))</f>
        <v/>
      </c>
      <c r="U111" s="31" t="str">
        <f>IF($D111="","",IFERROR(VLOOKUP($B111,Kraftvärmeprod!$B$1:$BX$550,MATCH(U$2,Kraftvärmeprod!$B$1:$VX$1,0),FALSE)/1,0)-IFERROR(VLOOKUP($B111,'Slutlig allokering kvv'!$B$2:$BX$550,MATCH(U$2,'Slutlig allokering kvv'!$B$1:$BX$1,0),FALSE)/1,0))</f>
        <v/>
      </c>
      <c r="V111" s="31" t="str">
        <f>IF($D111="","",IFERROR(VLOOKUP($B111,Kraftvärmeprod!$B$1:$BX$550,MATCH(V$2,Kraftvärmeprod!$B$1:$VX$1,0),FALSE)/1,0)-IFERROR(VLOOKUP($B111,'Slutlig allokering kvv'!$B$2:$BX$550,MATCH(V$2,'Slutlig allokering kvv'!$B$1:$BX$1,0),FALSE)/1,0))</f>
        <v/>
      </c>
      <c r="W111" s="31" t="str">
        <f>IF($D111="","",IFERROR(VLOOKUP($B111,Kraftvärmeprod!$B$1:$BX$550,MATCH(W$2,Kraftvärmeprod!$B$1:$VX$1,0),FALSE)/1,0)-IFERROR(VLOOKUP($B111,'Slutlig allokering kvv'!$B$2:$BX$550,MATCH(W$2,'Slutlig allokering kvv'!$B$1:$BX$1,0),FALSE)/1,0))</f>
        <v/>
      </c>
      <c r="X111" s="31" t="str">
        <f>IF($D111="","",IFERROR(VLOOKUP($B111,Kraftvärmeprod!$B$1:$BX$550,MATCH(X$2,Kraftvärmeprod!$B$1:$VX$1,0),FALSE)/1,0)-IFERROR(VLOOKUP($B111,'Slutlig allokering kvv'!$B$2:$BX$550,MATCH(X$2,'Slutlig allokering kvv'!$B$1:$BX$1,0),FALSE)/1,0))</f>
        <v/>
      </c>
      <c r="Y111" s="31" t="str">
        <f>IF($D111="","",IFERROR(VLOOKUP($B111,Kraftvärmeprod!$B$1:$BX$550,MATCH(Y$2,Kraftvärmeprod!$B$1:$VX$1,0),FALSE)/1,0)-IFERROR(VLOOKUP($B111,'Slutlig allokering kvv'!$B$2:$BX$550,MATCH(Y$2,'Slutlig allokering kvv'!$B$1:$BX$1,0),FALSE)/1,0))</f>
        <v/>
      </c>
      <c r="Z111" s="31" t="str">
        <f>IF($D111="","",IFERROR(VLOOKUP($B111,Kraftvärmeprod!$B$1:$BX$550,MATCH(Z$2,Kraftvärmeprod!$B$1:$VX$1,0),FALSE)/1,0)-IFERROR(VLOOKUP($B111,'Slutlig allokering kvv'!$B$2:$BX$550,MATCH(Z$2,'Slutlig allokering kvv'!$B$1:$BX$1,0),FALSE)/1,0))</f>
        <v/>
      </c>
      <c r="AA111" s="31" t="str">
        <f>IF($D111="","",IFERROR(VLOOKUP($B111,Kraftvärmeprod!$B$1:$BX$550,MATCH(AA$2,Kraftvärmeprod!$B$1:$VX$1,0),FALSE)/1,0)-IFERROR(VLOOKUP($B111,'Slutlig allokering kvv'!$B$2:$BX$550,MATCH(AA$2,'Slutlig allokering kvv'!$B$1:$BX$1,0),FALSE)/1,0))</f>
        <v/>
      </c>
      <c r="AB111" s="31" t="str">
        <f>IF($D111="","",IFERROR(VLOOKUP($B111,Kraftvärmeprod!$B$1:$BX$550,MATCH(AB$2,Kraftvärmeprod!$B$1:$VX$1,0),FALSE)/1,0)-IFERROR(VLOOKUP($B111,'Slutlig allokering kvv'!$B$2:$BX$550,MATCH(AB$2,'Slutlig allokering kvv'!$B$1:$BX$1,0),FALSE)/1,0))</f>
        <v/>
      </c>
      <c r="AC111" s="31" t="str">
        <f>IF($D111="","",IFERROR(VLOOKUP($B111,Kraftvärmeprod!$B$1:$BX$550,MATCH(AC$2,Kraftvärmeprod!$B$1:$VX$1,0),FALSE)/1,0)-IFERROR(VLOOKUP($B111,'Slutlig allokering kvv'!$B$2:$BX$550,MATCH(AC$2,'Slutlig allokering kvv'!$B$1:$BX$1,0),FALSE)/1,0))</f>
        <v/>
      </c>
      <c r="AD111" s="31" t="str">
        <f>IF($D111="","",IFERROR(VLOOKUP($B111,Kraftvärmeprod!$B$1:$BX$550,MATCH(AD$2,Kraftvärmeprod!$B$1:$VX$1,0),FALSE)/1,0)-IFERROR(VLOOKUP($B111,'Slutlig allokering kvv'!$B$2:$BX$550,MATCH(AD$2,'Slutlig allokering kvv'!$B$1:$BX$1,0),FALSE)/1,0))</f>
        <v/>
      </c>
      <c r="AE111" s="31" t="str">
        <f>IF($D111="","",IFERROR(VLOOKUP($B111,Miljö!$B$1:$E$550,MATCH("Hjälpel kraftvärme (GWh)",Miljö!$B$1:$E$1,0),FALSE)/1,0)-IFERROR(VLOOKUP($B111,'Slutlig allokering kvv'!$B$2:$BX$549,MATCH(AE$2,'Slutlig allokering kvv'!$B$1:$BX$1,0),FALSE)/1,0))</f>
        <v/>
      </c>
      <c r="AI111" s="39">
        <f t="shared" si="4"/>
        <v>0</v>
      </c>
      <c r="AK111" s="31">
        <f>IFERROR(VLOOKUP($B111,'Slutlig allokering kvv'!$B$2:$AX$549,MATCH("Summa slutlig allokerad tillförd energi (utan hjälpel och rökgaskondensering):",'Slutlig allokering kvv'!$B$1:$AX$1,0),FALSE)/1,"")</f>
        <v>0</v>
      </c>
      <c r="AM111" s="31" t="str">
        <f>IFERROR(1-VLOOKUP($B111,'Slutlig allokering kvv'!$B$2:$AX$549,MATCH("Andel av bränsle i kvv som allokerats till värme, exklusive rökgaskondensering och hjälpel",'Slutlig allokering kvv'!$B$1:$AX$1,0),FALSE),"")</f>
        <v/>
      </c>
      <c r="AO111" s="31" t="str">
        <f t="shared" si="5"/>
        <v/>
      </c>
      <c r="AP111" s="31" t="str">
        <f t="shared" si="6"/>
        <v/>
      </c>
      <c r="AR111" s="32" t="str">
        <f t="shared" si="7"/>
        <v/>
      </c>
    </row>
    <row r="112" spans="1:44" s="31" customFormat="1" x14ac:dyDescent="0.45">
      <c r="A112" s="31" t="s">
        <v>526</v>
      </c>
      <c r="B112" s="31" t="s">
        <v>525</v>
      </c>
      <c r="C112" s="31" t="str">
        <f>IFERROR(VLOOKUP($B112,Kraftvärmeprod!$B$1:$AH$479,MATCH(C$2,Kraftvärmeprod!$B$1:$AG$1,0),FALSE)/1,"")</f>
        <v/>
      </c>
      <c r="D112" s="31" t="str">
        <f>IFERROR(VLOOKUP($B112,Kraftvärmeprod!$B$1:$AH$479,MATCH(D$2,Kraftvärmeprod!$B$1:$AG$1,0),FALSE)/1,"")</f>
        <v/>
      </c>
      <c r="F112" s="31" t="str">
        <f>IF($D112="","",IFERROR(VLOOKUP($B112,Kraftvärmeprod!$B$1:$BX$550,MATCH(F$2,Kraftvärmeprod!$B$1:$VX$1,0),FALSE)/1,0)-IFERROR(VLOOKUP($B112,'Slutlig allokering kvv'!$B$2:$BX$550,MATCH(F$2,'Slutlig allokering kvv'!$B$1:$BX$1,0),FALSE)/1,0))</f>
        <v/>
      </c>
      <c r="G112" s="31" t="str">
        <f>IF($D112="","",IFERROR(VLOOKUP($B112,Kraftvärmeprod!$B$1:$BX$550,MATCH(G$2,Kraftvärmeprod!$B$1:$VX$1,0),FALSE)/1,0)-IFERROR(VLOOKUP($B112,'Slutlig allokering kvv'!$B$2:$BX$550,MATCH(G$2,'Slutlig allokering kvv'!$B$1:$BX$1,0),FALSE)/1,0))</f>
        <v/>
      </c>
      <c r="H112" s="31" t="str">
        <f>IF($D112="","",IFERROR(VLOOKUP($B112,Kraftvärmeprod!$B$1:$BX$550,MATCH(H$2,Kraftvärmeprod!$B$1:$VX$1,0),FALSE)/1,0)-IFERROR(VLOOKUP($B112,'Slutlig allokering kvv'!$B$2:$BX$550,MATCH(H$2,'Slutlig allokering kvv'!$B$1:$BX$1,0),FALSE)/1,0))</f>
        <v/>
      </c>
      <c r="I112" s="31" t="str">
        <f>IF($D112="","",IFERROR(VLOOKUP($B112,Kraftvärmeprod!$B$1:$BX$550,MATCH(I$2,Kraftvärmeprod!$B$1:$VX$1,0),FALSE)/1,0)-IFERROR(VLOOKUP($B112,'Slutlig allokering kvv'!$B$2:$BX$550,MATCH(I$2,'Slutlig allokering kvv'!$B$1:$BX$1,0),FALSE)/1,0))</f>
        <v/>
      </c>
      <c r="J112" s="31" t="str">
        <f>IF($D112="","",IFERROR(VLOOKUP($B112,Kraftvärmeprod!$B$1:$BX$550,MATCH(J$2,Kraftvärmeprod!$B$1:$VX$1,0),FALSE)/1,0)-IFERROR(VLOOKUP($B112,'Slutlig allokering kvv'!$B$2:$BX$550,MATCH(J$2,'Slutlig allokering kvv'!$B$1:$BX$1,0),FALSE)/1,0))</f>
        <v/>
      </c>
      <c r="K112" s="31" t="str">
        <f>IF($D112="","",IFERROR(VLOOKUP($B112,Kraftvärmeprod!$B$1:$BX$550,MATCH(K$2,Kraftvärmeprod!$B$1:$VX$1,0),FALSE)/1,0)-IFERROR(VLOOKUP($B112,'Slutlig allokering kvv'!$B$2:$BX$550,MATCH(K$2,'Slutlig allokering kvv'!$B$1:$BX$1,0),FALSE)/1,0))</f>
        <v/>
      </c>
      <c r="L112" s="31" t="str">
        <f>IF($D112="","",IFERROR(VLOOKUP($B112,Kraftvärmeprod!$B$1:$BX$550,MATCH(L$2,Kraftvärmeprod!$B$1:$VX$1,0),FALSE)/1,0)-IFERROR(VLOOKUP($B112,'Slutlig allokering kvv'!$B$2:$BX$550,MATCH(L$2,'Slutlig allokering kvv'!$B$1:$BX$1,0),FALSE)/1,0))</f>
        <v/>
      </c>
      <c r="M112" s="31" t="str">
        <f>IF($D112="","",IFERROR(VLOOKUP($B112,Kraftvärmeprod!$B$1:$BX$550,MATCH(M$2,Kraftvärmeprod!$B$1:$VX$1,0),FALSE)/1,0)-IFERROR(VLOOKUP($B112,'Slutlig allokering kvv'!$B$2:$BX$550,MATCH(M$2,'Slutlig allokering kvv'!$B$1:$BX$1,0),FALSE)/1,0))</f>
        <v/>
      </c>
      <c r="N112" s="31" t="str">
        <f>IF($D112="","",IFERROR(VLOOKUP($B112,Kraftvärmeprod!$B$1:$BX$550,MATCH(N$2,Kraftvärmeprod!$B$1:$VX$1,0),FALSE)/1,0)-IFERROR(VLOOKUP($B112,'Slutlig allokering kvv'!$B$2:$BX$550,MATCH(N$2,'Slutlig allokering kvv'!$B$1:$BX$1,0),FALSE)/1,0))</f>
        <v/>
      </c>
      <c r="O112" s="31" t="str">
        <f>IF($D112="","",IFERROR(VLOOKUP($B112,Kraftvärmeprod!$B$1:$BX$550,MATCH(O$2,Kraftvärmeprod!$B$1:$VX$1,0),FALSE)/1,0)-IFERROR(VLOOKUP($B112,'Slutlig allokering kvv'!$B$2:$BX$550,MATCH(O$2,'Slutlig allokering kvv'!$B$1:$BX$1,0),FALSE)/1,0))</f>
        <v/>
      </c>
      <c r="P112" s="31" t="str">
        <f>IF($D112="","",IFERROR(VLOOKUP($B112,Kraftvärmeprod!$B$1:$BX$550,MATCH(P$2,Kraftvärmeprod!$B$1:$VX$1,0),FALSE)/1,0)-IFERROR(VLOOKUP($B112,'Slutlig allokering kvv'!$B$2:$BX$550,MATCH(P$2,'Slutlig allokering kvv'!$B$1:$BX$1,0),FALSE)/1,0))</f>
        <v/>
      </c>
      <c r="Q112" s="31" t="str">
        <f>IF($D112="","",IFERROR(VLOOKUP($B112,Kraftvärmeprod!$B$1:$BX$550,MATCH(Q$2,Kraftvärmeprod!$B$1:$VX$1,0),FALSE)/1,0)-IFERROR(VLOOKUP($B112,'Slutlig allokering kvv'!$B$2:$BX$550,MATCH(Q$2,'Slutlig allokering kvv'!$B$1:$BX$1,0),FALSE)/1,0))</f>
        <v/>
      </c>
      <c r="R112" s="31" t="str">
        <f>IF($D112="","",IFERROR(VLOOKUP($B112,Kraftvärmeprod!$B$1:$BX$550,MATCH(R$2,Kraftvärmeprod!$B$1:$VX$1,0),FALSE)/1,0)-IFERROR(VLOOKUP($B112,'Slutlig allokering kvv'!$B$2:$BX$550,MATCH(R$2,'Slutlig allokering kvv'!$B$1:$BX$1,0),FALSE)/1,0))</f>
        <v/>
      </c>
      <c r="S112" s="31" t="str">
        <f>IF($D112="","",IFERROR(VLOOKUP($B112,Kraftvärmeprod!$B$1:$BX$550,MATCH(S$2,Kraftvärmeprod!$B$1:$VX$1,0),FALSE)/1,0)-IFERROR(VLOOKUP($B112,'Slutlig allokering kvv'!$B$2:$BX$550,MATCH(S$2,'Slutlig allokering kvv'!$B$1:$BX$1,0),FALSE)/1,0))</f>
        <v/>
      </c>
      <c r="T112" s="31" t="str">
        <f>IF($D112="","",IFERROR(VLOOKUP($B112,Kraftvärmeprod!$B$1:$BX$550,MATCH(T$2,Kraftvärmeprod!$B$1:$VX$1,0),FALSE)/1,0)-IFERROR(VLOOKUP($B112,'Slutlig allokering kvv'!$B$2:$BX$550,MATCH(T$2,'Slutlig allokering kvv'!$B$1:$BX$1,0),FALSE)/1,0))</f>
        <v/>
      </c>
      <c r="U112" s="31" t="str">
        <f>IF($D112="","",IFERROR(VLOOKUP($B112,Kraftvärmeprod!$B$1:$BX$550,MATCH(U$2,Kraftvärmeprod!$B$1:$VX$1,0),FALSE)/1,0)-IFERROR(VLOOKUP($B112,'Slutlig allokering kvv'!$B$2:$BX$550,MATCH(U$2,'Slutlig allokering kvv'!$B$1:$BX$1,0),FALSE)/1,0))</f>
        <v/>
      </c>
      <c r="V112" s="31" t="str">
        <f>IF($D112="","",IFERROR(VLOOKUP($B112,Kraftvärmeprod!$B$1:$BX$550,MATCH(V$2,Kraftvärmeprod!$B$1:$VX$1,0),FALSE)/1,0)-IFERROR(VLOOKUP($B112,'Slutlig allokering kvv'!$B$2:$BX$550,MATCH(V$2,'Slutlig allokering kvv'!$B$1:$BX$1,0),FALSE)/1,0))</f>
        <v/>
      </c>
      <c r="W112" s="31" t="str">
        <f>IF($D112="","",IFERROR(VLOOKUP($B112,Kraftvärmeprod!$B$1:$BX$550,MATCH(W$2,Kraftvärmeprod!$B$1:$VX$1,0),FALSE)/1,0)-IFERROR(VLOOKUP($B112,'Slutlig allokering kvv'!$B$2:$BX$550,MATCH(W$2,'Slutlig allokering kvv'!$B$1:$BX$1,0),FALSE)/1,0))</f>
        <v/>
      </c>
      <c r="X112" s="31" t="str">
        <f>IF($D112="","",IFERROR(VLOOKUP($B112,Kraftvärmeprod!$B$1:$BX$550,MATCH(X$2,Kraftvärmeprod!$B$1:$VX$1,0),FALSE)/1,0)-IFERROR(VLOOKUP($B112,'Slutlig allokering kvv'!$B$2:$BX$550,MATCH(X$2,'Slutlig allokering kvv'!$B$1:$BX$1,0),FALSE)/1,0))</f>
        <v/>
      </c>
      <c r="Y112" s="31" t="str">
        <f>IF($D112="","",IFERROR(VLOOKUP($B112,Kraftvärmeprod!$B$1:$BX$550,MATCH(Y$2,Kraftvärmeprod!$B$1:$VX$1,0),FALSE)/1,0)-IFERROR(VLOOKUP($B112,'Slutlig allokering kvv'!$B$2:$BX$550,MATCH(Y$2,'Slutlig allokering kvv'!$B$1:$BX$1,0),FALSE)/1,0))</f>
        <v/>
      </c>
      <c r="Z112" s="31" t="str">
        <f>IF($D112="","",IFERROR(VLOOKUP($B112,Kraftvärmeprod!$B$1:$BX$550,MATCH(Z$2,Kraftvärmeprod!$B$1:$VX$1,0),FALSE)/1,0)-IFERROR(VLOOKUP($B112,'Slutlig allokering kvv'!$B$2:$BX$550,MATCH(Z$2,'Slutlig allokering kvv'!$B$1:$BX$1,0),FALSE)/1,0))</f>
        <v/>
      </c>
      <c r="AA112" s="31" t="str">
        <f>IF($D112="","",IFERROR(VLOOKUP($B112,Kraftvärmeprod!$B$1:$BX$550,MATCH(AA$2,Kraftvärmeprod!$B$1:$VX$1,0),FALSE)/1,0)-IFERROR(VLOOKUP($B112,'Slutlig allokering kvv'!$B$2:$BX$550,MATCH(AA$2,'Slutlig allokering kvv'!$B$1:$BX$1,0),FALSE)/1,0))</f>
        <v/>
      </c>
      <c r="AB112" s="31" t="str">
        <f>IF($D112="","",IFERROR(VLOOKUP($B112,Kraftvärmeprod!$B$1:$BX$550,MATCH(AB$2,Kraftvärmeprod!$B$1:$VX$1,0),FALSE)/1,0)-IFERROR(VLOOKUP($B112,'Slutlig allokering kvv'!$B$2:$BX$550,MATCH(AB$2,'Slutlig allokering kvv'!$B$1:$BX$1,0),FALSE)/1,0))</f>
        <v/>
      </c>
      <c r="AC112" s="31" t="str">
        <f>IF($D112="","",IFERROR(VLOOKUP($B112,Kraftvärmeprod!$B$1:$BX$550,MATCH(AC$2,Kraftvärmeprod!$B$1:$VX$1,0),FALSE)/1,0)-IFERROR(VLOOKUP($B112,'Slutlig allokering kvv'!$B$2:$BX$550,MATCH(AC$2,'Slutlig allokering kvv'!$B$1:$BX$1,0),FALSE)/1,0))</f>
        <v/>
      </c>
      <c r="AD112" s="31" t="str">
        <f>IF($D112="","",IFERROR(VLOOKUP($B112,Kraftvärmeprod!$B$1:$BX$550,MATCH(AD$2,Kraftvärmeprod!$B$1:$VX$1,0),FALSE)/1,0)-IFERROR(VLOOKUP($B112,'Slutlig allokering kvv'!$B$2:$BX$550,MATCH(AD$2,'Slutlig allokering kvv'!$B$1:$BX$1,0),FALSE)/1,0))</f>
        <v/>
      </c>
      <c r="AE112" s="31" t="str">
        <f>IF($D112="","",IFERROR(VLOOKUP($B112,Miljö!$B$1:$E$550,MATCH("Hjälpel kraftvärme (GWh)",Miljö!$B$1:$E$1,0),FALSE)/1,0)-IFERROR(VLOOKUP($B112,'Slutlig allokering kvv'!$B$2:$BX$549,MATCH(AE$2,'Slutlig allokering kvv'!$B$1:$BX$1,0),FALSE)/1,0))</f>
        <v/>
      </c>
      <c r="AI112" s="39">
        <f t="shared" si="4"/>
        <v>0</v>
      </c>
      <c r="AK112" s="31">
        <f>IFERROR(VLOOKUP($B112,'Slutlig allokering kvv'!$B$2:$AX$549,MATCH("Summa slutlig allokerad tillförd energi (utan hjälpel och rökgaskondensering):",'Slutlig allokering kvv'!$B$1:$AX$1,0),FALSE)/1,"")</f>
        <v>0</v>
      </c>
      <c r="AM112" s="31" t="str">
        <f>IFERROR(1-VLOOKUP($B112,'Slutlig allokering kvv'!$B$2:$AX$549,MATCH("Andel av bränsle i kvv som allokerats till värme, exklusive rökgaskondensering och hjälpel",'Slutlig allokering kvv'!$B$1:$AX$1,0),FALSE),"")</f>
        <v/>
      </c>
      <c r="AO112" s="31" t="str">
        <f t="shared" si="5"/>
        <v/>
      </c>
      <c r="AP112" s="31" t="str">
        <f t="shared" si="6"/>
        <v/>
      </c>
      <c r="AR112" s="32" t="str">
        <f t="shared" si="7"/>
        <v/>
      </c>
    </row>
    <row r="113" spans="1:44" s="31" customFormat="1" x14ac:dyDescent="0.45">
      <c r="A113" s="31" t="s">
        <v>520</v>
      </c>
      <c r="B113" s="31" t="s">
        <v>523</v>
      </c>
      <c r="C113" s="31" t="str">
        <f>IFERROR(VLOOKUP($B113,Kraftvärmeprod!$B$1:$AH$479,MATCH(C$2,Kraftvärmeprod!$B$1:$AG$1,0),FALSE)/1,"")</f>
        <v/>
      </c>
      <c r="D113" s="31" t="str">
        <f>IFERROR(VLOOKUP($B113,Kraftvärmeprod!$B$1:$AH$479,MATCH(D$2,Kraftvärmeprod!$B$1:$AG$1,0),FALSE)/1,"")</f>
        <v/>
      </c>
      <c r="F113" s="31" t="str">
        <f>IF($D113="","",IFERROR(VLOOKUP($B113,Kraftvärmeprod!$B$1:$BX$550,MATCH(F$2,Kraftvärmeprod!$B$1:$VX$1,0),FALSE)/1,0)-IFERROR(VLOOKUP($B113,'Slutlig allokering kvv'!$B$2:$BX$550,MATCH(F$2,'Slutlig allokering kvv'!$B$1:$BX$1,0),FALSE)/1,0))</f>
        <v/>
      </c>
      <c r="G113" s="31" t="str">
        <f>IF($D113="","",IFERROR(VLOOKUP($B113,Kraftvärmeprod!$B$1:$BX$550,MATCH(G$2,Kraftvärmeprod!$B$1:$VX$1,0),FALSE)/1,0)-IFERROR(VLOOKUP($B113,'Slutlig allokering kvv'!$B$2:$BX$550,MATCH(G$2,'Slutlig allokering kvv'!$B$1:$BX$1,0),FALSE)/1,0))</f>
        <v/>
      </c>
      <c r="H113" s="31" t="str">
        <f>IF($D113="","",IFERROR(VLOOKUP($B113,Kraftvärmeprod!$B$1:$BX$550,MATCH(H$2,Kraftvärmeprod!$B$1:$VX$1,0),FALSE)/1,0)-IFERROR(VLOOKUP($B113,'Slutlig allokering kvv'!$B$2:$BX$550,MATCH(H$2,'Slutlig allokering kvv'!$B$1:$BX$1,0),FALSE)/1,0))</f>
        <v/>
      </c>
      <c r="I113" s="31" t="str">
        <f>IF($D113="","",IFERROR(VLOOKUP($B113,Kraftvärmeprod!$B$1:$BX$550,MATCH(I$2,Kraftvärmeprod!$B$1:$VX$1,0),FALSE)/1,0)-IFERROR(VLOOKUP($B113,'Slutlig allokering kvv'!$B$2:$BX$550,MATCH(I$2,'Slutlig allokering kvv'!$B$1:$BX$1,0),FALSE)/1,0))</f>
        <v/>
      </c>
      <c r="J113" s="31" t="str">
        <f>IF($D113="","",IFERROR(VLOOKUP($B113,Kraftvärmeprod!$B$1:$BX$550,MATCH(J$2,Kraftvärmeprod!$B$1:$VX$1,0),FALSE)/1,0)-IFERROR(VLOOKUP($B113,'Slutlig allokering kvv'!$B$2:$BX$550,MATCH(J$2,'Slutlig allokering kvv'!$B$1:$BX$1,0),FALSE)/1,0))</f>
        <v/>
      </c>
      <c r="K113" s="31" t="str">
        <f>IF($D113="","",IFERROR(VLOOKUP($B113,Kraftvärmeprod!$B$1:$BX$550,MATCH(K$2,Kraftvärmeprod!$B$1:$VX$1,0),FALSE)/1,0)-IFERROR(VLOOKUP($B113,'Slutlig allokering kvv'!$B$2:$BX$550,MATCH(K$2,'Slutlig allokering kvv'!$B$1:$BX$1,0),FALSE)/1,0))</f>
        <v/>
      </c>
      <c r="L113" s="31" t="str">
        <f>IF($D113="","",IFERROR(VLOOKUP($B113,Kraftvärmeprod!$B$1:$BX$550,MATCH(L$2,Kraftvärmeprod!$B$1:$VX$1,0),FALSE)/1,0)-IFERROR(VLOOKUP($B113,'Slutlig allokering kvv'!$B$2:$BX$550,MATCH(L$2,'Slutlig allokering kvv'!$B$1:$BX$1,0),FALSE)/1,0))</f>
        <v/>
      </c>
      <c r="M113" s="31" t="str">
        <f>IF($D113="","",IFERROR(VLOOKUP($B113,Kraftvärmeprod!$B$1:$BX$550,MATCH(M$2,Kraftvärmeprod!$B$1:$VX$1,0),FALSE)/1,0)-IFERROR(VLOOKUP($B113,'Slutlig allokering kvv'!$B$2:$BX$550,MATCH(M$2,'Slutlig allokering kvv'!$B$1:$BX$1,0),FALSE)/1,0))</f>
        <v/>
      </c>
      <c r="N113" s="31" t="str">
        <f>IF($D113="","",IFERROR(VLOOKUP($B113,Kraftvärmeprod!$B$1:$BX$550,MATCH(N$2,Kraftvärmeprod!$B$1:$VX$1,0),FALSE)/1,0)-IFERROR(VLOOKUP($B113,'Slutlig allokering kvv'!$B$2:$BX$550,MATCH(N$2,'Slutlig allokering kvv'!$B$1:$BX$1,0),FALSE)/1,0))</f>
        <v/>
      </c>
      <c r="O113" s="31" t="str">
        <f>IF($D113="","",IFERROR(VLOOKUP($B113,Kraftvärmeprod!$B$1:$BX$550,MATCH(O$2,Kraftvärmeprod!$B$1:$VX$1,0),FALSE)/1,0)-IFERROR(VLOOKUP($B113,'Slutlig allokering kvv'!$B$2:$BX$550,MATCH(O$2,'Slutlig allokering kvv'!$B$1:$BX$1,0),FALSE)/1,0))</f>
        <v/>
      </c>
      <c r="P113" s="31" t="str">
        <f>IF($D113="","",IFERROR(VLOOKUP($B113,Kraftvärmeprod!$B$1:$BX$550,MATCH(P$2,Kraftvärmeprod!$B$1:$VX$1,0),FALSE)/1,0)-IFERROR(VLOOKUP($B113,'Slutlig allokering kvv'!$B$2:$BX$550,MATCH(P$2,'Slutlig allokering kvv'!$B$1:$BX$1,0),FALSE)/1,0))</f>
        <v/>
      </c>
      <c r="Q113" s="31" t="str">
        <f>IF($D113="","",IFERROR(VLOOKUP($B113,Kraftvärmeprod!$B$1:$BX$550,MATCH(Q$2,Kraftvärmeprod!$B$1:$VX$1,0),FALSE)/1,0)-IFERROR(VLOOKUP($B113,'Slutlig allokering kvv'!$B$2:$BX$550,MATCH(Q$2,'Slutlig allokering kvv'!$B$1:$BX$1,0),FALSE)/1,0))</f>
        <v/>
      </c>
      <c r="R113" s="31" t="str">
        <f>IF($D113="","",IFERROR(VLOOKUP($B113,Kraftvärmeprod!$B$1:$BX$550,MATCH(R$2,Kraftvärmeprod!$B$1:$VX$1,0),FALSE)/1,0)-IFERROR(VLOOKUP($B113,'Slutlig allokering kvv'!$B$2:$BX$550,MATCH(R$2,'Slutlig allokering kvv'!$B$1:$BX$1,0),FALSE)/1,0))</f>
        <v/>
      </c>
      <c r="S113" s="31" t="str">
        <f>IF($D113="","",IFERROR(VLOOKUP($B113,Kraftvärmeprod!$B$1:$BX$550,MATCH(S$2,Kraftvärmeprod!$B$1:$VX$1,0),FALSE)/1,0)-IFERROR(VLOOKUP($B113,'Slutlig allokering kvv'!$B$2:$BX$550,MATCH(S$2,'Slutlig allokering kvv'!$B$1:$BX$1,0),FALSE)/1,0))</f>
        <v/>
      </c>
      <c r="T113" s="31" t="str">
        <f>IF($D113="","",IFERROR(VLOOKUP($B113,Kraftvärmeprod!$B$1:$BX$550,MATCH(T$2,Kraftvärmeprod!$B$1:$VX$1,0),FALSE)/1,0)-IFERROR(VLOOKUP($B113,'Slutlig allokering kvv'!$B$2:$BX$550,MATCH(T$2,'Slutlig allokering kvv'!$B$1:$BX$1,0),FALSE)/1,0))</f>
        <v/>
      </c>
      <c r="U113" s="31" t="str">
        <f>IF($D113="","",IFERROR(VLOOKUP($B113,Kraftvärmeprod!$B$1:$BX$550,MATCH(U$2,Kraftvärmeprod!$B$1:$VX$1,0),FALSE)/1,0)-IFERROR(VLOOKUP($B113,'Slutlig allokering kvv'!$B$2:$BX$550,MATCH(U$2,'Slutlig allokering kvv'!$B$1:$BX$1,0),FALSE)/1,0))</f>
        <v/>
      </c>
      <c r="V113" s="31" t="str">
        <f>IF($D113="","",IFERROR(VLOOKUP($B113,Kraftvärmeprod!$B$1:$BX$550,MATCH(V$2,Kraftvärmeprod!$B$1:$VX$1,0),FALSE)/1,0)-IFERROR(VLOOKUP($B113,'Slutlig allokering kvv'!$B$2:$BX$550,MATCH(V$2,'Slutlig allokering kvv'!$B$1:$BX$1,0),FALSE)/1,0))</f>
        <v/>
      </c>
      <c r="W113" s="31" t="str">
        <f>IF($D113="","",IFERROR(VLOOKUP($B113,Kraftvärmeprod!$B$1:$BX$550,MATCH(W$2,Kraftvärmeprod!$B$1:$VX$1,0),FALSE)/1,0)-IFERROR(VLOOKUP($B113,'Slutlig allokering kvv'!$B$2:$BX$550,MATCH(W$2,'Slutlig allokering kvv'!$B$1:$BX$1,0),FALSE)/1,0))</f>
        <v/>
      </c>
      <c r="X113" s="31" t="str">
        <f>IF($D113="","",IFERROR(VLOOKUP($B113,Kraftvärmeprod!$B$1:$BX$550,MATCH(X$2,Kraftvärmeprod!$B$1:$VX$1,0),FALSE)/1,0)-IFERROR(VLOOKUP($B113,'Slutlig allokering kvv'!$B$2:$BX$550,MATCH(X$2,'Slutlig allokering kvv'!$B$1:$BX$1,0),FALSE)/1,0))</f>
        <v/>
      </c>
      <c r="Y113" s="31" t="str">
        <f>IF($D113="","",IFERROR(VLOOKUP($B113,Kraftvärmeprod!$B$1:$BX$550,MATCH(Y$2,Kraftvärmeprod!$B$1:$VX$1,0),FALSE)/1,0)-IFERROR(VLOOKUP($B113,'Slutlig allokering kvv'!$B$2:$BX$550,MATCH(Y$2,'Slutlig allokering kvv'!$B$1:$BX$1,0),FALSE)/1,0))</f>
        <v/>
      </c>
      <c r="Z113" s="31" t="str">
        <f>IF($D113="","",IFERROR(VLOOKUP($B113,Kraftvärmeprod!$B$1:$BX$550,MATCH(Z$2,Kraftvärmeprod!$B$1:$VX$1,0),FALSE)/1,0)-IFERROR(VLOOKUP($B113,'Slutlig allokering kvv'!$B$2:$BX$550,MATCH(Z$2,'Slutlig allokering kvv'!$B$1:$BX$1,0),FALSE)/1,0))</f>
        <v/>
      </c>
      <c r="AA113" s="31" t="str">
        <f>IF($D113="","",IFERROR(VLOOKUP($B113,Kraftvärmeprod!$B$1:$BX$550,MATCH(AA$2,Kraftvärmeprod!$B$1:$VX$1,0),FALSE)/1,0)-IFERROR(VLOOKUP($B113,'Slutlig allokering kvv'!$B$2:$BX$550,MATCH(AA$2,'Slutlig allokering kvv'!$B$1:$BX$1,0),FALSE)/1,0))</f>
        <v/>
      </c>
      <c r="AB113" s="31" t="str">
        <f>IF($D113="","",IFERROR(VLOOKUP($B113,Kraftvärmeprod!$B$1:$BX$550,MATCH(AB$2,Kraftvärmeprod!$B$1:$VX$1,0),FALSE)/1,0)-IFERROR(VLOOKUP($B113,'Slutlig allokering kvv'!$B$2:$BX$550,MATCH(AB$2,'Slutlig allokering kvv'!$B$1:$BX$1,0),FALSE)/1,0))</f>
        <v/>
      </c>
      <c r="AC113" s="31" t="str">
        <f>IF($D113="","",IFERROR(VLOOKUP($B113,Kraftvärmeprod!$B$1:$BX$550,MATCH(AC$2,Kraftvärmeprod!$B$1:$VX$1,0),FALSE)/1,0)-IFERROR(VLOOKUP($B113,'Slutlig allokering kvv'!$B$2:$BX$550,MATCH(AC$2,'Slutlig allokering kvv'!$B$1:$BX$1,0),FALSE)/1,0))</f>
        <v/>
      </c>
      <c r="AD113" s="31" t="str">
        <f>IF($D113="","",IFERROR(VLOOKUP($B113,Kraftvärmeprod!$B$1:$BX$550,MATCH(AD$2,Kraftvärmeprod!$B$1:$VX$1,0),FALSE)/1,0)-IFERROR(VLOOKUP($B113,'Slutlig allokering kvv'!$B$2:$BX$550,MATCH(AD$2,'Slutlig allokering kvv'!$B$1:$BX$1,0),FALSE)/1,0))</f>
        <v/>
      </c>
      <c r="AE113" s="31" t="str">
        <f>IF($D113="","",IFERROR(VLOOKUP($B113,Miljö!$B$1:$E$550,MATCH("Hjälpel kraftvärme (GWh)",Miljö!$B$1:$E$1,0),FALSE)/1,0)-IFERROR(VLOOKUP($B113,'Slutlig allokering kvv'!$B$2:$BX$549,MATCH(AE$2,'Slutlig allokering kvv'!$B$1:$BX$1,0),FALSE)/1,0))</f>
        <v/>
      </c>
      <c r="AI113" s="39">
        <f t="shared" si="4"/>
        <v>0</v>
      </c>
      <c r="AK113" s="31">
        <f>IFERROR(VLOOKUP($B113,'Slutlig allokering kvv'!$B$2:$AX$549,MATCH("Summa slutlig allokerad tillförd energi (utan hjälpel och rökgaskondensering):",'Slutlig allokering kvv'!$B$1:$AX$1,0),FALSE)/1,"")</f>
        <v>0</v>
      </c>
      <c r="AM113" s="31" t="str">
        <f>IFERROR(1-VLOOKUP($B113,'Slutlig allokering kvv'!$B$2:$AX$549,MATCH("Andel av bränsle i kvv som allokerats till värme, exklusive rökgaskondensering och hjälpel",'Slutlig allokering kvv'!$B$1:$AX$1,0),FALSE),"")</f>
        <v/>
      </c>
      <c r="AO113" s="31" t="str">
        <f t="shared" si="5"/>
        <v/>
      </c>
      <c r="AP113" s="31" t="str">
        <f t="shared" si="6"/>
        <v/>
      </c>
      <c r="AR113" s="32" t="str">
        <f t="shared" si="7"/>
        <v/>
      </c>
    </row>
    <row r="114" spans="1:44" s="31" customFormat="1" x14ac:dyDescent="0.45">
      <c r="A114" s="31" t="s">
        <v>520</v>
      </c>
      <c r="B114" s="31" t="s">
        <v>522</v>
      </c>
      <c r="C114" s="31" t="str">
        <f>IFERROR(VLOOKUP($B114,Kraftvärmeprod!$B$1:$AH$479,MATCH(C$2,Kraftvärmeprod!$B$1:$AG$1,0),FALSE)/1,"")</f>
        <v/>
      </c>
      <c r="D114" s="31" t="str">
        <f>IFERROR(VLOOKUP($B114,Kraftvärmeprod!$B$1:$AH$479,MATCH(D$2,Kraftvärmeprod!$B$1:$AG$1,0),FALSE)/1,"")</f>
        <v/>
      </c>
      <c r="F114" s="31" t="str">
        <f>IF($D114="","",IFERROR(VLOOKUP($B114,Kraftvärmeprod!$B$1:$BX$550,MATCH(F$2,Kraftvärmeprod!$B$1:$VX$1,0),FALSE)/1,0)-IFERROR(VLOOKUP($B114,'Slutlig allokering kvv'!$B$2:$BX$550,MATCH(F$2,'Slutlig allokering kvv'!$B$1:$BX$1,0),FALSE)/1,0))</f>
        <v/>
      </c>
      <c r="G114" s="31" t="str">
        <f>IF($D114="","",IFERROR(VLOOKUP($B114,Kraftvärmeprod!$B$1:$BX$550,MATCH(G$2,Kraftvärmeprod!$B$1:$VX$1,0),FALSE)/1,0)-IFERROR(VLOOKUP($B114,'Slutlig allokering kvv'!$B$2:$BX$550,MATCH(G$2,'Slutlig allokering kvv'!$B$1:$BX$1,0),FALSE)/1,0))</f>
        <v/>
      </c>
      <c r="H114" s="31" t="str">
        <f>IF($D114="","",IFERROR(VLOOKUP($B114,Kraftvärmeprod!$B$1:$BX$550,MATCH(H$2,Kraftvärmeprod!$B$1:$VX$1,0),FALSE)/1,0)-IFERROR(VLOOKUP($B114,'Slutlig allokering kvv'!$B$2:$BX$550,MATCH(H$2,'Slutlig allokering kvv'!$B$1:$BX$1,0),FALSE)/1,0))</f>
        <v/>
      </c>
      <c r="I114" s="31" t="str">
        <f>IF($D114="","",IFERROR(VLOOKUP($B114,Kraftvärmeprod!$B$1:$BX$550,MATCH(I$2,Kraftvärmeprod!$B$1:$VX$1,0),FALSE)/1,0)-IFERROR(VLOOKUP($B114,'Slutlig allokering kvv'!$B$2:$BX$550,MATCH(I$2,'Slutlig allokering kvv'!$B$1:$BX$1,0),FALSE)/1,0))</f>
        <v/>
      </c>
      <c r="J114" s="31" t="str">
        <f>IF($D114="","",IFERROR(VLOOKUP($B114,Kraftvärmeprod!$B$1:$BX$550,MATCH(J$2,Kraftvärmeprod!$B$1:$VX$1,0),FALSE)/1,0)-IFERROR(VLOOKUP($B114,'Slutlig allokering kvv'!$B$2:$BX$550,MATCH(J$2,'Slutlig allokering kvv'!$B$1:$BX$1,0),FALSE)/1,0))</f>
        <v/>
      </c>
      <c r="K114" s="31" t="str">
        <f>IF($D114="","",IFERROR(VLOOKUP($B114,Kraftvärmeprod!$B$1:$BX$550,MATCH(K$2,Kraftvärmeprod!$B$1:$VX$1,0),FALSE)/1,0)-IFERROR(VLOOKUP($B114,'Slutlig allokering kvv'!$B$2:$BX$550,MATCH(K$2,'Slutlig allokering kvv'!$B$1:$BX$1,0),FALSE)/1,0))</f>
        <v/>
      </c>
      <c r="L114" s="31" t="str">
        <f>IF($D114="","",IFERROR(VLOOKUP($B114,Kraftvärmeprod!$B$1:$BX$550,MATCH(L$2,Kraftvärmeprod!$B$1:$VX$1,0),FALSE)/1,0)-IFERROR(VLOOKUP($B114,'Slutlig allokering kvv'!$B$2:$BX$550,MATCH(L$2,'Slutlig allokering kvv'!$B$1:$BX$1,0),FALSE)/1,0))</f>
        <v/>
      </c>
      <c r="M114" s="31" t="str">
        <f>IF($D114="","",IFERROR(VLOOKUP($B114,Kraftvärmeprod!$B$1:$BX$550,MATCH(M$2,Kraftvärmeprod!$B$1:$VX$1,0),FALSE)/1,0)-IFERROR(VLOOKUP($B114,'Slutlig allokering kvv'!$B$2:$BX$550,MATCH(M$2,'Slutlig allokering kvv'!$B$1:$BX$1,0),FALSE)/1,0))</f>
        <v/>
      </c>
      <c r="N114" s="31" t="str">
        <f>IF($D114="","",IFERROR(VLOOKUP($B114,Kraftvärmeprod!$B$1:$BX$550,MATCH(N$2,Kraftvärmeprod!$B$1:$VX$1,0),FALSE)/1,0)-IFERROR(VLOOKUP($B114,'Slutlig allokering kvv'!$B$2:$BX$550,MATCH(N$2,'Slutlig allokering kvv'!$B$1:$BX$1,0),FALSE)/1,0))</f>
        <v/>
      </c>
      <c r="O114" s="31" t="str">
        <f>IF($D114="","",IFERROR(VLOOKUP($B114,Kraftvärmeprod!$B$1:$BX$550,MATCH(O$2,Kraftvärmeprod!$B$1:$VX$1,0),FALSE)/1,0)-IFERROR(VLOOKUP($B114,'Slutlig allokering kvv'!$B$2:$BX$550,MATCH(O$2,'Slutlig allokering kvv'!$B$1:$BX$1,0),FALSE)/1,0))</f>
        <v/>
      </c>
      <c r="P114" s="31" t="str">
        <f>IF($D114="","",IFERROR(VLOOKUP($B114,Kraftvärmeprod!$B$1:$BX$550,MATCH(P$2,Kraftvärmeprod!$B$1:$VX$1,0),FALSE)/1,0)-IFERROR(VLOOKUP($B114,'Slutlig allokering kvv'!$B$2:$BX$550,MATCH(P$2,'Slutlig allokering kvv'!$B$1:$BX$1,0),FALSE)/1,0))</f>
        <v/>
      </c>
      <c r="Q114" s="31" t="str">
        <f>IF($D114="","",IFERROR(VLOOKUP($B114,Kraftvärmeprod!$B$1:$BX$550,MATCH(Q$2,Kraftvärmeprod!$B$1:$VX$1,0),FALSE)/1,0)-IFERROR(VLOOKUP($B114,'Slutlig allokering kvv'!$B$2:$BX$550,MATCH(Q$2,'Slutlig allokering kvv'!$B$1:$BX$1,0),FALSE)/1,0))</f>
        <v/>
      </c>
      <c r="R114" s="31" t="str">
        <f>IF($D114="","",IFERROR(VLOOKUP($B114,Kraftvärmeprod!$B$1:$BX$550,MATCH(R$2,Kraftvärmeprod!$B$1:$VX$1,0),FALSE)/1,0)-IFERROR(VLOOKUP($B114,'Slutlig allokering kvv'!$B$2:$BX$550,MATCH(R$2,'Slutlig allokering kvv'!$B$1:$BX$1,0),FALSE)/1,0))</f>
        <v/>
      </c>
      <c r="S114" s="31" t="str">
        <f>IF($D114="","",IFERROR(VLOOKUP($B114,Kraftvärmeprod!$B$1:$BX$550,MATCH(S$2,Kraftvärmeprod!$B$1:$VX$1,0),FALSE)/1,0)-IFERROR(VLOOKUP($B114,'Slutlig allokering kvv'!$B$2:$BX$550,MATCH(S$2,'Slutlig allokering kvv'!$B$1:$BX$1,0),FALSE)/1,0))</f>
        <v/>
      </c>
      <c r="T114" s="31" t="str">
        <f>IF($D114="","",IFERROR(VLOOKUP($B114,Kraftvärmeprod!$B$1:$BX$550,MATCH(T$2,Kraftvärmeprod!$B$1:$VX$1,0),FALSE)/1,0)-IFERROR(VLOOKUP($B114,'Slutlig allokering kvv'!$B$2:$BX$550,MATCH(T$2,'Slutlig allokering kvv'!$B$1:$BX$1,0),FALSE)/1,0))</f>
        <v/>
      </c>
      <c r="U114" s="31" t="str">
        <f>IF($D114="","",IFERROR(VLOOKUP($B114,Kraftvärmeprod!$B$1:$BX$550,MATCH(U$2,Kraftvärmeprod!$B$1:$VX$1,0),FALSE)/1,0)-IFERROR(VLOOKUP($B114,'Slutlig allokering kvv'!$B$2:$BX$550,MATCH(U$2,'Slutlig allokering kvv'!$B$1:$BX$1,0),FALSE)/1,0))</f>
        <v/>
      </c>
      <c r="V114" s="31" t="str">
        <f>IF($D114="","",IFERROR(VLOOKUP($B114,Kraftvärmeprod!$B$1:$BX$550,MATCH(V$2,Kraftvärmeprod!$B$1:$VX$1,0),FALSE)/1,0)-IFERROR(VLOOKUP($B114,'Slutlig allokering kvv'!$B$2:$BX$550,MATCH(V$2,'Slutlig allokering kvv'!$B$1:$BX$1,0),FALSE)/1,0))</f>
        <v/>
      </c>
      <c r="W114" s="31" t="str">
        <f>IF($D114="","",IFERROR(VLOOKUP($B114,Kraftvärmeprod!$B$1:$BX$550,MATCH(W$2,Kraftvärmeprod!$B$1:$VX$1,0),FALSE)/1,0)-IFERROR(VLOOKUP($B114,'Slutlig allokering kvv'!$B$2:$BX$550,MATCH(W$2,'Slutlig allokering kvv'!$B$1:$BX$1,0),FALSE)/1,0))</f>
        <v/>
      </c>
      <c r="X114" s="31" t="str">
        <f>IF($D114="","",IFERROR(VLOOKUP($B114,Kraftvärmeprod!$B$1:$BX$550,MATCH(X$2,Kraftvärmeprod!$B$1:$VX$1,0),FALSE)/1,0)-IFERROR(VLOOKUP($B114,'Slutlig allokering kvv'!$B$2:$BX$550,MATCH(X$2,'Slutlig allokering kvv'!$B$1:$BX$1,0),FALSE)/1,0))</f>
        <v/>
      </c>
      <c r="Y114" s="31" t="str">
        <f>IF($D114="","",IFERROR(VLOOKUP($B114,Kraftvärmeprod!$B$1:$BX$550,MATCH(Y$2,Kraftvärmeprod!$B$1:$VX$1,0),FALSE)/1,0)-IFERROR(VLOOKUP($B114,'Slutlig allokering kvv'!$B$2:$BX$550,MATCH(Y$2,'Slutlig allokering kvv'!$B$1:$BX$1,0),FALSE)/1,0))</f>
        <v/>
      </c>
      <c r="Z114" s="31" t="str">
        <f>IF($D114="","",IFERROR(VLOOKUP($B114,Kraftvärmeprod!$B$1:$BX$550,MATCH(Z$2,Kraftvärmeprod!$B$1:$VX$1,0),FALSE)/1,0)-IFERROR(VLOOKUP($B114,'Slutlig allokering kvv'!$B$2:$BX$550,MATCH(Z$2,'Slutlig allokering kvv'!$B$1:$BX$1,0),FALSE)/1,0))</f>
        <v/>
      </c>
      <c r="AA114" s="31" t="str">
        <f>IF($D114="","",IFERROR(VLOOKUP($B114,Kraftvärmeprod!$B$1:$BX$550,MATCH(AA$2,Kraftvärmeprod!$B$1:$VX$1,0),FALSE)/1,0)-IFERROR(VLOOKUP($B114,'Slutlig allokering kvv'!$B$2:$BX$550,MATCH(AA$2,'Slutlig allokering kvv'!$B$1:$BX$1,0),FALSE)/1,0))</f>
        <v/>
      </c>
      <c r="AB114" s="31" t="str">
        <f>IF($D114="","",IFERROR(VLOOKUP($B114,Kraftvärmeprod!$B$1:$BX$550,MATCH(AB$2,Kraftvärmeprod!$B$1:$VX$1,0),FALSE)/1,0)-IFERROR(VLOOKUP($B114,'Slutlig allokering kvv'!$B$2:$BX$550,MATCH(AB$2,'Slutlig allokering kvv'!$B$1:$BX$1,0),FALSE)/1,0))</f>
        <v/>
      </c>
      <c r="AC114" s="31" t="str">
        <f>IF($D114="","",IFERROR(VLOOKUP($B114,Kraftvärmeprod!$B$1:$BX$550,MATCH(AC$2,Kraftvärmeprod!$B$1:$VX$1,0),FALSE)/1,0)-IFERROR(VLOOKUP($B114,'Slutlig allokering kvv'!$B$2:$BX$550,MATCH(AC$2,'Slutlig allokering kvv'!$B$1:$BX$1,0),FALSE)/1,0))</f>
        <v/>
      </c>
      <c r="AD114" s="31" t="str">
        <f>IF($D114="","",IFERROR(VLOOKUP($B114,Kraftvärmeprod!$B$1:$BX$550,MATCH(AD$2,Kraftvärmeprod!$B$1:$VX$1,0),FALSE)/1,0)-IFERROR(VLOOKUP($B114,'Slutlig allokering kvv'!$B$2:$BX$550,MATCH(AD$2,'Slutlig allokering kvv'!$B$1:$BX$1,0),FALSE)/1,0))</f>
        <v/>
      </c>
      <c r="AE114" s="31" t="str">
        <f>IF($D114="","",IFERROR(VLOOKUP($B114,Miljö!$B$1:$E$550,MATCH("Hjälpel kraftvärme (GWh)",Miljö!$B$1:$E$1,0),FALSE)/1,0)-IFERROR(VLOOKUP($B114,'Slutlig allokering kvv'!$B$2:$BX$549,MATCH(AE$2,'Slutlig allokering kvv'!$B$1:$BX$1,0),FALSE)/1,0))</f>
        <v/>
      </c>
      <c r="AI114" s="39">
        <f t="shared" si="4"/>
        <v>0</v>
      </c>
      <c r="AK114" s="31">
        <f>IFERROR(VLOOKUP($B114,'Slutlig allokering kvv'!$B$2:$AX$549,MATCH("Summa slutlig allokerad tillförd energi (utan hjälpel och rökgaskondensering):",'Slutlig allokering kvv'!$B$1:$AX$1,0),FALSE)/1,"")</f>
        <v>0</v>
      </c>
      <c r="AM114" s="31" t="str">
        <f>IFERROR(1-VLOOKUP($B114,'Slutlig allokering kvv'!$B$2:$AX$549,MATCH("Andel av bränsle i kvv som allokerats till värme, exklusive rökgaskondensering och hjälpel",'Slutlig allokering kvv'!$B$1:$AX$1,0),FALSE),"")</f>
        <v/>
      </c>
      <c r="AO114" s="31" t="str">
        <f t="shared" si="5"/>
        <v/>
      </c>
      <c r="AP114" s="31" t="str">
        <f t="shared" si="6"/>
        <v/>
      </c>
      <c r="AR114" s="32" t="str">
        <f t="shared" si="7"/>
        <v/>
      </c>
    </row>
    <row r="115" spans="1:44" s="31" customFormat="1" x14ac:dyDescent="0.45">
      <c r="A115" s="31" t="s">
        <v>520</v>
      </c>
      <c r="B115" s="31" t="s">
        <v>521</v>
      </c>
      <c r="C115" s="31">
        <f>IFERROR(VLOOKUP($B115,Kraftvärmeprod!$B$1:$AH$479,MATCH(C$2,Kraftvärmeprod!$B$1:$AG$1,0),FALSE)/1,"")</f>
        <v>392</v>
      </c>
      <c r="D115" s="31">
        <f>IFERROR(VLOOKUP($B115,Kraftvärmeprod!$B$1:$AH$479,MATCH(D$2,Kraftvärmeprod!$B$1:$AG$1,0),FALSE)/1,"")</f>
        <v>191</v>
      </c>
      <c r="F115" s="31">
        <f>IF($D115="","",IFERROR(VLOOKUP($B115,Kraftvärmeprod!$B$1:$BX$550,MATCH(F$2,Kraftvärmeprod!$B$1:$VX$1,0),FALSE)/1,0)-IFERROR(VLOOKUP($B115,'Slutlig allokering kvv'!$B$2:$BX$550,MATCH(F$2,'Slutlig allokering kvv'!$B$1:$BX$1,0),FALSE)/1,0))</f>
        <v>0</v>
      </c>
      <c r="G115" s="31">
        <f>IF($D115="","",IFERROR(VLOOKUP($B115,Kraftvärmeprod!$B$1:$BX$550,MATCH(G$2,Kraftvärmeprod!$B$1:$VX$1,0),FALSE)/1,0)-IFERROR(VLOOKUP($B115,'Slutlig allokering kvv'!$B$2:$BX$550,MATCH(G$2,'Slutlig allokering kvv'!$B$1:$BX$1,0),FALSE)/1,0))</f>
        <v>0</v>
      </c>
      <c r="H115" s="31">
        <f>IF($D115="","",IFERROR(VLOOKUP($B115,Kraftvärmeprod!$B$1:$BX$550,MATCH(H$2,Kraftvärmeprod!$B$1:$VX$1,0),FALSE)/1,0)-IFERROR(VLOOKUP($B115,'Slutlig allokering kvv'!$B$2:$BX$550,MATCH(H$2,'Slutlig allokering kvv'!$B$1:$BX$1,0),FALSE)/1,0))</f>
        <v>0</v>
      </c>
      <c r="I115" s="31">
        <f>IF($D115="","",IFERROR(VLOOKUP($B115,Kraftvärmeprod!$B$1:$BX$550,MATCH(I$2,Kraftvärmeprod!$B$1:$VX$1,0),FALSE)/1,0)-IFERROR(VLOOKUP($B115,'Slutlig allokering kvv'!$B$2:$BX$550,MATCH(I$2,'Slutlig allokering kvv'!$B$1:$BX$1,0),FALSE)/1,0))</f>
        <v>0</v>
      </c>
      <c r="J115" s="31">
        <f>IF($D115="","",IFERROR(VLOOKUP($B115,Kraftvärmeprod!$B$1:$BX$550,MATCH(J$2,Kraftvärmeprod!$B$1:$VX$1,0),FALSE)/1,0)-IFERROR(VLOOKUP($B115,'Slutlig allokering kvv'!$B$2:$BX$550,MATCH(J$2,'Slutlig allokering kvv'!$B$1:$BX$1,0),FALSE)/1,0))</f>
        <v>0</v>
      </c>
      <c r="K115" s="31">
        <f>IF($D115="","",IFERROR(VLOOKUP($B115,Kraftvärmeprod!$B$1:$BX$550,MATCH(K$2,Kraftvärmeprod!$B$1:$VX$1,0),FALSE)/1,0)-IFERROR(VLOOKUP($B115,'Slutlig allokering kvv'!$B$2:$BX$550,MATCH(K$2,'Slutlig allokering kvv'!$B$1:$BX$1,0),FALSE)/1,0))</f>
        <v>0</v>
      </c>
      <c r="L115" s="31">
        <f>IF($D115="","",IFERROR(VLOOKUP($B115,Kraftvärmeprod!$B$1:$BX$550,MATCH(L$2,Kraftvärmeprod!$B$1:$VX$1,0),FALSE)/1,0)-IFERROR(VLOOKUP($B115,'Slutlig allokering kvv'!$B$2:$BX$550,MATCH(L$2,'Slutlig allokering kvv'!$B$1:$BX$1,0),FALSE)/1,0))</f>
        <v>16.055700000000002</v>
      </c>
      <c r="M115" s="31">
        <f>IF($D115="","",IFERROR(VLOOKUP($B115,Kraftvärmeprod!$B$1:$BX$550,MATCH(M$2,Kraftvärmeprod!$B$1:$VX$1,0),FALSE)/1,0)-IFERROR(VLOOKUP($B115,'Slutlig allokering kvv'!$B$2:$BX$550,MATCH(M$2,'Slutlig allokering kvv'!$B$1:$BX$1,0),FALSE)/1,0))</f>
        <v>93.145200000000003</v>
      </c>
      <c r="N115" s="31">
        <f>IF($D115="","",IFERROR(VLOOKUP($B115,Kraftvärmeprod!$B$1:$BX$550,MATCH(N$2,Kraftvärmeprod!$B$1:$VX$1,0),FALSE)/1,0)-IFERROR(VLOOKUP($B115,'Slutlig allokering kvv'!$B$2:$BX$550,MATCH(N$2,'Slutlig allokering kvv'!$B$1:$BX$1,0),FALSE)/1,0))</f>
        <v>149.08799999999999</v>
      </c>
      <c r="O115" s="31">
        <f>IF($D115="","",IFERROR(VLOOKUP($B115,Kraftvärmeprod!$B$1:$BX$550,MATCH(O$2,Kraftvärmeprod!$B$1:$VX$1,0),FALSE)/1,0)-IFERROR(VLOOKUP($B115,'Slutlig allokering kvv'!$B$2:$BX$550,MATCH(O$2,'Slutlig allokering kvv'!$B$1:$BX$1,0),FALSE)/1,0))</f>
        <v>56.166800000000009</v>
      </c>
      <c r="P115" s="31">
        <f>IF($D115="","",IFERROR(VLOOKUP($B115,Kraftvärmeprod!$B$1:$BX$550,MATCH(P$2,Kraftvärmeprod!$B$1:$VX$1,0),FALSE)/1,0)-IFERROR(VLOOKUP($B115,'Slutlig allokering kvv'!$B$2:$BX$550,MATCH(P$2,'Slutlig allokering kvv'!$B$1:$BX$1,0),FALSE)/1,0))</f>
        <v>0</v>
      </c>
      <c r="Q115" s="31">
        <f>IF($D115="","",IFERROR(VLOOKUP($B115,Kraftvärmeprod!$B$1:$BX$550,MATCH(Q$2,Kraftvärmeprod!$B$1:$VX$1,0),FALSE)/1,0)-IFERROR(VLOOKUP($B115,'Slutlig allokering kvv'!$B$2:$BX$550,MATCH(Q$2,'Slutlig allokering kvv'!$B$1:$BX$1,0),FALSE)/1,0))</f>
        <v>0</v>
      </c>
      <c r="R115" s="31">
        <f>IF($D115="","",IFERROR(VLOOKUP($B115,Kraftvärmeprod!$B$1:$BX$550,MATCH(R$2,Kraftvärmeprod!$B$1:$VX$1,0),FALSE)/1,0)-IFERROR(VLOOKUP($B115,'Slutlig allokering kvv'!$B$2:$BX$550,MATCH(R$2,'Slutlig allokering kvv'!$B$1:$BX$1,0),FALSE)/1,0))</f>
        <v>0</v>
      </c>
      <c r="S115" s="31">
        <f>IF($D115="","",IFERROR(VLOOKUP($B115,Kraftvärmeprod!$B$1:$BX$550,MATCH(S$2,Kraftvärmeprod!$B$1:$VX$1,0),FALSE)/1,0)-IFERROR(VLOOKUP($B115,'Slutlig allokering kvv'!$B$2:$BX$550,MATCH(S$2,'Slutlig allokering kvv'!$B$1:$BX$1,0),FALSE)/1,0))</f>
        <v>0</v>
      </c>
      <c r="T115" s="31">
        <f>IF($D115="","",IFERROR(VLOOKUP($B115,Kraftvärmeprod!$B$1:$BX$550,MATCH(T$2,Kraftvärmeprod!$B$1:$VX$1,0),FALSE)/1,0)-IFERROR(VLOOKUP($B115,'Slutlig allokering kvv'!$B$2:$BX$550,MATCH(T$2,'Slutlig allokering kvv'!$B$1:$BX$1,0),FALSE)/1,0))</f>
        <v>0</v>
      </c>
      <c r="U115" s="31">
        <f>IF($D115="","",IFERROR(VLOOKUP($B115,Kraftvärmeprod!$B$1:$BX$550,MATCH(U$2,Kraftvärmeprod!$B$1:$VX$1,0),FALSE)/1,0)-IFERROR(VLOOKUP($B115,'Slutlig allokering kvv'!$B$2:$BX$550,MATCH(U$2,'Slutlig allokering kvv'!$B$1:$BX$1,0),FALSE)/1,0))</f>
        <v>0</v>
      </c>
      <c r="V115" s="31">
        <f>IF($D115="","",IFERROR(VLOOKUP($B115,Kraftvärmeprod!$B$1:$BX$550,MATCH(V$2,Kraftvärmeprod!$B$1:$VX$1,0),FALSE)/1,0)-IFERROR(VLOOKUP($B115,'Slutlig allokering kvv'!$B$2:$BX$550,MATCH(V$2,'Slutlig allokering kvv'!$B$1:$BX$1,0),FALSE)/1,0))</f>
        <v>52.810200000000009</v>
      </c>
      <c r="W115" s="31">
        <f>IF($D115="","",IFERROR(VLOOKUP($B115,Kraftvärmeprod!$B$1:$BX$550,MATCH(W$2,Kraftvärmeprod!$B$1:$VX$1,0),FALSE)/1,0)-IFERROR(VLOOKUP($B115,'Slutlig allokering kvv'!$B$2:$BX$550,MATCH(W$2,'Slutlig allokering kvv'!$B$1:$BX$1,0),FALSE)/1,0))</f>
        <v>0</v>
      </c>
      <c r="X115" s="31">
        <f>IF($D115="","",IFERROR(VLOOKUP($B115,Kraftvärmeprod!$B$1:$BX$550,MATCH(X$2,Kraftvärmeprod!$B$1:$VX$1,0),FALSE)/1,0)-IFERROR(VLOOKUP($B115,'Slutlig allokering kvv'!$B$2:$BX$550,MATCH(X$2,'Slutlig allokering kvv'!$B$1:$BX$1,0),FALSE)/1,0))</f>
        <v>0</v>
      </c>
      <c r="Y115" s="31">
        <f>IF($D115="","",IFERROR(VLOOKUP($B115,Kraftvärmeprod!$B$1:$BX$550,MATCH(Y$2,Kraftvärmeprod!$B$1:$VX$1,0),FALSE)/1,0)-IFERROR(VLOOKUP($B115,'Slutlig allokering kvv'!$B$2:$BX$550,MATCH(Y$2,'Slutlig allokering kvv'!$B$1:$BX$1,0),FALSE)/1,0))</f>
        <v>0</v>
      </c>
      <c r="Z115" s="31">
        <f>IF($D115="","",IFERROR(VLOOKUP($B115,Kraftvärmeprod!$B$1:$BX$550,MATCH(Z$2,Kraftvärmeprod!$B$1:$VX$1,0),FALSE)/1,0)-IFERROR(VLOOKUP($B115,'Slutlig allokering kvv'!$B$2:$BX$550,MATCH(Z$2,'Slutlig allokering kvv'!$B$1:$BX$1,0),FALSE)/1,0))</f>
        <v>16.625900000000001</v>
      </c>
      <c r="AA115" s="31">
        <f>IF($D115="","",IFERROR(VLOOKUP($B115,Kraftvärmeprod!$B$1:$BX$550,MATCH(AA$2,Kraftvärmeprod!$B$1:$VX$1,0),FALSE)/1,0)-IFERROR(VLOOKUP($B115,'Slutlig allokering kvv'!$B$2:$BX$550,MATCH(AA$2,'Slutlig allokering kvv'!$B$1:$BX$1,0),FALSE)/1,0))</f>
        <v>0</v>
      </c>
      <c r="AB115" s="31">
        <f>IF($D115="","",IFERROR(VLOOKUP($B115,Kraftvärmeprod!$B$1:$BX$550,MATCH(AB$2,Kraftvärmeprod!$B$1:$VX$1,0),FALSE)/1,0)-IFERROR(VLOOKUP($B115,'Slutlig allokering kvv'!$B$2:$BX$550,MATCH(AB$2,'Slutlig allokering kvv'!$B$1:$BX$1,0),FALSE)/1,0))</f>
        <v>0</v>
      </c>
      <c r="AC115" s="31">
        <f>IF($D115="","",IFERROR(VLOOKUP($B115,Kraftvärmeprod!$B$1:$BX$550,MATCH(AC$2,Kraftvärmeprod!$B$1:$VX$1,0),FALSE)/1,0)-IFERROR(VLOOKUP($B115,'Slutlig allokering kvv'!$B$2:$BX$550,MATCH(AC$2,'Slutlig allokering kvv'!$B$1:$BX$1,0),FALSE)/1,0))</f>
        <v>0</v>
      </c>
      <c r="AD115" s="31">
        <f>IF($D115="","",IFERROR(VLOOKUP($B115,Kraftvärmeprod!$B$1:$BX$550,MATCH(AD$2,Kraftvärmeprod!$B$1:$VX$1,0),FALSE)/1,0)-IFERROR(VLOOKUP($B115,'Slutlig allokering kvv'!$B$2:$BX$550,MATCH(AD$2,'Slutlig allokering kvv'!$B$1:$BX$1,0),FALSE)/1,0))</f>
        <v>0</v>
      </c>
      <c r="AE115" s="31">
        <f>IF($D115="","",IFERROR(VLOOKUP($B115,Miljö!$B$1:$E$550,MATCH("Hjälpel kraftvärme (GWh)",Miljö!$B$1:$E$1,0),FALSE)/1,0)-IFERROR(VLOOKUP($B115,'Slutlig allokering kvv'!$B$2:$BX$549,MATCH(AE$2,'Slutlig allokering kvv'!$B$1:$BX$1,0),FALSE)/1,0))</f>
        <v>0</v>
      </c>
      <c r="AI115" s="39">
        <f t="shared" si="4"/>
        <v>383.89180000000005</v>
      </c>
      <c r="AK115" s="31">
        <f>IFERROR(VLOOKUP($B115,'Slutlig allokering kvv'!$B$2:$AX$549,MATCH("Summa slutlig allokerad tillförd energi (utan hjälpel och rökgaskondensering):",'Slutlig allokering kvv'!$B$1:$AX$1,0),FALSE)/1,"")</f>
        <v>304.70820000000003</v>
      </c>
      <c r="AM115" s="31">
        <f>IFERROR(1-VLOOKUP($B115,'Slutlig allokering kvv'!$B$2:$AX$549,MATCH("Andel av bränsle i kvv som allokerats till värme, exklusive rökgaskondensering och hjälpel",'Slutlig allokering kvv'!$B$1:$AX$1,0),FALSE),"")</f>
        <v>0.55749607900087128</v>
      </c>
      <c r="AO115" s="31">
        <f t="shared" si="5"/>
        <v>0.55749607900087128</v>
      </c>
      <c r="AP115" s="31">
        <f t="shared" si="6"/>
        <v>0</v>
      </c>
      <c r="AR115" s="32">
        <f t="shared" si="7"/>
        <v>0.49753602447356254</v>
      </c>
    </row>
    <row r="116" spans="1:44" s="31" customFormat="1" x14ac:dyDescent="0.45">
      <c r="A116" s="31" t="s">
        <v>520</v>
      </c>
      <c r="B116" s="31" t="s">
        <v>519</v>
      </c>
      <c r="C116" s="31" t="str">
        <f>IFERROR(VLOOKUP($B116,Kraftvärmeprod!$B$1:$AH$479,MATCH(C$2,Kraftvärmeprod!$B$1:$AG$1,0),FALSE)/1,"")</f>
        <v/>
      </c>
      <c r="D116" s="31" t="str">
        <f>IFERROR(VLOOKUP($B116,Kraftvärmeprod!$B$1:$AH$479,MATCH(D$2,Kraftvärmeprod!$B$1:$AG$1,0),FALSE)/1,"")</f>
        <v/>
      </c>
      <c r="F116" s="31" t="str">
        <f>IF($D116="","",IFERROR(VLOOKUP($B116,Kraftvärmeprod!$B$1:$BX$550,MATCH(F$2,Kraftvärmeprod!$B$1:$VX$1,0),FALSE)/1,0)-IFERROR(VLOOKUP($B116,'Slutlig allokering kvv'!$B$2:$BX$550,MATCH(F$2,'Slutlig allokering kvv'!$B$1:$BX$1,0),FALSE)/1,0))</f>
        <v/>
      </c>
      <c r="G116" s="31" t="str">
        <f>IF($D116="","",IFERROR(VLOOKUP($B116,Kraftvärmeprod!$B$1:$BX$550,MATCH(G$2,Kraftvärmeprod!$B$1:$VX$1,0),FALSE)/1,0)-IFERROR(VLOOKUP($B116,'Slutlig allokering kvv'!$B$2:$BX$550,MATCH(G$2,'Slutlig allokering kvv'!$B$1:$BX$1,0),FALSE)/1,0))</f>
        <v/>
      </c>
      <c r="H116" s="31" t="str">
        <f>IF($D116="","",IFERROR(VLOOKUP($B116,Kraftvärmeprod!$B$1:$BX$550,MATCH(H$2,Kraftvärmeprod!$B$1:$VX$1,0),FALSE)/1,0)-IFERROR(VLOOKUP($B116,'Slutlig allokering kvv'!$B$2:$BX$550,MATCH(H$2,'Slutlig allokering kvv'!$B$1:$BX$1,0),FALSE)/1,0))</f>
        <v/>
      </c>
      <c r="I116" s="31" t="str">
        <f>IF($D116="","",IFERROR(VLOOKUP($B116,Kraftvärmeprod!$B$1:$BX$550,MATCH(I$2,Kraftvärmeprod!$B$1:$VX$1,0),FALSE)/1,0)-IFERROR(VLOOKUP($B116,'Slutlig allokering kvv'!$B$2:$BX$550,MATCH(I$2,'Slutlig allokering kvv'!$B$1:$BX$1,0),FALSE)/1,0))</f>
        <v/>
      </c>
      <c r="J116" s="31" t="str">
        <f>IF($D116="","",IFERROR(VLOOKUP($B116,Kraftvärmeprod!$B$1:$BX$550,MATCH(J$2,Kraftvärmeprod!$B$1:$VX$1,0),FALSE)/1,0)-IFERROR(VLOOKUP($B116,'Slutlig allokering kvv'!$B$2:$BX$550,MATCH(J$2,'Slutlig allokering kvv'!$B$1:$BX$1,0),FALSE)/1,0))</f>
        <v/>
      </c>
      <c r="K116" s="31" t="str">
        <f>IF($D116="","",IFERROR(VLOOKUP($B116,Kraftvärmeprod!$B$1:$BX$550,MATCH(K$2,Kraftvärmeprod!$B$1:$VX$1,0),FALSE)/1,0)-IFERROR(VLOOKUP($B116,'Slutlig allokering kvv'!$B$2:$BX$550,MATCH(K$2,'Slutlig allokering kvv'!$B$1:$BX$1,0),FALSE)/1,0))</f>
        <v/>
      </c>
      <c r="L116" s="31" t="str">
        <f>IF($D116="","",IFERROR(VLOOKUP($B116,Kraftvärmeprod!$B$1:$BX$550,MATCH(L$2,Kraftvärmeprod!$B$1:$VX$1,0),FALSE)/1,0)-IFERROR(VLOOKUP($B116,'Slutlig allokering kvv'!$B$2:$BX$550,MATCH(L$2,'Slutlig allokering kvv'!$B$1:$BX$1,0),FALSE)/1,0))</f>
        <v/>
      </c>
      <c r="M116" s="31" t="str">
        <f>IF($D116="","",IFERROR(VLOOKUP($B116,Kraftvärmeprod!$B$1:$BX$550,MATCH(M$2,Kraftvärmeprod!$B$1:$VX$1,0),FALSE)/1,0)-IFERROR(VLOOKUP($B116,'Slutlig allokering kvv'!$B$2:$BX$550,MATCH(M$2,'Slutlig allokering kvv'!$B$1:$BX$1,0),FALSE)/1,0))</f>
        <v/>
      </c>
      <c r="N116" s="31" t="str">
        <f>IF($D116="","",IFERROR(VLOOKUP($B116,Kraftvärmeprod!$B$1:$BX$550,MATCH(N$2,Kraftvärmeprod!$B$1:$VX$1,0),FALSE)/1,0)-IFERROR(VLOOKUP($B116,'Slutlig allokering kvv'!$B$2:$BX$550,MATCH(N$2,'Slutlig allokering kvv'!$B$1:$BX$1,0),FALSE)/1,0))</f>
        <v/>
      </c>
      <c r="O116" s="31" t="str">
        <f>IF($D116="","",IFERROR(VLOOKUP($B116,Kraftvärmeprod!$B$1:$BX$550,MATCH(O$2,Kraftvärmeprod!$B$1:$VX$1,0),FALSE)/1,0)-IFERROR(VLOOKUP($B116,'Slutlig allokering kvv'!$B$2:$BX$550,MATCH(O$2,'Slutlig allokering kvv'!$B$1:$BX$1,0),FALSE)/1,0))</f>
        <v/>
      </c>
      <c r="P116" s="31" t="str">
        <f>IF($D116="","",IFERROR(VLOOKUP($B116,Kraftvärmeprod!$B$1:$BX$550,MATCH(P$2,Kraftvärmeprod!$B$1:$VX$1,0),FALSE)/1,0)-IFERROR(VLOOKUP($B116,'Slutlig allokering kvv'!$B$2:$BX$550,MATCH(P$2,'Slutlig allokering kvv'!$B$1:$BX$1,0),FALSE)/1,0))</f>
        <v/>
      </c>
      <c r="Q116" s="31" t="str">
        <f>IF($D116="","",IFERROR(VLOOKUP($B116,Kraftvärmeprod!$B$1:$BX$550,MATCH(Q$2,Kraftvärmeprod!$B$1:$VX$1,0),FALSE)/1,0)-IFERROR(VLOOKUP($B116,'Slutlig allokering kvv'!$B$2:$BX$550,MATCH(Q$2,'Slutlig allokering kvv'!$B$1:$BX$1,0),FALSE)/1,0))</f>
        <v/>
      </c>
      <c r="R116" s="31" t="str">
        <f>IF($D116="","",IFERROR(VLOOKUP($B116,Kraftvärmeprod!$B$1:$BX$550,MATCH(R$2,Kraftvärmeprod!$B$1:$VX$1,0),FALSE)/1,0)-IFERROR(VLOOKUP($B116,'Slutlig allokering kvv'!$B$2:$BX$550,MATCH(R$2,'Slutlig allokering kvv'!$B$1:$BX$1,0),FALSE)/1,0))</f>
        <v/>
      </c>
      <c r="S116" s="31" t="str">
        <f>IF($D116="","",IFERROR(VLOOKUP($B116,Kraftvärmeprod!$B$1:$BX$550,MATCH(S$2,Kraftvärmeprod!$B$1:$VX$1,0),FALSE)/1,0)-IFERROR(VLOOKUP($B116,'Slutlig allokering kvv'!$B$2:$BX$550,MATCH(S$2,'Slutlig allokering kvv'!$B$1:$BX$1,0),FALSE)/1,0))</f>
        <v/>
      </c>
      <c r="T116" s="31" t="str">
        <f>IF($D116="","",IFERROR(VLOOKUP($B116,Kraftvärmeprod!$B$1:$BX$550,MATCH(T$2,Kraftvärmeprod!$B$1:$VX$1,0),FALSE)/1,0)-IFERROR(VLOOKUP($B116,'Slutlig allokering kvv'!$B$2:$BX$550,MATCH(T$2,'Slutlig allokering kvv'!$B$1:$BX$1,0),FALSE)/1,0))</f>
        <v/>
      </c>
      <c r="U116" s="31" t="str">
        <f>IF($D116="","",IFERROR(VLOOKUP($B116,Kraftvärmeprod!$B$1:$BX$550,MATCH(U$2,Kraftvärmeprod!$B$1:$VX$1,0),FALSE)/1,0)-IFERROR(VLOOKUP($B116,'Slutlig allokering kvv'!$B$2:$BX$550,MATCH(U$2,'Slutlig allokering kvv'!$B$1:$BX$1,0),FALSE)/1,0))</f>
        <v/>
      </c>
      <c r="V116" s="31" t="str">
        <f>IF($D116="","",IFERROR(VLOOKUP($B116,Kraftvärmeprod!$B$1:$BX$550,MATCH(V$2,Kraftvärmeprod!$B$1:$VX$1,0),FALSE)/1,0)-IFERROR(VLOOKUP($B116,'Slutlig allokering kvv'!$B$2:$BX$550,MATCH(V$2,'Slutlig allokering kvv'!$B$1:$BX$1,0),FALSE)/1,0))</f>
        <v/>
      </c>
      <c r="W116" s="31" t="str">
        <f>IF($D116="","",IFERROR(VLOOKUP($B116,Kraftvärmeprod!$B$1:$BX$550,MATCH(W$2,Kraftvärmeprod!$B$1:$VX$1,0),FALSE)/1,0)-IFERROR(VLOOKUP($B116,'Slutlig allokering kvv'!$B$2:$BX$550,MATCH(W$2,'Slutlig allokering kvv'!$B$1:$BX$1,0),FALSE)/1,0))</f>
        <v/>
      </c>
      <c r="X116" s="31" t="str">
        <f>IF($D116="","",IFERROR(VLOOKUP($B116,Kraftvärmeprod!$B$1:$BX$550,MATCH(X$2,Kraftvärmeprod!$B$1:$VX$1,0),FALSE)/1,0)-IFERROR(VLOOKUP($B116,'Slutlig allokering kvv'!$B$2:$BX$550,MATCH(X$2,'Slutlig allokering kvv'!$B$1:$BX$1,0),FALSE)/1,0))</f>
        <v/>
      </c>
      <c r="Y116" s="31" t="str">
        <f>IF($D116="","",IFERROR(VLOOKUP($B116,Kraftvärmeprod!$B$1:$BX$550,MATCH(Y$2,Kraftvärmeprod!$B$1:$VX$1,0),FALSE)/1,0)-IFERROR(VLOOKUP($B116,'Slutlig allokering kvv'!$B$2:$BX$550,MATCH(Y$2,'Slutlig allokering kvv'!$B$1:$BX$1,0),FALSE)/1,0))</f>
        <v/>
      </c>
      <c r="Z116" s="31" t="str">
        <f>IF($D116="","",IFERROR(VLOOKUP($B116,Kraftvärmeprod!$B$1:$BX$550,MATCH(Z$2,Kraftvärmeprod!$B$1:$VX$1,0),FALSE)/1,0)-IFERROR(VLOOKUP($B116,'Slutlig allokering kvv'!$B$2:$BX$550,MATCH(Z$2,'Slutlig allokering kvv'!$B$1:$BX$1,0),FALSE)/1,0))</f>
        <v/>
      </c>
      <c r="AA116" s="31" t="str">
        <f>IF($D116="","",IFERROR(VLOOKUP($B116,Kraftvärmeprod!$B$1:$BX$550,MATCH(AA$2,Kraftvärmeprod!$B$1:$VX$1,0),FALSE)/1,0)-IFERROR(VLOOKUP($B116,'Slutlig allokering kvv'!$B$2:$BX$550,MATCH(AA$2,'Slutlig allokering kvv'!$B$1:$BX$1,0),FALSE)/1,0))</f>
        <v/>
      </c>
      <c r="AB116" s="31" t="str">
        <f>IF($D116="","",IFERROR(VLOOKUP($B116,Kraftvärmeprod!$B$1:$BX$550,MATCH(AB$2,Kraftvärmeprod!$B$1:$VX$1,0),FALSE)/1,0)-IFERROR(VLOOKUP($B116,'Slutlig allokering kvv'!$B$2:$BX$550,MATCH(AB$2,'Slutlig allokering kvv'!$B$1:$BX$1,0),FALSE)/1,0))</f>
        <v/>
      </c>
      <c r="AC116" s="31" t="str">
        <f>IF($D116="","",IFERROR(VLOOKUP($B116,Kraftvärmeprod!$B$1:$BX$550,MATCH(AC$2,Kraftvärmeprod!$B$1:$VX$1,0),FALSE)/1,0)-IFERROR(VLOOKUP($B116,'Slutlig allokering kvv'!$B$2:$BX$550,MATCH(AC$2,'Slutlig allokering kvv'!$B$1:$BX$1,0),FALSE)/1,0))</f>
        <v/>
      </c>
      <c r="AD116" s="31" t="str">
        <f>IF($D116="","",IFERROR(VLOOKUP($B116,Kraftvärmeprod!$B$1:$BX$550,MATCH(AD$2,Kraftvärmeprod!$B$1:$VX$1,0),FALSE)/1,0)-IFERROR(VLOOKUP($B116,'Slutlig allokering kvv'!$B$2:$BX$550,MATCH(AD$2,'Slutlig allokering kvv'!$B$1:$BX$1,0),FALSE)/1,0))</f>
        <v/>
      </c>
      <c r="AE116" s="31" t="str">
        <f>IF($D116="","",IFERROR(VLOOKUP($B116,Miljö!$B$1:$E$550,MATCH("Hjälpel kraftvärme (GWh)",Miljö!$B$1:$E$1,0),FALSE)/1,0)-IFERROR(VLOOKUP($B116,'Slutlig allokering kvv'!$B$2:$BX$549,MATCH(AE$2,'Slutlig allokering kvv'!$B$1:$BX$1,0),FALSE)/1,0))</f>
        <v/>
      </c>
      <c r="AI116" s="39">
        <f t="shared" si="4"/>
        <v>0</v>
      </c>
      <c r="AK116" s="31">
        <f>IFERROR(VLOOKUP($B116,'Slutlig allokering kvv'!$B$2:$AX$549,MATCH("Summa slutlig allokerad tillförd energi (utan hjälpel och rökgaskondensering):",'Slutlig allokering kvv'!$B$1:$AX$1,0),FALSE)/1,"")</f>
        <v>0</v>
      </c>
      <c r="AM116" s="31" t="str">
        <f>IFERROR(1-VLOOKUP($B116,'Slutlig allokering kvv'!$B$2:$AX$549,MATCH("Andel av bränsle i kvv som allokerats till värme, exklusive rökgaskondensering och hjälpel",'Slutlig allokering kvv'!$B$1:$AX$1,0),FALSE),"")</f>
        <v/>
      </c>
      <c r="AO116" s="31" t="str">
        <f t="shared" si="5"/>
        <v/>
      </c>
      <c r="AP116" s="31" t="str">
        <f t="shared" si="6"/>
        <v/>
      </c>
      <c r="AR116" s="32" t="str">
        <f t="shared" si="7"/>
        <v/>
      </c>
    </row>
    <row r="117" spans="1:44" s="31" customFormat="1" x14ac:dyDescent="0.45">
      <c r="A117" s="31" t="s">
        <v>518</v>
      </c>
      <c r="B117" s="31" t="s">
        <v>77</v>
      </c>
      <c r="C117" s="31" t="str">
        <f>IFERROR(VLOOKUP($B117,Kraftvärmeprod!$B$1:$AH$479,MATCH(C$2,Kraftvärmeprod!$B$1:$AG$1,0),FALSE)/1,"")</f>
        <v/>
      </c>
      <c r="D117" s="31" t="str">
        <f>IFERROR(VLOOKUP($B117,Kraftvärmeprod!$B$1:$AH$479,MATCH(D$2,Kraftvärmeprod!$B$1:$AG$1,0),FALSE)/1,"")</f>
        <v/>
      </c>
      <c r="F117" s="31" t="str">
        <f>IF($D117="","",IFERROR(VLOOKUP($B117,Kraftvärmeprod!$B$1:$BX$550,MATCH(F$2,Kraftvärmeprod!$B$1:$VX$1,0),FALSE)/1,0)-IFERROR(VLOOKUP($B117,'Slutlig allokering kvv'!$B$2:$BX$550,MATCH(F$2,'Slutlig allokering kvv'!$B$1:$BX$1,0),FALSE)/1,0))</f>
        <v/>
      </c>
      <c r="G117" s="31" t="str">
        <f>IF($D117="","",IFERROR(VLOOKUP($B117,Kraftvärmeprod!$B$1:$BX$550,MATCH(G$2,Kraftvärmeprod!$B$1:$VX$1,0),FALSE)/1,0)-IFERROR(VLOOKUP($B117,'Slutlig allokering kvv'!$B$2:$BX$550,MATCH(G$2,'Slutlig allokering kvv'!$B$1:$BX$1,0),FALSE)/1,0))</f>
        <v/>
      </c>
      <c r="H117" s="31" t="str">
        <f>IF($D117="","",IFERROR(VLOOKUP($B117,Kraftvärmeprod!$B$1:$BX$550,MATCH(H$2,Kraftvärmeprod!$B$1:$VX$1,0),FALSE)/1,0)-IFERROR(VLOOKUP($B117,'Slutlig allokering kvv'!$B$2:$BX$550,MATCH(H$2,'Slutlig allokering kvv'!$B$1:$BX$1,0),FALSE)/1,0))</f>
        <v/>
      </c>
      <c r="I117" s="31" t="str">
        <f>IF($D117="","",IFERROR(VLOOKUP($B117,Kraftvärmeprod!$B$1:$BX$550,MATCH(I$2,Kraftvärmeprod!$B$1:$VX$1,0),FALSE)/1,0)-IFERROR(VLOOKUP($B117,'Slutlig allokering kvv'!$B$2:$BX$550,MATCH(I$2,'Slutlig allokering kvv'!$B$1:$BX$1,0),FALSE)/1,0))</f>
        <v/>
      </c>
      <c r="J117" s="31" t="str">
        <f>IF($D117="","",IFERROR(VLOOKUP($B117,Kraftvärmeprod!$B$1:$BX$550,MATCH(J$2,Kraftvärmeprod!$B$1:$VX$1,0),FALSE)/1,0)-IFERROR(VLOOKUP($B117,'Slutlig allokering kvv'!$B$2:$BX$550,MATCH(J$2,'Slutlig allokering kvv'!$B$1:$BX$1,0),FALSE)/1,0))</f>
        <v/>
      </c>
      <c r="K117" s="31" t="str">
        <f>IF($D117="","",IFERROR(VLOOKUP($B117,Kraftvärmeprod!$B$1:$BX$550,MATCH(K$2,Kraftvärmeprod!$B$1:$VX$1,0),FALSE)/1,0)-IFERROR(VLOOKUP($B117,'Slutlig allokering kvv'!$B$2:$BX$550,MATCH(K$2,'Slutlig allokering kvv'!$B$1:$BX$1,0),FALSE)/1,0))</f>
        <v/>
      </c>
      <c r="L117" s="31" t="str">
        <f>IF($D117="","",IFERROR(VLOOKUP($B117,Kraftvärmeprod!$B$1:$BX$550,MATCH(L$2,Kraftvärmeprod!$B$1:$VX$1,0),FALSE)/1,0)-IFERROR(VLOOKUP($B117,'Slutlig allokering kvv'!$B$2:$BX$550,MATCH(L$2,'Slutlig allokering kvv'!$B$1:$BX$1,0),FALSE)/1,0))</f>
        <v/>
      </c>
      <c r="M117" s="31" t="str">
        <f>IF($D117="","",IFERROR(VLOOKUP($B117,Kraftvärmeprod!$B$1:$BX$550,MATCH(M$2,Kraftvärmeprod!$B$1:$VX$1,0),FALSE)/1,0)-IFERROR(VLOOKUP($B117,'Slutlig allokering kvv'!$B$2:$BX$550,MATCH(M$2,'Slutlig allokering kvv'!$B$1:$BX$1,0),FALSE)/1,0))</f>
        <v/>
      </c>
      <c r="N117" s="31" t="str">
        <f>IF($D117="","",IFERROR(VLOOKUP($B117,Kraftvärmeprod!$B$1:$BX$550,MATCH(N$2,Kraftvärmeprod!$B$1:$VX$1,0),FALSE)/1,0)-IFERROR(VLOOKUP($B117,'Slutlig allokering kvv'!$B$2:$BX$550,MATCH(N$2,'Slutlig allokering kvv'!$B$1:$BX$1,0),FALSE)/1,0))</f>
        <v/>
      </c>
      <c r="O117" s="31" t="str">
        <f>IF($D117="","",IFERROR(VLOOKUP($B117,Kraftvärmeprod!$B$1:$BX$550,MATCH(O$2,Kraftvärmeprod!$B$1:$VX$1,0),FALSE)/1,0)-IFERROR(VLOOKUP($B117,'Slutlig allokering kvv'!$B$2:$BX$550,MATCH(O$2,'Slutlig allokering kvv'!$B$1:$BX$1,0),FALSE)/1,0))</f>
        <v/>
      </c>
      <c r="P117" s="31" t="str">
        <f>IF($D117="","",IFERROR(VLOOKUP($B117,Kraftvärmeprod!$B$1:$BX$550,MATCH(P$2,Kraftvärmeprod!$B$1:$VX$1,0),FALSE)/1,0)-IFERROR(VLOOKUP($B117,'Slutlig allokering kvv'!$B$2:$BX$550,MATCH(P$2,'Slutlig allokering kvv'!$B$1:$BX$1,0),FALSE)/1,0))</f>
        <v/>
      </c>
      <c r="Q117" s="31" t="str">
        <f>IF($D117="","",IFERROR(VLOOKUP($B117,Kraftvärmeprod!$B$1:$BX$550,MATCH(Q$2,Kraftvärmeprod!$B$1:$VX$1,0),FALSE)/1,0)-IFERROR(VLOOKUP($B117,'Slutlig allokering kvv'!$B$2:$BX$550,MATCH(Q$2,'Slutlig allokering kvv'!$B$1:$BX$1,0),FALSE)/1,0))</f>
        <v/>
      </c>
      <c r="R117" s="31" t="str">
        <f>IF($D117="","",IFERROR(VLOOKUP($B117,Kraftvärmeprod!$B$1:$BX$550,MATCH(R$2,Kraftvärmeprod!$B$1:$VX$1,0),FALSE)/1,0)-IFERROR(VLOOKUP($B117,'Slutlig allokering kvv'!$B$2:$BX$550,MATCH(R$2,'Slutlig allokering kvv'!$B$1:$BX$1,0),FALSE)/1,0))</f>
        <v/>
      </c>
      <c r="S117" s="31" t="str">
        <f>IF($D117="","",IFERROR(VLOOKUP($B117,Kraftvärmeprod!$B$1:$BX$550,MATCH(S$2,Kraftvärmeprod!$B$1:$VX$1,0),FALSE)/1,0)-IFERROR(VLOOKUP($B117,'Slutlig allokering kvv'!$B$2:$BX$550,MATCH(S$2,'Slutlig allokering kvv'!$B$1:$BX$1,0),FALSE)/1,0))</f>
        <v/>
      </c>
      <c r="T117" s="31" t="str">
        <f>IF($D117="","",IFERROR(VLOOKUP($B117,Kraftvärmeprod!$B$1:$BX$550,MATCH(T$2,Kraftvärmeprod!$B$1:$VX$1,0),FALSE)/1,0)-IFERROR(VLOOKUP($B117,'Slutlig allokering kvv'!$B$2:$BX$550,MATCH(T$2,'Slutlig allokering kvv'!$B$1:$BX$1,0),FALSE)/1,0))</f>
        <v/>
      </c>
      <c r="U117" s="31" t="str">
        <f>IF($D117="","",IFERROR(VLOOKUP($B117,Kraftvärmeprod!$B$1:$BX$550,MATCH(U$2,Kraftvärmeprod!$B$1:$VX$1,0),FALSE)/1,0)-IFERROR(VLOOKUP($B117,'Slutlig allokering kvv'!$B$2:$BX$550,MATCH(U$2,'Slutlig allokering kvv'!$B$1:$BX$1,0),FALSE)/1,0))</f>
        <v/>
      </c>
      <c r="V117" s="31" t="str">
        <f>IF($D117="","",IFERROR(VLOOKUP($B117,Kraftvärmeprod!$B$1:$BX$550,MATCH(V$2,Kraftvärmeprod!$B$1:$VX$1,0),FALSE)/1,0)-IFERROR(VLOOKUP($B117,'Slutlig allokering kvv'!$B$2:$BX$550,MATCH(V$2,'Slutlig allokering kvv'!$B$1:$BX$1,0),FALSE)/1,0))</f>
        <v/>
      </c>
      <c r="W117" s="31" t="str">
        <f>IF($D117="","",IFERROR(VLOOKUP($B117,Kraftvärmeprod!$B$1:$BX$550,MATCH(W$2,Kraftvärmeprod!$B$1:$VX$1,0),FALSE)/1,0)-IFERROR(VLOOKUP($B117,'Slutlig allokering kvv'!$B$2:$BX$550,MATCH(W$2,'Slutlig allokering kvv'!$B$1:$BX$1,0),FALSE)/1,0))</f>
        <v/>
      </c>
      <c r="X117" s="31" t="str">
        <f>IF($D117="","",IFERROR(VLOOKUP($B117,Kraftvärmeprod!$B$1:$BX$550,MATCH(X$2,Kraftvärmeprod!$B$1:$VX$1,0),FALSE)/1,0)-IFERROR(VLOOKUP($B117,'Slutlig allokering kvv'!$B$2:$BX$550,MATCH(X$2,'Slutlig allokering kvv'!$B$1:$BX$1,0),FALSE)/1,0))</f>
        <v/>
      </c>
      <c r="Y117" s="31" t="str">
        <f>IF($D117="","",IFERROR(VLOOKUP($B117,Kraftvärmeprod!$B$1:$BX$550,MATCH(Y$2,Kraftvärmeprod!$B$1:$VX$1,0),FALSE)/1,0)-IFERROR(VLOOKUP($B117,'Slutlig allokering kvv'!$B$2:$BX$550,MATCH(Y$2,'Slutlig allokering kvv'!$B$1:$BX$1,0),FALSE)/1,0))</f>
        <v/>
      </c>
      <c r="Z117" s="31" t="str">
        <f>IF($D117="","",IFERROR(VLOOKUP($B117,Kraftvärmeprod!$B$1:$BX$550,MATCH(Z$2,Kraftvärmeprod!$B$1:$VX$1,0),FALSE)/1,0)-IFERROR(VLOOKUP($B117,'Slutlig allokering kvv'!$B$2:$BX$550,MATCH(Z$2,'Slutlig allokering kvv'!$B$1:$BX$1,0),FALSE)/1,0))</f>
        <v/>
      </c>
      <c r="AA117" s="31" t="str">
        <f>IF($D117="","",IFERROR(VLOOKUP($B117,Kraftvärmeprod!$B$1:$BX$550,MATCH(AA$2,Kraftvärmeprod!$B$1:$VX$1,0),FALSE)/1,0)-IFERROR(VLOOKUP($B117,'Slutlig allokering kvv'!$B$2:$BX$550,MATCH(AA$2,'Slutlig allokering kvv'!$B$1:$BX$1,0),FALSE)/1,0))</f>
        <v/>
      </c>
      <c r="AB117" s="31" t="str">
        <f>IF($D117="","",IFERROR(VLOOKUP($B117,Kraftvärmeprod!$B$1:$BX$550,MATCH(AB$2,Kraftvärmeprod!$B$1:$VX$1,0),FALSE)/1,0)-IFERROR(VLOOKUP($B117,'Slutlig allokering kvv'!$B$2:$BX$550,MATCH(AB$2,'Slutlig allokering kvv'!$B$1:$BX$1,0),FALSE)/1,0))</f>
        <v/>
      </c>
      <c r="AC117" s="31" t="str">
        <f>IF($D117="","",IFERROR(VLOOKUP($B117,Kraftvärmeprod!$B$1:$BX$550,MATCH(AC$2,Kraftvärmeprod!$B$1:$VX$1,0),FALSE)/1,0)-IFERROR(VLOOKUP($B117,'Slutlig allokering kvv'!$B$2:$BX$550,MATCH(AC$2,'Slutlig allokering kvv'!$B$1:$BX$1,0),FALSE)/1,0))</f>
        <v/>
      </c>
      <c r="AD117" s="31" t="str">
        <f>IF($D117="","",IFERROR(VLOOKUP($B117,Kraftvärmeprod!$B$1:$BX$550,MATCH(AD$2,Kraftvärmeprod!$B$1:$VX$1,0),FALSE)/1,0)-IFERROR(VLOOKUP($B117,'Slutlig allokering kvv'!$B$2:$BX$550,MATCH(AD$2,'Slutlig allokering kvv'!$B$1:$BX$1,0),FALSE)/1,0))</f>
        <v/>
      </c>
      <c r="AE117" s="31" t="str">
        <f>IF($D117="","",IFERROR(VLOOKUP($B117,Miljö!$B$1:$E$550,MATCH("Hjälpel kraftvärme (GWh)",Miljö!$B$1:$E$1,0),FALSE)/1,0)-IFERROR(VLOOKUP($B117,'Slutlig allokering kvv'!$B$2:$BX$549,MATCH(AE$2,'Slutlig allokering kvv'!$B$1:$BX$1,0),FALSE)/1,0))</f>
        <v/>
      </c>
      <c r="AI117" s="39">
        <f t="shared" si="4"/>
        <v>0</v>
      </c>
      <c r="AK117" s="31">
        <f>IFERROR(VLOOKUP($B117,'Slutlig allokering kvv'!$B$2:$AX$549,MATCH("Summa slutlig allokerad tillförd energi (utan hjälpel och rökgaskondensering):",'Slutlig allokering kvv'!$B$1:$AX$1,0),FALSE)/1,"")</f>
        <v>0</v>
      </c>
      <c r="AM117" s="31" t="str">
        <f>IFERROR(1-VLOOKUP($B117,'Slutlig allokering kvv'!$B$2:$AX$549,MATCH("Andel av bränsle i kvv som allokerats till värme, exklusive rökgaskondensering och hjälpel",'Slutlig allokering kvv'!$B$1:$AX$1,0),FALSE),"")</f>
        <v/>
      </c>
      <c r="AO117" s="31" t="str">
        <f t="shared" si="5"/>
        <v/>
      </c>
      <c r="AP117" s="31" t="str">
        <f t="shared" si="6"/>
        <v/>
      </c>
      <c r="AR117" s="32" t="str">
        <f t="shared" si="7"/>
        <v/>
      </c>
    </row>
    <row r="118" spans="1:44" s="31" customFormat="1" x14ac:dyDescent="0.45">
      <c r="A118" s="31" t="s">
        <v>515</v>
      </c>
      <c r="B118" s="31" t="s">
        <v>517</v>
      </c>
      <c r="C118" s="31" t="str">
        <f>IFERROR(VLOOKUP($B118,Kraftvärmeprod!$B$1:$AH$479,MATCH(C$2,Kraftvärmeprod!$B$1:$AG$1,0),FALSE)/1,"")</f>
        <v/>
      </c>
      <c r="D118" s="31" t="str">
        <f>IFERROR(VLOOKUP($B118,Kraftvärmeprod!$B$1:$AH$479,MATCH(D$2,Kraftvärmeprod!$B$1:$AG$1,0),FALSE)/1,"")</f>
        <v/>
      </c>
      <c r="F118" s="31" t="str">
        <f>IF($D118="","",IFERROR(VLOOKUP($B118,Kraftvärmeprod!$B$1:$BX$550,MATCH(F$2,Kraftvärmeprod!$B$1:$VX$1,0),FALSE)/1,0)-IFERROR(VLOOKUP($B118,'Slutlig allokering kvv'!$B$2:$BX$550,MATCH(F$2,'Slutlig allokering kvv'!$B$1:$BX$1,0),FALSE)/1,0))</f>
        <v/>
      </c>
      <c r="G118" s="31" t="str">
        <f>IF($D118="","",IFERROR(VLOOKUP($B118,Kraftvärmeprod!$B$1:$BX$550,MATCH(G$2,Kraftvärmeprod!$B$1:$VX$1,0),FALSE)/1,0)-IFERROR(VLOOKUP($B118,'Slutlig allokering kvv'!$B$2:$BX$550,MATCH(G$2,'Slutlig allokering kvv'!$B$1:$BX$1,0),FALSE)/1,0))</f>
        <v/>
      </c>
      <c r="H118" s="31" t="str">
        <f>IF($D118="","",IFERROR(VLOOKUP($B118,Kraftvärmeprod!$B$1:$BX$550,MATCH(H$2,Kraftvärmeprod!$B$1:$VX$1,0),FALSE)/1,0)-IFERROR(VLOOKUP($B118,'Slutlig allokering kvv'!$B$2:$BX$550,MATCH(H$2,'Slutlig allokering kvv'!$B$1:$BX$1,0),FALSE)/1,0))</f>
        <v/>
      </c>
      <c r="I118" s="31" t="str">
        <f>IF($D118="","",IFERROR(VLOOKUP($B118,Kraftvärmeprod!$B$1:$BX$550,MATCH(I$2,Kraftvärmeprod!$B$1:$VX$1,0),FALSE)/1,0)-IFERROR(VLOOKUP($B118,'Slutlig allokering kvv'!$B$2:$BX$550,MATCH(I$2,'Slutlig allokering kvv'!$B$1:$BX$1,0),FALSE)/1,0))</f>
        <v/>
      </c>
      <c r="J118" s="31" t="str">
        <f>IF($D118="","",IFERROR(VLOOKUP($B118,Kraftvärmeprod!$B$1:$BX$550,MATCH(J$2,Kraftvärmeprod!$B$1:$VX$1,0),FALSE)/1,0)-IFERROR(VLOOKUP($B118,'Slutlig allokering kvv'!$B$2:$BX$550,MATCH(J$2,'Slutlig allokering kvv'!$B$1:$BX$1,0),FALSE)/1,0))</f>
        <v/>
      </c>
      <c r="K118" s="31" t="str">
        <f>IF($D118="","",IFERROR(VLOOKUP($B118,Kraftvärmeprod!$B$1:$BX$550,MATCH(K$2,Kraftvärmeprod!$B$1:$VX$1,0),FALSE)/1,0)-IFERROR(VLOOKUP($B118,'Slutlig allokering kvv'!$B$2:$BX$550,MATCH(K$2,'Slutlig allokering kvv'!$B$1:$BX$1,0),FALSE)/1,0))</f>
        <v/>
      </c>
      <c r="L118" s="31" t="str">
        <f>IF($D118="","",IFERROR(VLOOKUP($B118,Kraftvärmeprod!$B$1:$BX$550,MATCH(L$2,Kraftvärmeprod!$B$1:$VX$1,0),FALSE)/1,0)-IFERROR(VLOOKUP($B118,'Slutlig allokering kvv'!$B$2:$BX$550,MATCH(L$2,'Slutlig allokering kvv'!$B$1:$BX$1,0),FALSE)/1,0))</f>
        <v/>
      </c>
      <c r="M118" s="31" t="str">
        <f>IF($D118="","",IFERROR(VLOOKUP($B118,Kraftvärmeprod!$B$1:$BX$550,MATCH(M$2,Kraftvärmeprod!$B$1:$VX$1,0),FALSE)/1,0)-IFERROR(VLOOKUP($B118,'Slutlig allokering kvv'!$B$2:$BX$550,MATCH(M$2,'Slutlig allokering kvv'!$B$1:$BX$1,0),FALSE)/1,0))</f>
        <v/>
      </c>
      <c r="N118" s="31" t="str">
        <f>IF($D118="","",IFERROR(VLOOKUP($B118,Kraftvärmeprod!$B$1:$BX$550,MATCH(N$2,Kraftvärmeprod!$B$1:$VX$1,0),FALSE)/1,0)-IFERROR(VLOOKUP($B118,'Slutlig allokering kvv'!$B$2:$BX$550,MATCH(N$2,'Slutlig allokering kvv'!$B$1:$BX$1,0),FALSE)/1,0))</f>
        <v/>
      </c>
      <c r="O118" s="31" t="str">
        <f>IF($D118="","",IFERROR(VLOOKUP($B118,Kraftvärmeprod!$B$1:$BX$550,MATCH(O$2,Kraftvärmeprod!$B$1:$VX$1,0),FALSE)/1,0)-IFERROR(VLOOKUP($B118,'Slutlig allokering kvv'!$B$2:$BX$550,MATCH(O$2,'Slutlig allokering kvv'!$B$1:$BX$1,0),FALSE)/1,0))</f>
        <v/>
      </c>
      <c r="P118" s="31" t="str">
        <f>IF($D118="","",IFERROR(VLOOKUP($B118,Kraftvärmeprod!$B$1:$BX$550,MATCH(P$2,Kraftvärmeprod!$B$1:$VX$1,0),FALSE)/1,0)-IFERROR(VLOOKUP($B118,'Slutlig allokering kvv'!$B$2:$BX$550,MATCH(P$2,'Slutlig allokering kvv'!$B$1:$BX$1,0),FALSE)/1,0))</f>
        <v/>
      </c>
      <c r="Q118" s="31" t="str">
        <f>IF($D118="","",IFERROR(VLOOKUP($B118,Kraftvärmeprod!$B$1:$BX$550,MATCH(Q$2,Kraftvärmeprod!$B$1:$VX$1,0),FALSE)/1,0)-IFERROR(VLOOKUP($B118,'Slutlig allokering kvv'!$B$2:$BX$550,MATCH(Q$2,'Slutlig allokering kvv'!$B$1:$BX$1,0),FALSE)/1,0))</f>
        <v/>
      </c>
      <c r="R118" s="31" t="str">
        <f>IF($D118="","",IFERROR(VLOOKUP($B118,Kraftvärmeprod!$B$1:$BX$550,MATCH(R$2,Kraftvärmeprod!$B$1:$VX$1,0),FALSE)/1,0)-IFERROR(VLOOKUP($B118,'Slutlig allokering kvv'!$B$2:$BX$550,MATCH(R$2,'Slutlig allokering kvv'!$B$1:$BX$1,0),FALSE)/1,0))</f>
        <v/>
      </c>
      <c r="S118" s="31" t="str">
        <f>IF($D118="","",IFERROR(VLOOKUP($B118,Kraftvärmeprod!$B$1:$BX$550,MATCH(S$2,Kraftvärmeprod!$B$1:$VX$1,0),FALSE)/1,0)-IFERROR(VLOOKUP($B118,'Slutlig allokering kvv'!$B$2:$BX$550,MATCH(S$2,'Slutlig allokering kvv'!$B$1:$BX$1,0),FALSE)/1,0))</f>
        <v/>
      </c>
      <c r="T118" s="31" t="str">
        <f>IF($D118="","",IFERROR(VLOOKUP($B118,Kraftvärmeprod!$B$1:$BX$550,MATCH(T$2,Kraftvärmeprod!$B$1:$VX$1,0),FALSE)/1,0)-IFERROR(VLOOKUP($B118,'Slutlig allokering kvv'!$B$2:$BX$550,MATCH(T$2,'Slutlig allokering kvv'!$B$1:$BX$1,0),FALSE)/1,0))</f>
        <v/>
      </c>
      <c r="U118" s="31" t="str">
        <f>IF($D118="","",IFERROR(VLOOKUP($B118,Kraftvärmeprod!$B$1:$BX$550,MATCH(U$2,Kraftvärmeprod!$B$1:$VX$1,0),FALSE)/1,0)-IFERROR(VLOOKUP($B118,'Slutlig allokering kvv'!$B$2:$BX$550,MATCH(U$2,'Slutlig allokering kvv'!$B$1:$BX$1,0),FALSE)/1,0))</f>
        <v/>
      </c>
      <c r="V118" s="31" t="str">
        <f>IF($D118="","",IFERROR(VLOOKUP($B118,Kraftvärmeprod!$B$1:$BX$550,MATCH(V$2,Kraftvärmeprod!$B$1:$VX$1,0),FALSE)/1,0)-IFERROR(VLOOKUP($B118,'Slutlig allokering kvv'!$B$2:$BX$550,MATCH(V$2,'Slutlig allokering kvv'!$B$1:$BX$1,0),FALSE)/1,0))</f>
        <v/>
      </c>
      <c r="W118" s="31" t="str">
        <f>IF($D118="","",IFERROR(VLOOKUP($B118,Kraftvärmeprod!$B$1:$BX$550,MATCH(W$2,Kraftvärmeprod!$B$1:$VX$1,0),FALSE)/1,0)-IFERROR(VLOOKUP($B118,'Slutlig allokering kvv'!$B$2:$BX$550,MATCH(W$2,'Slutlig allokering kvv'!$B$1:$BX$1,0),FALSE)/1,0))</f>
        <v/>
      </c>
      <c r="X118" s="31" t="str">
        <f>IF($D118="","",IFERROR(VLOOKUP($B118,Kraftvärmeprod!$B$1:$BX$550,MATCH(X$2,Kraftvärmeprod!$B$1:$VX$1,0),FALSE)/1,0)-IFERROR(VLOOKUP($B118,'Slutlig allokering kvv'!$B$2:$BX$550,MATCH(X$2,'Slutlig allokering kvv'!$B$1:$BX$1,0),FALSE)/1,0))</f>
        <v/>
      </c>
      <c r="Y118" s="31" t="str">
        <f>IF($D118="","",IFERROR(VLOOKUP($B118,Kraftvärmeprod!$B$1:$BX$550,MATCH(Y$2,Kraftvärmeprod!$B$1:$VX$1,0),FALSE)/1,0)-IFERROR(VLOOKUP($B118,'Slutlig allokering kvv'!$B$2:$BX$550,MATCH(Y$2,'Slutlig allokering kvv'!$B$1:$BX$1,0),FALSE)/1,0))</f>
        <v/>
      </c>
      <c r="Z118" s="31" t="str">
        <f>IF($D118="","",IFERROR(VLOOKUP($B118,Kraftvärmeprod!$B$1:$BX$550,MATCH(Z$2,Kraftvärmeprod!$B$1:$VX$1,0),FALSE)/1,0)-IFERROR(VLOOKUP($B118,'Slutlig allokering kvv'!$B$2:$BX$550,MATCH(Z$2,'Slutlig allokering kvv'!$B$1:$BX$1,0),FALSE)/1,0))</f>
        <v/>
      </c>
      <c r="AA118" s="31" t="str">
        <f>IF($D118="","",IFERROR(VLOOKUP($B118,Kraftvärmeprod!$B$1:$BX$550,MATCH(AA$2,Kraftvärmeprod!$B$1:$VX$1,0),FALSE)/1,0)-IFERROR(VLOOKUP($B118,'Slutlig allokering kvv'!$B$2:$BX$550,MATCH(AA$2,'Slutlig allokering kvv'!$B$1:$BX$1,0),FALSE)/1,0))</f>
        <v/>
      </c>
      <c r="AB118" s="31" t="str">
        <f>IF($D118="","",IFERROR(VLOOKUP($B118,Kraftvärmeprod!$B$1:$BX$550,MATCH(AB$2,Kraftvärmeprod!$B$1:$VX$1,0),FALSE)/1,0)-IFERROR(VLOOKUP($B118,'Slutlig allokering kvv'!$B$2:$BX$550,MATCH(AB$2,'Slutlig allokering kvv'!$B$1:$BX$1,0),FALSE)/1,0))</f>
        <v/>
      </c>
      <c r="AC118" s="31" t="str">
        <f>IF($D118="","",IFERROR(VLOOKUP($B118,Kraftvärmeprod!$B$1:$BX$550,MATCH(AC$2,Kraftvärmeprod!$B$1:$VX$1,0),FALSE)/1,0)-IFERROR(VLOOKUP($B118,'Slutlig allokering kvv'!$B$2:$BX$550,MATCH(AC$2,'Slutlig allokering kvv'!$B$1:$BX$1,0),FALSE)/1,0))</f>
        <v/>
      </c>
      <c r="AD118" s="31" t="str">
        <f>IF($D118="","",IFERROR(VLOOKUP($B118,Kraftvärmeprod!$B$1:$BX$550,MATCH(AD$2,Kraftvärmeprod!$B$1:$VX$1,0),FALSE)/1,0)-IFERROR(VLOOKUP($B118,'Slutlig allokering kvv'!$B$2:$BX$550,MATCH(AD$2,'Slutlig allokering kvv'!$B$1:$BX$1,0),FALSE)/1,0))</f>
        <v/>
      </c>
      <c r="AE118" s="31" t="str">
        <f>IF($D118="","",IFERROR(VLOOKUP($B118,Miljö!$B$1:$E$550,MATCH("Hjälpel kraftvärme (GWh)",Miljö!$B$1:$E$1,0),FALSE)/1,0)-IFERROR(VLOOKUP($B118,'Slutlig allokering kvv'!$B$2:$BX$549,MATCH(AE$2,'Slutlig allokering kvv'!$B$1:$BX$1,0),FALSE)/1,0))</f>
        <v/>
      </c>
      <c r="AI118" s="39">
        <f t="shared" si="4"/>
        <v>0</v>
      </c>
      <c r="AK118" s="31">
        <f>IFERROR(VLOOKUP($B118,'Slutlig allokering kvv'!$B$2:$AX$549,MATCH("Summa slutlig allokerad tillförd energi (utan hjälpel och rökgaskondensering):",'Slutlig allokering kvv'!$B$1:$AX$1,0),FALSE)/1,"")</f>
        <v>0</v>
      </c>
      <c r="AM118" s="31" t="str">
        <f>IFERROR(1-VLOOKUP($B118,'Slutlig allokering kvv'!$B$2:$AX$549,MATCH("Andel av bränsle i kvv som allokerats till värme, exklusive rökgaskondensering och hjälpel",'Slutlig allokering kvv'!$B$1:$AX$1,0),FALSE),"")</f>
        <v/>
      </c>
      <c r="AO118" s="31" t="str">
        <f t="shared" si="5"/>
        <v/>
      </c>
      <c r="AP118" s="31" t="str">
        <f t="shared" si="6"/>
        <v/>
      </c>
      <c r="AR118" s="32" t="str">
        <f t="shared" si="7"/>
        <v/>
      </c>
    </row>
    <row r="119" spans="1:44" s="31" customFormat="1" x14ac:dyDescent="0.45">
      <c r="A119" s="31" t="s">
        <v>515</v>
      </c>
      <c r="B119" s="31" t="s">
        <v>516</v>
      </c>
      <c r="C119" s="31">
        <f>IFERROR(VLOOKUP($B119,Kraftvärmeprod!$B$1:$AH$479,MATCH(C$2,Kraftvärmeprod!$B$1:$AG$1,0),FALSE)/1,"")</f>
        <v>626.04</v>
      </c>
      <c r="D119" s="31">
        <f>IFERROR(VLOOKUP($B119,Kraftvärmeprod!$B$1:$AH$479,MATCH(D$2,Kraftvärmeprod!$B$1:$AG$1,0),FALSE)/1,"")</f>
        <v>235.59899999999999</v>
      </c>
      <c r="F119" s="31">
        <f>IF($D119="","",IFERROR(VLOOKUP($B119,Kraftvärmeprod!$B$1:$BX$550,MATCH(F$2,Kraftvärmeprod!$B$1:$VX$1,0),FALSE)/1,0)-IFERROR(VLOOKUP($B119,'Slutlig allokering kvv'!$B$2:$BX$550,MATCH(F$2,'Slutlig allokering kvv'!$B$1:$BX$1,0),FALSE)/1,0))</f>
        <v>0</v>
      </c>
      <c r="G119" s="31">
        <f>IF($D119="","",IFERROR(VLOOKUP($B119,Kraftvärmeprod!$B$1:$BX$550,MATCH(G$2,Kraftvärmeprod!$B$1:$VX$1,0),FALSE)/1,0)-IFERROR(VLOOKUP($B119,'Slutlig allokering kvv'!$B$2:$BX$550,MATCH(G$2,'Slutlig allokering kvv'!$B$1:$BX$1,0),FALSE)/1,0))</f>
        <v>1.1583300000000001</v>
      </c>
      <c r="H119" s="31">
        <f>IF($D119="","",IFERROR(VLOOKUP($B119,Kraftvärmeprod!$B$1:$BX$550,MATCH(H$2,Kraftvärmeprod!$B$1:$VX$1,0),FALSE)/1,0)-IFERROR(VLOOKUP($B119,'Slutlig allokering kvv'!$B$2:$BX$550,MATCH(H$2,'Slutlig allokering kvv'!$B$1:$BX$1,0),FALSE)/1,0))</f>
        <v>0</v>
      </c>
      <c r="I119" s="31">
        <f>IF($D119="","",IFERROR(VLOOKUP($B119,Kraftvärmeprod!$B$1:$BX$550,MATCH(I$2,Kraftvärmeprod!$B$1:$VX$1,0),FALSE)/1,0)-IFERROR(VLOOKUP($B119,'Slutlig allokering kvv'!$B$2:$BX$550,MATCH(I$2,'Slutlig allokering kvv'!$B$1:$BX$1,0),FALSE)/1,0))</f>
        <v>0</v>
      </c>
      <c r="J119" s="31">
        <f>IF($D119="","",IFERROR(VLOOKUP($B119,Kraftvärmeprod!$B$1:$BX$550,MATCH(J$2,Kraftvärmeprod!$B$1:$VX$1,0),FALSE)/1,0)-IFERROR(VLOOKUP($B119,'Slutlig allokering kvv'!$B$2:$BX$550,MATCH(J$2,'Slutlig allokering kvv'!$B$1:$BX$1,0),FALSE)/1,0))</f>
        <v>0</v>
      </c>
      <c r="K119" s="31">
        <f>IF($D119="","",IFERROR(VLOOKUP($B119,Kraftvärmeprod!$B$1:$BX$550,MATCH(K$2,Kraftvärmeprod!$B$1:$VX$1,0),FALSE)/1,0)-IFERROR(VLOOKUP($B119,'Slutlig allokering kvv'!$B$2:$BX$550,MATCH(K$2,'Slutlig allokering kvv'!$B$1:$BX$1,0),FALSE)/1,0))</f>
        <v>0</v>
      </c>
      <c r="L119" s="31">
        <f>IF($D119="","",IFERROR(VLOOKUP($B119,Kraftvärmeprod!$B$1:$BX$550,MATCH(L$2,Kraftvärmeprod!$B$1:$VX$1,0),FALSE)/1,0)-IFERROR(VLOOKUP($B119,'Slutlig allokering kvv'!$B$2:$BX$550,MATCH(L$2,'Slutlig allokering kvv'!$B$1:$BX$1,0),FALSE)/1,0))</f>
        <v>126.48299999999998</v>
      </c>
      <c r="M119" s="31">
        <f>IF($D119="","",IFERROR(VLOOKUP($B119,Kraftvärmeprod!$B$1:$BX$550,MATCH(M$2,Kraftvärmeprod!$B$1:$VX$1,0),FALSE)/1,0)-IFERROR(VLOOKUP($B119,'Slutlig allokering kvv'!$B$2:$BX$550,MATCH(M$2,'Slutlig allokering kvv'!$B$1:$BX$1,0),FALSE)/1,0))</f>
        <v>27.534700000000001</v>
      </c>
      <c r="N119" s="31">
        <f>IF($D119="","",IFERROR(VLOOKUP($B119,Kraftvärmeprod!$B$1:$BX$550,MATCH(N$2,Kraftvärmeprod!$B$1:$VX$1,0),FALSE)/1,0)-IFERROR(VLOOKUP($B119,'Slutlig allokering kvv'!$B$2:$BX$550,MATCH(N$2,'Slutlig allokering kvv'!$B$1:$BX$1,0),FALSE)/1,0))</f>
        <v>14.7552</v>
      </c>
      <c r="O119" s="31">
        <f>IF($D119="","",IFERROR(VLOOKUP($B119,Kraftvärmeprod!$B$1:$BX$550,MATCH(O$2,Kraftvärmeprod!$B$1:$VX$1,0),FALSE)/1,0)-IFERROR(VLOOKUP($B119,'Slutlig allokering kvv'!$B$2:$BX$550,MATCH(O$2,'Slutlig allokering kvv'!$B$1:$BX$1,0),FALSE)/1,0))</f>
        <v>4.6790699999999994</v>
      </c>
      <c r="P119" s="31">
        <f>IF($D119="","",IFERROR(VLOOKUP($B119,Kraftvärmeprod!$B$1:$BX$550,MATCH(P$2,Kraftvärmeprod!$B$1:$VX$1,0),FALSE)/1,0)-IFERROR(VLOOKUP($B119,'Slutlig allokering kvv'!$B$2:$BX$550,MATCH(P$2,'Slutlig allokering kvv'!$B$1:$BX$1,0),FALSE)/1,0))</f>
        <v>0</v>
      </c>
      <c r="Q119" s="31">
        <f>IF($D119="","",IFERROR(VLOOKUP($B119,Kraftvärmeprod!$B$1:$BX$550,MATCH(Q$2,Kraftvärmeprod!$B$1:$VX$1,0),FALSE)/1,0)-IFERROR(VLOOKUP($B119,'Slutlig allokering kvv'!$B$2:$BX$550,MATCH(Q$2,'Slutlig allokering kvv'!$B$1:$BX$1,0),FALSE)/1,0))</f>
        <v>46.1173</v>
      </c>
      <c r="R119" s="31">
        <f>IF($D119="","",IFERROR(VLOOKUP($B119,Kraftvärmeprod!$B$1:$BX$550,MATCH(R$2,Kraftvärmeprod!$B$1:$VX$1,0),FALSE)/1,0)-IFERROR(VLOOKUP($B119,'Slutlig allokering kvv'!$B$2:$BX$550,MATCH(R$2,'Slutlig allokering kvv'!$B$1:$BX$1,0),FALSE)/1,0))</f>
        <v>0</v>
      </c>
      <c r="S119" s="31">
        <f>IF($D119="","",IFERROR(VLOOKUP($B119,Kraftvärmeprod!$B$1:$BX$550,MATCH(S$2,Kraftvärmeprod!$B$1:$VX$1,0),FALSE)/1,0)-IFERROR(VLOOKUP($B119,'Slutlig allokering kvv'!$B$2:$BX$550,MATCH(S$2,'Slutlig allokering kvv'!$B$1:$BX$1,0),FALSE)/1,0))</f>
        <v>0</v>
      </c>
      <c r="T119" s="31">
        <f>IF($D119="","",IFERROR(VLOOKUP($B119,Kraftvärmeprod!$B$1:$BX$550,MATCH(T$2,Kraftvärmeprod!$B$1:$VX$1,0),FALSE)/1,0)-IFERROR(VLOOKUP($B119,'Slutlig allokering kvv'!$B$2:$BX$550,MATCH(T$2,'Slutlig allokering kvv'!$B$1:$BX$1,0),FALSE)/1,0))</f>
        <v>0</v>
      </c>
      <c r="U119" s="31">
        <f>IF($D119="","",IFERROR(VLOOKUP($B119,Kraftvärmeprod!$B$1:$BX$550,MATCH(U$2,Kraftvärmeprod!$B$1:$VX$1,0),FALSE)/1,0)-IFERROR(VLOOKUP($B119,'Slutlig allokering kvv'!$B$2:$BX$550,MATCH(U$2,'Slutlig allokering kvv'!$B$1:$BX$1,0),FALSE)/1,0))</f>
        <v>0</v>
      </c>
      <c r="V119" s="31">
        <f>IF($D119="","",IFERROR(VLOOKUP($B119,Kraftvärmeprod!$B$1:$BX$550,MATCH(V$2,Kraftvärmeprod!$B$1:$VX$1,0),FALSE)/1,0)-IFERROR(VLOOKUP($B119,'Slutlig allokering kvv'!$B$2:$BX$550,MATCH(V$2,'Slutlig allokering kvv'!$B$1:$BX$1,0),FALSE)/1,0))</f>
        <v>4.2631499999999996</v>
      </c>
      <c r="W119" s="31">
        <f>IF($D119="","",IFERROR(VLOOKUP($B119,Kraftvärmeprod!$B$1:$BX$550,MATCH(W$2,Kraftvärmeprod!$B$1:$VX$1,0),FALSE)/1,0)-IFERROR(VLOOKUP($B119,'Slutlig allokering kvv'!$B$2:$BX$550,MATCH(W$2,'Slutlig allokering kvv'!$B$1:$BX$1,0),FALSE)/1,0))</f>
        <v>0</v>
      </c>
      <c r="X119" s="31">
        <f>IF($D119="","",IFERROR(VLOOKUP($B119,Kraftvärmeprod!$B$1:$BX$550,MATCH(X$2,Kraftvärmeprod!$B$1:$VX$1,0),FALSE)/1,0)-IFERROR(VLOOKUP($B119,'Slutlig allokering kvv'!$B$2:$BX$550,MATCH(X$2,'Slutlig allokering kvv'!$B$1:$BX$1,0),FALSE)/1,0))</f>
        <v>0</v>
      </c>
      <c r="Y119" s="31">
        <f>IF($D119="","",IFERROR(VLOOKUP($B119,Kraftvärmeprod!$B$1:$BX$550,MATCH(Y$2,Kraftvärmeprod!$B$1:$VX$1,0),FALSE)/1,0)-IFERROR(VLOOKUP($B119,'Slutlig allokering kvv'!$B$2:$BX$550,MATCH(Y$2,'Slutlig allokering kvv'!$B$1:$BX$1,0),FALSE)/1,0))</f>
        <v>0</v>
      </c>
      <c r="Z119" s="31">
        <f>IF($D119="","",IFERROR(VLOOKUP($B119,Kraftvärmeprod!$B$1:$BX$550,MATCH(Z$2,Kraftvärmeprod!$B$1:$VX$1,0),FALSE)/1,0)-IFERROR(VLOOKUP($B119,'Slutlig allokering kvv'!$B$2:$BX$550,MATCH(Z$2,'Slutlig allokering kvv'!$B$1:$BX$1,0),FALSE)/1,0))</f>
        <v>0</v>
      </c>
      <c r="AA119" s="31">
        <f>IF($D119="","",IFERROR(VLOOKUP($B119,Kraftvärmeprod!$B$1:$BX$550,MATCH(AA$2,Kraftvärmeprod!$B$1:$VX$1,0),FALSE)/1,0)-IFERROR(VLOOKUP($B119,'Slutlig allokering kvv'!$B$2:$BX$550,MATCH(AA$2,'Slutlig allokering kvv'!$B$1:$BX$1,0),FALSE)/1,0))</f>
        <v>293.73099999999999</v>
      </c>
      <c r="AB119" s="31">
        <f>IF($D119="","",IFERROR(VLOOKUP($B119,Kraftvärmeprod!$B$1:$BX$550,MATCH(AB$2,Kraftvärmeprod!$B$1:$VX$1,0),FALSE)/1,0)-IFERROR(VLOOKUP($B119,'Slutlig allokering kvv'!$B$2:$BX$550,MATCH(AB$2,'Slutlig allokering kvv'!$B$1:$BX$1,0),FALSE)/1,0))</f>
        <v>0</v>
      </c>
      <c r="AC119" s="31">
        <f>IF($D119="","",IFERROR(VLOOKUP($B119,Kraftvärmeprod!$B$1:$BX$550,MATCH(AC$2,Kraftvärmeprod!$B$1:$VX$1,0),FALSE)/1,0)-IFERROR(VLOOKUP($B119,'Slutlig allokering kvv'!$B$2:$BX$550,MATCH(AC$2,'Slutlig allokering kvv'!$B$1:$BX$1,0),FALSE)/1,0))</f>
        <v>0</v>
      </c>
      <c r="AD119" s="31">
        <f>IF($D119="","",IFERROR(VLOOKUP($B119,Kraftvärmeprod!$B$1:$BX$550,MATCH(AD$2,Kraftvärmeprod!$B$1:$VX$1,0),FALSE)/1,0)-IFERROR(VLOOKUP($B119,'Slutlig allokering kvv'!$B$2:$BX$550,MATCH(AD$2,'Slutlig allokering kvv'!$B$1:$BX$1,0),FALSE)/1,0))</f>
        <v>0</v>
      </c>
      <c r="AE119" s="31">
        <f>IF($D119="","",IFERROR(VLOOKUP($B119,Miljö!$B$1:$E$550,MATCH("Hjälpel kraftvärme (GWh)",Miljö!$B$1:$E$1,0),FALSE)/1,0)-IFERROR(VLOOKUP($B119,'Slutlig allokering kvv'!$B$2:$BX$549,MATCH(AE$2,'Slutlig allokering kvv'!$B$1:$BX$1,0),FALSE)/1,0))</f>
        <v>16.669599999999999</v>
      </c>
      <c r="AI119" s="39">
        <f t="shared" si="4"/>
        <v>518.72174999999993</v>
      </c>
      <c r="AK119" s="31">
        <f>IFERROR(VLOOKUP($B119,'Slutlig allokering kvv'!$B$2:$AX$549,MATCH("Summa slutlig allokerad tillförd energi (utan hjälpel och rökgaskondensering):",'Slutlig allokering kvv'!$B$1:$AX$1,0),FALSE)/1,"")</f>
        <v>473.65824999999995</v>
      </c>
      <c r="AM119" s="31">
        <f>IFERROR(1-VLOOKUP($B119,'Slutlig allokering kvv'!$B$2:$AX$549,MATCH("Andel av bränsle i kvv som allokerats till värme, exklusive rökgaskondensering och hjälpel",'Slutlig allokering kvv'!$B$1:$AX$1,0),FALSE),"")</f>
        <v>0.52270476027328239</v>
      </c>
      <c r="AO119" s="31">
        <f t="shared" si="5"/>
        <v>0.52270476027328239</v>
      </c>
      <c r="AP119" s="31">
        <f t="shared" si="6"/>
        <v>0</v>
      </c>
      <c r="AR119" s="32">
        <f t="shared" si="7"/>
        <v>0.44005006804835389</v>
      </c>
    </row>
    <row r="120" spans="1:44" s="31" customFormat="1" x14ac:dyDescent="0.45">
      <c r="A120" s="31" t="s">
        <v>515</v>
      </c>
      <c r="B120" s="31" t="s">
        <v>514</v>
      </c>
      <c r="C120" s="31" t="str">
        <f>IFERROR(VLOOKUP($B120,Kraftvärmeprod!$B$1:$AH$479,MATCH(C$2,Kraftvärmeprod!$B$1:$AG$1,0),FALSE)/1,"")</f>
        <v/>
      </c>
      <c r="D120" s="31" t="str">
        <f>IFERROR(VLOOKUP($B120,Kraftvärmeprod!$B$1:$AH$479,MATCH(D$2,Kraftvärmeprod!$B$1:$AG$1,0),FALSE)/1,"")</f>
        <v/>
      </c>
      <c r="F120" s="31" t="str">
        <f>IF($D120="","",IFERROR(VLOOKUP($B120,Kraftvärmeprod!$B$1:$BX$550,MATCH(F$2,Kraftvärmeprod!$B$1:$VX$1,0),FALSE)/1,0)-IFERROR(VLOOKUP($B120,'Slutlig allokering kvv'!$B$2:$BX$550,MATCH(F$2,'Slutlig allokering kvv'!$B$1:$BX$1,0),FALSE)/1,0))</f>
        <v/>
      </c>
      <c r="G120" s="31" t="str">
        <f>IF($D120="","",IFERROR(VLOOKUP($B120,Kraftvärmeprod!$B$1:$BX$550,MATCH(G$2,Kraftvärmeprod!$B$1:$VX$1,0),FALSE)/1,0)-IFERROR(VLOOKUP($B120,'Slutlig allokering kvv'!$B$2:$BX$550,MATCH(G$2,'Slutlig allokering kvv'!$B$1:$BX$1,0),FALSE)/1,0))</f>
        <v/>
      </c>
      <c r="H120" s="31" t="str">
        <f>IF($D120="","",IFERROR(VLOOKUP($B120,Kraftvärmeprod!$B$1:$BX$550,MATCH(H$2,Kraftvärmeprod!$B$1:$VX$1,0),FALSE)/1,0)-IFERROR(VLOOKUP($B120,'Slutlig allokering kvv'!$B$2:$BX$550,MATCH(H$2,'Slutlig allokering kvv'!$B$1:$BX$1,0),FALSE)/1,0))</f>
        <v/>
      </c>
      <c r="I120" s="31" t="str">
        <f>IF($D120="","",IFERROR(VLOOKUP($B120,Kraftvärmeprod!$B$1:$BX$550,MATCH(I$2,Kraftvärmeprod!$B$1:$VX$1,0),FALSE)/1,0)-IFERROR(VLOOKUP($B120,'Slutlig allokering kvv'!$B$2:$BX$550,MATCH(I$2,'Slutlig allokering kvv'!$B$1:$BX$1,0),FALSE)/1,0))</f>
        <v/>
      </c>
      <c r="J120" s="31" t="str">
        <f>IF($D120="","",IFERROR(VLOOKUP($B120,Kraftvärmeprod!$B$1:$BX$550,MATCH(J$2,Kraftvärmeprod!$B$1:$VX$1,0),FALSE)/1,0)-IFERROR(VLOOKUP($B120,'Slutlig allokering kvv'!$B$2:$BX$550,MATCH(J$2,'Slutlig allokering kvv'!$B$1:$BX$1,0),FALSE)/1,0))</f>
        <v/>
      </c>
      <c r="K120" s="31" t="str">
        <f>IF($D120="","",IFERROR(VLOOKUP($B120,Kraftvärmeprod!$B$1:$BX$550,MATCH(K$2,Kraftvärmeprod!$B$1:$VX$1,0),FALSE)/1,0)-IFERROR(VLOOKUP($B120,'Slutlig allokering kvv'!$B$2:$BX$550,MATCH(K$2,'Slutlig allokering kvv'!$B$1:$BX$1,0),FALSE)/1,0))</f>
        <v/>
      </c>
      <c r="L120" s="31" t="str">
        <f>IF($D120="","",IFERROR(VLOOKUP($B120,Kraftvärmeprod!$B$1:$BX$550,MATCH(L$2,Kraftvärmeprod!$B$1:$VX$1,0),FALSE)/1,0)-IFERROR(VLOOKUP($B120,'Slutlig allokering kvv'!$B$2:$BX$550,MATCH(L$2,'Slutlig allokering kvv'!$B$1:$BX$1,0),FALSE)/1,0))</f>
        <v/>
      </c>
      <c r="M120" s="31" t="str">
        <f>IF($D120="","",IFERROR(VLOOKUP($B120,Kraftvärmeprod!$B$1:$BX$550,MATCH(M$2,Kraftvärmeprod!$B$1:$VX$1,0),FALSE)/1,0)-IFERROR(VLOOKUP($B120,'Slutlig allokering kvv'!$B$2:$BX$550,MATCH(M$2,'Slutlig allokering kvv'!$B$1:$BX$1,0),FALSE)/1,0))</f>
        <v/>
      </c>
      <c r="N120" s="31" t="str">
        <f>IF($D120="","",IFERROR(VLOOKUP($B120,Kraftvärmeprod!$B$1:$BX$550,MATCH(N$2,Kraftvärmeprod!$B$1:$VX$1,0),FALSE)/1,0)-IFERROR(VLOOKUP($B120,'Slutlig allokering kvv'!$B$2:$BX$550,MATCH(N$2,'Slutlig allokering kvv'!$B$1:$BX$1,0),FALSE)/1,0))</f>
        <v/>
      </c>
      <c r="O120" s="31" t="str">
        <f>IF($D120="","",IFERROR(VLOOKUP($B120,Kraftvärmeprod!$B$1:$BX$550,MATCH(O$2,Kraftvärmeprod!$B$1:$VX$1,0),FALSE)/1,0)-IFERROR(VLOOKUP($B120,'Slutlig allokering kvv'!$B$2:$BX$550,MATCH(O$2,'Slutlig allokering kvv'!$B$1:$BX$1,0),FALSE)/1,0))</f>
        <v/>
      </c>
      <c r="P120" s="31" t="str">
        <f>IF($D120="","",IFERROR(VLOOKUP($B120,Kraftvärmeprod!$B$1:$BX$550,MATCH(P$2,Kraftvärmeprod!$B$1:$VX$1,0),FALSE)/1,0)-IFERROR(VLOOKUP($B120,'Slutlig allokering kvv'!$B$2:$BX$550,MATCH(P$2,'Slutlig allokering kvv'!$B$1:$BX$1,0),FALSE)/1,0))</f>
        <v/>
      </c>
      <c r="Q120" s="31" t="str">
        <f>IF($D120="","",IFERROR(VLOOKUP($B120,Kraftvärmeprod!$B$1:$BX$550,MATCH(Q$2,Kraftvärmeprod!$B$1:$VX$1,0),FALSE)/1,0)-IFERROR(VLOOKUP($B120,'Slutlig allokering kvv'!$B$2:$BX$550,MATCH(Q$2,'Slutlig allokering kvv'!$B$1:$BX$1,0),FALSE)/1,0))</f>
        <v/>
      </c>
      <c r="R120" s="31" t="str">
        <f>IF($D120="","",IFERROR(VLOOKUP($B120,Kraftvärmeprod!$B$1:$BX$550,MATCH(R$2,Kraftvärmeprod!$B$1:$VX$1,0),FALSE)/1,0)-IFERROR(VLOOKUP($B120,'Slutlig allokering kvv'!$B$2:$BX$550,MATCH(R$2,'Slutlig allokering kvv'!$B$1:$BX$1,0),FALSE)/1,0))</f>
        <v/>
      </c>
      <c r="S120" s="31" t="str">
        <f>IF($D120="","",IFERROR(VLOOKUP($B120,Kraftvärmeprod!$B$1:$BX$550,MATCH(S$2,Kraftvärmeprod!$B$1:$VX$1,0),FALSE)/1,0)-IFERROR(VLOOKUP($B120,'Slutlig allokering kvv'!$B$2:$BX$550,MATCH(S$2,'Slutlig allokering kvv'!$B$1:$BX$1,0),FALSE)/1,0))</f>
        <v/>
      </c>
      <c r="T120" s="31" t="str">
        <f>IF($D120="","",IFERROR(VLOOKUP($B120,Kraftvärmeprod!$B$1:$BX$550,MATCH(T$2,Kraftvärmeprod!$B$1:$VX$1,0),FALSE)/1,0)-IFERROR(VLOOKUP($B120,'Slutlig allokering kvv'!$B$2:$BX$550,MATCH(T$2,'Slutlig allokering kvv'!$B$1:$BX$1,0),FALSE)/1,0))</f>
        <v/>
      </c>
      <c r="U120" s="31" t="str">
        <f>IF($D120="","",IFERROR(VLOOKUP($B120,Kraftvärmeprod!$B$1:$BX$550,MATCH(U$2,Kraftvärmeprod!$B$1:$VX$1,0),FALSE)/1,0)-IFERROR(VLOOKUP($B120,'Slutlig allokering kvv'!$B$2:$BX$550,MATCH(U$2,'Slutlig allokering kvv'!$B$1:$BX$1,0),FALSE)/1,0))</f>
        <v/>
      </c>
      <c r="V120" s="31" t="str">
        <f>IF($D120="","",IFERROR(VLOOKUP($B120,Kraftvärmeprod!$B$1:$BX$550,MATCH(V$2,Kraftvärmeprod!$B$1:$VX$1,0),FALSE)/1,0)-IFERROR(VLOOKUP($B120,'Slutlig allokering kvv'!$B$2:$BX$550,MATCH(V$2,'Slutlig allokering kvv'!$B$1:$BX$1,0),FALSE)/1,0))</f>
        <v/>
      </c>
      <c r="W120" s="31" t="str">
        <f>IF($D120="","",IFERROR(VLOOKUP($B120,Kraftvärmeprod!$B$1:$BX$550,MATCH(W$2,Kraftvärmeprod!$B$1:$VX$1,0),FALSE)/1,0)-IFERROR(VLOOKUP($B120,'Slutlig allokering kvv'!$B$2:$BX$550,MATCH(W$2,'Slutlig allokering kvv'!$B$1:$BX$1,0),FALSE)/1,0))</f>
        <v/>
      </c>
      <c r="X120" s="31" t="str">
        <f>IF($D120="","",IFERROR(VLOOKUP($B120,Kraftvärmeprod!$B$1:$BX$550,MATCH(X$2,Kraftvärmeprod!$B$1:$VX$1,0),FALSE)/1,0)-IFERROR(VLOOKUP($B120,'Slutlig allokering kvv'!$B$2:$BX$550,MATCH(X$2,'Slutlig allokering kvv'!$B$1:$BX$1,0),FALSE)/1,0))</f>
        <v/>
      </c>
      <c r="Y120" s="31" t="str">
        <f>IF($D120="","",IFERROR(VLOOKUP($B120,Kraftvärmeprod!$B$1:$BX$550,MATCH(Y$2,Kraftvärmeprod!$B$1:$VX$1,0),FALSE)/1,0)-IFERROR(VLOOKUP($B120,'Slutlig allokering kvv'!$B$2:$BX$550,MATCH(Y$2,'Slutlig allokering kvv'!$B$1:$BX$1,0),FALSE)/1,0))</f>
        <v/>
      </c>
      <c r="Z120" s="31" t="str">
        <f>IF($D120="","",IFERROR(VLOOKUP($B120,Kraftvärmeprod!$B$1:$BX$550,MATCH(Z$2,Kraftvärmeprod!$B$1:$VX$1,0),FALSE)/1,0)-IFERROR(VLOOKUP($B120,'Slutlig allokering kvv'!$B$2:$BX$550,MATCH(Z$2,'Slutlig allokering kvv'!$B$1:$BX$1,0),FALSE)/1,0))</f>
        <v/>
      </c>
      <c r="AA120" s="31" t="str">
        <f>IF($D120="","",IFERROR(VLOOKUP($B120,Kraftvärmeprod!$B$1:$BX$550,MATCH(AA$2,Kraftvärmeprod!$B$1:$VX$1,0),FALSE)/1,0)-IFERROR(VLOOKUP($B120,'Slutlig allokering kvv'!$B$2:$BX$550,MATCH(AA$2,'Slutlig allokering kvv'!$B$1:$BX$1,0),FALSE)/1,0))</f>
        <v/>
      </c>
      <c r="AB120" s="31" t="str">
        <f>IF($D120="","",IFERROR(VLOOKUP($B120,Kraftvärmeprod!$B$1:$BX$550,MATCH(AB$2,Kraftvärmeprod!$B$1:$VX$1,0),FALSE)/1,0)-IFERROR(VLOOKUP($B120,'Slutlig allokering kvv'!$B$2:$BX$550,MATCH(AB$2,'Slutlig allokering kvv'!$B$1:$BX$1,0),FALSE)/1,0))</f>
        <v/>
      </c>
      <c r="AC120" s="31" t="str">
        <f>IF($D120="","",IFERROR(VLOOKUP($B120,Kraftvärmeprod!$B$1:$BX$550,MATCH(AC$2,Kraftvärmeprod!$B$1:$VX$1,0),FALSE)/1,0)-IFERROR(VLOOKUP($B120,'Slutlig allokering kvv'!$B$2:$BX$550,MATCH(AC$2,'Slutlig allokering kvv'!$B$1:$BX$1,0),FALSE)/1,0))</f>
        <v/>
      </c>
      <c r="AD120" s="31" t="str">
        <f>IF($D120="","",IFERROR(VLOOKUP($B120,Kraftvärmeprod!$B$1:$BX$550,MATCH(AD$2,Kraftvärmeprod!$B$1:$VX$1,0),FALSE)/1,0)-IFERROR(VLOOKUP($B120,'Slutlig allokering kvv'!$B$2:$BX$550,MATCH(AD$2,'Slutlig allokering kvv'!$B$1:$BX$1,0),FALSE)/1,0))</f>
        <v/>
      </c>
      <c r="AE120" s="31" t="str">
        <f>IF($D120="","",IFERROR(VLOOKUP($B120,Miljö!$B$1:$E$550,MATCH("Hjälpel kraftvärme (GWh)",Miljö!$B$1:$E$1,0),FALSE)/1,0)-IFERROR(VLOOKUP($B120,'Slutlig allokering kvv'!$B$2:$BX$549,MATCH(AE$2,'Slutlig allokering kvv'!$B$1:$BX$1,0),FALSE)/1,0))</f>
        <v/>
      </c>
      <c r="AI120" s="39">
        <f t="shared" si="4"/>
        <v>0</v>
      </c>
      <c r="AK120" s="31">
        <f>IFERROR(VLOOKUP($B120,'Slutlig allokering kvv'!$B$2:$AX$549,MATCH("Summa slutlig allokerad tillförd energi (utan hjälpel och rökgaskondensering):",'Slutlig allokering kvv'!$B$1:$AX$1,0),FALSE)/1,"")</f>
        <v>0</v>
      </c>
      <c r="AM120" s="31" t="str">
        <f>IFERROR(1-VLOOKUP($B120,'Slutlig allokering kvv'!$B$2:$AX$549,MATCH("Andel av bränsle i kvv som allokerats till värme, exklusive rökgaskondensering och hjälpel",'Slutlig allokering kvv'!$B$1:$AX$1,0),FALSE),"")</f>
        <v/>
      </c>
      <c r="AO120" s="31" t="str">
        <f t="shared" si="5"/>
        <v/>
      </c>
      <c r="AP120" s="31" t="str">
        <f t="shared" si="6"/>
        <v/>
      </c>
      <c r="AR120" s="32" t="str">
        <f t="shared" si="7"/>
        <v/>
      </c>
    </row>
    <row r="121" spans="1:44" s="31" customFormat="1" x14ac:dyDescent="0.45">
      <c r="A121" s="31" t="s">
        <v>513</v>
      </c>
      <c r="B121" s="31" t="s">
        <v>512</v>
      </c>
      <c r="C121" s="31">
        <f>IFERROR(VLOOKUP($B121,Kraftvärmeprod!$B$1:$AH$479,MATCH(C$2,Kraftvärmeprod!$B$1:$AG$1,0),FALSE)/1,"")</f>
        <v>271.7</v>
      </c>
      <c r="D121" s="31">
        <f>IFERROR(VLOOKUP($B121,Kraftvärmeprod!$B$1:$AH$479,MATCH(D$2,Kraftvärmeprod!$B$1:$AG$1,0),FALSE)/1,"")</f>
        <v>89.8</v>
      </c>
      <c r="F121" s="31">
        <f>IF($D121="","",IFERROR(VLOOKUP($B121,Kraftvärmeprod!$B$1:$BX$550,MATCH(F$2,Kraftvärmeprod!$B$1:$VX$1,0),FALSE)/1,0)-IFERROR(VLOOKUP($B121,'Slutlig allokering kvv'!$B$2:$BX$550,MATCH(F$2,'Slutlig allokering kvv'!$B$1:$BX$1,0),FALSE)/1,0))</f>
        <v>0</v>
      </c>
      <c r="G121" s="31">
        <f>IF($D121="","",IFERROR(VLOOKUP($B121,Kraftvärmeprod!$B$1:$BX$550,MATCH(G$2,Kraftvärmeprod!$B$1:$VX$1,0),FALSE)/1,0)-IFERROR(VLOOKUP($B121,'Slutlig allokering kvv'!$B$2:$BX$550,MATCH(G$2,'Slutlig allokering kvv'!$B$1:$BX$1,0),FALSE)/1,0))</f>
        <v>0</v>
      </c>
      <c r="H121" s="31">
        <f>IF($D121="","",IFERROR(VLOOKUP($B121,Kraftvärmeprod!$B$1:$BX$550,MATCH(H$2,Kraftvärmeprod!$B$1:$VX$1,0),FALSE)/1,0)-IFERROR(VLOOKUP($B121,'Slutlig allokering kvv'!$B$2:$BX$550,MATCH(H$2,'Slutlig allokering kvv'!$B$1:$BX$1,0),FALSE)/1,0))</f>
        <v>0</v>
      </c>
      <c r="I121" s="31">
        <f>IF($D121="","",IFERROR(VLOOKUP($B121,Kraftvärmeprod!$B$1:$BX$550,MATCH(I$2,Kraftvärmeprod!$B$1:$VX$1,0),FALSE)/1,0)-IFERROR(VLOOKUP($B121,'Slutlig allokering kvv'!$B$2:$BX$550,MATCH(I$2,'Slutlig allokering kvv'!$B$1:$BX$1,0),FALSE)/1,0))</f>
        <v>0</v>
      </c>
      <c r="J121" s="31">
        <f>IF($D121="","",IFERROR(VLOOKUP($B121,Kraftvärmeprod!$B$1:$BX$550,MATCH(J$2,Kraftvärmeprod!$B$1:$VX$1,0),FALSE)/1,0)-IFERROR(VLOOKUP($B121,'Slutlig allokering kvv'!$B$2:$BX$550,MATCH(J$2,'Slutlig allokering kvv'!$B$1:$BX$1,0),FALSE)/1,0))</f>
        <v>0</v>
      </c>
      <c r="K121" s="31">
        <f>IF($D121="","",IFERROR(VLOOKUP($B121,Kraftvärmeprod!$B$1:$BX$550,MATCH(K$2,Kraftvärmeprod!$B$1:$VX$1,0),FALSE)/1,0)-IFERROR(VLOOKUP($B121,'Slutlig allokering kvv'!$B$2:$BX$550,MATCH(K$2,'Slutlig allokering kvv'!$B$1:$BX$1,0),FALSE)/1,0))</f>
        <v>0</v>
      </c>
      <c r="L121" s="31">
        <f>IF($D121="","",IFERROR(VLOOKUP($B121,Kraftvärmeprod!$B$1:$BX$550,MATCH(L$2,Kraftvärmeprod!$B$1:$VX$1,0),FALSE)/1,0)-IFERROR(VLOOKUP($B121,'Slutlig allokering kvv'!$B$2:$BX$550,MATCH(L$2,'Slutlig allokering kvv'!$B$1:$BX$1,0),FALSE)/1,0))</f>
        <v>122.99900000000002</v>
      </c>
      <c r="M121" s="31">
        <f>IF($D121="","",IFERROR(VLOOKUP($B121,Kraftvärmeprod!$B$1:$BX$550,MATCH(M$2,Kraftvärmeprod!$B$1:$VX$1,0),FALSE)/1,0)-IFERROR(VLOOKUP($B121,'Slutlig allokering kvv'!$B$2:$BX$550,MATCH(M$2,'Slutlig allokering kvv'!$B$1:$BX$1,0),FALSE)/1,0))</f>
        <v>45.395799999999994</v>
      </c>
      <c r="N121" s="31">
        <f>IF($D121="","",IFERROR(VLOOKUP($B121,Kraftvärmeprod!$B$1:$BX$550,MATCH(N$2,Kraftvärmeprod!$B$1:$VX$1,0),FALSE)/1,0)-IFERROR(VLOOKUP($B121,'Slutlig allokering kvv'!$B$2:$BX$550,MATCH(N$2,'Slutlig allokering kvv'!$B$1:$BX$1,0),FALSE)/1,0))</f>
        <v>0.46275100000000002</v>
      </c>
      <c r="O121" s="31">
        <f>IF($D121="","",IFERROR(VLOOKUP($B121,Kraftvärmeprod!$B$1:$BX$550,MATCH(O$2,Kraftvärmeprod!$B$1:$VX$1,0),FALSE)/1,0)-IFERROR(VLOOKUP($B121,'Slutlig allokering kvv'!$B$2:$BX$550,MATCH(O$2,'Slutlig allokering kvv'!$B$1:$BX$1,0),FALSE)/1,0))</f>
        <v>24.433199999999996</v>
      </c>
      <c r="P121" s="31">
        <f>IF($D121="","",IFERROR(VLOOKUP($B121,Kraftvärmeprod!$B$1:$BX$550,MATCH(P$2,Kraftvärmeprod!$B$1:$VX$1,0),FALSE)/1,0)-IFERROR(VLOOKUP($B121,'Slutlig allokering kvv'!$B$2:$BX$550,MATCH(P$2,'Slutlig allokering kvv'!$B$1:$BX$1,0),FALSE)/1,0))</f>
        <v>0</v>
      </c>
      <c r="Q121" s="31">
        <f>IF($D121="","",IFERROR(VLOOKUP($B121,Kraftvärmeprod!$B$1:$BX$550,MATCH(Q$2,Kraftvärmeprod!$B$1:$VX$1,0),FALSE)/1,0)-IFERROR(VLOOKUP($B121,'Slutlig allokering kvv'!$B$2:$BX$550,MATCH(Q$2,'Slutlig allokering kvv'!$B$1:$BX$1,0),FALSE)/1,0))</f>
        <v>0</v>
      </c>
      <c r="R121" s="31">
        <f>IF($D121="","",IFERROR(VLOOKUP($B121,Kraftvärmeprod!$B$1:$BX$550,MATCH(R$2,Kraftvärmeprod!$B$1:$VX$1,0),FALSE)/1,0)-IFERROR(VLOOKUP($B121,'Slutlig allokering kvv'!$B$2:$BX$550,MATCH(R$2,'Slutlig allokering kvv'!$B$1:$BX$1,0),FALSE)/1,0))</f>
        <v>0</v>
      </c>
      <c r="S121" s="31">
        <f>IF($D121="","",IFERROR(VLOOKUP($B121,Kraftvärmeprod!$B$1:$BX$550,MATCH(S$2,Kraftvärmeprod!$B$1:$VX$1,0),FALSE)/1,0)-IFERROR(VLOOKUP($B121,'Slutlig allokering kvv'!$B$2:$BX$550,MATCH(S$2,'Slutlig allokering kvv'!$B$1:$BX$1,0),FALSE)/1,0))</f>
        <v>0</v>
      </c>
      <c r="T121" s="31">
        <f>IF($D121="","",IFERROR(VLOOKUP($B121,Kraftvärmeprod!$B$1:$BX$550,MATCH(T$2,Kraftvärmeprod!$B$1:$VX$1,0),FALSE)/1,0)-IFERROR(VLOOKUP($B121,'Slutlig allokering kvv'!$B$2:$BX$550,MATCH(T$2,'Slutlig allokering kvv'!$B$1:$BX$1,0),FALSE)/1,0))</f>
        <v>0</v>
      </c>
      <c r="U121" s="31">
        <f>IF($D121="","",IFERROR(VLOOKUP($B121,Kraftvärmeprod!$B$1:$BX$550,MATCH(U$2,Kraftvärmeprod!$B$1:$VX$1,0),FALSE)/1,0)-IFERROR(VLOOKUP($B121,'Slutlig allokering kvv'!$B$2:$BX$550,MATCH(U$2,'Slutlig allokering kvv'!$B$1:$BX$1,0),FALSE)/1,0))</f>
        <v>0</v>
      </c>
      <c r="V121" s="31">
        <f>IF($D121="","",IFERROR(VLOOKUP($B121,Kraftvärmeprod!$B$1:$BX$550,MATCH(V$2,Kraftvärmeprod!$B$1:$VX$1,0),FALSE)/1,0)-IFERROR(VLOOKUP($B121,'Slutlig allokering kvv'!$B$2:$BX$550,MATCH(V$2,'Slutlig allokering kvv'!$B$1:$BX$1,0),FALSE)/1,0))</f>
        <v>0</v>
      </c>
      <c r="W121" s="31">
        <f>IF($D121="","",IFERROR(VLOOKUP($B121,Kraftvärmeprod!$B$1:$BX$550,MATCH(W$2,Kraftvärmeprod!$B$1:$VX$1,0),FALSE)/1,0)-IFERROR(VLOOKUP($B121,'Slutlig allokering kvv'!$B$2:$BX$550,MATCH(W$2,'Slutlig allokering kvv'!$B$1:$BX$1,0),FALSE)/1,0))</f>
        <v>0</v>
      </c>
      <c r="X121" s="31">
        <f>IF($D121="","",IFERROR(VLOOKUP($B121,Kraftvärmeprod!$B$1:$BX$550,MATCH(X$2,Kraftvärmeprod!$B$1:$VX$1,0),FALSE)/1,0)-IFERROR(VLOOKUP($B121,'Slutlig allokering kvv'!$B$2:$BX$550,MATCH(X$2,'Slutlig allokering kvv'!$B$1:$BX$1,0),FALSE)/1,0))</f>
        <v>0</v>
      </c>
      <c r="Y121" s="31">
        <f>IF($D121="","",IFERROR(VLOOKUP($B121,Kraftvärmeprod!$B$1:$BX$550,MATCH(Y$2,Kraftvärmeprod!$B$1:$VX$1,0),FALSE)/1,0)-IFERROR(VLOOKUP($B121,'Slutlig allokering kvv'!$B$2:$BX$550,MATCH(Y$2,'Slutlig allokering kvv'!$B$1:$BX$1,0),FALSE)/1,0))</f>
        <v>0</v>
      </c>
      <c r="Z121" s="31">
        <f>IF($D121="","",IFERROR(VLOOKUP($B121,Kraftvärmeprod!$B$1:$BX$550,MATCH(Z$2,Kraftvärmeprod!$B$1:$VX$1,0),FALSE)/1,0)-IFERROR(VLOOKUP($B121,'Slutlig allokering kvv'!$B$2:$BX$550,MATCH(Z$2,'Slutlig allokering kvv'!$B$1:$BX$1,0),FALSE)/1,0))</f>
        <v>0</v>
      </c>
      <c r="AA121" s="31">
        <f>IF($D121="","",IFERROR(VLOOKUP($B121,Kraftvärmeprod!$B$1:$BX$550,MATCH(AA$2,Kraftvärmeprod!$B$1:$VX$1,0),FALSE)/1,0)-IFERROR(VLOOKUP($B121,'Slutlig allokering kvv'!$B$2:$BX$550,MATCH(AA$2,'Slutlig allokering kvv'!$B$1:$BX$1,0),FALSE)/1,0))</f>
        <v>0</v>
      </c>
      <c r="AB121" s="31">
        <f>IF($D121="","",IFERROR(VLOOKUP($B121,Kraftvärmeprod!$B$1:$BX$550,MATCH(AB$2,Kraftvärmeprod!$B$1:$VX$1,0),FALSE)/1,0)-IFERROR(VLOOKUP($B121,'Slutlig allokering kvv'!$B$2:$BX$550,MATCH(AB$2,'Slutlig allokering kvv'!$B$1:$BX$1,0),FALSE)/1,0))</f>
        <v>0</v>
      </c>
      <c r="AC121" s="31">
        <f>IF($D121="","",IFERROR(VLOOKUP($B121,Kraftvärmeprod!$B$1:$BX$550,MATCH(AC$2,Kraftvärmeprod!$B$1:$VX$1,0),FALSE)/1,0)-IFERROR(VLOOKUP($B121,'Slutlig allokering kvv'!$B$2:$BX$550,MATCH(AC$2,'Slutlig allokering kvv'!$B$1:$BX$1,0),FALSE)/1,0))</f>
        <v>0</v>
      </c>
      <c r="AD121" s="31">
        <f>IF($D121="","",IFERROR(VLOOKUP($B121,Kraftvärmeprod!$B$1:$BX$550,MATCH(AD$2,Kraftvärmeprod!$B$1:$VX$1,0),FALSE)/1,0)-IFERROR(VLOOKUP($B121,'Slutlig allokering kvv'!$B$2:$BX$550,MATCH(AD$2,'Slutlig allokering kvv'!$B$1:$BX$1,0),FALSE)/1,0))</f>
        <v>0</v>
      </c>
      <c r="AE121" s="31">
        <f>IF($D121="","",IFERROR(VLOOKUP($B121,Miljö!$B$1:$E$550,MATCH("Hjälpel kraftvärme (GWh)",Miljö!$B$1:$E$1,0),FALSE)/1,0)-IFERROR(VLOOKUP($B121,'Slutlig allokering kvv'!$B$2:$BX$549,MATCH(AE$2,'Slutlig allokering kvv'!$B$1:$BX$1,0),FALSE)/1,0))</f>
        <v>7.7742000000000004</v>
      </c>
      <c r="AI121" s="39">
        <f t="shared" si="4"/>
        <v>193.29075100000003</v>
      </c>
      <c r="AK121" s="31">
        <f>IFERROR(VLOOKUP($B121,'Slutlig allokering kvv'!$B$2:$AX$549,MATCH("Summa slutlig allokerad tillförd energi (utan hjälpel och rökgaskondensering):",'Slutlig allokering kvv'!$B$1:$AX$1,0),FALSE)/1,"")</f>
        <v>224.40924900000005</v>
      </c>
      <c r="AM121" s="31">
        <f>IFERROR(1-VLOOKUP($B121,'Slutlig allokering kvv'!$B$2:$AX$549,MATCH("Andel av bränsle i kvv som allokerats till värme, exklusive rökgaskondensering och hjälpel",'Slutlig allokering kvv'!$B$1:$AX$1,0),FALSE),"")</f>
        <v>0.46275018194876694</v>
      </c>
      <c r="AO121" s="31">
        <f t="shared" si="5"/>
        <v>0.4627501819487671</v>
      </c>
      <c r="AP121" s="31">
        <f t="shared" si="6"/>
        <v>-1.6653345369377348E-16</v>
      </c>
      <c r="AR121" s="32">
        <f t="shared" si="7"/>
        <v>0.44662184808131966</v>
      </c>
    </row>
    <row r="122" spans="1:44" s="31" customFormat="1" x14ac:dyDescent="0.45">
      <c r="A122" s="31" t="s">
        <v>511</v>
      </c>
      <c r="B122" s="31" t="s">
        <v>80</v>
      </c>
      <c r="C122" s="31" t="str">
        <f>IFERROR(VLOOKUP($B122,Kraftvärmeprod!$B$1:$AH$479,MATCH(C$2,Kraftvärmeprod!$B$1:$AG$1,0),FALSE)/1,"")</f>
        <v/>
      </c>
      <c r="D122" s="31" t="str">
        <f>IFERROR(VLOOKUP($B122,Kraftvärmeprod!$B$1:$AH$479,MATCH(D$2,Kraftvärmeprod!$B$1:$AG$1,0),FALSE)/1,"")</f>
        <v/>
      </c>
      <c r="F122" s="31" t="str">
        <f>IF($D122="","",IFERROR(VLOOKUP($B122,Kraftvärmeprod!$B$1:$BX$550,MATCH(F$2,Kraftvärmeprod!$B$1:$VX$1,0),FALSE)/1,0)-IFERROR(VLOOKUP($B122,'Slutlig allokering kvv'!$B$2:$BX$550,MATCH(F$2,'Slutlig allokering kvv'!$B$1:$BX$1,0),FALSE)/1,0))</f>
        <v/>
      </c>
      <c r="G122" s="31" t="str">
        <f>IF($D122="","",IFERROR(VLOOKUP($B122,Kraftvärmeprod!$B$1:$BX$550,MATCH(G$2,Kraftvärmeprod!$B$1:$VX$1,0),FALSE)/1,0)-IFERROR(VLOOKUP($B122,'Slutlig allokering kvv'!$B$2:$BX$550,MATCH(G$2,'Slutlig allokering kvv'!$B$1:$BX$1,0),FALSE)/1,0))</f>
        <v/>
      </c>
      <c r="H122" s="31" t="str">
        <f>IF($D122="","",IFERROR(VLOOKUP($B122,Kraftvärmeprod!$B$1:$BX$550,MATCH(H$2,Kraftvärmeprod!$B$1:$VX$1,0),FALSE)/1,0)-IFERROR(VLOOKUP($B122,'Slutlig allokering kvv'!$B$2:$BX$550,MATCH(H$2,'Slutlig allokering kvv'!$B$1:$BX$1,0),FALSE)/1,0))</f>
        <v/>
      </c>
      <c r="I122" s="31" t="str">
        <f>IF($D122="","",IFERROR(VLOOKUP($B122,Kraftvärmeprod!$B$1:$BX$550,MATCH(I$2,Kraftvärmeprod!$B$1:$VX$1,0),FALSE)/1,0)-IFERROR(VLOOKUP($B122,'Slutlig allokering kvv'!$B$2:$BX$550,MATCH(I$2,'Slutlig allokering kvv'!$B$1:$BX$1,0),FALSE)/1,0))</f>
        <v/>
      </c>
      <c r="J122" s="31" t="str">
        <f>IF($D122="","",IFERROR(VLOOKUP($B122,Kraftvärmeprod!$B$1:$BX$550,MATCH(J$2,Kraftvärmeprod!$B$1:$VX$1,0),FALSE)/1,0)-IFERROR(VLOOKUP($B122,'Slutlig allokering kvv'!$B$2:$BX$550,MATCH(J$2,'Slutlig allokering kvv'!$B$1:$BX$1,0),FALSE)/1,0))</f>
        <v/>
      </c>
      <c r="K122" s="31" t="str">
        <f>IF($D122="","",IFERROR(VLOOKUP($B122,Kraftvärmeprod!$B$1:$BX$550,MATCH(K$2,Kraftvärmeprod!$B$1:$VX$1,0),FALSE)/1,0)-IFERROR(VLOOKUP($B122,'Slutlig allokering kvv'!$B$2:$BX$550,MATCH(K$2,'Slutlig allokering kvv'!$B$1:$BX$1,0),FALSE)/1,0))</f>
        <v/>
      </c>
      <c r="L122" s="31" t="str">
        <f>IF($D122="","",IFERROR(VLOOKUP($B122,Kraftvärmeprod!$B$1:$BX$550,MATCH(L$2,Kraftvärmeprod!$B$1:$VX$1,0),FALSE)/1,0)-IFERROR(VLOOKUP($B122,'Slutlig allokering kvv'!$B$2:$BX$550,MATCH(L$2,'Slutlig allokering kvv'!$B$1:$BX$1,0),FALSE)/1,0))</f>
        <v/>
      </c>
      <c r="M122" s="31" t="str">
        <f>IF($D122="","",IFERROR(VLOOKUP($B122,Kraftvärmeprod!$B$1:$BX$550,MATCH(M$2,Kraftvärmeprod!$B$1:$VX$1,0),FALSE)/1,0)-IFERROR(VLOOKUP($B122,'Slutlig allokering kvv'!$B$2:$BX$550,MATCH(M$2,'Slutlig allokering kvv'!$B$1:$BX$1,0),FALSE)/1,0))</f>
        <v/>
      </c>
      <c r="N122" s="31" t="str">
        <f>IF($D122="","",IFERROR(VLOOKUP($B122,Kraftvärmeprod!$B$1:$BX$550,MATCH(N$2,Kraftvärmeprod!$B$1:$VX$1,0),FALSE)/1,0)-IFERROR(VLOOKUP($B122,'Slutlig allokering kvv'!$B$2:$BX$550,MATCH(N$2,'Slutlig allokering kvv'!$B$1:$BX$1,0),FALSE)/1,0))</f>
        <v/>
      </c>
      <c r="O122" s="31" t="str">
        <f>IF($D122="","",IFERROR(VLOOKUP($B122,Kraftvärmeprod!$B$1:$BX$550,MATCH(O$2,Kraftvärmeprod!$B$1:$VX$1,0),FALSE)/1,0)-IFERROR(VLOOKUP($B122,'Slutlig allokering kvv'!$B$2:$BX$550,MATCH(O$2,'Slutlig allokering kvv'!$B$1:$BX$1,0),FALSE)/1,0))</f>
        <v/>
      </c>
      <c r="P122" s="31" t="str">
        <f>IF($D122="","",IFERROR(VLOOKUP($B122,Kraftvärmeprod!$B$1:$BX$550,MATCH(P$2,Kraftvärmeprod!$B$1:$VX$1,0),FALSE)/1,0)-IFERROR(VLOOKUP($B122,'Slutlig allokering kvv'!$B$2:$BX$550,MATCH(P$2,'Slutlig allokering kvv'!$B$1:$BX$1,0),FALSE)/1,0))</f>
        <v/>
      </c>
      <c r="Q122" s="31" t="str">
        <f>IF($D122="","",IFERROR(VLOOKUP($B122,Kraftvärmeprod!$B$1:$BX$550,MATCH(Q$2,Kraftvärmeprod!$B$1:$VX$1,0),FALSE)/1,0)-IFERROR(VLOOKUP($B122,'Slutlig allokering kvv'!$B$2:$BX$550,MATCH(Q$2,'Slutlig allokering kvv'!$B$1:$BX$1,0),FALSE)/1,0))</f>
        <v/>
      </c>
      <c r="R122" s="31" t="str">
        <f>IF($D122="","",IFERROR(VLOOKUP($B122,Kraftvärmeprod!$B$1:$BX$550,MATCH(R$2,Kraftvärmeprod!$B$1:$VX$1,0),FALSE)/1,0)-IFERROR(VLOOKUP($B122,'Slutlig allokering kvv'!$B$2:$BX$550,MATCH(R$2,'Slutlig allokering kvv'!$B$1:$BX$1,0),FALSE)/1,0))</f>
        <v/>
      </c>
      <c r="S122" s="31" t="str">
        <f>IF($D122="","",IFERROR(VLOOKUP($B122,Kraftvärmeprod!$B$1:$BX$550,MATCH(S$2,Kraftvärmeprod!$B$1:$VX$1,0),FALSE)/1,0)-IFERROR(VLOOKUP($B122,'Slutlig allokering kvv'!$B$2:$BX$550,MATCH(S$2,'Slutlig allokering kvv'!$B$1:$BX$1,0),FALSE)/1,0))</f>
        <v/>
      </c>
      <c r="T122" s="31" t="str">
        <f>IF($D122="","",IFERROR(VLOOKUP($B122,Kraftvärmeprod!$B$1:$BX$550,MATCH(T$2,Kraftvärmeprod!$B$1:$VX$1,0),FALSE)/1,0)-IFERROR(VLOOKUP($B122,'Slutlig allokering kvv'!$B$2:$BX$550,MATCH(T$2,'Slutlig allokering kvv'!$B$1:$BX$1,0),FALSE)/1,0))</f>
        <v/>
      </c>
      <c r="U122" s="31" t="str">
        <f>IF($D122="","",IFERROR(VLOOKUP($B122,Kraftvärmeprod!$B$1:$BX$550,MATCH(U$2,Kraftvärmeprod!$B$1:$VX$1,0),FALSE)/1,0)-IFERROR(VLOOKUP($B122,'Slutlig allokering kvv'!$B$2:$BX$550,MATCH(U$2,'Slutlig allokering kvv'!$B$1:$BX$1,0),FALSE)/1,0))</f>
        <v/>
      </c>
      <c r="V122" s="31" t="str">
        <f>IF($D122="","",IFERROR(VLOOKUP($B122,Kraftvärmeprod!$B$1:$BX$550,MATCH(V$2,Kraftvärmeprod!$B$1:$VX$1,0),FALSE)/1,0)-IFERROR(VLOOKUP($B122,'Slutlig allokering kvv'!$B$2:$BX$550,MATCH(V$2,'Slutlig allokering kvv'!$B$1:$BX$1,0),FALSE)/1,0))</f>
        <v/>
      </c>
      <c r="W122" s="31" t="str">
        <f>IF($D122="","",IFERROR(VLOOKUP($B122,Kraftvärmeprod!$B$1:$BX$550,MATCH(W$2,Kraftvärmeprod!$B$1:$VX$1,0),FALSE)/1,0)-IFERROR(VLOOKUP($B122,'Slutlig allokering kvv'!$B$2:$BX$550,MATCH(W$2,'Slutlig allokering kvv'!$B$1:$BX$1,0),FALSE)/1,0))</f>
        <v/>
      </c>
      <c r="X122" s="31" t="str">
        <f>IF($D122="","",IFERROR(VLOOKUP($B122,Kraftvärmeprod!$B$1:$BX$550,MATCH(X$2,Kraftvärmeprod!$B$1:$VX$1,0),FALSE)/1,0)-IFERROR(VLOOKUP($B122,'Slutlig allokering kvv'!$B$2:$BX$550,MATCH(X$2,'Slutlig allokering kvv'!$B$1:$BX$1,0),FALSE)/1,0))</f>
        <v/>
      </c>
      <c r="Y122" s="31" t="str">
        <f>IF($D122="","",IFERROR(VLOOKUP($B122,Kraftvärmeprod!$B$1:$BX$550,MATCH(Y$2,Kraftvärmeprod!$B$1:$VX$1,0),FALSE)/1,0)-IFERROR(VLOOKUP($B122,'Slutlig allokering kvv'!$B$2:$BX$550,MATCH(Y$2,'Slutlig allokering kvv'!$B$1:$BX$1,0),FALSE)/1,0))</f>
        <v/>
      </c>
      <c r="Z122" s="31" t="str">
        <f>IF($D122="","",IFERROR(VLOOKUP($B122,Kraftvärmeprod!$B$1:$BX$550,MATCH(Z$2,Kraftvärmeprod!$B$1:$VX$1,0),FALSE)/1,0)-IFERROR(VLOOKUP($B122,'Slutlig allokering kvv'!$B$2:$BX$550,MATCH(Z$2,'Slutlig allokering kvv'!$B$1:$BX$1,0),FALSE)/1,0))</f>
        <v/>
      </c>
      <c r="AA122" s="31" t="str">
        <f>IF($D122="","",IFERROR(VLOOKUP($B122,Kraftvärmeprod!$B$1:$BX$550,MATCH(AA$2,Kraftvärmeprod!$B$1:$VX$1,0),FALSE)/1,0)-IFERROR(VLOOKUP($B122,'Slutlig allokering kvv'!$B$2:$BX$550,MATCH(AA$2,'Slutlig allokering kvv'!$B$1:$BX$1,0),FALSE)/1,0))</f>
        <v/>
      </c>
      <c r="AB122" s="31" t="str">
        <f>IF($D122="","",IFERROR(VLOOKUP($B122,Kraftvärmeprod!$B$1:$BX$550,MATCH(AB$2,Kraftvärmeprod!$B$1:$VX$1,0),FALSE)/1,0)-IFERROR(VLOOKUP($B122,'Slutlig allokering kvv'!$B$2:$BX$550,MATCH(AB$2,'Slutlig allokering kvv'!$B$1:$BX$1,0),FALSE)/1,0))</f>
        <v/>
      </c>
      <c r="AC122" s="31" t="str">
        <f>IF($D122="","",IFERROR(VLOOKUP($B122,Kraftvärmeprod!$B$1:$BX$550,MATCH(AC$2,Kraftvärmeprod!$B$1:$VX$1,0),FALSE)/1,0)-IFERROR(VLOOKUP($B122,'Slutlig allokering kvv'!$B$2:$BX$550,MATCH(AC$2,'Slutlig allokering kvv'!$B$1:$BX$1,0),FALSE)/1,0))</f>
        <v/>
      </c>
      <c r="AD122" s="31" t="str">
        <f>IF($D122="","",IFERROR(VLOOKUP($B122,Kraftvärmeprod!$B$1:$BX$550,MATCH(AD$2,Kraftvärmeprod!$B$1:$VX$1,0),FALSE)/1,0)-IFERROR(VLOOKUP($B122,'Slutlig allokering kvv'!$B$2:$BX$550,MATCH(AD$2,'Slutlig allokering kvv'!$B$1:$BX$1,0),FALSE)/1,0))</f>
        <v/>
      </c>
      <c r="AE122" s="31" t="str">
        <f>IF($D122="","",IFERROR(VLOOKUP($B122,Miljö!$B$1:$E$550,MATCH("Hjälpel kraftvärme (GWh)",Miljö!$B$1:$E$1,0),FALSE)/1,0)-IFERROR(VLOOKUP($B122,'Slutlig allokering kvv'!$B$2:$BX$549,MATCH(AE$2,'Slutlig allokering kvv'!$B$1:$BX$1,0),FALSE)/1,0))</f>
        <v/>
      </c>
      <c r="AI122" s="39">
        <f t="shared" si="4"/>
        <v>0</v>
      </c>
      <c r="AK122" s="31">
        <f>IFERROR(VLOOKUP($B122,'Slutlig allokering kvv'!$B$2:$AX$549,MATCH("Summa slutlig allokerad tillförd energi (utan hjälpel och rökgaskondensering):",'Slutlig allokering kvv'!$B$1:$AX$1,0),FALSE)/1,"")</f>
        <v>0</v>
      </c>
      <c r="AM122" s="31" t="str">
        <f>IFERROR(1-VLOOKUP($B122,'Slutlig allokering kvv'!$B$2:$AX$549,MATCH("Andel av bränsle i kvv som allokerats till värme, exklusive rökgaskondensering och hjälpel",'Slutlig allokering kvv'!$B$1:$AX$1,0),FALSE),"")</f>
        <v/>
      </c>
      <c r="AO122" s="31" t="str">
        <f t="shared" si="5"/>
        <v/>
      </c>
      <c r="AP122" s="31" t="str">
        <f t="shared" si="6"/>
        <v/>
      </c>
      <c r="AR122" s="32" t="str">
        <f t="shared" si="7"/>
        <v/>
      </c>
    </row>
    <row r="123" spans="1:44" s="31" customFormat="1" x14ac:dyDescent="0.45">
      <c r="A123" s="31" t="s">
        <v>510</v>
      </c>
      <c r="B123" s="31" t="s">
        <v>509</v>
      </c>
      <c r="C123" s="31" t="str">
        <f>IFERROR(VLOOKUP($B123,Kraftvärmeprod!$B$1:$AH$479,MATCH(C$2,Kraftvärmeprod!$B$1:$AG$1,0),FALSE)/1,"")</f>
        <v/>
      </c>
      <c r="D123" s="31" t="str">
        <f>IFERROR(VLOOKUP($B123,Kraftvärmeprod!$B$1:$AH$479,MATCH(D$2,Kraftvärmeprod!$B$1:$AG$1,0),FALSE)/1,"")</f>
        <v/>
      </c>
      <c r="F123" s="31" t="str">
        <f>IF($D123="","",IFERROR(VLOOKUP($B123,Kraftvärmeprod!$B$1:$BX$550,MATCH(F$2,Kraftvärmeprod!$B$1:$VX$1,0),FALSE)/1,0)-IFERROR(VLOOKUP($B123,'Slutlig allokering kvv'!$B$2:$BX$550,MATCH(F$2,'Slutlig allokering kvv'!$B$1:$BX$1,0),FALSE)/1,0))</f>
        <v/>
      </c>
      <c r="G123" s="31" t="str">
        <f>IF($D123="","",IFERROR(VLOOKUP($B123,Kraftvärmeprod!$B$1:$BX$550,MATCH(G$2,Kraftvärmeprod!$B$1:$VX$1,0),FALSE)/1,0)-IFERROR(VLOOKUP($B123,'Slutlig allokering kvv'!$B$2:$BX$550,MATCH(G$2,'Slutlig allokering kvv'!$B$1:$BX$1,0),FALSE)/1,0))</f>
        <v/>
      </c>
      <c r="H123" s="31" t="str">
        <f>IF($D123="","",IFERROR(VLOOKUP($B123,Kraftvärmeprod!$B$1:$BX$550,MATCH(H$2,Kraftvärmeprod!$B$1:$VX$1,0),FALSE)/1,0)-IFERROR(VLOOKUP($B123,'Slutlig allokering kvv'!$B$2:$BX$550,MATCH(H$2,'Slutlig allokering kvv'!$B$1:$BX$1,0),FALSE)/1,0))</f>
        <v/>
      </c>
      <c r="I123" s="31" t="str">
        <f>IF($D123="","",IFERROR(VLOOKUP($B123,Kraftvärmeprod!$B$1:$BX$550,MATCH(I$2,Kraftvärmeprod!$B$1:$VX$1,0),FALSE)/1,0)-IFERROR(VLOOKUP($B123,'Slutlig allokering kvv'!$B$2:$BX$550,MATCH(I$2,'Slutlig allokering kvv'!$B$1:$BX$1,0),FALSE)/1,0))</f>
        <v/>
      </c>
      <c r="J123" s="31" t="str">
        <f>IF($D123="","",IFERROR(VLOOKUP($B123,Kraftvärmeprod!$B$1:$BX$550,MATCH(J$2,Kraftvärmeprod!$B$1:$VX$1,0),FALSE)/1,0)-IFERROR(VLOOKUP($B123,'Slutlig allokering kvv'!$B$2:$BX$550,MATCH(J$2,'Slutlig allokering kvv'!$B$1:$BX$1,0),FALSE)/1,0))</f>
        <v/>
      </c>
      <c r="K123" s="31" t="str">
        <f>IF($D123="","",IFERROR(VLOOKUP($B123,Kraftvärmeprod!$B$1:$BX$550,MATCH(K$2,Kraftvärmeprod!$B$1:$VX$1,0),FALSE)/1,0)-IFERROR(VLOOKUP($B123,'Slutlig allokering kvv'!$B$2:$BX$550,MATCH(K$2,'Slutlig allokering kvv'!$B$1:$BX$1,0),FALSE)/1,0))</f>
        <v/>
      </c>
      <c r="L123" s="31" t="str">
        <f>IF($D123="","",IFERROR(VLOOKUP($B123,Kraftvärmeprod!$B$1:$BX$550,MATCH(L$2,Kraftvärmeprod!$B$1:$VX$1,0),FALSE)/1,0)-IFERROR(VLOOKUP($B123,'Slutlig allokering kvv'!$B$2:$BX$550,MATCH(L$2,'Slutlig allokering kvv'!$B$1:$BX$1,0),FALSE)/1,0))</f>
        <v/>
      </c>
      <c r="M123" s="31" t="str">
        <f>IF($D123="","",IFERROR(VLOOKUP($B123,Kraftvärmeprod!$B$1:$BX$550,MATCH(M$2,Kraftvärmeprod!$B$1:$VX$1,0),FALSE)/1,0)-IFERROR(VLOOKUP($B123,'Slutlig allokering kvv'!$B$2:$BX$550,MATCH(M$2,'Slutlig allokering kvv'!$B$1:$BX$1,0),FALSE)/1,0))</f>
        <v/>
      </c>
      <c r="N123" s="31" t="str">
        <f>IF($D123="","",IFERROR(VLOOKUP($B123,Kraftvärmeprod!$B$1:$BX$550,MATCH(N$2,Kraftvärmeprod!$B$1:$VX$1,0),FALSE)/1,0)-IFERROR(VLOOKUP($B123,'Slutlig allokering kvv'!$B$2:$BX$550,MATCH(N$2,'Slutlig allokering kvv'!$B$1:$BX$1,0),FALSE)/1,0))</f>
        <v/>
      </c>
      <c r="O123" s="31" t="str">
        <f>IF($D123="","",IFERROR(VLOOKUP($B123,Kraftvärmeprod!$B$1:$BX$550,MATCH(O$2,Kraftvärmeprod!$B$1:$VX$1,0),FALSE)/1,0)-IFERROR(VLOOKUP($B123,'Slutlig allokering kvv'!$B$2:$BX$550,MATCH(O$2,'Slutlig allokering kvv'!$B$1:$BX$1,0),FALSE)/1,0))</f>
        <v/>
      </c>
      <c r="P123" s="31" t="str">
        <f>IF($D123="","",IFERROR(VLOOKUP($B123,Kraftvärmeprod!$B$1:$BX$550,MATCH(P$2,Kraftvärmeprod!$B$1:$VX$1,0),FALSE)/1,0)-IFERROR(VLOOKUP($B123,'Slutlig allokering kvv'!$B$2:$BX$550,MATCH(P$2,'Slutlig allokering kvv'!$B$1:$BX$1,0),FALSE)/1,0))</f>
        <v/>
      </c>
      <c r="Q123" s="31" t="str">
        <f>IF($D123="","",IFERROR(VLOOKUP($B123,Kraftvärmeprod!$B$1:$BX$550,MATCH(Q$2,Kraftvärmeprod!$B$1:$VX$1,0),FALSE)/1,0)-IFERROR(VLOOKUP($B123,'Slutlig allokering kvv'!$B$2:$BX$550,MATCH(Q$2,'Slutlig allokering kvv'!$B$1:$BX$1,0),FALSE)/1,0))</f>
        <v/>
      </c>
      <c r="R123" s="31" t="str">
        <f>IF($D123="","",IFERROR(VLOOKUP($B123,Kraftvärmeprod!$B$1:$BX$550,MATCH(R$2,Kraftvärmeprod!$B$1:$VX$1,0),FALSE)/1,0)-IFERROR(VLOOKUP($B123,'Slutlig allokering kvv'!$B$2:$BX$550,MATCH(R$2,'Slutlig allokering kvv'!$B$1:$BX$1,0),FALSE)/1,0))</f>
        <v/>
      </c>
      <c r="S123" s="31" t="str">
        <f>IF($D123="","",IFERROR(VLOOKUP($B123,Kraftvärmeprod!$B$1:$BX$550,MATCH(S$2,Kraftvärmeprod!$B$1:$VX$1,0),FALSE)/1,0)-IFERROR(VLOOKUP($B123,'Slutlig allokering kvv'!$B$2:$BX$550,MATCH(S$2,'Slutlig allokering kvv'!$B$1:$BX$1,0),FALSE)/1,0))</f>
        <v/>
      </c>
      <c r="T123" s="31" t="str">
        <f>IF($D123="","",IFERROR(VLOOKUP($B123,Kraftvärmeprod!$B$1:$BX$550,MATCH(T$2,Kraftvärmeprod!$B$1:$VX$1,0),FALSE)/1,0)-IFERROR(VLOOKUP($B123,'Slutlig allokering kvv'!$B$2:$BX$550,MATCH(T$2,'Slutlig allokering kvv'!$B$1:$BX$1,0),FALSE)/1,0))</f>
        <v/>
      </c>
      <c r="U123" s="31" t="str">
        <f>IF($D123="","",IFERROR(VLOOKUP($B123,Kraftvärmeprod!$B$1:$BX$550,MATCH(U$2,Kraftvärmeprod!$B$1:$VX$1,0),FALSE)/1,0)-IFERROR(VLOOKUP($B123,'Slutlig allokering kvv'!$B$2:$BX$550,MATCH(U$2,'Slutlig allokering kvv'!$B$1:$BX$1,0),FALSE)/1,0))</f>
        <v/>
      </c>
      <c r="V123" s="31" t="str">
        <f>IF($D123="","",IFERROR(VLOOKUP($B123,Kraftvärmeprod!$B$1:$BX$550,MATCH(V$2,Kraftvärmeprod!$B$1:$VX$1,0),FALSE)/1,0)-IFERROR(VLOOKUP($B123,'Slutlig allokering kvv'!$B$2:$BX$550,MATCH(V$2,'Slutlig allokering kvv'!$B$1:$BX$1,0),FALSE)/1,0))</f>
        <v/>
      </c>
      <c r="W123" s="31" t="str">
        <f>IF($D123="","",IFERROR(VLOOKUP($B123,Kraftvärmeprod!$B$1:$BX$550,MATCH(W$2,Kraftvärmeprod!$B$1:$VX$1,0),FALSE)/1,0)-IFERROR(VLOOKUP($B123,'Slutlig allokering kvv'!$B$2:$BX$550,MATCH(W$2,'Slutlig allokering kvv'!$B$1:$BX$1,0),FALSE)/1,0))</f>
        <v/>
      </c>
      <c r="X123" s="31" t="str">
        <f>IF($D123="","",IFERROR(VLOOKUP($B123,Kraftvärmeprod!$B$1:$BX$550,MATCH(X$2,Kraftvärmeprod!$B$1:$VX$1,0),FALSE)/1,0)-IFERROR(VLOOKUP($B123,'Slutlig allokering kvv'!$B$2:$BX$550,MATCH(X$2,'Slutlig allokering kvv'!$B$1:$BX$1,0),FALSE)/1,0))</f>
        <v/>
      </c>
      <c r="Y123" s="31" t="str">
        <f>IF($D123="","",IFERROR(VLOOKUP($B123,Kraftvärmeprod!$B$1:$BX$550,MATCH(Y$2,Kraftvärmeprod!$B$1:$VX$1,0),FALSE)/1,0)-IFERROR(VLOOKUP($B123,'Slutlig allokering kvv'!$B$2:$BX$550,MATCH(Y$2,'Slutlig allokering kvv'!$B$1:$BX$1,0),FALSE)/1,0))</f>
        <v/>
      </c>
      <c r="Z123" s="31" t="str">
        <f>IF($D123="","",IFERROR(VLOOKUP($B123,Kraftvärmeprod!$B$1:$BX$550,MATCH(Z$2,Kraftvärmeprod!$B$1:$VX$1,0),FALSE)/1,0)-IFERROR(VLOOKUP($B123,'Slutlig allokering kvv'!$B$2:$BX$550,MATCH(Z$2,'Slutlig allokering kvv'!$B$1:$BX$1,0),FALSE)/1,0))</f>
        <v/>
      </c>
      <c r="AA123" s="31" t="str">
        <f>IF($D123="","",IFERROR(VLOOKUP($B123,Kraftvärmeprod!$B$1:$BX$550,MATCH(AA$2,Kraftvärmeprod!$B$1:$VX$1,0),FALSE)/1,0)-IFERROR(VLOOKUP($B123,'Slutlig allokering kvv'!$B$2:$BX$550,MATCH(AA$2,'Slutlig allokering kvv'!$B$1:$BX$1,0),FALSE)/1,0))</f>
        <v/>
      </c>
      <c r="AB123" s="31" t="str">
        <f>IF($D123="","",IFERROR(VLOOKUP($B123,Kraftvärmeprod!$B$1:$BX$550,MATCH(AB$2,Kraftvärmeprod!$B$1:$VX$1,0),FALSE)/1,0)-IFERROR(VLOOKUP($B123,'Slutlig allokering kvv'!$B$2:$BX$550,MATCH(AB$2,'Slutlig allokering kvv'!$B$1:$BX$1,0),FALSE)/1,0))</f>
        <v/>
      </c>
      <c r="AC123" s="31" t="str">
        <f>IF($D123="","",IFERROR(VLOOKUP($B123,Kraftvärmeprod!$B$1:$BX$550,MATCH(AC$2,Kraftvärmeprod!$B$1:$VX$1,0),FALSE)/1,0)-IFERROR(VLOOKUP($B123,'Slutlig allokering kvv'!$B$2:$BX$550,MATCH(AC$2,'Slutlig allokering kvv'!$B$1:$BX$1,0),FALSE)/1,0))</f>
        <v/>
      </c>
      <c r="AD123" s="31" t="str">
        <f>IF($D123="","",IFERROR(VLOOKUP($B123,Kraftvärmeprod!$B$1:$BX$550,MATCH(AD$2,Kraftvärmeprod!$B$1:$VX$1,0),FALSE)/1,0)-IFERROR(VLOOKUP($B123,'Slutlig allokering kvv'!$B$2:$BX$550,MATCH(AD$2,'Slutlig allokering kvv'!$B$1:$BX$1,0),FALSE)/1,0))</f>
        <v/>
      </c>
      <c r="AE123" s="31" t="str">
        <f>IF($D123="","",IFERROR(VLOOKUP($B123,Miljö!$B$1:$E$550,MATCH("Hjälpel kraftvärme (GWh)",Miljö!$B$1:$E$1,0),FALSE)/1,0)-IFERROR(VLOOKUP($B123,'Slutlig allokering kvv'!$B$2:$BX$549,MATCH(AE$2,'Slutlig allokering kvv'!$B$1:$BX$1,0),FALSE)/1,0))</f>
        <v/>
      </c>
      <c r="AI123" s="39">
        <f t="shared" si="4"/>
        <v>0</v>
      </c>
      <c r="AK123" s="31">
        <f>IFERROR(VLOOKUP($B123,'Slutlig allokering kvv'!$B$2:$AX$549,MATCH("Summa slutlig allokerad tillförd energi (utan hjälpel och rökgaskondensering):",'Slutlig allokering kvv'!$B$1:$AX$1,0),FALSE)/1,"")</f>
        <v>0</v>
      </c>
      <c r="AM123" s="31" t="str">
        <f>IFERROR(1-VLOOKUP($B123,'Slutlig allokering kvv'!$B$2:$AX$549,MATCH("Andel av bränsle i kvv som allokerats till värme, exklusive rökgaskondensering och hjälpel",'Slutlig allokering kvv'!$B$1:$AX$1,0),FALSE),"")</f>
        <v/>
      </c>
      <c r="AO123" s="31" t="str">
        <f t="shared" si="5"/>
        <v/>
      </c>
      <c r="AP123" s="31" t="str">
        <f t="shared" si="6"/>
        <v/>
      </c>
      <c r="AR123" s="32" t="str">
        <f t="shared" si="7"/>
        <v/>
      </c>
    </row>
    <row r="124" spans="1:44" s="31" customFormat="1" x14ac:dyDescent="0.45">
      <c r="A124" s="31" t="s">
        <v>508</v>
      </c>
      <c r="B124" s="31" t="s">
        <v>83</v>
      </c>
      <c r="C124" s="31">
        <f>IFERROR(VLOOKUP($B124,Kraftvärmeprod!$B$1:$AH$479,MATCH(C$2,Kraftvärmeprod!$B$1:$AG$1,0),FALSE)/1,"")</f>
        <v>320.10000000000002</v>
      </c>
      <c r="D124" s="31">
        <f>IFERROR(VLOOKUP($B124,Kraftvärmeprod!$B$1:$AH$479,MATCH(D$2,Kraftvärmeprod!$B$1:$AG$1,0),FALSE)/1,"")</f>
        <v>18.3</v>
      </c>
      <c r="F124" s="31">
        <f>IF($D124="","",IFERROR(VLOOKUP($B124,Kraftvärmeprod!$B$1:$BX$550,MATCH(F$2,Kraftvärmeprod!$B$1:$VX$1,0),FALSE)/1,0)-IFERROR(VLOOKUP($B124,'Slutlig allokering kvv'!$B$2:$BX$550,MATCH(F$2,'Slutlig allokering kvv'!$B$1:$BX$1,0),FALSE)/1,0))</f>
        <v>0</v>
      </c>
      <c r="G124" s="31">
        <f>IF($D124="","",IFERROR(VLOOKUP($B124,Kraftvärmeprod!$B$1:$BX$550,MATCH(G$2,Kraftvärmeprod!$B$1:$VX$1,0),FALSE)/1,0)-IFERROR(VLOOKUP($B124,'Slutlig allokering kvv'!$B$2:$BX$550,MATCH(G$2,'Slutlig allokering kvv'!$B$1:$BX$1,0),FALSE)/1,0))</f>
        <v>0.73592999999999975</v>
      </c>
      <c r="H124" s="31">
        <f>IF($D124="","",IFERROR(VLOOKUP($B124,Kraftvärmeprod!$B$1:$BX$550,MATCH(H$2,Kraftvärmeprod!$B$1:$VX$1,0),FALSE)/1,0)-IFERROR(VLOOKUP($B124,'Slutlig allokering kvv'!$B$2:$BX$550,MATCH(H$2,'Slutlig allokering kvv'!$B$1:$BX$1,0),FALSE)/1,0))</f>
        <v>0</v>
      </c>
      <c r="I124" s="31">
        <f>IF($D124="","",IFERROR(VLOOKUP($B124,Kraftvärmeprod!$B$1:$BX$550,MATCH(I$2,Kraftvärmeprod!$B$1:$VX$1,0),FALSE)/1,0)-IFERROR(VLOOKUP($B124,'Slutlig allokering kvv'!$B$2:$BX$550,MATCH(I$2,'Slutlig allokering kvv'!$B$1:$BX$1,0),FALSE)/1,0))</f>
        <v>0</v>
      </c>
      <c r="J124" s="31">
        <f>IF($D124="","",IFERROR(VLOOKUP($B124,Kraftvärmeprod!$B$1:$BX$550,MATCH(J$2,Kraftvärmeprod!$B$1:$VX$1,0),FALSE)/1,0)-IFERROR(VLOOKUP($B124,'Slutlig allokering kvv'!$B$2:$BX$550,MATCH(J$2,'Slutlig allokering kvv'!$B$1:$BX$1,0),FALSE)/1,0))</f>
        <v>0</v>
      </c>
      <c r="K124" s="31">
        <f>IF($D124="","",IFERROR(VLOOKUP($B124,Kraftvärmeprod!$B$1:$BX$550,MATCH(K$2,Kraftvärmeprod!$B$1:$VX$1,0),FALSE)/1,0)-IFERROR(VLOOKUP($B124,'Slutlig allokering kvv'!$B$2:$BX$550,MATCH(K$2,'Slutlig allokering kvv'!$B$1:$BX$1,0),FALSE)/1,0))</f>
        <v>0</v>
      </c>
      <c r="L124" s="31">
        <f>IF($D124="","",IFERROR(VLOOKUP($B124,Kraftvärmeprod!$B$1:$BX$550,MATCH(L$2,Kraftvärmeprod!$B$1:$VX$1,0),FALSE)/1,0)-IFERROR(VLOOKUP($B124,'Slutlig allokering kvv'!$B$2:$BX$550,MATCH(L$2,'Slutlig allokering kvv'!$B$1:$BX$1,0),FALSE)/1,0))</f>
        <v>0</v>
      </c>
      <c r="M124" s="31">
        <f>IF($D124="","",IFERROR(VLOOKUP($B124,Kraftvärmeprod!$B$1:$BX$550,MATCH(M$2,Kraftvärmeprod!$B$1:$VX$1,0),FALSE)/1,0)-IFERROR(VLOOKUP($B124,'Slutlig allokering kvv'!$B$2:$BX$550,MATCH(M$2,'Slutlig allokering kvv'!$B$1:$BX$1,0),FALSE)/1,0))</f>
        <v>0</v>
      </c>
      <c r="N124" s="31">
        <f>IF($D124="","",IFERROR(VLOOKUP($B124,Kraftvärmeprod!$B$1:$BX$550,MATCH(N$2,Kraftvärmeprod!$B$1:$VX$1,0),FALSE)/1,0)-IFERROR(VLOOKUP($B124,'Slutlig allokering kvv'!$B$2:$BX$550,MATCH(N$2,'Slutlig allokering kvv'!$B$1:$BX$1,0),FALSE)/1,0))</f>
        <v>0</v>
      </c>
      <c r="O124" s="31">
        <f>IF($D124="","",IFERROR(VLOOKUP($B124,Kraftvärmeprod!$B$1:$BX$550,MATCH(O$2,Kraftvärmeprod!$B$1:$VX$1,0),FALSE)/1,0)-IFERROR(VLOOKUP($B124,'Slutlig allokering kvv'!$B$2:$BX$550,MATCH(O$2,'Slutlig allokering kvv'!$B$1:$BX$1,0),FALSE)/1,0))</f>
        <v>0</v>
      </c>
      <c r="P124" s="31">
        <f>IF($D124="","",IFERROR(VLOOKUP($B124,Kraftvärmeprod!$B$1:$BX$550,MATCH(P$2,Kraftvärmeprod!$B$1:$VX$1,0),FALSE)/1,0)-IFERROR(VLOOKUP($B124,'Slutlig allokering kvv'!$B$2:$BX$550,MATCH(P$2,'Slutlig allokering kvv'!$B$1:$BX$1,0),FALSE)/1,0))</f>
        <v>0</v>
      </c>
      <c r="Q124" s="31">
        <f>IF($D124="","",IFERROR(VLOOKUP($B124,Kraftvärmeprod!$B$1:$BX$550,MATCH(Q$2,Kraftvärmeprod!$B$1:$VX$1,0),FALSE)/1,0)-IFERROR(VLOOKUP($B124,'Slutlig allokering kvv'!$B$2:$BX$550,MATCH(Q$2,'Slutlig allokering kvv'!$B$1:$BX$1,0),FALSE)/1,0))</f>
        <v>0</v>
      </c>
      <c r="R124" s="31">
        <f>IF($D124="","",IFERROR(VLOOKUP($B124,Kraftvärmeprod!$B$1:$BX$550,MATCH(R$2,Kraftvärmeprod!$B$1:$VX$1,0),FALSE)/1,0)-IFERROR(VLOOKUP($B124,'Slutlig allokering kvv'!$B$2:$BX$550,MATCH(R$2,'Slutlig allokering kvv'!$B$1:$BX$1,0),FALSE)/1,0))</f>
        <v>0</v>
      </c>
      <c r="S124" s="31">
        <f>IF($D124="","",IFERROR(VLOOKUP($B124,Kraftvärmeprod!$B$1:$BX$550,MATCH(S$2,Kraftvärmeprod!$B$1:$VX$1,0),FALSE)/1,0)-IFERROR(VLOOKUP($B124,'Slutlig allokering kvv'!$B$2:$BX$550,MATCH(S$2,'Slutlig allokering kvv'!$B$1:$BX$1,0),FALSE)/1,0))</f>
        <v>0</v>
      </c>
      <c r="T124" s="31">
        <f>IF($D124="","",IFERROR(VLOOKUP($B124,Kraftvärmeprod!$B$1:$BX$550,MATCH(T$2,Kraftvärmeprod!$B$1:$VX$1,0),FALSE)/1,0)-IFERROR(VLOOKUP($B124,'Slutlig allokering kvv'!$B$2:$BX$550,MATCH(T$2,'Slutlig allokering kvv'!$B$1:$BX$1,0),FALSE)/1,0))</f>
        <v>0</v>
      </c>
      <c r="U124" s="31">
        <f>IF($D124="","",IFERROR(VLOOKUP($B124,Kraftvärmeprod!$B$1:$BX$550,MATCH(U$2,Kraftvärmeprod!$B$1:$VX$1,0),FALSE)/1,0)-IFERROR(VLOOKUP($B124,'Slutlig allokering kvv'!$B$2:$BX$550,MATCH(U$2,'Slutlig allokering kvv'!$B$1:$BX$1,0),FALSE)/1,0))</f>
        <v>0</v>
      </c>
      <c r="V124" s="31">
        <f>IF($D124="","",IFERROR(VLOOKUP($B124,Kraftvärmeprod!$B$1:$BX$550,MATCH(V$2,Kraftvärmeprod!$B$1:$VX$1,0),FALSE)/1,0)-IFERROR(VLOOKUP($B124,'Slutlig allokering kvv'!$B$2:$BX$550,MATCH(V$2,'Slutlig allokering kvv'!$B$1:$BX$1,0),FALSE)/1,0))</f>
        <v>24.532999999999987</v>
      </c>
      <c r="W124" s="31">
        <f>IF($D124="","",IFERROR(VLOOKUP($B124,Kraftvärmeprod!$B$1:$BX$550,MATCH(W$2,Kraftvärmeprod!$B$1:$VX$1,0),FALSE)/1,0)-IFERROR(VLOOKUP($B124,'Slutlig allokering kvv'!$B$2:$BX$550,MATCH(W$2,'Slutlig allokering kvv'!$B$1:$BX$1,0),FALSE)/1,0))</f>
        <v>0</v>
      </c>
      <c r="X124" s="31">
        <f>IF($D124="","",IFERROR(VLOOKUP($B124,Kraftvärmeprod!$B$1:$BX$550,MATCH(X$2,Kraftvärmeprod!$B$1:$VX$1,0),FALSE)/1,0)-IFERROR(VLOOKUP($B124,'Slutlig allokering kvv'!$B$2:$BX$550,MATCH(X$2,'Slutlig allokering kvv'!$B$1:$BX$1,0),FALSE)/1,0))</f>
        <v>3.0887999999999991</v>
      </c>
      <c r="Y124" s="31">
        <f>IF($D124="","",IFERROR(VLOOKUP($B124,Kraftvärmeprod!$B$1:$BX$550,MATCH(Y$2,Kraftvärmeprod!$B$1:$VX$1,0),FALSE)/1,0)-IFERROR(VLOOKUP($B124,'Slutlig allokering kvv'!$B$2:$BX$550,MATCH(Y$2,'Slutlig allokering kvv'!$B$1:$BX$1,0),FALSE)/1,0))</f>
        <v>0.76503999999999994</v>
      </c>
      <c r="Z124" s="31">
        <f>IF($D124="","",IFERROR(VLOOKUP($B124,Kraftvärmeprod!$B$1:$BX$550,MATCH(Z$2,Kraftvärmeprod!$B$1:$VX$1,0),FALSE)/1,0)-IFERROR(VLOOKUP($B124,'Slutlig allokering kvv'!$B$2:$BX$550,MATCH(Z$2,'Slutlig allokering kvv'!$B$1:$BX$1,0),FALSE)/1,0))</f>
        <v>5.5192999999999941</v>
      </c>
      <c r="AA124" s="31">
        <f>IF($D124="","",IFERROR(VLOOKUP($B124,Kraftvärmeprod!$B$1:$BX$550,MATCH(AA$2,Kraftvärmeprod!$B$1:$VX$1,0),FALSE)/1,0)-IFERROR(VLOOKUP($B124,'Slutlig allokering kvv'!$B$2:$BX$550,MATCH(AA$2,'Slutlig allokering kvv'!$B$1:$BX$1,0),FALSE)/1,0))</f>
        <v>14.150499999999994</v>
      </c>
      <c r="AB124" s="31">
        <f>IF($D124="","",IFERROR(VLOOKUP($B124,Kraftvärmeprod!$B$1:$BX$550,MATCH(AB$2,Kraftvärmeprod!$B$1:$VX$1,0),FALSE)/1,0)-IFERROR(VLOOKUP($B124,'Slutlig allokering kvv'!$B$2:$BX$550,MATCH(AB$2,'Slutlig allokering kvv'!$B$1:$BX$1,0),FALSE)/1,0))</f>
        <v>0</v>
      </c>
      <c r="AC124" s="31">
        <f>IF($D124="","",IFERROR(VLOOKUP($B124,Kraftvärmeprod!$B$1:$BX$550,MATCH(AC$2,Kraftvärmeprod!$B$1:$VX$1,0),FALSE)/1,0)-IFERROR(VLOOKUP($B124,'Slutlig allokering kvv'!$B$2:$BX$550,MATCH(AC$2,'Slutlig allokering kvv'!$B$1:$BX$1,0),FALSE)/1,0))</f>
        <v>0</v>
      </c>
      <c r="AD124" s="31">
        <f>IF($D124="","",IFERROR(VLOOKUP($B124,Kraftvärmeprod!$B$1:$BX$550,MATCH(AD$2,Kraftvärmeprod!$B$1:$VX$1,0),FALSE)/1,0)-IFERROR(VLOOKUP($B124,'Slutlig allokering kvv'!$B$2:$BX$550,MATCH(AD$2,'Slutlig allokering kvv'!$B$1:$BX$1,0),FALSE)/1,0))</f>
        <v>0</v>
      </c>
      <c r="AE124" s="31">
        <f>IF($D124="","",IFERROR(VLOOKUP($B124,Miljö!$B$1:$E$550,MATCH("Hjälpel kraftvärme (GWh)",Miljö!$B$1:$E$1,0),FALSE)/1,0)-IFERROR(VLOOKUP($B124,'Slutlig allokering kvv'!$B$2:$BX$549,MATCH(AE$2,'Slutlig allokering kvv'!$B$1:$BX$1,0),FALSE)/1,0))</f>
        <v>2.0068999999999999</v>
      </c>
      <c r="AI124" s="39">
        <f t="shared" si="4"/>
        <v>48.792569999999969</v>
      </c>
      <c r="AK124" s="31">
        <f>IFERROR(VLOOKUP($B124,'Slutlig allokering kvv'!$B$2:$AX$549,MATCH("Summa slutlig allokerad tillförd energi (utan hjälpel och rökgaskondensering):",'Slutlig allokering kvv'!$B$1:$AX$1,0),FALSE)/1,"")</f>
        <v>324.00743</v>
      </c>
      <c r="AM124" s="31">
        <f>IFERROR(1-VLOOKUP($B124,'Slutlig allokering kvv'!$B$2:$AX$549,MATCH("Andel av bränsle i kvv som allokerats till värme, exklusive rökgaskondensering och hjälpel",'Slutlig allokering kvv'!$B$1:$AX$1,0),FALSE),"")</f>
        <v>0.13088135729613737</v>
      </c>
      <c r="AO124" s="31">
        <f t="shared" si="5"/>
        <v>0.13088135729613729</v>
      </c>
      <c r="AP124" s="31">
        <f t="shared" si="6"/>
        <v>8.3266726846886741E-17</v>
      </c>
      <c r="AR124" s="32">
        <f t="shared" si="7"/>
        <v>0.36023997888166964</v>
      </c>
    </row>
    <row r="125" spans="1:44" s="31" customFormat="1" x14ac:dyDescent="0.45">
      <c r="A125" s="31" t="s">
        <v>507</v>
      </c>
      <c r="B125" s="31" t="s">
        <v>506</v>
      </c>
      <c r="C125" s="31">
        <f>IFERROR(VLOOKUP($B125,Kraftvärmeprod!$B$1:$AH$479,MATCH(C$2,Kraftvärmeprod!$B$1:$AG$1,0),FALSE)/1,"")</f>
        <v>470.69499999999999</v>
      </c>
      <c r="D125" s="31">
        <f>IFERROR(VLOOKUP($B125,Kraftvärmeprod!$B$1:$AH$479,MATCH(D$2,Kraftvärmeprod!$B$1:$AG$1,0),FALSE)/1,"")</f>
        <v>130.47499999999999</v>
      </c>
      <c r="F125" s="31">
        <f>IF($D125="","",IFERROR(VLOOKUP($B125,Kraftvärmeprod!$B$1:$BX$550,MATCH(F$2,Kraftvärmeprod!$B$1:$VX$1,0),FALSE)/1,0)-IFERROR(VLOOKUP($B125,'Slutlig allokering kvv'!$B$2:$BX$550,MATCH(F$2,'Slutlig allokering kvv'!$B$1:$BX$1,0),FALSE)/1,0))</f>
        <v>0</v>
      </c>
      <c r="G125" s="31">
        <f>IF($D125="","",IFERROR(VLOOKUP($B125,Kraftvärmeprod!$B$1:$BX$550,MATCH(G$2,Kraftvärmeprod!$B$1:$VX$1,0),FALSE)/1,0)-IFERROR(VLOOKUP($B125,'Slutlig allokering kvv'!$B$2:$BX$550,MATCH(G$2,'Slutlig allokering kvv'!$B$1:$BX$1,0),FALSE)/1,0))</f>
        <v>1.03251</v>
      </c>
      <c r="H125" s="31">
        <f>IF($D125="","",IFERROR(VLOOKUP($B125,Kraftvärmeprod!$B$1:$BX$550,MATCH(H$2,Kraftvärmeprod!$B$1:$VX$1,0),FALSE)/1,0)-IFERROR(VLOOKUP($B125,'Slutlig allokering kvv'!$B$2:$BX$550,MATCH(H$2,'Slutlig allokering kvv'!$B$1:$BX$1,0),FALSE)/1,0))</f>
        <v>0</v>
      </c>
      <c r="I125" s="31">
        <f>IF($D125="","",IFERROR(VLOOKUP($B125,Kraftvärmeprod!$B$1:$BX$550,MATCH(I$2,Kraftvärmeprod!$B$1:$VX$1,0),FALSE)/1,0)-IFERROR(VLOOKUP($B125,'Slutlig allokering kvv'!$B$2:$BX$550,MATCH(I$2,'Slutlig allokering kvv'!$B$1:$BX$1,0),FALSE)/1,0))</f>
        <v>0</v>
      </c>
      <c r="J125" s="31">
        <f>IF($D125="","",IFERROR(VLOOKUP($B125,Kraftvärmeprod!$B$1:$BX$550,MATCH(J$2,Kraftvärmeprod!$B$1:$VX$1,0),FALSE)/1,0)-IFERROR(VLOOKUP($B125,'Slutlig allokering kvv'!$B$2:$BX$550,MATCH(J$2,'Slutlig allokering kvv'!$B$1:$BX$1,0),FALSE)/1,0))</f>
        <v>0</v>
      </c>
      <c r="K125" s="31">
        <f>IF($D125="","",IFERROR(VLOOKUP($B125,Kraftvärmeprod!$B$1:$BX$550,MATCH(K$2,Kraftvärmeprod!$B$1:$VX$1,0),FALSE)/1,0)-IFERROR(VLOOKUP($B125,'Slutlig allokering kvv'!$B$2:$BX$550,MATCH(K$2,'Slutlig allokering kvv'!$B$1:$BX$1,0),FALSE)/1,0))</f>
        <v>0</v>
      </c>
      <c r="L125" s="31">
        <f>IF($D125="","",IFERROR(VLOOKUP($B125,Kraftvärmeprod!$B$1:$BX$550,MATCH(L$2,Kraftvärmeprod!$B$1:$VX$1,0),FALSE)/1,0)-IFERROR(VLOOKUP($B125,'Slutlig allokering kvv'!$B$2:$BX$550,MATCH(L$2,'Slutlig allokering kvv'!$B$1:$BX$1,0),FALSE)/1,0))</f>
        <v>0</v>
      </c>
      <c r="M125" s="31">
        <f>IF($D125="","",IFERROR(VLOOKUP($B125,Kraftvärmeprod!$B$1:$BX$550,MATCH(M$2,Kraftvärmeprod!$B$1:$VX$1,0),FALSE)/1,0)-IFERROR(VLOOKUP($B125,'Slutlig allokering kvv'!$B$2:$BX$550,MATCH(M$2,'Slutlig allokering kvv'!$B$1:$BX$1,0),FALSE)/1,0))</f>
        <v>0</v>
      </c>
      <c r="N125" s="31">
        <f>IF($D125="","",IFERROR(VLOOKUP($B125,Kraftvärmeprod!$B$1:$BX$550,MATCH(N$2,Kraftvärmeprod!$B$1:$VX$1,0),FALSE)/1,0)-IFERROR(VLOOKUP($B125,'Slutlig allokering kvv'!$B$2:$BX$550,MATCH(N$2,'Slutlig allokering kvv'!$B$1:$BX$1,0),FALSE)/1,0))</f>
        <v>0</v>
      </c>
      <c r="O125" s="31">
        <f>IF($D125="","",IFERROR(VLOOKUP($B125,Kraftvärmeprod!$B$1:$BX$550,MATCH(O$2,Kraftvärmeprod!$B$1:$VX$1,0),FALSE)/1,0)-IFERROR(VLOOKUP($B125,'Slutlig allokering kvv'!$B$2:$BX$550,MATCH(O$2,'Slutlig allokering kvv'!$B$1:$BX$1,0),FALSE)/1,0))</f>
        <v>0</v>
      </c>
      <c r="P125" s="31">
        <f>IF($D125="","",IFERROR(VLOOKUP($B125,Kraftvärmeprod!$B$1:$BX$550,MATCH(P$2,Kraftvärmeprod!$B$1:$VX$1,0),FALSE)/1,0)-IFERROR(VLOOKUP($B125,'Slutlig allokering kvv'!$B$2:$BX$550,MATCH(P$2,'Slutlig allokering kvv'!$B$1:$BX$1,0),FALSE)/1,0))</f>
        <v>0</v>
      </c>
      <c r="Q125" s="31">
        <f>IF($D125="","",IFERROR(VLOOKUP($B125,Kraftvärmeprod!$B$1:$BX$550,MATCH(Q$2,Kraftvärmeprod!$B$1:$VX$1,0),FALSE)/1,0)-IFERROR(VLOOKUP($B125,'Slutlig allokering kvv'!$B$2:$BX$550,MATCH(Q$2,'Slutlig allokering kvv'!$B$1:$BX$1,0),FALSE)/1,0))</f>
        <v>230.96199999999999</v>
      </c>
      <c r="R125" s="31">
        <f>IF($D125="","",IFERROR(VLOOKUP($B125,Kraftvärmeprod!$B$1:$BX$550,MATCH(R$2,Kraftvärmeprod!$B$1:$VX$1,0),FALSE)/1,0)-IFERROR(VLOOKUP($B125,'Slutlig allokering kvv'!$B$2:$BX$550,MATCH(R$2,'Slutlig allokering kvv'!$B$1:$BX$1,0),FALSE)/1,0))</f>
        <v>0</v>
      </c>
      <c r="S125" s="31">
        <f>IF($D125="","",IFERROR(VLOOKUP($B125,Kraftvärmeprod!$B$1:$BX$550,MATCH(S$2,Kraftvärmeprod!$B$1:$VX$1,0),FALSE)/1,0)-IFERROR(VLOOKUP($B125,'Slutlig allokering kvv'!$B$2:$BX$550,MATCH(S$2,'Slutlig allokering kvv'!$B$1:$BX$1,0),FALSE)/1,0))</f>
        <v>0</v>
      </c>
      <c r="T125" s="31">
        <f>IF($D125="","",IFERROR(VLOOKUP($B125,Kraftvärmeprod!$B$1:$BX$550,MATCH(T$2,Kraftvärmeprod!$B$1:$VX$1,0),FALSE)/1,0)-IFERROR(VLOOKUP($B125,'Slutlig allokering kvv'!$B$2:$BX$550,MATCH(T$2,'Slutlig allokering kvv'!$B$1:$BX$1,0),FALSE)/1,0))</f>
        <v>0</v>
      </c>
      <c r="U125" s="31">
        <f>IF($D125="","",IFERROR(VLOOKUP($B125,Kraftvärmeprod!$B$1:$BX$550,MATCH(U$2,Kraftvärmeprod!$B$1:$VX$1,0),FALSE)/1,0)-IFERROR(VLOOKUP($B125,'Slutlig allokering kvv'!$B$2:$BX$550,MATCH(U$2,'Slutlig allokering kvv'!$B$1:$BX$1,0),FALSE)/1,0))</f>
        <v>0</v>
      </c>
      <c r="V125" s="31">
        <f>IF($D125="","",IFERROR(VLOOKUP($B125,Kraftvärmeprod!$B$1:$BX$550,MATCH(V$2,Kraftvärmeprod!$B$1:$VX$1,0),FALSE)/1,0)-IFERROR(VLOOKUP($B125,'Slutlig allokering kvv'!$B$2:$BX$550,MATCH(V$2,'Slutlig allokering kvv'!$B$1:$BX$1,0),FALSE)/1,0))</f>
        <v>0</v>
      </c>
      <c r="W125" s="31">
        <f>IF($D125="","",IFERROR(VLOOKUP($B125,Kraftvärmeprod!$B$1:$BX$550,MATCH(W$2,Kraftvärmeprod!$B$1:$VX$1,0),FALSE)/1,0)-IFERROR(VLOOKUP($B125,'Slutlig allokering kvv'!$B$2:$BX$550,MATCH(W$2,'Slutlig allokering kvv'!$B$1:$BX$1,0),FALSE)/1,0))</f>
        <v>0</v>
      </c>
      <c r="X125" s="31">
        <f>IF($D125="","",IFERROR(VLOOKUP($B125,Kraftvärmeprod!$B$1:$BX$550,MATCH(X$2,Kraftvärmeprod!$B$1:$VX$1,0),FALSE)/1,0)-IFERROR(VLOOKUP($B125,'Slutlig allokering kvv'!$B$2:$BX$550,MATCH(X$2,'Slutlig allokering kvv'!$B$1:$BX$1,0),FALSE)/1,0))</f>
        <v>0</v>
      </c>
      <c r="Y125" s="31">
        <f>IF($D125="","",IFERROR(VLOOKUP($B125,Kraftvärmeprod!$B$1:$BX$550,MATCH(Y$2,Kraftvärmeprod!$B$1:$VX$1,0),FALSE)/1,0)-IFERROR(VLOOKUP($B125,'Slutlig allokering kvv'!$B$2:$BX$550,MATCH(Y$2,'Slutlig allokering kvv'!$B$1:$BX$1,0),FALSE)/1,0))</f>
        <v>0</v>
      </c>
      <c r="Z125" s="31">
        <f>IF($D125="","",IFERROR(VLOOKUP($B125,Kraftvärmeprod!$B$1:$BX$550,MATCH(Z$2,Kraftvärmeprod!$B$1:$VX$1,0),FALSE)/1,0)-IFERROR(VLOOKUP($B125,'Slutlig allokering kvv'!$B$2:$BX$550,MATCH(Z$2,'Slutlig allokering kvv'!$B$1:$BX$1,0),FALSE)/1,0))</f>
        <v>0</v>
      </c>
      <c r="AA125" s="31">
        <f>IF($D125="","",IFERROR(VLOOKUP($B125,Kraftvärmeprod!$B$1:$BX$550,MATCH(AA$2,Kraftvärmeprod!$B$1:$VX$1,0),FALSE)/1,0)-IFERROR(VLOOKUP($B125,'Slutlig allokering kvv'!$B$2:$BX$550,MATCH(AA$2,'Slutlig allokering kvv'!$B$1:$BX$1,0),FALSE)/1,0))</f>
        <v>0</v>
      </c>
      <c r="AB125" s="31">
        <f>IF($D125="","",IFERROR(VLOOKUP($B125,Kraftvärmeprod!$B$1:$BX$550,MATCH(AB$2,Kraftvärmeprod!$B$1:$VX$1,0),FALSE)/1,0)-IFERROR(VLOOKUP($B125,'Slutlig allokering kvv'!$B$2:$BX$550,MATCH(AB$2,'Slutlig allokering kvv'!$B$1:$BX$1,0),FALSE)/1,0))</f>
        <v>0</v>
      </c>
      <c r="AC125" s="31">
        <f>IF($D125="","",IFERROR(VLOOKUP($B125,Kraftvärmeprod!$B$1:$BX$550,MATCH(AC$2,Kraftvärmeprod!$B$1:$VX$1,0),FALSE)/1,0)-IFERROR(VLOOKUP($B125,'Slutlig allokering kvv'!$B$2:$BX$550,MATCH(AC$2,'Slutlig allokering kvv'!$B$1:$BX$1,0),FALSE)/1,0))</f>
        <v>0</v>
      </c>
      <c r="AD125" s="31">
        <f>IF($D125="","",IFERROR(VLOOKUP($B125,Kraftvärmeprod!$B$1:$BX$550,MATCH(AD$2,Kraftvärmeprod!$B$1:$VX$1,0),FALSE)/1,0)-IFERROR(VLOOKUP($B125,'Slutlig allokering kvv'!$B$2:$BX$550,MATCH(AD$2,'Slutlig allokering kvv'!$B$1:$BX$1,0),FALSE)/1,0))</f>
        <v>0</v>
      </c>
      <c r="AE125" s="31">
        <f>IF($D125="","",IFERROR(VLOOKUP($B125,Miljö!$B$1:$E$550,MATCH("Hjälpel kraftvärme (GWh)",Miljö!$B$1:$E$1,0),FALSE)/1,0)-IFERROR(VLOOKUP($B125,'Slutlig allokering kvv'!$B$2:$BX$549,MATCH(AE$2,'Slutlig allokering kvv'!$B$1:$BX$1,0),FALSE)/1,0))</f>
        <v>11.342900000000002</v>
      </c>
      <c r="AI125" s="39">
        <f t="shared" si="4"/>
        <v>231.99450999999999</v>
      </c>
      <c r="AK125" s="31">
        <f>IFERROR(VLOOKUP($B125,'Slutlig allokering kvv'!$B$2:$AX$549,MATCH("Summa slutlig allokerad tillförd energi (utan hjälpel och rökgaskondensering):",'Slutlig allokering kvv'!$B$1:$AX$1,0),FALSE)/1,"")</f>
        <v>321.56149000000005</v>
      </c>
      <c r="AM125" s="31">
        <f>IFERROR(1-VLOOKUP($B125,'Slutlig allokering kvv'!$B$2:$AX$549,MATCH("Andel av bränsle i kvv som allokerats till värme, exklusive rökgaskondensering och hjälpel",'Slutlig allokering kvv'!$B$1:$AX$1,0),FALSE),"")</f>
        <v>0.41909853745601167</v>
      </c>
      <c r="AO125" s="31">
        <f t="shared" si="5"/>
        <v>0.41909853745601161</v>
      </c>
      <c r="AP125" s="31">
        <f t="shared" si="6"/>
        <v>5.5511151231257827E-17</v>
      </c>
      <c r="AR125" s="32">
        <f t="shared" si="7"/>
        <v>0.53618964712413097</v>
      </c>
    </row>
    <row r="126" spans="1:44" s="31" customFormat="1" x14ac:dyDescent="0.45">
      <c r="A126" s="31" t="s">
        <v>505</v>
      </c>
      <c r="B126" s="31" t="s">
        <v>504</v>
      </c>
      <c r="C126" s="31" t="str">
        <f>IFERROR(VLOOKUP($B126,Kraftvärmeprod!$B$1:$AH$479,MATCH(C$2,Kraftvärmeprod!$B$1:$AG$1,0),FALSE)/1,"")</f>
        <v/>
      </c>
      <c r="D126" s="31" t="str">
        <f>IFERROR(VLOOKUP($B126,Kraftvärmeprod!$B$1:$AH$479,MATCH(D$2,Kraftvärmeprod!$B$1:$AG$1,0),FALSE)/1,"")</f>
        <v/>
      </c>
      <c r="F126" s="31" t="str">
        <f>IF($D126="","",IFERROR(VLOOKUP($B126,Kraftvärmeprod!$B$1:$BX$550,MATCH(F$2,Kraftvärmeprod!$B$1:$VX$1,0),FALSE)/1,0)-IFERROR(VLOOKUP($B126,'Slutlig allokering kvv'!$B$2:$BX$550,MATCH(F$2,'Slutlig allokering kvv'!$B$1:$BX$1,0),FALSE)/1,0))</f>
        <v/>
      </c>
      <c r="G126" s="31" t="str">
        <f>IF($D126="","",IFERROR(VLOOKUP($B126,Kraftvärmeprod!$B$1:$BX$550,MATCH(G$2,Kraftvärmeprod!$B$1:$VX$1,0),FALSE)/1,0)-IFERROR(VLOOKUP($B126,'Slutlig allokering kvv'!$B$2:$BX$550,MATCH(G$2,'Slutlig allokering kvv'!$B$1:$BX$1,0),FALSE)/1,0))</f>
        <v/>
      </c>
      <c r="H126" s="31" t="str">
        <f>IF($D126="","",IFERROR(VLOOKUP($B126,Kraftvärmeprod!$B$1:$BX$550,MATCH(H$2,Kraftvärmeprod!$B$1:$VX$1,0),FALSE)/1,0)-IFERROR(VLOOKUP($B126,'Slutlig allokering kvv'!$B$2:$BX$550,MATCH(H$2,'Slutlig allokering kvv'!$B$1:$BX$1,0),FALSE)/1,0))</f>
        <v/>
      </c>
      <c r="I126" s="31" t="str">
        <f>IF($D126="","",IFERROR(VLOOKUP($B126,Kraftvärmeprod!$B$1:$BX$550,MATCH(I$2,Kraftvärmeprod!$B$1:$VX$1,0),FALSE)/1,0)-IFERROR(VLOOKUP($B126,'Slutlig allokering kvv'!$B$2:$BX$550,MATCH(I$2,'Slutlig allokering kvv'!$B$1:$BX$1,0),FALSE)/1,0))</f>
        <v/>
      </c>
      <c r="J126" s="31" t="str">
        <f>IF($D126="","",IFERROR(VLOOKUP($B126,Kraftvärmeprod!$B$1:$BX$550,MATCH(J$2,Kraftvärmeprod!$B$1:$VX$1,0),FALSE)/1,0)-IFERROR(VLOOKUP($B126,'Slutlig allokering kvv'!$B$2:$BX$550,MATCH(J$2,'Slutlig allokering kvv'!$B$1:$BX$1,0),FALSE)/1,0))</f>
        <v/>
      </c>
      <c r="K126" s="31" t="str">
        <f>IF($D126="","",IFERROR(VLOOKUP($B126,Kraftvärmeprod!$B$1:$BX$550,MATCH(K$2,Kraftvärmeprod!$B$1:$VX$1,0),FALSE)/1,0)-IFERROR(VLOOKUP($B126,'Slutlig allokering kvv'!$B$2:$BX$550,MATCH(K$2,'Slutlig allokering kvv'!$B$1:$BX$1,0),FALSE)/1,0))</f>
        <v/>
      </c>
      <c r="L126" s="31" t="str">
        <f>IF($D126="","",IFERROR(VLOOKUP($B126,Kraftvärmeprod!$B$1:$BX$550,MATCH(L$2,Kraftvärmeprod!$B$1:$VX$1,0),FALSE)/1,0)-IFERROR(VLOOKUP($B126,'Slutlig allokering kvv'!$B$2:$BX$550,MATCH(L$2,'Slutlig allokering kvv'!$B$1:$BX$1,0),FALSE)/1,0))</f>
        <v/>
      </c>
      <c r="M126" s="31" t="str">
        <f>IF($D126="","",IFERROR(VLOOKUP($B126,Kraftvärmeprod!$B$1:$BX$550,MATCH(M$2,Kraftvärmeprod!$B$1:$VX$1,0),FALSE)/1,0)-IFERROR(VLOOKUP($B126,'Slutlig allokering kvv'!$B$2:$BX$550,MATCH(M$2,'Slutlig allokering kvv'!$B$1:$BX$1,0),FALSE)/1,0))</f>
        <v/>
      </c>
      <c r="N126" s="31" t="str">
        <f>IF($D126="","",IFERROR(VLOOKUP($B126,Kraftvärmeprod!$B$1:$BX$550,MATCH(N$2,Kraftvärmeprod!$B$1:$VX$1,0),FALSE)/1,0)-IFERROR(VLOOKUP($B126,'Slutlig allokering kvv'!$B$2:$BX$550,MATCH(N$2,'Slutlig allokering kvv'!$B$1:$BX$1,0),FALSE)/1,0))</f>
        <v/>
      </c>
      <c r="O126" s="31" t="str">
        <f>IF($D126="","",IFERROR(VLOOKUP($B126,Kraftvärmeprod!$B$1:$BX$550,MATCH(O$2,Kraftvärmeprod!$B$1:$VX$1,0),FALSE)/1,0)-IFERROR(VLOOKUP($B126,'Slutlig allokering kvv'!$B$2:$BX$550,MATCH(O$2,'Slutlig allokering kvv'!$B$1:$BX$1,0),FALSE)/1,0))</f>
        <v/>
      </c>
      <c r="P126" s="31" t="str">
        <f>IF($D126="","",IFERROR(VLOOKUP($B126,Kraftvärmeprod!$B$1:$BX$550,MATCH(P$2,Kraftvärmeprod!$B$1:$VX$1,0),FALSE)/1,0)-IFERROR(VLOOKUP($B126,'Slutlig allokering kvv'!$B$2:$BX$550,MATCH(P$2,'Slutlig allokering kvv'!$B$1:$BX$1,0),FALSE)/1,0))</f>
        <v/>
      </c>
      <c r="Q126" s="31" t="str">
        <f>IF($D126="","",IFERROR(VLOOKUP($B126,Kraftvärmeprod!$B$1:$BX$550,MATCH(Q$2,Kraftvärmeprod!$B$1:$VX$1,0),FALSE)/1,0)-IFERROR(VLOOKUP($B126,'Slutlig allokering kvv'!$B$2:$BX$550,MATCH(Q$2,'Slutlig allokering kvv'!$B$1:$BX$1,0),FALSE)/1,0))</f>
        <v/>
      </c>
      <c r="R126" s="31" t="str">
        <f>IF($D126="","",IFERROR(VLOOKUP($B126,Kraftvärmeprod!$B$1:$BX$550,MATCH(R$2,Kraftvärmeprod!$B$1:$VX$1,0),FALSE)/1,0)-IFERROR(VLOOKUP($B126,'Slutlig allokering kvv'!$B$2:$BX$550,MATCH(R$2,'Slutlig allokering kvv'!$B$1:$BX$1,0),FALSE)/1,0))</f>
        <v/>
      </c>
      <c r="S126" s="31" t="str">
        <f>IF($D126="","",IFERROR(VLOOKUP($B126,Kraftvärmeprod!$B$1:$BX$550,MATCH(S$2,Kraftvärmeprod!$B$1:$VX$1,0),FALSE)/1,0)-IFERROR(VLOOKUP($B126,'Slutlig allokering kvv'!$B$2:$BX$550,MATCH(S$2,'Slutlig allokering kvv'!$B$1:$BX$1,0),FALSE)/1,0))</f>
        <v/>
      </c>
      <c r="T126" s="31" t="str">
        <f>IF($D126="","",IFERROR(VLOOKUP($B126,Kraftvärmeprod!$B$1:$BX$550,MATCH(T$2,Kraftvärmeprod!$B$1:$VX$1,0),FALSE)/1,0)-IFERROR(VLOOKUP($B126,'Slutlig allokering kvv'!$B$2:$BX$550,MATCH(T$2,'Slutlig allokering kvv'!$B$1:$BX$1,0),FALSE)/1,0))</f>
        <v/>
      </c>
      <c r="U126" s="31" t="str">
        <f>IF($D126="","",IFERROR(VLOOKUP($B126,Kraftvärmeprod!$B$1:$BX$550,MATCH(U$2,Kraftvärmeprod!$B$1:$VX$1,0),FALSE)/1,0)-IFERROR(VLOOKUP($B126,'Slutlig allokering kvv'!$B$2:$BX$550,MATCH(U$2,'Slutlig allokering kvv'!$B$1:$BX$1,0),FALSE)/1,0))</f>
        <v/>
      </c>
      <c r="V126" s="31" t="str">
        <f>IF($D126="","",IFERROR(VLOOKUP($B126,Kraftvärmeprod!$B$1:$BX$550,MATCH(V$2,Kraftvärmeprod!$B$1:$VX$1,0),FALSE)/1,0)-IFERROR(VLOOKUP($B126,'Slutlig allokering kvv'!$B$2:$BX$550,MATCH(V$2,'Slutlig allokering kvv'!$B$1:$BX$1,0),FALSE)/1,0))</f>
        <v/>
      </c>
      <c r="W126" s="31" t="str">
        <f>IF($D126="","",IFERROR(VLOOKUP($B126,Kraftvärmeprod!$B$1:$BX$550,MATCH(W$2,Kraftvärmeprod!$B$1:$VX$1,0),FALSE)/1,0)-IFERROR(VLOOKUP($B126,'Slutlig allokering kvv'!$B$2:$BX$550,MATCH(W$2,'Slutlig allokering kvv'!$B$1:$BX$1,0),FALSE)/1,0))</f>
        <v/>
      </c>
      <c r="X126" s="31" t="str">
        <f>IF($D126="","",IFERROR(VLOOKUP($B126,Kraftvärmeprod!$B$1:$BX$550,MATCH(X$2,Kraftvärmeprod!$B$1:$VX$1,0),FALSE)/1,0)-IFERROR(VLOOKUP($B126,'Slutlig allokering kvv'!$B$2:$BX$550,MATCH(X$2,'Slutlig allokering kvv'!$B$1:$BX$1,0),FALSE)/1,0))</f>
        <v/>
      </c>
      <c r="Y126" s="31" t="str">
        <f>IF($D126="","",IFERROR(VLOOKUP($B126,Kraftvärmeprod!$B$1:$BX$550,MATCH(Y$2,Kraftvärmeprod!$B$1:$VX$1,0),FALSE)/1,0)-IFERROR(VLOOKUP($B126,'Slutlig allokering kvv'!$B$2:$BX$550,MATCH(Y$2,'Slutlig allokering kvv'!$B$1:$BX$1,0),FALSE)/1,0))</f>
        <v/>
      </c>
      <c r="Z126" s="31" t="str">
        <f>IF($D126="","",IFERROR(VLOOKUP($B126,Kraftvärmeprod!$B$1:$BX$550,MATCH(Z$2,Kraftvärmeprod!$B$1:$VX$1,0),FALSE)/1,0)-IFERROR(VLOOKUP($B126,'Slutlig allokering kvv'!$B$2:$BX$550,MATCH(Z$2,'Slutlig allokering kvv'!$B$1:$BX$1,0),FALSE)/1,0))</f>
        <v/>
      </c>
      <c r="AA126" s="31" t="str">
        <f>IF($D126="","",IFERROR(VLOOKUP($B126,Kraftvärmeprod!$B$1:$BX$550,MATCH(AA$2,Kraftvärmeprod!$B$1:$VX$1,0),FALSE)/1,0)-IFERROR(VLOOKUP($B126,'Slutlig allokering kvv'!$B$2:$BX$550,MATCH(AA$2,'Slutlig allokering kvv'!$B$1:$BX$1,0),FALSE)/1,0))</f>
        <v/>
      </c>
      <c r="AB126" s="31" t="str">
        <f>IF($D126="","",IFERROR(VLOOKUP($B126,Kraftvärmeprod!$B$1:$BX$550,MATCH(AB$2,Kraftvärmeprod!$B$1:$VX$1,0),FALSE)/1,0)-IFERROR(VLOOKUP($B126,'Slutlig allokering kvv'!$B$2:$BX$550,MATCH(AB$2,'Slutlig allokering kvv'!$B$1:$BX$1,0),FALSE)/1,0))</f>
        <v/>
      </c>
      <c r="AC126" s="31" t="str">
        <f>IF($D126="","",IFERROR(VLOOKUP($B126,Kraftvärmeprod!$B$1:$BX$550,MATCH(AC$2,Kraftvärmeprod!$B$1:$VX$1,0),FALSE)/1,0)-IFERROR(VLOOKUP($B126,'Slutlig allokering kvv'!$B$2:$BX$550,MATCH(AC$2,'Slutlig allokering kvv'!$B$1:$BX$1,0),FALSE)/1,0))</f>
        <v/>
      </c>
      <c r="AD126" s="31" t="str">
        <f>IF($D126="","",IFERROR(VLOOKUP($B126,Kraftvärmeprod!$B$1:$BX$550,MATCH(AD$2,Kraftvärmeprod!$B$1:$VX$1,0),FALSE)/1,0)-IFERROR(VLOOKUP($B126,'Slutlig allokering kvv'!$B$2:$BX$550,MATCH(AD$2,'Slutlig allokering kvv'!$B$1:$BX$1,0),FALSE)/1,0))</f>
        <v/>
      </c>
      <c r="AE126" s="31" t="str">
        <f>IF($D126="","",IFERROR(VLOOKUP($B126,Miljö!$B$1:$E$550,MATCH("Hjälpel kraftvärme (GWh)",Miljö!$B$1:$E$1,0),FALSE)/1,0)-IFERROR(VLOOKUP($B126,'Slutlig allokering kvv'!$B$2:$BX$549,MATCH(AE$2,'Slutlig allokering kvv'!$B$1:$BX$1,0),FALSE)/1,0))</f>
        <v/>
      </c>
      <c r="AI126" s="39">
        <f t="shared" si="4"/>
        <v>0</v>
      </c>
      <c r="AK126" s="31">
        <f>IFERROR(VLOOKUP($B126,'Slutlig allokering kvv'!$B$2:$AX$549,MATCH("Summa slutlig allokerad tillförd energi (utan hjälpel och rökgaskondensering):",'Slutlig allokering kvv'!$B$1:$AX$1,0),FALSE)/1,"")</f>
        <v>0</v>
      </c>
      <c r="AM126" s="31" t="str">
        <f>IFERROR(1-VLOOKUP($B126,'Slutlig allokering kvv'!$B$2:$AX$549,MATCH("Andel av bränsle i kvv som allokerats till värme, exklusive rökgaskondensering och hjälpel",'Slutlig allokering kvv'!$B$1:$AX$1,0),FALSE),"")</f>
        <v/>
      </c>
      <c r="AO126" s="31" t="str">
        <f t="shared" si="5"/>
        <v/>
      </c>
      <c r="AP126" s="31" t="str">
        <f t="shared" si="6"/>
        <v/>
      </c>
      <c r="AR126" s="32" t="str">
        <f t="shared" si="7"/>
        <v/>
      </c>
    </row>
    <row r="127" spans="1:44" s="31" customFormat="1" x14ac:dyDescent="0.45">
      <c r="A127" s="31" t="s">
        <v>502</v>
      </c>
      <c r="B127" s="31" t="s">
        <v>503</v>
      </c>
      <c r="C127" s="31">
        <f>IFERROR(VLOOKUP($B127,Kraftvärmeprod!$B$1:$AH$479,MATCH(C$2,Kraftvärmeprod!$B$1:$AG$1,0),FALSE)/1,"")</f>
        <v>147.69399999999999</v>
      </c>
      <c r="D127" s="31">
        <f>IFERROR(VLOOKUP($B127,Kraftvärmeprod!$B$1:$AH$479,MATCH(D$2,Kraftvärmeprod!$B$1:$AG$1,0),FALSE)/1,"")</f>
        <v>18.359000000000002</v>
      </c>
      <c r="F127" s="31">
        <f>IF($D127="","",IFERROR(VLOOKUP($B127,Kraftvärmeprod!$B$1:$BX$550,MATCH(F$2,Kraftvärmeprod!$B$1:$VX$1,0),FALSE)/1,0)-IFERROR(VLOOKUP($B127,'Slutlig allokering kvv'!$B$2:$BX$550,MATCH(F$2,'Slutlig allokering kvv'!$B$1:$BX$1,0),FALSE)/1,0))</f>
        <v>0</v>
      </c>
      <c r="G127" s="31">
        <f>IF($D127="","",IFERROR(VLOOKUP($B127,Kraftvärmeprod!$B$1:$BX$550,MATCH(G$2,Kraftvärmeprod!$B$1:$VX$1,0),FALSE)/1,0)-IFERROR(VLOOKUP($B127,'Slutlig allokering kvv'!$B$2:$BX$550,MATCH(G$2,'Slutlig allokering kvv'!$B$1:$BX$1,0),FALSE)/1,0))</f>
        <v>0</v>
      </c>
      <c r="H127" s="31">
        <f>IF($D127="","",IFERROR(VLOOKUP($B127,Kraftvärmeprod!$B$1:$BX$550,MATCH(H$2,Kraftvärmeprod!$B$1:$VX$1,0),FALSE)/1,0)-IFERROR(VLOOKUP($B127,'Slutlig allokering kvv'!$B$2:$BX$550,MATCH(H$2,'Slutlig allokering kvv'!$B$1:$BX$1,0),FALSE)/1,0))</f>
        <v>0</v>
      </c>
      <c r="I127" s="31">
        <f>IF($D127="","",IFERROR(VLOOKUP($B127,Kraftvärmeprod!$B$1:$BX$550,MATCH(I$2,Kraftvärmeprod!$B$1:$VX$1,0),FALSE)/1,0)-IFERROR(VLOOKUP($B127,'Slutlig allokering kvv'!$B$2:$BX$550,MATCH(I$2,'Slutlig allokering kvv'!$B$1:$BX$1,0),FALSE)/1,0))</f>
        <v>0</v>
      </c>
      <c r="J127" s="31">
        <f>IF($D127="","",IFERROR(VLOOKUP($B127,Kraftvärmeprod!$B$1:$BX$550,MATCH(J$2,Kraftvärmeprod!$B$1:$VX$1,0),FALSE)/1,0)-IFERROR(VLOOKUP($B127,'Slutlig allokering kvv'!$B$2:$BX$550,MATCH(J$2,'Slutlig allokering kvv'!$B$1:$BX$1,0),FALSE)/1,0))</f>
        <v>0</v>
      </c>
      <c r="K127" s="31">
        <f>IF($D127="","",IFERROR(VLOOKUP($B127,Kraftvärmeprod!$B$1:$BX$550,MATCH(K$2,Kraftvärmeprod!$B$1:$VX$1,0),FALSE)/1,0)-IFERROR(VLOOKUP($B127,'Slutlig allokering kvv'!$B$2:$BX$550,MATCH(K$2,'Slutlig allokering kvv'!$B$1:$BX$1,0),FALSE)/1,0))</f>
        <v>0</v>
      </c>
      <c r="L127" s="31">
        <f>IF($D127="","",IFERROR(VLOOKUP($B127,Kraftvärmeprod!$B$1:$BX$550,MATCH(L$2,Kraftvärmeprod!$B$1:$VX$1,0),FALSE)/1,0)-IFERROR(VLOOKUP($B127,'Slutlig allokering kvv'!$B$2:$BX$550,MATCH(L$2,'Slutlig allokering kvv'!$B$1:$BX$1,0),FALSE)/1,0))</f>
        <v>0</v>
      </c>
      <c r="M127" s="31">
        <f>IF($D127="","",IFERROR(VLOOKUP($B127,Kraftvärmeprod!$B$1:$BX$550,MATCH(M$2,Kraftvärmeprod!$B$1:$VX$1,0),FALSE)/1,0)-IFERROR(VLOOKUP($B127,'Slutlig allokering kvv'!$B$2:$BX$550,MATCH(M$2,'Slutlig allokering kvv'!$B$1:$BX$1,0),FALSE)/1,0))</f>
        <v>0</v>
      </c>
      <c r="N127" s="31">
        <f>IF($D127="","",IFERROR(VLOOKUP($B127,Kraftvärmeprod!$B$1:$BX$550,MATCH(N$2,Kraftvärmeprod!$B$1:$VX$1,0),FALSE)/1,0)-IFERROR(VLOOKUP($B127,'Slutlig allokering kvv'!$B$2:$BX$550,MATCH(N$2,'Slutlig allokering kvv'!$B$1:$BX$1,0),FALSE)/1,0))</f>
        <v>0.12478699999999998</v>
      </c>
      <c r="O127" s="31">
        <f>IF($D127="","",IFERROR(VLOOKUP($B127,Kraftvärmeprod!$B$1:$BX$550,MATCH(O$2,Kraftvärmeprod!$B$1:$VX$1,0),FALSE)/1,0)-IFERROR(VLOOKUP($B127,'Slutlig allokering kvv'!$B$2:$BX$550,MATCH(O$2,'Slutlig allokering kvv'!$B$1:$BX$1,0),FALSE)/1,0))</f>
        <v>0</v>
      </c>
      <c r="P127" s="31">
        <f>IF($D127="","",IFERROR(VLOOKUP($B127,Kraftvärmeprod!$B$1:$BX$550,MATCH(P$2,Kraftvärmeprod!$B$1:$VX$1,0),FALSE)/1,0)-IFERROR(VLOOKUP($B127,'Slutlig allokering kvv'!$B$2:$BX$550,MATCH(P$2,'Slutlig allokering kvv'!$B$1:$BX$1,0),FALSE)/1,0))</f>
        <v>0</v>
      </c>
      <c r="Q127" s="31">
        <f>IF($D127="","",IFERROR(VLOOKUP($B127,Kraftvärmeprod!$B$1:$BX$550,MATCH(Q$2,Kraftvärmeprod!$B$1:$VX$1,0),FALSE)/1,0)-IFERROR(VLOOKUP($B127,'Slutlig allokering kvv'!$B$2:$BX$550,MATCH(Q$2,'Slutlig allokering kvv'!$B$1:$BX$1,0),FALSE)/1,0))</f>
        <v>0</v>
      </c>
      <c r="R127" s="31">
        <f>IF($D127="","",IFERROR(VLOOKUP($B127,Kraftvärmeprod!$B$1:$BX$550,MATCH(R$2,Kraftvärmeprod!$B$1:$VX$1,0),FALSE)/1,0)-IFERROR(VLOOKUP($B127,'Slutlig allokering kvv'!$B$2:$BX$550,MATCH(R$2,'Slutlig allokering kvv'!$B$1:$BX$1,0),FALSE)/1,0))</f>
        <v>0</v>
      </c>
      <c r="S127" s="31">
        <f>IF($D127="","",IFERROR(VLOOKUP($B127,Kraftvärmeprod!$B$1:$BX$550,MATCH(S$2,Kraftvärmeprod!$B$1:$VX$1,0),FALSE)/1,0)-IFERROR(VLOOKUP($B127,'Slutlig allokering kvv'!$B$2:$BX$550,MATCH(S$2,'Slutlig allokering kvv'!$B$1:$BX$1,0),FALSE)/1,0))</f>
        <v>0</v>
      </c>
      <c r="T127" s="31">
        <f>IF($D127="","",IFERROR(VLOOKUP($B127,Kraftvärmeprod!$B$1:$BX$550,MATCH(T$2,Kraftvärmeprod!$B$1:$VX$1,0),FALSE)/1,0)-IFERROR(VLOOKUP($B127,'Slutlig allokering kvv'!$B$2:$BX$550,MATCH(T$2,'Slutlig allokering kvv'!$B$1:$BX$1,0),FALSE)/1,0))</f>
        <v>0</v>
      </c>
      <c r="U127" s="31">
        <f>IF($D127="","",IFERROR(VLOOKUP($B127,Kraftvärmeprod!$B$1:$BX$550,MATCH(U$2,Kraftvärmeprod!$B$1:$VX$1,0),FALSE)/1,0)-IFERROR(VLOOKUP($B127,'Slutlig allokering kvv'!$B$2:$BX$550,MATCH(U$2,'Slutlig allokering kvv'!$B$1:$BX$1,0),FALSE)/1,0))</f>
        <v>0</v>
      </c>
      <c r="V127" s="31">
        <f>IF($D127="","",IFERROR(VLOOKUP($B127,Kraftvärmeprod!$B$1:$BX$550,MATCH(V$2,Kraftvärmeprod!$B$1:$VX$1,0),FALSE)/1,0)-IFERROR(VLOOKUP($B127,'Slutlig allokering kvv'!$B$2:$BX$550,MATCH(V$2,'Slutlig allokering kvv'!$B$1:$BX$1,0),FALSE)/1,0))</f>
        <v>2.4247899999999998</v>
      </c>
      <c r="W127" s="31">
        <f>IF($D127="","",IFERROR(VLOOKUP($B127,Kraftvärmeprod!$B$1:$BX$550,MATCH(W$2,Kraftvärmeprod!$B$1:$VX$1,0),FALSE)/1,0)-IFERROR(VLOOKUP($B127,'Slutlig allokering kvv'!$B$2:$BX$550,MATCH(W$2,'Slutlig allokering kvv'!$B$1:$BX$1,0),FALSE)/1,0))</f>
        <v>0</v>
      </c>
      <c r="X127" s="31">
        <f>IF($D127="","",IFERROR(VLOOKUP($B127,Kraftvärmeprod!$B$1:$BX$550,MATCH(X$2,Kraftvärmeprod!$B$1:$VX$1,0),FALSE)/1,0)-IFERROR(VLOOKUP($B127,'Slutlig allokering kvv'!$B$2:$BX$550,MATCH(X$2,'Slutlig allokering kvv'!$B$1:$BX$1,0),FALSE)/1,0))</f>
        <v>0</v>
      </c>
      <c r="Y127" s="31">
        <f>IF($D127="","",IFERROR(VLOOKUP($B127,Kraftvärmeprod!$B$1:$BX$550,MATCH(Y$2,Kraftvärmeprod!$B$1:$VX$1,0),FALSE)/1,0)-IFERROR(VLOOKUP($B127,'Slutlig allokering kvv'!$B$2:$BX$550,MATCH(Y$2,'Slutlig allokering kvv'!$B$1:$BX$1,0),FALSE)/1,0))</f>
        <v>0</v>
      </c>
      <c r="Z127" s="31">
        <f>IF($D127="","",IFERROR(VLOOKUP($B127,Kraftvärmeprod!$B$1:$BX$550,MATCH(Z$2,Kraftvärmeprod!$B$1:$VX$1,0),FALSE)/1,0)-IFERROR(VLOOKUP($B127,'Slutlig allokering kvv'!$B$2:$BX$550,MATCH(Z$2,'Slutlig allokering kvv'!$B$1:$BX$1,0),FALSE)/1,0))</f>
        <v>0</v>
      </c>
      <c r="AA127" s="31">
        <f>IF($D127="","",IFERROR(VLOOKUP($B127,Kraftvärmeprod!$B$1:$BX$550,MATCH(AA$2,Kraftvärmeprod!$B$1:$VX$1,0),FALSE)/1,0)-IFERROR(VLOOKUP($B127,'Slutlig allokering kvv'!$B$2:$BX$550,MATCH(AA$2,'Slutlig allokering kvv'!$B$1:$BX$1,0),FALSE)/1,0))</f>
        <v>54.63900000000001</v>
      </c>
      <c r="AB127" s="31">
        <f>IF($D127="","",IFERROR(VLOOKUP($B127,Kraftvärmeprod!$B$1:$BX$550,MATCH(AB$2,Kraftvärmeprod!$B$1:$VX$1,0),FALSE)/1,0)-IFERROR(VLOOKUP($B127,'Slutlig allokering kvv'!$B$2:$BX$550,MATCH(AB$2,'Slutlig allokering kvv'!$B$1:$BX$1,0),FALSE)/1,0))</f>
        <v>0</v>
      </c>
      <c r="AC127" s="31">
        <f>IF($D127="","",IFERROR(VLOOKUP($B127,Kraftvärmeprod!$B$1:$BX$550,MATCH(AC$2,Kraftvärmeprod!$B$1:$VX$1,0),FALSE)/1,0)-IFERROR(VLOOKUP($B127,'Slutlig allokering kvv'!$B$2:$BX$550,MATCH(AC$2,'Slutlig allokering kvv'!$B$1:$BX$1,0),FALSE)/1,0))</f>
        <v>0</v>
      </c>
      <c r="AD127" s="31">
        <f>IF($D127="","",IFERROR(VLOOKUP($B127,Kraftvärmeprod!$B$1:$BX$550,MATCH(AD$2,Kraftvärmeprod!$B$1:$VX$1,0),FALSE)/1,0)-IFERROR(VLOOKUP($B127,'Slutlig allokering kvv'!$B$2:$BX$550,MATCH(AD$2,'Slutlig allokering kvv'!$B$1:$BX$1,0),FALSE)/1,0))</f>
        <v>0</v>
      </c>
      <c r="AE127" s="31">
        <f>IF($D127="","",IFERROR(VLOOKUP($B127,Miljö!$B$1:$E$550,MATCH("Hjälpel kraftvärme (GWh)",Miljö!$B$1:$E$1,0),FALSE)/1,0)-IFERROR(VLOOKUP($B127,'Slutlig allokering kvv'!$B$2:$BX$549,MATCH(AE$2,'Slutlig allokering kvv'!$B$1:$BX$1,0),FALSE)/1,0))</f>
        <v>2.5435699999999999</v>
      </c>
      <c r="AI127" s="39">
        <f t="shared" si="4"/>
        <v>57.188577000000009</v>
      </c>
      <c r="AK127" s="31">
        <f>IFERROR(VLOOKUP($B127,'Slutlig allokering kvv'!$B$2:$AX$549,MATCH("Summa slutlig allokerad tillförd energi (utan hjälpel och rökgaskondensering):",'Slutlig allokering kvv'!$B$1:$AX$1,0),FALSE)/1,"")</f>
        <v>145.23142299999998</v>
      </c>
      <c r="AM127" s="31">
        <f>IFERROR(1-VLOOKUP($B127,'Slutlig allokering kvv'!$B$2:$AX$549,MATCH("Andel av bränsle i kvv som allokerats till värme, exklusive rökgaskondensering och hjälpel",'Slutlig allokering kvv'!$B$1:$AX$1,0),FALSE),"")</f>
        <v>0.28252434048018982</v>
      </c>
      <c r="AO127" s="31">
        <f t="shared" si="5"/>
        <v>0.28252434048018976</v>
      </c>
      <c r="AP127" s="31">
        <f t="shared" si="6"/>
        <v>5.5511151231257827E-17</v>
      </c>
      <c r="AR127" s="32">
        <f t="shared" si="7"/>
        <v>0.3073554345870072</v>
      </c>
    </row>
    <row r="128" spans="1:44" s="31" customFormat="1" x14ac:dyDescent="0.45">
      <c r="A128" s="31" t="s">
        <v>502</v>
      </c>
      <c r="B128" s="31" t="s">
        <v>501</v>
      </c>
      <c r="C128" s="31" t="str">
        <f>IFERROR(VLOOKUP($B128,Kraftvärmeprod!$B$1:$AH$479,MATCH(C$2,Kraftvärmeprod!$B$1:$AG$1,0),FALSE)/1,"")</f>
        <v/>
      </c>
      <c r="D128" s="31" t="str">
        <f>IFERROR(VLOOKUP($B128,Kraftvärmeprod!$B$1:$AH$479,MATCH(D$2,Kraftvärmeprod!$B$1:$AG$1,0),FALSE)/1,"")</f>
        <v/>
      </c>
      <c r="F128" s="31" t="str">
        <f>IF($D128="","",IFERROR(VLOOKUP($B128,Kraftvärmeprod!$B$1:$BX$550,MATCH(F$2,Kraftvärmeprod!$B$1:$VX$1,0),FALSE)/1,0)-IFERROR(VLOOKUP($B128,'Slutlig allokering kvv'!$B$2:$BX$550,MATCH(F$2,'Slutlig allokering kvv'!$B$1:$BX$1,0),FALSE)/1,0))</f>
        <v/>
      </c>
      <c r="G128" s="31" t="str">
        <f>IF($D128="","",IFERROR(VLOOKUP($B128,Kraftvärmeprod!$B$1:$BX$550,MATCH(G$2,Kraftvärmeprod!$B$1:$VX$1,0),FALSE)/1,0)-IFERROR(VLOOKUP($B128,'Slutlig allokering kvv'!$B$2:$BX$550,MATCH(G$2,'Slutlig allokering kvv'!$B$1:$BX$1,0),FALSE)/1,0))</f>
        <v/>
      </c>
      <c r="H128" s="31" t="str">
        <f>IF($D128="","",IFERROR(VLOOKUP($B128,Kraftvärmeprod!$B$1:$BX$550,MATCH(H$2,Kraftvärmeprod!$B$1:$VX$1,0),FALSE)/1,0)-IFERROR(VLOOKUP($B128,'Slutlig allokering kvv'!$B$2:$BX$550,MATCH(H$2,'Slutlig allokering kvv'!$B$1:$BX$1,0),FALSE)/1,0))</f>
        <v/>
      </c>
      <c r="I128" s="31" t="str">
        <f>IF($D128="","",IFERROR(VLOOKUP($B128,Kraftvärmeprod!$B$1:$BX$550,MATCH(I$2,Kraftvärmeprod!$B$1:$VX$1,0),FALSE)/1,0)-IFERROR(VLOOKUP($B128,'Slutlig allokering kvv'!$B$2:$BX$550,MATCH(I$2,'Slutlig allokering kvv'!$B$1:$BX$1,0),FALSE)/1,0))</f>
        <v/>
      </c>
      <c r="J128" s="31" t="str">
        <f>IF($D128="","",IFERROR(VLOOKUP($B128,Kraftvärmeprod!$B$1:$BX$550,MATCH(J$2,Kraftvärmeprod!$B$1:$VX$1,0),FALSE)/1,0)-IFERROR(VLOOKUP($B128,'Slutlig allokering kvv'!$B$2:$BX$550,MATCH(J$2,'Slutlig allokering kvv'!$B$1:$BX$1,0),FALSE)/1,0))</f>
        <v/>
      </c>
      <c r="K128" s="31" t="str">
        <f>IF($D128="","",IFERROR(VLOOKUP($B128,Kraftvärmeprod!$B$1:$BX$550,MATCH(K$2,Kraftvärmeprod!$B$1:$VX$1,0),FALSE)/1,0)-IFERROR(VLOOKUP($B128,'Slutlig allokering kvv'!$B$2:$BX$550,MATCH(K$2,'Slutlig allokering kvv'!$B$1:$BX$1,0),FALSE)/1,0))</f>
        <v/>
      </c>
      <c r="L128" s="31" t="str">
        <f>IF($D128="","",IFERROR(VLOOKUP($B128,Kraftvärmeprod!$B$1:$BX$550,MATCH(L$2,Kraftvärmeprod!$B$1:$VX$1,0),FALSE)/1,0)-IFERROR(VLOOKUP($B128,'Slutlig allokering kvv'!$B$2:$BX$550,MATCH(L$2,'Slutlig allokering kvv'!$B$1:$BX$1,0),FALSE)/1,0))</f>
        <v/>
      </c>
      <c r="M128" s="31" t="str">
        <f>IF($D128="","",IFERROR(VLOOKUP($B128,Kraftvärmeprod!$B$1:$BX$550,MATCH(M$2,Kraftvärmeprod!$B$1:$VX$1,0),FALSE)/1,0)-IFERROR(VLOOKUP($B128,'Slutlig allokering kvv'!$B$2:$BX$550,MATCH(M$2,'Slutlig allokering kvv'!$B$1:$BX$1,0),FALSE)/1,0))</f>
        <v/>
      </c>
      <c r="N128" s="31" t="str">
        <f>IF($D128="","",IFERROR(VLOOKUP($B128,Kraftvärmeprod!$B$1:$BX$550,MATCH(N$2,Kraftvärmeprod!$B$1:$VX$1,0),FALSE)/1,0)-IFERROR(VLOOKUP($B128,'Slutlig allokering kvv'!$B$2:$BX$550,MATCH(N$2,'Slutlig allokering kvv'!$B$1:$BX$1,0),FALSE)/1,0))</f>
        <v/>
      </c>
      <c r="O128" s="31" t="str">
        <f>IF($D128="","",IFERROR(VLOOKUP($B128,Kraftvärmeprod!$B$1:$BX$550,MATCH(O$2,Kraftvärmeprod!$B$1:$VX$1,0),FALSE)/1,0)-IFERROR(VLOOKUP($B128,'Slutlig allokering kvv'!$B$2:$BX$550,MATCH(O$2,'Slutlig allokering kvv'!$B$1:$BX$1,0),FALSE)/1,0))</f>
        <v/>
      </c>
      <c r="P128" s="31" t="str">
        <f>IF($D128="","",IFERROR(VLOOKUP($B128,Kraftvärmeprod!$B$1:$BX$550,MATCH(P$2,Kraftvärmeprod!$B$1:$VX$1,0),FALSE)/1,0)-IFERROR(VLOOKUP($B128,'Slutlig allokering kvv'!$B$2:$BX$550,MATCH(P$2,'Slutlig allokering kvv'!$B$1:$BX$1,0),FALSE)/1,0))</f>
        <v/>
      </c>
      <c r="Q128" s="31" t="str">
        <f>IF($D128="","",IFERROR(VLOOKUP($B128,Kraftvärmeprod!$B$1:$BX$550,MATCH(Q$2,Kraftvärmeprod!$B$1:$VX$1,0),FALSE)/1,0)-IFERROR(VLOOKUP($B128,'Slutlig allokering kvv'!$B$2:$BX$550,MATCH(Q$2,'Slutlig allokering kvv'!$B$1:$BX$1,0),FALSE)/1,0))</f>
        <v/>
      </c>
      <c r="R128" s="31" t="str">
        <f>IF($D128="","",IFERROR(VLOOKUP($B128,Kraftvärmeprod!$B$1:$BX$550,MATCH(R$2,Kraftvärmeprod!$B$1:$VX$1,0),FALSE)/1,0)-IFERROR(VLOOKUP($B128,'Slutlig allokering kvv'!$B$2:$BX$550,MATCH(R$2,'Slutlig allokering kvv'!$B$1:$BX$1,0),FALSE)/1,0))</f>
        <v/>
      </c>
      <c r="S128" s="31" t="str">
        <f>IF($D128="","",IFERROR(VLOOKUP($B128,Kraftvärmeprod!$B$1:$BX$550,MATCH(S$2,Kraftvärmeprod!$B$1:$VX$1,0),FALSE)/1,0)-IFERROR(VLOOKUP($B128,'Slutlig allokering kvv'!$B$2:$BX$550,MATCH(S$2,'Slutlig allokering kvv'!$B$1:$BX$1,0),FALSE)/1,0))</f>
        <v/>
      </c>
      <c r="T128" s="31" t="str">
        <f>IF($D128="","",IFERROR(VLOOKUP($B128,Kraftvärmeprod!$B$1:$BX$550,MATCH(T$2,Kraftvärmeprod!$B$1:$VX$1,0),FALSE)/1,0)-IFERROR(VLOOKUP($B128,'Slutlig allokering kvv'!$B$2:$BX$550,MATCH(T$2,'Slutlig allokering kvv'!$B$1:$BX$1,0),FALSE)/1,0))</f>
        <v/>
      </c>
      <c r="U128" s="31" t="str">
        <f>IF($D128="","",IFERROR(VLOOKUP($B128,Kraftvärmeprod!$B$1:$BX$550,MATCH(U$2,Kraftvärmeprod!$B$1:$VX$1,0),FALSE)/1,0)-IFERROR(VLOOKUP($B128,'Slutlig allokering kvv'!$B$2:$BX$550,MATCH(U$2,'Slutlig allokering kvv'!$B$1:$BX$1,0),FALSE)/1,0))</f>
        <v/>
      </c>
      <c r="V128" s="31" t="str">
        <f>IF($D128="","",IFERROR(VLOOKUP($B128,Kraftvärmeprod!$B$1:$BX$550,MATCH(V$2,Kraftvärmeprod!$B$1:$VX$1,0),FALSE)/1,0)-IFERROR(VLOOKUP($B128,'Slutlig allokering kvv'!$B$2:$BX$550,MATCH(V$2,'Slutlig allokering kvv'!$B$1:$BX$1,0),FALSE)/1,0))</f>
        <v/>
      </c>
      <c r="W128" s="31" t="str">
        <f>IF($D128="","",IFERROR(VLOOKUP($B128,Kraftvärmeprod!$B$1:$BX$550,MATCH(W$2,Kraftvärmeprod!$B$1:$VX$1,0),FALSE)/1,0)-IFERROR(VLOOKUP($B128,'Slutlig allokering kvv'!$B$2:$BX$550,MATCH(W$2,'Slutlig allokering kvv'!$B$1:$BX$1,0),FALSE)/1,0))</f>
        <v/>
      </c>
      <c r="X128" s="31" t="str">
        <f>IF($D128="","",IFERROR(VLOOKUP($B128,Kraftvärmeprod!$B$1:$BX$550,MATCH(X$2,Kraftvärmeprod!$B$1:$VX$1,0),FALSE)/1,0)-IFERROR(VLOOKUP($B128,'Slutlig allokering kvv'!$B$2:$BX$550,MATCH(X$2,'Slutlig allokering kvv'!$B$1:$BX$1,0),FALSE)/1,0))</f>
        <v/>
      </c>
      <c r="Y128" s="31" t="str">
        <f>IF($D128="","",IFERROR(VLOOKUP($B128,Kraftvärmeprod!$B$1:$BX$550,MATCH(Y$2,Kraftvärmeprod!$B$1:$VX$1,0),FALSE)/1,0)-IFERROR(VLOOKUP($B128,'Slutlig allokering kvv'!$B$2:$BX$550,MATCH(Y$2,'Slutlig allokering kvv'!$B$1:$BX$1,0),FALSE)/1,0))</f>
        <v/>
      </c>
      <c r="Z128" s="31" t="str">
        <f>IF($D128="","",IFERROR(VLOOKUP($B128,Kraftvärmeprod!$B$1:$BX$550,MATCH(Z$2,Kraftvärmeprod!$B$1:$VX$1,0),FALSE)/1,0)-IFERROR(VLOOKUP($B128,'Slutlig allokering kvv'!$B$2:$BX$550,MATCH(Z$2,'Slutlig allokering kvv'!$B$1:$BX$1,0),FALSE)/1,0))</f>
        <v/>
      </c>
      <c r="AA128" s="31" t="str">
        <f>IF($D128="","",IFERROR(VLOOKUP($B128,Kraftvärmeprod!$B$1:$BX$550,MATCH(AA$2,Kraftvärmeprod!$B$1:$VX$1,0),FALSE)/1,0)-IFERROR(VLOOKUP($B128,'Slutlig allokering kvv'!$B$2:$BX$550,MATCH(AA$2,'Slutlig allokering kvv'!$B$1:$BX$1,0),FALSE)/1,0))</f>
        <v/>
      </c>
      <c r="AB128" s="31" t="str">
        <f>IF($D128="","",IFERROR(VLOOKUP($B128,Kraftvärmeprod!$B$1:$BX$550,MATCH(AB$2,Kraftvärmeprod!$B$1:$VX$1,0),FALSE)/1,0)-IFERROR(VLOOKUP($B128,'Slutlig allokering kvv'!$B$2:$BX$550,MATCH(AB$2,'Slutlig allokering kvv'!$B$1:$BX$1,0),FALSE)/1,0))</f>
        <v/>
      </c>
      <c r="AC128" s="31" t="str">
        <f>IF($D128="","",IFERROR(VLOOKUP($B128,Kraftvärmeprod!$B$1:$BX$550,MATCH(AC$2,Kraftvärmeprod!$B$1:$VX$1,0),FALSE)/1,0)-IFERROR(VLOOKUP($B128,'Slutlig allokering kvv'!$B$2:$BX$550,MATCH(AC$2,'Slutlig allokering kvv'!$B$1:$BX$1,0),FALSE)/1,0))</f>
        <v/>
      </c>
      <c r="AD128" s="31" t="str">
        <f>IF($D128="","",IFERROR(VLOOKUP($B128,Kraftvärmeprod!$B$1:$BX$550,MATCH(AD$2,Kraftvärmeprod!$B$1:$VX$1,0),FALSE)/1,0)-IFERROR(VLOOKUP($B128,'Slutlig allokering kvv'!$B$2:$BX$550,MATCH(AD$2,'Slutlig allokering kvv'!$B$1:$BX$1,0),FALSE)/1,0))</f>
        <v/>
      </c>
      <c r="AE128" s="31" t="str">
        <f>IF($D128="","",IFERROR(VLOOKUP($B128,Miljö!$B$1:$E$550,MATCH("Hjälpel kraftvärme (GWh)",Miljö!$B$1:$E$1,0),FALSE)/1,0)-IFERROR(VLOOKUP($B128,'Slutlig allokering kvv'!$B$2:$BX$549,MATCH(AE$2,'Slutlig allokering kvv'!$B$1:$BX$1,0),FALSE)/1,0))</f>
        <v/>
      </c>
      <c r="AI128" s="39">
        <f t="shared" si="4"/>
        <v>0</v>
      </c>
      <c r="AK128" s="31">
        <f>IFERROR(VLOOKUP($B128,'Slutlig allokering kvv'!$B$2:$AX$549,MATCH("Summa slutlig allokerad tillförd energi (utan hjälpel och rökgaskondensering):",'Slutlig allokering kvv'!$B$1:$AX$1,0),FALSE)/1,"")</f>
        <v>0</v>
      </c>
      <c r="AM128" s="31" t="str">
        <f>IFERROR(1-VLOOKUP($B128,'Slutlig allokering kvv'!$B$2:$AX$549,MATCH("Andel av bränsle i kvv som allokerats till värme, exklusive rökgaskondensering och hjälpel",'Slutlig allokering kvv'!$B$1:$AX$1,0),FALSE),"")</f>
        <v/>
      </c>
      <c r="AO128" s="31" t="str">
        <f t="shared" si="5"/>
        <v/>
      </c>
      <c r="AP128" s="31" t="str">
        <f t="shared" si="6"/>
        <v/>
      </c>
      <c r="AR128" s="32" t="str">
        <f t="shared" si="7"/>
        <v/>
      </c>
    </row>
    <row r="129" spans="1:44" s="31" customFormat="1" x14ac:dyDescent="0.45">
      <c r="A129" s="31" t="s">
        <v>498</v>
      </c>
      <c r="B129" s="31" t="s">
        <v>500</v>
      </c>
      <c r="C129" s="31">
        <f>IFERROR(VLOOKUP($B129,Kraftvärmeprod!$B$1:$AH$479,MATCH(C$2,Kraftvärmeprod!$B$1:$AG$1,0),FALSE)/1,"")</f>
        <v>573.20699999999999</v>
      </c>
      <c r="D129" s="31">
        <f>IFERROR(VLOOKUP($B129,Kraftvärmeprod!$B$1:$AH$479,MATCH(D$2,Kraftvärmeprod!$B$1:$AG$1,0),FALSE)/1,"")</f>
        <v>179.71600000000001</v>
      </c>
      <c r="F129" s="31">
        <f>IF($D129="","",IFERROR(VLOOKUP($B129,Kraftvärmeprod!$B$1:$BX$550,MATCH(F$2,Kraftvärmeprod!$B$1:$VX$1,0),FALSE)/1,0)-IFERROR(VLOOKUP($B129,'Slutlig allokering kvv'!$B$2:$BX$550,MATCH(F$2,'Slutlig allokering kvv'!$B$1:$BX$1,0),FALSE)/1,0))</f>
        <v>0</v>
      </c>
      <c r="G129" s="31">
        <f>IF($D129="","",IFERROR(VLOOKUP($B129,Kraftvärmeprod!$B$1:$BX$550,MATCH(G$2,Kraftvärmeprod!$B$1:$VX$1,0),FALSE)/1,0)-IFERROR(VLOOKUP($B129,'Slutlig allokering kvv'!$B$2:$BX$550,MATCH(G$2,'Slutlig allokering kvv'!$B$1:$BX$1,0),FALSE)/1,0))</f>
        <v>0</v>
      </c>
      <c r="H129" s="31">
        <f>IF($D129="","",IFERROR(VLOOKUP($B129,Kraftvärmeprod!$B$1:$BX$550,MATCH(H$2,Kraftvärmeprod!$B$1:$VX$1,0),FALSE)/1,0)-IFERROR(VLOOKUP($B129,'Slutlig allokering kvv'!$B$2:$BX$550,MATCH(H$2,'Slutlig allokering kvv'!$B$1:$BX$1,0),FALSE)/1,0))</f>
        <v>0</v>
      </c>
      <c r="I129" s="31">
        <f>IF($D129="","",IFERROR(VLOOKUP($B129,Kraftvärmeprod!$B$1:$BX$550,MATCH(I$2,Kraftvärmeprod!$B$1:$VX$1,0),FALSE)/1,0)-IFERROR(VLOOKUP($B129,'Slutlig allokering kvv'!$B$2:$BX$550,MATCH(I$2,'Slutlig allokering kvv'!$B$1:$BX$1,0),FALSE)/1,0))</f>
        <v>0</v>
      </c>
      <c r="J129" s="31">
        <f>IF($D129="","",IFERROR(VLOOKUP($B129,Kraftvärmeprod!$B$1:$BX$550,MATCH(J$2,Kraftvärmeprod!$B$1:$VX$1,0),FALSE)/1,0)-IFERROR(VLOOKUP($B129,'Slutlig allokering kvv'!$B$2:$BX$550,MATCH(J$2,'Slutlig allokering kvv'!$B$1:$BX$1,0),FALSE)/1,0))</f>
        <v>0</v>
      </c>
      <c r="K129" s="31">
        <f>IF($D129="","",IFERROR(VLOOKUP($B129,Kraftvärmeprod!$B$1:$BX$550,MATCH(K$2,Kraftvärmeprod!$B$1:$VX$1,0),FALSE)/1,0)-IFERROR(VLOOKUP($B129,'Slutlig allokering kvv'!$B$2:$BX$550,MATCH(K$2,'Slutlig allokering kvv'!$B$1:$BX$1,0),FALSE)/1,0))</f>
        <v>0</v>
      </c>
      <c r="L129" s="31">
        <f>IF($D129="","",IFERROR(VLOOKUP($B129,Kraftvärmeprod!$B$1:$BX$550,MATCH(L$2,Kraftvärmeprod!$B$1:$VX$1,0),FALSE)/1,0)-IFERROR(VLOOKUP($B129,'Slutlig allokering kvv'!$B$2:$BX$550,MATCH(L$2,'Slutlig allokering kvv'!$B$1:$BX$1,0),FALSE)/1,0))</f>
        <v>0</v>
      </c>
      <c r="M129" s="31">
        <f>IF($D129="","",IFERROR(VLOOKUP($B129,Kraftvärmeprod!$B$1:$BX$550,MATCH(M$2,Kraftvärmeprod!$B$1:$VX$1,0),FALSE)/1,0)-IFERROR(VLOOKUP($B129,'Slutlig allokering kvv'!$B$2:$BX$550,MATCH(M$2,'Slutlig allokering kvv'!$B$1:$BX$1,0),FALSE)/1,0))</f>
        <v>0</v>
      </c>
      <c r="N129" s="31">
        <f>IF($D129="","",IFERROR(VLOOKUP($B129,Kraftvärmeprod!$B$1:$BX$550,MATCH(N$2,Kraftvärmeprod!$B$1:$VX$1,0),FALSE)/1,0)-IFERROR(VLOOKUP($B129,'Slutlig allokering kvv'!$B$2:$BX$550,MATCH(N$2,'Slutlig allokering kvv'!$B$1:$BX$1,0),FALSE)/1,0))</f>
        <v>212.87199999999999</v>
      </c>
      <c r="O129" s="31">
        <f>IF($D129="","",IFERROR(VLOOKUP($B129,Kraftvärmeprod!$B$1:$BX$550,MATCH(O$2,Kraftvärmeprod!$B$1:$VX$1,0),FALSE)/1,0)-IFERROR(VLOOKUP($B129,'Slutlig allokering kvv'!$B$2:$BX$550,MATCH(O$2,'Slutlig allokering kvv'!$B$1:$BX$1,0),FALSE)/1,0))</f>
        <v>0</v>
      </c>
      <c r="P129" s="31">
        <f>IF($D129="","",IFERROR(VLOOKUP($B129,Kraftvärmeprod!$B$1:$BX$550,MATCH(P$2,Kraftvärmeprod!$B$1:$VX$1,0),FALSE)/1,0)-IFERROR(VLOOKUP($B129,'Slutlig allokering kvv'!$B$2:$BX$550,MATCH(P$2,'Slutlig allokering kvv'!$B$1:$BX$1,0),FALSE)/1,0))</f>
        <v>0</v>
      </c>
      <c r="Q129" s="31">
        <f>IF($D129="","",IFERROR(VLOOKUP($B129,Kraftvärmeprod!$B$1:$BX$550,MATCH(Q$2,Kraftvärmeprod!$B$1:$VX$1,0),FALSE)/1,0)-IFERROR(VLOOKUP($B129,'Slutlig allokering kvv'!$B$2:$BX$550,MATCH(Q$2,'Slutlig allokering kvv'!$B$1:$BX$1,0),FALSE)/1,0))</f>
        <v>0</v>
      </c>
      <c r="R129" s="31">
        <f>IF($D129="","",IFERROR(VLOOKUP($B129,Kraftvärmeprod!$B$1:$BX$550,MATCH(R$2,Kraftvärmeprod!$B$1:$VX$1,0),FALSE)/1,0)-IFERROR(VLOOKUP($B129,'Slutlig allokering kvv'!$B$2:$BX$550,MATCH(R$2,'Slutlig allokering kvv'!$B$1:$BX$1,0),FALSE)/1,0))</f>
        <v>0</v>
      </c>
      <c r="S129" s="31">
        <f>IF($D129="","",IFERROR(VLOOKUP($B129,Kraftvärmeprod!$B$1:$BX$550,MATCH(S$2,Kraftvärmeprod!$B$1:$VX$1,0),FALSE)/1,0)-IFERROR(VLOOKUP($B129,'Slutlig allokering kvv'!$B$2:$BX$550,MATCH(S$2,'Slutlig allokering kvv'!$B$1:$BX$1,0),FALSE)/1,0))</f>
        <v>0</v>
      </c>
      <c r="T129" s="31">
        <f>IF($D129="","",IFERROR(VLOOKUP($B129,Kraftvärmeprod!$B$1:$BX$550,MATCH(T$2,Kraftvärmeprod!$B$1:$VX$1,0),FALSE)/1,0)-IFERROR(VLOOKUP($B129,'Slutlig allokering kvv'!$B$2:$BX$550,MATCH(T$2,'Slutlig allokering kvv'!$B$1:$BX$1,0),FALSE)/1,0))</f>
        <v>0</v>
      </c>
      <c r="U129" s="31">
        <f>IF($D129="","",IFERROR(VLOOKUP($B129,Kraftvärmeprod!$B$1:$BX$550,MATCH(U$2,Kraftvärmeprod!$B$1:$VX$1,0),FALSE)/1,0)-IFERROR(VLOOKUP($B129,'Slutlig allokering kvv'!$B$2:$BX$550,MATCH(U$2,'Slutlig allokering kvv'!$B$1:$BX$1,0),FALSE)/1,0))</f>
        <v>0</v>
      </c>
      <c r="V129" s="31">
        <f>IF($D129="","",IFERROR(VLOOKUP($B129,Kraftvärmeprod!$B$1:$BX$550,MATCH(V$2,Kraftvärmeprod!$B$1:$VX$1,0),FALSE)/1,0)-IFERROR(VLOOKUP($B129,'Slutlig allokering kvv'!$B$2:$BX$550,MATCH(V$2,'Slutlig allokering kvv'!$B$1:$BX$1,0),FALSE)/1,0))</f>
        <v>155.72000000000003</v>
      </c>
      <c r="W129" s="31">
        <f>IF($D129="","",IFERROR(VLOOKUP($B129,Kraftvärmeprod!$B$1:$BX$550,MATCH(W$2,Kraftvärmeprod!$B$1:$VX$1,0),FALSE)/1,0)-IFERROR(VLOOKUP($B129,'Slutlig allokering kvv'!$B$2:$BX$550,MATCH(W$2,'Slutlig allokering kvv'!$B$1:$BX$1,0),FALSE)/1,0))</f>
        <v>0</v>
      </c>
      <c r="X129" s="31">
        <f>IF($D129="","",IFERROR(VLOOKUP($B129,Kraftvärmeprod!$B$1:$BX$550,MATCH(X$2,Kraftvärmeprod!$B$1:$VX$1,0),FALSE)/1,0)-IFERROR(VLOOKUP($B129,'Slutlig allokering kvv'!$B$2:$BX$550,MATCH(X$2,'Slutlig allokering kvv'!$B$1:$BX$1,0),FALSE)/1,0))</f>
        <v>0</v>
      </c>
      <c r="Y129" s="31">
        <f>IF($D129="","",IFERROR(VLOOKUP($B129,Kraftvärmeprod!$B$1:$BX$550,MATCH(Y$2,Kraftvärmeprod!$B$1:$VX$1,0),FALSE)/1,0)-IFERROR(VLOOKUP($B129,'Slutlig allokering kvv'!$B$2:$BX$550,MATCH(Y$2,'Slutlig allokering kvv'!$B$1:$BX$1,0),FALSE)/1,0))</f>
        <v>0</v>
      </c>
      <c r="Z129" s="31">
        <f>IF($D129="","",IFERROR(VLOOKUP($B129,Kraftvärmeprod!$B$1:$BX$550,MATCH(Z$2,Kraftvärmeprod!$B$1:$VX$1,0),FALSE)/1,0)-IFERROR(VLOOKUP($B129,'Slutlig allokering kvv'!$B$2:$BX$550,MATCH(Z$2,'Slutlig allokering kvv'!$B$1:$BX$1,0),FALSE)/1,0))</f>
        <v>0</v>
      </c>
      <c r="AA129" s="31">
        <f>IF($D129="","",IFERROR(VLOOKUP($B129,Kraftvärmeprod!$B$1:$BX$550,MATCH(AA$2,Kraftvärmeprod!$B$1:$VX$1,0),FALSE)/1,0)-IFERROR(VLOOKUP($B129,'Slutlig allokering kvv'!$B$2:$BX$550,MATCH(AA$2,'Slutlig allokering kvv'!$B$1:$BX$1,0),FALSE)/1,0))</f>
        <v>0</v>
      </c>
      <c r="AB129" s="31">
        <f>IF($D129="","",IFERROR(VLOOKUP($B129,Kraftvärmeprod!$B$1:$BX$550,MATCH(AB$2,Kraftvärmeprod!$B$1:$VX$1,0),FALSE)/1,0)-IFERROR(VLOOKUP($B129,'Slutlig allokering kvv'!$B$2:$BX$550,MATCH(AB$2,'Slutlig allokering kvv'!$B$1:$BX$1,0),FALSE)/1,0))</f>
        <v>0</v>
      </c>
      <c r="AC129" s="31">
        <f>IF($D129="","",IFERROR(VLOOKUP($B129,Kraftvärmeprod!$B$1:$BX$550,MATCH(AC$2,Kraftvärmeprod!$B$1:$VX$1,0),FALSE)/1,0)-IFERROR(VLOOKUP($B129,'Slutlig allokering kvv'!$B$2:$BX$550,MATCH(AC$2,'Slutlig allokering kvv'!$B$1:$BX$1,0),FALSE)/1,0))</f>
        <v>0</v>
      </c>
      <c r="AD129" s="31">
        <f>IF($D129="","",IFERROR(VLOOKUP($B129,Kraftvärmeprod!$B$1:$BX$550,MATCH(AD$2,Kraftvärmeprod!$B$1:$VX$1,0),FALSE)/1,0)-IFERROR(VLOOKUP($B129,'Slutlig allokering kvv'!$B$2:$BX$550,MATCH(AD$2,'Slutlig allokering kvv'!$B$1:$BX$1,0),FALSE)/1,0))</f>
        <v>0</v>
      </c>
      <c r="AE129" s="31">
        <f>IF($D129="","",IFERROR(VLOOKUP($B129,Miljö!$B$1:$E$550,MATCH("Hjälpel kraftvärme (GWh)",Miljö!$B$1:$E$1,0),FALSE)/1,0)-IFERROR(VLOOKUP($B129,'Slutlig allokering kvv'!$B$2:$BX$549,MATCH(AE$2,'Slutlig allokering kvv'!$B$1:$BX$1,0),FALSE)/1,0))</f>
        <v>0</v>
      </c>
      <c r="AI129" s="39">
        <f t="shared" si="4"/>
        <v>368.59199999999998</v>
      </c>
      <c r="AK129" s="31">
        <f>IFERROR(VLOOKUP($B129,'Slutlig allokering kvv'!$B$2:$AX$549,MATCH("Summa slutlig allokerad tillförd energi (utan hjälpel och rökgaskondensering):",'Slutlig allokering kvv'!$B$1:$AX$1,0),FALSE)/1,"")</f>
        <v>384.68899999999996</v>
      </c>
      <c r="AM129" s="31">
        <f>IFERROR(1-VLOOKUP($B129,'Slutlig allokering kvv'!$B$2:$AX$549,MATCH("Andel av bränsle i kvv som allokerats till värme, exklusive rökgaskondensering och hjälpel",'Slutlig allokering kvv'!$B$1:$AX$1,0),FALSE),"")</f>
        <v>0.48931540819428609</v>
      </c>
      <c r="AO129" s="31">
        <f t="shared" si="5"/>
        <v>0.48931540819428609</v>
      </c>
      <c r="AP129" s="31">
        <f t="shared" si="6"/>
        <v>0</v>
      </c>
      <c r="AR129" s="32">
        <f t="shared" si="7"/>
        <v>0.48757433693623303</v>
      </c>
    </row>
    <row r="130" spans="1:44" s="31" customFormat="1" x14ac:dyDescent="0.45">
      <c r="A130" s="31" t="s">
        <v>498</v>
      </c>
      <c r="B130" s="31" t="s">
        <v>497</v>
      </c>
      <c r="C130" s="31" t="str">
        <f>IFERROR(VLOOKUP($B130,Kraftvärmeprod!$B$1:$AH$479,MATCH(C$2,Kraftvärmeprod!$B$1:$AG$1,0),FALSE)/1,"")</f>
        <v/>
      </c>
      <c r="D130" s="31" t="str">
        <f>IFERROR(VLOOKUP($B130,Kraftvärmeprod!$B$1:$AH$479,MATCH(D$2,Kraftvärmeprod!$B$1:$AG$1,0),FALSE)/1,"")</f>
        <v/>
      </c>
      <c r="F130" s="31" t="str">
        <f>IF($D130="","",IFERROR(VLOOKUP($B130,Kraftvärmeprod!$B$1:$BX$550,MATCH(F$2,Kraftvärmeprod!$B$1:$VX$1,0),FALSE)/1,0)-IFERROR(VLOOKUP($B130,'Slutlig allokering kvv'!$B$2:$BX$550,MATCH(F$2,'Slutlig allokering kvv'!$B$1:$BX$1,0),FALSE)/1,0))</f>
        <v/>
      </c>
      <c r="G130" s="31" t="str">
        <f>IF($D130="","",IFERROR(VLOOKUP($B130,Kraftvärmeprod!$B$1:$BX$550,MATCH(G$2,Kraftvärmeprod!$B$1:$VX$1,0),FALSE)/1,0)-IFERROR(VLOOKUP($B130,'Slutlig allokering kvv'!$B$2:$BX$550,MATCH(G$2,'Slutlig allokering kvv'!$B$1:$BX$1,0),FALSE)/1,0))</f>
        <v/>
      </c>
      <c r="H130" s="31" t="str">
        <f>IF($D130="","",IFERROR(VLOOKUP($B130,Kraftvärmeprod!$B$1:$BX$550,MATCH(H$2,Kraftvärmeprod!$B$1:$VX$1,0),FALSE)/1,0)-IFERROR(VLOOKUP($B130,'Slutlig allokering kvv'!$B$2:$BX$550,MATCH(H$2,'Slutlig allokering kvv'!$B$1:$BX$1,0),FALSE)/1,0))</f>
        <v/>
      </c>
      <c r="I130" s="31" t="str">
        <f>IF($D130="","",IFERROR(VLOOKUP($B130,Kraftvärmeprod!$B$1:$BX$550,MATCH(I$2,Kraftvärmeprod!$B$1:$VX$1,0),FALSE)/1,0)-IFERROR(VLOOKUP($B130,'Slutlig allokering kvv'!$B$2:$BX$550,MATCH(I$2,'Slutlig allokering kvv'!$B$1:$BX$1,0),FALSE)/1,0))</f>
        <v/>
      </c>
      <c r="J130" s="31" t="str">
        <f>IF($D130="","",IFERROR(VLOOKUP($B130,Kraftvärmeprod!$B$1:$BX$550,MATCH(J$2,Kraftvärmeprod!$B$1:$VX$1,0),FALSE)/1,0)-IFERROR(VLOOKUP($B130,'Slutlig allokering kvv'!$B$2:$BX$550,MATCH(J$2,'Slutlig allokering kvv'!$B$1:$BX$1,0),FALSE)/1,0))</f>
        <v/>
      </c>
      <c r="K130" s="31" t="str">
        <f>IF($D130="","",IFERROR(VLOOKUP($B130,Kraftvärmeprod!$B$1:$BX$550,MATCH(K$2,Kraftvärmeprod!$B$1:$VX$1,0),FALSE)/1,0)-IFERROR(VLOOKUP($B130,'Slutlig allokering kvv'!$B$2:$BX$550,MATCH(K$2,'Slutlig allokering kvv'!$B$1:$BX$1,0),FALSE)/1,0))</f>
        <v/>
      </c>
      <c r="L130" s="31" t="str">
        <f>IF($D130="","",IFERROR(VLOOKUP($B130,Kraftvärmeprod!$B$1:$BX$550,MATCH(L$2,Kraftvärmeprod!$B$1:$VX$1,0),FALSE)/1,0)-IFERROR(VLOOKUP($B130,'Slutlig allokering kvv'!$B$2:$BX$550,MATCH(L$2,'Slutlig allokering kvv'!$B$1:$BX$1,0),FALSE)/1,0))</f>
        <v/>
      </c>
      <c r="M130" s="31" t="str">
        <f>IF($D130="","",IFERROR(VLOOKUP($B130,Kraftvärmeprod!$B$1:$BX$550,MATCH(M$2,Kraftvärmeprod!$B$1:$VX$1,0),FALSE)/1,0)-IFERROR(VLOOKUP($B130,'Slutlig allokering kvv'!$B$2:$BX$550,MATCH(M$2,'Slutlig allokering kvv'!$B$1:$BX$1,0),FALSE)/1,0))</f>
        <v/>
      </c>
      <c r="N130" s="31" t="str">
        <f>IF($D130="","",IFERROR(VLOOKUP($B130,Kraftvärmeprod!$B$1:$BX$550,MATCH(N$2,Kraftvärmeprod!$B$1:$VX$1,0),FALSE)/1,0)-IFERROR(VLOOKUP($B130,'Slutlig allokering kvv'!$B$2:$BX$550,MATCH(N$2,'Slutlig allokering kvv'!$B$1:$BX$1,0),FALSE)/1,0))</f>
        <v/>
      </c>
      <c r="O130" s="31" t="str">
        <f>IF($D130="","",IFERROR(VLOOKUP($B130,Kraftvärmeprod!$B$1:$BX$550,MATCH(O$2,Kraftvärmeprod!$B$1:$VX$1,0),FALSE)/1,0)-IFERROR(VLOOKUP($B130,'Slutlig allokering kvv'!$B$2:$BX$550,MATCH(O$2,'Slutlig allokering kvv'!$B$1:$BX$1,0),FALSE)/1,0))</f>
        <v/>
      </c>
      <c r="P130" s="31" t="str">
        <f>IF($D130="","",IFERROR(VLOOKUP($B130,Kraftvärmeprod!$B$1:$BX$550,MATCH(P$2,Kraftvärmeprod!$B$1:$VX$1,0),FALSE)/1,0)-IFERROR(VLOOKUP($B130,'Slutlig allokering kvv'!$B$2:$BX$550,MATCH(P$2,'Slutlig allokering kvv'!$B$1:$BX$1,0),FALSE)/1,0))</f>
        <v/>
      </c>
      <c r="Q130" s="31" t="str">
        <f>IF($D130="","",IFERROR(VLOOKUP($B130,Kraftvärmeprod!$B$1:$BX$550,MATCH(Q$2,Kraftvärmeprod!$B$1:$VX$1,0),FALSE)/1,0)-IFERROR(VLOOKUP($B130,'Slutlig allokering kvv'!$B$2:$BX$550,MATCH(Q$2,'Slutlig allokering kvv'!$B$1:$BX$1,0),FALSE)/1,0))</f>
        <v/>
      </c>
      <c r="R130" s="31" t="str">
        <f>IF($D130="","",IFERROR(VLOOKUP($B130,Kraftvärmeprod!$B$1:$BX$550,MATCH(R$2,Kraftvärmeprod!$B$1:$VX$1,0),FALSE)/1,0)-IFERROR(VLOOKUP($B130,'Slutlig allokering kvv'!$B$2:$BX$550,MATCH(R$2,'Slutlig allokering kvv'!$B$1:$BX$1,0),FALSE)/1,0))</f>
        <v/>
      </c>
      <c r="S130" s="31" t="str">
        <f>IF($D130="","",IFERROR(VLOOKUP($B130,Kraftvärmeprod!$B$1:$BX$550,MATCH(S$2,Kraftvärmeprod!$B$1:$VX$1,0),FALSE)/1,0)-IFERROR(VLOOKUP($B130,'Slutlig allokering kvv'!$B$2:$BX$550,MATCH(S$2,'Slutlig allokering kvv'!$B$1:$BX$1,0),FALSE)/1,0))</f>
        <v/>
      </c>
      <c r="T130" s="31" t="str">
        <f>IF($D130="","",IFERROR(VLOOKUP($B130,Kraftvärmeprod!$B$1:$BX$550,MATCH(T$2,Kraftvärmeprod!$B$1:$VX$1,0),FALSE)/1,0)-IFERROR(VLOOKUP($B130,'Slutlig allokering kvv'!$B$2:$BX$550,MATCH(T$2,'Slutlig allokering kvv'!$B$1:$BX$1,0),FALSE)/1,0))</f>
        <v/>
      </c>
      <c r="U130" s="31" t="str">
        <f>IF($D130="","",IFERROR(VLOOKUP($B130,Kraftvärmeprod!$B$1:$BX$550,MATCH(U$2,Kraftvärmeprod!$B$1:$VX$1,0),FALSE)/1,0)-IFERROR(VLOOKUP($B130,'Slutlig allokering kvv'!$B$2:$BX$550,MATCH(U$2,'Slutlig allokering kvv'!$B$1:$BX$1,0),FALSE)/1,0))</f>
        <v/>
      </c>
      <c r="V130" s="31" t="str">
        <f>IF($D130="","",IFERROR(VLOOKUP($B130,Kraftvärmeprod!$B$1:$BX$550,MATCH(V$2,Kraftvärmeprod!$B$1:$VX$1,0),FALSE)/1,0)-IFERROR(VLOOKUP($B130,'Slutlig allokering kvv'!$B$2:$BX$550,MATCH(V$2,'Slutlig allokering kvv'!$B$1:$BX$1,0),FALSE)/1,0))</f>
        <v/>
      </c>
      <c r="W130" s="31" t="str">
        <f>IF($D130="","",IFERROR(VLOOKUP($B130,Kraftvärmeprod!$B$1:$BX$550,MATCH(W$2,Kraftvärmeprod!$B$1:$VX$1,0),FALSE)/1,0)-IFERROR(VLOOKUP($B130,'Slutlig allokering kvv'!$B$2:$BX$550,MATCH(W$2,'Slutlig allokering kvv'!$B$1:$BX$1,0),FALSE)/1,0))</f>
        <v/>
      </c>
      <c r="X130" s="31" t="str">
        <f>IF($D130="","",IFERROR(VLOOKUP($B130,Kraftvärmeprod!$B$1:$BX$550,MATCH(X$2,Kraftvärmeprod!$B$1:$VX$1,0),FALSE)/1,0)-IFERROR(VLOOKUP($B130,'Slutlig allokering kvv'!$B$2:$BX$550,MATCH(X$2,'Slutlig allokering kvv'!$B$1:$BX$1,0),FALSE)/1,0))</f>
        <v/>
      </c>
      <c r="Y130" s="31" t="str">
        <f>IF($D130="","",IFERROR(VLOOKUP($B130,Kraftvärmeprod!$B$1:$BX$550,MATCH(Y$2,Kraftvärmeprod!$B$1:$VX$1,0),FALSE)/1,0)-IFERROR(VLOOKUP($B130,'Slutlig allokering kvv'!$B$2:$BX$550,MATCH(Y$2,'Slutlig allokering kvv'!$B$1:$BX$1,0),FALSE)/1,0))</f>
        <v/>
      </c>
      <c r="Z130" s="31" t="str">
        <f>IF($D130="","",IFERROR(VLOOKUP($B130,Kraftvärmeprod!$B$1:$BX$550,MATCH(Z$2,Kraftvärmeprod!$B$1:$VX$1,0),FALSE)/1,0)-IFERROR(VLOOKUP($B130,'Slutlig allokering kvv'!$B$2:$BX$550,MATCH(Z$2,'Slutlig allokering kvv'!$B$1:$BX$1,0),FALSE)/1,0))</f>
        <v/>
      </c>
      <c r="AA130" s="31" t="str">
        <f>IF($D130="","",IFERROR(VLOOKUP($B130,Kraftvärmeprod!$B$1:$BX$550,MATCH(AA$2,Kraftvärmeprod!$B$1:$VX$1,0),FALSE)/1,0)-IFERROR(VLOOKUP($B130,'Slutlig allokering kvv'!$B$2:$BX$550,MATCH(AA$2,'Slutlig allokering kvv'!$B$1:$BX$1,0),FALSE)/1,0))</f>
        <v/>
      </c>
      <c r="AB130" s="31" t="str">
        <f>IF($D130="","",IFERROR(VLOOKUP($B130,Kraftvärmeprod!$B$1:$BX$550,MATCH(AB$2,Kraftvärmeprod!$B$1:$VX$1,0),FALSE)/1,0)-IFERROR(VLOOKUP($B130,'Slutlig allokering kvv'!$B$2:$BX$550,MATCH(AB$2,'Slutlig allokering kvv'!$B$1:$BX$1,0),FALSE)/1,0))</f>
        <v/>
      </c>
      <c r="AC130" s="31" t="str">
        <f>IF($D130="","",IFERROR(VLOOKUP($B130,Kraftvärmeprod!$B$1:$BX$550,MATCH(AC$2,Kraftvärmeprod!$B$1:$VX$1,0),FALSE)/1,0)-IFERROR(VLOOKUP($B130,'Slutlig allokering kvv'!$B$2:$BX$550,MATCH(AC$2,'Slutlig allokering kvv'!$B$1:$BX$1,0),FALSE)/1,0))</f>
        <v/>
      </c>
      <c r="AD130" s="31" t="str">
        <f>IF($D130="","",IFERROR(VLOOKUP($B130,Kraftvärmeprod!$B$1:$BX$550,MATCH(AD$2,Kraftvärmeprod!$B$1:$VX$1,0),FALSE)/1,0)-IFERROR(VLOOKUP($B130,'Slutlig allokering kvv'!$B$2:$BX$550,MATCH(AD$2,'Slutlig allokering kvv'!$B$1:$BX$1,0),FALSE)/1,0))</f>
        <v/>
      </c>
      <c r="AE130" s="31" t="str">
        <f>IF($D130="","",IFERROR(VLOOKUP($B130,Miljö!$B$1:$E$550,MATCH("Hjälpel kraftvärme (GWh)",Miljö!$B$1:$E$1,0),FALSE)/1,0)-IFERROR(VLOOKUP($B130,'Slutlig allokering kvv'!$B$2:$BX$549,MATCH(AE$2,'Slutlig allokering kvv'!$B$1:$BX$1,0),FALSE)/1,0))</f>
        <v/>
      </c>
      <c r="AI130" s="39">
        <f t="shared" si="4"/>
        <v>0</v>
      </c>
      <c r="AK130" s="31">
        <f>IFERROR(VLOOKUP($B130,'Slutlig allokering kvv'!$B$2:$AX$549,MATCH("Summa slutlig allokerad tillförd energi (utan hjälpel och rökgaskondensering):",'Slutlig allokering kvv'!$B$1:$AX$1,0),FALSE)/1,"")</f>
        <v>0</v>
      </c>
      <c r="AM130" s="31" t="str">
        <f>IFERROR(1-VLOOKUP($B130,'Slutlig allokering kvv'!$B$2:$AX$549,MATCH("Andel av bränsle i kvv som allokerats till värme, exklusive rökgaskondensering och hjälpel",'Slutlig allokering kvv'!$B$1:$AX$1,0),FALSE),"")</f>
        <v/>
      </c>
      <c r="AO130" s="31" t="str">
        <f t="shared" si="5"/>
        <v/>
      </c>
      <c r="AP130" s="31" t="str">
        <f t="shared" si="6"/>
        <v/>
      </c>
      <c r="AR130" s="32" t="str">
        <f t="shared" si="7"/>
        <v/>
      </c>
    </row>
    <row r="131" spans="1:44" s="31" customFormat="1" x14ac:dyDescent="0.45">
      <c r="A131" s="31" t="s">
        <v>493</v>
      </c>
      <c r="B131" s="31" t="s">
        <v>496</v>
      </c>
      <c r="C131" s="31" t="str">
        <f>IFERROR(VLOOKUP($B131,Kraftvärmeprod!$B$1:$AH$479,MATCH(C$2,Kraftvärmeprod!$B$1:$AG$1,0),FALSE)/1,"")</f>
        <v/>
      </c>
      <c r="D131" s="31" t="str">
        <f>IFERROR(VLOOKUP($B131,Kraftvärmeprod!$B$1:$AH$479,MATCH(D$2,Kraftvärmeprod!$B$1:$AG$1,0),FALSE)/1,"")</f>
        <v/>
      </c>
      <c r="F131" s="31" t="str">
        <f>IF($D131="","",IFERROR(VLOOKUP($B131,Kraftvärmeprod!$B$1:$BX$550,MATCH(F$2,Kraftvärmeprod!$B$1:$VX$1,0),FALSE)/1,0)-IFERROR(VLOOKUP($B131,'Slutlig allokering kvv'!$B$2:$BX$550,MATCH(F$2,'Slutlig allokering kvv'!$B$1:$BX$1,0),FALSE)/1,0))</f>
        <v/>
      </c>
      <c r="G131" s="31" t="str">
        <f>IF($D131="","",IFERROR(VLOOKUP($B131,Kraftvärmeprod!$B$1:$BX$550,MATCH(G$2,Kraftvärmeprod!$B$1:$VX$1,0),FALSE)/1,0)-IFERROR(VLOOKUP($B131,'Slutlig allokering kvv'!$B$2:$BX$550,MATCH(G$2,'Slutlig allokering kvv'!$B$1:$BX$1,0),FALSE)/1,0))</f>
        <v/>
      </c>
      <c r="H131" s="31" t="str">
        <f>IF($D131="","",IFERROR(VLOOKUP($B131,Kraftvärmeprod!$B$1:$BX$550,MATCH(H$2,Kraftvärmeprod!$B$1:$VX$1,0),FALSE)/1,0)-IFERROR(VLOOKUP($B131,'Slutlig allokering kvv'!$B$2:$BX$550,MATCH(H$2,'Slutlig allokering kvv'!$B$1:$BX$1,0),FALSE)/1,0))</f>
        <v/>
      </c>
      <c r="I131" s="31" t="str">
        <f>IF($D131="","",IFERROR(VLOOKUP($B131,Kraftvärmeprod!$B$1:$BX$550,MATCH(I$2,Kraftvärmeprod!$B$1:$VX$1,0),FALSE)/1,0)-IFERROR(VLOOKUP($B131,'Slutlig allokering kvv'!$B$2:$BX$550,MATCH(I$2,'Slutlig allokering kvv'!$B$1:$BX$1,0),FALSE)/1,0))</f>
        <v/>
      </c>
      <c r="J131" s="31" t="str">
        <f>IF($D131="","",IFERROR(VLOOKUP($B131,Kraftvärmeprod!$B$1:$BX$550,MATCH(J$2,Kraftvärmeprod!$B$1:$VX$1,0),FALSE)/1,0)-IFERROR(VLOOKUP($B131,'Slutlig allokering kvv'!$B$2:$BX$550,MATCH(J$2,'Slutlig allokering kvv'!$B$1:$BX$1,0),FALSE)/1,0))</f>
        <v/>
      </c>
      <c r="K131" s="31" t="str">
        <f>IF($D131="","",IFERROR(VLOOKUP($B131,Kraftvärmeprod!$B$1:$BX$550,MATCH(K$2,Kraftvärmeprod!$B$1:$VX$1,0),FALSE)/1,0)-IFERROR(VLOOKUP($B131,'Slutlig allokering kvv'!$B$2:$BX$550,MATCH(K$2,'Slutlig allokering kvv'!$B$1:$BX$1,0),FALSE)/1,0))</f>
        <v/>
      </c>
      <c r="L131" s="31" t="str">
        <f>IF($D131="","",IFERROR(VLOOKUP($B131,Kraftvärmeprod!$B$1:$BX$550,MATCH(L$2,Kraftvärmeprod!$B$1:$VX$1,0),FALSE)/1,0)-IFERROR(VLOOKUP($B131,'Slutlig allokering kvv'!$B$2:$BX$550,MATCH(L$2,'Slutlig allokering kvv'!$B$1:$BX$1,0),FALSE)/1,0))</f>
        <v/>
      </c>
      <c r="M131" s="31" t="str">
        <f>IF($D131="","",IFERROR(VLOOKUP($B131,Kraftvärmeprod!$B$1:$BX$550,MATCH(M$2,Kraftvärmeprod!$B$1:$VX$1,0),FALSE)/1,0)-IFERROR(VLOOKUP($B131,'Slutlig allokering kvv'!$B$2:$BX$550,MATCH(M$2,'Slutlig allokering kvv'!$B$1:$BX$1,0),FALSE)/1,0))</f>
        <v/>
      </c>
      <c r="N131" s="31" t="str">
        <f>IF($D131="","",IFERROR(VLOOKUP($B131,Kraftvärmeprod!$B$1:$BX$550,MATCH(N$2,Kraftvärmeprod!$B$1:$VX$1,0),FALSE)/1,0)-IFERROR(VLOOKUP($B131,'Slutlig allokering kvv'!$B$2:$BX$550,MATCH(N$2,'Slutlig allokering kvv'!$B$1:$BX$1,0),FALSE)/1,0))</f>
        <v/>
      </c>
      <c r="O131" s="31" t="str">
        <f>IF($D131="","",IFERROR(VLOOKUP($B131,Kraftvärmeprod!$B$1:$BX$550,MATCH(O$2,Kraftvärmeprod!$B$1:$VX$1,0),FALSE)/1,0)-IFERROR(VLOOKUP($B131,'Slutlig allokering kvv'!$B$2:$BX$550,MATCH(O$2,'Slutlig allokering kvv'!$B$1:$BX$1,0),FALSE)/1,0))</f>
        <v/>
      </c>
      <c r="P131" s="31" t="str">
        <f>IF($D131="","",IFERROR(VLOOKUP($B131,Kraftvärmeprod!$B$1:$BX$550,MATCH(P$2,Kraftvärmeprod!$B$1:$VX$1,0),FALSE)/1,0)-IFERROR(VLOOKUP($B131,'Slutlig allokering kvv'!$B$2:$BX$550,MATCH(P$2,'Slutlig allokering kvv'!$B$1:$BX$1,0),FALSE)/1,0))</f>
        <v/>
      </c>
      <c r="Q131" s="31" t="str">
        <f>IF($D131="","",IFERROR(VLOOKUP($B131,Kraftvärmeprod!$B$1:$BX$550,MATCH(Q$2,Kraftvärmeprod!$B$1:$VX$1,0),FALSE)/1,0)-IFERROR(VLOOKUP($B131,'Slutlig allokering kvv'!$B$2:$BX$550,MATCH(Q$2,'Slutlig allokering kvv'!$B$1:$BX$1,0),FALSE)/1,0))</f>
        <v/>
      </c>
      <c r="R131" s="31" t="str">
        <f>IF($D131="","",IFERROR(VLOOKUP($B131,Kraftvärmeprod!$B$1:$BX$550,MATCH(R$2,Kraftvärmeprod!$B$1:$VX$1,0),FALSE)/1,0)-IFERROR(VLOOKUP($B131,'Slutlig allokering kvv'!$B$2:$BX$550,MATCH(R$2,'Slutlig allokering kvv'!$B$1:$BX$1,0),FALSE)/1,0))</f>
        <v/>
      </c>
      <c r="S131" s="31" t="str">
        <f>IF($D131="","",IFERROR(VLOOKUP($B131,Kraftvärmeprod!$B$1:$BX$550,MATCH(S$2,Kraftvärmeprod!$B$1:$VX$1,0),FALSE)/1,0)-IFERROR(VLOOKUP($B131,'Slutlig allokering kvv'!$B$2:$BX$550,MATCH(S$2,'Slutlig allokering kvv'!$B$1:$BX$1,0),FALSE)/1,0))</f>
        <v/>
      </c>
      <c r="T131" s="31" t="str">
        <f>IF($D131="","",IFERROR(VLOOKUP($B131,Kraftvärmeprod!$B$1:$BX$550,MATCH(T$2,Kraftvärmeprod!$B$1:$VX$1,0),FALSE)/1,0)-IFERROR(VLOOKUP($B131,'Slutlig allokering kvv'!$B$2:$BX$550,MATCH(T$2,'Slutlig allokering kvv'!$B$1:$BX$1,0),FALSE)/1,0))</f>
        <v/>
      </c>
      <c r="U131" s="31" t="str">
        <f>IF($D131="","",IFERROR(VLOOKUP($B131,Kraftvärmeprod!$B$1:$BX$550,MATCH(U$2,Kraftvärmeprod!$B$1:$VX$1,0),FALSE)/1,0)-IFERROR(VLOOKUP($B131,'Slutlig allokering kvv'!$B$2:$BX$550,MATCH(U$2,'Slutlig allokering kvv'!$B$1:$BX$1,0),FALSE)/1,0))</f>
        <v/>
      </c>
      <c r="V131" s="31" t="str">
        <f>IF($D131="","",IFERROR(VLOOKUP($B131,Kraftvärmeprod!$B$1:$BX$550,MATCH(V$2,Kraftvärmeprod!$B$1:$VX$1,0),FALSE)/1,0)-IFERROR(VLOOKUP($B131,'Slutlig allokering kvv'!$B$2:$BX$550,MATCH(V$2,'Slutlig allokering kvv'!$B$1:$BX$1,0),FALSE)/1,0))</f>
        <v/>
      </c>
      <c r="W131" s="31" t="str">
        <f>IF($D131="","",IFERROR(VLOOKUP($B131,Kraftvärmeprod!$B$1:$BX$550,MATCH(W$2,Kraftvärmeprod!$B$1:$VX$1,0),FALSE)/1,0)-IFERROR(VLOOKUP($B131,'Slutlig allokering kvv'!$B$2:$BX$550,MATCH(W$2,'Slutlig allokering kvv'!$B$1:$BX$1,0),FALSE)/1,0))</f>
        <v/>
      </c>
      <c r="X131" s="31" t="str">
        <f>IF($D131="","",IFERROR(VLOOKUP($B131,Kraftvärmeprod!$B$1:$BX$550,MATCH(X$2,Kraftvärmeprod!$B$1:$VX$1,0),FALSE)/1,0)-IFERROR(VLOOKUP($B131,'Slutlig allokering kvv'!$B$2:$BX$550,MATCH(X$2,'Slutlig allokering kvv'!$B$1:$BX$1,0),FALSE)/1,0))</f>
        <v/>
      </c>
      <c r="Y131" s="31" t="str">
        <f>IF($D131="","",IFERROR(VLOOKUP($B131,Kraftvärmeprod!$B$1:$BX$550,MATCH(Y$2,Kraftvärmeprod!$B$1:$VX$1,0),FALSE)/1,0)-IFERROR(VLOOKUP($B131,'Slutlig allokering kvv'!$B$2:$BX$550,MATCH(Y$2,'Slutlig allokering kvv'!$B$1:$BX$1,0),FALSE)/1,0))</f>
        <v/>
      </c>
      <c r="Z131" s="31" t="str">
        <f>IF($D131="","",IFERROR(VLOOKUP($B131,Kraftvärmeprod!$B$1:$BX$550,MATCH(Z$2,Kraftvärmeprod!$B$1:$VX$1,0),FALSE)/1,0)-IFERROR(VLOOKUP($B131,'Slutlig allokering kvv'!$B$2:$BX$550,MATCH(Z$2,'Slutlig allokering kvv'!$B$1:$BX$1,0),FALSE)/1,0))</f>
        <v/>
      </c>
      <c r="AA131" s="31" t="str">
        <f>IF($D131="","",IFERROR(VLOOKUP($B131,Kraftvärmeprod!$B$1:$BX$550,MATCH(AA$2,Kraftvärmeprod!$B$1:$VX$1,0),FALSE)/1,0)-IFERROR(VLOOKUP($B131,'Slutlig allokering kvv'!$B$2:$BX$550,MATCH(AA$2,'Slutlig allokering kvv'!$B$1:$BX$1,0),FALSE)/1,0))</f>
        <v/>
      </c>
      <c r="AB131" s="31" t="str">
        <f>IF($D131="","",IFERROR(VLOOKUP($B131,Kraftvärmeprod!$B$1:$BX$550,MATCH(AB$2,Kraftvärmeprod!$B$1:$VX$1,0),FALSE)/1,0)-IFERROR(VLOOKUP($B131,'Slutlig allokering kvv'!$B$2:$BX$550,MATCH(AB$2,'Slutlig allokering kvv'!$B$1:$BX$1,0),FALSE)/1,0))</f>
        <v/>
      </c>
      <c r="AC131" s="31" t="str">
        <f>IF($D131="","",IFERROR(VLOOKUP($B131,Kraftvärmeprod!$B$1:$BX$550,MATCH(AC$2,Kraftvärmeprod!$B$1:$VX$1,0),FALSE)/1,0)-IFERROR(VLOOKUP($B131,'Slutlig allokering kvv'!$B$2:$BX$550,MATCH(AC$2,'Slutlig allokering kvv'!$B$1:$BX$1,0),FALSE)/1,0))</f>
        <v/>
      </c>
      <c r="AD131" s="31" t="str">
        <f>IF($D131="","",IFERROR(VLOOKUP($B131,Kraftvärmeprod!$B$1:$BX$550,MATCH(AD$2,Kraftvärmeprod!$B$1:$VX$1,0),FALSE)/1,0)-IFERROR(VLOOKUP($B131,'Slutlig allokering kvv'!$B$2:$BX$550,MATCH(AD$2,'Slutlig allokering kvv'!$B$1:$BX$1,0),FALSE)/1,0))</f>
        <v/>
      </c>
      <c r="AE131" s="31" t="str">
        <f>IF($D131="","",IFERROR(VLOOKUP($B131,Miljö!$B$1:$E$550,MATCH("Hjälpel kraftvärme (GWh)",Miljö!$B$1:$E$1,0),FALSE)/1,0)-IFERROR(VLOOKUP($B131,'Slutlig allokering kvv'!$B$2:$BX$549,MATCH(AE$2,'Slutlig allokering kvv'!$B$1:$BX$1,0),FALSE)/1,0))</f>
        <v/>
      </c>
      <c r="AI131" s="39">
        <f t="shared" si="4"/>
        <v>0</v>
      </c>
      <c r="AK131" s="31">
        <f>IFERROR(VLOOKUP($B131,'Slutlig allokering kvv'!$B$2:$AX$549,MATCH("Summa slutlig allokerad tillförd energi (utan hjälpel och rökgaskondensering):",'Slutlig allokering kvv'!$B$1:$AX$1,0),FALSE)/1,"")</f>
        <v>0</v>
      </c>
      <c r="AM131" s="31" t="str">
        <f>IFERROR(1-VLOOKUP($B131,'Slutlig allokering kvv'!$B$2:$AX$549,MATCH("Andel av bränsle i kvv som allokerats till värme, exklusive rökgaskondensering och hjälpel",'Slutlig allokering kvv'!$B$1:$AX$1,0),FALSE),"")</f>
        <v/>
      </c>
      <c r="AO131" s="31" t="str">
        <f t="shared" si="5"/>
        <v/>
      </c>
      <c r="AP131" s="31" t="str">
        <f t="shared" si="6"/>
        <v/>
      </c>
      <c r="AR131" s="32" t="str">
        <f t="shared" si="7"/>
        <v/>
      </c>
    </row>
    <row r="132" spans="1:44" s="31" customFormat="1" x14ac:dyDescent="0.45">
      <c r="A132" s="31" t="s">
        <v>493</v>
      </c>
      <c r="B132" s="31" t="s">
        <v>495</v>
      </c>
      <c r="C132" s="31" t="str">
        <f>IFERROR(VLOOKUP($B132,Kraftvärmeprod!$B$1:$AH$479,MATCH(C$2,Kraftvärmeprod!$B$1:$AG$1,0),FALSE)/1,"")</f>
        <v/>
      </c>
      <c r="D132" s="31" t="str">
        <f>IFERROR(VLOOKUP($B132,Kraftvärmeprod!$B$1:$AH$479,MATCH(D$2,Kraftvärmeprod!$B$1:$AG$1,0),FALSE)/1,"")</f>
        <v/>
      </c>
      <c r="F132" s="31" t="str">
        <f>IF($D132="","",IFERROR(VLOOKUP($B132,Kraftvärmeprod!$B$1:$BX$550,MATCH(F$2,Kraftvärmeprod!$B$1:$VX$1,0),FALSE)/1,0)-IFERROR(VLOOKUP($B132,'Slutlig allokering kvv'!$B$2:$BX$550,MATCH(F$2,'Slutlig allokering kvv'!$B$1:$BX$1,0),FALSE)/1,0))</f>
        <v/>
      </c>
      <c r="G132" s="31" t="str">
        <f>IF($D132="","",IFERROR(VLOOKUP($B132,Kraftvärmeprod!$B$1:$BX$550,MATCH(G$2,Kraftvärmeprod!$B$1:$VX$1,0),FALSE)/1,0)-IFERROR(VLOOKUP($B132,'Slutlig allokering kvv'!$B$2:$BX$550,MATCH(G$2,'Slutlig allokering kvv'!$B$1:$BX$1,0),FALSE)/1,0))</f>
        <v/>
      </c>
      <c r="H132" s="31" t="str">
        <f>IF($D132="","",IFERROR(VLOOKUP($B132,Kraftvärmeprod!$B$1:$BX$550,MATCH(H$2,Kraftvärmeprod!$B$1:$VX$1,0),FALSE)/1,0)-IFERROR(VLOOKUP($B132,'Slutlig allokering kvv'!$B$2:$BX$550,MATCH(H$2,'Slutlig allokering kvv'!$B$1:$BX$1,0),FALSE)/1,0))</f>
        <v/>
      </c>
      <c r="I132" s="31" t="str">
        <f>IF($D132="","",IFERROR(VLOOKUP($B132,Kraftvärmeprod!$B$1:$BX$550,MATCH(I$2,Kraftvärmeprod!$B$1:$VX$1,0),FALSE)/1,0)-IFERROR(VLOOKUP($B132,'Slutlig allokering kvv'!$B$2:$BX$550,MATCH(I$2,'Slutlig allokering kvv'!$B$1:$BX$1,0),FALSE)/1,0))</f>
        <v/>
      </c>
      <c r="J132" s="31" t="str">
        <f>IF($D132="","",IFERROR(VLOOKUP($B132,Kraftvärmeprod!$B$1:$BX$550,MATCH(J$2,Kraftvärmeprod!$B$1:$VX$1,0),FALSE)/1,0)-IFERROR(VLOOKUP($B132,'Slutlig allokering kvv'!$B$2:$BX$550,MATCH(J$2,'Slutlig allokering kvv'!$B$1:$BX$1,0),FALSE)/1,0))</f>
        <v/>
      </c>
      <c r="K132" s="31" t="str">
        <f>IF($D132="","",IFERROR(VLOOKUP($B132,Kraftvärmeprod!$B$1:$BX$550,MATCH(K$2,Kraftvärmeprod!$B$1:$VX$1,0),FALSE)/1,0)-IFERROR(VLOOKUP($B132,'Slutlig allokering kvv'!$B$2:$BX$550,MATCH(K$2,'Slutlig allokering kvv'!$B$1:$BX$1,0),FALSE)/1,0))</f>
        <v/>
      </c>
      <c r="L132" s="31" t="str">
        <f>IF($D132="","",IFERROR(VLOOKUP($B132,Kraftvärmeprod!$B$1:$BX$550,MATCH(L$2,Kraftvärmeprod!$B$1:$VX$1,0),FALSE)/1,0)-IFERROR(VLOOKUP($B132,'Slutlig allokering kvv'!$B$2:$BX$550,MATCH(L$2,'Slutlig allokering kvv'!$B$1:$BX$1,0),FALSE)/1,0))</f>
        <v/>
      </c>
      <c r="M132" s="31" t="str">
        <f>IF($D132="","",IFERROR(VLOOKUP($B132,Kraftvärmeprod!$B$1:$BX$550,MATCH(M$2,Kraftvärmeprod!$B$1:$VX$1,0),FALSE)/1,0)-IFERROR(VLOOKUP($B132,'Slutlig allokering kvv'!$B$2:$BX$550,MATCH(M$2,'Slutlig allokering kvv'!$B$1:$BX$1,0),FALSE)/1,0))</f>
        <v/>
      </c>
      <c r="N132" s="31" t="str">
        <f>IF($D132="","",IFERROR(VLOOKUP($B132,Kraftvärmeprod!$B$1:$BX$550,MATCH(N$2,Kraftvärmeprod!$B$1:$VX$1,0),FALSE)/1,0)-IFERROR(VLOOKUP($B132,'Slutlig allokering kvv'!$B$2:$BX$550,MATCH(N$2,'Slutlig allokering kvv'!$B$1:$BX$1,0),FALSE)/1,0))</f>
        <v/>
      </c>
      <c r="O132" s="31" t="str">
        <f>IF($D132="","",IFERROR(VLOOKUP($B132,Kraftvärmeprod!$B$1:$BX$550,MATCH(O$2,Kraftvärmeprod!$B$1:$VX$1,0),FALSE)/1,0)-IFERROR(VLOOKUP($B132,'Slutlig allokering kvv'!$B$2:$BX$550,MATCH(O$2,'Slutlig allokering kvv'!$B$1:$BX$1,0),FALSE)/1,0))</f>
        <v/>
      </c>
      <c r="P132" s="31" t="str">
        <f>IF($D132="","",IFERROR(VLOOKUP($B132,Kraftvärmeprod!$B$1:$BX$550,MATCH(P$2,Kraftvärmeprod!$B$1:$VX$1,0),FALSE)/1,0)-IFERROR(VLOOKUP($B132,'Slutlig allokering kvv'!$B$2:$BX$550,MATCH(P$2,'Slutlig allokering kvv'!$B$1:$BX$1,0),FALSE)/1,0))</f>
        <v/>
      </c>
      <c r="Q132" s="31" t="str">
        <f>IF($D132="","",IFERROR(VLOOKUP($B132,Kraftvärmeprod!$B$1:$BX$550,MATCH(Q$2,Kraftvärmeprod!$B$1:$VX$1,0),FALSE)/1,0)-IFERROR(VLOOKUP($B132,'Slutlig allokering kvv'!$B$2:$BX$550,MATCH(Q$2,'Slutlig allokering kvv'!$B$1:$BX$1,0),FALSE)/1,0))</f>
        <v/>
      </c>
      <c r="R132" s="31" t="str">
        <f>IF($D132="","",IFERROR(VLOOKUP($B132,Kraftvärmeprod!$B$1:$BX$550,MATCH(R$2,Kraftvärmeprod!$B$1:$VX$1,0),FALSE)/1,0)-IFERROR(VLOOKUP($B132,'Slutlig allokering kvv'!$B$2:$BX$550,MATCH(R$2,'Slutlig allokering kvv'!$B$1:$BX$1,0),FALSE)/1,0))</f>
        <v/>
      </c>
      <c r="S132" s="31" t="str">
        <f>IF($D132="","",IFERROR(VLOOKUP($B132,Kraftvärmeprod!$B$1:$BX$550,MATCH(S$2,Kraftvärmeprod!$B$1:$VX$1,0),FALSE)/1,0)-IFERROR(VLOOKUP($B132,'Slutlig allokering kvv'!$B$2:$BX$550,MATCH(S$2,'Slutlig allokering kvv'!$B$1:$BX$1,0),FALSE)/1,0))</f>
        <v/>
      </c>
      <c r="T132" s="31" t="str">
        <f>IF($D132="","",IFERROR(VLOOKUP($B132,Kraftvärmeprod!$B$1:$BX$550,MATCH(T$2,Kraftvärmeprod!$B$1:$VX$1,0),FALSE)/1,0)-IFERROR(VLOOKUP($B132,'Slutlig allokering kvv'!$B$2:$BX$550,MATCH(T$2,'Slutlig allokering kvv'!$B$1:$BX$1,0),FALSE)/1,0))</f>
        <v/>
      </c>
      <c r="U132" s="31" t="str">
        <f>IF($D132="","",IFERROR(VLOOKUP($B132,Kraftvärmeprod!$B$1:$BX$550,MATCH(U$2,Kraftvärmeprod!$B$1:$VX$1,0),FALSE)/1,0)-IFERROR(VLOOKUP($B132,'Slutlig allokering kvv'!$B$2:$BX$550,MATCH(U$2,'Slutlig allokering kvv'!$B$1:$BX$1,0),FALSE)/1,0))</f>
        <v/>
      </c>
      <c r="V132" s="31" t="str">
        <f>IF($D132="","",IFERROR(VLOOKUP($B132,Kraftvärmeprod!$B$1:$BX$550,MATCH(V$2,Kraftvärmeprod!$B$1:$VX$1,0),FALSE)/1,0)-IFERROR(VLOOKUP($B132,'Slutlig allokering kvv'!$B$2:$BX$550,MATCH(V$2,'Slutlig allokering kvv'!$B$1:$BX$1,0),FALSE)/1,0))</f>
        <v/>
      </c>
      <c r="W132" s="31" t="str">
        <f>IF($D132="","",IFERROR(VLOOKUP($B132,Kraftvärmeprod!$B$1:$BX$550,MATCH(W$2,Kraftvärmeprod!$B$1:$VX$1,0),FALSE)/1,0)-IFERROR(VLOOKUP($B132,'Slutlig allokering kvv'!$B$2:$BX$550,MATCH(W$2,'Slutlig allokering kvv'!$B$1:$BX$1,0),FALSE)/1,0))</f>
        <v/>
      </c>
      <c r="X132" s="31" t="str">
        <f>IF($D132="","",IFERROR(VLOOKUP($B132,Kraftvärmeprod!$B$1:$BX$550,MATCH(X$2,Kraftvärmeprod!$B$1:$VX$1,0),FALSE)/1,0)-IFERROR(VLOOKUP($B132,'Slutlig allokering kvv'!$B$2:$BX$550,MATCH(X$2,'Slutlig allokering kvv'!$B$1:$BX$1,0),FALSE)/1,0))</f>
        <v/>
      </c>
      <c r="Y132" s="31" t="str">
        <f>IF($D132="","",IFERROR(VLOOKUP($B132,Kraftvärmeprod!$B$1:$BX$550,MATCH(Y$2,Kraftvärmeprod!$B$1:$VX$1,0),FALSE)/1,0)-IFERROR(VLOOKUP($B132,'Slutlig allokering kvv'!$B$2:$BX$550,MATCH(Y$2,'Slutlig allokering kvv'!$B$1:$BX$1,0),FALSE)/1,0))</f>
        <v/>
      </c>
      <c r="Z132" s="31" t="str">
        <f>IF($D132="","",IFERROR(VLOOKUP($B132,Kraftvärmeprod!$B$1:$BX$550,MATCH(Z$2,Kraftvärmeprod!$B$1:$VX$1,0),FALSE)/1,0)-IFERROR(VLOOKUP($B132,'Slutlig allokering kvv'!$B$2:$BX$550,MATCH(Z$2,'Slutlig allokering kvv'!$B$1:$BX$1,0),FALSE)/1,0))</f>
        <v/>
      </c>
      <c r="AA132" s="31" t="str">
        <f>IF($D132="","",IFERROR(VLOOKUP($B132,Kraftvärmeprod!$B$1:$BX$550,MATCH(AA$2,Kraftvärmeprod!$B$1:$VX$1,0),FALSE)/1,0)-IFERROR(VLOOKUP($B132,'Slutlig allokering kvv'!$B$2:$BX$550,MATCH(AA$2,'Slutlig allokering kvv'!$B$1:$BX$1,0),FALSE)/1,0))</f>
        <v/>
      </c>
      <c r="AB132" s="31" t="str">
        <f>IF($D132="","",IFERROR(VLOOKUP($B132,Kraftvärmeprod!$B$1:$BX$550,MATCH(AB$2,Kraftvärmeprod!$B$1:$VX$1,0),FALSE)/1,0)-IFERROR(VLOOKUP($B132,'Slutlig allokering kvv'!$B$2:$BX$550,MATCH(AB$2,'Slutlig allokering kvv'!$B$1:$BX$1,0),FALSE)/1,0))</f>
        <v/>
      </c>
      <c r="AC132" s="31" t="str">
        <f>IF($D132="","",IFERROR(VLOOKUP($B132,Kraftvärmeprod!$B$1:$BX$550,MATCH(AC$2,Kraftvärmeprod!$B$1:$VX$1,0),FALSE)/1,0)-IFERROR(VLOOKUP($B132,'Slutlig allokering kvv'!$B$2:$BX$550,MATCH(AC$2,'Slutlig allokering kvv'!$B$1:$BX$1,0),FALSE)/1,0))</f>
        <v/>
      </c>
      <c r="AD132" s="31" t="str">
        <f>IF($D132="","",IFERROR(VLOOKUP($B132,Kraftvärmeprod!$B$1:$BX$550,MATCH(AD$2,Kraftvärmeprod!$B$1:$VX$1,0),FALSE)/1,0)-IFERROR(VLOOKUP($B132,'Slutlig allokering kvv'!$B$2:$BX$550,MATCH(AD$2,'Slutlig allokering kvv'!$B$1:$BX$1,0),FALSE)/1,0))</f>
        <v/>
      </c>
      <c r="AE132" s="31" t="str">
        <f>IF($D132="","",IFERROR(VLOOKUP($B132,Miljö!$B$1:$E$550,MATCH("Hjälpel kraftvärme (GWh)",Miljö!$B$1:$E$1,0),FALSE)/1,0)-IFERROR(VLOOKUP($B132,'Slutlig allokering kvv'!$B$2:$BX$549,MATCH(AE$2,'Slutlig allokering kvv'!$B$1:$BX$1,0),FALSE)/1,0))</f>
        <v/>
      </c>
      <c r="AI132" s="39">
        <f t="shared" ref="AI132:AI195" si="8">SUM(F132:AC132)</f>
        <v>0</v>
      </c>
      <c r="AK132" s="31">
        <f>IFERROR(VLOOKUP($B132,'Slutlig allokering kvv'!$B$2:$AX$549,MATCH("Summa slutlig allokerad tillförd energi (utan hjälpel och rökgaskondensering):",'Slutlig allokering kvv'!$B$1:$AX$1,0),FALSE)/1,"")</f>
        <v>0</v>
      </c>
      <c r="AM132" s="31" t="str">
        <f>IFERROR(1-VLOOKUP($B132,'Slutlig allokering kvv'!$B$2:$AX$549,MATCH("Andel av bränsle i kvv som allokerats till värme, exklusive rökgaskondensering och hjälpel",'Slutlig allokering kvv'!$B$1:$AX$1,0),FALSE),"")</f>
        <v/>
      </c>
      <c r="AO132" s="31" t="str">
        <f t="shared" ref="AO132:AO195" si="9">IFERROR(AI132/(AI132+AK132),"")</f>
        <v/>
      </c>
      <c r="AP132" s="31" t="str">
        <f t="shared" ref="AP132:AP195" si="10">IFERROR(AM132-AO132,"")</f>
        <v/>
      </c>
      <c r="AR132" s="32" t="str">
        <f t="shared" ref="AR132:AR195" si="11">IFERROR(D132/(AI132+AE132),"")</f>
        <v/>
      </c>
    </row>
    <row r="133" spans="1:44" s="31" customFormat="1" x14ac:dyDescent="0.45">
      <c r="A133" s="31" t="s">
        <v>493</v>
      </c>
      <c r="B133" s="31" t="s">
        <v>494</v>
      </c>
      <c r="C133" s="31" t="str">
        <f>IFERROR(VLOOKUP($B133,Kraftvärmeprod!$B$1:$AH$479,MATCH(C$2,Kraftvärmeprod!$B$1:$AG$1,0),FALSE)/1,"")</f>
        <v/>
      </c>
      <c r="D133" s="31" t="str">
        <f>IFERROR(VLOOKUP($B133,Kraftvärmeprod!$B$1:$AH$479,MATCH(D$2,Kraftvärmeprod!$B$1:$AG$1,0),FALSE)/1,"")</f>
        <v/>
      </c>
      <c r="F133" s="31" t="str">
        <f>IF($D133="","",IFERROR(VLOOKUP($B133,Kraftvärmeprod!$B$1:$BX$550,MATCH(F$2,Kraftvärmeprod!$B$1:$VX$1,0),FALSE)/1,0)-IFERROR(VLOOKUP($B133,'Slutlig allokering kvv'!$B$2:$BX$550,MATCH(F$2,'Slutlig allokering kvv'!$B$1:$BX$1,0),FALSE)/1,0))</f>
        <v/>
      </c>
      <c r="G133" s="31" t="str">
        <f>IF($D133="","",IFERROR(VLOOKUP($B133,Kraftvärmeprod!$B$1:$BX$550,MATCH(G$2,Kraftvärmeprod!$B$1:$VX$1,0),FALSE)/1,0)-IFERROR(VLOOKUP($B133,'Slutlig allokering kvv'!$B$2:$BX$550,MATCH(G$2,'Slutlig allokering kvv'!$B$1:$BX$1,0),FALSE)/1,0))</f>
        <v/>
      </c>
      <c r="H133" s="31" t="str">
        <f>IF($D133="","",IFERROR(VLOOKUP($B133,Kraftvärmeprod!$B$1:$BX$550,MATCH(H$2,Kraftvärmeprod!$B$1:$VX$1,0),FALSE)/1,0)-IFERROR(VLOOKUP($B133,'Slutlig allokering kvv'!$B$2:$BX$550,MATCH(H$2,'Slutlig allokering kvv'!$B$1:$BX$1,0),FALSE)/1,0))</f>
        <v/>
      </c>
      <c r="I133" s="31" t="str">
        <f>IF($D133="","",IFERROR(VLOOKUP($B133,Kraftvärmeprod!$B$1:$BX$550,MATCH(I$2,Kraftvärmeprod!$B$1:$VX$1,0),FALSE)/1,0)-IFERROR(VLOOKUP($B133,'Slutlig allokering kvv'!$B$2:$BX$550,MATCH(I$2,'Slutlig allokering kvv'!$B$1:$BX$1,0),FALSE)/1,0))</f>
        <v/>
      </c>
      <c r="J133" s="31" t="str">
        <f>IF($D133="","",IFERROR(VLOOKUP($B133,Kraftvärmeprod!$B$1:$BX$550,MATCH(J$2,Kraftvärmeprod!$B$1:$VX$1,0),FALSE)/1,0)-IFERROR(VLOOKUP($B133,'Slutlig allokering kvv'!$B$2:$BX$550,MATCH(J$2,'Slutlig allokering kvv'!$B$1:$BX$1,0),FALSE)/1,0))</f>
        <v/>
      </c>
      <c r="K133" s="31" t="str">
        <f>IF($D133="","",IFERROR(VLOOKUP($B133,Kraftvärmeprod!$B$1:$BX$550,MATCH(K$2,Kraftvärmeprod!$B$1:$VX$1,0),FALSE)/1,0)-IFERROR(VLOOKUP($B133,'Slutlig allokering kvv'!$B$2:$BX$550,MATCH(K$2,'Slutlig allokering kvv'!$B$1:$BX$1,0),FALSE)/1,0))</f>
        <v/>
      </c>
      <c r="L133" s="31" t="str">
        <f>IF($D133="","",IFERROR(VLOOKUP($B133,Kraftvärmeprod!$B$1:$BX$550,MATCH(L$2,Kraftvärmeprod!$B$1:$VX$1,0),FALSE)/1,0)-IFERROR(VLOOKUP($B133,'Slutlig allokering kvv'!$B$2:$BX$550,MATCH(L$2,'Slutlig allokering kvv'!$B$1:$BX$1,0),FALSE)/1,0))</f>
        <v/>
      </c>
      <c r="M133" s="31" t="str">
        <f>IF($D133="","",IFERROR(VLOOKUP($B133,Kraftvärmeprod!$B$1:$BX$550,MATCH(M$2,Kraftvärmeprod!$B$1:$VX$1,0),FALSE)/1,0)-IFERROR(VLOOKUP($B133,'Slutlig allokering kvv'!$B$2:$BX$550,MATCH(M$2,'Slutlig allokering kvv'!$B$1:$BX$1,0),FALSE)/1,0))</f>
        <v/>
      </c>
      <c r="N133" s="31" t="str">
        <f>IF($D133="","",IFERROR(VLOOKUP($B133,Kraftvärmeprod!$B$1:$BX$550,MATCH(N$2,Kraftvärmeprod!$B$1:$VX$1,0),FALSE)/1,0)-IFERROR(VLOOKUP($B133,'Slutlig allokering kvv'!$B$2:$BX$550,MATCH(N$2,'Slutlig allokering kvv'!$B$1:$BX$1,0),FALSE)/1,0))</f>
        <v/>
      </c>
      <c r="O133" s="31" t="str">
        <f>IF($D133="","",IFERROR(VLOOKUP($B133,Kraftvärmeprod!$B$1:$BX$550,MATCH(O$2,Kraftvärmeprod!$B$1:$VX$1,0),FALSE)/1,0)-IFERROR(VLOOKUP($B133,'Slutlig allokering kvv'!$B$2:$BX$550,MATCH(O$2,'Slutlig allokering kvv'!$B$1:$BX$1,0),FALSE)/1,0))</f>
        <v/>
      </c>
      <c r="P133" s="31" t="str">
        <f>IF($D133="","",IFERROR(VLOOKUP($B133,Kraftvärmeprod!$B$1:$BX$550,MATCH(P$2,Kraftvärmeprod!$B$1:$VX$1,0),FALSE)/1,0)-IFERROR(VLOOKUP($B133,'Slutlig allokering kvv'!$B$2:$BX$550,MATCH(P$2,'Slutlig allokering kvv'!$B$1:$BX$1,0),FALSE)/1,0))</f>
        <v/>
      </c>
      <c r="Q133" s="31" t="str">
        <f>IF($D133="","",IFERROR(VLOOKUP($B133,Kraftvärmeprod!$B$1:$BX$550,MATCH(Q$2,Kraftvärmeprod!$B$1:$VX$1,0),FALSE)/1,0)-IFERROR(VLOOKUP($B133,'Slutlig allokering kvv'!$B$2:$BX$550,MATCH(Q$2,'Slutlig allokering kvv'!$B$1:$BX$1,0),FALSE)/1,0))</f>
        <v/>
      </c>
      <c r="R133" s="31" t="str">
        <f>IF($D133="","",IFERROR(VLOOKUP($B133,Kraftvärmeprod!$B$1:$BX$550,MATCH(R$2,Kraftvärmeprod!$B$1:$VX$1,0),FALSE)/1,0)-IFERROR(VLOOKUP($B133,'Slutlig allokering kvv'!$B$2:$BX$550,MATCH(R$2,'Slutlig allokering kvv'!$B$1:$BX$1,0),FALSE)/1,0))</f>
        <v/>
      </c>
      <c r="S133" s="31" t="str">
        <f>IF($D133="","",IFERROR(VLOOKUP($B133,Kraftvärmeprod!$B$1:$BX$550,MATCH(S$2,Kraftvärmeprod!$B$1:$VX$1,0),FALSE)/1,0)-IFERROR(VLOOKUP($B133,'Slutlig allokering kvv'!$B$2:$BX$550,MATCH(S$2,'Slutlig allokering kvv'!$B$1:$BX$1,0),FALSE)/1,0))</f>
        <v/>
      </c>
      <c r="T133" s="31" t="str">
        <f>IF($D133="","",IFERROR(VLOOKUP($B133,Kraftvärmeprod!$B$1:$BX$550,MATCH(T$2,Kraftvärmeprod!$B$1:$VX$1,0),FALSE)/1,0)-IFERROR(VLOOKUP($B133,'Slutlig allokering kvv'!$B$2:$BX$550,MATCH(T$2,'Slutlig allokering kvv'!$B$1:$BX$1,0),FALSE)/1,0))</f>
        <v/>
      </c>
      <c r="U133" s="31" t="str">
        <f>IF($D133="","",IFERROR(VLOOKUP($B133,Kraftvärmeprod!$B$1:$BX$550,MATCH(U$2,Kraftvärmeprod!$B$1:$VX$1,0),FALSE)/1,0)-IFERROR(VLOOKUP($B133,'Slutlig allokering kvv'!$B$2:$BX$550,MATCH(U$2,'Slutlig allokering kvv'!$B$1:$BX$1,0),FALSE)/1,0))</f>
        <v/>
      </c>
      <c r="V133" s="31" t="str">
        <f>IF($D133="","",IFERROR(VLOOKUP($B133,Kraftvärmeprod!$B$1:$BX$550,MATCH(V$2,Kraftvärmeprod!$B$1:$VX$1,0),FALSE)/1,0)-IFERROR(VLOOKUP($B133,'Slutlig allokering kvv'!$B$2:$BX$550,MATCH(V$2,'Slutlig allokering kvv'!$B$1:$BX$1,0),FALSE)/1,0))</f>
        <v/>
      </c>
      <c r="W133" s="31" t="str">
        <f>IF($D133="","",IFERROR(VLOOKUP($B133,Kraftvärmeprod!$B$1:$BX$550,MATCH(W$2,Kraftvärmeprod!$B$1:$VX$1,0),FALSE)/1,0)-IFERROR(VLOOKUP($B133,'Slutlig allokering kvv'!$B$2:$BX$550,MATCH(W$2,'Slutlig allokering kvv'!$B$1:$BX$1,0),FALSE)/1,0))</f>
        <v/>
      </c>
      <c r="X133" s="31" t="str">
        <f>IF($D133="","",IFERROR(VLOOKUP($B133,Kraftvärmeprod!$B$1:$BX$550,MATCH(X$2,Kraftvärmeprod!$B$1:$VX$1,0),FALSE)/1,0)-IFERROR(VLOOKUP($B133,'Slutlig allokering kvv'!$B$2:$BX$550,MATCH(X$2,'Slutlig allokering kvv'!$B$1:$BX$1,0),FALSE)/1,0))</f>
        <v/>
      </c>
      <c r="Y133" s="31" t="str">
        <f>IF($D133="","",IFERROR(VLOOKUP($B133,Kraftvärmeprod!$B$1:$BX$550,MATCH(Y$2,Kraftvärmeprod!$B$1:$VX$1,0),FALSE)/1,0)-IFERROR(VLOOKUP($B133,'Slutlig allokering kvv'!$B$2:$BX$550,MATCH(Y$2,'Slutlig allokering kvv'!$B$1:$BX$1,0),FALSE)/1,0))</f>
        <v/>
      </c>
      <c r="Z133" s="31" t="str">
        <f>IF($D133="","",IFERROR(VLOOKUP($B133,Kraftvärmeprod!$B$1:$BX$550,MATCH(Z$2,Kraftvärmeprod!$B$1:$VX$1,0),FALSE)/1,0)-IFERROR(VLOOKUP($B133,'Slutlig allokering kvv'!$B$2:$BX$550,MATCH(Z$2,'Slutlig allokering kvv'!$B$1:$BX$1,0),FALSE)/1,0))</f>
        <v/>
      </c>
      <c r="AA133" s="31" t="str">
        <f>IF($D133="","",IFERROR(VLOOKUP($B133,Kraftvärmeprod!$B$1:$BX$550,MATCH(AA$2,Kraftvärmeprod!$B$1:$VX$1,0),FALSE)/1,0)-IFERROR(VLOOKUP($B133,'Slutlig allokering kvv'!$B$2:$BX$550,MATCH(AA$2,'Slutlig allokering kvv'!$B$1:$BX$1,0),FALSE)/1,0))</f>
        <v/>
      </c>
      <c r="AB133" s="31" t="str">
        <f>IF($D133="","",IFERROR(VLOOKUP($B133,Kraftvärmeprod!$B$1:$BX$550,MATCH(AB$2,Kraftvärmeprod!$B$1:$VX$1,0),FALSE)/1,0)-IFERROR(VLOOKUP($B133,'Slutlig allokering kvv'!$B$2:$BX$550,MATCH(AB$2,'Slutlig allokering kvv'!$B$1:$BX$1,0),FALSE)/1,0))</f>
        <v/>
      </c>
      <c r="AC133" s="31" t="str">
        <f>IF($D133="","",IFERROR(VLOOKUP($B133,Kraftvärmeprod!$B$1:$BX$550,MATCH(AC$2,Kraftvärmeprod!$B$1:$VX$1,0),FALSE)/1,0)-IFERROR(VLOOKUP($B133,'Slutlig allokering kvv'!$B$2:$BX$550,MATCH(AC$2,'Slutlig allokering kvv'!$B$1:$BX$1,0),FALSE)/1,0))</f>
        <v/>
      </c>
      <c r="AD133" s="31" t="str">
        <f>IF($D133="","",IFERROR(VLOOKUP($B133,Kraftvärmeprod!$B$1:$BX$550,MATCH(AD$2,Kraftvärmeprod!$B$1:$VX$1,0),FALSE)/1,0)-IFERROR(VLOOKUP($B133,'Slutlig allokering kvv'!$B$2:$BX$550,MATCH(AD$2,'Slutlig allokering kvv'!$B$1:$BX$1,0),FALSE)/1,0))</f>
        <v/>
      </c>
      <c r="AE133" s="31" t="str">
        <f>IF($D133="","",IFERROR(VLOOKUP($B133,Miljö!$B$1:$E$550,MATCH("Hjälpel kraftvärme (GWh)",Miljö!$B$1:$E$1,0),FALSE)/1,0)-IFERROR(VLOOKUP($B133,'Slutlig allokering kvv'!$B$2:$BX$549,MATCH(AE$2,'Slutlig allokering kvv'!$B$1:$BX$1,0),FALSE)/1,0))</f>
        <v/>
      </c>
      <c r="AI133" s="39">
        <f t="shared" si="8"/>
        <v>0</v>
      </c>
      <c r="AK133" s="31">
        <f>IFERROR(VLOOKUP($B133,'Slutlig allokering kvv'!$B$2:$AX$549,MATCH("Summa slutlig allokerad tillförd energi (utan hjälpel och rökgaskondensering):",'Slutlig allokering kvv'!$B$1:$AX$1,0),FALSE)/1,"")</f>
        <v>0</v>
      </c>
      <c r="AM133" s="31" t="str">
        <f>IFERROR(1-VLOOKUP($B133,'Slutlig allokering kvv'!$B$2:$AX$549,MATCH("Andel av bränsle i kvv som allokerats till värme, exklusive rökgaskondensering och hjälpel",'Slutlig allokering kvv'!$B$1:$AX$1,0),FALSE),"")</f>
        <v/>
      </c>
      <c r="AO133" s="31" t="str">
        <f t="shared" si="9"/>
        <v/>
      </c>
      <c r="AP133" s="31" t="str">
        <f t="shared" si="10"/>
        <v/>
      </c>
      <c r="AR133" s="32" t="str">
        <f t="shared" si="11"/>
        <v/>
      </c>
    </row>
    <row r="134" spans="1:44" s="31" customFormat="1" x14ac:dyDescent="0.45">
      <c r="A134" s="31" t="s">
        <v>493</v>
      </c>
      <c r="B134" s="31" t="s">
        <v>492</v>
      </c>
      <c r="C134" s="31">
        <f>IFERROR(VLOOKUP($B134,Kraftvärmeprod!$B$1:$AH$479,MATCH(C$2,Kraftvärmeprod!$B$1:$AG$1,0),FALSE)/1,"")</f>
        <v>75.5</v>
      </c>
      <c r="D134" s="31">
        <f>IFERROR(VLOOKUP($B134,Kraftvärmeprod!$B$1:$AH$479,MATCH(D$2,Kraftvärmeprod!$B$1:$AG$1,0),FALSE)/1,"")</f>
        <v>7.35</v>
      </c>
      <c r="F134" s="31">
        <f>IF($D134="","",IFERROR(VLOOKUP($B134,Kraftvärmeprod!$B$1:$BX$550,MATCH(F$2,Kraftvärmeprod!$B$1:$VX$1,0),FALSE)/1,0)-IFERROR(VLOOKUP($B134,'Slutlig allokering kvv'!$B$2:$BX$550,MATCH(F$2,'Slutlig allokering kvv'!$B$1:$BX$1,0),FALSE)/1,0))</f>
        <v>0</v>
      </c>
      <c r="G134" s="31">
        <f>IF($D134="","",IFERROR(VLOOKUP($B134,Kraftvärmeprod!$B$1:$BX$550,MATCH(G$2,Kraftvärmeprod!$B$1:$VX$1,0),FALSE)/1,0)-IFERROR(VLOOKUP($B134,'Slutlig allokering kvv'!$B$2:$BX$550,MATCH(G$2,'Slutlig allokering kvv'!$B$1:$BX$1,0),FALSE)/1,0))</f>
        <v>0</v>
      </c>
      <c r="H134" s="31">
        <f>IF($D134="","",IFERROR(VLOOKUP($B134,Kraftvärmeprod!$B$1:$BX$550,MATCH(H$2,Kraftvärmeprod!$B$1:$VX$1,0),FALSE)/1,0)-IFERROR(VLOOKUP($B134,'Slutlig allokering kvv'!$B$2:$BX$550,MATCH(H$2,'Slutlig allokering kvv'!$B$1:$BX$1,0),FALSE)/1,0))</f>
        <v>0</v>
      </c>
      <c r="I134" s="31">
        <f>IF($D134="","",IFERROR(VLOOKUP($B134,Kraftvärmeprod!$B$1:$BX$550,MATCH(I$2,Kraftvärmeprod!$B$1:$VX$1,0),FALSE)/1,0)-IFERROR(VLOOKUP($B134,'Slutlig allokering kvv'!$B$2:$BX$550,MATCH(I$2,'Slutlig allokering kvv'!$B$1:$BX$1,0),FALSE)/1,0))</f>
        <v>0</v>
      </c>
      <c r="J134" s="31">
        <f>IF($D134="","",IFERROR(VLOOKUP($B134,Kraftvärmeprod!$B$1:$BX$550,MATCH(J$2,Kraftvärmeprod!$B$1:$VX$1,0),FALSE)/1,0)-IFERROR(VLOOKUP($B134,'Slutlig allokering kvv'!$B$2:$BX$550,MATCH(J$2,'Slutlig allokering kvv'!$B$1:$BX$1,0),FALSE)/1,0))</f>
        <v>0</v>
      </c>
      <c r="K134" s="31">
        <f>IF($D134="","",IFERROR(VLOOKUP($B134,Kraftvärmeprod!$B$1:$BX$550,MATCH(K$2,Kraftvärmeprod!$B$1:$VX$1,0),FALSE)/1,0)-IFERROR(VLOOKUP($B134,'Slutlig allokering kvv'!$B$2:$BX$550,MATCH(K$2,'Slutlig allokering kvv'!$B$1:$BX$1,0),FALSE)/1,0))</f>
        <v>0</v>
      </c>
      <c r="L134" s="31">
        <f>IF($D134="","",IFERROR(VLOOKUP($B134,Kraftvärmeprod!$B$1:$BX$550,MATCH(L$2,Kraftvärmeprod!$B$1:$VX$1,0),FALSE)/1,0)-IFERROR(VLOOKUP($B134,'Slutlig allokering kvv'!$B$2:$BX$550,MATCH(L$2,'Slutlig allokering kvv'!$B$1:$BX$1,0),FALSE)/1,0))</f>
        <v>-0.20000000000000284</v>
      </c>
      <c r="M134" s="31">
        <f>IF($D134="","",IFERROR(VLOOKUP($B134,Kraftvärmeprod!$B$1:$BX$550,MATCH(M$2,Kraftvärmeprod!$B$1:$VX$1,0),FALSE)/1,0)-IFERROR(VLOOKUP($B134,'Slutlig allokering kvv'!$B$2:$BX$550,MATCH(M$2,'Slutlig allokering kvv'!$B$1:$BX$1,0),FALSE)/1,0))</f>
        <v>-0.39999999999999858</v>
      </c>
      <c r="N134" s="31">
        <f>IF($D134="","",IFERROR(VLOOKUP($B134,Kraftvärmeprod!$B$1:$BX$550,MATCH(N$2,Kraftvärmeprod!$B$1:$VX$1,0),FALSE)/1,0)-IFERROR(VLOOKUP($B134,'Slutlig allokering kvv'!$B$2:$BX$550,MATCH(N$2,'Slutlig allokering kvv'!$B$1:$BX$1,0),FALSE)/1,0))</f>
        <v>4.5328999999999979</v>
      </c>
      <c r="O134" s="31">
        <f>IF($D134="","",IFERROR(VLOOKUP($B134,Kraftvärmeprod!$B$1:$BX$550,MATCH(O$2,Kraftvärmeprod!$B$1:$VX$1,0),FALSE)/1,0)-IFERROR(VLOOKUP($B134,'Slutlig allokering kvv'!$B$2:$BX$550,MATCH(O$2,'Slutlig allokering kvv'!$B$1:$BX$1,0),FALSE)/1,0))</f>
        <v>-22</v>
      </c>
      <c r="P134" s="31">
        <f>IF($D134="","",IFERROR(VLOOKUP($B134,Kraftvärmeprod!$B$1:$BX$550,MATCH(P$2,Kraftvärmeprod!$B$1:$VX$1,0),FALSE)/1,0)-IFERROR(VLOOKUP($B134,'Slutlig allokering kvv'!$B$2:$BX$550,MATCH(P$2,'Slutlig allokering kvv'!$B$1:$BX$1,0),FALSE)/1,0))</f>
        <v>0</v>
      </c>
      <c r="Q134" s="31">
        <f>IF($D134="","",IFERROR(VLOOKUP($B134,Kraftvärmeprod!$B$1:$BX$550,MATCH(Q$2,Kraftvärmeprod!$B$1:$VX$1,0),FALSE)/1,0)-IFERROR(VLOOKUP($B134,'Slutlig allokering kvv'!$B$2:$BX$550,MATCH(Q$2,'Slutlig allokering kvv'!$B$1:$BX$1,0),FALSE)/1,0))</f>
        <v>0</v>
      </c>
      <c r="R134" s="31">
        <f>IF($D134="","",IFERROR(VLOOKUP($B134,Kraftvärmeprod!$B$1:$BX$550,MATCH(R$2,Kraftvärmeprod!$B$1:$VX$1,0),FALSE)/1,0)-IFERROR(VLOOKUP($B134,'Slutlig allokering kvv'!$B$2:$BX$550,MATCH(R$2,'Slutlig allokering kvv'!$B$1:$BX$1,0),FALSE)/1,0))</f>
        <v>0</v>
      </c>
      <c r="S134" s="31">
        <f>IF($D134="","",IFERROR(VLOOKUP($B134,Kraftvärmeprod!$B$1:$BX$550,MATCH(S$2,Kraftvärmeprod!$B$1:$VX$1,0),FALSE)/1,0)-IFERROR(VLOOKUP($B134,'Slutlig allokering kvv'!$B$2:$BX$550,MATCH(S$2,'Slutlig allokering kvv'!$B$1:$BX$1,0),FALSE)/1,0))</f>
        <v>0</v>
      </c>
      <c r="T134" s="31">
        <f>IF($D134="","",IFERROR(VLOOKUP($B134,Kraftvärmeprod!$B$1:$BX$550,MATCH(T$2,Kraftvärmeprod!$B$1:$VX$1,0),FALSE)/1,0)-IFERROR(VLOOKUP($B134,'Slutlig allokering kvv'!$B$2:$BX$550,MATCH(T$2,'Slutlig allokering kvv'!$B$1:$BX$1,0),FALSE)/1,0))</f>
        <v>0</v>
      </c>
      <c r="U134" s="31">
        <f>IF($D134="","",IFERROR(VLOOKUP($B134,Kraftvärmeprod!$B$1:$BX$550,MATCH(U$2,Kraftvärmeprod!$B$1:$VX$1,0),FALSE)/1,0)-IFERROR(VLOOKUP($B134,'Slutlig allokering kvv'!$B$2:$BX$550,MATCH(U$2,'Slutlig allokering kvv'!$B$1:$BX$1,0),FALSE)/1,0))</f>
        <v>0</v>
      </c>
      <c r="V134" s="31">
        <f>IF($D134="","",IFERROR(VLOOKUP($B134,Kraftvärmeprod!$B$1:$BX$550,MATCH(V$2,Kraftvärmeprod!$B$1:$VX$1,0),FALSE)/1,0)-IFERROR(VLOOKUP($B134,'Slutlig allokering kvv'!$B$2:$BX$550,MATCH(V$2,'Slutlig allokering kvv'!$B$1:$BX$1,0),FALSE)/1,0))</f>
        <v>0</v>
      </c>
      <c r="W134" s="31">
        <f>IF($D134="","",IFERROR(VLOOKUP($B134,Kraftvärmeprod!$B$1:$BX$550,MATCH(W$2,Kraftvärmeprod!$B$1:$VX$1,0),FALSE)/1,0)-IFERROR(VLOOKUP($B134,'Slutlig allokering kvv'!$B$2:$BX$550,MATCH(W$2,'Slutlig allokering kvv'!$B$1:$BX$1,0),FALSE)/1,0))</f>
        <v>0</v>
      </c>
      <c r="X134" s="31">
        <f>IF($D134="","",IFERROR(VLOOKUP($B134,Kraftvärmeprod!$B$1:$BX$550,MATCH(X$2,Kraftvärmeprod!$B$1:$VX$1,0),FALSE)/1,0)-IFERROR(VLOOKUP($B134,'Slutlig allokering kvv'!$B$2:$BX$550,MATCH(X$2,'Slutlig allokering kvv'!$B$1:$BX$1,0),FALSE)/1,0))</f>
        <v>0</v>
      </c>
      <c r="Y134" s="31">
        <f>IF($D134="","",IFERROR(VLOOKUP($B134,Kraftvärmeprod!$B$1:$BX$550,MATCH(Y$2,Kraftvärmeprod!$B$1:$VX$1,0),FALSE)/1,0)-IFERROR(VLOOKUP($B134,'Slutlig allokering kvv'!$B$2:$BX$550,MATCH(Y$2,'Slutlig allokering kvv'!$B$1:$BX$1,0),FALSE)/1,0))</f>
        <v>0</v>
      </c>
      <c r="Z134" s="31">
        <f>IF($D134="","",IFERROR(VLOOKUP($B134,Kraftvärmeprod!$B$1:$BX$550,MATCH(Z$2,Kraftvärmeprod!$B$1:$VX$1,0),FALSE)/1,0)-IFERROR(VLOOKUP($B134,'Slutlig allokering kvv'!$B$2:$BX$550,MATCH(Z$2,'Slutlig allokering kvv'!$B$1:$BX$1,0),FALSE)/1,0))</f>
        <v>0</v>
      </c>
      <c r="AA134" s="31">
        <f>IF($D134="","",IFERROR(VLOOKUP($B134,Kraftvärmeprod!$B$1:$BX$550,MATCH(AA$2,Kraftvärmeprod!$B$1:$VX$1,0),FALSE)/1,0)-IFERROR(VLOOKUP($B134,'Slutlig allokering kvv'!$B$2:$BX$550,MATCH(AA$2,'Slutlig allokering kvv'!$B$1:$BX$1,0),FALSE)/1,0))</f>
        <v>0</v>
      </c>
      <c r="AB134" s="31">
        <f>IF($D134="","",IFERROR(VLOOKUP($B134,Kraftvärmeprod!$B$1:$BX$550,MATCH(AB$2,Kraftvärmeprod!$B$1:$VX$1,0),FALSE)/1,0)-IFERROR(VLOOKUP($B134,'Slutlig allokering kvv'!$B$2:$BX$550,MATCH(AB$2,'Slutlig allokering kvv'!$B$1:$BX$1,0),FALSE)/1,0))</f>
        <v>0</v>
      </c>
      <c r="AC134" s="31">
        <f>IF($D134="","",IFERROR(VLOOKUP($B134,Kraftvärmeprod!$B$1:$BX$550,MATCH(AC$2,Kraftvärmeprod!$B$1:$VX$1,0),FALSE)/1,0)-IFERROR(VLOOKUP($B134,'Slutlig allokering kvv'!$B$2:$BX$550,MATCH(AC$2,'Slutlig allokering kvv'!$B$1:$BX$1,0),FALSE)/1,0))</f>
        <v>0</v>
      </c>
      <c r="AD134" s="31">
        <f>IF($D134="","",IFERROR(VLOOKUP($B134,Kraftvärmeprod!$B$1:$BX$550,MATCH(AD$2,Kraftvärmeprod!$B$1:$VX$1,0),FALSE)/1,0)-IFERROR(VLOOKUP($B134,'Slutlig allokering kvv'!$B$2:$BX$550,MATCH(AD$2,'Slutlig allokering kvv'!$B$1:$BX$1,0),FALSE)/1,0))</f>
        <v>0</v>
      </c>
      <c r="AE134" s="31">
        <f>IF($D134="","",IFERROR(VLOOKUP($B134,Miljö!$B$1:$E$550,MATCH("Hjälpel kraftvärme (GWh)",Miljö!$B$1:$E$1,0),FALSE)/1,0)-IFERROR(VLOOKUP($B134,'Slutlig allokering kvv'!$B$2:$BX$549,MATCH(AE$2,'Slutlig allokering kvv'!$B$1:$BX$1,0),FALSE)/1,0))</f>
        <v>-8.2365000000000022E-2</v>
      </c>
      <c r="AI134" s="39">
        <f t="shared" si="8"/>
        <v>-18.067100000000003</v>
      </c>
      <c r="AK134" s="31">
        <f>IFERROR(VLOOKUP($B134,'Slutlig allokering kvv'!$B$2:$AX$549,MATCH("Summa slutlig allokerad tillförd energi (utan hjälpel och rökgaskondensering):",'Slutlig allokering kvv'!$B$1:$AX$1,0),FALSE)/1,"")</f>
        <v>126.86709999999999</v>
      </c>
      <c r="AM134" s="31">
        <f>IFERROR(1-VLOOKUP($B134,'Slutlig allokering kvv'!$B$2:$AX$549,MATCH("Andel av bränsle i kvv som allokerats till värme, exklusive rökgaskondensering och hjälpel",'Slutlig allokering kvv'!$B$1:$AX$1,0),FALSE),"")</f>
        <v>-0.16605790441176449</v>
      </c>
      <c r="AO134" s="31">
        <f t="shared" si="9"/>
        <v>-0.16605790441176477</v>
      </c>
      <c r="AP134" s="31">
        <f t="shared" si="10"/>
        <v>2.7755575615628914E-16</v>
      </c>
      <c r="AR134" s="32">
        <f t="shared" si="11"/>
        <v>-0.40497061483630503</v>
      </c>
    </row>
    <row r="135" spans="1:44" s="31" customFormat="1" x14ac:dyDescent="0.45">
      <c r="A135" s="31" t="s">
        <v>490</v>
      </c>
      <c r="B135" s="31" t="s">
        <v>489</v>
      </c>
      <c r="C135" s="31">
        <f>IFERROR(VLOOKUP($B135,Kraftvärmeprod!$B$1:$AH$479,MATCH(C$2,Kraftvärmeprod!$B$1:$AG$1,0),FALSE)/1,"")</f>
        <v>188.7</v>
      </c>
      <c r="D135" s="31">
        <f>IFERROR(VLOOKUP($B135,Kraftvärmeprod!$B$1:$AH$479,MATCH(D$2,Kraftvärmeprod!$B$1:$AG$1,0),FALSE)/1,"")</f>
        <v>23.18</v>
      </c>
      <c r="F135" s="31">
        <f>IF($D135="","",IFERROR(VLOOKUP($B135,Kraftvärmeprod!$B$1:$BX$550,MATCH(F$2,Kraftvärmeprod!$B$1:$VX$1,0),FALSE)/1,0)-IFERROR(VLOOKUP($B135,'Slutlig allokering kvv'!$B$2:$BX$550,MATCH(F$2,'Slutlig allokering kvv'!$B$1:$BX$1,0),FALSE)/1,0))</f>
        <v>0</v>
      </c>
      <c r="G135" s="31">
        <f>IF($D135="","",IFERROR(VLOOKUP($B135,Kraftvärmeprod!$B$1:$BX$550,MATCH(G$2,Kraftvärmeprod!$B$1:$VX$1,0),FALSE)/1,0)-IFERROR(VLOOKUP($B135,'Slutlig allokering kvv'!$B$2:$BX$550,MATCH(G$2,'Slutlig allokering kvv'!$B$1:$BX$1,0),FALSE)/1,0))</f>
        <v>0.47366999999999981</v>
      </c>
      <c r="H135" s="31">
        <f>IF($D135="","",IFERROR(VLOOKUP($B135,Kraftvärmeprod!$B$1:$BX$550,MATCH(H$2,Kraftvärmeprod!$B$1:$VX$1,0),FALSE)/1,0)-IFERROR(VLOOKUP($B135,'Slutlig allokering kvv'!$B$2:$BX$550,MATCH(H$2,'Slutlig allokering kvv'!$B$1:$BX$1,0),FALSE)/1,0))</f>
        <v>0</v>
      </c>
      <c r="I135" s="31">
        <f>IF($D135="","",IFERROR(VLOOKUP($B135,Kraftvärmeprod!$B$1:$BX$550,MATCH(I$2,Kraftvärmeprod!$B$1:$VX$1,0),FALSE)/1,0)-IFERROR(VLOOKUP($B135,'Slutlig allokering kvv'!$B$2:$BX$550,MATCH(I$2,'Slutlig allokering kvv'!$B$1:$BX$1,0),FALSE)/1,0))</f>
        <v>0</v>
      </c>
      <c r="J135" s="31">
        <f>IF($D135="","",IFERROR(VLOOKUP($B135,Kraftvärmeprod!$B$1:$BX$550,MATCH(J$2,Kraftvärmeprod!$B$1:$VX$1,0),FALSE)/1,0)-IFERROR(VLOOKUP($B135,'Slutlig allokering kvv'!$B$2:$BX$550,MATCH(J$2,'Slutlig allokering kvv'!$B$1:$BX$1,0),FALSE)/1,0))</f>
        <v>0</v>
      </c>
      <c r="K135" s="31">
        <f>IF($D135="","",IFERROR(VLOOKUP($B135,Kraftvärmeprod!$B$1:$BX$550,MATCH(K$2,Kraftvärmeprod!$B$1:$VX$1,0),FALSE)/1,0)-IFERROR(VLOOKUP($B135,'Slutlig allokering kvv'!$B$2:$BX$550,MATCH(K$2,'Slutlig allokering kvv'!$B$1:$BX$1,0),FALSE)/1,0))</f>
        <v>0</v>
      </c>
      <c r="L135" s="31">
        <f>IF($D135="","",IFERROR(VLOOKUP($B135,Kraftvärmeprod!$B$1:$BX$550,MATCH(L$2,Kraftvärmeprod!$B$1:$VX$1,0),FALSE)/1,0)-IFERROR(VLOOKUP($B135,'Slutlig allokering kvv'!$B$2:$BX$550,MATCH(L$2,'Slutlig allokering kvv'!$B$1:$BX$1,0),FALSE)/1,0))</f>
        <v>0</v>
      </c>
      <c r="M135" s="31">
        <f>IF($D135="","",IFERROR(VLOOKUP($B135,Kraftvärmeprod!$B$1:$BX$550,MATCH(M$2,Kraftvärmeprod!$B$1:$VX$1,0),FALSE)/1,0)-IFERROR(VLOOKUP($B135,'Slutlig allokering kvv'!$B$2:$BX$550,MATCH(M$2,'Slutlig allokering kvv'!$B$1:$BX$1,0),FALSE)/1,0))</f>
        <v>0</v>
      </c>
      <c r="N135" s="31">
        <f>IF($D135="","",IFERROR(VLOOKUP($B135,Kraftvärmeprod!$B$1:$BX$550,MATCH(N$2,Kraftvärmeprod!$B$1:$VX$1,0),FALSE)/1,0)-IFERROR(VLOOKUP($B135,'Slutlig allokering kvv'!$B$2:$BX$550,MATCH(N$2,'Slutlig allokering kvv'!$B$1:$BX$1,0),FALSE)/1,0))</f>
        <v>0</v>
      </c>
      <c r="O135" s="31">
        <f>IF($D135="","",IFERROR(VLOOKUP($B135,Kraftvärmeprod!$B$1:$BX$550,MATCH(O$2,Kraftvärmeprod!$B$1:$VX$1,0),FALSE)/1,0)-IFERROR(VLOOKUP($B135,'Slutlig allokering kvv'!$B$2:$BX$550,MATCH(O$2,'Slutlig allokering kvv'!$B$1:$BX$1,0),FALSE)/1,0))</f>
        <v>0</v>
      </c>
      <c r="P135" s="31">
        <f>IF($D135="","",IFERROR(VLOOKUP($B135,Kraftvärmeprod!$B$1:$BX$550,MATCH(P$2,Kraftvärmeprod!$B$1:$VX$1,0),FALSE)/1,0)-IFERROR(VLOOKUP($B135,'Slutlig allokering kvv'!$B$2:$BX$550,MATCH(P$2,'Slutlig allokering kvv'!$B$1:$BX$1,0),FALSE)/1,0))</f>
        <v>0</v>
      </c>
      <c r="Q135" s="31">
        <f>IF($D135="","",IFERROR(VLOOKUP($B135,Kraftvärmeprod!$B$1:$BX$550,MATCH(Q$2,Kraftvärmeprod!$B$1:$VX$1,0),FALSE)/1,0)-IFERROR(VLOOKUP($B135,'Slutlig allokering kvv'!$B$2:$BX$550,MATCH(Q$2,'Slutlig allokering kvv'!$B$1:$BX$1,0),FALSE)/1,0))</f>
        <v>0</v>
      </c>
      <c r="R135" s="31">
        <f>IF($D135="","",IFERROR(VLOOKUP($B135,Kraftvärmeprod!$B$1:$BX$550,MATCH(R$2,Kraftvärmeprod!$B$1:$VX$1,0),FALSE)/1,0)-IFERROR(VLOOKUP($B135,'Slutlig allokering kvv'!$B$2:$BX$550,MATCH(R$2,'Slutlig allokering kvv'!$B$1:$BX$1,0),FALSE)/1,0))</f>
        <v>0</v>
      </c>
      <c r="S135" s="31">
        <f>IF($D135="","",IFERROR(VLOOKUP($B135,Kraftvärmeprod!$B$1:$BX$550,MATCH(S$2,Kraftvärmeprod!$B$1:$VX$1,0),FALSE)/1,0)-IFERROR(VLOOKUP($B135,'Slutlig allokering kvv'!$B$2:$BX$550,MATCH(S$2,'Slutlig allokering kvv'!$B$1:$BX$1,0),FALSE)/1,0))</f>
        <v>0</v>
      </c>
      <c r="T135" s="31">
        <f>IF($D135="","",IFERROR(VLOOKUP($B135,Kraftvärmeprod!$B$1:$BX$550,MATCH(T$2,Kraftvärmeprod!$B$1:$VX$1,0),FALSE)/1,0)-IFERROR(VLOOKUP($B135,'Slutlig allokering kvv'!$B$2:$BX$550,MATCH(T$2,'Slutlig allokering kvv'!$B$1:$BX$1,0),FALSE)/1,0))</f>
        <v>0</v>
      </c>
      <c r="U135" s="31">
        <f>IF($D135="","",IFERROR(VLOOKUP($B135,Kraftvärmeprod!$B$1:$BX$550,MATCH(U$2,Kraftvärmeprod!$B$1:$VX$1,0),FALSE)/1,0)-IFERROR(VLOOKUP($B135,'Slutlig allokering kvv'!$B$2:$BX$550,MATCH(U$2,'Slutlig allokering kvv'!$B$1:$BX$1,0),FALSE)/1,0))</f>
        <v>0</v>
      </c>
      <c r="V135" s="31">
        <f>IF($D135="","",IFERROR(VLOOKUP($B135,Kraftvärmeprod!$B$1:$BX$550,MATCH(V$2,Kraftvärmeprod!$B$1:$VX$1,0),FALSE)/1,0)-IFERROR(VLOOKUP($B135,'Slutlig allokering kvv'!$B$2:$BX$550,MATCH(V$2,'Slutlig allokering kvv'!$B$1:$BX$1,0),FALSE)/1,0))</f>
        <v>0.81237000000000004</v>
      </c>
      <c r="W135" s="31">
        <f>IF($D135="","",IFERROR(VLOOKUP($B135,Kraftvärmeprod!$B$1:$BX$550,MATCH(W$2,Kraftvärmeprod!$B$1:$VX$1,0),FALSE)/1,0)-IFERROR(VLOOKUP($B135,'Slutlig allokering kvv'!$B$2:$BX$550,MATCH(W$2,'Slutlig allokering kvv'!$B$1:$BX$1,0),FALSE)/1,0))</f>
        <v>0</v>
      </c>
      <c r="X135" s="31">
        <f>IF($D135="","",IFERROR(VLOOKUP($B135,Kraftvärmeprod!$B$1:$BX$550,MATCH(X$2,Kraftvärmeprod!$B$1:$VX$1,0),FALSE)/1,0)-IFERROR(VLOOKUP($B135,'Slutlig allokering kvv'!$B$2:$BX$550,MATCH(X$2,'Slutlig allokering kvv'!$B$1:$BX$1,0),FALSE)/1,0))</f>
        <v>0</v>
      </c>
      <c r="Y135" s="31">
        <f>IF($D135="","",IFERROR(VLOOKUP($B135,Kraftvärmeprod!$B$1:$BX$550,MATCH(Y$2,Kraftvärmeprod!$B$1:$VX$1,0),FALSE)/1,0)-IFERROR(VLOOKUP($B135,'Slutlig allokering kvv'!$B$2:$BX$550,MATCH(Y$2,'Slutlig allokering kvv'!$B$1:$BX$1,0),FALSE)/1,0))</f>
        <v>0</v>
      </c>
      <c r="Z135" s="31">
        <f>IF($D135="","",IFERROR(VLOOKUP($B135,Kraftvärmeprod!$B$1:$BX$550,MATCH(Z$2,Kraftvärmeprod!$B$1:$VX$1,0),FALSE)/1,0)-IFERROR(VLOOKUP($B135,'Slutlig allokering kvv'!$B$2:$BX$550,MATCH(Z$2,'Slutlig allokering kvv'!$B$1:$BX$1,0),FALSE)/1,0))</f>
        <v>0</v>
      </c>
      <c r="AA135" s="31">
        <f>IF($D135="","",IFERROR(VLOOKUP($B135,Kraftvärmeprod!$B$1:$BX$550,MATCH(AA$2,Kraftvärmeprod!$B$1:$VX$1,0),FALSE)/1,0)-IFERROR(VLOOKUP($B135,'Slutlig allokering kvv'!$B$2:$BX$550,MATCH(AA$2,'Slutlig allokering kvv'!$B$1:$BX$1,0),FALSE)/1,0))</f>
        <v>62.693000000000012</v>
      </c>
      <c r="AB135" s="31">
        <f>IF($D135="","",IFERROR(VLOOKUP($B135,Kraftvärmeprod!$B$1:$BX$550,MATCH(AB$2,Kraftvärmeprod!$B$1:$VX$1,0),FALSE)/1,0)-IFERROR(VLOOKUP($B135,'Slutlig allokering kvv'!$B$2:$BX$550,MATCH(AB$2,'Slutlig allokering kvv'!$B$1:$BX$1,0),FALSE)/1,0))</f>
        <v>0</v>
      </c>
      <c r="AC135" s="31">
        <f>IF($D135="","",IFERROR(VLOOKUP($B135,Kraftvärmeprod!$B$1:$BX$550,MATCH(AC$2,Kraftvärmeprod!$B$1:$VX$1,0),FALSE)/1,0)-IFERROR(VLOOKUP($B135,'Slutlig allokering kvv'!$B$2:$BX$550,MATCH(AC$2,'Slutlig allokering kvv'!$B$1:$BX$1,0),FALSE)/1,0))</f>
        <v>0</v>
      </c>
      <c r="AD135" s="31">
        <f>IF($D135="","",IFERROR(VLOOKUP($B135,Kraftvärmeprod!$B$1:$BX$550,MATCH(AD$2,Kraftvärmeprod!$B$1:$VX$1,0),FALSE)/1,0)-IFERROR(VLOOKUP($B135,'Slutlig allokering kvv'!$B$2:$BX$550,MATCH(AD$2,'Slutlig allokering kvv'!$B$1:$BX$1,0),FALSE)/1,0))</f>
        <v>0</v>
      </c>
      <c r="AE135" s="31">
        <f>IF($D135="","",IFERROR(VLOOKUP($B135,Miljö!$B$1:$E$550,MATCH("Hjälpel kraftvärme (GWh)",Miljö!$B$1:$E$1,0),FALSE)/1,0)-IFERROR(VLOOKUP($B135,'Slutlig allokering kvv'!$B$2:$BX$549,MATCH(AE$2,'Slutlig allokering kvv'!$B$1:$BX$1,0),FALSE)/1,0))</f>
        <v>2.6107000000000005</v>
      </c>
      <c r="AI135" s="39">
        <f t="shared" si="8"/>
        <v>63.979040000000012</v>
      </c>
      <c r="AK135" s="31">
        <f>IFERROR(VLOOKUP($B135,'Slutlig allokering kvv'!$B$2:$AX$549,MATCH("Summa slutlig allokerad tillförd energi (utan hjälpel och rökgaskondensering):",'Slutlig allokering kvv'!$B$1:$AX$1,0),FALSE)/1,"")</f>
        <v>163.93096</v>
      </c>
      <c r="AM135" s="31">
        <f>IFERROR(1-VLOOKUP($B135,'Slutlig allokering kvv'!$B$2:$AX$549,MATCH("Andel av bränsle i kvv som allokerats till värme, exklusive rökgaskondensering och hjälpel",'Slutlig allokering kvv'!$B$1:$AX$1,0),FALSE),"")</f>
        <v>0.28072063533851077</v>
      </c>
      <c r="AO135" s="31">
        <f t="shared" si="9"/>
        <v>0.28072063533851083</v>
      </c>
      <c r="AP135" s="31">
        <f t="shared" si="10"/>
        <v>-5.5511151231257827E-17</v>
      </c>
      <c r="AR135" s="32">
        <f t="shared" si="11"/>
        <v>0.34810167452223117</v>
      </c>
    </row>
    <row r="136" spans="1:44" s="31" customFormat="1" x14ac:dyDescent="0.45">
      <c r="A136" s="31" t="s">
        <v>480</v>
      </c>
      <c r="B136" s="31" t="s">
        <v>488</v>
      </c>
      <c r="C136" s="31" t="str">
        <f>IFERROR(VLOOKUP($B136,Kraftvärmeprod!$B$1:$AH$479,MATCH(C$2,Kraftvärmeprod!$B$1:$AG$1,0),FALSE)/1,"")</f>
        <v/>
      </c>
      <c r="D136" s="31" t="str">
        <f>IFERROR(VLOOKUP($B136,Kraftvärmeprod!$B$1:$AH$479,MATCH(D$2,Kraftvärmeprod!$B$1:$AG$1,0),FALSE)/1,"")</f>
        <v/>
      </c>
      <c r="F136" s="31" t="str">
        <f>IF($D136="","",IFERROR(VLOOKUP($B136,Kraftvärmeprod!$B$1:$BX$550,MATCH(F$2,Kraftvärmeprod!$B$1:$VX$1,0),FALSE)/1,0)-IFERROR(VLOOKUP($B136,'Slutlig allokering kvv'!$B$2:$BX$550,MATCH(F$2,'Slutlig allokering kvv'!$B$1:$BX$1,0),FALSE)/1,0))</f>
        <v/>
      </c>
      <c r="G136" s="31" t="str">
        <f>IF($D136="","",IFERROR(VLOOKUP($B136,Kraftvärmeprod!$B$1:$BX$550,MATCH(G$2,Kraftvärmeprod!$B$1:$VX$1,0),FALSE)/1,0)-IFERROR(VLOOKUP($B136,'Slutlig allokering kvv'!$B$2:$BX$550,MATCH(G$2,'Slutlig allokering kvv'!$B$1:$BX$1,0),FALSE)/1,0))</f>
        <v/>
      </c>
      <c r="H136" s="31" t="str">
        <f>IF($D136="","",IFERROR(VLOOKUP($B136,Kraftvärmeprod!$B$1:$BX$550,MATCH(H$2,Kraftvärmeprod!$B$1:$VX$1,0),FALSE)/1,0)-IFERROR(VLOOKUP($B136,'Slutlig allokering kvv'!$B$2:$BX$550,MATCH(H$2,'Slutlig allokering kvv'!$B$1:$BX$1,0),FALSE)/1,0))</f>
        <v/>
      </c>
      <c r="I136" s="31" t="str">
        <f>IF($D136="","",IFERROR(VLOOKUP($B136,Kraftvärmeprod!$B$1:$BX$550,MATCH(I$2,Kraftvärmeprod!$B$1:$VX$1,0),FALSE)/1,0)-IFERROR(VLOOKUP($B136,'Slutlig allokering kvv'!$B$2:$BX$550,MATCH(I$2,'Slutlig allokering kvv'!$B$1:$BX$1,0),FALSE)/1,0))</f>
        <v/>
      </c>
      <c r="J136" s="31" t="str">
        <f>IF($D136="","",IFERROR(VLOOKUP($B136,Kraftvärmeprod!$B$1:$BX$550,MATCH(J$2,Kraftvärmeprod!$B$1:$VX$1,0),FALSE)/1,0)-IFERROR(VLOOKUP($B136,'Slutlig allokering kvv'!$B$2:$BX$550,MATCH(J$2,'Slutlig allokering kvv'!$B$1:$BX$1,0),FALSE)/1,0))</f>
        <v/>
      </c>
      <c r="K136" s="31" t="str">
        <f>IF($D136="","",IFERROR(VLOOKUP($B136,Kraftvärmeprod!$B$1:$BX$550,MATCH(K$2,Kraftvärmeprod!$B$1:$VX$1,0),FALSE)/1,0)-IFERROR(VLOOKUP($B136,'Slutlig allokering kvv'!$B$2:$BX$550,MATCH(K$2,'Slutlig allokering kvv'!$B$1:$BX$1,0),FALSE)/1,0))</f>
        <v/>
      </c>
      <c r="L136" s="31" t="str">
        <f>IF($D136="","",IFERROR(VLOOKUP($B136,Kraftvärmeprod!$B$1:$BX$550,MATCH(L$2,Kraftvärmeprod!$B$1:$VX$1,0),FALSE)/1,0)-IFERROR(VLOOKUP($B136,'Slutlig allokering kvv'!$B$2:$BX$550,MATCH(L$2,'Slutlig allokering kvv'!$B$1:$BX$1,0),FALSE)/1,0))</f>
        <v/>
      </c>
      <c r="M136" s="31" t="str">
        <f>IF($D136="","",IFERROR(VLOOKUP($B136,Kraftvärmeprod!$B$1:$BX$550,MATCH(M$2,Kraftvärmeprod!$B$1:$VX$1,0),FALSE)/1,0)-IFERROR(VLOOKUP($B136,'Slutlig allokering kvv'!$B$2:$BX$550,MATCH(M$2,'Slutlig allokering kvv'!$B$1:$BX$1,0),FALSE)/1,0))</f>
        <v/>
      </c>
      <c r="N136" s="31" t="str">
        <f>IF($D136="","",IFERROR(VLOOKUP($B136,Kraftvärmeprod!$B$1:$BX$550,MATCH(N$2,Kraftvärmeprod!$B$1:$VX$1,0),FALSE)/1,0)-IFERROR(VLOOKUP($B136,'Slutlig allokering kvv'!$B$2:$BX$550,MATCH(N$2,'Slutlig allokering kvv'!$B$1:$BX$1,0),FALSE)/1,0))</f>
        <v/>
      </c>
      <c r="O136" s="31" t="str">
        <f>IF($D136="","",IFERROR(VLOOKUP($B136,Kraftvärmeprod!$B$1:$BX$550,MATCH(O$2,Kraftvärmeprod!$B$1:$VX$1,0),FALSE)/1,0)-IFERROR(VLOOKUP($B136,'Slutlig allokering kvv'!$B$2:$BX$550,MATCH(O$2,'Slutlig allokering kvv'!$B$1:$BX$1,0),FALSE)/1,0))</f>
        <v/>
      </c>
      <c r="P136" s="31" t="str">
        <f>IF($D136="","",IFERROR(VLOOKUP($B136,Kraftvärmeprod!$B$1:$BX$550,MATCH(P$2,Kraftvärmeprod!$B$1:$VX$1,0),FALSE)/1,0)-IFERROR(VLOOKUP($B136,'Slutlig allokering kvv'!$B$2:$BX$550,MATCH(P$2,'Slutlig allokering kvv'!$B$1:$BX$1,0),FALSE)/1,0))</f>
        <v/>
      </c>
      <c r="Q136" s="31" t="str">
        <f>IF($D136="","",IFERROR(VLOOKUP($B136,Kraftvärmeprod!$B$1:$BX$550,MATCH(Q$2,Kraftvärmeprod!$B$1:$VX$1,0),FALSE)/1,0)-IFERROR(VLOOKUP($B136,'Slutlig allokering kvv'!$B$2:$BX$550,MATCH(Q$2,'Slutlig allokering kvv'!$B$1:$BX$1,0),FALSE)/1,0))</f>
        <v/>
      </c>
      <c r="R136" s="31" t="str">
        <f>IF($D136="","",IFERROR(VLOOKUP($B136,Kraftvärmeprod!$B$1:$BX$550,MATCH(R$2,Kraftvärmeprod!$B$1:$VX$1,0),FALSE)/1,0)-IFERROR(VLOOKUP($B136,'Slutlig allokering kvv'!$B$2:$BX$550,MATCH(R$2,'Slutlig allokering kvv'!$B$1:$BX$1,0),FALSE)/1,0))</f>
        <v/>
      </c>
      <c r="S136" s="31" t="str">
        <f>IF($D136="","",IFERROR(VLOOKUP($B136,Kraftvärmeprod!$B$1:$BX$550,MATCH(S$2,Kraftvärmeprod!$B$1:$VX$1,0),FALSE)/1,0)-IFERROR(VLOOKUP($B136,'Slutlig allokering kvv'!$B$2:$BX$550,MATCH(S$2,'Slutlig allokering kvv'!$B$1:$BX$1,0),FALSE)/1,0))</f>
        <v/>
      </c>
      <c r="T136" s="31" t="str">
        <f>IF($D136="","",IFERROR(VLOOKUP($B136,Kraftvärmeprod!$B$1:$BX$550,MATCH(T$2,Kraftvärmeprod!$B$1:$VX$1,0),FALSE)/1,0)-IFERROR(VLOOKUP($B136,'Slutlig allokering kvv'!$B$2:$BX$550,MATCH(T$2,'Slutlig allokering kvv'!$B$1:$BX$1,0),FALSE)/1,0))</f>
        <v/>
      </c>
      <c r="U136" s="31" t="str">
        <f>IF($D136="","",IFERROR(VLOOKUP($B136,Kraftvärmeprod!$B$1:$BX$550,MATCH(U$2,Kraftvärmeprod!$B$1:$VX$1,0),FALSE)/1,0)-IFERROR(VLOOKUP($B136,'Slutlig allokering kvv'!$B$2:$BX$550,MATCH(U$2,'Slutlig allokering kvv'!$B$1:$BX$1,0),FALSE)/1,0))</f>
        <v/>
      </c>
      <c r="V136" s="31" t="str">
        <f>IF($D136="","",IFERROR(VLOOKUP($B136,Kraftvärmeprod!$B$1:$BX$550,MATCH(V$2,Kraftvärmeprod!$B$1:$VX$1,0),FALSE)/1,0)-IFERROR(VLOOKUP($B136,'Slutlig allokering kvv'!$B$2:$BX$550,MATCH(V$2,'Slutlig allokering kvv'!$B$1:$BX$1,0),FALSE)/1,0))</f>
        <v/>
      </c>
      <c r="W136" s="31" t="str">
        <f>IF($D136="","",IFERROR(VLOOKUP($B136,Kraftvärmeprod!$B$1:$BX$550,MATCH(W$2,Kraftvärmeprod!$B$1:$VX$1,0),FALSE)/1,0)-IFERROR(VLOOKUP($B136,'Slutlig allokering kvv'!$B$2:$BX$550,MATCH(W$2,'Slutlig allokering kvv'!$B$1:$BX$1,0),FALSE)/1,0))</f>
        <v/>
      </c>
      <c r="X136" s="31" t="str">
        <f>IF($D136="","",IFERROR(VLOOKUP($B136,Kraftvärmeprod!$B$1:$BX$550,MATCH(X$2,Kraftvärmeprod!$B$1:$VX$1,0),FALSE)/1,0)-IFERROR(VLOOKUP($B136,'Slutlig allokering kvv'!$B$2:$BX$550,MATCH(X$2,'Slutlig allokering kvv'!$B$1:$BX$1,0),FALSE)/1,0))</f>
        <v/>
      </c>
      <c r="Y136" s="31" t="str">
        <f>IF($D136="","",IFERROR(VLOOKUP($B136,Kraftvärmeprod!$B$1:$BX$550,MATCH(Y$2,Kraftvärmeprod!$B$1:$VX$1,0),FALSE)/1,0)-IFERROR(VLOOKUP($B136,'Slutlig allokering kvv'!$B$2:$BX$550,MATCH(Y$2,'Slutlig allokering kvv'!$B$1:$BX$1,0),FALSE)/1,0))</f>
        <v/>
      </c>
      <c r="Z136" s="31" t="str">
        <f>IF($D136="","",IFERROR(VLOOKUP($B136,Kraftvärmeprod!$B$1:$BX$550,MATCH(Z$2,Kraftvärmeprod!$B$1:$VX$1,0),FALSE)/1,0)-IFERROR(VLOOKUP($B136,'Slutlig allokering kvv'!$B$2:$BX$550,MATCH(Z$2,'Slutlig allokering kvv'!$B$1:$BX$1,0),FALSE)/1,0))</f>
        <v/>
      </c>
      <c r="AA136" s="31" t="str">
        <f>IF($D136="","",IFERROR(VLOOKUP($B136,Kraftvärmeprod!$B$1:$BX$550,MATCH(AA$2,Kraftvärmeprod!$B$1:$VX$1,0),FALSE)/1,0)-IFERROR(VLOOKUP($B136,'Slutlig allokering kvv'!$B$2:$BX$550,MATCH(AA$2,'Slutlig allokering kvv'!$B$1:$BX$1,0),FALSE)/1,0))</f>
        <v/>
      </c>
      <c r="AB136" s="31" t="str">
        <f>IF($D136="","",IFERROR(VLOOKUP($B136,Kraftvärmeprod!$B$1:$BX$550,MATCH(AB$2,Kraftvärmeprod!$B$1:$VX$1,0),FALSE)/1,0)-IFERROR(VLOOKUP($B136,'Slutlig allokering kvv'!$B$2:$BX$550,MATCH(AB$2,'Slutlig allokering kvv'!$B$1:$BX$1,0),FALSE)/1,0))</f>
        <v/>
      </c>
      <c r="AC136" s="31" t="str">
        <f>IF($D136="","",IFERROR(VLOOKUP($B136,Kraftvärmeprod!$B$1:$BX$550,MATCH(AC$2,Kraftvärmeprod!$B$1:$VX$1,0),FALSE)/1,0)-IFERROR(VLOOKUP($B136,'Slutlig allokering kvv'!$B$2:$BX$550,MATCH(AC$2,'Slutlig allokering kvv'!$B$1:$BX$1,0),FALSE)/1,0))</f>
        <v/>
      </c>
      <c r="AD136" s="31" t="str">
        <f>IF($D136="","",IFERROR(VLOOKUP($B136,Kraftvärmeprod!$B$1:$BX$550,MATCH(AD$2,Kraftvärmeprod!$B$1:$VX$1,0),FALSE)/1,0)-IFERROR(VLOOKUP($B136,'Slutlig allokering kvv'!$B$2:$BX$550,MATCH(AD$2,'Slutlig allokering kvv'!$B$1:$BX$1,0),FALSE)/1,0))</f>
        <v/>
      </c>
      <c r="AE136" s="31" t="str">
        <f>IF($D136="","",IFERROR(VLOOKUP($B136,Miljö!$B$1:$E$550,MATCH("Hjälpel kraftvärme (GWh)",Miljö!$B$1:$E$1,0),FALSE)/1,0)-IFERROR(VLOOKUP($B136,'Slutlig allokering kvv'!$B$2:$BX$549,MATCH(AE$2,'Slutlig allokering kvv'!$B$1:$BX$1,0),FALSE)/1,0))</f>
        <v/>
      </c>
      <c r="AI136" s="39">
        <f t="shared" si="8"/>
        <v>0</v>
      </c>
      <c r="AK136" s="31">
        <f>IFERROR(VLOOKUP($B136,'Slutlig allokering kvv'!$B$2:$AX$549,MATCH("Summa slutlig allokerad tillförd energi (utan hjälpel och rökgaskondensering):",'Slutlig allokering kvv'!$B$1:$AX$1,0),FALSE)/1,"")</f>
        <v>0</v>
      </c>
      <c r="AM136" s="31" t="str">
        <f>IFERROR(1-VLOOKUP($B136,'Slutlig allokering kvv'!$B$2:$AX$549,MATCH("Andel av bränsle i kvv som allokerats till värme, exklusive rökgaskondensering och hjälpel",'Slutlig allokering kvv'!$B$1:$AX$1,0),FALSE),"")</f>
        <v/>
      </c>
      <c r="AO136" s="31" t="str">
        <f t="shared" si="9"/>
        <v/>
      </c>
      <c r="AP136" s="31" t="str">
        <f t="shared" si="10"/>
        <v/>
      </c>
      <c r="AR136" s="32" t="str">
        <f t="shared" si="11"/>
        <v/>
      </c>
    </row>
    <row r="137" spans="1:44" s="31" customFormat="1" x14ac:dyDescent="0.45">
      <c r="A137" s="31" t="s">
        <v>480</v>
      </c>
      <c r="B137" s="31" t="s">
        <v>487</v>
      </c>
      <c r="C137" s="31" t="str">
        <f>IFERROR(VLOOKUP($B137,Kraftvärmeprod!$B$1:$AH$479,MATCH(C$2,Kraftvärmeprod!$B$1:$AG$1,0),FALSE)/1,"")</f>
        <v/>
      </c>
      <c r="D137" s="31" t="str">
        <f>IFERROR(VLOOKUP($B137,Kraftvärmeprod!$B$1:$AH$479,MATCH(D$2,Kraftvärmeprod!$B$1:$AG$1,0),FALSE)/1,"")</f>
        <v/>
      </c>
      <c r="F137" s="31" t="str">
        <f>IF($D137="","",IFERROR(VLOOKUP($B137,Kraftvärmeprod!$B$1:$BX$550,MATCH(F$2,Kraftvärmeprod!$B$1:$VX$1,0),FALSE)/1,0)-IFERROR(VLOOKUP($B137,'Slutlig allokering kvv'!$B$2:$BX$550,MATCH(F$2,'Slutlig allokering kvv'!$B$1:$BX$1,0),FALSE)/1,0))</f>
        <v/>
      </c>
      <c r="G137" s="31" t="str">
        <f>IF($D137="","",IFERROR(VLOOKUP($B137,Kraftvärmeprod!$B$1:$BX$550,MATCH(G$2,Kraftvärmeprod!$B$1:$VX$1,0),FALSE)/1,0)-IFERROR(VLOOKUP($B137,'Slutlig allokering kvv'!$B$2:$BX$550,MATCH(G$2,'Slutlig allokering kvv'!$B$1:$BX$1,0),FALSE)/1,0))</f>
        <v/>
      </c>
      <c r="H137" s="31" t="str">
        <f>IF($D137="","",IFERROR(VLOOKUP($B137,Kraftvärmeprod!$B$1:$BX$550,MATCH(H$2,Kraftvärmeprod!$B$1:$VX$1,0),FALSE)/1,0)-IFERROR(VLOOKUP($B137,'Slutlig allokering kvv'!$B$2:$BX$550,MATCH(H$2,'Slutlig allokering kvv'!$B$1:$BX$1,0),FALSE)/1,0))</f>
        <v/>
      </c>
      <c r="I137" s="31" t="str">
        <f>IF($D137="","",IFERROR(VLOOKUP($B137,Kraftvärmeprod!$B$1:$BX$550,MATCH(I$2,Kraftvärmeprod!$B$1:$VX$1,0),FALSE)/1,0)-IFERROR(VLOOKUP($B137,'Slutlig allokering kvv'!$B$2:$BX$550,MATCH(I$2,'Slutlig allokering kvv'!$B$1:$BX$1,0),FALSE)/1,0))</f>
        <v/>
      </c>
      <c r="J137" s="31" t="str">
        <f>IF($D137="","",IFERROR(VLOOKUP($B137,Kraftvärmeprod!$B$1:$BX$550,MATCH(J$2,Kraftvärmeprod!$B$1:$VX$1,0),FALSE)/1,0)-IFERROR(VLOOKUP($B137,'Slutlig allokering kvv'!$B$2:$BX$550,MATCH(J$2,'Slutlig allokering kvv'!$B$1:$BX$1,0),FALSE)/1,0))</f>
        <v/>
      </c>
      <c r="K137" s="31" t="str">
        <f>IF($D137="","",IFERROR(VLOOKUP($B137,Kraftvärmeprod!$B$1:$BX$550,MATCH(K$2,Kraftvärmeprod!$B$1:$VX$1,0),FALSE)/1,0)-IFERROR(VLOOKUP($B137,'Slutlig allokering kvv'!$B$2:$BX$550,MATCH(K$2,'Slutlig allokering kvv'!$B$1:$BX$1,0),FALSE)/1,0))</f>
        <v/>
      </c>
      <c r="L137" s="31" t="str">
        <f>IF($D137="","",IFERROR(VLOOKUP($B137,Kraftvärmeprod!$B$1:$BX$550,MATCH(L$2,Kraftvärmeprod!$B$1:$VX$1,0),FALSE)/1,0)-IFERROR(VLOOKUP($B137,'Slutlig allokering kvv'!$B$2:$BX$550,MATCH(L$2,'Slutlig allokering kvv'!$B$1:$BX$1,0),FALSE)/1,0))</f>
        <v/>
      </c>
      <c r="M137" s="31" t="str">
        <f>IF($D137="","",IFERROR(VLOOKUP($B137,Kraftvärmeprod!$B$1:$BX$550,MATCH(M$2,Kraftvärmeprod!$B$1:$VX$1,0),FALSE)/1,0)-IFERROR(VLOOKUP($B137,'Slutlig allokering kvv'!$B$2:$BX$550,MATCH(M$2,'Slutlig allokering kvv'!$B$1:$BX$1,0),FALSE)/1,0))</f>
        <v/>
      </c>
      <c r="N137" s="31" t="str">
        <f>IF($D137="","",IFERROR(VLOOKUP($B137,Kraftvärmeprod!$B$1:$BX$550,MATCH(N$2,Kraftvärmeprod!$B$1:$VX$1,0),FALSE)/1,0)-IFERROR(VLOOKUP($B137,'Slutlig allokering kvv'!$B$2:$BX$550,MATCH(N$2,'Slutlig allokering kvv'!$B$1:$BX$1,0),FALSE)/1,0))</f>
        <v/>
      </c>
      <c r="O137" s="31" t="str">
        <f>IF($D137="","",IFERROR(VLOOKUP($B137,Kraftvärmeprod!$B$1:$BX$550,MATCH(O$2,Kraftvärmeprod!$B$1:$VX$1,0),FALSE)/1,0)-IFERROR(VLOOKUP($B137,'Slutlig allokering kvv'!$B$2:$BX$550,MATCH(O$2,'Slutlig allokering kvv'!$B$1:$BX$1,0),FALSE)/1,0))</f>
        <v/>
      </c>
      <c r="P137" s="31" t="str">
        <f>IF($D137="","",IFERROR(VLOOKUP($B137,Kraftvärmeprod!$B$1:$BX$550,MATCH(P$2,Kraftvärmeprod!$B$1:$VX$1,0),FALSE)/1,0)-IFERROR(VLOOKUP($B137,'Slutlig allokering kvv'!$B$2:$BX$550,MATCH(P$2,'Slutlig allokering kvv'!$B$1:$BX$1,0),FALSE)/1,0))</f>
        <v/>
      </c>
      <c r="Q137" s="31" t="str">
        <f>IF($D137="","",IFERROR(VLOOKUP($B137,Kraftvärmeprod!$B$1:$BX$550,MATCH(Q$2,Kraftvärmeprod!$B$1:$VX$1,0),FALSE)/1,0)-IFERROR(VLOOKUP($B137,'Slutlig allokering kvv'!$B$2:$BX$550,MATCH(Q$2,'Slutlig allokering kvv'!$B$1:$BX$1,0),FALSE)/1,0))</f>
        <v/>
      </c>
      <c r="R137" s="31" t="str">
        <f>IF($D137="","",IFERROR(VLOOKUP($B137,Kraftvärmeprod!$B$1:$BX$550,MATCH(R$2,Kraftvärmeprod!$B$1:$VX$1,0),FALSE)/1,0)-IFERROR(VLOOKUP($B137,'Slutlig allokering kvv'!$B$2:$BX$550,MATCH(R$2,'Slutlig allokering kvv'!$B$1:$BX$1,0),FALSE)/1,0))</f>
        <v/>
      </c>
      <c r="S137" s="31" t="str">
        <f>IF($D137="","",IFERROR(VLOOKUP($B137,Kraftvärmeprod!$B$1:$BX$550,MATCH(S$2,Kraftvärmeprod!$B$1:$VX$1,0),FALSE)/1,0)-IFERROR(VLOOKUP($B137,'Slutlig allokering kvv'!$B$2:$BX$550,MATCH(S$2,'Slutlig allokering kvv'!$B$1:$BX$1,0),FALSE)/1,0))</f>
        <v/>
      </c>
      <c r="T137" s="31" t="str">
        <f>IF($D137="","",IFERROR(VLOOKUP($B137,Kraftvärmeprod!$B$1:$BX$550,MATCH(T$2,Kraftvärmeprod!$B$1:$VX$1,0),FALSE)/1,0)-IFERROR(VLOOKUP($B137,'Slutlig allokering kvv'!$B$2:$BX$550,MATCH(T$2,'Slutlig allokering kvv'!$B$1:$BX$1,0),FALSE)/1,0))</f>
        <v/>
      </c>
      <c r="U137" s="31" t="str">
        <f>IF($D137="","",IFERROR(VLOOKUP($B137,Kraftvärmeprod!$B$1:$BX$550,MATCH(U$2,Kraftvärmeprod!$B$1:$VX$1,0),FALSE)/1,0)-IFERROR(VLOOKUP($B137,'Slutlig allokering kvv'!$B$2:$BX$550,MATCH(U$2,'Slutlig allokering kvv'!$B$1:$BX$1,0),FALSE)/1,0))</f>
        <v/>
      </c>
      <c r="V137" s="31" t="str">
        <f>IF($D137="","",IFERROR(VLOOKUP($B137,Kraftvärmeprod!$B$1:$BX$550,MATCH(V$2,Kraftvärmeprod!$B$1:$VX$1,0),FALSE)/1,0)-IFERROR(VLOOKUP($B137,'Slutlig allokering kvv'!$B$2:$BX$550,MATCH(V$2,'Slutlig allokering kvv'!$B$1:$BX$1,0),FALSE)/1,0))</f>
        <v/>
      </c>
      <c r="W137" s="31" t="str">
        <f>IF($D137="","",IFERROR(VLOOKUP($B137,Kraftvärmeprod!$B$1:$BX$550,MATCH(W$2,Kraftvärmeprod!$B$1:$VX$1,0),FALSE)/1,0)-IFERROR(VLOOKUP($B137,'Slutlig allokering kvv'!$B$2:$BX$550,MATCH(W$2,'Slutlig allokering kvv'!$B$1:$BX$1,0),FALSE)/1,0))</f>
        <v/>
      </c>
      <c r="X137" s="31" t="str">
        <f>IF($D137="","",IFERROR(VLOOKUP($B137,Kraftvärmeprod!$B$1:$BX$550,MATCH(X$2,Kraftvärmeprod!$B$1:$VX$1,0),FALSE)/1,0)-IFERROR(VLOOKUP($B137,'Slutlig allokering kvv'!$B$2:$BX$550,MATCH(X$2,'Slutlig allokering kvv'!$B$1:$BX$1,0),FALSE)/1,0))</f>
        <v/>
      </c>
      <c r="Y137" s="31" t="str">
        <f>IF($D137="","",IFERROR(VLOOKUP($B137,Kraftvärmeprod!$B$1:$BX$550,MATCH(Y$2,Kraftvärmeprod!$B$1:$VX$1,0),FALSE)/1,0)-IFERROR(VLOOKUP($B137,'Slutlig allokering kvv'!$B$2:$BX$550,MATCH(Y$2,'Slutlig allokering kvv'!$B$1:$BX$1,0),FALSE)/1,0))</f>
        <v/>
      </c>
      <c r="Z137" s="31" t="str">
        <f>IF($D137="","",IFERROR(VLOOKUP($B137,Kraftvärmeprod!$B$1:$BX$550,MATCH(Z$2,Kraftvärmeprod!$B$1:$VX$1,0),FALSE)/1,0)-IFERROR(VLOOKUP($B137,'Slutlig allokering kvv'!$B$2:$BX$550,MATCH(Z$2,'Slutlig allokering kvv'!$B$1:$BX$1,0),FALSE)/1,0))</f>
        <v/>
      </c>
      <c r="AA137" s="31" t="str">
        <f>IF($D137="","",IFERROR(VLOOKUP($B137,Kraftvärmeprod!$B$1:$BX$550,MATCH(AA$2,Kraftvärmeprod!$B$1:$VX$1,0),FALSE)/1,0)-IFERROR(VLOOKUP($B137,'Slutlig allokering kvv'!$B$2:$BX$550,MATCH(AA$2,'Slutlig allokering kvv'!$B$1:$BX$1,0),FALSE)/1,0))</f>
        <v/>
      </c>
      <c r="AB137" s="31" t="str">
        <f>IF($D137="","",IFERROR(VLOOKUP($B137,Kraftvärmeprod!$B$1:$BX$550,MATCH(AB$2,Kraftvärmeprod!$B$1:$VX$1,0),FALSE)/1,0)-IFERROR(VLOOKUP($B137,'Slutlig allokering kvv'!$B$2:$BX$550,MATCH(AB$2,'Slutlig allokering kvv'!$B$1:$BX$1,0),FALSE)/1,0))</f>
        <v/>
      </c>
      <c r="AC137" s="31" t="str">
        <f>IF($D137="","",IFERROR(VLOOKUP($B137,Kraftvärmeprod!$B$1:$BX$550,MATCH(AC$2,Kraftvärmeprod!$B$1:$VX$1,0),FALSE)/1,0)-IFERROR(VLOOKUP($B137,'Slutlig allokering kvv'!$B$2:$BX$550,MATCH(AC$2,'Slutlig allokering kvv'!$B$1:$BX$1,0),FALSE)/1,0))</f>
        <v/>
      </c>
      <c r="AD137" s="31" t="str">
        <f>IF($D137="","",IFERROR(VLOOKUP($B137,Kraftvärmeprod!$B$1:$BX$550,MATCH(AD$2,Kraftvärmeprod!$B$1:$VX$1,0),FALSE)/1,0)-IFERROR(VLOOKUP($B137,'Slutlig allokering kvv'!$B$2:$BX$550,MATCH(AD$2,'Slutlig allokering kvv'!$B$1:$BX$1,0),FALSE)/1,0))</f>
        <v/>
      </c>
      <c r="AE137" s="31" t="str">
        <f>IF($D137="","",IFERROR(VLOOKUP($B137,Miljö!$B$1:$E$550,MATCH("Hjälpel kraftvärme (GWh)",Miljö!$B$1:$E$1,0),FALSE)/1,0)-IFERROR(VLOOKUP($B137,'Slutlig allokering kvv'!$B$2:$BX$549,MATCH(AE$2,'Slutlig allokering kvv'!$B$1:$BX$1,0),FALSE)/1,0))</f>
        <v/>
      </c>
      <c r="AI137" s="39">
        <f t="shared" si="8"/>
        <v>0</v>
      </c>
      <c r="AK137" s="31">
        <f>IFERROR(VLOOKUP($B137,'Slutlig allokering kvv'!$B$2:$AX$549,MATCH("Summa slutlig allokerad tillförd energi (utan hjälpel och rökgaskondensering):",'Slutlig allokering kvv'!$B$1:$AX$1,0),FALSE)/1,"")</f>
        <v>0</v>
      </c>
      <c r="AM137" s="31" t="str">
        <f>IFERROR(1-VLOOKUP($B137,'Slutlig allokering kvv'!$B$2:$AX$549,MATCH("Andel av bränsle i kvv som allokerats till värme, exklusive rökgaskondensering och hjälpel",'Slutlig allokering kvv'!$B$1:$AX$1,0),FALSE),"")</f>
        <v/>
      </c>
      <c r="AO137" s="31" t="str">
        <f t="shared" si="9"/>
        <v/>
      </c>
      <c r="AP137" s="31" t="str">
        <f t="shared" si="10"/>
        <v/>
      </c>
      <c r="AR137" s="32" t="str">
        <f t="shared" si="11"/>
        <v/>
      </c>
    </row>
    <row r="138" spans="1:44" s="31" customFormat="1" x14ac:dyDescent="0.45">
      <c r="A138" s="31" t="s">
        <v>480</v>
      </c>
      <c r="B138" s="31" t="s">
        <v>486</v>
      </c>
      <c r="C138" s="31" t="str">
        <f>IFERROR(VLOOKUP($B138,Kraftvärmeprod!$B$1:$AH$479,MATCH(C$2,Kraftvärmeprod!$B$1:$AG$1,0),FALSE)/1,"")</f>
        <v/>
      </c>
      <c r="D138" s="31" t="str">
        <f>IFERROR(VLOOKUP($B138,Kraftvärmeprod!$B$1:$AH$479,MATCH(D$2,Kraftvärmeprod!$B$1:$AG$1,0),FALSE)/1,"")</f>
        <v/>
      </c>
      <c r="F138" s="31" t="str">
        <f>IF($D138="","",IFERROR(VLOOKUP($B138,Kraftvärmeprod!$B$1:$BX$550,MATCH(F$2,Kraftvärmeprod!$B$1:$VX$1,0),FALSE)/1,0)-IFERROR(VLOOKUP($B138,'Slutlig allokering kvv'!$B$2:$BX$550,MATCH(F$2,'Slutlig allokering kvv'!$B$1:$BX$1,0),FALSE)/1,0))</f>
        <v/>
      </c>
      <c r="G138" s="31" t="str">
        <f>IF($D138="","",IFERROR(VLOOKUP($B138,Kraftvärmeprod!$B$1:$BX$550,MATCH(G$2,Kraftvärmeprod!$B$1:$VX$1,0),FALSE)/1,0)-IFERROR(VLOOKUP($B138,'Slutlig allokering kvv'!$B$2:$BX$550,MATCH(G$2,'Slutlig allokering kvv'!$B$1:$BX$1,0),FALSE)/1,0))</f>
        <v/>
      </c>
      <c r="H138" s="31" t="str">
        <f>IF($D138="","",IFERROR(VLOOKUP($B138,Kraftvärmeprod!$B$1:$BX$550,MATCH(H$2,Kraftvärmeprod!$B$1:$VX$1,0),FALSE)/1,0)-IFERROR(VLOOKUP($B138,'Slutlig allokering kvv'!$B$2:$BX$550,MATCH(H$2,'Slutlig allokering kvv'!$B$1:$BX$1,0),FALSE)/1,0))</f>
        <v/>
      </c>
      <c r="I138" s="31" t="str">
        <f>IF($D138="","",IFERROR(VLOOKUP($B138,Kraftvärmeprod!$B$1:$BX$550,MATCH(I$2,Kraftvärmeprod!$B$1:$VX$1,0),FALSE)/1,0)-IFERROR(VLOOKUP($B138,'Slutlig allokering kvv'!$B$2:$BX$550,MATCH(I$2,'Slutlig allokering kvv'!$B$1:$BX$1,0),FALSE)/1,0))</f>
        <v/>
      </c>
      <c r="J138" s="31" t="str">
        <f>IF($D138="","",IFERROR(VLOOKUP($B138,Kraftvärmeprod!$B$1:$BX$550,MATCH(J$2,Kraftvärmeprod!$B$1:$VX$1,0),FALSE)/1,0)-IFERROR(VLOOKUP($B138,'Slutlig allokering kvv'!$B$2:$BX$550,MATCH(J$2,'Slutlig allokering kvv'!$B$1:$BX$1,0),FALSE)/1,0))</f>
        <v/>
      </c>
      <c r="K138" s="31" t="str">
        <f>IF($D138="","",IFERROR(VLOOKUP($B138,Kraftvärmeprod!$B$1:$BX$550,MATCH(K$2,Kraftvärmeprod!$B$1:$VX$1,0),FALSE)/1,0)-IFERROR(VLOOKUP($B138,'Slutlig allokering kvv'!$B$2:$BX$550,MATCH(K$2,'Slutlig allokering kvv'!$B$1:$BX$1,0),FALSE)/1,0))</f>
        <v/>
      </c>
      <c r="L138" s="31" t="str">
        <f>IF($D138="","",IFERROR(VLOOKUP($B138,Kraftvärmeprod!$B$1:$BX$550,MATCH(L$2,Kraftvärmeprod!$B$1:$VX$1,0),FALSE)/1,0)-IFERROR(VLOOKUP($B138,'Slutlig allokering kvv'!$B$2:$BX$550,MATCH(L$2,'Slutlig allokering kvv'!$B$1:$BX$1,0),FALSE)/1,0))</f>
        <v/>
      </c>
      <c r="M138" s="31" t="str">
        <f>IF($D138="","",IFERROR(VLOOKUP($B138,Kraftvärmeprod!$B$1:$BX$550,MATCH(M$2,Kraftvärmeprod!$B$1:$VX$1,0),FALSE)/1,0)-IFERROR(VLOOKUP($B138,'Slutlig allokering kvv'!$B$2:$BX$550,MATCH(M$2,'Slutlig allokering kvv'!$B$1:$BX$1,0),FALSE)/1,0))</f>
        <v/>
      </c>
      <c r="N138" s="31" t="str">
        <f>IF($D138="","",IFERROR(VLOOKUP($B138,Kraftvärmeprod!$B$1:$BX$550,MATCH(N$2,Kraftvärmeprod!$B$1:$VX$1,0),FALSE)/1,0)-IFERROR(VLOOKUP($B138,'Slutlig allokering kvv'!$B$2:$BX$550,MATCH(N$2,'Slutlig allokering kvv'!$B$1:$BX$1,0),FALSE)/1,0))</f>
        <v/>
      </c>
      <c r="O138" s="31" t="str">
        <f>IF($D138="","",IFERROR(VLOOKUP($B138,Kraftvärmeprod!$B$1:$BX$550,MATCH(O$2,Kraftvärmeprod!$B$1:$VX$1,0),FALSE)/1,0)-IFERROR(VLOOKUP($B138,'Slutlig allokering kvv'!$B$2:$BX$550,MATCH(O$2,'Slutlig allokering kvv'!$B$1:$BX$1,0),FALSE)/1,0))</f>
        <v/>
      </c>
      <c r="P138" s="31" t="str">
        <f>IF($D138="","",IFERROR(VLOOKUP($B138,Kraftvärmeprod!$B$1:$BX$550,MATCH(P$2,Kraftvärmeprod!$B$1:$VX$1,0),FALSE)/1,0)-IFERROR(VLOOKUP($B138,'Slutlig allokering kvv'!$B$2:$BX$550,MATCH(P$2,'Slutlig allokering kvv'!$B$1:$BX$1,0),FALSE)/1,0))</f>
        <v/>
      </c>
      <c r="Q138" s="31" t="str">
        <f>IF($D138="","",IFERROR(VLOOKUP($B138,Kraftvärmeprod!$B$1:$BX$550,MATCH(Q$2,Kraftvärmeprod!$B$1:$VX$1,0),FALSE)/1,0)-IFERROR(VLOOKUP($B138,'Slutlig allokering kvv'!$B$2:$BX$550,MATCH(Q$2,'Slutlig allokering kvv'!$B$1:$BX$1,0),FALSE)/1,0))</f>
        <v/>
      </c>
      <c r="R138" s="31" t="str">
        <f>IF($D138="","",IFERROR(VLOOKUP($B138,Kraftvärmeprod!$B$1:$BX$550,MATCH(R$2,Kraftvärmeprod!$B$1:$VX$1,0),FALSE)/1,0)-IFERROR(VLOOKUP($B138,'Slutlig allokering kvv'!$B$2:$BX$550,MATCH(R$2,'Slutlig allokering kvv'!$B$1:$BX$1,0),FALSE)/1,0))</f>
        <v/>
      </c>
      <c r="S138" s="31" t="str">
        <f>IF($D138="","",IFERROR(VLOOKUP($B138,Kraftvärmeprod!$B$1:$BX$550,MATCH(S$2,Kraftvärmeprod!$B$1:$VX$1,0),FALSE)/1,0)-IFERROR(VLOOKUP($B138,'Slutlig allokering kvv'!$B$2:$BX$550,MATCH(S$2,'Slutlig allokering kvv'!$B$1:$BX$1,0),FALSE)/1,0))</f>
        <v/>
      </c>
      <c r="T138" s="31" t="str">
        <f>IF($D138="","",IFERROR(VLOOKUP($B138,Kraftvärmeprod!$B$1:$BX$550,MATCH(T$2,Kraftvärmeprod!$B$1:$VX$1,0),FALSE)/1,0)-IFERROR(VLOOKUP($B138,'Slutlig allokering kvv'!$B$2:$BX$550,MATCH(T$2,'Slutlig allokering kvv'!$B$1:$BX$1,0),FALSE)/1,0))</f>
        <v/>
      </c>
      <c r="U138" s="31" t="str">
        <f>IF($D138="","",IFERROR(VLOOKUP($B138,Kraftvärmeprod!$B$1:$BX$550,MATCH(U$2,Kraftvärmeprod!$B$1:$VX$1,0),FALSE)/1,0)-IFERROR(VLOOKUP($B138,'Slutlig allokering kvv'!$B$2:$BX$550,MATCH(U$2,'Slutlig allokering kvv'!$B$1:$BX$1,0),FALSE)/1,0))</f>
        <v/>
      </c>
      <c r="V138" s="31" t="str">
        <f>IF($D138="","",IFERROR(VLOOKUP($B138,Kraftvärmeprod!$B$1:$BX$550,MATCH(V$2,Kraftvärmeprod!$B$1:$VX$1,0),FALSE)/1,0)-IFERROR(VLOOKUP($B138,'Slutlig allokering kvv'!$B$2:$BX$550,MATCH(V$2,'Slutlig allokering kvv'!$B$1:$BX$1,0),FALSE)/1,0))</f>
        <v/>
      </c>
      <c r="W138" s="31" t="str">
        <f>IF($D138="","",IFERROR(VLOOKUP($B138,Kraftvärmeprod!$B$1:$BX$550,MATCH(W$2,Kraftvärmeprod!$B$1:$VX$1,0),FALSE)/1,0)-IFERROR(VLOOKUP($B138,'Slutlig allokering kvv'!$B$2:$BX$550,MATCH(W$2,'Slutlig allokering kvv'!$B$1:$BX$1,0),FALSE)/1,0))</f>
        <v/>
      </c>
      <c r="X138" s="31" t="str">
        <f>IF($D138="","",IFERROR(VLOOKUP($B138,Kraftvärmeprod!$B$1:$BX$550,MATCH(X$2,Kraftvärmeprod!$B$1:$VX$1,0),FALSE)/1,0)-IFERROR(VLOOKUP($B138,'Slutlig allokering kvv'!$B$2:$BX$550,MATCH(X$2,'Slutlig allokering kvv'!$B$1:$BX$1,0),FALSE)/1,0))</f>
        <v/>
      </c>
      <c r="Y138" s="31" t="str">
        <f>IF($D138="","",IFERROR(VLOOKUP($B138,Kraftvärmeprod!$B$1:$BX$550,MATCH(Y$2,Kraftvärmeprod!$B$1:$VX$1,0),FALSE)/1,0)-IFERROR(VLOOKUP($B138,'Slutlig allokering kvv'!$B$2:$BX$550,MATCH(Y$2,'Slutlig allokering kvv'!$B$1:$BX$1,0),FALSE)/1,0))</f>
        <v/>
      </c>
      <c r="Z138" s="31" t="str">
        <f>IF($D138="","",IFERROR(VLOOKUP($B138,Kraftvärmeprod!$B$1:$BX$550,MATCH(Z$2,Kraftvärmeprod!$B$1:$VX$1,0),FALSE)/1,0)-IFERROR(VLOOKUP($B138,'Slutlig allokering kvv'!$B$2:$BX$550,MATCH(Z$2,'Slutlig allokering kvv'!$B$1:$BX$1,0),FALSE)/1,0))</f>
        <v/>
      </c>
      <c r="AA138" s="31" t="str">
        <f>IF($D138="","",IFERROR(VLOOKUP($B138,Kraftvärmeprod!$B$1:$BX$550,MATCH(AA$2,Kraftvärmeprod!$B$1:$VX$1,0),FALSE)/1,0)-IFERROR(VLOOKUP($B138,'Slutlig allokering kvv'!$B$2:$BX$550,MATCH(AA$2,'Slutlig allokering kvv'!$B$1:$BX$1,0),FALSE)/1,0))</f>
        <v/>
      </c>
      <c r="AB138" s="31" t="str">
        <f>IF($D138="","",IFERROR(VLOOKUP($B138,Kraftvärmeprod!$B$1:$BX$550,MATCH(AB$2,Kraftvärmeprod!$B$1:$VX$1,0),FALSE)/1,0)-IFERROR(VLOOKUP($B138,'Slutlig allokering kvv'!$B$2:$BX$550,MATCH(AB$2,'Slutlig allokering kvv'!$B$1:$BX$1,0),FALSE)/1,0))</f>
        <v/>
      </c>
      <c r="AC138" s="31" t="str">
        <f>IF($D138="","",IFERROR(VLOOKUP($B138,Kraftvärmeprod!$B$1:$BX$550,MATCH(AC$2,Kraftvärmeprod!$B$1:$VX$1,0),FALSE)/1,0)-IFERROR(VLOOKUP($B138,'Slutlig allokering kvv'!$B$2:$BX$550,MATCH(AC$2,'Slutlig allokering kvv'!$B$1:$BX$1,0),FALSE)/1,0))</f>
        <v/>
      </c>
      <c r="AD138" s="31" t="str">
        <f>IF($D138="","",IFERROR(VLOOKUP($B138,Kraftvärmeprod!$B$1:$BX$550,MATCH(AD$2,Kraftvärmeprod!$B$1:$VX$1,0),FALSE)/1,0)-IFERROR(VLOOKUP($B138,'Slutlig allokering kvv'!$B$2:$BX$550,MATCH(AD$2,'Slutlig allokering kvv'!$B$1:$BX$1,0),FALSE)/1,0))</f>
        <v/>
      </c>
      <c r="AE138" s="31" t="str">
        <f>IF($D138="","",IFERROR(VLOOKUP($B138,Miljö!$B$1:$E$550,MATCH("Hjälpel kraftvärme (GWh)",Miljö!$B$1:$E$1,0),FALSE)/1,0)-IFERROR(VLOOKUP($B138,'Slutlig allokering kvv'!$B$2:$BX$549,MATCH(AE$2,'Slutlig allokering kvv'!$B$1:$BX$1,0),FALSE)/1,0))</f>
        <v/>
      </c>
      <c r="AI138" s="39">
        <f t="shared" si="8"/>
        <v>0</v>
      </c>
      <c r="AK138" s="31">
        <f>IFERROR(VLOOKUP($B138,'Slutlig allokering kvv'!$B$2:$AX$549,MATCH("Summa slutlig allokerad tillförd energi (utan hjälpel och rökgaskondensering):",'Slutlig allokering kvv'!$B$1:$AX$1,0),FALSE)/1,"")</f>
        <v>0</v>
      </c>
      <c r="AM138" s="31" t="str">
        <f>IFERROR(1-VLOOKUP($B138,'Slutlig allokering kvv'!$B$2:$AX$549,MATCH("Andel av bränsle i kvv som allokerats till värme, exklusive rökgaskondensering och hjälpel",'Slutlig allokering kvv'!$B$1:$AX$1,0),FALSE),"")</f>
        <v/>
      </c>
      <c r="AO138" s="31" t="str">
        <f t="shared" si="9"/>
        <v/>
      </c>
      <c r="AP138" s="31" t="str">
        <f t="shared" si="10"/>
        <v/>
      </c>
      <c r="AR138" s="32" t="str">
        <f t="shared" si="11"/>
        <v/>
      </c>
    </row>
    <row r="139" spans="1:44" s="31" customFormat="1" x14ac:dyDescent="0.45">
      <c r="A139" s="31" t="s">
        <v>480</v>
      </c>
      <c r="B139" s="31" t="s">
        <v>485</v>
      </c>
      <c r="C139" s="31" t="str">
        <f>IFERROR(VLOOKUP($B139,Kraftvärmeprod!$B$1:$AH$479,MATCH(C$2,Kraftvärmeprod!$B$1:$AG$1,0),FALSE)/1,"")</f>
        <v/>
      </c>
      <c r="D139" s="31" t="str">
        <f>IFERROR(VLOOKUP($B139,Kraftvärmeprod!$B$1:$AH$479,MATCH(D$2,Kraftvärmeprod!$B$1:$AG$1,0),FALSE)/1,"")</f>
        <v/>
      </c>
      <c r="F139" s="31" t="str">
        <f>IF($D139="","",IFERROR(VLOOKUP($B139,Kraftvärmeprod!$B$1:$BX$550,MATCH(F$2,Kraftvärmeprod!$B$1:$VX$1,0),FALSE)/1,0)-IFERROR(VLOOKUP($B139,'Slutlig allokering kvv'!$B$2:$BX$550,MATCH(F$2,'Slutlig allokering kvv'!$B$1:$BX$1,0),FALSE)/1,0))</f>
        <v/>
      </c>
      <c r="G139" s="31" t="str">
        <f>IF($D139="","",IFERROR(VLOOKUP($B139,Kraftvärmeprod!$B$1:$BX$550,MATCH(G$2,Kraftvärmeprod!$B$1:$VX$1,0),FALSE)/1,0)-IFERROR(VLOOKUP($B139,'Slutlig allokering kvv'!$B$2:$BX$550,MATCH(G$2,'Slutlig allokering kvv'!$B$1:$BX$1,0),FALSE)/1,0))</f>
        <v/>
      </c>
      <c r="H139" s="31" t="str">
        <f>IF($D139="","",IFERROR(VLOOKUP($B139,Kraftvärmeprod!$B$1:$BX$550,MATCH(H$2,Kraftvärmeprod!$B$1:$VX$1,0),FALSE)/1,0)-IFERROR(VLOOKUP($B139,'Slutlig allokering kvv'!$B$2:$BX$550,MATCH(H$2,'Slutlig allokering kvv'!$B$1:$BX$1,0),FALSE)/1,0))</f>
        <v/>
      </c>
      <c r="I139" s="31" t="str">
        <f>IF($D139="","",IFERROR(VLOOKUP($B139,Kraftvärmeprod!$B$1:$BX$550,MATCH(I$2,Kraftvärmeprod!$B$1:$VX$1,0),FALSE)/1,0)-IFERROR(VLOOKUP($B139,'Slutlig allokering kvv'!$B$2:$BX$550,MATCH(I$2,'Slutlig allokering kvv'!$B$1:$BX$1,0),FALSE)/1,0))</f>
        <v/>
      </c>
      <c r="J139" s="31" t="str">
        <f>IF($D139="","",IFERROR(VLOOKUP($B139,Kraftvärmeprod!$B$1:$BX$550,MATCH(J$2,Kraftvärmeprod!$B$1:$VX$1,0),FALSE)/1,0)-IFERROR(VLOOKUP($B139,'Slutlig allokering kvv'!$B$2:$BX$550,MATCH(J$2,'Slutlig allokering kvv'!$B$1:$BX$1,0),FALSE)/1,0))</f>
        <v/>
      </c>
      <c r="K139" s="31" t="str">
        <f>IF($D139="","",IFERROR(VLOOKUP($B139,Kraftvärmeprod!$B$1:$BX$550,MATCH(K$2,Kraftvärmeprod!$B$1:$VX$1,0),FALSE)/1,0)-IFERROR(VLOOKUP($B139,'Slutlig allokering kvv'!$B$2:$BX$550,MATCH(K$2,'Slutlig allokering kvv'!$B$1:$BX$1,0),FALSE)/1,0))</f>
        <v/>
      </c>
      <c r="L139" s="31" t="str">
        <f>IF($D139="","",IFERROR(VLOOKUP($B139,Kraftvärmeprod!$B$1:$BX$550,MATCH(L$2,Kraftvärmeprod!$B$1:$VX$1,0),FALSE)/1,0)-IFERROR(VLOOKUP($B139,'Slutlig allokering kvv'!$B$2:$BX$550,MATCH(L$2,'Slutlig allokering kvv'!$B$1:$BX$1,0),FALSE)/1,0))</f>
        <v/>
      </c>
      <c r="M139" s="31" t="str">
        <f>IF($D139="","",IFERROR(VLOOKUP($B139,Kraftvärmeprod!$B$1:$BX$550,MATCH(M$2,Kraftvärmeprod!$B$1:$VX$1,0),FALSE)/1,0)-IFERROR(VLOOKUP($B139,'Slutlig allokering kvv'!$B$2:$BX$550,MATCH(M$2,'Slutlig allokering kvv'!$B$1:$BX$1,0),FALSE)/1,0))</f>
        <v/>
      </c>
      <c r="N139" s="31" t="str">
        <f>IF($D139="","",IFERROR(VLOOKUP($B139,Kraftvärmeprod!$B$1:$BX$550,MATCH(N$2,Kraftvärmeprod!$B$1:$VX$1,0),FALSE)/1,0)-IFERROR(VLOOKUP($B139,'Slutlig allokering kvv'!$B$2:$BX$550,MATCH(N$2,'Slutlig allokering kvv'!$B$1:$BX$1,0),FALSE)/1,0))</f>
        <v/>
      </c>
      <c r="O139" s="31" t="str">
        <f>IF($D139="","",IFERROR(VLOOKUP($B139,Kraftvärmeprod!$B$1:$BX$550,MATCH(O$2,Kraftvärmeprod!$B$1:$VX$1,0),FALSE)/1,0)-IFERROR(VLOOKUP($B139,'Slutlig allokering kvv'!$B$2:$BX$550,MATCH(O$2,'Slutlig allokering kvv'!$B$1:$BX$1,0),FALSE)/1,0))</f>
        <v/>
      </c>
      <c r="P139" s="31" t="str">
        <f>IF($D139="","",IFERROR(VLOOKUP($B139,Kraftvärmeprod!$B$1:$BX$550,MATCH(P$2,Kraftvärmeprod!$B$1:$VX$1,0),FALSE)/1,0)-IFERROR(VLOOKUP($B139,'Slutlig allokering kvv'!$B$2:$BX$550,MATCH(P$2,'Slutlig allokering kvv'!$B$1:$BX$1,0),FALSE)/1,0))</f>
        <v/>
      </c>
      <c r="Q139" s="31" t="str">
        <f>IF($D139="","",IFERROR(VLOOKUP($B139,Kraftvärmeprod!$B$1:$BX$550,MATCH(Q$2,Kraftvärmeprod!$B$1:$VX$1,0),FALSE)/1,0)-IFERROR(VLOOKUP($B139,'Slutlig allokering kvv'!$B$2:$BX$550,MATCH(Q$2,'Slutlig allokering kvv'!$B$1:$BX$1,0),FALSE)/1,0))</f>
        <v/>
      </c>
      <c r="R139" s="31" t="str">
        <f>IF($D139="","",IFERROR(VLOOKUP($B139,Kraftvärmeprod!$B$1:$BX$550,MATCH(R$2,Kraftvärmeprod!$B$1:$VX$1,0),FALSE)/1,0)-IFERROR(VLOOKUP($B139,'Slutlig allokering kvv'!$B$2:$BX$550,MATCH(R$2,'Slutlig allokering kvv'!$B$1:$BX$1,0),FALSE)/1,0))</f>
        <v/>
      </c>
      <c r="S139" s="31" t="str">
        <f>IF($D139="","",IFERROR(VLOOKUP($B139,Kraftvärmeprod!$B$1:$BX$550,MATCH(S$2,Kraftvärmeprod!$B$1:$VX$1,0),FALSE)/1,0)-IFERROR(VLOOKUP($B139,'Slutlig allokering kvv'!$B$2:$BX$550,MATCH(S$2,'Slutlig allokering kvv'!$B$1:$BX$1,0),FALSE)/1,0))</f>
        <v/>
      </c>
      <c r="T139" s="31" t="str">
        <f>IF($D139="","",IFERROR(VLOOKUP($B139,Kraftvärmeprod!$B$1:$BX$550,MATCH(T$2,Kraftvärmeprod!$B$1:$VX$1,0),FALSE)/1,0)-IFERROR(VLOOKUP($B139,'Slutlig allokering kvv'!$B$2:$BX$550,MATCH(T$2,'Slutlig allokering kvv'!$B$1:$BX$1,0),FALSE)/1,0))</f>
        <v/>
      </c>
      <c r="U139" s="31" t="str">
        <f>IF($D139="","",IFERROR(VLOOKUP($B139,Kraftvärmeprod!$B$1:$BX$550,MATCH(U$2,Kraftvärmeprod!$B$1:$VX$1,0),FALSE)/1,0)-IFERROR(VLOOKUP($B139,'Slutlig allokering kvv'!$B$2:$BX$550,MATCH(U$2,'Slutlig allokering kvv'!$B$1:$BX$1,0),FALSE)/1,0))</f>
        <v/>
      </c>
      <c r="V139" s="31" t="str">
        <f>IF($D139="","",IFERROR(VLOOKUP($B139,Kraftvärmeprod!$B$1:$BX$550,MATCH(V$2,Kraftvärmeprod!$B$1:$VX$1,0),FALSE)/1,0)-IFERROR(VLOOKUP($B139,'Slutlig allokering kvv'!$B$2:$BX$550,MATCH(V$2,'Slutlig allokering kvv'!$B$1:$BX$1,0),FALSE)/1,0))</f>
        <v/>
      </c>
      <c r="W139" s="31" t="str">
        <f>IF($D139="","",IFERROR(VLOOKUP($B139,Kraftvärmeprod!$B$1:$BX$550,MATCH(W$2,Kraftvärmeprod!$B$1:$VX$1,0),FALSE)/1,0)-IFERROR(VLOOKUP($B139,'Slutlig allokering kvv'!$B$2:$BX$550,MATCH(W$2,'Slutlig allokering kvv'!$B$1:$BX$1,0),FALSE)/1,0))</f>
        <v/>
      </c>
      <c r="X139" s="31" t="str">
        <f>IF($D139="","",IFERROR(VLOOKUP($B139,Kraftvärmeprod!$B$1:$BX$550,MATCH(X$2,Kraftvärmeprod!$B$1:$VX$1,0),FALSE)/1,0)-IFERROR(VLOOKUP($B139,'Slutlig allokering kvv'!$B$2:$BX$550,MATCH(X$2,'Slutlig allokering kvv'!$B$1:$BX$1,0),FALSE)/1,0))</f>
        <v/>
      </c>
      <c r="Y139" s="31" t="str">
        <f>IF($D139="","",IFERROR(VLOOKUP($B139,Kraftvärmeprod!$B$1:$BX$550,MATCH(Y$2,Kraftvärmeprod!$B$1:$VX$1,0),FALSE)/1,0)-IFERROR(VLOOKUP($B139,'Slutlig allokering kvv'!$B$2:$BX$550,MATCH(Y$2,'Slutlig allokering kvv'!$B$1:$BX$1,0),FALSE)/1,0))</f>
        <v/>
      </c>
      <c r="Z139" s="31" t="str">
        <f>IF($D139="","",IFERROR(VLOOKUP($B139,Kraftvärmeprod!$B$1:$BX$550,MATCH(Z$2,Kraftvärmeprod!$B$1:$VX$1,0),FALSE)/1,0)-IFERROR(VLOOKUP($B139,'Slutlig allokering kvv'!$B$2:$BX$550,MATCH(Z$2,'Slutlig allokering kvv'!$B$1:$BX$1,0),FALSE)/1,0))</f>
        <v/>
      </c>
      <c r="AA139" s="31" t="str">
        <f>IF($D139="","",IFERROR(VLOOKUP($B139,Kraftvärmeprod!$B$1:$BX$550,MATCH(AA$2,Kraftvärmeprod!$B$1:$VX$1,0),FALSE)/1,0)-IFERROR(VLOOKUP($B139,'Slutlig allokering kvv'!$B$2:$BX$550,MATCH(AA$2,'Slutlig allokering kvv'!$B$1:$BX$1,0),FALSE)/1,0))</f>
        <v/>
      </c>
      <c r="AB139" s="31" t="str">
        <f>IF($D139="","",IFERROR(VLOOKUP($B139,Kraftvärmeprod!$B$1:$BX$550,MATCH(AB$2,Kraftvärmeprod!$B$1:$VX$1,0),FALSE)/1,0)-IFERROR(VLOOKUP($B139,'Slutlig allokering kvv'!$B$2:$BX$550,MATCH(AB$2,'Slutlig allokering kvv'!$B$1:$BX$1,0),FALSE)/1,0))</f>
        <v/>
      </c>
      <c r="AC139" s="31" t="str">
        <f>IF($D139="","",IFERROR(VLOOKUP($B139,Kraftvärmeprod!$B$1:$BX$550,MATCH(AC$2,Kraftvärmeprod!$B$1:$VX$1,0),FALSE)/1,0)-IFERROR(VLOOKUP($B139,'Slutlig allokering kvv'!$B$2:$BX$550,MATCH(AC$2,'Slutlig allokering kvv'!$B$1:$BX$1,0),FALSE)/1,0))</f>
        <v/>
      </c>
      <c r="AD139" s="31" t="str">
        <f>IF($D139="","",IFERROR(VLOOKUP($B139,Kraftvärmeprod!$B$1:$BX$550,MATCH(AD$2,Kraftvärmeprod!$B$1:$VX$1,0),FALSE)/1,0)-IFERROR(VLOOKUP($B139,'Slutlig allokering kvv'!$B$2:$BX$550,MATCH(AD$2,'Slutlig allokering kvv'!$B$1:$BX$1,0),FALSE)/1,0))</f>
        <v/>
      </c>
      <c r="AE139" s="31" t="str">
        <f>IF($D139="","",IFERROR(VLOOKUP($B139,Miljö!$B$1:$E$550,MATCH("Hjälpel kraftvärme (GWh)",Miljö!$B$1:$E$1,0),FALSE)/1,0)-IFERROR(VLOOKUP($B139,'Slutlig allokering kvv'!$B$2:$BX$549,MATCH(AE$2,'Slutlig allokering kvv'!$B$1:$BX$1,0),FALSE)/1,0))</f>
        <v/>
      </c>
      <c r="AI139" s="39">
        <f t="shared" si="8"/>
        <v>0</v>
      </c>
      <c r="AK139" s="31">
        <f>IFERROR(VLOOKUP($B139,'Slutlig allokering kvv'!$B$2:$AX$549,MATCH("Summa slutlig allokerad tillförd energi (utan hjälpel och rökgaskondensering):",'Slutlig allokering kvv'!$B$1:$AX$1,0),FALSE)/1,"")</f>
        <v>0</v>
      </c>
      <c r="AM139" s="31" t="str">
        <f>IFERROR(1-VLOOKUP($B139,'Slutlig allokering kvv'!$B$2:$AX$549,MATCH("Andel av bränsle i kvv som allokerats till värme, exklusive rökgaskondensering och hjälpel",'Slutlig allokering kvv'!$B$1:$AX$1,0),FALSE),"")</f>
        <v/>
      </c>
      <c r="AO139" s="31" t="str">
        <f t="shared" si="9"/>
        <v/>
      </c>
      <c r="AP139" s="31" t="str">
        <f t="shared" si="10"/>
        <v/>
      </c>
      <c r="AR139" s="32" t="str">
        <f t="shared" si="11"/>
        <v/>
      </c>
    </row>
    <row r="140" spans="1:44" s="31" customFormat="1" x14ac:dyDescent="0.45">
      <c r="A140" s="31" t="s">
        <v>480</v>
      </c>
      <c r="B140" s="31" t="s">
        <v>484</v>
      </c>
      <c r="C140" s="31" t="str">
        <f>IFERROR(VLOOKUP($B140,Kraftvärmeprod!$B$1:$AH$479,MATCH(C$2,Kraftvärmeprod!$B$1:$AG$1,0),FALSE)/1,"")</f>
        <v/>
      </c>
      <c r="D140" s="31" t="str">
        <f>IFERROR(VLOOKUP($B140,Kraftvärmeprod!$B$1:$AH$479,MATCH(D$2,Kraftvärmeprod!$B$1:$AG$1,0),FALSE)/1,"")</f>
        <v/>
      </c>
      <c r="F140" s="31" t="str">
        <f>IF($D140="","",IFERROR(VLOOKUP($B140,Kraftvärmeprod!$B$1:$BX$550,MATCH(F$2,Kraftvärmeprod!$B$1:$VX$1,0),FALSE)/1,0)-IFERROR(VLOOKUP($B140,'Slutlig allokering kvv'!$B$2:$BX$550,MATCH(F$2,'Slutlig allokering kvv'!$B$1:$BX$1,0),FALSE)/1,0))</f>
        <v/>
      </c>
      <c r="G140" s="31" t="str">
        <f>IF($D140="","",IFERROR(VLOOKUP($B140,Kraftvärmeprod!$B$1:$BX$550,MATCH(G$2,Kraftvärmeprod!$B$1:$VX$1,0),FALSE)/1,0)-IFERROR(VLOOKUP($B140,'Slutlig allokering kvv'!$B$2:$BX$550,MATCH(G$2,'Slutlig allokering kvv'!$B$1:$BX$1,0),FALSE)/1,0))</f>
        <v/>
      </c>
      <c r="H140" s="31" t="str">
        <f>IF($D140="","",IFERROR(VLOOKUP($B140,Kraftvärmeprod!$B$1:$BX$550,MATCH(H$2,Kraftvärmeprod!$B$1:$VX$1,0),FALSE)/1,0)-IFERROR(VLOOKUP($B140,'Slutlig allokering kvv'!$B$2:$BX$550,MATCH(H$2,'Slutlig allokering kvv'!$B$1:$BX$1,0),FALSE)/1,0))</f>
        <v/>
      </c>
      <c r="I140" s="31" t="str">
        <f>IF($D140="","",IFERROR(VLOOKUP($B140,Kraftvärmeprod!$B$1:$BX$550,MATCH(I$2,Kraftvärmeprod!$B$1:$VX$1,0),FALSE)/1,0)-IFERROR(VLOOKUP($B140,'Slutlig allokering kvv'!$B$2:$BX$550,MATCH(I$2,'Slutlig allokering kvv'!$B$1:$BX$1,0),FALSE)/1,0))</f>
        <v/>
      </c>
      <c r="J140" s="31" t="str">
        <f>IF($D140="","",IFERROR(VLOOKUP($B140,Kraftvärmeprod!$B$1:$BX$550,MATCH(J$2,Kraftvärmeprod!$B$1:$VX$1,0),FALSE)/1,0)-IFERROR(VLOOKUP($B140,'Slutlig allokering kvv'!$B$2:$BX$550,MATCH(J$2,'Slutlig allokering kvv'!$B$1:$BX$1,0),FALSE)/1,0))</f>
        <v/>
      </c>
      <c r="K140" s="31" t="str">
        <f>IF($D140="","",IFERROR(VLOOKUP($B140,Kraftvärmeprod!$B$1:$BX$550,MATCH(K$2,Kraftvärmeprod!$B$1:$VX$1,0),FALSE)/1,0)-IFERROR(VLOOKUP($B140,'Slutlig allokering kvv'!$B$2:$BX$550,MATCH(K$2,'Slutlig allokering kvv'!$B$1:$BX$1,0),FALSE)/1,0))</f>
        <v/>
      </c>
      <c r="L140" s="31" t="str">
        <f>IF($D140="","",IFERROR(VLOOKUP($B140,Kraftvärmeprod!$B$1:$BX$550,MATCH(L$2,Kraftvärmeprod!$B$1:$VX$1,0),FALSE)/1,0)-IFERROR(VLOOKUP($B140,'Slutlig allokering kvv'!$B$2:$BX$550,MATCH(L$2,'Slutlig allokering kvv'!$B$1:$BX$1,0),FALSE)/1,0))</f>
        <v/>
      </c>
      <c r="M140" s="31" t="str">
        <f>IF($D140="","",IFERROR(VLOOKUP($B140,Kraftvärmeprod!$B$1:$BX$550,MATCH(M$2,Kraftvärmeprod!$B$1:$VX$1,0),FALSE)/1,0)-IFERROR(VLOOKUP($B140,'Slutlig allokering kvv'!$B$2:$BX$550,MATCH(M$2,'Slutlig allokering kvv'!$B$1:$BX$1,0),FALSE)/1,0))</f>
        <v/>
      </c>
      <c r="N140" s="31" t="str">
        <f>IF($D140="","",IFERROR(VLOOKUP($B140,Kraftvärmeprod!$B$1:$BX$550,MATCH(N$2,Kraftvärmeprod!$B$1:$VX$1,0),FALSE)/1,0)-IFERROR(VLOOKUP($B140,'Slutlig allokering kvv'!$B$2:$BX$550,MATCH(N$2,'Slutlig allokering kvv'!$B$1:$BX$1,0),FALSE)/1,0))</f>
        <v/>
      </c>
      <c r="O140" s="31" t="str">
        <f>IF($D140="","",IFERROR(VLOOKUP($B140,Kraftvärmeprod!$B$1:$BX$550,MATCH(O$2,Kraftvärmeprod!$B$1:$VX$1,0),FALSE)/1,0)-IFERROR(VLOOKUP($B140,'Slutlig allokering kvv'!$B$2:$BX$550,MATCH(O$2,'Slutlig allokering kvv'!$B$1:$BX$1,0),FALSE)/1,0))</f>
        <v/>
      </c>
      <c r="P140" s="31" t="str">
        <f>IF($D140="","",IFERROR(VLOOKUP($B140,Kraftvärmeprod!$B$1:$BX$550,MATCH(P$2,Kraftvärmeprod!$B$1:$VX$1,0),FALSE)/1,0)-IFERROR(VLOOKUP($B140,'Slutlig allokering kvv'!$B$2:$BX$550,MATCH(P$2,'Slutlig allokering kvv'!$B$1:$BX$1,0),FALSE)/1,0))</f>
        <v/>
      </c>
      <c r="Q140" s="31" t="str">
        <f>IF($D140="","",IFERROR(VLOOKUP($B140,Kraftvärmeprod!$B$1:$BX$550,MATCH(Q$2,Kraftvärmeprod!$B$1:$VX$1,0),FALSE)/1,0)-IFERROR(VLOOKUP($B140,'Slutlig allokering kvv'!$B$2:$BX$550,MATCH(Q$2,'Slutlig allokering kvv'!$B$1:$BX$1,0),FALSE)/1,0))</f>
        <v/>
      </c>
      <c r="R140" s="31" t="str">
        <f>IF($D140="","",IFERROR(VLOOKUP($B140,Kraftvärmeprod!$B$1:$BX$550,MATCH(R$2,Kraftvärmeprod!$B$1:$VX$1,0),FALSE)/1,0)-IFERROR(VLOOKUP($B140,'Slutlig allokering kvv'!$B$2:$BX$550,MATCH(R$2,'Slutlig allokering kvv'!$B$1:$BX$1,0),FALSE)/1,0))</f>
        <v/>
      </c>
      <c r="S140" s="31" t="str">
        <f>IF($D140="","",IFERROR(VLOOKUP($B140,Kraftvärmeprod!$B$1:$BX$550,MATCH(S$2,Kraftvärmeprod!$B$1:$VX$1,0),FALSE)/1,0)-IFERROR(VLOOKUP($B140,'Slutlig allokering kvv'!$B$2:$BX$550,MATCH(S$2,'Slutlig allokering kvv'!$B$1:$BX$1,0),FALSE)/1,0))</f>
        <v/>
      </c>
      <c r="T140" s="31" t="str">
        <f>IF($D140="","",IFERROR(VLOOKUP($B140,Kraftvärmeprod!$B$1:$BX$550,MATCH(T$2,Kraftvärmeprod!$B$1:$VX$1,0),FALSE)/1,0)-IFERROR(VLOOKUP($B140,'Slutlig allokering kvv'!$B$2:$BX$550,MATCH(T$2,'Slutlig allokering kvv'!$B$1:$BX$1,0),FALSE)/1,0))</f>
        <v/>
      </c>
      <c r="U140" s="31" t="str">
        <f>IF($D140="","",IFERROR(VLOOKUP($B140,Kraftvärmeprod!$B$1:$BX$550,MATCH(U$2,Kraftvärmeprod!$B$1:$VX$1,0),FALSE)/1,0)-IFERROR(VLOOKUP($B140,'Slutlig allokering kvv'!$B$2:$BX$550,MATCH(U$2,'Slutlig allokering kvv'!$B$1:$BX$1,0),FALSE)/1,0))</f>
        <v/>
      </c>
      <c r="V140" s="31" t="str">
        <f>IF($D140="","",IFERROR(VLOOKUP($B140,Kraftvärmeprod!$B$1:$BX$550,MATCH(V$2,Kraftvärmeprod!$B$1:$VX$1,0),FALSE)/1,0)-IFERROR(VLOOKUP($B140,'Slutlig allokering kvv'!$B$2:$BX$550,MATCH(V$2,'Slutlig allokering kvv'!$B$1:$BX$1,0),FALSE)/1,0))</f>
        <v/>
      </c>
      <c r="W140" s="31" t="str">
        <f>IF($D140="","",IFERROR(VLOOKUP($B140,Kraftvärmeprod!$B$1:$BX$550,MATCH(W$2,Kraftvärmeprod!$B$1:$VX$1,0),FALSE)/1,0)-IFERROR(VLOOKUP($B140,'Slutlig allokering kvv'!$B$2:$BX$550,MATCH(W$2,'Slutlig allokering kvv'!$B$1:$BX$1,0),FALSE)/1,0))</f>
        <v/>
      </c>
      <c r="X140" s="31" t="str">
        <f>IF($D140="","",IFERROR(VLOOKUP($B140,Kraftvärmeprod!$B$1:$BX$550,MATCH(X$2,Kraftvärmeprod!$B$1:$VX$1,0),FALSE)/1,0)-IFERROR(VLOOKUP($B140,'Slutlig allokering kvv'!$B$2:$BX$550,MATCH(X$2,'Slutlig allokering kvv'!$B$1:$BX$1,0),FALSE)/1,0))</f>
        <v/>
      </c>
      <c r="Y140" s="31" t="str">
        <f>IF($D140="","",IFERROR(VLOOKUP($B140,Kraftvärmeprod!$B$1:$BX$550,MATCH(Y$2,Kraftvärmeprod!$B$1:$VX$1,0),FALSE)/1,0)-IFERROR(VLOOKUP($B140,'Slutlig allokering kvv'!$B$2:$BX$550,MATCH(Y$2,'Slutlig allokering kvv'!$B$1:$BX$1,0),FALSE)/1,0))</f>
        <v/>
      </c>
      <c r="Z140" s="31" t="str">
        <f>IF($D140="","",IFERROR(VLOOKUP($B140,Kraftvärmeprod!$B$1:$BX$550,MATCH(Z$2,Kraftvärmeprod!$B$1:$VX$1,0),FALSE)/1,0)-IFERROR(VLOOKUP($B140,'Slutlig allokering kvv'!$B$2:$BX$550,MATCH(Z$2,'Slutlig allokering kvv'!$B$1:$BX$1,0),FALSE)/1,0))</f>
        <v/>
      </c>
      <c r="AA140" s="31" t="str">
        <f>IF($D140="","",IFERROR(VLOOKUP($B140,Kraftvärmeprod!$B$1:$BX$550,MATCH(AA$2,Kraftvärmeprod!$B$1:$VX$1,0),FALSE)/1,0)-IFERROR(VLOOKUP($B140,'Slutlig allokering kvv'!$B$2:$BX$550,MATCH(AA$2,'Slutlig allokering kvv'!$B$1:$BX$1,0),FALSE)/1,0))</f>
        <v/>
      </c>
      <c r="AB140" s="31" t="str">
        <f>IF($D140="","",IFERROR(VLOOKUP($B140,Kraftvärmeprod!$B$1:$BX$550,MATCH(AB$2,Kraftvärmeprod!$B$1:$VX$1,0),FALSE)/1,0)-IFERROR(VLOOKUP($B140,'Slutlig allokering kvv'!$B$2:$BX$550,MATCH(AB$2,'Slutlig allokering kvv'!$B$1:$BX$1,0),FALSE)/1,0))</f>
        <v/>
      </c>
      <c r="AC140" s="31" t="str">
        <f>IF($D140="","",IFERROR(VLOOKUP($B140,Kraftvärmeprod!$B$1:$BX$550,MATCH(AC$2,Kraftvärmeprod!$B$1:$VX$1,0),FALSE)/1,0)-IFERROR(VLOOKUP($B140,'Slutlig allokering kvv'!$B$2:$BX$550,MATCH(AC$2,'Slutlig allokering kvv'!$B$1:$BX$1,0),FALSE)/1,0))</f>
        <v/>
      </c>
      <c r="AD140" s="31" t="str">
        <f>IF($D140="","",IFERROR(VLOOKUP($B140,Kraftvärmeprod!$B$1:$BX$550,MATCH(AD$2,Kraftvärmeprod!$B$1:$VX$1,0),FALSE)/1,0)-IFERROR(VLOOKUP($B140,'Slutlig allokering kvv'!$B$2:$BX$550,MATCH(AD$2,'Slutlig allokering kvv'!$B$1:$BX$1,0),FALSE)/1,0))</f>
        <v/>
      </c>
      <c r="AE140" s="31" t="str">
        <f>IF($D140="","",IFERROR(VLOOKUP($B140,Miljö!$B$1:$E$550,MATCH("Hjälpel kraftvärme (GWh)",Miljö!$B$1:$E$1,0),FALSE)/1,0)-IFERROR(VLOOKUP($B140,'Slutlig allokering kvv'!$B$2:$BX$549,MATCH(AE$2,'Slutlig allokering kvv'!$B$1:$BX$1,0),FALSE)/1,0))</f>
        <v/>
      </c>
      <c r="AI140" s="39">
        <f t="shared" si="8"/>
        <v>0</v>
      </c>
      <c r="AK140" s="31">
        <f>IFERROR(VLOOKUP($B140,'Slutlig allokering kvv'!$B$2:$AX$549,MATCH("Summa slutlig allokerad tillförd energi (utan hjälpel och rökgaskondensering):",'Slutlig allokering kvv'!$B$1:$AX$1,0),FALSE)/1,"")</f>
        <v>0</v>
      </c>
      <c r="AM140" s="31" t="str">
        <f>IFERROR(1-VLOOKUP($B140,'Slutlig allokering kvv'!$B$2:$AX$549,MATCH("Andel av bränsle i kvv som allokerats till värme, exklusive rökgaskondensering och hjälpel",'Slutlig allokering kvv'!$B$1:$AX$1,0),FALSE),"")</f>
        <v/>
      </c>
      <c r="AO140" s="31" t="str">
        <f t="shared" si="9"/>
        <v/>
      </c>
      <c r="AP140" s="31" t="str">
        <f t="shared" si="10"/>
        <v/>
      </c>
      <c r="AR140" s="32" t="str">
        <f t="shared" si="11"/>
        <v/>
      </c>
    </row>
    <row r="141" spans="1:44" s="31" customFormat="1" x14ac:dyDescent="0.45">
      <c r="A141" s="31" t="s">
        <v>480</v>
      </c>
      <c r="B141" s="31" t="s">
        <v>483</v>
      </c>
      <c r="C141" s="31" t="str">
        <f>IFERROR(VLOOKUP($B141,Kraftvärmeprod!$B$1:$AH$479,MATCH(C$2,Kraftvärmeprod!$B$1:$AG$1,0),FALSE)/1,"")</f>
        <v/>
      </c>
      <c r="D141" s="31" t="str">
        <f>IFERROR(VLOOKUP($B141,Kraftvärmeprod!$B$1:$AH$479,MATCH(D$2,Kraftvärmeprod!$B$1:$AG$1,0),FALSE)/1,"")</f>
        <v/>
      </c>
      <c r="F141" s="31" t="str">
        <f>IF($D141="","",IFERROR(VLOOKUP($B141,Kraftvärmeprod!$B$1:$BX$550,MATCH(F$2,Kraftvärmeprod!$B$1:$VX$1,0),FALSE)/1,0)-IFERROR(VLOOKUP($B141,'Slutlig allokering kvv'!$B$2:$BX$550,MATCH(F$2,'Slutlig allokering kvv'!$B$1:$BX$1,0),FALSE)/1,0))</f>
        <v/>
      </c>
      <c r="G141" s="31" t="str">
        <f>IF($D141="","",IFERROR(VLOOKUP($B141,Kraftvärmeprod!$B$1:$BX$550,MATCH(G$2,Kraftvärmeprod!$B$1:$VX$1,0),FALSE)/1,0)-IFERROR(VLOOKUP($B141,'Slutlig allokering kvv'!$B$2:$BX$550,MATCH(G$2,'Slutlig allokering kvv'!$B$1:$BX$1,0),FALSE)/1,0))</f>
        <v/>
      </c>
      <c r="H141" s="31" t="str">
        <f>IF($D141="","",IFERROR(VLOOKUP($B141,Kraftvärmeprod!$B$1:$BX$550,MATCH(H$2,Kraftvärmeprod!$B$1:$VX$1,0),FALSE)/1,0)-IFERROR(VLOOKUP($B141,'Slutlig allokering kvv'!$B$2:$BX$550,MATCH(H$2,'Slutlig allokering kvv'!$B$1:$BX$1,0),FALSE)/1,0))</f>
        <v/>
      </c>
      <c r="I141" s="31" t="str">
        <f>IF($D141="","",IFERROR(VLOOKUP($B141,Kraftvärmeprod!$B$1:$BX$550,MATCH(I$2,Kraftvärmeprod!$B$1:$VX$1,0),FALSE)/1,0)-IFERROR(VLOOKUP($B141,'Slutlig allokering kvv'!$B$2:$BX$550,MATCH(I$2,'Slutlig allokering kvv'!$B$1:$BX$1,0),FALSE)/1,0))</f>
        <v/>
      </c>
      <c r="J141" s="31" t="str">
        <f>IF($D141="","",IFERROR(VLOOKUP($B141,Kraftvärmeprod!$B$1:$BX$550,MATCH(J$2,Kraftvärmeprod!$B$1:$VX$1,0),FALSE)/1,0)-IFERROR(VLOOKUP($B141,'Slutlig allokering kvv'!$B$2:$BX$550,MATCH(J$2,'Slutlig allokering kvv'!$B$1:$BX$1,0),FALSE)/1,0))</f>
        <v/>
      </c>
      <c r="K141" s="31" t="str">
        <f>IF($D141="","",IFERROR(VLOOKUP($B141,Kraftvärmeprod!$B$1:$BX$550,MATCH(K$2,Kraftvärmeprod!$B$1:$VX$1,0),FALSE)/1,0)-IFERROR(VLOOKUP($B141,'Slutlig allokering kvv'!$B$2:$BX$550,MATCH(K$2,'Slutlig allokering kvv'!$B$1:$BX$1,0),FALSE)/1,0))</f>
        <v/>
      </c>
      <c r="L141" s="31" t="str">
        <f>IF($D141="","",IFERROR(VLOOKUP($B141,Kraftvärmeprod!$B$1:$BX$550,MATCH(L$2,Kraftvärmeprod!$B$1:$VX$1,0),FALSE)/1,0)-IFERROR(VLOOKUP($B141,'Slutlig allokering kvv'!$B$2:$BX$550,MATCH(L$2,'Slutlig allokering kvv'!$B$1:$BX$1,0),FALSE)/1,0))</f>
        <v/>
      </c>
      <c r="M141" s="31" t="str">
        <f>IF($D141="","",IFERROR(VLOOKUP($B141,Kraftvärmeprod!$B$1:$BX$550,MATCH(M$2,Kraftvärmeprod!$B$1:$VX$1,0),FALSE)/1,0)-IFERROR(VLOOKUP($B141,'Slutlig allokering kvv'!$B$2:$BX$550,MATCH(M$2,'Slutlig allokering kvv'!$B$1:$BX$1,0),FALSE)/1,0))</f>
        <v/>
      </c>
      <c r="N141" s="31" t="str">
        <f>IF($D141="","",IFERROR(VLOOKUP($B141,Kraftvärmeprod!$B$1:$BX$550,MATCH(N$2,Kraftvärmeprod!$B$1:$VX$1,0),FALSE)/1,0)-IFERROR(VLOOKUP($B141,'Slutlig allokering kvv'!$B$2:$BX$550,MATCH(N$2,'Slutlig allokering kvv'!$B$1:$BX$1,0),FALSE)/1,0))</f>
        <v/>
      </c>
      <c r="O141" s="31" t="str">
        <f>IF($D141="","",IFERROR(VLOOKUP($B141,Kraftvärmeprod!$B$1:$BX$550,MATCH(O$2,Kraftvärmeprod!$B$1:$VX$1,0),FALSE)/1,0)-IFERROR(VLOOKUP($B141,'Slutlig allokering kvv'!$B$2:$BX$550,MATCH(O$2,'Slutlig allokering kvv'!$B$1:$BX$1,0),FALSE)/1,0))</f>
        <v/>
      </c>
      <c r="P141" s="31" t="str">
        <f>IF($D141="","",IFERROR(VLOOKUP($B141,Kraftvärmeprod!$B$1:$BX$550,MATCH(P$2,Kraftvärmeprod!$B$1:$VX$1,0),FALSE)/1,0)-IFERROR(VLOOKUP($B141,'Slutlig allokering kvv'!$B$2:$BX$550,MATCH(P$2,'Slutlig allokering kvv'!$B$1:$BX$1,0),FALSE)/1,0))</f>
        <v/>
      </c>
      <c r="Q141" s="31" t="str">
        <f>IF($D141="","",IFERROR(VLOOKUP($B141,Kraftvärmeprod!$B$1:$BX$550,MATCH(Q$2,Kraftvärmeprod!$B$1:$VX$1,0),FALSE)/1,0)-IFERROR(VLOOKUP($B141,'Slutlig allokering kvv'!$B$2:$BX$550,MATCH(Q$2,'Slutlig allokering kvv'!$B$1:$BX$1,0),FALSE)/1,0))</f>
        <v/>
      </c>
      <c r="R141" s="31" t="str">
        <f>IF($D141="","",IFERROR(VLOOKUP($B141,Kraftvärmeprod!$B$1:$BX$550,MATCH(R$2,Kraftvärmeprod!$B$1:$VX$1,0),FALSE)/1,0)-IFERROR(VLOOKUP($B141,'Slutlig allokering kvv'!$B$2:$BX$550,MATCH(R$2,'Slutlig allokering kvv'!$B$1:$BX$1,0),FALSE)/1,0))</f>
        <v/>
      </c>
      <c r="S141" s="31" t="str">
        <f>IF($D141="","",IFERROR(VLOOKUP($B141,Kraftvärmeprod!$B$1:$BX$550,MATCH(S$2,Kraftvärmeprod!$B$1:$VX$1,0),FALSE)/1,0)-IFERROR(VLOOKUP($B141,'Slutlig allokering kvv'!$B$2:$BX$550,MATCH(S$2,'Slutlig allokering kvv'!$B$1:$BX$1,0),FALSE)/1,0))</f>
        <v/>
      </c>
      <c r="T141" s="31" t="str">
        <f>IF($D141="","",IFERROR(VLOOKUP($B141,Kraftvärmeprod!$B$1:$BX$550,MATCH(T$2,Kraftvärmeprod!$B$1:$VX$1,0),FALSE)/1,0)-IFERROR(VLOOKUP($B141,'Slutlig allokering kvv'!$B$2:$BX$550,MATCH(T$2,'Slutlig allokering kvv'!$B$1:$BX$1,0),FALSE)/1,0))</f>
        <v/>
      </c>
      <c r="U141" s="31" t="str">
        <f>IF($D141="","",IFERROR(VLOOKUP($B141,Kraftvärmeprod!$B$1:$BX$550,MATCH(U$2,Kraftvärmeprod!$B$1:$VX$1,0),FALSE)/1,0)-IFERROR(VLOOKUP($B141,'Slutlig allokering kvv'!$B$2:$BX$550,MATCH(U$2,'Slutlig allokering kvv'!$B$1:$BX$1,0),FALSE)/1,0))</f>
        <v/>
      </c>
      <c r="V141" s="31" t="str">
        <f>IF($D141="","",IFERROR(VLOOKUP($B141,Kraftvärmeprod!$B$1:$BX$550,MATCH(V$2,Kraftvärmeprod!$B$1:$VX$1,0),FALSE)/1,0)-IFERROR(VLOOKUP($B141,'Slutlig allokering kvv'!$B$2:$BX$550,MATCH(V$2,'Slutlig allokering kvv'!$B$1:$BX$1,0),FALSE)/1,0))</f>
        <v/>
      </c>
      <c r="W141" s="31" t="str">
        <f>IF($D141="","",IFERROR(VLOOKUP($B141,Kraftvärmeprod!$B$1:$BX$550,MATCH(W$2,Kraftvärmeprod!$B$1:$VX$1,0),FALSE)/1,0)-IFERROR(VLOOKUP($B141,'Slutlig allokering kvv'!$B$2:$BX$550,MATCH(W$2,'Slutlig allokering kvv'!$B$1:$BX$1,0),FALSE)/1,0))</f>
        <v/>
      </c>
      <c r="X141" s="31" t="str">
        <f>IF($D141="","",IFERROR(VLOOKUP($B141,Kraftvärmeprod!$B$1:$BX$550,MATCH(X$2,Kraftvärmeprod!$B$1:$VX$1,0),FALSE)/1,0)-IFERROR(VLOOKUP($B141,'Slutlig allokering kvv'!$B$2:$BX$550,MATCH(X$2,'Slutlig allokering kvv'!$B$1:$BX$1,0),FALSE)/1,0))</f>
        <v/>
      </c>
      <c r="Y141" s="31" t="str">
        <f>IF($D141="","",IFERROR(VLOOKUP($B141,Kraftvärmeprod!$B$1:$BX$550,MATCH(Y$2,Kraftvärmeprod!$B$1:$VX$1,0),FALSE)/1,0)-IFERROR(VLOOKUP($B141,'Slutlig allokering kvv'!$B$2:$BX$550,MATCH(Y$2,'Slutlig allokering kvv'!$B$1:$BX$1,0),FALSE)/1,0))</f>
        <v/>
      </c>
      <c r="Z141" s="31" t="str">
        <f>IF($D141="","",IFERROR(VLOOKUP($B141,Kraftvärmeprod!$B$1:$BX$550,MATCH(Z$2,Kraftvärmeprod!$B$1:$VX$1,0),FALSE)/1,0)-IFERROR(VLOOKUP($B141,'Slutlig allokering kvv'!$B$2:$BX$550,MATCH(Z$2,'Slutlig allokering kvv'!$B$1:$BX$1,0),FALSE)/1,0))</f>
        <v/>
      </c>
      <c r="AA141" s="31" t="str">
        <f>IF($D141="","",IFERROR(VLOOKUP($B141,Kraftvärmeprod!$B$1:$BX$550,MATCH(AA$2,Kraftvärmeprod!$B$1:$VX$1,0),FALSE)/1,0)-IFERROR(VLOOKUP($B141,'Slutlig allokering kvv'!$B$2:$BX$550,MATCH(AA$2,'Slutlig allokering kvv'!$B$1:$BX$1,0),FALSE)/1,0))</f>
        <v/>
      </c>
      <c r="AB141" s="31" t="str">
        <f>IF($D141="","",IFERROR(VLOOKUP($B141,Kraftvärmeprod!$B$1:$BX$550,MATCH(AB$2,Kraftvärmeprod!$B$1:$VX$1,0),FALSE)/1,0)-IFERROR(VLOOKUP($B141,'Slutlig allokering kvv'!$B$2:$BX$550,MATCH(AB$2,'Slutlig allokering kvv'!$B$1:$BX$1,0),FALSE)/1,0))</f>
        <v/>
      </c>
      <c r="AC141" s="31" t="str">
        <f>IF($D141="","",IFERROR(VLOOKUP($B141,Kraftvärmeprod!$B$1:$BX$550,MATCH(AC$2,Kraftvärmeprod!$B$1:$VX$1,0),FALSE)/1,0)-IFERROR(VLOOKUP($B141,'Slutlig allokering kvv'!$B$2:$BX$550,MATCH(AC$2,'Slutlig allokering kvv'!$B$1:$BX$1,0),FALSE)/1,0))</f>
        <v/>
      </c>
      <c r="AD141" s="31" t="str">
        <f>IF($D141="","",IFERROR(VLOOKUP($B141,Kraftvärmeprod!$B$1:$BX$550,MATCH(AD$2,Kraftvärmeprod!$B$1:$VX$1,0),FALSE)/1,0)-IFERROR(VLOOKUP($B141,'Slutlig allokering kvv'!$B$2:$BX$550,MATCH(AD$2,'Slutlig allokering kvv'!$B$1:$BX$1,0),FALSE)/1,0))</f>
        <v/>
      </c>
      <c r="AE141" s="31" t="str">
        <f>IF($D141="","",IFERROR(VLOOKUP($B141,Miljö!$B$1:$E$550,MATCH("Hjälpel kraftvärme (GWh)",Miljö!$B$1:$E$1,0),FALSE)/1,0)-IFERROR(VLOOKUP($B141,'Slutlig allokering kvv'!$B$2:$BX$549,MATCH(AE$2,'Slutlig allokering kvv'!$B$1:$BX$1,0),FALSE)/1,0))</f>
        <v/>
      </c>
      <c r="AI141" s="39">
        <f t="shared" si="8"/>
        <v>0</v>
      </c>
      <c r="AK141" s="31">
        <f>IFERROR(VLOOKUP($B141,'Slutlig allokering kvv'!$B$2:$AX$549,MATCH("Summa slutlig allokerad tillförd energi (utan hjälpel och rökgaskondensering):",'Slutlig allokering kvv'!$B$1:$AX$1,0),FALSE)/1,"")</f>
        <v>0</v>
      </c>
      <c r="AM141" s="31" t="str">
        <f>IFERROR(1-VLOOKUP($B141,'Slutlig allokering kvv'!$B$2:$AX$549,MATCH("Andel av bränsle i kvv som allokerats till värme, exklusive rökgaskondensering och hjälpel",'Slutlig allokering kvv'!$B$1:$AX$1,0),FALSE),"")</f>
        <v/>
      </c>
      <c r="AO141" s="31" t="str">
        <f t="shared" si="9"/>
        <v/>
      </c>
      <c r="AP141" s="31" t="str">
        <f t="shared" si="10"/>
        <v/>
      </c>
      <c r="AR141" s="32" t="str">
        <f t="shared" si="11"/>
        <v/>
      </c>
    </row>
    <row r="142" spans="1:44" s="31" customFormat="1" x14ac:dyDescent="0.45">
      <c r="A142" s="31" t="s">
        <v>480</v>
      </c>
      <c r="B142" s="31" t="s">
        <v>481</v>
      </c>
      <c r="C142" s="31" t="str">
        <f>IFERROR(VLOOKUP($B142,Kraftvärmeprod!$B$1:$AH$479,MATCH(C$2,Kraftvärmeprod!$B$1:$AG$1,0),FALSE)/1,"")</f>
        <v/>
      </c>
      <c r="D142" s="31" t="str">
        <f>IFERROR(VLOOKUP($B142,Kraftvärmeprod!$B$1:$AH$479,MATCH(D$2,Kraftvärmeprod!$B$1:$AG$1,0),FALSE)/1,"")</f>
        <v/>
      </c>
      <c r="F142" s="31" t="str">
        <f>IF($D142="","",IFERROR(VLOOKUP($B142,Kraftvärmeprod!$B$1:$BX$550,MATCH(F$2,Kraftvärmeprod!$B$1:$VX$1,0),FALSE)/1,0)-IFERROR(VLOOKUP($B142,'Slutlig allokering kvv'!$B$2:$BX$550,MATCH(F$2,'Slutlig allokering kvv'!$B$1:$BX$1,0),FALSE)/1,0))</f>
        <v/>
      </c>
      <c r="G142" s="31" t="str">
        <f>IF($D142="","",IFERROR(VLOOKUP($B142,Kraftvärmeprod!$B$1:$BX$550,MATCH(G$2,Kraftvärmeprod!$B$1:$VX$1,0),FALSE)/1,0)-IFERROR(VLOOKUP($B142,'Slutlig allokering kvv'!$B$2:$BX$550,MATCH(G$2,'Slutlig allokering kvv'!$B$1:$BX$1,0),FALSE)/1,0))</f>
        <v/>
      </c>
      <c r="H142" s="31" t="str">
        <f>IF($D142="","",IFERROR(VLOOKUP($B142,Kraftvärmeprod!$B$1:$BX$550,MATCH(H$2,Kraftvärmeprod!$B$1:$VX$1,0),FALSE)/1,0)-IFERROR(VLOOKUP($B142,'Slutlig allokering kvv'!$B$2:$BX$550,MATCH(H$2,'Slutlig allokering kvv'!$B$1:$BX$1,0),FALSE)/1,0))</f>
        <v/>
      </c>
      <c r="I142" s="31" t="str">
        <f>IF($D142="","",IFERROR(VLOOKUP($B142,Kraftvärmeprod!$B$1:$BX$550,MATCH(I$2,Kraftvärmeprod!$B$1:$VX$1,0),FALSE)/1,0)-IFERROR(VLOOKUP($B142,'Slutlig allokering kvv'!$B$2:$BX$550,MATCH(I$2,'Slutlig allokering kvv'!$B$1:$BX$1,0),FALSE)/1,0))</f>
        <v/>
      </c>
      <c r="J142" s="31" t="str">
        <f>IF($D142="","",IFERROR(VLOOKUP($B142,Kraftvärmeprod!$B$1:$BX$550,MATCH(J$2,Kraftvärmeprod!$B$1:$VX$1,0),FALSE)/1,0)-IFERROR(VLOOKUP($B142,'Slutlig allokering kvv'!$B$2:$BX$550,MATCH(J$2,'Slutlig allokering kvv'!$B$1:$BX$1,0),FALSE)/1,0))</f>
        <v/>
      </c>
      <c r="K142" s="31" t="str">
        <f>IF($D142="","",IFERROR(VLOOKUP($B142,Kraftvärmeprod!$B$1:$BX$550,MATCH(K$2,Kraftvärmeprod!$B$1:$VX$1,0),FALSE)/1,0)-IFERROR(VLOOKUP($B142,'Slutlig allokering kvv'!$B$2:$BX$550,MATCH(K$2,'Slutlig allokering kvv'!$B$1:$BX$1,0),FALSE)/1,0))</f>
        <v/>
      </c>
      <c r="L142" s="31" t="str">
        <f>IF($D142="","",IFERROR(VLOOKUP($B142,Kraftvärmeprod!$B$1:$BX$550,MATCH(L$2,Kraftvärmeprod!$B$1:$VX$1,0),FALSE)/1,0)-IFERROR(VLOOKUP($B142,'Slutlig allokering kvv'!$B$2:$BX$550,MATCH(L$2,'Slutlig allokering kvv'!$B$1:$BX$1,0),FALSE)/1,0))</f>
        <v/>
      </c>
      <c r="M142" s="31" t="str">
        <f>IF($D142="","",IFERROR(VLOOKUP($B142,Kraftvärmeprod!$B$1:$BX$550,MATCH(M$2,Kraftvärmeprod!$B$1:$VX$1,0),FALSE)/1,0)-IFERROR(VLOOKUP($B142,'Slutlig allokering kvv'!$B$2:$BX$550,MATCH(M$2,'Slutlig allokering kvv'!$B$1:$BX$1,0),FALSE)/1,0))</f>
        <v/>
      </c>
      <c r="N142" s="31" t="str">
        <f>IF($D142="","",IFERROR(VLOOKUP($B142,Kraftvärmeprod!$B$1:$BX$550,MATCH(N$2,Kraftvärmeprod!$B$1:$VX$1,0),FALSE)/1,0)-IFERROR(VLOOKUP($B142,'Slutlig allokering kvv'!$B$2:$BX$550,MATCH(N$2,'Slutlig allokering kvv'!$B$1:$BX$1,0),FALSE)/1,0))</f>
        <v/>
      </c>
      <c r="O142" s="31" t="str">
        <f>IF($D142="","",IFERROR(VLOOKUP($B142,Kraftvärmeprod!$B$1:$BX$550,MATCH(O$2,Kraftvärmeprod!$B$1:$VX$1,0),FALSE)/1,0)-IFERROR(VLOOKUP($B142,'Slutlig allokering kvv'!$B$2:$BX$550,MATCH(O$2,'Slutlig allokering kvv'!$B$1:$BX$1,0),FALSE)/1,0))</f>
        <v/>
      </c>
      <c r="P142" s="31" t="str">
        <f>IF($D142="","",IFERROR(VLOOKUP($B142,Kraftvärmeprod!$B$1:$BX$550,MATCH(P$2,Kraftvärmeprod!$B$1:$VX$1,0),FALSE)/1,0)-IFERROR(VLOOKUP($B142,'Slutlig allokering kvv'!$B$2:$BX$550,MATCH(P$2,'Slutlig allokering kvv'!$B$1:$BX$1,0),FALSE)/1,0))</f>
        <v/>
      </c>
      <c r="Q142" s="31" t="str">
        <f>IF($D142="","",IFERROR(VLOOKUP($B142,Kraftvärmeprod!$B$1:$BX$550,MATCH(Q$2,Kraftvärmeprod!$B$1:$VX$1,0),FALSE)/1,0)-IFERROR(VLOOKUP($B142,'Slutlig allokering kvv'!$B$2:$BX$550,MATCH(Q$2,'Slutlig allokering kvv'!$B$1:$BX$1,0),FALSE)/1,0))</f>
        <v/>
      </c>
      <c r="R142" s="31" t="str">
        <f>IF($D142="","",IFERROR(VLOOKUP($B142,Kraftvärmeprod!$B$1:$BX$550,MATCH(R$2,Kraftvärmeprod!$B$1:$VX$1,0),FALSE)/1,0)-IFERROR(VLOOKUP($B142,'Slutlig allokering kvv'!$B$2:$BX$550,MATCH(R$2,'Slutlig allokering kvv'!$B$1:$BX$1,0),FALSE)/1,0))</f>
        <v/>
      </c>
      <c r="S142" s="31" t="str">
        <f>IF($D142="","",IFERROR(VLOOKUP($B142,Kraftvärmeprod!$B$1:$BX$550,MATCH(S$2,Kraftvärmeprod!$B$1:$VX$1,0),FALSE)/1,0)-IFERROR(VLOOKUP($B142,'Slutlig allokering kvv'!$B$2:$BX$550,MATCH(S$2,'Slutlig allokering kvv'!$B$1:$BX$1,0),FALSE)/1,0))</f>
        <v/>
      </c>
      <c r="T142" s="31" t="str">
        <f>IF($D142="","",IFERROR(VLOOKUP($B142,Kraftvärmeprod!$B$1:$BX$550,MATCH(T$2,Kraftvärmeprod!$B$1:$VX$1,0),FALSE)/1,0)-IFERROR(VLOOKUP($B142,'Slutlig allokering kvv'!$B$2:$BX$550,MATCH(T$2,'Slutlig allokering kvv'!$B$1:$BX$1,0),FALSE)/1,0))</f>
        <v/>
      </c>
      <c r="U142" s="31" t="str">
        <f>IF($D142="","",IFERROR(VLOOKUP($B142,Kraftvärmeprod!$B$1:$BX$550,MATCH(U$2,Kraftvärmeprod!$B$1:$VX$1,0),FALSE)/1,0)-IFERROR(VLOOKUP($B142,'Slutlig allokering kvv'!$B$2:$BX$550,MATCH(U$2,'Slutlig allokering kvv'!$B$1:$BX$1,0),FALSE)/1,0))</f>
        <v/>
      </c>
      <c r="V142" s="31" t="str">
        <f>IF($D142="","",IFERROR(VLOOKUP($B142,Kraftvärmeprod!$B$1:$BX$550,MATCH(V$2,Kraftvärmeprod!$B$1:$VX$1,0),FALSE)/1,0)-IFERROR(VLOOKUP($B142,'Slutlig allokering kvv'!$B$2:$BX$550,MATCH(V$2,'Slutlig allokering kvv'!$B$1:$BX$1,0),FALSE)/1,0))</f>
        <v/>
      </c>
      <c r="W142" s="31" t="str">
        <f>IF($D142="","",IFERROR(VLOOKUP($B142,Kraftvärmeprod!$B$1:$BX$550,MATCH(W$2,Kraftvärmeprod!$B$1:$VX$1,0),FALSE)/1,0)-IFERROR(VLOOKUP($B142,'Slutlig allokering kvv'!$B$2:$BX$550,MATCH(W$2,'Slutlig allokering kvv'!$B$1:$BX$1,0),FALSE)/1,0))</f>
        <v/>
      </c>
      <c r="X142" s="31" t="str">
        <f>IF($D142="","",IFERROR(VLOOKUP($B142,Kraftvärmeprod!$B$1:$BX$550,MATCH(X$2,Kraftvärmeprod!$B$1:$VX$1,0),FALSE)/1,0)-IFERROR(VLOOKUP($B142,'Slutlig allokering kvv'!$B$2:$BX$550,MATCH(X$2,'Slutlig allokering kvv'!$B$1:$BX$1,0),FALSE)/1,0))</f>
        <v/>
      </c>
      <c r="Y142" s="31" t="str">
        <f>IF($D142="","",IFERROR(VLOOKUP($B142,Kraftvärmeprod!$B$1:$BX$550,MATCH(Y$2,Kraftvärmeprod!$B$1:$VX$1,0),FALSE)/1,0)-IFERROR(VLOOKUP($B142,'Slutlig allokering kvv'!$B$2:$BX$550,MATCH(Y$2,'Slutlig allokering kvv'!$B$1:$BX$1,0),FALSE)/1,0))</f>
        <v/>
      </c>
      <c r="Z142" s="31" t="str">
        <f>IF($D142="","",IFERROR(VLOOKUP($B142,Kraftvärmeprod!$B$1:$BX$550,MATCH(Z$2,Kraftvärmeprod!$B$1:$VX$1,0),FALSE)/1,0)-IFERROR(VLOOKUP($B142,'Slutlig allokering kvv'!$B$2:$BX$550,MATCH(Z$2,'Slutlig allokering kvv'!$B$1:$BX$1,0),FALSE)/1,0))</f>
        <v/>
      </c>
      <c r="AA142" s="31" t="str">
        <f>IF($D142="","",IFERROR(VLOOKUP($B142,Kraftvärmeprod!$B$1:$BX$550,MATCH(AA$2,Kraftvärmeprod!$B$1:$VX$1,0),FALSE)/1,0)-IFERROR(VLOOKUP($B142,'Slutlig allokering kvv'!$B$2:$BX$550,MATCH(AA$2,'Slutlig allokering kvv'!$B$1:$BX$1,0),FALSE)/1,0))</f>
        <v/>
      </c>
      <c r="AB142" s="31" t="str">
        <f>IF($D142="","",IFERROR(VLOOKUP($B142,Kraftvärmeprod!$B$1:$BX$550,MATCH(AB$2,Kraftvärmeprod!$B$1:$VX$1,0),FALSE)/1,0)-IFERROR(VLOOKUP($B142,'Slutlig allokering kvv'!$B$2:$BX$550,MATCH(AB$2,'Slutlig allokering kvv'!$B$1:$BX$1,0),FALSE)/1,0))</f>
        <v/>
      </c>
      <c r="AC142" s="31" t="str">
        <f>IF($D142="","",IFERROR(VLOOKUP($B142,Kraftvärmeprod!$B$1:$BX$550,MATCH(AC$2,Kraftvärmeprod!$B$1:$VX$1,0),FALSE)/1,0)-IFERROR(VLOOKUP($B142,'Slutlig allokering kvv'!$B$2:$BX$550,MATCH(AC$2,'Slutlig allokering kvv'!$B$1:$BX$1,0),FALSE)/1,0))</f>
        <v/>
      </c>
      <c r="AD142" s="31" t="str">
        <f>IF($D142="","",IFERROR(VLOOKUP($B142,Kraftvärmeprod!$B$1:$BX$550,MATCH(AD$2,Kraftvärmeprod!$B$1:$VX$1,0),FALSE)/1,0)-IFERROR(VLOOKUP($B142,'Slutlig allokering kvv'!$B$2:$BX$550,MATCH(AD$2,'Slutlig allokering kvv'!$B$1:$BX$1,0),FALSE)/1,0))</f>
        <v/>
      </c>
      <c r="AE142" s="31" t="str">
        <f>IF($D142="","",IFERROR(VLOOKUP($B142,Miljö!$B$1:$E$550,MATCH("Hjälpel kraftvärme (GWh)",Miljö!$B$1:$E$1,0),FALSE)/1,0)-IFERROR(VLOOKUP($B142,'Slutlig allokering kvv'!$B$2:$BX$549,MATCH(AE$2,'Slutlig allokering kvv'!$B$1:$BX$1,0),FALSE)/1,0))</f>
        <v/>
      </c>
      <c r="AI142" s="39">
        <f t="shared" si="8"/>
        <v>0</v>
      </c>
      <c r="AK142" s="31">
        <f>IFERROR(VLOOKUP($B142,'Slutlig allokering kvv'!$B$2:$AX$549,MATCH("Summa slutlig allokerad tillförd energi (utan hjälpel och rökgaskondensering):",'Slutlig allokering kvv'!$B$1:$AX$1,0),FALSE)/1,"")</f>
        <v>0</v>
      </c>
      <c r="AM142" s="31" t="str">
        <f>IFERROR(1-VLOOKUP($B142,'Slutlig allokering kvv'!$B$2:$AX$549,MATCH("Andel av bränsle i kvv som allokerats till värme, exklusive rökgaskondensering och hjälpel",'Slutlig allokering kvv'!$B$1:$AX$1,0),FALSE),"")</f>
        <v/>
      </c>
      <c r="AO142" s="31" t="str">
        <f t="shared" si="9"/>
        <v/>
      </c>
      <c r="AP142" s="31" t="str">
        <f t="shared" si="10"/>
        <v/>
      </c>
      <c r="AR142" s="32" t="str">
        <f t="shared" si="11"/>
        <v/>
      </c>
    </row>
    <row r="143" spans="1:44" s="31" customFormat="1" x14ac:dyDescent="0.45">
      <c r="A143" s="31" t="s">
        <v>480</v>
      </c>
      <c r="B143" s="31" t="s">
        <v>479</v>
      </c>
      <c r="C143" s="31" t="str">
        <f>IFERROR(VLOOKUP($B143,Kraftvärmeprod!$B$1:$AH$479,MATCH(C$2,Kraftvärmeprod!$B$1:$AG$1,0),FALSE)/1,"")</f>
        <v/>
      </c>
      <c r="D143" s="31" t="str">
        <f>IFERROR(VLOOKUP($B143,Kraftvärmeprod!$B$1:$AH$479,MATCH(D$2,Kraftvärmeprod!$B$1:$AG$1,0),FALSE)/1,"")</f>
        <v/>
      </c>
      <c r="F143" s="31" t="str">
        <f>IF($D143="","",IFERROR(VLOOKUP($B143,Kraftvärmeprod!$B$1:$BX$550,MATCH(F$2,Kraftvärmeprod!$B$1:$VX$1,0),FALSE)/1,0)-IFERROR(VLOOKUP($B143,'Slutlig allokering kvv'!$B$2:$BX$550,MATCH(F$2,'Slutlig allokering kvv'!$B$1:$BX$1,0),FALSE)/1,0))</f>
        <v/>
      </c>
      <c r="G143" s="31" t="str">
        <f>IF($D143="","",IFERROR(VLOOKUP($B143,Kraftvärmeprod!$B$1:$BX$550,MATCH(G$2,Kraftvärmeprod!$B$1:$VX$1,0),FALSE)/1,0)-IFERROR(VLOOKUP($B143,'Slutlig allokering kvv'!$B$2:$BX$550,MATCH(G$2,'Slutlig allokering kvv'!$B$1:$BX$1,0),FALSE)/1,0))</f>
        <v/>
      </c>
      <c r="H143" s="31" t="str">
        <f>IF($D143="","",IFERROR(VLOOKUP($B143,Kraftvärmeprod!$B$1:$BX$550,MATCH(H$2,Kraftvärmeprod!$B$1:$VX$1,0),FALSE)/1,0)-IFERROR(VLOOKUP($B143,'Slutlig allokering kvv'!$B$2:$BX$550,MATCH(H$2,'Slutlig allokering kvv'!$B$1:$BX$1,0),FALSE)/1,0))</f>
        <v/>
      </c>
      <c r="I143" s="31" t="str">
        <f>IF($D143="","",IFERROR(VLOOKUP($B143,Kraftvärmeprod!$B$1:$BX$550,MATCH(I$2,Kraftvärmeprod!$B$1:$VX$1,0),FALSE)/1,0)-IFERROR(VLOOKUP($B143,'Slutlig allokering kvv'!$B$2:$BX$550,MATCH(I$2,'Slutlig allokering kvv'!$B$1:$BX$1,0),FALSE)/1,0))</f>
        <v/>
      </c>
      <c r="J143" s="31" t="str">
        <f>IF($D143="","",IFERROR(VLOOKUP($B143,Kraftvärmeprod!$B$1:$BX$550,MATCH(J$2,Kraftvärmeprod!$B$1:$VX$1,0),FALSE)/1,0)-IFERROR(VLOOKUP($B143,'Slutlig allokering kvv'!$B$2:$BX$550,MATCH(J$2,'Slutlig allokering kvv'!$B$1:$BX$1,0),FALSE)/1,0))</f>
        <v/>
      </c>
      <c r="K143" s="31" t="str">
        <f>IF($D143="","",IFERROR(VLOOKUP($B143,Kraftvärmeprod!$B$1:$BX$550,MATCH(K$2,Kraftvärmeprod!$B$1:$VX$1,0),FALSE)/1,0)-IFERROR(VLOOKUP($B143,'Slutlig allokering kvv'!$B$2:$BX$550,MATCH(K$2,'Slutlig allokering kvv'!$B$1:$BX$1,0),FALSE)/1,0))</f>
        <v/>
      </c>
      <c r="L143" s="31" t="str">
        <f>IF($D143="","",IFERROR(VLOOKUP($B143,Kraftvärmeprod!$B$1:$BX$550,MATCH(L$2,Kraftvärmeprod!$B$1:$VX$1,0),FALSE)/1,0)-IFERROR(VLOOKUP($B143,'Slutlig allokering kvv'!$B$2:$BX$550,MATCH(L$2,'Slutlig allokering kvv'!$B$1:$BX$1,0),FALSE)/1,0))</f>
        <v/>
      </c>
      <c r="M143" s="31" t="str">
        <f>IF($D143="","",IFERROR(VLOOKUP($B143,Kraftvärmeprod!$B$1:$BX$550,MATCH(M$2,Kraftvärmeprod!$B$1:$VX$1,0),FALSE)/1,0)-IFERROR(VLOOKUP($B143,'Slutlig allokering kvv'!$B$2:$BX$550,MATCH(M$2,'Slutlig allokering kvv'!$B$1:$BX$1,0),FALSE)/1,0))</f>
        <v/>
      </c>
      <c r="N143" s="31" t="str">
        <f>IF($D143="","",IFERROR(VLOOKUP($B143,Kraftvärmeprod!$B$1:$BX$550,MATCH(N$2,Kraftvärmeprod!$B$1:$VX$1,0),FALSE)/1,0)-IFERROR(VLOOKUP($B143,'Slutlig allokering kvv'!$B$2:$BX$550,MATCH(N$2,'Slutlig allokering kvv'!$B$1:$BX$1,0),FALSE)/1,0))</f>
        <v/>
      </c>
      <c r="O143" s="31" t="str">
        <f>IF($D143="","",IFERROR(VLOOKUP($B143,Kraftvärmeprod!$B$1:$BX$550,MATCH(O$2,Kraftvärmeprod!$B$1:$VX$1,0),FALSE)/1,0)-IFERROR(VLOOKUP($B143,'Slutlig allokering kvv'!$B$2:$BX$550,MATCH(O$2,'Slutlig allokering kvv'!$B$1:$BX$1,0),FALSE)/1,0))</f>
        <v/>
      </c>
      <c r="P143" s="31" t="str">
        <f>IF($D143="","",IFERROR(VLOOKUP($B143,Kraftvärmeprod!$B$1:$BX$550,MATCH(P$2,Kraftvärmeprod!$B$1:$VX$1,0),FALSE)/1,0)-IFERROR(VLOOKUP($B143,'Slutlig allokering kvv'!$B$2:$BX$550,MATCH(P$2,'Slutlig allokering kvv'!$B$1:$BX$1,0),FALSE)/1,0))</f>
        <v/>
      </c>
      <c r="Q143" s="31" t="str">
        <f>IF($D143="","",IFERROR(VLOOKUP($B143,Kraftvärmeprod!$B$1:$BX$550,MATCH(Q$2,Kraftvärmeprod!$B$1:$VX$1,0),FALSE)/1,0)-IFERROR(VLOOKUP($B143,'Slutlig allokering kvv'!$B$2:$BX$550,MATCH(Q$2,'Slutlig allokering kvv'!$B$1:$BX$1,0),FALSE)/1,0))</f>
        <v/>
      </c>
      <c r="R143" s="31" t="str">
        <f>IF($D143="","",IFERROR(VLOOKUP($B143,Kraftvärmeprod!$B$1:$BX$550,MATCH(R$2,Kraftvärmeprod!$B$1:$VX$1,0),FALSE)/1,0)-IFERROR(VLOOKUP($B143,'Slutlig allokering kvv'!$B$2:$BX$550,MATCH(R$2,'Slutlig allokering kvv'!$B$1:$BX$1,0),FALSE)/1,0))</f>
        <v/>
      </c>
      <c r="S143" s="31" t="str">
        <f>IF($D143="","",IFERROR(VLOOKUP($B143,Kraftvärmeprod!$B$1:$BX$550,MATCH(S$2,Kraftvärmeprod!$B$1:$VX$1,0),FALSE)/1,0)-IFERROR(VLOOKUP($B143,'Slutlig allokering kvv'!$B$2:$BX$550,MATCH(S$2,'Slutlig allokering kvv'!$B$1:$BX$1,0),FALSE)/1,0))</f>
        <v/>
      </c>
      <c r="T143" s="31" t="str">
        <f>IF($D143="","",IFERROR(VLOOKUP($B143,Kraftvärmeprod!$B$1:$BX$550,MATCH(T$2,Kraftvärmeprod!$B$1:$VX$1,0),FALSE)/1,0)-IFERROR(VLOOKUP($B143,'Slutlig allokering kvv'!$B$2:$BX$550,MATCH(T$2,'Slutlig allokering kvv'!$B$1:$BX$1,0),FALSE)/1,0))</f>
        <v/>
      </c>
      <c r="U143" s="31" t="str">
        <f>IF($D143="","",IFERROR(VLOOKUP($B143,Kraftvärmeprod!$B$1:$BX$550,MATCH(U$2,Kraftvärmeprod!$B$1:$VX$1,0),FALSE)/1,0)-IFERROR(VLOOKUP($B143,'Slutlig allokering kvv'!$B$2:$BX$550,MATCH(U$2,'Slutlig allokering kvv'!$B$1:$BX$1,0),FALSE)/1,0))</f>
        <v/>
      </c>
      <c r="V143" s="31" t="str">
        <f>IF($D143="","",IFERROR(VLOOKUP($B143,Kraftvärmeprod!$B$1:$BX$550,MATCH(V$2,Kraftvärmeprod!$B$1:$VX$1,0),FALSE)/1,0)-IFERROR(VLOOKUP($B143,'Slutlig allokering kvv'!$B$2:$BX$550,MATCH(V$2,'Slutlig allokering kvv'!$B$1:$BX$1,0),FALSE)/1,0))</f>
        <v/>
      </c>
      <c r="W143" s="31" t="str">
        <f>IF($D143="","",IFERROR(VLOOKUP($B143,Kraftvärmeprod!$B$1:$BX$550,MATCH(W$2,Kraftvärmeprod!$B$1:$VX$1,0),FALSE)/1,0)-IFERROR(VLOOKUP($B143,'Slutlig allokering kvv'!$B$2:$BX$550,MATCH(W$2,'Slutlig allokering kvv'!$B$1:$BX$1,0),FALSE)/1,0))</f>
        <v/>
      </c>
      <c r="X143" s="31" t="str">
        <f>IF($D143="","",IFERROR(VLOOKUP($B143,Kraftvärmeprod!$B$1:$BX$550,MATCH(X$2,Kraftvärmeprod!$B$1:$VX$1,0),FALSE)/1,0)-IFERROR(VLOOKUP($B143,'Slutlig allokering kvv'!$B$2:$BX$550,MATCH(X$2,'Slutlig allokering kvv'!$B$1:$BX$1,0),FALSE)/1,0))</f>
        <v/>
      </c>
      <c r="Y143" s="31" t="str">
        <f>IF($D143="","",IFERROR(VLOOKUP($B143,Kraftvärmeprod!$B$1:$BX$550,MATCH(Y$2,Kraftvärmeprod!$B$1:$VX$1,0),FALSE)/1,0)-IFERROR(VLOOKUP($B143,'Slutlig allokering kvv'!$B$2:$BX$550,MATCH(Y$2,'Slutlig allokering kvv'!$B$1:$BX$1,0),FALSE)/1,0))</f>
        <v/>
      </c>
      <c r="Z143" s="31" t="str">
        <f>IF($D143="","",IFERROR(VLOOKUP($B143,Kraftvärmeprod!$B$1:$BX$550,MATCH(Z$2,Kraftvärmeprod!$B$1:$VX$1,0),FALSE)/1,0)-IFERROR(VLOOKUP($B143,'Slutlig allokering kvv'!$B$2:$BX$550,MATCH(Z$2,'Slutlig allokering kvv'!$B$1:$BX$1,0),FALSE)/1,0))</f>
        <v/>
      </c>
      <c r="AA143" s="31" t="str">
        <f>IF($D143="","",IFERROR(VLOOKUP($B143,Kraftvärmeprod!$B$1:$BX$550,MATCH(AA$2,Kraftvärmeprod!$B$1:$VX$1,0),FALSE)/1,0)-IFERROR(VLOOKUP($B143,'Slutlig allokering kvv'!$B$2:$BX$550,MATCH(AA$2,'Slutlig allokering kvv'!$B$1:$BX$1,0),FALSE)/1,0))</f>
        <v/>
      </c>
      <c r="AB143" s="31" t="str">
        <f>IF($D143="","",IFERROR(VLOOKUP($B143,Kraftvärmeprod!$B$1:$BX$550,MATCH(AB$2,Kraftvärmeprod!$B$1:$VX$1,0),FALSE)/1,0)-IFERROR(VLOOKUP($B143,'Slutlig allokering kvv'!$B$2:$BX$550,MATCH(AB$2,'Slutlig allokering kvv'!$B$1:$BX$1,0),FALSE)/1,0))</f>
        <v/>
      </c>
      <c r="AC143" s="31" t="str">
        <f>IF($D143="","",IFERROR(VLOOKUP($B143,Kraftvärmeprod!$B$1:$BX$550,MATCH(AC$2,Kraftvärmeprod!$B$1:$VX$1,0),FALSE)/1,0)-IFERROR(VLOOKUP($B143,'Slutlig allokering kvv'!$B$2:$BX$550,MATCH(AC$2,'Slutlig allokering kvv'!$B$1:$BX$1,0),FALSE)/1,0))</f>
        <v/>
      </c>
      <c r="AD143" s="31" t="str">
        <f>IF($D143="","",IFERROR(VLOOKUP($B143,Kraftvärmeprod!$B$1:$BX$550,MATCH(AD$2,Kraftvärmeprod!$B$1:$VX$1,0),FALSE)/1,0)-IFERROR(VLOOKUP($B143,'Slutlig allokering kvv'!$B$2:$BX$550,MATCH(AD$2,'Slutlig allokering kvv'!$B$1:$BX$1,0),FALSE)/1,0))</f>
        <v/>
      </c>
      <c r="AE143" s="31" t="str">
        <f>IF($D143="","",IFERROR(VLOOKUP($B143,Miljö!$B$1:$E$550,MATCH("Hjälpel kraftvärme (GWh)",Miljö!$B$1:$E$1,0),FALSE)/1,0)-IFERROR(VLOOKUP($B143,'Slutlig allokering kvv'!$B$2:$BX$549,MATCH(AE$2,'Slutlig allokering kvv'!$B$1:$BX$1,0),FALSE)/1,0))</f>
        <v/>
      </c>
      <c r="AI143" s="39">
        <f t="shared" si="8"/>
        <v>0</v>
      </c>
      <c r="AK143" s="31">
        <f>IFERROR(VLOOKUP($B143,'Slutlig allokering kvv'!$B$2:$AX$549,MATCH("Summa slutlig allokerad tillförd energi (utan hjälpel och rökgaskondensering):",'Slutlig allokering kvv'!$B$1:$AX$1,0),FALSE)/1,"")</f>
        <v>0</v>
      </c>
      <c r="AM143" s="31" t="str">
        <f>IFERROR(1-VLOOKUP($B143,'Slutlig allokering kvv'!$B$2:$AX$549,MATCH("Andel av bränsle i kvv som allokerats till värme, exklusive rökgaskondensering och hjälpel",'Slutlig allokering kvv'!$B$1:$AX$1,0),FALSE),"")</f>
        <v/>
      </c>
      <c r="AO143" s="31" t="str">
        <f t="shared" si="9"/>
        <v/>
      </c>
      <c r="AP143" s="31" t="str">
        <f t="shared" si="10"/>
        <v/>
      </c>
      <c r="AR143" s="32" t="str">
        <f t="shared" si="11"/>
        <v/>
      </c>
    </row>
    <row r="144" spans="1:44" s="31" customFormat="1" x14ac:dyDescent="0.45">
      <c r="A144" s="31" t="s">
        <v>480</v>
      </c>
      <c r="B144" s="31" t="s">
        <v>482</v>
      </c>
      <c r="C144" s="31" t="str">
        <f>IFERROR(VLOOKUP($B144,Kraftvärmeprod!$B$1:$AH$479,MATCH(C$2,Kraftvärmeprod!$B$1:$AG$1,0),FALSE)/1,"")</f>
        <v/>
      </c>
      <c r="D144" s="31" t="str">
        <f>IFERROR(VLOOKUP($B144,Kraftvärmeprod!$B$1:$AH$479,MATCH(D$2,Kraftvärmeprod!$B$1:$AG$1,0),FALSE)/1,"")</f>
        <v/>
      </c>
      <c r="F144" s="31" t="str">
        <f>IF($D144="","",IFERROR(VLOOKUP($B144,Kraftvärmeprod!$B$1:$BX$550,MATCH(F$2,Kraftvärmeprod!$B$1:$VX$1,0),FALSE)/1,0)-IFERROR(VLOOKUP($B144,'Slutlig allokering kvv'!$B$2:$BX$550,MATCH(F$2,'Slutlig allokering kvv'!$B$1:$BX$1,0),FALSE)/1,0))</f>
        <v/>
      </c>
      <c r="G144" s="31" t="str">
        <f>IF($D144="","",IFERROR(VLOOKUP($B144,Kraftvärmeprod!$B$1:$BX$550,MATCH(G$2,Kraftvärmeprod!$B$1:$VX$1,0),FALSE)/1,0)-IFERROR(VLOOKUP($B144,'Slutlig allokering kvv'!$B$2:$BX$550,MATCH(G$2,'Slutlig allokering kvv'!$B$1:$BX$1,0),FALSE)/1,0))</f>
        <v/>
      </c>
      <c r="H144" s="31" t="str">
        <f>IF($D144="","",IFERROR(VLOOKUP($B144,Kraftvärmeprod!$B$1:$BX$550,MATCH(H$2,Kraftvärmeprod!$B$1:$VX$1,0),FALSE)/1,0)-IFERROR(VLOOKUP($B144,'Slutlig allokering kvv'!$B$2:$BX$550,MATCH(H$2,'Slutlig allokering kvv'!$B$1:$BX$1,0),FALSE)/1,0))</f>
        <v/>
      </c>
      <c r="I144" s="31" t="str">
        <f>IF($D144="","",IFERROR(VLOOKUP($B144,Kraftvärmeprod!$B$1:$BX$550,MATCH(I$2,Kraftvärmeprod!$B$1:$VX$1,0),FALSE)/1,0)-IFERROR(VLOOKUP($B144,'Slutlig allokering kvv'!$B$2:$BX$550,MATCH(I$2,'Slutlig allokering kvv'!$B$1:$BX$1,0),FALSE)/1,0))</f>
        <v/>
      </c>
      <c r="J144" s="31" t="str">
        <f>IF($D144="","",IFERROR(VLOOKUP($B144,Kraftvärmeprod!$B$1:$BX$550,MATCH(J$2,Kraftvärmeprod!$B$1:$VX$1,0),FALSE)/1,0)-IFERROR(VLOOKUP($B144,'Slutlig allokering kvv'!$B$2:$BX$550,MATCH(J$2,'Slutlig allokering kvv'!$B$1:$BX$1,0),FALSE)/1,0))</f>
        <v/>
      </c>
      <c r="K144" s="31" t="str">
        <f>IF($D144="","",IFERROR(VLOOKUP($B144,Kraftvärmeprod!$B$1:$BX$550,MATCH(K$2,Kraftvärmeprod!$B$1:$VX$1,0),FALSE)/1,0)-IFERROR(VLOOKUP($B144,'Slutlig allokering kvv'!$B$2:$BX$550,MATCH(K$2,'Slutlig allokering kvv'!$B$1:$BX$1,0),FALSE)/1,0))</f>
        <v/>
      </c>
      <c r="L144" s="31" t="str">
        <f>IF($D144="","",IFERROR(VLOOKUP($B144,Kraftvärmeprod!$B$1:$BX$550,MATCH(L$2,Kraftvärmeprod!$B$1:$VX$1,0),FALSE)/1,0)-IFERROR(VLOOKUP($B144,'Slutlig allokering kvv'!$B$2:$BX$550,MATCH(L$2,'Slutlig allokering kvv'!$B$1:$BX$1,0),FALSE)/1,0))</f>
        <v/>
      </c>
      <c r="M144" s="31" t="str">
        <f>IF($D144="","",IFERROR(VLOOKUP($B144,Kraftvärmeprod!$B$1:$BX$550,MATCH(M$2,Kraftvärmeprod!$B$1:$VX$1,0),FALSE)/1,0)-IFERROR(VLOOKUP($B144,'Slutlig allokering kvv'!$B$2:$BX$550,MATCH(M$2,'Slutlig allokering kvv'!$B$1:$BX$1,0),FALSE)/1,0))</f>
        <v/>
      </c>
      <c r="N144" s="31" t="str">
        <f>IF($D144="","",IFERROR(VLOOKUP($B144,Kraftvärmeprod!$B$1:$BX$550,MATCH(N$2,Kraftvärmeprod!$B$1:$VX$1,0),FALSE)/1,0)-IFERROR(VLOOKUP($B144,'Slutlig allokering kvv'!$B$2:$BX$550,MATCH(N$2,'Slutlig allokering kvv'!$B$1:$BX$1,0),FALSE)/1,0))</f>
        <v/>
      </c>
      <c r="O144" s="31" t="str">
        <f>IF($D144="","",IFERROR(VLOOKUP($B144,Kraftvärmeprod!$B$1:$BX$550,MATCH(O$2,Kraftvärmeprod!$B$1:$VX$1,0),FALSE)/1,0)-IFERROR(VLOOKUP($B144,'Slutlig allokering kvv'!$B$2:$BX$550,MATCH(O$2,'Slutlig allokering kvv'!$B$1:$BX$1,0),FALSE)/1,0))</f>
        <v/>
      </c>
      <c r="P144" s="31" t="str">
        <f>IF($D144="","",IFERROR(VLOOKUP($B144,Kraftvärmeprod!$B$1:$BX$550,MATCH(P$2,Kraftvärmeprod!$B$1:$VX$1,0),FALSE)/1,0)-IFERROR(VLOOKUP($B144,'Slutlig allokering kvv'!$B$2:$BX$550,MATCH(P$2,'Slutlig allokering kvv'!$B$1:$BX$1,0),FALSE)/1,0))</f>
        <v/>
      </c>
      <c r="Q144" s="31" t="str">
        <f>IF($D144="","",IFERROR(VLOOKUP($B144,Kraftvärmeprod!$B$1:$BX$550,MATCH(Q$2,Kraftvärmeprod!$B$1:$VX$1,0),FALSE)/1,0)-IFERROR(VLOOKUP($B144,'Slutlig allokering kvv'!$B$2:$BX$550,MATCH(Q$2,'Slutlig allokering kvv'!$B$1:$BX$1,0),FALSE)/1,0))</f>
        <v/>
      </c>
      <c r="R144" s="31" t="str">
        <f>IF($D144="","",IFERROR(VLOOKUP($B144,Kraftvärmeprod!$B$1:$BX$550,MATCH(R$2,Kraftvärmeprod!$B$1:$VX$1,0),FALSE)/1,0)-IFERROR(VLOOKUP($B144,'Slutlig allokering kvv'!$B$2:$BX$550,MATCH(R$2,'Slutlig allokering kvv'!$B$1:$BX$1,0),FALSE)/1,0))</f>
        <v/>
      </c>
      <c r="S144" s="31" t="str">
        <f>IF($D144="","",IFERROR(VLOOKUP($B144,Kraftvärmeprod!$B$1:$BX$550,MATCH(S$2,Kraftvärmeprod!$B$1:$VX$1,0),FALSE)/1,0)-IFERROR(VLOOKUP($B144,'Slutlig allokering kvv'!$B$2:$BX$550,MATCH(S$2,'Slutlig allokering kvv'!$B$1:$BX$1,0),FALSE)/1,0))</f>
        <v/>
      </c>
      <c r="T144" s="31" t="str">
        <f>IF($D144="","",IFERROR(VLOOKUP($B144,Kraftvärmeprod!$B$1:$BX$550,MATCH(T$2,Kraftvärmeprod!$B$1:$VX$1,0),FALSE)/1,0)-IFERROR(VLOOKUP($B144,'Slutlig allokering kvv'!$B$2:$BX$550,MATCH(T$2,'Slutlig allokering kvv'!$B$1:$BX$1,0),FALSE)/1,0))</f>
        <v/>
      </c>
      <c r="U144" s="31" t="str">
        <f>IF($D144="","",IFERROR(VLOOKUP($B144,Kraftvärmeprod!$B$1:$BX$550,MATCH(U$2,Kraftvärmeprod!$B$1:$VX$1,0),FALSE)/1,0)-IFERROR(VLOOKUP($B144,'Slutlig allokering kvv'!$B$2:$BX$550,MATCH(U$2,'Slutlig allokering kvv'!$B$1:$BX$1,0),FALSE)/1,0))</f>
        <v/>
      </c>
      <c r="V144" s="31" t="str">
        <f>IF($D144="","",IFERROR(VLOOKUP($B144,Kraftvärmeprod!$B$1:$BX$550,MATCH(V$2,Kraftvärmeprod!$B$1:$VX$1,0),FALSE)/1,0)-IFERROR(VLOOKUP($B144,'Slutlig allokering kvv'!$B$2:$BX$550,MATCH(V$2,'Slutlig allokering kvv'!$B$1:$BX$1,0),FALSE)/1,0))</f>
        <v/>
      </c>
      <c r="W144" s="31" t="str">
        <f>IF($D144="","",IFERROR(VLOOKUP($B144,Kraftvärmeprod!$B$1:$BX$550,MATCH(W$2,Kraftvärmeprod!$B$1:$VX$1,0),FALSE)/1,0)-IFERROR(VLOOKUP($B144,'Slutlig allokering kvv'!$B$2:$BX$550,MATCH(W$2,'Slutlig allokering kvv'!$B$1:$BX$1,0),FALSE)/1,0))</f>
        <v/>
      </c>
      <c r="X144" s="31" t="str">
        <f>IF($D144="","",IFERROR(VLOOKUP($B144,Kraftvärmeprod!$B$1:$BX$550,MATCH(X$2,Kraftvärmeprod!$B$1:$VX$1,0),FALSE)/1,0)-IFERROR(VLOOKUP($B144,'Slutlig allokering kvv'!$B$2:$BX$550,MATCH(X$2,'Slutlig allokering kvv'!$B$1:$BX$1,0),FALSE)/1,0))</f>
        <v/>
      </c>
      <c r="Y144" s="31" t="str">
        <f>IF($D144="","",IFERROR(VLOOKUP($B144,Kraftvärmeprod!$B$1:$BX$550,MATCH(Y$2,Kraftvärmeprod!$B$1:$VX$1,0),FALSE)/1,0)-IFERROR(VLOOKUP($B144,'Slutlig allokering kvv'!$B$2:$BX$550,MATCH(Y$2,'Slutlig allokering kvv'!$B$1:$BX$1,0),FALSE)/1,0))</f>
        <v/>
      </c>
      <c r="Z144" s="31" t="str">
        <f>IF($D144="","",IFERROR(VLOOKUP($B144,Kraftvärmeprod!$B$1:$BX$550,MATCH(Z$2,Kraftvärmeprod!$B$1:$VX$1,0),FALSE)/1,0)-IFERROR(VLOOKUP($B144,'Slutlig allokering kvv'!$B$2:$BX$550,MATCH(Z$2,'Slutlig allokering kvv'!$B$1:$BX$1,0),FALSE)/1,0))</f>
        <v/>
      </c>
      <c r="AA144" s="31" t="str">
        <f>IF($D144="","",IFERROR(VLOOKUP($B144,Kraftvärmeprod!$B$1:$BX$550,MATCH(AA$2,Kraftvärmeprod!$B$1:$VX$1,0),FALSE)/1,0)-IFERROR(VLOOKUP($B144,'Slutlig allokering kvv'!$B$2:$BX$550,MATCH(AA$2,'Slutlig allokering kvv'!$B$1:$BX$1,0),FALSE)/1,0))</f>
        <v/>
      </c>
      <c r="AB144" s="31" t="str">
        <f>IF($D144="","",IFERROR(VLOOKUP($B144,Kraftvärmeprod!$B$1:$BX$550,MATCH(AB$2,Kraftvärmeprod!$B$1:$VX$1,0),FALSE)/1,0)-IFERROR(VLOOKUP($B144,'Slutlig allokering kvv'!$B$2:$BX$550,MATCH(AB$2,'Slutlig allokering kvv'!$B$1:$BX$1,0),FALSE)/1,0))</f>
        <v/>
      </c>
      <c r="AC144" s="31" t="str">
        <f>IF($D144="","",IFERROR(VLOOKUP($B144,Kraftvärmeprod!$B$1:$BX$550,MATCH(AC$2,Kraftvärmeprod!$B$1:$VX$1,0),FALSE)/1,0)-IFERROR(VLOOKUP($B144,'Slutlig allokering kvv'!$B$2:$BX$550,MATCH(AC$2,'Slutlig allokering kvv'!$B$1:$BX$1,0),FALSE)/1,0))</f>
        <v/>
      </c>
      <c r="AD144" s="31" t="str">
        <f>IF($D144="","",IFERROR(VLOOKUP($B144,Kraftvärmeprod!$B$1:$BX$550,MATCH(AD$2,Kraftvärmeprod!$B$1:$VX$1,0),FALSE)/1,0)-IFERROR(VLOOKUP($B144,'Slutlig allokering kvv'!$B$2:$BX$550,MATCH(AD$2,'Slutlig allokering kvv'!$B$1:$BX$1,0),FALSE)/1,0))</f>
        <v/>
      </c>
      <c r="AE144" s="31" t="str">
        <f>IF($D144="","",IFERROR(VLOOKUP($B144,Miljö!$B$1:$E$550,MATCH("Hjälpel kraftvärme (GWh)",Miljö!$B$1:$E$1,0),FALSE)/1,0)-IFERROR(VLOOKUP($B144,'Slutlig allokering kvv'!$B$2:$BX$549,MATCH(AE$2,'Slutlig allokering kvv'!$B$1:$BX$1,0),FALSE)/1,0))</f>
        <v/>
      </c>
      <c r="AI144" s="39">
        <f t="shared" si="8"/>
        <v>0</v>
      </c>
      <c r="AK144" s="31">
        <f>IFERROR(VLOOKUP($B144,'Slutlig allokering kvv'!$B$2:$AX$549,MATCH("Summa slutlig allokerad tillförd energi (utan hjälpel och rökgaskondensering):",'Slutlig allokering kvv'!$B$1:$AX$1,0),FALSE)/1,"")</f>
        <v>0</v>
      </c>
      <c r="AM144" s="31" t="str">
        <f>IFERROR(1-VLOOKUP($B144,'Slutlig allokering kvv'!$B$2:$AX$549,MATCH("Andel av bränsle i kvv som allokerats till värme, exklusive rökgaskondensering och hjälpel",'Slutlig allokering kvv'!$B$1:$AX$1,0),FALSE),"")</f>
        <v/>
      </c>
      <c r="AO144" s="31" t="str">
        <f t="shared" si="9"/>
        <v/>
      </c>
      <c r="AP144" s="31" t="str">
        <f t="shared" si="10"/>
        <v/>
      </c>
      <c r="AR144" s="32" t="str">
        <f t="shared" si="11"/>
        <v/>
      </c>
    </row>
    <row r="145" spans="1:44" s="31" customFormat="1" x14ac:dyDescent="0.45">
      <c r="A145" s="31" t="s">
        <v>478</v>
      </c>
      <c r="B145" s="31" t="s">
        <v>477</v>
      </c>
      <c r="C145" s="31" t="str">
        <f>IFERROR(VLOOKUP($B145,Kraftvärmeprod!$B$1:$AH$479,MATCH(C$2,Kraftvärmeprod!$B$1:$AG$1,0),FALSE)/1,"")</f>
        <v/>
      </c>
      <c r="D145" s="31" t="str">
        <f>IFERROR(VLOOKUP($B145,Kraftvärmeprod!$B$1:$AH$479,MATCH(D$2,Kraftvärmeprod!$B$1:$AG$1,0),FALSE)/1,"")</f>
        <v/>
      </c>
      <c r="F145" s="31" t="str">
        <f>IF($D145="","",IFERROR(VLOOKUP($B145,Kraftvärmeprod!$B$1:$BX$550,MATCH(F$2,Kraftvärmeprod!$B$1:$VX$1,0),FALSE)/1,0)-IFERROR(VLOOKUP($B145,'Slutlig allokering kvv'!$B$2:$BX$550,MATCH(F$2,'Slutlig allokering kvv'!$B$1:$BX$1,0),FALSE)/1,0))</f>
        <v/>
      </c>
      <c r="G145" s="31" t="str">
        <f>IF($D145="","",IFERROR(VLOOKUP($B145,Kraftvärmeprod!$B$1:$BX$550,MATCH(G$2,Kraftvärmeprod!$B$1:$VX$1,0),FALSE)/1,0)-IFERROR(VLOOKUP($B145,'Slutlig allokering kvv'!$B$2:$BX$550,MATCH(G$2,'Slutlig allokering kvv'!$B$1:$BX$1,0),FALSE)/1,0))</f>
        <v/>
      </c>
      <c r="H145" s="31" t="str">
        <f>IF($D145="","",IFERROR(VLOOKUP($B145,Kraftvärmeprod!$B$1:$BX$550,MATCH(H$2,Kraftvärmeprod!$B$1:$VX$1,0),FALSE)/1,0)-IFERROR(VLOOKUP($B145,'Slutlig allokering kvv'!$B$2:$BX$550,MATCH(H$2,'Slutlig allokering kvv'!$B$1:$BX$1,0),FALSE)/1,0))</f>
        <v/>
      </c>
      <c r="I145" s="31" t="str">
        <f>IF($D145="","",IFERROR(VLOOKUP($B145,Kraftvärmeprod!$B$1:$BX$550,MATCH(I$2,Kraftvärmeprod!$B$1:$VX$1,0),FALSE)/1,0)-IFERROR(VLOOKUP($B145,'Slutlig allokering kvv'!$B$2:$BX$550,MATCH(I$2,'Slutlig allokering kvv'!$B$1:$BX$1,0),FALSE)/1,0))</f>
        <v/>
      </c>
      <c r="J145" s="31" t="str">
        <f>IF($D145="","",IFERROR(VLOOKUP($B145,Kraftvärmeprod!$B$1:$BX$550,MATCH(J$2,Kraftvärmeprod!$B$1:$VX$1,0),FALSE)/1,0)-IFERROR(VLOOKUP($B145,'Slutlig allokering kvv'!$B$2:$BX$550,MATCH(J$2,'Slutlig allokering kvv'!$B$1:$BX$1,0),FALSE)/1,0))</f>
        <v/>
      </c>
      <c r="K145" s="31" t="str">
        <f>IF($D145="","",IFERROR(VLOOKUP($B145,Kraftvärmeprod!$B$1:$BX$550,MATCH(K$2,Kraftvärmeprod!$B$1:$VX$1,0),FALSE)/1,0)-IFERROR(VLOOKUP($B145,'Slutlig allokering kvv'!$B$2:$BX$550,MATCH(K$2,'Slutlig allokering kvv'!$B$1:$BX$1,0),FALSE)/1,0))</f>
        <v/>
      </c>
      <c r="L145" s="31" t="str">
        <f>IF($D145="","",IFERROR(VLOOKUP($B145,Kraftvärmeprod!$B$1:$BX$550,MATCH(L$2,Kraftvärmeprod!$B$1:$VX$1,0),FALSE)/1,0)-IFERROR(VLOOKUP($B145,'Slutlig allokering kvv'!$B$2:$BX$550,MATCH(L$2,'Slutlig allokering kvv'!$B$1:$BX$1,0),FALSE)/1,0))</f>
        <v/>
      </c>
      <c r="M145" s="31" t="str">
        <f>IF($D145="","",IFERROR(VLOOKUP($B145,Kraftvärmeprod!$B$1:$BX$550,MATCH(M$2,Kraftvärmeprod!$B$1:$VX$1,0),FALSE)/1,0)-IFERROR(VLOOKUP($B145,'Slutlig allokering kvv'!$B$2:$BX$550,MATCH(M$2,'Slutlig allokering kvv'!$B$1:$BX$1,0),FALSE)/1,0))</f>
        <v/>
      </c>
      <c r="N145" s="31" t="str">
        <f>IF($D145="","",IFERROR(VLOOKUP($B145,Kraftvärmeprod!$B$1:$BX$550,MATCH(N$2,Kraftvärmeprod!$B$1:$VX$1,0),FALSE)/1,0)-IFERROR(VLOOKUP($B145,'Slutlig allokering kvv'!$B$2:$BX$550,MATCH(N$2,'Slutlig allokering kvv'!$B$1:$BX$1,0),FALSE)/1,0))</f>
        <v/>
      </c>
      <c r="O145" s="31" t="str">
        <f>IF($D145="","",IFERROR(VLOOKUP($B145,Kraftvärmeprod!$B$1:$BX$550,MATCH(O$2,Kraftvärmeprod!$B$1:$VX$1,0),FALSE)/1,0)-IFERROR(VLOOKUP($B145,'Slutlig allokering kvv'!$B$2:$BX$550,MATCH(O$2,'Slutlig allokering kvv'!$B$1:$BX$1,0),FALSE)/1,0))</f>
        <v/>
      </c>
      <c r="P145" s="31" t="str">
        <f>IF($D145="","",IFERROR(VLOOKUP($B145,Kraftvärmeprod!$B$1:$BX$550,MATCH(P$2,Kraftvärmeprod!$B$1:$VX$1,0),FALSE)/1,0)-IFERROR(VLOOKUP($B145,'Slutlig allokering kvv'!$B$2:$BX$550,MATCH(P$2,'Slutlig allokering kvv'!$B$1:$BX$1,0),FALSE)/1,0))</f>
        <v/>
      </c>
      <c r="Q145" s="31" t="str">
        <f>IF($D145="","",IFERROR(VLOOKUP($B145,Kraftvärmeprod!$B$1:$BX$550,MATCH(Q$2,Kraftvärmeprod!$B$1:$VX$1,0),FALSE)/1,0)-IFERROR(VLOOKUP($B145,'Slutlig allokering kvv'!$B$2:$BX$550,MATCH(Q$2,'Slutlig allokering kvv'!$B$1:$BX$1,0),FALSE)/1,0))</f>
        <v/>
      </c>
      <c r="R145" s="31" t="str">
        <f>IF($D145="","",IFERROR(VLOOKUP($B145,Kraftvärmeprod!$B$1:$BX$550,MATCH(R$2,Kraftvärmeprod!$B$1:$VX$1,0),FALSE)/1,0)-IFERROR(VLOOKUP($B145,'Slutlig allokering kvv'!$B$2:$BX$550,MATCH(R$2,'Slutlig allokering kvv'!$B$1:$BX$1,0),FALSE)/1,0))</f>
        <v/>
      </c>
      <c r="S145" s="31" t="str">
        <f>IF($D145="","",IFERROR(VLOOKUP($B145,Kraftvärmeprod!$B$1:$BX$550,MATCH(S$2,Kraftvärmeprod!$B$1:$VX$1,0),FALSE)/1,0)-IFERROR(VLOOKUP($B145,'Slutlig allokering kvv'!$B$2:$BX$550,MATCH(S$2,'Slutlig allokering kvv'!$B$1:$BX$1,0),FALSE)/1,0))</f>
        <v/>
      </c>
      <c r="T145" s="31" t="str">
        <f>IF($D145="","",IFERROR(VLOOKUP($B145,Kraftvärmeprod!$B$1:$BX$550,MATCH(T$2,Kraftvärmeprod!$B$1:$VX$1,0),FALSE)/1,0)-IFERROR(VLOOKUP($B145,'Slutlig allokering kvv'!$B$2:$BX$550,MATCH(T$2,'Slutlig allokering kvv'!$B$1:$BX$1,0),FALSE)/1,0))</f>
        <v/>
      </c>
      <c r="U145" s="31" t="str">
        <f>IF($D145="","",IFERROR(VLOOKUP($B145,Kraftvärmeprod!$B$1:$BX$550,MATCH(U$2,Kraftvärmeprod!$B$1:$VX$1,0),FALSE)/1,0)-IFERROR(VLOOKUP($B145,'Slutlig allokering kvv'!$B$2:$BX$550,MATCH(U$2,'Slutlig allokering kvv'!$B$1:$BX$1,0),FALSE)/1,0))</f>
        <v/>
      </c>
      <c r="V145" s="31" t="str">
        <f>IF($D145="","",IFERROR(VLOOKUP($B145,Kraftvärmeprod!$B$1:$BX$550,MATCH(V$2,Kraftvärmeprod!$B$1:$VX$1,0),FALSE)/1,0)-IFERROR(VLOOKUP($B145,'Slutlig allokering kvv'!$B$2:$BX$550,MATCH(V$2,'Slutlig allokering kvv'!$B$1:$BX$1,0),FALSE)/1,0))</f>
        <v/>
      </c>
      <c r="W145" s="31" t="str">
        <f>IF($D145="","",IFERROR(VLOOKUP($B145,Kraftvärmeprod!$B$1:$BX$550,MATCH(W$2,Kraftvärmeprod!$B$1:$VX$1,0),FALSE)/1,0)-IFERROR(VLOOKUP($B145,'Slutlig allokering kvv'!$B$2:$BX$550,MATCH(W$2,'Slutlig allokering kvv'!$B$1:$BX$1,0),FALSE)/1,0))</f>
        <v/>
      </c>
      <c r="X145" s="31" t="str">
        <f>IF($D145="","",IFERROR(VLOOKUP($B145,Kraftvärmeprod!$B$1:$BX$550,MATCH(X$2,Kraftvärmeprod!$B$1:$VX$1,0),FALSE)/1,0)-IFERROR(VLOOKUP($B145,'Slutlig allokering kvv'!$B$2:$BX$550,MATCH(X$2,'Slutlig allokering kvv'!$B$1:$BX$1,0),FALSE)/1,0))</f>
        <v/>
      </c>
      <c r="Y145" s="31" t="str">
        <f>IF($D145="","",IFERROR(VLOOKUP($B145,Kraftvärmeprod!$B$1:$BX$550,MATCH(Y$2,Kraftvärmeprod!$B$1:$VX$1,0),FALSE)/1,0)-IFERROR(VLOOKUP($B145,'Slutlig allokering kvv'!$B$2:$BX$550,MATCH(Y$2,'Slutlig allokering kvv'!$B$1:$BX$1,0),FALSE)/1,0))</f>
        <v/>
      </c>
      <c r="Z145" s="31" t="str">
        <f>IF($D145="","",IFERROR(VLOOKUP($B145,Kraftvärmeprod!$B$1:$BX$550,MATCH(Z$2,Kraftvärmeprod!$B$1:$VX$1,0),FALSE)/1,0)-IFERROR(VLOOKUP($B145,'Slutlig allokering kvv'!$B$2:$BX$550,MATCH(Z$2,'Slutlig allokering kvv'!$B$1:$BX$1,0),FALSE)/1,0))</f>
        <v/>
      </c>
      <c r="AA145" s="31" t="str">
        <f>IF($D145="","",IFERROR(VLOOKUP($B145,Kraftvärmeprod!$B$1:$BX$550,MATCH(AA$2,Kraftvärmeprod!$B$1:$VX$1,0),FALSE)/1,0)-IFERROR(VLOOKUP($B145,'Slutlig allokering kvv'!$B$2:$BX$550,MATCH(AA$2,'Slutlig allokering kvv'!$B$1:$BX$1,0),FALSE)/1,0))</f>
        <v/>
      </c>
      <c r="AB145" s="31" t="str">
        <f>IF($D145="","",IFERROR(VLOOKUP($B145,Kraftvärmeprod!$B$1:$BX$550,MATCH(AB$2,Kraftvärmeprod!$B$1:$VX$1,0),FALSE)/1,0)-IFERROR(VLOOKUP($B145,'Slutlig allokering kvv'!$B$2:$BX$550,MATCH(AB$2,'Slutlig allokering kvv'!$B$1:$BX$1,0),FALSE)/1,0))</f>
        <v/>
      </c>
      <c r="AC145" s="31" t="str">
        <f>IF($D145="","",IFERROR(VLOOKUP($B145,Kraftvärmeprod!$B$1:$BX$550,MATCH(AC$2,Kraftvärmeprod!$B$1:$VX$1,0),FALSE)/1,0)-IFERROR(VLOOKUP($B145,'Slutlig allokering kvv'!$B$2:$BX$550,MATCH(AC$2,'Slutlig allokering kvv'!$B$1:$BX$1,0),FALSE)/1,0))</f>
        <v/>
      </c>
      <c r="AD145" s="31" t="str">
        <f>IF($D145="","",IFERROR(VLOOKUP($B145,Kraftvärmeprod!$B$1:$BX$550,MATCH(AD$2,Kraftvärmeprod!$B$1:$VX$1,0),FALSE)/1,0)-IFERROR(VLOOKUP($B145,'Slutlig allokering kvv'!$B$2:$BX$550,MATCH(AD$2,'Slutlig allokering kvv'!$B$1:$BX$1,0),FALSE)/1,0))</f>
        <v/>
      </c>
      <c r="AE145" s="31" t="str">
        <f>IF($D145="","",IFERROR(VLOOKUP($B145,Miljö!$B$1:$E$550,MATCH("Hjälpel kraftvärme (GWh)",Miljö!$B$1:$E$1,0),FALSE)/1,0)-IFERROR(VLOOKUP($B145,'Slutlig allokering kvv'!$B$2:$BX$549,MATCH(AE$2,'Slutlig allokering kvv'!$B$1:$BX$1,0),FALSE)/1,0))</f>
        <v/>
      </c>
      <c r="AI145" s="39">
        <f t="shared" si="8"/>
        <v>0</v>
      </c>
      <c r="AK145" s="31">
        <f>IFERROR(VLOOKUP($B145,'Slutlig allokering kvv'!$B$2:$AX$549,MATCH("Summa slutlig allokerad tillförd energi (utan hjälpel och rökgaskondensering):",'Slutlig allokering kvv'!$B$1:$AX$1,0),FALSE)/1,"")</f>
        <v>0</v>
      </c>
      <c r="AM145" s="31" t="str">
        <f>IFERROR(1-VLOOKUP($B145,'Slutlig allokering kvv'!$B$2:$AX$549,MATCH("Andel av bränsle i kvv som allokerats till värme, exklusive rökgaskondensering och hjälpel",'Slutlig allokering kvv'!$B$1:$AX$1,0),FALSE),"")</f>
        <v/>
      </c>
      <c r="AO145" s="31" t="str">
        <f t="shared" si="9"/>
        <v/>
      </c>
      <c r="AP145" s="31" t="str">
        <f t="shared" si="10"/>
        <v/>
      </c>
      <c r="AR145" s="32" t="str">
        <f t="shared" si="11"/>
        <v/>
      </c>
    </row>
    <row r="146" spans="1:44" s="31" customFormat="1" x14ac:dyDescent="0.45">
      <c r="A146" s="31" t="s">
        <v>472</v>
      </c>
      <c r="B146" s="31" t="s">
        <v>475</v>
      </c>
      <c r="C146" s="31" t="str">
        <f>IFERROR(VLOOKUP($B146,Kraftvärmeprod!$B$1:$AH$479,MATCH(C$2,Kraftvärmeprod!$B$1:$AG$1,0),FALSE)/1,"")</f>
        <v/>
      </c>
      <c r="D146" s="31" t="str">
        <f>IFERROR(VLOOKUP($B146,Kraftvärmeprod!$B$1:$AH$479,MATCH(D$2,Kraftvärmeprod!$B$1:$AG$1,0),FALSE)/1,"")</f>
        <v/>
      </c>
      <c r="F146" s="31" t="str">
        <f>IF($D146="","",IFERROR(VLOOKUP($B146,Kraftvärmeprod!$B$1:$BX$550,MATCH(F$2,Kraftvärmeprod!$B$1:$VX$1,0),FALSE)/1,0)-IFERROR(VLOOKUP($B146,'Slutlig allokering kvv'!$B$2:$BX$550,MATCH(F$2,'Slutlig allokering kvv'!$B$1:$BX$1,0),FALSE)/1,0))</f>
        <v/>
      </c>
      <c r="G146" s="31" t="str">
        <f>IF($D146="","",IFERROR(VLOOKUP($B146,Kraftvärmeprod!$B$1:$BX$550,MATCH(G$2,Kraftvärmeprod!$B$1:$VX$1,0),FALSE)/1,0)-IFERROR(VLOOKUP($B146,'Slutlig allokering kvv'!$B$2:$BX$550,MATCH(G$2,'Slutlig allokering kvv'!$B$1:$BX$1,0),FALSE)/1,0))</f>
        <v/>
      </c>
      <c r="H146" s="31" t="str">
        <f>IF($D146="","",IFERROR(VLOOKUP($B146,Kraftvärmeprod!$B$1:$BX$550,MATCH(H$2,Kraftvärmeprod!$B$1:$VX$1,0),FALSE)/1,0)-IFERROR(VLOOKUP($B146,'Slutlig allokering kvv'!$B$2:$BX$550,MATCH(H$2,'Slutlig allokering kvv'!$B$1:$BX$1,0),FALSE)/1,0))</f>
        <v/>
      </c>
      <c r="I146" s="31" t="str">
        <f>IF($D146="","",IFERROR(VLOOKUP($B146,Kraftvärmeprod!$B$1:$BX$550,MATCH(I$2,Kraftvärmeprod!$B$1:$VX$1,0),FALSE)/1,0)-IFERROR(VLOOKUP($B146,'Slutlig allokering kvv'!$B$2:$BX$550,MATCH(I$2,'Slutlig allokering kvv'!$B$1:$BX$1,0),FALSE)/1,0))</f>
        <v/>
      </c>
      <c r="J146" s="31" t="str">
        <f>IF($D146="","",IFERROR(VLOOKUP($B146,Kraftvärmeprod!$B$1:$BX$550,MATCH(J$2,Kraftvärmeprod!$B$1:$VX$1,0),FALSE)/1,0)-IFERROR(VLOOKUP($B146,'Slutlig allokering kvv'!$B$2:$BX$550,MATCH(J$2,'Slutlig allokering kvv'!$B$1:$BX$1,0),FALSE)/1,0))</f>
        <v/>
      </c>
      <c r="K146" s="31" t="str">
        <f>IF($D146="","",IFERROR(VLOOKUP($B146,Kraftvärmeprod!$B$1:$BX$550,MATCH(K$2,Kraftvärmeprod!$B$1:$VX$1,0),FALSE)/1,0)-IFERROR(VLOOKUP($B146,'Slutlig allokering kvv'!$B$2:$BX$550,MATCH(K$2,'Slutlig allokering kvv'!$B$1:$BX$1,0),FALSE)/1,0))</f>
        <v/>
      </c>
      <c r="L146" s="31" t="str">
        <f>IF($D146="","",IFERROR(VLOOKUP($B146,Kraftvärmeprod!$B$1:$BX$550,MATCH(L$2,Kraftvärmeprod!$B$1:$VX$1,0),FALSE)/1,0)-IFERROR(VLOOKUP($B146,'Slutlig allokering kvv'!$B$2:$BX$550,MATCH(L$2,'Slutlig allokering kvv'!$B$1:$BX$1,0),FALSE)/1,0))</f>
        <v/>
      </c>
      <c r="M146" s="31" t="str">
        <f>IF($D146="","",IFERROR(VLOOKUP($B146,Kraftvärmeprod!$B$1:$BX$550,MATCH(M$2,Kraftvärmeprod!$B$1:$VX$1,0),FALSE)/1,0)-IFERROR(VLOOKUP($B146,'Slutlig allokering kvv'!$B$2:$BX$550,MATCH(M$2,'Slutlig allokering kvv'!$B$1:$BX$1,0),FALSE)/1,0))</f>
        <v/>
      </c>
      <c r="N146" s="31" t="str">
        <f>IF($D146="","",IFERROR(VLOOKUP($B146,Kraftvärmeprod!$B$1:$BX$550,MATCH(N$2,Kraftvärmeprod!$B$1:$VX$1,0),FALSE)/1,0)-IFERROR(VLOOKUP($B146,'Slutlig allokering kvv'!$B$2:$BX$550,MATCH(N$2,'Slutlig allokering kvv'!$B$1:$BX$1,0),FALSE)/1,0))</f>
        <v/>
      </c>
      <c r="O146" s="31" t="str">
        <f>IF($D146="","",IFERROR(VLOOKUP($B146,Kraftvärmeprod!$B$1:$BX$550,MATCH(O$2,Kraftvärmeprod!$B$1:$VX$1,0),FALSE)/1,0)-IFERROR(VLOOKUP($B146,'Slutlig allokering kvv'!$B$2:$BX$550,MATCH(O$2,'Slutlig allokering kvv'!$B$1:$BX$1,0),FALSE)/1,0))</f>
        <v/>
      </c>
      <c r="P146" s="31" t="str">
        <f>IF($D146="","",IFERROR(VLOOKUP($B146,Kraftvärmeprod!$B$1:$BX$550,MATCH(P$2,Kraftvärmeprod!$B$1:$VX$1,0),FALSE)/1,0)-IFERROR(VLOOKUP($B146,'Slutlig allokering kvv'!$B$2:$BX$550,MATCH(P$2,'Slutlig allokering kvv'!$B$1:$BX$1,0),FALSE)/1,0))</f>
        <v/>
      </c>
      <c r="Q146" s="31" t="str">
        <f>IF($D146="","",IFERROR(VLOOKUP($B146,Kraftvärmeprod!$B$1:$BX$550,MATCH(Q$2,Kraftvärmeprod!$B$1:$VX$1,0),FALSE)/1,0)-IFERROR(VLOOKUP($B146,'Slutlig allokering kvv'!$B$2:$BX$550,MATCH(Q$2,'Slutlig allokering kvv'!$B$1:$BX$1,0),FALSE)/1,0))</f>
        <v/>
      </c>
      <c r="R146" s="31" t="str">
        <f>IF($D146="","",IFERROR(VLOOKUP($B146,Kraftvärmeprod!$B$1:$BX$550,MATCH(R$2,Kraftvärmeprod!$B$1:$VX$1,0),FALSE)/1,0)-IFERROR(VLOOKUP($B146,'Slutlig allokering kvv'!$B$2:$BX$550,MATCH(R$2,'Slutlig allokering kvv'!$B$1:$BX$1,0),FALSE)/1,0))</f>
        <v/>
      </c>
      <c r="S146" s="31" t="str">
        <f>IF($D146="","",IFERROR(VLOOKUP($B146,Kraftvärmeprod!$B$1:$BX$550,MATCH(S$2,Kraftvärmeprod!$B$1:$VX$1,0),FALSE)/1,0)-IFERROR(VLOOKUP($B146,'Slutlig allokering kvv'!$B$2:$BX$550,MATCH(S$2,'Slutlig allokering kvv'!$B$1:$BX$1,0),FALSE)/1,0))</f>
        <v/>
      </c>
      <c r="T146" s="31" t="str">
        <f>IF($D146="","",IFERROR(VLOOKUP($B146,Kraftvärmeprod!$B$1:$BX$550,MATCH(T$2,Kraftvärmeprod!$B$1:$VX$1,0),FALSE)/1,0)-IFERROR(VLOOKUP($B146,'Slutlig allokering kvv'!$B$2:$BX$550,MATCH(T$2,'Slutlig allokering kvv'!$B$1:$BX$1,0),FALSE)/1,0))</f>
        <v/>
      </c>
      <c r="U146" s="31" t="str">
        <f>IF($D146="","",IFERROR(VLOOKUP($B146,Kraftvärmeprod!$B$1:$BX$550,MATCH(U$2,Kraftvärmeprod!$B$1:$VX$1,0),FALSE)/1,0)-IFERROR(VLOOKUP($B146,'Slutlig allokering kvv'!$B$2:$BX$550,MATCH(U$2,'Slutlig allokering kvv'!$B$1:$BX$1,0),FALSE)/1,0))</f>
        <v/>
      </c>
      <c r="V146" s="31" t="str">
        <f>IF($D146="","",IFERROR(VLOOKUP($B146,Kraftvärmeprod!$B$1:$BX$550,MATCH(V$2,Kraftvärmeprod!$B$1:$VX$1,0),FALSE)/1,0)-IFERROR(VLOOKUP($B146,'Slutlig allokering kvv'!$B$2:$BX$550,MATCH(V$2,'Slutlig allokering kvv'!$B$1:$BX$1,0),FALSE)/1,0))</f>
        <v/>
      </c>
      <c r="W146" s="31" t="str">
        <f>IF($D146="","",IFERROR(VLOOKUP($B146,Kraftvärmeprod!$B$1:$BX$550,MATCH(W$2,Kraftvärmeprod!$B$1:$VX$1,0),FALSE)/1,0)-IFERROR(VLOOKUP($B146,'Slutlig allokering kvv'!$B$2:$BX$550,MATCH(W$2,'Slutlig allokering kvv'!$B$1:$BX$1,0),FALSE)/1,0))</f>
        <v/>
      </c>
      <c r="X146" s="31" t="str">
        <f>IF($D146="","",IFERROR(VLOOKUP($B146,Kraftvärmeprod!$B$1:$BX$550,MATCH(X$2,Kraftvärmeprod!$B$1:$VX$1,0),FALSE)/1,0)-IFERROR(VLOOKUP($B146,'Slutlig allokering kvv'!$B$2:$BX$550,MATCH(X$2,'Slutlig allokering kvv'!$B$1:$BX$1,0),FALSE)/1,0))</f>
        <v/>
      </c>
      <c r="Y146" s="31" t="str">
        <f>IF($D146="","",IFERROR(VLOOKUP($B146,Kraftvärmeprod!$B$1:$BX$550,MATCH(Y$2,Kraftvärmeprod!$B$1:$VX$1,0),FALSE)/1,0)-IFERROR(VLOOKUP($B146,'Slutlig allokering kvv'!$B$2:$BX$550,MATCH(Y$2,'Slutlig allokering kvv'!$B$1:$BX$1,0),FALSE)/1,0))</f>
        <v/>
      </c>
      <c r="Z146" s="31" t="str">
        <f>IF($D146="","",IFERROR(VLOOKUP($B146,Kraftvärmeprod!$B$1:$BX$550,MATCH(Z$2,Kraftvärmeprod!$B$1:$VX$1,0),FALSE)/1,0)-IFERROR(VLOOKUP($B146,'Slutlig allokering kvv'!$B$2:$BX$550,MATCH(Z$2,'Slutlig allokering kvv'!$B$1:$BX$1,0),FALSE)/1,0))</f>
        <v/>
      </c>
      <c r="AA146" s="31" t="str">
        <f>IF($D146="","",IFERROR(VLOOKUP($B146,Kraftvärmeprod!$B$1:$BX$550,MATCH(AA$2,Kraftvärmeprod!$B$1:$VX$1,0),FALSE)/1,0)-IFERROR(VLOOKUP($B146,'Slutlig allokering kvv'!$B$2:$BX$550,MATCH(AA$2,'Slutlig allokering kvv'!$B$1:$BX$1,0),FALSE)/1,0))</f>
        <v/>
      </c>
      <c r="AB146" s="31" t="str">
        <f>IF($D146="","",IFERROR(VLOOKUP($B146,Kraftvärmeprod!$B$1:$BX$550,MATCH(AB$2,Kraftvärmeprod!$B$1:$VX$1,0),FALSE)/1,0)-IFERROR(VLOOKUP($B146,'Slutlig allokering kvv'!$B$2:$BX$550,MATCH(AB$2,'Slutlig allokering kvv'!$B$1:$BX$1,0),FALSE)/1,0))</f>
        <v/>
      </c>
      <c r="AC146" s="31" t="str">
        <f>IF($D146="","",IFERROR(VLOOKUP($B146,Kraftvärmeprod!$B$1:$BX$550,MATCH(AC$2,Kraftvärmeprod!$B$1:$VX$1,0),FALSE)/1,0)-IFERROR(VLOOKUP($B146,'Slutlig allokering kvv'!$B$2:$BX$550,MATCH(AC$2,'Slutlig allokering kvv'!$B$1:$BX$1,0),FALSE)/1,0))</f>
        <v/>
      </c>
      <c r="AD146" s="31" t="str">
        <f>IF($D146="","",IFERROR(VLOOKUP($B146,Kraftvärmeprod!$B$1:$BX$550,MATCH(AD$2,Kraftvärmeprod!$B$1:$VX$1,0),FALSE)/1,0)-IFERROR(VLOOKUP($B146,'Slutlig allokering kvv'!$B$2:$BX$550,MATCH(AD$2,'Slutlig allokering kvv'!$B$1:$BX$1,0),FALSE)/1,0))</f>
        <v/>
      </c>
      <c r="AE146" s="31" t="str">
        <f>IF($D146="","",IFERROR(VLOOKUP($B146,Miljö!$B$1:$E$550,MATCH("Hjälpel kraftvärme (GWh)",Miljö!$B$1:$E$1,0),FALSE)/1,0)-IFERROR(VLOOKUP($B146,'Slutlig allokering kvv'!$B$2:$BX$549,MATCH(AE$2,'Slutlig allokering kvv'!$B$1:$BX$1,0),FALSE)/1,0))</f>
        <v/>
      </c>
      <c r="AI146" s="39">
        <f t="shared" si="8"/>
        <v>0</v>
      </c>
      <c r="AK146" s="31">
        <f>IFERROR(VLOOKUP($B146,'Slutlig allokering kvv'!$B$2:$AX$549,MATCH("Summa slutlig allokerad tillförd energi (utan hjälpel och rökgaskondensering):",'Slutlig allokering kvv'!$B$1:$AX$1,0),FALSE)/1,"")</f>
        <v>0</v>
      </c>
      <c r="AM146" s="31" t="str">
        <f>IFERROR(1-VLOOKUP($B146,'Slutlig allokering kvv'!$B$2:$AX$549,MATCH("Andel av bränsle i kvv som allokerats till värme, exklusive rökgaskondensering och hjälpel",'Slutlig allokering kvv'!$B$1:$AX$1,0),FALSE),"")</f>
        <v/>
      </c>
      <c r="AO146" s="31" t="str">
        <f t="shared" si="9"/>
        <v/>
      </c>
      <c r="AP146" s="31" t="str">
        <f t="shared" si="10"/>
        <v/>
      </c>
      <c r="AR146" s="32" t="str">
        <f t="shared" si="11"/>
        <v/>
      </c>
    </row>
    <row r="147" spans="1:44" s="31" customFormat="1" x14ac:dyDescent="0.45">
      <c r="A147" s="31" t="s">
        <v>472</v>
      </c>
      <c r="B147" s="31" t="s">
        <v>474</v>
      </c>
      <c r="C147" s="31" t="str">
        <f>IFERROR(VLOOKUP($B147,Kraftvärmeprod!$B$1:$AH$479,MATCH(C$2,Kraftvärmeprod!$B$1:$AG$1,0),FALSE)/1,"")</f>
        <v/>
      </c>
      <c r="D147" s="31" t="str">
        <f>IFERROR(VLOOKUP($B147,Kraftvärmeprod!$B$1:$AH$479,MATCH(D$2,Kraftvärmeprod!$B$1:$AG$1,0),FALSE)/1,"")</f>
        <v/>
      </c>
      <c r="F147" s="31" t="str">
        <f>IF($D147="","",IFERROR(VLOOKUP($B147,Kraftvärmeprod!$B$1:$BX$550,MATCH(F$2,Kraftvärmeprod!$B$1:$VX$1,0),FALSE)/1,0)-IFERROR(VLOOKUP($B147,'Slutlig allokering kvv'!$B$2:$BX$550,MATCH(F$2,'Slutlig allokering kvv'!$B$1:$BX$1,0),FALSE)/1,0))</f>
        <v/>
      </c>
      <c r="G147" s="31" t="str">
        <f>IF($D147="","",IFERROR(VLOOKUP($B147,Kraftvärmeprod!$B$1:$BX$550,MATCH(G$2,Kraftvärmeprod!$B$1:$VX$1,0),FALSE)/1,0)-IFERROR(VLOOKUP($B147,'Slutlig allokering kvv'!$B$2:$BX$550,MATCH(G$2,'Slutlig allokering kvv'!$B$1:$BX$1,0),FALSE)/1,0))</f>
        <v/>
      </c>
      <c r="H147" s="31" t="str">
        <f>IF($D147="","",IFERROR(VLOOKUP($B147,Kraftvärmeprod!$B$1:$BX$550,MATCH(H$2,Kraftvärmeprod!$B$1:$VX$1,0),FALSE)/1,0)-IFERROR(VLOOKUP($B147,'Slutlig allokering kvv'!$B$2:$BX$550,MATCH(H$2,'Slutlig allokering kvv'!$B$1:$BX$1,0),FALSE)/1,0))</f>
        <v/>
      </c>
      <c r="I147" s="31" t="str">
        <f>IF($D147="","",IFERROR(VLOOKUP($B147,Kraftvärmeprod!$B$1:$BX$550,MATCH(I$2,Kraftvärmeprod!$B$1:$VX$1,0),FALSE)/1,0)-IFERROR(VLOOKUP($B147,'Slutlig allokering kvv'!$B$2:$BX$550,MATCH(I$2,'Slutlig allokering kvv'!$B$1:$BX$1,0),FALSE)/1,0))</f>
        <v/>
      </c>
      <c r="J147" s="31" t="str">
        <f>IF($D147="","",IFERROR(VLOOKUP($B147,Kraftvärmeprod!$B$1:$BX$550,MATCH(J$2,Kraftvärmeprod!$B$1:$VX$1,0),FALSE)/1,0)-IFERROR(VLOOKUP($B147,'Slutlig allokering kvv'!$B$2:$BX$550,MATCH(J$2,'Slutlig allokering kvv'!$B$1:$BX$1,0),FALSE)/1,0))</f>
        <v/>
      </c>
      <c r="K147" s="31" t="str">
        <f>IF($D147="","",IFERROR(VLOOKUP($B147,Kraftvärmeprod!$B$1:$BX$550,MATCH(K$2,Kraftvärmeprod!$B$1:$VX$1,0),FALSE)/1,0)-IFERROR(VLOOKUP($B147,'Slutlig allokering kvv'!$B$2:$BX$550,MATCH(K$2,'Slutlig allokering kvv'!$B$1:$BX$1,0),FALSE)/1,0))</f>
        <v/>
      </c>
      <c r="L147" s="31" t="str">
        <f>IF($D147="","",IFERROR(VLOOKUP($B147,Kraftvärmeprod!$B$1:$BX$550,MATCH(L$2,Kraftvärmeprod!$B$1:$VX$1,0),FALSE)/1,0)-IFERROR(VLOOKUP($B147,'Slutlig allokering kvv'!$B$2:$BX$550,MATCH(L$2,'Slutlig allokering kvv'!$B$1:$BX$1,0),FALSE)/1,0))</f>
        <v/>
      </c>
      <c r="M147" s="31" t="str">
        <f>IF($D147="","",IFERROR(VLOOKUP($B147,Kraftvärmeprod!$B$1:$BX$550,MATCH(M$2,Kraftvärmeprod!$B$1:$VX$1,0),FALSE)/1,0)-IFERROR(VLOOKUP($B147,'Slutlig allokering kvv'!$B$2:$BX$550,MATCH(M$2,'Slutlig allokering kvv'!$B$1:$BX$1,0),FALSE)/1,0))</f>
        <v/>
      </c>
      <c r="N147" s="31" t="str">
        <f>IF($D147="","",IFERROR(VLOOKUP($B147,Kraftvärmeprod!$B$1:$BX$550,MATCH(N$2,Kraftvärmeprod!$B$1:$VX$1,0),FALSE)/1,0)-IFERROR(VLOOKUP($B147,'Slutlig allokering kvv'!$B$2:$BX$550,MATCH(N$2,'Slutlig allokering kvv'!$B$1:$BX$1,0),FALSE)/1,0))</f>
        <v/>
      </c>
      <c r="O147" s="31" t="str">
        <f>IF($D147="","",IFERROR(VLOOKUP($B147,Kraftvärmeprod!$B$1:$BX$550,MATCH(O$2,Kraftvärmeprod!$B$1:$VX$1,0),FALSE)/1,0)-IFERROR(VLOOKUP($B147,'Slutlig allokering kvv'!$B$2:$BX$550,MATCH(O$2,'Slutlig allokering kvv'!$B$1:$BX$1,0),FALSE)/1,0))</f>
        <v/>
      </c>
      <c r="P147" s="31" t="str">
        <f>IF($D147="","",IFERROR(VLOOKUP($B147,Kraftvärmeprod!$B$1:$BX$550,MATCH(P$2,Kraftvärmeprod!$B$1:$VX$1,0),FALSE)/1,0)-IFERROR(VLOOKUP($B147,'Slutlig allokering kvv'!$B$2:$BX$550,MATCH(P$2,'Slutlig allokering kvv'!$B$1:$BX$1,0),FALSE)/1,0))</f>
        <v/>
      </c>
      <c r="Q147" s="31" t="str">
        <f>IF($D147="","",IFERROR(VLOOKUP($B147,Kraftvärmeprod!$B$1:$BX$550,MATCH(Q$2,Kraftvärmeprod!$B$1:$VX$1,0),FALSE)/1,0)-IFERROR(VLOOKUP($B147,'Slutlig allokering kvv'!$B$2:$BX$550,MATCH(Q$2,'Slutlig allokering kvv'!$B$1:$BX$1,0),FALSE)/1,0))</f>
        <v/>
      </c>
      <c r="R147" s="31" t="str">
        <f>IF($D147="","",IFERROR(VLOOKUP($B147,Kraftvärmeprod!$B$1:$BX$550,MATCH(R$2,Kraftvärmeprod!$B$1:$VX$1,0),FALSE)/1,0)-IFERROR(VLOOKUP($B147,'Slutlig allokering kvv'!$B$2:$BX$550,MATCH(R$2,'Slutlig allokering kvv'!$B$1:$BX$1,0),FALSE)/1,0))</f>
        <v/>
      </c>
      <c r="S147" s="31" t="str">
        <f>IF($D147="","",IFERROR(VLOOKUP($B147,Kraftvärmeprod!$B$1:$BX$550,MATCH(S$2,Kraftvärmeprod!$B$1:$VX$1,0),FALSE)/1,0)-IFERROR(VLOOKUP($B147,'Slutlig allokering kvv'!$B$2:$BX$550,MATCH(S$2,'Slutlig allokering kvv'!$B$1:$BX$1,0),FALSE)/1,0))</f>
        <v/>
      </c>
      <c r="T147" s="31" t="str">
        <f>IF($D147="","",IFERROR(VLOOKUP($B147,Kraftvärmeprod!$B$1:$BX$550,MATCH(T$2,Kraftvärmeprod!$B$1:$VX$1,0),FALSE)/1,0)-IFERROR(VLOOKUP($B147,'Slutlig allokering kvv'!$B$2:$BX$550,MATCH(T$2,'Slutlig allokering kvv'!$B$1:$BX$1,0),FALSE)/1,0))</f>
        <v/>
      </c>
      <c r="U147" s="31" t="str">
        <f>IF($D147="","",IFERROR(VLOOKUP($B147,Kraftvärmeprod!$B$1:$BX$550,MATCH(U$2,Kraftvärmeprod!$B$1:$VX$1,0),FALSE)/1,0)-IFERROR(VLOOKUP($B147,'Slutlig allokering kvv'!$B$2:$BX$550,MATCH(U$2,'Slutlig allokering kvv'!$B$1:$BX$1,0),FALSE)/1,0))</f>
        <v/>
      </c>
      <c r="V147" s="31" t="str">
        <f>IF($D147="","",IFERROR(VLOOKUP($B147,Kraftvärmeprod!$B$1:$BX$550,MATCH(V$2,Kraftvärmeprod!$B$1:$VX$1,0),FALSE)/1,0)-IFERROR(VLOOKUP($B147,'Slutlig allokering kvv'!$B$2:$BX$550,MATCH(V$2,'Slutlig allokering kvv'!$B$1:$BX$1,0),FALSE)/1,0))</f>
        <v/>
      </c>
      <c r="W147" s="31" t="str">
        <f>IF($D147="","",IFERROR(VLOOKUP($B147,Kraftvärmeprod!$B$1:$BX$550,MATCH(W$2,Kraftvärmeprod!$B$1:$VX$1,0),FALSE)/1,0)-IFERROR(VLOOKUP($B147,'Slutlig allokering kvv'!$B$2:$BX$550,MATCH(W$2,'Slutlig allokering kvv'!$B$1:$BX$1,0),FALSE)/1,0))</f>
        <v/>
      </c>
      <c r="X147" s="31" t="str">
        <f>IF($D147="","",IFERROR(VLOOKUP($B147,Kraftvärmeprod!$B$1:$BX$550,MATCH(X$2,Kraftvärmeprod!$B$1:$VX$1,0),FALSE)/1,0)-IFERROR(VLOOKUP($B147,'Slutlig allokering kvv'!$B$2:$BX$550,MATCH(X$2,'Slutlig allokering kvv'!$B$1:$BX$1,0),FALSE)/1,0))</f>
        <v/>
      </c>
      <c r="Y147" s="31" t="str">
        <f>IF($D147="","",IFERROR(VLOOKUP($B147,Kraftvärmeprod!$B$1:$BX$550,MATCH(Y$2,Kraftvärmeprod!$B$1:$VX$1,0),FALSE)/1,0)-IFERROR(VLOOKUP($B147,'Slutlig allokering kvv'!$B$2:$BX$550,MATCH(Y$2,'Slutlig allokering kvv'!$B$1:$BX$1,0),FALSE)/1,0))</f>
        <v/>
      </c>
      <c r="Z147" s="31" t="str">
        <f>IF($D147="","",IFERROR(VLOOKUP($B147,Kraftvärmeprod!$B$1:$BX$550,MATCH(Z$2,Kraftvärmeprod!$B$1:$VX$1,0),FALSE)/1,0)-IFERROR(VLOOKUP($B147,'Slutlig allokering kvv'!$B$2:$BX$550,MATCH(Z$2,'Slutlig allokering kvv'!$B$1:$BX$1,0),FALSE)/1,0))</f>
        <v/>
      </c>
      <c r="AA147" s="31" t="str">
        <f>IF($D147="","",IFERROR(VLOOKUP($B147,Kraftvärmeprod!$B$1:$BX$550,MATCH(AA$2,Kraftvärmeprod!$B$1:$VX$1,0),FALSE)/1,0)-IFERROR(VLOOKUP($B147,'Slutlig allokering kvv'!$B$2:$BX$550,MATCH(AA$2,'Slutlig allokering kvv'!$B$1:$BX$1,0),FALSE)/1,0))</f>
        <v/>
      </c>
      <c r="AB147" s="31" t="str">
        <f>IF($D147="","",IFERROR(VLOOKUP($B147,Kraftvärmeprod!$B$1:$BX$550,MATCH(AB$2,Kraftvärmeprod!$B$1:$VX$1,0),FALSE)/1,0)-IFERROR(VLOOKUP($B147,'Slutlig allokering kvv'!$B$2:$BX$550,MATCH(AB$2,'Slutlig allokering kvv'!$B$1:$BX$1,0),FALSE)/1,0))</f>
        <v/>
      </c>
      <c r="AC147" s="31" t="str">
        <f>IF($D147="","",IFERROR(VLOOKUP($B147,Kraftvärmeprod!$B$1:$BX$550,MATCH(AC$2,Kraftvärmeprod!$B$1:$VX$1,0),FALSE)/1,0)-IFERROR(VLOOKUP($B147,'Slutlig allokering kvv'!$B$2:$BX$550,MATCH(AC$2,'Slutlig allokering kvv'!$B$1:$BX$1,0),FALSE)/1,0))</f>
        <v/>
      </c>
      <c r="AD147" s="31" t="str">
        <f>IF($D147="","",IFERROR(VLOOKUP($B147,Kraftvärmeprod!$B$1:$BX$550,MATCH(AD$2,Kraftvärmeprod!$B$1:$VX$1,0),FALSE)/1,0)-IFERROR(VLOOKUP($B147,'Slutlig allokering kvv'!$B$2:$BX$550,MATCH(AD$2,'Slutlig allokering kvv'!$B$1:$BX$1,0),FALSE)/1,0))</f>
        <v/>
      </c>
      <c r="AE147" s="31" t="str">
        <f>IF($D147="","",IFERROR(VLOOKUP($B147,Miljö!$B$1:$E$550,MATCH("Hjälpel kraftvärme (GWh)",Miljö!$B$1:$E$1,0),FALSE)/1,0)-IFERROR(VLOOKUP($B147,'Slutlig allokering kvv'!$B$2:$BX$549,MATCH(AE$2,'Slutlig allokering kvv'!$B$1:$BX$1,0),FALSE)/1,0))</f>
        <v/>
      </c>
      <c r="AI147" s="39">
        <f t="shared" si="8"/>
        <v>0</v>
      </c>
      <c r="AK147" s="31">
        <f>IFERROR(VLOOKUP($B147,'Slutlig allokering kvv'!$B$2:$AX$549,MATCH("Summa slutlig allokerad tillförd energi (utan hjälpel och rökgaskondensering):",'Slutlig allokering kvv'!$B$1:$AX$1,0),FALSE)/1,"")</f>
        <v>0</v>
      </c>
      <c r="AM147" s="31" t="str">
        <f>IFERROR(1-VLOOKUP($B147,'Slutlig allokering kvv'!$B$2:$AX$549,MATCH("Andel av bränsle i kvv som allokerats till värme, exklusive rökgaskondensering och hjälpel",'Slutlig allokering kvv'!$B$1:$AX$1,0),FALSE),"")</f>
        <v/>
      </c>
      <c r="AO147" s="31" t="str">
        <f t="shared" si="9"/>
        <v/>
      </c>
      <c r="AP147" s="31" t="str">
        <f t="shared" si="10"/>
        <v/>
      </c>
      <c r="AR147" s="32" t="str">
        <f t="shared" si="11"/>
        <v/>
      </c>
    </row>
    <row r="148" spans="1:44" s="31" customFormat="1" x14ac:dyDescent="0.45">
      <c r="A148" s="31" t="s">
        <v>472</v>
      </c>
      <c r="B148" s="31" t="s">
        <v>473</v>
      </c>
      <c r="C148" s="31" t="str">
        <f>IFERROR(VLOOKUP($B148,Kraftvärmeprod!$B$1:$AH$479,MATCH(C$2,Kraftvärmeprod!$B$1:$AG$1,0),FALSE)/1,"")</f>
        <v/>
      </c>
      <c r="D148" s="31" t="str">
        <f>IFERROR(VLOOKUP($B148,Kraftvärmeprod!$B$1:$AH$479,MATCH(D$2,Kraftvärmeprod!$B$1:$AG$1,0),FALSE)/1,"")</f>
        <v/>
      </c>
      <c r="F148" s="31" t="str">
        <f>IF($D148="","",IFERROR(VLOOKUP($B148,Kraftvärmeprod!$B$1:$BX$550,MATCH(F$2,Kraftvärmeprod!$B$1:$VX$1,0),FALSE)/1,0)-IFERROR(VLOOKUP($B148,'Slutlig allokering kvv'!$B$2:$BX$550,MATCH(F$2,'Slutlig allokering kvv'!$B$1:$BX$1,0),FALSE)/1,0))</f>
        <v/>
      </c>
      <c r="G148" s="31" t="str">
        <f>IF($D148="","",IFERROR(VLOOKUP($B148,Kraftvärmeprod!$B$1:$BX$550,MATCH(G$2,Kraftvärmeprod!$B$1:$VX$1,0),FALSE)/1,0)-IFERROR(VLOOKUP($B148,'Slutlig allokering kvv'!$B$2:$BX$550,MATCH(G$2,'Slutlig allokering kvv'!$B$1:$BX$1,0),FALSE)/1,0))</f>
        <v/>
      </c>
      <c r="H148" s="31" t="str">
        <f>IF($D148="","",IFERROR(VLOOKUP($B148,Kraftvärmeprod!$B$1:$BX$550,MATCH(H$2,Kraftvärmeprod!$B$1:$VX$1,0),FALSE)/1,0)-IFERROR(VLOOKUP($B148,'Slutlig allokering kvv'!$B$2:$BX$550,MATCH(H$2,'Slutlig allokering kvv'!$B$1:$BX$1,0),FALSE)/1,0))</f>
        <v/>
      </c>
      <c r="I148" s="31" t="str">
        <f>IF($D148="","",IFERROR(VLOOKUP($B148,Kraftvärmeprod!$B$1:$BX$550,MATCH(I$2,Kraftvärmeprod!$B$1:$VX$1,0),FALSE)/1,0)-IFERROR(VLOOKUP($B148,'Slutlig allokering kvv'!$B$2:$BX$550,MATCH(I$2,'Slutlig allokering kvv'!$B$1:$BX$1,0),FALSE)/1,0))</f>
        <v/>
      </c>
      <c r="J148" s="31" t="str">
        <f>IF($D148="","",IFERROR(VLOOKUP($B148,Kraftvärmeprod!$B$1:$BX$550,MATCH(J$2,Kraftvärmeprod!$B$1:$VX$1,0),FALSE)/1,0)-IFERROR(VLOOKUP($B148,'Slutlig allokering kvv'!$B$2:$BX$550,MATCH(J$2,'Slutlig allokering kvv'!$B$1:$BX$1,0),FALSE)/1,0))</f>
        <v/>
      </c>
      <c r="K148" s="31" t="str">
        <f>IF($D148="","",IFERROR(VLOOKUP($B148,Kraftvärmeprod!$B$1:$BX$550,MATCH(K$2,Kraftvärmeprod!$B$1:$VX$1,0),FALSE)/1,0)-IFERROR(VLOOKUP($B148,'Slutlig allokering kvv'!$B$2:$BX$550,MATCH(K$2,'Slutlig allokering kvv'!$B$1:$BX$1,0),FALSE)/1,0))</f>
        <v/>
      </c>
      <c r="L148" s="31" t="str">
        <f>IF($D148="","",IFERROR(VLOOKUP($B148,Kraftvärmeprod!$B$1:$BX$550,MATCH(L$2,Kraftvärmeprod!$B$1:$VX$1,0),FALSE)/1,0)-IFERROR(VLOOKUP($B148,'Slutlig allokering kvv'!$B$2:$BX$550,MATCH(L$2,'Slutlig allokering kvv'!$B$1:$BX$1,0),FALSE)/1,0))</f>
        <v/>
      </c>
      <c r="M148" s="31" t="str">
        <f>IF($D148="","",IFERROR(VLOOKUP($B148,Kraftvärmeprod!$B$1:$BX$550,MATCH(M$2,Kraftvärmeprod!$B$1:$VX$1,0),FALSE)/1,0)-IFERROR(VLOOKUP($B148,'Slutlig allokering kvv'!$B$2:$BX$550,MATCH(M$2,'Slutlig allokering kvv'!$B$1:$BX$1,0),FALSE)/1,0))</f>
        <v/>
      </c>
      <c r="N148" s="31" t="str">
        <f>IF($D148="","",IFERROR(VLOOKUP($B148,Kraftvärmeprod!$B$1:$BX$550,MATCH(N$2,Kraftvärmeprod!$B$1:$VX$1,0),FALSE)/1,0)-IFERROR(VLOOKUP($B148,'Slutlig allokering kvv'!$B$2:$BX$550,MATCH(N$2,'Slutlig allokering kvv'!$B$1:$BX$1,0),FALSE)/1,0))</f>
        <v/>
      </c>
      <c r="O148" s="31" t="str">
        <f>IF($D148="","",IFERROR(VLOOKUP($B148,Kraftvärmeprod!$B$1:$BX$550,MATCH(O$2,Kraftvärmeprod!$B$1:$VX$1,0),FALSE)/1,0)-IFERROR(VLOOKUP($B148,'Slutlig allokering kvv'!$B$2:$BX$550,MATCH(O$2,'Slutlig allokering kvv'!$B$1:$BX$1,0),FALSE)/1,0))</f>
        <v/>
      </c>
      <c r="P148" s="31" t="str">
        <f>IF($D148="","",IFERROR(VLOOKUP($B148,Kraftvärmeprod!$B$1:$BX$550,MATCH(P$2,Kraftvärmeprod!$B$1:$VX$1,0),FALSE)/1,0)-IFERROR(VLOOKUP($B148,'Slutlig allokering kvv'!$B$2:$BX$550,MATCH(P$2,'Slutlig allokering kvv'!$B$1:$BX$1,0),FALSE)/1,0))</f>
        <v/>
      </c>
      <c r="Q148" s="31" t="str">
        <f>IF($D148="","",IFERROR(VLOOKUP($B148,Kraftvärmeprod!$B$1:$BX$550,MATCH(Q$2,Kraftvärmeprod!$B$1:$VX$1,0),FALSE)/1,0)-IFERROR(VLOOKUP($B148,'Slutlig allokering kvv'!$B$2:$BX$550,MATCH(Q$2,'Slutlig allokering kvv'!$B$1:$BX$1,0),FALSE)/1,0))</f>
        <v/>
      </c>
      <c r="R148" s="31" t="str">
        <f>IF($D148="","",IFERROR(VLOOKUP($B148,Kraftvärmeprod!$B$1:$BX$550,MATCH(R$2,Kraftvärmeprod!$B$1:$VX$1,0),FALSE)/1,0)-IFERROR(VLOOKUP($B148,'Slutlig allokering kvv'!$B$2:$BX$550,MATCH(R$2,'Slutlig allokering kvv'!$B$1:$BX$1,0),FALSE)/1,0))</f>
        <v/>
      </c>
      <c r="S148" s="31" t="str">
        <f>IF($D148="","",IFERROR(VLOOKUP($B148,Kraftvärmeprod!$B$1:$BX$550,MATCH(S$2,Kraftvärmeprod!$B$1:$VX$1,0),FALSE)/1,0)-IFERROR(VLOOKUP($B148,'Slutlig allokering kvv'!$B$2:$BX$550,MATCH(S$2,'Slutlig allokering kvv'!$B$1:$BX$1,0),FALSE)/1,0))</f>
        <v/>
      </c>
      <c r="T148" s="31" t="str">
        <f>IF($D148="","",IFERROR(VLOOKUP($B148,Kraftvärmeprod!$B$1:$BX$550,MATCH(T$2,Kraftvärmeprod!$B$1:$VX$1,0),FALSE)/1,0)-IFERROR(VLOOKUP($B148,'Slutlig allokering kvv'!$B$2:$BX$550,MATCH(T$2,'Slutlig allokering kvv'!$B$1:$BX$1,0),FALSE)/1,0))</f>
        <v/>
      </c>
      <c r="U148" s="31" t="str">
        <f>IF($D148="","",IFERROR(VLOOKUP($B148,Kraftvärmeprod!$B$1:$BX$550,MATCH(U$2,Kraftvärmeprod!$B$1:$VX$1,0),FALSE)/1,0)-IFERROR(VLOOKUP($B148,'Slutlig allokering kvv'!$B$2:$BX$550,MATCH(U$2,'Slutlig allokering kvv'!$B$1:$BX$1,0),FALSE)/1,0))</f>
        <v/>
      </c>
      <c r="V148" s="31" t="str">
        <f>IF($D148="","",IFERROR(VLOOKUP($B148,Kraftvärmeprod!$B$1:$BX$550,MATCH(V$2,Kraftvärmeprod!$B$1:$VX$1,0),FALSE)/1,0)-IFERROR(VLOOKUP($B148,'Slutlig allokering kvv'!$B$2:$BX$550,MATCH(V$2,'Slutlig allokering kvv'!$B$1:$BX$1,0),FALSE)/1,0))</f>
        <v/>
      </c>
      <c r="W148" s="31" t="str">
        <f>IF($D148="","",IFERROR(VLOOKUP($B148,Kraftvärmeprod!$B$1:$BX$550,MATCH(W$2,Kraftvärmeprod!$B$1:$VX$1,0),FALSE)/1,0)-IFERROR(VLOOKUP($B148,'Slutlig allokering kvv'!$B$2:$BX$550,MATCH(W$2,'Slutlig allokering kvv'!$B$1:$BX$1,0),FALSE)/1,0))</f>
        <v/>
      </c>
      <c r="X148" s="31" t="str">
        <f>IF($D148="","",IFERROR(VLOOKUP($B148,Kraftvärmeprod!$B$1:$BX$550,MATCH(X$2,Kraftvärmeprod!$B$1:$VX$1,0),FALSE)/1,0)-IFERROR(VLOOKUP($B148,'Slutlig allokering kvv'!$B$2:$BX$550,MATCH(X$2,'Slutlig allokering kvv'!$B$1:$BX$1,0),FALSE)/1,0))</f>
        <v/>
      </c>
      <c r="Y148" s="31" t="str">
        <f>IF($D148="","",IFERROR(VLOOKUP($B148,Kraftvärmeprod!$B$1:$BX$550,MATCH(Y$2,Kraftvärmeprod!$B$1:$VX$1,0),FALSE)/1,0)-IFERROR(VLOOKUP($B148,'Slutlig allokering kvv'!$B$2:$BX$550,MATCH(Y$2,'Slutlig allokering kvv'!$B$1:$BX$1,0),FALSE)/1,0))</f>
        <v/>
      </c>
      <c r="Z148" s="31" t="str">
        <f>IF($D148="","",IFERROR(VLOOKUP($B148,Kraftvärmeprod!$B$1:$BX$550,MATCH(Z$2,Kraftvärmeprod!$B$1:$VX$1,0),FALSE)/1,0)-IFERROR(VLOOKUP($B148,'Slutlig allokering kvv'!$B$2:$BX$550,MATCH(Z$2,'Slutlig allokering kvv'!$B$1:$BX$1,0),FALSE)/1,0))</f>
        <v/>
      </c>
      <c r="AA148" s="31" t="str">
        <f>IF($D148="","",IFERROR(VLOOKUP($B148,Kraftvärmeprod!$B$1:$BX$550,MATCH(AA$2,Kraftvärmeprod!$B$1:$VX$1,0),FALSE)/1,0)-IFERROR(VLOOKUP($B148,'Slutlig allokering kvv'!$B$2:$BX$550,MATCH(AA$2,'Slutlig allokering kvv'!$B$1:$BX$1,0),FALSE)/1,0))</f>
        <v/>
      </c>
      <c r="AB148" s="31" t="str">
        <f>IF($D148="","",IFERROR(VLOOKUP($B148,Kraftvärmeprod!$B$1:$BX$550,MATCH(AB$2,Kraftvärmeprod!$B$1:$VX$1,0),FALSE)/1,0)-IFERROR(VLOOKUP($B148,'Slutlig allokering kvv'!$B$2:$BX$550,MATCH(AB$2,'Slutlig allokering kvv'!$B$1:$BX$1,0),FALSE)/1,0))</f>
        <v/>
      </c>
      <c r="AC148" s="31" t="str">
        <f>IF($D148="","",IFERROR(VLOOKUP($B148,Kraftvärmeprod!$B$1:$BX$550,MATCH(AC$2,Kraftvärmeprod!$B$1:$VX$1,0),FALSE)/1,0)-IFERROR(VLOOKUP($B148,'Slutlig allokering kvv'!$B$2:$BX$550,MATCH(AC$2,'Slutlig allokering kvv'!$B$1:$BX$1,0),FALSE)/1,0))</f>
        <v/>
      </c>
      <c r="AD148" s="31" t="str">
        <f>IF($D148="","",IFERROR(VLOOKUP($B148,Kraftvärmeprod!$B$1:$BX$550,MATCH(AD$2,Kraftvärmeprod!$B$1:$VX$1,0),FALSE)/1,0)-IFERROR(VLOOKUP($B148,'Slutlig allokering kvv'!$B$2:$BX$550,MATCH(AD$2,'Slutlig allokering kvv'!$B$1:$BX$1,0),FALSE)/1,0))</f>
        <v/>
      </c>
      <c r="AE148" s="31" t="str">
        <f>IF($D148="","",IFERROR(VLOOKUP($B148,Miljö!$B$1:$E$550,MATCH("Hjälpel kraftvärme (GWh)",Miljö!$B$1:$E$1,0),FALSE)/1,0)-IFERROR(VLOOKUP($B148,'Slutlig allokering kvv'!$B$2:$BX$549,MATCH(AE$2,'Slutlig allokering kvv'!$B$1:$BX$1,0),FALSE)/1,0))</f>
        <v/>
      </c>
      <c r="AI148" s="39">
        <f t="shared" si="8"/>
        <v>0</v>
      </c>
      <c r="AK148" s="31">
        <f>IFERROR(VLOOKUP($B148,'Slutlig allokering kvv'!$B$2:$AX$549,MATCH("Summa slutlig allokerad tillförd energi (utan hjälpel och rökgaskondensering):",'Slutlig allokering kvv'!$B$1:$AX$1,0),FALSE)/1,"")</f>
        <v>0</v>
      </c>
      <c r="AM148" s="31" t="str">
        <f>IFERROR(1-VLOOKUP($B148,'Slutlig allokering kvv'!$B$2:$AX$549,MATCH("Andel av bränsle i kvv som allokerats till värme, exklusive rökgaskondensering och hjälpel",'Slutlig allokering kvv'!$B$1:$AX$1,0),FALSE),"")</f>
        <v/>
      </c>
      <c r="AO148" s="31" t="str">
        <f t="shared" si="9"/>
        <v/>
      </c>
      <c r="AP148" s="31" t="str">
        <f t="shared" si="10"/>
        <v/>
      </c>
      <c r="AR148" s="32" t="str">
        <f t="shared" si="11"/>
        <v/>
      </c>
    </row>
    <row r="149" spans="1:44" s="31" customFormat="1" x14ac:dyDescent="0.45">
      <c r="A149" s="31" t="s">
        <v>472</v>
      </c>
      <c r="B149" s="31" t="s">
        <v>471</v>
      </c>
      <c r="C149" s="31" t="str">
        <f>IFERROR(VLOOKUP($B149,Kraftvärmeprod!$B$1:$AH$479,MATCH(C$2,Kraftvärmeprod!$B$1:$AG$1,0),FALSE)/1,"")</f>
        <v/>
      </c>
      <c r="D149" s="31" t="str">
        <f>IFERROR(VLOOKUP($B149,Kraftvärmeprod!$B$1:$AH$479,MATCH(D$2,Kraftvärmeprod!$B$1:$AG$1,0),FALSE)/1,"")</f>
        <v/>
      </c>
      <c r="F149" s="31" t="str">
        <f>IF($D149="","",IFERROR(VLOOKUP($B149,Kraftvärmeprod!$B$1:$BX$550,MATCH(F$2,Kraftvärmeprod!$B$1:$VX$1,0),FALSE)/1,0)-IFERROR(VLOOKUP($B149,'Slutlig allokering kvv'!$B$2:$BX$550,MATCH(F$2,'Slutlig allokering kvv'!$B$1:$BX$1,0),FALSE)/1,0))</f>
        <v/>
      </c>
      <c r="G149" s="31" t="str">
        <f>IF($D149="","",IFERROR(VLOOKUP($B149,Kraftvärmeprod!$B$1:$BX$550,MATCH(G$2,Kraftvärmeprod!$B$1:$VX$1,0),FALSE)/1,0)-IFERROR(VLOOKUP($B149,'Slutlig allokering kvv'!$B$2:$BX$550,MATCH(G$2,'Slutlig allokering kvv'!$B$1:$BX$1,0),FALSE)/1,0))</f>
        <v/>
      </c>
      <c r="H149" s="31" t="str">
        <f>IF($D149="","",IFERROR(VLOOKUP($B149,Kraftvärmeprod!$B$1:$BX$550,MATCH(H$2,Kraftvärmeprod!$B$1:$VX$1,0),FALSE)/1,0)-IFERROR(VLOOKUP($B149,'Slutlig allokering kvv'!$B$2:$BX$550,MATCH(H$2,'Slutlig allokering kvv'!$B$1:$BX$1,0),FALSE)/1,0))</f>
        <v/>
      </c>
      <c r="I149" s="31" t="str">
        <f>IF($D149="","",IFERROR(VLOOKUP($B149,Kraftvärmeprod!$B$1:$BX$550,MATCH(I$2,Kraftvärmeprod!$B$1:$VX$1,0),FALSE)/1,0)-IFERROR(VLOOKUP($B149,'Slutlig allokering kvv'!$B$2:$BX$550,MATCH(I$2,'Slutlig allokering kvv'!$B$1:$BX$1,0),FALSE)/1,0))</f>
        <v/>
      </c>
      <c r="J149" s="31" t="str">
        <f>IF($D149="","",IFERROR(VLOOKUP($B149,Kraftvärmeprod!$B$1:$BX$550,MATCH(J$2,Kraftvärmeprod!$B$1:$VX$1,0),FALSE)/1,0)-IFERROR(VLOOKUP($B149,'Slutlig allokering kvv'!$B$2:$BX$550,MATCH(J$2,'Slutlig allokering kvv'!$B$1:$BX$1,0),FALSE)/1,0))</f>
        <v/>
      </c>
      <c r="K149" s="31" t="str">
        <f>IF($D149="","",IFERROR(VLOOKUP($B149,Kraftvärmeprod!$B$1:$BX$550,MATCH(K$2,Kraftvärmeprod!$B$1:$VX$1,0),FALSE)/1,0)-IFERROR(VLOOKUP($B149,'Slutlig allokering kvv'!$B$2:$BX$550,MATCH(K$2,'Slutlig allokering kvv'!$B$1:$BX$1,0),FALSE)/1,0))</f>
        <v/>
      </c>
      <c r="L149" s="31" t="str">
        <f>IF($D149="","",IFERROR(VLOOKUP($B149,Kraftvärmeprod!$B$1:$BX$550,MATCH(L$2,Kraftvärmeprod!$B$1:$VX$1,0),FALSE)/1,0)-IFERROR(VLOOKUP($B149,'Slutlig allokering kvv'!$B$2:$BX$550,MATCH(L$2,'Slutlig allokering kvv'!$B$1:$BX$1,0),FALSE)/1,0))</f>
        <v/>
      </c>
      <c r="M149" s="31" t="str">
        <f>IF($D149="","",IFERROR(VLOOKUP($B149,Kraftvärmeprod!$B$1:$BX$550,MATCH(M$2,Kraftvärmeprod!$B$1:$VX$1,0),FALSE)/1,0)-IFERROR(VLOOKUP($B149,'Slutlig allokering kvv'!$B$2:$BX$550,MATCH(M$2,'Slutlig allokering kvv'!$B$1:$BX$1,0),FALSE)/1,0))</f>
        <v/>
      </c>
      <c r="N149" s="31" t="str">
        <f>IF($D149="","",IFERROR(VLOOKUP($B149,Kraftvärmeprod!$B$1:$BX$550,MATCH(N$2,Kraftvärmeprod!$B$1:$VX$1,0),FALSE)/1,0)-IFERROR(VLOOKUP($B149,'Slutlig allokering kvv'!$B$2:$BX$550,MATCH(N$2,'Slutlig allokering kvv'!$B$1:$BX$1,0),FALSE)/1,0))</f>
        <v/>
      </c>
      <c r="O149" s="31" t="str">
        <f>IF($D149="","",IFERROR(VLOOKUP($B149,Kraftvärmeprod!$B$1:$BX$550,MATCH(O$2,Kraftvärmeprod!$B$1:$VX$1,0),FALSE)/1,0)-IFERROR(VLOOKUP($B149,'Slutlig allokering kvv'!$B$2:$BX$550,MATCH(O$2,'Slutlig allokering kvv'!$B$1:$BX$1,0),FALSE)/1,0))</f>
        <v/>
      </c>
      <c r="P149" s="31" t="str">
        <f>IF($D149="","",IFERROR(VLOOKUP($B149,Kraftvärmeprod!$B$1:$BX$550,MATCH(P$2,Kraftvärmeprod!$B$1:$VX$1,0),FALSE)/1,0)-IFERROR(VLOOKUP($B149,'Slutlig allokering kvv'!$B$2:$BX$550,MATCH(P$2,'Slutlig allokering kvv'!$B$1:$BX$1,0),FALSE)/1,0))</f>
        <v/>
      </c>
      <c r="Q149" s="31" t="str">
        <f>IF($D149="","",IFERROR(VLOOKUP($B149,Kraftvärmeprod!$B$1:$BX$550,MATCH(Q$2,Kraftvärmeprod!$B$1:$VX$1,0),FALSE)/1,0)-IFERROR(VLOOKUP($B149,'Slutlig allokering kvv'!$B$2:$BX$550,MATCH(Q$2,'Slutlig allokering kvv'!$B$1:$BX$1,0),FALSE)/1,0))</f>
        <v/>
      </c>
      <c r="R149" s="31" t="str">
        <f>IF($D149="","",IFERROR(VLOOKUP($B149,Kraftvärmeprod!$B$1:$BX$550,MATCH(R$2,Kraftvärmeprod!$B$1:$VX$1,0),FALSE)/1,0)-IFERROR(VLOOKUP($B149,'Slutlig allokering kvv'!$B$2:$BX$550,MATCH(R$2,'Slutlig allokering kvv'!$B$1:$BX$1,0),FALSE)/1,0))</f>
        <v/>
      </c>
      <c r="S149" s="31" t="str">
        <f>IF($D149="","",IFERROR(VLOOKUP($B149,Kraftvärmeprod!$B$1:$BX$550,MATCH(S$2,Kraftvärmeprod!$B$1:$VX$1,0),FALSE)/1,0)-IFERROR(VLOOKUP($B149,'Slutlig allokering kvv'!$B$2:$BX$550,MATCH(S$2,'Slutlig allokering kvv'!$B$1:$BX$1,0),FALSE)/1,0))</f>
        <v/>
      </c>
      <c r="T149" s="31" t="str">
        <f>IF($D149="","",IFERROR(VLOOKUP($B149,Kraftvärmeprod!$B$1:$BX$550,MATCH(T$2,Kraftvärmeprod!$B$1:$VX$1,0),FALSE)/1,0)-IFERROR(VLOOKUP($B149,'Slutlig allokering kvv'!$B$2:$BX$550,MATCH(T$2,'Slutlig allokering kvv'!$B$1:$BX$1,0),FALSE)/1,0))</f>
        <v/>
      </c>
      <c r="U149" s="31" t="str">
        <f>IF($D149="","",IFERROR(VLOOKUP($B149,Kraftvärmeprod!$B$1:$BX$550,MATCH(U$2,Kraftvärmeprod!$B$1:$VX$1,0),FALSE)/1,0)-IFERROR(VLOOKUP($B149,'Slutlig allokering kvv'!$B$2:$BX$550,MATCH(U$2,'Slutlig allokering kvv'!$B$1:$BX$1,0),FALSE)/1,0))</f>
        <v/>
      </c>
      <c r="V149" s="31" t="str">
        <f>IF($D149="","",IFERROR(VLOOKUP($B149,Kraftvärmeprod!$B$1:$BX$550,MATCH(V$2,Kraftvärmeprod!$B$1:$VX$1,0),FALSE)/1,0)-IFERROR(VLOOKUP($B149,'Slutlig allokering kvv'!$B$2:$BX$550,MATCH(V$2,'Slutlig allokering kvv'!$B$1:$BX$1,0),FALSE)/1,0))</f>
        <v/>
      </c>
      <c r="W149" s="31" t="str">
        <f>IF($D149="","",IFERROR(VLOOKUP($B149,Kraftvärmeprod!$B$1:$BX$550,MATCH(W$2,Kraftvärmeprod!$B$1:$VX$1,0),FALSE)/1,0)-IFERROR(VLOOKUP($B149,'Slutlig allokering kvv'!$B$2:$BX$550,MATCH(W$2,'Slutlig allokering kvv'!$B$1:$BX$1,0),FALSE)/1,0))</f>
        <v/>
      </c>
      <c r="X149" s="31" t="str">
        <f>IF($D149="","",IFERROR(VLOOKUP($B149,Kraftvärmeprod!$B$1:$BX$550,MATCH(X$2,Kraftvärmeprod!$B$1:$VX$1,0),FALSE)/1,0)-IFERROR(VLOOKUP($B149,'Slutlig allokering kvv'!$B$2:$BX$550,MATCH(X$2,'Slutlig allokering kvv'!$B$1:$BX$1,0),FALSE)/1,0))</f>
        <v/>
      </c>
      <c r="Y149" s="31" t="str">
        <f>IF($D149="","",IFERROR(VLOOKUP($B149,Kraftvärmeprod!$B$1:$BX$550,MATCH(Y$2,Kraftvärmeprod!$B$1:$VX$1,0),FALSE)/1,0)-IFERROR(VLOOKUP($B149,'Slutlig allokering kvv'!$B$2:$BX$550,MATCH(Y$2,'Slutlig allokering kvv'!$B$1:$BX$1,0),FALSE)/1,0))</f>
        <v/>
      </c>
      <c r="Z149" s="31" t="str">
        <f>IF($D149="","",IFERROR(VLOOKUP($B149,Kraftvärmeprod!$B$1:$BX$550,MATCH(Z$2,Kraftvärmeprod!$B$1:$VX$1,0),FALSE)/1,0)-IFERROR(VLOOKUP($B149,'Slutlig allokering kvv'!$B$2:$BX$550,MATCH(Z$2,'Slutlig allokering kvv'!$B$1:$BX$1,0),FALSE)/1,0))</f>
        <v/>
      </c>
      <c r="AA149" s="31" t="str">
        <f>IF($D149="","",IFERROR(VLOOKUP($B149,Kraftvärmeprod!$B$1:$BX$550,MATCH(AA$2,Kraftvärmeprod!$B$1:$VX$1,0),FALSE)/1,0)-IFERROR(VLOOKUP($B149,'Slutlig allokering kvv'!$B$2:$BX$550,MATCH(AA$2,'Slutlig allokering kvv'!$B$1:$BX$1,0),FALSE)/1,0))</f>
        <v/>
      </c>
      <c r="AB149" s="31" t="str">
        <f>IF($D149="","",IFERROR(VLOOKUP($B149,Kraftvärmeprod!$B$1:$BX$550,MATCH(AB$2,Kraftvärmeprod!$B$1:$VX$1,0),FALSE)/1,0)-IFERROR(VLOOKUP($B149,'Slutlig allokering kvv'!$B$2:$BX$550,MATCH(AB$2,'Slutlig allokering kvv'!$B$1:$BX$1,0),FALSE)/1,0))</f>
        <v/>
      </c>
      <c r="AC149" s="31" t="str">
        <f>IF($D149="","",IFERROR(VLOOKUP($B149,Kraftvärmeprod!$B$1:$BX$550,MATCH(AC$2,Kraftvärmeprod!$B$1:$VX$1,0),FALSE)/1,0)-IFERROR(VLOOKUP($B149,'Slutlig allokering kvv'!$B$2:$BX$550,MATCH(AC$2,'Slutlig allokering kvv'!$B$1:$BX$1,0),FALSE)/1,0))</f>
        <v/>
      </c>
      <c r="AD149" s="31" t="str">
        <f>IF($D149="","",IFERROR(VLOOKUP($B149,Kraftvärmeprod!$B$1:$BX$550,MATCH(AD$2,Kraftvärmeprod!$B$1:$VX$1,0),FALSE)/1,0)-IFERROR(VLOOKUP($B149,'Slutlig allokering kvv'!$B$2:$BX$550,MATCH(AD$2,'Slutlig allokering kvv'!$B$1:$BX$1,0),FALSE)/1,0))</f>
        <v/>
      </c>
      <c r="AE149" s="31" t="str">
        <f>IF($D149="","",IFERROR(VLOOKUP($B149,Miljö!$B$1:$E$550,MATCH("Hjälpel kraftvärme (GWh)",Miljö!$B$1:$E$1,0),FALSE)/1,0)-IFERROR(VLOOKUP($B149,'Slutlig allokering kvv'!$B$2:$BX$549,MATCH(AE$2,'Slutlig allokering kvv'!$B$1:$BX$1,0),FALSE)/1,0))</f>
        <v/>
      </c>
      <c r="AI149" s="39">
        <f t="shared" si="8"/>
        <v>0</v>
      </c>
      <c r="AK149" s="31">
        <f>IFERROR(VLOOKUP($B149,'Slutlig allokering kvv'!$B$2:$AX$549,MATCH("Summa slutlig allokerad tillförd energi (utan hjälpel och rökgaskondensering):",'Slutlig allokering kvv'!$B$1:$AX$1,0),FALSE)/1,"")</f>
        <v>0</v>
      </c>
      <c r="AM149" s="31" t="str">
        <f>IFERROR(1-VLOOKUP($B149,'Slutlig allokering kvv'!$B$2:$AX$549,MATCH("Andel av bränsle i kvv som allokerats till värme, exklusive rökgaskondensering och hjälpel",'Slutlig allokering kvv'!$B$1:$AX$1,0),FALSE),"")</f>
        <v/>
      </c>
      <c r="AO149" s="31" t="str">
        <f t="shared" si="9"/>
        <v/>
      </c>
      <c r="AP149" s="31" t="str">
        <f t="shared" si="10"/>
        <v/>
      </c>
      <c r="AR149" s="32" t="str">
        <f t="shared" si="11"/>
        <v/>
      </c>
    </row>
    <row r="150" spans="1:44" s="31" customFormat="1" x14ac:dyDescent="0.45">
      <c r="A150" s="31" t="s">
        <v>470</v>
      </c>
      <c r="B150" s="31" t="s">
        <v>469</v>
      </c>
      <c r="C150" s="31" t="str">
        <f>IFERROR(VLOOKUP($B150,Kraftvärmeprod!$B$1:$AH$479,MATCH(C$2,Kraftvärmeprod!$B$1:$AG$1,0),FALSE)/1,"")</f>
        <v/>
      </c>
      <c r="D150" s="31" t="str">
        <f>IFERROR(VLOOKUP($B150,Kraftvärmeprod!$B$1:$AH$479,MATCH(D$2,Kraftvärmeprod!$B$1:$AG$1,0),FALSE)/1,"")</f>
        <v/>
      </c>
      <c r="F150" s="31" t="str">
        <f>IF($D150="","",IFERROR(VLOOKUP($B150,Kraftvärmeprod!$B$1:$BX$550,MATCH(F$2,Kraftvärmeprod!$B$1:$VX$1,0),FALSE)/1,0)-IFERROR(VLOOKUP($B150,'Slutlig allokering kvv'!$B$2:$BX$550,MATCH(F$2,'Slutlig allokering kvv'!$B$1:$BX$1,0),FALSE)/1,0))</f>
        <v/>
      </c>
      <c r="G150" s="31" t="str">
        <f>IF($D150="","",IFERROR(VLOOKUP($B150,Kraftvärmeprod!$B$1:$BX$550,MATCH(G$2,Kraftvärmeprod!$B$1:$VX$1,0),FALSE)/1,0)-IFERROR(VLOOKUP($B150,'Slutlig allokering kvv'!$B$2:$BX$550,MATCH(G$2,'Slutlig allokering kvv'!$B$1:$BX$1,0),FALSE)/1,0))</f>
        <v/>
      </c>
      <c r="H150" s="31" t="str">
        <f>IF($D150="","",IFERROR(VLOOKUP($B150,Kraftvärmeprod!$B$1:$BX$550,MATCH(H$2,Kraftvärmeprod!$B$1:$VX$1,0),FALSE)/1,0)-IFERROR(VLOOKUP($B150,'Slutlig allokering kvv'!$B$2:$BX$550,MATCH(H$2,'Slutlig allokering kvv'!$B$1:$BX$1,0),FALSE)/1,0))</f>
        <v/>
      </c>
      <c r="I150" s="31" t="str">
        <f>IF($D150="","",IFERROR(VLOOKUP($B150,Kraftvärmeprod!$B$1:$BX$550,MATCH(I$2,Kraftvärmeprod!$B$1:$VX$1,0),FALSE)/1,0)-IFERROR(VLOOKUP($B150,'Slutlig allokering kvv'!$B$2:$BX$550,MATCH(I$2,'Slutlig allokering kvv'!$B$1:$BX$1,0),FALSE)/1,0))</f>
        <v/>
      </c>
      <c r="J150" s="31" t="str">
        <f>IF($D150="","",IFERROR(VLOOKUP($B150,Kraftvärmeprod!$B$1:$BX$550,MATCH(J$2,Kraftvärmeprod!$B$1:$VX$1,0),FALSE)/1,0)-IFERROR(VLOOKUP($B150,'Slutlig allokering kvv'!$B$2:$BX$550,MATCH(J$2,'Slutlig allokering kvv'!$B$1:$BX$1,0),FALSE)/1,0))</f>
        <v/>
      </c>
      <c r="K150" s="31" t="str">
        <f>IF($D150="","",IFERROR(VLOOKUP($B150,Kraftvärmeprod!$B$1:$BX$550,MATCH(K$2,Kraftvärmeprod!$B$1:$VX$1,0),FALSE)/1,0)-IFERROR(VLOOKUP($B150,'Slutlig allokering kvv'!$B$2:$BX$550,MATCH(K$2,'Slutlig allokering kvv'!$B$1:$BX$1,0),FALSE)/1,0))</f>
        <v/>
      </c>
      <c r="L150" s="31" t="str">
        <f>IF($D150="","",IFERROR(VLOOKUP($B150,Kraftvärmeprod!$B$1:$BX$550,MATCH(L$2,Kraftvärmeprod!$B$1:$VX$1,0),FALSE)/1,0)-IFERROR(VLOOKUP($B150,'Slutlig allokering kvv'!$B$2:$BX$550,MATCH(L$2,'Slutlig allokering kvv'!$B$1:$BX$1,0),FALSE)/1,0))</f>
        <v/>
      </c>
      <c r="M150" s="31" t="str">
        <f>IF($D150="","",IFERROR(VLOOKUP($B150,Kraftvärmeprod!$B$1:$BX$550,MATCH(M$2,Kraftvärmeprod!$B$1:$VX$1,0),FALSE)/1,0)-IFERROR(VLOOKUP($B150,'Slutlig allokering kvv'!$B$2:$BX$550,MATCH(M$2,'Slutlig allokering kvv'!$B$1:$BX$1,0),FALSE)/1,0))</f>
        <v/>
      </c>
      <c r="N150" s="31" t="str">
        <f>IF($D150="","",IFERROR(VLOOKUP($B150,Kraftvärmeprod!$B$1:$BX$550,MATCH(N$2,Kraftvärmeprod!$B$1:$VX$1,0),FALSE)/1,0)-IFERROR(VLOOKUP($B150,'Slutlig allokering kvv'!$B$2:$BX$550,MATCH(N$2,'Slutlig allokering kvv'!$B$1:$BX$1,0),FALSE)/1,0))</f>
        <v/>
      </c>
      <c r="O150" s="31" t="str">
        <f>IF($D150="","",IFERROR(VLOOKUP($B150,Kraftvärmeprod!$B$1:$BX$550,MATCH(O$2,Kraftvärmeprod!$B$1:$VX$1,0),FALSE)/1,0)-IFERROR(VLOOKUP($B150,'Slutlig allokering kvv'!$B$2:$BX$550,MATCH(O$2,'Slutlig allokering kvv'!$B$1:$BX$1,0),FALSE)/1,0))</f>
        <v/>
      </c>
      <c r="P150" s="31" t="str">
        <f>IF($D150="","",IFERROR(VLOOKUP($B150,Kraftvärmeprod!$B$1:$BX$550,MATCH(P$2,Kraftvärmeprod!$B$1:$VX$1,0),FALSE)/1,0)-IFERROR(VLOOKUP($B150,'Slutlig allokering kvv'!$B$2:$BX$550,MATCH(P$2,'Slutlig allokering kvv'!$B$1:$BX$1,0),FALSE)/1,0))</f>
        <v/>
      </c>
      <c r="Q150" s="31" t="str">
        <f>IF($D150="","",IFERROR(VLOOKUP($B150,Kraftvärmeprod!$B$1:$BX$550,MATCH(Q$2,Kraftvärmeprod!$B$1:$VX$1,0),FALSE)/1,0)-IFERROR(VLOOKUP($B150,'Slutlig allokering kvv'!$B$2:$BX$550,MATCH(Q$2,'Slutlig allokering kvv'!$B$1:$BX$1,0),FALSE)/1,0))</f>
        <v/>
      </c>
      <c r="R150" s="31" t="str">
        <f>IF($D150="","",IFERROR(VLOOKUP($B150,Kraftvärmeprod!$B$1:$BX$550,MATCH(R$2,Kraftvärmeprod!$B$1:$VX$1,0),FALSE)/1,0)-IFERROR(VLOOKUP($B150,'Slutlig allokering kvv'!$B$2:$BX$550,MATCH(R$2,'Slutlig allokering kvv'!$B$1:$BX$1,0),FALSE)/1,0))</f>
        <v/>
      </c>
      <c r="S150" s="31" t="str">
        <f>IF($D150="","",IFERROR(VLOOKUP($B150,Kraftvärmeprod!$B$1:$BX$550,MATCH(S$2,Kraftvärmeprod!$B$1:$VX$1,0),FALSE)/1,0)-IFERROR(VLOOKUP($B150,'Slutlig allokering kvv'!$B$2:$BX$550,MATCH(S$2,'Slutlig allokering kvv'!$B$1:$BX$1,0),FALSE)/1,0))</f>
        <v/>
      </c>
      <c r="T150" s="31" t="str">
        <f>IF($D150="","",IFERROR(VLOOKUP($B150,Kraftvärmeprod!$B$1:$BX$550,MATCH(T$2,Kraftvärmeprod!$B$1:$VX$1,0),FALSE)/1,0)-IFERROR(VLOOKUP($B150,'Slutlig allokering kvv'!$B$2:$BX$550,MATCH(T$2,'Slutlig allokering kvv'!$B$1:$BX$1,0),FALSE)/1,0))</f>
        <v/>
      </c>
      <c r="U150" s="31" t="str">
        <f>IF($D150="","",IFERROR(VLOOKUP($B150,Kraftvärmeprod!$B$1:$BX$550,MATCH(U$2,Kraftvärmeprod!$B$1:$VX$1,0),FALSE)/1,0)-IFERROR(VLOOKUP($B150,'Slutlig allokering kvv'!$B$2:$BX$550,MATCH(U$2,'Slutlig allokering kvv'!$B$1:$BX$1,0),FALSE)/1,0))</f>
        <v/>
      </c>
      <c r="V150" s="31" t="str">
        <f>IF($D150="","",IFERROR(VLOOKUP($B150,Kraftvärmeprod!$B$1:$BX$550,MATCH(V$2,Kraftvärmeprod!$B$1:$VX$1,0),FALSE)/1,0)-IFERROR(VLOOKUP($B150,'Slutlig allokering kvv'!$B$2:$BX$550,MATCH(V$2,'Slutlig allokering kvv'!$B$1:$BX$1,0),FALSE)/1,0))</f>
        <v/>
      </c>
      <c r="W150" s="31" t="str">
        <f>IF($D150="","",IFERROR(VLOOKUP($B150,Kraftvärmeprod!$B$1:$BX$550,MATCH(W$2,Kraftvärmeprod!$B$1:$VX$1,0),FALSE)/1,0)-IFERROR(VLOOKUP($B150,'Slutlig allokering kvv'!$B$2:$BX$550,MATCH(W$2,'Slutlig allokering kvv'!$B$1:$BX$1,0),FALSE)/1,0))</f>
        <v/>
      </c>
      <c r="X150" s="31" t="str">
        <f>IF($D150="","",IFERROR(VLOOKUP($B150,Kraftvärmeprod!$B$1:$BX$550,MATCH(X$2,Kraftvärmeprod!$B$1:$VX$1,0),FALSE)/1,0)-IFERROR(VLOOKUP($B150,'Slutlig allokering kvv'!$B$2:$BX$550,MATCH(X$2,'Slutlig allokering kvv'!$B$1:$BX$1,0),FALSE)/1,0))</f>
        <v/>
      </c>
      <c r="Y150" s="31" t="str">
        <f>IF($D150="","",IFERROR(VLOOKUP($B150,Kraftvärmeprod!$B$1:$BX$550,MATCH(Y$2,Kraftvärmeprod!$B$1:$VX$1,0),FALSE)/1,0)-IFERROR(VLOOKUP($B150,'Slutlig allokering kvv'!$B$2:$BX$550,MATCH(Y$2,'Slutlig allokering kvv'!$B$1:$BX$1,0),FALSE)/1,0))</f>
        <v/>
      </c>
      <c r="Z150" s="31" t="str">
        <f>IF($D150="","",IFERROR(VLOOKUP($B150,Kraftvärmeprod!$B$1:$BX$550,MATCH(Z$2,Kraftvärmeprod!$B$1:$VX$1,0),FALSE)/1,0)-IFERROR(VLOOKUP($B150,'Slutlig allokering kvv'!$B$2:$BX$550,MATCH(Z$2,'Slutlig allokering kvv'!$B$1:$BX$1,0),FALSE)/1,0))</f>
        <v/>
      </c>
      <c r="AA150" s="31" t="str">
        <f>IF($D150="","",IFERROR(VLOOKUP($B150,Kraftvärmeprod!$B$1:$BX$550,MATCH(AA$2,Kraftvärmeprod!$B$1:$VX$1,0),FALSE)/1,0)-IFERROR(VLOOKUP($B150,'Slutlig allokering kvv'!$B$2:$BX$550,MATCH(AA$2,'Slutlig allokering kvv'!$B$1:$BX$1,0),FALSE)/1,0))</f>
        <v/>
      </c>
      <c r="AB150" s="31" t="str">
        <f>IF($D150="","",IFERROR(VLOOKUP($B150,Kraftvärmeprod!$B$1:$BX$550,MATCH(AB$2,Kraftvärmeprod!$B$1:$VX$1,0),FALSE)/1,0)-IFERROR(VLOOKUP($B150,'Slutlig allokering kvv'!$B$2:$BX$550,MATCH(AB$2,'Slutlig allokering kvv'!$B$1:$BX$1,0),FALSE)/1,0))</f>
        <v/>
      </c>
      <c r="AC150" s="31" t="str">
        <f>IF($D150="","",IFERROR(VLOOKUP($B150,Kraftvärmeprod!$B$1:$BX$550,MATCH(AC$2,Kraftvärmeprod!$B$1:$VX$1,0),FALSE)/1,0)-IFERROR(VLOOKUP($B150,'Slutlig allokering kvv'!$B$2:$BX$550,MATCH(AC$2,'Slutlig allokering kvv'!$B$1:$BX$1,0),FALSE)/1,0))</f>
        <v/>
      </c>
      <c r="AD150" s="31" t="str">
        <f>IF($D150="","",IFERROR(VLOOKUP($B150,Kraftvärmeprod!$B$1:$BX$550,MATCH(AD$2,Kraftvärmeprod!$B$1:$VX$1,0),FALSE)/1,0)-IFERROR(VLOOKUP($B150,'Slutlig allokering kvv'!$B$2:$BX$550,MATCH(AD$2,'Slutlig allokering kvv'!$B$1:$BX$1,0),FALSE)/1,0))</f>
        <v/>
      </c>
      <c r="AE150" s="31" t="str">
        <f>IF($D150="","",IFERROR(VLOOKUP($B150,Miljö!$B$1:$E$550,MATCH("Hjälpel kraftvärme (GWh)",Miljö!$B$1:$E$1,0),FALSE)/1,0)-IFERROR(VLOOKUP($B150,'Slutlig allokering kvv'!$B$2:$BX$549,MATCH(AE$2,'Slutlig allokering kvv'!$B$1:$BX$1,0),FALSE)/1,0))</f>
        <v/>
      </c>
      <c r="AI150" s="39">
        <f t="shared" si="8"/>
        <v>0</v>
      </c>
      <c r="AK150" s="31">
        <f>IFERROR(VLOOKUP($B150,'Slutlig allokering kvv'!$B$2:$AX$549,MATCH("Summa slutlig allokerad tillförd energi (utan hjälpel och rökgaskondensering):",'Slutlig allokering kvv'!$B$1:$AX$1,0),FALSE)/1,"")</f>
        <v>0</v>
      </c>
      <c r="AM150" s="31" t="str">
        <f>IFERROR(1-VLOOKUP($B150,'Slutlig allokering kvv'!$B$2:$AX$549,MATCH("Andel av bränsle i kvv som allokerats till värme, exklusive rökgaskondensering och hjälpel",'Slutlig allokering kvv'!$B$1:$AX$1,0),FALSE),"")</f>
        <v/>
      </c>
      <c r="AO150" s="31" t="str">
        <f t="shared" si="9"/>
        <v/>
      </c>
      <c r="AP150" s="31" t="str">
        <f t="shared" si="10"/>
        <v/>
      </c>
      <c r="AR150" s="32" t="str">
        <f t="shared" si="11"/>
        <v/>
      </c>
    </row>
    <row r="151" spans="1:44" s="31" customFormat="1" x14ac:dyDescent="0.45">
      <c r="A151" s="31" t="s">
        <v>467</v>
      </c>
      <c r="B151" s="31" t="s">
        <v>466</v>
      </c>
      <c r="C151" s="31">
        <f>IFERROR(VLOOKUP($B151,Kraftvärmeprod!$B$1:$AH$479,MATCH(C$2,Kraftvärmeprod!$B$1:$AG$1,0),FALSE)/1,"")</f>
        <v>66.456999999999994</v>
      </c>
      <c r="D151" s="31">
        <f>IFERROR(VLOOKUP($B151,Kraftvärmeprod!$B$1:$AH$479,MATCH(D$2,Kraftvärmeprod!$B$1:$AG$1,0),FALSE)/1,"")</f>
        <v>10.099</v>
      </c>
      <c r="F151" s="31">
        <f>IF($D151="","",IFERROR(VLOOKUP($B151,Kraftvärmeprod!$B$1:$BX$550,MATCH(F$2,Kraftvärmeprod!$B$1:$VX$1,0),FALSE)/1,0)-IFERROR(VLOOKUP($B151,'Slutlig allokering kvv'!$B$2:$BX$550,MATCH(F$2,'Slutlig allokering kvv'!$B$1:$BX$1,0),FALSE)/1,0))</f>
        <v>0</v>
      </c>
      <c r="G151" s="31">
        <f>IF($D151="","",IFERROR(VLOOKUP($B151,Kraftvärmeprod!$B$1:$BX$550,MATCH(G$2,Kraftvärmeprod!$B$1:$VX$1,0),FALSE)/1,0)-IFERROR(VLOOKUP($B151,'Slutlig allokering kvv'!$B$2:$BX$550,MATCH(G$2,'Slutlig allokering kvv'!$B$1:$BX$1,0),FALSE)/1,0))</f>
        <v>0</v>
      </c>
      <c r="H151" s="31">
        <f>IF($D151="","",IFERROR(VLOOKUP($B151,Kraftvärmeprod!$B$1:$BX$550,MATCH(H$2,Kraftvärmeprod!$B$1:$VX$1,0),FALSE)/1,0)-IFERROR(VLOOKUP($B151,'Slutlig allokering kvv'!$B$2:$BX$550,MATCH(H$2,'Slutlig allokering kvv'!$B$1:$BX$1,0),FALSE)/1,0))</f>
        <v>0</v>
      </c>
      <c r="I151" s="31">
        <f>IF($D151="","",IFERROR(VLOOKUP($B151,Kraftvärmeprod!$B$1:$BX$550,MATCH(I$2,Kraftvärmeprod!$B$1:$VX$1,0),FALSE)/1,0)-IFERROR(VLOOKUP($B151,'Slutlig allokering kvv'!$B$2:$BX$550,MATCH(I$2,'Slutlig allokering kvv'!$B$1:$BX$1,0),FALSE)/1,0))</f>
        <v>0</v>
      </c>
      <c r="J151" s="31">
        <f>IF($D151="","",IFERROR(VLOOKUP($B151,Kraftvärmeprod!$B$1:$BX$550,MATCH(J$2,Kraftvärmeprod!$B$1:$VX$1,0),FALSE)/1,0)-IFERROR(VLOOKUP($B151,'Slutlig allokering kvv'!$B$2:$BX$550,MATCH(J$2,'Slutlig allokering kvv'!$B$1:$BX$1,0),FALSE)/1,0))</f>
        <v>0</v>
      </c>
      <c r="K151" s="31">
        <f>IF($D151="","",IFERROR(VLOOKUP($B151,Kraftvärmeprod!$B$1:$BX$550,MATCH(K$2,Kraftvärmeprod!$B$1:$VX$1,0),FALSE)/1,0)-IFERROR(VLOOKUP($B151,'Slutlig allokering kvv'!$B$2:$BX$550,MATCH(K$2,'Slutlig allokering kvv'!$B$1:$BX$1,0),FALSE)/1,0))</f>
        <v>0</v>
      </c>
      <c r="L151" s="31">
        <f>IF($D151="","",IFERROR(VLOOKUP($B151,Kraftvärmeprod!$B$1:$BX$550,MATCH(L$2,Kraftvärmeprod!$B$1:$VX$1,0),FALSE)/1,0)-IFERROR(VLOOKUP($B151,'Slutlig allokering kvv'!$B$2:$BX$550,MATCH(L$2,'Slutlig allokering kvv'!$B$1:$BX$1,0),FALSE)/1,0))</f>
        <v>0</v>
      </c>
      <c r="M151" s="31">
        <f>IF($D151="","",IFERROR(VLOOKUP($B151,Kraftvärmeprod!$B$1:$BX$550,MATCH(M$2,Kraftvärmeprod!$B$1:$VX$1,0),FALSE)/1,0)-IFERROR(VLOOKUP($B151,'Slutlig allokering kvv'!$B$2:$BX$550,MATCH(M$2,'Slutlig allokering kvv'!$B$1:$BX$1,0),FALSE)/1,0))</f>
        <v>0</v>
      </c>
      <c r="N151" s="31">
        <f>IF($D151="","",IFERROR(VLOOKUP($B151,Kraftvärmeprod!$B$1:$BX$550,MATCH(N$2,Kraftvärmeprod!$B$1:$VX$1,0),FALSE)/1,0)-IFERROR(VLOOKUP($B151,'Slutlig allokering kvv'!$B$2:$BX$550,MATCH(N$2,'Slutlig allokering kvv'!$B$1:$BX$1,0),FALSE)/1,0))</f>
        <v>0</v>
      </c>
      <c r="O151" s="31">
        <f>IF($D151="","",IFERROR(VLOOKUP($B151,Kraftvärmeprod!$B$1:$BX$550,MATCH(O$2,Kraftvärmeprod!$B$1:$VX$1,0),FALSE)/1,0)-IFERROR(VLOOKUP($B151,'Slutlig allokering kvv'!$B$2:$BX$550,MATCH(O$2,'Slutlig allokering kvv'!$B$1:$BX$1,0),FALSE)/1,0))</f>
        <v>0</v>
      </c>
      <c r="P151" s="31">
        <f>IF($D151="","",IFERROR(VLOOKUP($B151,Kraftvärmeprod!$B$1:$BX$550,MATCH(P$2,Kraftvärmeprod!$B$1:$VX$1,0),FALSE)/1,0)-IFERROR(VLOOKUP($B151,'Slutlig allokering kvv'!$B$2:$BX$550,MATCH(P$2,'Slutlig allokering kvv'!$B$1:$BX$1,0),FALSE)/1,0))</f>
        <v>0</v>
      </c>
      <c r="Q151" s="31">
        <f>IF($D151="","",IFERROR(VLOOKUP($B151,Kraftvärmeprod!$B$1:$BX$550,MATCH(Q$2,Kraftvärmeprod!$B$1:$VX$1,0),FALSE)/1,0)-IFERROR(VLOOKUP($B151,'Slutlig allokering kvv'!$B$2:$BX$550,MATCH(Q$2,'Slutlig allokering kvv'!$B$1:$BX$1,0),FALSE)/1,0))</f>
        <v>0</v>
      </c>
      <c r="R151" s="31">
        <f>IF($D151="","",IFERROR(VLOOKUP($B151,Kraftvärmeprod!$B$1:$BX$550,MATCH(R$2,Kraftvärmeprod!$B$1:$VX$1,0),FALSE)/1,0)-IFERROR(VLOOKUP($B151,'Slutlig allokering kvv'!$B$2:$BX$550,MATCH(R$2,'Slutlig allokering kvv'!$B$1:$BX$1,0),FALSE)/1,0))</f>
        <v>0</v>
      </c>
      <c r="S151" s="31">
        <f>IF($D151="","",IFERROR(VLOOKUP($B151,Kraftvärmeprod!$B$1:$BX$550,MATCH(S$2,Kraftvärmeprod!$B$1:$VX$1,0),FALSE)/1,0)-IFERROR(VLOOKUP($B151,'Slutlig allokering kvv'!$B$2:$BX$550,MATCH(S$2,'Slutlig allokering kvv'!$B$1:$BX$1,0),FALSE)/1,0))</f>
        <v>0</v>
      </c>
      <c r="T151" s="31">
        <f>IF($D151="","",IFERROR(VLOOKUP($B151,Kraftvärmeprod!$B$1:$BX$550,MATCH(T$2,Kraftvärmeprod!$B$1:$VX$1,0),FALSE)/1,0)-IFERROR(VLOOKUP($B151,'Slutlig allokering kvv'!$B$2:$BX$550,MATCH(T$2,'Slutlig allokering kvv'!$B$1:$BX$1,0),FALSE)/1,0))</f>
        <v>0</v>
      </c>
      <c r="U151" s="31">
        <f>IF($D151="","",IFERROR(VLOOKUP($B151,Kraftvärmeprod!$B$1:$BX$550,MATCH(U$2,Kraftvärmeprod!$B$1:$VX$1,0),FALSE)/1,0)-IFERROR(VLOOKUP($B151,'Slutlig allokering kvv'!$B$2:$BX$550,MATCH(U$2,'Slutlig allokering kvv'!$B$1:$BX$1,0),FALSE)/1,0))</f>
        <v>0</v>
      </c>
      <c r="V151" s="31">
        <f>IF($D151="","",IFERROR(VLOOKUP($B151,Kraftvärmeprod!$B$1:$BX$550,MATCH(V$2,Kraftvärmeprod!$B$1:$VX$1,0),FALSE)/1,0)-IFERROR(VLOOKUP($B151,'Slutlig allokering kvv'!$B$2:$BX$550,MATCH(V$2,'Slutlig allokering kvv'!$B$1:$BX$1,0),FALSE)/1,0))</f>
        <v>0</v>
      </c>
      <c r="W151" s="31">
        <f>IF($D151="","",IFERROR(VLOOKUP($B151,Kraftvärmeprod!$B$1:$BX$550,MATCH(W$2,Kraftvärmeprod!$B$1:$VX$1,0),FALSE)/1,0)-IFERROR(VLOOKUP($B151,'Slutlig allokering kvv'!$B$2:$BX$550,MATCH(W$2,'Slutlig allokering kvv'!$B$1:$BX$1,0),FALSE)/1,0))</f>
        <v>0</v>
      </c>
      <c r="X151" s="31">
        <f>IF($D151="","",IFERROR(VLOOKUP($B151,Kraftvärmeprod!$B$1:$BX$550,MATCH(X$2,Kraftvärmeprod!$B$1:$VX$1,0),FALSE)/1,0)-IFERROR(VLOOKUP($B151,'Slutlig allokering kvv'!$B$2:$BX$550,MATCH(X$2,'Slutlig allokering kvv'!$B$1:$BX$1,0),FALSE)/1,0))</f>
        <v>0</v>
      </c>
      <c r="Y151" s="31">
        <f>IF($D151="","",IFERROR(VLOOKUP($B151,Kraftvärmeprod!$B$1:$BX$550,MATCH(Y$2,Kraftvärmeprod!$B$1:$VX$1,0),FALSE)/1,0)-IFERROR(VLOOKUP($B151,'Slutlig allokering kvv'!$B$2:$BX$550,MATCH(Y$2,'Slutlig allokering kvv'!$B$1:$BX$1,0),FALSE)/1,0))</f>
        <v>0</v>
      </c>
      <c r="Z151" s="31">
        <f>IF($D151="","",IFERROR(VLOOKUP($B151,Kraftvärmeprod!$B$1:$BX$550,MATCH(Z$2,Kraftvärmeprod!$B$1:$VX$1,0),FALSE)/1,0)-IFERROR(VLOOKUP($B151,'Slutlig allokering kvv'!$B$2:$BX$550,MATCH(Z$2,'Slutlig allokering kvv'!$B$1:$BX$1,0),FALSE)/1,0))</f>
        <v>0</v>
      </c>
      <c r="AA151" s="31">
        <f>IF($D151="","",IFERROR(VLOOKUP($B151,Kraftvärmeprod!$B$1:$BX$550,MATCH(AA$2,Kraftvärmeprod!$B$1:$VX$1,0),FALSE)/1,0)-IFERROR(VLOOKUP($B151,'Slutlig allokering kvv'!$B$2:$BX$550,MATCH(AA$2,'Slutlig allokering kvv'!$B$1:$BX$1,0),FALSE)/1,0))</f>
        <v>12.387700000000002</v>
      </c>
      <c r="AB151" s="31">
        <f>IF($D151="","",IFERROR(VLOOKUP($B151,Kraftvärmeprod!$B$1:$BX$550,MATCH(AB$2,Kraftvärmeprod!$B$1:$VX$1,0),FALSE)/1,0)-IFERROR(VLOOKUP($B151,'Slutlig allokering kvv'!$B$2:$BX$550,MATCH(AB$2,'Slutlig allokering kvv'!$B$1:$BX$1,0),FALSE)/1,0))</f>
        <v>0</v>
      </c>
      <c r="AC151" s="31">
        <f>IF($D151="","",IFERROR(VLOOKUP($B151,Kraftvärmeprod!$B$1:$BX$550,MATCH(AC$2,Kraftvärmeprod!$B$1:$VX$1,0),FALSE)/1,0)-IFERROR(VLOOKUP($B151,'Slutlig allokering kvv'!$B$2:$BX$550,MATCH(AC$2,'Slutlig allokering kvv'!$B$1:$BX$1,0),FALSE)/1,0))</f>
        <v>0</v>
      </c>
      <c r="AD151" s="31">
        <f>IF($D151="","",IFERROR(VLOOKUP($B151,Kraftvärmeprod!$B$1:$BX$550,MATCH(AD$2,Kraftvärmeprod!$B$1:$VX$1,0),FALSE)/1,0)-IFERROR(VLOOKUP($B151,'Slutlig allokering kvv'!$B$2:$BX$550,MATCH(AD$2,'Slutlig allokering kvv'!$B$1:$BX$1,0),FALSE)/1,0))</f>
        <v>0</v>
      </c>
      <c r="AE151" s="31">
        <f>IF($D151="","",IFERROR(VLOOKUP($B151,Miljö!$B$1:$E$550,MATCH("Hjälpel kraftvärme (GWh)",Miljö!$B$1:$E$1,0),FALSE)/1,0)-IFERROR(VLOOKUP($B151,'Slutlig allokering kvv'!$B$2:$BX$549,MATCH(AE$2,'Slutlig allokering kvv'!$B$1:$BX$1,0),FALSE)/1,0))</f>
        <v>0</v>
      </c>
      <c r="AI151" s="39">
        <f t="shared" si="8"/>
        <v>12.387700000000002</v>
      </c>
      <c r="AK151" s="31">
        <f>IFERROR(VLOOKUP($B151,'Slutlig allokering kvv'!$B$2:$AX$549,MATCH("Summa slutlig allokerad tillförd energi (utan hjälpel och rökgaskondensering):",'Slutlig allokering kvv'!$B$1:$AX$1,0),FALSE)/1,"")</f>
        <v>25.474299999999999</v>
      </c>
      <c r="AM151" s="31">
        <f>IFERROR(1-VLOOKUP($B151,'Slutlig allokering kvv'!$B$2:$AX$549,MATCH("Andel av bränsle i kvv som allokerats till värme, exklusive rökgaskondensering och hjälpel",'Slutlig allokering kvv'!$B$1:$AX$1,0),FALSE),"")</f>
        <v>0.32718028630288953</v>
      </c>
      <c r="AO151" s="31">
        <f t="shared" si="9"/>
        <v>0.32718028630288948</v>
      </c>
      <c r="AP151" s="31">
        <f t="shared" si="10"/>
        <v>5.5511151231257827E-17</v>
      </c>
      <c r="AR151" s="32">
        <f t="shared" si="11"/>
        <v>0.8152441534748176</v>
      </c>
    </row>
    <row r="152" spans="1:44" s="31" customFormat="1" x14ac:dyDescent="0.45">
      <c r="A152" s="31" t="s">
        <v>467</v>
      </c>
      <c r="B152" s="31" t="s">
        <v>468</v>
      </c>
      <c r="C152" s="31">
        <f>IFERROR(VLOOKUP($B152,Kraftvärmeprod!$B$1:$AH$479,MATCH(C$2,Kraftvärmeprod!$B$1:$AG$1,0),FALSE)/1,"")</f>
        <v>64.001999999999995</v>
      </c>
      <c r="D152" s="31" t="str">
        <f>IFERROR(VLOOKUP($B152,Kraftvärmeprod!$B$1:$AH$479,MATCH(D$2,Kraftvärmeprod!$B$1:$AG$1,0),FALSE)/1,"")</f>
        <v/>
      </c>
      <c r="F152" s="31" t="str">
        <f>IF($D152="","",IFERROR(VLOOKUP($B152,Kraftvärmeprod!$B$1:$BX$550,MATCH(F$2,Kraftvärmeprod!$B$1:$VX$1,0),FALSE)/1,0)-IFERROR(VLOOKUP($B152,'Slutlig allokering kvv'!$B$2:$BX$550,MATCH(F$2,'Slutlig allokering kvv'!$B$1:$BX$1,0),FALSE)/1,0))</f>
        <v/>
      </c>
      <c r="G152" s="31" t="str">
        <f>IF($D152="","",IFERROR(VLOOKUP($B152,Kraftvärmeprod!$B$1:$BX$550,MATCH(G$2,Kraftvärmeprod!$B$1:$VX$1,0),FALSE)/1,0)-IFERROR(VLOOKUP($B152,'Slutlig allokering kvv'!$B$2:$BX$550,MATCH(G$2,'Slutlig allokering kvv'!$B$1:$BX$1,0),FALSE)/1,0))</f>
        <v/>
      </c>
      <c r="H152" s="31" t="str">
        <f>IF($D152="","",IFERROR(VLOOKUP($B152,Kraftvärmeprod!$B$1:$BX$550,MATCH(H$2,Kraftvärmeprod!$B$1:$VX$1,0),FALSE)/1,0)-IFERROR(VLOOKUP($B152,'Slutlig allokering kvv'!$B$2:$BX$550,MATCH(H$2,'Slutlig allokering kvv'!$B$1:$BX$1,0),FALSE)/1,0))</f>
        <v/>
      </c>
      <c r="I152" s="31" t="str">
        <f>IF($D152="","",IFERROR(VLOOKUP($B152,Kraftvärmeprod!$B$1:$BX$550,MATCH(I$2,Kraftvärmeprod!$B$1:$VX$1,0),FALSE)/1,0)-IFERROR(VLOOKUP($B152,'Slutlig allokering kvv'!$B$2:$BX$550,MATCH(I$2,'Slutlig allokering kvv'!$B$1:$BX$1,0),FALSE)/1,0))</f>
        <v/>
      </c>
      <c r="J152" s="31" t="str">
        <f>IF($D152="","",IFERROR(VLOOKUP($B152,Kraftvärmeprod!$B$1:$BX$550,MATCH(J$2,Kraftvärmeprod!$B$1:$VX$1,0),FALSE)/1,0)-IFERROR(VLOOKUP($B152,'Slutlig allokering kvv'!$B$2:$BX$550,MATCH(J$2,'Slutlig allokering kvv'!$B$1:$BX$1,0),FALSE)/1,0))</f>
        <v/>
      </c>
      <c r="K152" s="31" t="str">
        <f>IF($D152="","",IFERROR(VLOOKUP($B152,Kraftvärmeprod!$B$1:$BX$550,MATCH(K$2,Kraftvärmeprod!$B$1:$VX$1,0),FALSE)/1,0)-IFERROR(VLOOKUP($B152,'Slutlig allokering kvv'!$B$2:$BX$550,MATCH(K$2,'Slutlig allokering kvv'!$B$1:$BX$1,0),FALSE)/1,0))</f>
        <v/>
      </c>
      <c r="L152" s="31" t="str">
        <f>IF($D152="","",IFERROR(VLOOKUP($B152,Kraftvärmeprod!$B$1:$BX$550,MATCH(L$2,Kraftvärmeprod!$B$1:$VX$1,0),FALSE)/1,0)-IFERROR(VLOOKUP($B152,'Slutlig allokering kvv'!$B$2:$BX$550,MATCH(L$2,'Slutlig allokering kvv'!$B$1:$BX$1,0),FALSE)/1,0))</f>
        <v/>
      </c>
      <c r="M152" s="31" t="str">
        <f>IF($D152="","",IFERROR(VLOOKUP($B152,Kraftvärmeprod!$B$1:$BX$550,MATCH(M$2,Kraftvärmeprod!$B$1:$VX$1,0),FALSE)/1,0)-IFERROR(VLOOKUP($B152,'Slutlig allokering kvv'!$B$2:$BX$550,MATCH(M$2,'Slutlig allokering kvv'!$B$1:$BX$1,0),FALSE)/1,0))</f>
        <v/>
      </c>
      <c r="N152" s="31" t="str">
        <f>IF($D152="","",IFERROR(VLOOKUP($B152,Kraftvärmeprod!$B$1:$BX$550,MATCH(N$2,Kraftvärmeprod!$B$1:$VX$1,0),FALSE)/1,0)-IFERROR(VLOOKUP($B152,'Slutlig allokering kvv'!$B$2:$BX$550,MATCH(N$2,'Slutlig allokering kvv'!$B$1:$BX$1,0),FALSE)/1,0))</f>
        <v/>
      </c>
      <c r="O152" s="31" t="str">
        <f>IF($D152="","",IFERROR(VLOOKUP($B152,Kraftvärmeprod!$B$1:$BX$550,MATCH(O$2,Kraftvärmeprod!$B$1:$VX$1,0),FALSE)/1,0)-IFERROR(VLOOKUP($B152,'Slutlig allokering kvv'!$B$2:$BX$550,MATCH(O$2,'Slutlig allokering kvv'!$B$1:$BX$1,0),FALSE)/1,0))</f>
        <v/>
      </c>
      <c r="P152" s="31" t="str">
        <f>IF($D152="","",IFERROR(VLOOKUP($B152,Kraftvärmeprod!$B$1:$BX$550,MATCH(P$2,Kraftvärmeprod!$B$1:$VX$1,0),FALSE)/1,0)-IFERROR(VLOOKUP($B152,'Slutlig allokering kvv'!$B$2:$BX$550,MATCH(P$2,'Slutlig allokering kvv'!$B$1:$BX$1,0),FALSE)/1,0))</f>
        <v/>
      </c>
      <c r="Q152" s="31" t="str">
        <f>IF($D152="","",IFERROR(VLOOKUP($B152,Kraftvärmeprod!$B$1:$BX$550,MATCH(Q$2,Kraftvärmeprod!$B$1:$VX$1,0),FALSE)/1,0)-IFERROR(VLOOKUP($B152,'Slutlig allokering kvv'!$B$2:$BX$550,MATCH(Q$2,'Slutlig allokering kvv'!$B$1:$BX$1,0),FALSE)/1,0))</f>
        <v/>
      </c>
      <c r="R152" s="31" t="str">
        <f>IF($D152="","",IFERROR(VLOOKUP($B152,Kraftvärmeprod!$B$1:$BX$550,MATCH(R$2,Kraftvärmeprod!$B$1:$VX$1,0),FALSE)/1,0)-IFERROR(VLOOKUP($B152,'Slutlig allokering kvv'!$B$2:$BX$550,MATCH(R$2,'Slutlig allokering kvv'!$B$1:$BX$1,0),FALSE)/1,0))</f>
        <v/>
      </c>
      <c r="S152" s="31" t="str">
        <f>IF($D152="","",IFERROR(VLOOKUP($B152,Kraftvärmeprod!$B$1:$BX$550,MATCH(S$2,Kraftvärmeprod!$B$1:$VX$1,0),FALSE)/1,0)-IFERROR(VLOOKUP($B152,'Slutlig allokering kvv'!$B$2:$BX$550,MATCH(S$2,'Slutlig allokering kvv'!$B$1:$BX$1,0),FALSE)/1,0))</f>
        <v/>
      </c>
      <c r="T152" s="31" t="str">
        <f>IF($D152="","",IFERROR(VLOOKUP($B152,Kraftvärmeprod!$B$1:$BX$550,MATCH(T$2,Kraftvärmeprod!$B$1:$VX$1,0),FALSE)/1,0)-IFERROR(VLOOKUP($B152,'Slutlig allokering kvv'!$B$2:$BX$550,MATCH(T$2,'Slutlig allokering kvv'!$B$1:$BX$1,0),FALSE)/1,0))</f>
        <v/>
      </c>
      <c r="U152" s="31" t="str">
        <f>IF($D152="","",IFERROR(VLOOKUP($B152,Kraftvärmeprod!$B$1:$BX$550,MATCH(U$2,Kraftvärmeprod!$B$1:$VX$1,0),FALSE)/1,0)-IFERROR(VLOOKUP($B152,'Slutlig allokering kvv'!$B$2:$BX$550,MATCH(U$2,'Slutlig allokering kvv'!$B$1:$BX$1,0),FALSE)/1,0))</f>
        <v/>
      </c>
      <c r="V152" s="31" t="str">
        <f>IF($D152="","",IFERROR(VLOOKUP($B152,Kraftvärmeprod!$B$1:$BX$550,MATCH(V$2,Kraftvärmeprod!$B$1:$VX$1,0),FALSE)/1,0)-IFERROR(VLOOKUP($B152,'Slutlig allokering kvv'!$B$2:$BX$550,MATCH(V$2,'Slutlig allokering kvv'!$B$1:$BX$1,0),FALSE)/1,0))</f>
        <v/>
      </c>
      <c r="W152" s="31" t="str">
        <f>IF($D152="","",IFERROR(VLOOKUP($B152,Kraftvärmeprod!$B$1:$BX$550,MATCH(W$2,Kraftvärmeprod!$B$1:$VX$1,0),FALSE)/1,0)-IFERROR(VLOOKUP($B152,'Slutlig allokering kvv'!$B$2:$BX$550,MATCH(W$2,'Slutlig allokering kvv'!$B$1:$BX$1,0),FALSE)/1,0))</f>
        <v/>
      </c>
      <c r="X152" s="31" t="str">
        <f>IF($D152="","",IFERROR(VLOOKUP($B152,Kraftvärmeprod!$B$1:$BX$550,MATCH(X$2,Kraftvärmeprod!$B$1:$VX$1,0),FALSE)/1,0)-IFERROR(VLOOKUP($B152,'Slutlig allokering kvv'!$B$2:$BX$550,MATCH(X$2,'Slutlig allokering kvv'!$B$1:$BX$1,0),FALSE)/1,0))</f>
        <v/>
      </c>
      <c r="Y152" s="31" t="str">
        <f>IF($D152="","",IFERROR(VLOOKUP($B152,Kraftvärmeprod!$B$1:$BX$550,MATCH(Y$2,Kraftvärmeprod!$B$1:$VX$1,0),FALSE)/1,0)-IFERROR(VLOOKUP($B152,'Slutlig allokering kvv'!$B$2:$BX$550,MATCH(Y$2,'Slutlig allokering kvv'!$B$1:$BX$1,0),FALSE)/1,0))</f>
        <v/>
      </c>
      <c r="Z152" s="31" t="str">
        <f>IF($D152="","",IFERROR(VLOOKUP($B152,Kraftvärmeprod!$B$1:$BX$550,MATCH(Z$2,Kraftvärmeprod!$B$1:$VX$1,0),FALSE)/1,0)-IFERROR(VLOOKUP($B152,'Slutlig allokering kvv'!$B$2:$BX$550,MATCH(Z$2,'Slutlig allokering kvv'!$B$1:$BX$1,0),FALSE)/1,0))</f>
        <v/>
      </c>
      <c r="AA152" s="31" t="str">
        <f>IF($D152="","",IFERROR(VLOOKUP($B152,Kraftvärmeprod!$B$1:$BX$550,MATCH(AA$2,Kraftvärmeprod!$B$1:$VX$1,0),FALSE)/1,0)-IFERROR(VLOOKUP($B152,'Slutlig allokering kvv'!$B$2:$BX$550,MATCH(AA$2,'Slutlig allokering kvv'!$B$1:$BX$1,0),FALSE)/1,0))</f>
        <v/>
      </c>
      <c r="AB152" s="31" t="str">
        <f>IF($D152="","",IFERROR(VLOOKUP($B152,Kraftvärmeprod!$B$1:$BX$550,MATCH(AB$2,Kraftvärmeprod!$B$1:$VX$1,0),FALSE)/1,0)-IFERROR(VLOOKUP($B152,'Slutlig allokering kvv'!$B$2:$BX$550,MATCH(AB$2,'Slutlig allokering kvv'!$B$1:$BX$1,0),FALSE)/1,0))</f>
        <v/>
      </c>
      <c r="AC152" s="31" t="str">
        <f>IF($D152="","",IFERROR(VLOOKUP($B152,Kraftvärmeprod!$B$1:$BX$550,MATCH(AC$2,Kraftvärmeprod!$B$1:$VX$1,0),FALSE)/1,0)-IFERROR(VLOOKUP($B152,'Slutlig allokering kvv'!$B$2:$BX$550,MATCH(AC$2,'Slutlig allokering kvv'!$B$1:$BX$1,0),FALSE)/1,0))</f>
        <v/>
      </c>
      <c r="AD152" s="31" t="str">
        <f>IF($D152="","",IFERROR(VLOOKUP($B152,Kraftvärmeprod!$B$1:$BX$550,MATCH(AD$2,Kraftvärmeprod!$B$1:$VX$1,0),FALSE)/1,0)-IFERROR(VLOOKUP($B152,'Slutlig allokering kvv'!$B$2:$BX$550,MATCH(AD$2,'Slutlig allokering kvv'!$B$1:$BX$1,0),FALSE)/1,0))</f>
        <v/>
      </c>
      <c r="AE152" s="31" t="str">
        <f>IF($D152="","",IFERROR(VLOOKUP($B152,Miljö!$B$1:$E$550,MATCH("Hjälpel kraftvärme (GWh)",Miljö!$B$1:$E$1,0),FALSE)/1,0)-IFERROR(VLOOKUP($B152,'Slutlig allokering kvv'!$B$2:$BX$549,MATCH(AE$2,'Slutlig allokering kvv'!$B$1:$BX$1,0),FALSE)/1,0))</f>
        <v/>
      </c>
      <c r="AI152" s="39">
        <f t="shared" si="8"/>
        <v>0</v>
      </c>
      <c r="AK152" s="31">
        <f>IFERROR(VLOOKUP($B152,'Slutlig allokering kvv'!$B$2:$AX$549,MATCH("Summa slutlig allokerad tillförd energi (utan hjälpel och rökgaskondensering):",'Slutlig allokering kvv'!$B$1:$AX$1,0),FALSE)/1,"")</f>
        <v>52.213000000000001</v>
      </c>
      <c r="AM152" s="31">
        <f>IFERROR(1-VLOOKUP($B152,'Slutlig allokering kvv'!$B$2:$AX$549,MATCH("Andel av bränsle i kvv som allokerats till värme, exklusive rökgaskondensering och hjälpel",'Slutlig allokering kvv'!$B$1:$AX$1,0),FALSE),"")</f>
        <v>0</v>
      </c>
      <c r="AO152" s="31">
        <f t="shared" si="9"/>
        <v>0</v>
      </c>
      <c r="AP152" s="31">
        <f t="shared" si="10"/>
        <v>0</v>
      </c>
      <c r="AR152" s="32" t="str">
        <f t="shared" si="11"/>
        <v/>
      </c>
    </row>
    <row r="153" spans="1:44" s="31" customFormat="1" x14ac:dyDescent="0.45">
      <c r="A153" s="31" t="s">
        <v>465</v>
      </c>
      <c r="B153" s="31" t="s">
        <v>464</v>
      </c>
      <c r="C153" s="31" t="str">
        <f>IFERROR(VLOOKUP($B153,Kraftvärmeprod!$B$1:$AH$479,MATCH(C$2,Kraftvärmeprod!$B$1:$AG$1,0),FALSE)/1,"")</f>
        <v/>
      </c>
      <c r="D153" s="31" t="str">
        <f>IFERROR(VLOOKUP($B153,Kraftvärmeprod!$B$1:$AH$479,MATCH(D$2,Kraftvärmeprod!$B$1:$AG$1,0),FALSE)/1,"")</f>
        <v/>
      </c>
      <c r="F153" s="31" t="str">
        <f>IF($D153="","",IFERROR(VLOOKUP($B153,Kraftvärmeprod!$B$1:$BX$550,MATCH(F$2,Kraftvärmeprod!$B$1:$VX$1,0),FALSE)/1,0)-IFERROR(VLOOKUP($B153,'Slutlig allokering kvv'!$B$2:$BX$550,MATCH(F$2,'Slutlig allokering kvv'!$B$1:$BX$1,0),FALSE)/1,0))</f>
        <v/>
      </c>
      <c r="G153" s="31" t="str">
        <f>IF($D153="","",IFERROR(VLOOKUP($B153,Kraftvärmeprod!$B$1:$BX$550,MATCH(G$2,Kraftvärmeprod!$B$1:$VX$1,0),FALSE)/1,0)-IFERROR(VLOOKUP($B153,'Slutlig allokering kvv'!$B$2:$BX$550,MATCH(G$2,'Slutlig allokering kvv'!$B$1:$BX$1,0),FALSE)/1,0))</f>
        <v/>
      </c>
      <c r="H153" s="31" t="str">
        <f>IF($D153="","",IFERROR(VLOOKUP($B153,Kraftvärmeprod!$B$1:$BX$550,MATCH(H$2,Kraftvärmeprod!$B$1:$VX$1,0),FALSE)/1,0)-IFERROR(VLOOKUP($B153,'Slutlig allokering kvv'!$B$2:$BX$550,MATCH(H$2,'Slutlig allokering kvv'!$B$1:$BX$1,0),FALSE)/1,0))</f>
        <v/>
      </c>
      <c r="I153" s="31" t="str">
        <f>IF($D153="","",IFERROR(VLOOKUP($B153,Kraftvärmeprod!$B$1:$BX$550,MATCH(I$2,Kraftvärmeprod!$B$1:$VX$1,0),FALSE)/1,0)-IFERROR(VLOOKUP($B153,'Slutlig allokering kvv'!$B$2:$BX$550,MATCH(I$2,'Slutlig allokering kvv'!$B$1:$BX$1,0),FALSE)/1,0))</f>
        <v/>
      </c>
      <c r="J153" s="31" t="str">
        <f>IF($D153="","",IFERROR(VLOOKUP($B153,Kraftvärmeprod!$B$1:$BX$550,MATCH(J$2,Kraftvärmeprod!$B$1:$VX$1,0),FALSE)/1,0)-IFERROR(VLOOKUP($B153,'Slutlig allokering kvv'!$B$2:$BX$550,MATCH(J$2,'Slutlig allokering kvv'!$B$1:$BX$1,0),FALSE)/1,0))</f>
        <v/>
      </c>
      <c r="K153" s="31" t="str">
        <f>IF($D153="","",IFERROR(VLOOKUP($B153,Kraftvärmeprod!$B$1:$BX$550,MATCH(K$2,Kraftvärmeprod!$B$1:$VX$1,0),FALSE)/1,0)-IFERROR(VLOOKUP($B153,'Slutlig allokering kvv'!$B$2:$BX$550,MATCH(K$2,'Slutlig allokering kvv'!$B$1:$BX$1,0),FALSE)/1,0))</f>
        <v/>
      </c>
      <c r="L153" s="31" t="str">
        <f>IF($D153="","",IFERROR(VLOOKUP($B153,Kraftvärmeprod!$B$1:$BX$550,MATCH(L$2,Kraftvärmeprod!$B$1:$VX$1,0),FALSE)/1,0)-IFERROR(VLOOKUP($B153,'Slutlig allokering kvv'!$B$2:$BX$550,MATCH(L$2,'Slutlig allokering kvv'!$B$1:$BX$1,0),FALSE)/1,0))</f>
        <v/>
      </c>
      <c r="M153" s="31" t="str">
        <f>IF($D153="","",IFERROR(VLOOKUP($B153,Kraftvärmeprod!$B$1:$BX$550,MATCH(M$2,Kraftvärmeprod!$B$1:$VX$1,0),FALSE)/1,0)-IFERROR(VLOOKUP($B153,'Slutlig allokering kvv'!$B$2:$BX$550,MATCH(M$2,'Slutlig allokering kvv'!$B$1:$BX$1,0),FALSE)/1,0))</f>
        <v/>
      </c>
      <c r="N153" s="31" t="str">
        <f>IF($D153="","",IFERROR(VLOOKUP($B153,Kraftvärmeprod!$B$1:$BX$550,MATCH(N$2,Kraftvärmeprod!$B$1:$VX$1,0),FALSE)/1,0)-IFERROR(VLOOKUP($B153,'Slutlig allokering kvv'!$B$2:$BX$550,MATCH(N$2,'Slutlig allokering kvv'!$B$1:$BX$1,0),FALSE)/1,0))</f>
        <v/>
      </c>
      <c r="O153" s="31" t="str">
        <f>IF($D153="","",IFERROR(VLOOKUP($B153,Kraftvärmeprod!$B$1:$BX$550,MATCH(O$2,Kraftvärmeprod!$B$1:$VX$1,0),FALSE)/1,0)-IFERROR(VLOOKUP($B153,'Slutlig allokering kvv'!$B$2:$BX$550,MATCH(O$2,'Slutlig allokering kvv'!$B$1:$BX$1,0),FALSE)/1,0))</f>
        <v/>
      </c>
      <c r="P153" s="31" t="str">
        <f>IF($D153="","",IFERROR(VLOOKUP($B153,Kraftvärmeprod!$B$1:$BX$550,MATCH(P$2,Kraftvärmeprod!$B$1:$VX$1,0),FALSE)/1,0)-IFERROR(VLOOKUP($B153,'Slutlig allokering kvv'!$B$2:$BX$550,MATCH(P$2,'Slutlig allokering kvv'!$B$1:$BX$1,0),FALSE)/1,0))</f>
        <v/>
      </c>
      <c r="Q153" s="31" t="str">
        <f>IF($D153="","",IFERROR(VLOOKUP($B153,Kraftvärmeprod!$B$1:$BX$550,MATCH(Q$2,Kraftvärmeprod!$B$1:$VX$1,0),FALSE)/1,0)-IFERROR(VLOOKUP($B153,'Slutlig allokering kvv'!$B$2:$BX$550,MATCH(Q$2,'Slutlig allokering kvv'!$B$1:$BX$1,0),FALSE)/1,0))</f>
        <v/>
      </c>
      <c r="R153" s="31" t="str">
        <f>IF($D153="","",IFERROR(VLOOKUP($B153,Kraftvärmeprod!$B$1:$BX$550,MATCH(R$2,Kraftvärmeprod!$B$1:$VX$1,0),FALSE)/1,0)-IFERROR(VLOOKUP($B153,'Slutlig allokering kvv'!$B$2:$BX$550,MATCH(R$2,'Slutlig allokering kvv'!$B$1:$BX$1,0),FALSE)/1,0))</f>
        <v/>
      </c>
      <c r="S153" s="31" t="str">
        <f>IF($D153="","",IFERROR(VLOOKUP($B153,Kraftvärmeprod!$B$1:$BX$550,MATCH(S$2,Kraftvärmeprod!$B$1:$VX$1,0),FALSE)/1,0)-IFERROR(VLOOKUP($B153,'Slutlig allokering kvv'!$B$2:$BX$550,MATCH(S$2,'Slutlig allokering kvv'!$B$1:$BX$1,0),FALSE)/1,0))</f>
        <v/>
      </c>
      <c r="T153" s="31" t="str">
        <f>IF($D153="","",IFERROR(VLOOKUP($B153,Kraftvärmeprod!$B$1:$BX$550,MATCH(T$2,Kraftvärmeprod!$B$1:$VX$1,0),FALSE)/1,0)-IFERROR(VLOOKUP($B153,'Slutlig allokering kvv'!$B$2:$BX$550,MATCH(T$2,'Slutlig allokering kvv'!$B$1:$BX$1,0),FALSE)/1,0))</f>
        <v/>
      </c>
      <c r="U153" s="31" t="str">
        <f>IF($D153="","",IFERROR(VLOOKUP($B153,Kraftvärmeprod!$B$1:$BX$550,MATCH(U$2,Kraftvärmeprod!$B$1:$VX$1,0),FALSE)/1,0)-IFERROR(VLOOKUP($B153,'Slutlig allokering kvv'!$B$2:$BX$550,MATCH(U$2,'Slutlig allokering kvv'!$B$1:$BX$1,0),FALSE)/1,0))</f>
        <v/>
      </c>
      <c r="V153" s="31" t="str">
        <f>IF($D153="","",IFERROR(VLOOKUP($B153,Kraftvärmeprod!$B$1:$BX$550,MATCH(V$2,Kraftvärmeprod!$B$1:$VX$1,0),FALSE)/1,0)-IFERROR(VLOOKUP($B153,'Slutlig allokering kvv'!$B$2:$BX$550,MATCH(V$2,'Slutlig allokering kvv'!$B$1:$BX$1,0),FALSE)/1,0))</f>
        <v/>
      </c>
      <c r="W153" s="31" t="str">
        <f>IF($D153="","",IFERROR(VLOOKUP($B153,Kraftvärmeprod!$B$1:$BX$550,MATCH(W$2,Kraftvärmeprod!$B$1:$VX$1,0),FALSE)/1,0)-IFERROR(VLOOKUP($B153,'Slutlig allokering kvv'!$B$2:$BX$550,MATCH(W$2,'Slutlig allokering kvv'!$B$1:$BX$1,0),FALSE)/1,0))</f>
        <v/>
      </c>
      <c r="X153" s="31" t="str">
        <f>IF($D153="","",IFERROR(VLOOKUP($B153,Kraftvärmeprod!$B$1:$BX$550,MATCH(X$2,Kraftvärmeprod!$B$1:$VX$1,0),FALSE)/1,0)-IFERROR(VLOOKUP($B153,'Slutlig allokering kvv'!$B$2:$BX$550,MATCH(X$2,'Slutlig allokering kvv'!$B$1:$BX$1,0),FALSE)/1,0))</f>
        <v/>
      </c>
      <c r="Y153" s="31" t="str">
        <f>IF($D153="","",IFERROR(VLOOKUP($B153,Kraftvärmeprod!$B$1:$BX$550,MATCH(Y$2,Kraftvärmeprod!$B$1:$VX$1,0),FALSE)/1,0)-IFERROR(VLOOKUP($B153,'Slutlig allokering kvv'!$B$2:$BX$550,MATCH(Y$2,'Slutlig allokering kvv'!$B$1:$BX$1,0),FALSE)/1,0))</f>
        <v/>
      </c>
      <c r="Z153" s="31" t="str">
        <f>IF($D153="","",IFERROR(VLOOKUP($B153,Kraftvärmeprod!$B$1:$BX$550,MATCH(Z$2,Kraftvärmeprod!$B$1:$VX$1,0),FALSE)/1,0)-IFERROR(VLOOKUP($B153,'Slutlig allokering kvv'!$B$2:$BX$550,MATCH(Z$2,'Slutlig allokering kvv'!$B$1:$BX$1,0),FALSE)/1,0))</f>
        <v/>
      </c>
      <c r="AA153" s="31" t="str">
        <f>IF($D153="","",IFERROR(VLOOKUP($B153,Kraftvärmeprod!$B$1:$BX$550,MATCH(AA$2,Kraftvärmeprod!$B$1:$VX$1,0),FALSE)/1,0)-IFERROR(VLOOKUP($B153,'Slutlig allokering kvv'!$B$2:$BX$550,MATCH(AA$2,'Slutlig allokering kvv'!$B$1:$BX$1,0),FALSE)/1,0))</f>
        <v/>
      </c>
      <c r="AB153" s="31" t="str">
        <f>IF($D153="","",IFERROR(VLOOKUP($B153,Kraftvärmeprod!$B$1:$BX$550,MATCH(AB$2,Kraftvärmeprod!$B$1:$VX$1,0),FALSE)/1,0)-IFERROR(VLOOKUP($B153,'Slutlig allokering kvv'!$B$2:$BX$550,MATCH(AB$2,'Slutlig allokering kvv'!$B$1:$BX$1,0),FALSE)/1,0))</f>
        <v/>
      </c>
      <c r="AC153" s="31" t="str">
        <f>IF($D153="","",IFERROR(VLOOKUP($B153,Kraftvärmeprod!$B$1:$BX$550,MATCH(AC$2,Kraftvärmeprod!$B$1:$VX$1,0),FALSE)/1,0)-IFERROR(VLOOKUP($B153,'Slutlig allokering kvv'!$B$2:$BX$550,MATCH(AC$2,'Slutlig allokering kvv'!$B$1:$BX$1,0),FALSE)/1,0))</f>
        <v/>
      </c>
      <c r="AD153" s="31" t="str">
        <f>IF($D153="","",IFERROR(VLOOKUP($B153,Kraftvärmeprod!$B$1:$BX$550,MATCH(AD$2,Kraftvärmeprod!$B$1:$VX$1,0),FALSE)/1,0)-IFERROR(VLOOKUP($B153,'Slutlig allokering kvv'!$B$2:$BX$550,MATCH(AD$2,'Slutlig allokering kvv'!$B$1:$BX$1,0),FALSE)/1,0))</f>
        <v/>
      </c>
      <c r="AE153" s="31" t="str">
        <f>IF($D153="","",IFERROR(VLOOKUP($B153,Miljö!$B$1:$E$550,MATCH("Hjälpel kraftvärme (GWh)",Miljö!$B$1:$E$1,0),FALSE)/1,0)-IFERROR(VLOOKUP($B153,'Slutlig allokering kvv'!$B$2:$BX$549,MATCH(AE$2,'Slutlig allokering kvv'!$B$1:$BX$1,0),FALSE)/1,0))</f>
        <v/>
      </c>
      <c r="AI153" s="39">
        <f t="shared" si="8"/>
        <v>0</v>
      </c>
      <c r="AK153" s="31">
        <f>IFERROR(VLOOKUP($B153,'Slutlig allokering kvv'!$B$2:$AX$549,MATCH("Summa slutlig allokerad tillförd energi (utan hjälpel och rökgaskondensering):",'Slutlig allokering kvv'!$B$1:$AX$1,0),FALSE)/1,"")</f>
        <v>0</v>
      </c>
      <c r="AM153" s="31" t="str">
        <f>IFERROR(1-VLOOKUP($B153,'Slutlig allokering kvv'!$B$2:$AX$549,MATCH("Andel av bränsle i kvv som allokerats till värme, exklusive rökgaskondensering och hjälpel",'Slutlig allokering kvv'!$B$1:$AX$1,0),FALSE),"")</f>
        <v/>
      </c>
      <c r="AO153" s="31" t="str">
        <f t="shared" si="9"/>
        <v/>
      </c>
      <c r="AP153" s="31" t="str">
        <f t="shared" si="10"/>
        <v/>
      </c>
      <c r="AR153" s="32" t="str">
        <f t="shared" si="11"/>
        <v/>
      </c>
    </row>
    <row r="154" spans="1:44" s="31" customFormat="1" x14ac:dyDescent="0.45">
      <c r="A154" s="31" t="s">
        <v>459</v>
      </c>
      <c r="B154" s="31" t="s">
        <v>463</v>
      </c>
      <c r="C154" s="31" t="str">
        <f>IFERROR(VLOOKUP($B154,Kraftvärmeprod!$B$1:$AH$479,MATCH(C$2,Kraftvärmeprod!$B$1:$AG$1,0),FALSE)/1,"")</f>
        <v/>
      </c>
      <c r="D154" s="31" t="str">
        <f>IFERROR(VLOOKUP($B154,Kraftvärmeprod!$B$1:$AH$479,MATCH(D$2,Kraftvärmeprod!$B$1:$AG$1,0),FALSE)/1,"")</f>
        <v/>
      </c>
      <c r="F154" s="31" t="str">
        <f>IF($D154="","",IFERROR(VLOOKUP($B154,Kraftvärmeprod!$B$1:$BX$550,MATCH(F$2,Kraftvärmeprod!$B$1:$VX$1,0),FALSE)/1,0)-IFERROR(VLOOKUP($B154,'Slutlig allokering kvv'!$B$2:$BX$550,MATCH(F$2,'Slutlig allokering kvv'!$B$1:$BX$1,0),FALSE)/1,0))</f>
        <v/>
      </c>
      <c r="G154" s="31" t="str">
        <f>IF($D154="","",IFERROR(VLOOKUP($B154,Kraftvärmeprod!$B$1:$BX$550,MATCH(G$2,Kraftvärmeprod!$B$1:$VX$1,0),FALSE)/1,0)-IFERROR(VLOOKUP($B154,'Slutlig allokering kvv'!$B$2:$BX$550,MATCH(G$2,'Slutlig allokering kvv'!$B$1:$BX$1,0),FALSE)/1,0))</f>
        <v/>
      </c>
      <c r="H154" s="31" t="str">
        <f>IF($D154="","",IFERROR(VLOOKUP($B154,Kraftvärmeprod!$B$1:$BX$550,MATCH(H$2,Kraftvärmeprod!$B$1:$VX$1,0),FALSE)/1,0)-IFERROR(VLOOKUP($B154,'Slutlig allokering kvv'!$B$2:$BX$550,MATCH(H$2,'Slutlig allokering kvv'!$B$1:$BX$1,0),FALSE)/1,0))</f>
        <v/>
      </c>
      <c r="I154" s="31" t="str">
        <f>IF($D154="","",IFERROR(VLOOKUP($B154,Kraftvärmeprod!$B$1:$BX$550,MATCH(I$2,Kraftvärmeprod!$B$1:$VX$1,0),FALSE)/1,0)-IFERROR(VLOOKUP($B154,'Slutlig allokering kvv'!$B$2:$BX$550,MATCH(I$2,'Slutlig allokering kvv'!$B$1:$BX$1,0),FALSE)/1,0))</f>
        <v/>
      </c>
      <c r="J154" s="31" t="str">
        <f>IF($D154="","",IFERROR(VLOOKUP($B154,Kraftvärmeprod!$B$1:$BX$550,MATCH(J$2,Kraftvärmeprod!$B$1:$VX$1,0),FALSE)/1,0)-IFERROR(VLOOKUP($B154,'Slutlig allokering kvv'!$B$2:$BX$550,MATCH(J$2,'Slutlig allokering kvv'!$B$1:$BX$1,0),FALSE)/1,0))</f>
        <v/>
      </c>
      <c r="K154" s="31" t="str">
        <f>IF($D154="","",IFERROR(VLOOKUP($B154,Kraftvärmeprod!$B$1:$BX$550,MATCH(K$2,Kraftvärmeprod!$B$1:$VX$1,0),FALSE)/1,0)-IFERROR(VLOOKUP($B154,'Slutlig allokering kvv'!$B$2:$BX$550,MATCH(K$2,'Slutlig allokering kvv'!$B$1:$BX$1,0),FALSE)/1,0))</f>
        <v/>
      </c>
      <c r="L154" s="31" t="str">
        <f>IF($D154="","",IFERROR(VLOOKUP($B154,Kraftvärmeprod!$B$1:$BX$550,MATCH(L$2,Kraftvärmeprod!$B$1:$VX$1,0),FALSE)/1,0)-IFERROR(VLOOKUP($B154,'Slutlig allokering kvv'!$B$2:$BX$550,MATCH(L$2,'Slutlig allokering kvv'!$B$1:$BX$1,0),FALSE)/1,0))</f>
        <v/>
      </c>
      <c r="M154" s="31" t="str">
        <f>IF($D154="","",IFERROR(VLOOKUP($B154,Kraftvärmeprod!$B$1:$BX$550,MATCH(M$2,Kraftvärmeprod!$B$1:$VX$1,0),FALSE)/1,0)-IFERROR(VLOOKUP($B154,'Slutlig allokering kvv'!$B$2:$BX$550,MATCH(M$2,'Slutlig allokering kvv'!$B$1:$BX$1,0),FALSE)/1,0))</f>
        <v/>
      </c>
      <c r="N154" s="31" t="str">
        <f>IF($D154="","",IFERROR(VLOOKUP($B154,Kraftvärmeprod!$B$1:$BX$550,MATCH(N$2,Kraftvärmeprod!$B$1:$VX$1,0),FALSE)/1,0)-IFERROR(VLOOKUP($B154,'Slutlig allokering kvv'!$B$2:$BX$550,MATCH(N$2,'Slutlig allokering kvv'!$B$1:$BX$1,0),FALSE)/1,0))</f>
        <v/>
      </c>
      <c r="O154" s="31" t="str">
        <f>IF($D154="","",IFERROR(VLOOKUP($B154,Kraftvärmeprod!$B$1:$BX$550,MATCH(O$2,Kraftvärmeprod!$B$1:$VX$1,0),FALSE)/1,0)-IFERROR(VLOOKUP($B154,'Slutlig allokering kvv'!$B$2:$BX$550,MATCH(O$2,'Slutlig allokering kvv'!$B$1:$BX$1,0),FALSE)/1,0))</f>
        <v/>
      </c>
      <c r="P154" s="31" t="str">
        <f>IF($D154="","",IFERROR(VLOOKUP($B154,Kraftvärmeprod!$B$1:$BX$550,MATCH(P$2,Kraftvärmeprod!$B$1:$VX$1,0),FALSE)/1,0)-IFERROR(VLOOKUP($B154,'Slutlig allokering kvv'!$B$2:$BX$550,MATCH(P$2,'Slutlig allokering kvv'!$B$1:$BX$1,0),FALSE)/1,0))</f>
        <v/>
      </c>
      <c r="Q154" s="31" t="str">
        <f>IF($D154="","",IFERROR(VLOOKUP($B154,Kraftvärmeprod!$B$1:$BX$550,MATCH(Q$2,Kraftvärmeprod!$B$1:$VX$1,0),FALSE)/1,0)-IFERROR(VLOOKUP($B154,'Slutlig allokering kvv'!$B$2:$BX$550,MATCH(Q$2,'Slutlig allokering kvv'!$B$1:$BX$1,0),FALSE)/1,0))</f>
        <v/>
      </c>
      <c r="R154" s="31" t="str">
        <f>IF($D154="","",IFERROR(VLOOKUP($B154,Kraftvärmeprod!$B$1:$BX$550,MATCH(R$2,Kraftvärmeprod!$B$1:$VX$1,0),FALSE)/1,0)-IFERROR(VLOOKUP($B154,'Slutlig allokering kvv'!$B$2:$BX$550,MATCH(R$2,'Slutlig allokering kvv'!$B$1:$BX$1,0),FALSE)/1,0))</f>
        <v/>
      </c>
      <c r="S154" s="31" t="str">
        <f>IF($D154="","",IFERROR(VLOOKUP($B154,Kraftvärmeprod!$B$1:$BX$550,MATCH(S$2,Kraftvärmeprod!$B$1:$VX$1,0),FALSE)/1,0)-IFERROR(VLOOKUP($B154,'Slutlig allokering kvv'!$B$2:$BX$550,MATCH(S$2,'Slutlig allokering kvv'!$B$1:$BX$1,0),FALSE)/1,0))</f>
        <v/>
      </c>
      <c r="T154" s="31" t="str">
        <f>IF($D154="","",IFERROR(VLOOKUP($B154,Kraftvärmeprod!$B$1:$BX$550,MATCH(T$2,Kraftvärmeprod!$B$1:$VX$1,0),FALSE)/1,0)-IFERROR(VLOOKUP($B154,'Slutlig allokering kvv'!$B$2:$BX$550,MATCH(T$2,'Slutlig allokering kvv'!$B$1:$BX$1,0),FALSE)/1,0))</f>
        <v/>
      </c>
      <c r="U154" s="31" t="str">
        <f>IF($D154="","",IFERROR(VLOOKUP($B154,Kraftvärmeprod!$B$1:$BX$550,MATCH(U$2,Kraftvärmeprod!$B$1:$VX$1,0),FALSE)/1,0)-IFERROR(VLOOKUP($B154,'Slutlig allokering kvv'!$B$2:$BX$550,MATCH(U$2,'Slutlig allokering kvv'!$B$1:$BX$1,0),FALSE)/1,0))</f>
        <v/>
      </c>
      <c r="V154" s="31" t="str">
        <f>IF($D154="","",IFERROR(VLOOKUP($B154,Kraftvärmeprod!$B$1:$BX$550,MATCH(V$2,Kraftvärmeprod!$B$1:$VX$1,0),FALSE)/1,0)-IFERROR(VLOOKUP($B154,'Slutlig allokering kvv'!$B$2:$BX$550,MATCH(V$2,'Slutlig allokering kvv'!$B$1:$BX$1,0),FALSE)/1,0))</f>
        <v/>
      </c>
      <c r="W154" s="31" t="str">
        <f>IF($D154="","",IFERROR(VLOOKUP($B154,Kraftvärmeprod!$B$1:$BX$550,MATCH(W$2,Kraftvärmeprod!$B$1:$VX$1,0),FALSE)/1,0)-IFERROR(VLOOKUP($B154,'Slutlig allokering kvv'!$B$2:$BX$550,MATCH(W$2,'Slutlig allokering kvv'!$B$1:$BX$1,0),FALSE)/1,0))</f>
        <v/>
      </c>
      <c r="X154" s="31" t="str">
        <f>IF($D154="","",IFERROR(VLOOKUP($B154,Kraftvärmeprod!$B$1:$BX$550,MATCH(X$2,Kraftvärmeprod!$B$1:$VX$1,0),FALSE)/1,0)-IFERROR(VLOOKUP($B154,'Slutlig allokering kvv'!$B$2:$BX$550,MATCH(X$2,'Slutlig allokering kvv'!$B$1:$BX$1,0),FALSE)/1,0))</f>
        <v/>
      </c>
      <c r="Y154" s="31" t="str">
        <f>IF($D154="","",IFERROR(VLOOKUP($B154,Kraftvärmeprod!$B$1:$BX$550,MATCH(Y$2,Kraftvärmeprod!$B$1:$VX$1,0),FALSE)/1,0)-IFERROR(VLOOKUP($B154,'Slutlig allokering kvv'!$B$2:$BX$550,MATCH(Y$2,'Slutlig allokering kvv'!$B$1:$BX$1,0),FALSE)/1,0))</f>
        <v/>
      </c>
      <c r="Z154" s="31" t="str">
        <f>IF($D154="","",IFERROR(VLOOKUP($B154,Kraftvärmeprod!$B$1:$BX$550,MATCH(Z$2,Kraftvärmeprod!$B$1:$VX$1,0),FALSE)/1,0)-IFERROR(VLOOKUP($B154,'Slutlig allokering kvv'!$B$2:$BX$550,MATCH(Z$2,'Slutlig allokering kvv'!$B$1:$BX$1,0),FALSE)/1,0))</f>
        <v/>
      </c>
      <c r="AA154" s="31" t="str">
        <f>IF($D154="","",IFERROR(VLOOKUP($B154,Kraftvärmeprod!$B$1:$BX$550,MATCH(AA$2,Kraftvärmeprod!$B$1:$VX$1,0),FALSE)/1,0)-IFERROR(VLOOKUP($B154,'Slutlig allokering kvv'!$B$2:$BX$550,MATCH(AA$2,'Slutlig allokering kvv'!$B$1:$BX$1,0),FALSE)/1,0))</f>
        <v/>
      </c>
      <c r="AB154" s="31" t="str">
        <f>IF($D154="","",IFERROR(VLOOKUP($B154,Kraftvärmeprod!$B$1:$BX$550,MATCH(AB$2,Kraftvärmeprod!$B$1:$VX$1,0),FALSE)/1,0)-IFERROR(VLOOKUP($B154,'Slutlig allokering kvv'!$B$2:$BX$550,MATCH(AB$2,'Slutlig allokering kvv'!$B$1:$BX$1,0),FALSE)/1,0))</f>
        <v/>
      </c>
      <c r="AC154" s="31" t="str">
        <f>IF($D154="","",IFERROR(VLOOKUP($B154,Kraftvärmeprod!$B$1:$BX$550,MATCH(AC$2,Kraftvärmeprod!$B$1:$VX$1,0),FALSE)/1,0)-IFERROR(VLOOKUP($B154,'Slutlig allokering kvv'!$B$2:$BX$550,MATCH(AC$2,'Slutlig allokering kvv'!$B$1:$BX$1,0),FALSE)/1,0))</f>
        <v/>
      </c>
      <c r="AD154" s="31" t="str">
        <f>IF($D154="","",IFERROR(VLOOKUP($B154,Kraftvärmeprod!$B$1:$BX$550,MATCH(AD$2,Kraftvärmeprod!$B$1:$VX$1,0),FALSE)/1,0)-IFERROR(VLOOKUP($B154,'Slutlig allokering kvv'!$B$2:$BX$550,MATCH(AD$2,'Slutlig allokering kvv'!$B$1:$BX$1,0),FALSE)/1,0))</f>
        <v/>
      </c>
      <c r="AE154" s="31" t="str">
        <f>IF($D154="","",IFERROR(VLOOKUP($B154,Miljö!$B$1:$E$550,MATCH("Hjälpel kraftvärme (GWh)",Miljö!$B$1:$E$1,0),FALSE)/1,0)-IFERROR(VLOOKUP($B154,'Slutlig allokering kvv'!$B$2:$BX$549,MATCH(AE$2,'Slutlig allokering kvv'!$B$1:$BX$1,0),FALSE)/1,0))</f>
        <v/>
      </c>
      <c r="AI154" s="39">
        <f t="shared" si="8"/>
        <v>0</v>
      </c>
      <c r="AK154" s="31">
        <f>IFERROR(VLOOKUP($B154,'Slutlig allokering kvv'!$B$2:$AX$549,MATCH("Summa slutlig allokerad tillförd energi (utan hjälpel och rökgaskondensering):",'Slutlig allokering kvv'!$B$1:$AX$1,0),FALSE)/1,"")</f>
        <v>0</v>
      </c>
      <c r="AM154" s="31" t="str">
        <f>IFERROR(1-VLOOKUP($B154,'Slutlig allokering kvv'!$B$2:$AX$549,MATCH("Andel av bränsle i kvv som allokerats till värme, exklusive rökgaskondensering och hjälpel",'Slutlig allokering kvv'!$B$1:$AX$1,0),FALSE),"")</f>
        <v/>
      </c>
      <c r="AO154" s="31" t="str">
        <f t="shared" si="9"/>
        <v/>
      </c>
      <c r="AP154" s="31" t="str">
        <f t="shared" si="10"/>
        <v/>
      </c>
      <c r="AR154" s="32" t="str">
        <f t="shared" si="11"/>
        <v/>
      </c>
    </row>
    <row r="155" spans="1:44" s="31" customFormat="1" x14ac:dyDescent="0.45">
      <c r="A155" s="31" t="s">
        <v>459</v>
      </c>
      <c r="B155" s="31" t="s">
        <v>461</v>
      </c>
      <c r="C155" s="31" t="str">
        <f>IFERROR(VLOOKUP($B155,Kraftvärmeprod!$B$1:$AH$479,MATCH(C$2,Kraftvärmeprod!$B$1:$AG$1,0),FALSE)/1,"")</f>
        <v/>
      </c>
      <c r="D155" s="31" t="str">
        <f>IFERROR(VLOOKUP($B155,Kraftvärmeprod!$B$1:$AH$479,MATCH(D$2,Kraftvärmeprod!$B$1:$AG$1,0),FALSE)/1,"")</f>
        <v/>
      </c>
      <c r="F155" s="31" t="str">
        <f>IF($D155="","",IFERROR(VLOOKUP($B155,Kraftvärmeprod!$B$1:$BX$550,MATCH(F$2,Kraftvärmeprod!$B$1:$VX$1,0),FALSE)/1,0)-IFERROR(VLOOKUP($B155,'Slutlig allokering kvv'!$B$2:$BX$550,MATCH(F$2,'Slutlig allokering kvv'!$B$1:$BX$1,0),FALSE)/1,0))</f>
        <v/>
      </c>
      <c r="G155" s="31" t="str">
        <f>IF($D155="","",IFERROR(VLOOKUP($B155,Kraftvärmeprod!$B$1:$BX$550,MATCH(G$2,Kraftvärmeprod!$B$1:$VX$1,0),FALSE)/1,0)-IFERROR(VLOOKUP($B155,'Slutlig allokering kvv'!$B$2:$BX$550,MATCH(G$2,'Slutlig allokering kvv'!$B$1:$BX$1,0),FALSE)/1,0))</f>
        <v/>
      </c>
      <c r="H155" s="31" t="str">
        <f>IF($D155="","",IFERROR(VLOOKUP($B155,Kraftvärmeprod!$B$1:$BX$550,MATCH(H$2,Kraftvärmeprod!$B$1:$VX$1,0),FALSE)/1,0)-IFERROR(VLOOKUP($B155,'Slutlig allokering kvv'!$B$2:$BX$550,MATCH(H$2,'Slutlig allokering kvv'!$B$1:$BX$1,0),FALSE)/1,0))</f>
        <v/>
      </c>
      <c r="I155" s="31" t="str">
        <f>IF($D155="","",IFERROR(VLOOKUP($B155,Kraftvärmeprod!$B$1:$BX$550,MATCH(I$2,Kraftvärmeprod!$B$1:$VX$1,0),FALSE)/1,0)-IFERROR(VLOOKUP($B155,'Slutlig allokering kvv'!$B$2:$BX$550,MATCH(I$2,'Slutlig allokering kvv'!$B$1:$BX$1,0),FALSE)/1,0))</f>
        <v/>
      </c>
      <c r="J155" s="31" t="str">
        <f>IF($D155="","",IFERROR(VLOOKUP($B155,Kraftvärmeprod!$B$1:$BX$550,MATCH(J$2,Kraftvärmeprod!$B$1:$VX$1,0),FALSE)/1,0)-IFERROR(VLOOKUP($B155,'Slutlig allokering kvv'!$B$2:$BX$550,MATCH(J$2,'Slutlig allokering kvv'!$B$1:$BX$1,0),FALSE)/1,0))</f>
        <v/>
      </c>
      <c r="K155" s="31" t="str">
        <f>IF($D155="","",IFERROR(VLOOKUP($B155,Kraftvärmeprod!$B$1:$BX$550,MATCH(K$2,Kraftvärmeprod!$B$1:$VX$1,0),FALSE)/1,0)-IFERROR(VLOOKUP($B155,'Slutlig allokering kvv'!$B$2:$BX$550,MATCH(K$2,'Slutlig allokering kvv'!$B$1:$BX$1,0),FALSE)/1,0))</f>
        <v/>
      </c>
      <c r="L155" s="31" t="str">
        <f>IF($D155="","",IFERROR(VLOOKUP($B155,Kraftvärmeprod!$B$1:$BX$550,MATCH(L$2,Kraftvärmeprod!$B$1:$VX$1,0),FALSE)/1,0)-IFERROR(VLOOKUP($B155,'Slutlig allokering kvv'!$B$2:$BX$550,MATCH(L$2,'Slutlig allokering kvv'!$B$1:$BX$1,0),FALSE)/1,0))</f>
        <v/>
      </c>
      <c r="M155" s="31" t="str">
        <f>IF($D155="","",IFERROR(VLOOKUP($B155,Kraftvärmeprod!$B$1:$BX$550,MATCH(M$2,Kraftvärmeprod!$B$1:$VX$1,0),FALSE)/1,0)-IFERROR(VLOOKUP($B155,'Slutlig allokering kvv'!$B$2:$BX$550,MATCH(M$2,'Slutlig allokering kvv'!$B$1:$BX$1,0),FALSE)/1,0))</f>
        <v/>
      </c>
      <c r="N155" s="31" t="str">
        <f>IF($D155="","",IFERROR(VLOOKUP($B155,Kraftvärmeprod!$B$1:$BX$550,MATCH(N$2,Kraftvärmeprod!$B$1:$VX$1,0),FALSE)/1,0)-IFERROR(VLOOKUP($B155,'Slutlig allokering kvv'!$B$2:$BX$550,MATCH(N$2,'Slutlig allokering kvv'!$B$1:$BX$1,0),FALSE)/1,0))</f>
        <v/>
      </c>
      <c r="O155" s="31" t="str">
        <f>IF($D155="","",IFERROR(VLOOKUP($B155,Kraftvärmeprod!$B$1:$BX$550,MATCH(O$2,Kraftvärmeprod!$B$1:$VX$1,0),FALSE)/1,0)-IFERROR(VLOOKUP($B155,'Slutlig allokering kvv'!$B$2:$BX$550,MATCH(O$2,'Slutlig allokering kvv'!$B$1:$BX$1,0),FALSE)/1,0))</f>
        <v/>
      </c>
      <c r="P155" s="31" t="str">
        <f>IF($D155="","",IFERROR(VLOOKUP($B155,Kraftvärmeprod!$B$1:$BX$550,MATCH(P$2,Kraftvärmeprod!$B$1:$VX$1,0),FALSE)/1,0)-IFERROR(VLOOKUP($B155,'Slutlig allokering kvv'!$B$2:$BX$550,MATCH(P$2,'Slutlig allokering kvv'!$B$1:$BX$1,0),FALSE)/1,0))</f>
        <v/>
      </c>
      <c r="Q155" s="31" t="str">
        <f>IF($D155="","",IFERROR(VLOOKUP($B155,Kraftvärmeprod!$B$1:$BX$550,MATCH(Q$2,Kraftvärmeprod!$B$1:$VX$1,0),FALSE)/1,0)-IFERROR(VLOOKUP($B155,'Slutlig allokering kvv'!$B$2:$BX$550,MATCH(Q$2,'Slutlig allokering kvv'!$B$1:$BX$1,0),FALSE)/1,0))</f>
        <v/>
      </c>
      <c r="R155" s="31" t="str">
        <f>IF($D155="","",IFERROR(VLOOKUP($B155,Kraftvärmeprod!$B$1:$BX$550,MATCH(R$2,Kraftvärmeprod!$B$1:$VX$1,0),FALSE)/1,0)-IFERROR(VLOOKUP($B155,'Slutlig allokering kvv'!$B$2:$BX$550,MATCH(R$2,'Slutlig allokering kvv'!$B$1:$BX$1,0),FALSE)/1,0))</f>
        <v/>
      </c>
      <c r="S155" s="31" t="str">
        <f>IF($D155="","",IFERROR(VLOOKUP($B155,Kraftvärmeprod!$B$1:$BX$550,MATCH(S$2,Kraftvärmeprod!$B$1:$VX$1,0),FALSE)/1,0)-IFERROR(VLOOKUP($B155,'Slutlig allokering kvv'!$B$2:$BX$550,MATCH(S$2,'Slutlig allokering kvv'!$B$1:$BX$1,0),FALSE)/1,0))</f>
        <v/>
      </c>
      <c r="T155" s="31" t="str">
        <f>IF($D155="","",IFERROR(VLOOKUP($B155,Kraftvärmeprod!$B$1:$BX$550,MATCH(T$2,Kraftvärmeprod!$B$1:$VX$1,0),FALSE)/1,0)-IFERROR(VLOOKUP($B155,'Slutlig allokering kvv'!$B$2:$BX$550,MATCH(T$2,'Slutlig allokering kvv'!$B$1:$BX$1,0),FALSE)/1,0))</f>
        <v/>
      </c>
      <c r="U155" s="31" t="str">
        <f>IF($D155="","",IFERROR(VLOOKUP($B155,Kraftvärmeprod!$B$1:$BX$550,MATCH(U$2,Kraftvärmeprod!$B$1:$VX$1,0),FALSE)/1,0)-IFERROR(VLOOKUP($B155,'Slutlig allokering kvv'!$B$2:$BX$550,MATCH(U$2,'Slutlig allokering kvv'!$B$1:$BX$1,0),FALSE)/1,0))</f>
        <v/>
      </c>
      <c r="V155" s="31" t="str">
        <f>IF($D155="","",IFERROR(VLOOKUP($B155,Kraftvärmeprod!$B$1:$BX$550,MATCH(V$2,Kraftvärmeprod!$B$1:$VX$1,0),FALSE)/1,0)-IFERROR(VLOOKUP($B155,'Slutlig allokering kvv'!$B$2:$BX$550,MATCH(V$2,'Slutlig allokering kvv'!$B$1:$BX$1,0),FALSE)/1,0))</f>
        <v/>
      </c>
      <c r="W155" s="31" t="str">
        <f>IF($D155="","",IFERROR(VLOOKUP($B155,Kraftvärmeprod!$B$1:$BX$550,MATCH(W$2,Kraftvärmeprod!$B$1:$VX$1,0),FALSE)/1,0)-IFERROR(VLOOKUP($B155,'Slutlig allokering kvv'!$B$2:$BX$550,MATCH(W$2,'Slutlig allokering kvv'!$B$1:$BX$1,0),FALSE)/1,0))</f>
        <v/>
      </c>
      <c r="X155" s="31" t="str">
        <f>IF($D155="","",IFERROR(VLOOKUP($B155,Kraftvärmeprod!$B$1:$BX$550,MATCH(X$2,Kraftvärmeprod!$B$1:$VX$1,0),FALSE)/1,0)-IFERROR(VLOOKUP($B155,'Slutlig allokering kvv'!$B$2:$BX$550,MATCH(X$2,'Slutlig allokering kvv'!$B$1:$BX$1,0),FALSE)/1,0))</f>
        <v/>
      </c>
      <c r="Y155" s="31" t="str">
        <f>IF($D155="","",IFERROR(VLOOKUP($B155,Kraftvärmeprod!$B$1:$BX$550,MATCH(Y$2,Kraftvärmeprod!$B$1:$VX$1,0),FALSE)/1,0)-IFERROR(VLOOKUP($B155,'Slutlig allokering kvv'!$B$2:$BX$550,MATCH(Y$2,'Slutlig allokering kvv'!$B$1:$BX$1,0),FALSE)/1,0))</f>
        <v/>
      </c>
      <c r="Z155" s="31" t="str">
        <f>IF($D155="","",IFERROR(VLOOKUP($B155,Kraftvärmeprod!$B$1:$BX$550,MATCH(Z$2,Kraftvärmeprod!$B$1:$VX$1,0),FALSE)/1,0)-IFERROR(VLOOKUP($B155,'Slutlig allokering kvv'!$B$2:$BX$550,MATCH(Z$2,'Slutlig allokering kvv'!$B$1:$BX$1,0),FALSE)/1,0))</f>
        <v/>
      </c>
      <c r="AA155" s="31" t="str">
        <f>IF($D155="","",IFERROR(VLOOKUP($B155,Kraftvärmeprod!$B$1:$BX$550,MATCH(AA$2,Kraftvärmeprod!$B$1:$VX$1,0),FALSE)/1,0)-IFERROR(VLOOKUP($B155,'Slutlig allokering kvv'!$B$2:$BX$550,MATCH(AA$2,'Slutlig allokering kvv'!$B$1:$BX$1,0),FALSE)/1,0))</f>
        <v/>
      </c>
      <c r="AB155" s="31" t="str">
        <f>IF($D155="","",IFERROR(VLOOKUP($B155,Kraftvärmeprod!$B$1:$BX$550,MATCH(AB$2,Kraftvärmeprod!$B$1:$VX$1,0),FALSE)/1,0)-IFERROR(VLOOKUP($B155,'Slutlig allokering kvv'!$B$2:$BX$550,MATCH(AB$2,'Slutlig allokering kvv'!$B$1:$BX$1,0),FALSE)/1,0))</f>
        <v/>
      </c>
      <c r="AC155" s="31" t="str">
        <f>IF($D155="","",IFERROR(VLOOKUP($B155,Kraftvärmeprod!$B$1:$BX$550,MATCH(AC$2,Kraftvärmeprod!$B$1:$VX$1,0),FALSE)/1,0)-IFERROR(VLOOKUP($B155,'Slutlig allokering kvv'!$B$2:$BX$550,MATCH(AC$2,'Slutlig allokering kvv'!$B$1:$BX$1,0),FALSE)/1,0))</f>
        <v/>
      </c>
      <c r="AD155" s="31" t="str">
        <f>IF($D155="","",IFERROR(VLOOKUP($B155,Kraftvärmeprod!$B$1:$BX$550,MATCH(AD$2,Kraftvärmeprod!$B$1:$VX$1,0),FALSE)/1,0)-IFERROR(VLOOKUP($B155,'Slutlig allokering kvv'!$B$2:$BX$550,MATCH(AD$2,'Slutlig allokering kvv'!$B$1:$BX$1,0),FALSE)/1,0))</f>
        <v/>
      </c>
      <c r="AE155" s="31" t="str">
        <f>IF($D155="","",IFERROR(VLOOKUP($B155,Miljö!$B$1:$E$550,MATCH("Hjälpel kraftvärme (GWh)",Miljö!$B$1:$E$1,0),FALSE)/1,0)-IFERROR(VLOOKUP($B155,'Slutlig allokering kvv'!$B$2:$BX$549,MATCH(AE$2,'Slutlig allokering kvv'!$B$1:$BX$1,0),FALSE)/1,0))</f>
        <v/>
      </c>
      <c r="AI155" s="39">
        <f t="shared" si="8"/>
        <v>0</v>
      </c>
      <c r="AK155" s="31">
        <f>IFERROR(VLOOKUP($B155,'Slutlig allokering kvv'!$B$2:$AX$549,MATCH("Summa slutlig allokerad tillförd energi (utan hjälpel och rökgaskondensering):",'Slutlig allokering kvv'!$B$1:$AX$1,0),FALSE)/1,"")</f>
        <v>0</v>
      </c>
      <c r="AM155" s="31" t="str">
        <f>IFERROR(1-VLOOKUP($B155,'Slutlig allokering kvv'!$B$2:$AX$549,MATCH("Andel av bränsle i kvv som allokerats till värme, exklusive rökgaskondensering och hjälpel",'Slutlig allokering kvv'!$B$1:$AX$1,0),FALSE),"")</f>
        <v/>
      </c>
      <c r="AO155" s="31" t="str">
        <f t="shared" si="9"/>
        <v/>
      </c>
      <c r="AP155" s="31" t="str">
        <f t="shared" si="10"/>
        <v/>
      </c>
      <c r="AR155" s="32" t="str">
        <f t="shared" si="11"/>
        <v/>
      </c>
    </row>
    <row r="156" spans="1:44" s="31" customFormat="1" x14ac:dyDescent="0.45">
      <c r="A156" s="31" t="s">
        <v>459</v>
      </c>
      <c r="B156" s="31" t="s">
        <v>458</v>
      </c>
      <c r="C156" s="31" t="str">
        <f>IFERROR(VLOOKUP($B156,Kraftvärmeprod!$B$1:$AH$479,MATCH(C$2,Kraftvärmeprod!$B$1:$AG$1,0),FALSE)/1,"")</f>
        <v/>
      </c>
      <c r="D156" s="31" t="str">
        <f>IFERROR(VLOOKUP($B156,Kraftvärmeprod!$B$1:$AH$479,MATCH(D$2,Kraftvärmeprod!$B$1:$AG$1,0),FALSE)/1,"")</f>
        <v/>
      </c>
      <c r="F156" s="31" t="str">
        <f>IF($D156="","",IFERROR(VLOOKUP($B156,Kraftvärmeprod!$B$1:$BX$550,MATCH(F$2,Kraftvärmeprod!$B$1:$VX$1,0),FALSE)/1,0)-IFERROR(VLOOKUP($B156,'Slutlig allokering kvv'!$B$2:$BX$550,MATCH(F$2,'Slutlig allokering kvv'!$B$1:$BX$1,0),FALSE)/1,0))</f>
        <v/>
      </c>
      <c r="G156" s="31" t="str">
        <f>IF($D156="","",IFERROR(VLOOKUP($B156,Kraftvärmeprod!$B$1:$BX$550,MATCH(G$2,Kraftvärmeprod!$B$1:$VX$1,0),FALSE)/1,0)-IFERROR(VLOOKUP($B156,'Slutlig allokering kvv'!$B$2:$BX$550,MATCH(G$2,'Slutlig allokering kvv'!$B$1:$BX$1,0),FALSE)/1,0))</f>
        <v/>
      </c>
      <c r="H156" s="31" t="str">
        <f>IF($D156="","",IFERROR(VLOOKUP($B156,Kraftvärmeprod!$B$1:$BX$550,MATCH(H$2,Kraftvärmeprod!$B$1:$VX$1,0),FALSE)/1,0)-IFERROR(VLOOKUP($B156,'Slutlig allokering kvv'!$B$2:$BX$550,MATCH(H$2,'Slutlig allokering kvv'!$B$1:$BX$1,0),FALSE)/1,0))</f>
        <v/>
      </c>
      <c r="I156" s="31" t="str">
        <f>IF($D156="","",IFERROR(VLOOKUP($B156,Kraftvärmeprod!$B$1:$BX$550,MATCH(I$2,Kraftvärmeprod!$B$1:$VX$1,0),FALSE)/1,0)-IFERROR(VLOOKUP($B156,'Slutlig allokering kvv'!$B$2:$BX$550,MATCH(I$2,'Slutlig allokering kvv'!$B$1:$BX$1,0),FALSE)/1,0))</f>
        <v/>
      </c>
      <c r="J156" s="31" t="str">
        <f>IF($D156="","",IFERROR(VLOOKUP($B156,Kraftvärmeprod!$B$1:$BX$550,MATCH(J$2,Kraftvärmeprod!$B$1:$VX$1,0),FALSE)/1,0)-IFERROR(VLOOKUP($B156,'Slutlig allokering kvv'!$B$2:$BX$550,MATCH(J$2,'Slutlig allokering kvv'!$B$1:$BX$1,0),FALSE)/1,0))</f>
        <v/>
      </c>
      <c r="K156" s="31" t="str">
        <f>IF($D156="","",IFERROR(VLOOKUP($B156,Kraftvärmeprod!$B$1:$BX$550,MATCH(K$2,Kraftvärmeprod!$B$1:$VX$1,0),FALSE)/1,0)-IFERROR(VLOOKUP($B156,'Slutlig allokering kvv'!$B$2:$BX$550,MATCH(K$2,'Slutlig allokering kvv'!$B$1:$BX$1,0),FALSE)/1,0))</f>
        <v/>
      </c>
      <c r="L156" s="31" t="str">
        <f>IF($D156="","",IFERROR(VLOOKUP($B156,Kraftvärmeprod!$B$1:$BX$550,MATCH(L$2,Kraftvärmeprod!$B$1:$VX$1,0),FALSE)/1,0)-IFERROR(VLOOKUP($B156,'Slutlig allokering kvv'!$B$2:$BX$550,MATCH(L$2,'Slutlig allokering kvv'!$B$1:$BX$1,0),FALSE)/1,0))</f>
        <v/>
      </c>
      <c r="M156" s="31" t="str">
        <f>IF($D156="","",IFERROR(VLOOKUP($B156,Kraftvärmeprod!$B$1:$BX$550,MATCH(M$2,Kraftvärmeprod!$B$1:$VX$1,0),FALSE)/1,0)-IFERROR(VLOOKUP($B156,'Slutlig allokering kvv'!$B$2:$BX$550,MATCH(M$2,'Slutlig allokering kvv'!$B$1:$BX$1,0),FALSE)/1,0))</f>
        <v/>
      </c>
      <c r="N156" s="31" t="str">
        <f>IF($D156="","",IFERROR(VLOOKUP($B156,Kraftvärmeprod!$B$1:$BX$550,MATCH(N$2,Kraftvärmeprod!$B$1:$VX$1,0),FALSE)/1,0)-IFERROR(VLOOKUP($B156,'Slutlig allokering kvv'!$B$2:$BX$550,MATCH(N$2,'Slutlig allokering kvv'!$B$1:$BX$1,0),FALSE)/1,0))</f>
        <v/>
      </c>
      <c r="O156" s="31" t="str">
        <f>IF($D156="","",IFERROR(VLOOKUP($B156,Kraftvärmeprod!$B$1:$BX$550,MATCH(O$2,Kraftvärmeprod!$B$1:$VX$1,0),FALSE)/1,0)-IFERROR(VLOOKUP($B156,'Slutlig allokering kvv'!$B$2:$BX$550,MATCH(O$2,'Slutlig allokering kvv'!$B$1:$BX$1,0),FALSE)/1,0))</f>
        <v/>
      </c>
      <c r="P156" s="31" t="str">
        <f>IF($D156="","",IFERROR(VLOOKUP($B156,Kraftvärmeprod!$B$1:$BX$550,MATCH(P$2,Kraftvärmeprod!$B$1:$VX$1,0),FALSE)/1,0)-IFERROR(VLOOKUP($B156,'Slutlig allokering kvv'!$B$2:$BX$550,MATCH(P$2,'Slutlig allokering kvv'!$B$1:$BX$1,0),FALSE)/1,0))</f>
        <v/>
      </c>
      <c r="Q156" s="31" t="str">
        <f>IF($D156="","",IFERROR(VLOOKUP($B156,Kraftvärmeprod!$B$1:$BX$550,MATCH(Q$2,Kraftvärmeprod!$B$1:$VX$1,0),FALSE)/1,0)-IFERROR(VLOOKUP($B156,'Slutlig allokering kvv'!$B$2:$BX$550,MATCH(Q$2,'Slutlig allokering kvv'!$B$1:$BX$1,0),FALSE)/1,0))</f>
        <v/>
      </c>
      <c r="R156" s="31" t="str">
        <f>IF($D156="","",IFERROR(VLOOKUP($B156,Kraftvärmeprod!$B$1:$BX$550,MATCH(R$2,Kraftvärmeprod!$B$1:$VX$1,0),FALSE)/1,0)-IFERROR(VLOOKUP($B156,'Slutlig allokering kvv'!$B$2:$BX$550,MATCH(R$2,'Slutlig allokering kvv'!$B$1:$BX$1,0),FALSE)/1,0))</f>
        <v/>
      </c>
      <c r="S156" s="31" t="str">
        <f>IF($D156="","",IFERROR(VLOOKUP($B156,Kraftvärmeprod!$B$1:$BX$550,MATCH(S$2,Kraftvärmeprod!$B$1:$VX$1,0),FALSE)/1,0)-IFERROR(VLOOKUP($B156,'Slutlig allokering kvv'!$B$2:$BX$550,MATCH(S$2,'Slutlig allokering kvv'!$B$1:$BX$1,0),FALSE)/1,0))</f>
        <v/>
      </c>
      <c r="T156" s="31" t="str">
        <f>IF($D156="","",IFERROR(VLOOKUP($B156,Kraftvärmeprod!$B$1:$BX$550,MATCH(T$2,Kraftvärmeprod!$B$1:$VX$1,0),FALSE)/1,0)-IFERROR(VLOOKUP($B156,'Slutlig allokering kvv'!$B$2:$BX$550,MATCH(T$2,'Slutlig allokering kvv'!$B$1:$BX$1,0),FALSE)/1,0))</f>
        <v/>
      </c>
      <c r="U156" s="31" t="str">
        <f>IF($D156="","",IFERROR(VLOOKUP($B156,Kraftvärmeprod!$B$1:$BX$550,MATCH(U$2,Kraftvärmeprod!$B$1:$VX$1,0),FALSE)/1,0)-IFERROR(VLOOKUP($B156,'Slutlig allokering kvv'!$B$2:$BX$550,MATCH(U$2,'Slutlig allokering kvv'!$B$1:$BX$1,0),FALSE)/1,0))</f>
        <v/>
      </c>
      <c r="V156" s="31" t="str">
        <f>IF($D156="","",IFERROR(VLOOKUP($B156,Kraftvärmeprod!$B$1:$BX$550,MATCH(V$2,Kraftvärmeprod!$B$1:$VX$1,0),FALSE)/1,0)-IFERROR(VLOOKUP($B156,'Slutlig allokering kvv'!$B$2:$BX$550,MATCH(V$2,'Slutlig allokering kvv'!$B$1:$BX$1,0),FALSE)/1,0))</f>
        <v/>
      </c>
      <c r="W156" s="31" t="str">
        <f>IF($D156="","",IFERROR(VLOOKUP($B156,Kraftvärmeprod!$B$1:$BX$550,MATCH(W$2,Kraftvärmeprod!$B$1:$VX$1,0),FALSE)/1,0)-IFERROR(VLOOKUP($B156,'Slutlig allokering kvv'!$B$2:$BX$550,MATCH(W$2,'Slutlig allokering kvv'!$B$1:$BX$1,0),FALSE)/1,0))</f>
        <v/>
      </c>
      <c r="X156" s="31" t="str">
        <f>IF($D156="","",IFERROR(VLOOKUP($B156,Kraftvärmeprod!$B$1:$BX$550,MATCH(X$2,Kraftvärmeprod!$B$1:$VX$1,0),FALSE)/1,0)-IFERROR(VLOOKUP($B156,'Slutlig allokering kvv'!$B$2:$BX$550,MATCH(X$2,'Slutlig allokering kvv'!$B$1:$BX$1,0),FALSE)/1,0))</f>
        <v/>
      </c>
      <c r="Y156" s="31" t="str">
        <f>IF($D156="","",IFERROR(VLOOKUP($B156,Kraftvärmeprod!$B$1:$BX$550,MATCH(Y$2,Kraftvärmeprod!$B$1:$VX$1,0),FALSE)/1,0)-IFERROR(VLOOKUP($B156,'Slutlig allokering kvv'!$B$2:$BX$550,MATCH(Y$2,'Slutlig allokering kvv'!$B$1:$BX$1,0),FALSE)/1,0))</f>
        <v/>
      </c>
      <c r="Z156" s="31" t="str">
        <f>IF($D156="","",IFERROR(VLOOKUP($B156,Kraftvärmeprod!$B$1:$BX$550,MATCH(Z$2,Kraftvärmeprod!$B$1:$VX$1,0),FALSE)/1,0)-IFERROR(VLOOKUP($B156,'Slutlig allokering kvv'!$B$2:$BX$550,MATCH(Z$2,'Slutlig allokering kvv'!$B$1:$BX$1,0),FALSE)/1,0))</f>
        <v/>
      </c>
      <c r="AA156" s="31" t="str">
        <f>IF($D156="","",IFERROR(VLOOKUP($B156,Kraftvärmeprod!$B$1:$BX$550,MATCH(AA$2,Kraftvärmeprod!$B$1:$VX$1,0),FALSE)/1,0)-IFERROR(VLOOKUP($B156,'Slutlig allokering kvv'!$B$2:$BX$550,MATCH(AA$2,'Slutlig allokering kvv'!$B$1:$BX$1,0),FALSE)/1,0))</f>
        <v/>
      </c>
      <c r="AB156" s="31" t="str">
        <f>IF($D156="","",IFERROR(VLOOKUP($B156,Kraftvärmeprod!$B$1:$BX$550,MATCH(AB$2,Kraftvärmeprod!$B$1:$VX$1,0),FALSE)/1,0)-IFERROR(VLOOKUP($B156,'Slutlig allokering kvv'!$B$2:$BX$550,MATCH(AB$2,'Slutlig allokering kvv'!$B$1:$BX$1,0),FALSE)/1,0))</f>
        <v/>
      </c>
      <c r="AC156" s="31" t="str">
        <f>IF($D156="","",IFERROR(VLOOKUP($B156,Kraftvärmeprod!$B$1:$BX$550,MATCH(AC$2,Kraftvärmeprod!$B$1:$VX$1,0),FALSE)/1,0)-IFERROR(VLOOKUP($B156,'Slutlig allokering kvv'!$B$2:$BX$550,MATCH(AC$2,'Slutlig allokering kvv'!$B$1:$BX$1,0),FALSE)/1,0))</f>
        <v/>
      </c>
      <c r="AD156" s="31" t="str">
        <f>IF($D156="","",IFERROR(VLOOKUP($B156,Kraftvärmeprod!$B$1:$BX$550,MATCH(AD$2,Kraftvärmeprod!$B$1:$VX$1,0),FALSE)/1,0)-IFERROR(VLOOKUP($B156,'Slutlig allokering kvv'!$B$2:$BX$550,MATCH(AD$2,'Slutlig allokering kvv'!$B$1:$BX$1,0),FALSE)/1,0))</f>
        <v/>
      </c>
      <c r="AE156" s="31" t="str">
        <f>IF($D156="","",IFERROR(VLOOKUP($B156,Miljö!$B$1:$E$550,MATCH("Hjälpel kraftvärme (GWh)",Miljö!$B$1:$E$1,0),FALSE)/1,0)-IFERROR(VLOOKUP($B156,'Slutlig allokering kvv'!$B$2:$BX$549,MATCH(AE$2,'Slutlig allokering kvv'!$B$1:$BX$1,0),FALSE)/1,0))</f>
        <v/>
      </c>
      <c r="AI156" s="39">
        <f t="shared" si="8"/>
        <v>0</v>
      </c>
      <c r="AK156" s="31">
        <f>IFERROR(VLOOKUP($B156,'Slutlig allokering kvv'!$B$2:$AX$549,MATCH("Summa slutlig allokerad tillförd energi (utan hjälpel och rökgaskondensering):",'Slutlig allokering kvv'!$B$1:$AX$1,0),FALSE)/1,"")</f>
        <v>0</v>
      </c>
      <c r="AM156" s="31" t="str">
        <f>IFERROR(1-VLOOKUP($B156,'Slutlig allokering kvv'!$B$2:$AX$549,MATCH("Andel av bränsle i kvv som allokerats till värme, exklusive rökgaskondensering och hjälpel",'Slutlig allokering kvv'!$B$1:$AX$1,0),FALSE),"")</f>
        <v/>
      </c>
      <c r="AO156" s="31" t="str">
        <f t="shared" si="9"/>
        <v/>
      </c>
      <c r="AP156" s="31" t="str">
        <f t="shared" si="10"/>
        <v/>
      </c>
      <c r="AR156" s="32" t="str">
        <f t="shared" si="11"/>
        <v/>
      </c>
    </row>
    <row r="157" spans="1:44" s="31" customFormat="1" x14ac:dyDescent="0.45">
      <c r="A157" s="31" t="s">
        <v>459</v>
      </c>
      <c r="B157" s="31" t="s">
        <v>462</v>
      </c>
      <c r="C157" s="31" t="str">
        <f>IFERROR(VLOOKUP($B157,Kraftvärmeprod!$B$1:$AH$479,MATCH(C$2,Kraftvärmeprod!$B$1:$AG$1,0),FALSE)/1,"")</f>
        <v/>
      </c>
      <c r="D157" s="31" t="str">
        <f>IFERROR(VLOOKUP($B157,Kraftvärmeprod!$B$1:$AH$479,MATCH(D$2,Kraftvärmeprod!$B$1:$AG$1,0),FALSE)/1,"")</f>
        <v/>
      </c>
      <c r="F157" s="31" t="str">
        <f>IF($D157="","",IFERROR(VLOOKUP($B157,Kraftvärmeprod!$B$1:$BX$550,MATCH(F$2,Kraftvärmeprod!$B$1:$VX$1,0),FALSE)/1,0)-IFERROR(VLOOKUP($B157,'Slutlig allokering kvv'!$B$2:$BX$550,MATCH(F$2,'Slutlig allokering kvv'!$B$1:$BX$1,0),FALSE)/1,0))</f>
        <v/>
      </c>
      <c r="G157" s="31" t="str">
        <f>IF($D157="","",IFERROR(VLOOKUP($B157,Kraftvärmeprod!$B$1:$BX$550,MATCH(G$2,Kraftvärmeprod!$B$1:$VX$1,0),FALSE)/1,0)-IFERROR(VLOOKUP($B157,'Slutlig allokering kvv'!$B$2:$BX$550,MATCH(G$2,'Slutlig allokering kvv'!$B$1:$BX$1,0),FALSE)/1,0))</f>
        <v/>
      </c>
      <c r="H157" s="31" t="str">
        <f>IF($D157="","",IFERROR(VLOOKUP($B157,Kraftvärmeprod!$B$1:$BX$550,MATCH(H$2,Kraftvärmeprod!$B$1:$VX$1,0),FALSE)/1,0)-IFERROR(VLOOKUP($B157,'Slutlig allokering kvv'!$B$2:$BX$550,MATCH(H$2,'Slutlig allokering kvv'!$B$1:$BX$1,0),FALSE)/1,0))</f>
        <v/>
      </c>
      <c r="I157" s="31" t="str">
        <f>IF($D157="","",IFERROR(VLOOKUP($B157,Kraftvärmeprod!$B$1:$BX$550,MATCH(I$2,Kraftvärmeprod!$B$1:$VX$1,0),FALSE)/1,0)-IFERROR(VLOOKUP($B157,'Slutlig allokering kvv'!$B$2:$BX$550,MATCH(I$2,'Slutlig allokering kvv'!$B$1:$BX$1,0),FALSE)/1,0))</f>
        <v/>
      </c>
      <c r="J157" s="31" t="str">
        <f>IF($D157="","",IFERROR(VLOOKUP($B157,Kraftvärmeprod!$B$1:$BX$550,MATCH(J$2,Kraftvärmeprod!$B$1:$VX$1,0),FALSE)/1,0)-IFERROR(VLOOKUP($B157,'Slutlig allokering kvv'!$B$2:$BX$550,MATCH(J$2,'Slutlig allokering kvv'!$B$1:$BX$1,0),FALSE)/1,0))</f>
        <v/>
      </c>
      <c r="K157" s="31" t="str">
        <f>IF($D157="","",IFERROR(VLOOKUP($B157,Kraftvärmeprod!$B$1:$BX$550,MATCH(K$2,Kraftvärmeprod!$B$1:$VX$1,0),FALSE)/1,0)-IFERROR(VLOOKUP($B157,'Slutlig allokering kvv'!$B$2:$BX$550,MATCH(K$2,'Slutlig allokering kvv'!$B$1:$BX$1,0),FALSE)/1,0))</f>
        <v/>
      </c>
      <c r="L157" s="31" t="str">
        <f>IF($D157="","",IFERROR(VLOOKUP($B157,Kraftvärmeprod!$B$1:$BX$550,MATCH(L$2,Kraftvärmeprod!$B$1:$VX$1,0),FALSE)/1,0)-IFERROR(VLOOKUP($B157,'Slutlig allokering kvv'!$B$2:$BX$550,MATCH(L$2,'Slutlig allokering kvv'!$B$1:$BX$1,0),FALSE)/1,0))</f>
        <v/>
      </c>
      <c r="M157" s="31" t="str">
        <f>IF($D157="","",IFERROR(VLOOKUP($B157,Kraftvärmeprod!$B$1:$BX$550,MATCH(M$2,Kraftvärmeprod!$B$1:$VX$1,0),FALSE)/1,0)-IFERROR(VLOOKUP($B157,'Slutlig allokering kvv'!$B$2:$BX$550,MATCH(M$2,'Slutlig allokering kvv'!$B$1:$BX$1,0),FALSE)/1,0))</f>
        <v/>
      </c>
      <c r="N157" s="31" t="str">
        <f>IF($D157="","",IFERROR(VLOOKUP($B157,Kraftvärmeprod!$B$1:$BX$550,MATCH(N$2,Kraftvärmeprod!$B$1:$VX$1,0),FALSE)/1,0)-IFERROR(VLOOKUP($B157,'Slutlig allokering kvv'!$B$2:$BX$550,MATCH(N$2,'Slutlig allokering kvv'!$B$1:$BX$1,0),FALSE)/1,0))</f>
        <v/>
      </c>
      <c r="O157" s="31" t="str">
        <f>IF($D157="","",IFERROR(VLOOKUP($B157,Kraftvärmeprod!$B$1:$BX$550,MATCH(O$2,Kraftvärmeprod!$B$1:$VX$1,0),FALSE)/1,0)-IFERROR(VLOOKUP($B157,'Slutlig allokering kvv'!$B$2:$BX$550,MATCH(O$2,'Slutlig allokering kvv'!$B$1:$BX$1,0),FALSE)/1,0))</f>
        <v/>
      </c>
      <c r="P157" s="31" t="str">
        <f>IF($D157="","",IFERROR(VLOOKUP($B157,Kraftvärmeprod!$B$1:$BX$550,MATCH(P$2,Kraftvärmeprod!$B$1:$VX$1,0),FALSE)/1,0)-IFERROR(VLOOKUP($B157,'Slutlig allokering kvv'!$B$2:$BX$550,MATCH(P$2,'Slutlig allokering kvv'!$B$1:$BX$1,0),FALSE)/1,0))</f>
        <v/>
      </c>
      <c r="Q157" s="31" t="str">
        <f>IF($D157="","",IFERROR(VLOOKUP($B157,Kraftvärmeprod!$B$1:$BX$550,MATCH(Q$2,Kraftvärmeprod!$B$1:$VX$1,0),FALSE)/1,0)-IFERROR(VLOOKUP($B157,'Slutlig allokering kvv'!$B$2:$BX$550,MATCH(Q$2,'Slutlig allokering kvv'!$B$1:$BX$1,0),FALSE)/1,0))</f>
        <v/>
      </c>
      <c r="R157" s="31" t="str">
        <f>IF($D157="","",IFERROR(VLOOKUP($B157,Kraftvärmeprod!$B$1:$BX$550,MATCH(R$2,Kraftvärmeprod!$B$1:$VX$1,0),FALSE)/1,0)-IFERROR(VLOOKUP($B157,'Slutlig allokering kvv'!$B$2:$BX$550,MATCH(R$2,'Slutlig allokering kvv'!$B$1:$BX$1,0),FALSE)/1,0))</f>
        <v/>
      </c>
      <c r="S157" s="31" t="str">
        <f>IF($D157="","",IFERROR(VLOOKUP($B157,Kraftvärmeprod!$B$1:$BX$550,MATCH(S$2,Kraftvärmeprod!$B$1:$VX$1,0),FALSE)/1,0)-IFERROR(VLOOKUP($B157,'Slutlig allokering kvv'!$B$2:$BX$550,MATCH(S$2,'Slutlig allokering kvv'!$B$1:$BX$1,0),FALSE)/1,0))</f>
        <v/>
      </c>
      <c r="T157" s="31" t="str">
        <f>IF($D157="","",IFERROR(VLOOKUP($B157,Kraftvärmeprod!$B$1:$BX$550,MATCH(T$2,Kraftvärmeprod!$B$1:$VX$1,0),FALSE)/1,0)-IFERROR(VLOOKUP($B157,'Slutlig allokering kvv'!$B$2:$BX$550,MATCH(T$2,'Slutlig allokering kvv'!$B$1:$BX$1,0),FALSE)/1,0))</f>
        <v/>
      </c>
      <c r="U157" s="31" t="str">
        <f>IF($D157="","",IFERROR(VLOOKUP($B157,Kraftvärmeprod!$B$1:$BX$550,MATCH(U$2,Kraftvärmeprod!$B$1:$VX$1,0),FALSE)/1,0)-IFERROR(VLOOKUP($B157,'Slutlig allokering kvv'!$B$2:$BX$550,MATCH(U$2,'Slutlig allokering kvv'!$B$1:$BX$1,0),FALSE)/1,0))</f>
        <v/>
      </c>
      <c r="V157" s="31" t="str">
        <f>IF($D157="","",IFERROR(VLOOKUP($B157,Kraftvärmeprod!$B$1:$BX$550,MATCH(V$2,Kraftvärmeprod!$B$1:$VX$1,0),FALSE)/1,0)-IFERROR(VLOOKUP($B157,'Slutlig allokering kvv'!$B$2:$BX$550,MATCH(V$2,'Slutlig allokering kvv'!$B$1:$BX$1,0),FALSE)/1,0))</f>
        <v/>
      </c>
      <c r="W157" s="31" t="str">
        <f>IF($D157="","",IFERROR(VLOOKUP($B157,Kraftvärmeprod!$B$1:$BX$550,MATCH(W$2,Kraftvärmeprod!$B$1:$VX$1,0),FALSE)/1,0)-IFERROR(VLOOKUP($B157,'Slutlig allokering kvv'!$B$2:$BX$550,MATCH(W$2,'Slutlig allokering kvv'!$B$1:$BX$1,0),FALSE)/1,0))</f>
        <v/>
      </c>
      <c r="X157" s="31" t="str">
        <f>IF($D157="","",IFERROR(VLOOKUP($B157,Kraftvärmeprod!$B$1:$BX$550,MATCH(X$2,Kraftvärmeprod!$B$1:$VX$1,0),FALSE)/1,0)-IFERROR(VLOOKUP($B157,'Slutlig allokering kvv'!$B$2:$BX$550,MATCH(X$2,'Slutlig allokering kvv'!$B$1:$BX$1,0),FALSE)/1,0))</f>
        <v/>
      </c>
      <c r="Y157" s="31" t="str">
        <f>IF($D157="","",IFERROR(VLOOKUP($B157,Kraftvärmeprod!$B$1:$BX$550,MATCH(Y$2,Kraftvärmeprod!$B$1:$VX$1,0),FALSE)/1,0)-IFERROR(VLOOKUP($B157,'Slutlig allokering kvv'!$B$2:$BX$550,MATCH(Y$2,'Slutlig allokering kvv'!$B$1:$BX$1,0),FALSE)/1,0))</f>
        <v/>
      </c>
      <c r="Z157" s="31" t="str">
        <f>IF($D157="","",IFERROR(VLOOKUP($B157,Kraftvärmeprod!$B$1:$BX$550,MATCH(Z$2,Kraftvärmeprod!$B$1:$VX$1,0),FALSE)/1,0)-IFERROR(VLOOKUP($B157,'Slutlig allokering kvv'!$B$2:$BX$550,MATCH(Z$2,'Slutlig allokering kvv'!$B$1:$BX$1,0),FALSE)/1,0))</f>
        <v/>
      </c>
      <c r="AA157" s="31" t="str">
        <f>IF($D157="","",IFERROR(VLOOKUP($B157,Kraftvärmeprod!$B$1:$BX$550,MATCH(AA$2,Kraftvärmeprod!$B$1:$VX$1,0),FALSE)/1,0)-IFERROR(VLOOKUP($B157,'Slutlig allokering kvv'!$B$2:$BX$550,MATCH(AA$2,'Slutlig allokering kvv'!$B$1:$BX$1,0),FALSE)/1,0))</f>
        <v/>
      </c>
      <c r="AB157" s="31" t="str">
        <f>IF($D157="","",IFERROR(VLOOKUP($B157,Kraftvärmeprod!$B$1:$BX$550,MATCH(AB$2,Kraftvärmeprod!$B$1:$VX$1,0),FALSE)/1,0)-IFERROR(VLOOKUP($B157,'Slutlig allokering kvv'!$B$2:$BX$550,MATCH(AB$2,'Slutlig allokering kvv'!$B$1:$BX$1,0),FALSE)/1,0))</f>
        <v/>
      </c>
      <c r="AC157" s="31" t="str">
        <f>IF($D157="","",IFERROR(VLOOKUP($B157,Kraftvärmeprod!$B$1:$BX$550,MATCH(AC$2,Kraftvärmeprod!$B$1:$VX$1,0),FALSE)/1,0)-IFERROR(VLOOKUP($B157,'Slutlig allokering kvv'!$B$2:$BX$550,MATCH(AC$2,'Slutlig allokering kvv'!$B$1:$BX$1,0),FALSE)/1,0))</f>
        <v/>
      </c>
      <c r="AD157" s="31" t="str">
        <f>IF($D157="","",IFERROR(VLOOKUP($B157,Kraftvärmeprod!$B$1:$BX$550,MATCH(AD$2,Kraftvärmeprod!$B$1:$VX$1,0),FALSE)/1,0)-IFERROR(VLOOKUP($B157,'Slutlig allokering kvv'!$B$2:$BX$550,MATCH(AD$2,'Slutlig allokering kvv'!$B$1:$BX$1,0),FALSE)/1,0))</f>
        <v/>
      </c>
      <c r="AE157" s="31" t="str">
        <f>IF($D157="","",IFERROR(VLOOKUP($B157,Miljö!$B$1:$E$550,MATCH("Hjälpel kraftvärme (GWh)",Miljö!$B$1:$E$1,0),FALSE)/1,0)-IFERROR(VLOOKUP($B157,'Slutlig allokering kvv'!$B$2:$BX$549,MATCH(AE$2,'Slutlig allokering kvv'!$B$1:$BX$1,0),FALSE)/1,0))</f>
        <v/>
      </c>
      <c r="AI157" s="39">
        <f t="shared" si="8"/>
        <v>0</v>
      </c>
      <c r="AK157" s="31">
        <f>IFERROR(VLOOKUP($B157,'Slutlig allokering kvv'!$B$2:$AX$549,MATCH("Summa slutlig allokerad tillförd energi (utan hjälpel och rökgaskondensering):",'Slutlig allokering kvv'!$B$1:$AX$1,0),FALSE)/1,"")</f>
        <v>0</v>
      </c>
      <c r="AM157" s="31" t="str">
        <f>IFERROR(1-VLOOKUP($B157,'Slutlig allokering kvv'!$B$2:$AX$549,MATCH("Andel av bränsle i kvv som allokerats till värme, exklusive rökgaskondensering och hjälpel",'Slutlig allokering kvv'!$B$1:$AX$1,0),FALSE),"")</f>
        <v/>
      </c>
      <c r="AO157" s="31" t="str">
        <f t="shared" si="9"/>
        <v/>
      </c>
      <c r="AP157" s="31" t="str">
        <f t="shared" si="10"/>
        <v/>
      </c>
      <c r="AR157" s="32" t="str">
        <f t="shared" si="11"/>
        <v/>
      </c>
    </row>
    <row r="158" spans="1:44" s="31" customFormat="1" x14ac:dyDescent="0.45">
      <c r="A158" s="31" t="s">
        <v>457</v>
      </c>
      <c r="B158" s="31" t="s">
        <v>456</v>
      </c>
      <c r="C158" s="31">
        <f>IFERROR(VLOOKUP($B158,Kraftvärmeprod!$B$1:$AH$479,MATCH(C$2,Kraftvärmeprod!$B$1:$AG$1,0),FALSE)/1,"")</f>
        <v>199.51</v>
      </c>
      <c r="D158" s="31">
        <f>IFERROR(VLOOKUP($B158,Kraftvärmeprod!$B$1:$AH$479,MATCH(D$2,Kraftvärmeprod!$B$1:$AG$1,0),FALSE)/1,"")</f>
        <v>22.58</v>
      </c>
      <c r="F158" s="31">
        <f>IF($D158="","",IFERROR(VLOOKUP($B158,Kraftvärmeprod!$B$1:$BX$550,MATCH(F$2,Kraftvärmeprod!$B$1:$VX$1,0),FALSE)/1,0)-IFERROR(VLOOKUP($B158,'Slutlig allokering kvv'!$B$2:$BX$550,MATCH(F$2,'Slutlig allokering kvv'!$B$1:$BX$1,0),FALSE)/1,0))</f>
        <v>0</v>
      </c>
      <c r="G158" s="31">
        <f>IF($D158="","",IFERROR(VLOOKUP($B158,Kraftvärmeprod!$B$1:$BX$550,MATCH(G$2,Kraftvärmeprod!$B$1:$VX$1,0),FALSE)/1,0)-IFERROR(VLOOKUP($B158,'Slutlig allokering kvv'!$B$2:$BX$550,MATCH(G$2,'Slutlig allokering kvv'!$B$1:$BX$1,0),FALSE)/1,0))</f>
        <v>0</v>
      </c>
      <c r="H158" s="31">
        <f>IF($D158="","",IFERROR(VLOOKUP($B158,Kraftvärmeprod!$B$1:$BX$550,MATCH(H$2,Kraftvärmeprod!$B$1:$VX$1,0),FALSE)/1,0)-IFERROR(VLOOKUP($B158,'Slutlig allokering kvv'!$B$2:$BX$550,MATCH(H$2,'Slutlig allokering kvv'!$B$1:$BX$1,0),FALSE)/1,0))</f>
        <v>0</v>
      </c>
      <c r="I158" s="31">
        <f>IF($D158="","",IFERROR(VLOOKUP($B158,Kraftvärmeprod!$B$1:$BX$550,MATCH(I$2,Kraftvärmeprod!$B$1:$VX$1,0),FALSE)/1,0)-IFERROR(VLOOKUP($B158,'Slutlig allokering kvv'!$B$2:$BX$550,MATCH(I$2,'Slutlig allokering kvv'!$B$1:$BX$1,0),FALSE)/1,0))</f>
        <v>0</v>
      </c>
      <c r="J158" s="31">
        <f>IF($D158="","",IFERROR(VLOOKUP($B158,Kraftvärmeprod!$B$1:$BX$550,MATCH(J$2,Kraftvärmeprod!$B$1:$VX$1,0),FALSE)/1,0)-IFERROR(VLOOKUP($B158,'Slutlig allokering kvv'!$B$2:$BX$550,MATCH(J$2,'Slutlig allokering kvv'!$B$1:$BX$1,0),FALSE)/1,0))</f>
        <v>0</v>
      </c>
      <c r="K158" s="31">
        <f>IF($D158="","",IFERROR(VLOOKUP($B158,Kraftvärmeprod!$B$1:$BX$550,MATCH(K$2,Kraftvärmeprod!$B$1:$VX$1,0),FALSE)/1,0)-IFERROR(VLOOKUP($B158,'Slutlig allokering kvv'!$B$2:$BX$550,MATCH(K$2,'Slutlig allokering kvv'!$B$1:$BX$1,0),FALSE)/1,0))</f>
        <v>0</v>
      </c>
      <c r="L158" s="31">
        <f>IF($D158="","",IFERROR(VLOOKUP($B158,Kraftvärmeprod!$B$1:$BX$550,MATCH(L$2,Kraftvärmeprod!$B$1:$VX$1,0),FALSE)/1,0)-IFERROR(VLOOKUP($B158,'Slutlig allokering kvv'!$B$2:$BX$550,MATCH(L$2,'Slutlig allokering kvv'!$B$1:$BX$1,0),FALSE)/1,0))</f>
        <v>9.8828000000000031</v>
      </c>
      <c r="M158" s="31">
        <f>IF($D158="","",IFERROR(VLOOKUP($B158,Kraftvärmeprod!$B$1:$BX$550,MATCH(M$2,Kraftvärmeprod!$B$1:$VX$1,0),FALSE)/1,0)-IFERROR(VLOOKUP($B158,'Slutlig allokering kvv'!$B$2:$BX$550,MATCH(M$2,'Slutlig allokering kvv'!$B$1:$BX$1,0),FALSE)/1,0))</f>
        <v>0</v>
      </c>
      <c r="N158" s="31">
        <f>IF($D158="","",IFERROR(VLOOKUP($B158,Kraftvärmeprod!$B$1:$BX$550,MATCH(N$2,Kraftvärmeprod!$B$1:$VX$1,0),FALSE)/1,0)-IFERROR(VLOOKUP($B158,'Slutlig allokering kvv'!$B$2:$BX$550,MATCH(N$2,'Slutlig allokering kvv'!$B$1:$BX$1,0),FALSE)/1,0))</f>
        <v>0</v>
      </c>
      <c r="O158" s="31">
        <f>IF($D158="","",IFERROR(VLOOKUP($B158,Kraftvärmeprod!$B$1:$BX$550,MATCH(O$2,Kraftvärmeprod!$B$1:$VX$1,0),FALSE)/1,0)-IFERROR(VLOOKUP($B158,'Slutlig allokering kvv'!$B$2:$BX$550,MATCH(O$2,'Slutlig allokering kvv'!$B$1:$BX$1,0),FALSE)/1,0))</f>
        <v>0</v>
      </c>
      <c r="P158" s="31">
        <f>IF($D158="","",IFERROR(VLOOKUP($B158,Kraftvärmeprod!$B$1:$BX$550,MATCH(P$2,Kraftvärmeprod!$B$1:$VX$1,0),FALSE)/1,0)-IFERROR(VLOOKUP($B158,'Slutlig allokering kvv'!$B$2:$BX$550,MATCH(P$2,'Slutlig allokering kvv'!$B$1:$BX$1,0),FALSE)/1,0))</f>
        <v>0</v>
      </c>
      <c r="Q158" s="31">
        <f>IF($D158="","",IFERROR(VLOOKUP($B158,Kraftvärmeprod!$B$1:$BX$550,MATCH(Q$2,Kraftvärmeprod!$B$1:$VX$1,0),FALSE)/1,0)-IFERROR(VLOOKUP($B158,'Slutlig allokering kvv'!$B$2:$BX$550,MATCH(Q$2,'Slutlig allokering kvv'!$B$1:$BX$1,0),FALSE)/1,0))</f>
        <v>0</v>
      </c>
      <c r="R158" s="31">
        <f>IF($D158="","",IFERROR(VLOOKUP($B158,Kraftvärmeprod!$B$1:$BX$550,MATCH(R$2,Kraftvärmeprod!$B$1:$VX$1,0),FALSE)/1,0)-IFERROR(VLOOKUP($B158,'Slutlig allokering kvv'!$B$2:$BX$550,MATCH(R$2,'Slutlig allokering kvv'!$B$1:$BX$1,0),FALSE)/1,0))</f>
        <v>0</v>
      </c>
      <c r="S158" s="31">
        <f>IF($D158="","",IFERROR(VLOOKUP($B158,Kraftvärmeprod!$B$1:$BX$550,MATCH(S$2,Kraftvärmeprod!$B$1:$VX$1,0),FALSE)/1,0)-IFERROR(VLOOKUP($B158,'Slutlig allokering kvv'!$B$2:$BX$550,MATCH(S$2,'Slutlig allokering kvv'!$B$1:$BX$1,0),FALSE)/1,0))</f>
        <v>0</v>
      </c>
      <c r="T158" s="31">
        <f>IF($D158="","",IFERROR(VLOOKUP($B158,Kraftvärmeprod!$B$1:$BX$550,MATCH(T$2,Kraftvärmeprod!$B$1:$VX$1,0),FALSE)/1,0)-IFERROR(VLOOKUP($B158,'Slutlig allokering kvv'!$B$2:$BX$550,MATCH(T$2,'Slutlig allokering kvv'!$B$1:$BX$1,0),FALSE)/1,0))</f>
        <v>0</v>
      </c>
      <c r="U158" s="31">
        <f>IF($D158="","",IFERROR(VLOOKUP($B158,Kraftvärmeprod!$B$1:$BX$550,MATCH(U$2,Kraftvärmeprod!$B$1:$VX$1,0),FALSE)/1,0)-IFERROR(VLOOKUP($B158,'Slutlig allokering kvv'!$B$2:$BX$550,MATCH(U$2,'Slutlig allokering kvv'!$B$1:$BX$1,0),FALSE)/1,0))</f>
        <v>0</v>
      </c>
      <c r="V158" s="31">
        <f>IF($D158="","",IFERROR(VLOOKUP($B158,Kraftvärmeprod!$B$1:$BX$550,MATCH(V$2,Kraftvärmeprod!$B$1:$VX$1,0),FALSE)/1,0)-IFERROR(VLOOKUP($B158,'Slutlig allokering kvv'!$B$2:$BX$550,MATCH(V$2,'Slutlig allokering kvv'!$B$1:$BX$1,0),FALSE)/1,0))</f>
        <v>6.4070999999999998</v>
      </c>
      <c r="W158" s="31">
        <f>IF($D158="","",IFERROR(VLOOKUP($B158,Kraftvärmeprod!$B$1:$BX$550,MATCH(W$2,Kraftvärmeprod!$B$1:$VX$1,0),FALSE)/1,0)-IFERROR(VLOOKUP($B158,'Slutlig allokering kvv'!$B$2:$BX$550,MATCH(W$2,'Slutlig allokering kvv'!$B$1:$BX$1,0),FALSE)/1,0))</f>
        <v>0</v>
      </c>
      <c r="X158" s="31">
        <f>IF($D158="","",IFERROR(VLOOKUP($B158,Kraftvärmeprod!$B$1:$BX$550,MATCH(X$2,Kraftvärmeprod!$B$1:$VX$1,0),FALSE)/1,0)-IFERROR(VLOOKUP($B158,'Slutlig allokering kvv'!$B$2:$BX$550,MATCH(X$2,'Slutlig allokering kvv'!$B$1:$BX$1,0),FALSE)/1,0))</f>
        <v>0</v>
      </c>
      <c r="Y158" s="31">
        <f>IF($D158="","",IFERROR(VLOOKUP($B158,Kraftvärmeprod!$B$1:$BX$550,MATCH(Y$2,Kraftvärmeprod!$B$1:$VX$1,0),FALSE)/1,0)-IFERROR(VLOOKUP($B158,'Slutlig allokering kvv'!$B$2:$BX$550,MATCH(Y$2,'Slutlig allokering kvv'!$B$1:$BX$1,0),FALSE)/1,0))</f>
        <v>0</v>
      </c>
      <c r="Z158" s="31">
        <f>IF($D158="","",IFERROR(VLOOKUP($B158,Kraftvärmeprod!$B$1:$BX$550,MATCH(Z$2,Kraftvärmeprod!$B$1:$VX$1,0),FALSE)/1,0)-IFERROR(VLOOKUP($B158,'Slutlig allokering kvv'!$B$2:$BX$550,MATCH(Z$2,'Slutlig allokering kvv'!$B$1:$BX$1,0),FALSE)/1,0))</f>
        <v>0</v>
      </c>
      <c r="AA158" s="31">
        <f>IF($D158="","",IFERROR(VLOOKUP($B158,Kraftvärmeprod!$B$1:$BX$550,MATCH(AA$2,Kraftvärmeprod!$B$1:$VX$1,0),FALSE)/1,0)-IFERROR(VLOOKUP($B158,'Slutlig allokering kvv'!$B$2:$BX$550,MATCH(AA$2,'Slutlig allokering kvv'!$B$1:$BX$1,0),FALSE)/1,0))</f>
        <v>41.134000000000015</v>
      </c>
      <c r="AB158" s="31">
        <f>IF($D158="","",IFERROR(VLOOKUP($B158,Kraftvärmeprod!$B$1:$BX$550,MATCH(AB$2,Kraftvärmeprod!$B$1:$VX$1,0),FALSE)/1,0)-IFERROR(VLOOKUP($B158,'Slutlig allokering kvv'!$B$2:$BX$550,MATCH(AB$2,'Slutlig allokering kvv'!$B$1:$BX$1,0),FALSE)/1,0))</f>
        <v>0</v>
      </c>
      <c r="AC158" s="31">
        <f>IF($D158="","",IFERROR(VLOOKUP($B158,Kraftvärmeprod!$B$1:$BX$550,MATCH(AC$2,Kraftvärmeprod!$B$1:$VX$1,0),FALSE)/1,0)-IFERROR(VLOOKUP($B158,'Slutlig allokering kvv'!$B$2:$BX$550,MATCH(AC$2,'Slutlig allokering kvv'!$B$1:$BX$1,0),FALSE)/1,0))</f>
        <v>0</v>
      </c>
      <c r="AD158" s="31">
        <f>IF($D158="","",IFERROR(VLOOKUP($B158,Kraftvärmeprod!$B$1:$BX$550,MATCH(AD$2,Kraftvärmeprod!$B$1:$VX$1,0),FALSE)/1,0)-IFERROR(VLOOKUP($B158,'Slutlig allokering kvv'!$B$2:$BX$550,MATCH(AD$2,'Slutlig allokering kvv'!$B$1:$BX$1,0),FALSE)/1,0))</f>
        <v>0</v>
      </c>
      <c r="AE158" s="31">
        <f>IF($D158="","",IFERROR(VLOOKUP($B158,Miljö!$B$1:$E$550,MATCH("Hjälpel kraftvärme (GWh)",Miljö!$B$1:$E$1,0),FALSE)/1,0)-IFERROR(VLOOKUP($B158,'Slutlig allokering kvv'!$B$2:$BX$549,MATCH(AE$2,'Slutlig allokering kvv'!$B$1:$BX$1,0),FALSE)/1,0))</f>
        <v>0</v>
      </c>
      <c r="AI158" s="39">
        <f t="shared" si="8"/>
        <v>57.423900000000017</v>
      </c>
      <c r="AK158" s="31">
        <f>IFERROR(VLOOKUP($B158,'Slutlig allokering kvv'!$B$2:$AX$549,MATCH("Summa slutlig allokerad tillförd energi (utan hjälpel och rökgaskondensering):",'Slutlig allokering kvv'!$B$1:$AX$1,0),FALSE)/1,"")</f>
        <v>168.80609999999999</v>
      </c>
      <c r="AM158" s="31">
        <f>IFERROR(1-VLOOKUP($B158,'Slutlig allokering kvv'!$B$2:$AX$549,MATCH("Andel av bränsle i kvv som allokerats till värme, exklusive rökgaskondensering och hjälpel",'Slutlig allokering kvv'!$B$1:$AX$1,0),FALSE),"")</f>
        <v>0.25382973080493321</v>
      </c>
      <c r="AO158" s="31">
        <f t="shared" si="9"/>
        <v>0.2538297308049331</v>
      </c>
      <c r="AP158" s="31">
        <f t="shared" si="10"/>
        <v>1.1102230246251565E-16</v>
      </c>
      <c r="AR158" s="32">
        <f t="shared" si="11"/>
        <v>0.39321606508788137</v>
      </c>
    </row>
    <row r="159" spans="1:44" s="31" customFormat="1" x14ac:dyDescent="0.45">
      <c r="A159" s="31" t="s">
        <v>453</v>
      </c>
      <c r="B159" s="31" t="s">
        <v>455</v>
      </c>
      <c r="C159" s="31" t="str">
        <f>IFERROR(VLOOKUP($B159,Kraftvärmeprod!$B$1:$AH$479,MATCH(C$2,Kraftvärmeprod!$B$1:$AG$1,0),FALSE)/1,"")</f>
        <v/>
      </c>
      <c r="D159" s="31" t="str">
        <f>IFERROR(VLOOKUP($B159,Kraftvärmeprod!$B$1:$AH$479,MATCH(D$2,Kraftvärmeprod!$B$1:$AG$1,0),FALSE)/1,"")</f>
        <v/>
      </c>
      <c r="F159" s="31" t="str">
        <f>IF($D159="","",IFERROR(VLOOKUP($B159,Kraftvärmeprod!$B$1:$BX$550,MATCH(F$2,Kraftvärmeprod!$B$1:$VX$1,0),FALSE)/1,0)-IFERROR(VLOOKUP($B159,'Slutlig allokering kvv'!$B$2:$BX$550,MATCH(F$2,'Slutlig allokering kvv'!$B$1:$BX$1,0),FALSE)/1,0))</f>
        <v/>
      </c>
      <c r="G159" s="31" t="str">
        <f>IF($D159="","",IFERROR(VLOOKUP($B159,Kraftvärmeprod!$B$1:$BX$550,MATCH(G$2,Kraftvärmeprod!$B$1:$VX$1,0),FALSE)/1,0)-IFERROR(VLOOKUP($B159,'Slutlig allokering kvv'!$B$2:$BX$550,MATCH(G$2,'Slutlig allokering kvv'!$B$1:$BX$1,0),FALSE)/1,0))</f>
        <v/>
      </c>
      <c r="H159" s="31" t="str">
        <f>IF($D159="","",IFERROR(VLOOKUP($B159,Kraftvärmeprod!$B$1:$BX$550,MATCH(H$2,Kraftvärmeprod!$B$1:$VX$1,0),FALSE)/1,0)-IFERROR(VLOOKUP($B159,'Slutlig allokering kvv'!$B$2:$BX$550,MATCH(H$2,'Slutlig allokering kvv'!$B$1:$BX$1,0),FALSE)/1,0))</f>
        <v/>
      </c>
      <c r="I159" s="31" t="str">
        <f>IF($D159="","",IFERROR(VLOOKUP($B159,Kraftvärmeprod!$B$1:$BX$550,MATCH(I$2,Kraftvärmeprod!$B$1:$VX$1,0),FALSE)/1,0)-IFERROR(VLOOKUP($B159,'Slutlig allokering kvv'!$B$2:$BX$550,MATCH(I$2,'Slutlig allokering kvv'!$B$1:$BX$1,0),FALSE)/1,0))</f>
        <v/>
      </c>
      <c r="J159" s="31" t="str">
        <f>IF($D159="","",IFERROR(VLOOKUP($B159,Kraftvärmeprod!$B$1:$BX$550,MATCH(J$2,Kraftvärmeprod!$B$1:$VX$1,0),FALSE)/1,0)-IFERROR(VLOOKUP($B159,'Slutlig allokering kvv'!$B$2:$BX$550,MATCH(J$2,'Slutlig allokering kvv'!$B$1:$BX$1,0),FALSE)/1,0))</f>
        <v/>
      </c>
      <c r="K159" s="31" t="str">
        <f>IF($D159="","",IFERROR(VLOOKUP($B159,Kraftvärmeprod!$B$1:$BX$550,MATCH(K$2,Kraftvärmeprod!$B$1:$VX$1,0),FALSE)/1,0)-IFERROR(VLOOKUP($B159,'Slutlig allokering kvv'!$B$2:$BX$550,MATCH(K$2,'Slutlig allokering kvv'!$B$1:$BX$1,0),FALSE)/1,0))</f>
        <v/>
      </c>
      <c r="L159" s="31" t="str">
        <f>IF($D159="","",IFERROR(VLOOKUP($B159,Kraftvärmeprod!$B$1:$BX$550,MATCH(L$2,Kraftvärmeprod!$B$1:$VX$1,0),FALSE)/1,0)-IFERROR(VLOOKUP($B159,'Slutlig allokering kvv'!$B$2:$BX$550,MATCH(L$2,'Slutlig allokering kvv'!$B$1:$BX$1,0),FALSE)/1,0))</f>
        <v/>
      </c>
      <c r="M159" s="31" t="str">
        <f>IF($D159="","",IFERROR(VLOOKUP($B159,Kraftvärmeprod!$B$1:$BX$550,MATCH(M$2,Kraftvärmeprod!$B$1:$VX$1,0),FALSE)/1,0)-IFERROR(VLOOKUP($B159,'Slutlig allokering kvv'!$B$2:$BX$550,MATCH(M$2,'Slutlig allokering kvv'!$B$1:$BX$1,0),FALSE)/1,0))</f>
        <v/>
      </c>
      <c r="N159" s="31" t="str">
        <f>IF($D159="","",IFERROR(VLOOKUP($B159,Kraftvärmeprod!$B$1:$BX$550,MATCH(N$2,Kraftvärmeprod!$B$1:$VX$1,0),FALSE)/1,0)-IFERROR(VLOOKUP($B159,'Slutlig allokering kvv'!$B$2:$BX$550,MATCH(N$2,'Slutlig allokering kvv'!$B$1:$BX$1,0),FALSE)/1,0))</f>
        <v/>
      </c>
      <c r="O159" s="31" t="str">
        <f>IF($D159="","",IFERROR(VLOOKUP($B159,Kraftvärmeprod!$B$1:$BX$550,MATCH(O$2,Kraftvärmeprod!$B$1:$VX$1,0),FALSE)/1,0)-IFERROR(VLOOKUP($B159,'Slutlig allokering kvv'!$B$2:$BX$550,MATCH(O$2,'Slutlig allokering kvv'!$B$1:$BX$1,0),FALSE)/1,0))</f>
        <v/>
      </c>
      <c r="P159" s="31" t="str">
        <f>IF($D159="","",IFERROR(VLOOKUP($B159,Kraftvärmeprod!$B$1:$BX$550,MATCH(P$2,Kraftvärmeprod!$B$1:$VX$1,0),FALSE)/1,0)-IFERROR(VLOOKUP($B159,'Slutlig allokering kvv'!$B$2:$BX$550,MATCH(P$2,'Slutlig allokering kvv'!$B$1:$BX$1,0),FALSE)/1,0))</f>
        <v/>
      </c>
      <c r="Q159" s="31" t="str">
        <f>IF($D159="","",IFERROR(VLOOKUP($B159,Kraftvärmeprod!$B$1:$BX$550,MATCH(Q$2,Kraftvärmeprod!$B$1:$VX$1,0),FALSE)/1,0)-IFERROR(VLOOKUP($B159,'Slutlig allokering kvv'!$B$2:$BX$550,MATCH(Q$2,'Slutlig allokering kvv'!$B$1:$BX$1,0),FALSE)/1,0))</f>
        <v/>
      </c>
      <c r="R159" s="31" t="str">
        <f>IF($D159="","",IFERROR(VLOOKUP($B159,Kraftvärmeprod!$B$1:$BX$550,MATCH(R$2,Kraftvärmeprod!$B$1:$VX$1,0),FALSE)/1,0)-IFERROR(VLOOKUP($B159,'Slutlig allokering kvv'!$B$2:$BX$550,MATCH(R$2,'Slutlig allokering kvv'!$B$1:$BX$1,0),FALSE)/1,0))</f>
        <v/>
      </c>
      <c r="S159" s="31" t="str">
        <f>IF($D159="","",IFERROR(VLOOKUP($B159,Kraftvärmeprod!$B$1:$BX$550,MATCH(S$2,Kraftvärmeprod!$B$1:$VX$1,0),FALSE)/1,0)-IFERROR(VLOOKUP($B159,'Slutlig allokering kvv'!$B$2:$BX$550,MATCH(S$2,'Slutlig allokering kvv'!$B$1:$BX$1,0),FALSE)/1,0))</f>
        <v/>
      </c>
      <c r="T159" s="31" t="str">
        <f>IF($D159="","",IFERROR(VLOOKUP($B159,Kraftvärmeprod!$B$1:$BX$550,MATCH(T$2,Kraftvärmeprod!$B$1:$VX$1,0),FALSE)/1,0)-IFERROR(VLOOKUP($B159,'Slutlig allokering kvv'!$B$2:$BX$550,MATCH(T$2,'Slutlig allokering kvv'!$B$1:$BX$1,0),FALSE)/1,0))</f>
        <v/>
      </c>
      <c r="U159" s="31" t="str">
        <f>IF($D159="","",IFERROR(VLOOKUP($B159,Kraftvärmeprod!$B$1:$BX$550,MATCH(U$2,Kraftvärmeprod!$B$1:$VX$1,0),FALSE)/1,0)-IFERROR(VLOOKUP($B159,'Slutlig allokering kvv'!$B$2:$BX$550,MATCH(U$2,'Slutlig allokering kvv'!$B$1:$BX$1,0),FALSE)/1,0))</f>
        <v/>
      </c>
      <c r="V159" s="31" t="str">
        <f>IF($D159="","",IFERROR(VLOOKUP($B159,Kraftvärmeprod!$B$1:$BX$550,MATCH(V$2,Kraftvärmeprod!$B$1:$VX$1,0),FALSE)/1,0)-IFERROR(VLOOKUP($B159,'Slutlig allokering kvv'!$B$2:$BX$550,MATCH(V$2,'Slutlig allokering kvv'!$B$1:$BX$1,0),FALSE)/1,0))</f>
        <v/>
      </c>
      <c r="W159" s="31" t="str">
        <f>IF($D159="","",IFERROR(VLOOKUP($B159,Kraftvärmeprod!$B$1:$BX$550,MATCH(W$2,Kraftvärmeprod!$B$1:$VX$1,0),FALSE)/1,0)-IFERROR(VLOOKUP($B159,'Slutlig allokering kvv'!$B$2:$BX$550,MATCH(W$2,'Slutlig allokering kvv'!$B$1:$BX$1,0),FALSE)/1,0))</f>
        <v/>
      </c>
      <c r="X159" s="31" t="str">
        <f>IF($D159="","",IFERROR(VLOOKUP($B159,Kraftvärmeprod!$B$1:$BX$550,MATCH(X$2,Kraftvärmeprod!$B$1:$VX$1,0),FALSE)/1,0)-IFERROR(VLOOKUP($B159,'Slutlig allokering kvv'!$B$2:$BX$550,MATCH(X$2,'Slutlig allokering kvv'!$B$1:$BX$1,0),FALSE)/1,0))</f>
        <v/>
      </c>
      <c r="Y159" s="31" t="str">
        <f>IF($D159="","",IFERROR(VLOOKUP($B159,Kraftvärmeprod!$B$1:$BX$550,MATCH(Y$2,Kraftvärmeprod!$B$1:$VX$1,0),FALSE)/1,0)-IFERROR(VLOOKUP($B159,'Slutlig allokering kvv'!$B$2:$BX$550,MATCH(Y$2,'Slutlig allokering kvv'!$B$1:$BX$1,0),FALSE)/1,0))</f>
        <v/>
      </c>
      <c r="Z159" s="31" t="str">
        <f>IF($D159="","",IFERROR(VLOOKUP($B159,Kraftvärmeprod!$B$1:$BX$550,MATCH(Z$2,Kraftvärmeprod!$B$1:$VX$1,0),FALSE)/1,0)-IFERROR(VLOOKUP($B159,'Slutlig allokering kvv'!$B$2:$BX$550,MATCH(Z$2,'Slutlig allokering kvv'!$B$1:$BX$1,0),FALSE)/1,0))</f>
        <v/>
      </c>
      <c r="AA159" s="31" t="str">
        <f>IF($D159="","",IFERROR(VLOOKUP($B159,Kraftvärmeprod!$B$1:$BX$550,MATCH(AA$2,Kraftvärmeprod!$B$1:$VX$1,0),FALSE)/1,0)-IFERROR(VLOOKUP($B159,'Slutlig allokering kvv'!$B$2:$BX$550,MATCH(AA$2,'Slutlig allokering kvv'!$B$1:$BX$1,0),FALSE)/1,0))</f>
        <v/>
      </c>
      <c r="AB159" s="31" t="str">
        <f>IF($D159="","",IFERROR(VLOOKUP($B159,Kraftvärmeprod!$B$1:$BX$550,MATCH(AB$2,Kraftvärmeprod!$B$1:$VX$1,0),FALSE)/1,0)-IFERROR(VLOOKUP($B159,'Slutlig allokering kvv'!$B$2:$BX$550,MATCH(AB$2,'Slutlig allokering kvv'!$B$1:$BX$1,0),FALSE)/1,0))</f>
        <v/>
      </c>
      <c r="AC159" s="31" t="str">
        <f>IF($D159="","",IFERROR(VLOOKUP($B159,Kraftvärmeprod!$B$1:$BX$550,MATCH(AC$2,Kraftvärmeprod!$B$1:$VX$1,0),FALSE)/1,0)-IFERROR(VLOOKUP($B159,'Slutlig allokering kvv'!$B$2:$BX$550,MATCH(AC$2,'Slutlig allokering kvv'!$B$1:$BX$1,0),FALSE)/1,0))</f>
        <v/>
      </c>
      <c r="AD159" s="31" t="str">
        <f>IF($D159="","",IFERROR(VLOOKUP($B159,Kraftvärmeprod!$B$1:$BX$550,MATCH(AD$2,Kraftvärmeprod!$B$1:$VX$1,0),FALSE)/1,0)-IFERROR(VLOOKUP($B159,'Slutlig allokering kvv'!$B$2:$BX$550,MATCH(AD$2,'Slutlig allokering kvv'!$B$1:$BX$1,0),FALSE)/1,0))</f>
        <v/>
      </c>
      <c r="AE159" s="31" t="str">
        <f>IF($D159="","",IFERROR(VLOOKUP($B159,Miljö!$B$1:$E$550,MATCH("Hjälpel kraftvärme (GWh)",Miljö!$B$1:$E$1,0),FALSE)/1,0)-IFERROR(VLOOKUP($B159,'Slutlig allokering kvv'!$B$2:$BX$549,MATCH(AE$2,'Slutlig allokering kvv'!$B$1:$BX$1,0),FALSE)/1,0))</f>
        <v/>
      </c>
      <c r="AI159" s="39">
        <f t="shared" si="8"/>
        <v>0</v>
      </c>
      <c r="AK159" s="31">
        <f>IFERROR(VLOOKUP($B159,'Slutlig allokering kvv'!$B$2:$AX$549,MATCH("Summa slutlig allokerad tillförd energi (utan hjälpel och rökgaskondensering):",'Slutlig allokering kvv'!$B$1:$AX$1,0),FALSE)/1,"")</f>
        <v>0</v>
      </c>
      <c r="AM159" s="31" t="str">
        <f>IFERROR(1-VLOOKUP($B159,'Slutlig allokering kvv'!$B$2:$AX$549,MATCH("Andel av bränsle i kvv som allokerats till värme, exklusive rökgaskondensering och hjälpel",'Slutlig allokering kvv'!$B$1:$AX$1,0),FALSE),"")</f>
        <v/>
      </c>
      <c r="AO159" s="31" t="str">
        <f t="shared" si="9"/>
        <v/>
      </c>
      <c r="AP159" s="31" t="str">
        <f t="shared" si="10"/>
        <v/>
      </c>
      <c r="AR159" s="32" t="str">
        <f t="shared" si="11"/>
        <v/>
      </c>
    </row>
    <row r="160" spans="1:44" s="31" customFormat="1" x14ac:dyDescent="0.45">
      <c r="A160" s="31" t="s">
        <v>453</v>
      </c>
      <c r="B160" s="31" t="s">
        <v>454</v>
      </c>
      <c r="C160" s="31" t="str">
        <f>IFERROR(VLOOKUP($B160,Kraftvärmeprod!$B$1:$AH$479,MATCH(C$2,Kraftvärmeprod!$B$1:$AG$1,0),FALSE)/1,"")</f>
        <v/>
      </c>
      <c r="D160" s="31" t="str">
        <f>IFERROR(VLOOKUP($B160,Kraftvärmeprod!$B$1:$AH$479,MATCH(D$2,Kraftvärmeprod!$B$1:$AG$1,0),FALSE)/1,"")</f>
        <v/>
      </c>
      <c r="F160" s="31" t="str">
        <f>IF($D160="","",IFERROR(VLOOKUP($B160,Kraftvärmeprod!$B$1:$BX$550,MATCH(F$2,Kraftvärmeprod!$B$1:$VX$1,0),FALSE)/1,0)-IFERROR(VLOOKUP($B160,'Slutlig allokering kvv'!$B$2:$BX$550,MATCH(F$2,'Slutlig allokering kvv'!$B$1:$BX$1,0),FALSE)/1,0))</f>
        <v/>
      </c>
      <c r="G160" s="31" t="str">
        <f>IF($D160="","",IFERROR(VLOOKUP($B160,Kraftvärmeprod!$B$1:$BX$550,MATCH(G$2,Kraftvärmeprod!$B$1:$VX$1,0),FALSE)/1,0)-IFERROR(VLOOKUP($B160,'Slutlig allokering kvv'!$B$2:$BX$550,MATCH(G$2,'Slutlig allokering kvv'!$B$1:$BX$1,0),FALSE)/1,0))</f>
        <v/>
      </c>
      <c r="H160" s="31" t="str">
        <f>IF($D160="","",IFERROR(VLOOKUP($B160,Kraftvärmeprod!$B$1:$BX$550,MATCH(H$2,Kraftvärmeprod!$B$1:$VX$1,0),FALSE)/1,0)-IFERROR(VLOOKUP($B160,'Slutlig allokering kvv'!$B$2:$BX$550,MATCH(H$2,'Slutlig allokering kvv'!$B$1:$BX$1,0),FALSE)/1,0))</f>
        <v/>
      </c>
      <c r="I160" s="31" t="str">
        <f>IF($D160="","",IFERROR(VLOOKUP($B160,Kraftvärmeprod!$B$1:$BX$550,MATCH(I$2,Kraftvärmeprod!$B$1:$VX$1,0),FALSE)/1,0)-IFERROR(VLOOKUP($B160,'Slutlig allokering kvv'!$B$2:$BX$550,MATCH(I$2,'Slutlig allokering kvv'!$B$1:$BX$1,0),FALSE)/1,0))</f>
        <v/>
      </c>
      <c r="J160" s="31" t="str">
        <f>IF($D160="","",IFERROR(VLOOKUP($B160,Kraftvärmeprod!$B$1:$BX$550,MATCH(J$2,Kraftvärmeprod!$B$1:$VX$1,0),FALSE)/1,0)-IFERROR(VLOOKUP($B160,'Slutlig allokering kvv'!$B$2:$BX$550,MATCH(J$2,'Slutlig allokering kvv'!$B$1:$BX$1,0),FALSE)/1,0))</f>
        <v/>
      </c>
      <c r="K160" s="31" t="str">
        <f>IF($D160="","",IFERROR(VLOOKUP($B160,Kraftvärmeprod!$B$1:$BX$550,MATCH(K$2,Kraftvärmeprod!$B$1:$VX$1,0),FALSE)/1,0)-IFERROR(VLOOKUP($B160,'Slutlig allokering kvv'!$B$2:$BX$550,MATCH(K$2,'Slutlig allokering kvv'!$B$1:$BX$1,0),FALSE)/1,0))</f>
        <v/>
      </c>
      <c r="L160" s="31" t="str">
        <f>IF($D160="","",IFERROR(VLOOKUP($B160,Kraftvärmeprod!$B$1:$BX$550,MATCH(L$2,Kraftvärmeprod!$B$1:$VX$1,0),FALSE)/1,0)-IFERROR(VLOOKUP($B160,'Slutlig allokering kvv'!$B$2:$BX$550,MATCH(L$2,'Slutlig allokering kvv'!$B$1:$BX$1,0),FALSE)/1,0))</f>
        <v/>
      </c>
      <c r="M160" s="31" t="str">
        <f>IF($D160="","",IFERROR(VLOOKUP($B160,Kraftvärmeprod!$B$1:$BX$550,MATCH(M$2,Kraftvärmeprod!$B$1:$VX$1,0),FALSE)/1,0)-IFERROR(VLOOKUP($B160,'Slutlig allokering kvv'!$B$2:$BX$550,MATCH(M$2,'Slutlig allokering kvv'!$B$1:$BX$1,0),FALSE)/1,0))</f>
        <v/>
      </c>
      <c r="N160" s="31" t="str">
        <f>IF($D160="","",IFERROR(VLOOKUP($B160,Kraftvärmeprod!$B$1:$BX$550,MATCH(N$2,Kraftvärmeprod!$B$1:$VX$1,0),FALSE)/1,0)-IFERROR(VLOOKUP($B160,'Slutlig allokering kvv'!$B$2:$BX$550,MATCH(N$2,'Slutlig allokering kvv'!$B$1:$BX$1,0),FALSE)/1,0))</f>
        <v/>
      </c>
      <c r="O160" s="31" t="str">
        <f>IF($D160="","",IFERROR(VLOOKUP($B160,Kraftvärmeprod!$B$1:$BX$550,MATCH(O$2,Kraftvärmeprod!$B$1:$VX$1,0),FALSE)/1,0)-IFERROR(VLOOKUP($B160,'Slutlig allokering kvv'!$B$2:$BX$550,MATCH(O$2,'Slutlig allokering kvv'!$B$1:$BX$1,0),FALSE)/1,0))</f>
        <v/>
      </c>
      <c r="P160" s="31" t="str">
        <f>IF($D160="","",IFERROR(VLOOKUP($B160,Kraftvärmeprod!$B$1:$BX$550,MATCH(P$2,Kraftvärmeprod!$B$1:$VX$1,0),FALSE)/1,0)-IFERROR(VLOOKUP($B160,'Slutlig allokering kvv'!$B$2:$BX$550,MATCH(P$2,'Slutlig allokering kvv'!$B$1:$BX$1,0),FALSE)/1,0))</f>
        <v/>
      </c>
      <c r="Q160" s="31" t="str">
        <f>IF($D160="","",IFERROR(VLOOKUP($B160,Kraftvärmeprod!$B$1:$BX$550,MATCH(Q$2,Kraftvärmeprod!$B$1:$VX$1,0),FALSE)/1,0)-IFERROR(VLOOKUP($B160,'Slutlig allokering kvv'!$B$2:$BX$550,MATCH(Q$2,'Slutlig allokering kvv'!$B$1:$BX$1,0),FALSE)/1,0))</f>
        <v/>
      </c>
      <c r="R160" s="31" t="str">
        <f>IF($D160="","",IFERROR(VLOOKUP($B160,Kraftvärmeprod!$B$1:$BX$550,MATCH(R$2,Kraftvärmeprod!$B$1:$VX$1,0),FALSE)/1,0)-IFERROR(VLOOKUP($B160,'Slutlig allokering kvv'!$B$2:$BX$550,MATCH(R$2,'Slutlig allokering kvv'!$B$1:$BX$1,0),FALSE)/1,0))</f>
        <v/>
      </c>
      <c r="S160" s="31" t="str">
        <f>IF($D160="","",IFERROR(VLOOKUP($B160,Kraftvärmeprod!$B$1:$BX$550,MATCH(S$2,Kraftvärmeprod!$B$1:$VX$1,0),FALSE)/1,0)-IFERROR(VLOOKUP($B160,'Slutlig allokering kvv'!$B$2:$BX$550,MATCH(S$2,'Slutlig allokering kvv'!$B$1:$BX$1,0),FALSE)/1,0))</f>
        <v/>
      </c>
      <c r="T160" s="31" t="str">
        <f>IF($D160="","",IFERROR(VLOOKUP($B160,Kraftvärmeprod!$B$1:$BX$550,MATCH(T$2,Kraftvärmeprod!$B$1:$VX$1,0),FALSE)/1,0)-IFERROR(VLOOKUP($B160,'Slutlig allokering kvv'!$B$2:$BX$550,MATCH(T$2,'Slutlig allokering kvv'!$B$1:$BX$1,0),FALSE)/1,0))</f>
        <v/>
      </c>
      <c r="U160" s="31" t="str">
        <f>IF($D160="","",IFERROR(VLOOKUP($B160,Kraftvärmeprod!$B$1:$BX$550,MATCH(U$2,Kraftvärmeprod!$B$1:$VX$1,0),FALSE)/1,0)-IFERROR(VLOOKUP($B160,'Slutlig allokering kvv'!$B$2:$BX$550,MATCH(U$2,'Slutlig allokering kvv'!$B$1:$BX$1,0),FALSE)/1,0))</f>
        <v/>
      </c>
      <c r="V160" s="31" t="str">
        <f>IF($D160="","",IFERROR(VLOOKUP($B160,Kraftvärmeprod!$B$1:$BX$550,MATCH(V$2,Kraftvärmeprod!$B$1:$VX$1,0),FALSE)/1,0)-IFERROR(VLOOKUP($B160,'Slutlig allokering kvv'!$B$2:$BX$550,MATCH(V$2,'Slutlig allokering kvv'!$B$1:$BX$1,0),FALSE)/1,0))</f>
        <v/>
      </c>
      <c r="W160" s="31" t="str">
        <f>IF($D160="","",IFERROR(VLOOKUP($B160,Kraftvärmeprod!$B$1:$BX$550,MATCH(W$2,Kraftvärmeprod!$B$1:$VX$1,0),FALSE)/1,0)-IFERROR(VLOOKUP($B160,'Slutlig allokering kvv'!$B$2:$BX$550,MATCH(W$2,'Slutlig allokering kvv'!$B$1:$BX$1,0),FALSE)/1,0))</f>
        <v/>
      </c>
      <c r="X160" s="31" t="str">
        <f>IF($D160="","",IFERROR(VLOOKUP($B160,Kraftvärmeprod!$B$1:$BX$550,MATCH(X$2,Kraftvärmeprod!$B$1:$VX$1,0),FALSE)/1,0)-IFERROR(VLOOKUP($B160,'Slutlig allokering kvv'!$B$2:$BX$550,MATCH(X$2,'Slutlig allokering kvv'!$B$1:$BX$1,0),FALSE)/1,0))</f>
        <v/>
      </c>
      <c r="Y160" s="31" t="str">
        <f>IF($D160="","",IFERROR(VLOOKUP($B160,Kraftvärmeprod!$B$1:$BX$550,MATCH(Y$2,Kraftvärmeprod!$B$1:$VX$1,0),FALSE)/1,0)-IFERROR(VLOOKUP($B160,'Slutlig allokering kvv'!$B$2:$BX$550,MATCH(Y$2,'Slutlig allokering kvv'!$B$1:$BX$1,0),FALSE)/1,0))</f>
        <v/>
      </c>
      <c r="Z160" s="31" t="str">
        <f>IF($D160="","",IFERROR(VLOOKUP($B160,Kraftvärmeprod!$B$1:$BX$550,MATCH(Z$2,Kraftvärmeprod!$B$1:$VX$1,0),FALSE)/1,0)-IFERROR(VLOOKUP($B160,'Slutlig allokering kvv'!$B$2:$BX$550,MATCH(Z$2,'Slutlig allokering kvv'!$B$1:$BX$1,0),FALSE)/1,0))</f>
        <v/>
      </c>
      <c r="AA160" s="31" t="str">
        <f>IF($D160="","",IFERROR(VLOOKUP($B160,Kraftvärmeprod!$B$1:$BX$550,MATCH(AA$2,Kraftvärmeprod!$B$1:$VX$1,0),FALSE)/1,0)-IFERROR(VLOOKUP($B160,'Slutlig allokering kvv'!$B$2:$BX$550,MATCH(AA$2,'Slutlig allokering kvv'!$B$1:$BX$1,0),FALSE)/1,0))</f>
        <v/>
      </c>
      <c r="AB160" s="31" t="str">
        <f>IF($D160="","",IFERROR(VLOOKUP($B160,Kraftvärmeprod!$B$1:$BX$550,MATCH(AB$2,Kraftvärmeprod!$B$1:$VX$1,0),FALSE)/1,0)-IFERROR(VLOOKUP($B160,'Slutlig allokering kvv'!$B$2:$BX$550,MATCH(AB$2,'Slutlig allokering kvv'!$B$1:$BX$1,0),FALSE)/1,0))</f>
        <v/>
      </c>
      <c r="AC160" s="31" t="str">
        <f>IF($D160="","",IFERROR(VLOOKUP($B160,Kraftvärmeprod!$B$1:$BX$550,MATCH(AC$2,Kraftvärmeprod!$B$1:$VX$1,0),FALSE)/1,0)-IFERROR(VLOOKUP($B160,'Slutlig allokering kvv'!$B$2:$BX$550,MATCH(AC$2,'Slutlig allokering kvv'!$B$1:$BX$1,0),FALSE)/1,0))</f>
        <v/>
      </c>
      <c r="AD160" s="31" t="str">
        <f>IF($D160="","",IFERROR(VLOOKUP($B160,Kraftvärmeprod!$B$1:$BX$550,MATCH(AD$2,Kraftvärmeprod!$B$1:$VX$1,0),FALSE)/1,0)-IFERROR(VLOOKUP($B160,'Slutlig allokering kvv'!$B$2:$BX$550,MATCH(AD$2,'Slutlig allokering kvv'!$B$1:$BX$1,0),FALSE)/1,0))</f>
        <v/>
      </c>
      <c r="AE160" s="31" t="str">
        <f>IF($D160="","",IFERROR(VLOOKUP($B160,Miljö!$B$1:$E$550,MATCH("Hjälpel kraftvärme (GWh)",Miljö!$B$1:$E$1,0),FALSE)/1,0)-IFERROR(VLOOKUP($B160,'Slutlig allokering kvv'!$B$2:$BX$549,MATCH(AE$2,'Slutlig allokering kvv'!$B$1:$BX$1,0),FALSE)/1,0))</f>
        <v/>
      </c>
      <c r="AI160" s="39">
        <f t="shared" si="8"/>
        <v>0</v>
      </c>
      <c r="AK160" s="31">
        <f>IFERROR(VLOOKUP($B160,'Slutlig allokering kvv'!$B$2:$AX$549,MATCH("Summa slutlig allokerad tillförd energi (utan hjälpel och rökgaskondensering):",'Slutlig allokering kvv'!$B$1:$AX$1,0),FALSE)/1,"")</f>
        <v>0</v>
      </c>
      <c r="AM160" s="31" t="str">
        <f>IFERROR(1-VLOOKUP($B160,'Slutlig allokering kvv'!$B$2:$AX$549,MATCH("Andel av bränsle i kvv som allokerats till värme, exklusive rökgaskondensering och hjälpel",'Slutlig allokering kvv'!$B$1:$AX$1,0),FALSE),"")</f>
        <v/>
      </c>
      <c r="AO160" s="31" t="str">
        <f t="shared" si="9"/>
        <v/>
      </c>
      <c r="AP160" s="31" t="str">
        <f t="shared" si="10"/>
        <v/>
      </c>
      <c r="AR160" s="32" t="str">
        <f t="shared" si="11"/>
        <v/>
      </c>
    </row>
    <row r="161" spans="1:44" s="31" customFormat="1" x14ac:dyDescent="0.45">
      <c r="A161" s="31" t="s">
        <v>453</v>
      </c>
      <c r="B161" s="31" t="s">
        <v>452</v>
      </c>
      <c r="C161" s="31" t="str">
        <f>IFERROR(VLOOKUP($B161,Kraftvärmeprod!$B$1:$AH$479,MATCH(C$2,Kraftvärmeprod!$B$1:$AG$1,0),FALSE)/1,"")</f>
        <v/>
      </c>
      <c r="D161" s="31" t="str">
        <f>IFERROR(VLOOKUP($B161,Kraftvärmeprod!$B$1:$AH$479,MATCH(D$2,Kraftvärmeprod!$B$1:$AG$1,0),FALSE)/1,"")</f>
        <v/>
      </c>
      <c r="F161" s="31" t="str">
        <f>IF($D161="","",IFERROR(VLOOKUP($B161,Kraftvärmeprod!$B$1:$BX$550,MATCH(F$2,Kraftvärmeprod!$B$1:$VX$1,0),FALSE)/1,0)-IFERROR(VLOOKUP($B161,'Slutlig allokering kvv'!$B$2:$BX$550,MATCH(F$2,'Slutlig allokering kvv'!$B$1:$BX$1,0),FALSE)/1,0))</f>
        <v/>
      </c>
      <c r="G161" s="31" t="str">
        <f>IF($D161="","",IFERROR(VLOOKUP($B161,Kraftvärmeprod!$B$1:$BX$550,MATCH(G$2,Kraftvärmeprod!$B$1:$VX$1,0),FALSE)/1,0)-IFERROR(VLOOKUP($B161,'Slutlig allokering kvv'!$B$2:$BX$550,MATCH(G$2,'Slutlig allokering kvv'!$B$1:$BX$1,0),FALSE)/1,0))</f>
        <v/>
      </c>
      <c r="H161" s="31" t="str">
        <f>IF($D161="","",IFERROR(VLOOKUP($B161,Kraftvärmeprod!$B$1:$BX$550,MATCH(H$2,Kraftvärmeprod!$B$1:$VX$1,0),FALSE)/1,0)-IFERROR(VLOOKUP($B161,'Slutlig allokering kvv'!$B$2:$BX$550,MATCH(H$2,'Slutlig allokering kvv'!$B$1:$BX$1,0),FALSE)/1,0))</f>
        <v/>
      </c>
      <c r="I161" s="31" t="str">
        <f>IF($D161="","",IFERROR(VLOOKUP($B161,Kraftvärmeprod!$B$1:$BX$550,MATCH(I$2,Kraftvärmeprod!$B$1:$VX$1,0),FALSE)/1,0)-IFERROR(VLOOKUP($B161,'Slutlig allokering kvv'!$B$2:$BX$550,MATCH(I$2,'Slutlig allokering kvv'!$B$1:$BX$1,0),FALSE)/1,0))</f>
        <v/>
      </c>
      <c r="J161" s="31" t="str">
        <f>IF($D161="","",IFERROR(VLOOKUP($B161,Kraftvärmeprod!$B$1:$BX$550,MATCH(J$2,Kraftvärmeprod!$B$1:$VX$1,0),FALSE)/1,0)-IFERROR(VLOOKUP($B161,'Slutlig allokering kvv'!$B$2:$BX$550,MATCH(J$2,'Slutlig allokering kvv'!$B$1:$BX$1,0),FALSE)/1,0))</f>
        <v/>
      </c>
      <c r="K161" s="31" t="str">
        <f>IF($D161="","",IFERROR(VLOOKUP($B161,Kraftvärmeprod!$B$1:$BX$550,MATCH(K$2,Kraftvärmeprod!$B$1:$VX$1,0),FALSE)/1,0)-IFERROR(VLOOKUP($B161,'Slutlig allokering kvv'!$B$2:$BX$550,MATCH(K$2,'Slutlig allokering kvv'!$B$1:$BX$1,0),FALSE)/1,0))</f>
        <v/>
      </c>
      <c r="L161" s="31" t="str">
        <f>IF($D161="","",IFERROR(VLOOKUP($B161,Kraftvärmeprod!$B$1:$BX$550,MATCH(L$2,Kraftvärmeprod!$B$1:$VX$1,0),FALSE)/1,0)-IFERROR(VLOOKUP($B161,'Slutlig allokering kvv'!$B$2:$BX$550,MATCH(L$2,'Slutlig allokering kvv'!$B$1:$BX$1,0),FALSE)/1,0))</f>
        <v/>
      </c>
      <c r="M161" s="31" t="str">
        <f>IF($D161="","",IFERROR(VLOOKUP($B161,Kraftvärmeprod!$B$1:$BX$550,MATCH(M$2,Kraftvärmeprod!$B$1:$VX$1,0),FALSE)/1,0)-IFERROR(VLOOKUP($B161,'Slutlig allokering kvv'!$B$2:$BX$550,MATCH(M$2,'Slutlig allokering kvv'!$B$1:$BX$1,0),FALSE)/1,0))</f>
        <v/>
      </c>
      <c r="N161" s="31" t="str">
        <f>IF($D161="","",IFERROR(VLOOKUP($B161,Kraftvärmeprod!$B$1:$BX$550,MATCH(N$2,Kraftvärmeprod!$B$1:$VX$1,0),FALSE)/1,0)-IFERROR(VLOOKUP($B161,'Slutlig allokering kvv'!$B$2:$BX$550,MATCH(N$2,'Slutlig allokering kvv'!$B$1:$BX$1,0),FALSE)/1,0))</f>
        <v/>
      </c>
      <c r="O161" s="31" t="str">
        <f>IF($D161="","",IFERROR(VLOOKUP($B161,Kraftvärmeprod!$B$1:$BX$550,MATCH(O$2,Kraftvärmeprod!$B$1:$VX$1,0),FALSE)/1,0)-IFERROR(VLOOKUP($B161,'Slutlig allokering kvv'!$B$2:$BX$550,MATCH(O$2,'Slutlig allokering kvv'!$B$1:$BX$1,0),FALSE)/1,0))</f>
        <v/>
      </c>
      <c r="P161" s="31" t="str">
        <f>IF($D161="","",IFERROR(VLOOKUP($B161,Kraftvärmeprod!$B$1:$BX$550,MATCH(P$2,Kraftvärmeprod!$B$1:$VX$1,0),FALSE)/1,0)-IFERROR(VLOOKUP($B161,'Slutlig allokering kvv'!$B$2:$BX$550,MATCH(P$2,'Slutlig allokering kvv'!$B$1:$BX$1,0),FALSE)/1,0))</f>
        <v/>
      </c>
      <c r="Q161" s="31" t="str">
        <f>IF($D161="","",IFERROR(VLOOKUP($B161,Kraftvärmeprod!$B$1:$BX$550,MATCH(Q$2,Kraftvärmeprod!$B$1:$VX$1,0),FALSE)/1,0)-IFERROR(VLOOKUP($B161,'Slutlig allokering kvv'!$B$2:$BX$550,MATCH(Q$2,'Slutlig allokering kvv'!$B$1:$BX$1,0),FALSE)/1,0))</f>
        <v/>
      </c>
      <c r="R161" s="31" t="str">
        <f>IF($D161="","",IFERROR(VLOOKUP($B161,Kraftvärmeprod!$B$1:$BX$550,MATCH(R$2,Kraftvärmeprod!$B$1:$VX$1,0),FALSE)/1,0)-IFERROR(VLOOKUP($B161,'Slutlig allokering kvv'!$B$2:$BX$550,MATCH(R$2,'Slutlig allokering kvv'!$B$1:$BX$1,0),FALSE)/1,0))</f>
        <v/>
      </c>
      <c r="S161" s="31" t="str">
        <f>IF($D161="","",IFERROR(VLOOKUP($B161,Kraftvärmeprod!$B$1:$BX$550,MATCH(S$2,Kraftvärmeprod!$B$1:$VX$1,0),FALSE)/1,0)-IFERROR(VLOOKUP($B161,'Slutlig allokering kvv'!$B$2:$BX$550,MATCH(S$2,'Slutlig allokering kvv'!$B$1:$BX$1,0),FALSE)/1,0))</f>
        <v/>
      </c>
      <c r="T161" s="31" t="str">
        <f>IF($D161="","",IFERROR(VLOOKUP($B161,Kraftvärmeprod!$B$1:$BX$550,MATCH(T$2,Kraftvärmeprod!$B$1:$VX$1,0),FALSE)/1,0)-IFERROR(VLOOKUP($B161,'Slutlig allokering kvv'!$B$2:$BX$550,MATCH(T$2,'Slutlig allokering kvv'!$B$1:$BX$1,0),FALSE)/1,0))</f>
        <v/>
      </c>
      <c r="U161" s="31" t="str">
        <f>IF($D161="","",IFERROR(VLOOKUP($B161,Kraftvärmeprod!$B$1:$BX$550,MATCH(U$2,Kraftvärmeprod!$B$1:$VX$1,0),FALSE)/1,0)-IFERROR(VLOOKUP($B161,'Slutlig allokering kvv'!$B$2:$BX$550,MATCH(U$2,'Slutlig allokering kvv'!$B$1:$BX$1,0),FALSE)/1,0))</f>
        <v/>
      </c>
      <c r="V161" s="31" t="str">
        <f>IF($D161="","",IFERROR(VLOOKUP($B161,Kraftvärmeprod!$B$1:$BX$550,MATCH(V$2,Kraftvärmeprod!$B$1:$VX$1,0),FALSE)/1,0)-IFERROR(VLOOKUP($B161,'Slutlig allokering kvv'!$B$2:$BX$550,MATCH(V$2,'Slutlig allokering kvv'!$B$1:$BX$1,0),FALSE)/1,0))</f>
        <v/>
      </c>
      <c r="W161" s="31" t="str">
        <f>IF($D161="","",IFERROR(VLOOKUP($B161,Kraftvärmeprod!$B$1:$BX$550,MATCH(W$2,Kraftvärmeprod!$B$1:$VX$1,0),FALSE)/1,0)-IFERROR(VLOOKUP($B161,'Slutlig allokering kvv'!$B$2:$BX$550,MATCH(W$2,'Slutlig allokering kvv'!$B$1:$BX$1,0),FALSE)/1,0))</f>
        <v/>
      </c>
      <c r="X161" s="31" t="str">
        <f>IF($D161="","",IFERROR(VLOOKUP($B161,Kraftvärmeprod!$B$1:$BX$550,MATCH(X$2,Kraftvärmeprod!$B$1:$VX$1,0),FALSE)/1,0)-IFERROR(VLOOKUP($B161,'Slutlig allokering kvv'!$B$2:$BX$550,MATCH(X$2,'Slutlig allokering kvv'!$B$1:$BX$1,0),FALSE)/1,0))</f>
        <v/>
      </c>
      <c r="Y161" s="31" t="str">
        <f>IF($D161="","",IFERROR(VLOOKUP($B161,Kraftvärmeprod!$B$1:$BX$550,MATCH(Y$2,Kraftvärmeprod!$B$1:$VX$1,0),FALSE)/1,0)-IFERROR(VLOOKUP($B161,'Slutlig allokering kvv'!$B$2:$BX$550,MATCH(Y$2,'Slutlig allokering kvv'!$B$1:$BX$1,0),FALSE)/1,0))</f>
        <v/>
      </c>
      <c r="Z161" s="31" t="str">
        <f>IF($D161="","",IFERROR(VLOOKUP($B161,Kraftvärmeprod!$B$1:$BX$550,MATCH(Z$2,Kraftvärmeprod!$B$1:$VX$1,0),FALSE)/1,0)-IFERROR(VLOOKUP($B161,'Slutlig allokering kvv'!$B$2:$BX$550,MATCH(Z$2,'Slutlig allokering kvv'!$B$1:$BX$1,0),FALSE)/1,0))</f>
        <v/>
      </c>
      <c r="AA161" s="31" t="str">
        <f>IF($D161="","",IFERROR(VLOOKUP($B161,Kraftvärmeprod!$B$1:$BX$550,MATCH(AA$2,Kraftvärmeprod!$B$1:$VX$1,0),FALSE)/1,0)-IFERROR(VLOOKUP($B161,'Slutlig allokering kvv'!$B$2:$BX$550,MATCH(AA$2,'Slutlig allokering kvv'!$B$1:$BX$1,0),FALSE)/1,0))</f>
        <v/>
      </c>
      <c r="AB161" s="31" t="str">
        <f>IF($D161="","",IFERROR(VLOOKUP($B161,Kraftvärmeprod!$B$1:$BX$550,MATCH(AB$2,Kraftvärmeprod!$B$1:$VX$1,0),FALSE)/1,0)-IFERROR(VLOOKUP($B161,'Slutlig allokering kvv'!$B$2:$BX$550,MATCH(AB$2,'Slutlig allokering kvv'!$B$1:$BX$1,0),FALSE)/1,0))</f>
        <v/>
      </c>
      <c r="AC161" s="31" t="str">
        <f>IF($D161="","",IFERROR(VLOOKUP($B161,Kraftvärmeprod!$B$1:$BX$550,MATCH(AC$2,Kraftvärmeprod!$B$1:$VX$1,0),FALSE)/1,0)-IFERROR(VLOOKUP($B161,'Slutlig allokering kvv'!$B$2:$BX$550,MATCH(AC$2,'Slutlig allokering kvv'!$B$1:$BX$1,0),FALSE)/1,0))</f>
        <v/>
      </c>
      <c r="AD161" s="31" t="str">
        <f>IF($D161="","",IFERROR(VLOOKUP($B161,Kraftvärmeprod!$B$1:$BX$550,MATCH(AD$2,Kraftvärmeprod!$B$1:$VX$1,0),FALSE)/1,0)-IFERROR(VLOOKUP($B161,'Slutlig allokering kvv'!$B$2:$BX$550,MATCH(AD$2,'Slutlig allokering kvv'!$B$1:$BX$1,0),FALSE)/1,0))</f>
        <v/>
      </c>
      <c r="AE161" s="31" t="str">
        <f>IF($D161="","",IFERROR(VLOOKUP($B161,Miljö!$B$1:$E$550,MATCH("Hjälpel kraftvärme (GWh)",Miljö!$B$1:$E$1,0),FALSE)/1,0)-IFERROR(VLOOKUP($B161,'Slutlig allokering kvv'!$B$2:$BX$549,MATCH(AE$2,'Slutlig allokering kvv'!$B$1:$BX$1,0),FALSE)/1,0))</f>
        <v/>
      </c>
      <c r="AI161" s="39">
        <f t="shared" si="8"/>
        <v>0</v>
      </c>
      <c r="AK161" s="31">
        <f>IFERROR(VLOOKUP($B161,'Slutlig allokering kvv'!$B$2:$AX$549,MATCH("Summa slutlig allokerad tillförd energi (utan hjälpel och rökgaskondensering):",'Slutlig allokering kvv'!$B$1:$AX$1,0),FALSE)/1,"")</f>
        <v>0</v>
      </c>
      <c r="AM161" s="31" t="str">
        <f>IFERROR(1-VLOOKUP($B161,'Slutlig allokering kvv'!$B$2:$AX$549,MATCH("Andel av bränsle i kvv som allokerats till värme, exklusive rökgaskondensering och hjälpel",'Slutlig allokering kvv'!$B$1:$AX$1,0),FALSE),"")</f>
        <v/>
      </c>
      <c r="AO161" s="31" t="str">
        <f t="shared" si="9"/>
        <v/>
      </c>
      <c r="AP161" s="31" t="str">
        <f t="shared" si="10"/>
        <v/>
      </c>
      <c r="AR161" s="32" t="str">
        <f t="shared" si="11"/>
        <v/>
      </c>
    </row>
    <row r="162" spans="1:44" s="31" customFormat="1" x14ac:dyDescent="0.45">
      <c r="A162" s="31" t="s">
        <v>449</v>
      </c>
      <c r="B162" s="31" t="s">
        <v>451</v>
      </c>
      <c r="C162" s="31" t="str">
        <f>IFERROR(VLOOKUP($B162,Kraftvärmeprod!$B$1:$AH$479,MATCH(C$2,Kraftvärmeprod!$B$1:$AG$1,0),FALSE)/1,"")</f>
        <v/>
      </c>
      <c r="D162" s="31" t="str">
        <f>IFERROR(VLOOKUP($B162,Kraftvärmeprod!$B$1:$AH$479,MATCH(D$2,Kraftvärmeprod!$B$1:$AG$1,0),FALSE)/1,"")</f>
        <v/>
      </c>
      <c r="F162" s="31" t="str">
        <f>IF($D162="","",IFERROR(VLOOKUP($B162,Kraftvärmeprod!$B$1:$BX$550,MATCH(F$2,Kraftvärmeprod!$B$1:$VX$1,0),FALSE)/1,0)-IFERROR(VLOOKUP($B162,'Slutlig allokering kvv'!$B$2:$BX$550,MATCH(F$2,'Slutlig allokering kvv'!$B$1:$BX$1,0),FALSE)/1,0))</f>
        <v/>
      </c>
      <c r="G162" s="31" t="str">
        <f>IF($D162="","",IFERROR(VLOOKUP($B162,Kraftvärmeprod!$B$1:$BX$550,MATCH(G$2,Kraftvärmeprod!$B$1:$VX$1,0),FALSE)/1,0)-IFERROR(VLOOKUP($B162,'Slutlig allokering kvv'!$B$2:$BX$550,MATCH(G$2,'Slutlig allokering kvv'!$B$1:$BX$1,0),FALSE)/1,0))</f>
        <v/>
      </c>
      <c r="H162" s="31" t="str">
        <f>IF($D162="","",IFERROR(VLOOKUP($B162,Kraftvärmeprod!$B$1:$BX$550,MATCH(H$2,Kraftvärmeprod!$B$1:$VX$1,0),FALSE)/1,0)-IFERROR(VLOOKUP($B162,'Slutlig allokering kvv'!$B$2:$BX$550,MATCH(H$2,'Slutlig allokering kvv'!$B$1:$BX$1,0),FALSE)/1,0))</f>
        <v/>
      </c>
      <c r="I162" s="31" t="str">
        <f>IF($D162="","",IFERROR(VLOOKUP($B162,Kraftvärmeprod!$B$1:$BX$550,MATCH(I$2,Kraftvärmeprod!$B$1:$VX$1,0),FALSE)/1,0)-IFERROR(VLOOKUP($B162,'Slutlig allokering kvv'!$B$2:$BX$550,MATCH(I$2,'Slutlig allokering kvv'!$B$1:$BX$1,0),FALSE)/1,0))</f>
        <v/>
      </c>
      <c r="J162" s="31" t="str">
        <f>IF($D162="","",IFERROR(VLOOKUP($B162,Kraftvärmeprod!$B$1:$BX$550,MATCH(J$2,Kraftvärmeprod!$B$1:$VX$1,0),FALSE)/1,0)-IFERROR(VLOOKUP($B162,'Slutlig allokering kvv'!$B$2:$BX$550,MATCH(J$2,'Slutlig allokering kvv'!$B$1:$BX$1,0),FALSE)/1,0))</f>
        <v/>
      </c>
      <c r="K162" s="31" t="str">
        <f>IF($D162="","",IFERROR(VLOOKUP($B162,Kraftvärmeprod!$B$1:$BX$550,MATCH(K$2,Kraftvärmeprod!$B$1:$VX$1,0),FALSE)/1,0)-IFERROR(VLOOKUP($B162,'Slutlig allokering kvv'!$B$2:$BX$550,MATCH(K$2,'Slutlig allokering kvv'!$B$1:$BX$1,0),FALSE)/1,0))</f>
        <v/>
      </c>
      <c r="L162" s="31" t="str">
        <f>IF($D162="","",IFERROR(VLOOKUP($B162,Kraftvärmeprod!$B$1:$BX$550,MATCH(L$2,Kraftvärmeprod!$B$1:$VX$1,0),FALSE)/1,0)-IFERROR(VLOOKUP($B162,'Slutlig allokering kvv'!$B$2:$BX$550,MATCH(L$2,'Slutlig allokering kvv'!$B$1:$BX$1,0),FALSE)/1,0))</f>
        <v/>
      </c>
      <c r="M162" s="31" t="str">
        <f>IF($D162="","",IFERROR(VLOOKUP($B162,Kraftvärmeprod!$B$1:$BX$550,MATCH(M$2,Kraftvärmeprod!$B$1:$VX$1,0),FALSE)/1,0)-IFERROR(VLOOKUP($B162,'Slutlig allokering kvv'!$B$2:$BX$550,MATCH(M$2,'Slutlig allokering kvv'!$B$1:$BX$1,0),FALSE)/1,0))</f>
        <v/>
      </c>
      <c r="N162" s="31" t="str">
        <f>IF($D162="","",IFERROR(VLOOKUP($B162,Kraftvärmeprod!$B$1:$BX$550,MATCH(N$2,Kraftvärmeprod!$B$1:$VX$1,0),FALSE)/1,0)-IFERROR(VLOOKUP($B162,'Slutlig allokering kvv'!$B$2:$BX$550,MATCH(N$2,'Slutlig allokering kvv'!$B$1:$BX$1,0),FALSE)/1,0))</f>
        <v/>
      </c>
      <c r="O162" s="31" t="str">
        <f>IF($D162="","",IFERROR(VLOOKUP($B162,Kraftvärmeprod!$B$1:$BX$550,MATCH(O$2,Kraftvärmeprod!$B$1:$VX$1,0),FALSE)/1,0)-IFERROR(VLOOKUP($B162,'Slutlig allokering kvv'!$B$2:$BX$550,MATCH(O$2,'Slutlig allokering kvv'!$B$1:$BX$1,0),FALSE)/1,0))</f>
        <v/>
      </c>
      <c r="P162" s="31" t="str">
        <f>IF($D162="","",IFERROR(VLOOKUP($B162,Kraftvärmeprod!$B$1:$BX$550,MATCH(P$2,Kraftvärmeprod!$B$1:$VX$1,0),FALSE)/1,0)-IFERROR(VLOOKUP($B162,'Slutlig allokering kvv'!$B$2:$BX$550,MATCH(P$2,'Slutlig allokering kvv'!$B$1:$BX$1,0),FALSE)/1,0))</f>
        <v/>
      </c>
      <c r="Q162" s="31" t="str">
        <f>IF($D162="","",IFERROR(VLOOKUP($B162,Kraftvärmeprod!$B$1:$BX$550,MATCH(Q$2,Kraftvärmeprod!$B$1:$VX$1,0),FALSE)/1,0)-IFERROR(VLOOKUP($B162,'Slutlig allokering kvv'!$B$2:$BX$550,MATCH(Q$2,'Slutlig allokering kvv'!$B$1:$BX$1,0),FALSE)/1,0))</f>
        <v/>
      </c>
      <c r="R162" s="31" t="str">
        <f>IF($D162="","",IFERROR(VLOOKUP($B162,Kraftvärmeprod!$B$1:$BX$550,MATCH(R$2,Kraftvärmeprod!$B$1:$VX$1,0),FALSE)/1,0)-IFERROR(VLOOKUP($B162,'Slutlig allokering kvv'!$B$2:$BX$550,MATCH(R$2,'Slutlig allokering kvv'!$B$1:$BX$1,0),FALSE)/1,0))</f>
        <v/>
      </c>
      <c r="S162" s="31" t="str">
        <f>IF($D162="","",IFERROR(VLOOKUP($B162,Kraftvärmeprod!$B$1:$BX$550,MATCH(S$2,Kraftvärmeprod!$B$1:$VX$1,0),FALSE)/1,0)-IFERROR(VLOOKUP($B162,'Slutlig allokering kvv'!$B$2:$BX$550,MATCH(S$2,'Slutlig allokering kvv'!$B$1:$BX$1,0),FALSE)/1,0))</f>
        <v/>
      </c>
      <c r="T162" s="31" t="str">
        <f>IF($D162="","",IFERROR(VLOOKUP($B162,Kraftvärmeprod!$B$1:$BX$550,MATCH(T$2,Kraftvärmeprod!$B$1:$VX$1,0),FALSE)/1,0)-IFERROR(VLOOKUP($B162,'Slutlig allokering kvv'!$B$2:$BX$550,MATCH(T$2,'Slutlig allokering kvv'!$B$1:$BX$1,0),FALSE)/1,0))</f>
        <v/>
      </c>
      <c r="U162" s="31" t="str">
        <f>IF($D162="","",IFERROR(VLOOKUP($B162,Kraftvärmeprod!$B$1:$BX$550,MATCH(U$2,Kraftvärmeprod!$B$1:$VX$1,0),FALSE)/1,0)-IFERROR(VLOOKUP($B162,'Slutlig allokering kvv'!$B$2:$BX$550,MATCH(U$2,'Slutlig allokering kvv'!$B$1:$BX$1,0),FALSE)/1,0))</f>
        <v/>
      </c>
      <c r="V162" s="31" t="str">
        <f>IF($D162="","",IFERROR(VLOOKUP($B162,Kraftvärmeprod!$B$1:$BX$550,MATCH(V$2,Kraftvärmeprod!$B$1:$VX$1,0),FALSE)/1,0)-IFERROR(VLOOKUP($B162,'Slutlig allokering kvv'!$B$2:$BX$550,MATCH(V$2,'Slutlig allokering kvv'!$B$1:$BX$1,0),FALSE)/1,0))</f>
        <v/>
      </c>
      <c r="W162" s="31" t="str">
        <f>IF($D162="","",IFERROR(VLOOKUP($B162,Kraftvärmeprod!$B$1:$BX$550,MATCH(W$2,Kraftvärmeprod!$B$1:$VX$1,0),FALSE)/1,0)-IFERROR(VLOOKUP($B162,'Slutlig allokering kvv'!$B$2:$BX$550,MATCH(W$2,'Slutlig allokering kvv'!$B$1:$BX$1,0),FALSE)/1,0))</f>
        <v/>
      </c>
      <c r="X162" s="31" t="str">
        <f>IF($D162="","",IFERROR(VLOOKUP($B162,Kraftvärmeprod!$B$1:$BX$550,MATCH(X$2,Kraftvärmeprod!$B$1:$VX$1,0),FALSE)/1,0)-IFERROR(VLOOKUP($B162,'Slutlig allokering kvv'!$B$2:$BX$550,MATCH(X$2,'Slutlig allokering kvv'!$B$1:$BX$1,0),FALSE)/1,0))</f>
        <v/>
      </c>
      <c r="Y162" s="31" t="str">
        <f>IF($D162="","",IFERROR(VLOOKUP($B162,Kraftvärmeprod!$B$1:$BX$550,MATCH(Y$2,Kraftvärmeprod!$B$1:$VX$1,0),FALSE)/1,0)-IFERROR(VLOOKUP($B162,'Slutlig allokering kvv'!$B$2:$BX$550,MATCH(Y$2,'Slutlig allokering kvv'!$B$1:$BX$1,0),FALSE)/1,0))</f>
        <v/>
      </c>
      <c r="Z162" s="31" t="str">
        <f>IF($D162="","",IFERROR(VLOOKUP($B162,Kraftvärmeprod!$B$1:$BX$550,MATCH(Z$2,Kraftvärmeprod!$B$1:$VX$1,0),FALSE)/1,0)-IFERROR(VLOOKUP($B162,'Slutlig allokering kvv'!$B$2:$BX$550,MATCH(Z$2,'Slutlig allokering kvv'!$B$1:$BX$1,0),FALSE)/1,0))</f>
        <v/>
      </c>
      <c r="AA162" s="31" t="str">
        <f>IF($D162="","",IFERROR(VLOOKUP($B162,Kraftvärmeprod!$B$1:$BX$550,MATCH(AA$2,Kraftvärmeprod!$B$1:$VX$1,0),FALSE)/1,0)-IFERROR(VLOOKUP($B162,'Slutlig allokering kvv'!$B$2:$BX$550,MATCH(AA$2,'Slutlig allokering kvv'!$B$1:$BX$1,0),FALSE)/1,0))</f>
        <v/>
      </c>
      <c r="AB162" s="31" t="str">
        <f>IF($D162="","",IFERROR(VLOOKUP($B162,Kraftvärmeprod!$B$1:$BX$550,MATCH(AB$2,Kraftvärmeprod!$B$1:$VX$1,0),FALSE)/1,0)-IFERROR(VLOOKUP($B162,'Slutlig allokering kvv'!$B$2:$BX$550,MATCH(AB$2,'Slutlig allokering kvv'!$B$1:$BX$1,0),FALSE)/1,0))</f>
        <v/>
      </c>
      <c r="AC162" s="31" t="str">
        <f>IF($D162="","",IFERROR(VLOOKUP($B162,Kraftvärmeprod!$B$1:$BX$550,MATCH(AC$2,Kraftvärmeprod!$B$1:$VX$1,0),FALSE)/1,0)-IFERROR(VLOOKUP($B162,'Slutlig allokering kvv'!$B$2:$BX$550,MATCH(AC$2,'Slutlig allokering kvv'!$B$1:$BX$1,0),FALSE)/1,0))</f>
        <v/>
      </c>
      <c r="AD162" s="31" t="str">
        <f>IF($D162="","",IFERROR(VLOOKUP($B162,Kraftvärmeprod!$B$1:$BX$550,MATCH(AD$2,Kraftvärmeprod!$B$1:$VX$1,0),FALSE)/1,0)-IFERROR(VLOOKUP($B162,'Slutlig allokering kvv'!$B$2:$BX$550,MATCH(AD$2,'Slutlig allokering kvv'!$B$1:$BX$1,0),FALSE)/1,0))</f>
        <v/>
      </c>
      <c r="AE162" s="31" t="str">
        <f>IF($D162="","",IFERROR(VLOOKUP($B162,Miljö!$B$1:$E$550,MATCH("Hjälpel kraftvärme (GWh)",Miljö!$B$1:$E$1,0),FALSE)/1,0)-IFERROR(VLOOKUP($B162,'Slutlig allokering kvv'!$B$2:$BX$549,MATCH(AE$2,'Slutlig allokering kvv'!$B$1:$BX$1,0),FALSE)/1,0))</f>
        <v/>
      </c>
      <c r="AI162" s="39">
        <f t="shared" si="8"/>
        <v>0</v>
      </c>
      <c r="AK162" s="31">
        <f>IFERROR(VLOOKUP($B162,'Slutlig allokering kvv'!$B$2:$AX$549,MATCH("Summa slutlig allokerad tillförd energi (utan hjälpel och rökgaskondensering):",'Slutlig allokering kvv'!$B$1:$AX$1,0),FALSE)/1,"")</f>
        <v>0</v>
      </c>
      <c r="AM162" s="31" t="str">
        <f>IFERROR(1-VLOOKUP($B162,'Slutlig allokering kvv'!$B$2:$AX$549,MATCH("Andel av bränsle i kvv som allokerats till värme, exklusive rökgaskondensering och hjälpel",'Slutlig allokering kvv'!$B$1:$AX$1,0),FALSE),"")</f>
        <v/>
      </c>
      <c r="AO162" s="31" t="str">
        <f t="shared" si="9"/>
        <v/>
      </c>
      <c r="AP162" s="31" t="str">
        <f t="shared" si="10"/>
        <v/>
      </c>
      <c r="AR162" s="32" t="str">
        <f t="shared" si="11"/>
        <v/>
      </c>
    </row>
    <row r="163" spans="1:44" s="31" customFormat="1" x14ac:dyDescent="0.45">
      <c r="A163" s="31" t="s">
        <v>449</v>
      </c>
      <c r="B163" s="31" t="s">
        <v>448</v>
      </c>
      <c r="C163" s="31" t="str">
        <f>IFERROR(VLOOKUP($B163,Kraftvärmeprod!$B$1:$AH$479,MATCH(C$2,Kraftvärmeprod!$B$1:$AG$1,0),FALSE)/1,"")</f>
        <v/>
      </c>
      <c r="D163" s="31" t="str">
        <f>IFERROR(VLOOKUP($B163,Kraftvärmeprod!$B$1:$AH$479,MATCH(D$2,Kraftvärmeprod!$B$1:$AG$1,0),FALSE)/1,"")</f>
        <v/>
      </c>
      <c r="F163" s="31" t="str">
        <f>IF($D163="","",IFERROR(VLOOKUP($B163,Kraftvärmeprod!$B$1:$BX$550,MATCH(F$2,Kraftvärmeprod!$B$1:$VX$1,0),FALSE)/1,0)-IFERROR(VLOOKUP($B163,'Slutlig allokering kvv'!$B$2:$BX$550,MATCH(F$2,'Slutlig allokering kvv'!$B$1:$BX$1,0),FALSE)/1,0))</f>
        <v/>
      </c>
      <c r="G163" s="31" t="str">
        <f>IF($D163="","",IFERROR(VLOOKUP($B163,Kraftvärmeprod!$B$1:$BX$550,MATCH(G$2,Kraftvärmeprod!$B$1:$VX$1,0),FALSE)/1,0)-IFERROR(VLOOKUP($B163,'Slutlig allokering kvv'!$B$2:$BX$550,MATCH(G$2,'Slutlig allokering kvv'!$B$1:$BX$1,0),FALSE)/1,0))</f>
        <v/>
      </c>
      <c r="H163" s="31" t="str">
        <f>IF($D163="","",IFERROR(VLOOKUP($B163,Kraftvärmeprod!$B$1:$BX$550,MATCH(H$2,Kraftvärmeprod!$B$1:$VX$1,0),FALSE)/1,0)-IFERROR(VLOOKUP($B163,'Slutlig allokering kvv'!$B$2:$BX$550,MATCH(H$2,'Slutlig allokering kvv'!$B$1:$BX$1,0),FALSE)/1,0))</f>
        <v/>
      </c>
      <c r="I163" s="31" t="str">
        <f>IF($D163="","",IFERROR(VLOOKUP($B163,Kraftvärmeprod!$B$1:$BX$550,MATCH(I$2,Kraftvärmeprod!$B$1:$VX$1,0),FALSE)/1,0)-IFERROR(VLOOKUP($B163,'Slutlig allokering kvv'!$B$2:$BX$550,MATCH(I$2,'Slutlig allokering kvv'!$B$1:$BX$1,0),FALSE)/1,0))</f>
        <v/>
      </c>
      <c r="J163" s="31" t="str">
        <f>IF($D163="","",IFERROR(VLOOKUP($B163,Kraftvärmeprod!$B$1:$BX$550,MATCH(J$2,Kraftvärmeprod!$B$1:$VX$1,0),FALSE)/1,0)-IFERROR(VLOOKUP($B163,'Slutlig allokering kvv'!$B$2:$BX$550,MATCH(J$2,'Slutlig allokering kvv'!$B$1:$BX$1,0),FALSE)/1,0))</f>
        <v/>
      </c>
      <c r="K163" s="31" t="str">
        <f>IF($D163="","",IFERROR(VLOOKUP($B163,Kraftvärmeprod!$B$1:$BX$550,MATCH(K$2,Kraftvärmeprod!$B$1:$VX$1,0),FALSE)/1,0)-IFERROR(VLOOKUP($B163,'Slutlig allokering kvv'!$B$2:$BX$550,MATCH(K$2,'Slutlig allokering kvv'!$B$1:$BX$1,0),FALSE)/1,0))</f>
        <v/>
      </c>
      <c r="L163" s="31" t="str">
        <f>IF($D163="","",IFERROR(VLOOKUP($B163,Kraftvärmeprod!$B$1:$BX$550,MATCH(L$2,Kraftvärmeprod!$B$1:$VX$1,0),FALSE)/1,0)-IFERROR(VLOOKUP($B163,'Slutlig allokering kvv'!$B$2:$BX$550,MATCH(L$2,'Slutlig allokering kvv'!$B$1:$BX$1,0),FALSE)/1,0))</f>
        <v/>
      </c>
      <c r="M163" s="31" t="str">
        <f>IF($D163="","",IFERROR(VLOOKUP($B163,Kraftvärmeprod!$B$1:$BX$550,MATCH(M$2,Kraftvärmeprod!$B$1:$VX$1,0),FALSE)/1,0)-IFERROR(VLOOKUP($B163,'Slutlig allokering kvv'!$B$2:$BX$550,MATCH(M$2,'Slutlig allokering kvv'!$B$1:$BX$1,0),FALSE)/1,0))</f>
        <v/>
      </c>
      <c r="N163" s="31" t="str">
        <f>IF($D163="","",IFERROR(VLOOKUP($B163,Kraftvärmeprod!$B$1:$BX$550,MATCH(N$2,Kraftvärmeprod!$B$1:$VX$1,0),FALSE)/1,0)-IFERROR(VLOOKUP($B163,'Slutlig allokering kvv'!$B$2:$BX$550,MATCH(N$2,'Slutlig allokering kvv'!$B$1:$BX$1,0),FALSE)/1,0))</f>
        <v/>
      </c>
      <c r="O163" s="31" t="str">
        <f>IF($D163="","",IFERROR(VLOOKUP($B163,Kraftvärmeprod!$B$1:$BX$550,MATCH(O$2,Kraftvärmeprod!$B$1:$VX$1,0),FALSE)/1,0)-IFERROR(VLOOKUP($B163,'Slutlig allokering kvv'!$B$2:$BX$550,MATCH(O$2,'Slutlig allokering kvv'!$B$1:$BX$1,0),FALSE)/1,0))</f>
        <v/>
      </c>
      <c r="P163" s="31" t="str">
        <f>IF($D163="","",IFERROR(VLOOKUP($B163,Kraftvärmeprod!$B$1:$BX$550,MATCH(P$2,Kraftvärmeprod!$B$1:$VX$1,0),FALSE)/1,0)-IFERROR(VLOOKUP($B163,'Slutlig allokering kvv'!$B$2:$BX$550,MATCH(P$2,'Slutlig allokering kvv'!$B$1:$BX$1,0),FALSE)/1,0))</f>
        <v/>
      </c>
      <c r="Q163" s="31" t="str">
        <f>IF($D163="","",IFERROR(VLOOKUP($B163,Kraftvärmeprod!$B$1:$BX$550,MATCH(Q$2,Kraftvärmeprod!$B$1:$VX$1,0),FALSE)/1,0)-IFERROR(VLOOKUP($B163,'Slutlig allokering kvv'!$B$2:$BX$550,MATCH(Q$2,'Slutlig allokering kvv'!$B$1:$BX$1,0),FALSE)/1,0))</f>
        <v/>
      </c>
      <c r="R163" s="31" t="str">
        <f>IF($D163="","",IFERROR(VLOOKUP($B163,Kraftvärmeprod!$B$1:$BX$550,MATCH(R$2,Kraftvärmeprod!$B$1:$VX$1,0),FALSE)/1,0)-IFERROR(VLOOKUP($B163,'Slutlig allokering kvv'!$B$2:$BX$550,MATCH(R$2,'Slutlig allokering kvv'!$B$1:$BX$1,0),FALSE)/1,0))</f>
        <v/>
      </c>
      <c r="S163" s="31" t="str">
        <f>IF($D163="","",IFERROR(VLOOKUP($B163,Kraftvärmeprod!$B$1:$BX$550,MATCH(S$2,Kraftvärmeprod!$B$1:$VX$1,0),FALSE)/1,0)-IFERROR(VLOOKUP($B163,'Slutlig allokering kvv'!$B$2:$BX$550,MATCH(S$2,'Slutlig allokering kvv'!$B$1:$BX$1,0),FALSE)/1,0))</f>
        <v/>
      </c>
      <c r="T163" s="31" t="str">
        <f>IF($D163="","",IFERROR(VLOOKUP($B163,Kraftvärmeprod!$B$1:$BX$550,MATCH(T$2,Kraftvärmeprod!$B$1:$VX$1,0),FALSE)/1,0)-IFERROR(VLOOKUP($B163,'Slutlig allokering kvv'!$B$2:$BX$550,MATCH(T$2,'Slutlig allokering kvv'!$B$1:$BX$1,0),FALSE)/1,0))</f>
        <v/>
      </c>
      <c r="U163" s="31" t="str">
        <f>IF($D163="","",IFERROR(VLOOKUP($B163,Kraftvärmeprod!$B$1:$BX$550,MATCH(U$2,Kraftvärmeprod!$B$1:$VX$1,0),FALSE)/1,0)-IFERROR(VLOOKUP($B163,'Slutlig allokering kvv'!$B$2:$BX$550,MATCH(U$2,'Slutlig allokering kvv'!$B$1:$BX$1,0),FALSE)/1,0))</f>
        <v/>
      </c>
      <c r="V163" s="31" t="str">
        <f>IF($D163="","",IFERROR(VLOOKUP($B163,Kraftvärmeprod!$B$1:$BX$550,MATCH(V$2,Kraftvärmeprod!$B$1:$VX$1,0),FALSE)/1,0)-IFERROR(VLOOKUP($B163,'Slutlig allokering kvv'!$B$2:$BX$550,MATCH(V$2,'Slutlig allokering kvv'!$B$1:$BX$1,0),FALSE)/1,0))</f>
        <v/>
      </c>
      <c r="W163" s="31" t="str">
        <f>IF($D163="","",IFERROR(VLOOKUP($B163,Kraftvärmeprod!$B$1:$BX$550,MATCH(W$2,Kraftvärmeprod!$B$1:$VX$1,0),FALSE)/1,0)-IFERROR(VLOOKUP($B163,'Slutlig allokering kvv'!$B$2:$BX$550,MATCH(W$2,'Slutlig allokering kvv'!$B$1:$BX$1,0),FALSE)/1,0))</f>
        <v/>
      </c>
      <c r="X163" s="31" t="str">
        <f>IF($D163="","",IFERROR(VLOOKUP($B163,Kraftvärmeprod!$B$1:$BX$550,MATCH(X$2,Kraftvärmeprod!$B$1:$VX$1,0),FALSE)/1,0)-IFERROR(VLOOKUP($B163,'Slutlig allokering kvv'!$B$2:$BX$550,MATCH(X$2,'Slutlig allokering kvv'!$B$1:$BX$1,0),FALSE)/1,0))</f>
        <v/>
      </c>
      <c r="Y163" s="31" t="str">
        <f>IF($D163="","",IFERROR(VLOOKUP($B163,Kraftvärmeprod!$B$1:$BX$550,MATCH(Y$2,Kraftvärmeprod!$B$1:$VX$1,0),FALSE)/1,0)-IFERROR(VLOOKUP($B163,'Slutlig allokering kvv'!$B$2:$BX$550,MATCH(Y$2,'Slutlig allokering kvv'!$B$1:$BX$1,0),FALSE)/1,0))</f>
        <v/>
      </c>
      <c r="Z163" s="31" t="str">
        <f>IF($D163="","",IFERROR(VLOOKUP($B163,Kraftvärmeprod!$B$1:$BX$550,MATCH(Z$2,Kraftvärmeprod!$B$1:$VX$1,0),FALSE)/1,0)-IFERROR(VLOOKUP($B163,'Slutlig allokering kvv'!$B$2:$BX$550,MATCH(Z$2,'Slutlig allokering kvv'!$B$1:$BX$1,0),FALSE)/1,0))</f>
        <v/>
      </c>
      <c r="AA163" s="31" t="str">
        <f>IF($D163="","",IFERROR(VLOOKUP($B163,Kraftvärmeprod!$B$1:$BX$550,MATCH(AA$2,Kraftvärmeprod!$B$1:$VX$1,0),FALSE)/1,0)-IFERROR(VLOOKUP($B163,'Slutlig allokering kvv'!$B$2:$BX$550,MATCH(AA$2,'Slutlig allokering kvv'!$B$1:$BX$1,0),FALSE)/1,0))</f>
        <v/>
      </c>
      <c r="AB163" s="31" t="str">
        <f>IF($D163="","",IFERROR(VLOOKUP($B163,Kraftvärmeprod!$B$1:$BX$550,MATCH(AB$2,Kraftvärmeprod!$B$1:$VX$1,0),FALSE)/1,0)-IFERROR(VLOOKUP($B163,'Slutlig allokering kvv'!$B$2:$BX$550,MATCH(AB$2,'Slutlig allokering kvv'!$B$1:$BX$1,0),FALSE)/1,0))</f>
        <v/>
      </c>
      <c r="AC163" s="31" t="str">
        <f>IF($D163="","",IFERROR(VLOOKUP($B163,Kraftvärmeprod!$B$1:$BX$550,MATCH(AC$2,Kraftvärmeprod!$B$1:$VX$1,0),FALSE)/1,0)-IFERROR(VLOOKUP($B163,'Slutlig allokering kvv'!$B$2:$BX$550,MATCH(AC$2,'Slutlig allokering kvv'!$B$1:$BX$1,0),FALSE)/1,0))</f>
        <v/>
      </c>
      <c r="AD163" s="31" t="str">
        <f>IF($D163="","",IFERROR(VLOOKUP($B163,Kraftvärmeprod!$B$1:$BX$550,MATCH(AD$2,Kraftvärmeprod!$B$1:$VX$1,0),FALSE)/1,0)-IFERROR(VLOOKUP($B163,'Slutlig allokering kvv'!$B$2:$BX$550,MATCH(AD$2,'Slutlig allokering kvv'!$B$1:$BX$1,0),FALSE)/1,0))</f>
        <v/>
      </c>
      <c r="AE163" s="31" t="str">
        <f>IF($D163="","",IFERROR(VLOOKUP($B163,Miljö!$B$1:$E$550,MATCH("Hjälpel kraftvärme (GWh)",Miljö!$B$1:$E$1,0),FALSE)/1,0)-IFERROR(VLOOKUP($B163,'Slutlig allokering kvv'!$B$2:$BX$549,MATCH(AE$2,'Slutlig allokering kvv'!$B$1:$BX$1,0),FALSE)/1,0))</f>
        <v/>
      </c>
      <c r="AI163" s="39">
        <f t="shared" si="8"/>
        <v>0</v>
      </c>
      <c r="AK163" s="31">
        <f>IFERROR(VLOOKUP($B163,'Slutlig allokering kvv'!$B$2:$AX$549,MATCH("Summa slutlig allokerad tillförd energi (utan hjälpel och rökgaskondensering):",'Slutlig allokering kvv'!$B$1:$AX$1,0),FALSE)/1,"")</f>
        <v>0</v>
      </c>
      <c r="AM163" s="31" t="str">
        <f>IFERROR(1-VLOOKUP($B163,'Slutlig allokering kvv'!$B$2:$AX$549,MATCH("Andel av bränsle i kvv som allokerats till värme, exklusive rökgaskondensering och hjälpel",'Slutlig allokering kvv'!$B$1:$AX$1,0),FALSE),"")</f>
        <v/>
      </c>
      <c r="AO163" s="31" t="str">
        <f t="shared" si="9"/>
        <v/>
      </c>
      <c r="AP163" s="31" t="str">
        <f t="shared" si="10"/>
        <v/>
      </c>
      <c r="AR163" s="32" t="str">
        <f t="shared" si="11"/>
        <v/>
      </c>
    </row>
    <row r="164" spans="1:44" s="31" customFormat="1" x14ac:dyDescent="0.45">
      <c r="A164" s="31" t="s">
        <v>449</v>
      </c>
      <c r="B164" s="31" t="s">
        <v>450</v>
      </c>
      <c r="C164" s="31" t="str">
        <f>IFERROR(VLOOKUP($B164,Kraftvärmeprod!$B$1:$AH$479,MATCH(C$2,Kraftvärmeprod!$B$1:$AG$1,0),FALSE)/1,"")</f>
        <v/>
      </c>
      <c r="D164" s="31" t="str">
        <f>IFERROR(VLOOKUP($B164,Kraftvärmeprod!$B$1:$AH$479,MATCH(D$2,Kraftvärmeprod!$B$1:$AG$1,0),FALSE)/1,"")</f>
        <v/>
      </c>
      <c r="F164" s="31" t="str">
        <f>IF($D164="","",IFERROR(VLOOKUP($B164,Kraftvärmeprod!$B$1:$BX$550,MATCH(F$2,Kraftvärmeprod!$B$1:$VX$1,0),FALSE)/1,0)-IFERROR(VLOOKUP($B164,'Slutlig allokering kvv'!$B$2:$BX$550,MATCH(F$2,'Slutlig allokering kvv'!$B$1:$BX$1,0),FALSE)/1,0))</f>
        <v/>
      </c>
      <c r="G164" s="31" t="str">
        <f>IF($D164="","",IFERROR(VLOOKUP($B164,Kraftvärmeprod!$B$1:$BX$550,MATCH(G$2,Kraftvärmeprod!$B$1:$VX$1,0),FALSE)/1,0)-IFERROR(VLOOKUP($B164,'Slutlig allokering kvv'!$B$2:$BX$550,MATCH(G$2,'Slutlig allokering kvv'!$B$1:$BX$1,0),FALSE)/1,0))</f>
        <v/>
      </c>
      <c r="H164" s="31" t="str">
        <f>IF($D164="","",IFERROR(VLOOKUP($B164,Kraftvärmeprod!$B$1:$BX$550,MATCH(H$2,Kraftvärmeprod!$B$1:$VX$1,0),FALSE)/1,0)-IFERROR(VLOOKUP($B164,'Slutlig allokering kvv'!$B$2:$BX$550,MATCH(H$2,'Slutlig allokering kvv'!$B$1:$BX$1,0),FALSE)/1,0))</f>
        <v/>
      </c>
      <c r="I164" s="31" t="str">
        <f>IF($D164="","",IFERROR(VLOOKUP($B164,Kraftvärmeprod!$B$1:$BX$550,MATCH(I$2,Kraftvärmeprod!$B$1:$VX$1,0),FALSE)/1,0)-IFERROR(VLOOKUP($B164,'Slutlig allokering kvv'!$B$2:$BX$550,MATCH(I$2,'Slutlig allokering kvv'!$B$1:$BX$1,0),FALSE)/1,0))</f>
        <v/>
      </c>
      <c r="J164" s="31" t="str">
        <f>IF($D164="","",IFERROR(VLOOKUP($B164,Kraftvärmeprod!$B$1:$BX$550,MATCH(J$2,Kraftvärmeprod!$B$1:$VX$1,0),FALSE)/1,0)-IFERROR(VLOOKUP($B164,'Slutlig allokering kvv'!$B$2:$BX$550,MATCH(J$2,'Slutlig allokering kvv'!$B$1:$BX$1,0),FALSE)/1,0))</f>
        <v/>
      </c>
      <c r="K164" s="31" t="str">
        <f>IF($D164="","",IFERROR(VLOOKUP($B164,Kraftvärmeprod!$B$1:$BX$550,MATCH(K$2,Kraftvärmeprod!$B$1:$VX$1,0),FALSE)/1,0)-IFERROR(VLOOKUP($B164,'Slutlig allokering kvv'!$B$2:$BX$550,MATCH(K$2,'Slutlig allokering kvv'!$B$1:$BX$1,0),FALSE)/1,0))</f>
        <v/>
      </c>
      <c r="L164" s="31" t="str">
        <f>IF($D164="","",IFERROR(VLOOKUP($B164,Kraftvärmeprod!$B$1:$BX$550,MATCH(L$2,Kraftvärmeprod!$B$1:$VX$1,0),FALSE)/1,0)-IFERROR(VLOOKUP($B164,'Slutlig allokering kvv'!$B$2:$BX$550,MATCH(L$2,'Slutlig allokering kvv'!$B$1:$BX$1,0),FALSE)/1,0))</f>
        <v/>
      </c>
      <c r="M164" s="31" t="str">
        <f>IF($D164="","",IFERROR(VLOOKUP($B164,Kraftvärmeprod!$B$1:$BX$550,MATCH(M$2,Kraftvärmeprod!$B$1:$VX$1,0),FALSE)/1,0)-IFERROR(VLOOKUP($B164,'Slutlig allokering kvv'!$B$2:$BX$550,MATCH(M$2,'Slutlig allokering kvv'!$B$1:$BX$1,0),FALSE)/1,0))</f>
        <v/>
      </c>
      <c r="N164" s="31" t="str">
        <f>IF($D164="","",IFERROR(VLOOKUP($B164,Kraftvärmeprod!$B$1:$BX$550,MATCH(N$2,Kraftvärmeprod!$B$1:$VX$1,0),FALSE)/1,0)-IFERROR(VLOOKUP($B164,'Slutlig allokering kvv'!$B$2:$BX$550,MATCH(N$2,'Slutlig allokering kvv'!$B$1:$BX$1,0),FALSE)/1,0))</f>
        <v/>
      </c>
      <c r="O164" s="31" t="str">
        <f>IF($D164="","",IFERROR(VLOOKUP($B164,Kraftvärmeprod!$B$1:$BX$550,MATCH(O$2,Kraftvärmeprod!$B$1:$VX$1,0),FALSE)/1,0)-IFERROR(VLOOKUP($B164,'Slutlig allokering kvv'!$B$2:$BX$550,MATCH(O$2,'Slutlig allokering kvv'!$B$1:$BX$1,0),FALSE)/1,0))</f>
        <v/>
      </c>
      <c r="P164" s="31" t="str">
        <f>IF($D164="","",IFERROR(VLOOKUP($B164,Kraftvärmeprod!$B$1:$BX$550,MATCH(P$2,Kraftvärmeprod!$B$1:$VX$1,0),FALSE)/1,0)-IFERROR(VLOOKUP($B164,'Slutlig allokering kvv'!$B$2:$BX$550,MATCH(P$2,'Slutlig allokering kvv'!$B$1:$BX$1,0),FALSE)/1,0))</f>
        <v/>
      </c>
      <c r="Q164" s="31" t="str">
        <f>IF($D164="","",IFERROR(VLOOKUP($B164,Kraftvärmeprod!$B$1:$BX$550,MATCH(Q$2,Kraftvärmeprod!$B$1:$VX$1,0),FALSE)/1,0)-IFERROR(VLOOKUP($B164,'Slutlig allokering kvv'!$B$2:$BX$550,MATCH(Q$2,'Slutlig allokering kvv'!$B$1:$BX$1,0),FALSE)/1,0))</f>
        <v/>
      </c>
      <c r="R164" s="31" t="str">
        <f>IF($D164="","",IFERROR(VLOOKUP($B164,Kraftvärmeprod!$B$1:$BX$550,MATCH(R$2,Kraftvärmeprod!$B$1:$VX$1,0),FALSE)/1,0)-IFERROR(VLOOKUP($B164,'Slutlig allokering kvv'!$B$2:$BX$550,MATCH(R$2,'Slutlig allokering kvv'!$B$1:$BX$1,0),FALSE)/1,0))</f>
        <v/>
      </c>
      <c r="S164" s="31" t="str">
        <f>IF($D164="","",IFERROR(VLOOKUP($B164,Kraftvärmeprod!$B$1:$BX$550,MATCH(S$2,Kraftvärmeprod!$B$1:$VX$1,0),FALSE)/1,0)-IFERROR(VLOOKUP($B164,'Slutlig allokering kvv'!$B$2:$BX$550,MATCH(S$2,'Slutlig allokering kvv'!$B$1:$BX$1,0),FALSE)/1,0))</f>
        <v/>
      </c>
      <c r="T164" s="31" t="str">
        <f>IF($D164="","",IFERROR(VLOOKUP($B164,Kraftvärmeprod!$B$1:$BX$550,MATCH(T$2,Kraftvärmeprod!$B$1:$VX$1,0),FALSE)/1,0)-IFERROR(VLOOKUP($B164,'Slutlig allokering kvv'!$B$2:$BX$550,MATCH(T$2,'Slutlig allokering kvv'!$B$1:$BX$1,0),FALSE)/1,0))</f>
        <v/>
      </c>
      <c r="U164" s="31" t="str">
        <f>IF($D164="","",IFERROR(VLOOKUP($B164,Kraftvärmeprod!$B$1:$BX$550,MATCH(U$2,Kraftvärmeprod!$B$1:$VX$1,0),FALSE)/1,0)-IFERROR(VLOOKUP($B164,'Slutlig allokering kvv'!$B$2:$BX$550,MATCH(U$2,'Slutlig allokering kvv'!$B$1:$BX$1,0),FALSE)/1,0))</f>
        <v/>
      </c>
      <c r="V164" s="31" t="str">
        <f>IF($D164="","",IFERROR(VLOOKUP($B164,Kraftvärmeprod!$B$1:$BX$550,MATCH(V$2,Kraftvärmeprod!$B$1:$VX$1,0),FALSE)/1,0)-IFERROR(VLOOKUP($B164,'Slutlig allokering kvv'!$B$2:$BX$550,MATCH(V$2,'Slutlig allokering kvv'!$B$1:$BX$1,0),FALSE)/1,0))</f>
        <v/>
      </c>
      <c r="W164" s="31" t="str">
        <f>IF($D164="","",IFERROR(VLOOKUP($B164,Kraftvärmeprod!$B$1:$BX$550,MATCH(W$2,Kraftvärmeprod!$B$1:$VX$1,0),FALSE)/1,0)-IFERROR(VLOOKUP($B164,'Slutlig allokering kvv'!$B$2:$BX$550,MATCH(W$2,'Slutlig allokering kvv'!$B$1:$BX$1,0),FALSE)/1,0))</f>
        <v/>
      </c>
      <c r="X164" s="31" t="str">
        <f>IF($D164="","",IFERROR(VLOOKUP($B164,Kraftvärmeprod!$B$1:$BX$550,MATCH(X$2,Kraftvärmeprod!$B$1:$VX$1,0),FALSE)/1,0)-IFERROR(VLOOKUP($B164,'Slutlig allokering kvv'!$B$2:$BX$550,MATCH(X$2,'Slutlig allokering kvv'!$B$1:$BX$1,0),FALSE)/1,0))</f>
        <v/>
      </c>
      <c r="Y164" s="31" t="str">
        <f>IF($D164="","",IFERROR(VLOOKUP($B164,Kraftvärmeprod!$B$1:$BX$550,MATCH(Y$2,Kraftvärmeprod!$B$1:$VX$1,0),FALSE)/1,0)-IFERROR(VLOOKUP($B164,'Slutlig allokering kvv'!$B$2:$BX$550,MATCH(Y$2,'Slutlig allokering kvv'!$B$1:$BX$1,0),FALSE)/1,0))</f>
        <v/>
      </c>
      <c r="Z164" s="31" t="str">
        <f>IF($D164="","",IFERROR(VLOOKUP($B164,Kraftvärmeprod!$B$1:$BX$550,MATCH(Z$2,Kraftvärmeprod!$B$1:$VX$1,0),FALSE)/1,0)-IFERROR(VLOOKUP($B164,'Slutlig allokering kvv'!$B$2:$BX$550,MATCH(Z$2,'Slutlig allokering kvv'!$B$1:$BX$1,0),FALSE)/1,0))</f>
        <v/>
      </c>
      <c r="AA164" s="31" t="str">
        <f>IF($D164="","",IFERROR(VLOOKUP($B164,Kraftvärmeprod!$B$1:$BX$550,MATCH(AA$2,Kraftvärmeprod!$B$1:$VX$1,0),FALSE)/1,0)-IFERROR(VLOOKUP($B164,'Slutlig allokering kvv'!$B$2:$BX$550,MATCH(AA$2,'Slutlig allokering kvv'!$B$1:$BX$1,0),FALSE)/1,0))</f>
        <v/>
      </c>
      <c r="AB164" s="31" t="str">
        <f>IF($D164="","",IFERROR(VLOOKUP($B164,Kraftvärmeprod!$B$1:$BX$550,MATCH(AB$2,Kraftvärmeprod!$B$1:$VX$1,0),FALSE)/1,0)-IFERROR(VLOOKUP($B164,'Slutlig allokering kvv'!$B$2:$BX$550,MATCH(AB$2,'Slutlig allokering kvv'!$B$1:$BX$1,0),FALSE)/1,0))</f>
        <v/>
      </c>
      <c r="AC164" s="31" t="str">
        <f>IF($D164="","",IFERROR(VLOOKUP($B164,Kraftvärmeprod!$B$1:$BX$550,MATCH(AC$2,Kraftvärmeprod!$B$1:$VX$1,0),FALSE)/1,0)-IFERROR(VLOOKUP($B164,'Slutlig allokering kvv'!$B$2:$BX$550,MATCH(AC$2,'Slutlig allokering kvv'!$B$1:$BX$1,0),FALSE)/1,0))</f>
        <v/>
      </c>
      <c r="AD164" s="31" t="str">
        <f>IF($D164="","",IFERROR(VLOOKUP($B164,Kraftvärmeprod!$B$1:$BX$550,MATCH(AD$2,Kraftvärmeprod!$B$1:$VX$1,0),FALSE)/1,0)-IFERROR(VLOOKUP($B164,'Slutlig allokering kvv'!$B$2:$BX$550,MATCH(AD$2,'Slutlig allokering kvv'!$B$1:$BX$1,0),FALSE)/1,0))</f>
        <v/>
      </c>
      <c r="AE164" s="31" t="str">
        <f>IF($D164="","",IFERROR(VLOOKUP($B164,Miljö!$B$1:$E$550,MATCH("Hjälpel kraftvärme (GWh)",Miljö!$B$1:$E$1,0),FALSE)/1,0)-IFERROR(VLOOKUP($B164,'Slutlig allokering kvv'!$B$2:$BX$549,MATCH(AE$2,'Slutlig allokering kvv'!$B$1:$BX$1,0),FALSE)/1,0))</f>
        <v/>
      </c>
      <c r="AI164" s="39">
        <f t="shared" si="8"/>
        <v>0</v>
      </c>
      <c r="AK164" s="31">
        <f>IFERROR(VLOOKUP($B164,'Slutlig allokering kvv'!$B$2:$AX$549,MATCH("Summa slutlig allokerad tillförd energi (utan hjälpel och rökgaskondensering):",'Slutlig allokering kvv'!$B$1:$AX$1,0),FALSE)/1,"")</f>
        <v>0</v>
      </c>
      <c r="AM164" s="31" t="str">
        <f>IFERROR(1-VLOOKUP($B164,'Slutlig allokering kvv'!$B$2:$AX$549,MATCH("Andel av bränsle i kvv som allokerats till värme, exklusive rökgaskondensering och hjälpel",'Slutlig allokering kvv'!$B$1:$AX$1,0),FALSE),"")</f>
        <v/>
      </c>
      <c r="AO164" s="31" t="str">
        <f t="shared" si="9"/>
        <v/>
      </c>
      <c r="AP164" s="31" t="str">
        <f t="shared" si="10"/>
        <v/>
      </c>
      <c r="AR164" s="32" t="str">
        <f t="shared" si="11"/>
        <v/>
      </c>
    </row>
    <row r="165" spans="1:44" s="31" customFormat="1" x14ac:dyDescent="0.45">
      <c r="A165" s="31" t="s">
        <v>447</v>
      </c>
      <c r="B165" s="31" t="s">
        <v>446</v>
      </c>
      <c r="C165" s="31" t="str">
        <f>IFERROR(VLOOKUP($B165,Kraftvärmeprod!$B$1:$AH$479,MATCH(C$2,Kraftvärmeprod!$B$1:$AG$1,0),FALSE)/1,"")</f>
        <v/>
      </c>
      <c r="D165" s="31" t="str">
        <f>IFERROR(VLOOKUP($B165,Kraftvärmeprod!$B$1:$AH$479,MATCH(D$2,Kraftvärmeprod!$B$1:$AG$1,0),FALSE)/1,"")</f>
        <v/>
      </c>
      <c r="F165" s="31" t="str">
        <f>IF($D165="","",IFERROR(VLOOKUP($B165,Kraftvärmeprod!$B$1:$BX$550,MATCH(F$2,Kraftvärmeprod!$B$1:$VX$1,0),FALSE)/1,0)-IFERROR(VLOOKUP($B165,'Slutlig allokering kvv'!$B$2:$BX$550,MATCH(F$2,'Slutlig allokering kvv'!$B$1:$BX$1,0),FALSE)/1,0))</f>
        <v/>
      </c>
      <c r="G165" s="31" t="str">
        <f>IF($D165="","",IFERROR(VLOOKUP($B165,Kraftvärmeprod!$B$1:$BX$550,MATCH(G$2,Kraftvärmeprod!$B$1:$VX$1,0),FALSE)/1,0)-IFERROR(VLOOKUP($B165,'Slutlig allokering kvv'!$B$2:$BX$550,MATCH(G$2,'Slutlig allokering kvv'!$B$1:$BX$1,0),FALSE)/1,0))</f>
        <v/>
      </c>
      <c r="H165" s="31" t="str">
        <f>IF($D165="","",IFERROR(VLOOKUP($B165,Kraftvärmeprod!$B$1:$BX$550,MATCH(H$2,Kraftvärmeprod!$B$1:$VX$1,0),FALSE)/1,0)-IFERROR(VLOOKUP($B165,'Slutlig allokering kvv'!$B$2:$BX$550,MATCH(H$2,'Slutlig allokering kvv'!$B$1:$BX$1,0),FALSE)/1,0))</f>
        <v/>
      </c>
      <c r="I165" s="31" t="str">
        <f>IF($D165="","",IFERROR(VLOOKUP($B165,Kraftvärmeprod!$B$1:$BX$550,MATCH(I$2,Kraftvärmeprod!$B$1:$VX$1,0),FALSE)/1,0)-IFERROR(VLOOKUP($B165,'Slutlig allokering kvv'!$B$2:$BX$550,MATCH(I$2,'Slutlig allokering kvv'!$B$1:$BX$1,0),FALSE)/1,0))</f>
        <v/>
      </c>
      <c r="J165" s="31" t="str">
        <f>IF($D165="","",IFERROR(VLOOKUP($B165,Kraftvärmeprod!$B$1:$BX$550,MATCH(J$2,Kraftvärmeprod!$B$1:$VX$1,0),FALSE)/1,0)-IFERROR(VLOOKUP($B165,'Slutlig allokering kvv'!$B$2:$BX$550,MATCH(J$2,'Slutlig allokering kvv'!$B$1:$BX$1,0),FALSE)/1,0))</f>
        <v/>
      </c>
      <c r="K165" s="31" t="str">
        <f>IF($D165="","",IFERROR(VLOOKUP($B165,Kraftvärmeprod!$B$1:$BX$550,MATCH(K$2,Kraftvärmeprod!$B$1:$VX$1,0),FALSE)/1,0)-IFERROR(VLOOKUP($B165,'Slutlig allokering kvv'!$B$2:$BX$550,MATCH(K$2,'Slutlig allokering kvv'!$B$1:$BX$1,0),FALSE)/1,0))</f>
        <v/>
      </c>
      <c r="L165" s="31" t="str">
        <f>IF($D165="","",IFERROR(VLOOKUP($B165,Kraftvärmeprod!$B$1:$BX$550,MATCH(L$2,Kraftvärmeprod!$B$1:$VX$1,0),FALSE)/1,0)-IFERROR(VLOOKUP($B165,'Slutlig allokering kvv'!$B$2:$BX$550,MATCH(L$2,'Slutlig allokering kvv'!$B$1:$BX$1,0),FALSE)/1,0))</f>
        <v/>
      </c>
      <c r="M165" s="31" t="str">
        <f>IF($D165="","",IFERROR(VLOOKUP($B165,Kraftvärmeprod!$B$1:$BX$550,MATCH(M$2,Kraftvärmeprod!$B$1:$VX$1,0),FALSE)/1,0)-IFERROR(VLOOKUP($B165,'Slutlig allokering kvv'!$B$2:$BX$550,MATCH(M$2,'Slutlig allokering kvv'!$B$1:$BX$1,0),FALSE)/1,0))</f>
        <v/>
      </c>
      <c r="N165" s="31" t="str">
        <f>IF($D165="","",IFERROR(VLOOKUP($B165,Kraftvärmeprod!$B$1:$BX$550,MATCH(N$2,Kraftvärmeprod!$B$1:$VX$1,0),FALSE)/1,0)-IFERROR(VLOOKUP($B165,'Slutlig allokering kvv'!$B$2:$BX$550,MATCH(N$2,'Slutlig allokering kvv'!$B$1:$BX$1,0),FALSE)/1,0))</f>
        <v/>
      </c>
      <c r="O165" s="31" t="str">
        <f>IF($D165="","",IFERROR(VLOOKUP($B165,Kraftvärmeprod!$B$1:$BX$550,MATCH(O$2,Kraftvärmeprod!$B$1:$VX$1,0),FALSE)/1,0)-IFERROR(VLOOKUP($B165,'Slutlig allokering kvv'!$B$2:$BX$550,MATCH(O$2,'Slutlig allokering kvv'!$B$1:$BX$1,0),FALSE)/1,0))</f>
        <v/>
      </c>
      <c r="P165" s="31" t="str">
        <f>IF($D165="","",IFERROR(VLOOKUP($B165,Kraftvärmeprod!$B$1:$BX$550,MATCH(P$2,Kraftvärmeprod!$B$1:$VX$1,0),FALSE)/1,0)-IFERROR(VLOOKUP($B165,'Slutlig allokering kvv'!$B$2:$BX$550,MATCH(P$2,'Slutlig allokering kvv'!$B$1:$BX$1,0),FALSE)/1,0))</f>
        <v/>
      </c>
      <c r="Q165" s="31" t="str">
        <f>IF($D165="","",IFERROR(VLOOKUP($B165,Kraftvärmeprod!$B$1:$BX$550,MATCH(Q$2,Kraftvärmeprod!$B$1:$VX$1,0),FALSE)/1,0)-IFERROR(VLOOKUP($B165,'Slutlig allokering kvv'!$B$2:$BX$550,MATCH(Q$2,'Slutlig allokering kvv'!$B$1:$BX$1,0),FALSE)/1,0))</f>
        <v/>
      </c>
      <c r="R165" s="31" t="str">
        <f>IF($D165="","",IFERROR(VLOOKUP($B165,Kraftvärmeprod!$B$1:$BX$550,MATCH(R$2,Kraftvärmeprod!$B$1:$VX$1,0),FALSE)/1,0)-IFERROR(VLOOKUP($B165,'Slutlig allokering kvv'!$B$2:$BX$550,MATCH(R$2,'Slutlig allokering kvv'!$B$1:$BX$1,0),FALSE)/1,0))</f>
        <v/>
      </c>
      <c r="S165" s="31" t="str">
        <f>IF($D165="","",IFERROR(VLOOKUP($B165,Kraftvärmeprod!$B$1:$BX$550,MATCH(S$2,Kraftvärmeprod!$B$1:$VX$1,0),FALSE)/1,0)-IFERROR(VLOOKUP($B165,'Slutlig allokering kvv'!$B$2:$BX$550,MATCH(S$2,'Slutlig allokering kvv'!$B$1:$BX$1,0),FALSE)/1,0))</f>
        <v/>
      </c>
      <c r="T165" s="31" t="str">
        <f>IF($D165="","",IFERROR(VLOOKUP($B165,Kraftvärmeprod!$B$1:$BX$550,MATCH(T$2,Kraftvärmeprod!$B$1:$VX$1,0),FALSE)/1,0)-IFERROR(VLOOKUP($B165,'Slutlig allokering kvv'!$B$2:$BX$550,MATCH(T$2,'Slutlig allokering kvv'!$B$1:$BX$1,0),FALSE)/1,0))</f>
        <v/>
      </c>
      <c r="U165" s="31" t="str">
        <f>IF($D165="","",IFERROR(VLOOKUP($B165,Kraftvärmeprod!$B$1:$BX$550,MATCH(U$2,Kraftvärmeprod!$B$1:$VX$1,0),FALSE)/1,0)-IFERROR(VLOOKUP($B165,'Slutlig allokering kvv'!$B$2:$BX$550,MATCH(U$2,'Slutlig allokering kvv'!$B$1:$BX$1,0),FALSE)/1,0))</f>
        <v/>
      </c>
      <c r="V165" s="31" t="str">
        <f>IF($D165="","",IFERROR(VLOOKUP($B165,Kraftvärmeprod!$B$1:$BX$550,MATCH(V$2,Kraftvärmeprod!$B$1:$VX$1,0),FALSE)/1,0)-IFERROR(VLOOKUP($B165,'Slutlig allokering kvv'!$B$2:$BX$550,MATCH(V$2,'Slutlig allokering kvv'!$B$1:$BX$1,0),FALSE)/1,0))</f>
        <v/>
      </c>
      <c r="W165" s="31" t="str">
        <f>IF($D165="","",IFERROR(VLOOKUP($B165,Kraftvärmeprod!$B$1:$BX$550,MATCH(W$2,Kraftvärmeprod!$B$1:$VX$1,0),FALSE)/1,0)-IFERROR(VLOOKUP($B165,'Slutlig allokering kvv'!$B$2:$BX$550,MATCH(W$2,'Slutlig allokering kvv'!$B$1:$BX$1,0),FALSE)/1,0))</f>
        <v/>
      </c>
      <c r="X165" s="31" t="str">
        <f>IF($D165="","",IFERROR(VLOOKUP($B165,Kraftvärmeprod!$B$1:$BX$550,MATCH(X$2,Kraftvärmeprod!$B$1:$VX$1,0),FALSE)/1,0)-IFERROR(VLOOKUP($B165,'Slutlig allokering kvv'!$B$2:$BX$550,MATCH(X$2,'Slutlig allokering kvv'!$B$1:$BX$1,0),FALSE)/1,0))</f>
        <v/>
      </c>
      <c r="Y165" s="31" t="str">
        <f>IF($D165="","",IFERROR(VLOOKUP($B165,Kraftvärmeprod!$B$1:$BX$550,MATCH(Y$2,Kraftvärmeprod!$B$1:$VX$1,0),FALSE)/1,0)-IFERROR(VLOOKUP($B165,'Slutlig allokering kvv'!$B$2:$BX$550,MATCH(Y$2,'Slutlig allokering kvv'!$B$1:$BX$1,0),FALSE)/1,0))</f>
        <v/>
      </c>
      <c r="Z165" s="31" t="str">
        <f>IF($D165="","",IFERROR(VLOOKUP($B165,Kraftvärmeprod!$B$1:$BX$550,MATCH(Z$2,Kraftvärmeprod!$B$1:$VX$1,0),FALSE)/1,0)-IFERROR(VLOOKUP($B165,'Slutlig allokering kvv'!$B$2:$BX$550,MATCH(Z$2,'Slutlig allokering kvv'!$B$1:$BX$1,0),FALSE)/1,0))</f>
        <v/>
      </c>
      <c r="AA165" s="31" t="str">
        <f>IF($D165="","",IFERROR(VLOOKUP($B165,Kraftvärmeprod!$B$1:$BX$550,MATCH(AA$2,Kraftvärmeprod!$B$1:$VX$1,0),FALSE)/1,0)-IFERROR(VLOOKUP($B165,'Slutlig allokering kvv'!$B$2:$BX$550,MATCH(AA$2,'Slutlig allokering kvv'!$B$1:$BX$1,0),FALSE)/1,0))</f>
        <v/>
      </c>
      <c r="AB165" s="31" t="str">
        <f>IF($D165="","",IFERROR(VLOOKUP($B165,Kraftvärmeprod!$B$1:$BX$550,MATCH(AB$2,Kraftvärmeprod!$B$1:$VX$1,0),FALSE)/1,0)-IFERROR(VLOOKUP($B165,'Slutlig allokering kvv'!$B$2:$BX$550,MATCH(AB$2,'Slutlig allokering kvv'!$B$1:$BX$1,0),FALSE)/1,0))</f>
        <v/>
      </c>
      <c r="AC165" s="31" t="str">
        <f>IF($D165="","",IFERROR(VLOOKUP($B165,Kraftvärmeprod!$B$1:$BX$550,MATCH(AC$2,Kraftvärmeprod!$B$1:$VX$1,0),FALSE)/1,0)-IFERROR(VLOOKUP($B165,'Slutlig allokering kvv'!$B$2:$BX$550,MATCH(AC$2,'Slutlig allokering kvv'!$B$1:$BX$1,0),FALSE)/1,0))</f>
        <v/>
      </c>
      <c r="AD165" s="31" t="str">
        <f>IF($D165="","",IFERROR(VLOOKUP($B165,Kraftvärmeprod!$B$1:$BX$550,MATCH(AD$2,Kraftvärmeprod!$B$1:$VX$1,0),FALSE)/1,0)-IFERROR(VLOOKUP($B165,'Slutlig allokering kvv'!$B$2:$BX$550,MATCH(AD$2,'Slutlig allokering kvv'!$B$1:$BX$1,0),FALSE)/1,0))</f>
        <v/>
      </c>
      <c r="AE165" s="31" t="str">
        <f>IF($D165="","",IFERROR(VLOOKUP($B165,Miljö!$B$1:$E$550,MATCH("Hjälpel kraftvärme (GWh)",Miljö!$B$1:$E$1,0),FALSE)/1,0)-IFERROR(VLOOKUP($B165,'Slutlig allokering kvv'!$B$2:$BX$549,MATCH(AE$2,'Slutlig allokering kvv'!$B$1:$BX$1,0),FALSE)/1,0))</f>
        <v/>
      </c>
      <c r="AI165" s="39">
        <f t="shared" si="8"/>
        <v>0</v>
      </c>
      <c r="AK165" s="31">
        <f>IFERROR(VLOOKUP($B165,'Slutlig allokering kvv'!$B$2:$AX$549,MATCH("Summa slutlig allokerad tillförd energi (utan hjälpel och rökgaskondensering):",'Slutlig allokering kvv'!$B$1:$AX$1,0),FALSE)/1,"")</f>
        <v>0</v>
      </c>
      <c r="AM165" s="31" t="str">
        <f>IFERROR(1-VLOOKUP($B165,'Slutlig allokering kvv'!$B$2:$AX$549,MATCH("Andel av bränsle i kvv som allokerats till värme, exklusive rökgaskondensering och hjälpel",'Slutlig allokering kvv'!$B$1:$AX$1,0),FALSE),"")</f>
        <v/>
      </c>
      <c r="AO165" s="31" t="str">
        <f t="shared" si="9"/>
        <v/>
      </c>
      <c r="AP165" s="31" t="str">
        <f t="shared" si="10"/>
        <v/>
      </c>
      <c r="AR165" s="32" t="str">
        <f t="shared" si="11"/>
        <v/>
      </c>
    </row>
    <row r="166" spans="1:44" s="31" customFormat="1" x14ac:dyDescent="0.45">
      <c r="A166" s="31" t="s">
        <v>444</v>
      </c>
      <c r="B166" s="31" t="s">
        <v>443</v>
      </c>
      <c r="C166" s="31" t="str">
        <f>IFERROR(VLOOKUP($B166,Kraftvärmeprod!$B$1:$AH$479,MATCH(C$2,Kraftvärmeprod!$B$1:$AG$1,0),FALSE)/1,"")</f>
        <v/>
      </c>
      <c r="D166" s="31" t="str">
        <f>IFERROR(VLOOKUP($B166,Kraftvärmeprod!$B$1:$AH$479,MATCH(D$2,Kraftvärmeprod!$B$1:$AG$1,0),FALSE)/1,"")</f>
        <v/>
      </c>
      <c r="F166" s="31" t="str">
        <f>IF($D166="","",IFERROR(VLOOKUP($B166,Kraftvärmeprod!$B$1:$BX$550,MATCH(F$2,Kraftvärmeprod!$B$1:$VX$1,0),FALSE)/1,0)-IFERROR(VLOOKUP($B166,'Slutlig allokering kvv'!$B$2:$BX$550,MATCH(F$2,'Slutlig allokering kvv'!$B$1:$BX$1,0),FALSE)/1,0))</f>
        <v/>
      </c>
      <c r="G166" s="31" t="str">
        <f>IF($D166="","",IFERROR(VLOOKUP($B166,Kraftvärmeprod!$B$1:$BX$550,MATCH(G$2,Kraftvärmeprod!$B$1:$VX$1,0),FALSE)/1,0)-IFERROR(VLOOKUP($B166,'Slutlig allokering kvv'!$B$2:$BX$550,MATCH(G$2,'Slutlig allokering kvv'!$B$1:$BX$1,0),FALSE)/1,0))</f>
        <v/>
      </c>
      <c r="H166" s="31" t="str">
        <f>IF($D166="","",IFERROR(VLOOKUP($B166,Kraftvärmeprod!$B$1:$BX$550,MATCH(H$2,Kraftvärmeprod!$B$1:$VX$1,0),FALSE)/1,0)-IFERROR(VLOOKUP($B166,'Slutlig allokering kvv'!$B$2:$BX$550,MATCH(H$2,'Slutlig allokering kvv'!$B$1:$BX$1,0),FALSE)/1,0))</f>
        <v/>
      </c>
      <c r="I166" s="31" t="str">
        <f>IF($D166="","",IFERROR(VLOOKUP($B166,Kraftvärmeprod!$B$1:$BX$550,MATCH(I$2,Kraftvärmeprod!$B$1:$VX$1,0),FALSE)/1,0)-IFERROR(VLOOKUP($B166,'Slutlig allokering kvv'!$B$2:$BX$550,MATCH(I$2,'Slutlig allokering kvv'!$B$1:$BX$1,0),FALSE)/1,0))</f>
        <v/>
      </c>
      <c r="J166" s="31" t="str">
        <f>IF($D166="","",IFERROR(VLOOKUP($B166,Kraftvärmeprod!$B$1:$BX$550,MATCH(J$2,Kraftvärmeprod!$B$1:$VX$1,0),FALSE)/1,0)-IFERROR(VLOOKUP($B166,'Slutlig allokering kvv'!$B$2:$BX$550,MATCH(J$2,'Slutlig allokering kvv'!$B$1:$BX$1,0),FALSE)/1,0))</f>
        <v/>
      </c>
      <c r="K166" s="31" t="str">
        <f>IF($D166="","",IFERROR(VLOOKUP($B166,Kraftvärmeprod!$B$1:$BX$550,MATCH(K$2,Kraftvärmeprod!$B$1:$VX$1,0),FALSE)/1,0)-IFERROR(VLOOKUP($B166,'Slutlig allokering kvv'!$B$2:$BX$550,MATCH(K$2,'Slutlig allokering kvv'!$B$1:$BX$1,0),FALSE)/1,0))</f>
        <v/>
      </c>
      <c r="L166" s="31" t="str">
        <f>IF($D166="","",IFERROR(VLOOKUP($B166,Kraftvärmeprod!$B$1:$BX$550,MATCH(L$2,Kraftvärmeprod!$B$1:$VX$1,0),FALSE)/1,0)-IFERROR(VLOOKUP($B166,'Slutlig allokering kvv'!$B$2:$BX$550,MATCH(L$2,'Slutlig allokering kvv'!$B$1:$BX$1,0),FALSE)/1,0))</f>
        <v/>
      </c>
      <c r="M166" s="31" t="str">
        <f>IF($D166="","",IFERROR(VLOOKUP($B166,Kraftvärmeprod!$B$1:$BX$550,MATCH(M$2,Kraftvärmeprod!$B$1:$VX$1,0),FALSE)/1,0)-IFERROR(VLOOKUP($B166,'Slutlig allokering kvv'!$B$2:$BX$550,MATCH(M$2,'Slutlig allokering kvv'!$B$1:$BX$1,0),FALSE)/1,0))</f>
        <v/>
      </c>
      <c r="N166" s="31" t="str">
        <f>IF($D166="","",IFERROR(VLOOKUP($B166,Kraftvärmeprod!$B$1:$BX$550,MATCH(N$2,Kraftvärmeprod!$B$1:$VX$1,0),FALSE)/1,0)-IFERROR(VLOOKUP($B166,'Slutlig allokering kvv'!$B$2:$BX$550,MATCH(N$2,'Slutlig allokering kvv'!$B$1:$BX$1,0),FALSE)/1,0))</f>
        <v/>
      </c>
      <c r="O166" s="31" t="str">
        <f>IF($D166="","",IFERROR(VLOOKUP($B166,Kraftvärmeprod!$B$1:$BX$550,MATCH(O$2,Kraftvärmeprod!$B$1:$VX$1,0),FALSE)/1,0)-IFERROR(VLOOKUP($B166,'Slutlig allokering kvv'!$B$2:$BX$550,MATCH(O$2,'Slutlig allokering kvv'!$B$1:$BX$1,0),FALSE)/1,0))</f>
        <v/>
      </c>
      <c r="P166" s="31" t="str">
        <f>IF($D166="","",IFERROR(VLOOKUP($B166,Kraftvärmeprod!$B$1:$BX$550,MATCH(P$2,Kraftvärmeprod!$B$1:$VX$1,0),FALSE)/1,0)-IFERROR(VLOOKUP($B166,'Slutlig allokering kvv'!$B$2:$BX$550,MATCH(P$2,'Slutlig allokering kvv'!$B$1:$BX$1,0),FALSE)/1,0))</f>
        <v/>
      </c>
      <c r="Q166" s="31" t="str">
        <f>IF($D166="","",IFERROR(VLOOKUP($B166,Kraftvärmeprod!$B$1:$BX$550,MATCH(Q$2,Kraftvärmeprod!$B$1:$VX$1,0),FALSE)/1,0)-IFERROR(VLOOKUP($B166,'Slutlig allokering kvv'!$B$2:$BX$550,MATCH(Q$2,'Slutlig allokering kvv'!$B$1:$BX$1,0),FALSE)/1,0))</f>
        <v/>
      </c>
      <c r="R166" s="31" t="str">
        <f>IF($D166="","",IFERROR(VLOOKUP($B166,Kraftvärmeprod!$B$1:$BX$550,MATCH(R$2,Kraftvärmeprod!$B$1:$VX$1,0),FALSE)/1,0)-IFERROR(VLOOKUP($B166,'Slutlig allokering kvv'!$B$2:$BX$550,MATCH(R$2,'Slutlig allokering kvv'!$B$1:$BX$1,0),FALSE)/1,0))</f>
        <v/>
      </c>
      <c r="S166" s="31" t="str">
        <f>IF($D166="","",IFERROR(VLOOKUP($B166,Kraftvärmeprod!$B$1:$BX$550,MATCH(S$2,Kraftvärmeprod!$B$1:$VX$1,0),FALSE)/1,0)-IFERROR(VLOOKUP($B166,'Slutlig allokering kvv'!$B$2:$BX$550,MATCH(S$2,'Slutlig allokering kvv'!$B$1:$BX$1,0),FALSE)/1,0))</f>
        <v/>
      </c>
      <c r="T166" s="31" t="str">
        <f>IF($D166="","",IFERROR(VLOOKUP($B166,Kraftvärmeprod!$B$1:$BX$550,MATCH(T$2,Kraftvärmeprod!$B$1:$VX$1,0),FALSE)/1,0)-IFERROR(VLOOKUP($B166,'Slutlig allokering kvv'!$B$2:$BX$550,MATCH(T$2,'Slutlig allokering kvv'!$B$1:$BX$1,0),FALSE)/1,0))</f>
        <v/>
      </c>
      <c r="U166" s="31" t="str">
        <f>IF($D166="","",IFERROR(VLOOKUP($B166,Kraftvärmeprod!$B$1:$BX$550,MATCH(U$2,Kraftvärmeprod!$B$1:$VX$1,0),FALSE)/1,0)-IFERROR(VLOOKUP($B166,'Slutlig allokering kvv'!$B$2:$BX$550,MATCH(U$2,'Slutlig allokering kvv'!$B$1:$BX$1,0),FALSE)/1,0))</f>
        <v/>
      </c>
      <c r="V166" s="31" t="str">
        <f>IF($D166="","",IFERROR(VLOOKUP($B166,Kraftvärmeprod!$B$1:$BX$550,MATCH(V$2,Kraftvärmeprod!$B$1:$VX$1,0),FALSE)/1,0)-IFERROR(VLOOKUP($B166,'Slutlig allokering kvv'!$B$2:$BX$550,MATCH(V$2,'Slutlig allokering kvv'!$B$1:$BX$1,0),FALSE)/1,0))</f>
        <v/>
      </c>
      <c r="W166" s="31" t="str">
        <f>IF($D166="","",IFERROR(VLOOKUP($B166,Kraftvärmeprod!$B$1:$BX$550,MATCH(W$2,Kraftvärmeprod!$B$1:$VX$1,0),FALSE)/1,0)-IFERROR(VLOOKUP($B166,'Slutlig allokering kvv'!$B$2:$BX$550,MATCH(W$2,'Slutlig allokering kvv'!$B$1:$BX$1,0),FALSE)/1,0))</f>
        <v/>
      </c>
      <c r="X166" s="31" t="str">
        <f>IF($D166="","",IFERROR(VLOOKUP($B166,Kraftvärmeprod!$B$1:$BX$550,MATCH(X$2,Kraftvärmeprod!$B$1:$VX$1,0),FALSE)/1,0)-IFERROR(VLOOKUP($B166,'Slutlig allokering kvv'!$B$2:$BX$550,MATCH(X$2,'Slutlig allokering kvv'!$B$1:$BX$1,0),FALSE)/1,0))</f>
        <v/>
      </c>
      <c r="Y166" s="31" t="str">
        <f>IF($D166="","",IFERROR(VLOOKUP($B166,Kraftvärmeprod!$B$1:$BX$550,MATCH(Y$2,Kraftvärmeprod!$B$1:$VX$1,0),FALSE)/1,0)-IFERROR(VLOOKUP($B166,'Slutlig allokering kvv'!$B$2:$BX$550,MATCH(Y$2,'Slutlig allokering kvv'!$B$1:$BX$1,0),FALSE)/1,0))</f>
        <v/>
      </c>
      <c r="Z166" s="31" t="str">
        <f>IF($D166="","",IFERROR(VLOOKUP($B166,Kraftvärmeprod!$B$1:$BX$550,MATCH(Z$2,Kraftvärmeprod!$B$1:$VX$1,0),FALSE)/1,0)-IFERROR(VLOOKUP($B166,'Slutlig allokering kvv'!$B$2:$BX$550,MATCH(Z$2,'Slutlig allokering kvv'!$B$1:$BX$1,0),FALSE)/1,0))</f>
        <v/>
      </c>
      <c r="AA166" s="31" t="str">
        <f>IF($D166="","",IFERROR(VLOOKUP($B166,Kraftvärmeprod!$B$1:$BX$550,MATCH(AA$2,Kraftvärmeprod!$B$1:$VX$1,0),FALSE)/1,0)-IFERROR(VLOOKUP($B166,'Slutlig allokering kvv'!$B$2:$BX$550,MATCH(AA$2,'Slutlig allokering kvv'!$B$1:$BX$1,0),FALSE)/1,0))</f>
        <v/>
      </c>
      <c r="AB166" s="31" t="str">
        <f>IF($D166="","",IFERROR(VLOOKUP($B166,Kraftvärmeprod!$B$1:$BX$550,MATCH(AB$2,Kraftvärmeprod!$B$1:$VX$1,0),FALSE)/1,0)-IFERROR(VLOOKUP($B166,'Slutlig allokering kvv'!$B$2:$BX$550,MATCH(AB$2,'Slutlig allokering kvv'!$B$1:$BX$1,0),FALSE)/1,0))</f>
        <v/>
      </c>
      <c r="AC166" s="31" t="str">
        <f>IF($D166="","",IFERROR(VLOOKUP($B166,Kraftvärmeprod!$B$1:$BX$550,MATCH(AC$2,Kraftvärmeprod!$B$1:$VX$1,0),FALSE)/1,0)-IFERROR(VLOOKUP($B166,'Slutlig allokering kvv'!$B$2:$BX$550,MATCH(AC$2,'Slutlig allokering kvv'!$B$1:$BX$1,0),FALSE)/1,0))</f>
        <v/>
      </c>
      <c r="AD166" s="31" t="str">
        <f>IF($D166="","",IFERROR(VLOOKUP($B166,Kraftvärmeprod!$B$1:$BX$550,MATCH(AD$2,Kraftvärmeprod!$B$1:$VX$1,0),FALSE)/1,0)-IFERROR(VLOOKUP($B166,'Slutlig allokering kvv'!$B$2:$BX$550,MATCH(AD$2,'Slutlig allokering kvv'!$B$1:$BX$1,0),FALSE)/1,0))</f>
        <v/>
      </c>
      <c r="AE166" s="31" t="str">
        <f>IF($D166="","",IFERROR(VLOOKUP($B166,Miljö!$B$1:$E$550,MATCH("Hjälpel kraftvärme (GWh)",Miljö!$B$1:$E$1,0),FALSE)/1,0)-IFERROR(VLOOKUP($B166,'Slutlig allokering kvv'!$B$2:$BX$549,MATCH(AE$2,'Slutlig allokering kvv'!$B$1:$BX$1,0),FALSE)/1,0))</f>
        <v/>
      </c>
      <c r="AI166" s="39">
        <f t="shared" si="8"/>
        <v>0</v>
      </c>
      <c r="AK166" s="31">
        <f>IFERROR(VLOOKUP($B166,'Slutlig allokering kvv'!$B$2:$AX$549,MATCH("Summa slutlig allokerad tillförd energi (utan hjälpel och rökgaskondensering):",'Slutlig allokering kvv'!$B$1:$AX$1,0),FALSE)/1,"")</f>
        <v>0</v>
      </c>
      <c r="AM166" s="31" t="str">
        <f>IFERROR(1-VLOOKUP($B166,'Slutlig allokering kvv'!$B$2:$AX$549,MATCH("Andel av bränsle i kvv som allokerats till värme, exklusive rökgaskondensering och hjälpel",'Slutlig allokering kvv'!$B$1:$AX$1,0),FALSE),"")</f>
        <v/>
      </c>
      <c r="AO166" s="31" t="str">
        <f t="shared" si="9"/>
        <v/>
      </c>
      <c r="AP166" s="31" t="str">
        <f t="shared" si="10"/>
        <v/>
      </c>
      <c r="AR166" s="32" t="str">
        <f t="shared" si="11"/>
        <v/>
      </c>
    </row>
    <row r="167" spans="1:44" s="31" customFormat="1" x14ac:dyDescent="0.45">
      <c r="A167" s="31" t="s">
        <v>444</v>
      </c>
      <c r="B167" s="31" t="s">
        <v>445</v>
      </c>
      <c r="C167" s="31">
        <f>IFERROR(VLOOKUP($B167,Kraftvärmeprod!$B$1:$AH$479,MATCH(C$2,Kraftvärmeprod!$B$1:$AG$1,0),FALSE)/1,"")</f>
        <v>62.5</v>
      </c>
      <c r="D167" s="31">
        <f>IFERROR(VLOOKUP($B167,Kraftvärmeprod!$B$1:$AH$479,MATCH(D$2,Kraftvärmeprod!$B$1:$AG$1,0),FALSE)/1,"")</f>
        <v>9</v>
      </c>
      <c r="F167" s="31">
        <f>IF($D167="","",IFERROR(VLOOKUP($B167,Kraftvärmeprod!$B$1:$BX$550,MATCH(F$2,Kraftvärmeprod!$B$1:$VX$1,0),FALSE)/1,0)-IFERROR(VLOOKUP($B167,'Slutlig allokering kvv'!$B$2:$BX$550,MATCH(F$2,'Slutlig allokering kvv'!$B$1:$BX$1,0),FALSE)/1,0))</f>
        <v>0</v>
      </c>
      <c r="G167" s="31">
        <f>IF($D167="","",IFERROR(VLOOKUP($B167,Kraftvärmeprod!$B$1:$BX$550,MATCH(G$2,Kraftvärmeprod!$B$1:$VX$1,0),FALSE)/1,0)-IFERROR(VLOOKUP($B167,'Slutlig allokering kvv'!$B$2:$BX$550,MATCH(G$2,'Slutlig allokering kvv'!$B$1:$BX$1,0),FALSE)/1,0))</f>
        <v>0</v>
      </c>
      <c r="H167" s="31">
        <f>IF($D167="","",IFERROR(VLOOKUP($B167,Kraftvärmeprod!$B$1:$BX$550,MATCH(H$2,Kraftvärmeprod!$B$1:$VX$1,0),FALSE)/1,0)-IFERROR(VLOOKUP($B167,'Slutlig allokering kvv'!$B$2:$BX$550,MATCH(H$2,'Slutlig allokering kvv'!$B$1:$BX$1,0),FALSE)/1,0))</f>
        <v>0</v>
      </c>
      <c r="I167" s="31">
        <f>IF($D167="","",IFERROR(VLOOKUP($B167,Kraftvärmeprod!$B$1:$BX$550,MATCH(I$2,Kraftvärmeprod!$B$1:$VX$1,0),FALSE)/1,0)-IFERROR(VLOOKUP($B167,'Slutlig allokering kvv'!$B$2:$BX$550,MATCH(I$2,'Slutlig allokering kvv'!$B$1:$BX$1,0),FALSE)/1,0))</f>
        <v>0</v>
      </c>
      <c r="J167" s="31">
        <f>IF($D167="","",IFERROR(VLOOKUP($B167,Kraftvärmeprod!$B$1:$BX$550,MATCH(J$2,Kraftvärmeprod!$B$1:$VX$1,0),FALSE)/1,0)-IFERROR(VLOOKUP($B167,'Slutlig allokering kvv'!$B$2:$BX$550,MATCH(J$2,'Slutlig allokering kvv'!$B$1:$BX$1,0),FALSE)/1,0))</f>
        <v>0</v>
      </c>
      <c r="K167" s="31">
        <f>IF($D167="","",IFERROR(VLOOKUP($B167,Kraftvärmeprod!$B$1:$BX$550,MATCH(K$2,Kraftvärmeprod!$B$1:$VX$1,0),FALSE)/1,0)-IFERROR(VLOOKUP($B167,'Slutlig allokering kvv'!$B$2:$BX$550,MATCH(K$2,'Slutlig allokering kvv'!$B$1:$BX$1,0),FALSE)/1,0))</f>
        <v>0</v>
      </c>
      <c r="L167" s="31">
        <f>IF($D167="","",IFERROR(VLOOKUP($B167,Kraftvärmeprod!$B$1:$BX$550,MATCH(L$2,Kraftvärmeprod!$B$1:$VX$1,0),FALSE)/1,0)-IFERROR(VLOOKUP($B167,'Slutlig allokering kvv'!$B$2:$BX$550,MATCH(L$2,'Slutlig allokering kvv'!$B$1:$BX$1,0),FALSE)/1,0))</f>
        <v>14.571300000000001</v>
      </c>
      <c r="M167" s="31">
        <f>IF($D167="","",IFERROR(VLOOKUP($B167,Kraftvärmeprod!$B$1:$BX$550,MATCH(M$2,Kraftvärmeprod!$B$1:$VX$1,0),FALSE)/1,0)-IFERROR(VLOOKUP($B167,'Slutlig allokering kvv'!$B$2:$BX$550,MATCH(M$2,'Slutlig allokering kvv'!$B$1:$BX$1,0),FALSE)/1,0))</f>
        <v>1.0232700000000001</v>
      </c>
      <c r="N167" s="31">
        <f>IF($D167="","",IFERROR(VLOOKUP($B167,Kraftvärmeprod!$B$1:$BX$550,MATCH(N$2,Kraftvärmeprod!$B$1:$VX$1,0),FALSE)/1,0)-IFERROR(VLOOKUP($B167,'Slutlig allokering kvv'!$B$2:$BX$550,MATCH(N$2,'Slutlig allokering kvv'!$B$1:$BX$1,0),FALSE)/1,0))</f>
        <v>7.9324000000000012</v>
      </c>
      <c r="O167" s="31">
        <f>IF($D167="","",IFERROR(VLOOKUP($B167,Kraftvärmeprod!$B$1:$BX$550,MATCH(O$2,Kraftvärmeprod!$B$1:$VX$1,0),FALSE)/1,0)-IFERROR(VLOOKUP($B167,'Slutlig allokering kvv'!$B$2:$BX$550,MATCH(O$2,'Slutlig allokering kvv'!$B$1:$BX$1,0),FALSE)/1,0))</f>
        <v>0</v>
      </c>
      <c r="P167" s="31">
        <f>IF($D167="","",IFERROR(VLOOKUP($B167,Kraftvärmeprod!$B$1:$BX$550,MATCH(P$2,Kraftvärmeprod!$B$1:$VX$1,0),FALSE)/1,0)-IFERROR(VLOOKUP($B167,'Slutlig allokering kvv'!$B$2:$BX$550,MATCH(P$2,'Slutlig allokering kvv'!$B$1:$BX$1,0),FALSE)/1,0))</f>
        <v>0</v>
      </c>
      <c r="Q167" s="31">
        <f>IF($D167="","",IFERROR(VLOOKUP($B167,Kraftvärmeprod!$B$1:$BX$550,MATCH(Q$2,Kraftvärmeprod!$B$1:$VX$1,0),FALSE)/1,0)-IFERROR(VLOOKUP($B167,'Slutlig allokering kvv'!$B$2:$BX$550,MATCH(Q$2,'Slutlig allokering kvv'!$B$1:$BX$1,0),FALSE)/1,0))</f>
        <v>0</v>
      </c>
      <c r="R167" s="31">
        <f>IF($D167="","",IFERROR(VLOOKUP($B167,Kraftvärmeprod!$B$1:$BX$550,MATCH(R$2,Kraftvärmeprod!$B$1:$VX$1,0),FALSE)/1,0)-IFERROR(VLOOKUP($B167,'Slutlig allokering kvv'!$B$2:$BX$550,MATCH(R$2,'Slutlig allokering kvv'!$B$1:$BX$1,0),FALSE)/1,0))</f>
        <v>0</v>
      </c>
      <c r="S167" s="31">
        <f>IF($D167="","",IFERROR(VLOOKUP($B167,Kraftvärmeprod!$B$1:$BX$550,MATCH(S$2,Kraftvärmeprod!$B$1:$VX$1,0),FALSE)/1,0)-IFERROR(VLOOKUP($B167,'Slutlig allokering kvv'!$B$2:$BX$550,MATCH(S$2,'Slutlig allokering kvv'!$B$1:$BX$1,0),FALSE)/1,0))</f>
        <v>0</v>
      </c>
      <c r="T167" s="31">
        <f>IF($D167="","",IFERROR(VLOOKUP($B167,Kraftvärmeprod!$B$1:$BX$550,MATCH(T$2,Kraftvärmeprod!$B$1:$VX$1,0),FALSE)/1,0)-IFERROR(VLOOKUP($B167,'Slutlig allokering kvv'!$B$2:$BX$550,MATCH(T$2,'Slutlig allokering kvv'!$B$1:$BX$1,0),FALSE)/1,0))</f>
        <v>0</v>
      </c>
      <c r="U167" s="31">
        <f>IF($D167="","",IFERROR(VLOOKUP($B167,Kraftvärmeprod!$B$1:$BX$550,MATCH(U$2,Kraftvärmeprod!$B$1:$VX$1,0),FALSE)/1,0)-IFERROR(VLOOKUP($B167,'Slutlig allokering kvv'!$B$2:$BX$550,MATCH(U$2,'Slutlig allokering kvv'!$B$1:$BX$1,0),FALSE)/1,0))</f>
        <v>0</v>
      </c>
      <c r="V167" s="31">
        <f>IF($D167="","",IFERROR(VLOOKUP($B167,Kraftvärmeprod!$B$1:$BX$550,MATCH(V$2,Kraftvärmeprod!$B$1:$VX$1,0),FALSE)/1,0)-IFERROR(VLOOKUP($B167,'Slutlig allokering kvv'!$B$2:$BX$550,MATCH(V$2,'Slutlig allokering kvv'!$B$1:$BX$1,0),FALSE)/1,0))</f>
        <v>0</v>
      </c>
      <c r="W167" s="31">
        <f>IF($D167="","",IFERROR(VLOOKUP($B167,Kraftvärmeprod!$B$1:$BX$550,MATCH(W$2,Kraftvärmeprod!$B$1:$VX$1,0),FALSE)/1,0)-IFERROR(VLOOKUP($B167,'Slutlig allokering kvv'!$B$2:$BX$550,MATCH(W$2,'Slutlig allokering kvv'!$B$1:$BX$1,0),FALSE)/1,0))</f>
        <v>0</v>
      </c>
      <c r="X167" s="31">
        <f>IF($D167="","",IFERROR(VLOOKUP($B167,Kraftvärmeprod!$B$1:$BX$550,MATCH(X$2,Kraftvärmeprod!$B$1:$VX$1,0),FALSE)/1,0)-IFERROR(VLOOKUP($B167,'Slutlig allokering kvv'!$B$2:$BX$550,MATCH(X$2,'Slutlig allokering kvv'!$B$1:$BX$1,0),FALSE)/1,0))</f>
        <v>0</v>
      </c>
      <c r="Y167" s="31">
        <f>IF($D167="","",IFERROR(VLOOKUP($B167,Kraftvärmeprod!$B$1:$BX$550,MATCH(Y$2,Kraftvärmeprod!$B$1:$VX$1,0),FALSE)/1,0)-IFERROR(VLOOKUP($B167,'Slutlig allokering kvv'!$B$2:$BX$550,MATCH(Y$2,'Slutlig allokering kvv'!$B$1:$BX$1,0),FALSE)/1,0))</f>
        <v>0</v>
      </c>
      <c r="Z167" s="31">
        <f>IF($D167="","",IFERROR(VLOOKUP($B167,Kraftvärmeprod!$B$1:$BX$550,MATCH(Z$2,Kraftvärmeprod!$B$1:$VX$1,0),FALSE)/1,0)-IFERROR(VLOOKUP($B167,'Slutlig allokering kvv'!$B$2:$BX$550,MATCH(Z$2,'Slutlig allokering kvv'!$B$1:$BX$1,0),FALSE)/1,0))</f>
        <v>0</v>
      </c>
      <c r="AA167" s="31">
        <f>IF($D167="","",IFERROR(VLOOKUP($B167,Kraftvärmeprod!$B$1:$BX$550,MATCH(AA$2,Kraftvärmeprod!$B$1:$VX$1,0),FALSE)/1,0)-IFERROR(VLOOKUP($B167,'Slutlig allokering kvv'!$B$2:$BX$550,MATCH(AA$2,'Slutlig allokering kvv'!$B$1:$BX$1,0),FALSE)/1,0))</f>
        <v>0</v>
      </c>
      <c r="AB167" s="31">
        <f>IF($D167="","",IFERROR(VLOOKUP($B167,Kraftvärmeprod!$B$1:$BX$550,MATCH(AB$2,Kraftvärmeprod!$B$1:$VX$1,0),FALSE)/1,0)-IFERROR(VLOOKUP($B167,'Slutlig allokering kvv'!$B$2:$BX$550,MATCH(AB$2,'Slutlig allokering kvv'!$B$1:$BX$1,0),FALSE)/1,0))</f>
        <v>0</v>
      </c>
      <c r="AC167" s="31">
        <f>IF($D167="","",IFERROR(VLOOKUP($B167,Kraftvärmeprod!$B$1:$BX$550,MATCH(AC$2,Kraftvärmeprod!$B$1:$VX$1,0),FALSE)/1,0)-IFERROR(VLOOKUP($B167,'Slutlig allokering kvv'!$B$2:$BX$550,MATCH(AC$2,'Slutlig allokering kvv'!$B$1:$BX$1,0),FALSE)/1,0))</f>
        <v>0</v>
      </c>
      <c r="AD167" s="31">
        <f>IF($D167="","",IFERROR(VLOOKUP($B167,Kraftvärmeprod!$B$1:$BX$550,MATCH(AD$2,Kraftvärmeprod!$B$1:$VX$1,0),FALSE)/1,0)-IFERROR(VLOOKUP($B167,'Slutlig allokering kvv'!$B$2:$BX$550,MATCH(AD$2,'Slutlig allokering kvv'!$B$1:$BX$1,0),FALSE)/1,0))</f>
        <v>0</v>
      </c>
      <c r="AE167" s="31">
        <f>IF($D167="","",IFERROR(VLOOKUP($B167,Miljö!$B$1:$E$550,MATCH("Hjälpel kraftvärme (GWh)",Miljö!$B$1:$E$1,0),FALSE)/1,0)-IFERROR(VLOOKUP($B167,'Slutlig allokering kvv'!$B$2:$BX$549,MATCH(AE$2,'Slutlig allokering kvv'!$B$1:$BX$1,0),FALSE)/1,0))</f>
        <v>0.3274459999999999</v>
      </c>
      <c r="AI167" s="39">
        <f t="shared" si="8"/>
        <v>23.526970000000002</v>
      </c>
      <c r="AK167" s="31">
        <f>IFERROR(VLOOKUP($B167,'Slutlig allokering kvv'!$B$2:$AX$549,MATCH("Summa slutlig allokerad tillförd energi (utan hjälpel och rökgaskondensering):",'Slutlig allokering kvv'!$B$1:$AX$1,0),FALSE)/1,"")</f>
        <v>62.693029999999993</v>
      </c>
      <c r="AM167" s="31">
        <f>IFERROR(1-VLOOKUP($B167,'Slutlig allokering kvv'!$B$2:$AX$549,MATCH("Andel av bränsle i kvv som allokerats till värme, exklusive rökgaskondensering och hjälpel",'Slutlig allokering kvv'!$B$1:$AX$1,0),FALSE),"")</f>
        <v>0.27287137555091634</v>
      </c>
      <c r="AO167" s="31">
        <f t="shared" si="9"/>
        <v>0.27287137555091628</v>
      </c>
      <c r="AP167" s="31">
        <f t="shared" si="10"/>
        <v>5.5511151231257827E-17</v>
      </c>
      <c r="AR167" s="32">
        <f t="shared" si="11"/>
        <v>0.37728863284684899</v>
      </c>
    </row>
    <row r="168" spans="1:44" s="31" customFormat="1" x14ac:dyDescent="0.45">
      <c r="A168" s="31" t="s">
        <v>442</v>
      </c>
      <c r="B168" s="31" t="s">
        <v>441</v>
      </c>
      <c r="C168" s="31">
        <f>IFERROR(VLOOKUP($B168,Kraftvärmeprod!$B$1:$AH$479,MATCH(C$2,Kraftvärmeprod!$B$1:$AG$1,0),FALSE)/1,"")</f>
        <v>90.4</v>
      </c>
      <c r="D168" s="31">
        <f>IFERROR(VLOOKUP($B168,Kraftvärmeprod!$B$1:$AH$479,MATCH(D$2,Kraftvärmeprod!$B$1:$AG$1,0),FALSE)/1,"")</f>
        <v>36.1</v>
      </c>
      <c r="F168" s="31">
        <f>IF($D168="","",IFERROR(VLOOKUP($B168,Kraftvärmeprod!$B$1:$BX$550,MATCH(F$2,Kraftvärmeprod!$B$1:$VX$1,0),FALSE)/1,0)-IFERROR(VLOOKUP($B168,'Slutlig allokering kvv'!$B$2:$BX$550,MATCH(F$2,'Slutlig allokering kvv'!$B$1:$BX$1,0),FALSE)/1,0))</f>
        <v>0</v>
      </c>
      <c r="G168" s="31">
        <f>IF($D168="","",IFERROR(VLOOKUP($B168,Kraftvärmeprod!$B$1:$BX$550,MATCH(G$2,Kraftvärmeprod!$B$1:$VX$1,0),FALSE)/1,0)-IFERROR(VLOOKUP($B168,'Slutlig allokering kvv'!$B$2:$BX$550,MATCH(G$2,'Slutlig allokering kvv'!$B$1:$BX$1,0),FALSE)/1,0))</f>
        <v>0.134048</v>
      </c>
      <c r="H168" s="31">
        <f>IF($D168="","",IFERROR(VLOOKUP($B168,Kraftvärmeprod!$B$1:$BX$550,MATCH(H$2,Kraftvärmeprod!$B$1:$VX$1,0),FALSE)/1,0)-IFERROR(VLOOKUP($B168,'Slutlig allokering kvv'!$B$2:$BX$550,MATCH(H$2,'Slutlig allokering kvv'!$B$1:$BX$1,0),FALSE)/1,0))</f>
        <v>0</v>
      </c>
      <c r="I168" s="31">
        <f>IF($D168="","",IFERROR(VLOOKUP($B168,Kraftvärmeprod!$B$1:$BX$550,MATCH(I$2,Kraftvärmeprod!$B$1:$VX$1,0),FALSE)/1,0)-IFERROR(VLOOKUP($B168,'Slutlig allokering kvv'!$B$2:$BX$550,MATCH(I$2,'Slutlig allokering kvv'!$B$1:$BX$1,0),FALSE)/1,0))</f>
        <v>0</v>
      </c>
      <c r="J168" s="31">
        <f>IF($D168="","",IFERROR(VLOOKUP($B168,Kraftvärmeprod!$B$1:$BX$550,MATCH(J$2,Kraftvärmeprod!$B$1:$VX$1,0),FALSE)/1,0)-IFERROR(VLOOKUP($B168,'Slutlig allokering kvv'!$B$2:$BX$550,MATCH(J$2,'Slutlig allokering kvv'!$B$1:$BX$1,0),FALSE)/1,0))</f>
        <v>0</v>
      </c>
      <c r="K168" s="31">
        <f>IF($D168="","",IFERROR(VLOOKUP($B168,Kraftvärmeprod!$B$1:$BX$550,MATCH(K$2,Kraftvärmeprod!$B$1:$VX$1,0),FALSE)/1,0)-IFERROR(VLOOKUP($B168,'Slutlig allokering kvv'!$B$2:$BX$550,MATCH(K$2,'Slutlig allokering kvv'!$B$1:$BX$1,0),FALSE)/1,0))</f>
        <v>0</v>
      </c>
      <c r="L168" s="31">
        <f>IF($D168="","",IFERROR(VLOOKUP($B168,Kraftvärmeprod!$B$1:$BX$550,MATCH(L$2,Kraftvärmeprod!$B$1:$VX$1,0),FALSE)/1,0)-IFERROR(VLOOKUP($B168,'Slutlig allokering kvv'!$B$2:$BX$550,MATCH(L$2,'Slutlig allokering kvv'!$B$1:$BX$1,0),FALSE)/1,0))</f>
        <v>70.580000000000013</v>
      </c>
      <c r="M168" s="31">
        <f>IF($D168="","",IFERROR(VLOOKUP($B168,Kraftvärmeprod!$B$1:$BX$550,MATCH(M$2,Kraftvärmeprod!$B$1:$VX$1,0),FALSE)/1,0)-IFERROR(VLOOKUP($B168,'Slutlig allokering kvv'!$B$2:$BX$550,MATCH(M$2,'Slutlig allokering kvv'!$B$1:$BX$1,0),FALSE)/1,0))</f>
        <v>0</v>
      </c>
      <c r="N168" s="31">
        <f>IF($D168="","",IFERROR(VLOOKUP($B168,Kraftvärmeprod!$B$1:$BX$550,MATCH(N$2,Kraftvärmeprod!$B$1:$VX$1,0),FALSE)/1,0)-IFERROR(VLOOKUP($B168,'Slutlig allokering kvv'!$B$2:$BX$550,MATCH(N$2,'Slutlig allokering kvv'!$B$1:$BX$1,0),FALSE)/1,0))</f>
        <v>7.292580000000001</v>
      </c>
      <c r="O168" s="31">
        <f>IF($D168="","",IFERROR(VLOOKUP($B168,Kraftvärmeprod!$B$1:$BX$550,MATCH(O$2,Kraftvärmeprod!$B$1:$VX$1,0),FALSE)/1,0)-IFERROR(VLOOKUP($B168,'Slutlig allokering kvv'!$B$2:$BX$550,MATCH(O$2,'Slutlig allokering kvv'!$B$1:$BX$1,0),FALSE)/1,0))</f>
        <v>0</v>
      </c>
      <c r="P168" s="31">
        <f>IF($D168="","",IFERROR(VLOOKUP($B168,Kraftvärmeprod!$B$1:$BX$550,MATCH(P$2,Kraftvärmeprod!$B$1:$VX$1,0),FALSE)/1,0)-IFERROR(VLOOKUP($B168,'Slutlig allokering kvv'!$B$2:$BX$550,MATCH(P$2,'Slutlig allokering kvv'!$B$1:$BX$1,0),FALSE)/1,0))</f>
        <v>0</v>
      </c>
      <c r="Q168" s="31">
        <f>IF($D168="","",IFERROR(VLOOKUP($B168,Kraftvärmeprod!$B$1:$BX$550,MATCH(Q$2,Kraftvärmeprod!$B$1:$VX$1,0),FALSE)/1,0)-IFERROR(VLOOKUP($B168,'Slutlig allokering kvv'!$B$2:$BX$550,MATCH(Q$2,'Slutlig allokering kvv'!$B$1:$BX$1,0),FALSE)/1,0))</f>
        <v>0</v>
      </c>
      <c r="R168" s="31">
        <f>IF($D168="","",IFERROR(VLOOKUP($B168,Kraftvärmeprod!$B$1:$BX$550,MATCH(R$2,Kraftvärmeprod!$B$1:$VX$1,0),FALSE)/1,0)-IFERROR(VLOOKUP($B168,'Slutlig allokering kvv'!$B$2:$BX$550,MATCH(R$2,'Slutlig allokering kvv'!$B$1:$BX$1,0),FALSE)/1,0))</f>
        <v>0</v>
      </c>
      <c r="S168" s="31">
        <f>IF($D168="","",IFERROR(VLOOKUP($B168,Kraftvärmeprod!$B$1:$BX$550,MATCH(S$2,Kraftvärmeprod!$B$1:$VX$1,0),FALSE)/1,0)-IFERROR(VLOOKUP($B168,'Slutlig allokering kvv'!$B$2:$BX$550,MATCH(S$2,'Slutlig allokering kvv'!$B$1:$BX$1,0),FALSE)/1,0))</f>
        <v>0</v>
      </c>
      <c r="T168" s="31">
        <f>IF($D168="","",IFERROR(VLOOKUP($B168,Kraftvärmeprod!$B$1:$BX$550,MATCH(T$2,Kraftvärmeprod!$B$1:$VX$1,0),FALSE)/1,0)-IFERROR(VLOOKUP($B168,'Slutlig allokering kvv'!$B$2:$BX$550,MATCH(T$2,'Slutlig allokering kvv'!$B$1:$BX$1,0),FALSE)/1,0))</f>
        <v>0</v>
      </c>
      <c r="U168" s="31">
        <f>IF($D168="","",IFERROR(VLOOKUP($B168,Kraftvärmeprod!$B$1:$BX$550,MATCH(U$2,Kraftvärmeprod!$B$1:$VX$1,0),FALSE)/1,0)-IFERROR(VLOOKUP($B168,'Slutlig allokering kvv'!$B$2:$BX$550,MATCH(U$2,'Slutlig allokering kvv'!$B$1:$BX$1,0),FALSE)/1,0))</f>
        <v>0</v>
      </c>
      <c r="V168" s="31">
        <f>IF($D168="","",IFERROR(VLOOKUP($B168,Kraftvärmeprod!$B$1:$BX$550,MATCH(V$2,Kraftvärmeprod!$B$1:$VX$1,0),FALSE)/1,0)-IFERROR(VLOOKUP($B168,'Slutlig allokering kvv'!$B$2:$BX$550,MATCH(V$2,'Slutlig allokering kvv'!$B$1:$BX$1,0),FALSE)/1,0))</f>
        <v>0</v>
      </c>
      <c r="W168" s="31">
        <f>IF($D168="","",IFERROR(VLOOKUP($B168,Kraftvärmeprod!$B$1:$BX$550,MATCH(W$2,Kraftvärmeprod!$B$1:$VX$1,0),FALSE)/1,0)-IFERROR(VLOOKUP($B168,'Slutlig allokering kvv'!$B$2:$BX$550,MATCH(W$2,'Slutlig allokering kvv'!$B$1:$BX$1,0),FALSE)/1,0))</f>
        <v>0</v>
      </c>
      <c r="X168" s="31">
        <f>IF($D168="","",IFERROR(VLOOKUP($B168,Kraftvärmeprod!$B$1:$BX$550,MATCH(X$2,Kraftvärmeprod!$B$1:$VX$1,0),FALSE)/1,0)-IFERROR(VLOOKUP($B168,'Slutlig allokering kvv'!$B$2:$BX$550,MATCH(X$2,'Slutlig allokering kvv'!$B$1:$BX$1,0),FALSE)/1,0))</f>
        <v>0</v>
      </c>
      <c r="Y168" s="31">
        <f>IF($D168="","",IFERROR(VLOOKUP($B168,Kraftvärmeprod!$B$1:$BX$550,MATCH(Y$2,Kraftvärmeprod!$B$1:$VX$1,0),FALSE)/1,0)-IFERROR(VLOOKUP($B168,'Slutlig allokering kvv'!$B$2:$BX$550,MATCH(Y$2,'Slutlig allokering kvv'!$B$1:$BX$1,0),FALSE)/1,0))</f>
        <v>0</v>
      </c>
      <c r="Z168" s="31">
        <f>IF($D168="","",IFERROR(VLOOKUP($B168,Kraftvärmeprod!$B$1:$BX$550,MATCH(Z$2,Kraftvärmeprod!$B$1:$VX$1,0),FALSE)/1,0)-IFERROR(VLOOKUP($B168,'Slutlig allokering kvv'!$B$2:$BX$550,MATCH(Z$2,'Slutlig allokering kvv'!$B$1:$BX$1,0),FALSE)/1,0))</f>
        <v>0</v>
      </c>
      <c r="AA168" s="31">
        <f>IF($D168="","",IFERROR(VLOOKUP($B168,Kraftvärmeprod!$B$1:$BX$550,MATCH(AA$2,Kraftvärmeprod!$B$1:$VX$1,0),FALSE)/1,0)-IFERROR(VLOOKUP($B168,'Slutlig allokering kvv'!$B$2:$BX$550,MATCH(AA$2,'Slutlig allokering kvv'!$B$1:$BX$1,0),FALSE)/1,0))</f>
        <v>0</v>
      </c>
      <c r="AB168" s="31">
        <f>IF($D168="","",IFERROR(VLOOKUP($B168,Kraftvärmeprod!$B$1:$BX$550,MATCH(AB$2,Kraftvärmeprod!$B$1:$VX$1,0),FALSE)/1,0)-IFERROR(VLOOKUP($B168,'Slutlig allokering kvv'!$B$2:$BX$550,MATCH(AB$2,'Slutlig allokering kvv'!$B$1:$BX$1,0),FALSE)/1,0))</f>
        <v>0</v>
      </c>
      <c r="AC168" s="31">
        <f>IF($D168="","",IFERROR(VLOOKUP($B168,Kraftvärmeprod!$B$1:$BX$550,MATCH(AC$2,Kraftvärmeprod!$B$1:$VX$1,0),FALSE)/1,0)-IFERROR(VLOOKUP($B168,'Slutlig allokering kvv'!$B$2:$BX$550,MATCH(AC$2,'Slutlig allokering kvv'!$B$1:$BX$1,0),FALSE)/1,0))</f>
        <v>0</v>
      </c>
      <c r="AD168" s="31">
        <f>IF($D168="","",IFERROR(VLOOKUP($B168,Kraftvärmeprod!$B$1:$BX$550,MATCH(AD$2,Kraftvärmeprod!$B$1:$VX$1,0),FALSE)/1,0)-IFERROR(VLOOKUP($B168,'Slutlig allokering kvv'!$B$2:$BX$550,MATCH(AD$2,'Slutlig allokering kvv'!$B$1:$BX$1,0),FALSE)/1,0))</f>
        <v>0</v>
      </c>
      <c r="AE168" s="31">
        <f>IF($D168="","",IFERROR(VLOOKUP($B168,Miljö!$B$1:$E$550,MATCH("Hjälpel kraftvärme (GWh)",Miljö!$B$1:$E$1,0),FALSE)/1,0)-IFERROR(VLOOKUP($B168,'Slutlig allokering kvv'!$B$2:$BX$549,MATCH(AE$2,'Slutlig allokering kvv'!$B$1:$BX$1,0),FALSE)/1,0))</f>
        <v>2.6512100000000003</v>
      </c>
      <c r="AI168" s="39">
        <f t="shared" si="8"/>
        <v>78.006628000000021</v>
      </c>
      <c r="AK168" s="31">
        <f>IFERROR(VLOOKUP($B168,'Slutlig allokering kvv'!$B$2:$AX$549,MATCH("Summa slutlig allokerad tillförd energi (utan hjälpel och rökgaskondensering):",'Slutlig allokering kvv'!$B$1:$AX$1,0),FALSE)/1,"")</f>
        <v>74.993371999999994</v>
      </c>
      <c r="AM168" s="31">
        <f>IFERROR(1-VLOOKUP($B168,'Slutlig allokering kvv'!$B$2:$AX$549,MATCH("Andel av bränsle i kvv som allokerats till värme, exklusive rökgaskondensering och hjälpel",'Slutlig allokering kvv'!$B$1:$AX$1,0),FALSE),"")</f>
        <v>0.50984724183006547</v>
      </c>
      <c r="AO168" s="31">
        <f t="shared" si="9"/>
        <v>0.50984724183006547</v>
      </c>
      <c r="AP168" s="31">
        <f t="shared" si="10"/>
        <v>0</v>
      </c>
      <c r="AR168" s="32">
        <f t="shared" si="11"/>
        <v>0.44756964599026311</v>
      </c>
    </row>
    <row r="169" spans="1:44" s="31" customFormat="1" x14ac:dyDescent="0.45">
      <c r="A169" s="31" t="s">
        <v>432</v>
      </c>
      <c r="B169" s="31" t="s">
        <v>436</v>
      </c>
      <c r="C169" s="31" t="str">
        <f>IFERROR(VLOOKUP($B169,Kraftvärmeprod!$B$1:$AH$479,MATCH(C$2,Kraftvärmeprod!$B$1:$AG$1,0),FALSE)/1,"")</f>
        <v/>
      </c>
      <c r="D169" s="31" t="str">
        <f>IFERROR(VLOOKUP($B169,Kraftvärmeprod!$B$1:$AH$479,MATCH(D$2,Kraftvärmeprod!$B$1:$AG$1,0),FALSE)/1,"")</f>
        <v/>
      </c>
      <c r="F169" s="31" t="str">
        <f>IF($D169="","",IFERROR(VLOOKUP($B169,Kraftvärmeprod!$B$1:$BX$550,MATCH(F$2,Kraftvärmeprod!$B$1:$VX$1,0),FALSE)/1,0)-IFERROR(VLOOKUP($B169,'Slutlig allokering kvv'!$B$2:$BX$550,MATCH(F$2,'Slutlig allokering kvv'!$B$1:$BX$1,0),FALSE)/1,0))</f>
        <v/>
      </c>
      <c r="G169" s="31" t="str">
        <f>IF($D169="","",IFERROR(VLOOKUP($B169,Kraftvärmeprod!$B$1:$BX$550,MATCH(G$2,Kraftvärmeprod!$B$1:$VX$1,0),FALSE)/1,0)-IFERROR(VLOOKUP($B169,'Slutlig allokering kvv'!$B$2:$BX$550,MATCH(G$2,'Slutlig allokering kvv'!$B$1:$BX$1,0),FALSE)/1,0))</f>
        <v/>
      </c>
      <c r="H169" s="31" t="str">
        <f>IF($D169="","",IFERROR(VLOOKUP($B169,Kraftvärmeprod!$B$1:$BX$550,MATCH(H$2,Kraftvärmeprod!$B$1:$VX$1,0),FALSE)/1,0)-IFERROR(VLOOKUP($B169,'Slutlig allokering kvv'!$B$2:$BX$550,MATCH(H$2,'Slutlig allokering kvv'!$B$1:$BX$1,0),FALSE)/1,0))</f>
        <v/>
      </c>
      <c r="I169" s="31" t="str">
        <f>IF($D169="","",IFERROR(VLOOKUP($B169,Kraftvärmeprod!$B$1:$BX$550,MATCH(I$2,Kraftvärmeprod!$B$1:$VX$1,0),FALSE)/1,0)-IFERROR(VLOOKUP($B169,'Slutlig allokering kvv'!$B$2:$BX$550,MATCH(I$2,'Slutlig allokering kvv'!$B$1:$BX$1,0),FALSE)/1,0))</f>
        <v/>
      </c>
      <c r="J169" s="31" t="str">
        <f>IF($D169="","",IFERROR(VLOOKUP($B169,Kraftvärmeprod!$B$1:$BX$550,MATCH(J$2,Kraftvärmeprod!$B$1:$VX$1,0),FALSE)/1,0)-IFERROR(VLOOKUP($B169,'Slutlig allokering kvv'!$B$2:$BX$550,MATCH(J$2,'Slutlig allokering kvv'!$B$1:$BX$1,0),FALSE)/1,0))</f>
        <v/>
      </c>
      <c r="K169" s="31" t="str">
        <f>IF($D169="","",IFERROR(VLOOKUP($B169,Kraftvärmeprod!$B$1:$BX$550,MATCH(K$2,Kraftvärmeprod!$B$1:$VX$1,0),FALSE)/1,0)-IFERROR(VLOOKUP($B169,'Slutlig allokering kvv'!$B$2:$BX$550,MATCH(K$2,'Slutlig allokering kvv'!$B$1:$BX$1,0),FALSE)/1,0))</f>
        <v/>
      </c>
      <c r="L169" s="31" t="str">
        <f>IF($D169="","",IFERROR(VLOOKUP($B169,Kraftvärmeprod!$B$1:$BX$550,MATCH(L$2,Kraftvärmeprod!$B$1:$VX$1,0),FALSE)/1,0)-IFERROR(VLOOKUP($B169,'Slutlig allokering kvv'!$B$2:$BX$550,MATCH(L$2,'Slutlig allokering kvv'!$B$1:$BX$1,0),FALSE)/1,0))</f>
        <v/>
      </c>
      <c r="M169" s="31" t="str">
        <f>IF($D169="","",IFERROR(VLOOKUP($B169,Kraftvärmeprod!$B$1:$BX$550,MATCH(M$2,Kraftvärmeprod!$B$1:$VX$1,0),FALSE)/1,0)-IFERROR(VLOOKUP($B169,'Slutlig allokering kvv'!$B$2:$BX$550,MATCH(M$2,'Slutlig allokering kvv'!$B$1:$BX$1,0),FALSE)/1,0))</f>
        <v/>
      </c>
      <c r="N169" s="31" t="str">
        <f>IF($D169="","",IFERROR(VLOOKUP($B169,Kraftvärmeprod!$B$1:$BX$550,MATCH(N$2,Kraftvärmeprod!$B$1:$VX$1,0),FALSE)/1,0)-IFERROR(VLOOKUP($B169,'Slutlig allokering kvv'!$B$2:$BX$550,MATCH(N$2,'Slutlig allokering kvv'!$B$1:$BX$1,0),FALSE)/1,0))</f>
        <v/>
      </c>
      <c r="O169" s="31" t="str">
        <f>IF($D169="","",IFERROR(VLOOKUP($B169,Kraftvärmeprod!$B$1:$BX$550,MATCH(O$2,Kraftvärmeprod!$B$1:$VX$1,0),FALSE)/1,0)-IFERROR(VLOOKUP($B169,'Slutlig allokering kvv'!$B$2:$BX$550,MATCH(O$2,'Slutlig allokering kvv'!$B$1:$BX$1,0),FALSE)/1,0))</f>
        <v/>
      </c>
      <c r="P169" s="31" t="str">
        <f>IF($D169="","",IFERROR(VLOOKUP($B169,Kraftvärmeprod!$B$1:$BX$550,MATCH(P$2,Kraftvärmeprod!$B$1:$VX$1,0),FALSE)/1,0)-IFERROR(VLOOKUP($B169,'Slutlig allokering kvv'!$B$2:$BX$550,MATCH(P$2,'Slutlig allokering kvv'!$B$1:$BX$1,0),FALSE)/1,0))</f>
        <v/>
      </c>
      <c r="Q169" s="31" t="str">
        <f>IF($D169="","",IFERROR(VLOOKUP($B169,Kraftvärmeprod!$B$1:$BX$550,MATCH(Q$2,Kraftvärmeprod!$B$1:$VX$1,0),FALSE)/1,0)-IFERROR(VLOOKUP($B169,'Slutlig allokering kvv'!$B$2:$BX$550,MATCH(Q$2,'Slutlig allokering kvv'!$B$1:$BX$1,0),FALSE)/1,0))</f>
        <v/>
      </c>
      <c r="R169" s="31" t="str">
        <f>IF($D169="","",IFERROR(VLOOKUP($B169,Kraftvärmeprod!$B$1:$BX$550,MATCH(R$2,Kraftvärmeprod!$B$1:$VX$1,0),FALSE)/1,0)-IFERROR(VLOOKUP($B169,'Slutlig allokering kvv'!$B$2:$BX$550,MATCH(R$2,'Slutlig allokering kvv'!$B$1:$BX$1,0),FALSE)/1,0))</f>
        <v/>
      </c>
      <c r="S169" s="31" t="str">
        <f>IF($D169="","",IFERROR(VLOOKUP($B169,Kraftvärmeprod!$B$1:$BX$550,MATCH(S$2,Kraftvärmeprod!$B$1:$VX$1,0),FALSE)/1,0)-IFERROR(VLOOKUP($B169,'Slutlig allokering kvv'!$B$2:$BX$550,MATCH(S$2,'Slutlig allokering kvv'!$B$1:$BX$1,0),FALSE)/1,0))</f>
        <v/>
      </c>
      <c r="T169" s="31" t="str">
        <f>IF($D169="","",IFERROR(VLOOKUP($B169,Kraftvärmeprod!$B$1:$BX$550,MATCH(T$2,Kraftvärmeprod!$B$1:$VX$1,0),FALSE)/1,0)-IFERROR(VLOOKUP($B169,'Slutlig allokering kvv'!$B$2:$BX$550,MATCH(T$2,'Slutlig allokering kvv'!$B$1:$BX$1,0),FALSE)/1,0))</f>
        <v/>
      </c>
      <c r="U169" s="31" t="str">
        <f>IF($D169="","",IFERROR(VLOOKUP($B169,Kraftvärmeprod!$B$1:$BX$550,MATCH(U$2,Kraftvärmeprod!$B$1:$VX$1,0),FALSE)/1,0)-IFERROR(VLOOKUP($B169,'Slutlig allokering kvv'!$B$2:$BX$550,MATCH(U$2,'Slutlig allokering kvv'!$B$1:$BX$1,0),FALSE)/1,0))</f>
        <v/>
      </c>
      <c r="V169" s="31" t="str">
        <f>IF($D169="","",IFERROR(VLOOKUP($B169,Kraftvärmeprod!$B$1:$BX$550,MATCH(V$2,Kraftvärmeprod!$B$1:$VX$1,0),FALSE)/1,0)-IFERROR(VLOOKUP($B169,'Slutlig allokering kvv'!$B$2:$BX$550,MATCH(V$2,'Slutlig allokering kvv'!$B$1:$BX$1,0),FALSE)/1,0))</f>
        <v/>
      </c>
      <c r="W169" s="31" t="str">
        <f>IF($D169="","",IFERROR(VLOOKUP($B169,Kraftvärmeprod!$B$1:$BX$550,MATCH(W$2,Kraftvärmeprod!$B$1:$VX$1,0),FALSE)/1,0)-IFERROR(VLOOKUP($B169,'Slutlig allokering kvv'!$B$2:$BX$550,MATCH(W$2,'Slutlig allokering kvv'!$B$1:$BX$1,0),FALSE)/1,0))</f>
        <v/>
      </c>
      <c r="X169" s="31" t="str">
        <f>IF($D169="","",IFERROR(VLOOKUP($B169,Kraftvärmeprod!$B$1:$BX$550,MATCH(X$2,Kraftvärmeprod!$B$1:$VX$1,0),FALSE)/1,0)-IFERROR(VLOOKUP($B169,'Slutlig allokering kvv'!$B$2:$BX$550,MATCH(X$2,'Slutlig allokering kvv'!$B$1:$BX$1,0),FALSE)/1,0))</f>
        <v/>
      </c>
      <c r="Y169" s="31" t="str">
        <f>IF($D169="","",IFERROR(VLOOKUP($B169,Kraftvärmeprod!$B$1:$BX$550,MATCH(Y$2,Kraftvärmeprod!$B$1:$VX$1,0),FALSE)/1,0)-IFERROR(VLOOKUP($B169,'Slutlig allokering kvv'!$B$2:$BX$550,MATCH(Y$2,'Slutlig allokering kvv'!$B$1:$BX$1,0),FALSE)/1,0))</f>
        <v/>
      </c>
      <c r="Z169" s="31" t="str">
        <f>IF($D169="","",IFERROR(VLOOKUP($B169,Kraftvärmeprod!$B$1:$BX$550,MATCH(Z$2,Kraftvärmeprod!$B$1:$VX$1,0),FALSE)/1,0)-IFERROR(VLOOKUP($B169,'Slutlig allokering kvv'!$B$2:$BX$550,MATCH(Z$2,'Slutlig allokering kvv'!$B$1:$BX$1,0),FALSE)/1,0))</f>
        <v/>
      </c>
      <c r="AA169" s="31" t="str">
        <f>IF($D169="","",IFERROR(VLOOKUP($B169,Kraftvärmeprod!$B$1:$BX$550,MATCH(AA$2,Kraftvärmeprod!$B$1:$VX$1,0),FALSE)/1,0)-IFERROR(VLOOKUP($B169,'Slutlig allokering kvv'!$B$2:$BX$550,MATCH(AA$2,'Slutlig allokering kvv'!$B$1:$BX$1,0),FALSE)/1,0))</f>
        <v/>
      </c>
      <c r="AB169" s="31" t="str">
        <f>IF($D169="","",IFERROR(VLOOKUP($B169,Kraftvärmeprod!$B$1:$BX$550,MATCH(AB$2,Kraftvärmeprod!$B$1:$VX$1,0),FALSE)/1,0)-IFERROR(VLOOKUP($B169,'Slutlig allokering kvv'!$B$2:$BX$550,MATCH(AB$2,'Slutlig allokering kvv'!$B$1:$BX$1,0),FALSE)/1,0))</f>
        <v/>
      </c>
      <c r="AC169" s="31" t="str">
        <f>IF($D169="","",IFERROR(VLOOKUP($B169,Kraftvärmeprod!$B$1:$BX$550,MATCH(AC$2,Kraftvärmeprod!$B$1:$VX$1,0),FALSE)/1,0)-IFERROR(VLOOKUP($B169,'Slutlig allokering kvv'!$B$2:$BX$550,MATCH(AC$2,'Slutlig allokering kvv'!$B$1:$BX$1,0),FALSE)/1,0))</f>
        <v/>
      </c>
      <c r="AD169" s="31" t="str">
        <f>IF($D169="","",IFERROR(VLOOKUP($B169,Kraftvärmeprod!$B$1:$BX$550,MATCH(AD$2,Kraftvärmeprod!$B$1:$VX$1,0),FALSE)/1,0)-IFERROR(VLOOKUP($B169,'Slutlig allokering kvv'!$B$2:$BX$550,MATCH(AD$2,'Slutlig allokering kvv'!$B$1:$BX$1,0),FALSE)/1,0))</f>
        <v/>
      </c>
      <c r="AE169" s="31" t="str">
        <f>IF($D169="","",IFERROR(VLOOKUP($B169,Miljö!$B$1:$E$550,MATCH("Hjälpel kraftvärme (GWh)",Miljö!$B$1:$E$1,0),FALSE)/1,0)-IFERROR(VLOOKUP($B169,'Slutlig allokering kvv'!$B$2:$BX$549,MATCH(AE$2,'Slutlig allokering kvv'!$B$1:$BX$1,0),FALSE)/1,0))</f>
        <v/>
      </c>
      <c r="AI169" s="39">
        <f t="shared" si="8"/>
        <v>0</v>
      </c>
      <c r="AK169" s="31">
        <f>IFERROR(VLOOKUP($B169,'Slutlig allokering kvv'!$B$2:$AX$549,MATCH("Summa slutlig allokerad tillförd energi (utan hjälpel och rökgaskondensering):",'Slutlig allokering kvv'!$B$1:$AX$1,0),FALSE)/1,"")</f>
        <v>0</v>
      </c>
      <c r="AM169" s="31" t="str">
        <f>IFERROR(1-VLOOKUP($B169,'Slutlig allokering kvv'!$B$2:$AX$549,MATCH("Andel av bränsle i kvv som allokerats till värme, exklusive rökgaskondensering och hjälpel",'Slutlig allokering kvv'!$B$1:$AX$1,0),FALSE),"")</f>
        <v/>
      </c>
      <c r="AO169" s="31" t="str">
        <f t="shared" si="9"/>
        <v/>
      </c>
      <c r="AP169" s="31" t="str">
        <f t="shared" si="10"/>
        <v/>
      </c>
      <c r="AR169" s="32" t="str">
        <f t="shared" si="11"/>
        <v/>
      </c>
    </row>
    <row r="170" spans="1:44" s="31" customFormat="1" x14ac:dyDescent="0.45">
      <c r="A170" s="31" t="s">
        <v>432</v>
      </c>
      <c r="B170" s="31" t="s">
        <v>434</v>
      </c>
      <c r="C170" s="31">
        <f>IFERROR(VLOOKUP($B170,Kraftvärmeprod!$B$1:$AH$479,MATCH(C$2,Kraftvärmeprod!$B$1:$AG$1,0),FALSE)/1,"")</f>
        <v>1189.4100000000001</v>
      </c>
      <c r="D170" s="31">
        <f>IFERROR(VLOOKUP($B170,Kraftvärmeprod!$B$1:$AH$479,MATCH(D$2,Kraftvärmeprod!$B$1:$AG$1,0),FALSE)/1,"")</f>
        <v>499.4</v>
      </c>
      <c r="F170" s="31">
        <f>IF($D170="","",IFERROR(VLOOKUP($B170,Kraftvärmeprod!$B$1:$BX$550,MATCH(F$2,Kraftvärmeprod!$B$1:$VX$1,0),FALSE)/1,0)-IFERROR(VLOOKUP($B170,'Slutlig allokering kvv'!$B$2:$BX$550,MATCH(F$2,'Slutlig allokering kvv'!$B$1:$BX$1,0),FALSE)/1,0))</f>
        <v>41.790000000000006</v>
      </c>
      <c r="G170" s="31">
        <f>IF($D170="","",IFERROR(VLOOKUP($B170,Kraftvärmeprod!$B$1:$BX$550,MATCH(G$2,Kraftvärmeprod!$B$1:$VX$1,0),FALSE)/1,0)-IFERROR(VLOOKUP($B170,'Slutlig allokering kvv'!$B$2:$BX$550,MATCH(G$2,'Slutlig allokering kvv'!$B$1:$BX$1,0),FALSE)/1,0))</f>
        <v>1.1899999999999997</v>
      </c>
      <c r="H170" s="31">
        <f>IF($D170="","",IFERROR(VLOOKUP($B170,Kraftvärmeprod!$B$1:$BX$550,MATCH(H$2,Kraftvärmeprod!$B$1:$VX$1,0),FALSE)/1,0)-IFERROR(VLOOKUP($B170,'Slutlig allokering kvv'!$B$2:$BX$550,MATCH(H$2,'Slutlig allokering kvv'!$B$1:$BX$1,0),FALSE)/1,0))</f>
        <v>0</v>
      </c>
      <c r="I170" s="31">
        <f>IF($D170="","",IFERROR(VLOOKUP($B170,Kraftvärmeprod!$B$1:$BX$550,MATCH(I$2,Kraftvärmeprod!$B$1:$VX$1,0),FALSE)/1,0)-IFERROR(VLOOKUP($B170,'Slutlig allokering kvv'!$B$2:$BX$550,MATCH(I$2,'Slutlig allokering kvv'!$B$1:$BX$1,0),FALSE)/1,0))</f>
        <v>0</v>
      </c>
      <c r="J170" s="31">
        <f>IF($D170="","",IFERROR(VLOOKUP($B170,Kraftvärmeprod!$B$1:$BX$550,MATCH(J$2,Kraftvärmeprod!$B$1:$VX$1,0),FALSE)/1,0)-IFERROR(VLOOKUP($B170,'Slutlig allokering kvv'!$B$2:$BX$550,MATCH(J$2,'Slutlig allokering kvv'!$B$1:$BX$1,0),FALSE)/1,0))</f>
        <v>0</v>
      </c>
      <c r="K170" s="31">
        <f>IF($D170="","",IFERROR(VLOOKUP($B170,Kraftvärmeprod!$B$1:$BX$550,MATCH(K$2,Kraftvärmeprod!$B$1:$VX$1,0),FALSE)/1,0)-IFERROR(VLOOKUP($B170,'Slutlig allokering kvv'!$B$2:$BX$550,MATCH(K$2,'Slutlig allokering kvv'!$B$1:$BX$1,0),FALSE)/1,0))</f>
        <v>0</v>
      </c>
      <c r="L170" s="31">
        <f>IF($D170="","",IFERROR(VLOOKUP($B170,Kraftvärmeprod!$B$1:$BX$550,MATCH(L$2,Kraftvärmeprod!$B$1:$VX$1,0),FALSE)/1,0)-IFERROR(VLOOKUP($B170,'Slutlig allokering kvv'!$B$2:$BX$550,MATCH(L$2,'Slutlig allokering kvv'!$B$1:$BX$1,0),FALSE)/1,0))</f>
        <v>62.92</v>
      </c>
      <c r="M170" s="31">
        <f>IF($D170="","",IFERROR(VLOOKUP($B170,Kraftvärmeprod!$B$1:$BX$550,MATCH(M$2,Kraftvärmeprod!$B$1:$VX$1,0),FALSE)/1,0)-IFERROR(VLOOKUP($B170,'Slutlig allokering kvv'!$B$2:$BX$550,MATCH(M$2,'Slutlig allokering kvv'!$B$1:$BX$1,0),FALSE)/1,0))</f>
        <v>34.950000000000003</v>
      </c>
      <c r="N170" s="31">
        <f>IF($D170="","",IFERROR(VLOOKUP($B170,Kraftvärmeprod!$B$1:$BX$550,MATCH(N$2,Kraftvärmeprod!$B$1:$VX$1,0),FALSE)/1,0)-IFERROR(VLOOKUP($B170,'Slutlig allokering kvv'!$B$2:$BX$550,MATCH(N$2,'Slutlig allokering kvv'!$B$1:$BX$1,0),FALSE)/1,0))</f>
        <v>90.74</v>
      </c>
      <c r="O170" s="31">
        <f>IF($D170="","",IFERROR(VLOOKUP($B170,Kraftvärmeprod!$B$1:$BX$550,MATCH(O$2,Kraftvärmeprod!$B$1:$VX$1,0),FALSE)/1,0)-IFERROR(VLOOKUP($B170,'Slutlig allokering kvv'!$B$2:$BX$550,MATCH(O$2,'Slutlig allokering kvv'!$B$1:$BX$1,0),FALSE)/1,0))</f>
        <v>62.97</v>
      </c>
      <c r="P170" s="31">
        <f>IF($D170="","",IFERROR(VLOOKUP($B170,Kraftvärmeprod!$B$1:$BX$550,MATCH(P$2,Kraftvärmeprod!$B$1:$VX$1,0),FALSE)/1,0)-IFERROR(VLOOKUP($B170,'Slutlig allokering kvv'!$B$2:$BX$550,MATCH(P$2,'Slutlig allokering kvv'!$B$1:$BX$1,0),FALSE)/1,0))</f>
        <v>2.9299999999999997</v>
      </c>
      <c r="Q170" s="31">
        <f>IF($D170="","",IFERROR(VLOOKUP($B170,Kraftvärmeprod!$B$1:$BX$550,MATCH(Q$2,Kraftvärmeprod!$B$1:$VX$1,0),FALSE)/1,0)-IFERROR(VLOOKUP($B170,'Slutlig allokering kvv'!$B$2:$BX$550,MATCH(Q$2,'Slutlig allokering kvv'!$B$1:$BX$1,0),FALSE)/1,0))</f>
        <v>0</v>
      </c>
      <c r="R170" s="31">
        <f>IF($D170="","",IFERROR(VLOOKUP($B170,Kraftvärmeprod!$B$1:$BX$550,MATCH(R$2,Kraftvärmeprod!$B$1:$VX$1,0),FALSE)/1,0)-IFERROR(VLOOKUP($B170,'Slutlig allokering kvv'!$B$2:$BX$550,MATCH(R$2,'Slutlig allokering kvv'!$B$1:$BX$1,0),FALSE)/1,0))</f>
        <v>0</v>
      </c>
      <c r="S170" s="31">
        <f>IF($D170="","",IFERROR(VLOOKUP($B170,Kraftvärmeprod!$B$1:$BX$550,MATCH(S$2,Kraftvärmeprod!$B$1:$VX$1,0),FALSE)/1,0)-IFERROR(VLOOKUP($B170,'Slutlig allokering kvv'!$B$2:$BX$550,MATCH(S$2,'Slutlig allokering kvv'!$B$1:$BX$1,0),FALSE)/1,0))</f>
        <v>0</v>
      </c>
      <c r="T170" s="31">
        <f>IF($D170="","",IFERROR(VLOOKUP($B170,Kraftvärmeprod!$B$1:$BX$550,MATCH(T$2,Kraftvärmeprod!$B$1:$VX$1,0),FALSE)/1,0)-IFERROR(VLOOKUP($B170,'Slutlig allokering kvv'!$B$2:$BX$550,MATCH(T$2,'Slutlig allokering kvv'!$B$1:$BX$1,0),FALSE)/1,0))</f>
        <v>0</v>
      </c>
      <c r="U170" s="31">
        <f>IF($D170="","",IFERROR(VLOOKUP($B170,Kraftvärmeprod!$B$1:$BX$550,MATCH(U$2,Kraftvärmeprod!$B$1:$VX$1,0),FALSE)/1,0)-IFERROR(VLOOKUP($B170,'Slutlig allokering kvv'!$B$2:$BX$550,MATCH(U$2,'Slutlig allokering kvv'!$B$1:$BX$1,0),FALSE)/1,0))</f>
        <v>0</v>
      </c>
      <c r="V170" s="31">
        <f>IF($D170="","",IFERROR(VLOOKUP($B170,Kraftvärmeprod!$B$1:$BX$550,MATCH(V$2,Kraftvärmeprod!$B$1:$VX$1,0),FALSE)/1,0)-IFERROR(VLOOKUP($B170,'Slutlig allokering kvv'!$B$2:$BX$550,MATCH(V$2,'Slutlig allokering kvv'!$B$1:$BX$1,0),FALSE)/1,0))</f>
        <v>147.91999999999999</v>
      </c>
      <c r="W170" s="31">
        <f>IF($D170="","",IFERROR(VLOOKUP($B170,Kraftvärmeprod!$B$1:$BX$550,MATCH(W$2,Kraftvärmeprod!$B$1:$VX$1,0),FALSE)/1,0)-IFERROR(VLOOKUP($B170,'Slutlig allokering kvv'!$B$2:$BX$550,MATCH(W$2,'Slutlig allokering kvv'!$B$1:$BX$1,0),FALSE)/1,0))</f>
        <v>1.0000000000000009E-2</v>
      </c>
      <c r="X170" s="31">
        <f>IF($D170="","",IFERROR(VLOOKUP($B170,Kraftvärmeprod!$B$1:$BX$550,MATCH(X$2,Kraftvärmeprod!$B$1:$VX$1,0),FALSE)/1,0)-IFERROR(VLOOKUP($B170,'Slutlig allokering kvv'!$B$2:$BX$550,MATCH(X$2,'Slutlig allokering kvv'!$B$1:$BX$1,0),FALSE)/1,0))</f>
        <v>0</v>
      </c>
      <c r="Y170" s="31">
        <f>IF($D170="","",IFERROR(VLOOKUP($B170,Kraftvärmeprod!$B$1:$BX$550,MATCH(Y$2,Kraftvärmeprod!$B$1:$VX$1,0),FALSE)/1,0)-IFERROR(VLOOKUP($B170,'Slutlig allokering kvv'!$B$2:$BX$550,MATCH(Y$2,'Slutlig allokering kvv'!$B$1:$BX$1,0),FALSE)/1,0))</f>
        <v>0</v>
      </c>
      <c r="Z170" s="31">
        <f>IF($D170="","",IFERROR(VLOOKUP($B170,Kraftvärmeprod!$B$1:$BX$550,MATCH(Z$2,Kraftvärmeprod!$B$1:$VX$1,0),FALSE)/1,0)-IFERROR(VLOOKUP($B170,'Slutlig allokering kvv'!$B$2:$BX$550,MATCH(Z$2,'Slutlig allokering kvv'!$B$1:$BX$1,0),FALSE)/1,0))</f>
        <v>41.43</v>
      </c>
      <c r="AA170" s="31">
        <f>IF($D170="","",IFERROR(VLOOKUP($B170,Kraftvärmeprod!$B$1:$BX$550,MATCH(AA$2,Kraftvärmeprod!$B$1:$VX$1,0),FALSE)/1,0)-IFERROR(VLOOKUP($B170,'Slutlig allokering kvv'!$B$2:$BX$550,MATCH(AA$2,'Slutlig allokering kvv'!$B$1:$BX$1,0),FALSE)/1,0))</f>
        <v>551</v>
      </c>
      <c r="AB170" s="31">
        <f>IF($D170="","",IFERROR(VLOOKUP($B170,Kraftvärmeprod!$B$1:$BX$550,MATCH(AB$2,Kraftvärmeprod!$B$1:$VX$1,0),FALSE)/1,0)-IFERROR(VLOOKUP($B170,'Slutlig allokering kvv'!$B$2:$BX$550,MATCH(AB$2,'Slutlig allokering kvv'!$B$1:$BX$1,0),FALSE)/1,0))</f>
        <v>0</v>
      </c>
      <c r="AC170" s="31">
        <f>IF($D170="","",IFERROR(VLOOKUP($B170,Kraftvärmeprod!$B$1:$BX$550,MATCH(AC$2,Kraftvärmeprod!$B$1:$VX$1,0),FALSE)/1,0)-IFERROR(VLOOKUP($B170,'Slutlig allokering kvv'!$B$2:$BX$550,MATCH(AC$2,'Slutlig allokering kvv'!$B$1:$BX$1,0),FALSE)/1,0))</f>
        <v>0</v>
      </c>
      <c r="AD170" s="31">
        <f>IF($D170="","",IFERROR(VLOOKUP($B170,Kraftvärmeprod!$B$1:$BX$550,MATCH(AD$2,Kraftvärmeprod!$B$1:$VX$1,0),FALSE)/1,0)-IFERROR(VLOOKUP($B170,'Slutlig allokering kvv'!$B$2:$BX$550,MATCH(AD$2,'Slutlig allokering kvv'!$B$1:$BX$1,0),FALSE)/1,0))</f>
        <v>0</v>
      </c>
      <c r="AE170" s="31">
        <f>IF($D170="","",IFERROR(VLOOKUP($B170,Miljö!$B$1:$E$550,MATCH("Hjälpel kraftvärme (GWh)",Miljö!$B$1:$E$1,0),FALSE)/1,0)-IFERROR(VLOOKUP($B170,'Slutlig allokering kvv'!$B$2:$BX$549,MATCH(AE$2,'Slutlig allokering kvv'!$B$1:$BX$1,0),FALSE)/1,0))</f>
        <v>50.42</v>
      </c>
      <c r="AI170" s="39">
        <f t="shared" si="8"/>
        <v>1037.8500000000001</v>
      </c>
      <c r="AK170" s="31">
        <f>IFERROR(VLOOKUP($B170,'Slutlig allokering kvv'!$B$2:$AX$549,MATCH("Summa slutlig allokerad tillförd energi (utan hjälpel och rökgaskondensering):",'Slutlig allokering kvv'!$B$1:$AX$1,0),FALSE)/1,"")</f>
        <v>790.13000000000011</v>
      </c>
      <c r="AM170" s="31">
        <f>IFERROR(1-VLOOKUP($B170,'Slutlig allokering kvv'!$B$2:$AX$549,MATCH("Andel av bränsle i kvv som allokerats till värme, exklusive rökgaskondensering och hjälpel",'Slutlig allokering kvv'!$B$1:$AX$1,0),FALSE),"")</f>
        <v>0.56775785293055714</v>
      </c>
      <c r="AO170" s="31">
        <f t="shared" si="9"/>
        <v>0.56775785293055725</v>
      </c>
      <c r="AP170" s="31">
        <f t="shared" si="10"/>
        <v>-1.1102230246251565E-16</v>
      </c>
      <c r="AR170" s="32">
        <f t="shared" si="11"/>
        <v>0.45889347312707313</v>
      </c>
    </row>
    <row r="171" spans="1:44" s="31" customFormat="1" x14ac:dyDescent="0.45">
      <c r="A171" s="31" t="s">
        <v>432</v>
      </c>
      <c r="B171" s="31" t="s">
        <v>431</v>
      </c>
      <c r="C171" s="31">
        <f>IFERROR(VLOOKUP($B171,Kraftvärmeprod!$B$1:$AH$479,MATCH(C$2,Kraftvärmeprod!$B$1:$AG$1,0),FALSE)/1,"")</f>
        <v>45.22</v>
      </c>
      <c r="D171" s="31">
        <f>IFERROR(VLOOKUP($B171,Kraftvärmeprod!$B$1:$AH$479,MATCH(D$2,Kraftvärmeprod!$B$1:$AG$1,0),FALSE)/1,"")</f>
        <v>18.98</v>
      </c>
      <c r="F171" s="31">
        <f>IF($D171="","",IFERROR(VLOOKUP($B171,Kraftvärmeprod!$B$1:$BX$550,MATCH(F$2,Kraftvärmeprod!$B$1:$VX$1,0),FALSE)/1,0)-IFERROR(VLOOKUP($B171,'Slutlig allokering kvv'!$B$2:$BX$550,MATCH(F$2,'Slutlig allokering kvv'!$B$1:$BX$1,0),FALSE)/1,0))</f>
        <v>1.8100000000000003</v>
      </c>
      <c r="G171" s="31">
        <f>IF($D171="","",IFERROR(VLOOKUP($B171,Kraftvärmeprod!$B$1:$BX$550,MATCH(G$2,Kraftvärmeprod!$B$1:$VX$1,0),FALSE)/1,0)-IFERROR(VLOOKUP($B171,'Slutlig allokering kvv'!$B$2:$BX$550,MATCH(G$2,'Slutlig allokering kvv'!$B$1:$BX$1,0),FALSE)/1,0))</f>
        <v>0.314</v>
      </c>
      <c r="H171" s="31">
        <f>IF($D171="","",IFERROR(VLOOKUP($B171,Kraftvärmeprod!$B$1:$BX$550,MATCH(H$2,Kraftvärmeprod!$B$1:$VX$1,0),FALSE)/1,0)-IFERROR(VLOOKUP($B171,'Slutlig allokering kvv'!$B$2:$BX$550,MATCH(H$2,'Slutlig allokering kvv'!$B$1:$BX$1,0),FALSE)/1,0))</f>
        <v>0</v>
      </c>
      <c r="I171" s="31">
        <f>IF($D171="","",IFERROR(VLOOKUP($B171,Kraftvärmeprod!$B$1:$BX$550,MATCH(I$2,Kraftvärmeprod!$B$1:$VX$1,0),FALSE)/1,0)-IFERROR(VLOOKUP($B171,'Slutlig allokering kvv'!$B$2:$BX$550,MATCH(I$2,'Slutlig allokering kvv'!$B$1:$BX$1,0),FALSE)/1,0))</f>
        <v>8.2000000000000003E-2</v>
      </c>
      <c r="J171" s="31">
        <f>IF($D171="","",IFERROR(VLOOKUP($B171,Kraftvärmeprod!$B$1:$BX$550,MATCH(J$2,Kraftvärmeprod!$B$1:$VX$1,0),FALSE)/1,0)-IFERROR(VLOOKUP($B171,'Slutlig allokering kvv'!$B$2:$BX$550,MATCH(J$2,'Slutlig allokering kvv'!$B$1:$BX$1,0),FALSE)/1,0))</f>
        <v>0</v>
      </c>
      <c r="K171" s="31">
        <f>IF($D171="","",IFERROR(VLOOKUP($B171,Kraftvärmeprod!$B$1:$BX$550,MATCH(K$2,Kraftvärmeprod!$B$1:$VX$1,0),FALSE)/1,0)-IFERROR(VLOOKUP($B171,'Slutlig allokering kvv'!$B$2:$BX$550,MATCH(K$2,'Slutlig allokering kvv'!$B$1:$BX$1,0),FALSE)/1,0))</f>
        <v>0</v>
      </c>
      <c r="L171" s="31">
        <f>IF($D171="","",IFERROR(VLOOKUP($B171,Kraftvärmeprod!$B$1:$BX$550,MATCH(L$2,Kraftvärmeprod!$B$1:$VX$1,0),FALSE)/1,0)-IFERROR(VLOOKUP($B171,'Slutlig allokering kvv'!$B$2:$BX$550,MATCH(L$2,'Slutlig allokering kvv'!$B$1:$BX$1,0),FALSE)/1,0))</f>
        <v>2.3579999999999997</v>
      </c>
      <c r="M171" s="31">
        <f>IF($D171="","",IFERROR(VLOOKUP($B171,Kraftvärmeprod!$B$1:$BX$550,MATCH(M$2,Kraftvärmeprod!$B$1:$VX$1,0),FALSE)/1,0)-IFERROR(VLOOKUP($B171,'Slutlig allokering kvv'!$B$2:$BX$550,MATCH(M$2,'Slutlig allokering kvv'!$B$1:$BX$1,0),FALSE)/1,0))</f>
        <v>1.304</v>
      </c>
      <c r="N171" s="31">
        <f>IF($D171="","",IFERROR(VLOOKUP($B171,Kraftvärmeprod!$B$1:$BX$550,MATCH(N$2,Kraftvärmeprod!$B$1:$VX$1,0),FALSE)/1,0)-IFERROR(VLOOKUP($B171,'Slutlig allokering kvv'!$B$2:$BX$550,MATCH(N$2,'Slutlig allokering kvv'!$B$1:$BX$1,0),FALSE)/1,0))</f>
        <v>3.3959999999999999</v>
      </c>
      <c r="O171" s="31">
        <f>IF($D171="","",IFERROR(VLOOKUP($B171,Kraftvärmeprod!$B$1:$BX$550,MATCH(O$2,Kraftvärmeprod!$B$1:$VX$1,0),FALSE)/1,0)-IFERROR(VLOOKUP($B171,'Slutlig allokering kvv'!$B$2:$BX$550,MATCH(O$2,'Slutlig allokering kvv'!$B$1:$BX$1,0),FALSE)/1,0))</f>
        <v>2.3579999999999997</v>
      </c>
      <c r="P171" s="31">
        <f>IF($D171="","",IFERROR(VLOOKUP($B171,Kraftvärmeprod!$B$1:$BX$550,MATCH(P$2,Kraftvärmeprod!$B$1:$VX$1,0),FALSE)/1,0)-IFERROR(VLOOKUP($B171,'Slutlig allokering kvv'!$B$2:$BX$550,MATCH(P$2,'Slutlig allokering kvv'!$B$1:$BX$1,0),FALSE)/1,0))</f>
        <v>0.10999999999999999</v>
      </c>
      <c r="Q171" s="31">
        <f>IF($D171="","",IFERROR(VLOOKUP($B171,Kraftvärmeprod!$B$1:$BX$550,MATCH(Q$2,Kraftvärmeprod!$B$1:$VX$1,0),FALSE)/1,0)-IFERROR(VLOOKUP($B171,'Slutlig allokering kvv'!$B$2:$BX$550,MATCH(Q$2,'Slutlig allokering kvv'!$B$1:$BX$1,0),FALSE)/1,0))</f>
        <v>0</v>
      </c>
      <c r="R171" s="31">
        <f>IF($D171="","",IFERROR(VLOOKUP($B171,Kraftvärmeprod!$B$1:$BX$550,MATCH(R$2,Kraftvärmeprod!$B$1:$VX$1,0),FALSE)/1,0)-IFERROR(VLOOKUP($B171,'Slutlig allokering kvv'!$B$2:$BX$550,MATCH(R$2,'Slutlig allokering kvv'!$B$1:$BX$1,0),FALSE)/1,0))</f>
        <v>0</v>
      </c>
      <c r="S171" s="31">
        <f>IF($D171="","",IFERROR(VLOOKUP($B171,Kraftvärmeprod!$B$1:$BX$550,MATCH(S$2,Kraftvärmeprod!$B$1:$VX$1,0),FALSE)/1,0)-IFERROR(VLOOKUP($B171,'Slutlig allokering kvv'!$B$2:$BX$550,MATCH(S$2,'Slutlig allokering kvv'!$B$1:$BX$1,0),FALSE)/1,0))</f>
        <v>0</v>
      </c>
      <c r="T171" s="31">
        <f>IF($D171="","",IFERROR(VLOOKUP($B171,Kraftvärmeprod!$B$1:$BX$550,MATCH(T$2,Kraftvärmeprod!$B$1:$VX$1,0),FALSE)/1,0)-IFERROR(VLOOKUP($B171,'Slutlig allokering kvv'!$B$2:$BX$550,MATCH(T$2,'Slutlig allokering kvv'!$B$1:$BX$1,0),FALSE)/1,0))</f>
        <v>0</v>
      </c>
      <c r="U171" s="31">
        <f>IF($D171="","",IFERROR(VLOOKUP($B171,Kraftvärmeprod!$B$1:$BX$550,MATCH(U$2,Kraftvärmeprod!$B$1:$VX$1,0),FALSE)/1,0)-IFERROR(VLOOKUP($B171,'Slutlig allokering kvv'!$B$2:$BX$550,MATCH(U$2,'Slutlig allokering kvv'!$B$1:$BX$1,0),FALSE)/1,0))</f>
        <v>0</v>
      </c>
      <c r="V171" s="31">
        <f>IF($D171="","",IFERROR(VLOOKUP($B171,Kraftvärmeprod!$B$1:$BX$550,MATCH(V$2,Kraftvärmeprod!$B$1:$VX$1,0),FALSE)/1,0)-IFERROR(VLOOKUP($B171,'Slutlig allokering kvv'!$B$2:$BX$550,MATCH(V$2,'Slutlig allokering kvv'!$B$1:$BX$1,0),FALSE)/1,0))</f>
        <v>4.3529999999999998</v>
      </c>
      <c r="W171" s="31">
        <f>IF($D171="","",IFERROR(VLOOKUP($B171,Kraftvärmeprod!$B$1:$BX$550,MATCH(W$2,Kraftvärmeprod!$B$1:$VX$1,0),FALSE)/1,0)-IFERROR(VLOOKUP($B171,'Slutlig allokering kvv'!$B$2:$BX$550,MATCH(W$2,'Slutlig allokering kvv'!$B$1:$BX$1,0),FALSE)/1,0))</f>
        <v>0.193</v>
      </c>
      <c r="X171" s="31">
        <f>IF($D171="","",IFERROR(VLOOKUP($B171,Kraftvärmeprod!$B$1:$BX$550,MATCH(X$2,Kraftvärmeprod!$B$1:$VX$1,0),FALSE)/1,0)-IFERROR(VLOOKUP($B171,'Slutlig allokering kvv'!$B$2:$BX$550,MATCH(X$2,'Slutlig allokering kvv'!$B$1:$BX$1,0),FALSE)/1,0))</f>
        <v>0</v>
      </c>
      <c r="Y171" s="31">
        <f>IF($D171="","",IFERROR(VLOOKUP($B171,Kraftvärmeprod!$B$1:$BX$550,MATCH(Y$2,Kraftvärmeprod!$B$1:$VX$1,0),FALSE)/1,0)-IFERROR(VLOOKUP($B171,'Slutlig allokering kvv'!$B$2:$BX$550,MATCH(Y$2,'Slutlig allokering kvv'!$B$1:$BX$1,0),FALSE)/1,0))</f>
        <v>0</v>
      </c>
      <c r="Z171" s="31">
        <f>IF($D171="","",IFERROR(VLOOKUP($B171,Kraftvärmeprod!$B$1:$BX$550,MATCH(Z$2,Kraftvärmeprod!$B$1:$VX$1,0),FALSE)/1,0)-IFERROR(VLOOKUP($B171,'Slutlig allokering kvv'!$B$2:$BX$550,MATCH(Z$2,'Slutlig allokering kvv'!$B$1:$BX$1,0),FALSE)/1,0))</f>
        <v>1.415</v>
      </c>
      <c r="AA171" s="31">
        <f>IF($D171="","",IFERROR(VLOOKUP($B171,Kraftvärmeprod!$B$1:$BX$550,MATCH(AA$2,Kraftvärmeprod!$B$1:$VX$1,0),FALSE)/1,0)-IFERROR(VLOOKUP($B171,'Slutlig allokering kvv'!$B$2:$BX$550,MATCH(AA$2,'Slutlig allokering kvv'!$B$1:$BX$1,0),FALSE)/1,0))</f>
        <v>17.939999999999998</v>
      </c>
      <c r="AB171" s="31">
        <f>IF($D171="","",IFERROR(VLOOKUP($B171,Kraftvärmeprod!$B$1:$BX$550,MATCH(AB$2,Kraftvärmeprod!$B$1:$VX$1,0),FALSE)/1,0)-IFERROR(VLOOKUP($B171,'Slutlig allokering kvv'!$B$2:$BX$550,MATCH(AB$2,'Slutlig allokering kvv'!$B$1:$BX$1,0),FALSE)/1,0))</f>
        <v>0</v>
      </c>
      <c r="AC171" s="31">
        <f>IF($D171="","",IFERROR(VLOOKUP($B171,Kraftvärmeprod!$B$1:$BX$550,MATCH(AC$2,Kraftvärmeprod!$B$1:$VX$1,0),FALSE)/1,0)-IFERROR(VLOOKUP($B171,'Slutlig allokering kvv'!$B$2:$BX$550,MATCH(AC$2,'Slutlig allokering kvv'!$B$1:$BX$1,0),FALSE)/1,0))</f>
        <v>0</v>
      </c>
      <c r="AD171" s="31">
        <f>IF($D171="","",IFERROR(VLOOKUP($B171,Kraftvärmeprod!$B$1:$BX$550,MATCH(AD$2,Kraftvärmeprod!$B$1:$VX$1,0),FALSE)/1,0)-IFERROR(VLOOKUP($B171,'Slutlig allokering kvv'!$B$2:$BX$550,MATCH(AD$2,'Slutlig allokering kvv'!$B$1:$BX$1,0),FALSE)/1,0))</f>
        <v>0</v>
      </c>
      <c r="AE171" s="31">
        <f>IF($D171="","",IFERROR(VLOOKUP($B171,Miljö!$B$1:$E$550,MATCH("Hjälpel kraftvärme (GWh)",Miljö!$B$1:$E$1,0),FALSE)/1,0)-IFERROR(VLOOKUP($B171,'Slutlig allokering kvv'!$B$2:$BX$549,MATCH(AE$2,'Slutlig allokering kvv'!$B$1:$BX$1,0),FALSE)/1,0))</f>
        <v>1.4149999999999998</v>
      </c>
      <c r="AI171" s="39">
        <f t="shared" si="8"/>
        <v>35.632999999999996</v>
      </c>
      <c r="AK171" s="31">
        <f>IFERROR(VLOOKUP($B171,'Slutlig allokering kvv'!$B$2:$AX$549,MATCH("Summa slutlig allokerad tillförd energi (utan hjälpel och rökgaskondensering):",'Slutlig allokering kvv'!$B$1:$AX$1,0),FALSE)/1,"")</f>
        <v>32.567</v>
      </c>
      <c r="AM171" s="31">
        <f>IFERROR(1-VLOOKUP($B171,'Slutlig allokering kvv'!$B$2:$AX$549,MATCH("Andel av bränsle i kvv som allokerats till värme, exklusive rökgaskondensering och hjälpel",'Slutlig allokering kvv'!$B$1:$AX$1,0),FALSE),"")</f>
        <v>0.52247800586510262</v>
      </c>
      <c r="AO171" s="31">
        <f t="shared" si="9"/>
        <v>0.52247800586510262</v>
      </c>
      <c r="AP171" s="31">
        <f t="shared" si="10"/>
        <v>0</v>
      </c>
      <c r="AR171" s="32">
        <f t="shared" si="11"/>
        <v>0.51230835672640906</v>
      </c>
    </row>
    <row r="172" spans="1:44" s="31" customFormat="1" x14ac:dyDescent="0.45">
      <c r="A172" s="31" t="s">
        <v>428</v>
      </c>
      <c r="B172" s="31" t="s">
        <v>430</v>
      </c>
      <c r="C172" s="31">
        <f>IFERROR(VLOOKUP($B172,Kraftvärmeprod!$B$1:$AH$479,MATCH(C$2,Kraftvärmeprod!$B$1:$AG$1,0),FALSE)/1,"")</f>
        <v>222.88399999999999</v>
      </c>
      <c r="D172" s="31">
        <f>IFERROR(VLOOKUP($B172,Kraftvärmeprod!$B$1:$AH$479,MATCH(D$2,Kraftvärmeprod!$B$1:$AG$1,0),FALSE)/1,"")</f>
        <v>101.744</v>
      </c>
      <c r="F172" s="31">
        <f>IF($D172="","",IFERROR(VLOOKUP($B172,Kraftvärmeprod!$B$1:$BX$550,MATCH(F$2,Kraftvärmeprod!$B$1:$VX$1,0),FALSE)/1,0)-IFERROR(VLOOKUP($B172,'Slutlig allokering kvv'!$B$2:$BX$550,MATCH(F$2,'Slutlig allokering kvv'!$B$1:$BX$1,0),FALSE)/1,0))</f>
        <v>0</v>
      </c>
      <c r="G172" s="31">
        <f>IF($D172="","",IFERROR(VLOOKUP($B172,Kraftvärmeprod!$B$1:$BX$550,MATCH(G$2,Kraftvärmeprod!$B$1:$VX$1,0),FALSE)/1,0)-IFERROR(VLOOKUP($B172,'Slutlig allokering kvv'!$B$2:$BX$550,MATCH(G$2,'Slutlig allokering kvv'!$B$1:$BX$1,0),FALSE)/1,0))</f>
        <v>0</v>
      </c>
      <c r="H172" s="31">
        <f>IF($D172="","",IFERROR(VLOOKUP($B172,Kraftvärmeprod!$B$1:$BX$550,MATCH(H$2,Kraftvärmeprod!$B$1:$VX$1,0),FALSE)/1,0)-IFERROR(VLOOKUP($B172,'Slutlig allokering kvv'!$B$2:$BX$550,MATCH(H$2,'Slutlig allokering kvv'!$B$1:$BX$1,0),FALSE)/1,0))</f>
        <v>0</v>
      </c>
      <c r="I172" s="31">
        <f>IF($D172="","",IFERROR(VLOOKUP($B172,Kraftvärmeprod!$B$1:$BX$550,MATCH(I$2,Kraftvärmeprod!$B$1:$VX$1,0),FALSE)/1,0)-IFERROR(VLOOKUP($B172,'Slutlig allokering kvv'!$B$2:$BX$550,MATCH(I$2,'Slutlig allokering kvv'!$B$1:$BX$1,0),FALSE)/1,0))</f>
        <v>0</v>
      </c>
      <c r="J172" s="31">
        <f>IF($D172="","",IFERROR(VLOOKUP($B172,Kraftvärmeprod!$B$1:$BX$550,MATCH(J$2,Kraftvärmeprod!$B$1:$VX$1,0),FALSE)/1,0)-IFERROR(VLOOKUP($B172,'Slutlig allokering kvv'!$B$2:$BX$550,MATCH(J$2,'Slutlig allokering kvv'!$B$1:$BX$1,0),FALSE)/1,0))</f>
        <v>0</v>
      </c>
      <c r="K172" s="31">
        <f>IF($D172="","",IFERROR(VLOOKUP($B172,Kraftvärmeprod!$B$1:$BX$550,MATCH(K$2,Kraftvärmeprod!$B$1:$VX$1,0),FALSE)/1,0)-IFERROR(VLOOKUP($B172,'Slutlig allokering kvv'!$B$2:$BX$550,MATCH(K$2,'Slutlig allokering kvv'!$B$1:$BX$1,0),FALSE)/1,0))</f>
        <v>0</v>
      </c>
      <c r="L172" s="31">
        <f>IF($D172="","",IFERROR(VLOOKUP($B172,Kraftvärmeprod!$B$1:$BX$550,MATCH(L$2,Kraftvärmeprod!$B$1:$VX$1,0),FALSE)/1,0)-IFERROR(VLOOKUP($B172,'Slutlig allokering kvv'!$B$2:$BX$550,MATCH(L$2,'Slutlig allokering kvv'!$B$1:$BX$1,0),FALSE)/1,0))</f>
        <v>25.684100000000001</v>
      </c>
      <c r="M172" s="31">
        <f>IF($D172="","",IFERROR(VLOOKUP($B172,Kraftvärmeprod!$B$1:$BX$550,MATCH(M$2,Kraftvärmeprod!$B$1:$VX$1,0),FALSE)/1,0)-IFERROR(VLOOKUP($B172,'Slutlig allokering kvv'!$B$2:$BX$550,MATCH(M$2,'Slutlig allokering kvv'!$B$1:$BX$1,0),FALSE)/1,0))</f>
        <v>76.925799999999995</v>
      </c>
      <c r="N172" s="31">
        <f>IF($D172="","",IFERROR(VLOOKUP($B172,Kraftvärmeprod!$B$1:$BX$550,MATCH(N$2,Kraftvärmeprod!$B$1:$VX$1,0),FALSE)/1,0)-IFERROR(VLOOKUP($B172,'Slutlig allokering kvv'!$B$2:$BX$550,MATCH(N$2,'Slutlig allokering kvv'!$B$1:$BX$1,0),FALSE)/1,0))</f>
        <v>8.3549199999999999</v>
      </c>
      <c r="O172" s="31">
        <f>IF($D172="","",IFERROR(VLOOKUP($B172,Kraftvärmeprod!$B$1:$BX$550,MATCH(O$2,Kraftvärmeprod!$B$1:$VX$1,0),FALSE)/1,0)-IFERROR(VLOOKUP($B172,'Slutlig allokering kvv'!$B$2:$BX$550,MATCH(O$2,'Slutlig allokering kvv'!$B$1:$BX$1,0),FALSE)/1,0))</f>
        <v>0</v>
      </c>
      <c r="P172" s="31">
        <f>IF($D172="","",IFERROR(VLOOKUP($B172,Kraftvärmeprod!$B$1:$BX$550,MATCH(P$2,Kraftvärmeprod!$B$1:$VX$1,0),FALSE)/1,0)-IFERROR(VLOOKUP($B172,'Slutlig allokering kvv'!$B$2:$BX$550,MATCH(P$2,'Slutlig allokering kvv'!$B$1:$BX$1,0),FALSE)/1,0))</f>
        <v>0</v>
      </c>
      <c r="Q172" s="31">
        <f>IF($D172="","",IFERROR(VLOOKUP($B172,Kraftvärmeprod!$B$1:$BX$550,MATCH(Q$2,Kraftvärmeprod!$B$1:$VX$1,0),FALSE)/1,0)-IFERROR(VLOOKUP($B172,'Slutlig allokering kvv'!$B$2:$BX$550,MATCH(Q$2,'Slutlig allokering kvv'!$B$1:$BX$1,0),FALSE)/1,0))</f>
        <v>0</v>
      </c>
      <c r="R172" s="31">
        <f>IF($D172="","",IFERROR(VLOOKUP($B172,Kraftvärmeprod!$B$1:$BX$550,MATCH(R$2,Kraftvärmeprod!$B$1:$VX$1,0),FALSE)/1,0)-IFERROR(VLOOKUP($B172,'Slutlig allokering kvv'!$B$2:$BX$550,MATCH(R$2,'Slutlig allokering kvv'!$B$1:$BX$1,0),FALSE)/1,0))</f>
        <v>0</v>
      </c>
      <c r="S172" s="31">
        <f>IF($D172="","",IFERROR(VLOOKUP($B172,Kraftvärmeprod!$B$1:$BX$550,MATCH(S$2,Kraftvärmeprod!$B$1:$VX$1,0),FALSE)/1,0)-IFERROR(VLOOKUP($B172,'Slutlig allokering kvv'!$B$2:$BX$550,MATCH(S$2,'Slutlig allokering kvv'!$B$1:$BX$1,0),FALSE)/1,0))</f>
        <v>0</v>
      </c>
      <c r="T172" s="31">
        <f>IF($D172="","",IFERROR(VLOOKUP($B172,Kraftvärmeprod!$B$1:$BX$550,MATCH(T$2,Kraftvärmeprod!$B$1:$VX$1,0),FALSE)/1,0)-IFERROR(VLOOKUP($B172,'Slutlig allokering kvv'!$B$2:$BX$550,MATCH(T$2,'Slutlig allokering kvv'!$B$1:$BX$1,0),FALSE)/1,0))</f>
        <v>0</v>
      </c>
      <c r="U172" s="31">
        <f>IF($D172="","",IFERROR(VLOOKUP($B172,Kraftvärmeprod!$B$1:$BX$550,MATCH(U$2,Kraftvärmeprod!$B$1:$VX$1,0),FALSE)/1,0)-IFERROR(VLOOKUP($B172,'Slutlig allokering kvv'!$B$2:$BX$550,MATCH(U$2,'Slutlig allokering kvv'!$B$1:$BX$1,0),FALSE)/1,0))</f>
        <v>0</v>
      </c>
      <c r="V172" s="31">
        <f>IF($D172="","",IFERROR(VLOOKUP($B172,Kraftvärmeprod!$B$1:$BX$550,MATCH(V$2,Kraftvärmeprod!$B$1:$VX$1,0),FALSE)/1,0)-IFERROR(VLOOKUP($B172,'Slutlig allokering kvv'!$B$2:$BX$550,MATCH(V$2,'Slutlig allokering kvv'!$B$1:$BX$1,0),FALSE)/1,0))</f>
        <v>104.9896</v>
      </c>
      <c r="W172" s="31">
        <f>IF($D172="","",IFERROR(VLOOKUP($B172,Kraftvärmeprod!$B$1:$BX$550,MATCH(W$2,Kraftvärmeprod!$B$1:$VX$1,0),FALSE)/1,0)-IFERROR(VLOOKUP($B172,'Slutlig allokering kvv'!$B$2:$BX$550,MATCH(W$2,'Slutlig allokering kvv'!$B$1:$BX$1,0),FALSE)/1,0))</f>
        <v>0</v>
      </c>
      <c r="X172" s="31">
        <f>IF($D172="","",IFERROR(VLOOKUP($B172,Kraftvärmeprod!$B$1:$BX$550,MATCH(X$2,Kraftvärmeprod!$B$1:$VX$1,0),FALSE)/1,0)-IFERROR(VLOOKUP($B172,'Slutlig allokering kvv'!$B$2:$BX$550,MATCH(X$2,'Slutlig allokering kvv'!$B$1:$BX$1,0),FALSE)/1,0))</f>
        <v>6.6730300000000006E-2</v>
      </c>
      <c r="Y172" s="31">
        <f>IF($D172="","",IFERROR(VLOOKUP($B172,Kraftvärmeprod!$B$1:$BX$550,MATCH(Y$2,Kraftvärmeprod!$B$1:$VX$1,0),FALSE)/1,0)-IFERROR(VLOOKUP($B172,'Slutlig allokering kvv'!$B$2:$BX$550,MATCH(Y$2,'Slutlig allokering kvv'!$B$1:$BX$1,0),FALSE)/1,0))</f>
        <v>0</v>
      </c>
      <c r="Z172" s="31">
        <f>IF($D172="","",IFERROR(VLOOKUP($B172,Kraftvärmeprod!$B$1:$BX$550,MATCH(Z$2,Kraftvärmeprod!$B$1:$VX$1,0),FALSE)/1,0)-IFERROR(VLOOKUP($B172,'Slutlig allokering kvv'!$B$2:$BX$550,MATCH(Z$2,'Slutlig allokering kvv'!$B$1:$BX$1,0),FALSE)/1,0))</f>
        <v>0</v>
      </c>
      <c r="AA172" s="31">
        <f>IF($D172="","",IFERROR(VLOOKUP($B172,Kraftvärmeprod!$B$1:$BX$550,MATCH(AA$2,Kraftvärmeprod!$B$1:$VX$1,0),FALSE)/1,0)-IFERROR(VLOOKUP($B172,'Slutlig allokering kvv'!$B$2:$BX$550,MATCH(AA$2,'Slutlig allokering kvv'!$B$1:$BX$1,0),FALSE)/1,0))</f>
        <v>0</v>
      </c>
      <c r="AB172" s="31">
        <f>IF($D172="","",IFERROR(VLOOKUP($B172,Kraftvärmeprod!$B$1:$BX$550,MATCH(AB$2,Kraftvärmeprod!$B$1:$VX$1,0),FALSE)/1,0)-IFERROR(VLOOKUP($B172,'Slutlig allokering kvv'!$B$2:$BX$550,MATCH(AB$2,'Slutlig allokering kvv'!$B$1:$BX$1,0),FALSE)/1,0))</f>
        <v>0</v>
      </c>
      <c r="AC172" s="31">
        <f>IF($D172="","",IFERROR(VLOOKUP($B172,Kraftvärmeprod!$B$1:$BX$550,MATCH(AC$2,Kraftvärmeprod!$B$1:$VX$1,0),FALSE)/1,0)-IFERROR(VLOOKUP($B172,'Slutlig allokering kvv'!$B$2:$BX$550,MATCH(AC$2,'Slutlig allokering kvv'!$B$1:$BX$1,0),FALSE)/1,0))</f>
        <v>0</v>
      </c>
      <c r="AD172" s="31">
        <f>IF($D172="","",IFERROR(VLOOKUP($B172,Kraftvärmeprod!$B$1:$BX$550,MATCH(AD$2,Kraftvärmeprod!$B$1:$VX$1,0),FALSE)/1,0)-IFERROR(VLOOKUP($B172,'Slutlig allokering kvv'!$B$2:$BX$550,MATCH(AD$2,'Slutlig allokering kvv'!$B$1:$BX$1,0),FALSE)/1,0))</f>
        <v>0</v>
      </c>
      <c r="AE172" s="31">
        <f>IF($D172="","",IFERROR(VLOOKUP($B172,Miljö!$B$1:$E$550,MATCH("Hjälpel kraftvärme (GWh)",Miljö!$B$1:$E$1,0),FALSE)/1,0)-IFERROR(VLOOKUP($B172,'Slutlig allokering kvv'!$B$2:$BX$549,MATCH(AE$2,'Slutlig allokering kvv'!$B$1:$BX$1,0),FALSE)/1,0))</f>
        <v>8.5680900000000015</v>
      </c>
      <c r="AI172" s="39">
        <f t="shared" si="8"/>
        <v>216.02115029999999</v>
      </c>
      <c r="AK172" s="31">
        <f>IFERROR(VLOOKUP($B172,'Slutlig allokering kvv'!$B$2:$AX$549,MATCH("Summa slutlig allokerad tillförd energi (utan hjälpel och rökgaskondensering):",'Slutlig allokering kvv'!$B$1:$AX$1,0),FALSE)/1,"")</f>
        <v>181.6018497</v>
      </c>
      <c r="AM172" s="31">
        <f>IFERROR(1-VLOOKUP($B172,'Slutlig allokering kvv'!$B$2:$AX$549,MATCH("Andel av bränsle i kvv som allokerats till värme, exklusive rökgaskondensering och hjälpel",'Slutlig allokering kvv'!$B$1:$AX$1,0),FALSE),"")</f>
        <v>0.54328132502395476</v>
      </c>
      <c r="AO172" s="31">
        <f t="shared" si="9"/>
        <v>0.54328132502395488</v>
      </c>
      <c r="AP172" s="31">
        <f t="shared" si="10"/>
        <v>-1.1102230246251565E-16</v>
      </c>
      <c r="AR172" s="32">
        <f t="shared" si="11"/>
        <v>0.4530225929973013</v>
      </c>
    </row>
    <row r="173" spans="1:44" s="31" customFormat="1" x14ac:dyDescent="0.45">
      <c r="A173" s="31" t="s">
        <v>428</v>
      </c>
      <c r="B173" s="31" t="s">
        <v>429</v>
      </c>
      <c r="C173" s="31">
        <f>IFERROR(VLOOKUP($B173,Kraftvärmeprod!$B$1:$AH$479,MATCH(C$2,Kraftvärmeprod!$B$1:$AG$1,0),FALSE)/1,"")</f>
        <v>45.006</v>
      </c>
      <c r="D173" s="31">
        <f>IFERROR(VLOOKUP($B173,Kraftvärmeprod!$B$1:$AH$479,MATCH(D$2,Kraftvärmeprod!$B$1:$AG$1,0),FALSE)/1,"")</f>
        <v>20.544</v>
      </c>
      <c r="F173" s="31">
        <f>IF($D173="","",IFERROR(VLOOKUP($B173,Kraftvärmeprod!$B$1:$BX$550,MATCH(F$2,Kraftvärmeprod!$B$1:$VX$1,0),FALSE)/1,0)-IFERROR(VLOOKUP($B173,'Slutlig allokering kvv'!$B$2:$BX$550,MATCH(F$2,'Slutlig allokering kvv'!$B$1:$BX$1,0),FALSE)/1,0))</f>
        <v>0</v>
      </c>
      <c r="G173" s="31">
        <f>IF($D173="","",IFERROR(VLOOKUP($B173,Kraftvärmeprod!$B$1:$BX$550,MATCH(G$2,Kraftvärmeprod!$B$1:$VX$1,0),FALSE)/1,0)-IFERROR(VLOOKUP($B173,'Slutlig allokering kvv'!$B$2:$BX$550,MATCH(G$2,'Slutlig allokering kvv'!$B$1:$BX$1,0),FALSE)/1,0))</f>
        <v>0</v>
      </c>
      <c r="H173" s="31">
        <f>IF($D173="","",IFERROR(VLOOKUP($B173,Kraftvärmeprod!$B$1:$BX$550,MATCH(H$2,Kraftvärmeprod!$B$1:$VX$1,0),FALSE)/1,0)-IFERROR(VLOOKUP($B173,'Slutlig allokering kvv'!$B$2:$BX$550,MATCH(H$2,'Slutlig allokering kvv'!$B$1:$BX$1,0),FALSE)/1,0))</f>
        <v>0</v>
      </c>
      <c r="I173" s="31">
        <f>IF($D173="","",IFERROR(VLOOKUP($B173,Kraftvärmeprod!$B$1:$BX$550,MATCH(I$2,Kraftvärmeprod!$B$1:$VX$1,0),FALSE)/1,0)-IFERROR(VLOOKUP($B173,'Slutlig allokering kvv'!$B$2:$BX$550,MATCH(I$2,'Slutlig allokering kvv'!$B$1:$BX$1,0),FALSE)/1,0))</f>
        <v>0</v>
      </c>
      <c r="J173" s="31">
        <f>IF($D173="","",IFERROR(VLOOKUP($B173,Kraftvärmeprod!$B$1:$BX$550,MATCH(J$2,Kraftvärmeprod!$B$1:$VX$1,0),FALSE)/1,0)-IFERROR(VLOOKUP($B173,'Slutlig allokering kvv'!$B$2:$BX$550,MATCH(J$2,'Slutlig allokering kvv'!$B$1:$BX$1,0),FALSE)/1,0))</f>
        <v>0</v>
      </c>
      <c r="K173" s="31">
        <f>IF($D173="","",IFERROR(VLOOKUP($B173,Kraftvärmeprod!$B$1:$BX$550,MATCH(K$2,Kraftvärmeprod!$B$1:$VX$1,0),FALSE)/1,0)-IFERROR(VLOOKUP($B173,'Slutlig allokering kvv'!$B$2:$BX$550,MATCH(K$2,'Slutlig allokering kvv'!$B$1:$BX$1,0),FALSE)/1,0))</f>
        <v>0</v>
      </c>
      <c r="L173" s="31">
        <f>IF($D173="","",IFERROR(VLOOKUP($B173,Kraftvärmeprod!$B$1:$BX$550,MATCH(L$2,Kraftvärmeprod!$B$1:$VX$1,0),FALSE)/1,0)-IFERROR(VLOOKUP($B173,'Slutlig allokering kvv'!$B$2:$BX$550,MATCH(L$2,'Slutlig allokering kvv'!$B$1:$BX$1,0),FALSE)/1,0))</f>
        <v>43.620899999999992</v>
      </c>
      <c r="M173" s="31">
        <f>IF($D173="","",IFERROR(VLOOKUP($B173,Kraftvärmeprod!$B$1:$BX$550,MATCH(M$2,Kraftvärmeprod!$B$1:$VX$1,0),FALSE)/1,0)-IFERROR(VLOOKUP($B173,'Slutlig allokering kvv'!$B$2:$BX$550,MATCH(M$2,'Slutlig allokering kvv'!$B$1:$BX$1,0),FALSE)/1,0))</f>
        <v>0</v>
      </c>
      <c r="N173" s="31">
        <f>IF($D173="","",IFERROR(VLOOKUP($B173,Kraftvärmeprod!$B$1:$BX$550,MATCH(N$2,Kraftvärmeprod!$B$1:$VX$1,0),FALSE)/1,0)-IFERROR(VLOOKUP($B173,'Slutlig allokering kvv'!$B$2:$BX$550,MATCH(N$2,'Slutlig allokering kvv'!$B$1:$BX$1,0),FALSE)/1,0))</f>
        <v>0</v>
      </c>
      <c r="O173" s="31">
        <f>IF($D173="","",IFERROR(VLOOKUP($B173,Kraftvärmeprod!$B$1:$BX$550,MATCH(O$2,Kraftvärmeprod!$B$1:$VX$1,0),FALSE)/1,0)-IFERROR(VLOOKUP($B173,'Slutlig allokering kvv'!$B$2:$BX$550,MATCH(O$2,'Slutlig allokering kvv'!$B$1:$BX$1,0),FALSE)/1,0))</f>
        <v>0</v>
      </c>
      <c r="P173" s="31">
        <f>IF($D173="","",IFERROR(VLOOKUP($B173,Kraftvärmeprod!$B$1:$BX$550,MATCH(P$2,Kraftvärmeprod!$B$1:$VX$1,0),FALSE)/1,0)-IFERROR(VLOOKUP($B173,'Slutlig allokering kvv'!$B$2:$BX$550,MATCH(P$2,'Slutlig allokering kvv'!$B$1:$BX$1,0),FALSE)/1,0))</f>
        <v>0</v>
      </c>
      <c r="Q173" s="31">
        <f>IF($D173="","",IFERROR(VLOOKUP($B173,Kraftvärmeprod!$B$1:$BX$550,MATCH(Q$2,Kraftvärmeprod!$B$1:$VX$1,0),FALSE)/1,0)-IFERROR(VLOOKUP($B173,'Slutlig allokering kvv'!$B$2:$BX$550,MATCH(Q$2,'Slutlig allokering kvv'!$B$1:$BX$1,0),FALSE)/1,0))</f>
        <v>0</v>
      </c>
      <c r="R173" s="31">
        <f>IF($D173="","",IFERROR(VLOOKUP($B173,Kraftvärmeprod!$B$1:$BX$550,MATCH(R$2,Kraftvärmeprod!$B$1:$VX$1,0),FALSE)/1,0)-IFERROR(VLOOKUP($B173,'Slutlig allokering kvv'!$B$2:$BX$550,MATCH(R$2,'Slutlig allokering kvv'!$B$1:$BX$1,0),FALSE)/1,0))</f>
        <v>0</v>
      </c>
      <c r="S173" s="31">
        <f>IF($D173="","",IFERROR(VLOOKUP($B173,Kraftvärmeprod!$B$1:$BX$550,MATCH(S$2,Kraftvärmeprod!$B$1:$VX$1,0),FALSE)/1,0)-IFERROR(VLOOKUP($B173,'Slutlig allokering kvv'!$B$2:$BX$550,MATCH(S$2,'Slutlig allokering kvv'!$B$1:$BX$1,0),FALSE)/1,0))</f>
        <v>0</v>
      </c>
      <c r="T173" s="31">
        <f>IF($D173="","",IFERROR(VLOOKUP($B173,Kraftvärmeprod!$B$1:$BX$550,MATCH(T$2,Kraftvärmeprod!$B$1:$VX$1,0),FALSE)/1,0)-IFERROR(VLOOKUP($B173,'Slutlig allokering kvv'!$B$2:$BX$550,MATCH(T$2,'Slutlig allokering kvv'!$B$1:$BX$1,0),FALSE)/1,0))</f>
        <v>0</v>
      </c>
      <c r="U173" s="31">
        <f>IF($D173="","",IFERROR(VLOOKUP($B173,Kraftvärmeprod!$B$1:$BX$550,MATCH(U$2,Kraftvärmeprod!$B$1:$VX$1,0),FALSE)/1,0)-IFERROR(VLOOKUP($B173,'Slutlig allokering kvv'!$B$2:$BX$550,MATCH(U$2,'Slutlig allokering kvv'!$B$1:$BX$1,0),FALSE)/1,0))</f>
        <v>0</v>
      </c>
      <c r="V173" s="31">
        <f>IF($D173="","",IFERROR(VLOOKUP($B173,Kraftvärmeprod!$B$1:$BX$550,MATCH(V$2,Kraftvärmeprod!$B$1:$VX$1,0),FALSE)/1,0)-IFERROR(VLOOKUP($B173,'Slutlig allokering kvv'!$B$2:$BX$550,MATCH(V$2,'Slutlig allokering kvv'!$B$1:$BX$1,0),FALSE)/1,0))</f>
        <v>0</v>
      </c>
      <c r="W173" s="31">
        <f>IF($D173="","",IFERROR(VLOOKUP($B173,Kraftvärmeprod!$B$1:$BX$550,MATCH(W$2,Kraftvärmeprod!$B$1:$VX$1,0),FALSE)/1,0)-IFERROR(VLOOKUP($B173,'Slutlig allokering kvv'!$B$2:$BX$550,MATCH(W$2,'Slutlig allokering kvv'!$B$1:$BX$1,0),FALSE)/1,0))</f>
        <v>0</v>
      </c>
      <c r="X173" s="31">
        <f>IF($D173="","",IFERROR(VLOOKUP($B173,Kraftvärmeprod!$B$1:$BX$550,MATCH(X$2,Kraftvärmeprod!$B$1:$VX$1,0),FALSE)/1,0)-IFERROR(VLOOKUP($B173,'Slutlig allokering kvv'!$B$2:$BX$550,MATCH(X$2,'Slutlig allokering kvv'!$B$1:$BX$1,0),FALSE)/1,0))</f>
        <v>0</v>
      </c>
      <c r="Y173" s="31">
        <f>IF($D173="","",IFERROR(VLOOKUP($B173,Kraftvärmeprod!$B$1:$BX$550,MATCH(Y$2,Kraftvärmeprod!$B$1:$VX$1,0),FALSE)/1,0)-IFERROR(VLOOKUP($B173,'Slutlig allokering kvv'!$B$2:$BX$550,MATCH(Y$2,'Slutlig allokering kvv'!$B$1:$BX$1,0),FALSE)/1,0))</f>
        <v>0</v>
      </c>
      <c r="Z173" s="31">
        <f>IF($D173="","",IFERROR(VLOOKUP($B173,Kraftvärmeprod!$B$1:$BX$550,MATCH(Z$2,Kraftvärmeprod!$B$1:$VX$1,0),FALSE)/1,0)-IFERROR(VLOOKUP($B173,'Slutlig allokering kvv'!$B$2:$BX$550,MATCH(Z$2,'Slutlig allokering kvv'!$B$1:$BX$1,0),FALSE)/1,0))</f>
        <v>0</v>
      </c>
      <c r="AA173" s="31">
        <f>IF($D173="","",IFERROR(VLOOKUP($B173,Kraftvärmeprod!$B$1:$BX$550,MATCH(AA$2,Kraftvärmeprod!$B$1:$VX$1,0),FALSE)/1,0)-IFERROR(VLOOKUP($B173,'Slutlig allokering kvv'!$B$2:$BX$550,MATCH(AA$2,'Slutlig allokering kvv'!$B$1:$BX$1,0),FALSE)/1,0))</f>
        <v>0</v>
      </c>
      <c r="AB173" s="31">
        <f>IF($D173="","",IFERROR(VLOOKUP($B173,Kraftvärmeprod!$B$1:$BX$550,MATCH(AB$2,Kraftvärmeprod!$B$1:$VX$1,0),FALSE)/1,0)-IFERROR(VLOOKUP($B173,'Slutlig allokering kvv'!$B$2:$BX$550,MATCH(AB$2,'Slutlig allokering kvv'!$B$1:$BX$1,0),FALSE)/1,0))</f>
        <v>0</v>
      </c>
      <c r="AC173" s="31">
        <f>IF($D173="","",IFERROR(VLOOKUP($B173,Kraftvärmeprod!$B$1:$BX$550,MATCH(AC$2,Kraftvärmeprod!$B$1:$VX$1,0),FALSE)/1,0)-IFERROR(VLOOKUP($B173,'Slutlig allokering kvv'!$B$2:$BX$550,MATCH(AC$2,'Slutlig allokering kvv'!$B$1:$BX$1,0),FALSE)/1,0))</f>
        <v>0</v>
      </c>
      <c r="AD173" s="31">
        <f>IF($D173="","",IFERROR(VLOOKUP($B173,Kraftvärmeprod!$B$1:$BX$550,MATCH(AD$2,Kraftvärmeprod!$B$1:$VX$1,0),FALSE)/1,0)-IFERROR(VLOOKUP($B173,'Slutlig allokering kvv'!$B$2:$BX$550,MATCH(AD$2,'Slutlig allokering kvv'!$B$1:$BX$1,0),FALSE)/1,0))</f>
        <v>0</v>
      </c>
      <c r="AE173" s="31">
        <f>IF($D173="","",IFERROR(VLOOKUP($B173,Miljö!$B$1:$E$550,MATCH("Hjälpel kraftvärme (GWh)",Miljö!$B$1:$E$1,0),FALSE)/1,0)-IFERROR(VLOOKUP($B173,'Slutlig allokering kvv'!$B$2:$BX$549,MATCH(AE$2,'Slutlig allokering kvv'!$B$1:$BX$1,0),FALSE)/1,0))</f>
        <v>1.7317499999999999</v>
      </c>
      <c r="AI173" s="39">
        <f t="shared" si="8"/>
        <v>43.620899999999992</v>
      </c>
      <c r="AK173" s="31">
        <f>IFERROR(VLOOKUP($B173,'Slutlig allokering kvv'!$B$2:$AX$549,MATCH("Summa slutlig allokerad tillförd energi (utan hjälpel och rökgaskondensering):",'Slutlig allokering kvv'!$B$1:$AX$1,0),FALSE)/1,"")</f>
        <v>36.668700000000001</v>
      </c>
      <c r="AM173" s="31">
        <f>IFERROR(1-VLOOKUP($B173,'Slutlig allokering kvv'!$B$2:$AX$549,MATCH("Andel av bränsle i kvv som allokerats till värme, exklusive rökgaskondensering och hjälpel",'Slutlig allokering kvv'!$B$1:$AX$1,0),FALSE),"")</f>
        <v>0.54329452382375787</v>
      </c>
      <c r="AO173" s="31">
        <f t="shared" si="9"/>
        <v>0.54329452382375798</v>
      </c>
      <c r="AP173" s="31">
        <f t="shared" si="10"/>
        <v>-1.1102230246251565E-16</v>
      </c>
      <c r="AR173" s="32">
        <f t="shared" si="11"/>
        <v>0.45298345300660503</v>
      </c>
    </row>
    <row r="174" spans="1:44" s="31" customFormat="1" x14ac:dyDescent="0.45">
      <c r="A174" s="31" t="s">
        <v>418</v>
      </c>
      <c r="B174" s="31" t="s">
        <v>424</v>
      </c>
      <c r="C174" s="31" t="str">
        <f>IFERROR(VLOOKUP($B174,Kraftvärmeprod!$B$1:$AH$479,MATCH(C$2,Kraftvärmeprod!$B$1:$AG$1,0),FALSE)/1,"")</f>
        <v/>
      </c>
      <c r="D174" s="31" t="str">
        <f>IFERROR(VLOOKUP($B174,Kraftvärmeprod!$B$1:$AH$479,MATCH(D$2,Kraftvärmeprod!$B$1:$AG$1,0),FALSE)/1,"")</f>
        <v/>
      </c>
      <c r="F174" s="31" t="str">
        <f>IF($D174="","",IFERROR(VLOOKUP($B174,Kraftvärmeprod!$B$1:$BX$550,MATCH(F$2,Kraftvärmeprod!$B$1:$VX$1,0),FALSE)/1,0)-IFERROR(VLOOKUP($B174,'Slutlig allokering kvv'!$B$2:$BX$550,MATCH(F$2,'Slutlig allokering kvv'!$B$1:$BX$1,0),FALSE)/1,0))</f>
        <v/>
      </c>
      <c r="G174" s="31" t="str">
        <f>IF($D174="","",IFERROR(VLOOKUP($B174,Kraftvärmeprod!$B$1:$BX$550,MATCH(G$2,Kraftvärmeprod!$B$1:$VX$1,0),FALSE)/1,0)-IFERROR(VLOOKUP($B174,'Slutlig allokering kvv'!$B$2:$BX$550,MATCH(G$2,'Slutlig allokering kvv'!$B$1:$BX$1,0),FALSE)/1,0))</f>
        <v/>
      </c>
      <c r="H174" s="31" t="str">
        <f>IF($D174="","",IFERROR(VLOOKUP($B174,Kraftvärmeprod!$B$1:$BX$550,MATCH(H$2,Kraftvärmeprod!$B$1:$VX$1,0),FALSE)/1,0)-IFERROR(VLOOKUP($B174,'Slutlig allokering kvv'!$B$2:$BX$550,MATCH(H$2,'Slutlig allokering kvv'!$B$1:$BX$1,0),FALSE)/1,0))</f>
        <v/>
      </c>
      <c r="I174" s="31" t="str">
        <f>IF($D174="","",IFERROR(VLOOKUP($B174,Kraftvärmeprod!$B$1:$BX$550,MATCH(I$2,Kraftvärmeprod!$B$1:$VX$1,0),FALSE)/1,0)-IFERROR(VLOOKUP($B174,'Slutlig allokering kvv'!$B$2:$BX$550,MATCH(I$2,'Slutlig allokering kvv'!$B$1:$BX$1,0),FALSE)/1,0))</f>
        <v/>
      </c>
      <c r="J174" s="31" t="str">
        <f>IF($D174="","",IFERROR(VLOOKUP($B174,Kraftvärmeprod!$B$1:$BX$550,MATCH(J$2,Kraftvärmeprod!$B$1:$VX$1,0),FALSE)/1,0)-IFERROR(VLOOKUP($B174,'Slutlig allokering kvv'!$B$2:$BX$550,MATCH(J$2,'Slutlig allokering kvv'!$B$1:$BX$1,0),FALSE)/1,0))</f>
        <v/>
      </c>
      <c r="K174" s="31" t="str">
        <f>IF($D174="","",IFERROR(VLOOKUP($B174,Kraftvärmeprod!$B$1:$BX$550,MATCH(K$2,Kraftvärmeprod!$B$1:$VX$1,0),FALSE)/1,0)-IFERROR(VLOOKUP($B174,'Slutlig allokering kvv'!$B$2:$BX$550,MATCH(K$2,'Slutlig allokering kvv'!$B$1:$BX$1,0),FALSE)/1,0))</f>
        <v/>
      </c>
      <c r="L174" s="31" t="str">
        <f>IF($D174="","",IFERROR(VLOOKUP($B174,Kraftvärmeprod!$B$1:$BX$550,MATCH(L$2,Kraftvärmeprod!$B$1:$VX$1,0),FALSE)/1,0)-IFERROR(VLOOKUP($B174,'Slutlig allokering kvv'!$B$2:$BX$550,MATCH(L$2,'Slutlig allokering kvv'!$B$1:$BX$1,0),FALSE)/1,0))</f>
        <v/>
      </c>
      <c r="M174" s="31" t="str">
        <f>IF($D174="","",IFERROR(VLOOKUP($B174,Kraftvärmeprod!$B$1:$BX$550,MATCH(M$2,Kraftvärmeprod!$B$1:$VX$1,0),FALSE)/1,0)-IFERROR(VLOOKUP($B174,'Slutlig allokering kvv'!$B$2:$BX$550,MATCH(M$2,'Slutlig allokering kvv'!$B$1:$BX$1,0),FALSE)/1,0))</f>
        <v/>
      </c>
      <c r="N174" s="31" t="str">
        <f>IF($D174="","",IFERROR(VLOOKUP($B174,Kraftvärmeprod!$B$1:$BX$550,MATCH(N$2,Kraftvärmeprod!$B$1:$VX$1,0),FALSE)/1,0)-IFERROR(VLOOKUP($B174,'Slutlig allokering kvv'!$B$2:$BX$550,MATCH(N$2,'Slutlig allokering kvv'!$B$1:$BX$1,0),FALSE)/1,0))</f>
        <v/>
      </c>
      <c r="O174" s="31" t="str">
        <f>IF($D174="","",IFERROR(VLOOKUP($B174,Kraftvärmeprod!$B$1:$BX$550,MATCH(O$2,Kraftvärmeprod!$B$1:$VX$1,0),FALSE)/1,0)-IFERROR(VLOOKUP($B174,'Slutlig allokering kvv'!$B$2:$BX$550,MATCH(O$2,'Slutlig allokering kvv'!$B$1:$BX$1,0),FALSE)/1,0))</f>
        <v/>
      </c>
      <c r="P174" s="31" t="str">
        <f>IF($D174="","",IFERROR(VLOOKUP($B174,Kraftvärmeprod!$B$1:$BX$550,MATCH(P$2,Kraftvärmeprod!$B$1:$VX$1,0),FALSE)/1,0)-IFERROR(VLOOKUP($B174,'Slutlig allokering kvv'!$B$2:$BX$550,MATCH(P$2,'Slutlig allokering kvv'!$B$1:$BX$1,0),FALSE)/1,0))</f>
        <v/>
      </c>
      <c r="Q174" s="31" t="str">
        <f>IF($D174="","",IFERROR(VLOOKUP($B174,Kraftvärmeprod!$B$1:$BX$550,MATCH(Q$2,Kraftvärmeprod!$B$1:$VX$1,0),FALSE)/1,0)-IFERROR(VLOOKUP($B174,'Slutlig allokering kvv'!$B$2:$BX$550,MATCH(Q$2,'Slutlig allokering kvv'!$B$1:$BX$1,0),FALSE)/1,0))</f>
        <v/>
      </c>
      <c r="R174" s="31" t="str">
        <f>IF($D174="","",IFERROR(VLOOKUP($B174,Kraftvärmeprod!$B$1:$BX$550,MATCH(R$2,Kraftvärmeprod!$B$1:$VX$1,0),FALSE)/1,0)-IFERROR(VLOOKUP($B174,'Slutlig allokering kvv'!$B$2:$BX$550,MATCH(R$2,'Slutlig allokering kvv'!$B$1:$BX$1,0),FALSE)/1,0))</f>
        <v/>
      </c>
      <c r="S174" s="31" t="str">
        <f>IF($D174="","",IFERROR(VLOOKUP($B174,Kraftvärmeprod!$B$1:$BX$550,MATCH(S$2,Kraftvärmeprod!$B$1:$VX$1,0),FALSE)/1,0)-IFERROR(VLOOKUP($B174,'Slutlig allokering kvv'!$B$2:$BX$550,MATCH(S$2,'Slutlig allokering kvv'!$B$1:$BX$1,0),FALSE)/1,0))</f>
        <v/>
      </c>
      <c r="T174" s="31" t="str">
        <f>IF($D174="","",IFERROR(VLOOKUP($B174,Kraftvärmeprod!$B$1:$BX$550,MATCH(T$2,Kraftvärmeprod!$B$1:$VX$1,0),FALSE)/1,0)-IFERROR(VLOOKUP($B174,'Slutlig allokering kvv'!$B$2:$BX$550,MATCH(T$2,'Slutlig allokering kvv'!$B$1:$BX$1,0),FALSE)/1,0))</f>
        <v/>
      </c>
      <c r="U174" s="31" t="str">
        <f>IF($D174="","",IFERROR(VLOOKUP($B174,Kraftvärmeprod!$B$1:$BX$550,MATCH(U$2,Kraftvärmeprod!$B$1:$VX$1,0),FALSE)/1,0)-IFERROR(VLOOKUP($B174,'Slutlig allokering kvv'!$B$2:$BX$550,MATCH(U$2,'Slutlig allokering kvv'!$B$1:$BX$1,0),FALSE)/1,0))</f>
        <v/>
      </c>
      <c r="V174" s="31" t="str">
        <f>IF($D174="","",IFERROR(VLOOKUP($B174,Kraftvärmeprod!$B$1:$BX$550,MATCH(V$2,Kraftvärmeprod!$B$1:$VX$1,0),FALSE)/1,0)-IFERROR(VLOOKUP($B174,'Slutlig allokering kvv'!$B$2:$BX$550,MATCH(V$2,'Slutlig allokering kvv'!$B$1:$BX$1,0),FALSE)/1,0))</f>
        <v/>
      </c>
      <c r="W174" s="31" t="str">
        <f>IF($D174="","",IFERROR(VLOOKUP($B174,Kraftvärmeprod!$B$1:$BX$550,MATCH(W$2,Kraftvärmeprod!$B$1:$VX$1,0),FALSE)/1,0)-IFERROR(VLOOKUP($B174,'Slutlig allokering kvv'!$B$2:$BX$550,MATCH(W$2,'Slutlig allokering kvv'!$B$1:$BX$1,0),FALSE)/1,0))</f>
        <v/>
      </c>
      <c r="X174" s="31" t="str">
        <f>IF($D174="","",IFERROR(VLOOKUP($B174,Kraftvärmeprod!$B$1:$BX$550,MATCH(X$2,Kraftvärmeprod!$B$1:$VX$1,0),FALSE)/1,0)-IFERROR(VLOOKUP($B174,'Slutlig allokering kvv'!$B$2:$BX$550,MATCH(X$2,'Slutlig allokering kvv'!$B$1:$BX$1,0),FALSE)/1,0))</f>
        <v/>
      </c>
      <c r="Y174" s="31" t="str">
        <f>IF($D174="","",IFERROR(VLOOKUP($B174,Kraftvärmeprod!$B$1:$BX$550,MATCH(Y$2,Kraftvärmeprod!$B$1:$VX$1,0),FALSE)/1,0)-IFERROR(VLOOKUP($B174,'Slutlig allokering kvv'!$B$2:$BX$550,MATCH(Y$2,'Slutlig allokering kvv'!$B$1:$BX$1,0),FALSE)/1,0))</f>
        <v/>
      </c>
      <c r="Z174" s="31" t="str">
        <f>IF($D174="","",IFERROR(VLOOKUP($B174,Kraftvärmeprod!$B$1:$BX$550,MATCH(Z$2,Kraftvärmeprod!$B$1:$VX$1,0),FALSE)/1,0)-IFERROR(VLOOKUP($B174,'Slutlig allokering kvv'!$B$2:$BX$550,MATCH(Z$2,'Slutlig allokering kvv'!$B$1:$BX$1,0),FALSE)/1,0))</f>
        <v/>
      </c>
      <c r="AA174" s="31" t="str">
        <f>IF($D174="","",IFERROR(VLOOKUP($B174,Kraftvärmeprod!$B$1:$BX$550,MATCH(AA$2,Kraftvärmeprod!$B$1:$VX$1,0),FALSE)/1,0)-IFERROR(VLOOKUP($B174,'Slutlig allokering kvv'!$B$2:$BX$550,MATCH(AA$2,'Slutlig allokering kvv'!$B$1:$BX$1,0),FALSE)/1,0))</f>
        <v/>
      </c>
      <c r="AB174" s="31" t="str">
        <f>IF($D174="","",IFERROR(VLOOKUP($B174,Kraftvärmeprod!$B$1:$BX$550,MATCH(AB$2,Kraftvärmeprod!$B$1:$VX$1,0),FALSE)/1,0)-IFERROR(VLOOKUP($B174,'Slutlig allokering kvv'!$B$2:$BX$550,MATCH(AB$2,'Slutlig allokering kvv'!$B$1:$BX$1,0),FALSE)/1,0))</f>
        <v/>
      </c>
      <c r="AC174" s="31" t="str">
        <f>IF($D174="","",IFERROR(VLOOKUP($B174,Kraftvärmeprod!$B$1:$BX$550,MATCH(AC$2,Kraftvärmeprod!$B$1:$VX$1,0),FALSE)/1,0)-IFERROR(VLOOKUP($B174,'Slutlig allokering kvv'!$B$2:$BX$550,MATCH(AC$2,'Slutlig allokering kvv'!$B$1:$BX$1,0),FALSE)/1,0))</f>
        <v/>
      </c>
      <c r="AD174" s="31" t="str">
        <f>IF($D174="","",IFERROR(VLOOKUP($B174,Kraftvärmeprod!$B$1:$BX$550,MATCH(AD$2,Kraftvärmeprod!$B$1:$VX$1,0),FALSE)/1,0)-IFERROR(VLOOKUP($B174,'Slutlig allokering kvv'!$B$2:$BX$550,MATCH(AD$2,'Slutlig allokering kvv'!$B$1:$BX$1,0),FALSE)/1,0))</f>
        <v/>
      </c>
      <c r="AE174" s="31" t="str">
        <f>IF($D174="","",IFERROR(VLOOKUP($B174,Miljö!$B$1:$E$550,MATCH("Hjälpel kraftvärme (GWh)",Miljö!$B$1:$E$1,0),FALSE)/1,0)-IFERROR(VLOOKUP($B174,'Slutlig allokering kvv'!$B$2:$BX$549,MATCH(AE$2,'Slutlig allokering kvv'!$B$1:$BX$1,0),FALSE)/1,0))</f>
        <v/>
      </c>
      <c r="AI174" s="39">
        <f t="shared" si="8"/>
        <v>0</v>
      </c>
      <c r="AK174" s="31">
        <f>IFERROR(VLOOKUP($B174,'Slutlig allokering kvv'!$B$2:$AX$549,MATCH("Summa slutlig allokerad tillförd energi (utan hjälpel och rökgaskondensering):",'Slutlig allokering kvv'!$B$1:$AX$1,0),FALSE)/1,"")</f>
        <v>0</v>
      </c>
      <c r="AM174" s="31" t="str">
        <f>IFERROR(1-VLOOKUP($B174,'Slutlig allokering kvv'!$B$2:$AX$549,MATCH("Andel av bränsle i kvv som allokerats till värme, exklusive rökgaskondensering och hjälpel",'Slutlig allokering kvv'!$B$1:$AX$1,0),FALSE),"")</f>
        <v/>
      </c>
      <c r="AO174" s="31" t="str">
        <f t="shared" si="9"/>
        <v/>
      </c>
      <c r="AP174" s="31" t="str">
        <f t="shared" si="10"/>
        <v/>
      </c>
      <c r="AR174" s="32" t="str">
        <f t="shared" si="11"/>
        <v/>
      </c>
    </row>
    <row r="175" spans="1:44" s="31" customFormat="1" x14ac:dyDescent="0.45">
      <c r="A175" s="31" t="s">
        <v>418</v>
      </c>
      <c r="B175" s="31" t="s">
        <v>97</v>
      </c>
      <c r="C175" s="31" t="str">
        <f>IFERROR(VLOOKUP($B175,Kraftvärmeprod!$B$1:$AH$479,MATCH(C$2,Kraftvärmeprod!$B$1:$AG$1,0),FALSE)/1,"")</f>
        <v/>
      </c>
      <c r="D175" s="31" t="str">
        <f>IFERROR(VLOOKUP($B175,Kraftvärmeprod!$B$1:$AH$479,MATCH(D$2,Kraftvärmeprod!$B$1:$AG$1,0),FALSE)/1,"")</f>
        <v/>
      </c>
      <c r="F175" s="31" t="str">
        <f>IF($D175="","",IFERROR(VLOOKUP($B175,Kraftvärmeprod!$B$1:$BX$550,MATCH(F$2,Kraftvärmeprod!$B$1:$VX$1,0),FALSE)/1,0)-IFERROR(VLOOKUP($B175,'Slutlig allokering kvv'!$B$2:$BX$550,MATCH(F$2,'Slutlig allokering kvv'!$B$1:$BX$1,0),FALSE)/1,0))</f>
        <v/>
      </c>
      <c r="G175" s="31" t="str">
        <f>IF($D175="","",IFERROR(VLOOKUP($B175,Kraftvärmeprod!$B$1:$BX$550,MATCH(G$2,Kraftvärmeprod!$B$1:$VX$1,0),FALSE)/1,0)-IFERROR(VLOOKUP($B175,'Slutlig allokering kvv'!$B$2:$BX$550,MATCH(G$2,'Slutlig allokering kvv'!$B$1:$BX$1,0),FALSE)/1,0))</f>
        <v/>
      </c>
      <c r="H175" s="31" t="str">
        <f>IF($D175="","",IFERROR(VLOOKUP($B175,Kraftvärmeprod!$B$1:$BX$550,MATCH(H$2,Kraftvärmeprod!$B$1:$VX$1,0),FALSE)/1,0)-IFERROR(VLOOKUP($B175,'Slutlig allokering kvv'!$B$2:$BX$550,MATCH(H$2,'Slutlig allokering kvv'!$B$1:$BX$1,0),FALSE)/1,0))</f>
        <v/>
      </c>
      <c r="I175" s="31" t="str">
        <f>IF($D175="","",IFERROR(VLOOKUP($B175,Kraftvärmeprod!$B$1:$BX$550,MATCH(I$2,Kraftvärmeprod!$B$1:$VX$1,0),FALSE)/1,0)-IFERROR(VLOOKUP($B175,'Slutlig allokering kvv'!$B$2:$BX$550,MATCH(I$2,'Slutlig allokering kvv'!$B$1:$BX$1,0),FALSE)/1,0))</f>
        <v/>
      </c>
      <c r="J175" s="31" t="str">
        <f>IF($D175="","",IFERROR(VLOOKUP($B175,Kraftvärmeprod!$B$1:$BX$550,MATCH(J$2,Kraftvärmeprod!$B$1:$VX$1,0),FALSE)/1,0)-IFERROR(VLOOKUP($B175,'Slutlig allokering kvv'!$B$2:$BX$550,MATCH(J$2,'Slutlig allokering kvv'!$B$1:$BX$1,0),FALSE)/1,0))</f>
        <v/>
      </c>
      <c r="K175" s="31" t="str">
        <f>IF($D175="","",IFERROR(VLOOKUP($B175,Kraftvärmeprod!$B$1:$BX$550,MATCH(K$2,Kraftvärmeprod!$B$1:$VX$1,0),FALSE)/1,0)-IFERROR(VLOOKUP($B175,'Slutlig allokering kvv'!$B$2:$BX$550,MATCH(K$2,'Slutlig allokering kvv'!$B$1:$BX$1,0),FALSE)/1,0))</f>
        <v/>
      </c>
      <c r="L175" s="31" t="str">
        <f>IF($D175="","",IFERROR(VLOOKUP($B175,Kraftvärmeprod!$B$1:$BX$550,MATCH(L$2,Kraftvärmeprod!$B$1:$VX$1,0),FALSE)/1,0)-IFERROR(VLOOKUP($B175,'Slutlig allokering kvv'!$B$2:$BX$550,MATCH(L$2,'Slutlig allokering kvv'!$B$1:$BX$1,0),FALSE)/1,0))</f>
        <v/>
      </c>
      <c r="M175" s="31" t="str">
        <f>IF($D175="","",IFERROR(VLOOKUP($B175,Kraftvärmeprod!$B$1:$BX$550,MATCH(M$2,Kraftvärmeprod!$B$1:$VX$1,0),FALSE)/1,0)-IFERROR(VLOOKUP($B175,'Slutlig allokering kvv'!$B$2:$BX$550,MATCH(M$2,'Slutlig allokering kvv'!$B$1:$BX$1,0),FALSE)/1,0))</f>
        <v/>
      </c>
      <c r="N175" s="31" t="str">
        <f>IF($D175="","",IFERROR(VLOOKUP($B175,Kraftvärmeprod!$B$1:$BX$550,MATCH(N$2,Kraftvärmeprod!$B$1:$VX$1,0),FALSE)/1,0)-IFERROR(VLOOKUP($B175,'Slutlig allokering kvv'!$B$2:$BX$550,MATCH(N$2,'Slutlig allokering kvv'!$B$1:$BX$1,0),FALSE)/1,0))</f>
        <v/>
      </c>
      <c r="O175" s="31" t="str">
        <f>IF($D175="","",IFERROR(VLOOKUP($B175,Kraftvärmeprod!$B$1:$BX$550,MATCH(O$2,Kraftvärmeprod!$B$1:$VX$1,0),FALSE)/1,0)-IFERROR(VLOOKUP($B175,'Slutlig allokering kvv'!$B$2:$BX$550,MATCH(O$2,'Slutlig allokering kvv'!$B$1:$BX$1,0),FALSE)/1,0))</f>
        <v/>
      </c>
      <c r="P175" s="31" t="str">
        <f>IF($D175="","",IFERROR(VLOOKUP($B175,Kraftvärmeprod!$B$1:$BX$550,MATCH(P$2,Kraftvärmeprod!$B$1:$VX$1,0),FALSE)/1,0)-IFERROR(VLOOKUP($B175,'Slutlig allokering kvv'!$B$2:$BX$550,MATCH(P$2,'Slutlig allokering kvv'!$B$1:$BX$1,0),FALSE)/1,0))</f>
        <v/>
      </c>
      <c r="Q175" s="31" t="str">
        <f>IF($D175="","",IFERROR(VLOOKUP($B175,Kraftvärmeprod!$B$1:$BX$550,MATCH(Q$2,Kraftvärmeprod!$B$1:$VX$1,0),FALSE)/1,0)-IFERROR(VLOOKUP($B175,'Slutlig allokering kvv'!$B$2:$BX$550,MATCH(Q$2,'Slutlig allokering kvv'!$B$1:$BX$1,0),FALSE)/1,0))</f>
        <v/>
      </c>
      <c r="R175" s="31" t="str">
        <f>IF($D175="","",IFERROR(VLOOKUP($B175,Kraftvärmeprod!$B$1:$BX$550,MATCH(R$2,Kraftvärmeprod!$B$1:$VX$1,0),FALSE)/1,0)-IFERROR(VLOOKUP($B175,'Slutlig allokering kvv'!$B$2:$BX$550,MATCH(R$2,'Slutlig allokering kvv'!$B$1:$BX$1,0),FALSE)/1,0))</f>
        <v/>
      </c>
      <c r="S175" s="31" t="str">
        <f>IF($D175="","",IFERROR(VLOOKUP($B175,Kraftvärmeprod!$B$1:$BX$550,MATCH(S$2,Kraftvärmeprod!$B$1:$VX$1,0),FALSE)/1,0)-IFERROR(VLOOKUP($B175,'Slutlig allokering kvv'!$B$2:$BX$550,MATCH(S$2,'Slutlig allokering kvv'!$B$1:$BX$1,0),FALSE)/1,0))</f>
        <v/>
      </c>
      <c r="T175" s="31" t="str">
        <f>IF($D175="","",IFERROR(VLOOKUP($B175,Kraftvärmeprod!$B$1:$BX$550,MATCH(T$2,Kraftvärmeprod!$B$1:$VX$1,0),FALSE)/1,0)-IFERROR(VLOOKUP($B175,'Slutlig allokering kvv'!$B$2:$BX$550,MATCH(T$2,'Slutlig allokering kvv'!$B$1:$BX$1,0),FALSE)/1,0))</f>
        <v/>
      </c>
      <c r="U175" s="31" t="str">
        <f>IF($D175="","",IFERROR(VLOOKUP($B175,Kraftvärmeprod!$B$1:$BX$550,MATCH(U$2,Kraftvärmeprod!$B$1:$VX$1,0),FALSE)/1,0)-IFERROR(VLOOKUP($B175,'Slutlig allokering kvv'!$B$2:$BX$550,MATCH(U$2,'Slutlig allokering kvv'!$B$1:$BX$1,0),FALSE)/1,0))</f>
        <v/>
      </c>
      <c r="V175" s="31" t="str">
        <f>IF($D175="","",IFERROR(VLOOKUP($B175,Kraftvärmeprod!$B$1:$BX$550,MATCH(V$2,Kraftvärmeprod!$B$1:$VX$1,0),FALSE)/1,0)-IFERROR(VLOOKUP($B175,'Slutlig allokering kvv'!$B$2:$BX$550,MATCH(V$2,'Slutlig allokering kvv'!$B$1:$BX$1,0),FALSE)/1,0))</f>
        <v/>
      </c>
      <c r="W175" s="31" t="str">
        <f>IF($D175="","",IFERROR(VLOOKUP($B175,Kraftvärmeprod!$B$1:$BX$550,MATCH(W$2,Kraftvärmeprod!$B$1:$VX$1,0),FALSE)/1,0)-IFERROR(VLOOKUP($B175,'Slutlig allokering kvv'!$B$2:$BX$550,MATCH(W$2,'Slutlig allokering kvv'!$B$1:$BX$1,0),FALSE)/1,0))</f>
        <v/>
      </c>
      <c r="X175" s="31" t="str">
        <f>IF($D175="","",IFERROR(VLOOKUP($B175,Kraftvärmeprod!$B$1:$BX$550,MATCH(X$2,Kraftvärmeprod!$B$1:$VX$1,0),FALSE)/1,0)-IFERROR(VLOOKUP($B175,'Slutlig allokering kvv'!$B$2:$BX$550,MATCH(X$2,'Slutlig allokering kvv'!$B$1:$BX$1,0),FALSE)/1,0))</f>
        <v/>
      </c>
      <c r="Y175" s="31" t="str">
        <f>IF($D175="","",IFERROR(VLOOKUP($B175,Kraftvärmeprod!$B$1:$BX$550,MATCH(Y$2,Kraftvärmeprod!$B$1:$VX$1,0),FALSE)/1,0)-IFERROR(VLOOKUP($B175,'Slutlig allokering kvv'!$B$2:$BX$550,MATCH(Y$2,'Slutlig allokering kvv'!$B$1:$BX$1,0),FALSE)/1,0))</f>
        <v/>
      </c>
      <c r="Z175" s="31" t="str">
        <f>IF($D175="","",IFERROR(VLOOKUP($B175,Kraftvärmeprod!$B$1:$BX$550,MATCH(Z$2,Kraftvärmeprod!$B$1:$VX$1,0),FALSE)/1,0)-IFERROR(VLOOKUP($B175,'Slutlig allokering kvv'!$B$2:$BX$550,MATCH(Z$2,'Slutlig allokering kvv'!$B$1:$BX$1,0),FALSE)/1,0))</f>
        <v/>
      </c>
      <c r="AA175" s="31" t="str">
        <f>IF($D175="","",IFERROR(VLOOKUP($B175,Kraftvärmeprod!$B$1:$BX$550,MATCH(AA$2,Kraftvärmeprod!$B$1:$VX$1,0),FALSE)/1,0)-IFERROR(VLOOKUP($B175,'Slutlig allokering kvv'!$B$2:$BX$550,MATCH(AA$2,'Slutlig allokering kvv'!$B$1:$BX$1,0),FALSE)/1,0))</f>
        <v/>
      </c>
      <c r="AB175" s="31" t="str">
        <f>IF($D175="","",IFERROR(VLOOKUP($B175,Kraftvärmeprod!$B$1:$BX$550,MATCH(AB$2,Kraftvärmeprod!$B$1:$VX$1,0),FALSE)/1,0)-IFERROR(VLOOKUP($B175,'Slutlig allokering kvv'!$B$2:$BX$550,MATCH(AB$2,'Slutlig allokering kvv'!$B$1:$BX$1,0),FALSE)/1,0))</f>
        <v/>
      </c>
      <c r="AC175" s="31" t="str">
        <f>IF($D175="","",IFERROR(VLOOKUP($B175,Kraftvärmeprod!$B$1:$BX$550,MATCH(AC$2,Kraftvärmeprod!$B$1:$VX$1,0),FALSE)/1,0)-IFERROR(VLOOKUP($B175,'Slutlig allokering kvv'!$B$2:$BX$550,MATCH(AC$2,'Slutlig allokering kvv'!$B$1:$BX$1,0),FALSE)/1,0))</f>
        <v/>
      </c>
      <c r="AD175" s="31" t="str">
        <f>IF($D175="","",IFERROR(VLOOKUP($B175,Kraftvärmeprod!$B$1:$BX$550,MATCH(AD$2,Kraftvärmeprod!$B$1:$VX$1,0),FALSE)/1,0)-IFERROR(VLOOKUP($B175,'Slutlig allokering kvv'!$B$2:$BX$550,MATCH(AD$2,'Slutlig allokering kvv'!$B$1:$BX$1,0),FALSE)/1,0))</f>
        <v/>
      </c>
      <c r="AE175" s="31" t="str">
        <f>IF($D175="","",IFERROR(VLOOKUP($B175,Miljö!$B$1:$E$550,MATCH("Hjälpel kraftvärme (GWh)",Miljö!$B$1:$E$1,0),FALSE)/1,0)-IFERROR(VLOOKUP($B175,'Slutlig allokering kvv'!$B$2:$BX$549,MATCH(AE$2,'Slutlig allokering kvv'!$B$1:$BX$1,0),FALSE)/1,0))</f>
        <v/>
      </c>
      <c r="AI175" s="39">
        <f t="shared" si="8"/>
        <v>0</v>
      </c>
      <c r="AK175" s="31">
        <f>IFERROR(VLOOKUP($B175,'Slutlig allokering kvv'!$B$2:$AX$549,MATCH("Summa slutlig allokerad tillförd energi (utan hjälpel och rökgaskondensering):",'Slutlig allokering kvv'!$B$1:$AX$1,0),FALSE)/1,"")</f>
        <v>0</v>
      </c>
      <c r="AM175" s="31" t="str">
        <f>IFERROR(1-VLOOKUP($B175,'Slutlig allokering kvv'!$B$2:$AX$549,MATCH("Andel av bränsle i kvv som allokerats till värme, exklusive rökgaskondensering och hjälpel",'Slutlig allokering kvv'!$B$1:$AX$1,0),FALSE),"")</f>
        <v/>
      </c>
      <c r="AO175" s="31" t="str">
        <f t="shared" si="9"/>
        <v/>
      </c>
      <c r="AP175" s="31" t="str">
        <f t="shared" si="10"/>
        <v/>
      </c>
      <c r="AR175" s="32" t="str">
        <f t="shared" si="11"/>
        <v/>
      </c>
    </row>
    <row r="176" spans="1:44" s="31" customFormat="1" x14ac:dyDescent="0.45">
      <c r="A176" s="31" t="s">
        <v>418</v>
      </c>
      <c r="B176" s="31" t="s">
        <v>99</v>
      </c>
      <c r="C176" s="31" t="str">
        <f>IFERROR(VLOOKUP($B176,Kraftvärmeprod!$B$1:$AH$479,MATCH(C$2,Kraftvärmeprod!$B$1:$AG$1,0),FALSE)/1,"")</f>
        <v/>
      </c>
      <c r="D176" s="31" t="str">
        <f>IFERROR(VLOOKUP($B176,Kraftvärmeprod!$B$1:$AH$479,MATCH(D$2,Kraftvärmeprod!$B$1:$AG$1,0),FALSE)/1,"")</f>
        <v/>
      </c>
      <c r="F176" s="31" t="str">
        <f>IF($D176="","",IFERROR(VLOOKUP($B176,Kraftvärmeprod!$B$1:$BX$550,MATCH(F$2,Kraftvärmeprod!$B$1:$VX$1,0),FALSE)/1,0)-IFERROR(VLOOKUP($B176,'Slutlig allokering kvv'!$B$2:$BX$550,MATCH(F$2,'Slutlig allokering kvv'!$B$1:$BX$1,0),FALSE)/1,0))</f>
        <v/>
      </c>
      <c r="G176" s="31" t="str">
        <f>IF($D176="","",IFERROR(VLOOKUP($B176,Kraftvärmeprod!$B$1:$BX$550,MATCH(G$2,Kraftvärmeprod!$B$1:$VX$1,0),FALSE)/1,0)-IFERROR(VLOOKUP($B176,'Slutlig allokering kvv'!$B$2:$BX$550,MATCH(G$2,'Slutlig allokering kvv'!$B$1:$BX$1,0),FALSE)/1,0))</f>
        <v/>
      </c>
      <c r="H176" s="31" t="str">
        <f>IF($D176="","",IFERROR(VLOOKUP($B176,Kraftvärmeprod!$B$1:$BX$550,MATCH(H$2,Kraftvärmeprod!$B$1:$VX$1,0),FALSE)/1,0)-IFERROR(VLOOKUP($B176,'Slutlig allokering kvv'!$B$2:$BX$550,MATCH(H$2,'Slutlig allokering kvv'!$B$1:$BX$1,0),FALSE)/1,0))</f>
        <v/>
      </c>
      <c r="I176" s="31" t="str">
        <f>IF($D176="","",IFERROR(VLOOKUP($B176,Kraftvärmeprod!$B$1:$BX$550,MATCH(I$2,Kraftvärmeprod!$B$1:$VX$1,0),FALSE)/1,0)-IFERROR(VLOOKUP($B176,'Slutlig allokering kvv'!$B$2:$BX$550,MATCH(I$2,'Slutlig allokering kvv'!$B$1:$BX$1,0),FALSE)/1,0))</f>
        <v/>
      </c>
      <c r="J176" s="31" t="str">
        <f>IF($D176="","",IFERROR(VLOOKUP($B176,Kraftvärmeprod!$B$1:$BX$550,MATCH(J$2,Kraftvärmeprod!$B$1:$VX$1,0),FALSE)/1,0)-IFERROR(VLOOKUP($B176,'Slutlig allokering kvv'!$B$2:$BX$550,MATCH(J$2,'Slutlig allokering kvv'!$B$1:$BX$1,0),FALSE)/1,0))</f>
        <v/>
      </c>
      <c r="K176" s="31" t="str">
        <f>IF($D176="","",IFERROR(VLOOKUP($B176,Kraftvärmeprod!$B$1:$BX$550,MATCH(K$2,Kraftvärmeprod!$B$1:$VX$1,0),FALSE)/1,0)-IFERROR(VLOOKUP($B176,'Slutlig allokering kvv'!$B$2:$BX$550,MATCH(K$2,'Slutlig allokering kvv'!$B$1:$BX$1,0),FALSE)/1,0))</f>
        <v/>
      </c>
      <c r="L176" s="31" t="str">
        <f>IF($D176="","",IFERROR(VLOOKUP($B176,Kraftvärmeprod!$B$1:$BX$550,MATCH(L$2,Kraftvärmeprod!$B$1:$VX$1,0),FALSE)/1,0)-IFERROR(VLOOKUP($B176,'Slutlig allokering kvv'!$B$2:$BX$550,MATCH(L$2,'Slutlig allokering kvv'!$B$1:$BX$1,0),FALSE)/1,0))</f>
        <v/>
      </c>
      <c r="M176" s="31" t="str">
        <f>IF($D176="","",IFERROR(VLOOKUP($B176,Kraftvärmeprod!$B$1:$BX$550,MATCH(M$2,Kraftvärmeprod!$B$1:$VX$1,0),FALSE)/1,0)-IFERROR(VLOOKUP($B176,'Slutlig allokering kvv'!$B$2:$BX$550,MATCH(M$2,'Slutlig allokering kvv'!$B$1:$BX$1,0),FALSE)/1,0))</f>
        <v/>
      </c>
      <c r="N176" s="31" t="str">
        <f>IF($D176="","",IFERROR(VLOOKUP($B176,Kraftvärmeprod!$B$1:$BX$550,MATCH(N$2,Kraftvärmeprod!$B$1:$VX$1,0),FALSE)/1,0)-IFERROR(VLOOKUP($B176,'Slutlig allokering kvv'!$B$2:$BX$550,MATCH(N$2,'Slutlig allokering kvv'!$B$1:$BX$1,0),FALSE)/1,0))</f>
        <v/>
      </c>
      <c r="O176" s="31" t="str">
        <f>IF($D176="","",IFERROR(VLOOKUP($B176,Kraftvärmeprod!$B$1:$BX$550,MATCH(O$2,Kraftvärmeprod!$B$1:$VX$1,0),FALSE)/1,0)-IFERROR(VLOOKUP($B176,'Slutlig allokering kvv'!$B$2:$BX$550,MATCH(O$2,'Slutlig allokering kvv'!$B$1:$BX$1,0),FALSE)/1,0))</f>
        <v/>
      </c>
      <c r="P176" s="31" t="str">
        <f>IF($D176="","",IFERROR(VLOOKUP($B176,Kraftvärmeprod!$B$1:$BX$550,MATCH(P$2,Kraftvärmeprod!$B$1:$VX$1,0),FALSE)/1,0)-IFERROR(VLOOKUP($B176,'Slutlig allokering kvv'!$B$2:$BX$550,MATCH(P$2,'Slutlig allokering kvv'!$B$1:$BX$1,0),FALSE)/1,0))</f>
        <v/>
      </c>
      <c r="Q176" s="31" t="str">
        <f>IF($D176="","",IFERROR(VLOOKUP($B176,Kraftvärmeprod!$B$1:$BX$550,MATCH(Q$2,Kraftvärmeprod!$B$1:$VX$1,0),FALSE)/1,0)-IFERROR(VLOOKUP($B176,'Slutlig allokering kvv'!$B$2:$BX$550,MATCH(Q$2,'Slutlig allokering kvv'!$B$1:$BX$1,0),FALSE)/1,0))</f>
        <v/>
      </c>
      <c r="R176" s="31" t="str">
        <f>IF($D176="","",IFERROR(VLOOKUP($B176,Kraftvärmeprod!$B$1:$BX$550,MATCH(R$2,Kraftvärmeprod!$B$1:$VX$1,0),FALSE)/1,0)-IFERROR(VLOOKUP($B176,'Slutlig allokering kvv'!$B$2:$BX$550,MATCH(R$2,'Slutlig allokering kvv'!$B$1:$BX$1,0),FALSE)/1,0))</f>
        <v/>
      </c>
      <c r="S176" s="31" t="str">
        <f>IF($D176="","",IFERROR(VLOOKUP($B176,Kraftvärmeprod!$B$1:$BX$550,MATCH(S$2,Kraftvärmeprod!$B$1:$VX$1,0),FALSE)/1,0)-IFERROR(VLOOKUP($B176,'Slutlig allokering kvv'!$B$2:$BX$550,MATCH(S$2,'Slutlig allokering kvv'!$B$1:$BX$1,0),FALSE)/1,0))</f>
        <v/>
      </c>
      <c r="T176" s="31" t="str">
        <f>IF($D176="","",IFERROR(VLOOKUP($B176,Kraftvärmeprod!$B$1:$BX$550,MATCH(T$2,Kraftvärmeprod!$B$1:$VX$1,0),FALSE)/1,0)-IFERROR(VLOOKUP($B176,'Slutlig allokering kvv'!$B$2:$BX$550,MATCH(T$2,'Slutlig allokering kvv'!$B$1:$BX$1,0),FALSE)/1,0))</f>
        <v/>
      </c>
      <c r="U176" s="31" t="str">
        <f>IF($D176="","",IFERROR(VLOOKUP($B176,Kraftvärmeprod!$B$1:$BX$550,MATCH(U$2,Kraftvärmeprod!$B$1:$VX$1,0),FALSE)/1,0)-IFERROR(VLOOKUP($B176,'Slutlig allokering kvv'!$B$2:$BX$550,MATCH(U$2,'Slutlig allokering kvv'!$B$1:$BX$1,0),FALSE)/1,0))</f>
        <v/>
      </c>
      <c r="V176" s="31" t="str">
        <f>IF($D176="","",IFERROR(VLOOKUP($B176,Kraftvärmeprod!$B$1:$BX$550,MATCH(V$2,Kraftvärmeprod!$B$1:$VX$1,0),FALSE)/1,0)-IFERROR(VLOOKUP($B176,'Slutlig allokering kvv'!$B$2:$BX$550,MATCH(V$2,'Slutlig allokering kvv'!$B$1:$BX$1,0),FALSE)/1,0))</f>
        <v/>
      </c>
      <c r="W176" s="31" t="str">
        <f>IF($D176="","",IFERROR(VLOOKUP($B176,Kraftvärmeprod!$B$1:$BX$550,MATCH(W$2,Kraftvärmeprod!$B$1:$VX$1,0),FALSE)/1,0)-IFERROR(VLOOKUP($B176,'Slutlig allokering kvv'!$B$2:$BX$550,MATCH(W$2,'Slutlig allokering kvv'!$B$1:$BX$1,0),FALSE)/1,0))</f>
        <v/>
      </c>
      <c r="X176" s="31" t="str">
        <f>IF($D176="","",IFERROR(VLOOKUP($B176,Kraftvärmeprod!$B$1:$BX$550,MATCH(X$2,Kraftvärmeprod!$B$1:$VX$1,0),FALSE)/1,0)-IFERROR(VLOOKUP($B176,'Slutlig allokering kvv'!$B$2:$BX$550,MATCH(X$2,'Slutlig allokering kvv'!$B$1:$BX$1,0),FALSE)/1,0))</f>
        <v/>
      </c>
      <c r="Y176" s="31" t="str">
        <f>IF($D176="","",IFERROR(VLOOKUP($B176,Kraftvärmeprod!$B$1:$BX$550,MATCH(Y$2,Kraftvärmeprod!$B$1:$VX$1,0),FALSE)/1,0)-IFERROR(VLOOKUP($B176,'Slutlig allokering kvv'!$B$2:$BX$550,MATCH(Y$2,'Slutlig allokering kvv'!$B$1:$BX$1,0),FALSE)/1,0))</f>
        <v/>
      </c>
      <c r="Z176" s="31" t="str">
        <f>IF($D176="","",IFERROR(VLOOKUP($B176,Kraftvärmeprod!$B$1:$BX$550,MATCH(Z$2,Kraftvärmeprod!$B$1:$VX$1,0),FALSE)/1,0)-IFERROR(VLOOKUP($B176,'Slutlig allokering kvv'!$B$2:$BX$550,MATCH(Z$2,'Slutlig allokering kvv'!$B$1:$BX$1,0),FALSE)/1,0))</f>
        <v/>
      </c>
      <c r="AA176" s="31" t="str">
        <f>IF($D176="","",IFERROR(VLOOKUP($B176,Kraftvärmeprod!$B$1:$BX$550,MATCH(AA$2,Kraftvärmeprod!$B$1:$VX$1,0),FALSE)/1,0)-IFERROR(VLOOKUP($B176,'Slutlig allokering kvv'!$B$2:$BX$550,MATCH(AA$2,'Slutlig allokering kvv'!$B$1:$BX$1,0),FALSE)/1,0))</f>
        <v/>
      </c>
      <c r="AB176" s="31" t="str">
        <f>IF($D176="","",IFERROR(VLOOKUP($B176,Kraftvärmeprod!$B$1:$BX$550,MATCH(AB$2,Kraftvärmeprod!$B$1:$VX$1,0),FALSE)/1,0)-IFERROR(VLOOKUP($B176,'Slutlig allokering kvv'!$B$2:$BX$550,MATCH(AB$2,'Slutlig allokering kvv'!$B$1:$BX$1,0),FALSE)/1,0))</f>
        <v/>
      </c>
      <c r="AC176" s="31" t="str">
        <f>IF($D176="","",IFERROR(VLOOKUP($B176,Kraftvärmeprod!$B$1:$BX$550,MATCH(AC$2,Kraftvärmeprod!$B$1:$VX$1,0),FALSE)/1,0)-IFERROR(VLOOKUP($B176,'Slutlig allokering kvv'!$B$2:$BX$550,MATCH(AC$2,'Slutlig allokering kvv'!$B$1:$BX$1,0),FALSE)/1,0))</f>
        <v/>
      </c>
      <c r="AD176" s="31" t="str">
        <f>IF($D176="","",IFERROR(VLOOKUP($B176,Kraftvärmeprod!$B$1:$BX$550,MATCH(AD$2,Kraftvärmeprod!$B$1:$VX$1,0),FALSE)/1,0)-IFERROR(VLOOKUP($B176,'Slutlig allokering kvv'!$B$2:$BX$550,MATCH(AD$2,'Slutlig allokering kvv'!$B$1:$BX$1,0),FALSE)/1,0))</f>
        <v/>
      </c>
      <c r="AE176" s="31" t="str">
        <f>IF($D176="","",IFERROR(VLOOKUP($B176,Miljö!$B$1:$E$550,MATCH("Hjälpel kraftvärme (GWh)",Miljö!$B$1:$E$1,0),FALSE)/1,0)-IFERROR(VLOOKUP($B176,'Slutlig allokering kvv'!$B$2:$BX$549,MATCH(AE$2,'Slutlig allokering kvv'!$B$1:$BX$1,0),FALSE)/1,0))</f>
        <v/>
      </c>
      <c r="AI176" s="39">
        <f t="shared" si="8"/>
        <v>0</v>
      </c>
      <c r="AK176" s="31">
        <f>IFERROR(VLOOKUP($B176,'Slutlig allokering kvv'!$B$2:$AX$549,MATCH("Summa slutlig allokerad tillförd energi (utan hjälpel och rökgaskondensering):",'Slutlig allokering kvv'!$B$1:$AX$1,0),FALSE)/1,"")</f>
        <v>0</v>
      </c>
      <c r="AM176" s="31" t="str">
        <f>IFERROR(1-VLOOKUP($B176,'Slutlig allokering kvv'!$B$2:$AX$549,MATCH("Andel av bränsle i kvv som allokerats till värme, exklusive rökgaskondensering och hjälpel",'Slutlig allokering kvv'!$B$1:$AX$1,0),FALSE),"")</f>
        <v/>
      </c>
      <c r="AO176" s="31" t="str">
        <f t="shared" si="9"/>
        <v/>
      </c>
      <c r="AP176" s="31" t="str">
        <f t="shared" si="10"/>
        <v/>
      </c>
      <c r="AR176" s="32" t="str">
        <f t="shared" si="11"/>
        <v/>
      </c>
    </row>
    <row r="177" spans="1:44" s="31" customFormat="1" x14ac:dyDescent="0.45">
      <c r="A177" s="31" t="s">
        <v>418</v>
      </c>
      <c r="B177" s="31" t="s">
        <v>101</v>
      </c>
      <c r="C177" s="31" t="str">
        <f>IFERROR(VLOOKUP($B177,Kraftvärmeprod!$B$1:$AH$479,MATCH(C$2,Kraftvärmeprod!$B$1:$AG$1,0),FALSE)/1,"")</f>
        <v/>
      </c>
      <c r="D177" s="31" t="str">
        <f>IFERROR(VLOOKUP($B177,Kraftvärmeprod!$B$1:$AH$479,MATCH(D$2,Kraftvärmeprod!$B$1:$AG$1,0),FALSE)/1,"")</f>
        <v/>
      </c>
      <c r="F177" s="31" t="str">
        <f>IF($D177="","",IFERROR(VLOOKUP($B177,Kraftvärmeprod!$B$1:$BX$550,MATCH(F$2,Kraftvärmeprod!$B$1:$VX$1,0),FALSE)/1,0)-IFERROR(VLOOKUP($B177,'Slutlig allokering kvv'!$B$2:$BX$550,MATCH(F$2,'Slutlig allokering kvv'!$B$1:$BX$1,0),FALSE)/1,0))</f>
        <v/>
      </c>
      <c r="G177" s="31" t="str">
        <f>IF($D177="","",IFERROR(VLOOKUP($B177,Kraftvärmeprod!$B$1:$BX$550,MATCH(G$2,Kraftvärmeprod!$B$1:$VX$1,0),FALSE)/1,0)-IFERROR(VLOOKUP($B177,'Slutlig allokering kvv'!$B$2:$BX$550,MATCH(G$2,'Slutlig allokering kvv'!$B$1:$BX$1,0),FALSE)/1,0))</f>
        <v/>
      </c>
      <c r="H177" s="31" t="str">
        <f>IF($D177="","",IFERROR(VLOOKUP($B177,Kraftvärmeprod!$B$1:$BX$550,MATCH(H$2,Kraftvärmeprod!$B$1:$VX$1,0),FALSE)/1,0)-IFERROR(VLOOKUP($B177,'Slutlig allokering kvv'!$B$2:$BX$550,MATCH(H$2,'Slutlig allokering kvv'!$B$1:$BX$1,0),FALSE)/1,0))</f>
        <v/>
      </c>
      <c r="I177" s="31" t="str">
        <f>IF($D177="","",IFERROR(VLOOKUP($B177,Kraftvärmeprod!$B$1:$BX$550,MATCH(I$2,Kraftvärmeprod!$B$1:$VX$1,0),FALSE)/1,0)-IFERROR(VLOOKUP($B177,'Slutlig allokering kvv'!$B$2:$BX$550,MATCH(I$2,'Slutlig allokering kvv'!$B$1:$BX$1,0),FALSE)/1,0))</f>
        <v/>
      </c>
      <c r="J177" s="31" t="str">
        <f>IF($D177="","",IFERROR(VLOOKUP($B177,Kraftvärmeprod!$B$1:$BX$550,MATCH(J$2,Kraftvärmeprod!$B$1:$VX$1,0),FALSE)/1,0)-IFERROR(VLOOKUP($B177,'Slutlig allokering kvv'!$B$2:$BX$550,MATCH(J$2,'Slutlig allokering kvv'!$B$1:$BX$1,0),FALSE)/1,0))</f>
        <v/>
      </c>
      <c r="K177" s="31" t="str">
        <f>IF($D177="","",IFERROR(VLOOKUP($B177,Kraftvärmeprod!$B$1:$BX$550,MATCH(K$2,Kraftvärmeprod!$B$1:$VX$1,0),FALSE)/1,0)-IFERROR(VLOOKUP($B177,'Slutlig allokering kvv'!$B$2:$BX$550,MATCH(K$2,'Slutlig allokering kvv'!$B$1:$BX$1,0),FALSE)/1,0))</f>
        <v/>
      </c>
      <c r="L177" s="31" t="str">
        <f>IF($D177="","",IFERROR(VLOOKUP($B177,Kraftvärmeprod!$B$1:$BX$550,MATCH(L$2,Kraftvärmeprod!$B$1:$VX$1,0),FALSE)/1,0)-IFERROR(VLOOKUP($B177,'Slutlig allokering kvv'!$B$2:$BX$550,MATCH(L$2,'Slutlig allokering kvv'!$B$1:$BX$1,0),FALSE)/1,0))</f>
        <v/>
      </c>
      <c r="M177" s="31" t="str">
        <f>IF($D177="","",IFERROR(VLOOKUP($B177,Kraftvärmeprod!$B$1:$BX$550,MATCH(M$2,Kraftvärmeprod!$B$1:$VX$1,0),FALSE)/1,0)-IFERROR(VLOOKUP($B177,'Slutlig allokering kvv'!$B$2:$BX$550,MATCH(M$2,'Slutlig allokering kvv'!$B$1:$BX$1,0),FALSE)/1,0))</f>
        <v/>
      </c>
      <c r="N177" s="31" t="str">
        <f>IF($D177="","",IFERROR(VLOOKUP($B177,Kraftvärmeprod!$B$1:$BX$550,MATCH(N$2,Kraftvärmeprod!$B$1:$VX$1,0),FALSE)/1,0)-IFERROR(VLOOKUP($B177,'Slutlig allokering kvv'!$B$2:$BX$550,MATCH(N$2,'Slutlig allokering kvv'!$B$1:$BX$1,0),FALSE)/1,0))</f>
        <v/>
      </c>
      <c r="O177" s="31" t="str">
        <f>IF($D177="","",IFERROR(VLOOKUP($B177,Kraftvärmeprod!$B$1:$BX$550,MATCH(O$2,Kraftvärmeprod!$B$1:$VX$1,0),FALSE)/1,0)-IFERROR(VLOOKUP($B177,'Slutlig allokering kvv'!$B$2:$BX$550,MATCH(O$2,'Slutlig allokering kvv'!$B$1:$BX$1,0),FALSE)/1,0))</f>
        <v/>
      </c>
      <c r="P177" s="31" t="str">
        <f>IF($D177="","",IFERROR(VLOOKUP($B177,Kraftvärmeprod!$B$1:$BX$550,MATCH(P$2,Kraftvärmeprod!$B$1:$VX$1,0),FALSE)/1,0)-IFERROR(VLOOKUP($B177,'Slutlig allokering kvv'!$B$2:$BX$550,MATCH(P$2,'Slutlig allokering kvv'!$B$1:$BX$1,0),FALSE)/1,0))</f>
        <v/>
      </c>
      <c r="Q177" s="31" t="str">
        <f>IF($D177="","",IFERROR(VLOOKUP($B177,Kraftvärmeprod!$B$1:$BX$550,MATCH(Q$2,Kraftvärmeprod!$B$1:$VX$1,0),FALSE)/1,0)-IFERROR(VLOOKUP($B177,'Slutlig allokering kvv'!$B$2:$BX$550,MATCH(Q$2,'Slutlig allokering kvv'!$B$1:$BX$1,0),FALSE)/1,0))</f>
        <v/>
      </c>
      <c r="R177" s="31" t="str">
        <f>IF($D177="","",IFERROR(VLOOKUP($B177,Kraftvärmeprod!$B$1:$BX$550,MATCH(R$2,Kraftvärmeprod!$B$1:$VX$1,0),FALSE)/1,0)-IFERROR(VLOOKUP($B177,'Slutlig allokering kvv'!$B$2:$BX$550,MATCH(R$2,'Slutlig allokering kvv'!$B$1:$BX$1,0),FALSE)/1,0))</f>
        <v/>
      </c>
      <c r="S177" s="31" t="str">
        <f>IF($D177="","",IFERROR(VLOOKUP($B177,Kraftvärmeprod!$B$1:$BX$550,MATCH(S$2,Kraftvärmeprod!$B$1:$VX$1,0),FALSE)/1,0)-IFERROR(VLOOKUP($B177,'Slutlig allokering kvv'!$B$2:$BX$550,MATCH(S$2,'Slutlig allokering kvv'!$B$1:$BX$1,0),FALSE)/1,0))</f>
        <v/>
      </c>
      <c r="T177" s="31" t="str">
        <f>IF($D177="","",IFERROR(VLOOKUP($B177,Kraftvärmeprod!$B$1:$BX$550,MATCH(T$2,Kraftvärmeprod!$B$1:$VX$1,0),FALSE)/1,0)-IFERROR(VLOOKUP($B177,'Slutlig allokering kvv'!$B$2:$BX$550,MATCH(T$2,'Slutlig allokering kvv'!$B$1:$BX$1,0),FALSE)/1,0))</f>
        <v/>
      </c>
      <c r="U177" s="31" t="str">
        <f>IF($D177="","",IFERROR(VLOOKUP($B177,Kraftvärmeprod!$B$1:$BX$550,MATCH(U$2,Kraftvärmeprod!$B$1:$VX$1,0),FALSE)/1,0)-IFERROR(VLOOKUP($B177,'Slutlig allokering kvv'!$B$2:$BX$550,MATCH(U$2,'Slutlig allokering kvv'!$B$1:$BX$1,0),FALSE)/1,0))</f>
        <v/>
      </c>
      <c r="V177" s="31" t="str">
        <f>IF($D177="","",IFERROR(VLOOKUP($B177,Kraftvärmeprod!$B$1:$BX$550,MATCH(V$2,Kraftvärmeprod!$B$1:$VX$1,0),FALSE)/1,0)-IFERROR(VLOOKUP($B177,'Slutlig allokering kvv'!$B$2:$BX$550,MATCH(V$2,'Slutlig allokering kvv'!$B$1:$BX$1,0),FALSE)/1,0))</f>
        <v/>
      </c>
      <c r="W177" s="31" t="str">
        <f>IF($D177="","",IFERROR(VLOOKUP($B177,Kraftvärmeprod!$B$1:$BX$550,MATCH(W$2,Kraftvärmeprod!$B$1:$VX$1,0),FALSE)/1,0)-IFERROR(VLOOKUP($B177,'Slutlig allokering kvv'!$B$2:$BX$550,MATCH(W$2,'Slutlig allokering kvv'!$B$1:$BX$1,0),FALSE)/1,0))</f>
        <v/>
      </c>
      <c r="X177" s="31" t="str">
        <f>IF($D177="","",IFERROR(VLOOKUP($B177,Kraftvärmeprod!$B$1:$BX$550,MATCH(X$2,Kraftvärmeprod!$B$1:$VX$1,0),FALSE)/1,0)-IFERROR(VLOOKUP($B177,'Slutlig allokering kvv'!$B$2:$BX$550,MATCH(X$2,'Slutlig allokering kvv'!$B$1:$BX$1,0),FALSE)/1,0))</f>
        <v/>
      </c>
      <c r="Y177" s="31" t="str">
        <f>IF($D177="","",IFERROR(VLOOKUP($B177,Kraftvärmeprod!$B$1:$BX$550,MATCH(Y$2,Kraftvärmeprod!$B$1:$VX$1,0),FALSE)/1,0)-IFERROR(VLOOKUP($B177,'Slutlig allokering kvv'!$B$2:$BX$550,MATCH(Y$2,'Slutlig allokering kvv'!$B$1:$BX$1,0),FALSE)/1,0))</f>
        <v/>
      </c>
      <c r="Z177" s="31" t="str">
        <f>IF($D177="","",IFERROR(VLOOKUP($B177,Kraftvärmeprod!$B$1:$BX$550,MATCH(Z$2,Kraftvärmeprod!$B$1:$VX$1,0),FALSE)/1,0)-IFERROR(VLOOKUP($B177,'Slutlig allokering kvv'!$B$2:$BX$550,MATCH(Z$2,'Slutlig allokering kvv'!$B$1:$BX$1,0),FALSE)/1,0))</f>
        <v/>
      </c>
      <c r="AA177" s="31" t="str">
        <f>IF($D177="","",IFERROR(VLOOKUP($B177,Kraftvärmeprod!$B$1:$BX$550,MATCH(AA$2,Kraftvärmeprod!$B$1:$VX$1,0),FALSE)/1,0)-IFERROR(VLOOKUP($B177,'Slutlig allokering kvv'!$B$2:$BX$550,MATCH(AA$2,'Slutlig allokering kvv'!$B$1:$BX$1,0),FALSE)/1,0))</f>
        <v/>
      </c>
      <c r="AB177" s="31" t="str">
        <f>IF($D177="","",IFERROR(VLOOKUP($B177,Kraftvärmeprod!$B$1:$BX$550,MATCH(AB$2,Kraftvärmeprod!$B$1:$VX$1,0),FALSE)/1,0)-IFERROR(VLOOKUP($B177,'Slutlig allokering kvv'!$B$2:$BX$550,MATCH(AB$2,'Slutlig allokering kvv'!$B$1:$BX$1,0),FALSE)/1,0))</f>
        <v/>
      </c>
      <c r="AC177" s="31" t="str">
        <f>IF($D177="","",IFERROR(VLOOKUP($B177,Kraftvärmeprod!$B$1:$BX$550,MATCH(AC$2,Kraftvärmeprod!$B$1:$VX$1,0),FALSE)/1,0)-IFERROR(VLOOKUP($B177,'Slutlig allokering kvv'!$B$2:$BX$550,MATCH(AC$2,'Slutlig allokering kvv'!$B$1:$BX$1,0),FALSE)/1,0))</f>
        <v/>
      </c>
      <c r="AD177" s="31" t="str">
        <f>IF($D177="","",IFERROR(VLOOKUP($B177,Kraftvärmeprod!$B$1:$BX$550,MATCH(AD$2,Kraftvärmeprod!$B$1:$VX$1,0),FALSE)/1,0)-IFERROR(VLOOKUP($B177,'Slutlig allokering kvv'!$B$2:$BX$550,MATCH(AD$2,'Slutlig allokering kvv'!$B$1:$BX$1,0),FALSE)/1,0))</f>
        <v/>
      </c>
      <c r="AE177" s="31" t="str">
        <f>IF($D177="","",IFERROR(VLOOKUP($B177,Miljö!$B$1:$E$550,MATCH("Hjälpel kraftvärme (GWh)",Miljö!$B$1:$E$1,0),FALSE)/1,0)-IFERROR(VLOOKUP($B177,'Slutlig allokering kvv'!$B$2:$BX$549,MATCH(AE$2,'Slutlig allokering kvv'!$B$1:$BX$1,0),FALSE)/1,0))</f>
        <v/>
      </c>
      <c r="AI177" s="39">
        <f t="shared" si="8"/>
        <v>0</v>
      </c>
      <c r="AK177" s="31">
        <f>IFERROR(VLOOKUP($B177,'Slutlig allokering kvv'!$B$2:$AX$549,MATCH("Summa slutlig allokerad tillförd energi (utan hjälpel och rökgaskondensering):",'Slutlig allokering kvv'!$B$1:$AX$1,0),FALSE)/1,"")</f>
        <v>0</v>
      </c>
      <c r="AM177" s="31" t="str">
        <f>IFERROR(1-VLOOKUP($B177,'Slutlig allokering kvv'!$B$2:$AX$549,MATCH("Andel av bränsle i kvv som allokerats till värme, exklusive rökgaskondensering och hjälpel",'Slutlig allokering kvv'!$B$1:$AX$1,0),FALSE),"")</f>
        <v/>
      </c>
      <c r="AO177" s="31" t="str">
        <f t="shared" si="9"/>
        <v/>
      </c>
      <c r="AP177" s="31" t="str">
        <f t="shared" si="10"/>
        <v/>
      </c>
      <c r="AR177" s="32" t="str">
        <f t="shared" si="11"/>
        <v/>
      </c>
    </row>
    <row r="178" spans="1:44" s="31" customFormat="1" x14ac:dyDescent="0.45">
      <c r="A178" s="31" t="s">
        <v>418</v>
      </c>
      <c r="B178" s="31" t="s">
        <v>103</v>
      </c>
      <c r="C178" s="31" t="str">
        <f>IFERROR(VLOOKUP($B178,Kraftvärmeprod!$B$1:$AH$479,MATCH(C$2,Kraftvärmeprod!$B$1:$AG$1,0),FALSE)/1,"")</f>
        <v/>
      </c>
      <c r="D178" s="31" t="str">
        <f>IFERROR(VLOOKUP($B178,Kraftvärmeprod!$B$1:$AH$479,MATCH(D$2,Kraftvärmeprod!$B$1:$AG$1,0),FALSE)/1,"")</f>
        <v/>
      </c>
      <c r="F178" s="31" t="str">
        <f>IF($D178="","",IFERROR(VLOOKUP($B178,Kraftvärmeprod!$B$1:$BX$550,MATCH(F$2,Kraftvärmeprod!$B$1:$VX$1,0),FALSE)/1,0)-IFERROR(VLOOKUP($B178,'Slutlig allokering kvv'!$B$2:$BX$550,MATCH(F$2,'Slutlig allokering kvv'!$B$1:$BX$1,0),FALSE)/1,0))</f>
        <v/>
      </c>
      <c r="G178" s="31" t="str">
        <f>IF($D178="","",IFERROR(VLOOKUP($B178,Kraftvärmeprod!$B$1:$BX$550,MATCH(G$2,Kraftvärmeprod!$B$1:$VX$1,0),FALSE)/1,0)-IFERROR(VLOOKUP($B178,'Slutlig allokering kvv'!$B$2:$BX$550,MATCH(G$2,'Slutlig allokering kvv'!$B$1:$BX$1,0),FALSE)/1,0))</f>
        <v/>
      </c>
      <c r="H178" s="31" t="str">
        <f>IF($D178="","",IFERROR(VLOOKUP($B178,Kraftvärmeprod!$B$1:$BX$550,MATCH(H$2,Kraftvärmeprod!$B$1:$VX$1,0),FALSE)/1,0)-IFERROR(VLOOKUP($B178,'Slutlig allokering kvv'!$B$2:$BX$550,MATCH(H$2,'Slutlig allokering kvv'!$B$1:$BX$1,0),FALSE)/1,0))</f>
        <v/>
      </c>
      <c r="I178" s="31" t="str">
        <f>IF($D178="","",IFERROR(VLOOKUP($B178,Kraftvärmeprod!$B$1:$BX$550,MATCH(I$2,Kraftvärmeprod!$B$1:$VX$1,0),FALSE)/1,0)-IFERROR(VLOOKUP($B178,'Slutlig allokering kvv'!$B$2:$BX$550,MATCH(I$2,'Slutlig allokering kvv'!$B$1:$BX$1,0),FALSE)/1,0))</f>
        <v/>
      </c>
      <c r="J178" s="31" t="str">
        <f>IF($D178="","",IFERROR(VLOOKUP($B178,Kraftvärmeprod!$B$1:$BX$550,MATCH(J$2,Kraftvärmeprod!$B$1:$VX$1,0),FALSE)/1,0)-IFERROR(VLOOKUP($B178,'Slutlig allokering kvv'!$B$2:$BX$550,MATCH(J$2,'Slutlig allokering kvv'!$B$1:$BX$1,0),FALSE)/1,0))</f>
        <v/>
      </c>
      <c r="K178" s="31" t="str">
        <f>IF($D178="","",IFERROR(VLOOKUP($B178,Kraftvärmeprod!$B$1:$BX$550,MATCH(K$2,Kraftvärmeprod!$B$1:$VX$1,0),FALSE)/1,0)-IFERROR(VLOOKUP($B178,'Slutlig allokering kvv'!$B$2:$BX$550,MATCH(K$2,'Slutlig allokering kvv'!$B$1:$BX$1,0),FALSE)/1,0))</f>
        <v/>
      </c>
      <c r="L178" s="31" t="str">
        <f>IF($D178="","",IFERROR(VLOOKUP($B178,Kraftvärmeprod!$B$1:$BX$550,MATCH(L$2,Kraftvärmeprod!$B$1:$VX$1,0),FALSE)/1,0)-IFERROR(VLOOKUP($B178,'Slutlig allokering kvv'!$B$2:$BX$550,MATCH(L$2,'Slutlig allokering kvv'!$B$1:$BX$1,0),FALSE)/1,0))</f>
        <v/>
      </c>
      <c r="M178" s="31" t="str">
        <f>IF($D178="","",IFERROR(VLOOKUP($B178,Kraftvärmeprod!$B$1:$BX$550,MATCH(M$2,Kraftvärmeprod!$B$1:$VX$1,0),FALSE)/1,0)-IFERROR(VLOOKUP($B178,'Slutlig allokering kvv'!$B$2:$BX$550,MATCH(M$2,'Slutlig allokering kvv'!$B$1:$BX$1,0),FALSE)/1,0))</f>
        <v/>
      </c>
      <c r="N178" s="31" t="str">
        <f>IF($D178="","",IFERROR(VLOOKUP($B178,Kraftvärmeprod!$B$1:$BX$550,MATCH(N$2,Kraftvärmeprod!$B$1:$VX$1,0),FALSE)/1,0)-IFERROR(VLOOKUP($B178,'Slutlig allokering kvv'!$B$2:$BX$550,MATCH(N$2,'Slutlig allokering kvv'!$B$1:$BX$1,0),FALSE)/1,0))</f>
        <v/>
      </c>
      <c r="O178" s="31" t="str">
        <f>IF($D178="","",IFERROR(VLOOKUP($B178,Kraftvärmeprod!$B$1:$BX$550,MATCH(O$2,Kraftvärmeprod!$B$1:$VX$1,0),FALSE)/1,0)-IFERROR(VLOOKUP($B178,'Slutlig allokering kvv'!$B$2:$BX$550,MATCH(O$2,'Slutlig allokering kvv'!$B$1:$BX$1,0),FALSE)/1,0))</f>
        <v/>
      </c>
      <c r="P178" s="31" t="str">
        <f>IF($D178="","",IFERROR(VLOOKUP($B178,Kraftvärmeprod!$B$1:$BX$550,MATCH(P$2,Kraftvärmeprod!$B$1:$VX$1,0),FALSE)/1,0)-IFERROR(VLOOKUP($B178,'Slutlig allokering kvv'!$B$2:$BX$550,MATCH(P$2,'Slutlig allokering kvv'!$B$1:$BX$1,0),FALSE)/1,0))</f>
        <v/>
      </c>
      <c r="Q178" s="31" t="str">
        <f>IF($D178="","",IFERROR(VLOOKUP($B178,Kraftvärmeprod!$B$1:$BX$550,MATCH(Q$2,Kraftvärmeprod!$B$1:$VX$1,0),FALSE)/1,0)-IFERROR(VLOOKUP($B178,'Slutlig allokering kvv'!$B$2:$BX$550,MATCH(Q$2,'Slutlig allokering kvv'!$B$1:$BX$1,0),FALSE)/1,0))</f>
        <v/>
      </c>
      <c r="R178" s="31" t="str">
        <f>IF($D178="","",IFERROR(VLOOKUP($B178,Kraftvärmeprod!$B$1:$BX$550,MATCH(R$2,Kraftvärmeprod!$B$1:$VX$1,0),FALSE)/1,0)-IFERROR(VLOOKUP($B178,'Slutlig allokering kvv'!$B$2:$BX$550,MATCH(R$2,'Slutlig allokering kvv'!$B$1:$BX$1,0),FALSE)/1,0))</f>
        <v/>
      </c>
      <c r="S178" s="31" t="str">
        <f>IF($D178="","",IFERROR(VLOOKUP($B178,Kraftvärmeprod!$B$1:$BX$550,MATCH(S$2,Kraftvärmeprod!$B$1:$VX$1,0),FALSE)/1,0)-IFERROR(VLOOKUP($B178,'Slutlig allokering kvv'!$B$2:$BX$550,MATCH(S$2,'Slutlig allokering kvv'!$B$1:$BX$1,0),FALSE)/1,0))</f>
        <v/>
      </c>
      <c r="T178" s="31" t="str">
        <f>IF($D178="","",IFERROR(VLOOKUP($B178,Kraftvärmeprod!$B$1:$BX$550,MATCH(T$2,Kraftvärmeprod!$B$1:$VX$1,0),FALSE)/1,0)-IFERROR(VLOOKUP($B178,'Slutlig allokering kvv'!$B$2:$BX$550,MATCH(T$2,'Slutlig allokering kvv'!$B$1:$BX$1,0),FALSE)/1,0))</f>
        <v/>
      </c>
      <c r="U178" s="31" t="str">
        <f>IF($D178="","",IFERROR(VLOOKUP($B178,Kraftvärmeprod!$B$1:$BX$550,MATCH(U$2,Kraftvärmeprod!$B$1:$VX$1,0),FALSE)/1,0)-IFERROR(VLOOKUP($B178,'Slutlig allokering kvv'!$B$2:$BX$550,MATCH(U$2,'Slutlig allokering kvv'!$B$1:$BX$1,0),FALSE)/1,0))</f>
        <v/>
      </c>
      <c r="V178" s="31" t="str">
        <f>IF($D178="","",IFERROR(VLOOKUP($B178,Kraftvärmeprod!$B$1:$BX$550,MATCH(V$2,Kraftvärmeprod!$B$1:$VX$1,0),FALSE)/1,0)-IFERROR(VLOOKUP($B178,'Slutlig allokering kvv'!$B$2:$BX$550,MATCH(V$2,'Slutlig allokering kvv'!$B$1:$BX$1,0),FALSE)/1,0))</f>
        <v/>
      </c>
      <c r="W178" s="31" t="str">
        <f>IF($D178="","",IFERROR(VLOOKUP($B178,Kraftvärmeprod!$B$1:$BX$550,MATCH(W$2,Kraftvärmeprod!$B$1:$VX$1,0),FALSE)/1,0)-IFERROR(VLOOKUP($B178,'Slutlig allokering kvv'!$B$2:$BX$550,MATCH(W$2,'Slutlig allokering kvv'!$B$1:$BX$1,0),FALSE)/1,0))</f>
        <v/>
      </c>
      <c r="X178" s="31" t="str">
        <f>IF($D178="","",IFERROR(VLOOKUP($B178,Kraftvärmeprod!$B$1:$BX$550,MATCH(X$2,Kraftvärmeprod!$B$1:$VX$1,0),FALSE)/1,0)-IFERROR(VLOOKUP($B178,'Slutlig allokering kvv'!$B$2:$BX$550,MATCH(X$2,'Slutlig allokering kvv'!$B$1:$BX$1,0),FALSE)/1,0))</f>
        <v/>
      </c>
      <c r="Y178" s="31" t="str">
        <f>IF($D178="","",IFERROR(VLOOKUP($B178,Kraftvärmeprod!$B$1:$BX$550,MATCH(Y$2,Kraftvärmeprod!$B$1:$VX$1,0),FALSE)/1,0)-IFERROR(VLOOKUP($B178,'Slutlig allokering kvv'!$B$2:$BX$550,MATCH(Y$2,'Slutlig allokering kvv'!$B$1:$BX$1,0),FALSE)/1,0))</f>
        <v/>
      </c>
      <c r="Z178" s="31" t="str">
        <f>IF($D178="","",IFERROR(VLOOKUP($B178,Kraftvärmeprod!$B$1:$BX$550,MATCH(Z$2,Kraftvärmeprod!$B$1:$VX$1,0),FALSE)/1,0)-IFERROR(VLOOKUP($B178,'Slutlig allokering kvv'!$B$2:$BX$550,MATCH(Z$2,'Slutlig allokering kvv'!$B$1:$BX$1,0),FALSE)/1,0))</f>
        <v/>
      </c>
      <c r="AA178" s="31" t="str">
        <f>IF($D178="","",IFERROR(VLOOKUP($B178,Kraftvärmeprod!$B$1:$BX$550,MATCH(AA$2,Kraftvärmeprod!$B$1:$VX$1,0),FALSE)/1,0)-IFERROR(VLOOKUP($B178,'Slutlig allokering kvv'!$B$2:$BX$550,MATCH(AA$2,'Slutlig allokering kvv'!$B$1:$BX$1,0),FALSE)/1,0))</f>
        <v/>
      </c>
      <c r="AB178" s="31" t="str">
        <f>IF($D178="","",IFERROR(VLOOKUP($B178,Kraftvärmeprod!$B$1:$BX$550,MATCH(AB$2,Kraftvärmeprod!$B$1:$VX$1,0),FALSE)/1,0)-IFERROR(VLOOKUP($B178,'Slutlig allokering kvv'!$B$2:$BX$550,MATCH(AB$2,'Slutlig allokering kvv'!$B$1:$BX$1,0),FALSE)/1,0))</f>
        <v/>
      </c>
      <c r="AC178" s="31" t="str">
        <f>IF($D178="","",IFERROR(VLOOKUP($B178,Kraftvärmeprod!$B$1:$BX$550,MATCH(AC$2,Kraftvärmeprod!$B$1:$VX$1,0),FALSE)/1,0)-IFERROR(VLOOKUP($B178,'Slutlig allokering kvv'!$B$2:$BX$550,MATCH(AC$2,'Slutlig allokering kvv'!$B$1:$BX$1,0),FALSE)/1,0))</f>
        <v/>
      </c>
      <c r="AD178" s="31" t="str">
        <f>IF($D178="","",IFERROR(VLOOKUP($B178,Kraftvärmeprod!$B$1:$BX$550,MATCH(AD$2,Kraftvärmeprod!$B$1:$VX$1,0),FALSE)/1,0)-IFERROR(VLOOKUP($B178,'Slutlig allokering kvv'!$B$2:$BX$550,MATCH(AD$2,'Slutlig allokering kvv'!$B$1:$BX$1,0),FALSE)/1,0))</f>
        <v/>
      </c>
      <c r="AE178" s="31" t="str">
        <f>IF($D178="","",IFERROR(VLOOKUP($B178,Miljö!$B$1:$E$550,MATCH("Hjälpel kraftvärme (GWh)",Miljö!$B$1:$E$1,0),FALSE)/1,0)-IFERROR(VLOOKUP($B178,'Slutlig allokering kvv'!$B$2:$BX$549,MATCH(AE$2,'Slutlig allokering kvv'!$B$1:$BX$1,0),FALSE)/1,0))</f>
        <v/>
      </c>
      <c r="AI178" s="39">
        <f t="shared" si="8"/>
        <v>0</v>
      </c>
      <c r="AK178" s="31">
        <f>IFERROR(VLOOKUP($B178,'Slutlig allokering kvv'!$B$2:$AX$549,MATCH("Summa slutlig allokerad tillförd energi (utan hjälpel och rökgaskondensering):",'Slutlig allokering kvv'!$B$1:$AX$1,0),FALSE)/1,"")</f>
        <v>0</v>
      </c>
      <c r="AM178" s="31" t="str">
        <f>IFERROR(1-VLOOKUP($B178,'Slutlig allokering kvv'!$B$2:$AX$549,MATCH("Andel av bränsle i kvv som allokerats till värme, exklusive rökgaskondensering och hjälpel",'Slutlig allokering kvv'!$B$1:$AX$1,0),FALSE),"")</f>
        <v/>
      </c>
      <c r="AO178" s="31" t="str">
        <f t="shared" si="9"/>
        <v/>
      </c>
      <c r="AP178" s="31" t="str">
        <f t="shared" si="10"/>
        <v/>
      </c>
      <c r="AR178" s="32" t="str">
        <f t="shared" si="11"/>
        <v/>
      </c>
    </row>
    <row r="179" spans="1:44" s="31" customFormat="1" x14ac:dyDescent="0.45">
      <c r="A179" s="31" t="s">
        <v>418</v>
      </c>
      <c r="B179" s="31" t="s">
        <v>105</v>
      </c>
      <c r="C179" s="31" t="str">
        <f>IFERROR(VLOOKUP($B179,Kraftvärmeprod!$B$1:$AH$479,MATCH(C$2,Kraftvärmeprod!$B$1:$AG$1,0),FALSE)/1,"")</f>
        <v/>
      </c>
      <c r="D179" s="31" t="str">
        <f>IFERROR(VLOOKUP($B179,Kraftvärmeprod!$B$1:$AH$479,MATCH(D$2,Kraftvärmeprod!$B$1:$AG$1,0),FALSE)/1,"")</f>
        <v/>
      </c>
      <c r="F179" s="31" t="str">
        <f>IF($D179="","",IFERROR(VLOOKUP($B179,Kraftvärmeprod!$B$1:$BX$550,MATCH(F$2,Kraftvärmeprod!$B$1:$VX$1,0),FALSE)/1,0)-IFERROR(VLOOKUP($B179,'Slutlig allokering kvv'!$B$2:$BX$550,MATCH(F$2,'Slutlig allokering kvv'!$B$1:$BX$1,0),FALSE)/1,0))</f>
        <v/>
      </c>
      <c r="G179" s="31" t="str">
        <f>IF($D179="","",IFERROR(VLOOKUP($B179,Kraftvärmeprod!$B$1:$BX$550,MATCH(G$2,Kraftvärmeprod!$B$1:$VX$1,0),FALSE)/1,0)-IFERROR(VLOOKUP($B179,'Slutlig allokering kvv'!$B$2:$BX$550,MATCH(G$2,'Slutlig allokering kvv'!$B$1:$BX$1,0),FALSE)/1,0))</f>
        <v/>
      </c>
      <c r="H179" s="31" t="str">
        <f>IF($D179="","",IFERROR(VLOOKUP($B179,Kraftvärmeprod!$B$1:$BX$550,MATCH(H$2,Kraftvärmeprod!$B$1:$VX$1,0),FALSE)/1,0)-IFERROR(VLOOKUP($B179,'Slutlig allokering kvv'!$B$2:$BX$550,MATCH(H$2,'Slutlig allokering kvv'!$B$1:$BX$1,0),FALSE)/1,0))</f>
        <v/>
      </c>
      <c r="I179" s="31" t="str">
        <f>IF($D179="","",IFERROR(VLOOKUP($B179,Kraftvärmeprod!$B$1:$BX$550,MATCH(I$2,Kraftvärmeprod!$B$1:$VX$1,0),FALSE)/1,0)-IFERROR(VLOOKUP($B179,'Slutlig allokering kvv'!$B$2:$BX$550,MATCH(I$2,'Slutlig allokering kvv'!$B$1:$BX$1,0),FALSE)/1,0))</f>
        <v/>
      </c>
      <c r="J179" s="31" t="str">
        <f>IF($D179="","",IFERROR(VLOOKUP($B179,Kraftvärmeprod!$B$1:$BX$550,MATCH(J$2,Kraftvärmeprod!$B$1:$VX$1,0),FALSE)/1,0)-IFERROR(VLOOKUP($B179,'Slutlig allokering kvv'!$B$2:$BX$550,MATCH(J$2,'Slutlig allokering kvv'!$B$1:$BX$1,0),FALSE)/1,0))</f>
        <v/>
      </c>
      <c r="K179" s="31" t="str">
        <f>IF($D179="","",IFERROR(VLOOKUP($B179,Kraftvärmeprod!$B$1:$BX$550,MATCH(K$2,Kraftvärmeprod!$B$1:$VX$1,0),FALSE)/1,0)-IFERROR(VLOOKUP($B179,'Slutlig allokering kvv'!$B$2:$BX$550,MATCH(K$2,'Slutlig allokering kvv'!$B$1:$BX$1,0),FALSE)/1,0))</f>
        <v/>
      </c>
      <c r="L179" s="31" t="str">
        <f>IF($D179="","",IFERROR(VLOOKUP($B179,Kraftvärmeprod!$B$1:$BX$550,MATCH(L$2,Kraftvärmeprod!$B$1:$VX$1,0),FALSE)/1,0)-IFERROR(VLOOKUP($B179,'Slutlig allokering kvv'!$B$2:$BX$550,MATCH(L$2,'Slutlig allokering kvv'!$B$1:$BX$1,0),FALSE)/1,0))</f>
        <v/>
      </c>
      <c r="M179" s="31" t="str">
        <f>IF($D179="","",IFERROR(VLOOKUP($B179,Kraftvärmeprod!$B$1:$BX$550,MATCH(M$2,Kraftvärmeprod!$B$1:$VX$1,0),FALSE)/1,0)-IFERROR(VLOOKUP($B179,'Slutlig allokering kvv'!$B$2:$BX$550,MATCH(M$2,'Slutlig allokering kvv'!$B$1:$BX$1,0),FALSE)/1,0))</f>
        <v/>
      </c>
      <c r="N179" s="31" t="str">
        <f>IF($D179="","",IFERROR(VLOOKUP($B179,Kraftvärmeprod!$B$1:$BX$550,MATCH(N$2,Kraftvärmeprod!$B$1:$VX$1,0),FALSE)/1,0)-IFERROR(VLOOKUP($B179,'Slutlig allokering kvv'!$B$2:$BX$550,MATCH(N$2,'Slutlig allokering kvv'!$B$1:$BX$1,0),FALSE)/1,0))</f>
        <v/>
      </c>
      <c r="O179" s="31" t="str">
        <f>IF($D179="","",IFERROR(VLOOKUP($B179,Kraftvärmeprod!$B$1:$BX$550,MATCH(O$2,Kraftvärmeprod!$B$1:$VX$1,0),FALSE)/1,0)-IFERROR(VLOOKUP($B179,'Slutlig allokering kvv'!$B$2:$BX$550,MATCH(O$2,'Slutlig allokering kvv'!$B$1:$BX$1,0),FALSE)/1,0))</f>
        <v/>
      </c>
      <c r="P179" s="31" t="str">
        <f>IF($D179="","",IFERROR(VLOOKUP($B179,Kraftvärmeprod!$B$1:$BX$550,MATCH(P$2,Kraftvärmeprod!$B$1:$VX$1,0),FALSE)/1,0)-IFERROR(VLOOKUP($B179,'Slutlig allokering kvv'!$B$2:$BX$550,MATCH(P$2,'Slutlig allokering kvv'!$B$1:$BX$1,0),FALSE)/1,0))</f>
        <v/>
      </c>
      <c r="Q179" s="31" t="str">
        <f>IF($D179="","",IFERROR(VLOOKUP($B179,Kraftvärmeprod!$B$1:$BX$550,MATCH(Q$2,Kraftvärmeprod!$B$1:$VX$1,0),FALSE)/1,0)-IFERROR(VLOOKUP($B179,'Slutlig allokering kvv'!$B$2:$BX$550,MATCH(Q$2,'Slutlig allokering kvv'!$B$1:$BX$1,0),FALSE)/1,0))</f>
        <v/>
      </c>
      <c r="R179" s="31" t="str">
        <f>IF($D179="","",IFERROR(VLOOKUP($B179,Kraftvärmeprod!$B$1:$BX$550,MATCH(R$2,Kraftvärmeprod!$B$1:$VX$1,0),FALSE)/1,0)-IFERROR(VLOOKUP($B179,'Slutlig allokering kvv'!$B$2:$BX$550,MATCH(R$2,'Slutlig allokering kvv'!$B$1:$BX$1,0),FALSE)/1,0))</f>
        <v/>
      </c>
      <c r="S179" s="31" t="str">
        <f>IF($D179="","",IFERROR(VLOOKUP($B179,Kraftvärmeprod!$B$1:$BX$550,MATCH(S$2,Kraftvärmeprod!$B$1:$VX$1,0),FALSE)/1,0)-IFERROR(VLOOKUP($B179,'Slutlig allokering kvv'!$B$2:$BX$550,MATCH(S$2,'Slutlig allokering kvv'!$B$1:$BX$1,0),FALSE)/1,0))</f>
        <v/>
      </c>
      <c r="T179" s="31" t="str">
        <f>IF($D179="","",IFERROR(VLOOKUP($B179,Kraftvärmeprod!$B$1:$BX$550,MATCH(T$2,Kraftvärmeprod!$B$1:$VX$1,0),FALSE)/1,0)-IFERROR(VLOOKUP($B179,'Slutlig allokering kvv'!$B$2:$BX$550,MATCH(T$2,'Slutlig allokering kvv'!$B$1:$BX$1,0),FALSE)/1,0))</f>
        <v/>
      </c>
      <c r="U179" s="31" t="str">
        <f>IF($D179="","",IFERROR(VLOOKUP($B179,Kraftvärmeprod!$B$1:$BX$550,MATCH(U$2,Kraftvärmeprod!$B$1:$VX$1,0),FALSE)/1,0)-IFERROR(VLOOKUP($B179,'Slutlig allokering kvv'!$B$2:$BX$550,MATCH(U$2,'Slutlig allokering kvv'!$B$1:$BX$1,0),FALSE)/1,0))</f>
        <v/>
      </c>
      <c r="V179" s="31" t="str">
        <f>IF($D179="","",IFERROR(VLOOKUP($B179,Kraftvärmeprod!$B$1:$BX$550,MATCH(V$2,Kraftvärmeprod!$B$1:$VX$1,0),FALSE)/1,0)-IFERROR(VLOOKUP($B179,'Slutlig allokering kvv'!$B$2:$BX$550,MATCH(V$2,'Slutlig allokering kvv'!$B$1:$BX$1,0),FALSE)/1,0))</f>
        <v/>
      </c>
      <c r="W179" s="31" t="str">
        <f>IF($D179="","",IFERROR(VLOOKUP($B179,Kraftvärmeprod!$B$1:$BX$550,MATCH(W$2,Kraftvärmeprod!$B$1:$VX$1,0),FALSE)/1,0)-IFERROR(VLOOKUP($B179,'Slutlig allokering kvv'!$B$2:$BX$550,MATCH(W$2,'Slutlig allokering kvv'!$B$1:$BX$1,0),FALSE)/1,0))</f>
        <v/>
      </c>
      <c r="X179" s="31" t="str">
        <f>IF($D179="","",IFERROR(VLOOKUP($B179,Kraftvärmeprod!$B$1:$BX$550,MATCH(X$2,Kraftvärmeprod!$B$1:$VX$1,0),FALSE)/1,0)-IFERROR(VLOOKUP($B179,'Slutlig allokering kvv'!$B$2:$BX$550,MATCH(X$2,'Slutlig allokering kvv'!$B$1:$BX$1,0),FALSE)/1,0))</f>
        <v/>
      </c>
      <c r="Y179" s="31" t="str">
        <f>IF($D179="","",IFERROR(VLOOKUP($B179,Kraftvärmeprod!$B$1:$BX$550,MATCH(Y$2,Kraftvärmeprod!$B$1:$VX$1,0),FALSE)/1,0)-IFERROR(VLOOKUP($B179,'Slutlig allokering kvv'!$B$2:$BX$550,MATCH(Y$2,'Slutlig allokering kvv'!$B$1:$BX$1,0),FALSE)/1,0))</f>
        <v/>
      </c>
      <c r="Z179" s="31" t="str">
        <f>IF($D179="","",IFERROR(VLOOKUP($B179,Kraftvärmeprod!$B$1:$BX$550,MATCH(Z$2,Kraftvärmeprod!$B$1:$VX$1,0),FALSE)/1,0)-IFERROR(VLOOKUP($B179,'Slutlig allokering kvv'!$B$2:$BX$550,MATCH(Z$2,'Slutlig allokering kvv'!$B$1:$BX$1,0),FALSE)/1,0))</f>
        <v/>
      </c>
      <c r="AA179" s="31" t="str">
        <f>IF($D179="","",IFERROR(VLOOKUP($B179,Kraftvärmeprod!$B$1:$BX$550,MATCH(AA$2,Kraftvärmeprod!$B$1:$VX$1,0),FALSE)/1,0)-IFERROR(VLOOKUP($B179,'Slutlig allokering kvv'!$B$2:$BX$550,MATCH(AA$2,'Slutlig allokering kvv'!$B$1:$BX$1,0),FALSE)/1,0))</f>
        <v/>
      </c>
      <c r="AB179" s="31" t="str">
        <f>IF($D179="","",IFERROR(VLOOKUP($B179,Kraftvärmeprod!$B$1:$BX$550,MATCH(AB$2,Kraftvärmeprod!$B$1:$VX$1,0),FALSE)/1,0)-IFERROR(VLOOKUP($B179,'Slutlig allokering kvv'!$B$2:$BX$550,MATCH(AB$2,'Slutlig allokering kvv'!$B$1:$BX$1,0),FALSE)/1,0))</f>
        <v/>
      </c>
      <c r="AC179" s="31" t="str">
        <f>IF($D179="","",IFERROR(VLOOKUP($B179,Kraftvärmeprod!$B$1:$BX$550,MATCH(AC$2,Kraftvärmeprod!$B$1:$VX$1,0),FALSE)/1,0)-IFERROR(VLOOKUP($B179,'Slutlig allokering kvv'!$B$2:$BX$550,MATCH(AC$2,'Slutlig allokering kvv'!$B$1:$BX$1,0),FALSE)/1,0))</f>
        <v/>
      </c>
      <c r="AD179" s="31" t="str">
        <f>IF($D179="","",IFERROR(VLOOKUP($B179,Kraftvärmeprod!$B$1:$BX$550,MATCH(AD$2,Kraftvärmeprod!$B$1:$VX$1,0),FALSE)/1,0)-IFERROR(VLOOKUP($B179,'Slutlig allokering kvv'!$B$2:$BX$550,MATCH(AD$2,'Slutlig allokering kvv'!$B$1:$BX$1,0),FALSE)/1,0))</f>
        <v/>
      </c>
      <c r="AE179" s="31" t="str">
        <f>IF($D179="","",IFERROR(VLOOKUP($B179,Miljö!$B$1:$E$550,MATCH("Hjälpel kraftvärme (GWh)",Miljö!$B$1:$E$1,0),FALSE)/1,0)-IFERROR(VLOOKUP($B179,'Slutlig allokering kvv'!$B$2:$BX$549,MATCH(AE$2,'Slutlig allokering kvv'!$B$1:$BX$1,0),FALSE)/1,0))</f>
        <v/>
      </c>
      <c r="AI179" s="39">
        <f t="shared" si="8"/>
        <v>0</v>
      </c>
      <c r="AK179" s="31">
        <f>IFERROR(VLOOKUP($B179,'Slutlig allokering kvv'!$B$2:$AX$549,MATCH("Summa slutlig allokerad tillförd energi (utan hjälpel och rökgaskondensering):",'Slutlig allokering kvv'!$B$1:$AX$1,0),FALSE)/1,"")</f>
        <v>0</v>
      </c>
      <c r="AM179" s="31" t="str">
        <f>IFERROR(1-VLOOKUP($B179,'Slutlig allokering kvv'!$B$2:$AX$549,MATCH("Andel av bränsle i kvv som allokerats till värme, exklusive rökgaskondensering och hjälpel",'Slutlig allokering kvv'!$B$1:$AX$1,0),FALSE),"")</f>
        <v/>
      </c>
      <c r="AO179" s="31" t="str">
        <f t="shared" si="9"/>
        <v/>
      </c>
      <c r="AP179" s="31" t="str">
        <f t="shared" si="10"/>
        <v/>
      </c>
      <c r="AR179" s="32" t="str">
        <f t="shared" si="11"/>
        <v/>
      </c>
    </row>
    <row r="180" spans="1:44" s="31" customFormat="1" x14ac:dyDescent="0.45">
      <c r="A180" s="31" t="s">
        <v>418</v>
      </c>
      <c r="B180" s="31" t="s">
        <v>107</v>
      </c>
      <c r="C180" s="31" t="str">
        <f>IFERROR(VLOOKUP($B180,Kraftvärmeprod!$B$1:$AH$479,MATCH(C$2,Kraftvärmeprod!$B$1:$AG$1,0),FALSE)/1,"")</f>
        <v/>
      </c>
      <c r="D180" s="31" t="str">
        <f>IFERROR(VLOOKUP($B180,Kraftvärmeprod!$B$1:$AH$479,MATCH(D$2,Kraftvärmeprod!$B$1:$AG$1,0),FALSE)/1,"")</f>
        <v/>
      </c>
      <c r="F180" s="31" t="str">
        <f>IF($D180="","",IFERROR(VLOOKUP($B180,Kraftvärmeprod!$B$1:$BX$550,MATCH(F$2,Kraftvärmeprod!$B$1:$VX$1,0),FALSE)/1,0)-IFERROR(VLOOKUP($B180,'Slutlig allokering kvv'!$B$2:$BX$550,MATCH(F$2,'Slutlig allokering kvv'!$B$1:$BX$1,0),FALSE)/1,0))</f>
        <v/>
      </c>
      <c r="G180" s="31" t="str">
        <f>IF($D180="","",IFERROR(VLOOKUP($B180,Kraftvärmeprod!$B$1:$BX$550,MATCH(G$2,Kraftvärmeprod!$B$1:$VX$1,0),FALSE)/1,0)-IFERROR(VLOOKUP($B180,'Slutlig allokering kvv'!$B$2:$BX$550,MATCH(G$2,'Slutlig allokering kvv'!$B$1:$BX$1,0),FALSE)/1,0))</f>
        <v/>
      </c>
      <c r="H180" s="31" t="str">
        <f>IF($D180="","",IFERROR(VLOOKUP($B180,Kraftvärmeprod!$B$1:$BX$550,MATCH(H$2,Kraftvärmeprod!$B$1:$VX$1,0),FALSE)/1,0)-IFERROR(VLOOKUP($B180,'Slutlig allokering kvv'!$B$2:$BX$550,MATCH(H$2,'Slutlig allokering kvv'!$B$1:$BX$1,0),FALSE)/1,0))</f>
        <v/>
      </c>
      <c r="I180" s="31" t="str">
        <f>IF($D180="","",IFERROR(VLOOKUP($B180,Kraftvärmeprod!$B$1:$BX$550,MATCH(I$2,Kraftvärmeprod!$B$1:$VX$1,0),FALSE)/1,0)-IFERROR(VLOOKUP($B180,'Slutlig allokering kvv'!$B$2:$BX$550,MATCH(I$2,'Slutlig allokering kvv'!$B$1:$BX$1,0),FALSE)/1,0))</f>
        <v/>
      </c>
      <c r="J180" s="31" t="str">
        <f>IF($D180="","",IFERROR(VLOOKUP($B180,Kraftvärmeprod!$B$1:$BX$550,MATCH(J$2,Kraftvärmeprod!$B$1:$VX$1,0),FALSE)/1,0)-IFERROR(VLOOKUP($B180,'Slutlig allokering kvv'!$B$2:$BX$550,MATCH(J$2,'Slutlig allokering kvv'!$B$1:$BX$1,0),FALSE)/1,0))</f>
        <v/>
      </c>
      <c r="K180" s="31" t="str">
        <f>IF($D180="","",IFERROR(VLOOKUP($B180,Kraftvärmeprod!$B$1:$BX$550,MATCH(K$2,Kraftvärmeprod!$B$1:$VX$1,0),FALSE)/1,0)-IFERROR(VLOOKUP($B180,'Slutlig allokering kvv'!$B$2:$BX$550,MATCH(K$2,'Slutlig allokering kvv'!$B$1:$BX$1,0),FALSE)/1,0))</f>
        <v/>
      </c>
      <c r="L180" s="31" t="str">
        <f>IF($D180="","",IFERROR(VLOOKUP($B180,Kraftvärmeprod!$B$1:$BX$550,MATCH(L$2,Kraftvärmeprod!$B$1:$VX$1,0),FALSE)/1,0)-IFERROR(VLOOKUP($B180,'Slutlig allokering kvv'!$B$2:$BX$550,MATCH(L$2,'Slutlig allokering kvv'!$B$1:$BX$1,0),FALSE)/1,0))</f>
        <v/>
      </c>
      <c r="M180" s="31" t="str">
        <f>IF($D180="","",IFERROR(VLOOKUP($B180,Kraftvärmeprod!$B$1:$BX$550,MATCH(M$2,Kraftvärmeprod!$B$1:$VX$1,0),FALSE)/1,0)-IFERROR(VLOOKUP($B180,'Slutlig allokering kvv'!$B$2:$BX$550,MATCH(M$2,'Slutlig allokering kvv'!$B$1:$BX$1,0),FALSE)/1,0))</f>
        <v/>
      </c>
      <c r="N180" s="31" t="str">
        <f>IF($D180="","",IFERROR(VLOOKUP($B180,Kraftvärmeprod!$B$1:$BX$550,MATCH(N$2,Kraftvärmeprod!$B$1:$VX$1,0),FALSE)/1,0)-IFERROR(VLOOKUP($B180,'Slutlig allokering kvv'!$B$2:$BX$550,MATCH(N$2,'Slutlig allokering kvv'!$B$1:$BX$1,0),FALSE)/1,0))</f>
        <v/>
      </c>
      <c r="O180" s="31" t="str">
        <f>IF($D180="","",IFERROR(VLOOKUP($B180,Kraftvärmeprod!$B$1:$BX$550,MATCH(O$2,Kraftvärmeprod!$B$1:$VX$1,0),FALSE)/1,0)-IFERROR(VLOOKUP($B180,'Slutlig allokering kvv'!$B$2:$BX$550,MATCH(O$2,'Slutlig allokering kvv'!$B$1:$BX$1,0),FALSE)/1,0))</f>
        <v/>
      </c>
      <c r="P180" s="31" t="str">
        <f>IF($D180="","",IFERROR(VLOOKUP($B180,Kraftvärmeprod!$B$1:$BX$550,MATCH(P$2,Kraftvärmeprod!$B$1:$VX$1,0),FALSE)/1,0)-IFERROR(VLOOKUP($B180,'Slutlig allokering kvv'!$B$2:$BX$550,MATCH(P$2,'Slutlig allokering kvv'!$B$1:$BX$1,0),FALSE)/1,0))</f>
        <v/>
      </c>
      <c r="Q180" s="31" t="str">
        <f>IF($D180="","",IFERROR(VLOOKUP($B180,Kraftvärmeprod!$B$1:$BX$550,MATCH(Q$2,Kraftvärmeprod!$B$1:$VX$1,0),FALSE)/1,0)-IFERROR(VLOOKUP($B180,'Slutlig allokering kvv'!$B$2:$BX$550,MATCH(Q$2,'Slutlig allokering kvv'!$B$1:$BX$1,0),FALSE)/1,0))</f>
        <v/>
      </c>
      <c r="R180" s="31" t="str">
        <f>IF($D180="","",IFERROR(VLOOKUP($B180,Kraftvärmeprod!$B$1:$BX$550,MATCH(R$2,Kraftvärmeprod!$B$1:$VX$1,0),FALSE)/1,0)-IFERROR(VLOOKUP($B180,'Slutlig allokering kvv'!$B$2:$BX$550,MATCH(R$2,'Slutlig allokering kvv'!$B$1:$BX$1,0),FALSE)/1,0))</f>
        <v/>
      </c>
      <c r="S180" s="31" t="str">
        <f>IF($D180="","",IFERROR(VLOOKUP($B180,Kraftvärmeprod!$B$1:$BX$550,MATCH(S$2,Kraftvärmeprod!$B$1:$VX$1,0),FALSE)/1,0)-IFERROR(VLOOKUP($B180,'Slutlig allokering kvv'!$B$2:$BX$550,MATCH(S$2,'Slutlig allokering kvv'!$B$1:$BX$1,0),FALSE)/1,0))</f>
        <v/>
      </c>
      <c r="T180" s="31" t="str">
        <f>IF($D180="","",IFERROR(VLOOKUP($B180,Kraftvärmeprod!$B$1:$BX$550,MATCH(T$2,Kraftvärmeprod!$B$1:$VX$1,0),FALSE)/1,0)-IFERROR(VLOOKUP($B180,'Slutlig allokering kvv'!$B$2:$BX$550,MATCH(T$2,'Slutlig allokering kvv'!$B$1:$BX$1,0),FALSE)/1,0))</f>
        <v/>
      </c>
      <c r="U180" s="31" t="str">
        <f>IF($D180="","",IFERROR(VLOOKUP($B180,Kraftvärmeprod!$B$1:$BX$550,MATCH(U$2,Kraftvärmeprod!$B$1:$VX$1,0),FALSE)/1,0)-IFERROR(VLOOKUP($B180,'Slutlig allokering kvv'!$B$2:$BX$550,MATCH(U$2,'Slutlig allokering kvv'!$B$1:$BX$1,0),FALSE)/1,0))</f>
        <v/>
      </c>
      <c r="V180" s="31" t="str">
        <f>IF($D180="","",IFERROR(VLOOKUP($B180,Kraftvärmeprod!$B$1:$BX$550,MATCH(V$2,Kraftvärmeprod!$B$1:$VX$1,0),FALSE)/1,0)-IFERROR(VLOOKUP($B180,'Slutlig allokering kvv'!$B$2:$BX$550,MATCH(V$2,'Slutlig allokering kvv'!$B$1:$BX$1,0),FALSE)/1,0))</f>
        <v/>
      </c>
      <c r="W180" s="31" t="str">
        <f>IF($D180="","",IFERROR(VLOOKUP($B180,Kraftvärmeprod!$B$1:$BX$550,MATCH(W$2,Kraftvärmeprod!$B$1:$VX$1,0),FALSE)/1,0)-IFERROR(VLOOKUP($B180,'Slutlig allokering kvv'!$B$2:$BX$550,MATCH(W$2,'Slutlig allokering kvv'!$B$1:$BX$1,0),FALSE)/1,0))</f>
        <v/>
      </c>
      <c r="X180" s="31" t="str">
        <f>IF($D180="","",IFERROR(VLOOKUP($B180,Kraftvärmeprod!$B$1:$BX$550,MATCH(X$2,Kraftvärmeprod!$B$1:$VX$1,0),FALSE)/1,0)-IFERROR(VLOOKUP($B180,'Slutlig allokering kvv'!$B$2:$BX$550,MATCH(X$2,'Slutlig allokering kvv'!$B$1:$BX$1,0),FALSE)/1,0))</f>
        <v/>
      </c>
      <c r="Y180" s="31" t="str">
        <f>IF($D180="","",IFERROR(VLOOKUP($B180,Kraftvärmeprod!$B$1:$BX$550,MATCH(Y$2,Kraftvärmeprod!$B$1:$VX$1,0),FALSE)/1,0)-IFERROR(VLOOKUP($B180,'Slutlig allokering kvv'!$B$2:$BX$550,MATCH(Y$2,'Slutlig allokering kvv'!$B$1:$BX$1,0),FALSE)/1,0))</f>
        <v/>
      </c>
      <c r="Z180" s="31" t="str">
        <f>IF($D180="","",IFERROR(VLOOKUP($B180,Kraftvärmeprod!$B$1:$BX$550,MATCH(Z$2,Kraftvärmeprod!$B$1:$VX$1,0),FALSE)/1,0)-IFERROR(VLOOKUP($B180,'Slutlig allokering kvv'!$B$2:$BX$550,MATCH(Z$2,'Slutlig allokering kvv'!$B$1:$BX$1,0),FALSE)/1,0))</f>
        <v/>
      </c>
      <c r="AA180" s="31" t="str">
        <f>IF($D180="","",IFERROR(VLOOKUP($B180,Kraftvärmeprod!$B$1:$BX$550,MATCH(AA$2,Kraftvärmeprod!$B$1:$VX$1,0),FALSE)/1,0)-IFERROR(VLOOKUP($B180,'Slutlig allokering kvv'!$B$2:$BX$550,MATCH(AA$2,'Slutlig allokering kvv'!$B$1:$BX$1,0),FALSE)/1,0))</f>
        <v/>
      </c>
      <c r="AB180" s="31" t="str">
        <f>IF($D180="","",IFERROR(VLOOKUP($B180,Kraftvärmeprod!$B$1:$BX$550,MATCH(AB$2,Kraftvärmeprod!$B$1:$VX$1,0),FALSE)/1,0)-IFERROR(VLOOKUP($B180,'Slutlig allokering kvv'!$B$2:$BX$550,MATCH(AB$2,'Slutlig allokering kvv'!$B$1:$BX$1,0),FALSE)/1,0))</f>
        <v/>
      </c>
      <c r="AC180" s="31" t="str">
        <f>IF($D180="","",IFERROR(VLOOKUP($B180,Kraftvärmeprod!$B$1:$BX$550,MATCH(AC$2,Kraftvärmeprod!$B$1:$VX$1,0),FALSE)/1,0)-IFERROR(VLOOKUP($B180,'Slutlig allokering kvv'!$B$2:$BX$550,MATCH(AC$2,'Slutlig allokering kvv'!$B$1:$BX$1,0),FALSE)/1,0))</f>
        <v/>
      </c>
      <c r="AD180" s="31" t="str">
        <f>IF($D180="","",IFERROR(VLOOKUP($B180,Kraftvärmeprod!$B$1:$BX$550,MATCH(AD$2,Kraftvärmeprod!$B$1:$VX$1,0),FALSE)/1,0)-IFERROR(VLOOKUP($B180,'Slutlig allokering kvv'!$B$2:$BX$550,MATCH(AD$2,'Slutlig allokering kvv'!$B$1:$BX$1,0),FALSE)/1,0))</f>
        <v/>
      </c>
      <c r="AE180" s="31" t="str">
        <f>IF($D180="","",IFERROR(VLOOKUP($B180,Miljö!$B$1:$E$550,MATCH("Hjälpel kraftvärme (GWh)",Miljö!$B$1:$E$1,0),FALSE)/1,0)-IFERROR(VLOOKUP($B180,'Slutlig allokering kvv'!$B$2:$BX$549,MATCH(AE$2,'Slutlig allokering kvv'!$B$1:$BX$1,0),FALSE)/1,0))</f>
        <v/>
      </c>
      <c r="AI180" s="39">
        <f t="shared" si="8"/>
        <v>0</v>
      </c>
      <c r="AK180" s="31">
        <f>IFERROR(VLOOKUP($B180,'Slutlig allokering kvv'!$B$2:$AX$549,MATCH("Summa slutlig allokerad tillförd energi (utan hjälpel och rökgaskondensering):",'Slutlig allokering kvv'!$B$1:$AX$1,0),FALSE)/1,"")</f>
        <v>0</v>
      </c>
      <c r="AM180" s="31" t="str">
        <f>IFERROR(1-VLOOKUP($B180,'Slutlig allokering kvv'!$B$2:$AX$549,MATCH("Andel av bränsle i kvv som allokerats till värme, exklusive rökgaskondensering och hjälpel",'Slutlig allokering kvv'!$B$1:$AX$1,0),FALSE),"")</f>
        <v/>
      </c>
      <c r="AO180" s="31" t="str">
        <f t="shared" si="9"/>
        <v/>
      </c>
      <c r="AP180" s="31" t="str">
        <f t="shared" si="10"/>
        <v/>
      </c>
      <c r="AR180" s="32" t="str">
        <f t="shared" si="11"/>
        <v/>
      </c>
    </row>
    <row r="181" spans="1:44" s="31" customFormat="1" x14ac:dyDescent="0.45">
      <c r="A181" s="31" t="s">
        <v>418</v>
      </c>
      <c r="B181" s="31" t="s">
        <v>109</v>
      </c>
      <c r="C181" s="31" t="str">
        <f>IFERROR(VLOOKUP($B181,Kraftvärmeprod!$B$1:$AH$479,MATCH(C$2,Kraftvärmeprod!$B$1:$AG$1,0),FALSE)/1,"")</f>
        <v/>
      </c>
      <c r="D181" s="31" t="str">
        <f>IFERROR(VLOOKUP($B181,Kraftvärmeprod!$B$1:$AH$479,MATCH(D$2,Kraftvärmeprod!$B$1:$AG$1,0),FALSE)/1,"")</f>
        <v/>
      </c>
      <c r="F181" s="31" t="str">
        <f>IF($D181="","",IFERROR(VLOOKUP($B181,Kraftvärmeprod!$B$1:$BX$550,MATCH(F$2,Kraftvärmeprod!$B$1:$VX$1,0),FALSE)/1,0)-IFERROR(VLOOKUP($B181,'Slutlig allokering kvv'!$B$2:$BX$550,MATCH(F$2,'Slutlig allokering kvv'!$B$1:$BX$1,0),FALSE)/1,0))</f>
        <v/>
      </c>
      <c r="G181" s="31" t="str">
        <f>IF($D181="","",IFERROR(VLOOKUP($B181,Kraftvärmeprod!$B$1:$BX$550,MATCH(G$2,Kraftvärmeprod!$B$1:$VX$1,0),FALSE)/1,0)-IFERROR(VLOOKUP($B181,'Slutlig allokering kvv'!$B$2:$BX$550,MATCH(G$2,'Slutlig allokering kvv'!$B$1:$BX$1,0),FALSE)/1,0))</f>
        <v/>
      </c>
      <c r="H181" s="31" t="str">
        <f>IF($D181="","",IFERROR(VLOOKUP($B181,Kraftvärmeprod!$B$1:$BX$550,MATCH(H$2,Kraftvärmeprod!$B$1:$VX$1,0),FALSE)/1,0)-IFERROR(VLOOKUP($B181,'Slutlig allokering kvv'!$B$2:$BX$550,MATCH(H$2,'Slutlig allokering kvv'!$B$1:$BX$1,0),FALSE)/1,0))</f>
        <v/>
      </c>
      <c r="I181" s="31" t="str">
        <f>IF($D181="","",IFERROR(VLOOKUP($B181,Kraftvärmeprod!$B$1:$BX$550,MATCH(I$2,Kraftvärmeprod!$B$1:$VX$1,0),FALSE)/1,0)-IFERROR(VLOOKUP($B181,'Slutlig allokering kvv'!$B$2:$BX$550,MATCH(I$2,'Slutlig allokering kvv'!$B$1:$BX$1,0),FALSE)/1,0))</f>
        <v/>
      </c>
      <c r="J181" s="31" t="str">
        <f>IF($D181="","",IFERROR(VLOOKUP($B181,Kraftvärmeprod!$B$1:$BX$550,MATCH(J$2,Kraftvärmeprod!$B$1:$VX$1,0),FALSE)/1,0)-IFERROR(VLOOKUP($B181,'Slutlig allokering kvv'!$B$2:$BX$550,MATCH(J$2,'Slutlig allokering kvv'!$B$1:$BX$1,0),FALSE)/1,0))</f>
        <v/>
      </c>
      <c r="K181" s="31" t="str">
        <f>IF($D181="","",IFERROR(VLOOKUP($B181,Kraftvärmeprod!$B$1:$BX$550,MATCH(K$2,Kraftvärmeprod!$B$1:$VX$1,0),FALSE)/1,0)-IFERROR(VLOOKUP($B181,'Slutlig allokering kvv'!$B$2:$BX$550,MATCH(K$2,'Slutlig allokering kvv'!$B$1:$BX$1,0),FALSE)/1,0))</f>
        <v/>
      </c>
      <c r="L181" s="31" t="str">
        <f>IF($D181="","",IFERROR(VLOOKUP($B181,Kraftvärmeprod!$B$1:$BX$550,MATCH(L$2,Kraftvärmeprod!$B$1:$VX$1,0),FALSE)/1,0)-IFERROR(VLOOKUP($B181,'Slutlig allokering kvv'!$B$2:$BX$550,MATCH(L$2,'Slutlig allokering kvv'!$B$1:$BX$1,0),FALSE)/1,0))</f>
        <v/>
      </c>
      <c r="M181" s="31" t="str">
        <f>IF($D181="","",IFERROR(VLOOKUP($B181,Kraftvärmeprod!$B$1:$BX$550,MATCH(M$2,Kraftvärmeprod!$B$1:$VX$1,0),FALSE)/1,0)-IFERROR(VLOOKUP($B181,'Slutlig allokering kvv'!$B$2:$BX$550,MATCH(M$2,'Slutlig allokering kvv'!$B$1:$BX$1,0),FALSE)/1,0))</f>
        <v/>
      </c>
      <c r="N181" s="31" t="str">
        <f>IF($D181="","",IFERROR(VLOOKUP($B181,Kraftvärmeprod!$B$1:$BX$550,MATCH(N$2,Kraftvärmeprod!$B$1:$VX$1,0),FALSE)/1,0)-IFERROR(VLOOKUP($B181,'Slutlig allokering kvv'!$B$2:$BX$550,MATCH(N$2,'Slutlig allokering kvv'!$B$1:$BX$1,0),FALSE)/1,0))</f>
        <v/>
      </c>
      <c r="O181" s="31" t="str">
        <f>IF($D181="","",IFERROR(VLOOKUP($B181,Kraftvärmeprod!$B$1:$BX$550,MATCH(O$2,Kraftvärmeprod!$B$1:$VX$1,0),FALSE)/1,0)-IFERROR(VLOOKUP($B181,'Slutlig allokering kvv'!$B$2:$BX$550,MATCH(O$2,'Slutlig allokering kvv'!$B$1:$BX$1,0),FALSE)/1,0))</f>
        <v/>
      </c>
      <c r="P181" s="31" t="str">
        <f>IF($D181="","",IFERROR(VLOOKUP($B181,Kraftvärmeprod!$B$1:$BX$550,MATCH(P$2,Kraftvärmeprod!$B$1:$VX$1,0),FALSE)/1,0)-IFERROR(VLOOKUP($B181,'Slutlig allokering kvv'!$B$2:$BX$550,MATCH(P$2,'Slutlig allokering kvv'!$B$1:$BX$1,0),FALSE)/1,0))</f>
        <v/>
      </c>
      <c r="Q181" s="31" t="str">
        <f>IF($D181="","",IFERROR(VLOOKUP($B181,Kraftvärmeprod!$B$1:$BX$550,MATCH(Q$2,Kraftvärmeprod!$B$1:$VX$1,0),FALSE)/1,0)-IFERROR(VLOOKUP($B181,'Slutlig allokering kvv'!$B$2:$BX$550,MATCH(Q$2,'Slutlig allokering kvv'!$B$1:$BX$1,0),FALSE)/1,0))</f>
        <v/>
      </c>
      <c r="R181" s="31" t="str">
        <f>IF($D181="","",IFERROR(VLOOKUP($B181,Kraftvärmeprod!$B$1:$BX$550,MATCH(R$2,Kraftvärmeprod!$B$1:$VX$1,0),FALSE)/1,0)-IFERROR(VLOOKUP($B181,'Slutlig allokering kvv'!$B$2:$BX$550,MATCH(R$2,'Slutlig allokering kvv'!$B$1:$BX$1,0),FALSE)/1,0))</f>
        <v/>
      </c>
      <c r="S181" s="31" t="str">
        <f>IF($D181="","",IFERROR(VLOOKUP($B181,Kraftvärmeprod!$B$1:$BX$550,MATCH(S$2,Kraftvärmeprod!$B$1:$VX$1,0),FALSE)/1,0)-IFERROR(VLOOKUP($B181,'Slutlig allokering kvv'!$B$2:$BX$550,MATCH(S$2,'Slutlig allokering kvv'!$B$1:$BX$1,0),FALSE)/1,0))</f>
        <v/>
      </c>
      <c r="T181" s="31" t="str">
        <f>IF($D181="","",IFERROR(VLOOKUP($B181,Kraftvärmeprod!$B$1:$BX$550,MATCH(T$2,Kraftvärmeprod!$B$1:$VX$1,0),FALSE)/1,0)-IFERROR(VLOOKUP($B181,'Slutlig allokering kvv'!$B$2:$BX$550,MATCH(T$2,'Slutlig allokering kvv'!$B$1:$BX$1,0),FALSE)/1,0))</f>
        <v/>
      </c>
      <c r="U181" s="31" t="str">
        <f>IF($D181="","",IFERROR(VLOOKUP($B181,Kraftvärmeprod!$B$1:$BX$550,MATCH(U$2,Kraftvärmeprod!$B$1:$VX$1,0),FALSE)/1,0)-IFERROR(VLOOKUP($B181,'Slutlig allokering kvv'!$B$2:$BX$550,MATCH(U$2,'Slutlig allokering kvv'!$B$1:$BX$1,0),FALSE)/1,0))</f>
        <v/>
      </c>
      <c r="V181" s="31" t="str">
        <f>IF($D181="","",IFERROR(VLOOKUP($B181,Kraftvärmeprod!$B$1:$BX$550,MATCH(V$2,Kraftvärmeprod!$B$1:$VX$1,0),FALSE)/1,0)-IFERROR(VLOOKUP($B181,'Slutlig allokering kvv'!$B$2:$BX$550,MATCH(V$2,'Slutlig allokering kvv'!$B$1:$BX$1,0),FALSE)/1,0))</f>
        <v/>
      </c>
      <c r="W181" s="31" t="str">
        <f>IF($D181="","",IFERROR(VLOOKUP($B181,Kraftvärmeprod!$B$1:$BX$550,MATCH(W$2,Kraftvärmeprod!$B$1:$VX$1,0),FALSE)/1,0)-IFERROR(VLOOKUP($B181,'Slutlig allokering kvv'!$B$2:$BX$550,MATCH(W$2,'Slutlig allokering kvv'!$B$1:$BX$1,0),FALSE)/1,0))</f>
        <v/>
      </c>
      <c r="X181" s="31" t="str">
        <f>IF($D181="","",IFERROR(VLOOKUP($B181,Kraftvärmeprod!$B$1:$BX$550,MATCH(X$2,Kraftvärmeprod!$B$1:$VX$1,0),FALSE)/1,0)-IFERROR(VLOOKUP($B181,'Slutlig allokering kvv'!$B$2:$BX$550,MATCH(X$2,'Slutlig allokering kvv'!$B$1:$BX$1,0),FALSE)/1,0))</f>
        <v/>
      </c>
      <c r="Y181" s="31" t="str">
        <f>IF($D181="","",IFERROR(VLOOKUP($B181,Kraftvärmeprod!$B$1:$BX$550,MATCH(Y$2,Kraftvärmeprod!$B$1:$VX$1,0),FALSE)/1,0)-IFERROR(VLOOKUP($B181,'Slutlig allokering kvv'!$B$2:$BX$550,MATCH(Y$2,'Slutlig allokering kvv'!$B$1:$BX$1,0),FALSE)/1,0))</f>
        <v/>
      </c>
      <c r="Z181" s="31" t="str">
        <f>IF($D181="","",IFERROR(VLOOKUP($B181,Kraftvärmeprod!$B$1:$BX$550,MATCH(Z$2,Kraftvärmeprod!$B$1:$VX$1,0),FALSE)/1,0)-IFERROR(VLOOKUP($B181,'Slutlig allokering kvv'!$B$2:$BX$550,MATCH(Z$2,'Slutlig allokering kvv'!$B$1:$BX$1,0),FALSE)/1,0))</f>
        <v/>
      </c>
      <c r="AA181" s="31" t="str">
        <f>IF($D181="","",IFERROR(VLOOKUP($B181,Kraftvärmeprod!$B$1:$BX$550,MATCH(AA$2,Kraftvärmeprod!$B$1:$VX$1,0),FALSE)/1,0)-IFERROR(VLOOKUP($B181,'Slutlig allokering kvv'!$B$2:$BX$550,MATCH(AA$2,'Slutlig allokering kvv'!$B$1:$BX$1,0),FALSE)/1,0))</f>
        <v/>
      </c>
      <c r="AB181" s="31" t="str">
        <f>IF($D181="","",IFERROR(VLOOKUP($B181,Kraftvärmeprod!$B$1:$BX$550,MATCH(AB$2,Kraftvärmeprod!$B$1:$VX$1,0),FALSE)/1,0)-IFERROR(VLOOKUP($B181,'Slutlig allokering kvv'!$B$2:$BX$550,MATCH(AB$2,'Slutlig allokering kvv'!$B$1:$BX$1,0),FALSE)/1,0))</f>
        <v/>
      </c>
      <c r="AC181" s="31" t="str">
        <f>IF($D181="","",IFERROR(VLOOKUP($B181,Kraftvärmeprod!$B$1:$BX$550,MATCH(AC$2,Kraftvärmeprod!$B$1:$VX$1,0),FALSE)/1,0)-IFERROR(VLOOKUP($B181,'Slutlig allokering kvv'!$B$2:$BX$550,MATCH(AC$2,'Slutlig allokering kvv'!$B$1:$BX$1,0),FALSE)/1,0))</f>
        <v/>
      </c>
      <c r="AD181" s="31" t="str">
        <f>IF($D181="","",IFERROR(VLOOKUP($B181,Kraftvärmeprod!$B$1:$BX$550,MATCH(AD$2,Kraftvärmeprod!$B$1:$VX$1,0),FALSE)/1,0)-IFERROR(VLOOKUP($B181,'Slutlig allokering kvv'!$B$2:$BX$550,MATCH(AD$2,'Slutlig allokering kvv'!$B$1:$BX$1,0),FALSE)/1,0))</f>
        <v/>
      </c>
      <c r="AE181" s="31" t="str">
        <f>IF($D181="","",IFERROR(VLOOKUP($B181,Miljö!$B$1:$E$550,MATCH("Hjälpel kraftvärme (GWh)",Miljö!$B$1:$E$1,0),FALSE)/1,0)-IFERROR(VLOOKUP($B181,'Slutlig allokering kvv'!$B$2:$BX$549,MATCH(AE$2,'Slutlig allokering kvv'!$B$1:$BX$1,0),FALSE)/1,0))</f>
        <v/>
      </c>
      <c r="AI181" s="39">
        <f t="shared" si="8"/>
        <v>0</v>
      </c>
      <c r="AK181" s="31">
        <f>IFERROR(VLOOKUP($B181,'Slutlig allokering kvv'!$B$2:$AX$549,MATCH("Summa slutlig allokerad tillförd energi (utan hjälpel och rökgaskondensering):",'Slutlig allokering kvv'!$B$1:$AX$1,0),FALSE)/1,"")</f>
        <v>0</v>
      </c>
      <c r="AM181" s="31" t="str">
        <f>IFERROR(1-VLOOKUP($B181,'Slutlig allokering kvv'!$B$2:$AX$549,MATCH("Andel av bränsle i kvv som allokerats till värme, exklusive rökgaskondensering och hjälpel",'Slutlig allokering kvv'!$B$1:$AX$1,0),FALSE),"")</f>
        <v/>
      </c>
      <c r="AO181" s="31" t="str">
        <f t="shared" si="9"/>
        <v/>
      </c>
      <c r="AP181" s="31" t="str">
        <f t="shared" si="10"/>
        <v/>
      </c>
      <c r="AR181" s="32" t="str">
        <f t="shared" si="11"/>
        <v/>
      </c>
    </row>
    <row r="182" spans="1:44" s="31" customFormat="1" x14ac:dyDescent="0.45">
      <c r="A182" s="31" t="s">
        <v>418</v>
      </c>
      <c r="B182" s="31" t="s">
        <v>420</v>
      </c>
      <c r="C182" s="31" t="str">
        <f>IFERROR(VLOOKUP($B182,Kraftvärmeprod!$B$1:$AH$479,MATCH(C$2,Kraftvärmeprod!$B$1:$AG$1,0),FALSE)/1,"")</f>
        <v/>
      </c>
      <c r="D182" s="31" t="str">
        <f>IFERROR(VLOOKUP($B182,Kraftvärmeprod!$B$1:$AH$479,MATCH(D$2,Kraftvärmeprod!$B$1:$AG$1,0),FALSE)/1,"")</f>
        <v/>
      </c>
      <c r="F182" s="31" t="str">
        <f>IF($D182="","",IFERROR(VLOOKUP($B182,Kraftvärmeprod!$B$1:$BX$550,MATCH(F$2,Kraftvärmeprod!$B$1:$VX$1,0),FALSE)/1,0)-IFERROR(VLOOKUP($B182,'Slutlig allokering kvv'!$B$2:$BX$550,MATCH(F$2,'Slutlig allokering kvv'!$B$1:$BX$1,0),FALSE)/1,0))</f>
        <v/>
      </c>
      <c r="G182" s="31" t="str">
        <f>IF($D182="","",IFERROR(VLOOKUP($B182,Kraftvärmeprod!$B$1:$BX$550,MATCH(G$2,Kraftvärmeprod!$B$1:$VX$1,0),FALSE)/1,0)-IFERROR(VLOOKUP($B182,'Slutlig allokering kvv'!$B$2:$BX$550,MATCH(G$2,'Slutlig allokering kvv'!$B$1:$BX$1,0),FALSE)/1,0))</f>
        <v/>
      </c>
      <c r="H182" s="31" t="str">
        <f>IF($D182="","",IFERROR(VLOOKUP($B182,Kraftvärmeprod!$B$1:$BX$550,MATCH(H$2,Kraftvärmeprod!$B$1:$VX$1,0),FALSE)/1,0)-IFERROR(VLOOKUP($B182,'Slutlig allokering kvv'!$B$2:$BX$550,MATCH(H$2,'Slutlig allokering kvv'!$B$1:$BX$1,0),FALSE)/1,0))</f>
        <v/>
      </c>
      <c r="I182" s="31" t="str">
        <f>IF($D182="","",IFERROR(VLOOKUP($B182,Kraftvärmeprod!$B$1:$BX$550,MATCH(I$2,Kraftvärmeprod!$B$1:$VX$1,0),FALSE)/1,0)-IFERROR(VLOOKUP($B182,'Slutlig allokering kvv'!$B$2:$BX$550,MATCH(I$2,'Slutlig allokering kvv'!$B$1:$BX$1,0),FALSE)/1,0))</f>
        <v/>
      </c>
      <c r="J182" s="31" t="str">
        <f>IF($D182="","",IFERROR(VLOOKUP($B182,Kraftvärmeprod!$B$1:$BX$550,MATCH(J$2,Kraftvärmeprod!$B$1:$VX$1,0),FALSE)/1,0)-IFERROR(VLOOKUP($B182,'Slutlig allokering kvv'!$B$2:$BX$550,MATCH(J$2,'Slutlig allokering kvv'!$B$1:$BX$1,0),FALSE)/1,0))</f>
        <v/>
      </c>
      <c r="K182" s="31" t="str">
        <f>IF($D182="","",IFERROR(VLOOKUP($B182,Kraftvärmeprod!$B$1:$BX$550,MATCH(K$2,Kraftvärmeprod!$B$1:$VX$1,0),FALSE)/1,0)-IFERROR(VLOOKUP($B182,'Slutlig allokering kvv'!$B$2:$BX$550,MATCH(K$2,'Slutlig allokering kvv'!$B$1:$BX$1,0),FALSE)/1,0))</f>
        <v/>
      </c>
      <c r="L182" s="31" t="str">
        <f>IF($D182="","",IFERROR(VLOOKUP($B182,Kraftvärmeprod!$B$1:$BX$550,MATCH(L$2,Kraftvärmeprod!$B$1:$VX$1,0),FALSE)/1,0)-IFERROR(VLOOKUP($B182,'Slutlig allokering kvv'!$B$2:$BX$550,MATCH(L$2,'Slutlig allokering kvv'!$B$1:$BX$1,0),FALSE)/1,0))</f>
        <v/>
      </c>
      <c r="M182" s="31" t="str">
        <f>IF($D182="","",IFERROR(VLOOKUP($B182,Kraftvärmeprod!$B$1:$BX$550,MATCH(M$2,Kraftvärmeprod!$B$1:$VX$1,0),FALSE)/1,0)-IFERROR(VLOOKUP($B182,'Slutlig allokering kvv'!$B$2:$BX$550,MATCH(M$2,'Slutlig allokering kvv'!$B$1:$BX$1,0),FALSE)/1,0))</f>
        <v/>
      </c>
      <c r="N182" s="31" t="str">
        <f>IF($D182="","",IFERROR(VLOOKUP($B182,Kraftvärmeprod!$B$1:$BX$550,MATCH(N$2,Kraftvärmeprod!$B$1:$VX$1,0),FALSE)/1,0)-IFERROR(VLOOKUP($B182,'Slutlig allokering kvv'!$B$2:$BX$550,MATCH(N$2,'Slutlig allokering kvv'!$B$1:$BX$1,0),FALSE)/1,0))</f>
        <v/>
      </c>
      <c r="O182" s="31" t="str">
        <f>IF($D182="","",IFERROR(VLOOKUP($B182,Kraftvärmeprod!$B$1:$BX$550,MATCH(O$2,Kraftvärmeprod!$B$1:$VX$1,0),FALSE)/1,0)-IFERROR(VLOOKUP($B182,'Slutlig allokering kvv'!$B$2:$BX$550,MATCH(O$2,'Slutlig allokering kvv'!$B$1:$BX$1,0),FALSE)/1,0))</f>
        <v/>
      </c>
      <c r="P182" s="31" t="str">
        <f>IF($D182="","",IFERROR(VLOOKUP($B182,Kraftvärmeprod!$B$1:$BX$550,MATCH(P$2,Kraftvärmeprod!$B$1:$VX$1,0),FALSE)/1,0)-IFERROR(VLOOKUP($B182,'Slutlig allokering kvv'!$B$2:$BX$550,MATCH(P$2,'Slutlig allokering kvv'!$B$1:$BX$1,0),FALSE)/1,0))</f>
        <v/>
      </c>
      <c r="Q182" s="31" t="str">
        <f>IF($D182="","",IFERROR(VLOOKUP($B182,Kraftvärmeprod!$B$1:$BX$550,MATCH(Q$2,Kraftvärmeprod!$B$1:$VX$1,0),FALSE)/1,0)-IFERROR(VLOOKUP($B182,'Slutlig allokering kvv'!$B$2:$BX$550,MATCH(Q$2,'Slutlig allokering kvv'!$B$1:$BX$1,0),FALSE)/1,0))</f>
        <v/>
      </c>
      <c r="R182" s="31" t="str">
        <f>IF($D182="","",IFERROR(VLOOKUP($B182,Kraftvärmeprod!$B$1:$BX$550,MATCH(R$2,Kraftvärmeprod!$B$1:$VX$1,0),FALSE)/1,0)-IFERROR(VLOOKUP($B182,'Slutlig allokering kvv'!$B$2:$BX$550,MATCH(R$2,'Slutlig allokering kvv'!$B$1:$BX$1,0),FALSE)/1,0))</f>
        <v/>
      </c>
      <c r="S182" s="31" t="str">
        <f>IF($D182="","",IFERROR(VLOOKUP($B182,Kraftvärmeprod!$B$1:$BX$550,MATCH(S$2,Kraftvärmeprod!$B$1:$VX$1,0),FALSE)/1,0)-IFERROR(VLOOKUP($B182,'Slutlig allokering kvv'!$B$2:$BX$550,MATCH(S$2,'Slutlig allokering kvv'!$B$1:$BX$1,0),FALSE)/1,0))</f>
        <v/>
      </c>
      <c r="T182" s="31" t="str">
        <f>IF($D182="","",IFERROR(VLOOKUP($B182,Kraftvärmeprod!$B$1:$BX$550,MATCH(T$2,Kraftvärmeprod!$B$1:$VX$1,0),FALSE)/1,0)-IFERROR(VLOOKUP($B182,'Slutlig allokering kvv'!$B$2:$BX$550,MATCH(T$2,'Slutlig allokering kvv'!$B$1:$BX$1,0),FALSE)/1,0))</f>
        <v/>
      </c>
      <c r="U182" s="31" t="str">
        <f>IF($D182="","",IFERROR(VLOOKUP($B182,Kraftvärmeprod!$B$1:$BX$550,MATCH(U$2,Kraftvärmeprod!$B$1:$VX$1,0),FALSE)/1,0)-IFERROR(VLOOKUP($B182,'Slutlig allokering kvv'!$B$2:$BX$550,MATCH(U$2,'Slutlig allokering kvv'!$B$1:$BX$1,0),FALSE)/1,0))</f>
        <v/>
      </c>
      <c r="V182" s="31" t="str">
        <f>IF($D182="","",IFERROR(VLOOKUP($B182,Kraftvärmeprod!$B$1:$BX$550,MATCH(V$2,Kraftvärmeprod!$B$1:$VX$1,0),FALSE)/1,0)-IFERROR(VLOOKUP($B182,'Slutlig allokering kvv'!$B$2:$BX$550,MATCH(V$2,'Slutlig allokering kvv'!$B$1:$BX$1,0),FALSE)/1,0))</f>
        <v/>
      </c>
      <c r="W182" s="31" t="str">
        <f>IF($D182="","",IFERROR(VLOOKUP($B182,Kraftvärmeprod!$B$1:$BX$550,MATCH(W$2,Kraftvärmeprod!$B$1:$VX$1,0),FALSE)/1,0)-IFERROR(VLOOKUP($B182,'Slutlig allokering kvv'!$B$2:$BX$550,MATCH(W$2,'Slutlig allokering kvv'!$B$1:$BX$1,0),FALSE)/1,0))</f>
        <v/>
      </c>
      <c r="X182" s="31" t="str">
        <f>IF($D182="","",IFERROR(VLOOKUP($B182,Kraftvärmeprod!$B$1:$BX$550,MATCH(X$2,Kraftvärmeprod!$B$1:$VX$1,0),FALSE)/1,0)-IFERROR(VLOOKUP($B182,'Slutlig allokering kvv'!$B$2:$BX$550,MATCH(X$2,'Slutlig allokering kvv'!$B$1:$BX$1,0),FALSE)/1,0))</f>
        <v/>
      </c>
      <c r="Y182" s="31" t="str">
        <f>IF($D182="","",IFERROR(VLOOKUP($B182,Kraftvärmeprod!$B$1:$BX$550,MATCH(Y$2,Kraftvärmeprod!$B$1:$VX$1,0),FALSE)/1,0)-IFERROR(VLOOKUP($B182,'Slutlig allokering kvv'!$B$2:$BX$550,MATCH(Y$2,'Slutlig allokering kvv'!$B$1:$BX$1,0),FALSE)/1,0))</f>
        <v/>
      </c>
      <c r="Z182" s="31" t="str">
        <f>IF($D182="","",IFERROR(VLOOKUP($B182,Kraftvärmeprod!$B$1:$BX$550,MATCH(Z$2,Kraftvärmeprod!$B$1:$VX$1,0),FALSE)/1,0)-IFERROR(VLOOKUP($B182,'Slutlig allokering kvv'!$B$2:$BX$550,MATCH(Z$2,'Slutlig allokering kvv'!$B$1:$BX$1,0),FALSE)/1,0))</f>
        <v/>
      </c>
      <c r="AA182" s="31" t="str">
        <f>IF($D182="","",IFERROR(VLOOKUP($B182,Kraftvärmeprod!$B$1:$BX$550,MATCH(AA$2,Kraftvärmeprod!$B$1:$VX$1,0),FALSE)/1,0)-IFERROR(VLOOKUP($B182,'Slutlig allokering kvv'!$B$2:$BX$550,MATCH(AA$2,'Slutlig allokering kvv'!$B$1:$BX$1,0),FALSE)/1,0))</f>
        <v/>
      </c>
      <c r="AB182" s="31" t="str">
        <f>IF($D182="","",IFERROR(VLOOKUP($B182,Kraftvärmeprod!$B$1:$BX$550,MATCH(AB$2,Kraftvärmeprod!$B$1:$VX$1,0),FALSE)/1,0)-IFERROR(VLOOKUP($B182,'Slutlig allokering kvv'!$B$2:$BX$550,MATCH(AB$2,'Slutlig allokering kvv'!$B$1:$BX$1,0),FALSE)/1,0))</f>
        <v/>
      </c>
      <c r="AC182" s="31" t="str">
        <f>IF($D182="","",IFERROR(VLOOKUP($B182,Kraftvärmeprod!$B$1:$BX$550,MATCH(AC$2,Kraftvärmeprod!$B$1:$VX$1,0),FALSE)/1,0)-IFERROR(VLOOKUP($B182,'Slutlig allokering kvv'!$B$2:$BX$550,MATCH(AC$2,'Slutlig allokering kvv'!$B$1:$BX$1,0),FALSE)/1,0))</f>
        <v/>
      </c>
      <c r="AD182" s="31" t="str">
        <f>IF($D182="","",IFERROR(VLOOKUP($B182,Kraftvärmeprod!$B$1:$BX$550,MATCH(AD$2,Kraftvärmeprod!$B$1:$VX$1,0),FALSE)/1,0)-IFERROR(VLOOKUP($B182,'Slutlig allokering kvv'!$B$2:$BX$550,MATCH(AD$2,'Slutlig allokering kvv'!$B$1:$BX$1,0),FALSE)/1,0))</f>
        <v/>
      </c>
      <c r="AE182" s="31" t="str">
        <f>IF($D182="","",IFERROR(VLOOKUP($B182,Miljö!$B$1:$E$550,MATCH("Hjälpel kraftvärme (GWh)",Miljö!$B$1:$E$1,0),FALSE)/1,0)-IFERROR(VLOOKUP($B182,'Slutlig allokering kvv'!$B$2:$BX$549,MATCH(AE$2,'Slutlig allokering kvv'!$B$1:$BX$1,0),FALSE)/1,0))</f>
        <v/>
      </c>
      <c r="AI182" s="39">
        <f t="shared" si="8"/>
        <v>0</v>
      </c>
      <c r="AK182" s="31">
        <f>IFERROR(VLOOKUP($B182,'Slutlig allokering kvv'!$B$2:$AX$549,MATCH("Summa slutlig allokerad tillförd energi (utan hjälpel och rökgaskondensering):",'Slutlig allokering kvv'!$B$1:$AX$1,0),FALSE)/1,"")</f>
        <v>0</v>
      </c>
      <c r="AM182" s="31" t="str">
        <f>IFERROR(1-VLOOKUP($B182,'Slutlig allokering kvv'!$B$2:$AX$549,MATCH("Andel av bränsle i kvv som allokerats till värme, exklusive rökgaskondensering och hjälpel",'Slutlig allokering kvv'!$B$1:$AX$1,0),FALSE),"")</f>
        <v/>
      </c>
      <c r="AO182" s="31" t="str">
        <f t="shared" si="9"/>
        <v/>
      </c>
      <c r="AP182" s="31" t="str">
        <f t="shared" si="10"/>
        <v/>
      </c>
      <c r="AR182" s="32" t="str">
        <f t="shared" si="11"/>
        <v/>
      </c>
    </row>
    <row r="183" spans="1:44" s="31" customFormat="1" x14ac:dyDescent="0.45">
      <c r="A183" s="31" t="s">
        <v>418</v>
      </c>
      <c r="B183" s="31" t="s">
        <v>421</v>
      </c>
      <c r="C183" s="31" t="str">
        <f>IFERROR(VLOOKUP($B183,Kraftvärmeprod!$B$1:$AH$479,MATCH(C$2,Kraftvärmeprod!$B$1:$AG$1,0),FALSE)/1,"")</f>
        <v/>
      </c>
      <c r="D183" s="31" t="str">
        <f>IFERROR(VLOOKUP($B183,Kraftvärmeprod!$B$1:$AH$479,MATCH(D$2,Kraftvärmeprod!$B$1:$AG$1,0),FALSE)/1,"")</f>
        <v/>
      </c>
      <c r="F183" s="31" t="str">
        <f>IF($D183="","",IFERROR(VLOOKUP($B183,Kraftvärmeprod!$B$1:$BX$550,MATCH(F$2,Kraftvärmeprod!$B$1:$VX$1,0),FALSE)/1,0)-IFERROR(VLOOKUP($B183,'Slutlig allokering kvv'!$B$2:$BX$550,MATCH(F$2,'Slutlig allokering kvv'!$B$1:$BX$1,0),FALSE)/1,0))</f>
        <v/>
      </c>
      <c r="G183" s="31" t="str">
        <f>IF($D183="","",IFERROR(VLOOKUP($B183,Kraftvärmeprod!$B$1:$BX$550,MATCH(G$2,Kraftvärmeprod!$B$1:$VX$1,0),FALSE)/1,0)-IFERROR(VLOOKUP($B183,'Slutlig allokering kvv'!$B$2:$BX$550,MATCH(G$2,'Slutlig allokering kvv'!$B$1:$BX$1,0),FALSE)/1,0))</f>
        <v/>
      </c>
      <c r="H183" s="31" t="str">
        <f>IF($D183="","",IFERROR(VLOOKUP($B183,Kraftvärmeprod!$B$1:$BX$550,MATCH(H$2,Kraftvärmeprod!$B$1:$VX$1,0),FALSE)/1,0)-IFERROR(VLOOKUP($B183,'Slutlig allokering kvv'!$B$2:$BX$550,MATCH(H$2,'Slutlig allokering kvv'!$B$1:$BX$1,0),FALSE)/1,0))</f>
        <v/>
      </c>
      <c r="I183" s="31" t="str">
        <f>IF($D183="","",IFERROR(VLOOKUP($B183,Kraftvärmeprod!$B$1:$BX$550,MATCH(I$2,Kraftvärmeprod!$B$1:$VX$1,0),FALSE)/1,0)-IFERROR(VLOOKUP($B183,'Slutlig allokering kvv'!$B$2:$BX$550,MATCH(I$2,'Slutlig allokering kvv'!$B$1:$BX$1,0),FALSE)/1,0))</f>
        <v/>
      </c>
      <c r="J183" s="31" t="str">
        <f>IF($D183="","",IFERROR(VLOOKUP($B183,Kraftvärmeprod!$B$1:$BX$550,MATCH(J$2,Kraftvärmeprod!$B$1:$VX$1,0),FALSE)/1,0)-IFERROR(VLOOKUP($B183,'Slutlig allokering kvv'!$B$2:$BX$550,MATCH(J$2,'Slutlig allokering kvv'!$B$1:$BX$1,0),FALSE)/1,0))</f>
        <v/>
      </c>
      <c r="K183" s="31" t="str">
        <f>IF($D183="","",IFERROR(VLOOKUP($B183,Kraftvärmeprod!$B$1:$BX$550,MATCH(K$2,Kraftvärmeprod!$B$1:$VX$1,0),FALSE)/1,0)-IFERROR(VLOOKUP($B183,'Slutlig allokering kvv'!$B$2:$BX$550,MATCH(K$2,'Slutlig allokering kvv'!$B$1:$BX$1,0),FALSE)/1,0))</f>
        <v/>
      </c>
      <c r="L183" s="31" t="str">
        <f>IF($D183="","",IFERROR(VLOOKUP($B183,Kraftvärmeprod!$B$1:$BX$550,MATCH(L$2,Kraftvärmeprod!$B$1:$VX$1,0),FALSE)/1,0)-IFERROR(VLOOKUP($B183,'Slutlig allokering kvv'!$B$2:$BX$550,MATCH(L$2,'Slutlig allokering kvv'!$B$1:$BX$1,0),FALSE)/1,0))</f>
        <v/>
      </c>
      <c r="M183" s="31" t="str">
        <f>IF($D183="","",IFERROR(VLOOKUP($B183,Kraftvärmeprod!$B$1:$BX$550,MATCH(M$2,Kraftvärmeprod!$B$1:$VX$1,0),FALSE)/1,0)-IFERROR(VLOOKUP($B183,'Slutlig allokering kvv'!$B$2:$BX$550,MATCH(M$2,'Slutlig allokering kvv'!$B$1:$BX$1,0),FALSE)/1,0))</f>
        <v/>
      </c>
      <c r="N183" s="31" t="str">
        <f>IF($D183="","",IFERROR(VLOOKUP($B183,Kraftvärmeprod!$B$1:$BX$550,MATCH(N$2,Kraftvärmeprod!$B$1:$VX$1,0),FALSE)/1,0)-IFERROR(VLOOKUP($B183,'Slutlig allokering kvv'!$B$2:$BX$550,MATCH(N$2,'Slutlig allokering kvv'!$B$1:$BX$1,0),FALSE)/1,0))</f>
        <v/>
      </c>
      <c r="O183" s="31" t="str">
        <f>IF($D183="","",IFERROR(VLOOKUP($B183,Kraftvärmeprod!$B$1:$BX$550,MATCH(O$2,Kraftvärmeprod!$B$1:$VX$1,0),FALSE)/1,0)-IFERROR(VLOOKUP($B183,'Slutlig allokering kvv'!$B$2:$BX$550,MATCH(O$2,'Slutlig allokering kvv'!$B$1:$BX$1,0),FALSE)/1,0))</f>
        <v/>
      </c>
      <c r="P183" s="31" t="str">
        <f>IF($D183="","",IFERROR(VLOOKUP($B183,Kraftvärmeprod!$B$1:$BX$550,MATCH(P$2,Kraftvärmeprod!$B$1:$VX$1,0),FALSE)/1,0)-IFERROR(VLOOKUP($B183,'Slutlig allokering kvv'!$B$2:$BX$550,MATCH(P$2,'Slutlig allokering kvv'!$B$1:$BX$1,0),FALSE)/1,0))</f>
        <v/>
      </c>
      <c r="Q183" s="31" t="str">
        <f>IF($D183="","",IFERROR(VLOOKUP($B183,Kraftvärmeprod!$B$1:$BX$550,MATCH(Q$2,Kraftvärmeprod!$B$1:$VX$1,0),FALSE)/1,0)-IFERROR(VLOOKUP($B183,'Slutlig allokering kvv'!$B$2:$BX$550,MATCH(Q$2,'Slutlig allokering kvv'!$B$1:$BX$1,0),FALSE)/1,0))</f>
        <v/>
      </c>
      <c r="R183" s="31" t="str">
        <f>IF($D183="","",IFERROR(VLOOKUP($B183,Kraftvärmeprod!$B$1:$BX$550,MATCH(R$2,Kraftvärmeprod!$B$1:$VX$1,0),FALSE)/1,0)-IFERROR(VLOOKUP($B183,'Slutlig allokering kvv'!$B$2:$BX$550,MATCH(R$2,'Slutlig allokering kvv'!$B$1:$BX$1,0),FALSE)/1,0))</f>
        <v/>
      </c>
      <c r="S183" s="31" t="str">
        <f>IF($D183="","",IFERROR(VLOOKUP($B183,Kraftvärmeprod!$B$1:$BX$550,MATCH(S$2,Kraftvärmeprod!$B$1:$VX$1,0),FALSE)/1,0)-IFERROR(VLOOKUP($B183,'Slutlig allokering kvv'!$B$2:$BX$550,MATCH(S$2,'Slutlig allokering kvv'!$B$1:$BX$1,0),FALSE)/1,0))</f>
        <v/>
      </c>
      <c r="T183" s="31" t="str">
        <f>IF($D183="","",IFERROR(VLOOKUP($B183,Kraftvärmeprod!$B$1:$BX$550,MATCH(T$2,Kraftvärmeprod!$B$1:$VX$1,0),FALSE)/1,0)-IFERROR(VLOOKUP($B183,'Slutlig allokering kvv'!$B$2:$BX$550,MATCH(T$2,'Slutlig allokering kvv'!$B$1:$BX$1,0),FALSE)/1,0))</f>
        <v/>
      </c>
      <c r="U183" s="31" t="str">
        <f>IF($D183="","",IFERROR(VLOOKUP($B183,Kraftvärmeprod!$B$1:$BX$550,MATCH(U$2,Kraftvärmeprod!$B$1:$VX$1,0),FALSE)/1,0)-IFERROR(VLOOKUP($B183,'Slutlig allokering kvv'!$B$2:$BX$550,MATCH(U$2,'Slutlig allokering kvv'!$B$1:$BX$1,0),FALSE)/1,0))</f>
        <v/>
      </c>
      <c r="V183" s="31" t="str">
        <f>IF($D183="","",IFERROR(VLOOKUP($B183,Kraftvärmeprod!$B$1:$BX$550,MATCH(V$2,Kraftvärmeprod!$B$1:$VX$1,0),FALSE)/1,0)-IFERROR(VLOOKUP($B183,'Slutlig allokering kvv'!$B$2:$BX$550,MATCH(V$2,'Slutlig allokering kvv'!$B$1:$BX$1,0),FALSE)/1,0))</f>
        <v/>
      </c>
      <c r="W183" s="31" t="str">
        <f>IF($D183="","",IFERROR(VLOOKUP($B183,Kraftvärmeprod!$B$1:$BX$550,MATCH(W$2,Kraftvärmeprod!$B$1:$VX$1,0),FALSE)/1,0)-IFERROR(VLOOKUP($B183,'Slutlig allokering kvv'!$B$2:$BX$550,MATCH(W$2,'Slutlig allokering kvv'!$B$1:$BX$1,0),FALSE)/1,0))</f>
        <v/>
      </c>
      <c r="X183" s="31" t="str">
        <f>IF($D183="","",IFERROR(VLOOKUP($B183,Kraftvärmeprod!$B$1:$BX$550,MATCH(X$2,Kraftvärmeprod!$B$1:$VX$1,0),FALSE)/1,0)-IFERROR(VLOOKUP($B183,'Slutlig allokering kvv'!$B$2:$BX$550,MATCH(X$2,'Slutlig allokering kvv'!$B$1:$BX$1,0),FALSE)/1,0))</f>
        <v/>
      </c>
      <c r="Y183" s="31" t="str">
        <f>IF($D183="","",IFERROR(VLOOKUP($B183,Kraftvärmeprod!$B$1:$BX$550,MATCH(Y$2,Kraftvärmeprod!$B$1:$VX$1,0),FALSE)/1,0)-IFERROR(VLOOKUP($B183,'Slutlig allokering kvv'!$B$2:$BX$550,MATCH(Y$2,'Slutlig allokering kvv'!$B$1:$BX$1,0),FALSE)/1,0))</f>
        <v/>
      </c>
      <c r="Z183" s="31" t="str">
        <f>IF($D183="","",IFERROR(VLOOKUP($B183,Kraftvärmeprod!$B$1:$BX$550,MATCH(Z$2,Kraftvärmeprod!$B$1:$VX$1,0),FALSE)/1,0)-IFERROR(VLOOKUP($B183,'Slutlig allokering kvv'!$B$2:$BX$550,MATCH(Z$2,'Slutlig allokering kvv'!$B$1:$BX$1,0),FALSE)/1,0))</f>
        <v/>
      </c>
      <c r="AA183" s="31" t="str">
        <f>IF($D183="","",IFERROR(VLOOKUP($B183,Kraftvärmeprod!$B$1:$BX$550,MATCH(AA$2,Kraftvärmeprod!$B$1:$VX$1,0),FALSE)/1,0)-IFERROR(VLOOKUP($B183,'Slutlig allokering kvv'!$B$2:$BX$550,MATCH(AA$2,'Slutlig allokering kvv'!$B$1:$BX$1,0),FALSE)/1,0))</f>
        <v/>
      </c>
      <c r="AB183" s="31" t="str">
        <f>IF($D183="","",IFERROR(VLOOKUP($B183,Kraftvärmeprod!$B$1:$BX$550,MATCH(AB$2,Kraftvärmeprod!$B$1:$VX$1,0),FALSE)/1,0)-IFERROR(VLOOKUP($B183,'Slutlig allokering kvv'!$B$2:$BX$550,MATCH(AB$2,'Slutlig allokering kvv'!$B$1:$BX$1,0),FALSE)/1,0))</f>
        <v/>
      </c>
      <c r="AC183" s="31" t="str">
        <f>IF($D183="","",IFERROR(VLOOKUP($B183,Kraftvärmeprod!$B$1:$BX$550,MATCH(AC$2,Kraftvärmeprod!$B$1:$VX$1,0),FALSE)/1,0)-IFERROR(VLOOKUP($B183,'Slutlig allokering kvv'!$B$2:$BX$550,MATCH(AC$2,'Slutlig allokering kvv'!$B$1:$BX$1,0),FALSE)/1,0))</f>
        <v/>
      </c>
      <c r="AD183" s="31" t="str">
        <f>IF($D183="","",IFERROR(VLOOKUP($B183,Kraftvärmeprod!$B$1:$BX$550,MATCH(AD$2,Kraftvärmeprod!$B$1:$VX$1,0),FALSE)/1,0)-IFERROR(VLOOKUP($B183,'Slutlig allokering kvv'!$B$2:$BX$550,MATCH(AD$2,'Slutlig allokering kvv'!$B$1:$BX$1,0),FALSE)/1,0))</f>
        <v/>
      </c>
      <c r="AE183" s="31" t="str">
        <f>IF($D183="","",IFERROR(VLOOKUP($B183,Miljö!$B$1:$E$550,MATCH("Hjälpel kraftvärme (GWh)",Miljö!$B$1:$E$1,0),FALSE)/1,0)-IFERROR(VLOOKUP($B183,'Slutlig allokering kvv'!$B$2:$BX$549,MATCH(AE$2,'Slutlig allokering kvv'!$B$1:$BX$1,0),FALSE)/1,0))</f>
        <v/>
      </c>
      <c r="AI183" s="39">
        <f t="shared" si="8"/>
        <v>0</v>
      </c>
      <c r="AK183" s="31">
        <f>IFERROR(VLOOKUP($B183,'Slutlig allokering kvv'!$B$2:$AX$549,MATCH("Summa slutlig allokerad tillförd energi (utan hjälpel och rökgaskondensering):",'Slutlig allokering kvv'!$B$1:$AX$1,0),FALSE)/1,"")</f>
        <v>0</v>
      </c>
      <c r="AM183" s="31" t="str">
        <f>IFERROR(1-VLOOKUP($B183,'Slutlig allokering kvv'!$B$2:$AX$549,MATCH("Andel av bränsle i kvv som allokerats till värme, exklusive rökgaskondensering och hjälpel",'Slutlig allokering kvv'!$B$1:$AX$1,0),FALSE),"")</f>
        <v/>
      </c>
      <c r="AO183" s="31" t="str">
        <f t="shared" si="9"/>
        <v/>
      </c>
      <c r="AP183" s="31" t="str">
        <f t="shared" si="10"/>
        <v/>
      </c>
      <c r="AR183" s="32" t="str">
        <f t="shared" si="11"/>
        <v/>
      </c>
    </row>
    <row r="184" spans="1:44" s="31" customFormat="1" x14ac:dyDescent="0.45">
      <c r="A184" s="31" t="s">
        <v>418</v>
      </c>
      <c r="B184" s="31" t="s">
        <v>426</v>
      </c>
      <c r="C184" s="31" t="str">
        <f>IFERROR(VLOOKUP($B184,Kraftvärmeprod!$B$1:$AH$479,MATCH(C$2,Kraftvärmeprod!$B$1:$AG$1,0),FALSE)/1,"")</f>
        <v/>
      </c>
      <c r="D184" s="31" t="str">
        <f>IFERROR(VLOOKUP($B184,Kraftvärmeprod!$B$1:$AH$479,MATCH(D$2,Kraftvärmeprod!$B$1:$AG$1,0),FALSE)/1,"")</f>
        <v/>
      </c>
      <c r="F184" s="31" t="str">
        <f>IF($D184="","",IFERROR(VLOOKUP($B184,Kraftvärmeprod!$B$1:$BX$550,MATCH(F$2,Kraftvärmeprod!$B$1:$VX$1,0),FALSE)/1,0)-IFERROR(VLOOKUP($B184,'Slutlig allokering kvv'!$B$2:$BX$550,MATCH(F$2,'Slutlig allokering kvv'!$B$1:$BX$1,0),FALSE)/1,0))</f>
        <v/>
      </c>
      <c r="G184" s="31" t="str">
        <f>IF($D184="","",IFERROR(VLOOKUP($B184,Kraftvärmeprod!$B$1:$BX$550,MATCH(G$2,Kraftvärmeprod!$B$1:$VX$1,0),FALSE)/1,0)-IFERROR(VLOOKUP($B184,'Slutlig allokering kvv'!$B$2:$BX$550,MATCH(G$2,'Slutlig allokering kvv'!$B$1:$BX$1,0),FALSE)/1,0))</f>
        <v/>
      </c>
      <c r="H184" s="31" t="str">
        <f>IF($D184="","",IFERROR(VLOOKUP($B184,Kraftvärmeprod!$B$1:$BX$550,MATCH(H$2,Kraftvärmeprod!$B$1:$VX$1,0),FALSE)/1,0)-IFERROR(VLOOKUP($B184,'Slutlig allokering kvv'!$B$2:$BX$550,MATCH(H$2,'Slutlig allokering kvv'!$B$1:$BX$1,0),FALSE)/1,0))</f>
        <v/>
      </c>
      <c r="I184" s="31" t="str">
        <f>IF($D184="","",IFERROR(VLOOKUP($B184,Kraftvärmeprod!$B$1:$BX$550,MATCH(I$2,Kraftvärmeprod!$B$1:$VX$1,0),FALSE)/1,0)-IFERROR(VLOOKUP($B184,'Slutlig allokering kvv'!$B$2:$BX$550,MATCH(I$2,'Slutlig allokering kvv'!$B$1:$BX$1,0),FALSE)/1,0))</f>
        <v/>
      </c>
      <c r="J184" s="31" t="str">
        <f>IF($D184="","",IFERROR(VLOOKUP($B184,Kraftvärmeprod!$B$1:$BX$550,MATCH(J$2,Kraftvärmeprod!$B$1:$VX$1,0),FALSE)/1,0)-IFERROR(VLOOKUP($B184,'Slutlig allokering kvv'!$B$2:$BX$550,MATCH(J$2,'Slutlig allokering kvv'!$B$1:$BX$1,0),FALSE)/1,0))</f>
        <v/>
      </c>
      <c r="K184" s="31" t="str">
        <f>IF($D184="","",IFERROR(VLOOKUP($B184,Kraftvärmeprod!$B$1:$BX$550,MATCH(K$2,Kraftvärmeprod!$B$1:$VX$1,0),FALSE)/1,0)-IFERROR(VLOOKUP($B184,'Slutlig allokering kvv'!$B$2:$BX$550,MATCH(K$2,'Slutlig allokering kvv'!$B$1:$BX$1,0),FALSE)/1,0))</f>
        <v/>
      </c>
      <c r="L184" s="31" t="str">
        <f>IF($D184="","",IFERROR(VLOOKUP($B184,Kraftvärmeprod!$B$1:$BX$550,MATCH(L$2,Kraftvärmeprod!$B$1:$VX$1,0),FALSE)/1,0)-IFERROR(VLOOKUP($B184,'Slutlig allokering kvv'!$B$2:$BX$550,MATCH(L$2,'Slutlig allokering kvv'!$B$1:$BX$1,0),FALSE)/1,0))</f>
        <v/>
      </c>
      <c r="M184" s="31" t="str">
        <f>IF($D184="","",IFERROR(VLOOKUP($B184,Kraftvärmeprod!$B$1:$BX$550,MATCH(M$2,Kraftvärmeprod!$B$1:$VX$1,0),FALSE)/1,0)-IFERROR(VLOOKUP($B184,'Slutlig allokering kvv'!$B$2:$BX$550,MATCH(M$2,'Slutlig allokering kvv'!$B$1:$BX$1,0),FALSE)/1,0))</f>
        <v/>
      </c>
      <c r="N184" s="31" t="str">
        <f>IF($D184="","",IFERROR(VLOOKUP($B184,Kraftvärmeprod!$B$1:$BX$550,MATCH(N$2,Kraftvärmeprod!$B$1:$VX$1,0),FALSE)/1,0)-IFERROR(VLOOKUP($B184,'Slutlig allokering kvv'!$B$2:$BX$550,MATCH(N$2,'Slutlig allokering kvv'!$B$1:$BX$1,0),FALSE)/1,0))</f>
        <v/>
      </c>
      <c r="O184" s="31" t="str">
        <f>IF($D184="","",IFERROR(VLOOKUP($B184,Kraftvärmeprod!$B$1:$BX$550,MATCH(O$2,Kraftvärmeprod!$B$1:$VX$1,0),FALSE)/1,0)-IFERROR(VLOOKUP($B184,'Slutlig allokering kvv'!$B$2:$BX$550,MATCH(O$2,'Slutlig allokering kvv'!$B$1:$BX$1,0),FALSE)/1,0))</f>
        <v/>
      </c>
      <c r="P184" s="31" t="str">
        <f>IF($D184="","",IFERROR(VLOOKUP($B184,Kraftvärmeprod!$B$1:$BX$550,MATCH(P$2,Kraftvärmeprod!$B$1:$VX$1,0),FALSE)/1,0)-IFERROR(VLOOKUP($B184,'Slutlig allokering kvv'!$B$2:$BX$550,MATCH(P$2,'Slutlig allokering kvv'!$B$1:$BX$1,0),FALSE)/1,0))</f>
        <v/>
      </c>
      <c r="Q184" s="31" t="str">
        <f>IF($D184="","",IFERROR(VLOOKUP($B184,Kraftvärmeprod!$B$1:$BX$550,MATCH(Q$2,Kraftvärmeprod!$B$1:$VX$1,0),FALSE)/1,0)-IFERROR(VLOOKUP($B184,'Slutlig allokering kvv'!$B$2:$BX$550,MATCH(Q$2,'Slutlig allokering kvv'!$B$1:$BX$1,0),FALSE)/1,0))</f>
        <v/>
      </c>
      <c r="R184" s="31" t="str">
        <f>IF($D184="","",IFERROR(VLOOKUP($B184,Kraftvärmeprod!$B$1:$BX$550,MATCH(R$2,Kraftvärmeprod!$B$1:$VX$1,0),FALSE)/1,0)-IFERROR(VLOOKUP($B184,'Slutlig allokering kvv'!$B$2:$BX$550,MATCH(R$2,'Slutlig allokering kvv'!$B$1:$BX$1,0),FALSE)/1,0))</f>
        <v/>
      </c>
      <c r="S184" s="31" t="str">
        <f>IF($D184="","",IFERROR(VLOOKUP($B184,Kraftvärmeprod!$B$1:$BX$550,MATCH(S$2,Kraftvärmeprod!$B$1:$VX$1,0),FALSE)/1,0)-IFERROR(VLOOKUP($B184,'Slutlig allokering kvv'!$B$2:$BX$550,MATCH(S$2,'Slutlig allokering kvv'!$B$1:$BX$1,0),FALSE)/1,0))</f>
        <v/>
      </c>
      <c r="T184" s="31" t="str">
        <f>IF($D184="","",IFERROR(VLOOKUP($B184,Kraftvärmeprod!$B$1:$BX$550,MATCH(T$2,Kraftvärmeprod!$B$1:$VX$1,0),FALSE)/1,0)-IFERROR(VLOOKUP($B184,'Slutlig allokering kvv'!$B$2:$BX$550,MATCH(T$2,'Slutlig allokering kvv'!$B$1:$BX$1,0),FALSE)/1,0))</f>
        <v/>
      </c>
      <c r="U184" s="31" t="str">
        <f>IF($D184="","",IFERROR(VLOOKUP($B184,Kraftvärmeprod!$B$1:$BX$550,MATCH(U$2,Kraftvärmeprod!$B$1:$VX$1,0),FALSE)/1,0)-IFERROR(VLOOKUP($B184,'Slutlig allokering kvv'!$B$2:$BX$550,MATCH(U$2,'Slutlig allokering kvv'!$B$1:$BX$1,0),FALSE)/1,0))</f>
        <v/>
      </c>
      <c r="V184" s="31" t="str">
        <f>IF($D184="","",IFERROR(VLOOKUP($B184,Kraftvärmeprod!$B$1:$BX$550,MATCH(V$2,Kraftvärmeprod!$B$1:$VX$1,0),FALSE)/1,0)-IFERROR(VLOOKUP($B184,'Slutlig allokering kvv'!$B$2:$BX$550,MATCH(V$2,'Slutlig allokering kvv'!$B$1:$BX$1,0),FALSE)/1,0))</f>
        <v/>
      </c>
      <c r="W184" s="31" t="str">
        <f>IF($D184="","",IFERROR(VLOOKUP($B184,Kraftvärmeprod!$B$1:$BX$550,MATCH(W$2,Kraftvärmeprod!$B$1:$VX$1,0),FALSE)/1,0)-IFERROR(VLOOKUP($B184,'Slutlig allokering kvv'!$B$2:$BX$550,MATCH(W$2,'Slutlig allokering kvv'!$B$1:$BX$1,0),FALSE)/1,0))</f>
        <v/>
      </c>
      <c r="X184" s="31" t="str">
        <f>IF($D184="","",IFERROR(VLOOKUP($B184,Kraftvärmeprod!$B$1:$BX$550,MATCH(X$2,Kraftvärmeprod!$B$1:$VX$1,0),FALSE)/1,0)-IFERROR(VLOOKUP($B184,'Slutlig allokering kvv'!$B$2:$BX$550,MATCH(X$2,'Slutlig allokering kvv'!$B$1:$BX$1,0),FALSE)/1,0))</f>
        <v/>
      </c>
      <c r="Y184" s="31" t="str">
        <f>IF($D184="","",IFERROR(VLOOKUP($B184,Kraftvärmeprod!$B$1:$BX$550,MATCH(Y$2,Kraftvärmeprod!$B$1:$VX$1,0),FALSE)/1,0)-IFERROR(VLOOKUP($B184,'Slutlig allokering kvv'!$B$2:$BX$550,MATCH(Y$2,'Slutlig allokering kvv'!$B$1:$BX$1,0),FALSE)/1,0))</f>
        <v/>
      </c>
      <c r="Z184" s="31" t="str">
        <f>IF($D184="","",IFERROR(VLOOKUP($B184,Kraftvärmeprod!$B$1:$BX$550,MATCH(Z$2,Kraftvärmeprod!$B$1:$VX$1,0),FALSE)/1,0)-IFERROR(VLOOKUP($B184,'Slutlig allokering kvv'!$B$2:$BX$550,MATCH(Z$2,'Slutlig allokering kvv'!$B$1:$BX$1,0),FALSE)/1,0))</f>
        <v/>
      </c>
      <c r="AA184" s="31" t="str">
        <f>IF($D184="","",IFERROR(VLOOKUP($B184,Kraftvärmeprod!$B$1:$BX$550,MATCH(AA$2,Kraftvärmeprod!$B$1:$VX$1,0),FALSE)/1,0)-IFERROR(VLOOKUP($B184,'Slutlig allokering kvv'!$B$2:$BX$550,MATCH(AA$2,'Slutlig allokering kvv'!$B$1:$BX$1,0),FALSE)/1,0))</f>
        <v/>
      </c>
      <c r="AB184" s="31" t="str">
        <f>IF($D184="","",IFERROR(VLOOKUP($B184,Kraftvärmeprod!$B$1:$BX$550,MATCH(AB$2,Kraftvärmeprod!$B$1:$VX$1,0),FALSE)/1,0)-IFERROR(VLOOKUP($B184,'Slutlig allokering kvv'!$B$2:$BX$550,MATCH(AB$2,'Slutlig allokering kvv'!$B$1:$BX$1,0),FALSE)/1,0))</f>
        <v/>
      </c>
      <c r="AC184" s="31" t="str">
        <f>IF($D184="","",IFERROR(VLOOKUP($B184,Kraftvärmeprod!$B$1:$BX$550,MATCH(AC$2,Kraftvärmeprod!$B$1:$VX$1,0),FALSE)/1,0)-IFERROR(VLOOKUP($B184,'Slutlig allokering kvv'!$B$2:$BX$550,MATCH(AC$2,'Slutlig allokering kvv'!$B$1:$BX$1,0),FALSE)/1,0))</f>
        <v/>
      </c>
      <c r="AD184" s="31" t="str">
        <f>IF($D184="","",IFERROR(VLOOKUP($B184,Kraftvärmeprod!$B$1:$BX$550,MATCH(AD$2,Kraftvärmeprod!$B$1:$VX$1,0),FALSE)/1,0)-IFERROR(VLOOKUP($B184,'Slutlig allokering kvv'!$B$2:$BX$550,MATCH(AD$2,'Slutlig allokering kvv'!$B$1:$BX$1,0),FALSE)/1,0))</f>
        <v/>
      </c>
      <c r="AE184" s="31" t="str">
        <f>IF($D184="","",IFERROR(VLOOKUP($B184,Miljö!$B$1:$E$550,MATCH("Hjälpel kraftvärme (GWh)",Miljö!$B$1:$E$1,0),FALSE)/1,0)-IFERROR(VLOOKUP($B184,'Slutlig allokering kvv'!$B$2:$BX$549,MATCH(AE$2,'Slutlig allokering kvv'!$B$1:$BX$1,0),FALSE)/1,0))</f>
        <v/>
      </c>
      <c r="AI184" s="39">
        <f t="shared" si="8"/>
        <v>0</v>
      </c>
      <c r="AK184" s="31">
        <f>IFERROR(VLOOKUP($B184,'Slutlig allokering kvv'!$B$2:$AX$549,MATCH("Summa slutlig allokerad tillförd energi (utan hjälpel och rökgaskondensering):",'Slutlig allokering kvv'!$B$1:$AX$1,0),FALSE)/1,"")</f>
        <v>0</v>
      </c>
      <c r="AM184" s="31" t="str">
        <f>IFERROR(1-VLOOKUP($B184,'Slutlig allokering kvv'!$B$2:$AX$549,MATCH("Andel av bränsle i kvv som allokerats till värme, exklusive rökgaskondensering och hjälpel",'Slutlig allokering kvv'!$B$1:$AX$1,0),FALSE),"")</f>
        <v/>
      </c>
      <c r="AO184" s="31" t="str">
        <f t="shared" si="9"/>
        <v/>
      </c>
      <c r="AP184" s="31" t="str">
        <f t="shared" si="10"/>
        <v/>
      </c>
      <c r="AR184" s="32" t="str">
        <f t="shared" si="11"/>
        <v/>
      </c>
    </row>
    <row r="185" spans="1:44" s="31" customFormat="1" x14ac:dyDescent="0.45">
      <c r="A185" s="31" t="s">
        <v>418</v>
      </c>
      <c r="B185" s="31" t="s">
        <v>419</v>
      </c>
      <c r="C185" s="31" t="str">
        <f>IFERROR(VLOOKUP($B185,Kraftvärmeprod!$B$1:$AH$479,MATCH(C$2,Kraftvärmeprod!$B$1:$AG$1,0),FALSE)/1,"")</f>
        <v/>
      </c>
      <c r="D185" s="31" t="str">
        <f>IFERROR(VLOOKUP($B185,Kraftvärmeprod!$B$1:$AH$479,MATCH(D$2,Kraftvärmeprod!$B$1:$AG$1,0),FALSE)/1,"")</f>
        <v/>
      </c>
      <c r="F185" s="31" t="str">
        <f>IF($D185="","",IFERROR(VLOOKUP($B185,Kraftvärmeprod!$B$1:$BX$550,MATCH(F$2,Kraftvärmeprod!$B$1:$VX$1,0),FALSE)/1,0)-IFERROR(VLOOKUP($B185,'Slutlig allokering kvv'!$B$2:$BX$550,MATCH(F$2,'Slutlig allokering kvv'!$B$1:$BX$1,0),FALSE)/1,0))</f>
        <v/>
      </c>
      <c r="G185" s="31" t="str">
        <f>IF($D185="","",IFERROR(VLOOKUP($B185,Kraftvärmeprod!$B$1:$BX$550,MATCH(G$2,Kraftvärmeprod!$B$1:$VX$1,0),FALSE)/1,0)-IFERROR(VLOOKUP($B185,'Slutlig allokering kvv'!$B$2:$BX$550,MATCH(G$2,'Slutlig allokering kvv'!$B$1:$BX$1,0),FALSE)/1,0))</f>
        <v/>
      </c>
      <c r="H185" s="31" t="str">
        <f>IF($D185="","",IFERROR(VLOOKUP($B185,Kraftvärmeprod!$B$1:$BX$550,MATCH(H$2,Kraftvärmeprod!$B$1:$VX$1,0),FALSE)/1,0)-IFERROR(VLOOKUP($B185,'Slutlig allokering kvv'!$B$2:$BX$550,MATCH(H$2,'Slutlig allokering kvv'!$B$1:$BX$1,0),FALSE)/1,0))</f>
        <v/>
      </c>
      <c r="I185" s="31" t="str">
        <f>IF($D185="","",IFERROR(VLOOKUP($B185,Kraftvärmeprod!$B$1:$BX$550,MATCH(I$2,Kraftvärmeprod!$B$1:$VX$1,0),FALSE)/1,0)-IFERROR(VLOOKUP($B185,'Slutlig allokering kvv'!$B$2:$BX$550,MATCH(I$2,'Slutlig allokering kvv'!$B$1:$BX$1,0),FALSE)/1,0))</f>
        <v/>
      </c>
      <c r="J185" s="31" t="str">
        <f>IF($D185="","",IFERROR(VLOOKUP($B185,Kraftvärmeprod!$B$1:$BX$550,MATCH(J$2,Kraftvärmeprod!$B$1:$VX$1,0),FALSE)/1,0)-IFERROR(VLOOKUP($B185,'Slutlig allokering kvv'!$B$2:$BX$550,MATCH(J$2,'Slutlig allokering kvv'!$B$1:$BX$1,0),FALSE)/1,0))</f>
        <v/>
      </c>
      <c r="K185" s="31" t="str">
        <f>IF($D185="","",IFERROR(VLOOKUP($B185,Kraftvärmeprod!$B$1:$BX$550,MATCH(K$2,Kraftvärmeprod!$B$1:$VX$1,0),FALSE)/1,0)-IFERROR(VLOOKUP($B185,'Slutlig allokering kvv'!$B$2:$BX$550,MATCH(K$2,'Slutlig allokering kvv'!$B$1:$BX$1,0),FALSE)/1,0))</f>
        <v/>
      </c>
      <c r="L185" s="31" t="str">
        <f>IF($D185="","",IFERROR(VLOOKUP($B185,Kraftvärmeprod!$B$1:$BX$550,MATCH(L$2,Kraftvärmeprod!$B$1:$VX$1,0),FALSE)/1,0)-IFERROR(VLOOKUP($B185,'Slutlig allokering kvv'!$B$2:$BX$550,MATCH(L$2,'Slutlig allokering kvv'!$B$1:$BX$1,0),FALSE)/1,0))</f>
        <v/>
      </c>
      <c r="M185" s="31" t="str">
        <f>IF($D185="","",IFERROR(VLOOKUP($B185,Kraftvärmeprod!$B$1:$BX$550,MATCH(M$2,Kraftvärmeprod!$B$1:$VX$1,0),FALSE)/1,0)-IFERROR(VLOOKUP($B185,'Slutlig allokering kvv'!$B$2:$BX$550,MATCH(M$2,'Slutlig allokering kvv'!$B$1:$BX$1,0),FALSE)/1,0))</f>
        <v/>
      </c>
      <c r="N185" s="31" t="str">
        <f>IF($D185="","",IFERROR(VLOOKUP($B185,Kraftvärmeprod!$B$1:$BX$550,MATCH(N$2,Kraftvärmeprod!$B$1:$VX$1,0),FALSE)/1,0)-IFERROR(VLOOKUP($B185,'Slutlig allokering kvv'!$B$2:$BX$550,MATCH(N$2,'Slutlig allokering kvv'!$B$1:$BX$1,0),FALSE)/1,0))</f>
        <v/>
      </c>
      <c r="O185" s="31" t="str">
        <f>IF($D185="","",IFERROR(VLOOKUP($B185,Kraftvärmeprod!$B$1:$BX$550,MATCH(O$2,Kraftvärmeprod!$B$1:$VX$1,0),FALSE)/1,0)-IFERROR(VLOOKUP($B185,'Slutlig allokering kvv'!$B$2:$BX$550,MATCH(O$2,'Slutlig allokering kvv'!$B$1:$BX$1,0),FALSE)/1,0))</f>
        <v/>
      </c>
      <c r="P185" s="31" t="str">
        <f>IF($D185="","",IFERROR(VLOOKUP($B185,Kraftvärmeprod!$B$1:$BX$550,MATCH(P$2,Kraftvärmeprod!$B$1:$VX$1,0),FALSE)/1,0)-IFERROR(VLOOKUP($B185,'Slutlig allokering kvv'!$B$2:$BX$550,MATCH(P$2,'Slutlig allokering kvv'!$B$1:$BX$1,0),FALSE)/1,0))</f>
        <v/>
      </c>
      <c r="Q185" s="31" t="str">
        <f>IF($D185="","",IFERROR(VLOOKUP($B185,Kraftvärmeprod!$B$1:$BX$550,MATCH(Q$2,Kraftvärmeprod!$B$1:$VX$1,0),FALSE)/1,0)-IFERROR(VLOOKUP($B185,'Slutlig allokering kvv'!$B$2:$BX$550,MATCH(Q$2,'Slutlig allokering kvv'!$B$1:$BX$1,0),FALSE)/1,0))</f>
        <v/>
      </c>
      <c r="R185" s="31" t="str">
        <f>IF($D185="","",IFERROR(VLOOKUP($B185,Kraftvärmeprod!$B$1:$BX$550,MATCH(R$2,Kraftvärmeprod!$B$1:$VX$1,0),FALSE)/1,0)-IFERROR(VLOOKUP($B185,'Slutlig allokering kvv'!$B$2:$BX$550,MATCH(R$2,'Slutlig allokering kvv'!$B$1:$BX$1,0),FALSE)/1,0))</f>
        <v/>
      </c>
      <c r="S185" s="31" t="str">
        <f>IF($D185="","",IFERROR(VLOOKUP($B185,Kraftvärmeprod!$B$1:$BX$550,MATCH(S$2,Kraftvärmeprod!$B$1:$VX$1,0),FALSE)/1,0)-IFERROR(VLOOKUP($B185,'Slutlig allokering kvv'!$B$2:$BX$550,MATCH(S$2,'Slutlig allokering kvv'!$B$1:$BX$1,0),FALSE)/1,0))</f>
        <v/>
      </c>
      <c r="T185" s="31" t="str">
        <f>IF($D185="","",IFERROR(VLOOKUP($B185,Kraftvärmeprod!$B$1:$BX$550,MATCH(T$2,Kraftvärmeprod!$B$1:$VX$1,0),FALSE)/1,0)-IFERROR(VLOOKUP($B185,'Slutlig allokering kvv'!$B$2:$BX$550,MATCH(T$2,'Slutlig allokering kvv'!$B$1:$BX$1,0),FALSE)/1,0))</f>
        <v/>
      </c>
      <c r="U185" s="31" t="str">
        <f>IF($D185="","",IFERROR(VLOOKUP($B185,Kraftvärmeprod!$B$1:$BX$550,MATCH(U$2,Kraftvärmeprod!$B$1:$VX$1,0),FALSE)/1,0)-IFERROR(VLOOKUP($B185,'Slutlig allokering kvv'!$B$2:$BX$550,MATCH(U$2,'Slutlig allokering kvv'!$B$1:$BX$1,0),FALSE)/1,0))</f>
        <v/>
      </c>
      <c r="V185" s="31" t="str">
        <f>IF($D185="","",IFERROR(VLOOKUP($B185,Kraftvärmeprod!$B$1:$BX$550,MATCH(V$2,Kraftvärmeprod!$B$1:$VX$1,0),FALSE)/1,0)-IFERROR(VLOOKUP($B185,'Slutlig allokering kvv'!$B$2:$BX$550,MATCH(V$2,'Slutlig allokering kvv'!$B$1:$BX$1,0),FALSE)/1,0))</f>
        <v/>
      </c>
      <c r="W185" s="31" t="str">
        <f>IF($D185="","",IFERROR(VLOOKUP($B185,Kraftvärmeprod!$B$1:$BX$550,MATCH(W$2,Kraftvärmeprod!$B$1:$VX$1,0),FALSE)/1,0)-IFERROR(VLOOKUP($B185,'Slutlig allokering kvv'!$B$2:$BX$550,MATCH(W$2,'Slutlig allokering kvv'!$B$1:$BX$1,0),FALSE)/1,0))</f>
        <v/>
      </c>
      <c r="X185" s="31" t="str">
        <f>IF($D185="","",IFERROR(VLOOKUP($B185,Kraftvärmeprod!$B$1:$BX$550,MATCH(X$2,Kraftvärmeprod!$B$1:$VX$1,0),FALSE)/1,0)-IFERROR(VLOOKUP($B185,'Slutlig allokering kvv'!$B$2:$BX$550,MATCH(X$2,'Slutlig allokering kvv'!$B$1:$BX$1,0),FALSE)/1,0))</f>
        <v/>
      </c>
      <c r="Y185" s="31" t="str">
        <f>IF($D185="","",IFERROR(VLOOKUP($B185,Kraftvärmeprod!$B$1:$BX$550,MATCH(Y$2,Kraftvärmeprod!$B$1:$VX$1,0),FALSE)/1,0)-IFERROR(VLOOKUP($B185,'Slutlig allokering kvv'!$B$2:$BX$550,MATCH(Y$2,'Slutlig allokering kvv'!$B$1:$BX$1,0),FALSE)/1,0))</f>
        <v/>
      </c>
      <c r="Z185" s="31" t="str">
        <f>IF($D185="","",IFERROR(VLOOKUP($B185,Kraftvärmeprod!$B$1:$BX$550,MATCH(Z$2,Kraftvärmeprod!$B$1:$VX$1,0),FALSE)/1,0)-IFERROR(VLOOKUP($B185,'Slutlig allokering kvv'!$B$2:$BX$550,MATCH(Z$2,'Slutlig allokering kvv'!$B$1:$BX$1,0),FALSE)/1,0))</f>
        <v/>
      </c>
      <c r="AA185" s="31" t="str">
        <f>IF($D185="","",IFERROR(VLOOKUP($B185,Kraftvärmeprod!$B$1:$BX$550,MATCH(AA$2,Kraftvärmeprod!$B$1:$VX$1,0),FALSE)/1,0)-IFERROR(VLOOKUP($B185,'Slutlig allokering kvv'!$B$2:$BX$550,MATCH(AA$2,'Slutlig allokering kvv'!$B$1:$BX$1,0),FALSE)/1,0))</f>
        <v/>
      </c>
      <c r="AB185" s="31" t="str">
        <f>IF($D185="","",IFERROR(VLOOKUP($B185,Kraftvärmeprod!$B$1:$BX$550,MATCH(AB$2,Kraftvärmeprod!$B$1:$VX$1,0),FALSE)/1,0)-IFERROR(VLOOKUP($B185,'Slutlig allokering kvv'!$B$2:$BX$550,MATCH(AB$2,'Slutlig allokering kvv'!$B$1:$BX$1,0),FALSE)/1,0))</f>
        <v/>
      </c>
      <c r="AC185" s="31" t="str">
        <f>IF($D185="","",IFERROR(VLOOKUP($B185,Kraftvärmeprod!$B$1:$BX$550,MATCH(AC$2,Kraftvärmeprod!$B$1:$VX$1,0),FALSE)/1,0)-IFERROR(VLOOKUP($B185,'Slutlig allokering kvv'!$B$2:$BX$550,MATCH(AC$2,'Slutlig allokering kvv'!$B$1:$BX$1,0),FALSE)/1,0))</f>
        <v/>
      </c>
      <c r="AD185" s="31" t="str">
        <f>IF($D185="","",IFERROR(VLOOKUP($B185,Kraftvärmeprod!$B$1:$BX$550,MATCH(AD$2,Kraftvärmeprod!$B$1:$VX$1,0),FALSE)/1,0)-IFERROR(VLOOKUP($B185,'Slutlig allokering kvv'!$B$2:$BX$550,MATCH(AD$2,'Slutlig allokering kvv'!$B$1:$BX$1,0),FALSE)/1,0))</f>
        <v/>
      </c>
      <c r="AE185" s="31" t="str">
        <f>IF($D185="","",IFERROR(VLOOKUP($B185,Miljö!$B$1:$E$550,MATCH("Hjälpel kraftvärme (GWh)",Miljö!$B$1:$E$1,0),FALSE)/1,0)-IFERROR(VLOOKUP($B185,'Slutlig allokering kvv'!$B$2:$BX$549,MATCH(AE$2,'Slutlig allokering kvv'!$B$1:$BX$1,0),FALSE)/1,0))</f>
        <v/>
      </c>
      <c r="AI185" s="39">
        <f t="shared" si="8"/>
        <v>0</v>
      </c>
      <c r="AK185" s="31">
        <f>IFERROR(VLOOKUP($B185,'Slutlig allokering kvv'!$B$2:$AX$549,MATCH("Summa slutlig allokerad tillförd energi (utan hjälpel och rökgaskondensering):",'Slutlig allokering kvv'!$B$1:$AX$1,0),FALSE)/1,"")</f>
        <v>0</v>
      </c>
      <c r="AM185" s="31" t="str">
        <f>IFERROR(1-VLOOKUP($B185,'Slutlig allokering kvv'!$B$2:$AX$549,MATCH("Andel av bränsle i kvv som allokerats till värme, exklusive rökgaskondensering och hjälpel",'Slutlig allokering kvv'!$B$1:$AX$1,0),FALSE),"")</f>
        <v/>
      </c>
      <c r="AO185" s="31" t="str">
        <f t="shared" si="9"/>
        <v/>
      </c>
      <c r="AP185" s="31" t="str">
        <f t="shared" si="10"/>
        <v/>
      </c>
      <c r="AR185" s="32" t="str">
        <f t="shared" si="11"/>
        <v/>
      </c>
    </row>
    <row r="186" spans="1:44" s="31" customFormat="1" x14ac:dyDescent="0.45">
      <c r="A186" s="31" t="s">
        <v>418</v>
      </c>
      <c r="B186" s="31" t="s">
        <v>423</v>
      </c>
      <c r="C186" s="31" t="str">
        <f>IFERROR(VLOOKUP($B186,Kraftvärmeprod!$B$1:$AH$479,MATCH(C$2,Kraftvärmeprod!$B$1:$AG$1,0),FALSE)/1,"")</f>
        <v/>
      </c>
      <c r="D186" s="31" t="str">
        <f>IFERROR(VLOOKUP($B186,Kraftvärmeprod!$B$1:$AH$479,MATCH(D$2,Kraftvärmeprod!$B$1:$AG$1,0),FALSE)/1,"")</f>
        <v/>
      </c>
      <c r="F186" s="31" t="str">
        <f>IF($D186="","",IFERROR(VLOOKUP($B186,Kraftvärmeprod!$B$1:$BX$550,MATCH(F$2,Kraftvärmeprod!$B$1:$VX$1,0),FALSE)/1,0)-IFERROR(VLOOKUP($B186,'Slutlig allokering kvv'!$B$2:$BX$550,MATCH(F$2,'Slutlig allokering kvv'!$B$1:$BX$1,0),FALSE)/1,0))</f>
        <v/>
      </c>
      <c r="G186" s="31" t="str">
        <f>IF($D186="","",IFERROR(VLOOKUP($B186,Kraftvärmeprod!$B$1:$BX$550,MATCH(G$2,Kraftvärmeprod!$B$1:$VX$1,0),FALSE)/1,0)-IFERROR(VLOOKUP($B186,'Slutlig allokering kvv'!$B$2:$BX$550,MATCH(G$2,'Slutlig allokering kvv'!$B$1:$BX$1,0),FALSE)/1,0))</f>
        <v/>
      </c>
      <c r="H186" s="31" t="str">
        <f>IF($D186="","",IFERROR(VLOOKUP($B186,Kraftvärmeprod!$B$1:$BX$550,MATCH(H$2,Kraftvärmeprod!$B$1:$VX$1,0),FALSE)/1,0)-IFERROR(VLOOKUP($B186,'Slutlig allokering kvv'!$B$2:$BX$550,MATCH(H$2,'Slutlig allokering kvv'!$B$1:$BX$1,0),FALSE)/1,0))</f>
        <v/>
      </c>
      <c r="I186" s="31" t="str">
        <f>IF($D186="","",IFERROR(VLOOKUP($B186,Kraftvärmeprod!$B$1:$BX$550,MATCH(I$2,Kraftvärmeprod!$B$1:$VX$1,0),FALSE)/1,0)-IFERROR(VLOOKUP($B186,'Slutlig allokering kvv'!$B$2:$BX$550,MATCH(I$2,'Slutlig allokering kvv'!$B$1:$BX$1,0),FALSE)/1,0))</f>
        <v/>
      </c>
      <c r="J186" s="31" t="str">
        <f>IF($D186="","",IFERROR(VLOOKUP($B186,Kraftvärmeprod!$B$1:$BX$550,MATCH(J$2,Kraftvärmeprod!$B$1:$VX$1,0),FALSE)/1,0)-IFERROR(VLOOKUP($B186,'Slutlig allokering kvv'!$B$2:$BX$550,MATCH(J$2,'Slutlig allokering kvv'!$B$1:$BX$1,0),FALSE)/1,0))</f>
        <v/>
      </c>
      <c r="K186" s="31" t="str">
        <f>IF($D186="","",IFERROR(VLOOKUP($B186,Kraftvärmeprod!$B$1:$BX$550,MATCH(K$2,Kraftvärmeprod!$B$1:$VX$1,0),FALSE)/1,0)-IFERROR(VLOOKUP($B186,'Slutlig allokering kvv'!$B$2:$BX$550,MATCH(K$2,'Slutlig allokering kvv'!$B$1:$BX$1,0),FALSE)/1,0))</f>
        <v/>
      </c>
      <c r="L186" s="31" t="str">
        <f>IF($D186="","",IFERROR(VLOOKUP($B186,Kraftvärmeprod!$B$1:$BX$550,MATCH(L$2,Kraftvärmeprod!$B$1:$VX$1,0),FALSE)/1,0)-IFERROR(VLOOKUP($B186,'Slutlig allokering kvv'!$B$2:$BX$550,MATCH(L$2,'Slutlig allokering kvv'!$B$1:$BX$1,0),FALSE)/1,0))</f>
        <v/>
      </c>
      <c r="M186" s="31" t="str">
        <f>IF($D186="","",IFERROR(VLOOKUP($B186,Kraftvärmeprod!$B$1:$BX$550,MATCH(M$2,Kraftvärmeprod!$B$1:$VX$1,0),FALSE)/1,0)-IFERROR(VLOOKUP($B186,'Slutlig allokering kvv'!$B$2:$BX$550,MATCH(M$2,'Slutlig allokering kvv'!$B$1:$BX$1,0),FALSE)/1,0))</f>
        <v/>
      </c>
      <c r="N186" s="31" t="str">
        <f>IF($D186="","",IFERROR(VLOOKUP($B186,Kraftvärmeprod!$B$1:$BX$550,MATCH(N$2,Kraftvärmeprod!$B$1:$VX$1,0),FALSE)/1,0)-IFERROR(VLOOKUP($B186,'Slutlig allokering kvv'!$B$2:$BX$550,MATCH(N$2,'Slutlig allokering kvv'!$B$1:$BX$1,0),FALSE)/1,0))</f>
        <v/>
      </c>
      <c r="O186" s="31" t="str">
        <f>IF($D186="","",IFERROR(VLOOKUP($B186,Kraftvärmeprod!$B$1:$BX$550,MATCH(O$2,Kraftvärmeprod!$B$1:$VX$1,0),FALSE)/1,0)-IFERROR(VLOOKUP($B186,'Slutlig allokering kvv'!$B$2:$BX$550,MATCH(O$2,'Slutlig allokering kvv'!$B$1:$BX$1,0),FALSE)/1,0))</f>
        <v/>
      </c>
      <c r="P186" s="31" t="str">
        <f>IF($D186="","",IFERROR(VLOOKUP($B186,Kraftvärmeprod!$B$1:$BX$550,MATCH(P$2,Kraftvärmeprod!$B$1:$VX$1,0),FALSE)/1,0)-IFERROR(VLOOKUP($B186,'Slutlig allokering kvv'!$B$2:$BX$550,MATCH(P$2,'Slutlig allokering kvv'!$B$1:$BX$1,0),FALSE)/1,0))</f>
        <v/>
      </c>
      <c r="Q186" s="31" t="str">
        <f>IF($D186="","",IFERROR(VLOOKUP($B186,Kraftvärmeprod!$B$1:$BX$550,MATCH(Q$2,Kraftvärmeprod!$B$1:$VX$1,0),FALSE)/1,0)-IFERROR(VLOOKUP($B186,'Slutlig allokering kvv'!$B$2:$BX$550,MATCH(Q$2,'Slutlig allokering kvv'!$B$1:$BX$1,0),FALSE)/1,0))</f>
        <v/>
      </c>
      <c r="R186" s="31" t="str">
        <f>IF($D186="","",IFERROR(VLOOKUP($B186,Kraftvärmeprod!$B$1:$BX$550,MATCH(R$2,Kraftvärmeprod!$B$1:$VX$1,0),FALSE)/1,0)-IFERROR(VLOOKUP($B186,'Slutlig allokering kvv'!$B$2:$BX$550,MATCH(R$2,'Slutlig allokering kvv'!$B$1:$BX$1,0),FALSE)/1,0))</f>
        <v/>
      </c>
      <c r="S186" s="31" t="str">
        <f>IF($D186="","",IFERROR(VLOOKUP($B186,Kraftvärmeprod!$B$1:$BX$550,MATCH(S$2,Kraftvärmeprod!$B$1:$VX$1,0),FALSE)/1,0)-IFERROR(VLOOKUP($B186,'Slutlig allokering kvv'!$B$2:$BX$550,MATCH(S$2,'Slutlig allokering kvv'!$B$1:$BX$1,0),FALSE)/1,0))</f>
        <v/>
      </c>
      <c r="T186" s="31" t="str">
        <f>IF($D186="","",IFERROR(VLOOKUP($B186,Kraftvärmeprod!$B$1:$BX$550,MATCH(T$2,Kraftvärmeprod!$B$1:$VX$1,0),FALSE)/1,0)-IFERROR(VLOOKUP($B186,'Slutlig allokering kvv'!$B$2:$BX$550,MATCH(T$2,'Slutlig allokering kvv'!$B$1:$BX$1,0),FALSE)/1,0))</f>
        <v/>
      </c>
      <c r="U186" s="31" t="str">
        <f>IF($D186="","",IFERROR(VLOOKUP($B186,Kraftvärmeprod!$B$1:$BX$550,MATCH(U$2,Kraftvärmeprod!$B$1:$VX$1,0),FALSE)/1,0)-IFERROR(VLOOKUP($B186,'Slutlig allokering kvv'!$B$2:$BX$550,MATCH(U$2,'Slutlig allokering kvv'!$B$1:$BX$1,0),FALSE)/1,0))</f>
        <v/>
      </c>
      <c r="V186" s="31" t="str">
        <f>IF($D186="","",IFERROR(VLOOKUP($B186,Kraftvärmeprod!$B$1:$BX$550,MATCH(V$2,Kraftvärmeprod!$B$1:$VX$1,0),FALSE)/1,0)-IFERROR(VLOOKUP($B186,'Slutlig allokering kvv'!$B$2:$BX$550,MATCH(V$2,'Slutlig allokering kvv'!$B$1:$BX$1,0),FALSE)/1,0))</f>
        <v/>
      </c>
      <c r="W186" s="31" t="str">
        <f>IF($D186="","",IFERROR(VLOOKUP($B186,Kraftvärmeprod!$B$1:$BX$550,MATCH(W$2,Kraftvärmeprod!$B$1:$VX$1,0),FALSE)/1,0)-IFERROR(VLOOKUP($B186,'Slutlig allokering kvv'!$B$2:$BX$550,MATCH(W$2,'Slutlig allokering kvv'!$B$1:$BX$1,0),FALSE)/1,0))</f>
        <v/>
      </c>
      <c r="X186" s="31" t="str">
        <f>IF($D186="","",IFERROR(VLOOKUP($B186,Kraftvärmeprod!$B$1:$BX$550,MATCH(X$2,Kraftvärmeprod!$B$1:$VX$1,0),FALSE)/1,0)-IFERROR(VLOOKUP($B186,'Slutlig allokering kvv'!$B$2:$BX$550,MATCH(X$2,'Slutlig allokering kvv'!$B$1:$BX$1,0),FALSE)/1,0))</f>
        <v/>
      </c>
      <c r="Y186" s="31" t="str">
        <f>IF($D186="","",IFERROR(VLOOKUP($B186,Kraftvärmeprod!$B$1:$BX$550,MATCH(Y$2,Kraftvärmeprod!$B$1:$VX$1,0),FALSE)/1,0)-IFERROR(VLOOKUP($B186,'Slutlig allokering kvv'!$B$2:$BX$550,MATCH(Y$2,'Slutlig allokering kvv'!$B$1:$BX$1,0),FALSE)/1,0))</f>
        <v/>
      </c>
      <c r="Z186" s="31" t="str">
        <f>IF($D186="","",IFERROR(VLOOKUP($B186,Kraftvärmeprod!$B$1:$BX$550,MATCH(Z$2,Kraftvärmeprod!$B$1:$VX$1,0),FALSE)/1,0)-IFERROR(VLOOKUP($B186,'Slutlig allokering kvv'!$B$2:$BX$550,MATCH(Z$2,'Slutlig allokering kvv'!$B$1:$BX$1,0),FALSE)/1,0))</f>
        <v/>
      </c>
      <c r="AA186" s="31" t="str">
        <f>IF($D186="","",IFERROR(VLOOKUP($B186,Kraftvärmeprod!$B$1:$BX$550,MATCH(AA$2,Kraftvärmeprod!$B$1:$VX$1,0),FALSE)/1,0)-IFERROR(VLOOKUP($B186,'Slutlig allokering kvv'!$B$2:$BX$550,MATCH(AA$2,'Slutlig allokering kvv'!$B$1:$BX$1,0),FALSE)/1,0))</f>
        <v/>
      </c>
      <c r="AB186" s="31" t="str">
        <f>IF($D186="","",IFERROR(VLOOKUP($B186,Kraftvärmeprod!$B$1:$BX$550,MATCH(AB$2,Kraftvärmeprod!$B$1:$VX$1,0),FALSE)/1,0)-IFERROR(VLOOKUP($B186,'Slutlig allokering kvv'!$B$2:$BX$550,MATCH(AB$2,'Slutlig allokering kvv'!$B$1:$BX$1,0),FALSE)/1,0))</f>
        <v/>
      </c>
      <c r="AC186" s="31" t="str">
        <f>IF($D186="","",IFERROR(VLOOKUP($B186,Kraftvärmeprod!$B$1:$BX$550,MATCH(AC$2,Kraftvärmeprod!$B$1:$VX$1,0),FALSE)/1,0)-IFERROR(VLOOKUP($B186,'Slutlig allokering kvv'!$B$2:$BX$550,MATCH(AC$2,'Slutlig allokering kvv'!$B$1:$BX$1,0),FALSE)/1,0))</f>
        <v/>
      </c>
      <c r="AD186" s="31" t="str">
        <f>IF($D186="","",IFERROR(VLOOKUP($B186,Kraftvärmeprod!$B$1:$BX$550,MATCH(AD$2,Kraftvärmeprod!$B$1:$VX$1,0),FALSE)/1,0)-IFERROR(VLOOKUP($B186,'Slutlig allokering kvv'!$B$2:$BX$550,MATCH(AD$2,'Slutlig allokering kvv'!$B$1:$BX$1,0),FALSE)/1,0))</f>
        <v/>
      </c>
      <c r="AE186" s="31" t="str">
        <f>IF($D186="","",IFERROR(VLOOKUP($B186,Miljö!$B$1:$E$550,MATCH("Hjälpel kraftvärme (GWh)",Miljö!$B$1:$E$1,0),FALSE)/1,0)-IFERROR(VLOOKUP($B186,'Slutlig allokering kvv'!$B$2:$BX$549,MATCH(AE$2,'Slutlig allokering kvv'!$B$1:$BX$1,0),FALSE)/1,0))</f>
        <v/>
      </c>
      <c r="AI186" s="39">
        <f t="shared" si="8"/>
        <v>0</v>
      </c>
      <c r="AK186" s="31">
        <f>IFERROR(VLOOKUP($B186,'Slutlig allokering kvv'!$B$2:$AX$549,MATCH("Summa slutlig allokerad tillförd energi (utan hjälpel och rökgaskondensering):",'Slutlig allokering kvv'!$B$1:$AX$1,0),FALSE)/1,"")</f>
        <v>0</v>
      </c>
      <c r="AM186" s="31" t="str">
        <f>IFERROR(1-VLOOKUP($B186,'Slutlig allokering kvv'!$B$2:$AX$549,MATCH("Andel av bränsle i kvv som allokerats till värme, exklusive rökgaskondensering och hjälpel",'Slutlig allokering kvv'!$B$1:$AX$1,0),FALSE),"")</f>
        <v/>
      </c>
      <c r="AO186" s="31" t="str">
        <f t="shared" si="9"/>
        <v/>
      </c>
      <c r="AP186" s="31" t="str">
        <f t="shared" si="10"/>
        <v/>
      </c>
      <c r="AR186" s="32" t="str">
        <f t="shared" si="11"/>
        <v/>
      </c>
    </row>
    <row r="187" spans="1:44" s="31" customFormat="1" x14ac:dyDescent="0.45">
      <c r="A187" s="31" t="s">
        <v>418</v>
      </c>
      <c r="B187" s="31" t="s">
        <v>422</v>
      </c>
      <c r="C187" s="31" t="str">
        <f>IFERROR(VLOOKUP($B187,Kraftvärmeprod!$B$1:$AH$479,MATCH(C$2,Kraftvärmeprod!$B$1:$AG$1,0),FALSE)/1,"")</f>
        <v/>
      </c>
      <c r="D187" s="31" t="str">
        <f>IFERROR(VLOOKUP($B187,Kraftvärmeprod!$B$1:$AH$479,MATCH(D$2,Kraftvärmeprod!$B$1:$AG$1,0),FALSE)/1,"")</f>
        <v/>
      </c>
      <c r="F187" s="31" t="str">
        <f>IF($D187="","",IFERROR(VLOOKUP($B187,Kraftvärmeprod!$B$1:$BX$550,MATCH(F$2,Kraftvärmeprod!$B$1:$VX$1,0),FALSE)/1,0)-IFERROR(VLOOKUP($B187,'Slutlig allokering kvv'!$B$2:$BX$550,MATCH(F$2,'Slutlig allokering kvv'!$B$1:$BX$1,0),FALSE)/1,0))</f>
        <v/>
      </c>
      <c r="G187" s="31" t="str">
        <f>IF($D187="","",IFERROR(VLOOKUP($B187,Kraftvärmeprod!$B$1:$BX$550,MATCH(G$2,Kraftvärmeprod!$B$1:$VX$1,0),FALSE)/1,0)-IFERROR(VLOOKUP($B187,'Slutlig allokering kvv'!$B$2:$BX$550,MATCH(G$2,'Slutlig allokering kvv'!$B$1:$BX$1,0),FALSE)/1,0))</f>
        <v/>
      </c>
      <c r="H187" s="31" t="str">
        <f>IF($D187="","",IFERROR(VLOOKUP($B187,Kraftvärmeprod!$B$1:$BX$550,MATCH(H$2,Kraftvärmeprod!$B$1:$VX$1,0),FALSE)/1,0)-IFERROR(VLOOKUP($B187,'Slutlig allokering kvv'!$B$2:$BX$550,MATCH(H$2,'Slutlig allokering kvv'!$B$1:$BX$1,0),FALSE)/1,0))</f>
        <v/>
      </c>
      <c r="I187" s="31" t="str">
        <f>IF($D187="","",IFERROR(VLOOKUP($B187,Kraftvärmeprod!$B$1:$BX$550,MATCH(I$2,Kraftvärmeprod!$B$1:$VX$1,0),FALSE)/1,0)-IFERROR(VLOOKUP($B187,'Slutlig allokering kvv'!$B$2:$BX$550,MATCH(I$2,'Slutlig allokering kvv'!$B$1:$BX$1,0),FALSE)/1,0))</f>
        <v/>
      </c>
      <c r="J187" s="31" t="str">
        <f>IF($D187="","",IFERROR(VLOOKUP($B187,Kraftvärmeprod!$B$1:$BX$550,MATCH(J$2,Kraftvärmeprod!$B$1:$VX$1,0),FALSE)/1,0)-IFERROR(VLOOKUP($B187,'Slutlig allokering kvv'!$B$2:$BX$550,MATCH(J$2,'Slutlig allokering kvv'!$B$1:$BX$1,0),FALSE)/1,0))</f>
        <v/>
      </c>
      <c r="K187" s="31" t="str">
        <f>IF($D187="","",IFERROR(VLOOKUP($B187,Kraftvärmeprod!$B$1:$BX$550,MATCH(K$2,Kraftvärmeprod!$B$1:$VX$1,0),FALSE)/1,0)-IFERROR(VLOOKUP($B187,'Slutlig allokering kvv'!$B$2:$BX$550,MATCH(K$2,'Slutlig allokering kvv'!$B$1:$BX$1,0),FALSE)/1,0))</f>
        <v/>
      </c>
      <c r="L187" s="31" t="str">
        <f>IF($D187="","",IFERROR(VLOOKUP($B187,Kraftvärmeprod!$B$1:$BX$550,MATCH(L$2,Kraftvärmeprod!$B$1:$VX$1,0),FALSE)/1,0)-IFERROR(VLOOKUP($B187,'Slutlig allokering kvv'!$B$2:$BX$550,MATCH(L$2,'Slutlig allokering kvv'!$B$1:$BX$1,0),FALSE)/1,0))</f>
        <v/>
      </c>
      <c r="M187" s="31" t="str">
        <f>IF($D187="","",IFERROR(VLOOKUP($B187,Kraftvärmeprod!$B$1:$BX$550,MATCH(M$2,Kraftvärmeprod!$B$1:$VX$1,0),FALSE)/1,0)-IFERROR(VLOOKUP($B187,'Slutlig allokering kvv'!$B$2:$BX$550,MATCH(M$2,'Slutlig allokering kvv'!$B$1:$BX$1,0),FALSE)/1,0))</f>
        <v/>
      </c>
      <c r="N187" s="31" t="str">
        <f>IF($D187="","",IFERROR(VLOOKUP($B187,Kraftvärmeprod!$B$1:$BX$550,MATCH(N$2,Kraftvärmeprod!$B$1:$VX$1,0),FALSE)/1,0)-IFERROR(VLOOKUP($B187,'Slutlig allokering kvv'!$B$2:$BX$550,MATCH(N$2,'Slutlig allokering kvv'!$B$1:$BX$1,0),FALSE)/1,0))</f>
        <v/>
      </c>
      <c r="O187" s="31" t="str">
        <f>IF($D187="","",IFERROR(VLOOKUP($B187,Kraftvärmeprod!$B$1:$BX$550,MATCH(O$2,Kraftvärmeprod!$B$1:$VX$1,0),FALSE)/1,0)-IFERROR(VLOOKUP($B187,'Slutlig allokering kvv'!$B$2:$BX$550,MATCH(O$2,'Slutlig allokering kvv'!$B$1:$BX$1,0),FALSE)/1,0))</f>
        <v/>
      </c>
      <c r="P187" s="31" t="str">
        <f>IF($D187="","",IFERROR(VLOOKUP($B187,Kraftvärmeprod!$B$1:$BX$550,MATCH(P$2,Kraftvärmeprod!$B$1:$VX$1,0),FALSE)/1,0)-IFERROR(VLOOKUP($B187,'Slutlig allokering kvv'!$B$2:$BX$550,MATCH(P$2,'Slutlig allokering kvv'!$B$1:$BX$1,0),FALSE)/1,0))</f>
        <v/>
      </c>
      <c r="Q187" s="31" t="str">
        <f>IF($D187="","",IFERROR(VLOOKUP($B187,Kraftvärmeprod!$B$1:$BX$550,MATCH(Q$2,Kraftvärmeprod!$B$1:$VX$1,0),FALSE)/1,0)-IFERROR(VLOOKUP($B187,'Slutlig allokering kvv'!$B$2:$BX$550,MATCH(Q$2,'Slutlig allokering kvv'!$B$1:$BX$1,0),FALSE)/1,0))</f>
        <v/>
      </c>
      <c r="R187" s="31" t="str">
        <f>IF($D187="","",IFERROR(VLOOKUP($B187,Kraftvärmeprod!$B$1:$BX$550,MATCH(R$2,Kraftvärmeprod!$B$1:$VX$1,0),FALSE)/1,0)-IFERROR(VLOOKUP($B187,'Slutlig allokering kvv'!$B$2:$BX$550,MATCH(R$2,'Slutlig allokering kvv'!$B$1:$BX$1,0),FALSE)/1,0))</f>
        <v/>
      </c>
      <c r="S187" s="31" t="str">
        <f>IF($D187="","",IFERROR(VLOOKUP($B187,Kraftvärmeprod!$B$1:$BX$550,MATCH(S$2,Kraftvärmeprod!$B$1:$VX$1,0),FALSE)/1,0)-IFERROR(VLOOKUP($B187,'Slutlig allokering kvv'!$B$2:$BX$550,MATCH(S$2,'Slutlig allokering kvv'!$B$1:$BX$1,0),FALSE)/1,0))</f>
        <v/>
      </c>
      <c r="T187" s="31" t="str">
        <f>IF($D187="","",IFERROR(VLOOKUP($B187,Kraftvärmeprod!$B$1:$BX$550,MATCH(T$2,Kraftvärmeprod!$B$1:$VX$1,0),FALSE)/1,0)-IFERROR(VLOOKUP($B187,'Slutlig allokering kvv'!$B$2:$BX$550,MATCH(T$2,'Slutlig allokering kvv'!$B$1:$BX$1,0),FALSE)/1,0))</f>
        <v/>
      </c>
      <c r="U187" s="31" t="str">
        <f>IF($D187="","",IFERROR(VLOOKUP($B187,Kraftvärmeprod!$B$1:$BX$550,MATCH(U$2,Kraftvärmeprod!$B$1:$VX$1,0),FALSE)/1,0)-IFERROR(VLOOKUP($B187,'Slutlig allokering kvv'!$B$2:$BX$550,MATCH(U$2,'Slutlig allokering kvv'!$B$1:$BX$1,0),FALSE)/1,0))</f>
        <v/>
      </c>
      <c r="V187" s="31" t="str">
        <f>IF($D187="","",IFERROR(VLOOKUP($B187,Kraftvärmeprod!$B$1:$BX$550,MATCH(V$2,Kraftvärmeprod!$B$1:$VX$1,0),FALSE)/1,0)-IFERROR(VLOOKUP($B187,'Slutlig allokering kvv'!$B$2:$BX$550,MATCH(V$2,'Slutlig allokering kvv'!$B$1:$BX$1,0),FALSE)/1,0))</f>
        <v/>
      </c>
      <c r="W187" s="31" t="str">
        <f>IF($D187="","",IFERROR(VLOOKUP($B187,Kraftvärmeprod!$B$1:$BX$550,MATCH(W$2,Kraftvärmeprod!$B$1:$VX$1,0),FALSE)/1,0)-IFERROR(VLOOKUP($B187,'Slutlig allokering kvv'!$B$2:$BX$550,MATCH(W$2,'Slutlig allokering kvv'!$B$1:$BX$1,0),FALSE)/1,0))</f>
        <v/>
      </c>
      <c r="X187" s="31" t="str">
        <f>IF($D187="","",IFERROR(VLOOKUP($B187,Kraftvärmeprod!$B$1:$BX$550,MATCH(X$2,Kraftvärmeprod!$B$1:$VX$1,0),FALSE)/1,0)-IFERROR(VLOOKUP($B187,'Slutlig allokering kvv'!$B$2:$BX$550,MATCH(X$2,'Slutlig allokering kvv'!$B$1:$BX$1,0),FALSE)/1,0))</f>
        <v/>
      </c>
      <c r="Y187" s="31" t="str">
        <f>IF($D187="","",IFERROR(VLOOKUP($B187,Kraftvärmeprod!$B$1:$BX$550,MATCH(Y$2,Kraftvärmeprod!$B$1:$VX$1,0),FALSE)/1,0)-IFERROR(VLOOKUP($B187,'Slutlig allokering kvv'!$B$2:$BX$550,MATCH(Y$2,'Slutlig allokering kvv'!$B$1:$BX$1,0),FALSE)/1,0))</f>
        <v/>
      </c>
      <c r="Z187" s="31" t="str">
        <f>IF($D187="","",IFERROR(VLOOKUP($B187,Kraftvärmeprod!$B$1:$BX$550,MATCH(Z$2,Kraftvärmeprod!$B$1:$VX$1,0),FALSE)/1,0)-IFERROR(VLOOKUP($B187,'Slutlig allokering kvv'!$B$2:$BX$550,MATCH(Z$2,'Slutlig allokering kvv'!$B$1:$BX$1,0),FALSE)/1,0))</f>
        <v/>
      </c>
      <c r="AA187" s="31" t="str">
        <f>IF($D187="","",IFERROR(VLOOKUP($B187,Kraftvärmeprod!$B$1:$BX$550,MATCH(AA$2,Kraftvärmeprod!$B$1:$VX$1,0),FALSE)/1,0)-IFERROR(VLOOKUP($B187,'Slutlig allokering kvv'!$B$2:$BX$550,MATCH(AA$2,'Slutlig allokering kvv'!$B$1:$BX$1,0),FALSE)/1,0))</f>
        <v/>
      </c>
      <c r="AB187" s="31" t="str">
        <f>IF($D187="","",IFERROR(VLOOKUP($B187,Kraftvärmeprod!$B$1:$BX$550,MATCH(AB$2,Kraftvärmeprod!$B$1:$VX$1,0),FALSE)/1,0)-IFERROR(VLOOKUP($B187,'Slutlig allokering kvv'!$B$2:$BX$550,MATCH(AB$2,'Slutlig allokering kvv'!$B$1:$BX$1,0),FALSE)/1,0))</f>
        <v/>
      </c>
      <c r="AC187" s="31" t="str">
        <f>IF($D187="","",IFERROR(VLOOKUP($B187,Kraftvärmeprod!$B$1:$BX$550,MATCH(AC$2,Kraftvärmeprod!$B$1:$VX$1,0),FALSE)/1,0)-IFERROR(VLOOKUP($B187,'Slutlig allokering kvv'!$B$2:$BX$550,MATCH(AC$2,'Slutlig allokering kvv'!$B$1:$BX$1,0),FALSE)/1,0))</f>
        <v/>
      </c>
      <c r="AD187" s="31" t="str">
        <f>IF($D187="","",IFERROR(VLOOKUP($B187,Kraftvärmeprod!$B$1:$BX$550,MATCH(AD$2,Kraftvärmeprod!$B$1:$VX$1,0),FALSE)/1,0)-IFERROR(VLOOKUP($B187,'Slutlig allokering kvv'!$B$2:$BX$550,MATCH(AD$2,'Slutlig allokering kvv'!$B$1:$BX$1,0),FALSE)/1,0))</f>
        <v/>
      </c>
      <c r="AE187" s="31" t="str">
        <f>IF($D187="","",IFERROR(VLOOKUP($B187,Miljö!$B$1:$E$550,MATCH("Hjälpel kraftvärme (GWh)",Miljö!$B$1:$E$1,0),FALSE)/1,0)-IFERROR(VLOOKUP($B187,'Slutlig allokering kvv'!$B$2:$BX$549,MATCH(AE$2,'Slutlig allokering kvv'!$B$1:$BX$1,0),FALSE)/1,0))</f>
        <v/>
      </c>
      <c r="AI187" s="39">
        <f t="shared" si="8"/>
        <v>0</v>
      </c>
      <c r="AK187" s="31">
        <f>IFERROR(VLOOKUP($B187,'Slutlig allokering kvv'!$B$2:$AX$549,MATCH("Summa slutlig allokerad tillförd energi (utan hjälpel och rökgaskondensering):",'Slutlig allokering kvv'!$B$1:$AX$1,0),FALSE)/1,"")</f>
        <v>0</v>
      </c>
      <c r="AM187" s="31" t="str">
        <f>IFERROR(1-VLOOKUP($B187,'Slutlig allokering kvv'!$B$2:$AX$549,MATCH("Andel av bränsle i kvv som allokerats till värme, exklusive rökgaskondensering och hjälpel",'Slutlig allokering kvv'!$B$1:$AX$1,0),FALSE),"")</f>
        <v/>
      </c>
      <c r="AO187" s="31" t="str">
        <f t="shared" si="9"/>
        <v/>
      </c>
      <c r="AP187" s="31" t="str">
        <f t="shared" si="10"/>
        <v/>
      </c>
      <c r="AR187" s="32" t="str">
        <f t="shared" si="11"/>
        <v/>
      </c>
    </row>
    <row r="188" spans="1:44" s="31" customFormat="1" x14ac:dyDescent="0.45">
      <c r="A188" s="31" t="s">
        <v>418</v>
      </c>
      <c r="B188" s="31" t="s">
        <v>1183</v>
      </c>
      <c r="C188" s="31" t="str">
        <f>IFERROR(VLOOKUP($B188,Kraftvärmeprod!$B$1:$AH$479,MATCH(C$2,Kraftvärmeprod!$B$1:$AG$1,0),FALSE)/1,"")</f>
        <v/>
      </c>
      <c r="D188" s="31" t="str">
        <f>IFERROR(VLOOKUP($B188,Kraftvärmeprod!$B$1:$AH$479,MATCH(D$2,Kraftvärmeprod!$B$1:$AG$1,0),FALSE)/1,"")</f>
        <v/>
      </c>
      <c r="F188" s="31" t="str">
        <f>IF($D188="","",IFERROR(VLOOKUP($B188,Kraftvärmeprod!$B$1:$BX$550,MATCH(F$2,Kraftvärmeprod!$B$1:$VX$1,0),FALSE)/1,0)-IFERROR(VLOOKUP($B188,'Slutlig allokering kvv'!$B$2:$BX$550,MATCH(F$2,'Slutlig allokering kvv'!$B$1:$BX$1,0),FALSE)/1,0))</f>
        <v/>
      </c>
      <c r="G188" s="31" t="str">
        <f>IF($D188="","",IFERROR(VLOOKUP($B188,Kraftvärmeprod!$B$1:$BX$550,MATCH(G$2,Kraftvärmeprod!$B$1:$VX$1,0),FALSE)/1,0)-IFERROR(VLOOKUP($B188,'Slutlig allokering kvv'!$B$2:$BX$550,MATCH(G$2,'Slutlig allokering kvv'!$B$1:$BX$1,0),FALSE)/1,0))</f>
        <v/>
      </c>
      <c r="H188" s="31" t="str">
        <f>IF($D188="","",IFERROR(VLOOKUP($B188,Kraftvärmeprod!$B$1:$BX$550,MATCH(H$2,Kraftvärmeprod!$B$1:$VX$1,0),FALSE)/1,0)-IFERROR(VLOOKUP($B188,'Slutlig allokering kvv'!$B$2:$BX$550,MATCH(H$2,'Slutlig allokering kvv'!$B$1:$BX$1,0),FALSE)/1,0))</f>
        <v/>
      </c>
      <c r="I188" s="31" t="str">
        <f>IF($D188="","",IFERROR(VLOOKUP($B188,Kraftvärmeprod!$B$1:$BX$550,MATCH(I$2,Kraftvärmeprod!$B$1:$VX$1,0),FALSE)/1,0)-IFERROR(VLOOKUP($B188,'Slutlig allokering kvv'!$B$2:$BX$550,MATCH(I$2,'Slutlig allokering kvv'!$B$1:$BX$1,0),FALSE)/1,0))</f>
        <v/>
      </c>
      <c r="J188" s="31" t="str">
        <f>IF($D188="","",IFERROR(VLOOKUP($B188,Kraftvärmeprod!$B$1:$BX$550,MATCH(J$2,Kraftvärmeprod!$B$1:$VX$1,0),FALSE)/1,0)-IFERROR(VLOOKUP($B188,'Slutlig allokering kvv'!$B$2:$BX$550,MATCH(J$2,'Slutlig allokering kvv'!$B$1:$BX$1,0),FALSE)/1,0))</f>
        <v/>
      </c>
      <c r="K188" s="31" t="str">
        <f>IF($D188="","",IFERROR(VLOOKUP($B188,Kraftvärmeprod!$B$1:$BX$550,MATCH(K$2,Kraftvärmeprod!$B$1:$VX$1,0),FALSE)/1,0)-IFERROR(VLOOKUP($B188,'Slutlig allokering kvv'!$B$2:$BX$550,MATCH(K$2,'Slutlig allokering kvv'!$B$1:$BX$1,0),FALSE)/1,0))</f>
        <v/>
      </c>
      <c r="L188" s="31" t="str">
        <f>IF($D188="","",IFERROR(VLOOKUP($B188,Kraftvärmeprod!$B$1:$BX$550,MATCH(L$2,Kraftvärmeprod!$B$1:$VX$1,0),FALSE)/1,0)-IFERROR(VLOOKUP($B188,'Slutlig allokering kvv'!$B$2:$BX$550,MATCH(L$2,'Slutlig allokering kvv'!$B$1:$BX$1,0),FALSE)/1,0))</f>
        <v/>
      </c>
      <c r="M188" s="31" t="str">
        <f>IF($D188="","",IFERROR(VLOOKUP($B188,Kraftvärmeprod!$B$1:$BX$550,MATCH(M$2,Kraftvärmeprod!$B$1:$VX$1,0),FALSE)/1,0)-IFERROR(VLOOKUP($B188,'Slutlig allokering kvv'!$B$2:$BX$550,MATCH(M$2,'Slutlig allokering kvv'!$B$1:$BX$1,0),FALSE)/1,0))</f>
        <v/>
      </c>
      <c r="N188" s="31" t="str">
        <f>IF($D188="","",IFERROR(VLOOKUP($B188,Kraftvärmeprod!$B$1:$BX$550,MATCH(N$2,Kraftvärmeprod!$B$1:$VX$1,0),FALSE)/1,0)-IFERROR(VLOOKUP($B188,'Slutlig allokering kvv'!$B$2:$BX$550,MATCH(N$2,'Slutlig allokering kvv'!$B$1:$BX$1,0),FALSE)/1,0))</f>
        <v/>
      </c>
      <c r="O188" s="31" t="str">
        <f>IF($D188="","",IFERROR(VLOOKUP($B188,Kraftvärmeprod!$B$1:$BX$550,MATCH(O$2,Kraftvärmeprod!$B$1:$VX$1,0),FALSE)/1,0)-IFERROR(VLOOKUP($B188,'Slutlig allokering kvv'!$B$2:$BX$550,MATCH(O$2,'Slutlig allokering kvv'!$B$1:$BX$1,0),FALSE)/1,0))</f>
        <v/>
      </c>
      <c r="P188" s="31" t="str">
        <f>IF($D188="","",IFERROR(VLOOKUP($B188,Kraftvärmeprod!$B$1:$BX$550,MATCH(P$2,Kraftvärmeprod!$B$1:$VX$1,0),FALSE)/1,0)-IFERROR(VLOOKUP($B188,'Slutlig allokering kvv'!$B$2:$BX$550,MATCH(P$2,'Slutlig allokering kvv'!$B$1:$BX$1,0),FALSE)/1,0))</f>
        <v/>
      </c>
      <c r="Q188" s="31" t="str">
        <f>IF($D188="","",IFERROR(VLOOKUP($B188,Kraftvärmeprod!$B$1:$BX$550,MATCH(Q$2,Kraftvärmeprod!$B$1:$VX$1,0),FALSE)/1,0)-IFERROR(VLOOKUP($B188,'Slutlig allokering kvv'!$B$2:$BX$550,MATCH(Q$2,'Slutlig allokering kvv'!$B$1:$BX$1,0),FALSE)/1,0))</f>
        <v/>
      </c>
      <c r="R188" s="31" t="str">
        <f>IF($D188="","",IFERROR(VLOOKUP($B188,Kraftvärmeprod!$B$1:$BX$550,MATCH(R$2,Kraftvärmeprod!$B$1:$VX$1,0),FALSE)/1,0)-IFERROR(VLOOKUP($B188,'Slutlig allokering kvv'!$B$2:$BX$550,MATCH(R$2,'Slutlig allokering kvv'!$B$1:$BX$1,0),FALSE)/1,0))</f>
        <v/>
      </c>
      <c r="S188" s="31" t="str">
        <f>IF($D188="","",IFERROR(VLOOKUP($B188,Kraftvärmeprod!$B$1:$BX$550,MATCH(S$2,Kraftvärmeprod!$B$1:$VX$1,0),FALSE)/1,0)-IFERROR(VLOOKUP($B188,'Slutlig allokering kvv'!$B$2:$BX$550,MATCH(S$2,'Slutlig allokering kvv'!$B$1:$BX$1,0),FALSE)/1,0))</f>
        <v/>
      </c>
      <c r="T188" s="31" t="str">
        <f>IF($D188="","",IFERROR(VLOOKUP($B188,Kraftvärmeprod!$B$1:$BX$550,MATCH(T$2,Kraftvärmeprod!$B$1:$VX$1,0),FALSE)/1,0)-IFERROR(VLOOKUP($B188,'Slutlig allokering kvv'!$B$2:$BX$550,MATCH(T$2,'Slutlig allokering kvv'!$B$1:$BX$1,0),FALSE)/1,0))</f>
        <v/>
      </c>
      <c r="U188" s="31" t="str">
        <f>IF($D188="","",IFERROR(VLOOKUP($B188,Kraftvärmeprod!$B$1:$BX$550,MATCH(U$2,Kraftvärmeprod!$B$1:$VX$1,0),FALSE)/1,0)-IFERROR(VLOOKUP($B188,'Slutlig allokering kvv'!$B$2:$BX$550,MATCH(U$2,'Slutlig allokering kvv'!$B$1:$BX$1,0),FALSE)/1,0))</f>
        <v/>
      </c>
      <c r="V188" s="31" t="str">
        <f>IF($D188="","",IFERROR(VLOOKUP($B188,Kraftvärmeprod!$B$1:$BX$550,MATCH(V$2,Kraftvärmeprod!$B$1:$VX$1,0),FALSE)/1,0)-IFERROR(VLOOKUP($B188,'Slutlig allokering kvv'!$B$2:$BX$550,MATCH(V$2,'Slutlig allokering kvv'!$B$1:$BX$1,0),FALSE)/1,0))</f>
        <v/>
      </c>
      <c r="W188" s="31" t="str">
        <f>IF($D188="","",IFERROR(VLOOKUP($B188,Kraftvärmeprod!$B$1:$BX$550,MATCH(W$2,Kraftvärmeprod!$B$1:$VX$1,0),FALSE)/1,0)-IFERROR(VLOOKUP($B188,'Slutlig allokering kvv'!$B$2:$BX$550,MATCH(W$2,'Slutlig allokering kvv'!$B$1:$BX$1,0),FALSE)/1,0))</f>
        <v/>
      </c>
      <c r="X188" s="31" t="str">
        <f>IF($D188="","",IFERROR(VLOOKUP($B188,Kraftvärmeprod!$B$1:$BX$550,MATCH(X$2,Kraftvärmeprod!$B$1:$VX$1,0),FALSE)/1,0)-IFERROR(VLOOKUP($B188,'Slutlig allokering kvv'!$B$2:$BX$550,MATCH(X$2,'Slutlig allokering kvv'!$B$1:$BX$1,0),FALSE)/1,0))</f>
        <v/>
      </c>
      <c r="Y188" s="31" t="str">
        <f>IF($D188="","",IFERROR(VLOOKUP($B188,Kraftvärmeprod!$B$1:$BX$550,MATCH(Y$2,Kraftvärmeprod!$B$1:$VX$1,0),FALSE)/1,0)-IFERROR(VLOOKUP($B188,'Slutlig allokering kvv'!$B$2:$BX$550,MATCH(Y$2,'Slutlig allokering kvv'!$B$1:$BX$1,0),FALSE)/1,0))</f>
        <v/>
      </c>
      <c r="Z188" s="31" t="str">
        <f>IF($D188="","",IFERROR(VLOOKUP($B188,Kraftvärmeprod!$B$1:$BX$550,MATCH(Z$2,Kraftvärmeprod!$B$1:$VX$1,0),FALSE)/1,0)-IFERROR(VLOOKUP($B188,'Slutlig allokering kvv'!$B$2:$BX$550,MATCH(Z$2,'Slutlig allokering kvv'!$B$1:$BX$1,0),FALSE)/1,0))</f>
        <v/>
      </c>
      <c r="AA188" s="31" t="str">
        <f>IF($D188="","",IFERROR(VLOOKUP($B188,Kraftvärmeprod!$B$1:$BX$550,MATCH(AA$2,Kraftvärmeprod!$B$1:$VX$1,0),FALSE)/1,0)-IFERROR(VLOOKUP($B188,'Slutlig allokering kvv'!$B$2:$BX$550,MATCH(AA$2,'Slutlig allokering kvv'!$B$1:$BX$1,0),FALSE)/1,0))</f>
        <v/>
      </c>
      <c r="AB188" s="31" t="str">
        <f>IF($D188="","",IFERROR(VLOOKUP($B188,Kraftvärmeprod!$B$1:$BX$550,MATCH(AB$2,Kraftvärmeprod!$B$1:$VX$1,0),FALSE)/1,0)-IFERROR(VLOOKUP($B188,'Slutlig allokering kvv'!$B$2:$BX$550,MATCH(AB$2,'Slutlig allokering kvv'!$B$1:$BX$1,0),FALSE)/1,0))</f>
        <v/>
      </c>
      <c r="AC188" s="31" t="str">
        <f>IF($D188="","",IFERROR(VLOOKUP($B188,Kraftvärmeprod!$B$1:$BX$550,MATCH(AC$2,Kraftvärmeprod!$B$1:$VX$1,0),FALSE)/1,0)-IFERROR(VLOOKUP($B188,'Slutlig allokering kvv'!$B$2:$BX$550,MATCH(AC$2,'Slutlig allokering kvv'!$B$1:$BX$1,0),FALSE)/1,0))</f>
        <v/>
      </c>
      <c r="AD188" s="31" t="str">
        <f>IF($D188="","",IFERROR(VLOOKUP($B188,Kraftvärmeprod!$B$1:$BX$550,MATCH(AD$2,Kraftvärmeprod!$B$1:$VX$1,0),FALSE)/1,0)-IFERROR(VLOOKUP($B188,'Slutlig allokering kvv'!$B$2:$BX$550,MATCH(AD$2,'Slutlig allokering kvv'!$B$1:$BX$1,0),FALSE)/1,0))</f>
        <v/>
      </c>
      <c r="AE188" s="31" t="str">
        <f>IF($D188="","",IFERROR(VLOOKUP($B188,Miljö!$B$1:$E$550,MATCH("Hjälpel kraftvärme (GWh)",Miljö!$B$1:$E$1,0),FALSE)/1,0)-IFERROR(VLOOKUP($B188,'Slutlig allokering kvv'!$B$2:$BX$549,MATCH(AE$2,'Slutlig allokering kvv'!$B$1:$BX$1,0),FALSE)/1,0))</f>
        <v/>
      </c>
      <c r="AI188" s="39">
        <f t="shared" si="8"/>
        <v>0</v>
      </c>
      <c r="AK188" s="31">
        <f>IFERROR(VLOOKUP($B188,'Slutlig allokering kvv'!$B$2:$AX$549,MATCH("Summa slutlig allokerad tillförd energi (utan hjälpel och rökgaskondensering):",'Slutlig allokering kvv'!$B$1:$AX$1,0),FALSE)/1,"")</f>
        <v>0</v>
      </c>
      <c r="AM188" s="31" t="str">
        <f>IFERROR(1-VLOOKUP($B188,'Slutlig allokering kvv'!$B$2:$AX$549,MATCH("Andel av bränsle i kvv som allokerats till värme, exklusive rökgaskondensering och hjälpel",'Slutlig allokering kvv'!$B$1:$AX$1,0),FALSE),"")</f>
        <v/>
      </c>
      <c r="AO188" s="31" t="str">
        <f t="shared" si="9"/>
        <v/>
      </c>
      <c r="AP188" s="31" t="str">
        <f t="shared" si="10"/>
        <v/>
      </c>
      <c r="AR188" s="32" t="str">
        <f t="shared" si="11"/>
        <v/>
      </c>
    </row>
    <row r="189" spans="1:44" s="31" customFormat="1" x14ac:dyDescent="0.45">
      <c r="A189" s="31" t="s">
        <v>418</v>
      </c>
      <c r="B189" s="31" t="s">
        <v>1181</v>
      </c>
      <c r="C189" s="31" t="str">
        <f>IFERROR(VLOOKUP($B189,Kraftvärmeprod!$B$1:$AH$479,MATCH(C$2,Kraftvärmeprod!$B$1:$AG$1,0),FALSE)/1,"")</f>
        <v/>
      </c>
      <c r="D189" s="31" t="str">
        <f>IFERROR(VLOOKUP($B189,Kraftvärmeprod!$B$1:$AH$479,MATCH(D$2,Kraftvärmeprod!$B$1:$AG$1,0),FALSE)/1,"")</f>
        <v/>
      </c>
      <c r="F189" s="31" t="str">
        <f>IF($D189="","",IFERROR(VLOOKUP($B189,Kraftvärmeprod!$B$1:$BX$550,MATCH(F$2,Kraftvärmeprod!$B$1:$VX$1,0),FALSE)/1,0)-IFERROR(VLOOKUP($B189,'Slutlig allokering kvv'!$B$2:$BX$550,MATCH(F$2,'Slutlig allokering kvv'!$B$1:$BX$1,0),FALSE)/1,0))</f>
        <v/>
      </c>
      <c r="G189" s="31" t="str">
        <f>IF($D189="","",IFERROR(VLOOKUP($B189,Kraftvärmeprod!$B$1:$BX$550,MATCH(G$2,Kraftvärmeprod!$B$1:$VX$1,0),FALSE)/1,0)-IFERROR(VLOOKUP($B189,'Slutlig allokering kvv'!$B$2:$BX$550,MATCH(G$2,'Slutlig allokering kvv'!$B$1:$BX$1,0),FALSE)/1,0))</f>
        <v/>
      </c>
      <c r="H189" s="31" t="str">
        <f>IF($D189="","",IFERROR(VLOOKUP($B189,Kraftvärmeprod!$B$1:$BX$550,MATCH(H$2,Kraftvärmeprod!$B$1:$VX$1,0),FALSE)/1,0)-IFERROR(VLOOKUP($B189,'Slutlig allokering kvv'!$B$2:$BX$550,MATCH(H$2,'Slutlig allokering kvv'!$B$1:$BX$1,0),FALSE)/1,0))</f>
        <v/>
      </c>
      <c r="I189" s="31" t="str">
        <f>IF($D189="","",IFERROR(VLOOKUP($B189,Kraftvärmeprod!$B$1:$BX$550,MATCH(I$2,Kraftvärmeprod!$B$1:$VX$1,0),FALSE)/1,0)-IFERROR(VLOOKUP($B189,'Slutlig allokering kvv'!$B$2:$BX$550,MATCH(I$2,'Slutlig allokering kvv'!$B$1:$BX$1,0),FALSE)/1,0))</f>
        <v/>
      </c>
      <c r="J189" s="31" t="str">
        <f>IF($D189="","",IFERROR(VLOOKUP($B189,Kraftvärmeprod!$B$1:$BX$550,MATCH(J$2,Kraftvärmeprod!$B$1:$VX$1,0),FALSE)/1,0)-IFERROR(VLOOKUP($B189,'Slutlig allokering kvv'!$B$2:$BX$550,MATCH(J$2,'Slutlig allokering kvv'!$B$1:$BX$1,0),FALSE)/1,0))</f>
        <v/>
      </c>
      <c r="K189" s="31" t="str">
        <f>IF($D189="","",IFERROR(VLOOKUP($B189,Kraftvärmeprod!$B$1:$BX$550,MATCH(K$2,Kraftvärmeprod!$B$1:$VX$1,0),FALSE)/1,0)-IFERROR(VLOOKUP($B189,'Slutlig allokering kvv'!$B$2:$BX$550,MATCH(K$2,'Slutlig allokering kvv'!$B$1:$BX$1,0),FALSE)/1,0))</f>
        <v/>
      </c>
      <c r="L189" s="31" t="str">
        <f>IF($D189="","",IFERROR(VLOOKUP($B189,Kraftvärmeprod!$B$1:$BX$550,MATCH(L$2,Kraftvärmeprod!$B$1:$VX$1,0),FALSE)/1,0)-IFERROR(VLOOKUP($B189,'Slutlig allokering kvv'!$B$2:$BX$550,MATCH(L$2,'Slutlig allokering kvv'!$B$1:$BX$1,0),FALSE)/1,0))</f>
        <v/>
      </c>
      <c r="M189" s="31" t="str">
        <f>IF($D189="","",IFERROR(VLOOKUP($B189,Kraftvärmeprod!$B$1:$BX$550,MATCH(M$2,Kraftvärmeprod!$B$1:$VX$1,0),FALSE)/1,0)-IFERROR(VLOOKUP($B189,'Slutlig allokering kvv'!$B$2:$BX$550,MATCH(M$2,'Slutlig allokering kvv'!$B$1:$BX$1,0),FALSE)/1,0))</f>
        <v/>
      </c>
      <c r="N189" s="31" t="str">
        <f>IF($D189="","",IFERROR(VLOOKUP($B189,Kraftvärmeprod!$B$1:$BX$550,MATCH(N$2,Kraftvärmeprod!$B$1:$VX$1,0),FALSE)/1,0)-IFERROR(VLOOKUP($B189,'Slutlig allokering kvv'!$B$2:$BX$550,MATCH(N$2,'Slutlig allokering kvv'!$B$1:$BX$1,0),FALSE)/1,0))</f>
        <v/>
      </c>
      <c r="O189" s="31" t="str">
        <f>IF($D189="","",IFERROR(VLOOKUP($B189,Kraftvärmeprod!$B$1:$BX$550,MATCH(O$2,Kraftvärmeprod!$B$1:$VX$1,0),FALSE)/1,0)-IFERROR(VLOOKUP($B189,'Slutlig allokering kvv'!$B$2:$BX$550,MATCH(O$2,'Slutlig allokering kvv'!$B$1:$BX$1,0),FALSE)/1,0))</f>
        <v/>
      </c>
      <c r="P189" s="31" t="str">
        <f>IF($D189="","",IFERROR(VLOOKUP($B189,Kraftvärmeprod!$B$1:$BX$550,MATCH(P$2,Kraftvärmeprod!$B$1:$VX$1,0),FALSE)/1,0)-IFERROR(VLOOKUP($B189,'Slutlig allokering kvv'!$B$2:$BX$550,MATCH(P$2,'Slutlig allokering kvv'!$B$1:$BX$1,0),FALSE)/1,0))</f>
        <v/>
      </c>
      <c r="Q189" s="31" t="str">
        <f>IF($D189="","",IFERROR(VLOOKUP($B189,Kraftvärmeprod!$B$1:$BX$550,MATCH(Q$2,Kraftvärmeprod!$B$1:$VX$1,0),FALSE)/1,0)-IFERROR(VLOOKUP($B189,'Slutlig allokering kvv'!$B$2:$BX$550,MATCH(Q$2,'Slutlig allokering kvv'!$B$1:$BX$1,0),FALSE)/1,0))</f>
        <v/>
      </c>
      <c r="R189" s="31" t="str">
        <f>IF($D189="","",IFERROR(VLOOKUP($B189,Kraftvärmeprod!$B$1:$BX$550,MATCH(R$2,Kraftvärmeprod!$B$1:$VX$1,0),FALSE)/1,0)-IFERROR(VLOOKUP($B189,'Slutlig allokering kvv'!$B$2:$BX$550,MATCH(R$2,'Slutlig allokering kvv'!$B$1:$BX$1,0),FALSE)/1,0))</f>
        <v/>
      </c>
      <c r="S189" s="31" t="str">
        <f>IF($D189="","",IFERROR(VLOOKUP($B189,Kraftvärmeprod!$B$1:$BX$550,MATCH(S$2,Kraftvärmeprod!$B$1:$VX$1,0),FALSE)/1,0)-IFERROR(VLOOKUP($B189,'Slutlig allokering kvv'!$B$2:$BX$550,MATCH(S$2,'Slutlig allokering kvv'!$B$1:$BX$1,0),FALSE)/1,0))</f>
        <v/>
      </c>
      <c r="T189" s="31" t="str">
        <f>IF($D189="","",IFERROR(VLOOKUP($B189,Kraftvärmeprod!$B$1:$BX$550,MATCH(T$2,Kraftvärmeprod!$B$1:$VX$1,0),FALSE)/1,0)-IFERROR(VLOOKUP($B189,'Slutlig allokering kvv'!$B$2:$BX$550,MATCH(T$2,'Slutlig allokering kvv'!$B$1:$BX$1,0),FALSE)/1,0))</f>
        <v/>
      </c>
      <c r="U189" s="31" t="str">
        <f>IF($D189="","",IFERROR(VLOOKUP($B189,Kraftvärmeprod!$B$1:$BX$550,MATCH(U$2,Kraftvärmeprod!$B$1:$VX$1,0),FALSE)/1,0)-IFERROR(VLOOKUP($B189,'Slutlig allokering kvv'!$B$2:$BX$550,MATCH(U$2,'Slutlig allokering kvv'!$B$1:$BX$1,0),FALSE)/1,0))</f>
        <v/>
      </c>
      <c r="V189" s="31" t="str">
        <f>IF($D189="","",IFERROR(VLOOKUP($B189,Kraftvärmeprod!$B$1:$BX$550,MATCH(V$2,Kraftvärmeprod!$B$1:$VX$1,0),FALSE)/1,0)-IFERROR(VLOOKUP($B189,'Slutlig allokering kvv'!$B$2:$BX$550,MATCH(V$2,'Slutlig allokering kvv'!$B$1:$BX$1,0),FALSE)/1,0))</f>
        <v/>
      </c>
      <c r="W189" s="31" t="str">
        <f>IF($D189="","",IFERROR(VLOOKUP($B189,Kraftvärmeprod!$B$1:$BX$550,MATCH(W$2,Kraftvärmeprod!$B$1:$VX$1,0),FALSE)/1,0)-IFERROR(VLOOKUP($B189,'Slutlig allokering kvv'!$B$2:$BX$550,MATCH(W$2,'Slutlig allokering kvv'!$B$1:$BX$1,0),FALSE)/1,0))</f>
        <v/>
      </c>
      <c r="X189" s="31" t="str">
        <f>IF($D189="","",IFERROR(VLOOKUP($B189,Kraftvärmeprod!$B$1:$BX$550,MATCH(X$2,Kraftvärmeprod!$B$1:$VX$1,0),FALSE)/1,0)-IFERROR(VLOOKUP($B189,'Slutlig allokering kvv'!$B$2:$BX$550,MATCH(X$2,'Slutlig allokering kvv'!$B$1:$BX$1,0),FALSE)/1,0))</f>
        <v/>
      </c>
      <c r="Y189" s="31" t="str">
        <f>IF($D189="","",IFERROR(VLOOKUP($B189,Kraftvärmeprod!$B$1:$BX$550,MATCH(Y$2,Kraftvärmeprod!$B$1:$VX$1,0),FALSE)/1,0)-IFERROR(VLOOKUP($B189,'Slutlig allokering kvv'!$B$2:$BX$550,MATCH(Y$2,'Slutlig allokering kvv'!$B$1:$BX$1,0),FALSE)/1,0))</f>
        <v/>
      </c>
      <c r="Z189" s="31" t="str">
        <f>IF($D189="","",IFERROR(VLOOKUP($B189,Kraftvärmeprod!$B$1:$BX$550,MATCH(Z$2,Kraftvärmeprod!$B$1:$VX$1,0),FALSE)/1,0)-IFERROR(VLOOKUP($B189,'Slutlig allokering kvv'!$B$2:$BX$550,MATCH(Z$2,'Slutlig allokering kvv'!$B$1:$BX$1,0),FALSE)/1,0))</f>
        <v/>
      </c>
      <c r="AA189" s="31" t="str">
        <f>IF($D189="","",IFERROR(VLOOKUP($B189,Kraftvärmeprod!$B$1:$BX$550,MATCH(AA$2,Kraftvärmeprod!$B$1:$VX$1,0),FALSE)/1,0)-IFERROR(VLOOKUP($B189,'Slutlig allokering kvv'!$B$2:$BX$550,MATCH(AA$2,'Slutlig allokering kvv'!$B$1:$BX$1,0),FALSE)/1,0))</f>
        <v/>
      </c>
      <c r="AB189" s="31" t="str">
        <f>IF($D189="","",IFERROR(VLOOKUP($B189,Kraftvärmeprod!$B$1:$BX$550,MATCH(AB$2,Kraftvärmeprod!$B$1:$VX$1,0),FALSE)/1,0)-IFERROR(VLOOKUP($B189,'Slutlig allokering kvv'!$B$2:$BX$550,MATCH(AB$2,'Slutlig allokering kvv'!$B$1:$BX$1,0),FALSE)/1,0))</f>
        <v/>
      </c>
      <c r="AC189" s="31" t="str">
        <f>IF($D189="","",IFERROR(VLOOKUP($B189,Kraftvärmeprod!$B$1:$BX$550,MATCH(AC$2,Kraftvärmeprod!$B$1:$VX$1,0),FALSE)/1,0)-IFERROR(VLOOKUP($B189,'Slutlig allokering kvv'!$B$2:$BX$550,MATCH(AC$2,'Slutlig allokering kvv'!$B$1:$BX$1,0),FALSE)/1,0))</f>
        <v/>
      </c>
      <c r="AD189" s="31" t="str">
        <f>IF($D189="","",IFERROR(VLOOKUP($B189,Kraftvärmeprod!$B$1:$BX$550,MATCH(AD$2,Kraftvärmeprod!$B$1:$VX$1,0),FALSE)/1,0)-IFERROR(VLOOKUP($B189,'Slutlig allokering kvv'!$B$2:$BX$550,MATCH(AD$2,'Slutlig allokering kvv'!$B$1:$BX$1,0),FALSE)/1,0))</f>
        <v/>
      </c>
      <c r="AE189" s="31" t="str">
        <f>IF($D189="","",IFERROR(VLOOKUP($B189,Miljö!$B$1:$E$550,MATCH("Hjälpel kraftvärme (GWh)",Miljö!$B$1:$E$1,0),FALSE)/1,0)-IFERROR(VLOOKUP($B189,'Slutlig allokering kvv'!$B$2:$BX$549,MATCH(AE$2,'Slutlig allokering kvv'!$B$1:$BX$1,0),FALSE)/1,0))</f>
        <v/>
      </c>
      <c r="AI189" s="39">
        <f t="shared" si="8"/>
        <v>0</v>
      </c>
      <c r="AK189" s="31">
        <f>IFERROR(VLOOKUP($B189,'Slutlig allokering kvv'!$B$2:$AX$549,MATCH("Summa slutlig allokerad tillförd energi (utan hjälpel och rökgaskondensering):",'Slutlig allokering kvv'!$B$1:$AX$1,0),FALSE)/1,"")</f>
        <v>0</v>
      </c>
      <c r="AM189" s="31" t="str">
        <f>IFERROR(1-VLOOKUP($B189,'Slutlig allokering kvv'!$B$2:$AX$549,MATCH("Andel av bränsle i kvv som allokerats till värme, exklusive rökgaskondensering och hjälpel",'Slutlig allokering kvv'!$B$1:$AX$1,0),FALSE),"")</f>
        <v/>
      </c>
      <c r="AO189" s="31" t="str">
        <f t="shared" si="9"/>
        <v/>
      </c>
      <c r="AP189" s="31" t="str">
        <f t="shared" si="10"/>
        <v/>
      </c>
      <c r="AR189" s="32" t="str">
        <f t="shared" si="11"/>
        <v/>
      </c>
    </row>
    <row r="190" spans="1:44" s="31" customFormat="1" x14ac:dyDescent="0.45">
      <c r="A190" s="31" t="s">
        <v>416</v>
      </c>
      <c r="B190" s="31" t="s">
        <v>417</v>
      </c>
      <c r="C190" s="31" t="str">
        <f>IFERROR(VLOOKUP($B190,Kraftvärmeprod!$B$1:$AH$479,MATCH(C$2,Kraftvärmeprod!$B$1:$AG$1,0),FALSE)/1,"")</f>
        <v/>
      </c>
      <c r="D190" s="31" t="str">
        <f>IFERROR(VLOOKUP($B190,Kraftvärmeprod!$B$1:$AH$479,MATCH(D$2,Kraftvärmeprod!$B$1:$AG$1,0),FALSE)/1,"")</f>
        <v/>
      </c>
      <c r="F190" s="31" t="str">
        <f>IF($D190="","",IFERROR(VLOOKUP($B190,Kraftvärmeprod!$B$1:$BX$550,MATCH(F$2,Kraftvärmeprod!$B$1:$VX$1,0),FALSE)/1,0)-IFERROR(VLOOKUP($B190,'Slutlig allokering kvv'!$B$2:$BX$550,MATCH(F$2,'Slutlig allokering kvv'!$B$1:$BX$1,0),FALSE)/1,0))</f>
        <v/>
      </c>
      <c r="G190" s="31" t="str">
        <f>IF($D190="","",IFERROR(VLOOKUP($B190,Kraftvärmeprod!$B$1:$BX$550,MATCH(G$2,Kraftvärmeprod!$B$1:$VX$1,0),FALSE)/1,0)-IFERROR(VLOOKUP($B190,'Slutlig allokering kvv'!$B$2:$BX$550,MATCH(G$2,'Slutlig allokering kvv'!$B$1:$BX$1,0),FALSE)/1,0))</f>
        <v/>
      </c>
      <c r="H190" s="31" t="str">
        <f>IF($D190="","",IFERROR(VLOOKUP($B190,Kraftvärmeprod!$B$1:$BX$550,MATCH(H$2,Kraftvärmeprod!$B$1:$VX$1,0),FALSE)/1,0)-IFERROR(VLOOKUP($B190,'Slutlig allokering kvv'!$B$2:$BX$550,MATCH(H$2,'Slutlig allokering kvv'!$B$1:$BX$1,0),FALSE)/1,0))</f>
        <v/>
      </c>
      <c r="I190" s="31" t="str">
        <f>IF($D190="","",IFERROR(VLOOKUP($B190,Kraftvärmeprod!$B$1:$BX$550,MATCH(I$2,Kraftvärmeprod!$B$1:$VX$1,0),FALSE)/1,0)-IFERROR(VLOOKUP($B190,'Slutlig allokering kvv'!$B$2:$BX$550,MATCH(I$2,'Slutlig allokering kvv'!$B$1:$BX$1,0),FALSE)/1,0))</f>
        <v/>
      </c>
      <c r="J190" s="31" t="str">
        <f>IF($D190="","",IFERROR(VLOOKUP($B190,Kraftvärmeprod!$B$1:$BX$550,MATCH(J$2,Kraftvärmeprod!$B$1:$VX$1,0),FALSE)/1,0)-IFERROR(VLOOKUP($B190,'Slutlig allokering kvv'!$B$2:$BX$550,MATCH(J$2,'Slutlig allokering kvv'!$B$1:$BX$1,0),FALSE)/1,0))</f>
        <v/>
      </c>
      <c r="K190" s="31" t="str">
        <f>IF($D190="","",IFERROR(VLOOKUP($B190,Kraftvärmeprod!$B$1:$BX$550,MATCH(K$2,Kraftvärmeprod!$B$1:$VX$1,0),FALSE)/1,0)-IFERROR(VLOOKUP($B190,'Slutlig allokering kvv'!$B$2:$BX$550,MATCH(K$2,'Slutlig allokering kvv'!$B$1:$BX$1,0),FALSE)/1,0))</f>
        <v/>
      </c>
      <c r="L190" s="31" t="str">
        <f>IF($D190="","",IFERROR(VLOOKUP($B190,Kraftvärmeprod!$B$1:$BX$550,MATCH(L$2,Kraftvärmeprod!$B$1:$VX$1,0),FALSE)/1,0)-IFERROR(VLOOKUP($B190,'Slutlig allokering kvv'!$B$2:$BX$550,MATCH(L$2,'Slutlig allokering kvv'!$B$1:$BX$1,0),FALSE)/1,0))</f>
        <v/>
      </c>
      <c r="M190" s="31" t="str">
        <f>IF($D190="","",IFERROR(VLOOKUP($B190,Kraftvärmeprod!$B$1:$BX$550,MATCH(M$2,Kraftvärmeprod!$B$1:$VX$1,0),FALSE)/1,0)-IFERROR(VLOOKUP($B190,'Slutlig allokering kvv'!$B$2:$BX$550,MATCH(M$2,'Slutlig allokering kvv'!$B$1:$BX$1,0),FALSE)/1,0))</f>
        <v/>
      </c>
      <c r="N190" s="31" t="str">
        <f>IF($D190="","",IFERROR(VLOOKUP($B190,Kraftvärmeprod!$B$1:$BX$550,MATCH(N$2,Kraftvärmeprod!$B$1:$VX$1,0),FALSE)/1,0)-IFERROR(VLOOKUP($B190,'Slutlig allokering kvv'!$B$2:$BX$550,MATCH(N$2,'Slutlig allokering kvv'!$B$1:$BX$1,0),FALSE)/1,0))</f>
        <v/>
      </c>
      <c r="O190" s="31" t="str">
        <f>IF($D190="","",IFERROR(VLOOKUP($B190,Kraftvärmeprod!$B$1:$BX$550,MATCH(O$2,Kraftvärmeprod!$B$1:$VX$1,0),FALSE)/1,0)-IFERROR(VLOOKUP($B190,'Slutlig allokering kvv'!$B$2:$BX$550,MATCH(O$2,'Slutlig allokering kvv'!$B$1:$BX$1,0),FALSE)/1,0))</f>
        <v/>
      </c>
      <c r="P190" s="31" t="str">
        <f>IF($D190="","",IFERROR(VLOOKUP($B190,Kraftvärmeprod!$B$1:$BX$550,MATCH(P$2,Kraftvärmeprod!$B$1:$VX$1,0),FALSE)/1,0)-IFERROR(VLOOKUP($B190,'Slutlig allokering kvv'!$B$2:$BX$550,MATCH(P$2,'Slutlig allokering kvv'!$B$1:$BX$1,0),FALSE)/1,0))</f>
        <v/>
      </c>
      <c r="Q190" s="31" t="str">
        <f>IF($D190="","",IFERROR(VLOOKUP($B190,Kraftvärmeprod!$B$1:$BX$550,MATCH(Q$2,Kraftvärmeprod!$B$1:$VX$1,0),FALSE)/1,0)-IFERROR(VLOOKUP($B190,'Slutlig allokering kvv'!$B$2:$BX$550,MATCH(Q$2,'Slutlig allokering kvv'!$B$1:$BX$1,0),FALSE)/1,0))</f>
        <v/>
      </c>
      <c r="R190" s="31" t="str">
        <f>IF($D190="","",IFERROR(VLOOKUP($B190,Kraftvärmeprod!$B$1:$BX$550,MATCH(R$2,Kraftvärmeprod!$B$1:$VX$1,0),FALSE)/1,0)-IFERROR(VLOOKUP($B190,'Slutlig allokering kvv'!$B$2:$BX$550,MATCH(R$2,'Slutlig allokering kvv'!$B$1:$BX$1,0),FALSE)/1,0))</f>
        <v/>
      </c>
      <c r="S190" s="31" t="str">
        <f>IF($D190="","",IFERROR(VLOOKUP($B190,Kraftvärmeprod!$B$1:$BX$550,MATCH(S$2,Kraftvärmeprod!$B$1:$VX$1,0),FALSE)/1,0)-IFERROR(VLOOKUP($B190,'Slutlig allokering kvv'!$B$2:$BX$550,MATCH(S$2,'Slutlig allokering kvv'!$B$1:$BX$1,0),FALSE)/1,0))</f>
        <v/>
      </c>
      <c r="T190" s="31" t="str">
        <f>IF($D190="","",IFERROR(VLOOKUP($B190,Kraftvärmeprod!$B$1:$BX$550,MATCH(T$2,Kraftvärmeprod!$B$1:$VX$1,0),FALSE)/1,0)-IFERROR(VLOOKUP($B190,'Slutlig allokering kvv'!$B$2:$BX$550,MATCH(T$2,'Slutlig allokering kvv'!$B$1:$BX$1,0),FALSE)/1,0))</f>
        <v/>
      </c>
      <c r="U190" s="31" t="str">
        <f>IF($D190="","",IFERROR(VLOOKUP($B190,Kraftvärmeprod!$B$1:$BX$550,MATCH(U$2,Kraftvärmeprod!$B$1:$VX$1,0),FALSE)/1,0)-IFERROR(VLOOKUP($B190,'Slutlig allokering kvv'!$B$2:$BX$550,MATCH(U$2,'Slutlig allokering kvv'!$B$1:$BX$1,0),FALSE)/1,0))</f>
        <v/>
      </c>
      <c r="V190" s="31" t="str">
        <f>IF($D190="","",IFERROR(VLOOKUP($B190,Kraftvärmeprod!$B$1:$BX$550,MATCH(V$2,Kraftvärmeprod!$B$1:$VX$1,0),FALSE)/1,0)-IFERROR(VLOOKUP($B190,'Slutlig allokering kvv'!$B$2:$BX$550,MATCH(V$2,'Slutlig allokering kvv'!$B$1:$BX$1,0),FALSE)/1,0))</f>
        <v/>
      </c>
      <c r="W190" s="31" t="str">
        <f>IF($D190="","",IFERROR(VLOOKUP($B190,Kraftvärmeprod!$B$1:$BX$550,MATCH(W$2,Kraftvärmeprod!$B$1:$VX$1,0),FALSE)/1,0)-IFERROR(VLOOKUP($B190,'Slutlig allokering kvv'!$B$2:$BX$550,MATCH(W$2,'Slutlig allokering kvv'!$B$1:$BX$1,0),FALSE)/1,0))</f>
        <v/>
      </c>
      <c r="X190" s="31" t="str">
        <f>IF($D190="","",IFERROR(VLOOKUP($B190,Kraftvärmeprod!$B$1:$BX$550,MATCH(X$2,Kraftvärmeprod!$B$1:$VX$1,0),FALSE)/1,0)-IFERROR(VLOOKUP($B190,'Slutlig allokering kvv'!$B$2:$BX$550,MATCH(X$2,'Slutlig allokering kvv'!$B$1:$BX$1,0),FALSE)/1,0))</f>
        <v/>
      </c>
      <c r="Y190" s="31" t="str">
        <f>IF($D190="","",IFERROR(VLOOKUP($B190,Kraftvärmeprod!$B$1:$BX$550,MATCH(Y$2,Kraftvärmeprod!$B$1:$VX$1,0),FALSE)/1,0)-IFERROR(VLOOKUP($B190,'Slutlig allokering kvv'!$B$2:$BX$550,MATCH(Y$2,'Slutlig allokering kvv'!$B$1:$BX$1,0),FALSE)/1,0))</f>
        <v/>
      </c>
      <c r="Z190" s="31" t="str">
        <f>IF($D190="","",IFERROR(VLOOKUP($B190,Kraftvärmeprod!$B$1:$BX$550,MATCH(Z$2,Kraftvärmeprod!$B$1:$VX$1,0),FALSE)/1,0)-IFERROR(VLOOKUP($B190,'Slutlig allokering kvv'!$B$2:$BX$550,MATCH(Z$2,'Slutlig allokering kvv'!$B$1:$BX$1,0),FALSE)/1,0))</f>
        <v/>
      </c>
      <c r="AA190" s="31" t="str">
        <f>IF($D190="","",IFERROR(VLOOKUP($B190,Kraftvärmeprod!$B$1:$BX$550,MATCH(AA$2,Kraftvärmeprod!$B$1:$VX$1,0),FALSE)/1,0)-IFERROR(VLOOKUP($B190,'Slutlig allokering kvv'!$B$2:$BX$550,MATCH(AA$2,'Slutlig allokering kvv'!$B$1:$BX$1,0),FALSE)/1,0))</f>
        <v/>
      </c>
      <c r="AB190" s="31" t="str">
        <f>IF($D190="","",IFERROR(VLOOKUP($B190,Kraftvärmeprod!$B$1:$BX$550,MATCH(AB$2,Kraftvärmeprod!$B$1:$VX$1,0),FALSE)/1,0)-IFERROR(VLOOKUP($B190,'Slutlig allokering kvv'!$B$2:$BX$550,MATCH(AB$2,'Slutlig allokering kvv'!$B$1:$BX$1,0),FALSE)/1,0))</f>
        <v/>
      </c>
      <c r="AC190" s="31" t="str">
        <f>IF($D190="","",IFERROR(VLOOKUP($B190,Kraftvärmeprod!$B$1:$BX$550,MATCH(AC$2,Kraftvärmeprod!$B$1:$VX$1,0),FALSE)/1,0)-IFERROR(VLOOKUP($B190,'Slutlig allokering kvv'!$B$2:$BX$550,MATCH(AC$2,'Slutlig allokering kvv'!$B$1:$BX$1,0),FALSE)/1,0))</f>
        <v/>
      </c>
      <c r="AD190" s="31" t="str">
        <f>IF($D190="","",IFERROR(VLOOKUP($B190,Kraftvärmeprod!$B$1:$BX$550,MATCH(AD$2,Kraftvärmeprod!$B$1:$VX$1,0),FALSE)/1,0)-IFERROR(VLOOKUP($B190,'Slutlig allokering kvv'!$B$2:$BX$550,MATCH(AD$2,'Slutlig allokering kvv'!$B$1:$BX$1,0),FALSE)/1,0))</f>
        <v/>
      </c>
      <c r="AE190" s="31" t="str">
        <f>IF($D190="","",IFERROR(VLOOKUP($B190,Miljö!$B$1:$E$550,MATCH("Hjälpel kraftvärme (GWh)",Miljö!$B$1:$E$1,0),FALSE)/1,0)-IFERROR(VLOOKUP($B190,'Slutlig allokering kvv'!$B$2:$BX$549,MATCH(AE$2,'Slutlig allokering kvv'!$B$1:$BX$1,0),FALSE)/1,0))</f>
        <v/>
      </c>
      <c r="AI190" s="39">
        <f t="shared" si="8"/>
        <v>0</v>
      </c>
      <c r="AK190" s="31">
        <f>IFERROR(VLOOKUP($B190,'Slutlig allokering kvv'!$B$2:$AX$549,MATCH("Summa slutlig allokerad tillförd energi (utan hjälpel och rökgaskondensering):",'Slutlig allokering kvv'!$B$1:$AX$1,0),FALSE)/1,"")</f>
        <v>0</v>
      </c>
      <c r="AM190" s="31" t="str">
        <f>IFERROR(1-VLOOKUP($B190,'Slutlig allokering kvv'!$B$2:$AX$549,MATCH("Andel av bränsle i kvv som allokerats till värme, exklusive rökgaskondensering och hjälpel",'Slutlig allokering kvv'!$B$1:$AX$1,0),FALSE),"")</f>
        <v/>
      </c>
      <c r="AO190" s="31" t="str">
        <f t="shared" si="9"/>
        <v/>
      </c>
      <c r="AP190" s="31" t="str">
        <f t="shared" si="10"/>
        <v/>
      </c>
      <c r="AR190" s="32" t="str">
        <f t="shared" si="11"/>
        <v/>
      </c>
    </row>
    <row r="191" spans="1:44" s="31" customFormat="1" x14ac:dyDescent="0.45">
      <c r="A191" s="31" t="s">
        <v>416</v>
      </c>
      <c r="B191" s="31" t="s">
        <v>415</v>
      </c>
      <c r="C191" s="31" t="str">
        <f>IFERROR(VLOOKUP($B191,Kraftvärmeprod!$B$1:$AH$479,MATCH(C$2,Kraftvärmeprod!$B$1:$AG$1,0),FALSE)/1,"")</f>
        <v/>
      </c>
      <c r="D191" s="31" t="str">
        <f>IFERROR(VLOOKUP($B191,Kraftvärmeprod!$B$1:$AH$479,MATCH(D$2,Kraftvärmeprod!$B$1:$AG$1,0),FALSE)/1,"")</f>
        <v/>
      </c>
      <c r="F191" s="31" t="str">
        <f>IF($D191="","",IFERROR(VLOOKUP($B191,Kraftvärmeprod!$B$1:$BX$550,MATCH(F$2,Kraftvärmeprod!$B$1:$VX$1,0),FALSE)/1,0)-IFERROR(VLOOKUP($B191,'Slutlig allokering kvv'!$B$2:$BX$550,MATCH(F$2,'Slutlig allokering kvv'!$B$1:$BX$1,0),FALSE)/1,0))</f>
        <v/>
      </c>
      <c r="G191" s="31" t="str">
        <f>IF($D191="","",IFERROR(VLOOKUP($B191,Kraftvärmeprod!$B$1:$BX$550,MATCH(G$2,Kraftvärmeprod!$B$1:$VX$1,0),FALSE)/1,0)-IFERROR(VLOOKUP($B191,'Slutlig allokering kvv'!$B$2:$BX$550,MATCH(G$2,'Slutlig allokering kvv'!$B$1:$BX$1,0),FALSE)/1,0))</f>
        <v/>
      </c>
      <c r="H191" s="31" t="str">
        <f>IF($D191="","",IFERROR(VLOOKUP($B191,Kraftvärmeprod!$B$1:$BX$550,MATCH(H$2,Kraftvärmeprod!$B$1:$VX$1,0),FALSE)/1,0)-IFERROR(VLOOKUP($B191,'Slutlig allokering kvv'!$B$2:$BX$550,MATCH(H$2,'Slutlig allokering kvv'!$B$1:$BX$1,0),FALSE)/1,0))</f>
        <v/>
      </c>
      <c r="I191" s="31" t="str">
        <f>IF($D191="","",IFERROR(VLOOKUP($B191,Kraftvärmeprod!$B$1:$BX$550,MATCH(I$2,Kraftvärmeprod!$B$1:$VX$1,0),FALSE)/1,0)-IFERROR(VLOOKUP($B191,'Slutlig allokering kvv'!$B$2:$BX$550,MATCH(I$2,'Slutlig allokering kvv'!$B$1:$BX$1,0),FALSE)/1,0))</f>
        <v/>
      </c>
      <c r="J191" s="31" t="str">
        <f>IF($D191="","",IFERROR(VLOOKUP($B191,Kraftvärmeprod!$B$1:$BX$550,MATCH(J$2,Kraftvärmeprod!$B$1:$VX$1,0),FALSE)/1,0)-IFERROR(VLOOKUP($B191,'Slutlig allokering kvv'!$B$2:$BX$550,MATCH(J$2,'Slutlig allokering kvv'!$B$1:$BX$1,0),FALSE)/1,0))</f>
        <v/>
      </c>
      <c r="K191" s="31" t="str">
        <f>IF($D191="","",IFERROR(VLOOKUP($B191,Kraftvärmeprod!$B$1:$BX$550,MATCH(K$2,Kraftvärmeprod!$B$1:$VX$1,0),FALSE)/1,0)-IFERROR(VLOOKUP($B191,'Slutlig allokering kvv'!$B$2:$BX$550,MATCH(K$2,'Slutlig allokering kvv'!$B$1:$BX$1,0),FALSE)/1,0))</f>
        <v/>
      </c>
      <c r="L191" s="31" t="str">
        <f>IF($D191="","",IFERROR(VLOOKUP($B191,Kraftvärmeprod!$B$1:$BX$550,MATCH(L$2,Kraftvärmeprod!$B$1:$VX$1,0),FALSE)/1,0)-IFERROR(VLOOKUP($B191,'Slutlig allokering kvv'!$B$2:$BX$550,MATCH(L$2,'Slutlig allokering kvv'!$B$1:$BX$1,0),FALSE)/1,0))</f>
        <v/>
      </c>
      <c r="M191" s="31" t="str">
        <f>IF($D191="","",IFERROR(VLOOKUP($B191,Kraftvärmeprod!$B$1:$BX$550,MATCH(M$2,Kraftvärmeprod!$B$1:$VX$1,0),FALSE)/1,0)-IFERROR(VLOOKUP($B191,'Slutlig allokering kvv'!$B$2:$BX$550,MATCH(M$2,'Slutlig allokering kvv'!$B$1:$BX$1,0),FALSE)/1,0))</f>
        <v/>
      </c>
      <c r="N191" s="31" t="str">
        <f>IF($D191="","",IFERROR(VLOOKUP($B191,Kraftvärmeprod!$B$1:$BX$550,MATCH(N$2,Kraftvärmeprod!$B$1:$VX$1,0),FALSE)/1,0)-IFERROR(VLOOKUP($B191,'Slutlig allokering kvv'!$B$2:$BX$550,MATCH(N$2,'Slutlig allokering kvv'!$B$1:$BX$1,0),FALSE)/1,0))</f>
        <v/>
      </c>
      <c r="O191" s="31" t="str">
        <f>IF($D191="","",IFERROR(VLOOKUP($B191,Kraftvärmeprod!$B$1:$BX$550,MATCH(O$2,Kraftvärmeprod!$B$1:$VX$1,0),FALSE)/1,0)-IFERROR(VLOOKUP($B191,'Slutlig allokering kvv'!$B$2:$BX$550,MATCH(O$2,'Slutlig allokering kvv'!$B$1:$BX$1,0),FALSE)/1,0))</f>
        <v/>
      </c>
      <c r="P191" s="31" t="str">
        <f>IF($D191="","",IFERROR(VLOOKUP($B191,Kraftvärmeprod!$B$1:$BX$550,MATCH(P$2,Kraftvärmeprod!$B$1:$VX$1,0),FALSE)/1,0)-IFERROR(VLOOKUP($B191,'Slutlig allokering kvv'!$B$2:$BX$550,MATCH(P$2,'Slutlig allokering kvv'!$B$1:$BX$1,0),FALSE)/1,0))</f>
        <v/>
      </c>
      <c r="Q191" s="31" t="str">
        <f>IF($D191="","",IFERROR(VLOOKUP($B191,Kraftvärmeprod!$B$1:$BX$550,MATCH(Q$2,Kraftvärmeprod!$B$1:$VX$1,0),FALSE)/1,0)-IFERROR(VLOOKUP($B191,'Slutlig allokering kvv'!$B$2:$BX$550,MATCH(Q$2,'Slutlig allokering kvv'!$B$1:$BX$1,0),FALSE)/1,0))</f>
        <v/>
      </c>
      <c r="R191" s="31" t="str">
        <f>IF($D191="","",IFERROR(VLOOKUP($B191,Kraftvärmeprod!$B$1:$BX$550,MATCH(R$2,Kraftvärmeprod!$B$1:$VX$1,0),FALSE)/1,0)-IFERROR(VLOOKUP($B191,'Slutlig allokering kvv'!$B$2:$BX$550,MATCH(R$2,'Slutlig allokering kvv'!$B$1:$BX$1,0),FALSE)/1,0))</f>
        <v/>
      </c>
      <c r="S191" s="31" t="str">
        <f>IF($D191="","",IFERROR(VLOOKUP($B191,Kraftvärmeprod!$B$1:$BX$550,MATCH(S$2,Kraftvärmeprod!$B$1:$VX$1,0),FALSE)/1,0)-IFERROR(VLOOKUP($B191,'Slutlig allokering kvv'!$B$2:$BX$550,MATCH(S$2,'Slutlig allokering kvv'!$B$1:$BX$1,0),FALSE)/1,0))</f>
        <v/>
      </c>
      <c r="T191" s="31" t="str">
        <f>IF($D191="","",IFERROR(VLOOKUP($B191,Kraftvärmeprod!$B$1:$BX$550,MATCH(T$2,Kraftvärmeprod!$B$1:$VX$1,0),FALSE)/1,0)-IFERROR(VLOOKUP($B191,'Slutlig allokering kvv'!$B$2:$BX$550,MATCH(T$2,'Slutlig allokering kvv'!$B$1:$BX$1,0),FALSE)/1,0))</f>
        <v/>
      </c>
      <c r="U191" s="31" t="str">
        <f>IF($D191="","",IFERROR(VLOOKUP($B191,Kraftvärmeprod!$B$1:$BX$550,MATCH(U$2,Kraftvärmeprod!$B$1:$VX$1,0),FALSE)/1,0)-IFERROR(VLOOKUP($B191,'Slutlig allokering kvv'!$B$2:$BX$550,MATCH(U$2,'Slutlig allokering kvv'!$B$1:$BX$1,0),FALSE)/1,0))</f>
        <v/>
      </c>
      <c r="V191" s="31" t="str">
        <f>IF($D191="","",IFERROR(VLOOKUP($B191,Kraftvärmeprod!$B$1:$BX$550,MATCH(V$2,Kraftvärmeprod!$B$1:$VX$1,0),FALSE)/1,0)-IFERROR(VLOOKUP($B191,'Slutlig allokering kvv'!$B$2:$BX$550,MATCH(V$2,'Slutlig allokering kvv'!$B$1:$BX$1,0),FALSE)/1,0))</f>
        <v/>
      </c>
      <c r="W191" s="31" t="str">
        <f>IF($D191="","",IFERROR(VLOOKUP($B191,Kraftvärmeprod!$B$1:$BX$550,MATCH(W$2,Kraftvärmeprod!$B$1:$VX$1,0),FALSE)/1,0)-IFERROR(VLOOKUP($B191,'Slutlig allokering kvv'!$B$2:$BX$550,MATCH(W$2,'Slutlig allokering kvv'!$B$1:$BX$1,0),FALSE)/1,0))</f>
        <v/>
      </c>
      <c r="X191" s="31" t="str">
        <f>IF($D191="","",IFERROR(VLOOKUP($B191,Kraftvärmeprod!$B$1:$BX$550,MATCH(X$2,Kraftvärmeprod!$B$1:$VX$1,0),FALSE)/1,0)-IFERROR(VLOOKUP($B191,'Slutlig allokering kvv'!$B$2:$BX$550,MATCH(X$2,'Slutlig allokering kvv'!$B$1:$BX$1,0),FALSE)/1,0))</f>
        <v/>
      </c>
      <c r="Y191" s="31" t="str">
        <f>IF($D191="","",IFERROR(VLOOKUP($B191,Kraftvärmeprod!$B$1:$BX$550,MATCH(Y$2,Kraftvärmeprod!$B$1:$VX$1,0),FALSE)/1,0)-IFERROR(VLOOKUP($B191,'Slutlig allokering kvv'!$B$2:$BX$550,MATCH(Y$2,'Slutlig allokering kvv'!$B$1:$BX$1,0),FALSE)/1,0))</f>
        <v/>
      </c>
      <c r="Z191" s="31" t="str">
        <f>IF($D191="","",IFERROR(VLOOKUP($B191,Kraftvärmeprod!$B$1:$BX$550,MATCH(Z$2,Kraftvärmeprod!$B$1:$VX$1,0),FALSE)/1,0)-IFERROR(VLOOKUP($B191,'Slutlig allokering kvv'!$B$2:$BX$550,MATCH(Z$2,'Slutlig allokering kvv'!$B$1:$BX$1,0),FALSE)/1,0))</f>
        <v/>
      </c>
      <c r="AA191" s="31" t="str">
        <f>IF($D191="","",IFERROR(VLOOKUP($B191,Kraftvärmeprod!$B$1:$BX$550,MATCH(AA$2,Kraftvärmeprod!$B$1:$VX$1,0),FALSE)/1,0)-IFERROR(VLOOKUP($B191,'Slutlig allokering kvv'!$B$2:$BX$550,MATCH(AA$2,'Slutlig allokering kvv'!$B$1:$BX$1,0),FALSE)/1,0))</f>
        <v/>
      </c>
      <c r="AB191" s="31" t="str">
        <f>IF($D191="","",IFERROR(VLOOKUP($B191,Kraftvärmeprod!$B$1:$BX$550,MATCH(AB$2,Kraftvärmeprod!$B$1:$VX$1,0),FALSE)/1,0)-IFERROR(VLOOKUP($B191,'Slutlig allokering kvv'!$B$2:$BX$550,MATCH(AB$2,'Slutlig allokering kvv'!$B$1:$BX$1,0),FALSE)/1,0))</f>
        <v/>
      </c>
      <c r="AC191" s="31" t="str">
        <f>IF($D191="","",IFERROR(VLOOKUP($B191,Kraftvärmeprod!$B$1:$BX$550,MATCH(AC$2,Kraftvärmeprod!$B$1:$VX$1,0),FALSE)/1,0)-IFERROR(VLOOKUP($B191,'Slutlig allokering kvv'!$B$2:$BX$550,MATCH(AC$2,'Slutlig allokering kvv'!$B$1:$BX$1,0),FALSE)/1,0))</f>
        <v/>
      </c>
      <c r="AD191" s="31" t="str">
        <f>IF($D191="","",IFERROR(VLOOKUP($B191,Kraftvärmeprod!$B$1:$BX$550,MATCH(AD$2,Kraftvärmeprod!$B$1:$VX$1,0),FALSE)/1,0)-IFERROR(VLOOKUP($B191,'Slutlig allokering kvv'!$B$2:$BX$550,MATCH(AD$2,'Slutlig allokering kvv'!$B$1:$BX$1,0),FALSE)/1,0))</f>
        <v/>
      </c>
      <c r="AE191" s="31" t="str">
        <f>IF($D191="","",IFERROR(VLOOKUP($B191,Miljö!$B$1:$E$550,MATCH("Hjälpel kraftvärme (GWh)",Miljö!$B$1:$E$1,0),FALSE)/1,0)-IFERROR(VLOOKUP($B191,'Slutlig allokering kvv'!$B$2:$BX$549,MATCH(AE$2,'Slutlig allokering kvv'!$B$1:$BX$1,0),FALSE)/1,0))</f>
        <v/>
      </c>
      <c r="AI191" s="39">
        <f t="shared" si="8"/>
        <v>0</v>
      </c>
      <c r="AK191" s="31">
        <f>IFERROR(VLOOKUP($B191,'Slutlig allokering kvv'!$B$2:$AX$549,MATCH("Summa slutlig allokerad tillförd energi (utan hjälpel och rökgaskondensering):",'Slutlig allokering kvv'!$B$1:$AX$1,0),FALSE)/1,"")</f>
        <v>0</v>
      </c>
      <c r="AM191" s="31" t="str">
        <f>IFERROR(1-VLOOKUP($B191,'Slutlig allokering kvv'!$B$2:$AX$549,MATCH("Andel av bränsle i kvv som allokerats till värme, exklusive rökgaskondensering och hjälpel",'Slutlig allokering kvv'!$B$1:$AX$1,0),FALSE),"")</f>
        <v/>
      </c>
      <c r="AO191" s="31" t="str">
        <f t="shared" si="9"/>
        <v/>
      </c>
      <c r="AP191" s="31" t="str">
        <f t="shared" si="10"/>
        <v/>
      </c>
      <c r="AR191" s="32" t="str">
        <f t="shared" si="11"/>
        <v/>
      </c>
    </row>
    <row r="192" spans="1:44" s="31" customFormat="1" x14ac:dyDescent="0.45">
      <c r="A192" s="31" t="s">
        <v>413</v>
      </c>
      <c r="B192" s="31" t="s">
        <v>414</v>
      </c>
      <c r="C192" s="31" t="str">
        <f>IFERROR(VLOOKUP($B192,Kraftvärmeprod!$B$1:$AH$479,MATCH(C$2,Kraftvärmeprod!$B$1:$AG$1,0),FALSE)/1,"")</f>
        <v/>
      </c>
      <c r="D192" s="31" t="str">
        <f>IFERROR(VLOOKUP($B192,Kraftvärmeprod!$B$1:$AH$479,MATCH(D$2,Kraftvärmeprod!$B$1:$AG$1,0),FALSE)/1,"")</f>
        <v/>
      </c>
      <c r="F192" s="31" t="str">
        <f>IF($D192="","",IFERROR(VLOOKUP($B192,Kraftvärmeprod!$B$1:$BX$550,MATCH(F$2,Kraftvärmeprod!$B$1:$VX$1,0),FALSE)/1,0)-IFERROR(VLOOKUP($B192,'Slutlig allokering kvv'!$B$2:$BX$550,MATCH(F$2,'Slutlig allokering kvv'!$B$1:$BX$1,0),FALSE)/1,0))</f>
        <v/>
      </c>
      <c r="G192" s="31" t="str">
        <f>IF($D192="","",IFERROR(VLOOKUP($B192,Kraftvärmeprod!$B$1:$BX$550,MATCH(G$2,Kraftvärmeprod!$B$1:$VX$1,0),FALSE)/1,0)-IFERROR(VLOOKUP($B192,'Slutlig allokering kvv'!$B$2:$BX$550,MATCH(G$2,'Slutlig allokering kvv'!$B$1:$BX$1,0),FALSE)/1,0))</f>
        <v/>
      </c>
      <c r="H192" s="31" t="str">
        <f>IF($D192="","",IFERROR(VLOOKUP($B192,Kraftvärmeprod!$B$1:$BX$550,MATCH(H$2,Kraftvärmeprod!$B$1:$VX$1,0),FALSE)/1,0)-IFERROR(VLOOKUP($B192,'Slutlig allokering kvv'!$B$2:$BX$550,MATCH(H$2,'Slutlig allokering kvv'!$B$1:$BX$1,0),FALSE)/1,0))</f>
        <v/>
      </c>
      <c r="I192" s="31" t="str">
        <f>IF($D192="","",IFERROR(VLOOKUP($B192,Kraftvärmeprod!$B$1:$BX$550,MATCH(I$2,Kraftvärmeprod!$B$1:$VX$1,0),FALSE)/1,0)-IFERROR(VLOOKUP($B192,'Slutlig allokering kvv'!$B$2:$BX$550,MATCH(I$2,'Slutlig allokering kvv'!$B$1:$BX$1,0),FALSE)/1,0))</f>
        <v/>
      </c>
      <c r="J192" s="31" t="str">
        <f>IF($D192="","",IFERROR(VLOOKUP($B192,Kraftvärmeprod!$B$1:$BX$550,MATCH(J$2,Kraftvärmeprod!$B$1:$VX$1,0),FALSE)/1,0)-IFERROR(VLOOKUP($B192,'Slutlig allokering kvv'!$B$2:$BX$550,MATCH(J$2,'Slutlig allokering kvv'!$B$1:$BX$1,0),FALSE)/1,0))</f>
        <v/>
      </c>
      <c r="K192" s="31" t="str">
        <f>IF($D192="","",IFERROR(VLOOKUP($B192,Kraftvärmeprod!$B$1:$BX$550,MATCH(K$2,Kraftvärmeprod!$B$1:$VX$1,0),FALSE)/1,0)-IFERROR(VLOOKUP($B192,'Slutlig allokering kvv'!$B$2:$BX$550,MATCH(K$2,'Slutlig allokering kvv'!$B$1:$BX$1,0),FALSE)/1,0))</f>
        <v/>
      </c>
      <c r="L192" s="31" t="str">
        <f>IF($D192="","",IFERROR(VLOOKUP($B192,Kraftvärmeprod!$B$1:$BX$550,MATCH(L$2,Kraftvärmeprod!$B$1:$VX$1,0),FALSE)/1,0)-IFERROR(VLOOKUP($B192,'Slutlig allokering kvv'!$B$2:$BX$550,MATCH(L$2,'Slutlig allokering kvv'!$B$1:$BX$1,0),FALSE)/1,0))</f>
        <v/>
      </c>
      <c r="M192" s="31" t="str">
        <f>IF($D192="","",IFERROR(VLOOKUP($B192,Kraftvärmeprod!$B$1:$BX$550,MATCH(M$2,Kraftvärmeprod!$B$1:$VX$1,0),FALSE)/1,0)-IFERROR(VLOOKUP($B192,'Slutlig allokering kvv'!$B$2:$BX$550,MATCH(M$2,'Slutlig allokering kvv'!$B$1:$BX$1,0),FALSE)/1,0))</f>
        <v/>
      </c>
      <c r="N192" s="31" t="str">
        <f>IF($D192="","",IFERROR(VLOOKUP($B192,Kraftvärmeprod!$B$1:$BX$550,MATCH(N$2,Kraftvärmeprod!$B$1:$VX$1,0),FALSE)/1,0)-IFERROR(VLOOKUP($B192,'Slutlig allokering kvv'!$B$2:$BX$550,MATCH(N$2,'Slutlig allokering kvv'!$B$1:$BX$1,0),FALSE)/1,0))</f>
        <v/>
      </c>
      <c r="O192" s="31" t="str">
        <f>IF($D192="","",IFERROR(VLOOKUP($B192,Kraftvärmeprod!$B$1:$BX$550,MATCH(O$2,Kraftvärmeprod!$B$1:$VX$1,0),FALSE)/1,0)-IFERROR(VLOOKUP($B192,'Slutlig allokering kvv'!$B$2:$BX$550,MATCH(O$2,'Slutlig allokering kvv'!$B$1:$BX$1,0),FALSE)/1,0))</f>
        <v/>
      </c>
      <c r="P192" s="31" t="str">
        <f>IF($D192="","",IFERROR(VLOOKUP($B192,Kraftvärmeprod!$B$1:$BX$550,MATCH(P$2,Kraftvärmeprod!$B$1:$VX$1,0),FALSE)/1,0)-IFERROR(VLOOKUP($B192,'Slutlig allokering kvv'!$B$2:$BX$550,MATCH(P$2,'Slutlig allokering kvv'!$B$1:$BX$1,0),FALSE)/1,0))</f>
        <v/>
      </c>
      <c r="Q192" s="31" t="str">
        <f>IF($D192="","",IFERROR(VLOOKUP($B192,Kraftvärmeprod!$B$1:$BX$550,MATCH(Q$2,Kraftvärmeprod!$B$1:$VX$1,0),FALSE)/1,0)-IFERROR(VLOOKUP($B192,'Slutlig allokering kvv'!$B$2:$BX$550,MATCH(Q$2,'Slutlig allokering kvv'!$B$1:$BX$1,0),FALSE)/1,0))</f>
        <v/>
      </c>
      <c r="R192" s="31" t="str">
        <f>IF($D192="","",IFERROR(VLOOKUP($B192,Kraftvärmeprod!$B$1:$BX$550,MATCH(R$2,Kraftvärmeprod!$B$1:$VX$1,0),FALSE)/1,0)-IFERROR(VLOOKUP($B192,'Slutlig allokering kvv'!$B$2:$BX$550,MATCH(R$2,'Slutlig allokering kvv'!$B$1:$BX$1,0),FALSE)/1,0))</f>
        <v/>
      </c>
      <c r="S192" s="31" t="str">
        <f>IF($D192="","",IFERROR(VLOOKUP($B192,Kraftvärmeprod!$B$1:$BX$550,MATCH(S$2,Kraftvärmeprod!$B$1:$VX$1,0),FALSE)/1,0)-IFERROR(VLOOKUP($B192,'Slutlig allokering kvv'!$B$2:$BX$550,MATCH(S$2,'Slutlig allokering kvv'!$B$1:$BX$1,0),FALSE)/1,0))</f>
        <v/>
      </c>
      <c r="T192" s="31" t="str">
        <f>IF($D192="","",IFERROR(VLOOKUP($B192,Kraftvärmeprod!$B$1:$BX$550,MATCH(T$2,Kraftvärmeprod!$B$1:$VX$1,0),FALSE)/1,0)-IFERROR(VLOOKUP($B192,'Slutlig allokering kvv'!$B$2:$BX$550,MATCH(T$2,'Slutlig allokering kvv'!$B$1:$BX$1,0),FALSE)/1,0))</f>
        <v/>
      </c>
      <c r="U192" s="31" t="str">
        <f>IF($D192="","",IFERROR(VLOOKUP($B192,Kraftvärmeprod!$B$1:$BX$550,MATCH(U$2,Kraftvärmeprod!$B$1:$VX$1,0),FALSE)/1,0)-IFERROR(VLOOKUP($B192,'Slutlig allokering kvv'!$B$2:$BX$550,MATCH(U$2,'Slutlig allokering kvv'!$B$1:$BX$1,0),FALSE)/1,0))</f>
        <v/>
      </c>
      <c r="V192" s="31" t="str">
        <f>IF($D192="","",IFERROR(VLOOKUP($B192,Kraftvärmeprod!$B$1:$BX$550,MATCH(V$2,Kraftvärmeprod!$B$1:$VX$1,0),FALSE)/1,0)-IFERROR(VLOOKUP($B192,'Slutlig allokering kvv'!$B$2:$BX$550,MATCH(V$2,'Slutlig allokering kvv'!$B$1:$BX$1,0),FALSE)/1,0))</f>
        <v/>
      </c>
      <c r="W192" s="31" t="str">
        <f>IF($D192="","",IFERROR(VLOOKUP($B192,Kraftvärmeprod!$B$1:$BX$550,MATCH(W$2,Kraftvärmeprod!$B$1:$VX$1,0),FALSE)/1,0)-IFERROR(VLOOKUP($B192,'Slutlig allokering kvv'!$B$2:$BX$550,MATCH(W$2,'Slutlig allokering kvv'!$B$1:$BX$1,0),FALSE)/1,0))</f>
        <v/>
      </c>
      <c r="X192" s="31" t="str">
        <f>IF($D192="","",IFERROR(VLOOKUP($B192,Kraftvärmeprod!$B$1:$BX$550,MATCH(X$2,Kraftvärmeprod!$B$1:$VX$1,0),FALSE)/1,0)-IFERROR(VLOOKUP($B192,'Slutlig allokering kvv'!$B$2:$BX$550,MATCH(X$2,'Slutlig allokering kvv'!$B$1:$BX$1,0),FALSE)/1,0))</f>
        <v/>
      </c>
      <c r="Y192" s="31" t="str">
        <f>IF($D192="","",IFERROR(VLOOKUP($B192,Kraftvärmeprod!$B$1:$BX$550,MATCH(Y$2,Kraftvärmeprod!$B$1:$VX$1,0),FALSE)/1,0)-IFERROR(VLOOKUP($B192,'Slutlig allokering kvv'!$B$2:$BX$550,MATCH(Y$2,'Slutlig allokering kvv'!$B$1:$BX$1,0),FALSE)/1,0))</f>
        <v/>
      </c>
      <c r="Z192" s="31" t="str">
        <f>IF($D192="","",IFERROR(VLOOKUP($B192,Kraftvärmeprod!$B$1:$BX$550,MATCH(Z$2,Kraftvärmeprod!$B$1:$VX$1,0),FALSE)/1,0)-IFERROR(VLOOKUP($B192,'Slutlig allokering kvv'!$B$2:$BX$550,MATCH(Z$2,'Slutlig allokering kvv'!$B$1:$BX$1,0),FALSE)/1,0))</f>
        <v/>
      </c>
      <c r="AA192" s="31" t="str">
        <f>IF($D192="","",IFERROR(VLOOKUP($B192,Kraftvärmeprod!$B$1:$BX$550,MATCH(AA$2,Kraftvärmeprod!$B$1:$VX$1,0),FALSE)/1,0)-IFERROR(VLOOKUP($B192,'Slutlig allokering kvv'!$B$2:$BX$550,MATCH(AA$2,'Slutlig allokering kvv'!$B$1:$BX$1,0),FALSE)/1,0))</f>
        <v/>
      </c>
      <c r="AB192" s="31" t="str">
        <f>IF($D192="","",IFERROR(VLOOKUP($B192,Kraftvärmeprod!$B$1:$BX$550,MATCH(AB$2,Kraftvärmeprod!$B$1:$VX$1,0),FALSE)/1,0)-IFERROR(VLOOKUP($B192,'Slutlig allokering kvv'!$B$2:$BX$550,MATCH(AB$2,'Slutlig allokering kvv'!$B$1:$BX$1,0),FALSE)/1,0))</f>
        <v/>
      </c>
      <c r="AC192" s="31" t="str">
        <f>IF($D192="","",IFERROR(VLOOKUP($B192,Kraftvärmeprod!$B$1:$BX$550,MATCH(AC$2,Kraftvärmeprod!$B$1:$VX$1,0),FALSE)/1,0)-IFERROR(VLOOKUP($B192,'Slutlig allokering kvv'!$B$2:$BX$550,MATCH(AC$2,'Slutlig allokering kvv'!$B$1:$BX$1,0),FALSE)/1,0))</f>
        <v/>
      </c>
      <c r="AD192" s="31" t="str">
        <f>IF($D192="","",IFERROR(VLOOKUP($B192,Kraftvärmeprod!$B$1:$BX$550,MATCH(AD$2,Kraftvärmeprod!$B$1:$VX$1,0),FALSE)/1,0)-IFERROR(VLOOKUP($B192,'Slutlig allokering kvv'!$B$2:$BX$550,MATCH(AD$2,'Slutlig allokering kvv'!$B$1:$BX$1,0),FALSE)/1,0))</f>
        <v/>
      </c>
      <c r="AE192" s="31" t="str">
        <f>IF($D192="","",IFERROR(VLOOKUP($B192,Miljö!$B$1:$E$550,MATCH("Hjälpel kraftvärme (GWh)",Miljö!$B$1:$E$1,0),FALSE)/1,0)-IFERROR(VLOOKUP($B192,'Slutlig allokering kvv'!$B$2:$BX$549,MATCH(AE$2,'Slutlig allokering kvv'!$B$1:$BX$1,0),FALSE)/1,0))</f>
        <v/>
      </c>
      <c r="AI192" s="39">
        <f t="shared" si="8"/>
        <v>0</v>
      </c>
      <c r="AK192" s="31">
        <f>IFERROR(VLOOKUP($B192,'Slutlig allokering kvv'!$B$2:$AX$549,MATCH("Summa slutlig allokerad tillförd energi (utan hjälpel och rökgaskondensering):",'Slutlig allokering kvv'!$B$1:$AX$1,0),FALSE)/1,"")</f>
        <v>0</v>
      </c>
      <c r="AM192" s="31" t="str">
        <f>IFERROR(1-VLOOKUP($B192,'Slutlig allokering kvv'!$B$2:$AX$549,MATCH("Andel av bränsle i kvv som allokerats till värme, exklusive rökgaskondensering och hjälpel",'Slutlig allokering kvv'!$B$1:$AX$1,0),FALSE),"")</f>
        <v/>
      </c>
      <c r="AO192" s="31" t="str">
        <f t="shared" si="9"/>
        <v/>
      </c>
      <c r="AP192" s="31" t="str">
        <f t="shared" si="10"/>
        <v/>
      </c>
      <c r="AR192" s="32" t="str">
        <f t="shared" si="11"/>
        <v/>
      </c>
    </row>
    <row r="193" spans="1:44" s="31" customFormat="1" x14ac:dyDescent="0.45">
      <c r="A193" s="31" t="s">
        <v>413</v>
      </c>
      <c r="B193" s="31" t="s">
        <v>412</v>
      </c>
      <c r="C193" s="31">
        <f>IFERROR(VLOOKUP($B193,Kraftvärmeprod!$B$1:$AH$479,MATCH(C$2,Kraftvärmeprod!$B$1:$AG$1,0),FALSE)/1,"")</f>
        <v>95.6</v>
      </c>
      <c r="D193" s="31">
        <f>IFERROR(VLOOKUP($B193,Kraftvärmeprod!$B$1:$AH$479,MATCH(D$2,Kraftvärmeprod!$B$1:$AG$1,0),FALSE)/1,"")</f>
        <v>18</v>
      </c>
      <c r="F193" s="31">
        <f>IF($D193="","",IFERROR(VLOOKUP($B193,Kraftvärmeprod!$B$1:$BX$550,MATCH(F$2,Kraftvärmeprod!$B$1:$VX$1,0),FALSE)/1,0)-IFERROR(VLOOKUP($B193,'Slutlig allokering kvv'!$B$2:$BX$550,MATCH(F$2,'Slutlig allokering kvv'!$B$1:$BX$1,0),FALSE)/1,0))</f>
        <v>0</v>
      </c>
      <c r="G193" s="31">
        <f>IF($D193="","",IFERROR(VLOOKUP($B193,Kraftvärmeprod!$B$1:$BX$550,MATCH(G$2,Kraftvärmeprod!$B$1:$VX$1,0),FALSE)/1,0)-IFERROR(VLOOKUP($B193,'Slutlig allokering kvv'!$B$2:$BX$550,MATCH(G$2,'Slutlig allokering kvv'!$B$1:$BX$1,0),FALSE)/1,0))</f>
        <v>5.5161000000000016E-2</v>
      </c>
      <c r="H193" s="31">
        <f>IF($D193="","",IFERROR(VLOOKUP($B193,Kraftvärmeprod!$B$1:$BX$550,MATCH(H$2,Kraftvärmeprod!$B$1:$VX$1,0),FALSE)/1,0)-IFERROR(VLOOKUP($B193,'Slutlig allokering kvv'!$B$2:$BX$550,MATCH(H$2,'Slutlig allokering kvv'!$B$1:$BX$1,0),FALSE)/1,0))</f>
        <v>0</v>
      </c>
      <c r="I193" s="31">
        <f>IF($D193="","",IFERROR(VLOOKUP($B193,Kraftvärmeprod!$B$1:$BX$550,MATCH(I$2,Kraftvärmeprod!$B$1:$VX$1,0),FALSE)/1,0)-IFERROR(VLOOKUP($B193,'Slutlig allokering kvv'!$B$2:$BX$550,MATCH(I$2,'Slutlig allokering kvv'!$B$1:$BX$1,0),FALSE)/1,0))</f>
        <v>0</v>
      </c>
      <c r="J193" s="31">
        <f>IF($D193="","",IFERROR(VLOOKUP($B193,Kraftvärmeprod!$B$1:$BX$550,MATCH(J$2,Kraftvärmeprod!$B$1:$VX$1,0),FALSE)/1,0)-IFERROR(VLOOKUP($B193,'Slutlig allokering kvv'!$B$2:$BX$550,MATCH(J$2,'Slutlig allokering kvv'!$B$1:$BX$1,0),FALSE)/1,0))</f>
        <v>0</v>
      </c>
      <c r="K193" s="31">
        <f>IF($D193="","",IFERROR(VLOOKUP($B193,Kraftvärmeprod!$B$1:$BX$550,MATCH(K$2,Kraftvärmeprod!$B$1:$VX$1,0),FALSE)/1,0)-IFERROR(VLOOKUP($B193,'Slutlig allokering kvv'!$B$2:$BX$550,MATCH(K$2,'Slutlig allokering kvv'!$B$1:$BX$1,0),FALSE)/1,0))</f>
        <v>0</v>
      </c>
      <c r="L193" s="31">
        <f>IF($D193="","",IFERROR(VLOOKUP($B193,Kraftvärmeprod!$B$1:$BX$550,MATCH(L$2,Kraftvärmeprod!$B$1:$VX$1,0),FALSE)/1,0)-IFERROR(VLOOKUP($B193,'Slutlig allokering kvv'!$B$2:$BX$550,MATCH(L$2,'Slutlig allokering kvv'!$B$1:$BX$1,0),FALSE)/1,0))</f>
        <v>0.13166600000000001</v>
      </c>
      <c r="M193" s="31">
        <f>IF($D193="","",IFERROR(VLOOKUP($B193,Kraftvärmeprod!$B$1:$BX$550,MATCH(M$2,Kraftvärmeprod!$B$1:$VX$1,0),FALSE)/1,0)-IFERROR(VLOOKUP($B193,'Slutlig allokering kvv'!$B$2:$BX$550,MATCH(M$2,'Slutlig allokering kvv'!$B$1:$BX$1,0),FALSE)/1,0))</f>
        <v>0.29624899999999998</v>
      </c>
      <c r="N193" s="31">
        <f>IF($D193="","",IFERROR(VLOOKUP($B193,Kraftvärmeprod!$B$1:$BX$550,MATCH(N$2,Kraftvärmeprod!$B$1:$VX$1,0),FALSE)/1,0)-IFERROR(VLOOKUP($B193,'Slutlig allokering kvv'!$B$2:$BX$550,MATCH(N$2,'Slutlig allokering kvv'!$B$1:$BX$1,0),FALSE)/1,0))</f>
        <v>0.59250000000000003</v>
      </c>
      <c r="O193" s="31">
        <f>IF($D193="","",IFERROR(VLOOKUP($B193,Kraftvärmeprod!$B$1:$BX$550,MATCH(O$2,Kraftvärmeprod!$B$1:$VX$1,0),FALSE)/1,0)-IFERROR(VLOOKUP($B193,'Slutlig allokering kvv'!$B$2:$BX$550,MATCH(O$2,'Slutlig allokering kvv'!$B$1:$BX$1,0),FALSE)/1,0))</f>
        <v>0</v>
      </c>
      <c r="P193" s="31">
        <f>IF($D193="","",IFERROR(VLOOKUP($B193,Kraftvärmeprod!$B$1:$BX$550,MATCH(P$2,Kraftvärmeprod!$B$1:$VX$1,0),FALSE)/1,0)-IFERROR(VLOOKUP($B193,'Slutlig allokering kvv'!$B$2:$BX$550,MATCH(P$2,'Slutlig allokering kvv'!$B$1:$BX$1,0),FALSE)/1,0))</f>
        <v>0</v>
      </c>
      <c r="Q193" s="31">
        <f>IF($D193="","",IFERROR(VLOOKUP($B193,Kraftvärmeprod!$B$1:$BX$550,MATCH(Q$2,Kraftvärmeprod!$B$1:$VX$1,0),FALSE)/1,0)-IFERROR(VLOOKUP($B193,'Slutlig allokering kvv'!$B$2:$BX$550,MATCH(Q$2,'Slutlig allokering kvv'!$B$1:$BX$1,0),FALSE)/1,0))</f>
        <v>0</v>
      </c>
      <c r="R193" s="31">
        <f>IF($D193="","",IFERROR(VLOOKUP($B193,Kraftvärmeprod!$B$1:$BX$550,MATCH(R$2,Kraftvärmeprod!$B$1:$VX$1,0),FALSE)/1,0)-IFERROR(VLOOKUP($B193,'Slutlig allokering kvv'!$B$2:$BX$550,MATCH(R$2,'Slutlig allokering kvv'!$B$1:$BX$1,0),FALSE)/1,0))</f>
        <v>0</v>
      </c>
      <c r="S193" s="31">
        <f>IF($D193="","",IFERROR(VLOOKUP($B193,Kraftvärmeprod!$B$1:$BX$550,MATCH(S$2,Kraftvärmeprod!$B$1:$VX$1,0),FALSE)/1,0)-IFERROR(VLOOKUP($B193,'Slutlig allokering kvv'!$B$2:$BX$550,MATCH(S$2,'Slutlig allokering kvv'!$B$1:$BX$1,0),FALSE)/1,0))</f>
        <v>0</v>
      </c>
      <c r="T193" s="31">
        <f>IF($D193="","",IFERROR(VLOOKUP($B193,Kraftvärmeprod!$B$1:$BX$550,MATCH(T$2,Kraftvärmeprod!$B$1:$VX$1,0),FALSE)/1,0)-IFERROR(VLOOKUP($B193,'Slutlig allokering kvv'!$B$2:$BX$550,MATCH(T$2,'Slutlig allokering kvv'!$B$1:$BX$1,0),FALSE)/1,0))</f>
        <v>0</v>
      </c>
      <c r="U193" s="31">
        <f>IF($D193="","",IFERROR(VLOOKUP($B193,Kraftvärmeprod!$B$1:$BX$550,MATCH(U$2,Kraftvärmeprod!$B$1:$VX$1,0),FALSE)/1,0)-IFERROR(VLOOKUP($B193,'Slutlig allokering kvv'!$B$2:$BX$550,MATCH(U$2,'Slutlig allokering kvv'!$B$1:$BX$1,0),FALSE)/1,0))</f>
        <v>0</v>
      </c>
      <c r="V193" s="31">
        <f>IF($D193="","",IFERROR(VLOOKUP($B193,Kraftvärmeprod!$B$1:$BX$550,MATCH(V$2,Kraftvärmeprod!$B$1:$VX$1,0),FALSE)/1,0)-IFERROR(VLOOKUP($B193,'Slutlig allokering kvv'!$B$2:$BX$550,MATCH(V$2,'Slutlig allokering kvv'!$B$1:$BX$1,0),FALSE)/1,0))</f>
        <v>41.310299999999998</v>
      </c>
      <c r="W193" s="31">
        <f>IF($D193="","",IFERROR(VLOOKUP($B193,Kraftvärmeprod!$B$1:$BX$550,MATCH(W$2,Kraftvärmeprod!$B$1:$VX$1,0),FALSE)/1,0)-IFERROR(VLOOKUP($B193,'Slutlig allokering kvv'!$B$2:$BX$550,MATCH(W$2,'Slutlig allokering kvv'!$B$1:$BX$1,0),FALSE)/1,0))</f>
        <v>0</v>
      </c>
      <c r="X193" s="31">
        <f>IF($D193="","",IFERROR(VLOOKUP($B193,Kraftvärmeprod!$B$1:$BX$550,MATCH(X$2,Kraftvärmeprod!$B$1:$VX$1,0),FALSE)/1,0)-IFERROR(VLOOKUP($B193,'Slutlig allokering kvv'!$B$2:$BX$550,MATCH(X$2,'Slutlig allokering kvv'!$B$1:$BX$1,0),FALSE)/1,0))</f>
        <v>0</v>
      </c>
      <c r="Y193" s="31">
        <f>IF($D193="","",IFERROR(VLOOKUP($B193,Kraftvärmeprod!$B$1:$BX$550,MATCH(Y$2,Kraftvärmeprod!$B$1:$VX$1,0),FALSE)/1,0)-IFERROR(VLOOKUP($B193,'Slutlig allokering kvv'!$B$2:$BX$550,MATCH(Y$2,'Slutlig allokering kvv'!$B$1:$BX$1,0),FALSE)/1,0))</f>
        <v>0</v>
      </c>
      <c r="Z193" s="31">
        <f>IF($D193="","",IFERROR(VLOOKUP($B193,Kraftvärmeprod!$B$1:$BX$550,MATCH(Z$2,Kraftvärmeprod!$B$1:$VX$1,0),FALSE)/1,0)-IFERROR(VLOOKUP($B193,'Slutlig allokering kvv'!$B$2:$BX$550,MATCH(Z$2,'Slutlig allokering kvv'!$B$1:$BX$1,0),FALSE)/1,0))</f>
        <v>0</v>
      </c>
      <c r="AA193" s="31">
        <f>IF($D193="","",IFERROR(VLOOKUP($B193,Kraftvärmeprod!$B$1:$BX$550,MATCH(AA$2,Kraftvärmeprod!$B$1:$VX$1,0),FALSE)/1,0)-IFERROR(VLOOKUP($B193,'Slutlig allokering kvv'!$B$2:$BX$550,MATCH(AA$2,'Slutlig allokering kvv'!$B$1:$BX$1,0),FALSE)/1,0))</f>
        <v>0</v>
      </c>
      <c r="AB193" s="31">
        <f>IF($D193="","",IFERROR(VLOOKUP($B193,Kraftvärmeprod!$B$1:$BX$550,MATCH(AB$2,Kraftvärmeprod!$B$1:$VX$1,0),FALSE)/1,0)-IFERROR(VLOOKUP($B193,'Slutlig allokering kvv'!$B$2:$BX$550,MATCH(AB$2,'Slutlig allokering kvv'!$B$1:$BX$1,0),FALSE)/1,0))</f>
        <v>0</v>
      </c>
      <c r="AC193" s="31">
        <f>IF($D193="","",IFERROR(VLOOKUP($B193,Kraftvärmeprod!$B$1:$BX$550,MATCH(AC$2,Kraftvärmeprod!$B$1:$VX$1,0),FALSE)/1,0)-IFERROR(VLOOKUP($B193,'Slutlig allokering kvv'!$B$2:$BX$550,MATCH(AC$2,'Slutlig allokering kvv'!$B$1:$BX$1,0),FALSE)/1,0))</f>
        <v>0</v>
      </c>
      <c r="AD193" s="31">
        <f>IF($D193="","",IFERROR(VLOOKUP($B193,Kraftvärmeprod!$B$1:$BX$550,MATCH(AD$2,Kraftvärmeprod!$B$1:$VX$1,0),FALSE)/1,0)-IFERROR(VLOOKUP($B193,'Slutlig allokering kvv'!$B$2:$BX$550,MATCH(AD$2,'Slutlig allokering kvv'!$B$1:$BX$1,0),FALSE)/1,0))</f>
        <v>0</v>
      </c>
      <c r="AE193" s="31">
        <f>IF($D193="","",IFERROR(VLOOKUP($B193,Miljö!$B$1:$E$550,MATCH("Hjälpel kraftvärme (GWh)",Miljö!$B$1:$E$1,0),FALSE)/1,0)-IFERROR(VLOOKUP($B193,'Slutlig allokering kvv'!$B$2:$BX$549,MATCH(AE$2,'Slutlig allokering kvv'!$B$1:$BX$1,0),FALSE)/1,0))</f>
        <v>0</v>
      </c>
      <c r="AI193" s="39">
        <f t="shared" si="8"/>
        <v>42.385875999999996</v>
      </c>
      <c r="AK193" s="31">
        <f>IFERROR(VLOOKUP($B193,'Slutlig allokering kvv'!$B$2:$AX$549,MATCH("Summa slutlig allokerad tillförd energi (utan hjälpel och rökgaskondensering):",'Slutlig allokering kvv'!$B$1:$AX$1,0),FALSE)/1,"")</f>
        <v>86.414124000000001</v>
      </c>
      <c r="AM193" s="31">
        <f>IFERROR(1-VLOOKUP($B193,'Slutlig allokering kvv'!$B$2:$AX$549,MATCH("Andel av bränsle i kvv som allokerats till värme, exklusive rökgaskondensering och hjälpel",'Slutlig allokering kvv'!$B$1:$AX$1,0),FALSE),"")</f>
        <v>0.32908288819875786</v>
      </c>
      <c r="AO193" s="31">
        <f t="shared" si="9"/>
        <v>0.32908288819875769</v>
      </c>
      <c r="AP193" s="31">
        <f t="shared" si="10"/>
        <v>1.6653345369377348E-16</v>
      </c>
      <c r="AR193" s="32">
        <f t="shared" si="11"/>
        <v>0.42466976499435805</v>
      </c>
    </row>
    <row r="194" spans="1:44" s="31" customFormat="1" x14ac:dyDescent="0.45">
      <c r="A194" s="31" t="s">
        <v>411</v>
      </c>
      <c r="B194" s="31" t="s">
        <v>410</v>
      </c>
      <c r="C194" s="31" t="str">
        <f>IFERROR(VLOOKUP($B194,Kraftvärmeprod!$B$1:$AH$479,MATCH(C$2,Kraftvärmeprod!$B$1:$AG$1,0),FALSE)/1,"")</f>
        <v/>
      </c>
      <c r="D194" s="31" t="str">
        <f>IFERROR(VLOOKUP($B194,Kraftvärmeprod!$B$1:$AH$479,MATCH(D$2,Kraftvärmeprod!$B$1:$AG$1,0),FALSE)/1,"")</f>
        <v/>
      </c>
      <c r="F194" s="31" t="str">
        <f>IF($D194="","",IFERROR(VLOOKUP($B194,Kraftvärmeprod!$B$1:$BX$550,MATCH(F$2,Kraftvärmeprod!$B$1:$VX$1,0),FALSE)/1,0)-IFERROR(VLOOKUP($B194,'Slutlig allokering kvv'!$B$2:$BX$550,MATCH(F$2,'Slutlig allokering kvv'!$B$1:$BX$1,0),FALSE)/1,0))</f>
        <v/>
      </c>
      <c r="G194" s="31" t="str">
        <f>IF($D194="","",IFERROR(VLOOKUP($B194,Kraftvärmeprod!$B$1:$BX$550,MATCH(G$2,Kraftvärmeprod!$B$1:$VX$1,0),FALSE)/1,0)-IFERROR(VLOOKUP($B194,'Slutlig allokering kvv'!$B$2:$BX$550,MATCH(G$2,'Slutlig allokering kvv'!$B$1:$BX$1,0),FALSE)/1,0))</f>
        <v/>
      </c>
      <c r="H194" s="31" t="str">
        <f>IF($D194="","",IFERROR(VLOOKUP($B194,Kraftvärmeprod!$B$1:$BX$550,MATCH(H$2,Kraftvärmeprod!$B$1:$VX$1,0),FALSE)/1,0)-IFERROR(VLOOKUP($B194,'Slutlig allokering kvv'!$B$2:$BX$550,MATCH(H$2,'Slutlig allokering kvv'!$B$1:$BX$1,0),FALSE)/1,0))</f>
        <v/>
      </c>
      <c r="I194" s="31" t="str">
        <f>IF($D194="","",IFERROR(VLOOKUP($B194,Kraftvärmeprod!$B$1:$BX$550,MATCH(I$2,Kraftvärmeprod!$B$1:$VX$1,0),FALSE)/1,0)-IFERROR(VLOOKUP($B194,'Slutlig allokering kvv'!$B$2:$BX$550,MATCH(I$2,'Slutlig allokering kvv'!$B$1:$BX$1,0),FALSE)/1,0))</f>
        <v/>
      </c>
      <c r="J194" s="31" t="str">
        <f>IF($D194="","",IFERROR(VLOOKUP($B194,Kraftvärmeprod!$B$1:$BX$550,MATCH(J$2,Kraftvärmeprod!$B$1:$VX$1,0),FALSE)/1,0)-IFERROR(VLOOKUP($B194,'Slutlig allokering kvv'!$B$2:$BX$550,MATCH(J$2,'Slutlig allokering kvv'!$B$1:$BX$1,0),FALSE)/1,0))</f>
        <v/>
      </c>
      <c r="K194" s="31" t="str">
        <f>IF($D194="","",IFERROR(VLOOKUP($B194,Kraftvärmeprod!$B$1:$BX$550,MATCH(K$2,Kraftvärmeprod!$B$1:$VX$1,0),FALSE)/1,0)-IFERROR(VLOOKUP($B194,'Slutlig allokering kvv'!$B$2:$BX$550,MATCH(K$2,'Slutlig allokering kvv'!$B$1:$BX$1,0),FALSE)/1,0))</f>
        <v/>
      </c>
      <c r="L194" s="31" t="str">
        <f>IF($D194="","",IFERROR(VLOOKUP($B194,Kraftvärmeprod!$B$1:$BX$550,MATCH(L$2,Kraftvärmeprod!$B$1:$VX$1,0),FALSE)/1,0)-IFERROR(VLOOKUP($B194,'Slutlig allokering kvv'!$B$2:$BX$550,MATCH(L$2,'Slutlig allokering kvv'!$B$1:$BX$1,0),FALSE)/1,0))</f>
        <v/>
      </c>
      <c r="M194" s="31" t="str">
        <f>IF($D194="","",IFERROR(VLOOKUP($B194,Kraftvärmeprod!$B$1:$BX$550,MATCH(M$2,Kraftvärmeprod!$B$1:$VX$1,0),FALSE)/1,0)-IFERROR(VLOOKUP($B194,'Slutlig allokering kvv'!$B$2:$BX$550,MATCH(M$2,'Slutlig allokering kvv'!$B$1:$BX$1,0),FALSE)/1,0))</f>
        <v/>
      </c>
      <c r="N194" s="31" t="str">
        <f>IF($D194="","",IFERROR(VLOOKUP($B194,Kraftvärmeprod!$B$1:$BX$550,MATCH(N$2,Kraftvärmeprod!$B$1:$VX$1,0),FALSE)/1,0)-IFERROR(VLOOKUP($B194,'Slutlig allokering kvv'!$B$2:$BX$550,MATCH(N$2,'Slutlig allokering kvv'!$B$1:$BX$1,0),FALSE)/1,0))</f>
        <v/>
      </c>
      <c r="O194" s="31" t="str">
        <f>IF($D194="","",IFERROR(VLOOKUP($B194,Kraftvärmeprod!$B$1:$BX$550,MATCH(O$2,Kraftvärmeprod!$B$1:$VX$1,0),FALSE)/1,0)-IFERROR(VLOOKUP($B194,'Slutlig allokering kvv'!$B$2:$BX$550,MATCH(O$2,'Slutlig allokering kvv'!$B$1:$BX$1,0),FALSE)/1,0))</f>
        <v/>
      </c>
      <c r="P194" s="31" t="str">
        <f>IF($D194="","",IFERROR(VLOOKUP($B194,Kraftvärmeprod!$B$1:$BX$550,MATCH(P$2,Kraftvärmeprod!$B$1:$VX$1,0),FALSE)/1,0)-IFERROR(VLOOKUP($B194,'Slutlig allokering kvv'!$B$2:$BX$550,MATCH(P$2,'Slutlig allokering kvv'!$B$1:$BX$1,0),FALSE)/1,0))</f>
        <v/>
      </c>
      <c r="Q194" s="31" t="str">
        <f>IF($D194="","",IFERROR(VLOOKUP($B194,Kraftvärmeprod!$B$1:$BX$550,MATCH(Q$2,Kraftvärmeprod!$B$1:$VX$1,0),FALSE)/1,0)-IFERROR(VLOOKUP($B194,'Slutlig allokering kvv'!$B$2:$BX$550,MATCH(Q$2,'Slutlig allokering kvv'!$B$1:$BX$1,0),FALSE)/1,0))</f>
        <v/>
      </c>
      <c r="R194" s="31" t="str">
        <f>IF($D194="","",IFERROR(VLOOKUP($B194,Kraftvärmeprod!$B$1:$BX$550,MATCH(R$2,Kraftvärmeprod!$B$1:$VX$1,0),FALSE)/1,0)-IFERROR(VLOOKUP($B194,'Slutlig allokering kvv'!$B$2:$BX$550,MATCH(R$2,'Slutlig allokering kvv'!$B$1:$BX$1,0),FALSE)/1,0))</f>
        <v/>
      </c>
      <c r="S194" s="31" t="str">
        <f>IF($D194="","",IFERROR(VLOOKUP($B194,Kraftvärmeprod!$B$1:$BX$550,MATCH(S$2,Kraftvärmeprod!$B$1:$VX$1,0),FALSE)/1,0)-IFERROR(VLOOKUP($B194,'Slutlig allokering kvv'!$B$2:$BX$550,MATCH(S$2,'Slutlig allokering kvv'!$B$1:$BX$1,0),FALSE)/1,0))</f>
        <v/>
      </c>
      <c r="T194" s="31" t="str">
        <f>IF($D194="","",IFERROR(VLOOKUP($B194,Kraftvärmeprod!$B$1:$BX$550,MATCH(T$2,Kraftvärmeprod!$B$1:$VX$1,0),FALSE)/1,0)-IFERROR(VLOOKUP($B194,'Slutlig allokering kvv'!$B$2:$BX$550,MATCH(T$2,'Slutlig allokering kvv'!$B$1:$BX$1,0),FALSE)/1,0))</f>
        <v/>
      </c>
      <c r="U194" s="31" t="str">
        <f>IF($D194="","",IFERROR(VLOOKUP($B194,Kraftvärmeprod!$B$1:$BX$550,MATCH(U$2,Kraftvärmeprod!$B$1:$VX$1,0),FALSE)/1,0)-IFERROR(VLOOKUP($B194,'Slutlig allokering kvv'!$B$2:$BX$550,MATCH(U$2,'Slutlig allokering kvv'!$B$1:$BX$1,0),FALSE)/1,0))</f>
        <v/>
      </c>
      <c r="V194" s="31" t="str">
        <f>IF($D194="","",IFERROR(VLOOKUP($B194,Kraftvärmeprod!$B$1:$BX$550,MATCH(V$2,Kraftvärmeprod!$B$1:$VX$1,0),FALSE)/1,0)-IFERROR(VLOOKUP($B194,'Slutlig allokering kvv'!$B$2:$BX$550,MATCH(V$2,'Slutlig allokering kvv'!$B$1:$BX$1,0),FALSE)/1,0))</f>
        <v/>
      </c>
      <c r="W194" s="31" t="str">
        <f>IF($D194="","",IFERROR(VLOOKUP($B194,Kraftvärmeprod!$B$1:$BX$550,MATCH(W$2,Kraftvärmeprod!$B$1:$VX$1,0),FALSE)/1,0)-IFERROR(VLOOKUP($B194,'Slutlig allokering kvv'!$B$2:$BX$550,MATCH(W$2,'Slutlig allokering kvv'!$B$1:$BX$1,0),FALSE)/1,0))</f>
        <v/>
      </c>
      <c r="X194" s="31" t="str">
        <f>IF($D194="","",IFERROR(VLOOKUP($B194,Kraftvärmeprod!$B$1:$BX$550,MATCH(X$2,Kraftvärmeprod!$B$1:$VX$1,0),FALSE)/1,0)-IFERROR(VLOOKUP($B194,'Slutlig allokering kvv'!$B$2:$BX$550,MATCH(X$2,'Slutlig allokering kvv'!$B$1:$BX$1,0),FALSE)/1,0))</f>
        <v/>
      </c>
      <c r="Y194" s="31" t="str">
        <f>IF($D194="","",IFERROR(VLOOKUP($B194,Kraftvärmeprod!$B$1:$BX$550,MATCH(Y$2,Kraftvärmeprod!$B$1:$VX$1,0),FALSE)/1,0)-IFERROR(VLOOKUP($B194,'Slutlig allokering kvv'!$B$2:$BX$550,MATCH(Y$2,'Slutlig allokering kvv'!$B$1:$BX$1,0),FALSE)/1,0))</f>
        <v/>
      </c>
      <c r="Z194" s="31" t="str">
        <f>IF($D194="","",IFERROR(VLOOKUP($B194,Kraftvärmeprod!$B$1:$BX$550,MATCH(Z$2,Kraftvärmeprod!$B$1:$VX$1,0),FALSE)/1,0)-IFERROR(VLOOKUP($B194,'Slutlig allokering kvv'!$B$2:$BX$550,MATCH(Z$2,'Slutlig allokering kvv'!$B$1:$BX$1,0),FALSE)/1,0))</f>
        <v/>
      </c>
      <c r="AA194" s="31" t="str">
        <f>IF($D194="","",IFERROR(VLOOKUP($B194,Kraftvärmeprod!$B$1:$BX$550,MATCH(AA$2,Kraftvärmeprod!$B$1:$VX$1,0),FALSE)/1,0)-IFERROR(VLOOKUP($B194,'Slutlig allokering kvv'!$B$2:$BX$550,MATCH(AA$2,'Slutlig allokering kvv'!$B$1:$BX$1,0),FALSE)/1,0))</f>
        <v/>
      </c>
      <c r="AB194" s="31" t="str">
        <f>IF($D194="","",IFERROR(VLOOKUP($B194,Kraftvärmeprod!$B$1:$BX$550,MATCH(AB$2,Kraftvärmeprod!$B$1:$VX$1,0),FALSE)/1,0)-IFERROR(VLOOKUP($B194,'Slutlig allokering kvv'!$B$2:$BX$550,MATCH(AB$2,'Slutlig allokering kvv'!$B$1:$BX$1,0),FALSE)/1,0))</f>
        <v/>
      </c>
      <c r="AC194" s="31" t="str">
        <f>IF($D194="","",IFERROR(VLOOKUP($B194,Kraftvärmeprod!$B$1:$BX$550,MATCH(AC$2,Kraftvärmeprod!$B$1:$VX$1,0),FALSE)/1,0)-IFERROR(VLOOKUP($B194,'Slutlig allokering kvv'!$B$2:$BX$550,MATCH(AC$2,'Slutlig allokering kvv'!$B$1:$BX$1,0),FALSE)/1,0))</f>
        <v/>
      </c>
      <c r="AD194" s="31" t="str">
        <f>IF($D194="","",IFERROR(VLOOKUP($B194,Kraftvärmeprod!$B$1:$BX$550,MATCH(AD$2,Kraftvärmeprod!$B$1:$VX$1,0),FALSE)/1,0)-IFERROR(VLOOKUP($B194,'Slutlig allokering kvv'!$B$2:$BX$550,MATCH(AD$2,'Slutlig allokering kvv'!$B$1:$BX$1,0),FALSE)/1,0))</f>
        <v/>
      </c>
      <c r="AE194" s="31" t="str">
        <f>IF($D194="","",IFERROR(VLOOKUP($B194,Miljö!$B$1:$E$550,MATCH("Hjälpel kraftvärme (GWh)",Miljö!$B$1:$E$1,0),FALSE)/1,0)-IFERROR(VLOOKUP($B194,'Slutlig allokering kvv'!$B$2:$BX$549,MATCH(AE$2,'Slutlig allokering kvv'!$B$1:$BX$1,0),FALSE)/1,0))</f>
        <v/>
      </c>
      <c r="AI194" s="39">
        <f t="shared" si="8"/>
        <v>0</v>
      </c>
      <c r="AK194" s="31">
        <f>IFERROR(VLOOKUP($B194,'Slutlig allokering kvv'!$B$2:$AX$549,MATCH("Summa slutlig allokerad tillförd energi (utan hjälpel och rökgaskondensering):",'Slutlig allokering kvv'!$B$1:$AX$1,0),FALSE)/1,"")</f>
        <v>0</v>
      </c>
      <c r="AM194" s="31" t="str">
        <f>IFERROR(1-VLOOKUP($B194,'Slutlig allokering kvv'!$B$2:$AX$549,MATCH("Andel av bränsle i kvv som allokerats till värme, exklusive rökgaskondensering och hjälpel",'Slutlig allokering kvv'!$B$1:$AX$1,0),FALSE),"")</f>
        <v/>
      </c>
      <c r="AO194" s="31" t="str">
        <f t="shared" si="9"/>
        <v/>
      </c>
      <c r="AP194" s="31" t="str">
        <f t="shared" si="10"/>
        <v/>
      </c>
      <c r="AR194" s="32" t="str">
        <f t="shared" si="11"/>
        <v/>
      </c>
    </row>
    <row r="195" spans="1:44" s="31" customFormat="1" x14ac:dyDescent="0.45">
      <c r="A195" s="31" t="s">
        <v>111</v>
      </c>
      <c r="B195" s="31" t="s">
        <v>409</v>
      </c>
      <c r="C195" s="31" t="str">
        <f>IFERROR(VLOOKUP($B195,Kraftvärmeprod!$B$1:$AH$479,MATCH(C$2,Kraftvärmeprod!$B$1:$AG$1,0),FALSE)/1,"")</f>
        <v/>
      </c>
      <c r="D195" s="31" t="str">
        <f>IFERROR(VLOOKUP($B195,Kraftvärmeprod!$B$1:$AH$479,MATCH(D$2,Kraftvärmeprod!$B$1:$AG$1,0),FALSE)/1,"")</f>
        <v/>
      </c>
      <c r="F195" s="31" t="str">
        <f>IF($D195="","",IFERROR(VLOOKUP($B195,Kraftvärmeprod!$B$1:$BX$550,MATCH(F$2,Kraftvärmeprod!$B$1:$VX$1,0),FALSE)/1,0)-IFERROR(VLOOKUP($B195,'Slutlig allokering kvv'!$B$2:$BX$550,MATCH(F$2,'Slutlig allokering kvv'!$B$1:$BX$1,0),FALSE)/1,0))</f>
        <v/>
      </c>
      <c r="G195" s="31" t="str">
        <f>IF($D195="","",IFERROR(VLOOKUP($B195,Kraftvärmeprod!$B$1:$BX$550,MATCH(G$2,Kraftvärmeprod!$B$1:$VX$1,0),FALSE)/1,0)-IFERROR(VLOOKUP($B195,'Slutlig allokering kvv'!$B$2:$BX$550,MATCH(G$2,'Slutlig allokering kvv'!$B$1:$BX$1,0),FALSE)/1,0))</f>
        <v/>
      </c>
      <c r="H195" s="31" t="str">
        <f>IF($D195="","",IFERROR(VLOOKUP($B195,Kraftvärmeprod!$B$1:$BX$550,MATCH(H$2,Kraftvärmeprod!$B$1:$VX$1,0),FALSE)/1,0)-IFERROR(VLOOKUP($B195,'Slutlig allokering kvv'!$B$2:$BX$550,MATCH(H$2,'Slutlig allokering kvv'!$B$1:$BX$1,0),FALSE)/1,0))</f>
        <v/>
      </c>
      <c r="I195" s="31" t="str">
        <f>IF($D195="","",IFERROR(VLOOKUP($B195,Kraftvärmeprod!$B$1:$BX$550,MATCH(I$2,Kraftvärmeprod!$B$1:$VX$1,0),FALSE)/1,0)-IFERROR(VLOOKUP($B195,'Slutlig allokering kvv'!$B$2:$BX$550,MATCH(I$2,'Slutlig allokering kvv'!$B$1:$BX$1,0),FALSE)/1,0))</f>
        <v/>
      </c>
      <c r="J195" s="31" t="str">
        <f>IF($D195="","",IFERROR(VLOOKUP($B195,Kraftvärmeprod!$B$1:$BX$550,MATCH(J$2,Kraftvärmeprod!$B$1:$VX$1,0),FALSE)/1,0)-IFERROR(VLOOKUP($B195,'Slutlig allokering kvv'!$B$2:$BX$550,MATCH(J$2,'Slutlig allokering kvv'!$B$1:$BX$1,0),FALSE)/1,0))</f>
        <v/>
      </c>
      <c r="K195" s="31" t="str">
        <f>IF($D195="","",IFERROR(VLOOKUP($B195,Kraftvärmeprod!$B$1:$BX$550,MATCH(K$2,Kraftvärmeprod!$B$1:$VX$1,0),FALSE)/1,0)-IFERROR(VLOOKUP($B195,'Slutlig allokering kvv'!$B$2:$BX$550,MATCH(K$2,'Slutlig allokering kvv'!$B$1:$BX$1,0),FALSE)/1,0))</f>
        <v/>
      </c>
      <c r="L195" s="31" t="str">
        <f>IF($D195="","",IFERROR(VLOOKUP($B195,Kraftvärmeprod!$B$1:$BX$550,MATCH(L$2,Kraftvärmeprod!$B$1:$VX$1,0),FALSE)/1,0)-IFERROR(VLOOKUP($B195,'Slutlig allokering kvv'!$B$2:$BX$550,MATCH(L$2,'Slutlig allokering kvv'!$B$1:$BX$1,0),FALSE)/1,0))</f>
        <v/>
      </c>
      <c r="M195" s="31" t="str">
        <f>IF($D195="","",IFERROR(VLOOKUP($B195,Kraftvärmeprod!$B$1:$BX$550,MATCH(M$2,Kraftvärmeprod!$B$1:$VX$1,0),FALSE)/1,0)-IFERROR(VLOOKUP($B195,'Slutlig allokering kvv'!$B$2:$BX$550,MATCH(M$2,'Slutlig allokering kvv'!$B$1:$BX$1,0),FALSE)/1,0))</f>
        <v/>
      </c>
      <c r="N195" s="31" t="str">
        <f>IF($D195="","",IFERROR(VLOOKUP($B195,Kraftvärmeprod!$B$1:$BX$550,MATCH(N$2,Kraftvärmeprod!$B$1:$VX$1,0),FALSE)/1,0)-IFERROR(VLOOKUP($B195,'Slutlig allokering kvv'!$B$2:$BX$550,MATCH(N$2,'Slutlig allokering kvv'!$B$1:$BX$1,0),FALSE)/1,0))</f>
        <v/>
      </c>
      <c r="O195" s="31" t="str">
        <f>IF($D195="","",IFERROR(VLOOKUP($B195,Kraftvärmeprod!$B$1:$BX$550,MATCH(O$2,Kraftvärmeprod!$B$1:$VX$1,0),FALSE)/1,0)-IFERROR(VLOOKUP($B195,'Slutlig allokering kvv'!$B$2:$BX$550,MATCH(O$2,'Slutlig allokering kvv'!$B$1:$BX$1,0),FALSE)/1,0))</f>
        <v/>
      </c>
      <c r="P195" s="31" t="str">
        <f>IF($D195="","",IFERROR(VLOOKUP($B195,Kraftvärmeprod!$B$1:$BX$550,MATCH(P$2,Kraftvärmeprod!$B$1:$VX$1,0),FALSE)/1,0)-IFERROR(VLOOKUP($B195,'Slutlig allokering kvv'!$B$2:$BX$550,MATCH(P$2,'Slutlig allokering kvv'!$B$1:$BX$1,0),FALSE)/1,0))</f>
        <v/>
      </c>
      <c r="Q195" s="31" t="str">
        <f>IF($D195="","",IFERROR(VLOOKUP($B195,Kraftvärmeprod!$B$1:$BX$550,MATCH(Q$2,Kraftvärmeprod!$B$1:$VX$1,0),FALSE)/1,0)-IFERROR(VLOOKUP($B195,'Slutlig allokering kvv'!$B$2:$BX$550,MATCH(Q$2,'Slutlig allokering kvv'!$B$1:$BX$1,0),FALSE)/1,0))</f>
        <v/>
      </c>
      <c r="R195" s="31" t="str">
        <f>IF($D195="","",IFERROR(VLOOKUP($B195,Kraftvärmeprod!$B$1:$BX$550,MATCH(R$2,Kraftvärmeprod!$B$1:$VX$1,0),FALSE)/1,0)-IFERROR(VLOOKUP($B195,'Slutlig allokering kvv'!$B$2:$BX$550,MATCH(R$2,'Slutlig allokering kvv'!$B$1:$BX$1,0),FALSE)/1,0))</f>
        <v/>
      </c>
      <c r="S195" s="31" t="str">
        <f>IF($D195="","",IFERROR(VLOOKUP($B195,Kraftvärmeprod!$B$1:$BX$550,MATCH(S$2,Kraftvärmeprod!$B$1:$VX$1,0),FALSE)/1,0)-IFERROR(VLOOKUP($B195,'Slutlig allokering kvv'!$B$2:$BX$550,MATCH(S$2,'Slutlig allokering kvv'!$B$1:$BX$1,0),FALSE)/1,0))</f>
        <v/>
      </c>
      <c r="T195" s="31" t="str">
        <f>IF($D195="","",IFERROR(VLOOKUP($B195,Kraftvärmeprod!$B$1:$BX$550,MATCH(T$2,Kraftvärmeprod!$B$1:$VX$1,0),FALSE)/1,0)-IFERROR(VLOOKUP($B195,'Slutlig allokering kvv'!$B$2:$BX$550,MATCH(T$2,'Slutlig allokering kvv'!$B$1:$BX$1,0),FALSE)/1,0))</f>
        <v/>
      </c>
      <c r="U195" s="31" t="str">
        <f>IF($D195="","",IFERROR(VLOOKUP($B195,Kraftvärmeprod!$B$1:$BX$550,MATCH(U$2,Kraftvärmeprod!$B$1:$VX$1,0),FALSE)/1,0)-IFERROR(VLOOKUP($B195,'Slutlig allokering kvv'!$B$2:$BX$550,MATCH(U$2,'Slutlig allokering kvv'!$B$1:$BX$1,0),FALSE)/1,0))</f>
        <v/>
      </c>
      <c r="V195" s="31" t="str">
        <f>IF($D195="","",IFERROR(VLOOKUP($B195,Kraftvärmeprod!$B$1:$BX$550,MATCH(V$2,Kraftvärmeprod!$B$1:$VX$1,0),FALSE)/1,0)-IFERROR(VLOOKUP($B195,'Slutlig allokering kvv'!$B$2:$BX$550,MATCH(V$2,'Slutlig allokering kvv'!$B$1:$BX$1,0),FALSE)/1,0))</f>
        <v/>
      </c>
      <c r="W195" s="31" t="str">
        <f>IF($D195="","",IFERROR(VLOOKUP($B195,Kraftvärmeprod!$B$1:$BX$550,MATCH(W$2,Kraftvärmeprod!$B$1:$VX$1,0),FALSE)/1,0)-IFERROR(VLOOKUP($B195,'Slutlig allokering kvv'!$B$2:$BX$550,MATCH(W$2,'Slutlig allokering kvv'!$B$1:$BX$1,0),FALSE)/1,0))</f>
        <v/>
      </c>
      <c r="X195" s="31" t="str">
        <f>IF($D195="","",IFERROR(VLOOKUP($B195,Kraftvärmeprod!$B$1:$BX$550,MATCH(X$2,Kraftvärmeprod!$B$1:$VX$1,0),FALSE)/1,0)-IFERROR(VLOOKUP($B195,'Slutlig allokering kvv'!$B$2:$BX$550,MATCH(X$2,'Slutlig allokering kvv'!$B$1:$BX$1,0),FALSE)/1,0))</f>
        <v/>
      </c>
      <c r="Y195" s="31" t="str">
        <f>IF($D195="","",IFERROR(VLOOKUP($B195,Kraftvärmeprod!$B$1:$BX$550,MATCH(Y$2,Kraftvärmeprod!$B$1:$VX$1,0),FALSE)/1,0)-IFERROR(VLOOKUP($B195,'Slutlig allokering kvv'!$B$2:$BX$550,MATCH(Y$2,'Slutlig allokering kvv'!$B$1:$BX$1,0),FALSE)/1,0))</f>
        <v/>
      </c>
      <c r="Z195" s="31" t="str">
        <f>IF($D195="","",IFERROR(VLOOKUP($B195,Kraftvärmeprod!$B$1:$BX$550,MATCH(Z$2,Kraftvärmeprod!$B$1:$VX$1,0),FALSE)/1,0)-IFERROR(VLOOKUP($B195,'Slutlig allokering kvv'!$B$2:$BX$550,MATCH(Z$2,'Slutlig allokering kvv'!$B$1:$BX$1,0),FALSE)/1,0))</f>
        <v/>
      </c>
      <c r="AA195" s="31" t="str">
        <f>IF($D195="","",IFERROR(VLOOKUP($B195,Kraftvärmeprod!$B$1:$BX$550,MATCH(AA$2,Kraftvärmeprod!$B$1:$VX$1,0),FALSE)/1,0)-IFERROR(VLOOKUP($B195,'Slutlig allokering kvv'!$B$2:$BX$550,MATCH(AA$2,'Slutlig allokering kvv'!$B$1:$BX$1,0),FALSE)/1,0))</f>
        <v/>
      </c>
      <c r="AB195" s="31" t="str">
        <f>IF($D195="","",IFERROR(VLOOKUP($B195,Kraftvärmeprod!$B$1:$BX$550,MATCH(AB$2,Kraftvärmeprod!$B$1:$VX$1,0),FALSE)/1,0)-IFERROR(VLOOKUP($B195,'Slutlig allokering kvv'!$B$2:$BX$550,MATCH(AB$2,'Slutlig allokering kvv'!$B$1:$BX$1,0),FALSE)/1,0))</f>
        <v/>
      </c>
      <c r="AC195" s="31" t="str">
        <f>IF($D195="","",IFERROR(VLOOKUP($B195,Kraftvärmeprod!$B$1:$BX$550,MATCH(AC$2,Kraftvärmeprod!$B$1:$VX$1,0),FALSE)/1,0)-IFERROR(VLOOKUP($B195,'Slutlig allokering kvv'!$B$2:$BX$550,MATCH(AC$2,'Slutlig allokering kvv'!$B$1:$BX$1,0),FALSE)/1,0))</f>
        <v/>
      </c>
      <c r="AD195" s="31" t="str">
        <f>IF($D195="","",IFERROR(VLOOKUP($B195,Kraftvärmeprod!$B$1:$BX$550,MATCH(AD$2,Kraftvärmeprod!$B$1:$VX$1,0),FALSE)/1,0)-IFERROR(VLOOKUP($B195,'Slutlig allokering kvv'!$B$2:$BX$550,MATCH(AD$2,'Slutlig allokering kvv'!$B$1:$BX$1,0),FALSE)/1,0))</f>
        <v/>
      </c>
      <c r="AE195" s="31" t="str">
        <f>IF($D195="","",IFERROR(VLOOKUP($B195,Miljö!$B$1:$E$550,MATCH("Hjälpel kraftvärme (GWh)",Miljö!$B$1:$E$1,0),FALSE)/1,0)-IFERROR(VLOOKUP($B195,'Slutlig allokering kvv'!$B$2:$BX$549,MATCH(AE$2,'Slutlig allokering kvv'!$B$1:$BX$1,0),FALSE)/1,0))</f>
        <v/>
      </c>
      <c r="AI195" s="39">
        <f t="shared" si="8"/>
        <v>0</v>
      </c>
      <c r="AK195" s="31">
        <f>IFERROR(VLOOKUP($B195,'Slutlig allokering kvv'!$B$2:$AX$549,MATCH("Summa slutlig allokerad tillförd energi (utan hjälpel och rökgaskondensering):",'Slutlig allokering kvv'!$B$1:$AX$1,0),FALSE)/1,"")</f>
        <v>0</v>
      </c>
      <c r="AM195" s="31" t="str">
        <f>IFERROR(1-VLOOKUP($B195,'Slutlig allokering kvv'!$B$2:$AX$549,MATCH("Andel av bränsle i kvv som allokerats till värme, exklusive rökgaskondensering och hjälpel",'Slutlig allokering kvv'!$B$1:$AX$1,0),FALSE),"")</f>
        <v/>
      </c>
      <c r="AO195" s="31" t="str">
        <f t="shared" si="9"/>
        <v/>
      </c>
      <c r="AP195" s="31" t="str">
        <f t="shared" si="10"/>
        <v/>
      </c>
      <c r="AR195" s="32" t="str">
        <f t="shared" si="11"/>
        <v/>
      </c>
    </row>
    <row r="196" spans="1:44" s="31" customFormat="1" x14ac:dyDescent="0.45">
      <c r="A196" s="31" t="s">
        <v>406</v>
      </c>
      <c r="B196" s="31" t="s">
        <v>408</v>
      </c>
      <c r="C196" s="31" t="str">
        <f>IFERROR(VLOOKUP($B196,Kraftvärmeprod!$B$1:$AH$479,MATCH(C$2,Kraftvärmeprod!$B$1:$AG$1,0),FALSE)/1,"")</f>
        <v/>
      </c>
      <c r="D196" s="31" t="str">
        <f>IFERROR(VLOOKUP($B196,Kraftvärmeprod!$B$1:$AH$479,MATCH(D$2,Kraftvärmeprod!$B$1:$AG$1,0),FALSE)/1,"")</f>
        <v/>
      </c>
      <c r="F196" s="31" t="str">
        <f>IF($D196="","",IFERROR(VLOOKUP($B196,Kraftvärmeprod!$B$1:$BX$550,MATCH(F$2,Kraftvärmeprod!$B$1:$VX$1,0),FALSE)/1,0)-IFERROR(VLOOKUP($B196,'Slutlig allokering kvv'!$B$2:$BX$550,MATCH(F$2,'Slutlig allokering kvv'!$B$1:$BX$1,0),FALSE)/1,0))</f>
        <v/>
      </c>
      <c r="G196" s="31" t="str">
        <f>IF($D196="","",IFERROR(VLOOKUP($B196,Kraftvärmeprod!$B$1:$BX$550,MATCH(G$2,Kraftvärmeprod!$B$1:$VX$1,0),FALSE)/1,0)-IFERROR(VLOOKUP($B196,'Slutlig allokering kvv'!$B$2:$BX$550,MATCH(G$2,'Slutlig allokering kvv'!$B$1:$BX$1,0),FALSE)/1,0))</f>
        <v/>
      </c>
      <c r="H196" s="31" t="str">
        <f>IF($D196="","",IFERROR(VLOOKUP($B196,Kraftvärmeprod!$B$1:$BX$550,MATCH(H$2,Kraftvärmeprod!$B$1:$VX$1,0),FALSE)/1,0)-IFERROR(VLOOKUP($B196,'Slutlig allokering kvv'!$B$2:$BX$550,MATCH(H$2,'Slutlig allokering kvv'!$B$1:$BX$1,0),FALSE)/1,0))</f>
        <v/>
      </c>
      <c r="I196" s="31" t="str">
        <f>IF($D196="","",IFERROR(VLOOKUP($B196,Kraftvärmeprod!$B$1:$BX$550,MATCH(I$2,Kraftvärmeprod!$B$1:$VX$1,0),FALSE)/1,0)-IFERROR(VLOOKUP($B196,'Slutlig allokering kvv'!$B$2:$BX$550,MATCH(I$2,'Slutlig allokering kvv'!$B$1:$BX$1,0),FALSE)/1,0))</f>
        <v/>
      </c>
      <c r="J196" s="31" t="str">
        <f>IF($D196="","",IFERROR(VLOOKUP($B196,Kraftvärmeprod!$B$1:$BX$550,MATCH(J$2,Kraftvärmeprod!$B$1:$VX$1,0),FALSE)/1,0)-IFERROR(VLOOKUP($B196,'Slutlig allokering kvv'!$B$2:$BX$550,MATCH(J$2,'Slutlig allokering kvv'!$B$1:$BX$1,0),FALSE)/1,0))</f>
        <v/>
      </c>
      <c r="K196" s="31" t="str">
        <f>IF($D196="","",IFERROR(VLOOKUP($B196,Kraftvärmeprod!$B$1:$BX$550,MATCH(K$2,Kraftvärmeprod!$B$1:$VX$1,0),FALSE)/1,0)-IFERROR(VLOOKUP($B196,'Slutlig allokering kvv'!$B$2:$BX$550,MATCH(K$2,'Slutlig allokering kvv'!$B$1:$BX$1,0),FALSE)/1,0))</f>
        <v/>
      </c>
      <c r="L196" s="31" t="str">
        <f>IF($D196="","",IFERROR(VLOOKUP($B196,Kraftvärmeprod!$B$1:$BX$550,MATCH(L$2,Kraftvärmeprod!$B$1:$VX$1,0),FALSE)/1,0)-IFERROR(VLOOKUP($B196,'Slutlig allokering kvv'!$B$2:$BX$550,MATCH(L$2,'Slutlig allokering kvv'!$B$1:$BX$1,0),FALSE)/1,0))</f>
        <v/>
      </c>
      <c r="M196" s="31" t="str">
        <f>IF($D196="","",IFERROR(VLOOKUP($B196,Kraftvärmeprod!$B$1:$BX$550,MATCH(M$2,Kraftvärmeprod!$B$1:$VX$1,0),FALSE)/1,0)-IFERROR(VLOOKUP($B196,'Slutlig allokering kvv'!$B$2:$BX$550,MATCH(M$2,'Slutlig allokering kvv'!$B$1:$BX$1,0),FALSE)/1,0))</f>
        <v/>
      </c>
      <c r="N196" s="31" t="str">
        <f>IF($D196="","",IFERROR(VLOOKUP($B196,Kraftvärmeprod!$B$1:$BX$550,MATCH(N$2,Kraftvärmeprod!$B$1:$VX$1,0),FALSE)/1,0)-IFERROR(VLOOKUP($B196,'Slutlig allokering kvv'!$B$2:$BX$550,MATCH(N$2,'Slutlig allokering kvv'!$B$1:$BX$1,0),FALSE)/1,0))</f>
        <v/>
      </c>
      <c r="O196" s="31" t="str">
        <f>IF($D196="","",IFERROR(VLOOKUP($B196,Kraftvärmeprod!$B$1:$BX$550,MATCH(O$2,Kraftvärmeprod!$B$1:$VX$1,0),FALSE)/1,0)-IFERROR(VLOOKUP($B196,'Slutlig allokering kvv'!$B$2:$BX$550,MATCH(O$2,'Slutlig allokering kvv'!$B$1:$BX$1,0),FALSE)/1,0))</f>
        <v/>
      </c>
      <c r="P196" s="31" t="str">
        <f>IF($D196="","",IFERROR(VLOOKUP($B196,Kraftvärmeprod!$B$1:$BX$550,MATCH(P$2,Kraftvärmeprod!$B$1:$VX$1,0),FALSE)/1,0)-IFERROR(VLOOKUP($B196,'Slutlig allokering kvv'!$B$2:$BX$550,MATCH(P$2,'Slutlig allokering kvv'!$B$1:$BX$1,0),FALSE)/1,0))</f>
        <v/>
      </c>
      <c r="Q196" s="31" t="str">
        <f>IF($D196="","",IFERROR(VLOOKUP($B196,Kraftvärmeprod!$B$1:$BX$550,MATCH(Q$2,Kraftvärmeprod!$B$1:$VX$1,0),FALSE)/1,0)-IFERROR(VLOOKUP($B196,'Slutlig allokering kvv'!$B$2:$BX$550,MATCH(Q$2,'Slutlig allokering kvv'!$B$1:$BX$1,0),FALSE)/1,0))</f>
        <v/>
      </c>
      <c r="R196" s="31" t="str">
        <f>IF($D196="","",IFERROR(VLOOKUP($B196,Kraftvärmeprod!$B$1:$BX$550,MATCH(R$2,Kraftvärmeprod!$B$1:$VX$1,0),FALSE)/1,0)-IFERROR(VLOOKUP($B196,'Slutlig allokering kvv'!$B$2:$BX$550,MATCH(R$2,'Slutlig allokering kvv'!$B$1:$BX$1,0),FALSE)/1,0))</f>
        <v/>
      </c>
      <c r="S196" s="31" t="str">
        <f>IF($D196="","",IFERROR(VLOOKUP($B196,Kraftvärmeprod!$B$1:$BX$550,MATCH(S$2,Kraftvärmeprod!$B$1:$VX$1,0),FALSE)/1,0)-IFERROR(VLOOKUP($B196,'Slutlig allokering kvv'!$B$2:$BX$550,MATCH(S$2,'Slutlig allokering kvv'!$B$1:$BX$1,0),FALSE)/1,0))</f>
        <v/>
      </c>
      <c r="T196" s="31" t="str">
        <f>IF($D196="","",IFERROR(VLOOKUP($B196,Kraftvärmeprod!$B$1:$BX$550,MATCH(T$2,Kraftvärmeprod!$B$1:$VX$1,0),FALSE)/1,0)-IFERROR(VLOOKUP($B196,'Slutlig allokering kvv'!$B$2:$BX$550,MATCH(T$2,'Slutlig allokering kvv'!$B$1:$BX$1,0),FALSE)/1,0))</f>
        <v/>
      </c>
      <c r="U196" s="31" t="str">
        <f>IF($D196="","",IFERROR(VLOOKUP($B196,Kraftvärmeprod!$B$1:$BX$550,MATCH(U$2,Kraftvärmeprod!$B$1:$VX$1,0),FALSE)/1,0)-IFERROR(VLOOKUP($B196,'Slutlig allokering kvv'!$B$2:$BX$550,MATCH(U$2,'Slutlig allokering kvv'!$B$1:$BX$1,0),FALSE)/1,0))</f>
        <v/>
      </c>
      <c r="V196" s="31" t="str">
        <f>IF($D196="","",IFERROR(VLOOKUP($B196,Kraftvärmeprod!$B$1:$BX$550,MATCH(V$2,Kraftvärmeprod!$B$1:$VX$1,0),FALSE)/1,0)-IFERROR(VLOOKUP($B196,'Slutlig allokering kvv'!$B$2:$BX$550,MATCH(V$2,'Slutlig allokering kvv'!$B$1:$BX$1,0),FALSE)/1,0))</f>
        <v/>
      </c>
      <c r="W196" s="31" t="str">
        <f>IF($D196="","",IFERROR(VLOOKUP($B196,Kraftvärmeprod!$B$1:$BX$550,MATCH(W$2,Kraftvärmeprod!$B$1:$VX$1,0),FALSE)/1,0)-IFERROR(VLOOKUP($B196,'Slutlig allokering kvv'!$B$2:$BX$550,MATCH(W$2,'Slutlig allokering kvv'!$B$1:$BX$1,0),FALSE)/1,0))</f>
        <v/>
      </c>
      <c r="X196" s="31" t="str">
        <f>IF($D196="","",IFERROR(VLOOKUP($B196,Kraftvärmeprod!$B$1:$BX$550,MATCH(X$2,Kraftvärmeprod!$B$1:$VX$1,0),FALSE)/1,0)-IFERROR(VLOOKUP($B196,'Slutlig allokering kvv'!$B$2:$BX$550,MATCH(X$2,'Slutlig allokering kvv'!$B$1:$BX$1,0),FALSE)/1,0))</f>
        <v/>
      </c>
      <c r="Y196" s="31" t="str">
        <f>IF($D196="","",IFERROR(VLOOKUP($B196,Kraftvärmeprod!$B$1:$BX$550,MATCH(Y$2,Kraftvärmeprod!$B$1:$VX$1,0),FALSE)/1,0)-IFERROR(VLOOKUP($B196,'Slutlig allokering kvv'!$B$2:$BX$550,MATCH(Y$2,'Slutlig allokering kvv'!$B$1:$BX$1,0),FALSE)/1,0))</f>
        <v/>
      </c>
      <c r="Z196" s="31" t="str">
        <f>IF($D196="","",IFERROR(VLOOKUP($B196,Kraftvärmeprod!$B$1:$BX$550,MATCH(Z$2,Kraftvärmeprod!$B$1:$VX$1,0),FALSE)/1,0)-IFERROR(VLOOKUP($B196,'Slutlig allokering kvv'!$B$2:$BX$550,MATCH(Z$2,'Slutlig allokering kvv'!$B$1:$BX$1,0),FALSE)/1,0))</f>
        <v/>
      </c>
      <c r="AA196" s="31" t="str">
        <f>IF($D196="","",IFERROR(VLOOKUP($B196,Kraftvärmeprod!$B$1:$BX$550,MATCH(AA$2,Kraftvärmeprod!$B$1:$VX$1,0),FALSE)/1,0)-IFERROR(VLOOKUP($B196,'Slutlig allokering kvv'!$B$2:$BX$550,MATCH(AA$2,'Slutlig allokering kvv'!$B$1:$BX$1,0),FALSE)/1,0))</f>
        <v/>
      </c>
      <c r="AB196" s="31" t="str">
        <f>IF($D196="","",IFERROR(VLOOKUP($B196,Kraftvärmeprod!$B$1:$BX$550,MATCH(AB$2,Kraftvärmeprod!$B$1:$VX$1,0),FALSE)/1,0)-IFERROR(VLOOKUP($B196,'Slutlig allokering kvv'!$B$2:$BX$550,MATCH(AB$2,'Slutlig allokering kvv'!$B$1:$BX$1,0),FALSE)/1,0))</f>
        <v/>
      </c>
      <c r="AC196" s="31" t="str">
        <f>IF($D196="","",IFERROR(VLOOKUP($B196,Kraftvärmeprod!$B$1:$BX$550,MATCH(AC$2,Kraftvärmeprod!$B$1:$VX$1,0),FALSE)/1,0)-IFERROR(VLOOKUP($B196,'Slutlig allokering kvv'!$B$2:$BX$550,MATCH(AC$2,'Slutlig allokering kvv'!$B$1:$BX$1,0),FALSE)/1,0))</f>
        <v/>
      </c>
      <c r="AD196" s="31" t="str">
        <f>IF($D196="","",IFERROR(VLOOKUP($B196,Kraftvärmeprod!$B$1:$BX$550,MATCH(AD$2,Kraftvärmeprod!$B$1:$VX$1,0),FALSE)/1,0)-IFERROR(VLOOKUP($B196,'Slutlig allokering kvv'!$B$2:$BX$550,MATCH(AD$2,'Slutlig allokering kvv'!$B$1:$BX$1,0),FALSE)/1,0))</f>
        <v/>
      </c>
      <c r="AE196" s="31" t="str">
        <f>IF($D196="","",IFERROR(VLOOKUP($B196,Miljö!$B$1:$E$550,MATCH("Hjälpel kraftvärme (GWh)",Miljö!$B$1:$E$1,0),FALSE)/1,0)-IFERROR(VLOOKUP($B196,'Slutlig allokering kvv'!$B$2:$BX$549,MATCH(AE$2,'Slutlig allokering kvv'!$B$1:$BX$1,0),FALSE)/1,0))</f>
        <v/>
      </c>
      <c r="AI196" s="39">
        <f t="shared" ref="AI196:AI259" si="12">SUM(F196:AC196)</f>
        <v>0</v>
      </c>
      <c r="AK196" s="31">
        <f>IFERROR(VLOOKUP($B196,'Slutlig allokering kvv'!$B$2:$AX$549,MATCH("Summa slutlig allokerad tillförd energi (utan hjälpel och rökgaskondensering):",'Slutlig allokering kvv'!$B$1:$AX$1,0),FALSE)/1,"")</f>
        <v>0</v>
      </c>
      <c r="AM196" s="31" t="str">
        <f>IFERROR(1-VLOOKUP($B196,'Slutlig allokering kvv'!$B$2:$AX$549,MATCH("Andel av bränsle i kvv som allokerats till värme, exklusive rökgaskondensering och hjälpel",'Slutlig allokering kvv'!$B$1:$AX$1,0),FALSE),"")</f>
        <v/>
      </c>
      <c r="AO196" s="31" t="str">
        <f t="shared" ref="AO196:AO259" si="13">IFERROR(AI196/(AI196+AK196),"")</f>
        <v/>
      </c>
      <c r="AP196" s="31" t="str">
        <f t="shared" ref="AP196:AP259" si="14">IFERROR(AM196-AO196,"")</f>
        <v/>
      </c>
      <c r="AR196" s="32" t="str">
        <f t="shared" ref="AR196:AR259" si="15">IFERROR(D196/(AI196+AE196),"")</f>
        <v/>
      </c>
    </row>
    <row r="197" spans="1:44" s="31" customFormat="1" x14ac:dyDescent="0.45">
      <c r="A197" s="31" t="s">
        <v>406</v>
      </c>
      <c r="B197" s="31" t="s">
        <v>407</v>
      </c>
      <c r="C197" s="31">
        <f>IFERROR(VLOOKUP($B197,Kraftvärmeprod!$B$1:$AH$479,MATCH(C$2,Kraftvärmeprod!$B$1:$AG$1,0),FALSE)/1,"")</f>
        <v>86.164000000000001</v>
      </c>
      <c r="D197" s="31">
        <f>IFERROR(VLOOKUP($B197,Kraftvärmeprod!$B$1:$AH$479,MATCH(D$2,Kraftvärmeprod!$B$1:$AG$1,0),FALSE)/1,"")</f>
        <v>19.443000000000001</v>
      </c>
      <c r="F197" s="31">
        <f>IF($D197="","",IFERROR(VLOOKUP($B197,Kraftvärmeprod!$B$1:$BX$550,MATCH(F$2,Kraftvärmeprod!$B$1:$VX$1,0),FALSE)/1,0)-IFERROR(VLOOKUP($B197,'Slutlig allokering kvv'!$B$2:$BX$550,MATCH(F$2,'Slutlig allokering kvv'!$B$1:$BX$1,0),FALSE)/1,0))</f>
        <v>0</v>
      </c>
      <c r="G197" s="31">
        <f>IF($D197="","",IFERROR(VLOOKUP($B197,Kraftvärmeprod!$B$1:$BX$550,MATCH(G$2,Kraftvärmeprod!$B$1:$VX$1,0),FALSE)/1,0)-IFERROR(VLOOKUP($B197,'Slutlig allokering kvv'!$B$2:$BX$550,MATCH(G$2,'Slutlig allokering kvv'!$B$1:$BX$1,0),FALSE)/1,0))</f>
        <v>0</v>
      </c>
      <c r="H197" s="31">
        <f>IF($D197="","",IFERROR(VLOOKUP($B197,Kraftvärmeprod!$B$1:$BX$550,MATCH(H$2,Kraftvärmeprod!$B$1:$VX$1,0),FALSE)/1,0)-IFERROR(VLOOKUP($B197,'Slutlig allokering kvv'!$B$2:$BX$550,MATCH(H$2,'Slutlig allokering kvv'!$B$1:$BX$1,0),FALSE)/1,0))</f>
        <v>0</v>
      </c>
      <c r="I197" s="31">
        <f>IF($D197="","",IFERROR(VLOOKUP($B197,Kraftvärmeprod!$B$1:$BX$550,MATCH(I$2,Kraftvärmeprod!$B$1:$VX$1,0),FALSE)/1,0)-IFERROR(VLOOKUP($B197,'Slutlig allokering kvv'!$B$2:$BX$550,MATCH(I$2,'Slutlig allokering kvv'!$B$1:$BX$1,0),FALSE)/1,0))</f>
        <v>0</v>
      </c>
      <c r="J197" s="31">
        <f>IF($D197="","",IFERROR(VLOOKUP($B197,Kraftvärmeprod!$B$1:$BX$550,MATCH(J$2,Kraftvärmeprod!$B$1:$VX$1,0),FALSE)/1,0)-IFERROR(VLOOKUP($B197,'Slutlig allokering kvv'!$B$2:$BX$550,MATCH(J$2,'Slutlig allokering kvv'!$B$1:$BX$1,0),FALSE)/1,0))</f>
        <v>0</v>
      </c>
      <c r="K197" s="31">
        <f>IF($D197="","",IFERROR(VLOOKUP($B197,Kraftvärmeprod!$B$1:$BX$550,MATCH(K$2,Kraftvärmeprod!$B$1:$VX$1,0),FALSE)/1,0)-IFERROR(VLOOKUP($B197,'Slutlig allokering kvv'!$B$2:$BX$550,MATCH(K$2,'Slutlig allokering kvv'!$B$1:$BX$1,0),FALSE)/1,0))</f>
        <v>0</v>
      </c>
      <c r="L197" s="31">
        <f>IF($D197="","",IFERROR(VLOOKUP($B197,Kraftvärmeprod!$B$1:$BX$550,MATCH(L$2,Kraftvärmeprod!$B$1:$VX$1,0),FALSE)/1,0)-IFERROR(VLOOKUP($B197,'Slutlig allokering kvv'!$B$2:$BX$550,MATCH(L$2,'Slutlig allokering kvv'!$B$1:$BX$1,0),FALSE)/1,0))</f>
        <v>46.8934</v>
      </c>
      <c r="M197" s="31">
        <f>IF($D197="","",IFERROR(VLOOKUP($B197,Kraftvärmeprod!$B$1:$BX$550,MATCH(M$2,Kraftvärmeprod!$B$1:$VX$1,0),FALSE)/1,0)-IFERROR(VLOOKUP($B197,'Slutlig allokering kvv'!$B$2:$BX$550,MATCH(M$2,'Slutlig allokering kvv'!$B$1:$BX$1,0),FALSE)/1,0))</f>
        <v>0</v>
      </c>
      <c r="N197" s="31">
        <f>IF($D197="","",IFERROR(VLOOKUP($B197,Kraftvärmeprod!$B$1:$BX$550,MATCH(N$2,Kraftvärmeprod!$B$1:$VX$1,0),FALSE)/1,0)-IFERROR(VLOOKUP($B197,'Slutlig allokering kvv'!$B$2:$BX$550,MATCH(N$2,'Slutlig allokering kvv'!$B$1:$BX$1,0),FALSE)/1,0))</f>
        <v>2.27217</v>
      </c>
      <c r="O197" s="31">
        <f>IF($D197="","",IFERROR(VLOOKUP($B197,Kraftvärmeprod!$B$1:$BX$550,MATCH(O$2,Kraftvärmeprod!$B$1:$VX$1,0),FALSE)/1,0)-IFERROR(VLOOKUP($B197,'Slutlig allokering kvv'!$B$2:$BX$550,MATCH(O$2,'Slutlig allokering kvv'!$B$1:$BX$1,0),FALSE)/1,0))</f>
        <v>0</v>
      </c>
      <c r="P197" s="31">
        <f>IF($D197="","",IFERROR(VLOOKUP($B197,Kraftvärmeprod!$B$1:$BX$550,MATCH(P$2,Kraftvärmeprod!$B$1:$VX$1,0),FALSE)/1,0)-IFERROR(VLOOKUP($B197,'Slutlig allokering kvv'!$B$2:$BX$550,MATCH(P$2,'Slutlig allokering kvv'!$B$1:$BX$1,0),FALSE)/1,0))</f>
        <v>0</v>
      </c>
      <c r="Q197" s="31">
        <f>IF($D197="","",IFERROR(VLOOKUP($B197,Kraftvärmeprod!$B$1:$BX$550,MATCH(Q$2,Kraftvärmeprod!$B$1:$VX$1,0),FALSE)/1,0)-IFERROR(VLOOKUP($B197,'Slutlig allokering kvv'!$B$2:$BX$550,MATCH(Q$2,'Slutlig allokering kvv'!$B$1:$BX$1,0),FALSE)/1,0))</f>
        <v>0</v>
      </c>
      <c r="R197" s="31">
        <f>IF($D197="","",IFERROR(VLOOKUP($B197,Kraftvärmeprod!$B$1:$BX$550,MATCH(R$2,Kraftvärmeprod!$B$1:$VX$1,0),FALSE)/1,0)-IFERROR(VLOOKUP($B197,'Slutlig allokering kvv'!$B$2:$BX$550,MATCH(R$2,'Slutlig allokering kvv'!$B$1:$BX$1,0),FALSE)/1,0))</f>
        <v>0</v>
      </c>
      <c r="S197" s="31">
        <f>IF($D197="","",IFERROR(VLOOKUP($B197,Kraftvärmeprod!$B$1:$BX$550,MATCH(S$2,Kraftvärmeprod!$B$1:$VX$1,0),FALSE)/1,0)-IFERROR(VLOOKUP($B197,'Slutlig allokering kvv'!$B$2:$BX$550,MATCH(S$2,'Slutlig allokering kvv'!$B$1:$BX$1,0),FALSE)/1,0))</f>
        <v>0</v>
      </c>
      <c r="T197" s="31">
        <f>IF($D197="","",IFERROR(VLOOKUP($B197,Kraftvärmeprod!$B$1:$BX$550,MATCH(T$2,Kraftvärmeprod!$B$1:$VX$1,0),FALSE)/1,0)-IFERROR(VLOOKUP($B197,'Slutlig allokering kvv'!$B$2:$BX$550,MATCH(T$2,'Slutlig allokering kvv'!$B$1:$BX$1,0),FALSE)/1,0))</f>
        <v>0</v>
      </c>
      <c r="U197" s="31">
        <f>IF($D197="","",IFERROR(VLOOKUP($B197,Kraftvärmeprod!$B$1:$BX$550,MATCH(U$2,Kraftvärmeprod!$B$1:$VX$1,0),FALSE)/1,0)-IFERROR(VLOOKUP($B197,'Slutlig allokering kvv'!$B$2:$BX$550,MATCH(U$2,'Slutlig allokering kvv'!$B$1:$BX$1,0),FALSE)/1,0))</f>
        <v>0</v>
      </c>
      <c r="V197" s="31">
        <f>IF($D197="","",IFERROR(VLOOKUP($B197,Kraftvärmeprod!$B$1:$BX$550,MATCH(V$2,Kraftvärmeprod!$B$1:$VX$1,0),FALSE)/1,0)-IFERROR(VLOOKUP($B197,'Slutlig allokering kvv'!$B$2:$BX$550,MATCH(V$2,'Slutlig allokering kvv'!$B$1:$BX$1,0),FALSE)/1,0))</f>
        <v>0</v>
      </c>
      <c r="W197" s="31">
        <f>IF($D197="","",IFERROR(VLOOKUP($B197,Kraftvärmeprod!$B$1:$BX$550,MATCH(W$2,Kraftvärmeprod!$B$1:$VX$1,0),FALSE)/1,0)-IFERROR(VLOOKUP($B197,'Slutlig allokering kvv'!$B$2:$BX$550,MATCH(W$2,'Slutlig allokering kvv'!$B$1:$BX$1,0),FALSE)/1,0))</f>
        <v>0</v>
      </c>
      <c r="X197" s="31">
        <f>IF($D197="","",IFERROR(VLOOKUP($B197,Kraftvärmeprod!$B$1:$BX$550,MATCH(X$2,Kraftvärmeprod!$B$1:$VX$1,0),FALSE)/1,0)-IFERROR(VLOOKUP($B197,'Slutlig allokering kvv'!$B$2:$BX$550,MATCH(X$2,'Slutlig allokering kvv'!$B$1:$BX$1,0),FALSE)/1,0))</f>
        <v>0</v>
      </c>
      <c r="Y197" s="31">
        <f>IF($D197="","",IFERROR(VLOOKUP($B197,Kraftvärmeprod!$B$1:$BX$550,MATCH(Y$2,Kraftvärmeprod!$B$1:$VX$1,0),FALSE)/1,0)-IFERROR(VLOOKUP($B197,'Slutlig allokering kvv'!$B$2:$BX$550,MATCH(Y$2,'Slutlig allokering kvv'!$B$1:$BX$1,0),FALSE)/1,0))</f>
        <v>0</v>
      </c>
      <c r="Z197" s="31">
        <f>IF($D197="","",IFERROR(VLOOKUP($B197,Kraftvärmeprod!$B$1:$BX$550,MATCH(Z$2,Kraftvärmeprod!$B$1:$VX$1,0),FALSE)/1,0)-IFERROR(VLOOKUP($B197,'Slutlig allokering kvv'!$B$2:$BX$550,MATCH(Z$2,'Slutlig allokering kvv'!$B$1:$BX$1,0),FALSE)/1,0))</f>
        <v>0</v>
      </c>
      <c r="AA197" s="31">
        <f>IF($D197="","",IFERROR(VLOOKUP($B197,Kraftvärmeprod!$B$1:$BX$550,MATCH(AA$2,Kraftvärmeprod!$B$1:$VX$1,0),FALSE)/1,0)-IFERROR(VLOOKUP($B197,'Slutlig allokering kvv'!$B$2:$BX$550,MATCH(AA$2,'Slutlig allokering kvv'!$B$1:$BX$1,0),FALSE)/1,0))</f>
        <v>0</v>
      </c>
      <c r="AB197" s="31">
        <f>IF($D197="","",IFERROR(VLOOKUP($B197,Kraftvärmeprod!$B$1:$BX$550,MATCH(AB$2,Kraftvärmeprod!$B$1:$VX$1,0),FALSE)/1,0)-IFERROR(VLOOKUP($B197,'Slutlig allokering kvv'!$B$2:$BX$550,MATCH(AB$2,'Slutlig allokering kvv'!$B$1:$BX$1,0),FALSE)/1,0))</f>
        <v>0</v>
      </c>
      <c r="AC197" s="31">
        <f>IF($D197="","",IFERROR(VLOOKUP($B197,Kraftvärmeprod!$B$1:$BX$550,MATCH(AC$2,Kraftvärmeprod!$B$1:$VX$1,0),FALSE)/1,0)-IFERROR(VLOOKUP($B197,'Slutlig allokering kvv'!$B$2:$BX$550,MATCH(AC$2,'Slutlig allokering kvv'!$B$1:$BX$1,0),FALSE)/1,0))</f>
        <v>0</v>
      </c>
      <c r="AD197" s="31">
        <f>IF($D197="","",IFERROR(VLOOKUP($B197,Kraftvärmeprod!$B$1:$BX$550,MATCH(AD$2,Kraftvärmeprod!$B$1:$VX$1,0),FALSE)/1,0)-IFERROR(VLOOKUP($B197,'Slutlig allokering kvv'!$B$2:$BX$550,MATCH(AD$2,'Slutlig allokering kvv'!$B$1:$BX$1,0),FALSE)/1,0))</f>
        <v>0</v>
      </c>
      <c r="AE197" s="31">
        <f>IF($D197="","",IFERROR(VLOOKUP($B197,Miljö!$B$1:$E$550,MATCH("Hjälpel kraftvärme (GWh)",Miljö!$B$1:$E$1,0),FALSE)/1,0)-IFERROR(VLOOKUP($B197,'Slutlig allokering kvv'!$B$2:$BX$549,MATCH(AE$2,'Slutlig allokering kvv'!$B$1:$BX$1,0),FALSE)/1,0))</f>
        <v>0.47694700000000001</v>
      </c>
      <c r="AI197" s="39">
        <f t="shared" si="12"/>
        <v>49.165570000000002</v>
      </c>
      <c r="AK197" s="31">
        <f>IFERROR(VLOOKUP($B197,'Slutlig allokering kvv'!$B$2:$AX$549,MATCH("Summa slutlig allokerad tillförd energi (utan hjälpel och rökgaskondensering):",'Slutlig allokering kvv'!$B$1:$AX$1,0),FALSE)/1,"")</f>
        <v>83.606429999999989</v>
      </c>
      <c r="AM197" s="31">
        <f>IFERROR(1-VLOOKUP($B197,'Slutlig allokering kvv'!$B$2:$AX$549,MATCH("Andel av bränsle i kvv som allokerats till värme, exklusive rökgaskondensering och hjälpel",'Slutlig allokering kvv'!$B$1:$AX$1,0),FALSE),"")</f>
        <v>0.37030074112011568</v>
      </c>
      <c r="AO197" s="31">
        <f t="shared" si="13"/>
        <v>0.37030074112011574</v>
      </c>
      <c r="AP197" s="31">
        <f t="shared" si="14"/>
        <v>-5.5511151231257827E-17</v>
      </c>
      <c r="AR197" s="32">
        <f t="shared" si="15"/>
        <v>0.39166023753388651</v>
      </c>
    </row>
    <row r="198" spans="1:44" s="31" customFormat="1" x14ac:dyDescent="0.45">
      <c r="A198" s="31" t="s">
        <v>406</v>
      </c>
      <c r="B198" s="31" t="s">
        <v>405</v>
      </c>
      <c r="C198" s="31" t="str">
        <f>IFERROR(VLOOKUP($B198,Kraftvärmeprod!$B$1:$AH$479,MATCH(C$2,Kraftvärmeprod!$B$1:$AG$1,0),FALSE)/1,"")</f>
        <v/>
      </c>
      <c r="D198" s="31" t="str">
        <f>IFERROR(VLOOKUP($B198,Kraftvärmeprod!$B$1:$AH$479,MATCH(D$2,Kraftvärmeprod!$B$1:$AG$1,0),FALSE)/1,"")</f>
        <v/>
      </c>
      <c r="F198" s="31" t="str">
        <f>IF($D198="","",IFERROR(VLOOKUP($B198,Kraftvärmeprod!$B$1:$BX$550,MATCH(F$2,Kraftvärmeprod!$B$1:$VX$1,0),FALSE)/1,0)-IFERROR(VLOOKUP($B198,'Slutlig allokering kvv'!$B$2:$BX$550,MATCH(F$2,'Slutlig allokering kvv'!$B$1:$BX$1,0),FALSE)/1,0))</f>
        <v/>
      </c>
      <c r="G198" s="31" t="str">
        <f>IF($D198="","",IFERROR(VLOOKUP($B198,Kraftvärmeprod!$B$1:$BX$550,MATCH(G$2,Kraftvärmeprod!$B$1:$VX$1,0),FALSE)/1,0)-IFERROR(VLOOKUP($B198,'Slutlig allokering kvv'!$B$2:$BX$550,MATCH(G$2,'Slutlig allokering kvv'!$B$1:$BX$1,0),FALSE)/1,0))</f>
        <v/>
      </c>
      <c r="H198" s="31" t="str">
        <f>IF($D198="","",IFERROR(VLOOKUP($B198,Kraftvärmeprod!$B$1:$BX$550,MATCH(H$2,Kraftvärmeprod!$B$1:$VX$1,0),FALSE)/1,0)-IFERROR(VLOOKUP($B198,'Slutlig allokering kvv'!$B$2:$BX$550,MATCH(H$2,'Slutlig allokering kvv'!$B$1:$BX$1,0),FALSE)/1,0))</f>
        <v/>
      </c>
      <c r="I198" s="31" t="str">
        <f>IF($D198="","",IFERROR(VLOOKUP($B198,Kraftvärmeprod!$B$1:$BX$550,MATCH(I$2,Kraftvärmeprod!$B$1:$VX$1,0),FALSE)/1,0)-IFERROR(VLOOKUP($B198,'Slutlig allokering kvv'!$B$2:$BX$550,MATCH(I$2,'Slutlig allokering kvv'!$B$1:$BX$1,0),FALSE)/1,0))</f>
        <v/>
      </c>
      <c r="J198" s="31" t="str">
        <f>IF($D198="","",IFERROR(VLOOKUP($B198,Kraftvärmeprod!$B$1:$BX$550,MATCH(J$2,Kraftvärmeprod!$B$1:$VX$1,0),FALSE)/1,0)-IFERROR(VLOOKUP($B198,'Slutlig allokering kvv'!$B$2:$BX$550,MATCH(J$2,'Slutlig allokering kvv'!$B$1:$BX$1,0),FALSE)/1,0))</f>
        <v/>
      </c>
      <c r="K198" s="31" t="str">
        <f>IF($D198="","",IFERROR(VLOOKUP($B198,Kraftvärmeprod!$B$1:$BX$550,MATCH(K$2,Kraftvärmeprod!$B$1:$VX$1,0),FALSE)/1,0)-IFERROR(VLOOKUP($B198,'Slutlig allokering kvv'!$B$2:$BX$550,MATCH(K$2,'Slutlig allokering kvv'!$B$1:$BX$1,0),FALSE)/1,0))</f>
        <v/>
      </c>
      <c r="L198" s="31" t="str">
        <f>IF($D198="","",IFERROR(VLOOKUP($B198,Kraftvärmeprod!$B$1:$BX$550,MATCH(L$2,Kraftvärmeprod!$B$1:$VX$1,0),FALSE)/1,0)-IFERROR(VLOOKUP($B198,'Slutlig allokering kvv'!$B$2:$BX$550,MATCH(L$2,'Slutlig allokering kvv'!$B$1:$BX$1,0),FALSE)/1,0))</f>
        <v/>
      </c>
      <c r="M198" s="31" t="str">
        <f>IF($D198="","",IFERROR(VLOOKUP($B198,Kraftvärmeprod!$B$1:$BX$550,MATCH(M$2,Kraftvärmeprod!$B$1:$VX$1,0),FALSE)/1,0)-IFERROR(VLOOKUP($B198,'Slutlig allokering kvv'!$B$2:$BX$550,MATCH(M$2,'Slutlig allokering kvv'!$B$1:$BX$1,0),FALSE)/1,0))</f>
        <v/>
      </c>
      <c r="N198" s="31" t="str">
        <f>IF($D198="","",IFERROR(VLOOKUP($B198,Kraftvärmeprod!$B$1:$BX$550,MATCH(N$2,Kraftvärmeprod!$B$1:$VX$1,0),FALSE)/1,0)-IFERROR(VLOOKUP($B198,'Slutlig allokering kvv'!$B$2:$BX$550,MATCH(N$2,'Slutlig allokering kvv'!$B$1:$BX$1,0),FALSE)/1,0))</f>
        <v/>
      </c>
      <c r="O198" s="31" t="str">
        <f>IF($D198="","",IFERROR(VLOOKUP($B198,Kraftvärmeprod!$B$1:$BX$550,MATCH(O$2,Kraftvärmeprod!$B$1:$VX$1,0),FALSE)/1,0)-IFERROR(VLOOKUP($B198,'Slutlig allokering kvv'!$B$2:$BX$550,MATCH(O$2,'Slutlig allokering kvv'!$B$1:$BX$1,0),FALSE)/1,0))</f>
        <v/>
      </c>
      <c r="P198" s="31" t="str">
        <f>IF($D198="","",IFERROR(VLOOKUP($B198,Kraftvärmeprod!$B$1:$BX$550,MATCH(P$2,Kraftvärmeprod!$B$1:$VX$1,0),FALSE)/1,0)-IFERROR(VLOOKUP($B198,'Slutlig allokering kvv'!$B$2:$BX$550,MATCH(P$2,'Slutlig allokering kvv'!$B$1:$BX$1,0),FALSE)/1,0))</f>
        <v/>
      </c>
      <c r="Q198" s="31" t="str">
        <f>IF($D198="","",IFERROR(VLOOKUP($B198,Kraftvärmeprod!$B$1:$BX$550,MATCH(Q$2,Kraftvärmeprod!$B$1:$VX$1,0),FALSE)/1,0)-IFERROR(VLOOKUP($B198,'Slutlig allokering kvv'!$B$2:$BX$550,MATCH(Q$2,'Slutlig allokering kvv'!$B$1:$BX$1,0),FALSE)/1,0))</f>
        <v/>
      </c>
      <c r="R198" s="31" t="str">
        <f>IF($D198="","",IFERROR(VLOOKUP($B198,Kraftvärmeprod!$B$1:$BX$550,MATCH(R$2,Kraftvärmeprod!$B$1:$VX$1,0),FALSE)/1,0)-IFERROR(VLOOKUP($B198,'Slutlig allokering kvv'!$B$2:$BX$550,MATCH(R$2,'Slutlig allokering kvv'!$B$1:$BX$1,0),FALSE)/1,0))</f>
        <v/>
      </c>
      <c r="S198" s="31" t="str">
        <f>IF($D198="","",IFERROR(VLOOKUP($B198,Kraftvärmeprod!$B$1:$BX$550,MATCH(S$2,Kraftvärmeprod!$B$1:$VX$1,0),FALSE)/1,0)-IFERROR(VLOOKUP($B198,'Slutlig allokering kvv'!$B$2:$BX$550,MATCH(S$2,'Slutlig allokering kvv'!$B$1:$BX$1,0),FALSE)/1,0))</f>
        <v/>
      </c>
      <c r="T198" s="31" t="str">
        <f>IF($D198="","",IFERROR(VLOOKUP($B198,Kraftvärmeprod!$B$1:$BX$550,MATCH(T$2,Kraftvärmeprod!$B$1:$VX$1,0),FALSE)/1,0)-IFERROR(VLOOKUP($B198,'Slutlig allokering kvv'!$B$2:$BX$550,MATCH(T$2,'Slutlig allokering kvv'!$B$1:$BX$1,0),FALSE)/1,0))</f>
        <v/>
      </c>
      <c r="U198" s="31" t="str">
        <f>IF($D198="","",IFERROR(VLOOKUP($B198,Kraftvärmeprod!$B$1:$BX$550,MATCH(U$2,Kraftvärmeprod!$B$1:$VX$1,0),FALSE)/1,0)-IFERROR(VLOOKUP($B198,'Slutlig allokering kvv'!$B$2:$BX$550,MATCH(U$2,'Slutlig allokering kvv'!$B$1:$BX$1,0),FALSE)/1,0))</f>
        <v/>
      </c>
      <c r="V198" s="31" t="str">
        <f>IF($D198="","",IFERROR(VLOOKUP($B198,Kraftvärmeprod!$B$1:$BX$550,MATCH(V$2,Kraftvärmeprod!$B$1:$VX$1,0),FALSE)/1,0)-IFERROR(VLOOKUP($B198,'Slutlig allokering kvv'!$B$2:$BX$550,MATCH(V$2,'Slutlig allokering kvv'!$B$1:$BX$1,0),FALSE)/1,0))</f>
        <v/>
      </c>
      <c r="W198" s="31" t="str">
        <f>IF($D198="","",IFERROR(VLOOKUP($B198,Kraftvärmeprod!$B$1:$BX$550,MATCH(W$2,Kraftvärmeprod!$B$1:$VX$1,0),FALSE)/1,0)-IFERROR(VLOOKUP($B198,'Slutlig allokering kvv'!$B$2:$BX$550,MATCH(W$2,'Slutlig allokering kvv'!$B$1:$BX$1,0),FALSE)/1,0))</f>
        <v/>
      </c>
      <c r="X198" s="31" t="str">
        <f>IF($D198="","",IFERROR(VLOOKUP($B198,Kraftvärmeprod!$B$1:$BX$550,MATCH(X$2,Kraftvärmeprod!$B$1:$VX$1,0),FALSE)/1,0)-IFERROR(VLOOKUP($B198,'Slutlig allokering kvv'!$B$2:$BX$550,MATCH(X$2,'Slutlig allokering kvv'!$B$1:$BX$1,0),FALSE)/1,0))</f>
        <v/>
      </c>
      <c r="Y198" s="31" t="str">
        <f>IF($D198="","",IFERROR(VLOOKUP($B198,Kraftvärmeprod!$B$1:$BX$550,MATCH(Y$2,Kraftvärmeprod!$B$1:$VX$1,0),FALSE)/1,0)-IFERROR(VLOOKUP($B198,'Slutlig allokering kvv'!$B$2:$BX$550,MATCH(Y$2,'Slutlig allokering kvv'!$B$1:$BX$1,0),FALSE)/1,0))</f>
        <v/>
      </c>
      <c r="Z198" s="31" t="str">
        <f>IF($D198="","",IFERROR(VLOOKUP($B198,Kraftvärmeprod!$B$1:$BX$550,MATCH(Z$2,Kraftvärmeprod!$B$1:$VX$1,0),FALSE)/1,0)-IFERROR(VLOOKUP($B198,'Slutlig allokering kvv'!$B$2:$BX$550,MATCH(Z$2,'Slutlig allokering kvv'!$B$1:$BX$1,0),FALSE)/1,0))</f>
        <v/>
      </c>
      <c r="AA198" s="31" t="str">
        <f>IF($D198="","",IFERROR(VLOOKUP($B198,Kraftvärmeprod!$B$1:$BX$550,MATCH(AA$2,Kraftvärmeprod!$B$1:$VX$1,0),FALSE)/1,0)-IFERROR(VLOOKUP($B198,'Slutlig allokering kvv'!$B$2:$BX$550,MATCH(AA$2,'Slutlig allokering kvv'!$B$1:$BX$1,0),FALSE)/1,0))</f>
        <v/>
      </c>
      <c r="AB198" s="31" t="str">
        <f>IF($D198="","",IFERROR(VLOOKUP($B198,Kraftvärmeprod!$B$1:$BX$550,MATCH(AB$2,Kraftvärmeprod!$B$1:$VX$1,0),FALSE)/1,0)-IFERROR(VLOOKUP($B198,'Slutlig allokering kvv'!$B$2:$BX$550,MATCH(AB$2,'Slutlig allokering kvv'!$B$1:$BX$1,0),FALSE)/1,0))</f>
        <v/>
      </c>
      <c r="AC198" s="31" t="str">
        <f>IF($D198="","",IFERROR(VLOOKUP($B198,Kraftvärmeprod!$B$1:$BX$550,MATCH(AC$2,Kraftvärmeprod!$B$1:$VX$1,0),FALSE)/1,0)-IFERROR(VLOOKUP($B198,'Slutlig allokering kvv'!$B$2:$BX$550,MATCH(AC$2,'Slutlig allokering kvv'!$B$1:$BX$1,0),FALSE)/1,0))</f>
        <v/>
      </c>
      <c r="AD198" s="31" t="str">
        <f>IF($D198="","",IFERROR(VLOOKUP($B198,Kraftvärmeprod!$B$1:$BX$550,MATCH(AD$2,Kraftvärmeprod!$B$1:$VX$1,0),FALSE)/1,0)-IFERROR(VLOOKUP($B198,'Slutlig allokering kvv'!$B$2:$BX$550,MATCH(AD$2,'Slutlig allokering kvv'!$B$1:$BX$1,0),FALSE)/1,0))</f>
        <v/>
      </c>
      <c r="AE198" s="31" t="str">
        <f>IF($D198="","",IFERROR(VLOOKUP($B198,Miljö!$B$1:$E$550,MATCH("Hjälpel kraftvärme (GWh)",Miljö!$B$1:$E$1,0),FALSE)/1,0)-IFERROR(VLOOKUP($B198,'Slutlig allokering kvv'!$B$2:$BX$549,MATCH(AE$2,'Slutlig allokering kvv'!$B$1:$BX$1,0),FALSE)/1,0))</f>
        <v/>
      </c>
      <c r="AI198" s="39">
        <f t="shared" si="12"/>
        <v>0</v>
      </c>
      <c r="AK198" s="31">
        <f>IFERROR(VLOOKUP($B198,'Slutlig allokering kvv'!$B$2:$AX$549,MATCH("Summa slutlig allokerad tillförd energi (utan hjälpel och rökgaskondensering):",'Slutlig allokering kvv'!$B$1:$AX$1,0),FALSE)/1,"")</f>
        <v>0</v>
      </c>
      <c r="AM198" s="31" t="str">
        <f>IFERROR(1-VLOOKUP($B198,'Slutlig allokering kvv'!$B$2:$AX$549,MATCH("Andel av bränsle i kvv som allokerats till värme, exklusive rökgaskondensering och hjälpel",'Slutlig allokering kvv'!$B$1:$AX$1,0),FALSE),"")</f>
        <v/>
      </c>
      <c r="AO198" s="31" t="str">
        <f t="shared" si="13"/>
        <v/>
      </c>
      <c r="AP198" s="31" t="str">
        <f t="shared" si="14"/>
        <v/>
      </c>
      <c r="AR198" s="32" t="str">
        <f t="shared" si="15"/>
        <v/>
      </c>
    </row>
    <row r="199" spans="1:44" s="31" customFormat="1" x14ac:dyDescent="0.45">
      <c r="A199" s="31" t="s">
        <v>404</v>
      </c>
      <c r="B199" s="31" t="s">
        <v>403</v>
      </c>
      <c r="C199" s="31" t="str">
        <f>IFERROR(VLOOKUP($B199,Kraftvärmeprod!$B$1:$AH$479,MATCH(C$2,Kraftvärmeprod!$B$1:$AG$1,0),FALSE)/1,"")</f>
        <v/>
      </c>
      <c r="D199" s="31" t="str">
        <f>IFERROR(VLOOKUP($B199,Kraftvärmeprod!$B$1:$AH$479,MATCH(D$2,Kraftvärmeprod!$B$1:$AG$1,0),FALSE)/1,"")</f>
        <v/>
      </c>
      <c r="F199" s="31" t="str">
        <f>IF($D199="","",IFERROR(VLOOKUP($B199,Kraftvärmeprod!$B$1:$BX$550,MATCH(F$2,Kraftvärmeprod!$B$1:$VX$1,0),FALSE)/1,0)-IFERROR(VLOOKUP($B199,'Slutlig allokering kvv'!$B$2:$BX$550,MATCH(F$2,'Slutlig allokering kvv'!$B$1:$BX$1,0),FALSE)/1,0))</f>
        <v/>
      </c>
      <c r="G199" s="31" t="str">
        <f>IF($D199="","",IFERROR(VLOOKUP($B199,Kraftvärmeprod!$B$1:$BX$550,MATCH(G$2,Kraftvärmeprod!$B$1:$VX$1,0),FALSE)/1,0)-IFERROR(VLOOKUP($B199,'Slutlig allokering kvv'!$B$2:$BX$550,MATCH(G$2,'Slutlig allokering kvv'!$B$1:$BX$1,0),FALSE)/1,0))</f>
        <v/>
      </c>
      <c r="H199" s="31" t="str">
        <f>IF($D199="","",IFERROR(VLOOKUP($B199,Kraftvärmeprod!$B$1:$BX$550,MATCH(H$2,Kraftvärmeprod!$B$1:$VX$1,0),FALSE)/1,0)-IFERROR(VLOOKUP($B199,'Slutlig allokering kvv'!$B$2:$BX$550,MATCH(H$2,'Slutlig allokering kvv'!$B$1:$BX$1,0),FALSE)/1,0))</f>
        <v/>
      </c>
      <c r="I199" s="31" t="str">
        <f>IF($D199="","",IFERROR(VLOOKUP($B199,Kraftvärmeprod!$B$1:$BX$550,MATCH(I$2,Kraftvärmeprod!$B$1:$VX$1,0),FALSE)/1,0)-IFERROR(VLOOKUP($B199,'Slutlig allokering kvv'!$B$2:$BX$550,MATCH(I$2,'Slutlig allokering kvv'!$B$1:$BX$1,0),FALSE)/1,0))</f>
        <v/>
      </c>
      <c r="J199" s="31" t="str">
        <f>IF($D199="","",IFERROR(VLOOKUP($B199,Kraftvärmeprod!$B$1:$BX$550,MATCH(J$2,Kraftvärmeprod!$B$1:$VX$1,0),FALSE)/1,0)-IFERROR(VLOOKUP($B199,'Slutlig allokering kvv'!$B$2:$BX$550,MATCH(J$2,'Slutlig allokering kvv'!$B$1:$BX$1,0),FALSE)/1,0))</f>
        <v/>
      </c>
      <c r="K199" s="31" t="str">
        <f>IF($D199="","",IFERROR(VLOOKUP($B199,Kraftvärmeprod!$B$1:$BX$550,MATCH(K$2,Kraftvärmeprod!$B$1:$VX$1,0),FALSE)/1,0)-IFERROR(VLOOKUP($B199,'Slutlig allokering kvv'!$B$2:$BX$550,MATCH(K$2,'Slutlig allokering kvv'!$B$1:$BX$1,0),FALSE)/1,0))</f>
        <v/>
      </c>
      <c r="L199" s="31" t="str">
        <f>IF($D199="","",IFERROR(VLOOKUP($B199,Kraftvärmeprod!$B$1:$BX$550,MATCH(L$2,Kraftvärmeprod!$B$1:$VX$1,0),FALSE)/1,0)-IFERROR(VLOOKUP($B199,'Slutlig allokering kvv'!$B$2:$BX$550,MATCH(L$2,'Slutlig allokering kvv'!$B$1:$BX$1,0),FALSE)/1,0))</f>
        <v/>
      </c>
      <c r="M199" s="31" t="str">
        <f>IF($D199="","",IFERROR(VLOOKUP($B199,Kraftvärmeprod!$B$1:$BX$550,MATCH(M$2,Kraftvärmeprod!$B$1:$VX$1,0),FALSE)/1,0)-IFERROR(VLOOKUP($B199,'Slutlig allokering kvv'!$B$2:$BX$550,MATCH(M$2,'Slutlig allokering kvv'!$B$1:$BX$1,0),FALSE)/1,0))</f>
        <v/>
      </c>
      <c r="N199" s="31" t="str">
        <f>IF($D199="","",IFERROR(VLOOKUP($B199,Kraftvärmeprod!$B$1:$BX$550,MATCH(N$2,Kraftvärmeprod!$B$1:$VX$1,0),FALSE)/1,0)-IFERROR(VLOOKUP($B199,'Slutlig allokering kvv'!$B$2:$BX$550,MATCH(N$2,'Slutlig allokering kvv'!$B$1:$BX$1,0),FALSE)/1,0))</f>
        <v/>
      </c>
      <c r="O199" s="31" t="str">
        <f>IF($D199="","",IFERROR(VLOOKUP($B199,Kraftvärmeprod!$B$1:$BX$550,MATCH(O$2,Kraftvärmeprod!$B$1:$VX$1,0),FALSE)/1,0)-IFERROR(VLOOKUP($B199,'Slutlig allokering kvv'!$B$2:$BX$550,MATCH(O$2,'Slutlig allokering kvv'!$B$1:$BX$1,0),FALSE)/1,0))</f>
        <v/>
      </c>
      <c r="P199" s="31" t="str">
        <f>IF($D199="","",IFERROR(VLOOKUP($B199,Kraftvärmeprod!$B$1:$BX$550,MATCH(P$2,Kraftvärmeprod!$B$1:$VX$1,0),FALSE)/1,0)-IFERROR(VLOOKUP($B199,'Slutlig allokering kvv'!$B$2:$BX$550,MATCH(P$2,'Slutlig allokering kvv'!$B$1:$BX$1,0),FALSE)/1,0))</f>
        <v/>
      </c>
      <c r="Q199" s="31" t="str">
        <f>IF($D199="","",IFERROR(VLOOKUP($B199,Kraftvärmeprod!$B$1:$BX$550,MATCH(Q$2,Kraftvärmeprod!$B$1:$VX$1,0),FALSE)/1,0)-IFERROR(VLOOKUP($B199,'Slutlig allokering kvv'!$B$2:$BX$550,MATCH(Q$2,'Slutlig allokering kvv'!$B$1:$BX$1,0),FALSE)/1,0))</f>
        <v/>
      </c>
      <c r="R199" s="31" t="str">
        <f>IF($D199="","",IFERROR(VLOOKUP($B199,Kraftvärmeprod!$B$1:$BX$550,MATCH(R$2,Kraftvärmeprod!$B$1:$VX$1,0),FALSE)/1,0)-IFERROR(VLOOKUP($B199,'Slutlig allokering kvv'!$B$2:$BX$550,MATCH(R$2,'Slutlig allokering kvv'!$B$1:$BX$1,0),FALSE)/1,0))</f>
        <v/>
      </c>
      <c r="S199" s="31" t="str">
        <f>IF($D199="","",IFERROR(VLOOKUP($B199,Kraftvärmeprod!$B$1:$BX$550,MATCH(S$2,Kraftvärmeprod!$B$1:$VX$1,0),FALSE)/1,0)-IFERROR(VLOOKUP($B199,'Slutlig allokering kvv'!$B$2:$BX$550,MATCH(S$2,'Slutlig allokering kvv'!$B$1:$BX$1,0),FALSE)/1,0))</f>
        <v/>
      </c>
      <c r="T199" s="31" t="str">
        <f>IF($D199="","",IFERROR(VLOOKUP($B199,Kraftvärmeprod!$B$1:$BX$550,MATCH(T$2,Kraftvärmeprod!$B$1:$VX$1,0),FALSE)/1,0)-IFERROR(VLOOKUP($B199,'Slutlig allokering kvv'!$B$2:$BX$550,MATCH(T$2,'Slutlig allokering kvv'!$B$1:$BX$1,0),FALSE)/1,0))</f>
        <v/>
      </c>
      <c r="U199" s="31" t="str">
        <f>IF($D199="","",IFERROR(VLOOKUP($B199,Kraftvärmeprod!$B$1:$BX$550,MATCH(U$2,Kraftvärmeprod!$B$1:$VX$1,0),FALSE)/1,0)-IFERROR(VLOOKUP($B199,'Slutlig allokering kvv'!$B$2:$BX$550,MATCH(U$2,'Slutlig allokering kvv'!$B$1:$BX$1,0),FALSE)/1,0))</f>
        <v/>
      </c>
      <c r="V199" s="31" t="str">
        <f>IF($D199="","",IFERROR(VLOOKUP($B199,Kraftvärmeprod!$B$1:$BX$550,MATCH(V$2,Kraftvärmeprod!$B$1:$VX$1,0),FALSE)/1,0)-IFERROR(VLOOKUP($B199,'Slutlig allokering kvv'!$B$2:$BX$550,MATCH(V$2,'Slutlig allokering kvv'!$B$1:$BX$1,0),FALSE)/1,0))</f>
        <v/>
      </c>
      <c r="W199" s="31" t="str">
        <f>IF($D199="","",IFERROR(VLOOKUP($B199,Kraftvärmeprod!$B$1:$BX$550,MATCH(W$2,Kraftvärmeprod!$B$1:$VX$1,0),FALSE)/1,0)-IFERROR(VLOOKUP($B199,'Slutlig allokering kvv'!$B$2:$BX$550,MATCH(W$2,'Slutlig allokering kvv'!$B$1:$BX$1,0),FALSE)/1,0))</f>
        <v/>
      </c>
      <c r="X199" s="31" t="str">
        <f>IF($D199="","",IFERROR(VLOOKUP($B199,Kraftvärmeprod!$B$1:$BX$550,MATCH(X$2,Kraftvärmeprod!$B$1:$VX$1,0),FALSE)/1,0)-IFERROR(VLOOKUP($B199,'Slutlig allokering kvv'!$B$2:$BX$550,MATCH(X$2,'Slutlig allokering kvv'!$B$1:$BX$1,0),FALSE)/1,0))</f>
        <v/>
      </c>
      <c r="Y199" s="31" t="str">
        <f>IF($D199="","",IFERROR(VLOOKUP($B199,Kraftvärmeprod!$B$1:$BX$550,MATCH(Y$2,Kraftvärmeprod!$B$1:$VX$1,0),FALSE)/1,0)-IFERROR(VLOOKUP($B199,'Slutlig allokering kvv'!$B$2:$BX$550,MATCH(Y$2,'Slutlig allokering kvv'!$B$1:$BX$1,0),FALSE)/1,0))</f>
        <v/>
      </c>
      <c r="Z199" s="31" t="str">
        <f>IF($D199="","",IFERROR(VLOOKUP($B199,Kraftvärmeprod!$B$1:$BX$550,MATCH(Z$2,Kraftvärmeprod!$B$1:$VX$1,0),FALSE)/1,0)-IFERROR(VLOOKUP($B199,'Slutlig allokering kvv'!$B$2:$BX$550,MATCH(Z$2,'Slutlig allokering kvv'!$B$1:$BX$1,0),FALSE)/1,0))</f>
        <v/>
      </c>
      <c r="AA199" s="31" t="str">
        <f>IF($D199="","",IFERROR(VLOOKUP($B199,Kraftvärmeprod!$B$1:$BX$550,MATCH(AA$2,Kraftvärmeprod!$B$1:$VX$1,0),FALSE)/1,0)-IFERROR(VLOOKUP($B199,'Slutlig allokering kvv'!$B$2:$BX$550,MATCH(AA$2,'Slutlig allokering kvv'!$B$1:$BX$1,0),FALSE)/1,0))</f>
        <v/>
      </c>
      <c r="AB199" s="31" t="str">
        <f>IF($D199="","",IFERROR(VLOOKUP($B199,Kraftvärmeprod!$B$1:$BX$550,MATCH(AB$2,Kraftvärmeprod!$B$1:$VX$1,0),FALSE)/1,0)-IFERROR(VLOOKUP($B199,'Slutlig allokering kvv'!$B$2:$BX$550,MATCH(AB$2,'Slutlig allokering kvv'!$B$1:$BX$1,0),FALSE)/1,0))</f>
        <v/>
      </c>
      <c r="AC199" s="31" t="str">
        <f>IF($D199="","",IFERROR(VLOOKUP($B199,Kraftvärmeprod!$B$1:$BX$550,MATCH(AC$2,Kraftvärmeprod!$B$1:$VX$1,0),FALSE)/1,0)-IFERROR(VLOOKUP($B199,'Slutlig allokering kvv'!$B$2:$BX$550,MATCH(AC$2,'Slutlig allokering kvv'!$B$1:$BX$1,0),FALSE)/1,0))</f>
        <v/>
      </c>
      <c r="AD199" s="31" t="str">
        <f>IF($D199="","",IFERROR(VLOOKUP($B199,Kraftvärmeprod!$B$1:$BX$550,MATCH(AD$2,Kraftvärmeprod!$B$1:$VX$1,0),FALSE)/1,0)-IFERROR(VLOOKUP($B199,'Slutlig allokering kvv'!$B$2:$BX$550,MATCH(AD$2,'Slutlig allokering kvv'!$B$1:$BX$1,0),FALSE)/1,0))</f>
        <v/>
      </c>
      <c r="AE199" s="31" t="str">
        <f>IF($D199="","",IFERROR(VLOOKUP($B199,Miljö!$B$1:$E$550,MATCH("Hjälpel kraftvärme (GWh)",Miljö!$B$1:$E$1,0),FALSE)/1,0)-IFERROR(VLOOKUP($B199,'Slutlig allokering kvv'!$B$2:$BX$549,MATCH(AE$2,'Slutlig allokering kvv'!$B$1:$BX$1,0),FALSE)/1,0))</f>
        <v/>
      </c>
      <c r="AI199" s="39">
        <f t="shared" si="12"/>
        <v>0</v>
      </c>
      <c r="AK199" s="31">
        <f>IFERROR(VLOOKUP($B199,'Slutlig allokering kvv'!$B$2:$AX$549,MATCH("Summa slutlig allokerad tillförd energi (utan hjälpel och rökgaskondensering):",'Slutlig allokering kvv'!$B$1:$AX$1,0),FALSE)/1,"")</f>
        <v>0</v>
      </c>
      <c r="AM199" s="31" t="str">
        <f>IFERROR(1-VLOOKUP($B199,'Slutlig allokering kvv'!$B$2:$AX$549,MATCH("Andel av bränsle i kvv som allokerats till värme, exklusive rökgaskondensering och hjälpel",'Slutlig allokering kvv'!$B$1:$AX$1,0),FALSE),"")</f>
        <v/>
      </c>
      <c r="AO199" s="31" t="str">
        <f t="shared" si="13"/>
        <v/>
      </c>
      <c r="AP199" s="31" t="str">
        <f t="shared" si="14"/>
        <v/>
      </c>
      <c r="AR199" s="32" t="str">
        <f t="shared" si="15"/>
        <v/>
      </c>
    </row>
    <row r="200" spans="1:44" s="31" customFormat="1" x14ac:dyDescent="0.45">
      <c r="A200" s="31" t="s">
        <v>402</v>
      </c>
      <c r="B200" s="31" t="s">
        <v>401</v>
      </c>
      <c r="C200" s="31">
        <f>IFERROR(VLOOKUP($B200,Kraftvärmeprod!$B$1:$AH$479,MATCH(C$2,Kraftvärmeprod!$B$1:$AG$1,0),FALSE)/1,"")</f>
        <v>153.30000000000001</v>
      </c>
      <c r="D200" s="31">
        <f>IFERROR(VLOOKUP($B200,Kraftvärmeprod!$B$1:$AH$479,MATCH(D$2,Kraftvärmeprod!$B$1:$AG$1,0),FALSE)/1,"")</f>
        <v>17.899999999999999</v>
      </c>
      <c r="F200" s="31">
        <f>IF($D200="","",IFERROR(VLOOKUP($B200,Kraftvärmeprod!$B$1:$BX$550,MATCH(F$2,Kraftvärmeprod!$B$1:$VX$1,0),FALSE)/1,0)-IFERROR(VLOOKUP($B200,'Slutlig allokering kvv'!$B$2:$BX$550,MATCH(F$2,'Slutlig allokering kvv'!$B$1:$BX$1,0),FALSE)/1,0))</f>
        <v>0</v>
      </c>
      <c r="G200" s="31">
        <f>IF($D200="","",IFERROR(VLOOKUP($B200,Kraftvärmeprod!$B$1:$BX$550,MATCH(G$2,Kraftvärmeprod!$B$1:$VX$1,0),FALSE)/1,0)-IFERROR(VLOOKUP($B200,'Slutlig allokering kvv'!$B$2:$BX$550,MATCH(G$2,'Slutlig allokering kvv'!$B$1:$BX$1,0),FALSE)/1,0))</f>
        <v>0.83109999999999973</v>
      </c>
      <c r="H200" s="31">
        <f>IF($D200="","",IFERROR(VLOOKUP($B200,Kraftvärmeprod!$B$1:$BX$550,MATCH(H$2,Kraftvärmeprod!$B$1:$VX$1,0),FALSE)/1,0)-IFERROR(VLOOKUP($B200,'Slutlig allokering kvv'!$B$2:$BX$550,MATCH(H$2,'Slutlig allokering kvv'!$B$1:$BX$1,0),FALSE)/1,0))</f>
        <v>0</v>
      </c>
      <c r="I200" s="31">
        <f>IF($D200="","",IFERROR(VLOOKUP($B200,Kraftvärmeprod!$B$1:$BX$550,MATCH(I$2,Kraftvärmeprod!$B$1:$VX$1,0),FALSE)/1,0)-IFERROR(VLOOKUP($B200,'Slutlig allokering kvv'!$B$2:$BX$550,MATCH(I$2,'Slutlig allokering kvv'!$B$1:$BX$1,0),FALSE)/1,0))</f>
        <v>0</v>
      </c>
      <c r="J200" s="31">
        <f>IF($D200="","",IFERROR(VLOOKUP($B200,Kraftvärmeprod!$B$1:$BX$550,MATCH(J$2,Kraftvärmeprod!$B$1:$VX$1,0),FALSE)/1,0)-IFERROR(VLOOKUP($B200,'Slutlig allokering kvv'!$B$2:$BX$550,MATCH(J$2,'Slutlig allokering kvv'!$B$1:$BX$1,0),FALSE)/1,0))</f>
        <v>0</v>
      </c>
      <c r="K200" s="31">
        <f>IF($D200="","",IFERROR(VLOOKUP($B200,Kraftvärmeprod!$B$1:$BX$550,MATCH(K$2,Kraftvärmeprod!$B$1:$VX$1,0),FALSE)/1,0)-IFERROR(VLOOKUP($B200,'Slutlig allokering kvv'!$B$2:$BX$550,MATCH(K$2,'Slutlig allokering kvv'!$B$1:$BX$1,0),FALSE)/1,0))</f>
        <v>0</v>
      </c>
      <c r="L200" s="31">
        <f>IF($D200="","",IFERROR(VLOOKUP($B200,Kraftvärmeprod!$B$1:$BX$550,MATCH(L$2,Kraftvärmeprod!$B$1:$VX$1,0),FALSE)/1,0)-IFERROR(VLOOKUP($B200,'Slutlig allokering kvv'!$B$2:$BX$550,MATCH(L$2,'Slutlig allokering kvv'!$B$1:$BX$1,0),FALSE)/1,0))</f>
        <v>0</v>
      </c>
      <c r="M200" s="31">
        <f>IF($D200="","",IFERROR(VLOOKUP($B200,Kraftvärmeprod!$B$1:$BX$550,MATCH(M$2,Kraftvärmeprod!$B$1:$VX$1,0),FALSE)/1,0)-IFERROR(VLOOKUP($B200,'Slutlig allokering kvv'!$B$2:$BX$550,MATCH(M$2,'Slutlig allokering kvv'!$B$1:$BX$1,0),FALSE)/1,0))</f>
        <v>0</v>
      </c>
      <c r="N200" s="31">
        <f>IF($D200="","",IFERROR(VLOOKUP($B200,Kraftvärmeprod!$B$1:$BX$550,MATCH(N$2,Kraftvärmeprod!$B$1:$VX$1,0),FALSE)/1,0)-IFERROR(VLOOKUP($B200,'Slutlig allokering kvv'!$B$2:$BX$550,MATCH(N$2,'Slutlig allokering kvv'!$B$1:$BX$1,0),FALSE)/1,0))</f>
        <v>0</v>
      </c>
      <c r="O200" s="31">
        <f>IF($D200="","",IFERROR(VLOOKUP($B200,Kraftvärmeprod!$B$1:$BX$550,MATCH(O$2,Kraftvärmeprod!$B$1:$VX$1,0),FALSE)/1,0)-IFERROR(VLOOKUP($B200,'Slutlig allokering kvv'!$B$2:$BX$550,MATCH(O$2,'Slutlig allokering kvv'!$B$1:$BX$1,0),FALSE)/1,0))</f>
        <v>13.251599999999996</v>
      </c>
      <c r="P200" s="31">
        <f>IF($D200="","",IFERROR(VLOOKUP($B200,Kraftvärmeprod!$B$1:$BX$550,MATCH(P$2,Kraftvärmeprod!$B$1:$VX$1,0),FALSE)/1,0)-IFERROR(VLOOKUP($B200,'Slutlig allokering kvv'!$B$2:$BX$550,MATCH(P$2,'Slutlig allokering kvv'!$B$1:$BX$1,0),FALSE)/1,0))</f>
        <v>0</v>
      </c>
      <c r="Q200" s="31">
        <f>IF($D200="","",IFERROR(VLOOKUP($B200,Kraftvärmeprod!$B$1:$BX$550,MATCH(Q$2,Kraftvärmeprod!$B$1:$VX$1,0),FALSE)/1,0)-IFERROR(VLOOKUP($B200,'Slutlig allokering kvv'!$B$2:$BX$550,MATCH(Q$2,'Slutlig allokering kvv'!$B$1:$BX$1,0),FALSE)/1,0))</f>
        <v>0</v>
      </c>
      <c r="R200" s="31">
        <f>IF($D200="","",IFERROR(VLOOKUP($B200,Kraftvärmeprod!$B$1:$BX$550,MATCH(R$2,Kraftvärmeprod!$B$1:$VX$1,0),FALSE)/1,0)-IFERROR(VLOOKUP($B200,'Slutlig allokering kvv'!$B$2:$BX$550,MATCH(R$2,'Slutlig allokering kvv'!$B$1:$BX$1,0),FALSE)/1,0))</f>
        <v>0</v>
      </c>
      <c r="S200" s="31">
        <f>IF($D200="","",IFERROR(VLOOKUP($B200,Kraftvärmeprod!$B$1:$BX$550,MATCH(S$2,Kraftvärmeprod!$B$1:$VX$1,0),FALSE)/1,0)-IFERROR(VLOOKUP($B200,'Slutlig allokering kvv'!$B$2:$BX$550,MATCH(S$2,'Slutlig allokering kvv'!$B$1:$BX$1,0),FALSE)/1,0))</f>
        <v>0</v>
      </c>
      <c r="T200" s="31">
        <f>IF($D200="","",IFERROR(VLOOKUP($B200,Kraftvärmeprod!$B$1:$BX$550,MATCH(T$2,Kraftvärmeprod!$B$1:$VX$1,0),FALSE)/1,0)-IFERROR(VLOOKUP($B200,'Slutlig allokering kvv'!$B$2:$BX$550,MATCH(T$2,'Slutlig allokering kvv'!$B$1:$BX$1,0),FALSE)/1,0))</f>
        <v>0</v>
      </c>
      <c r="U200" s="31">
        <f>IF($D200="","",IFERROR(VLOOKUP($B200,Kraftvärmeprod!$B$1:$BX$550,MATCH(U$2,Kraftvärmeprod!$B$1:$VX$1,0),FALSE)/1,0)-IFERROR(VLOOKUP($B200,'Slutlig allokering kvv'!$B$2:$BX$550,MATCH(U$2,'Slutlig allokering kvv'!$B$1:$BX$1,0),FALSE)/1,0))</f>
        <v>0</v>
      </c>
      <c r="V200" s="31">
        <f>IF($D200="","",IFERROR(VLOOKUP($B200,Kraftvärmeprod!$B$1:$BX$550,MATCH(V$2,Kraftvärmeprod!$B$1:$VX$1,0),FALSE)/1,0)-IFERROR(VLOOKUP($B200,'Slutlig allokering kvv'!$B$2:$BX$550,MATCH(V$2,'Slutlig allokering kvv'!$B$1:$BX$1,0),FALSE)/1,0))</f>
        <v>0</v>
      </c>
      <c r="W200" s="31">
        <f>IF($D200="","",IFERROR(VLOOKUP($B200,Kraftvärmeprod!$B$1:$BX$550,MATCH(W$2,Kraftvärmeprod!$B$1:$VX$1,0),FALSE)/1,0)-IFERROR(VLOOKUP($B200,'Slutlig allokering kvv'!$B$2:$BX$550,MATCH(W$2,'Slutlig allokering kvv'!$B$1:$BX$1,0),FALSE)/1,0))</f>
        <v>0</v>
      </c>
      <c r="X200" s="31">
        <f>IF($D200="","",IFERROR(VLOOKUP($B200,Kraftvärmeprod!$B$1:$BX$550,MATCH(X$2,Kraftvärmeprod!$B$1:$VX$1,0),FALSE)/1,0)-IFERROR(VLOOKUP($B200,'Slutlig allokering kvv'!$B$2:$BX$550,MATCH(X$2,'Slutlig allokering kvv'!$B$1:$BX$1,0),FALSE)/1,0))</f>
        <v>0</v>
      </c>
      <c r="Y200" s="31">
        <f>IF($D200="","",IFERROR(VLOOKUP($B200,Kraftvärmeprod!$B$1:$BX$550,MATCH(Y$2,Kraftvärmeprod!$B$1:$VX$1,0),FALSE)/1,0)-IFERROR(VLOOKUP($B200,'Slutlig allokering kvv'!$B$2:$BX$550,MATCH(Y$2,'Slutlig allokering kvv'!$B$1:$BX$1,0),FALSE)/1,0))</f>
        <v>0</v>
      </c>
      <c r="Z200" s="31">
        <f>IF($D200="","",IFERROR(VLOOKUP($B200,Kraftvärmeprod!$B$1:$BX$550,MATCH(Z$2,Kraftvärmeprod!$B$1:$VX$1,0),FALSE)/1,0)-IFERROR(VLOOKUP($B200,'Slutlig allokering kvv'!$B$2:$BX$550,MATCH(Z$2,'Slutlig allokering kvv'!$B$1:$BX$1,0),FALSE)/1,0))</f>
        <v>0</v>
      </c>
      <c r="AA200" s="31">
        <f>IF($D200="","",IFERROR(VLOOKUP($B200,Kraftvärmeprod!$B$1:$BX$550,MATCH(AA$2,Kraftvärmeprod!$B$1:$VX$1,0),FALSE)/1,0)-IFERROR(VLOOKUP($B200,'Slutlig allokering kvv'!$B$2:$BX$550,MATCH(AA$2,'Slutlig allokering kvv'!$B$1:$BX$1,0),FALSE)/1,0))</f>
        <v>45.997</v>
      </c>
      <c r="AB200" s="31">
        <f>IF($D200="","",IFERROR(VLOOKUP($B200,Kraftvärmeprod!$B$1:$BX$550,MATCH(AB$2,Kraftvärmeprod!$B$1:$VX$1,0),FALSE)/1,0)-IFERROR(VLOOKUP($B200,'Slutlig allokering kvv'!$B$2:$BX$550,MATCH(AB$2,'Slutlig allokering kvv'!$B$1:$BX$1,0),FALSE)/1,0))</f>
        <v>0</v>
      </c>
      <c r="AC200" s="31">
        <f>IF($D200="","",IFERROR(VLOOKUP($B200,Kraftvärmeprod!$B$1:$BX$550,MATCH(AC$2,Kraftvärmeprod!$B$1:$VX$1,0),FALSE)/1,0)-IFERROR(VLOOKUP($B200,'Slutlig allokering kvv'!$B$2:$BX$550,MATCH(AC$2,'Slutlig allokering kvv'!$B$1:$BX$1,0),FALSE)/1,0))</f>
        <v>0</v>
      </c>
      <c r="AD200" s="31">
        <f>IF($D200="","",IFERROR(VLOOKUP($B200,Kraftvärmeprod!$B$1:$BX$550,MATCH(AD$2,Kraftvärmeprod!$B$1:$VX$1,0),FALSE)/1,0)-IFERROR(VLOOKUP($B200,'Slutlig allokering kvv'!$B$2:$BX$550,MATCH(AD$2,'Slutlig allokering kvv'!$B$1:$BX$1,0),FALSE)/1,0))</f>
        <v>0</v>
      </c>
      <c r="AE200" s="31">
        <f>IF($D200="","",IFERROR(VLOOKUP($B200,Miljö!$B$1:$E$550,MATCH("Hjälpel kraftvärme (GWh)",Miljö!$B$1:$E$1,0),FALSE)/1,0)-IFERROR(VLOOKUP($B200,'Slutlig allokering kvv'!$B$2:$BX$549,MATCH(AE$2,'Slutlig allokering kvv'!$B$1:$BX$1,0),FALSE)/1,0))</f>
        <v>2.2962100000000003</v>
      </c>
      <c r="AI200" s="39">
        <f t="shared" si="12"/>
        <v>60.079699999999995</v>
      </c>
      <c r="AK200" s="31">
        <f>IFERROR(VLOOKUP($B200,'Slutlig allokering kvv'!$B$2:$AX$549,MATCH("Summa slutlig allokerad tillförd energi (utan hjälpel och rökgaskondensering):",'Slutlig allokering kvv'!$B$1:$AX$1,0),FALSE)/1,"")</f>
        <v>170.1703</v>
      </c>
      <c r="AM200" s="31">
        <f>IFERROR(1-VLOOKUP($B200,'Slutlig allokering kvv'!$B$2:$AX$549,MATCH("Andel av bränsle i kvv som allokerats till värme, exklusive rökgaskondensering och hjälpel",'Slutlig allokering kvv'!$B$1:$AX$1,0),FALSE),"")</f>
        <v>0.26093246471226927</v>
      </c>
      <c r="AO200" s="31">
        <f t="shared" si="13"/>
        <v>0.26093246471226927</v>
      </c>
      <c r="AP200" s="31">
        <f t="shared" si="14"/>
        <v>0</v>
      </c>
      <c r="AR200" s="32">
        <f t="shared" si="15"/>
        <v>0.2869697612427618</v>
      </c>
    </row>
    <row r="201" spans="1:44" s="31" customFormat="1" x14ac:dyDescent="0.45">
      <c r="A201" s="31" t="s">
        <v>398</v>
      </c>
      <c r="B201" s="31" t="s">
        <v>400</v>
      </c>
      <c r="C201" s="31" t="str">
        <f>IFERROR(VLOOKUP($B201,Kraftvärmeprod!$B$1:$AH$479,MATCH(C$2,Kraftvärmeprod!$B$1:$AG$1,0),FALSE)/1,"")</f>
        <v/>
      </c>
      <c r="D201" s="31" t="str">
        <f>IFERROR(VLOOKUP($B201,Kraftvärmeprod!$B$1:$AH$479,MATCH(D$2,Kraftvärmeprod!$B$1:$AG$1,0),FALSE)/1,"")</f>
        <v/>
      </c>
      <c r="F201" s="31" t="str">
        <f>IF($D201="","",IFERROR(VLOOKUP($B201,Kraftvärmeprod!$B$1:$BX$550,MATCH(F$2,Kraftvärmeprod!$B$1:$VX$1,0),FALSE)/1,0)-IFERROR(VLOOKUP($B201,'Slutlig allokering kvv'!$B$2:$BX$550,MATCH(F$2,'Slutlig allokering kvv'!$B$1:$BX$1,0),FALSE)/1,0))</f>
        <v/>
      </c>
      <c r="G201" s="31" t="str">
        <f>IF($D201="","",IFERROR(VLOOKUP($B201,Kraftvärmeprod!$B$1:$BX$550,MATCH(G$2,Kraftvärmeprod!$B$1:$VX$1,0),FALSE)/1,0)-IFERROR(VLOOKUP($B201,'Slutlig allokering kvv'!$B$2:$BX$550,MATCH(G$2,'Slutlig allokering kvv'!$B$1:$BX$1,0),FALSE)/1,0))</f>
        <v/>
      </c>
      <c r="H201" s="31" t="str">
        <f>IF($D201="","",IFERROR(VLOOKUP($B201,Kraftvärmeprod!$B$1:$BX$550,MATCH(H$2,Kraftvärmeprod!$B$1:$VX$1,0),FALSE)/1,0)-IFERROR(VLOOKUP($B201,'Slutlig allokering kvv'!$B$2:$BX$550,MATCH(H$2,'Slutlig allokering kvv'!$B$1:$BX$1,0),FALSE)/1,0))</f>
        <v/>
      </c>
      <c r="I201" s="31" t="str">
        <f>IF($D201="","",IFERROR(VLOOKUP($B201,Kraftvärmeprod!$B$1:$BX$550,MATCH(I$2,Kraftvärmeprod!$B$1:$VX$1,0),FALSE)/1,0)-IFERROR(VLOOKUP($B201,'Slutlig allokering kvv'!$B$2:$BX$550,MATCH(I$2,'Slutlig allokering kvv'!$B$1:$BX$1,0),FALSE)/1,0))</f>
        <v/>
      </c>
      <c r="J201" s="31" t="str">
        <f>IF($D201="","",IFERROR(VLOOKUP($B201,Kraftvärmeprod!$B$1:$BX$550,MATCH(J$2,Kraftvärmeprod!$B$1:$VX$1,0),FALSE)/1,0)-IFERROR(VLOOKUP($B201,'Slutlig allokering kvv'!$B$2:$BX$550,MATCH(J$2,'Slutlig allokering kvv'!$B$1:$BX$1,0),FALSE)/1,0))</f>
        <v/>
      </c>
      <c r="K201" s="31" t="str">
        <f>IF($D201="","",IFERROR(VLOOKUP($B201,Kraftvärmeprod!$B$1:$BX$550,MATCH(K$2,Kraftvärmeprod!$B$1:$VX$1,0),FALSE)/1,0)-IFERROR(VLOOKUP($B201,'Slutlig allokering kvv'!$B$2:$BX$550,MATCH(K$2,'Slutlig allokering kvv'!$B$1:$BX$1,0),FALSE)/1,0))</f>
        <v/>
      </c>
      <c r="L201" s="31" t="str">
        <f>IF($D201="","",IFERROR(VLOOKUP($B201,Kraftvärmeprod!$B$1:$BX$550,MATCH(L$2,Kraftvärmeprod!$B$1:$VX$1,0),FALSE)/1,0)-IFERROR(VLOOKUP($B201,'Slutlig allokering kvv'!$B$2:$BX$550,MATCH(L$2,'Slutlig allokering kvv'!$B$1:$BX$1,0),FALSE)/1,0))</f>
        <v/>
      </c>
      <c r="M201" s="31" t="str">
        <f>IF($D201="","",IFERROR(VLOOKUP($B201,Kraftvärmeprod!$B$1:$BX$550,MATCH(M$2,Kraftvärmeprod!$B$1:$VX$1,0),FALSE)/1,0)-IFERROR(VLOOKUP($B201,'Slutlig allokering kvv'!$B$2:$BX$550,MATCH(M$2,'Slutlig allokering kvv'!$B$1:$BX$1,0),FALSE)/1,0))</f>
        <v/>
      </c>
      <c r="N201" s="31" t="str">
        <f>IF($D201="","",IFERROR(VLOOKUP($B201,Kraftvärmeprod!$B$1:$BX$550,MATCH(N$2,Kraftvärmeprod!$B$1:$VX$1,0),FALSE)/1,0)-IFERROR(VLOOKUP($B201,'Slutlig allokering kvv'!$B$2:$BX$550,MATCH(N$2,'Slutlig allokering kvv'!$B$1:$BX$1,0),FALSE)/1,0))</f>
        <v/>
      </c>
      <c r="O201" s="31" t="str">
        <f>IF($D201="","",IFERROR(VLOOKUP($B201,Kraftvärmeprod!$B$1:$BX$550,MATCH(O$2,Kraftvärmeprod!$B$1:$VX$1,0),FALSE)/1,0)-IFERROR(VLOOKUP($B201,'Slutlig allokering kvv'!$B$2:$BX$550,MATCH(O$2,'Slutlig allokering kvv'!$B$1:$BX$1,0),FALSE)/1,0))</f>
        <v/>
      </c>
      <c r="P201" s="31" t="str">
        <f>IF($D201="","",IFERROR(VLOOKUP($B201,Kraftvärmeprod!$B$1:$BX$550,MATCH(P$2,Kraftvärmeprod!$B$1:$VX$1,0),FALSE)/1,0)-IFERROR(VLOOKUP($B201,'Slutlig allokering kvv'!$B$2:$BX$550,MATCH(P$2,'Slutlig allokering kvv'!$B$1:$BX$1,0),FALSE)/1,0))</f>
        <v/>
      </c>
      <c r="Q201" s="31" t="str">
        <f>IF($D201="","",IFERROR(VLOOKUP($B201,Kraftvärmeprod!$B$1:$BX$550,MATCH(Q$2,Kraftvärmeprod!$B$1:$VX$1,0),FALSE)/1,0)-IFERROR(VLOOKUP($B201,'Slutlig allokering kvv'!$B$2:$BX$550,MATCH(Q$2,'Slutlig allokering kvv'!$B$1:$BX$1,0),FALSE)/1,0))</f>
        <v/>
      </c>
      <c r="R201" s="31" t="str">
        <f>IF($D201="","",IFERROR(VLOOKUP($B201,Kraftvärmeprod!$B$1:$BX$550,MATCH(R$2,Kraftvärmeprod!$B$1:$VX$1,0),FALSE)/1,0)-IFERROR(VLOOKUP($B201,'Slutlig allokering kvv'!$B$2:$BX$550,MATCH(R$2,'Slutlig allokering kvv'!$B$1:$BX$1,0),FALSE)/1,0))</f>
        <v/>
      </c>
      <c r="S201" s="31" t="str">
        <f>IF($D201="","",IFERROR(VLOOKUP($B201,Kraftvärmeprod!$B$1:$BX$550,MATCH(S$2,Kraftvärmeprod!$B$1:$VX$1,0),FALSE)/1,0)-IFERROR(VLOOKUP($B201,'Slutlig allokering kvv'!$B$2:$BX$550,MATCH(S$2,'Slutlig allokering kvv'!$B$1:$BX$1,0),FALSE)/1,0))</f>
        <v/>
      </c>
      <c r="T201" s="31" t="str">
        <f>IF($D201="","",IFERROR(VLOOKUP($B201,Kraftvärmeprod!$B$1:$BX$550,MATCH(T$2,Kraftvärmeprod!$B$1:$VX$1,0),FALSE)/1,0)-IFERROR(VLOOKUP($B201,'Slutlig allokering kvv'!$B$2:$BX$550,MATCH(T$2,'Slutlig allokering kvv'!$B$1:$BX$1,0),FALSE)/1,0))</f>
        <v/>
      </c>
      <c r="U201" s="31" t="str">
        <f>IF($D201="","",IFERROR(VLOOKUP($B201,Kraftvärmeprod!$B$1:$BX$550,MATCH(U$2,Kraftvärmeprod!$B$1:$VX$1,0),FALSE)/1,0)-IFERROR(VLOOKUP($B201,'Slutlig allokering kvv'!$B$2:$BX$550,MATCH(U$2,'Slutlig allokering kvv'!$B$1:$BX$1,0),FALSE)/1,0))</f>
        <v/>
      </c>
      <c r="V201" s="31" t="str">
        <f>IF($D201="","",IFERROR(VLOOKUP($B201,Kraftvärmeprod!$B$1:$BX$550,MATCH(V$2,Kraftvärmeprod!$B$1:$VX$1,0),FALSE)/1,0)-IFERROR(VLOOKUP($B201,'Slutlig allokering kvv'!$B$2:$BX$550,MATCH(V$2,'Slutlig allokering kvv'!$B$1:$BX$1,0),FALSE)/1,0))</f>
        <v/>
      </c>
      <c r="W201" s="31" t="str">
        <f>IF($D201="","",IFERROR(VLOOKUP($B201,Kraftvärmeprod!$B$1:$BX$550,MATCH(W$2,Kraftvärmeprod!$B$1:$VX$1,0),FALSE)/1,0)-IFERROR(VLOOKUP($B201,'Slutlig allokering kvv'!$B$2:$BX$550,MATCH(W$2,'Slutlig allokering kvv'!$B$1:$BX$1,0),FALSE)/1,0))</f>
        <v/>
      </c>
      <c r="X201" s="31" t="str">
        <f>IF($D201="","",IFERROR(VLOOKUP($B201,Kraftvärmeprod!$B$1:$BX$550,MATCH(X$2,Kraftvärmeprod!$B$1:$VX$1,0),FALSE)/1,0)-IFERROR(VLOOKUP($B201,'Slutlig allokering kvv'!$B$2:$BX$550,MATCH(X$2,'Slutlig allokering kvv'!$B$1:$BX$1,0),FALSE)/1,0))</f>
        <v/>
      </c>
      <c r="Y201" s="31" t="str">
        <f>IF($D201="","",IFERROR(VLOOKUP($B201,Kraftvärmeprod!$B$1:$BX$550,MATCH(Y$2,Kraftvärmeprod!$B$1:$VX$1,0),FALSE)/1,0)-IFERROR(VLOOKUP($B201,'Slutlig allokering kvv'!$B$2:$BX$550,MATCH(Y$2,'Slutlig allokering kvv'!$B$1:$BX$1,0),FALSE)/1,0))</f>
        <v/>
      </c>
      <c r="Z201" s="31" t="str">
        <f>IF($D201="","",IFERROR(VLOOKUP($B201,Kraftvärmeprod!$B$1:$BX$550,MATCH(Z$2,Kraftvärmeprod!$B$1:$VX$1,0),FALSE)/1,0)-IFERROR(VLOOKUP($B201,'Slutlig allokering kvv'!$B$2:$BX$550,MATCH(Z$2,'Slutlig allokering kvv'!$B$1:$BX$1,0),FALSE)/1,0))</f>
        <v/>
      </c>
      <c r="AA201" s="31" t="str">
        <f>IF($D201="","",IFERROR(VLOOKUP($B201,Kraftvärmeprod!$B$1:$BX$550,MATCH(AA$2,Kraftvärmeprod!$B$1:$VX$1,0),FALSE)/1,0)-IFERROR(VLOOKUP($B201,'Slutlig allokering kvv'!$B$2:$BX$550,MATCH(AA$2,'Slutlig allokering kvv'!$B$1:$BX$1,0),FALSE)/1,0))</f>
        <v/>
      </c>
      <c r="AB201" s="31" t="str">
        <f>IF($D201="","",IFERROR(VLOOKUP($B201,Kraftvärmeprod!$B$1:$BX$550,MATCH(AB$2,Kraftvärmeprod!$B$1:$VX$1,0),FALSE)/1,0)-IFERROR(VLOOKUP($B201,'Slutlig allokering kvv'!$B$2:$BX$550,MATCH(AB$2,'Slutlig allokering kvv'!$B$1:$BX$1,0),FALSE)/1,0))</f>
        <v/>
      </c>
      <c r="AC201" s="31" t="str">
        <f>IF($D201="","",IFERROR(VLOOKUP($B201,Kraftvärmeprod!$B$1:$BX$550,MATCH(AC$2,Kraftvärmeprod!$B$1:$VX$1,0),FALSE)/1,0)-IFERROR(VLOOKUP($B201,'Slutlig allokering kvv'!$B$2:$BX$550,MATCH(AC$2,'Slutlig allokering kvv'!$B$1:$BX$1,0),FALSE)/1,0))</f>
        <v/>
      </c>
      <c r="AD201" s="31" t="str">
        <f>IF($D201="","",IFERROR(VLOOKUP($B201,Kraftvärmeprod!$B$1:$BX$550,MATCH(AD$2,Kraftvärmeprod!$B$1:$VX$1,0),FALSE)/1,0)-IFERROR(VLOOKUP($B201,'Slutlig allokering kvv'!$B$2:$BX$550,MATCH(AD$2,'Slutlig allokering kvv'!$B$1:$BX$1,0),FALSE)/1,0))</f>
        <v/>
      </c>
      <c r="AE201" s="31" t="str">
        <f>IF($D201="","",IFERROR(VLOOKUP($B201,Miljö!$B$1:$E$550,MATCH("Hjälpel kraftvärme (GWh)",Miljö!$B$1:$E$1,0),FALSE)/1,0)-IFERROR(VLOOKUP($B201,'Slutlig allokering kvv'!$B$2:$BX$549,MATCH(AE$2,'Slutlig allokering kvv'!$B$1:$BX$1,0),FALSE)/1,0))</f>
        <v/>
      </c>
      <c r="AI201" s="39">
        <f t="shared" si="12"/>
        <v>0</v>
      </c>
      <c r="AK201" s="31">
        <f>IFERROR(VLOOKUP($B201,'Slutlig allokering kvv'!$B$2:$AX$549,MATCH("Summa slutlig allokerad tillförd energi (utan hjälpel och rökgaskondensering):",'Slutlig allokering kvv'!$B$1:$AX$1,0),FALSE)/1,"")</f>
        <v>0</v>
      </c>
      <c r="AM201" s="31" t="str">
        <f>IFERROR(1-VLOOKUP($B201,'Slutlig allokering kvv'!$B$2:$AX$549,MATCH("Andel av bränsle i kvv som allokerats till värme, exklusive rökgaskondensering och hjälpel",'Slutlig allokering kvv'!$B$1:$AX$1,0),FALSE),"")</f>
        <v/>
      </c>
      <c r="AO201" s="31" t="str">
        <f t="shared" si="13"/>
        <v/>
      </c>
      <c r="AP201" s="31" t="str">
        <f t="shared" si="14"/>
        <v/>
      </c>
      <c r="AR201" s="32" t="str">
        <f t="shared" si="15"/>
        <v/>
      </c>
    </row>
    <row r="202" spans="1:44" s="31" customFormat="1" x14ac:dyDescent="0.45">
      <c r="A202" s="31" t="s">
        <v>398</v>
      </c>
      <c r="B202" s="31" t="s">
        <v>399</v>
      </c>
      <c r="C202" s="31" t="str">
        <f>IFERROR(VLOOKUP($B202,Kraftvärmeprod!$B$1:$AH$479,MATCH(C$2,Kraftvärmeprod!$B$1:$AG$1,0),FALSE)/1,"")</f>
        <v/>
      </c>
      <c r="D202" s="31" t="str">
        <f>IFERROR(VLOOKUP($B202,Kraftvärmeprod!$B$1:$AH$479,MATCH(D$2,Kraftvärmeprod!$B$1:$AG$1,0),FALSE)/1,"")</f>
        <v/>
      </c>
      <c r="F202" s="31" t="str">
        <f>IF($D202="","",IFERROR(VLOOKUP($B202,Kraftvärmeprod!$B$1:$BX$550,MATCH(F$2,Kraftvärmeprod!$B$1:$VX$1,0),FALSE)/1,0)-IFERROR(VLOOKUP($B202,'Slutlig allokering kvv'!$B$2:$BX$550,MATCH(F$2,'Slutlig allokering kvv'!$B$1:$BX$1,0),FALSE)/1,0))</f>
        <v/>
      </c>
      <c r="G202" s="31" t="str">
        <f>IF($D202="","",IFERROR(VLOOKUP($B202,Kraftvärmeprod!$B$1:$BX$550,MATCH(G$2,Kraftvärmeprod!$B$1:$VX$1,0),FALSE)/1,0)-IFERROR(VLOOKUP($B202,'Slutlig allokering kvv'!$B$2:$BX$550,MATCH(G$2,'Slutlig allokering kvv'!$B$1:$BX$1,0),FALSE)/1,0))</f>
        <v/>
      </c>
      <c r="H202" s="31" t="str">
        <f>IF($D202="","",IFERROR(VLOOKUP($B202,Kraftvärmeprod!$B$1:$BX$550,MATCH(H$2,Kraftvärmeprod!$B$1:$VX$1,0),FALSE)/1,0)-IFERROR(VLOOKUP($B202,'Slutlig allokering kvv'!$B$2:$BX$550,MATCH(H$2,'Slutlig allokering kvv'!$B$1:$BX$1,0),FALSE)/1,0))</f>
        <v/>
      </c>
      <c r="I202" s="31" t="str">
        <f>IF($D202="","",IFERROR(VLOOKUP($B202,Kraftvärmeprod!$B$1:$BX$550,MATCH(I$2,Kraftvärmeprod!$B$1:$VX$1,0),FALSE)/1,0)-IFERROR(VLOOKUP($B202,'Slutlig allokering kvv'!$B$2:$BX$550,MATCH(I$2,'Slutlig allokering kvv'!$B$1:$BX$1,0),FALSE)/1,0))</f>
        <v/>
      </c>
      <c r="J202" s="31" t="str">
        <f>IF($D202="","",IFERROR(VLOOKUP($B202,Kraftvärmeprod!$B$1:$BX$550,MATCH(J$2,Kraftvärmeprod!$B$1:$VX$1,0),FALSE)/1,0)-IFERROR(VLOOKUP($B202,'Slutlig allokering kvv'!$B$2:$BX$550,MATCH(J$2,'Slutlig allokering kvv'!$B$1:$BX$1,0),FALSE)/1,0))</f>
        <v/>
      </c>
      <c r="K202" s="31" t="str">
        <f>IF($D202="","",IFERROR(VLOOKUP($B202,Kraftvärmeprod!$B$1:$BX$550,MATCH(K$2,Kraftvärmeprod!$B$1:$VX$1,0),FALSE)/1,0)-IFERROR(VLOOKUP($B202,'Slutlig allokering kvv'!$B$2:$BX$550,MATCH(K$2,'Slutlig allokering kvv'!$B$1:$BX$1,0),FALSE)/1,0))</f>
        <v/>
      </c>
      <c r="L202" s="31" t="str">
        <f>IF($D202="","",IFERROR(VLOOKUP($B202,Kraftvärmeprod!$B$1:$BX$550,MATCH(L$2,Kraftvärmeprod!$B$1:$VX$1,0),FALSE)/1,0)-IFERROR(VLOOKUP($B202,'Slutlig allokering kvv'!$B$2:$BX$550,MATCH(L$2,'Slutlig allokering kvv'!$B$1:$BX$1,0),FALSE)/1,0))</f>
        <v/>
      </c>
      <c r="M202" s="31" t="str">
        <f>IF($D202="","",IFERROR(VLOOKUP($B202,Kraftvärmeprod!$B$1:$BX$550,MATCH(M$2,Kraftvärmeprod!$B$1:$VX$1,0),FALSE)/1,0)-IFERROR(VLOOKUP($B202,'Slutlig allokering kvv'!$B$2:$BX$550,MATCH(M$2,'Slutlig allokering kvv'!$B$1:$BX$1,0),FALSE)/1,0))</f>
        <v/>
      </c>
      <c r="N202" s="31" t="str">
        <f>IF($D202="","",IFERROR(VLOOKUP($B202,Kraftvärmeprod!$B$1:$BX$550,MATCH(N$2,Kraftvärmeprod!$B$1:$VX$1,0),FALSE)/1,0)-IFERROR(VLOOKUP($B202,'Slutlig allokering kvv'!$B$2:$BX$550,MATCH(N$2,'Slutlig allokering kvv'!$B$1:$BX$1,0),FALSE)/1,0))</f>
        <v/>
      </c>
      <c r="O202" s="31" t="str">
        <f>IF($D202="","",IFERROR(VLOOKUP($B202,Kraftvärmeprod!$B$1:$BX$550,MATCH(O$2,Kraftvärmeprod!$B$1:$VX$1,0),FALSE)/1,0)-IFERROR(VLOOKUP($B202,'Slutlig allokering kvv'!$B$2:$BX$550,MATCH(O$2,'Slutlig allokering kvv'!$B$1:$BX$1,0),FALSE)/1,0))</f>
        <v/>
      </c>
      <c r="P202" s="31" t="str">
        <f>IF($D202="","",IFERROR(VLOOKUP($B202,Kraftvärmeprod!$B$1:$BX$550,MATCH(P$2,Kraftvärmeprod!$B$1:$VX$1,0),FALSE)/1,0)-IFERROR(VLOOKUP($B202,'Slutlig allokering kvv'!$B$2:$BX$550,MATCH(P$2,'Slutlig allokering kvv'!$B$1:$BX$1,0),FALSE)/1,0))</f>
        <v/>
      </c>
      <c r="Q202" s="31" t="str">
        <f>IF($D202="","",IFERROR(VLOOKUP($B202,Kraftvärmeprod!$B$1:$BX$550,MATCH(Q$2,Kraftvärmeprod!$B$1:$VX$1,0),FALSE)/1,0)-IFERROR(VLOOKUP($B202,'Slutlig allokering kvv'!$B$2:$BX$550,MATCH(Q$2,'Slutlig allokering kvv'!$B$1:$BX$1,0),FALSE)/1,0))</f>
        <v/>
      </c>
      <c r="R202" s="31" t="str">
        <f>IF($D202="","",IFERROR(VLOOKUP($B202,Kraftvärmeprod!$B$1:$BX$550,MATCH(R$2,Kraftvärmeprod!$B$1:$VX$1,0),FALSE)/1,0)-IFERROR(VLOOKUP($B202,'Slutlig allokering kvv'!$B$2:$BX$550,MATCH(R$2,'Slutlig allokering kvv'!$B$1:$BX$1,0),FALSE)/1,0))</f>
        <v/>
      </c>
      <c r="S202" s="31" t="str">
        <f>IF($D202="","",IFERROR(VLOOKUP($B202,Kraftvärmeprod!$B$1:$BX$550,MATCH(S$2,Kraftvärmeprod!$B$1:$VX$1,0),FALSE)/1,0)-IFERROR(VLOOKUP($B202,'Slutlig allokering kvv'!$B$2:$BX$550,MATCH(S$2,'Slutlig allokering kvv'!$B$1:$BX$1,0),FALSE)/1,0))</f>
        <v/>
      </c>
      <c r="T202" s="31" t="str">
        <f>IF($D202="","",IFERROR(VLOOKUP($B202,Kraftvärmeprod!$B$1:$BX$550,MATCH(T$2,Kraftvärmeprod!$B$1:$VX$1,0),FALSE)/1,0)-IFERROR(VLOOKUP($B202,'Slutlig allokering kvv'!$B$2:$BX$550,MATCH(T$2,'Slutlig allokering kvv'!$B$1:$BX$1,0),FALSE)/1,0))</f>
        <v/>
      </c>
      <c r="U202" s="31" t="str">
        <f>IF($D202="","",IFERROR(VLOOKUP($B202,Kraftvärmeprod!$B$1:$BX$550,MATCH(U$2,Kraftvärmeprod!$B$1:$VX$1,0),FALSE)/1,0)-IFERROR(VLOOKUP($B202,'Slutlig allokering kvv'!$B$2:$BX$550,MATCH(U$2,'Slutlig allokering kvv'!$B$1:$BX$1,0),FALSE)/1,0))</f>
        <v/>
      </c>
      <c r="V202" s="31" t="str">
        <f>IF($D202="","",IFERROR(VLOOKUP($B202,Kraftvärmeprod!$B$1:$BX$550,MATCH(V$2,Kraftvärmeprod!$B$1:$VX$1,0),FALSE)/1,0)-IFERROR(VLOOKUP($B202,'Slutlig allokering kvv'!$B$2:$BX$550,MATCH(V$2,'Slutlig allokering kvv'!$B$1:$BX$1,0),FALSE)/1,0))</f>
        <v/>
      </c>
      <c r="W202" s="31" t="str">
        <f>IF($D202="","",IFERROR(VLOOKUP($B202,Kraftvärmeprod!$B$1:$BX$550,MATCH(W$2,Kraftvärmeprod!$B$1:$VX$1,0),FALSE)/1,0)-IFERROR(VLOOKUP($B202,'Slutlig allokering kvv'!$B$2:$BX$550,MATCH(W$2,'Slutlig allokering kvv'!$B$1:$BX$1,0),FALSE)/1,0))</f>
        <v/>
      </c>
      <c r="X202" s="31" t="str">
        <f>IF($D202="","",IFERROR(VLOOKUP($B202,Kraftvärmeprod!$B$1:$BX$550,MATCH(X$2,Kraftvärmeprod!$B$1:$VX$1,0),FALSE)/1,0)-IFERROR(VLOOKUP($B202,'Slutlig allokering kvv'!$B$2:$BX$550,MATCH(X$2,'Slutlig allokering kvv'!$B$1:$BX$1,0),FALSE)/1,0))</f>
        <v/>
      </c>
      <c r="Y202" s="31" t="str">
        <f>IF($D202="","",IFERROR(VLOOKUP($B202,Kraftvärmeprod!$B$1:$BX$550,MATCH(Y$2,Kraftvärmeprod!$B$1:$VX$1,0),FALSE)/1,0)-IFERROR(VLOOKUP($B202,'Slutlig allokering kvv'!$B$2:$BX$550,MATCH(Y$2,'Slutlig allokering kvv'!$B$1:$BX$1,0),FALSE)/1,0))</f>
        <v/>
      </c>
      <c r="Z202" s="31" t="str">
        <f>IF($D202="","",IFERROR(VLOOKUP($B202,Kraftvärmeprod!$B$1:$BX$550,MATCH(Z$2,Kraftvärmeprod!$B$1:$VX$1,0),FALSE)/1,0)-IFERROR(VLOOKUP($B202,'Slutlig allokering kvv'!$B$2:$BX$550,MATCH(Z$2,'Slutlig allokering kvv'!$B$1:$BX$1,0),FALSE)/1,0))</f>
        <v/>
      </c>
      <c r="AA202" s="31" t="str">
        <f>IF($D202="","",IFERROR(VLOOKUP($B202,Kraftvärmeprod!$B$1:$BX$550,MATCH(AA$2,Kraftvärmeprod!$B$1:$VX$1,0),FALSE)/1,0)-IFERROR(VLOOKUP($B202,'Slutlig allokering kvv'!$B$2:$BX$550,MATCH(AA$2,'Slutlig allokering kvv'!$B$1:$BX$1,0),FALSE)/1,0))</f>
        <v/>
      </c>
      <c r="AB202" s="31" t="str">
        <f>IF($D202="","",IFERROR(VLOOKUP($B202,Kraftvärmeprod!$B$1:$BX$550,MATCH(AB$2,Kraftvärmeprod!$B$1:$VX$1,0),FALSE)/1,0)-IFERROR(VLOOKUP($B202,'Slutlig allokering kvv'!$B$2:$BX$550,MATCH(AB$2,'Slutlig allokering kvv'!$B$1:$BX$1,0),FALSE)/1,0))</f>
        <v/>
      </c>
      <c r="AC202" s="31" t="str">
        <f>IF($D202="","",IFERROR(VLOOKUP($B202,Kraftvärmeprod!$B$1:$BX$550,MATCH(AC$2,Kraftvärmeprod!$B$1:$VX$1,0),FALSE)/1,0)-IFERROR(VLOOKUP($B202,'Slutlig allokering kvv'!$B$2:$BX$550,MATCH(AC$2,'Slutlig allokering kvv'!$B$1:$BX$1,0),FALSE)/1,0))</f>
        <v/>
      </c>
      <c r="AD202" s="31" t="str">
        <f>IF($D202="","",IFERROR(VLOOKUP($B202,Kraftvärmeprod!$B$1:$BX$550,MATCH(AD$2,Kraftvärmeprod!$B$1:$VX$1,0),FALSE)/1,0)-IFERROR(VLOOKUP($B202,'Slutlig allokering kvv'!$B$2:$BX$550,MATCH(AD$2,'Slutlig allokering kvv'!$B$1:$BX$1,0),FALSE)/1,0))</f>
        <v/>
      </c>
      <c r="AE202" s="31" t="str">
        <f>IF($D202="","",IFERROR(VLOOKUP($B202,Miljö!$B$1:$E$550,MATCH("Hjälpel kraftvärme (GWh)",Miljö!$B$1:$E$1,0),FALSE)/1,0)-IFERROR(VLOOKUP($B202,'Slutlig allokering kvv'!$B$2:$BX$549,MATCH(AE$2,'Slutlig allokering kvv'!$B$1:$BX$1,0),FALSE)/1,0))</f>
        <v/>
      </c>
      <c r="AI202" s="39">
        <f t="shared" si="12"/>
        <v>0</v>
      </c>
      <c r="AK202" s="31">
        <f>IFERROR(VLOOKUP($B202,'Slutlig allokering kvv'!$B$2:$AX$549,MATCH("Summa slutlig allokerad tillförd energi (utan hjälpel och rökgaskondensering):",'Slutlig allokering kvv'!$B$1:$AX$1,0),FALSE)/1,"")</f>
        <v>0</v>
      </c>
      <c r="AM202" s="31" t="str">
        <f>IFERROR(1-VLOOKUP($B202,'Slutlig allokering kvv'!$B$2:$AX$549,MATCH("Andel av bränsle i kvv som allokerats till värme, exklusive rökgaskondensering och hjälpel",'Slutlig allokering kvv'!$B$1:$AX$1,0),FALSE),"")</f>
        <v/>
      </c>
      <c r="AO202" s="31" t="str">
        <f t="shared" si="13"/>
        <v/>
      </c>
      <c r="AP202" s="31" t="str">
        <f t="shared" si="14"/>
        <v/>
      </c>
      <c r="AR202" s="32" t="str">
        <f t="shared" si="15"/>
        <v/>
      </c>
    </row>
    <row r="203" spans="1:44" s="31" customFormat="1" x14ac:dyDescent="0.45">
      <c r="A203" s="31" t="s">
        <v>398</v>
      </c>
      <c r="B203" s="31" t="s">
        <v>397</v>
      </c>
      <c r="C203" s="31">
        <f>IFERROR(VLOOKUP($B203,Kraftvärmeprod!$B$1:$AH$479,MATCH(C$2,Kraftvärmeprod!$B$1:$AG$1,0),FALSE)/1,"")</f>
        <v>94.75</v>
      </c>
      <c r="D203" s="31">
        <f>IFERROR(VLOOKUP($B203,Kraftvärmeprod!$B$1:$AH$479,MATCH(D$2,Kraftvärmeprod!$B$1:$AG$1,0),FALSE)/1,"")</f>
        <v>30.17</v>
      </c>
      <c r="F203" s="31">
        <f>IF($D203="","",IFERROR(VLOOKUP($B203,Kraftvärmeprod!$B$1:$BX$550,MATCH(F$2,Kraftvärmeprod!$B$1:$VX$1,0),FALSE)/1,0)-IFERROR(VLOOKUP($B203,'Slutlig allokering kvv'!$B$2:$BX$550,MATCH(F$2,'Slutlig allokering kvv'!$B$1:$BX$1,0),FALSE)/1,0))</f>
        <v>0</v>
      </c>
      <c r="G203" s="31">
        <f>IF($D203="","",IFERROR(VLOOKUP($B203,Kraftvärmeprod!$B$1:$BX$550,MATCH(G$2,Kraftvärmeprod!$B$1:$VX$1,0),FALSE)/1,0)-IFERROR(VLOOKUP($B203,'Slutlig allokering kvv'!$B$2:$BX$550,MATCH(G$2,'Slutlig allokering kvv'!$B$1:$BX$1,0),FALSE)/1,0))</f>
        <v>0</v>
      </c>
      <c r="H203" s="31">
        <f>IF($D203="","",IFERROR(VLOOKUP($B203,Kraftvärmeprod!$B$1:$BX$550,MATCH(H$2,Kraftvärmeprod!$B$1:$VX$1,0),FALSE)/1,0)-IFERROR(VLOOKUP($B203,'Slutlig allokering kvv'!$B$2:$BX$550,MATCH(H$2,'Slutlig allokering kvv'!$B$1:$BX$1,0),FALSE)/1,0))</f>
        <v>0</v>
      </c>
      <c r="I203" s="31">
        <f>IF($D203="","",IFERROR(VLOOKUP($B203,Kraftvärmeprod!$B$1:$BX$550,MATCH(I$2,Kraftvärmeprod!$B$1:$VX$1,0),FALSE)/1,0)-IFERROR(VLOOKUP($B203,'Slutlig allokering kvv'!$B$2:$BX$550,MATCH(I$2,'Slutlig allokering kvv'!$B$1:$BX$1,0),FALSE)/1,0))</f>
        <v>0</v>
      </c>
      <c r="J203" s="31">
        <f>IF($D203="","",IFERROR(VLOOKUP($B203,Kraftvärmeprod!$B$1:$BX$550,MATCH(J$2,Kraftvärmeprod!$B$1:$VX$1,0),FALSE)/1,0)-IFERROR(VLOOKUP($B203,'Slutlig allokering kvv'!$B$2:$BX$550,MATCH(J$2,'Slutlig allokering kvv'!$B$1:$BX$1,0),FALSE)/1,0))</f>
        <v>0</v>
      </c>
      <c r="K203" s="31">
        <f>IF($D203="","",IFERROR(VLOOKUP($B203,Kraftvärmeprod!$B$1:$BX$550,MATCH(K$2,Kraftvärmeprod!$B$1:$VX$1,0),FALSE)/1,0)-IFERROR(VLOOKUP($B203,'Slutlig allokering kvv'!$B$2:$BX$550,MATCH(K$2,'Slutlig allokering kvv'!$B$1:$BX$1,0),FALSE)/1,0))</f>
        <v>0</v>
      </c>
      <c r="L203" s="31">
        <f>IF($D203="","",IFERROR(VLOOKUP($B203,Kraftvärmeprod!$B$1:$BX$550,MATCH(L$2,Kraftvärmeprod!$B$1:$VX$1,0),FALSE)/1,0)-IFERROR(VLOOKUP($B203,'Slutlig allokering kvv'!$B$2:$BX$550,MATCH(L$2,'Slutlig allokering kvv'!$B$1:$BX$1,0),FALSE)/1,0))</f>
        <v>66.605000000000004</v>
      </c>
      <c r="M203" s="31">
        <f>IF($D203="","",IFERROR(VLOOKUP($B203,Kraftvärmeprod!$B$1:$BX$550,MATCH(M$2,Kraftvärmeprod!$B$1:$VX$1,0),FALSE)/1,0)-IFERROR(VLOOKUP($B203,'Slutlig allokering kvv'!$B$2:$BX$550,MATCH(M$2,'Slutlig allokering kvv'!$B$1:$BX$1,0),FALSE)/1,0))</f>
        <v>0</v>
      </c>
      <c r="N203" s="31">
        <f>IF($D203="","",IFERROR(VLOOKUP($B203,Kraftvärmeprod!$B$1:$BX$550,MATCH(N$2,Kraftvärmeprod!$B$1:$VX$1,0),FALSE)/1,0)-IFERROR(VLOOKUP($B203,'Slutlig allokering kvv'!$B$2:$BX$550,MATCH(N$2,'Slutlig allokering kvv'!$B$1:$BX$1,0),FALSE)/1,0))</f>
        <v>0</v>
      </c>
      <c r="O203" s="31">
        <f>IF($D203="","",IFERROR(VLOOKUP($B203,Kraftvärmeprod!$B$1:$BX$550,MATCH(O$2,Kraftvärmeprod!$B$1:$VX$1,0),FALSE)/1,0)-IFERROR(VLOOKUP($B203,'Slutlig allokering kvv'!$B$2:$BX$550,MATCH(O$2,'Slutlig allokering kvv'!$B$1:$BX$1,0),FALSE)/1,0))</f>
        <v>0</v>
      </c>
      <c r="P203" s="31">
        <f>IF($D203="","",IFERROR(VLOOKUP($B203,Kraftvärmeprod!$B$1:$BX$550,MATCH(P$2,Kraftvärmeprod!$B$1:$VX$1,0),FALSE)/1,0)-IFERROR(VLOOKUP($B203,'Slutlig allokering kvv'!$B$2:$BX$550,MATCH(P$2,'Slutlig allokering kvv'!$B$1:$BX$1,0),FALSE)/1,0))</f>
        <v>0</v>
      </c>
      <c r="Q203" s="31">
        <f>IF($D203="","",IFERROR(VLOOKUP($B203,Kraftvärmeprod!$B$1:$BX$550,MATCH(Q$2,Kraftvärmeprod!$B$1:$VX$1,0),FALSE)/1,0)-IFERROR(VLOOKUP($B203,'Slutlig allokering kvv'!$B$2:$BX$550,MATCH(Q$2,'Slutlig allokering kvv'!$B$1:$BX$1,0),FALSE)/1,0))</f>
        <v>0</v>
      </c>
      <c r="R203" s="31">
        <f>IF($D203="","",IFERROR(VLOOKUP($B203,Kraftvärmeprod!$B$1:$BX$550,MATCH(R$2,Kraftvärmeprod!$B$1:$VX$1,0),FALSE)/1,0)-IFERROR(VLOOKUP($B203,'Slutlig allokering kvv'!$B$2:$BX$550,MATCH(R$2,'Slutlig allokering kvv'!$B$1:$BX$1,0),FALSE)/1,0))</f>
        <v>0</v>
      </c>
      <c r="S203" s="31">
        <f>IF($D203="","",IFERROR(VLOOKUP($B203,Kraftvärmeprod!$B$1:$BX$550,MATCH(S$2,Kraftvärmeprod!$B$1:$VX$1,0),FALSE)/1,0)-IFERROR(VLOOKUP($B203,'Slutlig allokering kvv'!$B$2:$BX$550,MATCH(S$2,'Slutlig allokering kvv'!$B$1:$BX$1,0),FALSE)/1,0))</f>
        <v>0</v>
      </c>
      <c r="T203" s="31">
        <f>IF($D203="","",IFERROR(VLOOKUP($B203,Kraftvärmeprod!$B$1:$BX$550,MATCH(T$2,Kraftvärmeprod!$B$1:$VX$1,0),FALSE)/1,0)-IFERROR(VLOOKUP($B203,'Slutlig allokering kvv'!$B$2:$BX$550,MATCH(T$2,'Slutlig allokering kvv'!$B$1:$BX$1,0),FALSE)/1,0))</f>
        <v>0</v>
      </c>
      <c r="U203" s="31">
        <f>IF($D203="","",IFERROR(VLOOKUP($B203,Kraftvärmeprod!$B$1:$BX$550,MATCH(U$2,Kraftvärmeprod!$B$1:$VX$1,0),FALSE)/1,0)-IFERROR(VLOOKUP($B203,'Slutlig allokering kvv'!$B$2:$BX$550,MATCH(U$2,'Slutlig allokering kvv'!$B$1:$BX$1,0),FALSE)/1,0))</f>
        <v>0</v>
      </c>
      <c r="V203" s="31">
        <f>IF($D203="","",IFERROR(VLOOKUP($B203,Kraftvärmeprod!$B$1:$BX$550,MATCH(V$2,Kraftvärmeprod!$B$1:$VX$1,0),FALSE)/1,0)-IFERROR(VLOOKUP($B203,'Slutlig allokering kvv'!$B$2:$BX$550,MATCH(V$2,'Slutlig allokering kvv'!$B$1:$BX$1,0),FALSE)/1,0))</f>
        <v>0</v>
      </c>
      <c r="W203" s="31">
        <f>IF($D203="","",IFERROR(VLOOKUP($B203,Kraftvärmeprod!$B$1:$BX$550,MATCH(W$2,Kraftvärmeprod!$B$1:$VX$1,0),FALSE)/1,0)-IFERROR(VLOOKUP($B203,'Slutlig allokering kvv'!$B$2:$BX$550,MATCH(W$2,'Slutlig allokering kvv'!$B$1:$BX$1,0),FALSE)/1,0))</f>
        <v>0</v>
      </c>
      <c r="X203" s="31">
        <f>IF($D203="","",IFERROR(VLOOKUP($B203,Kraftvärmeprod!$B$1:$BX$550,MATCH(X$2,Kraftvärmeprod!$B$1:$VX$1,0),FALSE)/1,0)-IFERROR(VLOOKUP($B203,'Slutlig allokering kvv'!$B$2:$BX$550,MATCH(X$2,'Slutlig allokering kvv'!$B$1:$BX$1,0),FALSE)/1,0))</f>
        <v>0</v>
      </c>
      <c r="Y203" s="31">
        <f>IF($D203="","",IFERROR(VLOOKUP($B203,Kraftvärmeprod!$B$1:$BX$550,MATCH(Y$2,Kraftvärmeprod!$B$1:$VX$1,0),FALSE)/1,0)-IFERROR(VLOOKUP($B203,'Slutlig allokering kvv'!$B$2:$BX$550,MATCH(Y$2,'Slutlig allokering kvv'!$B$1:$BX$1,0),FALSE)/1,0))</f>
        <v>0</v>
      </c>
      <c r="Z203" s="31">
        <f>IF($D203="","",IFERROR(VLOOKUP($B203,Kraftvärmeprod!$B$1:$BX$550,MATCH(Z$2,Kraftvärmeprod!$B$1:$VX$1,0),FALSE)/1,0)-IFERROR(VLOOKUP($B203,'Slutlig allokering kvv'!$B$2:$BX$550,MATCH(Z$2,'Slutlig allokering kvv'!$B$1:$BX$1,0),FALSE)/1,0))</f>
        <v>0</v>
      </c>
      <c r="AA203" s="31">
        <f>IF($D203="","",IFERROR(VLOOKUP($B203,Kraftvärmeprod!$B$1:$BX$550,MATCH(AA$2,Kraftvärmeprod!$B$1:$VX$1,0),FALSE)/1,0)-IFERROR(VLOOKUP($B203,'Slutlig allokering kvv'!$B$2:$BX$550,MATCH(AA$2,'Slutlig allokering kvv'!$B$1:$BX$1,0),FALSE)/1,0))</f>
        <v>0</v>
      </c>
      <c r="AB203" s="31">
        <f>IF($D203="","",IFERROR(VLOOKUP($B203,Kraftvärmeprod!$B$1:$BX$550,MATCH(AB$2,Kraftvärmeprod!$B$1:$VX$1,0),FALSE)/1,0)-IFERROR(VLOOKUP($B203,'Slutlig allokering kvv'!$B$2:$BX$550,MATCH(AB$2,'Slutlig allokering kvv'!$B$1:$BX$1,0),FALSE)/1,0))</f>
        <v>0</v>
      </c>
      <c r="AC203" s="31">
        <f>IF($D203="","",IFERROR(VLOOKUP($B203,Kraftvärmeprod!$B$1:$BX$550,MATCH(AC$2,Kraftvärmeprod!$B$1:$VX$1,0),FALSE)/1,0)-IFERROR(VLOOKUP($B203,'Slutlig allokering kvv'!$B$2:$BX$550,MATCH(AC$2,'Slutlig allokering kvv'!$B$1:$BX$1,0),FALSE)/1,0))</f>
        <v>0</v>
      </c>
      <c r="AD203" s="31">
        <f>IF($D203="","",IFERROR(VLOOKUP($B203,Kraftvärmeprod!$B$1:$BX$550,MATCH(AD$2,Kraftvärmeprod!$B$1:$VX$1,0),FALSE)/1,0)-IFERROR(VLOOKUP($B203,'Slutlig allokering kvv'!$B$2:$BX$550,MATCH(AD$2,'Slutlig allokering kvv'!$B$1:$BX$1,0),FALSE)/1,0))</f>
        <v>0</v>
      </c>
      <c r="AE203" s="31">
        <f>IF($D203="","",IFERROR(VLOOKUP($B203,Miljö!$B$1:$E$550,MATCH("Hjälpel kraftvärme (GWh)",Miljö!$B$1:$E$1,0),FALSE)/1,0)-IFERROR(VLOOKUP($B203,'Slutlig allokering kvv'!$B$2:$BX$549,MATCH(AE$2,'Slutlig allokering kvv'!$B$1:$BX$1,0),FALSE)/1,0))</f>
        <v>2.5980799999999999</v>
      </c>
      <c r="AI203" s="39">
        <f t="shared" si="12"/>
        <v>66.605000000000004</v>
      </c>
      <c r="AK203" s="31">
        <f>IFERROR(VLOOKUP($B203,'Slutlig allokering kvv'!$B$2:$AX$549,MATCH("Summa slutlig allokerad tillförd energi (utan hjälpel och rökgaskondensering):",'Slutlig allokering kvv'!$B$1:$AX$1,0),FALSE)/1,"")</f>
        <v>80.264999999999986</v>
      </c>
      <c r="AM203" s="31">
        <f>IFERROR(1-VLOOKUP($B203,'Slutlig allokering kvv'!$B$2:$AX$549,MATCH("Andel av bränsle i kvv som allokerats till värme, exklusive rökgaskondensering och hjälpel",'Slutlig allokering kvv'!$B$1:$AX$1,0),FALSE),"")</f>
        <v>0.45349628923537832</v>
      </c>
      <c r="AO203" s="31">
        <f t="shared" si="13"/>
        <v>0.45349628923537821</v>
      </c>
      <c r="AP203" s="31">
        <f t="shared" si="14"/>
        <v>1.1102230246251565E-16</v>
      </c>
      <c r="AR203" s="32">
        <f t="shared" si="15"/>
        <v>0.43596325481467013</v>
      </c>
    </row>
    <row r="204" spans="1:44" s="31" customFormat="1" x14ac:dyDescent="0.45">
      <c r="A204" s="31" t="s">
        <v>396</v>
      </c>
      <c r="B204" s="31" t="s">
        <v>395</v>
      </c>
      <c r="C204" s="31" t="str">
        <f>IFERROR(VLOOKUP($B204,Kraftvärmeprod!$B$1:$AH$479,MATCH(C$2,Kraftvärmeprod!$B$1:$AG$1,0),FALSE)/1,"")</f>
        <v/>
      </c>
      <c r="D204" s="31" t="str">
        <f>IFERROR(VLOOKUP($B204,Kraftvärmeprod!$B$1:$AH$479,MATCH(D$2,Kraftvärmeprod!$B$1:$AG$1,0),FALSE)/1,"")</f>
        <v/>
      </c>
      <c r="F204" s="31" t="str">
        <f>IF($D204="","",IFERROR(VLOOKUP($B204,Kraftvärmeprod!$B$1:$BX$550,MATCH(F$2,Kraftvärmeprod!$B$1:$VX$1,0),FALSE)/1,0)-IFERROR(VLOOKUP($B204,'Slutlig allokering kvv'!$B$2:$BX$550,MATCH(F$2,'Slutlig allokering kvv'!$B$1:$BX$1,0),FALSE)/1,0))</f>
        <v/>
      </c>
      <c r="G204" s="31" t="str">
        <f>IF($D204="","",IFERROR(VLOOKUP($B204,Kraftvärmeprod!$B$1:$BX$550,MATCH(G$2,Kraftvärmeprod!$B$1:$VX$1,0),FALSE)/1,0)-IFERROR(VLOOKUP($B204,'Slutlig allokering kvv'!$B$2:$BX$550,MATCH(G$2,'Slutlig allokering kvv'!$B$1:$BX$1,0),FALSE)/1,0))</f>
        <v/>
      </c>
      <c r="H204" s="31" t="str">
        <f>IF($D204="","",IFERROR(VLOOKUP($B204,Kraftvärmeprod!$B$1:$BX$550,MATCH(H$2,Kraftvärmeprod!$B$1:$VX$1,0),FALSE)/1,0)-IFERROR(VLOOKUP($B204,'Slutlig allokering kvv'!$B$2:$BX$550,MATCH(H$2,'Slutlig allokering kvv'!$B$1:$BX$1,0),FALSE)/1,0))</f>
        <v/>
      </c>
      <c r="I204" s="31" t="str">
        <f>IF($D204="","",IFERROR(VLOOKUP($B204,Kraftvärmeprod!$B$1:$BX$550,MATCH(I$2,Kraftvärmeprod!$B$1:$VX$1,0),FALSE)/1,0)-IFERROR(VLOOKUP($B204,'Slutlig allokering kvv'!$B$2:$BX$550,MATCH(I$2,'Slutlig allokering kvv'!$B$1:$BX$1,0),FALSE)/1,0))</f>
        <v/>
      </c>
      <c r="J204" s="31" t="str">
        <f>IF($D204="","",IFERROR(VLOOKUP($B204,Kraftvärmeprod!$B$1:$BX$550,MATCH(J$2,Kraftvärmeprod!$B$1:$VX$1,0),FALSE)/1,0)-IFERROR(VLOOKUP($B204,'Slutlig allokering kvv'!$B$2:$BX$550,MATCH(J$2,'Slutlig allokering kvv'!$B$1:$BX$1,0),FALSE)/1,0))</f>
        <v/>
      </c>
      <c r="K204" s="31" t="str">
        <f>IF($D204="","",IFERROR(VLOOKUP($B204,Kraftvärmeprod!$B$1:$BX$550,MATCH(K$2,Kraftvärmeprod!$B$1:$VX$1,0),FALSE)/1,0)-IFERROR(VLOOKUP($B204,'Slutlig allokering kvv'!$B$2:$BX$550,MATCH(K$2,'Slutlig allokering kvv'!$B$1:$BX$1,0),FALSE)/1,0))</f>
        <v/>
      </c>
      <c r="L204" s="31" t="str">
        <f>IF($D204="","",IFERROR(VLOOKUP($B204,Kraftvärmeprod!$B$1:$BX$550,MATCH(L$2,Kraftvärmeprod!$B$1:$VX$1,0),FALSE)/1,0)-IFERROR(VLOOKUP($B204,'Slutlig allokering kvv'!$B$2:$BX$550,MATCH(L$2,'Slutlig allokering kvv'!$B$1:$BX$1,0),FALSE)/1,0))</f>
        <v/>
      </c>
      <c r="M204" s="31" t="str">
        <f>IF($D204="","",IFERROR(VLOOKUP($B204,Kraftvärmeprod!$B$1:$BX$550,MATCH(M$2,Kraftvärmeprod!$B$1:$VX$1,0),FALSE)/1,0)-IFERROR(VLOOKUP($B204,'Slutlig allokering kvv'!$B$2:$BX$550,MATCH(M$2,'Slutlig allokering kvv'!$B$1:$BX$1,0),FALSE)/1,0))</f>
        <v/>
      </c>
      <c r="N204" s="31" t="str">
        <f>IF($D204="","",IFERROR(VLOOKUP($B204,Kraftvärmeprod!$B$1:$BX$550,MATCH(N$2,Kraftvärmeprod!$B$1:$VX$1,0),FALSE)/1,0)-IFERROR(VLOOKUP($B204,'Slutlig allokering kvv'!$B$2:$BX$550,MATCH(N$2,'Slutlig allokering kvv'!$B$1:$BX$1,0),FALSE)/1,0))</f>
        <v/>
      </c>
      <c r="O204" s="31" t="str">
        <f>IF($D204="","",IFERROR(VLOOKUP($B204,Kraftvärmeprod!$B$1:$BX$550,MATCH(O$2,Kraftvärmeprod!$B$1:$VX$1,0),FALSE)/1,0)-IFERROR(VLOOKUP($B204,'Slutlig allokering kvv'!$B$2:$BX$550,MATCH(O$2,'Slutlig allokering kvv'!$B$1:$BX$1,0),FALSE)/1,0))</f>
        <v/>
      </c>
      <c r="P204" s="31" t="str">
        <f>IF($D204="","",IFERROR(VLOOKUP($B204,Kraftvärmeprod!$B$1:$BX$550,MATCH(P$2,Kraftvärmeprod!$B$1:$VX$1,0),FALSE)/1,0)-IFERROR(VLOOKUP($B204,'Slutlig allokering kvv'!$B$2:$BX$550,MATCH(P$2,'Slutlig allokering kvv'!$B$1:$BX$1,0),FALSE)/1,0))</f>
        <v/>
      </c>
      <c r="Q204" s="31" t="str">
        <f>IF($D204="","",IFERROR(VLOOKUP($B204,Kraftvärmeprod!$B$1:$BX$550,MATCH(Q$2,Kraftvärmeprod!$B$1:$VX$1,0),FALSE)/1,0)-IFERROR(VLOOKUP($B204,'Slutlig allokering kvv'!$B$2:$BX$550,MATCH(Q$2,'Slutlig allokering kvv'!$B$1:$BX$1,0),FALSE)/1,0))</f>
        <v/>
      </c>
      <c r="R204" s="31" t="str">
        <f>IF($D204="","",IFERROR(VLOOKUP($B204,Kraftvärmeprod!$B$1:$BX$550,MATCH(R$2,Kraftvärmeprod!$B$1:$VX$1,0),FALSE)/1,0)-IFERROR(VLOOKUP($B204,'Slutlig allokering kvv'!$B$2:$BX$550,MATCH(R$2,'Slutlig allokering kvv'!$B$1:$BX$1,0),FALSE)/1,0))</f>
        <v/>
      </c>
      <c r="S204" s="31" t="str">
        <f>IF($D204="","",IFERROR(VLOOKUP($B204,Kraftvärmeprod!$B$1:$BX$550,MATCH(S$2,Kraftvärmeprod!$B$1:$VX$1,0),FALSE)/1,0)-IFERROR(VLOOKUP($B204,'Slutlig allokering kvv'!$B$2:$BX$550,MATCH(S$2,'Slutlig allokering kvv'!$B$1:$BX$1,0),FALSE)/1,0))</f>
        <v/>
      </c>
      <c r="T204" s="31" t="str">
        <f>IF($D204="","",IFERROR(VLOOKUP($B204,Kraftvärmeprod!$B$1:$BX$550,MATCH(T$2,Kraftvärmeprod!$B$1:$VX$1,0),FALSE)/1,0)-IFERROR(VLOOKUP($B204,'Slutlig allokering kvv'!$B$2:$BX$550,MATCH(T$2,'Slutlig allokering kvv'!$B$1:$BX$1,0),FALSE)/1,0))</f>
        <v/>
      </c>
      <c r="U204" s="31" t="str">
        <f>IF($D204="","",IFERROR(VLOOKUP($B204,Kraftvärmeprod!$B$1:$BX$550,MATCH(U$2,Kraftvärmeprod!$B$1:$VX$1,0),FALSE)/1,0)-IFERROR(VLOOKUP($B204,'Slutlig allokering kvv'!$B$2:$BX$550,MATCH(U$2,'Slutlig allokering kvv'!$B$1:$BX$1,0),FALSE)/1,0))</f>
        <v/>
      </c>
      <c r="V204" s="31" t="str">
        <f>IF($D204="","",IFERROR(VLOOKUP($B204,Kraftvärmeprod!$B$1:$BX$550,MATCH(V$2,Kraftvärmeprod!$B$1:$VX$1,0),FALSE)/1,0)-IFERROR(VLOOKUP($B204,'Slutlig allokering kvv'!$B$2:$BX$550,MATCH(V$2,'Slutlig allokering kvv'!$B$1:$BX$1,0),FALSE)/1,0))</f>
        <v/>
      </c>
      <c r="W204" s="31" t="str">
        <f>IF($D204="","",IFERROR(VLOOKUP($B204,Kraftvärmeprod!$B$1:$BX$550,MATCH(W$2,Kraftvärmeprod!$B$1:$VX$1,0),FALSE)/1,0)-IFERROR(VLOOKUP($B204,'Slutlig allokering kvv'!$B$2:$BX$550,MATCH(W$2,'Slutlig allokering kvv'!$B$1:$BX$1,0),FALSE)/1,0))</f>
        <v/>
      </c>
      <c r="X204" s="31" t="str">
        <f>IF($D204="","",IFERROR(VLOOKUP($B204,Kraftvärmeprod!$B$1:$BX$550,MATCH(X$2,Kraftvärmeprod!$B$1:$VX$1,0),FALSE)/1,0)-IFERROR(VLOOKUP($B204,'Slutlig allokering kvv'!$B$2:$BX$550,MATCH(X$2,'Slutlig allokering kvv'!$B$1:$BX$1,0),FALSE)/1,0))</f>
        <v/>
      </c>
      <c r="Y204" s="31" t="str">
        <f>IF($D204="","",IFERROR(VLOOKUP($B204,Kraftvärmeprod!$B$1:$BX$550,MATCH(Y$2,Kraftvärmeprod!$B$1:$VX$1,0),FALSE)/1,0)-IFERROR(VLOOKUP($B204,'Slutlig allokering kvv'!$B$2:$BX$550,MATCH(Y$2,'Slutlig allokering kvv'!$B$1:$BX$1,0),FALSE)/1,0))</f>
        <v/>
      </c>
      <c r="Z204" s="31" t="str">
        <f>IF($D204="","",IFERROR(VLOOKUP($B204,Kraftvärmeprod!$B$1:$BX$550,MATCH(Z$2,Kraftvärmeprod!$B$1:$VX$1,0),FALSE)/1,0)-IFERROR(VLOOKUP($B204,'Slutlig allokering kvv'!$B$2:$BX$550,MATCH(Z$2,'Slutlig allokering kvv'!$B$1:$BX$1,0),FALSE)/1,0))</f>
        <v/>
      </c>
      <c r="AA204" s="31" t="str">
        <f>IF($D204="","",IFERROR(VLOOKUP($B204,Kraftvärmeprod!$B$1:$BX$550,MATCH(AA$2,Kraftvärmeprod!$B$1:$VX$1,0),FALSE)/1,0)-IFERROR(VLOOKUP($B204,'Slutlig allokering kvv'!$B$2:$BX$550,MATCH(AA$2,'Slutlig allokering kvv'!$B$1:$BX$1,0),FALSE)/1,0))</f>
        <v/>
      </c>
      <c r="AB204" s="31" t="str">
        <f>IF($D204="","",IFERROR(VLOOKUP($B204,Kraftvärmeprod!$B$1:$BX$550,MATCH(AB$2,Kraftvärmeprod!$B$1:$VX$1,0),FALSE)/1,0)-IFERROR(VLOOKUP($B204,'Slutlig allokering kvv'!$B$2:$BX$550,MATCH(AB$2,'Slutlig allokering kvv'!$B$1:$BX$1,0),FALSE)/1,0))</f>
        <v/>
      </c>
      <c r="AC204" s="31" t="str">
        <f>IF($D204="","",IFERROR(VLOOKUP($B204,Kraftvärmeprod!$B$1:$BX$550,MATCH(AC$2,Kraftvärmeprod!$B$1:$VX$1,0),FALSE)/1,0)-IFERROR(VLOOKUP($B204,'Slutlig allokering kvv'!$B$2:$BX$550,MATCH(AC$2,'Slutlig allokering kvv'!$B$1:$BX$1,0),FALSE)/1,0))</f>
        <v/>
      </c>
      <c r="AD204" s="31" t="str">
        <f>IF($D204="","",IFERROR(VLOOKUP($B204,Kraftvärmeprod!$B$1:$BX$550,MATCH(AD$2,Kraftvärmeprod!$B$1:$VX$1,0),FALSE)/1,0)-IFERROR(VLOOKUP($B204,'Slutlig allokering kvv'!$B$2:$BX$550,MATCH(AD$2,'Slutlig allokering kvv'!$B$1:$BX$1,0),FALSE)/1,0))</f>
        <v/>
      </c>
      <c r="AE204" s="31" t="str">
        <f>IF($D204="","",IFERROR(VLOOKUP($B204,Miljö!$B$1:$E$550,MATCH("Hjälpel kraftvärme (GWh)",Miljö!$B$1:$E$1,0),FALSE)/1,0)-IFERROR(VLOOKUP($B204,'Slutlig allokering kvv'!$B$2:$BX$549,MATCH(AE$2,'Slutlig allokering kvv'!$B$1:$BX$1,0),FALSE)/1,0))</f>
        <v/>
      </c>
      <c r="AI204" s="39">
        <f t="shared" si="12"/>
        <v>0</v>
      </c>
      <c r="AK204" s="31">
        <f>IFERROR(VLOOKUP($B204,'Slutlig allokering kvv'!$B$2:$AX$549,MATCH("Summa slutlig allokerad tillförd energi (utan hjälpel och rökgaskondensering):",'Slutlig allokering kvv'!$B$1:$AX$1,0),FALSE)/1,"")</f>
        <v>0</v>
      </c>
      <c r="AM204" s="31" t="str">
        <f>IFERROR(1-VLOOKUP($B204,'Slutlig allokering kvv'!$B$2:$AX$549,MATCH("Andel av bränsle i kvv som allokerats till värme, exklusive rökgaskondensering och hjälpel",'Slutlig allokering kvv'!$B$1:$AX$1,0),FALSE),"")</f>
        <v/>
      </c>
      <c r="AO204" s="31" t="str">
        <f t="shared" si="13"/>
        <v/>
      </c>
      <c r="AP204" s="31" t="str">
        <f t="shared" si="14"/>
        <v/>
      </c>
      <c r="AR204" s="32" t="str">
        <f t="shared" si="15"/>
        <v/>
      </c>
    </row>
    <row r="205" spans="1:44" s="31" customFormat="1" x14ac:dyDescent="0.45">
      <c r="A205" s="31" t="s">
        <v>391</v>
      </c>
      <c r="B205" s="31" t="s">
        <v>390</v>
      </c>
      <c r="C205" s="31">
        <f>IFERROR(VLOOKUP($B205,Kraftvärmeprod!$B$1:$AH$479,MATCH(C$2,Kraftvärmeprod!$B$1:$AG$1,0),FALSE)/1,"")</f>
        <v>81.7</v>
      </c>
      <c r="D205" s="31">
        <f>IFERROR(VLOOKUP($B205,Kraftvärmeprod!$B$1:$AH$479,MATCH(D$2,Kraftvärmeprod!$B$1:$AG$1,0),FALSE)/1,"")</f>
        <v>15</v>
      </c>
      <c r="F205" s="31">
        <f>IF($D205="","",IFERROR(VLOOKUP($B205,Kraftvärmeprod!$B$1:$BX$550,MATCH(F$2,Kraftvärmeprod!$B$1:$VX$1,0),FALSE)/1,0)-IFERROR(VLOOKUP($B205,'Slutlig allokering kvv'!$B$2:$BX$550,MATCH(F$2,'Slutlig allokering kvv'!$B$1:$BX$1,0),FALSE)/1,0))</f>
        <v>0</v>
      </c>
      <c r="G205" s="31">
        <f>IF($D205="","",IFERROR(VLOOKUP($B205,Kraftvärmeprod!$B$1:$BX$550,MATCH(G$2,Kraftvärmeprod!$B$1:$VX$1,0),FALSE)/1,0)-IFERROR(VLOOKUP($B205,'Slutlig allokering kvv'!$B$2:$BX$550,MATCH(G$2,'Slutlig allokering kvv'!$B$1:$BX$1,0),FALSE)/1,0))</f>
        <v>0</v>
      </c>
      <c r="H205" s="31">
        <f>IF($D205="","",IFERROR(VLOOKUP($B205,Kraftvärmeprod!$B$1:$BX$550,MATCH(H$2,Kraftvärmeprod!$B$1:$VX$1,0),FALSE)/1,0)-IFERROR(VLOOKUP($B205,'Slutlig allokering kvv'!$B$2:$BX$550,MATCH(H$2,'Slutlig allokering kvv'!$B$1:$BX$1,0),FALSE)/1,0))</f>
        <v>0</v>
      </c>
      <c r="I205" s="31">
        <f>IF($D205="","",IFERROR(VLOOKUP($B205,Kraftvärmeprod!$B$1:$BX$550,MATCH(I$2,Kraftvärmeprod!$B$1:$VX$1,0),FALSE)/1,0)-IFERROR(VLOOKUP($B205,'Slutlig allokering kvv'!$B$2:$BX$550,MATCH(I$2,'Slutlig allokering kvv'!$B$1:$BX$1,0),FALSE)/1,0))</f>
        <v>0</v>
      </c>
      <c r="J205" s="31">
        <f>IF($D205="","",IFERROR(VLOOKUP($B205,Kraftvärmeprod!$B$1:$BX$550,MATCH(J$2,Kraftvärmeprod!$B$1:$VX$1,0),FALSE)/1,0)-IFERROR(VLOOKUP($B205,'Slutlig allokering kvv'!$B$2:$BX$550,MATCH(J$2,'Slutlig allokering kvv'!$B$1:$BX$1,0),FALSE)/1,0))</f>
        <v>0</v>
      </c>
      <c r="K205" s="31">
        <f>IF($D205="","",IFERROR(VLOOKUP($B205,Kraftvärmeprod!$B$1:$BX$550,MATCH(K$2,Kraftvärmeprod!$B$1:$VX$1,0),FALSE)/1,0)-IFERROR(VLOOKUP($B205,'Slutlig allokering kvv'!$B$2:$BX$550,MATCH(K$2,'Slutlig allokering kvv'!$B$1:$BX$1,0),FALSE)/1,0))</f>
        <v>0</v>
      </c>
      <c r="L205" s="31">
        <f>IF($D205="","",IFERROR(VLOOKUP($B205,Kraftvärmeprod!$B$1:$BX$550,MATCH(L$2,Kraftvärmeprod!$B$1:$VX$1,0),FALSE)/1,0)-IFERROR(VLOOKUP($B205,'Slutlig allokering kvv'!$B$2:$BX$550,MATCH(L$2,'Slutlig allokering kvv'!$B$1:$BX$1,0),FALSE)/1,0))</f>
        <v>16.860800000000005</v>
      </c>
      <c r="M205" s="31">
        <f>IF($D205="","",IFERROR(VLOOKUP($B205,Kraftvärmeprod!$B$1:$BX$550,MATCH(M$2,Kraftvärmeprod!$B$1:$VX$1,0),FALSE)/1,0)-IFERROR(VLOOKUP($B205,'Slutlig allokering kvv'!$B$2:$BX$550,MATCH(M$2,'Slutlig allokering kvv'!$B$1:$BX$1,0),FALSE)/1,0))</f>
        <v>12.945</v>
      </c>
      <c r="N205" s="31">
        <f>IF($D205="","",IFERROR(VLOOKUP($B205,Kraftvärmeprod!$B$1:$BX$550,MATCH(N$2,Kraftvärmeprod!$B$1:$VX$1,0),FALSE)/1,0)-IFERROR(VLOOKUP($B205,'Slutlig allokering kvv'!$B$2:$BX$550,MATCH(N$2,'Slutlig allokering kvv'!$B$1:$BX$1,0),FALSE)/1,0))</f>
        <v>6.4725000000000001</v>
      </c>
      <c r="O205" s="31">
        <f>IF($D205="","",IFERROR(VLOOKUP($B205,Kraftvärmeprod!$B$1:$BX$550,MATCH(O$2,Kraftvärmeprod!$B$1:$VX$1,0),FALSE)/1,0)-IFERROR(VLOOKUP($B205,'Slutlig allokering kvv'!$B$2:$BX$550,MATCH(O$2,'Slutlig allokering kvv'!$B$1:$BX$1,0),FALSE)/1,0))</f>
        <v>2.0712000000000002</v>
      </c>
      <c r="P205" s="31">
        <f>IF($D205="","",IFERROR(VLOOKUP($B205,Kraftvärmeprod!$B$1:$BX$550,MATCH(P$2,Kraftvärmeprod!$B$1:$VX$1,0),FALSE)/1,0)-IFERROR(VLOOKUP($B205,'Slutlig allokering kvv'!$B$2:$BX$550,MATCH(P$2,'Slutlig allokering kvv'!$B$1:$BX$1,0),FALSE)/1,0))</f>
        <v>0</v>
      </c>
      <c r="Q205" s="31">
        <f>IF($D205="","",IFERROR(VLOOKUP($B205,Kraftvärmeprod!$B$1:$BX$550,MATCH(Q$2,Kraftvärmeprod!$B$1:$VX$1,0),FALSE)/1,0)-IFERROR(VLOOKUP($B205,'Slutlig allokering kvv'!$B$2:$BX$550,MATCH(Q$2,'Slutlig allokering kvv'!$B$1:$BX$1,0),FALSE)/1,0))</f>
        <v>0</v>
      </c>
      <c r="R205" s="31">
        <f>IF($D205="","",IFERROR(VLOOKUP($B205,Kraftvärmeprod!$B$1:$BX$550,MATCH(R$2,Kraftvärmeprod!$B$1:$VX$1,0),FALSE)/1,0)-IFERROR(VLOOKUP($B205,'Slutlig allokering kvv'!$B$2:$BX$550,MATCH(R$2,'Slutlig allokering kvv'!$B$1:$BX$1,0),FALSE)/1,0))</f>
        <v>0</v>
      </c>
      <c r="S205" s="31">
        <f>IF($D205="","",IFERROR(VLOOKUP($B205,Kraftvärmeprod!$B$1:$BX$550,MATCH(S$2,Kraftvärmeprod!$B$1:$VX$1,0),FALSE)/1,0)-IFERROR(VLOOKUP($B205,'Slutlig allokering kvv'!$B$2:$BX$550,MATCH(S$2,'Slutlig allokering kvv'!$B$1:$BX$1,0),FALSE)/1,0))</f>
        <v>0</v>
      </c>
      <c r="T205" s="31">
        <f>IF($D205="","",IFERROR(VLOOKUP($B205,Kraftvärmeprod!$B$1:$BX$550,MATCH(T$2,Kraftvärmeprod!$B$1:$VX$1,0),FALSE)/1,0)-IFERROR(VLOOKUP($B205,'Slutlig allokering kvv'!$B$2:$BX$550,MATCH(T$2,'Slutlig allokering kvv'!$B$1:$BX$1,0),FALSE)/1,0))</f>
        <v>0</v>
      </c>
      <c r="U205" s="31">
        <f>IF($D205="","",IFERROR(VLOOKUP($B205,Kraftvärmeprod!$B$1:$BX$550,MATCH(U$2,Kraftvärmeprod!$B$1:$VX$1,0),FALSE)/1,0)-IFERROR(VLOOKUP($B205,'Slutlig allokering kvv'!$B$2:$BX$550,MATCH(U$2,'Slutlig allokering kvv'!$B$1:$BX$1,0),FALSE)/1,0))</f>
        <v>0</v>
      </c>
      <c r="V205" s="31">
        <f>IF($D205="","",IFERROR(VLOOKUP($B205,Kraftvärmeprod!$B$1:$BX$550,MATCH(V$2,Kraftvärmeprod!$B$1:$VX$1,0),FALSE)/1,0)-IFERROR(VLOOKUP($B205,'Slutlig allokering kvv'!$B$2:$BX$550,MATCH(V$2,'Slutlig allokering kvv'!$B$1:$BX$1,0),FALSE)/1,0))</f>
        <v>0</v>
      </c>
      <c r="W205" s="31">
        <f>IF($D205="","",IFERROR(VLOOKUP($B205,Kraftvärmeprod!$B$1:$BX$550,MATCH(W$2,Kraftvärmeprod!$B$1:$VX$1,0),FALSE)/1,0)-IFERROR(VLOOKUP($B205,'Slutlig allokering kvv'!$B$2:$BX$550,MATCH(W$2,'Slutlig allokering kvv'!$B$1:$BX$1,0),FALSE)/1,0))</f>
        <v>0</v>
      </c>
      <c r="X205" s="31">
        <f>IF($D205="","",IFERROR(VLOOKUP($B205,Kraftvärmeprod!$B$1:$BX$550,MATCH(X$2,Kraftvärmeprod!$B$1:$VX$1,0),FALSE)/1,0)-IFERROR(VLOOKUP($B205,'Slutlig allokering kvv'!$B$2:$BX$550,MATCH(X$2,'Slutlig allokering kvv'!$B$1:$BX$1,0),FALSE)/1,0))</f>
        <v>0</v>
      </c>
      <c r="Y205" s="31">
        <f>IF($D205="","",IFERROR(VLOOKUP($B205,Kraftvärmeprod!$B$1:$BX$550,MATCH(Y$2,Kraftvärmeprod!$B$1:$VX$1,0),FALSE)/1,0)-IFERROR(VLOOKUP($B205,'Slutlig allokering kvv'!$B$2:$BX$550,MATCH(Y$2,'Slutlig allokering kvv'!$B$1:$BX$1,0),FALSE)/1,0))</f>
        <v>0</v>
      </c>
      <c r="Z205" s="31">
        <f>IF($D205="","",IFERROR(VLOOKUP($B205,Kraftvärmeprod!$B$1:$BX$550,MATCH(Z$2,Kraftvärmeprod!$B$1:$VX$1,0),FALSE)/1,0)-IFERROR(VLOOKUP($B205,'Slutlig allokering kvv'!$B$2:$BX$550,MATCH(Z$2,'Slutlig allokering kvv'!$B$1:$BX$1,0),FALSE)/1,0))</f>
        <v>0</v>
      </c>
      <c r="AA205" s="31">
        <f>IF($D205="","",IFERROR(VLOOKUP($B205,Kraftvärmeprod!$B$1:$BX$550,MATCH(AA$2,Kraftvärmeprod!$B$1:$VX$1,0),FALSE)/1,0)-IFERROR(VLOOKUP($B205,'Slutlig allokering kvv'!$B$2:$BX$550,MATCH(AA$2,'Slutlig allokering kvv'!$B$1:$BX$1,0),FALSE)/1,0))</f>
        <v>0</v>
      </c>
      <c r="AB205" s="31">
        <f>IF($D205="","",IFERROR(VLOOKUP($B205,Kraftvärmeprod!$B$1:$BX$550,MATCH(AB$2,Kraftvärmeprod!$B$1:$VX$1,0),FALSE)/1,0)-IFERROR(VLOOKUP($B205,'Slutlig allokering kvv'!$B$2:$BX$550,MATCH(AB$2,'Slutlig allokering kvv'!$B$1:$BX$1,0),FALSE)/1,0))</f>
        <v>0</v>
      </c>
      <c r="AC205" s="31">
        <f>IF($D205="","",IFERROR(VLOOKUP($B205,Kraftvärmeprod!$B$1:$BX$550,MATCH(AC$2,Kraftvärmeprod!$B$1:$VX$1,0),FALSE)/1,0)-IFERROR(VLOOKUP($B205,'Slutlig allokering kvv'!$B$2:$BX$550,MATCH(AC$2,'Slutlig allokering kvv'!$B$1:$BX$1,0),FALSE)/1,0))</f>
        <v>0</v>
      </c>
      <c r="AD205" s="31">
        <f>IF($D205="","",IFERROR(VLOOKUP($B205,Kraftvärmeprod!$B$1:$BX$550,MATCH(AD$2,Kraftvärmeprod!$B$1:$VX$1,0),FALSE)/1,0)-IFERROR(VLOOKUP($B205,'Slutlig allokering kvv'!$B$2:$BX$550,MATCH(AD$2,'Slutlig allokering kvv'!$B$1:$BX$1,0),FALSE)/1,0))</f>
        <v>0</v>
      </c>
      <c r="AE205" s="31">
        <f>IF($D205="","",IFERROR(VLOOKUP($B205,Miljö!$B$1:$E$550,MATCH("Hjälpel kraftvärme (GWh)",Miljö!$B$1:$E$1,0),FALSE)/1,0)-IFERROR(VLOOKUP($B205,'Slutlig allokering kvv'!$B$2:$BX$549,MATCH(AE$2,'Slutlig allokering kvv'!$B$1:$BX$1,0),FALSE)/1,0))</f>
        <v>0.97087000000000012</v>
      </c>
      <c r="AI205" s="39">
        <f t="shared" si="12"/>
        <v>38.349499999999999</v>
      </c>
      <c r="AK205" s="31">
        <f>IFERROR(VLOOKUP($B205,'Slutlig allokering kvv'!$B$2:$AX$549,MATCH("Summa slutlig allokerad tillförd energi (utan hjälpel och rökgaskondensering):",'Slutlig allokering kvv'!$B$1:$AX$1,0),FALSE)/1,"")</f>
        <v>80.150499999999994</v>
      </c>
      <c r="AM205" s="31">
        <f>IFERROR(1-VLOOKUP($B205,'Slutlig allokering kvv'!$B$2:$AX$549,MATCH("Andel av bränsle i kvv som allokerats till värme, exklusive rökgaskondensering och hjälpel",'Slutlig allokering kvv'!$B$1:$AX$1,0),FALSE),"")</f>
        <v>0.32362447257383975</v>
      </c>
      <c r="AO205" s="31">
        <f t="shared" si="13"/>
        <v>0.32362447257383964</v>
      </c>
      <c r="AP205" s="31">
        <f t="shared" si="14"/>
        <v>1.1102230246251565E-16</v>
      </c>
      <c r="AR205" s="32">
        <f t="shared" si="15"/>
        <v>0.38148165950625595</v>
      </c>
    </row>
    <row r="206" spans="1:44" s="31" customFormat="1" x14ac:dyDescent="0.45">
      <c r="A206" s="31" t="s">
        <v>389</v>
      </c>
      <c r="B206" s="31" t="s">
        <v>388</v>
      </c>
      <c r="C206" s="31" t="str">
        <f>IFERROR(VLOOKUP($B206,Kraftvärmeprod!$B$1:$AH$479,MATCH(C$2,Kraftvärmeprod!$B$1:$AG$1,0),FALSE)/1,"")</f>
        <v/>
      </c>
      <c r="D206" s="31" t="str">
        <f>IFERROR(VLOOKUP($B206,Kraftvärmeprod!$B$1:$AH$479,MATCH(D$2,Kraftvärmeprod!$B$1:$AG$1,0),FALSE)/1,"")</f>
        <v/>
      </c>
      <c r="F206" s="31" t="str">
        <f>IF($D206="","",IFERROR(VLOOKUP($B206,Kraftvärmeprod!$B$1:$BX$550,MATCH(F$2,Kraftvärmeprod!$B$1:$VX$1,0),FALSE)/1,0)-IFERROR(VLOOKUP($B206,'Slutlig allokering kvv'!$B$2:$BX$550,MATCH(F$2,'Slutlig allokering kvv'!$B$1:$BX$1,0),FALSE)/1,0))</f>
        <v/>
      </c>
      <c r="G206" s="31" t="str">
        <f>IF($D206="","",IFERROR(VLOOKUP($B206,Kraftvärmeprod!$B$1:$BX$550,MATCH(G$2,Kraftvärmeprod!$B$1:$VX$1,0),FALSE)/1,0)-IFERROR(VLOOKUP($B206,'Slutlig allokering kvv'!$B$2:$BX$550,MATCH(G$2,'Slutlig allokering kvv'!$B$1:$BX$1,0),FALSE)/1,0))</f>
        <v/>
      </c>
      <c r="H206" s="31" t="str">
        <f>IF($D206="","",IFERROR(VLOOKUP($B206,Kraftvärmeprod!$B$1:$BX$550,MATCH(H$2,Kraftvärmeprod!$B$1:$VX$1,0),FALSE)/1,0)-IFERROR(VLOOKUP($B206,'Slutlig allokering kvv'!$B$2:$BX$550,MATCH(H$2,'Slutlig allokering kvv'!$B$1:$BX$1,0),FALSE)/1,0))</f>
        <v/>
      </c>
      <c r="I206" s="31" t="str">
        <f>IF($D206="","",IFERROR(VLOOKUP($B206,Kraftvärmeprod!$B$1:$BX$550,MATCH(I$2,Kraftvärmeprod!$B$1:$VX$1,0),FALSE)/1,0)-IFERROR(VLOOKUP($B206,'Slutlig allokering kvv'!$B$2:$BX$550,MATCH(I$2,'Slutlig allokering kvv'!$B$1:$BX$1,0),FALSE)/1,0))</f>
        <v/>
      </c>
      <c r="J206" s="31" t="str">
        <f>IF($D206="","",IFERROR(VLOOKUP($B206,Kraftvärmeprod!$B$1:$BX$550,MATCH(J$2,Kraftvärmeprod!$B$1:$VX$1,0),FALSE)/1,0)-IFERROR(VLOOKUP($B206,'Slutlig allokering kvv'!$B$2:$BX$550,MATCH(J$2,'Slutlig allokering kvv'!$B$1:$BX$1,0),FALSE)/1,0))</f>
        <v/>
      </c>
      <c r="K206" s="31" t="str">
        <f>IF($D206="","",IFERROR(VLOOKUP($B206,Kraftvärmeprod!$B$1:$BX$550,MATCH(K$2,Kraftvärmeprod!$B$1:$VX$1,0),FALSE)/1,0)-IFERROR(VLOOKUP($B206,'Slutlig allokering kvv'!$B$2:$BX$550,MATCH(K$2,'Slutlig allokering kvv'!$B$1:$BX$1,0),FALSE)/1,0))</f>
        <v/>
      </c>
      <c r="L206" s="31" t="str">
        <f>IF($D206="","",IFERROR(VLOOKUP($B206,Kraftvärmeprod!$B$1:$BX$550,MATCH(L$2,Kraftvärmeprod!$B$1:$VX$1,0),FALSE)/1,0)-IFERROR(VLOOKUP($B206,'Slutlig allokering kvv'!$B$2:$BX$550,MATCH(L$2,'Slutlig allokering kvv'!$B$1:$BX$1,0),FALSE)/1,0))</f>
        <v/>
      </c>
      <c r="M206" s="31" t="str">
        <f>IF($D206="","",IFERROR(VLOOKUP($B206,Kraftvärmeprod!$B$1:$BX$550,MATCH(M$2,Kraftvärmeprod!$B$1:$VX$1,0),FALSE)/1,0)-IFERROR(VLOOKUP($B206,'Slutlig allokering kvv'!$B$2:$BX$550,MATCH(M$2,'Slutlig allokering kvv'!$B$1:$BX$1,0),FALSE)/1,0))</f>
        <v/>
      </c>
      <c r="N206" s="31" t="str">
        <f>IF($D206="","",IFERROR(VLOOKUP($B206,Kraftvärmeprod!$B$1:$BX$550,MATCH(N$2,Kraftvärmeprod!$B$1:$VX$1,0),FALSE)/1,0)-IFERROR(VLOOKUP($B206,'Slutlig allokering kvv'!$B$2:$BX$550,MATCH(N$2,'Slutlig allokering kvv'!$B$1:$BX$1,0),FALSE)/1,0))</f>
        <v/>
      </c>
      <c r="O206" s="31" t="str">
        <f>IF($D206="","",IFERROR(VLOOKUP($B206,Kraftvärmeprod!$B$1:$BX$550,MATCH(O$2,Kraftvärmeprod!$B$1:$VX$1,0),FALSE)/1,0)-IFERROR(VLOOKUP($B206,'Slutlig allokering kvv'!$B$2:$BX$550,MATCH(O$2,'Slutlig allokering kvv'!$B$1:$BX$1,0),FALSE)/1,0))</f>
        <v/>
      </c>
      <c r="P206" s="31" t="str">
        <f>IF($D206="","",IFERROR(VLOOKUP($B206,Kraftvärmeprod!$B$1:$BX$550,MATCH(P$2,Kraftvärmeprod!$B$1:$VX$1,0),FALSE)/1,0)-IFERROR(VLOOKUP($B206,'Slutlig allokering kvv'!$B$2:$BX$550,MATCH(P$2,'Slutlig allokering kvv'!$B$1:$BX$1,0),FALSE)/1,0))</f>
        <v/>
      </c>
      <c r="Q206" s="31" t="str">
        <f>IF($D206="","",IFERROR(VLOOKUP($B206,Kraftvärmeprod!$B$1:$BX$550,MATCH(Q$2,Kraftvärmeprod!$B$1:$VX$1,0),FALSE)/1,0)-IFERROR(VLOOKUP($B206,'Slutlig allokering kvv'!$B$2:$BX$550,MATCH(Q$2,'Slutlig allokering kvv'!$B$1:$BX$1,0),FALSE)/1,0))</f>
        <v/>
      </c>
      <c r="R206" s="31" t="str">
        <f>IF($D206="","",IFERROR(VLOOKUP($B206,Kraftvärmeprod!$B$1:$BX$550,MATCH(R$2,Kraftvärmeprod!$B$1:$VX$1,0),FALSE)/1,0)-IFERROR(VLOOKUP($B206,'Slutlig allokering kvv'!$B$2:$BX$550,MATCH(R$2,'Slutlig allokering kvv'!$B$1:$BX$1,0),FALSE)/1,0))</f>
        <v/>
      </c>
      <c r="S206" s="31" t="str">
        <f>IF($D206="","",IFERROR(VLOOKUP($B206,Kraftvärmeprod!$B$1:$BX$550,MATCH(S$2,Kraftvärmeprod!$B$1:$VX$1,0),FALSE)/1,0)-IFERROR(VLOOKUP($B206,'Slutlig allokering kvv'!$B$2:$BX$550,MATCH(S$2,'Slutlig allokering kvv'!$B$1:$BX$1,0),FALSE)/1,0))</f>
        <v/>
      </c>
      <c r="T206" s="31" t="str">
        <f>IF($D206="","",IFERROR(VLOOKUP($B206,Kraftvärmeprod!$B$1:$BX$550,MATCH(T$2,Kraftvärmeprod!$B$1:$VX$1,0),FALSE)/1,0)-IFERROR(VLOOKUP($B206,'Slutlig allokering kvv'!$B$2:$BX$550,MATCH(T$2,'Slutlig allokering kvv'!$B$1:$BX$1,0),FALSE)/1,0))</f>
        <v/>
      </c>
      <c r="U206" s="31" t="str">
        <f>IF($D206="","",IFERROR(VLOOKUP($B206,Kraftvärmeprod!$B$1:$BX$550,MATCH(U$2,Kraftvärmeprod!$B$1:$VX$1,0),FALSE)/1,0)-IFERROR(VLOOKUP($B206,'Slutlig allokering kvv'!$B$2:$BX$550,MATCH(U$2,'Slutlig allokering kvv'!$B$1:$BX$1,0),FALSE)/1,0))</f>
        <v/>
      </c>
      <c r="V206" s="31" t="str">
        <f>IF($D206="","",IFERROR(VLOOKUP($B206,Kraftvärmeprod!$B$1:$BX$550,MATCH(V$2,Kraftvärmeprod!$B$1:$VX$1,0),FALSE)/1,0)-IFERROR(VLOOKUP($B206,'Slutlig allokering kvv'!$B$2:$BX$550,MATCH(V$2,'Slutlig allokering kvv'!$B$1:$BX$1,0),FALSE)/1,0))</f>
        <v/>
      </c>
      <c r="W206" s="31" t="str">
        <f>IF($D206="","",IFERROR(VLOOKUP($B206,Kraftvärmeprod!$B$1:$BX$550,MATCH(W$2,Kraftvärmeprod!$B$1:$VX$1,0),FALSE)/1,0)-IFERROR(VLOOKUP($B206,'Slutlig allokering kvv'!$B$2:$BX$550,MATCH(W$2,'Slutlig allokering kvv'!$B$1:$BX$1,0),FALSE)/1,0))</f>
        <v/>
      </c>
      <c r="X206" s="31" t="str">
        <f>IF($D206="","",IFERROR(VLOOKUP($B206,Kraftvärmeprod!$B$1:$BX$550,MATCH(X$2,Kraftvärmeprod!$B$1:$VX$1,0),FALSE)/1,0)-IFERROR(VLOOKUP($B206,'Slutlig allokering kvv'!$B$2:$BX$550,MATCH(X$2,'Slutlig allokering kvv'!$B$1:$BX$1,0),FALSE)/1,0))</f>
        <v/>
      </c>
      <c r="Y206" s="31" t="str">
        <f>IF($D206="","",IFERROR(VLOOKUP($B206,Kraftvärmeprod!$B$1:$BX$550,MATCH(Y$2,Kraftvärmeprod!$B$1:$VX$1,0),FALSE)/1,0)-IFERROR(VLOOKUP($B206,'Slutlig allokering kvv'!$B$2:$BX$550,MATCH(Y$2,'Slutlig allokering kvv'!$B$1:$BX$1,0),FALSE)/1,0))</f>
        <v/>
      </c>
      <c r="Z206" s="31" t="str">
        <f>IF($D206="","",IFERROR(VLOOKUP($B206,Kraftvärmeprod!$B$1:$BX$550,MATCH(Z$2,Kraftvärmeprod!$B$1:$VX$1,0),FALSE)/1,0)-IFERROR(VLOOKUP($B206,'Slutlig allokering kvv'!$B$2:$BX$550,MATCH(Z$2,'Slutlig allokering kvv'!$B$1:$BX$1,0),FALSE)/1,0))</f>
        <v/>
      </c>
      <c r="AA206" s="31" t="str">
        <f>IF($D206="","",IFERROR(VLOOKUP($B206,Kraftvärmeprod!$B$1:$BX$550,MATCH(AA$2,Kraftvärmeprod!$B$1:$VX$1,0),FALSE)/1,0)-IFERROR(VLOOKUP($B206,'Slutlig allokering kvv'!$B$2:$BX$550,MATCH(AA$2,'Slutlig allokering kvv'!$B$1:$BX$1,0),FALSE)/1,0))</f>
        <v/>
      </c>
      <c r="AB206" s="31" t="str">
        <f>IF($D206="","",IFERROR(VLOOKUP($B206,Kraftvärmeprod!$B$1:$BX$550,MATCH(AB$2,Kraftvärmeprod!$B$1:$VX$1,0),FALSE)/1,0)-IFERROR(VLOOKUP($B206,'Slutlig allokering kvv'!$B$2:$BX$550,MATCH(AB$2,'Slutlig allokering kvv'!$B$1:$BX$1,0),FALSE)/1,0))</f>
        <v/>
      </c>
      <c r="AC206" s="31" t="str">
        <f>IF($D206="","",IFERROR(VLOOKUP($B206,Kraftvärmeprod!$B$1:$BX$550,MATCH(AC$2,Kraftvärmeprod!$B$1:$VX$1,0),FALSE)/1,0)-IFERROR(VLOOKUP($B206,'Slutlig allokering kvv'!$B$2:$BX$550,MATCH(AC$2,'Slutlig allokering kvv'!$B$1:$BX$1,0),FALSE)/1,0))</f>
        <v/>
      </c>
      <c r="AD206" s="31" t="str">
        <f>IF($D206="","",IFERROR(VLOOKUP($B206,Kraftvärmeprod!$B$1:$BX$550,MATCH(AD$2,Kraftvärmeprod!$B$1:$VX$1,0),FALSE)/1,0)-IFERROR(VLOOKUP($B206,'Slutlig allokering kvv'!$B$2:$BX$550,MATCH(AD$2,'Slutlig allokering kvv'!$B$1:$BX$1,0),FALSE)/1,0))</f>
        <v/>
      </c>
      <c r="AE206" s="31" t="str">
        <f>IF($D206="","",IFERROR(VLOOKUP($B206,Miljö!$B$1:$E$550,MATCH("Hjälpel kraftvärme (GWh)",Miljö!$B$1:$E$1,0),FALSE)/1,0)-IFERROR(VLOOKUP($B206,'Slutlig allokering kvv'!$B$2:$BX$549,MATCH(AE$2,'Slutlig allokering kvv'!$B$1:$BX$1,0),FALSE)/1,0))</f>
        <v/>
      </c>
      <c r="AI206" s="39">
        <f t="shared" si="12"/>
        <v>0</v>
      </c>
      <c r="AK206" s="31">
        <f>IFERROR(VLOOKUP($B206,'Slutlig allokering kvv'!$B$2:$AX$549,MATCH("Summa slutlig allokerad tillförd energi (utan hjälpel och rökgaskondensering):",'Slutlig allokering kvv'!$B$1:$AX$1,0),FALSE)/1,"")</f>
        <v>0</v>
      </c>
      <c r="AM206" s="31" t="str">
        <f>IFERROR(1-VLOOKUP($B206,'Slutlig allokering kvv'!$B$2:$AX$549,MATCH("Andel av bränsle i kvv som allokerats till värme, exklusive rökgaskondensering och hjälpel",'Slutlig allokering kvv'!$B$1:$AX$1,0),FALSE),"")</f>
        <v/>
      </c>
      <c r="AO206" s="31" t="str">
        <f t="shared" si="13"/>
        <v/>
      </c>
      <c r="AP206" s="31" t="str">
        <f t="shared" si="14"/>
        <v/>
      </c>
      <c r="AR206" s="32" t="str">
        <f t="shared" si="15"/>
        <v/>
      </c>
    </row>
    <row r="207" spans="1:44" s="31" customFormat="1" x14ac:dyDescent="0.45">
      <c r="A207" s="31" t="s">
        <v>387</v>
      </c>
      <c r="B207" s="31" t="s">
        <v>114</v>
      </c>
      <c r="C207" s="31" t="str">
        <f>IFERROR(VLOOKUP($B207,Kraftvärmeprod!$B$1:$AH$479,MATCH(C$2,Kraftvärmeprod!$B$1:$AG$1,0),FALSE)/1,"")</f>
        <v/>
      </c>
      <c r="D207" s="31" t="str">
        <f>IFERROR(VLOOKUP($B207,Kraftvärmeprod!$B$1:$AH$479,MATCH(D$2,Kraftvärmeprod!$B$1:$AG$1,0),FALSE)/1,"")</f>
        <v/>
      </c>
      <c r="F207" s="31" t="str">
        <f>IF($D207="","",IFERROR(VLOOKUP($B207,Kraftvärmeprod!$B$1:$BX$550,MATCH(F$2,Kraftvärmeprod!$B$1:$VX$1,0),FALSE)/1,0)-IFERROR(VLOOKUP($B207,'Slutlig allokering kvv'!$B$2:$BX$550,MATCH(F$2,'Slutlig allokering kvv'!$B$1:$BX$1,0),FALSE)/1,0))</f>
        <v/>
      </c>
      <c r="G207" s="31" t="str">
        <f>IF($D207="","",IFERROR(VLOOKUP($B207,Kraftvärmeprod!$B$1:$BX$550,MATCH(G$2,Kraftvärmeprod!$B$1:$VX$1,0),FALSE)/1,0)-IFERROR(VLOOKUP($B207,'Slutlig allokering kvv'!$B$2:$BX$550,MATCH(G$2,'Slutlig allokering kvv'!$B$1:$BX$1,0),FALSE)/1,0))</f>
        <v/>
      </c>
      <c r="H207" s="31" t="str">
        <f>IF($D207="","",IFERROR(VLOOKUP($B207,Kraftvärmeprod!$B$1:$BX$550,MATCH(H$2,Kraftvärmeprod!$B$1:$VX$1,0),FALSE)/1,0)-IFERROR(VLOOKUP($B207,'Slutlig allokering kvv'!$B$2:$BX$550,MATCH(H$2,'Slutlig allokering kvv'!$B$1:$BX$1,0),FALSE)/1,0))</f>
        <v/>
      </c>
      <c r="I207" s="31" t="str">
        <f>IF($D207="","",IFERROR(VLOOKUP($B207,Kraftvärmeprod!$B$1:$BX$550,MATCH(I$2,Kraftvärmeprod!$B$1:$VX$1,0),FALSE)/1,0)-IFERROR(VLOOKUP($B207,'Slutlig allokering kvv'!$B$2:$BX$550,MATCH(I$2,'Slutlig allokering kvv'!$B$1:$BX$1,0),FALSE)/1,0))</f>
        <v/>
      </c>
      <c r="J207" s="31" t="str">
        <f>IF($D207="","",IFERROR(VLOOKUP($B207,Kraftvärmeprod!$B$1:$BX$550,MATCH(J$2,Kraftvärmeprod!$B$1:$VX$1,0),FALSE)/1,0)-IFERROR(VLOOKUP($B207,'Slutlig allokering kvv'!$B$2:$BX$550,MATCH(J$2,'Slutlig allokering kvv'!$B$1:$BX$1,0),FALSE)/1,0))</f>
        <v/>
      </c>
      <c r="K207" s="31" t="str">
        <f>IF($D207="","",IFERROR(VLOOKUP($B207,Kraftvärmeprod!$B$1:$BX$550,MATCH(K$2,Kraftvärmeprod!$B$1:$VX$1,0),FALSE)/1,0)-IFERROR(VLOOKUP($B207,'Slutlig allokering kvv'!$B$2:$BX$550,MATCH(K$2,'Slutlig allokering kvv'!$B$1:$BX$1,0),FALSE)/1,0))</f>
        <v/>
      </c>
      <c r="L207" s="31" t="str">
        <f>IF($D207="","",IFERROR(VLOOKUP($B207,Kraftvärmeprod!$B$1:$BX$550,MATCH(L$2,Kraftvärmeprod!$B$1:$VX$1,0),FALSE)/1,0)-IFERROR(VLOOKUP($B207,'Slutlig allokering kvv'!$B$2:$BX$550,MATCH(L$2,'Slutlig allokering kvv'!$B$1:$BX$1,0),FALSE)/1,0))</f>
        <v/>
      </c>
      <c r="M207" s="31" t="str">
        <f>IF($D207="","",IFERROR(VLOOKUP($B207,Kraftvärmeprod!$B$1:$BX$550,MATCH(M$2,Kraftvärmeprod!$B$1:$VX$1,0),FALSE)/1,0)-IFERROR(VLOOKUP($B207,'Slutlig allokering kvv'!$B$2:$BX$550,MATCH(M$2,'Slutlig allokering kvv'!$B$1:$BX$1,0),FALSE)/1,0))</f>
        <v/>
      </c>
      <c r="N207" s="31" t="str">
        <f>IF($D207="","",IFERROR(VLOOKUP($B207,Kraftvärmeprod!$B$1:$BX$550,MATCH(N$2,Kraftvärmeprod!$B$1:$VX$1,0),FALSE)/1,0)-IFERROR(VLOOKUP($B207,'Slutlig allokering kvv'!$B$2:$BX$550,MATCH(N$2,'Slutlig allokering kvv'!$B$1:$BX$1,0),FALSE)/1,0))</f>
        <v/>
      </c>
      <c r="O207" s="31" t="str">
        <f>IF($D207="","",IFERROR(VLOOKUP($B207,Kraftvärmeprod!$B$1:$BX$550,MATCH(O$2,Kraftvärmeprod!$B$1:$VX$1,0),FALSE)/1,0)-IFERROR(VLOOKUP($B207,'Slutlig allokering kvv'!$B$2:$BX$550,MATCH(O$2,'Slutlig allokering kvv'!$B$1:$BX$1,0),FALSE)/1,0))</f>
        <v/>
      </c>
      <c r="P207" s="31" t="str">
        <f>IF($D207="","",IFERROR(VLOOKUP($B207,Kraftvärmeprod!$B$1:$BX$550,MATCH(P$2,Kraftvärmeprod!$B$1:$VX$1,0),FALSE)/1,0)-IFERROR(VLOOKUP($B207,'Slutlig allokering kvv'!$B$2:$BX$550,MATCH(P$2,'Slutlig allokering kvv'!$B$1:$BX$1,0),FALSE)/1,0))</f>
        <v/>
      </c>
      <c r="Q207" s="31" t="str">
        <f>IF($D207="","",IFERROR(VLOOKUP($B207,Kraftvärmeprod!$B$1:$BX$550,MATCH(Q$2,Kraftvärmeprod!$B$1:$VX$1,0),FALSE)/1,0)-IFERROR(VLOOKUP($B207,'Slutlig allokering kvv'!$B$2:$BX$550,MATCH(Q$2,'Slutlig allokering kvv'!$B$1:$BX$1,0),FALSE)/1,0))</f>
        <v/>
      </c>
      <c r="R207" s="31" t="str">
        <f>IF($D207="","",IFERROR(VLOOKUP($B207,Kraftvärmeprod!$B$1:$BX$550,MATCH(R$2,Kraftvärmeprod!$B$1:$VX$1,0),FALSE)/1,0)-IFERROR(VLOOKUP($B207,'Slutlig allokering kvv'!$B$2:$BX$550,MATCH(R$2,'Slutlig allokering kvv'!$B$1:$BX$1,0),FALSE)/1,0))</f>
        <v/>
      </c>
      <c r="S207" s="31" t="str">
        <f>IF($D207="","",IFERROR(VLOOKUP($B207,Kraftvärmeprod!$B$1:$BX$550,MATCH(S$2,Kraftvärmeprod!$B$1:$VX$1,0),FALSE)/1,0)-IFERROR(VLOOKUP($B207,'Slutlig allokering kvv'!$B$2:$BX$550,MATCH(S$2,'Slutlig allokering kvv'!$B$1:$BX$1,0),FALSE)/1,0))</f>
        <v/>
      </c>
      <c r="T207" s="31" t="str">
        <f>IF($D207="","",IFERROR(VLOOKUP($B207,Kraftvärmeprod!$B$1:$BX$550,MATCH(T$2,Kraftvärmeprod!$B$1:$VX$1,0),FALSE)/1,0)-IFERROR(VLOOKUP($B207,'Slutlig allokering kvv'!$B$2:$BX$550,MATCH(T$2,'Slutlig allokering kvv'!$B$1:$BX$1,0),FALSE)/1,0))</f>
        <v/>
      </c>
      <c r="U207" s="31" t="str">
        <f>IF($D207="","",IFERROR(VLOOKUP($B207,Kraftvärmeprod!$B$1:$BX$550,MATCH(U$2,Kraftvärmeprod!$B$1:$VX$1,0),FALSE)/1,0)-IFERROR(VLOOKUP($B207,'Slutlig allokering kvv'!$B$2:$BX$550,MATCH(U$2,'Slutlig allokering kvv'!$B$1:$BX$1,0),FALSE)/1,0))</f>
        <v/>
      </c>
      <c r="V207" s="31" t="str">
        <f>IF($D207="","",IFERROR(VLOOKUP($B207,Kraftvärmeprod!$B$1:$BX$550,MATCH(V$2,Kraftvärmeprod!$B$1:$VX$1,0),FALSE)/1,0)-IFERROR(VLOOKUP($B207,'Slutlig allokering kvv'!$B$2:$BX$550,MATCH(V$2,'Slutlig allokering kvv'!$B$1:$BX$1,0),FALSE)/1,0))</f>
        <v/>
      </c>
      <c r="W207" s="31" t="str">
        <f>IF($D207="","",IFERROR(VLOOKUP($B207,Kraftvärmeprod!$B$1:$BX$550,MATCH(W$2,Kraftvärmeprod!$B$1:$VX$1,0),FALSE)/1,0)-IFERROR(VLOOKUP($B207,'Slutlig allokering kvv'!$B$2:$BX$550,MATCH(W$2,'Slutlig allokering kvv'!$B$1:$BX$1,0),FALSE)/1,0))</f>
        <v/>
      </c>
      <c r="X207" s="31" t="str">
        <f>IF($D207="","",IFERROR(VLOOKUP($B207,Kraftvärmeprod!$B$1:$BX$550,MATCH(X$2,Kraftvärmeprod!$B$1:$VX$1,0),FALSE)/1,0)-IFERROR(VLOOKUP($B207,'Slutlig allokering kvv'!$B$2:$BX$550,MATCH(X$2,'Slutlig allokering kvv'!$B$1:$BX$1,0),FALSE)/1,0))</f>
        <v/>
      </c>
      <c r="Y207" s="31" t="str">
        <f>IF($D207="","",IFERROR(VLOOKUP($B207,Kraftvärmeprod!$B$1:$BX$550,MATCH(Y$2,Kraftvärmeprod!$B$1:$VX$1,0),FALSE)/1,0)-IFERROR(VLOOKUP($B207,'Slutlig allokering kvv'!$B$2:$BX$550,MATCH(Y$2,'Slutlig allokering kvv'!$B$1:$BX$1,0),FALSE)/1,0))</f>
        <v/>
      </c>
      <c r="Z207" s="31" t="str">
        <f>IF($D207="","",IFERROR(VLOOKUP($B207,Kraftvärmeprod!$B$1:$BX$550,MATCH(Z$2,Kraftvärmeprod!$B$1:$VX$1,0),FALSE)/1,0)-IFERROR(VLOOKUP($B207,'Slutlig allokering kvv'!$B$2:$BX$550,MATCH(Z$2,'Slutlig allokering kvv'!$B$1:$BX$1,0),FALSE)/1,0))</f>
        <v/>
      </c>
      <c r="AA207" s="31" t="str">
        <f>IF($D207="","",IFERROR(VLOOKUP($B207,Kraftvärmeprod!$B$1:$BX$550,MATCH(AA$2,Kraftvärmeprod!$B$1:$VX$1,0),FALSE)/1,0)-IFERROR(VLOOKUP($B207,'Slutlig allokering kvv'!$B$2:$BX$550,MATCH(AA$2,'Slutlig allokering kvv'!$B$1:$BX$1,0),FALSE)/1,0))</f>
        <v/>
      </c>
      <c r="AB207" s="31" t="str">
        <f>IF($D207="","",IFERROR(VLOOKUP($B207,Kraftvärmeprod!$B$1:$BX$550,MATCH(AB$2,Kraftvärmeprod!$B$1:$VX$1,0),FALSE)/1,0)-IFERROR(VLOOKUP($B207,'Slutlig allokering kvv'!$B$2:$BX$550,MATCH(AB$2,'Slutlig allokering kvv'!$B$1:$BX$1,0),FALSE)/1,0))</f>
        <v/>
      </c>
      <c r="AC207" s="31" t="str">
        <f>IF($D207="","",IFERROR(VLOOKUP($B207,Kraftvärmeprod!$B$1:$BX$550,MATCH(AC$2,Kraftvärmeprod!$B$1:$VX$1,0),FALSE)/1,0)-IFERROR(VLOOKUP($B207,'Slutlig allokering kvv'!$B$2:$BX$550,MATCH(AC$2,'Slutlig allokering kvv'!$B$1:$BX$1,0),FALSE)/1,0))</f>
        <v/>
      </c>
      <c r="AD207" s="31" t="str">
        <f>IF($D207="","",IFERROR(VLOOKUP($B207,Kraftvärmeprod!$B$1:$BX$550,MATCH(AD$2,Kraftvärmeprod!$B$1:$VX$1,0),FALSE)/1,0)-IFERROR(VLOOKUP($B207,'Slutlig allokering kvv'!$B$2:$BX$550,MATCH(AD$2,'Slutlig allokering kvv'!$B$1:$BX$1,0),FALSE)/1,0))</f>
        <v/>
      </c>
      <c r="AE207" s="31" t="str">
        <f>IF($D207="","",IFERROR(VLOOKUP($B207,Miljö!$B$1:$E$550,MATCH("Hjälpel kraftvärme (GWh)",Miljö!$B$1:$E$1,0),FALSE)/1,0)-IFERROR(VLOOKUP($B207,'Slutlig allokering kvv'!$B$2:$BX$549,MATCH(AE$2,'Slutlig allokering kvv'!$B$1:$BX$1,0),FALSE)/1,0))</f>
        <v/>
      </c>
      <c r="AI207" s="39">
        <f t="shared" si="12"/>
        <v>0</v>
      </c>
      <c r="AK207" s="31">
        <f>IFERROR(VLOOKUP($B207,'Slutlig allokering kvv'!$B$2:$AX$549,MATCH("Summa slutlig allokerad tillförd energi (utan hjälpel och rökgaskondensering):",'Slutlig allokering kvv'!$B$1:$AX$1,0),FALSE)/1,"")</f>
        <v>0</v>
      </c>
      <c r="AM207" s="31" t="str">
        <f>IFERROR(1-VLOOKUP($B207,'Slutlig allokering kvv'!$B$2:$AX$549,MATCH("Andel av bränsle i kvv som allokerats till värme, exklusive rökgaskondensering och hjälpel",'Slutlig allokering kvv'!$B$1:$AX$1,0),FALSE),"")</f>
        <v/>
      </c>
      <c r="AO207" s="31" t="str">
        <f t="shared" si="13"/>
        <v/>
      </c>
      <c r="AP207" s="31" t="str">
        <f t="shared" si="14"/>
        <v/>
      </c>
      <c r="AR207" s="32" t="str">
        <f t="shared" si="15"/>
        <v/>
      </c>
    </row>
    <row r="208" spans="1:44" s="31" customFormat="1" x14ac:dyDescent="0.45">
      <c r="A208" s="31" t="s">
        <v>386</v>
      </c>
      <c r="B208" s="31" t="s">
        <v>385</v>
      </c>
      <c r="C208" s="31" t="str">
        <f>IFERROR(VLOOKUP($B208,Kraftvärmeprod!$B$1:$AH$479,MATCH(C$2,Kraftvärmeprod!$B$1:$AG$1,0),FALSE)/1,"")</f>
        <v/>
      </c>
      <c r="D208" s="31" t="str">
        <f>IFERROR(VLOOKUP($B208,Kraftvärmeprod!$B$1:$AH$479,MATCH(D$2,Kraftvärmeprod!$B$1:$AG$1,0),FALSE)/1,"")</f>
        <v/>
      </c>
      <c r="F208" s="31" t="str">
        <f>IF($D208="","",IFERROR(VLOOKUP($B208,Kraftvärmeprod!$B$1:$BX$550,MATCH(F$2,Kraftvärmeprod!$B$1:$VX$1,0),FALSE)/1,0)-IFERROR(VLOOKUP($B208,'Slutlig allokering kvv'!$B$2:$BX$550,MATCH(F$2,'Slutlig allokering kvv'!$B$1:$BX$1,0),FALSE)/1,0))</f>
        <v/>
      </c>
      <c r="G208" s="31" t="str">
        <f>IF($D208="","",IFERROR(VLOOKUP($B208,Kraftvärmeprod!$B$1:$BX$550,MATCH(G$2,Kraftvärmeprod!$B$1:$VX$1,0),FALSE)/1,0)-IFERROR(VLOOKUP($B208,'Slutlig allokering kvv'!$B$2:$BX$550,MATCH(G$2,'Slutlig allokering kvv'!$B$1:$BX$1,0),FALSE)/1,0))</f>
        <v/>
      </c>
      <c r="H208" s="31" t="str">
        <f>IF($D208="","",IFERROR(VLOOKUP($B208,Kraftvärmeprod!$B$1:$BX$550,MATCH(H$2,Kraftvärmeprod!$B$1:$VX$1,0),FALSE)/1,0)-IFERROR(VLOOKUP($B208,'Slutlig allokering kvv'!$B$2:$BX$550,MATCH(H$2,'Slutlig allokering kvv'!$B$1:$BX$1,0),FALSE)/1,0))</f>
        <v/>
      </c>
      <c r="I208" s="31" t="str">
        <f>IF($D208="","",IFERROR(VLOOKUP($B208,Kraftvärmeprod!$B$1:$BX$550,MATCH(I$2,Kraftvärmeprod!$B$1:$VX$1,0),FALSE)/1,0)-IFERROR(VLOOKUP($B208,'Slutlig allokering kvv'!$B$2:$BX$550,MATCH(I$2,'Slutlig allokering kvv'!$B$1:$BX$1,0),FALSE)/1,0))</f>
        <v/>
      </c>
      <c r="J208" s="31" t="str">
        <f>IF($D208="","",IFERROR(VLOOKUP($B208,Kraftvärmeprod!$B$1:$BX$550,MATCH(J$2,Kraftvärmeprod!$B$1:$VX$1,0),FALSE)/1,0)-IFERROR(VLOOKUP($B208,'Slutlig allokering kvv'!$B$2:$BX$550,MATCH(J$2,'Slutlig allokering kvv'!$B$1:$BX$1,0),FALSE)/1,0))</f>
        <v/>
      </c>
      <c r="K208" s="31" t="str">
        <f>IF($D208="","",IFERROR(VLOOKUP($B208,Kraftvärmeprod!$B$1:$BX$550,MATCH(K$2,Kraftvärmeprod!$B$1:$VX$1,0),FALSE)/1,0)-IFERROR(VLOOKUP($B208,'Slutlig allokering kvv'!$B$2:$BX$550,MATCH(K$2,'Slutlig allokering kvv'!$B$1:$BX$1,0),FALSE)/1,0))</f>
        <v/>
      </c>
      <c r="L208" s="31" t="str">
        <f>IF($D208="","",IFERROR(VLOOKUP($B208,Kraftvärmeprod!$B$1:$BX$550,MATCH(L$2,Kraftvärmeprod!$B$1:$VX$1,0),FALSE)/1,0)-IFERROR(VLOOKUP($B208,'Slutlig allokering kvv'!$B$2:$BX$550,MATCH(L$2,'Slutlig allokering kvv'!$B$1:$BX$1,0),FALSE)/1,0))</f>
        <v/>
      </c>
      <c r="M208" s="31" t="str">
        <f>IF($D208="","",IFERROR(VLOOKUP($B208,Kraftvärmeprod!$B$1:$BX$550,MATCH(M$2,Kraftvärmeprod!$B$1:$VX$1,0),FALSE)/1,0)-IFERROR(VLOOKUP($B208,'Slutlig allokering kvv'!$B$2:$BX$550,MATCH(M$2,'Slutlig allokering kvv'!$B$1:$BX$1,0),FALSE)/1,0))</f>
        <v/>
      </c>
      <c r="N208" s="31" t="str">
        <f>IF($D208="","",IFERROR(VLOOKUP($B208,Kraftvärmeprod!$B$1:$BX$550,MATCH(N$2,Kraftvärmeprod!$B$1:$VX$1,0),FALSE)/1,0)-IFERROR(VLOOKUP($B208,'Slutlig allokering kvv'!$B$2:$BX$550,MATCH(N$2,'Slutlig allokering kvv'!$B$1:$BX$1,0),FALSE)/1,0))</f>
        <v/>
      </c>
      <c r="O208" s="31" t="str">
        <f>IF($D208="","",IFERROR(VLOOKUP($B208,Kraftvärmeprod!$B$1:$BX$550,MATCH(O$2,Kraftvärmeprod!$B$1:$VX$1,0),FALSE)/1,0)-IFERROR(VLOOKUP($B208,'Slutlig allokering kvv'!$B$2:$BX$550,MATCH(O$2,'Slutlig allokering kvv'!$B$1:$BX$1,0),FALSE)/1,0))</f>
        <v/>
      </c>
      <c r="P208" s="31" t="str">
        <f>IF($D208="","",IFERROR(VLOOKUP($B208,Kraftvärmeprod!$B$1:$BX$550,MATCH(P$2,Kraftvärmeprod!$B$1:$VX$1,0),FALSE)/1,0)-IFERROR(VLOOKUP($B208,'Slutlig allokering kvv'!$B$2:$BX$550,MATCH(P$2,'Slutlig allokering kvv'!$B$1:$BX$1,0),FALSE)/1,0))</f>
        <v/>
      </c>
      <c r="Q208" s="31" t="str">
        <f>IF($D208="","",IFERROR(VLOOKUP($B208,Kraftvärmeprod!$B$1:$BX$550,MATCH(Q$2,Kraftvärmeprod!$B$1:$VX$1,0),FALSE)/1,0)-IFERROR(VLOOKUP($B208,'Slutlig allokering kvv'!$B$2:$BX$550,MATCH(Q$2,'Slutlig allokering kvv'!$B$1:$BX$1,0),FALSE)/1,0))</f>
        <v/>
      </c>
      <c r="R208" s="31" t="str">
        <f>IF($D208="","",IFERROR(VLOOKUP($B208,Kraftvärmeprod!$B$1:$BX$550,MATCH(R$2,Kraftvärmeprod!$B$1:$VX$1,0),FALSE)/1,0)-IFERROR(VLOOKUP($B208,'Slutlig allokering kvv'!$B$2:$BX$550,MATCH(R$2,'Slutlig allokering kvv'!$B$1:$BX$1,0),FALSE)/1,0))</f>
        <v/>
      </c>
      <c r="S208" s="31" t="str">
        <f>IF($D208="","",IFERROR(VLOOKUP($B208,Kraftvärmeprod!$B$1:$BX$550,MATCH(S$2,Kraftvärmeprod!$B$1:$VX$1,0),FALSE)/1,0)-IFERROR(VLOOKUP($B208,'Slutlig allokering kvv'!$B$2:$BX$550,MATCH(S$2,'Slutlig allokering kvv'!$B$1:$BX$1,0),FALSE)/1,0))</f>
        <v/>
      </c>
      <c r="T208" s="31" t="str">
        <f>IF($D208="","",IFERROR(VLOOKUP($B208,Kraftvärmeprod!$B$1:$BX$550,MATCH(T$2,Kraftvärmeprod!$B$1:$VX$1,0),FALSE)/1,0)-IFERROR(VLOOKUP($B208,'Slutlig allokering kvv'!$B$2:$BX$550,MATCH(T$2,'Slutlig allokering kvv'!$B$1:$BX$1,0),FALSE)/1,0))</f>
        <v/>
      </c>
      <c r="U208" s="31" t="str">
        <f>IF($D208="","",IFERROR(VLOOKUP($B208,Kraftvärmeprod!$B$1:$BX$550,MATCH(U$2,Kraftvärmeprod!$B$1:$VX$1,0),FALSE)/1,0)-IFERROR(VLOOKUP($B208,'Slutlig allokering kvv'!$B$2:$BX$550,MATCH(U$2,'Slutlig allokering kvv'!$B$1:$BX$1,0),FALSE)/1,0))</f>
        <v/>
      </c>
      <c r="V208" s="31" t="str">
        <f>IF($D208="","",IFERROR(VLOOKUP($B208,Kraftvärmeprod!$B$1:$BX$550,MATCH(V$2,Kraftvärmeprod!$B$1:$VX$1,0),FALSE)/1,0)-IFERROR(VLOOKUP($B208,'Slutlig allokering kvv'!$B$2:$BX$550,MATCH(V$2,'Slutlig allokering kvv'!$B$1:$BX$1,0),FALSE)/1,0))</f>
        <v/>
      </c>
      <c r="W208" s="31" t="str">
        <f>IF($D208="","",IFERROR(VLOOKUP($B208,Kraftvärmeprod!$B$1:$BX$550,MATCH(W$2,Kraftvärmeprod!$B$1:$VX$1,0),FALSE)/1,0)-IFERROR(VLOOKUP($B208,'Slutlig allokering kvv'!$B$2:$BX$550,MATCH(W$2,'Slutlig allokering kvv'!$B$1:$BX$1,0),FALSE)/1,0))</f>
        <v/>
      </c>
      <c r="X208" s="31" t="str">
        <f>IF($D208="","",IFERROR(VLOOKUP($B208,Kraftvärmeprod!$B$1:$BX$550,MATCH(X$2,Kraftvärmeprod!$B$1:$VX$1,0),FALSE)/1,0)-IFERROR(VLOOKUP($B208,'Slutlig allokering kvv'!$B$2:$BX$550,MATCH(X$2,'Slutlig allokering kvv'!$B$1:$BX$1,0),FALSE)/1,0))</f>
        <v/>
      </c>
      <c r="Y208" s="31" t="str">
        <f>IF($D208="","",IFERROR(VLOOKUP($B208,Kraftvärmeprod!$B$1:$BX$550,MATCH(Y$2,Kraftvärmeprod!$B$1:$VX$1,0),FALSE)/1,0)-IFERROR(VLOOKUP($B208,'Slutlig allokering kvv'!$B$2:$BX$550,MATCH(Y$2,'Slutlig allokering kvv'!$B$1:$BX$1,0),FALSE)/1,0))</f>
        <v/>
      </c>
      <c r="Z208" s="31" t="str">
        <f>IF($D208="","",IFERROR(VLOOKUP($B208,Kraftvärmeprod!$B$1:$BX$550,MATCH(Z$2,Kraftvärmeprod!$B$1:$VX$1,0),FALSE)/1,0)-IFERROR(VLOOKUP($B208,'Slutlig allokering kvv'!$B$2:$BX$550,MATCH(Z$2,'Slutlig allokering kvv'!$B$1:$BX$1,0),FALSE)/1,0))</f>
        <v/>
      </c>
      <c r="AA208" s="31" t="str">
        <f>IF($D208="","",IFERROR(VLOOKUP($B208,Kraftvärmeprod!$B$1:$BX$550,MATCH(AA$2,Kraftvärmeprod!$B$1:$VX$1,0),FALSE)/1,0)-IFERROR(VLOOKUP($B208,'Slutlig allokering kvv'!$B$2:$BX$550,MATCH(AA$2,'Slutlig allokering kvv'!$B$1:$BX$1,0),FALSE)/1,0))</f>
        <v/>
      </c>
      <c r="AB208" s="31" t="str">
        <f>IF($D208="","",IFERROR(VLOOKUP($B208,Kraftvärmeprod!$B$1:$BX$550,MATCH(AB$2,Kraftvärmeprod!$B$1:$VX$1,0),FALSE)/1,0)-IFERROR(VLOOKUP($B208,'Slutlig allokering kvv'!$B$2:$BX$550,MATCH(AB$2,'Slutlig allokering kvv'!$B$1:$BX$1,0),FALSE)/1,0))</f>
        <v/>
      </c>
      <c r="AC208" s="31" t="str">
        <f>IF($D208="","",IFERROR(VLOOKUP($B208,Kraftvärmeprod!$B$1:$BX$550,MATCH(AC$2,Kraftvärmeprod!$B$1:$VX$1,0),FALSE)/1,0)-IFERROR(VLOOKUP($B208,'Slutlig allokering kvv'!$B$2:$BX$550,MATCH(AC$2,'Slutlig allokering kvv'!$B$1:$BX$1,0),FALSE)/1,0))</f>
        <v/>
      </c>
      <c r="AD208" s="31" t="str">
        <f>IF($D208="","",IFERROR(VLOOKUP($B208,Kraftvärmeprod!$B$1:$BX$550,MATCH(AD$2,Kraftvärmeprod!$B$1:$VX$1,0),FALSE)/1,0)-IFERROR(VLOOKUP($B208,'Slutlig allokering kvv'!$B$2:$BX$550,MATCH(AD$2,'Slutlig allokering kvv'!$B$1:$BX$1,0),FALSE)/1,0))</f>
        <v/>
      </c>
      <c r="AE208" s="31" t="str">
        <f>IF($D208="","",IFERROR(VLOOKUP($B208,Miljö!$B$1:$E$550,MATCH("Hjälpel kraftvärme (GWh)",Miljö!$B$1:$E$1,0),FALSE)/1,0)-IFERROR(VLOOKUP($B208,'Slutlig allokering kvv'!$B$2:$BX$549,MATCH(AE$2,'Slutlig allokering kvv'!$B$1:$BX$1,0),FALSE)/1,0))</f>
        <v/>
      </c>
      <c r="AI208" s="39">
        <f t="shared" si="12"/>
        <v>0</v>
      </c>
      <c r="AK208" s="31">
        <f>IFERROR(VLOOKUP($B208,'Slutlig allokering kvv'!$B$2:$AX$549,MATCH("Summa slutlig allokerad tillförd energi (utan hjälpel och rökgaskondensering):",'Slutlig allokering kvv'!$B$1:$AX$1,0),FALSE)/1,"")</f>
        <v>0</v>
      </c>
      <c r="AM208" s="31" t="str">
        <f>IFERROR(1-VLOOKUP($B208,'Slutlig allokering kvv'!$B$2:$AX$549,MATCH("Andel av bränsle i kvv som allokerats till värme, exklusive rökgaskondensering och hjälpel",'Slutlig allokering kvv'!$B$1:$AX$1,0),FALSE),"")</f>
        <v/>
      </c>
      <c r="AO208" s="31" t="str">
        <f t="shared" si="13"/>
        <v/>
      </c>
      <c r="AP208" s="31" t="str">
        <f t="shared" si="14"/>
        <v/>
      </c>
      <c r="AR208" s="32" t="str">
        <f t="shared" si="15"/>
        <v/>
      </c>
    </row>
    <row r="209" spans="1:44" s="31" customFormat="1" x14ac:dyDescent="0.45">
      <c r="A209" s="31" t="s">
        <v>381</v>
      </c>
      <c r="B209" s="31" t="s">
        <v>380</v>
      </c>
      <c r="C209" s="31" t="str">
        <f>IFERROR(VLOOKUP($B209,Kraftvärmeprod!$B$1:$AH$479,MATCH(C$2,Kraftvärmeprod!$B$1:$AG$1,0),FALSE)/1,"")</f>
        <v/>
      </c>
      <c r="D209" s="31" t="str">
        <f>IFERROR(VLOOKUP($B209,Kraftvärmeprod!$B$1:$AH$479,MATCH(D$2,Kraftvärmeprod!$B$1:$AG$1,0),FALSE)/1,"")</f>
        <v/>
      </c>
      <c r="F209" s="31" t="str">
        <f>IF($D209="","",IFERROR(VLOOKUP($B209,Kraftvärmeprod!$B$1:$BX$550,MATCH(F$2,Kraftvärmeprod!$B$1:$VX$1,0),FALSE)/1,0)-IFERROR(VLOOKUP($B209,'Slutlig allokering kvv'!$B$2:$BX$550,MATCH(F$2,'Slutlig allokering kvv'!$B$1:$BX$1,0),FALSE)/1,0))</f>
        <v/>
      </c>
      <c r="G209" s="31" t="str">
        <f>IF($D209="","",IFERROR(VLOOKUP($B209,Kraftvärmeprod!$B$1:$BX$550,MATCH(G$2,Kraftvärmeprod!$B$1:$VX$1,0),FALSE)/1,0)-IFERROR(VLOOKUP($B209,'Slutlig allokering kvv'!$B$2:$BX$550,MATCH(G$2,'Slutlig allokering kvv'!$B$1:$BX$1,0),FALSE)/1,0))</f>
        <v/>
      </c>
      <c r="H209" s="31" t="str">
        <f>IF($D209="","",IFERROR(VLOOKUP($B209,Kraftvärmeprod!$B$1:$BX$550,MATCH(H$2,Kraftvärmeprod!$B$1:$VX$1,0),FALSE)/1,0)-IFERROR(VLOOKUP($B209,'Slutlig allokering kvv'!$B$2:$BX$550,MATCH(H$2,'Slutlig allokering kvv'!$B$1:$BX$1,0),FALSE)/1,0))</f>
        <v/>
      </c>
      <c r="I209" s="31" t="str">
        <f>IF($D209="","",IFERROR(VLOOKUP($B209,Kraftvärmeprod!$B$1:$BX$550,MATCH(I$2,Kraftvärmeprod!$B$1:$VX$1,0),FALSE)/1,0)-IFERROR(VLOOKUP($B209,'Slutlig allokering kvv'!$B$2:$BX$550,MATCH(I$2,'Slutlig allokering kvv'!$B$1:$BX$1,0),FALSE)/1,0))</f>
        <v/>
      </c>
      <c r="J209" s="31" t="str">
        <f>IF($D209="","",IFERROR(VLOOKUP($B209,Kraftvärmeprod!$B$1:$BX$550,MATCH(J$2,Kraftvärmeprod!$B$1:$VX$1,0),FALSE)/1,0)-IFERROR(VLOOKUP($B209,'Slutlig allokering kvv'!$B$2:$BX$550,MATCH(J$2,'Slutlig allokering kvv'!$B$1:$BX$1,0),FALSE)/1,0))</f>
        <v/>
      </c>
      <c r="K209" s="31" t="str">
        <f>IF($D209="","",IFERROR(VLOOKUP($B209,Kraftvärmeprod!$B$1:$BX$550,MATCH(K$2,Kraftvärmeprod!$B$1:$VX$1,0),FALSE)/1,0)-IFERROR(VLOOKUP($B209,'Slutlig allokering kvv'!$B$2:$BX$550,MATCH(K$2,'Slutlig allokering kvv'!$B$1:$BX$1,0),FALSE)/1,0))</f>
        <v/>
      </c>
      <c r="L209" s="31" t="str">
        <f>IF($D209="","",IFERROR(VLOOKUP($B209,Kraftvärmeprod!$B$1:$BX$550,MATCH(L$2,Kraftvärmeprod!$B$1:$VX$1,0),FALSE)/1,0)-IFERROR(VLOOKUP($B209,'Slutlig allokering kvv'!$B$2:$BX$550,MATCH(L$2,'Slutlig allokering kvv'!$B$1:$BX$1,0),FALSE)/1,0))</f>
        <v/>
      </c>
      <c r="M209" s="31" t="str">
        <f>IF($D209="","",IFERROR(VLOOKUP($B209,Kraftvärmeprod!$B$1:$BX$550,MATCH(M$2,Kraftvärmeprod!$B$1:$VX$1,0),FALSE)/1,0)-IFERROR(VLOOKUP($B209,'Slutlig allokering kvv'!$B$2:$BX$550,MATCH(M$2,'Slutlig allokering kvv'!$B$1:$BX$1,0),FALSE)/1,0))</f>
        <v/>
      </c>
      <c r="N209" s="31" t="str">
        <f>IF($D209="","",IFERROR(VLOOKUP($B209,Kraftvärmeprod!$B$1:$BX$550,MATCH(N$2,Kraftvärmeprod!$B$1:$VX$1,0),FALSE)/1,0)-IFERROR(VLOOKUP($B209,'Slutlig allokering kvv'!$B$2:$BX$550,MATCH(N$2,'Slutlig allokering kvv'!$B$1:$BX$1,0),FALSE)/1,0))</f>
        <v/>
      </c>
      <c r="O209" s="31" t="str">
        <f>IF($D209="","",IFERROR(VLOOKUP($B209,Kraftvärmeprod!$B$1:$BX$550,MATCH(O$2,Kraftvärmeprod!$B$1:$VX$1,0),FALSE)/1,0)-IFERROR(VLOOKUP($B209,'Slutlig allokering kvv'!$B$2:$BX$550,MATCH(O$2,'Slutlig allokering kvv'!$B$1:$BX$1,0),FALSE)/1,0))</f>
        <v/>
      </c>
      <c r="P209" s="31" t="str">
        <f>IF($D209="","",IFERROR(VLOOKUP($B209,Kraftvärmeprod!$B$1:$BX$550,MATCH(P$2,Kraftvärmeprod!$B$1:$VX$1,0),FALSE)/1,0)-IFERROR(VLOOKUP($B209,'Slutlig allokering kvv'!$B$2:$BX$550,MATCH(P$2,'Slutlig allokering kvv'!$B$1:$BX$1,0),FALSE)/1,0))</f>
        <v/>
      </c>
      <c r="Q209" s="31" t="str">
        <f>IF($D209="","",IFERROR(VLOOKUP($B209,Kraftvärmeprod!$B$1:$BX$550,MATCH(Q$2,Kraftvärmeprod!$B$1:$VX$1,0),FALSE)/1,0)-IFERROR(VLOOKUP($B209,'Slutlig allokering kvv'!$B$2:$BX$550,MATCH(Q$2,'Slutlig allokering kvv'!$B$1:$BX$1,0),FALSE)/1,0))</f>
        <v/>
      </c>
      <c r="R209" s="31" t="str">
        <f>IF($D209="","",IFERROR(VLOOKUP($B209,Kraftvärmeprod!$B$1:$BX$550,MATCH(R$2,Kraftvärmeprod!$B$1:$VX$1,0),FALSE)/1,0)-IFERROR(VLOOKUP($B209,'Slutlig allokering kvv'!$B$2:$BX$550,MATCH(R$2,'Slutlig allokering kvv'!$B$1:$BX$1,0),FALSE)/1,0))</f>
        <v/>
      </c>
      <c r="S209" s="31" t="str">
        <f>IF($D209="","",IFERROR(VLOOKUP($B209,Kraftvärmeprod!$B$1:$BX$550,MATCH(S$2,Kraftvärmeprod!$B$1:$VX$1,0),FALSE)/1,0)-IFERROR(VLOOKUP($B209,'Slutlig allokering kvv'!$B$2:$BX$550,MATCH(S$2,'Slutlig allokering kvv'!$B$1:$BX$1,0),FALSE)/1,0))</f>
        <v/>
      </c>
      <c r="T209" s="31" t="str">
        <f>IF($D209="","",IFERROR(VLOOKUP($B209,Kraftvärmeprod!$B$1:$BX$550,MATCH(T$2,Kraftvärmeprod!$B$1:$VX$1,0),FALSE)/1,0)-IFERROR(VLOOKUP($B209,'Slutlig allokering kvv'!$B$2:$BX$550,MATCH(T$2,'Slutlig allokering kvv'!$B$1:$BX$1,0),FALSE)/1,0))</f>
        <v/>
      </c>
      <c r="U209" s="31" t="str">
        <f>IF($D209="","",IFERROR(VLOOKUP($B209,Kraftvärmeprod!$B$1:$BX$550,MATCH(U$2,Kraftvärmeprod!$B$1:$VX$1,0),FALSE)/1,0)-IFERROR(VLOOKUP($B209,'Slutlig allokering kvv'!$B$2:$BX$550,MATCH(U$2,'Slutlig allokering kvv'!$B$1:$BX$1,0),FALSE)/1,0))</f>
        <v/>
      </c>
      <c r="V209" s="31" t="str">
        <f>IF($D209="","",IFERROR(VLOOKUP($B209,Kraftvärmeprod!$B$1:$BX$550,MATCH(V$2,Kraftvärmeprod!$B$1:$VX$1,0),FALSE)/1,0)-IFERROR(VLOOKUP($B209,'Slutlig allokering kvv'!$B$2:$BX$550,MATCH(V$2,'Slutlig allokering kvv'!$B$1:$BX$1,0),FALSE)/1,0))</f>
        <v/>
      </c>
      <c r="W209" s="31" t="str">
        <f>IF($D209="","",IFERROR(VLOOKUP($B209,Kraftvärmeprod!$B$1:$BX$550,MATCH(W$2,Kraftvärmeprod!$B$1:$VX$1,0),FALSE)/1,0)-IFERROR(VLOOKUP($B209,'Slutlig allokering kvv'!$B$2:$BX$550,MATCH(W$2,'Slutlig allokering kvv'!$B$1:$BX$1,0),FALSE)/1,0))</f>
        <v/>
      </c>
      <c r="X209" s="31" t="str">
        <f>IF($D209="","",IFERROR(VLOOKUP($B209,Kraftvärmeprod!$B$1:$BX$550,MATCH(X$2,Kraftvärmeprod!$B$1:$VX$1,0),FALSE)/1,0)-IFERROR(VLOOKUP($B209,'Slutlig allokering kvv'!$B$2:$BX$550,MATCH(X$2,'Slutlig allokering kvv'!$B$1:$BX$1,0),FALSE)/1,0))</f>
        <v/>
      </c>
      <c r="Y209" s="31" t="str">
        <f>IF($D209="","",IFERROR(VLOOKUP($B209,Kraftvärmeprod!$B$1:$BX$550,MATCH(Y$2,Kraftvärmeprod!$B$1:$VX$1,0),FALSE)/1,0)-IFERROR(VLOOKUP($B209,'Slutlig allokering kvv'!$B$2:$BX$550,MATCH(Y$2,'Slutlig allokering kvv'!$B$1:$BX$1,0),FALSE)/1,0))</f>
        <v/>
      </c>
      <c r="Z209" s="31" t="str">
        <f>IF($D209="","",IFERROR(VLOOKUP($B209,Kraftvärmeprod!$B$1:$BX$550,MATCH(Z$2,Kraftvärmeprod!$B$1:$VX$1,0),FALSE)/1,0)-IFERROR(VLOOKUP($B209,'Slutlig allokering kvv'!$B$2:$BX$550,MATCH(Z$2,'Slutlig allokering kvv'!$B$1:$BX$1,0),FALSE)/1,0))</f>
        <v/>
      </c>
      <c r="AA209" s="31" t="str">
        <f>IF($D209="","",IFERROR(VLOOKUP($B209,Kraftvärmeprod!$B$1:$BX$550,MATCH(AA$2,Kraftvärmeprod!$B$1:$VX$1,0),FALSE)/1,0)-IFERROR(VLOOKUP($B209,'Slutlig allokering kvv'!$B$2:$BX$550,MATCH(AA$2,'Slutlig allokering kvv'!$B$1:$BX$1,0),FALSE)/1,0))</f>
        <v/>
      </c>
      <c r="AB209" s="31" t="str">
        <f>IF($D209="","",IFERROR(VLOOKUP($B209,Kraftvärmeprod!$B$1:$BX$550,MATCH(AB$2,Kraftvärmeprod!$B$1:$VX$1,0),FALSE)/1,0)-IFERROR(VLOOKUP($B209,'Slutlig allokering kvv'!$B$2:$BX$550,MATCH(AB$2,'Slutlig allokering kvv'!$B$1:$BX$1,0),FALSE)/1,0))</f>
        <v/>
      </c>
      <c r="AC209" s="31" t="str">
        <f>IF($D209="","",IFERROR(VLOOKUP($B209,Kraftvärmeprod!$B$1:$BX$550,MATCH(AC$2,Kraftvärmeprod!$B$1:$VX$1,0),FALSE)/1,0)-IFERROR(VLOOKUP($B209,'Slutlig allokering kvv'!$B$2:$BX$550,MATCH(AC$2,'Slutlig allokering kvv'!$B$1:$BX$1,0),FALSE)/1,0))</f>
        <v/>
      </c>
      <c r="AD209" s="31" t="str">
        <f>IF($D209="","",IFERROR(VLOOKUP($B209,Kraftvärmeprod!$B$1:$BX$550,MATCH(AD$2,Kraftvärmeprod!$B$1:$VX$1,0),FALSE)/1,0)-IFERROR(VLOOKUP($B209,'Slutlig allokering kvv'!$B$2:$BX$550,MATCH(AD$2,'Slutlig allokering kvv'!$B$1:$BX$1,0),FALSE)/1,0))</f>
        <v/>
      </c>
      <c r="AE209" s="31" t="str">
        <f>IF($D209="","",IFERROR(VLOOKUP($B209,Miljö!$B$1:$E$550,MATCH("Hjälpel kraftvärme (GWh)",Miljö!$B$1:$E$1,0),FALSE)/1,0)-IFERROR(VLOOKUP($B209,'Slutlig allokering kvv'!$B$2:$BX$549,MATCH(AE$2,'Slutlig allokering kvv'!$B$1:$BX$1,0),FALSE)/1,0))</f>
        <v/>
      </c>
      <c r="AI209" s="39">
        <f t="shared" si="12"/>
        <v>0</v>
      </c>
      <c r="AK209" s="31">
        <f>IFERROR(VLOOKUP($B209,'Slutlig allokering kvv'!$B$2:$AX$549,MATCH("Summa slutlig allokerad tillförd energi (utan hjälpel och rökgaskondensering):",'Slutlig allokering kvv'!$B$1:$AX$1,0),FALSE)/1,"")</f>
        <v>0</v>
      </c>
      <c r="AM209" s="31" t="str">
        <f>IFERROR(1-VLOOKUP($B209,'Slutlig allokering kvv'!$B$2:$AX$549,MATCH("Andel av bränsle i kvv som allokerats till värme, exklusive rökgaskondensering och hjälpel",'Slutlig allokering kvv'!$B$1:$AX$1,0),FALSE),"")</f>
        <v/>
      </c>
      <c r="AO209" s="31" t="str">
        <f t="shared" si="13"/>
        <v/>
      </c>
      <c r="AP209" s="31" t="str">
        <f t="shared" si="14"/>
        <v/>
      </c>
      <c r="AR209" s="32" t="str">
        <f t="shared" si="15"/>
        <v/>
      </c>
    </row>
    <row r="210" spans="1:44" s="31" customFormat="1" x14ac:dyDescent="0.45">
      <c r="A210" s="31" t="s">
        <v>376</v>
      </c>
      <c r="B210" s="31" t="s">
        <v>379</v>
      </c>
      <c r="C210" s="31" t="str">
        <f>IFERROR(VLOOKUP($B210,Kraftvärmeprod!$B$1:$AH$479,MATCH(C$2,Kraftvärmeprod!$B$1:$AG$1,0),FALSE)/1,"")</f>
        <v/>
      </c>
      <c r="D210" s="31" t="str">
        <f>IFERROR(VLOOKUP($B210,Kraftvärmeprod!$B$1:$AH$479,MATCH(D$2,Kraftvärmeprod!$B$1:$AG$1,0),FALSE)/1,"")</f>
        <v/>
      </c>
      <c r="F210" s="31" t="str">
        <f>IF($D210="","",IFERROR(VLOOKUP($B210,Kraftvärmeprod!$B$1:$BX$550,MATCH(F$2,Kraftvärmeprod!$B$1:$VX$1,0),FALSE)/1,0)-IFERROR(VLOOKUP($B210,'Slutlig allokering kvv'!$B$2:$BX$550,MATCH(F$2,'Slutlig allokering kvv'!$B$1:$BX$1,0),FALSE)/1,0))</f>
        <v/>
      </c>
      <c r="G210" s="31" t="str">
        <f>IF($D210="","",IFERROR(VLOOKUP($B210,Kraftvärmeprod!$B$1:$BX$550,MATCH(G$2,Kraftvärmeprod!$B$1:$VX$1,0),FALSE)/1,0)-IFERROR(VLOOKUP($B210,'Slutlig allokering kvv'!$B$2:$BX$550,MATCH(G$2,'Slutlig allokering kvv'!$B$1:$BX$1,0),FALSE)/1,0))</f>
        <v/>
      </c>
      <c r="H210" s="31" t="str">
        <f>IF($D210="","",IFERROR(VLOOKUP($B210,Kraftvärmeprod!$B$1:$BX$550,MATCH(H$2,Kraftvärmeprod!$B$1:$VX$1,0),FALSE)/1,0)-IFERROR(VLOOKUP($B210,'Slutlig allokering kvv'!$B$2:$BX$550,MATCH(H$2,'Slutlig allokering kvv'!$B$1:$BX$1,0),FALSE)/1,0))</f>
        <v/>
      </c>
      <c r="I210" s="31" t="str">
        <f>IF($D210="","",IFERROR(VLOOKUP($B210,Kraftvärmeprod!$B$1:$BX$550,MATCH(I$2,Kraftvärmeprod!$B$1:$VX$1,0),FALSE)/1,0)-IFERROR(VLOOKUP($B210,'Slutlig allokering kvv'!$B$2:$BX$550,MATCH(I$2,'Slutlig allokering kvv'!$B$1:$BX$1,0),FALSE)/1,0))</f>
        <v/>
      </c>
      <c r="J210" s="31" t="str">
        <f>IF($D210="","",IFERROR(VLOOKUP($B210,Kraftvärmeprod!$B$1:$BX$550,MATCH(J$2,Kraftvärmeprod!$B$1:$VX$1,0),FALSE)/1,0)-IFERROR(VLOOKUP($B210,'Slutlig allokering kvv'!$B$2:$BX$550,MATCH(J$2,'Slutlig allokering kvv'!$B$1:$BX$1,0),FALSE)/1,0))</f>
        <v/>
      </c>
      <c r="K210" s="31" t="str">
        <f>IF($D210="","",IFERROR(VLOOKUP($B210,Kraftvärmeprod!$B$1:$BX$550,MATCH(K$2,Kraftvärmeprod!$B$1:$VX$1,0),FALSE)/1,0)-IFERROR(VLOOKUP($B210,'Slutlig allokering kvv'!$B$2:$BX$550,MATCH(K$2,'Slutlig allokering kvv'!$B$1:$BX$1,0),FALSE)/1,0))</f>
        <v/>
      </c>
      <c r="L210" s="31" t="str">
        <f>IF($D210="","",IFERROR(VLOOKUP($B210,Kraftvärmeprod!$B$1:$BX$550,MATCH(L$2,Kraftvärmeprod!$B$1:$VX$1,0),FALSE)/1,0)-IFERROR(VLOOKUP($B210,'Slutlig allokering kvv'!$B$2:$BX$550,MATCH(L$2,'Slutlig allokering kvv'!$B$1:$BX$1,0),FALSE)/1,0))</f>
        <v/>
      </c>
      <c r="M210" s="31" t="str">
        <f>IF($D210="","",IFERROR(VLOOKUP($B210,Kraftvärmeprod!$B$1:$BX$550,MATCH(M$2,Kraftvärmeprod!$B$1:$VX$1,0),FALSE)/1,0)-IFERROR(VLOOKUP($B210,'Slutlig allokering kvv'!$B$2:$BX$550,MATCH(M$2,'Slutlig allokering kvv'!$B$1:$BX$1,0),FALSE)/1,0))</f>
        <v/>
      </c>
      <c r="N210" s="31" t="str">
        <f>IF($D210="","",IFERROR(VLOOKUP($B210,Kraftvärmeprod!$B$1:$BX$550,MATCH(N$2,Kraftvärmeprod!$B$1:$VX$1,0),FALSE)/1,0)-IFERROR(VLOOKUP($B210,'Slutlig allokering kvv'!$B$2:$BX$550,MATCH(N$2,'Slutlig allokering kvv'!$B$1:$BX$1,0),FALSE)/1,0))</f>
        <v/>
      </c>
      <c r="O210" s="31" t="str">
        <f>IF($D210="","",IFERROR(VLOOKUP($B210,Kraftvärmeprod!$B$1:$BX$550,MATCH(O$2,Kraftvärmeprod!$B$1:$VX$1,0),FALSE)/1,0)-IFERROR(VLOOKUP($B210,'Slutlig allokering kvv'!$B$2:$BX$550,MATCH(O$2,'Slutlig allokering kvv'!$B$1:$BX$1,0),FALSE)/1,0))</f>
        <v/>
      </c>
      <c r="P210" s="31" t="str">
        <f>IF($D210="","",IFERROR(VLOOKUP($B210,Kraftvärmeprod!$B$1:$BX$550,MATCH(P$2,Kraftvärmeprod!$B$1:$VX$1,0),FALSE)/1,0)-IFERROR(VLOOKUP($B210,'Slutlig allokering kvv'!$B$2:$BX$550,MATCH(P$2,'Slutlig allokering kvv'!$B$1:$BX$1,0),FALSE)/1,0))</f>
        <v/>
      </c>
      <c r="Q210" s="31" t="str">
        <f>IF($D210="","",IFERROR(VLOOKUP($B210,Kraftvärmeprod!$B$1:$BX$550,MATCH(Q$2,Kraftvärmeprod!$B$1:$VX$1,0),FALSE)/1,0)-IFERROR(VLOOKUP($B210,'Slutlig allokering kvv'!$B$2:$BX$550,MATCH(Q$2,'Slutlig allokering kvv'!$B$1:$BX$1,0),FALSE)/1,0))</f>
        <v/>
      </c>
      <c r="R210" s="31" t="str">
        <f>IF($D210="","",IFERROR(VLOOKUP($B210,Kraftvärmeprod!$B$1:$BX$550,MATCH(R$2,Kraftvärmeprod!$B$1:$VX$1,0),FALSE)/1,0)-IFERROR(VLOOKUP($B210,'Slutlig allokering kvv'!$B$2:$BX$550,MATCH(R$2,'Slutlig allokering kvv'!$B$1:$BX$1,0),FALSE)/1,0))</f>
        <v/>
      </c>
      <c r="S210" s="31" t="str">
        <f>IF($D210="","",IFERROR(VLOOKUP($B210,Kraftvärmeprod!$B$1:$BX$550,MATCH(S$2,Kraftvärmeprod!$B$1:$VX$1,0),FALSE)/1,0)-IFERROR(VLOOKUP($B210,'Slutlig allokering kvv'!$B$2:$BX$550,MATCH(S$2,'Slutlig allokering kvv'!$B$1:$BX$1,0),FALSE)/1,0))</f>
        <v/>
      </c>
      <c r="T210" s="31" t="str">
        <f>IF($D210="","",IFERROR(VLOOKUP($B210,Kraftvärmeprod!$B$1:$BX$550,MATCH(T$2,Kraftvärmeprod!$B$1:$VX$1,0),FALSE)/1,0)-IFERROR(VLOOKUP($B210,'Slutlig allokering kvv'!$B$2:$BX$550,MATCH(T$2,'Slutlig allokering kvv'!$B$1:$BX$1,0),FALSE)/1,0))</f>
        <v/>
      </c>
      <c r="U210" s="31" t="str">
        <f>IF($D210="","",IFERROR(VLOOKUP($B210,Kraftvärmeprod!$B$1:$BX$550,MATCH(U$2,Kraftvärmeprod!$B$1:$VX$1,0),FALSE)/1,0)-IFERROR(VLOOKUP($B210,'Slutlig allokering kvv'!$B$2:$BX$550,MATCH(U$2,'Slutlig allokering kvv'!$B$1:$BX$1,0),FALSE)/1,0))</f>
        <v/>
      </c>
      <c r="V210" s="31" t="str">
        <f>IF($D210="","",IFERROR(VLOOKUP($B210,Kraftvärmeprod!$B$1:$BX$550,MATCH(V$2,Kraftvärmeprod!$B$1:$VX$1,0),FALSE)/1,0)-IFERROR(VLOOKUP($B210,'Slutlig allokering kvv'!$B$2:$BX$550,MATCH(V$2,'Slutlig allokering kvv'!$B$1:$BX$1,0),FALSE)/1,0))</f>
        <v/>
      </c>
      <c r="W210" s="31" t="str">
        <f>IF($D210="","",IFERROR(VLOOKUP($B210,Kraftvärmeprod!$B$1:$BX$550,MATCH(W$2,Kraftvärmeprod!$B$1:$VX$1,0),FALSE)/1,0)-IFERROR(VLOOKUP($B210,'Slutlig allokering kvv'!$B$2:$BX$550,MATCH(W$2,'Slutlig allokering kvv'!$B$1:$BX$1,0),FALSE)/1,0))</f>
        <v/>
      </c>
      <c r="X210" s="31" t="str">
        <f>IF($D210="","",IFERROR(VLOOKUP($B210,Kraftvärmeprod!$B$1:$BX$550,MATCH(X$2,Kraftvärmeprod!$B$1:$VX$1,0),FALSE)/1,0)-IFERROR(VLOOKUP($B210,'Slutlig allokering kvv'!$B$2:$BX$550,MATCH(X$2,'Slutlig allokering kvv'!$B$1:$BX$1,0),FALSE)/1,0))</f>
        <v/>
      </c>
      <c r="Y210" s="31" t="str">
        <f>IF($D210="","",IFERROR(VLOOKUP($B210,Kraftvärmeprod!$B$1:$BX$550,MATCH(Y$2,Kraftvärmeprod!$B$1:$VX$1,0),FALSE)/1,0)-IFERROR(VLOOKUP($B210,'Slutlig allokering kvv'!$B$2:$BX$550,MATCH(Y$2,'Slutlig allokering kvv'!$B$1:$BX$1,0),FALSE)/1,0))</f>
        <v/>
      </c>
      <c r="Z210" s="31" t="str">
        <f>IF($D210="","",IFERROR(VLOOKUP($B210,Kraftvärmeprod!$B$1:$BX$550,MATCH(Z$2,Kraftvärmeprod!$B$1:$VX$1,0),FALSE)/1,0)-IFERROR(VLOOKUP($B210,'Slutlig allokering kvv'!$B$2:$BX$550,MATCH(Z$2,'Slutlig allokering kvv'!$B$1:$BX$1,0),FALSE)/1,0))</f>
        <v/>
      </c>
      <c r="AA210" s="31" t="str">
        <f>IF($D210="","",IFERROR(VLOOKUP($B210,Kraftvärmeprod!$B$1:$BX$550,MATCH(AA$2,Kraftvärmeprod!$B$1:$VX$1,0),FALSE)/1,0)-IFERROR(VLOOKUP($B210,'Slutlig allokering kvv'!$B$2:$BX$550,MATCH(AA$2,'Slutlig allokering kvv'!$B$1:$BX$1,0),FALSE)/1,0))</f>
        <v/>
      </c>
      <c r="AB210" s="31" t="str">
        <f>IF($D210="","",IFERROR(VLOOKUP($B210,Kraftvärmeprod!$B$1:$BX$550,MATCH(AB$2,Kraftvärmeprod!$B$1:$VX$1,0),FALSE)/1,0)-IFERROR(VLOOKUP($B210,'Slutlig allokering kvv'!$B$2:$BX$550,MATCH(AB$2,'Slutlig allokering kvv'!$B$1:$BX$1,0),FALSE)/1,0))</f>
        <v/>
      </c>
      <c r="AC210" s="31" t="str">
        <f>IF($D210="","",IFERROR(VLOOKUP($B210,Kraftvärmeprod!$B$1:$BX$550,MATCH(AC$2,Kraftvärmeprod!$B$1:$VX$1,0),FALSE)/1,0)-IFERROR(VLOOKUP($B210,'Slutlig allokering kvv'!$B$2:$BX$550,MATCH(AC$2,'Slutlig allokering kvv'!$B$1:$BX$1,0),FALSE)/1,0))</f>
        <v/>
      </c>
      <c r="AD210" s="31" t="str">
        <f>IF($D210="","",IFERROR(VLOOKUP($B210,Kraftvärmeprod!$B$1:$BX$550,MATCH(AD$2,Kraftvärmeprod!$B$1:$VX$1,0),FALSE)/1,0)-IFERROR(VLOOKUP($B210,'Slutlig allokering kvv'!$B$2:$BX$550,MATCH(AD$2,'Slutlig allokering kvv'!$B$1:$BX$1,0),FALSE)/1,0))</f>
        <v/>
      </c>
      <c r="AE210" s="31" t="str">
        <f>IF($D210="","",IFERROR(VLOOKUP($B210,Miljö!$B$1:$E$550,MATCH("Hjälpel kraftvärme (GWh)",Miljö!$B$1:$E$1,0),FALSE)/1,0)-IFERROR(VLOOKUP($B210,'Slutlig allokering kvv'!$B$2:$BX$549,MATCH(AE$2,'Slutlig allokering kvv'!$B$1:$BX$1,0),FALSE)/1,0))</f>
        <v/>
      </c>
      <c r="AI210" s="39">
        <f t="shared" si="12"/>
        <v>0</v>
      </c>
      <c r="AK210" s="31">
        <f>IFERROR(VLOOKUP($B210,'Slutlig allokering kvv'!$B$2:$AX$549,MATCH("Summa slutlig allokerad tillförd energi (utan hjälpel och rökgaskondensering):",'Slutlig allokering kvv'!$B$1:$AX$1,0),FALSE)/1,"")</f>
        <v>0</v>
      </c>
      <c r="AM210" s="31" t="str">
        <f>IFERROR(1-VLOOKUP($B210,'Slutlig allokering kvv'!$B$2:$AX$549,MATCH("Andel av bränsle i kvv som allokerats till värme, exklusive rökgaskondensering och hjälpel",'Slutlig allokering kvv'!$B$1:$AX$1,0),FALSE),"")</f>
        <v/>
      </c>
      <c r="AO210" s="31" t="str">
        <f t="shared" si="13"/>
        <v/>
      </c>
      <c r="AP210" s="31" t="str">
        <f t="shared" si="14"/>
        <v/>
      </c>
      <c r="AR210" s="32" t="str">
        <f t="shared" si="15"/>
        <v/>
      </c>
    </row>
    <row r="211" spans="1:44" s="31" customFormat="1" x14ac:dyDescent="0.45">
      <c r="A211" s="31" t="s">
        <v>376</v>
      </c>
      <c r="B211" s="31" t="s">
        <v>378</v>
      </c>
      <c r="C211" s="31" t="str">
        <f>IFERROR(VLOOKUP($B211,Kraftvärmeprod!$B$1:$AH$479,MATCH(C$2,Kraftvärmeprod!$B$1:$AG$1,0),FALSE)/1,"")</f>
        <v/>
      </c>
      <c r="D211" s="31" t="str">
        <f>IFERROR(VLOOKUP($B211,Kraftvärmeprod!$B$1:$AH$479,MATCH(D$2,Kraftvärmeprod!$B$1:$AG$1,0),FALSE)/1,"")</f>
        <v/>
      </c>
      <c r="F211" s="31" t="str">
        <f>IF($D211="","",IFERROR(VLOOKUP($B211,Kraftvärmeprod!$B$1:$BX$550,MATCH(F$2,Kraftvärmeprod!$B$1:$VX$1,0),FALSE)/1,0)-IFERROR(VLOOKUP($B211,'Slutlig allokering kvv'!$B$2:$BX$550,MATCH(F$2,'Slutlig allokering kvv'!$B$1:$BX$1,0),FALSE)/1,0))</f>
        <v/>
      </c>
      <c r="G211" s="31" t="str">
        <f>IF($D211="","",IFERROR(VLOOKUP($B211,Kraftvärmeprod!$B$1:$BX$550,MATCH(G$2,Kraftvärmeprod!$B$1:$VX$1,0),FALSE)/1,0)-IFERROR(VLOOKUP($B211,'Slutlig allokering kvv'!$B$2:$BX$550,MATCH(G$2,'Slutlig allokering kvv'!$B$1:$BX$1,0),FALSE)/1,0))</f>
        <v/>
      </c>
      <c r="H211" s="31" t="str">
        <f>IF($D211="","",IFERROR(VLOOKUP($B211,Kraftvärmeprod!$B$1:$BX$550,MATCH(H$2,Kraftvärmeprod!$B$1:$VX$1,0),FALSE)/1,0)-IFERROR(VLOOKUP($B211,'Slutlig allokering kvv'!$B$2:$BX$550,MATCH(H$2,'Slutlig allokering kvv'!$B$1:$BX$1,0),FALSE)/1,0))</f>
        <v/>
      </c>
      <c r="I211" s="31" t="str">
        <f>IF($D211="","",IFERROR(VLOOKUP($B211,Kraftvärmeprod!$B$1:$BX$550,MATCH(I$2,Kraftvärmeprod!$B$1:$VX$1,0),FALSE)/1,0)-IFERROR(VLOOKUP($B211,'Slutlig allokering kvv'!$B$2:$BX$550,MATCH(I$2,'Slutlig allokering kvv'!$B$1:$BX$1,0),FALSE)/1,0))</f>
        <v/>
      </c>
      <c r="J211" s="31" t="str">
        <f>IF($D211="","",IFERROR(VLOOKUP($B211,Kraftvärmeprod!$B$1:$BX$550,MATCH(J$2,Kraftvärmeprod!$B$1:$VX$1,0),FALSE)/1,0)-IFERROR(VLOOKUP($B211,'Slutlig allokering kvv'!$B$2:$BX$550,MATCH(J$2,'Slutlig allokering kvv'!$B$1:$BX$1,0),FALSE)/1,0))</f>
        <v/>
      </c>
      <c r="K211" s="31" t="str">
        <f>IF($D211="","",IFERROR(VLOOKUP($B211,Kraftvärmeprod!$B$1:$BX$550,MATCH(K$2,Kraftvärmeprod!$B$1:$VX$1,0),FALSE)/1,0)-IFERROR(VLOOKUP($B211,'Slutlig allokering kvv'!$B$2:$BX$550,MATCH(K$2,'Slutlig allokering kvv'!$B$1:$BX$1,0),FALSE)/1,0))</f>
        <v/>
      </c>
      <c r="L211" s="31" t="str">
        <f>IF($D211="","",IFERROR(VLOOKUP($B211,Kraftvärmeprod!$B$1:$BX$550,MATCH(L$2,Kraftvärmeprod!$B$1:$VX$1,0),FALSE)/1,0)-IFERROR(VLOOKUP($B211,'Slutlig allokering kvv'!$B$2:$BX$550,MATCH(L$2,'Slutlig allokering kvv'!$B$1:$BX$1,0),FALSE)/1,0))</f>
        <v/>
      </c>
      <c r="M211" s="31" t="str">
        <f>IF($D211="","",IFERROR(VLOOKUP($B211,Kraftvärmeprod!$B$1:$BX$550,MATCH(M$2,Kraftvärmeprod!$B$1:$VX$1,0),FALSE)/1,0)-IFERROR(VLOOKUP($B211,'Slutlig allokering kvv'!$B$2:$BX$550,MATCH(M$2,'Slutlig allokering kvv'!$B$1:$BX$1,0),FALSE)/1,0))</f>
        <v/>
      </c>
      <c r="N211" s="31" t="str">
        <f>IF($D211="","",IFERROR(VLOOKUP($B211,Kraftvärmeprod!$B$1:$BX$550,MATCH(N$2,Kraftvärmeprod!$B$1:$VX$1,0),FALSE)/1,0)-IFERROR(VLOOKUP($B211,'Slutlig allokering kvv'!$B$2:$BX$550,MATCH(N$2,'Slutlig allokering kvv'!$B$1:$BX$1,0),FALSE)/1,0))</f>
        <v/>
      </c>
      <c r="O211" s="31" t="str">
        <f>IF($D211="","",IFERROR(VLOOKUP($B211,Kraftvärmeprod!$B$1:$BX$550,MATCH(O$2,Kraftvärmeprod!$B$1:$VX$1,0),FALSE)/1,0)-IFERROR(VLOOKUP($B211,'Slutlig allokering kvv'!$B$2:$BX$550,MATCH(O$2,'Slutlig allokering kvv'!$B$1:$BX$1,0),FALSE)/1,0))</f>
        <v/>
      </c>
      <c r="P211" s="31" t="str">
        <f>IF($D211="","",IFERROR(VLOOKUP($B211,Kraftvärmeprod!$B$1:$BX$550,MATCH(P$2,Kraftvärmeprod!$B$1:$VX$1,0),FALSE)/1,0)-IFERROR(VLOOKUP($B211,'Slutlig allokering kvv'!$B$2:$BX$550,MATCH(P$2,'Slutlig allokering kvv'!$B$1:$BX$1,0),FALSE)/1,0))</f>
        <v/>
      </c>
      <c r="Q211" s="31" t="str">
        <f>IF($D211="","",IFERROR(VLOOKUP($B211,Kraftvärmeprod!$B$1:$BX$550,MATCH(Q$2,Kraftvärmeprod!$B$1:$VX$1,0),FALSE)/1,0)-IFERROR(VLOOKUP($B211,'Slutlig allokering kvv'!$B$2:$BX$550,MATCH(Q$2,'Slutlig allokering kvv'!$B$1:$BX$1,0),FALSE)/1,0))</f>
        <v/>
      </c>
      <c r="R211" s="31" t="str">
        <f>IF($D211="","",IFERROR(VLOOKUP($B211,Kraftvärmeprod!$B$1:$BX$550,MATCH(R$2,Kraftvärmeprod!$B$1:$VX$1,0),FALSE)/1,0)-IFERROR(VLOOKUP($B211,'Slutlig allokering kvv'!$B$2:$BX$550,MATCH(R$2,'Slutlig allokering kvv'!$B$1:$BX$1,0),FALSE)/1,0))</f>
        <v/>
      </c>
      <c r="S211" s="31" t="str">
        <f>IF($D211="","",IFERROR(VLOOKUP($B211,Kraftvärmeprod!$B$1:$BX$550,MATCH(S$2,Kraftvärmeprod!$B$1:$VX$1,0),FALSE)/1,0)-IFERROR(VLOOKUP($B211,'Slutlig allokering kvv'!$B$2:$BX$550,MATCH(S$2,'Slutlig allokering kvv'!$B$1:$BX$1,0),FALSE)/1,0))</f>
        <v/>
      </c>
      <c r="T211" s="31" t="str">
        <f>IF($D211="","",IFERROR(VLOOKUP($B211,Kraftvärmeprod!$B$1:$BX$550,MATCH(T$2,Kraftvärmeprod!$B$1:$VX$1,0),FALSE)/1,0)-IFERROR(VLOOKUP($B211,'Slutlig allokering kvv'!$B$2:$BX$550,MATCH(T$2,'Slutlig allokering kvv'!$B$1:$BX$1,0),FALSE)/1,0))</f>
        <v/>
      </c>
      <c r="U211" s="31" t="str">
        <f>IF($D211="","",IFERROR(VLOOKUP($B211,Kraftvärmeprod!$B$1:$BX$550,MATCH(U$2,Kraftvärmeprod!$B$1:$VX$1,0),FALSE)/1,0)-IFERROR(VLOOKUP($B211,'Slutlig allokering kvv'!$B$2:$BX$550,MATCH(U$2,'Slutlig allokering kvv'!$B$1:$BX$1,0),FALSE)/1,0))</f>
        <v/>
      </c>
      <c r="V211" s="31" t="str">
        <f>IF($D211="","",IFERROR(VLOOKUP($B211,Kraftvärmeprod!$B$1:$BX$550,MATCH(V$2,Kraftvärmeprod!$B$1:$VX$1,0),FALSE)/1,0)-IFERROR(VLOOKUP($B211,'Slutlig allokering kvv'!$B$2:$BX$550,MATCH(V$2,'Slutlig allokering kvv'!$B$1:$BX$1,0),FALSE)/1,0))</f>
        <v/>
      </c>
      <c r="W211" s="31" t="str">
        <f>IF($D211="","",IFERROR(VLOOKUP($B211,Kraftvärmeprod!$B$1:$BX$550,MATCH(W$2,Kraftvärmeprod!$B$1:$VX$1,0),FALSE)/1,0)-IFERROR(VLOOKUP($B211,'Slutlig allokering kvv'!$B$2:$BX$550,MATCH(W$2,'Slutlig allokering kvv'!$B$1:$BX$1,0),FALSE)/1,0))</f>
        <v/>
      </c>
      <c r="X211" s="31" t="str">
        <f>IF($D211="","",IFERROR(VLOOKUP($B211,Kraftvärmeprod!$B$1:$BX$550,MATCH(X$2,Kraftvärmeprod!$B$1:$VX$1,0),FALSE)/1,0)-IFERROR(VLOOKUP($B211,'Slutlig allokering kvv'!$B$2:$BX$550,MATCH(X$2,'Slutlig allokering kvv'!$B$1:$BX$1,0),FALSE)/1,0))</f>
        <v/>
      </c>
      <c r="Y211" s="31" t="str">
        <f>IF($D211="","",IFERROR(VLOOKUP($B211,Kraftvärmeprod!$B$1:$BX$550,MATCH(Y$2,Kraftvärmeprod!$B$1:$VX$1,0),FALSE)/1,0)-IFERROR(VLOOKUP($B211,'Slutlig allokering kvv'!$B$2:$BX$550,MATCH(Y$2,'Slutlig allokering kvv'!$B$1:$BX$1,0),FALSE)/1,0))</f>
        <v/>
      </c>
      <c r="Z211" s="31" t="str">
        <f>IF($D211="","",IFERROR(VLOOKUP($B211,Kraftvärmeprod!$B$1:$BX$550,MATCH(Z$2,Kraftvärmeprod!$B$1:$VX$1,0),FALSE)/1,0)-IFERROR(VLOOKUP($B211,'Slutlig allokering kvv'!$B$2:$BX$550,MATCH(Z$2,'Slutlig allokering kvv'!$B$1:$BX$1,0),FALSE)/1,0))</f>
        <v/>
      </c>
      <c r="AA211" s="31" t="str">
        <f>IF($D211="","",IFERROR(VLOOKUP($B211,Kraftvärmeprod!$B$1:$BX$550,MATCH(AA$2,Kraftvärmeprod!$B$1:$VX$1,0),FALSE)/1,0)-IFERROR(VLOOKUP($B211,'Slutlig allokering kvv'!$B$2:$BX$550,MATCH(AA$2,'Slutlig allokering kvv'!$B$1:$BX$1,0),FALSE)/1,0))</f>
        <v/>
      </c>
      <c r="AB211" s="31" t="str">
        <f>IF($D211="","",IFERROR(VLOOKUP($B211,Kraftvärmeprod!$B$1:$BX$550,MATCH(AB$2,Kraftvärmeprod!$B$1:$VX$1,0),FALSE)/1,0)-IFERROR(VLOOKUP($B211,'Slutlig allokering kvv'!$B$2:$BX$550,MATCH(AB$2,'Slutlig allokering kvv'!$B$1:$BX$1,0),FALSE)/1,0))</f>
        <v/>
      </c>
      <c r="AC211" s="31" t="str">
        <f>IF($D211="","",IFERROR(VLOOKUP($B211,Kraftvärmeprod!$B$1:$BX$550,MATCH(AC$2,Kraftvärmeprod!$B$1:$VX$1,0),FALSE)/1,0)-IFERROR(VLOOKUP($B211,'Slutlig allokering kvv'!$B$2:$BX$550,MATCH(AC$2,'Slutlig allokering kvv'!$B$1:$BX$1,0),FALSE)/1,0))</f>
        <v/>
      </c>
      <c r="AD211" s="31" t="str">
        <f>IF($D211="","",IFERROR(VLOOKUP($B211,Kraftvärmeprod!$B$1:$BX$550,MATCH(AD$2,Kraftvärmeprod!$B$1:$VX$1,0),FALSE)/1,0)-IFERROR(VLOOKUP($B211,'Slutlig allokering kvv'!$B$2:$BX$550,MATCH(AD$2,'Slutlig allokering kvv'!$B$1:$BX$1,0),FALSE)/1,0))</f>
        <v/>
      </c>
      <c r="AE211" s="31" t="str">
        <f>IF($D211="","",IFERROR(VLOOKUP($B211,Miljö!$B$1:$E$550,MATCH("Hjälpel kraftvärme (GWh)",Miljö!$B$1:$E$1,0),FALSE)/1,0)-IFERROR(VLOOKUP($B211,'Slutlig allokering kvv'!$B$2:$BX$549,MATCH(AE$2,'Slutlig allokering kvv'!$B$1:$BX$1,0),FALSE)/1,0))</f>
        <v/>
      </c>
      <c r="AI211" s="39">
        <f t="shared" si="12"/>
        <v>0</v>
      </c>
      <c r="AK211" s="31">
        <f>IFERROR(VLOOKUP($B211,'Slutlig allokering kvv'!$B$2:$AX$549,MATCH("Summa slutlig allokerad tillförd energi (utan hjälpel och rökgaskondensering):",'Slutlig allokering kvv'!$B$1:$AX$1,0),FALSE)/1,"")</f>
        <v>0</v>
      </c>
      <c r="AM211" s="31" t="str">
        <f>IFERROR(1-VLOOKUP($B211,'Slutlig allokering kvv'!$B$2:$AX$549,MATCH("Andel av bränsle i kvv som allokerats till värme, exklusive rökgaskondensering och hjälpel",'Slutlig allokering kvv'!$B$1:$AX$1,0),FALSE),"")</f>
        <v/>
      </c>
      <c r="AO211" s="31" t="str">
        <f t="shared" si="13"/>
        <v/>
      </c>
      <c r="AP211" s="31" t="str">
        <f t="shared" si="14"/>
        <v/>
      </c>
      <c r="AR211" s="32" t="str">
        <f t="shared" si="15"/>
        <v/>
      </c>
    </row>
    <row r="212" spans="1:44" s="31" customFormat="1" x14ac:dyDescent="0.45">
      <c r="A212" s="31" t="s">
        <v>376</v>
      </c>
      <c r="B212" s="31" t="s">
        <v>377</v>
      </c>
      <c r="C212" s="31" t="str">
        <f>IFERROR(VLOOKUP($B212,Kraftvärmeprod!$B$1:$AH$479,MATCH(C$2,Kraftvärmeprod!$B$1:$AG$1,0),FALSE)/1,"")</f>
        <v/>
      </c>
      <c r="D212" s="31" t="str">
        <f>IFERROR(VLOOKUP($B212,Kraftvärmeprod!$B$1:$AH$479,MATCH(D$2,Kraftvärmeprod!$B$1:$AG$1,0),FALSE)/1,"")</f>
        <v/>
      </c>
      <c r="F212" s="31" t="str">
        <f>IF($D212="","",IFERROR(VLOOKUP($B212,Kraftvärmeprod!$B$1:$BX$550,MATCH(F$2,Kraftvärmeprod!$B$1:$VX$1,0),FALSE)/1,0)-IFERROR(VLOOKUP($B212,'Slutlig allokering kvv'!$B$2:$BX$550,MATCH(F$2,'Slutlig allokering kvv'!$B$1:$BX$1,0),FALSE)/1,0))</f>
        <v/>
      </c>
      <c r="G212" s="31" t="str">
        <f>IF($D212="","",IFERROR(VLOOKUP($B212,Kraftvärmeprod!$B$1:$BX$550,MATCH(G$2,Kraftvärmeprod!$B$1:$VX$1,0),FALSE)/1,0)-IFERROR(VLOOKUP($B212,'Slutlig allokering kvv'!$B$2:$BX$550,MATCH(G$2,'Slutlig allokering kvv'!$B$1:$BX$1,0),FALSE)/1,0))</f>
        <v/>
      </c>
      <c r="H212" s="31" t="str">
        <f>IF($D212="","",IFERROR(VLOOKUP($B212,Kraftvärmeprod!$B$1:$BX$550,MATCH(H$2,Kraftvärmeprod!$B$1:$VX$1,0),FALSE)/1,0)-IFERROR(VLOOKUP($B212,'Slutlig allokering kvv'!$B$2:$BX$550,MATCH(H$2,'Slutlig allokering kvv'!$B$1:$BX$1,0),FALSE)/1,0))</f>
        <v/>
      </c>
      <c r="I212" s="31" t="str">
        <f>IF($D212="","",IFERROR(VLOOKUP($B212,Kraftvärmeprod!$B$1:$BX$550,MATCH(I$2,Kraftvärmeprod!$B$1:$VX$1,0),FALSE)/1,0)-IFERROR(VLOOKUP($B212,'Slutlig allokering kvv'!$B$2:$BX$550,MATCH(I$2,'Slutlig allokering kvv'!$B$1:$BX$1,0),FALSE)/1,0))</f>
        <v/>
      </c>
      <c r="J212" s="31" t="str">
        <f>IF($D212="","",IFERROR(VLOOKUP($B212,Kraftvärmeprod!$B$1:$BX$550,MATCH(J$2,Kraftvärmeprod!$B$1:$VX$1,0),FALSE)/1,0)-IFERROR(VLOOKUP($B212,'Slutlig allokering kvv'!$B$2:$BX$550,MATCH(J$2,'Slutlig allokering kvv'!$B$1:$BX$1,0),FALSE)/1,0))</f>
        <v/>
      </c>
      <c r="K212" s="31" t="str">
        <f>IF($D212="","",IFERROR(VLOOKUP($B212,Kraftvärmeprod!$B$1:$BX$550,MATCH(K$2,Kraftvärmeprod!$B$1:$VX$1,0),FALSE)/1,0)-IFERROR(VLOOKUP($B212,'Slutlig allokering kvv'!$B$2:$BX$550,MATCH(K$2,'Slutlig allokering kvv'!$B$1:$BX$1,0),FALSE)/1,0))</f>
        <v/>
      </c>
      <c r="L212" s="31" t="str">
        <f>IF($D212="","",IFERROR(VLOOKUP($B212,Kraftvärmeprod!$B$1:$BX$550,MATCH(L$2,Kraftvärmeprod!$B$1:$VX$1,0),FALSE)/1,0)-IFERROR(VLOOKUP($B212,'Slutlig allokering kvv'!$B$2:$BX$550,MATCH(L$2,'Slutlig allokering kvv'!$B$1:$BX$1,0),FALSE)/1,0))</f>
        <v/>
      </c>
      <c r="M212" s="31" t="str">
        <f>IF($D212="","",IFERROR(VLOOKUP($B212,Kraftvärmeprod!$B$1:$BX$550,MATCH(M$2,Kraftvärmeprod!$B$1:$VX$1,0),FALSE)/1,0)-IFERROR(VLOOKUP($B212,'Slutlig allokering kvv'!$B$2:$BX$550,MATCH(M$2,'Slutlig allokering kvv'!$B$1:$BX$1,0),FALSE)/1,0))</f>
        <v/>
      </c>
      <c r="N212" s="31" t="str">
        <f>IF($D212="","",IFERROR(VLOOKUP($B212,Kraftvärmeprod!$B$1:$BX$550,MATCH(N$2,Kraftvärmeprod!$B$1:$VX$1,0),FALSE)/1,0)-IFERROR(VLOOKUP($B212,'Slutlig allokering kvv'!$B$2:$BX$550,MATCH(N$2,'Slutlig allokering kvv'!$B$1:$BX$1,0),FALSE)/1,0))</f>
        <v/>
      </c>
      <c r="O212" s="31" t="str">
        <f>IF($D212="","",IFERROR(VLOOKUP($B212,Kraftvärmeprod!$B$1:$BX$550,MATCH(O$2,Kraftvärmeprod!$B$1:$VX$1,0),FALSE)/1,0)-IFERROR(VLOOKUP($B212,'Slutlig allokering kvv'!$B$2:$BX$550,MATCH(O$2,'Slutlig allokering kvv'!$B$1:$BX$1,0),FALSE)/1,0))</f>
        <v/>
      </c>
      <c r="P212" s="31" t="str">
        <f>IF($D212="","",IFERROR(VLOOKUP($B212,Kraftvärmeprod!$B$1:$BX$550,MATCH(P$2,Kraftvärmeprod!$B$1:$VX$1,0),FALSE)/1,0)-IFERROR(VLOOKUP($B212,'Slutlig allokering kvv'!$B$2:$BX$550,MATCH(P$2,'Slutlig allokering kvv'!$B$1:$BX$1,0),FALSE)/1,0))</f>
        <v/>
      </c>
      <c r="Q212" s="31" t="str">
        <f>IF($D212="","",IFERROR(VLOOKUP($B212,Kraftvärmeprod!$B$1:$BX$550,MATCH(Q$2,Kraftvärmeprod!$B$1:$VX$1,0),FALSE)/1,0)-IFERROR(VLOOKUP($B212,'Slutlig allokering kvv'!$B$2:$BX$550,MATCH(Q$2,'Slutlig allokering kvv'!$B$1:$BX$1,0),FALSE)/1,0))</f>
        <v/>
      </c>
      <c r="R212" s="31" t="str">
        <f>IF($D212="","",IFERROR(VLOOKUP($B212,Kraftvärmeprod!$B$1:$BX$550,MATCH(R$2,Kraftvärmeprod!$B$1:$VX$1,0),FALSE)/1,0)-IFERROR(VLOOKUP($B212,'Slutlig allokering kvv'!$B$2:$BX$550,MATCH(R$2,'Slutlig allokering kvv'!$B$1:$BX$1,0),FALSE)/1,0))</f>
        <v/>
      </c>
      <c r="S212" s="31" t="str">
        <f>IF($D212="","",IFERROR(VLOOKUP($B212,Kraftvärmeprod!$B$1:$BX$550,MATCH(S$2,Kraftvärmeprod!$B$1:$VX$1,0),FALSE)/1,0)-IFERROR(VLOOKUP($B212,'Slutlig allokering kvv'!$B$2:$BX$550,MATCH(S$2,'Slutlig allokering kvv'!$B$1:$BX$1,0),FALSE)/1,0))</f>
        <v/>
      </c>
      <c r="T212" s="31" t="str">
        <f>IF($D212="","",IFERROR(VLOOKUP($B212,Kraftvärmeprod!$B$1:$BX$550,MATCH(T$2,Kraftvärmeprod!$B$1:$VX$1,0),FALSE)/1,0)-IFERROR(VLOOKUP($B212,'Slutlig allokering kvv'!$B$2:$BX$550,MATCH(T$2,'Slutlig allokering kvv'!$B$1:$BX$1,0),FALSE)/1,0))</f>
        <v/>
      </c>
      <c r="U212" s="31" t="str">
        <f>IF($D212="","",IFERROR(VLOOKUP($B212,Kraftvärmeprod!$B$1:$BX$550,MATCH(U$2,Kraftvärmeprod!$B$1:$VX$1,0),FALSE)/1,0)-IFERROR(VLOOKUP($B212,'Slutlig allokering kvv'!$B$2:$BX$550,MATCH(U$2,'Slutlig allokering kvv'!$B$1:$BX$1,0),FALSE)/1,0))</f>
        <v/>
      </c>
      <c r="V212" s="31" t="str">
        <f>IF($D212="","",IFERROR(VLOOKUP($B212,Kraftvärmeprod!$B$1:$BX$550,MATCH(V$2,Kraftvärmeprod!$B$1:$VX$1,0),FALSE)/1,0)-IFERROR(VLOOKUP($B212,'Slutlig allokering kvv'!$B$2:$BX$550,MATCH(V$2,'Slutlig allokering kvv'!$B$1:$BX$1,0),FALSE)/1,0))</f>
        <v/>
      </c>
      <c r="W212" s="31" t="str">
        <f>IF($D212="","",IFERROR(VLOOKUP($B212,Kraftvärmeprod!$B$1:$BX$550,MATCH(W$2,Kraftvärmeprod!$B$1:$VX$1,0),FALSE)/1,0)-IFERROR(VLOOKUP($B212,'Slutlig allokering kvv'!$B$2:$BX$550,MATCH(W$2,'Slutlig allokering kvv'!$B$1:$BX$1,0),FALSE)/1,0))</f>
        <v/>
      </c>
      <c r="X212" s="31" t="str">
        <f>IF($D212="","",IFERROR(VLOOKUP($B212,Kraftvärmeprod!$B$1:$BX$550,MATCH(X$2,Kraftvärmeprod!$B$1:$VX$1,0),FALSE)/1,0)-IFERROR(VLOOKUP($B212,'Slutlig allokering kvv'!$B$2:$BX$550,MATCH(X$2,'Slutlig allokering kvv'!$B$1:$BX$1,0),FALSE)/1,0))</f>
        <v/>
      </c>
      <c r="Y212" s="31" t="str">
        <f>IF($D212="","",IFERROR(VLOOKUP($B212,Kraftvärmeprod!$B$1:$BX$550,MATCH(Y$2,Kraftvärmeprod!$B$1:$VX$1,0),FALSE)/1,0)-IFERROR(VLOOKUP($B212,'Slutlig allokering kvv'!$B$2:$BX$550,MATCH(Y$2,'Slutlig allokering kvv'!$B$1:$BX$1,0),FALSE)/1,0))</f>
        <v/>
      </c>
      <c r="Z212" s="31" t="str">
        <f>IF($D212="","",IFERROR(VLOOKUP($B212,Kraftvärmeprod!$B$1:$BX$550,MATCH(Z$2,Kraftvärmeprod!$B$1:$VX$1,0),FALSE)/1,0)-IFERROR(VLOOKUP($B212,'Slutlig allokering kvv'!$B$2:$BX$550,MATCH(Z$2,'Slutlig allokering kvv'!$B$1:$BX$1,0),FALSE)/1,0))</f>
        <v/>
      </c>
      <c r="AA212" s="31" t="str">
        <f>IF($D212="","",IFERROR(VLOOKUP($B212,Kraftvärmeprod!$B$1:$BX$550,MATCH(AA$2,Kraftvärmeprod!$B$1:$VX$1,0),FALSE)/1,0)-IFERROR(VLOOKUP($B212,'Slutlig allokering kvv'!$B$2:$BX$550,MATCH(AA$2,'Slutlig allokering kvv'!$B$1:$BX$1,0),FALSE)/1,0))</f>
        <v/>
      </c>
      <c r="AB212" s="31" t="str">
        <f>IF($D212="","",IFERROR(VLOOKUP($B212,Kraftvärmeprod!$B$1:$BX$550,MATCH(AB$2,Kraftvärmeprod!$B$1:$VX$1,0),FALSE)/1,0)-IFERROR(VLOOKUP($B212,'Slutlig allokering kvv'!$B$2:$BX$550,MATCH(AB$2,'Slutlig allokering kvv'!$B$1:$BX$1,0),FALSE)/1,0))</f>
        <v/>
      </c>
      <c r="AC212" s="31" t="str">
        <f>IF($D212="","",IFERROR(VLOOKUP($B212,Kraftvärmeprod!$B$1:$BX$550,MATCH(AC$2,Kraftvärmeprod!$B$1:$VX$1,0),FALSE)/1,0)-IFERROR(VLOOKUP($B212,'Slutlig allokering kvv'!$B$2:$BX$550,MATCH(AC$2,'Slutlig allokering kvv'!$B$1:$BX$1,0),FALSE)/1,0))</f>
        <v/>
      </c>
      <c r="AD212" s="31" t="str">
        <f>IF($D212="","",IFERROR(VLOOKUP($B212,Kraftvärmeprod!$B$1:$BX$550,MATCH(AD$2,Kraftvärmeprod!$B$1:$VX$1,0),FALSE)/1,0)-IFERROR(VLOOKUP($B212,'Slutlig allokering kvv'!$B$2:$BX$550,MATCH(AD$2,'Slutlig allokering kvv'!$B$1:$BX$1,0),FALSE)/1,0))</f>
        <v/>
      </c>
      <c r="AE212" s="31" t="str">
        <f>IF($D212="","",IFERROR(VLOOKUP($B212,Miljö!$B$1:$E$550,MATCH("Hjälpel kraftvärme (GWh)",Miljö!$B$1:$E$1,0),FALSE)/1,0)-IFERROR(VLOOKUP($B212,'Slutlig allokering kvv'!$B$2:$BX$549,MATCH(AE$2,'Slutlig allokering kvv'!$B$1:$BX$1,0),FALSE)/1,0))</f>
        <v/>
      </c>
      <c r="AI212" s="39">
        <f t="shared" si="12"/>
        <v>0</v>
      </c>
      <c r="AK212" s="31">
        <f>IFERROR(VLOOKUP($B212,'Slutlig allokering kvv'!$B$2:$AX$549,MATCH("Summa slutlig allokerad tillförd energi (utan hjälpel och rökgaskondensering):",'Slutlig allokering kvv'!$B$1:$AX$1,0),FALSE)/1,"")</f>
        <v>0</v>
      </c>
      <c r="AM212" s="31" t="str">
        <f>IFERROR(1-VLOOKUP($B212,'Slutlig allokering kvv'!$B$2:$AX$549,MATCH("Andel av bränsle i kvv som allokerats till värme, exklusive rökgaskondensering och hjälpel",'Slutlig allokering kvv'!$B$1:$AX$1,0),FALSE),"")</f>
        <v/>
      </c>
      <c r="AO212" s="31" t="str">
        <f t="shared" si="13"/>
        <v/>
      </c>
      <c r="AP212" s="31" t="str">
        <f t="shared" si="14"/>
        <v/>
      </c>
      <c r="AR212" s="32" t="str">
        <f t="shared" si="15"/>
        <v/>
      </c>
    </row>
    <row r="213" spans="1:44" s="31" customFormat="1" x14ac:dyDescent="0.45">
      <c r="A213" s="31" t="s">
        <v>376</v>
      </c>
      <c r="B213" s="31" t="s">
        <v>375</v>
      </c>
      <c r="C213" s="31" t="str">
        <f>IFERROR(VLOOKUP($B213,Kraftvärmeprod!$B$1:$AH$479,MATCH(C$2,Kraftvärmeprod!$B$1:$AG$1,0),FALSE)/1,"")</f>
        <v/>
      </c>
      <c r="D213" s="31" t="str">
        <f>IFERROR(VLOOKUP($B213,Kraftvärmeprod!$B$1:$AH$479,MATCH(D$2,Kraftvärmeprod!$B$1:$AG$1,0),FALSE)/1,"")</f>
        <v/>
      </c>
      <c r="F213" s="31" t="str">
        <f>IF($D213="","",IFERROR(VLOOKUP($B213,Kraftvärmeprod!$B$1:$BX$550,MATCH(F$2,Kraftvärmeprod!$B$1:$VX$1,0),FALSE)/1,0)-IFERROR(VLOOKUP($B213,'Slutlig allokering kvv'!$B$2:$BX$550,MATCH(F$2,'Slutlig allokering kvv'!$B$1:$BX$1,0),FALSE)/1,0))</f>
        <v/>
      </c>
      <c r="G213" s="31" t="str">
        <f>IF($D213="","",IFERROR(VLOOKUP($B213,Kraftvärmeprod!$B$1:$BX$550,MATCH(G$2,Kraftvärmeprod!$B$1:$VX$1,0),FALSE)/1,0)-IFERROR(VLOOKUP($B213,'Slutlig allokering kvv'!$B$2:$BX$550,MATCH(G$2,'Slutlig allokering kvv'!$B$1:$BX$1,0),FALSE)/1,0))</f>
        <v/>
      </c>
      <c r="H213" s="31" t="str">
        <f>IF($D213="","",IFERROR(VLOOKUP($B213,Kraftvärmeprod!$B$1:$BX$550,MATCH(H$2,Kraftvärmeprod!$B$1:$VX$1,0),FALSE)/1,0)-IFERROR(VLOOKUP($B213,'Slutlig allokering kvv'!$B$2:$BX$550,MATCH(H$2,'Slutlig allokering kvv'!$B$1:$BX$1,0),FALSE)/1,0))</f>
        <v/>
      </c>
      <c r="I213" s="31" t="str">
        <f>IF($D213="","",IFERROR(VLOOKUP($B213,Kraftvärmeprod!$B$1:$BX$550,MATCH(I$2,Kraftvärmeprod!$B$1:$VX$1,0),FALSE)/1,0)-IFERROR(VLOOKUP($B213,'Slutlig allokering kvv'!$B$2:$BX$550,MATCH(I$2,'Slutlig allokering kvv'!$B$1:$BX$1,0),FALSE)/1,0))</f>
        <v/>
      </c>
      <c r="J213" s="31" t="str">
        <f>IF($D213="","",IFERROR(VLOOKUP($B213,Kraftvärmeprod!$B$1:$BX$550,MATCH(J$2,Kraftvärmeprod!$B$1:$VX$1,0),FALSE)/1,0)-IFERROR(VLOOKUP($B213,'Slutlig allokering kvv'!$B$2:$BX$550,MATCH(J$2,'Slutlig allokering kvv'!$B$1:$BX$1,0),FALSE)/1,0))</f>
        <v/>
      </c>
      <c r="K213" s="31" t="str">
        <f>IF($D213="","",IFERROR(VLOOKUP($B213,Kraftvärmeprod!$B$1:$BX$550,MATCH(K$2,Kraftvärmeprod!$B$1:$VX$1,0),FALSE)/1,0)-IFERROR(VLOOKUP($B213,'Slutlig allokering kvv'!$B$2:$BX$550,MATCH(K$2,'Slutlig allokering kvv'!$B$1:$BX$1,0),FALSE)/1,0))</f>
        <v/>
      </c>
      <c r="L213" s="31" t="str">
        <f>IF($D213="","",IFERROR(VLOOKUP($B213,Kraftvärmeprod!$B$1:$BX$550,MATCH(L$2,Kraftvärmeprod!$B$1:$VX$1,0),FALSE)/1,0)-IFERROR(VLOOKUP($B213,'Slutlig allokering kvv'!$B$2:$BX$550,MATCH(L$2,'Slutlig allokering kvv'!$B$1:$BX$1,0),FALSE)/1,0))</f>
        <v/>
      </c>
      <c r="M213" s="31" t="str">
        <f>IF($D213="","",IFERROR(VLOOKUP($B213,Kraftvärmeprod!$B$1:$BX$550,MATCH(M$2,Kraftvärmeprod!$B$1:$VX$1,0),FALSE)/1,0)-IFERROR(VLOOKUP($B213,'Slutlig allokering kvv'!$B$2:$BX$550,MATCH(M$2,'Slutlig allokering kvv'!$B$1:$BX$1,0),FALSE)/1,0))</f>
        <v/>
      </c>
      <c r="N213" s="31" t="str">
        <f>IF($D213="","",IFERROR(VLOOKUP($B213,Kraftvärmeprod!$B$1:$BX$550,MATCH(N$2,Kraftvärmeprod!$B$1:$VX$1,0),FALSE)/1,0)-IFERROR(VLOOKUP($B213,'Slutlig allokering kvv'!$B$2:$BX$550,MATCH(N$2,'Slutlig allokering kvv'!$B$1:$BX$1,0),FALSE)/1,0))</f>
        <v/>
      </c>
      <c r="O213" s="31" t="str">
        <f>IF($D213="","",IFERROR(VLOOKUP($B213,Kraftvärmeprod!$B$1:$BX$550,MATCH(O$2,Kraftvärmeprod!$B$1:$VX$1,0),FALSE)/1,0)-IFERROR(VLOOKUP($B213,'Slutlig allokering kvv'!$B$2:$BX$550,MATCH(O$2,'Slutlig allokering kvv'!$B$1:$BX$1,0),FALSE)/1,0))</f>
        <v/>
      </c>
      <c r="P213" s="31" t="str">
        <f>IF($D213="","",IFERROR(VLOOKUP($B213,Kraftvärmeprod!$B$1:$BX$550,MATCH(P$2,Kraftvärmeprod!$B$1:$VX$1,0),FALSE)/1,0)-IFERROR(VLOOKUP($B213,'Slutlig allokering kvv'!$B$2:$BX$550,MATCH(P$2,'Slutlig allokering kvv'!$B$1:$BX$1,0),FALSE)/1,0))</f>
        <v/>
      </c>
      <c r="Q213" s="31" t="str">
        <f>IF($D213="","",IFERROR(VLOOKUP($B213,Kraftvärmeprod!$B$1:$BX$550,MATCH(Q$2,Kraftvärmeprod!$B$1:$VX$1,0),FALSE)/1,0)-IFERROR(VLOOKUP($B213,'Slutlig allokering kvv'!$B$2:$BX$550,MATCH(Q$2,'Slutlig allokering kvv'!$B$1:$BX$1,0),FALSE)/1,0))</f>
        <v/>
      </c>
      <c r="R213" s="31" t="str">
        <f>IF($D213="","",IFERROR(VLOOKUP($B213,Kraftvärmeprod!$B$1:$BX$550,MATCH(R$2,Kraftvärmeprod!$B$1:$VX$1,0),FALSE)/1,0)-IFERROR(VLOOKUP($B213,'Slutlig allokering kvv'!$B$2:$BX$550,MATCH(R$2,'Slutlig allokering kvv'!$B$1:$BX$1,0),FALSE)/1,0))</f>
        <v/>
      </c>
      <c r="S213" s="31" t="str">
        <f>IF($D213="","",IFERROR(VLOOKUP($B213,Kraftvärmeprod!$B$1:$BX$550,MATCH(S$2,Kraftvärmeprod!$B$1:$VX$1,0),FALSE)/1,0)-IFERROR(VLOOKUP($B213,'Slutlig allokering kvv'!$B$2:$BX$550,MATCH(S$2,'Slutlig allokering kvv'!$B$1:$BX$1,0),FALSE)/1,0))</f>
        <v/>
      </c>
      <c r="T213" s="31" t="str">
        <f>IF($D213="","",IFERROR(VLOOKUP($B213,Kraftvärmeprod!$B$1:$BX$550,MATCH(T$2,Kraftvärmeprod!$B$1:$VX$1,0),FALSE)/1,0)-IFERROR(VLOOKUP($B213,'Slutlig allokering kvv'!$B$2:$BX$550,MATCH(T$2,'Slutlig allokering kvv'!$B$1:$BX$1,0),FALSE)/1,0))</f>
        <v/>
      </c>
      <c r="U213" s="31" t="str">
        <f>IF($D213="","",IFERROR(VLOOKUP($B213,Kraftvärmeprod!$B$1:$BX$550,MATCH(U$2,Kraftvärmeprod!$B$1:$VX$1,0),FALSE)/1,0)-IFERROR(VLOOKUP($B213,'Slutlig allokering kvv'!$B$2:$BX$550,MATCH(U$2,'Slutlig allokering kvv'!$B$1:$BX$1,0),FALSE)/1,0))</f>
        <v/>
      </c>
      <c r="V213" s="31" t="str">
        <f>IF($D213="","",IFERROR(VLOOKUP($B213,Kraftvärmeprod!$B$1:$BX$550,MATCH(V$2,Kraftvärmeprod!$B$1:$VX$1,0),FALSE)/1,0)-IFERROR(VLOOKUP($B213,'Slutlig allokering kvv'!$B$2:$BX$550,MATCH(V$2,'Slutlig allokering kvv'!$B$1:$BX$1,0),FALSE)/1,0))</f>
        <v/>
      </c>
      <c r="W213" s="31" t="str">
        <f>IF($D213="","",IFERROR(VLOOKUP($B213,Kraftvärmeprod!$B$1:$BX$550,MATCH(W$2,Kraftvärmeprod!$B$1:$VX$1,0),FALSE)/1,0)-IFERROR(VLOOKUP($B213,'Slutlig allokering kvv'!$B$2:$BX$550,MATCH(W$2,'Slutlig allokering kvv'!$B$1:$BX$1,0),FALSE)/1,0))</f>
        <v/>
      </c>
      <c r="X213" s="31" t="str">
        <f>IF($D213="","",IFERROR(VLOOKUP($B213,Kraftvärmeprod!$B$1:$BX$550,MATCH(X$2,Kraftvärmeprod!$B$1:$VX$1,0),FALSE)/1,0)-IFERROR(VLOOKUP($B213,'Slutlig allokering kvv'!$B$2:$BX$550,MATCH(X$2,'Slutlig allokering kvv'!$B$1:$BX$1,0),FALSE)/1,0))</f>
        <v/>
      </c>
      <c r="Y213" s="31" t="str">
        <f>IF($D213="","",IFERROR(VLOOKUP($B213,Kraftvärmeprod!$B$1:$BX$550,MATCH(Y$2,Kraftvärmeprod!$B$1:$VX$1,0),FALSE)/1,0)-IFERROR(VLOOKUP($B213,'Slutlig allokering kvv'!$B$2:$BX$550,MATCH(Y$2,'Slutlig allokering kvv'!$B$1:$BX$1,0),FALSE)/1,0))</f>
        <v/>
      </c>
      <c r="Z213" s="31" t="str">
        <f>IF($D213="","",IFERROR(VLOOKUP($B213,Kraftvärmeprod!$B$1:$BX$550,MATCH(Z$2,Kraftvärmeprod!$B$1:$VX$1,0),FALSE)/1,0)-IFERROR(VLOOKUP($B213,'Slutlig allokering kvv'!$B$2:$BX$550,MATCH(Z$2,'Slutlig allokering kvv'!$B$1:$BX$1,0),FALSE)/1,0))</f>
        <v/>
      </c>
      <c r="AA213" s="31" t="str">
        <f>IF($D213="","",IFERROR(VLOOKUP($B213,Kraftvärmeprod!$B$1:$BX$550,MATCH(AA$2,Kraftvärmeprod!$B$1:$VX$1,0),FALSE)/1,0)-IFERROR(VLOOKUP($B213,'Slutlig allokering kvv'!$B$2:$BX$550,MATCH(AA$2,'Slutlig allokering kvv'!$B$1:$BX$1,0),FALSE)/1,0))</f>
        <v/>
      </c>
      <c r="AB213" s="31" t="str">
        <f>IF($D213="","",IFERROR(VLOOKUP($B213,Kraftvärmeprod!$B$1:$BX$550,MATCH(AB$2,Kraftvärmeprod!$B$1:$VX$1,0),FALSE)/1,0)-IFERROR(VLOOKUP($B213,'Slutlig allokering kvv'!$B$2:$BX$550,MATCH(AB$2,'Slutlig allokering kvv'!$B$1:$BX$1,0),FALSE)/1,0))</f>
        <v/>
      </c>
      <c r="AC213" s="31" t="str">
        <f>IF($D213="","",IFERROR(VLOOKUP($B213,Kraftvärmeprod!$B$1:$BX$550,MATCH(AC$2,Kraftvärmeprod!$B$1:$VX$1,0),FALSE)/1,0)-IFERROR(VLOOKUP($B213,'Slutlig allokering kvv'!$B$2:$BX$550,MATCH(AC$2,'Slutlig allokering kvv'!$B$1:$BX$1,0),FALSE)/1,0))</f>
        <v/>
      </c>
      <c r="AD213" s="31" t="str">
        <f>IF($D213="","",IFERROR(VLOOKUP($B213,Kraftvärmeprod!$B$1:$BX$550,MATCH(AD$2,Kraftvärmeprod!$B$1:$VX$1,0),FALSE)/1,0)-IFERROR(VLOOKUP($B213,'Slutlig allokering kvv'!$B$2:$BX$550,MATCH(AD$2,'Slutlig allokering kvv'!$B$1:$BX$1,0),FALSE)/1,0))</f>
        <v/>
      </c>
      <c r="AE213" s="31" t="str">
        <f>IF($D213="","",IFERROR(VLOOKUP($B213,Miljö!$B$1:$E$550,MATCH("Hjälpel kraftvärme (GWh)",Miljö!$B$1:$E$1,0),FALSE)/1,0)-IFERROR(VLOOKUP($B213,'Slutlig allokering kvv'!$B$2:$BX$549,MATCH(AE$2,'Slutlig allokering kvv'!$B$1:$BX$1,0),FALSE)/1,0))</f>
        <v/>
      </c>
      <c r="AI213" s="39">
        <f t="shared" si="12"/>
        <v>0</v>
      </c>
      <c r="AK213" s="31">
        <f>IFERROR(VLOOKUP($B213,'Slutlig allokering kvv'!$B$2:$AX$549,MATCH("Summa slutlig allokerad tillförd energi (utan hjälpel och rökgaskondensering):",'Slutlig allokering kvv'!$B$1:$AX$1,0),FALSE)/1,"")</f>
        <v>0</v>
      </c>
      <c r="AM213" s="31" t="str">
        <f>IFERROR(1-VLOOKUP($B213,'Slutlig allokering kvv'!$B$2:$AX$549,MATCH("Andel av bränsle i kvv som allokerats till värme, exklusive rökgaskondensering och hjälpel",'Slutlig allokering kvv'!$B$1:$AX$1,0),FALSE),"")</f>
        <v/>
      </c>
      <c r="AO213" s="31" t="str">
        <f t="shared" si="13"/>
        <v/>
      </c>
      <c r="AP213" s="31" t="str">
        <f t="shared" si="14"/>
        <v/>
      </c>
      <c r="AR213" s="32" t="str">
        <f t="shared" si="15"/>
        <v/>
      </c>
    </row>
    <row r="214" spans="1:44" s="31" customFormat="1" x14ac:dyDescent="0.45">
      <c r="A214" s="31" t="s">
        <v>371</v>
      </c>
      <c r="B214" s="31" t="s">
        <v>372</v>
      </c>
      <c r="C214" s="31" t="str">
        <f>IFERROR(VLOOKUP($B214,Kraftvärmeprod!$B$1:$AH$479,MATCH(C$2,Kraftvärmeprod!$B$1:$AG$1,0),FALSE)/1,"")</f>
        <v/>
      </c>
      <c r="D214" s="31" t="str">
        <f>IFERROR(VLOOKUP($B214,Kraftvärmeprod!$B$1:$AH$479,MATCH(D$2,Kraftvärmeprod!$B$1:$AG$1,0),FALSE)/1,"")</f>
        <v/>
      </c>
      <c r="F214" s="31" t="str">
        <f>IF($D214="","",IFERROR(VLOOKUP($B214,Kraftvärmeprod!$B$1:$BX$550,MATCH(F$2,Kraftvärmeprod!$B$1:$VX$1,0),FALSE)/1,0)-IFERROR(VLOOKUP($B214,'Slutlig allokering kvv'!$B$2:$BX$550,MATCH(F$2,'Slutlig allokering kvv'!$B$1:$BX$1,0),FALSE)/1,0))</f>
        <v/>
      </c>
      <c r="G214" s="31" t="str">
        <f>IF($D214="","",IFERROR(VLOOKUP($B214,Kraftvärmeprod!$B$1:$BX$550,MATCH(G$2,Kraftvärmeprod!$B$1:$VX$1,0),FALSE)/1,0)-IFERROR(VLOOKUP($B214,'Slutlig allokering kvv'!$B$2:$BX$550,MATCH(G$2,'Slutlig allokering kvv'!$B$1:$BX$1,0),FALSE)/1,0))</f>
        <v/>
      </c>
      <c r="H214" s="31" t="str">
        <f>IF($D214="","",IFERROR(VLOOKUP($B214,Kraftvärmeprod!$B$1:$BX$550,MATCH(H$2,Kraftvärmeprod!$B$1:$VX$1,0),FALSE)/1,0)-IFERROR(VLOOKUP($B214,'Slutlig allokering kvv'!$B$2:$BX$550,MATCH(H$2,'Slutlig allokering kvv'!$B$1:$BX$1,0),FALSE)/1,0))</f>
        <v/>
      </c>
      <c r="I214" s="31" t="str">
        <f>IF($D214="","",IFERROR(VLOOKUP($B214,Kraftvärmeprod!$B$1:$BX$550,MATCH(I$2,Kraftvärmeprod!$B$1:$VX$1,0),FALSE)/1,0)-IFERROR(VLOOKUP($B214,'Slutlig allokering kvv'!$B$2:$BX$550,MATCH(I$2,'Slutlig allokering kvv'!$B$1:$BX$1,0),FALSE)/1,0))</f>
        <v/>
      </c>
      <c r="J214" s="31" t="str">
        <f>IF($D214="","",IFERROR(VLOOKUP($B214,Kraftvärmeprod!$B$1:$BX$550,MATCH(J$2,Kraftvärmeprod!$B$1:$VX$1,0),FALSE)/1,0)-IFERROR(VLOOKUP($B214,'Slutlig allokering kvv'!$B$2:$BX$550,MATCH(J$2,'Slutlig allokering kvv'!$B$1:$BX$1,0),FALSE)/1,0))</f>
        <v/>
      </c>
      <c r="K214" s="31" t="str">
        <f>IF($D214="","",IFERROR(VLOOKUP($B214,Kraftvärmeprod!$B$1:$BX$550,MATCH(K$2,Kraftvärmeprod!$B$1:$VX$1,0),FALSE)/1,0)-IFERROR(VLOOKUP($B214,'Slutlig allokering kvv'!$B$2:$BX$550,MATCH(K$2,'Slutlig allokering kvv'!$B$1:$BX$1,0),FALSE)/1,0))</f>
        <v/>
      </c>
      <c r="L214" s="31" t="str">
        <f>IF($D214="","",IFERROR(VLOOKUP($B214,Kraftvärmeprod!$B$1:$BX$550,MATCH(L$2,Kraftvärmeprod!$B$1:$VX$1,0),FALSE)/1,0)-IFERROR(VLOOKUP($B214,'Slutlig allokering kvv'!$B$2:$BX$550,MATCH(L$2,'Slutlig allokering kvv'!$B$1:$BX$1,0),FALSE)/1,0))</f>
        <v/>
      </c>
      <c r="M214" s="31" t="str">
        <f>IF($D214="","",IFERROR(VLOOKUP($B214,Kraftvärmeprod!$B$1:$BX$550,MATCH(M$2,Kraftvärmeprod!$B$1:$VX$1,0),FALSE)/1,0)-IFERROR(VLOOKUP($B214,'Slutlig allokering kvv'!$B$2:$BX$550,MATCH(M$2,'Slutlig allokering kvv'!$B$1:$BX$1,0),FALSE)/1,0))</f>
        <v/>
      </c>
      <c r="N214" s="31" t="str">
        <f>IF($D214="","",IFERROR(VLOOKUP($B214,Kraftvärmeprod!$B$1:$BX$550,MATCH(N$2,Kraftvärmeprod!$B$1:$VX$1,0),FALSE)/1,0)-IFERROR(VLOOKUP($B214,'Slutlig allokering kvv'!$B$2:$BX$550,MATCH(N$2,'Slutlig allokering kvv'!$B$1:$BX$1,0),FALSE)/1,0))</f>
        <v/>
      </c>
      <c r="O214" s="31" t="str">
        <f>IF($D214="","",IFERROR(VLOOKUP($B214,Kraftvärmeprod!$B$1:$BX$550,MATCH(O$2,Kraftvärmeprod!$B$1:$VX$1,0),FALSE)/1,0)-IFERROR(VLOOKUP($B214,'Slutlig allokering kvv'!$B$2:$BX$550,MATCH(O$2,'Slutlig allokering kvv'!$B$1:$BX$1,0),FALSE)/1,0))</f>
        <v/>
      </c>
      <c r="P214" s="31" t="str">
        <f>IF($D214="","",IFERROR(VLOOKUP($B214,Kraftvärmeprod!$B$1:$BX$550,MATCH(P$2,Kraftvärmeprod!$B$1:$VX$1,0),FALSE)/1,0)-IFERROR(VLOOKUP($B214,'Slutlig allokering kvv'!$B$2:$BX$550,MATCH(P$2,'Slutlig allokering kvv'!$B$1:$BX$1,0),FALSE)/1,0))</f>
        <v/>
      </c>
      <c r="Q214" s="31" t="str">
        <f>IF($D214="","",IFERROR(VLOOKUP($B214,Kraftvärmeprod!$B$1:$BX$550,MATCH(Q$2,Kraftvärmeprod!$B$1:$VX$1,0),FALSE)/1,0)-IFERROR(VLOOKUP($B214,'Slutlig allokering kvv'!$B$2:$BX$550,MATCH(Q$2,'Slutlig allokering kvv'!$B$1:$BX$1,0),FALSE)/1,0))</f>
        <v/>
      </c>
      <c r="R214" s="31" t="str">
        <f>IF($D214="","",IFERROR(VLOOKUP($B214,Kraftvärmeprod!$B$1:$BX$550,MATCH(R$2,Kraftvärmeprod!$B$1:$VX$1,0),FALSE)/1,0)-IFERROR(VLOOKUP($B214,'Slutlig allokering kvv'!$B$2:$BX$550,MATCH(R$2,'Slutlig allokering kvv'!$B$1:$BX$1,0),FALSE)/1,0))</f>
        <v/>
      </c>
      <c r="S214" s="31" t="str">
        <f>IF($D214="","",IFERROR(VLOOKUP($B214,Kraftvärmeprod!$B$1:$BX$550,MATCH(S$2,Kraftvärmeprod!$B$1:$VX$1,0),FALSE)/1,0)-IFERROR(VLOOKUP($B214,'Slutlig allokering kvv'!$B$2:$BX$550,MATCH(S$2,'Slutlig allokering kvv'!$B$1:$BX$1,0),FALSE)/1,0))</f>
        <v/>
      </c>
      <c r="T214" s="31" t="str">
        <f>IF($D214="","",IFERROR(VLOOKUP($B214,Kraftvärmeprod!$B$1:$BX$550,MATCH(T$2,Kraftvärmeprod!$B$1:$VX$1,0),FALSE)/1,0)-IFERROR(VLOOKUP($B214,'Slutlig allokering kvv'!$B$2:$BX$550,MATCH(T$2,'Slutlig allokering kvv'!$B$1:$BX$1,0),FALSE)/1,0))</f>
        <v/>
      </c>
      <c r="U214" s="31" t="str">
        <f>IF($D214="","",IFERROR(VLOOKUP($B214,Kraftvärmeprod!$B$1:$BX$550,MATCH(U$2,Kraftvärmeprod!$B$1:$VX$1,0),FALSE)/1,0)-IFERROR(VLOOKUP($B214,'Slutlig allokering kvv'!$B$2:$BX$550,MATCH(U$2,'Slutlig allokering kvv'!$B$1:$BX$1,0),FALSE)/1,0))</f>
        <v/>
      </c>
      <c r="V214" s="31" t="str">
        <f>IF($D214="","",IFERROR(VLOOKUP($B214,Kraftvärmeprod!$B$1:$BX$550,MATCH(V$2,Kraftvärmeprod!$B$1:$VX$1,0),FALSE)/1,0)-IFERROR(VLOOKUP($B214,'Slutlig allokering kvv'!$B$2:$BX$550,MATCH(V$2,'Slutlig allokering kvv'!$B$1:$BX$1,0),FALSE)/1,0))</f>
        <v/>
      </c>
      <c r="W214" s="31" t="str">
        <f>IF($D214="","",IFERROR(VLOOKUP($B214,Kraftvärmeprod!$B$1:$BX$550,MATCH(W$2,Kraftvärmeprod!$B$1:$VX$1,0),FALSE)/1,0)-IFERROR(VLOOKUP($B214,'Slutlig allokering kvv'!$B$2:$BX$550,MATCH(W$2,'Slutlig allokering kvv'!$B$1:$BX$1,0),FALSE)/1,0))</f>
        <v/>
      </c>
      <c r="X214" s="31" t="str">
        <f>IF($D214="","",IFERROR(VLOOKUP($B214,Kraftvärmeprod!$B$1:$BX$550,MATCH(X$2,Kraftvärmeprod!$B$1:$VX$1,0),FALSE)/1,0)-IFERROR(VLOOKUP($B214,'Slutlig allokering kvv'!$B$2:$BX$550,MATCH(X$2,'Slutlig allokering kvv'!$B$1:$BX$1,0),FALSE)/1,0))</f>
        <v/>
      </c>
      <c r="Y214" s="31" t="str">
        <f>IF($D214="","",IFERROR(VLOOKUP($B214,Kraftvärmeprod!$B$1:$BX$550,MATCH(Y$2,Kraftvärmeprod!$B$1:$VX$1,0),FALSE)/1,0)-IFERROR(VLOOKUP($B214,'Slutlig allokering kvv'!$B$2:$BX$550,MATCH(Y$2,'Slutlig allokering kvv'!$B$1:$BX$1,0),FALSE)/1,0))</f>
        <v/>
      </c>
      <c r="Z214" s="31" t="str">
        <f>IF($D214="","",IFERROR(VLOOKUP($B214,Kraftvärmeprod!$B$1:$BX$550,MATCH(Z$2,Kraftvärmeprod!$B$1:$VX$1,0),FALSE)/1,0)-IFERROR(VLOOKUP($B214,'Slutlig allokering kvv'!$B$2:$BX$550,MATCH(Z$2,'Slutlig allokering kvv'!$B$1:$BX$1,0),FALSE)/1,0))</f>
        <v/>
      </c>
      <c r="AA214" s="31" t="str">
        <f>IF($D214="","",IFERROR(VLOOKUP($B214,Kraftvärmeprod!$B$1:$BX$550,MATCH(AA$2,Kraftvärmeprod!$B$1:$VX$1,0),FALSE)/1,0)-IFERROR(VLOOKUP($B214,'Slutlig allokering kvv'!$B$2:$BX$550,MATCH(AA$2,'Slutlig allokering kvv'!$B$1:$BX$1,0),FALSE)/1,0))</f>
        <v/>
      </c>
      <c r="AB214" s="31" t="str">
        <f>IF($D214="","",IFERROR(VLOOKUP($B214,Kraftvärmeprod!$B$1:$BX$550,MATCH(AB$2,Kraftvärmeprod!$B$1:$VX$1,0),FALSE)/1,0)-IFERROR(VLOOKUP($B214,'Slutlig allokering kvv'!$B$2:$BX$550,MATCH(AB$2,'Slutlig allokering kvv'!$B$1:$BX$1,0),FALSE)/1,0))</f>
        <v/>
      </c>
      <c r="AC214" s="31" t="str">
        <f>IF($D214="","",IFERROR(VLOOKUP($B214,Kraftvärmeprod!$B$1:$BX$550,MATCH(AC$2,Kraftvärmeprod!$B$1:$VX$1,0),FALSE)/1,0)-IFERROR(VLOOKUP($B214,'Slutlig allokering kvv'!$B$2:$BX$550,MATCH(AC$2,'Slutlig allokering kvv'!$B$1:$BX$1,0),FALSE)/1,0))</f>
        <v/>
      </c>
      <c r="AD214" s="31" t="str">
        <f>IF($D214="","",IFERROR(VLOOKUP($B214,Kraftvärmeprod!$B$1:$BX$550,MATCH(AD$2,Kraftvärmeprod!$B$1:$VX$1,0),FALSE)/1,0)-IFERROR(VLOOKUP($B214,'Slutlig allokering kvv'!$B$2:$BX$550,MATCH(AD$2,'Slutlig allokering kvv'!$B$1:$BX$1,0),FALSE)/1,0))</f>
        <v/>
      </c>
      <c r="AE214" s="31" t="str">
        <f>IF($D214="","",IFERROR(VLOOKUP($B214,Miljö!$B$1:$E$550,MATCH("Hjälpel kraftvärme (GWh)",Miljö!$B$1:$E$1,0),FALSE)/1,0)-IFERROR(VLOOKUP($B214,'Slutlig allokering kvv'!$B$2:$BX$549,MATCH(AE$2,'Slutlig allokering kvv'!$B$1:$BX$1,0),FALSE)/1,0))</f>
        <v/>
      </c>
      <c r="AI214" s="39">
        <f t="shared" si="12"/>
        <v>0</v>
      </c>
      <c r="AK214" s="31">
        <f>IFERROR(VLOOKUP($B214,'Slutlig allokering kvv'!$B$2:$AX$549,MATCH("Summa slutlig allokerad tillförd energi (utan hjälpel och rökgaskondensering):",'Slutlig allokering kvv'!$B$1:$AX$1,0),FALSE)/1,"")</f>
        <v>0</v>
      </c>
      <c r="AM214" s="31" t="str">
        <f>IFERROR(1-VLOOKUP($B214,'Slutlig allokering kvv'!$B$2:$AX$549,MATCH("Andel av bränsle i kvv som allokerats till värme, exklusive rökgaskondensering och hjälpel",'Slutlig allokering kvv'!$B$1:$AX$1,0),FALSE),"")</f>
        <v/>
      </c>
      <c r="AO214" s="31" t="str">
        <f t="shared" si="13"/>
        <v/>
      </c>
      <c r="AP214" s="31" t="str">
        <f t="shared" si="14"/>
        <v/>
      </c>
      <c r="AR214" s="32" t="str">
        <f t="shared" si="15"/>
        <v/>
      </c>
    </row>
    <row r="215" spans="1:44" s="31" customFormat="1" x14ac:dyDescent="0.45">
      <c r="A215" s="31" t="s">
        <v>371</v>
      </c>
      <c r="B215" s="31" t="s">
        <v>370</v>
      </c>
      <c r="C215" s="31">
        <f>IFERROR(VLOOKUP($B215,Kraftvärmeprod!$B$1:$AH$479,MATCH(C$2,Kraftvärmeprod!$B$1:$AG$1,0),FALSE)/1,"")</f>
        <v>18.899999999999999</v>
      </c>
      <c r="D215" s="31">
        <f>IFERROR(VLOOKUP($B215,Kraftvärmeprod!$B$1:$AH$479,MATCH(D$2,Kraftvärmeprod!$B$1:$AG$1,0),FALSE)/1,"")</f>
        <v>1.4</v>
      </c>
      <c r="F215" s="31">
        <f>IF($D215="","",IFERROR(VLOOKUP($B215,Kraftvärmeprod!$B$1:$BX$550,MATCH(F$2,Kraftvärmeprod!$B$1:$VX$1,0),FALSE)/1,0)-IFERROR(VLOOKUP($B215,'Slutlig allokering kvv'!$B$2:$BX$550,MATCH(F$2,'Slutlig allokering kvv'!$B$1:$BX$1,0),FALSE)/1,0))</f>
        <v>0</v>
      </c>
      <c r="G215" s="31">
        <f>IF($D215="","",IFERROR(VLOOKUP($B215,Kraftvärmeprod!$B$1:$BX$550,MATCH(G$2,Kraftvärmeprod!$B$1:$VX$1,0),FALSE)/1,0)-IFERROR(VLOOKUP($B215,'Slutlig allokering kvv'!$B$2:$BX$550,MATCH(G$2,'Slutlig allokering kvv'!$B$1:$BX$1,0),FALSE)/1,0))</f>
        <v>0</v>
      </c>
      <c r="H215" s="31">
        <f>IF($D215="","",IFERROR(VLOOKUP($B215,Kraftvärmeprod!$B$1:$BX$550,MATCH(H$2,Kraftvärmeprod!$B$1:$VX$1,0),FALSE)/1,0)-IFERROR(VLOOKUP($B215,'Slutlig allokering kvv'!$B$2:$BX$550,MATCH(H$2,'Slutlig allokering kvv'!$B$1:$BX$1,0),FALSE)/1,0))</f>
        <v>0</v>
      </c>
      <c r="I215" s="31">
        <f>IF($D215="","",IFERROR(VLOOKUP($B215,Kraftvärmeprod!$B$1:$BX$550,MATCH(I$2,Kraftvärmeprod!$B$1:$VX$1,0),FALSE)/1,0)-IFERROR(VLOOKUP($B215,'Slutlig allokering kvv'!$B$2:$BX$550,MATCH(I$2,'Slutlig allokering kvv'!$B$1:$BX$1,0),FALSE)/1,0))</f>
        <v>0</v>
      </c>
      <c r="J215" s="31">
        <f>IF($D215="","",IFERROR(VLOOKUP($B215,Kraftvärmeprod!$B$1:$BX$550,MATCH(J$2,Kraftvärmeprod!$B$1:$VX$1,0),FALSE)/1,0)-IFERROR(VLOOKUP($B215,'Slutlig allokering kvv'!$B$2:$BX$550,MATCH(J$2,'Slutlig allokering kvv'!$B$1:$BX$1,0),FALSE)/1,0))</f>
        <v>0</v>
      </c>
      <c r="K215" s="31">
        <f>IF($D215="","",IFERROR(VLOOKUP($B215,Kraftvärmeprod!$B$1:$BX$550,MATCH(K$2,Kraftvärmeprod!$B$1:$VX$1,0),FALSE)/1,0)-IFERROR(VLOOKUP($B215,'Slutlig allokering kvv'!$B$2:$BX$550,MATCH(K$2,'Slutlig allokering kvv'!$B$1:$BX$1,0),FALSE)/1,0))</f>
        <v>0</v>
      </c>
      <c r="L215" s="31">
        <f>IF($D215="","",IFERROR(VLOOKUP($B215,Kraftvärmeprod!$B$1:$BX$550,MATCH(L$2,Kraftvärmeprod!$B$1:$VX$1,0),FALSE)/1,0)-IFERROR(VLOOKUP($B215,'Slutlig allokering kvv'!$B$2:$BX$550,MATCH(L$2,'Slutlig allokering kvv'!$B$1:$BX$1,0),FALSE)/1,0))</f>
        <v>1.3268099999999992</v>
      </c>
      <c r="M215" s="31">
        <f>IF($D215="","",IFERROR(VLOOKUP($B215,Kraftvärmeprod!$B$1:$BX$550,MATCH(M$2,Kraftvärmeprod!$B$1:$VX$1,0),FALSE)/1,0)-IFERROR(VLOOKUP($B215,'Slutlig allokering kvv'!$B$2:$BX$550,MATCH(M$2,'Slutlig allokering kvv'!$B$1:$BX$1,0),FALSE)/1,0))</f>
        <v>1.7636900000000004</v>
      </c>
      <c r="N215" s="31">
        <f>IF($D215="","",IFERROR(VLOOKUP($B215,Kraftvärmeprod!$B$1:$BX$550,MATCH(N$2,Kraftvärmeprod!$B$1:$VX$1,0),FALSE)/1,0)-IFERROR(VLOOKUP($B215,'Slutlig allokering kvv'!$B$2:$BX$550,MATCH(N$2,'Slutlig allokering kvv'!$B$1:$BX$1,0),FALSE)/1,0))</f>
        <v>1.3268099999999992</v>
      </c>
      <c r="O215" s="31">
        <f>IF($D215="","",IFERROR(VLOOKUP($B215,Kraftvärmeprod!$B$1:$BX$550,MATCH(O$2,Kraftvärmeprod!$B$1:$VX$1,0),FALSE)/1,0)-IFERROR(VLOOKUP($B215,'Slutlig allokering kvv'!$B$2:$BX$550,MATCH(O$2,'Slutlig allokering kvv'!$B$1:$BX$1,0),FALSE)/1,0))</f>
        <v>0</v>
      </c>
      <c r="P215" s="31">
        <f>IF($D215="","",IFERROR(VLOOKUP($B215,Kraftvärmeprod!$B$1:$BX$550,MATCH(P$2,Kraftvärmeprod!$B$1:$VX$1,0),FALSE)/1,0)-IFERROR(VLOOKUP($B215,'Slutlig allokering kvv'!$B$2:$BX$550,MATCH(P$2,'Slutlig allokering kvv'!$B$1:$BX$1,0),FALSE)/1,0))</f>
        <v>0</v>
      </c>
      <c r="Q215" s="31">
        <f>IF($D215="","",IFERROR(VLOOKUP($B215,Kraftvärmeprod!$B$1:$BX$550,MATCH(Q$2,Kraftvärmeprod!$B$1:$VX$1,0),FALSE)/1,0)-IFERROR(VLOOKUP($B215,'Slutlig allokering kvv'!$B$2:$BX$550,MATCH(Q$2,'Slutlig allokering kvv'!$B$1:$BX$1,0),FALSE)/1,0))</f>
        <v>0</v>
      </c>
      <c r="R215" s="31">
        <f>IF($D215="","",IFERROR(VLOOKUP($B215,Kraftvärmeprod!$B$1:$BX$550,MATCH(R$2,Kraftvärmeprod!$B$1:$VX$1,0),FALSE)/1,0)-IFERROR(VLOOKUP($B215,'Slutlig allokering kvv'!$B$2:$BX$550,MATCH(R$2,'Slutlig allokering kvv'!$B$1:$BX$1,0),FALSE)/1,0))</f>
        <v>0</v>
      </c>
      <c r="S215" s="31">
        <f>IF($D215="","",IFERROR(VLOOKUP($B215,Kraftvärmeprod!$B$1:$BX$550,MATCH(S$2,Kraftvärmeprod!$B$1:$VX$1,0),FALSE)/1,0)-IFERROR(VLOOKUP($B215,'Slutlig allokering kvv'!$B$2:$BX$550,MATCH(S$2,'Slutlig allokering kvv'!$B$1:$BX$1,0),FALSE)/1,0))</f>
        <v>0</v>
      </c>
      <c r="T215" s="31">
        <f>IF($D215="","",IFERROR(VLOOKUP($B215,Kraftvärmeprod!$B$1:$BX$550,MATCH(T$2,Kraftvärmeprod!$B$1:$VX$1,0),FALSE)/1,0)-IFERROR(VLOOKUP($B215,'Slutlig allokering kvv'!$B$2:$BX$550,MATCH(T$2,'Slutlig allokering kvv'!$B$1:$BX$1,0),FALSE)/1,0))</f>
        <v>0</v>
      </c>
      <c r="U215" s="31">
        <f>IF($D215="","",IFERROR(VLOOKUP($B215,Kraftvärmeprod!$B$1:$BX$550,MATCH(U$2,Kraftvärmeprod!$B$1:$VX$1,0),FALSE)/1,0)-IFERROR(VLOOKUP($B215,'Slutlig allokering kvv'!$B$2:$BX$550,MATCH(U$2,'Slutlig allokering kvv'!$B$1:$BX$1,0),FALSE)/1,0))</f>
        <v>0</v>
      </c>
      <c r="V215" s="31">
        <f>IF($D215="","",IFERROR(VLOOKUP($B215,Kraftvärmeprod!$B$1:$BX$550,MATCH(V$2,Kraftvärmeprod!$B$1:$VX$1,0),FALSE)/1,0)-IFERROR(VLOOKUP($B215,'Slutlig allokering kvv'!$B$2:$BX$550,MATCH(V$2,'Slutlig allokering kvv'!$B$1:$BX$1,0),FALSE)/1,0))</f>
        <v>0</v>
      </c>
      <c r="W215" s="31">
        <f>IF($D215="","",IFERROR(VLOOKUP($B215,Kraftvärmeprod!$B$1:$BX$550,MATCH(W$2,Kraftvärmeprod!$B$1:$VX$1,0),FALSE)/1,0)-IFERROR(VLOOKUP($B215,'Slutlig allokering kvv'!$B$2:$BX$550,MATCH(W$2,'Slutlig allokering kvv'!$B$1:$BX$1,0),FALSE)/1,0))</f>
        <v>0</v>
      </c>
      <c r="X215" s="31">
        <f>IF($D215="","",IFERROR(VLOOKUP($B215,Kraftvärmeprod!$B$1:$BX$550,MATCH(X$2,Kraftvärmeprod!$B$1:$VX$1,0),FALSE)/1,0)-IFERROR(VLOOKUP($B215,'Slutlig allokering kvv'!$B$2:$BX$550,MATCH(X$2,'Slutlig allokering kvv'!$B$1:$BX$1,0),FALSE)/1,0))</f>
        <v>0</v>
      </c>
      <c r="Y215" s="31">
        <f>IF($D215="","",IFERROR(VLOOKUP($B215,Kraftvärmeprod!$B$1:$BX$550,MATCH(Y$2,Kraftvärmeprod!$B$1:$VX$1,0),FALSE)/1,0)-IFERROR(VLOOKUP($B215,'Slutlig allokering kvv'!$B$2:$BX$550,MATCH(Y$2,'Slutlig allokering kvv'!$B$1:$BX$1,0),FALSE)/1,0))</f>
        <v>0</v>
      </c>
      <c r="Z215" s="31">
        <f>IF($D215="","",IFERROR(VLOOKUP($B215,Kraftvärmeprod!$B$1:$BX$550,MATCH(Z$2,Kraftvärmeprod!$B$1:$VX$1,0),FALSE)/1,0)-IFERROR(VLOOKUP($B215,'Slutlig allokering kvv'!$B$2:$BX$550,MATCH(Z$2,'Slutlig allokering kvv'!$B$1:$BX$1,0),FALSE)/1,0))</f>
        <v>0</v>
      </c>
      <c r="AA215" s="31">
        <f>IF($D215="","",IFERROR(VLOOKUP($B215,Kraftvärmeprod!$B$1:$BX$550,MATCH(AA$2,Kraftvärmeprod!$B$1:$VX$1,0),FALSE)/1,0)-IFERROR(VLOOKUP($B215,'Slutlig allokering kvv'!$B$2:$BX$550,MATCH(AA$2,'Slutlig allokering kvv'!$B$1:$BX$1,0),FALSE)/1,0))</f>
        <v>0</v>
      </c>
      <c r="AB215" s="31">
        <f>IF($D215="","",IFERROR(VLOOKUP($B215,Kraftvärmeprod!$B$1:$BX$550,MATCH(AB$2,Kraftvärmeprod!$B$1:$VX$1,0),FALSE)/1,0)-IFERROR(VLOOKUP($B215,'Slutlig allokering kvv'!$B$2:$BX$550,MATCH(AB$2,'Slutlig allokering kvv'!$B$1:$BX$1,0),FALSE)/1,0))</f>
        <v>0</v>
      </c>
      <c r="AC215" s="31">
        <f>IF($D215="","",IFERROR(VLOOKUP($B215,Kraftvärmeprod!$B$1:$BX$550,MATCH(AC$2,Kraftvärmeprod!$B$1:$VX$1,0),FALSE)/1,0)-IFERROR(VLOOKUP($B215,'Slutlig allokering kvv'!$B$2:$BX$550,MATCH(AC$2,'Slutlig allokering kvv'!$B$1:$BX$1,0),FALSE)/1,0))</f>
        <v>0</v>
      </c>
      <c r="AD215" s="31">
        <f>IF($D215="","",IFERROR(VLOOKUP($B215,Kraftvärmeprod!$B$1:$BX$550,MATCH(AD$2,Kraftvärmeprod!$B$1:$VX$1,0),FALSE)/1,0)-IFERROR(VLOOKUP($B215,'Slutlig allokering kvv'!$B$2:$BX$550,MATCH(AD$2,'Slutlig allokering kvv'!$B$1:$BX$1,0),FALSE)/1,0))</f>
        <v>0</v>
      </c>
      <c r="AE215" s="31">
        <f>IF($D215="","",IFERROR(VLOOKUP($B215,Miljö!$B$1:$E$550,MATCH("Hjälpel kraftvärme (GWh)",Miljö!$B$1:$E$1,0),FALSE)/1,0)-IFERROR(VLOOKUP($B215,'Slutlig allokering kvv'!$B$2:$BX$549,MATCH(AE$2,'Slutlig allokering kvv'!$B$1:$BX$1,0),FALSE)/1,0))</f>
        <v>0.12944500000000003</v>
      </c>
      <c r="AI215" s="39">
        <f t="shared" si="12"/>
        <v>4.4173099999999987</v>
      </c>
      <c r="AK215" s="31">
        <f>IFERROR(VLOOKUP($B215,'Slutlig allokering kvv'!$B$2:$AX$549,MATCH("Summa slutlig allokerad tillförd energi (utan hjälpel och rökgaskondensering):",'Slutlig allokering kvv'!$B$1:$AX$1,0),FALSE)/1,"")</f>
        <v>22.882689999999997</v>
      </c>
      <c r="AM215" s="31">
        <f>IFERROR(1-VLOOKUP($B215,'Slutlig allokering kvv'!$B$2:$AX$549,MATCH("Andel av bränsle i kvv som allokerats till värme, exklusive rökgaskondensering och hjälpel",'Slutlig allokering kvv'!$B$1:$AX$1,0),FALSE),"")</f>
        <v>0.16180622710622727</v>
      </c>
      <c r="AO215" s="31">
        <f t="shared" si="13"/>
        <v>0.16180622710622708</v>
      </c>
      <c r="AP215" s="31">
        <f t="shared" si="14"/>
        <v>1.9428902930940239E-16</v>
      </c>
      <c r="AR215" s="32">
        <f t="shared" si="15"/>
        <v>0.30791190640357796</v>
      </c>
    </row>
    <row r="216" spans="1:44" s="31" customFormat="1" x14ac:dyDescent="0.45">
      <c r="A216" s="31" t="s">
        <v>369</v>
      </c>
      <c r="B216" s="31" t="s">
        <v>368</v>
      </c>
      <c r="C216" s="31" t="str">
        <f>IFERROR(VLOOKUP($B216,Kraftvärmeprod!$B$1:$AH$479,MATCH(C$2,Kraftvärmeprod!$B$1:$AG$1,0),FALSE)/1,"")</f>
        <v/>
      </c>
      <c r="D216" s="31" t="str">
        <f>IFERROR(VLOOKUP($B216,Kraftvärmeprod!$B$1:$AH$479,MATCH(D$2,Kraftvärmeprod!$B$1:$AG$1,0),FALSE)/1,"")</f>
        <v/>
      </c>
      <c r="F216" s="31" t="str">
        <f>IF($D216="","",IFERROR(VLOOKUP($B216,Kraftvärmeprod!$B$1:$BX$550,MATCH(F$2,Kraftvärmeprod!$B$1:$VX$1,0),FALSE)/1,0)-IFERROR(VLOOKUP($B216,'Slutlig allokering kvv'!$B$2:$BX$550,MATCH(F$2,'Slutlig allokering kvv'!$B$1:$BX$1,0),FALSE)/1,0))</f>
        <v/>
      </c>
      <c r="G216" s="31" t="str">
        <f>IF($D216="","",IFERROR(VLOOKUP($B216,Kraftvärmeprod!$B$1:$BX$550,MATCH(G$2,Kraftvärmeprod!$B$1:$VX$1,0),FALSE)/1,0)-IFERROR(VLOOKUP($B216,'Slutlig allokering kvv'!$B$2:$BX$550,MATCH(G$2,'Slutlig allokering kvv'!$B$1:$BX$1,0),FALSE)/1,0))</f>
        <v/>
      </c>
      <c r="H216" s="31" t="str">
        <f>IF($D216="","",IFERROR(VLOOKUP($B216,Kraftvärmeprod!$B$1:$BX$550,MATCH(H$2,Kraftvärmeprod!$B$1:$VX$1,0),FALSE)/1,0)-IFERROR(VLOOKUP($B216,'Slutlig allokering kvv'!$B$2:$BX$550,MATCH(H$2,'Slutlig allokering kvv'!$B$1:$BX$1,0),FALSE)/1,0))</f>
        <v/>
      </c>
      <c r="I216" s="31" t="str">
        <f>IF($D216="","",IFERROR(VLOOKUP($B216,Kraftvärmeprod!$B$1:$BX$550,MATCH(I$2,Kraftvärmeprod!$B$1:$VX$1,0),FALSE)/1,0)-IFERROR(VLOOKUP($B216,'Slutlig allokering kvv'!$B$2:$BX$550,MATCH(I$2,'Slutlig allokering kvv'!$B$1:$BX$1,0),FALSE)/1,0))</f>
        <v/>
      </c>
      <c r="J216" s="31" t="str">
        <f>IF($D216="","",IFERROR(VLOOKUP($B216,Kraftvärmeprod!$B$1:$BX$550,MATCH(J$2,Kraftvärmeprod!$B$1:$VX$1,0),FALSE)/1,0)-IFERROR(VLOOKUP($B216,'Slutlig allokering kvv'!$B$2:$BX$550,MATCH(J$2,'Slutlig allokering kvv'!$B$1:$BX$1,0),FALSE)/1,0))</f>
        <v/>
      </c>
      <c r="K216" s="31" t="str">
        <f>IF($D216="","",IFERROR(VLOOKUP($B216,Kraftvärmeprod!$B$1:$BX$550,MATCH(K$2,Kraftvärmeprod!$B$1:$VX$1,0),FALSE)/1,0)-IFERROR(VLOOKUP($B216,'Slutlig allokering kvv'!$B$2:$BX$550,MATCH(K$2,'Slutlig allokering kvv'!$B$1:$BX$1,0),FALSE)/1,0))</f>
        <v/>
      </c>
      <c r="L216" s="31" t="str">
        <f>IF($D216="","",IFERROR(VLOOKUP($B216,Kraftvärmeprod!$B$1:$BX$550,MATCH(L$2,Kraftvärmeprod!$B$1:$VX$1,0),FALSE)/1,0)-IFERROR(VLOOKUP($B216,'Slutlig allokering kvv'!$B$2:$BX$550,MATCH(L$2,'Slutlig allokering kvv'!$B$1:$BX$1,0),FALSE)/1,0))</f>
        <v/>
      </c>
      <c r="M216" s="31" t="str">
        <f>IF($D216="","",IFERROR(VLOOKUP($B216,Kraftvärmeprod!$B$1:$BX$550,MATCH(M$2,Kraftvärmeprod!$B$1:$VX$1,0),FALSE)/1,0)-IFERROR(VLOOKUP($B216,'Slutlig allokering kvv'!$B$2:$BX$550,MATCH(M$2,'Slutlig allokering kvv'!$B$1:$BX$1,0),FALSE)/1,0))</f>
        <v/>
      </c>
      <c r="N216" s="31" t="str">
        <f>IF($D216="","",IFERROR(VLOOKUP($B216,Kraftvärmeprod!$B$1:$BX$550,MATCH(N$2,Kraftvärmeprod!$B$1:$VX$1,0),FALSE)/1,0)-IFERROR(VLOOKUP($B216,'Slutlig allokering kvv'!$B$2:$BX$550,MATCH(N$2,'Slutlig allokering kvv'!$B$1:$BX$1,0),FALSE)/1,0))</f>
        <v/>
      </c>
      <c r="O216" s="31" t="str">
        <f>IF($D216="","",IFERROR(VLOOKUP($B216,Kraftvärmeprod!$B$1:$BX$550,MATCH(O$2,Kraftvärmeprod!$B$1:$VX$1,0),FALSE)/1,0)-IFERROR(VLOOKUP($B216,'Slutlig allokering kvv'!$B$2:$BX$550,MATCH(O$2,'Slutlig allokering kvv'!$B$1:$BX$1,0),FALSE)/1,0))</f>
        <v/>
      </c>
      <c r="P216" s="31" t="str">
        <f>IF($D216="","",IFERROR(VLOOKUP($B216,Kraftvärmeprod!$B$1:$BX$550,MATCH(P$2,Kraftvärmeprod!$B$1:$VX$1,0),FALSE)/1,0)-IFERROR(VLOOKUP($B216,'Slutlig allokering kvv'!$B$2:$BX$550,MATCH(P$2,'Slutlig allokering kvv'!$B$1:$BX$1,0),FALSE)/1,0))</f>
        <v/>
      </c>
      <c r="Q216" s="31" t="str">
        <f>IF($D216="","",IFERROR(VLOOKUP($B216,Kraftvärmeprod!$B$1:$BX$550,MATCH(Q$2,Kraftvärmeprod!$B$1:$VX$1,0),FALSE)/1,0)-IFERROR(VLOOKUP($B216,'Slutlig allokering kvv'!$B$2:$BX$550,MATCH(Q$2,'Slutlig allokering kvv'!$B$1:$BX$1,0),FALSE)/1,0))</f>
        <v/>
      </c>
      <c r="R216" s="31" t="str">
        <f>IF($D216="","",IFERROR(VLOOKUP($B216,Kraftvärmeprod!$B$1:$BX$550,MATCH(R$2,Kraftvärmeprod!$B$1:$VX$1,0),FALSE)/1,0)-IFERROR(VLOOKUP($B216,'Slutlig allokering kvv'!$B$2:$BX$550,MATCH(R$2,'Slutlig allokering kvv'!$B$1:$BX$1,0),FALSE)/1,0))</f>
        <v/>
      </c>
      <c r="S216" s="31" t="str">
        <f>IF($D216="","",IFERROR(VLOOKUP($B216,Kraftvärmeprod!$B$1:$BX$550,MATCH(S$2,Kraftvärmeprod!$B$1:$VX$1,0),FALSE)/1,0)-IFERROR(VLOOKUP($B216,'Slutlig allokering kvv'!$B$2:$BX$550,MATCH(S$2,'Slutlig allokering kvv'!$B$1:$BX$1,0),FALSE)/1,0))</f>
        <v/>
      </c>
      <c r="T216" s="31" t="str">
        <f>IF($D216="","",IFERROR(VLOOKUP($B216,Kraftvärmeprod!$B$1:$BX$550,MATCH(T$2,Kraftvärmeprod!$B$1:$VX$1,0),FALSE)/1,0)-IFERROR(VLOOKUP($B216,'Slutlig allokering kvv'!$B$2:$BX$550,MATCH(T$2,'Slutlig allokering kvv'!$B$1:$BX$1,0),FALSE)/1,0))</f>
        <v/>
      </c>
      <c r="U216" s="31" t="str">
        <f>IF($D216="","",IFERROR(VLOOKUP($B216,Kraftvärmeprod!$B$1:$BX$550,MATCH(U$2,Kraftvärmeprod!$B$1:$VX$1,0),FALSE)/1,0)-IFERROR(VLOOKUP($B216,'Slutlig allokering kvv'!$B$2:$BX$550,MATCH(U$2,'Slutlig allokering kvv'!$B$1:$BX$1,0),FALSE)/1,0))</f>
        <v/>
      </c>
      <c r="V216" s="31" t="str">
        <f>IF($D216="","",IFERROR(VLOOKUP($B216,Kraftvärmeprod!$B$1:$BX$550,MATCH(V$2,Kraftvärmeprod!$B$1:$VX$1,0),FALSE)/1,0)-IFERROR(VLOOKUP($B216,'Slutlig allokering kvv'!$B$2:$BX$550,MATCH(V$2,'Slutlig allokering kvv'!$B$1:$BX$1,0),FALSE)/1,0))</f>
        <v/>
      </c>
      <c r="W216" s="31" t="str">
        <f>IF($D216="","",IFERROR(VLOOKUP($B216,Kraftvärmeprod!$B$1:$BX$550,MATCH(W$2,Kraftvärmeprod!$B$1:$VX$1,0),FALSE)/1,0)-IFERROR(VLOOKUP($B216,'Slutlig allokering kvv'!$B$2:$BX$550,MATCH(W$2,'Slutlig allokering kvv'!$B$1:$BX$1,0),FALSE)/1,0))</f>
        <v/>
      </c>
      <c r="X216" s="31" t="str">
        <f>IF($D216="","",IFERROR(VLOOKUP($B216,Kraftvärmeprod!$B$1:$BX$550,MATCH(X$2,Kraftvärmeprod!$B$1:$VX$1,0),FALSE)/1,0)-IFERROR(VLOOKUP($B216,'Slutlig allokering kvv'!$B$2:$BX$550,MATCH(X$2,'Slutlig allokering kvv'!$B$1:$BX$1,0),FALSE)/1,0))</f>
        <v/>
      </c>
      <c r="Y216" s="31" t="str">
        <f>IF($D216="","",IFERROR(VLOOKUP($B216,Kraftvärmeprod!$B$1:$BX$550,MATCH(Y$2,Kraftvärmeprod!$B$1:$VX$1,0),FALSE)/1,0)-IFERROR(VLOOKUP($B216,'Slutlig allokering kvv'!$B$2:$BX$550,MATCH(Y$2,'Slutlig allokering kvv'!$B$1:$BX$1,0),FALSE)/1,0))</f>
        <v/>
      </c>
      <c r="Z216" s="31" t="str">
        <f>IF($D216="","",IFERROR(VLOOKUP($B216,Kraftvärmeprod!$B$1:$BX$550,MATCH(Z$2,Kraftvärmeprod!$B$1:$VX$1,0),FALSE)/1,0)-IFERROR(VLOOKUP($B216,'Slutlig allokering kvv'!$B$2:$BX$550,MATCH(Z$2,'Slutlig allokering kvv'!$B$1:$BX$1,0),FALSE)/1,0))</f>
        <v/>
      </c>
      <c r="AA216" s="31" t="str">
        <f>IF($D216="","",IFERROR(VLOOKUP($B216,Kraftvärmeprod!$B$1:$BX$550,MATCH(AA$2,Kraftvärmeprod!$B$1:$VX$1,0),FALSE)/1,0)-IFERROR(VLOOKUP($B216,'Slutlig allokering kvv'!$B$2:$BX$550,MATCH(AA$2,'Slutlig allokering kvv'!$B$1:$BX$1,0),FALSE)/1,0))</f>
        <v/>
      </c>
      <c r="AB216" s="31" t="str">
        <f>IF($D216="","",IFERROR(VLOOKUP($B216,Kraftvärmeprod!$B$1:$BX$550,MATCH(AB$2,Kraftvärmeprod!$B$1:$VX$1,0),FALSE)/1,0)-IFERROR(VLOOKUP($B216,'Slutlig allokering kvv'!$B$2:$BX$550,MATCH(AB$2,'Slutlig allokering kvv'!$B$1:$BX$1,0),FALSE)/1,0))</f>
        <v/>
      </c>
      <c r="AC216" s="31" t="str">
        <f>IF($D216="","",IFERROR(VLOOKUP($B216,Kraftvärmeprod!$B$1:$BX$550,MATCH(AC$2,Kraftvärmeprod!$B$1:$VX$1,0),FALSE)/1,0)-IFERROR(VLOOKUP($B216,'Slutlig allokering kvv'!$B$2:$BX$550,MATCH(AC$2,'Slutlig allokering kvv'!$B$1:$BX$1,0),FALSE)/1,0))</f>
        <v/>
      </c>
      <c r="AD216" s="31" t="str">
        <f>IF($D216="","",IFERROR(VLOOKUP($B216,Kraftvärmeprod!$B$1:$BX$550,MATCH(AD$2,Kraftvärmeprod!$B$1:$VX$1,0),FALSE)/1,0)-IFERROR(VLOOKUP($B216,'Slutlig allokering kvv'!$B$2:$BX$550,MATCH(AD$2,'Slutlig allokering kvv'!$B$1:$BX$1,0),FALSE)/1,0))</f>
        <v/>
      </c>
      <c r="AE216" s="31" t="str">
        <f>IF($D216="","",IFERROR(VLOOKUP($B216,Miljö!$B$1:$E$550,MATCH("Hjälpel kraftvärme (GWh)",Miljö!$B$1:$E$1,0),FALSE)/1,0)-IFERROR(VLOOKUP($B216,'Slutlig allokering kvv'!$B$2:$BX$549,MATCH(AE$2,'Slutlig allokering kvv'!$B$1:$BX$1,0),FALSE)/1,0))</f>
        <v/>
      </c>
      <c r="AI216" s="39">
        <f t="shared" si="12"/>
        <v>0</v>
      </c>
      <c r="AK216" s="31">
        <f>IFERROR(VLOOKUP($B216,'Slutlig allokering kvv'!$B$2:$AX$549,MATCH("Summa slutlig allokerad tillförd energi (utan hjälpel och rökgaskondensering):",'Slutlig allokering kvv'!$B$1:$AX$1,0),FALSE)/1,"")</f>
        <v>0</v>
      </c>
      <c r="AM216" s="31" t="str">
        <f>IFERROR(1-VLOOKUP($B216,'Slutlig allokering kvv'!$B$2:$AX$549,MATCH("Andel av bränsle i kvv som allokerats till värme, exklusive rökgaskondensering och hjälpel",'Slutlig allokering kvv'!$B$1:$AX$1,0),FALSE),"")</f>
        <v/>
      </c>
      <c r="AO216" s="31" t="str">
        <f t="shared" si="13"/>
        <v/>
      </c>
      <c r="AP216" s="31" t="str">
        <f t="shared" si="14"/>
        <v/>
      </c>
      <c r="AR216" s="32" t="str">
        <f t="shared" si="15"/>
        <v/>
      </c>
    </row>
    <row r="217" spans="1:44" s="31" customFormat="1" x14ac:dyDescent="0.45">
      <c r="A217" s="31" t="s">
        <v>367</v>
      </c>
      <c r="B217" s="31" t="s">
        <v>366</v>
      </c>
      <c r="C217" s="31">
        <f>IFERROR(VLOOKUP($B217,Kraftvärmeprod!$B$1:$AH$479,MATCH(C$2,Kraftvärmeprod!$B$1:$AG$1,0),FALSE)/1,"")</f>
        <v>76.525685999999993</v>
      </c>
      <c r="D217" s="31">
        <f>IFERROR(VLOOKUP($B217,Kraftvärmeprod!$B$1:$AH$479,MATCH(D$2,Kraftvärmeprod!$B$1:$AG$1,0),FALSE)/1,"")</f>
        <v>19.105874</v>
      </c>
      <c r="F217" s="31">
        <f>IF($D217="","",IFERROR(VLOOKUP($B217,Kraftvärmeprod!$B$1:$BX$550,MATCH(F$2,Kraftvärmeprod!$B$1:$VX$1,0),FALSE)/1,0)-IFERROR(VLOOKUP($B217,'Slutlig allokering kvv'!$B$2:$BX$550,MATCH(F$2,'Slutlig allokering kvv'!$B$1:$BX$1,0),FALSE)/1,0))</f>
        <v>0</v>
      </c>
      <c r="G217" s="31">
        <f>IF($D217="","",IFERROR(VLOOKUP($B217,Kraftvärmeprod!$B$1:$BX$550,MATCH(G$2,Kraftvärmeprod!$B$1:$VX$1,0),FALSE)/1,0)-IFERROR(VLOOKUP($B217,'Slutlig allokering kvv'!$B$2:$BX$550,MATCH(G$2,'Slutlig allokering kvv'!$B$1:$BX$1,0),FALSE)/1,0))</f>
        <v>0</v>
      </c>
      <c r="H217" s="31">
        <f>IF($D217="","",IFERROR(VLOOKUP($B217,Kraftvärmeprod!$B$1:$BX$550,MATCH(H$2,Kraftvärmeprod!$B$1:$VX$1,0),FALSE)/1,0)-IFERROR(VLOOKUP($B217,'Slutlig allokering kvv'!$B$2:$BX$550,MATCH(H$2,'Slutlig allokering kvv'!$B$1:$BX$1,0),FALSE)/1,0))</f>
        <v>0</v>
      </c>
      <c r="I217" s="31">
        <f>IF($D217="","",IFERROR(VLOOKUP($B217,Kraftvärmeprod!$B$1:$BX$550,MATCH(I$2,Kraftvärmeprod!$B$1:$VX$1,0),FALSE)/1,0)-IFERROR(VLOOKUP($B217,'Slutlig allokering kvv'!$B$2:$BX$550,MATCH(I$2,'Slutlig allokering kvv'!$B$1:$BX$1,0),FALSE)/1,0))</f>
        <v>0</v>
      </c>
      <c r="J217" s="31">
        <f>IF($D217="","",IFERROR(VLOOKUP($B217,Kraftvärmeprod!$B$1:$BX$550,MATCH(J$2,Kraftvärmeprod!$B$1:$VX$1,0),FALSE)/1,0)-IFERROR(VLOOKUP($B217,'Slutlig allokering kvv'!$B$2:$BX$550,MATCH(J$2,'Slutlig allokering kvv'!$B$1:$BX$1,0),FALSE)/1,0))</f>
        <v>0</v>
      </c>
      <c r="K217" s="31">
        <f>IF($D217="","",IFERROR(VLOOKUP($B217,Kraftvärmeprod!$B$1:$BX$550,MATCH(K$2,Kraftvärmeprod!$B$1:$VX$1,0),FALSE)/1,0)-IFERROR(VLOOKUP($B217,'Slutlig allokering kvv'!$B$2:$BX$550,MATCH(K$2,'Slutlig allokering kvv'!$B$1:$BX$1,0),FALSE)/1,0))</f>
        <v>0</v>
      </c>
      <c r="L217" s="31">
        <f>IF($D217="","",IFERROR(VLOOKUP($B217,Kraftvärmeprod!$B$1:$BX$550,MATCH(L$2,Kraftvärmeprod!$B$1:$VX$1,0),FALSE)/1,0)-IFERROR(VLOOKUP($B217,'Slutlig allokering kvv'!$B$2:$BX$550,MATCH(L$2,'Slutlig allokering kvv'!$B$1:$BX$1,0),FALSE)/1,0))</f>
        <v>22.181707000000003</v>
      </c>
      <c r="M217" s="31">
        <f>IF($D217="","",IFERROR(VLOOKUP($B217,Kraftvärmeprod!$B$1:$BX$550,MATCH(M$2,Kraftvärmeprod!$B$1:$VX$1,0),FALSE)/1,0)-IFERROR(VLOOKUP($B217,'Slutlig allokering kvv'!$B$2:$BX$550,MATCH(M$2,'Slutlig allokering kvv'!$B$1:$BX$1,0),FALSE)/1,0))</f>
        <v>0</v>
      </c>
      <c r="N217" s="31">
        <f>IF($D217="","",IFERROR(VLOOKUP($B217,Kraftvärmeprod!$B$1:$BX$550,MATCH(N$2,Kraftvärmeprod!$B$1:$VX$1,0),FALSE)/1,0)-IFERROR(VLOOKUP($B217,'Slutlig allokering kvv'!$B$2:$BX$550,MATCH(N$2,'Slutlig allokering kvv'!$B$1:$BX$1,0),FALSE)/1,0))</f>
        <v>19.431263999999999</v>
      </c>
      <c r="O217" s="31">
        <f>IF($D217="","",IFERROR(VLOOKUP($B217,Kraftvärmeprod!$B$1:$BX$550,MATCH(O$2,Kraftvärmeprod!$B$1:$VX$1,0),FALSE)/1,0)-IFERROR(VLOOKUP($B217,'Slutlig allokering kvv'!$B$2:$BX$550,MATCH(O$2,'Slutlig allokering kvv'!$B$1:$BX$1,0),FALSE)/1,0))</f>
        <v>0.136133</v>
      </c>
      <c r="P217" s="31">
        <f>IF($D217="","",IFERROR(VLOOKUP($B217,Kraftvärmeprod!$B$1:$BX$550,MATCH(P$2,Kraftvärmeprod!$B$1:$VX$1,0),FALSE)/1,0)-IFERROR(VLOOKUP($B217,'Slutlig allokering kvv'!$B$2:$BX$550,MATCH(P$2,'Slutlig allokering kvv'!$B$1:$BX$1,0),FALSE)/1,0))</f>
        <v>0</v>
      </c>
      <c r="Q217" s="31">
        <f>IF($D217="","",IFERROR(VLOOKUP($B217,Kraftvärmeprod!$B$1:$BX$550,MATCH(Q$2,Kraftvärmeprod!$B$1:$VX$1,0),FALSE)/1,0)-IFERROR(VLOOKUP($B217,'Slutlig allokering kvv'!$B$2:$BX$550,MATCH(Q$2,'Slutlig allokering kvv'!$B$1:$BX$1,0),FALSE)/1,0))</f>
        <v>0</v>
      </c>
      <c r="R217" s="31">
        <f>IF($D217="","",IFERROR(VLOOKUP($B217,Kraftvärmeprod!$B$1:$BX$550,MATCH(R$2,Kraftvärmeprod!$B$1:$VX$1,0),FALSE)/1,0)-IFERROR(VLOOKUP($B217,'Slutlig allokering kvv'!$B$2:$BX$550,MATCH(R$2,'Slutlig allokering kvv'!$B$1:$BX$1,0),FALSE)/1,0))</f>
        <v>0</v>
      </c>
      <c r="S217" s="31">
        <f>IF($D217="","",IFERROR(VLOOKUP($B217,Kraftvärmeprod!$B$1:$BX$550,MATCH(S$2,Kraftvärmeprod!$B$1:$VX$1,0),FALSE)/1,0)-IFERROR(VLOOKUP($B217,'Slutlig allokering kvv'!$B$2:$BX$550,MATCH(S$2,'Slutlig allokering kvv'!$B$1:$BX$1,0),FALSE)/1,0))</f>
        <v>0</v>
      </c>
      <c r="T217" s="31">
        <f>IF($D217="","",IFERROR(VLOOKUP($B217,Kraftvärmeprod!$B$1:$BX$550,MATCH(T$2,Kraftvärmeprod!$B$1:$VX$1,0),FALSE)/1,0)-IFERROR(VLOOKUP($B217,'Slutlig allokering kvv'!$B$2:$BX$550,MATCH(T$2,'Slutlig allokering kvv'!$B$1:$BX$1,0),FALSE)/1,0))</f>
        <v>0</v>
      </c>
      <c r="U217" s="31">
        <f>IF($D217="","",IFERROR(VLOOKUP($B217,Kraftvärmeprod!$B$1:$BX$550,MATCH(U$2,Kraftvärmeprod!$B$1:$VX$1,0),FALSE)/1,0)-IFERROR(VLOOKUP($B217,'Slutlig allokering kvv'!$B$2:$BX$550,MATCH(U$2,'Slutlig allokering kvv'!$B$1:$BX$1,0),FALSE)/1,0))</f>
        <v>0</v>
      </c>
      <c r="V217" s="31">
        <f>IF($D217="","",IFERROR(VLOOKUP($B217,Kraftvärmeprod!$B$1:$BX$550,MATCH(V$2,Kraftvärmeprod!$B$1:$VX$1,0),FALSE)/1,0)-IFERROR(VLOOKUP($B217,'Slutlig allokering kvv'!$B$2:$BX$550,MATCH(V$2,'Slutlig allokering kvv'!$B$1:$BX$1,0),FALSE)/1,0))</f>
        <v>2.07544</v>
      </c>
      <c r="W217" s="31">
        <f>IF($D217="","",IFERROR(VLOOKUP($B217,Kraftvärmeprod!$B$1:$BX$550,MATCH(W$2,Kraftvärmeprod!$B$1:$VX$1,0),FALSE)/1,0)-IFERROR(VLOOKUP($B217,'Slutlig allokering kvv'!$B$2:$BX$550,MATCH(W$2,'Slutlig allokering kvv'!$B$1:$BX$1,0),FALSE)/1,0))</f>
        <v>0</v>
      </c>
      <c r="X217" s="31">
        <f>IF($D217="","",IFERROR(VLOOKUP($B217,Kraftvärmeprod!$B$1:$BX$550,MATCH(X$2,Kraftvärmeprod!$B$1:$VX$1,0),FALSE)/1,0)-IFERROR(VLOOKUP($B217,'Slutlig allokering kvv'!$B$2:$BX$550,MATCH(X$2,'Slutlig allokering kvv'!$B$1:$BX$1,0),FALSE)/1,0))</f>
        <v>0.34980750000000005</v>
      </c>
      <c r="Y217" s="31">
        <f>IF($D217="","",IFERROR(VLOOKUP($B217,Kraftvärmeprod!$B$1:$BX$550,MATCH(Y$2,Kraftvärmeprod!$B$1:$VX$1,0),FALSE)/1,0)-IFERROR(VLOOKUP($B217,'Slutlig allokering kvv'!$B$2:$BX$550,MATCH(Y$2,'Slutlig allokering kvv'!$B$1:$BX$1,0),FALSE)/1,0))</f>
        <v>0</v>
      </c>
      <c r="Z217" s="31">
        <f>IF($D217="","",IFERROR(VLOOKUP($B217,Kraftvärmeprod!$B$1:$BX$550,MATCH(Z$2,Kraftvärmeprod!$B$1:$VX$1,0),FALSE)/1,0)-IFERROR(VLOOKUP($B217,'Slutlig allokering kvv'!$B$2:$BX$550,MATCH(Z$2,'Slutlig allokering kvv'!$B$1:$BX$1,0),FALSE)/1,0))</f>
        <v>0</v>
      </c>
      <c r="AA217" s="31">
        <f>IF($D217="","",IFERROR(VLOOKUP($B217,Kraftvärmeprod!$B$1:$BX$550,MATCH(AA$2,Kraftvärmeprod!$B$1:$VX$1,0),FALSE)/1,0)-IFERROR(VLOOKUP($B217,'Slutlig allokering kvv'!$B$2:$BX$550,MATCH(AA$2,'Slutlig allokering kvv'!$B$1:$BX$1,0),FALSE)/1,0))</f>
        <v>0</v>
      </c>
      <c r="AB217" s="31">
        <f>IF($D217="","",IFERROR(VLOOKUP($B217,Kraftvärmeprod!$B$1:$BX$550,MATCH(AB$2,Kraftvärmeprod!$B$1:$VX$1,0),FALSE)/1,0)-IFERROR(VLOOKUP($B217,'Slutlig allokering kvv'!$B$2:$BX$550,MATCH(AB$2,'Slutlig allokering kvv'!$B$1:$BX$1,0),FALSE)/1,0))</f>
        <v>0</v>
      </c>
      <c r="AC217" s="31">
        <f>IF($D217="","",IFERROR(VLOOKUP($B217,Kraftvärmeprod!$B$1:$BX$550,MATCH(AC$2,Kraftvärmeprod!$B$1:$VX$1,0),FALSE)/1,0)-IFERROR(VLOOKUP($B217,'Slutlig allokering kvv'!$B$2:$BX$550,MATCH(AC$2,'Slutlig allokering kvv'!$B$1:$BX$1,0),FALSE)/1,0))</f>
        <v>0</v>
      </c>
      <c r="AD217" s="31">
        <f>IF($D217="","",IFERROR(VLOOKUP($B217,Kraftvärmeprod!$B$1:$BX$550,MATCH(AD$2,Kraftvärmeprod!$B$1:$VX$1,0),FALSE)/1,0)-IFERROR(VLOOKUP($B217,'Slutlig allokering kvv'!$B$2:$BX$550,MATCH(AD$2,'Slutlig allokering kvv'!$B$1:$BX$1,0),FALSE)/1,0))</f>
        <v>0</v>
      </c>
      <c r="AE217" s="31">
        <f>IF($D217="","",IFERROR(VLOOKUP($B217,Miljö!$B$1:$E$550,MATCH("Hjälpel kraftvärme (GWh)",Miljö!$B$1:$E$1,0),FALSE)/1,0)-IFERROR(VLOOKUP($B217,'Slutlig allokering kvv'!$B$2:$BX$549,MATCH(AE$2,'Slutlig allokering kvv'!$B$1:$BX$1,0),FALSE)/1,0))</f>
        <v>0.92085699999999981</v>
      </c>
      <c r="AI217" s="39">
        <f t="shared" si="12"/>
        <v>44.1743515</v>
      </c>
      <c r="AK217" s="31">
        <f>IFERROR(VLOOKUP($B217,'Slutlig allokering kvv'!$B$2:$AX$549,MATCH("Summa slutlig allokerad tillförd energi (utan hjälpel och rökgaskondensering):",'Slutlig allokering kvv'!$B$1:$AX$1,0),FALSE)/1,"")</f>
        <v>68.048237</v>
      </c>
      <c r="AM217" s="31">
        <f>IFERROR(1-VLOOKUP($B217,'Slutlig allokering kvv'!$B$2:$AX$549,MATCH("Andel av bränsle i kvv som allokerats till värme, exklusive rökgaskondensering och hjälpel",'Slutlig allokering kvv'!$B$1:$AX$1,0),FALSE),"")</f>
        <v>0.39363155038969722</v>
      </c>
      <c r="AO217" s="31">
        <f t="shared" si="13"/>
        <v>0.39363155038969716</v>
      </c>
      <c r="AP217" s="31">
        <f t="shared" si="14"/>
        <v>5.5511151231257827E-17</v>
      </c>
      <c r="AR217" s="32">
        <f t="shared" si="15"/>
        <v>0.42367858217131871</v>
      </c>
    </row>
    <row r="218" spans="1:44" s="31" customFormat="1" x14ac:dyDescent="0.45">
      <c r="A218" s="31" t="s">
        <v>364</v>
      </c>
      <c r="B218" s="31" t="s">
        <v>363</v>
      </c>
      <c r="C218" s="31" t="str">
        <f>IFERROR(VLOOKUP($B218,Kraftvärmeprod!$B$1:$AH$479,MATCH(C$2,Kraftvärmeprod!$B$1:$AG$1,0),FALSE)/1,"")</f>
        <v/>
      </c>
      <c r="D218" s="31" t="str">
        <f>IFERROR(VLOOKUP($B218,Kraftvärmeprod!$B$1:$AH$479,MATCH(D$2,Kraftvärmeprod!$B$1:$AG$1,0),FALSE)/1,"")</f>
        <v/>
      </c>
      <c r="F218" s="31" t="str">
        <f>IF($D218="","",IFERROR(VLOOKUP($B218,Kraftvärmeprod!$B$1:$BX$550,MATCH(F$2,Kraftvärmeprod!$B$1:$VX$1,0),FALSE)/1,0)-IFERROR(VLOOKUP($B218,'Slutlig allokering kvv'!$B$2:$BX$550,MATCH(F$2,'Slutlig allokering kvv'!$B$1:$BX$1,0),FALSE)/1,0))</f>
        <v/>
      </c>
      <c r="G218" s="31" t="str">
        <f>IF($D218="","",IFERROR(VLOOKUP($B218,Kraftvärmeprod!$B$1:$BX$550,MATCH(G$2,Kraftvärmeprod!$B$1:$VX$1,0),FALSE)/1,0)-IFERROR(VLOOKUP($B218,'Slutlig allokering kvv'!$B$2:$BX$550,MATCH(G$2,'Slutlig allokering kvv'!$B$1:$BX$1,0),FALSE)/1,0))</f>
        <v/>
      </c>
      <c r="H218" s="31" t="str">
        <f>IF($D218="","",IFERROR(VLOOKUP($B218,Kraftvärmeprod!$B$1:$BX$550,MATCH(H$2,Kraftvärmeprod!$B$1:$VX$1,0),FALSE)/1,0)-IFERROR(VLOOKUP($B218,'Slutlig allokering kvv'!$B$2:$BX$550,MATCH(H$2,'Slutlig allokering kvv'!$B$1:$BX$1,0),FALSE)/1,0))</f>
        <v/>
      </c>
      <c r="I218" s="31" t="str">
        <f>IF($D218="","",IFERROR(VLOOKUP($B218,Kraftvärmeprod!$B$1:$BX$550,MATCH(I$2,Kraftvärmeprod!$B$1:$VX$1,0),FALSE)/1,0)-IFERROR(VLOOKUP($B218,'Slutlig allokering kvv'!$B$2:$BX$550,MATCH(I$2,'Slutlig allokering kvv'!$B$1:$BX$1,0),FALSE)/1,0))</f>
        <v/>
      </c>
      <c r="J218" s="31" t="str">
        <f>IF($D218="","",IFERROR(VLOOKUP($B218,Kraftvärmeprod!$B$1:$BX$550,MATCH(J$2,Kraftvärmeprod!$B$1:$VX$1,0),FALSE)/1,0)-IFERROR(VLOOKUP($B218,'Slutlig allokering kvv'!$B$2:$BX$550,MATCH(J$2,'Slutlig allokering kvv'!$B$1:$BX$1,0),FALSE)/1,0))</f>
        <v/>
      </c>
      <c r="K218" s="31" t="str">
        <f>IF($D218="","",IFERROR(VLOOKUP($B218,Kraftvärmeprod!$B$1:$BX$550,MATCH(K$2,Kraftvärmeprod!$B$1:$VX$1,0),FALSE)/1,0)-IFERROR(VLOOKUP($B218,'Slutlig allokering kvv'!$B$2:$BX$550,MATCH(K$2,'Slutlig allokering kvv'!$B$1:$BX$1,0),FALSE)/1,0))</f>
        <v/>
      </c>
      <c r="L218" s="31" t="str">
        <f>IF($D218="","",IFERROR(VLOOKUP($B218,Kraftvärmeprod!$B$1:$BX$550,MATCH(L$2,Kraftvärmeprod!$B$1:$VX$1,0),FALSE)/1,0)-IFERROR(VLOOKUP($B218,'Slutlig allokering kvv'!$B$2:$BX$550,MATCH(L$2,'Slutlig allokering kvv'!$B$1:$BX$1,0),FALSE)/1,0))</f>
        <v/>
      </c>
      <c r="M218" s="31" t="str">
        <f>IF($D218="","",IFERROR(VLOOKUP($B218,Kraftvärmeprod!$B$1:$BX$550,MATCH(M$2,Kraftvärmeprod!$B$1:$VX$1,0),FALSE)/1,0)-IFERROR(VLOOKUP($B218,'Slutlig allokering kvv'!$B$2:$BX$550,MATCH(M$2,'Slutlig allokering kvv'!$B$1:$BX$1,0),FALSE)/1,0))</f>
        <v/>
      </c>
      <c r="N218" s="31" t="str">
        <f>IF($D218="","",IFERROR(VLOOKUP($B218,Kraftvärmeprod!$B$1:$BX$550,MATCH(N$2,Kraftvärmeprod!$B$1:$VX$1,0),FALSE)/1,0)-IFERROR(VLOOKUP($B218,'Slutlig allokering kvv'!$B$2:$BX$550,MATCH(N$2,'Slutlig allokering kvv'!$B$1:$BX$1,0),FALSE)/1,0))</f>
        <v/>
      </c>
      <c r="O218" s="31" t="str">
        <f>IF($D218="","",IFERROR(VLOOKUP($B218,Kraftvärmeprod!$B$1:$BX$550,MATCH(O$2,Kraftvärmeprod!$B$1:$VX$1,0),FALSE)/1,0)-IFERROR(VLOOKUP($B218,'Slutlig allokering kvv'!$B$2:$BX$550,MATCH(O$2,'Slutlig allokering kvv'!$B$1:$BX$1,0),FALSE)/1,0))</f>
        <v/>
      </c>
      <c r="P218" s="31" t="str">
        <f>IF($D218="","",IFERROR(VLOOKUP($B218,Kraftvärmeprod!$B$1:$BX$550,MATCH(P$2,Kraftvärmeprod!$B$1:$VX$1,0),FALSE)/1,0)-IFERROR(VLOOKUP($B218,'Slutlig allokering kvv'!$B$2:$BX$550,MATCH(P$2,'Slutlig allokering kvv'!$B$1:$BX$1,0),FALSE)/1,0))</f>
        <v/>
      </c>
      <c r="Q218" s="31" t="str">
        <f>IF($D218="","",IFERROR(VLOOKUP($B218,Kraftvärmeprod!$B$1:$BX$550,MATCH(Q$2,Kraftvärmeprod!$B$1:$VX$1,0),FALSE)/1,0)-IFERROR(VLOOKUP($B218,'Slutlig allokering kvv'!$B$2:$BX$550,MATCH(Q$2,'Slutlig allokering kvv'!$B$1:$BX$1,0),FALSE)/1,0))</f>
        <v/>
      </c>
      <c r="R218" s="31" t="str">
        <f>IF($D218="","",IFERROR(VLOOKUP($B218,Kraftvärmeprod!$B$1:$BX$550,MATCH(R$2,Kraftvärmeprod!$B$1:$VX$1,0),FALSE)/1,0)-IFERROR(VLOOKUP($B218,'Slutlig allokering kvv'!$B$2:$BX$550,MATCH(R$2,'Slutlig allokering kvv'!$B$1:$BX$1,0),FALSE)/1,0))</f>
        <v/>
      </c>
      <c r="S218" s="31" t="str">
        <f>IF($D218="","",IFERROR(VLOOKUP($B218,Kraftvärmeprod!$B$1:$BX$550,MATCH(S$2,Kraftvärmeprod!$B$1:$VX$1,0),FALSE)/1,0)-IFERROR(VLOOKUP($B218,'Slutlig allokering kvv'!$B$2:$BX$550,MATCH(S$2,'Slutlig allokering kvv'!$B$1:$BX$1,0),FALSE)/1,0))</f>
        <v/>
      </c>
      <c r="T218" s="31" t="str">
        <f>IF($D218="","",IFERROR(VLOOKUP($B218,Kraftvärmeprod!$B$1:$BX$550,MATCH(T$2,Kraftvärmeprod!$B$1:$VX$1,0),FALSE)/1,0)-IFERROR(VLOOKUP($B218,'Slutlig allokering kvv'!$B$2:$BX$550,MATCH(T$2,'Slutlig allokering kvv'!$B$1:$BX$1,0),FALSE)/1,0))</f>
        <v/>
      </c>
      <c r="U218" s="31" t="str">
        <f>IF($D218="","",IFERROR(VLOOKUP($B218,Kraftvärmeprod!$B$1:$BX$550,MATCH(U$2,Kraftvärmeprod!$B$1:$VX$1,0),FALSE)/1,0)-IFERROR(VLOOKUP($B218,'Slutlig allokering kvv'!$B$2:$BX$550,MATCH(U$2,'Slutlig allokering kvv'!$B$1:$BX$1,0),FALSE)/1,0))</f>
        <v/>
      </c>
      <c r="V218" s="31" t="str">
        <f>IF($D218="","",IFERROR(VLOOKUP($B218,Kraftvärmeprod!$B$1:$BX$550,MATCH(V$2,Kraftvärmeprod!$B$1:$VX$1,0),FALSE)/1,0)-IFERROR(VLOOKUP($B218,'Slutlig allokering kvv'!$B$2:$BX$550,MATCH(V$2,'Slutlig allokering kvv'!$B$1:$BX$1,0),FALSE)/1,0))</f>
        <v/>
      </c>
      <c r="W218" s="31" t="str">
        <f>IF($D218="","",IFERROR(VLOOKUP($B218,Kraftvärmeprod!$B$1:$BX$550,MATCH(W$2,Kraftvärmeprod!$B$1:$VX$1,0),FALSE)/1,0)-IFERROR(VLOOKUP($B218,'Slutlig allokering kvv'!$B$2:$BX$550,MATCH(W$2,'Slutlig allokering kvv'!$B$1:$BX$1,0),FALSE)/1,0))</f>
        <v/>
      </c>
      <c r="X218" s="31" t="str">
        <f>IF($D218="","",IFERROR(VLOOKUP($B218,Kraftvärmeprod!$B$1:$BX$550,MATCH(X$2,Kraftvärmeprod!$B$1:$VX$1,0),FALSE)/1,0)-IFERROR(VLOOKUP($B218,'Slutlig allokering kvv'!$B$2:$BX$550,MATCH(X$2,'Slutlig allokering kvv'!$B$1:$BX$1,0),FALSE)/1,0))</f>
        <v/>
      </c>
      <c r="Y218" s="31" t="str">
        <f>IF($D218="","",IFERROR(VLOOKUP($B218,Kraftvärmeprod!$B$1:$BX$550,MATCH(Y$2,Kraftvärmeprod!$B$1:$VX$1,0),FALSE)/1,0)-IFERROR(VLOOKUP($B218,'Slutlig allokering kvv'!$B$2:$BX$550,MATCH(Y$2,'Slutlig allokering kvv'!$B$1:$BX$1,0),FALSE)/1,0))</f>
        <v/>
      </c>
      <c r="Z218" s="31" t="str">
        <f>IF($D218="","",IFERROR(VLOOKUP($B218,Kraftvärmeprod!$B$1:$BX$550,MATCH(Z$2,Kraftvärmeprod!$B$1:$VX$1,0),FALSE)/1,0)-IFERROR(VLOOKUP($B218,'Slutlig allokering kvv'!$B$2:$BX$550,MATCH(Z$2,'Slutlig allokering kvv'!$B$1:$BX$1,0),FALSE)/1,0))</f>
        <v/>
      </c>
      <c r="AA218" s="31" t="str">
        <f>IF($D218="","",IFERROR(VLOOKUP($B218,Kraftvärmeprod!$B$1:$BX$550,MATCH(AA$2,Kraftvärmeprod!$B$1:$VX$1,0),FALSE)/1,0)-IFERROR(VLOOKUP($B218,'Slutlig allokering kvv'!$B$2:$BX$550,MATCH(AA$2,'Slutlig allokering kvv'!$B$1:$BX$1,0),FALSE)/1,0))</f>
        <v/>
      </c>
      <c r="AB218" s="31" t="str">
        <f>IF($D218="","",IFERROR(VLOOKUP($B218,Kraftvärmeprod!$B$1:$BX$550,MATCH(AB$2,Kraftvärmeprod!$B$1:$VX$1,0),FALSE)/1,0)-IFERROR(VLOOKUP($B218,'Slutlig allokering kvv'!$B$2:$BX$550,MATCH(AB$2,'Slutlig allokering kvv'!$B$1:$BX$1,0),FALSE)/1,0))</f>
        <v/>
      </c>
      <c r="AC218" s="31" t="str">
        <f>IF($D218="","",IFERROR(VLOOKUP($B218,Kraftvärmeprod!$B$1:$BX$550,MATCH(AC$2,Kraftvärmeprod!$B$1:$VX$1,0),FALSE)/1,0)-IFERROR(VLOOKUP($B218,'Slutlig allokering kvv'!$B$2:$BX$550,MATCH(AC$2,'Slutlig allokering kvv'!$B$1:$BX$1,0),FALSE)/1,0))</f>
        <v/>
      </c>
      <c r="AD218" s="31" t="str">
        <f>IF($D218="","",IFERROR(VLOOKUP($B218,Kraftvärmeprod!$B$1:$BX$550,MATCH(AD$2,Kraftvärmeprod!$B$1:$VX$1,0),FALSE)/1,0)-IFERROR(VLOOKUP($B218,'Slutlig allokering kvv'!$B$2:$BX$550,MATCH(AD$2,'Slutlig allokering kvv'!$B$1:$BX$1,0),FALSE)/1,0))</f>
        <v/>
      </c>
      <c r="AE218" s="31" t="str">
        <f>IF($D218="","",IFERROR(VLOOKUP($B218,Miljö!$B$1:$E$550,MATCH("Hjälpel kraftvärme (GWh)",Miljö!$B$1:$E$1,0),FALSE)/1,0)-IFERROR(VLOOKUP($B218,'Slutlig allokering kvv'!$B$2:$BX$549,MATCH(AE$2,'Slutlig allokering kvv'!$B$1:$BX$1,0),FALSE)/1,0))</f>
        <v/>
      </c>
      <c r="AI218" s="39">
        <f t="shared" si="12"/>
        <v>0</v>
      </c>
      <c r="AK218" s="31">
        <f>IFERROR(VLOOKUP($B218,'Slutlig allokering kvv'!$B$2:$AX$549,MATCH("Summa slutlig allokerad tillförd energi (utan hjälpel och rökgaskondensering):",'Slutlig allokering kvv'!$B$1:$AX$1,0),FALSE)/1,"")</f>
        <v>0</v>
      </c>
      <c r="AM218" s="31" t="str">
        <f>IFERROR(1-VLOOKUP($B218,'Slutlig allokering kvv'!$B$2:$AX$549,MATCH("Andel av bränsle i kvv som allokerats till värme, exklusive rökgaskondensering och hjälpel",'Slutlig allokering kvv'!$B$1:$AX$1,0),FALSE),"")</f>
        <v/>
      </c>
      <c r="AO218" s="31" t="str">
        <f t="shared" si="13"/>
        <v/>
      </c>
      <c r="AP218" s="31" t="str">
        <f t="shared" si="14"/>
        <v/>
      </c>
      <c r="AR218" s="32" t="str">
        <f t="shared" si="15"/>
        <v/>
      </c>
    </row>
    <row r="219" spans="1:44" s="31" customFormat="1" x14ac:dyDescent="0.45">
      <c r="A219" s="31" t="s">
        <v>362</v>
      </c>
      <c r="B219" s="31" t="s">
        <v>361</v>
      </c>
      <c r="C219" s="31">
        <f>IFERROR(VLOOKUP($B219,Kraftvärmeprod!$B$1:$AH$479,MATCH(C$2,Kraftvärmeprod!$B$1:$AG$1,0),FALSE)/1,"")</f>
        <v>137.685</v>
      </c>
      <c r="D219" s="31">
        <f>IFERROR(VLOOKUP($B219,Kraftvärmeprod!$B$1:$AH$479,MATCH(D$2,Kraftvärmeprod!$B$1:$AG$1,0),FALSE)/1,"")</f>
        <v>27.172999999999998</v>
      </c>
      <c r="F219" s="31">
        <f>IF($D219="","",IFERROR(VLOOKUP($B219,Kraftvärmeprod!$B$1:$BX$550,MATCH(F$2,Kraftvärmeprod!$B$1:$VX$1,0),FALSE)/1,0)-IFERROR(VLOOKUP($B219,'Slutlig allokering kvv'!$B$2:$BX$550,MATCH(F$2,'Slutlig allokering kvv'!$B$1:$BX$1,0),FALSE)/1,0))</f>
        <v>0</v>
      </c>
      <c r="G219" s="31">
        <f>IF($D219="","",IFERROR(VLOOKUP($B219,Kraftvärmeprod!$B$1:$BX$550,MATCH(G$2,Kraftvärmeprod!$B$1:$VX$1,0),FALSE)/1,0)-IFERROR(VLOOKUP($B219,'Slutlig allokering kvv'!$B$2:$BX$550,MATCH(G$2,'Slutlig allokering kvv'!$B$1:$BX$1,0),FALSE)/1,0))</f>
        <v>0</v>
      </c>
      <c r="H219" s="31">
        <f>IF($D219="","",IFERROR(VLOOKUP($B219,Kraftvärmeprod!$B$1:$BX$550,MATCH(H$2,Kraftvärmeprod!$B$1:$VX$1,0),FALSE)/1,0)-IFERROR(VLOOKUP($B219,'Slutlig allokering kvv'!$B$2:$BX$550,MATCH(H$2,'Slutlig allokering kvv'!$B$1:$BX$1,0),FALSE)/1,0))</f>
        <v>0</v>
      </c>
      <c r="I219" s="31">
        <f>IF($D219="","",IFERROR(VLOOKUP($B219,Kraftvärmeprod!$B$1:$BX$550,MATCH(I$2,Kraftvärmeprod!$B$1:$VX$1,0),FALSE)/1,0)-IFERROR(VLOOKUP($B219,'Slutlig allokering kvv'!$B$2:$BX$550,MATCH(I$2,'Slutlig allokering kvv'!$B$1:$BX$1,0),FALSE)/1,0))</f>
        <v>0</v>
      </c>
      <c r="J219" s="31">
        <f>IF($D219="","",IFERROR(VLOOKUP($B219,Kraftvärmeprod!$B$1:$BX$550,MATCH(J$2,Kraftvärmeprod!$B$1:$VX$1,0),FALSE)/1,0)-IFERROR(VLOOKUP($B219,'Slutlig allokering kvv'!$B$2:$BX$550,MATCH(J$2,'Slutlig allokering kvv'!$B$1:$BX$1,0),FALSE)/1,0))</f>
        <v>0</v>
      </c>
      <c r="K219" s="31">
        <f>IF($D219="","",IFERROR(VLOOKUP($B219,Kraftvärmeprod!$B$1:$BX$550,MATCH(K$2,Kraftvärmeprod!$B$1:$VX$1,0),FALSE)/1,0)-IFERROR(VLOOKUP($B219,'Slutlig allokering kvv'!$B$2:$BX$550,MATCH(K$2,'Slutlig allokering kvv'!$B$1:$BX$1,0),FALSE)/1,0))</f>
        <v>0</v>
      </c>
      <c r="L219" s="31">
        <f>IF($D219="","",IFERROR(VLOOKUP($B219,Kraftvärmeprod!$B$1:$BX$550,MATCH(L$2,Kraftvärmeprod!$B$1:$VX$1,0),FALSE)/1,0)-IFERROR(VLOOKUP($B219,'Slutlig allokering kvv'!$B$2:$BX$550,MATCH(L$2,'Slutlig allokering kvv'!$B$1:$BX$1,0),FALSE)/1,0))</f>
        <v>8.4655000000000022</v>
      </c>
      <c r="M219" s="31">
        <f>IF($D219="","",IFERROR(VLOOKUP($B219,Kraftvärmeprod!$B$1:$BX$550,MATCH(M$2,Kraftvärmeprod!$B$1:$VX$1,0),FALSE)/1,0)-IFERROR(VLOOKUP($B219,'Slutlig allokering kvv'!$B$2:$BX$550,MATCH(M$2,'Slutlig allokering kvv'!$B$1:$BX$1,0),FALSE)/1,0))</f>
        <v>1.5905299999999998</v>
      </c>
      <c r="N219" s="31">
        <f>IF($D219="","",IFERROR(VLOOKUP($B219,Kraftvärmeprod!$B$1:$BX$550,MATCH(N$2,Kraftvärmeprod!$B$1:$VX$1,0),FALSE)/1,0)-IFERROR(VLOOKUP($B219,'Slutlig allokering kvv'!$B$2:$BX$550,MATCH(N$2,'Slutlig allokering kvv'!$B$1:$BX$1,0),FALSE)/1,0))</f>
        <v>0</v>
      </c>
      <c r="O219" s="31">
        <f>IF($D219="","",IFERROR(VLOOKUP($B219,Kraftvärmeprod!$B$1:$BX$550,MATCH(O$2,Kraftvärmeprod!$B$1:$VX$1,0),FALSE)/1,0)-IFERROR(VLOOKUP($B219,'Slutlig allokering kvv'!$B$2:$BX$550,MATCH(O$2,'Slutlig allokering kvv'!$B$1:$BX$1,0),FALSE)/1,0))</f>
        <v>0</v>
      </c>
      <c r="P219" s="31">
        <f>IF($D219="","",IFERROR(VLOOKUP($B219,Kraftvärmeprod!$B$1:$BX$550,MATCH(P$2,Kraftvärmeprod!$B$1:$VX$1,0),FALSE)/1,0)-IFERROR(VLOOKUP($B219,'Slutlig allokering kvv'!$B$2:$BX$550,MATCH(P$2,'Slutlig allokering kvv'!$B$1:$BX$1,0),FALSE)/1,0))</f>
        <v>0</v>
      </c>
      <c r="Q219" s="31">
        <f>IF($D219="","",IFERROR(VLOOKUP($B219,Kraftvärmeprod!$B$1:$BX$550,MATCH(Q$2,Kraftvärmeprod!$B$1:$VX$1,0),FALSE)/1,0)-IFERROR(VLOOKUP($B219,'Slutlig allokering kvv'!$B$2:$BX$550,MATCH(Q$2,'Slutlig allokering kvv'!$B$1:$BX$1,0),FALSE)/1,0))</f>
        <v>0</v>
      </c>
      <c r="R219" s="31">
        <f>IF($D219="","",IFERROR(VLOOKUP($B219,Kraftvärmeprod!$B$1:$BX$550,MATCH(R$2,Kraftvärmeprod!$B$1:$VX$1,0),FALSE)/1,0)-IFERROR(VLOOKUP($B219,'Slutlig allokering kvv'!$B$2:$BX$550,MATCH(R$2,'Slutlig allokering kvv'!$B$1:$BX$1,0),FALSE)/1,0))</f>
        <v>0</v>
      </c>
      <c r="S219" s="31">
        <f>IF($D219="","",IFERROR(VLOOKUP($B219,Kraftvärmeprod!$B$1:$BX$550,MATCH(S$2,Kraftvärmeprod!$B$1:$VX$1,0),FALSE)/1,0)-IFERROR(VLOOKUP($B219,'Slutlig allokering kvv'!$B$2:$BX$550,MATCH(S$2,'Slutlig allokering kvv'!$B$1:$BX$1,0),FALSE)/1,0))</f>
        <v>0</v>
      </c>
      <c r="T219" s="31">
        <f>IF($D219="","",IFERROR(VLOOKUP($B219,Kraftvärmeprod!$B$1:$BX$550,MATCH(T$2,Kraftvärmeprod!$B$1:$VX$1,0),FALSE)/1,0)-IFERROR(VLOOKUP($B219,'Slutlig allokering kvv'!$B$2:$BX$550,MATCH(T$2,'Slutlig allokering kvv'!$B$1:$BX$1,0),FALSE)/1,0))</f>
        <v>0</v>
      </c>
      <c r="U219" s="31">
        <f>IF($D219="","",IFERROR(VLOOKUP($B219,Kraftvärmeprod!$B$1:$BX$550,MATCH(U$2,Kraftvärmeprod!$B$1:$VX$1,0),FALSE)/1,0)-IFERROR(VLOOKUP($B219,'Slutlig allokering kvv'!$B$2:$BX$550,MATCH(U$2,'Slutlig allokering kvv'!$B$1:$BX$1,0),FALSE)/1,0))</f>
        <v>0</v>
      </c>
      <c r="V219" s="31">
        <f>IF($D219="","",IFERROR(VLOOKUP($B219,Kraftvärmeprod!$B$1:$BX$550,MATCH(V$2,Kraftvärmeprod!$B$1:$VX$1,0),FALSE)/1,0)-IFERROR(VLOOKUP($B219,'Slutlig allokering kvv'!$B$2:$BX$550,MATCH(V$2,'Slutlig allokering kvv'!$B$1:$BX$1,0),FALSE)/1,0))</f>
        <v>55.169999999999987</v>
      </c>
      <c r="W219" s="31">
        <f>IF($D219="","",IFERROR(VLOOKUP($B219,Kraftvärmeprod!$B$1:$BX$550,MATCH(W$2,Kraftvärmeprod!$B$1:$VX$1,0),FALSE)/1,0)-IFERROR(VLOOKUP($B219,'Slutlig allokering kvv'!$B$2:$BX$550,MATCH(W$2,'Slutlig allokering kvv'!$B$1:$BX$1,0),FALSE)/1,0))</f>
        <v>0</v>
      </c>
      <c r="X219" s="31">
        <f>IF($D219="","",IFERROR(VLOOKUP($B219,Kraftvärmeprod!$B$1:$BX$550,MATCH(X$2,Kraftvärmeprod!$B$1:$VX$1,0),FALSE)/1,0)-IFERROR(VLOOKUP($B219,'Slutlig allokering kvv'!$B$2:$BX$550,MATCH(X$2,'Slutlig allokering kvv'!$B$1:$BX$1,0),FALSE)/1,0))</f>
        <v>0</v>
      </c>
      <c r="Y219" s="31">
        <f>IF($D219="","",IFERROR(VLOOKUP($B219,Kraftvärmeprod!$B$1:$BX$550,MATCH(Y$2,Kraftvärmeprod!$B$1:$VX$1,0),FALSE)/1,0)-IFERROR(VLOOKUP($B219,'Slutlig allokering kvv'!$B$2:$BX$550,MATCH(Y$2,'Slutlig allokering kvv'!$B$1:$BX$1,0),FALSE)/1,0))</f>
        <v>0</v>
      </c>
      <c r="Z219" s="31">
        <f>IF($D219="","",IFERROR(VLOOKUP($B219,Kraftvärmeprod!$B$1:$BX$550,MATCH(Z$2,Kraftvärmeprod!$B$1:$VX$1,0),FALSE)/1,0)-IFERROR(VLOOKUP($B219,'Slutlig allokering kvv'!$B$2:$BX$550,MATCH(Z$2,'Slutlig allokering kvv'!$B$1:$BX$1,0),FALSE)/1,0))</f>
        <v>0</v>
      </c>
      <c r="AA219" s="31">
        <f>IF($D219="","",IFERROR(VLOOKUP($B219,Kraftvärmeprod!$B$1:$BX$550,MATCH(AA$2,Kraftvärmeprod!$B$1:$VX$1,0),FALSE)/1,0)-IFERROR(VLOOKUP($B219,'Slutlig allokering kvv'!$B$2:$BX$550,MATCH(AA$2,'Slutlig allokering kvv'!$B$1:$BX$1,0),FALSE)/1,0))</f>
        <v>0</v>
      </c>
      <c r="AB219" s="31">
        <f>IF($D219="","",IFERROR(VLOOKUP($B219,Kraftvärmeprod!$B$1:$BX$550,MATCH(AB$2,Kraftvärmeprod!$B$1:$VX$1,0),FALSE)/1,0)-IFERROR(VLOOKUP($B219,'Slutlig allokering kvv'!$B$2:$BX$550,MATCH(AB$2,'Slutlig allokering kvv'!$B$1:$BX$1,0),FALSE)/1,0))</f>
        <v>0</v>
      </c>
      <c r="AC219" s="31">
        <f>IF($D219="","",IFERROR(VLOOKUP($B219,Kraftvärmeprod!$B$1:$BX$550,MATCH(AC$2,Kraftvärmeprod!$B$1:$VX$1,0),FALSE)/1,0)-IFERROR(VLOOKUP($B219,'Slutlig allokering kvv'!$B$2:$BX$550,MATCH(AC$2,'Slutlig allokering kvv'!$B$1:$BX$1,0),FALSE)/1,0))</f>
        <v>0</v>
      </c>
      <c r="AD219" s="31">
        <f>IF($D219="","",IFERROR(VLOOKUP($B219,Kraftvärmeprod!$B$1:$BX$550,MATCH(AD$2,Kraftvärmeprod!$B$1:$VX$1,0),FALSE)/1,0)-IFERROR(VLOOKUP($B219,'Slutlig allokering kvv'!$B$2:$BX$550,MATCH(AD$2,'Slutlig allokering kvv'!$B$1:$BX$1,0),FALSE)/1,0))</f>
        <v>0</v>
      </c>
      <c r="AE219" s="31">
        <f>IF($D219="","",IFERROR(VLOOKUP($B219,Miljö!$B$1:$E$550,MATCH("Hjälpel kraftvärme (GWh)",Miljö!$B$1:$E$1,0),FALSE)/1,0)-IFERROR(VLOOKUP($B219,'Slutlig allokering kvv'!$B$2:$BX$549,MATCH(AE$2,'Slutlig allokering kvv'!$B$1:$BX$1,0),FALSE)/1,0))</f>
        <v>1.9926499999999998</v>
      </c>
      <c r="AI219" s="39">
        <f t="shared" si="12"/>
        <v>65.226029999999994</v>
      </c>
      <c r="AK219" s="31">
        <f>IFERROR(VLOOKUP($B219,'Slutlig allokering kvv'!$B$2:$AX$549,MATCH("Summa slutlig allokerad tillförd energi (utan hjälpel och rökgaskondensering):",'Slutlig allokering kvv'!$B$1:$AX$1,0),FALSE)/1,"")</f>
        <v>126.81996999999998</v>
      </c>
      <c r="AM219" s="31">
        <f>IFERROR(1-VLOOKUP($B219,'Slutlig allokering kvv'!$B$2:$AX$549,MATCH("Andel av bränsle i kvv som allokerats till värme, exklusive rökgaskondensering och hjälpel",'Slutlig allokering kvv'!$B$1:$AX$1,0),FALSE),"")</f>
        <v>0.33963753475729774</v>
      </c>
      <c r="AO219" s="31">
        <f t="shared" si="13"/>
        <v>0.33963753475729769</v>
      </c>
      <c r="AP219" s="31">
        <f t="shared" si="14"/>
        <v>5.5511151231257827E-17</v>
      </c>
      <c r="AR219" s="32">
        <f t="shared" si="15"/>
        <v>0.40424774779867739</v>
      </c>
    </row>
    <row r="220" spans="1:44" s="31" customFormat="1" x14ac:dyDescent="0.45">
      <c r="A220" s="31" t="s">
        <v>360</v>
      </c>
      <c r="B220" s="31" t="s">
        <v>359</v>
      </c>
      <c r="C220" s="31" t="str">
        <f>IFERROR(VLOOKUP($B220,Kraftvärmeprod!$B$1:$AH$479,MATCH(C$2,Kraftvärmeprod!$B$1:$AG$1,0),FALSE)/1,"")</f>
        <v/>
      </c>
      <c r="D220" s="31" t="str">
        <f>IFERROR(VLOOKUP($B220,Kraftvärmeprod!$B$1:$AH$479,MATCH(D$2,Kraftvärmeprod!$B$1:$AG$1,0),FALSE)/1,"")</f>
        <v/>
      </c>
      <c r="F220" s="31" t="str">
        <f>IF($D220="","",IFERROR(VLOOKUP($B220,Kraftvärmeprod!$B$1:$BX$550,MATCH(F$2,Kraftvärmeprod!$B$1:$VX$1,0),FALSE)/1,0)-IFERROR(VLOOKUP($B220,'Slutlig allokering kvv'!$B$2:$BX$550,MATCH(F$2,'Slutlig allokering kvv'!$B$1:$BX$1,0),FALSE)/1,0))</f>
        <v/>
      </c>
      <c r="G220" s="31" t="str">
        <f>IF($D220="","",IFERROR(VLOOKUP($B220,Kraftvärmeprod!$B$1:$BX$550,MATCH(G$2,Kraftvärmeprod!$B$1:$VX$1,0),FALSE)/1,0)-IFERROR(VLOOKUP($B220,'Slutlig allokering kvv'!$B$2:$BX$550,MATCH(G$2,'Slutlig allokering kvv'!$B$1:$BX$1,0),FALSE)/1,0))</f>
        <v/>
      </c>
      <c r="H220" s="31" t="str">
        <f>IF($D220="","",IFERROR(VLOOKUP($B220,Kraftvärmeprod!$B$1:$BX$550,MATCH(H$2,Kraftvärmeprod!$B$1:$VX$1,0),FALSE)/1,0)-IFERROR(VLOOKUP($B220,'Slutlig allokering kvv'!$B$2:$BX$550,MATCH(H$2,'Slutlig allokering kvv'!$B$1:$BX$1,0),FALSE)/1,0))</f>
        <v/>
      </c>
      <c r="I220" s="31" t="str">
        <f>IF($D220="","",IFERROR(VLOOKUP($B220,Kraftvärmeprod!$B$1:$BX$550,MATCH(I$2,Kraftvärmeprod!$B$1:$VX$1,0),FALSE)/1,0)-IFERROR(VLOOKUP($B220,'Slutlig allokering kvv'!$B$2:$BX$550,MATCH(I$2,'Slutlig allokering kvv'!$B$1:$BX$1,0),FALSE)/1,0))</f>
        <v/>
      </c>
      <c r="J220" s="31" t="str">
        <f>IF($D220="","",IFERROR(VLOOKUP($B220,Kraftvärmeprod!$B$1:$BX$550,MATCH(J$2,Kraftvärmeprod!$B$1:$VX$1,0),FALSE)/1,0)-IFERROR(VLOOKUP($B220,'Slutlig allokering kvv'!$B$2:$BX$550,MATCH(J$2,'Slutlig allokering kvv'!$B$1:$BX$1,0),FALSE)/1,0))</f>
        <v/>
      </c>
      <c r="K220" s="31" t="str">
        <f>IF($D220="","",IFERROR(VLOOKUP($B220,Kraftvärmeprod!$B$1:$BX$550,MATCH(K$2,Kraftvärmeprod!$B$1:$VX$1,0),FALSE)/1,0)-IFERROR(VLOOKUP($B220,'Slutlig allokering kvv'!$B$2:$BX$550,MATCH(K$2,'Slutlig allokering kvv'!$B$1:$BX$1,0),FALSE)/1,0))</f>
        <v/>
      </c>
      <c r="L220" s="31" t="str">
        <f>IF($D220="","",IFERROR(VLOOKUP($B220,Kraftvärmeprod!$B$1:$BX$550,MATCH(L$2,Kraftvärmeprod!$B$1:$VX$1,0),FALSE)/1,0)-IFERROR(VLOOKUP($B220,'Slutlig allokering kvv'!$B$2:$BX$550,MATCH(L$2,'Slutlig allokering kvv'!$B$1:$BX$1,0),FALSE)/1,0))</f>
        <v/>
      </c>
      <c r="M220" s="31" t="str">
        <f>IF($D220="","",IFERROR(VLOOKUP($B220,Kraftvärmeprod!$B$1:$BX$550,MATCH(M$2,Kraftvärmeprod!$B$1:$VX$1,0),FALSE)/1,0)-IFERROR(VLOOKUP($B220,'Slutlig allokering kvv'!$B$2:$BX$550,MATCH(M$2,'Slutlig allokering kvv'!$B$1:$BX$1,0),FALSE)/1,0))</f>
        <v/>
      </c>
      <c r="N220" s="31" t="str">
        <f>IF($D220="","",IFERROR(VLOOKUP($B220,Kraftvärmeprod!$B$1:$BX$550,MATCH(N$2,Kraftvärmeprod!$B$1:$VX$1,0),FALSE)/1,0)-IFERROR(VLOOKUP($B220,'Slutlig allokering kvv'!$B$2:$BX$550,MATCH(N$2,'Slutlig allokering kvv'!$B$1:$BX$1,0),FALSE)/1,0))</f>
        <v/>
      </c>
      <c r="O220" s="31" t="str">
        <f>IF($D220="","",IFERROR(VLOOKUP($B220,Kraftvärmeprod!$B$1:$BX$550,MATCH(O$2,Kraftvärmeprod!$B$1:$VX$1,0),FALSE)/1,0)-IFERROR(VLOOKUP($B220,'Slutlig allokering kvv'!$B$2:$BX$550,MATCH(O$2,'Slutlig allokering kvv'!$B$1:$BX$1,0),FALSE)/1,0))</f>
        <v/>
      </c>
      <c r="P220" s="31" t="str">
        <f>IF($D220="","",IFERROR(VLOOKUP($B220,Kraftvärmeprod!$B$1:$BX$550,MATCH(P$2,Kraftvärmeprod!$B$1:$VX$1,0),FALSE)/1,0)-IFERROR(VLOOKUP($B220,'Slutlig allokering kvv'!$B$2:$BX$550,MATCH(P$2,'Slutlig allokering kvv'!$B$1:$BX$1,0),FALSE)/1,0))</f>
        <v/>
      </c>
      <c r="Q220" s="31" t="str">
        <f>IF($D220="","",IFERROR(VLOOKUP($B220,Kraftvärmeprod!$B$1:$BX$550,MATCH(Q$2,Kraftvärmeprod!$B$1:$VX$1,0),FALSE)/1,0)-IFERROR(VLOOKUP($B220,'Slutlig allokering kvv'!$B$2:$BX$550,MATCH(Q$2,'Slutlig allokering kvv'!$B$1:$BX$1,0),FALSE)/1,0))</f>
        <v/>
      </c>
      <c r="R220" s="31" t="str">
        <f>IF($D220="","",IFERROR(VLOOKUP($B220,Kraftvärmeprod!$B$1:$BX$550,MATCH(R$2,Kraftvärmeprod!$B$1:$VX$1,0),FALSE)/1,0)-IFERROR(VLOOKUP($B220,'Slutlig allokering kvv'!$B$2:$BX$550,MATCH(R$2,'Slutlig allokering kvv'!$B$1:$BX$1,0),FALSE)/1,0))</f>
        <v/>
      </c>
      <c r="S220" s="31" t="str">
        <f>IF($D220="","",IFERROR(VLOOKUP($B220,Kraftvärmeprod!$B$1:$BX$550,MATCH(S$2,Kraftvärmeprod!$B$1:$VX$1,0),FALSE)/1,0)-IFERROR(VLOOKUP($B220,'Slutlig allokering kvv'!$B$2:$BX$550,MATCH(S$2,'Slutlig allokering kvv'!$B$1:$BX$1,0),FALSE)/1,0))</f>
        <v/>
      </c>
      <c r="T220" s="31" t="str">
        <f>IF($D220="","",IFERROR(VLOOKUP($B220,Kraftvärmeprod!$B$1:$BX$550,MATCH(T$2,Kraftvärmeprod!$B$1:$VX$1,0),FALSE)/1,0)-IFERROR(VLOOKUP($B220,'Slutlig allokering kvv'!$B$2:$BX$550,MATCH(T$2,'Slutlig allokering kvv'!$B$1:$BX$1,0),FALSE)/1,0))</f>
        <v/>
      </c>
      <c r="U220" s="31" t="str">
        <f>IF($D220="","",IFERROR(VLOOKUP($B220,Kraftvärmeprod!$B$1:$BX$550,MATCH(U$2,Kraftvärmeprod!$B$1:$VX$1,0),FALSE)/1,0)-IFERROR(VLOOKUP($B220,'Slutlig allokering kvv'!$B$2:$BX$550,MATCH(U$2,'Slutlig allokering kvv'!$B$1:$BX$1,0),FALSE)/1,0))</f>
        <v/>
      </c>
      <c r="V220" s="31" t="str">
        <f>IF($D220="","",IFERROR(VLOOKUP($B220,Kraftvärmeprod!$B$1:$BX$550,MATCH(V$2,Kraftvärmeprod!$B$1:$VX$1,0),FALSE)/1,0)-IFERROR(VLOOKUP($B220,'Slutlig allokering kvv'!$B$2:$BX$550,MATCH(V$2,'Slutlig allokering kvv'!$B$1:$BX$1,0),FALSE)/1,0))</f>
        <v/>
      </c>
      <c r="W220" s="31" t="str">
        <f>IF($D220="","",IFERROR(VLOOKUP($B220,Kraftvärmeprod!$B$1:$BX$550,MATCH(W$2,Kraftvärmeprod!$B$1:$VX$1,0),FALSE)/1,0)-IFERROR(VLOOKUP($B220,'Slutlig allokering kvv'!$B$2:$BX$550,MATCH(W$2,'Slutlig allokering kvv'!$B$1:$BX$1,0),FALSE)/1,0))</f>
        <v/>
      </c>
      <c r="X220" s="31" t="str">
        <f>IF($D220="","",IFERROR(VLOOKUP($B220,Kraftvärmeprod!$B$1:$BX$550,MATCH(X$2,Kraftvärmeprod!$B$1:$VX$1,0),FALSE)/1,0)-IFERROR(VLOOKUP($B220,'Slutlig allokering kvv'!$B$2:$BX$550,MATCH(X$2,'Slutlig allokering kvv'!$B$1:$BX$1,0),FALSE)/1,0))</f>
        <v/>
      </c>
      <c r="Y220" s="31" t="str">
        <f>IF($D220="","",IFERROR(VLOOKUP($B220,Kraftvärmeprod!$B$1:$BX$550,MATCH(Y$2,Kraftvärmeprod!$B$1:$VX$1,0),FALSE)/1,0)-IFERROR(VLOOKUP($B220,'Slutlig allokering kvv'!$B$2:$BX$550,MATCH(Y$2,'Slutlig allokering kvv'!$B$1:$BX$1,0),FALSE)/1,0))</f>
        <v/>
      </c>
      <c r="Z220" s="31" t="str">
        <f>IF($D220="","",IFERROR(VLOOKUP($B220,Kraftvärmeprod!$B$1:$BX$550,MATCH(Z$2,Kraftvärmeprod!$B$1:$VX$1,0),FALSE)/1,0)-IFERROR(VLOOKUP($B220,'Slutlig allokering kvv'!$B$2:$BX$550,MATCH(Z$2,'Slutlig allokering kvv'!$B$1:$BX$1,0),FALSE)/1,0))</f>
        <v/>
      </c>
      <c r="AA220" s="31" t="str">
        <f>IF($D220="","",IFERROR(VLOOKUP($B220,Kraftvärmeprod!$B$1:$BX$550,MATCH(AA$2,Kraftvärmeprod!$B$1:$VX$1,0),FALSE)/1,0)-IFERROR(VLOOKUP($B220,'Slutlig allokering kvv'!$B$2:$BX$550,MATCH(AA$2,'Slutlig allokering kvv'!$B$1:$BX$1,0),FALSE)/1,0))</f>
        <v/>
      </c>
      <c r="AB220" s="31" t="str">
        <f>IF($D220="","",IFERROR(VLOOKUP($B220,Kraftvärmeprod!$B$1:$BX$550,MATCH(AB$2,Kraftvärmeprod!$B$1:$VX$1,0),FALSE)/1,0)-IFERROR(VLOOKUP($B220,'Slutlig allokering kvv'!$B$2:$BX$550,MATCH(AB$2,'Slutlig allokering kvv'!$B$1:$BX$1,0),FALSE)/1,0))</f>
        <v/>
      </c>
      <c r="AC220" s="31" t="str">
        <f>IF($D220="","",IFERROR(VLOOKUP($B220,Kraftvärmeprod!$B$1:$BX$550,MATCH(AC$2,Kraftvärmeprod!$B$1:$VX$1,0),FALSE)/1,0)-IFERROR(VLOOKUP($B220,'Slutlig allokering kvv'!$B$2:$BX$550,MATCH(AC$2,'Slutlig allokering kvv'!$B$1:$BX$1,0),FALSE)/1,0))</f>
        <v/>
      </c>
      <c r="AD220" s="31" t="str">
        <f>IF($D220="","",IFERROR(VLOOKUP($B220,Kraftvärmeprod!$B$1:$BX$550,MATCH(AD$2,Kraftvärmeprod!$B$1:$VX$1,0),FALSE)/1,0)-IFERROR(VLOOKUP($B220,'Slutlig allokering kvv'!$B$2:$BX$550,MATCH(AD$2,'Slutlig allokering kvv'!$B$1:$BX$1,0),FALSE)/1,0))</f>
        <v/>
      </c>
      <c r="AE220" s="31" t="str">
        <f>IF($D220="","",IFERROR(VLOOKUP($B220,Miljö!$B$1:$E$550,MATCH("Hjälpel kraftvärme (GWh)",Miljö!$B$1:$E$1,0),FALSE)/1,0)-IFERROR(VLOOKUP($B220,'Slutlig allokering kvv'!$B$2:$BX$549,MATCH(AE$2,'Slutlig allokering kvv'!$B$1:$BX$1,0),FALSE)/1,0))</f>
        <v/>
      </c>
      <c r="AI220" s="39">
        <f t="shared" si="12"/>
        <v>0</v>
      </c>
      <c r="AK220" s="31">
        <f>IFERROR(VLOOKUP($B220,'Slutlig allokering kvv'!$B$2:$AX$549,MATCH("Summa slutlig allokerad tillförd energi (utan hjälpel och rökgaskondensering):",'Slutlig allokering kvv'!$B$1:$AX$1,0),FALSE)/1,"")</f>
        <v>0</v>
      </c>
      <c r="AM220" s="31" t="str">
        <f>IFERROR(1-VLOOKUP($B220,'Slutlig allokering kvv'!$B$2:$AX$549,MATCH("Andel av bränsle i kvv som allokerats till värme, exklusive rökgaskondensering och hjälpel",'Slutlig allokering kvv'!$B$1:$AX$1,0),FALSE),"")</f>
        <v/>
      </c>
      <c r="AO220" s="31" t="str">
        <f t="shared" si="13"/>
        <v/>
      </c>
      <c r="AP220" s="31" t="str">
        <f t="shared" si="14"/>
        <v/>
      </c>
      <c r="AR220" s="32" t="str">
        <f t="shared" si="15"/>
        <v/>
      </c>
    </row>
    <row r="221" spans="1:44" s="31" customFormat="1" x14ac:dyDescent="0.45">
      <c r="A221" s="31" t="s">
        <v>342</v>
      </c>
      <c r="B221" s="31" t="s">
        <v>358</v>
      </c>
      <c r="C221" s="31" t="str">
        <f>IFERROR(VLOOKUP($B221,Kraftvärmeprod!$B$1:$AH$479,MATCH(C$2,Kraftvärmeprod!$B$1:$AG$1,0),FALSE)/1,"")</f>
        <v/>
      </c>
      <c r="D221" s="31" t="str">
        <f>IFERROR(VLOOKUP($B221,Kraftvärmeprod!$B$1:$AH$479,MATCH(D$2,Kraftvärmeprod!$B$1:$AG$1,0),FALSE)/1,"")</f>
        <v/>
      </c>
      <c r="F221" s="31" t="str">
        <f>IF($D221="","",IFERROR(VLOOKUP($B221,Kraftvärmeprod!$B$1:$BX$550,MATCH(F$2,Kraftvärmeprod!$B$1:$VX$1,0),FALSE)/1,0)-IFERROR(VLOOKUP($B221,'Slutlig allokering kvv'!$B$2:$BX$550,MATCH(F$2,'Slutlig allokering kvv'!$B$1:$BX$1,0),FALSE)/1,0))</f>
        <v/>
      </c>
      <c r="G221" s="31" t="str">
        <f>IF($D221="","",IFERROR(VLOOKUP($B221,Kraftvärmeprod!$B$1:$BX$550,MATCH(G$2,Kraftvärmeprod!$B$1:$VX$1,0),FALSE)/1,0)-IFERROR(VLOOKUP($B221,'Slutlig allokering kvv'!$B$2:$BX$550,MATCH(G$2,'Slutlig allokering kvv'!$B$1:$BX$1,0),FALSE)/1,0))</f>
        <v/>
      </c>
      <c r="H221" s="31" t="str">
        <f>IF($D221="","",IFERROR(VLOOKUP($B221,Kraftvärmeprod!$B$1:$BX$550,MATCH(H$2,Kraftvärmeprod!$B$1:$VX$1,0),FALSE)/1,0)-IFERROR(VLOOKUP($B221,'Slutlig allokering kvv'!$B$2:$BX$550,MATCH(H$2,'Slutlig allokering kvv'!$B$1:$BX$1,0),FALSE)/1,0))</f>
        <v/>
      </c>
      <c r="I221" s="31" t="str">
        <f>IF($D221="","",IFERROR(VLOOKUP($B221,Kraftvärmeprod!$B$1:$BX$550,MATCH(I$2,Kraftvärmeprod!$B$1:$VX$1,0),FALSE)/1,0)-IFERROR(VLOOKUP($B221,'Slutlig allokering kvv'!$B$2:$BX$550,MATCH(I$2,'Slutlig allokering kvv'!$B$1:$BX$1,0),FALSE)/1,0))</f>
        <v/>
      </c>
      <c r="J221" s="31" t="str">
        <f>IF($D221="","",IFERROR(VLOOKUP($B221,Kraftvärmeprod!$B$1:$BX$550,MATCH(J$2,Kraftvärmeprod!$B$1:$VX$1,0),FALSE)/1,0)-IFERROR(VLOOKUP($B221,'Slutlig allokering kvv'!$B$2:$BX$550,MATCH(J$2,'Slutlig allokering kvv'!$B$1:$BX$1,0),FALSE)/1,0))</f>
        <v/>
      </c>
      <c r="K221" s="31" t="str">
        <f>IF($D221="","",IFERROR(VLOOKUP($B221,Kraftvärmeprod!$B$1:$BX$550,MATCH(K$2,Kraftvärmeprod!$B$1:$VX$1,0),FALSE)/1,0)-IFERROR(VLOOKUP($B221,'Slutlig allokering kvv'!$B$2:$BX$550,MATCH(K$2,'Slutlig allokering kvv'!$B$1:$BX$1,0),FALSE)/1,0))</f>
        <v/>
      </c>
      <c r="L221" s="31" t="str">
        <f>IF($D221="","",IFERROR(VLOOKUP($B221,Kraftvärmeprod!$B$1:$BX$550,MATCH(L$2,Kraftvärmeprod!$B$1:$VX$1,0),FALSE)/1,0)-IFERROR(VLOOKUP($B221,'Slutlig allokering kvv'!$B$2:$BX$550,MATCH(L$2,'Slutlig allokering kvv'!$B$1:$BX$1,0),FALSE)/1,0))</f>
        <v/>
      </c>
      <c r="M221" s="31" t="str">
        <f>IF($D221="","",IFERROR(VLOOKUP($B221,Kraftvärmeprod!$B$1:$BX$550,MATCH(M$2,Kraftvärmeprod!$B$1:$VX$1,0),FALSE)/1,0)-IFERROR(VLOOKUP($B221,'Slutlig allokering kvv'!$B$2:$BX$550,MATCH(M$2,'Slutlig allokering kvv'!$B$1:$BX$1,0),FALSE)/1,0))</f>
        <v/>
      </c>
      <c r="N221" s="31" t="str">
        <f>IF($D221="","",IFERROR(VLOOKUP($B221,Kraftvärmeprod!$B$1:$BX$550,MATCH(N$2,Kraftvärmeprod!$B$1:$VX$1,0),FALSE)/1,0)-IFERROR(VLOOKUP($B221,'Slutlig allokering kvv'!$B$2:$BX$550,MATCH(N$2,'Slutlig allokering kvv'!$B$1:$BX$1,0),FALSE)/1,0))</f>
        <v/>
      </c>
      <c r="O221" s="31" t="str">
        <f>IF($D221="","",IFERROR(VLOOKUP($B221,Kraftvärmeprod!$B$1:$BX$550,MATCH(O$2,Kraftvärmeprod!$B$1:$VX$1,0),FALSE)/1,0)-IFERROR(VLOOKUP($B221,'Slutlig allokering kvv'!$B$2:$BX$550,MATCH(O$2,'Slutlig allokering kvv'!$B$1:$BX$1,0),FALSE)/1,0))</f>
        <v/>
      </c>
      <c r="P221" s="31" t="str">
        <f>IF($D221="","",IFERROR(VLOOKUP($B221,Kraftvärmeprod!$B$1:$BX$550,MATCH(P$2,Kraftvärmeprod!$B$1:$VX$1,0),FALSE)/1,0)-IFERROR(VLOOKUP($B221,'Slutlig allokering kvv'!$B$2:$BX$550,MATCH(P$2,'Slutlig allokering kvv'!$B$1:$BX$1,0),FALSE)/1,0))</f>
        <v/>
      </c>
      <c r="Q221" s="31" t="str">
        <f>IF($D221="","",IFERROR(VLOOKUP($B221,Kraftvärmeprod!$B$1:$BX$550,MATCH(Q$2,Kraftvärmeprod!$B$1:$VX$1,0),FALSE)/1,0)-IFERROR(VLOOKUP($B221,'Slutlig allokering kvv'!$B$2:$BX$550,MATCH(Q$2,'Slutlig allokering kvv'!$B$1:$BX$1,0),FALSE)/1,0))</f>
        <v/>
      </c>
      <c r="R221" s="31" t="str">
        <f>IF($D221="","",IFERROR(VLOOKUP($B221,Kraftvärmeprod!$B$1:$BX$550,MATCH(R$2,Kraftvärmeprod!$B$1:$VX$1,0),FALSE)/1,0)-IFERROR(VLOOKUP($B221,'Slutlig allokering kvv'!$B$2:$BX$550,MATCH(R$2,'Slutlig allokering kvv'!$B$1:$BX$1,0),FALSE)/1,0))</f>
        <v/>
      </c>
      <c r="S221" s="31" t="str">
        <f>IF($D221="","",IFERROR(VLOOKUP($B221,Kraftvärmeprod!$B$1:$BX$550,MATCH(S$2,Kraftvärmeprod!$B$1:$VX$1,0),FALSE)/1,0)-IFERROR(VLOOKUP($B221,'Slutlig allokering kvv'!$B$2:$BX$550,MATCH(S$2,'Slutlig allokering kvv'!$B$1:$BX$1,0),FALSE)/1,0))</f>
        <v/>
      </c>
      <c r="T221" s="31" t="str">
        <f>IF($D221="","",IFERROR(VLOOKUP($B221,Kraftvärmeprod!$B$1:$BX$550,MATCH(T$2,Kraftvärmeprod!$B$1:$VX$1,0),FALSE)/1,0)-IFERROR(VLOOKUP($B221,'Slutlig allokering kvv'!$B$2:$BX$550,MATCH(T$2,'Slutlig allokering kvv'!$B$1:$BX$1,0),FALSE)/1,0))</f>
        <v/>
      </c>
      <c r="U221" s="31" t="str">
        <f>IF($D221="","",IFERROR(VLOOKUP($B221,Kraftvärmeprod!$B$1:$BX$550,MATCH(U$2,Kraftvärmeprod!$B$1:$VX$1,0),FALSE)/1,0)-IFERROR(VLOOKUP($B221,'Slutlig allokering kvv'!$B$2:$BX$550,MATCH(U$2,'Slutlig allokering kvv'!$B$1:$BX$1,0),FALSE)/1,0))</f>
        <v/>
      </c>
      <c r="V221" s="31" t="str">
        <f>IF($D221="","",IFERROR(VLOOKUP($B221,Kraftvärmeprod!$B$1:$BX$550,MATCH(V$2,Kraftvärmeprod!$B$1:$VX$1,0),FALSE)/1,0)-IFERROR(VLOOKUP($B221,'Slutlig allokering kvv'!$B$2:$BX$550,MATCH(V$2,'Slutlig allokering kvv'!$B$1:$BX$1,0),FALSE)/1,0))</f>
        <v/>
      </c>
      <c r="W221" s="31" t="str">
        <f>IF($D221="","",IFERROR(VLOOKUP($B221,Kraftvärmeprod!$B$1:$BX$550,MATCH(W$2,Kraftvärmeprod!$B$1:$VX$1,0),FALSE)/1,0)-IFERROR(VLOOKUP($B221,'Slutlig allokering kvv'!$B$2:$BX$550,MATCH(W$2,'Slutlig allokering kvv'!$B$1:$BX$1,0),FALSE)/1,0))</f>
        <v/>
      </c>
      <c r="X221" s="31" t="str">
        <f>IF($D221="","",IFERROR(VLOOKUP($B221,Kraftvärmeprod!$B$1:$BX$550,MATCH(X$2,Kraftvärmeprod!$B$1:$VX$1,0),FALSE)/1,0)-IFERROR(VLOOKUP($B221,'Slutlig allokering kvv'!$B$2:$BX$550,MATCH(X$2,'Slutlig allokering kvv'!$B$1:$BX$1,0),FALSE)/1,0))</f>
        <v/>
      </c>
      <c r="Y221" s="31" t="str">
        <f>IF($D221="","",IFERROR(VLOOKUP($B221,Kraftvärmeprod!$B$1:$BX$550,MATCH(Y$2,Kraftvärmeprod!$B$1:$VX$1,0),FALSE)/1,0)-IFERROR(VLOOKUP($B221,'Slutlig allokering kvv'!$B$2:$BX$550,MATCH(Y$2,'Slutlig allokering kvv'!$B$1:$BX$1,0),FALSE)/1,0))</f>
        <v/>
      </c>
      <c r="Z221" s="31" t="str">
        <f>IF($D221="","",IFERROR(VLOOKUP($B221,Kraftvärmeprod!$B$1:$BX$550,MATCH(Z$2,Kraftvärmeprod!$B$1:$VX$1,0),FALSE)/1,0)-IFERROR(VLOOKUP($B221,'Slutlig allokering kvv'!$B$2:$BX$550,MATCH(Z$2,'Slutlig allokering kvv'!$B$1:$BX$1,0),FALSE)/1,0))</f>
        <v/>
      </c>
      <c r="AA221" s="31" t="str">
        <f>IF($D221="","",IFERROR(VLOOKUP($B221,Kraftvärmeprod!$B$1:$BX$550,MATCH(AA$2,Kraftvärmeprod!$B$1:$VX$1,0),FALSE)/1,0)-IFERROR(VLOOKUP($B221,'Slutlig allokering kvv'!$B$2:$BX$550,MATCH(AA$2,'Slutlig allokering kvv'!$B$1:$BX$1,0),FALSE)/1,0))</f>
        <v/>
      </c>
      <c r="AB221" s="31" t="str">
        <f>IF($D221="","",IFERROR(VLOOKUP($B221,Kraftvärmeprod!$B$1:$BX$550,MATCH(AB$2,Kraftvärmeprod!$B$1:$VX$1,0),FALSE)/1,0)-IFERROR(VLOOKUP($B221,'Slutlig allokering kvv'!$B$2:$BX$550,MATCH(AB$2,'Slutlig allokering kvv'!$B$1:$BX$1,0),FALSE)/1,0))</f>
        <v/>
      </c>
      <c r="AC221" s="31" t="str">
        <f>IF($D221="","",IFERROR(VLOOKUP($B221,Kraftvärmeprod!$B$1:$BX$550,MATCH(AC$2,Kraftvärmeprod!$B$1:$VX$1,0),FALSE)/1,0)-IFERROR(VLOOKUP($B221,'Slutlig allokering kvv'!$B$2:$BX$550,MATCH(AC$2,'Slutlig allokering kvv'!$B$1:$BX$1,0),FALSE)/1,0))</f>
        <v/>
      </c>
      <c r="AD221" s="31" t="str">
        <f>IF($D221="","",IFERROR(VLOOKUP($B221,Kraftvärmeprod!$B$1:$BX$550,MATCH(AD$2,Kraftvärmeprod!$B$1:$VX$1,0),FALSE)/1,0)-IFERROR(VLOOKUP($B221,'Slutlig allokering kvv'!$B$2:$BX$550,MATCH(AD$2,'Slutlig allokering kvv'!$B$1:$BX$1,0),FALSE)/1,0))</f>
        <v/>
      </c>
      <c r="AE221" s="31" t="str">
        <f>IF($D221="","",IFERROR(VLOOKUP($B221,Miljö!$B$1:$E$550,MATCH("Hjälpel kraftvärme (GWh)",Miljö!$B$1:$E$1,0),FALSE)/1,0)-IFERROR(VLOOKUP($B221,'Slutlig allokering kvv'!$B$2:$BX$549,MATCH(AE$2,'Slutlig allokering kvv'!$B$1:$BX$1,0),FALSE)/1,0))</f>
        <v/>
      </c>
      <c r="AI221" s="39">
        <f t="shared" si="12"/>
        <v>0</v>
      </c>
      <c r="AK221" s="31">
        <f>IFERROR(VLOOKUP($B221,'Slutlig allokering kvv'!$B$2:$AX$549,MATCH("Summa slutlig allokerad tillförd energi (utan hjälpel och rökgaskondensering):",'Slutlig allokering kvv'!$B$1:$AX$1,0),FALSE)/1,"")</f>
        <v>0</v>
      </c>
      <c r="AM221" s="31" t="str">
        <f>IFERROR(1-VLOOKUP($B221,'Slutlig allokering kvv'!$B$2:$AX$549,MATCH("Andel av bränsle i kvv som allokerats till värme, exklusive rökgaskondensering och hjälpel",'Slutlig allokering kvv'!$B$1:$AX$1,0),FALSE),"")</f>
        <v/>
      </c>
      <c r="AO221" s="31" t="str">
        <f t="shared" si="13"/>
        <v/>
      </c>
      <c r="AP221" s="31" t="str">
        <f t="shared" si="14"/>
        <v/>
      </c>
      <c r="AR221" s="32" t="str">
        <f t="shared" si="15"/>
        <v/>
      </c>
    </row>
    <row r="222" spans="1:44" s="31" customFormat="1" x14ac:dyDescent="0.45">
      <c r="A222" s="31" t="s">
        <v>342</v>
      </c>
      <c r="B222" s="31" t="s">
        <v>357</v>
      </c>
      <c r="C222" s="31" t="str">
        <f>IFERROR(VLOOKUP($B222,Kraftvärmeprod!$B$1:$AH$479,MATCH(C$2,Kraftvärmeprod!$B$1:$AG$1,0),FALSE)/1,"")</f>
        <v/>
      </c>
      <c r="D222" s="31" t="str">
        <f>IFERROR(VLOOKUP($B222,Kraftvärmeprod!$B$1:$AH$479,MATCH(D$2,Kraftvärmeprod!$B$1:$AG$1,0),FALSE)/1,"")</f>
        <v/>
      </c>
      <c r="F222" s="31" t="str">
        <f>IF($D222="","",IFERROR(VLOOKUP($B222,Kraftvärmeprod!$B$1:$BX$550,MATCH(F$2,Kraftvärmeprod!$B$1:$VX$1,0),FALSE)/1,0)-IFERROR(VLOOKUP($B222,'Slutlig allokering kvv'!$B$2:$BX$550,MATCH(F$2,'Slutlig allokering kvv'!$B$1:$BX$1,0),FALSE)/1,0))</f>
        <v/>
      </c>
      <c r="G222" s="31" t="str">
        <f>IF($D222="","",IFERROR(VLOOKUP($B222,Kraftvärmeprod!$B$1:$BX$550,MATCH(G$2,Kraftvärmeprod!$B$1:$VX$1,0),FALSE)/1,0)-IFERROR(VLOOKUP($B222,'Slutlig allokering kvv'!$B$2:$BX$550,MATCH(G$2,'Slutlig allokering kvv'!$B$1:$BX$1,0),FALSE)/1,0))</f>
        <v/>
      </c>
      <c r="H222" s="31" t="str">
        <f>IF($D222="","",IFERROR(VLOOKUP($B222,Kraftvärmeprod!$B$1:$BX$550,MATCH(H$2,Kraftvärmeprod!$B$1:$VX$1,0),FALSE)/1,0)-IFERROR(VLOOKUP($B222,'Slutlig allokering kvv'!$B$2:$BX$550,MATCH(H$2,'Slutlig allokering kvv'!$B$1:$BX$1,0),FALSE)/1,0))</f>
        <v/>
      </c>
      <c r="I222" s="31" t="str">
        <f>IF($D222="","",IFERROR(VLOOKUP($B222,Kraftvärmeprod!$B$1:$BX$550,MATCH(I$2,Kraftvärmeprod!$B$1:$VX$1,0),FALSE)/1,0)-IFERROR(VLOOKUP($B222,'Slutlig allokering kvv'!$B$2:$BX$550,MATCH(I$2,'Slutlig allokering kvv'!$B$1:$BX$1,0),FALSE)/1,0))</f>
        <v/>
      </c>
      <c r="J222" s="31" t="str">
        <f>IF($D222="","",IFERROR(VLOOKUP($B222,Kraftvärmeprod!$B$1:$BX$550,MATCH(J$2,Kraftvärmeprod!$B$1:$VX$1,0),FALSE)/1,0)-IFERROR(VLOOKUP($B222,'Slutlig allokering kvv'!$B$2:$BX$550,MATCH(J$2,'Slutlig allokering kvv'!$B$1:$BX$1,0),FALSE)/1,0))</f>
        <v/>
      </c>
      <c r="K222" s="31" t="str">
        <f>IF($D222="","",IFERROR(VLOOKUP($B222,Kraftvärmeprod!$B$1:$BX$550,MATCH(K$2,Kraftvärmeprod!$B$1:$VX$1,0),FALSE)/1,0)-IFERROR(VLOOKUP($B222,'Slutlig allokering kvv'!$B$2:$BX$550,MATCH(K$2,'Slutlig allokering kvv'!$B$1:$BX$1,0),FALSE)/1,0))</f>
        <v/>
      </c>
      <c r="L222" s="31" t="str">
        <f>IF($D222="","",IFERROR(VLOOKUP($B222,Kraftvärmeprod!$B$1:$BX$550,MATCH(L$2,Kraftvärmeprod!$B$1:$VX$1,0),FALSE)/1,0)-IFERROR(VLOOKUP($B222,'Slutlig allokering kvv'!$B$2:$BX$550,MATCH(L$2,'Slutlig allokering kvv'!$B$1:$BX$1,0),FALSE)/1,0))</f>
        <v/>
      </c>
      <c r="M222" s="31" t="str">
        <f>IF($D222="","",IFERROR(VLOOKUP($B222,Kraftvärmeprod!$B$1:$BX$550,MATCH(M$2,Kraftvärmeprod!$B$1:$VX$1,0),FALSE)/1,0)-IFERROR(VLOOKUP($B222,'Slutlig allokering kvv'!$B$2:$BX$550,MATCH(M$2,'Slutlig allokering kvv'!$B$1:$BX$1,0),FALSE)/1,0))</f>
        <v/>
      </c>
      <c r="N222" s="31" t="str">
        <f>IF($D222="","",IFERROR(VLOOKUP($B222,Kraftvärmeprod!$B$1:$BX$550,MATCH(N$2,Kraftvärmeprod!$B$1:$VX$1,0),FALSE)/1,0)-IFERROR(VLOOKUP($B222,'Slutlig allokering kvv'!$B$2:$BX$550,MATCH(N$2,'Slutlig allokering kvv'!$B$1:$BX$1,0),FALSE)/1,0))</f>
        <v/>
      </c>
      <c r="O222" s="31" t="str">
        <f>IF($D222="","",IFERROR(VLOOKUP($B222,Kraftvärmeprod!$B$1:$BX$550,MATCH(O$2,Kraftvärmeprod!$B$1:$VX$1,0),FALSE)/1,0)-IFERROR(VLOOKUP($B222,'Slutlig allokering kvv'!$B$2:$BX$550,MATCH(O$2,'Slutlig allokering kvv'!$B$1:$BX$1,0),FALSE)/1,0))</f>
        <v/>
      </c>
      <c r="P222" s="31" t="str">
        <f>IF($D222="","",IFERROR(VLOOKUP($B222,Kraftvärmeprod!$B$1:$BX$550,MATCH(P$2,Kraftvärmeprod!$B$1:$VX$1,0),FALSE)/1,0)-IFERROR(VLOOKUP($B222,'Slutlig allokering kvv'!$B$2:$BX$550,MATCH(P$2,'Slutlig allokering kvv'!$B$1:$BX$1,0),FALSE)/1,0))</f>
        <v/>
      </c>
      <c r="Q222" s="31" t="str">
        <f>IF($D222="","",IFERROR(VLOOKUP($B222,Kraftvärmeprod!$B$1:$BX$550,MATCH(Q$2,Kraftvärmeprod!$B$1:$VX$1,0),FALSE)/1,0)-IFERROR(VLOOKUP($B222,'Slutlig allokering kvv'!$B$2:$BX$550,MATCH(Q$2,'Slutlig allokering kvv'!$B$1:$BX$1,0),FALSE)/1,0))</f>
        <v/>
      </c>
      <c r="R222" s="31" t="str">
        <f>IF($D222="","",IFERROR(VLOOKUP($B222,Kraftvärmeprod!$B$1:$BX$550,MATCH(R$2,Kraftvärmeprod!$B$1:$VX$1,0),FALSE)/1,0)-IFERROR(VLOOKUP($B222,'Slutlig allokering kvv'!$B$2:$BX$550,MATCH(R$2,'Slutlig allokering kvv'!$B$1:$BX$1,0),FALSE)/1,0))</f>
        <v/>
      </c>
      <c r="S222" s="31" t="str">
        <f>IF($D222="","",IFERROR(VLOOKUP($B222,Kraftvärmeprod!$B$1:$BX$550,MATCH(S$2,Kraftvärmeprod!$B$1:$VX$1,0),FALSE)/1,0)-IFERROR(VLOOKUP($B222,'Slutlig allokering kvv'!$B$2:$BX$550,MATCH(S$2,'Slutlig allokering kvv'!$B$1:$BX$1,0),FALSE)/1,0))</f>
        <v/>
      </c>
      <c r="T222" s="31" t="str">
        <f>IF($D222="","",IFERROR(VLOOKUP($B222,Kraftvärmeprod!$B$1:$BX$550,MATCH(T$2,Kraftvärmeprod!$B$1:$VX$1,0),FALSE)/1,0)-IFERROR(VLOOKUP($B222,'Slutlig allokering kvv'!$B$2:$BX$550,MATCH(T$2,'Slutlig allokering kvv'!$B$1:$BX$1,0),FALSE)/1,0))</f>
        <v/>
      </c>
      <c r="U222" s="31" t="str">
        <f>IF($D222="","",IFERROR(VLOOKUP($B222,Kraftvärmeprod!$B$1:$BX$550,MATCH(U$2,Kraftvärmeprod!$B$1:$VX$1,0),FALSE)/1,0)-IFERROR(VLOOKUP($B222,'Slutlig allokering kvv'!$B$2:$BX$550,MATCH(U$2,'Slutlig allokering kvv'!$B$1:$BX$1,0),FALSE)/1,0))</f>
        <v/>
      </c>
      <c r="V222" s="31" t="str">
        <f>IF($D222="","",IFERROR(VLOOKUP($B222,Kraftvärmeprod!$B$1:$BX$550,MATCH(V$2,Kraftvärmeprod!$B$1:$VX$1,0),FALSE)/1,0)-IFERROR(VLOOKUP($B222,'Slutlig allokering kvv'!$B$2:$BX$550,MATCH(V$2,'Slutlig allokering kvv'!$B$1:$BX$1,0),FALSE)/1,0))</f>
        <v/>
      </c>
      <c r="W222" s="31" t="str">
        <f>IF($D222="","",IFERROR(VLOOKUP($B222,Kraftvärmeprod!$B$1:$BX$550,MATCH(W$2,Kraftvärmeprod!$B$1:$VX$1,0),FALSE)/1,0)-IFERROR(VLOOKUP($B222,'Slutlig allokering kvv'!$B$2:$BX$550,MATCH(W$2,'Slutlig allokering kvv'!$B$1:$BX$1,0),FALSE)/1,0))</f>
        <v/>
      </c>
      <c r="X222" s="31" t="str">
        <f>IF($D222="","",IFERROR(VLOOKUP($B222,Kraftvärmeprod!$B$1:$BX$550,MATCH(X$2,Kraftvärmeprod!$B$1:$VX$1,0),FALSE)/1,0)-IFERROR(VLOOKUP($B222,'Slutlig allokering kvv'!$B$2:$BX$550,MATCH(X$2,'Slutlig allokering kvv'!$B$1:$BX$1,0),FALSE)/1,0))</f>
        <v/>
      </c>
      <c r="Y222" s="31" t="str">
        <f>IF($D222="","",IFERROR(VLOOKUP($B222,Kraftvärmeprod!$B$1:$BX$550,MATCH(Y$2,Kraftvärmeprod!$B$1:$VX$1,0),FALSE)/1,0)-IFERROR(VLOOKUP($B222,'Slutlig allokering kvv'!$B$2:$BX$550,MATCH(Y$2,'Slutlig allokering kvv'!$B$1:$BX$1,0),FALSE)/1,0))</f>
        <v/>
      </c>
      <c r="Z222" s="31" t="str">
        <f>IF($D222="","",IFERROR(VLOOKUP($B222,Kraftvärmeprod!$B$1:$BX$550,MATCH(Z$2,Kraftvärmeprod!$B$1:$VX$1,0),FALSE)/1,0)-IFERROR(VLOOKUP($B222,'Slutlig allokering kvv'!$B$2:$BX$550,MATCH(Z$2,'Slutlig allokering kvv'!$B$1:$BX$1,0),FALSE)/1,0))</f>
        <v/>
      </c>
      <c r="AA222" s="31" t="str">
        <f>IF($D222="","",IFERROR(VLOOKUP($B222,Kraftvärmeprod!$B$1:$BX$550,MATCH(AA$2,Kraftvärmeprod!$B$1:$VX$1,0),FALSE)/1,0)-IFERROR(VLOOKUP($B222,'Slutlig allokering kvv'!$B$2:$BX$550,MATCH(AA$2,'Slutlig allokering kvv'!$B$1:$BX$1,0),FALSE)/1,0))</f>
        <v/>
      </c>
      <c r="AB222" s="31" t="str">
        <f>IF($D222="","",IFERROR(VLOOKUP($B222,Kraftvärmeprod!$B$1:$BX$550,MATCH(AB$2,Kraftvärmeprod!$B$1:$VX$1,0),FALSE)/1,0)-IFERROR(VLOOKUP($B222,'Slutlig allokering kvv'!$B$2:$BX$550,MATCH(AB$2,'Slutlig allokering kvv'!$B$1:$BX$1,0),FALSE)/1,0))</f>
        <v/>
      </c>
      <c r="AC222" s="31" t="str">
        <f>IF($D222="","",IFERROR(VLOOKUP($B222,Kraftvärmeprod!$B$1:$BX$550,MATCH(AC$2,Kraftvärmeprod!$B$1:$VX$1,0),FALSE)/1,0)-IFERROR(VLOOKUP($B222,'Slutlig allokering kvv'!$B$2:$BX$550,MATCH(AC$2,'Slutlig allokering kvv'!$B$1:$BX$1,0),FALSE)/1,0))</f>
        <v/>
      </c>
      <c r="AD222" s="31" t="str">
        <f>IF($D222="","",IFERROR(VLOOKUP($B222,Kraftvärmeprod!$B$1:$BX$550,MATCH(AD$2,Kraftvärmeprod!$B$1:$VX$1,0),FALSE)/1,0)-IFERROR(VLOOKUP($B222,'Slutlig allokering kvv'!$B$2:$BX$550,MATCH(AD$2,'Slutlig allokering kvv'!$B$1:$BX$1,0),FALSE)/1,0))</f>
        <v/>
      </c>
      <c r="AE222" s="31" t="str">
        <f>IF($D222="","",IFERROR(VLOOKUP($B222,Miljö!$B$1:$E$550,MATCH("Hjälpel kraftvärme (GWh)",Miljö!$B$1:$E$1,0),FALSE)/1,0)-IFERROR(VLOOKUP($B222,'Slutlig allokering kvv'!$B$2:$BX$549,MATCH(AE$2,'Slutlig allokering kvv'!$B$1:$BX$1,0),FALSE)/1,0))</f>
        <v/>
      </c>
      <c r="AI222" s="39">
        <f t="shared" si="12"/>
        <v>0</v>
      </c>
      <c r="AK222" s="31">
        <f>IFERROR(VLOOKUP($B222,'Slutlig allokering kvv'!$B$2:$AX$549,MATCH("Summa slutlig allokerad tillförd energi (utan hjälpel och rökgaskondensering):",'Slutlig allokering kvv'!$B$1:$AX$1,0),FALSE)/1,"")</f>
        <v>0</v>
      </c>
      <c r="AM222" s="31" t="str">
        <f>IFERROR(1-VLOOKUP($B222,'Slutlig allokering kvv'!$B$2:$AX$549,MATCH("Andel av bränsle i kvv som allokerats till värme, exklusive rökgaskondensering och hjälpel",'Slutlig allokering kvv'!$B$1:$AX$1,0),FALSE),"")</f>
        <v/>
      </c>
      <c r="AO222" s="31" t="str">
        <f t="shared" si="13"/>
        <v/>
      </c>
      <c r="AP222" s="31" t="str">
        <f t="shared" si="14"/>
        <v/>
      </c>
      <c r="AR222" s="32" t="str">
        <f t="shared" si="15"/>
        <v/>
      </c>
    </row>
    <row r="223" spans="1:44" s="31" customFormat="1" x14ac:dyDescent="0.45">
      <c r="A223" s="31" t="s">
        <v>342</v>
      </c>
      <c r="B223" s="31" t="s">
        <v>356</v>
      </c>
      <c r="C223" s="31" t="str">
        <f>IFERROR(VLOOKUP($B223,Kraftvärmeprod!$B$1:$AH$479,MATCH(C$2,Kraftvärmeprod!$B$1:$AG$1,0),FALSE)/1,"")</f>
        <v/>
      </c>
      <c r="D223" s="31" t="str">
        <f>IFERROR(VLOOKUP($B223,Kraftvärmeprod!$B$1:$AH$479,MATCH(D$2,Kraftvärmeprod!$B$1:$AG$1,0),FALSE)/1,"")</f>
        <v/>
      </c>
      <c r="F223" s="31" t="str">
        <f>IF($D223="","",IFERROR(VLOOKUP($B223,Kraftvärmeprod!$B$1:$BX$550,MATCH(F$2,Kraftvärmeprod!$B$1:$VX$1,0),FALSE)/1,0)-IFERROR(VLOOKUP($B223,'Slutlig allokering kvv'!$B$2:$BX$550,MATCH(F$2,'Slutlig allokering kvv'!$B$1:$BX$1,0),FALSE)/1,0))</f>
        <v/>
      </c>
      <c r="G223" s="31" t="str">
        <f>IF($D223="","",IFERROR(VLOOKUP($B223,Kraftvärmeprod!$B$1:$BX$550,MATCH(G$2,Kraftvärmeprod!$B$1:$VX$1,0),FALSE)/1,0)-IFERROR(VLOOKUP($B223,'Slutlig allokering kvv'!$B$2:$BX$550,MATCH(G$2,'Slutlig allokering kvv'!$B$1:$BX$1,0),FALSE)/1,0))</f>
        <v/>
      </c>
      <c r="H223" s="31" t="str">
        <f>IF($D223="","",IFERROR(VLOOKUP($B223,Kraftvärmeprod!$B$1:$BX$550,MATCH(H$2,Kraftvärmeprod!$B$1:$VX$1,0),FALSE)/1,0)-IFERROR(VLOOKUP($B223,'Slutlig allokering kvv'!$B$2:$BX$550,MATCH(H$2,'Slutlig allokering kvv'!$B$1:$BX$1,0),FALSE)/1,0))</f>
        <v/>
      </c>
      <c r="I223" s="31" t="str">
        <f>IF($D223="","",IFERROR(VLOOKUP($B223,Kraftvärmeprod!$B$1:$BX$550,MATCH(I$2,Kraftvärmeprod!$B$1:$VX$1,0),FALSE)/1,0)-IFERROR(VLOOKUP($B223,'Slutlig allokering kvv'!$B$2:$BX$550,MATCH(I$2,'Slutlig allokering kvv'!$B$1:$BX$1,0),FALSE)/1,0))</f>
        <v/>
      </c>
      <c r="J223" s="31" t="str">
        <f>IF($D223="","",IFERROR(VLOOKUP($B223,Kraftvärmeprod!$B$1:$BX$550,MATCH(J$2,Kraftvärmeprod!$B$1:$VX$1,0),FALSE)/1,0)-IFERROR(VLOOKUP($B223,'Slutlig allokering kvv'!$B$2:$BX$550,MATCH(J$2,'Slutlig allokering kvv'!$B$1:$BX$1,0),FALSE)/1,0))</f>
        <v/>
      </c>
      <c r="K223" s="31" t="str">
        <f>IF($D223="","",IFERROR(VLOOKUP($B223,Kraftvärmeprod!$B$1:$BX$550,MATCH(K$2,Kraftvärmeprod!$B$1:$VX$1,0),FALSE)/1,0)-IFERROR(VLOOKUP($B223,'Slutlig allokering kvv'!$B$2:$BX$550,MATCH(K$2,'Slutlig allokering kvv'!$B$1:$BX$1,0),FALSE)/1,0))</f>
        <v/>
      </c>
      <c r="L223" s="31" t="str">
        <f>IF($D223="","",IFERROR(VLOOKUP($B223,Kraftvärmeprod!$B$1:$BX$550,MATCH(L$2,Kraftvärmeprod!$B$1:$VX$1,0),FALSE)/1,0)-IFERROR(VLOOKUP($B223,'Slutlig allokering kvv'!$B$2:$BX$550,MATCH(L$2,'Slutlig allokering kvv'!$B$1:$BX$1,0),FALSE)/1,0))</f>
        <v/>
      </c>
      <c r="M223" s="31" t="str">
        <f>IF($D223="","",IFERROR(VLOOKUP($B223,Kraftvärmeprod!$B$1:$BX$550,MATCH(M$2,Kraftvärmeprod!$B$1:$VX$1,0),FALSE)/1,0)-IFERROR(VLOOKUP($B223,'Slutlig allokering kvv'!$B$2:$BX$550,MATCH(M$2,'Slutlig allokering kvv'!$B$1:$BX$1,0),FALSE)/1,0))</f>
        <v/>
      </c>
      <c r="N223" s="31" t="str">
        <f>IF($D223="","",IFERROR(VLOOKUP($B223,Kraftvärmeprod!$B$1:$BX$550,MATCH(N$2,Kraftvärmeprod!$B$1:$VX$1,0),FALSE)/1,0)-IFERROR(VLOOKUP($B223,'Slutlig allokering kvv'!$B$2:$BX$550,MATCH(N$2,'Slutlig allokering kvv'!$B$1:$BX$1,0),FALSE)/1,0))</f>
        <v/>
      </c>
      <c r="O223" s="31" t="str">
        <f>IF($D223="","",IFERROR(VLOOKUP($B223,Kraftvärmeprod!$B$1:$BX$550,MATCH(O$2,Kraftvärmeprod!$B$1:$VX$1,0),FALSE)/1,0)-IFERROR(VLOOKUP($B223,'Slutlig allokering kvv'!$B$2:$BX$550,MATCH(O$2,'Slutlig allokering kvv'!$B$1:$BX$1,0),FALSE)/1,0))</f>
        <v/>
      </c>
      <c r="P223" s="31" t="str">
        <f>IF($D223="","",IFERROR(VLOOKUP($B223,Kraftvärmeprod!$B$1:$BX$550,MATCH(P$2,Kraftvärmeprod!$B$1:$VX$1,0),FALSE)/1,0)-IFERROR(VLOOKUP($B223,'Slutlig allokering kvv'!$B$2:$BX$550,MATCH(P$2,'Slutlig allokering kvv'!$B$1:$BX$1,0),FALSE)/1,0))</f>
        <v/>
      </c>
      <c r="Q223" s="31" t="str">
        <f>IF($D223="","",IFERROR(VLOOKUP($B223,Kraftvärmeprod!$B$1:$BX$550,MATCH(Q$2,Kraftvärmeprod!$B$1:$VX$1,0),FALSE)/1,0)-IFERROR(VLOOKUP($B223,'Slutlig allokering kvv'!$B$2:$BX$550,MATCH(Q$2,'Slutlig allokering kvv'!$B$1:$BX$1,0),FALSE)/1,0))</f>
        <v/>
      </c>
      <c r="R223" s="31" t="str">
        <f>IF($D223="","",IFERROR(VLOOKUP($B223,Kraftvärmeprod!$B$1:$BX$550,MATCH(R$2,Kraftvärmeprod!$B$1:$VX$1,0),FALSE)/1,0)-IFERROR(VLOOKUP($B223,'Slutlig allokering kvv'!$B$2:$BX$550,MATCH(R$2,'Slutlig allokering kvv'!$B$1:$BX$1,0),FALSE)/1,0))</f>
        <v/>
      </c>
      <c r="S223" s="31" t="str">
        <f>IF($D223="","",IFERROR(VLOOKUP($B223,Kraftvärmeprod!$B$1:$BX$550,MATCH(S$2,Kraftvärmeprod!$B$1:$VX$1,0),FALSE)/1,0)-IFERROR(VLOOKUP($B223,'Slutlig allokering kvv'!$B$2:$BX$550,MATCH(S$2,'Slutlig allokering kvv'!$B$1:$BX$1,0),FALSE)/1,0))</f>
        <v/>
      </c>
      <c r="T223" s="31" t="str">
        <f>IF($D223="","",IFERROR(VLOOKUP($B223,Kraftvärmeprod!$B$1:$BX$550,MATCH(T$2,Kraftvärmeprod!$B$1:$VX$1,0),FALSE)/1,0)-IFERROR(VLOOKUP($B223,'Slutlig allokering kvv'!$B$2:$BX$550,MATCH(T$2,'Slutlig allokering kvv'!$B$1:$BX$1,0),FALSE)/1,0))</f>
        <v/>
      </c>
      <c r="U223" s="31" t="str">
        <f>IF($D223="","",IFERROR(VLOOKUP($B223,Kraftvärmeprod!$B$1:$BX$550,MATCH(U$2,Kraftvärmeprod!$B$1:$VX$1,0),FALSE)/1,0)-IFERROR(VLOOKUP($B223,'Slutlig allokering kvv'!$B$2:$BX$550,MATCH(U$2,'Slutlig allokering kvv'!$B$1:$BX$1,0),FALSE)/1,0))</f>
        <v/>
      </c>
      <c r="V223" s="31" t="str">
        <f>IF($D223="","",IFERROR(VLOOKUP($B223,Kraftvärmeprod!$B$1:$BX$550,MATCH(V$2,Kraftvärmeprod!$B$1:$VX$1,0),FALSE)/1,0)-IFERROR(VLOOKUP($B223,'Slutlig allokering kvv'!$B$2:$BX$550,MATCH(V$2,'Slutlig allokering kvv'!$B$1:$BX$1,0),FALSE)/1,0))</f>
        <v/>
      </c>
      <c r="W223" s="31" t="str">
        <f>IF($D223="","",IFERROR(VLOOKUP($B223,Kraftvärmeprod!$B$1:$BX$550,MATCH(W$2,Kraftvärmeprod!$B$1:$VX$1,0),FALSE)/1,0)-IFERROR(VLOOKUP($B223,'Slutlig allokering kvv'!$B$2:$BX$550,MATCH(W$2,'Slutlig allokering kvv'!$B$1:$BX$1,0),FALSE)/1,0))</f>
        <v/>
      </c>
      <c r="X223" s="31" t="str">
        <f>IF($D223="","",IFERROR(VLOOKUP($B223,Kraftvärmeprod!$B$1:$BX$550,MATCH(X$2,Kraftvärmeprod!$B$1:$VX$1,0),FALSE)/1,0)-IFERROR(VLOOKUP($B223,'Slutlig allokering kvv'!$B$2:$BX$550,MATCH(X$2,'Slutlig allokering kvv'!$B$1:$BX$1,0),FALSE)/1,0))</f>
        <v/>
      </c>
      <c r="Y223" s="31" t="str">
        <f>IF($D223="","",IFERROR(VLOOKUP($B223,Kraftvärmeprod!$B$1:$BX$550,MATCH(Y$2,Kraftvärmeprod!$B$1:$VX$1,0),FALSE)/1,0)-IFERROR(VLOOKUP($B223,'Slutlig allokering kvv'!$B$2:$BX$550,MATCH(Y$2,'Slutlig allokering kvv'!$B$1:$BX$1,0),FALSE)/1,0))</f>
        <v/>
      </c>
      <c r="Z223" s="31" t="str">
        <f>IF($D223="","",IFERROR(VLOOKUP($B223,Kraftvärmeprod!$B$1:$BX$550,MATCH(Z$2,Kraftvärmeprod!$B$1:$VX$1,0),FALSE)/1,0)-IFERROR(VLOOKUP($B223,'Slutlig allokering kvv'!$B$2:$BX$550,MATCH(Z$2,'Slutlig allokering kvv'!$B$1:$BX$1,0),FALSE)/1,0))</f>
        <v/>
      </c>
      <c r="AA223" s="31" t="str">
        <f>IF($D223="","",IFERROR(VLOOKUP($B223,Kraftvärmeprod!$B$1:$BX$550,MATCH(AA$2,Kraftvärmeprod!$B$1:$VX$1,0),FALSE)/1,0)-IFERROR(VLOOKUP($B223,'Slutlig allokering kvv'!$B$2:$BX$550,MATCH(AA$2,'Slutlig allokering kvv'!$B$1:$BX$1,0),FALSE)/1,0))</f>
        <v/>
      </c>
      <c r="AB223" s="31" t="str">
        <f>IF($D223="","",IFERROR(VLOOKUP($B223,Kraftvärmeprod!$B$1:$BX$550,MATCH(AB$2,Kraftvärmeprod!$B$1:$VX$1,0),FALSE)/1,0)-IFERROR(VLOOKUP($B223,'Slutlig allokering kvv'!$B$2:$BX$550,MATCH(AB$2,'Slutlig allokering kvv'!$B$1:$BX$1,0),FALSE)/1,0))</f>
        <v/>
      </c>
      <c r="AC223" s="31" t="str">
        <f>IF($D223="","",IFERROR(VLOOKUP($B223,Kraftvärmeprod!$B$1:$BX$550,MATCH(AC$2,Kraftvärmeprod!$B$1:$VX$1,0),FALSE)/1,0)-IFERROR(VLOOKUP($B223,'Slutlig allokering kvv'!$B$2:$BX$550,MATCH(AC$2,'Slutlig allokering kvv'!$B$1:$BX$1,0),FALSE)/1,0))</f>
        <v/>
      </c>
      <c r="AD223" s="31" t="str">
        <f>IF($D223="","",IFERROR(VLOOKUP($B223,Kraftvärmeprod!$B$1:$BX$550,MATCH(AD$2,Kraftvärmeprod!$B$1:$VX$1,0),FALSE)/1,0)-IFERROR(VLOOKUP($B223,'Slutlig allokering kvv'!$B$2:$BX$550,MATCH(AD$2,'Slutlig allokering kvv'!$B$1:$BX$1,0),FALSE)/1,0))</f>
        <v/>
      </c>
      <c r="AE223" s="31" t="str">
        <f>IF($D223="","",IFERROR(VLOOKUP($B223,Miljö!$B$1:$E$550,MATCH("Hjälpel kraftvärme (GWh)",Miljö!$B$1:$E$1,0),FALSE)/1,0)-IFERROR(VLOOKUP($B223,'Slutlig allokering kvv'!$B$2:$BX$549,MATCH(AE$2,'Slutlig allokering kvv'!$B$1:$BX$1,0),FALSE)/1,0))</f>
        <v/>
      </c>
      <c r="AI223" s="39">
        <f t="shared" si="12"/>
        <v>0</v>
      </c>
      <c r="AK223" s="31">
        <f>IFERROR(VLOOKUP($B223,'Slutlig allokering kvv'!$B$2:$AX$549,MATCH("Summa slutlig allokerad tillförd energi (utan hjälpel och rökgaskondensering):",'Slutlig allokering kvv'!$B$1:$AX$1,0),FALSE)/1,"")</f>
        <v>0</v>
      </c>
      <c r="AM223" s="31" t="str">
        <f>IFERROR(1-VLOOKUP($B223,'Slutlig allokering kvv'!$B$2:$AX$549,MATCH("Andel av bränsle i kvv som allokerats till värme, exklusive rökgaskondensering och hjälpel",'Slutlig allokering kvv'!$B$1:$AX$1,0),FALSE),"")</f>
        <v/>
      </c>
      <c r="AO223" s="31" t="str">
        <f t="shared" si="13"/>
        <v/>
      </c>
      <c r="AP223" s="31" t="str">
        <f t="shared" si="14"/>
        <v/>
      </c>
      <c r="AR223" s="32" t="str">
        <f t="shared" si="15"/>
        <v/>
      </c>
    </row>
    <row r="224" spans="1:44" s="31" customFormat="1" x14ac:dyDescent="0.45">
      <c r="A224" s="31" t="s">
        <v>342</v>
      </c>
      <c r="B224" s="31" t="s">
        <v>355</v>
      </c>
      <c r="C224" s="31" t="str">
        <f>IFERROR(VLOOKUP($B224,Kraftvärmeprod!$B$1:$AH$479,MATCH(C$2,Kraftvärmeprod!$B$1:$AG$1,0),FALSE)/1,"")</f>
        <v/>
      </c>
      <c r="D224" s="31" t="str">
        <f>IFERROR(VLOOKUP($B224,Kraftvärmeprod!$B$1:$AH$479,MATCH(D$2,Kraftvärmeprod!$B$1:$AG$1,0),FALSE)/1,"")</f>
        <v/>
      </c>
      <c r="F224" s="31" t="str">
        <f>IF($D224="","",IFERROR(VLOOKUP($B224,Kraftvärmeprod!$B$1:$BX$550,MATCH(F$2,Kraftvärmeprod!$B$1:$VX$1,0),FALSE)/1,0)-IFERROR(VLOOKUP($B224,'Slutlig allokering kvv'!$B$2:$BX$550,MATCH(F$2,'Slutlig allokering kvv'!$B$1:$BX$1,0),FALSE)/1,0))</f>
        <v/>
      </c>
      <c r="G224" s="31" t="str">
        <f>IF($D224="","",IFERROR(VLOOKUP($B224,Kraftvärmeprod!$B$1:$BX$550,MATCH(G$2,Kraftvärmeprod!$B$1:$VX$1,0),FALSE)/1,0)-IFERROR(VLOOKUP($B224,'Slutlig allokering kvv'!$B$2:$BX$550,MATCH(G$2,'Slutlig allokering kvv'!$B$1:$BX$1,0),FALSE)/1,0))</f>
        <v/>
      </c>
      <c r="H224" s="31" t="str">
        <f>IF($D224="","",IFERROR(VLOOKUP($B224,Kraftvärmeprod!$B$1:$BX$550,MATCH(H$2,Kraftvärmeprod!$B$1:$VX$1,0),FALSE)/1,0)-IFERROR(VLOOKUP($B224,'Slutlig allokering kvv'!$B$2:$BX$550,MATCH(H$2,'Slutlig allokering kvv'!$B$1:$BX$1,0),FALSE)/1,0))</f>
        <v/>
      </c>
      <c r="I224" s="31" t="str">
        <f>IF($D224="","",IFERROR(VLOOKUP($B224,Kraftvärmeprod!$B$1:$BX$550,MATCH(I$2,Kraftvärmeprod!$B$1:$VX$1,0),FALSE)/1,0)-IFERROR(VLOOKUP($B224,'Slutlig allokering kvv'!$B$2:$BX$550,MATCH(I$2,'Slutlig allokering kvv'!$B$1:$BX$1,0),FALSE)/1,0))</f>
        <v/>
      </c>
      <c r="J224" s="31" t="str">
        <f>IF($D224="","",IFERROR(VLOOKUP($B224,Kraftvärmeprod!$B$1:$BX$550,MATCH(J$2,Kraftvärmeprod!$B$1:$VX$1,0),FALSE)/1,0)-IFERROR(VLOOKUP($B224,'Slutlig allokering kvv'!$B$2:$BX$550,MATCH(J$2,'Slutlig allokering kvv'!$B$1:$BX$1,0),FALSE)/1,0))</f>
        <v/>
      </c>
      <c r="K224" s="31" t="str">
        <f>IF($D224="","",IFERROR(VLOOKUP($B224,Kraftvärmeprod!$B$1:$BX$550,MATCH(K$2,Kraftvärmeprod!$B$1:$VX$1,0),FALSE)/1,0)-IFERROR(VLOOKUP($B224,'Slutlig allokering kvv'!$B$2:$BX$550,MATCH(K$2,'Slutlig allokering kvv'!$B$1:$BX$1,0),FALSE)/1,0))</f>
        <v/>
      </c>
      <c r="L224" s="31" t="str">
        <f>IF($D224="","",IFERROR(VLOOKUP($B224,Kraftvärmeprod!$B$1:$BX$550,MATCH(L$2,Kraftvärmeprod!$B$1:$VX$1,0),FALSE)/1,0)-IFERROR(VLOOKUP($B224,'Slutlig allokering kvv'!$B$2:$BX$550,MATCH(L$2,'Slutlig allokering kvv'!$B$1:$BX$1,0),FALSE)/1,0))</f>
        <v/>
      </c>
      <c r="M224" s="31" t="str">
        <f>IF($D224="","",IFERROR(VLOOKUP($B224,Kraftvärmeprod!$B$1:$BX$550,MATCH(M$2,Kraftvärmeprod!$B$1:$VX$1,0),FALSE)/1,0)-IFERROR(VLOOKUP($B224,'Slutlig allokering kvv'!$B$2:$BX$550,MATCH(M$2,'Slutlig allokering kvv'!$B$1:$BX$1,0),FALSE)/1,0))</f>
        <v/>
      </c>
      <c r="N224" s="31" t="str">
        <f>IF($D224="","",IFERROR(VLOOKUP($B224,Kraftvärmeprod!$B$1:$BX$550,MATCH(N$2,Kraftvärmeprod!$B$1:$VX$1,0),FALSE)/1,0)-IFERROR(VLOOKUP($B224,'Slutlig allokering kvv'!$B$2:$BX$550,MATCH(N$2,'Slutlig allokering kvv'!$B$1:$BX$1,0),FALSE)/1,0))</f>
        <v/>
      </c>
      <c r="O224" s="31" t="str">
        <f>IF($D224="","",IFERROR(VLOOKUP($B224,Kraftvärmeprod!$B$1:$BX$550,MATCH(O$2,Kraftvärmeprod!$B$1:$VX$1,0),FALSE)/1,0)-IFERROR(VLOOKUP($B224,'Slutlig allokering kvv'!$B$2:$BX$550,MATCH(O$2,'Slutlig allokering kvv'!$B$1:$BX$1,0),FALSE)/1,0))</f>
        <v/>
      </c>
      <c r="P224" s="31" t="str">
        <f>IF($D224="","",IFERROR(VLOOKUP($B224,Kraftvärmeprod!$B$1:$BX$550,MATCH(P$2,Kraftvärmeprod!$B$1:$VX$1,0),FALSE)/1,0)-IFERROR(VLOOKUP($B224,'Slutlig allokering kvv'!$B$2:$BX$550,MATCH(P$2,'Slutlig allokering kvv'!$B$1:$BX$1,0),FALSE)/1,0))</f>
        <v/>
      </c>
      <c r="Q224" s="31" t="str">
        <f>IF($D224="","",IFERROR(VLOOKUP($B224,Kraftvärmeprod!$B$1:$BX$550,MATCH(Q$2,Kraftvärmeprod!$B$1:$VX$1,0),FALSE)/1,0)-IFERROR(VLOOKUP($B224,'Slutlig allokering kvv'!$B$2:$BX$550,MATCH(Q$2,'Slutlig allokering kvv'!$B$1:$BX$1,0),FALSE)/1,0))</f>
        <v/>
      </c>
      <c r="R224" s="31" t="str">
        <f>IF($D224="","",IFERROR(VLOOKUP($B224,Kraftvärmeprod!$B$1:$BX$550,MATCH(R$2,Kraftvärmeprod!$B$1:$VX$1,0),FALSE)/1,0)-IFERROR(VLOOKUP($B224,'Slutlig allokering kvv'!$B$2:$BX$550,MATCH(R$2,'Slutlig allokering kvv'!$B$1:$BX$1,0),FALSE)/1,0))</f>
        <v/>
      </c>
      <c r="S224" s="31" t="str">
        <f>IF($D224="","",IFERROR(VLOOKUP($B224,Kraftvärmeprod!$B$1:$BX$550,MATCH(S$2,Kraftvärmeprod!$B$1:$VX$1,0),FALSE)/1,0)-IFERROR(VLOOKUP($B224,'Slutlig allokering kvv'!$B$2:$BX$550,MATCH(S$2,'Slutlig allokering kvv'!$B$1:$BX$1,0),FALSE)/1,0))</f>
        <v/>
      </c>
      <c r="T224" s="31" t="str">
        <f>IF($D224="","",IFERROR(VLOOKUP($B224,Kraftvärmeprod!$B$1:$BX$550,MATCH(T$2,Kraftvärmeprod!$B$1:$VX$1,0),FALSE)/1,0)-IFERROR(VLOOKUP($B224,'Slutlig allokering kvv'!$B$2:$BX$550,MATCH(T$2,'Slutlig allokering kvv'!$B$1:$BX$1,0),FALSE)/1,0))</f>
        <v/>
      </c>
      <c r="U224" s="31" t="str">
        <f>IF($D224="","",IFERROR(VLOOKUP($B224,Kraftvärmeprod!$B$1:$BX$550,MATCH(U$2,Kraftvärmeprod!$B$1:$VX$1,0),FALSE)/1,0)-IFERROR(VLOOKUP($B224,'Slutlig allokering kvv'!$B$2:$BX$550,MATCH(U$2,'Slutlig allokering kvv'!$B$1:$BX$1,0),FALSE)/1,0))</f>
        <v/>
      </c>
      <c r="V224" s="31" t="str">
        <f>IF($D224="","",IFERROR(VLOOKUP($B224,Kraftvärmeprod!$B$1:$BX$550,MATCH(V$2,Kraftvärmeprod!$B$1:$VX$1,0),FALSE)/1,0)-IFERROR(VLOOKUP($B224,'Slutlig allokering kvv'!$B$2:$BX$550,MATCH(V$2,'Slutlig allokering kvv'!$B$1:$BX$1,0),FALSE)/1,0))</f>
        <v/>
      </c>
      <c r="W224" s="31" t="str">
        <f>IF($D224="","",IFERROR(VLOOKUP($B224,Kraftvärmeprod!$B$1:$BX$550,MATCH(W$2,Kraftvärmeprod!$B$1:$VX$1,0),FALSE)/1,0)-IFERROR(VLOOKUP($B224,'Slutlig allokering kvv'!$B$2:$BX$550,MATCH(W$2,'Slutlig allokering kvv'!$B$1:$BX$1,0),FALSE)/1,0))</f>
        <v/>
      </c>
      <c r="X224" s="31" t="str">
        <f>IF($D224="","",IFERROR(VLOOKUP($B224,Kraftvärmeprod!$B$1:$BX$550,MATCH(X$2,Kraftvärmeprod!$B$1:$VX$1,0),FALSE)/1,0)-IFERROR(VLOOKUP($B224,'Slutlig allokering kvv'!$B$2:$BX$550,MATCH(X$2,'Slutlig allokering kvv'!$B$1:$BX$1,0),FALSE)/1,0))</f>
        <v/>
      </c>
      <c r="Y224" s="31" t="str">
        <f>IF($D224="","",IFERROR(VLOOKUP($B224,Kraftvärmeprod!$B$1:$BX$550,MATCH(Y$2,Kraftvärmeprod!$B$1:$VX$1,0),FALSE)/1,0)-IFERROR(VLOOKUP($B224,'Slutlig allokering kvv'!$B$2:$BX$550,MATCH(Y$2,'Slutlig allokering kvv'!$B$1:$BX$1,0),FALSE)/1,0))</f>
        <v/>
      </c>
      <c r="Z224" s="31" t="str">
        <f>IF($D224="","",IFERROR(VLOOKUP($B224,Kraftvärmeprod!$B$1:$BX$550,MATCH(Z$2,Kraftvärmeprod!$B$1:$VX$1,0),FALSE)/1,0)-IFERROR(VLOOKUP($B224,'Slutlig allokering kvv'!$B$2:$BX$550,MATCH(Z$2,'Slutlig allokering kvv'!$B$1:$BX$1,0),FALSE)/1,0))</f>
        <v/>
      </c>
      <c r="AA224" s="31" t="str">
        <f>IF($D224="","",IFERROR(VLOOKUP($B224,Kraftvärmeprod!$B$1:$BX$550,MATCH(AA$2,Kraftvärmeprod!$B$1:$VX$1,0),FALSE)/1,0)-IFERROR(VLOOKUP($B224,'Slutlig allokering kvv'!$B$2:$BX$550,MATCH(AA$2,'Slutlig allokering kvv'!$B$1:$BX$1,0),FALSE)/1,0))</f>
        <v/>
      </c>
      <c r="AB224" s="31" t="str">
        <f>IF($D224="","",IFERROR(VLOOKUP($B224,Kraftvärmeprod!$B$1:$BX$550,MATCH(AB$2,Kraftvärmeprod!$B$1:$VX$1,0),FALSE)/1,0)-IFERROR(VLOOKUP($B224,'Slutlig allokering kvv'!$B$2:$BX$550,MATCH(AB$2,'Slutlig allokering kvv'!$B$1:$BX$1,0),FALSE)/1,0))</f>
        <v/>
      </c>
      <c r="AC224" s="31" t="str">
        <f>IF($D224="","",IFERROR(VLOOKUP($B224,Kraftvärmeprod!$B$1:$BX$550,MATCH(AC$2,Kraftvärmeprod!$B$1:$VX$1,0),FALSE)/1,0)-IFERROR(VLOOKUP($B224,'Slutlig allokering kvv'!$B$2:$BX$550,MATCH(AC$2,'Slutlig allokering kvv'!$B$1:$BX$1,0),FALSE)/1,0))</f>
        <v/>
      </c>
      <c r="AD224" s="31" t="str">
        <f>IF($D224="","",IFERROR(VLOOKUP($B224,Kraftvärmeprod!$B$1:$BX$550,MATCH(AD$2,Kraftvärmeprod!$B$1:$VX$1,0),FALSE)/1,0)-IFERROR(VLOOKUP($B224,'Slutlig allokering kvv'!$B$2:$BX$550,MATCH(AD$2,'Slutlig allokering kvv'!$B$1:$BX$1,0),FALSE)/1,0))</f>
        <v/>
      </c>
      <c r="AE224" s="31" t="str">
        <f>IF($D224="","",IFERROR(VLOOKUP($B224,Miljö!$B$1:$E$550,MATCH("Hjälpel kraftvärme (GWh)",Miljö!$B$1:$E$1,0),FALSE)/1,0)-IFERROR(VLOOKUP($B224,'Slutlig allokering kvv'!$B$2:$BX$549,MATCH(AE$2,'Slutlig allokering kvv'!$B$1:$BX$1,0),FALSE)/1,0))</f>
        <v/>
      </c>
      <c r="AI224" s="39">
        <f t="shared" si="12"/>
        <v>0</v>
      </c>
      <c r="AK224" s="31">
        <f>IFERROR(VLOOKUP($B224,'Slutlig allokering kvv'!$B$2:$AX$549,MATCH("Summa slutlig allokerad tillförd energi (utan hjälpel och rökgaskondensering):",'Slutlig allokering kvv'!$B$1:$AX$1,0),FALSE)/1,"")</f>
        <v>0</v>
      </c>
      <c r="AM224" s="31" t="str">
        <f>IFERROR(1-VLOOKUP($B224,'Slutlig allokering kvv'!$B$2:$AX$549,MATCH("Andel av bränsle i kvv som allokerats till värme, exklusive rökgaskondensering och hjälpel",'Slutlig allokering kvv'!$B$1:$AX$1,0),FALSE),"")</f>
        <v/>
      </c>
      <c r="AO224" s="31" t="str">
        <f t="shared" si="13"/>
        <v/>
      </c>
      <c r="AP224" s="31" t="str">
        <f t="shared" si="14"/>
        <v/>
      </c>
      <c r="AR224" s="32" t="str">
        <f t="shared" si="15"/>
        <v/>
      </c>
    </row>
    <row r="225" spans="1:44" s="31" customFormat="1" x14ac:dyDescent="0.45">
      <c r="A225" s="31" t="s">
        <v>342</v>
      </c>
      <c r="B225" s="31" t="s">
        <v>354</v>
      </c>
      <c r="C225" s="31" t="str">
        <f>IFERROR(VLOOKUP($B225,Kraftvärmeprod!$B$1:$AH$479,MATCH(C$2,Kraftvärmeprod!$B$1:$AG$1,0),FALSE)/1,"")</f>
        <v/>
      </c>
      <c r="D225" s="31" t="str">
        <f>IFERROR(VLOOKUP($B225,Kraftvärmeprod!$B$1:$AH$479,MATCH(D$2,Kraftvärmeprod!$B$1:$AG$1,0),FALSE)/1,"")</f>
        <v/>
      </c>
      <c r="F225" s="31" t="str">
        <f>IF($D225="","",IFERROR(VLOOKUP($B225,Kraftvärmeprod!$B$1:$BX$550,MATCH(F$2,Kraftvärmeprod!$B$1:$VX$1,0),FALSE)/1,0)-IFERROR(VLOOKUP($B225,'Slutlig allokering kvv'!$B$2:$BX$550,MATCH(F$2,'Slutlig allokering kvv'!$B$1:$BX$1,0),FALSE)/1,0))</f>
        <v/>
      </c>
      <c r="G225" s="31" t="str">
        <f>IF($D225="","",IFERROR(VLOOKUP($B225,Kraftvärmeprod!$B$1:$BX$550,MATCH(G$2,Kraftvärmeprod!$B$1:$VX$1,0),FALSE)/1,0)-IFERROR(VLOOKUP($B225,'Slutlig allokering kvv'!$B$2:$BX$550,MATCH(G$2,'Slutlig allokering kvv'!$B$1:$BX$1,0),FALSE)/1,0))</f>
        <v/>
      </c>
      <c r="H225" s="31" t="str">
        <f>IF($D225="","",IFERROR(VLOOKUP($B225,Kraftvärmeprod!$B$1:$BX$550,MATCH(H$2,Kraftvärmeprod!$B$1:$VX$1,0),FALSE)/1,0)-IFERROR(VLOOKUP($B225,'Slutlig allokering kvv'!$B$2:$BX$550,MATCH(H$2,'Slutlig allokering kvv'!$B$1:$BX$1,0),FALSE)/1,0))</f>
        <v/>
      </c>
      <c r="I225" s="31" t="str">
        <f>IF($D225="","",IFERROR(VLOOKUP($B225,Kraftvärmeprod!$B$1:$BX$550,MATCH(I$2,Kraftvärmeprod!$B$1:$VX$1,0),FALSE)/1,0)-IFERROR(VLOOKUP($B225,'Slutlig allokering kvv'!$B$2:$BX$550,MATCH(I$2,'Slutlig allokering kvv'!$B$1:$BX$1,0),FALSE)/1,0))</f>
        <v/>
      </c>
      <c r="J225" s="31" t="str">
        <f>IF($D225="","",IFERROR(VLOOKUP($B225,Kraftvärmeprod!$B$1:$BX$550,MATCH(J$2,Kraftvärmeprod!$B$1:$VX$1,0),FALSE)/1,0)-IFERROR(VLOOKUP($B225,'Slutlig allokering kvv'!$B$2:$BX$550,MATCH(J$2,'Slutlig allokering kvv'!$B$1:$BX$1,0),FALSE)/1,0))</f>
        <v/>
      </c>
      <c r="K225" s="31" t="str">
        <f>IF($D225="","",IFERROR(VLOOKUP($B225,Kraftvärmeprod!$B$1:$BX$550,MATCH(K$2,Kraftvärmeprod!$B$1:$VX$1,0),FALSE)/1,0)-IFERROR(VLOOKUP($B225,'Slutlig allokering kvv'!$B$2:$BX$550,MATCH(K$2,'Slutlig allokering kvv'!$B$1:$BX$1,0),FALSE)/1,0))</f>
        <v/>
      </c>
      <c r="L225" s="31" t="str">
        <f>IF($D225="","",IFERROR(VLOOKUP($B225,Kraftvärmeprod!$B$1:$BX$550,MATCH(L$2,Kraftvärmeprod!$B$1:$VX$1,0),FALSE)/1,0)-IFERROR(VLOOKUP($B225,'Slutlig allokering kvv'!$B$2:$BX$550,MATCH(L$2,'Slutlig allokering kvv'!$B$1:$BX$1,0),FALSE)/1,0))</f>
        <v/>
      </c>
      <c r="M225" s="31" t="str">
        <f>IF($D225="","",IFERROR(VLOOKUP($B225,Kraftvärmeprod!$B$1:$BX$550,MATCH(M$2,Kraftvärmeprod!$B$1:$VX$1,0),FALSE)/1,0)-IFERROR(VLOOKUP($B225,'Slutlig allokering kvv'!$B$2:$BX$550,MATCH(M$2,'Slutlig allokering kvv'!$B$1:$BX$1,0),FALSE)/1,0))</f>
        <v/>
      </c>
      <c r="N225" s="31" t="str">
        <f>IF($D225="","",IFERROR(VLOOKUP($B225,Kraftvärmeprod!$B$1:$BX$550,MATCH(N$2,Kraftvärmeprod!$B$1:$VX$1,0),FALSE)/1,0)-IFERROR(VLOOKUP($B225,'Slutlig allokering kvv'!$B$2:$BX$550,MATCH(N$2,'Slutlig allokering kvv'!$B$1:$BX$1,0),FALSE)/1,0))</f>
        <v/>
      </c>
      <c r="O225" s="31" t="str">
        <f>IF($D225="","",IFERROR(VLOOKUP($B225,Kraftvärmeprod!$B$1:$BX$550,MATCH(O$2,Kraftvärmeprod!$B$1:$VX$1,0),FALSE)/1,0)-IFERROR(VLOOKUP($B225,'Slutlig allokering kvv'!$B$2:$BX$550,MATCH(O$2,'Slutlig allokering kvv'!$B$1:$BX$1,0),FALSE)/1,0))</f>
        <v/>
      </c>
      <c r="P225" s="31" t="str">
        <f>IF($D225="","",IFERROR(VLOOKUP($B225,Kraftvärmeprod!$B$1:$BX$550,MATCH(P$2,Kraftvärmeprod!$B$1:$VX$1,0),FALSE)/1,0)-IFERROR(VLOOKUP($B225,'Slutlig allokering kvv'!$B$2:$BX$550,MATCH(P$2,'Slutlig allokering kvv'!$B$1:$BX$1,0),FALSE)/1,0))</f>
        <v/>
      </c>
      <c r="Q225" s="31" t="str">
        <f>IF($D225="","",IFERROR(VLOOKUP($B225,Kraftvärmeprod!$B$1:$BX$550,MATCH(Q$2,Kraftvärmeprod!$B$1:$VX$1,0),FALSE)/1,0)-IFERROR(VLOOKUP($B225,'Slutlig allokering kvv'!$B$2:$BX$550,MATCH(Q$2,'Slutlig allokering kvv'!$B$1:$BX$1,0),FALSE)/1,0))</f>
        <v/>
      </c>
      <c r="R225" s="31" t="str">
        <f>IF($D225="","",IFERROR(VLOOKUP($B225,Kraftvärmeprod!$B$1:$BX$550,MATCH(R$2,Kraftvärmeprod!$B$1:$VX$1,0),FALSE)/1,0)-IFERROR(VLOOKUP($B225,'Slutlig allokering kvv'!$B$2:$BX$550,MATCH(R$2,'Slutlig allokering kvv'!$B$1:$BX$1,0),FALSE)/1,0))</f>
        <v/>
      </c>
      <c r="S225" s="31" t="str">
        <f>IF($D225="","",IFERROR(VLOOKUP($B225,Kraftvärmeprod!$B$1:$BX$550,MATCH(S$2,Kraftvärmeprod!$B$1:$VX$1,0),FALSE)/1,0)-IFERROR(VLOOKUP($B225,'Slutlig allokering kvv'!$B$2:$BX$550,MATCH(S$2,'Slutlig allokering kvv'!$B$1:$BX$1,0),FALSE)/1,0))</f>
        <v/>
      </c>
      <c r="T225" s="31" t="str">
        <f>IF($D225="","",IFERROR(VLOOKUP($B225,Kraftvärmeprod!$B$1:$BX$550,MATCH(T$2,Kraftvärmeprod!$B$1:$VX$1,0),FALSE)/1,0)-IFERROR(VLOOKUP($B225,'Slutlig allokering kvv'!$B$2:$BX$550,MATCH(T$2,'Slutlig allokering kvv'!$B$1:$BX$1,0),FALSE)/1,0))</f>
        <v/>
      </c>
      <c r="U225" s="31" t="str">
        <f>IF($D225="","",IFERROR(VLOOKUP($B225,Kraftvärmeprod!$B$1:$BX$550,MATCH(U$2,Kraftvärmeprod!$B$1:$VX$1,0),FALSE)/1,0)-IFERROR(VLOOKUP($B225,'Slutlig allokering kvv'!$B$2:$BX$550,MATCH(U$2,'Slutlig allokering kvv'!$B$1:$BX$1,0),FALSE)/1,0))</f>
        <v/>
      </c>
      <c r="V225" s="31" t="str">
        <f>IF($D225="","",IFERROR(VLOOKUP($B225,Kraftvärmeprod!$B$1:$BX$550,MATCH(V$2,Kraftvärmeprod!$B$1:$VX$1,0),FALSE)/1,0)-IFERROR(VLOOKUP($B225,'Slutlig allokering kvv'!$B$2:$BX$550,MATCH(V$2,'Slutlig allokering kvv'!$B$1:$BX$1,0),FALSE)/1,0))</f>
        <v/>
      </c>
      <c r="W225" s="31" t="str">
        <f>IF($D225="","",IFERROR(VLOOKUP($B225,Kraftvärmeprod!$B$1:$BX$550,MATCH(W$2,Kraftvärmeprod!$B$1:$VX$1,0),FALSE)/1,0)-IFERROR(VLOOKUP($B225,'Slutlig allokering kvv'!$B$2:$BX$550,MATCH(W$2,'Slutlig allokering kvv'!$B$1:$BX$1,0),FALSE)/1,0))</f>
        <v/>
      </c>
      <c r="X225" s="31" t="str">
        <f>IF($D225="","",IFERROR(VLOOKUP($B225,Kraftvärmeprod!$B$1:$BX$550,MATCH(X$2,Kraftvärmeprod!$B$1:$VX$1,0),FALSE)/1,0)-IFERROR(VLOOKUP($B225,'Slutlig allokering kvv'!$B$2:$BX$550,MATCH(X$2,'Slutlig allokering kvv'!$B$1:$BX$1,0),FALSE)/1,0))</f>
        <v/>
      </c>
      <c r="Y225" s="31" t="str">
        <f>IF($D225="","",IFERROR(VLOOKUP($B225,Kraftvärmeprod!$B$1:$BX$550,MATCH(Y$2,Kraftvärmeprod!$B$1:$VX$1,0),FALSE)/1,0)-IFERROR(VLOOKUP($B225,'Slutlig allokering kvv'!$B$2:$BX$550,MATCH(Y$2,'Slutlig allokering kvv'!$B$1:$BX$1,0),FALSE)/1,0))</f>
        <v/>
      </c>
      <c r="Z225" s="31" t="str">
        <f>IF($D225="","",IFERROR(VLOOKUP($B225,Kraftvärmeprod!$B$1:$BX$550,MATCH(Z$2,Kraftvärmeprod!$B$1:$VX$1,0),FALSE)/1,0)-IFERROR(VLOOKUP($B225,'Slutlig allokering kvv'!$B$2:$BX$550,MATCH(Z$2,'Slutlig allokering kvv'!$B$1:$BX$1,0),FALSE)/1,0))</f>
        <v/>
      </c>
      <c r="AA225" s="31" t="str">
        <f>IF($D225="","",IFERROR(VLOOKUP($B225,Kraftvärmeprod!$B$1:$BX$550,MATCH(AA$2,Kraftvärmeprod!$B$1:$VX$1,0),FALSE)/1,0)-IFERROR(VLOOKUP($B225,'Slutlig allokering kvv'!$B$2:$BX$550,MATCH(AA$2,'Slutlig allokering kvv'!$B$1:$BX$1,0),FALSE)/1,0))</f>
        <v/>
      </c>
      <c r="AB225" s="31" t="str">
        <f>IF($D225="","",IFERROR(VLOOKUP($B225,Kraftvärmeprod!$B$1:$BX$550,MATCH(AB$2,Kraftvärmeprod!$B$1:$VX$1,0),FALSE)/1,0)-IFERROR(VLOOKUP($B225,'Slutlig allokering kvv'!$B$2:$BX$550,MATCH(AB$2,'Slutlig allokering kvv'!$B$1:$BX$1,0),FALSE)/1,0))</f>
        <v/>
      </c>
      <c r="AC225" s="31" t="str">
        <f>IF($D225="","",IFERROR(VLOOKUP($B225,Kraftvärmeprod!$B$1:$BX$550,MATCH(AC$2,Kraftvärmeprod!$B$1:$VX$1,0),FALSE)/1,0)-IFERROR(VLOOKUP($B225,'Slutlig allokering kvv'!$B$2:$BX$550,MATCH(AC$2,'Slutlig allokering kvv'!$B$1:$BX$1,0),FALSE)/1,0))</f>
        <v/>
      </c>
      <c r="AD225" s="31" t="str">
        <f>IF($D225="","",IFERROR(VLOOKUP($B225,Kraftvärmeprod!$B$1:$BX$550,MATCH(AD$2,Kraftvärmeprod!$B$1:$VX$1,0),FALSE)/1,0)-IFERROR(VLOOKUP($B225,'Slutlig allokering kvv'!$B$2:$BX$550,MATCH(AD$2,'Slutlig allokering kvv'!$B$1:$BX$1,0),FALSE)/1,0))</f>
        <v/>
      </c>
      <c r="AE225" s="31" t="str">
        <f>IF($D225="","",IFERROR(VLOOKUP($B225,Miljö!$B$1:$E$550,MATCH("Hjälpel kraftvärme (GWh)",Miljö!$B$1:$E$1,0),FALSE)/1,0)-IFERROR(VLOOKUP($B225,'Slutlig allokering kvv'!$B$2:$BX$549,MATCH(AE$2,'Slutlig allokering kvv'!$B$1:$BX$1,0),FALSE)/1,0))</f>
        <v/>
      </c>
      <c r="AI225" s="39">
        <f t="shared" si="12"/>
        <v>0</v>
      </c>
      <c r="AK225" s="31">
        <f>IFERROR(VLOOKUP($B225,'Slutlig allokering kvv'!$B$2:$AX$549,MATCH("Summa slutlig allokerad tillförd energi (utan hjälpel och rökgaskondensering):",'Slutlig allokering kvv'!$B$1:$AX$1,0),FALSE)/1,"")</f>
        <v>0</v>
      </c>
      <c r="AM225" s="31" t="str">
        <f>IFERROR(1-VLOOKUP($B225,'Slutlig allokering kvv'!$B$2:$AX$549,MATCH("Andel av bränsle i kvv som allokerats till värme, exklusive rökgaskondensering och hjälpel",'Slutlig allokering kvv'!$B$1:$AX$1,0),FALSE),"")</f>
        <v/>
      </c>
      <c r="AO225" s="31" t="str">
        <f t="shared" si="13"/>
        <v/>
      </c>
      <c r="AP225" s="31" t="str">
        <f t="shared" si="14"/>
        <v/>
      </c>
      <c r="AR225" s="32" t="str">
        <f t="shared" si="15"/>
        <v/>
      </c>
    </row>
    <row r="226" spans="1:44" s="31" customFormat="1" x14ac:dyDescent="0.45">
      <c r="A226" s="31" t="s">
        <v>342</v>
      </c>
      <c r="B226" s="31" t="s">
        <v>353</v>
      </c>
      <c r="C226" s="31" t="str">
        <f>IFERROR(VLOOKUP($B226,Kraftvärmeprod!$B$1:$AH$479,MATCH(C$2,Kraftvärmeprod!$B$1:$AG$1,0),FALSE)/1,"")</f>
        <v/>
      </c>
      <c r="D226" s="31" t="str">
        <f>IFERROR(VLOOKUP($B226,Kraftvärmeprod!$B$1:$AH$479,MATCH(D$2,Kraftvärmeprod!$B$1:$AG$1,0),FALSE)/1,"")</f>
        <v/>
      </c>
      <c r="F226" s="31" t="str">
        <f>IF($D226="","",IFERROR(VLOOKUP($B226,Kraftvärmeprod!$B$1:$BX$550,MATCH(F$2,Kraftvärmeprod!$B$1:$VX$1,0),FALSE)/1,0)-IFERROR(VLOOKUP($B226,'Slutlig allokering kvv'!$B$2:$BX$550,MATCH(F$2,'Slutlig allokering kvv'!$B$1:$BX$1,0),FALSE)/1,0))</f>
        <v/>
      </c>
      <c r="G226" s="31" t="str">
        <f>IF($D226="","",IFERROR(VLOOKUP($B226,Kraftvärmeprod!$B$1:$BX$550,MATCH(G$2,Kraftvärmeprod!$B$1:$VX$1,0),FALSE)/1,0)-IFERROR(VLOOKUP($B226,'Slutlig allokering kvv'!$B$2:$BX$550,MATCH(G$2,'Slutlig allokering kvv'!$B$1:$BX$1,0),FALSE)/1,0))</f>
        <v/>
      </c>
      <c r="H226" s="31" t="str">
        <f>IF($D226="","",IFERROR(VLOOKUP($B226,Kraftvärmeprod!$B$1:$BX$550,MATCH(H$2,Kraftvärmeprod!$B$1:$VX$1,0),FALSE)/1,0)-IFERROR(VLOOKUP($B226,'Slutlig allokering kvv'!$B$2:$BX$550,MATCH(H$2,'Slutlig allokering kvv'!$B$1:$BX$1,0),FALSE)/1,0))</f>
        <v/>
      </c>
      <c r="I226" s="31" t="str">
        <f>IF($D226="","",IFERROR(VLOOKUP($B226,Kraftvärmeprod!$B$1:$BX$550,MATCH(I$2,Kraftvärmeprod!$B$1:$VX$1,0),FALSE)/1,0)-IFERROR(VLOOKUP($B226,'Slutlig allokering kvv'!$B$2:$BX$550,MATCH(I$2,'Slutlig allokering kvv'!$B$1:$BX$1,0),FALSE)/1,0))</f>
        <v/>
      </c>
      <c r="J226" s="31" t="str">
        <f>IF($D226="","",IFERROR(VLOOKUP($B226,Kraftvärmeprod!$B$1:$BX$550,MATCH(J$2,Kraftvärmeprod!$B$1:$VX$1,0),FALSE)/1,0)-IFERROR(VLOOKUP($B226,'Slutlig allokering kvv'!$B$2:$BX$550,MATCH(J$2,'Slutlig allokering kvv'!$B$1:$BX$1,0),FALSE)/1,0))</f>
        <v/>
      </c>
      <c r="K226" s="31" t="str">
        <f>IF($D226="","",IFERROR(VLOOKUP($B226,Kraftvärmeprod!$B$1:$BX$550,MATCH(K$2,Kraftvärmeprod!$B$1:$VX$1,0),FALSE)/1,0)-IFERROR(VLOOKUP($B226,'Slutlig allokering kvv'!$B$2:$BX$550,MATCH(K$2,'Slutlig allokering kvv'!$B$1:$BX$1,0),FALSE)/1,0))</f>
        <v/>
      </c>
      <c r="L226" s="31" t="str">
        <f>IF($D226="","",IFERROR(VLOOKUP($B226,Kraftvärmeprod!$B$1:$BX$550,MATCH(L$2,Kraftvärmeprod!$B$1:$VX$1,0),FALSE)/1,0)-IFERROR(VLOOKUP($B226,'Slutlig allokering kvv'!$B$2:$BX$550,MATCH(L$2,'Slutlig allokering kvv'!$B$1:$BX$1,0),FALSE)/1,0))</f>
        <v/>
      </c>
      <c r="M226" s="31" t="str">
        <f>IF($D226="","",IFERROR(VLOOKUP($B226,Kraftvärmeprod!$B$1:$BX$550,MATCH(M$2,Kraftvärmeprod!$B$1:$VX$1,0),FALSE)/1,0)-IFERROR(VLOOKUP($B226,'Slutlig allokering kvv'!$B$2:$BX$550,MATCH(M$2,'Slutlig allokering kvv'!$B$1:$BX$1,0),FALSE)/1,0))</f>
        <v/>
      </c>
      <c r="N226" s="31" t="str">
        <f>IF($D226="","",IFERROR(VLOOKUP($B226,Kraftvärmeprod!$B$1:$BX$550,MATCH(N$2,Kraftvärmeprod!$B$1:$VX$1,0),FALSE)/1,0)-IFERROR(VLOOKUP($B226,'Slutlig allokering kvv'!$B$2:$BX$550,MATCH(N$2,'Slutlig allokering kvv'!$B$1:$BX$1,0),FALSE)/1,0))</f>
        <v/>
      </c>
      <c r="O226" s="31" t="str">
        <f>IF($D226="","",IFERROR(VLOOKUP($B226,Kraftvärmeprod!$B$1:$BX$550,MATCH(O$2,Kraftvärmeprod!$B$1:$VX$1,0),FALSE)/1,0)-IFERROR(VLOOKUP($B226,'Slutlig allokering kvv'!$B$2:$BX$550,MATCH(O$2,'Slutlig allokering kvv'!$B$1:$BX$1,0),FALSE)/1,0))</f>
        <v/>
      </c>
      <c r="P226" s="31" t="str">
        <f>IF($D226="","",IFERROR(VLOOKUP($B226,Kraftvärmeprod!$B$1:$BX$550,MATCH(P$2,Kraftvärmeprod!$B$1:$VX$1,0),FALSE)/1,0)-IFERROR(VLOOKUP($B226,'Slutlig allokering kvv'!$B$2:$BX$550,MATCH(P$2,'Slutlig allokering kvv'!$B$1:$BX$1,0),FALSE)/1,0))</f>
        <v/>
      </c>
      <c r="Q226" s="31" t="str">
        <f>IF($D226="","",IFERROR(VLOOKUP($B226,Kraftvärmeprod!$B$1:$BX$550,MATCH(Q$2,Kraftvärmeprod!$B$1:$VX$1,0),FALSE)/1,0)-IFERROR(VLOOKUP($B226,'Slutlig allokering kvv'!$B$2:$BX$550,MATCH(Q$2,'Slutlig allokering kvv'!$B$1:$BX$1,0),FALSE)/1,0))</f>
        <v/>
      </c>
      <c r="R226" s="31" t="str">
        <f>IF($D226="","",IFERROR(VLOOKUP($B226,Kraftvärmeprod!$B$1:$BX$550,MATCH(R$2,Kraftvärmeprod!$B$1:$VX$1,0),FALSE)/1,0)-IFERROR(VLOOKUP($B226,'Slutlig allokering kvv'!$B$2:$BX$550,MATCH(R$2,'Slutlig allokering kvv'!$B$1:$BX$1,0),FALSE)/1,0))</f>
        <v/>
      </c>
      <c r="S226" s="31" t="str">
        <f>IF($D226="","",IFERROR(VLOOKUP($B226,Kraftvärmeprod!$B$1:$BX$550,MATCH(S$2,Kraftvärmeprod!$B$1:$VX$1,0),FALSE)/1,0)-IFERROR(VLOOKUP($B226,'Slutlig allokering kvv'!$B$2:$BX$550,MATCH(S$2,'Slutlig allokering kvv'!$B$1:$BX$1,0),FALSE)/1,0))</f>
        <v/>
      </c>
      <c r="T226" s="31" t="str">
        <f>IF($D226="","",IFERROR(VLOOKUP($B226,Kraftvärmeprod!$B$1:$BX$550,MATCH(T$2,Kraftvärmeprod!$B$1:$VX$1,0),FALSE)/1,0)-IFERROR(VLOOKUP($B226,'Slutlig allokering kvv'!$B$2:$BX$550,MATCH(T$2,'Slutlig allokering kvv'!$B$1:$BX$1,0),FALSE)/1,0))</f>
        <v/>
      </c>
      <c r="U226" s="31" t="str">
        <f>IF($D226="","",IFERROR(VLOOKUP($B226,Kraftvärmeprod!$B$1:$BX$550,MATCH(U$2,Kraftvärmeprod!$B$1:$VX$1,0),FALSE)/1,0)-IFERROR(VLOOKUP($B226,'Slutlig allokering kvv'!$B$2:$BX$550,MATCH(U$2,'Slutlig allokering kvv'!$B$1:$BX$1,0),FALSE)/1,0))</f>
        <v/>
      </c>
      <c r="V226" s="31" t="str">
        <f>IF($D226="","",IFERROR(VLOOKUP($B226,Kraftvärmeprod!$B$1:$BX$550,MATCH(V$2,Kraftvärmeprod!$B$1:$VX$1,0),FALSE)/1,0)-IFERROR(VLOOKUP($B226,'Slutlig allokering kvv'!$B$2:$BX$550,MATCH(V$2,'Slutlig allokering kvv'!$B$1:$BX$1,0),FALSE)/1,0))</f>
        <v/>
      </c>
      <c r="W226" s="31" t="str">
        <f>IF($D226="","",IFERROR(VLOOKUP($B226,Kraftvärmeprod!$B$1:$BX$550,MATCH(W$2,Kraftvärmeprod!$B$1:$VX$1,0),FALSE)/1,0)-IFERROR(VLOOKUP($B226,'Slutlig allokering kvv'!$B$2:$BX$550,MATCH(W$2,'Slutlig allokering kvv'!$B$1:$BX$1,0),FALSE)/1,0))</f>
        <v/>
      </c>
      <c r="X226" s="31" t="str">
        <f>IF($D226="","",IFERROR(VLOOKUP($B226,Kraftvärmeprod!$B$1:$BX$550,MATCH(X$2,Kraftvärmeprod!$B$1:$VX$1,0),FALSE)/1,0)-IFERROR(VLOOKUP($B226,'Slutlig allokering kvv'!$B$2:$BX$550,MATCH(X$2,'Slutlig allokering kvv'!$B$1:$BX$1,0),FALSE)/1,0))</f>
        <v/>
      </c>
      <c r="Y226" s="31" t="str">
        <f>IF($D226="","",IFERROR(VLOOKUP($B226,Kraftvärmeprod!$B$1:$BX$550,MATCH(Y$2,Kraftvärmeprod!$B$1:$VX$1,0),FALSE)/1,0)-IFERROR(VLOOKUP($B226,'Slutlig allokering kvv'!$B$2:$BX$550,MATCH(Y$2,'Slutlig allokering kvv'!$B$1:$BX$1,0),FALSE)/1,0))</f>
        <v/>
      </c>
      <c r="Z226" s="31" t="str">
        <f>IF($D226="","",IFERROR(VLOOKUP($B226,Kraftvärmeprod!$B$1:$BX$550,MATCH(Z$2,Kraftvärmeprod!$B$1:$VX$1,0),FALSE)/1,0)-IFERROR(VLOOKUP($B226,'Slutlig allokering kvv'!$B$2:$BX$550,MATCH(Z$2,'Slutlig allokering kvv'!$B$1:$BX$1,0),FALSE)/1,0))</f>
        <v/>
      </c>
      <c r="AA226" s="31" t="str">
        <f>IF($D226="","",IFERROR(VLOOKUP($B226,Kraftvärmeprod!$B$1:$BX$550,MATCH(AA$2,Kraftvärmeprod!$B$1:$VX$1,0),FALSE)/1,0)-IFERROR(VLOOKUP($B226,'Slutlig allokering kvv'!$B$2:$BX$550,MATCH(AA$2,'Slutlig allokering kvv'!$B$1:$BX$1,0),FALSE)/1,0))</f>
        <v/>
      </c>
      <c r="AB226" s="31" t="str">
        <f>IF($D226="","",IFERROR(VLOOKUP($B226,Kraftvärmeprod!$B$1:$BX$550,MATCH(AB$2,Kraftvärmeprod!$B$1:$VX$1,0),FALSE)/1,0)-IFERROR(VLOOKUP($B226,'Slutlig allokering kvv'!$B$2:$BX$550,MATCH(AB$2,'Slutlig allokering kvv'!$B$1:$BX$1,0),FALSE)/1,0))</f>
        <v/>
      </c>
      <c r="AC226" s="31" t="str">
        <f>IF($D226="","",IFERROR(VLOOKUP($B226,Kraftvärmeprod!$B$1:$BX$550,MATCH(AC$2,Kraftvärmeprod!$B$1:$VX$1,0),FALSE)/1,0)-IFERROR(VLOOKUP($B226,'Slutlig allokering kvv'!$B$2:$BX$550,MATCH(AC$2,'Slutlig allokering kvv'!$B$1:$BX$1,0),FALSE)/1,0))</f>
        <v/>
      </c>
      <c r="AD226" s="31" t="str">
        <f>IF($D226="","",IFERROR(VLOOKUP($B226,Kraftvärmeprod!$B$1:$BX$550,MATCH(AD$2,Kraftvärmeprod!$B$1:$VX$1,0),FALSE)/1,0)-IFERROR(VLOOKUP($B226,'Slutlig allokering kvv'!$B$2:$BX$550,MATCH(AD$2,'Slutlig allokering kvv'!$B$1:$BX$1,0),FALSE)/1,0))</f>
        <v/>
      </c>
      <c r="AE226" s="31" t="str">
        <f>IF($D226="","",IFERROR(VLOOKUP($B226,Miljö!$B$1:$E$550,MATCH("Hjälpel kraftvärme (GWh)",Miljö!$B$1:$E$1,0),FALSE)/1,0)-IFERROR(VLOOKUP($B226,'Slutlig allokering kvv'!$B$2:$BX$549,MATCH(AE$2,'Slutlig allokering kvv'!$B$1:$BX$1,0),FALSE)/1,0))</f>
        <v/>
      </c>
      <c r="AI226" s="39">
        <f t="shared" si="12"/>
        <v>0</v>
      </c>
      <c r="AK226" s="31">
        <f>IFERROR(VLOOKUP($B226,'Slutlig allokering kvv'!$B$2:$AX$549,MATCH("Summa slutlig allokerad tillförd energi (utan hjälpel och rökgaskondensering):",'Slutlig allokering kvv'!$B$1:$AX$1,0),FALSE)/1,"")</f>
        <v>0</v>
      </c>
      <c r="AM226" s="31" t="str">
        <f>IFERROR(1-VLOOKUP($B226,'Slutlig allokering kvv'!$B$2:$AX$549,MATCH("Andel av bränsle i kvv som allokerats till värme, exklusive rökgaskondensering och hjälpel",'Slutlig allokering kvv'!$B$1:$AX$1,0),FALSE),"")</f>
        <v/>
      </c>
      <c r="AO226" s="31" t="str">
        <f t="shared" si="13"/>
        <v/>
      </c>
      <c r="AP226" s="31" t="str">
        <f t="shared" si="14"/>
        <v/>
      </c>
      <c r="AR226" s="32" t="str">
        <f t="shared" si="15"/>
        <v/>
      </c>
    </row>
    <row r="227" spans="1:44" s="31" customFormat="1" x14ac:dyDescent="0.45">
      <c r="A227" s="31" t="s">
        <v>342</v>
      </c>
      <c r="B227" s="31" t="s">
        <v>352</v>
      </c>
      <c r="C227" s="31" t="str">
        <f>IFERROR(VLOOKUP($B227,Kraftvärmeprod!$B$1:$AH$479,MATCH(C$2,Kraftvärmeprod!$B$1:$AG$1,0),FALSE)/1,"")</f>
        <v/>
      </c>
      <c r="D227" s="31" t="str">
        <f>IFERROR(VLOOKUP($B227,Kraftvärmeprod!$B$1:$AH$479,MATCH(D$2,Kraftvärmeprod!$B$1:$AG$1,0),FALSE)/1,"")</f>
        <v/>
      </c>
      <c r="F227" s="31" t="str">
        <f>IF($D227="","",IFERROR(VLOOKUP($B227,Kraftvärmeprod!$B$1:$BX$550,MATCH(F$2,Kraftvärmeprod!$B$1:$VX$1,0),FALSE)/1,0)-IFERROR(VLOOKUP($B227,'Slutlig allokering kvv'!$B$2:$BX$550,MATCH(F$2,'Slutlig allokering kvv'!$B$1:$BX$1,0),FALSE)/1,0))</f>
        <v/>
      </c>
      <c r="G227" s="31" t="str">
        <f>IF($D227="","",IFERROR(VLOOKUP($B227,Kraftvärmeprod!$B$1:$BX$550,MATCH(G$2,Kraftvärmeprod!$B$1:$VX$1,0),FALSE)/1,0)-IFERROR(VLOOKUP($B227,'Slutlig allokering kvv'!$B$2:$BX$550,MATCH(G$2,'Slutlig allokering kvv'!$B$1:$BX$1,0),FALSE)/1,0))</f>
        <v/>
      </c>
      <c r="H227" s="31" t="str">
        <f>IF($D227="","",IFERROR(VLOOKUP($B227,Kraftvärmeprod!$B$1:$BX$550,MATCH(H$2,Kraftvärmeprod!$B$1:$VX$1,0),FALSE)/1,0)-IFERROR(VLOOKUP($B227,'Slutlig allokering kvv'!$B$2:$BX$550,MATCH(H$2,'Slutlig allokering kvv'!$B$1:$BX$1,0),FALSE)/1,0))</f>
        <v/>
      </c>
      <c r="I227" s="31" t="str">
        <f>IF($D227="","",IFERROR(VLOOKUP($B227,Kraftvärmeprod!$B$1:$BX$550,MATCH(I$2,Kraftvärmeprod!$B$1:$VX$1,0),FALSE)/1,0)-IFERROR(VLOOKUP($B227,'Slutlig allokering kvv'!$B$2:$BX$550,MATCH(I$2,'Slutlig allokering kvv'!$B$1:$BX$1,0),FALSE)/1,0))</f>
        <v/>
      </c>
      <c r="J227" s="31" t="str">
        <f>IF($D227="","",IFERROR(VLOOKUP($B227,Kraftvärmeprod!$B$1:$BX$550,MATCH(J$2,Kraftvärmeprod!$B$1:$VX$1,0),FALSE)/1,0)-IFERROR(VLOOKUP($B227,'Slutlig allokering kvv'!$B$2:$BX$550,MATCH(J$2,'Slutlig allokering kvv'!$B$1:$BX$1,0),FALSE)/1,0))</f>
        <v/>
      </c>
      <c r="K227" s="31" t="str">
        <f>IF($D227="","",IFERROR(VLOOKUP($B227,Kraftvärmeprod!$B$1:$BX$550,MATCH(K$2,Kraftvärmeprod!$B$1:$VX$1,0),FALSE)/1,0)-IFERROR(VLOOKUP($B227,'Slutlig allokering kvv'!$B$2:$BX$550,MATCH(K$2,'Slutlig allokering kvv'!$B$1:$BX$1,0),FALSE)/1,0))</f>
        <v/>
      </c>
      <c r="L227" s="31" t="str">
        <f>IF($D227="","",IFERROR(VLOOKUP($B227,Kraftvärmeprod!$B$1:$BX$550,MATCH(L$2,Kraftvärmeprod!$B$1:$VX$1,0),FALSE)/1,0)-IFERROR(VLOOKUP($B227,'Slutlig allokering kvv'!$B$2:$BX$550,MATCH(L$2,'Slutlig allokering kvv'!$B$1:$BX$1,0),FALSE)/1,0))</f>
        <v/>
      </c>
      <c r="M227" s="31" t="str">
        <f>IF($D227="","",IFERROR(VLOOKUP($B227,Kraftvärmeprod!$B$1:$BX$550,MATCH(M$2,Kraftvärmeprod!$B$1:$VX$1,0),FALSE)/1,0)-IFERROR(VLOOKUP($B227,'Slutlig allokering kvv'!$B$2:$BX$550,MATCH(M$2,'Slutlig allokering kvv'!$B$1:$BX$1,0),FALSE)/1,0))</f>
        <v/>
      </c>
      <c r="N227" s="31" t="str">
        <f>IF($D227="","",IFERROR(VLOOKUP($B227,Kraftvärmeprod!$B$1:$BX$550,MATCH(N$2,Kraftvärmeprod!$B$1:$VX$1,0),FALSE)/1,0)-IFERROR(VLOOKUP($B227,'Slutlig allokering kvv'!$B$2:$BX$550,MATCH(N$2,'Slutlig allokering kvv'!$B$1:$BX$1,0),FALSE)/1,0))</f>
        <v/>
      </c>
      <c r="O227" s="31" t="str">
        <f>IF($D227="","",IFERROR(VLOOKUP($B227,Kraftvärmeprod!$B$1:$BX$550,MATCH(O$2,Kraftvärmeprod!$B$1:$VX$1,0),FALSE)/1,0)-IFERROR(VLOOKUP($B227,'Slutlig allokering kvv'!$B$2:$BX$550,MATCH(O$2,'Slutlig allokering kvv'!$B$1:$BX$1,0),FALSE)/1,0))</f>
        <v/>
      </c>
      <c r="P227" s="31" t="str">
        <f>IF($D227="","",IFERROR(VLOOKUP($B227,Kraftvärmeprod!$B$1:$BX$550,MATCH(P$2,Kraftvärmeprod!$B$1:$VX$1,0),FALSE)/1,0)-IFERROR(VLOOKUP($B227,'Slutlig allokering kvv'!$B$2:$BX$550,MATCH(P$2,'Slutlig allokering kvv'!$B$1:$BX$1,0),FALSE)/1,0))</f>
        <v/>
      </c>
      <c r="Q227" s="31" t="str">
        <f>IF($D227="","",IFERROR(VLOOKUP($B227,Kraftvärmeprod!$B$1:$BX$550,MATCH(Q$2,Kraftvärmeprod!$B$1:$VX$1,0),FALSE)/1,0)-IFERROR(VLOOKUP($B227,'Slutlig allokering kvv'!$B$2:$BX$550,MATCH(Q$2,'Slutlig allokering kvv'!$B$1:$BX$1,0),FALSE)/1,0))</f>
        <v/>
      </c>
      <c r="R227" s="31" t="str">
        <f>IF($D227="","",IFERROR(VLOOKUP($B227,Kraftvärmeprod!$B$1:$BX$550,MATCH(R$2,Kraftvärmeprod!$B$1:$VX$1,0),FALSE)/1,0)-IFERROR(VLOOKUP($B227,'Slutlig allokering kvv'!$B$2:$BX$550,MATCH(R$2,'Slutlig allokering kvv'!$B$1:$BX$1,0),FALSE)/1,0))</f>
        <v/>
      </c>
      <c r="S227" s="31" t="str">
        <f>IF($D227="","",IFERROR(VLOOKUP($B227,Kraftvärmeprod!$B$1:$BX$550,MATCH(S$2,Kraftvärmeprod!$B$1:$VX$1,0),FALSE)/1,0)-IFERROR(VLOOKUP($B227,'Slutlig allokering kvv'!$B$2:$BX$550,MATCH(S$2,'Slutlig allokering kvv'!$B$1:$BX$1,0),FALSE)/1,0))</f>
        <v/>
      </c>
      <c r="T227" s="31" t="str">
        <f>IF($D227="","",IFERROR(VLOOKUP($B227,Kraftvärmeprod!$B$1:$BX$550,MATCH(T$2,Kraftvärmeprod!$B$1:$VX$1,0),FALSE)/1,0)-IFERROR(VLOOKUP($B227,'Slutlig allokering kvv'!$B$2:$BX$550,MATCH(T$2,'Slutlig allokering kvv'!$B$1:$BX$1,0),FALSE)/1,0))</f>
        <v/>
      </c>
      <c r="U227" s="31" t="str">
        <f>IF($D227="","",IFERROR(VLOOKUP($B227,Kraftvärmeprod!$B$1:$BX$550,MATCH(U$2,Kraftvärmeprod!$B$1:$VX$1,0),FALSE)/1,0)-IFERROR(VLOOKUP($B227,'Slutlig allokering kvv'!$B$2:$BX$550,MATCH(U$2,'Slutlig allokering kvv'!$B$1:$BX$1,0),FALSE)/1,0))</f>
        <v/>
      </c>
      <c r="V227" s="31" t="str">
        <f>IF($D227="","",IFERROR(VLOOKUP($B227,Kraftvärmeprod!$B$1:$BX$550,MATCH(V$2,Kraftvärmeprod!$B$1:$VX$1,0),FALSE)/1,0)-IFERROR(VLOOKUP($B227,'Slutlig allokering kvv'!$B$2:$BX$550,MATCH(V$2,'Slutlig allokering kvv'!$B$1:$BX$1,0),FALSE)/1,0))</f>
        <v/>
      </c>
      <c r="W227" s="31" t="str">
        <f>IF($D227="","",IFERROR(VLOOKUP($B227,Kraftvärmeprod!$B$1:$BX$550,MATCH(W$2,Kraftvärmeprod!$B$1:$VX$1,0),FALSE)/1,0)-IFERROR(VLOOKUP($B227,'Slutlig allokering kvv'!$B$2:$BX$550,MATCH(W$2,'Slutlig allokering kvv'!$B$1:$BX$1,0),FALSE)/1,0))</f>
        <v/>
      </c>
      <c r="X227" s="31" t="str">
        <f>IF($D227="","",IFERROR(VLOOKUP($B227,Kraftvärmeprod!$B$1:$BX$550,MATCH(X$2,Kraftvärmeprod!$B$1:$VX$1,0),FALSE)/1,0)-IFERROR(VLOOKUP($B227,'Slutlig allokering kvv'!$B$2:$BX$550,MATCH(X$2,'Slutlig allokering kvv'!$B$1:$BX$1,0),FALSE)/1,0))</f>
        <v/>
      </c>
      <c r="Y227" s="31" t="str">
        <f>IF($D227="","",IFERROR(VLOOKUP($B227,Kraftvärmeprod!$B$1:$BX$550,MATCH(Y$2,Kraftvärmeprod!$B$1:$VX$1,0),FALSE)/1,0)-IFERROR(VLOOKUP($B227,'Slutlig allokering kvv'!$B$2:$BX$550,MATCH(Y$2,'Slutlig allokering kvv'!$B$1:$BX$1,0),FALSE)/1,0))</f>
        <v/>
      </c>
      <c r="Z227" s="31" t="str">
        <f>IF($D227="","",IFERROR(VLOOKUP($B227,Kraftvärmeprod!$B$1:$BX$550,MATCH(Z$2,Kraftvärmeprod!$B$1:$VX$1,0),FALSE)/1,0)-IFERROR(VLOOKUP($B227,'Slutlig allokering kvv'!$B$2:$BX$550,MATCH(Z$2,'Slutlig allokering kvv'!$B$1:$BX$1,0),FALSE)/1,0))</f>
        <v/>
      </c>
      <c r="AA227" s="31" t="str">
        <f>IF($D227="","",IFERROR(VLOOKUP($B227,Kraftvärmeprod!$B$1:$BX$550,MATCH(AA$2,Kraftvärmeprod!$B$1:$VX$1,0),FALSE)/1,0)-IFERROR(VLOOKUP($B227,'Slutlig allokering kvv'!$B$2:$BX$550,MATCH(AA$2,'Slutlig allokering kvv'!$B$1:$BX$1,0),FALSE)/1,0))</f>
        <v/>
      </c>
      <c r="AB227" s="31" t="str">
        <f>IF($D227="","",IFERROR(VLOOKUP($B227,Kraftvärmeprod!$B$1:$BX$550,MATCH(AB$2,Kraftvärmeprod!$B$1:$VX$1,0),FALSE)/1,0)-IFERROR(VLOOKUP($B227,'Slutlig allokering kvv'!$B$2:$BX$550,MATCH(AB$2,'Slutlig allokering kvv'!$B$1:$BX$1,0),FALSE)/1,0))</f>
        <v/>
      </c>
      <c r="AC227" s="31" t="str">
        <f>IF($D227="","",IFERROR(VLOOKUP($B227,Kraftvärmeprod!$B$1:$BX$550,MATCH(AC$2,Kraftvärmeprod!$B$1:$VX$1,0),FALSE)/1,0)-IFERROR(VLOOKUP($B227,'Slutlig allokering kvv'!$B$2:$BX$550,MATCH(AC$2,'Slutlig allokering kvv'!$B$1:$BX$1,0),FALSE)/1,0))</f>
        <v/>
      </c>
      <c r="AD227" s="31" t="str">
        <f>IF($D227="","",IFERROR(VLOOKUP($B227,Kraftvärmeprod!$B$1:$BX$550,MATCH(AD$2,Kraftvärmeprod!$B$1:$VX$1,0),FALSE)/1,0)-IFERROR(VLOOKUP($B227,'Slutlig allokering kvv'!$B$2:$BX$550,MATCH(AD$2,'Slutlig allokering kvv'!$B$1:$BX$1,0),FALSE)/1,0))</f>
        <v/>
      </c>
      <c r="AE227" s="31" t="str">
        <f>IF($D227="","",IFERROR(VLOOKUP($B227,Miljö!$B$1:$E$550,MATCH("Hjälpel kraftvärme (GWh)",Miljö!$B$1:$E$1,0),FALSE)/1,0)-IFERROR(VLOOKUP($B227,'Slutlig allokering kvv'!$B$2:$BX$549,MATCH(AE$2,'Slutlig allokering kvv'!$B$1:$BX$1,0),FALSE)/1,0))</f>
        <v/>
      </c>
      <c r="AI227" s="39">
        <f t="shared" si="12"/>
        <v>0</v>
      </c>
      <c r="AK227" s="31">
        <f>IFERROR(VLOOKUP($B227,'Slutlig allokering kvv'!$B$2:$AX$549,MATCH("Summa slutlig allokerad tillförd energi (utan hjälpel och rökgaskondensering):",'Slutlig allokering kvv'!$B$1:$AX$1,0),FALSE)/1,"")</f>
        <v>0</v>
      </c>
      <c r="AM227" s="31" t="str">
        <f>IFERROR(1-VLOOKUP($B227,'Slutlig allokering kvv'!$B$2:$AX$549,MATCH("Andel av bränsle i kvv som allokerats till värme, exklusive rökgaskondensering och hjälpel",'Slutlig allokering kvv'!$B$1:$AX$1,0),FALSE),"")</f>
        <v/>
      </c>
      <c r="AO227" s="31" t="str">
        <f t="shared" si="13"/>
        <v/>
      </c>
      <c r="AP227" s="31" t="str">
        <f t="shared" si="14"/>
        <v/>
      </c>
      <c r="AR227" s="32" t="str">
        <f t="shared" si="15"/>
        <v/>
      </c>
    </row>
    <row r="228" spans="1:44" s="31" customFormat="1" x14ac:dyDescent="0.45">
      <c r="A228" s="31" t="s">
        <v>342</v>
      </c>
      <c r="B228" s="31" t="s">
        <v>351</v>
      </c>
      <c r="C228" s="31">
        <f>IFERROR(VLOOKUP($B228,Kraftvärmeprod!$B$1:$AH$479,MATCH(C$2,Kraftvärmeprod!$B$1:$AG$1,0),FALSE)/1,"")</f>
        <v>117.6</v>
      </c>
      <c r="D228" s="31">
        <f>IFERROR(VLOOKUP($B228,Kraftvärmeprod!$B$1:$AH$479,MATCH(D$2,Kraftvärmeprod!$B$1:$AG$1,0),FALSE)/1,"")</f>
        <v>43.695</v>
      </c>
      <c r="F228" s="31">
        <f>IF($D228="","",IFERROR(VLOOKUP($B228,Kraftvärmeprod!$B$1:$BX$550,MATCH(F$2,Kraftvärmeprod!$B$1:$VX$1,0),FALSE)/1,0)-IFERROR(VLOOKUP($B228,'Slutlig allokering kvv'!$B$2:$BX$550,MATCH(F$2,'Slutlig allokering kvv'!$B$1:$BX$1,0),FALSE)/1,0))</f>
        <v>0</v>
      </c>
      <c r="G228" s="31">
        <f>IF($D228="","",IFERROR(VLOOKUP($B228,Kraftvärmeprod!$B$1:$BX$550,MATCH(G$2,Kraftvärmeprod!$B$1:$VX$1,0),FALSE)/1,0)-IFERROR(VLOOKUP($B228,'Slutlig allokering kvv'!$B$2:$BX$550,MATCH(G$2,'Slutlig allokering kvv'!$B$1:$BX$1,0),FALSE)/1,0))</f>
        <v>0</v>
      </c>
      <c r="H228" s="31">
        <f>IF($D228="","",IFERROR(VLOOKUP($B228,Kraftvärmeprod!$B$1:$BX$550,MATCH(H$2,Kraftvärmeprod!$B$1:$VX$1,0),FALSE)/1,0)-IFERROR(VLOOKUP($B228,'Slutlig allokering kvv'!$B$2:$BX$550,MATCH(H$2,'Slutlig allokering kvv'!$B$1:$BX$1,0),FALSE)/1,0))</f>
        <v>0</v>
      </c>
      <c r="I228" s="31">
        <f>IF($D228="","",IFERROR(VLOOKUP($B228,Kraftvärmeprod!$B$1:$BX$550,MATCH(I$2,Kraftvärmeprod!$B$1:$VX$1,0),FALSE)/1,0)-IFERROR(VLOOKUP($B228,'Slutlig allokering kvv'!$B$2:$BX$550,MATCH(I$2,'Slutlig allokering kvv'!$B$1:$BX$1,0),FALSE)/1,0))</f>
        <v>0</v>
      </c>
      <c r="J228" s="31">
        <f>IF($D228="","",IFERROR(VLOOKUP($B228,Kraftvärmeprod!$B$1:$BX$550,MATCH(J$2,Kraftvärmeprod!$B$1:$VX$1,0),FALSE)/1,0)-IFERROR(VLOOKUP($B228,'Slutlig allokering kvv'!$B$2:$BX$550,MATCH(J$2,'Slutlig allokering kvv'!$B$1:$BX$1,0),FALSE)/1,0))</f>
        <v>0</v>
      </c>
      <c r="K228" s="31">
        <f>IF($D228="","",IFERROR(VLOOKUP($B228,Kraftvärmeprod!$B$1:$BX$550,MATCH(K$2,Kraftvärmeprod!$B$1:$VX$1,0),FALSE)/1,0)-IFERROR(VLOOKUP($B228,'Slutlig allokering kvv'!$B$2:$BX$550,MATCH(K$2,'Slutlig allokering kvv'!$B$1:$BX$1,0),FALSE)/1,0))</f>
        <v>0</v>
      </c>
      <c r="L228" s="31">
        <f>IF($D228="","",IFERROR(VLOOKUP($B228,Kraftvärmeprod!$B$1:$BX$550,MATCH(L$2,Kraftvärmeprod!$B$1:$VX$1,0),FALSE)/1,0)-IFERROR(VLOOKUP($B228,'Slutlig allokering kvv'!$B$2:$BX$550,MATCH(L$2,'Slutlig allokering kvv'!$B$1:$BX$1,0),FALSE)/1,0))</f>
        <v>8.22879</v>
      </c>
      <c r="M228" s="31">
        <f>IF($D228="","",IFERROR(VLOOKUP($B228,Kraftvärmeprod!$B$1:$BX$550,MATCH(M$2,Kraftvärmeprod!$B$1:$VX$1,0),FALSE)/1,0)-IFERROR(VLOOKUP($B228,'Slutlig allokering kvv'!$B$2:$BX$550,MATCH(M$2,'Slutlig allokering kvv'!$B$1:$BX$1,0),FALSE)/1,0))</f>
        <v>27.590800000000002</v>
      </c>
      <c r="N228" s="31">
        <f>IF($D228="","",IFERROR(VLOOKUP($B228,Kraftvärmeprod!$B$1:$BX$550,MATCH(N$2,Kraftvärmeprod!$B$1:$VX$1,0),FALSE)/1,0)-IFERROR(VLOOKUP($B228,'Slutlig allokering kvv'!$B$2:$BX$550,MATCH(N$2,'Slutlig allokering kvv'!$B$1:$BX$1,0),FALSE)/1,0))</f>
        <v>5.7410199999999998</v>
      </c>
      <c r="O228" s="31">
        <f>IF($D228="","",IFERROR(VLOOKUP($B228,Kraftvärmeprod!$B$1:$BX$550,MATCH(O$2,Kraftvärmeprod!$B$1:$VX$1,0),FALSE)/1,0)-IFERROR(VLOOKUP($B228,'Slutlig allokering kvv'!$B$2:$BX$550,MATCH(O$2,'Slutlig allokering kvv'!$B$1:$BX$1,0),FALSE)/1,0))</f>
        <v>24.010400000000001</v>
      </c>
      <c r="P228" s="31">
        <f>IF($D228="","",IFERROR(VLOOKUP($B228,Kraftvärmeprod!$B$1:$BX$550,MATCH(P$2,Kraftvärmeprod!$B$1:$VX$1,0),FALSE)/1,0)-IFERROR(VLOOKUP($B228,'Slutlig allokering kvv'!$B$2:$BX$550,MATCH(P$2,'Slutlig allokering kvv'!$B$1:$BX$1,0),FALSE)/1,0))</f>
        <v>0</v>
      </c>
      <c r="Q228" s="31">
        <f>IF($D228="","",IFERROR(VLOOKUP($B228,Kraftvärmeprod!$B$1:$BX$550,MATCH(Q$2,Kraftvärmeprod!$B$1:$VX$1,0),FALSE)/1,0)-IFERROR(VLOOKUP($B228,'Slutlig allokering kvv'!$B$2:$BX$550,MATCH(Q$2,'Slutlig allokering kvv'!$B$1:$BX$1,0),FALSE)/1,0))</f>
        <v>14.8538</v>
      </c>
      <c r="R228" s="31">
        <f>IF($D228="","",IFERROR(VLOOKUP($B228,Kraftvärmeprod!$B$1:$BX$550,MATCH(R$2,Kraftvärmeprod!$B$1:$VX$1,0),FALSE)/1,0)-IFERROR(VLOOKUP($B228,'Slutlig allokering kvv'!$B$2:$BX$550,MATCH(R$2,'Slutlig allokering kvv'!$B$1:$BX$1,0),FALSE)/1,0))</f>
        <v>0</v>
      </c>
      <c r="S228" s="31">
        <f>IF($D228="","",IFERROR(VLOOKUP($B228,Kraftvärmeprod!$B$1:$BX$550,MATCH(S$2,Kraftvärmeprod!$B$1:$VX$1,0),FALSE)/1,0)-IFERROR(VLOOKUP($B228,'Slutlig allokering kvv'!$B$2:$BX$550,MATCH(S$2,'Slutlig allokering kvv'!$B$1:$BX$1,0),FALSE)/1,0))</f>
        <v>0</v>
      </c>
      <c r="T228" s="31">
        <f>IF($D228="","",IFERROR(VLOOKUP($B228,Kraftvärmeprod!$B$1:$BX$550,MATCH(T$2,Kraftvärmeprod!$B$1:$VX$1,0),FALSE)/1,0)-IFERROR(VLOOKUP($B228,'Slutlig allokering kvv'!$B$2:$BX$550,MATCH(T$2,'Slutlig allokering kvv'!$B$1:$BX$1,0),FALSE)/1,0))</f>
        <v>0</v>
      </c>
      <c r="U228" s="31">
        <f>IF($D228="","",IFERROR(VLOOKUP($B228,Kraftvärmeprod!$B$1:$BX$550,MATCH(U$2,Kraftvärmeprod!$B$1:$VX$1,0),FALSE)/1,0)-IFERROR(VLOOKUP($B228,'Slutlig allokering kvv'!$B$2:$BX$550,MATCH(U$2,'Slutlig allokering kvv'!$B$1:$BX$1,0),FALSE)/1,0))</f>
        <v>0</v>
      </c>
      <c r="V228" s="31">
        <f>IF($D228="","",IFERROR(VLOOKUP($B228,Kraftvärmeprod!$B$1:$BX$550,MATCH(V$2,Kraftvärmeprod!$B$1:$VX$1,0),FALSE)/1,0)-IFERROR(VLOOKUP($B228,'Slutlig allokering kvv'!$B$2:$BX$550,MATCH(V$2,'Slutlig allokering kvv'!$B$1:$BX$1,0),FALSE)/1,0))</f>
        <v>0</v>
      </c>
      <c r="W228" s="31">
        <f>IF($D228="","",IFERROR(VLOOKUP($B228,Kraftvärmeprod!$B$1:$BX$550,MATCH(W$2,Kraftvärmeprod!$B$1:$VX$1,0),FALSE)/1,0)-IFERROR(VLOOKUP($B228,'Slutlig allokering kvv'!$B$2:$BX$550,MATCH(W$2,'Slutlig allokering kvv'!$B$1:$BX$1,0),FALSE)/1,0))</f>
        <v>0</v>
      </c>
      <c r="X228" s="31">
        <f>IF($D228="","",IFERROR(VLOOKUP($B228,Kraftvärmeprod!$B$1:$BX$550,MATCH(X$2,Kraftvärmeprod!$B$1:$VX$1,0),FALSE)/1,0)-IFERROR(VLOOKUP($B228,'Slutlig allokering kvv'!$B$2:$BX$550,MATCH(X$2,'Slutlig allokering kvv'!$B$1:$BX$1,0),FALSE)/1,0))</f>
        <v>0</v>
      </c>
      <c r="Y228" s="31">
        <f>IF($D228="","",IFERROR(VLOOKUP($B228,Kraftvärmeprod!$B$1:$BX$550,MATCH(Y$2,Kraftvärmeprod!$B$1:$VX$1,0),FALSE)/1,0)-IFERROR(VLOOKUP($B228,'Slutlig allokering kvv'!$B$2:$BX$550,MATCH(Y$2,'Slutlig allokering kvv'!$B$1:$BX$1,0),FALSE)/1,0))</f>
        <v>0</v>
      </c>
      <c r="Z228" s="31">
        <f>IF($D228="","",IFERROR(VLOOKUP($B228,Kraftvärmeprod!$B$1:$BX$550,MATCH(Z$2,Kraftvärmeprod!$B$1:$VX$1,0),FALSE)/1,0)-IFERROR(VLOOKUP($B228,'Slutlig allokering kvv'!$B$2:$BX$550,MATCH(Z$2,'Slutlig allokering kvv'!$B$1:$BX$1,0),FALSE)/1,0))</f>
        <v>16.156599999999997</v>
      </c>
      <c r="AA228" s="31">
        <f>IF($D228="","",IFERROR(VLOOKUP($B228,Kraftvärmeprod!$B$1:$BX$550,MATCH(AA$2,Kraftvärmeprod!$B$1:$VX$1,0),FALSE)/1,0)-IFERROR(VLOOKUP($B228,'Slutlig allokering kvv'!$B$2:$BX$550,MATCH(AA$2,'Slutlig allokering kvv'!$B$1:$BX$1,0),FALSE)/1,0))</f>
        <v>0</v>
      </c>
      <c r="AB228" s="31">
        <f>IF($D228="","",IFERROR(VLOOKUP($B228,Kraftvärmeprod!$B$1:$BX$550,MATCH(AB$2,Kraftvärmeprod!$B$1:$VX$1,0),FALSE)/1,0)-IFERROR(VLOOKUP($B228,'Slutlig allokering kvv'!$B$2:$BX$550,MATCH(AB$2,'Slutlig allokering kvv'!$B$1:$BX$1,0),FALSE)/1,0))</f>
        <v>0</v>
      </c>
      <c r="AC228" s="31">
        <f>IF($D228="","",IFERROR(VLOOKUP($B228,Kraftvärmeprod!$B$1:$BX$550,MATCH(AC$2,Kraftvärmeprod!$B$1:$VX$1,0),FALSE)/1,0)-IFERROR(VLOOKUP($B228,'Slutlig allokering kvv'!$B$2:$BX$550,MATCH(AC$2,'Slutlig allokering kvv'!$B$1:$BX$1,0),FALSE)/1,0))</f>
        <v>0</v>
      </c>
      <c r="AD228" s="31">
        <f>IF($D228="","",IFERROR(VLOOKUP($B228,Kraftvärmeprod!$B$1:$BX$550,MATCH(AD$2,Kraftvärmeprod!$B$1:$VX$1,0),FALSE)/1,0)-IFERROR(VLOOKUP($B228,'Slutlig allokering kvv'!$B$2:$BX$550,MATCH(AD$2,'Slutlig allokering kvv'!$B$1:$BX$1,0),FALSE)/1,0))</f>
        <v>0</v>
      </c>
      <c r="AE228" s="31">
        <f>IF($D228="","",IFERROR(VLOOKUP($B228,Miljö!$B$1:$E$550,MATCH("Hjälpel kraftvärme (GWh)",Miljö!$B$1:$E$1,0),FALSE)/1,0)-IFERROR(VLOOKUP($B228,'Slutlig allokering kvv'!$B$2:$BX$549,MATCH(AE$2,'Slutlig allokering kvv'!$B$1:$BX$1,0),FALSE)/1,0))</f>
        <v>3.0714699999999997</v>
      </c>
      <c r="AI228" s="39">
        <f t="shared" si="12"/>
        <v>96.581410000000005</v>
      </c>
      <c r="AK228" s="31">
        <f>IFERROR(VLOOKUP($B228,'Slutlig allokering kvv'!$B$2:$AX$549,MATCH("Summa slutlig allokerad tillförd energi (utan hjälpel och rökgaskondensering):",'Slutlig allokering kvv'!$B$1:$AX$1,0),FALSE)/1,"")</f>
        <v>102.77759</v>
      </c>
      <c r="AM228" s="31">
        <f>IFERROR(1-VLOOKUP($B228,'Slutlig allokering kvv'!$B$2:$AX$549,MATCH("Andel av bränsle i kvv som allokerats till värme, exklusive rökgaskondensering och hjälpel",'Slutlig allokering kvv'!$B$1:$AX$1,0),FALSE),"")</f>
        <v>0.48445974347784648</v>
      </c>
      <c r="AO228" s="31">
        <f t="shared" si="13"/>
        <v>0.48445974347784648</v>
      </c>
      <c r="AP228" s="31">
        <f t="shared" si="14"/>
        <v>0</v>
      </c>
      <c r="AR228" s="32">
        <f t="shared" si="15"/>
        <v>0.43847202409002123</v>
      </c>
    </row>
    <row r="229" spans="1:44" s="31" customFormat="1" x14ac:dyDescent="0.45">
      <c r="A229" s="31" t="s">
        <v>342</v>
      </c>
      <c r="B229" s="31" t="s">
        <v>350</v>
      </c>
      <c r="C229" s="31" t="str">
        <f>IFERROR(VLOOKUP($B229,Kraftvärmeprod!$B$1:$AH$479,MATCH(C$2,Kraftvärmeprod!$B$1:$AG$1,0),FALSE)/1,"")</f>
        <v/>
      </c>
      <c r="D229" s="31" t="str">
        <f>IFERROR(VLOOKUP($B229,Kraftvärmeprod!$B$1:$AH$479,MATCH(D$2,Kraftvärmeprod!$B$1:$AG$1,0),FALSE)/1,"")</f>
        <v/>
      </c>
      <c r="F229" s="31" t="str">
        <f>IF($D229="","",IFERROR(VLOOKUP($B229,Kraftvärmeprod!$B$1:$BX$550,MATCH(F$2,Kraftvärmeprod!$B$1:$VX$1,0),FALSE)/1,0)-IFERROR(VLOOKUP($B229,'Slutlig allokering kvv'!$B$2:$BX$550,MATCH(F$2,'Slutlig allokering kvv'!$B$1:$BX$1,0),FALSE)/1,0))</f>
        <v/>
      </c>
      <c r="G229" s="31" t="str">
        <f>IF($D229="","",IFERROR(VLOOKUP($B229,Kraftvärmeprod!$B$1:$BX$550,MATCH(G$2,Kraftvärmeprod!$B$1:$VX$1,0),FALSE)/1,0)-IFERROR(VLOOKUP($B229,'Slutlig allokering kvv'!$B$2:$BX$550,MATCH(G$2,'Slutlig allokering kvv'!$B$1:$BX$1,0),FALSE)/1,0))</f>
        <v/>
      </c>
      <c r="H229" s="31" t="str">
        <f>IF($D229="","",IFERROR(VLOOKUP($B229,Kraftvärmeprod!$B$1:$BX$550,MATCH(H$2,Kraftvärmeprod!$B$1:$VX$1,0),FALSE)/1,0)-IFERROR(VLOOKUP($B229,'Slutlig allokering kvv'!$B$2:$BX$550,MATCH(H$2,'Slutlig allokering kvv'!$B$1:$BX$1,0),FALSE)/1,0))</f>
        <v/>
      </c>
      <c r="I229" s="31" t="str">
        <f>IF($D229="","",IFERROR(VLOOKUP($B229,Kraftvärmeprod!$B$1:$BX$550,MATCH(I$2,Kraftvärmeprod!$B$1:$VX$1,0),FALSE)/1,0)-IFERROR(VLOOKUP($B229,'Slutlig allokering kvv'!$B$2:$BX$550,MATCH(I$2,'Slutlig allokering kvv'!$B$1:$BX$1,0),FALSE)/1,0))</f>
        <v/>
      </c>
      <c r="J229" s="31" t="str">
        <f>IF($D229="","",IFERROR(VLOOKUP($B229,Kraftvärmeprod!$B$1:$BX$550,MATCH(J$2,Kraftvärmeprod!$B$1:$VX$1,0),FALSE)/1,0)-IFERROR(VLOOKUP($B229,'Slutlig allokering kvv'!$B$2:$BX$550,MATCH(J$2,'Slutlig allokering kvv'!$B$1:$BX$1,0),FALSE)/1,0))</f>
        <v/>
      </c>
      <c r="K229" s="31" t="str">
        <f>IF($D229="","",IFERROR(VLOOKUP($B229,Kraftvärmeprod!$B$1:$BX$550,MATCH(K$2,Kraftvärmeprod!$B$1:$VX$1,0),FALSE)/1,0)-IFERROR(VLOOKUP($B229,'Slutlig allokering kvv'!$B$2:$BX$550,MATCH(K$2,'Slutlig allokering kvv'!$B$1:$BX$1,0),FALSE)/1,0))</f>
        <v/>
      </c>
      <c r="L229" s="31" t="str">
        <f>IF($D229="","",IFERROR(VLOOKUP($B229,Kraftvärmeprod!$B$1:$BX$550,MATCH(L$2,Kraftvärmeprod!$B$1:$VX$1,0),FALSE)/1,0)-IFERROR(VLOOKUP($B229,'Slutlig allokering kvv'!$B$2:$BX$550,MATCH(L$2,'Slutlig allokering kvv'!$B$1:$BX$1,0),FALSE)/1,0))</f>
        <v/>
      </c>
      <c r="M229" s="31" t="str">
        <f>IF($D229="","",IFERROR(VLOOKUP($B229,Kraftvärmeprod!$B$1:$BX$550,MATCH(M$2,Kraftvärmeprod!$B$1:$VX$1,0),FALSE)/1,0)-IFERROR(VLOOKUP($B229,'Slutlig allokering kvv'!$B$2:$BX$550,MATCH(M$2,'Slutlig allokering kvv'!$B$1:$BX$1,0),FALSE)/1,0))</f>
        <v/>
      </c>
      <c r="N229" s="31" t="str">
        <f>IF($D229="","",IFERROR(VLOOKUP($B229,Kraftvärmeprod!$B$1:$BX$550,MATCH(N$2,Kraftvärmeprod!$B$1:$VX$1,0),FALSE)/1,0)-IFERROR(VLOOKUP($B229,'Slutlig allokering kvv'!$B$2:$BX$550,MATCH(N$2,'Slutlig allokering kvv'!$B$1:$BX$1,0),FALSE)/1,0))</f>
        <v/>
      </c>
      <c r="O229" s="31" t="str">
        <f>IF($D229="","",IFERROR(VLOOKUP($B229,Kraftvärmeprod!$B$1:$BX$550,MATCH(O$2,Kraftvärmeprod!$B$1:$VX$1,0),FALSE)/1,0)-IFERROR(VLOOKUP($B229,'Slutlig allokering kvv'!$B$2:$BX$550,MATCH(O$2,'Slutlig allokering kvv'!$B$1:$BX$1,0),FALSE)/1,0))</f>
        <v/>
      </c>
      <c r="P229" s="31" t="str">
        <f>IF($D229="","",IFERROR(VLOOKUP($B229,Kraftvärmeprod!$B$1:$BX$550,MATCH(P$2,Kraftvärmeprod!$B$1:$VX$1,0),FALSE)/1,0)-IFERROR(VLOOKUP($B229,'Slutlig allokering kvv'!$B$2:$BX$550,MATCH(P$2,'Slutlig allokering kvv'!$B$1:$BX$1,0),FALSE)/1,0))</f>
        <v/>
      </c>
      <c r="Q229" s="31" t="str">
        <f>IF($D229="","",IFERROR(VLOOKUP($B229,Kraftvärmeprod!$B$1:$BX$550,MATCH(Q$2,Kraftvärmeprod!$B$1:$VX$1,0),FALSE)/1,0)-IFERROR(VLOOKUP($B229,'Slutlig allokering kvv'!$B$2:$BX$550,MATCH(Q$2,'Slutlig allokering kvv'!$B$1:$BX$1,0),FALSE)/1,0))</f>
        <v/>
      </c>
      <c r="R229" s="31" t="str">
        <f>IF($D229="","",IFERROR(VLOOKUP($B229,Kraftvärmeprod!$B$1:$BX$550,MATCH(R$2,Kraftvärmeprod!$B$1:$VX$1,0),FALSE)/1,0)-IFERROR(VLOOKUP($B229,'Slutlig allokering kvv'!$B$2:$BX$550,MATCH(R$2,'Slutlig allokering kvv'!$B$1:$BX$1,0),FALSE)/1,0))</f>
        <v/>
      </c>
      <c r="S229" s="31" t="str">
        <f>IF($D229="","",IFERROR(VLOOKUP($B229,Kraftvärmeprod!$B$1:$BX$550,MATCH(S$2,Kraftvärmeprod!$B$1:$VX$1,0),FALSE)/1,0)-IFERROR(VLOOKUP($B229,'Slutlig allokering kvv'!$B$2:$BX$550,MATCH(S$2,'Slutlig allokering kvv'!$B$1:$BX$1,0),FALSE)/1,0))</f>
        <v/>
      </c>
      <c r="T229" s="31" t="str">
        <f>IF($D229="","",IFERROR(VLOOKUP($B229,Kraftvärmeprod!$B$1:$BX$550,MATCH(T$2,Kraftvärmeprod!$B$1:$VX$1,0),FALSE)/1,0)-IFERROR(VLOOKUP($B229,'Slutlig allokering kvv'!$B$2:$BX$550,MATCH(T$2,'Slutlig allokering kvv'!$B$1:$BX$1,0),FALSE)/1,0))</f>
        <v/>
      </c>
      <c r="U229" s="31" t="str">
        <f>IF($D229="","",IFERROR(VLOOKUP($B229,Kraftvärmeprod!$B$1:$BX$550,MATCH(U$2,Kraftvärmeprod!$B$1:$VX$1,0),FALSE)/1,0)-IFERROR(VLOOKUP($B229,'Slutlig allokering kvv'!$B$2:$BX$550,MATCH(U$2,'Slutlig allokering kvv'!$B$1:$BX$1,0),FALSE)/1,0))</f>
        <v/>
      </c>
      <c r="V229" s="31" t="str">
        <f>IF($D229="","",IFERROR(VLOOKUP($B229,Kraftvärmeprod!$B$1:$BX$550,MATCH(V$2,Kraftvärmeprod!$B$1:$VX$1,0),FALSE)/1,0)-IFERROR(VLOOKUP($B229,'Slutlig allokering kvv'!$B$2:$BX$550,MATCH(V$2,'Slutlig allokering kvv'!$B$1:$BX$1,0),FALSE)/1,0))</f>
        <v/>
      </c>
      <c r="W229" s="31" t="str">
        <f>IF($D229="","",IFERROR(VLOOKUP($B229,Kraftvärmeprod!$B$1:$BX$550,MATCH(W$2,Kraftvärmeprod!$B$1:$VX$1,0),FALSE)/1,0)-IFERROR(VLOOKUP($B229,'Slutlig allokering kvv'!$B$2:$BX$550,MATCH(W$2,'Slutlig allokering kvv'!$B$1:$BX$1,0),FALSE)/1,0))</f>
        <v/>
      </c>
      <c r="X229" s="31" t="str">
        <f>IF($D229="","",IFERROR(VLOOKUP($B229,Kraftvärmeprod!$B$1:$BX$550,MATCH(X$2,Kraftvärmeprod!$B$1:$VX$1,0),FALSE)/1,0)-IFERROR(VLOOKUP($B229,'Slutlig allokering kvv'!$B$2:$BX$550,MATCH(X$2,'Slutlig allokering kvv'!$B$1:$BX$1,0),FALSE)/1,0))</f>
        <v/>
      </c>
      <c r="Y229" s="31" t="str">
        <f>IF($D229="","",IFERROR(VLOOKUP($B229,Kraftvärmeprod!$B$1:$BX$550,MATCH(Y$2,Kraftvärmeprod!$B$1:$VX$1,0),FALSE)/1,0)-IFERROR(VLOOKUP($B229,'Slutlig allokering kvv'!$B$2:$BX$550,MATCH(Y$2,'Slutlig allokering kvv'!$B$1:$BX$1,0),FALSE)/1,0))</f>
        <v/>
      </c>
      <c r="Z229" s="31" t="str">
        <f>IF($D229="","",IFERROR(VLOOKUP($B229,Kraftvärmeprod!$B$1:$BX$550,MATCH(Z$2,Kraftvärmeprod!$B$1:$VX$1,0),FALSE)/1,0)-IFERROR(VLOOKUP($B229,'Slutlig allokering kvv'!$B$2:$BX$550,MATCH(Z$2,'Slutlig allokering kvv'!$B$1:$BX$1,0),FALSE)/1,0))</f>
        <v/>
      </c>
      <c r="AA229" s="31" t="str">
        <f>IF($D229="","",IFERROR(VLOOKUP($B229,Kraftvärmeprod!$B$1:$BX$550,MATCH(AA$2,Kraftvärmeprod!$B$1:$VX$1,0),FALSE)/1,0)-IFERROR(VLOOKUP($B229,'Slutlig allokering kvv'!$B$2:$BX$550,MATCH(AA$2,'Slutlig allokering kvv'!$B$1:$BX$1,0),FALSE)/1,0))</f>
        <v/>
      </c>
      <c r="AB229" s="31" t="str">
        <f>IF($D229="","",IFERROR(VLOOKUP($B229,Kraftvärmeprod!$B$1:$BX$550,MATCH(AB$2,Kraftvärmeprod!$B$1:$VX$1,0),FALSE)/1,0)-IFERROR(VLOOKUP($B229,'Slutlig allokering kvv'!$B$2:$BX$550,MATCH(AB$2,'Slutlig allokering kvv'!$B$1:$BX$1,0),FALSE)/1,0))</f>
        <v/>
      </c>
      <c r="AC229" s="31" t="str">
        <f>IF($D229="","",IFERROR(VLOOKUP($B229,Kraftvärmeprod!$B$1:$BX$550,MATCH(AC$2,Kraftvärmeprod!$B$1:$VX$1,0),FALSE)/1,0)-IFERROR(VLOOKUP($B229,'Slutlig allokering kvv'!$B$2:$BX$550,MATCH(AC$2,'Slutlig allokering kvv'!$B$1:$BX$1,0),FALSE)/1,0))</f>
        <v/>
      </c>
      <c r="AD229" s="31" t="str">
        <f>IF($D229="","",IFERROR(VLOOKUP($B229,Kraftvärmeprod!$B$1:$BX$550,MATCH(AD$2,Kraftvärmeprod!$B$1:$VX$1,0),FALSE)/1,0)-IFERROR(VLOOKUP($B229,'Slutlig allokering kvv'!$B$2:$BX$550,MATCH(AD$2,'Slutlig allokering kvv'!$B$1:$BX$1,0),FALSE)/1,0))</f>
        <v/>
      </c>
      <c r="AE229" s="31" t="str">
        <f>IF($D229="","",IFERROR(VLOOKUP($B229,Miljö!$B$1:$E$550,MATCH("Hjälpel kraftvärme (GWh)",Miljö!$B$1:$E$1,0),FALSE)/1,0)-IFERROR(VLOOKUP($B229,'Slutlig allokering kvv'!$B$2:$BX$549,MATCH(AE$2,'Slutlig allokering kvv'!$B$1:$BX$1,0),FALSE)/1,0))</f>
        <v/>
      </c>
      <c r="AI229" s="39">
        <f t="shared" si="12"/>
        <v>0</v>
      </c>
      <c r="AK229" s="31">
        <f>IFERROR(VLOOKUP($B229,'Slutlig allokering kvv'!$B$2:$AX$549,MATCH("Summa slutlig allokerad tillförd energi (utan hjälpel och rökgaskondensering):",'Slutlig allokering kvv'!$B$1:$AX$1,0),FALSE)/1,"")</f>
        <v>0</v>
      </c>
      <c r="AM229" s="31" t="str">
        <f>IFERROR(1-VLOOKUP($B229,'Slutlig allokering kvv'!$B$2:$AX$549,MATCH("Andel av bränsle i kvv som allokerats till värme, exklusive rökgaskondensering och hjälpel",'Slutlig allokering kvv'!$B$1:$AX$1,0),FALSE),"")</f>
        <v/>
      </c>
      <c r="AO229" s="31" t="str">
        <f t="shared" si="13"/>
        <v/>
      </c>
      <c r="AP229" s="31" t="str">
        <f t="shared" si="14"/>
        <v/>
      </c>
      <c r="AR229" s="32" t="str">
        <f t="shared" si="15"/>
        <v/>
      </c>
    </row>
    <row r="230" spans="1:44" s="31" customFormat="1" x14ac:dyDescent="0.45">
      <c r="A230" s="31" t="s">
        <v>342</v>
      </c>
      <c r="B230" s="31" t="s">
        <v>349</v>
      </c>
      <c r="C230" s="31">
        <f>IFERROR(VLOOKUP($B230,Kraftvärmeprod!$B$1:$AH$479,MATCH(C$2,Kraftvärmeprod!$B$1:$AG$1,0),FALSE)/1,"")</f>
        <v>82.441999999999993</v>
      </c>
      <c r="D230" s="31">
        <f>IFERROR(VLOOKUP($B230,Kraftvärmeprod!$B$1:$AH$479,MATCH(D$2,Kraftvärmeprod!$B$1:$AG$1,0),FALSE)/1,"")</f>
        <v>18.358000000000001</v>
      </c>
      <c r="F230" s="31">
        <f>IF($D230="","",IFERROR(VLOOKUP($B230,Kraftvärmeprod!$B$1:$BX$550,MATCH(F$2,Kraftvärmeprod!$B$1:$VX$1,0),FALSE)/1,0)-IFERROR(VLOOKUP($B230,'Slutlig allokering kvv'!$B$2:$BX$550,MATCH(F$2,'Slutlig allokering kvv'!$B$1:$BX$1,0),FALSE)/1,0))</f>
        <v>0</v>
      </c>
      <c r="G230" s="31">
        <f>IF($D230="","",IFERROR(VLOOKUP($B230,Kraftvärmeprod!$B$1:$BX$550,MATCH(G$2,Kraftvärmeprod!$B$1:$VX$1,0),FALSE)/1,0)-IFERROR(VLOOKUP($B230,'Slutlig allokering kvv'!$B$2:$BX$550,MATCH(G$2,'Slutlig allokering kvv'!$B$1:$BX$1,0),FALSE)/1,0))</f>
        <v>2.6396100000000006E-2</v>
      </c>
      <c r="H230" s="31">
        <f>IF($D230="","",IFERROR(VLOOKUP($B230,Kraftvärmeprod!$B$1:$BX$550,MATCH(H$2,Kraftvärmeprod!$B$1:$VX$1,0),FALSE)/1,0)-IFERROR(VLOOKUP($B230,'Slutlig allokering kvv'!$B$2:$BX$550,MATCH(H$2,'Slutlig allokering kvv'!$B$1:$BX$1,0),FALSE)/1,0))</f>
        <v>0</v>
      </c>
      <c r="I230" s="31">
        <f>IF($D230="","",IFERROR(VLOOKUP($B230,Kraftvärmeprod!$B$1:$BX$550,MATCH(I$2,Kraftvärmeprod!$B$1:$VX$1,0),FALSE)/1,0)-IFERROR(VLOOKUP($B230,'Slutlig allokering kvv'!$B$2:$BX$550,MATCH(I$2,'Slutlig allokering kvv'!$B$1:$BX$1,0),FALSE)/1,0))</f>
        <v>0</v>
      </c>
      <c r="J230" s="31">
        <f>IF($D230="","",IFERROR(VLOOKUP($B230,Kraftvärmeprod!$B$1:$BX$550,MATCH(J$2,Kraftvärmeprod!$B$1:$VX$1,0),FALSE)/1,0)-IFERROR(VLOOKUP($B230,'Slutlig allokering kvv'!$B$2:$BX$550,MATCH(J$2,'Slutlig allokering kvv'!$B$1:$BX$1,0),FALSE)/1,0))</f>
        <v>0</v>
      </c>
      <c r="K230" s="31">
        <f>IF($D230="","",IFERROR(VLOOKUP($B230,Kraftvärmeprod!$B$1:$BX$550,MATCH(K$2,Kraftvärmeprod!$B$1:$VX$1,0),FALSE)/1,0)-IFERROR(VLOOKUP($B230,'Slutlig allokering kvv'!$B$2:$BX$550,MATCH(K$2,'Slutlig allokering kvv'!$B$1:$BX$1,0),FALSE)/1,0))</f>
        <v>0</v>
      </c>
      <c r="L230" s="31">
        <f>IF($D230="","",IFERROR(VLOOKUP($B230,Kraftvärmeprod!$B$1:$BX$550,MATCH(L$2,Kraftvärmeprod!$B$1:$VX$1,0),FALSE)/1,0)-IFERROR(VLOOKUP($B230,'Slutlig allokering kvv'!$B$2:$BX$550,MATCH(L$2,'Slutlig allokering kvv'!$B$1:$BX$1,0),FALSE)/1,0))</f>
        <v>0</v>
      </c>
      <c r="M230" s="31">
        <f>IF($D230="","",IFERROR(VLOOKUP($B230,Kraftvärmeprod!$B$1:$BX$550,MATCH(M$2,Kraftvärmeprod!$B$1:$VX$1,0),FALSE)/1,0)-IFERROR(VLOOKUP($B230,'Slutlig allokering kvv'!$B$2:$BX$550,MATCH(M$2,'Slutlig allokering kvv'!$B$1:$BX$1,0),FALSE)/1,0))</f>
        <v>0</v>
      </c>
      <c r="N230" s="31">
        <f>IF($D230="","",IFERROR(VLOOKUP($B230,Kraftvärmeprod!$B$1:$BX$550,MATCH(N$2,Kraftvärmeprod!$B$1:$VX$1,0),FALSE)/1,0)-IFERROR(VLOOKUP($B230,'Slutlig allokering kvv'!$B$2:$BX$550,MATCH(N$2,'Slutlig allokering kvv'!$B$1:$BX$1,0),FALSE)/1,0))</f>
        <v>0</v>
      </c>
      <c r="O230" s="31">
        <f>IF($D230="","",IFERROR(VLOOKUP($B230,Kraftvärmeprod!$B$1:$BX$550,MATCH(O$2,Kraftvärmeprod!$B$1:$VX$1,0),FALSE)/1,0)-IFERROR(VLOOKUP($B230,'Slutlig allokering kvv'!$B$2:$BX$550,MATCH(O$2,'Slutlig allokering kvv'!$B$1:$BX$1,0),FALSE)/1,0))</f>
        <v>39.765500000000003</v>
      </c>
      <c r="P230" s="31">
        <f>IF($D230="","",IFERROR(VLOOKUP($B230,Kraftvärmeprod!$B$1:$BX$550,MATCH(P$2,Kraftvärmeprod!$B$1:$VX$1,0),FALSE)/1,0)-IFERROR(VLOOKUP($B230,'Slutlig allokering kvv'!$B$2:$BX$550,MATCH(P$2,'Slutlig allokering kvv'!$B$1:$BX$1,0),FALSE)/1,0))</f>
        <v>0</v>
      </c>
      <c r="Q230" s="31">
        <f>IF($D230="","",IFERROR(VLOOKUP($B230,Kraftvärmeprod!$B$1:$BX$550,MATCH(Q$2,Kraftvärmeprod!$B$1:$VX$1,0),FALSE)/1,0)-IFERROR(VLOOKUP($B230,'Slutlig allokering kvv'!$B$2:$BX$550,MATCH(Q$2,'Slutlig allokering kvv'!$B$1:$BX$1,0),FALSE)/1,0))</f>
        <v>0</v>
      </c>
      <c r="R230" s="31">
        <f>IF($D230="","",IFERROR(VLOOKUP($B230,Kraftvärmeprod!$B$1:$BX$550,MATCH(R$2,Kraftvärmeprod!$B$1:$VX$1,0),FALSE)/1,0)-IFERROR(VLOOKUP($B230,'Slutlig allokering kvv'!$B$2:$BX$550,MATCH(R$2,'Slutlig allokering kvv'!$B$1:$BX$1,0),FALSE)/1,0))</f>
        <v>0</v>
      </c>
      <c r="S230" s="31">
        <f>IF($D230="","",IFERROR(VLOOKUP($B230,Kraftvärmeprod!$B$1:$BX$550,MATCH(S$2,Kraftvärmeprod!$B$1:$VX$1,0),FALSE)/1,0)-IFERROR(VLOOKUP($B230,'Slutlig allokering kvv'!$B$2:$BX$550,MATCH(S$2,'Slutlig allokering kvv'!$B$1:$BX$1,0),FALSE)/1,0))</f>
        <v>0</v>
      </c>
      <c r="T230" s="31">
        <f>IF($D230="","",IFERROR(VLOOKUP($B230,Kraftvärmeprod!$B$1:$BX$550,MATCH(T$2,Kraftvärmeprod!$B$1:$VX$1,0),FALSE)/1,0)-IFERROR(VLOOKUP($B230,'Slutlig allokering kvv'!$B$2:$BX$550,MATCH(T$2,'Slutlig allokering kvv'!$B$1:$BX$1,0),FALSE)/1,0))</f>
        <v>0</v>
      </c>
      <c r="U230" s="31">
        <f>IF($D230="","",IFERROR(VLOOKUP($B230,Kraftvärmeprod!$B$1:$BX$550,MATCH(U$2,Kraftvärmeprod!$B$1:$VX$1,0),FALSE)/1,0)-IFERROR(VLOOKUP($B230,'Slutlig allokering kvv'!$B$2:$BX$550,MATCH(U$2,'Slutlig allokering kvv'!$B$1:$BX$1,0),FALSE)/1,0))</f>
        <v>0</v>
      </c>
      <c r="V230" s="31">
        <f>IF($D230="","",IFERROR(VLOOKUP($B230,Kraftvärmeprod!$B$1:$BX$550,MATCH(V$2,Kraftvärmeprod!$B$1:$VX$1,0),FALSE)/1,0)-IFERROR(VLOOKUP($B230,'Slutlig allokering kvv'!$B$2:$BX$550,MATCH(V$2,'Slutlig allokering kvv'!$B$1:$BX$1,0),FALSE)/1,0))</f>
        <v>0</v>
      </c>
      <c r="W230" s="31">
        <f>IF($D230="","",IFERROR(VLOOKUP($B230,Kraftvärmeprod!$B$1:$BX$550,MATCH(W$2,Kraftvärmeprod!$B$1:$VX$1,0),FALSE)/1,0)-IFERROR(VLOOKUP($B230,'Slutlig allokering kvv'!$B$2:$BX$550,MATCH(W$2,'Slutlig allokering kvv'!$B$1:$BX$1,0),FALSE)/1,0))</f>
        <v>0</v>
      </c>
      <c r="X230" s="31">
        <f>IF($D230="","",IFERROR(VLOOKUP($B230,Kraftvärmeprod!$B$1:$BX$550,MATCH(X$2,Kraftvärmeprod!$B$1:$VX$1,0),FALSE)/1,0)-IFERROR(VLOOKUP($B230,'Slutlig allokering kvv'!$B$2:$BX$550,MATCH(X$2,'Slutlig allokering kvv'!$B$1:$BX$1,0),FALSE)/1,0))</f>
        <v>0</v>
      </c>
      <c r="Y230" s="31">
        <f>IF($D230="","",IFERROR(VLOOKUP($B230,Kraftvärmeprod!$B$1:$BX$550,MATCH(Y$2,Kraftvärmeprod!$B$1:$VX$1,0),FALSE)/1,0)-IFERROR(VLOOKUP($B230,'Slutlig allokering kvv'!$B$2:$BX$550,MATCH(Y$2,'Slutlig allokering kvv'!$B$1:$BX$1,0),FALSE)/1,0))</f>
        <v>0</v>
      </c>
      <c r="Z230" s="31">
        <f>IF($D230="","",IFERROR(VLOOKUP($B230,Kraftvärmeprod!$B$1:$BX$550,MATCH(Z$2,Kraftvärmeprod!$B$1:$VX$1,0),FALSE)/1,0)-IFERROR(VLOOKUP($B230,'Slutlig allokering kvv'!$B$2:$BX$550,MATCH(Z$2,'Slutlig allokering kvv'!$B$1:$BX$1,0),FALSE)/1,0))</f>
        <v>0</v>
      </c>
      <c r="AA230" s="31">
        <f>IF($D230="","",IFERROR(VLOOKUP($B230,Kraftvärmeprod!$B$1:$BX$550,MATCH(AA$2,Kraftvärmeprod!$B$1:$VX$1,0),FALSE)/1,0)-IFERROR(VLOOKUP($B230,'Slutlig allokering kvv'!$B$2:$BX$550,MATCH(AA$2,'Slutlig allokering kvv'!$B$1:$BX$1,0),FALSE)/1,0))</f>
        <v>0</v>
      </c>
      <c r="AB230" s="31">
        <f>IF($D230="","",IFERROR(VLOOKUP($B230,Kraftvärmeprod!$B$1:$BX$550,MATCH(AB$2,Kraftvärmeprod!$B$1:$VX$1,0),FALSE)/1,0)-IFERROR(VLOOKUP($B230,'Slutlig allokering kvv'!$B$2:$BX$550,MATCH(AB$2,'Slutlig allokering kvv'!$B$1:$BX$1,0),FALSE)/1,0))</f>
        <v>0</v>
      </c>
      <c r="AC230" s="31">
        <f>IF($D230="","",IFERROR(VLOOKUP($B230,Kraftvärmeprod!$B$1:$BX$550,MATCH(AC$2,Kraftvärmeprod!$B$1:$VX$1,0),FALSE)/1,0)-IFERROR(VLOOKUP($B230,'Slutlig allokering kvv'!$B$2:$BX$550,MATCH(AC$2,'Slutlig allokering kvv'!$B$1:$BX$1,0),FALSE)/1,0))</f>
        <v>0</v>
      </c>
      <c r="AD230" s="31">
        <f>IF($D230="","",IFERROR(VLOOKUP($B230,Kraftvärmeprod!$B$1:$BX$550,MATCH(AD$2,Kraftvärmeprod!$B$1:$VX$1,0),FALSE)/1,0)-IFERROR(VLOOKUP($B230,'Slutlig allokering kvv'!$B$2:$BX$550,MATCH(AD$2,'Slutlig allokering kvv'!$B$1:$BX$1,0),FALSE)/1,0))</f>
        <v>0</v>
      </c>
      <c r="AE230" s="31">
        <f>IF($D230="","",IFERROR(VLOOKUP($B230,Miljö!$B$1:$E$550,MATCH("Hjälpel kraftvärme (GWh)",Miljö!$B$1:$E$1,0),FALSE)/1,0)-IFERROR(VLOOKUP($B230,'Slutlig allokering kvv'!$B$2:$BX$549,MATCH(AE$2,'Slutlig allokering kvv'!$B$1:$BX$1,0),FALSE)/1,0))</f>
        <v>1.6082000000000001</v>
      </c>
      <c r="AI230" s="39">
        <f t="shared" si="12"/>
        <v>39.791896100000002</v>
      </c>
      <c r="AK230" s="31">
        <f>IFERROR(VLOOKUP($B230,'Slutlig allokering kvv'!$B$2:$AX$549,MATCH("Summa slutlig allokerad tillförd energi (utan hjälpel och rökgaskondensering):",'Slutlig allokering kvv'!$B$1:$AX$1,0),FALSE)/1,"")</f>
        <v>68.583103899999998</v>
      </c>
      <c r="AM230" s="31">
        <f>IFERROR(1-VLOOKUP($B230,'Slutlig allokering kvv'!$B$2:$AX$549,MATCH("Andel av bränsle i kvv som allokerats till värme, exklusive rökgaskondensering och hjälpel",'Slutlig allokering kvv'!$B$1:$AX$1,0),FALSE),"")</f>
        <v>0.36716859146482128</v>
      </c>
      <c r="AO230" s="31">
        <f t="shared" si="13"/>
        <v>0.36716859146482123</v>
      </c>
      <c r="AP230" s="31">
        <f t="shared" si="14"/>
        <v>5.5511151231257827E-17</v>
      </c>
      <c r="AR230" s="32">
        <f t="shared" si="15"/>
        <v>0.44342892237875747</v>
      </c>
    </row>
    <row r="231" spans="1:44" s="31" customFormat="1" x14ac:dyDescent="0.45">
      <c r="A231" s="31" t="s">
        <v>342</v>
      </c>
      <c r="B231" s="31" t="s">
        <v>348</v>
      </c>
      <c r="C231" s="31" t="str">
        <f>IFERROR(VLOOKUP($B231,Kraftvärmeprod!$B$1:$AH$479,MATCH(C$2,Kraftvärmeprod!$B$1:$AG$1,0),FALSE)/1,"")</f>
        <v/>
      </c>
      <c r="D231" s="31" t="str">
        <f>IFERROR(VLOOKUP($B231,Kraftvärmeprod!$B$1:$AH$479,MATCH(D$2,Kraftvärmeprod!$B$1:$AG$1,0),FALSE)/1,"")</f>
        <v/>
      </c>
      <c r="F231" s="31" t="str">
        <f>IF($D231="","",IFERROR(VLOOKUP($B231,Kraftvärmeprod!$B$1:$BX$550,MATCH(F$2,Kraftvärmeprod!$B$1:$VX$1,0),FALSE)/1,0)-IFERROR(VLOOKUP($B231,'Slutlig allokering kvv'!$B$2:$BX$550,MATCH(F$2,'Slutlig allokering kvv'!$B$1:$BX$1,0),FALSE)/1,0))</f>
        <v/>
      </c>
      <c r="G231" s="31" t="str">
        <f>IF($D231="","",IFERROR(VLOOKUP($B231,Kraftvärmeprod!$B$1:$BX$550,MATCH(G$2,Kraftvärmeprod!$B$1:$VX$1,0),FALSE)/1,0)-IFERROR(VLOOKUP($B231,'Slutlig allokering kvv'!$B$2:$BX$550,MATCH(G$2,'Slutlig allokering kvv'!$B$1:$BX$1,0),FALSE)/1,0))</f>
        <v/>
      </c>
      <c r="H231" s="31" t="str">
        <f>IF($D231="","",IFERROR(VLOOKUP($B231,Kraftvärmeprod!$B$1:$BX$550,MATCH(H$2,Kraftvärmeprod!$B$1:$VX$1,0),FALSE)/1,0)-IFERROR(VLOOKUP($B231,'Slutlig allokering kvv'!$B$2:$BX$550,MATCH(H$2,'Slutlig allokering kvv'!$B$1:$BX$1,0),FALSE)/1,0))</f>
        <v/>
      </c>
      <c r="I231" s="31" t="str">
        <f>IF($D231="","",IFERROR(VLOOKUP($B231,Kraftvärmeprod!$B$1:$BX$550,MATCH(I$2,Kraftvärmeprod!$B$1:$VX$1,0),FALSE)/1,0)-IFERROR(VLOOKUP($B231,'Slutlig allokering kvv'!$B$2:$BX$550,MATCH(I$2,'Slutlig allokering kvv'!$B$1:$BX$1,0),FALSE)/1,0))</f>
        <v/>
      </c>
      <c r="J231" s="31" t="str">
        <f>IF($D231="","",IFERROR(VLOOKUP($B231,Kraftvärmeprod!$B$1:$BX$550,MATCH(J$2,Kraftvärmeprod!$B$1:$VX$1,0),FALSE)/1,0)-IFERROR(VLOOKUP($B231,'Slutlig allokering kvv'!$B$2:$BX$550,MATCH(J$2,'Slutlig allokering kvv'!$B$1:$BX$1,0),FALSE)/1,0))</f>
        <v/>
      </c>
      <c r="K231" s="31" t="str">
        <f>IF($D231="","",IFERROR(VLOOKUP($B231,Kraftvärmeprod!$B$1:$BX$550,MATCH(K$2,Kraftvärmeprod!$B$1:$VX$1,0),FALSE)/1,0)-IFERROR(VLOOKUP($B231,'Slutlig allokering kvv'!$B$2:$BX$550,MATCH(K$2,'Slutlig allokering kvv'!$B$1:$BX$1,0),FALSE)/1,0))</f>
        <v/>
      </c>
      <c r="L231" s="31" t="str">
        <f>IF($D231="","",IFERROR(VLOOKUP($B231,Kraftvärmeprod!$B$1:$BX$550,MATCH(L$2,Kraftvärmeprod!$B$1:$VX$1,0),FALSE)/1,0)-IFERROR(VLOOKUP($B231,'Slutlig allokering kvv'!$B$2:$BX$550,MATCH(L$2,'Slutlig allokering kvv'!$B$1:$BX$1,0),FALSE)/1,0))</f>
        <v/>
      </c>
      <c r="M231" s="31" t="str">
        <f>IF($D231="","",IFERROR(VLOOKUP($B231,Kraftvärmeprod!$B$1:$BX$550,MATCH(M$2,Kraftvärmeprod!$B$1:$VX$1,0),FALSE)/1,0)-IFERROR(VLOOKUP($B231,'Slutlig allokering kvv'!$B$2:$BX$550,MATCH(M$2,'Slutlig allokering kvv'!$B$1:$BX$1,0),FALSE)/1,0))</f>
        <v/>
      </c>
      <c r="N231" s="31" t="str">
        <f>IF($D231="","",IFERROR(VLOOKUP($B231,Kraftvärmeprod!$B$1:$BX$550,MATCH(N$2,Kraftvärmeprod!$B$1:$VX$1,0),FALSE)/1,0)-IFERROR(VLOOKUP($B231,'Slutlig allokering kvv'!$B$2:$BX$550,MATCH(N$2,'Slutlig allokering kvv'!$B$1:$BX$1,0),FALSE)/1,0))</f>
        <v/>
      </c>
      <c r="O231" s="31" t="str">
        <f>IF($D231="","",IFERROR(VLOOKUP($B231,Kraftvärmeprod!$B$1:$BX$550,MATCH(O$2,Kraftvärmeprod!$B$1:$VX$1,0),FALSE)/1,0)-IFERROR(VLOOKUP($B231,'Slutlig allokering kvv'!$B$2:$BX$550,MATCH(O$2,'Slutlig allokering kvv'!$B$1:$BX$1,0),FALSE)/1,0))</f>
        <v/>
      </c>
      <c r="P231" s="31" t="str">
        <f>IF($D231="","",IFERROR(VLOOKUP($B231,Kraftvärmeprod!$B$1:$BX$550,MATCH(P$2,Kraftvärmeprod!$B$1:$VX$1,0),FALSE)/1,0)-IFERROR(VLOOKUP($B231,'Slutlig allokering kvv'!$B$2:$BX$550,MATCH(P$2,'Slutlig allokering kvv'!$B$1:$BX$1,0),FALSE)/1,0))</f>
        <v/>
      </c>
      <c r="Q231" s="31" t="str">
        <f>IF($D231="","",IFERROR(VLOOKUP($B231,Kraftvärmeprod!$B$1:$BX$550,MATCH(Q$2,Kraftvärmeprod!$B$1:$VX$1,0),FALSE)/1,0)-IFERROR(VLOOKUP($B231,'Slutlig allokering kvv'!$B$2:$BX$550,MATCH(Q$2,'Slutlig allokering kvv'!$B$1:$BX$1,0),FALSE)/1,0))</f>
        <v/>
      </c>
      <c r="R231" s="31" t="str">
        <f>IF($D231="","",IFERROR(VLOOKUP($B231,Kraftvärmeprod!$B$1:$BX$550,MATCH(R$2,Kraftvärmeprod!$B$1:$VX$1,0),FALSE)/1,0)-IFERROR(VLOOKUP($B231,'Slutlig allokering kvv'!$B$2:$BX$550,MATCH(R$2,'Slutlig allokering kvv'!$B$1:$BX$1,0),FALSE)/1,0))</f>
        <v/>
      </c>
      <c r="S231" s="31" t="str">
        <f>IF($D231="","",IFERROR(VLOOKUP($B231,Kraftvärmeprod!$B$1:$BX$550,MATCH(S$2,Kraftvärmeprod!$B$1:$VX$1,0),FALSE)/1,0)-IFERROR(VLOOKUP($B231,'Slutlig allokering kvv'!$B$2:$BX$550,MATCH(S$2,'Slutlig allokering kvv'!$B$1:$BX$1,0),FALSE)/1,0))</f>
        <v/>
      </c>
      <c r="T231" s="31" t="str">
        <f>IF($D231="","",IFERROR(VLOOKUP($B231,Kraftvärmeprod!$B$1:$BX$550,MATCH(T$2,Kraftvärmeprod!$B$1:$VX$1,0),FALSE)/1,0)-IFERROR(VLOOKUP($B231,'Slutlig allokering kvv'!$B$2:$BX$550,MATCH(T$2,'Slutlig allokering kvv'!$B$1:$BX$1,0),FALSE)/1,0))</f>
        <v/>
      </c>
      <c r="U231" s="31" t="str">
        <f>IF($D231="","",IFERROR(VLOOKUP($B231,Kraftvärmeprod!$B$1:$BX$550,MATCH(U$2,Kraftvärmeprod!$B$1:$VX$1,0),FALSE)/1,0)-IFERROR(VLOOKUP($B231,'Slutlig allokering kvv'!$B$2:$BX$550,MATCH(U$2,'Slutlig allokering kvv'!$B$1:$BX$1,0),FALSE)/1,0))</f>
        <v/>
      </c>
      <c r="V231" s="31" t="str">
        <f>IF($D231="","",IFERROR(VLOOKUP($B231,Kraftvärmeprod!$B$1:$BX$550,MATCH(V$2,Kraftvärmeprod!$B$1:$VX$1,0),FALSE)/1,0)-IFERROR(VLOOKUP($B231,'Slutlig allokering kvv'!$B$2:$BX$550,MATCH(V$2,'Slutlig allokering kvv'!$B$1:$BX$1,0),FALSE)/1,0))</f>
        <v/>
      </c>
      <c r="W231" s="31" t="str">
        <f>IF($D231="","",IFERROR(VLOOKUP($B231,Kraftvärmeprod!$B$1:$BX$550,MATCH(W$2,Kraftvärmeprod!$B$1:$VX$1,0),FALSE)/1,0)-IFERROR(VLOOKUP($B231,'Slutlig allokering kvv'!$B$2:$BX$550,MATCH(W$2,'Slutlig allokering kvv'!$B$1:$BX$1,0),FALSE)/1,0))</f>
        <v/>
      </c>
      <c r="X231" s="31" t="str">
        <f>IF($D231="","",IFERROR(VLOOKUP($B231,Kraftvärmeprod!$B$1:$BX$550,MATCH(X$2,Kraftvärmeprod!$B$1:$VX$1,0),FALSE)/1,0)-IFERROR(VLOOKUP($B231,'Slutlig allokering kvv'!$B$2:$BX$550,MATCH(X$2,'Slutlig allokering kvv'!$B$1:$BX$1,0),FALSE)/1,0))</f>
        <v/>
      </c>
      <c r="Y231" s="31" t="str">
        <f>IF($D231="","",IFERROR(VLOOKUP($B231,Kraftvärmeprod!$B$1:$BX$550,MATCH(Y$2,Kraftvärmeprod!$B$1:$VX$1,0),FALSE)/1,0)-IFERROR(VLOOKUP($B231,'Slutlig allokering kvv'!$B$2:$BX$550,MATCH(Y$2,'Slutlig allokering kvv'!$B$1:$BX$1,0),FALSE)/1,0))</f>
        <v/>
      </c>
      <c r="Z231" s="31" t="str">
        <f>IF($D231="","",IFERROR(VLOOKUP($B231,Kraftvärmeprod!$B$1:$BX$550,MATCH(Z$2,Kraftvärmeprod!$B$1:$VX$1,0),FALSE)/1,0)-IFERROR(VLOOKUP($B231,'Slutlig allokering kvv'!$B$2:$BX$550,MATCH(Z$2,'Slutlig allokering kvv'!$B$1:$BX$1,0),FALSE)/1,0))</f>
        <v/>
      </c>
      <c r="AA231" s="31" t="str">
        <f>IF($D231="","",IFERROR(VLOOKUP($B231,Kraftvärmeprod!$B$1:$BX$550,MATCH(AA$2,Kraftvärmeprod!$B$1:$VX$1,0),FALSE)/1,0)-IFERROR(VLOOKUP($B231,'Slutlig allokering kvv'!$B$2:$BX$550,MATCH(AA$2,'Slutlig allokering kvv'!$B$1:$BX$1,0),FALSE)/1,0))</f>
        <v/>
      </c>
      <c r="AB231" s="31" t="str">
        <f>IF($D231="","",IFERROR(VLOOKUP($B231,Kraftvärmeprod!$B$1:$BX$550,MATCH(AB$2,Kraftvärmeprod!$B$1:$VX$1,0),FALSE)/1,0)-IFERROR(VLOOKUP($B231,'Slutlig allokering kvv'!$B$2:$BX$550,MATCH(AB$2,'Slutlig allokering kvv'!$B$1:$BX$1,0),FALSE)/1,0))</f>
        <v/>
      </c>
      <c r="AC231" s="31" t="str">
        <f>IF($D231="","",IFERROR(VLOOKUP($B231,Kraftvärmeprod!$B$1:$BX$550,MATCH(AC$2,Kraftvärmeprod!$B$1:$VX$1,0),FALSE)/1,0)-IFERROR(VLOOKUP($B231,'Slutlig allokering kvv'!$B$2:$BX$550,MATCH(AC$2,'Slutlig allokering kvv'!$B$1:$BX$1,0),FALSE)/1,0))</f>
        <v/>
      </c>
      <c r="AD231" s="31" t="str">
        <f>IF($D231="","",IFERROR(VLOOKUP($B231,Kraftvärmeprod!$B$1:$BX$550,MATCH(AD$2,Kraftvärmeprod!$B$1:$VX$1,0),FALSE)/1,0)-IFERROR(VLOOKUP($B231,'Slutlig allokering kvv'!$B$2:$BX$550,MATCH(AD$2,'Slutlig allokering kvv'!$B$1:$BX$1,0),FALSE)/1,0))</f>
        <v/>
      </c>
      <c r="AE231" s="31" t="str">
        <f>IF($D231="","",IFERROR(VLOOKUP($B231,Miljö!$B$1:$E$550,MATCH("Hjälpel kraftvärme (GWh)",Miljö!$B$1:$E$1,0),FALSE)/1,0)-IFERROR(VLOOKUP($B231,'Slutlig allokering kvv'!$B$2:$BX$549,MATCH(AE$2,'Slutlig allokering kvv'!$B$1:$BX$1,0),FALSE)/1,0))</f>
        <v/>
      </c>
      <c r="AI231" s="39">
        <f t="shared" si="12"/>
        <v>0</v>
      </c>
      <c r="AK231" s="31">
        <f>IFERROR(VLOOKUP($B231,'Slutlig allokering kvv'!$B$2:$AX$549,MATCH("Summa slutlig allokerad tillförd energi (utan hjälpel och rökgaskondensering):",'Slutlig allokering kvv'!$B$1:$AX$1,0),FALSE)/1,"")</f>
        <v>0</v>
      </c>
      <c r="AM231" s="31" t="str">
        <f>IFERROR(1-VLOOKUP($B231,'Slutlig allokering kvv'!$B$2:$AX$549,MATCH("Andel av bränsle i kvv som allokerats till värme, exklusive rökgaskondensering och hjälpel",'Slutlig allokering kvv'!$B$1:$AX$1,0),FALSE),"")</f>
        <v/>
      </c>
      <c r="AO231" s="31" t="str">
        <f t="shared" si="13"/>
        <v/>
      </c>
      <c r="AP231" s="31" t="str">
        <f t="shared" si="14"/>
        <v/>
      </c>
      <c r="AR231" s="32" t="str">
        <f t="shared" si="15"/>
        <v/>
      </c>
    </row>
    <row r="232" spans="1:44" s="31" customFormat="1" x14ac:dyDescent="0.45">
      <c r="A232" s="31" t="s">
        <v>342</v>
      </c>
      <c r="B232" s="31" t="s">
        <v>347</v>
      </c>
      <c r="C232" s="31" t="str">
        <f>IFERROR(VLOOKUP($B232,Kraftvärmeprod!$B$1:$AH$479,MATCH(C$2,Kraftvärmeprod!$B$1:$AG$1,0),FALSE)/1,"")</f>
        <v/>
      </c>
      <c r="D232" s="31" t="str">
        <f>IFERROR(VLOOKUP($B232,Kraftvärmeprod!$B$1:$AH$479,MATCH(D$2,Kraftvärmeprod!$B$1:$AG$1,0),FALSE)/1,"")</f>
        <v/>
      </c>
      <c r="F232" s="31" t="str">
        <f>IF($D232="","",IFERROR(VLOOKUP($B232,Kraftvärmeprod!$B$1:$BX$550,MATCH(F$2,Kraftvärmeprod!$B$1:$VX$1,0),FALSE)/1,0)-IFERROR(VLOOKUP($B232,'Slutlig allokering kvv'!$B$2:$BX$550,MATCH(F$2,'Slutlig allokering kvv'!$B$1:$BX$1,0),FALSE)/1,0))</f>
        <v/>
      </c>
      <c r="G232" s="31" t="str">
        <f>IF($D232="","",IFERROR(VLOOKUP($B232,Kraftvärmeprod!$B$1:$BX$550,MATCH(G$2,Kraftvärmeprod!$B$1:$VX$1,0),FALSE)/1,0)-IFERROR(VLOOKUP($B232,'Slutlig allokering kvv'!$B$2:$BX$550,MATCH(G$2,'Slutlig allokering kvv'!$B$1:$BX$1,0),FALSE)/1,0))</f>
        <v/>
      </c>
      <c r="H232" s="31" t="str">
        <f>IF($D232="","",IFERROR(VLOOKUP($B232,Kraftvärmeprod!$B$1:$BX$550,MATCH(H$2,Kraftvärmeprod!$B$1:$VX$1,0),FALSE)/1,0)-IFERROR(VLOOKUP($B232,'Slutlig allokering kvv'!$B$2:$BX$550,MATCH(H$2,'Slutlig allokering kvv'!$B$1:$BX$1,0),FALSE)/1,0))</f>
        <v/>
      </c>
      <c r="I232" s="31" t="str">
        <f>IF($D232="","",IFERROR(VLOOKUP($B232,Kraftvärmeprod!$B$1:$BX$550,MATCH(I$2,Kraftvärmeprod!$B$1:$VX$1,0),FALSE)/1,0)-IFERROR(VLOOKUP($B232,'Slutlig allokering kvv'!$B$2:$BX$550,MATCH(I$2,'Slutlig allokering kvv'!$B$1:$BX$1,0),FALSE)/1,0))</f>
        <v/>
      </c>
      <c r="J232" s="31" t="str">
        <f>IF($D232="","",IFERROR(VLOOKUP($B232,Kraftvärmeprod!$B$1:$BX$550,MATCH(J$2,Kraftvärmeprod!$B$1:$VX$1,0),FALSE)/1,0)-IFERROR(VLOOKUP($B232,'Slutlig allokering kvv'!$B$2:$BX$550,MATCH(J$2,'Slutlig allokering kvv'!$B$1:$BX$1,0),FALSE)/1,0))</f>
        <v/>
      </c>
      <c r="K232" s="31" t="str">
        <f>IF($D232="","",IFERROR(VLOOKUP($B232,Kraftvärmeprod!$B$1:$BX$550,MATCH(K$2,Kraftvärmeprod!$B$1:$VX$1,0),FALSE)/1,0)-IFERROR(VLOOKUP($B232,'Slutlig allokering kvv'!$B$2:$BX$550,MATCH(K$2,'Slutlig allokering kvv'!$B$1:$BX$1,0),FALSE)/1,0))</f>
        <v/>
      </c>
      <c r="L232" s="31" t="str">
        <f>IF($D232="","",IFERROR(VLOOKUP($B232,Kraftvärmeprod!$B$1:$BX$550,MATCH(L$2,Kraftvärmeprod!$B$1:$VX$1,0),FALSE)/1,0)-IFERROR(VLOOKUP($B232,'Slutlig allokering kvv'!$B$2:$BX$550,MATCH(L$2,'Slutlig allokering kvv'!$B$1:$BX$1,0),FALSE)/1,0))</f>
        <v/>
      </c>
      <c r="M232" s="31" t="str">
        <f>IF($D232="","",IFERROR(VLOOKUP($B232,Kraftvärmeprod!$B$1:$BX$550,MATCH(M$2,Kraftvärmeprod!$B$1:$VX$1,0),FALSE)/1,0)-IFERROR(VLOOKUP($B232,'Slutlig allokering kvv'!$B$2:$BX$550,MATCH(M$2,'Slutlig allokering kvv'!$B$1:$BX$1,0),FALSE)/1,0))</f>
        <v/>
      </c>
      <c r="N232" s="31" t="str">
        <f>IF($D232="","",IFERROR(VLOOKUP($B232,Kraftvärmeprod!$B$1:$BX$550,MATCH(N$2,Kraftvärmeprod!$B$1:$VX$1,0),FALSE)/1,0)-IFERROR(VLOOKUP($B232,'Slutlig allokering kvv'!$B$2:$BX$550,MATCH(N$2,'Slutlig allokering kvv'!$B$1:$BX$1,0),FALSE)/1,0))</f>
        <v/>
      </c>
      <c r="O232" s="31" t="str">
        <f>IF($D232="","",IFERROR(VLOOKUP($B232,Kraftvärmeprod!$B$1:$BX$550,MATCH(O$2,Kraftvärmeprod!$B$1:$VX$1,0),FALSE)/1,0)-IFERROR(VLOOKUP($B232,'Slutlig allokering kvv'!$B$2:$BX$550,MATCH(O$2,'Slutlig allokering kvv'!$B$1:$BX$1,0),FALSE)/1,0))</f>
        <v/>
      </c>
      <c r="P232" s="31" t="str">
        <f>IF($D232="","",IFERROR(VLOOKUP($B232,Kraftvärmeprod!$B$1:$BX$550,MATCH(P$2,Kraftvärmeprod!$B$1:$VX$1,0),FALSE)/1,0)-IFERROR(VLOOKUP($B232,'Slutlig allokering kvv'!$B$2:$BX$550,MATCH(P$2,'Slutlig allokering kvv'!$B$1:$BX$1,0),FALSE)/1,0))</f>
        <v/>
      </c>
      <c r="Q232" s="31" t="str">
        <f>IF($D232="","",IFERROR(VLOOKUP($B232,Kraftvärmeprod!$B$1:$BX$550,MATCH(Q$2,Kraftvärmeprod!$B$1:$VX$1,0),FALSE)/1,0)-IFERROR(VLOOKUP($B232,'Slutlig allokering kvv'!$B$2:$BX$550,MATCH(Q$2,'Slutlig allokering kvv'!$B$1:$BX$1,0),FALSE)/1,0))</f>
        <v/>
      </c>
      <c r="R232" s="31" t="str">
        <f>IF($D232="","",IFERROR(VLOOKUP($B232,Kraftvärmeprod!$B$1:$BX$550,MATCH(R$2,Kraftvärmeprod!$B$1:$VX$1,0),FALSE)/1,0)-IFERROR(VLOOKUP($B232,'Slutlig allokering kvv'!$B$2:$BX$550,MATCH(R$2,'Slutlig allokering kvv'!$B$1:$BX$1,0),FALSE)/1,0))</f>
        <v/>
      </c>
      <c r="S232" s="31" t="str">
        <f>IF($D232="","",IFERROR(VLOOKUP($B232,Kraftvärmeprod!$B$1:$BX$550,MATCH(S$2,Kraftvärmeprod!$B$1:$VX$1,0),FALSE)/1,0)-IFERROR(VLOOKUP($B232,'Slutlig allokering kvv'!$B$2:$BX$550,MATCH(S$2,'Slutlig allokering kvv'!$B$1:$BX$1,0),FALSE)/1,0))</f>
        <v/>
      </c>
      <c r="T232" s="31" t="str">
        <f>IF($D232="","",IFERROR(VLOOKUP($B232,Kraftvärmeprod!$B$1:$BX$550,MATCH(T$2,Kraftvärmeprod!$B$1:$VX$1,0),FALSE)/1,0)-IFERROR(VLOOKUP($B232,'Slutlig allokering kvv'!$B$2:$BX$550,MATCH(T$2,'Slutlig allokering kvv'!$B$1:$BX$1,0),FALSE)/1,0))</f>
        <v/>
      </c>
      <c r="U232" s="31" t="str">
        <f>IF($D232="","",IFERROR(VLOOKUP($B232,Kraftvärmeprod!$B$1:$BX$550,MATCH(U$2,Kraftvärmeprod!$B$1:$VX$1,0),FALSE)/1,0)-IFERROR(VLOOKUP($B232,'Slutlig allokering kvv'!$B$2:$BX$550,MATCH(U$2,'Slutlig allokering kvv'!$B$1:$BX$1,0),FALSE)/1,0))</f>
        <v/>
      </c>
      <c r="V232" s="31" t="str">
        <f>IF($D232="","",IFERROR(VLOOKUP($B232,Kraftvärmeprod!$B$1:$BX$550,MATCH(V$2,Kraftvärmeprod!$B$1:$VX$1,0),FALSE)/1,0)-IFERROR(VLOOKUP($B232,'Slutlig allokering kvv'!$B$2:$BX$550,MATCH(V$2,'Slutlig allokering kvv'!$B$1:$BX$1,0),FALSE)/1,0))</f>
        <v/>
      </c>
      <c r="W232" s="31" t="str">
        <f>IF($D232="","",IFERROR(VLOOKUP($B232,Kraftvärmeprod!$B$1:$BX$550,MATCH(W$2,Kraftvärmeprod!$B$1:$VX$1,0),FALSE)/1,0)-IFERROR(VLOOKUP($B232,'Slutlig allokering kvv'!$B$2:$BX$550,MATCH(W$2,'Slutlig allokering kvv'!$B$1:$BX$1,0),FALSE)/1,0))</f>
        <v/>
      </c>
      <c r="X232" s="31" t="str">
        <f>IF($D232="","",IFERROR(VLOOKUP($B232,Kraftvärmeprod!$B$1:$BX$550,MATCH(X$2,Kraftvärmeprod!$B$1:$VX$1,0),FALSE)/1,0)-IFERROR(VLOOKUP($B232,'Slutlig allokering kvv'!$B$2:$BX$550,MATCH(X$2,'Slutlig allokering kvv'!$B$1:$BX$1,0),FALSE)/1,0))</f>
        <v/>
      </c>
      <c r="Y232" s="31" t="str">
        <f>IF($D232="","",IFERROR(VLOOKUP($B232,Kraftvärmeprod!$B$1:$BX$550,MATCH(Y$2,Kraftvärmeprod!$B$1:$VX$1,0),FALSE)/1,0)-IFERROR(VLOOKUP($B232,'Slutlig allokering kvv'!$B$2:$BX$550,MATCH(Y$2,'Slutlig allokering kvv'!$B$1:$BX$1,0),FALSE)/1,0))</f>
        <v/>
      </c>
      <c r="Z232" s="31" t="str">
        <f>IF($D232="","",IFERROR(VLOOKUP($B232,Kraftvärmeprod!$B$1:$BX$550,MATCH(Z$2,Kraftvärmeprod!$B$1:$VX$1,0),FALSE)/1,0)-IFERROR(VLOOKUP($B232,'Slutlig allokering kvv'!$B$2:$BX$550,MATCH(Z$2,'Slutlig allokering kvv'!$B$1:$BX$1,0),FALSE)/1,0))</f>
        <v/>
      </c>
      <c r="AA232" s="31" t="str">
        <f>IF($D232="","",IFERROR(VLOOKUP($B232,Kraftvärmeprod!$B$1:$BX$550,MATCH(AA$2,Kraftvärmeprod!$B$1:$VX$1,0),FALSE)/1,0)-IFERROR(VLOOKUP($B232,'Slutlig allokering kvv'!$B$2:$BX$550,MATCH(AA$2,'Slutlig allokering kvv'!$B$1:$BX$1,0),FALSE)/1,0))</f>
        <v/>
      </c>
      <c r="AB232" s="31" t="str">
        <f>IF($D232="","",IFERROR(VLOOKUP($B232,Kraftvärmeprod!$B$1:$BX$550,MATCH(AB$2,Kraftvärmeprod!$B$1:$VX$1,0),FALSE)/1,0)-IFERROR(VLOOKUP($B232,'Slutlig allokering kvv'!$B$2:$BX$550,MATCH(AB$2,'Slutlig allokering kvv'!$B$1:$BX$1,0),FALSE)/1,0))</f>
        <v/>
      </c>
      <c r="AC232" s="31" t="str">
        <f>IF($D232="","",IFERROR(VLOOKUP($B232,Kraftvärmeprod!$B$1:$BX$550,MATCH(AC$2,Kraftvärmeprod!$B$1:$VX$1,0),FALSE)/1,0)-IFERROR(VLOOKUP($B232,'Slutlig allokering kvv'!$B$2:$BX$550,MATCH(AC$2,'Slutlig allokering kvv'!$B$1:$BX$1,0),FALSE)/1,0))</f>
        <v/>
      </c>
      <c r="AD232" s="31" t="str">
        <f>IF($D232="","",IFERROR(VLOOKUP($B232,Kraftvärmeprod!$B$1:$BX$550,MATCH(AD$2,Kraftvärmeprod!$B$1:$VX$1,0),FALSE)/1,0)-IFERROR(VLOOKUP($B232,'Slutlig allokering kvv'!$B$2:$BX$550,MATCH(AD$2,'Slutlig allokering kvv'!$B$1:$BX$1,0),FALSE)/1,0))</f>
        <v/>
      </c>
      <c r="AE232" s="31" t="str">
        <f>IF($D232="","",IFERROR(VLOOKUP($B232,Miljö!$B$1:$E$550,MATCH("Hjälpel kraftvärme (GWh)",Miljö!$B$1:$E$1,0),FALSE)/1,0)-IFERROR(VLOOKUP($B232,'Slutlig allokering kvv'!$B$2:$BX$549,MATCH(AE$2,'Slutlig allokering kvv'!$B$1:$BX$1,0),FALSE)/1,0))</f>
        <v/>
      </c>
      <c r="AI232" s="39">
        <f t="shared" si="12"/>
        <v>0</v>
      </c>
      <c r="AK232" s="31">
        <f>IFERROR(VLOOKUP($B232,'Slutlig allokering kvv'!$B$2:$AX$549,MATCH("Summa slutlig allokerad tillförd energi (utan hjälpel och rökgaskondensering):",'Slutlig allokering kvv'!$B$1:$AX$1,0),FALSE)/1,"")</f>
        <v>0</v>
      </c>
      <c r="AM232" s="31" t="str">
        <f>IFERROR(1-VLOOKUP($B232,'Slutlig allokering kvv'!$B$2:$AX$549,MATCH("Andel av bränsle i kvv som allokerats till värme, exklusive rökgaskondensering och hjälpel",'Slutlig allokering kvv'!$B$1:$AX$1,0),FALSE),"")</f>
        <v/>
      </c>
      <c r="AO232" s="31" t="str">
        <f t="shared" si="13"/>
        <v/>
      </c>
      <c r="AP232" s="31" t="str">
        <f t="shared" si="14"/>
        <v/>
      </c>
      <c r="AR232" s="32" t="str">
        <f t="shared" si="15"/>
        <v/>
      </c>
    </row>
    <row r="233" spans="1:44" s="31" customFormat="1" x14ac:dyDescent="0.45">
      <c r="A233" s="31" t="s">
        <v>342</v>
      </c>
      <c r="B233" s="31" t="s">
        <v>346</v>
      </c>
      <c r="C233" s="31">
        <f>IFERROR(VLOOKUP($B233,Kraftvärmeprod!$B$1:$AH$479,MATCH(C$2,Kraftvärmeprod!$B$1:$AG$1,0),FALSE)/1,"")</f>
        <v>272.65699999999998</v>
      </c>
      <c r="D233" s="31">
        <f>IFERROR(VLOOKUP($B233,Kraftvärmeprod!$B$1:$AH$479,MATCH(D$2,Kraftvärmeprod!$B$1:$AG$1,0),FALSE)/1,"")</f>
        <v>114.64100000000001</v>
      </c>
      <c r="F233" s="31">
        <f>IF($D233="","",IFERROR(VLOOKUP($B233,Kraftvärmeprod!$B$1:$BX$550,MATCH(F$2,Kraftvärmeprod!$B$1:$VX$1,0),FALSE)/1,0)-IFERROR(VLOOKUP($B233,'Slutlig allokering kvv'!$B$2:$BX$550,MATCH(F$2,'Slutlig allokering kvv'!$B$1:$BX$1,0),FALSE)/1,0))</f>
        <v>0</v>
      </c>
      <c r="G233" s="31">
        <f>IF($D233="","",IFERROR(VLOOKUP($B233,Kraftvärmeprod!$B$1:$BX$550,MATCH(G$2,Kraftvärmeprod!$B$1:$VX$1,0),FALSE)/1,0)-IFERROR(VLOOKUP($B233,'Slutlig allokering kvv'!$B$2:$BX$550,MATCH(G$2,'Slutlig allokering kvv'!$B$1:$BX$1,0),FALSE)/1,0))</f>
        <v>0.21187500000000001</v>
      </c>
      <c r="H233" s="31">
        <f>IF($D233="","",IFERROR(VLOOKUP($B233,Kraftvärmeprod!$B$1:$BX$550,MATCH(H$2,Kraftvärmeprod!$B$1:$VX$1,0),FALSE)/1,0)-IFERROR(VLOOKUP($B233,'Slutlig allokering kvv'!$B$2:$BX$550,MATCH(H$2,'Slutlig allokering kvv'!$B$1:$BX$1,0),FALSE)/1,0))</f>
        <v>0</v>
      </c>
      <c r="I233" s="31">
        <f>IF($D233="","",IFERROR(VLOOKUP($B233,Kraftvärmeprod!$B$1:$BX$550,MATCH(I$2,Kraftvärmeprod!$B$1:$VX$1,0),FALSE)/1,0)-IFERROR(VLOOKUP($B233,'Slutlig allokering kvv'!$B$2:$BX$550,MATCH(I$2,'Slutlig allokering kvv'!$B$1:$BX$1,0),FALSE)/1,0))</f>
        <v>0</v>
      </c>
      <c r="J233" s="31">
        <f>IF($D233="","",IFERROR(VLOOKUP($B233,Kraftvärmeprod!$B$1:$BX$550,MATCH(J$2,Kraftvärmeprod!$B$1:$VX$1,0),FALSE)/1,0)-IFERROR(VLOOKUP($B233,'Slutlig allokering kvv'!$B$2:$BX$550,MATCH(J$2,'Slutlig allokering kvv'!$B$1:$BX$1,0),FALSE)/1,0))</f>
        <v>0</v>
      </c>
      <c r="K233" s="31">
        <f>IF($D233="","",IFERROR(VLOOKUP($B233,Kraftvärmeprod!$B$1:$BX$550,MATCH(K$2,Kraftvärmeprod!$B$1:$VX$1,0),FALSE)/1,0)-IFERROR(VLOOKUP($B233,'Slutlig allokering kvv'!$B$2:$BX$550,MATCH(K$2,'Slutlig allokering kvv'!$B$1:$BX$1,0),FALSE)/1,0))</f>
        <v>0</v>
      </c>
      <c r="L233" s="31">
        <f>IF($D233="","",IFERROR(VLOOKUP($B233,Kraftvärmeprod!$B$1:$BX$550,MATCH(L$2,Kraftvärmeprod!$B$1:$VX$1,0),FALSE)/1,0)-IFERROR(VLOOKUP($B233,'Slutlig allokering kvv'!$B$2:$BX$550,MATCH(L$2,'Slutlig allokering kvv'!$B$1:$BX$1,0),FALSE)/1,0))</f>
        <v>33.566400000000002</v>
      </c>
      <c r="M233" s="31">
        <f>IF($D233="","",IFERROR(VLOOKUP($B233,Kraftvärmeprod!$B$1:$BX$550,MATCH(M$2,Kraftvärmeprod!$B$1:$VX$1,0),FALSE)/1,0)-IFERROR(VLOOKUP($B233,'Slutlig allokering kvv'!$B$2:$BX$550,MATCH(M$2,'Slutlig allokering kvv'!$B$1:$BX$1,0),FALSE)/1,0))</f>
        <v>56.728299999999997</v>
      </c>
      <c r="N233" s="31">
        <f>IF($D233="","",IFERROR(VLOOKUP($B233,Kraftvärmeprod!$B$1:$BX$550,MATCH(N$2,Kraftvärmeprod!$B$1:$VX$1,0),FALSE)/1,0)-IFERROR(VLOOKUP($B233,'Slutlig allokering kvv'!$B$2:$BX$550,MATCH(N$2,'Slutlig allokering kvv'!$B$1:$BX$1,0),FALSE)/1,0))</f>
        <v>10.561399999999999</v>
      </c>
      <c r="O233" s="31">
        <f>IF($D233="","",IFERROR(VLOOKUP($B233,Kraftvärmeprod!$B$1:$BX$550,MATCH(O$2,Kraftvärmeprod!$B$1:$VX$1,0),FALSE)/1,0)-IFERROR(VLOOKUP($B233,'Slutlig allokering kvv'!$B$2:$BX$550,MATCH(O$2,'Slutlig allokering kvv'!$B$1:$BX$1,0),FALSE)/1,0))</f>
        <v>62.688700000000004</v>
      </c>
      <c r="P233" s="31">
        <f>IF($D233="","",IFERROR(VLOOKUP($B233,Kraftvärmeprod!$B$1:$BX$550,MATCH(P$2,Kraftvärmeprod!$B$1:$VX$1,0),FALSE)/1,0)-IFERROR(VLOOKUP($B233,'Slutlig allokering kvv'!$B$2:$BX$550,MATCH(P$2,'Slutlig allokering kvv'!$B$1:$BX$1,0),FALSE)/1,0))</f>
        <v>0</v>
      </c>
      <c r="Q233" s="31">
        <f>IF($D233="","",IFERROR(VLOOKUP($B233,Kraftvärmeprod!$B$1:$BX$550,MATCH(Q$2,Kraftvärmeprod!$B$1:$VX$1,0),FALSE)/1,0)-IFERROR(VLOOKUP($B233,'Slutlig allokering kvv'!$B$2:$BX$550,MATCH(Q$2,'Slutlig allokering kvv'!$B$1:$BX$1,0),FALSE)/1,0))</f>
        <v>41.694000000000003</v>
      </c>
      <c r="R233" s="31">
        <f>IF($D233="","",IFERROR(VLOOKUP($B233,Kraftvärmeprod!$B$1:$BX$550,MATCH(R$2,Kraftvärmeprod!$B$1:$VX$1,0),FALSE)/1,0)-IFERROR(VLOOKUP($B233,'Slutlig allokering kvv'!$B$2:$BX$550,MATCH(R$2,'Slutlig allokering kvv'!$B$1:$BX$1,0),FALSE)/1,0))</f>
        <v>0</v>
      </c>
      <c r="S233" s="31">
        <f>IF($D233="","",IFERROR(VLOOKUP($B233,Kraftvärmeprod!$B$1:$BX$550,MATCH(S$2,Kraftvärmeprod!$B$1:$VX$1,0),FALSE)/1,0)-IFERROR(VLOOKUP($B233,'Slutlig allokering kvv'!$B$2:$BX$550,MATCH(S$2,'Slutlig allokering kvv'!$B$1:$BX$1,0),FALSE)/1,0))</f>
        <v>0</v>
      </c>
      <c r="T233" s="31">
        <f>IF($D233="","",IFERROR(VLOOKUP($B233,Kraftvärmeprod!$B$1:$BX$550,MATCH(T$2,Kraftvärmeprod!$B$1:$VX$1,0),FALSE)/1,0)-IFERROR(VLOOKUP($B233,'Slutlig allokering kvv'!$B$2:$BX$550,MATCH(T$2,'Slutlig allokering kvv'!$B$1:$BX$1,0),FALSE)/1,0))</f>
        <v>0</v>
      </c>
      <c r="U233" s="31">
        <f>IF($D233="","",IFERROR(VLOOKUP($B233,Kraftvärmeprod!$B$1:$BX$550,MATCH(U$2,Kraftvärmeprod!$B$1:$VX$1,0),FALSE)/1,0)-IFERROR(VLOOKUP($B233,'Slutlig allokering kvv'!$B$2:$BX$550,MATCH(U$2,'Slutlig allokering kvv'!$B$1:$BX$1,0),FALSE)/1,0))</f>
        <v>0</v>
      </c>
      <c r="V233" s="31">
        <f>IF($D233="","",IFERROR(VLOOKUP($B233,Kraftvärmeprod!$B$1:$BX$550,MATCH(V$2,Kraftvärmeprod!$B$1:$VX$1,0),FALSE)/1,0)-IFERROR(VLOOKUP($B233,'Slutlig allokering kvv'!$B$2:$BX$550,MATCH(V$2,'Slutlig allokering kvv'!$B$1:$BX$1,0),FALSE)/1,0))</f>
        <v>0</v>
      </c>
      <c r="W233" s="31">
        <f>IF($D233="","",IFERROR(VLOOKUP($B233,Kraftvärmeprod!$B$1:$BX$550,MATCH(W$2,Kraftvärmeprod!$B$1:$VX$1,0),FALSE)/1,0)-IFERROR(VLOOKUP($B233,'Slutlig allokering kvv'!$B$2:$BX$550,MATCH(W$2,'Slutlig allokering kvv'!$B$1:$BX$1,0),FALSE)/1,0))</f>
        <v>0</v>
      </c>
      <c r="X233" s="31">
        <f>IF($D233="","",IFERROR(VLOOKUP($B233,Kraftvärmeprod!$B$1:$BX$550,MATCH(X$2,Kraftvärmeprod!$B$1:$VX$1,0),FALSE)/1,0)-IFERROR(VLOOKUP($B233,'Slutlig allokering kvv'!$B$2:$BX$550,MATCH(X$2,'Slutlig allokering kvv'!$B$1:$BX$1,0),FALSE)/1,0))</f>
        <v>0</v>
      </c>
      <c r="Y233" s="31">
        <f>IF($D233="","",IFERROR(VLOOKUP($B233,Kraftvärmeprod!$B$1:$BX$550,MATCH(Y$2,Kraftvärmeprod!$B$1:$VX$1,0),FALSE)/1,0)-IFERROR(VLOOKUP($B233,'Slutlig allokering kvv'!$B$2:$BX$550,MATCH(Y$2,'Slutlig allokering kvv'!$B$1:$BX$1,0),FALSE)/1,0))</f>
        <v>0</v>
      </c>
      <c r="Z233" s="31">
        <f>IF($D233="","",IFERROR(VLOOKUP($B233,Kraftvärmeprod!$B$1:$BX$550,MATCH(Z$2,Kraftvärmeprod!$B$1:$VX$1,0),FALSE)/1,0)-IFERROR(VLOOKUP($B233,'Slutlig allokering kvv'!$B$2:$BX$550,MATCH(Z$2,'Slutlig allokering kvv'!$B$1:$BX$1,0),FALSE)/1,0))</f>
        <v>28.089199999999998</v>
      </c>
      <c r="AA233" s="31">
        <f>IF($D233="","",IFERROR(VLOOKUP($B233,Kraftvärmeprod!$B$1:$BX$550,MATCH(AA$2,Kraftvärmeprod!$B$1:$VX$1,0),FALSE)/1,0)-IFERROR(VLOOKUP($B233,'Slutlig allokering kvv'!$B$2:$BX$550,MATCH(AA$2,'Slutlig allokering kvv'!$B$1:$BX$1,0),FALSE)/1,0))</f>
        <v>0</v>
      </c>
      <c r="AB233" s="31">
        <f>IF($D233="","",IFERROR(VLOOKUP($B233,Kraftvärmeprod!$B$1:$BX$550,MATCH(AB$2,Kraftvärmeprod!$B$1:$VX$1,0),FALSE)/1,0)-IFERROR(VLOOKUP($B233,'Slutlig allokering kvv'!$B$2:$BX$550,MATCH(AB$2,'Slutlig allokering kvv'!$B$1:$BX$1,0),FALSE)/1,0))</f>
        <v>0</v>
      </c>
      <c r="AC233" s="31">
        <f>IF($D233="","",IFERROR(VLOOKUP($B233,Kraftvärmeprod!$B$1:$BX$550,MATCH(AC$2,Kraftvärmeprod!$B$1:$VX$1,0),FALSE)/1,0)-IFERROR(VLOOKUP($B233,'Slutlig allokering kvv'!$B$2:$BX$550,MATCH(AC$2,'Slutlig allokering kvv'!$B$1:$BX$1,0),FALSE)/1,0))</f>
        <v>0</v>
      </c>
      <c r="AD233" s="31">
        <f>IF($D233="","",IFERROR(VLOOKUP($B233,Kraftvärmeprod!$B$1:$BX$550,MATCH(AD$2,Kraftvärmeprod!$B$1:$VX$1,0),FALSE)/1,0)-IFERROR(VLOOKUP($B233,'Slutlig allokering kvv'!$B$2:$BX$550,MATCH(AD$2,'Slutlig allokering kvv'!$B$1:$BX$1,0),FALSE)/1,0))</f>
        <v>0</v>
      </c>
      <c r="AE233" s="31">
        <f>IF($D233="","",IFERROR(VLOOKUP($B233,Miljö!$B$1:$E$550,MATCH("Hjälpel kraftvärme (GWh)",Miljö!$B$1:$E$1,0),FALSE)/1,0)-IFERROR(VLOOKUP($B233,'Slutlig allokering kvv'!$B$2:$BX$549,MATCH(AE$2,'Slutlig allokering kvv'!$B$1:$BX$1,0),FALSE)/1,0))</f>
        <v>9.519759999999998</v>
      </c>
      <c r="AI233" s="39">
        <f t="shared" si="12"/>
        <v>233.53987499999999</v>
      </c>
      <c r="AK233" s="31">
        <f>IFERROR(VLOOKUP($B233,'Slutlig allokering kvv'!$B$2:$AX$549,MATCH("Summa slutlig allokerad tillförd energi (utan hjälpel och rökgaskondensering):",'Slutlig allokering kvv'!$B$1:$AX$1,0),FALSE)/1,"")</f>
        <v>217.851125</v>
      </c>
      <c r="AM233" s="31">
        <f>IFERROR(1-VLOOKUP($B233,'Slutlig allokering kvv'!$B$2:$AX$549,MATCH("Andel av bränsle i kvv som allokerats till värme, exklusive rökgaskondensering och hjälpel",'Slutlig allokering kvv'!$B$1:$AX$1,0),FALSE),"")</f>
        <v>0.51737822641567943</v>
      </c>
      <c r="AO233" s="31">
        <f t="shared" si="13"/>
        <v>0.51737822641567954</v>
      </c>
      <c r="AP233" s="31">
        <f t="shared" si="14"/>
        <v>-1.1102230246251565E-16</v>
      </c>
      <c r="AR233" s="32">
        <f t="shared" si="15"/>
        <v>0.47165791226502918</v>
      </c>
    </row>
    <row r="234" spans="1:44" s="31" customFormat="1" x14ac:dyDescent="0.45">
      <c r="A234" s="31" t="s">
        <v>342</v>
      </c>
      <c r="B234" s="31" t="s">
        <v>345</v>
      </c>
      <c r="C234" s="31" t="str">
        <f>IFERROR(VLOOKUP($B234,Kraftvärmeprod!$B$1:$AH$479,MATCH(C$2,Kraftvärmeprod!$B$1:$AG$1,0),FALSE)/1,"")</f>
        <v/>
      </c>
      <c r="D234" s="31" t="str">
        <f>IFERROR(VLOOKUP($B234,Kraftvärmeprod!$B$1:$AH$479,MATCH(D$2,Kraftvärmeprod!$B$1:$AG$1,0),FALSE)/1,"")</f>
        <v/>
      </c>
      <c r="F234" s="31" t="str">
        <f>IF($D234="","",IFERROR(VLOOKUP($B234,Kraftvärmeprod!$B$1:$BX$550,MATCH(F$2,Kraftvärmeprod!$B$1:$VX$1,0),FALSE)/1,0)-IFERROR(VLOOKUP($B234,'Slutlig allokering kvv'!$B$2:$BX$550,MATCH(F$2,'Slutlig allokering kvv'!$B$1:$BX$1,0),FALSE)/1,0))</f>
        <v/>
      </c>
      <c r="G234" s="31" t="str">
        <f>IF($D234="","",IFERROR(VLOOKUP($B234,Kraftvärmeprod!$B$1:$BX$550,MATCH(G$2,Kraftvärmeprod!$B$1:$VX$1,0),FALSE)/1,0)-IFERROR(VLOOKUP($B234,'Slutlig allokering kvv'!$B$2:$BX$550,MATCH(G$2,'Slutlig allokering kvv'!$B$1:$BX$1,0),FALSE)/1,0))</f>
        <v/>
      </c>
      <c r="H234" s="31" t="str">
        <f>IF($D234="","",IFERROR(VLOOKUP($B234,Kraftvärmeprod!$B$1:$BX$550,MATCH(H$2,Kraftvärmeprod!$B$1:$VX$1,0),FALSE)/1,0)-IFERROR(VLOOKUP($B234,'Slutlig allokering kvv'!$B$2:$BX$550,MATCH(H$2,'Slutlig allokering kvv'!$B$1:$BX$1,0),FALSE)/1,0))</f>
        <v/>
      </c>
      <c r="I234" s="31" t="str">
        <f>IF($D234="","",IFERROR(VLOOKUP($B234,Kraftvärmeprod!$B$1:$BX$550,MATCH(I$2,Kraftvärmeprod!$B$1:$VX$1,0),FALSE)/1,0)-IFERROR(VLOOKUP($B234,'Slutlig allokering kvv'!$B$2:$BX$550,MATCH(I$2,'Slutlig allokering kvv'!$B$1:$BX$1,0),FALSE)/1,0))</f>
        <v/>
      </c>
      <c r="J234" s="31" t="str">
        <f>IF($D234="","",IFERROR(VLOOKUP($B234,Kraftvärmeprod!$B$1:$BX$550,MATCH(J$2,Kraftvärmeprod!$B$1:$VX$1,0),FALSE)/1,0)-IFERROR(VLOOKUP($B234,'Slutlig allokering kvv'!$B$2:$BX$550,MATCH(J$2,'Slutlig allokering kvv'!$B$1:$BX$1,0),FALSE)/1,0))</f>
        <v/>
      </c>
      <c r="K234" s="31" t="str">
        <f>IF($D234="","",IFERROR(VLOOKUP($B234,Kraftvärmeprod!$B$1:$BX$550,MATCH(K$2,Kraftvärmeprod!$B$1:$VX$1,0),FALSE)/1,0)-IFERROR(VLOOKUP($B234,'Slutlig allokering kvv'!$B$2:$BX$550,MATCH(K$2,'Slutlig allokering kvv'!$B$1:$BX$1,0),FALSE)/1,0))</f>
        <v/>
      </c>
      <c r="L234" s="31" t="str">
        <f>IF($D234="","",IFERROR(VLOOKUP($B234,Kraftvärmeprod!$B$1:$BX$550,MATCH(L$2,Kraftvärmeprod!$B$1:$VX$1,0),FALSE)/1,0)-IFERROR(VLOOKUP($B234,'Slutlig allokering kvv'!$B$2:$BX$550,MATCH(L$2,'Slutlig allokering kvv'!$B$1:$BX$1,0),FALSE)/1,0))</f>
        <v/>
      </c>
      <c r="M234" s="31" t="str">
        <f>IF($D234="","",IFERROR(VLOOKUP($B234,Kraftvärmeprod!$B$1:$BX$550,MATCH(M$2,Kraftvärmeprod!$B$1:$VX$1,0),FALSE)/1,0)-IFERROR(VLOOKUP($B234,'Slutlig allokering kvv'!$B$2:$BX$550,MATCH(M$2,'Slutlig allokering kvv'!$B$1:$BX$1,0),FALSE)/1,0))</f>
        <v/>
      </c>
      <c r="N234" s="31" t="str">
        <f>IF($D234="","",IFERROR(VLOOKUP($B234,Kraftvärmeprod!$B$1:$BX$550,MATCH(N$2,Kraftvärmeprod!$B$1:$VX$1,0),FALSE)/1,0)-IFERROR(VLOOKUP($B234,'Slutlig allokering kvv'!$B$2:$BX$550,MATCH(N$2,'Slutlig allokering kvv'!$B$1:$BX$1,0),FALSE)/1,0))</f>
        <v/>
      </c>
      <c r="O234" s="31" t="str">
        <f>IF($D234="","",IFERROR(VLOOKUP($B234,Kraftvärmeprod!$B$1:$BX$550,MATCH(O$2,Kraftvärmeprod!$B$1:$VX$1,0),FALSE)/1,0)-IFERROR(VLOOKUP($B234,'Slutlig allokering kvv'!$B$2:$BX$550,MATCH(O$2,'Slutlig allokering kvv'!$B$1:$BX$1,0),FALSE)/1,0))</f>
        <v/>
      </c>
      <c r="P234" s="31" t="str">
        <f>IF($D234="","",IFERROR(VLOOKUP($B234,Kraftvärmeprod!$B$1:$BX$550,MATCH(P$2,Kraftvärmeprod!$B$1:$VX$1,0),FALSE)/1,0)-IFERROR(VLOOKUP($B234,'Slutlig allokering kvv'!$B$2:$BX$550,MATCH(P$2,'Slutlig allokering kvv'!$B$1:$BX$1,0),FALSE)/1,0))</f>
        <v/>
      </c>
      <c r="Q234" s="31" t="str">
        <f>IF($D234="","",IFERROR(VLOOKUP($B234,Kraftvärmeprod!$B$1:$BX$550,MATCH(Q$2,Kraftvärmeprod!$B$1:$VX$1,0),FALSE)/1,0)-IFERROR(VLOOKUP($B234,'Slutlig allokering kvv'!$B$2:$BX$550,MATCH(Q$2,'Slutlig allokering kvv'!$B$1:$BX$1,0),FALSE)/1,0))</f>
        <v/>
      </c>
      <c r="R234" s="31" t="str">
        <f>IF($D234="","",IFERROR(VLOOKUP($B234,Kraftvärmeprod!$B$1:$BX$550,MATCH(R$2,Kraftvärmeprod!$B$1:$VX$1,0),FALSE)/1,0)-IFERROR(VLOOKUP($B234,'Slutlig allokering kvv'!$B$2:$BX$550,MATCH(R$2,'Slutlig allokering kvv'!$B$1:$BX$1,0),FALSE)/1,0))</f>
        <v/>
      </c>
      <c r="S234" s="31" t="str">
        <f>IF($D234="","",IFERROR(VLOOKUP($B234,Kraftvärmeprod!$B$1:$BX$550,MATCH(S$2,Kraftvärmeprod!$B$1:$VX$1,0),FALSE)/1,0)-IFERROR(VLOOKUP($B234,'Slutlig allokering kvv'!$B$2:$BX$550,MATCH(S$2,'Slutlig allokering kvv'!$B$1:$BX$1,0),FALSE)/1,0))</f>
        <v/>
      </c>
      <c r="T234" s="31" t="str">
        <f>IF($D234="","",IFERROR(VLOOKUP($B234,Kraftvärmeprod!$B$1:$BX$550,MATCH(T$2,Kraftvärmeprod!$B$1:$VX$1,0),FALSE)/1,0)-IFERROR(VLOOKUP($B234,'Slutlig allokering kvv'!$B$2:$BX$550,MATCH(T$2,'Slutlig allokering kvv'!$B$1:$BX$1,0),FALSE)/1,0))</f>
        <v/>
      </c>
      <c r="U234" s="31" t="str">
        <f>IF($D234="","",IFERROR(VLOOKUP($B234,Kraftvärmeprod!$B$1:$BX$550,MATCH(U$2,Kraftvärmeprod!$B$1:$VX$1,0),FALSE)/1,0)-IFERROR(VLOOKUP($B234,'Slutlig allokering kvv'!$B$2:$BX$550,MATCH(U$2,'Slutlig allokering kvv'!$B$1:$BX$1,0),FALSE)/1,0))</f>
        <v/>
      </c>
      <c r="V234" s="31" t="str">
        <f>IF($D234="","",IFERROR(VLOOKUP($B234,Kraftvärmeprod!$B$1:$BX$550,MATCH(V$2,Kraftvärmeprod!$B$1:$VX$1,0),FALSE)/1,0)-IFERROR(VLOOKUP($B234,'Slutlig allokering kvv'!$B$2:$BX$550,MATCH(V$2,'Slutlig allokering kvv'!$B$1:$BX$1,0),FALSE)/1,0))</f>
        <v/>
      </c>
      <c r="W234" s="31" t="str">
        <f>IF($D234="","",IFERROR(VLOOKUP($B234,Kraftvärmeprod!$B$1:$BX$550,MATCH(W$2,Kraftvärmeprod!$B$1:$VX$1,0),FALSE)/1,0)-IFERROR(VLOOKUP($B234,'Slutlig allokering kvv'!$B$2:$BX$550,MATCH(W$2,'Slutlig allokering kvv'!$B$1:$BX$1,0),FALSE)/1,0))</f>
        <v/>
      </c>
      <c r="X234" s="31" t="str">
        <f>IF($D234="","",IFERROR(VLOOKUP($B234,Kraftvärmeprod!$B$1:$BX$550,MATCH(X$2,Kraftvärmeprod!$B$1:$VX$1,0),FALSE)/1,0)-IFERROR(VLOOKUP($B234,'Slutlig allokering kvv'!$B$2:$BX$550,MATCH(X$2,'Slutlig allokering kvv'!$B$1:$BX$1,0),FALSE)/1,0))</f>
        <v/>
      </c>
      <c r="Y234" s="31" t="str">
        <f>IF($D234="","",IFERROR(VLOOKUP($B234,Kraftvärmeprod!$B$1:$BX$550,MATCH(Y$2,Kraftvärmeprod!$B$1:$VX$1,0),FALSE)/1,0)-IFERROR(VLOOKUP($B234,'Slutlig allokering kvv'!$B$2:$BX$550,MATCH(Y$2,'Slutlig allokering kvv'!$B$1:$BX$1,0),FALSE)/1,0))</f>
        <v/>
      </c>
      <c r="Z234" s="31" t="str">
        <f>IF($D234="","",IFERROR(VLOOKUP($B234,Kraftvärmeprod!$B$1:$BX$550,MATCH(Z$2,Kraftvärmeprod!$B$1:$VX$1,0),FALSE)/1,0)-IFERROR(VLOOKUP($B234,'Slutlig allokering kvv'!$B$2:$BX$550,MATCH(Z$2,'Slutlig allokering kvv'!$B$1:$BX$1,0),FALSE)/1,0))</f>
        <v/>
      </c>
      <c r="AA234" s="31" t="str">
        <f>IF($D234="","",IFERROR(VLOOKUP($B234,Kraftvärmeprod!$B$1:$BX$550,MATCH(AA$2,Kraftvärmeprod!$B$1:$VX$1,0),FALSE)/1,0)-IFERROR(VLOOKUP($B234,'Slutlig allokering kvv'!$B$2:$BX$550,MATCH(AA$2,'Slutlig allokering kvv'!$B$1:$BX$1,0),FALSE)/1,0))</f>
        <v/>
      </c>
      <c r="AB234" s="31" t="str">
        <f>IF($D234="","",IFERROR(VLOOKUP($B234,Kraftvärmeprod!$B$1:$BX$550,MATCH(AB$2,Kraftvärmeprod!$B$1:$VX$1,0),FALSE)/1,0)-IFERROR(VLOOKUP($B234,'Slutlig allokering kvv'!$B$2:$BX$550,MATCH(AB$2,'Slutlig allokering kvv'!$B$1:$BX$1,0),FALSE)/1,0))</f>
        <v/>
      </c>
      <c r="AC234" s="31" t="str">
        <f>IF($D234="","",IFERROR(VLOOKUP($B234,Kraftvärmeprod!$B$1:$BX$550,MATCH(AC$2,Kraftvärmeprod!$B$1:$VX$1,0),FALSE)/1,0)-IFERROR(VLOOKUP($B234,'Slutlig allokering kvv'!$B$2:$BX$550,MATCH(AC$2,'Slutlig allokering kvv'!$B$1:$BX$1,0),FALSE)/1,0))</f>
        <v/>
      </c>
      <c r="AD234" s="31" t="str">
        <f>IF($D234="","",IFERROR(VLOOKUP($B234,Kraftvärmeprod!$B$1:$BX$550,MATCH(AD$2,Kraftvärmeprod!$B$1:$VX$1,0),FALSE)/1,0)-IFERROR(VLOOKUP($B234,'Slutlig allokering kvv'!$B$2:$BX$550,MATCH(AD$2,'Slutlig allokering kvv'!$B$1:$BX$1,0),FALSE)/1,0))</f>
        <v/>
      </c>
      <c r="AE234" s="31" t="str">
        <f>IF($D234="","",IFERROR(VLOOKUP($B234,Miljö!$B$1:$E$550,MATCH("Hjälpel kraftvärme (GWh)",Miljö!$B$1:$E$1,0),FALSE)/1,0)-IFERROR(VLOOKUP($B234,'Slutlig allokering kvv'!$B$2:$BX$549,MATCH(AE$2,'Slutlig allokering kvv'!$B$1:$BX$1,0),FALSE)/1,0))</f>
        <v/>
      </c>
      <c r="AI234" s="39">
        <f t="shared" si="12"/>
        <v>0</v>
      </c>
      <c r="AK234" s="31">
        <f>IFERROR(VLOOKUP($B234,'Slutlig allokering kvv'!$B$2:$AX$549,MATCH("Summa slutlig allokerad tillförd energi (utan hjälpel och rökgaskondensering):",'Slutlig allokering kvv'!$B$1:$AX$1,0),FALSE)/1,"")</f>
        <v>0</v>
      </c>
      <c r="AM234" s="31" t="str">
        <f>IFERROR(1-VLOOKUP($B234,'Slutlig allokering kvv'!$B$2:$AX$549,MATCH("Andel av bränsle i kvv som allokerats till värme, exklusive rökgaskondensering och hjälpel",'Slutlig allokering kvv'!$B$1:$AX$1,0),FALSE),"")</f>
        <v/>
      </c>
      <c r="AO234" s="31" t="str">
        <f t="shared" si="13"/>
        <v/>
      </c>
      <c r="AP234" s="31" t="str">
        <f t="shared" si="14"/>
        <v/>
      </c>
      <c r="AR234" s="32" t="str">
        <f t="shared" si="15"/>
        <v/>
      </c>
    </row>
    <row r="235" spans="1:44" s="31" customFormat="1" x14ac:dyDescent="0.45">
      <c r="A235" s="31" t="s">
        <v>342</v>
      </c>
      <c r="B235" s="31" t="s">
        <v>344</v>
      </c>
      <c r="C235" s="31" t="str">
        <f>IFERROR(VLOOKUP($B235,Kraftvärmeprod!$B$1:$AH$479,MATCH(C$2,Kraftvärmeprod!$B$1:$AG$1,0),FALSE)/1,"")</f>
        <v/>
      </c>
      <c r="D235" s="31" t="str">
        <f>IFERROR(VLOOKUP($B235,Kraftvärmeprod!$B$1:$AH$479,MATCH(D$2,Kraftvärmeprod!$B$1:$AG$1,0),FALSE)/1,"")</f>
        <v/>
      </c>
      <c r="F235" s="31" t="str">
        <f>IF($D235="","",IFERROR(VLOOKUP($B235,Kraftvärmeprod!$B$1:$BX$550,MATCH(F$2,Kraftvärmeprod!$B$1:$VX$1,0),FALSE)/1,0)-IFERROR(VLOOKUP($B235,'Slutlig allokering kvv'!$B$2:$BX$550,MATCH(F$2,'Slutlig allokering kvv'!$B$1:$BX$1,0),FALSE)/1,0))</f>
        <v/>
      </c>
      <c r="G235" s="31" t="str">
        <f>IF($D235="","",IFERROR(VLOOKUP($B235,Kraftvärmeprod!$B$1:$BX$550,MATCH(G$2,Kraftvärmeprod!$B$1:$VX$1,0),FALSE)/1,0)-IFERROR(VLOOKUP($B235,'Slutlig allokering kvv'!$B$2:$BX$550,MATCH(G$2,'Slutlig allokering kvv'!$B$1:$BX$1,0),FALSE)/1,0))</f>
        <v/>
      </c>
      <c r="H235" s="31" t="str">
        <f>IF($D235="","",IFERROR(VLOOKUP($B235,Kraftvärmeprod!$B$1:$BX$550,MATCH(H$2,Kraftvärmeprod!$B$1:$VX$1,0),FALSE)/1,0)-IFERROR(VLOOKUP($B235,'Slutlig allokering kvv'!$B$2:$BX$550,MATCH(H$2,'Slutlig allokering kvv'!$B$1:$BX$1,0),FALSE)/1,0))</f>
        <v/>
      </c>
      <c r="I235" s="31" t="str">
        <f>IF($D235="","",IFERROR(VLOOKUP($B235,Kraftvärmeprod!$B$1:$BX$550,MATCH(I$2,Kraftvärmeprod!$B$1:$VX$1,0),FALSE)/1,0)-IFERROR(VLOOKUP($B235,'Slutlig allokering kvv'!$B$2:$BX$550,MATCH(I$2,'Slutlig allokering kvv'!$B$1:$BX$1,0),FALSE)/1,0))</f>
        <v/>
      </c>
      <c r="J235" s="31" t="str">
        <f>IF($D235="","",IFERROR(VLOOKUP($B235,Kraftvärmeprod!$B$1:$BX$550,MATCH(J$2,Kraftvärmeprod!$B$1:$VX$1,0),FALSE)/1,0)-IFERROR(VLOOKUP($B235,'Slutlig allokering kvv'!$B$2:$BX$550,MATCH(J$2,'Slutlig allokering kvv'!$B$1:$BX$1,0),FALSE)/1,0))</f>
        <v/>
      </c>
      <c r="K235" s="31" t="str">
        <f>IF($D235="","",IFERROR(VLOOKUP($B235,Kraftvärmeprod!$B$1:$BX$550,MATCH(K$2,Kraftvärmeprod!$B$1:$VX$1,0),FALSE)/1,0)-IFERROR(VLOOKUP($B235,'Slutlig allokering kvv'!$B$2:$BX$550,MATCH(K$2,'Slutlig allokering kvv'!$B$1:$BX$1,0),FALSE)/1,0))</f>
        <v/>
      </c>
      <c r="L235" s="31" t="str">
        <f>IF($D235="","",IFERROR(VLOOKUP($B235,Kraftvärmeprod!$B$1:$BX$550,MATCH(L$2,Kraftvärmeprod!$B$1:$VX$1,0),FALSE)/1,0)-IFERROR(VLOOKUP($B235,'Slutlig allokering kvv'!$B$2:$BX$550,MATCH(L$2,'Slutlig allokering kvv'!$B$1:$BX$1,0),FALSE)/1,0))</f>
        <v/>
      </c>
      <c r="M235" s="31" t="str">
        <f>IF($D235="","",IFERROR(VLOOKUP($B235,Kraftvärmeprod!$B$1:$BX$550,MATCH(M$2,Kraftvärmeprod!$B$1:$VX$1,0),FALSE)/1,0)-IFERROR(VLOOKUP($B235,'Slutlig allokering kvv'!$B$2:$BX$550,MATCH(M$2,'Slutlig allokering kvv'!$B$1:$BX$1,0),FALSE)/1,0))</f>
        <v/>
      </c>
      <c r="N235" s="31" t="str">
        <f>IF($D235="","",IFERROR(VLOOKUP($B235,Kraftvärmeprod!$B$1:$BX$550,MATCH(N$2,Kraftvärmeprod!$B$1:$VX$1,0),FALSE)/1,0)-IFERROR(VLOOKUP($B235,'Slutlig allokering kvv'!$B$2:$BX$550,MATCH(N$2,'Slutlig allokering kvv'!$B$1:$BX$1,0),FALSE)/1,0))</f>
        <v/>
      </c>
      <c r="O235" s="31" t="str">
        <f>IF($D235="","",IFERROR(VLOOKUP($B235,Kraftvärmeprod!$B$1:$BX$550,MATCH(O$2,Kraftvärmeprod!$B$1:$VX$1,0),FALSE)/1,0)-IFERROR(VLOOKUP($B235,'Slutlig allokering kvv'!$B$2:$BX$550,MATCH(O$2,'Slutlig allokering kvv'!$B$1:$BX$1,0),FALSE)/1,0))</f>
        <v/>
      </c>
      <c r="P235" s="31" t="str">
        <f>IF($D235="","",IFERROR(VLOOKUP($B235,Kraftvärmeprod!$B$1:$BX$550,MATCH(P$2,Kraftvärmeprod!$B$1:$VX$1,0),FALSE)/1,0)-IFERROR(VLOOKUP($B235,'Slutlig allokering kvv'!$B$2:$BX$550,MATCH(P$2,'Slutlig allokering kvv'!$B$1:$BX$1,0),FALSE)/1,0))</f>
        <v/>
      </c>
      <c r="Q235" s="31" t="str">
        <f>IF($D235="","",IFERROR(VLOOKUP($B235,Kraftvärmeprod!$B$1:$BX$550,MATCH(Q$2,Kraftvärmeprod!$B$1:$VX$1,0),FALSE)/1,0)-IFERROR(VLOOKUP($B235,'Slutlig allokering kvv'!$B$2:$BX$550,MATCH(Q$2,'Slutlig allokering kvv'!$B$1:$BX$1,0),FALSE)/1,0))</f>
        <v/>
      </c>
      <c r="R235" s="31" t="str">
        <f>IF($D235="","",IFERROR(VLOOKUP($B235,Kraftvärmeprod!$B$1:$BX$550,MATCH(R$2,Kraftvärmeprod!$B$1:$VX$1,0),FALSE)/1,0)-IFERROR(VLOOKUP($B235,'Slutlig allokering kvv'!$B$2:$BX$550,MATCH(R$2,'Slutlig allokering kvv'!$B$1:$BX$1,0),FALSE)/1,0))</f>
        <v/>
      </c>
      <c r="S235" s="31" t="str">
        <f>IF($D235="","",IFERROR(VLOOKUP($B235,Kraftvärmeprod!$B$1:$BX$550,MATCH(S$2,Kraftvärmeprod!$B$1:$VX$1,0),FALSE)/1,0)-IFERROR(VLOOKUP($B235,'Slutlig allokering kvv'!$B$2:$BX$550,MATCH(S$2,'Slutlig allokering kvv'!$B$1:$BX$1,0),FALSE)/1,0))</f>
        <v/>
      </c>
      <c r="T235" s="31" t="str">
        <f>IF($D235="","",IFERROR(VLOOKUP($B235,Kraftvärmeprod!$B$1:$BX$550,MATCH(T$2,Kraftvärmeprod!$B$1:$VX$1,0),FALSE)/1,0)-IFERROR(VLOOKUP($B235,'Slutlig allokering kvv'!$B$2:$BX$550,MATCH(T$2,'Slutlig allokering kvv'!$B$1:$BX$1,0),FALSE)/1,0))</f>
        <v/>
      </c>
      <c r="U235" s="31" t="str">
        <f>IF($D235="","",IFERROR(VLOOKUP($B235,Kraftvärmeprod!$B$1:$BX$550,MATCH(U$2,Kraftvärmeprod!$B$1:$VX$1,0),FALSE)/1,0)-IFERROR(VLOOKUP($B235,'Slutlig allokering kvv'!$B$2:$BX$550,MATCH(U$2,'Slutlig allokering kvv'!$B$1:$BX$1,0),FALSE)/1,0))</f>
        <v/>
      </c>
      <c r="V235" s="31" t="str">
        <f>IF($D235="","",IFERROR(VLOOKUP($B235,Kraftvärmeprod!$B$1:$BX$550,MATCH(V$2,Kraftvärmeprod!$B$1:$VX$1,0),FALSE)/1,0)-IFERROR(VLOOKUP($B235,'Slutlig allokering kvv'!$B$2:$BX$550,MATCH(V$2,'Slutlig allokering kvv'!$B$1:$BX$1,0),FALSE)/1,0))</f>
        <v/>
      </c>
      <c r="W235" s="31" t="str">
        <f>IF($D235="","",IFERROR(VLOOKUP($B235,Kraftvärmeprod!$B$1:$BX$550,MATCH(W$2,Kraftvärmeprod!$B$1:$VX$1,0),FALSE)/1,0)-IFERROR(VLOOKUP($B235,'Slutlig allokering kvv'!$B$2:$BX$550,MATCH(W$2,'Slutlig allokering kvv'!$B$1:$BX$1,0),FALSE)/1,0))</f>
        <v/>
      </c>
      <c r="X235" s="31" t="str">
        <f>IF($D235="","",IFERROR(VLOOKUP($B235,Kraftvärmeprod!$B$1:$BX$550,MATCH(X$2,Kraftvärmeprod!$B$1:$VX$1,0),FALSE)/1,0)-IFERROR(VLOOKUP($B235,'Slutlig allokering kvv'!$B$2:$BX$550,MATCH(X$2,'Slutlig allokering kvv'!$B$1:$BX$1,0),FALSE)/1,0))</f>
        <v/>
      </c>
      <c r="Y235" s="31" t="str">
        <f>IF($D235="","",IFERROR(VLOOKUP($B235,Kraftvärmeprod!$B$1:$BX$550,MATCH(Y$2,Kraftvärmeprod!$B$1:$VX$1,0),FALSE)/1,0)-IFERROR(VLOOKUP($B235,'Slutlig allokering kvv'!$B$2:$BX$550,MATCH(Y$2,'Slutlig allokering kvv'!$B$1:$BX$1,0),FALSE)/1,0))</f>
        <v/>
      </c>
      <c r="Z235" s="31" t="str">
        <f>IF($D235="","",IFERROR(VLOOKUP($B235,Kraftvärmeprod!$B$1:$BX$550,MATCH(Z$2,Kraftvärmeprod!$B$1:$VX$1,0),FALSE)/1,0)-IFERROR(VLOOKUP($B235,'Slutlig allokering kvv'!$B$2:$BX$550,MATCH(Z$2,'Slutlig allokering kvv'!$B$1:$BX$1,0),FALSE)/1,0))</f>
        <v/>
      </c>
      <c r="AA235" s="31" t="str">
        <f>IF($D235="","",IFERROR(VLOOKUP($B235,Kraftvärmeprod!$B$1:$BX$550,MATCH(AA$2,Kraftvärmeprod!$B$1:$VX$1,0),FALSE)/1,0)-IFERROR(VLOOKUP($B235,'Slutlig allokering kvv'!$B$2:$BX$550,MATCH(AA$2,'Slutlig allokering kvv'!$B$1:$BX$1,0),FALSE)/1,0))</f>
        <v/>
      </c>
      <c r="AB235" s="31" t="str">
        <f>IF($D235="","",IFERROR(VLOOKUP($B235,Kraftvärmeprod!$B$1:$BX$550,MATCH(AB$2,Kraftvärmeprod!$B$1:$VX$1,0),FALSE)/1,0)-IFERROR(VLOOKUP($B235,'Slutlig allokering kvv'!$B$2:$BX$550,MATCH(AB$2,'Slutlig allokering kvv'!$B$1:$BX$1,0),FALSE)/1,0))</f>
        <v/>
      </c>
      <c r="AC235" s="31" t="str">
        <f>IF($D235="","",IFERROR(VLOOKUP($B235,Kraftvärmeprod!$B$1:$BX$550,MATCH(AC$2,Kraftvärmeprod!$B$1:$VX$1,0),FALSE)/1,0)-IFERROR(VLOOKUP($B235,'Slutlig allokering kvv'!$B$2:$BX$550,MATCH(AC$2,'Slutlig allokering kvv'!$B$1:$BX$1,0),FALSE)/1,0))</f>
        <v/>
      </c>
      <c r="AD235" s="31" t="str">
        <f>IF($D235="","",IFERROR(VLOOKUP($B235,Kraftvärmeprod!$B$1:$BX$550,MATCH(AD$2,Kraftvärmeprod!$B$1:$VX$1,0),FALSE)/1,0)-IFERROR(VLOOKUP($B235,'Slutlig allokering kvv'!$B$2:$BX$550,MATCH(AD$2,'Slutlig allokering kvv'!$B$1:$BX$1,0),FALSE)/1,0))</f>
        <v/>
      </c>
      <c r="AE235" s="31" t="str">
        <f>IF($D235="","",IFERROR(VLOOKUP($B235,Miljö!$B$1:$E$550,MATCH("Hjälpel kraftvärme (GWh)",Miljö!$B$1:$E$1,0),FALSE)/1,0)-IFERROR(VLOOKUP($B235,'Slutlig allokering kvv'!$B$2:$BX$549,MATCH(AE$2,'Slutlig allokering kvv'!$B$1:$BX$1,0),FALSE)/1,0))</f>
        <v/>
      </c>
      <c r="AI235" s="39">
        <f t="shared" si="12"/>
        <v>0</v>
      </c>
      <c r="AK235" s="31">
        <f>IFERROR(VLOOKUP($B235,'Slutlig allokering kvv'!$B$2:$AX$549,MATCH("Summa slutlig allokerad tillförd energi (utan hjälpel och rökgaskondensering):",'Slutlig allokering kvv'!$B$1:$AX$1,0),FALSE)/1,"")</f>
        <v>0</v>
      </c>
      <c r="AM235" s="31" t="str">
        <f>IFERROR(1-VLOOKUP($B235,'Slutlig allokering kvv'!$B$2:$AX$549,MATCH("Andel av bränsle i kvv som allokerats till värme, exklusive rökgaskondensering och hjälpel",'Slutlig allokering kvv'!$B$1:$AX$1,0),FALSE),"")</f>
        <v/>
      </c>
      <c r="AO235" s="31" t="str">
        <f t="shared" si="13"/>
        <v/>
      </c>
      <c r="AP235" s="31" t="str">
        <f t="shared" si="14"/>
        <v/>
      </c>
      <c r="AR235" s="32" t="str">
        <f t="shared" si="15"/>
        <v/>
      </c>
    </row>
    <row r="236" spans="1:44" s="31" customFormat="1" x14ac:dyDescent="0.45">
      <c r="A236" s="31" t="s">
        <v>342</v>
      </c>
      <c r="B236" s="31" t="s">
        <v>343</v>
      </c>
      <c r="C236" s="31" t="str">
        <f>IFERROR(VLOOKUP($B236,Kraftvärmeprod!$B$1:$AH$479,MATCH(C$2,Kraftvärmeprod!$B$1:$AG$1,0),FALSE)/1,"")</f>
        <v/>
      </c>
      <c r="D236" s="31" t="str">
        <f>IFERROR(VLOOKUP($B236,Kraftvärmeprod!$B$1:$AH$479,MATCH(D$2,Kraftvärmeprod!$B$1:$AG$1,0),FALSE)/1,"")</f>
        <v/>
      </c>
      <c r="F236" s="31" t="str">
        <f>IF($D236="","",IFERROR(VLOOKUP($B236,Kraftvärmeprod!$B$1:$BX$550,MATCH(F$2,Kraftvärmeprod!$B$1:$VX$1,0),FALSE)/1,0)-IFERROR(VLOOKUP($B236,'Slutlig allokering kvv'!$B$2:$BX$550,MATCH(F$2,'Slutlig allokering kvv'!$B$1:$BX$1,0),FALSE)/1,0))</f>
        <v/>
      </c>
      <c r="G236" s="31" t="str">
        <f>IF($D236="","",IFERROR(VLOOKUP($B236,Kraftvärmeprod!$B$1:$BX$550,MATCH(G$2,Kraftvärmeprod!$B$1:$VX$1,0),FALSE)/1,0)-IFERROR(VLOOKUP($B236,'Slutlig allokering kvv'!$B$2:$BX$550,MATCH(G$2,'Slutlig allokering kvv'!$B$1:$BX$1,0),FALSE)/1,0))</f>
        <v/>
      </c>
      <c r="H236" s="31" t="str">
        <f>IF($D236="","",IFERROR(VLOOKUP($B236,Kraftvärmeprod!$B$1:$BX$550,MATCH(H$2,Kraftvärmeprod!$B$1:$VX$1,0),FALSE)/1,0)-IFERROR(VLOOKUP($B236,'Slutlig allokering kvv'!$B$2:$BX$550,MATCH(H$2,'Slutlig allokering kvv'!$B$1:$BX$1,0),FALSE)/1,0))</f>
        <v/>
      </c>
      <c r="I236" s="31" t="str">
        <f>IF($D236="","",IFERROR(VLOOKUP($B236,Kraftvärmeprod!$B$1:$BX$550,MATCH(I$2,Kraftvärmeprod!$B$1:$VX$1,0),FALSE)/1,0)-IFERROR(VLOOKUP($B236,'Slutlig allokering kvv'!$B$2:$BX$550,MATCH(I$2,'Slutlig allokering kvv'!$B$1:$BX$1,0),FALSE)/1,0))</f>
        <v/>
      </c>
      <c r="J236" s="31" t="str">
        <f>IF($D236="","",IFERROR(VLOOKUP($B236,Kraftvärmeprod!$B$1:$BX$550,MATCH(J$2,Kraftvärmeprod!$B$1:$VX$1,0),FALSE)/1,0)-IFERROR(VLOOKUP($B236,'Slutlig allokering kvv'!$B$2:$BX$550,MATCH(J$2,'Slutlig allokering kvv'!$B$1:$BX$1,0),FALSE)/1,0))</f>
        <v/>
      </c>
      <c r="K236" s="31" t="str">
        <f>IF($D236="","",IFERROR(VLOOKUP($B236,Kraftvärmeprod!$B$1:$BX$550,MATCH(K$2,Kraftvärmeprod!$B$1:$VX$1,0),FALSE)/1,0)-IFERROR(VLOOKUP($B236,'Slutlig allokering kvv'!$B$2:$BX$550,MATCH(K$2,'Slutlig allokering kvv'!$B$1:$BX$1,0),FALSE)/1,0))</f>
        <v/>
      </c>
      <c r="L236" s="31" t="str">
        <f>IF($D236="","",IFERROR(VLOOKUP($B236,Kraftvärmeprod!$B$1:$BX$550,MATCH(L$2,Kraftvärmeprod!$B$1:$VX$1,0),FALSE)/1,0)-IFERROR(VLOOKUP($B236,'Slutlig allokering kvv'!$B$2:$BX$550,MATCH(L$2,'Slutlig allokering kvv'!$B$1:$BX$1,0),FALSE)/1,0))</f>
        <v/>
      </c>
      <c r="M236" s="31" t="str">
        <f>IF($D236="","",IFERROR(VLOOKUP($B236,Kraftvärmeprod!$B$1:$BX$550,MATCH(M$2,Kraftvärmeprod!$B$1:$VX$1,0),FALSE)/1,0)-IFERROR(VLOOKUP($B236,'Slutlig allokering kvv'!$B$2:$BX$550,MATCH(M$2,'Slutlig allokering kvv'!$B$1:$BX$1,0),FALSE)/1,0))</f>
        <v/>
      </c>
      <c r="N236" s="31" t="str">
        <f>IF($D236="","",IFERROR(VLOOKUP($B236,Kraftvärmeprod!$B$1:$BX$550,MATCH(N$2,Kraftvärmeprod!$B$1:$VX$1,0),FALSE)/1,0)-IFERROR(VLOOKUP($B236,'Slutlig allokering kvv'!$B$2:$BX$550,MATCH(N$2,'Slutlig allokering kvv'!$B$1:$BX$1,0),FALSE)/1,0))</f>
        <v/>
      </c>
      <c r="O236" s="31" t="str">
        <f>IF($D236="","",IFERROR(VLOOKUP($B236,Kraftvärmeprod!$B$1:$BX$550,MATCH(O$2,Kraftvärmeprod!$B$1:$VX$1,0),FALSE)/1,0)-IFERROR(VLOOKUP($B236,'Slutlig allokering kvv'!$B$2:$BX$550,MATCH(O$2,'Slutlig allokering kvv'!$B$1:$BX$1,0),FALSE)/1,0))</f>
        <v/>
      </c>
      <c r="P236" s="31" t="str">
        <f>IF($D236="","",IFERROR(VLOOKUP($B236,Kraftvärmeprod!$B$1:$BX$550,MATCH(P$2,Kraftvärmeprod!$B$1:$VX$1,0),FALSE)/1,0)-IFERROR(VLOOKUP($B236,'Slutlig allokering kvv'!$B$2:$BX$550,MATCH(P$2,'Slutlig allokering kvv'!$B$1:$BX$1,0),FALSE)/1,0))</f>
        <v/>
      </c>
      <c r="Q236" s="31" t="str">
        <f>IF($D236="","",IFERROR(VLOOKUP($B236,Kraftvärmeprod!$B$1:$BX$550,MATCH(Q$2,Kraftvärmeprod!$B$1:$VX$1,0),FALSE)/1,0)-IFERROR(VLOOKUP($B236,'Slutlig allokering kvv'!$B$2:$BX$550,MATCH(Q$2,'Slutlig allokering kvv'!$B$1:$BX$1,0),FALSE)/1,0))</f>
        <v/>
      </c>
      <c r="R236" s="31" t="str">
        <f>IF($D236="","",IFERROR(VLOOKUP($B236,Kraftvärmeprod!$B$1:$BX$550,MATCH(R$2,Kraftvärmeprod!$B$1:$VX$1,0),FALSE)/1,0)-IFERROR(VLOOKUP($B236,'Slutlig allokering kvv'!$B$2:$BX$550,MATCH(R$2,'Slutlig allokering kvv'!$B$1:$BX$1,0),FALSE)/1,0))</f>
        <v/>
      </c>
      <c r="S236" s="31" t="str">
        <f>IF($D236="","",IFERROR(VLOOKUP($B236,Kraftvärmeprod!$B$1:$BX$550,MATCH(S$2,Kraftvärmeprod!$B$1:$VX$1,0),FALSE)/1,0)-IFERROR(VLOOKUP($B236,'Slutlig allokering kvv'!$B$2:$BX$550,MATCH(S$2,'Slutlig allokering kvv'!$B$1:$BX$1,0),FALSE)/1,0))</f>
        <v/>
      </c>
      <c r="T236" s="31" t="str">
        <f>IF($D236="","",IFERROR(VLOOKUP($B236,Kraftvärmeprod!$B$1:$BX$550,MATCH(T$2,Kraftvärmeprod!$B$1:$VX$1,0),FALSE)/1,0)-IFERROR(VLOOKUP($B236,'Slutlig allokering kvv'!$B$2:$BX$550,MATCH(T$2,'Slutlig allokering kvv'!$B$1:$BX$1,0),FALSE)/1,0))</f>
        <v/>
      </c>
      <c r="U236" s="31" t="str">
        <f>IF($D236="","",IFERROR(VLOOKUP($B236,Kraftvärmeprod!$B$1:$BX$550,MATCH(U$2,Kraftvärmeprod!$B$1:$VX$1,0),FALSE)/1,0)-IFERROR(VLOOKUP($B236,'Slutlig allokering kvv'!$B$2:$BX$550,MATCH(U$2,'Slutlig allokering kvv'!$B$1:$BX$1,0),FALSE)/1,0))</f>
        <v/>
      </c>
      <c r="V236" s="31" t="str">
        <f>IF($D236="","",IFERROR(VLOOKUP($B236,Kraftvärmeprod!$B$1:$BX$550,MATCH(V$2,Kraftvärmeprod!$B$1:$VX$1,0),FALSE)/1,0)-IFERROR(VLOOKUP($B236,'Slutlig allokering kvv'!$B$2:$BX$550,MATCH(V$2,'Slutlig allokering kvv'!$B$1:$BX$1,0),FALSE)/1,0))</f>
        <v/>
      </c>
      <c r="W236" s="31" t="str">
        <f>IF($D236="","",IFERROR(VLOOKUP($B236,Kraftvärmeprod!$B$1:$BX$550,MATCH(W$2,Kraftvärmeprod!$B$1:$VX$1,0),FALSE)/1,0)-IFERROR(VLOOKUP($B236,'Slutlig allokering kvv'!$B$2:$BX$550,MATCH(W$2,'Slutlig allokering kvv'!$B$1:$BX$1,0),FALSE)/1,0))</f>
        <v/>
      </c>
      <c r="X236" s="31" t="str">
        <f>IF($D236="","",IFERROR(VLOOKUP($B236,Kraftvärmeprod!$B$1:$BX$550,MATCH(X$2,Kraftvärmeprod!$B$1:$VX$1,0),FALSE)/1,0)-IFERROR(VLOOKUP($B236,'Slutlig allokering kvv'!$B$2:$BX$550,MATCH(X$2,'Slutlig allokering kvv'!$B$1:$BX$1,0),FALSE)/1,0))</f>
        <v/>
      </c>
      <c r="Y236" s="31" t="str">
        <f>IF($D236="","",IFERROR(VLOOKUP($B236,Kraftvärmeprod!$B$1:$BX$550,MATCH(Y$2,Kraftvärmeprod!$B$1:$VX$1,0),FALSE)/1,0)-IFERROR(VLOOKUP($B236,'Slutlig allokering kvv'!$B$2:$BX$550,MATCH(Y$2,'Slutlig allokering kvv'!$B$1:$BX$1,0),FALSE)/1,0))</f>
        <v/>
      </c>
      <c r="Z236" s="31" t="str">
        <f>IF($D236="","",IFERROR(VLOOKUP($B236,Kraftvärmeprod!$B$1:$BX$550,MATCH(Z$2,Kraftvärmeprod!$B$1:$VX$1,0),FALSE)/1,0)-IFERROR(VLOOKUP($B236,'Slutlig allokering kvv'!$B$2:$BX$550,MATCH(Z$2,'Slutlig allokering kvv'!$B$1:$BX$1,0),FALSE)/1,0))</f>
        <v/>
      </c>
      <c r="AA236" s="31" t="str">
        <f>IF($D236="","",IFERROR(VLOOKUP($B236,Kraftvärmeprod!$B$1:$BX$550,MATCH(AA$2,Kraftvärmeprod!$B$1:$VX$1,0),FALSE)/1,0)-IFERROR(VLOOKUP($B236,'Slutlig allokering kvv'!$B$2:$BX$550,MATCH(AA$2,'Slutlig allokering kvv'!$B$1:$BX$1,0),FALSE)/1,0))</f>
        <v/>
      </c>
      <c r="AB236" s="31" t="str">
        <f>IF($D236="","",IFERROR(VLOOKUP($B236,Kraftvärmeprod!$B$1:$BX$550,MATCH(AB$2,Kraftvärmeprod!$B$1:$VX$1,0),FALSE)/1,0)-IFERROR(VLOOKUP($B236,'Slutlig allokering kvv'!$B$2:$BX$550,MATCH(AB$2,'Slutlig allokering kvv'!$B$1:$BX$1,0),FALSE)/1,0))</f>
        <v/>
      </c>
      <c r="AC236" s="31" t="str">
        <f>IF($D236="","",IFERROR(VLOOKUP($B236,Kraftvärmeprod!$B$1:$BX$550,MATCH(AC$2,Kraftvärmeprod!$B$1:$VX$1,0),FALSE)/1,0)-IFERROR(VLOOKUP($B236,'Slutlig allokering kvv'!$B$2:$BX$550,MATCH(AC$2,'Slutlig allokering kvv'!$B$1:$BX$1,0),FALSE)/1,0))</f>
        <v/>
      </c>
      <c r="AD236" s="31" t="str">
        <f>IF($D236="","",IFERROR(VLOOKUP($B236,Kraftvärmeprod!$B$1:$BX$550,MATCH(AD$2,Kraftvärmeprod!$B$1:$VX$1,0),FALSE)/1,0)-IFERROR(VLOOKUP($B236,'Slutlig allokering kvv'!$B$2:$BX$550,MATCH(AD$2,'Slutlig allokering kvv'!$B$1:$BX$1,0),FALSE)/1,0))</f>
        <v/>
      </c>
      <c r="AE236" s="31" t="str">
        <f>IF($D236="","",IFERROR(VLOOKUP($B236,Miljö!$B$1:$E$550,MATCH("Hjälpel kraftvärme (GWh)",Miljö!$B$1:$E$1,0),FALSE)/1,0)-IFERROR(VLOOKUP($B236,'Slutlig allokering kvv'!$B$2:$BX$549,MATCH(AE$2,'Slutlig allokering kvv'!$B$1:$BX$1,0),FALSE)/1,0))</f>
        <v/>
      </c>
      <c r="AI236" s="39">
        <f t="shared" si="12"/>
        <v>0</v>
      </c>
      <c r="AK236" s="31">
        <f>IFERROR(VLOOKUP($B236,'Slutlig allokering kvv'!$B$2:$AX$549,MATCH("Summa slutlig allokerad tillförd energi (utan hjälpel och rökgaskondensering):",'Slutlig allokering kvv'!$B$1:$AX$1,0),FALSE)/1,"")</f>
        <v>0</v>
      </c>
      <c r="AM236" s="31" t="str">
        <f>IFERROR(1-VLOOKUP($B236,'Slutlig allokering kvv'!$B$2:$AX$549,MATCH("Andel av bränsle i kvv som allokerats till värme, exklusive rökgaskondensering och hjälpel",'Slutlig allokering kvv'!$B$1:$AX$1,0),FALSE),"")</f>
        <v/>
      </c>
      <c r="AO236" s="31" t="str">
        <f t="shared" si="13"/>
        <v/>
      </c>
      <c r="AP236" s="31" t="str">
        <f t="shared" si="14"/>
        <v/>
      </c>
      <c r="AR236" s="32" t="str">
        <f t="shared" si="15"/>
        <v/>
      </c>
    </row>
    <row r="237" spans="1:44" s="31" customFormat="1" x14ac:dyDescent="0.45">
      <c r="A237" s="31" t="s">
        <v>342</v>
      </c>
      <c r="B237" s="31" t="s">
        <v>341</v>
      </c>
      <c r="C237" s="31" t="str">
        <f>IFERROR(VLOOKUP($B237,Kraftvärmeprod!$B$1:$AH$479,MATCH(C$2,Kraftvärmeprod!$B$1:$AG$1,0),FALSE)/1,"")</f>
        <v/>
      </c>
      <c r="D237" s="31" t="str">
        <f>IFERROR(VLOOKUP($B237,Kraftvärmeprod!$B$1:$AH$479,MATCH(D$2,Kraftvärmeprod!$B$1:$AG$1,0),FALSE)/1,"")</f>
        <v/>
      </c>
      <c r="F237" s="31" t="str">
        <f>IF($D237="","",IFERROR(VLOOKUP($B237,Kraftvärmeprod!$B$1:$BX$550,MATCH(F$2,Kraftvärmeprod!$B$1:$VX$1,0),FALSE)/1,0)-IFERROR(VLOOKUP($B237,'Slutlig allokering kvv'!$B$2:$BX$550,MATCH(F$2,'Slutlig allokering kvv'!$B$1:$BX$1,0),FALSE)/1,0))</f>
        <v/>
      </c>
      <c r="G237" s="31" t="str">
        <f>IF($D237="","",IFERROR(VLOOKUP($B237,Kraftvärmeprod!$B$1:$BX$550,MATCH(G$2,Kraftvärmeprod!$B$1:$VX$1,0),FALSE)/1,0)-IFERROR(VLOOKUP($B237,'Slutlig allokering kvv'!$B$2:$BX$550,MATCH(G$2,'Slutlig allokering kvv'!$B$1:$BX$1,0),FALSE)/1,0))</f>
        <v/>
      </c>
      <c r="H237" s="31" t="str">
        <f>IF($D237="","",IFERROR(VLOOKUP($B237,Kraftvärmeprod!$B$1:$BX$550,MATCH(H$2,Kraftvärmeprod!$B$1:$VX$1,0),FALSE)/1,0)-IFERROR(VLOOKUP($B237,'Slutlig allokering kvv'!$B$2:$BX$550,MATCH(H$2,'Slutlig allokering kvv'!$B$1:$BX$1,0),FALSE)/1,0))</f>
        <v/>
      </c>
      <c r="I237" s="31" t="str">
        <f>IF($D237="","",IFERROR(VLOOKUP($B237,Kraftvärmeprod!$B$1:$BX$550,MATCH(I$2,Kraftvärmeprod!$B$1:$VX$1,0),FALSE)/1,0)-IFERROR(VLOOKUP($B237,'Slutlig allokering kvv'!$B$2:$BX$550,MATCH(I$2,'Slutlig allokering kvv'!$B$1:$BX$1,0),FALSE)/1,0))</f>
        <v/>
      </c>
      <c r="J237" s="31" t="str">
        <f>IF($D237="","",IFERROR(VLOOKUP($B237,Kraftvärmeprod!$B$1:$BX$550,MATCH(J$2,Kraftvärmeprod!$B$1:$VX$1,0),FALSE)/1,0)-IFERROR(VLOOKUP($B237,'Slutlig allokering kvv'!$B$2:$BX$550,MATCH(J$2,'Slutlig allokering kvv'!$B$1:$BX$1,0),FALSE)/1,0))</f>
        <v/>
      </c>
      <c r="K237" s="31" t="str">
        <f>IF($D237="","",IFERROR(VLOOKUP($B237,Kraftvärmeprod!$B$1:$BX$550,MATCH(K$2,Kraftvärmeprod!$B$1:$VX$1,0),FALSE)/1,0)-IFERROR(VLOOKUP($B237,'Slutlig allokering kvv'!$B$2:$BX$550,MATCH(K$2,'Slutlig allokering kvv'!$B$1:$BX$1,0),FALSE)/1,0))</f>
        <v/>
      </c>
      <c r="L237" s="31" t="str">
        <f>IF($D237="","",IFERROR(VLOOKUP($B237,Kraftvärmeprod!$B$1:$BX$550,MATCH(L$2,Kraftvärmeprod!$B$1:$VX$1,0),FALSE)/1,0)-IFERROR(VLOOKUP($B237,'Slutlig allokering kvv'!$B$2:$BX$550,MATCH(L$2,'Slutlig allokering kvv'!$B$1:$BX$1,0),FALSE)/1,0))</f>
        <v/>
      </c>
      <c r="M237" s="31" t="str">
        <f>IF($D237="","",IFERROR(VLOOKUP($B237,Kraftvärmeprod!$B$1:$BX$550,MATCH(M$2,Kraftvärmeprod!$B$1:$VX$1,0),FALSE)/1,0)-IFERROR(VLOOKUP($B237,'Slutlig allokering kvv'!$B$2:$BX$550,MATCH(M$2,'Slutlig allokering kvv'!$B$1:$BX$1,0),FALSE)/1,0))</f>
        <v/>
      </c>
      <c r="N237" s="31" t="str">
        <f>IF($D237="","",IFERROR(VLOOKUP($B237,Kraftvärmeprod!$B$1:$BX$550,MATCH(N$2,Kraftvärmeprod!$B$1:$VX$1,0),FALSE)/1,0)-IFERROR(VLOOKUP($B237,'Slutlig allokering kvv'!$B$2:$BX$550,MATCH(N$2,'Slutlig allokering kvv'!$B$1:$BX$1,0),FALSE)/1,0))</f>
        <v/>
      </c>
      <c r="O237" s="31" t="str">
        <f>IF($D237="","",IFERROR(VLOOKUP($B237,Kraftvärmeprod!$B$1:$BX$550,MATCH(O$2,Kraftvärmeprod!$B$1:$VX$1,0),FALSE)/1,0)-IFERROR(VLOOKUP($B237,'Slutlig allokering kvv'!$B$2:$BX$550,MATCH(O$2,'Slutlig allokering kvv'!$B$1:$BX$1,0),FALSE)/1,0))</f>
        <v/>
      </c>
      <c r="P237" s="31" t="str">
        <f>IF($D237="","",IFERROR(VLOOKUP($B237,Kraftvärmeprod!$B$1:$BX$550,MATCH(P$2,Kraftvärmeprod!$B$1:$VX$1,0),FALSE)/1,0)-IFERROR(VLOOKUP($B237,'Slutlig allokering kvv'!$B$2:$BX$550,MATCH(P$2,'Slutlig allokering kvv'!$B$1:$BX$1,0),FALSE)/1,0))</f>
        <v/>
      </c>
      <c r="Q237" s="31" t="str">
        <f>IF($D237="","",IFERROR(VLOOKUP($B237,Kraftvärmeprod!$B$1:$BX$550,MATCH(Q$2,Kraftvärmeprod!$B$1:$VX$1,0),FALSE)/1,0)-IFERROR(VLOOKUP($B237,'Slutlig allokering kvv'!$B$2:$BX$550,MATCH(Q$2,'Slutlig allokering kvv'!$B$1:$BX$1,0),FALSE)/1,0))</f>
        <v/>
      </c>
      <c r="R237" s="31" t="str">
        <f>IF($D237="","",IFERROR(VLOOKUP($B237,Kraftvärmeprod!$B$1:$BX$550,MATCH(R$2,Kraftvärmeprod!$B$1:$VX$1,0),FALSE)/1,0)-IFERROR(VLOOKUP($B237,'Slutlig allokering kvv'!$B$2:$BX$550,MATCH(R$2,'Slutlig allokering kvv'!$B$1:$BX$1,0),FALSE)/1,0))</f>
        <v/>
      </c>
      <c r="S237" s="31" t="str">
        <f>IF($D237="","",IFERROR(VLOOKUP($B237,Kraftvärmeprod!$B$1:$BX$550,MATCH(S$2,Kraftvärmeprod!$B$1:$VX$1,0),FALSE)/1,0)-IFERROR(VLOOKUP($B237,'Slutlig allokering kvv'!$B$2:$BX$550,MATCH(S$2,'Slutlig allokering kvv'!$B$1:$BX$1,0),FALSE)/1,0))</f>
        <v/>
      </c>
      <c r="T237" s="31" t="str">
        <f>IF($D237="","",IFERROR(VLOOKUP($B237,Kraftvärmeprod!$B$1:$BX$550,MATCH(T$2,Kraftvärmeprod!$B$1:$VX$1,0),FALSE)/1,0)-IFERROR(VLOOKUP($B237,'Slutlig allokering kvv'!$B$2:$BX$550,MATCH(T$2,'Slutlig allokering kvv'!$B$1:$BX$1,0),FALSE)/1,0))</f>
        <v/>
      </c>
      <c r="U237" s="31" t="str">
        <f>IF($D237="","",IFERROR(VLOOKUP($B237,Kraftvärmeprod!$B$1:$BX$550,MATCH(U$2,Kraftvärmeprod!$B$1:$VX$1,0),FALSE)/1,0)-IFERROR(VLOOKUP($B237,'Slutlig allokering kvv'!$B$2:$BX$550,MATCH(U$2,'Slutlig allokering kvv'!$B$1:$BX$1,0),FALSE)/1,0))</f>
        <v/>
      </c>
      <c r="V237" s="31" t="str">
        <f>IF($D237="","",IFERROR(VLOOKUP($B237,Kraftvärmeprod!$B$1:$BX$550,MATCH(V$2,Kraftvärmeprod!$B$1:$VX$1,0),FALSE)/1,0)-IFERROR(VLOOKUP($B237,'Slutlig allokering kvv'!$B$2:$BX$550,MATCH(V$2,'Slutlig allokering kvv'!$B$1:$BX$1,0),FALSE)/1,0))</f>
        <v/>
      </c>
      <c r="W237" s="31" t="str">
        <f>IF($D237="","",IFERROR(VLOOKUP($B237,Kraftvärmeprod!$B$1:$BX$550,MATCH(W$2,Kraftvärmeprod!$B$1:$VX$1,0),FALSE)/1,0)-IFERROR(VLOOKUP($B237,'Slutlig allokering kvv'!$B$2:$BX$550,MATCH(W$2,'Slutlig allokering kvv'!$B$1:$BX$1,0),FALSE)/1,0))</f>
        <v/>
      </c>
      <c r="X237" s="31" t="str">
        <f>IF($D237="","",IFERROR(VLOOKUP($B237,Kraftvärmeprod!$B$1:$BX$550,MATCH(X$2,Kraftvärmeprod!$B$1:$VX$1,0),FALSE)/1,0)-IFERROR(VLOOKUP($B237,'Slutlig allokering kvv'!$B$2:$BX$550,MATCH(X$2,'Slutlig allokering kvv'!$B$1:$BX$1,0),FALSE)/1,0))</f>
        <v/>
      </c>
      <c r="Y237" s="31" t="str">
        <f>IF($D237="","",IFERROR(VLOOKUP($B237,Kraftvärmeprod!$B$1:$BX$550,MATCH(Y$2,Kraftvärmeprod!$B$1:$VX$1,0),FALSE)/1,0)-IFERROR(VLOOKUP($B237,'Slutlig allokering kvv'!$B$2:$BX$550,MATCH(Y$2,'Slutlig allokering kvv'!$B$1:$BX$1,0),FALSE)/1,0))</f>
        <v/>
      </c>
      <c r="Z237" s="31" t="str">
        <f>IF($D237="","",IFERROR(VLOOKUP($B237,Kraftvärmeprod!$B$1:$BX$550,MATCH(Z$2,Kraftvärmeprod!$B$1:$VX$1,0),FALSE)/1,0)-IFERROR(VLOOKUP($B237,'Slutlig allokering kvv'!$B$2:$BX$550,MATCH(Z$2,'Slutlig allokering kvv'!$B$1:$BX$1,0),FALSE)/1,0))</f>
        <v/>
      </c>
      <c r="AA237" s="31" t="str">
        <f>IF($D237="","",IFERROR(VLOOKUP($B237,Kraftvärmeprod!$B$1:$BX$550,MATCH(AA$2,Kraftvärmeprod!$B$1:$VX$1,0),FALSE)/1,0)-IFERROR(VLOOKUP($B237,'Slutlig allokering kvv'!$B$2:$BX$550,MATCH(AA$2,'Slutlig allokering kvv'!$B$1:$BX$1,0),FALSE)/1,0))</f>
        <v/>
      </c>
      <c r="AB237" s="31" t="str">
        <f>IF($D237="","",IFERROR(VLOOKUP($B237,Kraftvärmeprod!$B$1:$BX$550,MATCH(AB$2,Kraftvärmeprod!$B$1:$VX$1,0),FALSE)/1,0)-IFERROR(VLOOKUP($B237,'Slutlig allokering kvv'!$B$2:$BX$550,MATCH(AB$2,'Slutlig allokering kvv'!$B$1:$BX$1,0),FALSE)/1,0))</f>
        <v/>
      </c>
      <c r="AC237" s="31" t="str">
        <f>IF($D237="","",IFERROR(VLOOKUP($B237,Kraftvärmeprod!$B$1:$BX$550,MATCH(AC$2,Kraftvärmeprod!$B$1:$VX$1,0),FALSE)/1,0)-IFERROR(VLOOKUP($B237,'Slutlig allokering kvv'!$B$2:$BX$550,MATCH(AC$2,'Slutlig allokering kvv'!$B$1:$BX$1,0),FALSE)/1,0))</f>
        <v/>
      </c>
      <c r="AD237" s="31" t="str">
        <f>IF($D237="","",IFERROR(VLOOKUP($B237,Kraftvärmeprod!$B$1:$BX$550,MATCH(AD$2,Kraftvärmeprod!$B$1:$VX$1,0),FALSE)/1,0)-IFERROR(VLOOKUP($B237,'Slutlig allokering kvv'!$B$2:$BX$550,MATCH(AD$2,'Slutlig allokering kvv'!$B$1:$BX$1,0),FALSE)/1,0))</f>
        <v/>
      </c>
      <c r="AE237" s="31" t="str">
        <f>IF($D237="","",IFERROR(VLOOKUP($B237,Miljö!$B$1:$E$550,MATCH("Hjälpel kraftvärme (GWh)",Miljö!$B$1:$E$1,0),FALSE)/1,0)-IFERROR(VLOOKUP($B237,'Slutlig allokering kvv'!$B$2:$BX$549,MATCH(AE$2,'Slutlig allokering kvv'!$B$1:$BX$1,0),FALSE)/1,0))</f>
        <v/>
      </c>
      <c r="AI237" s="39">
        <f t="shared" si="12"/>
        <v>0</v>
      </c>
      <c r="AK237" s="31">
        <f>IFERROR(VLOOKUP($B237,'Slutlig allokering kvv'!$B$2:$AX$549,MATCH("Summa slutlig allokerad tillförd energi (utan hjälpel och rökgaskondensering):",'Slutlig allokering kvv'!$B$1:$AX$1,0),FALSE)/1,"")</f>
        <v>0</v>
      </c>
      <c r="AM237" s="31" t="str">
        <f>IFERROR(1-VLOOKUP($B237,'Slutlig allokering kvv'!$B$2:$AX$549,MATCH("Andel av bränsle i kvv som allokerats till värme, exklusive rökgaskondensering och hjälpel",'Slutlig allokering kvv'!$B$1:$AX$1,0),FALSE),"")</f>
        <v/>
      </c>
      <c r="AO237" s="31" t="str">
        <f t="shared" si="13"/>
        <v/>
      </c>
      <c r="AP237" s="31" t="str">
        <f t="shared" si="14"/>
        <v/>
      </c>
      <c r="AR237" s="32" t="str">
        <f t="shared" si="15"/>
        <v/>
      </c>
    </row>
    <row r="238" spans="1:44" s="31" customFormat="1" x14ac:dyDescent="0.45">
      <c r="A238" s="31" t="s">
        <v>336</v>
      </c>
      <c r="B238" s="31" t="s">
        <v>340</v>
      </c>
      <c r="C238" s="31" t="str">
        <f>IFERROR(VLOOKUP($B238,Kraftvärmeprod!$B$1:$AH$479,MATCH(C$2,Kraftvärmeprod!$B$1:$AG$1,0),FALSE)/1,"")</f>
        <v/>
      </c>
      <c r="D238" s="31" t="str">
        <f>IFERROR(VLOOKUP($B238,Kraftvärmeprod!$B$1:$AH$479,MATCH(D$2,Kraftvärmeprod!$B$1:$AG$1,0),FALSE)/1,"")</f>
        <v/>
      </c>
      <c r="F238" s="31" t="str">
        <f>IF($D238="","",IFERROR(VLOOKUP($B238,Kraftvärmeprod!$B$1:$BX$550,MATCH(F$2,Kraftvärmeprod!$B$1:$VX$1,0),FALSE)/1,0)-IFERROR(VLOOKUP($B238,'Slutlig allokering kvv'!$B$2:$BX$550,MATCH(F$2,'Slutlig allokering kvv'!$B$1:$BX$1,0),FALSE)/1,0))</f>
        <v/>
      </c>
      <c r="G238" s="31" t="str">
        <f>IF($D238="","",IFERROR(VLOOKUP($B238,Kraftvärmeprod!$B$1:$BX$550,MATCH(G$2,Kraftvärmeprod!$B$1:$VX$1,0),FALSE)/1,0)-IFERROR(VLOOKUP($B238,'Slutlig allokering kvv'!$B$2:$BX$550,MATCH(G$2,'Slutlig allokering kvv'!$B$1:$BX$1,0),FALSE)/1,0))</f>
        <v/>
      </c>
      <c r="H238" s="31" t="str">
        <f>IF($D238="","",IFERROR(VLOOKUP($B238,Kraftvärmeprod!$B$1:$BX$550,MATCH(H$2,Kraftvärmeprod!$B$1:$VX$1,0),FALSE)/1,0)-IFERROR(VLOOKUP($B238,'Slutlig allokering kvv'!$B$2:$BX$550,MATCH(H$2,'Slutlig allokering kvv'!$B$1:$BX$1,0),FALSE)/1,0))</f>
        <v/>
      </c>
      <c r="I238" s="31" t="str">
        <f>IF($D238="","",IFERROR(VLOOKUP($B238,Kraftvärmeprod!$B$1:$BX$550,MATCH(I$2,Kraftvärmeprod!$B$1:$VX$1,0),FALSE)/1,0)-IFERROR(VLOOKUP($B238,'Slutlig allokering kvv'!$B$2:$BX$550,MATCH(I$2,'Slutlig allokering kvv'!$B$1:$BX$1,0),FALSE)/1,0))</f>
        <v/>
      </c>
      <c r="J238" s="31" t="str">
        <f>IF($D238="","",IFERROR(VLOOKUP($B238,Kraftvärmeprod!$B$1:$BX$550,MATCH(J$2,Kraftvärmeprod!$B$1:$VX$1,0),FALSE)/1,0)-IFERROR(VLOOKUP($B238,'Slutlig allokering kvv'!$B$2:$BX$550,MATCH(J$2,'Slutlig allokering kvv'!$B$1:$BX$1,0),FALSE)/1,0))</f>
        <v/>
      </c>
      <c r="K238" s="31" t="str">
        <f>IF($D238="","",IFERROR(VLOOKUP($B238,Kraftvärmeprod!$B$1:$BX$550,MATCH(K$2,Kraftvärmeprod!$B$1:$VX$1,0),FALSE)/1,0)-IFERROR(VLOOKUP($B238,'Slutlig allokering kvv'!$B$2:$BX$550,MATCH(K$2,'Slutlig allokering kvv'!$B$1:$BX$1,0),FALSE)/1,0))</f>
        <v/>
      </c>
      <c r="L238" s="31" t="str">
        <f>IF($D238="","",IFERROR(VLOOKUP($B238,Kraftvärmeprod!$B$1:$BX$550,MATCH(L$2,Kraftvärmeprod!$B$1:$VX$1,0),FALSE)/1,0)-IFERROR(VLOOKUP($B238,'Slutlig allokering kvv'!$B$2:$BX$550,MATCH(L$2,'Slutlig allokering kvv'!$B$1:$BX$1,0),FALSE)/1,0))</f>
        <v/>
      </c>
      <c r="M238" s="31" t="str">
        <f>IF($D238="","",IFERROR(VLOOKUP($B238,Kraftvärmeprod!$B$1:$BX$550,MATCH(M$2,Kraftvärmeprod!$B$1:$VX$1,0),FALSE)/1,0)-IFERROR(VLOOKUP($B238,'Slutlig allokering kvv'!$B$2:$BX$550,MATCH(M$2,'Slutlig allokering kvv'!$B$1:$BX$1,0),FALSE)/1,0))</f>
        <v/>
      </c>
      <c r="N238" s="31" t="str">
        <f>IF($D238="","",IFERROR(VLOOKUP($B238,Kraftvärmeprod!$B$1:$BX$550,MATCH(N$2,Kraftvärmeprod!$B$1:$VX$1,0),FALSE)/1,0)-IFERROR(VLOOKUP($B238,'Slutlig allokering kvv'!$B$2:$BX$550,MATCH(N$2,'Slutlig allokering kvv'!$B$1:$BX$1,0),FALSE)/1,0))</f>
        <v/>
      </c>
      <c r="O238" s="31" t="str">
        <f>IF($D238="","",IFERROR(VLOOKUP($B238,Kraftvärmeprod!$B$1:$BX$550,MATCH(O$2,Kraftvärmeprod!$B$1:$VX$1,0),FALSE)/1,0)-IFERROR(VLOOKUP($B238,'Slutlig allokering kvv'!$B$2:$BX$550,MATCH(O$2,'Slutlig allokering kvv'!$B$1:$BX$1,0),FALSE)/1,0))</f>
        <v/>
      </c>
      <c r="P238" s="31" t="str">
        <f>IF($D238="","",IFERROR(VLOOKUP($B238,Kraftvärmeprod!$B$1:$BX$550,MATCH(P$2,Kraftvärmeprod!$B$1:$VX$1,0),FALSE)/1,0)-IFERROR(VLOOKUP($B238,'Slutlig allokering kvv'!$B$2:$BX$550,MATCH(P$2,'Slutlig allokering kvv'!$B$1:$BX$1,0),FALSE)/1,0))</f>
        <v/>
      </c>
      <c r="Q238" s="31" t="str">
        <f>IF($D238="","",IFERROR(VLOOKUP($B238,Kraftvärmeprod!$B$1:$BX$550,MATCH(Q$2,Kraftvärmeprod!$B$1:$VX$1,0),FALSE)/1,0)-IFERROR(VLOOKUP($B238,'Slutlig allokering kvv'!$B$2:$BX$550,MATCH(Q$2,'Slutlig allokering kvv'!$B$1:$BX$1,0),FALSE)/1,0))</f>
        <v/>
      </c>
      <c r="R238" s="31" t="str">
        <f>IF($D238="","",IFERROR(VLOOKUP($B238,Kraftvärmeprod!$B$1:$BX$550,MATCH(R$2,Kraftvärmeprod!$B$1:$VX$1,0),FALSE)/1,0)-IFERROR(VLOOKUP($B238,'Slutlig allokering kvv'!$B$2:$BX$550,MATCH(R$2,'Slutlig allokering kvv'!$B$1:$BX$1,0),FALSE)/1,0))</f>
        <v/>
      </c>
      <c r="S238" s="31" t="str">
        <f>IF($D238="","",IFERROR(VLOOKUP($B238,Kraftvärmeprod!$B$1:$BX$550,MATCH(S$2,Kraftvärmeprod!$B$1:$VX$1,0),FALSE)/1,0)-IFERROR(VLOOKUP($B238,'Slutlig allokering kvv'!$B$2:$BX$550,MATCH(S$2,'Slutlig allokering kvv'!$B$1:$BX$1,0),FALSE)/1,0))</f>
        <v/>
      </c>
      <c r="T238" s="31" t="str">
        <f>IF($D238="","",IFERROR(VLOOKUP($B238,Kraftvärmeprod!$B$1:$BX$550,MATCH(T$2,Kraftvärmeprod!$B$1:$VX$1,0),FALSE)/1,0)-IFERROR(VLOOKUP($B238,'Slutlig allokering kvv'!$B$2:$BX$550,MATCH(T$2,'Slutlig allokering kvv'!$B$1:$BX$1,0),FALSE)/1,0))</f>
        <v/>
      </c>
      <c r="U238" s="31" t="str">
        <f>IF($D238="","",IFERROR(VLOOKUP($B238,Kraftvärmeprod!$B$1:$BX$550,MATCH(U$2,Kraftvärmeprod!$B$1:$VX$1,0),FALSE)/1,0)-IFERROR(VLOOKUP($B238,'Slutlig allokering kvv'!$B$2:$BX$550,MATCH(U$2,'Slutlig allokering kvv'!$B$1:$BX$1,0),FALSE)/1,0))</f>
        <v/>
      </c>
      <c r="V238" s="31" t="str">
        <f>IF($D238="","",IFERROR(VLOOKUP($B238,Kraftvärmeprod!$B$1:$BX$550,MATCH(V$2,Kraftvärmeprod!$B$1:$VX$1,0),FALSE)/1,0)-IFERROR(VLOOKUP($B238,'Slutlig allokering kvv'!$B$2:$BX$550,MATCH(V$2,'Slutlig allokering kvv'!$B$1:$BX$1,0),FALSE)/1,0))</f>
        <v/>
      </c>
      <c r="W238" s="31" t="str">
        <f>IF($D238="","",IFERROR(VLOOKUP($B238,Kraftvärmeprod!$B$1:$BX$550,MATCH(W$2,Kraftvärmeprod!$B$1:$VX$1,0),FALSE)/1,0)-IFERROR(VLOOKUP($B238,'Slutlig allokering kvv'!$B$2:$BX$550,MATCH(W$2,'Slutlig allokering kvv'!$B$1:$BX$1,0),FALSE)/1,0))</f>
        <v/>
      </c>
      <c r="X238" s="31" t="str">
        <f>IF($D238="","",IFERROR(VLOOKUP($B238,Kraftvärmeprod!$B$1:$BX$550,MATCH(X$2,Kraftvärmeprod!$B$1:$VX$1,0),FALSE)/1,0)-IFERROR(VLOOKUP($B238,'Slutlig allokering kvv'!$B$2:$BX$550,MATCH(X$2,'Slutlig allokering kvv'!$B$1:$BX$1,0),FALSE)/1,0))</f>
        <v/>
      </c>
      <c r="Y238" s="31" t="str">
        <f>IF($D238="","",IFERROR(VLOOKUP($B238,Kraftvärmeprod!$B$1:$BX$550,MATCH(Y$2,Kraftvärmeprod!$B$1:$VX$1,0),FALSE)/1,0)-IFERROR(VLOOKUP($B238,'Slutlig allokering kvv'!$B$2:$BX$550,MATCH(Y$2,'Slutlig allokering kvv'!$B$1:$BX$1,0),FALSE)/1,0))</f>
        <v/>
      </c>
      <c r="Z238" s="31" t="str">
        <f>IF($D238="","",IFERROR(VLOOKUP($B238,Kraftvärmeprod!$B$1:$BX$550,MATCH(Z$2,Kraftvärmeprod!$B$1:$VX$1,0),FALSE)/1,0)-IFERROR(VLOOKUP($B238,'Slutlig allokering kvv'!$B$2:$BX$550,MATCH(Z$2,'Slutlig allokering kvv'!$B$1:$BX$1,0),FALSE)/1,0))</f>
        <v/>
      </c>
      <c r="AA238" s="31" t="str">
        <f>IF($D238="","",IFERROR(VLOOKUP($B238,Kraftvärmeprod!$B$1:$BX$550,MATCH(AA$2,Kraftvärmeprod!$B$1:$VX$1,0),FALSE)/1,0)-IFERROR(VLOOKUP($B238,'Slutlig allokering kvv'!$B$2:$BX$550,MATCH(AA$2,'Slutlig allokering kvv'!$B$1:$BX$1,0),FALSE)/1,0))</f>
        <v/>
      </c>
      <c r="AB238" s="31" t="str">
        <f>IF($D238="","",IFERROR(VLOOKUP($B238,Kraftvärmeprod!$B$1:$BX$550,MATCH(AB$2,Kraftvärmeprod!$B$1:$VX$1,0),FALSE)/1,0)-IFERROR(VLOOKUP($B238,'Slutlig allokering kvv'!$B$2:$BX$550,MATCH(AB$2,'Slutlig allokering kvv'!$B$1:$BX$1,0),FALSE)/1,0))</f>
        <v/>
      </c>
      <c r="AC238" s="31" t="str">
        <f>IF($D238="","",IFERROR(VLOOKUP($B238,Kraftvärmeprod!$B$1:$BX$550,MATCH(AC$2,Kraftvärmeprod!$B$1:$VX$1,0),FALSE)/1,0)-IFERROR(VLOOKUP($B238,'Slutlig allokering kvv'!$B$2:$BX$550,MATCH(AC$2,'Slutlig allokering kvv'!$B$1:$BX$1,0),FALSE)/1,0))</f>
        <v/>
      </c>
      <c r="AD238" s="31" t="str">
        <f>IF($D238="","",IFERROR(VLOOKUP($B238,Kraftvärmeprod!$B$1:$BX$550,MATCH(AD$2,Kraftvärmeprod!$B$1:$VX$1,0),FALSE)/1,0)-IFERROR(VLOOKUP($B238,'Slutlig allokering kvv'!$B$2:$BX$550,MATCH(AD$2,'Slutlig allokering kvv'!$B$1:$BX$1,0),FALSE)/1,0))</f>
        <v/>
      </c>
      <c r="AE238" s="31" t="str">
        <f>IF($D238="","",IFERROR(VLOOKUP($B238,Miljö!$B$1:$E$550,MATCH("Hjälpel kraftvärme (GWh)",Miljö!$B$1:$E$1,0),FALSE)/1,0)-IFERROR(VLOOKUP($B238,'Slutlig allokering kvv'!$B$2:$BX$549,MATCH(AE$2,'Slutlig allokering kvv'!$B$1:$BX$1,0),FALSE)/1,0))</f>
        <v/>
      </c>
      <c r="AI238" s="39">
        <f t="shared" si="12"/>
        <v>0</v>
      </c>
      <c r="AK238" s="31">
        <f>IFERROR(VLOOKUP($B238,'Slutlig allokering kvv'!$B$2:$AX$549,MATCH("Summa slutlig allokerad tillförd energi (utan hjälpel och rökgaskondensering):",'Slutlig allokering kvv'!$B$1:$AX$1,0),FALSE)/1,"")</f>
        <v>0</v>
      </c>
      <c r="AM238" s="31" t="str">
        <f>IFERROR(1-VLOOKUP($B238,'Slutlig allokering kvv'!$B$2:$AX$549,MATCH("Andel av bränsle i kvv som allokerats till värme, exklusive rökgaskondensering och hjälpel",'Slutlig allokering kvv'!$B$1:$AX$1,0),FALSE),"")</f>
        <v/>
      </c>
      <c r="AO238" s="31" t="str">
        <f t="shared" si="13"/>
        <v/>
      </c>
      <c r="AP238" s="31" t="str">
        <f t="shared" si="14"/>
        <v/>
      </c>
      <c r="AR238" s="32" t="str">
        <f t="shared" si="15"/>
        <v/>
      </c>
    </row>
    <row r="239" spans="1:44" s="31" customFormat="1" x14ac:dyDescent="0.45">
      <c r="A239" s="31" t="s">
        <v>336</v>
      </c>
      <c r="B239" s="31" t="s">
        <v>339</v>
      </c>
      <c r="C239" s="31">
        <f>IFERROR(VLOOKUP($B239,Kraftvärmeprod!$B$1:$AH$479,MATCH(C$2,Kraftvärmeprod!$B$1:$AG$1,0),FALSE)/1,"")</f>
        <v>370.113</v>
      </c>
      <c r="D239" s="31">
        <f>IFERROR(VLOOKUP($B239,Kraftvärmeprod!$B$1:$AH$479,MATCH(D$2,Kraftvärmeprod!$B$1:$AG$1,0),FALSE)/1,"")</f>
        <v>44.774999999999999</v>
      </c>
      <c r="F239" s="31">
        <f>IF($D239="","",IFERROR(VLOOKUP($B239,Kraftvärmeprod!$B$1:$BX$550,MATCH(F$2,Kraftvärmeprod!$B$1:$VX$1,0),FALSE)/1,0)-IFERROR(VLOOKUP($B239,'Slutlig allokering kvv'!$B$2:$BX$550,MATCH(F$2,'Slutlig allokering kvv'!$B$1:$BX$1,0),FALSE)/1,0))</f>
        <v>0</v>
      </c>
      <c r="G239" s="31">
        <f>IF($D239="","",IFERROR(VLOOKUP($B239,Kraftvärmeprod!$B$1:$BX$550,MATCH(G$2,Kraftvärmeprod!$B$1:$VX$1,0),FALSE)/1,0)-IFERROR(VLOOKUP($B239,'Slutlig allokering kvv'!$B$2:$BX$550,MATCH(G$2,'Slutlig allokering kvv'!$B$1:$BX$1,0),FALSE)/1,0))</f>
        <v>0.22608499999999987</v>
      </c>
      <c r="H239" s="31">
        <f>IF($D239="","",IFERROR(VLOOKUP($B239,Kraftvärmeprod!$B$1:$BX$550,MATCH(H$2,Kraftvärmeprod!$B$1:$VX$1,0),FALSE)/1,0)-IFERROR(VLOOKUP($B239,'Slutlig allokering kvv'!$B$2:$BX$550,MATCH(H$2,'Slutlig allokering kvv'!$B$1:$BX$1,0),FALSE)/1,0))</f>
        <v>0</v>
      </c>
      <c r="I239" s="31">
        <f>IF($D239="","",IFERROR(VLOOKUP($B239,Kraftvärmeprod!$B$1:$BX$550,MATCH(I$2,Kraftvärmeprod!$B$1:$VX$1,0),FALSE)/1,0)-IFERROR(VLOOKUP($B239,'Slutlig allokering kvv'!$B$2:$BX$550,MATCH(I$2,'Slutlig allokering kvv'!$B$1:$BX$1,0),FALSE)/1,0))</f>
        <v>0</v>
      </c>
      <c r="J239" s="31">
        <f>IF($D239="","",IFERROR(VLOOKUP($B239,Kraftvärmeprod!$B$1:$BX$550,MATCH(J$2,Kraftvärmeprod!$B$1:$VX$1,0),FALSE)/1,0)-IFERROR(VLOOKUP($B239,'Slutlig allokering kvv'!$B$2:$BX$550,MATCH(J$2,'Slutlig allokering kvv'!$B$1:$BX$1,0),FALSE)/1,0))</f>
        <v>0</v>
      </c>
      <c r="K239" s="31">
        <f>IF($D239="","",IFERROR(VLOOKUP($B239,Kraftvärmeprod!$B$1:$BX$550,MATCH(K$2,Kraftvärmeprod!$B$1:$VX$1,0),FALSE)/1,0)-IFERROR(VLOOKUP($B239,'Slutlig allokering kvv'!$B$2:$BX$550,MATCH(K$2,'Slutlig allokering kvv'!$B$1:$BX$1,0),FALSE)/1,0))</f>
        <v>0</v>
      </c>
      <c r="L239" s="31">
        <f>IF($D239="","",IFERROR(VLOOKUP($B239,Kraftvärmeprod!$B$1:$BX$550,MATCH(L$2,Kraftvärmeprod!$B$1:$VX$1,0),FALSE)/1,0)-IFERROR(VLOOKUP($B239,'Slutlig allokering kvv'!$B$2:$BX$550,MATCH(L$2,'Slutlig allokering kvv'!$B$1:$BX$1,0),FALSE)/1,0))</f>
        <v>45.140999999999991</v>
      </c>
      <c r="M239" s="31">
        <f>IF($D239="","",IFERROR(VLOOKUP($B239,Kraftvärmeprod!$B$1:$BX$550,MATCH(M$2,Kraftvärmeprod!$B$1:$VX$1,0),FALSE)/1,0)-IFERROR(VLOOKUP($B239,'Slutlig allokering kvv'!$B$2:$BX$550,MATCH(M$2,'Slutlig allokering kvv'!$B$1:$BX$1,0),FALSE)/1,0))</f>
        <v>0</v>
      </c>
      <c r="N239" s="31">
        <f>IF($D239="","",IFERROR(VLOOKUP($B239,Kraftvärmeprod!$B$1:$BX$550,MATCH(N$2,Kraftvärmeprod!$B$1:$VX$1,0),FALSE)/1,0)-IFERROR(VLOOKUP($B239,'Slutlig allokering kvv'!$B$2:$BX$550,MATCH(N$2,'Slutlig allokering kvv'!$B$1:$BX$1,0),FALSE)/1,0))</f>
        <v>0</v>
      </c>
      <c r="O239" s="31">
        <f>IF($D239="","",IFERROR(VLOOKUP($B239,Kraftvärmeprod!$B$1:$BX$550,MATCH(O$2,Kraftvärmeprod!$B$1:$VX$1,0),FALSE)/1,0)-IFERROR(VLOOKUP($B239,'Slutlig allokering kvv'!$B$2:$BX$550,MATCH(O$2,'Slutlig allokering kvv'!$B$1:$BX$1,0),FALSE)/1,0))</f>
        <v>0</v>
      </c>
      <c r="P239" s="31">
        <f>IF($D239="","",IFERROR(VLOOKUP($B239,Kraftvärmeprod!$B$1:$BX$550,MATCH(P$2,Kraftvärmeprod!$B$1:$VX$1,0),FALSE)/1,0)-IFERROR(VLOOKUP($B239,'Slutlig allokering kvv'!$B$2:$BX$550,MATCH(P$2,'Slutlig allokering kvv'!$B$1:$BX$1,0),FALSE)/1,0))</f>
        <v>0</v>
      </c>
      <c r="Q239" s="31">
        <f>IF($D239="","",IFERROR(VLOOKUP($B239,Kraftvärmeprod!$B$1:$BX$550,MATCH(Q$2,Kraftvärmeprod!$B$1:$VX$1,0),FALSE)/1,0)-IFERROR(VLOOKUP($B239,'Slutlig allokering kvv'!$B$2:$BX$550,MATCH(Q$2,'Slutlig allokering kvv'!$B$1:$BX$1,0),FALSE)/1,0))</f>
        <v>0</v>
      </c>
      <c r="R239" s="31">
        <f>IF($D239="","",IFERROR(VLOOKUP($B239,Kraftvärmeprod!$B$1:$BX$550,MATCH(R$2,Kraftvärmeprod!$B$1:$VX$1,0),FALSE)/1,0)-IFERROR(VLOOKUP($B239,'Slutlig allokering kvv'!$B$2:$BX$550,MATCH(R$2,'Slutlig allokering kvv'!$B$1:$BX$1,0),FALSE)/1,0))</f>
        <v>0</v>
      </c>
      <c r="S239" s="31">
        <f>IF($D239="","",IFERROR(VLOOKUP($B239,Kraftvärmeprod!$B$1:$BX$550,MATCH(S$2,Kraftvärmeprod!$B$1:$VX$1,0),FALSE)/1,0)-IFERROR(VLOOKUP($B239,'Slutlig allokering kvv'!$B$2:$BX$550,MATCH(S$2,'Slutlig allokering kvv'!$B$1:$BX$1,0),FALSE)/1,0))</f>
        <v>0</v>
      </c>
      <c r="T239" s="31">
        <f>IF($D239="","",IFERROR(VLOOKUP($B239,Kraftvärmeprod!$B$1:$BX$550,MATCH(T$2,Kraftvärmeprod!$B$1:$VX$1,0),FALSE)/1,0)-IFERROR(VLOOKUP($B239,'Slutlig allokering kvv'!$B$2:$BX$550,MATCH(T$2,'Slutlig allokering kvv'!$B$1:$BX$1,0),FALSE)/1,0))</f>
        <v>0</v>
      </c>
      <c r="U239" s="31">
        <f>IF($D239="","",IFERROR(VLOOKUP($B239,Kraftvärmeprod!$B$1:$BX$550,MATCH(U$2,Kraftvärmeprod!$B$1:$VX$1,0),FALSE)/1,0)-IFERROR(VLOOKUP($B239,'Slutlig allokering kvv'!$B$2:$BX$550,MATCH(U$2,'Slutlig allokering kvv'!$B$1:$BX$1,0),FALSE)/1,0))</f>
        <v>0</v>
      </c>
      <c r="V239" s="31">
        <f>IF($D239="","",IFERROR(VLOOKUP($B239,Kraftvärmeprod!$B$1:$BX$550,MATCH(V$2,Kraftvärmeprod!$B$1:$VX$1,0),FALSE)/1,0)-IFERROR(VLOOKUP($B239,'Slutlig allokering kvv'!$B$2:$BX$550,MATCH(V$2,'Slutlig allokering kvv'!$B$1:$BX$1,0),FALSE)/1,0))</f>
        <v>0</v>
      </c>
      <c r="W239" s="31">
        <f>IF($D239="","",IFERROR(VLOOKUP($B239,Kraftvärmeprod!$B$1:$BX$550,MATCH(W$2,Kraftvärmeprod!$B$1:$VX$1,0),FALSE)/1,0)-IFERROR(VLOOKUP($B239,'Slutlig allokering kvv'!$B$2:$BX$550,MATCH(W$2,'Slutlig allokering kvv'!$B$1:$BX$1,0),FALSE)/1,0))</f>
        <v>0</v>
      </c>
      <c r="X239" s="31">
        <f>IF($D239="","",IFERROR(VLOOKUP($B239,Kraftvärmeprod!$B$1:$BX$550,MATCH(X$2,Kraftvärmeprod!$B$1:$VX$1,0),FALSE)/1,0)-IFERROR(VLOOKUP($B239,'Slutlig allokering kvv'!$B$2:$BX$550,MATCH(X$2,'Slutlig allokering kvv'!$B$1:$BX$1,0),FALSE)/1,0))</f>
        <v>0</v>
      </c>
      <c r="Y239" s="31">
        <f>IF($D239="","",IFERROR(VLOOKUP($B239,Kraftvärmeprod!$B$1:$BX$550,MATCH(Y$2,Kraftvärmeprod!$B$1:$VX$1,0),FALSE)/1,0)-IFERROR(VLOOKUP($B239,'Slutlig allokering kvv'!$B$2:$BX$550,MATCH(Y$2,'Slutlig allokering kvv'!$B$1:$BX$1,0),FALSE)/1,0))</f>
        <v>0</v>
      </c>
      <c r="Z239" s="31">
        <f>IF($D239="","",IFERROR(VLOOKUP($B239,Kraftvärmeprod!$B$1:$BX$550,MATCH(Z$2,Kraftvärmeprod!$B$1:$VX$1,0),FALSE)/1,0)-IFERROR(VLOOKUP($B239,'Slutlig allokering kvv'!$B$2:$BX$550,MATCH(Z$2,'Slutlig allokering kvv'!$B$1:$BX$1,0),FALSE)/1,0))</f>
        <v>0</v>
      </c>
      <c r="AA239" s="31">
        <f>IF($D239="","",IFERROR(VLOOKUP($B239,Kraftvärmeprod!$B$1:$BX$550,MATCH(AA$2,Kraftvärmeprod!$B$1:$VX$1,0),FALSE)/1,0)-IFERROR(VLOOKUP($B239,'Slutlig allokering kvv'!$B$2:$BX$550,MATCH(AA$2,'Slutlig allokering kvv'!$B$1:$BX$1,0),FALSE)/1,0))</f>
        <v>52.859000000000009</v>
      </c>
      <c r="AB239" s="31">
        <f>IF($D239="","",IFERROR(VLOOKUP($B239,Kraftvärmeprod!$B$1:$BX$550,MATCH(AB$2,Kraftvärmeprod!$B$1:$VX$1,0),FALSE)/1,0)-IFERROR(VLOOKUP($B239,'Slutlig allokering kvv'!$B$2:$BX$550,MATCH(AB$2,'Slutlig allokering kvv'!$B$1:$BX$1,0),FALSE)/1,0))</f>
        <v>0</v>
      </c>
      <c r="AC239" s="31">
        <f>IF($D239="","",IFERROR(VLOOKUP($B239,Kraftvärmeprod!$B$1:$BX$550,MATCH(AC$2,Kraftvärmeprod!$B$1:$VX$1,0),FALSE)/1,0)-IFERROR(VLOOKUP($B239,'Slutlig allokering kvv'!$B$2:$BX$550,MATCH(AC$2,'Slutlig allokering kvv'!$B$1:$BX$1,0),FALSE)/1,0))</f>
        <v>0</v>
      </c>
      <c r="AD239" s="31">
        <f>IF($D239="","",IFERROR(VLOOKUP($B239,Kraftvärmeprod!$B$1:$BX$550,MATCH(AD$2,Kraftvärmeprod!$B$1:$VX$1,0),FALSE)/1,0)-IFERROR(VLOOKUP($B239,'Slutlig allokering kvv'!$B$2:$BX$550,MATCH(AD$2,'Slutlig allokering kvv'!$B$1:$BX$1,0),FALSE)/1,0))</f>
        <v>0</v>
      </c>
      <c r="AE239" s="31">
        <f>IF($D239="","",IFERROR(VLOOKUP($B239,Miljö!$B$1:$E$550,MATCH("Hjälpel kraftvärme (GWh)",Miljö!$B$1:$E$1,0),FALSE)/1,0)-IFERROR(VLOOKUP($B239,'Slutlig allokering kvv'!$B$2:$BX$549,MATCH(AE$2,'Slutlig allokering kvv'!$B$1:$BX$1,0),FALSE)/1,0))</f>
        <v>3.0851900000000008</v>
      </c>
      <c r="AI239" s="39">
        <f t="shared" si="12"/>
        <v>98.226084999999998</v>
      </c>
      <c r="AK239" s="31">
        <f>IFERROR(VLOOKUP($B239,'Slutlig allokering kvv'!$B$2:$AX$549,MATCH("Summa slutlig allokerad tillförd energi (utan hjälpel och rökgaskondensering):",'Slutlig allokering kvv'!$B$1:$AX$1,0),FALSE)/1,"")</f>
        <v>280.645915</v>
      </c>
      <c r="AM239" s="31">
        <f>IFERROR(1-VLOOKUP($B239,'Slutlig allokering kvv'!$B$2:$AX$549,MATCH("Andel av bränsle i kvv som allokerats till värme, exklusive rökgaskondensering och hjälpel",'Slutlig allokering kvv'!$B$1:$AX$1,0),FALSE),"")</f>
        <v>0.25925928809729937</v>
      </c>
      <c r="AO239" s="31">
        <f t="shared" si="13"/>
        <v>0.25925928809729931</v>
      </c>
      <c r="AP239" s="31">
        <f t="shared" si="14"/>
        <v>5.5511151231257827E-17</v>
      </c>
      <c r="AR239" s="32">
        <f t="shared" si="15"/>
        <v>0.44195475775030962</v>
      </c>
    </row>
    <row r="240" spans="1:44" s="31" customFormat="1" x14ac:dyDescent="0.45">
      <c r="A240" s="31" t="s">
        <v>336</v>
      </c>
      <c r="B240" s="31" t="s">
        <v>338</v>
      </c>
      <c r="C240" s="31" t="str">
        <f>IFERROR(VLOOKUP($B240,Kraftvärmeprod!$B$1:$AH$479,MATCH(C$2,Kraftvärmeprod!$B$1:$AG$1,0),FALSE)/1,"")</f>
        <v/>
      </c>
      <c r="D240" s="31" t="str">
        <f>IFERROR(VLOOKUP($B240,Kraftvärmeprod!$B$1:$AH$479,MATCH(D$2,Kraftvärmeprod!$B$1:$AG$1,0),FALSE)/1,"")</f>
        <v/>
      </c>
      <c r="F240" s="31" t="str">
        <f>IF($D240="","",IFERROR(VLOOKUP($B240,Kraftvärmeprod!$B$1:$BX$550,MATCH(F$2,Kraftvärmeprod!$B$1:$VX$1,0),FALSE)/1,0)-IFERROR(VLOOKUP($B240,'Slutlig allokering kvv'!$B$2:$BX$550,MATCH(F$2,'Slutlig allokering kvv'!$B$1:$BX$1,0),FALSE)/1,0))</f>
        <v/>
      </c>
      <c r="G240" s="31" t="str">
        <f>IF($D240="","",IFERROR(VLOOKUP($B240,Kraftvärmeprod!$B$1:$BX$550,MATCH(G$2,Kraftvärmeprod!$B$1:$VX$1,0),FALSE)/1,0)-IFERROR(VLOOKUP($B240,'Slutlig allokering kvv'!$B$2:$BX$550,MATCH(G$2,'Slutlig allokering kvv'!$B$1:$BX$1,0),FALSE)/1,0))</f>
        <v/>
      </c>
      <c r="H240" s="31" t="str">
        <f>IF($D240="","",IFERROR(VLOOKUP($B240,Kraftvärmeprod!$B$1:$BX$550,MATCH(H$2,Kraftvärmeprod!$B$1:$VX$1,0),FALSE)/1,0)-IFERROR(VLOOKUP($B240,'Slutlig allokering kvv'!$B$2:$BX$550,MATCH(H$2,'Slutlig allokering kvv'!$B$1:$BX$1,0),FALSE)/1,0))</f>
        <v/>
      </c>
      <c r="I240" s="31" t="str">
        <f>IF($D240="","",IFERROR(VLOOKUP($B240,Kraftvärmeprod!$B$1:$BX$550,MATCH(I$2,Kraftvärmeprod!$B$1:$VX$1,0),FALSE)/1,0)-IFERROR(VLOOKUP($B240,'Slutlig allokering kvv'!$B$2:$BX$550,MATCH(I$2,'Slutlig allokering kvv'!$B$1:$BX$1,0),FALSE)/1,0))</f>
        <v/>
      </c>
      <c r="J240" s="31" t="str">
        <f>IF($D240="","",IFERROR(VLOOKUP($B240,Kraftvärmeprod!$B$1:$BX$550,MATCH(J$2,Kraftvärmeprod!$B$1:$VX$1,0),FALSE)/1,0)-IFERROR(VLOOKUP($B240,'Slutlig allokering kvv'!$B$2:$BX$550,MATCH(J$2,'Slutlig allokering kvv'!$B$1:$BX$1,0),FALSE)/1,0))</f>
        <v/>
      </c>
      <c r="K240" s="31" t="str">
        <f>IF($D240="","",IFERROR(VLOOKUP($B240,Kraftvärmeprod!$B$1:$BX$550,MATCH(K$2,Kraftvärmeprod!$B$1:$VX$1,0),FALSE)/1,0)-IFERROR(VLOOKUP($B240,'Slutlig allokering kvv'!$B$2:$BX$550,MATCH(K$2,'Slutlig allokering kvv'!$B$1:$BX$1,0),FALSE)/1,0))</f>
        <v/>
      </c>
      <c r="L240" s="31" t="str">
        <f>IF($D240="","",IFERROR(VLOOKUP($B240,Kraftvärmeprod!$B$1:$BX$550,MATCH(L$2,Kraftvärmeprod!$B$1:$VX$1,0),FALSE)/1,0)-IFERROR(VLOOKUP($B240,'Slutlig allokering kvv'!$B$2:$BX$550,MATCH(L$2,'Slutlig allokering kvv'!$B$1:$BX$1,0),FALSE)/1,0))</f>
        <v/>
      </c>
      <c r="M240" s="31" t="str">
        <f>IF($D240="","",IFERROR(VLOOKUP($B240,Kraftvärmeprod!$B$1:$BX$550,MATCH(M$2,Kraftvärmeprod!$B$1:$VX$1,0),FALSE)/1,0)-IFERROR(VLOOKUP($B240,'Slutlig allokering kvv'!$B$2:$BX$550,MATCH(M$2,'Slutlig allokering kvv'!$B$1:$BX$1,0),FALSE)/1,0))</f>
        <v/>
      </c>
      <c r="N240" s="31" t="str">
        <f>IF($D240="","",IFERROR(VLOOKUP($B240,Kraftvärmeprod!$B$1:$BX$550,MATCH(N$2,Kraftvärmeprod!$B$1:$VX$1,0),FALSE)/1,0)-IFERROR(VLOOKUP($B240,'Slutlig allokering kvv'!$B$2:$BX$550,MATCH(N$2,'Slutlig allokering kvv'!$B$1:$BX$1,0),FALSE)/1,0))</f>
        <v/>
      </c>
      <c r="O240" s="31" t="str">
        <f>IF($D240="","",IFERROR(VLOOKUP($B240,Kraftvärmeprod!$B$1:$BX$550,MATCH(O$2,Kraftvärmeprod!$B$1:$VX$1,0),FALSE)/1,0)-IFERROR(VLOOKUP($B240,'Slutlig allokering kvv'!$B$2:$BX$550,MATCH(O$2,'Slutlig allokering kvv'!$B$1:$BX$1,0),FALSE)/1,0))</f>
        <v/>
      </c>
      <c r="P240" s="31" t="str">
        <f>IF($D240="","",IFERROR(VLOOKUP($B240,Kraftvärmeprod!$B$1:$BX$550,MATCH(P$2,Kraftvärmeprod!$B$1:$VX$1,0),FALSE)/1,0)-IFERROR(VLOOKUP($B240,'Slutlig allokering kvv'!$B$2:$BX$550,MATCH(P$2,'Slutlig allokering kvv'!$B$1:$BX$1,0),FALSE)/1,0))</f>
        <v/>
      </c>
      <c r="Q240" s="31" t="str">
        <f>IF($D240="","",IFERROR(VLOOKUP($B240,Kraftvärmeprod!$B$1:$BX$550,MATCH(Q$2,Kraftvärmeprod!$B$1:$VX$1,0),FALSE)/1,0)-IFERROR(VLOOKUP($B240,'Slutlig allokering kvv'!$B$2:$BX$550,MATCH(Q$2,'Slutlig allokering kvv'!$B$1:$BX$1,0),FALSE)/1,0))</f>
        <v/>
      </c>
      <c r="R240" s="31" t="str">
        <f>IF($D240="","",IFERROR(VLOOKUP($B240,Kraftvärmeprod!$B$1:$BX$550,MATCH(R$2,Kraftvärmeprod!$B$1:$VX$1,0),FALSE)/1,0)-IFERROR(VLOOKUP($B240,'Slutlig allokering kvv'!$B$2:$BX$550,MATCH(R$2,'Slutlig allokering kvv'!$B$1:$BX$1,0),FALSE)/1,0))</f>
        <v/>
      </c>
      <c r="S240" s="31" t="str">
        <f>IF($D240="","",IFERROR(VLOOKUP($B240,Kraftvärmeprod!$B$1:$BX$550,MATCH(S$2,Kraftvärmeprod!$B$1:$VX$1,0),FALSE)/1,0)-IFERROR(VLOOKUP($B240,'Slutlig allokering kvv'!$B$2:$BX$550,MATCH(S$2,'Slutlig allokering kvv'!$B$1:$BX$1,0),FALSE)/1,0))</f>
        <v/>
      </c>
      <c r="T240" s="31" t="str">
        <f>IF($D240="","",IFERROR(VLOOKUP($B240,Kraftvärmeprod!$B$1:$BX$550,MATCH(T$2,Kraftvärmeprod!$B$1:$VX$1,0),FALSE)/1,0)-IFERROR(VLOOKUP($B240,'Slutlig allokering kvv'!$B$2:$BX$550,MATCH(T$2,'Slutlig allokering kvv'!$B$1:$BX$1,0),FALSE)/1,0))</f>
        <v/>
      </c>
      <c r="U240" s="31" t="str">
        <f>IF($D240="","",IFERROR(VLOOKUP($B240,Kraftvärmeprod!$B$1:$BX$550,MATCH(U$2,Kraftvärmeprod!$B$1:$VX$1,0),FALSE)/1,0)-IFERROR(VLOOKUP($B240,'Slutlig allokering kvv'!$B$2:$BX$550,MATCH(U$2,'Slutlig allokering kvv'!$B$1:$BX$1,0),FALSE)/1,0))</f>
        <v/>
      </c>
      <c r="V240" s="31" t="str">
        <f>IF($D240="","",IFERROR(VLOOKUP($B240,Kraftvärmeprod!$B$1:$BX$550,MATCH(V$2,Kraftvärmeprod!$B$1:$VX$1,0),FALSE)/1,0)-IFERROR(VLOOKUP($B240,'Slutlig allokering kvv'!$B$2:$BX$550,MATCH(V$2,'Slutlig allokering kvv'!$B$1:$BX$1,0),FALSE)/1,0))</f>
        <v/>
      </c>
      <c r="W240" s="31" t="str">
        <f>IF($D240="","",IFERROR(VLOOKUP($B240,Kraftvärmeprod!$B$1:$BX$550,MATCH(W$2,Kraftvärmeprod!$B$1:$VX$1,0),FALSE)/1,0)-IFERROR(VLOOKUP($B240,'Slutlig allokering kvv'!$B$2:$BX$550,MATCH(W$2,'Slutlig allokering kvv'!$B$1:$BX$1,0),FALSE)/1,0))</f>
        <v/>
      </c>
      <c r="X240" s="31" t="str">
        <f>IF($D240="","",IFERROR(VLOOKUP($B240,Kraftvärmeprod!$B$1:$BX$550,MATCH(X$2,Kraftvärmeprod!$B$1:$VX$1,0),FALSE)/1,0)-IFERROR(VLOOKUP($B240,'Slutlig allokering kvv'!$B$2:$BX$550,MATCH(X$2,'Slutlig allokering kvv'!$B$1:$BX$1,0),FALSE)/1,0))</f>
        <v/>
      </c>
      <c r="Y240" s="31" t="str">
        <f>IF($D240="","",IFERROR(VLOOKUP($B240,Kraftvärmeprod!$B$1:$BX$550,MATCH(Y$2,Kraftvärmeprod!$B$1:$VX$1,0),FALSE)/1,0)-IFERROR(VLOOKUP($B240,'Slutlig allokering kvv'!$B$2:$BX$550,MATCH(Y$2,'Slutlig allokering kvv'!$B$1:$BX$1,0),FALSE)/1,0))</f>
        <v/>
      </c>
      <c r="Z240" s="31" t="str">
        <f>IF($D240="","",IFERROR(VLOOKUP($B240,Kraftvärmeprod!$B$1:$BX$550,MATCH(Z$2,Kraftvärmeprod!$B$1:$VX$1,0),FALSE)/1,0)-IFERROR(VLOOKUP($B240,'Slutlig allokering kvv'!$B$2:$BX$550,MATCH(Z$2,'Slutlig allokering kvv'!$B$1:$BX$1,0),FALSE)/1,0))</f>
        <v/>
      </c>
      <c r="AA240" s="31" t="str">
        <f>IF($D240="","",IFERROR(VLOOKUP($B240,Kraftvärmeprod!$B$1:$BX$550,MATCH(AA$2,Kraftvärmeprod!$B$1:$VX$1,0),FALSE)/1,0)-IFERROR(VLOOKUP($B240,'Slutlig allokering kvv'!$B$2:$BX$550,MATCH(AA$2,'Slutlig allokering kvv'!$B$1:$BX$1,0),FALSE)/1,0))</f>
        <v/>
      </c>
      <c r="AB240" s="31" t="str">
        <f>IF($D240="","",IFERROR(VLOOKUP($B240,Kraftvärmeprod!$B$1:$BX$550,MATCH(AB$2,Kraftvärmeprod!$B$1:$VX$1,0),FALSE)/1,0)-IFERROR(VLOOKUP($B240,'Slutlig allokering kvv'!$B$2:$BX$550,MATCH(AB$2,'Slutlig allokering kvv'!$B$1:$BX$1,0),FALSE)/1,0))</f>
        <v/>
      </c>
      <c r="AC240" s="31" t="str">
        <f>IF($D240="","",IFERROR(VLOOKUP($B240,Kraftvärmeprod!$B$1:$BX$550,MATCH(AC$2,Kraftvärmeprod!$B$1:$VX$1,0),FALSE)/1,0)-IFERROR(VLOOKUP($B240,'Slutlig allokering kvv'!$B$2:$BX$550,MATCH(AC$2,'Slutlig allokering kvv'!$B$1:$BX$1,0),FALSE)/1,0))</f>
        <v/>
      </c>
      <c r="AD240" s="31" t="str">
        <f>IF($D240="","",IFERROR(VLOOKUP($B240,Kraftvärmeprod!$B$1:$BX$550,MATCH(AD$2,Kraftvärmeprod!$B$1:$VX$1,0),FALSE)/1,0)-IFERROR(VLOOKUP($B240,'Slutlig allokering kvv'!$B$2:$BX$550,MATCH(AD$2,'Slutlig allokering kvv'!$B$1:$BX$1,0),FALSE)/1,0))</f>
        <v/>
      </c>
      <c r="AE240" s="31" t="str">
        <f>IF($D240="","",IFERROR(VLOOKUP($B240,Miljö!$B$1:$E$550,MATCH("Hjälpel kraftvärme (GWh)",Miljö!$B$1:$E$1,0),FALSE)/1,0)-IFERROR(VLOOKUP($B240,'Slutlig allokering kvv'!$B$2:$BX$549,MATCH(AE$2,'Slutlig allokering kvv'!$B$1:$BX$1,0),FALSE)/1,0))</f>
        <v/>
      </c>
      <c r="AI240" s="39">
        <f t="shared" si="12"/>
        <v>0</v>
      </c>
      <c r="AK240" s="31">
        <f>IFERROR(VLOOKUP($B240,'Slutlig allokering kvv'!$B$2:$AX$549,MATCH("Summa slutlig allokerad tillförd energi (utan hjälpel och rökgaskondensering):",'Slutlig allokering kvv'!$B$1:$AX$1,0),FALSE)/1,"")</f>
        <v>0</v>
      </c>
      <c r="AM240" s="31" t="str">
        <f>IFERROR(1-VLOOKUP($B240,'Slutlig allokering kvv'!$B$2:$AX$549,MATCH("Andel av bränsle i kvv som allokerats till värme, exklusive rökgaskondensering och hjälpel",'Slutlig allokering kvv'!$B$1:$AX$1,0),FALSE),"")</f>
        <v/>
      </c>
      <c r="AO240" s="31" t="str">
        <f t="shared" si="13"/>
        <v/>
      </c>
      <c r="AP240" s="31" t="str">
        <f t="shared" si="14"/>
        <v/>
      </c>
      <c r="AR240" s="32" t="str">
        <f t="shared" si="15"/>
        <v/>
      </c>
    </row>
    <row r="241" spans="1:44" s="31" customFormat="1" x14ac:dyDescent="0.45">
      <c r="A241" s="31" t="s">
        <v>336</v>
      </c>
      <c r="B241" s="31" t="s">
        <v>335</v>
      </c>
      <c r="C241" s="31" t="str">
        <f>IFERROR(VLOOKUP($B241,Kraftvärmeprod!$B$1:$AH$479,MATCH(C$2,Kraftvärmeprod!$B$1:$AG$1,0),FALSE)/1,"")</f>
        <v/>
      </c>
      <c r="D241" s="31" t="str">
        <f>IFERROR(VLOOKUP($B241,Kraftvärmeprod!$B$1:$AH$479,MATCH(D$2,Kraftvärmeprod!$B$1:$AG$1,0),FALSE)/1,"")</f>
        <v/>
      </c>
      <c r="F241" s="31" t="str">
        <f>IF($D241="","",IFERROR(VLOOKUP($B241,Kraftvärmeprod!$B$1:$BX$550,MATCH(F$2,Kraftvärmeprod!$B$1:$VX$1,0),FALSE)/1,0)-IFERROR(VLOOKUP($B241,'Slutlig allokering kvv'!$B$2:$BX$550,MATCH(F$2,'Slutlig allokering kvv'!$B$1:$BX$1,0),FALSE)/1,0))</f>
        <v/>
      </c>
      <c r="G241" s="31" t="str">
        <f>IF($D241="","",IFERROR(VLOOKUP($B241,Kraftvärmeprod!$B$1:$BX$550,MATCH(G$2,Kraftvärmeprod!$B$1:$VX$1,0),FALSE)/1,0)-IFERROR(VLOOKUP($B241,'Slutlig allokering kvv'!$B$2:$BX$550,MATCH(G$2,'Slutlig allokering kvv'!$B$1:$BX$1,0),FALSE)/1,0))</f>
        <v/>
      </c>
      <c r="H241" s="31" t="str">
        <f>IF($D241="","",IFERROR(VLOOKUP($B241,Kraftvärmeprod!$B$1:$BX$550,MATCH(H$2,Kraftvärmeprod!$B$1:$VX$1,0),FALSE)/1,0)-IFERROR(VLOOKUP($B241,'Slutlig allokering kvv'!$B$2:$BX$550,MATCH(H$2,'Slutlig allokering kvv'!$B$1:$BX$1,0),FALSE)/1,0))</f>
        <v/>
      </c>
      <c r="I241" s="31" t="str">
        <f>IF($D241="","",IFERROR(VLOOKUP($B241,Kraftvärmeprod!$B$1:$BX$550,MATCH(I$2,Kraftvärmeprod!$B$1:$VX$1,0),FALSE)/1,0)-IFERROR(VLOOKUP($B241,'Slutlig allokering kvv'!$B$2:$BX$550,MATCH(I$2,'Slutlig allokering kvv'!$B$1:$BX$1,0),FALSE)/1,0))</f>
        <v/>
      </c>
      <c r="J241" s="31" t="str">
        <f>IF($D241="","",IFERROR(VLOOKUP($B241,Kraftvärmeprod!$B$1:$BX$550,MATCH(J$2,Kraftvärmeprod!$B$1:$VX$1,0),FALSE)/1,0)-IFERROR(VLOOKUP($B241,'Slutlig allokering kvv'!$B$2:$BX$550,MATCH(J$2,'Slutlig allokering kvv'!$B$1:$BX$1,0),FALSE)/1,0))</f>
        <v/>
      </c>
      <c r="K241" s="31" t="str">
        <f>IF($D241="","",IFERROR(VLOOKUP($B241,Kraftvärmeprod!$B$1:$BX$550,MATCH(K$2,Kraftvärmeprod!$B$1:$VX$1,0),FALSE)/1,0)-IFERROR(VLOOKUP($B241,'Slutlig allokering kvv'!$B$2:$BX$550,MATCH(K$2,'Slutlig allokering kvv'!$B$1:$BX$1,0),FALSE)/1,0))</f>
        <v/>
      </c>
      <c r="L241" s="31" t="str">
        <f>IF($D241="","",IFERROR(VLOOKUP($B241,Kraftvärmeprod!$B$1:$BX$550,MATCH(L$2,Kraftvärmeprod!$B$1:$VX$1,0),FALSE)/1,0)-IFERROR(VLOOKUP($B241,'Slutlig allokering kvv'!$B$2:$BX$550,MATCH(L$2,'Slutlig allokering kvv'!$B$1:$BX$1,0),FALSE)/1,0))</f>
        <v/>
      </c>
      <c r="M241" s="31" t="str">
        <f>IF($D241="","",IFERROR(VLOOKUP($B241,Kraftvärmeprod!$B$1:$BX$550,MATCH(M$2,Kraftvärmeprod!$B$1:$VX$1,0),FALSE)/1,0)-IFERROR(VLOOKUP($B241,'Slutlig allokering kvv'!$B$2:$BX$550,MATCH(M$2,'Slutlig allokering kvv'!$B$1:$BX$1,0),FALSE)/1,0))</f>
        <v/>
      </c>
      <c r="N241" s="31" t="str">
        <f>IF($D241="","",IFERROR(VLOOKUP($B241,Kraftvärmeprod!$B$1:$BX$550,MATCH(N$2,Kraftvärmeprod!$B$1:$VX$1,0),FALSE)/1,0)-IFERROR(VLOOKUP($B241,'Slutlig allokering kvv'!$B$2:$BX$550,MATCH(N$2,'Slutlig allokering kvv'!$B$1:$BX$1,0),FALSE)/1,0))</f>
        <v/>
      </c>
      <c r="O241" s="31" t="str">
        <f>IF($D241="","",IFERROR(VLOOKUP($B241,Kraftvärmeprod!$B$1:$BX$550,MATCH(O$2,Kraftvärmeprod!$B$1:$VX$1,0),FALSE)/1,0)-IFERROR(VLOOKUP($B241,'Slutlig allokering kvv'!$B$2:$BX$550,MATCH(O$2,'Slutlig allokering kvv'!$B$1:$BX$1,0),FALSE)/1,0))</f>
        <v/>
      </c>
      <c r="P241" s="31" t="str">
        <f>IF($D241="","",IFERROR(VLOOKUP($B241,Kraftvärmeprod!$B$1:$BX$550,MATCH(P$2,Kraftvärmeprod!$B$1:$VX$1,0),FALSE)/1,0)-IFERROR(VLOOKUP($B241,'Slutlig allokering kvv'!$B$2:$BX$550,MATCH(P$2,'Slutlig allokering kvv'!$B$1:$BX$1,0),FALSE)/1,0))</f>
        <v/>
      </c>
      <c r="Q241" s="31" t="str">
        <f>IF($D241="","",IFERROR(VLOOKUP($B241,Kraftvärmeprod!$B$1:$BX$550,MATCH(Q$2,Kraftvärmeprod!$B$1:$VX$1,0),FALSE)/1,0)-IFERROR(VLOOKUP($B241,'Slutlig allokering kvv'!$B$2:$BX$550,MATCH(Q$2,'Slutlig allokering kvv'!$B$1:$BX$1,0),FALSE)/1,0))</f>
        <v/>
      </c>
      <c r="R241" s="31" t="str">
        <f>IF($D241="","",IFERROR(VLOOKUP($B241,Kraftvärmeprod!$B$1:$BX$550,MATCH(R$2,Kraftvärmeprod!$B$1:$VX$1,0),FALSE)/1,0)-IFERROR(VLOOKUP($B241,'Slutlig allokering kvv'!$B$2:$BX$550,MATCH(R$2,'Slutlig allokering kvv'!$B$1:$BX$1,0),FALSE)/1,0))</f>
        <v/>
      </c>
      <c r="S241" s="31" t="str">
        <f>IF($D241="","",IFERROR(VLOOKUP($B241,Kraftvärmeprod!$B$1:$BX$550,MATCH(S$2,Kraftvärmeprod!$B$1:$VX$1,0),FALSE)/1,0)-IFERROR(VLOOKUP($B241,'Slutlig allokering kvv'!$B$2:$BX$550,MATCH(S$2,'Slutlig allokering kvv'!$B$1:$BX$1,0),FALSE)/1,0))</f>
        <v/>
      </c>
      <c r="T241" s="31" t="str">
        <f>IF($D241="","",IFERROR(VLOOKUP($B241,Kraftvärmeprod!$B$1:$BX$550,MATCH(T$2,Kraftvärmeprod!$B$1:$VX$1,0),FALSE)/1,0)-IFERROR(VLOOKUP($B241,'Slutlig allokering kvv'!$B$2:$BX$550,MATCH(T$2,'Slutlig allokering kvv'!$B$1:$BX$1,0),FALSE)/1,0))</f>
        <v/>
      </c>
      <c r="U241" s="31" t="str">
        <f>IF($D241="","",IFERROR(VLOOKUP($B241,Kraftvärmeprod!$B$1:$BX$550,MATCH(U$2,Kraftvärmeprod!$B$1:$VX$1,0),FALSE)/1,0)-IFERROR(VLOOKUP($B241,'Slutlig allokering kvv'!$B$2:$BX$550,MATCH(U$2,'Slutlig allokering kvv'!$B$1:$BX$1,0),FALSE)/1,0))</f>
        <v/>
      </c>
      <c r="V241" s="31" t="str">
        <f>IF($D241="","",IFERROR(VLOOKUP($B241,Kraftvärmeprod!$B$1:$BX$550,MATCH(V$2,Kraftvärmeprod!$B$1:$VX$1,0),FALSE)/1,0)-IFERROR(VLOOKUP($B241,'Slutlig allokering kvv'!$B$2:$BX$550,MATCH(V$2,'Slutlig allokering kvv'!$B$1:$BX$1,0),FALSE)/1,0))</f>
        <v/>
      </c>
      <c r="W241" s="31" t="str">
        <f>IF($D241="","",IFERROR(VLOOKUP($B241,Kraftvärmeprod!$B$1:$BX$550,MATCH(W$2,Kraftvärmeprod!$B$1:$VX$1,0),FALSE)/1,0)-IFERROR(VLOOKUP($B241,'Slutlig allokering kvv'!$B$2:$BX$550,MATCH(W$2,'Slutlig allokering kvv'!$B$1:$BX$1,0),FALSE)/1,0))</f>
        <v/>
      </c>
      <c r="X241" s="31" t="str">
        <f>IF($D241="","",IFERROR(VLOOKUP($B241,Kraftvärmeprod!$B$1:$BX$550,MATCH(X$2,Kraftvärmeprod!$B$1:$VX$1,0),FALSE)/1,0)-IFERROR(VLOOKUP($B241,'Slutlig allokering kvv'!$B$2:$BX$550,MATCH(X$2,'Slutlig allokering kvv'!$B$1:$BX$1,0),FALSE)/1,0))</f>
        <v/>
      </c>
      <c r="Y241" s="31" t="str">
        <f>IF($D241="","",IFERROR(VLOOKUP($B241,Kraftvärmeprod!$B$1:$BX$550,MATCH(Y$2,Kraftvärmeprod!$B$1:$VX$1,0),FALSE)/1,0)-IFERROR(VLOOKUP($B241,'Slutlig allokering kvv'!$B$2:$BX$550,MATCH(Y$2,'Slutlig allokering kvv'!$B$1:$BX$1,0),FALSE)/1,0))</f>
        <v/>
      </c>
      <c r="Z241" s="31" t="str">
        <f>IF($D241="","",IFERROR(VLOOKUP($B241,Kraftvärmeprod!$B$1:$BX$550,MATCH(Z$2,Kraftvärmeprod!$B$1:$VX$1,0),FALSE)/1,0)-IFERROR(VLOOKUP($B241,'Slutlig allokering kvv'!$B$2:$BX$550,MATCH(Z$2,'Slutlig allokering kvv'!$B$1:$BX$1,0),FALSE)/1,0))</f>
        <v/>
      </c>
      <c r="AA241" s="31" t="str">
        <f>IF($D241="","",IFERROR(VLOOKUP($B241,Kraftvärmeprod!$B$1:$BX$550,MATCH(AA$2,Kraftvärmeprod!$B$1:$VX$1,0),FALSE)/1,0)-IFERROR(VLOOKUP($B241,'Slutlig allokering kvv'!$B$2:$BX$550,MATCH(AA$2,'Slutlig allokering kvv'!$B$1:$BX$1,0),FALSE)/1,0))</f>
        <v/>
      </c>
      <c r="AB241" s="31" t="str">
        <f>IF($D241="","",IFERROR(VLOOKUP($B241,Kraftvärmeprod!$B$1:$BX$550,MATCH(AB$2,Kraftvärmeprod!$B$1:$VX$1,0),FALSE)/1,0)-IFERROR(VLOOKUP($B241,'Slutlig allokering kvv'!$B$2:$BX$550,MATCH(AB$2,'Slutlig allokering kvv'!$B$1:$BX$1,0),FALSE)/1,0))</f>
        <v/>
      </c>
      <c r="AC241" s="31" t="str">
        <f>IF($D241="","",IFERROR(VLOOKUP($B241,Kraftvärmeprod!$B$1:$BX$550,MATCH(AC$2,Kraftvärmeprod!$B$1:$VX$1,0),FALSE)/1,0)-IFERROR(VLOOKUP($B241,'Slutlig allokering kvv'!$B$2:$BX$550,MATCH(AC$2,'Slutlig allokering kvv'!$B$1:$BX$1,0),FALSE)/1,0))</f>
        <v/>
      </c>
      <c r="AD241" s="31" t="str">
        <f>IF($D241="","",IFERROR(VLOOKUP($B241,Kraftvärmeprod!$B$1:$BX$550,MATCH(AD$2,Kraftvärmeprod!$B$1:$VX$1,0),FALSE)/1,0)-IFERROR(VLOOKUP($B241,'Slutlig allokering kvv'!$B$2:$BX$550,MATCH(AD$2,'Slutlig allokering kvv'!$B$1:$BX$1,0),FALSE)/1,0))</f>
        <v/>
      </c>
      <c r="AE241" s="31" t="str">
        <f>IF($D241="","",IFERROR(VLOOKUP($B241,Miljö!$B$1:$E$550,MATCH("Hjälpel kraftvärme (GWh)",Miljö!$B$1:$E$1,0),FALSE)/1,0)-IFERROR(VLOOKUP($B241,'Slutlig allokering kvv'!$B$2:$BX$549,MATCH(AE$2,'Slutlig allokering kvv'!$B$1:$BX$1,0),FALSE)/1,0))</f>
        <v/>
      </c>
      <c r="AI241" s="39">
        <f t="shared" si="12"/>
        <v>0</v>
      </c>
      <c r="AK241" s="31">
        <f>IFERROR(VLOOKUP($B241,'Slutlig allokering kvv'!$B$2:$AX$549,MATCH("Summa slutlig allokerad tillförd energi (utan hjälpel och rökgaskondensering):",'Slutlig allokering kvv'!$B$1:$AX$1,0),FALSE)/1,"")</f>
        <v>0</v>
      </c>
      <c r="AM241" s="31" t="str">
        <f>IFERROR(1-VLOOKUP($B241,'Slutlig allokering kvv'!$B$2:$AX$549,MATCH("Andel av bränsle i kvv som allokerats till värme, exklusive rökgaskondensering och hjälpel",'Slutlig allokering kvv'!$B$1:$AX$1,0),FALSE),"")</f>
        <v/>
      </c>
      <c r="AO241" s="31" t="str">
        <f t="shared" si="13"/>
        <v/>
      </c>
      <c r="AP241" s="31" t="str">
        <f t="shared" si="14"/>
        <v/>
      </c>
      <c r="AR241" s="32" t="str">
        <f t="shared" si="15"/>
        <v/>
      </c>
    </row>
    <row r="242" spans="1:44" s="31" customFormat="1" x14ac:dyDescent="0.45">
      <c r="A242" s="31" t="s">
        <v>336</v>
      </c>
      <c r="B242" s="31" t="s">
        <v>337</v>
      </c>
      <c r="C242" s="31" t="str">
        <f>IFERROR(VLOOKUP($B242,Kraftvärmeprod!$B$1:$AH$479,MATCH(C$2,Kraftvärmeprod!$B$1:$AG$1,0),FALSE)/1,"")</f>
        <v/>
      </c>
      <c r="D242" s="31" t="str">
        <f>IFERROR(VLOOKUP($B242,Kraftvärmeprod!$B$1:$AH$479,MATCH(D$2,Kraftvärmeprod!$B$1:$AG$1,0),FALSE)/1,"")</f>
        <v/>
      </c>
      <c r="F242" s="31" t="str">
        <f>IF($D242="","",IFERROR(VLOOKUP($B242,Kraftvärmeprod!$B$1:$BX$550,MATCH(F$2,Kraftvärmeprod!$B$1:$VX$1,0),FALSE)/1,0)-IFERROR(VLOOKUP($B242,'Slutlig allokering kvv'!$B$2:$BX$550,MATCH(F$2,'Slutlig allokering kvv'!$B$1:$BX$1,0),FALSE)/1,0))</f>
        <v/>
      </c>
      <c r="G242" s="31" t="str">
        <f>IF($D242="","",IFERROR(VLOOKUP($B242,Kraftvärmeprod!$B$1:$BX$550,MATCH(G$2,Kraftvärmeprod!$B$1:$VX$1,0),FALSE)/1,0)-IFERROR(VLOOKUP($B242,'Slutlig allokering kvv'!$B$2:$BX$550,MATCH(G$2,'Slutlig allokering kvv'!$B$1:$BX$1,0),FALSE)/1,0))</f>
        <v/>
      </c>
      <c r="H242" s="31" t="str">
        <f>IF($D242="","",IFERROR(VLOOKUP($B242,Kraftvärmeprod!$B$1:$BX$550,MATCH(H$2,Kraftvärmeprod!$B$1:$VX$1,0),FALSE)/1,0)-IFERROR(VLOOKUP($B242,'Slutlig allokering kvv'!$B$2:$BX$550,MATCH(H$2,'Slutlig allokering kvv'!$B$1:$BX$1,0),FALSE)/1,0))</f>
        <v/>
      </c>
      <c r="I242" s="31" t="str">
        <f>IF($D242="","",IFERROR(VLOOKUP($B242,Kraftvärmeprod!$B$1:$BX$550,MATCH(I$2,Kraftvärmeprod!$B$1:$VX$1,0),FALSE)/1,0)-IFERROR(VLOOKUP($B242,'Slutlig allokering kvv'!$B$2:$BX$550,MATCH(I$2,'Slutlig allokering kvv'!$B$1:$BX$1,0),FALSE)/1,0))</f>
        <v/>
      </c>
      <c r="J242" s="31" t="str">
        <f>IF($D242="","",IFERROR(VLOOKUP($B242,Kraftvärmeprod!$B$1:$BX$550,MATCH(J$2,Kraftvärmeprod!$B$1:$VX$1,0),FALSE)/1,0)-IFERROR(VLOOKUP($B242,'Slutlig allokering kvv'!$B$2:$BX$550,MATCH(J$2,'Slutlig allokering kvv'!$B$1:$BX$1,0),FALSE)/1,0))</f>
        <v/>
      </c>
      <c r="K242" s="31" t="str">
        <f>IF($D242="","",IFERROR(VLOOKUP($B242,Kraftvärmeprod!$B$1:$BX$550,MATCH(K$2,Kraftvärmeprod!$B$1:$VX$1,0),FALSE)/1,0)-IFERROR(VLOOKUP($B242,'Slutlig allokering kvv'!$B$2:$BX$550,MATCH(K$2,'Slutlig allokering kvv'!$B$1:$BX$1,0),FALSE)/1,0))</f>
        <v/>
      </c>
      <c r="L242" s="31" t="str">
        <f>IF($D242="","",IFERROR(VLOOKUP($B242,Kraftvärmeprod!$B$1:$BX$550,MATCH(L$2,Kraftvärmeprod!$B$1:$VX$1,0),FALSE)/1,0)-IFERROR(VLOOKUP($B242,'Slutlig allokering kvv'!$B$2:$BX$550,MATCH(L$2,'Slutlig allokering kvv'!$B$1:$BX$1,0),FALSE)/1,0))</f>
        <v/>
      </c>
      <c r="M242" s="31" t="str">
        <f>IF($D242="","",IFERROR(VLOOKUP($B242,Kraftvärmeprod!$B$1:$BX$550,MATCH(M$2,Kraftvärmeprod!$B$1:$VX$1,0),FALSE)/1,0)-IFERROR(VLOOKUP($B242,'Slutlig allokering kvv'!$B$2:$BX$550,MATCH(M$2,'Slutlig allokering kvv'!$B$1:$BX$1,0),FALSE)/1,0))</f>
        <v/>
      </c>
      <c r="N242" s="31" t="str">
        <f>IF($D242="","",IFERROR(VLOOKUP($B242,Kraftvärmeprod!$B$1:$BX$550,MATCH(N$2,Kraftvärmeprod!$B$1:$VX$1,0),FALSE)/1,0)-IFERROR(VLOOKUP($B242,'Slutlig allokering kvv'!$B$2:$BX$550,MATCH(N$2,'Slutlig allokering kvv'!$B$1:$BX$1,0),FALSE)/1,0))</f>
        <v/>
      </c>
      <c r="O242" s="31" t="str">
        <f>IF($D242="","",IFERROR(VLOOKUP($B242,Kraftvärmeprod!$B$1:$BX$550,MATCH(O$2,Kraftvärmeprod!$B$1:$VX$1,0),FALSE)/1,0)-IFERROR(VLOOKUP($B242,'Slutlig allokering kvv'!$B$2:$BX$550,MATCH(O$2,'Slutlig allokering kvv'!$B$1:$BX$1,0),FALSE)/1,0))</f>
        <v/>
      </c>
      <c r="P242" s="31" t="str">
        <f>IF($D242="","",IFERROR(VLOOKUP($B242,Kraftvärmeprod!$B$1:$BX$550,MATCH(P$2,Kraftvärmeprod!$B$1:$VX$1,0),FALSE)/1,0)-IFERROR(VLOOKUP($B242,'Slutlig allokering kvv'!$B$2:$BX$550,MATCH(P$2,'Slutlig allokering kvv'!$B$1:$BX$1,0),FALSE)/1,0))</f>
        <v/>
      </c>
      <c r="Q242" s="31" t="str">
        <f>IF($D242="","",IFERROR(VLOOKUP($B242,Kraftvärmeprod!$B$1:$BX$550,MATCH(Q$2,Kraftvärmeprod!$B$1:$VX$1,0),FALSE)/1,0)-IFERROR(VLOOKUP($B242,'Slutlig allokering kvv'!$B$2:$BX$550,MATCH(Q$2,'Slutlig allokering kvv'!$B$1:$BX$1,0),FALSE)/1,0))</f>
        <v/>
      </c>
      <c r="R242" s="31" t="str">
        <f>IF($D242="","",IFERROR(VLOOKUP($B242,Kraftvärmeprod!$B$1:$BX$550,MATCH(R$2,Kraftvärmeprod!$B$1:$VX$1,0),FALSE)/1,0)-IFERROR(VLOOKUP($B242,'Slutlig allokering kvv'!$B$2:$BX$550,MATCH(R$2,'Slutlig allokering kvv'!$B$1:$BX$1,0),FALSE)/1,0))</f>
        <v/>
      </c>
      <c r="S242" s="31" t="str">
        <f>IF($D242="","",IFERROR(VLOOKUP($B242,Kraftvärmeprod!$B$1:$BX$550,MATCH(S$2,Kraftvärmeprod!$B$1:$VX$1,0),FALSE)/1,0)-IFERROR(VLOOKUP($B242,'Slutlig allokering kvv'!$B$2:$BX$550,MATCH(S$2,'Slutlig allokering kvv'!$B$1:$BX$1,0),FALSE)/1,0))</f>
        <v/>
      </c>
      <c r="T242" s="31" t="str">
        <f>IF($D242="","",IFERROR(VLOOKUP($B242,Kraftvärmeprod!$B$1:$BX$550,MATCH(T$2,Kraftvärmeprod!$B$1:$VX$1,0),FALSE)/1,0)-IFERROR(VLOOKUP($B242,'Slutlig allokering kvv'!$B$2:$BX$550,MATCH(T$2,'Slutlig allokering kvv'!$B$1:$BX$1,0),FALSE)/1,0))</f>
        <v/>
      </c>
      <c r="U242" s="31" t="str">
        <f>IF($D242="","",IFERROR(VLOOKUP($B242,Kraftvärmeprod!$B$1:$BX$550,MATCH(U$2,Kraftvärmeprod!$B$1:$VX$1,0),FALSE)/1,0)-IFERROR(VLOOKUP($B242,'Slutlig allokering kvv'!$B$2:$BX$550,MATCH(U$2,'Slutlig allokering kvv'!$B$1:$BX$1,0),FALSE)/1,0))</f>
        <v/>
      </c>
      <c r="V242" s="31" t="str">
        <f>IF($D242="","",IFERROR(VLOOKUP($B242,Kraftvärmeprod!$B$1:$BX$550,MATCH(V$2,Kraftvärmeprod!$B$1:$VX$1,0),FALSE)/1,0)-IFERROR(VLOOKUP($B242,'Slutlig allokering kvv'!$B$2:$BX$550,MATCH(V$2,'Slutlig allokering kvv'!$B$1:$BX$1,0),FALSE)/1,0))</f>
        <v/>
      </c>
      <c r="W242" s="31" t="str">
        <f>IF($D242="","",IFERROR(VLOOKUP($B242,Kraftvärmeprod!$B$1:$BX$550,MATCH(W$2,Kraftvärmeprod!$B$1:$VX$1,0),FALSE)/1,0)-IFERROR(VLOOKUP($B242,'Slutlig allokering kvv'!$B$2:$BX$550,MATCH(W$2,'Slutlig allokering kvv'!$B$1:$BX$1,0),FALSE)/1,0))</f>
        <v/>
      </c>
      <c r="X242" s="31" t="str">
        <f>IF($D242="","",IFERROR(VLOOKUP($B242,Kraftvärmeprod!$B$1:$BX$550,MATCH(X$2,Kraftvärmeprod!$B$1:$VX$1,0),FALSE)/1,0)-IFERROR(VLOOKUP($B242,'Slutlig allokering kvv'!$B$2:$BX$550,MATCH(X$2,'Slutlig allokering kvv'!$B$1:$BX$1,0),FALSE)/1,0))</f>
        <v/>
      </c>
      <c r="Y242" s="31" t="str">
        <f>IF($D242="","",IFERROR(VLOOKUP($B242,Kraftvärmeprod!$B$1:$BX$550,MATCH(Y$2,Kraftvärmeprod!$B$1:$VX$1,0),FALSE)/1,0)-IFERROR(VLOOKUP($B242,'Slutlig allokering kvv'!$B$2:$BX$550,MATCH(Y$2,'Slutlig allokering kvv'!$B$1:$BX$1,0),FALSE)/1,0))</f>
        <v/>
      </c>
      <c r="Z242" s="31" t="str">
        <f>IF($D242="","",IFERROR(VLOOKUP($B242,Kraftvärmeprod!$B$1:$BX$550,MATCH(Z$2,Kraftvärmeprod!$B$1:$VX$1,0),FALSE)/1,0)-IFERROR(VLOOKUP($B242,'Slutlig allokering kvv'!$B$2:$BX$550,MATCH(Z$2,'Slutlig allokering kvv'!$B$1:$BX$1,0),FALSE)/1,0))</f>
        <v/>
      </c>
      <c r="AA242" s="31" t="str">
        <f>IF($D242="","",IFERROR(VLOOKUP($B242,Kraftvärmeprod!$B$1:$BX$550,MATCH(AA$2,Kraftvärmeprod!$B$1:$VX$1,0),FALSE)/1,0)-IFERROR(VLOOKUP($B242,'Slutlig allokering kvv'!$B$2:$BX$550,MATCH(AA$2,'Slutlig allokering kvv'!$B$1:$BX$1,0),FALSE)/1,0))</f>
        <v/>
      </c>
      <c r="AB242" s="31" t="str">
        <f>IF($D242="","",IFERROR(VLOOKUP($B242,Kraftvärmeprod!$B$1:$BX$550,MATCH(AB$2,Kraftvärmeprod!$B$1:$VX$1,0),FALSE)/1,0)-IFERROR(VLOOKUP($B242,'Slutlig allokering kvv'!$B$2:$BX$550,MATCH(AB$2,'Slutlig allokering kvv'!$B$1:$BX$1,0),FALSE)/1,0))</f>
        <v/>
      </c>
      <c r="AC242" s="31" t="str">
        <f>IF($D242="","",IFERROR(VLOOKUP($B242,Kraftvärmeprod!$B$1:$BX$550,MATCH(AC$2,Kraftvärmeprod!$B$1:$VX$1,0),FALSE)/1,0)-IFERROR(VLOOKUP($B242,'Slutlig allokering kvv'!$B$2:$BX$550,MATCH(AC$2,'Slutlig allokering kvv'!$B$1:$BX$1,0),FALSE)/1,0))</f>
        <v/>
      </c>
      <c r="AD242" s="31" t="str">
        <f>IF($D242="","",IFERROR(VLOOKUP($B242,Kraftvärmeprod!$B$1:$BX$550,MATCH(AD$2,Kraftvärmeprod!$B$1:$VX$1,0),FALSE)/1,0)-IFERROR(VLOOKUP($B242,'Slutlig allokering kvv'!$B$2:$BX$550,MATCH(AD$2,'Slutlig allokering kvv'!$B$1:$BX$1,0),FALSE)/1,0))</f>
        <v/>
      </c>
      <c r="AE242" s="31" t="str">
        <f>IF($D242="","",IFERROR(VLOOKUP($B242,Miljö!$B$1:$E$550,MATCH("Hjälpel kraftvärme (GWh)",Miljö!$B$1:$E$1,0),FALSE)/1,0)-IFERROR(VLOOKUP($B242,'Slutlig allokering kvv'!$B$2:$BX$549,MATCH(AE$2,'Slutlig allokering kvv'!$B$1:$BX$1,0),FALSE)/1,0))</f>
        <v/>
      </c>
      <c r="AI242" s="39">
        <f t="shared" si="12"/>
        <v>0</v>
      </c>
      <c r="AK242" s="31">
        <f>IFERROR(VLOOKUP($B242,'Slutlig allokering kvv'!$B$2:$AX$549,MATCH("Summa slutlig allokerad tillförd energi (utan hjälpel och rökgaskondensering):",'Slutlig allokering kvv'!$B$1:$AX$1,0),FALSE)/1,"")</f>
        <v>0</v>
      </c>
      <c r="AM242" s="31" t="str">
        <f>IFERROR(1-VLOOKUP($B242,'Slutlig allokering kvv'!$B$2:$AX$549,MATCH("Andel av bränsle i kvv som allokerats till värme, exklusive rökgaskondensering och hjälpel",'Slutlig allokering kvv'!$B$1:$AX$1,0),FALSE),"")</f>
        <v/>
      </c>
      <c r="AO242" s="31" t="str">
        <f t="shared" si="13"/>
        <v/>
      </c>
      <c r="AP242" s="31" t="str">
        <f t="shared" si="14"/>
        <v/>
      </c>
      <c r="AR242" s="32" t="str">
        <f t="shared" si="15"/>
        <v/>
      </c>
    </row>
    <row r="243" spans="1:44" s="31" customFormat="1" x14ac:dyDescent="0.45">
      <c r="A243" s="31" t="s">
        <v>333</v>
      </c>
      <c r="B243" s="31" t="s">
        <v>334</v>
      </c>
      <c r="C243" s="31" t="str">
        <f>IFERROR(VLOOKUP($B243,Kraftvärmeprod!$B$1:$AH$479,MATCH(C$2,Kraftvärmeprod!$B$1:$AG$1,0),FALSE)/1,"")</f>
        <v/>
      </c>
      <c r="D243" s="31" t="str">
        <f>IFERROR(VLOOKUP($B243,Kraftvärmeprod!$B$1:$AH$479,MATCH(D$2,Kraftvärmeprod!$B$1:$AG$1,0),FALSE)/1,"")</f>
        <v/>
      </c>
      <c r="F243" s="31" t="str">
        <f>IF($D243="","",IFERROR(VLOOKUP($B243,Kraftvärmeprod!$B$1:$BX$550,MATCH(F$2,Kraftvärmeprod!$B$1:$VX$1,0),FALSE)/1,0)-IFERROR(VLOOKUP($B243,'Slutlig allokering kvv'!$B$2:$BX$550,MATCH(F$2,'Slutlig allokering kvv'!$B$1:$BX$1,0),FALSE)/1,0))</f>
        <v/>
      </c>
      <c r="G243" s="31" t="str">
        <f>IF($D243="","",IFERROR(VLOOKUP($B243,Kraftvärmeprod!$B$1:$BX$550,MATCH(G$2,Kraftvärmeprod!$B$1:$VX$1,0),FALSE)/1,0)-IFERROR(VLOOKUP($B243,'Slutlig allokering kvv'!$B$2:$BX$550,MATCH(G$2,'Slutlig allokering kvv'!$B$1:$BX$1,0),FALSE)/1,0))</f>
        <v/>
      </c>
      <c r="H243" s="31" t="str">
        <f>IF($D243="","",IFERROR(VLOOKUP($B243,Kraftvärmeprod!$B$1:$BX$550,MATCH(H$2,Kraftvärmeprod!$B$1:$VX$1,0),FALSE)/1,0)-IFERROR(VLOOKUP($B243,'Slutlig allokering kvv'!$B$2:$BX$550,MATCH(H$2,'Slutlig allokering kvv'!$B$1:$BX$1,0),FALSE)/1,0))</f>
        <v/>
      </c>
      <c r="I243" s="31" t="str">
        <f>IF($D243="","",IFERROR(VLOOKUP($B243,Kraftvärmeprod!$B$1:$BX$550,MATCH(I$2,Kraftvärmeprod!$B$1:$VX$1,0),FALSE)/1,0)-IFERROR(VLOOKUP($B243,'Slutlig allokering kvv'!$B$2:$BX$550,MATCH(I$2,'Slutlig allokering kvv'!$B$1:$BX$1,0),FALSE)/1,0))</f>
        <v/>
      </c>
      <c r="J243" s="31" t="str">
        <f>IF($D243="","",IFERROR(VLOOKUP($B243,Kraftvärmeprod!$B$1:$BX$550,MATCH(J$2,Kraftvärmeprod!$B$1:$VX$1,0),FALSE)/1,0)-IFERROR(VLOOKUP($B243,'Slutlig allokering kvv'!$B$2:$BX$550,MATCH(J$2,'Slutlig allokering kvv'!$B$1:$BX$1,0),FALSE)/1,0))</f>
        <v/>
      </c>
      <c r="K243" s="31" t="str">
        <f>IF($D243="","",IFERROR(VLOOKUP($B243,Kraftvärmeprod!$B$1:$BX$550,MATCH(K$2,Kraftvärmeprod!$B$1:$VX$1,0),FALSE)/1,0)-IFERROR(VLOOKUP($B243,'Slutlig allokering kvv'!$B$2:$BX$550,MATCH(K$2,'Slutlig allokering kvv'!$B$1:$BX$1,0),FALSE)/1,0))</f>
        <v/>
      </c>
      <c r="L243" s="31" t="str">
        <f>IF($D243="","",IFERROR(VLOOKUP($B243,Kraftvärmeprod!$B$1:$BX$550,MATCH(L$2,Kraftvärmeprod!$B$1:$VX$1,0),FALSE)/1,0)-IFERROR(VLOOKUP($B243,'Slutlig allokering kvv'!$B$2:$BX$550,MATCH(L$2,'Slutlig allokering kvv'!$B$1:$BX$1,0),FALSE)/1,0))</f>
        <v/>
      </c>
      <c r="M243" s="31" t="str">
        <f>IF($D243="","",IFERROR(VLOOKUP($B243,Kraftvärmeprod!$B$1:$BX$550,MATCH(M$2,Kraftvärmeprod!$B$1:$VX$1,0),FALSE)/1,0)-IFERROR(VLOOKUP($B243,'Slutlig allokering kvv'!$B$2:$BX$550,MATCH(M$2,'Slutlig allokering kvv'!$B$1:$BX$1,0),FALSE)/1,0))</f>
        <v/>
      </c>
      <c r="N243" s="31" t="str">
        <f>IF($D243="","",IFERROR(VLOOKUP($B243,Kraftvärmeprod!$B$1:$BX$550,MATCH(N$2,Kraftvärmeprod!$B$1:$VX$1,0),FALSE)/1,0)-IFERROR(VLOOKUP($B243,'Slutlig allokering kvv'!$B$2:$BX$550,MATCH(N$2,'Slutlig allokering kvv'!$B$1:$BX$1,0),FALSE)/1,0))</f>
        <v/>
      </c>
      <c r="O243" s="31" t="str">
        <f>IF($D243="","",IFERROR(VLOOKUP($B243,Kraftvärmeprod!$B$1:$BX$550,MATCH(O$2,Kraftvärmeprod!$B$1:$VX$1,0),FALSE)/1,0)-IFERROR(VLOOKUP($B243,'Slutlig allokering kvv'!$B$2:$BX$550,MATCH(O$2,'Slutlig allokering kvv'!$B$1:$BX$1,0),FALSE)/1,0))</f>
        <v/>
      </c>
      <c r="P243" s="31" t="str">
        <f>IF($D243="","",IFERROR(VLOOKUP($B243,Kraftvärmeprod!$B$1:$BX$550,MATCH(P$2,Kraftvärmeprod!$B$1:$VX$1,0),FALSE)/1,0)-IFERROR(VLOOKUP($B243,'Slutlig allokering kvv'!$B$2:$BX$550,MATCH(P$2,'Slutlig allokering kvv'!$B$1:$BX$1,0),FALSE)/1,0))</f>
        <v/>
      </c>
      <c r="Q243" s="31" t="str">
        <f>IF($D243="","",IFERROR(VLOOKUP($B243,Kraftvärmeprod!$B$1:$BX$550,MATCH(Q$2,Kraftvärmeprod!$B$1:$VX$1,0),FALSE)/1,0)-IFERROR(VLOOKUP($B243,'Slutlig allokering kvv'!$B$2:$BX$550,MATCH(Q$2,'Slutlig allokering kvv'!$B$1:$BX$1,0),FALSE)/1,0))</f>
        <v/>
      </c>
      <c r="R243" s="31" t="str">
        <f>IF($D243="","",IFERROR(VLOOKUP($B243,Kraftvärmeprod!$B$1:$BX$550,MATCH(R$2,Kraftvärmeprod!$B$1:$VX$1,0),FALSE)/1,0)-IFERROR(VLOOKUP($B243,'Slutlig allokering kvv'!$B$2:$BX$550,MATCH(R$2,'Slutlig allokering kvv'!$B$1:$BX$1,0),FALSE)/1,0))</f>
        <v/>
      </c>
      <c r="S243" s="31" t="str">
        <f>IF($D243="","",IFERROR(VLOOKUP($B243,Kraftvärmeprod!$B$1:$BX$550,MATCH(S$2,Kraftvärmeprod!$B$1:$VX$1,0),FALSE)/1,0)-IFERROR(VLOOKUP($B243,'Slutlig allokering kvv'!$B$2:$BX$550,MATCH(S$2,'Slutlig allokering kvv'!$B$1:$BX$1,0),FALSE)/1,0))</f>
        <v/>
      </c>
      <c r="T243" s="31" t="str">
        <f>IF($D243="","",IFERROR(VLOOKUP($B243,Kraftvärmeprod!$B$1:$BX$550,MATCH(T$2,Kraftvärmeprod!$B$1:$VX$1,0),FALSE)/1,0)-IFERROR(VLOOKUP($B243,'Slutlig allokering kvv'!$B$2:$BX$550,MATCH(T$2,'Slutlig allokering kvv'!$B$1:$BX$1,0),FALSE)/1,0))</f>
        <v/>
      </c>
      <c r="U243" s="31" t="str">
        <f>IF($D243="","",IFERROR(VLOOKUP($B243,Kraftvärmeprod!$B$1:$BX$550,MATCH(U$2,Kraftvärmeprod!$B$1:$VX$1,0),FALSE)/1,0)-IFERROR(VLOOKUP($B243,'Slutlig allokering kvv'!$B$2:$BX$550,MATCH(U$2,'Slutlig allokering kvv'!$B$1:$BX$1,0),FALSE)/1,0))</f>
        <v/>
      </c>
      <c r="V243" s="31" t="str">
        <f>IF($D243="","",IFERROR(VLOOKUP($B243,Kraftvärmeprod!$B$1:$BX$550,MATCH(V$2,Kraftvärmeprod!$B$1:$VX$1,0),FALSE)/1,0)-IFERROR(VLOOKUP($B243,'Slutlig allokering kvv'!$B$2:$BX$550,MATCH(V$2,'Slutlig allokering kvv'!$B$1:$BX$1,0),FALSE)/1,0))</f>
        <v/>
      </c>
      <c r="W243" s="31" t="str">
        <f>IF($D243="","",IFERROR(VLOOKUP($B243,Kraftvärmeprod!$B$1:$BX$550,MATCH(W$2,Kraftvärmeprod!$B$1:$VX$1,0),FALSE)/1,0)-IFERROR(VLOOKUP($B243,'Slutlig allokering kvv'!$B$2:$BX$550,MATCH(W$2,'Slutlig allokering kvv'!$B$1:$BX$1,0),FALSE)/1,0))</f>
        <v/>
      </c>
      <c r="X243" s="31" t="str">
        <f>IF($D243="","",IFERROR(VLOOKUP($B243,Kraftvärmeprod!$B$1:$BX$550,MATCH(X$2,Kraftvärmeprod!$B$1:$VX$1,0),FALSE)/1,0)-IFERROR(VLOOKUP($B243,'Slutlig allokering kvv'!$B$2:$BX$550,MATCH(X$2,'Slutlig allokering kvv'!$B$1:$BX$1,0),FALSE)/1,0))</f>
        <v/>
      </c>
      <c r="Y243" s="31" t="str">
        <f>IF($D243="","",IFERROR(VLOOKUP($B243,Kraftvärmeprod!$B$1:$BX$550,MATCH(Y$2,Kraftvärmeprod!$B$1:$VX$1,0),FALSE)/1,0)-IFERROR(VLOOKUP($B243,'Slutlig allokering kvv'!$B$2:$BX$550,MATCH(Y$2,'Slutlig allokering kvv'!$B$1:$BX$1,0),FALSE)/1,0))</f>
        <v/>
      </c>
      <c r="Z243" s="31" t="str">
        <f>IF($D243="","",IFERROR(VLOOKUP($B243,Kraftvärmeprod!$B$1:$BX$550,MATCH(Z$2,Kraftvärmeprod!$B$1:$VX$1,0),FALSE)/1,0)-IFERROR(VLOOKUP($B243,'Slutlig allokering kvv'!$B$2:$BX$550,MATCH(Z$2,'Slutlig allokering kvv'!$B$1:$BX$1,0),FALSE)/1,0))</f>
        <v/>
      </c>
      <c r="AA243" s="31" t="str">
        <f>IF($D243="","",IFERROR(VLOOKUP($B243,Kraftvärmeprod!$B$1:$BX$550,MATCH(AA$2,Kraftvärmeprod!$B$1:$VX$1,0),FALSE)/1,0)-IFERROR(VLOOKUP($B243,'Slutlig allokering kvv'!$B$2:$BX$550,MATCH(AA$2,'Slutlig allokering kvv'!$B$1:$BX$1,0),FALSE)/1,0))</f>
        <v/>
      </c>
      <c r="AB243" s="31" t="str">
        <f>IF($D243="","",IFERROR(VLOOKUP($B243,Kraftvärmeprod!$B$1:$BX$550,MATCH(AB$2,Kraftvärmeprod!$B$1:$VX$1,0),FALSE)/1,0)-IFERROR(VLOOKUP($B243,'Slutlig allokering kvv'!$B$2:$BX$550,MATCH(AB$2,'Slutlig allokering kvv'!$B$1:$BX$1,0),FALSE)/1,0))</f>
        <v/>
      </c>
      <c r="AC243" s="31" t="str">
        <f>IF($D243="","",IFERROR(VLOOKUP($B243,Kraftvärmeprod!$B$1:$BX$550,MATCH(AC$2,Kraftvärmeprod!$B$1:$VX$1,0),FALSE)/1,0)-IFERROR(VLOOKUP($B243,'Slutlig allokering kvv'!$B$2:$BX$550,MATCH(AC$2,'Slutlig allokering kvv'!$B$1:$BX$1,0),FALSE)/1,0))</f>
        <v/>
      </c>
      <c r="AD243" s="31" t="str">
        <f>IF($D243="","",IFERROR(VLOOKUP($B243,Kraftvärmeprod!$B$1:$BX$550,MATCH(AD$2,Kraftvärmeprod!$B$1:$VX$1,0),FALSE)/1,0)-IFERROR(VLOOKUP($B243,'Slutlig allokering kvv'!$B$2:$BX$550,MATCH(AD$2,'Slutlig allokering kvv'!$B$1:$BX$1,0),FALSE)/1,0))</f>
        <v/>
      </c>
      <c r="AE243" s="31" t="str">
        <f>IF($D243="","",IFERROR(VLOOKUP($B243,Miljö!$B$1:$E$550,MATCH("Hjälpel kraftvärme (GWh)",Miljö!$B$1:$E$1,0),FALSE)/1,0)-IFERROR(VLOOKUP($B243,'Slutlig allokering kvv'!$B$2:$BX$549,MATCH(AE$2,'Slutlig allokering kvv'!$B$1:$BX$1,0),FALSE)/1,0))</f>
        <v/>
      </c>
      <c r="AI243" s="39">
        <f t="shared" si="12"/>
        <v>0</v>
      </c>
      <c r="AK243" s="31">
        <f>IFERROR(VLOOKUP($B243,'Slutlig allokering kvv'!$B$2:$AX$549,MATCH("Summa slutlig allokerad tillförd energi (utan hjälpel och rökgaskondensering):",'Slutlig allokering kvv'!$B$1:$AX$1,0),FALSE)/1,"")</f>
        <v>0</v>
      </c>
      <c r="AM243" s="31" t="str">
        <f>IFERROR(1-VLOOKUP($B243,'Slutlig allokering kvv'!$B$2:$AX$549,MATCH("Andel av bränsle i kvv som allokerats till värme, exklusive rökgaskondensering och hjälpel",'Slutlig allokering kvv'!$B$1:$AX$1,0),FALSE),"")</f>
        <v/>
      </c>
      <c r="AO243" s="31" t="str">
        <f t="shared" si="13"/>
        <v/>
      </c>
      <c r="AP243" s="31" t="str">
        <f t="shared" si="14"/>
        <v/>
      </c>
      <c r="AR243" s="32" t="str">
        <f t="shared" si="15"/>
        <v/>
      </c>
    </row>
    <row r="244" spans="1:44" s="31" customFormat="1" x14ac:dyDescent="0.45">
      <c r="A244" s="31" t="s">
        <v>333</v>
      </c>
      <c r="B244" s="31" t="s">
        <v>332</v>
      </c>
      <c r="C244" s="31" t="str">
        <f>IFERROR(VLOOKUP($B244,Kraftvärmeprod!$B$1:$AH$479,MATCH(C$2,Kraftvärmeprod!$B$1:$AG$1,0),FALSE)/1,"")</f>
        <v/>
      </c>
      <c r="D244" s="31" t="str">
        <f>IFERROR(VLOOKUP($B244,Kraftvärmeprod!$B$1:$AH$479,MATCH(D$2,Kraftvärmeprod!$B$1:$AG$1,0),FALSE)/1,"")</f>
        <v/>
      </c>
      <c r="F244" s="31" t="str">
        <f>IF($D244="","",IFERROR(VLOOKUP($B244,Kraftvärmeprod!$B$1:$BX$550,MATCH(F$2,Kraftvärmeprod!$B$1:$VX$1,0),FALSE)/1,0)-IFERROR(VLOOKUP($B244,'Slutlig allokering kvv'!$B$2:$BX$550,MATCH(F$2,'Slutlig allokering kvv'!$B$1:$BX$1,0),FALSE)/1,0))</f>
        <v/>
      </c>
      <c r="G244" s="31" t="str">
        <f>IF($D244="","",IFERROR(VLOOKUP($B244,Kraftvärmeprod!$B$1:$BX$550,MATCH(G$2,Kraftvärmeprod!$B$1:$VX$1,0),FALSE)/1,0)-IFERROR(VLOOKUP($B244,'Slutlig allokering kvv'!$B$2:$BX$550,MATCH(G$2,'Slutlig allokering kvv'!$B$1:$BX$1,0),FALSE)/1,0))</f>
        <v/>
      </c>
      <c r="H244" s="31" t="str">
        <f>IF($D244="","",IFERROR(VLOOKUP($B244,Kraftvärmeprod!$B$1:$BX$550,MATCH(H$2,Kraftvärmeprod!$B$1:$VX$1,0),FALSE)/1,0)-IFERROR(VLOOKUP($B244,'Slutlig allokering kvv'!$B$2:$BX$550,MATCH(H$2,'Slutlig allokering kvv'!$B$1:$BX$1,0),FALSE)/1,0))</f>
        <v/>
      </c>
      <c r="I244" s="31" t="str">
        <f>IF($D244="","",IFERROR(VLOOKUP($B244,Kraftvärmeprod!$B$1:$BX$550,MATCH(I$2,Kraftvärmeprod!$B$1:$VX$1,0),FALSE)/1,0)-IFERROR(VLOOKUP($B244,'Slutlig allokering kvv'!$B$2:$BX$550,MATCH(I$2,'Slutlig allokering kvv'!$B$1:$BX$1,0),FALSE)/1,0))</f>
        <v/>
      </c>
      <c r="J244" s="31" t="str">
        <f>IF($D244="","",IFERROR(VLOOKUP($B244,Kraftvärmeprod!$B$1:$BX$550,MATCH(J$2,Kraftvärmeprod!$B$1:$VX$1,0),FALSE)/1,0)-IFERROR(VLOOKUP($B244,'Slutlig allokering kvv'!$B$2:$BX$550,MATCH(J$2,'Slutlig allokering kvv'!$B$1:$BX$1,0),FALSE)/1,0))</f>
        <v/>
      </c>
      <c r="K244" s="31" t="str">
        <f>IF($D244="","",IFERROR(VLOOKUP($B244,Kraftvärmeprod!$B$1:$BX$550,MATCH(K$2,Kraftvärmeprod!$B$1:$VX$1,0),FALSE)/1,0)-IFERROR(VLOOKUP($B244,'Slutlig allokering kvv'!$B$2:$BX$550,MATCH(K$2,'Slutlig allokering kvv'!$B$1:$BX$1,0),FALSE)/1,0))</f>
        <v/>
      </c>
      <c r="L244" s="31" t="str">
        <f>IF($D244="","",IFERROR(VLOOKUP($B244,Kraftvärmeprod!$B$1:$BX$550,MATCH(L$2,Kraftvärmeprod!$B$1:$VX$1,0),FALSE)/1,0)-IFERROR(VLOOKUP($B244,'Slutlig allokering kvv'!$B$2:$BX$550,MATCH(L$2,'Slutlig allokering kvv'!$B$1:$BX$1,0),FALSE)/1,0))</f>
        <v/>
      </c>
      <c r="M244" s="31" t="str">
        <f>IF($D244="","",IFERROR(VLOOKUP($B244,Kraftvärmeprod!$B$1:$BX$550,MATCH(M$2,Kraftvärmeprod!$B$1:$VX$1,0),FALSE)/1,0)-IFERROR(VLOOKUP($B244,'Slutlig allokering kvv'!$B$2:$BX$550,MATCH(M$2,'Slutlig allokering kvv'!$B$1:$BX$1,0),FALSE)/1,0))</f>
        <v/>
      </c>
      <c r="N244" s="31" t="str">
        <f>IF($D244="","",IFERROR(VLOOKUP($B244,Kraftvärmeprod!$B$1:$BX$550,MATCH(N$2,Kraftvärmeprod!$B$1:$VX$1,0),FALSE)/1,0)-IFERROR(VLOOKUP($B244,'Slutlig allokering kvv'!$B$2:$BX$550,MATCH(N$2,'Slutlig allokering kvv'!$B$1:$BX$1,0),FALSE)/1,0))</f>
        <v/>
      </c>
      <c r="O244" s="31" t="str">
        <f>IF($D244="","",IFERROR(VLOOKUP($B244,Kraftvärmeprod!$B$1:$BX$550,MATCH(O$2,Kraftvärmeprod!$B$1:$VX$1,0),FALSE)/1,0)-IFERROR(VLOOKUP($B244,'Slutlig allokering kvv'!$B$2:$BX$550,MATCH(O$2,'Slutlig allokering kvv'!$B$1:$BX$1,0),FALSE)/1,0))</f>
        <v/>
      </c>
      <c r="P244" s="31" t="str">
        <f>IF($D244="","",IFERROR(VLOOKUP($B244,Kraftvärmeprod!$B$1:$BX$550,MATCH(P$2,Kraftvärmeprod!$B$1:$VX$1,0),FALSE)/1,0)-IFERROR(VLOOKUP($B244,'Slutlig allokering kvv'!$B$2:$BX$550,MATCH(P$2,'Slutlig allokering kvv'!$B$1:$BX$1,0),FALSE)/1,0))</f>
        <v/>
      </c>
      <c r="Q244" s="31" t="str">
        <f>IF($D244="","",IFERROR(VLOOKUP($B244,Kraftvärmeprod!$B$1:$BX$550,MATCH(Q$2,Kraftvärmeprod!$B$1:$VX$1,0),FALSE)/1,0)-IFERROR(VLOOKUP($B244,'Slutlig allokering kvv'!$B$2:$BX$550,MATCH(Q$2,'Slutlig allokering kvv'!$B$1:$BX$1,0),FALSE)/1,0))</f>
        <v/>
      </c>
      <c r="R244" s="31" t="str">
        <f>IF($D244="","",IFERROR(VLOOKUP($B244,Kraftvärmeprod!$B$1:$BX$550,MATCH(R$2,Kraftvärmeprod!$B$1:$VX$1,0),FALSE)/1,0)-IFERROR(VLOOKUP($B244,'Slutlig allokering kvv'!$B$2:$BX$550,MATCH(R$2,'Slutlig allokering kvv'!$B$1:$BX$1,0),FALSE)/1,0))</f>
        <v/>
      </c>
      <c r="S244" s="31" t="str">
        <f>IF($D244="","",IFERROR(VLOOKUP($B244,Kraftvärmeprod!$B$1:$BX$550,MATCH(S$2,Kraftvärmeprod!$B$1:$VX$1,0),FALSE)/1,0)-IFERROR(VLOOKUP($B244,'Slutlig allokering kvv'!$B$2:$BX$550,MATCH(S$2,'Slutlig allokering kvv'!$B$1:$BX$1,0),FALSE)/1,0))</f>
        <v/>
      </c>
      <c r="T244" s="31" t="str">
        <f>IF($D244="","",IFERROR(VLOOKUP($B244,Kraftvärmeprod!$B$1:$BX$550,MATCH(T$2,Kraftvärmeprod!$B$1:$VX$1,0),FALSE)/1,0)-IFERROR(VLOOKUP($B244,'Slutlig allokering kvv'!$B$2:$BX$550,MATCH(T$2,'Slutlig allokering kvv'!$B$1:$BX$1,0),FALSE)/1,0))</f>
        <v/>
      </c>
      <c r="U244" s="31" t="str">
        <f>IF($D244="","",IFERROR(VLOOKUP($B244,Kraftvärmeprod!$B$1:$BX$550,MATCH(U$2,Kraftvärmeprod!$B$1:$VX$1,0),FALSE)/1,0)-IFERROR(VLOOKUP($B244,'Slutlig allokering kvv'!$B$2:$BX$550,MATCH(U$2,'Slutlig allokering kvv'!$B$1:$BX$1,0),FALSE)/1,0))</f>
        <v/>
      </c>
      <c r="V244" s="31" t="str">
        <f>IF($D244="","",IFERROR(VLOOKUP($B244,Kraftvärmeprod!$B$1:$BX$550,MATCH(V$2,Kraftvärmeprod!$B$1:$VX$1,0),FALSE)/1,0)-IFERROR(VLOOKUP($B244,'Slutlig allokering kvv'!$B$2:$BX$550,MATCH(V$2,'Slutlig allokering kvv'!$B$1:$BX$1,0),FALSE)/1,0))</f>
        <v/>
      </c>
      <c r="W244" s="31" t="str">
        <f>IF($D244="","",IFERROR(VLOOKUP($B244,Kraftvärmeprod!$B$1:$BX$550,MATCH(W$2,Kraftvärmeprod!$B$1:$VX$1,0),FALSE)/1,0)-IFERROR(VLOOKUP($B244,'Slutlig allokering kvv'!$B$2:$BX$550,MATCH(W$2,'Slutlig allokering kvv'!$B$1:$BX$1,0),FALSE)/1,0))</f>
        <v/>
      </c>
      <c r="X244" s="31" t="str">
        <f>IF($D244="","",IFERROR(VLOOKUP($B244,Kraftvärmeprod!$B$1:$BX$550,MATCH(X$2,Kraftvärmeprod!$B$1:$VX$1,0),FALSE)/1,0)-IFERROR(VLOOKUP($B244,'Slutlig allokering kvv'!$B$2:$BX$550,MATCH(X$2,'Slutlig allokering kvv'!$B$1:$BX$1,0),FALSE)/1,0))</f>
        <v/>
      </c>
      <c r="Y244" s="31" t="str">
        <f>IF($D244="","",IFERROR(VLOOKUP($B244,Kraftvärmeprod!$B$1:$BX$550,MATCH(Y$2,Kraftvärmeprod!$B$1:$VX$1,0),FALSE)/1,0)-IFERROR(VLOOKUP($B244,'Slutlig allokering kvv'!$B$2:$BX$550,MATCH(Y$2,'Slutlig allokering kvv'!$B$1:$BX$1,0),FALSE)/1,0))</f>
        <v/>
      </c>
      <c r="Z244" s="31" t="str">
        <f>IF($D244="","",IFERROR(VLOOKUP($B244,Kraftvärmeprod!$B$1:$BX$550,MATCH(Z$2,Kraftvärmeprod!$B$1:$VX$1,0),FALSE)/1,0)-IFERROR(VLOOKUP($B244,'Slutlig allokering kvv'!$B$2:$BX$550,MATCH(Z$2,'Slutlig allokering kvv'!$B$1:$BX$1,0),FALSE)/1,0))</f>
        <v/>
      </c>
      <c r="AA244" s="31" t="str">
        <f>IF($D244="","",IFERROR(VLOOKUP($B244,Kraftvärmeprod!$B$1:$BX$550,MATCH(AA$2,Kraftvärmeprod!$B$1:$VX$1,0),FALSE)/1,0)-IFERROR(VLOOKUP($B244,'Slutlig allokering kvv'!$B$2:$BX$550,MATCH(AA$2,'Slutlig allokering kvv'!$B$1:$BX$1,0),FALSE)/1,0))</f>
        <v/>
      </c>
      <c r="AB244" s="31" t="str">
        <f>IF($D244="","",IFERROR(VLOOKUP($B244,Kraftvärmeprod!$B$1:$BX$550,MATCH(AB$2,Kraftvärmeprod!$B$1:$VX$1,0),FALSE)/1,0)-IFERROR(VLOOKUP($B244,'Slutlig allokering kvv'!$B$2:$BX$550,MATCH(AB$2,'Slutlig allokering kvv'!$B$1:$BX$1,0),FALSE)/1,0))</f>
        <v/>
      </c>
      <c r="AC244" s="31" t="str">
        <f>IF($D244="","",IFERROR(VLOOKUP($B244,Kraftvärmeprod!$B$1:$BX$550,MATCH(AC$2,Kraftvärmeprod!$B$1:$VX$1,0),FALSE)/1,0)-IFERROR(VLOOKUP($B244,'Slutlig allokering kvv'!$B$2:$BX$550,MATCH(AC$2,'Slutlig allokering kvv'!$B$1:$BX$1,0),FALSE)/1,0))</f>
        <v/>
      </c>
      <c r="AD244" s="31" t="str">
        <f>IF($D244="","",IFERROR(VLOOKUP($B244,Kraftvärmeprod!$B$1:$BX$550,MATCH(AD$2,Kraftvärmeprod!$B$1:$VX$1,0),FALSE)/1,0)-IFERROR(VLOOKUP($B244,'Slutlig allokering kvv'!$B$2:$BX$550,MATCH(AD$2,'Slutlig allokering kvv'!$B$1:$BX$1,0),FALSE)/1,0))</f>
        <v/>
      </c>
      <c r="AE244" s="31" t="str">
        <f>IF($D244="","",IFERROR(VLOOKUP($B244,Miljö!$B$1:$E$550,MATCH("Hjälpel kraftvärme (GWh)",Miljö!$B$1:$E$1,0),FALSE)/1,0)-IFERROR(VLOOKUP($B244,'Slutlig allokering kvv'!$B$2:$BX$549,MATCH(AE$2,'Slutlig allokering kvv'!$B$1:$BX$1,0),FALSE)/1,0))</f>
        <v/>
      </c>
      <c r="AI244" s="39">
        <f t="shared" si="12"/>
        <v>0</v>
      </c>
      <c r="AK244" s="31">
        <f>IFERROR(VLOOKUP($B244,'Slutlig allokering kvv'!$B$2:$AX$549,MATCH("Summa slutlig allokerad tillförd energi (utan hjälpel och rökgaskondensering):",'Slutlig allokering kvv'!$B$1:$AX$1,0),FALSE)/1,"")</f>
        <v>0</v>
      </c>
      <c r="AM244" s="31" t="str">
        <f>IFERROR(1-VLOOKUP($B244,'Slutlig allokering kvv'!$B$2:$AX$549,MATCH("Andel av bränsle i kvv som allokerats till värme, exklusive rökgaskondensering och hjälpel",'Slutlig allokering kvv'!$B$1:$AX$1,0),FALSE),"")</f>
        <v/>
      </c>
      <c r="AO244" s="31" t="str">
        <f t="shared" si="13"/>
        <v/>
      </c>
      <c r="AP244" s="31" t="str">
        <f t="shared" si="14"/>
        <v/>
      </c>
      <c r="AR244" s="32" t="str">
        <f t="shared" si="15"/>
        <v/>
      </c>
    </row>
    <row r="245" spans="1:44" s="31" customFormat="1" x14ac:dyDescent="0.45">
      <c r="A245" s="31" t="s">
        <v>331</v>
      </c>
      <c r="B245" s="31" t="s">
        <v>330</v>
      </c>
      <c r="C245" s="31" t="str">
        <f>IFERROR(VLOOKUP($B245,Kraftvärmeprod!$B$1:$AH$479,MATCH(C$2,Kraftvärmeprod!$B$1:$AG$1,0),FALSE)/1,"")</f>
        <v/>
      </c>
      <c r="D245" s="31" t="str">
        <f>IFERROR(VLOOKUP($B245,Kraftvärmeprod!$B$1:$AH$479,MATCH(D$2,Kraftvärmeprod!$B$1:$AG$1,0),FALSE)/1,"")</f>
        <v/>
      </c>
      <c r="F245" s="31" t="str">
        <f>IF($D245="","",IFERROR(VLOOKUP($B245,Kraftvärmeprod!$B$1:$BX$550,MATCH(F$2,Kraftvärmeprod!$B$1:$VX$1,0),FALSE)/1,0)-IFERROR(VLOOKUP($B245,'Slutlig allokering kvv'!$B$2:$BX$550,MATCH(F$2,'Slutlig allokering kvv'!$B$1:$BX$1,0),FALSE)/1,0))</f>
        <v/>
      </c>
      <c r="G245" s="31" t="str">
        <f>IF($D245="","",IFERROR(VLOOKUP($B245,Kraftvärmeprod!$B$1:$BX$550,MATCH(G$2,Kraftvärmeprod!$B$1:$VX$1,0),FALSE)/1,0)-IFERROR(VLOOKUP($B245,'Slutlig allokering kvv'!$B$2:$BX$550,MATCH(G$2,'Slutlig allokering kvv'!$B$1:$BX$1,0),FALSE)/1,0))</f>
        <v/>
      </c>
      <c r="H245" s="31" t="str">
        <f>IF($D245="","",IFERROR(VLOOKUP($B245,Kraftvärmeprod!$B$1:$BX$550,MATCH(H$2,Kraftvärmeprod!$B$1:$VX$1,0),FALSE)/1,0)-IFERROR(VLOOKUP($B245,'Slutlig allokering kvv'!$B$2:$BX$550,MATCH(H$2,'Slutlig allokering kvv'!$B$1:$BX$1,0),FALSE)/1,0))</f>
        <v/>
      </c>
      <c r="I245" s="31" t="str">
        <f>IF($D245="","",IFERROR(VLOOKUP($B245,Kraftvärmeprod!$B$1:$BX$550,MATCH(I$2,Kraftvärmeprod!$B$1:$VX$1,0),FALSE)/1,0)-IFERROR(VLOOKUP($B245,'Slutlig allokering kvv'!$B$2:$BX$550,MATCH(I$2,'Slutlig allokering kvv'!$B$1:$BX$1,0),FALSE)/1,0))</f>
        <v/>
      </c>
      <c r="J245" s="31" t="str">
        <f>IF($D245="","",IFERROR(VLOOKUP($B245,Kraftvärmeprod!$B$1:$BX$550,MATCH(J$2,Kraftvärmeprod!$B$1:$VX$1,0),FALSE)/1,0)-IFERROR(VLOOKUP($B245,'Slutlig allokering kvv'!$B$2:$BX$550,MATCH(J$2,'Slutlig allokering kvv'!$B$1:$BX$1,0),FALSE)/1,0))</f>
        <v/>
      </c>
      <c r="K245" s="31" t="str">
        <f>IF($D245="","",IFERROR(VLOOKUP($B245,Kraftvärmeprod!$B$1:$BX$550,MATCH(K$2,Kraftvärmeprod!$B$1:$VX$1,0),FALSE)/1,0)-IFERROR(VLOOKUP($B245,'Slutlig allokering kvv'!$B$2:$BX$550,MATCH(K$2,'Slutlig allokering kvv'!$B$1:$BX$1,0),FALSE)/1,0))</f>
        <v/>
      </c>
      <c r="L245" s="31" t="str">
        <f>IF($D245="","",IFERROR(VLOOKUP($B245,Kraftvärmeprod!$B$1:$BX$550,MATCH(L$2,Kraftvärmeprod!$B$1:$VX$1,0),FALSE)/1,0)-IFERROR(VLOOKUP($B245,'Slutlig allokering kvv'!$B$2:$BX$550,MATCH(L$2,'Slutlig allokering kvv'!$B$1:$BX$1,0),FALSE)/1,0))</f>
        <v/>
      </c>
      <c r="M245" s="31" t="str">
        <f>IF($D245="","",IFERROR(VLOOKUP($B245,Kraftvärmeprod!$B$1:$BX$550,MATCH(M$2,Kraftvärmeprod!$B$1:$VX$1,0),FALSE)/1,0)-IFERROR(VLOOKUP($B245,'Slutlig allokering kvv'!$B$2:$BX$550,MATCH(M$2,'Slutlig allokering kvv'!$B$1:$BX$1,0),FALSE)/1,0))</f>
        <v/>
      </c>
      <c r="N245" s="31" t="str">
        <f>IF($D245="","",IFERROR(VLOOKUP($B245,Kraftvärmeprod!$B$1:$BX$550,MATCH(N$2,Kraftvärmeprod!$B$1:$VX$1,0),FALSE)/1,0)-IFERROR(VLOOKUP($B245,'Slutlig allokering kvv'!$B$2:$BX$550,MATCH(N$2,'Slutlig allokering kvv'!$B$1:$BX$1,0),FALSE)/1,0))</f>
        <v/>
      </c>
      <c r="O245" s="31" t="str">
        <f>IF($D245="","",IFERROR(VLOOKUP($B245,Kraftvärmeprod!$B$1:$BX$550,MATCH(O$2,Kraftvärmeprod!$B$1:$VX$1,0),FALSE)/1,0)-IFERROR(VLOOKUP($B245,'Slutlig allokering kvv'!$B$2:$BX$550,MATCH(O$2,'Slutlig allokering kvv'!$B$1:$BX$1,0),FALSE)/1,0))</f>
        <v/>
      </c>
      <c r="P245" s="31" t="str">
        <f>IF($D245="","",IFERROR(VLOOKUP($B245,Kraftvärmeprod!$B$1:$BX$550,MATCH(P$2,Kraftvärmeprod!$B$1:$VX$1,0),FALSE)/1,0)-IFERROR(VLOOKUP($B245,'Slutlig allokering kvv'!$B$2:$BX$550,MATCH(P$2,'Slutlig allokering kvv'!$B$1:$BX$1,0),FALSE)/1,0))</f>
        <v/>
      </c>
      <c r="Q245" s="31" t="str">
        <f>IF($D245="","",IFERROR(VLOOKUP($B245,Kraftvärmeprod!$B$1:$BX$550,MATCH(Q$2,Kraftvärmeprod!$B$1:$VX$1,0),FALSE)/1,0)-IFERROR(VLOOKUP($B245,'Slutlig allokering kvv'!$B$2:$BX$550,MATCH(Q$2,'Slutlig allokering kvv'!$B$1:$BX$1,0),FALSE)/1,0))</f>
        <v/>
      </c>
      <c r="R245" s="31" t="str">
        <f>IF($D245="","",IFERROR(VLOOKUP($B245,Kraftvärmeprod!$B$1:$BX$550,MATCH(R$2,Kraftvärmeprod!$B$1:$VX$1,0),FALSE)/1,0)-IFERROR(VLOOKUP($B245,'Slutlig allokering kvv'!$B$2:$BX$550,MATCH(R$2,'Slutlig allokering kvv'!$B$1:$BX$1,0),FALSE)/1,0))</f>
        <v/>
      </c>
      <c r="S245" s="31" t="str">
        <f>IF($D245="","",IFERROR(VLOOKUP($B245,Kraftvärmeprod!$B$1:$BX$550,MATCH(S$2,Kraftvärmeprod!$B$1:$VX$1,0),FALSE)/1,0)-IFERROR(VLOOKUP($B245,'Slutlig allokering kvv'!$B$2:$BX$550,MATCH(S$2,'Slutlig allokering kvv'!$B$1:$BX$1,0),FALSE)/1,0))</f>
        <v/>
      </c>
      <c r="T245" s="31" t="str">
        <f>IF($D245="","",IFERROR(VLOOKUP($B245,Kraftvärmeprod!$B$1:$BX$550,MATCH(T$2,Kraftvärmeprod!$B$1:$VX$1,0),FALSE)/1,0)-IFERROR(VLOOKUP($B245,'Slutlig allokering kvv'!$B$2:$BX$550,MATCH(T$2,'Slutlig allokering kvv'!$B$1:$BX$1,0),FALSE)/1,0))</f>
        <v/>
      </c>
      <c r="U245" s="31" t="str">
        <f>IF($D245="","",IFERROR(VLOOKUP($B245,Kraftvärmeprod!$B$1:$BX$550,MATCH(U$2,Kraftvärmeprod!$B$1:$VX$1,0),FALSE)/1,0)-IFERROR(VLOOKUP($B245,'Slutlig allokering kvv'!$B$2:$BX$550,MATCH(U$2,'Slutlig allokering kvv'!$B$1:$BX$1,0),FALSE)/1,0))</f>
        <v/>
      </c>
      <c r="V245" s="31" t="str">
        <f>IF($D245="","",IFERROR(VLOOKUP($B245,Kraftvärmeprod!$B$1:$BX$550,MATCH(V$2,Kraftvärmeprod!$B$1:$VX$1,0),FALSE)/1,0)-IFERROR(VLOOKUP($B245,'Slutlig allokering kvv'!$B$2:$BX$550,MATCH(V$2,'Slutlig allokering kvv'!$B$1:$BX$1,0),FALSE)/1,0))</f>
        <v/>
      </c>
      <c r="W245" s="31" t="str">
        <f>IF($D245="","",IFERROR(VLOOKUP($B245,Kraftvärmeprod!$B$1:$BX$550,MATCH(W$2,Kraftvärmeprod!$B$1:$VX$1,0),FALSE)/1,0)-IFERROR(VLOOKUP($B245,'Slutlig allokering kvv'!$B$2:$BX$550,MATCH(W$2,'Slutlig allokering kvv'!$B$1:$BX$1,0),FALSE)/1,0))</f>
        <v/>
      </c>
      <c r="X245" s="31" t="str">
        <f>IF($D245="","",IFERROR(VLOOKUP($B245,Kraftvärmeprod!$B$1:$BX$550,MATCH(X$2,Kraftvärmeprod!$B$1:$VX$1,0),FALSE)/1,0)-IFERROR(VLOOKUP($B245,'Slutlig allokering kvv'!$B$2:$BX$550,MATCH(X$2,'Slutlig allokering kvv'!$B$1:$BX$1,0),FALSE)/1,0))</f>
        <v/>
      </c>
      <c r="Y245" s="31" t="str">
        <f>IF($D245="","",IFERROR(VLOOKUP($B245,Kraftvärmeprod!$B$1:$BX$550,MATCH(Y$2,Kraftvärmeprod!$B$1:$VX$1,0),FALSE)/1,0)-IFERROR(VLOOKUP($B245,'Slutlig allokering kvv'!$B$2:$BX$550,MATCH(Y$2,'Slutlig allokering kvv'!$B$1:$BX$1,0),FALSE)/1,0))</f>
        <v/>
      </c>
      <c r="Z245" s="31" t="str">
        <f>IF($D245="","",IFERROR(VLOOKUP($B245,Kraftvärmeprod!$B$1:$BX$550,MATCH(Z$2,Kraftvärmeprod!$B$1:$VX$1,0),FALSE)/1,0)-IFERROR(VLOOKUP($B245,'Slutlig allokering kvv'!$B$2:$BX$550,MATCH(Z$2,'Slutlig allokering kvv'!$B$1:$BX$1,0),FALSE)/1,0))</f>
        <v/>
      </c>
      <c r="AA245" s="31" t="str">
        <f>IF($D245="","",IFERROR(VLOOKUP($B245,Kraftvärmeprod!$B$1:$BX$550,MATCH(AA$2,Kraftvärmeprod!$B$1:$VX$1,0),FALSE)/1,0)-IFERROR(VLOOKUP($B245,'Slutlig allokering kvv'!$B$2:$BX$550,MATCH(AA$2,'Slutlig allokering kvv'!$B$1:$BX$1,0),FALSE)/1,0))</f>
        <v/>
      </c>
      <c r="AB245" s="31" t="str">
        <f>IF($D245="","",IFERROR(VLOOKUP($B245,Kraftvärmeprod!$B$1:$BX$550,MATCH(AB$2,Kraftvärmeprod!$B$1:$VX$1,0),FALSE)/1,0)-IFERROR(VLOOKUP($B245,'Slutlig allokering kvv'!$B$2:$BX$550,MATCH(AB$2,'Slutlig allokering kvv'!$B$1:$BX$1,0),FALSE)/1,0))</f>
        <v/>
      </c>
      <c r="AC245" s="31" t="str">
        <f>IF($D245="","",IFERROR(VLOOKUP($B245,Kraftvärmeprod!$B$1:$BX$550,MATCH(AC$2,Kraftvärmeprod!$B$1:$VX$1,0),FALSE)/1,0)-IFERROR(VLOOKUP($B245,'Slutlig allokering kvv'!$B$2:$BX$550,MATCH(AC$2,'Slutlig allokering kvv'!$B$1:$BX$1,0),FALSE)/1,0))</f>
        <v/>
      </c>
      <c r="AD245" s="31" t="str">
        <f>IF($D245="","",IFERROR(VLOOKUP($B245,Kraftvärmeprod!$B$1:$BX$550,MATCH(AD$2,Kraftvärmeprod!$B$1:$VX$1,0),FALSE)/1,0)-IFERROR(VLOOKUP($B245,'Slutlig allokering kvv'!$B$2:$BX$550,MATCH(AD$2,'Slutlig allokering kvv'!$B$1:$BX$1,0),FALSE)/1,0))</f>
        <v/>
      </c>
      <c r="AE245" s="31" t="str">
        <f>IF($D245="","",IFERROR(VLOOKUP($B245,Miljö!$B$1:$E$550,MATCH("Hjälpel kraftvärme (GWh)",Miljö!$B$1:$E$1,0),FALSE)/1,0)-IFERROR(VLOOKUP($B245,'Slutlig allokering kvv'!$B$2:$BX$549,MATCH(AE$2,'Slutlig allokering kvv'!$B$1:$BX$1,0),FALSE)/1,0))</f>
        <v/>
      </c>
      <c r="AI245" s="39">
        <f t="shared" si="12"/>
        <v>0</v>
      </c>
      <c r="AK245" s="31">
        <f>IFERROR(VLOOKUP($B245,'Slutlig allokering kvv'!$B$2:$AX$549,MATCH("Summa slutlig allokerad tillförd energi (utan hjälpel och rökgaskondensering):",'Slutlig allokering kvv'!$B$1:$AX$1,0),FALSE)/1,"")</f>
        <v>0</v>
      </c>
      <c r="AM245" s="31" t="str">
        <f>IFERROR(1-VLOOKUP($B245,'Slutlig allokering kvv'!$B$2:$AX$549,MATCH("Andel av bränsle i kvv som allokerats till värme, exklusive rökgaskondensering och hjälpel",'Slutlig allokering kvv'!$B$1:$AX$1,0),FALSE),"")</f>
        <v/>
      </c>
      <c r="AO245" s="31" t="str">
        <f t="shared" si="13"/>
        <v/>
      </c>
      <c r="AP245" s="31" t="str">
        <f t="shared" si="14"/>
        <v/>
      </c>
      <c r="AR245" s="32" t="str">
        <f t="shared" si="15"/>
        <v/>
      </c>
    </row>
    <row r="246" spans="1:44" s="31" customFormat="1" x14ac:dyDescent="0.45">
      <c r="A246" s="31" t="s">
        <v>324</v>
      </c>
      <c r="B246" s="31" t="s">
        <v>327</v>
      </c>
      <c r="C246" s="31" t="str">
        <f>IFERROR(VLOOKUP($B246,Kraftvärmeprod!$B$1:$AH$479,MATCH(C$2,Kraftvärmeprod!$B$1:$AG$1,0),FALSE)/1,"")</f>
        <v/>
      </c>
      <c r="D246" s="31" t="str">
        <f>IFERROR(VLOOKUP($B246,Kraftvärmeprod!$B$1:$AH$479,MATCH(D$2,Kraftvärmeprod!$B$1:$AG$1,0),FALSE)/1,"")</f>
        <v/>
      </c>
      <c r="F246" s="31" t="str">
        <f>IF($D246="","",IFERROR(VLOOKUP($B246,Kraftvärmeprod!$B$1:$BX$550,MATCH(F$2,Kraftvärmeprod!$B$1:$VX$1,0),FALSE)/1,0)-IFERROR(VLOOKUP($B246,'Slutlig allokering kvv'!$B$2:$BX$550,MATCH(F$2,'Slutlig allokering kvv'!$B$1:$BX$1,0),FALSE)/1,0))</f>
        <v/>
      </c>
      <c r="G246" s="31" t="str">
        <f>IF($D246="","",IFERROR(VLOOKUP($B246,Kraftvärmeprod!$B$1:$BX$550,MATCH(G$2,Kraftvärmeprod!$B$1:$VX$1,0),FALSE)/1,0)-IFERROR(VLOOKUP($B246,'Slutlig allokering kvv'!$B$2:$BX$550,MATCH(G$2,'Slutlig allokering kvv'!$B$1:$BX$1,0),FALSE)/1,0))</f>
        <v/>
      </c>
      <c r="H246" s="31" t="str">
        <f>IF($D246="","",IFERROR(VLOOKUP($B246,Kraftvärmeprod!$B$1:$BX$550,MATCH(H$2,Kraftvärmeprod!$B$1:$VX$1,0),FALSE)/1,0)-IFERROR(VLOOKUP($B246,'Slutlig allokering kvv'!$B$2:$BX$550,MATCH(H$2,'Slutlig allokering kvv'!$B$1:$BX$1,0),FALSE)/1,0))</f>
        <v/>
      </c>
      <c r="I246" s="31" t="str">
        <f>IF($D246="","",IFERROR(VLOOKUP($B246,Kraftvärmeprod!$B$1:$BX$550,MATCH(I$2,Kraftvärmeprod!$B$1:$VX$1,0),FALSE)/1,0)-IFERROR(VLOOKUP($B246,'Slutlig allokering kvv'!$B$2:$BX$550,MATCH(I$2,'Slutlig allokering kvv'!$B$1:$BX$1,0),FALSE)/1,0))</f>
        <v/>
      </c>
      <c r="J246" s="31" t="str">
        <f>IF($D246="","",IFERROR(VLOOKUP($B246,Kraftvärmeprod!$B$1:$BX$550,MATCH(J$2,Kraftvärmeprod!$B$1:$VX$1,0),FALSE)/1,0)-IFERROR(VLOOKUP($B246,'Slutlig allokering kvv'!$B$2:$BX$550,MATCH(J$2,'Slutlig allokering kvv'!$B$1:$BX$1,0),FALSE)/1,0))</f>
        <v/>
      </c>
      <c r="K246" s="31" t="str">
        <f>IF($D246="","",IFERROR(VLOOKUP($B246,Kraftvärmeprod!$B$1:$BX$550,MATCH(K$2,Kraftvärmeprod!$B$1:$VX$1,0),FALSE)/1,0)-IFERROR(VLOOKUP($B246,'Slutlig allokering kvv'!$B$2:$BX$550,MATCH(K$2,'Slutlig allokering kvv'!$B$1:$BX$1,0),FALSE)/1,0))</f>
        <v/>
      </c>
      <c r="L246" s="31" t="str">
        <f>IF($D246="","",IFERROR(VLOOKUP($B246,Kraftvärmeprod!$B$1:$BX$550,MATCH(L$2,Kraftvärmeprod!$B$1:$VX$1,0),FALSE)/1,0)-IFERROR(VLOOKUP($B246,'Slutlig allokering kvv'!$B$2:$BX$550,MATCH(L$2,'Slutlig allokering kvv'!$B$1:$BX$1,0),FALSE)/1,0))</f>
        <v/>
      </c>
      <c r="M246" s="31" t="str">
        <f>IF($D246="","",IFERROR(VLOOKUP($B246,Kraftvärmeprod!$B$1:$BX$550,MATCH(M$2,Kraftvärmeprod!$B$1:$VX$1,0),FALSE)/1,0)-IFERROR(VLOOKUP($B246,'Slutlig allokering kvv'!$B$2:$BX$550,MATCH(M$2,'Slutlig allokering kvv'!$B$1:$BX$1,0),FALSE)/1,0))</f>
        <v/>
      </c>
      <c r="N246" s="31" t="str">
        <f>IF($D246="","",IFERROR(VLOOKUP($B246,Kraftvärmeprod!$B$1:$BX$550,MATCH(N$2,Kraftvärmeprod!$B$1:$VX$1,0),FALSE)/1,0)-IFERROR(VLOOKUP($B246,'Slutlig allokering kvv'!$B$2:$BX$550,MATCH(N$2,'Slutlig allokering kvv'!$B$1:$BX$1,0),FALSE)/1,0))</f>
        <v/>
      </c>
      <c r="O246" s="31" t="str">
        <f>IF($D246="","",IFERROR(VLOOKUP($B246,Kraftvärmeprod!$B$1:$BX$550,MATCH(O$2,Kraftvärmeprod!$B$1:$VX$1,0),FALSE)/1,0)-IFERROR(VLOOKUP($B246,'Slutlig allokering kvv'!$B$2:$BX$550,MATCH(O$2,'Slutlig allokering kvv'!$B$1:$BX$1,0),FALSE)/1,0))</f>
        <v/>
      </c>
      <c r="P246" s="31" t="str">
        <f>IF($D246="","",IFERROR(VLOOKUP($B246,Kraftvärmeprod!$B$1:$BX$550,MATCH(P$2,Kraftvärmeprod!$B$1:$VX$1,0),FALSE)/1,0)-IFERROR(VLOOKUP($B246,'Slutlig allokering kvv'!$B$2:$BX$550,MATCH(P$2,'Slutlig allokering kvv'!$B$1:$BX$1,0),FALSE)/1,0))</f>
        <v/>
      </c>
      <c r="Q246" s="31" t="str">
        <f>IF($D246="","",IFERROR(VLOOKUP($B246,Kraftvärmeprod!$B$1:$BX$550,MATCH(Q$2,Kraftvärmeprod!$B$1:$VX$1,0),FALSE)/1,0)-IFERROR(VLOOKUP($B246,'Slutlig allokering kvv'!$B$2:$BX$550,MATCH(Q$2,'Slutlig allokering kvv'!$B$1:$BX$1,0),FALSE)/1,0))</f>
        <v/>
      </c>
      <c r="R246" s="31" t="str">
        <f>IF($D246="","",IFERROR(VLOOKUP($B246,Kraftvärmeprod!$B$1:$BX$550,MATCH(R$2,Kraftvärmeprod!$B$1:$VX$1,0),FALSE)/1,0)-IFERROR(VLOOKUP($B246,'Slutlig allokering kvv'!$B$2:$BX$550,MATCH(R$2,'Slutlig allokering kvv'!$B$1:$BX$1,0),FALSE)/1,0))</f>
        <v/>
      </c>
      <c r="S246" s="31" t="str">
        <f>IF($D246="","",IFERROR(VLOOKUP($B246,Kraftvärmeprod!$B$1:$BX$550,MATCH(S$2,Kraftvärmeprod!$B$1:$VX$1,0),FALSE)/1,0)-IFERROR(VLOOKUP($B246,'Slutlig allokering kvv'!$B$2:$BX$550,MATCH(S$2,'Slutlig allokering kvv'!$B$1:$BX$1,0),FALSE)/1,0))</f>
        <v/>
      </c>
      <c r="T246" s="31" t="str">
        <f>IF($D246="","",IFERROR(VLOOKUP($B246,Kraftvärmeprod!$B$1:$BX$550,MATCH(T$2,Kraftvärmeprod!$B$1:$VX$1,0),FALSE)/1,0)-IFERROR(VLOOKUP($B246,'Slutlig allokering kvv'!$B$2:$BX$550,MATCH(T$2,'Slutlig allokering kvv'!$B$1:$BX$1,0),FALSE)/1,0))</f>
        <v/>
      </c>
      <c r="U246" s="31" t="str">
        <f>IF($D246="","",IFERROR(VLOOKUP($B246,Kraftvärmeprod!$B$1:$BX$550,MATCH(U$2,Kraftvärmeprod!$B$1:$VX$1,0),FALSE)/1,0)-IFERROR(VLOOKUP($B246,'Slutlig allokering kvv'!$B$2:$BX$550,MATCH(U$2,'Slutlig allokering kvv'!$B$1:$BX$1,0),FALSE)/1,0))</f>
        <v/>
      </c>
      <c r="V246" s="31" t="str">
        <f>IF($D246="","",IFERROR(VLOOKUP($B246,Kraftvärmeprod!$B$1:$BX$550,MATCH(V$2,Kraftvärmeprod!$B$1:$VX$1,0),FALSE)/1,0)-IFERROR(VLOOKUP($B246,'Slutlig allokering kvv'!$B$2:$BX$550,MATCH(V$2,'Slutlig allokering kvv'!$B$1:$BX$1,0),FALSE)/1,0))</f>
        <v/>
      </c>
      <c r="W246" s="31" t="str">
        <f>IF($D246="","",IFERROR(VLOOKUP($B246,Kraftvärmeprod!$B$1:$BX$550,MATCH(W$2,Kraftvärmeprod!$B$1:$VX$1,0),FALSE)/1,0)-IFERROR(VLOOKUP($B246,'Slutlig allokering kvv'!$B$2:$BX$550,MATCH(W$2,'Slutlig allokering kvv'!$B$1:$BX$1,0),FALSE)/1,0))</f>
        <v/>
      </c>
      <c r="X246" s="31" t="str">
        <f>IF($D246="","",IFERROR(VLOOKUP($B246,Kraftvärmeprod!$B$1:$BX$550,MATCH(X$2,Kraftvärmeprod!$B$1:$VX$1,0),FALSE)/1,0)-IFERROR(VLOOKUP($B246,'Slutlig allokering kvv'!$B$2:$BX$550,MATCH(X$2,'Slutlig allokering kvv'!$B$1:$BX$1,0),FALSE)/1,0))</f>
        <v/>
      </c>
      <c r="Y246" s="31" t="str">
        <f>IF($D246="","",IFERROR(VLOOKUP($B246,Kraftvärmeprod!$B$1:$BX$550,MATCH(Y$2,Kraftvärmeprod!$B$1:$VX$1,0),FALSE)/1,0)-IFERROR(VLOOKUP($B246,'Slutlig allokering kvv'!$B$2:$BX$550,MATCH(Y$2,'Slutlig allokering kvv'!$B$1:$BX$1,0),FALSE)/1,0))</f>
        <v/>
      </c>
      <c r="Z246" s="31" t="str">
        <f>IF($D246="","",IFERROR(VLOOKUP($B246,Kraftvärmeprod!$B$1:$BX$550,MATCH(Z$2,Kraftvärmeprod!$B$1:$VX$1,0),FALSE)/1,0)-IFERROR(VLOOKUP($B246,'Slutlig allokering kvv'!$B$2:$BX$550,MATCH(Z$2,'Slutlig allokering kvv'!$B$1:$BX$1,0),FALSE)/1,0))</f>
        <v/>
      </c>
      <c r="AA246" s="31" t="str">
        <f>IF($D246="","",IFERROR(VLOOKUP($B246,Kraftvärmeprod!$B$1:$BX$550,MATCH(AA$2,Kraftvärmeprod!$B$1:$VX$1,0),FALSE)/1,0)-IFERROR(VLOOKUP($B246,'Slutlig allokering kvv'!$B$2:$BX$550,MATCH(AA$2,'Slutlig allokering kvv'!$B$1:$BX$1,0),FALSE)/1,0))</f>
        <v/>
      </c>
      <c r="AB246" s="31" t="str">
        <f>IF($D246="","",IFERROR(VLOOKUP($B246,Kraftvärmeprod!$B$1:$BX$550,MATCH(AB$2,Kraftvärmeprod!$B$1:$VX$1,0),FALSE)/1,0)-IFERROR(VLOOKUP($B246,'Slutlig allokering kvv'!$B$2:$BX$550,MATCH(AB$2,'Slutlig allokering kvv'!$B$1:$BX$1,0),FALSE)/1,0))</f>
        <v/>
      </c>
      <c r="AC246" s="31" t="str">
        <f>IF($D246="","",IFERROR(VLOOKUP($B246,Kraftvärmeprod!$B$1:$BX$550,MATCH(AC$2,Kraftvärmeprod!$B$1:$VX$1,0),FALSE)/1,0)-IFERROR(VLOOKUP($B246,'Slutlig allokering kvv'!$B$2:$BX$550,MATCH(AC$2,'Slutlig allokering kvv'!$B$1:$BX$1,0),FALSE)/1,0))</f>
        <v/>
      </c>
      <c r="AD246" s="31" t="str">
        <f>IF($D246="","",IFERROR(VLOOKUP($B246,Kraftvärmeprod!$B$1:$BX$550,MATCH(AD$2,Kraftvärmeprod!$B$1:$VX$1,0),FALSE)/1,0)-IFERROR(VLOOKUP($B246,'Slutlig allokering kvv'!$B$2:$BX$550,MATCH(AD$2,'Slutlig allokering kvv'!$B$1:$BX$1,0),FALSE)/1,0))</f>
        <v/>
      </c>
      <c r="AE246" s="31" t="str">
        <f>IF($D246="","",IFERROR(VLOOKUP($B246,Miljö!$B$1:$E$550,MATCH("Hjälpel kraftvärme (GWh)",Miljö!$B$1:$E$1,0),FALSE)/1,0)-IFERROR(VLOOKUP($B246,'Slutlig allokering kvv'!$B$2:$BX$549,MATCH(AE$2,'Slutlig allokering kvv'!$B$1:$BX$1,0),FALSE)/1,0))</f>
        <v/>
      </c>
      <c r="AI246" s="39">
        <f t="shared" si="12"/>
        <v>0</v>
      </c>
      <c r="AK246" s="31">
        <f>IFERROR(VLOOKUP($B246,'Slutlig allokering kvv'!$B$2:$AX$549,MATCH("Summa slutlig allokerad tillförd energi (utan hjälpel och rökgaskondensering):",'Slutlig allokering kvv'!$B$1:$AX$1,0),FALSE)/1,"")</f>
        <v>0</v>
      </c>
      <c r="AM246" s="31" t="str">
        <f>IFERROR(1-VLOOKUP($B246,'Slutlig allokering kvv'!$B$2:$AX$549,MATCH("Andel av bränsle i kvv som allokerats till värme, exklusive rökgaskondensering och hjälpel",'Slutlig allokering kvv'!$B$1:$AX$1,0),FALSE),"")</f>
        <v/>
      </c>
      <c r="AO246" s="31" t="str">
        <f t="shared" si="13"/>
        <v/>
      </c>
      <c r="AP246" s="31" t="str">
        <f t="shared" si="14"/>
        <v/>
      </c>
      <c r="AR246" s="32" t="str">
        <f t="shared" si="15"/>
        <v/>
      </c>
    </row>
    <row r="247" spans="1:44" s="31" customFormat="1" x14ac:dyDescent="0.45">
      <c r="A247" s="31" t="s">
        <v>324</v>
      </c>
      <c r="B247" s="31" t="s">
        <v>326</v>
      </c>
      <c r="C247" s="31" t="str">
        <f>IFERROR(VLOOKUP($B247,Kraftvärmeprod!$B$1:$AH$479,MATCH(C$2,Kraftvärmeprod!$B$1:$AG$1,0),FALSE)/1,"")</f>
        <v/>
      </c>
      <c r="D247" s="31" t="str">
        <f>IFERROR(VLOOKUP($B247,Kraftvärmeprod!$B$1:$AH$479,MATCH(D$2,Kraftvärmeprod!$B$1:$AG$1,0),FALSE)/1,"")</f>
        <v/>
      </c>
      <c r="F247" s="31" t="str">
        <f>IF($D247="","",IFERROR(VLOOKUP($B247,Kraftvärmeprod!$B$1:$BX$550,MATCH(F$2,Kraftvärmeprod!$B$1:$VX$1,0),FALSE)/1,0)-IFERROR(VLOOKUP($B247,'Slutlig allokering kvv'!$B$2:$BX$550,MATCH(F$2,'Slutlig allokering kvv'!$B$1:$BX$1,0),FALSE)/1,0))</f>
        <v/>
      </c>
      <c r="G247" s="31" t="str">
        <f>IF($D247="","",IFERROR(VLOOKUP($B247,Kraftvärmeprod!$B$1:$BX$550,MATCH(G$2,Kraftvärmeprod!$B$1:$VX$1,0),FALSE)/1,0)-IFERROR(VLOOKUP($B247,'Slutlig allokering kvv'!$B$2:$BX$550,MATCH(G$2,'Slutlig allokering kvv'!$B$1:$BX$1,0),FALSE)/1,0))</f>
        <v/>
      </c>
      <c r="H247" s="31" t="str">
        <f>IF($D247="","",IFERROR(VLOOKUP($B247,Kraftvärmeprod!$B$1:$BX$550,MATCH(H$2,Kraftvärmeprod!$B$1:$VX$1,0),FALSE)/1,0)-IFERROR(VLOOKUP($B247,'Slutlig allokering kvv'!$B$2:$BX$550,MATCH(H$2,'Slutlig allokering kvv'!$B$1:$BX$1,0),FALSE)/1,0))</f>
        <v/>
      </c>
      <c r="I247" s="31" t="str">
        <f>IF($D247="","",IFERROR(VLOOKUP($B247,Kraftvärmeprod!$B$1:$BX$550,MATCH(I$2,Kraftvärmeprod!$B$1:$VX$1,0),FALSE)/1,0)-IFERROR(VLOOKUP($B247,'Slutlig allokering kvv'!$B$2:$BX$550,MATCH(I$2,'Slutlig allokering kvv'!$B$1:$BX$1,0),FALSE)/1,0))</f>
        <v/>
      </c>
      <c r="J247" s="31" t="str">
        <f>IF($D247="","",IFERROR(VLOOKUP($B247,Kraftvärmeprod!$B$1:$BX$550,MATCH(J$2,Kraftvärmeprod!$B$1:$VX$1,0),FALSE)/1,0)-IFERROR(VLOOKUP($B247,'Slutlig allokering kvv'!$B$2:$BX$550,MATCH(J$2,'Slutlig allokering kvv'!$B$1:$BX$1,0),FALSE)/1,0))</f>
        <v/>
      </c>
      <c r="K247" s="31" t="str">
        <f>IF($D247="","",IFERROR(VLOOKUP($B247,Kraftvärmeprod!$B$1:$BX$550,MATCH(K$2,Kraftvärmeprod!$B$1:$VX$1,0),FALSE)/1,0)-IFERROR(VLOOKUP($B247,'Slutlig allokering kvv'!$B$2:$BX$550,MATCH(K$2,'Slutlig allokering kvv'!$B$1:$BX$1,0),FALSE)/1,0))</f>
        <v/>
      </c>
      <c r="L247" s="31" t="str">
        <f>IF($D247="","",IFERROR(VLOOKUP($B247,Kraftvärmeprod!$B$1:$BX$550,MATCH(L$2,Kraftvärmeprod!$B$1:$VX$1,0),FALSE)/1,0)-IFERROR(VLOOKUP($B247,'Slutlig allokering kvv'!$B$2:$BX$550,MATCH(L$2,'Slutlig allokering kvv'!$B$1:$BX$1,0),FALSE)/1,0))</f>
        <v/>
      </c>
      <c r="M247" s="31" t="str">
        <f>IF($D247="","",IFERROR(VLOOKUP($B247,Kraftvärmeprod!$B$1:$BX$550,MATCH(M$2,Kraftvärmeprod!$B$1:$VX$1,0),FALSE)/1,0)-IFERROR(VLOOKUP($B247,'Slutlig allokering kvv'!$B$2:$BX$550,MATCH(M$2,'Slutlig allokering kvv'!$B$1:$BX$1,0),FALSE)/1,0))</f>
        <v/>
      </c>
      <c r="N247" s="31" t="str">
        <f>IF($D247="","",IFERROR(VLOOKUP($B247,Kraftvärmeprod!$B$1:$BX$550,MATCH(N$2,Kraftvärmeprod!$B$1:$VX$1,0),FALSE)/1,0)-IFERROR(VLOOKUP($B247,'Slutlig allokering kvv'!$B$2:$BX$550,MATCH(N$2,'Slutlig allokering kvv'!$B$1:$BX$1,0),FALSE)/1,0))</f>
        <v/>
      </c>
      <c r="O247" s="31" t="str">
        <f>IF($D247="","",IFERROR(VLOOKUP($B247,Kraftvärmeprod!$B$1:$BX$550,MATCH(O$2,Kraftvärmeprod!$B$1:$VX$1,0),FALSE)/1,0)-IFERROR(VLOOKUP($B247,'Slutlig allokering kvv'!$B$2:$BX$550,MATCH(O$2,'Slutlig allokering kvv'!$B$1:$BX$1,0),FALSE)/1,0))</f>
        <v/>
      </c>
      <c r="P247" s="31" t="str">
        <f>IF($D247="","",IFERROR(VLOOKUP($B247,Kraftvärmeprod!$B$1:$BX$550,MATCH(P$2,Kraftvärmeprod!$B$1:$VX$1,0),FALSE)/1,0)-IFERROR(VLOOKUP($B247,'Slutlig allokering kvv'!$B$2:$BX$550,MATCH(P$2,'Slutlig allokering kvv'!$B$1:$BX$1,0),FALSE)/1,0))</f>
        <v/>
      </c>
      <c r="Q247" s="31" t="str">
        <f>IF($D247="","",IFERROR(VLOOKUP($B247,Kraftvärmeprod!$B$1:$BX$550,MATCH(Q$2,Kraftvärmeprod!$B$1:$VX$1,0),FALSE)/1,0)-IFERROR(VLOOKUP($B247,'Slutlig allokering kvv'!$B$2:$BX$550,MATCH(Q$2,'Slutlig allokering kvv'!$B$1:$BX$1,0),FALSE)/1,0))</f>
        <v/>
      </c>
      <c r="R247" s="31" t="str">
        <f>IF($D247="","",IFERROR(VLOOKUP($B247,Kraftvärmeprod!$B$1:$BX$550,MATCH(R$2,Kraftvärmeprod!$B$1:$VX$1,0),FALSE)/1,0)-IFERROR(VLOOKUP($B247,'Slutlig allokering kvv'!$B$2:$BX$550,MATCH(R$2,'Slutlig allokering kvv'!$B$1:$BX$1,0),FALSE)/1,0))</f>
        <v/>
      </c>
      <c r="S247" s="31" t="str">
        <f>IF($D247="","",IFERROR(VLOOKUP($B247,Kraftvärmeprod!$B$1:$BX$550,MATCH(S$2,Kraftvärmeprod!$B$1:$VX$1,0),FALSE)/1,0)-IFERROR(VLOOKUP($B247,'Slutlig allokering kvv'!$B$2:$BX$550,MATCH(S$2,'Slutlig allokering kvv'!$B$1:$BX$1,0),FALSE)/1,0))</f>
        <v/>
      </c>
      <c r="T247" s="31" t="str">
        <f>IF($D247="","",IFERROR(VLOOKUP($B247,Kraftvärmeprod!$B$1:$BX$550,MATCH(T$2,Kraftvärmeprod!$B$1:$VX$1,0),FALSE)/1,0)-IFERROR(VLOOKUP($B247,'Slutlig allokering kvv'!$B$2:$BX$550,MATCH(T$2,'Slutlig allokering kvv'!$B$1:$BX$1,0),FALSE)/1,0))</f>
        <v/>
      </c>
      <c r="U247" s="31" t="str">
        <f>IF($D247="","",IFERROR(VLOOKUP($B247,Kraftvärmeprod!$B$1:$BX$550,MATCH(U$2,Kraftvärmeprod!$B$1:$VX$1,0),FALSE)/1,0)-IFERROR(VLOOKUP($B247,'Slutlig allokering kvv'!$B$2:$BX$550,MATCH(U$2,'Slutlig allokering kvv'!$B$1:$BX$1,0),FALSE)/1,0))</f>
        <v/>
      </c>
      <c r="V247" s="31" t="str">
        <f>IF($D247="","",IFERROR(VLOOKUP($B247,Kraftvärmeprod!$B$1:$BX$550,MATCH(V$2,Kraftvärmeprod!$B$1:$VX$1,0),FALSE)/1,0)-IFERROR(VLOOKUP($B247,'Slutlig allokering kvv'!$B$2:$BX$550,MATCH(V$2,'Slutlig allokering kvv'!$B$1:$BX$1,0),FALSE)/1,0))</f>
        <v/>
      </c>
      <c r="W247" s="31" t="str">
        <f>IF($D247="","",IFERROR(VLOOKUP($B247,Kraftvärmeprod!$B$1:$BX$550,MATCH(W$2,Kraftvärmeprod!$B$1:$VX$1,0),FALSE)/1,0)-IFERROR(VLOOKUP($B247,'Slutlig allokering kvv'!$B$2:$BX$550,MATCH(W$2,'Slutlig allokering kvv'!$B$1:$BX$1,0),FALSE)/1,0))</f>
        <v/>
      </c>
      <c r="X247" s="31" t="str">
        <f>IF($D247="","",IFERROR(VLOOKUP($B247,Kraftvärmeprod!$B$1:$BX$550,MATCH(X$2,Kraftvärmeprod!$B$1:$VX$1,0),FALSE)/1,0)-IFERROR(VLOOKUP($B247,'Slutlig allokering kvv'!$B$2:$BX$550,MATCH(X$2,'Slutlig allokering kvv'!$B$1:$BX$1,0),FALSE)/1,0))</f>
        <v/>
      </c>
      <c r="Y247" s="31" t="str">
        <f>IF($D247="","",IFERROR(VLOOKUP($B247,Kraftvärmeprod!$B$1:$BX$550,MATCH(Y$2,Kraftvärmeprod!$B$1:$VX$1,0),FALSE)/1,0)-IFERROR(VLOOKUP($B247,'Slutlig allokering kvv'!$B$2:$BX$550,MATCH(Y$2,'Slutlig allokering kvv'!$B$1:$BX$1,0),FALSE)/1,0))</f>
        <v/>
      </c>
      <c r="Z247" s="31" t="str">
        <f>IF($D247="","",IFERROR(VLOOKUP($B247,Kraftvärmeprod!$B$1:$BX$550,MATCH(Z$2,Kraftvärmeprod!$B$1:$VX$1,0),FALSE)/1,0)-IFERROR(VLOOKUP($B247,'Slutlig allokering kvv'!$B$2:$BX$550,MATCH(Z$2,'Slutlig allokering kvv'!$B$1:$BX$1,0),FALSE)/1,0))</f>
        <v/>
      </c>
      <c r="AA247" s="31" t="str">
        <f>IF($D247="","",IFERROR(VLOOKUP($B247,Kraftvärmeprod!$B$1:$BX$550,MATCH(AA$2,Kraftvärmeprod!$B$1:$VX$1,0),FALSE)/1,0)-IFERROR(VLOOKUP($B247,'Slutlig allokering kvv'!$B$2:$BX$550,MATCH(AA$2,'Slutlig allokering kvv'!$B$1:$BX$1,0),FALSE)/1,0))</f>
        <v/>
      </c>
      <c r="AB247" s="31" t="str">
        <f>IF($D247="","",IFERROR(VLOOKUP($B247,Kraftvärmeprod!$B$1:$BX$550,MATCH(AB$2,Kraftvärmeprod!$B$1:$VX$1,0),FALSE)/1,0)-IFERROR(VLOOKUP($B247,'Slutlig allokering kvv'!$B$2:$BX$550,MATCH(AB$2,'Slutlig allokering kvv'!$B$1:$BX$1,0),FALSE)/1,0))</f>
        <v/>
      </c>
      <c r="AC247" s="31" t="str">
        <f>IF($D247="","",IFERROR(VLOOKUP($B247,Kraftvärmeprod!$B$1:$BX$550,MATCH(AC$2,Kraftvärmeprod!$B$1:$VX$1,0),FALSE)/1,0)-IFERROR(VLOOKUP($B247,'Slutlig allokering kvv'!$B$2:$BX$550,MATCH(AC$2,'Slutlig allokering kvv'!$B$1:$BX$1,0),FALSE)/1,0))</f>
        <v/>
      </c>
      <c r="AD247" s="31" t="str">
        <f>IF($D247="","",IFERROR(VLOOKUP($B247,Kraftvärmeprod!$B$1:$BX$550,MATCH(AD$2,Kraftvärmeprod!$B$1:$VX$1,0),FALSE)/1,0)-IFERROR(VLOOKUP($B247,'Slutlig allokering kvv'!$B$2:$BX$550,MATCH(AD$2,'Slutlig allokering kvv'!$B$1:$BX$1,0),FALSE)/1,0))</f>
        <v/>
      </c>
      <c r="AE247" s="31" t="str">
        <f>IF($D247="","",IFERROR(VLOOKUP($B247,Miljö!$B$1:$E$550,MATCH("Hjälpel kraftvärme (GWh)",Miljö!$B$1:$E$1,0),FALSE)/1,0)-IFERROR(VLOOKUP($B247,'Slutlig allokering kvv'!$B$2:$BX$549,MATCH(AE$2,'Slutlig allokering kvv'!$B$1:$BX$1,0),FALSE)/1,0))</f>
        <v/>
      </c>
      <c r="AI247" s="39">
        <f t="shared" si="12"/>
        <v>0</v>
      </c>
      <c r="AK247" s="31">
        <f>IFERROR(VLOOKUP($B247,'Slutlig allokering kvv'!$B$2:$AX$549,MATCH("Summa slutlig allokerad tillförd energi (utan hjälpel och rökgaskondensering):",'Slutlig allokering kvv'!$B$1:$AX$1,0),FALSE)/1,"")</f>
        <v>0</v>
      </c>
      <c r="AM247" s="31" t="str">
        <f>IFERROR(1-VLOOKUP($B247,'Slutlig allokering kvv'!$B$2:$AX$549,MATCH("Andel av bränsle i kvv som allokerats till värme, exklusive rökgaskondensering och hjälpel",'Slutlig allokering kvv'!$B$1:$AX$1,0),FALSE),"")</f>
        <v/>
      </c>
      <c r="AO247" s="31" t="str">
        <f t="shared" si="13"/>
        <v/>
      </c>
      <c r="AP247" s="31" t="str">
        <f t="shared" si="14"/>
        <v/>
      </c>
      <c r="AR247" s="32" t="str">
        <f t="shared" si="15"/>
        <v/>
      </c>
    </row>
    <row r="248" spans="1:44" s="31" customFormat="1" x14ac:dyDescent="0.45">
      <c r="A248" s="31" t="s">
        <v>324</v>
      </c>
      <c r="B248" s="31" t="s">
        <v>325</v>
      </c>
      <c r="C248" s="31" t="str">
        <f>IFERROR(VLOOKUP($B248,Kraftvärmeprod!$B$1:$AH$479,MATCH(C$2,Kraftvärmeprod!$B$1:$AG$1,0),FALSE)/1,"")</f>
        <v/>
      </c>
      <c r="D248" s="31" t="str">
        <f>IFERROR(VLOOKUP($B248,Kraftvärmeprod!$B$1:$AH$479,MATCH(D$2,Kraftvärmeprod!$B$1:$AG$1,0),FALSE)/1,"")</f>
        <v/>
      </c>
      <c r="F248" s="31" t="str">
        <f>IF($D248="","",IFERROR(VLOOKUP($B248,Kraftvärmeprod!$B$1:$BX$550,MATCH(F$2,Kraftvärmeprod!$B$1:$VX$1,0),FALSE)/1,0)-IFERROR(VLOOKUP($B248,'Slutlig allokering kvv'!$B$2:$BX$550,MATCH(F$2,'Slutlig allokering kvv'!$B$1:$BX$1,0),FALSE)/1,0))</f>
        <v/>
      </c>
      <c r="G248" s="31" t="str">
        <f>IF($D248="","",IFERROR(VLOOKUP($B248,Kraftvärmeprod!$B$1:$BX$550,MATCH(G$2,Kraftvärmeprod!$B$1:$VX$1,0),FALSE)/1,0)-IFERROR(VLOOKUP($B248,'Slutlig allokering kvv'!$B$2:$BX$550,MATCH(G$2,'Slutlig allokering kvv'!$B$1:$BX$1,0),FALSE)/1,0))</f>
        <v/>
      </c>
      <c r="H248" s="31" t="str">
        <f>IF($D248="","",IFERROR(VLOOKUP($B248,Kraftvärmeprod!$B$1:$BX$550,MATCH(H$2,Kraftvärmeprod!$B$1:$VX$1,0),FALSE)/1,0)-IFERROR(VLOOKUP($B248,'Slutlig allokering kvv'!$B$2:$BX$550,MATCH(H$2,'Slutlig allokering kvv'!$B$1:$BX$1,0),FALSE)/1,0))</f>
        <v/>
      </c>
      <c r="I248" s="31" t="str">
        <f>IF($D248="","",IFERROR(VLOOKUP($B248,Kraftvärmeprod!$B$1:$BX$550,MATCH(I$2,Kraftvärmeprod!$B$1:$VX$1,0),FALSE)/1,0)-IFERROR(VLOOKUP($B248,'Slutlig allokering kvv'!$B$2:$BX$550,MATCH(I$2,'Slutlig allokering kvv'!$B$1:$BX$1,0),FALSE)/1,0))</f>
        <v/>
      </c>
      <c r="J248" s="31" t="str">
        <f>IF($D248="","",IFERROR(VLOOKUP($B248,Kraftvärmeprod!$B$1:$BX$550,MATCH(J$2,Kraftvärmeprod!$B$1:$VX$1,0),FALSE)/1,0)-IFERROR(VLOOKUP($B248,'Slutlig allokering kvv'!$B$2:$BX$550,MATCH(J$2,'Slutlig allokering kvv'!$B$1:$BX$1,0),FALSE)/1,0))</f>
        <v/>
      </c>
      <c r="K248" s="31" t="str">
        <f>IF($D248="","",IFERROR(VLOOKUP($B248,Kraftvärmeprod!$B$1:$BX$550,MATCH(K$2,Kraftvärmeprod!$B$1:$VX$1,0),FALSE)/1,0)-IFERROR(VLOOKUP($B248,'Slutlig allokering kvv'!$B$2:$BX$550,MATCH(K$2,'Slutlig allokering kvv'!$B$1:$BX$1,0),FALSE)/1,0))</f>
        <v/>
      </c>
      <c r="L248" s="31" t="str">
        <f>IF($D248="","",IFERROR(VLOOKUP($B248,Kraftvärmeprod!$B$1:$BX$550,MATCH(L$2,Kraftvärmeprod!$B$1:$VX$1,0),FALSE)/1,0)-IFERROR(VLOOKUP($B248,'Slutlig allokering kvv'!$B$2:$BX$550,MATCH(L$2,'Slutlig allokering kvv'!$B$1:$BX$1,0),FALSE)/1,0))</f>
        <v/>
      </c>
      <c r="M248" s="31" t="str">
        <f>IF($D248="","",IFERROR(VLOOKUP($B248,Kraftvärmeprod!$B$1:$BX$550,MATCH(M$2,Kraftvärmeprod!$B$1:$VX$1,0),FALSE)/1,0)-IFERROR(VLOOKUP($B248,'Slutlig allokering kvv'!$B$2:$BX$550,MATCH(M$2,'Slutlig allokering kvv'!$B$1:$BX$1,0),FALSE)/1,0))</f>
        <v/>
      </c>
      <c r="N248" s="31" t="str">
        <f>IF($D248="","",IFERROR(VLOOKUP($B248,Kraftvärmeprod!$B$1:$BX$550,MATCH(N$2,Kraftvärmeprod!$B$1:$VX$1,0),FALSE)/1,0)-IFERROR(VLOOKUP($B248,'Slutlig allokering kvv'!$B$2:$BX$550,MATCH(N$2,'Slutlig allokering kvv'!$B$1:$BX$1,0),FALSE)/1,0))</f>
        <v/>
      </c>
      <c r="O248" s="31" t="str">
        <f>IF($D248="","",IFERROR(VLOOKUP($B248,Kraftvärmeprod!$B$1:$BX$550,MATCH(O$2,Kraftvärmeprod!$B$1:$VX$1,0),FALSE)/1,0)-IFERROR(VLOOKUP($B248,'Slutlig allokering kvv'!$B$2:$BX$550,MATCH(O$2,'Slutlig allokering kvv'!$B$1:$BX$1,0),FALSE)/1,0))</f>
        <v/>
      </c>
      <c r="P248" s="31" t="str">
        <f>IF($D248="","",IFERROR(VLOOKUP($B248,Kraftvärmeprod!$B$1:$BX$550,MATCH(P$2,Kraftvärmeprod!$B$1:$VX$1,0),FALSE)/1,0)-IFERROR(VLOOKUP($B248,'Slutlig allokering kvv'!$B$2:$BX$550,MATCH(P$2,'Slutlig allokering kvv'!$B$1:$BX$1,0),FALSE)/1,0))</f>
        <v/>
      </c>
      <c r="Q248" s="31" t="str">
        <f>IF($D248="","",IFERROR(VLOOKUP($B248,Kraftvärmeprod!$B$1:$BX$550,MATCH(Q$2,Kraftvärmeprod!$B$1:$VX$1,0),FALSE)/1,0)-IFERROR(VLOOKUP($B248,'Slutlig allokering kvv'!$B$2:$BX$550,MATCH(Q$2,'Slutlig allokering kvv'!$B$1:$BX$1,0),FALSE)/1,0))</f>
        <v/>
      </c>
      <c r="R248" s="31" t="str">
        <f>IF($D248="","",IFERROR(VLOOKUP($B248,Kraftvärmeprod!$B$1:$BX$550,MATCH(R$2,Kraftvärmeprod!$B$1:$VX$1,0),FALSE)/1,0)-IFERROR(VLOOKUP($B248,'Slutlig allokering kvv'!$B$2:$BX$550,MATCH(R$2,'Slutlig allokering kvv'!$B$1:$BX$1,0),FALSE)/1,0))</f>
        <v/>
      </c>
      <c r="S248" s="31" t="str">
        <f>IF($D248="","",IFERROR(VLOOKUP($B248,Kraftvärmeprod!$B$1:$BX$550,MATCH(S$2,Kraftvärmeprod!$B$1:$VX$1,0),FALSE)/1,0)-IFERROR(VLOOKUP($B248,'Slutlig allokering kvv'!$B$2:$BX$550,MATCH(S$2,'Slutlig allokering kvv'!$B$1:$BX$1,0),FALSE)/1,0))</f>
        <v/>
      </c>
      <c r="T248" s="31" t="str">
        <f>IF($D248="","",IFERROR(VLOOKUP($B248,Kraftvärmeprod!$B$1:$BX$550,MATCH(T$2,Kraftvärmeprod!$B$1:$VX$1,0),FALSE)/1,0)-IFERROR(VLOOKUP($B248,'Slutlig allokering kvv'!$B$2:$BX$550,MATCH(T$2,'Slutlig allokering kvv'!$B$1:$BX$1,0),FALSE)/1,0))</f>
        <v/>
      </c>
      <c r="U248" s="31" t="str">
        <f>IF($D248="","",IFERROR(VLOOKUP($B248,Kraftvärmeprod!$B$1:$BX$550,MATCH(U$2,Kraftvärmeprod!$B$1:$VX$1,0),FALSE)/1,0)-IFERROR(VLOOKUP($B248,'Slutlig allokering kvv'!$B$2:$BX$550,MATCH(U$2,'Slutlig allokering kvv'!$B$1:$BX$1,0),FALSE)/1,0))</f>
        <v/>
      </c>
      <c r="V248" s="31" t="str">
        <f>IF($D248="","",IFERROR(VLOOKUP($B248,Kraftvärmeprod!$B$1:$BX$550,MATCH(V$2,Kraftvärmeprod!$B$1:$VX$1,0),FALSE)/1,0)-IFERROR(VLOOKUP($B248,'Slutlig allokering kvv'!$B$2:$BX$550,MATCH(V$2,'Slutlig allokering kvv'!$B$1:$BX$1,0),FALSE)/1,0))</f>
        <v/>
      </c>
      <c r="W248" s="31" t="str">
        <f>IF($D248="","",IFERROR(VLOOKUP($B248,Kraftvärmeprod!$B$1:$BX$550,MATCH(W$2,Kraftvärmeprod!$B$1:$VX$1,0),FALSE)/1,0)-IFERROR(VLOOKUP($B248,'Slutlig allokering kvv'!$B$2:$BX$550,MATCH(W$2,'Slutlig allokering kvv'!$B$1:$BX$1,0),FALSE)/1,0))</f>
        <v/>
      </c>
      <c r="X248" s="31" t="str">
        <f>IF($D248="","",IFERROR(VLOOKUP($B248,Kraftvärmeprod!$B$1:$BX$550,MATCH(X$2,Kraftvärmeprod!$B$1:$VX$1,0),FALSE)/1,0)-IFERROR(VLOOKUP($B248,'Slutlig allokering kvv'!$B$2:$BX$550,MATCH(X$2,'Slutlig allokering kvv'!$B$1:$BX$1,0),FALSE)/1,0))</f>
        <v/>
      </c>
      <c r="Y248" s="31" t="str">
        <f>IF($D248="","",IFERROR(VLOOKUP($B248,Kraftvärmeprod!$B$1:$BX$550,MATCH(Y$2,Kraftvärmeprod!$B$1:$VX$1,0),FALSE)/1,0)-IFERROR(VLOOKUP($B248,'Slutlig allokering kvv'!$B$2:$BX$550,MATCH(Y$2,'Slutlig allokering kvv'!$B$1:$BX$1,0),FALSE)/1,0))</f>
        <v/>
      </c>
      <c r="Z248" s="31" t="str">
        <f>IF($D248="","",IFERROR(VLOOKUP($B248,Kraftvärmeprod!$B$1:$BX$550,MATCH(Z$2,Kraftvärmeprod!$B$1:$VX$1,0),FALSE)/1,0)-IFERROR(VLOOKUP($B248,'Slutlig allokering kvv'!$B$2:$BX$550,MATCH(Z$2,'Slutlig allokering kvv'!$B$1:$BX$1,0),FALSE)/1,0))</f>
        <v/>
      </c>
      <c r="AA248" s="31" t="str">
        <f>IF($D248="","",IFERROR(VLOOKUP($B248,Kraftvärmeprod!$B$1:$BX$550,MATCH(AA$2,Kraftvärmeprod!$B$1:$VX$1,0),FALSE)/1,0)-IFERROR(VLOOKUP($B248,'Slutlig allokering kvv'!$B$2:$BX$550,MATCH(AA$2,'Slutlig allokering kvv'!$B$1:$BX$1,0),FALSE)/1,0))</f>
        <v/>
      </c>
      <c r="AB248" s="31" t="str">
        <f>IF($D248="","",IFERROR(VLOOKUP($B248,Kraftvärmeprod!$B$1:$BX$550,MATCH(AB$2,Kraftvärmeprod!$B$1:$VX$1,0),FALSE)/1,0)-IFERROR(VLOOKUP($B248,'Slutlig allokering kvv'!$B$2:$BX$550,MATCH(AB$2,'Slutlig allokering kvv'!$B$1:$BX$1,0),FALSE)/1,0))</f>
        <v/>
      </c>
      <c r="AC248" s="31" t="str">
        <f>IF($D248="","",IFERROR(VLOOKUP($B248,Kraftvärmeprod!$B$1:$BX$550,MATCH(AC$2,Kraftvärmeprod!$B$1:$VX$1,0),FALSE)/1,0)-IFERROR(VLOOKUP($B248,'Slutlig allokering kvv'!$B$2:$BX$550,MATCH(AC$2,'Slutlig allokering kvv'!$B$1:$BX$1,0),FALSE)/1,0))</f>
        <v/>
      </c>
      <c r="AD248" s="31" t="str">
        <f>IF($D248="","",IFERROR(VLOOKUP($B248,Kraftvärmeprod!$B$1:$BX$550,MATCH(AD$2,Kraftvärmeprod!$B$1:$VX$1,0),FALSE)/1,0)-IFERROR(VLOOKUP($B248,'Slutlig allokering kvv'!$B$2:$BX$550,MATCH(AD$2,'Slutlig allokering kvv'!$B$1:$BX$1,0),FALSE)/1,0))</f>
        <v/>
      </c>
      <c r="AE248" s="31" t="str">
        <f>IF($D248="","",IFERROR(VLOOKUP($B248,Miljö!$B$1:$E$550,MATCH("Hjälpel kraftvärme (GWh)",Miljö!$B$1:$E$1,0),FALSE)/1,0)-IFERROR(VLOOKUP($B248,'Slutlig allokering kvv'!$B$2:$BX$549,MATCH(AE$2,'Slutlig allokering kvv'!$B$1:$BX$1,0),FALSE)/1,0))</f>
        <v/>
      </c>
      <c r="AI248" s="39">
        <f t="shared" si="12"/>
        <v>0</v>
      </c>
      <c r="AK248" s="31">
        <f>IFERROR(VLOOKUP($B248,'Slutlig allokering kvv'!$B$2:$AX$549,MATCH("Summa slutlig allokerad tillförd energi (utan hjälpel och rökgaskondensering):",'Slutlig allokering kvv'!$B$1:$AX$1,0),FALSE)/1,"")</f>
        <v>0</v>
      </c>
      <c r="AM248" s="31" t="str">
        <f>IFERROR(1-VLOOKUP($B248,'Slutlig allokering kvv'!$B$2:$AX$549,MATCH("Andel av bränsle i kvv som allokerats till värme, exklusive rökgaskondensering och hjälpel",'Slutlig allokering kvv'!$B$1:$AX$1,0),FALSE),"")</f>
        <v/>
      </c>
      <c r="AO248" s="31" t="str">
        <f t="shared" si="13"/>
        <v/>
      </c>
      <c r="AP248" s="31" t="str">
        <f t="shared" si="14"/>
        <v/>
      </c>
      <c r="AR248" s="32" t="str">
        <f t="shared" si="15"/>
        <v/>
      </c>
    </row>
    <row r="249" spans="1:44" s="31" customFormat="1" x14ac:dyDescent="0.45">
      <c r="A249" s="31" t="s">
        <v>324</v>
      </c>
      <c r="B249" s="31" t="s">
        <v>323</v>
      </c>
      <c r="C249" s="31" t="str">
        <f>IFERROR(VLOOKUP($B249,Kraftvärmeprod!$B$1:$AH$479,MATCH(C$2,Kraftvärmeprod!$B$1:$AG$1,0),FALSE)/1,"")</f>
        <v/>
      </c>
      <c r="D249" s="31" t="str">
        <f>IFERROR(VLOOKUP($B249,Kraftvärmeprod!$B$1:$AH$479,MATCH(D$2,Kraftvärmeprod!$B$1:$AG$1,0),FALSE)/1,"")</f>
        <v/>
      </c>
      <c r="F249" s="31" t="str">
        <f>IF($D249="","",IFERROR(VLOOKUP($B249,Kraftvärmeprod!$B$1:$BX$550,MATCH(F$2,Kraftvärmeprod!$B$1:$VX$1,0),FALSE)/1,0)-IFERROR(VLOOKUP($B249,'Slutlig allokering kvv'!$B$2:$BX$550,MATCH(F$2,'Slutlig allokering kvv'!$B$1:$BX$1,0),FALSE)/1,0))</f>
        <v/>
      </c>
      <c r="G249" s="31" t="str">
        <f>IF($D249="","",IFERROR(VLOOKUP($B249,Kraftvärmeprod!$B$1:$BX$550,MATCH(G$2,Kraftvärmeprod!$B$1:$VX$1,0),FALSE)/1,0)-IFERROR(VLOOKUP($B249,'Slutlig allokering kvv'!$B$2:$BX$550,MATCH(G$2,'Slutlig allokering kvv'!$B$1:$BX$1,0),FALSE)/1,0))</f>
        <v/>
      </c>
      <c r="H249" s="31" t="str">
        <f>IF($D249="","",IFERROR(VLOOKUP($B249,Kraftvärmeprod!$B$1:$BX$550,MATCH(H$2,Kraftvärmeprod!$B$1:$VX$1,0),FALSE)/1,0)-IFERROR(VLOOKUP($B249,'Slutlig allokering kvv'!$B$2:$BX$550,MATCH(H$2,'Slutlig allokering kvv'!$B$1:$BX$1,0),FALSE)/1,0))</f>
        <v/>
      </c>
      <c r="I249" s="31" t="str">
        <f>IF($D249="","",IFERROR(VLOOKUP($B249,Kraftvärmeprod!$B$1:$BX$550,MATCH(I$2,Kraftvärmeprod!$B$1:$VX$1,0),FALSE)/1,0)-IFERROR(VLOOKUP($B249,'Slutlig allokering kvv'!$B$2:$BX$550,MATCH(I$2,'Slutlig allokering kvv'!$B$1:$BX$1,0),FALSE)/1,0))</f>
        <v/>
      </c>
      <c r="J249" s="31" t="str">
        <f>IF($D249="","",IFERROR(VLOOKUP($B249,Kraftvärmeprod!$B$1:$BX$550,MATCH(J$2,Kraftvärmeprod!$B$1:$VX$1,0),FALSE)/1,0)-IFERROR(VLOOKUP($B249,'Slutlig allokering kvv'!$B$2:$BX$550,MATCH(J$2,'Slutlig allokering kvv'!$B$1:$BX$1,0),FALSE)/1,0))</f>
        <v/>
      </c>
      <c r="K249" s="31" t="str">
        <f>IF($D249="","",IFERROR(VLOOKUP($B249,Kraftvärmeprod!$B$1:$BX$550,MATCH(K$2,Kraftvärmeprod!$B$1:$VX$1,0),FALSE)/1,0)-IFERROR(VLOOKUP($B249,'Slutlig allokering kvv'!$B$2:$BX$550,MATCH(K$2,'Slutlig allokering kvv'!$B$1:$BX$1,0),FALSE)/1,0))</f>
        <v/>
      </c>
      <c r="L249" s="31" t="str">
        <f>IF($D249="","",IFERROR(VLOOKUP($B249,Kraftvärmeprod!$B$1:$BX$550,MATCH(L$2,Kraftvärmeprod!$B$1:$VX$1,0),FALSE)/1,0)-IFERROR(VLOOKUP($B249,'Slutlig allokering kvv'!$B$2:$BX$550,MATCH(L$2,'Slutlig allokering kvv'!$B$1:$BX$1,0),FALSE)/1,0))</f>
        <v/>
      </c>
      <c r="M249" s="31" t="str">
        <f>IF($D249="","",IFERROR(VLOOKUP($B249,Kraftvärmeprod!$B$1:$BX$550,MATCH(M$2,Kraftvärmeprod!$B$1:$VX$1,0),FALSE)/1,0)-IFERROR(VLOOKUP($B249,'Slutlig allokering kvv'!$B$2:$BX$550,MATCH(M$2,'Slutlig allokering kvv'!$B$1:$BX$1,0),FALSE)/1,0))</f>
        <v/>
      </c>
      <c r="N249" s="31" t="str">
        <f>IF($D249="","",IFERROR(VLOOKUP($B249,Kraftvärmeprod!$B$1:$BX$550,MATCH(N$2,Kraftvärmeprod!$B$1:$VX$1,0),FALSE)/1,0)-IFERROR(VLOOKUP($B249,'Slutlig allokering kvv'!$B$2:$BX$550,MATCH(N$2,'Slutlig allokering kvv'!$B$1:$BX$1,0),FALSE)/1,0))</f>
        <v/>
      </c>
      <c r="O249" s="31" t="str">
        <f>IF($D249="","",IFERROR(VLOOKUP($B249,Kraftvärmeprod!$B$1:$BX$550,MATCH(O$2,Kraftvärmeprod!$B$1:$VX$1,0),FALSE)/1,0)-IFERROR(VLOOKUP($B249,'Slutlig allokering kvv'!$B$2:$BX$550,MATCH(O$2,'Slutlig allokering kvv'!$B$1:$BX$1,0),FALSE)/1,0))</f>
        <v/>
      </c>
      <c r="P249" s="31" t="str">
        <f>IF($D249="","",IFERROR(VLOOKUP($B249,Kraftvärmeprod!$B$1:$BX$550,MATCH(P$2,Kraftvärmeprod!$B$1:$VX$1,0),FALSE)/1,0)-IFERROR(VLOOKUP($B249,'Slutlig allokering kvv'!$B$2:$BX$550,MATCH(P$2,'Slutlig allokering kvv'!$B$1:$BX$1,0),FALSE)/1,0))</f>
        <v/>
      </c>
      <c r="Q249" s="31" t="str">
        <f>IF($D249="","",IFERROR(VLOOKUP($B249,Kraftvärmeprod!$B$1:$BX$550,MATCH(Q$2,Kraftvärmeprod!$B$1:$VX$1,0),FALSE)/1,0)-IFERROR(VLOOKUP($B249,'Slutlig allokering kvv'!$B$2:$BX$550,MATCH(Q$2,'Slutlig allokering kvv'!$B$1:$BX$1,0),FALSE)/1,0))</f>
        <v/>
      </c>
      <c r="R249" s="31" t="str">
        <f>IF($D249="","",IFERROR(VLOOKUP($B249,Kraftvärmeprod!$B$1:$BX$550,MATCH(R$2,Kraftvärmeprod!$B$1:$VX$1,0),FALSE)/1,0)-IFERROR(VLOOKUP($B249,'Slutlig allokering kvv'!$B$2:$BX$550,MATCH(R$2,'Slutlig allokering kvv'!$B$1:$BX$1,0),FALSE)/1,0))</f>
        <v/>
      </c>
      <c r="S249" s="31" t="str">
        <f>IF($D249="","",IFERROR(VLOOKUP($B249,Kraftvärmeprod!$B$1:$BX$550,MATCH(S$2,Kraftvärmeprod!$B$1:$VX$1,0),FALSE)/1,0)-IFERROR(VLOOKUP($B249,'Slutlig allokering kvv'!$B$2:$BX$550,MATCH(S$2,'Slutlig allokering kvv'!$B$1:$BX$1,0),FALSE)/1,0))</f>
        <v/>
      </c>
      <c r="T249" s="31" t="str">
        <f>IF($D249="","",IFERROR(VLOOKUP($B249,Kraftvärmeprod!$B$1:$BX$550,MATCH(T$2,Kraftvärmeprod!$B$1:$VX$1,0),FALSE)/1,0)-IFERROR(VLOOKUP($B249,'Slutlig allokering kvv'!$B$2:$BX$550,MATCH(T$2,'Slutlig allokering kvv'!$B$1:$BX$1,0),FALSE)/1,0))</f>
        <v/>
      </c>
      <c r="U249" s="31" t="str">
        <f>IF($D249="","",IFERROR(VLOOKUP($B249,Kraftvärmeprod!$B$1:$BX$550,MATCH(U$2,Kraftvärmeprod!$B$1:$VX$1,0),FALSE)/1,0)-IFERROR(VLOOKUP($B249,'Slutlig allokering kvv'!$B$2:$BX$550,MATCH(U$2,'Slutlig allokering kvv'!$B$1:$BX$1,0),FALSE)/1,0))</f>
        <v/>
      </c>
      <c r="V249" s="31" t="str">
        <f>IF($D249="","",IFERROR(VLOOKUP($B249,Kraftvärmeprod!$B$1:$BX$550,MATCH(V$2,Kraftvärmeprod!$B$1:$VX$1,0),FALSE)/1,0)-IFERROR(VLOOKUP($B249,'Slutlig allokering kvv'!$B$2:$BX$550,MATCH(V$2,'Slutlig allokering kvv'!$B$1:$BX$1,0),FALSE)/1,0))</f>
        <v/>
      </c>
      <c r="W249" s="31" t="str">
        <f>IF($D249="","",IFERROR(VLOOKUP($B249,Kraftvärmeprod!$B$1:$BX$550,MATCH(W$2,Kraftvärmeprod!$B$1:$VX$1,0),FALSE)/1,0)-IFERROR(VLOOKUP($B249,'Slutlig allokering kvv'!$B$2:$BX$550,MATCH(W$2,'Slutlig allokering kvv'!$B$1:$BX$1,0),FALSE)/1,0))</f>
        <v/>
      </c>
      <c r="X249" s="31" t="str">
        <f>IF($D249="","",IFERROR(VLOOKUP($B249,Kraftvärmeprod!$B$1:$BX$550,MATCH(X$2,Kraftvärmeprod!$B$1:$VX$1,0),FALSE)/1,0)-IFERROR(VLOOKUP($B249,'Slutlig allokering kvv'!$B$2:$BX$550,MATCH(X$2,'Slutlig allokering kvv'!$B$1:$BX$1,0),FALSE)/1,0))</f>
        <v/>
      </c>
      <c r="Y249" s="31" t="str">
        <f>IF($D249="","",IFERROR(VLOOKUP($B249,Kraftvärmeprod!$B$1:$BX$550,MATCH(Y$2,Kraftvärmeprod!$B$1:$VX$1,0),FALSE)/1,0)-IFERROR(VLOOKUP($B249,'Slutlig allokering kvv'!$B$2:$BX$550,MATCH(Y$2,'Slutlig allokering kvv'!$B$1:$BX$1,0),FALSE)/1,0))</f>
        <v/>
      </c>
      <c r="Z249" s="31" t="str">
        <f>IF($D249="","",IFERROR(VLOOKUP($B249,Kraftvärmeprod!$B$1:$BX$550,MATCH(Z$2,Kraftvärmeprod!$B$1:$VX$1,0),FALSE)/1,0)-IFERROR(VLOOKUP($B249,'Slutlig allokering kvv'!$B$2:$BX$550,MATCH(Z$2,'Slutlig allokering kvv'!$B$1:$BX$1,0),FALSE)/1,0))</f>
        <v/>
      </c>
      <c r="AA249" s="31" t="str">
        <f>IF($D249="","",IFERROR(VLOOKUP($B249,Kraftvärmeprod!$B$1:$BX$550,MATCH(AA$2,Kraftvärmeprod!$B$1:$VX$1,0),FALSE)/1,0)-IFERROR(VLOOKUP($B249,'Slutlig allokering kvv'!$B$2:$BX$550,MATCH(AA$2,'Slutlig allokering kvv'!$B$1:$BX$1,0),FALSE)/1,0))</f>
        <v/>
      </c>
      <c r="AB249" s="31" t="str">
        <f>IF($D249="","",IFERROR(VLOOKUP($B249,Kraftvärmeprod!$B$1:$BX$550,MATCH(AB$2,Kraftvärmeprod!$B$1:$VX$1,0),FALSE)/1,0)-IFERROR(VLOOKUP($B249,'Slutlig allokering kvv'!$B$2:$BX$550,MATCH(AB$2,'Slutlig allokering kvv'!$B$1:$BX$1,0),FALSE)/1,0))</f>
        <v/>
      </c>
      <c r="AC249" s="31" t="str">
        <f>IF($D249="","",IFERROR(VLOOKUP($B249,Kraftvärmeprod!$B$1:$BX$550,MATCH(AC$2,Kraftvärmeprod!$B$1:$VX$1,0),FALSE)/1,0)-IFERROR(VLOOKUP($B249,'Slutlig allokering kvv'!$B$2:$BX$550,MATCH(AC$2,'Slutlig allokering kvv'!$B$1:$BX$1,0),FALSE)/1,0))</f>
        <v/>
      </c>
      <c r="AD249" s="31" t="str">
        <f>IF($D249="","",IFERROR(VLOOKUP($B249,Kraftvärmeprod!$B$1:$BX$550,MATCH(AD$2,Kraftvärmeprod!$B$1:$VX$1,0),FALSE)/1,0)-IFERROR(VLOOKUP($B249,'Slutlig allokering kvv'!$B$2:$BX$550,MATCH(AD$2,'Slutlig allokering kvv'!$B$1:$BX$1,0),FALSE)/1,0))</f>
        <v/>
      </c>
      <c r="AE249" s="31" t="str">
        <f>IF($D249="","",IFERROR(VLOOKUP($B249,Miljö!$B$1:$E$550,MATCH("Hjälpel kraftvärme (GWh)",Miljö!$B$1:$E$1,0),FALSE)/1,0)-IFERROR(VLOOKUP($B249,'Slutlig allokering kvv'!$B$2:$BX$549,MATCH(AE$2,'Slutlig allokering kvv'!$B$1:$BX$1,0),FALSE)/1,0))</f>
        <v/>
      </c>
      <c r="AI249" s="39">
        <f t="shared" si="12"/>
        <v>0</v>
      </c>
      <c r="AK249" s="31">
        <f>IFERROR(VLOOKUP($B249,'Slutlig allokering kvv'!$B$2:$AX$549,MATCH("Summa slutlig allokerad tillförd energi (utan hjälpel och rökgaskondensering):",'Slutlig allokering kvv'!$B$1:$AX$1,0),FALSE)/1,"")</f>
        <v>0</v>
      </c>
      <c r="AM249" s="31" t="str">
        <f>IFERROR(1-VLOOKUP($B249,'Slutlig allokering kvv'!$B$2:$AX$549,MATCH("Andel av bränsle i kvv som allokerats till värme, exklusive rökgaskondensering och hjälpel",'Slutlig allokering kvv'!$B$1:$AX$1,0),FALSE),"")</f>
        <v/>
      </c>
      <c r="AO249" s="31" t="str">
        <f t="shared" si="13"/>
        <v/>
      </c>
      <c r="AP249" s="31" t="str">
        <f t="shared" si="14"/>
        <v/>
      </c>
      <c r="AR249" s="32" t="str">
        <f t="shared" si="15"/>
        <v/>
      </c>
    </row>
    <row r="250" spans="1:44" s="31" customFormat="1" x14ac:dyDescent="0.45">
      <c r="A250" s="31" t="s">
        <v>321</v>
      </c>
      <c r="B250" s="31" t="s">
        <v>322</v>
      </c>
      <c r="C250" s="31" t="str">
        <f>IFERROR(VLOOKUP($B250,Kraftvärmeprod!$B$1:$AH$479,MATCH(C$2,Kraftvärmeprod!$B$1:$AG$1,0),FALSE)/1,"")</f>
        <v/>
      </c>
      <c r="D250" s="31" t="str">
        <f>IFERROR(VLOOKUP($B250,Kraftvärmeprod!$B$1:$AH$479,MATCH(D$2,Kraftvärmeprod!$B$1:$AG$1,0),FALSE)/1,"")</f>
        <v/>
      </c>
      <c r="F250" s="31" t="str">
        <f>IF($D250="","",IFERROR(VLOOKUP($B250,Kraftvärmeprod!$B$1:$BX$550,MATCH(F$2,Kraftvärmeprod!$B$1:$VX$1,0),FALSE)/1,0)-IFERROR(VLOOKUP($B250,'Slutlig allokering kvv'!$B$2:$BX$550,MATCH(F$2,'Slutlig allokering kvv'!$B$1:$BX$1,0),FALSE)/1,0))</f>
        <v/>
      </c>
      <c r="G250" s="31" t="str">
        <f>IF($D250="","",IFERROR(VLOOKUP($B250,Kraftvärmeprod!$B$1:$BX$550,MATCH(G$2,Kraftvärmeprod!$B$1:$VX$1,0),FALSE)/1,0)-IFERROR(VLOOKUP($B250,'Slutlig allokering kvv'!$B$2:$BX$550,MATCH(G$2,'Slutlig allokering kvv'!$B$1:$BX$1,0),FALSE)/1,0))</f>
        <v/>
      </c>
      <c r="H250" s="31" t="str">
        <f>IF($D250="","",IFERROR(VLOOKUP($B250,Kraftvärmeprod!$B$1:$BX$550,MATCH(H$2,Kraftvärmeprod!$B$1:$VX$1,0),FALSE)/1,0)-IFERROR(VLOOKUP($B250,'Slutlig allokering kvv'!$B$2:$BX$550,MATCH(H$2,'Slutlig allokering kvv'!$B$1:$BX$1,0),FALSE)/1,0))</f>
        <v/>
      </c>
      <c r="I250" s="31" t="str">
        <f>IF($D250="","",IFERROR(VLOOKUP($B250,Kraftvärmeprod!$B$1:$BX$550,MATCH(I$2,Kraftvärmeprod!$B$1:$VX$1,0),FALSE)/1,0)-IFERROR(VLOOKUP($B250,'Slutlig allokering kvv'!$B$2:$BX$550,MATCH(I$2,'Slutlig allokering kvv'!$B$1:$BX$1,0),FALSE)/1,0))</f>
        <v/>
      </c>
      <c r="J250" s="31" t="str">
        <f>IF($D250="","",IFERROR(VLOOKUP($B250,Kraftvärmeprod!$B$1:$BX$550,MATCH(J$2,Kraftvärmeprod!$B$1:$VX$1,0),FALSE)/1,0)-IFERROR(VLOOKUP($B250,'Slutlig allokering kvv'!$B$2:$BX$550,MATCH(J$2,'Slutlig allokering kvv'!$B$1:$BX$1,0),FALSE)/1,0))</f>
        <v/>
      </c>
      <c r="K250" s="31" t="str">
        <f>IF($D250="","",IFERROR(VLOOKUP($B250,Kraftvärmeprod!$B$1:$BX$550,MATCH(K$2,Kraftvärmeprod!$B$1:$VX$1,0),FALSE)/1,0)-IFERROR(VLOOKUP($B250,'Slutlig allokering kvv'!$B$2:$BX$550,MATCH(K$2,'Slutlig allokering kvv'!$B$1:$BX$1,0),FALSE)/1,0))</f>
        <v/>
      </c>
      <c r="L250" s="31" t="str">
        <f>IF($D250="","",IFERROR(VLOOKUP($B250,Kraftvärmeprod!$B$1:$BX$550,MATCH(L$2,Kraftvärmeprod!$B$1:$VX$1,0),FALSE)/1,0)-IFERROR(VLOOKUP($B250,'Slutlig allokering kvv'!$B$2:$BX$550,MATCH(L$2,'Slutlig allokering kvv'!$B$1:$BX$1,0),FALSE)/1,0))</f>
        <v/>
      </c>
      <c r="M250" s="31" t="str">
        <f>IF($D250="","",IFERROR(VLOOKUP($B250,Kraftvärmeprod!$B$1:$BX$550,MATCH(M$2,Kraftvärmeprod!$B$1:$VX$1,0),FALSE)/1,0)-IFERROR(VLOOKUP($B250,'Slutlig allokering kvv'!$B$2:$BX$550,MATCH(M$2,'Slutlig allokering kvv'!$B$1:$BX$1,0),FALSE)/1,0))</f>
        <v/>
      </c>
      <c r="N250" s="31" t="str">
        <f>IF($D250="","",IFERROR(VLOOKUP($B250,Kraftvärmeprod!$B$1:$BX$550,MATCH(N$2,Kraftvärmeprod!$B$1:$VX$1,0),FALSE)/1,0)-IFERROR(VLOOKUP($B250,'Slutlig allokering kvv'!$B$2:$BX$550,MATCH(N$2,'Slutlig allokering kvv'!$B$1:$BX$1,0),FALSE)/1,0))</f>
        <v/>
      </c>
      <c r="O250" s="31" t="str">
        <f>IF($D250="","",IFERROR(VLOOKUP($B250,Kraftvärmeprod!$B$1:$BX$550,MATCH(O$2,Kraftvärmeprod!$B$1:$VX$1,0),FALSE)/1,0)-IFERROR(VLOOKUP($B250,'Slutlig allokering kvv'!$B$2:$BX$550,MATCH(O$2,'Slutlig allokering kvv'!$B$1:$BX$1,0),FALSE)/1,0))</f>
        <v/>
      </c>
      <c r="P250" s="31" t="str">
        <f>IF($D250="","",IFERROR(VLOOKUP($B250,Kraftvärmeprod!$B$1:$BX$550,MATCH(P$2,Kraftvärmeprod!$B$1:$VX$1,0),FALSE)/1,0)-IFERROR(VLOOKUP($B250,'Slutlig allokering kvv'!$B$2:$BX$550,MATCH(P$2,'Slutlig allokering kvv'!$B$1:$BX$1,0),FALSE)/1,0))</f>
        <v/>
      </c>
      <c r="Q250" s="31" t="str">
        <f>IF($D250="","",IFERROR(VLOOKUP($B250,Kraftvärmeprod!$B$1:$BX$550,MATCH(Q$2,Kraftvärmeprod!$B$1:$VX$1,0),FALSE)/1,0)-IFERROR(VLOOKUP($B250,'Slutlig allokering kvv'!$B$2:$BX$550,MATCH(Q$2,'Slutlig allokering kvv'!$B$1:$BX$1,0),FALSE)/1,0))</f>
        <v/>
      </c>
      <c r="R250" s="31" t="str">
        <f>IF($D250="","",IFERROR(VLOOKUP($B250,Kraftvärmeprod!$B$1:$BX$550,MATCH(R$2,Kraftvärmeprod!$B$1:$VX$1,0),FALSE)/1,0)-IFERROR(VLOOKUP($B250,'Slutlig allokering kvv'!$B$2:$BX$550,MATCH(R$2,'Slutlig allokering kvv'!$B$1:$BX$1,0),FALSE)/1,0))</f>
        <v/>
      </c>
      <c r="S250" s="31" t="str">
        <f>IF($D250="","",IFERROR(VLOOKUP($B250,Kraftvärmeprod!$B$1:$BX$550,MATCH(S$2,Kraftvärmeprod!$B$1:$VX$1,0),FALSE)/1,0)-IFERROR(VLOOKUP($B250,'Slutlig allokering kvv'!$B$2:$BX$550,MATCH(S$2,'Slutlig allokering kvv'!$B$1:$BX$1,0),FALSE)/1,0))</f>
        <v/>
      </c>
      <c r="T250" s="31" t="str">
        <f>IF($D250="","",IFERROR(VLOOKUP($B250,Kraftvärmeprod!$B$1:$BX$550,MATCH(T$2,Kraftvärmeprod!$B$1:$VX$1,0),FALSE)/1,0)-IFERROR(VLOOKUP($B250,'Slutlig allokering kvv'!$B$2:$BX$550,MATCH(T$2,'Slutlig allokering kvv'!$B$1:$BX$1,0),FALSE)/1,0))</f>
        <v/>
      </c>
      <c r="U250" s="31" t="str">
        <f>IF($D250="","",IFERROR(VLOOKUP($B250,Kraftvärmeprod!$B$1:$BX$550,MATCH(U$2,Kraftvärmeprod!$B$1:$VX$1,0),FALSE)/1,0)-IFERROR(VLOOKUP($B250,'Slutlig allokering kvv'!$B$2:$BX$550,MATCH(U$2,'Slutlig allokering kvv'!$B$1:$BX$1,0),FALSE)/1,0))</f>
        <v/>
      </c>
      <c r="V250" s="31" t="str">
        <f>IF($D250="","",IFERROR(VLOOKUP($B250,Kraftvärmeprod!$B$1:$BX$550,MATCH(V$2,Kraftvärmeprod!$B$1:$VX$1,0),FALSE)/1,0)-IFERROR(VLOOKUP($B250,'Slutlig allokering kvv'!$B$2:$BX$550,MATCH(V$2,'Slutlig allokering kvv'!$B$1:$BX$1,0),FALSE)/1,0))</f>
        <v/>
      </c>
      <c r="W250" s="31" t="str">
        <f>IF($D250="","",IFERROR(VLOOKUP($B250,Kraftvärmeprod!$B$1:$BX$550,MATCH(W$2,Kraftvärmeprod!$B$1:$VX$1,0),FALSE)/1,0)-IFERROR(VLOOKUP($B250,'Slutlig allokering kvv'!$B$2:$BX$550,MATCH(W$2,'Slutlig allokering kvv'!$B$1:$BX$1,0),FALSE)/1,0))</f>
        <v/>
      </c>
      <c r="X250" s="31" t="str">
        <f>IF($D250="","",IFERROR(VLOOKUP($B250,Kraftvärmeprod!$B$1:$BX$550,MATCH(X$2,Kraftvärmeprod!$B$1:$VX$1,0),FALSE)/1,0)-IFERROR(VLOOKUP($B250,'Slutlig allokering kvv'!$B$2:$BX$550,MATCH(X$2,'Slutlig allokering kvv'!$B$1:$BX$1,0),FALSE)/1,0))</f>
        <v/>
      </c>
      <c r="Y250" s="31" t="str">
        <f>IF($D250="","",IFERROR(VLOOKUP($B250,Kraftvärmeprod!$B$1:$BX$550,MATCH(Y$2,Kraftvärmeprod!$B$1:$VX$1,0),FALSE)/1,0)-IFERROR(VLOOKUP($B250,'Slutlig allokering kvv'!$B$2:$BX$550,MATCH(Y$2,'Slutlig allokering kvv'!$B$1:$BX$1,0),FALSE)/1,0))</f>
        <v/>
      </c>
      <c r="Z250" s="31" t="str">
        <f>IF($D250="","",IFERROR(VLOOKUP($B250,Kraftvärmeprod!$B$1:$BX$550,MATCH(Z$2,Kraftvärmeprod!$B$1:$VX$1,0),FALSE)/1,0)-IFERROR(VLOOKUP($B250,'Slutlig allokering kvv'!$B$2:$BX$550,MATCH(Z$2,'Slutlig allokering kvv'!$B$1:$BX$1,0),FALSE)/1,0))</f>
        <v/>
      </c>
      <c r="AA250" s="31" t="str">
        <f>IF($D250="","",IFERROR(VLOOKUP($B250,Kraftvärmeprod!$B$1:$BX$550,MATCH(AA$2,Kraftvärmeprod!$B$1:$VX$1,0),FALSE)/1,0)-IFERROR(VLOOKUP($B250,'Slutlig allokering kvv'!$B$2:$BX$550,MATCH(AA$2,'Slutlig allokering kvv'!$B$1:$BX$1,0),FALSE)/1,0))</f>
        <v/>
      </c>
      <c r="AB250" s="31" t="str">
        <f>IF($D250="","",IFERROR(VLOOKUP($B250,Kraftvärmeprod!$B$1:$BX$550,MATCH(AB$2,Kraftvärmeprod!$B$1:$VX$1,0),FALSE)/1,0)-IFERROR(VLOOKUP($B250,'Slutlig allokering kvv'!$B$2:$BX$550,MATCH(AB$2,'Slutlig allokering kvv'!$B$1:$BX$1,0),FALSE)/1,0))</f>
        <v/>
      </c>
      <c r="AC250" s="31" t="str">
        <f>IF($D250="","",IFERROR(VLOOKUP($B250,Kraftvärmeprod!$B$1:$BX$550,MATCH(AC$2,Kraftvärmeprod!$B$1:$VX$1,0),FALSE)/1,0)-IFERROR(VLOOKUP($B250,'Slutlig allokering kvv'!$B$2:$BX$550,MATCH(AC$2,'Slutlig allokering kvv'!$B$1:$BX$1,0),FALSE)/1,0))</f>
        <v/>
      </c>
      <c r="AD250" s="31" t="str">
        <f>IF($D250="","",IFERROR(VLOOKUP($B250,Kraftvärmeprod!$B$1:$BX$550,MATCH(AD$2,Kraftvärmeprod!$B$1:$VX$1,0),FALSE)/1,0)-IFERROR(VLOOKUP($B250,'Slutlig allokering kvv'!$B$2:$BX$550,MATCH(AD$2,'Slutlig allokering kvv'!$B$1:$BX$1,0),FALSE)/1,0))</f>
        <v/>
      </c>
      <c r="AE250" s="31" t="str">
        <f>IF($D250="","",IFERROR(VLOOKUP($B250,Miljö!$B$1:$E$550,MATCH("Hjälpel kraftvärme (GWh)",Miljö!$B$1:$E$1,0),FALSE)/1,0)-IFERROR(VLOOKUP($B250,'Slutlig allokering kvv'!$B$2:$BX$549,MATCH(AE$2,'Slutlig allokering kvv'!$B$1:$BX$1,0),FALSE)/1,0))</f>
        <v/>
      </c>
      <c r="AI250" s="39">
        <f t="shared" si="12"/>
        <v>0</v>
      </c>
      <c r="AK250" s="31">
        <f>IFERROR(VLOOKUP($B250,'Slutlig allokering kvv'!$B$2:$AX$549,MATCH("Summa slutlig allokerad tillförd energi (utan hjälpel och rökgaskondensering):",'Slutlig allokering kvv'!$B$1:$AX$1,0),FALSE)/1,"")</f>
        <v>0</v>
      </c>
      <c r="AM250" s="31" t="str">
        <f>IFERROR(1-VLOOKUP($B250,'Slutlig allokering kvv'!$B$2:$AX$549,MATCH("Andel av bränsle i kvv som allokerats till värme, exklusive rökgaskondensering och hjälpel",'Slutlig allokering kvv'!$B$1:$AX$1,0),FALSE),"")</f>
        <v/>
      </c>
      <c r="AO250" s="31" t="str">
        <f t="shared" si="13"/>
        <v/>
      </c>
      <c r="AP250" s="31" t="str">
        <f t="shared" si="14"/>
        <v/>
      </c>
      <c r="AR250" s="32" t="str">
        <f t="shared" si="15"/>
        <v/>
      </c>
    </row>
    <row r="251" spans="1:44" s="31" customFormat="1" x14ac:dyDescent="0.45">
      <c r="A251" s="31" t="s">
        <v>321</v>
      </c>
      <c r="B251" s="31" t="s">
        <v>320</v>
      </c>
      <c r="C251" s="31" t="str">
        <f>IFERROR(VLOOKUP($B251,Kraftvärmeprod!$B$1:$AH$479,MATCH(C$2,Kraftvärmeprod!$B$1:$AG$1,0),FALSE)/1,"")</f>
        <v/>
      </c>
      <c r="D251" s="31" t="str">
        <f>IFERROR(VLOOKUP($B251,Kraftvärmeprod!$B$1:$AH$479,MATCH(D$2,Kraftvärmeprod!$B$1:$AG$1,0),FALSE)/1,"")</f>
        <v/>
      </c>
      <c r="F251" s="31" t="str">
        <f>IF($D251="","",IFERROR(VLOOKUP($B251,Kraftvärmeprod!$B$1:$BX$550,MATCH(F$2,Kraftvärmeprod!$B$1:$VX$1,0),FALSE)/1,0)-IFERROR(VLOOKUP($B251,'Slutlig allokering kvv'!$B$2:$BX$550,MATCH(F$2,'Slutlig allokering kvv'!$B$1:$BX$1,0),FALSE)/1,0))</f>
        <v/>
      </c>
      <c r="G251" s="31" t="str">
        <f>IF($D251="","",IFERROR(VLOOKUP($B251,Kraftvärmeprod!$B$1:$BX$550,MATCH(G$2,Kraftvärmeprod!$B$1:$VX$1,0),FALSE)/1,0)-IFERROR(VLOOKUP($B251,'Slutlig allokering kvv'!$B$2:$BX$550,MATCH(G$2,'Slutlig allokering kvv'!$B$1:$BX$1,0),FALSE)/1,0))</f>
        <v/>
      </c>
      <c r="H251" s="31" t="str">
        <f>IF($D251="","",IFERROR(VLOOKUP($B251,Kraftvärmeprod!$B$1:$BX$550,MATCH(H$2,Kraftvärmeprod!$B$1:$VX$1,0),FALSE)/1,0)-IFERROR(VLOOKUP($B251,'Slutlig allokering kvv'!$B$2:$BX$550,MATCH(H$2,'Slutlig allokering kvv'!$B$1:$BX$1,0),FALSE)/1,0))</f>
        <v/>
      </c>
      <c r="I251" s="31" t="str">
        <f>IF($D251="","",IFERROR(VLOOKUP($B251,Kraftvärmeprod!$B$1:$BX$550,MATCH(I$2,Kraftvärmeprod!$B$1:$VX$1,0),FALSE)/1,0)-IFERROR(VLOOKUP($B251,'Slutlig allokering kvv'!$B$2:$BX$550,MATCH(I$2,'Slutlig allokering kvv'!$B$1:$BX$1,0),FALSE)/1,0))</f>
        <v/>
      </c>
      <c r="J251" s="31" t="str">
        <f>IF($D251="","",IFERROR(VLOOKUP($B251,Kraftvärmeprod!$B$1:$BX$550,MATCH(J$2,Kraftvärmeprod!$B$1:$VX$1,0),FALSE)/1,0)-IFERROR(VLOOKUP($B251,'Slutlig allokering kvv'!$B$2:$BX$550,MATCH(J$2,'Slutlig allokering kvv'!$B$1:$BX$1,0),FALSE)/1,0))</f>
        <v/>
      </c>
      <c r="K251" s="31" t="str">
        <f>IF($D251="","",IFERROR(VLOOKUP($B251,Kraftvärmeprod!$B$1:$BX$550,MATCH(K$2,Kraftvärmeprod!$B$1:$VX$1,0),FALSE)/1,0)-IFERROR(VLOOKUP($B251,'Slutlig allokering kvv'!$B$2:$BX$550,MATCH(K$2,'Slutlig allokering kvv'!$B$1:$BX$1,0),FALSE)/1,0))</f>
        <v/>
      </c>
      <c r="L251" s="31" t="str">
        <f>IF($D251="","",IFERROR(VLOOKUP($B251,Kraftvärmeprod!$B$1:$BX$550,MATCH(L$2,Kraftvärmeprod!$B$1:$VX$1,0),FALSE)/1,0)-IFERROR(VLOOKUP($B251,'Slutlig allokering kvv'!$B$2:$BX$550,MATCH(L$2,'Slutlig allokering kvv'!$B$1:$BX$1,0),FALSE)/1,0))</f>
        <v/>
      </c>
      <c r="M251" s="31" t="str">
        <f>IF($D251="","",IFERROR(VLOOKUP($B251,Kraftvärmeprod!$B$1:$BX$550,MATCH(M$2,Kraftvärmeprod!$B$1:$VX$1,0),FALSE)/1,0)-IFERROR(VLOOKUP($B251,'Slutlig allokering kvv'!$B$2:$BX$550,MATCH(M$2,'Slutlig allokering kvv'!$B$1:$BX$1,0),FALSE)/1,0))</f>
        <v/>
      </c>
      <c r="N251" s="31" t="str">
        <f>IF($D251="","",IFERROR(VLOOKUP($B251,Kraftvärmeprod!$B$1:$BX$550,MATCH(N$2,Kraftvärmeprod!$B$1:$VX$1,0),FALSE)/1,0)-IFERROR(VLOOKUP($B251,'Slutlig allokering kvv'!$B$2:$BX$550,MATCH(N$2,'Slutlig allokering kvv'!$B$1:$BX$1,0),FALSE)/1,0))</f>
        <v/>
      </c>
      <c r="O251" s="31" t="str">
        <f>IF($D251="","",IFERROR(VLOOKUP($B251,Kraftvärmeprod!$B$1:$BX$550,MATCH(O$2,Kraftvärmeprod!$B$1:$VX$1,0),FALSE)/1,0)-IFERROR(VLOOKUP($B251,'Slutlig allokering kvv'!$B$2:$BX$550,MATCH(O$2,'Slutlig allokering kvv'!$B$1:$BX$1,0),FALSE)/1,0))</f>
        <v/>
      </c>
      <c r="P251" s="31" t="str">
        <f>IF($D251="","",IFERROR(VLOOKUP($B251,Kraftvärmeprod!$B$1:$BX$550,MATCH(P$2,Kraftvärmeprod!$B$1:$VX$1,0),FALSE)/1,0)-IFERROR(VLOOKUP($B251,'Slutlig allokering kvv'!$B$2:$BX$550,MATCH(P$2,'Slutlig allokering kvv'!$B$1:$BX$1,0),FALSE)/1,0))</f>
        <v/>
      </c>
      <c r="Q251" s="31" t="str">
        <f>IF($D251="","",IFERROR(VLOOKUP($B251,Kraftvärmeprod!$B$1:$BX$550,MATCH(Q$2,Kraftvärmeprod!$B$1:$VX$1,0),FALSE)/1,0)-IFERROR(VLOOKUP($B251,'Slutlig allokering kvv'!$B$2:$BX$550,MATCH(Q$2,'Slutlig allokering kvv'!$B$1:$BX$1,0),FALSE)/1,0))</f>
        <v/>
      </c>
      <c r="R251" s="31" t="str">
        <f>IF($D251="","",IFERROR(VLOOKUP($B251,Kraftvärmeprod!$B$1:$BX$550,MATCH(R$2,Kraftvärmeprod!$B$1:$VX$1,0),FALSE)/1,0)-IFERROR(VLOOKUP($B251,'Slutlig allokering kvv'!$B$2:$BX$550,MATCH(R$2,'Slutlig allokering kvv'!$B$1:$BX$1,0),FALSE)/1,0))</f>
        <v/>
      </c>
      <c r="S251" s="31" t="str">
        <f>IF($D251="","",IFERROR(VLOOKUP($B251,Kraftvärmeprod!$B$1:$BX$550,MATCH(S$2,Kraftvärmeprod!$B$1:$VX$1,0),FALSE)/1,0)-IFERROR(VLOOKUP($B251,'Slutlig allokering kvv'!$B$2:$BX$550,MATCH(S$2,'Slutlig allokering kvv'!$B$1:$BX$1,0),FALSE)/1,0))</f>
        <v/>
      </c>
      <c r="T251" s="31" t="str">
        <f>IF($D251="","",IFERROR(VLOOKUP($B251,Kraftvärmeprod!$B$1:$BX$550,MATCH(T$2,Kraftvärmeprod!$B$1:$VX$1,0),FALSE)/1,0)-IFERROR(VLOOKUP($B251,'Slutlig allokering kvv'!$B$2:$BX$550,MATCH(T$2,'Slutlig allokering kvv'!$B$1:$BX$1,0),FALSE)/1,0))</f>
        <v/>
      </c>
      <c r="U251" s="31" t="str">
        <f>IF($D251="","",IFERROR(VLOOKUP($B251,Kraftvärmeprod!$B$1:$BX$550,MATCH(U$2,Kraftvärmeprod!$B$1:$VX$1,0),FALSE)/1,0)-IFERROR(VLOOKUP($B251,'Slutlig allokering kvv'!$B$2:$BX$550,MATCH(U$2,'Slutlig allokering kvv'!$B$1:$BX$1,0),FALSE)/1,0))</f>
        <v/>
      </c>
      <c r="V251" s="31" t="str">
        <f>IF($D251="","",IFERROR(VLOOKUP($B251,Kraftvärmeprod!$B$1:$BX$550,MATCH(V$2,Kraftvärmeprod!$B$1:$VX$1,0),FALSE)/1,0)-IFERROR(VLOOKUP($B251,'Slutlig allokering kvv'!$B$2:$BX$550,MATCH(V$2,'Slutlig allokering kvv'!$B$1:$BX$1,0),FALSE)/1,0))</f>
        <v/>
      </c>
      <c r="W251" s="31" t="str">
        <f>IF($D251="","",IFERROR(VLOOKUP($B251,Kraftvärmeprod!$B$1:$BX$550,MATCH(W$2,Kraftvärmeprod!$B$1:$VX$1,0),FALSE)/1,0)-IFERROR(VLOOKUP($B251,'Slutlig allokering kvv'!$B$2:$BX$550,MATCH(W$2,'Slutlig allokering kvv'!$B$1:$BX$1,0),FALSE)/1,0))</f>
        <v/>
      </c>
      <c r="X251" s="31" t="str">
        <f>IF($D251="","",IFERROR(VLOOKUP($B251,Kraftvärmeprod!$B$1:$BX$550,MATCH(X$2,Kraftvärmeprod!$B$1:$VX$1,0),FALSE)/1,0)-IFERROR(VLOOKUP($B251,'Slutlig allokering kvv'!$B$2:$BX$550,MATCH(X$2,'Slutlig allokering kvv'!$B$1:$BX$1,0),FALSE)/1,0))</f>
        <v/>
      </c>
      <c r="Y251" s="31" t="str">
        <f>IF($D251="","",IFERROR(VLOOKUP($B251,Kraftvärmeprod!$B$1:$BX$550,MATCH(Y$2,Kraftvärmeprod!$B$1:$VX$1,0),FALSE)/1,0)-IFERROR(VLOOKUP($B251,'Slutlig allokering kvv'!$B$2:$BX$550,MATCH(Y$2,'Slutlig allokering kvv'!$B$1:$BX$1,0),FALSE)/1,0))</f>
        <v/>
      </c>
      <c r="Z251" s="31" t="str">
        <f>IF($D251="","",IFERROR(VLOOKUP($B251,Kraftvärmeprod!$B$1:$BX$550,MATCH(Z$2,Kraftvärmeprod!$B$1:$VX$1,0),FALSE)/1,0)-IFERROR(VLOOKUP($B251,'Slutlig allokering kvv'!$B$2:$BX$550,MATCH(Z$2,'Slutlig allokering kvv'!$B$1:$BX$1,0),FALSE)/1,0))</f>
        <v/>
      </c>
      <c r="AA251" s="31" t="str">
        <f>IF($D251="","",IFERROR(VLOOKUP($B251,Kraftvärmeprod!$B$1:$BX$550,MATCH(AA$2,Kraftvärmeprod!$B$1:$VX$1,0),FALSE)/1,0)-IFERROR(VLOOKUP($B251,'Slutlig allokering kvv'!$B$2:$BX$550,MATCH(AA$2,'Slutlig allokering kvv'!$B$1:$BX$1,0),FALSE)/1,0))</f>
        <v/>
      </c>
      <c r="AB251" s="31" t="str">
        <f>IF($D251="","",IFERROR(VLOOKUP($B251,Kraftvärmeprod!$B$1:$BX$550,MATCH(AB$2,Kraftvärmeprod!$B$1:$VX$1,0),FALSE)/1,0)-IFERROR(VLOOKUP($B251,'Slutlig allokering kvv'!$B$2:$BX$550,MATCH(AB$2,'Slutlig allokering kvv'!$B$1:$BX$1,0),FALSE)/1,0))</f>
        <v/>
      </c>
      <c r="AC251" s="31" t="str">
        <f>IF($D251="","",IFERROR(VLOOKUP($B251,Kraftvärmeprod!$B$1:$BX$550,MATCH(AC$2,Kraftvärmeprod!$B$1:$VX$1,0),FALSE)/1,0)-IFERROR(VLOOKUP($B251,'Slutlig allokering kvv'!$B$2:$BX$550,MATCH(AC$2,'Slutlig allokering kvv'!$B$1:$BX$1,0),FALSE)/1,0))</f>
        <v/>
      </c>
      <c r="AD251" s="31" t="str">
        <f>IF($D251="","",IFERROR(VLOOKUP($B251,Kraftvärmeprod!$B$1:$BX$550,MATCH(AD$2,Kraftvärmeprod!$B$1:$VX$1,0),FALSE)/1,0)-IFERROR(VLOOKUP($B251,'Slutlig allokering kvv'!$B$2:$BX$550,MATCH(AD$2,'Slutlig allokering kvv'!$B$1:$BX$1,0),FALSE)/1,0))</f>
        <v/>
      </c>
      <c r="AE251" s="31" t="str">
        <f>IF($D251="","",IFERROR(VLOOKUP($B251,Miljö!$B$1:$E$550,MATCH("Hjälpel kraftvärme (GWh)",Miljö!$B$1:$E$1,0),FALSE)/1,0)-IFERROR(VLOOKUP($B251,'Slutlig allokering kvv'!$B$2:$BX$549,MATCH(AE$2,'Slutlig allokering kvv'!$B$1:$BX$1,0),FALSE)/1,0))</f>
        <v/>
      </c>
      <c r="AI251" s="39">
        <f t="shared" si="12"/>
        <v>0</v>
      </c>
      <c r="AK251" s="31">
        <f>IFERROR(VLOOKUP($B251,'Slutlig allokering kvv'!$B$2:$AX$549,MATCH("Summa slutlig allokerad tillförd energi (utan hjälpel och rökgaskondensering):",'Slutlig allokering kvv'!$B$1:$AX$1,0),FALSE)/1,"")</f>
        <v>0</v>
      </c>
      <c r="AM251" s="31" t="str">
        <f>IFERROR(1-VLOOKUP($B251,'Slutlig allokering kvv'!$B$2:$AX$549,MATCH("Andel av bränsle i kvv som allokerats till värme, exklusive rökgaskondensering och hjälpel",'Slutlig allokering kvv'!$B$1:$AX$1,0),FALSE),"")</f>
        <v/>
      </c>
      <c r="AO251" s="31" t="str">
        <f t="shared" si="13"/>
        <v/>
      </c>
      <c r="AP251" s="31" t="str">
        <f t="shared" si="14"/>
        <v/>
      </c>
      <c r="AR251" s="32" t="str">
        <f t="shared" si="15"/>
        <v/>
      </c>
    </row>
    <row r="252" spans="1:44" s="31" customFormat="1" x14ac:dyDescent="0.45">
      <c r="A252" s="31" t="s">
        <v>312</v>
      </c>
      <c r="B252" s="31" t="s">
        <v>313</v>
      </c>
      <c r="C252" s="31" t="str">
        <f>IFERROR(VLOOKUP($B252,Kraftvärmeprod!$B$1:$AH$479,MATCH(C$2,Kraftvärmeprod!$B$1:$AG$1,0),FALSE)/1,"")</f>
        <v/>
      </c>
      <c r="D252" s="31" t="str">
        <f>IFERROR(VLOOKUP($B252,Kraftvärmeprod!$B$1:$AH$479,MATCH(D$2,Kraftvärmeprod!$B$1:$AG$1,0),FALSE)/1,"")</f>
        <v/>
      </c>
      <c r="F252" s="31" t="str">
        <f>IF($D252="","",IFERROR(VLOOKUP($B252,Kraftvärmeprod!$B$1:$BX$550,MATCH(F$2,Kraftvärmeprod!$B$1:$VX$1,0),FALSE)/1,0)-IFERROR(VLOOKUP($B252,'Slutlig allokering kvv'!$B$2:$BX$550,MATCH(F$2,'Slutlig allokering kvv'!$B$1:$BX$1,0),FALSE)/1,0))</f>
        <v/>
      </c>
      <c r="G252" s="31" t="str">
        <f>IF($D252="","",IFERROR(VLOOKUP($B252,Kraftvärmeprod!$B$1:$BX$550,MATCH(G$2,Kraftvärmeprod!$B$1:$VX$1,0),FALSE)/1,0)-IFERROR(VLOOKUP($B252,'Slutlig allokering kvv'!$B$2:$BX$550,MATCH(G$2,'Slutlig allokering kvv'!$B$1:$BX$1,0),FALSE)/1,0))</f>
        <v/>
      </c>
      <c r="H252" s="31" t="str">
        <f>IF($D252="","",IFERROR(VLOOKUP($B252,Kraftvärmeprod!$B$1:$BX$550,MATCH(H$2,Kraftvärmeprod!$B$1:$VX$1,0),FALSE)/1,0)-IFERROR(VLOOKUP($B252,'Slutlig allokering kvv'!$B$2:$BX$550,MATCH(H$2,'Slutlig allokering kvv'!$B$1:$BX$1,0),FALSE)/1,0))</f>
        <v/>
      </c>
      <c r="I252" s="31" t="str">
        <f>IF($D252="","",IFERROR(VLOOKUP($B252,Kraftvärmeprod!$B$1:$BX$550,MATCH(I$2,Kraftvärmeprod!$B$1:$VX$1,0),FALSE)/1,0)-IFERROR(VLOOKUP($B252,'Slutlig allokering kvv'!$B$2:$BX$550,MATCH(I$2,'Slutlig allokering kvv'!$B$1:$BX$1,0),FALSE)/1,0))</f>
        <v/>
      </c>
      <c r="J252" s="31" t="str">
        <f>IF($D252="","",IFERROR(VLOOKUP($B252,Kraftvärmeprod!$B$1:$BX$550,MATCH(J$2,Kraftvärmeprod!$B$1:$VX$1,0),FALSE)/1,0)-IFERROR(VLOOKUP($B252,'Slutlig allokering kvv'!$B$2:$BX$550,MATCH(J$2,'Slutlig allokering kvv'!$B$1:$BX$1,0),FALSE)/1,0))</f>
        <v/>
      </c>
      <c r="K252" s="31" t="str">
        <f>IF($D252="","",IFERROR(VLOOKUP($B252,Kraftvärmeprod!$B$1:$BX$550,MATCH(K$2,Kraftvärmeprod!$B$1:$VX$1,0),FALSE)/1,0)-IFERROR(VLOOKUP($B252,'Slutlig allokering kvv'!$B$2:$BX$550,MATCH(K$2,'Slutlig allokering kvv'!$B$1:$BX$1,0),FALSE)/1,0))</f>
        <v/>
      </c>
      <c r="L252" s="31" t="str">
        <f>IF($D252="","",IFERROR(VLOOKUP($B252,Kraftvärmeprod!$B$1:$BX$550,MATCH(L$2,Kraftvärmeprod!$B$1:$VX$1,0),FALSE)/1,0)-IFERROR(VLOOKUP($B252,'Slutlig allokering kvv'!$B$2:$BX$550,MATCH(L$2,'Slutlig allokering kvv'!$B$1:$BX$1,0),FALSE)/1,0))</f>
        <v/>
      </c>
      <c r="M252" s="31" t="str">
        <f>IF($D252="","",IFERROR(VLOOKUP($B252,Kraftvärmeprod!$B$1:$BX$550,MATCH(M$2,Kraftvärmeprod!$B$1:$VX$1,0),FALSE)/1,0)-IFERROR(VLOOKUP($B252,'Slutlig allokering kvv'!$B$2:$BX$550,MATCH(M$2,'Slutlig allokering kvv'!$B$1:$BX$1,0),FALSE)/1,0))</f>
        <v/>
      </c>
      <c r="N252" s="31" t="str">
        <f>IF($D252="","",IFERROR(VLOOKUP($B252,Kraftvärmeprod!$B$1:$BX$550,MATCH(N$2,Kraftvärmeprod!$B$1:$VX$1,0),FALSE)/1,0)-IFERROR(VLOOKUP($B252,'Slutlig allokering kvv'!$B$2:$BX$550,MATCH(N$2,'Slutlig allokering kvv'!$B$1:$BX$1,0),FALSE)/1,0))</f>
        <v/>
      </c>
      <c r="O252" s="31" t="str">
        <f>IF($D252="","",IFERROR(VLOOKUP($B252,Kraftvärmeprod!$B$1:$BX$550,MATCH(O$2,Kraftvärmeprod!$B$1:$VX$1,0),FALSE)/1,0)-IFERROR(VLOOKUP($B252,'Slutlig allokering kvv'!$B$2:$BX$550,MATCH(O$2,'Slutlig allokering kvv'!$B$1:$BX$1,0),FALSE)/1,0))</f>
        <v/>
      </c>
      <c r="P252" s="31" t="str">
        <f>IF($D252="","",IFERROR(VLOOKUP($B252,Kraftvärmeprod!$B$1:$BX$550,MATCH(P$2,Kraftvärmeprod!$B$1:$VX$1,0),FALSE)/1,0)-IFERROR(VLOOKUP($B252,'Slutlig allokering kvv'!$B$2:$BX$550,MATCH(P$2,'Slutlig allokering kvv'!$B$1:$BX$1,0),FALSE)/1,0))</f>
        <v/>
      </c>
      <c r="Q252" s="31" t="str">
        <f>IF($D252="","",IFERROR(VLOOKUP($B252,Kraftvärmeprod!$B$1:$BX$550,MATCH(Q$2,Kraftvärmeprod!$B$1:$VX$1,0),FALSE)/1,0)-IFERROR(VLOOKUP($B252,'Slutlig allokering kvv'!$B$2:$BX$550,MATCH(Q$2,'Slutlig allokering kvv'!$B$1:$BX$1,0),FALSE)/1,0))</f>
        <v/>
      </c>
      <c r="R252" s="31" t="str">
        <f>IF($D252="","",IFERROR(VLOOKUP($B252,Kraftvärmeprod!$B$1:$BX$550,MATCH(R$2,Kraftvärmeprod!$B$1:$VX$1,0),FALSE)/1,0)-IFERROR(VLOOKUP($B252,'Slutlig allokering kvv'!$B$2:$BX$550,MATCH(R$2,'Slutlig allokering kvv'!$B$1:$BX$1,0),FALSE)/1,0))</f>
        <v/>
      </c>
      <c r="S252" s="31" t="str">
        <f>IF($D252="","",IFERROR(VLOOKUP($B252,Kraftvärmeprod!$B$1:$BX$550,MATCH(S$2,Kraftvärmeprod!$B$1:$VX$1,0),FALSE)/1,0)-IFERROR(VLOOKUP($B252,'Slutlig allokering kvv'!$B$2:$BX$550,MATCH(S$2,'Slutlig allokering kvv'!$B$1:$BX$1,0),FALSE)/1,0))</f>
        <v/>
      </c>
      <c r="T252" s="31" t="str">
        <f>IF($D252="","",IFERROR(VLOOKUP($B252,Kraftvärmeprod!$B$1:$BX$550,MATCH(T$2,Kraftvärmeprod!$B$1:$VX$1,0),FALSE)/1,0)-IFERROR(VLOOKUP($B252,'Slutlig allokering kvv'!$B$2:$BX$550,MATCH(T$2,'Slutlig allokering kvv'!$B$1:$BX$1,0),FALSE)/1,0))</f>
        <v/>
      </c>
      <c r="U252" s="31" t="str">
        <f>IF($D252="","",IFERROR(VLOOKUP($B252,Kraftvärmeprod!$B$1:$BX$550,MATCH(U$2,Kraftvärmeprod!$B$1:$VX$1,0),FALSE)/1,0)-IFERROR(VLOOKUP($B252,'Slutlig allokering kvv'!$B$2:$BX$550,MATCH(U$2,'Slutlig allokering kvv'!$B$1:$BX$1,0),FALSE)/1,0))</f>
        <v/>
      </c>
      <c r="V252" s="31" t="str">
        <f>IF($D252="","",IFERROR(VLOOKUP($B252,Kraftvärmeprod!$B$1:$BX$550,MATCH(V$2,Kraftvärmeprod!$B$1:$VX$1,0),FALSE)/1,0)-IFERROR(VLOOKUP($B252,'Slutlig allokering kvv'!$B$2:$BX$550,MATCH(V$2,'Slutlig allokering kvv'!$B$1:$BX$1,0),FALSE)/1,0))</f>
        <v/>
      </c>
      <c r="W252" s="31" t="str">
        <f>IF($D252="","",IFERROR(VLOOKUP($B252,Kraftvärmeprod!$B$1:$BX$550,MATCH(W$2,Kraftvärmeprod!$B$1:$VX$1,0),FALSE)/1,0)-IFERROR(VLOOKUP($B252,'Slutlig allokering kvv'!$B$2:$BX$550,MATCH(W$2,'Slutlig allokering kvv'!$B$1:$BX$1,0),FALSE)/1,0))</f>
        <v/>
      </c>
      <c r="X252" s="31" t="str">
        <f>IF($D252="","",IFERROR(VLOOKUP($B252,Kraftvärmeprod!$B$1:$BX$550,MATCH(X$2,Kraftvärmeprod!$B$1:$VX$1,0),FALSE)/1,0)-IFERROR(VLOOKUP($B252,'Slutlig allokering kvv'!$B$2:$BX$550,MATCH(X$2,'Slutlig allokering kvv'!$B$1:$BX$1,0),FALSE)/1,0))</f>
        <v/>
      </c>
      <c r="Y252" s="31" t="str">
        <f>IF($D252="","",IFERROR(VLOOKUP($B252,Kraftvärmeprod!$B$1:$BX$550,MATCH(Y$2,Kraftvärmeprod!$B$1:$VX$1,0),FALSE)/1,0)-IFERROR(VLOOKUP($B252,'Slutlig allokering kvv'!$B$2:$BX$550,MATCH(Y$2,'Slutlig allokering kvv'!$B$1:$BX$1,0),FALSE)/1,0))</f>
        <v/>
      </c>
      <c r="Z252" s="31" t="str">
        <f>IF($D252="","",IFERROR(VLOOKUP($B252,Kraftvärmeprod!$B$1:$BX$550,MATCH(Z$2,Kraftvärmeprod!$B$1:$VX$1,0),FALSE)/1,0)-IFERROR(VLOOKUP($B252,'Slutlig allokering kvv'!$B$2:$BX$550,MATCH(Z$2,'Slutlig allokering kvv'!$B$1:$BX$1,0),FALSE)/1,0))</f>
        <v/>
      </c>
      <c r="AA252" s="31" t="str">
        <f>IF($D252="","",IFERROR(VLOOKUP($B252,Kraftvärmeprod!$B$1:$BX$550,MATCH(AA$2,Kraftvärmeprod!$B$1:$VX$1,0),FALSE)/1,0)-IFERROR(VLOOKUP($B252,'Slutlig allokering kvv'!$B$2:$BX$550,MATCH(AA$2,'Slutlig allokering kvv'!$B$1:$BX$1,0),FALSE)/1,0))</f>
        <v/>
      </c>
      <c r="AB252" s="31" t="str">
        <f>IF($D252="","",IFERROR(VLOOKUP($B252,Kraftvärmeprod!$B$1:$BX$550,MATCH(AB$2,Kraftvärmeprod!$B$1:$VX$1,0),FALSE)/1,0)-IFERROR(VLOOKUP($B252,'Slutlig allokering kvv'!$B$2:$BX$550,MATCH(AB$2,'Slutlig allokering kvv'!$B$1:$BX$1,0),FALSE)/1,0))</f>
        <v/>
      </c>
      <c r="AC252" s="31" t="str">
        <f>IF($D252="","",IFERROR(VLOOKUP($B252,Kraftvärmeprod!$B$1:$BX$550,MATCH(AC$2,Kraftvärmeprod!$B$1:$VX$1,0),FALSE)/1,0)-IFERROR(VLOOKUP($B252,'Slutlig allokering kvv'!$B$2:$BX$550,MATCH(AC$2,'Slutlig allokering kvv'!$B$1:$BX$1,0),FALSE)/1,0))</f>
        <v/>
      </c>
      <c r="AD252" s="31" t="str">
        <f>IF($D252="","",IFERROR(VLOOKUP($B252,Kraftvärmeprod!$B$1:$BX$550,MATCH(AD$2,Kraftvärmeprod!$B$1:$VX$1,0),FALSE)/1,0)-IFERROR(VLOOKUP($B252,'Slutlig allokering kvv'!$B$2:$BX$550,MATCH(AD$2,'Slutlig allokering kvv'!$B$1:$BX$1,0),FALSE)/1,0))</f>
        <v/>
      </c>
      <c r="AE252" s="31" t="str">
        <f>IF($D252="","",IFERROR(VLOOKUP($B252,Miljö!$B$1:$E$550,MATCH("Hjälpel kraftvärme (GWh)",Miljö!$B$1:$E$1,0),FALSE)/1,0)-IFERROR(VLOOKUP($B252,'Slutlig allokering kvv'!$B$2:$BX$549,MATCH(AE$2,'Slutlig allokering kvv'!$B$1:$BX$1,0),FALSE)/1,0))</f>
        <v/>
      </c>
      <c r="AI252" s="39">
        <f t="shared" si="12"/>
        <v>0</v>
      </c>
      <c r="AK252" s="31">
        <f>IFERROR(VLOOKUP($B252,'Slutlig allokering kvv'!$B$2:$AX$549,MATCH("Summa slutlig allokerad tillförd energi (utan hjälpel och rökgaskondensering):",'Slutlig allokering kvv'!$B$1:$AX$1,0),FALSE)/1,"")</f>
        <v>0</v>
      </c>
      <c r="AM252" s="31" t="str">
        <f>IFERROR(1-VLOOKUP($B252,'Slutlig allokering kvv'!$B$2:$AX$549,MATCH("Andel av bränsle i kvv som allokerats till värme, exklusive rökgaskondensering och hjälpel",'Slutlig allokering kvv'!$B$1:$AX$1,0),FALSE),"")</f>
        <v/>
      </c>
      <c r="AO252" s="31" t="str">
        <f t="shared" si="13"/>
        <v/>
      </c>
      <c r="AP252" s="31" t="str">
        <f t="shared" si="14"/>
        <v/>
      </c>
      <c r="AR252" s="32" t="str">
        <f t="shared" si="15"/>
        <v/>
      </c>
    </row>
    <row r="253" spans="1:44" s="31" customFormat="1" x14ac:dyDescent="0.45">
      <c r="A253" s="31" t="s">
        <v>312</v>
      </c>
      <c r="B253" s="31" t="s">
        <v>112</v>
      </c>
      <c r="C253" s="31">
        <f>IFERROR(VLOOKUP($B253,Kraftvärmeprod!$B$1:$AH$479,MATCH(C$2,Kraftvärmeprod!$B$1:$AG$1,0),FALSE)/1,"")</f>
        <v>3319.482</v>
      </c>
      <c r="D253" s="31">
        <f>IFERROR(VLOOKUP($B253,Kraftvärmeprod!$B$1:$AH$479,MATCH(D$2,Kraftvärmeprod!$B$1:$AG$1,0),FALSE)/1,"")</f>
        <v>1567.0039999999999</v>
      </c>
      <c r="F253" s="31">
        <f>IF($D253="","",IFERROR(VLOOKUP($B253,Kraftvärmeprod!$B$1:$BX$550,MATCH(F$2,Kraftvärmeprod!$B$1:$VX$1,0),FALSE)/1,0)-IFERROR(VLOOKUP($B253,'Slutlig allokering kvv'!$B$2:$BX$550,MATCH(F$2,'Slutlig allokering kvv'!$B$1:$BX$1,0),FALSE)/1,0))</f>
        <v>433.60399999999998</v>
      </c>
      <c r="G253" s="31">
        <f>IF($D253="","",IFERROR(VLOOKUP($B253,Kraftvärmeprod!$B$1:$BX$550,MATCH(G$2,Kraftvärmeprod!$B$1:$VX$1,0),FALSE)/1,0)-IFERROR(VLOOKUP($B253,'Slutlig allokering kvv'!$B$2:$BX$550,MATCH(G$2,'Slutlig allokering kvv'!$B$1:$BX$1,0),FALSE)/1,0))</f>
        <v>86.524000000000001</v>
      </c>
      <c r="H253" s="31">
        <f>IF($D253="","",IFERROR(VLOOKUP($B253,Kraftvärmeprod!$B$1:$BX$550,MATCH(H$2,Kraftvärmeprod!$B$1:$VX$1,0),FALSE)/1,0)-IFERROR(VLOOKUP($B253,'Slutlig allokering kvv'!$B$2:$BX$550,MATCH(H$2,'Slutlig allokering kvv'!$B$1:$BX$1,0),FALSE)/1,0))</f>
        <v>0</v>
      </c>
      <c r="I253" s="31">
        <f>IF($D253="","",IFERROR(VLOOKUP($B253,Kraftvärmeprod!$B$1:$BX$550,MATCH(I$2,Kraftvärmeprod!$B$1:$VX$1,0),FALSE)/1,0)-IFERROR(VLOOKUP($B253,'Slutlig allokering kvv'!$B$2:$BX$550,MATCH(I$2,'Slutlig allokering kvv'!$B$1:$BX$1,0),FALSE)/1,0))</f>
        <v>14.486999999999998</v>
      </c>
      <c r="J253" s="31">
        <f>IF($D253="","",IFERROR(VLOOKUP($B253,Kraftvärmeprod!$B$1:$BX$550,MATCH(J$2,Kraftvärmeprod!$B$1:$VX$1,0),FALSE)/1,0)-IFERROR(VLOOKUP($B253,'Slutlig allokering kvv'!$B$2:$BX$550,MATCH(J$2,'Slutlig allokering kvv'!$B$1:$BX$1,0),FALSE)/1,0))</f>
        <v>0</v>
      </c>
      <c r="K253" s="31">
        <f>IF($D253="","",IFERROR(VLOOKUP($B253,Kraftvärmeprod!$B$1:$BX$550,MATCH(K$2,Kraftvärmeprod!$B$1:$VX$1,0),FALSE)/1,0)-IFERROR(VLOOKUP($B253,'Slutlig allokering kvv'!$B$2:$BX$550,MATCH(K$2,'Slutlig allokering kvv'!$B$1:$BX$1,0),FALSE)/1,0))</f>
        <v>0</v>
      </c>
      <c r="L253" s="31">
        <f>IF($D253="","",IFERROR(VLOOKUP($B253,Kraftvärmeprod!$B$1:$BX$550,MATCH(L$2,Kraftvärmeprod!$B$1:$VX$1,0),FALSE)/1,0)-IFERROR(VLOOKUP($B253,'Slutlig allokering kvv'!$B$2:$BX$550,MATCH(L$2,'Slutlig allokering kvv'!$B$1:$BX$1,0),FALSE)/1,0))</f>
        <v>1572.9959999999999</v>
      </c>
      <c r="M253" s="31">
        <f>IF($D253="","",IFERROR(VLOOKUP($B253,Kraftvärmeprod!$B$1:$BX$550,MATCH(M$2,Kraftvärmeprod!$B$1:$VX$1,0),FALSE)/1,0)-IFERROR(VLOOKUP($B253,'Slutlig allokering kvv'!$B$2:$BX$550,MATCH(M$2,'Slutlig allokering kvv'!$B$1:$BX$1,0),FALSE)/1,0))</f>
        <v>0</v>
      </c>
      <c r="N253" s="31">
        <f>IF($D253="","",IFERROR(VLOOKUP($B253,Kraftvärmeprod!$B$1:$BX$550,MATCH(N$2,Kraftvärmeprod!$B$1:$VX$1,0),FALSE)/1,0)-IFERROR(VLOOKUP($B253,'Slutlig allokering kvv'!$B$2:$BX$550,MATCH(N$2,'Slutlig allokering kvv'!$B$1:$BX$1,0),FALSE)/1,0))</f>
        <v>0</v>
      </c>
      <c r="O253" s="31">
        <f>IF($D253="","",IFERROR(VLOOKUP($B253,Kraftvärmeprod!$B$1:$BX$550,MATCH(O$2,Kraftvärmeprod!$B$1:$VX$1,0),FALSE)/1,0)-IFERROR(VLOOKUP($B253,'Slutlig allokering kvv'!$B$2:$BX$550,MATCH(O$2,'Slutlig allokering kvv'!$B$1:$BX$1,0),FALSE)/1,0))</f>
        <v>0</v>
      </c>
      <c r="P253" s="31">
        <f>IF($D253="","",IFERROR(VLOOKUP($B253,Kraftvärmeprod!$B$1:$BX$550,MATCH(P$2,Kraftvärmeprod!$B$1:$VX$1,0),FALSE)/1,0)-IFERROR(VLOOKUP($B253,'Slutlig allokering kvv'!$B$2:$BX$550,MATCH(P$2,'Slutlig allokering kvv'!$B$1:$BX$1,0),FALSE)/1,0))</f>
        <v>0</v>
      </c>
      <c r="Q253" s="31">
        <f>IF($D253="","",IFERROR(VLOOKUP($B253,Kraftvärmeprod!$B$1:$BX$550,MATCH(Q$2,Kraftvärmeprod!$B$1:$VX$1,0),FALSE)/1,0)-IFERROR(VLOOKUP($B253,'Slutlig allokering kvv'!$B$2:$BX$550,MATCH(Q$2,'Slutlig allokering kvv'!$B$1:$BX$1,0),FALSE)/1,0))</f>
        <v>12.839999999999998</v>
      </c>
      <c r="R253" s="31">
        <f>IF($D253="","",IFERROR(VLOOKUP($B253,Kraftvärmeprod!$B$1:$BX$550,MATCH(R$2,Kraftvärmeprod!$B$1:$VX$1,0),FALSE)/1,0)-IFERROR(VLOOKUP($B253,'Slutlig allokering kvv'!$B$2:$BX$550,MATCH(R$2,'Slutlig allokering kvv'!$B$1:$BX$1,0),FALSE)/1,0))</f>
        <v>0</v>
      </c>
      <c r="S253" s="31">
        <f>IF($D253="","",IFERROR(VLOOKUP($B253,Kraftvärmeprod!$B$1:$BX$550,MATCH(S$2,Kraftvärmeprod!$B$1:$VX$1,0),FALSE)/1,0)-IFERROR(VLOOKUP($B253,'Slutlig allokering kvv'!$B$2:$BX$550,MATCH(S$2,'Slutlig allokering kvv'!$B$1:$BX$1,0),FALSE)/1,0))</f>
        <v>159.56000000000003</v>
      </c>
      <c r="T253" s="31">
        <f>IF($D253="","",IFERROR(VLOOKUP($B253,Kraftvärmeprod!$B$1:$BX$550,MATCH(T$2,Kraftvärmeprod!$B$1:$VX$1,0),FALSE)/1,0)-IFERROR(VLOOKUP($B253,'Slutlig allokering kvv'!$B$2:$BX$550,MATCH(T$2,'Slutlig allokering kvv'!$B$1:$BX$1,0),FALSE)/1,0))</f>
        <v>0</v>
      </c>
      <c r="U253" s="31">
        <f>IF($D253="","",IFERROR(VLOOKUP($B253,Kraftvärmeprod!$B$1:$BX$550,MATCH(U$2,Kraftvärmeprod!$B$1:$VX$1,0),FALSE)/1,0)-IFERROR(VLOOKUP($B253,'Slutlig allokering kvv'!$B$2:$BX$550,MATCH(U$2,'Slutlig allokering kvv'!$B$1:$BX$1,0),FALSE)/1,0))</f>
        <v>0</v>
      </c>
      <c r="V253" s="31">
        <f>IF($D253="","",IFERROR(VLOOKUP($B253,Kraftvärmeprod!$B$1:$BX$550,MATCH(V$2,Kraftvärmeprod!$B$1:$VX$1,0),FALSE)/1,0)-IFERROR(VLOOKUP($B253,'Slutlig allokering kvv'!$B$2:$BX$550,MATCH(V$2,'Slutlig allokering kvv'!$B$1:$BX$1,0),FALSE)/1,0))</f>
        <v>0</v>
      </c>
      <c r="W253" s="31">
        <f>IF($D253="","",IFERROR(VLOOKUP($B253,Kraftvärmeprod!$B$1:$BX$550,MATCH(W$2,Kraftvärmeprod!$B$1:$VX$1,0),FALSE)/1,0)-IFERROR(VLOOKUP($B253,'Slutlig allokering kvv'!$B$2:$BX$550,MATCH(W$2,'Slutlig allokering kvv'!$B$1:$BX$1,0),FALSE)/1,0))</f>
        <v>0</v>
      </c>
      <c r="X253" s="31">
        <f>IF($D253="","",IFERROR(VLOOKUP($B253,Kraftvärmeprod!$B$1:$BX$550,MATCH(X$2,Kraftvärmeprod!$B$1:$VX$1,0),FALSE)/1,0)-IFERROR(VLOOKUP($B253,'Slutlig allokering kvv'!$B$2:$BX$550,MATCH(X$2,'Slutlig allokering kvv'!$B$1:$BX$1,0),FALSE)/1,0))</f>
        <v>13.180000000000001</v>
      </c>
      <c r="Y253" s="31">
        <f>IF($D253="","",IFERROR(VLOOKUP($B253,Kraftvärmeprod!$B$1:$BX$550,MATCH(Y$2,Kraftvärmeprod!$B$1:$VX$1,0),FALSE)/1,0)-IFERROR(VLOOKUP($B253,'Slutlig allokering kvv'!$B$2:$BX$550,MATCH(Y$2,'Slutlig allokering kvv'!$B$1:$BX$1,0),FALSE)/1,0))</f>
        <v>0</v>
      </c>
      <c r="Z253" s="31">
        <f>IF($D253="","",IFERROR(VLOOKUP($B253,Kraftvärmeprod!$B$1:$BX$550,MATCH(Z$2,Kraftvärmeprod!$B$1:$VX$1,0),FALSE)/1,0)-IFERROR(VLOOKUP($B253,'Slutlig allokering kvv'!$B$2:$BX$550,MATCH(Z$2,'Slutlig allokering kvv'!$B$1:$BX$1,0),FALSE)/1,0))</f>
        <v>0</v>
      </c>
      <c r="AA253" s="31">
        <f>IF($D253="","",IFERROR(VLOOKUP($B253,Kraftvärmeprod!$B$1:$BX$550,MATCH(AA$2,Kraftvärmeprod!$B$1:$VX$1,0),FALSE)/1,0)-IFERROR(VLOOKUP($B253,'Slutlig allokering kvv'!$B$2:$BX$550,MATCH(AA$2,'Slutlig allokering kvv'!$B$1:$BX$1,0),FALSE)/1,0))</f>
        <v>937.57100000000003</v>
      </c>
      <c r="AB253" s="31">
        <f>IF($D253="","",IFERROR(VLOOKUP($B253,Kraftvärmeprod!$B$1:$BX$550,MATCH(AB$2,Kraftvärmeprod!$B$1:$VX$1,0),FALSE)/1,0)-IFERROR(VLOOKUP($B253,'Slutlig allokering kvv'!$B$2:$BX$550,MATCH(AB$2,'Slutlig allokering kvv'!$B$1:$BX$1,0),FALSE)/1,0))</f>
        <v>0</v>
      </c>
      <c r="AC253" s="31">
        <f>IF($D253="","",IFERROR(VLOOKUP($B253,Kraftvärmeprod!$B$1:$BX$550,MATCH(AC$2,Kraftvärmeprod!$B$1:$VX$1,0),FALSE)/1,0)-IFERROR(VLOOKUP($B253,'Slutlig allokering kvv'!$B$2:$BX$550,MATCH(AC$2,'Slutlig allokering kvv'!$B$1:$BX$1,0),FALSE)/1,0))</f>
        <v>0</v>
      </c>
      <c r="AD253" s="31">
        <f>IF($D253="","",IFERROR(VLOOKUP($B253,Kraftvärmeprod!$B$1:$BX$550,MATCH(AD$2,Kraftvärmeprod!$B$1:$VX$1,0),FALSE)/1,0)-IFERROR(VLOOKUP($B253,'Slutlig allokering kvv'!$B$2:$BX$550,MATCH(AD$2,'Slutlig allokering kvv'!$B$1:$BX$1,0),FALSE)/1,0))</f>
        <v>-9.9999999997635314E-4</v>
      </c>
      <c r="AE253" s="31">
        <f>IF($D253="","",IFERROR(VLOOKUP($B253,Miljö!$B$1:$E$550,MATCH("Hjälpel kraftvärme (GWh)",Miljö!$B$1:$E$1,0),FALSE)/1,0)-IFERROR(VLOOKUP($B253,'Slutlig allokering kvv'!$B$2:$BX$549,MATCH(AE$2,'Slutlig allokering kvv'!$B$1:$BX$1,0),FALSE)/1,0))</f>
        <v>179.54199999999997</v>
      </c>
      <c r="AI253" s="39">
        <f t="shared" si="12"/>
        <v>3230.7619999999997</v>
      </c>
      <c r="AK253" s="31">
        <f>IFERROR(VLOOKUP($B253,'Slutlig allokering kvv'!$B$2:$AX$549,MATCH("Summa slutlig allokerad tillförd energi (utan hjälpel och rökgaskondensering):",'Slutlig allokering kvv'!$B$1:$AX$1,0),FALSE)/1,"")</f>
        <v>2656.7980000000007</v>
      </c>
      <c r="AM253" s="31">
        <f>IFERROR(1-VLOOKUP($B253,'Slutlig allokering kvv'!$B$2:$AX$549,MATCH("Andel av bränsle i kvv som allokerats till värme, exklusive rökgaskondensering och hjälpel",'Slutlig allokering kvv'!$B$1:$AX$1,0),FALSE),"")</f>
        <v>0.54874379199532552</v>
      </c>
      <c r="AO253" s="31">
        <f t="shared" si="13"/>
        <v>0.54874379199532564</v>
      </c>
      <c r="AP253" s="31">
        <f t="shared" si="14"/>
        <v>-1.1102230246251565E-16</v>
      </c>
      <c r="AR253" s="32">
        <f t="shared" si="15"/>
        <v>0.4594910013887325</v>
      </c>
    </row>
    <row r="254" spans="1:44" s="31" customFormat="1" x14ac:dyDescent="0.45">
      <c r="A254" s="31" t="s">
        <v>305</v>
      </c>
      <c r="B254" s="31" t="s">
        <v>310</v>
      </c>
      <c r="C254" s="31" t="str">
        <f>IFERROR(VLOOKUP($B254,Kraftvärmeprod!$B$1:$AH$479,MATCH(C$2,Kraftvärmeprod!$B$1:$AG$1,0),FALSE)/1,"")</f>
        <v/>
      </c>
      <c r="D254" s="31" t="str">
        <f>IFERROR(VLOOKUP($B254,Kraftvärmeprod!$B$1:$AH$479,MATCH(D$2,Kraftvärmeprod!$B$1:$AG$1,0),FALSE)/1,"")</f>
        <v/>
      </c>
      <c r="F254" s="31" t="str">
        <f>IF($D254="","",IFERROR(VLOOKUP($B254,Kraftvärmeprod!$B$1:$BX$550,MATCH(F$2,Kraftvärmeprod!$B$1:$VX$1,0),FALSE)/1,0)-IFERROR(VLOOKUP($B254,'Slutlig allokering kvv'!$B$2:$BX$550,MATCH(F$2,'Slutlig allokering kvv'!$B$1:$BX$1,0),FALSE)/1,0))</f>
        <v/>
      </c>
      <c r="G254" s="31" t="str">
        <f>IF($D254="","",IFERROR(VLOOKUP($B254,Kraftvärmeprod!$B$1:$BX$550,MATCH(G$2,Kraftvärmeprod!$B$1:$VX$1,0),FALSE)/1,0)-IFERROR(VLOOKUP($B254,'Slutlig allokering kvv'!$B$2:$BX$550,MATCH(G$2,'Slutlig allokering kvv'!$B$1:$BX$1,0),FALSE)/1,0))</f>
        <v/>
      </c>
      <c r="H254" s="31" t="str">
        <f>IF($D254="","",IFERROR(VLOOKUP($B254,Kraftvärmeprod!$B$1:$BX$550,MATCH(H$2,Kraftvärmeprod!$B$1:$VX$1,0),FALSE)/1,0)-IFERROR(VLOOKUP($B254,'Slutlig allokering kvv'!$B$2:$BX$550,MATCH(H$2,'Slutlig allokering kvv'!$B$1:$BX$1,0),FALSE)/1,0))</f>
        <v/>
      </c>
      <c r="I254" s="31" t="str">
        <f>IF($D254="","",IFERROR(VLOOKUP($B254,Kraftvärmeprod!$B$1:$BX$550,MATCH(I$2,Kraftvärmeprod!$B$1:$VX$1,0),FALSE)/1,0)-IFERROR(VLOOKUP($B254,'Slutlig allokering kvv'!$B$2:$BX$550,MATCH(I$2,'Slutlig allokering kvv'!$B$1:$BX$1,0),FALSE)/1,0))</f>
        <v/>
      </c>
      <c r="J254" s="31" t="str">
        <f>IF($D254="","",IFERROR(VLOOKUP($B254,Kraftvärmeprod!$B$1:$BX$550,MATCH(J$2,Kraftvärmeprod!$B$1:$VX$1,0),FALSE)/1,0)-IFERROR(VLOOKUP($B254,'Slutlig allokering kvv'!$B$2:$BX$550,MATCH(J$2,'Slutlig allokering kvv'!$B$1:$BX$1,0),FALSE)/1,0))</f>
        <v/>
      </c>
      <c r="K254" s="31" t="str">
        <f>IF($D254="","",IFERROR(VLOOKUP($B254,Kraftvärmeprod!$B$1:$BX$550,MATCH(K$2,Kraftvärmeprod!$B$1:$VX$1,0),FALSE)/1,0)-IFERROR(VLOOKUP($B254,'Slutlig allokering kvv'!$B$2:$BX$550,MATCH(K$2,'Slutlig allokering kvv'!$B$1:$BX$1,0),FALSE)/1,0))</f>
        <v/>
      </c>
      <c r="L254" s="31" t="str">
        <f>IF($D254="","",IFERROR(VLOOKUP($B254,Kraftvärmeprod!$B$1:$BX$550,MATCH(L$2,Kraftvärmeprod!$B$1:$VX$1,0),FALSE)/1,0)-IFERROR(VLOOKUP($B254,'Slutlig allokering kvv'!$B$2:$BX$550,MATCH(L$2,'Slutlig allokering kvv'!$B$1:$BX$1,0),FALSE)/1,0))</f>
        <v/>
      </c>
      <c r="M254" s="31" t="str">
        <f>IF($D254="","",IFERROR(VLOOKUP($B254,Kraftvärmeprod!$B$1:$BX$550,MATCH(M$2,Kraftvärmeprod!$B$1:$VX$1,0),FALSE)/1,0)-IFERROR(VLOOKUP($B254,'Slutlig allokering kvv'!$B$2:$BX$550,MATCH(M$2,'Slutlig allokering kvv'!$B$1:$BX$1,0),FALSE)/1,0))</f>
        <v/>
      </c>
      <c r="N254" s="31" t="str">
        <f>IF($D254="","",IFERROR(VLOOKUP($B254,Kraftvärmeprod!$B$1:$BX$550,MATCH(N$2,Kraftvärmeprod!$B$1:$VX$1,0),FALSE)/1,0)-IFERROR(VLOOKUP($B254,'Slutlig allokering kvv'!$B$2:$BX$550,MATCH(N$2,'Slutlig allokering kvv'!$B$1:$BX$1,0),FALSE)/1,0))</f>
        <v/>
      </c>
      <c r="O254" s="31" t="str">
        <f>IF($D254="","",IFERROR(VLOOKUP($B254,Kraftvärmeprod!$B$1:$BX$550,MATCH(O$2,Kraftvärmeprod!$B$1:$VX$1,0),FALSE)/1,0)-IFERROR(VLOOKUP($B254,'Slutlig allokering kvv'!$B$2:$BX$550,MATCH(O$2,'Slutlig allokering kvv'!$B$1:$BX$1,0),FALSE)/1,0))</f>
        <v/>
      </c>
      <c r="P254" s="31" t="str">
        <f>IF($D254="","",IFERROR(VLOOKUP($B254,Kraftvärmeprod!$B$1:$BX$550,MATCH(P$2,Kraftvärmeprod!$B$1:$VX$1,0),FALSE)/1,0)-IFERROR(VLOOKUP($B254,'Slutlig allokering kvv'!$B$2:$BX$550,MATCH(P$2,'Slutlig allokering kvv'!$B$1:$BX$1,0),FALSE)/1,0))</f>
        <v/>
      </c>
      <c r="Q254" s="31" t="str">
        <f>IF($D254="","",IFERROR(VLOOKUP($B254,Kraftvärmeprod!$B$1:$BX$550,MATCH(Q$2,Kraftvärmeprod!$B$1:$VX$1,0),FALSE)/1,0)-IFERROR(VLOOKUP($B254,'Slutlig allokering kvv'!$B$2:$BX$550,MATCH(Q$2,'Slutlig allokering kvv'!$B$1:$BX$1,0),FALSE)/1,0))</f>
        <v/>
      </c>
      <c r="R254" s="31" t="str">
        <f>IF($D254="","",IFERROR(VLOOKUP($B254,Kraftvärmeprod!$B$1:$BX$550,MATCH(R$2,Kraftvärmeprod!$B$1:$VX$1,0),FALSE)/1,0)-IFERROR(VLOOKUP($B254,'Slutlig allokering kvv'!$B$2:$BX$550,MATCH(R$2,'Slutlig allokering kvv'!$B$1:$BX$1,0),FALSE)/1,0))</f>
        <v/>
      </c>
      <c r="S254" s="31" t="str">
        <f>IF($D254="","",IFERROR(VLOOKUP($B254,Kraftvärmeprod!$B$1:$BX$550,MATCH(S$2,Kraftvärmeprod!$B$1:$VX$1,0),FALSE)/1,0)-IFERROR(VLOOKUP($B254,'Slutlig allokering kvv'!$B$2:$BX$550,MATCH(S$2,'Slutlig allokering kvv'!$B$1:$BX$1,0),FALSE)/1,0))</f>
        <v/>
      </c>
      <c r="T254" s="31" t="str">
        <f>IF($D254="","",IFERROR(VLOOKUP($B254,Kraftvärmeprod!$B$1:$BX$550,MATCH(T$2,Kraftvärmeprod!$B$1:$VX$1,0),FALSE)/1,0)-IFERROR(VLOOKUP($B254,'Slutlig allokering kvv'!$B$2:$BX$550,MATCH(T$2,'Slutlig allokering kvv'!$B$1:$BX$1,0),FALSE)/1,0))</f>
        <v/>
      </c>
      <c r="U254" s="31" t="str">
        <f>IF($D254="","",IFERROR(VLOOKUP($B254,Kraftvärmeprod!$B$1:$BX$550,MATCH(U$2,Kraftvärmeprod!$B$1:$VX$1,0),FALSE)/1,0)-IFERROR(VLOOKUP($B254,'Slutlig allokering kvv'!$B$2:$BX$550,MATCH(U$2,'Slutlig allokering kvv'!$B$1:$BX$1,0),FALSE)/1,0))</f>
        <v/>
      </c>
      <c r="V254" s="31" t="str">
        <f>IF($D254="","",IFERROR(VLOOKUP($B254,Kraftvärmeprod!$B$1:$BX$550,MATCH(V$2,Kraftvärmeprod!$B$1:$VX$1,0),FALSE)/1,0)-IFERROR(VLOOKUP($B254,'Slutlig allokering kvv'!$B$2:$BX$550,MATCH(V$2,'Slutlig allokering kvv'!$B$1:$BX$1,0),FALSE)/1,0))</f>
        <v/>
      </c>
      <c r="W254" s="31" t="str">
        <f>IF($D254="","",IFERROR(VLOOKUP($B254,Kraftvärmeprod!$B$1:$BX$550,MATCH(W$2,Kraftvärmeprod!$B$1:$VX$1,0),FALSE)/1,0)-IFERROR(VLOOKUP($B254,'Slutlig allokering kvv'!$B$2:$BX$550,MATCH(W$2,'Slutlig allokering kvv'!$B$1:$BX$1,0),FALSE)/1,0))</f>
        <v/>
      </c>
      <c r="X254" s="31" t="str">
        <f>IF($D254="","",IFERROR(VLOOKUP($B254,Kraftvärmeprod!$B$1:$BX$550,MATCH(X$2,Kraftvärmeprod!$B$1:$VX$1,0),FALSE)/1,0)-IFERROR(VLOOKUP($B254,'Slutlig allokering kvv'!$B$2:$BX$550,MATCH(X$2,'Slutlig allokering kvv'!$B$1:$BX$1,0),FALSE)/1,0))</f>
        <v/>
      </c>
      <c r="Y254" s="31" t="str">
        <f>IF($D254="","",IFERROR(VLOOKUP($B254,Kraftvärmeprod!$B$1:$BX$550,MATCH(Y$2,Kraftvärmeprod!$B$1:$VX$1,0),FALSE)/1,0)-IFERROR(VLOOKUP($B254,'Slutlig allokering kvv'!$B$2:$BX$550,MATCH(Y$2,'Slutlig allokering kvv'!$B$1:$BX$1,0),FALSE)/1,0))</f>
        <v/>
      </c>
      <c r="Z254" s="31" t="str">
        <f>IF($D254="","",IFERROR(VLOOKUP($B254,Kraftvärmeprod!$B$1:$BX$550,MATCH(Z$2,Kraftvärmeprod!$B$1:$VX$1,0),FALSE)/1,0)-IFERROR(VLOOKUP($B254,'Slutlig allokering kvv'!$B$2:$BX$550,MATCH(Z$2,'Slutlig allokering kvv'!$B$1:$BX$1,0),FALSE)/1,0))</f>
        <v/>
      </c>
      <c r="AA254" s="31" t="str">
        <f>IF($D254="","",IFERROR(VLOOKUP($B254,Kraftvärmeprod!$B$1:$BX$550,MATCH(AA$2,Kraftvärmeprod!$B$1:$VX$1,0),FALSE)/1,0)-IFERROR(VLOOKUP($B254,'Slutlig allokering kvv'!$B$2:$BX$550,MATCH(AA$2,'Slutlig allokering kvv'!$B$1:$BX$1,0),FALSE)/1,0))</f>
        <v/>
      </c>
      <c r="AB254" s="31" t="str">
        <f>IF($D254="","",IFERROR(VLOOKUP($B254,Kraftvärmeprod!$B$1:$BX$550,MATCH(AB$2,Kraftvärmeprod!$B$1:$VX$1,0),FALSE)/1,0)-IFERROR(VLOOKUP($B254,'Slutlig allokering kvv'!$B$2:$BX$550,MATCH(AB$2,'Slutlig allokering kvv'!$B$1:$BX$1,0),FALSE)/1,0))</f>
        <v/>
      </c>
      <c r="AC254" s="31" t="str">
        <f>IF($D254="","",IFERROR(VLOOKUP($B254,Kraftvärmeprod!$B$1:$BX$550,MATCH(AC$2,Kraftvärmeprod!$B$1:$VX$1,0),FALSE)/1,0)-IFERROR(VLOOKUP($B254,'Slutlig allokering kvv'!$B$2:$BX$550,MATCH(AC$2,'Slutlig allokering kvv'!$B$1:$BX$1,0),FALSE)/1,0))</f>
        <v/>
      </c>
      <c r="AD254" s="31" t="str">
        <f>IF($D254="","",IFERROR(VLOOKUP($B254,Kraftvärmeprod!$B$1:$BX$550,MATCH(AD$2,Kraftvärmeprod!$B$1:$VX$1,0),FALSE)/1,0)-IFERROR(VLOOKUP($B254,'Slutlig allokering kvv'!$B$2:$BX$550,MATCH(AD$2,'Slutlig allokering kvv'!$B$1:$BX$1,0),FALSE)/1,0))</f>
        <v/>
      </c>
      <c r="AE254" s="31" t="str">
        <f>IF($D254="","",IFERROR(VLOOKUP($B254,Miljö!$B$1:$E$550,MATCH("Hjälpel kraftvärme (GWh)",Miljö!$B$1:$E$1,0),FALSE)/1,0)-IFERROR(VLOOKUP($B254,'Slutlig allokering kvv'!$B$2:$BX$549,MATCH(AE$2,'Slutlig allokering kvv'!$B$1:$BX$1,0),FALSE)/1,0))</f>
        <v/>
      </c>
      <c r="AI254" s="39">
        <f t="shared" si="12"/>
        <v>0</v>
      </c>
      <c r="AK254" s="31">
        <f>IFERROR(VLOOKUP($B254,'Slutlig allokering kvv'!$B$2:$AX$549,MATCH("Summa slutlig allokerad tillförd energi (utan hjälpel och rökgaskondensering):",'Slutlig allokering kvv'!$B$1:$AX$1,0),FALSE)/1,"")</f>
        <v>0</v>
      </c>
      <c r="AM254" s="31" t="str">
        <f>IFERROR(1-VLOOKUP($B254,'Slutlig allokering kvv'!$B$2:$AX$549,MATCH("Andel av bränsle i kvv som allokerats till värme, exklusive rökgaskondensering och hjälpel",'Slutlig allokering kvv'!$B$1:$AX$1,0),FALSE),"")</f>
        <v/>
      </c>
      <c r="AO254" s="31" t="str">
        <f t="shared" si="13"/>
        <v/>
      </c>
      <c r="AP254" s="31" t="str">
        <f t="shared" si="14"/>
        <v/>
      </c>
      <c r="AR254" s="32" t="str">
        <f t="shared" si="15"/>
        <v/>
      </c>
    </row>
    <row r="255" spans="1:44" s="31" customFormat="1" x14ac:dyDescent="0.45">
      <c r="A255" s="31" t="s">
        <v>305</v>
      </c>
      <c r="B255" s="31" t="s">
        <v>309</v>
      </c>
      <c r="C255" s="31" t="str">
        <f>IFERROR(VLOOKUP($B255,Kraftvärmeprod!$B$1:$AH$479,MATCH(C$2,Kraftvärmeprod!$B$1:$AG$1,0),FALSE)/1,"")</f>
        <v/>
      </c>
      <c r="D255" s="31" t="str">
        <f>IFERROR(VLOOKUP($B255,Kraftvärmeprod!$B$1:$AH$479,MATCH(D$2,Kraftvärmeprod!$B$1:$AG$1,0),FALSE)/1,"")</f>
        <v/>
      </c>
      <c r="F255" s="31" t="str">
        <f>IF($D255="","",IFERROR(VLOOKUP($B255,Kraftvärmeprod!$B$1:$BX$550,MATCH(F$2,Kraftvärmeprod!$B$1:$VX$1,0),FALSE)/1,0)-IFERROR(VLOOKUP($B255,'Slutlig allokering kvv'!$B$2:$BX$550,MATCH(F$2,'Slutlig allokering kvv'!$B$1:$BX$1,0),FALSE)/1,0))</f>
        <v/>
      </c>
      <c r="G255" s="31" t="str">
        <f>IF($D255="","",IFERROR(VLOOKUP($B255,Kraftvärmeprod!$B$1:$BX$550,MATCH(G$2,Kraftvärmeprod!$B$1:$VX$1,0),FALSE)/1,0)-IFERROR(VLOOKUP($B255,'Slutlig allokering kvv'!$B$2:$BX$550,MATCH(G$2,'Slutlig allokering kvv'!$B$1:$BX$1,0),FALSE)/1,0))</f>
        <v/>
      </c>
      <c r="H255" s="31" t="str">
        <f>IF($D255="","",IFERROR(VLOOKUP($B255,Kraftvärmeprod!$B$1:$BX$550,MATCH(H$2,Kraftvärmeprod!$B$1:$VX$1,0),FALSE)/1,0)-IFERROR(VLOOKUP($B255,'Slutlig allokering kvv'!$B$2:$BX$550,MATCH(H$2,'Slutlig allokering kvv'!$B$1:$BX$1,0),FALSE)/1,0))</f>
        <v/>
      </c>
      <c r="I255" s="31" t="str">
        <f>IF($D255="","",IFERROR(VLOOKUP($B255,Kraftvärmeprod!$B$1:$BX$550,MATCH(I$2,Kraftvärmeprod!$B$1:$VX$1,0),FALSE)/1,0)-IFERROR(VLOOKUP($B255,'Slutlig allokering kvv'!$B$2:$BX$550,MATCH(I$2,'Slutlig allokering kvv'!$B$1:$BX$1,0),FALSE)/1,0))</f>
        <v/>
      </c>
      <c r="J255" s="31" t="str">
        <f>IF($D255="","",IFERROR(VLOOKUP($B255,Kraftvärmeprod!$B$1:$BX$550,MATCH(J$2,Kraftvärmeprod!$B$1:$VX$1,0),FALSE)/1,0)-IFERROR(VLOOKUP($B255,'Slutlig allokering kvv'!$B$2:$BX$550,MATCH(J$2,'Slutlig allokering kvv'!$B$1:$BX$1,0),FALSE)/1,0))</f>
        <v/>
      </c>
      <c r="K255" s="31" t="str">
        <f>IF($D255="","",IFERROR(VLOOKUP($B255,Kraftvärmeprod!$B$1:$BX$550,MATCH(K$2,Kraftvärmeprod!$B$1:$VX$1,0),FALSE)/1,0)-IFERROR(VLOOKUP($B255,'Slutlig allokering kvv'!$B$2:$BX$550,MATCH(K$2,'Slutlig allokering kvv'!$B$1:$BX$1,0),FALSE)/1,0))</f>
        <v/>
      </c>
      <c r="L255" s="31" t="str">
        <f>IF($D255="","",IFERROR(VLOOKUP($B255,Kraftvärmeprod!$B$1:$BX$550,MATCH(L$2,Kraftvärmeprod!$B$1:$VX$1,0),FALSE)/1,0)-IFERROR(VLOOKUP($B255,'Slutlig allokering kvv'!$B$2:$BX$550,MATCH(L$2,'Slutlig allokering kvv'!$B$1:$BX$1,0),FALSE)/1,0))</f>
        <v/>
      </c>
      <c r="M255" s="31" t="str">
        <f>IF($D255="","",IFERROR(VLOOKUP($B255,Kraftvärmeprod!$B$1:$BX$550,MATCH(M$2,Kraftvärmeprod!$B$1:$VX$1,0),FALSE)/1,0)-IFERROR(VLOOKUP($B255,'Slutlig allokering kvv'!$B$2:$BX$550,MATCH(M$2,'Slutlig allokering kvv'!$B$1:$BX$1,0),FALSE)/1,0))</f>
        <v/>
      </c>
      <c r="N255" s="31" t="str">
        <f>IF($D255="","",IFERROR(VLOOKUP($B255,Kraftvärmeprod!$B$1:$BX$550,MATCH(N$2,Kraftvärmeprod!$B$1:$VX$1,0),FALSE)/1,0)-IFERROR(VLOOKUP($B255,'Slutlig allokering kvv'!$B$2:$BX$550,MATCH(N$2,'Slutlig allokering kvv'!$B$1:$BX$1,0),FALSE)/1,0))</f>
        <v/>
      </c>
      <c r="O255" s="31" t="str">
        <f>IF($D255="","",IFERROR(VLOOKUP($B255,Kraftvärmeprod!$B$1:$BX$550,MATCH(O$2,Kraftvärmeprod!$B$1:$VX$1,0),FALSE)/1,0)-IFERROR(VLOOKUP($B255,'Slutlig allokering kvv'!$B$2:$BX$550,MATCH(O$2,'Slutlig allokering kvv'!$B$1:$BX$1,0),FALSE)/1,0))</f>
        <v/>
      </c>
      <c r="P255" s="31" t="str">
        <f>IF($D255="","",IFERROR(VLOOKUP($B255,Kraftvärmeprod!$B$1:$BX$550,MATCH(P$2,Kraftvärmeprod!$B$1:$VX$1,0),FALSE)/1,0)-IFERROR(VLOOKUP($B255,'Slutlig allokering kvv'!$B$2:$BX$550,MATCH(P$2,'Slutlig allokering kvv'!$B$1:$BX$1,0),FALSE)/1,0))</f>
        <v/>
      </c>
      <c r="Q255" s="31" t="str">
        <f>IF($D255="","",IFERROR(VLOOKUP($B255,Kraftvärmeprod!$B$1:$BX$550,MATCH(Q$2,Kraftvärmeprod!$B$1:$VX$1,0),FALSE)/1,0)-IFERROR(VLOOKUP($B255,'Slutlig allokering kvv'!$B$2:$BX$550,MATCH(Q$2,'Slutlig allokering kvv'!$B$1:$BX$1,0),FALSE)/1,0))</f>
        <v/>
      </c>
      <c r="R255" s="31" t="str">
        <f>IF($D255="","",IFERROR(VLOOKUP($B255,Kraftvärmeprod!$B$1:$BX$550,MATCH(R$2,Kraftvärmeprod!$B$1:$VX$1,0),FALSE)/1,0)-IFERROR(VLOOKUP($B255,'Slutlig allokering kvv'!$B$2:$BX$550,MATCH(R$2,'Slutlig allokering kvv'!$B$1:$BX$1,0),FALSE)/1,0))</f>
        <v/>
      </c>
      <c r="S255" s="31" t="str">
        <f>IF($D255="","",IFERROR(VLOOKUP($B255,Kraftvärmeprod!$B$1:$BX$550,MATCH(S$2,Kraftvärmeprod!$B$1:$VX$1,0),FALSE)/1,0)-IFERROR(VLOOKUP($B255,'Slutlig allokering kvv'!$B$2:$BX$550,MATCH(S$2,'Slutlig allokering kvv'!$B$1:$BX$1,0),FALSE)/1,0))</f>
        <v/>
      </c>
      <c r="T255" s="31" t="str">
        <f>IF($D255="","",IFERROR(VLOOKUP($B255,Kraftvärmeprod!$B$1:$BX$550,MATCH(T$2,Kraftvärmeprod!$B$1:$VX$1,0),FALSE)/1,0)-IFERROR(VLOOKUP($B255,'Slutlig allokering kvv'!$B$2:$BX$550,MATCH(T$2,'Slutlig allokering kvv'!$B$1:$BX$1,0),FALSE)/1,0))</f>
        <v/>
      </c>
      <c r="U255" s="31" t="str">
        <f>IF($D255="","",IFERROR(VLOOKUP($B255,Kraftvärmeprod!$B$1:$BX$550,MATCH(U$2,Kraftvärmeprod!$B$1:$VX$1,0),FALSE)/1,0)-IFERROR(VLOOKUP($B255,'Slutlig allokering kvv'!$B$2:$BX$550,MATCH(U$2,'Slutlig allokering kvv'!$B$1:$BX$1,0),FALSE)/1,0))</f>
        <v/>
      </c>
      <c r="V255" s="31" t="str">
        <f>IF($D255="","",IFERROR(VLOOKUP($B255,Kraftvärmeprod!$B$1:$BX$550,MATCH(V$2,Kraftvärmeprod!$B$1:$VX$1,0),FALSE)/1,0)-IFERROR(VLOOKUP($B255,'Slutlig allokering kvv'!$B$2:$BX$550,MATCH(V$2,'Slutlig allokering kvv'!$B$1:$BX$1,0),FALSE)/1,0))</f>
        <v/>
      </c>
      <c r="W255" s="31" t="str">
        <f>IF($D255="","",IFERROR(VLOOKUP($B255,Kraftvärmeprod!$B$1:$BX$550,MATCH(W$2,Kraftvärmeprod!$B$1:$VX$1,0),FALSE)/1,0)-IFERROR(VLOOKUP($B255,'Slutlig allokering kvv'!$B$2:$BX$550,MATCH(W$2,'Slutlig allokering kvv'!$B$1:$BX$1,0),FALSE)/1,0))</f>
        <v/>
      </c>
      <c r="X255" s="31" t="str">
        <f>IF($D255="","",IFERROR(VLOOKUP($B255,Kraftvärmeprod!$B$1:$BX$550,MATCH(X$2,Kraftvärmeprod!$B$1:$VX$1,0),FALSE)/1,0)-IFERROR(VLOOKUP($B255,'Slutlig allokering kvv'!$B$2:$BX$550,MATCH(X$2,'Slutlig allokering kvv'!$B$1:$BX$1,0),FALSE)/1,0))</f>
        <v/>
      </c>
      <c r="Y255" s="31" t="str">
        <f>IF($D255="","",IFERROR(VLOOKUP($B255,Kraftvärmeprod!$B$1:$BX$550,MATCH(Y$2,Kraftvärmeprod!$B$1:$VX$1,0),FALSE)/1,0)-IFERROR(VLOOKUP($B255,'Slutlig allokering kvv'!$B$2:$BX$550,MATCH(Y$2,'Slutlig allokering kvv'!$B$1:$BX$1,0),FALSE)/1,0))</f>
        <v/>
      </c>
      <c r="Z255" s="31" t="str">
        <f>IF($D255="","",IFERROR(VLOOKUP($B255,Kraftvärmeprod!$B$1:$BX$550,MATCH(Z$2,Kraftvärmeprod!$B$1:$VX$1,0),FALSE)/1,0)-IFERROR(VLOOKUP($B255,'Slutlig allokering kvv'!$B$2:$BX$550,MATCH(Z$2,'Slutlig allokering kvv'!$B$1:$BX$1,0),FALSE)/1,0))</f>
        <v/>
      </c>
      <c r="AA255" s="31" t="str">
        <f>IF($D255="","",IFERROR(VLOOKUP($B255,Kraftvärmeprod!$B$1:$BX$550,MATCH(AA$2,Kraftvärmeprod!$B$1:$VX$1,0),FALSE)/1,0)-IFERROR(VLOOKUP($B255,'Slutlig allokering kvv'!$B$2:$BX$550,MATCH(AA$2,'Slutlig allokering kvv'!$B$1:$BX$1,0),FALSE)/1,0))</f>
        <v/>
      </c>
      <c r="AB255" s="31" t="str">
        <f>IF($D255="","",IFERROR(VLOOKUP($B255,Kraftvärmeprod!$B$1:$BX$550,MATCH(AB$2,Kraftvärmeprod!$B$1:$VX$1,0),FALSE)/1,0)-IFERROR(VLOOKUP($B255,'Slutlig allokering kvv'!$B$2:$BX$550,MATCH(AB$2,'Slutlig allokering kvv'!$B$1:$BX$1,0),FALSE)/1,0))</f>
        <v/>
      </c>
      <c r="AC255" s="31" t="str">
        <f>IF($D255="","",IFERROR(VLOOKUP($B255,Kraftvärmeprod!$B$1:$BX$550,MATCH(AC$2,Kraftvärmeprod!$B$1:$VX$1,0),FALSE)/1,0)-IFERROR(VLOOKUP($B255,'Slutlig allokering kvv'!$B$2:$BX$550,MATCH(AC$2,'Slutlig allokering kvv'!$B$1:$BX$1,0),FALSE)/1,0))</f>
        <v/>
      </c>
      <c r="AD255" s="31" t="str">
        <f>IF($D255="","",IFERROR(VLOOKUP($B255,Kraftvärmeprod!$B$1:$BX$550,MATCH(AD$2,Kraftvärmeprod!$B$1:$VX$1,0),FALSE)/1,0)-IFERROR(VLOOKUP($B255,'Slutlig allokering kvv'!$B$2:$BX$550,MATCH(AD$2,'Slutlig allokering kvv'!$B$1:$BX$1,0),FALSE)/1,0))</f>
        <v/>
      </c>
      <c r="AE255" s="31" t="str">
        <f>IF($D255="","",IFERROR(VLOOKUP($B255,Miljö!$B$1:$E$550,MATCH("Hjälpel kraftvärme (GWh)",Miljö!$B$1:$E$1,0),FALSE)/1,0)-IFERROR(VLOOKUP($B255,'Slutlig allokering kvv'!$B$2:$BX$549,MATCH(AE$2,'Slutlig allokering kvv'!$B$1:$BX$1,0),FALSE)/1,0))</f>
        <v/>
      </c>
      <c r="AI255" s="39">
        <f t="shared" si="12"/>
        <v>0</v>
      </c>
      <c r="AK255" s="31">
        <f>IFERROR(VLOOKUP($B255,'Slutlig allokering kvv'!$B$2:$AX$549,MATCH("Summa slutlig allokerad tillförd energi (utan hjälpel och rökgaskondensering):",'Slutlig allokering kvv'!$B$1:$AX$1,0),FALSE)/1,"")</f>
        <v>0</v>
      </c>
      <c r="AM255" s="31" t="str">
        <f>IFERROR(1-VLOOKUP($B255,'Slutlig allokering kvv'!$B$2:$AX$549,MATCH("Andel av bränsle i kvv som allokerats till värme, exklusive rökgaskondensering och hjälpel",'Slutlig allokering kvv'!$B$1:$AX$1,0),FALSE),"")</f>
        <v/>
      </c>
      <c r="AO255" s="31" t="str">
        <f t="shared" si="13"/>
        <v/>
      </c>
      <c r="AP255" s="31" t="str">
        <f t="shared" si="14"/>
        <v/>
      </c>
      <c r="AR255" s="32" t="str">
        <f t="shared" si="15"/>
        <v/>
      </c>
    </row>
    <row r="256" spans="1:44" s="31" customFormat="1" x14ac:dyDescent="0.45">
      <c r="A256" s="31" t="s">
        <v>305</v>
      </c>
      <c r="B256" s="31" t="s">
        <v>308</v>
      </c>
      <c r="C256" s="31">
        <f>IFERROR(VLOOKUP($B256,Kraftvärmeprod!$B$1:$AH$479,MATCH(C$2,Kraftvärmeprod!$B$1:$AG$1,0),FALSE)/1,"")</f>
        <v>181.93600000000001</v>
      </c>
      <c r="D256" s="31">
        <f>IFERROR(VLOOKUP($B256,Kraftvärmeprod!$B$1:$AH$479,MATCH(D$2,Kraftvärmeprod!$B$1:$AG$1,0),FALSE)/1,"")</f>
        <v>40.801000000000002</v>
      </c>
      <c r="F256" s="31">
        <f>IF($D256="","",IFERROR(VLOOKUP($B256,Kraftvärmeprod!$B$1:$BX$550,MATCH(F$2,Kraftvärmeprod!$B$1:$VX$1,0),FALSE)/1,0)-IFERROR(VLOOKUP($B256,'Slutlig allokering kvv'!$B$2:$BX$550,MATCH(F$2,'Slutlig allokering kvv'!$B$1:$BX$1,0),FALSE)/1,0))</f>
        <v>0</v>
      </c>
      <c r="G256" s="31">
        <f>IF($D256="","",IFERROR(VLOOKUP($B256,Kraftvärmeprod!$B$1:$BX$550,MATCH(G$2,Kraftvärmeprod!$B$1:$VX$1,0),FALSE)/1,0)-IFERROR(VLOOKUP($B256,'Slutlig allokering kvv'!$B$2:$BX$550,MATCH(G$2,'Slutlig allokering kvv'!$B$1:$BX$1,0),FALSE)/1,0))</f>
        <v>0</v>
      </c>
      <c r="H256" s="31">
        <f>IF($D256="","",IFERROR(VLOOKUP($B256,Kraftvärmeprod!$B$1:$BX$550,MATCH(H$2,Kraftvärmeprod!$B$1:$VX$1,0),FALSE)/1,0)-IFERROR(VLOOKUP($B256,'Slutlig allokering kvv'!$B$2:$BX$550,MATCH(H$2,'Slutlig allokering kvv'!$B$1:$BX$1,0),FALSE)/1,0))</f>
        <v>0</v>
      </c>
      <c r="I256" s="31">
        <f>IF($D256="","",IFERROR(VLOOKUP($B256,Kraftvärmeprod!$B$1:$BX$550,MATCH(I$2,Kraftvärmeprod!$B$1:$VX$1,0),FALSE)/1,0)-IFERROR(VLOOKUP($B256,'Slutlig allokering kvv'!$B$2:$BX$550,MATCH(I$2,'Slutlig allokering kvv'!$B$1:$BX$1,0),FALSE)/1,0))</f>
        <v>0</v>
      </c>
      <c r="J256" s="31">
        <f>IF($D256="","",IFERROR(VLOOKUP($B256,Kraftvärmeprod!$B$1:$BX$550,MATCH(J$2,Kraftvärmeprod!$B$1:$VX$1,0),FALSE)/1,0)-IFERROR(VLOOKUP($B256,'Slutlig allokering kvv'!$B$2:$BX$550,MATCH(J$2,'Slutlig allokering kvv'!$B$1:$BX$1,0),FALSE)/1,0))</f>
        <v>0</v>
      </c>
      <c r="K256" s="31">
        <f>IF($D256="","",IFERROR(VLOOKUP($B256,Kraftvärmeprod!$B$1:$BX$550,MATCH(K$2,Kraftvärmeprod!$B$1:$VX$1,0),FALSE)/1,0)-IFERROR(VLOOKUP($B256,'Slutlig allokering kvv'!$B$2:$BX$550,MATCH(K$2,'Slutlig allokering kvv'!$B$1:$BX$1,0),FALSE)/1,0))</f>
        <v>0</v>
      </c>
      <c r="L256" s="31">
        <f>IF($D256="","",IFERROR(VLOOKUP($B256,Kraftvärmeprod!$B$1:$BX$550,MATCH(L$2,Kraftvärmeprod!$B$1:$VX$1,0),FALSE)/1,0)-IFERROR(VLOOKUP($B256,'Slutlig allokering kvv'!$B$2:$BX$550,MATCH(L$2,'Slutlig allokering kvv'!$B$1:$BX$1,0),FALSE)/1,0))</f>
        <v>0</v>
      </c>
      <c r="M256" s="31">
        <f>IF($D256="","",IFERROR(VLOOKUP($B256,Kraftvärmeprod!$B$1:$BX$550,MATCH(M$2,Kraftvärmeprod!$B$1:$VX$1,0),FALSE)/1,0)-IFERROR(VLOOKUP($B256,'Slutlig allokering kvv'!$B$2:$BX$550,MATCH(M$2,'Slutlig allokering kvv'!$B$1:$BX$1,0),FALSE)/1,0))</f>
        <v>0</v>
      </c>
      <c r="N256" s="31">
        <f>IF($D256="","",IFERROR(VLOOKUP($B256,Kraftvärmeprod!$B$1:$BX$550,MATCH(N$2,Kraftvärmeprod!$B$1:$VX$1,0),FALSE)/1,0)-IFERROR(VLOOKUP($B256,'Slutlig allokering kvv'!$B$2:$BX$550,MATCH(N$2,'Slutlig allokering kvv'!$B$1:$BX$1,0),FALSE)/1,0))</f>
        <v>0</v>
      </c>
      <c r="O256" s="31">
        <f>IF($D256="","",IFERROR(VLOOKUP($B256,Kraftvärmeprod!$B$1:$BX$550,MATCH(O$2,Kraftvärmeprod!$B$1:$VX$1,0),FALSE)/1,0)-IFERROR(VLOOKUP($B256,'Slutlig allokering kvv'!$B$2:$BX$550,MATCH(O$2,'Slutlig allokering kvv'!$B$1:$BX$1,0),FALSE)/1,0))</f>
        <v>0</v>
      </c>
      <c r="P256" s="31">
        <f>IF($D256="","",IFERROR(VLOOKUP($B256,Kraftvärmeprod!$B$1:$BX$550,MATCH(P$2,Kraftvärmeprod!$B$1:$VX$1,0),FALSE)/1,0)-IFERROR(VLOOKUP($B256,'Slutlig allokering kvv'!$B$2:$BX$550,MATCH(P$2,'Slutlig allokering kvv'!$B$1:$BX$1,0),FALSE)/1,0))</f>
        <v>0</v>
      </c>
      <c r="Q256" s="31">
        <f>IF($D256="","",IFERROR(VLOOKUP($B256,Kraftvärmeprod!$B$1:$BX$550,MATCH(Q$2,Kraftvärmeprod!$B$1:$VX$1,0),FALSE)/1,0)-IFERROR(VLOOKUP($B256,'Slutlig allokering kvv'!$B$2:$BX$550,MATCH(Q$2,'Slutlig allokering kvv'!$B$1:$BX$1,0),FALSE)/1,0))</f>
        <v>0.42086999999999997</v>
      </c>
      <c r="R256" s="31">
        <f>IF($D256="","",IFERROR(VLOOKUP($B256,Kraftvärmeprod!$B$1:$BX$550,MATCH(R$2,Kraftvärmeprod!$B$1:$VX$1,0),FALSE)/1,0)-IFERROR(VLOOKUP($B256,'Slutlig allokering kvv'!$B$2:$BX$550,MATCH(R$2,'Slutlig allokering kvv'!$B$1:$BX$1,0),FALSE)/1,0))</f>
        <v>0</v>
      </c>
      <c r="S256" s="31">
        <f>IF($D256="","",IFERROR(VLOOKUP($B256,Kraftvärmeprod!$B$1:$BX$550,MATCH(S$2,Kraftvärmeprod!$B$1:$VX$1,0),FALSE)/1,0)-IFERROR(VLOOKUP($B256,'Slutlig allokering kvv'!$B$2:$BX$550,MATCH(S$2,'Slutlig allokering kvv'!$B$1:$BX$1,0),FALSE)/1,0))</f>
        <v>0</v>
      </c>
      <c r="T256" s="31">
        <f>IF($D256="","",IFERROR(VLOOKUP($B256,Kraftvärmeprod!$B$1:$BX$550,MATCH(T$2,Kraftvärmeprod!$B$1:$VX$1,0),FALSE)/1,0)-IFERROR(VLOOKUP($B256,'Slutlig allokering kvv'!$B$2:$BX$550,MATCH(T$2,'Slutlig allokering kvv'!$B$1:$BX$1,0),FALSE)/1,0))</f>
        <v>0</v>
      </c>
      <c r="U256" s="31">
        <f>IF($D256="","",IFERROR(VLOOKUP($B256,Kraftvärmeprod!$B$1:$BX$550,MATCH(U$2,Kraftvärmeprod!$B$1:$VX$1,0),FALSE)/1,0)-IFERROR(VLOOKUP($B256,'Slutlig allokering kvv'!$B$2:$BX$550,MATCH(U$2,'Slutlig allokering kvv'!$B$1:$BX$1,0),FALSE)/1,0))</f>
        <v>0</v>
      </c>
      <c r="V256" s="31">
        <f>IF($D256="","",IFERROR(VLOOKUP($B256,Kraftvärmeprod!$B$1:$BX$550,MATCH(V$2,Kraftvärmeprod!$B$1:$VX$1,0),FALSE)/1,0)-IFERROR(VLOOKUP($B256,'Slutlig allokering kvv'!$B$2:$BX$550,MATCH(V$2,'Slutlig allokering kvv'!$B$1:$BX$1,0),FALSE)/1,0))</f>
        <v>0</v>
      </c>
      <c r="W256" s="31">
        <f>IF($D256="","",IFERROR(VLOOKUP($B256,Kraftvärmeprod!$B$1:$BX$550,MATCH(W$2,Kraftvärmeprod!$B$1:$VX$1,0),FALSE)/1,0)-IFERROR(VLOOKUP($B256,'Slutlig allokering kvv'!$B$2:$BX$550,MATCH(W$2,'Slutlig allokering kvv'!$B$1:$BX$1,0),FALSE)/1,0))</f>
        <v>0</v>
      </c>
      <c r="X256" s="31">
        <f>IF($D256="","",IFERROR(VLOOKUP($B256,Kraftvärmeprod!$B$1:$BX$550,MATCH(X$2,Kraftvärmeprod!$B$1:$VX$1,0),FALSE)/1,0)-IFERROR(VLOOKUP($B256,'Slutlig allokering kvv'!$B$2:$BX$550,MATCH(X$2,'Slutlig allokering kvv'!$B$1:$BX$1,0),FALSE)/1,0))</f>
        <v>0</v>
      </c>
      <c r="Y256" s="31">
        <f>IF($D256="","",IFERROR(VLOOKUP($B256,Kraftvärmeprod!$B$1:$BX$550,MATCH(Y$2,Kraftvärmeprod!$B$1:$VX$1,0),FALSE)/1,0)-IFERROR(VLOOKUP($B256,'Slutlig allokering kvv'!$B$2:$BX$550,MATCH(Y$2,'Slutlig allokering kvv'!$B$1:$BX$1,0),FALSE)/1,0))</f>
        <v>0</v>
      </c>
      <c r="Z256" s="31">
        <f>IF($D256="","",IFERROR(VLOOKUP($B256,Kraftvärmeprod!$B$1:$BX$550,MATCH(Z$2,Kraftvärmeprod!$B$1:$VX$1,0),FALSE)/1,0)-IFERROR(VLOOKUP($B256,'Slutlig allokering kvv'!$B$2:$BX$550,MATCH(Z$2,'Slutlig allokering kvv'!$B$1:$BX$1,0),FALSE)/1,0))</f>
        <v>0</v>
      </c>
      <c r="AA256" s="31">
        <f>IF($D256="","",IFERROR(VLOOKUP($B256,Kraftvärmeprod!$B$1:$BX$550,MATCH(AA$2,Kraftvärmeprod!$B$1:$VX$1,0),FALSE)/1,0)-IFERROR(VLOOKUP($B256,'Slutlig allokering kvv'!$B$2:$BX$550,MATCH(AA$2,'Slutlig allokering kvv'!$B$1:$BX$1,0),FALSE)/1,0))</f>
        <v>121.45999999999998</v>
      </c>
      <c r="AB256" s="31">
        <f>IF($D256="","",IFERROR(VLOOKUP($B256,Kraftvärmeprod!$B$1:$BX$550,MATCH(AB$2,Kraftvärmeprod!$B$1:$VX$1,0),FALSE)/1,0)-IFERROR(VLOOKUP($B256,'Slutlig allokering kvv'!$B$2:$BX$550,MATCH(AB$2,'Slutlig allokering kvv'!$B$1:$BX$1,0),FALSE)/1,0))</f>
        <v>0</v>
      </c>
      <c r="AC256" s="31">
        <f>IF($D256="","",IFERROR(VLOOKUP($B256,Kraftvärmeprod!$B$1:$BX$550,MATCH(AC$2,Kraftvärmeprod!$B$1:$VX$1,0),FALSE)/1,0)-IFERROR(VLOOKUP($B256,'Slutlig allokering kvv'!$B$2:$BX$550,MATCH(AC$2,'Slutlig allokering kvv'!$B$1:$BX$1,0),FALSE)/1,0))</f>
        <v>0</v>
      </c>
      <c r="AD256" s="31">
        <f>IF($D256="","",IFERROR(VLOOKUP($B256,Kraftvärmeprod!$B$1:$BX$550,MATCH(AD$2,Kraftvärmeprod!$B$1:$VX$1,0),FALSE)/1,0)-IFERROR(VLOOKUP($B256,'Slutlig allokering kvv'!$B$2:$BX$550,MATCH(AD$2,'Slutlig allokering kvv'!$B$1:$BX$1,0),FALSE)/1,0))</f>
        <v>0</v>
      </c>
      <c r="AE256" s="31">
        <f>IF($D256="","",IFERROR(VLOOKUP($B256,Miljö!$B$1:$E$550,MATCH("Hjälpel kraftvärme (GWh)",Miljö!$B$1:$E$1,0),FALSE)/1,0)-IFERROR(VLOOKUP($B256,'Slutlig allokering kvv'!$B$2:$BX$549,MATCH(AE$2,'Slutlig allokering kvv'!$B$1:$BX$1,0),FALSE)/1,0))</f>
        <v>5.7266899999999996</v>
      </c>
      <c r="AI256" s="39">
        <f t="shared" si="12"/>
        <v>121.88086999999997</v>
      </c>
      <c r="AK256" s="31">
        <f>IFERROR(VLOOKUP($B256,'Slutlig allokering kvv'!$B$2:$AX$549,MATCH("Summa slutlig allokerad tillförd energi (utan hjälpel och rökgaskondensering):",'Slutlig allokering kvv'!$B$1:$AX$1,0),FALSE)/1,"")</f>
        <v>169.97213000000002</v>
      </c>
      <c r="AM256" s="31">
        <f>IFERROR(1-VLOOKUP($B256,'Slutlig allokering kvv'!$B$2:$AX$549,MATCH("Andel av bränsle i kvv som allokerats till värme, exklusive rökgaskondensering och hjälpel",'Slutlig allokering kvv'!$B$1:$AX$1,0),FALSE),"")</f>
        <v>0.41761047513645566</v>
      </c>
      <c r="AO256" s="31">
        <f t="shared" si="13"/>
        <v>0.41761047513645555</v>
      </c>
      <c r="AP256" s="31">
        <f t="shared" si="14"/>
        <v>1.1102230246251565E-16</v>
      </c>
      <c r="AR256" s="32">
        <f t="shared" si="15"/>
        <v>0.31973810956028004</v>
      </c>
    </row>
    <row r="257" spans="1:44" s="31" customFormat="1" x14ac:dyDescent="0.45">
      <c r="A257" s="31" t="s">
        <v>305</v>
      </c>
      <c r="B257" s="31" t="s">
        <v>304</v>
      </c>
      <c r="C257" s="31" t="str">
        <f>IFERROR(VLOOKUP($B257,Kraftvärmeprod!$B$1:$AH$479,MATCH(C$2,Kraftvärmeprod!$B$1:$AG$1,0),FALSE)/1,"")</f>
        <v/>
      </c>
      <c r="D257" s="31" t="str">
        <f>IFERROR(VLOOKUP($B257,Kraftvärmeprod!$B$1:$AH$479,MATCH(D$2,Kraftvärmeprod!$B$1:$AG$1,0),FALSE)/1,"")</f>
        <v/>
      </c>
      <c r="F257" s="31" t="str">
        <f>IF($D257="","",IFERROR(VLOOKUP($B257,Kraftvärmeprod!$B$1:$BX$550,MATCH(F$2,Kraftvärmeprod!$B$1:$VX$1,0),FALSE)/1,0)-IFERROR(VLOOKUP($B257,'Slutlig allokering kvv'!$B$2:$BX$550,MATCH(F$2,'Slutlig allokering kvv'!$B$1:$BX$1,0),FALSE)/1,0))</f>
        <v/>
      </c>
      <c r="G257" s="31" t="str">
        <f>IF($D257="","",IFERROR(VLOOKUP($B257,Kraftvärmeprod!$B$1:$BX$550,MATCH(G$2,Kraftvärmeprod!$B$1:$VX$1,0),FALSE)/1,0)-IFERROR(VLOOKUP($B257,'Slutlig allokering kvv'!$B$2:$BX$550,MATCH(G$2,'Slutlig allokering kvv'!$B$1:$BX$1,0),FALSE)/1,0))</f>
        <v/>
      </c>
      <c r="H257" s="31" t="str">
        <f>IF($D257="","",IFERROR(VLOOKUP($B257,Kraftvärmeprod!$B$1:$BX$550,MATCH(H$2,Kraftvärmeprod!$B$1:$VX$1,0),FALSE)/1,0)-IFERROR(VLOOKUP($B257,'Slutlig allokering kvv'!$B$2:$BX$550,MATCH(H$2,'Slutlig allokering kvv'!$B$1:$BX$1,0),FALSE)/1,0))</f>
        <v/>
      </c>
      <c r="I257" s="31" t="str">
        <f>IF($D257="","",IFERROR(VLOOKUP($B257,Kraftvärmeprod!$B$1:$BX$550,MATCH(I$2,Kraftvärmeprod!$B$1:$VX$1,0),FALSE)/1,0)-IFERROR(VLOOKUP($B257,'Slutlig allokering kvv'!$B$2:$BX$550,MATCH(I$2,'Slutlig allokering kvv'!$B$1:$BX$1,0),FALSE)/1,0))</f>
        <v/>
      </c>
      <c r="J257" s="31" t="str">
        <f>IF($D257="","",IFERROR(VLOOKUP($B257,Kraftvärmeprod!$B$1:$BX$550,MATCH(J$2,Kraftvärmeprod!$B$1:$VX$1,0),FALSE)/1,0)-IFERROR(VLOOKUP($B257,'Slutlig allokering kvv'!$B$2:$BX$550,MATCH(J$2,'Slutlig allokering kvv'!$B$1:$BX$1,0),FALSE)/1,0))</f>
        <v/>
      </c>
      <c r="K257" s="31" t="str">
        <f>IF($D257="","",IFERROR(VLOOKUP($B257,Kraftvärmeprod!$B$1:$BX$550,MATCH(K$2,Kraftvärmeprod!$B$1:$VX$1,0),FALSE)/1,0)-IFERROR(VLOOKUP($B257,'Slutlig allokering kvv'!$B$2:$BX$550,MATCH(K$2,'Slutlig allokering kvv'!$B$1:$BX$1,0),FALSE)/1,0))</f>
        <v/>
      </c>
      <c r="L257" s="31" t="str">
        <f>IF($D257="","",IFERROR(VLOOKUP($B257,Kraftvärmeprod!$B$1:$BX$550,MATCH(L$2,Kraftvärmeprod!$B$1:$VX$1,0),FALSE)/1,0)-IFERROR(VLOOKUP($B257,'Slutlig allokering kvv'!$B$2:$BX$550,MATCH(L$2,'Slutlig allokering kvv'!$B$1:$BX$1,0),FALSE)/1,0))</f>
        <v/>
      </c>
      <c r="M257" s="31" t="str">
        <f>IF($D257="","",IFERROR(VLOOKUP($B257,Kraftvärmeprod!$B$1:$BX$550,MATCH(M$2,Kraftvärmeprod!$B$1:$VX$1,0),FALSE)/1,0)-IFERROR(VLOOKUP($B257,'Slutlig allokering kvv'!$B$2:$BX$550,MATCH(M$2,'Slutlig allokering kvv'!$B$1:$BX$1,0),FALSE)/1,0))</f>
        <v/>
      </c>
      <c r="N257" s="31" t="str">
        <f>IF($D257="","",IFERROR(VLOOKUP($B257,Kraftvärmeprod!$B$1:$BX$550,MATCH(N$2,Kraftvärmeprod!$B$1:$VX$1,0),FALSE)/1,0)-IFERROR(VLOOKUP($B257,'Slutlig allokering kvv'!$B$2:$BX$550,MATCH(N$2,'Slutlig allokering kvv'!$B$1:$BX$1,0),FALSE)/1,0))</f>
        <v/>
      </c>
      <c r="O257" s="31" t="str">
        <f>IF($D257="","",IFERROR(VLOOKUP($B257,Kraftvärmeprod!$B$1:$BX$550,MATCH(O$2,Kraftvärmeprod!$B$1:$VX$1,0),FALSE)/1,0)-IFERROR(VLOOKUP($B257,'Slutlig allokering kvv'!$B$2:$BX$550,MATCH(O$2,'Slutlig allokering kvv'!$B$1:$BX$1,0),FALSE)/1,0))</f>
        <v/>
      </c>
      <c r="P257" s="31" t="str">
        <f>IF($D257="","",IFERROR(VLOOKUP($B257,Kraftvärmeprod!$B$1:$BX$550,MATCH(P$2,Kraftvärmeprod!$B$1:$VX$1,0),FALSE)/1,0)-IFERROR(VLOOKUP($B257,'Slutlig allokering kvv'!$B$2:$BX$550,MATCH(P$2,'Slutlig allokering kvv'!$B$1:$BX$1,0),FALSE)/1,0))</f>
        <v/>
      </c>
      <c r="Q257" s="31" t="str">
        <f>IF($D257="","",IFERROR(VLOOKUP($B257,Kraftvärmeprod!$B$1:$BX$550,MATCH(Q$2,Kraftvärmeprod!$B$1:$VX$1,0),FALSE)/1,0)-IFERROR(VLOOKUP($B257,'Slutlig allokering kvv'!$B$2:$BX$550,MATCH(Q$2,'Slutlig allokering kvv'!$B$1:$BX$1,0),FALSE)/1,0))</f>
        <v/>
      </c>
      <c r="R257" s="31" t="str">
        <f>IF($D257="","",IFERROR(VLOOKUP($B257,Kraftvärmeprod!$B$1:$BX$550,MATCH(R$2,Kraftvärmeprod!$B$1:$VX$1,0),FALSE)/1,0)-IFERROR(VLOOKUP($B257,'Slutlig allokering kvv'!$B$2:$BX$550,MATCH(R$2,'Slutlig allokering kvv'!$B$1:$BX$1,0),FALSE)/1,0))</f>
        <v/>
      </c>
      <c r="S257" s="31" t="str">
        <f>IF($D257="","",IFERROR(VLOOKUP($B257,Kraftvärmeprod!$B$1:$BX$550,MATCH(S$2,Kraftvärmeprod!$B$1:$VX$1,0),FALSE)/1,0)-IFERROR(VLOOKUP($B257,'Slutlig allokering kvv'!$B$2:$BX$550,MATCH(S$2,'Slutlig allokering kvv'!$B$1:$BX$1,0),FALSE)/1,0))</f>
        <v/>
      </c>
      <c r="T257" s="31" t="str">
        <f>IF($D257="","",IFERROR(VLOOKUP($B257,Kraftvärmeprod!$B$1:$BX$550,MATCH(T$2,Kraftvärmeprod!$B$1:$VX$1,0),FALSE)/1,0)-IFERROR(VLOOKUP($B257,'Slutlig allokering kvv'!$B$2:$BX$550,MATCH(T$2,'Slutlig allokering kvv'!$B$1:$BX$1,0),FALSE)/1,0))</f>
        <v/>
      </c>
      <c r="U257" s="31" t="str">
        <f>IF($D257="","",IFERROR(VLOOKUP($B257,Kraftvärmeprod!$B$1:$BX$550,MATCH(U$2,Kraftvärmeprod!$B$1:$VX$1,0),FALSE)/1,0)-IFERROR(VLOOKUP($B257,'Slutlig allokering kvv'!$B$2:$BX$550,MATCH(U$2,'Slutlig allokering kvv'!$B$1:$BX$1,0),FALSE)/1,0))</f>
        <v/>
      </c>
      <c r="V257" s="31" t="str">
        <f>IF($D257="","",IFERROR(VLOOKUP($B257,Kraftvärmeprod!$B$1:$BX$550,MATCH(V$2,Kraftvärmeprod!$B$1:$VX$1,0),FALSE)/1,0)-IFERROR(VLOOKUP($B257,'Slutlig allokering kvv'!$B$2:$BX$550,MATCH(V$2,'Slutlig allokering kvv'!$B$1:$BX$1,0),FALSE)/1,0))</f>
        <v/>
      </c>
      <c r="W257" s="31" t="str">
        <f>IF($D257="","",IFERROR(VLOOKUP($B257,Kraftvärmeprod!$B$1:$BX$550,MATCH(W$2,Kraftvärmeprod!$B$1:$VX$1,0),FALSE)/1,0)-IFERROR(VLOOKUP($B257,'Slutlig allokering kvv'!$B$2:$BX$550,MATCH(W$2,'Slutlig allokering kvv'!$B$1:$BX$1,0),FALSE)/1,0))</f>
        <v/>
      </c>
      <c r="X257" s="31" t="str">
        <f>IF($D257="","",IFERROR(VLOOKUP($B257,Kraftvärmeprod!$B$1:$BX$550,MATCH(X$2,Kraftvärmeprod!$B$1:$VX$1,0),FALSE)/1,0)-IFERROR(VLOOKUP($B257,'Slutlig allokering kvv'!$B$2:$BX$550,MATCH(X$2,'Slutlig allokering kvv'!$B$1:$BX$1,0),FALSE)/1,0))</f>
        <v/>
      </c>
      <c r="Y257" s="31" t="str">
        <f>IF($D257="","",IFERROR(VLOOKUP($B257,Kraftvärmeprod!$B$1:$BX$550,MATCH(Y$2,Kraftvärmeprod!$B$1:$VX$1,0),FALSE)/1,0)-IFERROR(VLOOKUP($B257,'Slutlig allokering kvv'!$B$2:$BX$550,MATCH(Y$2,'Slutlig allokering kvv'!$B$1:$BX$1,0),FALSE)/1,0))</f>
        <v/>
      </c>
      <c r="Z257" s="31" t="str">
        <f>IF($D257="","",IFERROR(VLOOKUP($B257,Kraftvärmeprod!$B$1:$BX$550,MATCH(Z$2,Kraftvärmeprod!$B$1:$VX$1,0),FALSE)/1,0)-IFERROR(VLOOKUP($B257,'Slutlig allokering kvv'!$B$2:$BX$550,MATCH(Z$2,'Slutlig allokering kvv'!$B$1:$BX$1,0),FALSE)/1,0))</f>
        <v/>
      </c>
      <c r="AA257" s="31" t="str">
        <f>IF($D257="","",IFERROR(VLOOKUP($B257,Kraftvärmeprod!$B$1:$BX$550,MATCH(AA$2,Kraftvärmeprod!$B$1:$VX$1,0),FALSE)/1,0)-IFERROR(VLOOKUP($B257,'Slutlig allokering kvv'!$B$2:$BX$550,MATCH(AA$2,'Slutlig allokering kvv'!$B$1:$BX$1,0),FALSE)/1,0))</f>
        <v/>
      </c>
      <c r="AB257" s="31" t="str">
        <f>IF($D257="","",IFERROR(VLOOKUP($B257,Kraftvärmeprod!$B$1:$BX$550,MATCH(AB$2,Kraftvärmeprod!$B$1:$VX$1,0),FALSE)/1,0)-IFERROR(VLOOKUP($B257,'Slutlig allokering kvv'!$B$2:$BX$550,MATCH(AB$2,'Slutlig allokering kvv'!$B$1:$BX$1,0),FALSE)/1,0))</f>
        <v/>
      </c>
      <c r="AC257" s="31" t="str">
        <f>IF($D257="","",IFERROR(VLOOKUP($B257,Kraftvärmeprod!$B$1:$BX$550,MATCH(AC$2,Kraftvärmeprod!$B$1:$VX$1,0),FALSE)/1,0)-IFERROR(VLOOKUP($B257,'Slutlig allokering kvv'!$B$2:$BX$550,MATCH(AC$2,'Slutlig allokering kvv'!$B$1:$BX$1,0),FALSE)/1,0))</f>
        <v/>
      </c>
      <c r="AD257" s="31" t="str">
        <f>IF($D257="","",IFERROR(VLOOKUP($B257,Kraftvärmeprod!$B$1:$BX$550,MATCH(AD$2,Kraftvärmeprod!$B$1:$VX$1,0),FALSE)/1,0)-IFERROR(VLOOKUP($B257,'Slutlig allokering kvv'!$B$2:$BX$550,MATCH(AD$2,'Slutlig allokering kvv'!$B$1:$BX$1,0),FALSE)/1,0))</f>
        <v/>
      </c>
      <c r="AE257" s="31" t="str">
        <f>IF($D257="","",IFERROR(VLOOKUP($B257,Miljö!$B$1:$E$550,MATCH("Hjälpel kraftvärme (GWh)",Miljö!$B$1:$E$1,0),FALSE)/1,0)-IFERROR(VLOOKUP($B257,'Slutlig allokering kvv'!$B$2:$BX$549,MATCH(AE$2,'Slutlig allokering kvv'!$B$1:$BX$1,0),FALSE)/1,0))</f>
        <v/>
      </c>
      <c r="AI257" s="39">
        <f t="shared" si="12"/>
        <v>0</v>
      </c>
      <c r="AK257" s="31">
        <f>IFERROR(VLOOKUP($B257,'Slutlig allokering kvv'!$B$2:$AX$549,MATCH("Summa slutlig allokerad tillförd energi (utan hjälpel och rökgaskondensering):",'Slutlig allokering kvv'!$B$1:$AX$1,0),FALSE)/1,"")</f>
        <v>0</v>
      </c>
      <c r="AM257" s="31" t="str">
        <f>IFERROR(1-VLOOKUP($B257,'Slutlig allokering kvv'!$B$2:$AX$549,MATCH("Andel av bränsle i kvv som allokerats till värme, exklusive rökgaskondensering och hjälpel",'Slutlig allokering kvv'!$B$1:$AX$1,0),FALSE),"")</f>
        <v/>
      </c>
      <c r="AO257" s="31" t="str">
        <f t="shared" si="13"/>
        <v/>
      </c>
      <c r="AP257" s="31" t="str">
        <f t="shared" si="14"/>
        <v/>
      </c>
      <c r="AR257" s="32" t="str">
        <f t="shared" si="15"/>
        <v/>
      </c>
    </row>
    <row r="258" spans="1:44" s="31" customFormat="1" x14ac:dyDescent="0.45">
      <c r="A258" s="31" t="s">
        <v>305</v>
      </c>
      <c r="B258" s="31" t="s">
        <v>306</v>
      </c>
      <c r="C258" s="31">
        <f>IFERROR(VLOOKUP($B258,Kraftvärmeprod!$B$1:$AH$479,MATCH(C$2,Kraftvärmeprod!$B$1:$AG$1,0),FALSE)/1,"")</f>
        <v>27.027999999999999</v>
      </c>
      <c r="D258" s="31">
        <f>IFERROR(VLOOKUP($B258,Kraftvärmeprod!$B$1:$AH$479,MATCH(D$2,Kraftvärmeprod!$B$1:$AG$1,0),FALSE)/1,"")</f>
        <v>6.03</v>
      </c>
      <c r="F258" s="31">
        <f>IF($D258="","",IFERROR(VLOOKUP($B258,Kraftvärmeprod!$B$1:$BX$550,MATCH(F$2,Kraftvärmeprod!$B$1:$VX$1,0),FALSE)/1,0)-IFERROR(VLOOKUP($B258,'Slutlig allokering kvv'!$B$2:$BX$550,MATCH(F$2,'Slutlig allokering kvv'!$B$1:$BX$1,0),FALSE)/1,0))</f>
        <v>0</v>
      </c>
      <c r="G258" s="31">
        <f>IF($D258="","",IFERROR(VLOOKUP($B258,Kraftvärmeprod!$B$1:$BX$550,MATCH(G$2,Kraftvärmeprod!$B$1:$VX$1,0),FALSE)/1,0)-IFERROR(VLOOKUP($B258,'Slutlig allokering kvv'!$B$2:$BX$550,MATCH(G$2,'Slutlig allokering kvv'!$B$1:$BX$1,0),FALSE)/1,0))</f>
        <v>0</v>
      </c>
      <c r="H258" s="31">
        <f>IF($D258="","",IFERROR(VLOOKUP($B258,Kraftvärmeprod!$B$1:$BX$550,MATCH(H$2,Kraftvärmeprod!$B$1:$VX$1,0),FALSE)/1,0)-IFERROR(VLOOKUP($B258,'Slutlig allokering kvv'!$B$2:$BX$550,MATCH(H$2,'Slutlig allokering kvv'!$B$1:$BX$1,0),FALSE)/1,0))</f>
        <v>0</v>
      </c>
      <c r="I258" s="31">
        <f>IF($D258="","",IFERROR(VLOOKUP($B258,Kraftvärmeprod!$B$1:$BX$550,MATCH(I$2,Kraftvärmeprod!$B$1:$VX$1,0),FALSE)/1,0)-IFERROR(VLOOKUP($B258,'Slutlig allokering kvv'!$B$2:$BX$550,MATCH(I$2,'Slutlig allokering kvv'!$B$1:$BX$1,0),FALSE)/1,0))</f>
        <v>0</v>
      </c>
      <c r="J258" s="31">
        <f>IF($D258="","",IFERROR(VLOOKUP($B258,Kraftvärmeprod!$B$1:$BX$550,MATCH(J$2,Kraftvärmeprod!$B$1:$VX$1,0),FALSE)/1,0)-IFERROR(VLOOKUP($B258,'Slutlig allokering kvv'!$B$2:$BX$550,MATCH(J$2,'Slutlig allokering kvv'!$B$1:$BX$1,0),FALSE)/1,0))</f>
        <v>0</v>
      </c>
      <c r="K258" s="31">
        <f>IF($D258="","",IFERROR(VLOOKUP($B258,Kraftvärmeprod!$B$1:$BX$550,MATCH(K$2,Kraftvärmeprod!$B$1:$VX$1,0),FALSE)/1,0)-IFERROR(VLOOKUP($B258,'Slutlig allokering kvv'!$B$2:$BX$550,MATCH(K$2,'Slutlig allokering kvv'!$B$1:$BX$1,0),FALSE)/1,0))</f>
        <v>0</v>
      </c>
      <c r="L258" s="31">
        <f>IF($D258="","",IFERROR(VLOOKUP($B258,Kraftvärmeprod!$B$1:$BX$550,MATCH(L$2,Kraftvärmeprod!$B$1:$VX$1,0),FALSE)/1,0)-IFERROR(VLOOKUP($B258,'Slutlig allokering kvv'!$B$2:$BX$550,MATCH(L$2,'Slutlig allokering kvv'!$B$1:$BX$1,0),FALSE)/1,0))</f>
        <v>0</v>
      </c>
      <c r="M258" s="31">
        <f>IF($D258="","",IFERROR(VLOOKUP($B258,Kraftvärmeprod!$B$1:$BX$550,MATCH(M$2,Kraftvärmeprod!$B$1:$VX$1,0),FALSE)/1,0)-IFERROR(VLOOKUP($B258,'Slutlig allokering kvv'!$B$2:$BX$550,MATCH(M$2,'Slutlig allokering kvv'!$B$1:$BX$1,0),FALSE)/1,0))</f>
        <v>0</v>
      </c>
      <c r="N258" s="31">
        <f>IF($D258="","",IFERROR(VLOOKUP($B258,Kraftvärmeprod!$B$1:$BX$550,MATCH(N$2,Kraftvärmeprod!$B$1:$VX$1,0),FALSE)/1,0)-IFERROR(VLOOKUP($B258,'Slutlig allokering kvv'!$B$2:$BX$550,MATCH(N$2,'Slutlig allokering kvv'!$B$1:$BX$1,0),FALSE)/1,0))</f>
        <v>0</v>
      </c>
      <c r="O258" s="31">
        <f>IF($D258="","",IFERROR(VLOOKUP($B258,Kraftvärmeprod!$B$1:$BX$550,MATCH(O$2,Kraftvärmeprod!$B$1:$VX$1,0),FALSE)/1,0)-IFERROR(VLOOKUP($B258,'Slutlig allokering kvv'!$B$2:$BX$550,MATCH(O$2,'Slutlig allokering kvv'!$B$1:$BX$1,0),FALSE)/1,0))</f>
        <v>0</v>
      </c>
      <c r="P258" s="31">
        <f>IF($D258="","",IFERROR(VLOOKUP($B258,Kraftvärmeprod!$B$1:$BX$550,MATCH(P$2,Kraftvärmeprod!$B$1:$VX$1,0),FALSE)/1,0)-IFERROR(VLOOKUP($B258,'Slutlig allokering kvv'!$B$2:$BX$550,MATCH(P$2,'Slutlig allokering kvv'!$B$1:$BX$1,0),FALSE)/1,0))</f>
        <v>0</v>
      </c>
      <c r="Q258" s="31">
        <f>IF($D258="","",IFERROR(VLOOKUP($B258,Kraftvärmeprod!$B$1:$BX$550,MATCH(Q$2,Kraftvärmeprod!$B$1:$VX$1,0),FALSE)/1,0)-IFERROR(VLOOKUP($B258,'Slutlig allokering kvv'!$B$2:$BX$550,MATCH(Q$2,'Slutlig allokering kvv'!$B$1:$BX$1,0),FALSE)/1,0))</f>
        <v>0</v>
      </c>
      <c r="R258" s="31">
        <f>IF($D258="","",IFERROR(VLOOKUP($B258,Kraftvärmeprod!$B$1:$BX$550,MATCH(R$2,Kraftvärmeprod!$B$1:$VX$1,0),FALSE)/1,0)-IFERROR(VLOOKUP($B258,'Slutlig allokering kvv'!$B$2:$BX$550,MATCH(R$2,'Slutlig allokering kvv'!$B$1:$BX$1,0),FALSE)/1,0))</f>
        <v>0</v>
      </c>
      <c r="S258" s="31">
        <f>IF($D258="","",IFERROR(VLOOKUP($B258,Kraftvärmeprod!$B$1:$BX$550,MATCH(S$2,Kraftvärmeprod!$B$1:$VX$1,0),FALSE)/1,0)-IFERROR(VLOOKUP($B258,'Slutlig allokering kvv'!$B$2:$BX$550,MATCH(S$2,'Slutlig allokering kvv'!$B$1:$BX$1,0),FALSE)/1,0))</f>
        <v>0</v>
      </c>
      <c r="T258" s="31">
        <f>IF($D258="","",IFERROR(VLOOKUP($B258,Kraftvärmeprod!$B$1:$BX$550,MATCH(T$2,Kraftvärmeprod!$B$1:$VX$1,0),FALSE)/1,0)-IFERROR(VLOOKUP($B258,'Slutlig allokering kvv'!$B$2:$BX$550,MATCH(T$2,'Slutlig allokering kvv'!$B$1:$BX$1,0),FALSE)/1,0))</f>
        <v>0</v>
      </c>
      <c r="U258" s="31">
        <f>IF($D258="","",IFERROR(VLOOKUP($B258,Kraftvärmeprod!$B$1:$BX$550,MATCH(U$2,Kraftvärmeprod!$B$1:$VX$1,0),FALSE)/1,0)-IFERROR(VLOOKUP($B258,'Slutlig allokering kvv'!$B$2:$BX$550,MATCH(U$2,'Slutlig allokering kvv'!$B$1:$BX$1,0),FALSE)/1,0))</f>
        <v>0</v>
      </c>
      <c r="V258" s="31">
        <f>IF($D258="","",IFERROR(VLOOKUP($B258,Kraftvärmeprod!$B$1:$BX$550,MATCH(V$2,Kraftvärmeprod!$B$1:$VX$1,0),FALSE)/1,0)-IFERROR(VLOOKUP($B258,'Slutlig allokering kvv'!$B$2:$BX$550,MATCH(V$2,'Slutlig allokering kvv'!$B$1:$BX$1,0),FALSE)/1,0))</f>
        <v>0</v>
      </c>
      <c r="W258" s="31">
        <f>IF($D258="","",IFERROR(VLOOKUP($B258,Kraftvärmeprod!$B$1:$BX$550,MATCH(W$2,Kraftvärmeprod!$B$1:$VX$1,0),FALSE)/1,0)-IFERROR(VLOOKUP($B258,'Slutlig allokering kvv'!$B$2:$BX$550,MATCH(W$2,'Slutlig allokering kvv'!$B$1:$BX$1,0),FALSE)/1,0))</f>
        <v>0</v>
      </c>
      <c r="X258" s="31">
        <f>IF($D258="","",IFERROR(VLOOKUP($B258,Kraftvärmeprod!$B$1:$BX$550,MATCH(X$2,Kraftvärmeprod!$B$1:$VX$1,0),FALSE)/1,0)-IFERROR(VLOOKUP($B258,'Slutlig allokering kvv'!$B$2:$BX$550,MATCH(X$2,'Slutlig allokering kvv'!$B$1:$BX$1,0),FALSE)/1,0))</f>
        <v>0</v>
      </c>
      <c r="Y258" s="31">
        <f>IF($D258="","",IFERROR(VLOOKUP($B258,Kraftvärmeprod!$B$1:$BX$550,MATCH(Y$2,Kraftvärmeprod!$B$1:$VX$1,0),FALSE)/1,0)-IFERROR(VLOOKUP($B258,'Slutlig allokering kvv'!$B$2:$BX$550,MATCH(Y$2,'Slutlig allokering kvv'!$B$1:$BX$1,0),FALSE)/1,0))</f>
        <v>0</v>
      </c>
      <c r="Z258" s="31">
        <f>IF($D258="","",IFERROR(VLOOKUP($B258,Kraftvärmeprod!$B$1:$BX$550,MATCH(Z$2,Kraftvärmeprod!$B$1:$VX$1,0),FALSE)/1,0)-IFERROR(VLOOKUP($B258,'Slutlig allokering kvv'!$B$2:$BX$550,MATCH(Z$2,'Slutlig allokering kvv'!$B$1:$BX$1,0),FALSE)/1,0))</f>
        <v>0</v>
      </c>
      <c r="AA258" s="31">
        <f>IF($D258="","",IFERROR(VLOOKUP($B258,Kraftvärmeprod!$B$1:$BX$550,MATCH(AA$2,Kraftvärmeprod!$B$1:$VX$1,0),FALSE)/1,0)-IFERROR(VLOOKUP($B258,'Slutlig allokering kvv'!$B$2:$BX$550,MATCH(AA$2,'Slutlig allokering kvv'!$B$1:$BX$1,0),FALSE)/1,0))</f>
        <v>15.124700000000001</v>
      </c>
      <c r="AB258" s="31">
        <f>IF($D258="","",IFERROR(VLOOKUP($B258,Kraftvärmeprod!$B$1:$BX$550,MATCH(AB$2,Kraftvärmeprod!$B$1:$VX$1,0),FALSE)/1,0)-IFERROR(VLOOKUP($B258,'Slutlig allokering kvv'!$B$2:$BX$550,MATCH(AB$2,'Slutlig allokering kvv'!$B$1:$BX$1,0),FALSE)/1,0))</f>
        <v>0</v>
      </c>
      <c r="AC258" s="31">
        <f>IF($D258="","",IFERROR(VLOOKUP($B258,Kraftvärmeprod!$B$1:$BX$550,MATCH(AC$2,Kraftvärmeprod!$B$1:$VX$1,0),FALSE)/1,0)-IFERROR(VLOOKUP($B258,'Slutlig allokering kvv'!$B$2:$BX$550,MATCH(AC$2,'Slutlig allokering kvv'!$B$1:$BX$1,0),FALSE)/1,0))</f>
        <v>0</v>
      </c>
      <c r="AD258" s="31">
        <f>IF($D258="","",IFERROR(VLOOKUP($B258,Kraftvärmeprod!$B$1:$BX$550,MATCH(AD$2,Kraftvärmeprod!$B$1:$VX$1,0),FALSE)/1,0)-IFERROR(VLOOKUP($B258,'Slutlig allokering kvv'!$B$2:$BX$550,MATCH(AD$2,'Slutlig allokering kvv'!$B$1:$BX$1,0),FALSE)/1,0))</f>
        <v>0</v>
      </c>
      <c r="AE258" s="31">
        <f>IF($D258="","",IFERROR(VLOOKUP($B258,Miljö!$B$1:$E$550,MATCH("Hjälpel kraftvärme (GWh)",Miljö!$B$1:$E$1,0),FALSE)/1,0)-IFERROR(VLOOKUP($B258,'Slutlig allokering kvv'!$B$2:$BX$549,MATCH(AE$2,'Slutlig allokering kvv'!$B$1:$BX$1,0),FALSE)/1,0))</f>
        <v>0.33740000000000003</v>
      </c>
      <c r="AI258" s="39">
        <f t="shared" si="12"/>
        <v>15.124700000000001</v>
      </c>
      <c r="AK258" s="31">
        <f>IFERROR(VLOOKUP($B258,'Slutlig allokering kvv'!$B$2:$AX$549,MATCH("Summa slutlig allokerad tillförd energi (utan hjälpel och rökgaskondensering):",'Slutlig allokering kvv'!$B$1:$AX$1,0),FALSE)/1,"")</f>
        <v>21.185300000000002</v>
      </c>
      <c r="AM258" s="31">
        <f>IFERROR(1-VLOOKUP($B258,'Slutlig allokering kvv'!$B$2:$AX$549,MATCH("Andel av bränsle i kvv som allokerats till värme, exklusive rökgaskondensering och hjälpel",'Slutlig allokering kvv'!$B$1:$AX$1,0),FALSE),"")</f>
        <v>0.41654365188653264</v>
      </c>
      <c r="AO258" s="31">
        <f t="shared" si="13"/>
        <v>0.41654365188653264</v>
      </c>
      <c r="AP258" s="31">
        <f t="shared" si="14"/>
        <v>0</v>
      </c>
      <c r="AR258" s="32">
        <f t="shared" si="15"/>
        <v>0.38998583633529726</v>
      </c>
    </row>
    <row r="259" spans="1:44" s="31" customFormat="1" x14ac:dyDescent="0.45">
      <c r="A259" s="31" t="s">
        <v>299</v>
      </c>
      <c r="B259" s="31" t="s">
        <v>302</v>
      </c>
      <c r="C259" s="31" t="str">
        <f>IFERROR(VLOOKUP($B259,Kraftvärmeprod!$B$1:$AH$479,MATCH(C$2,Kraftvärmeprod!$B$1:$AG$1,0),FALSE)/1,"")</f>
        <v/>
      </c>
      <c r="D259" s="31" t="str">
        <f>IFERROR(VLOOKUP($B259,Kraftvärmeprod!$B$1:$AH$479,MATCH(D$2,Kraftvärmeprod!$B$1:$AG$1,0),FALSE)/1,"")</f>
        <v/>
      </c>
      <c r="F259" s="31" t="str">
        <f>IF($D259="","",IFERROR(VLOOKUP($B259,Kraftvärmeprod!$B$1:$BX$550,MATCH(F$2,Kraftvärmeprod!$B$1:$VX$1,0),FALSE)/1,0)-IFERROR(VLOOKUP($B259,'Slutlig allokering kvv'!$B$2:$BX$550,MATCH(F$2,'Slutlig allokering kvv'!$B$1:$BX$1,0),FALSE)/1,0))</f>
        <v/>
      </c>
      <c r="G259" s="31" t="str">
        <f>IF($D259="","",IFERROR(VLOOKUP($B259,Kraftvärmeprod!$B$1:$BX$550,MATCH(G$2,Kraftvärmeprod!$B$1:$VX$1,0),FALSE)/1,0)-IFERROR(VLOOKUP($B259,'Slutlig allokering kvv'!$B$2:$BX$550,MATCH(G$2,'Slutlig allokering kvv'!$B$1:$BX$1,0),FALSE)/1,0))</f>
        <v/>
      </c>
      <c r="H259" s="31" t="str">
        <f>IF($D259="","",IFERROR(VLOOKUP($B259,Kraftvärmeprod!$B$1:$BX$550,MATCH(H$2,Kraftvärmeprod!$B$1:$VX$1,0),FALSE)/1,0)-IFERROR(VLOOKUP($B259,'Slutlig allokering kvv'!$B$2:$BX$550,MATCH(H$2,'Slutlig allokering kvv'!$B$1:$BX$1,0),FALSE)/1,0))</f>
        <v/>
      </c>
      <c r="I259" s="31" t="str">
        <f>IF($D259="","",IFERROR(VLOOKUP($B259,Kraftvärmeprod!$B$1:$BX$550,MATCH(I$2,Kraftvärmeprod!$B$1:$VX$1,0),FALSE)/1,0)-IFERROR(VLOOKUP($B259,'Slutlig allokering kvv'!$B$2:$BX$550,MATCH(I$2,'Slutlig allokering kvv'!$B$1:$BX$1,0),FALSE)/1,0))</f>
        <v/>
      </c>
      <c r="J259" s="31" t="str">
        <f>IF($D259="","",IFERROR(VLOOKUP($B259,Kraftvärmeprod!$B$1:$BX$550,MATCH(J$2,Kraftvärmeprod!$B$1:$VX$1,0),FALSE)/1,0)-IFERROR(VLOOKUP($B259,'Slutlig allokering kvv'!$B$2:$BX$550,MATCH(J$2,'Slutlig allokering kvv'!$B$1:$BX$1,0),FALSE)/1,0))</f>
        <v/>
      </c>
      <c r="K259" s="31" t="str">
        <f>IF($D259="","",IFERROR(VLOOKUP($B259,Kraftvärmeprod!$B$1:$BX$550,MATCH(K$2,Kraftvärmeprod!$B$1:$VX$1,0),FALSE)/1,0)-IFERROR(VLOOKUP($B259,'Slutlig allokering kvv'!$B$2:$BX$550,MATCH(K$2,'Slutlig allokering kvv'!$B$1:$BX$1,0),FALSE)/1,0))</f>
        <v/>
      </c>
      <c r="L259" s="31" t="str">
        <f>IF($D259="","",IFERROR(VLOOKUP($B259,Kraftvärmeprod!$B$1:$BX$550,MATCH(L$2,Kraftvärmeprod!$B$1:$VX$1,0),FALSE)/1,0)-IFERROR(VLOOKUP($B259,'Slutlig allokering kvv'!$B$2:$BX$550,MATCH(L$2,'Slutlig allokering kvv'!$B$1:$BX$1,0),FALSE)/1,0))</f>
        <v/>
      </c>
      <c r="M259" s="31" t="str">
        <f>IF($D259="","",IFERROR(VLOOKUP($B259,Kraftvärmeprod!$B$1:$BX$550,MATCH(M$2,Kraftvärmeprod!$B$1:$VX$1,0),FALSE)/1,0)-IFERROR(VLOOKUP($B259,'Slutlig allokering kvv'!$B$2:$BX$550,MATCH(M$2,'Slutlig allokering kvv'!$B$1:$BX$1,0),FALSE)/1,0))</f>
        <v/>
      </c>
      <c r="N259" s="31" t="str">
        <f>IF($D259="","",IFERROR(VLOOKUP($B259,Kraftvärmeprod!$B$1:$BX$550,MATCH(N$2,Kraftvärmeprod!$B$1:$VX$1,0),FALSE)/1,0)-IFERROR(VLOOKUP($B259,'Slutlig allokering kvv'!$B$2:$BX$550,MATCH(N$2,'Slutlig allokering kvv'!$B$1:$BX$1,0),FALSE)/1,0))</f>
        <v/>
      </c>
      <c r="O259" s="31" t="str">
        <f>IF($D259="","",IFERROR(VLOOKUP($B259,Kraftvärmeprod!$B$1:$BX$550,MATCH(O$2,Kraftvärmeprod!$B$1:$VX$1,0),FALSE)/1,0)-IFERROR(VLOOKUP($B259,'Slutlig allokering kvv'!$B$2:$BX$550,MATCH(O$2,'Slutlig allokering kvv'!$B$1:$BX$1,0),FALSE)/1,0))</f>
        <v/>
      </c>
      <c r="P259" s="31" t="str">
        <f>IF($D259="","",IFERROR(VLOOKUP($B259,Kraftvärmeprod!$B$1:$BX$550,MATCH(P$2,Kraftvärmeprod!$B$1:$VX$1,0),FALSE)/1,0)-IFERROR(VLOOKUP($B259,'Slutlig allokering kvv'!$B$2:$BX$550,MATCH(P$2,'Slutlig allokering kvv'!$B$1:$BX$1,0),FALSE)/1,0))</f>
        <v/>
      </c>
      <c r="Q259" s="31" t="str">
        <f>IF($D259="","",IFERROR(VLOOKUP($B259,Kraftvärmeprod!$B$1:$BX$550,MATCH(Q$2,Kraftvärmeprod!$B$1:$VX$1,0),FALSE)/1,0)-IFERROR(VLOOKUP($B259,'Slutlig allokering kvv'!$B$2:$BX$550,MATCH(Q$2,'Slutlig allokering kvv'!$B$1:$BX$1,0),FALSE)/1,0))</f>
        <v/>
      </c>
      <c r="R259" s="31" t="str">
        <f>IF($D259="","",IFERROR(VLOOKUP($B259,Kraftvärmeprod!$B$1:$BX$550,MATCH(R$2,Kraftvärmeprod!$B$1:$VX$1,0),FALSE)/1,0)-IFERROR(VLOOKUP($B259,'Slutlig allokering kvv'!$B$2:$BX$550,MATCH(R$2,'Slutlig allokering kvv'!$B$1:$BX$1,0),FALSE)/1,0))</f>
        <v/>
      </c>
      <c r="S259" s="31" t="str">
        <f>IF($D259="","",IFERROR(VLOOKUP($B259,Kraftvärmeprod!$B$1:$BX$550,MATCH(S$2,Kraftvärmeprod!$B$1:$VX$1,0),FALSE)/1,0)-IFERROR(VLOOKUP($B259,'Slutlig allokering kvv'!$B$2:$BX$550,MATCH(S$2,'Slutlig allokering kvv'!$B$1:$BX$1,0),FALSE)/1,0))</f>
        <v/>
      </c>
      <c r="T259" s="31" t="str">
        <f>IF($D259="","",IFERROR(VLOOKUP($B259,Kraftvärmeprod!$B$1:$BX$550,MATCH(T$2,Kraftvärmeprod!$B$1:$VX$1,0),FALSE)/1,0)-IFERROR(VLOOKUP($B259,'Slutlig allokering kvv'!$B$2:$BX$550,MATCH(T$2,'Slutlig allokering kvv'!$B$1:$BX$1,0),FALSE)/1,0))</f>
        <v/>
      </c>
      <c r="U259" s="31" t="str">
        <f>IF($D259="","",IFERROR(VLOOKUP($B259,Kraftvärmeprod!$B$1:$BX$550,MATCH(U$2,Kraftvärmeprod!$B$1:$VX$1,0),FALSE)/1,0)-IFERROR(VLOOKUP($B259,'Slutlig allokering kvv'!$B$2:$BX$550,MATCH(U$2,'Slutlig allokering kvv'!$B$1:$BX$1,0),FALSE)/1,0))</f>
        <v/>
      </c>
      <c r="V259" s="31" t="str">
        <f>IF($D259="","",IFERROR(VLOOKUP($B259,Kraftvärmeprod!$B$1:$BX$550,MATCH(V$2,Kraftvärmeprod!$B$1:$VX$1,0),FALSE)/1,0)-IFERROR(VLOOKUP($B259,'Slutlig allokering kvv'!$B$2:$BX$550,MATCH(V$2,'Slutlig allokering kvv'!$B$1:$BX$1,0),FALSE)/1,0))</f>
        <v/>
      </c>
      <c r="W259" s="31" t="str">
        <f>IF($D259="","",IFERROR(VLOOKUP($B259,Kraftvärmeprod!$B$1:$BX$550,MATCH(W$2,Kraftvärmeprod!$B$1:$VX$1,0),FALSE)/1,0)-IFERROR(VLOOKUP($B259,'Slutlig allokering kvv'!$B$2:$BX$550,MATCH(W$2,'Slutlig allokering kvv'!$B$1:$BX$1,0),FALSE)/1,0))</f>
        <v/>
      </c>
      <c r="X259" s="31" t="str">
        <f>IF($D259="","",IFERROR(VLOOKUP($B259,Kraftvärmeprod!$B$1:$BX$550,MATCH(X$2,Kraftvärmeprod!$B$1:$VX$1,0),FALSE)/1,0)-IFERROR(VLOOKUP($B259,'Slutlig allokering kvv'!$B$2:$BX$550,MATCH(X$2,'Slutlig allokering kvv'!$B$1:$BX$1,0),FALSE)/1,0))</f>
        <v/>
      </c>
      <c r="Y259" s="31" t="str">
        <f>IF($D259="","",IFERROR(VLOOKUP($B259,Kraftvärmeprod!$B$1:$BX$550,MATCH(Y$2,Kraftvärmeprod!$B$1:$VX$1,0),FALSE)/1,0)-IFERROR(VLOOKUP($B259,'Slutlig allokering kvv'!$B$2:$BX$550,MATCH(Y$2,'Slutlig allokering kvv'!$B$1:$BX$1,0),FALSE)/1,0))</f>
        <v/>
      </c>
      <c r="Z259" s="31" t="str">
        <f>IF($D259="","",IFERROR(VLOOKUP($B259,Kraftvärmeprod!$B$1:$BX$550,MATCH(Z$2,Kraftvärmeprod!$B$1:$VX$1,0),FALSE)/1,0)-IFERROR(VLOOKUP($B259,'Slutlig allokering kvv'!$B$2:$BX$550,MATCH(Z$2,'Slutlig allokering kvv'!$B$1:$BX$1,0),FALSE)/1,0))</f>
        <v/>
      </c>
      <c r="AA259" s="31" t="str">
        <f>IF($D259="","",IFERROR(VLOOKUP($B259,Kraftvärmeprod!$B$1:$BX$550,MATCH(AA$2,Kraftvärmeprod!$B$1:$VX$1,0),FALSE)/1,0)-IFERROR(VLOOKUP($B259,'Slutlig allokering kvv'!$B$2:$BX$550,MATCH(AA$2,'Slutlig allokering kvv'!$B$1:$BX$1,0),FALSE)/1,0))</f>
        <v/>
      </c>
      <c r="AB259" s="31" t="str">
        <f>IF($D259="","",IFERROR(VLOOKUP($B259,Kraftvärmeprod!$B$1:$BX$550,MATCH(AB$2,Kraftvärmeprod!$B$1:$VX$1,0),FALSE)/1,0)-IFERROR(VLOOKUP($B259,'Slutlig allokering kvv'!$B$2:$BX$550,MATCH(AB$2,'Slutlig allokering kvv'!$B$1:$BX$1,0),FALSE)/1,0))</f>
        <v/>
      </c>
      <c r="AC259" s="31" t="str">
        <f>IF($D259="","",IFERROR(VLOOKUP($B259,Kraftvärmeprod!$B$1:$BX$550,MATCH(AC$2,Kraftvärmeprod!$B$1:$VX$1,0),FALSE)/1,0)-IFERROR(VLOOKUP($B259,'Slutlig allokering kvv'!$B$2:$BX$550,MATCH(AC$2,'Slutlig allokering kvv'!$B$1:$BX$1,0),FALSE)/1,0))</f>
        <v/>
      </c>
      <c r="AD259" s="31" t="str">
        <f>IF($D259="","",IFERROR(VLOOKUP($B259,Kraftvärmeprod!$B$1:$BX$550,MATCH(AD$2,Kraftvärmeprod!$B$1:$VX$1,0),FALSE)/1,0)-IFERROR(VLOOKUP($B259,'Slutlig allokering kvv'!$B$2:$BX$550,MATCH(AD$2,'Slutlig allokering kvv'!$B$1:$BX$1,0),FALSE)/1,0))</f>
        <v/>
      </c>
      <c r="AE259" s="31" t="str">
        <f>IF($D259="","",IFERROR(VLOOKUP($B259,Miljö!$B$1:$E$550,MATCH("Hjälpel kraftvärme (GWh)",Miljö!$B$1:$E$1,0),FALSE)/1,0)-IFERROR(VLOOKUP($B259,'Slutlig allokering kvv'!$B$2:$BX$549,MATCH(AE$2,'Slutlig allokering kvv'!$B$1:$BX$1,0),FALSE)/1,0))</f>
        <v/>
      </c>
      <c r="AI259" s="39">
        <f t="shared" si="12"/>
        <v>0</v>
      </c>
      <c r="AK259" s="31">
        <f>IFERROR(VLOOKUP($B259,'Slutlig allokering kvv'!$B$2:$AX$549,MATCH("Summa slutlig allokerad tillförd energi (utan hjälpel och rökgaskondensering):",'Slutlig allokering kvv'!$B$1:$AX$1,0),FALSE)/1,"")</f>
        <v>0</v>
      </c>
      <c r="AM259" s="31" t="str">
        <f>IFERROR(1-VLOOKUP($B259,'Slutlig allokering kvv'!$B$2:$AX$549,MATCH("Andel av bränsle i kvv som allokerats till värme, exklusive rökgaskondensering och hjälpel",'Slutlig allokering kvv'!$B$1:$AX$1,0),FALSE),"")</f>
        <v/>
      </c>
      <c r="AO259" s="31" t="str">
        <f t="shared" si="13"/>
        <v/>
      </c>
      <c r="AP259" s="31" t="str">
        <f t="shared" si="14"/>
        <v/>
      </c>
      <c r="AR259" s="32" t="str">
        <f t="shared" si="15"/>
        <v/>
      </c>
    </row>
    <row r="260" spans="1:44" s="31" customFormat="1" x14ac:dyDescent="0.45">
      <c r="A260" s="31" t="s">
        <v>299</v>
      </c>
      <c r="B260" s="31" t="s">
        <v>298</v>
      </c>
      <c r="C260" s="31">
        <f>IFERROR(VLOOKUP($B260,Kraftvärmeprod!$B$1:$AH$479,MATCH(C$2,Kraftvärmeprod!$B$1:$AG$1,0),FALSE)/1,"")</f>
        <v>105.911</v>
      </c>
      <c r="D260" s="31">
        <f>IFERROR(VLOOKUP($B260,Kraftvärmeprod!$B$1:$AH$479,MATCH(D$2,Kraftvärmeprod!$B$1:$AG$1,0),FALSE)/1,"")</f>
        <v>35.929000000000002</v>
      </c>
      <c r="F260" s="31">
        <f>IF($D260="","",IFERROR(VLOOKUP($B260,Kraftvärmeprod!$B$1:$BX$550,MATCH(F$2,Kraftvärmeprod!$B$1:$VX$1,0),FALSE)/1,0)-IFERROR(VLOOKUP($B260,'Slutlig allokering kvv'!$B$2:$BX$550,MATCH(F$2,'Slutlig allokering kvv'!$B$1:$BX$1,0),FALSE)/1,0))</f>
        <v>0</v>
      </c>
      <c r="G260" s="31">
        <f>IF($D260="","",IFERROR(VLOOKUP($B260,Kraftvärmeprod!$B$1:$BX$550,MATCH(G$2,Kraftvärmeprod!$B$1:$VX$1,0),FALSE)/1,0)-IFERROR(VLOOKUP($B260,'Slutlig allokering kvv'!$B$2:$BX$550,MATCH(G$2,'Slutlig allokering kvv'!$B$1:$BX$1,0),FALSE)/1,0))</f>
        <v>0.147314</v>
      </c>
      <c r="H260" s="31">
        <f>IF($D260="","",IFERROR(VLOOKUP($B260,Kraftvärmeprod!$B$1:$BX$550,MATCH(H$2,Kraftvärmeprod!$B$1:$VX$1,0),FALSE)/1,0)-IFERROR(VLOOKUP($B260,'Slutlig allokering kvv'!$B$2:$BX$550,MATCH(H$2,'Slutlig allokering kvv'!$B$1:$BX$1,0),FALSE)/1,0))</f>
        <v>0</v>
      </c>
      <c r="I260" s="31">
        <f>IF($D260="","",IFERROR(VLOOKUP($B260,Kraftvärmeprod!$B$1:$BX$550,MATCH(I$2,Kraftvärmeprod!$B$1:$VX$1,0),FALSE)/1,0)-IFERROR(VLOOKUP($B260,'Slutlig allokering kvv'!$B$2:$BX$550,MATCH(I$2,'Slutlig allokering kvv'!$B$1:$BX$1,0),FALSE)/1,0))</f>
        <v>0</v>
      </c>
      <c r="J260" s="31">
        <f>IF($D260="","",IFERROR(VLOOKUP($B260,Kraftvärmeprod!$B$1:$BX$550,MATCH(J$2,Kraftvärmeprod!$B$1:$VX$1,0),FALSE)/1,0)-IFERROR(VLOOKUP($B260,'Slutlig allokering kvv'!$B$2:$BX$550,MATCH(J$2,'Slutlig allokering kvv'!$B$1:$BX$1,0),FALSE)/1,0))</f>
        <v>0</v>
      </c>
      <c r="K260" s="31">
        <f>IF($D260="","",IFERROR(VLOOKUP($B260,Kraftvärmeprod!$B$1:$BX$550,MATCH(K$2,Kraftvärmeprod!$B$1:$VX$1,0),FALSE)/1,0)-IFERROR(VLOOKUP($B260,'Slutlig allokering kvv'!$B$2:$BX$550,MATCH(K$2,'Slutlig allokering kvv'!$B$1:$BX$1,0),FALSE)/1,0))</f>
        <v>0</v>
      </c>
      <c r="L260" s="31">
        <f>IF($D260="","",IFERROR(VLOOKUP($B260,Kraftvärmeprod!$B$1:$BX$550,MATCH(L$2,Kraftvärmeprod!$B$1:$VX$1,0),FALSE)/1,0)-IFERROR(VLOOKUP($B260,'Slutlig allokering kvv'!$B$2:$BX$550,MATCH(L$2,'Slutlig allokering kvv'!$B$1:$BX$1,0),FALSE)/1,0))</f>
        <v>33.747399999999999</v>
      </c>
      <c r="M260" s="31">
        <f>IF($D260="","",IFERROR(VLOOKUP($B260,Kraftvärmeprod!$B$1:$BX$550,MATCH(M$2,Kraftvärmeprod!$B$1:$VX$1,0),FALSE)/1,0)-IFERROR(VLOOKUP($B260,'Slutlig allokering kvv'!$B$2:$BX$550,MATCH(M$2,'Slutlig allokering kvv'!$B$1:$BX$1,0),FALSE)/1,0))</f>
        <v>24.2454</v>
      </c>
      <c r="N260" s="31">
        <f>IF($D260="","",IFERROR(VLOOKUP($B260,Kraftvärmeprod!$B$1:$BX$550,MATCH(N$2,Kraftvärmeprod!$B$1:$VX$1,0),FALSE)/1,0)-IFERROR(VLOOKUP($B260,'Slutlig allokering kvv'!$B$2:$BX$550,MATCH(N$2,'Slutlig allokering kvv'!$B$1:$BX$1,0),FALSE)/1,0))</f>
        <v>8.8445999999999998</v>
      </c>
      <c r="O260" s="31">
        <f>IF($D260="","",IFERROR(VLOOKUP($B260,Kraftvärmeprod!$B$1:$BX$550,MATCH(O$2,Kraftvärmeprod!$B$1:$VX$1,0),FALSE)/1,0)-IFERROR(VLOOKUP($B260,'Slutlig allokering kvv'!$B$2:$BX$550,MATCH(O$2,'Slutlig allokering kvv'!$B$1:$BX$1,0),FALSE)/1,0))</f>
        <v>0</v>
      </c>
      <c r="P260" s="31">
        <f>IF($D260="","",IFERROR(VLOOKUP($B260,Kraftvärmeprod!$B$1:$BX$550,MATCH(P$2,Kraftvärmeprod!$B$1:$VX$1,0),FALSE)/1,0)-IFERROR(VLOOKUP($B260,'Slutlig allokering kvv'!$B$2:$BX$550,MATCH(P$2,'Slutlig allokering kvv'!$B$1:$BX$1,0),FALSE)/1,0))</f>
        <v>0</v>
      </c>
      <c r="Q260" s="31">
        <f>IF($D260="","",IFERROR(VLOOKUP($B260,Kraftvärmeprod!$B$1:$BX$550,MATCH(Q$2,Kraftvärmeprod!$B$1:$VX$1,0),FALSE)/1,0)-IFERROR(VLOOKUP($B260,'Slutlig allokering kvv'!$B$2:$BX$550,MATCH(Q$2,'Slutlig allokering kvv'!$B$1:$BX$1,0),FALSE)/1,0))</f>
        <v>4.2827100000000007</v>
      </c>
      <c r="R260" s="31">
        <f>IF($D260="","",IFERROR(VLOOKUP($B260,Kraftvärmeprod!$B$1:$BX$550,MATCH(R$2,Kraftvärmeprod!$B$1:$VX$1,0),FALSE)/1,0)-IFERROR(VLOOKUP($B260,'Slutlig allokering kvv'!$B$2:$BX$550,MATCH(R$2,'Slutlig allokering kvv'!$B$1:$BX$1,0),FALSE)/1,0))</f>
        <v>0</v>
      </c>
      <c r="S260" s="31">
        <f>IF($D260="","",IFERROR(VLOOKUP($B260,Kraftvärmeprod!$B$1:$BX$550,MATCH(S$2,Kraftvärmeprod!$B$1:$VX$1,0),FALSE)/1,0)-IFERROR(VLOOKUP($B260,'Slutlig allokering kvv'!$B$2:$BX$550,MATCH(S$2,'Slutlig allokering kvv'!$B$1:$BX$1,0),FALSE)/1,0))</f>
        <v>0</v>
      </c>
      <c r="T260" s="31">
        <f>IF($D260="","",IFERROR(VLOOKUP($B260,Kraftvärmeprod!$B$1:$BX$550,MATCH(T$2,Kraftvärmeprod!$B$1:$VX$1,0),FALSE)/1,0)-IFERROR(VLOOKUP($B260,'Slutlig allokering kvv'!$B$2:$BX$550,MATCH(T$2,'Slutlig allokering kvv'!$B$1:$BX$1,0),FALSE)/1,0))</f>
        <v>0</v>
      </c>
      <c r="U260" s="31">
        <f>IF($D260="","",IFERROR(VLOOKUP($B260,Kraftvärmeprod!$B$1:$BX$550,MATCH(U$2,Kraftvärmeprod!$B$1:$VX$1,0),FALSE)/1,0)-IFERROR(VLOOKUP($B260,'Slutlig allokering kvv'!$B$2:$BX$550,MATCH(U$2,'Slutlig allokering kvv'!$B$1:$BX$1,0),FALSE)/1,0))</f>
        <v>0</v>
      </c>
      <c r="V260" s="31">
        <f>IF($D260="","",IFERROR(VLOOKUP($B260,Kraftvärmeprod!$B$1:$BX$550,MATCH(V$2,Kraftvärmeprod!$B$1:$VX$1,0),FALSE)/1,0)-IFERROR(VLOOKUP($B260,'Slutlig allokering kvv'!$B$2:$BX$550,MATCH(V$2,'Slutlig allokering kvv'!$B$1:$BX$1,0),FALSE)/1,0))</f>
        <v>10.445200000000002</v>
      </c>
      <c r="W260" s="31">
        <f>IF($D260="","",IFERROR(VLOOKUP($B260,Kraftvärmeprod!$B$1:$BX$550,MATCH(W$2,Kraftvärmeprod!$B$1:$VX$1,0),FALSE)/1,0)-IFERROR(VLOOKUP($B260,'Slutlig allokering kvv'!$B$2:$BX$550,MATCH(W$2,'Slutlig allokering kvv'!$B$1:$BX$1,0),FALSE)/1,0))</f>
        <v>0</v>
      </c>
      <c r="X260" s="31">
        <f>IF($D260="","",IFERROR(VLOOKUP($B260,Kraftvärmeprod!$B$1:$BX$550,MATCH(X$2,Kraftvärmeprod!$B$1:$VX$1,0),FALSE)/1,0)-IFERROR(VLOOKUP($B260,'Slutlig allokering kvv'!$B$2:$BX$550,MATCH(X$2,'Slutlig allokering kvv'!$B$1:$BX$1,0),FALSE)/1,0))</f>
        <v>0</v>
      </c>
      <c r="Y260" s="31">
        <f>IF($D260="","",IFERROR(VLOOKUP($B260,Kraftvärmeprod!$B$1:$BX$550,MATCH(Y$2,Kraftvärmeprod!$B$1:$VX$1,0),FALSE)/1,0)-IFERROR(VLOOKUP($B260,'Slutlig allokering kvv'!$B$2:$BX$550,MATCH(Y$2,'Slutlig allokering kvv'!$B$1:$BX$1,0),FALSE)/1,0))</f>
        <v>0</v>
      </c>
      <c r="Z260" s="31">
        <f>IF($D260="","",IFERROR(VLOOKUP($B260,Kraftvärmeprod!$B$1:$BX$550,MATCH(Z$2,Kraftvärmeprod!$B$1:$VX$1,0),FALSE)/1,0)-IFERROR(VLOOKUP($B260,'Slutlig allokering kvv'!$B$2:$BX$550,MATCH(Z$2,'Slutlig allokering kvv'!$B$1:$BX$1,0),FALSE)/1,0))</f>
        <v>0</v>
      </c>
      <c r="AA260" s="31">
        <f>IF($D260="","",IFERROR(VLOOKUP($B260,Kraftvärmeprod!$B$1:$BX$550,MATCH(AA$2,Kraftvärmeprod!$B$1:$VX$1,0),FALSE)/1,0)-IFERROR(VLOOKUP($B260,'Slutlig allokering kvv'!$B$2:$BX$550,MATCH(AA$2,'Slutlig allokering kvv'!$B$1:$BX$1,0),FALSE)/1,0))</f>
        <v>0</v>
      </c>
      <c r="AB260" s="31">
        <f>IF($D260="","",IFERROR(VLOOKUP($B260,Kraftvärmeprod!$B$1:$BX$550,MATCH(AB$2,Kraftvärmeprod!$B$1:$VX$1,0),FALSE)/1,0)-IFERROR(VLOOKUP($B260,'Slutlig allokering kvv'!$B$2:$BX$550,MATCH(AB$2,'Slutlig allokering kvv'!$B$1:$BX$1,0),FALSE)/1,0))</f>
        <v>0</v>
      </c>
      <c r="AC260" s="31">
        <f>IF($D260="","",IFERROR(VLOOKUP($B260,Kraftvärmeprod!$B$1:$BX$550,MATCH(AC$2,Kraftvärmeprod!$B$1:$VX$1,0),FALSE)/1,0)-IFERROR(VLOOKUP($B260,'Slutlig allokering kvv'!$B$2:$BX$550,MATCH(AC$2,'Slutlig allokering kvv'!$B$1:$BX$1,0),FALSE)/1,0))</f>
        <v>0</v>
      </c>
      <c r="AD260" s="31">
        <f>IF($D260="","",IFERROR(VLOOKUP($B260,Kraftvärmeprod!$B$1:$BX$550,MATCH(AD$2,Kraftvärmeprod!$B$1:$VX$1,0),FALSE)/1,0)-IFERROR(VLOOKUP($B260,'Slutlig allokering kvv'!$B$2:$BX$550,MATCH(AD$2,'Slutlig allokering kvv'!$B$1:$BX$1,0),FALSE)/1,0))</f>
        <v>0</v>
      </c>
      <c r="AE260" s="31">
        <f>IF($D260="","",IFERROR(VLOOKUP($B260,Miljö!$B$1:$E$550,MATCH("Hjälpel kraftvärme (GWh)",Miljö!$B$1:$E$1,0),FALSE)/1,0)-IFERROR(VLOOKUP($B260,'Slutlig allokering kvv'!$B$2:$BX$549,MATCH(AE$2,'Slutlig allokering kvv'!$B$1:$BX$1,0),FALSE)/1,0))</f>
        <v>2.2934600000000001</v>
      </c>
      <c r="AI260" s="39">
        <f t="shared" ref="AI260:AI323" si="16">SUM(F260:AC260)</f>
        <v>81.712623999999991</v>
      </c>
      <c r="AK260" s="31">
        <f>IFERROR(VLOOKUP($B260,'Slutlig allokering kvv'!$B$2:$AX$549,MATCH("Summa slutlig allokerad tillförd energi (utan hjälpel och rökgaskondensering):",'Slutlig allokering kvv'!$B$1:$AX$1,0),FALSE)/1,"")</f>
        <v>92.475376000000011</v>
      </c>
      <c r="AM260" s="31">
        <f>IFERROR(1-VLOOKUP($B260,'Slutlig allokering kvv'!$B$2:$AX$549,MATCH("Andel av bränsle i kvv som allokerats till värme, exklusive rökgaskondensering och hjälpel",'Slutlig allokering kvv'!$B$1:$AX$1,0),FALSE),"")</f>
        <v>0.46910593152226321</v>
      </c>
      <c r="AO260" s="31">
        <f t="shared" ref="AO260:AO323" si="17">IFERROR(AI260/(AI260+AK260),"")</f>
        <v>0.46910593152226326</v>
      </c>
      <c r="AP260" s="31">
        <f t="shared" ref="AP260:AP323" si="18">IFERROR(AM260-AO260,"")</f>
        <v>-5.5511151231257827E-17</v>
      </c>
      <c r="AR260" s="32">
        <f t="shared" ref="AR260:AR323" si="19">IFERROR(D260/(AI260+AE260),"")</f>
        <v>0.42769521312289721</v>
      </c>
    </row>
    <row r="261" spans="1:44" s="31" customFormat="1" x14ac:dyDescent="0.45">
      <c r="A261" s="31" t="s">
        <v>299</v>
      </c>
      <c r="B261" s="31" t="s">
        <v>300</v>
      </c>
      <c r="C261" s="31" t="str">
        <f>IFERROR(VLOOKUP($B261,Kraftvärmeprod!$B$1:$AH$479,MATCH(C$2,Kraftvärmeprod!$B$1:$AG$1,0),FALSE)/1,"")</f>
        <v/>
      </c>
      <c r="D261" s="31" t="str">
        <f>IFERROR(VLOOKUP($B261,Kraftvärmeprod!$B$1:$AH$479,MATCH(D$2,Kraftvärmeprod!$B$1:$AG$1,0),FALSE)/1,"")</f>
        <v/>
      </c>
      <c r="F261" s="31" t="str">
        <f>IF($D261="","",IFERROR(VLOOKUP($B261,Kraftvärmeprod!$B$1:$BX$550,MATCH(F$2,Kraftvärmeprod!$B$1:$VX$1,0),FALSE)/1,0)-IFERROR(VLOOKUP($B261,'Slutlig allokering kvv'!$B$2:$BX$550,MATCH(F$2,'Slutlig allokering kvv'!$B$1:$BX$1,0),FALSE)/1,0))</f>
        <v/>
      </c>
      <c r="G261" s="31" t="str">
        <f>IF($D261="","",IFERROR(VLOOKUP($B261,Kraftvärmeprod!$B$1:$BX$550,MATCH(G$2,Kraftvärmeprod!$B$1:$VX$1,0),FALSE)/1,0)-IFERROR(VLOOKUP($B261,'Slutlig allokering kvv'!$B$2:$BX$550,MATCH(G$2,'Slutlig allokering kvv'!$B$1:$BX$1,0),FALSE)/1,0))</f>
        <v/>
      </c>
      <c r="H261" s="31" t="str">
        <f>IF($D261="","",IFERROR(VLOOKUP($B261,Kraftvärmeprod!$B$1:$BX$550,MATCH(H$2,Kraftvärmeprod!$B$1:$VX$1,0),FALSE)/1,0)-IFERROR(VLOOKUP($B261,'Slutlig allokering kvv'!$B$2:$BX$550,MATCH(H$2,'Slutlig allokering kvv'!$B$1:$BX$1,0),FALSE)/1,0))</f>
        <v/>
      </c>
      <c r="I261" s="31" t="str">
        <f>IF($D261="","",IFERROR(VLOOKUP($B261,Kraftvärmeprod!$B$1:$BX$550,MATCH(I$2,Kraftvärmeprod!$B$1:$VX$1,0),FALSE)/1,0)-IFERROR(VLOOKUP($B261,'Slutlig allokering kvv'!$B$2:$BX$550,MATCH(I$2,'Slutlig allokering kvv'!$B$1:$BX$1,0),FALSE)/1,0))</f>
        <v/>
      </c>
      <c r="J261" s="31" t="str">
        <f>IF($D261="","",IFERROR(VLOOKUP($B261,Kraftvärmeprod!$B$1:$BX$550,MATCH(J$2,Kraftvärmeprod!$B$1:$VX$1,0),FALSE)/1,0)-IFERROR(VLOOKUP($B261,'Slutlig allokering kvv'!$B$2:$BX$550,MATCH(J$2,'Slutlig allokering kvv'!$B$1:$BX$1,0),FALSE)/1,0))</f>
        <v/>
      </c>
      <c r="K261" s="31" t="str">
        <f>IF($D261="","",IFERROR(VLOOKUP($B261,Kraftvärmeprod!$B$1:$BX$550,MATCH(K$2,Kraftvärmeprod!$B$1:$VX$1,0),FALSE)/1,0)-IFERROR(VLOOKUP($B261,'Slutlig allokering kvv'!$B$2:$BX$550,MATCH(K$2,'Slutlig allokering kvv'!$B$1:$BX$1,0),FALSE)/1,0))</f>
        <v/>
      </c>
      <c r="L261" s="31" t="str">
        <f>IF($D261="","",IFERROR(VLOOKUP($B261,Kraftvärmeprod!$B$1:$BX$550,MATCH(L$2,Kraftvärmeprod!$B$1:$VX$1,0),FALSE)/1,0)-IFERROR(VLOOKUP($B261,'Slutlig allokering kvv'!$B$2:$BX$550,MATCH(L$2,'Slutlig allokering kvv'!$B$1:$BX$1,0),FALSE)/1,0))</f>
        <v/>
      </c>
      <c r="M261" s="31" t="str">
        <f>IF($D261="","",IFERROR(VLOOKUP($B261,Kraftvärmeprod!$B$1:$BX$550,MATCH(M$2,Kraftvärmeprod!$B$1:$VX$1,0),FALSE)/1,0)-IFERROR(VLOOKUP($B261,'Slutlig allokering kvv'!$B$2:$BX$550,MATCH(M$2,'Slutlig allokering kvv'!$B$1:$BX$1,0),FALSE)/1,0))</f>
        <v/>
      </c>
      <c r="N261" s="31" t="str">
        <f>IF($D261="","",IFERROR(VLOOKUP($B261,Kraftvärmeprod!$B$1:$BX$550,MATCH(N$2,Kraftvärmeprod!$B$1:$VX$1,0),FALSE)/1,0)-IFERROR(VLOOKUP($B261,'Slutlig allokering kvv'!$B$2:$BX$550,MATCH(N$2,'Slutlig allokering kvv'!$B$1:$BX$1,0),FALSE)/1,0))</f>
        <v/>
      </c>
      <c r="O261" s="31" t="str">
        <f>IF($D261="","",IFERROR(VLOOKUP($B261,Kraftvärmeprod!$B$1:$BX$550,MATCH(O$2,Kraftvärmeprod!$B$1:$VX$1,0),FALSE)/1,0)-IFERROR(VLOOKUP($B261,'Slutlig allokering kvv'!$B$2:$BX$550,MATCH(O$2,'Slutlig allokering kvv'!$B$1:$BX$1,0),FALSE)/1,0))</f>
        <v/>
      </c>
      <c r="P261" s="31" t="str">
        <f>IF($D261="","",IFERROR(VLOOKUP($B261,Kraftvärmeprod!$B$1:$BX$550,MATCH(P$2,Kraftvärmeprod!$B$1:$VX$1,0),FALSE)/1,0)-IFERROR(VLOOKUP($B261,'Slutlig allokering kvv'!$B$2:$BX$550,MATCH(P$2,'Slutlig allokering kvv'!$B$1:$BX$1,0),FALSE)/1,0))</f>
        <v/>
      </c>
      <c r="Q261" s="31" t="str">
        <f>IF($D261="","",IFERROR(VLOOKUP($B261,Kraftvärmeprod!$B$1:$BX$550,MATCH(Q$2,Kraftvärmeprod!$B$1:$VX$1,0),FALSE)/1,0)-IFERROR(VLOOKUP($B261,'Slutlig allokering kvv'!$B$2:$BX$550,MATCH(Q$2,'Slutlig allokering kvv'!$B$1:$BX$1,0),FALSE)/1,0))</f>
        <v/>
      </c>
      <c r="R261" s="31" t="str">
        <f>IF($D261="","",IFERROR(VLOOKUP($B261,Kraftvärmeprod!$B$1:$BX$550,MATCH(R$2,Kraftvärmeprod!$B$1:$VX$1,0),FALSE)/1,0)-IFERROR(VLOOKUP($B261,'Slutlig allokering kvv'!$B$2:$BX$550,MATCH(R$2,'Slutlig allokering kvv'!$B$1:$BX$1,0),FALSE)/1,0))</f>
        <v/>
      </c>
      <c r="S261" s="31" t="str">
        <f>IF($D261="","",IFERROR(VLOOKUP($B261,Kraftvärmeprod!$B$1:$BX$550,MATCH(S$2,Kraftvärmeprod!$B$1:$VX$1,0),FALSE)/1,0)-IFERROR(VLOOKUP($B261,'Slutlig allokering kvv'!$B$2:$BX$550,MATCH(S$2,'Slutlig allokering kvv'!$B$1:$BX$1,0),FALSE)/1,0))</f>
        <v/>
      </c>
      <c r="T261" s="31" t="str">
        <f>IF($D261="","",IFERROR(VLOOKUP($B261,Kraftvärmeprod!$B$1:$BX$550,MATCH(T$2,Kraftvärmeprod!$B$1:$VX$1,0),FALSE)/1,0)-IFERROR(VLOOKUP($B261,'Slutlig allokering kvv'!$B$2:$BX$550,MATCH(T$2,'Slutlig allokering kvv'!$B$1:$BX$1,0),FALSE)/1,0))</f>
        <v/>
      </c>
      <c r="U261" s="31" t="str">
        <f>IF($D261="","",IFERROR(VLOOKUP($B261,Kraftvärmeprod!$B$1:$BX$550,MATCH(U$2,Kraftvärmeprod!$B$1:$VX$1,0),FALSE)/1,0)-IFERROR(VLOOKUP($B261,'Slutlig allokering kvv'!$B$2:$BX$550,MATCH(U$2,'Slutlig allokering kvv'!$B$1:$BX$1,0),FALSE)/1,0))</f>
        <v/>
      </c>
      <c r="V261" s="31" t="str">
        <f>IF($D261="","",IFERROR(VLOOKUP($B261,Kraftvärmeprod!$B$1:$BX$550,MATCH(V$2,Kraftvärmeprod!$B$1:$VX$1,0),FALSE)/1,0)-IFERROR(VLOOKUP($B261,'Slutlig allokering kvv'!$B$2:$BX$550,MATCH(V$2,'Slutlig allokering kvv'!$B$1:$BX$1,0),FALSE)/1,0))</f>
        <v/>
      </c>
      <c r="W261" s="31" t="str">
        <f>IF($D261="","",IFERROR(VLOOKUP($B261,Kraftvärmeprod!$B$1:$BX$550,MATCH(W$2,Kraftvärmeprod!$B$1:$VX$1,0),FALSE)/1,0)-IFERROR(VLOOKUP($B261,'Slutlig allokering kvv'!$B$2:$BX$550,MATCH(W$2,'Slutlig allokering kvv'!$B$1:$BX$1,0),FALSE)/1,0))</f>
        <v/>
      </c>
      <c r="X261" s="31" t="str">
        <f>IF($D261="","",IFERROR(VLOOKUP($B261,Kraftvärmeprod!$B$1:$BX$550,MATCH(X$2,Kraftvärmeprod!$B$1:$VX$1,0),FALSE)/1,0)-IFERROR(VLOOKUP($B261,'Slutlig allokering kvv'!$B$2:$BX$550,MATCH(X$2,'Slutlig allokering kvv'!$B$1:$BX$1,0),FALSE)/1,0))</f>
        <v/>
      </c>
      <c r="Y261" s="31" t="str">
        <f>IF($D261="","",IFERROR(VLOOKUP($B261,Kraftvärmeprod!$B$1:$BX$550,MATCH(Y$2,Kraftvärmeprod!$B$1:$VX$1,0),FALSE)/1,0)-IFERROR(VLOOKUP($B261,'Slutlig allokering kvv'!$B$2:$BX$550,MATCH(Y$2,'Slutlig allokering kvv'!$B$1:$BX$1,0),FALSE)/1,0))</f>
        <v/>
      </c>
      <c r="Z261" s="31" t="str">
        <f>IF($D261="","",IFERROR(VLOOKUP($B261,Kraftvärmeprod!$B$1:$BX$550,MATCH(Z$2,Kraftvärmeprod!$B$1:$VX$1,0),FALSE)/1,0)-IFERROR(VLOOKUP($B261,'Slutlig allokering kvv'!$B$2:$BX$550,MATCH(Z$2,'Slutlig allokering kvv'!$B$1:$BX$1,0),FALSE)/1,0))</f>
        <v/>
      </c>
      <c r="AA261" s="31" t="str">
        <f>IF($D261="","",IFERROR(VLOOKUP($B261,Kraftvärmeprod!$B$1:$BX$550,MATCH(AA$2,Kraftvärmeprod!$B$1:$VX$1,0),FALSE)/1,0)-IFERROR(VLOOKUP($B261,'Slutlig allokering kvv'!$B$2:$BX$550,MATCH(AA$2,'Slutlig allokering kvv'!$B$1:$BX$1,0),FALSE)/1,0))</f>
        <v/>
      </c>
      <c r="AB261" s="31" t="str">
        <f>IF($D261="","",IFERROR(VLOOKUP($B261,Kraftvärmeprod!$B$1:$BX$550,MATCH(AB$2,Kraftvärmeprod!$B$1:$VX$1,0),FALSE)/1,0)-IFERROR(VLOOKUP($B261,'Slutlig allokering kvv'!$B$2:$BX$550,MATCH(AB$2,'Slutlig allokering kvv'!$B$1:$BX$1,0),FALSE)/1,0))</f>
        <v/>
      </c>
      <c r="AC261" s="31" t="str">
        <f>IF($D261="","",IFERROR(VLOOKUP($B261,Kraftvärmeprod!$B$1:$BX$550,MATCH(AC$2,Kraftvärmeprod!$B$1:$VX$1,0),FALSE)/1,0)-IFERROR(VLOOKUP($B261,'Slutlig allokering kvv'!$B$2:$BX$550,MATCH(AC$2,'Slutlig allokering kvv'!$B$1:$BX$1,0),FALSE)/1,0))</f>
        <v/>
      </c>
      <c r="AD261" s="31" t="str">
        <f>IF($D261="","",IFERROR(VLOOKUP($B261,Kraftvärmeprod!$B$1:$BX$550,MATCH(AD$2,Kraftvärmeprod!$B$1:$VX$1,0),FALSE)/1,0)-IFERROR(VLOOKUP($B261,'Slutlig allokering kvv'!$B$2:$BX$550,MATCH(AD$2,'Slutlig allokering kvv'!$B$1:$BX$1,0),FALSE)/1,0))</f>
        <v/>
      </c>
      <c r="AE261" s="31" t="str">
        <f>IF($D261="","",IFERROR(VLOOKUP($B261,Miljö!$B$1:$E$550,MATCH("Hjälpel kraftvärme (GWh)",Miljö!$B$1:$E$1,0),FALSE)/1,0)-IFERROR(VLOOKUP($B261,'Slutlig allokering kvv'!$B$2:$BX$549,MATCH(AE$2,'Slutlig allokering kvv'!$B$1:$BX$1,0),FALSE)/1,0))</f>
        <v/>
      </c>
      <c r="AI261" s="39">
        <f t="shared" si="16"/>
        <v>0</v>
      </c>
      <c r="AK261" s="31">
        <f>IFERROR(VLOOKUP($B261,'Slutlig allokering kvv'!$B$2:$AX$549,MATCH("Summa slutlig allokerad tillförd energi (utan hjälpel och rökgaskondensering):",'Slutlig allokering kvv'!$B$1:$AX$1,0),FALSE)/1,"")</f>
        <v>0</v>
      </c>
      <c r="AM261" s="31" t="str">
        <f>IFERROR(1-VLOOKUP($B261,'Slutlig allokering kvv'!$B$2:$AX$549,MATCH("Andel av bränsle i kvv som allokerats till värme, exklusive rökgaskondensering och hjälpel",'Slutlig allokering kvv'!$B$1:$AX$1,0),FALSE),"")</f>
        <v/>
      </c>
      <c r="AO261" s="31" t="str">
        <f t="shared" si="17"/>
        <v/>
      </c>
      <c r="AP261" s="31" t="str">
        <f t="shared" si="18"/>
        <v/>
      </c>
      <c r="AR261" s="32" t="str">
        <f t="shared" si="19"/>
        <v/>
      </c>
    </row>
    <row r="262" spans="1:44" s="31" customFormat="1" x14ac:dyDescent="0.45">
      <c r="A262" s="31" t="s">
        <v>297</v>
      </c>
      <c r="B262" s="31" t="s">
        <v>296</v>
      </c>
      <c r="C262" s="31">
        <f>IFERROR(VLOOKUP($B262,Kraftvärmeprod!$B$1:$AH$479,MATCH(C$2,Kraftvärmeprod!$B$1:$AG$1,0),FALSE)/1,"")</f>
        <v>541.33199999999999</v>
      </c>
      <c r="D262" s="31">
        <f>IFERROR(VLOOKUP($B262,Kraftvärmeprod!$B$1:$AH$479,MATCH(D$2,Kraftvärmeprod!$B$1:$AG$1,0),FALSE)/1,"")</f>
        <v>270.173</v>
      </c>
      <c r="F262" s="31">
        <f>IF($D262="","",IFERROR(VLOOKUP($B262,Kraftvärmeprod!$B$1:$BX$550,MATCH(F$2,Kraftvärmeprod!$B$1:$VX$1,0),FALSE)/1,0)-IFERROR(VLOOKUP($B262,'Slutlig allokering kvv'!$B$2:$BX$550,MATCH(F$2,'Slutlig allokering kvv'!$B$1:$BX$1,0),FALSE)/1,0))</f>
        <v>0</v>
      </c>
      <c r="G262" s="31">
        <f>IF($D262="","",IFERROR(VLOOKUP($B262,Kraftvärmeprod!$B$1:$BX$550,MATCH(G$2,Kraftvärmeprod!$B$1:$VX$1,0),FALSE)/1,0)-IFERROR(VLOOKUP($B262,'Slutlig allokering kvv'!$B$2:$BX$550,MATCH(G$2,'Slutlig allokering kvv'!$B$1:$BX$1,0),FALSE)/1,0))</f>
        <v>0.70281400000000005</v>
      </c>
      <c r="H262" s="31">
        <f>IF($D262="","",IFERROR(VLOOKUP($B262,Kraftvärmeprod!$B$1:$BX$550,MATCH(H$2,Kraftvärmeprod!$B$1:$VX$1,0),FALSE)/1,0)-IFERROR(VLOOKUP($B262,'Slutlig allokering kvv'!$B$2:$BX$550,MATCH(H$2,'Slutlig allokering kvv'!$B$1:$BX$1,0),FALSE)/1,0))</f>
        <v>0</v>
      </c>
      <c r="I262" s="31">
        <f>IF($D262="","",IFERROR(VLOOKUP($B262,Kraftvärmeprod!$B$1:$BX$550,MATCH(I$2,Kraftvärmeprod!$B$1:$VX$1,0),FALSE)/1,0)-IFERROR(VLOOKUP($B262,'Slutlig allokering kvv'!$B$2:$BX$550,MATCH(I$2,'Slutlig allokering kvv'!$B$1:$BX$1,0),FALSE)/1,0))</f>
        <v>0</v>
      </c>
      <c r="J262" s="31">
        <f>IF($D262="","",IFERROR(VLOOKUP($B262,Kraftvärmeprod!$B$1:$BX$550,MATCH(J$2,Kraftvärmeprod!$B$1:$VX$1,0),FALSE)/1,0)-IFERROR(VLOOKUP($B262,'Slutlig allokering kvv'!$B$2:$BX$550,MATCH(J$2,'Slutlig allokering kvv'!$B$1:$BX$1,0),FALSE)/1,0))</f>
        <v>0</v>
      </c>
      <c r="K262" s="31">
        <f>IF($D262="","",IFERROR(VLOOKUP($B262,Kraftvärmeprod!$B$1:$BX$550,MATCH(K$2,Kraftvärmeprod!$B$1:$VX$1,0),FALSE)/1,0)-IFERROR(VLOOKUP($B262,'Slutlig allokering kvv'!$B$2:$BX$550,MATCH(K$2,'Slutlig allokering kvv'!$B$1:$BX$1,0),FALSE)/1,0))</f>
        <v>0</v>
      </c>
      <c r="L262" s="31">
        <f>IF($D262="","",IFERROR(VLOOKUP($B262,Kraftvärmeprod!$B$1:$BX$550,MATCH(L$2,Kraftvärmeprod!$B$1:$VX$1,0),FALSE)/1,0)-IFERROR(VLOOKUP($B262,'Slutlig allokering kvv'!$B$2:$BX$550,MATCH(L$2,'Slutlig allokering kvv'!$B$1:$BX$1,0),FALSE)/1,0))</f>
        <v>10.950099999999999</v>
      </c>
      <c r="M262" s="31">
        <f>IF($D262="","",IFERROR(VLOOKUP($B262,Kraftvärmeprod!$B$1:$BX$550,MATCH(M$2,Kraftvärmeprod!$B$1:$VX$1,0),FALSE)/1,0)-IFERROR(VLOOKUP($B262,'Slutlig allokering kvv'!$B$2:$BX$550,MATCH(M$2,'Slutlig allokering kvv'!$B$1:$BX$1,0),FALSE)/1,0))</f>
        <v>3.1659100000000003E-2</v>
      </c>
      <c r="N262" s="31">
        <f>IF($D262="","",IFERROR(VLOOKUP($B262,Kraftvärmeprod!$B$1:$BX$550,MATCH(N$2,Kraftvärmeprod!$B$1:$VX$1,0),FALSE)/1,0)-IFERROR(VLOOKUP($B262,'Slutlig allokering kvv'!$B$2:$BX$550,MATCH(N$2,'Slutlig allokering kvv'!$B$1:$BX$1,0),FALSE)/1,0))</f>
        <v>48.092500000000001</v>
      </c>
      <c r="O262" s="31">
        <f>IF($D262="","",IFERROR(VLOOKUP($B262,Kraftvärmeprod!$B$1:$BX$550,MATCH(O$2,Kraftvärmeprod!$B$1:$VX$1,0),FALSE)/1,0)-IFERROR(VLOOKUP($B262,'Slutlig allokering kvv'!$B$2:$BX$550,MATCH(O$2,'Slutlig allokering kvv'!$B$1:$BX$1,0),FALSE)/1,0))</f>
        <v>91.076499999999996</v>
      </c>
      <c r="P262" s="31">
        <f>IF($D262="","",IFERROR(VLOOKUP($B262,Kraftvärmeprod!$B$1:$BX$550,MATCH(P$2,Kraftvärmeprod!$B$1:$VX$1,0),FALSE)/1,0)-IFERROR(VLOOKUP($B262,'Slutlig allokering kvv'!$B$2:$BX$550,MATCH(P$2,'Slutlig allokering kvv'!$B$1:$BX$1,0),FALSE)/1,0))</f>
        <v>0</v>
      </c>
      <c r="Q262" s="31">
        <f>IF($D262="","",IFERROR(VLOOKUP($B262,Kraftvärmeprod!$B$1:$BX$550,MATCH(Q$2,Kraftvärmeprod!$B$1:$VX$1,0),FALSE)/1,0)-IFERROR(VLOOKUP($B262,'Slutlig allokering kvv'!$B$2:$BX$550,MATCH(Q$2,'Slutlig allokering kvv'!$B$1:$BX$1,0),FALSE)/1,0))</f>
        <v>1.1193759999999999</v>
      </c>
      <c r="R262" s="31">
        <f>IF($D262="","",IFERROR(VLOOKUP($B262,Kraftvärmeprod!$B$1:$BX$550,MATCH(R$2,Kraftvärmeprod!$B$1:$VX$1,0),FALSE)/1,0)-IFERROR(VLOOKUP($B262,'Slutlig allokering kvv'!$B$2:$BX$550,MATCH(R$2,'Slutlig allokering kvv'!$B$1:$BX$1,0),FALSE)/1,0))</f>
        <v>0</v>
      </c>
      <c r="S262" s="31">
        <f>IF($D262="","",IFERROR(VLOOKUP($B262,Kraftvärmeprod!$B$1:$BX$550,MATCH(S$2,Kraftvärmeprod!$B$1:$VX$1,0),FALSE)/1,0)-IFERROR(VLOOKUP($B262,'Slutlig allokering kvv'!$B$2:$BX$550,MATCH(S$2,'Slutlig allokering kvv'!$B$1:$BX$1,0),FALSE)/1,0))</f>
        <v>0</v>
      </c>
      <c r="T262" s="31">
        <f>IF($D262="","",IFERROR(VLOOKUP($B262,Kraftvärmeprod!$B$1:$BX$550,MATCH(T$2,Kraftvärmeprod!$B$1:$VX$1,0),FALSE)/1,0)-IFERROR(VLOOKUP($B262,'Slutlig allokering kvv'!$B$2:$BX$550,MATCH(T$2,'Slutlig allokering kvv'!$B$1:$BX$1,0),FALSE)/1,0))</f>
        <v>0</v>
      </c>
      <c r="U262" s="31">
        <f>IF($D262="","",IFERROR(VLOOKUP($B262,Kraftvärmeprod!$B$1:$BX$550,MATCH(U$2,Kraftvärmeprod!$B$1:$VX$1,0),FALSE)/1,0)-IFERROR(VLOOKUP($B262,'Slutlig allokering kvv'!$B$2:$BX$550,MATCH(U$2,'Slutlig allokering kvv'!$B$1:$BX$1,0),FALSE)/1,0))</f>
        <v>0</v>
      </c>
      <c r="V262" s="31">
        <f>IF($D262="","",IFERROR(VLOOKUP($B262,Kraftvärmeprod!$B$1:$BX$550,MATCH(V$2,Kraftvärmeprod!$B$1:$VX$1,0),FALSE)/1,0)-IFERROR(VLOOKUP($B262,'Slutlig allokering kvv'!$B$2:$BX$550,MATCH(V$2,'Slutlig allokering kvv'!$B$1:$BX$1,0),FALSE)/1,0))</f>
        <v>348.13999999999993</v>
      </c>
      <c r="W262" s="31">
        <f>IF($D262="","",IFERROR(VLOOKUP($B262,Kraftvärmeprod!$B$1:$BX$550,MATCH(W$2,Kraftvärmeprod!$B$1:$VX$1,0),FALSE)/1,0)-IFERROR(VLOOKUP($B262,'Slutlig allokering kvv'!$B$2:$BX$550,MATCH(W$2,'Slutlig allokering kvv'!$B$1:$BX$1,0),FALSE)/1,0))</f>
        <v>0</v>
      </c>
      <c r="X262" s="31">
        <f>IF($D262="","",IFERROR(VLOOKUP($B262,Kraftvärmeprod!$B$1:$BX$550,MATCH(X$2,Kraftvärmeprod!$B$1:$VX$1,0),FALSE)/1,0)-IFERROR(VLOOKUP($B262,'Slutlig allokering kvv'!$B$2:$BX$550,MATCH(X$2,'Slutlig allokering kvv'!$B$1:$BX$1,0),FALSE)/1,0))</f>
        <v>0</v>
      </c>
      <c r="Y262" s="31">
        <f>IF($D262="","",IFERROR(VLOOKUP($B262,Kraftvärmeprod!$B$1:$BX$550,MATCH(Y$2,Kraftvärmeprod!$B$1:$VX$1,0),FALSE)/1,0)-IFERROR(VLOOKUP($B262,'Slutlig allokering kvv'!$B$2:$BX$550,MATCH(Y$2,'Slutlig allokering kvv'!$B$1:$BX$1,0),FALSE)/1,0))</f>
        <v>0</v>
      </c>
      <c r="Z262" s="31">
        <f>IF($D262="","",IFERROR(VLOOKUP($B262,Kraftvärmeprod!$B$1:$BX$550,MATCH(Z$2,Kraftvärmeprod!$B$1:$VX$1,0),FALSE)/1,0)-IFERROR(VLOOKUP($B262,'Slutlig allokering kvv'!$B$2:$BX$550,MATCH(Z$2,'Slutlig allokering kvv'!$B$1:$BX$1,0),FALSE)/1,0))</f>
        <v>0</v>
      </c>
      <c r="AA262" s="31">
        <f>IF($D262="","",IFERROR(VLOOKUP($B262,Kraftvärmeprod!$B$1:$BX$550,MATCH(AA$2,Kraftvärmeprod!$B$1:$VX$1,0),FALSE)/1,0)-IFERROR(VLOOKUP($B262,'Slutlig allokering kvv'!$B$2:$BX$550,MATCH(AA$2,'Slutlig allokering kvv'!$B$1:$BX$1,0),FALSE)/1,0))</f>
        <v>30.011599999999998</v>
      </c>
      <c r="AB262" s="31">
        <f>IF($D262="","",IFERROR(VLOOKUP($B262,Kraftvärmeprod!$B$1:$BX$550,MATCH(AB$2,Kraftvärmeprod!$B$1:$VX$1,0),FALSE)/1,0)-IFERROR(VLOOKUP($B262,'Slutlig allokering kvv'!$B$2:$BX$550,MATCH(AB$2,'Slutlig allokering kvv'!$B$1:$BX$1,0),FALSE)/1,0))</f>
        <v>0</v>
      </c>
      <c r="AC262" s="31">
        <f>IF($D262="","",IFERROR(VLOOKUP($B262,Kraftvärmeprod!$B$1:$BX$550,MATCH(AC$2,Kraftvärmeprod!$B$1:$VX$1,0),FALSE)/1,0)-IFERROR(VLOOKUP($B262,'Slutlig allokering kvv'!$B$2:$BX$550,MATCH(AC$2,'Slutlig allokering kvv'!$B$1:$BX$1,0),FALSE)/1,0))</f>
        <v>0</v>
      </c>
      <c r="AD262" s="31">
        <f>IF($D262="","",IFERROR(VLOOKUP($B262,Kraftvärmeprod!$B$1:$BX$550,MATCH(AD$2,Kraftvärmeprod!$B$1:$VX$1,0),FALSE)/1,0)-IFERROR(VLOOKUP($B262,'Slutlig allokering kvv'!$B$2:$BX$550,MATCH(AD$2,'Slutlig allokering kvv'!$B$1:$BX$1,0),FALSE)/1,0))</f>
        <v>0</v>
      </c>
      <c r="AE262" s="31">
        <f>IF($D262="","",IFERROR(VLOOKUP($B262,Miljö!$B$1:$E$550,MATCH("Hjälpel kraftvärme (GWh)",Miljö!$B$1:$E$1,0),FALSE)/1,0)-IFERROR(VLOOKUP($B262,'Slutlig allokering kvv'!$B$2:$BX$549,MATCH(AE$2,'Slutlig allokering kvv'!$B$1:$BX$1,0),FALSE)/1,0))</f>
        <v>18.4741</v>
      </c>
      <c r="AI262" s="39">
        <f t="shared" si="16"/>
        <v>530.12454909999997</v>
      </c>
      <c r="AK262" s="31">
        <f>IFERROR(VLOOKUP($B262,'Slutlig allokering kvv'!$B$2:$AX$549,MATCH("Summa slutlig allokerad tillförd energi (utan hjälpel och rökgaskondensering):",'Slutlig allokering kvv'!$B$1:$AX$1,0),FALSE)/1,"")</f>
        <v>403.45545090000007</v>
      </c>
      <c r="AM262" s="31">
        <f>IFERROR(1-VLOOKUP($B262,'Slutlig allokering kvv'!$B$2:$AX$549,MATCH("Andel av bränsle i kvv som allokerats till värme, exklusive rökgaskondensering och hjälpel",'Slutlig allokering kvv'!$B$1:$AX$1,0),FALSE),"")</f>
        <v>0.56784051618500819</v>
      </c>
      <c r="AO262" s="31">
        <f t="shared" si="17"/>
        <v>0.56784051618500819</v>
      </c>
      <c r="AP262" s="31">
        <f t="shared" si="18"/>
        <v>0</v>
      </c>
      <c r="AR262" s="32">
        <f t="shared" si="19"/>
        <v>0.49247842743184039</v>
      </c>
    </row>
    <row r="263" spans="1:44" s="31" customFormat="1" x14ac:dyDescent="0.45">
      <c r="A263" s="31" t="s">
        <v>295</v>
      </c>
      <c r="B263" s="31" t="s">
        <v>127</v>
      </c>
      <c r="C263" s="31" t="str">
        <f>IFERROR(VLOOKUP($B263,Kraftvärmeprod!$B$1:$AH$479,MATCH(C$2,Kraftvärmeprod!$B$1:$AG$1,0),FALSE)/1,"")</f>
        <v/>
      </c>
      <c r="D263" s="31" t="str">
        <f>IFERROR(VLOOKUP($B263,Kraftvärmeprod!$B$1:$AH$479,MATCH(D$2,Kraftvärmeprod!$B$1:$AG$1,0),FALSE)/1,"")</f>
        <v/>
      </c>
      <c r="F263" s="31" t="str">
        <f>IF($D263="","",IFERROR(VLOOKUP($B263,Kraftvärmeprod!$B$1:$BX$550,MATCH(F$2,Kraftvärmeprod!$B$1:$VX$1,0),FALSE)/1,0)-IFERROR(VLOOKUP($B263,'Slutlig allokering kvv'!$B$2:$BX$550,MATCH(F$2,'Slutlig allokering kvv'!$B$1:$BX$1,0),FALSE)/1,0))</f>
        <v/>
      </c>
      <c r="G263" s="31" t="str">
        <f>IF($D263="","",IFERROR(VLOOKUP($B263,Kraftvärmeprod!$B$1:$BX$550,MATCH(G$2,Kraftvärmeprod!$B$1:$VX$1,0),FALSE)/1,0)-IFERROR(VLOOKUP($B263,'Slutlig allokering kvv'!$B$2:$BX$550,MATCH(G$2,'Slutlig allokering kvv'!$B$1:$BX$1,0),FALSE)/1,0))</f>
        <v/>
      </c>
      <c r="H263" s="31" t="str">
        <f>IF($D263="","",IFERROR(VLOOKUP($B263,Kraftvärmeprod!$B$1:$BX$550,MATCH(H$2,Kraftvärmeprod!$B$1:$VX$1,0),FALSE)/1,0)-IFERROR(VLOOKUP($B263,'Slutlig allokering kvv'!$B$2:$BX$550,MATCH(H$2,'Slutlig allokering kvv'!$B$1:$BX$1,0),FALSE)/1,0))</f>
        <v/>
      </c>
      <c r="I263" s="31" t="str">
        <f>IF($D263="","",IFERROR(VLOOKUP($B263,Kraftvärmeprod!$B$1:$BX$550,MATCH(I$2,Kraftvärmeprod!$B$1:$VX$1,0),FALSE)/1,0)-IFERROR(VLOOKUP($B263,'Slutlig allokering kvv'!$B$2:$BX$550,MATCH(I$2,'Slutlig allokering kvv'!$B$1:$BX$1,0),FALSE)/1,0))</f>
        <v/>
      </c>
      <c r="J263" s="31" t="str">
        <f>IF($D263="","",IFERROR(VLOOKUP($B263,Kraftvärmeprod!$B$1:$BX$550,MATCH(J$2,Kraftvärmeprod!$B$1:$VX$1,0),FALSE)/1,0)-IFERROR(VLOOKUP($B263,'Slutlig allokering kvv'!$B$2:$BX$550,MATCH(J$2,'Slutlig allokering kvv'!$B$1:$BX$1,0),FALSE)/1,0))</f>
        <v/>
      </c>
      <c r="K263" s="31" t="str">
        <f>IF($D263="","",IFERROR(VLOOKUP($B263,Kraftvärmeprod!$B$1:$BX$550,MATCH(K$2,Kraftvärmeprod!$B$1:$VX$1,0),FALSE)/1,0)-IFERROR(VLOOKUP($B263,'Slutlig allokering kvv'!$B$2:$BX$550,MATCH(K$2,'Slutlig allokering kvv'!$B$1:$BX$1,0),FALSE)/1,0))</f>
        <v/>
      </c>
      <c r="L263" s="31" t="str">
        <f>IF($D263="","",IFERROR(VLOOKUP($B263,Kraftvärmeprod!$B$1:$BX$550,MATCH(L$2,Kraftvärmeprod!$B$1:$VX$1,0),FALSE)/1,0)-IFERROR(VLOOKUP($B263,'Slutlig allokering kvv'!$B$2:$BX$550,MATCH(L$2,'Slutlig allokering kvv'!$B$1:$BX$1,0),FALSE)/1,0))</f>
        <v/>
      </c>
      <c r="M263" s="31" t="str">
        <f>IF($D263="","",IFERROR(VLOOKUP($B263,Kraftvärmeprod!$B$1:$BX$550,MATCH(M$2,Kraftvärmeprod!$B$1:$VX$1,0),FALSE)/1,0)-IFERROR(VLOOKUP($B263,'Slutlig allokering kvv'!$B$2:$BX$550,MATCH(M$2,'Slutlig allokering kvv'!$B$1:$BX$1,0),FALSE)/1,0))</f>
        <v/>
      </c>
      <c r="N263" s="31" t="str">
        <f>IF($D263="","",IFERROR(VLOOKUP($B263,Kraftvärmeprod!$B$1:$BX$550,MATCH(N$2,Kraftvärmeprod!$B$1:$VX$1,0),FALSE)/1,0)-IFERROR(VLOOKUP($B263,'Slutlig allokering kvv'!$B$2:$BX$550,MATCH(N$2,'Slutlig allokering kvv'!$B$1:$BX$1,0),FALSE)/1,0))</f>
        <v/>
      </c>
      <c r="O263" s="31" t="str">
        <f>IF($D263="","",IFERROR(VLOOKUP($B263,Kraftvärmeprod!$B$1:$BX$550,MATCH(O$2,Kraftvärmeprod!$B$1:$VX$1,0),FALSE)/1,0)-IFERROR(VLOOKUP($B263,'Slutlig allokering kvv'!$B$2:$BX$550,MATCH(O$2,'Slutlig allokering kvv'!$B$1:$BX$1,0),FALSE)/1,0))</f>
        <v/>
      </c>
      <c r="P263" s="31" t="str">
        <f>IF($D263="","",IFERROR(VLOOKUP($B263,Kraftvärmeprod!$B$1:$BX$550,MATCH(P$2,Kraftvärmeprod!$B$1:$VX$1,0),FALSE)/1,0)-IFERROR(VLOOKUP($B263,'Slutlig allokering kvv'!$B$2:$BX$550,MATCH(P$2,'Slutlig allokering kvv'!$B$1:$BX$1,0),FALSE)/1,0))</f>
        <v/>
      </c>
      <c r="Q263" s="31" t="str">
        <f>IF($D263="","",IFERROR(VLOOKUP($B263,Kraftvärmeprod!$B$1:$BX$550,MATCH(Q$2,Kraftvärmeprod!$B$1:$VX$1,0),FALSE)/1,0)-IFERROR(VLOOKUP($B263,'Slutlig allokering kvv'!$B$2:$BX$550,MATCH(Q$2,'Slutlig allokering kvv'!$B$1:$BX$1,0),FALSE)/1,0))</f>
        <v/>
      </c>
      <c r="R263" s="31" t="str">
        <f>IF($D263="","",IFERROR(VLOOKUP($B263,Kraftvärmeprod!$B$1:$BX$550,MATCH(R$2,Kraftvärmeprod!$B$1:$VX$1,0),FALSE)/1,0)-IFERROR(VLOOKUP($B263,'Slutlig allokering kvv'!$B$2:$BX$550,MATCH(R$2,'Slutlig allokering kvv'!$B$1:$BX$1,0),FALSE)/1,0))</f>
        <v/>
      </c>
      <c r="S263" s="31" t="str">
        <f>IF($D263="","",IFERROR(VLOOKUP($B263,Kraftvärmeprod!$B$1:$BX$550,MATCH(S$2,Kraftvärmeprod!$B$1:$VX$1,0),FALSE)/1,0)-IFERROR(VLOOKUP($B263,'Slutlig allokering kvv'!$B$2:$BX$550,MATCH(S$2,'Slutlig allokering kvv'!$B$1:$BX$1,0),FALSE)/1,0))</f>
        <v/>
      </c>
      <c r="T263" s="31" t="str">
        <f>IF($D263="","",IFERROR(VLOOKUP($B263,Kraftvärmeprod!$B$1:$BX$550,MATCH(T$2,Kraftvärmeprod!$B$1:$VX$1,0),FALSE)/1,0)-IFERROR(VLOOKUP($B263,'Slutlig allokering kvv'!$B$2:$BX$550,MATCH(T$2,'Slutlig allokering kvv'!$B$1:$BX$1,0),FALSE)/1,0))</f>
        <v/>
      </c>
      <c r="U263" s="31" t="str">
        <f>IF($D263="","",IFERROR(VLOOKUP($B263,Kraftvärmeprod!$B$1:$BX$550,MATCH(U$2,Kraftvärmeprod!$B$1:$VX$1,0),FALSE)/1,0)-IFERROR(VLOOKUP($B263,'Slutlig allokering kvv'!$B$2:$BX$550,MATCH(U$2,'Slutlig allokering kvv'!$B$1:$BX$1,0),FALSE)/1,0))</f>
        <v/>
      </c>
      <c r="V263" s="31" t="str">
        <f>IF($D263="","",IFERROR(VLOOKUP($B263,Kraftvärmeprod!$B$1:$BX$550,MATCH(V$2,Kraftvärmeprod!$B$1:$VX$1,0),FALSE)/1,0)-IFERROR(VLOOKUP($B263,'Slutlig allokering kvv'!$B$2:$BX$550,MATCH(V$2,'Slutlig allokering kvv'!$B$1:$BX$1,0),FALSE)/1,0))</f>
        <v/>
      </c>
      <c r="W263" s="31" t="str">
        <f>IF($D263="","",IFERROR(VLOOKUP($B263,Kraftvärmeprod!$B$1:$BX$550,MATCH(W$2,Kraftvärmeprod!$B$1:$VX$1,0),FALSE)/1,0)-IFERROR(VLOOKUP($B263,'Slutlig allokering kvv'!$B$2:$BX$550,MATCH(W$2,'Slutlig allokering kvv'!$B$1:$BX$1,0),FALSE)/1,0))</f>
        <v/>
      </c>
      <c r="X263" s="31" t="str">
        <f>IF($D263="","",IFERROR(VLOOKUP($B263,Kraftvärmeprod!$B$1:$BX$550,MATCH(X$2,Kraftvärmeprod!$B$1:$VX$1,0),FALSE)/1,0)-IFERROR(VLOOKUP($B263,'Slutlig allokering kvv'!$B$2:$BX$550,MATCH(X$2,'Slutlig allokering kvv'!$B$1:$BX$1,0),FALSE)/1,0))</f>
        <v/>
      </c>
      <c r="Y263" s="31" t="str">
        <f>IF($D263="","",IFERROR(VLOOKUP($B263,Kraftvärmeprod!$B$1:$BX$550,MATCH(Y$2,Kraftvärmeprod!$B$1:$VX$1,0),FALSE)/1,0)-IFERROR(VLOOKUP($B263,'Slutlig allokering kvv'!$B$2:$BX$550,MATCH(Y$2,'Slutlig allokering kvv'!$B$1:$BX$1,0),FALSE)/1,0))</f>
        <v/>
      </c>
      <c r="Z263" s="31" t="str">
        <f>IF($D263="","",IFERROR(VLOOKUP($B263,Kraftvärmeprod!$B$1:$BX$550,MATCH(Z$2,Kraftvärmeprod!$B$1:$VX$1,0),FALSE)/1,0)-IFERROR(VLOOKUP($B263,'Slutlig allokering kvv'!$B$2:$BX$550,MATCH(Z$2,'Slutlig allokering kvv'!$B$1:$BX$1,0),FALSE)/1,0))</f>
        <v/>
      </c>
      <c r="AA263" s="31" t="str">
        <f>IF($D263="","",IFERROR(VLOOKUP($B263,Kraftvärmeprod!$B$1:$BX$550,MATCH(AA$2,Kraftvärmeprod!$B$1:$VX$1,0),FALSE)/1,0)-IFERROR(VLOOKUP($B263,'Slutlig allokering kvv'!$B$2:$BX$550,MATCH(AA$2,'Slutlig allokering kvv'!$B$1:$BX$1,0),FALSE)/1,0))</f>
        <v/>
      </c>
      <c r="AB263" s="31" t="str">
        <f>IF($D263="","",IFERROR(VLOOKUP($B263,Kraftvärmeprod!$B$1:$BX$550,MATCH(AB$2,Kraftvärmeprod!$B$1:$VX$1,0),FALSE)/1,0)-IFERROR(VLOOKUP($B263,'Slutlig allokering kvv'!$B$2:$BX$550,MATCH(AB$2,'Slutlig allokering kvv'!$B$1:$BX$1,0),FALSE)/1,0))</f>
        <v/>
      </c>
      <c r="AC263" s="31" t="str">
        <f>IF($D263="","",IFERROR(VLOOKUP($B263,Kraftvärmeprod!$B$1:$BX$550,MATCH(AC$2,Kraftvärmeprod!$B$1:$VX$1,0),FALSE)/1,0)-IFERROR(VLOOKUP($B263,'Slutlig allokering kvv'!$B$2:$BX$550,MATCH(AC$2,'Slutlig allokering kvv'!$B$1:$BX$1,0),FALSE)/1,0))</f>
        <v/>
      </c>
      <c r="AD263" s="31" t="str">
        <f>IF($D263="","",IFERROR(VLOOKUP($B263,Kraftvärmeprod!$B$1:$BX$550,MATCH(AD$2,Kraftvärmeprod!$B$1:$VX$1,0),FALSE)/1,0)-IFERROR(VLOOKUP($B263,'Slutlig allokering kvv'!$B$2:$BX$550,MATCH(AD$2,'Slutlig allokering kvv'!$B$1:$BX$1,0),FALSE)/1,0))</f>
        <v/>
      </c>
      <c r="AE263" s="31" t="str">
        <f>IF($D263="","",IFERROR(VLOOKUP($B263,Miljö!$B$1:$E$550,MATCH("Hjälpel kraftvärme (GWh)",Miljö!$B$1:$E$1,0),FALSE)/1,0)-IFERROR(VLOOKUP($B263,'Slutlig allokering kvv'!$B$2:$BX$549,MATCH(AE$2,'Slutlig allokering kvv'!$B$1:$BX$1,0),FALSE)/1,0))</f>
        <v/>
      </c>
      <c r="AI263" s="39">
        <f t="shared" si="16"/>
        <v>0</v>
      </c>
      <c r="AK263" s="31">
        <f>IFERROR(VLOOKUP($B263,'Slutlig allokering kvv'!$B$2:$AX$549,MATCH("Summa slutlig allokerad tillförd energi (utan hjälpel och rökgaskondensering):",'Slutlig allokering kvv'!$B$1:$AX$1,0),FALSE)/1,"")</f>
        <v>0</v>
      </c>
      <c r="AM263" s="31" t="str">
        <f>IFERROR(1-VLOOKUP($B263,'Slutlig allokering kvv'!$B$2:$AX$549,MATCH("Andel av bränsle i kvv som allokerats till värme, exklusive rökgaskondensering och hjälpel",'Slutlig allokering kvv'!$B$1:$AX$1,0),FALSE),"")</f>
        <v/>
      </c>
      <c r="AO263" s="31" t="str">
        <f t="shared" si="17"/>
        <v/>
      </c>
      <c r="AP263" s="31" t="str">
        <f t="shared" si="18"/>
        <v/>
      </c>
      <c r="AR263" s="32" t="str">
        <f t="shared" si="19"/>
        <v/>
      </c>
    </row>
    <row r="264" spans="1:44" s="31" customFormat="1" x14ac:dyDescent="0.45">
      <c r="A264" s="31" t="s">
        <v>289</v>
      </c>
      <c r="B264" s="31" t="s">
        <v>294</v>
      </c>
      <c r="C264" s="31" t="str">
        <f>IFERROR(VLOOKUP($B264,Kraftvärmeprod!$B$1:$AH$479,MATCH(C$2,Kraftvärmeprod!$B$1:$AG$1,0),FALSE)/1,"")</f>
        <v/>
      </c>
      <c r="D264" s="31" t="str">
        <f>IFERROR(VLOOKUP($B264,Kraftvärmeprod!$B$1:$AH$479,MATCH(D$2,Kraftvärmeprod!$B$1:$AG$1,0),FALSE)/1,"")</f>
        <v/>
      </c>
      <c r="F264" s="31" t="str">
        <f>IF($D264="","",IFERROR(VLOOKUP($B264,Kraftvärmeprod!$B$1:$BX$550,MATCH(F$2,Kraftvärmeprod!$B$1:$VX$1,0),FALSE)/1,0)-IFERROR(VLOOKUP($B264,'Slutlig allokering kvv'!$B$2:$BX$550,MATCH(F$2,'Slutlig allokering kvv'!$B$1:$BX$1,0),FALSE)/1,0))</f>
        <v/>
      </c>
      <c r="G264" s="31" t="str">
        <f>IF($D264="","",IFERROR(VLOOKUP($B264,Kraftvärmeprod!$B$1:$BX$550,MATCH(G$2,Kraftvärmeprod!$B$1:$VX$1,0),FALSE)/1,0)-IFERROR(VLOOKUP($B264,'Slutlig allokering kvv'!$B$2:$BX$550,MATCH(G$2,'Slutlig allokering kvv'!$B$1:$BX$1,0),FALSE)/1,0))</f>
        <v/>
      </c>
      <c r="H264" s="31" t="str">
        <f>IF($D264="","",IFERROR(VLOOKUP($B264,Kraftvärmeprod!$B$1:$BX$550,MATCH(H$2,Kraftvärmeprod!$B$1:$VX$1,0),FALSE)/1,0)-IFERROR(VLOOKUP($B264,'Slutlig allokering kvv'!$B$2:$BX$550,MATCH(H$2,'Slutlig allokering kvv'!$B$1:$BX$1,0),FALSE)/1,0))</f>
        <v/>
      </c>
      <c r="I264" s="31" t="str">
        <f>IF($D264="","",IFERROR(VLOOKUP($B264,Kraftvärmeprod!$B$1:$BX$550,MATCH(I$2,Kraftvärmeprod!$B$1:$VX$1,0),FALSE)/1,0)-IFERROR(VLOOKUP($B264,'Slutlig allokering kvv'!$B$2:$BX$550,MATCH(I$2,'Slutlig allokering kvv'!$B$1:$BX$1,0),FALSE)/1,0))</f>
        <v/>
      </c>
      <c r="J264" s="31" t="str">
        <f>IF($D264="","",IFERROR(VLOOKUP($B264,Kraftvärmeprod!$B$1:$BX$550,MATCH(J$2,Kraftvärmeprod!$B$1:$VX$1,0),FALSE)/1,0)-IFERROR(VLOOKUP($B264,'Slutlig allokering kvv'!$B$2:$BX$550,MATCH(J$2,'Slutlig allokering kvv'!$B$1:$BX$1,0),FALSE)/1,0))</f>
        <v/>
      </c>
      <c r="K264" s="31" t="str">
        <f>IF($D264="","",IFERROR(VLOOKUP($B264,Kraftvärmeprod!$B$1:$BX$550,MATCH(K$2,Kraftvärmeprod!$B$1:$VX$1,0),FALSE)/1,0)-IFERROR(VLOOKUP($B264,'Slutlig allokering kvv'!$B$2:$BX$550,MATCH(K$2,'Slutlig allokering kvv'!$B$1:$BX$1,0),FALSE)/1,0))</f>
        <v/>
      </c>
      <c r="L264" s="31" t="str">
        <f>IF($D264="","",IFERROR(VLOOKUP($B264,Kraftvärmeprod!$B$1:$BX$550,MATCH(L$2,Kraftvärmeprod!$B$1:$VX$1,0),FALSE)/1,0)-IFERROR(VLOOKUP($B264,'Slutlig allokering kvv'!$B$2:$BX$550,MATCH(L$2,'Slutlig allokering kvv'!$B$1:$BX$1,0),FALSE)/1,0))</f>
        <v/>
      </c>
      <c r="M264" s="31" t="str">
        <f>IF($D264="","",IFERROR(VLOOKUP($B264,Kraftvärmeprod!$B$1:$BX$550,MATCH(M$2,Kraftvärmeprod!$B$1:$VX$1,0),FALSE)/1,0)-IFERROR(VLOOKUP($B264,'Slutlig allokering kvv'!$B$2:$BX$550,MATCH(M$2,'Slutlig allokering kvv'!$B$1:$BX$1,0),FALSE)/1,0))</f>
        <v/>
      </c>
      <c r="N264" s="31" t="str">
        <f>IF($D264="","",IFERROR(VLOOKUP($B264,Kraftvärmeprod!$B$1:$BX$550,MATCH(N$2,Kraftvärmeprod!$B$1:$VX$1,0),FALSE)/1,0)-IFERROR(VLOOKUP($B264,'Slutlig allokering kvv'!$B$2:$BX$550,MATCH(N$2,'Slutlig allokering kvv'!$B$1:$BX$1,0),FALSE)/1,0))</f>
        <v/>
      </c>
      <c r="O264" s="31" t="str">
        <f>IF($D264="","",IFERROR(VLOOKUP($B264,Kraftvärmeprod!$B$1:$BX$550,MATCH(O$2,Kraftvärmeprod!$B$1:$VX$1,0),FALSE)/1,0)-IFERROR(VLOOKUP($B264,'Slutlig allokering kvv'!$B$2:$BX$550,MATCH(O$2,'Slutlig allokering kvv'!$B$1:$BX$1,0),FALSE)/1,0))</f>
        <v/>
      </c>
      <c r="P264" s="31" t="str">
        <f>IF($D264="","",IFERROR(VLOOKUP($B264,Kraftvärmeprod!$B$1:$BX$550,MATCH(P$2,Kraftvärmeprod!$B$1:$VX$1,0),FALSE)/1,0)-IFERROR(VLOOKUP($B264,'Slutlig allokering kvv'!$B$2:$BX$550,MATCH(P$2,'Slutlig allokering kvv'!$B$1:$BX$1,0),FALSE)/1,0))</f>
        <v/>
      </c>
      <c r="Q264" s="31" t="str">
        <f>IF($D264="","",IFERROR(VLOOKUP($B264,Kraftvärmeprod!$B$1:$BX$550,MATCH(Q$2,Kraftvärmeprod!$B$1:$VX$1,0),FALSE)/1,0)-IFERROR(VLOOKUP($B264,'Slutlig allokering kvv'!$B$2:$BX$550,MATCH(Q$2,'Slutlig allokering kvv'!$B$1:$BX$1,0),FALSE)/1,0))</f>
        <v/>
      </c>
      <c r="R264" s="31" t="str">
        <f>IF($D264="","",IFERROR(VLOOKUP($B264,Kraftvärmeprod!$B$1:$BX$550,MATCH(R$2,Kraftvärmeprod!$B$1:$VX$1,0),FALSE)/1,0)-IFERROR(VLOOKUP($B264,'Slutlig allokering kvv'!$B$2:$BX$550,MATCH(R$2,'Slutlig allokering kvv'!$B$1:$BX$1,0),FALSE)/1,0))</f>
        <v/>
      </c>
      <c r="S264" s="31" t="str">
        <f>IF($D264="","",IFERROR(VLOOKUP($B264,Kraftvärmeprod!$B$1:$BX$550,MATCH(S$2,Kraftvärmeprod!$B$1:$VX$1,0),FALSE)/1,0)-IFERROR(VLOOKUP($B264,'Slutlig allokering kvv'!$B$2:$BX$550,MATCH(S$2,'Slutlig allokering kvv'!$B$1:$BX$1,0),FALSE)/1,0))</f>
        <v/>
      </c>
      <c r="T264" s="31" t="str">
        <f>IF($D264="","",IFERROR(VLOOKUP($B264,Kraftvärmeprod!$B$1:$BX$550,MATCH(T$2,Kraftvärmeprod!$B$1:$VX$1,0),FALSE)/1,0)-IFERROR(VLOOKUP($B264,'Slutlig allokering kvv'!$B$2:$BX$550,MATCH(T$2,'Slutlig allokering kvv'!$B$1:$BX$1,0),FALSE)/1,0))</f>
        <v/>
      </c>
      <c r="U264" s="31" t="str">
        <f>IF($D264="","",IFERROR(VLOOKUP($B264,Kraftvärmeprod!$B$1:$BX$550,MATCH(U$2,Kraftvärmeprod!$B$1:$VX$1,0),FALSE)/1,0)-IFERROR(VLOOKUP($B264,'Slutlig allokering kvv'!$B$2:$BX$550,MATCH(U$2,'Slutlig allokering kvv'!$B$1:$BX$1,0),FALSE)/1,0))</f>
        <v/>
      </c>
      <c r="V264" s="31" t="str">
        <f>IF($D264="","",IFERROR(VLOOKUP($B264,Kraftvärmeprod!$B$1:$BX$550,MATCH(V$2,Kraftvärmeprod!$B$1:$VX$1,0),FALSE)/1,0)-IFERROR(VLOOKUP($B264,'Slutlig allokering kvv'!$B$2:$BX$550,MATCH(V$2,'Slutlig allokering kvv'!$B$1:$BX$1,0),FALSE)/1,0))</f>
        <v/>
      </c>
      <c r="W264" s="31" t="str">
        <f>IF($D264="","",IFERROR(VLOOKUP($B264,Kraftvärmeprod!$B$1:$BX$550,MATCH(W$2,Kraftvärmeprod!$B$1:$VX$1,0),FALSE)/1,0)-IFERROR(VLOOKUP($B264,'Slutlig allokering kvv'!$B$2:$BX$550,MATCH(W$2,'Slutlig allokering kvv'!$B$1:$BX$1,0),FALSE)/1,0))</f>
        <v/>
      </c>
      <c r="X264" s="31" t="str">
        <f>IF($D264="","",IFERROR(VLOOKUP($B264,Kraftvärmeprod!$B$1:$BX$550,MATCH(X$2,Kraftvärmeprod!$B$1:$VX$1,0),FALSE)/1,0)-IFERROR(VLOOKUP($B264,'Slutlig allokering kvv'!$B$2:$BX$550,MATCH(X$2,'Slutlig allokering kvv'!$B$1:$BX$1,0),FALSE)/1,0))</f>
        <v/>
      </c>
      <c r="Y264" s="31" t="str">
        <f>IF($D264="","",IFERROR(VLOOKUP($B264,Kraftvärmeprod!$B$1:$BX$550,MATCH(Y$2,Kraftvärmeprod!$B$1:$VX$1,0),FALSE)/1,0)-IFERROR(VLOOKUP($B264,'Slutlig allokering kvv'!$B$2:$BX$550,MATCH(Y$2,'Slutlig allokering kvv'!$B$1:$BX$1,0),FALSE)/1,0))</f>
        <v/>
      </c>
      <c r="Z264" s="31" t="str">
        <f>IF($D264="","",IFERROR(VLOOKUP($B264,Kraftvärmeprod!$B$1:$BX$550,MATCH(Z$2,Kraftvärmeprod!$B$1:$VX$1,0),FALSE)/1,0)-IFERROR(VLOOKUP($B264,'Slutlig allokering kvv'!$B$2:$BX$550,MATCH(Z$2,'Slutlig allokering kvv'!$B$1:$BX$1,0),FALSE)/1,0))</f>
        <v/>
      </c>
      <c r="AA264" s="31" t="str">
        <f>IF($D264="","",IFERROR(VLOOKUP($B264,Kraftvärmeprod!$B$1:$BX$550,MATCH(AA$2,Kraftvärmeprod!$B$1:$VX$1,0),FALSE)/1,0)-IFERROR(VLOOKUP($B264,'Slutlig allokering kvv'!$B$2:$BX$550,MATCH(AA$2,'Slutlig allokering kvv'!$B$1:$BX$1,0),FALSE)/1,0))</f>
        <v/>
      </c>
      <c r="AB264" s="31" t="str">
        <f>IF($D264="","",IFERROR(VLOOKUP($B264,Kraftvärmeprod!$B$1:$BX$550,MATCH(AB$2,Kraftvärmeprod!$B$1:$VX$1,0),FALSE)/1,0)-IFERROR(VLOOKUP($B264,'Slutlig allokering kvv'!$B$2:$BX$550,MATCH(AB$2,'Slutlig allokering kvv'!$B$1:$BX$1,0),FALSE)/1,0))</f>
        <v/>
      </c>
      <c r="AC264" s="31" t="str">
        <f>IF($D264="","",IFERROR(VLOOKUP($B264,Kraftvärmeprod!$B$1:$BX$550,MATCH(AC$2,Kraftvärmeprod!$B$1:$VX$1,0),FALSE)/1,0)-IFERROR(VLOOKUP($B264,'Slutlig allokering kvv'!$B$2:$BX$550,MATCH(AC$2,'Slutlig allokering kvv'!$B$1:$BX$1,0),FALSE)/1,0))</f>
        <v/>
      </c>
      <c r="AD264" s="31" t="str">
        <f>IF($D264="","",IFERROR(VLOOKUP($B264,Kraftvärmeprod!$B$1:$BX$550,MATCH(AD$2,Kraftvärmeprod!$B$1:$VX$1,0),FALSE)/1,0)-IFERROR(VLOOKUP($B264,'Slutlig allokering kvv'!$B$2:$BX$550,MATCH(AD$2,'Slutlig allokering kvv'!$B$1:$BX$1,0),FALSE)/1,0))</f>
        <v/>
      </c>
      <c r="AE264" s="31" t="str">
        <f>IF($D264="","",IFERROR(VLOOKUP($B264,Miljö!$B$1:$E$550,MATCH("Hjälpel kraftvärme (GWh)",Miljö!$B$1:$E$1,0),FALSE)/1,0)-IFERROR(VLOOKUP($B264,'Slutlig allokering kvv'!$B$2:$BX$549,MATCH(AE$2,'Slutlig allokering kvv'!$B$1:$BX$1,0),FALSE)/1,0))</f>
        <v/>
      </c>
      <c r="AI264" s="39">
        <f t="shared" si="16"/>
        <v>0</v>
      </c>
      <c r="AK264" s="31">
        <f>IFERROR(VLOOKUP($B264,'Slutlig allokering kvv'!$B$2:$AX$549,MATCH("Summa slutlig allokerad tillförd energi (utan hjälpel och rökgaskondensering):",'Slutlig allokering kvv'!$B$1:$AX$1,0),FALSE)/1,"")</f>
        <v>0</v>
      </c>
      <c r="AM264" s="31" t="str">
        <f>IFERROR(1-VLOOKUP($B264,'Slutlig allokering kvv'!$B$2:$AX$549,MATCH("Andel av bränsle i kvv som allokerats till värme, exklusive rökgaskondensering och hjälpel",'Slutlig allokering kvv'!$B$1:$AX$1,0),FALSE),"")</f>
        <v/>
      </c>
      <c r="AO264" s="31" t="str">
        <f t="shared" si="17"/>
        <v/>
      </c>
      <c r="AP264" s="31" t="str">
        <f t="shared" si="18"/>
        <v/>
      </c>
      <c r="AR264" s="32" t="str">
        <f t="shared" si="19"/>
        <v/>
      </c>
    </row>
    <row r="265" spans="1:44" s="31" customFormat="1" x14ac:dyDescent="0.45">
      <c r="A265" s="31" t="s">
        <v>289</v>
      </c>
      <c r="B265" s="31" t="s">
        <v>292</v>
      </c>
      <c r="C265" s="31" t="str">
        <f>IFERROR(VLOOKUP($B265,Kraftvärmeprod!$B$1:$AH$479,MATCH(C$2,Kraftvärmeprod!$B$1:$AG$1,0),FALSE)/1,"")</f>
        <v/>
      </c>
      <c r="D265" s="31" t="str">
        <f>IFERROR(VLOOKUP($B265,Kraftvärmeprod!$B$1:$AH$479,MATCH(D$2,Kraftvärmeprod!$B$1:$AG$1,0),FALSE)/1,"")</f>
        <v/>
      </c>
      <c r="F265" s="31" t="str">
        <f>IF($D265="","",IFERROR(VLOOKUP($B265,Kraftvärmeprod!$B$1:$BX$550,MATCH(F$2,Kraftvärmeprod!$B$1:$VX$1,0),FALSE)/1,0)-IFERROR(VLOOKUP($B265,'Slutlig allokering kvv'!$B$2:$BX$550,MATCH(F$2,'Slutlig allokering kvv'!$B$1:$BX$1,0),FALSE)/1,0))</f>
        <v/>
      </c>
      <c r="G265" s="31" t="str">
        <f>IF($D265="","",IFERROR(VLOOKUP($B265,Kraftvärmeprod!$B$1:$BX$550,MATCH(G$2,Kraftvärmeprod!$B$1:$VX$1,0),FALSE)/1,0)-IFERROR(VLOOKUP($B265,'Slutlig allokering kvv'!$B$2:$BX$550,MATCH(G$2,'Slutlig allokering kvv'!$B$1:$BX$1,0),FALSE)/1,0))</f>
        <v/>
      </c>
      <c r="H265" s="31" t="str">
        <f>IF($D265="","",IFERROR(VLOOKUP($B265,Kraftvärmeprod!$B$1:$BX$550,MATCH(H$2,Kraftvärmeprod!$B$1:$VX$1,0),FALSE)/1,0)-IFERROR(VLOOKUP($B265,'Slutlig allokering kvv'!$B$2:$BX$550,MATCH(H$2,'Slutlig allokering kvv'!$B$1:$BX$1,0),FALSE)/1,0))</f>
        <v/>
      </c>
      <c r="I265" s="31" t="str">
        <f>IF($D265="","",IFERROR(VLOOKUP($B265,Kraftvärmeprod!$B$1:$BX$550,MATCH(I$2,Kraftvärmeprod!$B$1:$VX$1,0),FALSE)/1,0)-IFERROR(VLOOKUP($B265,'Slutlig allokering kvv'!$B$2:$BX$550,MATCH(I$2,'Slutlig allokering kvv'!$B$1:$BX$1,0),FALSE)/1,0))</f>
        <v/>
      </c>
      <c r="J265" s="31" t="str">
        <f>IF($D265="","",IFERROR(VLOOKUP($B265,Kraftvärmeprod!$B$1:$BX$550,MATCH(J$2,Kraftvärmeprod!$B$1:$VX$1,0),FALSE)/1,0)-IFERROR(VLOOKUP($B265,'Slutlig allokering kvv'!$B$2:$BX$550,MATCH(J$2,'Slutlig allokering kvv'!$B$1:$BX$1,0),FALSE)/1,0))</f>
        <v/>
      </c>
      <c r="K265" s="31" t="str">
        <f>IF($D265="","",IFERROR(VLOOKUP($B265,Kraftvärmeprod!$B$1:$BX$550,MATCH(K$2,Kraftvärmeprod!$B$1:$VX$1,0),FALSE)/1,0)-IFERROR(VLOOKUP($B265,'Slutlig allokering kvv'!$B$2:$BX$550,MATCH(K$2,'Slutlig allokering kvv'!$B$1:$BX$1,0),FALSE)/1,0))</f>
        <v/>
      </c>
      <c r="L265" s="31" t="str">
        <f>IF($D265="","",IFERROR(VLOOKUP($B265,Kraftvärmeprod!$B$1:$BX$550,MATCH(L$2,Kraftvärmeprod!$B$1:$VX$1,0),FALSE)/1,0)-IFERROR(VLOOKUP($B265,'Slutlig allokering kvv'!$B$2:$BX$550,MATCH(L$2,'Slutlig allokering kvv'!$B$1:$BX$1,0),FALSE)/1,0))</f>
        <v/>
      </c>
      <c r="M265" s="31" t="str">
        <f>IF($D265="","",IFERROR(VLOOKUP($B265,Kraftvärmeprod!$B$1:$BX$550,MATCH(M$2,Kraftvärmeprod!$B$1:$VX$1,0),FALSE)/1,0)-IFERROR(VLOOKUP($B265,'Slutlig allokering kvv'!$B$2:$BX$550,MATCH(M$2,'Slutlig allokering kvv'!$B$1:$BX$1,0),FALSE)/1,0))</f>
        <v/>
      </c>
      <c r="N265" s="31" t="str">
        <f>IF($D265="","",IFERROR(VLOOKUP($B265,Kraftvärmeprod!$B$1:$BX$550,MATCH(N$2,Kraftvärmeprod!$B$1:$VX$1,0),FALSE)/1,0)-IFERROR(VLOOKUP($B265,'Slutlig allokering kvv'!$B$2:$BX$550,MATCH(N$2,'Slutlig allokering kvv'!$B$1:$BX$1,0),FALSE)/1,0))</f>
        <v/>
      </c>
      <c r="O265" s="31" t="str">
        <f>IF($D265="","",IFERROR(VLOOKUP($B265,Kraftvärmeprod!$B$1:$BX$550,MATCH(O$2,Kraftvärmeprod!$B$1:$VX$1,0),FALSE)/1,0)-IFERROR(VLOOKUP($B265,'Slutlig allokering kvv'!$B$2:$BX$550,MATCH(O$2,'Slutlig allokering kvv'!$B$1:$BX$1,0),FALSE)/1,0))</f>
        <v/>
      </c>
      <c r="P265" s="31" t="str">
        <f>IF($D265="","",IFERROR(VLOOKUP($B265,Kraftvärmeprod!$B$1:$BX$550,MATCH(P$2,Kraftvärmeprod!$B$1:$VX$1,0),FALSE)/1,0)-IFERROR(VLOOKUP($B265,'Slutlig allokering kvv'!$B$2:$BX$550,MATCH(P$2,'Slutlig allokering kvv'!$B$1:$BX$1,0),FALSE)/1,0))</f>
        <v/>
      </c>
      <c r="Q265" s="31" t="str">
        <f>IF($D265="","",IFERROR(VLOOKUP($B265,Kraftvärmeprod!$B$1:$BX$550,MATCH(Q$2,Kraftvärmeprod!$B$1:$VX$1,0),FALSE)/1,0)-IFERROR(VLOOKUP($B265,'Slutlig allokering kvv'!$B$2:$BX$550,MATCH(Q$2,'Slutlig allokering kvv'!$B$1:$BX$1,0),FALSE)/1,0))</f>
        <v/>
      </c>
      <c r="R265" s="31" t="str">
        <f>IF($D265="","",IFERROR(VLOOKUP($B265,Kraftvärmeprod!$B$1:$BX$550,MATCH(R$2,Kraftvärmeprod!$B$1:$VX$1,0),FALSE)/1,0)-IFERROR(VLOOKUP($B265,'Slutlig allokering kvv'!$B$2:$BX$550,MATCH(R$2,'Slutlig allokering kvv'!$B$1:$BX$1,0),FALSE)/1,0))</f>
        <v/>
      </c>
      <c r="S265" s="31" t="str">
        <f>IF($D265="","",IFERROR(VLOOKUP($B265,Kraftvärmeprod!$B$1:$BX$550,MATCH(S$2,Kraftvärmeprod!$B$1:$VX$1,0),FALSE)/1,0)-IFERROR(VLOOKUP($B265,'Slutlig allokering kvv'!$B$2:$BX$550,MATCH(S$2,'Slutlig allokering kvv'!$B$1:$BX$1,0),FALSE)/1,0))</f>
        <v/>
      </c>
      <c r="T265" s="31" t="str">
        <f>IF($D265="","",IFERROR(VLOOKUP($B265,Kraftvärmeprod!$B$1:$BX$550,MATCH(T$2,Kraftvärmeprod!$B$1:$VX$1,0),FALSE)/1,0)-IFERROR(VLOOKUP($B265,'Slutlig allokering kvv'!$B$2:$BX$550,MATCH(T$2,'Slutlig allokering kvv'!$B$1:$BX$1,0),FALSE)/1,0))</f>
        <v/>
      </c>
      <c r="U265" s="31" t="str">
        <f>IF($D265="","",IFERROR(VLOOKUP($B265,Kraftvärmeprod!$B$1:$BX$550,MATCH(U$2,Kraftvärmeprod!$B$1:$VX$1,0),FALSE)/1,0)-IFERROR(VLOOKUP($B265,'Slutlig allokering kvv'!$B$2:$BX$550,MATCH(U$2,'Slutlig allokering kvv'!$B$1:$BX$1,0),FALSE)/1,0))</f>
        <v/>
      </c>
      <c r="V265" s="31" t="str">
        <f>IF($D265="","",IFERROR(VLOOKUP($B265,Kraftvärmeprod!$B$1:$BX$550,MATCH(V$2,Kraftvärmeprod!$B$1:$VX$1,0),FALSE)/1,0)-IFERROR(VLOOKUP($B265,'Slutlig allokering kvv'!$B$2:$BX$550,MATCH(V$2,'Slutlig allokering kvv'!$B$1:$BX$1,0),FALSE)/1,0))</f>
        <v/>
      </c>
      <c r="W265" s="31" t="str">
        <f>IF($D265="","",IFERROR(VLOOKUP($B265,Kraftvärmeprod!$B$1:$BX$550,MATCH(W$2,Kraftvärmeprod!$B$1:$VX$1,0),FALSE)/1,0)-IFERROR(VLOOKUP($B265,'Slutlig allokering kvv'!$B$2:$BX$550,MATCH(W$2,'Slutlig allokering kvv'!$B$1:$BX$1,0),FALSE)/1,0))</f>
        <v/>
      </c>
      <c r="X265" s="31" t="str">
        <f>IF($D265="","",IFERROR(VLOOKUP($B265,Kraftvärmeprod!$B$1:$BX$550,MATCH(X$2,Kraftvärmeprod!$B$1:$VX$1,0),FALSE)/1,0)-IFERROR(VLOOKUP($B265,'Slutlig allokering kvv'!$B$2:$BX$550,MATCH(X$2,'Slutlig allokering kvv'!$B$1:$BX$1,0),FALSE)/1,0))</f>
        <v/>
      </c>
      <c r="Y265" s="31" t="str">
        <f>IF($D265="","",IFERROR(VLOOKUP($B265,Kraftvärmeprod!$B$1:$BX$550,MATCH(Y$2,Kraftvärmeprod!$B$1:$VX$1,0),FALSE)/1,0)-IFERROR(VLOOKUP($B265,'Slutlig allokering kvv'!$B$2:$BX$550,MATCH(Y$2,'Slutlig allokering kvv'!$B$1:$BX$1,0),FALSE)/1,0))</f>
        <v/>
      </c>
      <c r="Z265" s="31" t="str">
        <f>IF($D265="","",IFERROR(VLOOKUP($B265,Kraftvärmeprod!$B$1:$BX$550,MATCH(Z$2,Kraftvärmeprod!$B$1:$VX$1,0),FALSE)/1,0)-IFERROR(VLOOKUP($B265,'Slutlig allokering kvv'!$B$2:$BX$550,MATCH(Z$2,'Slutlig allokering kvv'!$B$1:$BX$1,0),FALSE)/1,0))</f>
        <v/>
      </c>
      <c r="AA265" s="31" t="str">
        <f>IF($D265="","",IFERROR(VLOOKUP($B265,Kraftvärmeprod!$B$1:$BX$550,MATCH(AA$2,Kraftvärmeprod!$B$1:$VX$1,0),FALSE)/1,0)-IFERROR(VLOOKUP($B265,'Slutlig allokering kvv'!$B$2:$BX$550,MATCH(AA$2,'Slutlig allokering kvv'!$B$1:$BX$1,0),FALSE)/1,0))</f>
        <v/>
      </c>
      <c r="AB265" s="31" t="str">
        <f>IF($D265="","",IFERROR(VLOOKUP($B265,Kraftvärmeprod!$B$1:$BX$550,MATCH(AB$2,Kraftvärmeprod!$B$1:$VX$1,0),FALSE)/1,0)-IFERROR(VLOOKUP($B265,'Slutlig allokering kvv'!$B$2:$BX$550,MATCH(AB$2,'Slutlig allokering kvv'!$B$1:$BX$1,0),FALSE)/1,0))</f>
        <v/>
      </c>
      <c r="AC265" s="31" t="str">
        <f>IF($D265="","",IFERROR(VLOOKUP($B265,Kraftvärmeprod!$B$1:$BX$550,MATCH(AC$2,Kraftvärmeprod!$B$1:$VX$1,0),FALSE)/1,0)-IFERROR(VLOOKUP($B265,'Slutlig allokering kvv'!$B$2:$BX$550,MATCH(AC$2,'Slutlig allokering kvv'!$B$1:$BX$1,0),FALSE)/1,0))</f>
        <v/>
      </c>
      <c r="AD265" s="31" t="str">
        <f>IF($D265="","",IFERROR(VLOOKUP($B265,Kraftvärmeprod!$B$1:$BX$550,MATCH(AD$2,Kraftvärmeprod!$B$1:$VX$1,0),FALSE)/1,0)-IFERROR(VLOOKUP($B265,'Slutlig allokering kvv'!$B$2:$BX$550,MATCH(AD$2,'Slutlig allokering kvv'!$B$1:$BX$1,0),FALSE)/1,0))</f>
        <v/>
      </c>
      <c r="AE265" s="31" t="str">
        <f>IF($D265="","",IFERROR(VLOOKUP($B265,Miljö!$B$1:$E$550,MATCH("Hjälpel kraftvärme (GWh)",Miljö!$B$1:$E$1,0),FALSE)/1,0)-IFERROR(VLOOKUP($B265,'Slutlig allokering kvv'!$B$2:$BX$549,MATCH(AE$2,'Slutlig allokering kvv'!$B$1:$BX$1,0),FALSE)/1,0))</f>
        <v/>
      </c>
      <c r="AI265" s="39">
        <f t="shared" si="16"/>
        <v>0</v>
      </c>
      <c r="AK265" s="31">
        <f>IFERROR(VLOOKUP($B265,'Slutlig allokering kvv'!$B$2:$AX$549,MATCH("Summa slutlig allokerad tillförd energi (utan hjälpel och rökgaskondensering):",'Slutlig allokering kvv'!$B$1:$AX$1,0),FALSE)/1,"")</f>
        <v>0</v>
      </c>
      <c r="AM265" s="31" t="str">
        <f>IFERROR(1-VLOOKUP($B265,'Slutlig allokering kvv'!$B$2:$AX$549,MATCH("Andel av bränsle i kvv som allokerats till värme, exklusive rökgaskondensering och hjälpel",'Slutlig allokering kvv'!$B$1:$AX$1,0),FALSE),"")</f>
        <v/>
      </c>
      <c r="AO265" s="31" t="str">
        <f t="shared" si="17"/>
        <v/>
      </c>
      <c r="AP265" s="31" t="str">
        <f t="shared" si="18"/>
        <v/>
      </c>
      <c r="AR265" s="32" t="str">
        <f t="shared" si="19"/>
        <v/>
      </c>
    </row>
    <row r="266" spans="1:44" s="31" customFormat="1" x14ac:dyDescent="0.45">
      <c r="A266" s="31" t="s">
        <v>289</v>
      </c>
      <c r="B266" s="31" t="s">
        <v>291</v>
      </c>
      <c r="C266" s="31">
        <f>IFERROR(VLOOKUP($B266,Kraftvärmeprod!$B$1:$AH$479,MATCH(C$2,Kraftvärmeprod!$B$1:$AG$1,0),FALSE)/1,"")</f>
        <v>1206</v>
      </c>
      <c r="D266" s="31">
        <f>IFERROR(VLOOKUP($B266,Kraftvärmeprod!$B$1:$AH$479,MATCH(D$2,Kraftvärmeprod!$B$1:$AG$1,0),FALSE)/1,"")</f>
        <v>311.5</v>
      </c>
      <c r="F266" s="31">
        <f>IF($D266="","",IFERROR(VLOOKUP($B266,Kraftvärmeprod!$B$1:$BX$550,MATCH(F$2,Kraftvärmeprod!$B$1:$VX$1,0),FALSE)/1,0)-IFERROR(VLOOKUP($B266,'Slutlig allokering kvv'!$B$2:$BX$550,MATCH(F$2,'Slutlig allokering kvv'!$B$1:$BX$1,0),FALSE)/1,0))</f>
        <v>15.600000000000001</v>
      </c>
      <c r="G266" s="31">
        <f>IF($D266="","",IFERROR(VLOOKUP($B266,Kraftvärmeprod!$B$1:$BX$550,MATCH(G$2,Kraftvärmeprod!$B$1:$VX$1,0),FALSE)/1,0)-IFERROR(VLOOKUP($B266,'Slutlig allokering kvv'!$B$2:$BX$550,MATCH(G$2,'Slutlig allokering kvv'!$B$1:$BX$1,0),FALSE)/1,0))</f>
        <v>7.5</v>
      </c>
      <c r="H266" s="31">
        <f>IF($D266="","",IFERROR(VLOOKUP($B266,Kraftvärmeprod!$B$1:$BX$550,MATCH(H$2,Kraftvärmeprod!$B$1:$VX$1,0),FALSE)/1,0)-IFERROR(VLOOKUP($B266,'Slutlig allokering kvv'!$B$2:$BX$550,MATCH(H$2,'Slutlig allokering kvv'!$B$1:$BX$1,0),FALSE)/1,0))</f>
        <v>0</v>
      </c>
      <c r="I266" s="31">
        <f>IF($D266="","",IFERROR(VLOOKUP($B266,Kraftvärmeprod!$B$1:$BX$550,MATCH(I$2,Kraftvärmeprod!$B$1:$VX$1,0),FALSE)/1,0)-IFERROR(VLOOKUP($B266,'Slutlig allokering kvv'!$B$2:$BX$550,MATCH(I$2,'Slutlig allokering kvv'!$B$1:$BX$1,0),FALSE)/1,0))</f>
        <v>11.6</v>
      </c>
      <c r="J266" s="31">
        <f>IF($D266="","",IFERROR(VLOOKUP($B266,Kraftvärmeprod!$B$1:$BX$550,MATCH(J$2,Kraftvärmeprod!$B$1:$VX$1,0),FALSE)/1,0)-IFERROR(VLOOKUP($B266,'Slutlig allokering kvv'!$B$2:$BX$550,MATCH(J$2,'Slutlig allokering kvv'!$B$1:$BX$1,0),FALSE)/1,0))</f>
        <v>0</v>
      </c>
      <c r="K266" s="31">
        <f>IF($D266="","",IFERROR(VLOOKUP($B266,Kraftvärmeprod!$B$1:$BX$550,MATCH(K$2,Kraftvärmeprod!$B$1:$VX$1,0),FALSE)/1,0)-IFERROR(VLOOKUP($B266,'Slutlig allokering kvv'!$B$2:$BX$550,MATCH(K$2,'Slutlig allokering kvv'!$B$1:$BX$1,0),FALSE)/1,0))</f>
        <v>28.1</v>
      </c>
      <c r="L266" s="31">
        <f>IF($D266="","",IFERROR(VLOOKUP($B266,Kraftvärmeprod!$B$1:$BX$550,MATCH(L$2,Kraftvärmeprod!$B$1:$VX$1,0),FALSE)/1,0)-IFERROR(VLOOKUP($B266,'Slutlig allokering kvv'!$B$2:$BX$550,MATCH(L$2,'Slutlig allokering kvv'!$B$1:$BX$1,0),FALSE)/1,0))</f>
        <v>13.599999999999998</v>
      </c>
      <c r="M266" s="31">
        <f>IF($D266="","",IFERROR(VLOOKUP($B266,Kraftvärmeprod!$B$1:$BX$550,MATCH(M$2,Kraftvärmeprod!$B$1:$VX$1,0),FALSE)/1,0)-IFERROR(VLOOKUP($B266,'Slutlig allokering kvv'!$B$2:$BX$550,MATCH(M$2,'Slutlig allokering kvv'!$B$1:$BX$1,0),FALSE)/1,0))</f>
        <v>0.48277899999999996</v>
      </c>
      <c r="N266" s="31">
        <f>IF($D266="","",IFERROR(VLOOKUP($B266,Kraftvärmeprod!$B$1:$BX$550,MATCH(N$2,Kraftvärmeprod!$B$1:$VX$1,0),FALSE)/1,0)-IFERROR(VLOOKUP($B266,'Slutlig allokering kvv'!$B$2:$BX$550,MATCH(N$2,'Slutlig allokering kvv'!$B$1:$BX$1,0),FALSE)/1,0))</f>
        <v>5.6</v>
      </c>
      <c r="O266" s="31">
        <f>IF($D266="","",IFERROR(VLOOKUP($B266,Kraftvärmeprod!$B$1:$BX$550,MATCH(O$2,Kraftvärmeprod!$B$1:$VX$1,0),FALSE)/1,0)-IFERROR(VLOOKUP($B266,'Slutlig allokering kvv'!$B$2:$BX$550,MATCH(O$2,'Slutlig allokering kvv'!$B$1:$BX$1,0),FALSE)/1,0))</f>
        <v>0</v>
      </c>
      <c r="P266" s="31">
        <f>IF($D266="","",IFERROR(VLOOKUP($B266,Kraftvärmeprod!$B$1:$BX$550,MATCH(P$2,Kraftvärmeprod!$B$1:$VX$1,0),FALSE)/1,0)-IFERROR(VLOOKUP($B266,'Slutlig allokering kvv'!$B$2:$BX$550,MATCH(P$2,'Slutlig allokering kvv'!$B$1:$BX$1,0),FALSE)/1,0))</f>
        <v>0</v>
      </c>
      <c r="Q266" s="31">
        <f>IF($D266="","",IFERROR(VLOOKUP($B266,Kraftvärmeprod!$B$1:$BX$550,MATCH(Q$2,Kraftvärmeprod!$B$1:$VX$1,0),FALSE)/1,0)-IFERROR(VLOOKUP($B266,'Slutlig allokering kvv'!$B$2:$BX$550,MATCH(Q$2,'Slutlig allokering kvv'!$B$1:$BX$1,0),FALSE)/1,0))</f>
        <v>9.5</v>
      </c>
      <c r="R266" s="31">
        <f>IF($D266="","",IFERROR(VLOOKUP($B266,Kraftvärmeprod!$B$1:$BX$550,MATCH(R$2,Kraftvärmeprod!$B$1:$VX$1,0),FALSE)/1,0)-IFERROR(VLOOKUP($B266,'Slutlig allokering kvv'!$B$2:$BX$550,MATCH(R$2,'Slutlig allokering kvv'!$B$1:$BX$1,0),FALSE)/1,0))</f>
        <v>0</v>
      </c>
      <c r="S266" s="31">
        <f>IF($D266="","",IFERROR(VLOOKUP($B266,Kraftvärmeprod!$B$1:$BX$550,MATCH(S$2,Kraftvärmeprod!$B$1:$VX$1,0),FALSE)/1,0)-IFERROR(VLOOKUP($B266,'Slutlig allokering kvv'!$B$2:$BX$550,MATCH(S$2,'Slutlig allokering kvv'!$B$1:$BX$1,0),FALSE)/1,0))</f>
        <v>0</v>
      </c>
      <c r="T266" s="31">
        <f>IF($D266="","",IFERROR(VLOOKUP($B266,Kraftvärmeprod!$B$1:$BX$550,MATCH(T$2,Kraftvärmeprod!$B$1:$VX$1,0),FALSE)/1,0)-IFERROR(VLOOKUP($B266,'Slutlig allokering kvv'!$B$2:$BX$550,MATCH(T$2,'Slutlig allokering kvv'!$B$1:$BX$1,0),FALSE)/1,0))</f>
        <v>0</v>
      </c>
      <c r="U266" s="31">
        <f>IF($D266="","",IFERROR(VLOOKUP($B266,Kraftvärmeprod!$B$1:$BX$550,MATCH(U$2,Kraftvärmeprod!$B$1:$VX$1,0),FALSE)/1,0)-IFERROR(VLOOKUP($B266,'Slutlig allokering kvv'!$B$2:$BX$550,MATCH(U$2,'Slutlig allokering kvv'!$B$1:$BX$1,0),FALSE)/1,0))</f>
        <v>0</v>
      </c>
      <c r="V266" s="31">
        <f>IF($D266="","",IFERROR(VLOOKUP($B266,Kraftvärmeprod!$B$1:$BX$550,MATCH(V$2,Kraftvärmeprod!$B$1:$VX$1,0),FALSE)/1,0)-IFERROR(VLOOKUP($B266,'Slutlig allokering kvv'!$B$2:$BX$550,MATCH(V$2,'Slutlig allokering kvv'!$B$1:$BX$1,0),FALSE)/1,0))</f>
        <v>89.9</v>
      </c>
      <c r="W266" s="31">
        <f>IF($D266="","",IFERROR(VLOOKUP($B266,Kraftvärmeprod!$B$1:$BX$550,MATCH(W$2,Kraftvärmeprod!$B$1:$VX$1,0),FALSE)/1,0)-IFERROR(VLOOKUP($B266,'Slutlig allokering kvv'!$B$2:$BX$550,MATCH(W$2,'Slutlig allokering kvv'!$B$1:$BX$1,0),FALSE)/1,0))</f>
        <v>0</v>
      </c>
      <c r="X266" s="31">
        <f>IF($D266="","",IFERROR(VLOOKUP($B266,Kraftvärmeprod!$B$1:$BX$550,MATCH(X$2,Kraftvärmeprod!$B$1:$VX$1,0),FALSE)/1,0)-IFERROR(VLOOKUP($B266,'Slutlig allokering kvv'!$B$2:$BX$550,MATCH(X$2,'Slutlig allokering kvv'!$B$1:$BX$1,0),FALSE)/1,0))</f>
        <v>0</v>
      </c>
      <c r="Y266" s="31">
        <f>IF($D266="","",IFERROR(VLOOKUP($B266,Kraftvärmeprod!$B$1:$BX$550,MATCH(Y$2,Kraftvärmeprod!$B$1:$VX$1,0),FALSE)/1,0)-IFERROR(VLOOKUP($B266,'Slutlig allokering kvv'!$B$2:$BX$550,MATCH(Y$2,'Slutlig allokering kvv'!$B$1:$BX$1,0),FALSE)/1,0))</f>
        <v>0</v>
      </c>
      <c r="Z266" s="31">
        <f>IF($D266="","",IFERROR(VLOOKUP($B266,Kraftvärmeprod!$B$1:$BX$550,MATCH(Z$2,Kraftvärmeprod!$B$1:$VX$1,0),FALSE)/1,0)-IFERROR(VLOOKUP($B266,'Slutlig allokering kvv'!$B$2:$BX$550,MATCH(Z$2,'Slutlig allokering kvv'!$B$1:$BX$1,0),FALSE)/1,0))</f>
        <v>0</v>
      </c>
      <c r="AA266" s="31">
        <f>IF($D266="","",IFERROR(VLOOKUP($B266,Kraftvärmeprod!$B$1:$BX$550,MATCH(AA$2,Kraftvärmeprod!$B$1:$VX$1,0),FALSE)/1,0)-IFERROR(VLOOKUP($B266,'Slutlig allokering kvv'!$B$2:$BX$550,MATCH(AA$2,'Slutlig allokering kvv'!$B$1:$BX$1,0),FALSE)/1,0))</f>
        <v>708.90000000000009</v>
      </c>
      <c r="AB266" s="31">
        <f>IF($D266="","",IFERROR(VLOOKUP($B266,Kraftvärmeprod!$B$1:$BX$550,MATCH(AB$2,Kraftvärmeprod!$B$1:$VX$1,0),FALSE)/1,0)-IFERROR(VLOOKUP($B266,'Slutlig allokering kvv'!$B$2:$BX$550,MATCH(AB$2,'Slutlig allokering kvv'!$B$1:$BX$1,0),FALSE)/1,0))</f>
        <v>0</v>
      </c>
      <c r="AC266" s="31">
        <f>IF($D266="","",IFERROR(VLOOKUP($B266,Kraftvärmeprod!$B$1:$BX$550,MATCH(AC$2,Kraftvärmeprod!$B$1:$VX$1,0),FALSE)/1,0)-IFERROR(VLOOKUP($B266,'Slutlig allokering kvv'!$B$2:$BX$550,MATCH(AC$2,'Slutlig allokering kvv'!$B$1:$BX$1,0),FALSE)/1,0))</f>
        <v>0</v>
      </c>
      <c r="AD266" s="31">
        <f>IF($D266="","",IFERROR(VLOOKUP($B266,Kraftvärmeprod!$B$1:$BX$550,MATCH(AD$2,Kraftvärmeprod!$B$1:$VX$1,0),FALSE)/1,0)-IFERROR(VLOOKUP($B266,'Slutlig allokering kvv'!$B$2:$BX$550,MATCH(AD$2,'Slutlig allokering kvv'!$B$1:$BX$1,0),FALSE)/1,0))</f>
        <v>0</v>
      </c>
      <c r="AE266" s="31">
        <f>IF($D266="","",IFERROR(VLOOKUP($B266,Miljö!$B$1:$E$550,MATCH("Hjälpel kraftvärme (GWh)",Miljö!$B$1:$E$1,0),FALSE)/1,0)-IFERROR(VLOOKUP($B266,'Slutlig allokering kvv'!$B$2:$BX$549,MATCH(AE$2,'Slutlig allokering kvv'!$B$1:$BX$1,0),FALSE)/1,0))</f>
        <v>28.131</v>
      </c>
      <c r="AI266" s="39">
        <f t="shared" si="16"/>
        <v>890.78277900000012</v>
      </c>
      <c r="AK266" s="31">
        <f>IFERROR(VLOOKUP($B266,'Slutlig allokering kvv'!$B$2:$AX$549,MATCH("Summa slutlig allokerad tillförd energi (utan hjälpel och rökgaskondensering):",'Slutlig allokering kvv'!$B$1:$AX$1,0),FALSE)/1,"")</f>
        <v>934.21722099999988</v>
      </c>
      <c r="AM266" s="31">
        <f>IFERROR(1-VLOOKUP($B266,'Slutlig allokering kvv'!$B$2:$AX$549,MATCH("Andel av bränsle i kvv som allokerats till värme, exklusive rökgaskondensering och hjälpel",'Slutlig allokering kvv'!$B$1:$AX$1,0),FALSE),"")</f>
        <v>0.48810015287671238</v>
      </c>
      <c r="AO266" s="31">
        <f t="shared" si="17"/>
        <v>0.48810015287671238</v>
      </c>
      <c r="AP266" s="31">
        <f t="shared" si="18"/>
        <v>0</v>
      </c>
      <c r="AR266" s="32">
        <f t="shared" si="19"/>
        <v>0.33898719022255513</v>
      </c>
    </row>
    <row r="267" spans="1:44" s="31" customFormat="1" x14ac:dyDescent="0.45">
      <c r="A267" s="31" t="s">
        <v>289</v>
      </c>
      <c r="B267" s="31" t="s">
        <v>290</v>
      </c>
      <c r="C267" s="31" t="str">
        <f>IFERROR(VLOOKUP($B267,Kraftvärmeprod!$B$1:$AH$479,MATCH(C$2,Kraftvärmeprod!$B$1:$AG$1,0),FALSE)/1,"")</f>
        <v/>
      </c>
      <c r="D267" s="31" t="str">
        <f>IFERROR(VLOOKUP($B267,Kraftvärmeprod!$B$1:$AH$479,MATCH(D$2,Kraftvärmeprod!$B$1:$AG$1,0),FALSE)/1,"")</f>
        <v/>
      </c>
      <c r="F267" s="31" t="str">
        <f>IF($D267="","",IFERROR(VLOOKUP($B267,Kraftvärmeprod!$B$1:$BX$550,MATCH(F$2,Kraftvärmeprod!$B$1:$VX$1,0),FALSE)/1,0)-IFERROR(VLOOKUP($B267,'Slutlig allokering kvv'!$B$2:$BX$550,MATCH(F$2,'Slutlig allokering kvv'!$B$1:$BX$1,0),FALSE)/1,0))</f>
        <v/>
      </c>
      <c r="G267" s="31" t="str">
        <f>IF($D267="","",IFERROR(VLOOKUP($B267,Kraftvärmeprod!$B$1:$BX$550,MATCH(G$2,Kraftvärmeprod!$B$1:$VX$1,0),FALSE)/1,0)-IFERROR(VLOOKUP($B267,'Slutlig allokering kvv'!$B$2:$BX$550,MATCH(G$2,'Slutlig allokering kvv'!$B$1:$BX$1,0),FALSE)/1,0))</f>
        <v/>
      </c>
      <c r="H267" s="31" t="str">
        <f>IF($D267="","",IFERROR(VLOOKUP($B267,Kraftvärmeprod!$B$1:$BX$550,MATCH(H$2,Kraftvärmeprod!$B$1:$VX$1,0),FALSE)/1,0)-IFERROR(VLOOKUP($B267,'Slutlig allokering kvv'!$B$2:$BX$550,MATCH(H$2,'Slutlig allokering kvv'!$B$1:$BX$1,0),FALSE)/1,0))</f>
        <v/>
      </c>
      <c r="I267" s="31" t="str">
        <f>IF($D267="","",IFERROR(VLOOKUP($B267,Kraftvärmeprod!$B$1:$BX$550,MATCH(I$2,Kraftvärmeprod!$B$1:$VX$1,0),FALSE)/1,0)-IFERROR(VLOOKUP($B267,'Slutlig allokering kvv'!$B$2:$BX$550,MATCH(I$2,'Slutlig allokering kvv'!$B$1:$BX$1,0),FALSE)/1,0))</f>
        <v/>
      </c>
      <c r="J267" s="31" t="str">
        <f>IF($D267="","",IFERROR(VLOOKUP($B267,Kraftvärmeprod!$B$1:$BX$550,MATCH(J$2,Kraftvärmeprod!$B$1:$VX$1,0),FALSE)/1,0)-IFERROR(VLOOKUP($B267,'Slutlig allokering kvv'!$B$2:$BX$550,MATCH(J$2,'Slutlig allokering kvv'!$B$1:$BX$1,0),FALSE)/1,0))</f>
        <v/>
      </c>
      <c r="K267" s="31" t="str">
        <f>IF($D267="","",IFERROR(VLOOKUP($B267,Kraftvärmeprod!$B$1:$BX$550,MATCH(K$2,Kraftvärmeprod!$B$1:$VX$1,0),FALSE)/1,0)-IFERROR(VLOOKUP($B267,'Slutlig allokering kvv'!$B$2:$BX$550,MATCH(K$2,'Slutlig allokering kvv'!$B$1:$BX$1,0),FALSE)/1,0))</f>
        <v/>
      </c>
      <c r="L267" s="31" t="str">
        <f>IF($D267="","",IFERROR(VLOOKUP($B267,Kraftvärmeprod!$B$1:$BX$550,MATCH(L$2,Kraftvärmeprod!$B$1:$VX$1,0),FALSE)/1,0)-IFERROR(VLOOKUP($B267,'Slutlig allokering kvv'!$B$2:$BX$550,MATCH(L$2,'Slutlig allokering kvv'!$B$1:$BX$1,0),FALSE)/1,0))</f>
        <v/>
      </c>
      <c r="M267" s="31" t="str">
        <f>IF($D267="","",IFERROR(VLOOKUP($B267,Kraftvärmeprod!$B$1:$BX$550,MATCH(M$2,Kraftvärmeprod!$B$1:$VX$1,0),FALSE)/1,0)-IFERROR(VLOOKUP($B267,'Slutlig allokering kvv'!$B$2:$BX$550,MATCH(M$2,'Slutlig allokering kvv'!$B$1:$BX$1,0),FALSE)/1,0))</f>
        <v/>
      </c>
      <c r="N267" s="31" t="str">
        <f>IF($D267="","",IFERROR(VLOOKUP($B267,Kraftvärmeprod!$B$1:$BX$550,MATCH(N$2,Kraftvärmeprod!$B$1:$VX$1,0),FALSE)/1,0)-IFERROR(VLOOKUP($B267,'Slutlig allokering kvv'!$B$2:$BX$550,MATCH(N$2,'Slutlig allokering kvv'!$B$1:$BX$1,0),FALSE)/1,0))</f>
        <v/>
      </c>
      <c r="O267" s="31" t="str">
        <f>IF($D267="","",IFERROR(VLOOKUP($B267,Kraftvärmeprod!$B$1:$BX$550,MATCH(O$2,Kraftvärmeprod!$B$1:$VX$1,0),FALSE)/1,0)-IFERROR(VLOOKUP($B267,'Slutlig allokering kvv'!$B$2:$BX$550,MATCH(O$2,'Slutlig allokering kvv'!$B$1:$BX$1,0),FALSE)/1,0))</f>
        <v/>
      </c>
      <c r="P267" s="31" t="str">
        <f>IF($D267="","",IFERROR(VLOOKUP($B267,Kraftvärmeprod!$B$1:$BX$550,MATCH(P$2,Kraftvärmeprod!$B$1:$VX$1,0),FALSE)/1,0)-IFERROR(VLOOKUP($B267,'Slutlig allokering kvv'!$B$2:$BX$550,MATCH(P$2,'Slutlig allokering kvv'!$B$1:$BX$1,0),FALSE)/1,0))</f>
        <v/>
      </c>
      <c r="Q267" s="31" t="str">
        <f>IF($D267="","",IFERROR(VLOOKUP($B267,Kraftvärmeprod!$B$1:$BX$550,MATCH(Q$2,Kraftvärmeprod!$B$1:$VX$1,0),FALSE)/1,0)-IFERROR(VLOOKUP($B267,'Slutlig allokering kvv'!$B$2:$BX$550,MATCH(Q$2,'Slutlig allokering kvv'!$B$1:$BX$1,0),FALSE)/1,0))</f>
        <v/>
      </c>
      <c r="R267" s="31" t="str">
        <f>IF($D267="","",IFERROR(VLOOKUP($B267,Kraftvärmeprod!$B$1:$BX$550,MATCH(R$2,Kraftvärmeprod!$B$1:$VX$1,0),FALSE)/1,0)-IFERROR(VLOOKUP($B267,'Slutlig allokering kvv'!$B$2:$BX$550,MATCH(R$2,'Slutlig allokering kvv'!$B$1:$BX$1,0),FALSE)/1,0))</f>
        <v/>
      </c>
      <c r="S267" s="31" t="str">
        <f>IF($D267="","",IFERROR(VLOOKUP($B267,Kraftvärmeprod!$B$1:$BX$550,MATCH(S$2,Kraftvärmeprod!$B$1:$VX$1,0),FALSE)/1,0)-IFERROR(VLOOKUP($B267,'Slutlig allokering kvv'!$B$2:$BX$550,MATCH(S$2,'Slutlig allokering kvv'!$B$1:$BX$1,0),FALSE)/1,0))</f>
        <v/>
      </c>
      <c r="T267" s="31" t="str">
        <f>IF($D267="","",IFERROR(VLOOKUP($B267,Kraftvärmeprod!$B$1:$BX$550,MATCH(T$2,Kraftvärmeprod!$B$1:$VX$1,0),FALSE)/1,0)-IFERROR(VLOOKUP($B267,'Slutlig allokering kvv'!$B$2:$BX$550,MATCH(T$2,'Slutlig allokering kvv'!$B$1:$BX$1,0),FALSE)/1,0))</f>
        <v/>
      </c>
      <c r="U267" s="31" t="str">
        <f>IF($D267="","",IFERROR(VLOOKUP($B267,Kraftvärmeprod!$B$1:$BX$550,MATCH(U$2,Kraftvärmeprod!$B$1:$VX$1,0),FALSE)/1,0)-IFERROR(VLOOKUP($B267,'Slutlig allokering kvv'!$B$2:$BX$550,MATCH(U$2,'Slutlig allokering kvv'!$B$1:$BX$1,0),FALSE)/1,0))</f>
        <v/>
      </c>
      <c r="V267" s="31" t="str">
        <f>IF($D267="","",IFERROR(VLOOKUP($B267,Kraftvärmeprod!$B$1:$BX$550,MATCH(V$2,Kraftvärmeprod!$B$1:$VX$1,0),FALSE)/1,0)-IFERROR(VLOOKUP($B267,'Slutlig allokering kvv'!$B$2:$BX$550,MATCH(V$2,'Slutlig allokering kvv'!$B$1:$BX$1,0),FALSE)/1,0))</f>
        <v/>
      </c>
      <c r="W267" s="31" t="str">
        <f>IF($D267="","",IFERROR(VLOOKUP($B267,Kraftvärmeprod!$B$1:$BX$550,MATCH(W$2,Kraftvärmeprod!$B$1:$VX$1,0),FALSE)/1,0)-IFERROR(VLOOKUP($B267,'Slutlig allokering kvv'!$B$2:$BX$550,MATCH(W$2,'Slutlig allokering kvv'!$B$1:$BX$1,0),FALSE)/1,0))</f>
        <v/>
      </c>
      <c r="X267" s="31" t="str">
        <f>IF($D267="","",IFERROR(VLOOKUP($B267,Kraftvärmeprod!$B$1:$BX$550,MATCH(X$2,Kraftvärmeprod!$B$1:$VX$1,0),FALSE)/1,0)-IFERROR(VLOOKUP($B267,'Slutlig allokering kvv'!$B$2:$BX$550,MATCH(X$2,'Slutlig allokering kvv'!$B$1:$BX$1,0),FALSE)/1,0))</f>
        <v/>
      </c>
      <c r="Y267" s="31" t="str">
        <f>IF($D267="","",IFERROR(VLOOKUP($B267,Kraftvärmeprod!$B$1:$BX$550,MATCH(Y$2,Kraftvärmeprod!$B$1:$VX$1,0),FALSE)/1,0)-IFERROR(VLOOKUP($B267,'Slutlig allokering kvv'!$B$2:$BX$550,MATCH(Y$2,'Slutlig allokering kvv'!$B$1:$BX$1,0),FALSE)/1,0))</f>
        <v/>
      </c>
      <c r="Z267" s="31" t="str">
        <f>IF($D267="","",IFERROR(VLOOKUP($B267,Kraftvärmeprod!$B$1:$BX$550,MATCH(Z$2,Kraftvärmeprod!$B$1:$VX$1,0),FALSE)/1,0)-IFERROR(VLOOKUP($B267,'Slutlig allokering kvv'!$B$2:$BX$550,MATCH(Z$2,'Slutlig allokering kvv'!$B$1:$BX$1,0),FALSE)/1,0))</f>
        <v/>
      </c>
      <c r="AA267" s="31" t="str">
        <f>IF($D267="","",IFERROR(VLOOKUP($B267,Kraftvärmeprod!$B$1:$BX$550,MATCH(AA$2,Kraftvärmeprod!$B$1:$VX$1,0),FALSE)/1,0)-IFERROR(VLOOKUP($B267,'Slutlig allokering kvv'!$B$2:$BX$550,MATCH(AA$2,'Slutlig allokering kvv'!$B$1:$BX$1,0),FALSE)/1,0))</f>
        <v/>
      </c>
      <c r="AB267" s="31" t="str">
        <f>IF($D267="","",IFERROR(VLOOKUP($B267,Kraftvärmeprod!$B$1:$BX$550,MATCH(AB$2,Kraftvärmeprod!$B$1:$VX$1,0),FALSE)/1,0)-IFERROR(VLOOKUP($B267,'Slutlig allokering kvv'!$B$2:$BX$550,MATCH(AB$2,'Slutlig allokering kvv'!$B$1:$BX$1,0),FALSE)/1,0))</f>
        <v/>
      </c>
      <c r="AC267" s="31" t="str">
        <f>IF($D267="","",IFERROR(VLOOKUP($B267,Kraftvärmeprod!$B$1:$BX$550,MATCH(AC$2,Kraftvärmeprod!$B$1:$VX$1,0),FALSE)/1,0)-IFERROR(VLOOKUP($B267,'Slutlig allokering kvv'!$B$2:$BX$550,MATCH(AC$2,'Slutlig allokering kvv'!$B$1:$BX$1,0),FALSE)/1,0))</f>
        <v/>
      </c>
      <c r="AD267" s="31" t="str">
        <f>IF($D267="","",IFERROR(VLOOKUP($B267,Kraftvärmeprod!$B$1:$BX$550,MATCH(AD$2,Kraftvärmeprod!$B$1:$VX$1,0),FALSE)/1,0)-IFERROR(VLOOKUP($B267,'Slutlig allokering kvv'!$B$2:$BX$550,MATCH(AD$2,'Slutlig allokering kvv'!$B$1:$BX$1,0),FALSE)/1,0))</f>
        <v/>
      </c>
      <c r="AE267" s="31" t="str">
        <f>IF($D267="","",IFERROR(VLOOKUP($B267,Miljö!$B$1:$E$550,MATCH("Hjälpel kraftvärme (GWh)",Miljö!$B$1:$E$1,0),FALSE)/1,0)-IFERROR(VLOOKUP($B267,'Slutlig allokering kvv'!$B$2:$BX$549,MATCH(AE$2,'Slutlig allokering kvv'!$B$1:$BX$1,0),FALSE)/1,0))</f>
        <v/>
      </c>
      <c r="AI267" s="39">
        <f t="shared" si="16"/>
        <v>0</v>
      </c>
      <c r="AK267" s="31">
        <f>IFERROR(VLOOKUP($B267,'Slutlig allokering kvv'!$B$2:$AX$549,MATCH("Summa slutlig allokerad tillförd energi (utan hjälpel och rökgaskondensering):",'Slutlig allokering kvv'!$B$1:$AX$1,0),FALSE)/1,"")</f>
        <v>0</v>
      </c>
      <c r="AM267" s="31" t="str">
        <f>IFERROR(1-VLOOKUP($B267,'Slutlig allokering kvv'!$B$2:$AX$549,MATCH("Andel av bränsle i kvv som allokerats till värme, exklusive rökgaskondensering och hjälpel",'Slutlig allokering kvv'!$B$1:$AX$1,0),FALSE),"")</f>
        <v/>
      </c>
      <c r="AO267" s="31" t="str">
        <f t="shared" si="17"/>
        <v/>
      </c>
      <c r="AP267" s="31" t="str">
        <f t="shared" si="18"/>
        <v/>
      </c>
      <c r="AR267" s="32" t="str">
        <f t="shared" si="19"/>
        <v/>
      </c>
    </row>
    <row r="268" spans="1:44" s="31" customFormat="1" x14ac:dyDescent="0.45">
      <c r="A268" s="31" t="s">
        <v>289</v>
      </c>
      <c r="B268" s="31" t="s">
        <v>288</v>
      </c>
      <c r="C268" s="31" t="str">
        <f>IFERROR(VLOOKUP($B268,Kraftvärmeprod!$B$1:$AH$479,MATCH(C$2,Kraftvärmeprod!$B$1:$AG$1,0),FALSE)/1,"")</f>
        <v/>
      </c>
      <c r="D268" s="31" t="str">
        <f>IFERROR(VLOOKUP($B268,Kraftvärmeprod!$B$1:$AH$479,MATCH(D$2,Kraftvärmeprod!$B$1:$AG$1,0),FALSE)/1,"")</f>
        <v/>
      </c>
      <c r="F268" s="31" t="str">
        <f>IF($D268="","",IFERROR(VLOOKUP($B268,Kraftvärmeprod!$B$1:$BX$550,MATCH(F$2,Kraftvärmeprod!$B$1:$VX$1,0),FALSE)/1,0)-IFERROR(VLOOKUP($B268,'Slutlig allokering kvv'!$B$2:$BX$550,MATCH(F$2,'Slutlig allokering kvv'!$B$1:$BX$1,0),FALSE)/1,0))</f>
        <v/>
      </c>
      <c r="G268" s="31" t="str">
        <f>IF($D268="","",IFERROR(VLOOKUP($B268,Kraftvärmeprod!$B$1:$BX$550,MATCH(G$2,Kraftvärmeprod!$B$1:$VX$1,0),FALSE)/1,0)-IFERROR(VLOOKUP($B268,'Slutlig allokering kvv'!$B$2:$BX$550,MATCH(G$2,'Slutlig allokering kvv'!$B$1:$BX$1,0),FALSE)/1,0))</f>
        <v/>
      </c>
      <c r="H268" s="31" t="str">
        <f>IF($D268="","",IFERROR(VLOOKUP($B268,Kraftvärmeprod!$B$1:$BX$550,MATCH(H$2,Kraftvärmeprod!$B$1:$VX$1,0),FALSE)/1,0)-IFERROR(VLOOKUP($B268,'Slutlig allokering kvv'!$B$2:$BX$550,MATCH(H$2,'Slutlig allokering kvv'!$B$1:$BX$1,0),FALSE)/1,0))</f>
        <v/>
      </c>
      <c r="I268" s="31" t="str">
        <f>IF($D268="","",IFERROR(VLOOKUP($B268,Kraftvärmeprod!$B$1:$BX$550,MATCH(I$2,Kraftvärmeprod!$B$1:$VX$1,0),FALSE)/1,0)-IFERROR(VLOOKUP($B268,'Slutlig allokering kvv'!$B$2:$BX$550,MATCH(I$2,'Slutlig allokering kvv'!$B$1:$BX$1,0),FALSE)/1,0))</f>
        <v/>
      </c>
      <c r="J268" s="31" t="str">
        <f>IF($D268="","",IFERROR(VLOOKUP($B268,Kraftvärmeprod!$B$1:$BX$550,MATCH(J$2,Kraftvärmeprod!$B$1:$VX$1,0),FALSE)/1,0)-IFERROR(VLOOKUP($B268,'Slutlig allokering kvv'!$B$2:$BX$550,MATCH(J$2,'Slutlig allokering kvv'!$B$1:$BX$1,0),FALSE)/1,0))</f>
        <v/>
      </c>
      <c r="K268" s="31" t="str">
        <f>IF($D268="","",IFERROR(VLOOKUP($B268,Kraftvärmeprod!$B$1:$BX$550,MATCH(K$2,Kraftvärmeprod!$B$1:$VX$1,0),FALSE)/1,0)-IFERROR(VLOOKUP($B268,'Slutlig allokering kvv'!$B$2:$BX$550,MATCH(K$2,'Slutlig allokering kvv'!$B$1:$BX$1,0),FALSE)/1,0))</f>
        <v/>
      </c>
      <c r="L268" s="31" t="str">
        <f>IF($D268="","",IFERROR(VLOOKUP($B268,Kraftvärmeprod!$B$1:$BX$550,MATCH(L$2,Kraftvärmeprod!$B$1:$VX$1,0),FALSE)/1,0)-IFERROR(VLOOKUP($B268,'Slutlig allokering kvv'!$B$2:$BX$550,MATCH(L$2,'Slutlig allokering kvv'!$B$1:$BX$1,0),FALSE)/1,0))</f>
        <v/>
      </c>
      <c r="M268" s="31" t="str">
        <f>IF($D268="","",IFERROR(VLOOKUP($B268,Kraftvärmeprod!$B$1:$BX$550,MATCH(M$2,Kraftvärmeprod!$B$1:$VX$1,0),FALSE)/1,0)-IFERROR(VLOOKUP($B268,'Slutlig allokering kvv'!$B$2:$BX$550,MATCH(M$2,'Slutlig allokering kvv'!$B$1:$BX$1,0),FALSE)/1,0))</f>
        <v/>
      </c>
      <c r="N268" s="31" t="str">
        <f>IF($D268="","",IFERROR(VLOOKUP($B268,Kraftvärmeprod!$B$1:$BX$550,MATCH(N$2,Kraftvärmeprod!$B$1:$VX$1,0),FALSE)/1,0)-IFERROR(VLOOKUP($B268,'Slutlig allokering kvv'!$B$2:$BX$550,MATCH(N$2,'Slutlig allokering kvv'!$B$1:$BX$1,0),FALSE)/1,0))</f>
        <v/>
      </c>
      <c r="O268" s="31" t="str">
        <f>IF($D268="","",IFERROR(VLOOKUP($B268,Kraftvärmeprod!$B$1:$BX$550,MATCH(O$2,Kraftvärmeprod!$B$1:$VX$1,0),FALSE)/1,0)-IFERROR(VLOOKUP($B268,'Slutlig allokering kvv'!$B$2:$BX$550,MATCH(O$2,'Slutlig allokering kvv'!$B$1:$BX$1,0),FALSE)/1,0))</f>
        <v/>
      </c>
      <c r="P268" s="31" t="str">
        <f>IF($D268="","",IFERROR(VLOOKUP($B268,Kraftvärmeprod!$B$1:$BX$550,MATCH(P$2,Kraftvärmeprod!$B$1:$VX$1,0),FALSE)/1,0)-IFERROR(VLOOKUP($B268,'Slutlig allokering kvv'!$B$2:$BX$550,MATCH(P$2,'Slutlig allokering kvv'!$B$1:$BX$1,0),FALSE)/1,0))</f>
        <v/>
      </c>
      <c r="Q268" s="31" t="str">
        <f>IF($D268="","",IFERROR(VLOOKUP($B268,Kraftvärmeprod!$B$1:$BX$550,MATCH(Q$2,Kraftvärmeprod!$B$1:$VX$1,0),FALSE)/1,0)-IFERROR(VLOOKUP($B268,'Slutlig allokering kvv'!$B$2:$BX$550,MATCH(Q$2,'Slutlig allokering kvv'!$B$1:$BX$1,0),FALSE)/1,0))</f>
        <v/>
      </c>
      <c r="R268" s="31" t="str">
        <f>IF($D268="","",IFERROR(VLOOKUP($B268,Kraftvärmeprod!$B$1:$BX$550,MATCH(R$2,Kraftvärmeprod!$B$1:$VX$1,0),FALSE)/1,0)-IFERROR(VLOOKUP($B268,'Slutlig allokering kvv'!$B$2:$BX$550,MATCH(R$2,'Slutlig allokering kvv'!$B$1:$BX$1,0),FALSE)/1,0))</f>
        <v/>
      </c>
      <c r="S268" s="31" t="str">
        <f>IF($D268="","",IFERROR(VLOOKUP($B268,Kraftvärmeprod!$B$1:$BX$550,MATCH(S$2,Kraftvärmeprod!$B$1:$VX$1,0),FALSE)/1,0)-IFERROR(VLOOKUP($B268,'Slutlig allokering kvv'!$B$2:$BX$550,MATCH(S$2,'Slutlig allokering kvv'!$B$1:$BX$1,0),FALSE)/1,0))</f>
        <v/>
      </c>
      <c r="T268" s="31" t="str">
        <f>IF($D268="","",IFERROR(VLOOKUP($B268,Kraftvärmeprod!$B$1:$BX$550,MATCH(T$2,Kraftvärmeprod!$B$1:$VX$1,0),FALSE)/1,0)-IFERROR(VLOOKUP($B268,'Slutlig allokering kvv'!$B$2:$BX$550,MATCH(T$2,'Slutlig allokering kvv'!$B$1:$BX$1,0),FALSE)/1,0))</f>
        <v/>
      </c>
      <c r="U268" s="31" t="str">
        <f>IF($D268="","",IFERROR(VLOOKUP($B268,Kraftvärmeprod!$B$1:$BX$550,MATCH(U$2,Kraftvärmeprod!$B$1:$VX$1,0),FALSE)/1,0)-IFERROR(VLOOKUP($B268,'Slutlig allokering kvv'!$B$2:$BX$550,MATCH(U$2,'Slutlig allokering kvv'!$B$1:$BX$1,0),FALSE)/1,0))</f>
        <v/>
      </c>
      <c r="V268" s="31" t="str">
        <f>IF($D268="","",IFERROR(VLOOKUP($B268,Kraftvärmeprod!$B$1:$BX$550,MATCH(V$2,Kraftvärmeprod!$B$1:$VX$1,0),FALSE)/1,0)-IFERROR(VLOOKUP($B268,'Slutlig allokering kvv'!$B$2:$BX$550,MATCH(V$2,'Slutlig allokering kvv'!$B$1:$BX$1,0),FALSE)/1,0))</f>
        <v/>
      </c>
      <c r="W268" s="31" t="str">
        <f>IF($D268="","",IFERROR(VLOOKUP($B268,Kraftvärmeprod!$B$1:$BX$550,MATCH(W$2,Kraftvärmeprod!$B$1:$VX$1,0),FALSE)/1,0)-IFERROR(VLOOKUP($B268,'Slutlig allokering kvv'!$B$2:$BX$550,MATCH(W$2,'Slutlig allokering kvv'!$B$1:$BX$1,0),FALSE)/1,0))</f>
        <v/>
      </c>
      <c r="X268" s="31" t="str">
        <f>IF($D268="","",IFERROR(VLOOKUP($B268,Kraftvärmeprod!$B$1:$BX$550,MATCH(X$2,Kraftvärmeprod!$B$1:$VX$1,0),FALSE)/1,0)-IFERROR(VLOOKUP($B268,'Slutlig allokering kvv'!$B$2:$BX$550,MATCH(X$2,'Slutlig allokering kvv'!$B$1:$BX$1,0),FALSE)/1,0))</f>
        <v/>
      </c>
      <c r="Y268" s="31" t="str">
        <f>IF($D268="","",IFERROR(VLOOKUP($B268,Kraftvärmeprod!$B$1:$BX$550,MATCH(Y$2,Kraftvärmeprod!$B$1:$VX$1,0),FALSE)/1,0)-IFERROR(VLOOKUP($B268,'Slutlig allokering kvv'!$B$2:$BX$550,MATCH(Y$2,'Slutlig allokering kvv'!$B$1:$BX$1,0),FALSE)/1,0))</f>
        <v/>
      </c>
      <c r="Z268" s="31" t="str">
        <f>IF($D268="","",IFERROR(VLOOKUP($B268,Kraftvärmeprod!$B$1:$BX$550,MATCH(Z$2,Kraftvärmeprod!$B$1:$VX$1,0),FALSE)/1,0)-IFERROR(VLOOKUP($B268,'Slutlig allokering kvv'!$B$2:$BX$550,MATCH(Z$2,'Slutlig allokering kvv'!$B$1:$BX$1,0),FALSE)/1,0))</f>
        <v/>
      </c>
      <c r="AA268" s="31" t="str">
        <f>IF($D268="","",IFERROR(VLOOKUP($B268,Kraftvärmeprod!$B$1:$BX$550,MATCH(AA$2,Kraftvärmeprod!$B$1:$VX$1,0),FALSE)/1,0)-IFERROR(VLOOKUP($B268,'Slutlig allokering kvv'!$B$2:$BX$550,MATCH(AA$2,'Slutlig allokering kvv'!$B$1:$BX$1,0),FALSE)/1,0))</f>
        <v/>
      </c>
      <c r="AB268" s="31" t="str">
        <f>IF($D268="","",IFERROR(VLOOKUP($B268,Kraftvärmeprod!$B$1:$BX$550,MATCH(AB$2,Kraftvärmeprod!$B$1:$VX$1,0),FALSE)/1,0)-IFERROR(VLOOKUP($B268,'Slutlig allokering kvv'!$B$2:$BX$550,MATCH(AB$2,'Slutlig allokering kvv'!$B$1:$BX$1,0),FALSE)/1,0))</f>
        <v/>
      </c>
      <c r="AC268" s="31" t="str">
        <f>IF($D268="","",IFERROR(VLOOKUP($B268,Kraftvärmeprod!$B$1:$BX$550,MATCH(AC$2,Kraftvärmeprod!$B$1:$VX$1,0),FALSE)/1,0)-IFERROR(VLOOKUP($B268,'Slutlig allokering kvv'!$B$2:$BX$550,MATCH(AC$2,'Slutlig allokering kvv'!$B$1:$BX$1,0),FALSE)/1,0))</f>
        <v/>
      </c>
      <c r="AD268" s="31" t="str">
        <f>IF($D268="","",IFERROR(VLOOKUP($B268,Kraftvärmeprod!$B$1:$BX$550,MATCH(AD$2,Kraftvärmeprod!$B$1:$VX$1,0),FALSE)/1,0)-IFERROR(VLOOKUP($B268,'Slutlig allokering kvv'!$B$2:$BX$550,MATCH(AD$2,'Slutlig allokering kvv'!$B$1:$BX$1,0),FALSE)/1,0))</f>
        <v/>
      </c>
      <c r="AE268" s="31" t="str">
        <f>IF($D268="","",IFERROR(VLOOKUP($B268,Miljö!$B$1:$E$550,MATCH("Hjälpel kraftvärme (GWh)",Miljö!$B$1:$E$1,0),FALSE)/1,0)-IFERROR(VLOOKUP($B268,'Slutlig allokering kvv'!$B$2:$BX$549,MATCH(AE$2,'Slutlig allokering kvv'!$B$1:$BX$1,0),FALSE)/1,0))</f>
        <v/>
      </c>
      <c r="AI268" s="39">
        <f t="shared" si="16"/>
        <v>0</v>
      </c>
      <c r="AK268" s="31">
        <f>IFERROR(VLOOKUP($B268,'Slutlig allokering kvv'!$B$2:$AX$549,MATCH("Summa slutlig allokerad tillförd energi (utan hjälpel och rökgaskondensering):",'Slutlig allokering kvv'!$B$1:$AX$1,0),FALSE)/1,"")</f>
        <v>0</v>
      </c>
      <c r="AM268" s="31" t="str">
        <f>IFERROR(1-VLOOKUP($B268,'Slutlig allokering kvv'!$B$2:$AX$549,MATCH("Andel av bränsle i kvv som allokerats till värme, exklusive rökgaskondensering och hjälpel",'Slutlig allokering kvv'!$B$1:$AX$1,0),FALSE),"")</f>
        <v/>
      </c>
      <c r="AO268" s="31" t="str">
        <f t="shared" si="17"/>
        <v/>
      </c>
      <c r="AP268" s="31" t="str">
        <f t="shared" si="18"/>
        <v/>
      </c>
      <c r="AR268" s="32" t="str">
        <f t="shared" si="19"/>
        <v/>
      </c>
    </row>
    <row r="269" spans="1:44" s="31" customFormat="1" x14ac:dyDescent="0.45">
      <c r="A269" s="31" t="s">
        <v>289</v>
      </c>
      <c r="B269" s="31" t="s">
        <v>293</v>
      </c>
      <c r="C269" s="31">
        <f>IFERROR(VLOOKUP($B269,Kraftvärmeprod!$B$1:$AH$479,MATCH(C$2,Kraftvärmeprod!$B$1:$AG$1,0),FALSE)/1,"")</f>
        <v>96.67</v>
      </c>
      <c r="D269" s="31">
        <f>IFERROR(VLOOKUP($B269,Kraftvärmeprod!$B$1:$AH$479,MATCH(D$2,Kraftvärmeprod!$B$1:$AG$1,0),FALSE)/1,"")</f>
        <v>24.754000000000001</v>
      </c>
      <c r="F269" s="31">
        <f>IF($D269="","",IFERROR(VLOOKUP($B269,Kraftvärmeprod!$B$1:$BX$550,MATCH(F$2,Kraftvärmeprod!$B$1:$VX$1,0),FALSE)/1,0)-IFERROR(VLOOKUP($B269,'Slutlig allokering kvv'!$B$2:$BX$550,MATCH(F$2,'Slutlig allokering kvv'!$B$1:$BX$1,0),FALSE)/1,0))</f>
        <v>0</v>
      </c>
      <c r="G269" s="31">
        <f>IF($D269="","",IFERROR(VLOOKUP($B269,Kraftvärmeprod!$B$1:$BX$550,MATCH(G$2,Kraftvärmeprod!$B$1:$VX$1,0),FALSE)/1,0)-IFERROR(VLOOKUP($B269,'Slutlig allokering kvv'!$B$2:$BX$550,MATCH(G$2,'Slutlig allokering kvv'!$B$1:$BX$1,0),FALSE)/1,0))</f>
        <v>0</v>
      </c>
      <c r="H269" s="31">
        <f>IF($D269="","",IFERROR(VLOOKUP($B269,Kraftvärmeprod!$B$1:$BX$550,MATCH(H$2,Kraftvärmeprod!$B$1:$VX$1,0),FALSE)/1,0)-IFERROR(VLOOKUP($B269,'Slutlig allokering kvv'!$B$2:$BX$550,MATCH(H$2,'Slutlig allokering kvv'!$B$1:$BX$1,0),FALSE)/1,0))</f>
        <v>0</v>
      </c>
      <c r="I269" s="31">
        <f>IF($D269="","",IFERROR(VLOOKUP($B269,Kraftvärmeprod!$B$1:$BX$550,MATCH(I$2,Kraftvärmeprod!$B$1:$VX$1,0),FALSE)/1,0)-IFERROR(VLOOKUP($B269,'Slutlig allokering kvv'!$B$2:$BX$550,MATCH(I$2,'Slutlig allokering kvv'!$B$1:$BX$1,0),FALSE)/1,0))</f>
        <v>0</v>
      </c>
      <c r="J269" s="31">
        <f>IF($D269="","",IFERROR(VLOOKUP($B269,Kraftvärmeprod!$B$1:$BX$550,MATCH(J$2,Kraftvärmeprod!$B$1:$VX$1,0),FALSE)/1,0)-IFERROR(VLOOKUP($B269,'Slutlig allokering kvv'!$B$2:$BX$550,MATCH(J$2,'Slutlig allokering kvv'!$B$1:$BX$1,0),FALSE)/1,0))</f>
        <v>0</v>
      </c>
      <c r="K269" s="31">
        <f>IF($D269="","",IFERROR(VLOOKUP($B269,Kraftvärmeprod!$B$1:$BX$550,MATCH(K$2,Kraftvärmeprod!$B$1:$VX$1,0),FALSE)/1,0)-IFERROR(VLOOKUP($B269,'Slutlig allokering kvv'!$B$2:$BX$550,MATCH(K$2,'Slutlig allokering kvv'!$B$1:$BX$1,0),FALSE)/1,0))</f>
        <v>0</v>
      </c>
      <c r="L269" s="31">
        <f>IF($D269="","",IFERROR(VLOOKUP($B269,Kraftvärmeprod!$B$1:$BX$550,MATCH(L$2,Kraftvärmeprod!$B$1:$VX$1,0),FALSE)/1,0)-IFERROR(VLOOKUP($B269,'Slutlig allokering kvv'!$B$2:$BX$550,MATCH(L$2,'Slutlig allokering kvv'!$B$1:$BX$1,0),FALSE)/1,0))</f>
        <v>1.2979699999999998</v>
      </c>
      <c r="M269" s="31">
        <f>IF($D269="","",IFERROR(VLOOKUP($B269,Kraftvärmeprod!$B$1:$BX$550,MATCH(M$2,Kraftvärmeprod!$B$1:$VX$1,0),FALSE)/1,0)-IFERROR(VLOOKUP($B269,'Slutlig allokering kvv'!$B$2:$BX$550,MATCH(M$2,'Slutlig allokering kvv'!$B$1:$BX$1,0),FALSE)/1,0))</f>
        <v>0</v>
      </c>
      <c r="N269" s="31">
        <f>IF($D269="","",IFERROR(VLOOKUP($B269,Kraftvärmeprod!$B$1:$BX$550,MATCH(N$2,Kraftvärmeprod!$B$1:$VX$1,0),FALSE)/1,0)-IFERROR(VLOOKUP($B269,'Slutlig allokering kvv'!$B$2:$BX$550,MATCH(N$2,'Slutlig allokering kvv'!$B$1:$BX$1,0),FALSE)/1,0))</f>
        <v>0</v>
      </c>
      <c r="O269" s="31">
        <f>IF($D269="","",IFERROR(VLOOKUP($B269,Kraftvärmeprod!$B$1:$BX$550,MATCH(O$2,Kraftvärmeprod!$B$1:$VX$1,0),FALSE)/1,0)-IFERROR(VLOOKUP($B269,'Slutlig allokering kvv'!$B$2:$BX$550,MATCH(O$2,'Slutlig allokering kvv'!$B$1:$BX$1,0),FALSE)/1,0))</f>
        <v>0</v>
      </c>
      <c r="P269" s="31">
        <f>IF($D269="","",IFERROR(VLOOKUP($B269,Kraftvärmeprod!$B$1:$BX$550,MATCH(P$2,Kraftvärmeprod!$B$1:$VX$1,0),FALSE)/1,0)-IFERROR(VLOOKUP($B269,'Slutlig allokering kvv'!$B$2:$BX$550,MATCH(P$2,'Slutlig allokering kvv'!$B$1:$BX$1,0),FALSE)/1,0))</f>
        <v>0</v>
      </c>
      <c r="Q269" s="31">
        <f>IF($D269="","",IFERROR(VLOOKUP($B269,Kraftvärmeprod!$B$1:$BX$550,MATCH(Q$2,Kraftvärmeprod!$B$1:$VX$1,0),FALSE)/1,0)-IFERROR(VLOOKUP($B269,'Slutlig allokering kvv'!$B$2:$BX$550,MATCH(Q$2,'Slutlig allokering kvv'!$B$1:$BX$1,0),FALSE)/1,0))</f>
        <v>0</v>
      </c>
      <c r="R269" s="31">
        <f>IF($D269="","",IFERROR(VLOOKUP($B269,Kraftvärmeprod!$B$1:$BX$550,MATCH(R$2,Kraftvärmeprod!$B$1:$VX$1,0),FALSE)/1,0)-IFERROR(VLOOKUP($B269,'Slutlig allokering kvv'!$B$2:$BX$550,MATCH(R$2,'Slutlig allokering kvv'!$B$1:$BX$1,0),FALSE)/1,0))</f>
        <v>0</v>
      </c>
      <c r="S269" s="31">
        <f>IF($D269="","",IFERROR(VLOOKUP($B269,Kraftvärmeprod!$B$1:$BX$550,MATCH(S$2,Kraftvärmeprod!$B$1:$VX$1,0),FALSE)/1,0)-IFERROR(VLOOKUP($B269,'Slutlig allokering kvv'!$B$2:$BX$550,MATCH(S$2,'Slutlig allokering kvv'!$B$1:$BX$1,0),FALSE)/1,0))</f>
        <v>0</v>
      </c>
      <c r="T269" s="31">
        <f>IF($D269="","",IFERROR(VLOOKUP($B269,Kraftvärmeprod!$B$1:$BX$550,MATCH(T$2,Kraftvärmeprod!$B$1:$VX$1,0),FALSE)/1,0)-IFERROR(VLOOKUP($B269,'Slutlig allokering kvv'!$B$2:$BX$550,MATCH(T$2,'Slutlig allokering kvv'!$B$1:$BX$1,0),FALSE)/1,0))</f>
        <v>0</v>
      </c>
      <c r="U269" s="31">
        <f>IF($D269="","",IFERROR(VLOOKUP($B269,Kraftvärmeprod!$B$1:$BX$550,MATCH(U$2,Kraftvärmeprod!$B$1:$VX$1,0),FALSE)/1,0)-IFERROR(VLOOKUP($B269,'Slutlig allokering kvv'!$B$2:$BX$550,MATCH(U$2,'Slutlig allokering kvv'!$B$1:$BX$1,0),FALSE)/1,0))</f>
        <v>0</v>
      </c>
      <c r="V269" s="31">
        <f>IF($D269="","",IFERROR(VLOOKUP($B269,Kraftvärmeprod!$B$1:$BX$550,MATCH(V$2,Kraftvärmeprod!$B$1:$VX$1,0),FALSE)/1,0)-IFERROR(VLOOKUP($B269,'Slutlig allokering kvv'!$B$2:$BX$550,MATCH(V$2,'Slutlig allokering kvv'!$B$1:$BX$1,0),FALSE)/1,0))</f>
        <v>55.057000000000002</v>
      </c>
      <c r="W269" s="31">
        <f>IF($D269="","",IFERROR(VLOOKUP($B269,Kraftvärmeprod!$B$1:$BX$550,MATCH(W$2,Kraftvärmeprod!$B$1:$VX$1,0),FALSE)/1,0)-IFERROR(VLOOKUP($B269,'Slutlig allokering kvv'!$B$2:$BX$550,MATCH(W$2,'Slutlig allokering kvv'!$B$1:$BX$1,0),FALSE)/1,0))</f>
        <v>0</v>
      </c>
      <c r="X269" s="31">
        <f>IF($D269="","",IFERROR(VLOOKUP($B269,Kraftvärmeprod!$B$1:$BX$550,MATCH(X$2,Kraftvärmeprod!$B$1:$VX$1,0),FALSE)/1,0)-IFERROR(VLOOKUP($B269,'Slutlig allokering kvv'!$B$2:$BX$550,MATCH(X$2,'Slutlig allokering kvv'!$B$1:$BX$1,0),FALSE)/1,0))</f>
        <v>3.4121800000000008E-2</v>
      </c>
      <c r="Y269" s="31">
        <f>IF($D269="","",IFERROR(VLOOKUP($B269,Kraftvärmeprod!$B$1:$BX$550,MATCH(Y$2,Kraftvärmeprod!$B$1:$VX$1,0),FALSE)/1,0)-IFERROR(VLOOKUP($B269,'Slutlig allokering kvv'!$B$2:$BX$550,MATCH(Y$2,'Slutlig allokering kvv'!$B$1:$BX$1,0),FALSE)/1,0))</f>
        <v>0</v>
      </c>
      <c r="Z269" s="31">
        <f>IF($D269="","",IFERROR(VLOOKUP($B269,Kraftvärmeprod!$B$1:$BX$550,MATCH(Z$2,Kraftvärmeprod!$B$1:$VX$1,0),FALSE)/1,0)-IFERROR(VLOOKUP($B269,'Slutlig allokering kvv'!$B$2:$BX$550,MATCH(Z$2,'Slutlig allokering kvv'!$B$1:$BX$1,0),FALSE)/1,0))</f>
        <v>0</v>
      </c>
      <c r="AA269" s="31">
        <f>IF($D269="","",IFERROR(VLOOKUP($B269,Kraftvärmeprod!$B$1:$BX$550,MATCH(AA$2,Kraftvärmeprod!$B$1:$VX$1,0),FALSE)/1,0)-IFERROR(VLOOKUP($B269,'Slutlig allokering kvv'!$B$2:$BX$550,MATCH(AA$2,'Slutlig allokering kvv'!$B$1:$BX$1,0),FALSE)/1,0))</f>
        <v>0</v>
      </c>
      <c r="AB269" s="31">
        <f>IF($D269="","",IFERROR(VLOOKUP($B269,Kraftvärmeprod!$B$1:$BX$550,MATCH(AB$2,Kraftvärmeprod!$B$1:$VX$1,0),FALSE)/1,0)-IFERROR(VLOOKUP($B269,'Slutlig allokering kvv'!$B$2:$BX$550,MATCH(AB$2,'Slutlig allokering kvv'!$B$1:$BX$1,0),FALSE)/1,0))</f>
        <v>0</v>
      </c>
      <c r="AC269" s="31">
        <f>IF($D269="","",IFERROR(VLOOKUP($B269,Kraftvärmeprod!$B$1:$BX$550,MATCH(AC$2,Kraftvärmeprod!$B$1:$VX$1,0),FALSE)/1,0)-IFERROR(VLOOKUP($B269,'Slutlig allokering kvv'!$B$2:$BX$550,MATCH(AC$2,'Slutlig allokering kvv'!$B$1:$BX$1,0),FALSE)/1,0))</f>
        <v>0</v>
      </c>
      <c r="AD269" s="31">
        <f>IF($D269="","",IFERROR(VLOOKUP($B269,Kraftvärmeprod!$B$1:$BX$550,MATCH(AD$2,Kraftvärmeprod!$B$1:$VX$1,0),FALSE)/1,0)-IFERROR(VLOOKUP($B269,'Slutlig allokering kvv'!$B$2:$BX$550,MATCH(AD$2,'Slutlig allokering kvv'!$B$1:$BX$1,0),FALSE)/1,0))</f>
        <v>0</v>
      </c>
      <c r="AE269" s="31">
        <f>IF($D269="","",IFERROR(VLOOKUP($B269,Miljö!$B$1:$E$550,MATCH("Hjälpel kraftvärme (GWh)",Miljö!$B$1:$E$1,0),FALSE)/1,0)-IFERROR(VLOOKUP($B269,'Slutlig allokering kvv'!$B$2:$BX$549,MATCH(AE$2,'Slutlig allokering kvv'!$B$1:$BX$1,0),FALSE)/1,0))</f>
        <v>1.1305500000000002</v>
      </c>
      <c r="AI269" s="39">
        <f t="shared" si="16"/>
        <v>56.389091800000003</v>
      </c>
      <c r="AK269" s="31">
        <f>IFERROR(VLOOKUP($B269,'Slutlig allokering kvv'!$B$2:$AX$549,MATCH("Summa slutlig allokerad tillförd energi (utan hjälpel och rökgaskondensering):",'Slutlig allokering kvv'!$B$1:$AX$1,0),FALSE)/1,"")</f>
        <v>84.514908200000008</v>
      </c>
      <c r="AM269" s="31">
        <f>IFERROR(1-VLOOKUP($B269,'Slutlig allokering kvv'!$B$2:$AX$549,MATCH("Andel av bränsle i kvv som allokerats till värme, exklusive rökgaskondensering och hjälpel",'Slutlig allokering kvv'!$B$1:$AX$1,0),FALSE),"")</f>
        <v>0.40019511014591491</v>
      </c>
      <c r="AO269" s="31">
        <f t="shared" si="17"/>
        <v>0.40019511014591497</v>
      </c>
      <c r="AP269" s="31">
        <f t="shared" si="18"/>
        <v>-5.5511151231257827E-17</v>
      </c>
      <c r="AR269" s="32">
        <f t="shared" si="19"/>
        <v>0.43035733925589226</v>
      </c>
    </row>
    <row r="270" spans="1:44" s="31" customFormat="1" x14ac:dyDescent="0.45">
      <c r="A270" s="31" t="s">
        <v>286</v>
      </c>
      <c r="B270" s="31" t="s">
        <v>287</v>
      </c>
      <c r="C270" s="31" t="str">
        <f>IFERROR(VLOOKUP($B270,Kraftvärmeprod!$B$1:$AH$479,MATCH(C$2,Kraftvärmeprod!$B$1:$AG$1,0),FALSE)/1,"")</f>
        <v/>
      </c>
      <c r="D270" s="31" t="str">
        <f>IFERROR(VLOOKUP($B270,Kraftvärmeprod!$B$1:$AH$479,MATCH(D$2,Kraftvärmeprod!$B$1:$AG$1,0),FALSE)/1,"")</f>
        <v/>
      </c>
      <c r="F270" s="31" t="str">
        <f>IF($D270="","",IFERROR(VLOOKUP($B270,Kraftvärmeprod!$B$1:$BX$550,MATCH(F$2,Kraftvärmeprod!$B$1:$VX$1,0),FALSE)/1,0)-IFERROR(VLOOKUP($B270,'Slutlig allokering kvv'!$B$2:$BX$550,MATCH(F$2,'Slutlig allokering kvv'!$B$1:$BX$1,0),FALSE)/1,0))</f>
        <v/>
      </c>
      <c r="G270" s="31" t="str">
        <f>IF($D270="","",IFERROR(VLOOKUP($B270,Kraftvärmeprod!$B$1:$BX$550,MATCH(G$2,Kraftvärmeprod!$B$1:$VX$1,0),FALSE)/1,0)-IFERROR(VLOOKUP($B270,'Slutlig allokering kvv'!$B$2:$BX$550,MATCH(G$2,'Slutlig allokering kvv'!$B$1:$BX$1,0),FALSE)/1,0))</f>
        <v/>
      </c>
      <c r="H270" s="31" t="str">
        <f>IF($D270="","",IFERROR(VLOOKUP($B270,Kraftvärmeprod!$B$1:$BX$550,MATCH(H$2,Kraftvärmeprod!$B$1:$VX$1,0),FALSE)/1,0)-IFERROR(VLOOKUP($B270,'Slutlig allokering kvv'!$B$2:$BX$550,MATCH(H$2,'Slutlig allokering kvv'!$B$1:$BX$1,0),FALSE)/1,0))</f>
        <v/>
      </c>
      <c r="I270" s="31" t="str">
        <f>IF($D270="","",IFERROR(VLOOKUP($B270,Kraftvärmeprod!$B$1:$BX$550,MATCH(I$2,Kraftvärmeprod!$B$1:$VX$1,0),FALSE)/1,0)-IFERROR(VLOOKUP($B270,'Slutlig allokering kvv'!$B$2:$BX$550,MATCH(I$2,'Slutlig allokering kvv'!$B$1:$BX$1,0),FALSE)/1,0))</f>
        <v/>
      </c>
      <c r="J270" s="31" t="str">
        <f>IF($D270="","",IFERROR(VLOOKUP($B270,Kraftvärmeprod!$B$1:$BX$550,MATCH(J$2,Kraftvärmeprod!$B$1:$VX$1,0),FALSE)/1,0)-IFERROR(VLOOKUP($B270,'Slutlig allokering kvv'!$B$2:$BX$550,MATCH(J$2,'Slutlig allokering kvv'!$B$1:$BX$1,0),FALSE)/1,0))</f>
        <v/>
      </c>
      <c r="K270" s="31" t="str">
        <f>IF($D270="","",IFERROR(VLOOKUP($B270,Kraftvärmeprod!$B$1:$BX$550,MATCH(K$2,Kraftvärmeprod!$B$1:$VX$1,0),FALSE)/1,0)-IFERROR(VLOOKUP($B270,'Slutlig allokering kvv'!$B$2:$BX$550,MATCH(K$2,'Slutlig allokering kvv'!$B$1:$BX$1,0),FALSE)/1,0))</f>
        <v/>
      </c>
      <c r="L270" s="31" t="str">
        <f>IF($D270="","",IFERROR(VLOOKUP($B270,Kraftvärmeprod!$B$1:$BX$550,MATCH(L$2,Kraftvärmeprod!$B$1:$VX$1,0),FALSE)/1,0)-IFERROR(VLOOKUP($B270,'Slutlig allokering kvv'!$B$2:$BX$550,MATCH(L$2,'Slutlig allokering kvv'!$B$1:$BX$1,0),FALSE)/1,0))</f>
        <v/>
      </c>
      <c r="M270" s="31" t="str">
        <f>IF($D270="","",IFERROR(VLOOKUP($B270,Kraftvärmeprod!$B$1:$BX$550,MATCH(M$2,Kraftvärmeprod!$B$1:$VX$1,0),FALSE)/1,0)-IFERROR(VLOOKUP($B270,'Slutlig allokering kvv'!$B$2:$BX$550,MATCH(M$2,'Slutlig allokering kvv'!$B$1:$BX$1,0),FALSE)/1,0))</f>
        <v/>
      </c>
      <c r="N270" s="31" t="str">
        <f>IF($D270="","",IFERROR(VLOOKUP($B270,Kraftvärmeprod!$B$1:$BX$550,MATCH(N$2,Kraftvärmeprod!$B$1:$VX$1,0),FALSE)/1,0)-IFERROR(VLOOKUP($B270,'Slutlig allokering kvv'!$B$2:$BX$550,MATCH(N$2,'Slutlig allokering kvv'!$B$1:$BX$1,0),FALSE)/1,0))</f>
        <v/>
      </c>
      <c r="O270" s="31" t="str">
        <f>IF($D270="","",IFERROR(VLOOKUP($B270,Kraftvärmeprod!$B$1:$BX$550,MATCH(O$2,Kraftvärmeprod!$B$1:$VX$1,0),FALSE)/1,0)-IFERROR(VLOOKUP($B270,'Slutlig allokering kvv'!$B$2:$BX$550,MATCH(O$2,'Slutlig allokering kvv'!$B$1:$BX$1,0),FALSE)/1,0))</f>
        <v/>
      </c>
      <c r="P270" s="31" t="str">
        <f>IF($D270="","",IFERROR(VLOOKUP($B270,Kraftvärmeprod!$B$1:$BX$550,MATCH(P$2,Kraftvärmeprod!$B$1:$VX$1,0),FALSE)/1,0)-IFERROR(VLOOKUP($B270,'Slutlig allokering kvv'!$B$2:$BX$550,MATCH(P$2,'Slutlig allokering kvv'!$B$1:$BX$1,0),FALSE)/1,0))</f>
        <v/>
      </c>
      <c r="Q270" s="31" t="str">
        <f>IF($D270="","",IFERROR(VLOOKUP($B270,Kraftvärmeprod!$B$1:$BX$550,MATCH(Q$2,Kraftvärmeprod!$B$1:$VX$1,0),FALSE)/1,0)-IFERROR(VLOOKUP($B270,'Slutlig allokering kvv'!$B$2:$BX$550,MATCH(Q$2,'Slutlig allokering kvv'!$B$1:$BX$1,0),FALSE)/1,0))</f>
        <v/>
      </c>
      <c r="R270" s="31" t="str">
        <f>IF($D270="","",IFERROR(VLOOKUP($B270,Kraftvärmeprod!$B$1:$BX$550,MATCH(R$2,Kraftvärmeprod!$B$1:$VX$1,0),FALSE)/1,0)-IFERROR(VLOOKUP($B270,'Slutlig allokering kvv'!$B$2:$BX$550,MATCH(R$2,'Slutlig allokering kvv'!$B$1:$BX$1,0),FALSE)/1,0))</f>
        <v/>
      </c>
      <c r="S270" s="31" t="str">
        <f>IF($D270="","",IFERROR(VLOOKUP($B270,Kraftvärmeprod!$B$1:$BX$550,MATCH(S$2,Kraftvärmeprod!$B$1:$VX$1,0),FALSE)/1,0)-IFERROR(VLOOKUP($B270,'Slutlig allokering kvv'!$B$2:$BX$550,MATCH(S$2,'Slutlig allokering kvv'!$B$1:$BX$1,0),FALSE)/1,0))</f>
        <v/>
      </c>
      <c r="T270" s="31" t="str">
        <f>IF($D270="","",IFERROR(VLOOKUP($B270,Kraftvärmeprod!$B$1:$BX$550,MATCH(T$2,Kraftvärmeprod!$B$1:$VX$1,0),FALSE)/1,0)-IFERROR(VLOOKUP($B270,'Slutlig allokering kvv'!$B$2:$BX$550,MATCH(T$2,'Slutlig allokering kvv'!$B$1:$BX$1,0),FALSE)/1,0))</f>
        <v/>
      </c>
      <c r="U270" s="31" t="str">
        <f>IF($D270="","",IFERROR(VLOOKUP($B270,Kraftvärmeprod!$B$1:$BX$550,MATCH(U$2,Kraftvärmeprod!$B$1:$VX$1,0),FALSE)/1,0)-IFERROR(VLOOKUP($B270,'Slutlig allokering kvv'!$B$2:$BX$550,MATCH(U$2,'Slutlig allokering kvv'!$B$1:$BX$1,0),FALSE)/1,0))</f>
        <v/>
      </c>
      <c r="V270" s="31" t="str">
        <f>IF($D270="","",IFERROR(VLOOKUP($B270,Kraftvärmeprod!$B$1:$BX$550,MATCH(V$2,Kraftvärmeprod!$B$1:$VX$1,0),FALSE)/1,0)-IFERROR(VLOOKUP($B270,'Slutlig allokering kvv'!$B$2:$BX$550,MATCH(V$2,'Slutlig allokering kvv'!$B$1:$BX$1,0),FALSE)/1,0))</f>
        <v/>
      </c>
      <c r="W270" s="31" t="str">
        <f>IF($D270="","",IFERROR(VLOOKUP($B270,Kraftvärmeprod!$B$1:$BX$550,MATCH(W$2,Kraftvärmeprod!$B$1:$VX$1,0),FALSE)/1,0)-IFERROR(VLOOKUP($B270,'Slutlig allokering kvv'!$B$2:$BX$550,MATCH(W$2,'Slutlig allokering kvv'!$B$1:$BX$1,0),FALSE)/1,0))</f>
        <v/>
      </c>
      <c r="X270" s="31" t="str">
        <f>IF($D270="","",IFERROR(VLOOKUP($B270,Kraftvärmeprod!$B$1:$BX$550,MATCH(X$2,Kraftvärmeprod!$B$1:$VX$1,0),FALSE)/1,0)-IFERROR(VLOOKUP($B270,'Slutlig allokering kvv'!$B$2:$BX$550,MATCH(X$2,'Slutlig allokering kvv'!$B$1:$BX$1,0),FALSE)/1,0))</f>
        <v/>
      </c>
      <c r="Y270" s="31" t="str">
        <f>IF($D270="","",IFERROR(VLOOKUP($B270,Kraftvärmeprod!$B$1:$BX$550,MATCH(Y$2,Kraftvärmeprod!$B$1:$VX$1,0),FALSE)/1,0)-IFERROR(VLOOKUP($B270,'Slutlig allokering kvv'!$B$2:$BX$550,MATCH(Y$2,'Slutlig allokering kvv'!$B$1:$BX$1,0),FALSE)/1,0))</f>
        <v/>
      </c>
      <c r="Z270" s="31" t="str">
        <f>IF($D270="","",IFERROR(VLOOKUP($B270,Kraftvärmeprod!$B$1:$BX$550,MATCH(Z$2,Kraftvärmeprod!$B$1:$VX$1,0),FALSE)/1,0)-IFERROR(VLOOKUP($B270,'Slutlig allokering kvv'!$B$2:$BX$550,MATCH(Z$2,'Slutlig allokering kvv'!$B$1:$BX$1,0),FALSE)/1,0))</f>
        <v/>
      </c>
      <c r="AA270" s="31" t="str">
        <f>IF($D270="","",IFERROR(VLOOKUP($B270,Kraftvärmeprod!$B$1:$BX$550,MATCH(AA$2,Kraftvärmeprod!$B$1:$VX$1,0),FALSE)/1,0)-IFERROR(VLOOKUP($B270,'Slutlig allokering kvv'!$B$2:$BX$550,MATCH(AA$2,'Slutlig allokering kvv'!$B$1:$BX$1,0),FALSE)/1,0))</f>
        <v/>
      </c>
      <c r="AB270" s="31" t="str">
        <f>IF($D270="","",IFERROR(VLOOKUP($B270,Kraftvärmeprod!$B$1:$BX$550,MATCH(AB$2,Kraftvärmeprod!$B$1:$VX$1,0),FALSE)/1,0)-IFERROR(VLOOKUP($B270,'Slutlig allokering kvv'!$B$2:$BX$550,MATCH(AB$2,'Slutlig allokering kvv'!$B$1:$BX$1,0),FALSE)/1,0))</f>
        <v/>
      </c>
      <c r="AC270" s="31" t="str">
        <f>IF($D270="","",IFERROR(VLOOKUP($B270,Kraftvärmeprod!$B$1:$BX$550,MATCH(AC$2,Kraftvärmeprod!$B$1:$VX$1,0),FALSE)/1,0)-IFERROR(VLOOKUP($B270,'Slutlig allokering kvv'!$B$2:$BX$550,MATCH(AC$2,'Slutlig allokering kvv'!$B$1:$BX$1,0),FALSE)/1,0))</f>
        <v/>
      </c>
      <c r="AD270" s="31" t="str">
        <f>IF($D270="","",IFERROR(VLOOKUP($B270,Kraftvärmeprod!$B$1:$BX$550,MATCH(AD$2,Kraftvärmeprod!$B$1:$VX$1,0),FALSE)/1,0)-IFERROR(VLOOKUP($B270,'Slutlig allokering kvv'!$B$2:$BX$550,MATCH(AD$2,'Slutlig allokering kvv'!$B$1:$BX$1,0),FALSE)/1,0))</f>
        <v/>
      </c>
      <c r="AE270" s="31" t="str">
        <f>IF($D270="","",IFERROR(VLOOKUP($B270,Miljö!$B$1:$E$550,MATCH("Hjälpel kraftvärme (GWh)",Miljö!$B$1:$E$1,0),FALSE)/1,0)-IFERROR(VLOOKUP($B270,'Slutlig allokering kvv'!$B$2:$BX$549,MATCH(AE$2,'Slutlig allokering kvv'!$B$1:$BX$1,0),FALSE)/1,0))</f>
        <v/>
      </c>
      <c r="AI270" s="39">
        <f t="shared" si="16"/>
        <v>0</v>
      </c>
      <c r="AK270" s="31">
        <f>IFERROR(VLOOKUP($B270,'Slutlig allokering kvv'!$B$2:$AX$549,MATCH("Summa slutlig allokerad tillförd energi (utan hjälpel och rökgaskondensering):",'Slutlig allokering kvv'!$B$1:$AX$1,0),FALSE)/1,"")</f>
        <v>0</v>
      </c>
      <c r="AM270" s="31" t="str">
        <f>IFERROR(1-VLOOKUP($B270,'Slutlig allokering kvv'!$B$2:$AX$549,MATCH("Andel av bränsle i kvv som allokerats till värme, exklusive rökgaskondensering och hjälpel",'Slutlig allokering kvv'!$B$1:$AX$1,0),FALSE),"")</f>
        <v/>
      </c>
      <c r="AO270" s="31" t="str">
        <f t="shared" si="17"/>
        <v/>
      </c>
      <c r="AP270" s="31" t="str">
        <f t="shared" si="18"/>
        <v/>
      </c>
      <c r="AR270" s="32" t="str">
        <f t="shared" si="19"/>
        <v/>
      </c>
    </row>
    <row r="271" spans="1:44" s="31" customFormat="1" x14ac:dyDescent="0.45">
      <c r="A271" s="31" t="s">
        <v>286</v>
      </c>
      <c r="B271" s="31" t="s">
        <v>285</v>
      </c>
      <c r="C271" s="31">
        <f>IFERROR(VLOOKUP($B271,Kraftvärmeprod!$B$1:$AH$479,MATCH(C$2,Kraftvärmeprod!$B$1:$AG$1,0),FALSE)/1,"")</f>
        <v>448.77</v>
      </c>
      <c r="D271" s="31">
        <f>IFERROR(VLOOKUP($B271,Kraftvärmeprod!$B$1:$AH$479,MATCH(D$2,Kraftvärmeprod!$B$1:$AG$1,0),FALSE)/1,"")</f>
        <v>223</v>
      </c>
      <c r="F271" s="31">
        <f>IF($D271="","",IFERROR(VLOOKUP($B271,Kraftvärmeprod!$B$1:$BX$550,MATCH(F$2,Kraftvärmeprod!$B$1:$VX$1,0),FALSE)/1,0)-IFERROR(VLOOKUP($B271,'Slutlig allokering kvv'!$B$2:$BX$550,MATCH(F$2,'Slutlig allokering kvv'!$B$1:$BX$1,0),FALSE)/1,0))</f>
        <v>0</v>
      </c>
      <c r="G271" s="31">
        <f>IF($D271="","",IFERROR(VLOOKUP($B271,Kraftvärmeprod!$B$1:$BX$550,MATCH(G$2,Kraftvärmeprod!$B$1:$VX$1,0),FALSE)/1,0)-IFERROR(VLOOKUP($B271,'Slutlig allokering kvv'!$B$2:$BX$550,MATCH(G$2,'Slutlig allokering kvv'!$B$1:$BX$1,0),FALSE)/1,0))</f>
        <v>0.63662200000000002</v>
      </c>
      <c r="H271" s="31">
        <f>IF($D271="","",IFERROR(VLOOKUP($B271,Kraftvärmeprod!$B$1:$BX$550,MATCH(H$2,Kraftvärmeprod!$B$1:$VX$1,0),FALSE)/1,0)-IFERROR(VLOOKUP($B271,'Slutlig allokering kvv'!$B$2:$BX$550,MATCH(H$2,'Slutlig allokering kvv'!$B$1:$BX$1,0),FALSE)/1,0))</f>
        <v>0</v>
      </c>
      <c r="I271" s="31">
        <f>IF($D271="","",IFERROR(VLOOKUP($B271,Kraftvärmeprod!$B$1:$BX$550,MATCH(I$2,Kraftvärmeprod!$B$1:$VX$1,0),FALSE)/1,0)-IFERROR(VLOOKUP($B271,'Slutlig allokering kvv'!$B$2:$BX$550,MATCH(I$2,'Slutlig allokering kvv'!$B$1:$BX$1,0),FALSE)/1,0))</f>
        <v>0</v>
      </c>
      <c r="J271" s="31">
        <f>IF($D271="","",IFERROR(VLOOKUP($B271,Kraftvärmeprod!$B$1:$BX$550,MATCH(J$2,Kraftvärmeprod!$B$1:$VX$1,0),FALSE)/1,0)-IFERROR(VLOOKUP($B271,'Slutlig allokering kvv'!$B$2:$BX$550,MATCH(J$2,'Slutlig allokering kvv'!$B$1:$BX$1,0),FALSE)/1,0))</f>
        <v>0</v>
      </c>
      <c r="K271" s="31">
        <f>IF($D271="","",IFERROR(VLOOKUP($B271,Kraftvärmeprod!$B$1:$BX$550,MATCH(K$2,Kraftvärmeprod!$B$1:$VX$1,0),FALSE)/1,0)-IFERROR(VLOOKUP($B271,'Slutlig allokering kvv'!$B$2:$BX$550,MATCH(K$2,'Slutlig allokering kvv'!$B$1:$BX$1,0),FALSE)/1,0))</f>
        <v>0</v>
      </c>
      <c r="L271" s="31">
        <f>IF($D271="","",IFERROR(VLOOKUP($B271,Kraftvärmeprod!$B$1:$BX$550,MATCH(L$2,Kraftvärmeprod!$B$1:$VX$1,0),FALSE)/1,0)-IFERROR(VLOOKUP($B271,'Slutlig allokering kvv'!$B$2:$BX$550,MATCH(L$2,'Slutlig allokering kvv'!$B$1:$BX$1,0),FALSE)/1,0))</f>
        <v>9.0226399999999991</v>
      </c>
      <c r="M271" s="31">
        <f>IF($D271="","",IFERROR(VLOOKUP($B271,Kraftvärmeprod!$B$1:$BX$550,MATCH(M$2,Kraftvärmeprod!$B$1:$VX$1,0),FALSE)/1,0)-IFERROR(VLOOKUP($B271,'Slutlig allokering kvv'!$B$2:$BX$550,MATCH(M$2,'Slutlig allokering kvv'!$B$1:$BX$1,0),FALSE)/1,0))</f>
        <v>2.2570700000000003E-2</v>
      </c>
      <c r="N271" s="31">
        <f>IF($D271="","",IFERROR(VLOOKUP($B271,Kraftvärmeprod!$B$1:$BX$550,MATCH(N$2,Kraftvärmeprod!$B$1:$VX$1,0),FALSE)/1,0)-IFERROR(VLOOKUP($B271,'Slutlig allokering kvv'!$B$2:$BX$550,MATCH(N$2,'Slutlig allokering kvv'!$B$1:$BX$1,0),FALSE)/1,0))</f>
        <v>39.622900000000001</v>
      </c>
      <c r="O271" s="31">
        <f>IF($D271="","",IFERROR(VLOOKUP($B271,Kraftvärmeprod!$B$1:$BX$550,MATCH(O$2,Kraftvärmeprod!$B$1:$VX$1,0),FALSE)/1,0)-IFERROR(VLOOKUP($B271,'Slutlig allokering kvv'!$B$2:$BX$550,MATCH(O$2,'Slutlig allokering kvv'!$B$1:$BX$1,0),FALSE)/1,0))</f>
        <v>75.047600000000003</v>
      </c>
      <c r="P271" s="31">
        <f>IF($D271="","",IFERROR(VLOOKUP($B271,Kraftvärmeprod!$B$1:$BX$550,MATCH(P$2,Kraftvärmeprod!$B$1:$VX$1,0),FALSE)/1,0)-IFERROR(VLOOKUP($B271,'Slutlig allokering kvv'!$B$2:$BX$550,MATCH(P$2,'Slutlig allokering kvv'!$B$1:$BX$1,0),FALSE)/1,0))</f>
        <v>0</v>
      </c>
      <c r="Q271" s="31">
        <f>IF($D271="","",IFERROR(VLOOKUP($B271,Kraftvärmeprod!$B$1:$BX$550,MATCH(Q$2,Kraftvärmeprod!$B$1:$VX$1,0),FALSE)/1,0)-IFERROR(VLOOKUP($B271,'Slutlig allokering kvv'!$B$2:$BX$550,MATCH(Q$2,'Slutlig allokering kvv'!$B$1:$BX$1,0),FALSE)/1,0))</f>
        <v>0.91975599999999991</v>
      </c>
      <c r="R271" s="31">
        <f>IF($D271="","",IFERROR(VLOOKUP($B271,Kraftvärmeprod!$B$1:$BX$550,MATCH(R$2,Kraftvärmeprod!$B$1:$VX$1,0),FALSE)/1,0)-IFERROR(VLOOKUP($B271,'Slutlig allokering kvv'!$B$2:$BX$550,MATCH(R$2,'Slutlig allokering kvv'!$B$1:$BX$1,0),FALSE)/1,0))</f>
        <v>0</v>
      </c>
      <c r="S271" s="31">
        <f>IF($D271="","",IFERROR(VLOOKUP($B271,Kraftvärmeprod!$B$1:$BX$550,MATCH(S$2,Kraftvärmeprod!$B$1:$VX$1,0),FALSE)/1,0)-IFERROR(VLOOKUP($B271,'Slutlig allokering kvv'!$B$2:$BX$550,MATCH(S$2,'Slutlig allokering kvv'!$B$1:$BX$1,0),FALSE)/1,0))</f>
        <v>0</v>
      </c>
      <c r="T271" s="31">
        <f>IF($D271="","",IFERROR(VLOOKUP($B271,Kraftvärmeprod!$B$1:$BX$550,MATCH(T$2,Kraftvärmeprod!$B$1:$VX$1,0),FALSE)/1,0)-IFERROR(VLOOKUP($B271,'Slutlig allokering kvv'!$B$2:$BX$550,MATCH(T$2,'Slutlig allokering kvv'!$B$1:$BX$1,0),FALSE)/1,0))</f>
        <v>0</v>
      </c>
      <c r="U271" s="31">
        <f>IF($D271="","",IFERROR(VLOOKUP($B271,Kraftvärmeprod!$B$1:$BX$550,MATCH(U$2,Kraftvärmeprod!$B$1:$VX$1,0),FALSE)/1,0)-IFERROR(VLOOKUP($B271,'Slutlig allokering kvv'!$B$2:$BX$550,MATCH(U$2,'Slutlig allokering kvv'!$B$1:$BX$1,0),FALSE)/1,0))</f>
        <v>0</v>
      </c>
      <c r="V271" s="31">
        <f>IF($D271="","",IFERROR(VLOOKUP($B271,Kraftvärmeprod!$B$1:$BX$550,MATCH(V$2,Kraftvärmeprod!$B$1:$VX$1,0),FALSE)/1,0)-IFERROR(VLOOKUP($B271,'Slutlig allokering kvv'!$B$2:$BX$550,MATCH(V$2,'Slutlig allokering kvv'!$B$1:$BX$1,0),FALSE)/1,0))</f>
        <v>287.85000000000002</v>
      </c>
      <c r="W271" s="31">
        <f>IF($D271="","",IFERROR(VLOOKUP($B271,Kraftvärmeprod!$B$1:$BX$550,MATCH(W$2,Kraftvärmeprod!$B$1:$VX$1,0),FALSE)/1,0)-IFERROR(VLOOKUP($B271,'Slutlig allokering kvv'!$B$2:$BX$550,MATCH(W$2,'Slutlig allokering kvv'!$B$1:$BX$1,0),FALSE)/1,0))</f>
        <v>0</v>
      </c>
      <c r="X271" s="31">
        <f>IF($D271="","",IFERROR(VLOOKUP($B271,Kraftvärmeprod!$B$1:$BX$550,MATCH(X$2,Kraftvärmeprod!$B$1:$VX$1,0),FALSE)/1,0)-IFERROR(VLOOKUP($B271,'Slutlig allokering kvv'!$B$2:$BX$550,MATCH(X$2,'Slutlig allokering kvv'!$B$1:$BX$1,0),FALSE)/1,0))</f>
        <v>0</v>
      </c>
      <c r="Y271" s="31">
        <f>IF($D271="","",IFERROR(VLOOKUP($B271,Kraftvärmeprod!$B$1:$BX$550,MATCH(Y$2,Kraftvärmeprod!$B$1:$VX$1,0),FALSE)/1,0)-IFERROR(VLOOKUP($B271,'Slutlig allokering kvv'!$B$2:$BX$550,MATCH(Y$2,'Slutlig allokering kvv'!$B$1:$BX$1,0),FALSE)/1,0))</f>
        <v>0</v>
      </c>
      <c r="Z271" s="31">
        <f>IF($D271="","",IFERROR(VLOOKUP($B271,Kraftvärmeprod!$B$1:$BX$550,MATCH(Z$2,Kraftvärmeprod!$B$1:$VX$1,0),FALSE)/1,0)-IFERROR(VLOOKUP($B271,'Slutlig allokering kvv'!$B$2:$BX$550,MATCH(Z$2,'Slutlig allokering kvv'!$B$1:$BX$1,0),FALSE)/1,0))</f>
        <v>0</v>
      </c>
      <c r="AA271" s="31">
        <f>IF($D271="","",IFERROR(VLOOKUP($B271,Kraftvärmeprod!$B$1:$BX$550,MATCH(AA$2,Kraftvärmeprod!$B$1:$VX$1,0),FALSE)/1,0)-IFERROR(VLOOKUP($B271,'Slutlig allokering kvv'!$B$2:$BX$550,MATCH(AA$2,'Slutlig allokering kvv'!$B$1:$BX$1,0),FALSE)/1,0))</f>
        <v>24.747</v>
      </c>
      <c r="AB271" s="31">
        <f>IF($D271="","",IFERROR(VLOOKUP($B271,Kraftvärmeprod!$B$1:$BX$550,MATCH(AB$2,Kraftvärmeprod!$B$1:$VX$1,0),FALSE)/1,0)-IFERROR(VLOOKUP($B271,'Slutlig allokering kvv'!$B$2:$BX$550,MATCH(AB$2,'Slutlig allokering kvv'!$B$1:$BX$1,0),FALSE)/1,0))</f>
        <v>0</v>
      </c>
      <c r="AC271" s="31">
        <f>IF($D271="","",IFERROR(VLOOKUP($B271,Kraftvärmeprod!$B$1:$BX$550,MATCH(AC$2,Kraftvärmeprod!$B$1:$VX$1,0),FALSE)/1,0)-IFERROR(VLOOKUP($B271,'Slutlig allokering kvv'!$B$2:$BX$550,MATCH(AC$2,'Slutlig allokering kvv'!$B$1:$BX$1,0),FALSE)/1,0))</f>
        <v>0</v>
      </c>
      <c r="AD271" s="31">
        <f>IF($D271="","",IFERROR(VLOOKUP($B271,Kraftvärmeprod!$B$1:$BX$550,MATCH(AD$2,Kraftvärmeprod!$B$1:$VX$1,0),FALSE)/1,0)-IFERROR(VLOOKUP($B271,'Slutlig allokering kvv'!$B$2:$BX$550,MATCH(AD$2,'Slutlig allokering kvv'!$B$1:$BX$1,0),FALSE)/1,0))</f>
        <v>0</v>
      </c>
      <c r="AE271" s="31">
        <f>IF($D271="","",IFERROR(VLOOKUP($B271,Miljö!$B$1:$E$550,MATCH("Hjälpel kraftvärme (GWh)",Miljö!$B$1:$E$1,0),FALSE)/1,0)-IFERROR(VLOOKUP($B271,'Slutlig allokering kvv'!$B$2:$BX$549,MATCH(AE$2,'Slutlig allokering kvv'!$B$1:$BX$1,0),FALSE)/1,0))</f>
        <v>14.338900000000001</v>
      </c>
      <c r="AI271" s="39">
        <f t="shared" si="16"/>
        <v>437.86908870000008</v>
      </c>
      <c r="AK271" s="31">
        <f>IFERROR(VLOOKUP($B271,'Slutlig allokering kvv'!$B$2:$AX$549,MATCH("Summa slutlig allokerad tillförd energi (utan hjälpel och rökgaskondensering):",'Slutlig allokering kvv'!$B$1:$AX$1,0),FALSE)/1,"")</f>
        <v>334.72091130000001</v>
      </c>
      <c r="AM271" s="31">
        <f>IFERROR(1-VLOOKUP($B271,'Slutlig allokering kvv'!$B$2:$AX$549,MATCH("Andel av bränsle i kvv som allokerats till värme, exklusive rökgaskondensering och hjälpel",'Slutlig allokering kvv'!$B$1:$AX$1,0),FALSE),"")</f>
        <v>0.56675479711101606</v>
      </c>
      <c r="AO271" s="31">
        <f t="shared" si="17"/>
        <v>0.56675479711101617</v>
      </c>
      <c r="AP271" s="31">
        <f t="shared" si="18"/>
        <v>-1.1102230246251565E-16</v>
      </c>
      <c r="AR271" s="32">
        <f t="shared" si="19"/>
        <v>0.4931359143854947</v>
      </c>
    </row>
    <row r="272" spans="1:44" s="31" customFormat="1" x14ac:dyDescent="0.45">
      <c r="A272" s="31" t="s">
        <v>284</v>
      </c>
      <c r="B272" s="31" t="s">
        <v>283</v>
      </c>
      <c r="C272" s="31">
        <f>IFERROR(VLOOKUP($B272,Kraftvärmeprod!$B$1:$AH$479,MATCH(C$2,Kraftvärmeprod!$B$1:$AG$1,0),FALSE)/1,"")</f>
        <v>51.552</v>
      </c>
      <c r="D272" s="31">
        <f>IFERROR(VLOOKUP($B272,Kraftvärmeprod!$B$1:$AH$479,MATCH(D$2,Kraftvärmeprod!$B$1:$AG$1,0),FALSE)/1,"")</f>
        <v>10.23</v>
      </c>
      <c r="F272" s="31">
        <f>IF($D272="","",IFERROR(VLOOKUP($B272,Kraftvärmeprod!$B$1:$BX$550,MATCH(F$2,Kraftvärmeprod!$B$1:$VX$1,0),FALSE)/1,0)-IFERROR(VLOOKUP($B272,'Slutlig allokering kvv'!$B$2:$BX$550,MATCH(F$2,'Slutlig allokering kvv'!$B$1:$BX$1,0),FALSE)/1,0))</f>
        <v>0</v>
      </c>
      <c r="G272" s="31">
        <f>IF($D272="","",IFERROR(VLOOKUP($B272,Kraftvärmeprod!$B$1:$BX$550,MATCH(G$2,Kraftvärmeprod!$B$1:$VX$1,0),FALSE)/1,0)-IFERROR(VLOOKUP($B272,'Slutlig allokering kvv'!$B$2:$BX$550,MATCH(G$2,'Slutlig allokering kvv'!$B$1:$BX$1,0),FALSE)/1,0))</f>
        <v>1.4321200000000006E-2</v>
      </c>
      <c r="H272" s="31">
        <f>IF($D272="","",IFERROR(VLOOKUP($B272,Kraftvärmeprod!$B$1:$BX$550,MATCH(H$2,Kraftvärmeprod!$B$1:$VX$1,0),FALSE)/1,0)-IFERROR(VLOOKUP($B272,'Slutlig allokering kvv'!$B$2:$BX$550,MATCH(H$2,'Slutlig allokering kvv'!$B$1:$BX$1,0),FALSE)/1,0))</f>
        <v>0</v>
      </c>
      <c r="I272" s="31">
        <f>IF($D272="","",IFERROR(VLOOKUP($B272,Kraftvärmeprod!$B$1:$BX$550,MATCH(I$2,Kraftvärmeprod!$B$1:$VX$1,0),FALSE)/1,0)-IFERROR(VLOOKUP($B272,'Slutlig allokering kvv'!$B$2:$BX$550,MATCH(I$2,'Slutlig allokering kvv'!$B$1:$BX$1,0),FALSE)/1,0))</f>
        <v>0</v>
      </c>
      <c r="J272" s="31">
        <f>IF($D272="","",IFERROR(VLOOKUP($B272,Kraftvärmeprod!$B$1:$BX$550,MATCH(J$2,Kraftvärmeprod!$B$1:$VX$1,0),FALSE)/1,0)-IFERROR(VLOOKUP($B272,'Slutlig allokering kvv'!$B$2:$BX$550,MATCH(J$2,'Slutlig allokering kvv'!$B$1:$BX$1,0),FALSE)/1,0))</f>
        <v>0</v>
      </c>
      <c r="K272" s="31">
        <f>IF($D272="","",IFERROR(VLOOKUP($B272,Kraftvärmeprod!$B$1:$BX$550,MATCH(K$2,Kraftvärmeprod!$B$1:$VX$1,0),FALSE)/1,0)-IFERROR(VLOOKUP($B272,'Slutlig allokering kvv'!$B$2:$BX$550,MATCH(K$2,'Slutlig allokering kvv'!$B$1:$BX$1,0),FALSE)/1,0))</f>
        <v>0</v>
      </c>
      <c r="L272" s="31">
        <f>IF($D272="","",IFERROR(VLOOKUP($B272,Kraftvärmeprod!$B$1:$BX$550,MATCH(L$2,Kraftvärmeprod!$B$1:$VX$1,0),FALSE)/1,0)-IFERROR(VLOOKUP($B272,'Slutlig allokering kvv'!$B$2:$BX$550,MATCH(L$2,'Slutlig allokering kvv'!$B$1:$BX$1,0),FALSE)/1,0))</f>
        <v>0.89818999999999982</v>
      </c>
      <c r="M272" s="31">
        <f>IF($D272="","",IFERROR(VLOOKUP($B272,Kraftvärmeprod!$B$1:$BX$550,MATCH(M$2,Kraftvärmeprod!$B$1:$VX$1,0),FALSE)/1,0)-IFERROR(VLOOKUP($B272,'Slutlig allokering kvv'!$B$2:$BX$550,MATCH(M$2,'Slutlig allokering kvv'!$B$1:$BX$1,0),FALSE)/1,0))</f>
        <v>0</v>
      </c>
      <c r="N272" s="31">
        <f>IF($D272="","",IFERROR(VLOOKUP($B272,Kraftvärmeprod!$B$1:$BX$550,MATCH(N$2,Kraftvärmeprod!$B$1:$VX$1,0),FALSE)/1,0)-IFERROR(VLOOKUP($B272,'Slutlig allokering kvv'!$B$2:$BX$550,MATCH(N$2,'Slutlig allokering kvv'!$B$1:$BX$1,0),FALSE)/1,0))</f>
        <v>0</v>
      </c>
      <c r="O272" s="31">
        <f>IF($D272="","",IFERROR(VLOOKUP($B272,Kraftvärmeprod!$B$1:$BX$550,MATCH(O$2,Kraftvärmeprod!$B$1:$VX$1,0),FALSE)/1,0)-IFERROR(VLOOKUP($B272,'Slutlig allokering kvv'!$B$2:$BX$550,MATCH(O$2,'Slutlig allokering kvv'!$B$1:$BX$1,0),FALSE)/1,0))</f>
        <v>0</v>
      </c>
      <c r="P272" s="31">
        <f>IF($D272="","",IFERROR(VLOOKUP($B272,Kraftvärmeprod!$B$1:$BX$550,MATCH(P$2,Kraftvärmeprod!$B$1:$VX$1,0),FALSE)/1,0)-IFERROR(VLOOKUP($B272,'Slutlig allokering kvv'!$B$2:$BX$550,MATCH(P$2,'Slutlig allokering kvv'!$B$1:$BX$1,0),FALSE)/1,0))</f>
        <v>0</v>
      </c>
      <c r="Q272" s="31">
        <f>IF($D272="","",IFERROR(VLOOKUP($B272,Kraftvärmeprod!$B$1:$BX$550,MATCH(Q$2,Kraftvärmeprod!$B$1:$VX$1,0),FALSE)/1,0)-IFERROR(VLOOKUP($B272,'Slutlig allokering kvv'!$B$2:$BX$550,MATCH(Q$2,'Slutlig allokering kvv'!$B$1:$BX$1,0),FALSE)/1,0))</f>
        <v>0</v>
      </c>
      <c r="R272" s="31">
        <f>IF($D272="","",IFERROR(VLOOKUP($B272,Kraftvärmeprod!$B$1:$BX$550,MATCH(R$2,Kraftvärmeprod!$B$1:$VX$1,0),FALSE)/1,0)-IFERROR(VLOOKUP($B272,'Slutlig allokering kvv'!$B$2:$BX$550,MATCH(R$2,'Slutlig allokering kvv'!$B$1:$BX$1,0),FALSE)/1,0))</f>
        <v>0</v>
      </c>
      <c r="S272" s="31">
        <f>IF($D272="","",IFERROR(VLOOKUP($B272,Kraftvärmeprod!$B$1:$BX$550,MATCH(S$2,Kraftvärmeprod!$B$1:$VX$1,0),FALSE)/1,0)-IFERROR(VLOOKUP($B272,'Slutlig allokering kvv'!$B$2:$BX$550,MATCH(S$2,'Slutlig allokering kvv'!$B$1:$BX$1,0),FALSE)/1,0))</f>
        <v>0</v>
      </c>
      <c r="T272" s="31">
        <f>IF($D272="","",IFERROR(VLOOKUP($B272,Kraftvärmeprod!$B$1:$BX$550,MATCH(T$2,Kraftvärmeprod!$B$1:$VX$1,0),FALSE)/1,0)-IFERROR(VLOOKUP($B272,'Slutlig allokering kvv'!$B$2:$BX$550,MATCH(T$2,'Slutlig allokering kvv'!$B$1:$BX$1,0),FALSE)/1,0))</f>
        <v>0</v>
      </c>
      <c r="U272" s="31">
        <f>IF($D272="","",IFERROR(VLOOKUP($B272,Kraftvärmeprod!$B$1:$BX$550,MATCH(U$2,Kraftvärmeprod!$B$1:$VX$1,0),FALSE)/1,0)-IFERROR(VLOOKUP($B272,'Slutlig allokering kvv'!$B$2:$BX$550,MATCH(U$2,'Slutlig allokering kvv'!$B$1:$BX$1,0),FALSE)/1,0))</f>
        <v>0</v>
      </c>
      <c r="V272" s="31">
        <f>IF($D272="","",IFERROR(VLOOKUP($B272,Kraftvärmeprod!$B$1:$BX$550,MATCH(V$2,Kraftvärmeprod!$B$1:$VX$1,0),FALSE)/1,0)-IFERROR(VLOOKUP($B272,'Slutlig allokering kvv'!$B$2:$BX$550,MATCH(V$2,'Slutlig allokering kvv'!$B$1:$BX$1,0),FALSE)/1,0))</f>
        <v>21.501600000000003</v>
      </c>
      <c r="W272" s="31">
        <f>IF($D272="","",IFERROR(VLOOKUP($B272,Kraftvärmeprod!$B$1:$BX$550,MATCH(W$2,Kraftvärmeprod!$B$1:$VX$1,0),FALSE)/1,0)-IFERROR(VLOOKUP($B272,'Slutlig allokering kvv'!$B$2:$BX$550,MATCH(W$2,'Slutlig allokering kvv'!$B$1:$BX$1,0),FALSE)/1,0))</f>
        <v>0</v>
      </c>
      <c r="X272" s="31">
        <f>IF($D272="","",IFERROR(VLOOKUP($B272,Kraftvärmeprod!$B$1:$BX$550,MATCH(X$2,Kraftvärmeprod!$B$1:$VX$1,0),FALSE)/1,0)-IFERROR(VLOOKUP($B272,'Slutlig allokering kvv'!$B$2:$BX$550,MATCH(X$2,'Slutlig allokering kvv'!$B$1:$BX$1,0),FALSE)/1,0))</f>
        <v>0</v>
      </c>
      <c r="Y272" s="31">
        <f>IF($D272="","",IFERROR(VLOOKUP($B272,Kraftvärmeprod!$B$1:$BX$550,MATCH(Y$2,Kraftvärmeprod!$B$1:$VX$1,0),FALSE)/1,0)-IFERROR(VLOOKUP($B272,'Slutlig allokering kvv'!$B$2:$BX$550,MATCH(Y$2,'Slutlig allokering kvv'!$B$1:$BX$1,0),FALSE)/1,0))</f>
        <v>0.23281300000000005</v>
      </c>
      <c r="Z272" s="31">
        <f>IF($D272="","",IFERROR(VLOOKUP($B272,Kraftvärmeprod!$B$1:$BX$550,MATCH(Z$2,Kraftvärmeprod!$B$1:$VX$1,0),FALSE)/1,0)-IFERROR(VLOOKUP($B272,'Slutlig allokering kvv'!$B$2:$BX$550,MATCH(Z$2,'Slutlig allokering kvv'!$B$1:$BX$1,0),FALSE)/1,0))</f>
        <v>0</v>
      </c>
      <c r="AA272" s="31">
        <f>IF($D272="","",IFERROR(VLOOKUP($B272,Kraftvärmeprod!$B$1:$BX$550,MATCH(AA$2,Kraftvärmeprod!$B$1:$VX$1,0),FALSE)/1,0)-IFERROR(VLOOKUP($B272,'Slutlig allokering kvv'!$B$2:$BX$550,MATCH(AA$2,'Slutlig allokering kvv'!$B$1:$BX$1,0),FALSE)/1,0))</f>
        <v>0</v>
      </c>
      <c r="AB272" s="31">
        <f>IF($D272="","",IFERROR(VLOOKUP($B272,Kraftvärmeprod!$B$1:$BX$550,MATCH(AB$2,Kraftvärmeprod!$B$1:$VX$1,0),FALSE)/1,0)-IFERROR(VLOOKUP($B272,'Slutlig allokering kvv'!$B$2:$BX$550,MATCH(AB$2,'Slutlig allokering kvv'!$B$1:$BX$1,0),FALSE)/1,0))</f>
        <v>0</v>
      </c>
      <c r="AC272" s="31">
        <f>IF($D272="","",IFERROR(VLOOKUP($B272,Kraftvärmeprod!$B$1:$BX$550,MATCH(AC$2,Kraftvärmeprod!$B$1:$VX$1,0),FALSE)/1,0)-IFERROR(VLOOKUP($B272,'Slutlig allokering kvv'!$B$2:$BX$550,MATCH(AC$2,'Slutlig allokering kvv'!$B$1:$BX$1,0),FALSE)/1,0))</f>
        <v>0</v>
      </c>
      <c r="AD272" s="31">
        <f>IF($D272="","",IFERROR(VLOOKUP($B272,Kraftvärmeprod!$B$1:$BX$550,MATCH(AD$2,Kraftvärmeprod!$B$1:$VX$1,0),FALSE)/1,0)-IFERROR(VLOOKUP($B272,'Slutlig allokering kvv'!$B$2:$BX$550,MATCH(AD$2,'Slutlig allokering kvv'!$B$1:$BX$1,0),FALSE)/1,0))</f>
        <v>0</v>
      </c>
      <c r="AE272" s="31">
        <f>IF($D272="","",IFERROR(VLOOKUP($B272,Miljö!$B$1:$E$550,MATCH("Hjälpel kraftvärme (GWh)",Miljö!$B$1:$E$1,0),FALSE)/1,0)-IFERROR(VLOOKUP($B272,'Slutlig allokering kvv'!$B$2:$BX$549,MATCH(AE$2,'Slutlig allokering kvv'!$B$1:$BX$1,0),FALSE)/1,0))</f>
        <v>0.66734000000000004</v>
      </c>
      <c r="AI272" s="39">
        <f t="shared" si="16"/>
        <v>22.646924200000004</v>
      </c>
      <c r="AK272" s="31">
        <f>IFERROR(VLOOKUP($B272,'Slutlig allokering kvv'!$B$2:$AX$549,MATCH("Summa slutlig allokerad tillförd energi (utan hjälpel och rökgaskondensering):",'Slutlig allokering kvv'!$B$1:$AX$1,0),FALSE)/1,"")</f>
        <v>43.800075799999995</v>
      </c>
      <c r="AM272" s="31">
        <f>IFERROR(1-VLOOKUP($B272,'Slutlig allokering kvv'!$B$2:$AX$549,MATCH("Andel av bränsle i kvv som allokerats till värme, exklusive rökgaskondensering och hjälpel",'Slutlig allokering kvv'!$B$1:$AX$1,0),FALSE),"")</f>
        <v>0.34082688759462443</v>
      </c>
      <c r="AO272" s="31">
        <f t="shared" si="17"/>
        <v>0.34082688759462432</v>
      </c>
      <c r="AP272" s="31">
        <f t="shared" si="18"/>
        <v>1.1102230246251565E-16</v>
      </c>
      <c r="AR272" s="32">
        <f t="shared" si="19"/>
        <v>0.43878716961610131</v>
      </c>
    </row>
    <row r="273" spans="1:44" s="31" customFormat="1" x14ac:dyDescent="0.45">
      <c r="A273" s="31" t="s">
        <v>280</v>
      </c>
      <c r="B273" s="31" t="s">
        <v>281</v>
      </c>
      <c r="C273" s="31" t="str">
        <f>IFERROR(VLOOKUP($B273,Kraftvärmeprod!$B$1:$AH$479,MATCH(C$2,Kraftvärmeprod!$B$1:$AG$1,0),FALSE)/1,"")</f>
        <v/>
      </c>
      <c r="D273" s="31" t="str">
        <f>IFERROR(VLOOKUP($B273,Kraftvärmeprod!$B$1:$AH$479,MATCH(D$2,Kraftvärmeprod!$B$1:$AG$1,0),FALSE)/1,"")</f>
        <v/>
      </c>
      <c r="F273" s="31" t="str">
        <f>IF($D273="","",IFERROR(VLOOKUP($B273,Kraftvärmeprod!$B$1:$BX$550,MATCH(F$2,Kraftvärmeprod!$B$1:$VX$1,0),FALSE)/1,0)-IFERROR(VLOOKUP($B273,'Slutlig allokering kvv'!$B$2:$BX$550,MATCH(F$2,'Slutlig allokering kvv'!$B$1:$BX$1,0),FALSE)/1,0))</f>
        <v/>
      </c>
      <c r="G273" s="31" t="str">
        <f>IF($D273="","",IFERROR(VLOOKUP($B273,Kraftvärmeprod!$B$1:$BX$550,MATCH(G$2,Kraftvärmeprod!$B$1:$VX$1,0),FALSE)/1,0)-IFERROR(VLOOKUP($B273,'Slutlig allokering kvv'!$B$2:$BX$550,MATCH(G$2,'Slutlig allokering kvv'!$B$1:$BX$1,0),FALSE)/1,0))</f>
        <v/>
      </c>
      <c r="H273" s="31" t="str">
        <f>IF($D273="","",IFERROR(VLOOKUP($B273,Kraftvärmeprod!$B$1:$BX$550,MATCH(H$2,Kraftvärmeprod!$B$1:$VX$1,0),FALSE)/1,0)-IFERROR(VLOOKUP($B273,'Slutlig allokering kvv'!$B$2:$BX$550,MATCH(H$2,'Slutlig allokering kvv'!$B$1:$BX$1,0),FALSE)/1,0))</f>
        <v/>
      </c>
      <c r="I273" s="31" t="str">
        <f>IF($D273="","",IFERROR(VLOOKUP($B273,Kraftvärmeprod!$B$1:$BX$550,MATCH(I$2,Kraftvärmeprod!$B$1:$VX$1,0),FALSE)/1,0)-IFERROR(VLOOKUP($B273,'Slutlig allokering kvv'!$B$2:$BX$550,MATCH(I$2,'Slutlig allokering kvv'!$B$1:$BX$1,0),FALSE)/1,0))</f>
        <v/>
      </c>
      <c r="J273" s="31" t="str">
        <f>IF($D273="","",IFERROR(VLOOKUP($B273,Kraftvärmeprod!$B$1:$BX$550,MATCH(J$2,Kraftvärmeprod!$B$1:$VX$1,0),FALSE)/1,0)-IFERROR(VLOOKUP($B273,'Slutlig allokering kvv'!$B$2:$BX$550,MATCH(J$2,'Slutlig allokering kvv'!$B$1:$BX$1,0),FALSE)/1,0))</f>
        <v/>
      </c>
      <c r="K273" s="31" t="str">
        <f>IF($D273="","",IFERROR(VLOOKUP($B273,Kraftvärmeprod!$B$1:$BX$550,MATCH(K$2,Kraftvärmeprod!$B$1:$VX$1,0),FALSE)/1,0)-IFERROR(VLOOKUP($B273,'Slutlig allokering kvv'!$B$2:$BX$550,MATCH(K$2,'Slutlig allokering kvv'!$B$1:$BX$1,0),FALSE)/1,0))</f>
        <v/>
      </c>
      <c r="L273" s="31" t="str">
        <f>IF($D273="","",IFERROR(VLOOKUP($B273,Kraftvärmeprod!$B$1:$BX$550,MATCH(L$2,Kraftvärmeprod!$B$1:$VX$1,0),FALSE)/1,0)-IFERROR(VLOOKUP($B273,'Slutlig allokering kvv'!$B$2:$BX$550,MATCH(L$2,'Slutlig allokering kvv'!$B$1:$BX$1,0),FALSE)/1,0))</f>
        <v/>
      </c>
      <c r="M273" s="31" t="str">
        <f>IF($D273="","",IFERROR(VLOOKUP($B273,Kraftvärmeprod!$B$1:$BX$550,MATCH(M$2,Kraftvärmeprod!$B$1:$VX$1,0),FALSE)/1,0)-IFERROR(VLOOKUP($B273,'Slutlig allokering kvv'!$B$2:$BX$550,MATCH(M$2,'Slutlig allokering kvv'!$B$1:$BX$1,0),FALSE)/1,0))</f>
        <v/>
      </c>
      <c r="N273" s="31" t="str">
        <f>IF($D273="","",IFERROR(VLOOKUP($B273,Kraftvärmeprod!$B$1:$BX$550,MATCH(N$2,Kraftvärmeprod!$B$1:$VX$1,0),FALSE)/1,0)-IFERROR(VLOOKUP($B273,'Slutlig allokering kvv'!$B$2:$BX$550,MATCH(N$2,'Slutlig allokering kvv'!$B$1:$BX$1,0),FALSE)/1,0))</f>
        <v/>
      </c>
      <c r="O273" s="31" t="str">
        <f>IF($D273="","",IFERROR(VLOOKUP($B273,Kraftvärmeprod!$B$1:$BX$550,MATCH(O$2,Kraftvärmeprod!$B$1:$VX$1,0),FALSE)/1,0)-IFERROR(VLOOKUP($B273,'Slutlig allokering kvv'!$B$2:$BX$550,MATCH(O$2,'Slutlig allokering kvv'!$B$1:$BX$1,0),FALSE)/1,0))</f>
        <v/>
      </c>
      <c r="P273" s="31" t="str">
        <f>IF($D273="","",IFERROR(VLOOKUP($B273,Kraftvärmeprod!$B$1:$BX$550,MATCH(P$2,Kraftvärmeprod!$B$1:$VX$1,0),FALSE)/1,0)-IFERROR(VLOOKUP($B273,'Slutlig allokering kvv'!$B$2:$BX$550,MATCH(P$2,'Slutlig allokering kvv'!$B$1:$BX$1,0),FALSE)/1,0))</f>
        <v/>
      </c>
      <c r="Q273" s="31" t="str">
        <f>IF($D273="","",IFERROR(VLOOKUP($B273,Kraftvärmeprod!$B$1:$BX$550,MATCH(Q$2,Kraftvärmeprod!$B$1:$VX$1,0),FALSE)/1,0)-IFERROR(VLOOKUP($B273,'Slutlig allokering kvv'!$B$2:$BX$550,MATCH(Q$2,'Slutlig allokering kvv'!$B$1:$BX$1,0),FALSE)/1,0))</f>
        <v/>
      </c>
      <c r="R273" s="31" t="str">
        <f>IF($D273="","",IFERROR(VLOOKUP($B273,Kraftvärmeprod!$B$1:$BX$550,MATCH(R$2,Kraftvärmeprod!$B$1:$VX$1,0),FALSE)/1,0)-IFERROR(VLOOKUP($B273,'Slutlig allokering kvv'!$B$2:$BX$550,MATCH(R$2,'Slutlig allokering kvv'!$B$1:$BX$1,0),FALSE)/1,0))</f>
        <v/>
      </c>
      <c r="S273" s="31" t="str">
        <f>IF($D273="","",IFERROR(VLOOKUP($B273,Kraftvärmeprod!$B$1:$BX$550,MATCH(S$2,Kraftvärmeprod!$B$1:$VX$1,0),FALSE)/1,0)-IFERROR(VLOOKUP($B273,'Slutlig allokering kvv'!$B$2:$BX$550,MATCH(S$2,'Slutlig allokering kvv'!$B$1:$BX$1,0),FALSE)/1,0))</f>
        <v/>
      </c>
      <c r="T273" s="31" t="str">
        <f>IF($D273="","",IFERROR(VLOOKUP($B273,Kraftvärmeprod!$B$1:$BX$550,MATCH(T$2,Kraftvärmeprod!$B$1:$VX$1,0),FALSE)/1,0)-IFERROR(VLOOKUP($B273,'Slutlig allokering kvv'!$B$2:$BX$550,MATCH(T$2,'Slutlig allokering kvv'!$B$1:$BX$1,0),FALSE)/1,0))</f>
        <v/>
      </c>
      <c r="U273" s="31" t="str">
        <f>IF($D273="","",IFERROR(VLOOKUP($B273,Kraftvärmeprod!$B$1:$BX$550,MATCH(U$2,Kraftvärmeprod!$B$1:$VX$1,0),FALSE)/1,0)-IFERROR(VLOOKUP($B273,'Slutlig allokering kvv'!$B$2:$BX$550,MATCH(U$2,'Slutlig allokering kvv'!$B$1:$BX$1,0),FALSE)/1,0))</f>
        <v/>
      </c>
      <c r="V273" s="31" t="str">
        <f>IF($D273="","",IFERROR(VLOOKUP($B273,Kraftvärmeprod!$B$1:$BX$550,MATCH(V$2,Kraftvärmeprod!$B$1:$VX$1,0),FALSE)/1,0)-IFERROR(VLOOKUP($B273,'Slutlig allokering kvv'!$B$2:$BX$550,MATCH(V$2,'Slutlig allokering kvv'!$B$1:$BX$1,0),FALSE)/1,0))</f>
        <v/>
      </c>
      <c r="W273" s="31" t="str">
        <f>IF($D273="","",IFERROR(VLOOKUP($B273,Kraftvärmeprod!$B$1:$BX$550,MATCH(W$2,Kraftvärmeprod!$B$1:$VX$1,0),FALSE)/1,0)-IFERROR(VLOOKUP($B273,'Slutlig allokering kvv'!$B$2:$BX$550,MATCH(W$2,'Slutlig allokering kvv'!$B$1:$BX$1,0),FALSE)/1,0))</f>
        <v/>
      </c>
      <c r="X273" s="31" t="str">
        <f>IF($D273="","",IFERROR(VLOOKUP($B273,Kraftvärmeprod!$B$1:$BX$550,MATCH(X$2,Kraftvärmeprod!$B$1:$VX$1,0),FALSE)/1,0)-IFERROR(VLOOKUP($B273,'Slutlig allokering kvv'!$B$2:$BX$550,MATCH(X$2,'Slutlig allokering kvv'!$B$1:$BX$1,0),FALSE)/1,0))</f>
        <v/>
      </c>
      <c r="Y273" s="31" t="str">
        <f>IF($D273="","",IFERROR(VLOOKUP($B273,Kraftvärmeprod!$B$1:$BX$550,MATCH(Y$2,Kraftvärmeprod!$B$1:$VX$1,0),FALSE)/1,0)-IFERROR(VLOOKUP($B273,'Slutlig allokering kvv'!$B$2:$BX$550,MATCH(Y$2,'Slutlig allokering kvv'!$B$1:$BX$1,0),FALSE)/1,0))</f>
        <v/>
      </c>
      <c r="Z273" s="31" t="str">
        <f>IF($D273="","",IFERROR(VLOOKUP($B273,Kraftvärmeprod!$B$1:$BX$550,MATCH(Z$2,Kraftvärmeprod!$B$1:$VX$1,0),FALSE)/1,0)-IFERROR(VLOOKUP($B273,'Slutlig allokering kvv'!$B$2:$BX$550,MATCH(Z$2,'Slutlig allokering kvv'!$B$1:$BX$1,0),FALSE)/1,0))</f>
        <v/>
      </c>
      <c r="AA273" s="31" t="str">
        <f>IF($D273="","",IFERROR(VLOOKUP($B273,Kraftvärmeprod!$B$1:$BX$550,MATCH(AA$2,Kraftvärmeprod!$B$1:$VX$1,0),FALSE)/1,0)-IFERROR(VLOOKUP($B273,'Slutlig allokering kvv'!$B$2:$BX$550,MATCH(AA$2,'Slutlig allokering kvv'!$B$1:$BX$1,0),FALSE)/1,0))</f>
        <v/>
      </c>
      <c r="AB273" s="31" t="str">
        <f>IF($D273="","",IFERROR(VLOOKUP($B273,Kraftvärmeprod!$B$1:$BX$550,MATCH(AB$2,Kraftvärmeprod!$B$1:$VX$1,0),FALSE)/1,0)-IFERROR(VLOOKUP($B273,'Slutlig allokering kvv'!$B$2:$BX$550,MATCH(AB$2,'Slutlig allokering kvv'!$B$1:$BX$1,0),FALSE)/1,0))</f>
        <v/>
      </c>
      <c r="AC273" s="31" t="str">
        <f>IF($D273="","",IFERROR(VLOOKUP($B273,Kraftvärmeprod!$B$1:$BX$550,MATCH(AC$2,Kraftvärmeprod!$B$1:$VX$1,0),FALSE)/1,0)-IFERROR(VLOOKUP($B273,'Slutlig allokering kvv'!$B$2:$BX$550,MATCH(AC$2,'Slutlig allokering kvv'!$B$1:$BX$1,0),FALSE)/1,0))</f>
        <v/>
      </c>
      <c r="AD273" s="31" t="str">
        <f>IF($D273="","",IFERROR(VLOOKUP($B273,Kraftvärmeprod!$B$1:$BX$550,MATCH(AD$2,Kraftvärmeprod!$B$1:$VX$1,0),FALSE)/1,0)-IFERROR(VLOOKUP($B273,'Slutlig allokering kvv'!$B$2:$BX$550,MATCH(AD$2,'Slutlig allokering kvv'!$B$1:$BX$1,0),FALSE)/1,0))</f>
        <v/>
      </c>
      <c r="AE273" s="31" t="str">
        <f>IF($D273="","",IFERROR(VLOOKUP($B273,Miljö!$B$1:$E$550,MATCH("Hjälpel kraftvärme (GWh)",Miljö!$B$1:$E$1,0),FALSE)/1,0)-IFERROR(VLOOKUP($B273,'Slutlig allokering kvv'!$B$2:$BX$549,MATCH(AE$2,'Slutlig allokering kvv'!$B$1:$BX$1,0),FALSE)/1,0))</f>
        <v/>
      </c>
      <c r="AI273" s="39">
        <f t="shared" si="16"/>
        <v>0</v>
      </c>
      <c r="AK273" s="31">
        <f>IFERROR(VLOOKUP($B273,'Slutlig allokering kvv'!$B$2:$AX$549,MATCH("Summa slutlig allokerad tillförd energi (utan hjälpel och rökgaskondensering):",'Slutlig allokering kvv'!$B$1:$AX$1,0),FALSE)/1,"")</f>
        <v>0</v>
      </c>
      <c r="AM273" s="31" t="str">
        <f>IFERROR(1-VLOOKUP($B273,'Slutlig allokering kvv'!$B$2:$AX$549,MATCH("Andel av bränsle i kvv som allokerats till värme, exklusive rökgaskondensering och hjälpel",'Slutlig allokering kvv'!$B$1:$AX$1,0),FALSE),"")</f>
        <v/>
      </c>
      <c r="AO273" s="31" t="str">
        <f t="shared" si="17"/>
        <v/>
      </c>
      <c r="AP273" s="31" t="str">
        <f t="shared" si="18"/>
        <v/>
      </c>
      <c r="AR273" s="32" t="str">
        <f t="shared" si="19"/>
        <v/>
      </c>
    </row>
    <row r="274" spans="1:44" s="31" customFormat="1" x14ac:dyDescent="0.45">
      <c r="A274" s="31" t="s">
        <v>280</v>
      </c>
      <c r="B274" s="31" t="s">
        <v>279</v>
      </c>
      <c r="C274" s="31" t="str">
        <f>IFERROR(VLOOKUP($B274,Kraftvärmeprod!$B$1:$AH$479,MATCH(C$2,Kraftvärmeprod!$B$1:$AG$1,0),FALSE)/1,"")</f>
        <v/>
      </c>
      <c r="D274" s="31" t="str">
        <f>IFERROR(VLOOKUP($B274,Kraftvärmeprod!$B$1:$AH$479,MATCH(D$2,Kraftvärmeprod!$B$1:$AG$1,0),FALSE)/1,"")</f>
        <v/>
      </c>
      <c r="F274" s="31" t="str">
        <f>IF($D274="","",IFERROR(VLOOKUP($B274,Kraftvärmeprod!$B$1:$BX$550,MATCH(F$2,Kraftvärmeprod!$B$1:$VX$1,0),FALSE)/1,0)-IFERROR(VLOOKUP($B274,'Slutlig allokering kvv'!$B$2:$BX$550,MATCH(F$2,'Slutlig allokering kvv'!$B$1:$BX$1,0),FALSE)/1,0))</f>
        <v/>
      </c>
      <c r="G274" s="31" t="str">
        <f>IF($D274="","",IFERROR(VLOOKUP($B274,Kraftvärmeprod!$B$1:$BX$550,MATCH(G$2,Kraftvärmeprod!$B$1:$VX$1,0),FALSE)/1,0)-IFERROR(VLOOKUP($B274,'Slutlig allokering kvv'!$B$2:$BX$550,MATCH(G$2,'Slutlig allokering kvv'!$B$1:$BX$1,0),FALSE)/1,0))</f>
        <v/>
      </c>
      <c r="H274" s="31" t="str">
        <f>IF($D274="","",IFERROR(VLOOKUP($B274,Kraftvärmeprod!$B$1:$BX$550,MATCH(H$2,Kraftvärmeprod!$B$1:$VX$1,0),FALSE)/1,0)-IFERROR(VLOOKUP($B274,'Slutlig allokering kvv'!$B$2:$BX$550,MATCH(H$2,'Slutlig allokering kvv'!$B$1:$BX$1,0),FALSE)/1,0))</f>
        <v/>
      </c>
      <c r="I274" s="31" t="str">
        <f>IF($D274="","",IFERROR(VLOOKUP($B274,Kraftvärmeprod!$B$1:$BX$550,MATCH(I$2,Kraftvärmeprod!$B$1:$VX$1,0),FALSE)/1,0)-IFERROR(VLOOKUP($B274,'Slutlig allokering kvv'!$B$2:$BX$550,MATCH(I$2,'Slutlig allokering kvv'!$B$1:$BX$1,0),FALSE)/1,0))</f>
        <v/>
      </c>
      <c r="J274" s="31" t="str">
        <f>IF($D274="","",IFERROR(VLOOKUP($B274,Kraftvärmeprod!$B$1:$BX$550,MATCH(J$2,Kraftvärmeprod!$B$1:$VX$1,0),FALSE)/1,0)-IFERROR(VLOOKUP($B274,'Slutlig allokering kvv'!$B$2:$BX$550,MATCH(J$2,'Slutlig allokering kvv'!$B$1:$BX$1,0),FALSE)/1,0))</f>
        <v/>
      </c>
      <c r="K274" s="31" t="str">
        <f>IF($D274="","",IFERROR(VLOOKUP($B274,Kraftvärmeprod!$B$1:$BX$550,MATCH(K$2,Kraftvärmeprod!$B$1:$VX$1,0),FALSE)/1,0)-IFERROR(VLOOKUP($B274,'Slutlig allokering kvv'!$B$2:$BX$550,MATCH(K$2,'Slutlig allokering kvv'!$B$1:$BX$1,0),FALSE)/1,0))</f>
        <v/>
      </c>
      <c r="L274" s="31" t="str">
        <f>IF($D274="","",IFERROR(VLOOKUP($B274,Kraftvärmeprod!$B$1:$BX$550,MATCH(L$2,Kraftvärmeprod!$B$1:$VX$1,0),FALSE)/1,0)-IFERROR(VLOOKUP($B274,'Slutlig allokering kvv'!$B$2:$BX$550,MATCH(L$2,'Slutlig allokering kvv'!$B$1:$BX$1,0),FALSE)/1,0))</f>
        <v/>
      </c>
      <c r="M274" s="31" t="str">
        <f>IF($D274="","",IFERROR(VLOOKUP($B274,Kraftvärmeprod!$B$1:$BX$550,MATCH(M$2,Kraftvärmeprod!$B$1:$VX$1,0),FALSE)/1,0)-IFERROR(VLOOKUP($B274,'Slutlig allokering kvv'!$B$2:$BX$550,MATCH(M$2,'Slutlig allokering kvv'!$B$1:$BX$1,0),FALSE)/1,0))</f>
        <v/>
      </c>
      <c r="N274" s="31" t="str">
        <f>IF($D274="","",IFERROR(VLOOKUP($B274,Kraftvärmeprod!$B$1:$BX$550,MATCH(N$2,Kraftvärmeprod!$B$1:$VX$1,0),FALSE)/1,0)-IFERROR(VLOOKUP($B274,'Slutlig allokering kvv'!$B$2:$BX$550,MATCH(N$2,'Slutlig allokering kvv'!$B$1:$BX$1,0),FALSE)/1,0))</f>
        <v/>
      </c>
      <c r="O274" s="31" t="str">
        <f>IF($D274="","",IFERROR(VLOOKUP($B274,Kraftvärmeprod!$B$1:$BX$550,MATCH(O$2,Kraftvärmeprod!$B$1:$VX$1,0),FALSE)/1,0)-IFERROR(VLOOKUP($B274,'Slutlig allokering kvv'!$B$2:$BX$550,MATCH(O$2,'Slutlig allokering kvv'!$B$1:$BX$1,0),FALSE)/1,0))</f>
        <v/>
      </c>
      <c r="P274" s="31" t="str">
        <f>IF($D274="","",IFERROR(VLOOKUP($B274,Kraftvärmeprod!$B$1:$BX$550,MATCH(P$2,Kraftvärmeprod!$B$1:$VX$1,0),FALSE)/1,0)-IFERROR(VLOOKUP($B274,'Slutlig allokering kvv'!$B$2:$BX$550,MATCH(P$2,'Slutlig allokering kvv'!$B$1:$BX$1,0),FALSE)/1,0))</f>
        <v/>
      </c>
      <c r="Q274" s="31" t="str">
        <f>IF($D274="","",IFERROR(VLOOKUP($B274,Kraftvärmeprod!$B$1:$BX$550,MATCH(Q$2,Kraftvärmeprod!$B$1:$VX$1,0),FALSE)/1,0)-IFERROR(VLOOKUP($B274,'Slutlig allokering kvv'!$B$2:$BX$550,MATCH(Q$2,'Slutlig allokering kvv'!$B$1:$BX$1,0),FALSE)/1,0))</f>
        <v/>
      </c>
      <c r="R274" s="31" t="str">
        <f>IF($D274="","",IFERROR(VLOOKUP($B274,Kraftvärmeprod!$B$1:$BX$550,MATCH(R$2,Kraftvärmeprod!$B$1:$VX$1,0),FALSE)/1,0)-IFERROR(VLOOKUP($B274,'Slutlig allokering kvv'!$B$2:$BX$550,MATCH(R$2,'Slutlig allokering kvv'!$B$1:$BX$1,0),FALSE)/1,0))</f>
        <v/>
      </c>
      <c r="S274" s="31" t="str">
        <f>IF($D274="","",IFERROR(VLOOKUP($B274,Kraftvärmeprod!$B$1:$BX$550,MATCH(S$2,Kraftvärmeprod!$B$1:$VX$1,0),FALSE)/1,0)-IFERROR(VLOOKUP($B274,'Slutlig allokering kvv'!$B$2:$BX$550,MATCH(S$2,'Slutlig allokering kvv'!$B$1:$BX$1,0),FALSE)/1,0))</f>
        <v/>
      </c>
      <c r="T274" s="31" t="str">
        <f>IF($D274="","",IFERROR(VLOOKUP($B274,Kraftvärmeprod!$B$1:$BX$550,MATCH(T$2,Kraftvärmeprod!$B$1:$VX$1,0),FALSE)/1,0)-IFERROR(VLOOKUP($B274,'Slutlig allokering kvv'!$B$2:$BX$550,MATCH(T$2,'Slutlig allokering kvv'!$B$1:$BX$1,0),FALSE)/1,0))</f>
        <v/>
      </c>
      <c r="U274" s="31" t="str">
        <f>IF($D274="","",IFERROR(VLOOKUP($B274,Kraftvärmeprod!$B$1:$BX$550,MATCH(U$2,Kraftvärmeprod!$B$1:$VX$1,0),FALSE)/1,0)-IFERROR(VLOOKUP($B274,'Slutlig allokering kvv'!$B$2:$BX$550,MATCH(U$2,'Slutlig allokering kvv'!$B$1:$BX$1,0),FALSE)/1,0))</f>
        <v/>
      </c>
      <c r="V274" s="31" t="str">
        <f>IF($D274="","",IFERROR(VLOOKUP($B274,Kraftvärmeprod!$B$1:$BX$550,MATCH(V$2,Kraftvärmeprod!$B$1:$VX$1,0),FALSE)/1,0)-IFERROR(VLOOKUP($B274,'Slutlig allokering kvv'!$B$2:$BX$550,MATCH(V$2,'Slutlig allokering kvv'!$B$1:$BX$1,0),FALSE)/1,0))</f>
        <v/>
      </c>
      <c r="W274" s="31" t="str">
        <f>IF($D274="","",IFERROR(VLOOKUP($B274,Kraftvärmeprod!$B$1:$BX$550,MATCH(W$2,Kraftvärmeprod!$B$1:$VX$1,0),FALSE)/1,0)-IFERROR(VLOOKUP($B274,'Slutlig allokering kvv'!$B$2:$BX$550,MATCH(W$2,'Slutlig allokering kvv'!$B$1:$BX$1,0),FALSE)/1,0))</f>
        <v/>
      </c>
      <c r="X274" s="31" t="str">
        <f>IF($D274="","",IFERROR(VLOOKUP($B274,Kraftvärmeprod!$B$1:$BX$550,MATCH(X$2,Kraftvärmeprod!$B$1:$VX$1,0),FALSE)/1,0)-IFERROR(VLOOKUP($B274,'Slutlig allokering kvv'!$B$2:$BX$550,MATCH(X$2,'Slutlig allokering kvv'!$B$1:$BX$1,0),FALSE)/1,0))</f>
        <v/>
      </c>
      <c r="Y274" s="31" t="str">
        <f>IF($D274="","",IFERROR(VLOOKUP($B274,Kraftvärmeprod!$B$1:$BX$550,MATCH(Y$2,Kraftvärmeprod!$B$1:$VX$1,0),FALSE)/1,0)-IFERROR(VLOOKUP($B274,'Slutlig allokering kvv'!$B$2:$BX$550,MATCH(Y$2,'Slutlig allokering kvv'!$B$1:$BX$1,0),FALSE)/1,0))</f>
        <v/>
      </c>
      <c r="Z274" s="31" t="str">
        <f>IF($D274="","",IFERROR(VLOOKUP($B274,Kraftvärmeprod!$B$1:$BX$550,MATCH(Z$2,Kraftvärmeprod!$B$1:$VX$1,0),FALSE)/1,0)-IFERROR(VLOOKUP($B274,'Slutlig allokering kvv'!$B$2:$BX$550,MATCH(Z$2,'Slutlig allokering kvv'!$B$1:$BX$1,0),FALSE)/1,0))</f>
        <v/>
      </c>
      <c r="AA274" s="31" t="str">
        <f>IF($D274="","",IFERROR(VLOOKUP($B274,Kraftvärmeprod!$B$1:$BX$550,MATCH(AA$2,Kraftvärmeprod!$B$1:$VX$1,0),FALSE)/1,0)-IFERROR(VLOOKUP($B274,'Slutlig allokering kvv'!$B$2:$BX$550,MATCH(AA$2,'Slutlig allokering kvv'!$B$1:$BX$1,0),FALSE)/1,0))</f>
        <v/>
      </c>
      <c r="AB274" s="31" t="str">
        <f>IF($D274="","",IFERROR(VLOOKUP($B274,Kraftvärmeprod!$B$1:$BX$550,MATCH(AB$2,Kraftvärmeprod!$B$1:$VX$1,0),FALSE)/1,0)-IFERROR(VLOOKUP($B274,'Slutlig allokering kvv'!$B$2:$BX$550,MATCH(AB$2,'Slutlig allokering kvv'!$B$1:$BX$1,0),FALSE)/1,0))</f>
        <v/>
      </c>
      <c r="AC274" s="31" t="str">
        <f>IF($D274="","",IFERROR(VLOOKUP($B274,Kraftvärmeprod!$B$1:$BX$550,MATCH(AC$2,Kraftvärmeprod!$B$1:$VX$1,0),FALSE)/1,0)-IFERROR(VLOOKUP($B274,'Slutlig allokering kvv'!$B$2:$BX$550,MATCH(AC$2,'Slutlig allokering kvv'!$B$1:$BX$1,0),FALSE)/1,0))</f>
        <v/>
      </c>
      <c r="AD274" s="31" t="str">
        <f>IF($D274="","",IFERROR(VLOOKUP($B274,Kraftvärmeprod!$B$1:$BX$550,MATCH(AD$2,Kraftvärmeprod!$B$1:$VX$1,0),FALSE)/1,0)-IFERROR(VLOOKUP($B274,'Slutlig allokering kvv'!$B$2:$BX$550,MATCH(AD$2,'Slutlig allokering kvv'!$B$1:$BX$1,0),FALSE)/1,0))</f>
        <v/>
      </c>
      <c r="AE274" s="31" t="str">
        <f>IF($D274="","",IFERROR(VLOOKUP($B274,Miljö!$B$1:$E$550,MATCH("Hjälpel kraftvärme (GWh)",Miljö!$B$1:$E$1,0),FALSE)/1,0)-IFERROR(VLOOKUP($B274,'Slutlig allokering kvv'!$B$2:$BX$549,MATCH(AE$2,'Slutlig allokering kvv'!$B$1:$BX$1,0),FALSE)/1,0))</f>
        <v/>
      </c>
      <c r="AI274" s="39">
        <f t="shared" si="16"/>
        <v>0</v>
      </c>
      <c r="AK274" s="31">
        <f>IFERROR(VLOOKUP($B274,'Slutlig allokering kvv'!$B$2:$AX$549,MATCH("Summa slutlig allokerad tillförd energi (utan hjälpel och rökgaskondensering):",'Slutlig allokering kvv'!$B$1:$AX$1,0),FALSE)/1,"")</f>
        <v>0</v>
      </c>
      <c r="AM274" s="31" t="str">
        <f>IFERROR(1-VLOOKUP($B274,'Slutlig allokering kvv'!$B$2:$AX$549,MATCH("Andel av bränsle i kvv som allokerats till värme, exklusive rökgaskondensering och hjälpel",'Slutlig allokering kvv'!$B$1:$AX$1,0),FALSE),"")</f>
        <v/>
      </c>
      <c r="AO274" s="31" t="str">
        <f t="shared" si="17"/>
        <v/>
      </c>
      <c r="AP274" s="31" t="str">
        <f t="shared" si="18"/>
        <v/>
      </c>
      <c r="AR274" s="32" t="str">
        <f t="shared" si="19"/>
        <v/>
      </c>
    </row>
    <row r="275" spans="1:44" s="31" customFormat="1" x14ac:dyDescent="0.45">
      <c r="A275" s="31" t="s">
        <v>280</v>
      </c>
      <c r="B275" s="31" t="s">
        <v>282</v>
      </c>
      <c r="C275" s="31" t="str">
        <f>IFERROR(VLOOKUP($B275,Kraftvärmeprod!$B$1:$AH$479,MATCH(C$2,Kraftvärmeprod!$B$1:$AG$1,0),FALSE)/1,"")</f>
        <v/>
      </c>
      <c r="D275" s="31" t="str">
        <f>IFERROR(VLOOKUP($B275,Kraftvärmeprod!$B$1:$AH$479,MATCH(D$2,Kraftvärmeprod!$B$1:$AG$1,0),FALSE)/1,"")</f>
        <v/>
      </c>
      <c r="F275" s="31" t="str">
        <f>IF($D275="","",IFERROR(VLOOKUP($B275,Kraftvärmeprod!$B$1:$BX$550,MATCH(F$2,Kraftvärmeprod!$B$1:$VX$1,0),FALSE)/1,0)-IFERROR(VLOOKUP($B275,'Slutlig allokering kvv'!$B$2:$BX$550,MATCH(F$2,'Slutlig allokering kvv'!$B$1:$BX$1,0),FALSE)/1,0))</f>
        <v/>
      </c>
      <c r="G275" s="31" t="str">
        <f>IF($D275="","",IFERROR(VLOOKUP($B275,Kraftvärmeprod!$B$1:$BX$550,MATCH(G$2,Kraftvärmeprod!$B$1:$VX$1,0),FALSE)/1,0)-IFERROR(VLOOKUP($B275,'Slutlig allokering kvv'!$B$2:$BX$550,MATCH(G$2,'Slutlig allokering kvv'!$B$1:$BX$1,0),FALSE)/1,0))</f>
        <v/>
      </c>
      <c r="H275" s="31" t="str">
        <f>IF($D275="","",IFERROR(VLOOKUP($B275,Kraftvärmeprod!$B$1:$BX$550,MATCH(H$2,Kraftvärmeprod!$B$1:$VX$1,0),FALSE)/1,0)-IFERROR(VLOOKUP($B275,'Slutlig allokering kvv'!$B$2:$BX$550,MATCH(H$2,'Slutlig allokering kvv'!$B$1:$BX$1,0),FALSE)/1,0))</f>
        <v/>
      </c>
      <c r="I275" s="31" t="str">
        <f>IF($D275="","",IFERROR(VLOOKUP($B275,Kraftvärmeprod!$B$1:$BX$550,MATCH(I$2,Kraftvärmeprod!$B$1:$VX$1,0),FALSE)/1,0)-IFERROR(VLOOKUP($B275,'Slutlig allokering kvv'!$B$2:$BX$550,MATCH(I$2,'Slutlig allokering kvv'!$B$1:$BX$1,0),FALSE)/1,0))</f>
        <v/>
      </c>
      <c r="J275" s="31" t="str">
        <f>IF($D275="","",IFERROR(VLOOKUP($B275,Kraftvärmeprod!$B$1:$BX$550,MATCH(J$2,Kraftvärmeprod!$B$1:$VX$1,0),FALSE)/1,0)-IFERROR(VLOOKUP($B275,'Slutlig allokering kvv'!$B$2:$BX$550,MATCH(J$2,'Slutlig allokering kvv'!$B$1:$BX$1,0),FALSE)/1,0))</f>
        <v/>
      </c>
      <c r="K275" s="31" t="str">
        <f>IF($D275="","",IFERROR(VLOOKUP($B275,Kraftvärmeprod!$B$1:$BX$550,MATCH(K$2,Kraftvärmeprod!$B$1:$VX$1,0),FALSE)/1,0)-IFERROR(VLOOKUP($B275,'Slutlig allokering kvv'!$B$2:$BX$550,MATCH(K$2,'Slutlig allokering kvv'!$B$1:$BX$1,0),FALSE)/1,0))</f>
        <v/>
      </c>
      <c r="L275" s="31" t="str">
        <f>IF($D275="","",IFERROR(VLOOKUP($B275,Kraftvärmeprod!$B$1:$BX$550,MATCH(L$2,Kraftvärmeprod!$B$1:$VX$1,0),FALSE)/1,0)-IFERROR(VLOOKUP($B275,'Slutlig allokering kvv'!$B$2:$BX$550,MATCH(L$2,'Slutlig allokering kvv'!$B$1:$BX$1,0),FALSE)/1,0))</f>
        <v/>
      </c>
      <c r="M275" s="31" t="str">
        <f>IF($D275="","",IFERROR(VLOOKUP($B275,Kraftvärmeprod!$B$1:$BX$550,MATCH(M$2,Kraftvärmeprod!$B$1:$VX$1,0),FALSE)/1,0)-IFERROR(VLOOKUP($B275,'Slutlig allokering kvv'!$B$2:$BX$550,MATCH(M$2,'Slutlig allokering kvv'!$B$1:$BX$1,0),FALSE)/1,0))</f>
        <v/>
      </c>
      <c r="N275" s="31" t="str">
        <f>IF($D275="","",IFERROR(VLOOKUP($B275,Kraftvärmeprod!$B$1:$BX$550,MATCH(N$2,Kraftvärmeprod!$B$1:$VX$1,0),FALSE)/1,0)-IFERROR(VLOOKUP($B275,'Slutlig allokering kvv'!$B$2:$BX$550,MATCH(N$2,'Slutlig allokering kvv'!$B$1:$BX$1,0),FALSE)/1,0))</f>
        <v/>
      </c>
      <c r="O275" s="31" t="str">
        <f>IF($D275="","",IFERROR(VLOOKUP($B275,Kraftvärmeprod!$B$1:$BX$550,MATCH(O$2,Kraftvärmeprod!$B$1:$VX$1,0),FALSE)/1,0)-IFERROR(VLOOKUP($B275,'Slutlig allokering kvv'!$B$2:$BX$550,MATCH(O$2,'Slutlig allokering kvv'!$B$1:$BX$1,0),FALSE)/1,0))</f>
        <v/>
      </c>
      <c r="P275" s="31" t="str">
        <f>IF($D275="","",IFERROR(VLOOKUP($B275,Kraftvärmeprod!$B$1:$BX$550,MATCH(P$2,Kraftvärmeprod!$B$1:$VX$1,0),FALSE)/1,0)-IFERROR(VLOOKUP($B275,'Slutlig allokering kvv'!$B$2:$BX$550,MATCH(P$2,'Slutlig allokering kvv'!$B$1:$BX$1,0),FALSE)/1,0))</f>
        <v/>
      </c>
      <c r="Q275" s="31" t="str">
        <f>IF($D275="","",IFERROR(VLOOKUP($B275,Kraftvärmeprod!$B$1:$BX$550,MATCH(Q$2,Kraftvärmeprod!$B$1:$VX$1,0),FALSE)/1,0)-IFERROR(VLOOKUP($B275,'Slutlig allokering kvv'!$B$2:$BX$550,MATCH(Q$2,'Slutlig allokering kvv'!$B$1:$BX$1,0),FALSE)/1,0))</f>
        <v/>
      </c>
      <c r="R275" s="31" t="str">
        <f>IF($D275="","",IFERROR(VLOOKUP($B275,Kraftvärmeprod!$B$1:$BX$550,MATCH(R$2,Kraftvärmeprod!$B$1:$VX$1,0),FALSE)/1,0)-IFERROR(VLOOKUP($B275,'Slutlig allokering kvv'!$B$2:$BX$550,MATCH(R$2,'Slutlig allokering kvv'!$B$1:$BX$1,0),FALSE)/1,0))</f>
        <v/>
      </c>
      <c r="S275" s="31" t="str">
        <f>IF($D275="","",IFERROR(VLOOKUP($B275,Kraftvärmeprod!$B$1:$BX$550,MATCH(S$2,Kraftvärmeprod!$B$1:$VX$1,0),FALSE)/1,0)-IFERROR(VLOOKUP($B275,'Slutlig allokering kvv'!$B$2:$BX$550,MATCH(S$2,'Slutlig allokering kvv'!$B$1:$BX$1,0),FALSE)/1,0))</f>
        <v/>
      </c>
      <c r="T275" s="31" t="str">
        <f>IF($D275="","",IFERROR(VLOOKUP($B275,Kraftvärmeprod!$B$1:$BX$550,MATCH(T$2,Kraftvärmeprod!$B$1:$VX$1,0),FALSE)/1,0)-IFERROR(VLOOKUP($B275,'Slutlig allokering kvv'!$B$2:$BX$550,MATCH(T$2,'Slutlig allokering kvv'!$B$1:$BX$1,0),FALSE)/1,0))</f>
        <v/>
      </c>
      <c r="U275" s="31" t="str">
        <f>IF($D275="","",IFERROR(VLOOKUP($B275,Kraftvärmeprod!$B$1:$BX$550,MATCH(U$2,Kraftvärmeprod!$B$1:$VX$1,0),FALSE)/1,0)-IFERROR(VLOOKUP($B275,'Slutlig allokering kvv'!$B$2:$BX$550,MATCH(U$2,'Slutlig allokering kvv'!$B$1:$BX$1,0),FALSE)/1,0))</f>
        <v/>
      </c>
      <c r="V275" s="31" t="str">
        <f>IF($D275="","",IFERROR(VLOOKUP($B275,Kraftvärmeprod!$B$1:$BX$550,MATCH(V$2,Kraftvärmeprod!$B$1:$VX$1,0),FALSE)/1,0)-IFERROR(VLOOKUP($B275,'Slutlig allokering kvv'!$B$2:$BX$550,MATCH(V$2,'Slutlig allokering kvv'!$B$1:$BX$1,0),FALSE)/1,0))</f>
        <v/>
      </c>
      <c r="W275" s="31" t="str">
        <f>IF($D275="","",IFERROR(VLOOKUP($B275,Kraftvärmeprod!$B$1:$BX$550,MATCH(W$2,Kraftvärmeprod!$B$1:$VX$1,0),FALSE)/1,0)-IFERROR(VLOOKUP($B275,'Slutlig allokering kvv'!$B$2:$BX$550,MATCH(W$2,'Slutlig allokering kvv'!$B$1:$BX$1,0),FALSE)/1,0))</f>
        <v/>
      </c>
      <c r="X275" s="31" t="str">
        <f>IF($D275="","",IFERROR(VLOOKUP($B275,Kraftvärmeprod!$B$1:$BX$550,MATCH(X$2,Kraftvärmeprod!$B$1:$VX$1,0),FALSE)/1,0)-IFERROR(VLOOKUP($B275,'Slutlig allokering kvv'!$B$2:$BX$550,MATCH(X$2,'Slutlig allokering kvv'!$B$1:$BX$1,0),FALSE)/1,0))</f>
        <v/>
      </c>
      <c r="Y275" s="31" t="str">
        <f>IF($D275="","",IFERROR(VLOOKUP($B275,Kraftvärmeprod!$B$1:$BX$550,MATCH(Y$2,Kraftvärmeprod!$B$1:$VX$1,0),FALSE)/1,0)-IFERROR(VLOOKUP($B275,'Slutlig allokering kvv'!$B$2:$BX$550,MATCH(Y$2,'Slutlig allokering kvv'!$B$1:$BX$1,0),FALSE)/1,0))</f>
        <v/>
      </c>
      <c r="Z275" s="31" t="str">
        <f>IF($D275="","",IFERROR(VLOOKUP($B275,Kraftvärmeprod!$B$1:$BX$550,MATCH(Z$2,Kraftvärmeprod!$B$1:$VX$1,0),FALSE)/1,0)-IFERROR(VLOOKUP($B275,'Slutlig allokering kvv'!$B$2:$BX$550,MATCH(Z$2,'Slutlig allokering kvv'!$B$1:$BX$1,0),FALSE)/1,0))</f>
        <v/>
      </c>
      <c r="AA275" s="31" t="str">
        <f>IF($D275="","",IFERROR(VLOOKUP($B275,Kraftvärmeprod!$B$1:$BX$550,MATCH(AA$2,Kraftvärmeprod!$B$1:$VX$1,0),FALSE)/1,0)-IFERROR(VLOOKUP($B275,'Slutlig allokering kvv'!$B$2:$BX$550,MATCH(AA$2,'Slutlig allokering kvv'!$B$1:$BX$1,0),FALSE)/1,0))</f>
        <v/>
      </c>
      <c r="AB275" s="31" t="str">
        <f>IF($D275="","",IFERROR(VLOOKUP($B275,Kraftvärmeprod!$B$1:$BX$550,MATCH(AB$2,Kraftvärmeprod!$B$1:$VX$1,0),FALSE)/1,0)-IFERROR(VLOOKUP($B275,'Slutlig allokering kvv'!$B$2:$BX$550,MATCH(AB$2,'Slutlig allokering kvv'!$B$1:$BX$1,0),FALSE)/1,0))</f>
        <v/>
      </c>
      <c r="AC275" s="31" t="str">
        <f>IF($D275="","",IFERROR(VLOOKUP($B275,Kraftvärmeprod!$B$1:$BX$550,MATCH(AC$2,Kraftvärmeprod!$B$1:$VX$1,0),FALSE)/1,0)-IFERROR(VLOOKUP($B275,'Slutlig allokering kvv'!$B$2:$BX$550,MATCH(AC$2,'Slutlig allokering kvv'!$B$1:$BX$1,0),FALSE)/1,0))</f>
        <v/>
      </c>
      <c r="AD275" s="31" t="str">
        <f>IF($D275="","",IFERROR(VLOOKUP($B275,Kraftvärmeprod!$B$1:$BX$550,MATCH(AD$2,Kraftvärmeprod!$B$1:$VX$1,0),FALSE)/1,0)-IFERROR(VLOOKUP($B275,'Slutlig allokering kvv'!$B$2:$BX$550,MATCH(AD$2,'Slutlig allokering kvv'!$B$1:$BX$1,0),FALSE)/1,0))</f>
        <v/>
      </c>
      <c r="AE275" s="31" t="str">
        <f>IF($D275="","",IFERROR(VLOOKUP($B275,Miljö!$B$1:$E$550,MATCH("Hjälpel kraftvärme (GWh)",Miljö!$B$1:$E$1,0),FALSE)/1,0)-IFERROR(VLOOKUP($B275,'Slutlig allokering kvv'!$B$2:$BX$549,MATCH(AE$2,'Slutlig allokering kvv'!$B$1:$BX$1,0),FALSE)/1,0))</f>
        <v/>
      </c>
      <c r="AI275" s="39">
        <f t="shared" si="16"/>
        <v>0</v>
      </c>
      <c r="AK275" s="31">
        <f>IFERROR(VLOOKUP($B275,'Slutlig allokering kvv'!$B$2:$AX$549,MATCH("Summa slutlig allokerad tillförd energi (utan hjälpel och rökgaskondensering):",'Slutlig allokering kvv'!$B$1:$AX$1,0),FALSE)/1,"")</f>
        <v>0</v>
      </c>
      <c r="AM275" s="31" t="str">
        <f>IFERROR(1-VLOOKUP($B275,'Slutlig allokering kvv'!$B$2:$AX$549,MATCH("Andel av bränsle i kvv som allokerats till värme, exklusive rökgaskondensering och hjälpel",'Slutlig allokering kvv'!$B$1:$AX$1,0),FALSE),"")</f>
        <v/>
      </c>
      <c r="AO275" s="31" t="str">
        <f t="shared" si="17"/>
        <v/>
      </c>
      <c r="AP275" s="31" t="str">
        <f t="shared" si="18"/>
        <v/>
      </c>
      <c r="AR275" s="32" t="str">
        <f t="shared" si="19"/>
        <v/>
      </c>
    </row>
    <row r="276" spans="1:44" s="31" customFormat="1" x14ac:dyDescent="0.45">
      <c r="A276" s="31" t="s">
        <v>277</v>
      </c>
      <c r="B276" s="31" t="s">
        <v>130</v>
      </c>
      <c r="C276" s="31" t="str">
        <f>IFERROR(VLOOKUP($B276,Kraftvärmeprod!$B$1:$AH$479,MATCH(C$2,Kraftvärmeprod!$B$1:$AG$1,0),FALSE)/1,"")</f>
        <v/>
      </c>
      <c r="D276" s="31" t="str">
        <f>IFERROR(VLOOKUP($B276,Kraftvärmeprod!$B$1:$AH$479,MATCH(D$2,Kraftvärmeprod!$B$1:$AG$1,0),FALSE)/1,"")</f>
        <v/>
      </c>
      <c r="F276" s="31" t="str">
        <f>IF($D276="","",IFERROR(VLOOKUP($B276,Kraftvärmeprod!$B$1:$BX$550,MATCH(F$2,Kraftvärmeprod!$B$1:$VX$1,0),FALSE)/1,0)-IFERROR(VLOOKUP($B276,'Slutlig allokering kvv'!$B$2:$BX$550,MATCH(F$2,'Slutlig allokering kvv'!$B$1:$BX$1,0),FALSE)/1,0))</f>
        <v/>
      </c>
      <c r="G276" s="31" t="str">
        <f>IF($D276="","",IFERROR(VLOOKUP($B276,Kraftvärmeprod!$B$1:$BX$550,MATCH(G$2,Kraftvärmeprod!$B$1:$VX$1,0),FALSE)/1,0)-IFERROR(VLOOKUP($B276,'Slutlig allokering kvv'!$B$2:$BX$550,MATCH(G$2,'Slutlig allokering kvv'!$B$1:$BX$1,0),FALSE)/1,0))</f>
        <v/>
      </c>
      <c r="H276" s="31" t="str">
        <f>IF($D276="","",IFERROR(VLOOKUP($B276,Kraftvärmeprod!$B$1:$BX$550,MATCH(H$2,Kraftvärmeprod!$B$1:$VX$1,0),FALSE)/1,0)-IFERROR(VLOOKUP($B276,'Slutlig allokering kvv'!$B$2:$BX$550,MATCH(H$2,'Slutlig allokering kvv'!$B$1:$BX$1,0),FALSE)/1,0))</f>
        <v/>
      </c>
      <c r="I276" s="31" t="str">
        <f>IF($D276="","",IFERROR(VLOOKUP($B276,Kraftvärmeprod!$B$1:$BX$550,MATCH(I$2,Kraftvärmeprod!$B$1:$VX$1,0),FALSE)/1,0)-IFERROR(VLOOKUP($B276,'Slutlig allokering kvv'!$B$2:$BX$550,MATCH(I$2,'Slutlig allokering kvv'!$B$1:$BX$1,0),FALSE)/1,0))</f>
        <v/>
      </c>
      <c r="J276" s="31" t="str">
        <f>IF($D276="","",IFERROR(VLOOKUP($B276,Kraftvärmeprod!$B$1:$BX$550,MATCH(J$2,Kraftvärmeprod!$B$1:$VX$1,0),FALSE)/1,0)-IFERROR(VLOOKUP($B276,'Slutlig allokering kvv'!$B$2:$BX$550,MATCH(J$2,'Slutlig allokering kvv'!$B$1:$BX$1,0),FALSE)/1,0))</f>
        <v/>
      </c>
      <c r="K276" s="31" t="str">
        <f>IF($D276="","",IFERROR(VLOOKUP($B276,Kraftvärmeprod!$B$1:$BX$550,MATCH(K$2,Kraftvärmeprod!$B$1:$VX$1,0),FALSE)/1,0)-IFERROR(VLOOKUP($B276,'Slutlig allokering kvv'!$B$2:$BX$550,MATCH(K$2,'Slutlig allokering kvv'!$B$1:$BX$1,0),FALSE)/1,0))</f>
        <v/>
      </c>
      <c r="L276" s="31" t="str">
        <f>IF($D276="","",IFERROR(VLOOKUP($B276,Kraftvärmeprod!$B$1:$BX$550,MATCH(L$2,Kraftvärmeprod!$B$1:$VX$1,0),FALSE)/1,0)-IFERROR(VLOOKUP($B276,'Slutlig allokering kvv'!$B$2:$BX$550,MATCH(L$2,'Slutlig allokering kvv'!$B$1:$BX$1,0),FALSE)/1,0))</f>
        <v/>
      </c>
      <c r="M276" s="31" t="str">
        <f>IF($D276="","",IFERROR(VLOOKUP($B276,Kraftvärmeprod!$B$1:$BX$550,MATCH(M$2,Kraftvärmeprod!$B$1:$VX$1,0),FALSE)/1,0)-IFERROR(VLOOKUP($B276,'Slutlig allokering kvv'!$B$2:$BX$550,MATCH(M$2,'Slutlig allokering kvv'!$B$1:$BX$1,0),FALSE)/1,0))</f>
        <v/>
      </c>
      <c r="N276" s="31" t="str">
        <f>IF($D276="","",IFERROR(VLOOKUP($B276,Kraftvärmeprod!$B$1:$BX$550,MATCH(N$2,Kraftvärmeprod!$B$1:$VX$1,0),FALSE)/1,0)-IFERROR(VLOOKUP($B276,'Slutlig allokering kvv'!$B$2:$BX$550,MATCH(N$2,'Slutlig allokering kvv'!$B$1:$BX$1,0),FALSE)/1,0))</f>
        <v/>
      </c>
      <c r="O276" s="31" t="str">
        <f>IF($D276="","",IFERROR(VLOOKUP($B276,Kraftvärmeprod!$B$1:$BX$550,MATCH(O$2,Kraftvärmeprod!$B$1:$VX$1,0),FALSE)/1,0)-IFERROR(VLOOKUP($B276,'Slutlig allokering kvv'!$B$2:$BX$550,MATCH(O$2,'Slutlig allokering kvv'!$B$1:$BX$1,0),FALSE)/1,0))</f>
        <v/>
      </c>
      <c r="P276" s="31" t="str">
        <f>IF($D276="","",IFERROR(VLOOKUP($B276,Kraftvärmeprod!$B$1:$BX$550,MATCH(P$2,Kraftvärmeprod!$B$1:$VX$1,0),FALSE)/1,0)-IFERROR(VLOOKUP($B276,'Slutlig allokering kvv'!$B$2:$BX$550,MATCH(P$2,'Slutlig allokering kvv'!$B$1:$BX$1,0),FALSE)/1,0))</f>
        <v/>
      </c>
      <c r="Q276" s="31" t="str">
        <f>IF($D276="","",IFERROR(VLOOKUP($B276,Kraftvärmeprod!$B$1:$BX$550,MATCH(Q$2,Kraftvärmeprod!$B$1:$VX$1,0),FALSE)/1,0)-IFERROR(VLOOKUP($B276,'Slutlig allokering kvv'!$B$2:$BX$550,MATCH(Q$2,'Slutlig allokering kvv'!$B$1:$BX$1,0),FALSE)/1,0))</f>
        <v/>
      </c>
      <c r="R276" s="31" t="str">
        <f>IF($D276="","",IFERROR(VLOOKUP($B276,Kraftvärmeprod!$B$1:$BX$550,MATCH(R$2,Kraftvärmeprod!$B$1:$VX$1,0),FALSE)/1,0)-IFERROR(VLOOKUP($B276,'Slutlig allokering kvv'!$B$2:$BX$550,MATCH(R$2,'Slutlig allokering kvv'!$B$1:$BX$1,0),FALSE)/1,0))</f>
        <v/>
      </c>
      <c r="S276" s="31" t="str">
        <f>IF($D276="","",IFERROR(VLOOKUP($B276,Kraftvärmeprod!$B$1:$BX$550,MATCH(S$2,Kraftvärmeprod!$B$1:$VX$1,0),FALSE)/1,0)-IFERROR(VLOOKUP($B276,'Slutlig allokering kvv'!$B$2:$BX$550,MATCH(S$2,'Slutlig allokering kvv'!$B$1:$BX$1,0),FALSE)/1,0))</f>
        <v/>
      </c>
      <c r="T276" s="31" t="str">
        <f>IF($D276="","",IFERROR(VLOOKUP($B276,Kraftvärmeprod!$B$1:$BX$550,MATCH(T$2,Kraftvärmeprod!$B$1:$VX$1,0),FALSE)/1,0)-IFERROR(VLOOKUP($B276,'Slutlig allokering kvv'!$B$2:$BX$550,MATCH(T$2,'Slutlig allokering kvv'!$B$1:$BX$1,0),FALSE)/1,0))</f>
        <v/>
      </c>
      <c r="U276" s="31" t="str">
        <f>IF($D276="","",IFERROR(VLOOKUP($B276,Kraftvärmeprod!$B$1:$BX$550,MATCH(U$2,Kraftvärmeprod!$B$1:$VX$1,0),FALSE)/1,0)-IFERROR(VLOOKUP($B276,'Slutlig allokering kvv'!$B$2:$BX$550,MATCH(U$2,'Slutlig allokering kvv'!$B$1:$BX$1,0),FALSE)/1,0))</f>
        <v/>
      </c>
      <c r="V276" s="31" t="str">
        <f>IF($D276="","",IFERROR(VLOOKUP($B276,Kraftvärmeprod!$B$1:$BX$550,MATCH(V$2,Kraftvärmeprod!$B$1:$VX$1,0),FALSE)/1,0)-IFERROR(VLOOKUP($B276,'Slutlig allokering kvv'!$B$2:$BX$550,MATCH(V$2,'Slutlig allokering kvv'!$B$1:$BX$1,0),FALSE)/1,0))</f>
        <v/>
      </c>
      <c r="W276" s="31" t="str">
        <f>IF($D276="","",IFERROR(VLOOKUP($B276,Kraftvärmeprod!$B$1:$BX$550,MATCH(W$2,Kraftvärmeprod!$B$1:$VX$1,0),FALSE)/1,0)-IFERROR(VLOOKUP($B276,'Slutlig allokering kvv'!$B$2:$BX$550,MATCH(W$2,'Slutlig allokering kvv'!$B$1:$BX$1,0),FALSE)/1,0))</f>
        <v/>
      </c>
      <c r="X276" s="31" t="str">
        <f>IF($D276="","",IFERROR(VLOOKUP($B276,Kraftvärmeprod!$B$1:$BX$550,MATCH(X$2,Kraftvärmeprod!$B$1:$VX$1,0),FALSE)/1,0)-IFERROR(VLOOKUP($B276,'Slutlig allokering kvv'!$B$2:$BX$550,MATCH(X$2,'Slutlig allokering kvv'!$B$1:$BX$1,0),FALSE)/1,0))</f>
        <v/>
      </c>
      <c r="Y276" s="31" t="str">
        <f>IF($D276="","",IFERROR(VLOOKUP($B276,Kraftvärmeprod!$B$1:$BX$550,MATCH(Y$2,Kraftvärmeprod!$B$1:$VX$1,0),FALSE)/1,0)-IFERROR(VLOOKUP($B276,'Slutlig allokering kvv'!$B$2:$BX$550,MATCH(Y$2,'Slutlig allokering kvv'!$B$1:$BX$1,0),FALSE)/1,0))</f>
        <v/>
      </c>
      <c r="Z276" s="31" t="str">
        <f>IF($D276="","",IFERROR(VLOOKUP($B276,Kraftvärmeprod!$B$1:$BX$550,MATCH(Z$2,Kraftvärmeprod!$B$1:$VX$1,0),FALSE)/1,0)-IFERROR(VLOOKUP($B276,'Slutlig allokering kvv'!$B$2:$BX$550,MATCH(Z$2,'Slutlig allokering kvv'!$B$1:$BX$1,0),FALSE)/1,0))</f>
        <v/>
      </c>
      <c r="AA276" s="31" t="str">
        <f>IF($D276="","",IFERROR(VLOOKUP($B276,Kraftvärmeprod!$B$1:$BX$550,MATCH(AA$2,Kraftvärmeprod!$B$1:$VX$1,0),FALSE)/1,0)-IFERROR(VLOOKUP($B276,'Slutlig allokering kvv'!$B$2:$BX$550,MATCH(AA$2,'Slutlig allokering kvv'!$B$1:$BX$1,0),FALSE)/1,0))</f>
        <v/>
      </c>
      <c r="AB276" s="31" t="str">
        <f>IF($D276="","",IFERROR(VLOOKUP($B276,Kraftvärmeprod!$B$1:$BX$550,MATCH(AB$2,Kraftvärmeprod!$B$1:$VX$1,0),FALSE)/1,0)-IFERROR(VLOOKUP($B276,'Slutlig allokering kvv'!$B$2:$BX$550,MATCH(AB$2,'Slutlig allokering kvv'!$B$1:$BX$1,0),FALSE)/1,0))</f>
        <v/>
      </c>
      <c r="AC276" s="31" t="str">
        <f>IF($D276="","",IFERROR(VLOOKUP($B276,Kraftvärmeprod!$B$1:$BX$550,MATCH(AC$2,Kraftvärmeprod!$B$1:$VX$1,0),FALSE)/1,0)-IFERROR(VLOOKUP($B276,'Slutlig allokering kvv'!$B$2:$BX$550,MATCH(AC$2,'Slutlig allokering kvv'!$B$1:$BX$1,0),FALSE)/1,0))</f>
        <v/>
      </c>
      <c r="AD276" s="31" t="str">
        <f>IF($D276="","",IFERROR(VLOOKUP($B276,Kraftvärmeprod!$B$1:$BX$550,MATCH(AD$2,Kraftvärmeprod!$B$1:$VX$1,0),FALSE)/1,0)-IFERROR(VLOOKUP($B276,'Slutlig allokering kvv'!$B$2:$BX$550,MATCH(AD$2,'Slutlig allokering kvv'!$B$1:$BX$1,0),FALSE)/1,0))</f>
        <v/>
      </c>
      <c r="AE276" s="31" t="str">
        <f>IF($D276="","",IFERROR(VLOOKUP($B276,Miljö!$B$1:$E$550,MATCH("Hjälpel kraftvärme (GWh)",Miljö!$B$1:$E$1,0),FALSE)/1,0)-IFERROR(VLOOKUP($B276,'Slutlig allokering kvv'!$B$2:$BX$549,MATCH(AE$2,'Slutlig allokering kvv'!$B$1:$BX$1,0),FALSE)/1,0))</f>
        <v/>
      </c>
      <c r="AI276" s="39">
        <f t="shared" si="16"/>
        <v>0</v>
      </c>
      <c r="AK276" s="31">
        <f>IFERROR(VLOOKUP($B276,'Slutlig allokering kvv'!$B$2:$AX$549,MATCH("Summa slutlig allokerad tillförd energi (utan hjälpel och rökgaskondensering):",'Slutlig allokering kvv'!$B$1:$AX$1,0),FALSE)/1,"")</f>
        <v>0</v>
      </c>
      <c r="AM276" s="31" t="str">
        <f>IFERROR(1-VLOOKUP($B276,'Slutlig allokering kvv'!$B$2:$AX$549,MATCH("Andel av bränsle i kvv som allokerats till värme, exklusive rökgaskondensering och hjälpel",'Slutlig allokering kvv'!$B$1:$AX$1,0),FALSE),"")</f>
        <v/>
      </c>
      <c r="AO276" s="31" t="str">
        <f t="shared" si="17"/>
        <v/>
      </c>
      <c r="AP276" s="31" t="str">
        <f t="shared" si="18"/>
        <v/>
      </c>
      <c r="AR276" s="32" t="str">
        <f t="shared" si="19"/>
        <v/>
      </c>
    </row>
    <row r="277" spans="1:44" s="31" customFormat="1" x14ac:dyDescent="0.45">
      <c r="A277" s="31" t="s">
        <v>276</v>
      </c>
      <c r="B277" s="31" t="s">
        <v>275</v>
      </c>
      <c r="C277" s="31">
        <f>IFERROR(VLOOKUP($B277,Kraftvärmeprod!$B$1:$AH$479,MATCH(C$2,Kraftvärmeprod!$B$1:$AG$1,0),FALSE)/1,"")</f>
        <v>122.7</v>
      </c>
      <c r="D277" s="31">
        <f>IFERROR(VLOOKUP($B277,Kraftvärmeprod!$B$1:$AH$479,MATCH(D$2,Kraftvärmeprod!$B$1:$AG$1,0),FALSE)/1,"")</f>
        <v>28</v>
      </c>
      <c r="F277" s="31">
        <f>IF($D277="","",IFERROR(VLOOKUP($B277,Kraftvärmeprod!$B$1:$BX$550,MATCH(F$2,Kraftvärmeprod!$B$1:$VX$1,0),FALSE)/1,0)-IFERROR(VLOOKUP($B277,'Slutlig allokering kvv'!$B$2:$BX$550,MATCH(F$2,'Slutlig allokering kvv'!$B$1:$BX$1,0),FALSE)/1,0))</f>
        <v>0</v>
      </c>
      <c r="G277" s="31">
        <f>IF($D277="","",IFERROR(VLOOKUP($B277,Kraftvärmeprod!$B$1:$BX$550,MATCH(G$2,Kraftvärmeprod!$B$1:$VX$1,0),FALSE)/1,0)-IFERROR(VLOOKUP($B277,'Slutlig allokering kvv'!$B$2:$BX$550,MATCH(G$2,'Slutlig allokering kvv'!$B$1:$BX$1,0),FALSE)/1,0))</f>
        <v>0</v>
      </c>
      <c r="H277" s="31">
        <f>IF($D277="","",IFERROR(VLOOKUP($B277,Kraftvärmeprod!$B$1:$BX$550,MATCH(H$2,Kraftvärmeprod!$B$1:$VX$1,0),FALSE)/1,0)-IFERROR(VLOOKUP($B277,'Slutlig allokering kvv'!$B$2:$BX$550,MATCH(H$2,'Slutlig allokering kvv'!$B$1:$BX$1,0),FALSE)/1,0))</f>
        <v>0</v>
      </c>
      <c r="I277" s="31">
        <f>IF($D277="","",IFERROR(VLOOKUP($B277,Kraftvärmeprod!$B$1:$BX$550,MATCH(I$2,Kraftvärmeprod!$B$1:$VX$1,0),FALSE)/1,0)-IFERROR(VLOOKUP($B277,'Slutlig allokering kvv'!$B$2:$BX$550,MATCH(I$2,'Slutlig allokering kvv'!$B$1:$BX$1,0),FALSE)/1,0))</f>
        <v>0</v>
      </c>
      <c r="J277" s="31">
        <f>IF($D277="","",IFERROR(VLOOKUP($B277,Kraftvärmeprod!$B$1:$BX$550,MATCH(J$2,Kraftvärmeprod!$B$1:$VX$1,0),FALSE)/1,0)-IFERROR(VLOOKUP($B277,'Slutlig allokering kvv'!$B$2:$BX$550,MATCH(J$2,'Slutlig allokering kvv'!$B$1:$BX$1,0),FALSE)/1,0))</f>
        <v>0</v>
      </c>
      <c r="K277" s="31">
        <f>IF($D277="","",IFERROR(VLOOKUP($B277,Kraftvärmeprod!$B$1:$BX$550,MATCH(K$2,Kraftvärmeprod!$B$1:$VX$1,0),FALSE)/1,0)-IFERROR(VLOOKUP($B277,'Slutlig allokering kvv'!$B$2:$BX$550,MATCH(K$2,'Slutlig allokering kvv'!$B$1:$BX$1,0),FALSE)/1,0))</f>
        <v>0</v>
      </c>
      <c r="L277" s="31">
        <f>IF($D277="","",IFERROR(VLOOKUP($B277,Kraftvärmeprod!$B$1:$BX$550,MATCH(L$2,Kraftvärmeprod!$B$1:$VX$1,0),FALSE)/1,0)-IFERROR(VLOOKUP($B277,'Slutlig allokering kvv'!$B$2:$BX$550,MATCH(L$2,'Slutlig allokering kvv'!$B$1:$BX$1,0),FALSE)/1,0))</f>
        <v>46.440100000000001</v>
      </c>
      <c r="M277" s="31">
        <f>IF($D277="","",IFERROR(VLOOKUP($B277,Kraftvärmeprod!$B$1:$BX$550,MATCH(M$2,Kraftvärmeprod!$B$1:$VX$1,0),FALSE)/1,0)-IFERROR(VLOOKUP($B277,'Slutlig allokering kvv'!$B$2:$BX$550,MATCH(M$2,'Slutlig allokering kvv'!$B$1:$BX$1,0),FALSE)/1,0))</f>
        <v>10.490299999999998</v>
      </c>
      <c r="N277" s="31">
        <f>IF($D277="","",IFERROR(VLOOKUP($B277,Kraftvärmeprod!$B$1:$BX$550,MATCH(N$2,Kraftvärmeprod!$B$1:$VX$1,0),FALSE)/1,0)-IFERROR(VLOOKUP($B277,'Slutlig allokering kvv'!$B$2:$BX$550,MATCH(N$2,'Slutlig allokering kvv'!$B$1:$BX$1,0),FALSE)/1,0))</f>
        <v>0</v>
      </c>
      <c r="O277" s="31">
        <f>IF($D277="","",IFERROR(VLOOKUP($B277,Kraftvärmeprod!$B$1:$BX$550,MATCH(O$2,Kraftvärmeprod!$B$1:$VX$1,0),FALSE)/1,0)-IFERROR(VLOOKUP($B277,'Slutlig allokering kvv'!$B$2:$BX$550,MATCH(O$2,'Slutlig allokering kvv'!$B$1:$BX$1,0),FALSE)/1,0))</f>
        <v>2.5694399999999993</v>
      </c>
      <c r="P277" s="31">
        <f>IF($D277="","",IFERROR(VLOOKUP($B277,Kraftvärmeprod!$B$1:$BX$550,MATCH(P$2,Kraftvärmeprod!$B$1:$VX$1,0),FALSE)/1,0)-IFERROR(VLOOKUP($B277,'Slutlig allokering kvv'!$B$2:$BX$550,MATCH(P$2,'Slutlig allokering kvv'!$B$1:$BX$1,0),FALSE)/1,0))</f>
        <v>0</v>
      </c>
      <c r="Q277" s="31">
        <f>IF($D277="","",IFERROR(VLOOKUP($B277,Kraftvärmeprod!$B$1:$BX$550,MATCH(Q$2,Kraftvärmeprod!$B$1:$VX$1,0),FALSE)/1,0)-IFERROR(VLOOKUP($B277,'Slutlig allokering kvv'!$B$2:$BX$550,MATCH(Q$2,'Slutlig allokering kvv'!$B$1:$BX$1,0),FALSE)/1,0))</f>
        <v>0</v>
      </c>
      <c r="R277" s="31">
        <f>IF($D277="","",IFERROR(VLOOKUP($B277,Kraftvärmeprod!$B$1:$BX$550,MATCH(R$2,Kraftvärmeprod!$B$1:$VX$1,0),FALSE)/1,0)-IFERROR(VLOOKUP($B277,'Slutlig allokering kvv'!$B$2:$BX$550,MATCH(R$2,'Slutlig allokering kvv'!$B$1:$BX$1,0),FALSE)/1,0))</f>
        <v>0</v>
      </c>
      <c r="S277" s="31">
        <f>IF($D277="","",IFERROR(VLOOKUP($B277,Kraftvärmeprod!$B$1:$BX$550,MATCH(S$2,Kraftvärmeprod!$B$1:$VX$1,0),FALSE)/1,0)-IFERROR(VLOOKUP($B277,'Slutlig allokering kvv'!$B$2:$BX$550,MATCH(S$2,'Slutlig allokering kvv'!$B$1:$BX$1,0),FALSE)/1,0))</f>
        <v>0</v>
      </c>
      <c r="T277" s="31">
        <f>IF($D277="","",IFERROR(VLOOKUP($B277,Kraftvärmeprod!$B$1:$BX$550,MATCH(T$2,Kraftvärmeprod!$B$1:$VX$1,0),FALSE)/1,0)-IFERROR(VLOOKUP($B277,'Slutlig allokering kvv'!$B$2:$BX$550,MATCH(T$2,'Slutlig allokering kvv'!$B$1:$BX$1,0),FALSE)/1,0))</f>
        <v>0</v>
      </c>
      <c r="U277" s="31">
        <f>IF($D277="","",IFERROR(VLOOKUP($B277,Kraftvärmeprod!$B$1:$BX$550,MATCH(U$2,Kraftvärmeprod!$B$1:$VX$1,0),FALSE)/1,0)-IFERROR(VLOOKUP($B277,'Slutlig allokering kvv'!$B$2:$BX$550,MATCH(U$2,'Slutlig allokering kvv'!$B$1:$BX$1,0),FALSE)/1,0))</f>
        <v>0</v>
      </c>
      <c r="V277" s="31">
        <f>IF($D277="","",IFERROR(VLOOKUP($B277,Kraftvärmeprod!$B$1:$BX$550,MATCH(V$2,Kraftvärmeprod!$B$1:$VX$1,0),FALSE)/1,0)-IFERROR(VLOOKUP($B277,'Slutlig allokering kvv'!$B$2:$BX$550,MATCH(V$2,'Slutlig allokering kvv'!$B$1:$BX$1,0),FALSE)/1,0))</f>
        <v>0</v>
      </c>
      <c r="W277" s="31">
        <f>IF($D277="","",IFERROR(VLOOKUP($B277,Kraftvärmeprod!$B$1:$BX$550,MATCH(W$2,Kraftvärmeprod!$B$1:$VX$1,0),FALSE)/1,0)-IFERROR(VLOOKUP($B277,'Slutlig allokering kvv'!$B$2:$BX$550,MATCH(W$2,'Slutlig allokering kvv'!$B$1:$BX$1,0),FALSE)/1,0))</f>
        <v>0</v>
      </c>
      <c r="X277" s="31">
        <f>IF($D277="","",IFERROR(VLOOKUP($B277,Kraftvärmeprod!$B$1:$BX$550,MATCH(X$2,Kraftvärmeprod!$B$1:$VX$1,0),FALSE)/1,0)-IFERROR(VLOOKUP($B277,'Slutlig allokering kvv'!$B$2:$BX$550,MATCH(X$2,'Slutlig allokering kvv'!$B$1:$BX$1,0),FALSE)/1,0))</f>
        <v>0</v>
      </c>
      <c r="Y277" s="31">
        <f>IF($D277="","",IFERROR(VLOOKUP($B277,Kraftvärmeprod!$B$1:$BX$550,MATCH(Y$2,Kraftvärmeprod!$B$1:$VX$1,0),FALSE)/1,0)-IFERROR(VLOOKUP($B277,'Slutlig allokering kvv'!$B$2:$BX$550,MATCH(Y$2,'Slutlig allokering kvv'!$B$1:$BX$1,0),FALSE)/1,0))</f>
        <v>0</v>
      </c>
      <c r="Z277" s="31">
        <f>IF($D277="","",IFERROR(VLOOKUP($B277,Kraftvärmeprod!$B$1:$BX$550,MATCH(Z$2,Kraftvärmeprod!$B$1:$VX$1,0),FALSE)/1,0)-IFERROR(VLOOKUP($B277,'Slutlig allokering kvv'!$B$2:$BX$550,MATCH(Z$2,'Slutlig allokering kvv'!$B$1:$BX$1,0),FALSE)/1,0))</f>
        <v>0</v>
      </c>
      <c r="AA277" s="31">
        <f>IF($D277="","",IFERROR(VLOOKUP($B277,Kraftvärmeprod!$B$1:$BX$550,MATCH(AA$2,Kraftvärmeprod!$B$1:$VX$1,0),FALSE)/1,0)-IFERROR(VLOOKUP($B277,'Slutlig allokering kvv'!$B$2:$BX$550,MATCH(AA$2,'Slutlig allokering kvv'!$B$1:$BX$1,0),FALSE)/1,0))</f>
        <v>0</v>
      </c>
      <c r="AB277" s="31">
        <f>IF($D277="","",IFERROR(VLOOKUP($B277,Kraftvärmeprod!$B$1:$BX$550,MATCH(AB$2,Kraftvärmeprod!$B$1:$VX$1,0),FALSE)/1,0)-IFERROR(VLOOKUP($B277,'Slutlig allokering kvv'!$B$2:$BX$550,MATCH(AB$2,'Slutlig allokering kvv'!$B$1:$BX$1,0),FALSE)/1,0))</f>
        <v>0</v>
      </c>
      <c r="AC277" s="31">
        <f>IF($D277="","",IFERROR(VLOOKUP($B277,Kraftvärmeprod!$B$1:$BX$550,MATCH(AC$2,Kraftvärmeprod!$B$1:$VX$1,0),FALSE)/1,0)-IFERROR(VLOOKUP($B277,'Slutlig allokering kvv'!$B$2:$BX$550,MATCH(AC$2,'Slutlig allokering kvv'!$B$1:$BX$1,0),FALSE)/1,0))</f>
        <v>0</v>
      </c>
      <c r="AD277" s="31">
        <f>IF($D277="","",IFERROR(VLOOKUP($B277,Kraftvärmeprod!$B$1:$BX$550,MATCH(AD$2,Kraftvärmeprod!$B$1:$VX$1,0),FALSE)/1,0)-IFERROR(VLOOKUP($B277,'Slutlig allokering kvv'!$B$2:$BX$550,MATCH(AD$2,'Slutlig allokering kvv'!$B$1:$BX$1,0),FALSE)/1,0))</f>
        <v>0</v>
      </c>
      <c r="AE277" s="31">
        <f>IF($D277="","",IFERROR(VLOOKUP($B277,Miljö!$B$1:$E$550,MATCH("Hjälpel kraftvärme (GWh)",Miljö!$B$1:$E$1,0),FALSE)/1,0)-IFERROR(VLOOKUP($B277,'Slutlig allokering kvv'!$B$2:$BX$549,MATCH(AE$2,'Slutlig allokering kvv'!$B$1:$BX$1,0),FALSE)/1,0))</f>
        <v>0</v>
      </c>
      <c r="AI277" s="39">
        <f t="shared" si="16"/>
        <v>59.499839999999999</v>
      </c>
      <c r="AK277" s="31">
        <f>IFERROR(VLOOKUP($B277,'Slutlig allokering kvv'!$B$2:$AX$549,MATCH("Summa slutlig allokerad tillförd energi (utan hjälpel och rökgaskondensering):",'Slutlig allokering kvv'!$B$1:$AX$1,0),FALSE)/1,"")</f>
        <v>100.05016000000001</v>
      </c>
      <c r="AM277" s="31">
        <f>IFERROR(1-VLOOKUP($B277,'Slutlig allokering kvv'!$B$2:$AX$549,MATCH("Andel av bränsle i kvv som allokerats till värme, exklusive rökgaskondensering och hjälpel",'Slutlig allokering kvv'!$B$1:$AX$1,0),FALSE),"")</f>
        <v>0.37292284550297705</v>
      </c>
      <c r="AO277" s="31">
        <f t="shared" si="17"/>
        <v>0.37292284550297711</v>
      </c>
      <c r="AP277" s="31">
        <f t="shared" si="18"/>
        <v>-5.5511151231257827E-17</v>
      </c>
      <c r="AR277" s="32">
        <f t="shared" si="19"/>
        <v>0.47058950074487599</v>
      </c>
    </row>
    <row r="278" spans="1:44" s="31" customFormat="1" x14ac:dyDescent="0.45">
      <c r="A278" s="31" t="s">
        <v>273</v>
      </c>
      <c r="B278" s="31" t="s">
        <v>272</v>
      </c>
      <c r="C278" s="31" t="str">
        <f>IFERROR(VLOOKUP($B278,Kraftvärmeprod!$B$1:$AH$479,MATCH(C$2,Kraftvärmeprod!$B$1:$AG$1,0),FALSE)/1,"")</f>
        <v/>
      </c>
      <c r="D278" s="31" t="str">
        <f>IFERROR(VLOOKUP($B278,Kraftvärmeprod!$B$1:$AH$479,MATCH(D$2,Kraftvärmeprod!$B$1:$AG$1,0),FALSE)/1,"")</f>
        <v/>
      </c>
      <c r="F278" s="31" t="str">
        <f>IF($D278="","",IFERROR(VLOOKUP($B278,Kraftvärmeprod!$B$1:$BX$550,MATCH(F$2,Kraftvärmeprod!$B$1:$VX$1,0),FALSE)/1,0)-IFERROR(VLOOKUP($B278,'Slutlig allokering kvv'!$B$2:$BX$550,MATCH(F$2,'Slutlig allokering kvv'!$B$1:$BX$1,0),FALSE)/1,0))</f>
        <v/>
      </c>
      <c r="G278" s="31" t="str">
        <f>IF($D278="","",IFERROR(VLOOKUP($B278,Kraftvärmeprod!$B$1:$BX$550,MATCH(G$2,Kraftvärmeprod!$B$1:$VX$1,0),FALSE)/1,0)-IFERROR(VLOOKUP($B278,'Slutlig allokering kvv'!$B$2:$BX$550,MATCH(G$2,'Slutlig allokering kvv'!$B$1:$BX$1,0),FALSE)/1,0))</f>
        <v/>
      </c>
      <c r="H278" s="31" t="str">
        <f>IF($D278="","",IFERROR(VLOOKUP($B278,Kraftvärmeprod!$B$1:$BX$550,MATCH(H$2,Kraftvärmeprod!$B$1:$VX$1,0),FALSE)/1,0)-IFERROR(VLOOKUP($B278,'Slutlig allokering kvv'!$B$2:$BX$550,MATCH(H$2,'Slutlig allokering kvv'!$B$1:$BX$1,0),FALSE)/1,0))</f>
        <v/>
      </c>
      <c r="I278" s="31" t="str">
        <f>IF($D278="","",IFERROR(VLOOKUP($B278,Kraftvärmeprod!$B$1:$BX$550,MATCH(I$2,Kraftvärmeprod!$B$1:$VX$1,0),FALSE)/1,0)-IFERROR(VLOOKUP($B278,'Slutlig allokering kvv'!$B$2:$BX$550,MATCH(I$2,'Slutlig allokering kvv'!$B$1:$BX$1,0),FALSE)/1,0))</f>
        <v/>
      </c>
      <c r="J278" s="31" t="str">
        <f>IF($D278="","",IFERROR(VLOOKUP($B278,Kraftvärmeprod!$B$1:$BX$550,MATCH(J$2,Kraftvärmeprod!$B$1:$VX$1,0),FALSE)/1,0)-IFERROR(VLOOKUP($B278,'Slutlig allokering kvv'!$B$2:$BX$550,MATCH(J$2,'Slutlig allokering kvv'!$B$1:$BX$1,0),FALSE)/1,0))</f>
        <v/>
      </c>
      <c r="K278" s="31" t="str">
        <f>IF($D278="","",IFERROR(VLOOKUP($B278,Kraftvärmeprod!$B$1:$BX$550,MATCH(K$2,Kraftvärmeprod!$B$1:$VX$1,0),FALSE)/1,0)-IFERROR(VLOOKUP($B278,'Slutlig allokering kvv'!$B$2:$BX$550,MATCH(K$2,'Slutlig allokering kvv'!$B$1:$BX$1,0),FALSE)/1,0))</f>
        <v/>
      </c>
      <c r="L278" s="31" t="str">
        <f>IF($D278="","",IFERROR(VLOOKUP($B278,Kraftvärmeprod!$B$1:$BX$550,MATCH(L$2,Kraftvärmeprod!$B$1:$VX$1,0),FALSE)/1,0)-IFERROR(VLOOKUP($B278,'Slutlig allokering kvv'!$B$2:$BX$550,MATCH(L$2,'Slutlig allokering kvv'!$B$1:$BX$1,0),FALSE)/1,0))</f>
        <v/>
      </c>
      <c r="M278" s="31" t="str">
        <f>IF($D278="","",IFERROR(VLOOKUP($B278,Kraftvärmeprod!$B$1:$BX$550,MATCH(M$2,Kraftvärmeprod!$B$1:$VX$1,0),FALSE)/1,0)-IFERROR(VLOOKUP($B278,'Slutlig allokering kvv'!$B$2:$BX$550,MATCH(M$2,'Slutlig allokering kvv'!$B$1:$BX$1,0),FALSE)/1,0))</f>
        <v/>
      </c>
      <c r="N278" s="31" t="str">
        <f>IF($D278="","",IFERROR(VLOOKUP($B278,Kraftvärmeprod!$B$1:$BX$550,MATCH(N$2,Kraftvärmeprod!$B$1:$VX$1,0),FALSE)/1,0)-IFERROR(VLOOKUP($B278,'Slutlig allokering kvv'!$B$2:$BX$550,MATCH(N$2,'Slutlig allokering kvv'!$B$1:$BX$1,0),FALSE)/1,0))</f>
        <v/>
      </c>
      <c r="O278" s="31" t="str">
        <f>IF($D278="","",IFERROR(VLOOKUP($B278,Kraftvärmeprod!$B$1:$BX$550,MATCH(O$2,Kraftvärmeprod!$B$1:$VX$1,0),FALSE)/1,0)-IFERROR(VLOOKUP($B278,'Slutlig allokering kvv'!$B$2:$BX$550,MATCH(O$2,'Slutlig allokering kvv'!$B$1:$BX$1,0),FALSE)/1,0))</f>
        <v/>
      </c>
      <c r="P278" s="31" t="str">
        <f>IF($D278="","",IFERROR(VLOOKUP($B278,Kraftvärmeprod!$B$1:$BX$550,MATCH(P$2,Kraftvärmeprod!$B$1:$VX$1,0),FALSE)/1,0)-IFERROR(VLOOKUP($B278,'Slutlig allokering kvv'!$B$2:$BX$550,MATCH(P$2,'Slutlig allokering kvv'!$B$1:$BX$1,0),FALSE)/1,0))</f>
        <v/>
      </c>
      <c r="Q278" s="31" t="str">
        <f>IF($D278="","",IFERROR(VLOOKUP($B278,Kraftvärmeprod!$B$1:$BX$550,MATCH(Q$2,Kraftvärmeprod!$B$1:$VX$1,0),FALSE)/1,0)-IFERROR(VLOOKUP($B278,'Slutlig allokering kvv'!$B$2:$BX$550,MATCH(Q$2,'Slutlig allokering kvv'!$B$1:$BX$1,0),FALSE)/1,0))</f>
        <v/>
      </c>
      <c r="R278" s="31" t="str">
        <f>IF($D278="","",IFERROR(VLOOKUP($B278,Kraftvärmeprod!$B$1:$BX$550,MATCH(R$2,Kraftvärmeprod!$B$1:$VX$1,0),FALSE)/1,0)-IFERROR(VLOOKUP($B278,'Slutlig allokering kvv'!$B$2:$BX$550,MATCH(R$2,'Slutlig allokering kvv'!$B$1:$BX$1,0),FALSE)/1,0))</f>
        <v/>
      </c>
      <c r="S278" s="31" t="str">
        <f>IF($D278="","",IFERROR(VLOOKUP($B278,Kraftvärmeprod!$B$1:$BX$550,MATCH(S$2,Kraftvärmeprod!$B$1:$VX$1,0),FALSE)/1,0)-IFERROR(VLOOKUP($B278,'Slutlig allokering kvv'!$B$2:$BX$550,MATCH(S$2,'Slutlig allokering kvv'!$B$1:$BX$1,0),FALSE)/1,0))</f>
        <v/>
      </c>
      <c r="T278" s="31" t="str">
        <f>IF($D278="","",IFERROR(VLOOKUP($B278,Kraftvärmeprod!$B$1:$BX$550,MATCH(T$2,Kraftvärmeprod!$B$1:$VX$1,0),FALSE)/1,0)-IFERROR(VLOOKUP($B278,'Slutlig allokering kvv'!$B$2:$BX$550,MATCH(T$2,'Slutlig allokering kvv'!$B$1:$BX$1,0),FALSE)/1,0))</f>
        <v/>
      </c>
      <c r="U278" s="31" t="str">
        <f>IF($D278="","",IFERROR(VLOOKUP($B278,Kraftvärmeprod!$B$1:$BX$550,MATCH(U$2,Kraftvärmeprod!$B$1:$VX$1,0),FALSE)/1,0)-IFERROR(VLOOKUP($B278,'Slutlig allokering kvv'!$B$2:$BX$550,MATCH(U$2,'Slutlig allokering kvv'!$B$1:$BX$1,0),FALSE)/1,0))</f>
        <v/>
      </c>
      <c r="V278" s="31" t="str">
        <f>IF($D278="","",IFERROR(VLOOKUP($B278,Kraftvärmeprod!$B$1:$BX$550,MATCH(V$2,Kraftvärmeprod!$B$1:$VX$1,0),FALSE)/1,0)-IFERROR(VLOOKUP($B278,'Slutlig allokering kvv'!$B$2:$BX$550,MATCH(V$2,'Slutlig allokering kvv'!$B$1:$BX$1,0),FALSE)/1,0))</f>
        <v/>
      </c>
      <c r="W278" s="31" t="str">
        <f>IF($D278="","",IFERROR(VLOOKUP($B278,Kraftvärmeprod!$B$1:$BX$550,MATCH(W$2,Kraftvärmeprod!$B$1:$VX$1,0),FALSE)/1,0)-IFERROR(VLOOKUP($B278,'Slutlig allokering kvv'!$B$2:$BX$550,MATCH(W$2,'Slutlig allokering kvv'!$B$1:$BX$1,0),FALSE)/1,0))</f>
        <v/>
      </c>
      <c r="X278" s="31" t="str">
        <f>IF($D278="","",IFERROR(VLOOKUP($B278,Kraftvärmeprod!$B$1:$BX$550,MATCH(X$2,Kraftvärmeprod!$B$1:$VX$1,0),FALSE)/1,0)-IFERROR(VLOOKUP($B278,'Slutlig allokering kvv'!$B$2:$BX$550,MATCH(X$2,'Slutlig allokering kvv'!$B$1:$BX$1,0),FALSE)/1,0))</f>
        <v/>
      </c>
      <c r="Y278" s="31" t="str">
        <f>IF($D278="","",IFERROR(VLOOKUP($B278,Kraftvärmeprod!$B$1:$BX$550,MATCH(Y$2,Kraftvärmeprod!$B$1:$VX$1,0),FALSE)/1,0)-IFERROR(VLOOKUP($B278,'Slutlig allokering kvv'!$B$2:$BX$550,MATCH(Y$2,'Slutlig allokering kvv'!$B$1:$BX$1,0),FALSE)/1,0))</f>
        <v/>
      </c>
      <c r="Z278" s="31" t="str">
        <f>IF($D278="","",IFERROR(VLOOKUP($B278,Kraftvärmeprod!$B$1:$BX$550,MATCH(Z$2,Kraftvärmeprod!$B$1:$VX$1,0),FALSE)/1,0)-IFERROR(VLOOKUP($B278,'Slutlig allokering kvv'!$B$2:$BX$550,MATCH(Z$2,'Slutlig allokering kvv'!$B$1:$BX$1,0),FALSE)/1,0))</f>
        <v/>
      </c>
      <c r="AA278" s="31" t="str">
        <f>IF($D278="","",IFERROR(VLOOKUP($B278,Kraftvärmeprod!$B$1:$BX$550,MATCH(AA$2,Kraftvärmeprod!$B$1:$VX$1,0),FALSE)/1,0)-IFERROR(VLOOKUP($B278,'Slutlig allokering kvv'!$B$2:$BX$550,MATCH(AA$2,'Slutlig allokering kvv'!$B$1:$BX$1,0),FALSE)/1,0))</f>
        <v/>
      </c>
      <c r="AB278" s="31" t="str">
        <f>IF($D278="","",IFERROR(VLOOKUP($B278,Kraftvärmeprod!$B$1:$BX$550,MATCH(AB$2,Kraftvärmeprod!$B$1:$VX$1,0),FALSE)/1,0)-IFERROR(VLOOKUP($B278,'Slutlig allokering kvv'!$B$2:$BX$550,MATCH(AB$2,'Slutlig allokering kvv'!$B$1:$BX$1,0),FALSE)/1,0))</f>
        <v/>
      </c>
      <c r="AC278" s="31" t="str">
        <f>IF($D278="","",IFERROR(VLOOKUP($B278,Kraftvärmeprod!$B$1:$BX$550,MATCH(AC$2,Kraftvärmeprod!$B$1:$VX$1,0),FALSE)/1,0)-IFERROR(VLOOKUP($B278,'Slutlig allokering kvv'!$B$2:$BX$550,MATCH(AC$2,'Slutlig allokering kvv'!$B$1:$BX$1,0),FALSE)/1,0))</f>
        <v/>
      </c>
      <c r="AD278" s="31" t="str">
        <f>IF($D278="","",IFERROR(VLOOKUP($B278,Kraftvärmeprod!$B$1:$BX$550,MATCH(AD$2,Kraftvärmeprod!$B$1:$VX$1,0),FALSE)/1,0)-IFERROR(VLOOKUP($B278,'Slutlig allokering kvv'!$B$2:$BX$550,MATCH(AD$2,'Slutlig allokering kvv'!$B$1:$BX$1,0),FALSE)/1,0))</f>
        <v/>
      </c>
      <c r="AE278" s="31" t="str">
        <f>IF($D278="","",IFERROR(VLOOKUP($B278,Miljö!$B$1:$E$550,MATCH("Hjälpel kraftvärme (GWh)",Miljö!$B$1:$E$1,0),FALSE)/1,0)-IFERROR(VLOOKUP($B278,'Slutlig allokering kvv'!$B$2:$BX$549,MATCH(AE$2,'Slutlig allokering kvv'!$B$1:$BX$1,0),FALSE)/1,0))</f>
        <v/>
      </c>
      <c r="AI278" s="39">
        <f t="shared" si="16"/>
        <v>0</v>
      </c>
      <c r="AK278" s="31">
        <f>IFERROR(VLOOKUP($B278,'Slutlig allokering kvv'!$B$2:$AX$549,MATCH("Summa slutlig allokerad tillförd energi (utan hjälpel och rökgaskondensering):",'Slutlig allokering kvv'!$B$1:$AX$1,0),FALSE)/1,"")</f>
        <v>0</v>
      </c>
      <c r="AM278" s="31" t="str">
        <f>IFERROR(1-VLOOKUP($B278,'Slutlig allokering kvv'!$B$2:$AX$549,MATCH("Andel av bränsle i kvv som allokerats till värme, exklusive rökgaskondensering och hjälpel",'Slutlig allokering kvv'!$B$1:$AX$1,0),FALSE),"")</f>
        <v/>
      </c>
      <c r="AO278" s="31" t="str">
        <f t="shared" si="17"/>
        <v/>
      </c>
      <c r="AP278" s="31" t="str">
        <f t="shared" si="18"/>
        <v/>
      </c>
      <c r="AR278" s="32" t="str">
        <f t="shared" si="19"/>
        <v/>
      </c>
    </row>
    <row r="279" spans="1:44" s="31" customFormat="1" x14ac:dyDescent="0.45">
      <c r="A279" s="31" t="s">
        <v>271</v>
      </c>
      <c r="B279" s="31" t="s">
        <v>270</v>
      </c>
      <c r="C279" s="31">
        <f>IFERROR(VLOOKUP($B279,Kraftvärmeprod!$B$1:$AH$479,MATCH(C$2,Kraftvärmeprod!$B$1:$AG$1,0),FALSE)/1,"")</f>
        <v>80.900000000000006</v>
      </c>
      <c r="D279" s="31">
        <f>IFERROR(VLOOKUP($B279,Kraftvärmeprod!$B$1:$AH$479,MATCH(D$2,Kraftvärmeprod!$B$1:$AG$1,0),FALSE)/1,"")</f>
        <v>8.3000000000000007</v>
      </c>
      <c r="F279" s="31">
        <f>IF($D279="","",IFERROR(VLOOKUP($B279,Kraftvärmeprod!$B$1:$BX$550,MATCH(F$2,Kraftvärmeprod!$B$1:$VX$1,0),FALSE)/1,0)-IFERROR(VLOOKUP($B279,'Slutlig allokering kvv'!$B$2:$BX$550,MATCH(F$2,'Slutlig allokering kvv'!$B$1:$BX$1,0),FALSE)/1,0))</f>
        <v>0</v>
      </c>
      <c r="G279" s="31">
        <f>IF($D279="","",IFERROR(VLOOKUP($B279,Kraftvärmeprod!$B$1:$BX$550,MATCH(G$2,Kraftvärmeprod!$B$1:$VX$1,0),FALSE)/1,0)-IFERROR(VLOOKUP($B279,'Slutlig allokering kvv'!$B$2:$BX$550,MATCH(G$2,'Slutlig allokering kvv'!$B$1:$BX$1,0),FALSE)/1,0))</f>
        <v>0</v>
      </c>
      <c r="H279" s="31">
        <f>IF($D279="","",IFERROR(VLOOKUP($B279,Kraftvärmeprod!$B$1:$BX$550,MATCH(H$2,Kraftvärmeprod!$B$1:$VX$1,0),FALSE)/1,0)-IFERROR(VLOOKUP($B279,'Slutlig allokering kvv'!$B$2:$BX$550,MATCH(H$2,'Slutlig allokering kvv'!$B$1:$BX$1,0),FALSE)/1,0))</f>
        <v>0</v>
      </c>
      <c r="I279" s="31">
        <f>IF($D279="","",IFERROR(VLOOKUP($B279,Kraftvärmeprod!$B$1:$BX$550,MATCH(I$2,Kraftvärmeprod!$B$1:$VX$1,0),FALSE)/1,0)-IFERROR(VLOOKUP($B279,'Slutlig allokering kvv'!$B$2:$BX$550,MATCH(I$2,'Slutlig allokering kvv'!$B$1:$BX$1,0),FALSE)/1,0))</f>
        <v>0</v>
      </c>
      <c r="J279" s="31">
        <f>IF($D279="","",IFERROR(VLOOKUP($B279,Kraftvärmeprod!$B$1:$BX$550,MATCH(J$2,Kraftvärmeprod!$B$1:$VX$1,0),FALSE)/1,0)-IFERROR(VLOOKUP($B279,'Slutlig allokering kvv'!$B$2:$BX$550,MATCH(J$2,'Slutlig allokering kvv'!$B$1:$BX$1,0),FALSE)/1,0))</f>
        <v>0</v>
      </c>
      <c r="K279" s="31">
        <f>IF($D279="","",IFERROR(VLOOKUP($B279,Kraftvärmeprod!$B$1:$BX$550,MATCH(K$2,Kraftvärmeprod!$B$1:$VX$1,0),FALSE)/1,0)-IFERROR(VLOOKUP($B279,'Slutlig allokering kvv'!$B$2:$BX$550,MATCH(K$2,'Slutlig allokering kvv'!$B$1:$BX$1,0),FALSE)/1,0))</f>
        <v>0</v>
      </c>
      <c r="L279" s="31">
        <f>IF($D279="","",IFERROR(VLOOKUP($B279,Kraftvärmeprod!$B$1:$BX$550,MATCH(L$2,Kraftvärmeprod!$B$1:$VX$1,0),FALSE)/1,0)-IFERROR(VLOOKUP($B279,'Slutlig allokering kvv'!$B$2:$BX$550,MATCH(L$2,'Slutlig allokering kvv'!$B$1:$BX$1,0),FALSE)/1,0))</f>
        <v>16.834999999999994</v>
      </c>
      <c r="M279" s="31">
        <f>IF($D279="","",IFERROR(VLOOKUP($B279,Kraftvärmeprod!$B$1:$BX$550,MATCH(M$2,Kraftvärmeprod!$B$1:$VX$1,0),FALSE)/1,0)-IFERROR(VLOOKUP($B279,'Slutlig allokering kvv'!$B$2:$BX$550,MATCH(M$2,'Slutlig allokering kvv'!$B$1:$BX$1,0),FALSE)/1,0))</f>
        <v>0</v>
      </c>
      <c r="N279" s="31">
        <f>IF($D279="","",IFERROR(VLOOKUP($B279,Kraftvärmeprod!$B$1:$BX$550,MATCH(N$2,Kraftvärmeprod!$B$1:$VX$1,0),FALSE)/1,0)-IFERROR(VLOOKUP($B279,'Slutlig allokering kvv'!$B$2:$BX$550,MATCH(N$2,'Slutlig allokering kvv'!$B$1:$BX$1,0),FALSE)/1,0))</f>
        <v>0</v>
      </c>
      <c r="O279" s="31">
        <f>IF($D279="","",IFERROR(VLOOKUP($B279,Kraftvärmeprod!$B$1:$BX$550,MATCH(O$2,Kraftvärmeprod!$B$1:$VX$1,0),FALSE)/1,0)-IFERROR(VLOOKUP($B279,'Slutlig allokering kvv'!$B$2:$BX$550,MATCH(O$2,'Slutlig allokering kvv'!$B$1:$BX$1,0),FALSE)/1,0))</f>
        <v>0</v>
      </c>
      <c r="P279" s="31">
        <f>IF($D279="","",IFERROR(VLOOKUP($B279,Kraftvärmeprod!$B$1:$BX$550,MATCH(P$2,Kraftvärmeprod!$B$1:$VX$1,0),FALSE)/1,0)-IFERROR(VLOOKUP($B279,'Slutlig allokering kvv'!$B$2:$BX$550,MATCH(P$2,'Slutlig allokering kvv'!$B$1:$BX$1,0),FALSE)/1,0))</f>
        <v>0</v>
      </c>
      <c r="Q279" s="31">
        <f>IF($D279="","",IFERROR(VLOOKUP($B279,Kraftvärmeprod!$B$1:$BX$550,MATCH(Q$2,Kraftvärmeprod!$B$1:$VX$1,0),FALSE)/1,0)-IFERROR(VLOOKUP($B279,'Slutlig allokering kvv'!$B$2:$BX$550,MATCH(Q$2,'Slutlig allokering kvv'!$B$1:$BX$1,0),FALSE)/1,0))</f>
        <v>0</v>
      </c>
      <c r="R279" s="31">
        <f>IF($D279="","",IFERROR(VLOOKUP($B279,Kraftvärmeprod!$B$1:$BX$550,MATCH(R$2,Kraftvärmeprod!$B$1:$VX$1,0),FALSE)/1,0)-IFERROR(VLOOKUP($B279,'Slutlig allokering kvv'!$B$2:$BX$550,MATCH(R$2,'Slutlig allokering kvv'!$B$1:$BX$1,0),FALSE)/1,0))</f>
        <v>0</v>
      </c>
      <c r="S279" s="31">
        <f>IF($D279="","",IFERROR(VLOOKUP($B279,Kraftvärmeprod!$B$1:$BX$550,MATCH(S$2,Kraftvärmeprod!$B$1:$VX$1,0),FALSE)/1,0)-IFERROR(VLOOKUP($B279,'Slutlig allokering kvv'!$B$2:$BX$550,MATCH(S$2,'Slutlig allokering kvv'!$B$1:$BX$1,0),FALSE)/1,0))</f>
        <v>0</v>
      </c>
      <c r="T279" s="31">
        <f>IF($D279="","",IFERROR(VLOOKUP($B279,Kraftvärmeprod!$B$1:$BX$550,MATCH(T$2,Kraftvärmeprod!$B$1:$VX$1,0),FALSE)/1,0)-IFERROR(VLOOKUP($B279,'Slutlig allokering kvv'!$B$2:$BX$550,MATCH(T$2,'Slutlig allokering kvv'!$B$1:$BX$1,0),FALSE)/1,0))</f>
        <v>0</v>
      </c>
      <c r="U279" s="31">
        <f>IF($D279="","",IFERROR(VLOOKUP($B279,Kraftvärmeprod!$B$1:$BX$550,MATCH(U$2,Kraftvärmeprod!$B$1:$VX$1,0),FALSE)/1,0)-IFERROR(VLOOKUP($B279,'Slutlig allokering kvv'!$B$2:$BX$550,MATCH(U$2,'Slutlig allokering kvv'!$B$1:$BX$1,0),FALSE)/1,0))</f>
        <v>0</v>
      </c>
      <c r="V279" s="31">
        <f>IF($D279="","",IFERROR(VLOOKUP($B279,Kraftvärmeprod!$B$1:$BX$550,MATCH(V$2,Kraftvärmeprod!$B$1:$VX$1,0),FALSE)/1,0)-IFERROR(VLOOKUP($B279,'Slutlig allokering kvv'!$B$2:$BX$550,MATCH(V$2,'Slutlig allokering kvv'!$B$1:$BX$1,0),FALSE)/1,0))</f>
        <v>0</v>
      </c>
      <c r="W279" s="31">
        <f>IF($D279="","",IFERROR(VLOOKUP($B279,Kraftvärmeprod!$B$1:$BX$550,MATCH(W$2,Kraftvärmeprod!$B$1:$VX$1,0),FALSE)/1,0)-IFERROR(VLOOKUP($B279,'Slutlig allokering kvv'!$B$2:$BX$550,MATCH(W$2,'Slutlig allokering kvv'!$B$1:$BX$1,0),FALSE)/1,0))</f>
        <v>0</v>
      </c>
      <c r="X279" s="31">
        <f>IF($D279="","",IFERROR(VLOOKUP($B279,Kraftvärmeprod!$B$1:$BX$550,MATCH(X$2,Kraftvärmeprod!$B$1:$VX$1,0),FALSE)/1,0)-IFERROR(VLOOKUP($B279,'Slutlig allokering kvv'!$B$2:$BX$550,MATCH(X$2,'Slutlig allokering kvv'!$B$1:$BX$1,0),FALSE)/1,0))</f>
        <v>0</v>
      </c>
      <c r="Y279" s="31">
        <f>IF($D279="","",IFERROR(VLOOKUP($B279,Kraftvärmeprod!$B$1:$BX$550,MATCH(Y$2,Kraftvärmeprod!$B$1:$VX$1,0),FALSE)/1,0)-IFERROR(VLOOKUP($B279,'Slutlig allokering kvv'!$B$2:$BX$550,MATCH(Y$2,'Slutlig allokering kvv'!$B$1:$BX$1,0),FALSE)/1,0))</f>
        <v>0</v>
      </c>
      <c r="Z279" s="31">
        <f>IF($D279="","",IFERROR(VLOOKUP($B279,Kraftvärmeprod!$B$1:$BX$550,MATCH(Z$2,Kraftvärmeprod!$B$1:$VX$1,0),FALSE)/1,0)-IFERROR(VLOOKUP($B279,'Slutlig allokering kvv'!$B$2:$BX$550,MATCH(Z$2,'Slutlig allokering kvv'!$B$1:$BX$1,0),FALSE)/1,0))</f>
        <v>0</v>
      </c>
      <c r="AA279" s="31">
        <f>IF($D279="","",IFERROR(VLOOKUP($B279,Kraftvärmeprod!$B$1:$BX$550,MATCH(AA$2,Kraftvärmeprod!$B$1:$VX$1,0),FALSE)/1,0)-IFERROR(VLOOKUP($B279,'Slutlig allokering kvv'!$B$2:$BX$550,MATCH(AA$2,'Slutlig allokering kvv'!$B$1:$BX$1,0),FALSE)/1,0))</f>
        <v>0</v>
      </c>
      <c r="AB279" s="31">
        <f>IF($D279="","",IFERROR(VLOOKUP($B279,Kraftvärmeprod!$B$1:$BX$550,MATCH(AB$2,Kraftvärmeprod!$B$1:$VX$1,0),FALSE)/1,0)-IFERROR(VLOOKUP($B279,'Slutlig allokering kvv'!$B$2:$BX$550,MATCH(AB$2,'Slutlig allokering kvv'!$B$1:$BX$1,0),FALSE)/1,0))</f>
        <v>0</v>
      </c>
      <c r="AC279" s="31">
        <f>IF($D279="","",IFERROR(VLOOKUP($B279,Kraftvärmeprod!$B$1:$BX$550,MATCH(AC$2,Kraftvärmeprod!$B$1:$VX$1,0),FALSE)/1,0)-IFERROR(VLOOKUP($B279,'Slutlig allokering kvv'!$B$2:$BX$550,MATCH(AC$2,'Slutlig allokering kvv'!$B$1:$BX$1,0),FALSE)/1,0))</f>
        <v>0</v>
      </c>
      <c r="AD279" s="31">
        <f>IF($D279="","",IFERROR(VLOOKUP($B279,Kraftvärmeprod!$B$1:$BX$550,MATCH(AD$2,Kraftvärmeprod!$B$1:$VX$1,0),FALSE)/1,0)-IFERROR(VLOOKUP($B279,'Slutlig allokering kvv'!$B$2:$BX$550,MATCH(AD$2,'Slutlig allokering kvv'!$B$1:$BX$1,0),FALSE)/1,0))</f>
        <v>0</v>
      </c>
      <c r="AE279" s="31">
        <f>IF($D279="","",IFERROR(VLOOKUP($B279,Miljö!$B$1:$E$550,MATCH("Hjälpel kraftvärme (GWh)",Miljö!$B$1:$E$1,0),FALSE)/1,0)-IFERROR(VLOOKUP($B279,'Slutlig allokering kvv'!$B$2:$BX$549,MATCH(AE$2,'Slutlig allokering kvv'!$B$1:$BX$1,0),FALSE)/1,0))</f>
        <v>0.50631999999999988</v>
      </c>
      <c r="AI279" s="39">
        <f t="shared" si="16"/>
        <v>16.834999999999994</v>
      </c>
      <c r="AK279" s="31">
        <f>IFERROR(VLOOKUP($B279,'Slutlig allokering kvv'!$B$2:$AX$549,MATCH("Summa slutlig allokerad tillförd energi (utan hjälpel och rökgaskondensering):",'Slutlig allokering kvv'!$B$1:$AX$1,0),FALSE)/1,"")</f>
        <v>62.964999999999996</v>
      </c>
      <c r="AM279" s="31">
        <f>IFERROR(1-VLOOKUP($B279,'Slutlig allokering kvv'!$B$2:$AX$549,MATCH("Andel av bränsle i kvv som allokerats till värme, exklusive rökgaskondensering och hjälpel",'Slutlig allokering kvv'!$B$1:$AX$1,0),FALSE),"")</f>
        <v>0.2109649122807018</v>
      </c>
      <c r="AO279" s="31">
        <f t="shared" si="17"/>
        <v>0.21096491228070172</v>
      </c>
      <c r="AP279" s="31">
        <f t="shared" si="18"/>
        <v>8.3266726846886741E-17</v>
      </c>
      <c r="AR279" s="32">
        <f t="shared" si="19"/>
        <v>0.47862561788837321</v>
      </c>
    </row>
    <row r="280" spans="1:44" s="31" customFormat="1" x14ac:dyDescent="0.45">
      <c r="A280" s="31" t="s">
        <v>267</v>
      </c>
      <c r="B280" s="31" t="s">
        <v>269</v>
      </c>
      <c r="C280" s="31" t="str">
        <f>IFERROR(VLOOKUP($B280,Kraftvärmeprod!$B$1:$AH$479,MATCH(C$2,Kraftvärmeprod!$B$1:$AG$1,0),FALSE)/1,"")</f>
        <v/>
      </c>
      <c r="D280" s="31" t="str">
        <f>IFERROR(VLOOKUP($B280,Kraftvärmeprod!$B$1:$AH$479,MATCH(D$2,Kraftvärmeprod!$B$1:$AG$1,0),FALSE)/1,"")</f>
        <v/>
      </c>
      <c r="F280" s="31" t="str">
        <f>IF($D280="","",IFERROR(VLOOKUP($B280,Kraftvärmeprod!$B$1:$BX$550,MATCH(F$2,Kraftvärmeprod!$B$1:$VX$1,0),FALSE)/1,0)-IFERROR(VLOOKUP($B280,'Slutlig allokering kvv'!$B$2:$BX$550,MATCH(F$2,'Slutlig allokering kvv'!$B$1:$BX$1,0),FALSE)/1,0))</f>
        <v/>
      </c>
      <c r="G280" s="31" t="str">
        <f>IF($D280="","",IFERROR(VLOOKUP($B280,Kraftvärmeprod!$B$1:$BX$550,MATCH(G$2,Kraftvärmeprod!$B$1:$VX$1,0),FALSE)/1,0)-IFERROR(VLOOKUP($B280,'Slutlig allokering kvv'!$B$2:$BX$550,MATCH(G$2,'Slutlig allokering kvv'!$B$1:$BX$1,0),FALSE)/1,0))</f>
        <v/>
      </c>
      <c r="H280" s="31" t="str">
        <f>IF($D280="","",IFERROR(VLOOKUP($B280,Kraftvärmeprod!$B$1:$BX$550,MATCH(H$2,Kraftvärmeprod!$B$1:$VX$1,0),FALSE)/1,0)-IFERROR(VLOOKUP($B280,'Slutlig allokering kvv'!$B$2:$BX$550,MATCH(H$2,'Slutlig allokering kvv'!$B$1:$BX$1,0),FALSE)/1,0))</f>
        <v/>
      </c>
      <c r="I280" s="31" t="str">
        <f>IF($D280="","",IFERROR(VLOOKUP($B280,Kraftvärmeprod!$B$1:$BX$550,MATCH(I$2,Kraftvärmeprod!$B$1:$VX$1,0),FALSE)/1,0)-IFERROR(VLOOKUP($B280,'Slutlig allokering kvv'!$B$2:$BX$550,MATCH(I$2,'Slutlig allokering kvv'!$B$1:$BX$1,0),FALSE)/1,0))</f>
        <v/>
      </c>
      <c r="J280" s="31" t="str">
        <f>IF($D280="","",IFERROR(VLOOKUP($B280,Kraftvärmeprod!$B$1:$BX$550,MATCH(J$2,Kraftvärmeprod!$B$1:$VX$1,0),FALSE)/1,0)-IFERROR(VLOOKUP($B280,'Slutlig allokering kvv'!$B$2:$BX$550,MATCH(J$2,'Slutlig allokering kvv'!$B$1:$BX$1,0),FALSE)/1,0))</f>
        <v/>
      </c>
      <c r="K280" s="31" t="str">
        <f>IF($D280="","",IFERROR(VLOOKUP($B280,Kraftvärmeprod!$B$1:$BX$550,MATCH(K$2,Kraftvärmeprod!$B$1:$VX$1,0),FALSE)/1,0)-IFERROR(VLOOKUP($B280,'Slutlig allokering kvv'!$B$2:$BX$550,MATCH(K$2,'Slutlig allokering kvv'!$B$1:$BX$1,0),FALSE)/1,0))</f>
        <v/>
      </c>
      <c r="L280" s="31" t="str">
        <f>IF($D280="","",IFERROR(VLOOKUP($B280,Kraftvärmeprod!$B$1:$BX$550,MATCH(L$2,Kraftvärmeprod!$B$1:$VX$1,0),FALSE)/1,0)-IFERROR(VLOOKUP($B280,'Slutlig allokering kvv'!$B$2:$BX$550,MATCH(L$2,'Slutlig allokering kvv'!$B$1:$BX$1,0),FALSE)/1,0))</f>
        <v/>
      </c>
      <c r="M280" s="31" t="str">
        <f>IF($D280="","",IFERROR(VLOOKUP($B280,Kraftvärmeprod!$B$1:$BX$550,MATCH(M$2,Kraftvärmeprod!$B$1:$VX$1,0),FALSE)/1,0)-IFERROR(VLOOKUP($B280,'Slutlig allokering kvv'!$B$2:$BX$550,MATCH(M$2,'Slutlig allokering kvv'!$B$1:$BX$1,0),FALSE)/1,0))</f>
        <v/>
      </c>
      <c r="N280" s="31" t="str">
        <f>IF($D280="","",IFERROR(VLOOKUP($B280,Kraftvärmeprod!$B$1:$BX$550,MATCH(N$2,Kraftvärmeprod!$B$1:$VX$1,0),FALSE)/1,0)-IFERROR(VLOOKUP($B280,'Slutlig allokering kvv'!$B$2:$BX$550,MATCH(N$2,'Slutlig allokering kvv'!$B$1:$BX$1,0),FALSE)/1,0))</f>
        <v/>
      </c>
      <c r="O280" s="31" t="str">
        <f>IF($D280="","",IFERROR(VLOOKUP($B280,Kraftvärmeprod!$B$1:$BX$550,MATCH(O$2,Kraftvärmeprod!$B$1:$VX$1,0),FALSE)/1,0)-IFERROR(VLOOKUP($B280,'Slutlig allokering kvv'!$B$2:$BX$550,MATCH(O$2,'Slutlig allokering kvv'!$B$1:$BX$1,0),FALSE)/1,0))</f>
        <v/>
      </c>
      <c r="P280" s="31" t="str">
        <f>IF($D280="","",IFERROR(VLOOKUP($B280,Kraftvärmeprod!$B$1:$BX$550,MATCH(P$2,Kraftvärmeprod!$B$1:$VX$1,0),FALSE)/1,0)-IFERROR(VLOOKUP($B280,'Slutlig allokering kvv'!$B$2:$BX$550,MATCH(P$2,'Slutlig allokering kvv'!$B$1:$BX$1,0),FALSE)/1,0))</f>
        <v/>
      </c>
      <c r="Q280" s="31" t="str">
        <f>IF($D280="","",IFERROR(VLOOKUP($B280,Kraftvärmeprod!$B$1:$BX$550,MATCH(Q$2,Kraftvärmeprod!$B$1:$VX$1,0),FALSE)/1,0)-IFERROR(VLOOKUP($B280,'Slutlig allokering kvv'!$B$2:$BX$550,MATCH(Q$2,'Slutlig allokering kvv'!$B$1:$BX$1,0),FALSE)/1,0))</f>
        <v/>
      </c>
      <c r="R280" s="31" t="str">
        <f>IF($D280="","",IFERROR(VLOOKUP($B280,Kraftvärmeprod!$B$1:$BX$550,MATCH(R$2,Kraftvärmeprod!$B$1:$VX$1,0),FALSE)/1,0)-IFERROR(VLOOKUP($B280,'Slutlig allokering kvv'!$B$2:$BX$550,MATCH(R$2,'Slutlig allokering kvv'!$B$1:$BX$1,0),FALSE)/1,0))</f>
        <v/>
      </c>
      <c r="S280" s="31" t="str">
        <f>IF($D280="","",IFERROR(VLOOKUP($B280,Kraftvärmeprod!$B$1:$BX$550,MATCH(S$2,Kraftvärmeprod!$B$1:$VX$1,0),FALSE)/1,0)-IFERROR(VLOOKUP($B280,'Slutlig allokering kvv'!$B$2:$BX$550,MATCH(S$2,'Slutlig allokering kvv'!$B$1:$BX$1,0),FALSE)/1,0))</f>
        <v/>
      </c>
      <c r="T280" s="31" t="str">
        <f>IF($D280="","",IFERROR(VLOOKUP($B280,Kraftvärmeprod!$B$1:$BX$550,MATCH(T$2,Kraftvärmeprod!$B$1:$VX$1,0),FALSE)/1,0)-IFERROR(VLOOKUP($B280,'Slutlig allokering kvv'!$B$2:$BX$550,MATCH(T$2,'Slutlig allokering kvv'!$B$1:$BX$1,0),FALSE)/1,0))</f>
        <v/>
      </c>
      <c r="U280" s="31" t="str">
        <f>IF($D280="","",IFERROR(VLOOKUP($B280,Kraftvärmeprod!$B$1:$BX$550,MATCH(U$2,Kraftvärmeprod!$B$1:$VX$1,0),FALSE)/1,0)-IFERROR(VLOOKUP($B280,'Slutlig allokering kvv'!$B$2:$BX$550,MATCH(U$2,'Slutlig allokering kvv'!$B$1:$BX$1,0),FALSE)/1,0))</f>
        <v/>
      </c>
      <c r="V280" s="31" t="str">
        <f>IF($D280="","",IFERROR(VLOOKUP($B280,Kraftvärmeprod!$B$1:$BX$550,MATCH(V$2,Kraftvärmeprod!$B$1:$VX$1,0),FALSE)/1,0)-IFERROR(VLOOKUP($B280,'Slutlig allokering kvv'!$B$2:$BX$550,MATCH(V$2,'Slutlig allokering kvv'!$B$1:$BX$1,0),FALSE)/1,0))</f>
        <v/>
      </c>
      <c r="W280" s="31" t="str">
        <f>IF($D280="","",IFERROR(VLOOKUP($B280,Kraftvärmeprod!$B$1:$BX$550,MATCH(W$2,Kraftvärmeprod!$B$1:$VX$1,0),FALSE)/1,0)-IFERROR(VLOOKUP($B280,'Slutlig allokering kvv'!$B$2:$BX$550,MATCH(W$2,'Slutlig allokering kvv'!$B$1:$BX$1,0),FALSE)/1,0))</f>
        <v/>
      </c>
      <c r="X280" s="31" t="str">
        <f>IF($D280="","",IFERROR(VLOOKUP($B280,Kraftvärmeprod!$B$1:$BX$550,MATCH(X$2,Kraftvärmeprod!$B$1:$VX$1,0),FALSE)/1,0)-IFERROR(VLOOKUP($B280,'Slutlig allokering kvv'!$B$2:$BX$550,MATCH(X$2,'Slutlig allokering kvv'!$B$1:$BX$1,0),FALSE)/1,0))</f>
        <v/>
      </c>
      <c r="Y280" s="31" t="str">
        <f>IF($D280="","",IFERROR(VLOOKUP($B280,Kraftvärmeprod!$B$1:$BX$550,MATCH(Y$2,Kraftvärmeprod!$B$1:$VX$1,0),FALSE)/1,0)-IFERROR(VLOOKUP($B280,'Slutlig allokering kvv'!$B$2:$BX$550,MATCH(Y$2,'Slutlig allokering kvv'!$B$1:$BX$1,0),FALSE)/1,0))</f>
        <v/>
      </c>
      <c r="Z280" s="31" t="str">
        <f>IF($D280="","",IFERROR(VLOOKUP($B280,Kraftvärmeprod!$B$1:$BX$550,MATCH(Z$2,Kraftvärmeprod!$B$1:$VX$1,0),FALSE)/1,0)-IFERROR(VLOOKUP($B280,'Slutlig allokering kvv'!$B$2:$BX$550,MATCH(Z$2,'Slutlig allokering kvv'!$B$1:$BX$1,0),FALSE)/1,0))</f>
        <v/>
      </c>
      <c r="AA280" s="31" t="str">
        <f>IF($D280="","",IFERROR(VLOOKUP($B280,Kraftvärmeprod!$B$1:$BX$550,MATCH(AA$2,Kraftvärmeprod!$B$1:$VX$1,0),FALSE)/1,0)-IFERROR(VLOOKUP($B280,'Slutlig allokering kvv'!$B$2:$BX$550,MATCH(AA$2,'Slutlig allokering kvv'!$B$1:$BX$1,0),FALSE)/1,0))</f>
        <v/>
      </c>
      <c r="AB280" s="31" t="str">
        <f>IF($D280="","",IFERROR(VLOOKUP($B280,Kraftvärmeprod!$B$1:$BX$550,MATCH(AB$2,Kraftvärmeprod!$B$1:$VX$1,0),FALSE)/1,0)-IFERROR(VLOOKUP($B280,'Slutlig allokering kvv'!$B$2:$BX$550,MATCH(AB$2,'Slutlig allokering kvv'!$B$1:$BX$1,0),FALSE)/1,0))</f>
        <v/>
      </c>
      <c r="AC280" s="31" t="str">
        <f>IF($D280="","",IFERROR(VLOOKUP($B280,Kraftvärmeprod!$B$1:$BX$550,MATCH(AC$2,Kraftvärmeprod!$B$1:$VX$1,0),FALSE)/1,0)-IFERROR(VLOOKUP($B280,'Slutlig allokering kvv'!$B$2:$BX$550,MATCH(AC$2,'Slutlig allokering kvv'!$B$1:$BX$1,0),FALSE)/1,0))</f>
        <v/>
      </c>
      <c r="AD280" s="31" t="str">
        <f>IF($D280="","",IFERROR(VLOOKUP($B280,Kraftvärmeprod!$B$1:$BX$550,MATCH(AD$2,Kraftvärmeprod!$B$1:$VX$1,0),FALSE)/1,0)-IFERROR(VLOOKUP($B280,'Slutlig allokering kvv'!$B$2:$BX$550,MATCH(AD$2,'Slutlig allokering kvv'!$B$1:$BX$1,0),FALSE)/1,0))</f>
        <v/>
      </c>
      <c r="AE280" s="31" t="str">
        <f>IF($D280="","",IFERROR(VLOOKUP($B280,Miljö!$B$1:$E$550,MATCH("Hjälpel kraftvärme (GWh)",Miljö!$B$1:$E$1,0),FALSE)/1,0)-IFERROR(VLOOKUP($B280,'Slutlig allokering kvv'!$B$2:$BX$549,MATCH(AE$2,'Slutlig allokering kvv'!$B$1:$BX$1,0),FALSE)/1,0))</f>
        <v/>
      </c>
      <c r="AI280" s="39">
        <f t="shared" si="16"/>
        <v>0</v>
      </c>
      <c r="AK280" s="31">
        <f>IFERROR(VLOOKUP($B280,'Slutlig allokering kvv'!$B$2:$AX$549,MATCH("Summa slutlig allokerad tillförd energi (utan hjälpel och rökgaskondensering):",'Slutlig allokering kvv'!$B$1:$AX$1,0),FALSE)/1,"")</f>
        <v>0</v>
      </c>
      <c r="AM280" s="31" t="str">
        <f>IFERROR(1-VLOOKUP($B280,'Slutlig allokering kvv'!$B$2:$AX$549,MATCH("Andel av bränsle i kvv som allokerats till värme, exklusive rökgaskondensering och hjälpel",'Slutlig allokering kvv'!$B$1:$AX$1,0),FALSE),"")</f>
        <v/>
      </c>
      <c r="AO280" s="31" t="str">
        <f t="shared" si="17"/>
        <v/>
      </c>
      <c r="AP280" s="31" t="str">
        <f t="shared" si="18"/>
        <v/>
      </c>
      <c r="AR280" s="32" t="str">
        <f t="shared" si="19"/>
        <v/>
      </c>
    </row>
    <row r="281" spans="1:44" s="31" customFormat="1" x14ac:dyDescent="0.45">
      <c r="A281" s="31" t="s">
        <v>267</v>
      </c>
      <c r="B281" s="31" t="s">
        <v>268</v>
      </c>
      <c r="C281" s="31" t="str">
        <f>IFERROR(VLOOKUP($B281,Kraftvärmeprod!$B$1:$AH$479,MATCH(C$2,Kraftvärmeprod!$B$1:$AG$1,0),FALSE)/1,"")</f>
        <v/>
      </c>
      <c r="D281" s="31" t="str">
        <f>IFERROR(VLOOKUP($B281,Kraftvärmeprod!$B$1:$AH$479,MATCH(D$2,Kraftvärmeprod!$B$1:$AG$1,0),FALSE)/1,"")</f>
        <v/>
      </c>
      <c r="F281" s="31" t="str">
        <f>IF($D281="","",IFERROR(VLOOKUP($B281,Kraftvärmeprod!$B$1:$BX$550,MATCH(F$2,Kraftvärmeprod!$B$1:$VX$1,0),FALSE)/1,0)-IFERROR(VLOOKUP($B281,'Slutlig allokering kvv'!$B$2:$BX$550,MATCH(F$2,'Slutlig allokering kvv'!$B$1:$BX$1,0),FALSE)/1,0))</f>
        <v/>
      </c>
      <c r="G281" s="31" t="str">
        <f>IF($D281="","",IFERROR(VLOOKUP($B281,Kraftvärmeprod!$B$1:$BX$550,MATCH(G$2,Kraftvärmeprod!$B$1:$VX$1,0),FALSE)/1,0)-IFERROR(VLOOKUP($B281,'Slutlig allokering kvv'!$B$2:$BX$550,MATCH(G$2,'Slutlig allokering kvv'!$B$1:$BX$1,0),FALSE)/1,0))</f>
        <v/>
      </c>
      <c r="H281" s="31" t="str">
        <f>IF($D281="","",IFERROR(VLOOKUP($B281,Kraftvärmeprod!$B$1:$BX$550,MATCH(H$2,Kraftvärmeprod!$B$1:$VX$1,0),FALSE)/1,0)-IFERROR(VLOOKUP($B281,'Slutlig allokering kvv'!$B$2:$BX$550,MATCH(H$2,'Slutlig allokering kvv'!$B$1:$BX$1,0),FALSE)/1,0))</f>
        <v/>
      </c>
      <c r="I281" s="31" t="str">
        <f>IF($D281="","",IFERROR(VLOOKUP($B281,Kraftvärmeprod!$B$1:$BX$550,MATCH(I$2,Kraftvärmeprod!$B$1:$VX$1,0),FALSE)/1,0)-IFERROR(VLOOKUP($B281,'Slutlig allokering kvv'!$B$2:$BX$550,MATCH(I$2,'Slutlig allokering kvv'!$B$1:$BX$1,0),FALSE)/1,0))</f>
        <v/>
      </c>
      <c r="J281" s="31" t="str">
        <f>IF($D281="","",IFERROR(VLOOKUP($B281,Kraftvärmeprod!$B$1:$BX$550,MATCH(J$2,Kraftvärmeprod!$B$1:$VX$1,0),FALSE)/1,0)-IFERROR(VLOOKUP($B281,'Slutlig allokering kvv'!$B$2:$BX$550,MATCH(J$2,'Slutlig allokering kvv'!$B$1:$BX$1,0),FALSE)/1,0))</f>
        <v/>
      </c>
      <c r="K281" s="31" t="str">
        <f>IF($D281="","",IFERROR(VLOOKUP($B281,Kraftvärmeprod!$B$1:$BX$550,MATCH(K$2,Kraftvärmeprod!$B$1:$VX$1,0),FALSE)/1,0)-IFERROR(VLOOKUP($B281,'Slutlig allokering kvv'!$B$2:$BX$550,MATCH(K$2,'Slutlig allokering kvv'!$B$1:$BX$1,0),FALSE)/1,0))</f>
        <v/>
      </c>
      <c r="L281" s="31" t="str">
        <f>IF($D281="","",IFERROR(VLOOKUP($B281,Kraftvärmeprod!$B$1:$BX$550,MATCH(L$2,Kraftvärmeprod!$B$1:$VX$1,0),FALSE)/1,0)-IFERROR(VLOOKUP($B281,'Slutlig allokering kvv'!$B$2:$BX$550,MATCH(L$2,'Slutlig allokering kvv'!$B$1:$BX$1,0),FALSE)/1,0))</f>
        <v/>
      </c>
      <c r="M281" s="31" t="str">
        <f>IF($D281="","",IFERROR(VLOOKUP($B281,Kraftvärmeprod!$B$1:$BX$550,MATCH(M$2,Kraftvärmeprod!$B$1:$VX$1,0),FALSE)/1,0)-IFERROR(VLOOKUP($B281,'Slutlig allokering kvv'!$B$2:$BX$550,MATCH(M$2,'Slutlig allokering kvv'!$B$1:$BX$1,0),FALSE)/1,0))</f>
        <v/>
      </c>
      <c r="N281" s="31" t="str">
        <f>IF($D281="","",IFERROR(VLOOKUP($B281,Kraftvärmeprod!$B$1:$BX$550,MATCH(N$2,Kraftvärmeprod!$B$1:$VX$1,0),FALSE)/1,0)-IFERROR(VLOOKUP($B281,'Slutlig allokering kvv'!$B$2:$BX$550,MATCH(N$2,'Slutlig allokering kvv'!$B$1:$BX$1,0),FALSE)/1,0))</f>
        <v/>
      </c>
      <c r="O281" s="31" t="str">
        <f>IF($D281="","",IFERROR(VLOOKUP($B281,Kraftvärmeprod!$B$1:$BX$550,MATCH(O$2,Kraftvärmeprod!$B$1:$VX$1,0),FALSE)/1,0)-IFERROR(VLOOKUP($B281,'Slutlig allokering kvv'!$B$2:$BX$550,MATCH(O$2,'Slutlig allokering kvv'!$B$1:$BX$1,0),FALSE)/1,0))</f>
        <v/>
      </c>
      <c r="P281" s="31" t="str">
        <f>IF($D281="","",IFERROR(VLOOKUP($B281,Kraftvärmeprod!$B$1:$BX$550,MATCH(P$2,Kraftvärmeprod!$B$1:$VX$1,0),FALSE)/1,0)-IFERROR(VLOOKUP($B281,'Slutlig allokering kvv'!$B$2:$BX$550,MATCH(P$2,'Slutlig allokering kvv'!$B$1:$BX$1,0),FALSE)/1,0))</f>
        <v/>
      </c>
      <c r="Q281" s="31" t="str">
        <f>IF($D281="","",IFERROR(VLOOKUP($B281,Kraftvärmeprod!$B$1:$BX$550,MATCH(Q$2,Kraftvärmeprod!$B$1:$VX$1,0),FALSE)/1,0)-IFERROR(VLOOKUP($B281,'Slutlig allokering kvv'!$B$2:$BX$550,MATCH(Q$2,'Slutlig allokering kvv'!$B$1:$BX$1,0),FALSE)/1,0))</f>
        <v/>
      </c>
      <c r="R281" s="31" t="str">
        <f>IF($D281="","",IFERROR(VLOOKUP($B281,Kraftvärmeprod!$B$1:$BX$550,MATCH(R$2,Kraftvärmeprod!$B$1:$VX$1,0),FALSE)/1,0)-IFERROR(VLOOKUP($B281,'Slutlig allokering kvv'!$B$2:$BX$550,MATCH(R$2,'Slutlig allokering kvv'!$B$1:$BX$1,0),FALSE)/1,0))</f>
        <v/>
      </c>
      <c r="S281" s="31" t="str">
        <f>IF($D281="","",IFERROR(VLOOKUP($B281,Kraftvärmeprod!$B$1:$BX$550,MATCH(S$2,Kraftvärmeprod!$B$1:$VX$1,0),FALSE)/1,0)-IFERROR(VLOOKUP($B281,'Slutlig allokering kvv'!$B$2:$BX$550,MATCH(S$2,'Slutlig allokering kvv'!$B$1:$BX$1,0),FALSE)/1,0))</f>
        <v/>
      </c>
      <c r="T281" s="31" t="str">
        <f>IF($D281="","",IFERROR(VLOOKUP($B281,Kraftvärmeprod!$B$1:$BX$550,MATCH(T$2,Kraftvärmeprod!$B$1:$VX$1,0),FALSE)/1,0)-IFERROR(VLOOKUP($B281,'Slutlig allokering kvv'!$B$2:$BX$550,MATCH(T$2,'Slutlig allokering kvv'!$B$1:$BX$1,0),FALSE)/1,0))</f>
        <v/>
      </c>
      <c r="U281" s="31" t="str">
        <f>IF($D281="","",IFERROR(VLOOKUP($B281,Kraftvärmeprod!$B$1:$BX$550,MATCH(U$2,Kraftvärmeprod!$B$1:$VX$1,0),FALSE)/1,0)-IFERROR(VLOOKUP($B281,'Slutlig allokering kvv'!$B$2:$BX$550,MATCH(U$2,'Slutlig allokering kvv'!$B$1:$BX$1,0),FALSE)/1,0))</f>
        <v/>
      </c>
      <c r="V281" s="31" t="str">
        <f>IF($D281="","",IFERROR(VLOOKUP($B281,Kraftvärmeprod!$B$1:$BX$550,MATCH(V$2,Kraftvärmeprod!$B$1:$VX$1,0),FALSE)/1,0)-IFERROR(VLOOKUP($B281,'Slutlig allokering kvv'!$B$2:$BX$550,MATCH(V$2,'Slutlig allokering kvv'!$B$1:$BX$1,0),FALSE)/1,0))</f>
        <v/>
      </c>
      <c r="W281" s="31" t="str">
        <f>IF($D281="","",IFERROR(VLOOKUP($B281,Kraftvärmeprod!$B$1:$BX$550,MATCH(W$2,Kraftvärmeprod!$B$1:$VX$1,0),FALSE)/1,0)-IFERROR(VLOOKUP($B281,'Slutlig allokering kvv'!$B$2:$BX$550,MATCH(W$2,'Slutlig allokering kvv'!$B$1:$BX$1,0),FALSE)/1,0))</f>
        <v/>
      </c>
      <c r="X281" s="31" t="str">
        <f>IF($D281="","",IFERROR(VLOOKUP($B281,Kraftvärmeprod!$B$1:$BX$550,MATCH(X$2,Kraftvärmeprod!$B$1:$VX$1,0),FALSE)/1,0)-IFERROR(VLOOKUP($B281,'Slutlig allokering kvv'!$B$2:$BX$550,MATCH(X$2,'Slutlig allokering kvv'!$B$1:$BX$1,0),FALSE)/1,0))</f>
        <v/>
      </c>
      <c r="Y281" s="31" t="str">
        <f>IF($D281="","",IFERROR(VLOOKUP($B281,Kraftvärmeprod!$B$1:$BX$550,MATCH(Y$2,Kraftvärmeprod!$B$1:$VX$1,0),FALSE)/1,0)-IFERROR(VLOOKUP($B281,'Slutlig allokering kvv'!$B$2:$BX$550,MATCH(Y$2,'Slutlig allokering kvv'!$B$1:$BX$1,0),FALSE)/1,0))</f>
        <v/>
      </c>
      <c r="Z281" s="31" t="str">
        <f>IF($D281="","",IFERROR(VLOOKUP($B281,Kraftvärmeprod!$B$1:$BX$550,MATCH(Z$2,Kraftvärmeprod!$B$1:$VX$1,0),FALSE)/1,0)-IFERROR(VLOOKUP($B281,'Slutlig allokering kvv'!$B$2:$BX$550,MATCH(Z$2,'Slutlig allokering kvv'!$B$1:$BX$1,0),FALSE)/1,0))</f>
        <v/>
      </c>
      <c r="AA281" s="31" t="str">
        <f>IF($D281="","",IFERROR(VLOOKUP($B281,Kraftvärmeprod!$B$1:$BX$550,MATCH(AA$2,Kraftvärmeprod!$B$1:$VX$1,0),FALSE)/1,0)-IFERROR(VLOOKUP($B281,'Slutlig allokering kvv'!$B$2:$BX$550,MATCH(AA$2,'Slutlig allokering kvv'!$B$1:$BX$1,0),FALSE)/1,0))</f>
        <v/>
      </c>
      <c r="AB281" s="31" t="str">
        <f>IF($D281="","",IFERROR(VLOOKUP($B281,Kraftvärmeprod!$B$1:$BX$550,MATCH(AB$2,Kraftvärmeprod!$B$1:$VX$1,0),FALSE)/1,0)-IFERROR(VLOOKUP($B281,'Slutlig allokering kvv'!$B$2:$BX$550,MATCH(AB$2,'Slutlig allokering kvv'!$B$1:$BX$1,0),FALSE)/1,0))</f>
        <v/>
      </c>
      <c r="AC281" s="31" t="str">
        <f>IF($D281="","",IFERROR(VLOOKUP($B281,Kraftvärmeprod!$B$1:$BX$550,MATCH(AC$2,Kraftvärmeprod!$B$1:$VX$1,0),FALSE)/1,0)-IFERROR(VLOOKUP($B281,'Slutlig allokering kvv'!$B$2:$BX$550,MATCH(AC$2,'Slutlig allokering kvv'!$B$1:$BX$1,0),FALSE)/1,0))</f>
        <v/>
      </c>
      <c r="AD281" s="31" t="str">
        <f>IF($D281="","",IFERROR(VLOOKUP($B281,Kraftvärmeprod!$B$1:$BX$550,MATCH(AD$2,Kraftvärmeprod!$B$1:$VX$1,0),FALSE)/1,0)-IFERROR(VLOOKUP($B281,'Slutlig allokering kvv'!$B$2:$BX$550,MATCH(AD$2,'Slutlig allokering kvv'!$B$1:$BX$1,0),FALSE)/1,0))</f>
        <v/>
      </c>
      <c r="AE281" s="31" t="str">
        <f>IF($D281="","",IFERROR(VLOOKUP($B281,Miljö!$B$1:$E$550,MATCH("Hjälpel kraftvärme (GWh)",Miljö!$B$1:$E$1,0),FALSE)/1,0)-IFERROR(VLOOKUP($B281,'Slutlig allokering kvv'!$B$2:$BX$549,MATCH(AE$2,'Slutlig allokering kvv'!$B$1:$BX$1,0),FALSE)/1,0))</f>
        <v/>
      </c>
      <c r="AI281" s="39">
        <f t="shared" si="16"/>
        <v>0</v>
      </c>
      <c r="AK281" s="31">
        <f>IFERROR(VLOOKUP($B281,'Slutlig allokering kvv'!$B$2:$AX$549,MATCH("Summa slutlig allokerad tillförd energi (utan hjälpel och rökgaskondensering):",'Slutlig allokering kvv'!$B$1:$AX$1,0),FALSE)/1,"")</f>
        <v>0</v>
      </c>
      <c r="AM281" s="31" t="str">
        <f>IFERROR(1-VLOOKUP($B281,'Slutlig allokering kvv'!$B$2:$AX$549,MATCH("Andel av bränsle i kvv som allokerats till värme, exklusive rökgaskondensering och hjälpel",'Slutlig allokering kvv'!$B$1:$AX$1,0),FALSE),"")</f>
        <v/>
      </c>
      <c r="AO281" s="31" t="str">
        <f t="shared" si="17"/>
        <v/>
      </c>
      <c r="AP281" s="31" t="str">
        <f t="shared" si="18"/>
        <v/>
      </c>
      <c r="AR281" s="32" t="str">
        <f t="shared" si="19"/>
        <v/>
      </c>
    </row>
    <row r="282" spans="1:44" s="31" customFormat="1" x14ac:dyDescent="0.45">
      <c r="A282" s="31" t="s">
        <v>267</v>
      </c>
      <c r="B282" s="31" t="s">
        <v>266</v>
      </c>
      <c r="C282" s="31">
        <f>IFERROR(VLOOKUP($B282,Kraftvärmeprod!$B$1:$AH$479,MATCH(C$2,Kraftvärmeprod!$B$1:$AG$1,0),FALSE)/1,"")</f>
        <v>229.16</v>
      </c>
      <c r="D282" s="31">
        <f>IFERROR(VLOOKUP($B282,Kraftvärmeprod!$B$1:$AH$479,MATCH(D$2,Kraftvärmeprod!$B$1:$AG$1,0),FALSE)/1,"")</f>
        <v>71.040999999999997</v>
      </c>
      <c r="F282" s="31">
        <f>IF($D282="","",IFERROR(VLOOKUP($B282,Kraftvärmeprod!$B$1:$BX$550,MATCH(F$2,Kraftvärmeprod!$B$1:$VX$1,0),FALSE)/1,0)-IFERROR(VLOOKUP($B282,'Slutlig allokering kvv'!$B$2:$BX$550,MATCH(F$2,'Slutlig allokering kvv'!$B$1:$BX$1,0),FALSE)/1,0))</f>
        <v>0</v>
      </c>
      <c r="G282" s="31">
        <f>IF($D282="","",IFERROR(VLOOKUP($B282,Kraftvärmeprod!$B$1:$BX$550,MATCH(G$2,Kraftvärmeprod!$B$1:$VX$1,0),FALSE)/1,0)-IFERROR(VLOOKUP($B282,'Slutlig allokering kvv'!$B$2:$BX$550,MATCH(G$2,'Slutlig allokering kvv'!$B$1:$BX$1,0),FALSE)/1,0))</f>
        <v>0.17843700000000001</v>
      </c>
      <c r="H282" s="31">
        <f>IF($D282="","",IFERROR(VLOOKUP($B282,Kraftvärmeprod!$B$1:$BX$550,MATCH(H$2,Kraftvärmeprod!$B$1:$VX$1,0),FALSE)/1,0)-IFERROR(VLOOKUP($B282,'Slutlig allokering kvv'!$B$2:$BX$550,MATCH(H$2,'Slutlig allokering kvv'!$B$1:$BX$1,0),FALSE)/1,0))</f>
        <v>0</v>
      </c>
      <c r="I282" s="31">
        <f>IF($D282="","",IFERROR(VLOOKUP($B282,Kraftvärmeprod!$B$1:$BX$550,MATCH(I$2,Kraftvärmeprod!$B$1:$VX$1,0),FALSE)/1,0)-IFERROR(VLOOKUP($B282,'Slutlig allokering kvv'!$B$2:$BX$550,MATCH(I$2,'Slutlig allokering kvv'!$B$1:$BX$1,0),FALSE)/1,0))</f>
        <v>0</v>
      </c>
      <c r="J282" s="31">
        <f>IF($D282="","",IFERROR(VLOOKUP($B282,Kraftvärmeprod!$B$1:$BX$550,MATCH(J$2,Kraftvärmeprod!$B$1:$VX$1,0),FALSE)/1,0)-IFERROR(VLOOKUP($B282,'Slutlig allokering kvv'!$B$2:$BX$550,MATCH(J$2,'Slutlig allokering kvv'!$B$1:$BX$1,0),FALSE)/1,0))</f>
        <v>0</v>
      </c>
      <c r="K282" s="31">
        <f>IF($D282="","",IFERROR(VLOOKUP($B282,Kraftvärmeprod!$B$1:$BX$550,MATCH(K$2,Kraftvärmeprod!$B$1:$VX$1,0),FALSE)/1,0)-IFERROR(VLOOKUP($B282,'Slutlig allokering kvv'!$B$2:$BX$550,MATCH(K$2,'Slutlig allokering kvv'!$B$1:$BX$1,0),FALSE)/1,0))</f>
        <v>0</v>
      </c>
      <c r="L282" s="31">
        <f>IF($D282="","",IFERROR(VLOOKUP($B282,Kraftvärmeprod!$B$1:$BX$550,MATCH(L$2,Kraftvärmeprod!$B$1:$VX$1,0),FALSE)/1,0)-IFERROR(VLOOKUP($B282,'Slutlig allokering kvv'!$B$2:$BX$550,MATCH(L$2,'Slutlig allokering kvv'!$B$1:$BX$1,0),FALSE)/1,0))</f>
        <v>0</v>
      </c>
      <c r="M282" s="31">
        <f>IF($D282="","",IFERROR(VLOOKUP($B282,Kraftvärmeprod!$B$1:$BX$550,MATCH(M$2,Kraftvärmeprod!$B$1:$VX$1,0),FALSE)/1,0)-IFERROR(VLOOKUP($B282,'Slutlig allokering kvv'!$B$2:$BX$550,MATCH(M$2,'Slutlig allokering kvv'!$B$1:$BX$1,0),FALSE)/1,0))</f>
        <v>0</v>
      </c>
      <c r="N282" s="31">
        <f>IF($D282="","",IFERROR(VLOOKUP($B282,Kraftvärmeprod!$B$1:$BX$550,MATCH(N$2,Kraftvärmeprod!$B$1:$VX$1,0),FALSE)/1,0)-IFERROR(VLOOKUP($B282,'Slutlig allokering kvv'!$B$2:$BX$550,MATCH(N$2,'Slutlig allokering kvv'!$B$1:$BX$1,0),FALSE)/1,0))</f>
        <v>0</v>
      </c>
      <c r="O282" s="31">
        <f>IF($D282="","",IFERROR(VLOOKUP($B282,Kraftvärmeprod!$B$1:$BX$550,MATCH(O$2,Kraftvärmeprod!$B$1:$VX$1,0),FALSE)/1,0)-IFERROR(VLOOKUP($B282,'Slutlig allokering kvv'!$B$2:$BX$550,MATCH(O$2,'Slutlig allokering kvv'!$B$1:$BX$1,0),FALSE)/1,0))</f>
        <v>0</v>
      </c>
      <c r="P282" s="31">
        <f>IF($D282="","",IFERROR(VLOOKUP($B282,Kraftvärmeprod!$B$1:$BX$550,MATCH(P$2,Kraftvärmeprod!$B$1:$VX$1,0),FALSE)/1,0)-IFERROR(VLOOKUP($B282,'Slutlig allokering kvv'!$B$2:$BX$550,MATCH(P$2,'Slutlig allokering kvv'!$B$1:$BX$1,0),FALSE)/1,0))</f>
        <v>0</v>
      </c>
      <c r="Q282" s="31">
        <f>IF($D282="","",IFERROR(VLOOKUP($B282,Kraftvärmeprod!$B$1:$BX$550,MATCH(Q$2,Kraftvärmeprod!$B$1:$VX$1,0),FALSE)/1,0)-IFERROR(VLOOKUP($B282,'Slutlig allokering kvv'!$B$2:$BX$550,MATCH(Q$2,'Slutlig allokering kvv'!$B$1:$BX$1,0),FALSE)/1,0))</f>
        <v>0</v>
      </c>
      <c r="R282" s="31">
        <f>IF($D282="","",IFERROR(VLOOKUP($B282,Kraftvärmeprod!$B$1:$BX$550,MATCH(R$2,Kraftvärmeprod!$B$1:$VX$1,0),FALSE)/1,0)-IFERROR(VLOOKUP($B282,'Slutlig allokering kvv'!$B$2:$BX$550,MATCH(R$2,'Slutlig allokering kvv'!$B$1:$BX$1,0),FALSE)/1,0))</f>
        <v>0</v>
      </c>
      <c r="S282" s="31">
        <f>IF($D282="","",IFERROR(VLOOKUP($B282,Kraftvärmeprod!$B$1:$BX$550,MATCH(S$2,Kraftvärmeprod!$B$1:$VX$1,0),FALSE)/1,0)-IFERROR(VLOOKUP($B282,'Slutlig allokering kvv'!$B$2:$BX$550,MATCH(S$2,'Slutlig allokering kvv'!$B$1:$BX$1,0),FALSE)/1,0))</f>
        <v>0</v>
      </c>
      <c r="T282" s="31">
        <f>IF($D282="","",IFERROR(VLOOKUP($B282,Kraftvärmeprod!$B$1:$BX$550,MATCH(T$2,Kraftvärmeprod!$B$1:$VX$1,0),FALSE)/1,0)-IFERROR(VLOOKUP($B282,'Slutlig allokering kvv'!$B$2:$BX$550,MATCH(T$2,'Slutlig allokering kvv'!$B$1:$BX$1,0),FALSE)/1,0))</f>
        <v>0</v>
      </c>
      <c r="U282" s="31">
        <f>IF($D282="","",IFERROR(VLOOKUP($B282,Kraftvärmeprod!$B$1:$BX$550,MATCH(U$2,Kraftvärmeprod!$B$1:$VX$1,0),FALSE)/1,0)-IFERROR(VLOOKUP($B282,'Slutlig allokering kvv'!$B$2:$BX$550,MATCH(U$2,'Slutlig allokering kvv'!$B$1:$BX$1,0),FALSE)/1,0))</f>
        <v>0</v>
      </c>
      <c r="V282" s="31">
        <f>IF($D282="","",IFERROR(VLOOKUP($B282,Kraftvärmeprod!$B$1:$BX$550,MATCH(V$2,Kraftvärmeprod!$B$1:$VX$1,0),FALSE)/1,0)-IFERROR(VLOOKUP($B282,'Slutlig allokering kvv'!$B$2:$BX$550,MATCH(V$2,'Slutlig allokering kvv'!$B$1:$BX$1,0),FALSE)/1,0))</f>
        <v>0</v>
      </c>
      <c r="W282" s="31">
        <f>IF($D282="","",IFERROR(VLOOKUP($B282,Kraftvärmeprod!$B$1:$BX$550,MATCH(W$2,Kraftvärmeprod!$B$1:$VX$1,0),FALSE)/1,0)-IFERROR(VLOOKUP($B282,'Slutlig allokering kvv'!$B$2:$BX$550,MATCH(W$2,'Slutlig allokering kvv'!$B$1:$BX$1,0),FALSE)/1,0))</f>
        <v>0</v>
      </c>
      <c r="X282" s="31">
        <f>IF($D282="","",IFERROR(VLOOKUP($B282,Kraftvärmeprod!$B$1:$BX$550,MATCH(X$2,Kraftvärmeprod!$B$1:$VX$1,0),FALSE)/1,0)-IFERROR(VLOOKUP($B282,'Slutlig allokering kvv'!$B$2:$BX$550,MATCH(X$2,'Slutlig allokering kvv'!$B$1:$BX$1,0),FALSE)/1,0))</f>
        <v>0</v>
      </c>
      <c r="Y282" s="31">
        <f>IF($D282="","",IFERROR(VLOOKUP($B282,Kraftvärmeprod!$B$1:$BX$550,MATCH(Y$2,Kraftvärmeprod!$B$1:$VX$1,0),FALSE)/1,0)-IFERROR(VLOOKUP($B282,'Slutlig allokering kvv'!$B$2:$BX$550,MATCH(Y$2,'Slutlig allokering kvv'!$B$1:$BX$1,0),FALSE)/1,0))</f>
        <v>0</v>
      </c>
      <c r="Z282" s="31">
        <f>IF($D282="","",IFERROR(VLOOKUP($B282,Kraftvärmeprod!$B$1:$BX$550,MATCH(Z$2,Kraftvärmeprod!$B$1:$VX$1,0),FALSE)/1,0)-IFERROR(VLOOKUP($B282,'Slutlig allokering kvv'!$B$2:$BX$550,MATCH(Z$2,'Slutlig allokering kvv'!$B$1:$BX$1,0),FALSE)/1,0))</f>
        <v>0</v>
      </c>
      <c r="AA282" s="31">
        <f>IF($D282="","",IFERROR(VLOOKUP($B282,Kraftvärmeprod!$B$1:$BX$550,MATCH(AA$2,Kraftvärmeprod!$B$1:$VX$1,0),FALSE)/1,0)-IFERROR(VLOOKUP($B282,'Slutlig allokering kvv'!$B$2:$BX$550,MATCH(AA$2,'Slutlig allokering kvv'!$B$1:$BX$1,0),FALSE)/1,0))</f>
        <v>172.989</v>
      </c>
      <c r="AB282" s="31">
        <f>IF($D282="","",IFERROR(VLOOKUP($B282,Kraftvärmeprod!$B$1:$BX$550,MATCH(AB$2,Kraftvärmeprod!$B$1:$VX$1,0),FALSE)/1,0)-IFERROR(VLOOKUP($B282,'Slutlig allokering kvv'!$B$2:$BX$550,MATCH(AB$2,'Slutlig allokering kvv'!$B$1:$BX$1,0),FALSE)/1,0))</f>
        <v>0</v>
      </c>
      <c r="AC282" s="31">
        <f>IF($D282="","",IFERROR(VLOOKUP($B282,Kraftvärmeprod!$B$1:$BX$550,MATCH(AC$2,Kraftvärmeprod!$B$1:$VX$1,0),FALSE)/1,0)-IFERROR(VLOOKUP($B282,'Slutlig allokering kvv'!$B$2:$BX$550,MATCH(AC$2,'Slutlig allokering kvv'!$B$1:$BX$1,0),FALSE)/1,0))</f>
        <v>0</v>
      </c>
      <c r="AD282" s="31">
        <f>IF($D282="","",IFERROR(VLOOKUP($B282,Kraftvärmeprod!$B$1:$BX$550,MATCH(AD$2,Kraftvärmeprod!$B$1:$VX$1,0),FALSE)/1,0)-IFERROR(VLOOKUP($B282,'Slutlig allokering kvv'!$B$2:$BX$550,MATCH(AD$2,'Slutlig allokering kvv'!$B$1:$BX$1,0),FALSE)/1,0))</f>
        <v>0</v>
      </c>
      <c r="AE282" s="31">
        <f>IF($D282="","",IFERROR(VLOOKUP($B282,Miljö!$B$1:$E$550,MATCH("Hjälpel kraftvärme (GWh)",Miljö!$B$1:$E$1,0),FALSE)/1,0)-IFERROR(VLOOKUP($B282,'Slutlig allokering kvv'!$B$2:$BX$549,MATCH(AE$2,'Slutlig allokering kvv'!$B$1:$BX$1,0),FALSE)/1,0))</f>
        <v>7.3133599999999994</v>
      </c>
      <c r="AI282" s="39">
        <f t="shared" si="16"/>
        <v>173.16743700000001</v>
      </c>
      <c r="AK282" s="31">
        <f>IFERROR(VLOOKUP($B282,'Slutlig allokering kvv'!$B$2:$AX$549,MATCH("Summa slutlig allokerad tillförd energi (utan hjälpel och rökgaskondensering):",'Slutlig allokering kvv'!$B$1:$AX$1,0),FALSE)/1,"")</f>
        <v>174.66556299999999</v>
      </c>
      <c r="AM282" s="31">
        <f>IFERROR(1-VLOOKUP($B282,'Slutlig allokering kvv'!$B$2:$AX$549,MATCH("Andel av bränsle i kvv som allokerats till värme, exklusive rökgaskondensering och hjälpel",'Slutlig allokering kvv'!$B$1:$AX$1,0),FALSE),"")</f>
        <v>0.49784648667607734</v>
      </c>
      <c r="AO282" s="31">
        <f t="shared" si="17"/>
        <v>0.49784648667607739</v>
      </c>
      <c r="AP282" s="31">
        <f t="shared" si="18"/>
        <v>-5.5511151231257827E-17</v>
      </c>
      <c r="AR282" s="32">
        <f t="shared" si="19"/>
        <v>0.39362082382648167</v>
      </c>
    </row>
    <row r="283" spans="1:44" s="31" customFormat="1" x14ac:dyDescent="0.45">
      <c r="A283" s="31" t="s">
        <v>263</v>
      </c>
      <c r="B283" s="31" t="s">
        <v>265</v>
      </c>
      <c r="C283" s="31" t="str">
        <f>IFERROR(VLOOKUP($B283,Kraftvärmeprod!$B$1:$AH$479,MATCH(C$2,Kraftvärmeprod!$B$1:$AG$1,0),FALSE)/1,"")</f>
        <v/>
      </c>
      <c r="D283" s="31" t="str">
        <f>IFERROR(VLOOKUP($B283,Kraftvärmeprod!$B$1:$AH$479,MATCH(D$2,Kraftvärmeprod!$B$1:$AG$1,0),FALSE)/1,"")</f>
        <v/>
      </c>
      <c r="F283" s="31" t="str">
        <f>IF($D283="","",IFERROR(VLOOKUP($B283,Kraftvärmeprod!$B$1:$BX$550,MATCH(F$2,Kraftvärmeprod!$B$1:$VX$1,0),FALSE)/1,0)-IFERROR(VLOOKUP($B283,'Slutlig allokering kvv'!$B$2:$BX$550,MATCH(F$2,'Slutlig allokering kvv'!$B$1:$BX$1,0),FALSE)/1,0))</f>
        <v/>
      </c>
      <c r="G283" s="31" t="str">
        <f>IF($D283="","",IFERROR(VLOOKUP($B283,Kraftvärmeprod!$B$1:$BX$550,MATCH(G$2,Kraftvärmeprod!$B$1:$VX$1,0),FALSE)/1,0)-IFERROR(VLOOKUP($B283,'Slutlig allokering kvv'!$B$2:$BX$550,MATCH(G$2,'Slutlig allokering kvv'!$B$1:$BX$1,0),FALSE)/1,0))</f>
        <v/>
      </c>
      <c r="H283" s="31" t="str">
        <f>IF($D283="","",IFERROR(VLOOKUP($B283,Kraftvärmeprod!$B$1:$BX$550,MATCH(H$2,Kraftvärmeprod!$B$1:$VX$1,0),FALSE)/1,0)-IFERROR(VLOOKUP($B283,'Slutlig allokering kvv'!$B$2:$BX$550,MATCH(H$2,'Slutlig allokering kvv'!$B$1:$BX$1,0),FALSE)/1,0))</f>
        <v/>
      </c>
      <c r="I283" s="31" t="str">
        <f>IF($D283="","",IFERROR(VLOOKUP($B283,Kraftvärmeprod!$B$1:$BX$550,MATCH(I$2,Kraftvärmeprod!$B$1:$VX$1,0),FALSE)/1,0)-IFERROR(VLOOKUP($B283,'Slutlig allokering kvv'!$B$2:$BX$550,MATCH(I$2,'Slutlig allokering kvv'!$B$1:$BX$1,0),FALSE)/1,0))</f>
        <v/>
      </c>
      <c r="J283" s="31" t="str">
        <f>IF($D283="","",IFERROR(VLOOKUP($B283,Kraftvärmeprod!$B$1:$BX$550,MATCH(J$2,Kraftvärmeprod!$B$1:$VX$1,0),FALSE)/1,0)-IFERROR(VLOOKUP($B283,'Slutlig allokering kvv'!$B$2:$BX$550,MATCH(J$2,'Slutlig allokering kvv'!$B$1:$BX$1,0),FALSE)/1,0))</f>
        <v/>
      </c>
      <c r="K283" s="31" t="str">
        <f>IF($D283="","",IFERROR(VLOOKUP($B283,Kraftvärmeprod!$B$1:$BX$550,MATCH(K$2,Kraftvärmeprod!$B$1:$VX$1,0),FALSE)/1,0)-IFERROR(VLOOKUP($B283,'Slutlig allokering kvv'!$B$2:$BX$550,MATCH(K$2,'Slutlig allokering kvv'!$B$1:$BX$1,0),FALSE)/1,0))</f>
        <v/>
      </c>
      <c r="L283" s="31" t="str">
        <f>IF($D283="","",IFERROR(VLOOKUP($B283,Kraftvärmeprod!$B$1:$BX$550,MATCH(L$2,Kraftvärmeprod!$B$1:$VX$1,0),FALSE)/1,0)-IFERROR(VLOOKUP($B283,'Slutlig allokering kvv'!$B$2:$BX$550,MATCH(L$2,'Slutlig allokering kvv'!$B$1:$BX$1,0),FALSE)/1,0))</f>
        <v/>
      </c>
      <c r="M283" s="31" t="str">
        <f>IF($D283="","",IFERROR(VLOOKUP($B283,Kraftvärmeprod!$B$1:$BX$550,MATCH(M$2,Kraftvärmeprod!$B$1:$VX$1,0),FALSE)/1,0)-IFERROR(VLOOKUP($B283,'Slutlig allokering kvv'!$B$2:$BX$550,MATCH(M$2,'Slutlig allokering kvv'!$B$1:$BX$1,0),FALSE)/1,0))</f>
        <v/>
      </c>
      <c r="N283" s="31" t="str">
        <f>IF($D283="","",IFERROR(VLOOKUP($B283,Kraftvärmeprod!$B$1:$BX$550,MATCH(N$2,Kraftvärmeprod!$B$1:$VX$1,0),FALSE)/1,0)-IFERROR(VLOOKUP($B283,'Slutlig allokering kvv'!$B$2:$BX$550,MATCH(N$2,'Slutlig allokering kvv'!$B$1:$BX$1,0),FALSE)/1,0))</f>
        <v/>
      </c>
      <c r="O283" s="31" t="str">
        <f>IF($D283="","",IFERROR(VLOOKUP($B283,Kraftvärmeprod!$B$1:$BX$550,MATCH(O$2,Kraftvärmeprod!$B$1:$VX$1,0),FALSE)/1,0)-IFERROR(VLOOKUP($B283,'Slutlig allokering kvv'!$B$2:$BX$550,MATCH(O$2,'Slutlig allokering kvv'!$B$1:$BX$1,0),FALSE)/1,0))</f>
        <v/>
      </c>
      <c r="P283" s="31" t="str">
        <f>IF($D283="","",IFERROR(VLOOKUP($B283,Kraftvärmeprod!$B$1:$BX$550,MATCH(P$2,Kraftvärmeprod!$B$1:$VX$1,0),FALSE)/1,0)-IFERROR(VLOOKUP($B283,'Slutlig allokering kvv'!$B$2:$BX$550,MATCH(P$2,'Slutlig allokering kvv'!$B$1:$BX$1,0),FALSE)/1,0))</f>
        <v/>
      </c>
      <c r="Q283" s="31" t="str">
        <f>IF($D283="","",IFERROR(VLOOKUP($B283,Kraftvärmeprod!$B$1:$BX$550,MATCH(Q$2,Kraftvärmeprod!$B$1:$VX$1,0),FALSE)/1,0)-IFERROR(VLOOKUP($B283,'Slutlig allokering kvv'!$B$2:$BX$550,MATCH(Q$2,'Slutlig allokering kvv'!$B$1:$BX$1,0),FALSE)/1,0))</f>
        <v/>
      </c>
      <c r="R283" s="31" t="str">
        <f>IF($D283="","",IFERROR(VLOOKUP($B283,Kraftvärmeprod!$B$1:$BX$550,MATCH(R$2,Kraftvärmeprod!$B$1:$VX$1,0),FALSE)/1,0)-IFERROR(VLOOKUP($B283,'Slutlig allokering kvv'!$B$2:$BX$550,MATCH(R$2,'Slutlig allokering kvv'!$B$1:$BX$1,0),FALSE)/1,0))</f>
        <v/>
      </c>
      <c r="S283" s="31" t="str">
        <f>IF($D283="","",IFERROR(VLOOKUP($B283,Kraftvärmeprod!$B$1:$BX$550,MATCH(S$2,Kraftvärmeprod!$B$1:$VX$1,0),FALSE)/1,0)-IFERROR(VLOOKUP($B283,'Slutlig allokering kvv'!$B$2:$BX$550,MATCH(S$2,'Slutlig allokering kvv'!$B$1:$BX$1,0),FALSE)/1,0))</f>
        <v/>
      </c>
      <c r="T283" s="31" t="str">
        <f>IF($D283="","",IFERROR(VLOOKUP($B283,Kraftvärmeprod!$B$1:$BX$550,MATCH(T$2,Kraftvärmeprod!$B$1:$VX$1,0),FALSE)/1,0)-IFERROR(VLOOKUP($B283,'Slutlig allokering kvv'!$B$2:$BX$550,MATCH(T$2,'Slutlig allokering kvv'!$B$1:$BX$1,0),FALSE)/1,0))</f>
        <v/>
      </c>
      <c r="U283" s="31" t="str">
        <f>IF($D283="","",IFERROR(VLOOKUP($B283,Kraftvärmeprod!$B$1:$BX$550,MATCH(U$2,Kraftvärmeprod!$B$1:$VX$1,0),FALSE)/1,0)-IFERROR(VLOOKUP($B283,'Slutlig allokering kvv'!$B$2:$BX$550,MATCH(U$2,'Slutlig allokering kvv'!$B$1:$BX$1,0),FALSE)/1,0))</f>
        <v/>
      </c>
      <c r="V283" s="31" t="str">
        <f>IF($D283="","",IFERROR(VLOOKUP($B283,Kraftvärmeprod!$B$1:$BX$550,MATCH(V$2,Kraftvärmeprod!$B$1:$VX$1,0),FALSE)/1,0)-IFERROR(VLOOKUP($B283,'Slutlig allokering kvv'!$B$2:$BX$550,MATCH(V$2,'Slutlig allokering kvv'!$B$1:$BX$1,0),FALSE)/1,0))</f>
        <v/>
      </c>
      <c r="W283" s="31" t="str">
        <f>IF($D283="","",IFERROR(VLOOKUP($B283,Kraftvärmeprod!$B$1:$BX$550,MATCH(W$2,Kraftvärmeprod!$B$1:$VX$1,0),FALSE)/1,0)-IFERROR(VLOOKUP($B283,'Slutlig allokering kvv'!$B$2:$BX$550,MATCH(W$2,'Slutlig allokering kvv'!$B$1:$BX$1,0),FALSE)/1,0))</f>
        <v/>
      </c>
      <c r="X283" s="31" t="str">
        <f>IF($D283="","",IFERROR(VLOOKUP($B283,Kraftvärmeprod!$B$1:$BX$550,MATCH(X$2,Kraftvärmeprod!$B$1:$VX$1,0),FALSE)/1,0)-IFERROR(VLOOKUP($B283,'Slutlig allokering kvv'!$B$2:$BX$550,MATCH(X$2,'Slutlig allokering kvv'!$B$1:$BX$1,0),FALSE)/1,0))</f>
        <v/>
      </c>
      <c r="Y283" s="31" t="str">
        <f>IF($D283="","",IFERROR(VLOOKUP($B283,Kraftvärmeprod!$B$1:$BX$550,MATCH(Y$2,Kraftvärmeprod!$B$1:$VX$1,0),FALSE)/1,0)-IFERROR(VLOOKUP($B283,'Slutlig allokering kvv'!$B$2:$BX$550,MATCH(Y$2,'Slutlig allokering kvv'!$B$1:$BX$1,0),FALSE)/1,0))</f>
        <v/>
      </c>
      <c r="Z283" s="31" t="str">
        <f>IF($D283="","",IFERROR(VLOOKUP($B283,Kraftvärmeprod!$B$1:$BX$550,MATCH(Z$2,Kraftvärmeprod!$B$1:$VX$1,0),FALSE)/1,0)-IFERROR(VLOOKUP($B283,'Slutlig allokering kvv'!$B$2:$BX$550,MATCH(Z$2,'Slutlig allokering kvv'!$B$1:$BX$1,0),FALSE)/1,0))</f>
        <v/>
      </c>
      <c r="AA283" s="31" t="str">
        <f>IF($D283="","",IFERROR(VLOOKUP($B283,Kraftvärmeprod!$B$1:$BX$550,MATCH(AA$2,Kraftvärmeprod!$B$1:$VX$1,0),FALSE)/1,0)-IFERROR(VLOOKUP($B283,'Slutlig allokering kvv'!$B$2:$BX$550,MATCH(AA$2,'Slutlig allokering kvv'!$B$1:$BX$1,0),FALSE)/1,0))</f>
        <v/>
      </c>
      <c r="AB283" s="31" t="str">
        <f>IF($D283="","",IFERROR(VLOOKUP($B283,Kraftvärmeprod!$B$1:$BX$550,MATCH(AB$2,Kraftvärmeprod!$B$1:$VX$1,0),FALSE)/1,0)-IFERROR(VLOOKUP($B283,'Slutlig allokering kvv'!$B$2:$BX$550,MATCH(AB$2,'Slutlig allokering kvv'!$B$1:$BX$1,0),FALSE)/1,0))</f>
        <v/>
      </c>
      <c r="AC283" s="31" t="str">
        <f>IF($D283="","",IFERROR(VLOOKUP($B283,Kraftvärmeprod!$B$1:$BX$550,MATCH(AC$2,Kraftvärmeprod!$B$1:$VX$1,0),FALSE)/1,0)-IFERROR(VLOOKUP($B283,'Slutlig allokering kvv'!$B$2:$BX$550,MATCH(AC$2,'Slutlig allokering kvv'!$B$1:$BX$1,0),FALSE)/1,0))</f>
        <v/>
      </c>
      <c r="AD283" s="31" t="str">
        <f>IF($D283="","",IFERROR(VLOOKUP($B283,Kraftvärmeprod!$B$1:$BX$550,MATCH(AD$2,Kraftvärmeprod!$B$1:$VX$1,0),FALSE)/1,0)-IFERROR(VLOOKUP($B283,'Slutlig allokering kvv'!$B$2:$BX$550,MATCH(AD$2,'Slutlig allokering kvv'!$B$1:$BX$1,0),FALSE)/1,0))</f>
        <v/>
      </c>
      <c r="AE283" s="31" t="str">
        <f>IF($D283="","",IFERROR(VLOOKUP($B283,Miljö!$B$1:$E$550,MATCH("Hjälpel kraftvärme (GWh)",Miljö!$B$1:$E$1,0),FALSE)/1,0)-IFERROR(VLOOKUP($B283,'Slutlig allokering kvv'!$B$2:$BX$549,MATCH(AE$2,'Slutlig allokering kvv'!$B$1:$BX$1,0),FALSE)/1,0))</f>
        <v/>
      </c>
      <c r="AI283" s="39">
        <f t="shared" si="16"/>
        <v>0</v>
      </c>
      <c r="AK283" s="31">
        <f>IFERROR(VLOOKUP($B283,'Slutlig allokering kvv'!$B$2:$AX$549,MATCH("Summa slutlig allokerad tillförd energi (utan hjälpel och rökgaskondensering):",'Slutlig allokering kvv'!$B$1:$AX$1,0),FALSE)/1,"")</f>
        <v>0</v>
      </c>
      <c r="AM283" s="31" t="str">
        <f>IFERROR(1-VLOOKUP($B283,'Slutlig allokering kvv'!$B$2:$AX$549,MATCH("Andel av bränsle i kvv som allokerats till värme, exklusive rökgaskondensering och hjälpel",'Slutlig allokering kvv'!$B$1:$AX$1,0),FALSE),"")</f>
        <v/>
      </c>
      <c r="AO283" s="31" t="str">
        <f t="shared" si="17"/>
        <v/>
      </c>
      <c r="AP283" s="31" t="str">
        <f t="shared" si="18"/>
        <v/>
      </c>
      <c r="AR283" s="32" t="str">
        <f t="shared" si="19"/>
        <v/>
      </c>
    </row>
    <row r="284" spans="1:44" s="31" customFormat="1" x14ac:dyDescent="0.45">
      <c r="A284" s="31" t="s">
        <v>263</v>
      </c>
      <c r="B284" s="31" t="s">
        <v>262</v>
      </c>
      <c r="C284" s="31" t="str">
        <f>IFERROR(VLOOKUP($B284,Kraftvärmeprod!$B$1:$AH$479,MATCH(C$2,Kraftvärmeprod!$B$1:$AG$1,0),FALSE)/1,"")</f>
        <v/>
      </c>
      <c r="D284" s="31" t="str">
        <f>IFERROR(VLOOKUP($B284,Kraftvärmeprod!$B$1:$AH$479,MATCH(D$2,Kraftvärmeprod!$B$1:$AG$1,0),FALSE)/1,"")</f>
        <v/>
      </c>
      <c r="F284" s="31" t="str">
        <f>IF($D284="","",IFERROR(VLOOKUP($B284,Kraftvärmeprod!$B$1:$BX$550,MATCH(F$2,Kraftvärmeprod!$B$1:$VX$1,0),FALSE)/1,0)-IFERROR(VLOOKUP($B284,'Slutlig allokering kvv'!$B$2:$BX$550,MATCH(F$2,'Slutlig allokering kvv'!$B$1:$BX$1,0),FALSE)/1,0))</f>
        <v/>
      </c>
      <c r="G284" s="31" t="str">
        <f>IF($D284="","",IFERROR(VLOOKUP($B284,Kraftvärmeprod!$B$1:$BX$550,MATCH(G$2,Kraftvärmeprod!$B$1:$VX$1,0),FALSE)/1,0)-IFERROR(VLOOKUP($B284,'Slutlig allokering kvv'!$B$2:$BX$550,MATCH(G$2,'Slutlig allokering kvv'!$B$1:$BX$1,0),FALSE)/1,0))</f>
        <v/>
      </c>
      <c r="H284" s="31" t="str">
        <f>IF($D284="","",IFERROR(VLOOKUP($B284,Kraftvärmeprod!$B$1:$BX$550,MATCH(H$2,Kraftvärmeprod!$B$1:$VX$1,0),FALSE)/1,0)-IFERROR(VLOOKUP($B284,'Slutlig allokering kvv'!$B$2:$BX$550,MATCH(H$2,'Slutlig allokering kvv'!$B$1:$BX$1,0),FALSE)/1,0))</f>
        <v/>
      </c>
      <c r="I284" s="31" t="str">
        <f>IF($D284="","",IFERROR(VLOOKUP($B284,Kraftvärmeprod!$B$1:$BX$550,MATCH(I$2,Kraftvärmeprod!$B$1:$VX$1,0),FALSE)/1,0)-IFERROR(VLOOKUP($B284,'Slutlig allokering kvv'!$B$2:$BX$550,MATCH(I$2,'Slutlig allokering kvv'!$B$1:$BX$1,0),FALSE)/1,0))</f>
        <v/>
      </c>
      <c r="J284" s="31" t="str">
        <f>IF($D284="","",IFERROR(VLOOKUP($B284,Kraftvärmeprod!$B$1:$BX$550,MATCH(J$2,Kraftvärmeprod!$B$1:$VX$1,0),FALSE)/1,0)-IFERROR(VLOOKUP($B284,'Slutlig allokering kvv'!$B$2:$BX$550,MATCH(J$2,'Slutlig allokering kvv'!$B$1:$BX$1,0),FALSE)/1,0))</f>
        <v/>
      </c>
      <c r="K284" s="31" t="str">
        <f>IF($D284="","",IFERROR(VLOOKUP($B284,Kraftvärmeprod!$B$1:$BX$550,MATCH(K$2,Kraftvärmeprod!$B$1:$VX$1,0),FALSE)/1,0)-IFERROR(VLOOKUP($B284,'Slutlig allokering kvv'!$B$2:$BX$550,MATCH(K$2,'Slutlig allokering kvv'!$B$1:$BX$1,0),FALSE)/1,0))</f>
        <v/>
      </c>
      <c r="L284" s="31" t="str">
        <f>IF($D284="","",IFERROR(VLOOKUP($B284,Kraftvärmeprod!$B$1:$BX$550,MATCH(L$2,Kraftvärmeprod!$B$1:$VX$1,0),FALSE)/1,0)-IFERROR(VLOOKUP($B284,'Slutlig allokering kvv'!$B$2:$BX$550,MATCH(L$2,'Slutlig allokering kvv'!$B$1:$BX$1,0),FALSE)/1,0))</f>
        <v/>
      </c>
      <c r="M284" s="31" t="str">
        <f>IF($D284="","",IFERROR(VLOOKUP($B284,Kraftvärmeprod!$B$1:$BX$550,MATCH(M$2,Kraftvärmeprod!$B$1:$VX$1,0),FALSE)/1,0)-IFERROR(VLOOKUP($B284,'Slutlig allokering kvv'!$B$2:$BX$550,MATCH(M$2,'Slutlig allokering kvv'!$B$1:$BX$1,0),FALSE)/1,0))</f>
        <v/>
      </c>
      <c r="N284" s="31" t="str">
        <f>IF($D284="","",IFERROR(VLOOKUP($B284,Kraftvärmeprod!$B$1:$BX$550,MATCH(N$2,Kraftvärmeprod!$B$1:$VX$1,0),FALSE)/1,0)-IFERROR(VLOOKUP($B284,'Slutlig allokering kvv'!$B$2:$BX$550,MATCH(N$2,'Slutlig allokering kvv'!$B$1:$BX$1,0),FALSE)/1,0))</f>
        <v/>
      </c>
      <c r="O284" s="31" t="str">
        <f>IF($D284="","",IFERROR(VLOOKUP($B284,Kraftvärmeprod!$B$1:$BX$550,MATCH(O$2,Kraftvärmeprod!$B$1:$VX$1,0),FALSE)/1,0)-IFERROR(VLOOKUP($B284,'Slutlig allokering kvv'!$B$2:$BX$550,MATCH(O$2,'Slutlig allokering kvv'!$B$1:$BX$1,0),FALSE)/1,0))</f>
        <v/>
      </c>
      <c r="P284" s="31" t="str">
        <f>IF($D284="","",IFERROR(VLOOKUP($B284,Kraftvärmeprod!$B$1:$BX$550,MATCH(P$2,Kraftvärmeprod!$B$1:$VX$1,0),FALSE)/1,0)-IFERROR(VLOOKUP($B284,'Slutlig allokering kvv'!$B$2:$BX$550,MATCH(P$2,'Slutlig allokering kvv'!$B$1:$BX$1,0),FALSE)/1,0))</f>
        <v/>
      </c>
      <c r="Q284" s="31" t="str">
        <f>IF($D284="","",IFERROR(VLOOKUP($B284,Kraftvärmeprod!$B$1:$BX$550,MATCH(Q$2,Kraftvärmeprod!$B$1:$VX$1,0),FALSE)/1,0)-IFERROR(VLOOKUP($B284,'Slutlig allokering kvv'!$B$2:$BX$550,MATCH(Q$2,'Slutlig allokering kvv'!$B$1:$BX$1,0),FALSE)/1,0))</f>
        <v/>
      </c>
      <c r="R284" s="31" t="str">
        <f>IF($D284="","",IFERROR(VLOOKUP($B284,Kraftvärmeprod!$B$1:$BX$550,MATCH(R$2,Kraftvärmeprod!$B$1:$VX$1,0),FALSE)/1,0)-IFERROR(VLOOKUP($B284,'Slutlig allokering kvv'!$B$2:$BX$550,MATCH(R$2,'Slutlig allokering kvv'!$B$1:$BX$1,0),FALSE)/1,0))</f>
        <v/>
      </c>
      <c r="S284" s="31" t="str">
        <f>IF($D284="","",IFERROR(VLOOKUP($B284,Kraftvärmeprod!$B$1:$BX$550,MATCH(S$2,Kraftvärmeprod!$B$1:$VX$1,0),FALSE)/1,0)-IFERROR(VLOOKUP($B284,'Slutlig allokering kvv'!$B$2:$BX$550,MATCH(S$2,'Slutlig allokering kvv'!$B$1:$BX$1,0),FALSE)/1,0))</f>
        <v/>
      </c>
      <c r="T284" s="31" t="str">
        <f>IF($D284="","",IFERROR(VLOOKUP($B284,Kraftvärmeprod!$B$1:$BX$550,MATCH(T$2,Kraftvärmeprod!$B$1:$VX$1,0),FALSE)/1,0)-IFERROR(VLOOKUP($B284,'Slutlig allokering kvv'!$B$2:$BX$550,MATCH(T$2,'Slutlig allokering kvv'!$B$1:$BX$1,0),FALSE)/1,0))</f>
        <v/>
      </c>
      <c r="U284" s="31" t="str">
        <f>IF($D284="","",IFERROR(VLOOKUP($B284,Kraftvärmeprod!$B$1:$BX$550,MATCH(U$2,Kraftvärmeprod!$B$1:$VX$1,0),FALSE)/1,0)-IFERROR(VLOOKUP($B284,'Slutlig allokering kvv'!$B$2:$BX$550,MATCH(U$2,'Slutlig allokering kvv'!$B$1:$BX$1,0),FALSE)/1,0))</f>
        <v/>
      </c>
      <c r="V284" s="31" t="str">
        <f>IF($D284="","",IFERROR(VLOOKUP($B284,Kraftvärmeprod!$B$1:$BX$550,MATCH(V$2,Kraftvärmeprod!$B$1:$VX$1,0),FALSE)/1,0)-IFERROR(VLOOKUP($B284,'Slutlig allokering kvv'!$B$2:$BX$550,MATCH(V$2,'Slutlig allokering kvv'!$B$1:$BX$1,0),FALSE)/1,0))</f>
        <v/>
      </c>
      <c r="W284" s="31" t="str">
        <f>IF($D284="","",IFERROR(VLOOKUP($B284,Kraftvärmeprod!$B$1:$BX$550,MATCH(W$2,Kraftvärmeprod!$B$1:$VX$1,0),FALSE)/1,0)-IFERROR(VLOOKUP($B284,'Slutlig allokering kvv'!$B$2:$BX$550,MATCH(W$2,'Slutlig allokering kvv'!$B$1:$BX$1,0),FALSE)/1,0))</f>
        <v/>
      </c>
      <c r="X284" s="31" t="str">
        <f>IF($D284="","",IFERROR(VLOOKUP($B284,Kraftvärmeprod!$B$1:$BX$550,MATCH(X$2,Kraftvärmeprod!$B$1:$VX$1,0),FALSE)/1,0)-IFERROR(VLOOKUP($B284,'Slutlig allokering kvv'!$B$2:$BX$550,MATCH(X$2,'Slutlig allokering kvv'!$B$1:$BX$1,0),FALSE)/1,0))</f>
        <v/>
      </c>
      <c r="Y284" s="31" t="str">
        <f>IF($D284="","",IFERROR(VLOOKUP($B284,Kraftvärmeprod!$B$1:$BX$550,MATCH(Y$2,Kraftvärmeprod!$B$1:$VX$1,0),FALSE)/1,0)-IFERROR(VLOOKUP($B284,'Slutlig allokering kvv'!$B$2:$BX$550,MATCH(Y$2,'Slutlig allokering kvv'!$B$1:$BX$1,0),FALSE)/1,0))</f>
        <v/>
      </c>
      <c r="Z284" s="31" t="str">
        <f>IF($D284="","",IFERROR(VLOOKUP($B284,Kraftvärmeprod!$B$1:$BX$550,MATCH(Z$2,Kraftvärmeprod!$B$1:$VX$1,0),FALSE)/1,0)-IFERROR(VLOOKUP($B284,'Slutlig allokering kvv'!$B$2:$BX$550,MATCH(Z$2,'Slutlig allokering kvv'!$B$1:$BX$1,0),FALSE)/1,0))</f>
        <v/>
      </c>
      <c r="AA284" s="31" t="str">
        <f>IF($D284="","",IFERROR(VLOOKUP($B284,Kraftvärmeprod!$B$1:$BX$550,MATCH(AA$2,Kraftvärmeprod!$B$1:$VX$1,0),FALSE)/1,0)-IFERROR(VLOOKUP($B284,'Slutlig allokering kvv'!$B$2:$BX$550,MATCH(AA$2,'Slutlig allokering kvv'!$B$1:$BX$1,0),FALSE)/1,0))</f>
        <v/>
      </c>
      <c r="AB284" s="31" t="str">
        <f>IF($D284="","",IFERROR(VLOOKUP($B284,Kraftvärmeprod!$B$1:$BX$550,MATCH(AB$2,Kraftvärmeprod!$B$1:$VX$1,0),FALSE)/1,0)-IFERROR(VLOOKUP($B284,'Slutlig allokering kvv'!$B$2:$BX$550,MATCH(AB$2,'Slutlig allokering kvv'!$B$1:$BX$1,0),FALSE)/1,0))</f>
        <v/>
      </c>
      <c r="AC284" s="31" t="str">
        <f>IF($D284="","",IFERROR(VLOOKUP($B284,Kraftvärmeprod!$B$1:$BX$550,MATCH(AC$2,Kraftvärmeprod!$B$1:$VX$1,0),FALSE)/1,0)-IFERROR(VLOOKUP($B284,'Slutlig allokering kvv'!$B$2:$BX$550,MATCH(AC$2,'Slutlig allokering kvv'!$B$1:$BX$1,0),FALSE)/1,0))</f>
        <v/>
      </c>
      <c r="AD284" s="31" t="str">
        <f>IF($D284="","",IFERROR(VLOOKUP($B284,Kraftvärmeprod!$B$1:$BX$550,MATCH(AD$2,Kraftvärmeprod!$B$1:$VX$1,0),FALSE)/1,0)-IFERROR(VLOOKUP($B284,'Slutlig allokering kvv'!$B$2:$BX$550,MATCH(AD$2,'Slutlig allokering kvv'!$B$1:$BX$1,0),FALSE)/1,0))</f>
        <v/>
      </c>
      <c r="AE284" s="31" t="str">
        <f>IF($D284="","",IFERROR(VLOOKUP($B284,Miljö!$B$1:$E$550,MATCH("Hjälpel kraftvärme (GWh)",Miljö!$B$1:$E$1,0),FALSE)/1,0)-IFERROR(VLOOKUP($B284,'Slutlig allokering kvv'!$B$2:$BX$549,MATCH(AE$2,'Slutlig allokering kvv'!$B$1:$BX$1,0),FALSE)/1,0))</f>
        <v/>
      </c>
      <c r="AI284" s="39">
        <f t="shared" si="16"/>
        <v>0</v>
      </c>
      <c r="AK284" s="31">
        <f>IFERROR(VLOOKUP($B284,'Slutlig allokering kvv'!$B$2:$AX$549,MATCH("Summa slutlig allokerad tillförd energi (utan hjälpel och rökgaskondensering):",'Slutlig allokering kvv'!$B$1:$AX$1,0),FALSE)/1,"")</f>
        <v>0</v>
      </c>
      <c r="AM284" s="31" t="str">
        <f>IFERROR(1-VLOOKUP($B284,'Slutlig allokering kvv'!$B$2:$AX$549,MATCH("Andel av bränsle i kvv som allokerats till värme, exklusive rökgaskondensering och hjälpel",'Slutlig allokering kvv'!$B$1:$AX$1,0),FALSE),"")</f>
        <v/>
      </c>
      <c r="AO284" s="31" t="str">
        <f t="shared" si="17"/>
        <v/>
      </c>
      <c r="AP284" s="31" t="str">
        <f t="shared" si="18"/>
        <v/>
      </c>
      <c r="AR284" s="32" t="str">
        <f t="shared" si="19"/>
        <v/>
      </c>
    </row>
    <row r="285" spans="1:44" s="31" customFormat="1" x14ac:dyDescent="0.45">
      <c r="A285" s="31" t="s">
        <v>263</v>
      </c>
      <c r="B285" s="31" t="s">
        <v>264</v>
      </c>
      <c r="C285" s="31" t="str">
        <f>IFERROR(VLOOKUP($B285,Kraftvärmeprod!$B$1:$AH$479,MATCH(C$2,Kraftvärmeprod!$B$1:$AG$1,0),FALSE)/1,"")</f>
        <v/>
      </c>
      <c r="D285" s="31" t="str">
        <f>IFERROR(VLOOKUP($B285,Kraftvärmeprod!$B$1:$AH$479,MATCH(D$2,Kraftvärmeprod!$B$1:$AG$1,0),FALSE)/1,"")</f>
        <v/>
      </c>
      <c r="F285" s="31" t="str">
        <f>IF($D285="","",IFERROR(VLOOKUP($B285,Kraftvärmeprod!$B$1:$BX$550,MATCH(F$2,Kraftvärmeprod!$B$1:$VX$1,0),FALSE)/1,0)-IFERROR(VLOOKUP($B285,'Slutlig allokering kvv'!$B$2:$BX$550,MATCH(F$2,'Slutlig allokering kvv'!$B$1:$BX$1,0),FALSE)/1,0))</f>
        <v/>
      </c>
      <c r="G285" s="31" t="str">
        <f>IF($D285="","",IFERROR(VLOOKUP($B285,Kraftvärmeprod!$B$1:$BX$550,MATCH(G$2,Kraftvärmeprod!$B$1:$VX$1,0),FALSE)/1,0)-IFERROR(VLOOKUP($B285,'Slutlig allokering kvv'!$B$2:$BX$550,MATCH(G$2,'Slutlig allokering kvv'!$B$1:$BX$1,0),FALSE)/1,0))</f>
        <v/>
      </c>
      <c r="H285" s="31" t="str">
        <f>IF($D285="","",IFERROR(VLOOKUP($B285,Kraftvärmeprod!$B$1:$BX$550,MATCH(H$2,Kraftvärmeprod!$B$1:$VX$1,0),FALSE)/1,0)-IFERROR(VLOOKUP($B285,'Slutlig allokering kvv'!$B$2:$BX$550,MATCH(H$2,'Slutlig allokering kvv'!$B$1:$BX$1,0),FALSE)/1,0))</f>
        <v/>
      </c>
      <c r="I285" s="31" t="str">
        <f>IF($D285="","",IFERROR(VLOOKUP($B285,Kraftvärmeprod!$B$1:$BX$550,MATCH(I$2,Kraftvärmeprod!$B$1:$VX$1,0),FALSE)/1,0)-IFERROR(VLOOKUP($B285,'Slutlig allokering kvv'!$B$2:$BX$550,MATCH(I$2,'Slutlig allokering kvv'!$B$1:$BX$1,0),FALSE)/1,0))</f>
        <v/>
      </c>
      <c r="J285" s="31" t="str">
        <f>IF($D285="","",IFERROR(VLOOKUP($B285,Kraftvärmeprod!$B$1:$BX$550,MATCH(J$2,Kraftvärmeprod!$B$1:$VX$1,0),FALSE)/1,0)-IFERROR(VLOOKUP($B285,'Slutlig allokering kvv'!$B$2:$BX$550,MATCH(J$2,'Slutlig allokering kvv'!$B$1:$BX$1,0),FALSE)/1,0))</f>
        <v/>
      </c>
      <c r="K285" s="31" t="str">
        <f>IF($D285="","",IFERROR(VLOOKUP($B285,Kraftvärmeprod!$B$1:$BX$550,MATCH(K$2,Kraftvärmeprod!$B$1:$VX$1,0),FALSE)/1,0)-IFERROR(VLOOKUP($B285,'Slutlig allokering kvv'!$B$2:$BX$550,MATCH(K$2,'Slutlig allokering kvv'!$B$1:$BX$1,0),FALSE)/1,0))</f>
        <v/>
      </c>
      <c r="L285" s="31" t="str">
        <f>IF($D285="","",IFERROR(VLOOKUP($B285,Kraftvärmeprod!$B$1:$BX$550,MATCH(L$2,Kraftvärmeprod!$B$1:$VX$1,0),FALSE)/1,0)-IFERROR(VLOOKUP($B285,'Slutlig allokering kvv'!$B$2:$BX$550,MATCH(L$2,'Slutlig allokering kvv'!$B$1:$BX$1,0),FALSE)/1,0))</f>
        <v/>
      </c>
      <c r="M285" s="31" t="str">
        <f>IF($D285="","",IFERROR(VLOOKUP($B285,Kraftvärmeprod!$B$1:$BX$550,MATCH(M$2,Kraftvärmeprod!$B$1:$VX$1,0),FALSE)/1,0)-IFERROR(VLOOKUP($B285,'Slutlig allokering kvv'!$B$2:$BX$550,MATCH(M$2,'Slutlig allokering kvv'!$B$1:$BX$1,0),FALSE)/1,0))</f>
        <v/>
      </c>
      <c r="N285" s="31" t="str">
        <f>IF($D285="","",IFERROR(VLOOKUP($B285,Kraftvärmeprod!$B$1:$BX$550,MATCH(N$2,Kraftvärmeprod!$B$1:$VX$1,0),FALSE)/1,0)-IFERROR(VLOOKUP($B285,'Slutlig allokering kvv'!$B$2:$BX$550,MATCH(N$2,'Slutlig allokering kvv'!$B$1:$BX$1,0),FALSE)/1,0))</f>
        <v/>
      </c>
      <c r="O285" s="31" t="str">
        <f>IF($D285="","",IFERROR(VLOOKUP($B285,Kraftvärmeprod!$B$1:$BX$550,MATCH(O$2,Kraftvärmeprod!$B$1:$VX$1,0),FALSE)/1,0)-IFERROR(VLOOKUP($B285,'Slutlig allokering kvv'!$B$2:$BX$550,MATCH(O$2,'Slutlig allokering kvv'!$B$1:$BX$1,0),FALSE)/1,0))</f>
        <v/>
      </c>
      <c r="P285" s="31" t="str">
        <f>IF($D285="","",IFERROR(VLOOKUP($B285,Kraftvärmeprod!$B$1:$BX$550,MATCH(P$2,Kraftvärmeprod!$B$1:$VX$1,0),FALSE)/1,0)-IFERROR(VLOOKUP($B285,'Slutlig allokering kvv'!$B$2:$BX$550,MATCH(P$2,'Slutlig allokering kvv'!$B$1:$BX$1,0),FALSE)/1,0))</f>
        <v/>
      </c>
      <c r="Q285" s="31" t="str">
        <f>IF($D285="","",IFERROR(VLOOKUP($B285,Kraftvärmeprod!$B$1:$BX$550,MATCH(Q$2,Kraftvärmeprod!$B$1:$VX$1,0),FALSE)/1,0)-IFERROR(VLOOKUP($B285,'Slutlig allokering kvv'!$B$2:$BX$550,MATCH(Q$2,'Slutlig allokering kvv'!$B$1:$BX$1,0),FALSE)/1,0))</f>
        <v/>
      </c>
      <c r="R285" s="31" t="str">
        <f>IF($D285="","",IFERROR(VLOOKUP($B285,Kraftvärmeprod!$B$1:$BX$550,MATCH(R$2,Kraftvärmeprod!$B$1:$VX$1,0),FALSE)/1,0)-IFERROR(VLOOKUP($B285,'Slutlig allokering kvv'!$B$2:$BX$550,MATCH(R$2,'Slutlig allokering kvv'!$B$1:$BX$1,0),FALSE)/1,0))</f>
        <v/>
      </c>
      <c r="S285" s="31" t="str">
        <f>IF($D285="","",IFERROR(VLOOKUP($B285,Kraftvärmeprod!$B$1:$BX$550,MATCH(S$2,Kraftvärmeprod!$B$1:$VX$1,0),FALSE)/1,0)-IFERROR(VLOOKUP($B285,'Slutlig allokering kvv'!$B$2:$BX$550,MATCH(S$2,'Slutlig allokering kvv'!$B$1:$BX$1,0),FALSE)/1,0))</f>
        <v/>
      </c>
      <c r="T285" s="31" t="str">
        <f>IF($D285="","",IFERROR(VLOOKUP($B285,Kraftvärmeprod!$B$1:$BX$550,MATCH(T$2,Kraftvärmeprod!$B$1:$VX$1,0),FALSE)/1,0)-IFERROR(VLOOKUP($B285,'Slutlig allokering kvv'!$B$2:$BX$550,MATCH(T$2,'Slutlig allokering kvv'!$B$1:$BX$1,0),FALSE)/1,0))</f>
        <v/>
      </c>
      <c r="U285" s="31" t="str">
        <f>IF($D285="","",IFERROR(VLOOKUP($B285,Kraftvärmeprod!$B$1:$BX$550,MATCH(U$2,Kraftvärmeprod!$B$1:$VX$1,0),FALSE)/1,0)-IFERROR(VLOOKUP($B285,'Slutlig allokering kvv'!$B$2:$BX$550,MATCH(U$2,'Slutlig allokering kvv'!$B$1:$BX$1,0),FALSE)/1,0))</f>
        <v/>
      </c>
      <c r="V285" s="31" t="str">
        <f>IF($D285="","",IFERROR(VLOOKUP($B285,Kraftvärmeprod!$B$1:$BX$550,MATCH(V$2,Kraftvärmeprod!$B$1:$VX$1,0),FALSE)/1,0)-IFERROR(VLOOKUP($B285,'Slutlig allokering kvv'!$B$2:$BX$550,MATCH(V$2,'Slutlig allokering kvv'!$B$1:$BX$1,0),FALSE)/1,0))</f>
        <v/>
      </c>
      <c r="W285" s="31" t="str">
        <f>IF($D285="","",IFERROR(VLOOKUP($B285,Kraftvärmeprod!$B$1:$BX$550,MATCH(W$2,Kraftvärmeprod!$B$1:$VX$1,0),FALSE)/1,0)-IFERROR(VLOOKUP($B285,'Slutlig allokering kvv'!$B$2:$BX$550,MATCH(W$2,'Slutlig allokering kvv'!$B$1:$BX$1,0),FALSE)/1,0))</f>
        <v/>
      </c>
      <c r="X285" s="31" t="str">
        <f>IF($D285="","",IFERROR(VLOOKUP($B285,Kraftvärmeprod!$B$1:$BX$550,MATCH(X$2,Kraftvärmeprod!$B$1:$VX$1,0),FALSE)/1,0)-IFERROR(VLOOKUP($B285,'Slutlig allokering kvv'!$B$2:$BX$550,MATCH(X$2,'Slutlig allokering kvv'!$B$1:$BX$1,0),FALSE)/1,0))</f>
        <v/>
      </c>
      <c r="Y285" s="31" t="str">
        <f>IF($D285="","",IFERROR(VLOOKUP($B285,Kraftvärmeprod!$B$1:$BX$550,MATCH(Y$2,Kraftvärmeprod!$B$1:$VX$1,0),FALSE)/1,0)-IFERROR(VLOOKUP($B285,'Slutlig allokering kvv'!$B$2:$BX$550,MATCH(Y$2,'Slutlig allokering kvv'!$B$1:$BX$1,0),FALSE)/1,0))</f>
        <v/>
      </c>
      <c r="Z285" s="31" t="str">
        <f>IF($D285="","",IFERROR(VLOOKUP($B285,Kraftvärmeprod!$B$1:$BX$550,MATCH(Z$2,Kraftvärmeprod!$B$1:$VX$1,0),FALSE)/1,0)-IFERROR(VLOOKUP($B285,'Slutlig allokering kvv'!$B$2:$BX$550,MATCH(Z$2,'Slutlig allokering kvv'!$B$1:$BX$1,0),FALSE)/1,0))</f>
        <v/>
      </c>
      <c r="AA285" s="31" t="str">
        <f>IF($D285="","",IFERROR(VLOOKUP($B285,Kraftvärmeprod!$B$1:$BX$550,MATCH(AA$2,Kraftvärmeprod!$B$1:$VX$1,0),FALSE)/1,0)-IFERROR(VLOOKUP($B285,'Slutlig allokering kvv'!$B$2:$BX$550,MATCH(AA$2,'Slutlig allokering kvv'!$B$1:$BX$1,0),FALSE)/1,0))</f>
        <v/>
      </c>
      <c r="AB285" s="31" t="str">
        <f>IF($D285="","",IFERROR(VLOOKUP($B285,Kraftvärmeprod!$B$1:$BX$550,MATCH(AB$2,Kraftvärmeprod!$B$1:$VX$1,0),FALSE)/1,0)-IFERROR(VLOOKUP($B285,'Slutlig allokering kvv'!$B$2:$BX$550,MATCH(AB$2,'Slutlig allokering kvv'!$B$1:$BX$1,0),FALSE)/1,0))</f>
        <v/>
      </c>
      <c r="AC285" s="31" t="str">
        <f>IF($D285="","",IFERROR(VLOOKUP($B285,Kraftvärmeprod!$B$1:$BX$550,MATCH(AC$2,Kraftvärmeprod!$B$1:$VX$1,0),FALSE)/1,0)-IFERROR(VLOOKUP($B285,'Slutlig allokering kvv'!$B$2:$BX$550,MATCH(AC$2,'Slutlig allokering kvv'!$B$1:$BX$1,0),FALSE)/1,0))</f>
        <v/>
      </c>
      <c r="AD285" s="31" t="str">
        <f>IF($D285="","",IFERROR(VLOOKUP($B285,Kraftvärmeprod!$B$1:$BX$550,MATCH(AD$2,Kraftvärmeprod!$B$1:$VX$1,0),FALSE)/1,0)-IFERROR(VLOOKUP($B285,'Slutlig allokering kvv'!$B$2:$BX$550,MATCH(AD$2,'Slutlig allokering kvv'!$B$1:$BX$1,0),FALSE)/1,0))</f>
        <v/>
      </c>
      <c r="AE285" s="31" t="str">
        <f>IF($D285="","",IFERROR(VLOOKUP($B285,Miljö!$B$1:$E$550,MATCH("Hjälpel kraftvärme (GWh)",Miljö!$B$1:$E$1,0),FALSE)/1,0)-IFERROR(VLOOKUP($B285,'Slutlig allokering kvv'!$B$2:$BX$549,MATCH(AE$2,'Slutlig allokering kvv'!$B$1:$BX$1,0),FALSE)/1,0))</f>
        <v/>
      </c>
      <c r="AI285" s="39">
        <f t="shared" si="16"/>
        <v>0</v>
      </c>
      <c r="AK285" s="31">
        <f>IFERROR(VLOOKUP($B285,'Slutlig allokering kvv'!$B$2:$AX$549,MATCH("Summa slutlig allokerad tillförd energi (utan hjälpel och rökgaskondensering):",'Slutlig allokering kvv'!$B$1:$AX$1,0),FALSE)/1,"")</f>
        <v>0</v>
      </c>
      <c r="AM285" s="31" t="str">
        <f>IFERROR(1-VLOOKUP($B285,'Slutlig allokering kvv'!$B$2:$AX$549,MATCH("Andel av bränsle i kvv som allokerats till värme, exklusive rökgaskondensering och hjälpel",'Slutlig allokering kvv'!$B$1:$AX$1,0),FALSE),"")</f>
        <v/>
      </c>
      <c r="AO285" s="31" t="str">
        <f t="shared" si="17"/>
        <v/>
      </c>
      <c r="AP285" s="31" t="str">
        <f t="shared" si="18"/>
        <v/>
      </c>
      <c r="AR285" s="32" t="str">
        <f t="shared" si="19"/>
        <v/>
      </c>
    </row>
    <row r="286" spans="1:44" s="31" customFormat="1" x14ac:dyDescent="0.45">
      <c r="A286" s="31" t="s">
        <v>258</v>
      </c>
      <c r="B286" s="31" t="s">
        <v>261</v>
      </c>
      <c r="C286" s="31" t="str">
        <f>IFERROR(VLOOKUP($B286,Kraftvärmeprod!$B$1:$AH$479,MATCH(C$2,Kraftvärmeprod!$B$1:$AG$1,0),FALSE)/1,"")</f>
        <v/>
      </c>
      <c r="D286" s="31" t="str">
        <f>IFERROR(VLOOKUP($B286,Kraftvärmeprod!$B$1:$AH$479,MATCH(D$2,Kraftvärmeprod!$B$1:$AG$1,0),FALSE)/1,"")</f>
        <v/>
      </c>
      <c r="F286" s="31" t="str">
        <f>IF($D286="","",IFERROR(VLOOKUP($B286,Kraftvärmeprod!$B$1:$BX$550,MATCH(F$2,Kraftvärmeprod!$B$1:$VX$1,0),FALSE)/1,0)-IFERROR(VLOOKUP($B286,'Slutlig allokering kvv'!$B$2:$BX$550,MATCH(F$2,'Slutlig allokering kvv'!$B$1:$BX$1,0),FALSE)/1,0))</f>
        <v/>
      </c>
      <c r="G286" s="31" t="str">
        <f>IF($D286="","",IFERROR(VLOOKUP($B286,Kraftvärmeprod!$B$1:$BX$550,MATCH(G$2,Kraftvärmeprod!$B$1:$VX$1,0),FALSE)/1,0)-IFERROR(VLOOKUP($B286,'Slutlig allokering kvv'!$B$2:$BX$550,MATCH(G$2,'Slutlig allokering kvv'!$B$1:$BX$1,0),FALSE)/1,0))</f>
        <v/>
      </c>
      <c r="H286" s="31" t="str">
        <f>IF($D286="","",IFERROR(VLOOKUP($B286,Kraftvärmeprod!$B$1:$BX$550,MATCH(H$2,Kraftvärmeprod!$B$1:$VX$1,0),FALSE)/1,0)-IFERROR(VLOOKUP($B286,'Slutlig allokering kvv'!$B$2:$BX$550,MATCH(H$2,'Slutlig allokering kvv'!$B$1:$BX$1,0),FALSE)/1,0))</f>
        <v/>
      </c>
      <c r="I286" s="31" t="str">
        <f>IF($D286="","",IFERROR(VLOOKUP($B286,Kraftvärmeprod!$B$1:$BX$550,MATCH(I$2,Kraftvärmeprod!$B$1:$VX$1,0),FALSE)/1,0)-IFERROR(VLOOKUP($B286,'Slutlig allokering kvv'!$B$2:$BX$550,MATCH(I$2,'Slutlig allokering kvv'!$B$1:$BX$1,0),FALSE)/1,0))</f>
        <v/>
      </c>
      <c r="J286" s="31" t="str">
        <f>IF($D286="","",IFERROR(VLOOKUP($B286,Kraftvärmeprod!$B$1:$BX$550,MATCH(J$2,Kraftvärmeprod!$B$1:$VX$1,0),FALSE)/1,0)-IFERROR(VLOOKUP($B286,'Slutlig allokering kvv'!$B$2:$BX$550,MATCH(J$2,'Slutlig allokering kvv'!$B$1:$BX$1,0),FALSE)/1,0))</f>
        <v/>
      </c>
      <c r="K286" s="31" t="str">
        <f>IF($D286="","",IFERROR(VLOOKUP($B286,Kraftvärmeprod!$B$1:$BX$550,MATCH(K$2,Kraftvärmeprod!$B$1:$VX$1,0),FALSE)/1,0)-IFERROR(VLOOKUP($B286,'Slutlig allokering kvv'!$B$2:$BX$550,MATCH(K$2,'Slutlig allokering kvv'!$B$1:$BX$1,0),FALSE)/1,0))</f>
        <v/>
      </c>
      <c r="L286" s="31" t="str">
        <f>IF($D286="","",IFERROR(VLOOKUP($B286,Kraftvärmeprod!$B$1:$BX$550,MATCH(L$2,Kraftvärmeprod!$B$1:$VX$1,0),FALSE)/1,0)-IFERROR(VLOOKUP($B286,'Slutlig allokering kvv'!$B$2:$BX$550,MATCH(L$2,'Slutlig allokering kvv'!$B$1:$BX$1,0),FALSE)/1,0))</f>
        <v/>
      </c>
      <c r="M286" s="31" t="str">
        <f>IF($D286="","",IFERROR(VLOOKUP($B286,Kraftvärmeprod!$B$1:$BX$550,MATCH(M$2,Kraftvärmeprod!$B$1:$VX$1,0),FALSE)/1,0)-IFERROR(VLOOKUP($B286,'Slutlig allokering kvv'!$B$2:$BX$550,MATCH(M$2,'Slutlig allokering kvv'!$B$1:$BX$1,0),FALSE)/1,0))</f>
        <v/>
      </c>
      <c r="N286" s="31" t="str">
        <f>IF($D286="","",IFERROR(VLOOKUP($B286,Kraftvärmeprod!$B$1:$BX$550,MATCH(N$2,Kraftvärmeprod!$B$1:$VX$1,0),FALSE)/1,0)-IFERROR(VLOOKUP($B286,'Slutlig allokering kvv'!$B$2:$BX$550,MATCH(N$2,'Slutlig allokering kvv'!$B$1:$BX$1,0),FALSE)/1,0))</f>
        <v/>
      </c>
      <c r="O286" s="31" t="str">
        <f>IF($D286="","",IFERROR(VLOOKUP($B286,Kraftvärmeprod!$B$1:$BX$550,MATCH(O$2,Kraftvärmeprod!$B$1:$VX$1,0),FALSE)/1,0)-IFERROR(VLOOKUP($B286,'Slutlig allokering kvv'!$B$2:$BX$550,MATCH(O$2,'Slutlig allokering kvv'!$B$1:$BX$1,0),FALSE)/1,0))</f>
        <v/>
      </c>
      <c r="P286" s="31" t="str">
        <f>IF($D286="","",IFERROR(VLOOKUP($B286,Kraftvärmeprod!$B$1:$BX$550,MATCH(P$2,Kraftvärmeprod!$B$1:$VX$1,0),FALSE)/1,0)-IFERROR(VLOOKUP($B286,'Slutlig allokering kvv'!$B$2:$BX$550,MATCH(P$2,'Slutlig allokering kvv'!$B$1:$BX$1,0),FALSE)/1,0))</f>
        <v/>
      </c>
      <c r="Q286" s="31" t="str">
        <f>IF($D286="","",IFERROR(VLOOKUP($B286,Kraftvärmeprod!$B$1:$BX$550,MATCH(Q$2,Kraftvärmeprod!$B$1:$VX$1,0),FALSE)/1,0)-IFERROR(VLOOKUP($B286,'Slutlig allokering kvv'!$B$2:$BX$550,MATCH(Q$2,'Slutlig allokering kvv'!$B$1:$BX$1,0),FALSE)/1,0))</f>
        <v/>
      </c>
      <c r="R286" s="31" t="str">
        <f>IF($D286="","",IFERROR(VLOOKUP($B286,Kraftvärmeprod!$B$1:$BX$550,MATCH(R$2,Kraftvärmeprod!$B$1:$VX$1,0),FALSE)/1,0)-IFERROR(VLOOKUP($B286,'Slutlig allokering kvv'!$B$2:$BX$550,MATCH(R$2,'Slutlig allokering kvv'!$B$1:$BX$1,0),FALSE)/1,0))</f>
        <v/>
      </c>
      <c r="S286" s="31" t="str">
        <f>IF($D286="","",IFERROR(VLOOKUP($B286,Kraftvärmeprod!$B$1:$BX$550,MATCH(S$2,Kraftvärmeprod!$B$1:$VX$1,0),FALSE)/1,0)-IFERROR(VLOOKUP($B286,'Slutlig allokering kvv'!$B$2:$BX$550,MATCH(S$2,'Slutlig allokering kvv'!$B$1:$BX$1,0),FALSE)/1,0))</f>
        <v/>
      </c>
      <c r="T286" s="31" t="str">
        <f>IF($D286="","",IFERROR(VLOOKUP($B286,Kraftvärmeprod!$B$1:$BX$550,MATCH(T$2,Kraftvärmeprod!$B$1:$VX$1,0),FALSE)/1,0)-IFERROR(VLOOKUP($B286,'Slutlig allokering kvv'!$B$2:$BX$550,MATCH(T$2,'Slutlig allokering kvv'!$B$1:$BX$1,0),FALSE)/1,0))</f>
        <v/>
      </c>
      <c r="U286" s="31" t="str">
        <f>IF($D286="","",IFERROR(VLOOKUP($B286,Kraftvärmeprod!$B$1:$BX$550,MATCH(U$2,Kraftvärmeprod!$B$1:$VX$1,0),FALSE)/1,0)-IFERROR(VLOOKUP($B286,'Slutlig allokering kvv'!$B$2:$BX$550,MATCH(U$2,'Slutlig allokering kvv'!$B$1:$BX$1,0),FALSE)/1,0))</f>
        <v/>
      </c>
      <c r="V286" s="31" t="str">
        <f>IF($D286="","",IFERROR(VLOOKUP($B286,Kraftvärmeprod!$B$1:$BX$550,MATCH(V$2,Kraftvärmeprod!$B$1:$VX$1,0),FALSE)/1,0)-IFERROR(VLOOKUP($B286,'Slutlig allokering kvv'!$B$2:$BX$550,MATCH(V$2,'Slutlig allokering kvv'!$B$1:$BX$1,0),FALSE)/1,0))</f>
        <v/>
      </c>
      <c r="W286" s="31" t="str">
        <f>IF($D286="","",IFERROR(VLOOKUP($B286,Kraftvärmeprod!$B$1:$BX$550,MATCH(W$2,Kraftvärmeprod!$B$1:$VX$1,0),FALSE)/1,0)-IFERROR(VLOOKUP($B286,'Slutlig allokering kvv'!$B$2:$BX$550,MATCH(W$2,'Slutlig allokering kvv'!$B$1:$BX$1,0),FALSE)/1,0))</f>
        <v/>
      </c>
      <c r="X286" s="31" t="str">
        <f>IF($D286="","",IFERROR(VLOOKUP($B286,Kraftvärmeprod!$B$1:$BX$550,MATCH(X$2,Kraftvärmeprod!$B$1:$VX$1,0),FALSE)/1,0)-IFERROR(VLOOKUP($B286,'Slutlig allokering kvv'!$B$2:$BX$550,MATCH(X$2,'Slutlig allokering kvv'!$B$1:$BX$1,0),FALSE)/1,0))</f>
        <v/>
      </c>
      <c r="Y286" s="31" t="str">
        <f>IF($D286="","",IFERROR(VLOOKUP($B286,Kraftvärmeprod!$B$1:$BX$550,MATCH(Y$2,Kraftvärmeprod!$B$1:$VX$1,0),FALSE)/1,0)-IFERROR(VLOOKUP($B286,'Slutlig allokering kvv'!$B$2:$BX$550,MATCH(Y$2,'Slutlig allokering kvv'!$B$1:$BX$1,0),FALSE)/1,0))</f>
        <v/>
      </c>
      <c r="Z286" s="31" t="str">
        <f>IF($D286="","",IFERROR(VLOOKUP($B286,Kraftvärmeprod!$B$1:$BX$550,MATCH(Z$2,Kraftvärmeprod!$B$1:$VX$1,0),FALSE)/1,0)-IFERROR(VLOOKUP($B286,'Slutlig allokering kvv'!$B$2:$BX$550,MATCH(Z$2,'Slutlig allokering kvv'!$B$1:$BX$1,0),FALSE)/1,0))</f>
        <v/>
      </c>
      <c r="AA286" s="31" t="str">
        <f>IF($D286="","",IFERROR(VLOOKUP($B286,Kraftvärmeprod!$B$1:$BX$550,MATCH(AA$2,Kraftvärmeprod!$B$1:$VX$1,0),FALSE)/1,0)-IFERROR(VLOOKUP($B286,'Slutlig allokering kvv'!$B$2:$BX$550,MATCH(AA$2,'Slutlig allokering kvv'!$B$1:$BX$1,0),FALSE)/1,0))</f>
        <v/>
      </c>
      <c r="AB286" s="31" t="str">
        <f>IF($D286="","",IFERROR(VLOOKUP($B286,Kraftvärmeprod!$B$1:$BX$550,MATCH(AB$2,Kraftvärmeprod!$B$1:$VX$1,0),FALSE)/1,0)-IFERROR(VLOOKUP($B286,'Slutlig allokering kvv'!$B$2:$BX$550,MATCH(AB$2,'Slutlig allokering kvv'!$B$1:$BX$1,0),FALSE)/1,0))</f>
        <v/>
      </c>
      <c r="AC286" s="31" t="str">
        <f>IF($D286="","",IFERROR(VLOOKUP($B286,Kraftvärmeprod!$B$1:$BX$550,MATCH(AC$2,Kraftvärmeprod!$B$1:$VX$1,0),FALSE)/1,0)-IFERROR(VLOOKUP($B286,'Slutlig allokering kvv'!$B$2:$BX$550,MATCH(AC$2,'Slutlig allokering kvv'!$B$1:$BX$1,0),FALSE)/1,0))</f>
        <v/>
      </c>
      <c r="AD286" s="31" t="str">
        <f>IF($D286="","",IFERROR(VLOOKUP($B286,Kraftvärmeprod!$B$1:$BX$550,MATCH(AD$2,Kraftvärmeprod!$B$1:$VX$1,0),FALSE)/1,0)-IFERROR(VLOOKUP($B286,'Slutlig allokering kvv'!$B$2:$BX$550,MATCH(AD$2,'Slutlig allokering kvv'!$B$1:$BX$1,0),FALSE)/1,0))</f>
        <v/>
      </c>
      <c r="AE286" s="31" t="str">
        <f>IF($D286="","",IFERROR(VLOOKUP($B286,Miljö!$B$1:$E$550,MATCH("Hjälpel kraftvärme (GWh)",Miljö!$B$1:$E$1,0),FALSE)/1,0)-IFERROR(VLOOKUP($B286,'Slutlig allokering kvv'!$B$2:$BX$549,MATCH(AE$2,'Slutlig allokering kvv'!$B$1:$BX$1,0),FALSE)/1,0))</f>
        <v/>
      </c>
      <c r="AI286" s="39">
        <f t="shared" si="16"/>
        <v>0</v>
      </c>
      <c r="AK286" s="31">
        <f>IFERROR(VLOOKUP($B286,'Slutlig allokering kvv'!$B$2:$AX$549,MATCH("Summa slutlig allokerad tillförd energi (utan hjälpel och rökgaskondensering):",'Slutlig allokering kvv'!$B$1:$AX$1,0),FALSE)/1,"")</f>
        <v>0</v>
      </c>
      <c r="AM286" s="31" t="str">
        <f>IFERROR(1-VLOOKUP($B286,'Slutlig allokering kvv'!$B$2:$AX$549,MATCH("Andel av bränsle i kvv som allokerats till värme, exklusive rökgaskondensering och hjälpel",'Slutlig allokering kvv'!$B$1:$AX$1,0),FALSE),"")</f>
        <v/>
      </c>
      <c r="AO286" s="31" t="str">
        <f t="shared" si="17"/>
        <v/>
      </c>
      <c r="AP286" s="31" t="str">
        <f t="shared" si="18"/>
        <v/>
      </c>
      <c r="AR286" s="32" t="str">
        <f t="shared" si="19"/>
        <v/>
      </c>
    </row>
    <row r="287" spans="1:44" s="31" customFormat="1" x14ac:dyDescent="0.45">
      <c r="A287" s="31" t="s">
        <v>258</v>
      </c>
      <c r="B287" s="31" t="s">
        <v>260</v>
      </c>
      <c r="C287" s="31" t="str">
        <f>IFERROR(VLOOKUP($B287,Kraftvärmeprod!$B$1:$AH$479,MATCH(C$2,Kraftvärmeprod!$B$1:$AG$1,0),FALSE)/1,"")</f>
        <v/>
      </c>
      <c r="D287" s="31" t="str">
        <f>IFERROR(VLOOKUP($B287,Kraftvärmeprod!$B$1:$AH$479,MATCH(D$2,Kraftvärmeprod!$B$1:$AG$1,0),FALSE)/1,"")</f>
        <v/>
      </c>
      <c r="F287" s="31" t="str">
        <f>IF($D287="","",IFERROR(VLOOKUP($B287,Kraftvärmeprod!$B$1:$BX$550,MATCH(F$2,Kraftvärmeprod!$B$1:$VX$1,0),FALSE)/1,0)-IFERROR(VLOOKUP($B287,'Slutlig allokering kvv'!$B$2:$BX$550,MATCH(F$2,'Slutlig allokering kvv'!$B$1:$BX$1,0),FALSE)/1,0))</f>
        <v/>
      </c>
      <c r="G287" s="31" t="str">
        <f>IF($D287="","",IFERROR(VLOOKUP($B287,Kraftvärmeprod!$B$1:$BX$550,MATCH(G$2,Kraftvärmeprod!$B$1:$VX$1,0),FALSE)/1,0)-IFERROR(VLOOKUP($B287,'Slutlig allokering kvv'!$B$2:$BX$550,MATCH(G$2,'Slutlig allokering kvv'!$B$1:$BX$1,0),FALSE)/1,0))</f>
        <v/>
      </c>
      <c r="H287" s="31" t="str">
        <f>IF($D287="","",IFERROR(VLOOKUP($B287,Kraftvärmeprod!$B$1:$BX$550,MATCH(H$2,Kraftvärmeprod!$B$1:$VX$1,0),FALSE)/1,0)-IFERROR(VLOOKUP($B287,'Slutlig allokering kvv'!$B$2:$BX$550,MATCH(H$2,'Slutlig allokering kvv'!$B$1:$BX$1,0),FALSE)/1,0))</f>
        <v/>
      </c>
      <c r="I287" s="31" t="str">
        <f>IF($D287="","",IFERROR(VLOOKUP($B287,Kraftvärmeprod!$B$1:$BX$550,MATCH(I$2,Kraftvärmeprod!$B$1:$VX$1,0),FALSE)/1,0)-IFERROR(VLOOKUP($B287,'Slutlig allokering kvv'!$B$2:$BX$550,MATCH(I$2,'Slutlig allokering kvv'!$B$1:$BX$1,0),FALSE)/1,0))</f>
        <v/>
      </c>
      <c r="J287" s="31" t="str">
        <f>IF($D287="","",IFERROR(VLOOKUP($B287,Kraftvärmeprod!$B$1:$BX$550,MATCH(J$2,Kraftvärmeprod!$B$1:$VX$1,0),FALSE)/1,0)-IFERROR(VLOOKUP($B287,'Slutlig allokering kvv'!$B$2:$BX$550,MATCH(J$2,'Slutlig allokering kvv'!$B$1:$BX$1,0),FALSE)/1,0))</f>
        <v/>
      </c>
      <c r="K287" s="31" t="str">
        <f>IF($D287="","",IFERROR(VLOOKUP($B287,Kraftvärmeprod!$B$1:$BX$550,MATCH(K$2,Kraftvärmeprod!$B$1:$VX$1,0),FALSE)/1,0)-IFERROR(VLOOKUP($B287,'Slutlig allokering kvv'!$B$2:$BX$550,MATCH(K$2,'Slutlig allokering kvv'!$B$1:$BX$1,0),FALSE)/1,0))</f>
        <v/>
      </c>
      <c r="L287" s="31" t="str">
        <f>IF($D287="","",IFERROR(VLOOKUP($B287,Kraftvärmeprod!$B$1:$BX$550,MATCH(L$2,Kraftvärmeprod!$B$1:$VX$1,0),FALSE)/1,0)-IFERROR(VLOOKUP($B287,'Slutlig allokering kvv'!$B$2:$BX$550,MATCH(L$2,'Slutlig allokering kvv'!$B$1:$BX$1,0),FALSE)/1,0))</f>
        <v/>
      </c>
      <c r="M287" s="31" t="str">
        <f>IF($D287="","",IFERROR(VLOOKUP($B287,Kraftvärmeprod!$B$1:$BX$550,MATCH(M$2,Kraftvärmeprod!$B$1:$VX$1,0),FALSE)/1,0)-IFERROR(VLOOKUP($B287,'Slutlig allokering kvv'!$B$2:$BX$550,MATCH(M$2,'Slutlig allokering kvv'!$B$1:$BX$1,0),FALSE)/1,0))</f>
        <v/>
      </c>
      <c r="N287" s="31" t="str">
        <f>IF($D287="","",IFERROR(VLOOKUP($B287,Kraftvärmeprod!$B$1:$BX$550,MATCH(N$2,Kraftvärmeprod!$B$1:$VX$1,0),FALSE)/1,0)-IFERROR(VLOOKUP($B287,'Slutlig allokering kvv'!$B$2:$BX$550,MATCH(N$2,'Slutlig allokering kvv'!$B$1:$BX$1,0),FALSE)/1,0))</f>
        <v/>
      </c>
      <c r="O287" s="31" t="str">
        <f>IF($D287="","",IFERROR(VLOOKUP($B287,Kraftvärmeprod!$B$1:$BX$550,MATCH(O$2,Kraftvärmeprod!$B$1:$VX$1,0),FALSE)/1,0)-IFERROR(VLOOKUP($B287,'Slutlig allokering kvv'!$B$2:$BX$550,MATCH(O$2,'Slutlig allokering kvv'!$B$1:$BX$1,0),FALSE)/1,0))</f>
        <v/>
      </c>
      <c r="P287" s="31" t="str">
        <f>IF($D287="","",IFERROR(VLOOKUP($B287,Kraftvärmeprod!$B$1:$BX$550,MATCH(P$2,Kraftvärmeprod!$B$1:$VX$1,0),FALSE)/1,0)-IFERROR(VLOOKUP($B287,'Slutlig allokering kvv'!$B$2:$BX$550,MATCH(P$2,'Slutlig allokering kvv'!$B$1:$BX$1,0),FALSE)/1,0))</f>
        <v/>
      </c>
      <c r="Q287" s="31" t="str">
        <f>IF($D287="","",IFERROR(VLOOKUP($B287,Kraftvärmeprod!$B$1:$BX$550,MATCH(Q$2,Kraftvärmeprod!$B$1:$VX$1,0),FALSE)/1,0)-IFERROR(VLOOKUP($B287,'Slutlig allokering kvv'!$B$2:$BX$550,MATCH(Q$2,'Slutlig allokering kvv'!$B$1:$BX$1,0),FALSE)/1,0))</f>
        <v/>
      </c>
      <c r="R287" s="31" t="str">
        <f>IF($D287="","",IFERROR(VLOOKUP($B287,Kraftvärmeprod!$B$1:$BX$550,MATCH(R$2,Kraftvärmeprod!$B$1:$VX$1,0),FALSE)/1,0)-IFERROR(VLOOKUP($B287,'Slutlig allokering kvv'!$B$2:$BX$550,MATCH(R$2,'Slutlig allokering kvv'!$B$1:$BX$1,0),FALSE)/1,0))</f>
        <v/>
      </c>
      <c r="S287" s="31" t="str">
        <f>IF($D287="","",IFERROR(VLOOKUP($B287,Kraftvärmeprod!$B$1:$BX$550,MATCH(S$2,Kraftvärmeprod!$B$1:$VX$1,0),FALSE)/1,0)-IFERROR(VLOOKUP($B287,'Slutlig allokering kvv'!$B$2:$BX$550,MATCH(S$2,'Slutlig allokering kvv'!$B$1:$BX$1,0),FALSE)/1,0))</f>
        <v/>
      </c>
      <c r="T287" s="31" t="str">
        <f>IF($D287="","",IFERROR(VLOOKUP($B287,Kraftvärmeprod!$B$1:$BX$550,MATCH(T$2,Kraftvärmeprod!$B$1:$VX$1,0),FALSE)/1,0)-IFERROR(VLOOKUP($B287,'Slutlig allokering kvv'!$B$2:$BX$550,MATCH(T$2,'Slutlig allokering kvv'!$B$1:$BX$1,0),FALSE)/1,0))</f>
        <v/>
      </c>
      <c r="U287" s="31" t="str">
        <f>IF($D287="","",IFERROR(VLOOKUP($B287,Kraftvärmeprod!$B$1:$BX$550,MATCH(U$2,Kraftvärmeprod!$B$1:$VX$1,0),FALSE)/1,0)-IFERROR(VLOOKUP($B287,'Slutlig allokering kvv'!$B$2:$BX$550,MATCH(U$2,'Slutlig allokering kvv'!$B$1:$BX$1,0),FALSE)/1,0))</f>
        <v/>
      </c>
      <c r="V287" s="31" t="str">
        <f>IF($D287="","",IFERROR(VLOOKUP($B287,Kraftvärmeprod!$B$1:$BX$550,MATCH(V$2,Kraftvärmeprod!$B$1:$VX$1,0),FALSE)/1,0)-IFERROR(VLOOKUP($B287,'Slutlig allokering kvv'!$B$2:$BX$550,MATCH(V$2,'Slutlig allokering kvv'!$B$1:$BX$1,0),FALSE)/1,0))</f>
        <v/>
      </c>
      <c r="W287" s="31" t="str">
        <f>IF($D287="","",IFERROR(VLOOKUP($B287,Kraftvärmeprod!$B$1:$BX$550,MATCH(W$2,Kraftvärmeprod!$B$1:$VX$1,0),FALSE)/1,0)-IFERROR(VLOOKUP($B287,'Slutlig allokering kvv'!$B$2:$BX$550,MATCH(W$2,'Slutlig allokering kvv'!$B$1:$BX$1,0),FALSE)/1,0))</f>
        <v/>
      </c>
      <c r="X287" s="31" t="str">
        <f>IF($D287="","",IFERROR(VLOOKUP($B287,Kraftvärmeprod!$B$1:$BX$550,MATCH(X$2,Kraftvärmeprod!$B$1:$VX$1,0),FALSE)/1,0)-IFERROR(VLOOKUP($B287,'Slutlig allokering kvv'!$B$2:$BX$550,MATCH(X$2,'Slutlig allokering kvv'!$B$1:$BX$1,0),FALSE)/1,0))</f>
        <v/>
      </c>
      <c r="Y287" s="31" t="str">
        <f>IF($D287="","",IFERROR(VLOOKUP($B287,Kraftvärmeprod!$B$1:$BX$550,MATCH(Y$2,Kraftvärmeprod!$B$1:$VX$1,0),FALSE)/1,0)-IFERROR(VLOOKUP($B287,'Slutlig allokering kvv'!$B$2:$BX$550,MATCH(Y$2,'Slutlig allokering kvv'!$B$1:$BX$1,0),FALSE)/1,0))</f>
        <v/>
      </c>
      <c r="Z287" s="31" t="str">
        <f>IF($D287="","",IFERROR(VLOOKUP($B287,Kraftvärmeprod!$B$1:$BX$550,MATCH(Z$2,Kraftvärmeprod!$B$1:$VX$1,0),FALSE)/1,0)-IFERROR(VLOOKUP($B287,'Slutlig allokering kvv'!$B$2:$BX$550,MATCH(Z$2,'Slutlig allokering kvv'!$B$1:$BX$1,0),FALSE)/1,0))</f>
        <v/>
      </c>
      <c r="AA287" s="31" t="str">
        <f>IF($D287="","",IFERROR(VLOOKUP($B287,Kraftvärmeprod!$B$1:$BX$550,MATCH(AA$2,Kraftvärmeprod!$B$1:$VX$1,0),FALSE)/1,0)-IFERROR(VLOOKUP($B287,'Slutlig allokering kvv'!$B$2:$BX$550,MATCH(AA$2,'Slutlig allokering kvv'!$B$1:$BX$1,0),FALSE)/1,0))</f>
        <v/>
      </c>
      <c r="AB287" s="31" t="str">
        <f>IF($D287="","",IFERROR(VLOOKUP($B287,Kraftvärmeprod!$B$1:$BX$550,MATCH(AB$2,Kraftvärmeprod!$B$1:$VX$1,0),FALSE)/1,0)-IFERROR(VLOOKUP($B287,'Slutlig allokering kvv'!$B$2:$BX$550,MATCH(AB$2,'Slutlig allokering kvv'!$B$1:$BX$1,0),FALSE)/1,0))</f>
        <v/>
      </c>
      <c r="AC287" s="31" t="str">
        <f>IF($D287="","",IFERROR(VLOOKUP($B287,Kraftvärmeprod!$B$1:$BX$550,MATCH(AC$2,Kraftvärmeprod!$B$1:$VX$1,0),FALSE)/1,0)-IFERROR(VLOOKUP($B287,'Slutlig allokering kvv'!$B$2:$BX$550,MATCH(AC$2,'Slutlig allokering kvv'!$B$1:$BX$1,0),FALSE)/1,0))</f>
        <v/>
      </c>
      <c r="AD287" s="31" t="str">
        <f>IF($D287="","",IFERROR(VLOOKUP($B287,Kraftvärmeprod!$B$1:$BX$550,MATCH(AD$2,Kraftvärmeprod!$B$1:$VX$1,0),FALSE)/1,0)-IFERROR(VLOOKUP($B287,'Slutlig allokering kvv'!$B$2:$BX$550,MATCH(AD$2,'Slutlig allokering kvv'!$B$1:$BX$1,0),FALSE)/1,0))</f>
        <v/>
      </c>
      <c r="AE287" s="31" t="str">
        <f>IF($D287="","",IFERROR(VLOOKUP($B287,Miljö!$B$1:$E$550,MATCH("Hjälpel kraftvärme (GWh)",Miljö!$B$1:$E$1,0),FALSE)/1,0)-IFERROR(VLOOKUP($B287,'Slutlig allokering kvv'!$B$2:$BX$549,MATCH(AE$2,'Slutlig allokering kvv'!$B$1:$BX$1,0),FALSE)/1,0))</f>
        <v/>
      </c>
      <c r="AI287" s="39">
        <f t="shared" si="16"/>
        <v>0</v>
      </c>
      <c r="AK287" s="31">
        <f>IFERROR(VLOOKUP($B287,'Slutlig allokering kvv'!$B$2:$AX$549,MATCH("Summa slutlig allokerad tillförd energi (utan hjälpel och rökgaskondensering):",'Slutlig allokering kvv'!$B$1:$AX$1,0),FALSE)/1,"")</f>
        <v>0</v>
      </c>
      <c r="AM287" s="31" t="str">
        <f>IFERROR(1-VLOOKUP($B287,'Slutlig allokering kvv'!$B$2:$AX$549,MATCH("Andel av bränsle i kvv som allokerats till värme, exklusive rökgaskondensering och hjälpel",'Slutlig allokering kvv'!$B$1:$AX$1,0),FALSE),"")</f>
        <v/>
      </c>
      <c r="AO287" s="31" t="str">
        <f t="shared" si="17"/>
        <v/>
      </c>
      <c r="AP287" s="31" t="str">
        <f t="shared" si="18"/>
        <v/>
      </c>
      <c r="AR287" s="32" t="str">
        <f t="shared" si="19"/>
        <v/>
      </c>
    </row>
    <row r="288" spans="1:44" s="31" customFormat="1" x14ac:dyDescent="0.45">
      <c r="A288" s="31" t="s">
        <v>258</v>
      </c>
      <c r="B288" s="31" t="s">
        <v>259</v>
      </c>
      <c r="C288" s="31" t="str">
        <f>IFERROR(VLOOKUP($B288,Kraftvärmeprod!$B$1:$AH$479,MATCH(C$2,Kraftvärmeprod!$B$1:$AG$1,0),FALSE)/1,"")</f>
        <v/>
      </c>
      <c r="D288" s="31" t="str">
        <f>IFERROR(VLOOKUP($B288,Kraftvärmeprod!$B$1:$AH$479,MATCH(D$2,Kraftvärmeprod!$B$1:$AG$1,0),FALSE)/1,"")</f>
        <v/>
      </c>
      <c r="F288" s="31" t="str">
        <f>IF($D288="","",IFERROR(VLOOKUP($B288,Kraftvärmeprod!$B$1:$BX$550,MATCH(F$2,Kraftvärmeprod!$B$1:$VX$1,0),FALSE)/1,0)-IFERROR(VLOOKUP($B288,'Slutlig allokering kvv'!$B$2:$BX$550,MATCH(F$2,'Slutlig allokering kvv'!$B$1:$BX$1,0),FALSE)/1,0))</f>
        <v/>
      </c>
      <c r="G288" s="31" t="str">
        <f>IF($D288="","",IFERROR(VLOOKUP($B288,Kraftvärmeprod!$B$1:$BX$550,MATCH(G$2,Kraftvärmeprod!$B$1:$VX$1,0),FALSE)/1,0)-IFERROR(VLOOKUP($B288,'Slutlig allokering kvv'!$B$2:$BX$550,MATCH(G$2,'Slutlig allokering kvv'!$B$1:$BX$1,0),FALSE)/1,0))</f>
        <v/>
      </c>
      <c r="H288" s="31" t="str">
        <f>IF($D288="","",IFERROR(VLOOKUP($B288,Kraftvärmeprod!$B$1:$BX$550,MATCH(H$2,Kraftvärmeprod!$B$1:$VX$1,0),FALSE)/1,0)-IFERROR(VLOOKUP($B288,'Slutlig allokering kvv'!$B$2:$BX$550,MATCH(H$2,'Slutlig allokering kvv'!$B$1:$BX$1,0),FALSE)/1,0))</f>
        <v/>
      </c>
      <c r="I288" s="31" t="str">
        <f>IF($D288="","",IFERROR(VLOOKUP($B288,Kraftvärmeprod!$B$1:$BX$550,MATCH(I$2,Kraftvärmeprod!$B$1:$VX$1,0),FALSE)/1,0)-IFERROR(VLOOKUP($B288,'Slutlig allokering kvv'!$B$2:$BX$550,MATCH(I$2,'Slutlig allokering kvv'!$B$1:$BX$1,0),FALSE)/1,0))</f>
        <v/>
      </c>
      <c r="J288" s="31" t="str">
        <f>IF($D288="","",IFERROR(VLOOKUP($B288,Kraftvärmeprod!$B$1:$BX$550,MATCH(J$2,Kraftvärmeprod!$B$1:$VX$1,0),FALSE)/1,0)-IFERROR(VLOOKUP($B288,'Slutlig allokering kvv'!$B$2:$BX$550,MATCH(J$2,'Slutlig allokering kvv'!$B$1:$BX$1,0),FALSE)/1,0))</f>
        <v/>
      </c>
      <c r="K288" s="31" t="str">
        <f>IF($D288="","",IFERROR(VLOOKUP($B288,Kraftvärmeprod!$B$1:$BX$550,MATCH(K$2,Kraftvärmeprod!$B$1:$VX$1,0),FALSE)/1,0)-IFERROR(VLOOKUP($B288,'Slutlig allokering kvv'!$B$2:$BX$550,MATCH(K$2,'Slutlig allokering kvv'!$B$1:$BX$1,0),FALSE)/1,0))</f>
        <v/>
      </c>
      <c r="L288" s="31" t="str">
        <f>IF($D288="","",IFERROR(VLOOKUP($B288,Kraftvärmeprod!$B$1:$BX$550,MATCH(L$2,Kraftvärmeprod!$B$1:$VX$1,0),FALSE)/1,0)-IFERROR(VLOOKUP($B288,'Slutlig allokering kvv'!$B$2:$BX$550,MATCH(L$2,'Slutlig allokering kvv'!$B$1:$BX$1,0),FALSE)/1,0))</f>
        <v/>
      </c>
      <c r="M288" s="31" t="str">
        <f>IF($D288="","",IFERROR(VLOOKUP($B288,Kraftvärmeprod!$B$1:$BX$550,MATCH(M$2,Kraftvärmeprod!$B$1:$VX$1,0),FALSE)/1,0)-IFERROR(VLOOKUP($B288,'Slutlig allokering kvv'!$B$2:$BX$550,MATCH(M$2,'Slutlig allokering kvv'!$B$1:$BX$1,0),FALSE)/1,0))</f>
        <v/>
      </c>
      <c r="N288" s="31" t="str">
        <f>IF($D288="","",IFERROR(VLOOKUP($B288,Kraftvärmeprod!$B$1:$BX$550,MATCH(N$2,Kraftvärmeprod!$B$1:$VX$1,0),FALSE)/1,0)-IFERROR(VLOOKUP($B288,'Slutlig allokering kvv'!$B$2:$BX$550,MATCH(N$2,'Slutlig allokering kvv'!$B$1:$BX$1,0),FALSE)/1,0))</f>
        <v/>
      </c>
      <c r="O288" s="31" t="str">
        <f>IF($D288="","",IFERROR(VLOOKUP($B288,Kraftvärmeprod!$B$1:$BX$550,MATCH(O$2,Kraftvärmeprod!$B$1:$VX$1,0),FALSE)/1,0)-IFERROR(VLOOKUP($B288,'Slutlig allokering kvv'!$B$2:$BX$550,MATCH(O$2,'Slutlig allokering kvv'!$B$1:$BX$1,0),FALSE)/1,0))</f>
        <v/>
      </c>
      <c r="P288" s="31" t="str">
        <f>IF($D288="","",IFERROR(VLOOKUP($B288,Kraftvärmeprod!$B$1:$BX$550,MATCH(P$2,Kraftvärmeprod!$B$1:$VX$1,0),FALSE)/1,0)-IFERROR(VLOOKUP($B288,'Slutlig allokering kvv'!$B$2:$BX$550,MATCH(P$2,'Slutlig allokering kvv'!$B$1:$BX$1,0),FALSE)/1,0))</f>
        <v/>
      </c>
      <c r="Q288" s="31" t="str">
        <f>IF($D288="","",IFERROR(VLOOKUP($B288,Kraftvärmeprod!$B$1:$BX$550,MATCH(Q$2,Kraftvärmeprod!$B$1:$VX$1,0),FALSE)/1,0)-IFERROR(VLOOKUP($B288,'Slutlig allokering kvv'!$B$2:$BX$550,MATCH(Q$2,'Slutlig allokering kvv'!$B$1:$BX$1,0),FALSE)/1,0))</f>
        <v/>
      </c>
      <c r="R288" s="31" t="str">
        <f>IF($D288="","",IFERROR(VLOOKUP($B288,Kraftvärmeprod!$B$1:$BX$550,MATCH(R$2,Kraftvärmeprod!$B$1:$VX$1,0),FALSE)/1,0)-IFERROR(VLOOKUP($B288,'Slutlig allokering kvv'!$B$2:$BX$550,MATCH(R$2,'Slutlig allokering kvv'!$B$1:$BX$1,0),FALSE)/1,0))</f>
        <v/>
      </c>
      <c r="S288" s="31" t="str">
        <f>IF($D288="","",IFERROR(VLOOKUP($B288,Kraftvärmeprod!$B$1:$BX$550,MATCH(S$2,Kraftvärmeprod!$B$1:$VX$1,0),FALSE)/1,0)-IFERROR(VLOOKUP($B288,'Slutlig allokering kvv'!$B$2:$BX$550,MATCH(S$2,'Slutlig allokering kvv'!$B$1:$BX$1,0),FALSE)/1,0))</f>
        <v/>
      </c>
      <c r="T288" s="31" t="str">
        <f>IF($D288="","",IFERROR(VLOOKUP($B288,Kraftvärmeprod!$B$1:$BX$550,MATCH(T$2,Kraftvärmeprod!$B$1:$VX$1,0),FALSE)/1,0)-IFERROR(VLOOKUP($B288,'Slutlig allokering kvv'!$B$2:$BX$550,MATCH(T$2,'Slutlig allokering kvv'!$B$1:$BX$1,0),FALSE)/1,0))</f>
        <v/>
      </c>
      <c r="U288" s="31" t="str">
        <f>IF($D288="","",IFERROR(VLOOKUP($B288,Kraftvärmeprod!$B$1:$BX$550,MATCH(U$2,Kraftvärmeprod!$B$1:$VX$1,0),FALSE)/1,0)-IFERROR(VLOOKUP($B288,'Slutlig allokering kvv'!$B$2:$BX$550,MATCH(U$2,'Slutlig allokering kvv'!$B$1:$BX$1,0),FALSE)/1,0))</f>
        <v/>
      </c>
      <c r="V288" s="31" t="str">
        <f>IF($D288="","",IFERROR(VLOOKUP($B288,Kraftvärmeprod!$B$1:$BX$550,MATCH(V$2,Kraftvärmeprod!$B$1:$VX$1,0),FALSE)/1,0)-IFERROR(VLOOKUP($B288,'Slutlig allokering kvv'!$B$2:$BX$550,MATCH(V$2,'Slutlig allokering kvv'!$B$1:$BX$1,0),FALSE)/1,0))</f>
        <v/>
      </c>
      <c r="W288" s="31" t="str">
        <f>IF($D288="","",IFERROR(VLOOKUP($B288,Kraftvärmeprod!$B$1:$BX$550,MATCH(W$2,Kraftvärmeprod!$B$1:$VX$1,0),FALSE)/1,0)-IFERROR(VLOOKUP($B288,'Slutlig allokering kvv'!$B$2:$BX$550,MATCH(W$2,'Slutlig allokering kvv'!$B$1:$BX$1,0),FALSE)/1,0))</f>
        <v/>
      </c>
      <c r="X288" s="31" t="str">
        <f>IF($D288="","",IFERROR(VLOOKUP($B288,Kraftvärmeprod!$B$1:$BX$550,MATCH(X$2,Kraftvärmeprod!$B$1:$VX$1,0),FALSE)/1,0)-IFERROR(VLOOKUP($B288,'Slutlig allokering kvv'!$B$2:$BX$550,MATCH(X$2,'Slutlig allokering kvv'!$B$1:$BX$1,0),FALSE)/1,0))</f>
        <v/>
      </c>
      <c r="Y288" s="31" t="str">
        <f>IF($D288="","",IFERROR(VLOOKUP($B288,Kraftvärmeprod!$B$1:$BX$550,MATCH(Y$2,Kraftvärmeprod!$B$1:$VX$1,0),FALSE)/1,0)-IFERROR(VLOOKUP($B288,'Slutlig allokering kvv'!$B$2:$BX$550,MATCH(Y$2,'Slutlig allokering kvv'!$B$1:$BX$1,0),FALSE)/1,0))</f>
        <v/>
      </c>
      <c r="Z288" s="31" t="str">
        <f>IF($D288="","",IFERROR(VLOOKUP($B288,Kraftvärmeprod!$B$1:$BX$550,MATCH(Z$2,Kraftvärmeprod!$B$1:$VX$1,0),FALSE)/1,0)-IFERROR(VLOOKUP($B288,'Slutlig allokering kvv'!$B$2:$BX$550,MATCH(Z$2,'Slutlig allokering kvv'!$B$1:$BX$1,0),FALSE)/1,0))</f>
        <v/>
      </c>
      <c r="AA288" s="31" t="str">
        <f>IF($D288="","",IFERROR(VLOOKUP($B288,Kraftvärmeprod!$B$1:$BX$550,MATCH(AA$2,Kraftvärmeprod!$B$1:$VX$1,0),FALSE)/1,0)-IFERROR(VLOOKUP($B288,'Slutlig allokering kvv'!$B$2:$BX$550,MATCH(AA$2,'Slutlig allokering kvv'!$B$1:$BX$1,0),FALSE)/1,0))</f>
        <v/>
      </c>
      <c r="AB288" s="31" t="str">
        <f>IF($D288="","",IFERROR(VLOOKUP($B288,Kraftvärmeprod!$B$1:$BX$550,MATCH(AB$2,Kraftvärmeprod!$B$1:$VX$1,0),FALSE)/1,0)-IFERROR(VLOOKUP($B288,'Slutlig allokering kvv'!$B$2:$BX$550,MATCH(AB$2,'Slutlig allokering kvv'!$B$1:$BX$1,0),FALSE)/1,0))</f>
        <v/>
      </c>
      <c r="AC288" s="31" t="str">
        <f>IF($D288="","",IFERROR(VLOOKUP($B288,Kraftvärmeprod!$B$1:$BX$550,MATCH(AC$2,Kraftvärmeprod!$B$1:$VX$1,0),FALSE)/1,0)-IFERROR(VLOOKUP($B288,'Slutlig allokering kvv'!$B$2:$BX$550,MATCH(AC$2,'Slutlig allokering kvv'!$B$1:$BX$1,0),FALSE)/1,0))</f>
        <v/>
      </c>
      <c r="AD288" s="31" t="str">
        <f>IF($D288="","",IFERROR(VLOOKUP($B288,Kraftvärmeprod!$B$1:$BX$550,MATCH(AD$2,Kraftvärmeprod!$B$1:$VX$1,0),FALSE)/1,0)-IFERROR(VLOOKUP($B288,'Slutlig allokering kvv'!$B$2:$BX$550,MATCH(AD$2,'Slutlig allokering kvv'!$B$1:$BX$1,0),FALSE)/1,0))</f>
        <v/>
      </c>
      <c r="AE288" s="31" t="str">
        <f>IF($D288="","",IFERROR(VLOOKUP($B288,Miljö!$B$1:$E$550,MATCH("Hjälpel kraftvärme (GWh)",Miljö!$B$1:$E$1,0),FALSE)/1,0)-IFERROR(VLOOKUP($B288,'Slutlig allokering kvv'!$B$2:$BX$549,MATCH(AE$2,'Slutlig allokering kvv'!$B$1:$BX$1,0),FALSE)/1,0))</f>
        <v/>
      </c>
      <c r="AI288" s="39">
        <f t="shared" si="16"/>
        <v>0</v>
      </c>
      <c r="AK288" s="31">
        <f>IFERROR(VLOOKUP($B288,'Slutlig allokering kvv'!$B$2:$AX$549,MATCH("Summa slutlig allokerad tillförd energi (utan hjälpel och rökgaskondensering):",'Slutlig allokering kvv'!$B$1:$AX$1,0),FALSE)/1,"")</f>
        <v>0</v>
      </c>
      <c r="AM288" s="31" t="str">
        <f>IFERROR(1-VLOOKUP($B288,'Slutlig allokering kvv'!$B$2:$AX$549,MATCH("Andel av bränsle i kvv som allokerats till värme, exklusive rökgaskondensering och hjälpel",'Slutlig allokering kvv'!$B$1:$AX$1,0),FALSE),"")</f>
        <v/>
      </c>
      <c r="AO288" s="31" t="str">
        <f t="shared" si="17"/>
        <v/>
      </c>
      <c r="AP288" s="31" t="str">
        <f t="shared" si="18"/>
        <v/>
      </c>
      <c r="AR288" s="32" t="str">
        <f t="shared" si="19"/>
        <v/>
      </c>
    </row>
    <row r="289" spans="1:44" s="31" customFormat="1" x14ac:dyDescent="0.45">
      <c r="A289" s="31" t="s">
        <v>258</v>
      </c>
      <c r="B289" s="31" t="s">
        <v>257</v>
      </c>
      <c r="C289" s="31">
        <f>IFERROR(VLOOKUP($B289,Kraftvärmeprod!$B$1:$AH$479,MATCH(C$2,Kraftvärmeprod!$B$1:$AG$1,0),FALSE)/1,"")</f>
        <v>660.1</v>
      </c>
      <c r="D289" s="31">
        <f>IFERROR(VLOOKUP($B289,Kraftvärmeprod!$B$1:$AH$479,MATCH(D$2,Kraftvärmeprod!$B$1:$AG$1,0),FALSE)/1,"")</f>
        <v>232.8</v>
      </c>
      <c r="F289" s="31">
        <f>IF($D289="","",IFERROR(VLOOKUP($B289,Kraftvärmeprod!$B$1:$BX$550,MATCH(F$2,Kraftvärmeprod!$B$1:$VX$1,0),FALSE)/1,0)-IFERROR(VLOOKUP($B289,'Slutlig allokering kvv'!$B$2:$BX$550,MATCH(F$2,'Slutlig allokering kvv'!$B$1:$BX$1,0),FALSE)/1,0))</f>
        <v>0</v>
      </c>
      <c r="G289" s="31">
        <f>IF($D289="","",IFERROR(VLOOKUP($B289,Kraftvärmeprod!$B$1:$BX$550,MATCH(G$2,Kraftvärmeprod!$B$1:$VX$1,0),FALSE)/1,0)-IFERROR(VLOOKUP($B289,'Slutlig allokering kvv'!$B$2:$BX$550,MATCH(G$2,'Slutlig allokering kvv'!$B$1:$BX$1,0),FALSE)/1,0))</f>
        <v>3.3</v>
      </c>
      <c r="H289" s="31">
        <f>IF($D289="","",IFERROR(VLOOKUP($B289,Kraftvärmeprod!$B$1:$BX$550,MATCH(H$2,Kraftvärmeprod!$B$1:$VX$1,0),FALSE)/1,0)-IFERROR(VLOOKUP($B289,'Slutlig allokering kvv'!$B$2:$BX$550,MATCH(H$2,'Slutlig allokering kvv'!$B$1:$BX$1,0),FALSE)/1,0))</f>
        <v>0</v>
      </c>
      <c r="I289" s="31">
        <f>IF($D289="","",IFERROR(VLOOKUP($B289,Kraftvärmeprod!$B$1:$BX$550,MATCH(I$2,Kraftvärmeprod!$B$1:$VX$1,0),FALSE)/1,0)-IFERROR(VLOOKUP($B289,'Slutlig allokering kvv'!$B$2:$BX$550,MATCH(I$2,'Slutlig allokering kvv'!$B$1:$BX$1,0),FALSE)/1,0))</f>
        <v>0</v>
      </c>
      <c r="J289" s="31">
        <f>IF($D289="","",IFERROR(VLOOKUP($B289,Kraftvärmeprod!$B$1:$BX$550,MATCH(J$2,Kraftvärmeprod!$B$1:$VX$1,0),FALSE)/1,0)-IFERROR(VLOOKUP($B289,'Slutlig allokering kvv'!$B$2:$BX$550,MATCH(J$2,'Slutlig allokering kvv'!$B$1:$BX$1,0),FALSE)/1,0))</f>
        <v>0</v>
      </c>
      <c r="K289" s="31">
        <f>IF($D289="","",IFERROR(VLOOKUP($B289,Kraftvärmeprod!$B$1:$BX$550,MATCH(K$2,Kraftvärmeprod!$B$1:$VX$1,0),FALSE)/1,0)-IFERROR(VLOOKUP($B289,'Slutlig allokering kvv'!$B$2:$BX$550,MATCH(K$2,'Slutlig allokering kvv'!$B$1:$BX$1,0),FALSE)/1,0))</f>
        <v>0</v>
      </c>
      <c r="L289" s="31">
        <f>IF($D289="","",IFERROR(VLOOKUP($B289,Kraftvärmeprod!$B$1:$BX$550,MATCH(L$2,Kraftvärmeprod!$B$1:$VX$1,0),FALSE)/1,0)-IFERROR(VLOOKUP($B289,'Slutlig allokering kvv'!$B$2:$BX$550,MATCH(L$2,'Slutlig allokering kvv'!$B$1:$BX$1,0),FALSE)/1,0))</f>
        <v>10.5</v>
      </c>
      <c r="M289" s="31">
        <f>IF($D289="","",IFERROR(VLOOKUP($B289,Kraftvärmeprod!$B$1:$BX$550,MATCH(M$2,Kraftvärmeprod!$B$1:$VX$1,0),FALSE)/1,0)-IFERROR(VLOOKUP($B289,'Slutlig allokering kvv'!$B$2:$BX$550,MATCH(M$2,'Slutlig allokering kvv'!$B$1:$BX$1,0),FALSE)/1,0))</f>
        <v>131.10000000000002</v>
      </c>
      <c r="N289" s="31">
        <f>IF($D289="","",IFERROR(VLOOKUP($B289,Kraftvärmeprod!$B$1:$BX$550,MATCH(N$2,Kraftvärmeprod!$B$1:$VX$1,0),FALSE)/1,0)-IFERROR(VLOOKUP($B289,'Slutlig allokering kvv'!$B$2:$BX$550,MATCH(N$2,'Slutlig allokering kvv'!$B$1:$BX$1,0),FALSE)/1,0))</f>
        <v>59.099999999999994</v>
      </c>
      <c r="O289" s="31">
        <f>IF($D289="","",IFERROR(VLOOKUP($B289,Kraftvärmeprod!$B$1:$BX$550,MATCH(O$2,Kraftvärmeprod!$B$1:$VX$1,0),FALSE)/1,0)-IFERROR(VLOOKUP($B289,'Slutlig allokering kvv'!$B$2:$BX$550,MATCH(O$2,'Slutlig allokering kvv'!$B$1:$BX$1,0),FALSE)/1,0))</f>
        <v>61.000000000000007</v>
      </c>
      <c r="P289" s="31">
        <f>IF($D289="","",IFERROR(VLOOKUP($B289,Kraftvärmeprod!$B$1:$BX$550,MATCH(P$2,Kraftvärmeprod!$B$1:$VX$1,0),FALSE)/1,0)-IFERROR(VLOOKUP($B289,'Slutlig allokering kvv'!$B$2:$BX$550,MATCH(P$2,'Slutlig allokering kvv'!$B$1:$BX$1,0),FALSE)/1,0))</f>
        <v>0</v>
      </c>
      <c r="Q289" s="31">
        <f>IF($D289="","",IFERROR(VLOOKUP($B289,Kraftvärmeprod!$B$1:$BX$550,MATCH(Q$2,Kraftvärmeprod!$B$1:$VX$1,0),FALSE)/1,0)-IFERROR(VLOOKUP($B289,'Slutlig allokering kvv'!$B$2:$BX$550,MATCH(Q$2,'Slutlig allokering kvv'!$B$1:$BX$1,0),FALSE)/1,0))</f>
        <v>35.399999999999991</v>
      </c>
      <c r="R289" s="31">
        <f>IF($D289="","",IFERROR(VLOOKUP($B289,Kraftvärmeprod!$B$1:$BX$550,MATCH(R$2,Kraftvärmeprod!$B$1:$VX$1,0),FALSE)/1,0)-IFERROR(VLOOKUP($B289,'Slutlig allokering kvv'!$B$2:$BX$550,MATCH(R$2,'Slutlig allokering kvv'!$B$1:$BX$1,0),FALSE)/1,0))</f>
        <v>0</v>
      </c>
      <c r="S289" s="31">
        <f>IF($D289="","",IFERROR(VLOOKUP($B289,Kraftvärmeprod!$B$1:$BX$550,MATCH(S$2,Kraftvärmeprod!$B$1:$VX$1,0),FALSE)/1,0)-IFERROR(VLOOKUP($B289,'Slutlig allokering kvv'!$B$2:$BX$550,MATCH(S$2,'Slutlig allokering kvv'!$B$1:$BX$1,0),FALSE)/1,0))</f>
        <v>0.8</v>
      </c>
      <c r="T289" s="31">
        <f>IF($D289="","",IFERROR(VLOOKUP($B289,Kraftvärmeprod!$B$1:$BX$550,MATCH(T$2,Kraftvärmeprod!$B$1:$VX$1,0),FALSE)/1,0)-IFERROR(VLOOKUP($B289,'Slutlig allokering kvv'!$B$2:$BX$550,MATCH(T$2,'Slutlig allokering kvv'!$B$1:$BX$1,0),FALSE)/1,0))</f>
        <v>0</v>
      </c>
      <c r="U289" s="31">
        <f>IF($D289="","",IFERROR(VLOOKUP($B289,Kraftvärmeprod!$B$1:$BX$550,MATCH(U$2,Kraftvärmeprod!$B$1:$VX$1,0),FALSE)/1,0)-IFERROR(VLOOKUP($B289,'Slutlig allokering kvv'!$B$2:$BX$550,MATCH(U$2,'Slutlig allokering kvv'!$B$1:$BX$1,0),FALSE)/1,0))</f>
        <v>0</v>
      </c>
      <c r="V289" s="31">
        <f>IF($D289="","",IFERROR(VLOOKUP($B289,Kraftvärmeprod!$B$1:$BX$550,MATCH(V$2,Kraftvärmeprod!$B$1:$VX$1,0),FALSE)/1,0)-IFERROR(VLOOKUP($B289,'Slutlig allokering kvv'!$B$2:$BX$550,MATCH(V$2,'Slutlig allokering kvv'!$B$1:$BX$1,0),FALSE)/1,0))</f>
        <v>0</v>
      </c>
      <c r="W289" s="31">
        <f>IF($D289="","",IFERROR(VLOOKUP($B289,Kraftvärmeprod!$B$1:$BX$550,MATCH(W$2,Kraftvärmeprod!$B$1:$VX$1,0),FALSE)/1,0)-IFERROR(VLOOKUP($B289,'Slutlig allokering kvv'!$B$2:$BX$550,MATCH(W$2,'Slutlig allokering kvv'!$B$1:$BX$1,0),FALSE)/1,0))</f>
        <v>0</v>
      </c>
      <c r="X289" s="31">
        <f>IF($D289="","",IFERROR(VLOOKUP($B289,Kraftvärmeprod!$B$1:$BX$550,MATCH(X$2,Kraftvärmeprod!$B$1:$VX$1,0),FALSE)/1,0)-IFERROR(VLOOKUP($B289,'Slutlig allokering kvv'!$B$2:$BX$550,MATCH(X$2,'Slutlig allokering kvv'!$B$1:$BX$1,0),FALSE)/1,0))</f>
        <v>0</v>
      </c>
      <c r="Y289" s="31">
        <f>IF($D289="","",IFERROR(VLOOKUP($B289,Kraftvärmeprod!$B$1:$BX$550,MATCH(Y$2,Kraftvärmeprod!$B$1:$VX$1,0),FALSE)/1,0)-IFERROR(VLOOKUP($B289,'Slutlig allokering kvv'!$B$2:$BX$550,MATCH(Y$2,'Slutlig allokering kvv'!$B$1:$BX$1,0),FALSE)/1,0))</f>
        <v>0</v>
      </c>
      <c r="Z289" s="31">
        <f>IF($D289="","",IFERROR(VLOOKUP($B289,Kraftvärmeprod!$B$1:$BX$550,MATCH(Z$2,Kraftvärmeprod!$B$1:$VX$1,0),FALSE)/1,0)-IFERROR(VLOOKUP($B289,'Slutlig allokering kvv'!$B$2:$BX$550,MATCH(Z$2,'Slutlig allokering kvv'!$B$1:$BX$1,0),FALSE)/1,0))</f>
        <v>6.1999999999999993</v>
      </c>
      <c r="AA289" s="31">
        <f>IF($D289="","",IFERROR(VLOOKUP($B289,Kraftvärmeprod!$B$1:$BX$550,MATCH(AA$2,Kraftvärmeprod!$B$1:$VX$1,0),FALSE)/1,0)-IFERROR(VLOOKUP($B289,'Slutlig allokering kvv'!$B$2:$BX$550,MATCH(AA$2,'Slutlig allokering kvv'!$B$1:$BX$1,0),FALSE)/1,0))</f>
        <v>220</v>
      </c>
      <c r="AB289" s="31">
        <f>IF($D289="","",IFERROR(VLOOKUP($B289,Kraftvärmeprod!$B$1:$BX$550,MATCH(AB$2,Kraftvärmeprod!$B$1:$VX$1,0),FALSE)/1,0)-IFERROR(VLOOKUP($B289,'Slutlig allokering kvv'!$B$2:$BX$550,MATCH(AB$2,'Slutlig allokering kvv'!$B$1:$BX$1,0),FALSE)/1,0))</f>
        <v>0</v>
      </c>
      <c r="AC289" s="31">
        <f>IF($D289="","",IFERROR(VLOOKUP($B289,Kraftvärmeprod!$B$1:$BX$550,MATCH(AC$2,Kraftvärmeprod!$B$1:$VX$1,0),FALSE)/1,0)-IFERROR(VLOOKUP($B289,'Slutlig allokering kvv'!$B$2:$BX$550,MATCH(AC$2,'Slutlig allokering kvv'!$B$1:$BX$1,0),FALSE)/1,0))</f>
        <v>0</v>
      </c>
      <c r="AD289" s="31">
        <f>IF($D289="","",IFERROR(VLOOKUP($B289,Kraftvärmeprod!$B$1:$BX$550,MATCH(AD$2,Kraftvärmeprod!$B$1:$VX$1,0),FALSE)/1,0)-IFERROR(VLOOKUP($B289,'Slutlig allokering kvv'!$B$2:$BX$550,MATCH(AD$2,'Slutlig allokering kvv'!$B$1:$BX$1,0),FALSE)/1,0))</f>
        <v>0</v>
      </c>
      <c r="AE289" s="31">
        <f>IF($D289="","",IFERROR(VLOOKUP($B289,Miljö!$B$1:$E$550,MATCH("Hjälpel kraftvärme (GWh)",Miljö!$B$1:$E$1,0),FALSE)/1,0)-IFERROR(VLOOKUP($B289,'Slutlig allokering kvv'!$B$2:$BX$549,MATCH(AE$2,'Slutlig allokering kvv'!$B$1:$BX$1,0),FALSE)/1,0))</f>
        <v>23.652000000000001</v>
      </c>
      <c r="AI289" s="39">
        <f t="shared" si="16"/>
        <v>527.40000000000009</v>
      </c>
      <c r="AK289" s="31">
        <f>IFERROR(VLOOKUP($B289,'Slutlig allokering kvv'!$B$2:$AX$549,MATCH("Summa slutlig allokerad tillförd energi (utan hjälpel och rökgaskondensering):",'Slutlig allokering kvv'!$B$1:$AX$1,0),FALSE)/1,"")</f>
        <v>534</v>
      </c>
      <c r="AM289" s="31">
        <f>IFERROR(1-VLOOKUP($B289,'Slutlig allokering kvv'!$B$2:$AX$549,MATCH("Andel av bränsle i kvv som allokerats till värme, exklusive rökgaskondensering och hjälpel",'Slutlig allokering kvv'!$B$1:$AX$1,0),FALSE),"")</f>
        <v>0.49689089881288873</v>
      </c>
      <c r="AO289" s="31">
        <f t="shared" si="17"/>
        <v>0.49689089881288867</v>
      </c>
      <c r="AP289" s="31">
        <f t="shared" si="18"/>
        <v>5.5511151231257827E-17</v>
      </c>
      <c r="AR289" s="32">
        <f t="shared" si="19"/>
        <v>0.42246466758128082</v>
      </c>
    </row>
    <row r="290" spans="1:44" s="31" customFormat="1" x14ac:dyDescent="0.45">
      <c r="A290" s="31" t="s">
        <v>255</v>
      </c>
      <c r="B290" s="31" t="s">
        <v>256</v>
      </c>
      <c r="C290" s="31" t="str">
        <f>IFERROR(VLOOKUP($B290,Kraftvärmeprod!$B$1:$AH$479,MATCH(C$2,Kraftvärmeprod!$B$1:$AG$1,0),FALSE)/1,"")</f>
        <v/>
      </c>
      <c r="D290" s="31" t="str">
        <f>IFERROR(VLOOKUP($B290,Kraftvärmeprod!$B$1:$AH$479,MATCH(D$2,Kraftvärmeprod!$B$1:$AG$1,0),FALSE)/1,"")</f>
        <v/>
      </c>
      <c r="F290" s="31" t="str">
        <f>IF($D290="","",IFERROR(VLOOKUP($B290,Kraftvärmeprod!$B$1:$BX$550,MATCH(F$2,Kraftvärmeprod!$B$1:$VX$1,0),FALSE)/1,0)-IFERROR(VLOOKUP($B290,'Slutlig allokering kvv'!$B$2:$BX$550,MATCH(F$2,'Slutlig allokering kvv'!$B$1:$BX$1,0),FALSE)/1,0))</f>
        <v/>
      </c>
      <c r="G290" s="31" t="str">
        <f>IF($D290="","",IFERROR(VLOOKUP($B290,Kraftvärmeprod!$B$1:$BX$550,MATCH(G$2,Kraftvärmeprod!$B$1:$VX$1,0),FALSE)/1,0)-IFERROR(VLOOKUP($B290,'Slutlig allokering kvv'!$B$2:$BX$550,MATCH(G$2,'Slutlig allokering kvv'!$B$1:$BX$1,0),FALSE)/1,0))</f>
        <v/>
      </c>
      <c r="H290" s="31" t="str">
        <f>IF($D290="","",IFERROR(VLOOKUP($B290,Kraftvärmeprod!$B$1:$BX$550,MATCH(H$2,Kraftvärmeprod!$B$1:$VX$1,0),FALSE)/1,0)-IFERROR(VLOOKUP($B290,'Slutlig allokering kvv'!$B$2:$BX$550,MATCH(H$2,'Slutlig allokering kvv'!$B$1:$BX$1,0),FALSE)/1,0))</f>
        <v/>
      </c>
      <c r="I290" s="31" t="str">
        <f>IF($D290="","",IFERROR(VLOOKUP($B290,Kraftvärmeprod!$B$1:$BX$550,MATCH(I$2,Kraftvärmeprod!$B$1:$VX$1,0),FALSE)/1,0)-IFERROR(VLOOKUP($B290,'Slutlig allokering kvv'!$B$2:$BX$550,MATCH(I$2,'Slutlig allokering kvv'!$B$1:$BX$1,0),FALSE)/1,0))</f>
        <v/>
      </c>
      <c r="J290" s="31" t="str">
        <f>IF($D290="","",IFERROR(VLOOKUP($B290,Kraftvärmeprod!$B$1:$BX$550,MATCH(J$2,Kraftvärmeprod!$B$1:$VX$1,0),FALSE)/1,0)-IFERROR(VLOOKUP($B290,'Slutlig allokering kvv'!$B$2:$BX$550,MATCH(J$2,'Slutlig allokering kvv'!$B$1:$BX$1,0),FALSE)/1,0))</f>
        <v/>
      </c>
      <c r="K290" s="31" t="str">
        <f>IF($D290="","",IFERROR(VLOOKUP($B290,Kraftvärmeprod!$B$1:$BX$550,MATCH(K$2,Kraftvärmeprod!$B$1:$VX$1,0),FALSE)/1,0)-IFERROR(VLOOKUP($B290,'Slutlig allokering kvv'!$B$2:$BX$550,MATCH(K$2,'Slutlig allokering kvv'!$B$1:$BX$1,0),FALSE)/1,0))</f>
        <v/>
      </c>
      <c r="L290" s="31" t="str">
        <f>IF($D290="","",IFERROR(VLOOKUP($B290,Kraftvärmeprod!$B$1:$BX$550,MATCH(L$2,Kraftvärmeprod!$B$1:$VX$1,0),FALSE)/1,0)-IFERROR(VLOOKUP($B290,'Slutlig allokering kvv'!$B$2:$BX$550,MATCH(L$2,'Slutlig allokering kvv'!$B$1:$BX$1,0),FALSE)/1,0))</f>
        <v/>
      </c>
      <c r="M290" s="31" t="str">
        <f>IF($D290="","",IFERROR(VLOOKUP($B290,Kraftvärmeprod!$B$1:$BX$550,MATCH(M$2,Kraftvärmeprod!$B$1:$VX$1,0),FALSE)/1,0)-IFERROR(VLOOKUP($B290,'Slutlig allokering kvv'!$B$2:$BX$550,MATCH(M$2,'Slutlig allokering kvv'!$B$1:$BX$1,0),FALSE)/1,0))</f>
        <v/>
      </c>
      <c r="N290" s="31" t="str">
        <f>IF($D290="","",IFERROR(VLOOKUP($B290,Kraftvärmeprod!$B$1:$BX$550,MATCH(N$2,Kraftvärmeprod!$B$1:$VX$1,0),FALSE)/1,0)-IFERROR(VLOOKUP($B290,'Slutlig allokering kvv'!$B$2:$BX$550,MATCH(N$2,'Slutlig allokering kvv'!$B$1:$BX$1,0),FALSE)/1,0))</f>
        <v/>
      </c>
      <c r="O290" s="31" t="str">
        <f>IF($D290="","",IFERROR(VLOOKUP($B290,Kraftvärmeprod!$B$1:$BX$550,MATCH(O$2,Kraftvärmeprod!$B$1:$VX$1,0),FALSE)/1,0)-IFERROR(VLOOKUP($B290,'Slutlig allokering kvv'!$B$2:$BX$550,MATCH(O$2,'Slutlig allokering kvv'!$B$1:$BX$1,0),FALSE)/1,0))</f>
        <v/>
      </c>
      <c r="P290" s="31" t="str">
        <f>IF($D290="","",IFERROR(VLOOKUP($B290,Kraftvärmeprod!$B$1:$BX$550,MATCH(P$2,Kraftvärmeprod!$B$1:$VX$1,0),FALSE)/1,0)-IFERROR(VLOOKUP($B290,'Slutlig allokering kvv'!$B$2:$BX$550,MATCH(P$2,'Slutlig allokering kvv'!$B$1:$BX$1,0),FALSE)/1,0))</f>
        <v/>
      </c>
      <c r="Q290" s="31" t="str">
        <f>IF($D290="","",IFERROR(VLOOKUP($B290,Kraftvärmeprod!$B$1:$BX$550,MATCH(Q$2,Kraftvärmeprod!$B$1:$VX$1,0),FALSE)/1,0)-IFERROR(VLOOKUP($B290,'Slutlig allokering kvv'!$B$2:$BX$550,MATCH(Q$2,'Slutlig allokering kvv'!$B$1:$BX$1,0),FALSE)/1,0))</f>
        <v/>
      </c>
      <c r="R290" s="31" t="str">
        <f>IF($D290="","",IFERROR(VLOOKUP($B290,Kraftvärmeprod!$B$1:$BX$550,MATCH(R$2,Kraftvärmeprod!$B$1:$VX$1,0),FALSE)/1,0)-IFERROR(VLOOKUP($B290,'Slutlig allokering kvv'!$B$2:$BX$550,MATCH(R$2,'Slutlig allokering kvv'!$B$1:$BX$1,0),FALSE)/1,0))</f>
        <v/>
      </c>
      <c r="S290" s="31" t="str">
        <f>IF($D290="","",IFERROR(VLOOKUP($B290,Kraftvärmeprod!$B$1:$BX$550,MATCH(S$2,Kraftvärmeprod!$B$1:$VX$1,0),FALSE)/1,0)-IFERROR(VLOOKUP($B290,'Slutlig allokering kvv'!$B$2:$BX$550,MATCH(S$2,'Slutlig allokering kvv'!$B$1:$BX$1,0),FALSE)/1,0))</f>
        <v/>
      </c>
      <c r="T290" s="31" t="str">
        <f>IF($D290="","",IFERROR(VLOOKUP($B290,Kraftvärmeprod!$B$1:$BX$550,MATCH(T$2,Kraftvärmeprod!$B$1:$VX$1,0),FALSE)/1,0)-IFERROR(VLOOKUP($B290,'Slutlig allokering kvv'!$B$2:$BX$550,MATCH(T$2,'Slutlig allokering kvv'!$B$1:$BX$1,0),FALSE)/1,0))</f>
        <v/>
      </c>
      <c r="U290" s="31" t="str">
        <f>IF($D290="","",IFERROR(VLOOKUP($B290,Kraftvärmeprod!$B$1:$BX$550,MATCH(U$2,Kraftvärmeprod!$B$1:$VX$1,0),FALSE)/1,0)-IFERROR(VLOOKUP($B290,'Slutlig allokering kvv'!$B$2:$BX$550,MATCH(U$2,'Slutlig allokering kvv'!$B$1:$BX$1,0),FALSE)/1,0))</f>
        <v/>
      </c>
      <c r="V290" s="31" t="str">
        <f>IF($D290="","",IFERROR(VLOOKUP($B290,Kraftvärmeprod!$B$1:$BX$550,MATCH(V$2,Kraftvärmeprod!$B$1:$VX$1,0),FALSE)/1,0)-IFERROR(VLOOKUP($B290,'Slutlig allokering kvv'!$B$2:$BX$550,MATCH(V$2,'Slutlig allokering kvv'!$B$1:$BX$1,0),FALSE)/1,0))</f>
        <v/>
      </c>
      <c r="W290" s="31" t="str">
        <f>IF($D290="","",IFERROR(VLOOKUP($B290,Kraftvärmeprod!$B$1:$BX$550,MATCH(W$2,Kraftvärmeprod!$B$1:$VX$1,0),FALSE)/1,0)-IFERROR(VLOOKUP($B290,'Slutlig allokering kvv'!$B$2:$BX$550,MATCH(W$2,'Slutlig allokering kvv'!$B$1:$BX$1,0),FALSE)/1,0))</f>
        <v/>
      </c>
      <c r="X290" s="31" t="str">
        <f>IF($D290="","",IFERROR(VLOOKUP($B290,Kraftvärmeprod!$B$1:$BX$550,MATCH(X$2,Kraftvärmeprod!$B$1:$VX$1,0),FALSE)/1,0)-IFERROR(VLOOKUP($B290,'Slutlig allokering kvv'!$B$2:$BX$550,MATCH(X$2,'Slutlig allokering kvv'!$B$1:$BX$1,0),FALSE)/1,0))</f>
        <v/>
      </c>
      <c r="Y290" s="31" t="str">
        <f>IF($D290="","",IFERROR(VLOOKUP($B290,Kraftvärmeprod!$B$1:$BX$550,MATCH(Y$2,Kraftvärmeprod!$B$1:$VX$1,0),FALSE)/1,0)-IFERROR(VLOOKUP($B290,'Slutlig allokering kvv'!$B$2:$BX$550,MATCH(Y$2,'Slutlig allokering kvv'!$B$1:$BX$1,0),FALSE)/1,0))</f>
        <v/>
      </c>
      <c r="Z290" s="31" t="str">
        <f>IF($D290="","",IFERROR(VLOOKUP($B290,Kraftvärmeprod!$B$1:$BX$550,MATCH(Z$2,Kraftvärmeprod!$B$1:$VX$1,0),FALSE)/1,0)-IFERROR(VLOOKUP($B290,'Slutlig allokering kvv'!$B$2:$BX$550,MATCH(Z$2,'Slutlig allokering kvv'!$B$1:$BX$1,0),FALSE)/1,0))</f>
        <v/>
      </c>
      <c r="AA290" s="31" t="str">
        <f>IF($D290="","",IFERROR(VLOOKUP($B290,Kraftvärmeprod!$B$1:$BX$550,MATCH(AA$2,Kraftvärmeprod!$B$1:$VX$1,0),FALSE)/1,0)-IFERROR(VLOOKUP($B290,'Slutlig allokering kvv'!$B$2:$BX$550,MATCH(AA$2,'Slutlig allokering kvv'!$B$1:$BX$1,0),FALSE)/1,0))</f>
        <v/>
      </c>
      <c r="AB290" s="31" t="str">
        <f>IF($D290="","",IFERROR(VLOOKUP($B290,Kraftvärmeprod!$B$1:$BX$550,MATCH(AB$2,Kraftvärmeprod!$B$1:$VX$1,0),FALSE)/1,0)-IFERROR(VLOOKUP($B290,'Slutlig allokering kvv'!$B$2:$BX$550,MATCH(AB$2,'Slutlig allokering kvv'!$B$1:$BX$1,0),FALSE)/1,0))</f>
        <v/>
      </c>
      <c r="AC290" s="31" t="str">
        <f>IF($D290="","",IFERROR(VLOOKUP($B290,Kraftvärmeprod!$B$1:$BX$550,MATCH(AC$2,Kraftvärmeprod!$B$1:$VX$1,0),FALSE)/1,0)-IFERROR(VLOOKUP($B290,'Slutlig allokering kvv'!$B$2:$BX$550,MATCH(AC$2,'Slutlig allokering kvv'!$B$1:$BX$1,0),FALSE)/1,0))</f>
        <v/>
      </c>
      <c r="AD290" s="31" t="str">
        <f>IF($D290="","",IFERROR(VLOOKUP($B290,Kraftvärmeprod!$B$1:$BX$550,MATCH(AD$2,Kraftvärmeprod!$B$1:$VX$1,0),FALSE)/1,0)-IFERROR(VLOOKUP($B290,'Slutlig allokering kvv'!$B$2:$BX$550,MATCH(AD$2,'Slutlig allokering kvv'!$B$1:$BX$1,0),FALSE)/1,0))</f>
        <v/>
      </c>
      <c r="AE290" s="31" t="str">
        <f>IF($D290="","",IFERROR(VLOOKUP($B290,Miljö!$B$1:$E$550,MATCH("Hjälpel kraftvärme (GWh)",Miljö!$B$1:$E$1,0),FALSE)/1,0)-IFERROR(VLOOKUP($B290,'Slutlig allokering kvv'!$B$2:$BX$549,MATCH(AE$2,'Slutlig allokering kvv'!$B$1:$BX$1,0),FALSE)/1,0))</f>
        <v/>
      </c>
      <c r="AI290" s="39">
        <f t="shared" si="16"/>
        <v>0</v>
      </c>
      <c r="AK290" s="31">
        <f>IFERROR(VLOOKUP($B290,'Slutlig allokering kvv'!$B$2:$AX$549,MATCH("Summa slutlig allokerad tillförd energi (utan hjälpel och rökgaskondensering):",'Slutlig allokering kvv'!$B$1:$AX$1,0),FALSE)/1,"")</f>
        <v>0</v>
      </c>
      <c r="AM290" s="31" t="str">
        <f>IFERROR(1-VLOOKUP($B290,'Slutlig allokering kvv'!$B$2:$AX$549,MATCH("Andel av bränsle i kvv som allokerats till värme, exklusive rökgaskondensering och hjälpel",'Slutlig allokering kvv'!$B$1:$AX$1,0),FALSE),"")</f>
        <v/>
      </c>
      <c r="AO290" s="31" t="str">
        <f t="shared" si="17"/>
        <v/>
      </c>
      <c r="AP290" s="31" t="str">
        <f t="shared" si="18"/>
        <v/>
      </c>
      <c r="AR290" s="32" t="str">
        <f t="shared" si="19"/>
        <v/>
      </c>
    </row>
    <row r="291" spans="1:44" s="31" customFormat="1" x14ac:dyDescent="0.45">
      <c r="A291" s="31" t="s">
        <v>255</v>
      </c>
      <c r="B291" s="31" t="s">
        <v>254</v>
      </c>
      <c r="C291" s="31" t="str">
        <f>IFERROR(VLOOKUP($B291,Kraftvärmeprod!$B$1:$AH$479,MATCH(C$2,Kraftvärmeprod!$B$1:$AG$1,0),FALSE)/1,"")</f>
        <v/>
      </c>
      <c r="D291" s="31" t="str">
        <f>IFERROR(VLOOKUP($B291,Kraftvärmeprod!$B$1:$AH$479,MATCH(D$2,Kraftvärmeprod!$B$1:$AG$1,0),FALSE)/1,"")</f>
        <v/>
      </c>
      <c r="F291" s="31" t="str">
        <f>IF($D291="","",IFERROR(VLOOKUP($B291,Kraftvärmeprod!$B$1:$BX$550,MATCH(F$2,Kraftvärmeprod!$B$1:$VX$1,0),FALSE)/1,0)-IFERROR(VLOOKUP($B291,'Slutlig allokering kvv'!$B$2:$BX$550,MATCH(F$2,'Slutlig allokering kvv'!$B$1:$BX$1,0),FALSE)/1,0))</f>
        <v/>
      </c>
      <c r="G291" s="31" t="str">
        <f>IF($D291="","",IFERROR(VLOOKUP($B291,Kraftvärmeprod!$B$1:$BX$550,MATCH(G$2,Kraftvärmeprod!$B$1:$VX$1,0),FALSE)/1,0)-IFERROR(VLOOKUP($B291,'Slutlig allokering kvv'!$B$2:$BX$550,MATCH(G$2,'Slutlig allokering kvv'!$B$1:$BX$1,0),FALSE)/1,0))</f>
        <v/>
      </c>
      <c r="H291" s="31" t="str">
        <f>IF($D291="","",IFERROR(VLOOKUP($B291,Kraftvärmeprod!$B$1:$BX$550,MATCH(H$2,Kraftvärmeprod!$B$1:$VX$1,0),FALSE)/1,0)-IFERROR(VLOOKUP($B291,'Slutlig allokering kvv'!$B$2:$BX$550,MATCH(H$2,'Slutlig allokering kvv'!$B$1:$BX$1,0),FALSE)/1,0))</f>
        <v/>
      </c>
      <c r="I291" s="31" t="str">
        <f>IF($D291="","",IFERROR(VLOOKUP($B291,Kraftvärmeprod!$B$1:$BX$550,MATCH(I$2,Kraftvärmeprod!$B$1:$VX$1,0),FALSE)/1,0)-IFERROR(VLOOKUP($B291,'Slutlig allokering kvv'!$B$2:$BX$550,MATCH(I$2,'Slutlig allokering kvv'!$B$1:$BX$1,0),FALSE)/1,0))</f>
        <v/>
      </c>
      <c r="J291" s="31" t="str">
        <f>IF($D291="","",IFERROR(VLOOKUP($B291,Kraftvärmeprod!$B$1:$BX$550,MATCH(J$2,Kraftvärmeprod!$B$1:$VX$1,0),FALSE)/1,0)-IFERROR(VLOOKUP($B291,'Slutlig allokering kvv'!$B$2:$BX$550,MATCH(J$2,'Slutlig allokering kvv'!$B$1:$BX$1,0),FALSE)/1,0))</f>
        <v/>
      </c>
      <c r="K291" s="31" t="str">
        <f>IF($D291="","",IFERROR(VLOOKUP($B291,Kraftvärmeprod!$B$1:$BX$550,MATCH(K$2,Kraftvärmeprod!$B$1:$VX$1,0),FALSE)/1,0)-IFERROR(VLOOKUP($B291,'Slutlig allokering kvv'!$B$2:$BX$550,MATCH(K$2,'Slutlig allokering kvv'!$B$1:$BX$1,0),FALSE)/1,0))</f>
        <v/>
      </c>
      <c r="L291" s="31" t="str">
        <f>IF($D291="","",IFERROR(VLOOKUP($B291,Kraftvärmeprod!$B$1:$BX$550,MATCH(L$2,Kraftvärmeprod!$B$1:$VX$1,0),FALSE)/1,0)-IFERROR(VLOOKUP($B291,'Slutlig allokering kvv'!$B$2:$BX$550,MATCH(L$2,'Slutlig allokering kvv'!$B$1:$BX$1,0),FALSE)/1,0))</f>
        <v/>
      </c>
      <c r="M291" s="31" t="str">
        <f>IF($D291="","",IFERROR(VLOOKUP($B291,Kraftvärmeprod!$B$1:$BX$550,MATCH(M$2,Kraftvärmeprod!$B$1:$VX$1,0),FALSE)/1,0)-IFERROR(VLOOKUP($B291,'Slutlig allokering kvv'!$B$2:$BX$550,MATCH(M$2,'Slutlig allokering kvv'!$B$1:$BX$1,0),FALSE)/1,0))</f>
        <v/>
      </c>
      <c r="N291" s="31" t="str">
        <f>IF($D291="","",IFERROR(VLOOKUP($B291,Kraftvärmeprod!$B$1:$BX$550,MATCH(N$2,Kraftvärmeprod!$B$1:$VX$1,0),FALSE)/1,0)-IFERROR(VLOOKUP($B291,'Slutlig allokering kvv'!$B$2:$BX$550,MATCH(N$2,'Slutlig allokering kvv'!$B$1:$BX$1,0),FALSE)/1,0))</f>
        <v/>
      </c>
      <c r="O291" s="31" t="str">
        <f>IF($D291="","",IFERROR(VLOOKUP($B291,Kraftvärmeprod!$B$1:$BX$550,MATCH(O$2,Kraftvärmeprod!$B$1:$VX$1,0),FALSE)/1,0)-IFERROR(VLOOKUP($B291,'Slutlig allokering kvv'!$B$2:$BX$550,MATCH(O$2,'Slutlig allokering kvv'!$B$1:$BX$1,0),FALSE)/1,0))</f>
        <v/>
      </c>
      <c r="P291" s="31" t="str">
        <f>IF($D291="","",IFERROR(VLOOKUP($B291,Kraftvärmeprod!$B$1:$BX$550,MATCH(P$2,Kraftvärmeprod!$B$1:$VX$1,0),FALSE)/1,0)-IFERROR(VLOOKUP($B291,'Slutlig allokering kvv'!$B$2:$BX$550,MATCH(P$2,'Slutlig allokering kvv'!$B$1:$BX$1,0),FALSE)/1,0))</f>
        <v/>
      </c>
      <c r="Q291" s="31" t="str">
        <f>IF($D291="","",IFERROR(VLOOKUP($B291,Kraftvärmeprod!$B$1:$BX$550,MATCH(Q$2,Kraftvärmeprod!$B$1:$VX$1,0),FALSE)/1,0)-IFERROR(VLOOKUP($B291,'Slutlig allokering kvv'!$B$2:$BX$550,MATCH(Q$2,'Slutlig allokering kvv'!$B$1:$BX$1,0),FALSE)/1,0))</f>
        <v/>
      </c>
      <c r="R291" s="31" t="str">
        <f>IF($D291="","",IFERROR(VLOOKUP($B291,Kraftvärmeprod!$B$1:$BX$550,MATCH(R$2,Kraftvärmeprod!$B$1:$VX$1,0),FALSE)/1,0)-IFERROR(VLOOKUP($B291,'Slutlig allokering kvv'!$B$2:$BX$550,MATCH(R$2,'Slutlig allokering kvv'!$B$1:$BX$1,0),FALSE)/1,0))</f>
        <v/>
      </c>
      <c r="S291" s="31" t="str">
        <f>IF($D291="","",IFERROR(VLOOKUP($B291,Kraftvärmeprod!$B$1:$BX$550,MATCH(S$2,Kraftvärmeprod!$B$1:$VX$1,0),FALSE)/1,0)-IFERROR(VLOOKUP($B291,'Slutlig allokering kvv'!$B$2:$BX$550,MATCH(S$2,'Slutlig allokering kvv'!$B$1:$BX$1,0),FALSE)/1,0))</f>
        <v/>
      </c>
      <c r="T291" s="31" t="str">
        <f>IF($D291="","",IFERROR(VLOOKUP($B291,Kraftvärmeprod!$B$1:$BX$550,MATCH(T$2,Kraftvärmeprod!$B$1:$VX$1,0),FALSE)/1,0)-IFERROR(VLOOKUP($B291,'Slutlig allokering kvv'!$B$2:$BX$550,MATCH(T$2,'Slutlig allokering kvv'!$B$1:$BX$1,0),FALSE)/1,0))</f>
        <v/>
      </c>
      <c r="U291" s="31" t="str">
        <f>IF($D291="","",IFERROR(VLOOKUP($B291,Kraftvärmeprod!$B$1:$BX$550,MATCH(U$2,Kraftvärmeprod!$B$1:$VX$1,0),FALSE)/1,0)-IFERROR(VLOOKUP($B291,'Slutlig allokering kvv'!$B$2:$BX$550,MATCH(U$2,'Slutlig allokering kvv'!$B$1:$BX$1,0),FALSE)/1,0))</f>
        <v/>
      </c>
      <c r="V291" s="31" t="str">
        <f>IF($D291="","",IFERROR(VLOOKUP($B291,Kraftvärmeprod!$B$1:$BX$550,MATCH(V$2,Kraftvärmeprod!$B$1:$VX$1,0),FALSE)/1,0)-IFERROR(VLOOKUP($B291,'Slutlig allokering kvv'!$B$2:$BX$550,MATCH(V$2,'Slutlig allokering kvv'!$B$1:$BX$1,0),FALSE)/1,0))</f>
        <v/>
      </c>
      <c r="W291" s="31" t="str">
        <f>IF($D291="","",IFERROR(VLOOKUP($B291,Kraftvärmeprod!$B$1:$BX$550,MATCH(W$2,Kraftvärmeprod!$B$1:$VX$1,0),FALSE)/1,0)-IFERROR(VLOOKUP($B291,'Slutlig allokering kvv'!$B$2:$BX$550,MATCH(W$2,'Slutlig allokering kvv'!$B$1:$BX$1,0),FALSE)/1,0))</f>
        <v/>
      </c>
      <c r="X291" s="31" t="str">
        <f>IF($D291="","",IFERROR(VLOOKUP($B291,Kraftvärmeprod!$B$1:$BX$550,MATCH(X$2,Kraftvärmeprod!$B$1:$VX$1,0),FALSE)/1,0)-IFERROR(VLOOKUP($B291,'Slutlig allokering kvv'!$B$2:$BX$550,MATCH(X$2,'Slutlig allokering kvv'!$B$1:$BX$1,0),FALSE)/1,0))</f>
        <v/>
      </c>
      <c r="Y291" s="31" t="str">
        <f>IF($D291="","",IFERROR(VLOOKUP($B291,Kraftvärmeprod!$B$1:$BX$550,MATCH(Y$2,Kraftvärmeprod!$B$1:$VX$1,0),FALSE)/1,0)-IFERROR(VLOOKUP($B291,'Slutlig allokering kvv'!$B$2:$BX$550,MATCH(Y$2,'Slutlig allokering kvv'!$B$1:$BX$1,0),FALSE)/1,0))</f>
        <v/>
      </c>
      <c r="Z291" s="31" t="str">
        <f>IF($D291="","",IFERROR(VLOOKUP($B291,Kraftvärmeprod!$B$1:$BX$550,MATCH(Z$2,Kraftvärmeprod!$B$1:$VX$1,0),FALSE)/1,0)-IFERROR(VLOOKUP($B291,'Slutlig allokering kvv'!$B$2:$BX$550,MATCH(Z$2,'Slutlig allokering kvv'!$B$1:$BX$1,0),FALSE)/1,0))</f>
        <v/>
      </c>
      <c r="AA291" s="31" t="str">
        <f>IF($D291="","",IFERROR(VLOOKUP($B291,Kraftvärmeprod!$B$1:$BX$550,MATCH(AA$2,Kraftvärmeprod!$B$1:$VX$1,0),FALSE)/1,0)-IFERROR(VLOOKUP($B291,'Slutlig allokering kvv'!$B$2:$BX$550,MATCH(AA$2,'Slutlig allokering kvv'!$B$1:$BX$1,0),FALSE)/1,0))</f>
        <v/>
      </c>
      <c r="AB291" s="31" t="str">
        <f>IF($D291="","",IFERROR(VLOOKUP($B291,Kraftvärmeprod!$B$1:$BX$550,MATCH(AB$2,Kraftvärmeprod!$B$1:$VX$1,0),FALSE)/1,0)-IFERROR(VLOOKUP($B291,'Slutlig allokering kvv'!$B$2:$BX$550,MATCH(AB$2,'Slutlig allokering kvv'!$B$1:$BX$1,0),FALSE)/1,0))</f>
        <v/>
      </c>
      <c r="AC291" s="31" t="str">
        <f>IF($D291="","",IFERROR(VLOOKUP($B291,Kraftvärmeprod!$B$1:$BX$550,MATCH(AC$2,Kraftvärmeprod!$B$1:$VX$1,0),FALSE)/1,0)-IFERROR(VLOOKUP($B291,'Slutlig allokering kvv'!$B$2:$BX$550,MATCH(AC$2,'Slutlig allokering kvv'!$B$1:$BX$1,0),FALSE)/1,0))</f>
        <v/>
      </c>
      <c r="AD291" s="31" t="str">
        <f>IF($D291="","",IFERROR(VLOOKUP($B291,Kraftvärmeprod!$B$1:$BX$550,MATCH(AD$2,Kraftvärmeprod!$B$1:$VX$1,0),FALSE)/1,0)-IFERROR(VLOOKUP($B291,'Slutlig allokering kvv'!$B$2:$BX$550,MATCH(AD$2,'Slutlig allokering kvv'!$B$1:$BX$1,0),FALSE)/1,0))</f>
        <v/>
      </c>
      <c r="AE291" s="31" t="str">
        <f>IF($D291="","",IFERROR(VLOOKUP($B291,Miljö!$B$1:$E$550,MATCH("Hjälpel kraftvärme (GWh)",Miljö!$B$1:$E$1,0),FALSE)/1,0)-IFERROR(VLOOKUP($B291,'Slutlig allokering kvv'!$B$2:$BX$549,MATCH(AE$2,'Slutlig allokering kvv'!$B$1:$BX$1,0),FALSE)/1,0))</f>
        <v/>
      </c>
      <c r="AI291" s="39">
        <f t="shared" si="16"/>
        <v>0</v>
      </c>
      <c r="AK291" s="31">
        <f>IFERROR(VLOOKUP($B291,'Slutlig allokering kvv'!$B$2:$AX$549,MATCH("Summa slutlig allokerad tillförd energi (utan hjälpel och rökgaskondensering):",'Slutlig allokering kvv'!$B$1:$AX$1,0),FALSE)/1,"")</f>
        <v>0</v>
      </c>
      <c r="AM291" s="31" t="str">
        <f>IFERROR(1-VLOOKUP($B291,'Slutlig allokering kvv'!$B$2:$AX$549,MATCH("Andel av bränsle i kvv som allokerats till värme, exklusive rökgaskondensering och hjälpel",'Slutlig allokering kvv'!$B$1:$AX$1,0),FALSE),"")</f>
        <v/>
      </c>
      <c r="AO291" s="31" t="str">
        <f t="shared" si="17"/>
        <v/>
      </c>
      <c r="AP291" s="31" t="str">
        <f t="shared" si="18"/>
        <v/>
      </c>
      <c r="AR291" s="32" t="str">
        <f t="shared" si="19"/>
        <v/>
      </c>
    </row>
    <row r="292" spans="1:44" s="31" customFormat="1" x14ac:dyDescent="0.45">
      <c r="A292" s="31" t="s">
        <v>253</v>
      </c>
      <c r="B292" s="31" t="s">
        <v>252</v>
      </c>
      <c r="C292" s="31" t="str">
        <f>IFERROR(VLOOKUP($B292,Kraftvärmeprod!$B$1:$AH$479,MATCH(C$2,Kraftvärmeprod!$B$1:$AG$1,0),FALSE)/1,"")</f>
        <v/>
      </c>
      <c r="D292" s="31" t="str">
        <f>IFERROR(VLOOKUP($B292,Kraftvärmeprod!$B$1:$AH$479,MATCH(D$2,Kraftvärmeprod!$B$1:$AG$1,0),FALSE)/1,"")</f>
        <v/>
      </c>
      <c r="F292" s="31" t="str">
        <f>IF($D292="","",IFERROR(VLOOKUP($B292,Kraftvärmeprod!$B$1:$BX$550,MATCH(F$2,Kraftvärmeprod!$B$1:$VX$1,0),FALSE)/1,0)-IFERROR(VLOOKUP($B292,'Slutlig allokering kvv'!$B$2:$BX$550,MATCH(F$2,'Slutlig allokering kvv'!$B$1:$BX$1,0),FALSE)/1,0))</f>
        <v/>
      </c>
      <c r="G292" s="31" t="str">
        <f>IF($D292="","",IFERROR(VLOOKUP($B292,Kraftvärmeprod!$B$1:$BX$550,MATCH(G$2,Kraftvärmeprod!$B$1:$VX$1,0),FALSE)/1,0)-IFERROR(VLOOKUP($B292,'Slutlig allokering kvv'!$B$2:$BX$550,MATCH(G$2,'Slutlig allokering kvv'!$B$1:$BX$1,0),FALSE)/1,0))</f>
        <v/>
      </c>
      <c r="H292" s="31" t="str">
        <f>IF($D292="","",IFERROR(VLOOKUP($B292,Kraftvärmeprod!$B$1:$BX$550,MATCH(H$2,Kraftvärmeprod!$B$1:$VX$1,0),FALSE)/1,0)-IFERROR(VLOOKUP($B292,'Slutlig allokering kvv'!$B$2:$BX$550,MATCH(H$2,'Slutlig allokering kvv'!$B$1:$BX$1,0),FALSE)/1,0))</f>
        <v/>
      </c>
      <c r="I292" s="31" t="str">
        <f>IF($D292="","",IFERROR(VLOOKUP($B292,Kraftvärmeprod!$B$1:$BX$550,MATCH(I$2,Kraftvärmeprod!$B$1:$VX$1,0),FALSE)/1,0)-IFERROR(VLOOKUP($B292,'Slutlig allokering kvv'!$B$2:$BX$550,MATCH(I$2,'Slutlig allokering kvv'!$B$1:$BX$1,0),FALSE)/1,0))</f>
        <v/>
      </c>
      <c r="J292" s="31" t="str">
        <f>IF($D292="","",IFERROR(VLOOKUP($B292,Kraftvärmeprod!$B$1:$BX$550,MATCH(J$2,Kraftvärmeprod!$B$1:$VX$1,0),FALSE)/1,0)-IFERROR(VLOOKUP($B292,'Slutlig allokering kvv'!$B$2:$BX$550,MATCH(J$2,'Slutlig allokering kvv'!$B$1:$BX$1,0),FALSE)/1,0))</f>
        <v/>
      </c>
      <c r="K292" s="31" t="str">
        <f>IF($D292="","",IFERROR(VLOOKUP($B292,Kraftvärmeprod!$B$1:$BX$550,MATCH(K$2,Kraftvärmeprod!$B$1:$VX$1,0),FALSE)/1,0)-IFERROR(VLOOKUP($B292,'Slutlig allokering kvv'!$B$2:$BX$550,MATCH(K$2,'Slutlig allokering kvv'!$B$1:$BX$1,0),FALSE)/1,0))</f>
        <v/>
      </c>
      <c r="L292" s="31" t="str">
        <f>IF($D292="","",IFERROR(VLOOKUP($B292,Kraftvärmeprod!$B$1:$BX$550,MATCH(L$2,Kraftvärmeprod!$B$1:$VX$1,0),FALSE)/1,0)-IFERROR(VLOOKUP($B292,'Slutlig allokering kvv'!$B$2:$BX$550,MATCH(L$2,'Slutlig allokering kvv'!$B$1:$BX$1,0),FALSE)/1,0))</f>
        <v/>
      </c>
      <c r="M292" s="31" t="str">
        <f>IF($D292="","",IFERROR(VLOOKUP($B292,Kraftvärmeprod!$B$1:$BX$550,MATCH(M$2,Kraftvärmeprod!$B$1:$VX$1,0),FALSE)/1,0)-IFERROR(VLOOKUP($B292,'Slutlig allokering kvv'!$B$2:$BX$550,MATCH(M$2,'Slutlig allokering kvv'!$B$1:$BX$1,0),FALSE)/1,0))</f>
        <v/>
      </c>
      <c r="N292" s="31" t="str">
        <f>IF($D292="","",IFERROR(VLOOKUP($B292,Kraftvärmeprod!$B$1:$BX$550,MATCH(N$2,Kraftvärmeprod!$B$1:$VX$1,0),FALSE)/1,0)-IFERROR(VLOOKUP($B292,'Slutlig allokering kvv'!$B$2:$BX$550,MATCH(N$2,'Slutlig allokering kvv'!$B$1:$BX$1,0),FALSE)/1,0))</f>
        <v/>
      </c>
      <c r="O292" s="31" t="str">
        <f>IF($D292="","",IFERROR(VLOOKUP($B292,Kraftvärmeprod!$B$1:$BX$550,MATCH(O$2,Kraftvärmeprod!$B$1:$VX$1,0),FALSE)/1,0)-IFERROR(VLOOKUP($B292,'Slutlig allokering kvv'!$B$2:$BX$550,MATCH(O$2,'Slutlig allokering kvv'!$B$1:$BX$1,0),FALSE)/1,0))</f>
        <v/>
      </c>
      <c r="P292" s="31" t="str">
        <f>IF($D292="","",IFERROR(VLOOKUP($B292,Kraftvärmeprod!$B$1:$BX$550,MATCH(P$2,Kraftvärmeprod!$B$1:$VX$1,0),FALSE)/1,0)-IFERROR(VLOOKUP($B292,'Slutlig allokering kvv'!$B$2:$BX$550,MATCH(P$2,'Slutlig allokering kvv'!$B$1:$BX$1,0),FALSE)/1,0))</f>
        <v/>
      </c>
      <c r="Q292" s="31" t="str">
        <f>IF($D292="","",IFERROR(VLOOKUP($B292,Kraftvärmeprod!$B$1:$BX$550,MATCH(Q$2,Kraftvärmeprod!$B$1:$VX$1,0),FALSE)/1,0)-IFERROR(VLOOKUP($B292,'Slutlig allokering kvv'!$B$2:$BX$550,MATCH(Q$2,'Slutlig allokering kvv'!$B$1:$BX$1,0),FALSE)/1,0))</f>
        <v/>
      </c>
      <c r="R292" s="31" t="str">
        <f>IF($D292="","",IFERROR(VLOOKUP($B292,Kraftvärmeprod!$B$1:$BX$550,MATCH(R$2,Kraftvärmeprod!$B$1:$VX$1,0),FALSE)/1,0)-IFERROR(VLOOKUP($B292,'Slutlig allokering kvv'!$B$2:$BX$550,MATCH(R$2,'Slutlig allokering kvv'!$B$1:$BX$1,0),FALSE)/1,0))</f>
        <v/>
      </c>
      <c r="S292" s="31" t="str">
        <f>IF($D292="","",IFERROR(VLOOKUP($B292,Kraftvärmeprod!$B$1:$BX$550,MATCH(S$2,Kraftvärmeprod!$B$1:$VX$1,0),FALSE)/1,0)-IFERROR(VLOOKUP($B292,'Slutlig allokering kvv'!$B$2:$BX$550,MATCH(S$2,'Slutlig allokering kvv'!$B$1:$BX$1,0),FALSE)/1,0))</f>
        <v/>
      </c>
      <c r="T292" s="31" t="str">
        <f>IF($D292="","",IFERROR(VLOOKUP($B292,Kraftvärmeprod!$B$1:$BX$550,MATCH(T$2,Kraftvärmeprod!$B$1:$VX$1,0),FALSE)/1,0)-IFERROR(VLOOKUP($B292,'Slutlig allokering kvv'!$B$2:$BX$550,MATCH(T$2,'Slutlig allokering kvv'!$B$1:$BX$1,0),FALSE)/1,0))</f>
        <v/>
      </c>
      <c r="U292" s="31" t="str">
        <f>IF($D292="","",IFERROR(VLOOKUP($B292,Kraftvärmeprod!$B$1:$BX$550,MATCH(U$2,Kraftvärmeprod!$B$1:$VX$1,0),FALSE)/1,0)-IFERROR(VLOOKUP($B292,'Slutlig allokering kvv'!$B$2:$BX$550,MATCH(U$2,'Slutlig allokering kvv'!$B$1:$BX$1,0),FALSE)/1,0))</f>
        <v/>
      </c>
      <c r="V292" s="31" t="str">
        <f>IF($D292="","",IFERROR(VLOOKUP($B292,Kraftvärmeprod!$B$1:$BX$550,MATCH(V$2,Kraftvärmeprod!$B$1:$VX$1,0),FALSE)/1,0)-IFERROR(VLOOKUP($B292,'Slutlig allokering kvv'!$B$2:$BX$550,MATCH(V$2,'Slutlig allokering kvv'!$B$1:$BX$1,0),FALSE)/1,0))</f>
        <v/>
      </c>
      <c r="W292" s="31" t="str">
        <f>IF($D292="","",IFERROR(VLOOKUP($B292,Kraftvärmeprod!$B$1:$BX$550,MATCH(W$2,Kraftvärmeprod!$B$1:$VX$1,0),FALSE)/1,0)-IFERROR(VLOOKUP($B292,'Slutlig allokering kvv'!$B$2:$BX$550,MATCH(W$2,'Slutlig allokering kvv'!$B$1:$BX$1,0),FALSE)/1,0))</f>
        <v/>
      </c>
      <c r="X292" s="31" t="str">
        <f>IF($D292="","",IFERROR(VLOOKUP($B292,Kraftvärmeprod!$B$1:$BX$550,MATCH(X$2,Kraftvärmeprod!$B$1:$VX$1,0),FALSE)/1,0)-IFERROR(VLOOKUP($B292,'Slutlig allokering kvv'!$B$2:$BX$550,MATCH(X$2,'Slutlig allokering kvv'!$B$1:$BX$1,0),FALSE)/1,0))</f>
        <v/>
      </c>
      <c r="Y292" s="31" t="str">
        <f>IF($D292="","",IFERROR(VLOOKUP($B292,Kraftvärmeprod!$B$1:$BX$550,MATCH(Y$2,Kraftvärmeprod!$B$1:$VX$1,0),FALSE)/1,0)-IFERROR(VLOOKUP($B292,'Slutlig allokering kvv'!$B$2:$BX$550,MATCH(Y$2,'Slutlig allokering kvv'!$B$1:$BX$1,0),FALSE)/1,0))</f>
        <v/>
      </c>
      <c r="Z292" s="31" t="str">
        <f>IF($D292="","",IFERROR(VLOOKUP($B292,Kraftvärmeprod!$B$1:$BX$550,MATCH(Z$2,Kraftvärmeprod!$B$1:$VX$1,0),FALSE)/1,0)-IFERROR(VLOOKUP($B292,'Slutlig allokering kvv'!$B$2:$BX$550,MATCH(Z$2,'Slutlig allokering kvv'!$B$1:$BX$1,0),FALSE)/1,0))</f>
        <v/>
      </c>
      <c r="AA292" s="31" t="str">
        <f>IF($D292="","",IFERROR(VLOOKUP($B292,Kraftvärmeprod!$B$1:$BX$550,MATCH(AA$2,Kraftvärmeprod!$B$1:$VX$1,0),FALSE)/1,0)-IFERROR(VLOOKUP($B292,'Slutlig allokering kvv'!$B$2:$BX$550,MATCH(AA$2,'Slutlig allokering kvv'!$B$1:$BX$1,0),FALSE)/1,0))</f>
        <v/>
      </c>
      <c r="AB292" s="31" t="str">
        <f>IF($D292="","",IFERROR(VLOOKUP($B292,Kraftvärmeprod!$B$1:$BX$550,MATCH(AB$2,Kraftvärmeprod!$B$1:$VX$1,0),FALSE)/1,0)-IFERROR(VLOOKUP($B292,'Slutlig allokering kvv'!$B$2:$BX$550,MATCH(AB$2,'Slutlig allokering kvv'!$B$1:$BX$1,0),FALSE)/1,0))</f>
        <v/>
      </c>
      <c r="AC292" s="31" t="str">
        <f>IF($D292="","",IFERROR(VLOOKUP($B292,Kraftvärmeprod!$B$1:$BX$550,MATCH(AC$2,Kraftvärmeprod!$B$1:$VX$1,0),FALSE)/1,0)-IFERROR(VLOOKUP($B292,'Slutlig allokering kvv'!$B$2:$BX$550,MATCH(AC$2,'Slutlig allokering kvv'!$B$1:$BX$1,0),FALSE)/1,0))</f>
        <v/>
      </c>
      <c r="AD292" s="31" t="str">
        <f>IF($D292="","",IFERROR(VLOOKUP($B292,Kraftvärmeprod!$B$1:$BX$550,MATCH(AD$2,Kraftvärmeprod!$B$1:$VX$1,0),FALSE)/1,0)-IFERROR(VLOOKUP($B292,'Slutlig allokering kvv'!$B$2:$BX$550,MATCH(AD$2,'Slutlig allokering kvv'!$B$1:$BX$1,0),FALSE)/1,0))</f>
        <v/>
      </c>
      <c r="AE292" s="31" t="str">
        <f>IF($D292="","",IFERROR(VLOOKUP($B292,Miljö!$B$1:$E$550,MATCH("Hjälpel kraftvärme (GWh)",Miljö!$B$1:$E$1,0),FALSE)/1,0)-IFERROR(VLOOKUP($B292,'Slutlig allokering kvv'!$B$2:$BX$549,MATCH(AE$2,'Slutlig allokering kvv'!$B$1:$BX$1,0),FALSE)/1,0))</f>
        <v/>
      </c>
      <c r="AI292" s="39">
        <f t="shared" si="16"/>
        <v>0</v>
      </c>
      <c r="AK292" s="31">
        <f>IFERROR(VLOOKUP($B292,'Slutlig allokering kvv'!$B$2:$AX$549,MATCH("Summa slutlig allokerad tillförd energi (utan hjälpel och rökgaskondensering):",'Slutlig allokering kvv'!$B$1:$AX$1,0),FALSE)/1,"")</f>
        <v>0</v>
      </c>
      <c r="AM292" s="31" t="str">
        <f>IFERROR(1-VLOOKUP($B292,'Slutlig allokering kvv'!$B$2:$AX$549,MATCH("Andel av bränsle i kvv som allokerats till värme, exklusive rökgaskondensering och hjälpel",'Slutlig allokering kvv'!$B$1:$AX$1,0),FALSE),"")</f>
        <v/>
      </c>
      <c r="AO292" s="31" t="str">
        <f t="shared" si="17"/>
        <v/>
      </c>
      <c r="AP292" s="31" t="str">
        <f t="shared" si="18"/>
        <v/>
      </c>
      <c r="AR292" s="32" t="str">
        <f t="shared" si="19"/>
        <v/>
      </c>
    </row>
    <row r="293" spans="1:44" s="31" customFormat="1" x14ac:dyDescent="0.45">
      <c r="A293" s="31" t="s">
        <v>249</v>
      </c>
      <c r="B293" s="31" t="s">
        <v>251</v>
      </c>
      <c r="C293" s="31" t="str">
        <f>IFERROR(VLOOKUP($B293,Kraftvärmeprod!$B$1:$AH$479,MATCH(C$2,Kraftvärmeprod!$B$1:$AG$1,0),FALSE)/1,"")</f>
        <v/>
      </c>
      <c r="D293" s="31" t="str">
        <f>IFERROR(VLOOKUP($B293,Kraftvärmeprod!$B$1:$AH$479,MATCH(D$2,Kraftvärmeprod!$B$1:$AG$1,0),FALSE)/1,"")</f>
        <v/>
      </c>
      <c r="F293" s="31" t="str">
        <f>IF($D293="","",IFERROR(VLOOKUP($B293,Kraftvärmeprod!$B$1:$BX$550,MATCH(F$2,Kraftvärmeprod!$B$1:$VX$1,0),FALSE)/1,0)-IFERROR(VLOOKUP($B293,'Slutlig allokering kvv'!$B$2:$BX$550,MATCH(F$2,'Slutlig allokering kvv'!$B$1:$BX$1,0),FALSE)/1,0))</f>
        <v/>
      </c>
      <c r="G293" s="31" t="str">
        <f>IF($D293="","",IFERROR(VLOOKUP($B293,Kraftvärmeprod!$B$1:$BX$550,MATCH(G$2,Kraftvärmeprod!$B$1:$VX$1,0),FALSE)/1,0)-IFERROR(VLOOKUP($B293,'Slutlig allokering kvv'!$B$2:$BX$550,MATCH(G$2,'Slutlig allokering kvv'!$B$1:$BX$1,0),FALSE)/1,0))</f>
        <v/>
      </c>
      <c r="H293" s="31" t="str">
        <f>IF($D293="","",IFERROR(VLOOKUP($B293,Kraftvärmeprod!$B$1:$BX$550,MATCH(H$2,Kraftvärmeprod!$B$1:$VX$1,0),FALSE)/1,0)-IFERROR(VLOOKUP($B293,'Slutlig allokering kvv'!$B$2:$BX$550,MATCH(H$2,'Slutlig allokering kvv'!$B$1:$BX$1,0),FALSE)/1,0))</f>
        <v/>
      </c>
      <c r="I293" s="31" t="str">
        <f>IF($D293="","",IFERROR(VLOOKUP($B293,Kraftvärmeprod!$B$1:$BX$550,MATCH(I$2,Kraftvärmeprod!$B$1:$VX$1,0),FALSE)/1,0)-IFERROR(VLOOKUP($B293,'Slutlig allokering kvv'!$B$2:$BX$550,MATCH(I$2,'Slutlig allokering kvv'!$B$1:$BX$1,0),FALSE)/1,0))</f>
        <v/>
      </c>
      <c r="J293" s="31" t="str">
        <f>IF($D293="","",IFERROR(VLOOKUP($B293,Kraftvärmeprod!$B$1:$BX$550,MATCH(J$2,Kraftvärmeprod!$B$1:$VX$1,0),FALSE)/1,0)-IFERROR(VLOOKUP($B293,'Slutlig allokering kvv'!$B$2:$BX$550,MATCH(J$2,'Slutlig allokering kvv'!$B$1:$BX$1,0),FALSE)/1,0))</f>
        <v/>
      </c>
      <c r="K293" s="31" t="str">
        <f>IF($D293="","",IFERROR(VLOOKUP($B293,Kraftvärmeprod!$B$1:$BX$550,MATCH(K$2,Kraftvärmeprod!$B$1:$VX$1,0),FALSE)/1,0)-IFERROR(VLOOKUP($B293,'Slutlig allokering kvv'!$B$2:$BX$550,MATCH(K$2,'Slutlig allokering kvv'!$B$1:$BX$1,0),FALSE)/1,0))</f>
        <v/>
      </c>
      <c r="L293" s="31" t="str">
        <f>IF($D293="","",IFERROR(VLOOKUP($B293,Kraftvärmeprod!$B$1:$BX$550,MATCH(L$2,Kraftvärmeprod!$B$1:$VX$1,0),FALSE)/1,0)-IFERROR(VLOOKUP($B293,'Slutlig allokering kvv'!$B$2:$BX$550,MATCH(L$2,'Slutlig allokering kvv'!$B$1:$BX$1,0),FALSE)/1,0))</f>
        <v/>
      </c>
      <c r="M293" s="31" t="str">
        <f>IF($D293="","",IFERROR(VLOOKUP($B293,Kraftvärmeprod!$B$1:$BX$550,MATCH(M$2,Kraftvärmeprod!$B$1:$VX$1,0),FALSE)/1,0)-IFERROR(VLOOKUP($B293,'Slutlig allokering kvv'!$B$2:$BX$550,MATCH(M$2,'Slutlig allokering kvv'!$B$1:$BX$1,0),FALSE)/1,0))</f>
        <v/>
      </c>
      <c r="N293" s="31" t="str">
        <f>IF($D293="","",IFERROR(VLOOKUP($B293,Kraftvärmeprod!$B$1:$BX$550,MATCH(N$2,Kraftvärmeprod!$B$1:$VX$1,0),FALSE)/1,0)-IFERROR(VLOOKUP($B293,'Slutlig allokering kvv'!$B$2:$BX$550,MATCH(N$2,'Slutlig allokering kvv'!$B$1:$BX$1,0),FALSE)/1,0))</f>
        <v/>
      </c>
      <c r="O293" s="31" t="str">
        <f>IF($D293="","",IFERROR(VLOOKUP($B293,Kraftvärmeprod!$B$1:$BX$550,MATCH(O$2,Kraftvärmeprod!$B$1:$VX$1,0),FALSE)/1,0)-IFERROR(VLOOKUP($B293,'Slutlig allokering kvv'!$B$2:$BX$550,MATCH(O$2,'Slutlig allokering kvv'!$B$1:$BX$1,0),FALSE)/1,0))</f>
        <v/>
      </c>
      <c r="P293" s="31" t="str">
        <f>IF($D293="","",IFERROR(VLOOKUP($B293,Kraftvärmeprod!$B$1:$BX$550,MATCH(P$2,Kraftvärmeprod!$B$1:$VX$1,0),FALSE)/1,0)-IFERROR(VLOOKUP($B293,'Slutlig allokering kvv'!$B$2:$BX$550,MATCH(P$2,'Slutlig allokering kvv'!$B$1:$BX$1,0),FALSE)/1,0))</f>
        <v/>
      </c>
      <c r="Q293" s="31" t="str">
        <f>IF($D293="","",IFERROR(VLOOKUP($B293,Kraftvärmeprod!$B$1:$BX$550,MATCH(Q$2,Kraftvärmeprod!$B$1:$VX$1,0),FALSE)/1,0)-IFERROR(VLOOKUP($B293,'Slutlig allokering kvv'!$B$2:$BX$550,MATCH(Q$2,'Slutlig allokering kvv'!$B$1:$BX$1,0),FALSE)/1,0))</f>
        <v/>
      </c>
      <c r="R293" s="31" t="str">
        <f>IF($D293="","",IFERROR(VLOOKUP($B293,Kraftvärmeprod!$B$1:$BX$550,MATCH(R$2,Kraftvärmeprod!$B$1:$VX$1,0),FALSE)/1,0)-IFERROR(VLOOKUP($B293,'Slutlig allokering kvv'!$B$2:$BX$550,MATCH(R$2,'Slutlig allokering kvv'!$B$1:$BX$1,0),FALSE)/1,0))</f>
        <v/>
      </c>
      <c r="S293" s="31" t="str">
        <f>IF($D293="","",IFERROR(VLOOKUP($B293,Kraftvärmeprod!$B$1:$BX$550,MATCH(S$2,Kraftvärmeprod!$B$1:$VX$1,0),FALSE)/1,0)-IFERROR(VLOOKUP($B293,'Slutlig allokering kvv'!$B$2:$BX$550,MATCH(S$2,'Slutlig allokering kvv'!$B$1:$BX$1,0),FALSE)/1,0))</f>
        <v/>
      </c>
      <c r="T293" s="31" t="str">
        <f>IF($D293="","",IFERROR(VLOOKUP($B293,Kraftvärmeprod!$B$1:$BX$550,MATCH(T$2,Kraftvärmeprod!$B$1:$VX$1,0),FALSE)/1,0)-IFERROR(VLOOKUP($B293,'Slutlig allokering kvv'!$B$2:$BX$550,MATCH(T$2,'Slutlig allokering kvv'!$B$1:$BX$1,0),FALSE)/1,0))</f>
        <v/>
      </c>
      <c r="U293" s="31" t="str">
        <f>IF($D293="","",IFERROR(VLOOKUP($B293,Kraftvärmeprod!$B$1:$BX$550,MATCH(U$2,Kraftvärmeprod!$B$1:$VX$1,0),FALSE)/1,0)-IFERROR(VLOOKUP($B293,'Slutlig allokering kvv'!$B$2:$BX$550,MATCH(U$2,'Slutlig allokering kvv'!$B$1:$BX$1,0),FALSE)/1,0))</f>
        <v/>
      </c>
      <c r="V293" s="31" t="str">
        <f>IF($D293="","",IFERROR(VLOOKUP($B293,Kraftvärmeprod!$B$1:$BX$550,MATCH(V$2,Kraftvärmeprod!$B$1:$VX$1,0),FALSE)/1,0)-IFERROR(VLOOKUP($B293,'Slutlig allokering kvv'!$B$2:$BX$550,MATCH(V$2,'Slutlig allokering kvv'!$B$1:$BX$1,0),FALSE)/1,0))</f>
        <v/>
      </c>
      <c r="W293" s="31" t="str">
        <f>IF($D293="","",IFERROR(VLOOKUP($B293,Kraftvärmeprod!$B$1:$BX$550,MATCH(W$2,Kraftvärmeprod!$B$1:$VX$1,0),FALSE)/1,0)-IFERROR(VLOOKUP($B293,'Slutlig allokering kvv'!$B$2:$BX$550,MATCH(W$2,'Slutlig allokering kvv'!$B$1:$BX$1,0),FALSE)/1,0))</f>
        <v/>
      </c>
      <c r="X293" s="31" t="str">
        <f>IF($D293="","",IFERROR(VLOOKUP($B293,Kraftvärmeprod!$B$1:$BX$550,MATCH(X$2,Kraftvärmeprod!$B$1:$VX$1,0),FALSE)/1,0)-IFERROR(VLOOKUP($B293,'Slutlig allokering kvv'!$B$2:$BX$550,MATCH(X$2,'Slutlig allokering kvv'!$B$1:$BX$1,0),FALSE)/1,0))</f>
        <v/>
      </c>
      <c r="Y293" s="31" t="str">
        <f>IF($D293="","",IFERROR(VLOOKUP($B293,Kraftvärmeprod!$B$1:$BX$550,MATCH(Y$2,Kraftvärmeprod!$B$1:$VX$1,0),FALSE)/1,0)-IFERROR(VLOOKUP($B293,'Slutlig allokering kvv'!$B$2:$BX$550,MATCH(Y$2,'Slutlig allokering kvv'!$B$1:$BX$1,0),FALSE)/1,0))</f>
        <v/>
      </c>
      <c r="Z293" s="31" t="str">
        <f>IF($D293="","",IFERROR(VLOOKUP($B293,Kraftvärmeprod!$B$1:$BX$550,MATCH(Z$2,Kraftvärmeprod!$B$1:$VX$1,0),FALSE)/1,0)-IFERROR(VLOOKUP($B293,'Slutlig allokering kvv'!$B$2:$BX$550,MATCH(Z$2,'Slutlig allokering kvv'!$B$1:$BX$1,0),FALSE)/1,0))</f>
        <v/>
      </c>
      <c r="AA293" s="31" t="str">
        <f>IF($D293="","",IFERROR(VLOOKUP($B293,Kraftvärmeprod!$B$1:$BX$550,MATCH(AA$2,Kraftvärmeprod!$B$1:$VX$1,0),FALSE)/1,0)-IFERROR(VLOOKUP($B293,'Slutlig allokering kvv'!$B$2:$BX$550,MATCH(AA$2,'Slutlig allokering kvv'!$B$1:$BX$1,0),FALSE)/1,0))</f>
        <v/>
      </c>
      <c r="AB293" s="31" t="str">
        <f>IF($D293="","",IFERROR(VLOOKUP($B293,Kraftvärmeprod!$B$1:$BX$550,MATCH(AB$2,Kraftvärmeprod!$B$1:$VX$1,0),FALSE)/1,0)-IFERROR(VLOOKUP($B293,'Slutlig allokering kvv'!$B$2:$BX$550,MATCH(AB$2,'Slutlig allokering kvv'!$B$1:$BX$1,0),FALSE)/1,0))</f>
        <v/>
      </c>
      <c r="AC293" s="31" t="str">
        <f>IF($D293="","",IFERROR(VLOOKUP($B293,Kraftvärmeprod!$B$1:$BX$550,MATCH(AC$2,Kraftvärmeprod!$B$1:$VX$1,0),FALSE)/1,0)-IFERROR(VLOOKUP($B293,'Slutlig allokering kvv'!$B$2:$BX$550,MATCH(AC$2,'Slutlig allokering kvv'!$B$1:$BX$1,0),FALSE)/1,0))</f>
        <v/>
      </c>
      <c r="AD293" s="31" t="str">
        <f>IF($D293="","",IFERROR(VLOOKUP($B293,Kraftvärmeprod!$B$1:$BX$550,MATCH(AD$2,Kraftvärmeprod!$B$1:$VX$1,0),FALSE)/1,0)-IFERROR(VLOOKUP($B293,'Slutlig allokering kvv'!$B$2:$BX$550,MATCH(AD$2,'Slutlig allokering kvv'!$B$1:$BX$1,0),FALSE)/1,0))</f>
        <v/>
      </c>
      <c r="AE293" s="31" t="str">
        <f>IF($D293="","",IFERROR(VLOOKUP($B293,Miljö!$B$1:$E$550,MATCH("Hjälpel kraftvärme (GWh)",Miljö!$B$1:$E$1,0),FALSE)/1,0)-IFERROR(VLOOKUP($B293,'Slutlig allokering kvv'!$B$2:$BX$549,MATCH(AE$2,'Slutlig allokering kvv'!$B$1:$BX$1,0),FALSE)/1,0))</f>
        <v/>
      </c>
      <c r="AI293" s="39">
        <f t="shared" si="16"/>
        <v>0</v>
      </c>
      <c r="AK293" s="31">
        <f>IFERROR(VLOOKUP($B293,'Slutlig allokering kvv'!$B$2:$AX$549,MATCH("Summa slutlig allokerad tillförd energi (utan hjälpel och rökgaskondensering):",'Slutlig allokering kvv'!$B$1:$AX$1,0),FALSE)/1,"")</f>
        <v>0</v>
      </c>
      <c r="AM293" s="31" t="str">
        <f>IFERROR(1-VLOOKUP($B293,'Slutlig allokering kvv'!$B$2:$AX$549,MATCH("Andel av bränsle i kvv som allokerats till värme, exklusive rökgaskondensering och hjälpel",'Slutlig allokering kvv'!$B$1:$AX$1,0),FALSE),"")</f>
        <v/>
      </c>
      <c r="AO293" s="31" t="str">
        <f t="shared" si="17"/>
        <v/>
      </c>
      <c r="AP293" s="31" t="str">
        <f t="shared" si="18"/>
        <v/>
      </c>
      <c r="AR293" s="32" t="str">
        <f t="shared" si="19"/>
        <v/>
      </c>
    </row>
    <row r="294" spans="1:44" s="31" customFormat="1" x14ac:dyDescent="0.45">
      <c r="A294" s="31" t="s">
        <v>249</v>
      </c>
      <c r="B294" s="31" t="s">
        <v>250</v>
      </c>
      <c r="C294" s="31" t="str">
        <f>IFERROR(VLOOKUP($B294,Kraftvärmeprod!$B$1:$AH$479,MATCH(C$2,Kraftvärmeprod!$B$1:$AG$1,0),FALSE)/1,"")</f>
        <v/>
      </c>
      <c r="D294" s="31" t="str">
        <f>IFERROR(VLOOKUP($B294,Kraftvärmeprod!$B$1:$AH$479,MATCH(D$2,Kraftvärmeprod!$B$1:$AG$1,0),FALSE)/1,"")</f>
        <v/>
      </c>
      <c r="F294" s="31" t="str">
        <f>IF($D294="","",IFERROR(VLOOKUP($B294,Kraftvärmeprod!$B$1:$BX$550,MATCH(F$2,Kraftvärmeprod!$B$1:$VX$1,0),FALSE)/1,0)-IFERROR(VLOOKUP($B294,'Slutlig allokering kvv'!$B$2:$BX$550,MATCH(F$2,'Slutlig allokering kvv'!$B$1:$BX$1,0),FALSE)/1,0))</f>
        <v/>
      </c>
      <c r="G294" s="31" t="str">
        <f>IF($D294="","",IFERROR(VLOOKUP($B294,Kraftvärmeprod!$B$1:$BX$550,MATCH(G$2,Kraftvärmeprod!$B$1:$VX$1,0),FALSE)/1,0)-IFERROR(VLOOKUP($B294,'Slutlig allokering kvv'!$B$2:$BX$550,MATCH(G$2,'Slutlig allokering kvv'!$B$1:$BX$1,0),FALSE)/1,0))</f>
        <v/>
      </c>
      <c r="H294" s="31" t="str">
        <f>IF($D294="","",IFERROR(VLOOKUP($B294,Kraftvärmeprod!$B$1:$BX$550,MATCH(H$2,Kraftvärmeprod!$B$1:$VX$1,0),FALSE)/1,0)-IFERROR(VLOOKUP($B294,'Slutlig allokering kvv'!$B$2:$BX$550,MATCH(H$2,'Slutlig allokering kvv'!$B$1:$BX$1,0),FALSE)/1,0))</f>
        <v/>
      </c>
      <c r="I294" s="31" t="str">
        <f>IF($D294="","",IFERROR(VLOOKUP($B294,Kraftvärmeprod!$B$1:$BX$550,MATCH(I$2,Kraftvärmeprod!$B$1:$VX$1,0),FALSE)/1,0)-IFERROR(VLOOKUP($B294,'Slutlig allokering kvv'!$B$2:$BX$550,MATCH(I$2,'Slutlig allokering kvv'!$B$1:$BX$1,0),FALSE)/1,0))</f>
        <v/>
      </c>
      <c r="J294" s="31" t="str">
        <f>IF($D294="","",IFERROR(VLOOKUP($B294,Kraftvärmeprod!$B$1:$BX$550,MATCH(J$2,Kraftvärmeprod!$B$1:$VX$1,0),FALSE)/1,0)-IFERROR(VLOOKUP($B294,'Slutlig allokering kvv'!$B$2:$BX$550,MATCH(J$2,'Slutlig allokering kvv'!$B$1:$BX$1,0),FALSE)/1,0))</f>
        <v/>
      </c>
      <c r="K294" s="31" t="str">
        <f>IF($D294="","",IFERROR(VLOOKUP($B294,Kraftvärmeprod!$B$1:$BX$550,MATCH(K$2,Kraftvärmeprod!$B$1:$VX$1,0),FALSE)/1,0)-IFERROR(VLOOKUP($B294,'Slutlig allokering kvv'!$B$2:$BX$550,MATCH(K$2,'Slutlig allokering kvv'!$B$1:$BX$1,0),FALSE)/1,0))</f>
        <v/>
      </c>
      <c r="L294" s="31" t="str">
        <f>IF($D294="","",IFERROR(VLOOKUP($B294,Kraftvärmeprod!$B$1:$BX$550,MATCH(L$2,Kraftvärmeprod!$B$1:$VX$1,0),FALSE)/1,0)-IFERROR(VLOOKUP($B294,'Slutlig allokering kvv'!$B$2:$BX$550,MATCH(L$2,'Slutlig allokering kvv'!$B$1:$BX$1,0),FALSE)/1,0))</f>
        <v/>
      </c>
      <c r="M294" s="31" t="str">
        <f>IF($D294="","",IFERROR(VLOOKUP($B294,Kraftvärmeprod!$B$1:$BX$550,MATCH(M$2,Kraftvärmeprod!$B$1:$VX$1,0),FALSE)/1,0)-IFERROR(VLOOKUP($B294,'Slutlig allokering kvv'!$B$2:$BX$550,MATCH(M$2,'Slutlig allokering kvv'!$B$1:$BX$1,0),FALSE)/1,0))</f>
        <v/>
      </c>
      <c r="N294" s="31" t="str">
        <f>IF($D294="","",IFERROR(VLOOKUP($B294,Kraftvärmeprod!$B$1:$BX$550,MATCH(N$2,Kraftvärmeprod!$B$1:$VX$1,0),FALSE)/1,0)-IFERROR(VLOOKUP($B294,'Slutlig allokering kvv'!$B$2:$BX$550,MATCH(N$2,'Slutlig allokering kvv'!$B$1:$BX$1,0),FALSE)/1,0))</f>
        <v/>
      </c>
      <c r="O294" s="31" t="str">
        <f>IF($D294="","",IFERROR(VLOOKUP($B294,Kraftvärmeprod!$B$1:$BX$550,MATCH(O$2,Kraftvärmeprod!$B$1:$VX$1,0),FALSE)/1,0)-IFERROR(VLOOKUP($B294,'Slutlig allokering kvv'!$B$2:$BX$550,MATCH(O$2,'Slutlig allokering kvv'!$B$1:$BX$1,0),FALSE)/1,0))</f>
        <v/>
      </c>
      <c r="P294" s="31" t="str">
        <f>IF($D294="","",IFERROR(VLOOKUP($B294,Kraftvärmeprod!$B$1:$BX$550,MATCH(P$2,Kraftvärmeprod!$B$1:$VX$1,0),FALSE)/1,0)-IFERROR(VLOOKUP($B294,'Slutlig allokering kvv'!$B$2:$BX$550,MATCH(P$2,'Slutlig allokering kvv'!$B$1:$BX$1,0),FALSE)/1,0))</f>
        <v/>
      </c>
      <c r="Q294" s="31" t="str">
        <f>IF($D294="","",IFERROR(VLOOKUP($B294,Kraftvärmeprod!$B$1:$BX$550,MATCH(Q$2,Kraftvärmeprod!$B$1:$VX$1,0),FALSE)/1,0)-IFERROR(VLOOKUP($B294,'Slutlig allokering kvv'!$B$2:$BX$550,MATCH(Q$2,'Slutlig allokering kvv'!$B$1:$BX$1,0),FALSE)/1,0))</f>
        <v/>
      </c>
      <c r="R294" s="31" t="str">
        <f>IF($D294="","",IFERROR(VLOOKUP($B294,Kraftvärmeprod!$B$1:$BX$550,MATCH(R$2,Kraftvärmeprod!$B$1:$VX$1,0),FALSE)/1,0)-IFERROR(VLOOKUP($B294,'Slutlig allokering kvv'!$B$2:$BX$550,MATCH(R$2,'Slutlig allokering kvv'!$B$1:$BX$1,0),FALSE)/1,0))</f>
        <v/>
      </c>
      <c r="S294" s="31" t="str">
        <f>IF($D294="","",IFERROR(VLOOKUP($B294,Kraftvärmeprod!$B$1:$BX$550,MATCH(S$2,Kraftvärmeprod!$B$1:$VX$1,0),FALSE)/1,0)-IFERROR(VLOOKUP($B294,'Slutlig allokering kvv'!$B$2:$BX$550,MATCH(S$2,'Slutlig allokering kvv'!$B$1:$BX$1,0),FALSE)/1,0))</f>
        <v/>
      </c>
      <c r="T294" s="31" t="str">
        <f>IF($D294="","",IFERROR(VLOOKUP($B294,Kraftvärmeprod!$B$1:$BX$550,MATCH(T$2,Kraftvärmeprod!$B$1:$VX$1,0),FALSE)/1,0)-IFERROR(VLOOKUP($B294,'Slutlig allokering kvv'!$B$2:$BX$550,MATCH(T$2,'Slutlig allokering kvv'!$B$1:$BX$1,0),FALSE)/1,0))</f>
        <v/>
      </c>
      <c r="U294" s="31" t="str">
        <f>IF($D294="","",IFERROR(VLOOKUP($B294,Kraftvärmeprod!$B$1:$BX$550,MATCH(U$2,Kraftvärmeprod!$B$1:$VX$1,0),FALSE)/1,0)-IFERROR(VLOOKUP($B294,'Slutlig allokering kvv'!$B$2:$BX$550,MATCH(U$2,'Slutlig allokering kvv'!$B$1:$BX$1,0),FALSE)/1,0))</f>
        <v/>
      </c>
      <c r="V294" s="31" t="str">
        <f>IF($D294="","",IFERROR(VLOOKUP($B294,Kraftvärmeprod!$B$1:$BX$550,MATCH(V$2,Kraftvärmeprod!$B$1:$VX$1,0),FALSE)/1,0)-IFERROR(VLOOKUP($B294,'Slutlig allokering kvv'!$B$2:$BX$550,MATCH(V$2,'Slutlig allokering kvv'!$B$1:$BX$1,0),FALSE)/1,0))</f>
        <v/>
      </c>
      <c r="W294" s="31" t="str">
        <f>IF($D294="","",IFERROR(VLOOKUP($B294,Kraftvärmeprod!$B$1:$BX$550,MATCH(W$2,Kraftvärmeprod!$B$1:$VX$1,0),FALSE)/1,0)-IFERROR(VLOOKUP($B294,'Slutlig allokering kvv'!$B$2:$BX$550,MATCH(W$2,'Slutlig allokering kvv'!$B$1:$BX$1,0),FALSE)/1,0))</f>
        <v/>
      </c>
      <c r="X294" s="31" t="str">
        <f>IF($D294="","",IFERROR(VLOOKUP($B294,Kraftvärmeprod!$B$1:$BX$550,MATCH(X$2,Kraftvärmeprod!$B$1:$VX$1,0),FALSE)/1,0)-IFERROR(VLOOKUP($B294,'Slutlig allokering kvv'!$B$2:$BX$550,MATCH(X$2,'Slutlig allokering kvv'!$B$1:$BX$1,0),FALSE)/1,0))</f>
        <v/>
      </c>
      <c r="Y294" s="31" t="str">
        <f>IF($D294="","",IFERROR(VLOOKUP($B294,Kraftvärmeprod!$B$1:$BX$550,MATCH(Y$2,Kraftvärmeprod!$B$1:$VX$1,0),FALSE)/1,0)-IFERROR(VLOOKUP($B294,'Slutlig allokering kvv'!$B$2:$BX$550,MATCH(Y$2,'Slutlig allokering kvv'!$B$1:$BX$1,0),FALSE)/1,0))</f>
        <v/>
      </c>
      <c r="Z294" s="31" t="str">
        <f>IF($D294="","",IFERROR(VLOOKUP($B294,Kraftvärmeprod!$B$1:$BX$550,MATCH(Z$2,Kraftvärmeprod!$B$1:$VX$1,0),FALSE)/1,0)-IFERROR(VLOOKUP($B294,'Slutlig allokering kvv'!$B$2:$BX$550,MATCH(Z$2,'Slutlig allokering kvv'!$B$1:$BX$1,0),FALSE)/1,0))</f>
        <v/>
      </c>
      <c r="AA294" s="31" t="str">
        <f>IF($D294="","",IFERROR(VLOOKUP($B294,Kraftvärmeprod!$B$1:$BX$550,MATCH(AA$2,Kraftvärmeprod!$B$1:$VX$1,0),FALSE)/1,0)-IFERROR(VLOOKUP($B294,'Slutlig allokering kvv'!$B$2:$BX$550,MATCH(AA$2,'Slutlig allokering kvv'!$B$1:$BX$1,0),FALSE)/1,0))</f>
        <v/>
      </c>
      <c r="AB294" s="31" t="str">
        <f>IF($D294="","",IFERROR(VLOOKUP($B294,Kraftvärmeprod!$B$1:$BX$550,MATCH(AB$2,Kraftvärmeprod!$B$1:$VX$1,0),FALSE)/1,0)-IFERROR(VLOOKUP($B294,'Slutlig allokering kvv'!$B$2:$BX$550,MATCH(AB$2,'Slutlig allokering kvv'!$B$1:$BX$1,0),FALSE)/1,0))</f>
        <v/>
      </c>
      <c r="AC294" s="31" t="str">
        <f>IF($D294="","",IFERROR(VLOOKUP($B294,Kraftvärmeprod!$B$1:$BX$550,MATCH(AC$2,Kraftvärmeprod!$B$1:$VX$1,0),FALSE)/1,0)-IFERROR(VLOOKUP($B294,'Slutlig allokering kvv'!$B$2:$BX$550,MATCH(AC$2,'Slutlig allokering kvv'!$B$1:$BX$1,0),FALSE)/1,0))</f>
        <v/>
      </c>
      <c r="AD294" s="31" t="str">
        <f>IF($D294="","",IFERROR(VLOOKUP($B294,Kraftvärmeprod!$B$1:$BX$550,MATCH(AD$2,Kraftvärmeprod!$B$1:$VX$1,0),FALSE)/1,0)-IFERROR(VLOOKUP($B294,'Slutlig allokering kvv'!$B$2:$BX$550,MATCH(AD$2,'Slutlig allokering kvv'!$B$1:$BX$1,0),FALSE)/1,0))</f>
        <v/>
      </c>
      <c r="AE294" s="31" t="str">
        <f>IF($D294="","",IFERROR(VLOOKUP($B294,Miljö!$B$1:$E$550,MATCH("Hjälpel kraftvärme (GWh)",Miljö!$B$1:$E$1,0),FALSE)/1,0)-IFERROR(VLOOKUP($B294,'Slutlig allokering kvv'!$B$2:$BX$549,MATCH(AE$2,'Slutlig allokering kvv'!$B$1:$BX$1,0),FALSE)/1,0))</f>
        <v/>
      </c>
      <c r="AI294" s="39">
        <f t="shared" si="16"/>
        <v>0</v>
      </c>
      <c r="AK294" s="31">
        <f>IFERROR(VLOOKUP($B294,'Slutlig allokering kvv'!$B$2:$AX$549,MATCH("Summa slutlig allokerad tillförd energi (utan hjälpel och rökgaskondensering):",'Slutlig allokering kvv'!$B$1:$AX$1,0),FALSE)/1,"")</f>
        <v>0</v>
      </c>
      <c r="AM294" s="31" t="str">
        <f>IFERROR(1-VLOOKUP($B294,'Slutlig allokering kvv'!$B$2:$AX$549,MATCH("Andel av bränsle i kvv som allokerats till värme, exklusive rökgaskondensering och hjälpel",'Slutlig allokering kvv'!$B$1:$AX$1,0),FALSE),"")</f>
        <v/>
      </c>
      <c r="AO294" s="31" t="str">
        <f t="shared" si="17"/>
        <v/>
      </c>
      <c r="AP294" s="31" t="str">
        <f t="shared" si="18"/>
        <v/>
      </c>
      <c r="AR294" s="32" t="str">
        <f t="shared" si="19"/>
        <v/>
      </c>
    </row>
    <row r="295" spans="1:44" s="31" customFormat="1" x14ac:dyDescent="0.45">
      <c r="A295" s="31" t="s">
        <v>249</v>
      </c>
      <c r="B295" s="31" t="s">
        <v>248</v>
      </c>
      <c r="C295" s="31" t="str">
        <f>IFERROR(VLOOKUP($B295,Kraftvärmeprod!$B$1:$AH$479,MATCH(C$2,Kraftvärmeprod!$B$1:$AG$1,0),FALSE)/1,"")</f>
        <v/>
      </c>
      <c r="D295" s="31" t="str">
        <f>IFERROR(VLOOKUP($B295,Kraftvärmeprod!$B$1:$AH$479,MATCH(D$2,Kraftvärmeprod!$B$1:$AG$1,0),FALSE)/1,"")</f>
        <v/>
      </c>
      <c r="F295" s="31" t="str">
        <f>IF($D295="","",IFERROR(VLOOKUP($B295,Kraftvärmeprod!$B$1:$BX$550,MATCH(F$2,Kraftvärmeprod!$B$1:$VX$1,0),FALSE)/1,0)-IFERROR(VLOOKUP($B295,'Slutlig allokering kvv'!$B$2:$BX$550,MATCH(F$2,'Slutlig allokering kvv'!$B$1:$BX$1,0),FALSE)/1,0))</f>
        <v/>
      </c>
      <c r="G295" s="31" t="str">
        <f>IF($D295="","",IFERROR(VLOOKUP($B295,Kraftvärmeprod!$B$1:$BX$550,MATCH(G$2,Kraftvärmeprod!$B$1:$VX$1,0),FALSE)/1,0)-IFERROR(VLOOKUP($B295,'Slutlig allokering kvv'!$B$2:$BX$550,MATCH(G$2,'Slutlig allokering kvv'!$B$1:$BX$1,0),FALSE)/1,0))</f>
        <v/>
      </c>
      <c r="H295" s="31" t="str">
        <f>IF($D295="","",IFERROR(VLOOKUP($B295,Kraftvärmeprod!$B$1:$BX$550,MATCH(H$2,Kraftvärmeprod!$B$1:$VX$1,0),FALSE)/1,0)-IFERROR(VLOOKUP($B295,'Slutlig allokering kvv'!$B$2:$BX$550,MATCH(H$2,'Slutlig allokering kvv'!$B$1:$BX$1,0),FALSE)/1,0))</f>
        <v/>
      </c>
      <c r="I295" s="31" t="str">
        <f>IF($D295="","",IFERROR(VLOOKUP($B295,Kraftvärmeprod!$B$1:$BX$550,MATCH(I$2,Kraftvärmeprod!$B$1:$VX$1,0),FALSE)/1,0)-IFERROR(VLOOKUP($B295,'Slutlig allokering kvv'!$B$2:$BX$550,MATCH(I$2,'Slutlig allokering kvv'!$B$1:$BX$1,0),FALSE)/1,0))</f>
        <v/>
      </c>
      <c r="J295" s="31" t="str">
        <f>IF($D295="","",IFERROR(VLOOKUP($B295,Kraftvärmeprod!$B$1:$BX$550,MATCH(J$2,Kraftvärmeprod!$B$1:$VX$1,0),FALSE)/1,0)-IFERROR(VLOOKUP($B295,'Slutlig allokering kvv'!$B$2:$BX$550,MATCH(J$2,'Slutlig allokering kvv'!$B$1:$BX$1,0),FALSE)/1,0))</f>
        <v/>
      </c>
      <c r="K295" s="31" t="str">
        <f>IF($D295="","",IFERROR(VLOOKUP($B295,Kraftvärmeprod!$B$1:$BX$550,MATCH(K$2,Kraftvärmeprod!$B$1:$VX$1,0),FALSE)/1,0)-IFERROR(VLOOKUP($B295,'Slutlig allokering kvv'!$B$2:$BX$550,MATCH(K$2,'Slutlig allokering kvv'!$B$1:$BX$1,0),FALSE)/1,0))</f>
        <v/>
      </c>
      <c r="L295" s="31" t="str">
        <f>IF($D295="","",IFERROR(VLOOKUP($B295,Kraftvärmeprod!$B$1:$BX$550,MATCH(L$2,Kraftvärmeprod!$B$1:$VX$1,0),FALSE)/1,0)-IFERROR(VLOOKUP($B295,'Slutlig allokering kvv'!$B$2:$BX$550,MATCH(L$2,'Slutlig allokering kvv'!$B$1:$BX$1,0),FALSE)/1,0))</f>
        <v/>
      </c>
      <c r="M295" s="31" t="str">
        <f>IF($D295="","",IFERROR(VLOOKUP($B295,Kraftvärmeprod!$B$1:$BX$550,MATCH(M$2,Kraftvärmeprod!$B$1:$VX$1,0),FALSE)/1,0)-IFERROR(VLOOKUP($B295,'Slutlig allokering kvv'!$B$2:$BX$550,MATCH(M$2,'Slutlig allokering kvv'!$B$1:$BX$1,0),FALSE)/1,0))</f>
        <v/>
      </c>
      <c r="N295" s="31" t="str">
        <f>IF($D295="","",IFERROR(VLOOKUP($B295,Kraftvärmeprod!$B$1:$BX$550,MATCH(N$2,Kraftvärmeprod!$B$1:$VX$1,0),FALSE)/1,0)-IFERROR(VLOOKUP($B295,'Slutlig allokering kvv'!$B$2:$BX$550,MATCH(N$2,'Slutlig allokering kvv'!$B$1:$BX$1,0),FALSE)/1,0))</f>
        <v/>
      </c>
      <c r="O295" s="31" t="str">
        <f>IF($D295="","",IFERROR(VLOOKUP($B295,Kraftvärmeprod!$B$1:$BX$550,MATCH(O$2,Kraftvärmeprod!$B$1:$VX$1,0),FALSE)/1,0)-IFERROR(VLOOKUP($B295,'Slutlig allokering kvv'!$B$2:$BX$550,MATCH(O$2,'Slutlig allokering kvv'!$B$1:$BX$1,0),FALSE)/1,0))</f>
        <v/>
      </c>
      <c r="P295" s="31" t="str">
        <f>IF($D295="","",IFERROR(VLOOKUP($B295,Kraftvärmeprod!$B$1:$BX$550,MATCH(P$2,Kraftvärmeprod!$B$1:$VX$1,0),FALSE)/1,0)-IFERROR(VLOOKUP($B295,'Slutlig allokering kvv'!$B$2:$BX$550,MATCH(P$2,'Slutlig allokering kvv'!$B$1:$BX$1,0),FALSE)/1,0))</f>
        <v/>
      </c>
      <c r="Q295" s="31" t="str">
        <f>IF($D295="","",IFERROR(VLOOKUP($B295,Kraftvärmeprod!$B$1:$BX$550,MATCH(Q$2,Kraftvärmeprod!$B$1:$VX$1,0),FALSE)/1,0)-IFERROR(VLOOKUP($B295,'Slutlig allokering kvv'!$B$2:$BX$550,MATCH(Q$2,'Slutlig allokering kvv'!$B$1:$BX$1,0),FALSE)/1,0))</f>
        <v/>
      </c>
      <c r="R295" s="31" t="str">
        <f>IF($D295="","",IFERROR(VLOOKUP($B295,Kraftvärmeprod!$B$1:$BX$550,MATCH(R$2,Kraftvärmeprod!$B$1:$VX$1,0),FALSE)/1,0)-IFERROR(VLOOKUP($B295,'Slutlig allokering kvv'!$B$2:$BX$550,MATCH(R$2,'Slutlig allokering kvv'!$B$1:$BX$1,0),FALSE)/1,0))</f>
        <v/>
      </c>
      <c r="S295" s="31" t="str">
        <f>IF($D295="","",IFERROR(VLOOKUP($B295,Kraftvärmeprod!$B$1:$BX$550,MATCH(S$2,Kraftvärmeprod!$B$1:$VX$1,0),FALSE)/1,0)-IFERROR(VLOOKUP($B295,'Slutlig allokering kvv'!$B$2:$BX$550,MATCH(S$2,'Slutlig allokering kvv'!$B$1:$BX$1,0),FALSE)/1,0))</f>
        <v/>
      </c>
      <c r="T295" s="31" t="str">
        <f>IF($D295="","",IFERROR(VLOOKUP($B295,Kraftvärmeprod!$B$1:$BX$550,MATCH(T$2,Kraftvärmeprod!$B$1:$VX$1,0),FALSE)/1,0)-IFERROR(VLOOKUP($B295,'Slutlig allokering kvv'!$B$2:$BX$550,MATCH(T$2,'Slutlig allokering kvv'!$B$1:$BX$1,0),FALSE)/1,0))</f>
        <v/>
      </c>
      <c r="U295" s="31" t="str">
        <f>IF($D295="","",IFERROR(VLOOKUP($B295,Kraftvärmeprod!$B$1:$BX$550,MATCH(U$2,Kraftvärmeprod!$B$1:$VX$1,0),FALSE)/1,0)-IFERROR(VLOOKUP($B295,'Slutlig allokering kvv'!$B$2:$BX$550,MATCH(U$2,'Slutlig allokering kvv'!$B$1:$BX$1,0),FALSE)/1,0))</f>
        <v/>
      </c>
      <c r="V295" s="31" t="str">
        <f>IF($D295="","",IFERROR(VLOOKUP($B295,Kraftvärmeprod!$B$1:$BX$550,MATCH(V$2,Kraftvärmeprod!$B$1:$VX$1,0),FALSE)/1,0)-IFERROR(VLOOKUP($B295,'Slutlig allokering kvv'!$B$2:$BX$550,MATCH(V$2,'Slutlig allokering kvv'!$B$1:$BX$1,0),FALSE)/1,0))</f>
        <v/>
      </c>
      <c r="W295" s="31" t="str">
        <f>IF($D295="","",IFERROR(VLOOKUP($B295,Kraftvärmeprod!$B$1:$BX$550,MATCH(W$2,Kraftvärmeprod!$B$1:$VX$1,0),FALSE)/1,0)-IFERROR(VLOOKUP($B295,'Slutlig allokering kvv'!$B$2:$BX$550,MATCH(W$2,'Slutlig allokering kvv'!$B$1:$BX$1,0),FALSE)/1,0))</f>
        <v/>
      </c>
      <c r="X295" s="31" t="str">
        <f>IF($D295="","",IFERROR(VLOOKUP($B295,Kraftvärmeprod!$B$1:$BX$550,MATCH(X$2,Kraftvärmeprod!$B$1:$VX$1,0),FALSE)/1,0)-IFERROR(VLOOKUP($B295,'Slutlig allokering kvv'!$B$2:$BX$550,MATCH(X$2,'Slutlig allokering kvv'!$B$1:$BX$1,0),FALSE)/1,0))</f>
        <v/>
      </c>
      <c r="Y295" s="31" t="str">
        <f>IF($D295="","",IFERROR(VLOOKUP($B295,Kraftvärmeprod!$B$1:$BX$550,MATCH(Y$2,Kraftvärmeprod!$B$1:$VX$1,0),FALSE)/1,0)-IFERROR(VLOOKUP($B295,'Slutlig allokering kvv'!$B$2:$BX$550,MATCH(Y$2,'Slutlig allokering kvv'!$B$1:$BX$1,0),FALSE)/1,0))</f>
        <v/>
      </c>
      <c r="Z295" s="31" t="str">
        <f>IF($D295="","",IFERROR(VLOOKUP($B295,Kraftvärmeprod!$B$1:$BX$550,MATCH(Z$2,Kraftvärmeprod!$B$1:$VX$1,0),FALSE)/1,0)-IFERROR(VLOOKUP($B295,'Slutlig allokering kvv'!$B$2:$BX$550,MATCH(Z$2,'Slutlig allokering kvv'!$B$1:$BX$1,0),FALSE)/1,0))</f>
        <v/>
      </c>
      <c r="AA295" s="31" t="str">
        <f>IF($D295="","",IFERROR(VLOOKUP($B295,Kraftvärmeprod!$B$1:$BX$550,MATCH(AA$2,Kraftvärmeprod!$B$1:$VX$1,0),FALSE)/1,0)-IFERROR(VLOOKUP($B295,'Slutlig allokering kvv'!$B$2:$BX$550,MATCH(AA$2,'Slutlig allokering kvv'!$B$1:$BX$1,0),FALSE)/1,0))</f>
        <v/>
      </c>
      <c r="AB295" s="31" t="str">
        <f>IF($D295="","",IFERROR(VLOOKUP($B295,Kraftvärmeprod!$B$1:$BX$550,MATCH(AB$2,Kraftvärmeprod!$B$1:$VX$1,0),FALSE)/1,0)-IFERROR(VLOOKUP($B295,'Slutlig allokering kvv'!$B$2:$BX$550,MATCH(AB$2,'Slutlig allokering kvv'!$B$1:$BX$1,0),FALSE)/1,0))</f>
        <v/>
      </c>
      <c r="AC295" s="31" t="str">
        <f>IF($D295="","",IFERROR(VLOOKUP($B295,Kraftvärmeprod!$B$1:$BX$550,MATCH(AC$2,Kraftvärmeprod!$B$1:$VX$1,0),FALSE)/1,0)-IFERROR(VLOOKUP($B295,'Slutlig allokering kvv'!$B$2:$BX$550,MATCH(AC$2,'Slutlig allokering kvv'!$B$1:$BX$1,0),FALSE)/1,0))</f>
        <v/>
      </c>
      <c r="AD295" s="31" t="str">
        <f>IF($D295="","",IFERROR(VLOOKUP($B295,Kraftvärmeprod!$B$1:$BX$550,MATCH(AD$2,Kraftvärmeprod!$B$1:$VX$1,0),FALSE)/1,0)-IFERROR(VLOOKUP($B295,'Slutlig allokering kvv'!$B$2:$BX$550,MATCH(AD$2,'Slutlig allokering kvv'!$B$1:$BX$1,0),FALSE)/1,0))</f>
        <v/>
      </c>
      <c r="AE295" s="31" t="str">
        <f>IF($D295="","",IFERROR(VLOOKUP($B295,Miljö!$B$1:$E$550,MATCH("Hjälpel kraftvärme (GWh)",Miljö!$B$1:$E$1,0),FALSE)/1,0)-IFERROR(VLOOKUP($B295,'Slutlig allokering kvv'!$B$2:$BX$549,MATCH(AE$2,'Slutlig allokering kvv'!$B$1:$BX$1,0),FALSE)/1,0))</f>
        <v/>
      </c>
      <c r="AI295" s="39">
        <f t="shared" si="16"/>
        <v>0</v>
      </c>
      <c r="AK295" s="31">
        <f>IFERROR(VLOOKUP($B295,'Slutlig allokering kvv'!$B$2:$AX$549,MATCH("Summa slutlig allokerad tillförd energi (utan hjälpel och rökgaskondensering):",'Slutlig allokering kvv'!$B$1:$AX$1,0),FALSE)/1,"")</f>
        <v>0</v>
      </c>
      <c r="AM295" s="31" t="str">
        <f>IFERROR(1-VLOOKUP($B295,'Slutlig allokering kvv'!$B$2:$AX$549,MATCH("Andel av bränsle i kvv som allokerats till värme, exklusive rökgaskondensering och hjälpel",'Slutlig allokering kvv'!$B$1:$AX$1,0),FALSE),"")</f>
        <v/>
      </c>
      <c r="AO295" s="31" t="str">
        <f t="shared" si="17"/>
        <v/>
      </c>
      <c r="AP295" s="31" t="str">
        <f t="shared" si="18"/>
        <v/>
      </c>
      <c r="AR295" s="32" t="str">
        <f t="shared" si="19"/>
        <v/>
      </c>
    </row>
    <row r="296" spans="1:44" s="31" customFormat="1" x14ac:dyDescent="0.45">
      <c r="A296" s="31" t="s">
        <v>243</v>
      </c>
      <c r="B296" s="31" t="s">
        <v>244</v>
      </c>
      <c r="C296" s="31" t="str">
        <f>IFERROR(VLOOKUP($B296,Kraftvärmeprod!$B$1:$AH$479,MATCH(C$2,Kraftvärmeprod!$B$1:$AG$1,0),FALSE)/1,"")</f>
        <v/>
      </c>
      <c r="D296" s="31" t="str">
        <f>IFERROR(VLOOKUP($B296,Kraftvärmeprod!$B$1:$AH$479,MATCH(D$2,Kraftvärmeprod!$B$1:$AG$1,0),FALSE)/1,"")</f>
        <v/>
      </c>
      <c r="F296" s="31" t="str">
        <f>IF($D296="","",IFERROR(VLOOKUP($B296,Kraftvärmeprod!$B$1:$BX$550,MATCH(F$2,Kraftvärmeprod!$B$1:$VX$1,0),FALSE)/1,0)-IFERROR(VLOOKUP($B296,'Slutlig allokering kvv'!$B$2:$BX$550,MATCH(F$2,'Slutlig allokering kvv'!$B$1:$BX$1,0),FALSE)/1,0))</f>
        <v/>
      </c>
      <c r="G296" s="31" t="str">
        <f>IF($D296="","",IFERROR(VLOOKUP($B296,Kraftvärmeprod!$B$1:$BX$550,MATCH(G$2,Kraftvärmeprod!$B$1:$VX$1,0),FALSE)/1,0)-IFERROR(VLOOKUP($B296,'Slutlig allokering kvv'!$B$2:$BX$550,MATCH(G$2,'Slutlig allokering kvv'!$B$1:$BX$1,0),FALSE)/1,0))</f>
        <v/>
      </c>
      <c r="H296" s="31" t="str">
        <f>IF($D296="","",IFERROR(VLOOKUP($B296,Kraftvärmeprod!$B$1:$BX$550,MATCH(H$2,Kraftvärmeprod!$B$1:$VX$1,0),FALSE)/1,0)-IFERROR(VLOOKUP($B296,'Slutlig allokering kvv'!$B$2:$BX$550,MATCH(H$2,'Slutlig allokering kvv'!$B$1:$BX$1,0),FALSE)/1,0))</f>
        <v/>
      </c>
      <c r="I296" s="31" t="str">
        <f>IF($D296="","",IFERROR(VLOOKUP($B296,Kraftvärmeprod!$B$1:$BX$550,MATCH(I$2,Kraftvärmeprod!$B$1:$VX$1,0),FALSE)/1,0)-IFERROR(VLOOKUP($B296,'Slutlig allokering kvv'!$B$2:$BX$550,MATCH(I$2,'Slutlig allokering kvv'!$B$1:$BX$1,0),FALSE)/1,0))</f>
        <v/>
      </c>
      <c r="J296" s="31" t="str">
        <f>IF($D296="","",IFERROR(VLOOKUP($B296,Kraftvärmeprod!$B$1:$BX$550,MATCH(J$2,Kraftvärmeprod!$B$1:$VX$1,0),FALSE)/1,0)-IFERROR(VLOOKUP($B296,'Slutlig allokering kvv'!$B$2:$BX$550,MATCH(J$2,'Slutlig allokering kvv'!$B$1:$BX$1,0),FALSE)/1,0))</f>
        <v/>
      </c>
      <c r="K296" s="31" t="str">
        <f>IF($D296="","",IFERROR(VLOOKUP($B296,Kraftvärmeprod!$B$1:$BX$550,MATCH(K$2,Kraftvärmeprod!$B$1:$VX$1,0),FALSE)/1,0)-IFERROR(VLOOKUP($B296,'Slutlig allokering kvv'!$B$2:$BX$550,MATCH(K$2,'Slutlig allokering kvv'!$B$1:$BX$1,0),FALSE)/1,0))</f>
        <v/>
      </c>
      <c r="L296" s="31" t="str">
        <f>IF($D296="","",IFERROR(VLOOKUP($B296,Kraftvärmeprod!$B$1:$BX$550,MATCH(L$2,Kraftvärmeprod!$B$1:$VX$1,0),FALSE)/1,0)-IFERROR(VLOOKUP($B296,'Slutlig allokering kvv'!$B$2:$BX$550,MATCH(L$2,'Slutlig allokering kvv'!$B$1:$BX$1,0),FALSE)/1,0))</f>
        <v/>
      </c>
      <c r="M296" s="31" t="str">
        <f>IF($D296="","",IFERROR(VLOOKUP($B296,Kraftvärmeprod!$B$1:$BX$550,MATCH(M$2,Kraftvärmeprod!$B$1:$VX$1,0),FALSE)/1,0)-IFERROR(VLOOKUP($B296,'Slutlig allokering kvv'!$B$2:$BX$550,MATCH(M$2,'Slutlig allokering kvv'!$B$1:$BX$1,0),FALSE)/1,0))</f>
        <v/>
      </c>
      <c r="N296" s="31" t="str">
        <f>IF($D296="","",IFERROR(VLOOKUP($B296,Kraftvärmeprod!$B$1:$BX$550,MATCH(N$2,Kraftvärmeprod!$B$1:$VX$1,0),FALSE)/1,0)-IFERROR(VLOOKUP($B296,'Slutlig allokering kvv'!$B$2:$BX$550,MATCH(N$2,'Slutlig allokering kvv'!$B$1:$BX$1,0),FALSE)/1,0))</f>
        <v/>
      </c>
      <c r="O296" s="31" t="str">
        <f>IF($D296="","",IFERROR(VLOOKUP($B296,Kraftvärmeprod!$B$1:$BX$550,MATCH(O$2,Kraftvärmeprod!$B$1:$VX$1,0),FALSE)/1,0)-IFERROR(VLOOKUP($B296,'Slutlig allokering kvv'!$B$2:$BX$550,MATCH(O$2,'Slutlig allokering kvv'!$B$1:$BX$1,0),FALSE)/1,0))</f>
        <v/>
      </c>
      <c r="P296" s="31" t="str">
        <f>IF($D296="","",IFERROR(VLOOKUP($B296,Kraftvärmeprod!$B$1:$BX$550,MATCH(P$2,Kraftvärmeprod!$B$1:$VX$1,0),FALSE)/1,0)-IFERROR(VLOOKUP($B296,'Slutlig allokering kvv'!$B$2:$BX$550,MATCH(P$2,'Slutlig allokering kvv'!$B$1:$BX$1,0),FALSE)/1,0))</f>
        <v/>
      </c>
      <c r="Q296" s="31" t="str">
        <f>IF($D296="","",IFERROR(VLOOKUP($B296,Kraftvärmeprod!$B$1:$BX$550,MATCH(Q$2,Kraftvärmeprod!$B$1:$VX$1,0),FALSE)/1,0)-IFERROR(VLOOKUP($B296,'Slutlig allokering kvv'!$B$2:$BX$550,MATCH(Q$2,'Slutlig allokering kvv'!$B$1:$BX$1,0),FALSE)/1,0))</f>
        <v/>
      </c>
      <c r="R296" s="31" t="str">
        <f>IF($D296="","",IFERROR(VLOOKUP($B296,Kraftvärmeprod!$B$1:$BX$550,MATCH(R$2,Kraftvärmeprod!$B$1:$VX$1,0),FALSE)/1,0)-IFERROR(VLOOKUP($B296,'Slutlig allokering kvv'!$B$2:$BX$550,MATCH(R$2,'Slutlig allokering kvv'!$B$1:$BX$1,0),FALSE)/1,0))</f>
        <v/>
      </c>
      <c r="S296" s="31" t="str">
        <f>IF($D296="","",IFERROR(VLOOKUP($B296,Kraftvärmeprod!$B$1:$BX$550,MATCH(S$2,Kraftvärmeprod!$B$1:$VX$1,0),FALSE)/1,0)-IFERROR(VLOOKUP($B296,'Slutlig allokering kvv'!$B$2:$BX$550,MATCH(S$2,'Slutlig allokering kvv'!$B$1:$BX$1,0),FALSE)/1,0))</f>
        <v/>
      </c>
      <c r="T296" s="31" t="str">
        <f>IF($D296="","",IFERROR(VLOOKUP($B296,Kraftvärmeprod!$B$1:$BX$550,MATCH(T$2,Kraftvärmeprod!$B$1:$VX$1,0),FALSE)/1,0)-IFERROR(VLOOKUP($B296,'Slutlig allokering kvv'!$B$2:$BX$550,MATCH(T$2,'Slutlig allokering kvv'!$B$1:$BX$1,0),FALSE)/1,0))</f>
        <v/>
      </c>
      <c r="U296" s="31" t="str">
        <f>IF($D296="","",IFERROR(VLOOKUP($B296,Kraftvärmeprod!$B$1:$BX$550,MATCH(U$2,Kraftvärmeprod!$B$1:$VX$1,0),FALSE)/1,0)-IFERROR(VLOOKUP($B296,'Slutlig allokering kvv'!$B$2:$BX$550,MATCH(U$2,'Slutlig allokering kvv'!$B$1:$BX$1,0),FALSE)/1,0))</f>
        <v/>
      </c>
      <c r="V296" s="31" t="str">
        <f>IF($D296="","",IFERROR(VLOOKUP($B296,Kraftvärmeprod!$B$1:$BX$550,MATCH(V$2,Kraftvärmeprod!$B$1:$VX$1,0),FALSE)/1,0)-IFERROR(VLOOKUP($B296,'Slutlig allokering kvv'!$B$2:$BX$550,MATCH(V$2,'Slutlig allokering kvv'!$B$1:$BX$1,0),FALSE)/1,0))</f>
        <v/>
      </c>
      <c r="W296" s="31" t="str">
        <f>IF($D296="","",IFERROR(VLOOKUP($B296,Kraftvärmeprod!$B$1:$BX$550,MATCH(W$2,Kraftvärmeprod!$B$1:$VX$1,0),FALSE)/1,0)-IFERROR(VLOOKUP($B296,'Slutlig allokering kvv'!$B$2:$BX$550,MATCH(W$2,'Slutlig allokering kvv'!$B$1:$BX$1,0),FALSE)/1,0))</f>
        <v/>
      </c>
      <c r="X296" s="31" t="str">
        <f>IF($D296="","",IFERROR(VLOOKUP($B296,Kraftvärmeprod!$B$1:$BX$550,MATCH(X$2,Kraftvärmeprod!$B$1:$VX$1,0),FALSE)/1,0)-IFERROR(VLOOKUP($B296,'Slutlig allokering kvv'!$B$2:$BX$550,MATCH(X$2,'Slutlig allokering kvv'!$B$1:$BX$1,0),FALSE)/1,0))</f>
        <v/>
      </c>
      <c r="Y296" s="31" t="str">
        <f>IF($D296="","",IFERROR(VLOOKUP($B296,Kraftvärmeprod!$B$1:$BX$550,MATCH(Y$2,Kraftvärmeprod!$B$1:$VX$1,0),FALSE)/1,0)-IFERROR(VLOOKUP($B296,'Slutlig allokering kvv'!$B$2:$BX$550,MATCH(Y$2,'Slutlig allokering kvv'!$B$1:$BX$1,0),FALSE)/1,0))</f>
        <v/>
      </c>
      <c r="Z296" s="31" t="str">
        <f>IF($D296="","",IFERROR(VLOOKUP($B296,Kraftvärmeprod!$B$1:$BX$550,MATCH(Z$2,Kraftvärmeprod!$B$1:$VX$1,0),FALSE)/1,0)-IFERROR(VLOOKUP($B296,'Slutlig allokering kvv'!$B$2:$BX$550,MATCH(Z$2,'Slutlig allokering kvv'!$B$1:$BX$1,0),FALSE)/1,0))</f>
        <v/>
      </c>
      <c r="AA296" s="31" t="str">
        <f>IF($D296="","",IFERROR(VLOOKUP($B296,Kraftvärmeprod!$B$1:$BX$550,MATCH(AA$2,Kraftvärmeprod!$B$1:$VX$1,0),FALSE)/1,0)-IFERROR(VLOOKUP($B296,'Slutlig allokering kvv'!$B$2:$BX$550,MATCH(AA$2,'Slutlig allokering kvv'!$B$1:$BX$1,0),FALSE)/1,0))</f>
        <v/>
      </c>
      <c r="AB296" s="31" t="str">
        <f>IF($D296="","",IFERROR(VLOOKUP($B296,Kraftvärmeprod!$B$1:$BX$550,MATCH(AB$2,Kraftvärmeprod!$B$1:$VX$1,0),FALSE)/1,0)-IFERROR(VLOOKUP($B296,'Slutlig allokering kvv'!$B$2:$BX$550,MATCH(AB$2,'Slutlig allokering kvv'!$B$1:$BX$1,0),FALSE)/1,0))</f>
        <v/>
      </c>
      <c r="AC296" s="31" t="str">
        <f>IF($D296="","",IFERROR(VLOOKUP($B296,Kraftvärmeprod!$B$1:$BX$550,MATCH(AC$2,Kraftvärmeprod!$B$1:$VX$1,0),FALSE)/1,0)-IFERROR(VLOOKUP($B296,'Slutlig allokering kvv'!$B$2:$BX$550,MATCH(AC$2,'Slutlig allokering kvv'!$B$1:$BX$1,0),FALSE)/1,0))</f>
        <v/>
      </c>
      <c r="AD296" s="31" t="str">
        <f>IF($D296="","",IFERROR(VLOOKUP($B296,Kraftvärmeprod!$B$1:$BX$550,MATCH(AD$2,Kraftvärmeprod!$B$1:$VX$1,0),FALSE)/1,0)-IFERROR(VLOOKUP($B296,'Slutlig allokering kvv'!$B$2:$BX$550,MATCH(AD$2,'Slutlig allokering kvv'!$B$1:$BX$1,0),FALSE)/1,0))</f>
        <v/>
      </c>
      <c r="AE296" s="31" t="str">
        <f>IF($D296="","",IFERROR(VLOOKUP($B296,Miljö!$B$1:$E$550,MATCH("Hjälpel kraftvärme (GWh)",Miljö!$B$1:$E$1,0),FALSE)/1,0)-IFERROR(VLOOKUP($B296,'Slutlig allokering kvv'!$B$2:$BX$549,MATCH(AE$2,'Slutlig allokering kvv'!$B$1:$BX$1,0),FALSE)/1,0))</f>
        <v/>
      </c>
      <c r="AI296" s="39">
        <f t="shared" si="16"/>
        <v>0</v>
      </c>
      <c r="AK296" s="31">
        <f>IFERROR(VLOOKUP($B296,'Slutlig allokering kvv'!$B$2:$AX$549,MATCH("Summa slutlig allokerad tillförd energi (utan hjälpel och rökgaskondensering):",'Slutlig allokering kvv'!$B$1:$AX$1,0),FALSE)/1,"")</f>
        <v>0</v>
      </c>
      <c r="AM296" s="31" t="str">
        <f>IFERROR(1-VLOOKUP($B296,'Slutlig allokering kvv'!$B$2:$AX$549,MATCH("Andel av bränsle i kvv som allokerats till värme, exklusive rökgaskondensering och hjälpel",'Slutlig allokering kvv'!$B$1:$AX$1,0),FALSE),"")</f>
        <v/>
      </c>
      <c r="AO296" s="31" t="str">
        <f t="shared" si="17"/>
        <v/>
      </c>
      <c r="AP296" s="31" t="str">
        <f t="shared" si="18"/>
        <v/>
      </c>
      <c r="AR296" s="32" t="str">
        <f t="shared" si="19"/>
        <v/>
      </c>
    </row>
    <row r="297" spans="1:44" s="31" customFormat="1" x14ac:dyDescent="0.45">
      <c r="A297" s="31" t="s">
        <v>243</v>
      </c>
      <c r="B297" s="31" t="s">
        <v>133</v>
      </c>
      <c r="C297" s="31" t="str">
        <f>IFERROR(VLOOKUP($B297,Kraftvärmeprod!$B$1:$AH$479,MATCH(C$2,Kraftvärmeprod!$B$1:$AG$1,0),FALSE)/1,"")</f>
        <v/>
      </c>
      <c r="D297" s="31" t="str">
        <f>IFERROR(VLOOKUP($B297,Kraftvärmeprod!$B$1:$AH$479,MATCH(D$2,Kraftvärmeprod!$B$1:$AG$1,0),FALSE)/1,"")</f>
        <v/>
      </c>
      <c r="F297" s="31" t="str">
        <f>IF($D297="","",IFERROR(VLOOKUP($B297,Kraftvärmeprod!$B$1:$BX$550,MATCH(F$2,Kraftvärmeprod!$B$1:$VX$1,0),FALSE)/1,0)-IFERROR(VLOOKUP($B297,'Slutlig allokering kvv'!$B$2:$BX$550,MATCH(F$2,'Slutlig allokering kvv'!$B$1:$BX$1,0),FALSE)/1,0))</f>
        <v/>
      </c>
      <c r="G297" s="31" t="str">
        <f>IF($D297="","",IFERROR(VLOOKUP($B297,Kraftvärmeprod!$B$1:$BX$550,MATCH(G$2,Kraftvärmeprod!$B$1:$VX$1,0),FALSE)/1,0)-IFERROR(VLOOKUP($B297,'Slutlig allokering kvv'!$B$2:$BX$550,MATCH(G$2,'Slutlig allokering kvv'!$B$1:$BX$1,0),FALSE)/1,0))</f>
        <v/>
      </c>
      <c r="H297" s="31" t="str">
        <f>IF($D297="","",IFERROR(VLOOKUP($B297,Kraftvärmeprod!$B$1:$BX$550,MATCH(H$2,Kraftvärmeprod!$B$1:$VX$1,0),FALSE)/1,0)-IFERROR(VLOOKUP($B297,'Slutlig allokering kvv'!$B$2:$BX$550,MATCH(H$2,'Slutlig allokering kvv'!$B$1:$BX$1,0),FALSE)/1,0))</f>
        <v/>
      </c>
      <c r="I297" s="31" t="str">
        <f>IF($D297="","",IFERROR(VLOOKUP($B297,Kraftvärmeprod!$B$1:$BX$550,MATCH(I$2,Kraftvärmeprod!$B$1:$VX$1,0),FALSE)/1,0)-IFERROR(VLOOKUP($B297,'Slutlig allokering kvv'!$B$2:$BX$550,MATCH(I$2,'Slutlig allokering kvv'!$B$1:$BX$1,0),FALSE)/1,0))</f>
        <v/>
      </c>
      <c r="J297" s="31" t="str">
        <f>IF($D297="","",IFERROR(VLOOKUP($B297,Kraftvärmeprod!$B$1:$BX$550,MATCH(J$2,Kraftvärmeprod!$B$1:$VX$1,0),FALSE)/1,0)-IFERROR(VLOOKUP($B297,'Slutlig allokering kvv'!$B$2:$BX$550,MATCH(J$2,'Slutlig allokering kvv'!$B$1:$BX$1,0),FALSE)/1,0))</f>
        <v/>
      </c>
      <c r="K297" s="31" t="str">
        <f>IF($D297="","",IFERROR(VLOOKUP($B297,Kraftvärmeprod!$B$1:$BX$550,MATCH(K$2,Kraftvärmeprod!$B$1:$VX$1,0),FALSE)/1,0)-IFERROR(VLOOKUP($B297,'Slutlig allokering kvv'!$B$2:$BX$550,MATCH(K$2,'Slutlig allokering kvv'!$B$1:$BX$1,0),FALSE)/1,0))</f>
        <v/>
      </c>
      <c r="L297" s="31" t="str">
        <f>IF($D297="","",IFERROR(VLOOKUP($B297,Kraftvärmeprod!$B$1:$BX$550,MATCH(L$2,Kraftvärmeprod!$B$1:$VX$1,0),FALSE)/1,0)-IFERROR(VLOOKUP($B297,'Slutlig allokering kvv'!$B$2:$BX$550,MATCH(L$2,'Slutlig allokering kvv'!$B$1:$BX$1,0),FALSE)/1,0))</f>
        <v/>
      </c>
      <c r="M297" s="31" t="str">
        <f>IF($D297="","",IFERROR(VLOOKUP($B297,Kraftvärmeprod!$B$1:$BX$550,MATCH(M$2,Kraftvärmeprod!$B$1:$VX$1,0),FALSE)/1,0)-IFERROR(VLOOKUP($B297,'Slutlig allokering kvv'!$B$2:$BX$550,MATCH(M$2,'Slutlig allokering kvv'!$B$1:$BX$1,0),FALSE)/1,0))</f>
        <v/>
      </c>
      <c r="N297" s="31" t="str">
        <f>IF($D297="","",IFERROR(VLOOKUP($B297,Kraftvärmeprod!$B$1:$BX$550,MATCH(N$2,Kraftvärmeprod!$B$1:$VX$1,0),FALSE)/1,0)-IFERROR(VLOOKUP($B297,'Slutlig allokering kvv'!$B$2:$BX$550,MATCH(N$2,'Slutlig allokering kvv'!$B$1:$BX$1,0),FALSE)/1,0))</f>
        <v/>
      </c>
      <c r="O297" s="31" t="str">
        <f>IF($D297="","",IFERROR(VLOOKUP($B297,Kraftvärmeprod!$B$1:$BX$550,MATCH(O$2,Kraftvärmeprod!$B$1:$VX$1,0),FALSE)/1,0)-IFERROR(VLOOKUP($B297,'Slutlig allokering kvv'!$B$2:$BX$550,MATCH(O$2,'Slutlig allokering kvv'!$B$1:$BX$1,0),FALSE)/1,0))</f>
        <v/>
      </c>
      <c r="P297" s="31" t="str">
        <f>IF($D297="","",IFERROR(VLOOKUP($B297,Kraftvärmeprod!$B$1:$BX$550,MATCH(P$2,Kraftvärmeprod!$B$1:$VX$1,0),FALSE)/1,0)-IFERROR(VLOOKUP($B297,'Slutlig allokering kvv'!$B$2:$BX$550,MATCH(P$2,'Slutlig allokering kvv'!$B$1:$BX$1,0),FALSE)/1,0))</f>
        <v/>
      </c>
      <c r="Q297" s="31" t="str">
        <f>IF($D297="","",IFERROR(VLOOKUP($B297,Kraftvärmeprod!$B$1:$BX$550,MATCH(Q$2,Kraftvärmeprod!$B$1:$VX$1,0),FALSE)/1,0)-IFERROR(VLOOKUP($B297,'Slutlig allokering kvv'!$B$2:$BX$550,MATCH(Q$2,'Slutlig allokering kvv'!$B$1:$BX$1,0),FALSE)/1,0))</f>
        <v/>
      </c>
      <c r="R297" s="31" t="str">
        <f>IF($D297="","",IFERROR(VLOOKUP($B297,Kraftvärmeprod!$B$1:$BX$550,MATCH(R$2,Kraftvärmeprod!$B$1:$VX$1,0),FALSE)/1,0)-IFERROR(VLOOKUP($B297,'Slutlig allokering kvv'!$B$2:$BX$550,MATCH(R$2,'Slutlig allokering kvv'!$B$1:$BX$1,0),FALSE)/1,0))</f>
        <v/>
      </c>
      <c r="S297" s="31" t="str">
        <f>IF($D297="","",IFERROR(VLOOKUP($B297,Kraftvärmeprod!$B$1:$BX$550,MATCH(S$2,Kraftvärmeprod!$B$1:$VX$1,0),FALSE)/1,0)-IFERROR(VLOOKUP($B297,'Slutlig allokering kvv'!$B$2:$BX$550,MATCH(S$2,'Slutlig allokering kvv'!$B$1:$BX$1,0),FALSE)/1,0))</f>
        <v/>
      </c>
      <c r="T297" s="31" t="str">
        <f>IF($D297="","",IFERROR(VLOOKUP($B297,Kraftvärmeprod!$B$1:$BX$550,MATCH(T$2,Kraftvärmeprod!$B$1:$VX$1,0),FALSE)/1,0)-IFERROR(VLOOKUP($B297,'Slutlig allokering kvv'!$B$2:$BX$550,MATCH(T$2,'Slutlig allokering kvv'!$B$1:$BX$1,0),FALSE)/1,0))</f>
        <v/>
      </c>
      <c r="U297" s="31" t="str">
        <f>IF($D297="","",IFERROR(VLOOKUP($B297,Kraftvärmeprod!$B$1:$BX$550,MATCH(U$2,Kraftvärmeprod!$B$1:$VX$1,0),FALSE)/1,0)-IFERROR(VLOOKUP($B297,'Slutlig allokering kvv'!$B$2:$BX$550,MATCH(U$2,'Slutlig allokering kvv'!$B$1:$BX$1,0),FALSE)/1,0))</f>
        <v/>
      </c>
      <c r="V297" s="31" t="str">
        <f>IF($D297="","",IFERROR(VLOOKUP($B297,Kraftvärmeprod!$B$1:$BX$550,MATCH(V$2,Kraftvärmeprod!$B$1:$VX$1,0),FALSE)/1,0)-IFERROR(VLOOKUP($B297,'Slutlig allokering kvv'!$B$2:$BX$550,MATCH(V$2,'Slutlig allokering kvv'!$B$1:$BX$1,0),FALSE)/1,0))</f>
        <v/>
      </c>
      <c r="W297" s="31" t="str">
        <f>IF($D297="","",IFERROR(VLOOKUP($B297,Kraftvärmeprod!$B$1:$BX$550,MATCH(W$2,Kraftvärmeprod!$B$1:$VX$1,0),FALSE)/1,0)-IFERROR(VLOOKUP($B297,'Slutlig allokering kvv'!$B$2:$BX$550,MATCH(W$2,'Slutlig allokering kvv'!$B$1:$BX$1,0),FALSE)/1,0))</f>
        <v/>
      </c>
      <c r="X297" s="31" t="str">
        <f>IF($D297="","",IFERROR(VLOOKUP($B297,Kraftvärmeprod!$B$1:$BX$550,MATCH(X$2,Kraftvärmeprod!$B$1:$VX$1,0),FALSE)/1,0)-IFERROR(VLOOKUP($B297,'Slutlig allokering kvv'!$B$2:$BX$550,MATCH(X$2,'Slutlig allokering kvv'!$B$1:$BX$1,0),FALSE)/1,0))</f>
        <v/>
      </c>
      <c r="Y297" s="31" t="str">
        <f>IF($D297="","",IFERROR(VLOOKUP($B297,Kraftvärmeprod!$B$1:$BX$550,MATCH(Y$2,Kraftvärmeprod!$B$1:$VX$1,0),FALSE)/1,0)-IFERROR(VLOOKUP($B297,'Slutlig allokering kvv'!$B$2:$BX$550,MATCH(Y$2,'Slutlig allokering kvv'!$B$1:$BX$1,0),FALSE)/1,0))</f>
        <v/>
      </c>
      <c r="Z297" s="31" t="str">
        <f>IF($D297="","",IFERROR(VLOOKUP($B297,Kraftvärmeprod!$B$1:$BX$550,MATCH(Z$2,Kraftvärmeprod!$B$1:$VX$1,0),FALSE)/1,0)-IFERROR(VLOOKUP($B297,'Slutlig allokering kvv'!$B$2:$BX$550,MATCH(Z$2,'Slutlig allokering kvv'!$B$1:$BX$1,0),FALSE)/1,0))</f>
        <v/>
      </c>
      <c r="AA297" s="31" t="str">
        <f>IF($D297="","",IFERROR(VLOOKUP($B297,Kraftvärmeprod!$B$1:$BX$550,MATCH(AA$2,Kraftvärmeprod!$B$1:$VX$1,0),FALSE)/1,0)-IFERROR(VLOOKUP($B297,'Slutlig allokering kvv'!$B$2:$BX$550,MATCH(AA$2,'Slutlig allokering kvv'!$B$1:$BX$1,0),FALSE)/1,0))</f>
        <v/>
      </c>
      <c r="AB297" s="31" t="str">
        <f>IF($D297="","",IFERROR(VLOOKUP($B297,Kraftvärmeprod!$B$1:$BX$550,MATCH(AB$2,Kraftvärmeprod!$B$1:$VX$1,0),FALSE)/1,0)-IFERROR(VLOOKUP($B297,'Slutlig allokering kvv'!$B$2:$BX$550,MATCH(AB$2,'Slutlig allokering kvv'!$B$1:$BX$1,0),FALSE)/1,0))</f>
        <v/>
      </c>
      <c r="AC297" s="31" t="str">
        <f>IF($D297="","",IFERROR(VLOOKUP($B297,Kraftvärmeprod!$B$1:$BX$550,MATCH(AC$2,Kraftvärmeprod!$B$1:$VX$1,0),FALSE)/1,0)-IFERROR(VLOOKUP($B297,'Slutlig allokering kvv'!$B$2:$BX$550,MATCH(AC$2,'Slutlig allokering kvv'!$B$1:$BX$1,0),FALSE)/1,0))</f>
        <v/>
      </c>
      <c r="AD297" s="31" t="str">
        <f>IF($D297="","",IFERROR(VLOOKUP($B297,Kraftvärmeprod!$B$1:$BX$550,MATCH(AD$2,Kraftvärmeprod!$B$1:$VX$1,0),FALSE)/1,0)-IFERROR(VLOOKUP($B297,'Slutlig allokering kvv'!$B$2:$BX$550,MATCH(AD$2,'Slutlig allokering kvv'!$B$1:$BX$1,0),FALSE)/1,0))</f>
        <v/>
      </c>
      <c r="AE297" s="31" t="str">
        <f>IF($D297="","",IFERROR(VLOOKUP($B297,Miljö!$B$1:$E$550,MATCH("Hjälpel kraftvärme (GWh)",Miljö!$B$1:$E$1,0),FALSE)/1,0)-IFERROR(VLOOKUP($B297,'Slutlig allokering kvv'!$B$2:$BX$549,MATCH(AE$2,'Slutlig allokering kvv'!$B$1:$BX$1,0),FALSE)/1,0))</f>
        <v/>
      </c>
      <c r="AI297" s="39">
        <f t="shared" si="16"/>
        <v>0</v>
      </c>
      <c r="AK297" s="31">
        <f>IFERROR(VLOOKUP($B297,'Slutlig allokering kvv'!$B$2:$AX$549,MATCH("Summa slutlig allokerad tillförd energi (utan hjälpel och rökgaskondensering):",'Slutlig allokering kvv'!$B$1:$AX$1,0),FALSE)/1,"")</f>
        <v>0</v>
      </c>
      <c r="AM297" s="31" t="str">
        <f>IFERROR(1-VLOOKUP($B297,'Slutlig allokering kvv'!$B$2:$AX$549,MATCH("Andel av bränsle i kvv som allokerats till värme, exklusive rökgaskondensering och hjälpel",'Slutlig allokering kvv'!$B$1:$AX$1,0),FALSE),"")</f>
        <v/>
      </c>
      <c r="AO297" s="31" t="str">
        <f t="shared" si="17"/>
        <v/>
      </c>
      <c r="AP297" s="31" t="str">
        <f t="shared" si="18"/>
        <v/>
      </c>
      <c r="AR297" s="32" t="str">
        <f t="shared" si="19"/>
        <v/>
      </c>
    </row>
    <row r="298" spans="1:44" s="31" customFormat="1" x14ac:dyDescent="0.45">
      <c r="A298" s="31" t="s">
        <v>243</v>
      </c>
      <c r="B298" s="31" t="s">
        <v>245</v>
      </c>
      <c r="C298" s="31" t="str">
        <f>IFERROR(VLOOKUP($B298,Kraftvärmeprod!$B$1:$AH$479,MATCH(C$2,Kraftvärmeprod!$B$1:$AG$1,0),FALSE)/1,"")</f>
        <v/>
      </c>
      <c r="D298" s="31" t="str">
        <f>IFERROR(VLOOKUP($B298,Kraftvärmeprod!$B$1:$AH$479,MATCH(D$2,Kraftvärmeprod!$B$1:$AG$1,0),FALSE)/1,"")</f>
        <v/>
      </c>
      <c r="F298" s="31" t="str">
        <f>IF($D298="","",IFERROR(VLOOKUP($B298,Kraftvärmeprod!$B$1:$BX$550,MATCH(F$2,Kraftvärmeprod!$B$1:$VX$1,0),FALSE)/1,0)-IFERROR(VLOOKUP($B298,'Slutlig allokering kvv'!$B$2:$BX$550,MATCH(F$2,'Slutlig allokering kvv'!$B$1:$BX$1,0),FALSE)/1,0))</f>
        <v/>
      </c>
      <c r="G298" s="31" t="str">
        <f>IF($D298="","",IFERROR(VLOOKUP($B298,Kraftvärmeprod!$B$1:$BX$550,MATCH(G$2,Kraftvärmeprod!$B$1:$VX$1,0),FALSE)/1,0)-IFERROR(VLOOKUP($B298,'Slutlig allokering kvv'!$B$2:$BX$550,MATCH(G$2,'Slutlig allokering kvv'!$B$1:$BX$1,0),FALSE)/1,0))</f>
        <v/>
      </c>
      <c r="H298" s="31" t="str">
        <f>IF($D298="","",IFERROR(VLOOKUP($B298,Kraftvärmeprod!$B$1:$BX$550,MATCH(H$2,Kraftvärmeprod!$B$1:$VX$1,0),FALSE)/1,0)-IFERROR(VLOOKUP($B298,'Slutlig allokering kvv'!$B$2:$BX$550,MATCH(H$2,'Slutlig allokering kvv'!$B$1:$BX$1,0),FALSE)/1,0))</f>
        <v/>
      </c>
      <c r="I298" s="31" t="str">
        <f>IF($D298="","",IFERROR(VLOOKUP($B298,Kraftvärmeprod!$B$1:$BX$550,MATCH(I$2,Kraftvärmeprod!$B$1:$VX$1,0),FALSE)/1,0)-IFERROR(VLOOKUP($B298,'Slutlig allokering kvv'!$B$2:$BX$550,MATCH(I$2,'Slutlig allokering kvv'!$B$1:$BX$1,0),FALSE)/1,0))</f>
        <v/>
      </c>
      <c r="J298" s="31" t="str">
        <f>IF($D298="","",IFERROR(VLOOKUP($B298,Kraftvärmeprod!$B$1:$BX$550,MATCH(J$2,Kraftvärmeprod!$B$1:$VX$1,0),FALSE)/1,0)-IFERROR(VLOOKUP($B298,'Slutlig allokering kvv'!$B$2:$BX$550,MATCH(J$2,'Slutlig allokering kvv'!$B$1:$BX$1,0),FALSE)/1,0))</f>
        <v/>
      </c>
      <c r="K298" s="31" t="str">
        <f>IF($D298="","",IFERROR(VLOOKUP($B298,Kraftvärmeprod!$B$1:$BX$550,MATCH(K$2,Kraftvärmeprod!$B$1:$VX$1,0),FALSE)/1,0)-IFERROR(VLOOKUP($B298,'Slutlig allokering kvv'!$B$2:$BX$550,MATCH(K$2,'Slutlig allokering kvv'!$B$1:$BX$1,0),FALSE)/1,0))</f>
        <v/>
      </c>
      <c r="L298" s="31" t="str">
        <f>IF($D298="","",IFERROR(VLOOKUP($B298,Kraftvärmeprod!$B$1:$BX$550,MATCH(L$2,Kraftvärmeprod!$B$1:$VX$1,0),FALSE)/1,0)-IFERROR(VLOOKUP($B298,'Slutlig allokering kvv'!$B$2:$BX$550,MATCH(L$2,'Slutlig allokering kvv'!$B$1:$BX$1,0),FALSE)/1,0))</f>
        <v/>
      </c>
      <c r="M298" s="31" t="str">
        <f>IF($D298="","",IFERROR(VLOOKUP($B298,Kraftvärmeprod!$B$1:$BX$550,MATCH(M$2,Kraftvärmeprod!$B$1:$VX$1,0),FALSE)/1,0)-IFERROR(VLOOKUP($B298,'Slutlig allokering kvv'!$B$2:$BX$550,MATCH(M$2,'Slutlig allokering kvv'!$B$1:$BX$1,0),FALSE)/1,0))</f>
        <v/>
      </c>
      <c r="N298" s="31" t="str">
        <f>IF($D298="","",IFERROR(VLOOKUP($B298,Kraftvärmeprod!$B$1:$BX$550,MATCH(N$2,Kraftvärmeprod!$B$1:$VX$1,0),FALSE)/1,0)-IFERROR(VLOOKUP($B298,'Slutlig allokering kvv'!$B$2:$BX$550,MATCH(N$2,'Slutlig allokering kvv'!$B$1:$BX$1,0),FALSE)/1,0))</f>
        <v/>
      </c>
      <c r="O298" s="31" t="str">
        <f>IF($D298="","",IFERROR(VLOOKUP($B298,Kraftvärmeprod!$B$1:$BX$550,MATCH(O$2,Kraftvärmeprod!$B$1:$VX$1,0),FALSE)/1,0)-IFERROR(VLOOKUP($B298,'Slutlig allokering kvv'!$B$2:$BX$550,MATCH(O$2,'Slutlig allokering kvv'!$B$1:$BX$1,0),FALSE)/1,0))</f>
        <v/>
      </c>
      <c r="P298" s="31" t="str">
        <f>IF($D298="","",IFERROR(VLOOKUP($B298,Kraftvärmeprod!$B$1:$BX$550,MATCH(P$2,Kraftvärmeprod!$B$1:$VX$1,0),FALSE)/1,0)-IFERROR(VLOOKUP($B298,'Slutlig allokering kvv'!$B$2:$BX$550,MATCH(P$2,'Slutlig allokering kvv'!$B$1:$BX$1,0),FALSE)/1,0))</f>
        <v/>
      </c>
      <c r="Q298" s="31" t="str">
        <f>IF($D298="","",IFERROR(VLOOKUP($B298,Kraftvärmeprod!$B$1:$BX$550,MATCH(Q$2,Kraftvärmeprod!$B$1:$VX$1,0),FALSE)/1,0)-IFERROR(VLOOKUP($B298,'Slutlig allokering kvv'!$B$2:$BX$550,MATCH(Q$2,'Slutlig allokering kvv'!$B$1:$BX$1,0),FALSE)/1,0))</f>
        <v/>
      </c>
      <c r="R298" s="31" t="str">
        <f>IF($D298="","",IFERROR(VLOOKUP($B298,Kraftvärmeprod!$B$1:$BX$550,MATCH(R$2,Kraftvärmeprod!$B$1:$VX$1,0),FALSE)/1,0)-IFERROR(VLOOKUP($B298,'Slutlig allokering kvv'!$B$2:$BX$550,MATCH(R$2,'Slutlig allokering kvv'!$B$1:$BX$1,0),FALSE)/1,0))</f>
        <v/>
      </c>
      <c r="S298" s="31" t="str">
        <f>IF($D298="","",IFERROR(VLOOKUP($B298,Kraftvärmeprod!$B$1:$BX$550,MATCH(S$2,Kraftvärmeprod!$B$1:$VX$1,0),FALSE)/1,0)-IFERROR(VLOOKUP($B298,'Slutlig allokering kvv'!$B$2:$BX$550,MATCH(S$2,'Slutlig allokering kvv'!$B$1:$BX$1,0),FALSE)/1,0))</f>
        <v/>
      </c>
      <c r="T298" s="31" t="str">
        <f>IF($D298="","",IFERROR(VLOOKUP($B298,Kraftvärmeprod!$B$1:$BX$550,MATCH(T$2,Kraftvärmeprod!$B$1:$VX$1,0),FALSE)/1,0)-IFERROR(VLOOKUP($B298,'Slutlig allokering kvv'!$B$2:$BX$550,MATCH(T$2,'Slutlig allokering kvv'!$B$1:$BX$1,0),FALSE)/1,0))</f>
        <v/>
      </c>
      <c r="U298" s="31" t="str">
        <f>IF($D298="","",IFERROR(VLOOKUP($B298,Kraftvärmeprod!$B$1:$BX$550,MATCH(U$2,Kraftvärmeprod!$B$1:$VX$1,0),FALSE)/1,0)-IFERROR(VLOOKUP($B298,'Slutlig allokering kvv'!$B$2:$BX$550,MATCH(U$2,'Slutlig allokering kvv'!$B$1:$BX$1,0),FALSE)/1,0))</f>
        <v/>
      </c>
      <c r="V298" s="31" t="str">
        <f>IF($D298="","",IFERROR(VLOOKUP($B298,Kraftvärmeprod!$B$1:$BX$550,MATCH(V$2,Kraftvärmeprod!$B$1:$VX$1,0),FALSE)/1,0)-IFERROR(VLOOKUP($B298,'Slutlig allokering kvv'!$B$2:$BX$550,MATCH(V$2,'Slutlig allokering kvv'!$B$1:$BX$1,0),FALSE)/1,0))</f>
        <v/>
      </c>
      <c r="W298" s="31" t="str">
        <f>IF($D298="","",IFERROR(VLOOKUP($B298,Kraftvärmeprod!$B$1:$BX$550,MATCH(W$2,Kraftvärmeprod!$B$1:$VX$1,0),FALSE)/1,0)-IFERROR(VLOOKUP($B298,'Slutlig allokering kvv'!$B$2:$BX$550,MATCH(W$2,'Slutlig allokering kvv'!$B$1:$BX$1,0),FALSE)/1,0))</f>
        <v/>
      </c>
      <c r="X298" s="31" t="str">
        <f>IF($D298="","",IFERROR(VLOOKUP($B298,Kraftvärmeprod!$B$1:$BX$550,MATCH(X$2,Kraftvärmeprod!$B$1:$VX$1,0),FALSE)/1,0)-IFERROR(VLOOKUP($B298,'Slutlig allokering kvv'!$B$2:$BX$550,MATCH(X$2,'Slutlig allokering kvv'!$B$1:$BX$1,0),FALSE)/1,0))</f>
        <v/>
      </c>
      <c r="Y298" s="31" t="str">
        <f>IF($D298="","",IFERROR(VLOOKUP($B298,Kraftvärmeprod!$B$1:$BX$550,MATCH(Y$2,Kraftvärmeprod!$B$1:$VX$1,0),FALSE)/1,0)-IFERROR(VLOOKUP($B298,'Slutlig allokering kvv'!$B$2:$BX$550,MATCH(Y$2,'Slutlig allokering kvv'!$B$1:$BX$1,0),FALSE)/1,0))</f>
        <v/>
      </c>
      <c r="Z298" s="31" t="str">
        <f>IF($D298="","",IFERROR(VLOOKUP($B298,Kraftvärmeprod!$B$1:$BX$550,MATCH(Z$2,Kraftvärmeprod!$B$1:$VX$1,0),FALSE)/1,0)-IFERROR(VLOOKUP($B298,'Slutlig allokering kvv'!$B$2:$BX$550,MATCH(Z$2,'Slutlig allokering kvv'!$B$1:$BX$1,0),FALSE)/1,0))</f>
        <v/>
      </c>
      <c r="AA298" s="31" t="str">
        <f>IF($D298="","",IFERROR(VLOOKUP($B298,Kraftvärmeprod!$B$1:$BX$550,MATCH(AA$2,Kraftvärmeprod!$B$1:$VX$1,0),FALSE)/1,0)-IFERROR(VLOOKUP($B298,'Slutlig allokering kvv'!$B$2:$BX$550,MATCH(AA$2,'Slutlig allokering kvv'!$B$1:$BX$1,0),FALSE)/1,0))</f>
        <v/>
      </c>
      <c r="AB298" s="31" t="str">
        <f>IF($D298="","",IFERROR(VLOOKUP($B298,Kraftvärmeprod!$B$1:$BX$550,MATCH(AB$2,Kraftvärmeprod!$B$1:$VX$1,0),FALSE)/1,0)-IFERROR(VLOOKUP($B298,'Slutlig allokering kvv'!$B$2:$BX$550,MATCH(AB$2,'Slutlig allokering kvv'!$B$1:$BX$1,0),FALSE)/1,0))</f>
        <v/>
      </c>
      <c r="AC298" s="31" t="str">
        <f>IF($D298="","",IFERROR(VLOOKUP($B298,Kraftvärmeprod!$B$1:$BX$550,MATCH(AC$2,Kraftvärmeprod!$B$1:$VX$1,0),FALSE)/1,0)-IFERROR(VLOOKUP($B298,'Slutlig allokering kvv'!$B$2:$BX$550,MATCH(AC$2,'Slutlig allokering kvv'!$B$1:$BX$1,0),FALSE)/1,0))</f>
        <v/>
      </c>
      <c r="AD298" s="31" t="str">
        <f>IF($D298="","",IFERROR(VLOOKUP($B298,Kraftvärmeprod!$B$1:$BX$550,MATCH(AD$2,Kraftvärmeprod!$B$1:$VX$1,0),FALSE)/1,0)-IFERROR(VLOOKUP($B298,'Slutlig allokering kvv'!$B$2:$BX$550,MATCH(AD$2,'Slutlig allokering kvv'!$B$1:$BX$1,0),FALSE)/1,0))</f>
        <v/>
      </c>
      <c r="AE298" s="31" t="str">
        <f>IF($D298="","",IFERROR(VLOOKUP($B298,Miljö!$B$1:$E$550,MATCH("Hjälpel kraftvärme (GWh)",Miljö!$B$1:$E$1,0),FALSE)/1,0)-IFERROR(VLOOKUP($B298,'Slutlig allokering kvv'!$B$2:$BX$549,MATCH(AE$2,'Slutlig allokering kvv'!$B$1:$BX$1,0),FALSE)/1,0))</f>
        <v/>
      </c>
      <c r="AI298" s="39">
        <f t="shared" si="16"/>
        <v>0</v>
      </c>
      <c r="AK298" s="31">
        <f>IFERROR(VLOOKUP($B298,'Slutlig allokering kvv'!$B$2:$AX$549,MATCH("Summa slutlig allokerad tillförd energi (utan hjälpel och rökgaskondensering):",'Slutlig allokering kvv'!$B$1:$AX$1,0),FALSE)/1,"")</f>
        <v>0</v>
      </c>
      <c r="AM298" s="31" t="str">
        <f>IFERROR(1-VLOOKUP($B298,'Slutlig allokering kvv'!$B$2:$AX$549,MATCH("Andel av bränsle i kvv som allokerats till värme, exklusive rökgaskondensering och hjälpel",'Slutlig allokering kvv'!$B$1:$AX$1,0),FALSE),"")</f>
        <v/>
      </c>
      <c r="AO298" s="31" t="str">
        <f t="shared" si="17"/>
        <v/>
      </c>
      <c r="AP298" s="31" t="str">
        <f t="shared" si="18"/>
        <v/>
      </c>
      <c r="AR298" s="32" t="str">
        <f t="shared" si="19"/>
        <v/>
      </c>
    </row>
    <row r="299" spans="1:44" s="31" customFormat="1" x14ac:dyDescent="0.45">
      <c r="A299" s="31" t="s">
        <v>243</v>
      </c>
      <c r="B299" s="31" t="s">
        <v>247</v>
      </c>
      <c r="C299" s="31" t="str">
        <f>IFERROR(VLOOKUP($B299,Kraftvärmeprod!$B$1:$AH$479,MATCH(C$2,Kraftvärmeprod!$B$1:$AG$1,0),FALSE)/1,"")</f>
        <v/>
      </c>
      <c r="D299" s="31" t="str">
        <f>IFERROR(VLOOKUP($B299,Kraftvärmeprod!$B$1:$AH$479,MATCH(D$2,Kraftvärmeprod!$B$1:$AG$1,0),FALSE)/1,"")</f>
        <v/>
      </c>
      <c r="F299" s="31" t="str">
        <f>IF($D299="","",IFERROR(VLOOKUP($B299,Kraftvärmeprod!$B$1:$BX$550,MATCH(F$2,Kraftvärmeprod!$B$1:$VX$1,0),FALSE)/1,0)-IFERROR(VLOOKUP($B299,'Slutlig allokering kvv'!$B$2:$BX$550,MATCH(F$2,'Slutlig allokering kvv'!$B$1:$BX$1,0),FALSE)/1,0))</f>
        <v/>
      </c>
      <c r="G299" s="31" t="str">
        <f>IF($D299="","",IFERROR(VLOOKUP($B299,Kraftvärmeprod!$B$1:$BX$550,MATCH(G$2,Kraftvärmeprod!$B$1:$VX$1,0),FALSE)/1,0)-IFERROR(VLOOKUP($B299,'Slutlig allokering kvv'!$B$2:$BX$550,MATCH(G$2,'Slutlig allokering kvv'!$B$1:$BX$1,0),FALSE)/1,0))</f>
        <v/>
      </c>
      <c r="H299" s="31" t="str">
        <f>IF($D299="","",IFERROR(VLOOKUP($B299,Kraftvärmeprod!$B$1:$BX$550,MATCH(H$2,Kraftvärmeprod!$B$1:$VX$1,0),FALSE)/1,0)-IFERROR(VLOOKUP($B299,'Slutlig allokering kvv'!$B$2:$BX$550,MATCH(H$2,'Slutlig allokering kvv'!$B$1:$BX$1,0),FALSE)/1,0))</f>
        <v/>
      </c>
      <c r="I299" s="31" t="str">
        <f>IF($D299="","",IFERROR(VLOOKUP($B299,Kraftvärmeprod!$B$1:$BX$550,MATCH(I$2,Kraftvärmeprod!$B$1:$VX$1,0),FALSE)/1,0)-IFERROR(VLOOKUP($B299,'Slutlig allokering kvv'!$B$2:$BX$550,MATCH(I$2,'Slutlig allokering kvv'!$B$1:$BX$1,0),FALSE)/1,0))</f>
        <v/>
      </c>
      <c r="J299" s="31" t="str">
        <f>IF($D299="","",IFERROR(VLOOKUP($B299,Kraftvärmeprod!$B$1:$BX$550,MATCH(J$2,Kraftvärmeprod!$B$1:$VX$1,0),FALSE)/1,0)-IFERROR(VLOOKUP($B299,'Slutlig allokering kvv'!$B$2:$BX$550,MATCH(J$2,'Slutlig allokering kvv'!$B$1:$BX$1,0),FALSE)/1,0))</f>
        <v/>
      </c>
      <c r="K299" s="31" t="str">
        <f>IF($D299="","",IFERROR(VLOOKUP($B299,Kraftvärmeprod!$B$1:$BX$550,MATCH(K$2,Kraftvärmeprod!$B$1:$VX$1,0),FALSE)/1,0)-IFERROR(VLOOKUP($B299,'Slutlig allokering kvv'!$B$2:$BX$550,MATCH(K$2,'Slutlig allokering kvv'!$B$1:$BX$1,0),FALSE)/1,0))</f>
        <v/>
      </c>
      <c r="L299" s="31" t="str">
        <f>IF($D299="","",IFERROR(VLOOKUP($B299,Kraftvärmeprod!$B$1:$BX$550,MATCH(L$2,Kraftvärmeprod!$B$1:$VX$1,0),FALSE)/1,0)-IFERROR(VLOOKUP($B299,'Slutlig allokering kvv'!$B$2:$BX$550,MATCH(L$2,'Slutlig allokering kvv'!$B$1:$BX$1,0),FALSE)/1,0))</f>
        <v/>
      </c>
      <c r="M299" s="31" t="str">
        <f>IF($D299="","",IFERROR(VLOOKUP($B299,Kraftvärmeprod!$B$1:$BX$550,MATCH(M$2,Kraftvärmeprod!$B$1:$VX$1,0),FALSE)/1,0)-IFERROR(VLOOKUP($B299,'Slutlig allokering kvv'!$B$2:$BX$550,MATCH(M$2,'Slutlig allokering kvv'!$B$1:$BX$1,0),FALSE)/1,0))</f>
        <v/>
      </c>
      <c r="N299" s="31" t="str">
        <f>IF($D299="","",IFERROR(VLOOKUP($B299,Kraftvärmeprod!$B$1:$BX$550,MATCH(N$2,Kraftvärmeprod!$B$1:$VX$1,0),FALSE)/1,0)-IFERROR(VLOOKUP($B299,'Slutlig allokering kvv'!$B$2:$BX$550,MATCH(N$2,'Slutlig allokering kvv'!$B$1:$BX$1,0),FALSE)/1,0))</f>
        <v/>
      </c>
      <c r="O299" s="31" t="str">
        <f>IF($D299="","",IFERROR(VLOOKUP($B299,Kraftvärmeprod!$B$1:$BX$550,MATCH(O$2,Kraftvärmeprod!$B$1:$VX$1,0),FALSE)/1,0)-IFERROR(VLOOKUP($B299,'Slutlig allokering kvv'!$B$2:$BX$550,MATCH(O$2,'Slutlig allokering kvv'!$B$1:$BX$1,0),FALSE)/1,0))</f>
        <v/>
      </c>
      <c r="P299" s="31" t="str">
        <f>IF($D299="","",IFERROR(VLOOKUP($B299,Kraftvärmeprod!$B$1:$BX$550,MATCH(P$2,Kraftvärmeprod!$B$1:$VX$1,0),FALSE)/1,0)-IFERROR(VLOOKUP($B299,'Slutlig allokering kvv'!$B$2:$BX$550,MATCH(P$2,'Slutlig allokering kvv'!$B$1:$BX$1,0),FALSE)/1,0))</f>
        <v/>
      </c>
      <c r="Q299" s="31" t="str">
        <f>IF($D299="","",IFERROR(VLOOKUP($B299,Kraftvärmeprod!$B$1:$BX$550,MATCH(Q$2,Kraftvärmeprod!$B$1:$VX$1,0),FALSE)/1,0)-IFERROR(VLOOKUP($B299,'Slutlig allokering kvv'!$B$2:$BX$550,MATCH(Q$2,'Slutlig allokering kvv'!$B$1:$BX$1,0),FALSE)/1,0))</f>
        <v/>
      </c>
      <c r="R299" s="31" t="str">
        <f>IF($D299="","",IFERROR(VLOOKUP($B299,Kraftvärmeprod!$B$1:$BX$550,MATCH(R$2,Kraftvärmeprod!$B$1:$VX$1,0),FALSE)/1,0)-IFERROR(VLOOKUP($B299,'Slutlig allokering kvv'!$B$2:$BX$550,MATCH(R$2,'Slutlig allokering kvv'!$B$1:$BX$1,0),FALSE)/1,0))</f>
        <v/>
      </c>
      <c r="S299" s="31" t="str">
        <f>IF($D299="","",IFERROR(VLOOKUP($B299,Kraftvärmeprod!$B$1:$BX$550,MATCH(S$2,Kraftvärmeprod!$B$1:$VX$1,0),FALSE)/1,0)-IFERROR(VLOOKUP($B299,'Slutlig allokering kvv'!$B$2:$BX$550,MATCH(S$2,'Slutlig allokering kvv'!$B$1:$BX$1,0),FALSE)/1,0))</f>
        <v/>
      </c>
      <c r="T299" s="31" t="str">
        <f>IF($D299="","",IFERROR(VLOOKUP($B299,Kraftvärmeprod!$B$1:$BX$550,MATCH(T$2,Kraftvärmeprod!$B$1:$VX$1,0),FALSE)/1,0)-IFERROR(VLOOKUP($B299,'Slutlig allokering kvv'!$B$2:$BX$550,MATCH(T$2,'Slutlig allokering kvv'!$B$1:$BX$1,0),FALSE)/1,0))</f>
        <v/>
      </c>
      <c r="U299" s="31" t="str">
        <f>IF($D299="","",IFERROR(VLOOKUP($B299,Kraftvärmeprod!$B$1:$BX$550,MATCH(U$2,Kraftvärmeprod!$B$1:$VX$1,0),FALSE)/1,0)-IFERROR(VLOOKUP($B299,'Slutlig allokering kvv'!$B$2:$BX$550,MATCH(U$2,'Slutlig allokering kvv'!$B$1:$BX$1,0),FALSE)/1,0))</f>
        <v/>
      </c>
      <c r="V299" s="31" t="str">
        <f>IF($D299="","",IFERROR(VLOOKUP($B299,Kraftvärmeprod!$B$1:$BX$550,MATCH(V$2,Kraftvärmeprod!$B$1:$VX$1,0),FALSE)/1,0)-IFERROR(VLOOKUP($B299,'Slutlig allokering kvv'!$B$2:$BX$550,MATCH(V$2,'Slutlig allokering kvv'!$B$1:$BX$1,0),FALSE)/1,0))</f>
        <v/>
      </c>
      <c r="W299" s="31" t="str">
        <f>IF($D299="","",IFERROR(VLOOKUP($B299,Kraftvärmeprod!$B$1:$BX$550,MATCH(W$2,Kraftvärmeprod!$B$1:$VX$1,0),FALSE)/1,0)-IFERROR(VLOOKUP($B299,'Slutlig allokering kvv'!$B$2:$BX$550,MATCH(W$2,'Slutlig allokering kvv'!$B$1:$BX$1,0),FALSE)/1,0))</f>
        <v/>
      </c>
      <c r="X299" s="31" t="str">
        <f>IF($D299="","",IFERROR(VLOOKUP($B299,Kraftvärmeprod!$B$1:$BX$550,MATCH(X$2,Kraftvärmeprod!$B$1:$VX$1,0),FALSE)/1,0)-IFERROR(VLOOKUP($B299,'Slutlig allokering kvv'!$B$2:$BX$550,MATCH(X$2,'Slutlig allokering kvv'!$B$1:$BX$1,0),FALSE)/1,0))</f>
        <v/>
      </c>
      <c r="Y299" s="31" t="str">
        <f>IF($D299="","",IFERROR(VLOOKUP($B299,Kraftvärmeprod!$B$1:$BX$550,MATCH(Y$2,Kraftvärmeprod!$B$1:$VX$1,0),FALSE)/1,0)-IFERROR(VLOOKUP($B299,'Slutlig allokering kvv'!$B$2:$BX$550,MATCH(Y$2,'Slutlig allokering kvv'!$B$1:$BX$1,0),FALSE)/1,0))</f>
        <v/>
      </c>
      <c r="Z299" s="31" t="str">
        <f>IF($D299="","",IFERROR(VLOOKUP($B299,Kraftvärmeprod!$B$1:$BX$550,MATCH(Z$2,Kraftvärmeprod!$B$1:$VX$1,0),FALSE)/1,0)-IFERROR(VLOOKUP($B299,'Slutlig allokering kvv'!$B$2:$BX$550,MATCH(Z$2,'Slutlig allokering kvv'!$B$1:$BX$1,0),FALSE)/1,0))</f>
        <v/>
      </c>
      <c r="AA299" s="31" t="str">
        <f>IF($D299="","",IFERROR(VLOOKUP($B299,Kraftvärmeprod!$B$1:$BX$550,MATCH(AA$2,Kraftvärmeprod!$B$1:$VX$1,0),FALSE)/1,0)-IFERROR(VLOOKUP($B299,'Slutlig allokering kvv'!$B$2:$BX$550,MATCH(AA$2,'Slutlig allokering kvv'!$B$1:$BX$1,0),FALSE)/1,0))</f>
        <v/>
      </c>
      <c r="AB299" s="31" t="str">
        <f>IF($D299="","",IFERROR(VLOOKUP($B299,Kraftvärmeprod!$B$1:$BX$550,MATCH(AB$2,Kraftvärmeprod!$B$1:$VX$1,0),FALSE)/1,0)-IFERROR(VLOOKUP($B299,'Slutlig allokering kvv'!$B$2:$BX$550,MATCH(AB$2,'Slutlig allokering kvv'!$B$1:$BX$1,0),FALSE)/1,0))</f>
        <v/>
      </c>
      <c r="AC299" s="31" t="str">
        <f>IF($D299="","",IFERROR(VLOOKUP($B299,Kraftvärmeprod!$B$1:$BX$550,MATCH(AC$2,Kraftvärmeprod!$B$1:$VX$1,0),FALSE)/1,0)-IFERROR(VLOOKUP($B299,'Slutlig allokering kvv'!$B$2:$BX$550,MATCH(AC$2,'Slutlig allokering kvv'!$B$1:$BX$1,0),FALSE)/1,0))</f>
        <v/>
      </c>
      <c r="AD299" s="31" t="str">
        <f>IF($D299="","",IFERROR(VLOOKUP($B299,Kraftvärmeprod!$B$1:$BX$550,MATCH(AD$2,Kraftvärmeprod!$B$1:$VX$1,0),FALSE)/1,0)-IFERROR(VLOOKUP($B299,'Slutlig allokering kvv'!$B$2:$BX$550,MATCH(AD$2,'Slutlig allokering kvv'!$B$1:$BX$1,0),FALSE)/1,0))</f>
        <v/>
      </c>
      <c r="AE299" s="31" t="str">
        <f>IF($D299="","",IFERROR(VLOOKUP($B299,Miljö!$B$1:$E$550,MATCH("Hjälpel kraftvärme (GWh)",Miljö!$B$1:$E$1,0),FALSE)/1,0)-IFERROR(VLOOKUP($B299,'Slutlig allokering kvv'!$B$2:$BX$549,MATCH(AE$2,'Slutlig allokering kvv'!$B$1:$BX$1,0),FALSE)/1,0))</f>
        <v/>
      </c>
      <c r="AI299" s="39">
        <f t="shared" si="16"/>
        <v>0</v>
      </c>
      <c r="AK299" s="31">
        <f>IFERROR(VLOOKUP($B299,'Slutlig allokering kvv'!$B$2:$AX$549,MATCH("Summa slutlig allokerad tillförd energi (utan hjälpel och rökgaskondensering):",'Slutlig allokering kvv'!$B$1:$AX$1,0),FALSE)/1,"")</f>
        <v>0</v>
      </c>
      <c r="AM299" s="31" t="str">
        <f>IFERROR(1-VLOOKUP($B299,'Slutlig allokering kvv'!$B$2:$AX$549,MATCH("Andel av bränsle i kvv som allokerats till värme, exklusive rökgaskondensering och hjälpel",'Slutlig allokering kvv'!$B$1:$AX$1,0),FALSE),"")</f>
        <v/>
      </c>
      <c r="AO299" s="31" t="str">
        <f t="shared" si="17"/>
        <v/>
      </c>
      <c r="AP299" s="31" t="str">
        <f t="shared" si="18"/>
        <v/>
      </c>
      <c r="AR299" s="32" t="str">
        <f t="shared" si="19"/>
        <v/>
      </c>
    </row>
    <row r="300" spans="1:44" s="31" customFormat="1" x14ac:dyDescent="0.45">
      <c r="A300" s="31" t="s">
        <v>243</v>
      </c>
      <c r="B300" s="31" t="s">
        <v>246</v>
      </c>
      <c r="C300" s="31" t="str">
        <f>IFERROR(VLOOKUP($B300,Kraftvärmeprod!$B$1:$AH$479,MATCH(C$2,Kraftvärmeprod!$B$1:$AG$1,0),FALSE)/1,"")</f>
        <v/>
      </c>
      <c r="D300" s="31" t="str">
        <f>IFERROR(VLOOKUP($B300,Kraftvärmeprod!$B$1:$AH$479,MATCH(D$2,Kraftvärmeprod!$B$1:$AG$1,0),FALSE)/1,"")</f>
        <v/>
      </c>
      <c r="F300" s="31" t="str">
        <f>IF($D300="","",IFERROR(VLOOKUP($B300,Kraftvärmeprod!$B$1:$BX$550,MATCH(F$2,Kraftvärmeprod!$B$1:$VX$1,0),FALSE)/1,0)-IFERROR(VLOOKUP($B300,'Slutlig allokering kvv'!$B$2:$BX$550,MATCH(F$2,'Slutlig allokering kvv'!$B$1:$BX$1,0),FALSE)/1,0))</f>
        <v/>
      </c>
      <c r="G300" s="31" t="str">
        <f>IF($D300="","",IFERROR(VLOOKUP($B300,Kraftvärmeprod!$B$1:$BX$550,MATCH(G$2,Kraftvärmeprod!$B$1:$VX$1,0),FALSE)/1,0)-IFERROR(VLOOKUP($B300,'Slutlig allokering kvv'!$B$2:$BX$550,MATCH(G$2,'Slutlig allokering kvv'!$B$1:$BX$1,0),FALSE)/1,0))</f>
        <v/>
      </c>
      <c r="H300" s="31" t="str">
        <f>IF($D300="","",IFERROR(VLOOKUP($B300,Kraftvärmeprod!$B$1:$BX$550,MATCH(H$2,Kraftvärmeprod!$B$1:$VX$1,0),FALSE)/1,0)-IFERROR(VLOOKUP($B300,'Slutlig allokering kvv'!$B$2:$BX$550,MATCH(H$2,'Slutlig allokering kvv'!$B$1:$BX$1,0),FALSE)/1,0))</f>
        <v/>
      </c>
      <c r="I300" s="31" t="str">
        <f>IF($D300="","",IFERROR(VLOOKUP($B300,Kraftvärmeprod!$B$1:$BX$550,MATCH(I$2,Kraftvärmeprod!$B$1:$VX$1,0),FALSE)/1,0)-IFERROR(VLOOKUP($B300,'Slutlig allokering kvv'!$B$2:$BX$550,MATCH(I$2,'Slutlig allokering kvv'!$B$1:$BX$1,0),FALSE)/1,0))</f>
        <v/>
      </c>
      <c r="J300" s="31" t="str">
        <f>IF($D300="","",IFERROR(VLOOKUP($B300,Kraftvärmeprod!$B$1:$BX$550,MATCH(J$2,Kraftvärmeprod!$B$1:$VX$1,0),FALSE)/1,0)-IFERROR(VLOOKUP($B300,'Slutlig allokering kvv'!$B$2:$BX$550,MATCH(J$2,'Slutlig allokering kvv'!$B$1:$BX$1,0),FALSE)/1,0))</f>
        <v/>
      </c>
      <c r="K300" s="31" t="str">
        <f>IF($D300="","",IFERROR(VLOOKUP($B300,Kraftvärmeprod!$B$1:$BX$550,MATCH(K$2,Kraftvärmeprod!$B$1:$VX$1,0),FALSE)/1,0)-IFERROR(VLOOKUP($B300,'Slutlig allokering kvv'!$B$2:$BX$550,MATCH(K$2,'Slutlig allokering kvv'!$B$1:$BX$1,0),FALSE)/1,0))</f>
        <v/>
      </c>
      <c r="L300" s="31" t="str">
        <f>IF($D300="","",IFERROR(VLOOKUP($B300,Kraftvärmeprod!$B$1:$BX$550,MATCH(L$2,Kraftvärmeprod!$B$1:$VX$1,0),FALSE)/1,0)-IFERROR(VLOOKUP($B300,'Slutlig allokering kvv'!$B$2:$BX$550,MATCH(L$2,'Slutlig allokering kvv'!$B$1:$BX$1,0),FALSE)/1,0))</f>
        <v/>
      </c>
      <c r="M300" s="31" t="str">
        <f>IF($D300="","",IFERROR(VLOOKUP($B300,Kraftvärmeprod!$B$1:$BX$550,MATCH(M$2,Kraftvärmeprod!$B$1:$VX$1,0),FALSE)/1,0)-IFERROR(VLOOKUP($B300,'Slutlig allokering kvv'!$B$2:$BX$550,MATCH(M$2,'Slutlig allokering kvv'!$B$1:$BX$1,0),FALSE)/1,0))</f>
        <v/>
      </c>
      <c r="N300" s="31" t="str">
        <f>IF($D300="","",IFERROR(VLOOKUP($B300,Kraftvärmeprod!$B$1:$BX$550,MATCH(N$2,Kraftvärmeprod!$B$1:$VX$1,0),FALSE)/1,0)-IFERROR(VLOOKUP($B300,'Slutlig allokering kvv'!$B$2:$BX$550,MATCH(N$2,'Slutlig allokering kvv'!$B$1:$BX$1,0),FALSE)/1,0))</f>
        <v/>
      </c>
      <c r="O300" s="31" t="str">
        <f>IF($D300="","",IFERROR(VLOOKUP($B300,Kraftvärmeprod!$B$1:$BX$550,MATCH(O$2,Kraftvärmeprod!$B$1:$VX$1,0),FALSE)/1,0)-IFERROR(VLOOKUP($B300,'Slutlig allokering kvv'!$B$2:$BX$550,MATCH(O$2,'Slutlig allokering kvv'!$B$1:$BX$1,0),FALSE)/1,0))</f>
        <v/>
      </c>
      <c r="P300" s="31" t="str">
        <f>IF($D300="","",IFERROR(VLOOKUP($B300,Kraftvärmeprod!$B$1:$BX$550,MATCH(P$2,Kraftvärmeprod!$B$1:$VX$1,0),FALSE)/1,0)-IFERROR(VLOOKUP($B300,'Slutlig allokering kvv'!$B$2:$BX$550,MATCH(P$2,'Slutlig allokering kvv'!$B$1:$BX$1,0),FALSE)/1,0))</f>
        <v/>
      </c>
      <c r="Q300" s="31" t="str">
        <f>IF($D300="","",IFERROR(VLOOKUP($B300,Kraftvärmeprod!$B$1:$BX$550,MATCH(Q$2,Kraftvärmeprod!$B$1:$VX$1,0),FALSE)/1,0)-IFERROR(VLOOKUP($B300,'Slutlig allokering kvv'!$B$2:$BX$550,MATCH(Q$2,'Slutlig allokering kvv'!$B$1:$BX$1,0),FALSE)/1,0))</f>
        <v/>
      </c>
      <c r="R300" s="31" t="str">
        <f>IF($D300="","",IFERROR(VLOOKUP($B300,Kraftvärmeprod!$B$1:$BX$550,MATCH(R$2,Kraftvärmeprod!$B$1:$VX$1,0),FALSE)/1,0)-IFERROR(VLOOKUP($B300,'Slutlig allokering kvv'!$B$2:$BX$550,MATCH(R$2,'Slutlig allokering kvv'!$B$1:$BX$1,0),FALSE)/1,0))</f>
        <v/>
      </c>
      <c r="S300" s="31" t="str">
        <f>IF($D300="","",IFERROR(VLOOKUP($B300,Kraftvärmeprod!$B$1:$BX$550,MATCH(S$2,Kraftvärmeprod!$B$1:$VX$1,0),FALSE)/1,0)-IFERROR(VLOOKUP($B300,'Slutlig allokering kvv'!$B$2:$BX$550,MATCH(S$2,'Slutlig allokering kvv'!$B$1:$BX$1,0),FALSE)/1,0))</f>
        <v/>
      </c>
      <c r="T300" s="31" t="str">
        <f>IF($D300="","",IFERROR(VLOOKUP($B300,Kraftvärmeprod!$B$1:$BX$550,MATCH(T$2,Kraftvärmeprod!$B$1:$VX$1,0),FALSE)/1,0)-IFERROR(VLOOKUP($B300,'Slutlig allokering kvv'!$B$2:$BX$550,MATCH(T$2,'Slutlig allokering kvv'!$B$1:$BX$1,0),FALSE)/1,0))</f>
        <v/>
      </c>
      <c r="U300" s="31" t="str">
        <f>IF($D300="","",IFERROR(VLOOKUP($B300,Kraftvärmeprod!$B$1:$BX$550,MATCH(U$2,Kraftvärmeprod!$B$1:$VX$1,0),FALSE)/1,0)-IFERROR(VLOOKUP($B300,'Slutlig allokering kvv'!$B$2:$BX$550,MATCH(U$2,'Slutlig allokering kvv'!$B$1:$BX$1,0),FALSE)/1,0))</f>
        <v/>
      </c>
      <c r="V300" s="31" t="str">
        <f>IF($D300="","",IFERROR(VLOOKUP($B300,Kraftvärmeprod!$B$1:$BX$550,MATCH(V$2,Kraftvärmeprod!$B$1:$VX$1,0),FALSE)/1,0)-IFERROR(VLOOKUP($B300,'Slutlig allokering kvv'!$B$2:$BX$550,MATCH(V$2,'Slutlig allokering kvv'!$B$1:$BX$1,0),FALSE)/1,0))</f>
        <v/>
      </c>
      <c r="W300" s="31" t="str">
        <f>IF($D300="","",IFERROR(VLOOKUP($B300,Kraftvärmeprod!$B$1:$BX$550,MATCH(W$2,Kraftvärmeprod!$B$1:$VX$1,0),FALSE)/1,0)-IFERROR(VLOOKUP($B300,'Slutlig allokering kvv'!$B$2:$BX$550,MATCH(W$2,'Slutlig allokering kvv'!$B$1:$BX$1,0),FALSE)/1,0))</f>
        <v/>
      </c>
      <c r="X300" s="31" t="str">
        <f>IF($D300="","",IFERROR(VLOOKUP($B300,Kraftvärmeprod!$B$1:$BX$550,MATCH(X$2,Kraftvärmeprod!$B$1:$VX$1,0),FALSE)/1,0)-IFERROR(VLOOKUP($B300,'Slutlig allokering kvv'!$B$2:$BX$550,MATCH(X$2,'Slutlig allokering kvv'!$B$1:$BX$1,0),FALSE)/1,0))</f>
        <v/>
      </c>
      <c r="Y300" s="31" t="str">
        <f>IF($D300="","",IFERROR(VLOOKUP($B300,Kraftvärmeprod!$B$1:$BX$550,MATCH(Y$2,Kraftvärmeprod!$B$1:$VX$1,0),FALSE)/1,0)-IFERROR(VLOOKUP($B300,'Slutlig allokering kvv'!$B$2:$BX$550,MATCH(Y$2,'Slutlig allokering kvv'!$B$1:$BX$1,0),FALSE)/1,0))</f>
        <v/>
      </c>
      <c r="Z300" s="31" t="str">
        <f>IF($D300="","",IFERROR(VLOOKUP($B300,Kraftvärmeprod!$B$1:$BX$550,MATCH(Z$2,Kraftvärmeprod!$B$1:$VX$1,0),FALSE)/1,0)-IFERROR(VLOOKUP($B300,'Slutlig allokering kvv'!$B$2:$BX$550,MATCH(Z$2,'Slutlig allokering kvv'!$B$1:$BX$1,0),FALSE)/1,0))</f>
        <v/>
      </c>
      <c r="AA300" s="31" t="str">
        <f>IF($D300="","",IFERROR(VLOOKUP($B300,Kraftvärmeprod!$B$1:$BX$550,MATCH(AA$2,Kraftvärmeprod!$B$1:$VX$1,0),FALSE)/1,0)-IFERROR(VLOOKUP($B300,'Slutlig allokering kvv'!$B$2:$BX$550,MATCH(AA$2,'Slutlig allokering kvv'!$B$1:$BX$1,0),FALSE)/1,0))</f>
        <v/>
      </c>
      <c r="AB300" s="31" t="str">
        <f>IF($D300="","",IFERROR(VLOOKUP($B300,Kraftvärmeprod!$B$1:$BX$550,MATCH(AB$2,Kraftvärmeprod!$B$1:$VX$1,0),FALSE)/1,0)-IFERROR(VLOOKUP($B300,'Slutlig allokering kvv'!$B$2:$BX$550,MATCH(AB$2,'Slutlig allokering kvv'!$B$1:$BX$1,0),FALSE)/1,0))</f>
        <v/>
      </c>
      <c r="AC300" s="31" t="str">
        <f>IF($D300="","",IFERROR(VLOOKUP($B300,Kraftvärmeprod!$B$1:$BX$550,MATCH(AC$2,Kraftvärmeprod!$B$1:$VX$1,0),FALSE)/1,0)-IFERROR(VLOOKUP($B300,'Slutlig allokering kvv'!$B$2:$BX$550,MATCH(AC$2,'Slutlig allokering kvv'!$B$1:$BX$1,0),FALSE)/1,0))</f>
        <v/>
      </c>
      <c r="AD300" s="31" t="str">
        <f>IF($D300="","",IFERROR(VLOOKUP($B300,Kraftvärmeprod!$B$1:$BX$550,MATCH(AD$2,Kraftvärmeprod!$B$1:$VX$1,0),FALSE)/1,0)-IFERROR(VLOOKUP($B300,'Slutlig allokering kvv'!$B$2:$BX$550,MATCH(AD$2,'Slutlig allokering kvv'!$B$1:$BX$1,0),FALSE)/1,0))</f>
        <v/>
      </c>
      <c r="AE300" s="31" t="str">
        <f>IF($D300="","",IFERROR(VLOOKUP($B300,Miljö!$B$1:$E$550,MATCH("Hjälpel kraftvärme (GWh)",Miljö!$B$1:$E$1,0),FALSE)/1,0)-IFERROR(VLOOKUP($B300,'Slutlig allokering kvv'!$B$2:$BX$549,MATCH(AE$2,'Slutlig allokering kvv'!$B$1:$BX$1,0),FALSE)/1,0))</f>
        <v/>
      </c>
      <c r="AI300" s="39">
        <f t="shared" si="16"/>
        <v>0</v>
      </c>
      <c r="AK300" s="31">
        <f>IFERROR(VLOOKUP($B300,'Slutlig allokering kvv'!$B$2:$AX$549,MATCH("Summa slutlig allokerad tillförd energi (utan hjälpel och rökgaskondensering):",'Slutlig allokering kvv'!$B$1:$AX$1,0),FALSE)/1,"")</f>
        <v>0</v>
      </c>
      <c r="AM300" s="31" t="str">
        <f>IFERROR(1-VLOOKUP($B300,'Slutlig allokering kvv'!$B$2:$AX$549,MATCH("Andel av bränsle i kvv som allokerats till värme, exklusive rökgaskondensering och hjälpel",'Slutlig allokering kvv'!$B$1:$AX$1,0),FALSE),"")</f>
        <v/>
      </c>
      <c r="AO300" s="31" t="str">
        <f t="shared" si="17"/>
        <v/>
      </c>
      <c r="AP300" s="31" t="str">
        <f t="shared" si="18"/>
        <v/>
      </c>
      <c r="AR300" s="32" t="str">
        <f t="shared" si="19"/>
        <v/>
      </c>
    </row>
    <row r="301" spans="1:44" s="31" customFormat="1" x14ac:dyDescent="0.45">
      <c r="A301" s="31" t="s">
        <v>232</v>
      </c>
      <c r="B301" s="31" t="s">
        <v>242</v>
      </c>
      <c r="C301" s="31" t="str">
        <f>IFERROR(VLOOKUP($B301,Kraftvärmeprod!$B$1:$AH$479,MATCH(C$2,Kraftvärmeprod!$B$1:$AG$1,0),FALSE)/1,"")</f>
        <v/>
      </c>
      <c r="D301" s="31" t="str">
        <f>IFERROR(VLOOKUP($B301,Kraftvärmeprod!$B$1:$AH$479,MATCH(D$2,Kraftvärmeprod!$B$1:$AG$1,0),FALSE)/1,"")</f>
        <v/>
      </c>
      <c r="F301" s="31" t="str">
        <f>IF($D301="","",IFERROR(VLOOKUP($B301,Kraftvärmeprod!$B$1:$BX$550,MATCH(F$2,Kraftvärmeprod!$B$1:$VX$1,0),FALSE)/1,0)-IFERROR(VLOOKUP($B301,'Slutlig allokering kvv'!$B$2:$BX$550,MATCH(F$2,'Slutlig allokering kvv'!$B$1:$BX$1,0),FALSE)/1,0))</f>
        <v/>
      </c>
      <c r="G301" s="31" t="str">
        <f>IF($D301="","",IFERROR(VLOOKUP($B301,Kraftvärmeprod!$B$1:$BX$550,MATCH(G$2,Kraftvärmeprod!$B$1:$VX$1,0),FALSE)/1,0)-IFERROR(VLOOKUP($B301,'Slutlig allokering kvv'!$B$2:$BX$550,MATCH(G$2,'Slutlig allokering kvv'!$B$1:$BX$1,0),FALSE)/1,0))</f>
        <v/>
      </c>
      <c r="H301" s="31" t="str">
        <f>IF($D301="","",IFERROR(VLOOKUP($B301,Kraftvärmeprod!$B$1:$BX$550,MATCH(H$2,Kraftvärmeprod!$B$1:$VX$1,0),FALSE)/1,0)-IFERROR(VLOOKUP($B301,'Slutlig allokering kvv'!$B$2:$BX$550,MATCH(H$2,'Slutlig allokering kvv'!$B$1:$BX$1,0),FALSE)/1,0))</f>
        <v/>
      </c>
      <c r="I301" s="31" t="str">
        <f>IF($D301="","",IFERROR(VLOOKUP($B301,Kraftvärmeprod!$B$1:$BX$550,MATCH(I$2,Kraftvärmeprod!$B$1:$VX$1,0),FALSE)/1,0)-IFERROR(VLOOKUP($B301,'Slutlig allokering kvv'!$B$2:$BX$550,MATCH(I$2,'Slutlig allokering kvv'!$B$1:$BX$1,0),FALSE)/1,0))</f>
        <v/>
      </c>
      <c r="J301" s="31" t="str">
        <f>IF($D301="","",IFERROR(VLOOKUP($B301,Kraftvärmeprod!$B$1:$BX$550,MATCH(J$2,Kraftvärmeprod!$B$1:$VX$1,0),FALSE)/1,0)-IFERROR(VLOOKUP($B301,'Slutlig allokering kvv'!$B$2:$BX$550,MATCH(J$2,'Slutlig allokering kvv'!$B$1:$BX$1,0),FALSE)/1,0))</f>
        <v/>
      </c>
      <c r="K301" s="31" t="str">
        <f>IF($D301="","",IFERROR(VLOOKUP($B301,Kraftvärmeprod!$B$1:$BX$550,MATCH(K$2,Kraftvärmeprod!$B$1:$VX$1,0),FALSE)/1,0)-IFERROR(VLOOKUP($B301,'Slutlig allokering kvv'!$B$2:$BX$550,MATCH(K$2,'Slutlig allokering kvv'!$B$1:$BX$1,0),FALSE)/1,0))</f>
        <v/>
      </c>
      <c r="L301" s="31" t="str">
        <f>IF($D301="","",IFERROR(VLOOKUP($B301,Kraftvärmeprod!$B$1:$BX$550,MATCH(L$2,Kraftvärmeprod!$B$1:$VX$1,0),FALSE)/1,0)-IFERROR(VLOOKUP($B301,'Slutlig allokering kvv'!$B$2:$BX$550,MATCH(L$2,'Slutlig allokering kvv'!$B$1:$BX$1,0),FALSE)/1,0))</f>
        <v/>
      </c>
      <c r="M301" s="31" t="str">
        <f>IF($D301="","",IFERROR(VLOOKUP($B301,Kraftvärmeprod!$B$1:$BX$550,MATCH(M$2,Kraftvärmeprod!$B$1:$VX$1,0),FALSE)/1,0)-IFERROR(VLOOKUP($B301,'Slutlig allokering kvv'!$B$2:$BX$550,MATCH(M$2,'Slutlig allokering kvv'!$B$1:$BX$1,0),FALSE)/1,0))</f>
        <v/>
      </c>
      <c r="N301" s="31" t="str">
        <f>IF($D301="","",IFERROR(VLOOKUP($B301,Kraftvärmeprod!$B$1:$BX$550,MATCH(N$2,Kraftvärmeprod!$B$1:$VX$1,0),FALSE)/1,0)-IFERROR(VLOOKUP($B301,'Slutlig allokering kvv'!$B$2:$BX$550,MATCH(N$2,'Slutlig allokering kvv'!$B$1:$BX$1,0),FALSE)/1,0))</f>
        <v/>
      </c>
      <c r="O301" s="31" t="str">
        <f>IF($D301="","",IFERROR(VLOOKUP($B301,Kraftvärmeprod!$B$1:$BX$550,MATCH(O$2,Kraftvärmeprod!$B$1:$VX$1,0),FALSE)/1,0)-IFERROR(VLOOKUP($B301,'Slutlig allokering kvv'!$B$2:$BX$550,MATCH(O$2,'Slutlig allokering kvv'!$B$1:$BX$1,0),FALSE)/1,0))</f>
        <v/>
      </c>
      <c r="P301" s="31" t="str">
        <f>IF($D301="","",IFERROR(VLOOKUP($B301,Kraftvärmeprod!$B$1:$BX$550,MATCH(P$2,Kraftvärmeprod!$B$1:$VX$1,0),FALSE)/1,0)-IFERROR(VLOOKUP($B301,'Slutlig allokering kvv'!$B$2:$BX$550,MATCH(P$2,'Slutlig allokering kvv'!$B$1:$BX$1,0),FALSE)/1,0))</f>
        <v/>
      </c>
      <c r="Q301" s="31" t="str">
        <f>IF($D301="","",IFERROR(VLOOKUP($B301,Kraftvärmeprod!$B$1:$BX$550,MATCH(Q$2,Kraftvärmeprod!$B$1:$VX$1,0),FALSE)/1,0)-IFERROR(VLOOKUP($B301,'Slutlig allokering kvv'!$B$2:$BX$550,MATCH(Q$2,'Slutlig allokering kvv'!$B$1:$BX$1,0),FALSE)/1,0))</f>
        <v/>
      </c>
      <c r="R301" s="31" t="str">
        <f>IF($D301="","",IFERROR(VLOOKUP($B301,Kraftvärmeprod!$B$1:$BX$550,MATCH(R$2,Kraftvärmeprod!$B$1:$VX$1,0),FALSE)/1,0)-IFERROR(VLOOKUP($B301,'Slutlig allokering kvv'!$B$2:$BX$550,MATCH(R$2,'Slutlig allokering kvv'!$B$1:$BX$1,0),FALSE)/1,0))</f>
        <v/>
      </c>
      <c r="S301" s="31" t="str">
        <f>IF($D301="","",IFERROR(VLOOKUP($B301,Kraftvärmeprod!$B$1:$BX$550,MATCH(S$2,Kraftvärmeprod!$B$1:$VX$1,0),FALSE)/1,0)-IFERROR(VLOOKUP($B301,'Slutlig allokering kvv'!$B$2:$BX$550,MATCH(S$2,'Slutlig allokering kvv'!$B$1:$BX$1,0),FALSE)/1,0))</f>
        <v/>
      </c>
      <c r="T301" s="31" t="str">
        <f>IF($D301="","",IFERROR(VLOOKUP($B301,Kraftvärmeprod!$B$1:$BX$550,MATCH(T$2,Kraftvärmeprod!$B$1:$VX$1,0),FALSE)/1,0)-IFERROR(VLOOKUP($B301,'Slutlig allokering kvv'!$B$2:$BX$550,MATCH(T$2,'Slutlig allokering kvv'!$B$1:$BX$1,0),FALSE)/1,0))</f>
        <v/>
      </c>
      <c r="U301" s="31" t="str">
        <f>IF($D301="","",IFERROR(VLOOKUP($B301,Kraftvärmeprod!$B$1:$BX$550,MATCH(U$2,Kraftvärmeprod!$B$1:$VX$1,0),FALSE)/1,0)-IFERROR(VLOOKUP($B301,'Slutlig allokering kvv'!$B$2:$BX$550,MATCH(U$2,'Slutlig allokering kvv'!$B$1:$BX$1,0),FALSE)/1,0))</f>
        <v/>
      </c>
      <c r="V301" s="31" t="str">
        <f>IF($D301="","",IFERROR(VLOOKUP($B301,Kraftvärmeprod!$B$1:$BX$550,MATCH(V$2,Kraftvärmeprod!$B$1:$VX$1,0),FALSE)/1,0)-IFERROR(VLOOKUP($B301,'Slutlig allokering kvv'!$B$2:$BX$550,MATCH(V$2,'Slutlig allokering kvv'!$B$1:$BX$1,0),FALSE)/1,0))</f>
        <v/>
      </c>
      <c r="W301" s="31" t="str">
        <f>IF($D301="","",IFERROR(VLOOKUP($B301,Kraftvärmeprod!$B$1:$BX$550,MATCH(W$2,Kraftvärmeprod!$B$1:$VX$1,0),FALSE)/1,0)-IFERROR(VLOOKUP($B301,'Slutlig allokering kvv'!$B$2:$BX$550,MATCH(W$2,'Slutlig allokering kvv'!$B$1:$BX$1,0),FALSE)/1,0))</f>
        <v/>
      </c>
      <c r="X301" s="31" t="str">
        <f>IF($D301="","",IFERROR(VLOOKUP($B301,Kraftvärmeprod!$B$1:$BX$550,MATCH(X$2,Kraftvärmeprod!$B$1:$VX$1,0),FALSE)/1,0)-IFERROR(VLOOKUP($B301,'Slutlig allokering kvv'!$B$2:$BX$550,MATCH(X$2,'Slutlig allokering kvv'!$B$1:$BX$1,0),FALSE)/1,0))</f>
        <v/>
      </c>
      <c r="Y301" s="31" t="str">
        <f>IF($D301="","",IFERROR(VLOOKUP($B301,Kraftvärmeprod!$B$1:$BX$550,MATCH(Y$2,Kraftvärmeprod!$B$1:$VX$1,0),FALSE)/1,0)-IFERROR(VLOOKUP($B301,'Slutlig allokering kvv'!$B$2:$BX$550,MATCH(Y$2,'Slutlig allokering kvv'!$B$1:$BX$1,0),FALSE)/1,0))</f>
        <v/>
      </c>
      <c r="Z301" s="31" t="str">
        <f>IF($D301="","",IFERROR(VLOOKUP($B301,Kraftvärmeprod!$B$1:$BX$550,MATCH(Z$2,Kraftvärmeprod!$B$1:$VX$1,0),FALSE)/1,0)-IFERROR(VLOOKUP($B301,'Slutlig allokering kvv'!$B$2:$BX$550,MATCH(Z$2,'Slutlig allokering kvv'!$B$1:$BX$1,0),FALSE)/1,0))</f>
        <v/>
      </c>
      <c r="AA301" s="31" t="str">
        <f>IF($D301="","",IFERROR(VLOOKUP($B301,Kraftvärmeprod!$B$1:$BX$550,MATCH(AA$2,Kraftvärmeprod!$B$1:$VX$1,0),FALSE)/1,0)-IFERROR(VLOOKUP($B301,'Slutlig allokering kvv'!$B$2:$BX$550,MATCH(AA$2,'Slutlig allokering kvv'!$B$1:$BX$1,0),FALSE)/1,0))</f>
        <v/>
      </c>
      <c r="AB301" s="31" t="str">
        <f>IF($D301="","",IFERROR(VLOOKUP($B301,Kraftvärmeprod!$B$1:$BX$550,MATCH(AB$2,Kraftvärmeprod!$B$1:$VX$1,0),FALSE)/1,0)-IFERROR(VLOOKUP($B301,'Slutlig allokering kvv'!$B$2:$BX$550,MATCH(AB$2,'Slutlig allokering kvv'!$B$1:$BX$1,0),FALSE)/1,0))</f>
        <v/>
      </c>
      <c r="AC301" s="31" t="str">
        <f>IF($D301="","",IFERROR(VLOOKUP($B301,Kraftvärmeprod!$B$1:$BX$550,MATCH(AC$2,Kraftvärmeprod!$B$1:$VX$1,0),FALSE)/1,0)-IFERROR(VLOOKUP($B301,'Slutlig allokering kvv'!$B$2:$BX$550,MATCH(AC$2,'Slutlig allokering kvv'!$B$1:$BX$1,0),FALSE)/1,0))</f>
        <v/>
      </c>
      <c r="AD301" s="31" t="str">
        <f>IF($D301="","",IFERROR(VLOOKUP($B301,Kraftvärmeprod!$B$1:$BX$550,MATCH(AD$2,Kraftvärmeprod!$B$1:$VX$1,0),FALSE)/1,0)-IFERROR(VLOOKUP($B301,'Slutlig allokering kvv'!$B$2:$BX$550,MATCH(AD$2,'Slutlig allokering kvv'!$B$1:$BX$1,0),FALSE)/1,0))</f>
        <v/>
      </c>
      <c r="AE301" s="31" t="str">
        <f>IF($D301="","",IFERROR(VLOOKUP($B301,Miljö!$B$1:$E$550,MATCH("Hjälpel kraftvärme (GWh)",Miljö!$B$1:$E$1,0),FALSE)/1,0)-IFERROR(VLOOKUP($B301,'Slutlig allokering kvv'!$B$2:$BX$549,MATCH(AE$2,'Slutlig allokering kvv'!$B$1:$BX$1,0),FALSE)/1,0))</f>
        <v/>
      </c>
      <c r="AI301" s="39">
        <f t="shared" si="16"/>
        <v>0</v>
      </c>
      <c r="AK301" s="31">
        <f>IFERROR(VLOOKUP($B301,'Slutlig allokering kvv'!$B$2:$AX$549,MATCH("Summa slutlig allokerad tillförd energi (utan hjälpel och rökgaskondensering):",'Slutlig allokering kvv'!$B$1:$AX$1,0),FALSE)/1,"")</f>
        <v>0</v>
      </c>
      <c r="AM301" s="31" t="str">
        <f>IFERROR(1-VLOOKUP($B301,'Slutlig allokering kvv'!$B$2:$AX$549,MATCH("Andel av bränsle i kvv som allokerats till värme, exklusive rökgaskondensering och hjälpel",'Slutlig allokering kvv'!$B$1:$AX$1,0),FALSE),"")</f>
        <v/>
      </c>
      <c r="AO301" s="31" t="str">
        <f t="shared" si="17"/>
        <v/>
      </c>
      <c r="AP301" s="31" t="str">
        <f t="shared" si="18"/>
        <v/>
      </c>
      <c r="AR301" s="32" t="str">
        <f t="shared" si="19"/>
        <v/>
      </c>
    </row>
    <row r="302" spans="1:44" s="31" customFormat="1" x14ac:dyDescent="0.45">
      <c r="A302" s="31" t="s">
        <v>232</v>
      </c>
      <c r="B302" s="31" t="s">
        <v>241</v>
      </c>
      <c r="C302" s="31">
        <f>IFERROR(VLOOKUP($B302,Kraftvärmeprod!$B$1:$AH$479,MATCH(C$2,Kraftvärmeprod!$B$1:$AG$1,0),FALSE)/1,"")</f>
        <v>307.96699999999998</v>
      </c>
      <c r="D302" s="31">
        <f>IFERROR(VLOOKUP($B302,Kraftvärmeprod!$B$1:$AH$479,MATCH(D$2,Kraftvärmeprod!$B$1:$AG$1,0),FALSE)/1,"")</f>
        <v>74.587999999999994</v>
      </c>
      <c r="F302" s="31">
        <f>IF($D302="","",IFERROR(VLOOKUP($B302,Kraftvärmeprod!$B$1:$BX$550,MATCH(F$2,Kraftvärmeprod!$B$1:$VX$1,0),FALSE)/1,0)-IFERROR(VLOOKUP($B302,'Slutlig allokering kvv'!$B$2:$BX$550,MATCH(F$2,'Slutlig allokering kvv'!$B$1:$BX$1,0),FALSE)/1,0))</f>
        <v>0</v>
      </c>
      <c r="G302" s="31">
        <f>IF($D302="","",IFERROR(VLOOKUP($B302,Kraftvärmeprod!$B$1:$BX$550,MATCH(G$2,Kraftvärmeprod!$B$1:$VX$1,0),FALSE)/1,0)-IFERROR(VLOOKUP($B302,'Slutlig allokering kvv'!$B$2:$BX$550,MATCH(G$2,'Slutlig allokering kvv'!$B$1:$BX$1,0),FALSE)/1,0))</f>
        <v>0</v>
      </c>
      <c r="H302" s="31">
        <f>IF($D302="","",IFERROR(VLOOKUP($B302,Kraftvärmeprod!$B$1:$BX$550,MATCH(H$2,Kraftvärmeprod!$B$1:$VX$1,0),FALSE)/1,0)-IFERROR(VLOOKUP($B302,'Slutlig allokering kvv'!$B$2:$BX$550,MATCH(H$2,'Slutlig allokering kvv'!$B$1:$BX$1,0),FALSE)/1,0))</f>
        <v>0</v>
      </c>
      <c r="I302" s="31">
        <f>IF($D302="","",IFERROR(VLOOKUP($B302,Kraftvärmeprod!$B$1:$BX$550,MATCH(I$2,Kraftvärmeprod!$B$1:$VX$1,0),FALSE)/1,0)-IFERROR(VLOOKUP($B302,'Slutlig allokering kvv'!$B$2:$BX$550,MATCH(I$2,'Slutlig allokering kvv'!$B$1:$BX$1,0),FALSE)/1,0))</f>
        <v>0</v>
      </c>
      <c r="J302" s="31">
        <f>IF($D302="","",IFERROR(VLOOKUP($B302,Kraftvärmeprod!$B$1:$BX$550,MATCH(J$2,Kraftvärmeprod!$B$1:$VX$1,0),FALSE)/1,0)-IFERROR(VLOOKUP($B302,'Slutlig allokering kvv'!$B$2:$BX$550,MATCH(J$2,'Slutlig allokering kvv'!$B$1:$BX$1,0),FALSE)/1,0))</f>
        <v>0</v>
      </c>
      <c r="K302" s="31">
        <f>IF($D302="","",IFERROR(VLOOKUP($B302,Kraftvärmeprod!$B$1:$BX$550,MATCH(K$2,Kraftvärmeprod!$B$1:$VX$1,0),FALSE)/1,0)-IFERROR(VLOOKUP($B302,'Slutlig allokering kvv'!$B$2:$BX$550,MATCH(K$2,'Slutlig allokering kvv'!$B$1:$BX$1,0),FALSE)/1,0))</f>
        <v>0</v>
      </c>
      <c r="L302" s="31">
        <f>IF($D302="","",IFERROR(VLOOKUP($B302,Kraftvärmeprod!$B$1:$BX$550,MATCH(L$2,Kraftvärmeprod!$B$1:$VX$1,0),FALSE)/1,0)-IFERROR(VLOOKUP($B302,'Slutlig allokering kvv'!$B$2:$BX$550,MATCH(L$2,'Slutlig allokering kvv'!$B$1:$BX$1,0),FALSE)/1,0))</f>
        <v>0</v>
      </c>
      <c r="M302" s="31">
        <f>IF($D302="","",IFERROR(VLOOKUP($B302,Kraftvärmeprod!$B$1:$BX$550,MATCH(M$2,Kraftvärmeprod!$B$1:$VX$1,0),FALSE)/1,0)-IFERROR(VLOOKUP($B302,'Slutlig allokering kvv'!$B$2:$BX$550,MATCH(M$2,'Slutlig allokering kvv'!$B$1:$BX$1,0),FALSE)/1,0))</f>
        <v>0</v>
      </c>
      <c r="N302" s="31">
        <f>IF($D302="","",IFERROR(VLOOKUP($B302,Kraftvärmeprod!$B$1:$BX$550,MATCH(N$2,Kraftvärmeprod!$B$1:$VX$1,0),FALSE)/1,0)-IFERROR(VLOOKUP($B302,'Slutlig allokering kvv'!$B$2:$BX$550,MATCH(N$2,'Slutlig allokering kvv'!$B$1:$BX$1,0),FALSE)/1,0))</f>
        <v>1.54894</v>
      </c>
      <c r="O302" s="31">
        <f>IF($D302="","",IFERROR(VLOOKUP($B302,Kraftvärmeprod!$B$1:$BX$550,MATCH(O$2,Kraftvärmeprod!$B$1:$VX$1,0),FALSE)/1,0)-IFERROR(VLOOKUP($B302,'Slutlig allokering kvv'!$B$2:$BX$550,MATCH(O$2,'Slutlig allokering kvv'!$B$1:$BX$1,0),FALSE)/1,0))</f>
        <v>0</v>
      </c>
      <c r="P302" s="31">
        <f>IF($D302="","",IFERROR(VLOOKUP($B302,Kraftvärmeprod!$B$1:$BX$550,MATCH(P$2,Kraftvärmeprod!$B$1:$VX$1,0),FALSE)/1,0)-IFERROR(VLOOKUP($B302,'Slutlig allokering kvv'!$B$2:$BX$550,MATCH(P$2,'Slutlig allokering kvv'!$B$1:$BX$1,0),FALSE)/1,0))</f>
        <v>0</v>
      </c>
      <c r="Q302" s="31">
        <f>IF($D302="","",IFERROR(VLOOKUP($B302,Kraftvärmeprod!$B$1:$BX$550,MATCH(Q$2,Kraftvärmeprod!$B$1:$VX$1,0),FALSE)/1,0)-IFERROR(VLOOKUP($B302,'Slutlig allokering kvv'!$B$2:$BX$550,MATCH(Q$2,'Slutlig allokering kvv'!$B$1:$BX$1,0),FALSE)/1,0))</f>
        <v>0</v>
      </c>
      <c r="R302" s="31">
        <f>IF($D302="","",IFERROR(VLOOKUP($B302,Kraftvärmeprod!$B$1:$BX$550,MATCH(R$2,Kraftvärmeprod!$B$1:$VX$1,0),FALSE)/1,0)-IFERROR(VLOOKUP($B302,'Slutlig allokering kvv'!$B$2:$BX$550,MATCH(R$2,'Slutlig allokering kvv'!$B$1:$BX$1,0),FALSE)/1,0))</f>
        <v>0</v>
      </c>
      <c r="S302" s="31">
        <f>IF($D302="","",IFERROR(VLOOKUP($B302,Kraftvärmeprod!$B$1:$BX$550,MATCH(S$2,Kraftvärmeprod!$B$1:$VX$1,0),FALSE)/1,0)-IFERROR(VLOOKUP($B302,'Slutlig allokering kvv'!$B$2:$BX$550,MATCH(S$2,'Slutlig allokering kvv'!$B$1:$BX$1,0),FALSE)/1,0))</f>
        <v>0</v>
      </c>
      <c r="T302" s="31">
        <f>IF($D302="","",IFERROR(VLOOKUP($B302,Kraftvärmeprod!$B$1:$BX$550,MATCH(T$2,Kraftvärmeprod!$B$1:$VX$1,0),FALSE)/1,0)-IFERROR(VLOOKUP($B302,'Slutlig allokering kvv'!$B$2:$BX$550,MATCH(T$2,'Slutlig allokering kvv'!$B$1:$BX$1,0),FALSE)/1,0))</f>
        <v>0</v>
      </c>
      <c r="U302" s="31">
        <f>IF($D302="","",IFERROR(VLOOKUP($B302,Kraftvärmeprod!$B$1:$BX$550,MATCH(U$2,Kraftvärmeprod!$B$1:$VX$1,0),FALSE)/1,0)-IFERROR(VLOOKUP($B302,'Slutlig allokering kvv'!$B$2:$BX$550,MATCH(U$2,'Slutlig allokering kvv'!$B$1:$BX$1,0),FALSE)/1,0))</f>
        <v>0</v>
      </c>
      <c r="V302" s="31">
        <f>IF($D302="","",IFERROR(VLOOKUP($B302,Kraftvärmeprod!$B$1:$BX$550,MATCH(V$2,Kraftvärmeprod!$B$1:$VX$1,0),FALSE)/1,0)-IFERROR(VLOOKUP($B302,'Slutlig allokering kvv'!$B$2:$BX$550,MATCH(V$2,'Slutlig allokering kvv'!$B$1:$BX$1,0),FALSE)/1,0))</f>
        <v>169.47300000000001</v>
      </c>
      <c r="W302" s="31">
        <f>IF($D302="","",IFERROR(VLOOKUP($B302,Kraftvärmeprod!$B$1:$BX$550,MATCH(W$2,Kraftvärmeprod!$B$1:$VX$1,0),FALSE)/1,0)-IFERROR(VLOOKUP($B302,'Slutlig allokering kvv'!$B$2:$BX$550,MATCH(W$2,'Slutlig allokering kvv'!$B$1:$BX$1,0),FALSE)/1,0))</f>
        <v>0</v>
      </c>
      <c r="X302" s="31">
        <f>IF($D302="","",IFERROR(VLOOKUP($B302,Kraftvärmeprod!$B$1:$BX$550,MATCH(X$2,Kraftvärmeprod!$B$1:$VX$1,0),FALSE)/1,0)-IFERROR(VLOOKUP($B302,'Slutlig allokering kvv'!$B$2:$BX$550,MATCH(X$2,'Slutlig allokering kvv'!$B$1:$BX$1,0),FALSE)/1,0))</f>
        <v>0.103904</v>
      </c>
      <c r="Y302" s="31">
        <f>IF($D302="","",IFERROR(VLOOKUP($B302,Kraftvärmeprod!$B$1:$BX$550,MATCH(Y$2,Kraftvärmeprod!$B$1:$VX$1,0),FALSE)/1,0)-IFERROR(VLOOKUP($B302,'Slutlig allokering kvv'!$B$2:$BX$550,MATCH(Y$2,'Slutlig allokering kvv'!$B$1:$BX$1,0),FALSE)/1,0))</f>
        <v>0</v>
      </c>
      <c r="Z302" s="31">
        <f>IF($D302="","",IFERROR(VLOOKUP($B302,Kraftvärmeprod!$B$1:$BX$550,MATCH(Z$2,Kraftvärmeprod!$B$1:$VX$1,0),FALSE)/1,0)-IFERROR(VLOOKUP($B302,'Slutlig allokering kvv'!$B$2:$BX$550,MATCH(Z$2,'Slutlig allokering kvv'!$B$1:$BX$1,0),FALSE)/1,0))</f>
        <v>0</v>
      </c>
      <c r="AA302" s="31">
        <f>IF($D302="","",IFERROR(VLOOKUP($B302,Kraftvärmeprod!$B$1:$BX$550,MATCH(AA$2,Kraftvärmeprod!$B$1:$VX$1,0),FALSE)/1,0)-IFERROR(VLOOKUP($B302,'Slutlig allokering kvv'!$B$2:$BX$550,MATCH(AA$2,'Slutlig allokering kvv'!$B$1:$BX$1,0),FALSE)/1,0))</f>
        <v>0</v>
      </c>
      <c r="AB302" s="31">
        <f>IF($D302="","",IFERROR(VLOOKUP($B302,Kraftvärmeprod!$B$1:$BX$550,MATCH(AB$2,Kraftvärmeprod!$B$1:$VX$1,0),FALSE)/1,0)-IFERROR(VLOOKUP($B302,'Slutlig allokering kvv'!$B$2:$BX$550,MATCH(AB$2,'Slutlig allokering kvv'!$B$1:$BX$1,0),FALSE)/1,0))</f>
        <v>0</v>
      </c>
      <c r="AC302" s="31">
        <f>IF($D302="","",IFERROR(VLOOKUP($B302,Kraftvärmeprod!$B$1:$BX$550,MATCH(AC$2,Kraftvärmeprod!$B$1:$VX$1,0),FALSE)/1,0)-IFERROR(VLOOKUP($B302,'Slutlig allokering kvv'!$B$2:$BX$550,MATCH(AC$2,'Slutlig allokering kvv'!$B$1:$BX$1,0),FALSE)/1,0))</f>
        <v>0</v>
      </c>
      <c r="AD302" s="31">
        <f>IF($D302="","",IFERROR(VLOOKUP($B302,Kraftvärmeprod!$B$1:$BX$550,MATCH(AD$2,Kraftvärmeprod!$B$1:$VX$1,0),FALSE)/1,0)-IFERROR(VLOOKUP($B302,'Slutlig allokering kvv'!$B$2:$BX$550,MATCH(AD$2,'Slutlig allokering kvv'!$B$1:$BX$1,0),FALSE)/1,0))</f>
        <v>0</v>
      </c>
      <c r="AE302" s="31">
        <f>IF($D302="","",IFERROR(VLOOKUP($B302,Miljö!$B$1:$E$550,MATCH("Hjälpel kraftvärme (GWh)",Miljö!$B$1:$E$1,0),FALSE)/1,0)-IFERROR(VLOOKUP($B302,'Slutlig allokering kvv'!$B$2:$BX$549,MATCH(AE$2,'Slutlig allokering kvv'!$B$1:$BX$1,0),FALSE)/1,0))</f>
        <v>6.426499999999999</v>
      </c>
      <c r="AI302" s="39">
        <f t="shared" si="16"/>
        <v>171.125844</v>
      </c>
      <c r="AK302" s="31">
        <f>IFERROR(VLOOKUP($B302,'Slutlig allokering kvv'!$B$2:$AX$549,MATCH("Summa slutlig allokerad tillförd energi (utan hjälpel och rökgaskondensering):",'Slutlig allokering kvv'!$B$1:$AX$1,0),FALSE)/1,"")</f>
        <v>271.16915599999999</v>
      </c>
      <c r="AM302" s="31">
        <f>IFERROR(1-VLOOKUP($B302,'Slutlig allokering kvv'!$B$2:$AX$549,MATCH("Andel av bränsle i kvv som allokerats till värme, exklusive rökgaskondensering och hjälpel",'Slutlig allokering kvv'!$B$1:$AX$1,0),FALSE),"")</f>
        <v>0.38690431499338673</v>
      </c>
      <c r="AO302" s="31">
        <f t="shared" si="17"/>
        <v>0.38690431499338679</v>
      </c>
      <c r="AP302" s="31">
        <f t="shared" si="18"/>
        <v>-5.5511151231257827E-17</v>
      </c>
      <c r="AR302" s="32">
        <f t="shared" si="19"/>
        <v>0.42009020168159533</v>
      </c>
    </row>
    <row r="303" spans="1:44" s="31" customFormat="1" x14ac:dyDescent="0.45">
      <c r="A303" s="31" t="s">
        <v>232</v>
      </c>
      <c r="B303" s="31" t="s">
        <v>240</v>
      </c>
      <c r="C303" s="31" t="str">
        <f>IFERROR(VLOOKUP($B303,Kraftvärmeprod!$B$1:$AH$479,MATCH(C$2,Kraftvärmeprod!$B$1:$AG$1,0),FALSE)/1,"")</f>
        <v/>
      </c>
      <c r="D303" s="31" t="str">
        <f>IFERROR(VLOOKUP($B303,Kraftvärmeprod!$B$1:$AH$479,MATCH(D$2,Kraftvärmeprod!$B$1:$AG$1,0),FALSE)/1,"")</f>
        <v/>
      </c>
      <c r="F303" s="31" t="str">
        <f>IF($D303="","",IFERROR(VLOOKUP($B303,Kraftvärmeprod!$B$1:$BX$550,MATCH(F$2,Kraftvärmeprod!$B$1:$VX$1,0),FALSE)/1,0)-IFERROR(VLOOKUP($B303,'Slutlig allokering kvv'!$B$2:$BX$550,MATCH(F$2,'Slutlig allokering kvv'!$B$1:$BX$1,0),FALSE)/1,0))</f>
        <v/>
      </c>
      <c r="G303" s="31" t="str">
        <f>IF($D303="","",IFERROR(VLOOKUP($B303,Kraftvärmeprod!$B$1:$BX$550,MATCH(G$2,Kraftvärmeprod!$B$1:$VX$1,0),FALSE)/1,0)-IFERROR(VLOOKUP($B303,'Slutlig allokering kvv'!$B$2:$BX$550,MATCH(G$2,'Slutlig allokering kvv'!$B$1:$BX$1,0),FALSE)/1,0))</f>
        <v/>
      </c>
      <c r="H303" s="31" t="str">
        <f>IF($D303="","",IFERROR(VLOOKUP($B303,Kraftvärmeprod!$B$1:$BX$550,MATCH(H$2,Kraftvärmeprod!$B$1:$VX$1,0),FALSE)/1,0)-IFERROR(VLOOKUP($B303,'Slutlig allokering kvv'!$B$2:$BX$550,MATCH(H$2,'Slutlig allokering kvv'!$B$1:$BX$1,0),FALSE)/1,0))</f>
        <v/>
      </c>
      <c r="I303" s="31" t="str">
        <f>IF($D303="","",IFERROR(VLOOKUP($B303,Kraftvärmeprod!$B$1:$BX$550,MATCH(I$2,Kraftvärmeprod!$B$1:$VX$1,0),FALSE)/1,0)-IFERROR(VLOOKUP($B303,'Slutlig allokering kvv'!$B$2:$BX$550,MATCH(I$2,'Slutlig allokering kvv'!$B$1:$BX$1,0),FALSE)/1,0))</f>
        <v/>
      </c>
      <c r="J303" s="31" t="str">
        <f>IF($D303="","",IFERROR(VLOOKUP($B303,Kraftvärmeprod!$B$1:$BX$550,MATCH(J$2,Kraftvärmeprod!$B$1:$VX$1,0),FALSE)/1,0)-IFERROR(VLOOKUP($B303,'Slutlig allokering kvv'!$B$2:$BX$550,MATCH(J$2,'Slutlig allokering kvv'!$B$1:$BX$1,0),FALSE)/1,0))</f>
        <v/>
      </c>
      <c r="K303" s="31" t="str">
        <f>IF($D303="","",IFERROR(VLOOKUP($B303,Kraftvärmeprod!$B$1:$BX$550,MATCH(K$2,Kraftvärmeprod!$B$1:$VX$1,0),FALSE)/1,0)-IFERROR(VLOOKUP($B303,'Slutlig allokering kvv'!$B$2:$BX$550,MATCH(K$2,'Slutlig allokering kvv'!$B$1:$BX$1,0),FALSE)/1,0))</f>
        <v/>
      </c>
      <c r="L303" s="31" t="str">
        <f>IF($D303="","",IFERROR(VLOOKUP($B303,Kraftvärmeprod!$B$1:$BX$550,MATCH(L$2,Kraftvärmeprod!$B$1:$VX$1,0),FALSE)/1,0)-IFERROR(VLOOKUP($B303,'Slutlig allokering kvv'!$B$2:$BX$550,MATCH(L$2,'Slutlig allokering kvv'!$B$1:$BX$1,0),FALSE)/1,0))</f>
        <v/>
      </c>
      <c r="M303" s="31" t="str">
        <f>IF($D303="","",IFERROR(VLOOKUP($B303,Kraftvärmeprod!$B$1:$BX$550,MATCH(M$2,Kraftvärmeprod!$B$1:$VX$1,0),FALSE)/1,0)-IFERROR(VLOOKUP($B303,'Slutlig allokering kvv'!$B$2:$BX$550,MATCH(M$2,'Slutlig allokering kvv'!$B$1:$BX$1,0),FALSE)/1,0))</f>
        <v/>
      </c>
      <c r="N303" s="31" t="str">
        <f>IF($D303="","",IFERROR(VLOOKUP($B303,Kraftvärmeprod!$B$1:$BX$550,MATCH(N$2,Kraftvärmeprod!$B$1:$VX$1,0),FALSE)/1,0)-IFERROR(VLOOKUP($B303,'Slutlig allokering kvv'!$B$2:$BX$550,MATCH(N$2,'Slutlig allokering kvv'!$B$1:$BX$1,0),FALSE)/1,0))</f>
        <v/>
      </c>
      <c r="O303" s="31" t="str">
        <f>IF($D303="","",IFERROR(VLOOKUP($B303,Kraftvärmeprod!$B$1:$BX$550,MATCH(O$2,Kraftvärmeprod!$B$1:$VX$1,0),FALSE)/1,0)-IFERROR(VLOOKUP($B303,'Slutlig allokering kvv'!$B$2:$BX$550,MATCH(O$2,'Slutlig allokering kvv'!$B$1:$BX$1,0),FALSE)/1,0))</f>
        <v/>
      </c>
      <c r="P303" s="31" t="str">
        <f>IF($D303="","",IFERROR(VLOOKUP($B303,Kraftvärmeprod!$B$1:$BX$550,MATCH(P$2,Kraftvärmeprod!$B$1:$VX$1,0),FALSE)/1,0)-IFERROR(VLOOKUP($B303,'Slutlig allokering kvv'!$B$2:$BX$550,MATCH(P$2,'Slutlig allokering kvv'!$B$1:$BX$1,0),FALSE)/1,0))</f>
        <v/>
      </c>
      <c r="Q303" s="31" t="str">
        <f>IF($D303="","",IFERROR(VLOOKUP($B303,Kraftvärmeprod!$B$1:$BX$550,MATCH(Q$2,Kraftvärmeprod!$B$1:$VX$1,0),FALSE)/1,0)-IFERROR(VLOOKUP($B303,'Slutlig allokering kvv'!$B$2:$BX$550,MATCH(Q$2,'Slutlig allokering kvv'!$B$1:$BX$1,0),FALSE)/1,0))</f>
        <v/>
      </c>
      <c r="R303" s="31" t="str">
        <f>IF($D303="","",IFERROR(VLOOKUP($B303,Kraftvärmeprod!$B$1:$BX$550,MATCH(R$2,Kraftvärmeprod!$B$1:$VX$1,0),FALSE)/1,0)-IFERROR(VLOOKUP($B303,'Slutlig allokering kvv'!$B$2:$BX$550,MATCH(R$2,'Slutlig allokering kvv'!$B$1:$BX$1,0),FALSE)/1,0))</f>
        <v/>
      </c>
      <c r="S303" s="31" t="str">
        <f>IF($D303="","",IFERROR(VLOOKUP($B303,Kraftvärmeprod!$B$1:$BX$550,MATCH(S$2,Kraftvärmeprod!$B$1:$VX$1,0),FALSE)/1,0)-IFERROR(VLOOKUP($B303,'Slutlig allokering kvv'!$B$2:$BX$550,MATCH(S$2,'Slutlig allokering kvv'!$B$1:$BX$1,0),FALSE)/1,0))</f>
        <v/>
      </c>
      <c r="T303" s="31" t="str">
        <f>IF($D303="","",IFERROR(VLOOKUP($B303,Kraftvärmeprod!$B$1:$BX$550,MATCH(T$2,Kraftvärmeprod!$B$1:$VX$1,0),FALSE)/1,0)-IFERROR(VLOOKUP($B303,'Slutlig allokering kvv'!$B$2:$BX$550,MATCH(T$2,'Slutlig allokering kvv'!$B$1:$BX$1,0),FALSE)/1,0))</f>
        <v/>
      </c>
      <c r="U303" s="31" t="str">
        <f>IF($D303="","",IFERROR(VLOOKUP($B303,Kraftvärmeprod!$B$1:$BX$550,MATCH(U$2,Kraftvärmeprod!$B$1:$VX$1,0),FALSE)/1,0)-IFERROR(VLOOKUP($B303,'Slutlig allokering kvv'!$B$2:$BX$550,MATCH(U$2,'Slutlig allokering kvv'!$B$1:$BX$1,0),FALSE)/1,0))</f>
        <v/>
      </c>
      <c r="V303" s="31" t="str">
        <f>IF($D303="","",IFERROR(VLOOKUP($B303,Kraftvärmeprod!$B$1:$BX$550,MATCH(V$2,Kraftvärmeprod!$B$1:$VX$1,0),FALSE)/1,0)-IFERROR(VLOOKUP($B303,'Slutlig allokering kvv'!$B$2:$BX$550,MATCH(V$2,'Slutlig allokering kvv'!$B$1:$BX$1,0),FALSE)/1,0))</f>
        <v/>
      </c>
      <c r="W303" s="31" t="str">
        <f>IF($D303="","",IFERROR(VLOOKUP($B303,Kraftvärmeprod!$B$1:$BX$550,MATCH(W$2,Kraftvärmeprod!$B$1:$VX$1,0),FALSE)/1,0)-IFERROR(VLOOKUP($B303,'Slutlig allokering kvv'!$B$2:$BX$550,MATCH(W$2,'Slutlig allokering kvv'!$B$1:$BX$1,0),FALSE)/1,0))</f>
        <v/>
      </c>
      <c r="X303" s="31" t="str">
        <f>IF($D303="","",IFERROR(VLOOKUP($B303,Kraftvärmeprod!$B$1:$BX$550,MATCH(X$2,Kraftvärmeprod!$B$1:$VX$1,0),FALSE)/1,0)-IFERROR(VLOOKUP($B303,'Slutlig allokering kvv'!$B$2:$BX$550,MATCH(X$2,'Slutlig allokering kvv'!$B$1:$BX$1,0),FALSE)/1,0))</f>
        <v/>
      </c>
      <c r="Y303" s="31" t="str">
        <f>IF($D303="","",IFERROR(VLOOKUP($B303,Kraftvärmeprod!$B$1:$BX$550,MATCH(Y$2,Kraftvärmeprod!$B$1:$VX$1,0),FALSE)/1,0)-IFERROR(VLOOKUP($B303,'Slutlig allokering kvv'!$B$2:$BX$550,MATCH(Y$2,'Slutlig allokering kvv'!$B$1:$BX$1,0),FALSE)/1,0))</f>
        <v/>
      </c>
      <c r="Z303" s="31" t="str">
        <f>IF($D303="","",IFERROR(VLOOKUP($B303,Kraftvärmeprod!$B$1:$BX$550,MATCH(Z$2,Kraftvärmeprod!$B$1:$VX$1,0),FALSE)/1,0)-IFERROR(VLOOKUP($B303,'Slutlig allokering kvv'!$B$2:$BX$550,MATCH(Z$2,'Slutlig allokering kvv'!$B$1:$BX$1,0),FALSE)/1,0))</f>
        <v/>
      </c>
      <c r="AA303" s="31" t="str">
        <f>IF($D303="","",IFERROR(VLOOKUP($B303,Kraftvärmeprod!$B$1:$BX$550,MATCH(AA$2,Kraftvärmeprod!$B$1:$VX$1,0),FALSE)/1,0)-IFERROR(VLOOKUP($B303,'Slutlig allokering kvv'!$B$2:$BX$550,MATCH(AA$2,'Slutlig allokering kvv'!$B$1:$BX$1,0),FALSE)/1,0))</f>
        <v/>
      </c>
      <c r="AB303" s="31" t="str">
        <f>IF($D303="","",IFERROR(VLOOKUP($B303,Kraftvärmeprod!$B$1:$BX$550,MATCH(AB$2,Kraftvärmeprod!$B$1:$VX$1,0),FALSE)/1,0)-IFERROR(VLOOKUP($B303,'Slutlig allokering kvv'!$B$2:$BX$550,MATCH(AB$2,'Slutlig allokering kvv'!$B$1:$BX$1,0),FALSE)/1,0))</f>
        <v/>
      </c>
      <c r="AC303" s="31" t="str">
        <f>IF($D303="","",IFERROR(VLOOKUP($B303,Kraftvärmeprod!$B$1:$BX$550,MATCH(AC$2,Kraftvärmeprod!$B$1:$VX$1,0),FALSE)/1,0)-IFERROR(VLOOKUP($B303,'Slutlig allokering kvv'!$B$2:$BX$550,MATCH(AC$2,'Slutlig allokering kvv'!$B$1:$BX$1,0),FALSE)/1,0))</f>
        <v/>
      </c>
      <c r="AD303" s="31" t="str">
        <f>IF($D303="","",IFERROR(VLOOKUP($B303,Kraftvärmeprod!$B$1:$BX$550,MATCH(AD$2,Kraftvärmeprod!$B$1:$VX$1,0),FALSE)/1,0)-IFERROR(VLOOKUP($B303,'Slutlig allokering kvv'!$B$2:$BX$550,MATCH(AD$2,'Slutlig allokering kvv'!$B$1:$BX$1,0),FALSE)/1,0))</f>
        <v/>
      </c>
      <c r="AE303" s="31" t="str">
        <f>IF($D303="","",IFERROR(VLOOKUP($B303,Miljö!$B$1:$E$550,MATCH("Hjälpel kraftvärme (GWh)",Miljö!$B$1:$E$1,0),FALSE)/1,0)-IFERROR(VLOOKUP($B303,'Slutlig allokering kvv'!$B$2:$BX$549,MATCH(AE$2,'Slutlig allokering kvv'!$B$1:$BX$1,0),FALSE)/1,0))</f>
        <v/>
      </c>
      <c r="AI303" s="39">
        <f t="shared" si="16"/>
        <v>0</v>
      </c>
      <c r="AK303" s="31">
        <f>IFERROR(VLOOKUP($B303,'Slutlig allokering kvv'!$B$2:$AX$549,MATCH("Summa slutlig allokerad tillförd energi (utan hjälpel och rökgaskondensering):",'Slutlig allokering kvv'!$B$1:$AX$1,0),FALSE)/1,"")</f>
        <v>0</v>
      </c>
      <c r="AM303" s="31" t="str">
        <f>IFERROR(1-VLOOKUP($B303,'Slutlig allokering kvv'!$B$2:$AX$549,MATCH("Andel av bränsle i kvv som allokerats till värme, exklusive rökgaskondensering och hjälpel",'Slutlig allokering kvv'!$B$1:$AX$1,0),FALSE),"")</f>
        <v/>
      </c>
      <c r="AO303" s="31" t="str">
        <f t="shared" si="17"/>
        <v/>
      </c>
      <c r="AP303" s="31" t="str">
        <f t="shared" si="18"/>
        <v/>
      </c>
      <c r="AR303" s="32" t="str">
        <f t="shared" si="19"/>
        <v/>
      </c>
    </row>
    <row r="304" spans="1:44" s="31" customFormat="1" x14ac:dyDescent="0.45">
      <c r="A304" s="31" t="s">
        <v>232</v>
      </c>
      <c r="B304" s="31" t="s">
        <v>239</v>
      </c>
      <c r="C304" s="31" t="str">
        <f>IFERROR(VLOOKUP($B304,Kraftvärmeprod!$B$1:$AH$479,MATCH(C$2,Kraftvärmeprod!$B$1:$AG$1,0),FALSE)/1,"")</f>
        <v/>
      </c>
      <c r="D304" s="31" t="str">
        <f>IFERROR(VLOOKUP($B304,Kraftvärmeprod!$B$1:$AH$479,MATCH(D$2,Kraftvärmeprod!$B$1:$AG$1,0),FALSE)/1,"")</f>
        <v/>
      </c>
      <c r="F304" s="31" t="str">
        <f>IF($D304="","",IFERROR(VLOOKUP($B304,Kraftvärmeprod!$B$1:$BX$550,MATCH(F$2,Kraftvärmeprod!$B$1:$VX$1,0),FALSE)/1,0)-IFERROR(VLOOKUP($B304,'Slutlig allokering kvv'!$B$2:$BX$550,MATCH(F$2,'Slutlig allokering kvv'!$B$1:$BX$1,0),FALSE)/1,0))</f>
        <v/>
      </c>
      <c r="G304" s="31" t="str">
        <f>IF($D304="","",IFERROR(VLOOKUP($B304,Kraftvärmeprod!$B$1:$BX$550,MATCH(G$2,Kraftvärmeprod!$B$1:$VX$1,0),FALSE)/1,0)-IFERROR(VLOOKUP($B304,'Slutlig allokering kvv'!$B$2:$BX$550,MATCH(G$2,'Slutlig allokering kvv'!$B$1:$BX$1,0),FALSE)/1,0))</f>
        <v/>
      </c>
      <c r="H304" s="31" t="str">
        <f>IF($D304="","",IFERROR(VLOOKUP($B304,Kraftvärmeprod!$B$1:$BX$550,MATCH(H$2,Kraftvärmeprod!$B$1:$VX$1,0),FALSE)/1,0)-IFERROR(VLOOKUP($B304,'Slutlig allokering kvv'!$B$2:$BX$550,MATCH(H$2,'Slutlig allokering kvv'!$B$1:$BX$1,0),FALSE)/1,0))</f>
        <v/>
      </c>
      <c r="I304" s="31" t="str">
        <f>IF($D304="","",IFERROR(VLOOKUP($B304,Kraftvärmeprod!$B$1:$BX$550,MATCH(I$2,Kraftvärmeprod!$B$1:$VX$1,0),FALSE)/1,0)-IFERROR(VLOOKUP($B304,'Slutlig allokering kvv'!$B$2:$BX$550,MATCH(I$2,'Slutlig allokering kvv'!$B$1:$BX$1,0),FALSE)/1,0))</f>
        <v/>
      </c>
      <c r="J304" s="31" t="str">
        <f>IF($D304="","",IFERROR(VLOOKUP($B304,Kraftvärmeprod!$B$1:$BX$550,MATCH(J$2,Kraftvärmeprod!$B$1:$VX$1,0),FALSE)/1,0)-IFERROR(VLOOKUP($B304,'Slutlig allokering kvv'!$B$2:$BX$550,MATCH(J$2,'Slutlig allokering kvv'!$B$1:$BX$1,0),FALSE)/1,0))</f>
        <v/>
      </c>
      <c r="K304" s="31" t="str">
        <f>IF($D304="","",IFERROR(VLOOKUP($B304,Kraftvärmeprod!$B$1:$BX$550,MATCH(K$2,Kraftvärmeprod!$B$1:$VX$1,0),FALSE)/1,0)-IFERROR(VLOOKUP($B304,'Slutlig allokering kvv'!$B$2:$BX$550,MATCH(K$2,'Slutlig allokering kvv'!$B$1:$BX$1,0),FALSE)/1,0))</f>
        <v/>
      </c>
      <c r="L304" s="31" t="str">
        <f>IF($D304="","",IFERROR(VLOOKUP($B304,Kraftvärmeprod!$B$1:$BX$550,MATCH(L$2,Kraftvärmeprod!$B$1:$VX$1,0),FALSE)/1,0)-IFERROR(VLOOKUP($B304,'Slutlig allokering kvv'!$B$2:$BX$550,MATCH(L$2,'Slutlig allokering kvv'!$B$1:$BX$1,0),FALSE)/1,0))</f>
        <v/>
      </c>
      <c r="M304" s="31" t="str">
        <f>IF($D304="","",IFERROR(VLOOKUP($B304,Kraftvärmeprod!$B$1:$BX$550,MATCH(M$2,Kraftvärmeprod!$B$1:$VX$1,0),FALSE)/1,0)-IFERROR(VLOOKUP($B304,'Slutlig allokering kvv'!$B$2:$BX$550,MATCH(M$2,'Slutlig allokering kvv'!$B$1:$BX$1,0),FALSE)/1,0))</f>
        <v/>
      </c>
      <c r="N304" s="31" t="str">
        <f>IF($D304="","",IFERROR(VLOOKUP($B304,Kraftvärmeprod!$B$1:$BX$550,MATCH(N$2,Kraftvärmeprod!$B$1:$VX$1,0),FALSE)/1,0)-IFERROR(VLOOKUP($B304,'Slutlig allokering kvv'!$B$2:$BX$550,MATCH(N$2,'Slutlig allokering kvv'!$B$1:$BX$1,0),FALSE)/1,0))</f>
        <v/>
      </c>
      <c r="O304" s="31" t="str">
        <f>IF($D304="","",IFERROR(VLOOKUP($B304,Kraftvärmeprod!$B$1:$BX$550,MATCH(O$2,Kraftvärmeprod!$B$1:$VX$1,0),FALSE)/1,0)-IFERROR(VLOOKUP($B304,'Slutlig allokering kvv'!$B$2:$BX$550,MATCH(O$2,'Slutlig allokering kvv'!$B$1:$BX$1,0),FALSE)/1,0))</f>
        <v/>
      </c>
      <c r="P304" s="31" t="str">
        <f>IF($D304="","",IFERROR(VLOOKUP($B304,Kraftvärmeprod!$B$1:$BX$550,MATCH(P$2,Kraftvärmeprod!$B$1:$VX$1,0),FALSE)/1,0)-IFERROR(VLOOKUP($B304,'Slutlig allokering kvv'!$B$2:$BX$550,MATCH(P$2,'Slutlig allokering kvv'!$B$1:$BX$1,0),FALSE)/1,0))</f>
        <v/>
      </c>
      <c r="Q304" s="31" t="str">
        <f>IF($D304="","",IFERROR(VLOOKUP($B304,Kraftvärmeprod!$B$1:$BX$550,MATCH(Q$2,Kraftvärmeprod!$B$1:$VX$1,0),FALSE)/1,0)-IFERROR(VLOOKUP($B304,'Slutlig allokering kvv'!$B$2:$BX$550,MATCH(Q$2,'Slutlig allokering kvv'!$B$1:$BX$1,0),FALSE)/1,0))</f>
        <v/>
      </c>
      <c r="R304" s="31" t="str">
        <f>IF($D304="","",IFERROR(VLOOKUP($B304,Kraftvärmeprod!$B$1:$BX$550,MATCH(R$2,Kraftvärmeprod!$B$1:$VX$1,0),FALSE)/1,0)-IFERROR(VLOOKUP($B304,'Slutlig allokering kvv'!$B$2:$BX$550,MATCH(R$2,'Slutlig allokering kvv'!$B$1:$BX$1,0),FALSE)/1,0))</f>
        <v/>
      </c>
      <c r="S304" s="31" t="str">
        <f>IF($D304="","",IFERROR(VLOOKUP($B304,Kraftvärmeprod!$B$1:$BX$550,MATCH(S$2,Kraftvärmeprod!$B$1:$VX$1,0),FALSE)/1,0)-IFERROR(VLOOKUP($B304,'Slutlig allokering kvv'!$B$2:$BX$550,MATCH(S$2,'Slutlig allokering kvv'!$B$1:$BX$1,0),FALSE)/1,0))</f>
        <v/>
      </c>
      <c r="T304" s="31" t="str">
        <f>IF($D304="","",IFERROR(VLOOKUP($B304,Kraftvärmeprod!$B$1:$BX$550,MATCH(T$2,Kraftvärmeprod!$B$1:$VX$1,0),FALSE)/1,0)-IFERROR(VLOOKUP($B304,'Slutlig allokering kvv'!$B$2:$BX$550,MATCH(T$2,'Slutlig allokering kvv'!$B$1:$BX$1,0),FALSE)/1,0))</f>
        <v/>
      </c>
      <c r="U304" s="31" t="str">
        <f>IF($D304="","",IFERROR(VLOOKUP($B304,Kraftvärmeprod!$B$1:$BX$550,MATCH(U$2,Kraftvärmeprod!$B$1:$VX$1,0),FALSE)/1,0)-IFERROR(VLOOKUP($B304,'Slutlig allokering kvv'!$B$2:$BX$550,MATCH(U$2,'Slutlig allokering kvv'!$B$1:$BX$1,0),FALSE)/1,0))</f>
        <v/>
      </c>
      <c r="V304" s="31" t="str">
        <f>IF($D304="","",IFERROR(VLOOKUP($B304,Kraftvärmeprod!$B$1:$BX$550,MATCH(V$2,Kraftvärmeprod!$B$1:$VX$1,0),FALSE)/1,0)-IFERROR(VLOOKUP($B304,'Slutlig allokering kvv'!$B$2:$BX$550,MATCH(V$2,'Slutlig allokering kvv'!$B$1:$BX$1,0),FALSE)/1,0))</f>
        <v/>
      </c>
      <c r="W304" s="31" t="str">
        <f>IF($D304="","",IFERROR(VLOOKUP($B304,Kraftvärmeprod!$B$1:$BX$550,MATCH(W$2,Kraftvärmeprod!$B$1:$VX$1,0),FALSE)/1,0)-IFERROR(VLOOKUP($B304,'Slutlig allokering kvv'!$B$2:$BX$550,MATCH(W$2,'Slutlig allokering kvv'!$B$1:$BX$1,0),FALSE)/1,0))</f>
        <v/>
      </c>
      <c r="X304" s="31" t="str">
        <f>IF($D304="","",IFERROR(VLOOKUP($B304,Kraftvärmeprod!$B$1:$BX$550,MATCH(X$2,Kraftvärmeprod!$B$1:$VX$1,0),FALSE)/1,0)-IFERROR(VLOOKUP($B304,'Slutlig allokering kvv'!$B$2:$BX$550,MATCH(X$2,'Slutlig allokering kvv'!$B$1:$BX$1,0),FALSE)/1,0))</f>
        <v/>
      </c>
      <c r="Y304" s="31" t="str">
        <f>IF($D304="","",IFERROR(VLOOKUP($B304,Kraftvärmeprod!$B$1:$BX$550,MATCH(Y$2,Kraftvärmeprod!$B$1:$VX$1,0),FALSE)/1,0)-IFERROR(VLOOKUP($B304,'Slutlig allokering kvv'!$B$2:$BX$550,MATCH(Y$2,'Slutlig allokering kvv'!$B$1:$BX$1,0),FALSE)/1,0))</f>
        <v/>
      </c>
      <c r="Z304" s="31" t="str">
        <f>IF($D304="","",IFERROR(VLOOKUP($B304,Kraftvärmeprod!$B$1:$BX$550,MATCH(Z$2,Kraftvärmeprod!$B$1:$VX$1,0),FALSE)/1,0)-IFERROR(VLOOKUP($B304,'Slutlig allokering kvv'!$B$2:$BX$550,MATCH(Z$2,'Slutlig allokering kvv'!$B$1:$BX$1,0),FALSE)/1,0))</f>
        <v/>
      </c>
      <c r="AA304" s="31" t="str">
        <f>IF($D304="","",IFERROR(VLOOKUP($B304,Kraftvärmeprod!$B$1:$BX$550,MATCH(AA$2,Kraftvärmeprod!$B$1:$VX$1,0),FALSE)/1,0)-IFERROR(VLOOKUP($B304,'Slutlig allokering kvv'!$B$2:$BX$550,MATCH(AA$2,'Slutlig allokering kvv'!$B$1:$BX$1,0),FALSE)/1,0))</f>
        <v/>
      </c>
      <c r="AB304" s="31" t="str">
        <f>IF($D304="","",IFERROR(VLOOKUP($B304,Kraftvärmeprod!$B$1:$BX$550,MATCH(AB$2,Kraftvärmeprod!$B$1:$VX$1,0),FALSE)/1,0)-IFERROR(VLOOKUP($B304,'Slutlig allokering kvv'!$B$2:$BX$550,MATCH(AB$2,'Slutlig allokering kvv'!$B$1:$BX$1,0),FALSE)/1,0))</f>
        <v/>
      </c>
      <c r="AC304" s="31" t="str">
        <f>IF($D304="","",IFERROR(VLOOKUP($B304,Kraftvärmeprod!$B$1:$BX$550,MATCH(AC$2,Kraftvärmeprod!$B$1:$VX$1,0),FALSE)/1,0)-IFERROR(VLOOKUP($B304,'Slutlig allokering kvv'!$B$2:$BX$550,MATCH(AC$2,'Slutlig allokering kvv'!$B$1:$BX$1,0),FALSE)/1,0))</f>
        <v/>
      </c>
      <c r="AD304" s="31" t="str">
        <f>IF($D304="","",IFERROR(VLOOKUP($B304,Kraftvärmeprod!$B$1:$BX$550,MATCH(AD$2,Kraftvärmeprod!$B$1:$VX$1,0),FALSE)/1,0)-IFERROR(VLOOKUP($B304,'Slutlig allokering kvv'!$B$2:$BX$550,MATCH(AD$2,'Slutlig allokering kvv'!$B$1:$BX$1,0),FALSE)/1,0))</f>
        <v/>
      </c>
      <c r="AE304" s="31" t="str">
        <f>IF($D304="","",IFERROR(VLOOKUP($B304,Miljö!$B$1:$E$550,MATCH("Hjälpel kraftvärme (GWh)",Miljö!$B$1:$E$1,0),FALSE)/1,0)-IFERROR(VLOOKUP($B304,'Slutlig allokering kvv'!$B$2:$BX$549,MATCH(AE$2,'Slutlig allokering kvv'!$B$1:$BX$1,0),FALSE)/1,0))</f>
        <v/>
      </c>
      <c r="AI304" s="39">
        <f t="shared" si="16"/>
        <v>0</v>
      </c>
      <c r="AK304" s="31">
        <f>IFERROR(VLOOKUP($B304,'Slutlig allokering kvv'!$B$2:$AX$549,MATCH("Summa slutlig allokerad tillförd energi (utan hjälpel och rökgaskondensering):",'Slutlig allokering kvv'!$B$1:$AX$1,0),FALSE)/1,"")</f>
        <v>0</v>
      </c>
      <c r="AM304" s="31" t="str">
        <f>IFERROR(1-VLOOKUP($B304,'Slutlig allokering kvv'!$B$2:$AX$549,MATCH("Andel av bränsle i kvv som allokerats till värme, exklusive rökgaskondensering och hjälpel",'Slutlig allokering kvv'!$B$1:$AX$1,0),FALSE),"")</f>
        <v/>
      </c>
      <c r="AO304" s="31" t="str">
        <f t="shared" si="17"/>
        <v/>
      </c>
      <c r="AP304" s="31" t="str">
        <f t="shared" si="18"/>
        <v/>
      </c>
      <c r="AR304" s="32" t="str">
        <f t="shared" si="19"/>
        <v/>
      </c>
    </row>
    <row r="305" spans="1:44" s="31" customFormat="1" x14ac:dyDescent="0.45">
      <c r="A305" s="31" t="s">
        <v>232</v>
      </c>
      <c r="B305" s="31" t="s">
        <v>238</v>
      </c>
      <c r="C305" s="31">
        <f>IFERROR(VLOOKUP($B305,Kraftvärmeprod!$B$1:$AH$479,MATCH(C$2,Kraftvärmeprod!$B$1:$AG$1,0),FALSE)/1,"")</f>
        <v>74.796000000000006</v>
      </c>
      <c r="D305" s="31">
        <f>IFERROR(VLOOKUP($B305,Kraftvärmeprod!$B$1:$AH$479,MATCH(D$2,Kraftvärmeprod!$B$1:$AG$1,0),FALSE)/1,"")</f>
        <v>18.902000000000001</v>
      </c>
      <c r="F305" s="31">
        <f>IF($D305="","",IFERROR(VLOOKUP($B305,Kraftvärmeprod!$B$1:$BX$550,MATCH(F$2,Kraftvärmeprod!$B$1:$VX$1,0),FALSE)/1,0)-IFERROR(VLOOKUP($B305,'Slutlig allokering kvv'!$B$2:$BX$550,MATCH(F$2,'Slutlig allokering kvv'!$B$1:$BX$1,0),FALSE)/1,0))</f>
        <v>0</v>
      </c>
      <c r="G305" s="31">
        <f>IF($D305="","",IFERROR(VLOOKUP($B305,Kraftvärmeprod!$B$1:$BX$550,MATCH(G$2,Kraftvärmeprod!$B$1:$VX$1,0),FALSE)/1,0)-IFERROR(VLOOKUP($B305,'Slutlig allokering kvv'!$B$2:$BX$550,MATCH(G$2,'Slutlig allokering kvv'!$B$1:$BX$1,0),FALSE)/1,0))</f>
        <v>0</v>
      </c>
      <c r="H305" s="31">
        <f>IF($D305="","",IFERROR(VLOOKUP($B305,Kraftvärmeprod!$B$1:$BX$550,MATCH(H$2,Kraftvärmeprod!$B$1:$VX$1,0),FALSE)/1,0)-IFERROR(VLOOKUP($B305,'Slutlig allokering kvv'!$B$2:$BX$550,MATCH(H$2,'Slutlig allokering kvv'!$B$1:$BX$1,0),FALSE)/1,0))</f>
        <v>0</v>
      </c>
      <c r="I305" s="31">
        <f>IF($D305="","",IFERROR(VLOOKUP($B305,Kraftvärmeprod!$B$1:$BX$550,MATCH(I$2,Kraftvärmeprod!$B$1:$VX$1,0),FALSE)/1,0)-IFERROR(VLOOKUP($B305,'Slutlig allokering kvv'!$B$2:$BX$550,MATCH(I$2,'Slutlig allokering kvv'!$B$1:$BX$1,0),FALSE)/1,0))</f>
        <v>0</v>
      </c>
      <c r="J305" s="31">
        <f>IF($D305="","",IFERROR(VLOOKUP($B305,Kraftvärmeprod!$B$1:$BX$550,MATCH(J$2,Kraftvärmeprod!$B$1:$VX$1,0),FALSE)/1,0)-IFERROR(VLOOKUP($B305,'Slutlig allokering kvv'!$B$2:$BX$550,MATCH(J$2,'Slutlig allokering kvv'!$B$1:$BX$1,0),FALSE)/1,0))</f>
        <v>0</v>
      </c>
      <c r="K305" s="31">
        <f>IF($D305="","",IFERROR(VLOOKUP($B305,Kraftvärmeprod!$B$1:$BX$550,MATCH(K$2,Kraftvärmeprod!$B$1:$VX$1,0),FALSE)/1,0)-IFERROR(VLOOKUP($B305,'Slutlig allokering kvv'!$B$2:$BX$550,MATCH(K$2,'Slutlig allokering kvv'!$B$1:$BX$1,0),FALSE)/1,0))</f>
        <v>0</v>
      </c>
      <c r="L305" s="31">
        <f>IF($D305="","",IFERROR(VLOOKUP($B305,Kraftvärmeprod!$B$1:$BX$550,MATCH(L$2,Kraftvärmeprod!$B$1:$VX$1,0),FALSE)/1,0)-IFERROR(VLOOKUP($B305,'Slutlig allokering kvv'!$B$2:$BX$550,MATCH(L$2,'Slutlig allokering kvv'!$B$1:$BX$1,0),FALSE)/1,0))</f>
        <v>24.108199999999997</v>
      </c>
      <c r="M305" s="31">
        <f>IF($D305="","",IFERROR(VLOOKUP($B305,Kraftvärmeprod!$B$1:$BX$550,MATCH(M$2,Kraftvärmeprod!$B$1:$VX$1,0),FALSE)/1,0)-IFERROR(VLOOKUP($B305,'Slutlig allokering kvv'!$B$2:$BX$550,MATCH(M$2,'Slutlig allokering kvv'!$B$1:$BX$1,0),FALSE)/1,0))</f>
        <v>13.115500000000001</v>
      </c>
      <c r="N305" s="31">
        <f>IF($D305="","",IFERROR(VLOOKUP($B305,Kraftvärmeprod!$B$1:$BX$550,MATCH(N$2,Kraftvärmeprod!$B$1:$VX$1,0),FALSE)/1,0)-IFERROR(VLOOKUP($B305,'Slutlig allokering kvv'!$B$2:$BX$550,MATCH(N$2,'Slutlig allokering kvv'!$B$1:$BX$1,0),FALSE)/1,0))</f>
        <v>2.71204</v>
      </c>
      <c r="O305" s="31">
        <f>IF($D305="","",IFERROR(VLOOKUP($B305,Kraftvärmeprod!$B$1:$BX$550,MATCH(O$2,Kraftvärmeprod!$B$1:$VX$1,0),FALSE)/1,0)-IFERROR(VLOOKUP($B305,'Slutlig allokering kvv'!$B$2:$BX$550,MATCH(O$2,'Slutlig allokering kvv'!$B$1:$BX$1,0),FALSE)/1,0))</f>
        <v>4.6855200000000004</v>
      </c>
      <c r="P305" s="31">
        <f>IF($D305="","",IFERROR(VLOOKUP($B305,Kraftvärmeprod!$B$1:$BX$550,MATCH(P$2,Kraftvärmeprod!$B$1:$VX$1,0),FALSE)/1,0)-IFERROR(VLOOKUP($B305,'Slutlig allokering kvv'!$B$2:$BX$550,MATCH(P$2,'Slutlig allokering kvv'!$B$1:$BX$1,0),FALSE)/1,0))</f>
        <v>0</v>
      </c>
      <c r="Q305" s="31">
        <f>IF($D305="","",IFERROR(VLOOKUP($B305,Kraftvärmeprod!$B$1:$BX$550,MATCH(Q$2,Kraftvärmeprod!$B$1:$VX$1,0),FALSE)/1,0)-IFERROR(VLOOKUP($B305,'Slutlig allokering kvv'!$B$2:$BX$550,MATCH(Q$2,'Slutlig allokering kvv'!$B$1:$BX$1,0),FALSE)/1,0))</f>
        <v>0</v>
      </c>
      <c r="R305" s="31">
        <f>IF($D305="","",IFERROR(VLOOKUP($B305,Kraftvärmeprod!$B$1:$BX$550,MATCH(R$2,Kraftvärmeprod!$B$1:$VX$1,0),FALSE)/1,0)-IFERROR(VLOOKUP($B305,'Slutlig allokering kvv'!$B$2:$BX$550,MATCH(R$2,'Slutlig allokering kvv'!$B$1:$BX$1,0),FALSE)/1,0))</f>
        <v>0</v>
      </c>
      <c r="S305" s="31">
        <f>IF($D305="","",IFERROR(VLOOKUP($B305,Kraftvärmeprod!$B$1:$BX$550,MATCH(S$2,Kraftvärmeprod!$B$1:$VX$1,0),FALSE)/1,0)-IFERROR(VLOOKUP($B305,'Slutlig allokering kvv'!$B$2:$BX$550,MATCH(S$2,'Slutlig allokering kvv'!$B$1:$BX$1,0),FALSE)/1,0))</f>
        <v>0</v>
      </c>
      <c r="T305" s="31">
        <f>IF($D305="","",IFERROR(VLOOKUP($B305,Kraftvärmeprod!$B$1:$BX$550,MATCH(T$2,Kraftvärmeprod!$B$1:$VX$1,0),FALSE)/1,0)-IFERROR(VLOOKUP($B305,'Slutlig allokering kvv'!$B$2:$BX$550,MATCH(T$2,'Slutlig allokering kvv'!$B$1:$BX$1,0),FALSE)/1,0))</f>
        <v>0</v>
      </c>
      <c r="U305" s="31">
        <f>IF($D305="","",IFERROR(VLOOKUP($B305,Kraftvärmeprod!$B$1:$BX$550,MATCH(U$2,Kraftvärmeprod!$B$1:$VX$1,0),FALSE)/1,0)-IFERROR(VLOOKUP($B305,'Slutlig allokering kvv'!$B$2:$BX$550,MATCH(U$2,'Slutlig allokering kvv'!$B$1:$BX$1,0),FALSE)/1,0))</f>
        <v>0</v>
      </c>
      <c r="V305" s="31">
        <f>IF($D305="","",IFERROR(VLOOKUP($B305,Kraftvärmeprod!$B$1:$BX$550,MATCH(V$2,Kraftvärmeprod!$B$1:$VX$1,0),FALSE)/1,0)-IFERROR(VLOOKUP($B305,'Slutlig allokering kvv'!$B$2:$BX$550,MATCH(V$2,'Slutlig allokering kvv'!$B$1:$BX$1,0),FALSE)/1,0))</f>
        <v>0</v>
      </c>
      <c r="W305" s="31">
        <f>IF($D305="","",IFERROR(VLOOKUP($B305,Kraftvärmeprod!$B$1:$BX$550,MATCH(W$2,Kraftvärmeprod!$B$1:$VX$1,0),FALSE)/1,0)-IFERROR(VLOOKUP($B305,'Slutlig allokering kvv'!$B$2:$BX$550,MATCH(W$2,'Slutlig allokering kvv'!$B$1:$BX$1,0),FALSE)/1,0))</f>
        <v>0</v>
      </c>
      <c r="X305" s="31">
        <f>IF($D305="","",IFERROR(VLOOKUP($B305,Kraftvärmeprod!$B$1:$BX$550,MATCH(X$2,Kraftvärmeprod!$B$1:$VX$1,0),FALSE)/1,0)-IFERROR(VLOOKUP($B305,'Slutlig allokering kvv'!$B$2:$BX$550,MATCH(X$2,'Slutlig allokering kvv'!$B$1:$BX$1,0),FALSE)/1,0))</f>
        <v>0</v>
      </c>
      <c r="Y305" s="31">
        <f>IF($D305="","",IFERROR(VLOOKUP($B305,Kraftvärmeprod!$B$1:$BX$550,MATCH(Y$2,Kraftvärmeprod!$B$1:$VX$1,0),FALSE)/1,0)-IFERROR(VLOOKUP($B305,'Slutlig allokering kvv'!$B$2:$BX$550,MATCH(Y$2,'Slutlig allokering kvv'!$B$1:$BX$1,0),FALSE)/1,0))</f>
        <v>0</v>
      </c>
      <c r="Z305" s="31">
        <f>IF($D305="","",IFERROR(VLOOKUP($B305,Kraftvärmeprod!$B$1:$BX$550,MATCH(Z$2,Kraftvärmeprod!$B$1:$VX$1,0),FALSE)/1,0)-IFERROR(VLOOKUP($B305,'Slutlig allokering kvv'!$B$2:$BX$550,MATCH(Z$2,'Slutlig allokering kvv'!$B$1:$BX$1,0),FALSE)/1,0))</f>
        <v>0</v>
      </c>
      <c r="AA305" s="31">
        <f>IF($D305="","",IFERROR(VLOOKUP($B305,Kraftvärmeprod!$B$1:$BX$550,MATCH(AA$2,Kraftvärmeprod!$B$1:$VX$1,0),FALSE)/1,0)-IFERROR(VLOOKUP($B305,'Slutlig allokering kvv'!$B$2:$BX$550,MATCH(AA$2,'Slutlig allokering kvv'!$B$1:$BX$1,0),FALSE)/1,0))</f>
        <v>0</v>
      </c>
      <c r="AB305" s="31">
        <f>IF($D305="","",IFERROR(VLOOKUP($B305,Kraftvärmeprod!$B$1:$BX$550,MATCH(AB$2,Kraftvärmeprod!$B$1:$VX$1,0),FALSE)/1,0)-IFERROR(VLOOKUP($B305,'Slutlig allokering kvv'!$B$2:$BX$550,MATCH(AB$2,'Slutlig allokering kvv'!$B$1:$BX$1,0),FALSE)/1,0))</f>
        <v>0</v>
      </c>
      <c r="AC305" s="31">
        <f>IF($D305="","",IFERROR(VLOOKUP($B305,Kraftvärmeprod!$B$1:$BX$550,MATCH(AC$2,Kraftvärmeprod!$B$1:$VX$1,0),FALSE)/1,0)-IFERROR(VLOOKUP($B305,'Slutlig allokering kvv'!$B$2:$BX$550,MATCH(AC$2,'Slutlig allokering kvv'!$B$1:$BX$1,0),FALSE)/1,0))</f>
        <v>0</v>
      </c>
      <c r="AD305" s="31">
        <f>IF($D305="","",IFERROR(VLOOKUP($B305,Kraftvärmeprod!$B$1:$BX$550,MATCH(AD$2,Kraftvärmeprod!$B$1:$VX$1,0),FALSE)/1,0)-IFERROR(VLOOKUP($B305,'Slutlig allokering kvv'!$B$2:$BX$550,MATCH(AD$2,'Slutlig allokering kvv'!$B$1:$BX$1,0),FALSE)/1,0))</f>
        <v>0</v>
      </c>
      <c r="AE305" s="31">
        <f>IF($D305="","",IFERROR(VLOOKUP($B305,Miljö!$B$1:$E$550,MATCH("Hjälpel kraftvärme (GWh)",Miljö!$B$1:$E$1,0),FALSE)/1,0)-IFERROR(VLOOKUP($B305,'Slutlig allokering kvv'!$B$2:$BX$549,MATCH(AE$2,'Slutlig allokering kvv'!$B$1:$BX$1,0),FALSE)/1,0))</f>
        <v>0.90056999999999987</v>
      </c>
      <c r="AI305" s="39">
        <f t="shared" si="16"/>
        <v>44.621259999999992</v>
      </c>
      <c r="AK305" s="31">
        <f>IFERROR(VLOOKUP($B305,'Slutlig allokering kvv'!$B$2:$AX$549,MATCH("Summa slutlig allokerad tillförd energi (utan hjälpel och rökgaskondensering):",'Slutlig allokering kvv'!$B$1:$AX$1,0),FALSE)/1,"")</f>
        <v>67.752740000000003</v>
      </c>
      <c r="AM305" s="31">
        <f>IFERROR(1-VLOOKUP($B305,'Slutlig allokering kvv'!$B$2:$AX$549,MATCH("Andel av bränsle i kvv som allokerats till värme, exklusive rökgaskondensering och hjälpel",'Slutlig allokering kvv'!$B$1:$AX$1,0),FALSE),"")</f>
        <v>0.39707814974994216</v>
      </c>
      <c r="AO305" s="31">
        <f t="shared" si="17"/>
        <v>0.3970781497499421</v>
      </c>
      <c r="AP305" s="31">
        <f t="shared" si="18"/>
        <v>5.5511151231257827E-17</v>
      </c>
      <c r="AR305" s="32">
        <f t="shared" si="19"/>
        <v>0.41522935259852256</v>
      </c>
    </row>
    <row r="306" spans="1:44" s="31" customFormat="1" x14ac:dyDescent="0.45">
      <c r="A306" s="31" t="s">
        <v>232</v>
      </c>
      <c r="B306" s="31" t="s">
        <v>237</v>
      </c>
      <c r="C306" s="31">
        <f>IFERROR(VLOOKUP($B306,Kraftvärmeprod!$B$1:$AH$479,MATCH(C$2,Kraftvärmeprod!$B$1:$AG$1,0),FALSE)/1,"")</f>
        <v>204.68700000000001</v>
      </c>
      <c r="D306" s="31">
        <f>IFERROR(VLOOKUP($B306,Kraftvärmeprod!$B$1:$AH$479,MATCH(D$2,Kraftvärmeprod!$B$1:$AG$1,0),FALSE)/1,"")</f>
        <v>88.576999999999998</v>
      </c>
      <c r="F306" s="31">
        <f>IF($D306="","",IFERROR(VLOOKUP($B306,Kraftvärmeprod!$B$1:$BX$550,MATCH(F$2,Kraftvärmeprod!$B$1:$VX$1,0),FALSE)/1,0)-IFERROR(VLOOKUP($B306,'Slutlig allokering kvv'!$B$2:$BX$550,MATCH(F$2,'Slutlig allokering kvv'!$B$1:$BX$1,0),FALSE)/1,0))</f>
        <v>0</v>
      </c>
      <c r="G306" s="31">
        <f>IF($D306="","",IFERROR(VLOOKUP($B306,Kraftvärmeprod!$B$1:$BX$550,MATCH(G$2,Kraftvärmeprod!$B$1:$VX$1,0),FALSE)/1,0)-IFERROR(VLOOKUP($B306,'Slutlig allokering kvv'!$B$2:$BX$550,MATCH(G$2,'Slutlig allokering kvv'!$B$1:$BX$1,0),FALSE)/1,0))</f>
        <v>0</v>
      </c>
      <c r="H306" s="31">
        <f>IF($D306="","",IFERROR(VLOOKUP($B306,Kraftvärmeprod!$B$1:$BX$550,MATCH(H$2,Kraftvärmeprod!$B$1:$VX$1,0),FALSE)/1,0)-IFERROR(VLOOKUP($B306,'Slutlig allokering kvv'!$B$2:$BX$550,MATCH(H$2,'Slutlig allokering kvv'!$B$1:$BX$1,0),FALSE)/1,0))</f>
        <v>0.8070250000000001</v>
      </c>
      <c r="I306" s="31">
        <f>IF($D306="","",IFERROR(VLOOKUP($B306,Kraftvärmeprod!$B$1:$BX$550,MATCH(I$2,Kraftvärmeprod!$B$1:$VX$1,0),FALSE)/1,0)-IFERROR(VLOOKUP($B306,'Slutlig allokering kvv'!$B$2:$BX$550,MATCH(I$2,'Slutlig allokering kvv'!$B$1:$BX$1,0),FALSE)/1,0))</f>
        <v>0</v>
      </c>
      <c r="J306" s="31">
        <f>IF($D306="","",IFERROR(VLOOKUP($B306,Kraftvärmeprod!$B$1:$BX$550,MATCH(J$2,Kraftvärmeprod!$B$1:$VX$1,0),FALSE)/1,0)-IFERROR(VLOOKUP($B306,'Slutlig allokering kvv'!$B$2:$BX$550,MATCH(J$2,'Slutlig allokering kvv'!$B$1:$BX$1,0),FALSE)/1,0))</f>
        <v>0</v>
      </c>
      <c r="K306" s="31">
        <f>IF($D306="","",IFERROR(VLOOKUP($B306,Kraftvärmeprod!$B$1:$BX$550,MATCH(K$2,Kraftvärmeprod!$B$1:$VX$1,0),FALSE)/1,0)-IFERROR(VLOOKUP($B306,'Slutlig allokering kvv'!$B$2:$BX$550,MATCH(K$2,'Slutlig allokering kvv'!$B$1:$BX$1,0),FALSE)/1,0))</f>
        <v>0</v>
      </c>
      <c r="L306" s="31">
        <f>IF($D306="","",IFERROR(VLOOKUP($B306,Kraftvärmeprod!$B$1:$BX$550,MATCH(L$2,Kraftvärmeprod!$B$1:$VX$1,0),FALSE)/1,0)-IFERROR(VLOOKUP($B306,'Slutlig allokering kvv'!$B$2:$BX$550,MATCH(L$2,'Slutlig allokering kvv'!$B$1:$BX$1,0),FALSE)/1,0))</f>
        <v>15.476599999999999</v>
      </c>
      <c r="M306" s="31">
        <f>IF($D306="","",IFERROR(VLOOKUP($B306,Kraftvärmeprod!$B$1:$BX$550,MATCH(M$2,Kraftvärmeprod!$B$1:$VX$1,0),FALSE)/1,0)-IFERROR(VLOOKUP($B306,'Slutlig allokering kvv'!$B$2:$BX$550,MATCH(M$2,'Slutlig allokering kvv'!$B$1:$BX$1,0),FALSE)/1,0))</f>
        <v>0</v>
      </c>
      <c r="N306" s="31">
        <f>IF($D306="","",IFERROR(VLOOKUP($B306,Kraftvärmeprod!$B$1:$BX$550,MATCH(N$2,Kraftvärmeprod!$B$1:$VX$1,0),FALSE)/1,0)-IFERROR(VLOOKUP($B306,'Slutlig allokering kvv'!$B$2:$BX$550,MATCH(N$2,'Slutlig allokering kvv'!$B$1:$BX$1,0),FALSE)/1,0))</f>
        <v>0</v>
      </c>
      <c r="O306" s="31">
        <f>IF($D306="","",IFERROR(VLOOKUP($B306,Kraftvärmeprod!$B$1:$BX$550,MATCH(O$2,Kraftvärmeprod!$B$1:$VX$1,0),FALSE)/1,0)-IFERROR(VLOOKUP($B306,'Slutlig allokering kvv'!$B$2:$BX$550,MATCH(O$2,'Slutlig allokering kvv'!$B$1:$BX$1,0),FALSE)/1,0))</f>
        <v>0</v>
      </c>
      <c r="P306" s="31">
        <f>IF($D306="","",IFERROR(VLOOKUP($B306,Kraftvärmeprod!$B$1:$BX$550,MATCH(P$2,Kraftvärmeprod!$B$1:$VX$1,0),FALSE)/1,0)-IFERROR(VLOOKUP($B306,'Slutlig allokering kvv'!$B$2:$BX$550,MATCH(P$2,'Slutlig allokering kvv'!$B$1:$BX$1,0),FALSE)/1,0))</f>
        <v>0</v>
      </c>
      <c r="Q306" s="31">
        <f>IF($D306="","",IFERROR(VLOOKUP($B306,Kraftvärmeprod!$B$1:$BX$550,MATCH(Q$2,Kraftvärmeprod!$B$1:$VX$1,0),FALSE)/1,0)-IFERROR(VLOOKUP($B306,'Slutlig allokering kvv'!$B$2:$BX$550,MATCH(Q$2,'Slutlig allokering kvv'!$B$1:$BX$1,0),FALSE)/1,0))</f>
        <v>0</v>
      </c>
      <c r="R306" s="31">
        <f>IF($D306="","",IFERROR(VLOOKUP($B306,Kraftvärmeprod!$B$1:$BX$550,MATCH(R$2,Kraftvärmeprod!$B$1:$VX$1,0),FALSE)/1,0)-IFERROR(VLOOKUP($B306,'Slutlig allokering kvv'!$B$2:$BX$550,MATCH(R$2,'Slutlig allokering kvv'!$B$1:$BX$1,0),FALSE)/1,0))</f>
        <v>0</v>
      </c>
      <c r="S306" s="31">
        <f>IF($D306="","",IFERROR(VLOOKUP($B306,Kraftvärmeprod!$B$1:$BX$550,MATCH(S$2,Kraftvärmeprod!$B$1:$VX$1,0),FALSE)/1,0)-IFERROR(VLOOKUP($B306,'Slutlig allokering kvv'!$B$2:$BX$550,MATCH(S$2,'Slutlig allokering kvv'!$B$1:$BX$1,0),FALSE)/1,0))</f>
        <v>0</v>
      </c>
      <c r="T306" s="31">
        <f>IF($D306="","",IFERROR(VLOOKUP($B306,Kraftvärmeprod!$B$1:$BX$550,MATCH(T$2,Kraftvärmeprod!$B$1:$VX$1,0),FALSE)/1,0)-IFERROR(VLOOKUP($B306,'Slutlig allokering kvv'!$B$2:$BX$550,MATCH(T$2,'Slutlig allokering kvv'!$B$1:$BX$1,0),FALSE)/1,0))</f>
        <v>0</v>
      </c>
      <c r="U306" s="31">
        <f>IF($D306="","",IFERROR(VLOOKUP($B306,Kraftvärmeprod!$B$1:$BX$550,MATCH(U$2,Kraftvärmeprod!$B$1:$VX$1,0),FALSE)/1,0)-IFERROR(VLOOKUP($B306,'Slutlig allokering kvv'!$B$2:$BX$550,MATCH(U$2,'Slutlig allokering kvv'!$B$1:$BX$1,0),FALSE)/1,0))</f>
        <v>0</v>
      </c>
      <c r="V306" s="31">
        <f>IF($D306="","",IFERROR(VLOOKUP($B306,Kraftvärmeprod!$B$1:$BX$550,MATCH(V$2,Kraftvärmeprod!$B$1:$VX$1,0),FALSE)/1,0)-IFERROR(VLOOKUP($B306,'Slutlig allokering kvv'!$B$2:$BX$550,MATCH(V$2,'Slutlig allokering kvv'!$B$1:$BX$1,0),FALSE)/1,0))</f>
        <v>181.65199999999999</v>
      </c>
      <c r="W306" s="31">
        <f>IF($D306="","",IFERROR(VLOOKUP($B306,Kraftvärmeprod!$B$1:$BX$550,MATCH(W$2,Kraftvärmeprod!$B$1:$VX$1,0),FALSE)/1,0)-IFERROR(VLOOKUP($B306,'Slutlig allokering kvv'!$B$2:$BX$550,MATCH(W$2,'Slutlig allokering kvv'!$B$1:$BX$1,0),FALSE)/1,0))</f>
        <v>0</v>
      </c>
      <c r="X306" s="31">
        <f>IF($D306="","",IFERROR(VLOOKUP($B306,Kraftvärmeprod!$B$1:$BX$550,MATCH(X$2,Kraftvärmeprod!$B$1:$VX$1,0),FALSE)/1,0)-IFERROR(VLOOKUP($B306,'Slutlig allokering kvv'!$B$2:$BX$550,MATCH(X$2,'Slutlig allokering kvv'!$B$1:$BX$1,0),FALSE)/1,0))</f>
        <v>0</v>
      </c>
      <c r="Y306" s="31">
        <f>IF($D306="","",IFERROR(VLOOKUP($B306,Kraftvärmeprod!$B$1:$BX$550,MATCH(Y$2,Kraftvärmeprod!$B$1:$VX$1,0),FALSE)/1,0)-IFERROR(VLOOKUP($B306,'Slutlig allokering kvv'!$B$2:$BX$550,MATCH(Y$2,'Slutlig allokering kvv'!$B$1:$BX$1,0),FALSE)/1,0))</f>
        <v>0</v>
      </c>
      <c r="Z306" s="31">
        <f>IF($D306="","",IFERROR(VLOOKUP($B306,Kraftvärmeprod!$B$1:$BX$550,MATCH(Z$2,Kraftvärmeprod!$B$1:$VX$1,0),FALSE)/1,0)-IFERROR(VLOOKUP($B306,'Slutlig allokering kvv'!$B$2:$BX$550,MATCH(Z$2,'Slutlig allokering kvv'!$B$1:$BX$1,0),FALSE)/1,0))</f>
        <v>0</v>
      </c>
      <c r="AA306" s="31">
        <f>IF($D306="","",IFERROR(VLOOKUP($B306,Kraftvärmeprod!$B$1:$BX$550,MATCH(AA$2,Kraftvärmeprod!$B$1:$VX$1,0),FALSE)/1,0)-IFERROR(VLOOKUP($B306,'Slutlig allokering kvv'!$B$2:$BX$550,MATCH(AA$2,'Slutlig allokering kvv'!$B$1:$BX$1,0),FALSE)/1,0))</f>
        <v>1.1863170000000003</v>
      </c>
      <c r="AB306" s="31">
        <f>IF($D306="","",IFERROR(VLOOKUP($B306,Kraftvärmeprod!$B$1:$BX$550,MATCH(AB$2,Kraftvärmeprod!$B$1:$VX$1,0),FALSE)/1,0)-IFERROR(VLOOKUP($B306,'Slutlig allokering kvv'!$B$2:$BX$550,MATCH(AB$2,'Slutlig allokering kvv'!$B$1:$BX$1,0),FALSE)/1,0))</f>
        <v>0.24962800000000002</v>
      </c>
      <c r="AC306" s="31">
        <f>IF($D306="","",IFERROR(VLOOKUP($B306,Kraftvärmeprod!$B$1:$BX$550,MATCH(AC$2,Kraftvärmeprod!$B$1:$VX$1,0),FALSE)/1,0)-IFERROR(VLOOKUP($B306,'Slutlig allokering kvv'!$B$2:$BX$550,MATCH(AC$2,'Slutlig allokering kvv'!$B$1:$BX$1,0),FALSE)/1,0))</f>
        <v>0</v>
      </c>
      <c r="AD306" s="31">
        <f>IF($D306="","",IFERROR(VLOOKUP($B306,Kraftvärmeprod!$B$1:$BX$550,MATCH(AD$2,Kraftvärmeprod!$B$1:$VX$1,0),FALSE)/1,0)-IFERROR(VLOOKUP($B306,'Slutlig allokering kvv'!$B$2:$BX$550,MATCH(AD$2,'Slutlig allokering kvv'!$B$1:$BX$1,0),FALSE)/1,0))</f>
        <v>0</v>
      </c>
      <c r="AE306" s="31">
        <f>IF($D306="","",IFERROR(VLOOKUP($B306,Miljö!$B$1:$E$550,MATCH("Hjälpel kraftvärme (GWh)",Miljö!$B$1:$E$1,0),FALSE)/1,0)-IFERROR(VLOOKUP($B306,'Slutlig allokering kvv'!$B$2:$BX$549,MATCH(AE$2,'Slutlig allokering kvv'!$B$1:$BX$1,0),FALSE)/1,0))</f>
        <v>7.80633</v>
      </c>
      <c r="AI306" s="39">
        <f t="shared" si="16"/>
        <v>199.37156999999999</v>
      </c>
      <c r="AK306" s="31">
        <f>IFERROR(VLOOKUP($B306,'Slutlig allokering kvv'!$B$2:$AX$549,MATCH("Summa slutlig allokerad tillförd energi (utan hjälpel och rökgaskondensering):",'Slutlig allokering kvv'!$B$1:$AX$1,0),FALSE)/1,"")</f>
        <v>176.82843000000003</v>
      </c>
      <c r="AM306" s="31">
        <f>IFERROR(1-VLOOKUP($B306,'Slutlig allokering kvv'!$B$2:$AX$549,MATCH("Andel av bränsle i kvv som allokerats till värme, exklusive rökgaskondensering och hjälpel",'Slutlig allokering kvv'!$B$1:$AX$1,0),FALSE),"")</f>
        <v>0.52996164274322166</v>
      </c>
      <c r="AO306" s="31">
        <f t="shared" si="17"/>
        <v>0.52996164274322155</v>
      </c>
      <c r="AP306" s="31">
        <f t="shared" si="18"/>
        <v>1.1102230246251565E-16</v>
      </c>
      <c r="AR306" s="32">
        <f t="shared" si="19"/>
        <v>0.42754077534331608</v>
      </c>
    </row>
    <row r="307" spans="1:44" s="31" customFormat="1" x14ac:dyDescent="0.45">
      <c r="A307" s="31" t="s">
        <v>232</v>
      </c>
      <c r="B307" s="31" t="s">
        <v>236</v>
      </c>
      <c r="C307" s="31" t="str">
        <f>IFERROR(VLOOKUP($B307,Kraftvärmeprod!$B$1:$AH$479,MATCH(C$2,Kraftvärmeprod!$B$1:$AG$1,0),FALSE)/1,"")</f>
        <v/>
      </c>
      <c r="D307" s="31" t="str">
        <f>IFERROR(VLOOKUP($B307,Kraftvärmeprod!$B$1:$AH$479,MATCH(D$2,Kraftvärmeprod!$B$1:$AG$1,0),FALSE)/1,"")</f>
        <v/>
      </c>
      <c r="F307" s="31" t="str">
        <f>IF($D307="","",IFERROR(VLOOKUP($B307,Kraftvärmeprod!$B$1:$BX$550,MATCH(F$2,Kraftvärmeprod!$B$1:$VX$1,0),FALSE)/1,0)-IFERROR(VLOOKUP($B307,'Slutlig allokering kvv'!$B$2:$BX$550,MATCH(F$2,'Slutlig allokering kvv'!$B$1:$BX$1,0),FALSE)/1,0))</f>
        <v/>
      </c>
      <c r="G307" s="31" t="str">
        <f>IF($D307="","",IFERROR(VLOOKUP($B307,Kraftvärmeprod!$B$1:$BX$550,MATCH(G$2,Kraftvärmeprod!$B$1:$VX$1,0),FALSE)/1,0)-IFERROR(VLOOKUP($B307,'Slutlig allokering kvv'!$B$2:$BX$550,MATCH(G$2,'Slutlig allokering kvv'!$B$1:$BX$1,0),FALSE)/1,0))</f>
        <v/>
      </c>
      <c r="H307" s="31" t="str">
        <f>IF($D307="","",IFERROR(VLOOKUP($B307,Kraftvärmeprod!$B$1:$BX$550,MATCH(H$2,Kraftvärmeprod!$B$1:$VX$1,0),FALSE)/1,0)-IFERROR(VLOOKUP($B307,'Slutlig allokering kvv'!$B$2:$BX$550,MATCH(H$2,'Slutlig allokering kvv'!$B$1:$BX$1,0),FALSE)/1,0))</f>
        <v/>
      </c>
      <c r="I307" s="31" t="str">
        <f>IF($D307="","",IFERROR(VLOOKUP($B307,Kraftvärmeprod!$B$1:$BX$550,MATCH(I$2,Kraftvärmeprod!$B$1:$VX$1,0),FALSE)/1,0)-IFERROR(VLOOKUP($B307,'Slutlig allokering kvv'!$B$2:$BX$550,MATCH(I$2,'Slutlig allokering kvv'!$B$1:$BX$1,0),FALSE)/1,0))</f>
        <v/>
      </c>
      <c r="J307" s="31" t="str">
        <f>IF($D307="","",IFERROR(VLOOKUP($B307,Kraftvärmeprod!$B$1:$BX$550,MATCH(J$2,Kraftvärmeprod!$B$1:$VX$1,0),FALSE)/1,0)-IFERROR(VLOOKUP($B307,'Slutlig allokering kvv'!$B$2:$BX$550,MATCH(J$2,'Slutlig allokering kvv'!$B$1:$BX$1,0),FALSE)/1,0))</f>
        <v/>
      </c>
      <c r="K307" s="31" t="str">
        <f>IF($D307="","",IFERROR(VLOOKUP($B307,Kraftvärmeprod!$B$1:$BX$550,MATCH(K$2,Kraftvärmeprod!$B$1:$VX$1,0),FALSE)/1,0)-IFERROR(VLOOKUP($B307,'Slutlig allokering kvv'!$B$2:$BX$550,MATCH(K$2,'Slutlig allokering kvv'!$B$1:$BX$1,0),FALSE)/1,0))</f>
        <v/>
      </c>
      <c r="L307" s="31" t="str">
        <f>IF($D307="","",IFERROR(VLOOKUP($B307,Kraftvärmeprod!$B$1:$BX$550,MATCH(L$2,Kraftvärmeprod!$B$1:$VX$1,0),FALSE)/1,0)-IFERROR(VLOOKUP($B307,'Slutlig allokering kvv'!$B$2:$BX$550,MATCH(L$2,'Slutlig allokering kvv'!$B$1:$BX$1,0),FALSE)/1,0))</f>
        <v/>
      </c>
      <c r="M307" s="31" t="str">
        <f>IF($D307="","",IFERROR(VLOOKUP($B307,Kraftvärmeprod!$B$1:$BX$550,MATCH(M$2,Kraftvärmeprod!$B$1:$VX$1,0),FALSE)/1,0)-IFERROR(VLOOKUP($B307,'Slutlig allokering kvv'!$B$2:$BX$550,MATCH(M$2,'Slutlig allokering kvv'!$B$1:$BX$1,0),FALSE)/1,0))</f>
        <v/>
      </c>
      <c r="N307" s="31" t="str">
        <f>IF($D307="","",IFERROR(VLOOKUP($B307,Kraftvärmeprod!$B$1:$BX$550,MATCH(N$2,Kraftvärmeprod!$B$1:$VX$1,0),FALSE)/1,0)-IFERROR(VLOOKUP($B307,'Slutlig allokering kvv'!$B$2:$BX$550,MATCH(N$2,'Slutlig allokering kvv'!$B$1:$BX$1,0),FALSE)/1,0))</f>
        <v/>
      </c>
      <c r="O307" s="31" t="str">
        <f>IF($D307="","",IFERROR(VLOOKUP($B307,Kraftvärmeprod!$B$1:$BX$550,MATCH(O$2,Kraftvärmeprod!$B$1:$VX$1,0),FALSE)/1,0)-IFERROR(VLOOKUP($B307,'Slutlig allokering kvv'!$B$2:$BX$550,MATCH(O$2,'Slutlig allokering kvv'!$B$1:$BX$1,0),FALSE)/1,0))</f>
        <v/>
      </c>
      <c r="P307" s="31" t="str">
        <f>IF($D307="","",IFERROR(VLOOKUP($B307,Kraftvärmeprod!$B$1:$BX$550,MATCH(P$2,Kraftvärmeprod!$B$1:$VX$1,0),FALSE)/1,0)-IFERROR(VLOOKUP($B307,'Slutlig allokering kvv'!$B$2:$BX$550,MATCH(P$2,'Slutlig allokering kvv'!$B$1:$BX$1,0),FALSE)/1,0))</f>
        <v/>
      </c>
      <c r="Q307" s="31" t="str">
        <f>IF($D307="","",IFERROR(VLOOKUP($B307,Kraftvärmeprod!$B$1:$BX$550,MATCH(Q$2,Kraftvärmeprod!$B$1:$VX$1,0),FALSE)/1,0)-IFERROR(VLOOKUP($B307,'Slutlig allokering kvv'!$B$2:$BX$550,MATCH(Q$2,'Slutlig allokering kvv'!$B$1:$BX$1,0),FALSE)/1,0))</f>
        <v/>
      </c>
      <c r="R307" s="31" t="str">
        <f>IF($D307="","",IFERROR(VLOOKUP($B307,Kraftvärmeprod!$B$1:$BX$550,MATCH(R$2,Kraftvärmeprod!$B$1:$VX$1,0),FALSE)/1,0)-IFERROR(VLOOKUP($B307,'Slutlig allokering kvv'!$B$2:$BX$550,MATCH(R$2,'Slutlig allokering kvv'!$B$1:$BX$1,0),FALSE)/1,0))</f>
        <v/>
      </c>
      <c r="S307" s="31" t="str">
        <f>IF($D307="","",IFERROR(VLOOKUP($B307,Kraftvärmeprod!$B$1:$BX$550,MATCH(S$2,Kraftvärmeprod!$B$1:$VX$1,0),FALSE)/1,0)-IFERROR(VLOOKUP($B307,'Slutlig allokering kvv'!$B$2:$BX$550,MATCH(S$2,'Slutlig allokering kvv'!$B$1:$BX$1,0),FALSE)/1,0))</f>
        <v/>
      </c>
      <c r="T307" s="31" t="str">
        <f>IF($D307="","",IFERROR(VLOOKUP($B307,Kraftvärmeprod!$B$1:$BX$550,MATCH(T$2,Kraftvärmeprod!$B$1:$VX$1,0),FALSE)/1,0)-IFERROR(VLOOKUP($B307,'Slutlig allokering kvv'!$B$2:$BX$550,MATCH(T$2,'Slutlig allokering kvv'!$B$1:$BX$1,0),FALSE)/1,0))</f>
        <v/>
      </c>
      <c r="U307" s="31" t="str">
        <f>IF($D307="","",IFERROR(VLOOKUP($B307,Kraftvärmeprod!$B$1:$BX$550,MATCH(U$2,Kraftvärmeprod!$B$1:$VX$1,0),FALSE)/1,0)-IFERROR(VLOOKUP($B307,'Slutlig allokering kvv'!$B$2:$BX$550,MATCH(U$2,'Slutlig allokering kvv'!$B$1:$BX$1,0),FALSE)/1,0))</f>
        <v/>
      </c>
      <c r="V307" s="31" t="str">
        <f>IF($D307="","",IFERROR(VLOOKUP($B307,Kraftvärmeprod!$B$1:$BX$550,MATCH(V$2,Kraftvärmeprod!$B$1:$VX$1,0),FALSE)/1,0)-IFERROR(VLOOKUP($B307,'Slutlig allokering kvv'!$B$2:$BX$550,MATCH(V$2,'Slutlig allokering kvv'!$B$1:$BX$1,0),FALSE)/1,0))</f>
        <v/>
      </c>
      <c r="W307" s="31" t="str">
        <f>IF($D307="","",IFERROR(VLOOKUP($B307,Kraftvärmeprod!$B$1:$BX$550,MATCH(W$2,Kraftvärmeprod!$B$1:$VX$1,0),FALSE)/1,0)-IFERROR(VLOOKUP($B307,'Slutlig allokering kvv'!$B$2:$BX$550,MATCH(W$2,'Slutlig allokering kvv'!$B$1:$BX$1,0),FALSE)/1,0))</f>
        <v/>
      </c>
      <c r="X307" s="31" t="str">
        <f>IF($D307="","",IFERROR(VLOOKUP($B307,Kraftvärmeprod!$B$1:$BX$550,MATCH(X$2,Kraftvärmeprod!$B$1:$VX$1,0),FALSE)/1,0)-IFERROR(VLOOKUP($B307,'Slutlig allokering kvv'!$B$2:$BX$550,MATCH(X$2,'Slutlig allokering kvv'!$B$1:$BX$1,0),FALSE)/1,0))</f>
        <v/>
      </c>
      <c r="Y307" s="31" t="str">
        <f>IF($D307="","",IFERROR(VLOOKUP($B307,Kraftvärmeprod!$B$1:$BX$550,MATCH(Y$2,Kraftvärmeprod!$B$1:$VX$1,0),FALSE)/1,0)-IFERROR(VLOOKUP($B307,'Slutlig allokering kvv'!$B$2:$BX$550,MATCH(Y$2,'Slutlig allokering kvv'!$B$1:$BX$1,0),FALSE)/1,0))</f>
        <v/>
      </c>
      <c r="Z307" s="31" t="str">
        <f>IF($D307="","",IFERROR(VLOOKUP($B307,Kraftvärmeprod!$B$1:$BX$550,MATCH(Z$2,Kraftvärmeprod!$B$1:$VX$1,0),FALSE)/1,0)-IFERROR(VLOOKUP($B307,'Slutlig allokering kvv'!$B$2:$BX$550,MATCH(Z$2,'Slutlig allokering kvv'!$B$1:$BX$1,0),FALSE)/1,0))</f>
        <v/>
      </c>
      <c r="AA307" s="31" t="str">
        <f>IF($D307="","",IFERROR(VLOOKUP($B307,Kraftvärmeprod!$B$1:$BX$550,MATCH(AA$2,Kraftvärmeprod!$B$1:$VX$1,0),FALSE)/1,0)-IFERROR(VLOOKUP($B307,'Slutlig allokering kvv'!$B$2:$BX$550,MATCH(AA$2,'Slutlig allokering kvv'!$B$1:$BX$1,0),FALSE)/1,0))</f>
        <v/>
      </c>
      <c r="AB307" s="31" t="str">
        <f>IF($D307="","",IFERROR(VLOOKUP($B307,Kraftvärmeprod!$B$1:$BX$550,MATCH(AB$2,Kraftvärmeprod!$B$1:$VX$1,0),FALSE)/1,0)-IFERROR(VLOOKUP($B307,'Slutlig allokering kvv'!$B$2:$BX$550,MATCH(AB$2,'Slutlig allokering kvv'!$B$1:$BX$1,0),FALSE)/1,0))</f>
        <v/>
      </c>
      <c r="AC307" s="31" t="str">
        <f>IF($D307="","",IFERROR(VLOOKUP($B307,Kraftvärmeprod!$B$1:$BX$550,MATCH(AC$2,Kraftvärmeprod!$B$1:$VX$1,0),FALSE)/1,0)-IFERROR(VLOOKUP($B307,'Slutlig allokering kvv'!$B$2:$BX$550,MATCH(AC$2,'Slutlig allokering kvv'!$B$1:$BX$1,0),FALSE)/1,0))</f>
        <v/>
      </c>
      <c r="AD307" s="31" t="str">
        <f>IF($D307="","",IFERROR(VLOOKUP($B307,Kraftvärmeprod!$B$1:$BX$550,MATCH(AD$2,Kraftvärmeprod!$B$1:$VX$1,0),FALSE)/1,0)-IFERROR(VLOOKUP($B307,'Slutlig allokering kvv'!$B$2:$BX$550,MATCH(AD$2,'Slutlig allokering kvv'!$B$1:$BX$1,0),FALSE)/1,0))</f>
        <v/>
      </c>
      <c r="AE307" s="31" t="str">
        <f>IF($D307="","",IFERROR(VLOOKUP($B307,Miljö!$B$1:$E$550,MATCH("Hjälpel kraftvärme (GWh)",Miljö!$B$1:$E$1,0),FALSE)/1,0)-IFERROR(VLOOKUP($B307,'Slutlig allokering kvv'!$B$2:$BX$549,MATCH(AE$2,'Slutlig allokering kvv'!$B$1:$BX$1,0),FALSE)/1,0))</f>
        <v/>
      </c>
      <c r="AI307" s="39">
        <f t="shared" si="16"/>
        <v>0</v>
      </c>
      <c r="AK307" s="31">
        <f>IFERROR(VLOOKUP($B307,'Slutlig allokering kvv'!$B$2:$AX$549,MATCH("Summa slutlig allokerad tillförd energi (utan hjälpel och rökgaskondensering):",'Slutlig allokering kvv'!$B$1:$AX$1,0),FALSE)/1,"")</f>
        <v>0</v>
      </c>
      <c r="AM307" s="31" t="str">
        <f>IFERROR(1-VLOOKUP($B307,'Slutlig allokering kvv'!$B$2:$AX$549,MATCH("Andel av bränsle i kvv som allokerats till värme, exklusive rökgaskondensering och hjälpel",'Slutlig allokering kvv'!$B$1:$AX$1,0),FALSE),"")</f>
        <v/>
      </c>
      <c r="AO307" s="31" t="str">
        <f t="shared" si="17"/>
        <v/>
      </c>
      <c r="AP307" s="31" t="str">
        <f t="shared" si="18"/>
        <v/>
      </c>
      <c r="AR307" s="32" t="str">
        <f t="shared" si="19"/>
        <v/>
      </c>
    </row>
    <row r="308" spans="1:44" s="31" customFormat="1" x14ac:dyDescent="0.45">
      <c r="A308" s="31" t="s">
        <v>232</v>
      </c>
      <c r="B308" s="31" t="s">
        <v>235</v>
      </c>
      <c r="C308" s="31" t="str">
        <f>IFERROR(VLOOKUP($B308,Kraftvärmeprod!$B$1:$AH$479,MATCH(C$2,Kraftvärmeprod!$B$1:$AG$1,0),FALSE)/1,"")</f>
        <v/>
      </c>
      <c r="D308" s="31" t="str">
        <f>IFERROR(VLOOKUP($B308,Kraftvärmeprod!$B$1:$AH$479,MATCH(D$2,Kraftvärmeprod!$B$1:$AG$1,0),FALSE)/1,"")</f>
        <v/>
      </c>
      <c r="F308" s="31" t="str">
        <f>IF($D308="","",IFERROR(VLOOKUP($B308,Kraftvärmeprod!$B$1:$BX$550,MATCH(F$2,Kraftvärmeprod!$B$1:$VX$1,0),FALSE)/1,0)-IFERROR(VLOOKUP($B308,'Slutlig allokering kvv'!$B$2:$BX$550,MATCH(F$2,'Slutlig allokering kvv'!$B$1:$BX$1,0),FALSE)/1,0))</f>
        <v/>
      </c>
      <c r="G308" s="31" t="str">
        <f>IF($D308="","",IFERROR(VLOOKUP($B308,Kraftvärmeprod!$B$1:$BX$550,MATCH(G$2,Kraftvärmeprod!$B$1:$VX$1,0),FALSE)/1,0)-IFERROR(VLOOKUP($B308,'Slutlig allokering kvv'!$B$2:$BX$550,MATCH(G$2,'Slutlig allokering kvv'!$B$1:$BX$1,0),FALSE)/1,0))</f>
        <v/>
      </c>
      <c r="H308" s="31" t="str">
        <f>IF($D308="","",IFERROR(VLOOKUP($B308,Kraftvärmeprod!$B$1:$BX$550,MATCH(H$2,Kraftvärmeprod!$B$1:$VX$1,0),FALSE)/1,0)-IFERROR(VLOOKUP($B308,'Slutlig allokering kvv'!$B$2:$BX$550,MATCH(H$2,'Slutlig allokering kvv'!$B$1:$BX$1,0),FALSE)/1,0))</f>
        <v/>
      </c>
      <c r="I308" s="31" t="str">
        <f>IF($D308="","",IFERROR(VLOOKUP($B308,Kraftvärmeprod!$B$1:$BX$550,MATCH(I$2,Kraftvärmeprod!$B$1:$VX$1,0),FALSE)/1,0)-IFERROR(VLOOKUP($B308,'Slutlig allokering kvv'!$B$2:$BX$550,MATCH(I$2,'Slutlig allokering kvv'!$B$1:$BX$1,0),FALSE)/1,0))</f>
        <v/>
      </c>
      <c r="J308" s="31" t="str">
        <f>IF($D308="","",IFERROR(VLOOKUP($B308,Kraftvärmeprod!$B$1:$BX$550,MATCH(J$2,Kraftvärmeprod!$B$1:$VX$1,0),FALSE)/1,0)-IFERROR(VLOOKUP($B308,'Slutlig allokering kvv'!$B$2:$BX$550,MATCH(J$2,'Slutlig allokering kvv'!$B$1:$BX$1,0),FALSE)/1,0))</f>
        <v/>
      </c>
      <c r="K308" s="31" t="str">
        <f>IF($D308="","",IFERROR(VLOOKUP($B308,Kraftvärmeprod!$B$1:$BX$550,MATCH(K$2,Kraftvärmeprod!$B$1:$VX$1,0),FALSE)/1,0)-IFERROR(VLOOKUP($B308,'Slutlig allokering kvv'!$B$2:$BX$550,MATCH(K$2,'Slutlig allokering kvv'!$B$1:$BX$1,0),FALSE)/1,0))</f>
        <v/>
      </c>
      <c r="L308" s="31" t="str">
        <f>IF($D308="","",IFERROR(VLOOKUP($B308,Kraftvärmeprod!$B$1:$BX$550,MATCH(L$2,Kraftvärmeprod!$B$1:$VX$1,0),FALSE)/1,0)-IFERROR(VLOOKUP($B308,'Slutlig allokering kvv'!$B$2:$BX$550,MATCH(L$2,'Slutlig allokering kvv'!$B$1:$BX$1,0),FALSE)/1,0))</f>
        <v/>
      </c>
      <c r="M308" s="31" t="str">
        <f>IF($D308="","",IFERROR(VLOOKUP($B308,Kraftvärmeprod!$B$1:$BX$550,MATCH(M$2,Kraftvärmeprod!$B$1:$VX$1,0),FALSE)/1,0)-IFERROR(VLOOKUP($B308,'Slutlig allokering kvv'!$B$2:$BX$550,MATCH(M$2,'Slutlig allokering kvv'!$B$1:$BX$1,0),FALSE)/1,0))</f>
        <v/>
      </c>
      <c r="N308" s="31" t="str">
        <f>IF($D308="","",IFERROR(VLOOKUP($B308,Kraftvärmeprod!$B$1:$BX$550,MATCH(N$2,Kraftvärmeprod!$B$1:$VX$1,0),FALSE)/1,0)-IFERROR(VLOOKUP($B308,'Slutlig allokering kvv'!$B$2:$BX$550,MATCH(N$2,'Slutlig allokering kvv'!$B$1:$BX$1,0),FALSE)/1,0))</f>
        <v/>
      </c>
      <c r="O308" s="31" t="str">
        <f>IF($D308="","",IFERROR(VLOOKUP($B308,Kraftvärmeprod!$B$1:$BX$550,MATCH(O$2,Kraftvärmeprod!$B$1:$VX$1,0),FALSE)/1,0)-IFERROR(VLOOKUP($B308,'Slutlig allokering kvv'!$B$2:$BX$550,MATCH(O$2,'Slutlig allokering kvv'!$B$1:$BX$1,0),FALSE)/1,0))</f>
        <v/>
      </c>
      <c r="P308" s="31" t="str">
        <f>IF($D308="","",IFERROR(VLOOKUP($B308,Kraftvärmeprod!$B$1:$BX$550,MATCH(P$2,Kraftvärmeprod!$B$1:$VX$1,0),FALSE)/1,0)-IFERROR(VLOOKUP($B308,'Slutlig allokering kvv'!$B$2:$BX$550,MATCH(P$2,'Slutlig allokering kvv'!$B$1:$BX$1,0),FALSE)/1,0))</f>
        <v/>
      </c>
      <c r="Q308" s="31" t="str">
        <f>IF($D308="","",IFERROR(VLOOKUP($B308,Kraftvärmeprod!$B$1:$BX$550,MATCH(Q$2,Kraftvärmeprod!$B$1:$VX$1,0),FALSE)/1,0)-IFERROR(VLOOKUP($B308,'Slutlig allokering kvv'!$B$2:$BX$550,MATCH(Q$2,'Slutlig allokering kvv'!$B$1:$BX$1,0),FALSE)/1,0))</f>
        <v/>
      </c>
      <c r="R308" s="31" t="str">
        <f>IF($D308="","",IFERROR(VLOOKUP($B308,Kraftvärmeprod!$B$1:$BX$550,MATCH(R$2,Kraftvärmeprod!$B$1:$VX$1,0),FALSE)/1,0)-IFERROR(VLOOKUP($B308,'Slutlig allokering kvv'!$B$2:$BX$550,MATCH(R$2,'Slutlig allokering kvv'!$B$1:$BX$1,0),FALSE)/1,0))</f>
        <v/>
      </c>
      <c r="S308" s="31" t="str">
        <f>IF($D308="","",IFERROR(VLOOKUP($B308,Kraftvärmeprod!$B$1:$BX$550,MATCH(S$2,Kraftvärmeprod!$B$1:$VX$1,0),FALSE)/1,0)-IFERROR(VLOOKUP($B308,'Slutlig allokering kvv'!$B$2:$BX$550,MATCH(S$2,'Slutlig allokering kvv'!$B$1:$BX$1,0),FALSE)/1,0))</f>
        <v/>
      </c>
      <c r="T308" s="31" t="str">
        <f>IF($D308="","",IFERROR(VLOOKUP($B308,Kraftvärmeprod!$B$1:$BX$550,MATCH(T$2,Kraftvärmeprod!$B$1:$VX$1,0),FALSE)/1,0)-IFERROR(VLOOKUP($B308,'Slutlig allokering kvv'!$B$2:$BX$550,MATCH(T$2,'Slutlig allokering kvv'!$B$1:$BX$1,0),FALSE)/1,0))</f>
        <v/>
      </c>
      <c r="U308" s="31" t="str">
        <f>IF($D308="","",IFERROR(VLOOKUP($B308,Kraftvärmeprod!$B$1:$BX$550,MATCH(U$2,Kraftvärmeprod!$B$1:$VX$1,0),FALSE)/1,0)-IFERROR(VLOOKUP($B308,'Slutlig allokering kvv'!$B$2:$BX$550,MATCH(U$2,'Slutlig allokering kvv'!$B$1:$BX$1,0),FALSE)/1,0))</f>
        <v/>
      </c>
      <c r="V308" s="31" t="str">
        <f>IF($D308="","",IFERROR(VLOOKUP($B308,Kraftvärmeprod!$B$1:$BX$550,MATCH(V$2,Kraftvärmeprod!$B$1:$VX$1,0),FALSE)/1,0)-IFERROR(VLOOKUP($B308,'Slutlig allokering kvv'!$B$2:$BX$550,MATCH(V$2,'Slutlig allokering kvv'!$B$1:$BX$1,0),FALSE)/1,0))</f>
        <v/>
      </c>
      <c r="W308" s="31" t="str">
        <f>IF($D308="","",IFERROR(VLOOKUP($B308,Kraftvärmeprod!$B$1:$BX$550,MATCH(W$2,Kraftvärmeprod!$B$1:$VX$1,0),FALSE)/1,0)-IFERROR(VLOOKUP($B308,'Slutlig allokering kvv'!$B$2:$BX$550,MATCH(W$2,'Slutlig allokering kvv'!$B$1:$BX$1,0),FALSE)/1,0))</f>
        <v/>
      </c>
      <c r="X308" s="31" t="str">
        <f>IF($D308="","",IFERROR(VLOOKUP($B308,Kraftvärmeprod!$B$1:$BX$550,MATCH(X$2,Kraftvärmeprod!$B$1:$VX$1,0),FALSE)/1,0)-IFERROR(VLOOKUP($B308,'Slutlig allokering kvv'!$B$2:$BX$550,MATCH(X$2,'Slutlig allokering kvv'!$B$1:$BX$1,0),FALSE)/1,0))</f>
        <v/>
      </c>
      <c r="Y308" s="31" t="str">
        <f>IF($D308="","",IFERROR(VLOOKUP($B308,Kraftvärmeprod!$B$1:$BX$550,MATCH(Y$2,Kraftvärmeprod!$B$1:$VX$1,0),FALSE)/1,0)-IFERROR(VLOOKUP($B308,'Slutlig allokering kvv'!$B$2:$BX$550,MATCH(Y$2,'Slutlig allokering kvv'!$B$1:$BX$1,0),FALSE)/1,0))</f>
        <v/>
      </c>
      <c r="Z308" s="31" t="str">
        <f>IF($D308="","",IFERROR(VLOOKUP($B308,Kraftvärmeprod!$B$1:$BX$550,MATCH(Z$2,Kraftvärmeprod!$B$1:$VX$1,0),FALSE)/1,0)-IFERROR(VLOOKUP($B308,'Slutlig allokering kvv'!$B$2:$BX$550,MATCH(Z$2,'Slutlig allokering kvv'!$B$1:$BX$1,0),FALSE)/1,0))</f>
        <v/>
      </c>
      <c r="AA308" s="31" t="str">
        <f>IF($D308="","",IFERROR(VLOOKUP($B308,Kraftvärmeprod!$B$1:$BX$550,MATCH(AA$2,Kraftvärmeprod!$B$1:$VX$1,0),FALSE)/1,0)-IFERROR(VLOOKUP($B308,'Slutlig allokering kvv'!$B$2:$BX$550,MATCH(AA$2,'Slutlig allokering kvv'!$B$1:$BX$1,0),FALSE)/1,0))</f>
        <v/>
      </c>
      <c r="AB308" s="31" t="str">
        <f>IF($D308="","",IFERROR(VLOOKUP($B308,Kraftvärmeprod!$B$1:$BX$550,MATCH(AB$2,Kraftvärmeprod!$B$1:$VX$1,0),FALSE)/1,0)-IFERROR(VLOOKUP($B308,'Slutlig allokering kvv'!$B$2:$BX$550,MATCH(AB$2,'Slutlig allokering kvv'!$B$1:$BX$1,0),FALSE)/1,0))</f>
        <v/>
      </c>
      <c r="AC308" s="31" t="str">
        <f>IF($D308="","",IFERROR(VLOOKUP($B308,Kraftvärmeprod!$B$1:$BX$550,MATCH(AC$2,Kraftvärmeprod!$B$1:$VX$1,0),FALSE)/1,0)-IFERROR(VLOOKUP($B308,'Slutlig allokering kvv'!$B$2:$BX$550,MATCH(AC$2,'Slutlig allokering kvv'!$B$1:$BX$1,0),FALSE)/1,0))</f>
        <v/>
      </c>
      <c r="AD308" s="31" t="str">
        <f>IF($D308="","",IFERROR(VLOOKUP($B308,Kraftvärmeprod!$B$1:$BX$550,MATCH(AD$2,Kraftvärmeprod!$B$1:$VX$1,0),FALSE)/1,0)-IFERROR(VLOOKUP($B308,'Slutlig allokering kvv'!$B$2:$BX$550,MATCH(AD$2,'Slutlig allokering kvv'!$B$1:$BX$1,0),FALSE)/1,0))</f>
        <v/>
      </c>
      <c r="AE308" s="31" t="str">
        <f>IF($D308="","",IFERROR(VLOOKUP($B308,Miljö!$B$1:$E$550,MATCH("Hjälpel kraftvärme (GWh)",Miljö!$B$1:$E$1,0),FALSE)/1,0)-IFERROR(VLOOKUP($B308,'Slutlig allokering kvv'!$B$2:$BX$549,MATCH(AE$2,'Slutlig allokering kvv'!$B$1:$BX$1,0),FALSE)/1,0))</f>
        <v/>
      </c>
      <c r="AI308" s="39">
        <f t="shared" si="16"/>
        <v>0</v>
      </c>
      <c r="AK308" s="31">
        <f>IFERROR(VLOOKUP($B308,'Slutlig allokering kvv'!$B$2:$AX$549,MATCH("Summa slutlig allokerad tillförd energi (utan hjälpel och rökgaskondensering):",'Slutlig allokering kvv'!$B$1:$AX$1,0),FALSE)/1,"")</f>
        <v>0</v>
      </c>
      <c r="AM308" s="31" t="str">
        <f>IFERROR(1-VLOOKUP($B308,'Slutlig allokering kvv'!$B$2:$AX$549,MATCH("Andel av bränsle i kvv som allokerats till värme, exklusive rökgaskondensering och hjälpel",'Slutlig allokering kvv'!$B$1:$AX$1,0),FALSE),"")</f>
        <v/>
      </c>
      <c r="AO308" s="31" t="str">
        <f t="shared" si="17"/>
        <v/>
      </c>
      <c r="AP308" s="31" t="str">
        <f t="shared" si="18"/>
        <v/>
      </c>
      <c r="AR308" s="32" t="str">
        <f t="shared" si="19"/>
        <v/>
      </c>
    </row>
    <row r="309" spans="1:44" s="31" customFormat="1" x14ac:dyDescent="0.45">
      <c r="A309" s="31" t="s">
        <v>232</v>
      </c>
      <c r="B309" s="31" t="s">
        <v>234</v>
      </c>
      <c r="C309" s="31">
        <f>IFERROR(VLOOKUP($B309,Kraftvärmeprod!$B$1:$AH$479,MATCH(C$2,Kraftvärmeprod!$B$1:$AG$1,0),FALSE)/1,"")</f>
        <v>315.2</v>
      </c>
      <c r="D309" s="31">
        <f>IFERROR(VLOOKUP($B309,Kraftvärmeprod!$B$1:$AH$479,MATCH(D$2,Kraftvärmeprod!$B$1:$AG$1,0),FALSE)/1,"")</f>
        <v>108.7</v>
      </c>
      <c r="F309" s="31">
        <f>IF($D309="","",IFERROR(VLOOKUP($B309,Kraftvärmeprod!$B$1:$BX$550,MATCH(F$2,Kraftvärmeprod!$B$1:$VX$1,0),FALSE)/1,0)-IFERROR(VLOOKUP($B309,'Slutlig allokering kvv'!$B$2:$BX$550,MATCH(F$2,'Slutlig allokering kvv'!$B$1:$BX$1,0),FALSE)/1,0))</f>
        <v>24.532000000000004</v>
      </c>
      <c r="G309" s="31">
        <f>IF($D309="","",IFERROR(VLOOKUP($B309,Kraftvärmeprod!$B$1:$BX$550,MATCH(G$2,Kraftvärmeprod!$B$1:$VX$1,0),FALSE)/1,0)-IFERROR(VLOOKUP($B309,'Slutlig allokering kvv'!$B$2:$BX$550,MATCH(G$2,'Slutlig allokering kvv'!$B$1:$BX$1,0),FALSE)/1,0))</f>
        <v>3.1640700000000006</v>
      </c>
      <c r="H309" s="31">
        <f>IF($D309="","",IFERROR(VLOOKUP($B309,Kraftvärmeprod!$B$1:$BX$550,MATCH(H$2,Kraftvärmeprod!$B$1:$VX$1,0),FALSE)/1,0)-IFERROR(VLOOKUP($B309,'Slutlig allokering kvv'!$B$2:$BX$550,MATCH(H$2,'Slutlig allokering kvv'!$B$1:$BX$1,0),FALSE)/1,0))</f>
        <v>0</v>
      </c>
      <c r="I309" s="31">
        <f>IF($D309="","",IFERROR(VLOOKUP($B309,Kraftvärmeprod!$B$1:$BX$550,MATCH(I$2,Kraftvärmeprod!$B$1:$VX$1,0),FALSE)/1,0)-IFERROR(VLOOKUP($B309,'Slutlig allokering kvv'!$B$2:$BX$550,MATCH(I$2,'Slutlig allokering kvv'!$B$1:$BX$1,0),FALSE)/1,0))</f>
        <v>20.504799999999999</v>
      </c>
      <c r="J309" s="31">
        <f>IF($D309="","",IFERROR(VLOOKUP($B309,Kraftvärmeprod!$B$1:$BX$550,MATCH(J$2,Kraftvärmeprod!$B$1:$VX$1,0),FALSE)/1,0)-IFERROR(VLOOKUP($B309,'Slutlig allokering kvv'!$B$2:$BX$550,MATCH(J$2,'Slutlig allokering kvv'!$B$1:$BX$1,0),FALSE)/1,0))</f>
        <v>0</v>
      </c>
      <c r="K309" s="31">
        <f>IF($D309="","",IFERROR(VLOOKUP($B309,Kraftvärmeprod!$B$1:$BX$550,MATCH(K$2,Kraftvärmeprod!$B$1:$VX$1,0),FALSE)/1,0)-IFERROR(VLOOKUP($B309,'Slutlig allokering kvv'!$B$2:$BX$550,MATCH(K$2,'Slutlig allokering kvv'!$B$1:$BX$1,0),FALSE)/1,0))</f>
        <v>0</v>
      </c>
      <c r="L309" s="31">
        <f>IF($D309="","",IFERROR(VLOOKUP($B309,Kraftvärmeprod!$B$1:$BX$550,MATCH(L$2,Kraftvärmeprod!$B$1:$VX$1,0),FALSE)/1,0)-IFERROR(VLOOKUP($B309,'Slutlig allokering kvv'!$B$2:$BX$550,MATCH(L$2,'Slutlig allokering kvv'!$B$1:$BX$1,0),FALSE)/1,0))</f>
        <v>0</v>
      </c>
      <c r="M309" s="31">
        <f>IF($D309="","",IFERROR(VLOOKUP($B309,Kraftvärmeprod!$B$1:$BX$550,MATCH(M$2,Kraftvärmeprod!$B$1:$VX$1,0),FALSE)/1,0)-IFERROR(VLOOKUP($B309,'Slutlig allokering kvv'!$B$2:$BX$550,MATCH(M$2,'Slutlig allokering kvv'!$B$1:$BX$1,0),FALSE)/1,0))</f>
        <v>0</v>
      </c>
      <c r="N309" s="31">
        <f>IF($D309="","",IFERROR(VLOOKUP($B309,Kraftvärmeprod!$B$1:$BX$550,MATCH(N$2,Kraftvärmeprod!$B$1:$VX$1,0),FALSE)/1,0)-IFERROR(VLOOKUP($B309,'Slutlig allokering kvv'!$B$2:$BX$550,MATCH(N$2,'Slutlig allokering kvv'!$B$1:$BX$1,0),FALSE)/1,0))</f>
        <v>0</v>
      </c>
      <c r="O309" s="31">
        <f>IF($D309="","",IFERROR(VLOOKUP($B309,Kraftvärmeprod!$B$1:$BX$550,MATCH(O$2,Kraftvärmeprod!$B$1:$VX$1,0),FALSE)/1,0)-IFERROR(VLOOKUP($B309,'Slutlig allokering kvv'!$B$2:$BX$550,MATCH(O$2,'Slutlig allokering kvv'!$B$1:$BX$1,0),FALSE)/1,0))</f>
        <v>0</v>
      </c>
      <c r="P309" s="31">
        <f>IF($D309="","",IFERROR(VLOOKUP($B309,Kraftvärmeprod!$B$1:$BX$550,MATCH(P$2,Kraftvärmeprod!$B$1:$VX$1,0),FALSE)/1,0)-IFERROR(VLOOKUP($B309,'Slutlig allokering kvv'!$B$2:$BX$550,MATCH(P$2,'Slutlig allokering kvv'!$B$1:$BX$1,0),FALSE)/1,0))</f>
        <v>0</v>
      </c>
      <c r="Q309" s="31">
        <f>IF($D309="","",IFERROR(VLOOKUP($B309,Kraftvärmeprod!$B$1:$BX$550,MATCH(Q$2,Kraftvärmeprod!$B$1:$VX$1,0),FALSE)/1,0)-IFERROR(VLOOKUP($B309,'Slutlig allokering kvv'!$B$2:$BX$550,MATCH(Q$2,'Slutlig allokering kvv'!$B$1:$BX$1,0),FALSE)/1,0))</f>
        <v>0</v>
      </c>
      <c r="R309" s="31">
        <f>IF($D309="","",IFERROR(VLOOKUP($B309,Kraftvärmeprod!$B$1:$BX$550,MATCH(R$2,Kraftvärmeprod!$B$1:$VX$1,0),FALSE)/1,0)-IFERROR(VLOOKUP($B309,'Slutlig allokering kvv'!$B$2:$BX$550,MATCH(R$2,'Slutlig allokering kvv'!$B$1:$BX$1,0),FALSE)/1,0))</f>
        <v>0</v>
      </c>
      <c r="S309" s="31">
        <f>IF($D309="","",IFERROR(VLOOKUP($B309,Kraftvärmeprod!$B$1:$BX$550,MATCH(S$2,Kraftvärmeprod!$B$1:$VX$1,0),FALSE)/1,0)-IFERROR(VLOOKUP($B309,'Slutlig allokering kvv'!$B$2:$BX$550,MATCH(S$2,'Slutlig allokering kvv'!$B$1:$BX$1,0),FALSE)/1,0))</f>
        <v>12.6379</v>
      </c>
      <c r="T309" s="31">
        <f>IF($D309="","",IFERROR(VLOOKUP($B309,Kraftvärmeprod!$B$1:$BX$550,MATCH(T$2,Kraftvärmeprod!$B$1:$VX$1,0),FALSE)/1,0)-IFERROR(VLOOKUP($B309,'Slutlig allokering kvv'!$B$2:$BX$550,MATCH(T$2,'Slutlig allokering kvv'!$B$1:$BX$1,0),FALSE)/1,0))</f>
        <v>0</v>
      </c>
      <c r="U309" s="31">
        <f>IF($D309="","",IFERROR(VLOOKUP($B309,Kraftvärmeprod!$B$1:$BX$550,MATCH(U$2,Kraftvärmeprod!$B$1:$VX$1,0),FALSE)/1,0)-IFERROR(VLOOKUP($B309,'Slutlig allokering kvv'!$B$2:$BX$550,MATCH(U$2,'Slutlig allokering kvv'!$B$1:$BX$1,0),FALSE)/1,0))</f>
        <v>0</v>
      </c>
      <c r="V309" s="31">
        <f>IF($D309="","",IFERROR(VLOOKUP($B309,Kraftvärmeprod!$B$1:$BX$550,MATCH(V$2,Kraftvärmeprod!$B$1:$VX$1,0),FALSE)/1,0)-IFERROR(VLOOKUP($B309,'Slutlig allokering kvv'!$B$2:$BX$550,MATCH(V$2,'Slutlig allokering kvv'!$B$1:$BX$1,0),FALSE)/1,0))</f>
        <v>0</v>
      </c>
      <c r="W309" s="31">
        <f>IF($D309="","",IFERROR(VLOOKUP($B309,Kraftvärmeprod!$B$1:$BX$550,MATCH(W$2,Kraftvärmeprod!$B$1:$VX$1,0),FALSE)/1,0)-IFERROR(VLOOKUP($B309,'Slutlig allokering kvv'!$B$2:$BX$550,MATCH(W$2,'Slutlig allokering kvv'!$B$1:$BX$1,0),FALSE)/1,0))</f>
        <v>0</v>
      </c>
      <c r="X309" s="31">
        <f>IF($D309="","",IFERROR(VLOOKUP($B309,Kraftvärmeprod!$B$1:$BX$550,MATCH(X$2,Kraftvärmeprod!$B$1:$VX$1,0),FALSE)/1,0)-IFERROR(VLOOKUP($B309,'Slutlig allokering kvv'!$B$2:$BX$550,MATCH(X$2,'Slutlig allokering kvv'!$B$1:$BX$1,0),FALSE)/1,0))</f>
        <v>0</v>
      </c>
      <c r="Y309" s="31">
        <f>IF($D309="","",IFERROR(VLOOKUP($B309,Kraftvärmeprod!$B$1:$BX$550,MATCH(Y$2,Kraftvärmeprod!$B$1:$VX$1,0),FALSE)/1,0)-IFERROR(VLOOKUP($B309,'Slutlig allokering kvv'!$B$2:$BX$550,MATCH(Y$2,'Slutlig allokering kvv'!$B$1:$BX$1,0),FALSE)/1,0))</f>
        <v>0</v>
      </c>
      <c r="Z309" s="31">
        <f>IF($D309="","",IFERROR(VLOOKUP($B309,Kraftvärmeprod!$B$1:$BX$550,MATCH(Z$2,Kraftvärmeprod!$B$1:$VX$1,0),FALSE)/1,0)-IFERROR(VLOOKUP($B309,'Slutlig allokering kvv'!$B$2:$BX$550,MATCH(Z$2,'Slutlig allokering kvv'!$B$1:$BX$1,0),FALSE)/1,0))</f>
        <v>75.983000000000004</v>
      </c>
      <c r="AA309" s="31">
        <f>IF($D309="","",IFERROR(VLOOKUP($B309,Kraftvärmeprod!$B$1:$BX$550,MATCH(AA$2,Kraftvärmeprod!$B$1:$VX$1,0),FALSE)/1,0)-IFERROR(VLOOKUP($B309,'Slutlig allokering kvv'!$B$2:$BX$550,MATCH(AA$2,'Slutlig allokering kvv'!$B$1:$BX$1,0),FALSE)/1,0))</f>
        <v>102.87679999999999</v>
      </c>
      <c r="AB309" s="31">
        <f>IF($D309="","",IFERROR(VLOOKUP($B309,Kraftvärmeprod!$B$1:$BX$550,MATCH(AB$2,Kraftvärmeprod!$B$1:$VX$1,0),FALSE)/1,0)-IFERROR(VLOOKUP($B309,'Slutlig allokering kvv'!$B$2:$BX$550,MATCH(AB$2,'Slutlig allokering kvv'!$B$1:$BX$1,0),FALSE)/1,0))</f>
        <v>0</v>
      </c>
      <c r="AC309" s="31">
        <f>IF($D309="","",IFERROR(VLOOKUP($B309,Kraftvärmeprod!$B$1:$BX$550,MATCH(AC$2,Kraftvärmeprod!$B$1:$VX$1,0),FALSE)/1,0)-IFERROR(VLOOKUP($B309,'Slutlig allokering kvv'!$B$2:$BX$550,MATCH(AC$2,'Slutlig allokering kvv'!$B$1:$BX$1,0),FALSE)/1,0))</f>
        <v>0</v>
      </c>
      <c r="AD309" s="31">
        <f>IF($D309="","",IFERROR(VLOOKUP($B309,Kraftvärmeprod!$B$1:$BX$550,MATCH(AD$2,Kraftvärmeprod!$B$1:$VX$1,0),FALSE)/1,0)-IFERROR(VLOOKUP($B309,'Slutlig allokering kvv'!$B$2:$BX$550,MATCH(AD$2,'Slutlig allokering kvv'!$B$1:$BX$1,0),FALSE)/1,0))</f>
        <v>0</v>
      </c>
      <c r="AE309" s="31">
        <f>IF($D309="","",IFERROR(VLOOKUP($B309,Miljö!$B$1:$E$550,MATCH("Hjälpel kraftvärme (GWh)",Miljö!$B$1:$E$1,0),FALSE)/1,0)-IFERROR(VLOOKUP($B309,'Slutlig allokering kvv'!$B$2:$BX$549,MATCH(AE$2,'Slutlig allokering kvv'!$B$1:$BX$1,0),FALSE)/1,0))</f>
        <v>7.7052600000000009</v>
      </c>
      <c r="AI309" s="39">
        <f t="shared" si="16"/>
        <v>239.69857000000002</v>
      </c>
      <c r="AK309" s="31">
        <f>IFERROR(VLOOKUP($B309,'Slutlig allokering kvv'!$B$2:$AX$549,MATCH("Summa slutlig allokerad tillförd energi (utan hjälpel och rökgaskondensering):",'Slutlig allokering kvv'!$B$1:$AX$1,0),FALSE)/1,"")</f>
        <v>276.70143000000002</v>
      </c>
      <c r="AM309" s="31">
        <f>IFERROR(1-VLOOKUP($B309,'Slutlig allokering kvv'!$B$2:$AX$549,MATCH("Andel av bränsle i kvv som allokerats till värme, exklusive rökgaskondensering och hjälpel",'Slutlig allokering kvv'!$B$1:$AX$1,0),FALSE),"")</f>
        <v>0.46417228892331519</v>
      </c>
      <c r="AO309" s="31">
        <f t="shared" si="17"/>
        <v>0.46417228892331519</v>
      </c>
      <c r="AP309" s="31">
        <f t="shared" si="18"/>
        <v>0</v>
      </c>
      <c r="AR309" s="32">
        <f t="shared" si="19"/>
        <v>0.43936264042476625</v>
      </c>
    </row>
    <row r="310" spans="1:44" s="31" customFormat="1" x14ac:dyDescent="0.45">
      <c r="A310" s="31" t="s">
        <v>232</v>
      </c>
      <c r="B310" s="31" t="s">
        <v>231</v>
      </c>
      <c r="C310" s="31" t="str">
        <f>IFERROR(VLOOKUP($B310,Kraftvärmeprod!$B$1:$AH$479,MATCH(C$2,Kraftvärmeprod!$B$1:$AG$1,0),FALSE)/1,"")</f>
        <v/>
      </c>
      <c r="D310" s="31" t="str">
        <f>IFERROR(VLOOKUP($B310,Kraftvärmeprod!$B$1:$AH$479,MATCH(D$2,Kraftvärmeprod!$B$1:$AG$1,0),FALSE)/1,"")</f>
        <v/>
      </c>
      <c r="F310" s="31" t="str">
        <f>IF($D310="","",IFERROR(VLOOKUP($B310,Kraftvärmeprod!$B$1:$BX$550,MATCH(F$2,Kraftvärmeprod!$B$1:$VX$1,0),FALSE)/1,0)-IFERROR(VLOOKUP($B310,'Slutlig allokering kvv'!$B$2:$BX$550,MATCH(F$2,'Slutlig allokering kvv'!$B$1:$BX$1,0),FALSE)/1,0))</f>
        <v/>
      </c>
      <c r="G310" s="31" t="str">
        <f>IF($D310="","",IFERROR(VLOOKUP($B310,Kraftvärmeprod!$B$1:$BX$550,MATCH(G$2,Kraftvärmeprod!$B$1:$VX$1,0),FALSE)/1,0)-IFERROR(VLOOKUP($B310,'Slutlig allokering kvv'!$B$2:$BX$550,MATCH(G$2,'Slutlig allokering kvv'!$B$1:$BX$1,0),FALSE)/1,0))</f>
        <v/>
      </c>
      <c r="H310" s="31" t="str">
        <f>IF($D310="","",IFERROR(VLOOKUP($B310,Kraftvärmeprod!$B$1:$BX$550,MATCH(H$2,Kraftvärmeprod!$B$1:$VX$1,0),FALSE)/1,0)-IFERROR(VLOOKUP($B310,'Slutlig allokering kvv'!$B$2:$BX$550,MATCH(H$2,'Slutlig allokering kvv'!$B$1:$BX$1,0),FALSE)/1,0))</f>
        <v/>
      </c>
      <c r="I310" s="31" t="str">
        <f>IF($D310="","",IFERROR(VLOOKUP($B310,Kraftvärmeprod!$B$1:$BX$550,MATCH(I$2,Kraftvärmeprod!$B$1:$VX$1,0),FALSE)/1,0)-IFERROR(VLOOKUP($B310,'Slutlig allokering kvv'!$B$2:$BX$550,MATCH(I$2,'Slutlig allokering kvv'!$B$1:$BX$1,0),FALSE)/1,0))</f>
        <v/>
      </c>
      <c r="J310" s="31" t="str">
        <f>IF($D310="","",IFERROR(VLOOKUP($B310,Kraftvärmeprod!$B$1:$BX$550,MATCH(J$2,Kraftvärmeprod!$B$1:$VX$1,0),FALSE)/1,0)-IFERROR(VLOOKUP($B310,'Slutlig allokering kvv'!$B$2:$BX$550,MATCH(J$2,'Slutlig allokering kvv'!$B$1:$BX$1,0),FALSE)/1,0))</f>
        <v/>
      </c>
      <c r="K310" s="31" t="str">
        <f>IF($D310="","",IFERROR(VLOOKUP($B310,Kraftvärmeprod!$B$1:$BX$550,MATCH(K$2,Kraftvärmeprod!$B$1:$VX$1,0),FALSE)/1,0)-IFERROR(VLOOKUP($B310,'Slutlig allokering kvv'!$B$2:$BX$550,MATCH(K$2,'Slutlig allokering kvv'!$B$1:$BX$1,0),FALSE)/1,0))</f>
        <v/>
      </c>
      <c r="L310" s="31" t="str">
        <f>IF($D310="","",IFERROR(VLOOKUP($B310,Kraftvärmeprod!$B$1:$BX$550,MATCH(L$2,Kraftvärmeprod!$B$1:$VX$1,0),FALSE)/1,0)-IFERROR(VLOOKUP($B310,'Slutlig allokering kvv'!$B$2:$BX$550,MATCH(L$2,'Slutlig allokering kvv'!$B$1:$BX$1,0),FALSE)/1,0))</f>
        <v/>
      </c>
      <c r="M310" s="31" t="str">
        <f>IF($D310="","",IFERROR(VLOOKUP($B310,Kraftvärmeprod!$B$1:$BX$550,MATCH(M$2,Kraftvärmeprod!$B$1:$VX$1,0),FALSE)/1,0)-IFERROR(VLOOKUP($B310,'Slutlig allokering kvv'!$B$2:$BX$550,MATCH(M$2,'Slutlig allokering kvv'!$B$1:$BX$1,0),FALSE)/1,0))</f>
        <v/>
      </c>
      <c r="N310" s="31" t="str">
        <f>IF($D310="","",IFERROR(VLOOKUP($B310,Kraftvärmeprod!$B$1:$BX$550,MATCH(N$2,Kraftvärmeprod!$B$1:$VX$1,0),FALSE)/1,0)-IFERROR(VLOOKUP($B310,'Slutlig allokering kvv'!$B$2:$BX$550,MATCH(N$2,'Slutlig allokering kvv'!$B$1:$BX$1,0),FALSE)/1,0))</f>
        <v/>
      </c>
      <c r="O310" s="31" t="str">
        <f>IF($D310="","",IFERROR(VLOOKUP($B310,Kraftvärmeprod!$B$1:$BX$550,MATCH(O$2,Kraftvärmeprod!$B$1:$VX$1,0),FALSE)/1,0)-IFERROR(VLOOKUP($B310,'Slutlig allokering kvv'!$B$2:$BX$550,MATCH(O$2,'Slutlig allokering kvv'!$B$1:$BX$1,0),FALSE)/1,0))</f>
        <v/>
      </c>
      <c r="P310" s="31" t="str">
        <f>IF($D310="","",IFERROR(VLOOKUP($B310,Kraftvärmeprod!$B$1:$BX$550,MATCH(P$2,Kraftvärmeprod!$B$1:$VX$1,0),FALSE)/1,0)-IFERROR(VLOOKUP($B310,'Slutlig allokering kvv'!$B$2:$BX$550,MATCH(P$2,'Slutlig allokering kvv'!$B$1:$BX$1,0),FALSE)/1,0))</f>
        <v/>
      </c>
      <c r="Q310" s="31" t="str">
        <f>IF($D310="","",IFERROR(VLOOKUP($B310,Kraftvärmeprod!$B$1:$BX$550,MATCH(Q$2,Kraftvärmeprod!$B$1:$VX$1,0),FALSE)/1,0)-IFERROR(VLOOKUP($B310,'Slutlig allokering kvv'!$B$2:$BX$550,MATCH(Q$2,'Slutlig allokering kvv'!$B$1:$BX$1,0),FALSE)/1,0))</f>
        <v/>
      </c>
      <c r="R310" s="31" t="str">
        <f>IF($D310="","",IFERROR(VLOOKUP($B310,Kraftvärmeprod!$B$1:$BX$550,MATCH(R$2,Kraftvärmeprod!$B$1:$VX$1,0),FALSE)/1,0)-IFERROR(VLOOKUP($B310,'Slutlig allokering kvv'!$B$2:$BX$550,MATCH(R$2,'Slutlig allokering kvv'!$B$1:$BX$1,0),FALSE)/1,0))</f>
        <v/>
      </c>
      <c r="S310" s="31" t="str">
        <f>IF($D310="","",IFERROR(VLOOKUP($B310,Kraftvärmeprod!$B$1:$BX$550,MATCH(S$2,Kraftvärmeprod!$B$1:$VX$1,0),FALSE)/1,0)-IFERROR(VLOOKUP($B310,'Slutlig allokering kvv'!$B$2:$BX$550,MATCH(S$2,'Slutlig allokering kvv'!$B$1:$BX$1,0),FALSE)/1,0))</f>
        <v/>
      </c>
      <c r="T310" s="31" t="str">
        <f>IF($D310="","",IFERROR(VLOOKUP($B310,Kraftvärmeprod!$B$1:$BX$550,MATCH(T$2,Kraftvärmeprod!$B$1:$VX$1,0),FALSE)/1,0)-IFERROR(VLOOKUP($B310,'Slutlig allokering kvv'!$B$2:$BX$550,MATCH(T$2,'Slutlig allokering kvv'!$B$1:$BX$1,0),FALSE)/1,0))</f>
        <v/>
      </c>
      <c r="U310" s="31" t="str">
        <f>IF($D310="","",IFERROR(VLOOKUP($B310,Kraftvärmeprod!$B$1:$BX$550,MATCH(U$2,Kraftvärmeprod!$B$1:$VX$1,0),FALSE)/1,0)-IFERROR(VLOOKUP($B310,'Slutlig allokering kvv'!$B$2:$BX$550,MATCH(U$2,'Slutlig allokering kvv'!$B$1:$BX$1,0),FALSE)/1,0))</f>
        <v/>
      </c>
      <c r="V310" s="31" t="str">
        <f>IF($D310="","",IFERROR(VLOOKUP($B310,Kraftvärmeprod!$B$1:$BX$550,MATCH(V$2,Kraftvärmeprod!$B$1:$VX$1,0),FALSE)/1,0)-IFERROR(VLOOKUP($B310,'Slutlig allokering kvv'!$B$2:$BX$550,MATCH(V$2,'Slutlig allokering kvv'!$B$1:$BX$1,0),FALSE)/1,0))</f>
        <v/>
      </c>
      <c r="W310" s="31" t="str">
        <f>IF($D310="","",IFERROR(VLOOKUP($B310,Kraftvärmeprod!$B$1:$BX$550,MATCH(W$2,Kraftvärmeprod!$B$1:$VX$1,0),FALSE)/1,0)-IFERROR(VLOOKUP($B310,'Slutlig allokering kvv'!$B$2:$BX$550,MATCH(W$2,'Slutlig allokering kvv'!$B$1:$BX$1,0),FALSE)/1,0))</f>
        <v/>
      </c>
      <c r="X310" s="31" t="str">
        <f>IF($D310="","",IFERROR(VLOOKUP($B310,Kraftvärmeprod!$B$1:$BX$550,MATCH(X$2,Kraftvärmeprod!$B$1:$VX$1,0),FALSE)/1,0)-IFERROR(VLOOKUP($B310,'Slutlig allokering kvv'!$B$2:$BX$550,MATCH(X$2,'Slutlig allokering kvv'!$B$1:$BX$1,0),FALSE)/1,0))</f>
        <v/>
      </c>
      <c r="Y310" s="31" t="str">
        <f>IF($D310="","",IFERROR(VLOOKUP($B310,Kraftvärmeprod!$B$1:$BX$550,MATCH(Y$2,Kraftvärmeprod!$B$1:$VX$1,0),FALSE)/1,0)-IFERROR(VLOOKUP($B310,'Slutlig allokering kvv'!$B$2:$BX$550,MATCH(Y$2,'Slutlig allokering kvv'!$B$1:$BX$1,0),FALSE)/1,0))</f>
        <v/>
      </c>
      <c r="Z310" s="31" t="str">
        <f>IF($D310="","",IFERROR(VLOOKUP($B310,Kraftvärmeprod!$B$1:$BX$550,MATCH(Z$2,Kraftvärmeprod!$B$1:$VX$1,0),FALSE)/1,0)-IFERROR(VLOOKUP($B310,'Slutlig allokering kvv'!$B$2:$BX$550,MATCH(Z$2,'Slutlig allokering kvv'!$B$1:$BX$1,0),FALSE)/1,0))</f>
        <v/>
      </c>
      <c r="AA310" s="31" t="str">
        <f>IF($D310="","",IFERROR(VLOOKUP($B310,Kraftvärmeprod!$B$1:$BX$550,MATCH(AA$2,Kraftvärmeprod!$B$1:$VX$1,0),FALSE)/1,0)-IFERROR(VLOOKUP($B310,'Slutlig allokering kvv'!$B$2:$BX$550,MATCH(AA$2,'Slutlig allokering kvv'!$B$1:$BX$1,0),FALSE)/1,0))</f>
        <v/>
      </c>
      <c r="AB310" s="31" t="str">
        <f>IF($D310="","",IFERROR(VLOOKUP($B310,Kraftvärmeprod!$B$1:$BX$550,MATCH(AB$2,Kraftvärmeprod!$B$1:$VX$1,0),FALSE)/1,0)-IFERROR(VLOOKUP($B310,'Slutlig allokering kvv'!$B$2:$BX$550,MATCH(AB$2,'Slutlig allokering kvv'!$B$1:$BX$1,0),FALSE)/1,0))</f>
        <v/>
      </c>
      <c r="AC310" s="31" t="str">
        <f>IF($D310="","",IFERROR(VLOOKUP($B310,Kraftvärmeprod!$B$1:$BX$550,MATCH(AC$2,Kraftvärmeprod!$B$1:$VX$1,0),FALSE)/1,0)-IFERROR(VLOOKUP($B310,'Slutlig allokering kvv'!$B$2:$BX$550,MATCH(AC$2,'Slutlig allokering kvv'!$B$1:$BX$1,0),FALSE)/1,0))</f>
        <v/>
      </c>
      <c r="AD310" s="31" t="str">
        <f>IF($D310="","",IFERROR(VLOOKUP($B310,Kraftvärmeprod!$B$1:$BX$550,MATCH(AD$2,Kraftvärmeprod!$B$1:$VX$1,0),FALSE)/1,0)-IFERROR(VLOOKUP($B310,'Slutlig allokering kvv'!$B$2:$BX$550,MATCH(AD$2,'Slutlig allokering kvv'!$B$1:$BX$1,0),FALSE)/1,0))</f>
        <v/>
      </c>
      <c r="AE310" s="31" t="str">
        <f>IF($D310="","",IFERROR(VLOOKUP($B310,Miljö!$B$1:$E$550,MATCH("Hjälpel kraftvärme (GWh)",Miljö!$B$1:$E$1,0),FALSE)/1,0)-IFERROR(VLOOKUP($B310,'Slutlig allokering kvv'!$B$2:$BX$549,MATCH(AE$2,'Slutlig allokering kvv'!$B$1:$BX$1,0),FALSE)/1,0))</f>
        <v/>
      </c>
      <c r="AI310" s="39">
        <f t="shared" si="16"/>
        <v>0</v>
      </c>
      <c r="AK310" s="31">
        <f>IFERROR(VLOOKUP($B310,'Slutlig allokering kvv'!$B$2:$AX$549,MATCH("Summa slutlig allokerad tillförd energi (utan hjälpel och rökgaskondensering):",'Slutlig allokering kvv'!$B$1:$AX$1,0),FALSE)/1,"")</f>
        <v>0</v>
      </c>
      <c r="AM310" s="31" t="str">
        <f>IFERROR(1-VLOOKUP($B310,'Slutlig allokering kvv'!$B$2:$AX$549,MATCH("Andel av bränsle i kvv som allokerats till värme, exklusive rökgaskondensering och hjälpel",'Slutlig allokering kvv'!$B$1:$AX$1,0),FALSE),"")</f>
        <v/>
      </c>
      <c r="AO310" s="31" t="str">
        <f t="shared" si="17"/>
        <v/>
      </c>
      <c r="AP310" s="31" t="str">
        <f t="shared" si="18"/>
        <v/>
      </c>
      <c r="AR310" s="32" t="str">
        <f t="shared" si="19"/>
        <v/>
      </c>
    </row>
    <row r="311" spans="1:44" s="31" customFormat="1" x14ac:dyDescent="0.45">
      <c r="A311" s="31" t="s">
        <v>225</v>
      </c>
      <c r="B311" s="31" t="s">
        <v>229</v>
      </c>
      <c r="C311" s="31" t="str">
        <f>IFERROR(VLOOKUP($B311,Kraftvärmeprod!$B$1:$AH$479,MATCH(C$2,Kraftvärmeprod!$B$1:$AG$1,0),FALSE)/1,"")</f>
        <v/>
      </c>
      <c r="D311" s="31" t="str">
        <f>IFERROR(VLOOKUP($B311,Kraftvärmeprod!$B$1:$AH$479,MATCH(D$2,Kraftvärmeprod!$B$1:$AG$1,0),FALSE)/1,"")</f>
        <v/>
      </c>
      <c r="F311" s="31" t="str">
        <f>IF($D311="","",IFERROR(VLOOKUP($B311,Kraftvärmeprod!$B$1:$BX$550,MATCH(F$2,Kraftvärmeprod!$B$1:$VX$1,0),FALSE)/1,0)-IFERROR(VLOOKUP($B311,'Slutlig allokering kvv'!$B$2:$BX$550,MATCH(F$2,'Slutlig allokering kvv'!$B$1:$BX$1,0),FALSE)/1,0))</f>
        <v/>
      </c>
      <c r="G311" s="31" t="str">
        <f>IF($D311="","",IFERROR(VLOOKUP($B311,Kraftvärmeprod!$B$1:$BX$550,MATCH(G$2,Kraftvärmeprod!$B$1:$VX$1,0),FALSE)/1,0)-IFERROR(VLOOKUP($B311,'Slutlig allokering kvv'!$B$2:$BX$550,MATCH(G$2,'Slutlig allokering kvv'!$B$1:$BX$1,0),FALSE)/1,0))</f>
        <v/>
      </c>
      <c r="H311" s="31" t="str">
        <f>IF($D311="","",IFERROR(VLOOKUP($B311,Kraftvärmeprod!$B$1:$BX$550,MATCH(H$2,Kraftvärmeprod!$B$1:$VX$1,0),FALSE)/1,0)-IFERROR(VLOOKUP($B311,'Slutlig allokering kvv'!$B$2:$BX$550,MATCH(H$2,'Slutlig allokering kvv'!$B$1:$BX$1,0),FALSE)/1,0))</f>
        <v/>
      </c>
      <c r="I311" s="31" t="str">
        <f>IF($D311="","",IFERROR(VLOOKUP($B311,Kraftvärmeprod!$B$1:$BX$550,MATCH(I$2,Kraftvärmeprod!$B$1:$VX$1,0),FALSE)/1,0)-IFERROR(VLOOKUP($B311,'Slutlig allokering kvv'!$B$2:$BX$550,MATCH(I$2,'Slutlig allokering kvv'!$B$1:$BX$1,0),FALSE)/1,0))</f>
        <v/>
      </c>
      <c r="J311" s="31" t="str">
        <f>IF($D311="","",IFERROR(VLOOKUP($B311,Kraftvärmeprod!$B$1:$BX$550,MATCH(J$2,Kraftvärmeprod!$B$1:$VX$1,0),FALSE)/1,0)-IFERROR(VLOOKUP($B311,'Slutlig allokering kvv'!$B$2:$BX$550,MATCH(J$2,'Slutlig allokering kvv'!$B$1:$BX$1,0),FALSE)/1,0))</f>
        <v/>
      </c>
      <c r="K311" s="31" t="str">
        <f>IF($D311="","",IFERROR(VLOOKUP($B311,Kraftvärmeprod!$B$1:$BX$550,MATCH(K$2,Kraftvärmeprod!$B$1:$VX$1,0),FALSE)/1,0)-IFERROR(VLOOKUP($B311,'Slutlig allokering kvv'!$B$2:$BX$550,MATCH(K$2,'Slutlig allokering kvv'!$B$1:$BX$1,0),FALSE)/1,0))</f>
        <v/>
      </c>
      <c r="L311" s="31" t="str">
        <f>IF($D311="","",IFERROR(VLOOKUP($B311,Kraftvärmeprod!$B$1:$BX$550,MATCH(L$2,Kraftvärmeprod!$B$1:$VX$1,0),FALSE)/1,0)-IFERROR(VLOOKUP($B311,'Slutlig allokering kvv'!$B$2:$BX$550,MATCH(L$2,'Slutlig allokering kvv'!$B$1:$BX$1,0),FALSE)/1,0))</f>
        <v/>
      </c>
      <c r="M311" s="31" t="str">
        <f>IF($D311="","",IFERROR(VLOOKUP($B311,Kraftvärmeprod!$B$1:$BX$550,MATCH(M$2,Kraftvärmeprod!$B$1:$VX$1,0),FALSE)/1,0)-IFERROR(VLOOKUP($B311,'Slutlig allokering kvv'!$B$2:$BX$550,MATCH(M$2,'Slutlig allokering kvv'!$B$1:$BX$1,0),FALSE)/1,0))</f>
        <v/>
      </c>
      <c r="N311" s="31" t="str">
        <f>IF($D311="","",IFERROR(VLOOKUP($B311,Kraftvärmeprod!$B$1:$BX$550,MATCH(N$2,Kraftvärmeprod!$B$1:$VX$1,0),FALSE)/1,0)-IFERROR(VLOOKUP($B311,'Slutlig allokering kvv'!$B$2:$BX$550,MATCH(N$2,'Slutlig allokering kvv'!$B$1:$BX$1,0),FALSE)/1,0))</f>
        <v/>
      </c>
      <c r="O311" s="31" t="str">
        <f>IF($D311="","",IFERROR(VLOOKUP($B311,Kraftvärmeprod!$B$1:$BX$550,MATCH(O$2,Kraftvärmeprod!$B$1:$VX$1,0),FALSE)/1,0)-IFERROR(VLOOKUP($B311,'Slutlig allokering kvv'!$B$2:$BX$550,MATCH(O$2,'Slutlig allokering kvv'!$B$1:$BX$1,0),FALSE)/1,0))</f>
        <v/>
      </c>
      <c r="P311" s="31" t="str">
        <f>IF($D311="","",IFERROR(VLOOKUP($B311,Kraftvärmeprod!$B$1:$BX$550,MATCH(P$2,Kraftvärmeprod!$B$1:$VX$1,0),FALSE)/1,0)-IFERROR(VLOOKUP($B311,'Slutlig allokering kvv'!$B$2:$BX$550,MATCH(P$2,'Slutlig allokering kvv'!$B$1:$BX$1,0),FALSE)/1,0))</f>
        <v/>
      </c>
      <c r="Q311" s="31" t="str">
        <f>IF($D311="","",IFERROR(VLOOKUP($B311,Kraftvärmeprod!$B$1:$BX$550,MATCH(Q$2,Kraftvärmeprod!$B$1:$VX$1,0),FALSE)/1,0)-IFERROR(VLOOKUP($B311,'Slutlig allokering kvv'!$B$2:$BX$550,MATCH(Q$2,'Slutlig allokering kvv'!$B$1:$BX$1,0),FALSE)/1,0))</f>
        <v/>
      </c>
      <c r="R311" s="31" t="str">
        <f>IF($D311="","",IFERROR(VLOOKUP($B311,Kraftvärmeprod!$B$1:$BX$550,MATCH(R$2,Kraftvärmeprod!$B$1:$VX$1,0),FALSE)/1,0)-IFERROR(VLOOKUP($B311,'Slutlig allokering kvv'!$B$2:$BX$550,MATCH(R$2,'Slutlig allokering kvv'!$B$1:$BX$1,0),FALSE)/1,0))</f>
        <v/>
      </c>
      <c r="S311" s="31" t="str">
        <f>IF($D311="","",IFERROR(VLOOKUP($B311,Kraftvärmeprod!$B$1:$BX$550,MATCH(S$2,Kraftvärmeprod!$B$1:$VX$1,0),FALSE)/1,0)-IFERROR(VLOOKUP($B311,'Slutlig allokering kvv'!$B$2:$BX$550,MATCH(S$2,'Slutlig allokering kvv'!$B$1:$BX$1,0),FALSE)/1,0))</f>
        <v/>
      </c>
      <c r="T311" s="31" t="str">
        <f>IF($D311="","",IFERROR(VLOOKUP($B311,Kraftvärmeprod!$B$1:$BX$550,MATCH(T$2,Kraftvärmeprod!$B$1:$VX$1,0),FALSE)/1,0)-IFERROR(VLOOKUP($B311,'Slutlig allokering kvv'!$B$2:$BX$550,MATCH(T$2,'Slutlig allokering kvv'!$B$1:$BX$1,0),FALSE)/1,0))</f>
        <v/>
      </c>
      <c r="U311" s="31" t="str">
        <f>IF($D311="","",IFERROR(VLOOKUP($B311,Kraftvärmeprod!$B$1:$BX$550,MATCH(U$2,Kraftvärmeprod!$B$1:$VX$1,0),FALSE)/1,0)-IFERROR(VLOOKUP($B311,'Slutlig allokering kvv'!$B$2:$BX$550,MATCH(U$2,'Slutlig allokering kvv'!$B$1:$BX$1,0),FALSE)/1,0))</f>
        <v/>
      </c>
      <c r="V311" s="31" t="str">
        <f>IF($D311="","",IFERROR(VLOOKUP($B311,Kraftvärmeprod!$B$1:$BX$550,MATCH(V$2,Kraftvärmeprod!$B$1:$VX$1,0),FALSE)/1,0)-IFERROR(VLOOKUP($B311,'Slutlig allokering kvv'!$B$2:$BX$550,MATCH(V$2,'Slutlig allokering kvv'!$B$1:$BX$1,0),FALSE)/1,0))</f>
        <v/>
      </c>
      <c r="W311" s="31" t="str">
        <f>IF($D311="","",IFERROR(VLOOKUP($B311,Kraftvärmeprod!$B$1:$BX$550,MATCH(W$2,Kraftvärmeprod!$B$1:$VX$1,0),FALSE)/1,0)-IFERROR(VLOOKUP($B311,'Slutlig allokering kvv'!$B$2:$BX$550,MATCH(W$2,'Slutlig allokering kvv'!$B$1:$BX$1,0),FALSE)/1,0))</f>
        <v/>
      </c>
      <c r="X311" s="31" t="str">
        <f>IF($D311="","",IFERROR(VLOOKUP($B311,Kraftvärmeprod!$B$1:$BX$550,MATCH(X$2,Kraftvärmeprod!$B$1:$VX$1,0),FALSE)/1,0)-IFERROR(VLOOKUP($B311,'Slutlig allokering kvv'!$B$2:$BX$550,MATCH(X$2,'Slutlig allokering kvv'!$B$1:$BX$1,0),FALSE)/1,0))</f>
        <v/>
      </c>
      <c r="Y311" s="31" t="str">
        <f>IF($D311="","",IFERROR(VLOOKUP($B311,Kraftvärmeprod!$B$1:$BX$550,MATCH(Y$2,Kraftvärmeprod!$B$1:$VX$1,0),FALSE)/1,0)-IFERROR(VLOOKUP($B311,'Slutlig allokering kvv'!$B$2:$BX$550,MATCH(Y$2,'Slutlig allokering kvv'!$B$1:$BX$1,0),FALSE)/1,0))</f>
        <v/>
      </c>
      <c r="Z311" s="31" t="str">
        <f>IF($D311="","",IFERROR(VLOOKUP($B311,Kraftvärmeprod!$B$1:$BX$550,MATCH(Z$2,Kraftvärmeprod!$B$1:$VX$1,0),FALSE)/1,0)-IFERROR(VLOOKUP($B311,'Slutlig allokering kvv'!$B$2:$BX$550,MATCH(Z$2,'Slutlig allokering kvv'!$B$1:$BX$1,0),FALSE)/1,0))</f>
        <v/>
      </c>
      <c r="AA311" s="31" t="str">
        <f>IF($D311="","",IFERROR(VLOOKUP($B311,Kraftvärmeprod!$B$1:$BX$550,MATCH(AA$2,Kraftvärmeprod!$B$1:$VX$1,0),FALSE)/1,0)-IFERROR(VLOOKUP($B311,'Slutlig allokering kvv'!$B$2:$BX$550,MATCH(AA$2,'Slutlig allokering kvv'!$B$1:$BX$1,0),FALSE)/1,0))</f>
        <v/>
      </c>
      <c r="AB311" s="31" t="str">
        <f>IF($D311="","",IFERROR(VLOOKUP($B311,Kraftvärmeprod!$B$1:$BX$550,MATCH(AB$2,Kraftvärmeprod!$B$1:$VX$1,0),FALSE)/1,0)-IFERROR(VLOOKUP($B311,'Slutlig allokering kvv'!$B$2:$BX$550,MATCH(AB$2,'Slutlig allokering kvv'!$B$1:$BX$1,0),FALSE)/1,0))</f>
        <v/>
      </c>
      <c r="AC311" s="31" t="str">
        <f>IF($D311="","",IFERROR(VLOOKUP($B311,Kraftvärmeprod!$B$1:$BX$550,MATCH(AC$2,Kraftvärmeprod!$B$1:$VX$1,0),FALSE)/1,0)-IFERROR(VLOOKUP($B311,'Slutlig allokering kvv'!$B$2:$BX$550,MATCH(AC$2,'Slutlig allokering kvv'!$B$1:$BX$1,0),FALSE)/1,0))</f>
        <v/>
      </c>
      <c r="AD311" s="31" t="str">
        <f>IF($D311="","",IFERROR(VLOOKUP($B311,Kraftvärmeprod!$B$1:$BX$550,MATCH(AD$2,Kraftvärmeprod!$B$1:$VX$1,0),FALSE)/1,0)-IFERROR(VLOOKUP($B311,'Slutlig allokering kvv'!$B$2:$BX$550,MATCH(AD$2,'Slutlig allokering kvv'!$B$1:$BX$1,0),FALSE)/1,0))</f>
        <v/>
      </c>
      <c r="AE311" s="31" t="str">
        <f>IF($D311="","",IFERROR(VLOOKUP($B311,Miljö!$B$1:$E$550,MATCH("Hjälpel kraftvärme (GWh)",Miljö!$B$1:$E$1,0),FALSE)/1,0)-IFERROR(VLOOKUP($B311,'Slutlig allokering kvv'!$B$2:$BX$549,MATCH(AE$2,'Slutlig allokering kvv'!$B$1:$BX$1,0),FALSE)/1,0))</f>
        <v/>
      </c>
      <c r="AI311" s="39">
        <f t="shared" si="16"/>
        <v>0</v>
      </c>
      <c r="AK311" s="31">
        <f>IFERROR(VLOOKUP($B311,'Slutlig allokering kvv'!$B$2:$AX$549,MATCH("Summa slutlig allokerad tillförd energi (utan hjälpel och rökgaskondensering):",'Slutlig allokering kvv'!$B$1:$AX$1,0),FALSE)/1,"")</f>
        <v>0</v>
      </c>
      <c r="AM311" s="31" t="str">
        <f>IFERROR(1-VLOOKUP($B311,'Slutlig allokering kvv'!$B$2:$AX$549,MATCH("Andel av bränsle i kvv som allokerats till värme, exklusive rökgaskondensering och hjälpel",'Slutlig allokering kvv'!$B$1:$AX$1,0),FALSE),"")</f>
        <v/>
      </c>
      <c r="AO311" s="31" t="str">
        <f t="shared" si="17"/>
        <v/>
      </c>
      <c r="AP311" s="31" t="str">
        <f t="shared" si="18"/>
        <v/>
      </c>
      <c r="AR311" s="32" t="str">
        <f t="shared" si="19"/>
        <v/>
      </c>
    </row>
    <row r="312" spans="1:44" s="31" customFormat="1" x14ac:dyDescent="0.45">
      <c r="A312" s="31" t="s">
        <v>225</v>
      </c>
      <c r="B312" s="31" t="s">
        <v>228</v>
      </c>
      <c r="C312" s="31" t="str">
        <f>IFERROR(VLOOKUP($B312,Kraftvärmeprod!$B$1:$AH$479,MATCH(C$2,Kraftvärmeprod!$B$1:$AG$1,0),FALSE)/1,"")</f>
        <v/>
      </c>
      <c r="D312" s="31" t="str">
        <f>IFERROR(VLOOKUP($B312,Kraftvärmeprod!$B$1:$AH$479,MATCH(D$2,Kraftvärmeprod!$B$1:$AG$1,0),FALSE)/1,"")</f>
        <v/>
      </c>
      <c r="F312" s="31" t="str">
        <f>IF($D312="","",IFERROR(VLOOKUP($B312,Kraftvärmeprod!$B$1:$BX$550,MATCH(F$2,Kraftvärmeprod!$B$1:$VX$1,0),FALSE)/1,0)-IFERROR(VLOOKUP($B312,'Slutlig allokering kvv'!$B$2:$BX$550,MATCH(F$2,'Slutlig allokering kvv'!$B$1:$BX$1,0),FALSE)/1,0))</f>
        <v/>
      </c>
      <c r="G312" s="31" t="str">
        <f>IF($D312="","",IFERROR(VLOOKUP($B312,Kraftvärmeprod!$B$1:$BX$550,MATCH(G$2,Kraftvärmeprod!$B$1:$VX$1,0),FALSE)/1,0)-IFERROR(VLOOKUP($B312,'Slutlig allokering kvv'!$B$2:$BX$550,MATCH(G$2,'Slutlig allokering kvv'!$B$1:$BX$1,0),FALSE)/1,0))</f>
        <v/>
      </c>
      <c r="H312" s="31" t="str">
        <f>IF($D312="","",IFERROR(VLOOKUP($B312,Kraftvärmeprod!$B$1:$BX$550,MATCH(H$2,Kraftvärmeprod!$B$1:$VX$1,0),FALSE)/1,0)-IFERROR(VLOOKUP($B312,'Slutlig allokering kvv'!$B$2:$BX$550,MATCH(H$2,'Slutlig allokering kvv'!$B$1:$BX$1,0),FALSE)/1,0))</f>
        <v/>
      </c>
      <c r="I312" s="31" t="str">
        <f>IF($D312="","",IFERROR(VLOOKUP($B312,Kraftvärmeprod!$B$1:$BX$550,MATCH(I$2,Kraftvärmeprod!$B$1:$VX$1,0),FALSE)/1,0)-IFERROR(VLOOKUP($B312,'Slutlig allokering kvv'!$B$2:$BX$550,MATCH(I$2,'Slutlig allokering kvv'!$B$1:$BX$1,0),FALSE)/1,0))</f>
        <v/>
      </c>
      <c r="J312" s="31" t="str">
        <f>IF($D312="","",IFERROR(VLOOKUP($B312,Kraftvärmeprod!$B$1:$BX$550,MATCH(J$2,Kraftvärmeprod!$B$1:$VX$1,0),FALSE)/1,0)-IFERROR(VLOOKUP($B312,'Slutlig allokering kvv'!$B$2:$BX$550,MATCH(J$2,'Slutlig allokering kvv'!$B$1:$BX$1,0),FALSE)/1,0))</f>
        <v/>
      </c>
      <c r="K312" s="31" t="str">
        <f>IF($D312="","",IFERROR(VLOOKUP($B312,Kraftvärmeprod!$B$1:$BX$550,MATCH(K$2,Kraftvärmeprod!$B$1:$VX$1,0),FALSE)/1,0)-IFERROR(VLOOKUP($B312,'Slutlig allokering kvv'!$B$2:$BX$550,MATCH(K$2,'Slutlig allokering kvv'!$B$1:$BX$1,0),FALSE)/1,0))</f>
        <v/>
      </c>
      <c r="L312" s="31" t="str">
        <f>IF($D312="","",IFERROR(VLOOKUP($B312,Kraftvärmeprod!$B$1:$BX$550,MATCH(L$2,Kraftvärmeprod!$B$1:$VX$1,0),FALSE)/1,0)-IFERROR(VLOOKUP($B312,'Slutlig allokering kvv'!$B$2:$BX$550,MATCH(L$2,'Slutlig allokering kvv'!$B$1:$BX$1,0),FALSE)/1,0))</f>
        <v/>
      </c>
      <c r="M312" s="31" t="str">
        <f>IF($D312="","",IFERROR(VLOOKUP($B312,Kraftvärmeprod!$B$1:$BX$550,MATCH(M$2,Kraftvärmeprod!$B$1:$VX$1,0),FALSE)/1,0)-IFERROR(VLOOKUP($B312,'Slutlig allokering kvv'!$B$2:$BX$550,MATCH(M$2,'Slutlig allokering kvv'!$B$1:$BX$1,0),FALSE)/1,0))</f>
        <v/>
      </c>
      <c r="N312" s="31" t="str">
        <f>IF($D312="","",IFERROR(VLOOKUP($B312,Kraftvärmeprod!$B$1:$BX$550,MATCH(N$2,Kraftvärmeprod!$B$1:$VX$1,0),FALSE)/1,0)-IFERROR(VLOOKUP($B312,'Slutlig allokering kvv'!$B$2:$BX$550,MATCH(N$2,'Slutlig allokering kvv'!$B$1:$BX$1,0),FALSE)/1,0))</f>
        <v/>
      </c>
      <c r="O312" s="31" t="str">
        <f>IF($D312="","",IFERROR(VLOOKUP($B312,Kraftvärmeprod!$B$1:$BX$550,MATCH(O$2,Kraftvärmeprod!$B$1:$VX$1,0),FALSE)/1,0)-IFERROR(VLOOKUP($B312,'Slutlig allokering kvv'!$B$2:$BX$550,MATCH(O$2,'Slutlig allokering kvv'!$B$1:$BX$1,0),FALSE)/1,0))</f>
        <v/>
      </c>
      <c r="P312" s="31" t="str">
        <f>IF($D312="","",IFERROR(VLOOKUP($B312,Kraftvärmeprod!$B$1:$BX$550,MATCH(P$2,Kraftvärmeprod!$B$1:$VX$1,0),FALSE)/1,0)-IFERROR(VLOOKUP($B312,'Slutlig allokering kvv'!$B$2:$BX$550,MATCH(P$2,'Slutlig allokering kvv'!$B$1:$BX$1,0),FALSE)/1,0))</f>
        <v/>
      </c>
      <c r="Q312" s="31" t="str">
        <f>IF($D312="","",IFERROR(VLOOKUP($B312,Kraftvärmeprod!$B$1:$BX$550,MATCH(Q$2,Kraftvärmeprod!$B$1:$VX$1,0),FALSE)/1,0)-IFERROR(VLOOKUP($B312,'Slutlig allokering kvv'!$B$2:$BX$550,MATCH(Q$2,'Slutlig allokering kvv'!$B$1:$BX$1,0),FALSE)/1,0))</f>
        <v/>
      </c>
      <c r="R312" s="31" t="str">
        <f>IF($D312="","",IFERROR(VLOOKUP($B312,Kraftvärmeprod!$B$1:$BX$550,MATCH(R$2,Kraftvärmeprod!$B$1:$VX$1,0),FALSE)/1,0)-IFERROR(VLOOKUP($B312,'Slutlig allokering kvv'!$B$2:$BX$550,MATCH(R$2,'Slutlig allokering kvv'!$B$1:$BX$1,0),FALSE)/1,0))</f>
        <v/>
      </c>
      <c r="S312" s="31" t="str">
        <f>IF($D312="","",IFERROR(VLOOKUP($B312,Kraftvärmeprod!$B$1:$BX$550,MATCH(S$2,Kraftvärmeprod!$B$1:$VX$1,0),FALSE)/1,0)-IFERROR(VLOOKUP($B312,'Slutlig allokering kvv'!$B$2:$BX$550,MATCH(S$2,'Slutlig allokering kvv'!$B$1:$BX$1,0),FALSE)/1,0))</f>
        <v/>
      </c>
      <c r="T312" s="31" t="str">
        <f>IF($D312="","",IFERROR(VLOOKUP($B312,Kraftvärmeprod!$B$1:$BX$550,MATCH(T$2,Kraftvärmeprod!$B$1:$VX$1,0),FALSE)/1,0)-IFERROR(VLOOKUP($B312,'Slutlig allokering kvv'!$B$2:$BX$550,MATCH(T$2,'Slutlig allokering kvv'!$B$1:$BX$1,0),FALSE)/1,0))</f>
        <v/>
      </c>
      <c r="U312" s="31" t="str">
        <f>IF($D312="","",IFERROR(VLOOKUP($B312,Kraftvärmeprod!$B$1:$BX$550,MATCH(U$2,Kraftvärmeprod!$B$1:$VX$1,0),FALSE)/1,0)-IFERROR(VLOOKUP($B312,'Slutlig allokering kvv'!$B$2:$BX$550,MATCH(U$2,'Slutlig allokering kvv'!$B$1:$BX$1,0),FALSE)/1,0))</f>
        <v/>
      </c>
      <c r="V312" s="31" t="str">
        <f>IF($D312="","",IFERROR(VLOOKUP($B312,Kraftvärmeprod!$B$1:$BX$550,MATCH(V$2,Kraftvärmeprod!$B$1:$VX$1,0),FALSE)/1,0)-IFERROR(VLOOKUP($B312,'Slutlig allokering kvv'!$B$2:$BX$550,MATCH(V$2,'Slutlig allokering kvv'!$B$1:$BX$1,0),FALSE)/1,0))</f>
        <v/>
      </c>
      <c r="W312" s="31" t="str">
        <f>IF($D312="","",IFERROR(VLOOKUP($B312,Kraftvärmeprod!$B$1:$BX$550,MATCH(W$2,Kraftvärmeprod!$B$1:$VX$1,0),FALSE)/1,0)-IFERROR(VLOOKUP($B312,'Slutlig allokering kvv'!$B$2:$BX$550,MATCH(W$2,'Slutlig allokering kvv'!$B$1:$BX$1,0),FALSE)/1,0))</f>
        <v/>
      </c>
      <c r="X312" s="31" t="str">
        <f>IF($D312="","",IFERROR(VLOOKUP($B312,Kraftvärmeprod!$B$1:$BX$550,MATCH(X$2,Kraftvärmeprod!$B$1:$VX$1,0),FALSE)/1,0)-IFERROR(VLOOKUP($B312,'Slutlig allokering kvv'!$B$2:$BX$550,MATCH(X$2,'Slutlig allokering kvv'!$B$1:$BX$1,0),FALSE)/1,0))</f>
        <v/>
      </c>
      <c r="Y312" s="31" t="str">
        <f>IF($D312="","",IFERROR(VLOOKUP($B312,Kraftvärmeprod!$B$1:$BX$550,MATCH(Y$2,Kraftvärmeprod!$B$1:$VX$1,0),FALSE)/1,0)-IFERROR(VLOOKUP($B312,'Slutlig allokering kvv'!$B$2:$BX$550,MATCH(Y$2,'Slutlig allokering kvv'!$B$1:$BX$1,0),FALSE)/1,0))</f>
        <v/>
      </c>
      <c r="Z312" s="31" t="str">
        <f>IF($D312="","",IFERROR(VLOOKUP($B312,Kraftvärmeprod!$B$1:$BX$550,MATCH(Z$2,Kraftvärmeprod!$B$1:$VX$1,0),FALSE)/1,0)-IFERROR(VLOOKUP($B312,'Slutlig allokering kvv'!$B$2:$BX$550,MATCH(Z$2,'Slutlig allokering kvv'!$B$1:$BX$1,0),FALSE)/1,0))</f>
        <v/>
      </c>
      <c r="AA312" s="31" t="str">
        <f>IF($D312="","",IFERROR(VLOOKUP($B312,Kraftvärmeprod!$B$1:$BX$550,MATCH(AA$2,Kraftvärmeprod!$B$1:$VX$1,0),FALSE)/1,0)-IFERROR(VLOOKUP($B312,'Slutlig allokering kvv'!$B$2:$BX$550,MATCH(AA$2,'Slutlig allokering kvv'!$B$1:$BX$1,0),FALSE)/1,0))</f>
        <v/>
      </c>
      <c r="AB312" s="31" t="str">
        <f>IF($D312="","",IFERROR(VLOOKUP($B312,Kraftvärmeprod!$B$1:$BX$550,MATCH(AB$2,Kraftvärmeprod!$B$1:$VX$1,0),FALSE)/1,0)-IFERROR(VLOOKUP($B312,'Slutlig allokering kvv'!$B$2:$BX$550,MATCH(AB$2,'Slutlig allokering kvv'!$B$1:$BX$1,0),FALSE)/1,0))</f>
        <v/>
      </c>
      <c r="AC312" s="31" t="str">
        <f>IF($D312="","",IFERROR(VLOOKUP($B312,Kraftvärmeprod!$B$1:$BX$550,MATCH(AC$2,Kraftvärmeprod!$B$1:$VX$1,0),FALSE)/1,0)-IFERROR(VLOOKUP($B312,'Slutlig allokering kvv'!$B$2:$BX$550,MATCH(AC$2,'Slutlig allokering kvv'!$B$1:$BX$1,0),FALSE)/1,0))</f>
        <v/>
      </c>
      <c r="AD312" s="31" t="str">
        <f>IF($D312="","",IFERROR(VLOOKUP($B312,Kraftvärmeprod!$B$1:$BX$550,MATCH(AD$2,Kraftvärmeprod!$B$1:$VX$1,0),FALSE)/1,0)-IFERROR(VLOOKUP($B312,'Slutlig allokering kvv'!$B$2:$BX$550,MATCH(AD$2,'Slutlig allokering kvv'!$B$1:$BX$1,0),FALSE)/1,0))</f>
        <v/>
      </c>
      <c r="AE312" s="31" t="str">
        <f>IF($D312="","",IFERROR(VLOOKUP($B312,Miljö!$B$1:$E$550,MATCH("Hjälpel kraftvärme (GWh)",Miljö!$B$1:$E$1,0),FALSE)/1,0)-IFERROR(VLOOKUP($B312,'Slutlig allokering kvv'!$B$2:$BX$549,MATCH(AE$2,'Slutlig allokering kvv'!$B$1:$BX$1,0),FALSE)/1,0))</f>
        <v/>
      </c>
      <c r="AI312" s="39">
        <f t="shared" si="16"/>
        <v>0</v>
      </c>
      <c r="AK312" s="31">
        <f>IFERROR(VLOOKUP($B312,'Slutlig allokering kvv'!$B$2:$AX$549,MATCH("Summa slutlig allokerad tillförd energi (utan hjälpel och rökgaskondensering):",'Slutlig allokering kvv'!$B$1:$AX$1,0),FALSE)/1,"")</f>
        <v>0</v>
      </c>
      <c r="AM312" s="31" t="str">
        <f>IFERROR(1-VLOOKUP($B312,'Slutlig allokering kvv'!$B$2:$AX$549,MATCH("Andel av bränsle i kvv som allokerats till värme, exklusive rökgaskondensering och hjälpel",'Slutlig allokering kvv'!$B$1:$AX$1,0),FALSE),"")</f>
        <v/>
      </c>
      <c r="AO312" s="31" t="str">
        <f t="shared" si="17"/>
        <v/>
      </c>
      <c r="AP312" s="31" t="str">
        <f t="shared" si="18"/>
        <v/>
      </c>
      <c r="AR312" s="32" t="str">
        <f t="shared" si="19"/>
        <v/>
      </c>
    </row>
    <row r="313" spans="1:44" s="31" customFormat="1" x14ac:dyDescent="0.45">
      <c r="A313" s="31" t="s">
        <v>225</v>
      </c>
      <c r="B313" s="31" t="s">
        <v>227</v>
      </c>
      <c r="C313" s="31" t="str">
        <f>IFERROR(VLOOKUP($B313,Kraftvärmeprod!$B$1:$AH$479,MATCH(C$2,Kraftvärmeprod!$B$1:$AG$1,0),FALSE)/1,"")</f>
        <v/>
      </c>
      <c r="D313" s="31" t="str">
        <f>IFERROR(VLOOKUP($B313,Kraftvärmeprod!$B$1:$AH$479,MATCH(D$2,Kraftvärmeprod!$B$1:$AG$1,0),FALSE)/1,"")</f>
        <v/>
      </c>
      <c r="F313" s="31" t="str">
        <f>IF($D313="","",IFERROR(VLOOKUP($B313,Kraftvärmeprod!$B$1:$BX$550,MATCH(F$2,Kraftvärmeprod!$B$1:$VX$1,0),FALSE)/1,0)-IFERROR(VLOOKUP($B313,'Slutlig allokering kvv'!$B$2:$BX$550,MATCH(F$2,'Slutlig allokering kvv'!$B$1:$BX$1,0),FALSE)/1,0))</f>
        <v/>
      </c>
      <c r="G313" s="31" t="str">
        <f>IF($D313="","",IFERROR(VLOOKUP($B313,Kraftvärmeprod!$B$1:$BX$550,MATCH(G$2,Kraftvärmeprod!$B$1:$VX$1,0),FALSE)/1,0)-IFERROR(VLOOKUP($B313,'Slutlig allokering kvv'!$B$2:$BX$550,MATCH(G$2,'Slutlig allokering kvv'!$B$1:$BX$1,0),FALSE)/1,0))</f>
        <v/>
      </c>
      <c r="H313" s="31" t="str">
        <f>IF($D313="","",IFERROR(VLOOKUP($B313,Kraftvärmeprod!$B$1:$BX$550,MATCH(H$2,Kraftvärmeprod!$B$1:$VX$1,0),FALSE)/1,0)-IFERROR(VLOOKUP($B313,'Slutlig allokering kvv'!$B$2:$BX$550,MATCH(H$2,'Slutlig allokering kvv'!$B$1:$BX$1,0),FALSE)/1,0))</f>
        <v/>
      </c>
      <c r="I313" s="31" t="str">
        <f>IF($D313="","",IFERROR(VLOOKUP($B313,Kraftvärmeprod!$B$1:$BX$550,MATCH(I$2,Kraftvärmeprod!$B$1:$VX$1,0),FALSE)/1,0)-IFERROR(VLOOKUP($B313,'Slutlig allokering kvv'!$B$2:$BX$550,MATCH(I$2,'Slutlig allokering kvv'!$B$1:$BX$1,0),FALSE)/1,0))</f>
        <v/>
      </c>
      <c r="J313" s="31" t="str">
        <f>IF($D313="","",IFERROR(VLOOKUP($B313,Kraftvärmeprod!$B$1:$BX$550,MATCH(J$2,Kraftvärmeprod!$B$1:$VX$1,0),FALSE)/1,0)-IFERROR(VLOOKUP($B313,'Slutlig allokering kvv'!$B$2:$BX$550,MATCH(J$2,'Slutlig allokering kvv'!$B$1:$BX$1,0),FALSE)/1,0))</f>
        <v/>
      </c>
      <c r="K313" s="31" t="str">
        <f>IF($D313="","",IFERROR(VLOOKUP($B313,Kraftvärmeprod!$B$1:$BX$550,MATCH(K$2,Kraftvärmeprod!$B$1:$VX$1,0),FALSE)/1,0)-IFERROR(VLOOKUP($B313,'Slutlig allokering kvv'!$B$2:$BX$550,MATCH(K$2,'Slutlig allokering kvv'!$B$1:$BX$1,0),FALSE)/1,0))</f>
        <v/>
      </c>
      <c r="L313" s="31" t="str">
        <f>IF($D313="","",IFERROR(VLOOKUP($B313,Kraftvärmeprod!$B$1:$BX$550,MATCH(L$2,Kraftvärmeprod!$B$1:$VX$1,0),FALSE)/1,0)-IFERROR(VLOOKUP($B313,'Slutlig allokering kvv'!$B$2:$BX$550,MATCH(L$2,'Slutlig allokering kvv'!$B$1:$BX$1,0),FALSE)/1,0))</f>
        <v/>
      </c>
      <c r="M313" s="31" t="str">
        <f>IF($D313="","",IFERROR(VLOOKUP($B313,Kraftvärmeprod!$B$1:$BX$550,MATCH(M$2,Kraftvärmeprod!$B$1:$VX$1,0),FALSE)/1,0)-IFERROR(VLOOKUP($B313,'Slutlig allokering kvv'!$B$2:$BX$550,MATCH(M$2,'Slutlig allokering kvv'!$B$1:$BX$1,0),FALSE)/1,0))</f>
        <v/>
      </c>
      <c r="N313" s="31" t="str">
        <f>IF($D313="","",IFERROR(VLOOKUP($B313,Kraftvärmeprod!$B$1:$BX$550,MATCH(N$2,Kraftvärmeprod!$B$1:$VX$1,0),FALSE)/1,0)-IFERROR(VLOOKUP($B313,'Slutlig allokering kvv'!$B$2:$BX$550,MATCH(N$2,'Slutlig allokering kvv'!$B$1:$BX$1,0),FALSE)/1,0))</f>
        <v/>
      </c>
      <c r="O313" s="31" t="str">
        <f>IF($D313="","",IFERROR(VLOOKUP($B313,Kraftvärmeprod!$B$1:$BX$550,MATCH(O$2,Kraftvärmeprod!$B$1:$VX$1,0),FALSE)/1,0)-IFERROR(VLOOKUP($B313,'Slutlig allokering kvv'!$B$2:$BX$550,MATCH(O$2,'Slutlig allokering kvv'!$B$1:$BX$1,0),FALSE)/1,0))</f>
        <v/>
      </c>
      <c r="P313" s="31" t="str">
        <f>IF($D313="","",IFERROR(VLOOKUP($B313,Kraftvärmeprod!$B$1:$BX$550,MATCH(P$2,Kraftvärmeprod!$B$1:$VX$1,0),FALSE)/1,0)-IFERROR(VLOOKUP($B313,'Slutlig allokering kvv'!$B$2:$BX$550,MATCH(P$2,'Slutlig allokering kvv'!$B$1:$BX$1,0),FALSE)/1,0))</f>
        <v/>
      </c>
      <c r="Q313" s="31" t="str">
        <f>IF($D313="","",IFERROR(VLOOKUP($B313,Kraftvärmeprod!$B$1:$BX$550,MATCH(Q$2,Kraftvärmeprod!$B$1:$VX$1,0),FALSE)/1,0)-IFERROR(VLOOKUP($B313,'Slutlig allokering kvv'!$B$2:$BX$550,MATCH(Q$2,'Slutlig allokering kvv'!$B$1:$BX$1,0),FALSE)/1,0))</f>
        <v/>
      </c>
      <c r="R313" s="31" t="str">
        <f>IF($D313="","",IFERROR(VLOOKUP($B313,Kraftvärmeprod!$B$1:$BX$550,MATCH(R$2,Kraftvärmeprod!$B$1:$VX$1,0),FALSE)/1,0)-IFERROR(VLOOKUP($B313,'Slutlig allokering kvv'!$B$2:$BX$550,MATCH(R$2,'Slutlig allokering kvv'!$B$1:$BX$1,0),FALSE)/1,0))</f>
        <v/>
      </c>
      <c r="S313" s="31" t="str">
        <f>IF($D313="","",IFERROR(VLOOKUP($B313,Kraftvärmeprod!$B$1:$BX$550,MATCH(S$2,Kraftvärmeprod!$B$1:$VX$1,0),FALSE)/1,0)-IFERROR(VLOOKUP($B313,'Slutlig allokering kvv'!$B$2:$BX$550,MATCH(S$2,'Slutlig allokering kvv'!$B$1:$BX$1,0),FALSE)/1,0))</f>
        <v/>
      </c>
      <c r="T313" s="31" t="str">
        <f>IF($D313="","",IFERROR(VLOOKUP($B313,Kraftvärmeprod!$B$1:$BX$550,MATCH(T$2,Kraftvärmeprod!$B$1:$VX$1,0),FALSE)/1,0)-IFERROR(VLOOKUP($B313,'Slutlig allokering kvv'!$B$2:$BX$550,MATCH(T$2,'Slutlig allokering kvv'!$B$1:$BX$1,0),FALSE)/1,0))</f>
        <v/>
      </c>
      <c r="U313" s="31" t="str">
        <f>IF($D313="","",IFERROR(VLOOKUP($B313,Kraftvärmeprod!$B$1:$BX$550,MATCH(U$2,Kraftvärmeprod!$B$1:$VX$1,0),FALSE)/1,0)-IFERROR(VLOOKUP($B313,'Slutlig allokering kvv'!$B$2:$BX$550,MATCH(U$2,'Slutlig allokering kvv'!$B$1:$BX$1,0),FALSE)/1,0))</f>
        <v/>
      </c>
      <c r="V313" s="31" t="str">
        <f>IF($D313="","",IFERROR(VLOOKUP($B313,Kraftvärmeprod!$B$1:$BX$550,MATCH(V$2,Kraftvärmeprod!$B$1:$VX$1,0),FALSE)/1,0)-IFERROR(VLOOKUP($B313,'Slutlig allokering kvv'!$B$2:$BX$550,MATCH(V$2,'Slutlig allokering kvv'!$B$1:$BX$1,0),FALSE)/1,0))</f>
        <v/>
      </c>
      <c r="W313" s="31" t="str">
        <f>IF($D313="","",IFERROR(VLOOKUP($B313,Kraftvärmeprod!$B$1:$BX$550,MATCH(W$2,Kraftvärmeprod!$B$1:$VX$1,0),FALSE)/1,0)-IFERROR(VLOOKUP($B313,'Slutlig allokering kvv'!$B$2:$BX$550,MATCH(W$2,'Slutlig allokering kvv'!$B$1:$BX$1,0),FALSE)/1,0))</f>
        <v/>
      </c>
      <c r="X313" s="31" t="str">
        <f>IF($D313="","",IFERROR(VLOOKUP($B313,Kraftvärmeprod!$B$1:$BX$550,MATCH(X$2,Kraftvärmeprod!$B$1:$VX$1,0),FALSE)/1,0)-IFERROR(VLOOKUP($B313,'Slutlig allokering kvv'!$B$2:$BX$550,MATCH(X$2,'Slutlig allokering kvv'!$B$1:$BX$1,0),FALSE)/1,0))</f>
        <v/>
      </c>
      <c r="Y313" s="31" t="str">
        <f>IF($D313="","",IFERROR(VLOOKUP($B313,Kraftvärmeprod!$B$1:$BX$550,MATCH(Y$2,Kraftvärmeprod!$B$1:$VX$1,0),FALSE)/1,0)-IFERROR(VLOOKUP($B313,'Slutlig allokering kvv'!$B$2:$BX$550,MATCH(Y$2,'Slutlig allokering kvv'!$B$1:$BX$1,0),FALSE)/1,0))</f>
        <v/>
      </c>
      <c r="Z313" s="31" t="str">
        <f>IF($D313="","",IFERROR(VLOOKUP($B313,Kraftvärmeprod!$B$1:$BX$550,MATCH(Z$2,Kraftvärmeprod!$B$1:$VX$1,0),FALSE)/1,0)-IFERROR(VLOOKUP($B313,'Slutlig allokering kvv'!$B$2:$BX$550,MATCH(Z$2,'Slutlig allokering kvv'!$B$1:$BX$1,0),FALSE)/1,0))</f>
        <v/>
      </c>
      <c r="AA313" s="31" t="str">
        <f>IF($D313="","",IFERROR(VLOOKUP($B313,Kraftvärmeprod!$B$1:$BX$550,MATCH(AA$2,Kraftvärmeprod!$B$1:$VX$1,0),FALSE)/1,0)-IFERROR(VLOOKUP($B313,'Slutlig allokering kvv'!$B$2:$BX$550,MATCH(AA$2,'Slutlig allokering kvv'!$B$1:$BX$1,0),FALSE)/1,0))</f>
        <v/>
      </c>
      <c r="AB313" s="31" t="str">
        <f>IF($D313="","",IFERROR(VLOOKUP($B313,Kraftvärmeprod!$B$1:$BX$550,MATCH(AB$2,Kraftvärmeprod!$B$1:$VX$1,0),FALSE)/1,0)-IFERROR(VLOOKUP($B313,'Slutlig allokering kvv'!$B$2:$BX$550,MATCH(AB$2,'Slutlig allokering kvv'!$B$1:$BX$1,0),FALSE)/1,0))</f>
        <v/>
      </c>
      <c r="AC313" s="31" t="str">
        <f>IF($D313="","",IFERROR(VLOOKUP($B313,Kraftvärmeprod!$B$1:$BX$550,MATCH(AC$2,Kraftvärmeprod!$B$1:$VX$1,0),FALSE)/1,0)-IFERROR(VLOOKUP($B313,'Slutlig allokering kvv'!$B$2:$BX$550,MATCH(AC$2,'Slutlig allokering kvv'!$B$1:$BX$1,0),FALSE)/1,0))</f>
        <v/>
      </c>
      <c r="AD313" s="31" t="str">
        <f>IF($D313="","",IFERROR(VLOOKUP($B313,Kraftvärmeprod!$B$1:$BX$550,MATCH(AD$2,Kraftvärmeprod!$B$1:$VX$1,0),FALSE)/1,0)-IFERROR(VLOOKUP($B313,'Slutlig allokering kvv'!$B$2:$BX$550,MATCH(AD$2,'Slutlig allokering kvv'!$B$1:$BX$1,0),FALSE)/1,0))</f>
        <v/>
      </c>
      <c r="AE313" s="31" t="str">
        <f>IF($D313="","",IFERROR(VLOOKUP($B313,Miljö!$B$1:$E$550,MATCH("Hjälpel kraftvärme (GWh)",Miljö!$B$1:$E$1,0),FALSE)/1,0)-IFERROR(VLOOKUP($B313,'Slutlig allokering kvv'!$B$2:$BX$549,MATCH(AE$2,'Slutlig allokering kvv'!$B$1:$BX$1,0),FALSE)/1,0))</f>
        <v/>
      </c>
      <c r="AI313" s="39">
        <f t="shared" si="16"/>
        <v>0</v>
      </c>
      <c r="AK313" s="31">
        <f>IFERROR(VLOOKUP($B313,'Slutlig allokering kvv'!$B$2:$AX$549,MATCH("Summa slutlig allokerad tillförd energi (utan hjälpel och rökgaskondensering):",'Slutlig allokering kvv'!$B$1:$AX$1,0),FALSE)/1,"")</f>
        <v>0</v>
      </c>
      <c r="AM313" s="31" t="str">
        <f>IFERROR(1-VLOOKUP($B313,'Slutlig allokering kvv'!$B$2:$AX$549,MATCH("Andel av bränsle i kvv som allokerats till värme, exklusive rökgaskondensering och hjälpel",'Slutlig allokering kvv'!$B$1:$AX$1,0),FALSE),"")</f>
        <v/>
      </c>
      <c r="AO313" s="31" t="str">
        <f t="shared" si="17"/>
        <v/>
      </c>
      <c r="AP313" s="31" t="str">
        <f t="shared" si="18"/>
        <v/>
      </c>
      <c r="AR313" s="32" t="str">
        <f t="shared" si="19"/>
        <v/>
      </c>
    </row>
    <row r="314" spans="1:44" s="31" customFormat="1" x14ac:dyDescent="0.45">
      <c r="A314" s="31" t="s">
        <v>225</v>
      </c>
      <c r="B314" s="31" t="s">
        <v>226</v>
      </c>
      <c r="C314" s="31" t="str">
        <f>IFERROR(VLOOKUP($B314,Kraftvärmeprod!$B$1:$AH$479,MATCH(C$2,Kraftvärmeprod!$B$1:$AG$1,0),FALSE)/1,"")</f>
        <v/>
      </c>
      <c r="D314" s="31" t="str">
        <f>IFERROR(VLOOKUP($B314,Kraftvärmeprod!$B$1:$AH$479,MATCH(D$2,Kraftvärmeprod!$B$1:$AG$1,0),FALSE)/1,"")</f>
        <v/>
      </c>
      <c r="F314" s="31" t="str">
        <f>IF($D314="","",IFERROR(VLOOKUP($B314,Kraftvärmeprod!$B$1:$BX$550,MATCH(F$2,Kraftvärmeprod!$B$1:$VX$1,0),FALSE)/1,0)-IFERROR(VLOOKUP($B314,'Slutlig allokering kvv'!$B$2:$BX$550,MATCH(F$2,'Slutlig allokering kvv'!$B$1:$BX$1,0),FALSE)/1,0))</f>
        <v/>
      </c>
      <c r="G314" s="31" t="str">
        <f>IF($D314="","",IFERROR(VLOOKUP($B314,Kraftvärmeprod!$B$1:$BX$550,MATCH(G$2,Kraftvärmeprod!$B$1:$VX$1,0),FALSE)/1,0)-IFERROR(VLOOKUP($B314,'Slutlig allokering kvv'!$B$2:$BX$550,MATCH(G$2,'Slutlig allokering kvv'!$B$1:$BX$1,0),FALSE)/1,0))</f>
        <v/>
      </c>
      <c r="H314" s="31" t="str">
        <f>IF($D314="","",IFERROR(VLOOKUP($B314,Kraftvärmeprod!$B$1:$BX$550,MATCH(H$2,Kraftvärmeprod!$B$1:$VX$1,0),FALSE)/1,0)-IFERROR(VLOOKUP($B314,'Slutlig allokering kvv'!$B$2:$BX$550,MATCH(H$2,'Slutlig allokering kvv'!$B$1:$BX$1,0),FALSE)/1,0))</f>
        <v/>
      </c>
      <c r="I314" s="31" t="str">
        <f>IF($D314="","",IFERROR(VLOOKUP($B314,Kraftvärmeprod!$B$1:$BX$550,MATCH(I$2,Kraftvärmeprod!$B$1:$VX$1,0),FALSE)/1,0)-IFERROR(VLOOKUP($B314,'Slutlig allokering kvv'!$B$2:$BX$550,MATCH(I$2,'Slutlig allokering kvv'!$B$1:$BX$1,0),FALSE)/1,0))</f>
        <v/>
      </c>
      <c r="J314" s="31" t="str">
        <f>IF($D314="","",IFERROR(VLOOKUP($B314,Kraftvärmeprod!$B$1:$BX$550,MATCH(J$2,Kraftvärmeprod!$B$1:$VX$1,0),FALSE)/1,0)-IFERROR(VLOOKUP($B314,'Slutlig allokering kvv'!$B$2:$BX$550,MATCH(J$2,'Slutlig allokering kvv'!$B$1:$BX$1,0),FALSE)/1,0))</f>
        <v/>
      </c>
      <c r="K314" s="31" t="str">
        <f>IF($D314="","",IFERROR(VLOOKUP($B314,Kraftvärmeprod!$B$1:$BX$550,MATCH(K$2,Kraftvärmeprod!$B$1:$VX$1,0),FALSE)/1,0)-IFERROR(VLOOKUP($B314,'Slutlig allokering kvv'!$B$2:$BX$550,MATCH(K$2,'Slutlig allokering kvv'!$B$1:$BX$1,0),FALSE)/1,0))</f>
        <v/>
      </c>
      <c r="L314" s="31" t="str">
        <f>IF($D314="","",IFERROR(VLOOKUP($B314,Kraftvärmeprod!$B$1:$BX$550,MATCH(L$2,Kraftvärmeprod!$B$1:$VX$1,0),FALSE)/1,0)-IFERROR(VLOOKUP($B314,'Slutlig allokering kvv'!$B$2:$BX$550,MATCH(L$2,'Slutlig allokering kvv'!$B$1:$BX$1,0),FALSE)/1,0))</f>
        <v/>
      </c>
      <c r="M314" s="31" t="str">
        <f>IF($D314="","",IFERROR(VLOOKUP($B314,Kraftvärmeprod!$B$1:$BX$550,MATCH(M$2,Kraftvärmeprod!$B$1:$VX$1,0),FALSE)/1,0)-IFERROR(VLOOKUP($B314,'Slutlig allokering kvv'!$B$2:$BX$550,MATCH(M$2,'Slutlig allokering kvv'!$B$1:$BX$1,0),FALSE)/1,0))</f>
        <v/>
      </c>
      <c r="N314" s="31" t="str">
        <f>IF($D314="","",IFERROR(VLOOKUP($B314,Kraftvärmeprod!$B$1:$BX$550,MATCH(N$2,Kraftvärmeprod!$B$1:$VX$1,0),FALSE)/1,0)-IFERROR(VLOOKUP($B314,'Slutlig allokering kvv'!$B$2:$BX$550,MATCH(N$2,'Slutlig allokering kvv'!$B$1:$BX$1,0),FALSE)/1,0))</f>
        <v/>
      </c>
      <c r="O314" s="31" t="str">
        <f>IF($D314="","",IFERROR(VLOOKUP($B314,Kraftvärmeprod!$B$1:$BX$550,MATCH(O$2,Kraftvärmeprod!$B$1:$VX$1,0),FALSE)/1,0)-IFERROR(VLOOKUP($B314,'Slutlig allokering kvv'!$B$2:$BX$550,MATCH(O$2,'Slutlig allokering kvv'!$B$1:$BX$1,0),FALSE)/1,0))</f>
        <v/>
      </c>
      <c r="P314" s="31" t="str">
        <f>IF($D314="","",IFERROR(VLOOKUP($B314,Kraftvärmeprod!$B$1:$BX$550,MATCH(P$2,Kraftvärmeprod!$B$1:$VX$1,0),FALSE)/1,0)-IFERROR(VLOOKUP($B314,'Slutlig allokering kvv'!$B$2:$BX$550,MATCH(P$2,'Slutlig allokering kvv'!$B$1:$BX$1,0),FALSE)/1,0))</f>
        <v/>
      </c>
      <c r="Q314" s="31" t="str">
        <f>IF($D314="","",IFERROR(VLOOKUP($B314,Kraftvärmeprod!$B$1:$BX$550,MATCH(Q$2,Kraftvärmeprod!$B$1:$VX$1,0),FALSE)/1,0)-IFERROR(VLOOKUP($B314,'Slutlig allokering kvv'!$B$2:$BX$550,MATCH(Q$2,'Slutlig allokering kvv'!$B$1:$BX$1,0),FALSE)/1,0))</f>
        <v/>
      </c>
      <c r="R314" s="31" t="str">
        <f>IF($D314="","",IFERROR(VLOOKUP($B314,Kraftvärmeprod!$B$1:$BX$550,MATCH(R$2,Kraftvärmeprod!$B$1:$VX$1,0),FALSE)/1,0)-IFERROR(VLOOKUP($B314,'Slutlig allokering kvv'!$B$2:$BX$550,MATCH(R$2,'Slutlig allokering kvv'!$B$1:$BX$1,0),FALSE)/1,0))</f>
        <v/>
      </c>
      <c r="S314" s="31" t="str">
        <f>IF($D314="","",IFERROR(VLOOKUP($B314,Kraftvärmeprod!$B$1:$BX$550,MATCH(S$2,Kraftvärmeprod!$B$1:$VX$1,0),FALSE)/1,0)-IFERROR(VLOOKUP($B314,'Slutlig allokering kvv'!$B$2:$BX$550,MATCH(S$2,'Slutlig allokering kvv'!$B$1:$BX$1,0),FALSE)/1,0))</f>
        <v/>
      </c>
      <c r="T314" s="31" t="str">
        <f>IF($D314="","",IFERROR(VLOOKUP($B314,Kraftvärmeprod!$B$1:$BX$550,MATCH(T$2,Kraftvärmeprod!$B$1:$VX$1,0),FALSE)/1,0)-IFERROR(VLOOKUP($B314,'Slutlig allokering kvv'!$B$2:$BX$550,MATCH(T$2,'Slutlig allokering kvv'!$B$1:$BX$1,0),FALSE)/1,0))</f>
        <v/>
      </c>
      <c r="U314" s="31" t="str">
        <f>IF($D314="","",IFERROR(VLOOKUP($B314,Kraftvärmeprod!$B$1:$BX$550,MATCH(U$2,Kraftvärmeprod!$B$1:$VX$1,0),FALSE)/1,0)-IFERROR(VLOOKUP($B314,'Slutlig allokering kvv'!$B$2:$BX$550,MATCH(U$2,'Slutlig allokering kvv'!$B$1:$BX$1,0),FALSE)/1,0))</f>
        <v/>
      </c>
      <c r="V314" s="31" t="str">
        <f>IF($D314="","",IFERROR(VLOOKUP($B314,Kraftvärmeprod!$B$1:$BX$550,MATCH(V$2,Kraftvärmeprod!$B$1:$VX$1,0),FALSE)/1,0)-IFERROR(VLOOKUP($B314,'Slutlig allokering kvv'!$B$2:$BX$550,MATCH(V$2,'Slutlig allokering kvv'!$B$1:$BX$1,0),FALSE)/1,0))</f>
        <v/>
      </c>
      <c r="W314" s="31" t="str">
        <f>IF($D314="","",IFERROR(VLOOKUP($B314,Kraftvärmeprod!$B$1:$BX$550,MATCH(W$2,Kraftvärmeprod!$B$1:$VX$1,0),FALSE)/1,0)-IFERROR(VLOOKUP($B314,'Slutlig allokering kvv'!$B$2:$BX$550,MATCH(W$2,'Slutlig allokering kvv'!$B$1:$BX$1,0),FALSE)/1,0))</f>
        <v/>
      </c>
      <c r="X314" s="31" t="str">
        <f>IF($D314="","",IFERROR(VLOOKUP($B314,Kraftvärmeprod!$B$1:$BX$550,MATCH(X$2,Kraftvärmeprod!$B$1:$VX$1,0),FALSE)/1,0)-IFERROR(VLOOKUP($B314,'Slutlig allokering kvv'!$B$2:$BX$550,MATCH(X$2,'Slutlig allokering kvv'!$B$1:$BX$1,0),FALSE)/1,0))</f>
        <v/>
      </c>
      <c r="Y314" s="31" t="str">
        <f>IF($D314="","",IFERROR(VLOOKUP($B314,Kraftvärmeprod!$B$1:$BX$550,MATCH(Y$2,Kraftvärmeprod!$B$1:$VX$1,0),FALSE)/1,0)-IFERROR(VLOOKUP($B314,'Slutlig allokering kvv'!$B$2:$BX$550,MATCH(Y$2,'Slutlig allokering kvv'!$B$1:$BX$1,0),FALSE)/1,0))</f>
        <v/>
      </c>
      <c r="Z314" s="31" t="str">
        <f>IF($D314="","",IFERROR(VLOOKUP($B314,Kraftvärmeprod!$B$1:$BX$550,MATCH(Z$2,Kraftvärmeprod!$B$1:$VX$1,0),FALSE)/1,0)-IFERROR(VLOOKUP($B314,'Slutlig allokering kvv'!$B$2:$BX$550,MATCH(Z$2,'Slutlig allokering kvv'!$B$1:$BX$1,0),FALSE)/1,0))</f>
        <v/>
      </c>
      <c r="AA314" s="31" t="str">
        <f>IF($D314="","",IFERROR(VLOOKUP($B314,Kraftvärmeprod!$B$1:$BX$550,MATCH(AA$2,Kraftvärmeprod!$B$1:$VX$1,0),FALSE)/1,0)-IFERROR(VLOOKUP($B314,'Slutlig allokering kvv'!$B$2:$BX$550,MATCH(AA$2,'Slutlig allokering kvv'!$B$1:$BX$1,0),FALSE)/1,0))</f>
        <v/>
      </c>
      <c r="AB314" s="31" t="str">
        <f>IF($D314="","",IFERROR(VLOOKUP($B314,Kraftvärmeprod!$B$1:$BX$550,MATCH(AB$2,Kraftvärmeprod!$B$1:$VX$1,0),FALSE)/1,0)-IFERROR(VLOOKUP($B314,'Slutlig allokering kvv'!$B$2:$BX$550,MATCH(AB$2,'Slutlig allokering kvv'!$B$1:$BX$1,0),FALSE)/1,0))</f>
        <v/>
      </c>
      <c r="AC314" s="31" t="str">
        <f>IF($D314="","",IFERROR(VLOOKUP($B314,Kraftvärmeprod!$B$1:$BX$550,MATCH(AC$2,Kraftvärmeprod!$B$1:$VX$1,0),FALSE)/1,0)-IFERROR(VLOOKUP($B314,'Slutlig allokering kvv'!$B$2:$BX$550,MATCH(AC$2,'Slutlig allokering kvv'!$B$1:$BX$1,0),FALSE)/1,0))</f>
        <v/>
      </c>
      <c r="AD314" s="31" t="str">
        <f>IF($D314="","",IFERROR(VLOOKUP($B314,Kraftvärmeprod!$B$1:$BX$550,MATCH(AD$2,Kraftvärmeprod!$B$1:$VX$1,0),FALSE)/1,0)-IFERROR(VLOOKUP($B314,'Slutlig allokering kvv'!$B$2:$BX$550,MATCH(AD$2,'Slutlig allokering kvv'!$B$1:$BX$1,0),FALSE)/1,0))</f>
        <v/>
      </c>
      <c r="AE314" s="31" t="str">
        <f>IF($D314="","",IFERROR(VLOOKUP($B314,Miljö!$B$1:$E$550,MATCH("Hjälpel kraftvärme (GWh)",Miljö!$B$1:$E$1,0),FALSE)/1,0)-IFERROR(VLOOKUP($B314,'Slutlig allokering kvv'!$B$2:$BX$549,MATCH(AE$2,'Slutlig allokering kvv'!$B$1:$BX$1,0),FALSE)/1,0))</f>
        <v/>
      </c>
      <c r="AI314" s="39">
        <f t="shared" si="16"/>
        <v>0</v>
      </c>
      <c r="AK314" s="31">
        <f>IFERROR(VLOOKUP($B314,'Slutlig allokering kvv'!$B$2:$AX$549,MATCH("Summa slutlig allokerad tillförd energi (utan hjälpel och rökgaskondensering):",'Slutlig allokering kvv'!$B$1:$AX$1,0),FALSE)/1,"")</f>
        <v>0</v>
      </c>
      <c r="AM314" s="31" t="str">
        <f>IFERROR(1-VLOOKUP($B314,'Slutlig allokering kvv'!$B$2:$AX$549,MATCH("Andel av bränsle i kvv som allokerats till värme, exklusive rökgaskondensering och hjälpel",'Slutlig allokering kvv'!$B$1:$AX$1,0),FALSE),"")</f>
        <v/>
      </c>
      <c r="AO314" s="31" t="str">
        <f t="shared" si="17"/>
        <v/>
      </c>
      <c r="AP314" s="31" t="str">
        <f t="shared" si="18"/>
        <v/>
      </c>
      <c r="AR314" s="32" t="str">
        <f t="shared" si="19"/>
        <v/>
      </c>
    </row>
    <row r="315" spans="1:44" s="31" customFormat="1" x14ac:dyDescent="0.45">
      <c r="A315" s="31" t="s">
        <v>225</v>
      </c>
      <c r="B315" s="31" t="s">
        <v>224</v>
      </c>
      <c r="C315" s="31">
        <f>IFERROR(VLOOKUP($B315,Kraftvärmeprod!$B$1:$AH$479,MATCH(C$2,Kraftvärmeprod!$B$1:$AG$1,0),FALSE)/1,"")</f>
        <v>102.068</v>
      </c>
      <c r="D315" s="31">
        <f>IFERROR(VLOOKUP($B315,Kraftvärmeprod!$B$1:$AH$479,MATCH(D$2,Kraftvärmeprod!$B$1:$AG$1,0),FALSE)/1,"")</f>
        <v>25.071000000000002</v>
      </c>
      <c r="F315" s="31">
        <f>IF($D315="","",IFERROR(VLOOKUP($B315,Kraftvärmeprod!$B$1:$BX$550,MATCH(F$2,Kraftvärmeprod!$B$1:$VX$1,0),FALSE)/1,0)-IFERROR(VLOOKUP($B315,'Slutlig allokering kvv'!$B$2:$BX$550,MATCH(F$2,'Slutlig allokering kvv'!$B$1:$BX$1,0),FALSE)/1,0))</f>
        <v>0</v>
      </c>
      <c r="G315" s="31">
        <f>IF($D315="","",IFERROR(VLOOKUP($B315,Kraftvärmeprod!$B$1:$BX$550,MATCH(G$2,Kraftvärmeprod!$B$1:$VX$1,0),FALSE)/1,0)-IFERROR(VLOOKUP($B315,'Slutlig allokering kvv'!$B$2:$BX$550,MATCH(G$2,'Slutlig allokering kvv'!$B$1:$BX$1,0),FALSE)/1,0))</f>
        <v>3.3192700000000006E-2</v>
      </c>
      <c r="H315" s="31">
        <f>IF($D315="","",IFERROR(VLOOKUP($B315,Kraftvärmeprod!$B$1:$BX$550,MATCH(H$2,Kraftvärmeprod!$B$1:$VX$1,0),FALSE)/1,0)-IFERROR(VLOOKUP($B315,'Slutlig allokering kvv'!$B$2:$BX$550,MATCH(H$2,'Slutlig allokering kvv'!$B$1:$BX$1,0),FALSE)/1,0))</f>
        <v>0</v>
      </c>
      <c r="I315" s="31">
        <f>IF($D315="","",IFERROR(VLOOKUP($B315,Kraftvärmeprod!$B$1:$BX$550,MATCH(I$2,Kraftvärmeprod!$B$1:$VX$1,0),FALSE)/1,0)-IFERROR(VLOOKUP($B315,'Slutlig allokering kvv'!$B$2:$BX$550,MATCH(I$2,'Slutlig allokering kvv'!$B$1:$BX$1,0),FALSE)/1,0))</f>
        <v>0</v>
      </c>
      <c r="J315" s="31">
        <f>IF($D315="","",IFERROR(VLOOKUP($B315,Kraftvärmeprod!$B$1:$BX$550,MATCH(J$2,Kraftvärmeprod!$B$1:$VX$1,0),FALSE)/1,0)-IFERROR(VLOOKUP($B315,'Slutlig allokering kvv'!$B$2:$BX$550,MATCH(J$2,'Slutlig allokering kvv'!$B$1:$BX$1,0),FALSE)/1,0))</f>
        <v>0</v>
      </c>
      <c r="K315" s="31">
        <f>IF($D315="","",IFERROR(VLOOKUP($B315,Kraftvärmeprod!$B$1:$BX$550,MATCH(K$2,Kraftvärmeprod!$B$1:$VX$1,0),FALSE)/1,0)-IFERROR(VLOOKUP($B315,'Slutlig allokering kvv'!$B$2:$BX$550,MATCH(K$2,'Slutlig allokering kvv'!$B$1:$BX$1,0),FALSE)/1,0))</f>
        <v>0</v>
      </c>
      <c r="L315" s="31">
        <f>IF($D315="","",IFERROR(VLOOKUP($B315,Kraftvärmeprod!$B$1:$BX$550,MATCH(L$2,Kraftvärmeprod!$B$1:$VX$1,0),FALSE)/1,0)-IFERROR(VLOOKUP($B315,'Slutlig allokering kvv'!$B$2:$BX$550,MATCH(L$2,'Slutlig allokering kvv'!$B$1:$BX$1,0),FALSE)/1,0))</f>
        <v>30.505199999999995</v>
      </c>
      <c r="M315" s="31">
        <f>IF($D315="","",IFERROR(VLOOKUP($B315,Kraftvärmeprod!$B$1:$BX$550,MATCH(M$2,Kraftvärmeprod!$B$1:$VX$1,0),FALSE)/1,0)-IFERROR(VLOOKUP($B315,'Slutlig allokering kvv'!$B$2:$BX$550,MATCH(M$2,'Slutlig allokering kvv'!$B$1:$BX$1,0),FALSE)/1,0))</f>
        <v>22.668099999999995</v>
      </c>
      <c r="N315" s="31">
        <f>IF($D315="","",IFERROR(VLOOKUP($B315,Kraftvärmeprod!$B$1:$BX$550,MATCH(N$2,Kraftvärmeprod!$B$1:$VX$1,0),FALSE)/1,0)-IFERROR(VLOOKUP($B315,'Slutlig allokering kvv'!$B$2:$BX$550,MATCH(N$2,'Slutlig allokering kvv'!$B$1:$BX$1,0),FALSE)/1,0))</f>
        <v>1.7055700000000003</v>
      </c>
      <c r="O315" s="31">
        <f>IF($D315="","",IFERROR(VLOOKUP($B315,Kraftvärmeprod!$B$1:$BX$550,MATCH(O$2,Kraftvärmeprod!$B$1:$VX$1,0),FALSE)/1,0)-IFERROR(VLOOKUP($B315,'Slutlig allokering kvv'!$B$2:$BX$550,MATCH(O$2,'Slutlig allokering kvv'!$B$1:$BX$1,0),FALSE)/1,0))</f>
        <v>0</v>
      </c>
      <c r="P315" s="31">
        <f>IF($D315="","",IFERROR(VLOOKUP($B315,Kraftvärmeprod!$B$1:$BX$550,MATCH(P$2,Kraftvärmeprod!$B$1:$VX$1,0),FALSE)/1,0)-IFERROR(VLOOKUP($B315,'Slutlig allokering kvv'!$B$2:$BX$550,MATCH(P$2,'Slutlig allokering kvv'!$B$1:$BX$1,0),FALSE)/1,0))</f>
        <v>0</v>
      </c>
      <c r="Q315" s="31">
        <f>IF($D315="","",IFERROR(VLOOKUP($B315,Kraftvärmeprod!$B$1:$BX$550,MATCH(Q$2,Kraftvärmeprod!$B$1:$VX$1,0),FALSE)/1,0)-IFERROR(VLOOKUP($B315,'Slutlig allokering kvv'!$B$2:$BX$550,MATCH(Q$2,'Slutlig allokering kvv'!$B$1:$BX$1,0),FALSE)/1,0))</f>
        <v>0</v>
      </c>
      <c r="R315" s="31">
        <f>IF($D315="","",IFERROR(VLOOKUP($B315,Kraftvärmeprod!$B$1:$BX$550,MATCH(R$2,Kraftvärmeprod!$B$1:$VX$1,0),FALSE)/1,0)-IFERROR(VLOOKUP($B315,'Slutlig allokering kvv'!$B$2:$BX$550,MATCH(R$2,'Slutlig allokering kvv'!$B$1:$BX$1,0),FALSE)/1,0))</f>
        <v>0</v>
      </c>
      <c r="S315" s="31">
        <f>IF($D315="","",IFERROR(VLOOKUP($B315,Kraftvärmeprod!$B$1:$BX$550,MATCH(S$2,Kraftvärmeprod!$B$1:$VX$1,0),FALSE)/1,0)-IFERROR(VLOOKUP($B315,'Slutlig allokering kvv'!$B$2:$BX$550,MATCH(S$2,'Slutlig allokering kvv'!$B$1:$BX$1,0),FALSE)/1,0))</f>
        <v>0</v>
      </c>
      <c r="T315" s="31">
        <f>IF($D315="","",IFERROR(VLOOKUP($B315,Kraftvärmeprod!$B$1:$BX$550,MATCH(T$2,Kraftvärmeprod!$B$1:$VX$1,0),FALSE)/1,0)-IFERROR(VLOOKUP($B315,'Slutlig allokering kvv'!$B$2:$BX$550,MATCH(T$2,'Slutlig allokering kvv'!$B$1:$BX$1,0),FALSE)/1,0))</f>
        <v>0</v>
      </c>
      <c r="U315" s="31">
        <f>IF($D315="","",IFERROR(VLOOKUP($B315,Kraftvärmeprod!$B$1:$BX$550,MATCH(U$2,Kraftvärmeprod!$B$1:$VX$1,0),FALSE)/1,0)-IFERROR(VLOOKUP($B315,'Slutlig allokering kvv'!$B$2:$BX$550,MATCH(U$2,'Slutlig allokering kvv'!$B$1:$BX$1,0),FALSE)/1,0))</f>
        <v>0</v>
      </c>
      <c r="V315" s="31">
        <f>IF($D315="","",IFERROR(VLOOKUP($B315,Kraftvärmeprod!$B$1:$BX$550,MATCH(V$2,Kraftvärmeprod!$B$1:$VX$1,0),FALSE)/1,0)-IFERROR(VLOOKUP($B315,'Slutlig allokering kvv'!$B$2:$BX$550,MATCH(V$2,'Slutlig allokering kvv'!$B$1:$BX$1,0),FALSE)/1,0))</f>
        <v>0</v>
      </c>
      <c r="W315" s="31">
        <f>IF($D315="","",IFERROR(VLOOKUP($B315,Kraftvärmeprod!$B$1:$BX$550,MATCH(W$2,Kraftvärmeprod!$B$1:$VX$1,0),FALSE)/1,0)-IFERROR(VLOOKUP($B315,'Slutlig allokering kvv'!$B$2:$BX$550,MATCH(W$2,'Slutlig allokering kvv'!$B$1:$BX$1,0),FALSE)/1,0))</f>
        <v>0</v>
      </c>
      <c r="X315" s="31">
        <f>IF($D315="","",IFERROR(VLOOKUP($B315,Kraftvärmeprod!$B$1:$BX$550,MATCH(X$2,Kraftvärmeprod!$B$1:$VX$1,0),FALSE)/1,0)-IFERROR(VLOOKUP($B315,'Slutlig allokering kvv'!$B$2:$BX$550,MATCH(X$2,'Slutlig allokering kvv'!$B$1:$BX$1,0),FALSE)/1,0))</f>
        <v>0</v>
      </c>
      <c r="Y315" s="31">
        <f>IF($D315="","",IFERROR(VLOOKUP($B315,Kraftvärmeprod!$B$1:$BX$550,MATCH(Y$2,Kraftvärmeprod!$B$1:$VX$1,0),FALSE)/1,0)-IFERROR(VLOOKUP($B315,'Slutlig allokering kvv'!$B$2:$BX$550,MATCH(Y$2,'Slutlig allokering kvv'!$B$1:$BX$1,0),FALSE)/1,0))</f>
        <v>0</v>
      </c>
      <c r="Z315" s="31">
        <f>IF($D315="","",IFERROR(VLOOKUP($B315,Kraftvärmeprod!$B$1:$BX$550,MATCH(Z$2,Kraftvärmeprod!$B$1:$VX$1,0),FALSE)/1,0)-IFERROR(VLOOKUP($B315,'Slutlig allokering kvv'!$B$2:$BX$550,MATCH(Z$2,'Slutlig allokering kvv'!$B$1:$BX$1,0),FALSE)/1,0))</f>
        <v>0</v>
      </c>
      <c r="AA315" s="31">
        <f>IF($D315="","",IFERROR(VLOOKUP($B315,Kraftvärmeprod!$B$1:$BX$550,MATCH(AA$2,Kraftvärmeprod!$B$1:$VX$1,0),FALSE)/1,0)-IFERROR(VLOOKUP($B315,'Slutlig allokering kvv'!$B$2:$BX$550,MATCH(AA$2,'Slutlig allokering kvv'!$B$1:$BX$1,0),FALSE)/1,0))</f>
        <v>0</v>
      </c>
      <c r="AB315" s="31">
        <f>IF($D315="","",IFERROR(VLOOKUP($B315,Kraftvärmeprod!$B$1:$BX$550,MATCH(AB$2,Kraftvärmeprod!$B$1:$VX$1,0),FALSE)/1,0)-IFERROR(VLOOKUP($B315,'Slutlig allokering kvv'!$B$2:$BX$550,MATCH(AB$2,'Slutlig allokering kvv'!$B$1:$BX$1,0),FALSE)/1,0))</f>
        <v>0</v>
      </c>
      <c r="AC315" s="31">
        <f>IF($D315="","",IFERROR(VLOOKUP($B315,Kraftvärmeprod!$B$1:$BX$550,MATCH(AC$2,Kraftvärmeprod!$B$1:$VX$1,0),FALSE)/1,0)-IFERROR(VLOOKUP($B315,'Slutlig allokering kvv'!$B$2:$BX$550,MATCH(AC$2,'Slutlig allokering kvv'!$B$1:$BX$1,0),FALSE)/1,0))</f>
        <v>0</v>
      </c>
      <c r="AD315" s="31">
        <f>IF($D315="","",IFERROR(VLOOKUP($B315,Kraftvärmeprod!$B$1:$BX$550,MATCH(AD$2,Kraftvärmeprod!$B$1:$VX$1,0),FALSE)/1,0)-IFERROR(VLOOKUP($B315,'Slutlig allokering kvv'!$B$2:$BX$550,MATCH(AD$2,'Slutlig allokering kvv'!$B$1:$BX$1,0),FALSE)/1,0))</f>
        <v>0</v>
      </c>
      <c r="AE315" s="31">
        <f>IF($D315="","",IFERROR(VLOOKUP($B315,Miljö!$B$1:$E$550,MATCH("Hjälpel kraftvärme (GWh)",Miljö!$B$1:$E$1,0),FALSE)/1,0)-IFERROR(VLOOKUP($B315,'Slutlig allokering kvv'!$B$2:$BX$549,MATCH(AE$2,'Slutlig allokering kvv'!$B$1:$BX$1,0),FALSE)/1,0))</f>
        <v>0.23922299999999996</v>
      </c>
      <c r="AI315" s="39">
        <f t="shared" si="16"/>
        <v>54.912062699999993</v>
      </c>
      <c r="AK315" s="31">
        <f>IFERROR(VLOOKUP($B315,'Slutlig allokering kvv'!$B$2:$AX$549,MATCH("Summa slutlig allokerad tillförd energi (utan hjälpel och rökgaskondensering):",'Slutlig allokering kvv'!$B$1:$AX$1,0),FALSE)/1,"")</f>
        <v>85.797937300000001</v>
      </c>
      <c r="AM315" s="31">
        <f>IFERROR(1-VLOOKUP($B315,'Slutlig allokering kvv'!$B$2:$AX$549,MATCH("Andel av bränsle i kvv som allokerats till värme, exklusive rökgaskondensering och hjälpel",'Slutlig allokering kvv'!$B$1:$AX$1,0),FALSE),"")</f>
        <v>0.39024989481913142</v>
      </c>
      <c r="AO315" s="31">
        <f t="shared" si="17"/>
        <v>0.39024989481913153</v>
      </c>
      <c r="AP315" s="31">
        <f t="shared" si="18"/>
        <v>-1.1102230246251565E-16</v>
      </c>
      <c r="AR315" s="32">
        <f t="shared" si="19"/>
        <v>0.45458595718648864</v>
      </c>
    </row>
    <row r="316" spans="1:44" s="31" customFormat="1" x14ac:dyDescent="0.45">
      <c r="A316" s="31" t="s">
        <v>221</v>
      </c>
      <c r="B316" s="31" t="s">
        <v>223</v>
      </c>
      <c r="C316" s="31" t="str">
        <f>IFERROR(VLOOKUP($B316,Kraftvärmeprod!$B$1:$AH$479,MATCH(C$2,Kraftvärmeprod!$B$1:$AG$1,0),FALSE)/1,"")</f>
        <v/>
      </c>
      <c r="D316" s="31" t="str">
        <f>IFERROR(VLOOKUP($B316,Kraftvärmeprod!$B$1:$AH$479,MATCH(D$2,Kraftvärmeprod!$B$1:$AG$1,0),FALSE)/1,"")</f>
        <v/>
      </c>
      <c r="F316" s="31" t="str">
        <f>IF($D316="","",IFERROR(VLOOKUP($B316,Kraftvärmeprod!$B$1:$BX$550,MATCH(F$2,Kraftvärmeprod!$B$1:$VX$1,0),FALSE)/1,0)-IFERROR(VLOOKUP($B316,'Slutlig allokering kvv'!$B$2:$BX$550,MATCH(F$2,'Slutlig allokering kvv'!$B$1:$BX$1,0),FALSE)/1,0))</f>
        <v/>
      </c>
      <c r="G316" s="31" t="str">
        <f>IF($D316="","",IFERROR(VLOOKUP($B316,Kraftvärmeprod!$B$1:$BX$550,MATCH(G$2,Kraftvärmeprod!$B$1:$VX$1,0),FALSE)/1,0)-IFERROR(VLOOKUP($B316,'Slutlig allokering kvv'!$B$2:$BX$550,MATCH(G$2,'Slutlig allokering kvv'!$B$1:$BX$1,0),FALSE)/1,0))</f>
        <v/>
      </c>
      <c r="H316" s="31" t="str">
        <f>IF($D316="","",IFERROR(VLOOKUP($B316,Kraftvärmeprod!$B$1:$BX$550,MATCH(H$2,Kraftvärmeprod!$B$1:$VX$1,0),FALSE)/1,0)-IFERROR(VLOOKUP($B316,'Slutlig allokering kvv'!$B$2:$BX$550,MATCH(H$2,'Slutlig allokering kvv'!$B$1:$BX$1,0),FALSE)/1,0))</f>
        <v/>
      </c>
      <c r="I316" s="31" t="str">
        <f>IF($D316="","",IFERROR(VLOOKUP($B316,Kraftvärmeprod!$B$1:$BX$550,MATCH(I$2,Kraftvärmeprod!$B$1:$VX$1,0),FALSE)/1,0)-IFERROR(VLOOKUP($B316,'Slutlig allokering kvv'!$B$2:$BX$550,MATCH(I$2,'Slutlig allokering kvv'!$B$1:$BX$1,0),FALSE)/1,0))</f>
        <v/>
      </c>
      <c r="J316" s="31" t="str">
        <f>IF($D316="","",IFERROR(VLOOKUP($B316,Kraftvärmeprod!$B$1:$BX$550,MATCH(J$2,Kraftvärmeprod!$B$1:$VX$1,0),FALSE)/1,0)-IFERROR(VLOOKUP($B316,'Slutlig allokering kvv'!$B$2:$BX$550,MATCH(J$2,'Slutlig allokering kvv'!$B$1:$BX$1,0),FALSE)/1,0))</f>
        <v/>
      </c>
      <c r="K316" s="31" t="str">
        <f>IF($D316="","",IFERROR(VLOOKUP($B316,Kraftvärmeprod!$B$1:$BX$550,MATCH(K$2,Kraftvärmeprod!$B$1:$VX$1,0),FALSE)/1,0)-IFERROR(VLOOKUP($B316,'Slutlig allokering kvv'!$B$2:$BX$550,MATCH(K$2,'Slutlig allokering kvv'!$B$1:$BX$1,0),FALSE)/1,0))</f>
        <v/>
      </c>
      <c r="L316" s="31" t="str">
        <f>IF($D316="","",IFERROR(VLOOKUP($B316,Kraftvärmeprod!$B$1:$BX$550,MATCH(L$2,Kraftvärmeprod!$B$1:$VX$1,0),FALSE)/1,0)-IFERROR(VLOOKUP($B316,'Slutlig allokering kvv'!$B$2:$BX$550,MATCH(L$2,'Slutlig allokering kvv'!$B$1:$BX$1,0),FALSE)/1,0))</f>
        <v/>
      </c>
      <c r="M316" s="31" t="str">
        <f>IF($D316="","",IFERROR(VLOOKUP($B316,Kraftvärmeprod!$B$1:$BX$550,MATCH(M$2,Kraftvärmeprod!$B$1:$VX$1,0),FALSE)/1,0)-IFERROR(VLOOKUP($B316,'Slutlig allokering kvv'!$B$2:$BX$550,MATCH(M$2,'Slutlig allokering kvv'!$B$1:$BX$1,0),FALSE)/1,0))</f>
        <v/>
      </c>
      <c r="N316" s="31" t="str">
        <f>IF($D316="","",IFERROR(VLOOKUP($B316,Kraftvärmeprod!$B$1:$BX$550,MATCH(N$2,Kraftvärmeprod!$B$1:$VX$1,0),FALSE)/1,0)-IFERROR(VLOOKUP($B316,'Slutlig allokering kvv'!$B$2:$BX$550,MATCH(N$2,'Slutlig allokering kvv'!$B$1:$BX$1,0),FALSE)/1,0))</f>
        <v/>
      </c>
      <c r="O316" s="31" t="str">
        <f>IF($D316="","",IFERROR(VLOOKUP($B316,Kraftvärmeprod!$B$1:$BX$550,MATCH(O$2,Kraftvärmeprod!$B$1:$VX$1,0),FALSE)/1,0)-IFERROR(VLOOKUP($B316,'Slutlig allokering kvv'!$B$2:$BX$550,MATCH(O$2,'Slutlig allokering kvv'!$B$1:$BX$1,0),FALSE)/1,0))</f>
        <v/>
      </c>
      <c r="P316" s="31" t="str">
        <f>IF($D316="","",IFERROR(VLOOKUP($B316,Kraftvärmeprod!$B$1:$BX$550,MATCH(P$2,Kraftvärmeprod!$B$1:$VX$1,0),FALSE)/1,0)-IFERROR(VLOOKUP($B316,'Slutlig allokering kvv'!$B$2:$BX$550,MATCH(P$2,'Slutlig allokering kvv'!$B$1:$BX$1,0),FALSE)/1,0))</f>
        <v/>
      </c>
      <c r="Q316" s="31" t="str">
        <f>IF($D316="","",IFERROR(VLOOKUP($B316,Kraftvärmeprod!$B$1:$BX$550,MATCH(Q$2,Kraftvärmeprod!$B$1:$VX$1,0),FALSE)/1,0)-IFERROR(VLOOKUP($B316,'Slutlig allokering kvv'!$B$2:$BX$550,MATCH(Q$2,'Slutlig allokering kvv'!$B$1:$BX$1,0),FALSE)/1,0))</f>
        <v/>
      </c>
      <c r="R316" s="31" t="str">
        <f>IF($D316="","",IFERROR(VLOOKUP($B316,Kraftvärmeprod!$B$1:$BX$550,MATCH(R$2,Kraftvärmeprod!$B$1:$VX$1,0),FALSE)/1,0)-IFERROR(VLOOKUP($B316,'Slutlig allokering kvv'!$B$2:$BX$550,MATCH(R$2,'Slutlig allokering kvv'!$B$1:$BX$1,0),FALSE)/1,0))</f>
        <v/>
      </c>
      <c r="S316" s="31" t="str">
        <f>IF($D316="","",IFERROR(VLOOKUP($B316,Kraftvärmeprod!$B$1:$BX$550,MATCH(S$2,Kraftvärmeprod!$B$1:$VX$1,0),FALSE)/1,0)-IFERROR(VLOOKUP($B316,'Slutlig allokering kvv'!$B$2:$BX$550,MATCH(S$2,'Slutlig allokering kvv'!$B$1:$BX$1,0),FALSE)/1,0))</f>
        <v/>
      </c>
      <c r="T316" s="31" t="str">
        <f>IF($D316="","",IFERROR(VLOOKUP($B316,Kraftvärmeprod!$B$1:$BX$550,MATCH(T$2,Kraftvärmeprod!$B$1:$VX$1,0),FALSE)/1,0)-IFERROR(VLOOKUP($B316,'Slutlig allokering kvv'!$B$2:$BX$550,MATCH(T$2,'Slutlig allokering kvv'!$B$1:$BX$1,0),FALSE)/1,0))</f>
        <v/>
      </c>
      <c r="U316" s="31" t="str">
        <f>IF($D316="","",IFERROR(VLOOKUP($B316,Kraftvärmeprod!$B$1:$BX$550,MATCH(U$2,Kraftvärmeprod!$B$1:$VX$1,0),FALSE)/1,0)-IFERROR(VLOOKUP($B316,'Slutlig allokering kvv'!$B$2:$BX$550,MATCH(U$2,'Slutlig allokering kvv'!$B$1:$BX$1,0),FALSE)/1,0))</f>
        <v/>
      </c>
      <c r="V316" s="31" t="str">
        <f>IF($D316="","",IFERROR(VLOOKUP($B316,Kraftvärmeprod!$B$1:$BX$550,MATCH(V$2,Kraftvärmeprod!$B$1:$VX$1,0),FALSE)/1,0)-IFERROR(VLOOKUP($B316,'Slutlig allokering kvv'!$B$2:$BX$550,MATCH(V$2,'Slutlig allokering kvv'!$B$1:$BX$1,0),FALSE)/1,0))</f>
        <v/>
      </c>
      <c r="W316" s="31" t="str">
        <f>IF($D316="","",IFERROR(VLOOKUP($B316,Kraftvärmeprod!$B$1:$BX$550,MATCH(W$2,Kraftvärmeprod!$B$1:$VX$1,0),FALSE)/1,0)-IFERROR(VLOOKUP($B316,'Slutlig allokering kvv'!$B$2:$BX$550,MATCH(W$2,'Slutlig allokering kvv'!$B$1:$BX$1,0),FALSE)/1,0))</f>
        <v/>
      </c>
      <c r="X316" s="31" t="str">
        <f>IF($D316="","",IFERROR(VLOOKUP($B316,Kraftvärmeprod!$B$1:$BX$550,MATCH(X$2,Kraftvärmeprod!$B$1:$VX$1,0),FALSE)/1,0)-IFERROR(VLOOKUP($B316,'Slutlig allokering kvv'!$B$2:$BX$550,MATCH(X$2,'Slutlig allokering kvv'!$B$1:$BX$1,0),FALSE)/1,0))</f>
        <v/>
      </c>
      <c r="Y316" s="31" t="str">
        <f>IF($D316="","",IFERROR(VLOOKUP($B316,Kraftvärmeprod!$B$1:$BX$550,MATCH(Y$2,Kraftvärmeprod!$B$1:$VX$1,0),FALSE)/1,0)-IFERROR(VLOOKUP($B316,'Slutlig allokering kvv'!$B$2:$BX$550,MATCH(Y$2,'Slutlig allokering kvv'!$B$1:$BX$1,0),FALSE)/1,0))</f>
        <v/>
      </c>
      <c r="Z316" s="31" t="str">
        <f>IF($D316="","",IFERROR(VLOOKUP($B316,Kraftvärmeprod!$B$1:$BX$550,MATCH(Z$2,Kraftvärmeprod!$B$1:$VX$1,0),FALSE)/1,0)-IFERROR(VLOOKUP($B316,'Slutlig allokering kvv'!$B$2:$BX$550,MATCH(Z$2,'Slutlig allokering kvv'!$B$1:$BX$1,0),FALSE)/1,0))</f>
        <v/>
      </c>
      <c r="AA316" s="31" t="str">
        <f>IF($D316="","",IFERROR(VLOOKUP($B316,Kraftvärmeprod!$B$1:$BX$550,MATCH(AA$2,Kraftvärmeprod!$B$1:$VX$1,0),FALSE)/1,0)-IFERROR(VLOOKUP($B316,'Slutlig allokering kvv'!$B$2:$BX$550,MATCH(AA$2,'Slutlig allokering kvv'!$B$1:$BX$1,0),FALSE)/1,0))</f>
        <v/>
      </c>
      <c r="AB316" s="31" t="str">
        <f>IF($D316="","",IFERROR(VLOOKUP($B316,Kraftvärmeprod!$B$1:$BX$550,MATCH(AB$2,Kraftvärmeprod!$B$1:$VX$1,0),FALSE)/1,0)-IFERROR(VLOOKUP($B316,'Slutlig allokering kvv'!$B$2:$BX$550,MATCH(AB$2,'Slutlig allokering kvv'!$B$1:$BX$1,0),FALSE)/1,0))</f>
        <v/>
      </c>
      <c r="AC316" s="31" t="str">
        <f>IF($D316="","",IFERROR(VLOOKUP($B316,Kraftvärmeprod!$B$1:$BX$550,MATCH(AC$2,Kraftvärmeprod!$B$1:$VX$1,0),FALSE)/1,0)-IFERROR(VLOOKUP($B316,'Slutlig allokering kvv'!$B$2:$BX$550,MATCH(AC$2,'Slutlig allokering kvv'!$B$1:$BX$1,0),FALSE)/1,0))</f>
        <v/>
      </c>
      <c r="AD316" s="31" t="str">
        <f>IF($D316="","",IFERROR(VLOOKUP($B316,Kraftvärmeprod!$B$1:$BX$550,MATCH(AD$2,Kraftvärmeprod!$B$1:$VX$1,0),FALSE)/1,0)-IFERROR(VLOOKUP($B316,'Slutlig allokering kvv'!$B$2:$BX$550,MATCH(AD$2,'Slutlig allokering kvv'!$B$1:$BX$1,0),FALSE)/1,0))</f>
        <v/>
      </c>
      <c r="AE316" s="31" t="str">
        <f>IF($D316="","",IFERROR(VLOOKUP($B316,Miljö!$B$1:$E$550,MATCH("Hjälpel kraftvärme (GWh)",Miljö!$B$1:$E$1,0),FALSE)/1,0)-IFERROR(VLOOKUP($B316,'Slutlig allokering kvv'!$B$2:$BX$549,MATCH(AE$2,'Slutlig allokering kvv'!$B$1:$BX$1,0),FALSE)/1,0))</f>
        <v/>
      </c>
      <c r="AI316" s="39">
        <f t="shared" si="16"/>
        <v>0</v>
      </c>
      <c r="AK316" s="31">
        <f>IFERROR(VLOOKUP($B316,'Slutlig allokering kvv'!$B$2:$AX$549,MATCH("Summa slutlig allokerad tillförd energi (utan hjälpel och rökgaskondensering):",'Slutlig allokering kvv'!$B$1:$AX$1,0),FALSE)/1,"")</f>
        <v>0</v>
      </c>
      <c r="AM316" s="31" t="str">
        <f>IFERROR(1-VLOOKUP($B316,'Slutlig allokering kvv'!$B$2:$AX$549,MATCH("Andel av bränsle i kvv som allokerats till värme, exklusive rökgaskondensering och hjälpel",'Slutlig allokering kvv'!$B$1:$AX$1,0),FALSE),"")</f>
        <v/>
      </c>
      <c r="AO316" s="31" t="str">
        <f t="shared" si="17"/>
        <v/>
      </c>
      <c r="AP316" s="31" t="str">
        <f t="shared" si="18"/>
        <v/>
      </c>
      <c r="AR316" s="32" t="str">
        <f t="shared" si="19"/>
        <v/>
      </c>
    </row>
    <row r="317" spans="1:44" s="31" customFormat="1" x14ac:dyDescent="0.45">
      <c r="A317" s="31" t="s">
        <v>221</v>
      </c>
      <c r="B317" s="31" t="s">
        <v>222</v>
      </c>
      <c r="C317" s="31">
        <f>IFERROR(VLOOKUP($B317,Kraftvärmeprod!$B$1:$AH$479,MATCH(C$2,Kraftvärmeprod!$B$1:$AG$1,0),FALSE)/1,"")</f>
        <v>141</v>
      </c>
      <c r="D317" s="31">
        <f>IFERROR(VLOOKUP($B317,Kraftvärmeprod!$B$1:$AH$479,MATCH(D$2,Kraftvärmeprod!$B$1:$AG$1,0),FALSE)/1,"")</f>
        <v>27</v>
      </c>
      <c r="F317" s="31">
        <f>IF($D317="","",IFERROR(VLOOKUP($B317,Kraftvärmeprod!$B$1:$BX$550,MATCH(F$2,Kraftvärmeprod!$B$1:$VX$1,0),FALSE)/1,0)-IFERROR(VLOOKUP($B317,'Slutlig allokering kvv'!$B$2:$BX$550,MATCH(F$2,'Slutlig allokering kvv'!$B$1:$BX$1,0),FALSE)/1,0))</f>
        <v>0</v>
      </c>
      <c r="G317" s="31">
        <f>IF($D317="","",IFERROR(VLOOKUP($B317,Kraftvärmeprod!$B$1:$BX$550,MATCH(G$2,Kraftvärmeprod!$B$1:$VX$1,0),FALSE)/1,0)-IFERROR(VLOOKUP($B317,'Slutlig allokering kvv'!$B$2:$BX$550,MATCH(G$2,'Slutlig allokering kvv'!$B$1:$BX$1,0),FALSE)/1,0))</f>
        <v>0.139596</v>
      </c>
      <c r="H317" s="31">
        <f>IF($D317="","",IFERROR(VLOOKUP($B317,Kraftvärmeprod!$B$1:$BX$550,MATCH(H$2,Kraftvärmeprod!$B$1:$VX$1,0),FALSE)/1,0)-IFERROR(VLOOKUP($B317,'Slutlig allokering kvv'!$B$2:$BX$550,MATCH(H$2,'Slutlig allokering kvv'!$B$1:$BX$1,0),FALSE)/1,0))</f>
        <v>0</v>
      </c>
      <c r="I317" s="31">
        <f>IF($D317="","",IFERROR(VLOOKUP($B317,Kraftvärmeprod!$B$1:$BX$550,MATCH(I$2,Kraftvärmeprod!$B$1:$VX$1,0),FALSE)/1,0)-IFERROR(VLOOKUP($B317,'Slutlig allokering kvv'!$B$2:$BX$550,MATCH(I$2,'Slutlig allokering kvv'!$B$1:$BX$1,0),FALSE)/1,0))</f>
        <v>0</v>
      </c>
      <c r="J317" s="31">
        <f>IF($D317="","",IFERROR(VLOOKUP($B317,Kraftvärmeprod!$B$1:$BX$550,MATCH(J$2,Kraftvärmeprod!$B$1:$VX$1,0),FALSE)/1,0)-IFERROR(VLOOKUP($B317,'Slutlig allokering kvv'!$B$2:$BX$550,MATCH(J$2,'Slutlig allokering kvv'!$B$1:$BX$1,0),FALSE)/1,0))</f>
        <v>0</v>
      </c>
      <c r="K317" s="31">
        <f>IF($D317="","",IFERROR(VLOOKUP($B317,Kraftvärmeprod!$B$1:$BX$550,MATCH(K$2,Kraftvärmeprod!$B$1:$VX$1,0),FALSE)/1,0)-IFERROR(VLOOKUP($B317,'Slutlig allokering kvv'!$B$2:$BX$550,MATCH(K$2,'Slutlig allokering kvv'!$B$1:$BX$1,0),FALSE)/1,0))</f>
        <v>0</v>
      </c>
      <c r="L317" s="31">
        <f>IF($D317="","",IFERROR(VLOOKUP($B317,Kraftvärmeprod!$B$1:$BX$550,MATCH(L$2,Kraftvärmeprod!$B$1:$VX$1,0),FALSE)/1,0)-IFERROR(VLOOKUP($B317,'Slutlig allokering kvv'!$B$2:$BX$550,MATCH(L$2,'Slutlig allokering kvv'!$B$1:$BX$1,0),FALSE)/1,0))</f>
        <v>0</v>
      </c>
      <c r="M317" s="31">
        <f>IF($D317="","",IFERROR(VLOOKUP($B317,Kraftvärmeprod!$B$1:$BX$550,MATCH(M$2,Kraftvärmeprod!$B$1:$VX$1,0),FALSE)/1,0)-IFERROR(VLOOKUP($B317,'Slutlig allokering kvv'!$B$2:$BX$550,MATCH(M$2,'Slutlig allokering kvv'!$B$1:$BX$1,0),FALSE)/1,0))</f>
        <v>0</v>
      </c>
      <c r="N317" s="31">
        <f>IF($D317="","",IFERROR(VLOOKUP($B317,Kraftvärmeprod!$B$1:$BX$550,MATCH(N$2,Kraftvärmeprod!$B$1:$VX$1,0),FALSE)/1,0)-IFERROR(VLOOKUP($B317,'Slutlig allokering kvv'!$B$2:$BX$550,MATCH(N$2,'Slutlig allokering kvv'!$B$1:$BX$1,0),FALSE)/1,0))</f>
        <v>0</v>
      </c>
      <c r="O317" s="31">
        <f>IF($D317="","",IFERROR(VLOOKUP($B317,Kraftvärmeprod!$B$1:$BX$550,MATCH(O$2,Kraftvärmeprod!$B$1:$VX$1,0),FALSE)/1,0)-IFERROR(VLOOKUP($B317,'Slutlig allokering kvv'!$B$2:$BX$550,MATCH(O$2,'Slutlig allokering kvv'!$B$1:$BX$1,0),FALSE)/1,0))</f>
        <v>0</v>
      </c>
      <c r="P317" s="31">
        <f>IF($D317="","",IFERROR(VLOOKUP($B317,Kraftvärmeprod!$B$1:$BX$550,MATCH(P$2,Kraftvärmeprod!$B$1:$VX$1,0),FALSE)/1,0)-IFERROR(VLOOKUP($B317,'Slutlig allokering kvv'!$B$2:$BX$550,MATCH(P$2,'Slutlig allokering kvv'!$B$1:$BX$1,0),FALSE)/1,0))</f>
        <v>0</v>
      </c>
      <c r="Q317" s="31">
        <f>IF($D317="","",IFERROR(VLOOKUP($B317,Kraftvärmeprod!$B$1:$BX$550,MATCH(Q$2,Kraftvärmeprod!$B$1:$VX$1,0),FALSE)/1,0)-IFERROR(VLOOKUP($B317,'Slutlig allokering kvv'!$B$2:$BX$550,MATCH(Q$2,'Slutlig allokering kvv'!$B$1:$BX$1,0),FALSE)/1,0))</f>
        <v>0</v>
      </c>
      <c r="R317" s="31">
        <f>IF($D317="","",IFERROR(VLOOKUP($B317,Kraftvärmeprod!$B$1:$BX$550,MATCH(R$2,Kraftvärmeprod!$B$1:$VX$1,0),FALSE)/1,0)-IFERROR(VLOOKUP($B317,'Slutlig allokering kvv'!$B$2:$BX$550,MATCH(R$2,'Slutlig allokering kvv'!$B$1:$BX$1,0),FALSE)/1,0))</f>
        <v>0</v>
      </c>
      <c r="S317" s="31">
        <f>IF($D317="","",IFERROR(VLOOKUP($B317,Kraftvärmeprod!$B$1:$BX$550,MATCH(S$2,Kraftvärmeprod!$B$1:$VX$1,0),FALSE)/1,0)-IFERROR(VLOOKUP($B317,'Slutlig allokering kvv'!$B$2:$BX$550,MATCH(S$2,'Slutlig allokering kvv'!$B$1:$BX$1,0),FALSE)/1,0))</f>
        <v>0</v>
      </c>
      <c r="T317" s="31">
        <f>IF($D317="","",IFERROR(VLOOKUP($B317,Kraftvärmeprod!$B$1:$BX$550,MATCH(T$2,Kraftvärmeprod!$B$1:$VX$1,0),FALSE)/1,0)-IFERROR(VLOOKUP($B317,'Slutlig allokering kvv'!$B$2:$BX$550,MATCH(T$2,'Slutlig allokering kvv'!$B$1:$BX$1,0),FALSE)/1,0))</f>
        <v>0</v>
      </c>
      <c r="U317" s="31">
        <f>IF($D317="","",IFERROR(VLOOKUP($B317,Kraftvärmeprod!$B$1:$BX$550,MATCH(U$2,Kraftvärmeprod!$B$1:$VX$1,0),FALSE)/1,0)-IFERROR(VLOOKUP($B317,'Slutlig allokering kvv'!$B$2:$BX$550,MATCH(U$2,'Slutlig allokering kvv'!$B$1:$BX$1,0),FALSE)/1,0))</f>
        <v>0</v>
      </c>
      <c r="V317" s="31">
        <f>IF($D317="","",IFERROR(VLOOKUP($B317,Kraftvärmeprod!$B$1:$BX$550,MATCH(V$2,Kraftvärmeprod!$B$1:$VX$1,0),FALSE)/1,0)-IFERROR(VLOOKUP($B317,'Slutlig allokering kvv'!$B$2:$BX$550,MATCH(V$2,'Slutlig allokering kvv'!$B$1:$BX$1,0),FALSE)/1,0))</f>
        <v>49.935000000000002</v>
      </c>
      <c r="W317" s="31">
        <f>IF($D317="","",IFERROR(VLOOKUP($B317,Kraftvärmeprod!$B$1:$BX$550,MATCH(W$2,Kraftvärmeprod!$B$1:$VX$1,0),FALSE)/1,0)-IFERROR(VLOOKUP($B317,'Slutlig allokering kvv'!$B$2:$BX$550,MATCH(W$2,'Slutlig allokering kvv'!$B$1:$BX$1,0),FALSE)/1,0))</f>
        <v>0</v>
      </c>
      <c r="X317" s="31">
        <f>IF($D317="","",IFERROR(VLOOKUP($B317,Kraftvärmeprod!$B$1:$BX$550,MATCH(X$2,Kraftvärmeprod!$B$1:$VX$1,0),FALSE)/1,0)-IFERROR(VLOOKUP($B317,'Slutlig allokering kvv'!$B$2:$BX$550,MATCH(X$2,'Slutlig allokering kvv'!$B$1:$BX$1,0),FALSE)/1,0))</f>
        <v>0</v>
      </c>
      <c r="Y317" s="31">
        <f>IF($D317="","",IFERROR(VLOOKUP($B317,Kraftvärmeprod!$B$1:$BX$550,MATCH(Y$2,Kraftvärmeprod!$B$1:$VX$1,0),FALSE)/1,0)-IFERROR(VLOOKUP($B317,'Slutlig allokering kvv'!$B$2:$BX$550,MATCH(Y$2,'Slutlig allokering kvv'!$B$1:$BX$1,0),FALSE)/1,0))</f>
        <v>0</v>
      </c>
      <c r="Z317" s="31">
        <f>IF($D317="","",IFERROR(VLOOKUP($B317,Kraftvärmeprod!$B$1:$BX$550,MATCH(Z$2,Kraftvärmeprod!$B$1:$VX$1,0),FALSE)/1,0)-IFERROR(VLOOKUP($B317,'Slutlig allokering kvv'!$B$2:$BX$550,MATCH(Z$2,'Slutlig allokering kvv'!$B$1:$BX$1,0),FALSE)/1,0))</f>
        <v>0</v>
      </c>
      <c r="AA317" s="31">
        <f>IF($D317="","",IFERROR(VLOOKUP($B317,Kraftvärmeprod!$B$1:$BX$550,MATCH(AA$2,Kraftvärmeprod!$B$1:$VX$1,0),FALSE)/1,0)-IFERROR(VLOOKUP($B317,'Slutlig allokering kvv'!$B$2:$BX$550,MATCH(AA$2,'Slutlig allokering kvv'!$B$1:$BX$1,0),FALSE)/1,0))</f>
        <v>0</v>
      </c>
      <c r="AB317" s="31">
        <f>IF($D317="","",IFERROR(VLOOKUP($B317,Kraftvärmeprod!$B$1:$BX$550,MATCH(AB$2,Kraftvärmeprod!$B$1:$VX$1,0),FALSE)/1,0)-IFERROR(VLOOKUP($B317,'Slutlig allokering kvv'!$B$2:$BX$550,MATCH(AB$2,'Slutlig allokering kvv'!$B$1:$BX$1,0),FALSE)/1,0))</f>
        <v>0</v>
      </c>
      <c r="AC317" s="31">
        <f>IF($D317="","",IFERROR(VLOOKUP($B317,Kraftvärmeprod!$B$1:$BX$550,MATCH(AC$2,Kraftvärmeprod!$B$1:$VX$1,0),FALSE)/1,0)-IFERROR(VLOOKUP($B317,'Slutlig allokering kvv'!$B$2:$BX$550,MATCH(AC$2,'Slutlig allokering kvv'!$B$1:$BX$1,0),FALSE)/1,0))</f>
        <v>0</v>
      </c>
      <c r="AD317" s="31">
        <f>IF($D317="","",IFERROR(VLOOKUP($B317,Kraftvärmeprod!$B$1:$BX$550,MATCH(AD$2,Kraftvärmeprod!$B$1:$VX$1,0),FALSE)/1,0)-IFERROR(VLOOKUP($B317,'Slutlig allokering kvv'!$B$2:$BX$550,MATCH(AD$2,'Slutlig allokering kvv'!$B$1:$BX$1,0),FALSE)/1,0))</f>
        <v>0</v>
      </c>
      <c r="AE317" s="31">
        <f>IF($D317="","",IFERROR(VLOOKUP($B317,Miljö!$B$1:$E$550,MATCH("Hjälpel kraftvärme (GWh)",Miljö!$B$1:$E$1,0),FALSE)/1,0)-IFERROR(VLOOKUP($B317,'Slutlig allokering kvv'!$B$2:$BX$549,MATCH(AE$2,'Slutlig allokering kvv'!$B$1:$BX$1,0),FALSE)/1,0))</f>
        <v>1.0647100000000003</v>
      </c>
      <c r="AI317" s="39">
        <f t="shared" si="16"/>
        <v>50.074596</v>
      </c>
      <c r="AK317" s="31">
        <f>IFERROR(VLOOKUP($B317,'Slutlig allokering kvv'!$B$2:$AX$549,MATCH("Summa slutlig allokerad tillförd energi (utan hjälpel och rökgaskondensering):",'Slutlig allokering kvv'!$B$1:$AX$1,0),FALSE)/1,"")</f>
        <v>100.42540400000001</v>
      </c>
      <c r="AM317" s="31">
        <f>IFERROR(1-VLOOKUP($B317,'Slutlig allokering kvv'!$B$2:$AX$549,MATCH("Andel av bränsle i kvv som allokerats till värme, exklusive rökgaskondensering och hjälpel",'Slutlig allokering kvv'!$B$1:$AX$1,0),FALSE),"")</f>
        <v>0.33272156810631215</v>
      </c>
      <c r="AO317" s="31">
        <f t="shared" si="17"/>
        <v>0.33272156810631232</v>
      </c>
      <c r="AP317" s="31">
        <f t="shared" si="18"/>
        <v>-1.6653345369377348E-16</v>
      </c>
      <c r="AR317" s="32">
        <f t="shared" si="19"/>
        <v>0.52796962086266874</v>
      </c>
    </row>
    <row r="318" spans="1:44" s="31" customFormat="1" x14ac:dyDescent="0.45">
      <c r="A318" s="31" t="s">
        <v>221</v>
      </c>
      <c r="B318" s="31" t="s">
        <v>220</v>
      </c>
      <c r="C318" s="31" t="str">
        <f>IFERROR(VLOOKUP($B318,Kraftvärmeprod!$B$1:$AH$479,MATCH(C$2,Kraftvärmeprod!$B$1:$AG$1,0),FALSE)/1,"")</f>
        <v/>
      </c>
      <c r="D318" s="31" t="str">
        <f>IFERROR(VLOOKUP($B318,Kraftvärmeprod!$B$1:$AH$479,MATCH(D$2,Kraftvärmeprod!$B$1:$AG$1,0),FALSE)/1,"")</f>
        <v/>
      </c>
      <c r="F318" s="31" t="str">
        <f>IF($D318="","",IFERROR(VLOOKUP($B318,Kraftvärmeprod!$B$1:$BX$550,MATCH(F$2,Kraftvärmeprod!$B$1:$VX$1,0),FALSE)/1,0)-IFERROR(VLOOKUP($B318,'Slutlig allokering kvv'!$B$2:$BX$550,MATCH(F$2,'Slutlig allokering kvv'!$B$1:$BX$1,0),FALSE)/1,0))</f>
        <v/>
      </c>
      <c r="G318" s="31" t="str">
        <f>IF($D318="","",IFERROR(VLOOKUP($B318,Kraftvärmeprod!$B$1:$BX$550,MATCH(G$2,Kraftvärmeprod!$B$1:$VX$1,0),FALSE)/1,0)-IFERROR(VLOOKUP($B318,'Slutlig allokering kvv'!$B$2:$BX$550,MATCH(G$2,'Slutlig allokering kvv'!$B$1:$BX$1,0),FALSE)/1,0))</f>
        <v/>
      </c>
      <c r="H318" s="31" t="str">
        <f>IF($D318="","",IFERROR(VLOOKUP($B318,Kraftvärmeprod!$B$1:$BX$550,MATCH(H$2,Kraftvärmeprod!$B$1:$VX$1,0),FALSE)/1,0)-IFERROR(VLOOKUP($B318,'Slutlig allokering kvv'!$B$2:$BX$550,MATCH(H$2,'Slutlig allokering kvv'!$B$1:$BX$1,0),FALSE)/1,0))</f>
        <v/>
      </c>
      <c r="I318" s="31" t="str">
        <f>IF($D318="","",IFERROR(VLOOKUP($B318,Kraftvärmeprod!$B$1:$BX$550,MATCH(I$2,Kraftvärmeprod!$B$1:$VX$1,0),FALSE)/1,0)-IFERROR(VLOOKUP($B318,'Slutlig allokering kvv'!$B$2:$BX$550,MATCH(I$2,'Slutlig allokering kvv'!$B$1:$BX$1,0),FALSE)/1,0))</f>
        <v/>
      </c>
      <c r="J318" s="31" t="str">
        <f>IF($D318="","",IFERROR(VLOOKUP($B318,Kraftvärmeprod!$B$1:$BX$550,MATCH(J$2,Kraftvärmeprod!$B$1:$VX$1,0),FALSE)/1,0)-IFERROR(VLOOKUP($B318,'Slutlig allokering kvv'!$B$2:$BX$550,MATCH(J$2,'Slutlig allokering kvv'!$B$1:$BX$1,0),FALSE)/1,0))</f>
        <v/>
      </c>
      <c r="K318" s="31" t="str">
        <f>IF($D318="","",IFERROR(VLOOKUP($B318,Kraftvärmeprod!$B$1:$BX$550,MATCH(K$2,Kraftvärmeprod!$B$1:$VX$1,0),FALSE)/1,0)-IFERROR(VLOOKUP($B318,'Slutlig allokering kvv'!$B$2:$BX$550,MATCH(K$2,'Slutlig allokering kvv'!$B$1:$BX$1,0),FALSE)/1,0))</f>
        <v/>
      </c>
      <c r="L318" s="31" t="str">
        <f>IF($D318="","",IFERROR(VLOOKUP($B318,Kraftvärmeprod!$B$1:$BX$550,MATCH(L$2,Kraftvärmeprod!$B$1:$VX$1,0),FALSE)/1,0)-IFERROR(VLOOKUP($B318,'Slutlig allokering kvv'!$B$2:$BX$550,MATCH(L$2,'Slutlig allokering kvv'!$B$1:$BX$1,0),FALSE)/1,0))</f>
        <v/>
      </c>
      <c r="M318" s="31" t="str">
        <f>IF($D318="","",IFERROR(VLOOKUP($B318,Kraftvärmeprod!$B$1:$BX$550,MATCH(M$2,Kraftvärmeprod!$B$1:$VX$1,0),FALSE)/1,0)-IFERROR(VLOOKUP($B318,'Slutlig allokering kvv'!$B$2:$BX$550,MATCH(M$2,'Slutlig allokering kvv'!$B$1:$BX$1,0),FALSE)/1,0))</f>
        <v/>
      </c>
      <c r="N318" s="31" t="str">
        <f>IF($D318="","",IFERROR(VLOOKUP($B318,Kraftvärmeprod!$B$1:$BX$550,MATCH(N$2,Kraftvärmeprod!$B$1:$VX$1,0),FALSE)/1,0)-IFERROR(VLOOKUP($B318,'Slutlig allokering kvv'!$B$2:$BX$550,MATCH(N$2,'Slutlig allokering kvv'!$B$1:$BX$1,0),FALSE)/1,0))</f>
        <v/>
      </c>
      <c r="O318" s="31" t="str">
        <f>IF($D318="","",IFERROR(VLOOKUP($B318,Kraftvärmeprod!$B$1:$BX$550,MATCH(O$2,Kraftvärmeprod!$B$1:$VX$1,0),FALSE)/1,0)-IFERROR(VLOOKUP($B318,'Slutlig allokering kvv'!$B$2:$BX$550,MATCH(O$2,'Slutlig allokering kvv'!$B$1:$BX$1,0),FALSE)/1,0))</f>
        <v/>
      </c>
      <c r="P318" s="31" t="str">
        <f>IF($D318="","",IFERROR(VLOOKUP($B318,Kraftvärmeprod!$B$1:$BX$550,MATCH(P$2,Kraftvärmeprod!$B$1:$VX$1,0),FALSE)/1,0)-IFERROR(VLOOKUP($B318,'Slutlig allokering kvv'!$B$2:$BX$550,MATCH(P$2,'Slutlig allokering kvv'!$B$1:$BX$1,0),FALSE)/1,0))</f>
        <v/>
      </c>
      <c r="Q318" s="31" t="str">
        <f>IF($D318="","",IFERROR(VLOOKUP($B318,Kraftvärmeprod!$B$1:$BX$550,MATCH(Q$2,Kraftvärmeprod!$B$1:$VX$1,0),FALSE)/1,0)-IFERROR(VLOOKUP($B318,'Slutlig allokering kvv'!$B$2:$BX$550,MATCH(Q$2,'Slutlig allokering kvv'!$B$1:$BX$1,0),FALSE)/1,0))</f>
        <v/>
      </c>
      <c r="R318" s="31" t="str">
        <f>IF($D318="","",IFERROR(VLOOKUP($B318,Kraftvärmeprod!$B$1:$BX$550,MATCH(R$2,Kraftvärmeprod!$B$1:$VX$1,0),FALSE)/1,0)-IFERROR(VLOOKUP($B318,'Slutlig allokering kvv'!$B$2:$BX$550,MATCH(R$2,'Slutlig allokering kvv'!$B$1:$BX$1,0),FALSE)/1,0))</f>
        <v/>
      </c>
      <c r="S318" s="31" t="str">
        <f>IF($D318="","",IFERROR(VLOOKUP($B318,Kraftvärmeprod!$B$1:$BX$550,MATCH(S$2,Kraftvärmeprod!$B$1:$VX$1,0),FALSE)/1,0)-IFERROR(VLOOKUP($B318,'Slutlig allokering kvv'!$B$2:$BX$550,MATCH(S$2,'Slutlig allokering kvv'!$B$1:$BX$1,0),FALSE)/1,0))</f>
        <v/>
      </c>
      <c r="T318" s="31" t="str">
        <f>IF($D318="","",IFERROR(VLOOKUP($B318,Kraftvärmeprod!$B$1:$BX$550,MATCH(T$2,Kraftvärmeprod!$B$1:$VX$1,0),FALSE)/1,0)-IFERROR(VLOOKUP($B318,'Slutlig allokering kvv'!$B$2:$BX$550,MATCH(T$2,'Slutlig allokering kvv'!$B$1:$BX$1,0),FALSE)/1,0))</f>
        <v/>
      </c>
      <c r="U318" s="31" t="str">
        <f>IF($D318="","",IFERROR(VLOOKUP($B318,Kraftvärmeprod!$B$1:$BX$550,MATCH(U$2,Kraftvärmeprod!$B$1:$VX$1,0),FALSE)/1,0)-IFERROR(VLOOKUP($B318,'Slutlig allokering kvv'!$B$2:$BX$550,MATCH(U$2,'Slutlig allokering kvv'!$B$1:$BX$1,0),FALSE)/1,0))</f>
        <v/>
      </c>
      <c r="V318" s="31" t="str">
        <f>IF($D318="","",IFERROR(VLOOKUP($B318,Kraftvärmeprod!$B$1:$BX$550,MATCH(V$2,Kraftvärmeprod!$B$1:$VX$1,0),FALSE)/1,0)-IFERROR(VLOOKUP($B318,'Slutlig allokering kvv'!$B$2:$BX$550,MATCH(V$2,'Slutlig allokering kvv'!$B$1:$BX$1,0),FALSE)/1,0))</f>
        <v/>
      </c>
      <c r="W318" s="31" t="str">
        <f>IF($D318="","",IFERROR(VLOOKUP($B318,Kraftvärmeprod!$B$1:$BX$550,MATCH(W$2,Kraftvärmeprod!$B$1:$VX$1,0),FALSE)/1,0)-IFERROR(VLOOKUP($B318,'Slutlig allokering kvv'!$B$2:$BX$550,MATCH(W$2,'Slutlig allokering kvv'!$B$1:$BX$1,0),FALSE)/1,0))</f>
        <v/>
      </c>
      <c r="X318" s="31" t="str">
        <f>IF($D318="","",IFERROR(VLOOKUP($B318,Kraftvärmeprod!$B$1:$BX$550,MATCH(X$2,Kraftvärmeprod!$B$1:$VX$1,0),FALSE)/1,0)-IFERROR(VLOOKUP($B318,'Slutlig allokering kvv'!$B$2:$BX$550,MATCH(X$2,'Slutlig allokering kvv'!$B$1:$BX$1,0),FALSE)/1,0))</f>
        <v/>
      </c>
      <c r="Y318" s="31" t="str">
        <f>IF($D318="","",IFERROR(VLOOKUP($B318,Kraftvärmeprod!$B$1:$BX$550,MATCH(Y$2,Kraftvärmeprod!$B$1:$VX$1,0),FALSE)/1,0)-IFERROR(VLOOKUP($B318,'Slutlig allokering kvv'!$B$2:$BX$550,MATCH(Y$2,'Slutlig allokering kvv'!$B$1:$BX$1,0),FALSE)/1,0))</f>
        <v/>
      </c>
      <c r="Z318" s="31" t="str">
        <f>IF($D318="","",IFERROR(VLOOKUP($B318,Kraftvärmeprod!$B$1:$BX$550,MATCH(Z$2,Kraftvärmeprod!$B$1:$VX$1,0),FALSE)/1,0)-IFERROR(VLOOKUP($B318,'Slutlig allokering kvv'!$B$2:$BX$550,MATCH(Z$2,'Slutlig allokering kvv'!$B$1:$BX$1,0),FALSE)/1,0))</f>
        <v/>
      </c>
      <c r="AA318" s="31" t="str">
        <f>IF($D318="","",IFERROR(VLOOKUP($B318,Kraftvärmeprod!$B$1:$BX$550,MATCH(AA$2,Kraftvärmeprod!$B$1:$VX$1,0),FALSE)/1,0)-IFERROR(VLOOKUP($B318,'Slutlig allokering kvv'!$B$2:$BX$550,MATCH(AA$2,'Slutlig allokering kvv'!$B$1:$BX$1,0),FALSE)/1,0))</f>
        <v/>
      </c>
      <c r="AB318" s="31" t="str">
        <f>IF($D318="","",IFERROR(VLOOKUP($B318,Kraftvärmeprod!$B$1:$BX$550,MATCH(AB$2,Kraftvärmeprod!$B$1:$VX$1,0),FALSE)/1,0)-IFERROR(VLOOKUP($B318,'Slutlig allokering kvv'!$B$2:$BX$550,MATCH(AB$2,'Slutlig allokering kvv'!$B$1:$BX$1,0),FALSE)/1,0))</f>
        <v/>
      </c>
      <c r="AC318" s="31" t="str">
        <f>IF($D318="","",IFERROR(VLOOKUP($B318,Kraftvärmeprod!$B$1:$BX$550,MATCH(AC$2,Kraftvärmeprod!$B$1:$VX$1,0),FALSE)/1,0)-IFERROR(VLOOKUP($B318,'Slutlig allokering kvv'!$B$2:$BX$550,MATCH(AC$2,'Slutlig allokering kvv'!$B$1:$BX$1,0),FALSE)/1,0))</f>
        <v/>
      </c>
      <c r="AD318" s="31" t="str">
        <f>IF($D318="","",IFERROR(VLOOKUP($B318,Kraftvärmeprod!$B$1:$BX$550,MATCH(AD$2,Kraftvärmeprod!$B$1:$VX$1,0),FALSE)/1,0)-IFERROR(VLOOKUP($B318,'Slutlig allokering kvv'!$B$2:$BX$550,MATCH(AD$2,'Slutlig allokering kvv'!$B$1:$BX$1,0),FALSE)/1,0))</f>
        <v/>
      </c>
      <c r="AE318" s="31" t="str">
        <f>IF($D318="","",IFERROR(VLOOKUP($B318,Miljö!$B$1:$E$550,MATCH("Hjälpel kraftvärme (GWh)",Miljö!$B$1:$E$1,0),FALSE)/1,0)-IFERROR(VLOOKUP($B318,'Slutlig allokering kvv'!$B$2:$BX$549,MATCH(AE$2,'Slutlig allokering kvv'!$B$1:$BX$1,0),FALSE)/1,0))</f>
        <v/>
      </c>
      <c r="AI318" s="39">
        <f t="shared" si="16"/>
        <v>0</v>
      </c>
      <c r="AK318" s="31">
        <f>IFERROR(VLOOKUP($B318,'Slutlig allokering kvv'!$B$2:$AX$549,MATCH("Summa slutlig allokerad tillförd energi (utan hjälpel och rökgaskondensering):",'Slutlig allokering kvv'!$B$1:$AX$1,0),FALSE)/1,"")</f>
        <v>0</v>
      </c>
      <c r="AM318" s="31" t="str">
        <f>IFERROR(1-VLOOKUP($B318,'Slutlig allokering kvv'!$B$2:$AX$549,MATCH("Andel av bränsle i kvv som allokerats till värme, exklusive rökgaskondensering och hjälpel",'Slutlig allokering kvv'!$B$1:$AX$1,0),FALSE),"")</f>
        <v/>
      </c>
      <c r="AO318" s="31" t="str">
        <f t="shared" si="17"/>
        <v/>
      </c>
      <c r="AP318" s="31" t="str">
        <f t="shared" si="18"/>
        <v/>
      </c>
      <c r="AR318" s="32" t="str">
        <f t="shared" si="19"/>
        <v/>
      </c>
    </row>
    <row r="319" spans="1:44" s="31" customFormat="1" x14ac:dyDescent="0.45">
      <c r="A319" s="31" t="s">
        <v>48</v>
      </c>
      <c r="B319" s="31" t="s">
        <v>219</v>
      </c>
      <c r="C319" s="31" t="str">
        <f>IFERROR(VLOOKUP($B319,Kraftvärmeprod!$B$1:$AH$479,MATCH(C$2,Kraftvärmeprod!$B$1:$AG$1,0),FALSE)/1,"")</f>
        <v/>
      </c>
      <c r="D319" s="31" t="str">
        <f>IFERROR(VLOOKUP($B319,Kraftvärmeprod!$B$1:$AH$479,MATCH(D$2,Kraftvärmeprod!$B$1:$AG$1,0),FALSE)/1,"")</f>
        <v/>
      </c>
      <c r="F319" s="31" t="str">
        <f>IF($D319="","",IFERROR(VLOOKUP($B319,Kraftvärmeprod!$B$1:$BX$550,MATCH(F$2,Kraftvärmeprod!$B$1:$VX$1,0),FALSE)/1,0)-IFERROR(VLOOKUP($B319,'Slutlig allokering kvv'!$B$2:$BX$550,MATCH(F$2,'Slutlig allokering kvv'!$B$1:$BX$1,0),FALSE)/1,0))</f>
        <v/>
      </c>
      <c r="G319" s="31" t="str">
        <f>IF($D319="","",IFERROR(VLOOKUP($B319,Kraftvärmeprod!$B$1:$BX$550,MATCH(G$2,Kraftvärmeprod!$B$1:$VX$1,0),FALSE)/1,0)-IFERROR(VLOOKUP($B319,'Slutlig allokering kvv'!$B$2:$BX$550,MATCH(G$2,'Slutlig allokering kvv'!$B$1:$BX$1,0),FALSE)/1,0))</f>
        <v/>
      </c>
      <c r="H319" s="31" t="str">
        <f>IF($D319="","",IFERROR(VLOOKUP($B319,Kraftvärmeprod!$B$1:$BX$550,MATCH(H$2,Kraftvärmeprod!$B$1:$VX$1,0),FALSE)/1,0)-IFERROR(VLOOKUP($B319,'Slutlig allokering kvv'!$B$2:$BX$550,MATCH(H$2,'Slutlig allokering kvv'!$B$1:$BX$1,0),FALSE)/1,0))</f>
        <v/>
      </c>
      <c r="I319" s="31" t="str">
        <f>IF($D319="","",IFERROR(VLOOKUP($B319,Kraftvärmeprod!$B$1:$BX$550,MATCH(I$2,Kraftvärmeprod!$B$1:$VX$1,0),FALSE)/1,0)-IFERROR(VLOOKUP($B319,'Slutlig allokering kvv'!$B$2:$BX$550,MATCH(I$2,'Slutlig allokering kvv'!$B$1:$BX$1,0),FALSE)/1,0))</f>
        <v/>
      </c>
      <c r="J319" s="31" t="str">
        <f>IF($D319="","",IFERROR(VLOOKUP($B319,Kraftvärmeprod!$B$1:$BX$550,MATCH(J$2,Kraftvärmeprod!$B$1:$VX$1,0),FALSE)/1,0)-IFERROR(VLOOKUP($B319,'Slutlig allokering kvv'!$B$2:$BX$550,MATCH(J$2,'Slutlig allokering kvv'!$B$1:$BX$1,0),FALSE)/1,0))</f>
        <v/>
      </c>
      <c r="K319" s="31" t="str">
        <f>IF($D319="","",IFERROR(VLOOKUP($B319,Kraftvärmeprod!$B$1:$BX$550,MATCH(K$2,Kraftvärmeprod!$B$1:$VX$1,0),FALSE)/1,0)-IFERROR(VLOOKUP($B319,'Slutlig allokering kvv'!$B$2:$BX$550,MATCH(K$2,'Slutlig allokering kvv'!$B$1:$BX$1,0),FALSE)/1,0))</f>
        <v/>
      </c>
      <c r="L319" s="31" t="str">
        <f>IF($D319="","",IFERROR(VLOOKUP($B319,Kraftvärmeprod!$B$1:$BX$550,MATCH(L$2,Kraftvärmeprod!$B$1:$VX$1,0),FALSE)/1,0)-IFERROR(VLOOKUP($B319,'Slutlig allokering kvv'!$B$2:$BX$550,MATCH(L$2,'Slutlig allokering kvv'!$B$1:$BX$1,0),FALSE)/1,0))</f>
        <v/>
      </c>
      <c r="M319" s="31" t="str">
        <f>IF($D319="","",IFERROR(VLOOKUP($B319,Kraftvärmeprod!$B$1:$BX$550,MATCH(M$2,Kraftvärmeprod!$B$1:$VX$1,0),FALSE)/1,0)-IFERROR(VLOOKUP($B319,'Slutlig allokering kvv'!$B$2:$BX$550,MATCH(M$2,'Slutlig allokering kvv'!$B$1:$BX$1,0),FALSE)/1,0))</f>
        <v/>
      </c>
      <c r="N319" s="31" t="str">
        <f>IF($D319="","",IFERROR(VLOOKUP($B319,Kraftvärmeprod!$B$1:$BX$550,MATCH(N$2,Kraftvärmeprod!$B$1:$VX$1,0),FALSE)/1,0)-IFERROR(VLOOKUP($B319,'Slutlig allokering kvv'!$B$2:$BX$550,MATCH(N$2,'Slutlig allokering kvv'!$B$1:$BX$1,0),FALSE)/1,0))</f>
        <v/>
      </c>
      <c r="O319" s="31" t="str">
        <f>IF($D319="","",IFERROR(VLOOKUP($B319,Kraftvärmeprod!$B$1:$BX$550,MATCH(O$2,Kraftvärmeprod!$B$1:$VX$1,0),FALSE)/1,0)-IFERROR(VLOOKUP($B319,'Slutlig allokering kvv'!$B$2:$BX$550,MATCH(O$2,'Slutlig allokering kvv'!$B$1:$BX$1,0),FALSE)/1,0))</f>
        <v/>
      </c>
      <c r="P319" s="31" t="str">
        <f>IF($D319="","",IFERROR(VLOOKUP($B319,Kraftvärmeprod!$B$1:$BX$550,MATCH(P$2,Kraftvärmeprod!$B$1:$VX$1,0),FALSE)/1,0)-IFERROR(VLOOKUP($B319,'Slutlig allokering kvv'!$B$2:$BX$550,MATCH(P$2,'Slutlig allokering kvv'!$B$1:$BX$1,0),FALSE)/1,0))</f>
        <v/>
      </c>
      <c r="Q319" s="31" t="str">
        <f>IF($D319="","",IFERROR(VLOOKUP($B319,Kraftvärmeprod!$B$1:$BX$550,MATCH(Q$2,Kraftvärmeprod!$B$1:$VX$1,0),FALSE)/1,0)-IFERROR(VLOOKUP($B319,'Slutlig allokering kvv'!$B$2:$BX$550,MATCH(Q$2,'Slutlig allokering kvv'!$B$1:$BX$1,0),FALSE)/1,0))</f>
        <v/>
      </c>
      <c r="R319" s="31" t="str">
        <f>IF($D319="","",IFERROR(VLOOKUP($B319,Kraftvärmeprod!$B$1:$BX$550,MATCH(R$2,Kraftvärmeprod!$B$1:$VX$1,0),FALSE)/1,0)-IFERROR(VLOOKUP($B319,'Slutlig allokering kvv'!$B$2:$BX$550,MATCH(R$2,'Slutlig allokering kvv'!$B$1:$BX$1,0),FALSE)/1,0))</f>
        <v/>
      </c>
      <c r="S319" s="31" t="str">
        <f>IF($D319="","",IFERROR(VLOOKUP($B319,Kraftvärmeprod!$B$1:$BX$550,MATCH(S$2,Kraftvärmeprod!$B$1:$VX$1,0),FALSE)/1,0)-IFERROR(VLOOKUP($B319,'Slutlig allokering kvv'!$B$2:$BX$550,MATCH(S$2,'Slutlig allokering kvv'!$B$1:$BX$1,0),FALSE)/1,0))</f>
        <v/>
      </c>
      <c r="T319" s="31" t="str">
        <f>IF($D319="","",IFERROR(VLOOKUP($B319,Kraftvärmeprod!$B$1:$BX$550,MATCH(T$2,Kraftvärmeprod!$B$1:$VX$1,0),FALSE)/1,0)-IFERROR(VLOOKUP($B319,'Slutlig allokering kvv'!$B$2:$BX$550,MATCH(T$2,'Slutlig allokering kvv'!$B$1:$BX$1,0),FALSE)/1,0))</f>
        <v/>
      </c>
      <c r="U319" s="31" t="str">
        <f>IF($D319="","",IFERROR(VLOOKUP($B319,Kraftvärmeprod!$B$1:$BX$550,MATCH(U$2,Kraftvärmeprod!$B$1:$VX$1,0),FALSE)/1,0)-IFERROR(VLOOKUP($B319,'Slutlig allokering kvv'!$B$2:$BX$550,MATCH(U$2,'Slutlig allokering kvv'!$B$1:$BX$1,0),FALSE)/1,0))</f>
        <v/>
      </c>
      <c r="V319" s="31" t="str">
        <f>IF($D319="","",IFERROR(VLOOKUP($B319,Kraftvärmeprod!$B$1:$BX$550,MATCH(V$2,Kraftvärmeprod!$B$1:$VX$1,0),FALSE)/1,0)-IFERROR(VLOOKUP($B319,'Slutlig allokering kvv'!$B$2:$BX$550,MATCH(V$2,'Slutlig allokering kvv'!$B$1:$BX$1,0),FALSE)/1,0))</f>
        <v/>
      </c>
      <c r="W319" s="31" t="str">
        <f>IF($D319="","",IFERROR(VLOOKUP($B319,Kraftvärmeprod!$B$1:$BX$550,MATCH(W$2,Kraftvärmeprod!$B$1:$VX$1,0),FALSE)/1,0)-IFERROR(VLOOKUP($B319,'Slutlig allokering kvv'!$B$2:$BX$550,MATCH(W$2,'Slutlig allokering kvv'!$B$1:$BX$1,0),FALSE)/1,0))</f>
        <v/>
      </c>
      <c r="X319" s="31" t="str">
        <f>IF($D319="","",IFERROR(VLOOKUP($B319,Kraftvärmeprod!$B$1:$BX$550,MATCH(X$2,Kraftvärmeprod!$B$1:$VX$1,0),FALSE)/1,0)-IFERROR(VLOOKUP($B319,'Slutlig allokering kvv'!$B$2:$BX$550,MATCH(X$2,'Slutlig allokering kvv'!$B$1:$BX$1,0),FALSE)/1,0))</f>
        <v/>
      </c>
      <c r="Y319" s="31" t="str">
        <f>IF($D319="","",IFERROR(VLOOKUP($B319,Kraftvärmeprod!$B$1:$BX$550,MATCH(Y$2,Kraftvärmeprod!$B$1:$VX$1,0),FALSE)/1,0)-IFERROR(VLOOKUP($B319,'Slutlig allokering kvv'!$B$2:$BX$550,MATCH(Y$2,'Slutlig allokering kvv'!$B$1:$BX$1,0),FALSE)/1,0))</f>
        <v/>
      </c>
      <c r="Z319" s="31" t="str">
        <f>IF($D319="","",IFERROR(VLOOKUP($B319,Kraftvärmeprod!$B$1:$BX$550,MATCH(Z$2,Kraftvärmeprod!$B$1:$VX$1,0),FALSE)/1,0)-IFERROR(VLOOKUP($B319,'Slutlig allokering kvv'!$B$2:$BX$550,MATCH(Z$2,'Slutlig allokering kvv'!$B$1:$BX$1,0),FALSE)/1,0))</f>
        <v/>
      </c>
      <c r="AA319" s="31" t="str">
        <f>IF($D319="","",IFERROR(VLOOKUP($B319,Kraftvärmeprod!$B$1:$BX$550,MATCH(AA$2,Kraftvärmeprod!$B$1:$VX$1,0),FALSE)/1,0)-IFERROR(VLOOKUP($B319,'Slutlig allokering kvv'!$B$2:$BX$550,MATCH(AA$2,'Slutlig allokering kvv'!$B$1:$BX$1,0),FALSE)/1,0))</f>
        <v/>
      </c>
      <c r="AB319" s="31" t="str">
        <f>IF($D319="","",IFERROR(VLOOKUP($B319,Kraftvärmeprod!$B$1:$BX$550,MATCH(AB$2,Kraftvärmeprod!$B$1:$VX$1,0),FALSE)/1,0)-IFERROR(VLOOKUP($B319,'Slutlig allokering kvv'!$B$2:$BX$550,MATCH(AB$2,'Slutlig allokering kvv'!$B$1:$BX$1,0),FALSE)/1,0))</f>
        <v/>
      </c>
      <c r="AC319" s="31" t="str">
        <f>IF($D319="","",IFERROR(VLOOKUP($B319,Kraftvärmeprod!$B$1:$BX$550,MATCH(AC$2,Kraftvärmeprod!$B$1:$VX$1,0),FALSE)/1,0)-IFERROR(VLOOKUP($B319,'Slutlig allokering kvv'!$B$2:$BX$550,MATCH(AC$2,'Slutlig allokering kvv'!$B$1:$BX$1,0),FALSE)/1,0))</f>
        <v/>
      </c>
      <c r="AD319" s="31" t="str">
        <f>IF($D319="","",IFERROR(VLOOKUP($B319,Kraftvärmeprod!$B$1:$BX$550,MATCH(AD$2,Kraftvärmeprod!$B$1:$VX$1,0),FALSE)/1,0)-IFERROR(VLOOKUP($B319,'Slutlig allokering kvv'!$B$2:$BX$550,MATCH(AD$2,'Slutlig allokering kvv'!$B$1:$BX$1,0),FALSE)/1,0))</f>
        <v/>
      </c>
      <c r="AE319" s="31" t="str">
        <f>IF($D319="","",IFERROR(VLOOKUP($B319,Miljö!$B$1:$E$550,MATCH("Hjälpel kraftvärme (GWh)",Miljö!$B$1:$E$1,0),FALSE)/1,0)-IFERROR(VLOOKUP($B319,'Slutlig allokering kvv'!$B$2:$BX$549,MATCH(AE$2,'Slutlig allokering kvv'!$B$1:$BX$1,0),FALSE)/1,0))</f>
        <v/>
      </c>
      <c r="AI319" s="39">
        <f t="shared" si="16"/>
        <v>0</v>
      </c>
      <c r="AK319" s="31">
        <f>IFERROR(VLOOKUP($B319,'Slutlig allokering kvv'!$B$2:$AX$549,MATCH("Summa slutlig allokerad tillförd energi (utan hjälpel och rökgaskondensering):",'Slutlig allokering kvv'!$B$1:$AX$1,0),FALSE)/1,"")</f>
        <v>0</v>
      </c>
      <c r="AM319" s="31" t="str">
        <f>IFERROR(1-VLOOKUP($B319,'Slutlig allokering kvv'!$B$2:$AX$549,MATCH("Andel av bränsle i kvv som allokerats till värme, exklusive rökgaskondensering och hjälpel",'Slutlig allokering kvv'!$B$1:$AX$1,0),FALSE),"")</f>
        <v/>
      </c>
      <c r="AO319" s="31" t="str">
        <f t="shared" si="17"/>
        <v/>
      </c>
      <c r="AP319" s="31" t="str">
        <f t="shared" si="18"/>
        <v/>
      </c>
      <c r="AR319" s="32" t="str">
        <f t="shared" si="19"/>
        <v/>
      </c>
    </row>
    <row r="320" spans="1:44" s="31" customFormat="1" x14ac:dyDescent="0.45">
      <c r="A320" s="31" t="s">
        <v>48</v>
      </c>
      <c r="B320" s="31" t="s">
        <v>218</v>
      </c>
      <c r="C320" s="31" t="str">
        <f>IFERROR(VLOOKUP($B320,Kraftvärmeprod!$B$1:$AH$479,MATCH(C$2,Kraftvärmeprod!$B$1:$AG$1,0),FALSE)/1,"")</f>
        <v/>
      </c>
      <c r="D320" s="31" t="str">
        <f>IFERROR(VLOOKUP($B320,Kraftvärmeprod!$B$1:$AH$479,MATCH(D$2,Kraftvärmeprod!$B$1:$AG$1,0),FALSE)/1,"")</f>
        <v/>
      </c>
      <c r="F320" s="31" t="str">
        <f>IF($D320="","",IFERROR(VLOOKUP($B320,Kraftvärmeprod!$B$1:$BX$550,MATCH(F$2,Kraftvärmeprod!$B$1:$VX$1,0),FALSE)/1,0)-IFERROR(VLOOKUP($B320,'Slutlig allokering kvv'!$B$2:$BX$550,MATCH(F$2,'Slutlig allokering kvv'!$B$1:$BX$1,0),FALSE)/1,0))</f>
        <v/>
      </c>
      <c r="G320" s="31" t="str">
        <f>IF($D320="","",IFERROR(VLOOKUP($B320,Kraftvärmeprod!$B$1:$BX$550,MATCH(G$2,Kraftvärmeprod!$B$1:$VX$1,0),FALSE)/1,0)-IFERROR(VLOOKUP($B320,'Slutlig allokering kvv'!$B$2:$BX$550,MATCH(G$2,'Slutlig allokering kvv'!$B$1:$BX$1,0),FALSE)/1,0))</f>
        <v/>
      </c>
      <c r="H320" s="31" t="str">
        <f>IF($D320="","",IFERROR(VLOOKUP($B320,Kraftvärmeprod!$B$1:$BX$550,MATCH(H$2,Kraftvärmeprod!$B$1:$VX$1,0),FALSE)/1,0)-IFERROR(VLOOKUP($B320,'Slutlig allokering kvv'!$B$2:$BX$550,MATCH(H$2,'Slutlig allokering kvv'!$B$1:$BX$1,0),FALSE)/1,0))</f>
        <v/>
      </c>
      <c r="I320" s="31" t="str">
        <f>IF($D320="","",IFERROR(VLOOKUP($B320,Kraftvärmeprod!$B$1:$BX$550,MATCH(I$2,Kraftvärmeprod!$B$1:$VX$1,0),FALSE)/1,0)-IFERROR(VLOOKUP($B320,'Slutlig allokering kvv'!$B$2:$BX$550,MATCH(I$2,'Slutlig allokering kvv'!$B$1:$BX$1,0),FALSE)/1,0))</f>
        <v/>
      </c>
      <c r="J320" s="31" t="str">
        <f>IF($D320="","",IFERROR(VLOOKUP($B320,Kraftvärmeprod!$B$1:$BX$550,MATCH(J$2,Kraftvärmeprod!$B$1:$VX$1,0),FALSE)/1,0)-IFERROR(VLOOKUP($B320,'Slutlig allokering kvv'!$B$2:$BX$550,MATCH(J$2,'Slutlig allokering kvv'!$B$1:$BX$1,0),FALSE)/1,0))</f>
        <v/>
      </c>
      <c r="K320" s="31" t="str">
        <f>IF($D320="","",IFERROR(VLOOKUP($B320,Kraftvärmeprod!$B$1:$BX$550,MATCH(K$2,Kraftvärmeprod!$B$1:$VX$1,0),FALSE)/1,0)-IFERROR(VLOOKUP($B320,'Slutlig allokering kvv'!$B$2:$BX$550,MATCH(K$2,'Slutlig allokering kvv'!$B$1:$BX$1,0),FALSE)/1,0))</f>
        <v/>
      </c>
      <c r="L320" s="31" t="str">
        <f>IF($D320="","",IFERROR(VLOOKUP($B320,Kraftvärmeprod!$B$1:$BX$550,MATCH(L$2,Kraftvärmeprod!$B$1:$VX$1,0),FALSE)/1,0)-IFERROR(VLOOKUP($B320,'Slutlig allokering kvv'!$B$2:$BX$550,MATCH(L$2,'Slutlig allokering kvv'!$B$1:$BX$1,0),FALSE)/1,0))</f>
        <v/>
      </c>
      <c r="M320" s="31" t="str">
        <f>IF($D320="","",IFERROR(VLOOKUP($B320,Kraftvärmeprod!$B$1:$BX$550,MATCH(M$2,Kraftvärmeprod!$B$1:$VX$1,0),FALSE)/1,0)-IFERROR(VLOOKUP($B320,'Slutlig allokering kvv'!$B$2:$BX$550,MATCH(M$2,'Slutlig allokering kvv'!$B$1:$BX$1,0),FALSE)/1,0))</f>
        <v/>
      </c>
      <c r="N320" s="31" t="str">
        <f>IF($D320="","",IFERROR(VLOOKUP($B320,Kraftvärmeprod!$B$1:$BX$550,MATCH(N$2,Kraftvärmeprod!$B$1:$VX$1,0),FALSE)/1,0)-IFERROR(VLOOKUP($B320,'Slutlig allokering kvv'!$B$2:$BX$550,MATCH(N$2,'Slutlig allokering kvv'!$B$1:$BX$1,0),FALSE)/1,0))</f>
        <v/>
      </c>
      <c r="O320" s="31" t="str">
        <f>IF($D320="","",IFERROR(VLOOKUP($B320,Kraftvärmeprod!$B$1:$BX$550,MATCH(O$2,Kraftvärmeprod!$B$1:$VX$1,0),FALSE)/1,0)-IFERROR(VLOOKUP($B320,'Slutlig allokering kvv'!$B$2:$BX$550,MATCH(O$2,'Slutlig allokering kvv'!$B$1:$BX$1,0),FALSE)/1,0))</f>
        <v/>
      </c>
      <c r="P320" s="31" t="str">
        <f>IF($D320="","",IFERROR(VLOOKUP($B320,Kraftvärmeprod!$B$1:$BX$550,MATCH(P$2,Kraftvärmeprod!$B$1:$VX$1,0),FALSE)/1,0)-IFERROR(VLOOKUP($B320,'Slutlig allokering kvv'!$B$2:$BX$550,MATCH(P$2,'Slutlig allokering kvv'!$B$1:$BX$1,0),FALSE)/1,0))</f>
        <v/>
      </c>
      <c r="Q320" s="31" t="str">
        <f>IF($D320="","",IFERROR(VLOOKUP($B320,Kraftvärmeprod!$B$1:$BX$550,MATCH(Q$2,Kraftvärmeprod!$B$1:$VX$1,0),FALSE)/1,0)-IFERROR(VLOOKUP($B320,'Slutlig allokering kvv'!$B$2:$BX$550,MATCH(Q$2,'Slutlig allokering kvv'!$B$1:$BX$1,0),FALSE)/1,0))</f>
        <v/>
      </c>
      <c r="R320" s="31" t="str">
        <f>IF($D320="","",IFERROR(VLOOKUP($B320,Kraftvärmeprod!$B$1:$BX$550,MATCH(R$2,Kraftvärmeprod!$B$1:$VX$1,0),FALSE)/1,0)-IFERROR(VLOOKUP($B320,'Slutlig allokering kvv'!$B$2:$BX$550,MATCH(R$2,'Slutlig allokering kvv'!$B$1:$BX$1,0),FALSE)/1,0))</f>
        <v/>
      </c>
      <c r="S320" s="31" t="str">
        <f>IF($D320="","",IFERROR(VLOOKUP($B320,Kraftvärmeprod!$B$1:$BX$550,MATCH(S$2,Kraftvärmeprod!$B$1:$VX$1,0),FALSE)/1,0)-IFERROR(VLOOKUP($B320,'Slutlig allokering kvv'!$B$2:$BX$550,MATCH(S$2,'Slutlig allokering kvv'!$B$1:$BX$1,0),FALSE)/1,0))</f>
        <v/>
      </c>
      <c r="T320" s="31" t="str">
        <f>IF($D320="","",IFERROR(VLOOKUP($B320,Kraftvärmeprod!$B$1:$BX$550,MATCH(T$2,Kraftvärmeprod!$B$1:$VX$1,0),FALSE)/1,0)-IFERROR(VLOOKUP($B320,'Slutlig allokering kvv'!$B$2:$BX$550,MATCH(T$2,'Slutlig allokering kvv'!$B$1:$BX$1,0),FALSE)/1,0))</f>
        <v/>
      </c>
      <c r="U320" s="31" t="str">
        <f>IF($D320="","",IFERROR(VLOOKUP($B320,Kraftvärmeprod!$B$1:$BX$550,MATCH(U$2,Kraftvärmeprod!$B$1:$VX$1,0),FALSE)/1,0)-IFERROR(VLOOKUP($B320,'Slutlig allokering kvv'!$B$2:$BX$550,MATCH(U$2,'Slutlig allokering kvv'!$B$1:$BX$1,0),FALSE)/1,0))</f>
        <v/>
      </c>
      <c r="V320" s="31" t="str">
        <f>IF($D320="","",IFERROR(VLOOKUP($B320,Kraftvärmeprod!$B$1:$BX$550,MATCH(V$2,Kraftvärmeprod!$B$1:$VX$1,0),FALSE)/1,0)-IFERROR(VLOOKUP($B320,'Slutlig allokering kvv'!$B$2:$BX$550,MATCH(V$2,'Slutlig allokering kvv'!$B$1:$BX$1,0),FALSE)/1,0))</f>
        <v/>
      </c>
      <c r="W320" s="31" t="str">
        <f>IF($D320="","",IFERROR(VLOOKUP($B320,Kraftvärmeprod!$B$1:$BX$550,MATCH(W$2,Kraftvärmeprod!$B$1:$VX$1,0),FALSE)/1,0)-IFERROR(VLOOKUP($B320,'Slutlig allokering kvv'!$B$2:$BX$550,MATCH(W$2,'Slutlig allokering kvv'!$B$1:$BX$1,0),FALSE)/1,0))</f>
        <v/>
      </c>
      <c r="X320" s="31" t="str">
        <f>IF($D320="","",IFERROR(VLOOKUP($B320,Kraftvärmeprod!$B$1:$BX$550,MATCH(X$2,Kraftvärmeprod!$B$1:$VX$1,0),FALSE)/1,0)-IFERROR(VLOOKUP($B320,'Slutlig allokering kvv'!$B$2:$BX$550,MATCH(X$2,'Slutlig allokering kvv'!$B$1:$BX$1,0),FALSE)/1,0))</f>
        <v/>
      </c>
      <c r="Y320" s="31" t="str">
        <f>IF($D320="","",IFERROR(VLOOKUP($B320,Kraftvärmeprod!$B$1:$BX$550,MATCH(Y$2,Kraftvärmeprod!$B$1:$VX$1,0),FALSE)/1,0)-IFERROR(VLOOKUP($B320,'Slutlig allokering kvv'!$B$2:$BX$550,MATCH(Y$2,'Slutlig allokering kvv'!$B$1:$BX$1,0),FALSE)/1,0))</f>
        <v/>
      </c>
      <c r="Z320" s="31" t="str">
        <f>IF($D320="","",IFERROR(VLOOKUP($B320,Kraftvärmeprod!$B$1:$BX$550,MATCH(Z$2,Kraftvärmeprod!$B$1:$VX$1,0),FALSE)/1,0)-IFERROR(VLOOKUP($B320,'Slutlig allokering kvv'!$B$2:$BX$550,MATCH(Z$2,'Slutlig allokering kvv'!$B$1:$BX$1,0),FALSE)/1,0))</f>
        <v/>
      </c>
      <c r="AA320" s="31" t="str">
        <f>IF($D320="","",IFERROR(VLOOKUP($B320,Kraftvärmeprod!$B$1:$BX$550,MATCH(AA$2,Kraftvärmeprod!$B$1:$VX$1,0),FALSE)/1,0)-IFERROR(VLOOKUP($B320,'Slutlig allokering kvv'!$B$2:$BX$550,MATCH(AA$2,'Slutlig allokering kvv'!$B$1:$BX$1,0),FALSE)/1,0))</f>
        <v/>
      </c>
      <c r="AB320" s="31" t="str">
        <f>IF($D320="","",IFERROR(VLOOKUP($B320,Kraftvärmeprod!$B$1:$BX$550,MATCH(AB$2,Kraftvärmeprod!$B$1:$VX$1,0),FALSE)/1,0)-IFERROR(VLOOKUP($B320,'Slutlig allokering kvv'!$B$2:$BX$550,MATCH(AB$2,'Slutlig allokering kvv'!$B$1:$BX$1,0),FALSE)/1,0))</f>
        <v/>
      </c>
      <c r="AC320" s="31" t="str">
        <f>IF($D320="","",IFERROR(VLOOKUP($B320,Kraftvärmeprod!$B$1:$BX$550,MATCH(AC$2,Kraftvärmeprod!$B$1:$VX$1,0),FALSE)/1,0)-IFERROR(VLOOKUP($B320,'Slutlig allokering kvv'!$B$2:$BX$550,MATCH(AC$2,'Slutlig allokering kvv'!$B$1:$BX$1,0),FALSE)/1,0))</f>
        <v/>
      </c>
      <c r="AD320" s="31" t="str">
        <f>IF($D320="","",IFERROR(VLOOKUP($B320,Kraftvärmeprod!$B$1:$BX$550,MATCH(AD$2,Kraftvärmeprod!$B$1:$VX$1,0),FALSE)/1,0)-IFERROR(VLOOKUP($B320,'Slutlig allokering kvv'!$B$2:$BX$550,MATCH(AD$2,'Slutlig allokering kvv'!$B$1:$BX$1,0),FALSE)/1,0))</f>
        <v/>
      </c>
      <c r="AE320" s="31" t="str">
        <f>IF($D320="","",IFERROR(VLOOKUP($B320,Miljö!$B$1:$E$550,MATCH("Hjälpel kraftvärme (GWh)",Miljö!$B$1:$E$1,0),FALSE)/1,0)-IFERROR(VLOOKUP($B320,'Slutlig allokering kvv'!$B$2:$BX$549,MATCH(AE$2,'Slutlig allokering kvv'!$B$1:$BX$1,0),FALSE)/1,0))</f>
        <v/>
      </c>
      <c r="AI320" s="39">
        <f t="shared" si="16"/>
        <v>0</v>
      </c>
      <c r="AK320" s="31">
        <f>IFERROR(VLOOKUP($B320,'Slutlig allokering kvv'!$B$2:$AX$549,MATCH("Summa slutlig allokerad tillförd energi (utan hjälpel och rökgaskondensering):",'Slutlig allokering kvv'!$B$1:$AX$1,0),FALSE)/1,"")</f>
        <v>0</v>
      </c>
      <c r="AM320" s="31" t="str">
        <f>IFERROR(1-VLOOKUP($B320,'Slutlig allokering kvv'!$B$2:$AX$549,MATCH("Andel av bränsle i kvv som allokerats till värme, exklusive rökgaskondensering och hjälpel",'Slutlig allokering kvv'!$B$1:$AX$1,0),FALSE),"")</f>
        <v/>
      </c>
      <c r="AO320" s="31" t="str">
        <f t="shared" si="17"/>
        <v/>
      </c>
      <c r="AP320" s="31" t="str">
        <f t="shared" si="18"/>
        <v/>
      </c>
      <c r="AR320" s="32" t="str">
        <f t="shared" si="19"/>
        <v/>
      </c>
    </row>
    <row r="321" spans="1:44" s="31" customFormat="1" x14ac:dyDescent="0.45">
      <c r="A321" s="31" t="s">
        <v>48</v>
      </c>
      <c r="B321" s="31" t="s">
        <v>217</v>
      </c>
      <c r="C321" s="31" t="str">
        <f>IFERROR(VLOOKUP($B321,Kraftvärmeprod!$B$1:$AH$479,MATCH(C$2,Kraftvärmeprod!$B$1:$AG$1,0),FALSE)/1,"")</f>
        <v/>
      </c>
      <c r="D321" s="31" t="str">
        <f>IFERROR(VLOOKUP($B321,Kraftvärmeprod!$B$1:$AH$479,MATCH(D$2,Kraftvärmeprod!$B$1:$AG$1,0),FALSE)/1,"")</f>
        <v/>
      </c>
      <c r="F321" s="31" t="str">
        <f>IF($D321="","",IFERROR(VLOOKUP($B321,Kraftvärmeprod!$B$1:$BX$550,MATCH(F$2,Kraftvärmeprod!$B$1:$VX$1,0),FALSE)/1,0)-IFERROR(VLOOKUP($B321,'Slutlig allokering kvv'!$B$2:$BX$550,MATCH(F$2,'Slutlig allokering kvv'!$B$1:$BX$1,0),FALSE)/1,0))</f>
        <v/>
      </c>
      <c r="G321" s="31" t="str">
        <f>IF($D321="","",IFERROR(VLOOKUP($B321,Kraftvärmeprod!$B$1:$BX$550,MATCH(G$2,Kraftvärmeprod!$B$1:$VX$1,0),FALSE)/1,0)-IFERROR(VLOOKUP($B321,'Slutlig allokering kvv'!$B$2:$BX$550,MATCH(G$2,'Slutlig allokering kvv'!$B$1:$BX$1,0),FALSE)/1,0))</f>
        <v/>
      </c>
      <c r="H321" s="31" t="str">
        <f>IF($D321="","",IFERROR(VLOOKUP($B321,Kraftvärmeprod!$B$1:$BX$550,MATCH(H$2,Kraftvärmeprod!$B$1:$VX$1,0),FALSE)/1,0)-IFERROR(VLOOKUP($B321,'Slutlig allokering kvv'!$B$2:$BX$550,MATCH(H$2,'Slutlig allokering kvv'!$B$1:$BX$1,0),FALSE)/1,0))</f>
        <v/>
      </c>
      <c r="I321" s="31" t="str">
        <f>IF($D321="","",IFERROR(VLOOKUP($B321,Kraftvärmeprod!$B$1:$BX$550,MATCH(I$2,Kraftvärmeprod!$B$1:$VX$1,0),FALSE)/1,0)-IFERROR(VLOOKUP($B321,'Slutlig allokering kvv'!$B$2:$BX$550,MATCH(I$2,'Slutlig allokering kvv'!$B$1:$BX$1,0),FALSE)/1,0))</f>
        <v/>
      </c>
      <c r="J321" s="31" t="str">
        <f>IF($D321="","",IFERROR(VLOOKUP($B321,Kraftvärmeprod!$B$1:$BX$550,MATCH(J$2,Kraftvärmeprod!$B$1:$VX$1,0),FALSE)/1,0)-IFERROR(VLOOKUP($B321,'Slutlig allokering kvv'!$B$2:$BX$550,MATCH(J$2,'Slutlig allokering kvv'!$B$1:$BX$1,0),FALSE)/1,0))</f>
        <v/>
      </c>
      <c r="K321" s="31" t="str">
        <f>IF($D321="","",IFERROR(VLOOKUP($B321,Kraftvärmeprod!$B$1:$BX$550,MATCH(K$2,Kraftvärmeprod!$B$1:$VX$1,0),FALSE)/1,0)-IFERROR(VLOOKUP($B321,'Slutlig allokering kvv'!$B$2:$BX$550,MATCH(K$2,'Slutlig allokering kvv'!$B$1:$BX$1,0),FALSE)/1,0))</f>
        <v/>
      </c>
      <c r="L321" s="31" t="str">
        <f>IF($D321="","",IFERROR(VLOOKUP($B321,Kraftvärmeprod!$B$1:$BX$550,MATCH(L$2,Kraftvärmeprod!$B$1:$VX$1,0),FALSE)/1,0)-IFERROR(VLOOKUP($B321,'Slutlig allokering kvv'!$B$2:$BX$550,MATCH(L$2,'Slutlig allokering kvv'!$B$1:$BX$1,0),FALSE)/1,0))</f>
        <v/>
      </c>
      <c r="M321" s="31" t="str">
        <f>IF($D321="","",IFERROR(VLOOKUP($B321,Kraftvärmeprod!$B$1:$BX$550,MATCH(M$2,Kraftvärmeprod!$B$1:$VX$1,0),FALSE)/1,0)-IFERROR(VLOOKUP($B321,'Slutlig allokering kvv'!$B$2:$BX$550,MATCH(M$2,'Slutlig allokering kvv'!$B$1:$BX$1,0),FALSE)/1,0))</f>
        <v/>
      </c>
      <c r="N321" s="31" t="str">
        <f>IF($D321="","",IFERROR(VLOOKUP($B321,Kraftvärmeprod!$B$1:$BX$550,MATCH(N$2,Kraftvärmeprod!$B$1:$VX$1,0),FALSE)/1,0)-IFERROR(VLOOKUP($B321,'Slutlig allokering kvv'!$B$2:$BX$550,MATCH(N$2,'Slutlig allokering kvv'!$B$1:$BX$1,0),FALSE)/1,0))</f>
        <v/>
      </c>
      <c r="O321" s="31" t="str">
        <f>IF($D321="","",IFERROR(VLOOKUP($B321,Kraftvärmeprod!$B$1:$BX$550,MATCH(O$2,Kraftvärmeprod!$B$1:$VX$1,0),FALSE)/1,0)-IFERROR(VLOOKUP($B321,'Slutlig allokering kvv'!$B$2:$BX$550,MATCH(O$2,'Slutlig allokering kvv'!$B$1:$BX$1,0),FALSE)/1,0))</f>
        <v/>
      </c>
      <c r="P321" s="31" t="str">
        <f>IF($D321="","",IFERROR(VLOOKUP($B321,Kraftvärmeprod!$B$1:$BX$550,MATCH(P$2,Kraftvärmeprod!$B$1:$VX$1,0),FALSE)/1,0)-IFERROR(VLOOKUP($B321,'Slutlig allokering kvv'!$B$2:$BX$550,MATCH(P$2,'Slutlig allokering kvv'!$B$1:$BX$1,0),FALSE)/1,0))</f>
        <v/>
      </c>
      <c r="Q321" s="31" t="str">
        <f>IF($D321="","",IFERROR(VLOOKUP($B321,Kraftvärmeprod!$B$1:$BX$550,MATCH(Q$2,Kraftvärmeprod!$B$1:$VX$1,0),FALSE)/1,0)-IFERROR(VLOOKUP($B321,'Slutlig allokering kvv'!$B$2:$BX$550,MATCH(Q$2,'Slutlig allokering kvv'!$B$1:$BX$1,0),FALSE)/1,0))</f>
        <v/>
      </c>
      <c r="R321" s="31" t="str">
        <f>IF($D321="","",IFERROR(VLOOKUP($B321,Kraftvärmeprod!$B$1:$BX$550,MATCH(R$2,Kraftvärmeprod!$B$1:$VX$1,0),FALSE)/1,0)-IFERROR(VLOOKUP($B321,'Slutlig allokering kvv'!$B$2:$BX$550,MATCH(R$2,'Slutlig allokering kvv'!$B$1:$BX$1,0),FALSE)/1,0))</f>
        <v/>
      </c>
      <c r="S321" s="31" t="str">
        <f>IF($D321="","",IFERROR(VLOOKUP($B321,Kraftvärmeprod!$B$1:$BX$550,MATCH(S$2,Kraftvärmeprod!$B$1:$VX$1,0),FALSE)/1,0)-IFERROR(VLOOKUP($B321,'Slutlig allokering kvv'!$B$2:$BX$550,MATCH(S$2,'Slutlig allokering kvv'!$B$1:$BX$1,0),FALSE)/1,0))</f>
        <v/>
      </c>
      <c r="T321" s="31" t="str">
        <f>IF($D321="","",IFERROR(VLOOKUP($B321,Kraftvärmeprod!$B$1:$BX$550,MATCH(T$2,Kraftvärmeprod!$B$1:$VX$1,0),FALSE)/1,0)-IFERROR(VLOOKUP($B321,'Slutlig allokering kvv'!$B$2:$BX$550,MATCH(T$2,'Slutlig allokering kvv'!$B$1:$BX$1,0),FALSE)/1,0))</f>
        <v/>
      </c>
      <c r="U321" s="31" t="str">
        <f>IF($D321="","",IFERROR(VLOOKUP($B321,Kraftvärmeprod!$B$1:$BX$550,MATCH(U$2,Kraftvärmeprod!$B$1:$VX$1,0),FALSE)/1,0)-IFERROR(VLOOKUP($B321,'Slutlig allokering kvv'!$B$2:$BX$550,MATCH(U$2,'Slutlig allokering kvv'!$B$1:$BX$1,0),FALSE)/1,0))</f>
        <v/>
      </c>
      <c r="V321" s="31" t="str">
        <f>IF($D321="","",IFERROR(VLOOKUP($B321,Kraftvärmeprod!$B$1:$BX$550,MATCH(V$2,Kraftvärmeprod!$B$1:$VX$1,0),FALSE)/1,0)-IFERROR(VLOOKUP($B321,'Slutlig allokering kvv'!$B$2:$BX$550,MATCH(V$2,'Slutlig allokering kvv'!$B$1:$BX$1,0),FALSE)/1,0))</f>
        <v/>
      </c>
      <c r="W321" s="31" t="str">
        <f>IF($D321="","",IFERROR(VLOOKUP($B321,Kraftvärmeprod!$B$1:$BX$550,MATCH(W$2,Kraftvärmeprod!$B$1:$VX$1,0),FALSE)/1,0)-IFERROR(VLOOKUP($B321,'Slutlig allokering kvv'!$B$2:$BX$550,MATCH(W$2,'Slutlig allokering kvv'!$B$1:$BX$1,0),FALSE)/1,0))</f>
        <v/>
      </c>
      <c r="X321" s="31" t="str">
        <f>IF($D321="","",IFERROR(VLOOKUP($B321,Kraftvärmeprod!$B$1:$BX$550,MATCH(X$2,Kraftvärmeprod!$B$1:$VX$1,0),FALSE)/1,0)-IFERROR(VLOOKUP($B321,'Slutlig allokering kvv'!$B$2:$BX$550,MATCH(X$2,'Slutlig allokering kvv'!$B$1:$BX$1,0),FALSE)/1,0))</f>
        <v/>
      </c>
      <c r="Y321" s="31" t="str">
        <f>IF($D321="","",IFERROR(VLOOKUP($B321,Kraftvärmeprod!$B$1:$BX$550,MATCH(Y$2,Kraftvärmeprod!$B$1:$VX$1,0),FALSE)/1,0)-IFERROR(VLOOKUP($B321,'Slutlig allokering kvv'!$B$2:$BX$550,MATCH(Y$2,'Slutlig allokering kvv'!$B$1:$BX$1,0),FALSE)/1,0))</f>
        <v/>
      </c>
      <c r="Z321" s="31" t="str">
        <f>IF($D321="","",IFERROR(VLOOKUP($B321,Kraftvärmeprod!$B$1:$BX$550,MATCH(Z$2,Kraftvärmeprod!$B$1:$VX$1,0),FALSE)/1,0)-IFERROR(VLOOKUP($B321,'Slutlig allokering kvv'!$B$2:$BX$550,MATCH(Z$2,'Slutlig allokering kvv'!$B$1:$BX$1,0),FALSE)/1,0))</f>
        <v/>
      </c>
      <c r="AA321" s="31" t="str">
        <f>IF($D321="","",IFERROR(VLOOKUP($B321,Kraftvärmeprod!$B$1:$BX$550,MATCH(AA$2,Kraftvärmeprod!$B$1:$VX$1,0),FALSE)/1,0)-IFERROR(VLOOKUP($B321,'Slutlig allokering kvv'!$B$2:$BX$550,MATCH(AA$2,'Slutlig allokering kvv'!$B$1:$BX$1,0),FALSE)/1,0))</f>
        <v/>
      </c>
      <c r="AB321" s="31" t="str">
        <f>IF($D321="","",IFERROR(VLOOKUP($B321,Kraftvärmeprod!$B$1:$BX$550,MATCH(AB$2,Kraftvärmeprod!$B$1:$VX$1,0),FALSE)/1,0)-IFERROR(VLOOKUP($B321,'Slutlig allokering kvv'!$B$2:$BX$550,MATCH(AB$2,'Slutlig allokering kvv'!$B$1:$BX$1,0),FALSE)/1,0))</f>
        <v/>
      </c>
      <c r="AC321" s="31" t="str">
        <f>IF($D321="","",IFERROR(VLOOKUP($B321,Kraftvärmeprod!$B$1:$BX$550,MATCH(AC$2,Kraftvärmeprod!$B$1:$VX$1,0),FALSE)/1,0)-IFERROR(VLOOKUP($B321,'Slutlig allokering kvv'!$B$2:$BX$550,MATCH(AC$2,'Slutlig allokering kvv'!$B$1:$BX$1,0),FALSE)/1,0))</f>
        <v/>
      </c>
      <c r="AD321" s="31" t="str">
        <f>IF($D321="","",IFERROR(VLOOKUP($B321,Kraftvärmeprod!$B$1:$BX$550,MATCH(AD$2,Kraftvärmeprod!$B$1:$VX$1,0),FALSE)/1,0)-IFERROR(VLOOKUP($B321,'Slutlig allokering kvv'!$B$2:$BX$550,MATCH(AD$2,'Slutlig allokering kvv'!$B$1:$BX$1,0),FALSE)/1,0))</f>
        <v/>
      </c>
      <c r="AE321" s="31" t="str">
        <f>IF($D321="","",IFERROR(VLOOKUP($B321,Miljö!$B$1:$E$550,MATCH("Hjälpel kraftvärme (GWh)",Miljö!$B$1:$E$1,0),FALSE)/1,0)-IFERROR(VLOOKUP($B321,'Slutlig allokering kvv'!$B$2:$BX$549,MATCH(AE$2,'Slutlig allokering kvv'!$B$1:$BX$1,0),FALSE)/1,0))</f>
        <v/>
      </c>
      <c r="AI321" s="39">
        <f t="shared" si="16"/>
        <v>0</v>
      </c>
      <c r="AK321" s="31">
        <f>IFERROR(VLOOKUP($B321,'Slutlig allokering kvv'!$B$2:$AX$549,MATCH("Summa slutlig allokerad tillförd energi (utan hjälpel och rökgaskondensering):",'Slutlig allokering kvv'!$B$1:$AX$1,0),FALSE)/1,"")</f>
        <v>0</v>
      </c>
      <c r="AM321" s="31" t="str">
        <f>IFERROR(1-VLOOKUP($B321,'Slutlig allokering kvv'!$B$2:$AX$549,MATCH("Andel av bränsle i kvv som allokerats till värme, exklusive rökgaskondensering och hjälpel",'Slutlig allokering kvv'!$B$1:$AX$1,0),FALSE),"")</f>
        <v/>
      </c>
      <c r="AO321" s="31" t="str">
        <f t="shared" si="17"/>
        <v/>
      </c>
      <c r="AP321" s="31" t="str">
        <f t="shared" si="18"/>
        <v/>
      </c>
      <c r="AR321" s="32" t="str">
        <f t="shared" si="19"/>
        <v/>
      </c>
    </row>
    <row r="322" spans="1:44" s="31" customFormat="1" x14ac:dyDescent="0.45">
      <c r="A322" s="31" t="s">
        <v>48</v>
      </c>
      <c r="B322" s="31" t="s">
        <v>216</v>
      </c>
      <c r="C322" s="31" t="str">
        <f>IFERROR(VLOOKUP($B322,Kraftvärmeprod!$B$1:$AH$479,MATCH(C$2,Kraftvärmeprod!$B$1:$AG$1,0),FALSE)/1,"")</f>
        <v/>
      </c>
      <c r="D322" s="31" t="str">
        <f>IFERROR(VLOOKUP($B322,Kraftvärmeprod!$B$1:$AH$479,MATCH(D$2,Kraftvärmeprod!$B$1:$AG$1,0),FALSE)/1,"")</f>
        <v/>
      </c>
      <c r="F322" s="31" t="str">
        <f>IF($D322="","",IFERROR(VLOOKUP($B322,Kraftvärmeprod!$B$1:$BX$550,MATCH(F$2,Kraftvärmeprod!$B$1:$VX$1,0),FALSE)/1,0)-IFERROR(VLOOKUP($B322,'Slutlig allokering kvv'!$B$2:$BX$550,MATCH(F$2,'Slutlig allokering kvv'!$B$1:$BX$1,0),FALSE)/1,0))</f>
        <v/>
      </c>
      <c r="G322" s="31" t="str">
        <f>IF($D322="","",IFERROR(VLOOKUP($B322,Kraftvärmeprod!$B$1:$BX$550,MATCH(G$2,Kraftvärmeprod!$B$1:$VX$1,0),FALSE)/1,0)-IFERROR(VLOOKUP($B322,'Slutlig allokering kvv'!$B$2:$BX$550,MATCH(G$2,'Slutlig allokering kvv'!$B$1:$BX$1,0),FALSE)/1,0))</f>
        <v/>
      </c>
      <c r="H322" s="31" t="str">
        <f>IF($D322="","",IFERROR(VLOOKUP($B322,Kraftvärmeprod!$B$1:$BX$550,MATCH(H$2,Kraftvärmeprod!$B$1:$VX$1,0),FALSE)/1,0)-IFERROR(VLOOKUP($B322,'Slutlig allokering kvv'!$B$2:$BX$550,MATCH(H$2,'Slutlig allokering kvv'!$B$1:$BX$1,0),FALSE)/1,0))</f>
        <v/>
      </c>
      <c r="I322" s="31" t="str">
        <f>IF($D322="","",IFERROR(VLOOKUP($B322,Kraftvärmeprod!$B$1:$BX$550,MATCH(I$2,Kraftvärmeprod!$B$1:$VX$1,0),FALSE)/1,0)-IFERROR(VLOOKUP($B322,'Slutlig allokering kvv'!$B$2:$BX$550,MATCH(I$2,'Slutlig allokering kvv'!$B$1:$BX$1,0),FALSE)/1,0))</f>
        <v/>
      </c>
      <c r="J322" s="31" t="str">
        <f>IF($D322="","",IFERROR(VLOOKUP($B322,Kraftvärmeprod!$B$1:$BX$550,MATCH(J$2,Kraftvärmeprod!$B$1:$VX$1,0),FALSE)/1,0)-IFERROR(VLOOKUP($B322,'Slutlig allokering kvv'!$B$2:$BX$550,MATCH(J$2,'Slutlig allokering kvv'!$B$1:$BX$1,0),FALSE)/1,0))</f>
        <v/>
      </c>
      <c r="K322" s="31" t="str">
        <f>IF($D322="","",IFERROR(VLOOKUP($B322,Kraftvärmeprod!$B$1:$BX$550,MATCH(K$2,Kraftvärmeprod!$B$1:$VX$1,0),FALSE)/1,0)-IFERROR(VLOOKUP($B322,'Slutlig allokering kvv'!$B$2:$BX$550,MATCH(K$2,'Slutlig allokering kvv'!$B$1:$BX$1,0),FALSE)/1,0))</f>
        <v/>
      </c>
      <c r="L322" s="31" t="str">
        <f>IF($D322="","",IFERROR(VLOOKUP($B322,Kraftvärmeprod!$B$1:$BX$550,MATCH(L$2,Kraftvärmeprod!$B$1:$VX$1,0),FALSE)/1,0)-IFERROR(VLOOKUP($B322,'Slutlig allokering kvv'!$B$2:$BX$550,MATCH(L$2,'Slutlig allokering kvv'!$B$1:$BX$1,0),FALSE)/1,0))</f>
        <v/>
      </c>
      <c r="M322" s="31" t="str">
        <f>IF($D322="","",IFERROR(VLOOKUP($B322,Kraftvärmeprod!$B$1:$BX$550,MATCH(M$2,Kraftvärmeprod!$B$1:$VX$1,0),FALSE)/1,0)-IFERROR(VLOOKUP($B322,'Slutlig allokering kvv'!$B$2:$BX$550,MATCH(M$2,'Slutlig allokering kvv'!$B$1:$BX$1,0),FALSE)/1,0))</f>
        <v/>
      </c>
      <c r="N322" s="31" t="str">
        <f>IF($D322="","",IFERROR(VLOOKUP($B322,Kraftvärmeprod!$B$1:$BX$550,MATCH(N$2,Kraftvärmeprod!$B$1:$VX$1,0),FALSE)/1,0)-IFERROR(VLOOKUP($B322,'Slutlig allokering kvv'!$B$2:$BX$550,MATCH(N$2,'Slutlig allokering kvv'!$B$1:$BX$1,0),FALSE)/1,0))</f>
        <v/>
      </c>
      <c r="O322" s="31" t="str">
        <f>IF($D322="","",IFERROR(VLOOKUP($B322,Kraftvärmeprod!$B$1:$BX$550,MATCH(O$2,Kraftvärmeprod!$B$1:$VX$1,0),FALSE)/1,0)-IFERROR(VLOOKUP($B322,'Slutlig allokering kvv'!$B$2:$BX$550,MATCH(O$2,'Slutlig allokering kvv'!$B$1:$BX$1,0),FALSE)/1,0))</f>
        <v/>
      </c>
      <c r="P322" s="31" t="str">
        <f>IF($D322="","",IFERROR(VLOOKUP($B322,Kraftvärmeprod!$B$1:$BX$550,MATCH(P$2,Kraftvärmeprod!$B$1:$VX$1,0),FALSE)/1,0)-IFERROR(VLOOKUP($B322,'Slutlig allokering kvv'!$B$2:$BX$550,MATCH(P$2,'Slutlig allokering kvv'!$B$1:$BX$1,0),FALSE)/1,0))</f>
        <v/>
      </c>
      <c r="Q322" s="31" t="str">
        <f>IF($D322="","",IFERROR(VLOOKUP($B322,Kraftvärmeprod!$B$1:$BX$550,MATCH(Q$2,Kraftvärmeprod!$B$1:$VX$1,0),FALSE)/1,0)-IFERROR(VLOOKUP($B322,'Slutlig allokering kvv'!$B$2:$BX$550,MATCH(Q$2,'Slutlig allokering kvv'!$B$1:$BX$1,0),FALSE)/1,0))</f>
        <v/>
      </c>
      <c r="R322" s="31" t="str">
        <f>IF($D322="","",IFERROR(VLOOKUP($B322,Kraftvärmeprod!$B$1:$BX$550,MATCH(R$2,Kraftvärmeprod!$B$1:$VX$1,0),FALSE)/1,0)-IFERROR(VLOOKUP($B322,'Slutlig allokering kvv'!$B$2:$BX$550,MATCH(R$2,'Slutlig allokering kvv'!$B$1:$BX$1,0),FALSE)/1,0))</f>
        <v/>
      </c>
      <c r="S322" s="31" t="str">
        <f>IF($D322="","",IFERROR(VLOOKUP($B322,Kraftvärmeprod!$B$1:$BX$550,MATCH(S$2,Kraftvärmeprod!$B$1:$VX$1,0),FALSE)/1,0)-IFERROR(VLOOKUP($B322,'Slutlig allokering kvv'!$B$2:$BX$550,MATCH(S$2,'Slutlig allokering kvv'!$B$1:$BX$1,0),FALSE)/1,0))</f>
        <v/>
      </c>
      <c r="T322" s="31" t="str">
        <f>IF($D322="","",IFERROR(VLOOKUP($B322,Kraftvärmeprod!$B$1:$BX$550,MATCH(T$2,Kraftvärmeprod!$B$1:$VX$1,0),FALSE)/1,0)-IFERROR(VLOOKUP($B322,'Slutlig allokering kvv'!$B$2:$BX$550,MATCH(T$2,'Slutlig allokering kvv'!$B$1:$BX$1,0),FALSE)/1,0))</f>
        <v/>
      </c>
      <c r="U322" s="31" t="str">
        <f>IF($D322="","",IFERROR(VLOOKUP($B322,Kraftvärmeprod!$B$1:$BX$550,MATCH(U$2,Kraftvärmeprod!$B$1:$VX$1,0),FALSE)/1,0)-IFERROR(VLOOKUP($B322,'Slutlig allokering kvv'!$B$2:$BX$550,MATCH(U$2,'Slutlig allokering kvv'!$B$1:$BX$1,0),FALSE)/1,0))</f>
        <v/>
      </c>
      <c r="V322" s="31" t="str">
        <f>IF($D322="","",IFERROR(VLOOKUP($B322,Kraftvärmeprod!$B$1:$BX$550,MATCH(V$2,Kraftvärmeprod!$B$1:$VX$1,0),FALSE)/1,0)-IFERROR(VLOOKUP($B322,'Slutlig allokering kvv'!$B$2:$BX$550,MATCH(V$2,'Slutlig allokering kvv'!$B$1:$BX$1,0),FALSE)/1,0))</f>
        <v/>
      </c>
      <c r="W322" s="31" t="str">
        <f>IF($D322="","",IFERROR(VLOOKUP($B322,Kraftvärmeprod!$B$1:$BX$550,MATCH(W$2,Kraftvärmeprod!$B$1:$VX$1,0),FALSE)/1,0)-IFERROR(VLOOKUP($B322,'Slutlig allokering kvv'!$B$2:$BX$550,MATCH(W$2,'Slutlig allokering kvv'!$B$1:$BX$1,0),FALSE)/1,0))</f>
        <v/>
      </c>
      <c r="X322" s="31" t="str">
        <f>IF($D322="","",IFERROR(VLOOKUP($B322,Kraftvärmeprod!$B$1:$BX$550,MATCH(X$2,Kraftvärmeprod!$B$1:$VX$1,0),FALSE)/1,0)-IFERROR(VLOOKUP($B322,'Slutlig allokering kvv'!$B$2:$BX$550,MATCH(X$2,'Slutlig allokering kvv'!$B$1:$BX$1,0),FALSE)/1,0))</f>
        <v/>
      </c>
      <c r="Y322" s="31" t="str">
        <f>IF($D322="","",IFERROR(VLOOKUP($B322,Kraftvärmeprod!$B$1:$BX$550,MATCH(Y$2,Kraftvärmeprod!$B$1:$VX$1,0),FALSE)/1,0)-IFERROR(VLOOKUP($B322,'Slutlig allokering kvv'!$B$2:$BX$550,MATCH(Y$2,'Slutlig allokering kvv'!$B$1:$BX$1,0),FALSE)/1,0))</f>
        <v/>
      </c>
      <c r="Z322" s="31" t="str">
        <f>IF($D322="","",IFERROR(VLOOKUP($B322,Kraftvärmeprod!$B$1:$BX$550,MATCH(Z$2,Kraftvärmeprod!$B$1:$VX$1,0),FALSE)/1,0)-IFERROR(VLOOKUP($B322,'Slutlig allokering kvv'!$B$2:$BX$550,MATCH(Z$2,'Slutlig allokering kvv'!$B$1:$BX$1,0),FALSE)/1,0))</f>
        <v/>
      </c>
      <c r="AA322" s="31" t="str">
        <f>IF($D322="","",IFERROR(VLOOKUP($B322,Kraftvärmeprod!$B$1:$BX$550,MATCH(AA$2,Kraftvärmeprod!$B$1:$VX$1,0),FALSE)/1,0)-IFERROR(VLOOKUP($B322,'Slutlig allokering kvv'!$B$2:$BX$550,MATCH(AA$2,'Slutlig allokering kvv'!$B$1:$BX$1,0),FALSE)/1,0))</f>
        <v/>
      </c>
      <c r="AB322" s="31" t="str">
        <f>IF($D322="","",IFERROR(VLOOKUP($B322,Kraftvärmeprod!$B$1:$BX$550,MATCH(AB$2,Kraftvärmeprod!$B$1:$VX$1,0),FALSE)/1,0)-IFERROR(VLOOKUP($B322,'Slutlig allokering kvv'!$B$2:$BX$550,MATCH(AB$2,'Slutlig allokering kvv'!$B$1:$BX$1,0),FALSE)/1,0))</f>
        <v/>
      </c>
      <c r="AC322" s="31" t="str">
        <f>IF($D322="","",IFERROR(VLOOKUP($B322,Kraftvärmeprod!$B$1:$BX$550,MATCH(AC$2,Kraftvärmeprod!$B$1:$VX$1,0),FALSE)/1,0)-IFERROR(VLOOKUP($B322,'Slutlig allokering kvv'!$B$2:$BX$550,MATCH(AC$2,'Slutlig allokering kvv'!$B$1:$BX$1,0),FALSE)/1,0))</f>
        <v/>
      </c>
      <c r="AD322" s="31" t="str">
        <f>IF($D322="","",IFERROR(VLOOKUP($B322,Kraftvärmeprod!$B$1:$BX$550,MATCH(AD$2,Kraftvärmeprod!$B$1:$VX$1,0),FALSE)/1,0)-IFERROR(VLOOKUP($B322,'Slutlig allokering kvv'!$B$2:$BX$550,MATCH(AD$2,'Slutlig allokering kvv'!$B$1:$BX$1,0),FALSE)/1,0))</f>
        <v/>
      </c>
      <c r="AE322" s="31" t="str">
        <f>IF($D322="","",IFERROR(VLOOKUP($B322,Miljö!$B$1:$E$550,MATCH("Hjälpel kraftvärme (GWh)",Miljö!$B$1:$E$1,0),FALSE)/1,0)-IFERROR(VLOOKUP($B322,'Slutlig allokering kvv'!$B$2:$BX$549,MATCH(AE$2,'Slutlig allokering kvv'!$B$1:$BX$1,0),FALSE)/1,0))</f>
        <v/>
      </c>
      <c r="AI322" s="39">
        <f t="shared" si="16"/>
        <v>0</v>
      </c>
      <c r="AK322" s="31">
        <f>IFERROR(VLOOKUP($B322,'Slutlig allokering kvv'!$B$2:$AX$549,MATCH("Summa slutlig allokerad tillförd energi (utan hjälpel och rökgaskondensering):",'Slutlig allokering kvv'!$B$1:$AX$1,0),FALSE)/1,"")</f>
        <v>0</v>
      </c>
      <c r="AM322" s="31" t="str">
        <f>IFERROR(1-VLOOKUP($B322,'Slutlig allokering kvv'!$B$2:$AX$549,MATCH("Andel av bränsle i kvv som allokerats till värme, exklusive rökgaskondensering och hjälpel",'Slutlig allokering kvv'!$B$1:$AX$1,0),FALSE),"")</f>
        <v/>
      </c>
      <c r="AO322" s="31" t="str">
        <f t="shared" si="17"/>
        <v/>
      </c>
      <c r="AP322" s="31" t="str">
        <f t="shared" si="18"/>
        <v/>
      </c>
      <c r="AR322" s="32" t="str">
        <f t="shared" si="19"/>
        <v/>
      </c>
    </row>
    <row r="323" spans="1:44" s="31" customFormat="1" x14ac:dyDescent="0.45">
      <c r="A323" s="31" t="s">
        <v>48</v>
      </c>
      <c r="B323" s="31" t="s">
        <v>215</v>
      </c>
      <c r="C323" s="31">
        <f>IFERROR(VLOOKUP($B323,Kraftvärmeprod!$B$1:$AH$479,MATCH(C$2,Kraftvärmeprod!$B$1:$AG$1,0),FALSE)/1,"")</f>
        <v>33.112000000000002</v>
      </c>
      <c r="D323" s="31">
        <f>IFERROR(VLOOKUP($B323,Kraftvärmeprod!$B$1:$AH$479,MATCH(D$2,Kraftvärmeprod!$B$1:$AG$1,0),FALSE)/1,"")</f>
        <v>0.63500000000000001</v>
      </c>
      <c r="F323" s="31">
        <f>IF($D323="","",IFERROR(VLOOKUP($B323,Kraftvärmeprod!$B$1:$BX$550,MATCH(F$2,Kraftvärmeprod!$B$1:$VX$1,0),FALSE)/1,0)-IFERROR(VLOOKUP($B323,'Slutlig allokering kvv'!$B$2:$BX$550,MATCH(F$2,'Slutlig allokering kvv'!$B$1:$BX$1,0),FALSE)/1,0))</f>
        <v>0</v>
      </c>
      <c r="G323" s="31">
        <f>IF($D323="","",IFERROR(VLOOKUP($B323,Kraftvärmeprod!$B$1:$BX$550,MATCH(G$2,Kraftvärmeprod!$B$1:$VX$1,0),FALSE)/1,0)-IFERROR(VLOOKUP($B323,'Slutlig allokering kvv'!$B$2:$BX$550,MATCH(G$2,'Slutlig allokering kvv'!$B$1:$BX$1,0),FALSE)/1,0))</f>
        <v>0</v>
      </c>
      <c r="H323" s="31">
        <f>IF($D323="","",IFERROR(VLOOKUP($B323,Kraftvärmeprod!$B$1:$BX$550,MATCH(H$2,Kraftvärmeprod!$B$1:$VX$1,0),FALSE)/1,0)-IFERROR(VLOOKUP($B323,'Slutlig allokering kvv'!$B$2:$BX$550,MATCH(H$2,'Slutlig allokering kvv'!$B$1:$BX$1,0),FALSE)/1,0))</f>
        <v>0</v>
      </c>
      <c r="I323" s="31">
        <f>IF($D323="","",IFERROR(VLOOKUP($B323,Kraftvärmeprod!$B$1:$BX$550,MATCH(I$2,Kraftvärmeprod!$B$1:$VX$1,0),FALSE)/1,0)-IFERROR(VLOOKUP($B323,'Slutlig allokering kvv'!$B$2:$BX$550,MATCH(I$2,'Slutlig allokering kvv'!$B$1:$BX$1,0),FALSE)/1,0))</f>
        <v>4.5970000000000066E-2</v>
      </c>
      <c r="J323" s="31">
        <f>IF($D323="","",IFERROR(VLOOKUP($B323,Kraftvärmeprod!$B$1:$BX$550,MATCH(J$2,Kraftvärmeprod!$B$1:$VX$1,0),FALSE)/1,0)-IFERROR(VLOOKUP($B323,'Slutlig allokering kvv'!$B$2:$BX$550,MATCH(J$2,'Slutlig allokering kvv'!$B$1:$BX$1,0),FALSE)/1,0))</f>
        <v>0</v>
      </c>
      <c r="K323" s="31">
        <f>IF($D323="","",IFERROR(VLOOKUP($B323,Kraftvärmeprod!$B$1:$BX$550,MATCH(K$2,Kraftvärmeprod!$B$1:$VX$1,0),FALSE)/1,0)-IFERROR(VLOOKUP($B323,'Slutlig allokering kvv'!$B$2:$BX$550,MATCH(K$2,'Slutlig allokering kvv'!$B$1:$BX$1,0),FALSE)/1,0))</f>
        <v>0</v>
      </c>
      <c r="L323" s="31">
        <f>IF($D323="","",IFERROR(VLOOKUP($B323,Kraftvärmeprod!$B$1:$BX$550,MATCH(L$2,Kraftvärmeprod!$B$1:$VX$1,0),FALSE)/1,0)-IFERROR(VLOOKUP($B323,'Slutlig allokering kvv'!$B$2:$BX$550,MATCH(L$2,'Slutlig allokering kvv'!$B$1:$BX$1,0),FALSE)/1,0))</f>
        <v>0</v>
      </c>
      <c r="M323" s="31">
        <f>IF($D323="","",IFERROR(VLOOKUP($B323,Kraftvärmeprod!$B$1:$BX$550,MATCH(M$2,Kraftvärmeprod!$B$1:$VX$1,0),FALSE)/1,0)-IFERROR(VLOOKUP($B323,'Slutlig allokering kvv'!$B$2:$BX$550,MATCH(M$2,'Slutlig allokering kvv'!$B$1:$BX$1,0),FALSE)/1,0))</f>
        <v>0</v>
      </c>
      <c r="N323" s="31">
        <f>IF($D323="","",IFERROR(VLOOKUP($B323,Kraftvärmeprod!$B$1:$BX$550,MATCH(N$2,Kraftvärmeprod!$B$1:$VX$1,0),FALSE)/1,0)-IFERROR(VLOOKUP($B323,'Slutlig allokering kvv'!$B$2:$BX$550,MATCH(N$2,'Slutlig allokering kvv'!$B$1:$BX$1,0),FALSE)/1,0))</f>
        <v>0.28173999999999921</v>
      </c>
      <c r="O323" s="31">
        <f>IF($D323="","",IFERROR(VLOOKUP($B323,Kraftvärmeprod!$B$1:$BX$550,MATCH(O$2,Kraftvärmeprod!$B$1:$VX$1,0),FALSE)/1,0)-IFERROR(VLOOKUP($B323,'Slutlig allokering kvv'!$B$2:$BX$550,MATCH(O$2,'Slutlig allokering kvv'!$B$1:$BX$1,0),FALSE)/1,0))</f>
        <v>1.2771000000000008</v>
      </c>
      <c r="P323" s="31">
        <f>IF($D323="","",IFERROR(VLOOKUP($B323,Kraftvärmeprod!$B$1:$BX$550,MATCH(P$2,Kraftvärmeprod!$B$1:$VX$1,0),FALSE)/1,0)-IFERROR(VLOOKUP($B323,'Slutlig allokering kvv'!$B$2:$BX$550,MATCH(P$2,'Slutlig allokering kvv'!$B$1:$BX$1,0),FALSE)/1,0))</f>
        <v>0</v>
      </c>
      <c r="Q323" s="31">
        <f>IF($D323="","",IFERROR(VLOOKUP($B323,Kraftvärmeprod!$B$1:$BX$550,MATCH(Q$2,Kraftvärmeprod!$B$1:$VX$1,0),FALSE)/1,0)-IFERROR(VLOOKUP($B323,'Slutlig allokering kvv'!$B$2:$BX$550,MATCH(Q$2,'Slutlig allokering kvv'!$B$1:$BX$1,0),FALSE)/1,0))</f>
        <v>0.21310000000000073</v>
      </c>
      <c r="R323" s="31">
        <f>IF($D323="","",IFERROR(VLOOKUP($B323,Kraftvärmeprod!$B$1:$BX$550,MATCH(R$2,Kraftvärmeprod!$B$1:$VX$1,0),FALSE)/1,0)-IFERROR(VLOOKUP($B323,'Slutlig allokering kvv'!$B$2:$BX$550,MATCH(R$2,'Slutlig allokering kvv'!$B$1:$BX$1,0),FALSE)/1,0))</f>
        <v>0</v>
      </c>
      <c r="S323" s="31">
        <f>IF($D323="","",IFERROR(VLOOKUP($B323,Kraftvärmeprod!$B$1:$BX$550,MATCH(S$2,Kraftvärmeprod!$B$1:$VX$1,0),FALSE)/1,0)-IFERROR(VLOOKUP($B323,'Slutlig allokering kvv'!$B$2:$BX$550,MATCH(S$2,'Slutlig allokering kvv'!$B$1:$BX$1,0),FALSE)/1,0))</f>
        <v>0</v>
      </c>
      <c r="T323" s="31">
        <f>IF($D323="","",IFERROR(VLOOKUP($B323,Kraftvärmeprod!$B$1:$BX$550,MATCH(T$2,Kraftvärmeprod!$B$1:$VX$1,0),FALSE)/1,0)-IFERROR(VLOOKUP($B323,'Slutlig allokering kvv'!$B$2:$BX$550,MATCH(T$2,'Slutlig allokering kvv'!$B$1:$BX$1,0),FALSE)/1,0))</f>
        <v>0</v>
      </c>
      <c r="U323" s="31">
        <f>IF($D323="","",IFERROR(VLOOKUP($B323,Kraftvärmeprod!$B$1:$BX$550,MATCH(U$2,Kraftvärmeprod!$B$1:$VX$1,0),FALSE)/1,0)-IFERROR(VLOOKUP($B323,'Slutlig allokering kvv'!$B$2:$BX$550,MATCH(U$2,'Slutlig allokering kvv'!$B$1:$BX$1,0),FALSE)/1,0))</f>
        <v>0</v>
      </c>
      <c r="V323" s="31">
        <f>IF($D323="","",IFERROR(VLOOKUP($B323,Kraftvärmeprod!$B$1:$BX$550,MATCH(V$2,Kraftvärmeprod!$B$1:$VX$1,0),FALSE)/1,0)-IFERROR(VLOOKUP($B323,'Slutlig allokering kvv'!$B$2:$BX$550,MATCH(V$2,'Slutlig allokering kvv'!$B$1:$BX$1,0),FALSE)/1,0))</f>
        <v>0</v>
      </c>
      <c r="W323" s="31">
        <f>IF($D323="","",IFERROR(VLOOKUP($B323,Kraftvärmeprod!$B$1:$BX$550,MATCH(W$2,Kraftvärmeprod!$B$1:$VX$1,0),FALSE)/1,0)-IFERROR(VLOOKUP($B323,'Slutlig allokering kvv'!$B$2:$BX$550,MATCH(W$2,'Slutlig allokering kvv'!$B$1:$BX$1,0),FALSE)/1,0))</f>
        <v>0</v>
      </c>
      <c r="X323" s="31">
        <f>IF($D323="","",IFERROR(VLOOKUP($B323,Kraftvärmeprod!$B$1:$BX$550,MATCH(X$2,Kraftvärmeprod!$B$1:$VX$1,0),FALSE)/1,0)-IFERROR(VLOOKUP($B323,'Slutlig allokering kvv'!$B$2:$BX$550,MATCH(X$2,'Slutlig allokering kvv'!$B$1:$BX$1,0),FALSE)/1,0))</f>
        <v>0</v>
      </c>
      <c r="Y323" s="31">
        <f>IF($D323="","",IFERROR(VLOOKUP($B323,Kraftvärmeprod!$B$1:$BX$550,MATCH(Y$2,Kraftvärmeprod!$B$1:$VX$1,0),FALSE)/1,0)-IFERROR(VLOOKUP($B323,'Slutlig allokering kvv'!$B$2:$BX$550,MATCH(Y$2,'Slutlig allokering kvv'!$B$1:$BX$1,0),FALSE)/1,0))</f>
        <v>0</v>
      </c>
      <c r="Z323" s="31">
        <f>IF($D323="","",IFERROR(VLOOKUP($B323,Kraftvärmeprod!$B$1:$BX$550,MATCH(Z$2,Kraftvärmeprod!$B$1:$VX$1,0),FALSE)/1,0)-IFERROR(VLOOKUP($B323,'Slutlig allokering kvv'!$B$2:$BX$550,MATCH(Z$2,'Slutlig allokering kvv'!$B$1:$BX$1,0),FALSE)/1,0))</f>
        <v>0</v>
      </c>
      <c r="AA323" s="31">
        <f>IF($D323="","",IFERROR(VLOOKUP($B323,Kraftvärmeprod!$B$1:$BX$550,MATCH(AA$2,Kraftvärmeprod!$B$1:$VX$1,0),FALSE)/1,0)-IFERROR(VLOOKUP($B323,'Slutlig allokering kvv'!$B$2:$BX$550,MATCH(AA$2,'Slutlig allokering kvv'!$B$1:$BX$1,0),FALSE)/1,0))</f>
        <v>0</v>
      </c>
      <c r="AB323" s="31">
        <f>IF($D323="","",IFERROR(VLOOKUP($B323,Kraftvärmeprod!$B$1:$BX$550,MATCH(AB$2,Kraftvärmeprod!$B$1:$VX$1,0),FALSE)/1,0)-IFERROR(VLOOKUP($B323,'Slutlig allokering kvv'!$B$2:$BX$550,MATCH(AB$2,'Slutlig allokering kvv'!$B$1:$BX$1,0),FALSE)/1,0))</f>
        <v>0</v>
      </c>
      <c r="AC323" s="31">
        <f>IF($D323="","",IFERROR(VLOOKUP($B323,Kraftvärmeprod!$B$1:$BX$550,MATCH(AC$2,Kraftvärmeprod!$B$1:$VX$1,0),FALSE)/1,0)-IFERROR(VLOOKUP($B323,'Slutlig allokering kvv'!$B$2:$BX$550,MATCH(AC$2,'Slutlig allokering kvv'!$B$1:$BX$1,0),FALSE)/1,0))</f>
        <v>0</v>
      </c>
      <c r="AD323" s="31">
        <f>IF($D323="","",IFERROR(VLOOKUP($B323,Kraftvärmeprod!$B$1:$BX$550,MATCH(AD$2,Kraftvärmeprod!$B$1:$VX$1,0),FALSE)/1,0)-IFERROR(VLOOKUP($B323,'Slutlig allokering kvv'!$B$2:$BX$550,MATCH(AD$2,'Slutlig allokering kvv'!$B$1:$BX$1,0),FALSE)/1,0))</f>
        <v>0</v>
      </c>
      <c r="AE323" s="31">
        <f>IF($D323="","",IFERROR(VLOOKUP($B323,Miljö!$B$1:$E$550,MATCH("Hjälpel kraftvärme (GWh)",Miljö!$B$1:$E$1,0),FALSE)/1,0)-IFERROR(VLOOKUP($B323,'Slutlig allokering kvv'!$B$2:$BX$549,MATCH(AE$2,'Slutlig allokering kvv'!$B$1:$BX$1,0),FALSE)/1,0))</f>
        <v>8.4609999999999963E-3</v>
      </c>
      <c r="AI323" s="39">
        <f t="shared" si="16"/>
        <v>1.8179100000000008</v>
      </c>
      <c r="AK323" s="31">
        <f>IFERROR(VLOOKUP($B323,'Slutlig allokering kvv'!$B$2:$AX$549,MATCH("Summa slutlig allokerad tillförd energi (utan hjälpel och rökgaskondensering):",'Slutlig allokering kvv'!$B$1:$AX$1,0),FALSE)/1,"")</f>
        <v>36.640090000000001</v>
      </c>
      <c r="AM323" s="31">
        <f>IFERROR(1-VLOOKUP($B323,'Slutlig allokering kvv'!$B$2:$AX$549,MATCH("Andel av bränsle i kvv som allokerats till värme, exklusive rökgaskondensering och hjälpel",'Slutlig allokering kvv'!$B$1:$AX$1,0),FALSE),"")</f>
        <v>4.7270008840813338E-2</v>
      </c>
      <c r="AO323" s="31">
        <f t="shared" si="17"/>
        <v>4.727000884081338E-2</v>
      </c>
      <c r="AP323" s="31">
        <f t="shared" si="18"/>
        <v>-4.163336342344337E-17</v>
      </c>
      <c r="AR323" s="32">
        <f t="shared" si="19"/>
        <v>0.34768401381756486</v>
      </c>
    </row>
    <row r="324" spans="1:44" s="31" customFormat="1" x14ac:dyDescent="0.45">
      <c r="A324" s="31" t="s">
        <v>48</v>
      </c>
      <c r="B324" s="31" t="s">
        <v>214</v>
      </c>
      <c r="C324" s="31">
        <f>IFERROR(VLOOKUP($B324,Kraftvärmeprod!$B$1:$AH$479,MATCH(C$2,Kraftvärmeprod!$B$1:$AG$1,0),FALSE)/1,"")</f>
        <v>104.218</v>
      </c>
      <c r="D324" s="31">
        <f>IFERROR(VLOOKUP($B324,Kraftvärmeprod!$B$1:$AH$479,MATCH(D$2,Kraftvärmeprod!$B$1:$AG$1,0),FALSE)/1,"")</f>
        <v>25.597999999999999</v>
      </c>
      <c r="F324" s="31">
        <f>IF($D324="","",IFERROR(VLOOKUP($B324,Kraftvärmeprod!$B$1:$BX$550,MATCH(F$2,Kraftvärmeprod!$B$1:$VX$1,0),FALSE)/1,0)-IFERROR(VLOOKUP($B324,'Slutlig allokering kvv'!$B$2:$BX$550,MATCH(F$2,'Slutlig allokering kvv'!$B$1:$BX$1,0),FALSE)/1,0))</f>
        <v>0</v>
      </c>
      <c r="G324" s="31">
        <f>IF($D324="","",IFERROR(VLOOKUP($B324,Kraftvärmeprod!$B$1:$BX$550,MATCH(G$2,Kraftvärmeprod!$B$1:$VX$1,0),FALSE)/1,0)-IFERROR(VLOOKUP($B324,'Slutlig allokering kvv'!$B$2:$BX$550,MATCH(G$2,'Slutlig allokering kvv'!$B$1:$BX$1,0),FALSE)/1,0))</f>
        <v>0</v>
      </c>
      <c r="H324" s="31">
        <f>IF($D324="","",IFERROR(VLOOKUP($B324,Kraftvärmeprod!$B$1:$BX$550,MATCH(H$2,Kraftvärmeprod!$B$1:$VX$1,0),FALSE)/1,0)-IFERROR(VLOOKUP($B324,'Slutlig allokering kvv'!$B$2:$BX$550,MATCH(H$2,'Slutlig allokering kvv'!$B$1:$BX$1,0),FALSE)/1,0))</f>
        <v>0</v>
      </c>
      <c r="I324" s="31">
        <f>IF($D324="","",IFERROR(VLOOKUP($B324,Kraftvärmeprod!$B$1:$BX$550,MATCH(I$2,Kraftvärmeprod!$B$1:$VX$1,0),FALSE)/1,0)-IFERROR(VLOOKUP($B324,'Slutlig allokering kvv'!$B$2:$BX$550,MATCH(I$2,'Slutlig allokering kvv'!$B$1:$BX$1,0),FALSE)/1,0))</f>
        <v>0</v>
      </c>
      <c r="J324" s="31">
        <f>IF($D324="","",IFERROR(VLOOKUP($B324,Kraftvärmeprod!$B$1:$BX$550,MATCH(J$2,Kraftvärmeprod!$B$1:$VX$1,0),FALSE)/1,0)-IFERROR(VLOOKUP($B324,'Slutlig allokering kvv'!$B$2:$BX$550,MATCH(J$2,'Slutlig allokering kvv'!$B$1:$BX$1,0),FALSE)/1,0))</f>
        <v>0</v>
      </c>
      <c r="K324" s="31">
        <f>IF($D324="","",IFERROR(VLOOKUP($B324,Kraftvärmeprod!$B$1:$BX$550,MATCH(K$2,Kraftvärmeprod!$B$1:$VX$1,0),FALSE)/1,0)-IFERROR(VLOOKUP($B324,'Slutlig allokering kvv'!$B$2:$BX$550,MATCH(K$2,'Slutlig allokering kvv'!$B$1:$BX$1,0),FALSE)/1,0))</f>
        <v>0</v>
      </c>
      <c r="L324" s="31">
        <f>IF($D324="","",IFERROR(VLOOKUP($B324,Kraftvärmeprod!$B$1:$BX$550,MATCH(L$2,Kraftvärmeprod!$B$1:$VX$1,0),FALSE)/1,0)-IFERROR(VLOOKUP($B324,'Slutlig allokering kvv'!$B$2:$BX$550,MATCH(L$2,'Slutlig allokering kvv'!$B$1:$BX$1,0),FALSE)/1,0))</f>
        <v>0.76261000000000001</v>
      </c>
      <c r="M324" s="31">
        <f>IF($D324="","",IFERROR(VLOOKUP($B324,Kraftvärmeprod!$B$1:$BX$550,MATCH(M$2,Kraftvärmeprod!$B$1:$VX$1,0),FALSE)/1,0)-IFERROR(VLOOKUP($B324,'Slutlig allokering kvv'!$B$2:$BX$550,MATCH(M$2,'Slutlig allokering kvv'!$B$1:$BX$1,0),FALSE)/1,0))</f>
        <v>33.994699999999995</v>
      </c>
      <c r="N324" s="31">
        <f>IF($D324="","",IFERROR(VLOOKUP($B324,Kraftvärmeprod!$B$1:$BX$550,MATCH(N$2,Kraftvärmeprod!$B$1:$VX$1,0),FALSE)/1,0)-IFERROR(VLOOKUP($B324,'Slutlig allokering kvv'!$B$2:$BX$550,MATCH(N$2,'Slutlig allokering kvv'!$B$1:$BX$1,0),FALSE)/1,0))</f>
        <v>0</v>
      </c>
      <c r="O324" s="31">
        <f>IF($D324="","",IFERROR(VLOOKUP($B324,Kraftvärmeprod!$B$1:$BX$550,MATCH(O$2,Kraftvärmeprod!$B$1:$VX$1,0),FALSE)/1,0)-IFERROR(VLOOKUP($B324,'Slutlig allokering kvv'!$B$2:$BX$550,MATCH(O$2,'Slutlig allokering kvv'!$B$1:$BX$1,0),FALSE)/1,0))</f>
        <v>21.2149</v>
      </c>
      <c r="P324" s="31">
        <f>IF($D324="","",IFERROR(VLOOKUP($B324,Kraftvärmeprod!$B$1:$BX$550,MATCH(P$2,Kraftvärmeprod!$B$1:$VX$1,0),FALSE)/1,0)-IFERROR(VLOOKUP($B324,'Slutlig allokering kvv'!$B$2:$BX$550,MATCH(P$2,'Slutlig allokering kvv'!$B$1:$BX$1,0),FALSE)/1,0))</f>
        <v>0</v>
      </c>
      <c r="Q324" s="31">
        <f>IF($D324="","",IFERROR(VLOOKUP($B324,Kraftvärmeprod!$B$1:$BX$550,MATCH(Q$2,Kraftvärmeprod!$B$1:$VX$1,0),FALSE)/1,0)-IFERROR(VLOOKUP($B324,'Slutlig allokering kvv'!$B$2:$BX$550,MATCH(Q$2,'Slutlig allokering kvv'!$B$1:$BX$1,0),FALSE)/1,0))</f>
        <v>3.5359500000000006</v>
      </c>
      <c r="R324" s="31">
        <f>IF($D324="","",IFERROR(VLOOKUP($B324,Kraftvärmeprod!$B$1:$BX$550,MATCH(R$2,Kraftvärmeprod!$B$1:$VX$1,0),FALSE)/1,0)-IFERROR(VLOOKUP($B324,'Slutlig allokering kvv'!$B$2:$BX$550,MATCH(R$2,'Slutlig allokering kvv'!$B$1:$BX$1,0),FALSE)/1,0))</f>
        <v>0</v>
      </c>
      <c r="S324" s="31">
        <f>IF($D324="","",IFERROR(VLOOKUP($B324,Kraftvärmeprod!$B$1:$BX$550,MATCH(S$2,Kraftvärmeprod!$B$1:$VX$1,0),FALSE)/1,0)-IFERROR(VLOOKUP($B324,'Slutlig allokering kvv'!$B$2:$BX$550,MATCH(S$2,'Slutlig allokering kvv'!$B$1:$BX$1,0),FALSE)/1,0))</f>
        <v>0</v>
      </c>
      <c r="T324" s="31">
        <f>IF($D324="","",IFERROR(VLOOKUP($B324,Kraftvärmeprod!$B$1:$BX$550,MATCH(T$2,Kraftvärmeprod!$B$1:$VX$1,0),FALSE)/1,0)-IFERROR(VLOOKUP($B324,'Slutlig allokering kvv'!$B$2:$BX$550,MATCH(T$2,'Slutlig allokering kvv'!$B$1:$BX$1,0),FALSE)/1,0))</f>
        <v>0</v>
      </c>
      <c r="U324" s="31">
        <f>IF($D324="","",IFERROR(VLOOKUP($B324,Kraftvärmeprod!$B$1:$BX$550,MATCH(U$2,Kraftvärmeprod!$B$1:$VX$1,0),FALSE)/1,0)-IFERROR(VLOOKUP($B324,'Slutlig allokering kvv'!$B$2:$BX$550,MATCH(U$2,'Slutlig allokering kvv'!$B$1:$BX$1,0),FALSE)/1,0))</f>
        <v>0</v>
      </c>
      <c r="V324" s="31">
        <f>IF($D324="","",IFERROR(VLOOKUP($B324,Kraftvärmeprod!$B$1:$BX$550,MATCH(V$2,Kraftvärmeprod!$B$1:$VX$1,0),FALSE)/1,0)-IFERROR(VLOOKUP($B324,'Slutlig allokering kvv'!$B$2:$BX$550,MATCH(V$2,'Slutlig allokering kvv'!$B$1:$BX$1,0),FALSE)/1,0))</f>
        <v>0</v>
      </c>
      <c r="W324" s="31">
        <f>IF($D324="","",IFERROR(VLOOKUP($B324,Kraftvärmeprod!$B$1:$BX$550,MATCH(W$2,Kraftvärmeprod!$B$1:$VX$1,0),FALSE)/1,0)-IFERROR(VLOOKUP($B324,'Slutlig allokering kvv'!$B$2:$BX$550,MATCH(W$2,'Slutlig allokering kvv'!$B$1:$BX$1,0),FALSE)/1,0))</f>
        <v>0</v>
      </c>
      <c r="X324" s="31">
        <f>IF($D324="","",IFERROR(VLOOKUP($B324,Kraftvärmeprod!$B$1:$BX$550,MATCH(X$2,Kraftvärmeprod!$B$1:$VX$1,0),FALSE)/1,0)-IFERROR(VLOOKUP($B324,'Slutlig allokering kvv'!$B$2:$BX$550,MATCH(X$2,'Slutlig allokering kvv'!$B$1:$BX$1,0),FALSE)/1,0))</f>
        <v>0</v>
      </c>
      <c r="Y324" s="31">
        <f>IF($D324="","",IFERROR(VLOOKUP($B324,Kraftvärmeprod!$B$1:$BX$550,MATCH(Y$2,Kraftvärmeprod!$B$1:$VX$1,0),FALSE)/1,0)-IFERROR(VLOOKUP($B324,'Slutlig allokering kvv'!$B$2:$BX$550,MATCH(Y$2,'Slutlig allokering kvv'!$B$1:$BX$1,0),FALSE)/1,0))</f>
        <v>0</v>
      </c>
      <c r="Z324" s="31">
        <f>IF($D324="","",IFERROR(VLOOKUP($B324,Kraftvärmeprod!$B$1:$BX$550,MATCH(Z$2,Kraftvärmeprod!$B$1:$VX$1,0),FALSE)/1,0)-IFERROR(VLOOKUP($B324,'Slutlig allokering kvv'!$B$2:$BX$550,MATCH(Z$2,'Slutlig allokering kvv'!$B$1:$BX$1,0),FALSE)/1,0))</f>
        <v>0</v>
      </c>
      <c r="AA324" s="31">
        <f>IF($D324="","",IFERROR(VLOOKUP($B324,Kraftvärmeprod!$B$1:$BX$550,MATCH(AA$2,Kraftvärmeprod!$B$1:$VX$1,0),FALSE)/1,0)-IFERROR(VLOOKUP($B324,'Slutlig allokering kvv'!$B$2:$BX$550,MATCH(AA$2,'Slutlig allokering kvv'!$B$1:$BX$1,0),FALSE)/1,0))</f>
        <v>0</v>
      </c>
      <c r="AB324" s="31">
        <f>IF($D324="","",IFERROR(VLOOKUP($B324,Kraftvärmeprod!$B$1:$BX$550,MATCH(AB$2,Kraftvärmeprod!$B$1:$VX$1,0),FALSE)/1,0)-IFERROR(VLOOKUP($B324,'Slutlig allokering kvv'!$B$2:$BX$550,MATCH(AB$2,'Slutlig allokering kvv'!$B$1:$BX$1,0),FALSE)/1,0))</f>
        <v>0</v>
      </c>
      <c r="AC324" s="31">
        <f>IF($D324="","",IFERROR(VLOOKUP($B324,Kraftvärmeprod!$B$1:$BX$550,MATCH(AC$2,Kraftvärmeprod!$B$1:$VX$1,0),FALSE)/1,0)-IFERROR(VLOOKUP($B324,'Slutlig allokering kvv'!$B$2:$BX$550,MATCH(AC$2,'Slutlig allokering kvv'!$B$1:$BX$1,0),FALSE)/1,0))</f>
        <v>0</v>
      </c>
      <c r="AD324" s="31">
        <f>IF($D324="","",IFERROR(VLOOKUP($B324,Kraftvärmeprod!$B$1:$BX$550,MATCH(AD$2,Kraftvärmeprod!$B$1:$VX$1,0),FALSE)/1,0)-IFERROR(VLOOKUP($B324,'Slutlig allokering kvv'!$B$2:$BX$550,MATCH(AD$2,'Slutlig allokering kvv'!$B$1:$BX$1,0),FALSE)/1,0))</f>
        <v>0</v>
      </c>
      <c r="AE324" s="31">
        <f>IF($D324="","",IFERROR(VLOOKUP($B324,Miljö!$B$1:$E$550,MATCH("Hjälpel kraftvärme (GWh)",Miljö!$B$1:$E$1,0),FALSE)/1,0)-IFERROR(VLOOKUP($B324,'Slutlig allokering kvv'!$B$2:$BX$549,MATCH(AE$2,'Slutlig allokering kvv'!$B$1:$BX$1,0),FALSE)/1,0))</f>
        <v>2.3709600000000002</v>
      </c>
      <c r="AI324" s="39">
        <f t="shared" ref="AI324:AI387" si="20">SUM(F324:AC324)</f>
        <v>59.508159999999997</v>
      </c>
      <c r="AK324" s="31">
        <f>IFERROR(VLOOKUP($B324,'Slutlig allokering kvv'!$B$2:$AX$549,MATCH("Summa slutlig allokerad tillförd energi (utan hjälpel och rökgaskondensering):",'Slutlig allokering kvv'!$B$1:$AX$1,0),FALSE)/1,"")</f>
        <v>92.966840000000005</v>
      </c>
      <c r="AM324" s="31">
        <f>IFERROR(1-VLOOKUP($B324,'Slutlig allokering kvv'!$B$2:$AX$549,MATCH("Andel av bränsle i kvv som allokerats till värme, exklusive rökgaskondensering och hjälpel",'Slutlig allokering kvv'!$B$1:$AX$1,0),FALSE),"")</f>
        <v>0.39028142318412851</v>
      </c>
      <c r="AO324" s="31">
        <f t="shared" ref="AO324:AO387" si="21">IFERROR(AI324/(AI324+AK324),"")</f>
        <v>0.39028142318412856</v>
      </c>
      <c r="AP324" s="31">
        <f t="shared" ref="AP324:AP387" si="22">IFERROR(AM324-AO324,"")</f>
        <v>-5.5511151231257827E-17</v>
      </c>
      <c r="AR324" s="32">
        <f t="shared" ref="AR324:AR387" si="23">IFERROR(D324/(AI324+AE324),"")</f>
        <v>0.41367750543317355</v>
      </c>
    </row>
    <row r="325" spans="1:44" s="31" customFormat="1" x14ac:dyDescent="0.45">
      <c r="A325" s="31" t="s">
        <v>48</v>
      </c>
      <c r="B325" s="31" t="s">
        <v>213</v>
      </c>
      <c r="C325" s="31" t="str">
        <f>IFERROR(VLOOKUP($B325,Kraftvärmeprod!$B$1:$AH$479,MATCH(C$2,Kraftvärmeprod!$B$1:$AG$1,0),FALSE)/1,"")</f>
        <v/>
      </c>
      <c r="D325" s="31" t="str">
        <f>IFERROR(VLOOKUP($B325,Kraftvärmeprod!$B$1:$AH$479,MATCH(D$2,Kraftvärmeprod!$B$1:$AG$1,0),FALSE)/1,"")</f>
        <v/>
      </c>
      <c r="F325" s="31" t="str">
        <f>IF($D325="","",IFERROR(VLOOKUP($B325,Kraftvärmeprod!$B$1:$BX$550,MATCH(F$2,Kraftvärmeprod!$B$1:$VX$1,0),FALSE)/1,0)-IFERROR(VLOOKUP($B325,'Slutlig allokering kvv'!$B$2:$BX$550,MATCH(F$2,'Slutlig allokering kvv'!$B$1:$BX$1,0),FALSE)/1,0))</f>
        <v/>
      </c>
      <c r="G325" s="31" t="str">
        <f>IF($D325="","",IFERROR(VLOOKUP($B325,Kraftvärmeprod!$B$1:$BX$550,MATCH(G$2,Kraftvärmeprod!$B$1:$VX$1,0),FALSE)/1,0)-IFERROR(VLOOKUP($B325,'Slutlig allokering kvv'!$B$2:$BX$550,MATCH(G$2,'Slutlig allokering kvv'!$B$1:$BX$1,0),FALSE)/1,0))</f>
        <v/>
      </c>
      <c r="H325" s="31" t="str">
        <f>IF($D325="","",IFERROR(VLOOKUP($B325,Kraftvärmeprod!$B$1:$BX$550,MATCH(H$2,Kraftvärmeprod!$B$1:$VX$1,0),FALSE)/1,0)-IFERROR(VLOOKUP($B325,'Slutlig allokering kvv'!$B$2:$BX$550,MATCH(H$2,'Slutlig allokering kvv'!$B$1:$BX$1,0),FALSE)/1,0))</f>
        <v/>
      </c>
      <c r="I325" s="31" t="str">
        <f>IF($D325="","",IFERROR(VLOOKUP($B325,Kraftvärmeprod!$B$1:$BX$550,MATCH(I$2,Kraftvärmeprod!$B$1:$VX$1,0),FALSE)/1,0)-IFERROR(VLOOKUP($B325,'Slutlig allokering kvv'!$B$2:$BX$550,MATCH(I$2,'Slutlig allokering kvv'!$B$1:$BX$1,0),FALSE)/1,0))</f>
        <v/>
      </c>
      <c r="J325" s="31" t="str">
        <f>IF($D325="","",IFERROR(VLOOKUP($B325,Kraftvärmeprod!$B$1:$BX$550,MATCH(J$2,Kraftvärmeprod!$B$1:$VX$1,0),FALSE)/1,0)-IFERROR(VLOOKUP($B325,'Slutlig allokering kvv'!$B$2:$BX$550,MATCH(J$2,'Slutlig allokering kvv'!$B$1:$BX$1,0),FALSE)/1,0))</f>
        <v/>
      </c>
      <c r="K325" s="31" t="str">
        <f>IF($D325="","",IFERROR(VLOOKUP($B325,Kraftvärmeprod!$B$1:$BX$550,MATCH(K$2,Kraftvärmeprod!$B$1:$VX$1,0),FALSE)/1,0)-IFERROR(VLOOKUP($B325,'Slutlig allokering kvv'!$B$2:$BX$550,MATCH(K$2,'Slutlig allokering kvv'!$B$1:$BX$1,0),FALSE)/1,0))</f>
        <v/>
      </c>
      <c r="L325" s="31" t="str">
        <f>IF($D325="","",IFERROR(VLOOKUP($B325,Kraftvärmeprod!$B$1:$BX$550,MATCH(L$2,Kraftvärmeprod!$B$1:$VX$1,0),FALSE)/1,0)-IFERROR(VLOOKUP($B325,'Slutlig allokering kvv'!$B$2:$BX$550,MATCH(L$2,'Slutlig allokering kvv'!$B$1:$BX$1,0),FALSE)/1,0))</f>
        <v/>
      </c>
      <c r="M325" s="31" t="str">
        <f>IF($D325="","",IFERROR(VLOOKUP($B325,Kraftvärmeprod!$B$1:$BX$550,MATCH(M$2,Kraftvärmeprod!$B$1:$VX$1,0),FALSE)/1,0)-IFERROR(VLOOKUP($B325,'Slutlig allokering kvv'!$B$2:$BX$550,MATCH(M$2,'Slutlig allokering kvv'!$B$1:$BX$1,0),FALSE)/1,0))</f>
        <v/>
      </c>
      <c r="N325" s="31" t="str">
        <f>IF($D325="","",IFERROR(VLOOKUP($B325,Kraftvärmeprod!$B$1:$BX$550,MATCH(N$2,Kraftvärmeprod!$B$1:$VX$1,0),FALSE)/1,0)-IFERROR(VLOOKUP($B325,'Slutlig allokering kvv'!$B$2:$BX$550,MATCH(N$2,'Slutlig allokering kvv'!$B$1:$BX$1,0),FALSE)/1,0))</f>
        <v/>
      </c>
      <c r="O325" s="31" t="str">
        <f>IF($D325="","",IFERROR(VLOOKUP($B325,Kraftvärmeprod!$B$1:$BX$550,MATCH(O$2,Kraftvärmeprod!$B$1:$VX$1,0),FALSE)/1,0)-IFERROR(VLOOKUP($B325,'Slutlig allokering kvv'!$B$2:$BX$550,MATCH(O$2,'Slutlig allokering kvv'!$B$1:$BX$1,0),FALSE)/1,0))</f>
        <v/>
      </c>
      <c r="P325" s="31" t="str">
        <f>IF($D325="","",IFERROR(VLOOKUP($B325,Kraftvärmeprod!$B$1:$BX$550,MATCH(P$2,Kraftvärmeprod!$B$1:$VX$1,0),FALSE)/1,0)-IFERROR(VLOOKUP($B325,'Slutlig allokering kvv'!$B$2:$BX$550,MATCH(P$2,'Slutlig allokering kvv'!$B$1:$BX$1,0),FALSE)/1,0))</f>
        <v/>
      </c>
      <c r="Q325" s="31" t="str">
        <f>IF($D325="","",IFERROR(VLOOKUP($B325,Kraftvärmeprod!$B$1:$BX$550,MATCH(Q$2,Kraftvärmeprod!$B$1:$VX$1,0),FALSE)/1,0)-IFERROR(VLOOKUP($B325,'Slutlig allokering kvv'!$B$2:$BX$550,MATCH(Q$2,'Slutlig allokering kvv'!$B$1:$BX$1,0),FALSE)/1,0))</f>
        <v/>
      </c>
      <c r="R325" s="31" t="str">
        <f>IF($D325="","",IFERROR(VLOOKUP($B325,Kraftvärmeprod!$B$1:$BX$550,MATCH(R$2,Kraftvärmeprod!$B$1:$VX$1,0),FALSE)/1,0)-IFERROR(VLOOKUP($B325,'Slutlig allokering kvv'!$B$2:$BX$550,MATCH(R$2,'Slutlig allokering kvv'!$B$1:$BX$1,0),FALSE)/1,0))</f>
        <v/>
      </c>
      <c r="S325" s="31" t="str">
        <f>IF($D325="","",IFERROR(VLOOKUP($B325,Kraftvärmeprod!$B$1:$BX$550,MATCH(S$2,Kraftvärmeprod!$B$1:$VX$1,0),FALSE)/1,0)-IFERROR(VLOOKUP($B325,'Slutlig allokering kvv'!$B$2:$BX$550,MATCH(S$2,'Slutlig allokering kvv'!$B$1:$BX$1,0),FALSE)/1,0))</f>
        <v/>
      </c>
      <c r="T325" s="31" t="str">
        <f>IF($D325="","",IFERROR(VLOOKUP($B325,Kraftvärmeprod!$B$1:$BX$550,MATCH(T$2,Kraftvärmeprod!$B$1:$VX$1,0),FALSE)/1,0)-IFERROR(VLOOKUP($B325,'Slutlig allokering kvv'!$B$2:$BX$550,MATCH(T$2,'Slutlig allokering kvv'!$B$1:$BX$1,0),FALSE)/1,0))</f>
        <v/>
      </c>
      <c r="U325" s="31" t="str">
        <f>IF($D325="","",IFERROR(VLOOKUP($B325,Kraftvärmeprod!$B$1:$BX$550,MATCH(U$2,Kraftvärmeprod!$B$1:$VX$1,0),FALSE)/1,0)-IFERROR(VLOOKUP($B325,'Slutlig allokering kvv'!$B$2:$BX$550,MATCH(U$2,'Slutlig allokering kvv'!$B$1:$BX$1,0),FALSE)/1,0))</f>
        <v/>
      </c>
      <c r="V325" s="31" t="str">
        <f>IF($D325="","",IFERROR(VLOOKUP($B325,Kraftvärmeprod!$B$1:$BX$550,MATCH(V$2,Kraftvärmeprod!$B$1:$VX$1,0),FALSE)/1,0)-IFERROR(VLOOKUP($B325,'Slutlig allokering kvv'!$B$2:$BX$550,MATCH(V$2,'Slutlig allokering kvv'!$B$1:$BX$1,0),FALSE)/1,0))</f>
        <v/>
      </c>
      <c r="W325" s="31" t="str">
        <f>IF($D325="","",IFERROR(VLOOKUP($B325,Kraftvärmeprod!$B$1:$BX$550,MATCH(W$2,Kraftvärmeprod!$B$1:$VX$1,0),FALSE)/1,0)-IFERROR(VLOOKUP($B325,'Slutlig allokering kvv'!$B$2:$BX$550,MATCH(W$2,'Slutlig allokering kvv'!$B$1:$BX$1,0),FALSE)/1,0))</f>
        <v/>
      </c>
      <c r="X325" s="31" t="str">
        <f>IF($D325="","",IFERROR(VLOOKUP($B325,Kraftvärmeprod!$B$1:$BX$550,MATCH(X$2,Kraftvärmeprod!$B$1:$VX$1,0),FALSE)/1,0)-IFERROR(VLOOKUP($B325,'Slutlig allokering kvv'!$B$2:$BX$550,MATCH(X$2,'Slutlig allokering kvv'!$B$1:$BX$1,0),FALSE)/1,0))</f>
        <v/>
      </c>
      <c r="Y325" s="31" t="str">
        <f>IF($D325="","",IFERROR(VLOOKUP($B325,Kraftvärmeprod!$B$1:$BX$550,MATCH(Y$2,Kraftvärmeprod!$B$1:$VX$1,0),FALSE)/1,0)-IFERROR(VLOOKUP($B325,'Slutlig allokering kvv'!$B$2:$BX$550,MATCH(Y$2,'Slutlig allokering kvv'!$B$1:$BX$1,0),FALSE)/1,0))</f>
        <v/>
      </c>
      <c r="Z325" s="31" t="str">
        <f>IF($D325="","",IFERROR(VLOOKUP($B325,Kraftvärmeprod!$B$1:$BX$550,MATCH(Z$2,Kraftvärmeprod!$B$1:$VX$1,0),FALSE)/1,0)-IFERROR(VLOOKUP($B325,'Slutlig allokering kvv'!$B$2:$BX$550,MATCH(Z$2,'Slutlig allokering kvv'!$B$1:$BX$1,0),FALSE)/1,0))</f>
        <v/>
      </c>
      <c r="AA325" s="31" t="str">
        <f>IF($D325="","",IFERROR(VLOOKUP($B325,Kraftvärmeprod!$B$1:$BX$550,MATCH(AA$2,Kraftvärmeprod!$B$1:$VX$1,0),FALSE)/1,0)-IFERROR(VLOOKUP($B325,'Slutlig allokering kvv'!$B$2:$BX$550,MATCH(AA$2,'Slutlig allokering kvv'!$B$1:$BX$1,0),FALSE)/1,0))</f>
        <v/>
      </c>
      <c r="AB325" s="31" t="str">
        <f>IF($D325="","",IFERROR(VLOOKUP($B325,Kraftvärmeprod!$B$1:$BX$550,MATCH(AB$2,Kraftvärmeprod!$B$1:$VX$1,0),FALSE)/1,0)-IFERROR(VLOOKUP($B325,'Slutlig allokering kvv'!$B$2:$BX$550,MATCH(AB$2,'Slutlig allokering kvv'!$B$1:$BX$1,0),FALSE)/1,0))</f>
        <v/>
      </c>
      <c r="AC325" s="31" t="str">
        <f>IF($D325="","",IFERROR(VLOOKUP($B325,Kraftvärmeprod!$B$1:$BX$550,MATCH(AC$2,Kraftvärmeprod!$B$1:$VX$1,0),FALSE)/1,0)-IFERROR(VLOOKUP($B325,'Slutlig allokering kvv'!$B$2:$BX$550,MATCH(AC$2,'Slutlig allokering kvv'!$B$1:$BX$1,0),FALSE)/1,0))</f>
        <v/>
      </c>
      <c r="AD325" s="31" t="str">
        <f>IF($D325="","",IFERROR(VLOOKUP($B325,Kraftvärmeprod!$B$1:$BX$550,MATCH(AD$2,Kraftvärmeprod!$B$1:$VX$1,0),FALSE)/1,0)-IFERROR(VLOOKUP($B325,'Slutlig allokering kvv'!$B$2:$BX$550,MATCH(AD$2,'Slutlig allokering kvv'!$B$1:$BX$1,0),FALSE)/1,0))</f>
        <v/>
      </c>
      <c r="AE325" s="31" t="str">
        <f>IF($D325="","",IFERROR(VLOOKUP($B325,Miljö!$B$1:$E$550,MATCH("Hjälpel kraftvärme (GWh)",Miljö!$B$1:$E$1,0),FALSE)/1,0)-IFERROR(VLOOKUP($B325,'Slutlig allokering kvv'!$B$2:$BX$549,MATCH(AE$2,'Slutlig allokering kvv'!$B$1:$BX$1,0),FALSE)/1,0))</f>
        <v/>
      </c>
      <c r="AI325" s="39">
        <f t="shared" si="20"/>
        <v>0</v>
      </c>
      <c r="AK325" s="31">
        <f>IFERROR(VLOOKUP($B325,'Slutlig allokering kvv'!$B$2:$AX$549,MATCH("Summa slutlig allokerad tillförd energi (utan hjälpel och rökgaskondensering):",'Slutlig allokering kvv'!$B$1:$AX$1,0),FALSE)/1,"")</f>
        <v>0</v>
      </c>
      <c r="AM325" s="31" t="str">
        <f>IFERROR(1-VLOOKUP($B325,'Slutlig allokering kvv'!$B$2:$AX$549,MATCH("Andel av bränsle i kvv som allokerats till värme, exklusive rökgaskondensering och hjälpel",'Slutlig allokering kvv'!$B$1:$AX$1,0),FALSE),"")</f>
        <v/>
      </c>
      <c r="AO325" s="31" t="str">
        <f t="shared" si="21"/>
        <v/>
      </c>
      <c r="AP325" s="31" t="str">
        <f t="shared" si="22"/>
        <v/>
      </c>
      <c r="AR325" s="32" t="str">
        <f t="shared" si="23"/>
        <v/>
      </c>
    </row>
    <row r="326" spans="1:44" s="31" customFormat="1" x14ac:dyDescent="0.45">
      <c r="A326" s="31" t="s">
        <v>48</v>
      </c>
      <c r="B326" s="31" t="s">
        <v>212</v>
      </c>
      <c r="C326" s="31" t="str">
        <f>IFERROR(VLOOKUP($B326,Kraftvärmeprod!$B$1:$AH$479,MATCH(C$2,Kraftvärmeprod!$B$1:$AG$1,0),FALSE)/1,"")</f>
        <v/>
      </c>
      <c r="D326" s="31" t="str">
        <f>IFERROR(VLOOKUP($B326,Kraftvärmeprod!$B$1:$AH$479,MATCH(D$2,Kraftvärmeprod!$B$1:$AG$1,0),FALSE)/1,"")</f>
        <v/>
      </c>
      <c r="F326" s="31" t="str">
        <f>IF($D326="","",IFERROR(VLOOKUP($B326,Kraftvärmeprod!$B$1:$BX$550,MATCH(F$2,Kraftvärmeprod!$B$1:$VX$1,0),FALSE)/1,0)-IFERROR(VLOOKUP($B326,'Slutlig allokering kvv'!$B$2:$BX$550,MATCH(F$2,'Slutlig allokering kvv'!$B$1:$BX$1,0),FALSE)/1,0))</f>
        <v/>
      </c>
      <c r="G326" s="31" t="str">
        <f>IF($D326="","",IFERROR(VLOOKUP($B326,Kraftvärmeprod!$B$1:$BX$550,MATCH(G$2,Kraftvärmeprod!$B$1:$VX$1,0),FALSE)/1,0)-IFERROR(VLOOKUP($B326,'Slutlig allokering kvv'!$B$2:$BX$550,MATCH(G$2,'Slutlig allokering kvv'!$B$1:$BX$1,0),FALSE)/1,0))</f>
        <v/>
      </c>
      <c r="H326" s="31" t="str">
        <f>IF($D326="","",IFERROR(VLOOKUP($B326,Kraftvärmeprod!$B$1:$BX$550,MATCH(H$2,Kraftvärmeprod!$B$1:$VX$1,0),FALSE)/1,0)-IFERROR(VLOOKUP($B326,'Slutlig allokering kvv'!$B$2:$BX$550,MATCH(H$2,'Slutlig allokering kvv'!$B$1:$BX$1,0),FALSE)/1,0))</f>
        <v/>
      </c>
      <c r="I326" s="31" t="str">
        <f>IF($D326="","",IFERROR(VLOOKUP($B326,Kraftvärmeprod!$B$1:$BX$550,MATCH(I$2,Kraftvärmeprod!$B$1:$VX$1,0),FALSE)/1,0)-IFERROR(VLOOKUP($B326,'Slutlig allokering kvv'!$B$2:$BX$550,MATCH(I$2,'Slutlig allokering kvv'!$B$1:$BX$1,0),FALSE)/1,0))</f>
        <v/>
      </c>
      <c r="J326" s="31" t="str">
        <f>IF($D326="","",IFERROR(VLOOKUP($B326,Kraftvärmeprod!$B$1:$BX$550,MATCH(J$2,Kraftvärmeprod!$B$1:$VX$1,0),FALSE)/1,0)-IFERROR(VLOOKUP($B326,'Slutlig allokering kvv'!$B$2:$BX$550,MATCH(J$2,'Slutlig allokering kvv'!$B$1:$BX$1,0),FALSE)/1,0))</f>
        <v/>
      </c>
      <c r="K326" s="31" t="str">
        <f>IF($D326="","",IFERROR(VLOOKUP($B326,Kraftvärmeprod!$B$1:$BX$550,MATCH(K$2,Kraftvärmeprod!$B$1:$VX$1,0),FALSE)/1,0)-IFERROR(VLOOKUP($B326,'Slutlig allokering kvv'!$B$2:$BX$550,MATCH(K$2,'Slutlig allokering kvv'!$B$1:$BX$1,0),FALSE)/1,0))</f>
        <v/>
      </c>
      <c r="L326" s="31" t="str">
        <f>IF($D326="","",IFERROR(VLOOKUP($B326,Kraftvärmeprod!$B$1:$BX$550,MATCH(L$2,Kraftvärmeprod!$B$1:$VX$1,0),FALSE)/1,0)-IFERROR(VLOOKUP($B326,'Slutlig allokering kvv'!$B$2:$BX$550,MATCH(L$2,'Slutlig allokering kvv'!$B$1:$BX$1,0),FALSE)/1,0))</f>
        <v/>
      </c>
      <c r="M326" s="31" t="str">
        <f>IF($D326="","",IFERROR(VLOOKUP($B326,Kraftvärmeprod!$B$1:$BX$550,MATCH(M$2,Kraftvärmeprod!$B$1:$VX$1,0),FALSE)/1,0)-IFERROR(VLOOKUP($B326,'Slutlig allokering kvv'!$B$2:$BX$550,MATCH(M$2,'Slutlig allokering kvv'!$B$1:$BX$1,0),FALSE)/1,0))</f>
        <v/>
      </c>
      <c r="N326" s="31" t="str">
        <f>IF($D326="","",IFERROR(VLOOKUP($B326,Kraftvärmeprod!$B$1:$BX$550,MATCH(N$2,Kraftvärmeprod!$B$1:$VX$1,0),FALSE)/1,0)-IFERROR(VLOOKUP($B326,'Slutlig allokering kvv'!$B$2:$BX$550,MATCH(N$2,'Slutlig allokering kvv'!$B$1:$BX$1,0),FALSE)/1,0))</f>
        <v/>
      </c>
      <c r="O326" s="31" t="str">
        <f>IF($D326="","",IFERROR(VLOOKUP($B326,Kraftvärmeprod!$B$1:$BX$550,MATCH(O$2,Kraftvärmeprod!$B$1:$VX$1,0),FALSE)/1,0)-IFERROR(VLOOKUP($B326,'Slutlig allokering kvv'!$B$2:$BX$550,MATCH(O$2,'Slutlig allokering kvv'!$B$1:$BX$1,0),FALSE)/1,0))</f>
        <v/>
      </c>
      <c r="P326" s="31" t="str">
        <f>IF($D326="","",IFERROR(VLOOKUP($B326,Kraftvärmeprod!$B$1:$BX$550,MATCH(P$2,Kraftvärmeprod!$B$1:$VX$1,0),FALSE)/1,0)-IFERROR(VLOOKUP($B326,'Slutlig allokering kvv'!$B$2:$BX$550,MATCH(P$2,'Slutlig allokering kvv'!$B$1:$BX$1,0),FALSE)/1,0))</f>
        <v/>
      </c>
      <c r="Q326" s="31" t="str">
        <f>IF($D326="","",IFERROR(VLOOKUP($B326,Kraftvärmeprod!$B$1:$BX$550,MATCH(Q$2,Kraftvärmeprod!$B$1:$VX$1,0),FALSE)/1,0)-IFERROR(VLOOKUP($B326,'Slutlig allokering kvv'!$B$2:$BX$550,MATCH(Q$2,'Slutlig allokering kvv'!$B$1:$BX$1,0),FALSE)/1,0))</f>
        <v/>
      </c>
      <c r="R326" s="31" t="str">
        <f>IF($D326="","",IFERROR(VLOOKUP($B326,Kraftvärmeprod!$B$1:$BX$550,MATCH(R$2,Kraftvärmeprod!$B$1:$VX$1,0),FALSE)/1,0)-IFERROR(VLOOKUP($B326,'Slutlig allokering kvv'!$B$2:$BX$550,MATCH(R$2,'Slutlig allokering kvv'!$B$1:$BX$1,0),FALSE)/1,0))</f>
        <v/>
      </c>
      <c r="S326" s="31" t="str">
        <f>IF($D326="","",IFERROR(VLOOKUP($B326,Kraftvärmeprod!$B$1:$BX$550,MATCH(S$2,Kraftvärmeprod!$B$1:$VX$1,0),FALSE)/1,0)-IFERROR(VLOOKUP($B326,'Slutlig allokering kvv'!$B$2:$BX$550,MATCH(S$2,'Slutlig allokering kvv'!$B$1:$BX$1,0),FALSE)/1,0))</f>
        <v/>
      </c>
      <c r="T326" s="31" t="str">
        <f>IF($D326="","",IFERROR(VLOOKUP($B326,Kraftvärmeprod!$B$1:$BX$550,MATCH(T$2,Kraftvärmeprod!$B$1:$VX$1,0),FALSE)/1,0)-IFERROR(VLOOKUP($B326,'Slutlig allokering kvv'!$B$2:$BX$550,MATCH(T$2,'Slutlig allokering kvv'!$B$1:$BX$1,0),FALSE)/1,0))</f>
        <v/>
      </c>
      <c r="U326" s="31" t="str">
        <f>IF($D326="","",IFERROR(VLOOKUP($B326,Kraftvärmeprod!$B$1:$BX$550,MATCH(U$2,Kraftvärmeprod!$B$1:$VX$1,0),FALSE)/1,0)-IFERROR(VLOOKUP($B326,'Slutlig allokering kvv'!$B$2:$BX$550,MATCH(U$2,'Slutlig allokering kvv'!$B$1:$BX$1,0),FALSE)/1,0))</f>
        <v/>
      </c>
      <c r="V326" s="31" t="str">
        <f>IF($D326="","",IFERROR(VLOOKUP($B326,Kraftvärmeprod!$B$1:$BX$550,MATCH(V$2,Kraftvärmeprod!$B$1:$VX$1,0),FALSE)/1,0)-IFERROR(VLOOKUP($B326,'Slutlig allokering kvv'!$B$2:$BX$550,MATCH(V$2,'Slutlig allokering kvv'!$B$1:$BX$1,0),FALSE)/1,0))</f>
        <v/>
      </c>
      <c r="W326" s="31" t="str">
        <f>IF($D326="","",IFERROR(VLOOKUP($B326,Kraftvärmeprod!$B$1:$BX$550,MATCH(W$2,Kraftvärmeprod!$B$1:$VX$1,0),FALSE)/1,0)-IFERROR(VLOOKUP($B326,'Slutlig allokering kvv'!$B$2:$BX$550,MATCH(W$2,'Slutlig allokering kvv'!$B$1:$BX$1,0),FALSE)/1,0))</f>
        <v/>
      </c>
      <c r="X326" s="31" t="str">
        <f>IF($D326="","",IFERROR(VLOOKUP($B326,Kraftvärmeprod!$B$1:$BX$550,MATCH(X$2,Kraftvärmeprod!$B$1:$VX$1,0),FALSE)/1,0)-IFERROR(VLOOKUP($B326,'Slutlig allokering kvv'!$B$2:$BX$550,MATCH(X$2,'Slutlig allokering kvv'!$B$1:$BX$1,0),FALSE)/1,0))</f>
        <v/>
      </c>
      <c r="Y326" s="31" t="str">
        <f>IF($D326="","",IFERROR(VLOOKUP($B326,Kraftvärmeprod!$B$1:$BX$550,MATCH(Y$2,Kraftvärmeprod!$B$1:$VX$1,0),FALSE)/1,0)-IFERROR(VLOOKUP($B326,'Slutlig allokering kvv'!$B$2:$BX$550,MATCH(Y$2,'Slutlig allokering kvv'!$B$1:$BX$1,0),FALSE)/1,0))</f>
        <v/>
      </c>
      <c r="Z326" s="31" t="str">
        <f>IF($D326="","",IFERROR(VLOOKUP($B326,Kraftvärmeprod!$B$1:$BX$550,MATCH(Z$2,Kraftvärmeprod!$B$1:$VX$1,0),FALSE)/1,0)-IFERROR(VLOOKUP($B326,'Slutlig allokering kvv'!$B$2:$BX$550,MATCH(Z$2,'Slutlig allokering kvv'!$B$1:$BX$1,0),FALSE)/1,0))</f>
        <v/>
      </c>
      <c r="AA326" s="31" t="str">
        <f>IF($D326="","",IFERROR(VLOOKUP($B326,Kraftvärmeprod!$B$1:$BX$550,MATCH(AA$2,Kraftvärmeprod!$B$1:$VX$1,0),FALSE)/1,0)-IFERROR(VLOOKUP($B326,'Slutlig allokering kvv'!$B$2:$BX$550,MATCH(AA$2,'Slutlig allokering kvv'!$B$1:$BX$1,0),FALSE)/1,0))</f>
        <v/>
      </c>
      <c r="AB326" s="31" t="str">
        <f>IF($D326="","",IFERROR(VLOOKUP($B326,Kraftvärmeprod!$B$1:$BX$550,MATCH(AB$2,Kraftvärmeprod!$B$1:$VX$1,0),FALSE)/1,0)-IFERROR(VLOOKUP($B326,'Slutlig allokering kvv'!$B$2:$BX$550,MATCH(AB$2,'Slutlig allokering kvv'!$B$1:$BX$1,0),FALSE)/1,0))</f>
        <v/>
      </c>
      <c r="AC326" s="31" t="str">
        <f>IF($D326="","",IFERROR(VLOOKUP($B326,Kraftvärmeprod!$B$1:$BX$550,MATCH(AC$2,Kraftvärmeprod!$B$1:$VX$1,0),FALSE)/1,0)-IFERROR(VLOOKUP($B326,'Slutlig allokering kvv'!$B$2:$BX$550,MATCH(AC$2,'Slutlig allokering kvv'!$B$1:$BX$1,0),FALSE)/1,0))</f>
        <v/>
      </c>
      <c r="AD326" s="31" t="str">
        <f>IF($D326="","",IFERROR(VLOOKUP($B326,Kraftvärmeprod!$B$1:$BX$550,MATCH(AD$2,Kraftvärmeprod!$B$1:$VX$1,0),FALSE)/1,0)-IFERROR(VLOOKUP($B326,'Slutlig allokering kvv'!$B$2:$BX$550,MATCH(AD$2,'Slutlig allokering kvv'!$B$1:$BX$1,0),FALSE)/1,0))</f>
        <v/>
      </c>
      <c r="AE326" s="31" t="str">
        <f>IF($D326="","",IFERROR(VLOOKUP($B326,Miljö!$B$1:$E$550,MATCH("Hjälpel kraftvärme (GWh)",Miljö!$B$1:$E$1,0),FALSE)/1,0)-IFERROR(VLOOKUP($B326,'Slutlig allokering kvv'!$B$2:$BX$549,MATCH(AE$2,'Slutlig allokering kvv'!$B$1:$BX$1,0),FALSE)/1,0))</f>
        <v/>
      </c>
      <c r="AI326" s="39">
        <f t="shared" si="20"/>
        <v>0</v>
      </c>
      <c r="AK326" s="31">
        <f>IFERROR(VLOOKUP($B326,'Slutlig allokering kvv'!$B$2:$AX$549,MATCH("Summa slutlig allokerad tillförd energi (utan hjälpel och rökgaskondensering):",'Slutlig allokering kvv'!$B$1:$AX$1,0),FALSE)/1,"")</f>
        <v>0</v>
      </c>
      <c r="AM326" s="31" t="str">
        <f>IFERROR(1-VLOOKUP($B326,'Slutlig allokering kvv'!$B$2:$AX$549,MATCH("Andel av bränsle i kvv som allokerats till värme, exklusive rökgaskondensering och hjälpel",'Slutlig allokering kvv'!$B$1:$AX$1,0),FALSE),"")</f>
        <v/>
      </c>
      <c r="AO326" s="31" t="str">
        <f t="shared" si="21"/>
        <v/>
      </c>
      <c r="AP326" s="31" t="str">
        <f t="shared" si="22"/>
        <v/>
      </c>
      <c r="AR326" s="32" t="str">
        <f t="shared" si="23"/>
        <v/>
      </c>
    </row>
    <row r="327" spans="1:44" s="31" customFormat="1" x14ac:dyDescent="0.45">
      <c r="A327" s="31" t="s">
        <v>48</v>
      </c>
      <c r="B327" s="31" t="s">
        <v>211</v>
      </c>
      <c r="C327" s="31" t="str">
        <f>IFERROR(VLOOKUP($B327,Kraftvärmeprod!$B$1:$AH$479,MATCH(C$2,Kraftvärmeprod!$B$1:$AG$1,0),FALSE)/1,"")</f>
        <v/>
      </c>
      <c r="D327" s="31" t="str">
        <f>IFERROR(VLOOKUP($B327,Kraftvärmeprod!$B$1:$AH$479,MATCH(D$2,Kraftvärmeprod!$B$1:$AG$1,0),FALSE)/1,"")</f>
        <v/>
      </c>
      <c r="F327" s="31" t="str">
        <f>IF($D327="","",IFERROR(VLOOKUP($B327,Kraftvärmeprod!$B$1:$BX$550,MATCH(F$2,Kraftvärmeprod!$B$1:$VX$1,0),FALSE)/1,0)-IFERROR(VLOOKUP($B327,'Slutlig allokering kvv'!$B$2:$BX$550,MATCH(F$2,'Slutlig allokering kvv'!$B$1:$BX$1,0),FALSE)/1,0))</f>
        <v/>
      </c>
      <c r="G327" s="31" t="str">
        <f>IF($D327="","",IFERROR(VLOOKUP($B327,Kraftvärmeprod!$B$1:$BX$550,MATCH(G$2,Kraftvärmeprod!$B$1:$VX$1,0),FALSE)/1,0)-IFERROR(VLOOKUP($B327,'Slutlig allokering kvv'!$B$2:$BX$550,MATCH(G$2,'Slutlig allokering kvv'!$B$1:$BX$1,0),FALSE)/1,0))</f>
        <v/>
      </c>
      <c r="H327" s="31" t="str">
        <f>IF($D327="","",IFERROR(VLOOKUP($B327,Kraftvärmeprod!$B$1:$BX$550,MATCH(H$2,Kraftvärmeprod!$B$1:$VX$1,0),FALSE)/1,0)-IFERROR(VLOOKUP($B327,'Slutlig allokering kvv'!$B$2:$BX$550,MATCH(H$2,'Slutlig allokering kvv'!$B$1:$BX$1,0),FALSE)/1,0))</f>
        <v/>
      </c>
      <c r="I327" s="31" t="str">
        <f>IF($D327="","",IFERROR(VLOOKUP($B327,Kraftvärmeprod!$B$1:$BX$550,MATCH(I$2,Kraftvärmeprod!$B$1:$VX$1,0),FALSE)/1,0)-IFERROR(VLOOKUP($B327,'Slutlig allokering kvv'!$B$2:$BX$550,MATCH(I$2,'Slutlig allokering kvv'!$B$1:$BX$1,0),FALSE)/1,0))</f>
        <v/>
      </c>
      <c r="J327" s="31" t="str">
        <f>IF($D327="","",IFERROR(VLOOKUP($B327,Kraftvärmeprod!$B$1:$BX$550,MATCH(J$2,Kraftvärmeprod!$B$1:$VX$1,0),FALSE)/1,0)-IFERROR(VLOOKUP($B327,'Slutlig allokering kvv'!$B$2:$BX$550,MATCH(J$2,'Slutlig allokering kvv'!$B$1:$BX$1,0),FALSE)/1,0))</f>
        <v/>
      </c>
      <c r="K327" s="31" t="str">
        <f>IF($D327="","",IFERROR(VLOOKUP($B327,Kraftvärmeprod!$B$1:$BX$550,MATCH(K$2,Kraftvärmeprod!$B$1:$VX$1,0),FALSE)/1,0)-IFERROR(VLOOKUP($B327,'Slutlig allokering kvv'!$B$2:$BX$550,MATCH(K$2,'Slutlig allokering kvv'!$B$1:$BX$1,0),FALSE)/1,0))</f>
        <v/>
      </c>
      <c r="L327" s="31" t="str">
        <f>IF($D327="","",IFERROR(VLOOKUP($B327,Kraftvärmeprod!$B$1:$BX$550,MATCH(L$2,Kraftvärmeprod!$B$1:$VX$1,0),FALSE)/1,0)-IFERROR(VLOOKUP($B327,'Slutlig allokering kvv'!$B$2:$BX$550,MATCH(L$2,'Slutlig allokering kvv'!$B$1:$BX$1,0),FALSE)/1,0))</f>
        <v/>
      </c>
      <c r="M327" s="31" t="str">
        <f>IF($D327="","",IFERROR(VLOOKUP($B327,Kraftvärmeprod!$B$1:$BX$550,MATCH(M$2,Kraftvärmeprod!$B$1:$VX$1,0),FALSE)/1,0)-IFERROR(VLOOKUP($B327,'Slutlig allokering kvv'!$B$2:$BX$550,MATCH(M$2,'Slutlig allokering kvv'!$B$1:$BX$1,0),FALSE)/1,0))</f>
        <v/>
      </c>
      <c r="N327" s="31" t="str">
        <f>IF($D327="","",IFERROR(VLOOKUP($B327,Kraftvärmeprod!$B$1:$BX$550,MATCH(N$2,Kraftvärmeprod!$B$1:$VX$1,0),FALSE)/1,0)-IFERROR(VLOOKUP($B327,'Slutlig allokering kvv'!$B$2:$BX$550,MATCH(N$2,'Slutlig allokering kvv'!$B$1:$BX$1,0),FALSE)/1,0))</f>
        <v/>
      </c>
      <c r="O327" s="31" t="str">
        <f>IF($D327="","",IFERROR(VLOOKUP($B327,Kraftvärmeprod!$B$1:$BX$550,MATCH(O$2,Kraftvärmeprod!$B$1:$VX$1,0),FALSE)/1,0)-IFERROR(VLOOKUP($B327,'Slutlig allokering kvv'!$B$2:$BX$550,MATCH(O$2,'Slutlig allokering kvv'!$B$1:$BX$1,0),FALSE)/1,0))</f>
        <v/>
      </c>
      <c r="P327" s="31" t="str">
        <f>IF($D327="","",IFERROR(VLOOKUP($B327,Kraftvärmeprod!$B$1:$BX$550,MATCH(P$2,Kraftvärmeprod!$B$1:$VX$1,0),FALSE)/1,0)-IFERROR(VLOOKUP($B327,'Slutlig allokering kvv'!$B$2:$BX$550,MATCH(P$2,'Slutlig allokering kvv'!$B$1:$BX$1,0),FALSE)/1,0))</f>
        <v/>
      </c>
      <c r="Q327" s="31" t="str">
        <f>IF($D327="","",IFERROR(VLOOKUP($B327,Kraftvärmeprod!$B$1:$BX$550,MATCH(Q$2,Kraftvärmeprod!$B$1:$VX$1,0),FALSE)/1,0)-IFERROR(VLOOKUP($B327,'Slutlig allokering kvv'!$B$2:$BX$550,MATCH(Q$2,'Slutlig allokering kvv'!$B$1:$BX$1,0),FALSE)/1,0))</f>
        <v/>
      </c>
      <c r="R327" s="31" t="str">
        <f>IF($D327="","",IFERROR(VLOOKUP($B327,Kraftvärmeprod!$B$1:$BX$550,MATCH(R$2,Kraftvärmeprod!$B$1:$VX$1,0),FALSE)/1,0)-IFERROR(VLOOKUP($B327,'Slutlig allokering kvv'!$B$2:$BX$550,MATCH(R$2,'Slutlig allokering kvv'!$B$1:$BX$1,0),FALSE)/1,0))</f>
        <v/>
      </c>
      <c r="S327" s="31" t="str">
        <f>IF($D327="","",IFERROR(VLOOKUP($B327,Kraftvärmeprod!$B$1:$BX$550,MATCH(S$2,Kraftvärmeprod!$B$1:$VX$1,0),FALSE)/1,0)-IFERROR(VLOOKUP($B327,'Slutlig allokering kvv'!$B$2:$BX$550,MATCH(S$2,'Slutlig allokering kvv'!$B$1:$BX$1,0),FALSE)/1,0))</f>
        <v/>
      </c>
      <c r="T327" s="31" t="str">
        <f>IF($D327="","",IFERROR(VLOOKUP($B327,Kraftvärmeprod!$B$1:$BX$550,MATCH(T$2,Kraftvärmeprod!$B$1:$VX$1,0),FALSE)/1,0)-IFERROR(VLOOKUP($B327,'Slutlig allokering kvv'!$B$2:$BX$550,MATCH(T$2,'Slutlig allokering kvv'!$B$1:$BX$1,0),FALSE)/1,0))</f>
        <v/>
      </c>
      <c r="U327" s="31" t="str">
        <f>IF($D327="","",IFERROR(VLOOKUP($B327,Kraftvärmeprod!$B$1:$BX$550,MATCH(U$2,Kraftvärmeprod!$B$1:$VX$1,0),FALSE)/1,0)-IFERROR(VLOOKUP($B327,'Slutlig allokering kvv'!$B$2:$BX$550,MATCH(U$2,'Slutlig allokering kvv'!$B$1:$BX$1,0),FALSE)/1,0))</f>
        <v/>
      </c>
      <c r="V327" s="31" t="str">
        <f>IF($D327="","",IFERROR(VLOOKUP($B327,Kraftvärmeprod!$B$1:$BX$550,MATCH(V$2,Kraftvärmeprod!$B$1:$VX$1,0),FALSE)/1,0)-IFERROR(VLOOKUP($B327,'Slutlig allokering kvv'!$B$2:$BX$550,MATCH(V$2,'Slutlig allokering kvv'!$B$1:$BX$1,0),FALSE)/1,0))</f>
        <v/>
      </c>
      <c r="W327" s="31" t="str">
        <f>IF($D327="","",IFERROR(VLOOKUP($B327,Kraftvärmeprod!$B$1:$BX$550,MATCH(W$2,Kraftvärmeprod!$B$1:$VX$1,0),FALSE)/1,0)-IFERROR(VLOOKUP($B327,'Slutlig allokering kvv'!$B$2:$BX$550,MATCH(W$2,'Slutlig allokering kvv'!$B$1:$BX$1,0),FALSE)/1,0))</f>
        <v/>
      </c>
      <c r="X327" s="31" t="str">
        <f>IF($D327="","",IFERROR(VLOOKUP($B327,Kraftvärmeprod!$B$1:$BX$550,MATCH(X$2,Kraftvärmeprod!$B$1:$VX$1,0),FALSE)/1,0)-IFERROR(VLOOKUP($B327,'Slutlig allokering kvv'!$B$2:$BX$550,MATCH(X$2,'Slutlig allokering kvv'!$B$1:$BX$1,0),FALSE)/1,0))</f>
        <v/>
      </c>
      <c r="Y327" s="31" t="str">
        <f>IF($D327="","",IFERROR(VLOOKUP($B327,Kraftvärmeprod!$B$1:$BX$550,MATCH(Y$2,Kraftvärmeprod!$B$1:$VX$1,0),FALSE)/1,0)-IFERROR(VLOOKUP($B327,'Slutlig allokering kvv'!$B$2:$BX$550,MATCH(Y$2,'Slutlig allokering kvv'!$B$1:$BX$1,0),FALSE)/1,0))</f>
        <v/>
      </c>
      <c r="Z327" s="31" t="str">
        <f>IF($D327="","",IFERROR(VLOOKUP($B327,Kraftvärmeprod!$B$1:$BX$550,MATCH(Z$2,Kraftvärmeprod!$B$1:$VX$1,0),FALSE)/1,0)-IFERROR(VLOOKUP($B327,'Slutlig allokering kvv'!$B$2:$BX$550,MATCH(Z$2,'Slutlig allokering kvv'!$B$1:$BX$1,0),FALSE)/1,0))</f>
        <v/>
      </c>
      <c r="AA327" s="31" t="str">
        <f>IF($D327="","",IFERROR(VLOOKUP($B327,Kraftvärmeprod!$B$1:$BX$550,MATCH(AA$2,Kraftvärmeprod!$B$1:$VX$1,0),FALSE)/1,0)-IFERROR(VLOOKUP($B327,'Slutlig allokering kvv'!$B$2:$BX$550,MATCH(AA$2,'Slutlig allokering kvv'!$B$1:$BX$1,0),FALSE)/1,0))</f>
        <v/>
      </c>
      <c r="AB327" s="31" t="str">
        <f>IF($D327="","",IFERROR(VLOOKUP($B327,Kraftvärmeprod!$B$1:$BX$550,MATCH(AB$2,Kraftvärmeprod!$B$1:$VX$1,0),FALSE)/1,0)-IFERROR(VLOOKUP($B327,'Slutlig allokering kvv'!$B$2:$BX$550,MATCH(AB$2,'Slutlig allokering kvv'!$B$1:$BX$1,0),FALSE)/1,0))</f>
        <v/>
      </c>
      <c r="AC327" s="31" t="str">
        <f>IF($D327="","",IFERROR(VLOOKUP($B327,Kraftvärmeprod!$B$1:$BX$550,MATCH(AC$2,Kraftvärmeprod!$B$1:$VX$1,0),FALSE)/1,0)-IFERROR(VLOOKUP($B327,'Slutlig allokering kvv'!$B$2:$BX$550,MATCH(AC$2,'Slutlig allokering kvv'!$B$1:$BX$1,0),FALSE)/1,0))</f>
        <v/>
      </c>
      <c r="AD327" s="31" t="str">
        <f>IF($D327="","",IFERROR(VLOOKUP($B327,Kraftvärmeprod!$B$1:$BX$550,MATCH(AD$2,Kraftvärmeprod!$B$1:$VX$1,0),FALSE)/1,0)-IFERROR(VLOOKUP($B327,'Slutlig allokering kvv'!$B$2:$BX$550,MATCH(AD$2,'Slutlig allokering kvv'!$B$1:$BX$1,0),FALSE)/1,0))</f>
        <v/>
      </c>
      <c r="AE327" s="31" t="str">
        <f>IF($D327="","",IFERROR(VLOOKUP($B327,Miljö!$B$1:$E$550,MATCH("Hjälpel kraftvärme (GWh)",Miljö!$B$1:$E$1,0),FALSE)/1,0)-IFERROR(VLOOKUP($B327,'Slutlig allokering kvv'!$B$2:$BX$549,MATCH(AE$2,'Slutlig allokering kvv'!$B$1:$BX$1,0),FALSE)/1,0))</f>
        <v/>
      </c>
      <c r="AI327" s="39">
        <f t="shared" si="20"/>
        <v>0</v>
      </c>
      <c r="AK327" s="31">
        <f>IFERROR(VLOOKUP($B327,'Slutlig allokering kvv'!$B$2:$AX$549,MATCH("Summa slutlig allokerad tillförd energi (utan hjälpel och rökgaskondensering):",'Slutlig allokering kvv'!$B$1:$AX$1,0),FALSE)/1,"")</f>
        <v>0</v>
      </c>
      <c r="AM327" s="31" t="str">
        <f>IFERROR(1-VLOOKUP($B327,'Slutlig allokering kvv'!$B$2:$AX$549,MATCH("Andel av bränsle i kvv som allokerats till värme, exklusive rökgaskondensering och hjälpel",'Slutlig allokering kvv'!$B$1:$AX$1,0),FALSE),"")</f>
        <v/>
      </c>
      <c r="AO327" s="31" t="str">
        <f t="shared" si="21"/>
        <v/>
      </c>
      <c r="AP327" s="31" t="str">
        <f t="shared" si="22"/>
        <v/>
      </c>
      <c r="AR327" s="32" t="str">
        <f t="shared" si="23"/>
        <v/>
      </c>
    </row>
    <row r="328" spans="1:44" s="31" customFormat="1" x14ac:dyDescent="0.45">
      <c r="A328" s="31" t="s">
        <v>48</v>
      </c>
      <c r="B328" s="31" t="s">
        <v>210</v>
      </c>
      <c r="C328" s="31" t="str">
        <f>IFERROR(VLOOKUP($B328,Kraftvärmeprod!$B$1:$AH$479,MATCH(C$2,Kraftvärmeprod!$B$1:$AG$1,0),FALSE)/1,"")</f>
        <v/>
      </c>
      <c r="D328" s="31" t="str">
        <f>IFERROR(VLOOKUP($B328,Kraftvärmeprod!$B$1:$AH$479,MATCH(D$2,Kraftvärmeprod!$B$1:$AG$1,0),FALSE)/1,"")</f>
        <v/>
      </c>
      <c r="F328" s="31" t="str">
        <f>IF($D328="","",IFERROR(VLOOKUP($B328,Kraftvärmeprod!$B$1:$BX$550,MATCH(F$2,Kraftvärmeprod!$B$1:$VX$1,0),FALSE)/1,0)-IFERROR(VLOOKUP($B328,'Slutlig allokering kvv'!$B$2:$BX$550,MATCH(F$2,'Slutlig allokering kvv'!$B$1:$BX$1,0),FALSE)/1,0))</f>
        <v/>
      </c>
      <c r="G328" s="31" t="str">
        <f>IF($D328="","",IFERROR(VLOOKUP($B328,Kraftvärmeprod!$B$1:$BX$550,MATCH(G$2,Kraftvärmeprod!$B$1:$VX$1,0),FALSE)/1,0)-IFERROR(VLOOKUP($B328,'Slutlig allokering kvv'!$B$2:$BX$550,MATCH(G$2,'Slutlig allokering kvv'!$B$1:$BX$1,0),FALSE)/1,0))</f>
        <v/>
      </c>
      <c r="H328" s="31" t="str">
        <f>IF($D328="","",IFERROR(VLOOKUP($B328,Kraftvärmeprod!$B$1:$BX$550,MATCH(H$2,Kraftvärmeprod!$B$1:$VX$1,0),FALSE)/1,0)-IFERROR(VLOOKUP($B328,'Slutlig allokering kvv'!$B$2:$BX$550,MATCH(H$2,'Slutlig allokering kvv'!$B$1:$BX$1,0),FALSE)/1,0))</f>
        <v/>
      </c>
      <c r="I328" s="31" t="str">
        <f>IF($D328="","",IFERROR(VLOOKUP($B328,Kraftvärmeprod!$B$1:$BX$550,MATCH(I$2,Kraftvärmeprod!$B$1:$VX$1,0),FALSE)/1,0)-IFERROR(VLOOKUP($B328,'Slutlig allokering kvv'!$B$2:$BX$550,MATCH(I$2,'Slutlig allokering kvv'!$B$1:$BX$1,0),FALSE)/1,0))</f>
        <v/>
      </c>
      <c r="J328" s="31" t="str">
        <f>IF($D328="","",IFERROR(VLOOKUP($B328,Kraftvärmeprod!$B$1:$BX$550,MATCH(J$2,Kraftvärmeprod!$B$1:$VX$1,0),FALSE)/1,0)-IFERROR(VLOOKUP($B328,'Slutlig allokering kvv'!$B$2:$BX$550,MATCH(J$2,'Slutlig allokering kvv'!$B$1:$BX$1,0),FALSE)/1,0))</f>
        <v/>
      </c>
      <c r="K328" s="31" t="str">
        <f>IF($D328="","",IFERROR(VLOOKUP($B328,Kraftvärmeprod!$B$1:$BX$550,MATCH(K$2,Kraftvärmeprod!$B$1:$VX$1,0),FALSE)/1,0)-IFERROR(VLOOKUP($B328,'Slutlig allokering kvv'!$B$2:$BX$550,MATCH(K$2,'Slutlig allokering kvv'!$B$1:$BX$1,0),FALSE)/1,0))</f>
        <v/>
      </c>
      <c r="L328" s="31" t="str">
        <f>IF($D328="","",IFERROR(VLOOKUP($B328,Kraftvärmeprod!$B$1:$BX$550,MATCH(L$2,Kraftvärmeprod!$B$1:$VX$1,0),FALSE)/1,0)-IFERROR(VLOOKUP($B328,'Slutlig allokering kvv'!$B$2:$BX$550,MATCH(L$2,'Slutlig allokering kvv'!$B$1:$BX$1,0),FALSE)/1,0))</f>
        <v/>
      </c>
      <c r="M328" s="31" t="str">
        <f>IF($D328="","",IFERROR(VLOOKUP($B328,Kraftvärmeprod!$B$1:$BX$550,MATCH(M$2,Kraftvärmeprod!$B$1:$VX$1,0),FALSE)/1,0)-IFERROR(VLOOKUP($B328,'Slutlig allokering kvv'!$B$2:$BX$550,MATCH(M$2,'Slutlig allokering kvv'!$B$1:$BX$1,0),FALSE)/1,0))</f>
        <v/>
      </c>
      <c r="N328" s="31" t="str">
        <f>IF($D328="","",IFERROR(VLOOKUP($B328,Kraftvärmeprod!$B$1:$BX$550,MATCH(N$2,Kraftvärmeprod!$B$1:$VX$1,0),FALSE)/1,0)-IFERROR(VLOOKUP($B328,'Slutlig allokering kvv'!$B$2:$BX$550,MATCH(N$2,'Slutlig allokering kvv'!$B$1:$BX$1,0),FALSE)/1,0))</f>
        <v/>
      </c>
      <c r="O328" s="31" t="str">
        <f>IF($D328="","",IFERROR(VLOOKUP($B328,Kraftvärmeprod!$B$1:$BX$550,MATCH(O$2,Kraftvärmeprod!$B$1:$VX$1,0),FALSE)/1,0)-IFERROR(VLOOKUP($B328,'Slutlig allokering kvv'!$B$2:$BX$550,MATCH(O$2,'Slutlig allokering kvv'!$B$1:$BX$1,0),FALSE)/1,0))</f>
        <v/>
      </c>
      <c r="P328" s="31" t="str">
        <f>IF($D328="","",IFERROR(VLOOKUP($B328,Kraftvärmeprod!$B$1:$BX$550,MATCH(P$2,Kraftvärmeprod!$B$1:$VX$1,0),FALSE)/1,0)-IFERROR(VLOOKUP($B328,'Slutlig allokering kvv'!$B$2:$BX$550,MATCH(P$2,'Slutlig allokering kvv'!$B$1:$BX$1,0),FALSE)/1,0))</f>
        <v/>
      </c>
      <c r="Q328" s="31" t="str">
        <f>IF($D328="","",IFERROR(VLOOKUP($B328,Kraftvärmeprod!$B$1:$BX$550,MATCH(Q$2,Kraftvärmeprod!$B$1:$VX$1,0),FALSE)/1,0)-IFERROR(VLOOKUP($B328,'Slutlig allokering kvv'!$B$2:$BX$550,MATCH(Q$2,'Slutlig allokering kvv'!$B$1:$BX$1,0),FALSE)/1,0))</f>
        <v/>
      </c>
      <c r="R328" s="31" t="str">
        <f>IF($D328="","",IFERROR(VLOOKUP($B328,Kraftvärmeprod!$B$1:$BX$550,MATCH(R$2,Kraftvärmeprod!$B$1:$VX$1,0),FALSE)/1,0)-IFERROR(VLOOKUP($B328,'Slutlig allokering kvv'!$B$2:$BX$550,MATCH(R$2,'Slutlig allokering kvv'!$B$1:$BX$1,0),FALSE)/1,0))</f>
        <v/>
      </c>
      <c r="S328" s="31" t="str">
        <f>IF($D328="","",IFERROR(VLOOKUP($B328,Kraftvärmeprod!$B$1:$BX$550,MATCH(S$2,Kraftvärmeprod!$B$1:$VX$1,0),FALSE)/1,0)-IFERROR(VLOOKUP($B328,'Slutlig allokering kvv'!$B$2:$BX$550,MATCH(S$2,'Slutlig allokering kvv'!$B$1:$BX$1,0),FALSE)/1,0))</f>
        <v/>
      </c>
      <c r="T328" s="31" t="str">
        <f>IF($D328="","",IFERROR(VLOOKUP($B328,Kraftvärmeprod!$B$1:$BX$550,MATCH(T$2,Kraftvärmeprod!$B$1:$VX$1,0),FALSE)/1,0)-IFERROR(VLOOKUP($B328,'Slutlig allokering kvv'!$B$2:$BX$550,MATCH(T$2,'Slutlig allokering kvv'!$B$1:$BX$1,0),FALSE)/1,0))</f>
        <v/>
      </c>
      <c r="U328" s="31" t="str">
        <f>IF($D328="","",IFERROR(VLOOKUP($B328,Kraftvärmeprod!$B$1:$BX$550,MATCH(U$2,Kraftvärmeprod!$B$1:$VX$1,0),FALSE)/1,0)-IFERROR(VLOOKUP($B328,'Slutlig allokering kvv'!$B$2:$BX$550,MATCH(U$2,'Slutlig allokering kvv'!$B$1:$BX$1,0),FALSE)/1,0))</f>
        <v/>
      </c>
      <c r="V328" s="31" t="str">
        <f>IF($D328="","",IFERROR(VLOOKUP($B328,Kraftvärmeprod!$B$1:$BX$550,MATCH(V$2,Kraftvärmeprod!$B$1:$VX$1,0),FALSE)/1,0)-IFERROR(VLOOKUP($B328,'Slutlig allokering kvv'!$B$2:$BX$550,MATCH(V$2,'Slutlig allokering kvv'!$B$1:$BX$1,0),FALSE)/1,0))</f>
        <v/>
      </c>
      <c r="W328" s="31" t="str">
        <f>IF($D328="","",IFERROR(VLOOKUP($B328,Kraftvärmeprod!$B$1:$BX$550,MATCH(W$2,Kraftvärmeprod!$B$1:$VX$1,0),FALSE)/1,0)-IFERROR(VLOOKUP($B328,'Slutlig allokering kvv'!$B$2:$BX$550,MATCH(W$2,'Slutlig allokering kvv'!$B$1:$BX$1,0),FALSE)/1,0))</f>
        <v/>
      </c>
      <c r="X328" s="31" t="str">
        <f>IF($D328="","",IFERROR(VLOOKUP($B328,Kraftvärmeprod!$B$1:$BX$550,MATCH(X$2,Kraftvärmeprod!$B$1:$VX$1,0),FALSE)/1,0)-IFERROR(VLOOKUP($B328,'Slutlig allokering kvv'!$B$2:$BX$550,MATCH(X$2,'Slutlig allokering kvv'!$B$1:$BX$1,0),FALSE)/1,0))</f>
        <v/>
      </c>
      <c r="Y328" s="31" t="str">
        <f>IF($D328="","",IFERROR(VLOOKUP($B328,Kraftvärmeprod!$B$1:$BX$550,MATCH(Y$2,Kraftvärmeprod!$B$1:$VX$1,0),FALSE)/1,0)-IFERROR(VLOOKUP($B328,'Slutlig allokering kvv'!$B$2:$BX$550,MATCH(Y$2,'Slutlig allokering kvv'!$B$1:$BX$1,0),FALSE)/1,0))</f>
        <v/>
      </c>
      <c r="Z328" s="31" t="str">
        <f>IF($D328="","",IFERROR(VLOOKUP($B328,Kraftvärmeprod!$B$1:$BX$550,MATCH(Z$2,Kraftvärmeprod!$B$1:$VX$1,0),FALSE)/1,0)-IFERROR(VLOOKUP($B328,'Slutlig allokering kvv'!$B$2:$BX$550,MATCH(Z$2,'Slutlig allokering kvv'!$B$1:$BX$1,0),FALSE)/1,0))</f>
        <v/>
      </c>
      <c r="AA328" s="31" t="str">
        <f>IF($D328="","",IFERROR(VLOOKUP($B328,Kraftvärmeprod!$B$1:$BX$550,MATCH(AA$2,Kraftvärmeprod!$B$1:$VX$1,0),FALSE)/1,0)-IFERROR(VLOOKUP($B328,'Slutlig allokering kvv'!$B$2:$BX$550,MATCH(AA$2,'Slutlig allokering kvv'!$B$1:$BX$1,0),FALSE)/1,0))</f>
        <v/>
      </c>
      <c r="AB328" s="31" t="str">
        <f>IF($D328="","",IFERROR(VLOOKUP($B328,Kraftvärmeprod!$B$1:$BX$550,MATCH(AB$2,Kraftvärmeprod!$B$1:$VX$1,0),FALSE)/1,0)-IFERROR(VLOOKUP($B328,'Slutlig allokering kvv'!$B$2:$BX$550,MATCH(AB$2,'Slutlig allokering kvv'!$B$1:$BX$1,0),FALSE)/1,0))</f>
        <v/>
      </c>
      <c r="AC328" s="31" t="str">
        <f>IF($D328="","",IFERROR(VLOOKUP($B328,Kraftvärmeprod!$B$1:$BX$550,MATCH(AC$2,Kraftvärmeprod!$B$1:$VX$1,0),FALSE)/1,0)-IFERROR(VLOOKUP($B328,'Slutlig allokering kvv'!$B$2:$BX$550,MATCH(AC$2,'Slutlig allokering kvv'!$B$1:$BX$1,0),FALSE)/1,0))</f>
        <v/>
      </c>
      <c r="AD328" s="31" t="str">
        <f>IF($D328="","",IFERROR(VLOOKUP($B328,Kraftvärmeprod!$B$1:$BX$550,MATCH(AD$2,Kraftvärmeprod!$B$1:$VX$1,0),FALSE)/1,0)-IFERROR(VLOOKUP($B328,'Slutlig allokering kvv'!$B$2:$BX$550,MATCH(AD$2,'Slutlig allokering kvv'!$B$1:$BX$1,0),FALSE)/1,0))</f>
        <v/>
      </c>
      <c r="AE328" s="31" t="str">
        <f>IF($D328="","",IFERROR(VLOOKUP($B328,Miljö!$B$1:$E$550,MATCH("Hjälpel kraftvärme (GWh)",Miljö!$B$1:$E$1,0),FALSE)/1,0)-IFERROR(VLOOKUP($B328,'Slutlig allokering kvv'!$B$2:$BX$549,MATCH(AE$2,'Slutlig allokering kvv'!$B$1:$BX$1,0),FALSE)/1,0))</f>
        <v/>
      </c>
      <c r="AI328" s="39">
        <f t="shared" si="20"/>
        <v>0</v>
      </c>
      <c r="AK328" s="31">
        <f>IFERROR(VLOOKUP($B328,'Slutlig allokering kvv'!$B$2:$AX$549,MATCH("Summa slutlig allokerad tillförd energi (utan hjälpel och rökgaskondensering):",'Slutlig allokering kvv'!$B$1:$AX$1,0),FALSE)/1,"")</f>
        <v>0</v>
      </c>
      <c r="AM328" s="31" t="str">
        <f>IFERROR(1-VLOOKUP($B328,'Slutlig allokering kvv'!$B$2:$AX$549,MATCH("Andel av bränsle i kvv som allokerats till värme, exklusive rökgaskondensering och hjälpel",'Slutlig allokering kvv'!$B$1:$AX$1,0),FALSE),"")</f>
        <v/>
      </c>
      <c r="AO328" s="31" t="str">
        <f t="shared" si="21"/>
        <v/>
      </c>
      <c r="AP328" s="31" t="str">
        <f t="shared" si="22"/>
        <v/>
      </c>
      <c r="AR328" s="32" t="str">
        <f t="shared" si="23"/>
        <v/>
      </c>
    </row>
    <row r="329" spans="1:44" s="31" customFormat="1" x14ac:dyDescent="0.45">
      <c r="A329" s="31" t="s">
        <v>48</v>
      </c>
      <c r="B329" s="31" t="s">
        <v>209</v>
      </c>
      <c r="C329" s="31">
        <f>IFERROR(VLOOKUP($B329,Kraftvärmeprod!$B$1:$AH$479,MATCH(C$2,Kraftvärmeprod!$B$1:$AG$1,0),FALSE)/1,"")</f>
        <v>19.472999999999999</v>
      </c>
      <c r="D329" s="31">
        <f>IFERROR(VLOOKUP($B329,Kraftvärmeprod!$B$1:$AH$479,MATCH(D$2,Kraftvärmeprod!$B$1:$AG$1,0),FALSE)/1,"")</f>
        <v>3.448</v>
      </c>
      <c r="F329" s="31">
        <f>IF($D329="","",IFERROR(VLOOKUP($B329,Kraftvärmeprod!$B$1:$BX$550,MATCH(F$2,Kraftvärmeprod!$B$1:$VX$1,0),FALSE)/1,0)-IFERROR(VLOOKUP($B329,'Slutlig allokering kvv'!$B$2:$BX$550,MATCH(F$2,'Slutlig allokering kvv'!$B$1:$BX$1,0),FALSE)/1,0))</f>
        <v>0</v>
      </c>
      <c r="G329" s="31">
        <f>IF($D329="","",IFERROR(VLOOKUP($B329,Kraftvärmeprod!$B$1:$BX$550,MATCH(G$2,Kraftvärmeprod!$B$1:$VX$1,0),FALSE)/1,0)-IFERROR(VLOOKUP($B329,'Slutlig allokering kvv'!$B$2:$BX$550,MATCH(G$2,'Slutlig allokering kvv'!$B$1:$BX$1,0),FALSE)/1,0))</f>
        <v>5.8278999999999997E-2</v>
      </c>
      <c r="H329" s="31">
        <f>IF($D329="","",IFERROR(VLOOKUP($B329,Kraftvärmeprod!$B$1:$BX$550,MATCH(H$2,Kraftvärmeprod!$B$1:$VX$1,0),FALSE)/1,0)-IFERROR(VLOOKUP($B329,'Slutlig allokering kvv'!$B$2:$BX$550,MATCH(H$2,'Slutlig allokering kvv'!$B$1:$BX$1,0),FALSE)/1,0))</f>
        <v>0</v>
      </c>
      <c r="I329" s="31">
        <f>IF($D329="","",IFERROR(VLOOKUP($B329,Kraftvärmeprod!$B$1:$BX$550,MATCH(I$2,Kraftvärmeprod!$B$1:$VX$1,0),FALSE)/1,0)-IFERROR(VLOOKUP($B329,'Slutlig allokering kvv'!$B$2:$BX$550,MATCH(I$2,'Slutlig allokering kvv'!$B$1:$BX$1,0),FALSE)/1,0))</f>
        <v>3.0062600000000009E-2</v>
      </c>
      <c r="J329" s="31">
        <f>IF($D329="","",IFERROR(VLOOKUP($B329,Kraftvärmeprod!$B$1:$BX$550,MATCH(J$2,Kraftvärmeprod!$B$1:$VX$1,0),FALSE)/1,0)-IFERROR(VLOOKUP($B329,'Slutlig allokering kvv'!$B$2:$BX$550,MATCH(J$2,'Slutlig allokering kvv'!$B$1:$BX$1,0),FALSE)/1,0))</f>
        <v>0</v>
      </c>
      <c r="K329" s="31">
        <f>IF($D329="","",IFERROR(VLOOKUP($B329,Kraftvärmeprod!$B$1:$BX$550,MATCH(K$2,Kraftvärmeprod!$B$1:$VX$1,0),FALSE)/1,0)-IFERROR(VLOOKUP($B329,'Slutlig allokering kvv'!$B$2:$BX$550,MATCH(K$2,'Slutlig allokering kvv'!$B$1:$BX$1,0),FALSE)/1,0))</f>
        <v>0</v>
      </c>
      <c r="L329" s="31">
        <f>IF($D329="","",IFERROR(VLOOKUP($B329,Kraftvärmeprod!$B$1:$BX$550,MATCH(L$2,Kraftvärmeprod!$B$1:$VX$1,0),FALSE)/1,0)-IFERROR(VLOOKUP($B329,'Slutlig allokering kvv'!$B$2:$BX$550,MATCH(L$2,'Slutlig allokering kvv'!$B$1:$BX$1,0),FALSE)/1,0))</f>
        <v>0.84935000000000005</v>
      </c>
      <c r="M329" s="31">
        <f>IF($D329="","",IFERROR(VLOOKUP($B329,Kraftvärmeprod!$B$1:$BX$550,MATCH(M$2,Kraftvärmeprod!$B$1:$VX$1,0),FALSE)/1,0)-IFERROR(VLOOKUP($B329,'Slutlig allokering kvv'!$B$2:$BX$550,MATCH(M$2,'Slutlig allokering kvv'!$B$1:$BX$1,0),FALSE)/1,0))</f>
        <v>0</v>
      </c>
      <c r="N329" s="31">
        <f>IF($D329="","",IFERROR(VLOOKUP($B329,Kraftvärmeprod!$B$1:$BX$550,MATCH(N$2,Kraftvärmeprod!$B$1:$VX$1,0),FALSE)/1,0)-IFERROR(VLOOKUP($B329,'Slutlig allokering kvv'!$B$2:$BX$550,MATCH(N$2,'Slutlig allokering kvv'!$B$1:$BX$1,0),FALSE)/1,0))</f>
        <v>9.9459999999999993E-2</v>
      </c>
      <c r="O329" s="31">
        <f>IF($D329="","",IFERROR(VLOOKUP($B329,Kraftvärmeprod!$B$1:$BX$550,MATCH(O$2,Kraftvärmeprod!$B$1:$VX$1,0),FALSE)/1,0)-IFERROR(VLOOKUP($B329,'Slutlig allokering kvv'!$B$2:$BX$550,MATCH(O$2,'Slutlig allokering kvv'!$B$1:$BX$1,0),FALSE)/1,0))</f>
        <v>0</v>
      </c>
      <c r="P329" s="31">
        <f>IF($D329="","",IFERROR(VLOOKUP($B329,Kraftvärmeprod!$B$1:$BX$550,MATCH(P$2,Kraftvärmeprod!$B$1:$VX$1,0),FALSE)/1,0)-IFERROR(VLOOKUP($B329,'Slutlig allokering kvv'!$B$2:$BX$550,MATCH(P$2,'Slutlig allokering kvv'!$B$1:$BX$1,0),FALSE)/1,0))</f>
        <v>0</v>
      </c>
      <c r="Q329" s="31">
        <f>IF($D329="","",IFERROR(VLOOKUP($B329,Kraftvärmeprod!$B$1:$BX$550,MATCH(Q$2,Kraftvärmeprod!$B$1:$VX$1,0),FALSE)/1,0)-IFERROR(VLOOKUP($B329,'Slutlig allokering kvv'!$B$2:$BX$550,MATCH(Q$2,'Slutlig allokering kvv'!$B$1:$BX$1,0),FALSE)/1,0))</f>
        <v>0</v>
      </c>
      <c r="R329" s="31">
        <f>IF($D329="","",IFERROR(VLOOKUP($B329,Kraftvärmeprod!$B$1:$BX$550,MATCH(R$2,Kraftvärmeprod!$B$1:$VX$1,0),FALSE)/1,0)-IFERROR(VLOOKUP($B329,'Slutlig allokering kvv'!$B$2:$BX$550,MATCH(R$2,'Slutlig allokering kvv'!$B$1:$BX$1,0),FALSE)/1,0))</f>
        <v>0</v>
      </c>
      <c r="S329" s="31">
        <f>IF($D329="","",IFERROR(VLOOKUP($B329,Kraftvärmeprod!$B$1:$BX$550,MATCH(S$2,Kraftvärmeprod!$B$1:$VX$1,0),FALSE)/1,0)-IFERROR(VLOOKUP($B329,'Slutlig allokering kvv'!$B$2:$BX$550,MATCH(S$2,'Slutlig allokering kvv'!$B$1:$BX$1,0),FALSE)/1,0))</f>
        <v>0</v>
      </c>
      <c r="T329" s="31">
        <f>IF($D329="","",IFERROR(VLOOKUP($B329,Kraftvärmeprod!$B$1:$BX$550,MATCH(T$2,Kraftvärmeprod!$B$1:$VX$1,0),FALSE)/1,0)-IFERROR(VLOOKUP($B329,'Slutlig allokering kvv'!$B$2:$BX$550,MATCH(T$2,'Slutlig allokering kvv'!$B$1:$BX$1,0),FALSE)/1,0))</f>
        <v>0</v>
      </c>
      <c r="U329" s="31">
        <f>IF($D329="","",IFERROR(VLOOKUP($B329,Kraftvärmeprod!$B$1:$BX$550,MATCH(U$2,Kraftvärmeprod!$B$1:$VX$1,0),FALSE)/1,0)-IFERROR(VLOOKUP($B329,'Slutlig allokering kvv'!$B$2:$BX$550,MATCH(U$2,'Slutlig allokering kvv'!$B$1:$BX$1,0),FALSE)/1,0))</f>
        <v>0</v>
      </c>
      <c r="V329" s="31">
        <f>IF($D329="","",IFERROR(VLOOKUP($B329,Kraftvärmeprod!$B$1:$BX$550,MATCH(V$2,Kraftvärmeprod!$B$1:$VX$1,0),FALSE)/1,0)-IFERROR(VLOOKUP($B329,'Slutlig allokering kvv'!$B$2:$BX$550,MATCH(V$2,'Slutlig allokering kvv'!$B$1:$BX$1,0),FALSE)/1,0))</f>
        <v>6.8473000000000006</v>
      </c>
      <c r="W329" s="31">
        <f>IF($D329="","",IFERROR(VLOOKUP($B329,Kraftvärmeprod!$B$1:$BX$550,MATCH(W$2,Kraftvärmeprod!$B$1:$VX$1,0),FALSE)/1,0)-IFERROR(VLOOKUP($B329,'Slutlig allokering kvv'!$B$2:$BX$550,MATCH(W$2,'Slutlig allokering kvv'!$B$1:$BX$1,0),FALSE)/1,0))</f>
        <v>0</v>
      </c>
      <c r="X329" s="31">
        <f>IF($D329="","",IFERROR(VLOOKUP($B329,Kraftvärmeprod!$B$1:$BX$550,MATCH(X$2,Kraftvärmeprod!$B$1:$VX$1,0),FALSE)/1,0)-IFERROR(VLOOKUP($B329,'Slutlig allokering kvv'!$B$2:$BX$550,MATCH(X$2,'Slutlig allokering kvv'!$B$1:$BX$1,0),FALSE)/1,0))</f>
        <v>0</v>
      </c>
      <c r="Y329" s="31">
        <f>IF($D329="","",IFERROR(VLOOKUP($B329,Kraftvärmeprod!$B$1:$BX$550,MATCH(Y$2,Kraftvärmeprod!$B$1:$VX$1,0),FALSE)/1,0)-IFERROR(VLOOKUP($B329,'Slutlig allokering kvv'!$B$2:$BX$550,MATCH(Y$2,'Slutlig allokering kvv'!$B$1:$BX$1,0),FALSE)/1,0))</f>
        <v>0</v>
      </c>
      <c r="Z329" s="31">
        <f>IF($D329="","",IFERROR(VLOOKUP($B329,Kraftvärmeprod!$B$1:$BX$550,MATCH(Z$2,Kraftvärmeprod!$B$1:$VX$1,0),FALSE)/1,0)-IFERROR(VLOOKUP($B329,'Slutlig allokering kvv'!$B$2:$BX$550,MATCH(Z$2,'Slutlig allokering kvv'!$B$1:$BX$1,0),FALSE)/1,0))</f>
        <v>0</v>
      </c>
      <c r="AA329" s="31">
        <f>IF($D329="","",IFERROR(VLOOKUP($B329,Kraftvärmeprod!$B$1:$BX$550,MATCH(AA$2,Kraftvärmeprod!$B$1:$VX$1,0),FALSE)/1,0)-IFERROR(VLOOKUP($B329,'Slutlig allokering kvv'!$B$2:$BX$550,MATCH(AA$2,'Slutlig allokering kvv'!$B$1:$BX$1,0),FALSE)/1,0))</f>
        <v>0.45607699999999984</v>
      </c>
      <c r="AB329" s="31">
        <f>IF($D329="","",IFERROR(VLOOKUP($B329,Kraftvärmeprod!$B$1:$BX$550,MATCH(AB$2,Kraftvärmeprod!$B$1:$VX$1,0),FALSE)/1,0)-IFERROR(VLOOKUP($B329,'Slutlig allokering kvv'!$B$2:$BX$550,MATCH(AB$2,'Slutlig allokering kvv'!$B$1:$BX$1,0),FALSE)/1,0))</f>
        <v>0</v>
      </c>
      <c r="AC329" s="31">
        <f>IF($D329="","",IFERROR(VLOOKUP($B329,Kraftvärmeprod!$B$1:$BX$550,MATCH(AC$2,Kraftvärmeprod!$B$1:$VX$1,0),FALSE)/1,0)-IFERROR(VLOOKUP($B329,'Slutlig allokering kvv'!$B$2:$BX$550,MATCH(AC$2,'Slutlig allokering kvv'!$B$1:$BX$1,0),FALSE)/1,0))</f>
        <v>0</v>
      </c>
      <c r="AD329" s="31">
        <f>IF($D329="","",IFERROR(VLOOKUP($B329,Kraftvärmeprod!$B$1:$BX$550,MATCH(AD$2,Kraftvärmeprod!$B$1:$VX$1,0),FALSE)/1,0)-IFERROR(VLOOKUP($B329,'Slutlig allokering kvv'!$B$2:$BX$550,MATCH(AD$2,'Slutlig allokering kvv'!$B$1:$BX$1,0),FALSE)/1,0))</f>
        <v>0</v>
      </c>
      <c r="AE329" s="31">
        <f>IF($D329="","",IFERROR(VLOOKUP($B329,Miljö!$B$1:$E$550,MATCH("Hjälpel kraftvärme (GWh)",Miljö!$B$1:$E$1,0),FALSE)/1,0)-IFERROR(VLOOKUP($B329,'Slutlig allokering kvv'!$B$2:$BX$549,MATCH(AE$2,'Slutlig allokering kvv'!$B$1:$BX$1,0),FALSE)/1,0))</f>
        <v>0.99121000000000015</v>
      </c>
      <c r="AI329" s="39">
        <f t="shared" si="20"/>
        <v>8.3405286000000007</v>
      </c>
      <c r="AK329" s="31">
        <f>IFERROR(VLOOKUP($B329,'Slutlig allokering kvv'!$B$2:$AX$549,MATCH("Summa slutlig allokerad tillförd energi (utan hjälpel och rökgaskondensering):",'Slutlig allokering kvv'!$B$1:$AX$1,0),FALSE)/1,"")</f>
        <v>17.946471399999997</v>
      </c>
      <c r="AM329" s="31">
        <f>IFERROR(1-VLOOKUP($B329,'Slutlig allokering kvv'!$B$2:$AX$549,MATCH("Andel av bränsle i kvv som allokerats till värme, exklusive rökgaskondensering och hjälpel",'Slutlig allokering kvv'!$B$1:$AX$1,0),FALSE),"")</f>
        <v>0.31728719899570146</v>
      </c>
      <c r="AO329" s="31">
        <f t="shared" si="21"/>
        <v>0.31728719899570135</v>
      </c>
      <c r="AP329" s="31">
        <f t="shared" si="22"/>
        <v>1.1102230246251565E-16</v>
      </c>
      <c r="AR329" s="32">
        <f t="shared" si="23"/>
        <v>0.36949170436471501</v>
      </c>
    </row>
    <row r="330" spans="1:44" s="31" customFormat="1" x14ac:dyDescent="0.45">
      <c r="A330" s="31" t="s">
        <v>48</v>
      </c>
      <c r="B330" s="31" t="s">
        <v>208</v>
      </c>
      <c r="C330" s="31" t="str">
        <f>IFERROR(VLOOKUP($B330,Kraftvärmeprod!$B$1:$AH$479,MATCH(C$2,Kraftvärmeprod!$B$1:$AG$1,0),FALSE)/1,"")</f>
        <v/>
      </c>
      <c r="D330" s="31" t="str">
        <f>IFERROR(VLOOKUP($B330,Kraftvärmeprod!$B$1:$AH$479,MATCH(D$2,Kraftvärmeprod!$B$1:$AG$1,0),FALSE)/1,"")</f>
        <v/>
      </c>
      <c r="F330" s="31" t="str">
        <f>IF($D330="","",IFERROR(VLOOKUP($B330,Kraftvärmeprod!$B$1:$BX$550,MATCH(F$2,Kraftvärmeprod!$B$1:$VX$1,0),FALSE)/1,0)-IFERROR(VLOOKUP($B330,'Slutlig allokering kvv'!$B$2:$BX$550,MATCH(F$2,'Slutlig allokering kvv'!$B$1:$BX$1,0),FALSE)/1,0))</f>
        <v/>
      </c>
      <c r="G330" s="31" t="str">
        <f>IF($D330="","",IFERROR(VLOOKUP($B330,Kraftvärmeprod!$B$1:$BX$550,MATCH(G$2,Kraftvärmeprod!$B$1:$VX$1,0),FALSE)/1,0)-IFERROR(VLOOKUP($B330,'Slutlig allokering kvv'!$B$2:$BX$550,MATCH(G$2,'Slutlig allokering kvv'!$B$1:$BX$1,0),FALSE)/1,0))</f>
        <v/>
      </c>
      <c r="H330" s="31" t="str">
        <f>IF($D330="","",IFERROR(VLOOKUP($B330,Kraftvärmeprod!$B$1:$BX$550,MATCH(H$2,Kraftvärmeprod!$B$1:$VX$1,0),FALSE)/1,0)-IFERROR(VLOOKUP($B330,'Slutlig allokering kvv'!$B$2:$BX$550,MATCH(H$2,'Slutlig allokering kvv'!$B$1:$BX$1,0),FALSE)/1,0))</f>
        <v/>
      </c>
      <c r="I330" s="31" t="str">
        <f>IF($D330="","",IFERROR(VLOOKUP($B330,Kraftvärmeprod!$B$1:$BX$550,MATCH(I$2,Kraftvärmeprod!$B$1:$VX$1,0),FALSE)/1,0)-IFERROR(VLOOKUP($B330,'Slutlig allokering kvv'!$B$2:$BX$550,MATCH(I$2,'Slutlig allokering kvv'!$B$1:$BX$1,0),FALSE)/1,0))</f>
        <v/>
      </c>
      <c r="J330" s="31" t="str">
        <f>IF($D330="","",IFERROR(VLOOKUP($B330,Kraftvärmeprod!$B$1:$BX$550,MATCH(J$2,Kraftvärmeprod!$B$1:$VX$1,0),FALSE)/1,0)-IFERROR(VLOOKUP($B330,'Slutlig allokering kvv'!$B$2:$BX$550,MATCH(J$2,'Slutlig allokering kvv'!$B$1:$BX$1,0),FALSE)/1,0))</f>
        <v/>
      </c>
      <c r="K330" s="31" t="str">
        <f>IF($D330="","",IFERROR(VLOOKUP($B330,Kraftvärmeprod!$B$1:$BX$550,MATCH(K$2,Kraftvärmeprod!$B$1:$VX$1,0),FALSE)/1,0)-IFERROR(VLOOKUP($B330,'Slutlig allokering kvv'!$B$2:$BX$550,MATCH(K$2,'Slutlig allokering kvv'!$B$1:$BX$1,0),FALSE)/1,0))</f>
        <v/>
      </c>
      <c r="L330" s="31" t="str">
        <f>IF($D330="","",IFERROR(VLOOKUP($B330,Kraftvärmeprod!$B$1:$BX$550,MATCH(L$2,Kraftvärmeprod!$B$1:$VX$1,0),FALSE)/1,0)-IFERROR(VLOOKUP($B330,'Slutlig allokering kvv'!$B$2:$BX$550,MATCH(L$2,'Slutlig allokering kvv'!$B$1:$BX$1,0),FALSE)/1,0))</f>
        <v/>
      </c>
      <c r="M330" s="31" t="str">
        <f>IF($D330="","",IFERROR(VLOOKUP($B330,Kraftvärmeprod!$B$1:$BX$550,MATCH(M$2,Kraftvärmeprod!$B$1:$VX$1,0),FALSE)/1,0)-IFERROR(VLOOKUP($B330,'Slutlig allokering kvv'!$B$2:$BX$550,MATCH(M$2,'Slutlig allokering kvv'!$B$1:$BX$1,0),FALSE)/1,0))</f>
        <v/>
      </c>
      <c r="N330" s="31" t="str">
        <f>IF($D330="","",IFERROR(VLOOKUP($B330,Kraftvärmeprod!$B$1:$BX$550,MATCH(N$2,Kraftvärmeprod!$B$1:$VX$1,0),FALSE)/1,0)-IFERROR(VLOOKUP($B330,'Slutlig allokering kvv'!$B$2:$BX$550,MATCH(N$2,'Slutlig allokering kvv'!$B$1:$BX$1,0),FALSE)/1,0))</f>
        <v/>
      </c>
      <c r="O330" s="31" t="str">
        <f>IF($D330="","",IFERROR(VLOOKUP($B330,Kraftvärmeprod!$B$1:$BX$550,MATCH(O$2,Kraftvärmeprod!$B$1:$VX$1,0),FALSE)/1,0)-IFERROR(VLOOKUP($B330,'Slutlig allokering kvv'!$B$2:$BX$550,MATCH(O$2,'Slutlig allokering kvv'!$B$1:$BX$1,0),FALSE)/1,0))</f>
        <v/>
      </c>
      <c r="P330" s="31" t="str">
        <f>IF($D330="","",IFERROR(VLOOKUP($B330,Kraftvärmeprod!$B$1:$BX$550,MATCH(P$2,Kraftvärmeprod!$B$1:$VX$1,0),FALSE)/1,0)-IFERROR(VLOOKUP($B330,'Slutlig allokering kvv'!$B$2:$BX$550,MATCH(P$2,'Slutlig allokering kvv'!$B$1:$BX$1,0),FALSE)/1,0))</f>
        <v/>
      </c>
      <c r="Q330" s="31" t="str">
        <f>IF($D330="","",IFERROR(VLOOKUP($B330,Kraftvärmeprod!$B$1:$BX$550,MATCH(Q$2,Kraftvärmeprod!$B$1:$VX$1,0),FALSE)/1,0)-IFERROR(VLOOKUP($B330,'Slutlig allokering kvv'!$B$2:$BX$550,MATCH(Q$2,'Slutlig allokering kvv'!$B$1:$BX$1,0),FALSE)/1,0))</f>
        <v/>
      </c>
      <c r="R330" s="31" t="str">
        <f>IF($D330="","",IFERROR(VLOOKUP($B330,Kraftvärmeprod!$B$1:$BX$550,MATCH(R$2,Kraftvärmeprod!$B$1:$VX$1,0),FALSE)/1,0)-IFERROR(VLOOKUP($B330,'Slutlig allokering kvv'!$B$2:$BX$550,MATCH(R$2,'Slutlig allokering kvv'!$B$1:$BX$1,0),FALSE)/1,0))</f>
        <v/>
      </c>
      <c r="S330" s="31" t="str">
        <f>IF($D330="","",IFERROR(VLOOKUP($B330,Kraftvärmeprod!$B$1:$BX$550,MATCH(S$2,Kraftvärmeprod!$B$1:$VX$1,0),FALSE)/1,0)-IFERROR(VLOOKUP($B330,'Slutlig allokering kvv'!$B$2:$BX$550,MATCH(S$2,'Slutlig allokering kvv'!$B$1:$BX$1,0),FALSE)/1,0))</f>
        <v/>
      </c>
      <c r="T330" s="31" t="str">
        <f>IF($D330="","",IFERROR(VLOOKUP($B330,Kraftvärmeprod!$B$1:$BX$550,MATCH(T$2,Kraftvärmeprod!$B$1:$VX$1,0),FALSE)/1,0)-IFERROR(VLOOKUP($B330,'Slutlig allokering kvv'!$B$2:$BX$550,MATCH(T$2,'Slutlig allokering kvv'!$B$1:$BX$1,0),FALSE)/1,0))</f>
        <v/>
      </c>
      <c r="U330" s="31" t="str">
        <f>IF($D330="","",IFERROR(VLOOKUP($B330,Kraftvärmeprod!$B$1:$BX$550,MATCH(U$2,Kraftvärmeprod!$B$1:$VX$1,0),FALSE)/1,0)-IFERROR(VLOOKUP($B330,'Slutlig allokering kvv'!$B$2:$BX$550,MATCH(U$2,'Slutlig allokering kvv'!$B$1:$BX$1,0),FALSE)/1,0))</f>
        <v/>
      </c>
      <c r="V330" s="31" t="str">
        <f>IF($D330="","",IFERROR(VLOOKUP($B330,Kraftvärmeprod!$B$1:$BX$550,MATCH(V$2,Kraftvärmeprod!$B$1:$VX$1,0),FALSE)/1,0)-IFERROR(VLOOKUP($B330,'Slutlig allokering kvv'!$B$2:$BX$550,MATCH(V$2,'Slutlig allokering kvv'!$B$1:$BX$1,0),FALSE)/1,0))</f>
        <v/>
      </c>
      <c r="W330" s="31" t="str">
        <f>IF($D330="","",IFERROR(VLOOKUP($B330,Kraftvärmeprod!$B$1:$BX$550,MATCH(W$2,Kraftvärmeprod!$B$1:$VX$1,0),FALSE)/1,0)-IFERROR(VLOOKUP($B330,'Slutlig allokering kvv'!$B$2:$BX$550,MATCH(W$2,'Slutlig allokering kvv'!$B$1:$BX$1,0),FALSE)/1,0))</f>
        <v/>
      </c>
      <c r="X330" s="31" t="str">
        <f>IF($D330="","",IFERROR(VLOOKUP($B330,Kraftvärmeprod!$B$1:$BX$550,MATCH(X$2,Kraftvärmeprod!$B$1:$VX$1,0),FALSE)/1,0)-IFERROR(VLOOKUP($B330,'Slutlig allokering kvv'!$B$2:$BX$550,MATCH(X$2,'Slutlig allokering kvv'!$B$1:$BX$1,0),FALSE)/1,0))</f>
        <v/>
      </c>
      <c r="Y330" s="31" t="str">
        <f>IF($D330="","",IFERROR(VLOOKUP($B330,Kraftvärmeprod!$B$1:$BX$550,MATCH(Y$2,Kraftvärmeprod!$B$1:$VX$1,0),FALSE)/1,0)-IFERROR(VLOOKUP($B330,'Slutlig allokering kvv'!$B$2:$BX$550,MATCH(Y$2,'Slutlig allokering kvv'!$B$1:$BX$1,0),FALSE)/1,0))</f>
        <v/>
      </c>
      <c r="Z330" s="31" t="str">
        <f>IF($D330="","",IFERROR(VLOOKUP($B330,Kraftvärmeprod!$B$1:$BX$550,MATCH(Z$2,Kraftvärmeprod!$B$1:$VX$1,0),FALSE)/1,0)-IFERROR(VLOOKUP($B330,'Slutlig allokering kvv'!$B$2:$BX$550,MATCH(Z$2,'Slutlig allokering kvv'!$B$1:$BX$1,0),FALSE)/1,0))</f>
        <v/>
      </c>
      <c r="AA330" s="31" t="str">
        <f>IF($D330="","",IFERROR(VLOOKUP($B330,Kraftvärmeprod!$B$1:$BX$550,MATCH(AA$2,Kraftvärmeprod!$B$1:$VX$1,0),FALSE)/1,0)-IFERROR(VLOOKUP($B330,'Slutlig allokering kvv'!$B$2:$BX$550,MATCH(AA$2,'Slutlig allokering kvv'!$B$1:$BX$1,0),FALSE)/1,0))</f>
        <v/>
      </c>
      <c r="AB330" s="31" t="str">
        <f>IF($D330="","",IFERROR(VLOOKUP($B330,Kraftvärmeprod!$B$1:$BX$550,MATCH(AB$2,Kraftvärmeprod!$B$1:$VX$1,0),FALSE)/1,0)-IFERROR(VLOOKUP($B330,'Slutlig allokering kvv'!$B$2:$BX$550,MATCH(AB$2,'Slutlig allokering kvv'!$B$1:$BX$1,0),FALSE)/1,0))</f>
        <v/>
      </c>
      <c r="AC330" s="31" t="str">
        <f>IF($D330="","",IFERROR(VLOOKUP($B330,Kraftvärmeprod!$B$1:$BX$550,MATCH(AC$2,Kraftvärmeprod!$B$1:$VX$1,0),FALSE)/1,0)-IFERROR(VLOOKUP($B330,'Slutlig allokering kvv'!$B$2:$BX$550,MATCH(AC$2,'Slutlig allokering kvv'!$B$1:$BX$1,0),FALSE)/1,0))</f>
        <v/>
      </c>
      <c r="AD330" s="31" t="str">
        <f>IF($D330="","",IFERROR(VLOOKUP($B330,Kraftvärmeprod!$B$1:$BX$550,MATCH(AD$2,Kraftvärmeprod!$B$1:$VX$1,0),FALSE)/1,0)-IFERROR(VLOOKUP($B330,'Slutlig allokering kvv'!$B$2:$BX$550,MATCH(AD$2,'Slutlig allokering kvv'!$B$1:$BX$1,0),FALSE)/1,0))</f>
        <v/>
      </c>
      <c r="AE330" s="31" t="str">
        <f>IF($D330="","",IFERROR(VLOOKUP($B330,Miljö!$B$1:$E$550,MATCH("Hjälpel kraftvärme (GWh)",Miljö!$B$1:$E$1,0),FALSE)/1,0)-IFERROR(VLOOKUP($B330,'Slutlig allokering kvv'!$B$2:$BX$549,MATCH(AE$2,'Slutlig allokering kvv'!$B$1:$BX$1,0),FALSE)/1,0))</f>
        <v/>
      </c>
      <c r="AI330" s="39">
        <f t="shared" si="20"/>
        <v>0</v>
      </c>
      <c r="AK330" s="31">
        <f>IFERROR(VLOOKUP($B330,'Slutlig allokering kvv'!$B$2:$AX$549,MATCH("Summa slutlig allokerad tillförd energi (utan hjälpel och rökgaskondensering):",'Slutlig allokering kvv'!$B$1:$AX$1,0),FALSE)/1,"")</f>
        <v>0</v>
      </c>
      <c r="AM330" s="31" t="str">
        <f>IFERROR(1-VLOOKUP($B330,'Slutlig allokering kvv'!$B$2:$AX$549,MATCH("Andel av bränsle i kvv som allokerats till värme, exklusive rökgaskondensering och hjälpel",'Slutlig allokering kvv'!$B$1:$AX$1,0),FALSE),"")</f>
        <v/>
      </c>
      <c r="AO330" s="31" t="str">
        <f t="shared" si="21"/>
        <v/>
      </c>
      <c r="AP330" s="31" t="str">
        <f t="shared" si="22"/>
        <v/>
      </c>
      <c r="AR330" s="32" t="str">
        <f t="shared" si="23"/>
        <v/>
      </c>
    </row>
    <row r="331" spans="1:44" s="31" customFormat="1" x14ac:dyDescent="0.45">
      <c r="A331" s="31" t="s">
        <v>48</v>
      </c>
      <c r="B331" s="31" t="s">
        <v>207</v>
      </c>
      <c r="C331" s="31" t="str">
        <f>IFERROR(VLOOKUP($B331,Kraftvärmeprod!$B$1:$AH$479,MATCH(C$2,Kraftvärmeprod!$B$1:$AG$1,0),FALSE)/1,"")</f>
        <v/>
      </c>
      <c r="D331" s="31" t="str">
        <f>IFERROR(VLOOKUP($B331,Kraftvärmeprod!$B$1:$AH$479,MATCH(D$2,Kraftvärmeprod!$B$1:$AG$1,0),FALSE)/1,"")</f>
        <v/>
      </c>
      <c r="F331" s="31" t="str">
        <f>IF($D331="","",IFERROR(VLOOKUP($B331,Kraftvärmeprod!$B$1:$BX$550,MATCH(F$2,Kraftvärmeprod!$B$1:$VX$1,0),FALSE)/1,0)-IFERROR(VLOOKUP($B331,'Slutlig allokering kvv'!$B$2:$BX$550,MATCH(F$2,'Slutlig allokering kvv'!$B$1:$BX$1,0),FALSE)/1,0))</f>
        <v/>
      </c>
      <c r="G331" s="31" t="str">
        <f>IF($D331="","",IFERROR(VLOOKUP($B331,Kraftvärmeprod!$B$1:$BX$550,MATCH(G$2,Kraftvärmeprod!$B$1:$VX$1,0),FALSE)/1,0)-IFERROR(VLOOKUP($B331,'Slutlig allokering kvv'!$B$2:$BX$550,MATCH(G$2,'Slutlig allokering kvv'!$B$1:$BX$1,0),FALSE)/1,0))</f>
        <v/>
      </c>
      <c r="H331" s="31" t="str">
        <f>IF($D331="","",IFERROR(VLOOKUP($B331,Kraftvärmeprod!$B$1:$BX$550,MATCH(H$2,Kraftvärmeprod!$B$1:$VX$1,0),FALSE)/1,0)-IFERROR(VLOOKUP($B331,'Slutlig allokering kvv'!$B$2:$BX$550,MATCH(H$2,'Slutlig allokering kvv'!$B$1:$BX$1,0),FALSE)/1,0))</f>
        <v/>
      </c>
      <c r="I331" s="31" t="str">
        <f>IF($D331="","",IFERROR(VLOOKUP($B331,Kraftvärmeprod!$B$1:$BX$550,MATCH(I$2,Kraftvärmeprod!$B$1:$VX$1,0),FALSE)/1,0)-IFERROR(VLOOKUP($B331,'Slutlig allokering kvv'!$B$2:$BX$550,MATCH(I$2,'Slutlig allokering kvv'!$B$1:$BX$1,0),FALSE)/1,0))</f>
        <v/>
      </c>
      <c r="J331" s="31" t="str">
        <f>IF($D331="","",IFERROR(VLOOKUP($B331,Kraftvärmeprod!$B$1:$BX$550,MATCH(J$2,Kraftvärmeprod!$B$1:$VX$1,0),FALSE)/1,0)-IFERROR(VLOOKUP($B331,'Slutlig allokering kvv'!$B$2:$BX$550,MATCH(J$2,'Slutlig allokering kvv'!$B$1:$BX$1,0),FALSE)/1,0))</f>
        <v/>
      </c>
      <c r="K331" s="31" t="str">
        <f>IF($D331="","",IFERROR(VLOOKUP($B331,Kraftvärmeprod!$B$1:$BX$550,MATCH(K$2,Kraftvärmeprod!$B$1:$VX$1,0),FALSE)/1,0)-IFERROR(VLOOKUP($B331,'Slutlig allokering kvv'!$B$2:$BX$550,MATCH(K$2,'Slutlig allokering kvv'!$B$1:$BX$1,0),FALSE)/1,0))</f>
        <v/>
      </c>
      <c r="L331" s="31" t="str">
        <f>IF($D331="","",IFERROR(VLOOKUP($B331,Kraftvärmeprod!$B$1:$BX$550,MATCH(L$2,Kraftvärmeprod!$B$1:$VX$1,0),FALSE)/1,0)-IFERROR(VLOOKUP($B331,'Slutlig allokering kvv'!$B$2:$BX$550,MATCH(L$2,'Slutlig allokering kvv'!$B$1:$BX$1,0),FALSE)/1,0))</f>
        <v/>
      </c>
      <c r="M331" s="31" t="str">
        <f>IF($D331="","",IFERROR(VLOOKUP($B331,Kraftvärmeprod!$B$1:$BX$550,MATCH(M$2,Kraftvärmeprod!$B$1:$VX$1,0),FALSE)/1,0)-IFERROR(VLOOKUP($B331,'Slutlig allokering kvv'!$B$2:$BX$550,MATCH(M$2,'Slutlig allokering kvv'!$B$1:$BX$1,0),FALSE)/1,0))</f>
        <v/>
      </c>
      <c r="N331" s="31" t="str">
        <f>IF($D331="","",IFERROR(VLOOKUP($B331,Kraftvärmeprod!$B$1:$BX$550,MATCH(N$2,Kraftvärmeprod!$B$1:$VX$1,0),FALSE)/1,0)-IFERROR(VLOOKUP($B331,'Slutlig allokering kvv'!$B$2:$BX$550,MATCH(N$2,'Slutlig allokering kvv'!$B$1:$BX$1,0),FALSE)/1,0))</f>
        <v/>
      </c>
      <c r="O331" s="31" t="str">
        <f>IF($D331="","",IFERROR(VLOOKUP($B331,Kraftvärmeprod!$B$1:$BX$550,MATCH(O$2,Kraftvärmeprod!$B$1:$VX$1,0),FALSE)/1,0)-IFERROR(VLOOKUP($B331,'Slutlig allokering kvv'!$B$2:$BX$550,MATCH(O$2,'Slutlig allokering kvv'!$B$1:$BX$1,0),FALSE)/1,0))</f>
        <v/>
      </c>
      <c r="P331" s="31" t="str">
        <f>IF($D331="","",IFERROR(VLOOKUP($B331,Kraftvärmeprod!$B$1:$BX$550,MATCH(P$2,Kraftvärmeprod!$B$1:$VX$1,0),FALSE)/1,0)-IFERROR(VLOOKUP($B331,'Slutlig allokering kvv'!$B$2:$BX$550,MATCH(P$2,'Slutlig allokering kvv'!$B$1:$BX$1,0),FALSE)/1,0))</f>
        <v/>
      </c>
      <c r="Q331" s="31" t="str">
        <f>IF($D331="","",IFERROR(VLOOKUP($B331,Kraftvärmeprod!$B$1:$BX$550,MATCH(Q$2,Kraftvärmeprod!$B$1:$VX$1,0),FALSE)/1,0)-IFERROR(VLOOKUP($B331,'Slutlig allokering kvv'!$B$2:$BX$550,MATCH(Q$2,'Slutlig allokering kvv'!$B$1:$BX$1,0),FALSE)/1,0))</f>
        <v/>
      </c>
      <c r="R331" s="31" t="str">
        <f>IF($D331="","",IFERROR(VLOOKUP($B331,Kraftvärmeprod!$B$1:$BX$550,MATCH(R$2,Kraftvärmeprod!$B$1:$VX$1,0),FALSE)/1,0)-IFERROR(VLOOKUP($B331,'Slutlig allokering kvv'!$B$2:$BX$550,MATCH(R$2,'Slutlig allokering kvv'!$B$1:$BX$1,0),FALSE)/1,0))</f>
        <v/>
      </c>
      <c r="S331" s="31" t="str">
        <f>IF($D331="","",IFERROR(VLOOKUP($B331,Kraftvärmeprod!$B$1:$BX$550,MATCH(S$2,Kraftvärmeprod!$B$1:$VX$1,0),FALSE)/1,0)-IFERROR(VLOOKUP($B331,'Slutlig allokering kvv'!$B$2:$BX$550,MATCH(S$2,'Slutlig allokering kvv'!$B$1:$BX$1,0),FALSE)/1,0))</f>
        <v/>
      </c>
      <c r="T331" s="31" t="str">
        <f>IF($D331="","",IFERROR(VLOOKUP($B331,Kraftvärmeprod!$B$1:$BX$550,MATCH(T$2,Kraftvärmeprod!$B$1:$VX$1,0),FALSE)/1,0)-IFERROR(VLOOKUP($B331,'Slutlig allokering kvv'!$B$2:$BX$550,MATCH(T$2,'Slutlig allokering kvv'!$B$1:$BX$1,0),FALSE)/1,0))</f>
        <v/>
      </c>
      <c r="U331" s="31" t="str">
        <f>IF($D331="","",IFERROR(VLOOKUP($B331,Kraftvärmeprod!$B$1:$BX$550,MATCH(U$2,Kraftvärmeprod!$B$1:$VX$1,0),FALSE)/1,0)-IFERROR(VLOOKUP($B331,'Slutlig allokering kvv'!$B$2:$BX$550,MATCH(U$2,'Slutlig allokering kvv'!$B$1:$BX$1,0),FALSE)/1,0))</f>
        <v/>
      </c>
      <c r="V331" s="31" t="str">
        <f>IF($D331="","",IFERROR(VLOOKUP($B331,Kraftvärmeprod!$B$1:$BX$550,MATCH(V$2,Kraftvärmeprod!$B$1:$VX$1,0),FALSE)/1,0)-IFERROR(VLOOKUP($B331,'Slutlig allokering kvv'!$B$2:$BX$550,MATCH(V$2,'Slutlig allokering kvv'!$B$1:$BX$1,0),FALSE)/1,0))</f>
        <v/>
      </c>
      <c r="W331" s="31" t="str">
        <f>IF($D331="","",IFERROR(VLOOKUP($B331,Kraftvärmeprod!$B$1:$BX$550,MATCH(W$2,Kraftvärmeprod!$B$1:$VX$1,0),FALSE)/1,0)-IFERROR(VLOOKUP($B331,'Slutlig allokering kvv'!$B$2:$BX$550,MATCH(W$2,'Slutlig allokering kvv'!$B$1:$BX$1,0),FALSE)/1,0))</f>
        <v/>
      </c>
      <c r="X331" s="31" t="str">
        <f>IF($D331="","",IFERROR(VLOOKUP($B331,Kraftvärmeprod!$B$1:$BX$550,MATCH(X$2,Kraftvärmeprod!$B$1:$VX$1,0),FALSE)/1,0)-IFERROR(VLOOKUP($B331,'Slutlig allokering kvv'!$B$2:$BX$550,MATCH(X$2,'Slutlig allokering kvv'!$B$1:$BX$1,0),FALSE)/1,0))</f>
        <v/>
      </c>
      <c r="Y331" s="31" t="str">
        <f>IF($D331="","",IFERROR(VLOOKUP($B331,Kraftvärmeprod!$B$1:$BX$550,MATCH(Y$2,Kraftvärmeprod!$B$1:$VX$1,0),FALSE)/1,0)-IFERROR(VLOOKUP($B331,'Slutlig allokering kvv'!$B$2:$BX$550,MATCH(Y$2,'Slutlig allokering kvv'!$B$1:$BX$1,0),FALSE)/1,0))</f>
        <v/>
      </c>
      <c r="Z331" s="31" t="str">
        <f>IF($D331="","",IFERROR(VLOOKUP($B331,Kraftvärmeprod!$B$1:$BX$550,MATCH(Z$2,Kraftvärmeprod!$B$1:$VX$1,0),FALSE)/1,0)-IFERROR(VLOOKUP($B331,'Slutlig allokering kvv'!$B$2:$BX$550,MATCH(Z$2,'Slutlig allokering kvv'!$B$1:$BX$1,0),FALSE)/1,0))</f>
        <v/>
      </c>
      <c r="AA331" s="31" t="str">
        <f>IF($D331="","",IFERROR(VLOOKUP($B331,Kraftvärmeprod!$B$1:$BX$550,MATCH(AA$2,Kraftvärmeprod!$B$1:$VX$1,0),FALSE)/1,0)-IFERROR(VLOOKUP($B331,'Slutlig allokering kvv'!$B$2:$BX$550,MATCH(AA$2,'Slutlig allokering kvv'!$B$1:$BX$1,0),FALSE)/1,0))</f>
        <v/>
      </c>
      <c r="AB331" s="31" t="str">
        <f>IF($D331="","",IFERROR(VLOOKUP($B331,Kraftvärmeprod!$B$1:$BX$550,MATCH(AB$2,Kraftvärmeprod!$B$1:$VX$1,0),FALSE)/1,0)-IFERROR(VLOOKUP($B331,'Slutlig allokering kvv'!$B$2:$BX$550,MATCH(AB$2,'Slutlig allokering kvv'!$B$1:$BX$1,0),FALSE)/1,0))</f>
        <v/>
      </c>
      <c r="AC331" s="31" t="str">
        <f>IF($D331="","",IFERROR(VLOOKUP($B331,Kraftvärmeprod!$B$1:$BX$550,MATCH(AC$2,Kraftvärmeprod!$B$1:$VX$1,0),FALSE)/1,0)-IFERROR(VLOOKUP($B331,'Slutlig allokering kvv'!$B$2:$BX$550,MATCH(AC$2,'Slutlig allokering kvv'!$B$1:$BX$1,0),FALSE)/1,0))</f>
        <v/>
      </c>
      <c r="AD331" s="31" t="str">
        <f>IF($D331="","",IFERROR(VLOOKUP($B331,Kraftvärmeprod!$B$1:$BX$550,MATCH(AD$2,Kraftvärmeprod!$B$1:$VX$1,0),FALSE)/1,0)-IFERROR(VLOOKUP($B331,'Slutlig allokering kvv'!$B$2:$BX$550,MATCH(AD$2,'Slutlig allokering kvv'!$B$1:$BX$1,0),FALSE)/1,0))</f>
        <v/>
      </c>
      <c r="AE331" s="31" t="str">
        <f>IF($D331="","",IFERROR(VLOOKUP($B331,Miljö!$B$1:$E$550,MATCH("Hjälpel kraftvärme (GWh)",Miljö!$B$1:$E$1,0),FALSE)/1,0)-IFERROR(VLOOKUP($B331,'Slutlig allokering kvv'!$B$2:$BX$549,MATCH(AE$2,'Slutlig allokering kvv'!$B$1:$BX$1,0),FALSE)/1,0))</f>
        <v/>
      </c>
      <c r="AI331" s="39">
        <f t="shared" si="20"/>
        <v>0</v>
      </c>
      <c r="AK331" s="31">
        <f>IFERROR(VLOOKUP($B331,'Slutlig allokering kvv'!$B$2:$AX$549,MATCH("Summa slutlig allokerad tillförd energi (utan hjälpel och rökgaskondensering):",'Slutlig allokering kvv'!$B$1:$AX$1,0),FALSE)/1,"")</f>
        <v>0</v>
      </c>
      <c r="AM331" s="31" t="str">
        <f>IFERROR(1-VLOOKUP($B331,'Slutlig allokering kvv'!$B$2:$AX$549,MATCH("Andel av bränsle i kvv som allokerats till värme, exklusive rökgaskondensering och hjälpel",'Slutlig allokering kvv'!$B$1:$AX$1,0),FALSE),"")</f>
        <v/>
      </c>
      <c r="AO331" s="31" t="str">
        <f t="shared" si="21"/>
        <v/>
      </c>
      <c r="AP331" s="31" t="str">
        <f t="shared" si="22"/>
        <v/>
      </c>
      <c r="AR331" s="32" t="str">
        <f t="shared" si="23"/>
        <v/>
      </c>
    </row>
    <row r="332" spans="1:44" s="31" customFormat="1" x14ac:dyDescent="0.45">
      <c r="A332" s="31" t="s">
        <v>48</v>
      </c>
      <c r="B332" s="31" t="s">
        <v>206</v>
      </c>
      <c r="C332" s="31" t="str">
        <f>IFERROR(VLOOKUP($B332,Kraftvärmeprod!$B$1:$AH$479,MATCH(C$2,Kraftvärmeprod!$B$1:$AG$1,0),FALSE)/1,"")</f>
        <v/>
      </c>
      <c r="D332" s="31" t="str">
        <f>IFERROR(VLOOKUP($B332,Kraftvärmeprod!$B$1:$AH$479,MATCH(D$2,Kraftvärmeprod!$B$1:$AG$1,0),FALSE)/1,"")</f>
        <v/>
      </c>
      <c r="F332" s="31" t="str">
        <f>IF($D332="","",IFERROR(VLOOKUP($B332,Kraftvärmeprod!$B$1:$BX$550,MATCH(F$2,Kraftvärmeprod!$B$1:$VX$1,0),FALSE)/1,0)-IFERROR(VLOOKUP($B332,'Slutlig allokering kvv'!$B$2:$BX$550,MATCH(F$2,'Slutlig allokering kvv'!$B$1:$BX$1,0),FALSE)/1,0))</f>
        <v/>
      </c>
      <c r="G332" s="31" t="str">
        <f>IF($D332="","",IFERROR(VLOOKUP($B332,Kraftvärmeprod!$B$1:$BX$550,MATCH(G$2,Kraftvärmeprod!$B$1:$VX$1,0),FALSE)/1,0)-IFERROR(VLOOKUP($B332,'Slutlig allokering kvv'!$B$2:$BX$550,MATCH(G$2,'Slutlig allokering kvv'!$B$1:$BX$1,0),FALSE)/1,0))</f>
        <v/>
      </c>
      <c r="H332" s="31" t="str">
        <f>IF($D332="","",IFERROR(VLOOKUP($B332,Kraftvärmeprod!$B$1:$BX$550,MATCH(H$2,Kraftvärmeprod!$B$1:$VX$1,0),FALSE)/1,0)-IFERROR(VLOOKUP($B332,'Slutlig allokering kvv'!$B$2:$BX$550,MATCH(H$2,'Slutlig allokering kvv'!$B$1:$BX$1,0),FALSE)/1,0))</f>
        <v/>
      </c>
      <c r="I332" s="31" t="str">
        <f>IF($D332="","",IFERROR(VLOOKUP($B332,Kraftvärmeprod!$B$1:$BX$550,MATCH(I$2,Kraftvärmeprod!$B$1:$VX$1,0),FALSE)/1,0)-IFERROR(VLOOKUP($B332,'Slutlig allokering kvv'!$B$2:$BX$550,MATCH(I$2,'Slutlig allokering kvv'!$B$1:$BX$1,0),FALSE)/1,0))</f>
        <v/>
      </c>
      <c r="J332" s="31" t="str">
        <f>IF($D332="","",IFERROR(VLOOKUP($B332,Kraftvärmeprod!$B$1:$BX$550,MATCH(J$2,Kraftvärmeprod!$B$1:$VX$1,0),FALSE)/1,0)-IFERROR(VLOOKUP($B332,'Slutlig allokering kvv'!$B$2:$BX$550,MATCH(J$2,'Slutlig allokering kvv'!$B$1:$BX$1,0),FALSE)/1,0))</f>
        <v/>
      </c>
      <c r="K332" s="31" t="str">
        <f>IF($D332="","",IFERROR(VLOOKUP($B332,Kraftvärmeprod!$B$1:$BX$550,MATCH(K$2,Kraftvärmeprod!$B$1:$VX$1,0),FALSE)/1,0)-IFERROR(VLOOKUP($B332,'Slutlig allokering kvv'!$B$2:$BX$550,MATCH(K$2,'Slutlig allokering kvv'!$B$1:$BX$1,0),FALSE)/1,0))</f>
        <v/>
      </c>
      <c r="L332" s="31" t="str">
        <f>IF($D332="","",IFERROR(VLOOKUP($B332,Kraftvärmeprod!$B$1:$BX$550,MATCH(L$2,Kraftvärmeprod!$B$1:$VX$1,0),FALSE)/1,0)-IFERROR(VLOOKUP($B332,'Slutlig allokering kvv'!$B$2:$BX$550,MATCH(L$2,'Slutlig allokering kvv'!$B$1:$BX$1,0),FALSE)/1,0))</f>
        <v/>
      </c>
      <c r="M332" s="31" t="str">
        <f>IF($D332="","",IFERROR(VLOOKUP($B332,Kraftvärmeprod!$B$1:$BX$550,MATCH(M$2,Kraftvärmeprod!$B$1:$VX$1,0),FALSE)/1,0)-IFERROR(VLOOKUP($B332,'Slutlig allokering kvv'!$B$2:$BX$550,MATCH(M$2,'Slutlig allokering kvv'!$B$1:$BX$1,0),FALSE)/1,0))</f>
        <v/>
      </c>
      <c r="N332" s="31" t="str">
        <f>IF($D332="","",IFERROR(VLOOKUP($B332,Kraftvärmeprod!$B$1:$BX$550,MATCH(N$2,Kraftvärmeprod!$B$1:$VX$1,0),FALSE)/1,0)-IFERROR(VLOOKUP($B332,'Slutlig allokering kvv'!$B$2:$BX$550,MATCH(N$2,'Slutlig allokering kvv'!$B$1:$BX$1,0),FALSE)/1,0))</f>
        <v/>
      </c>
      <c r="O332" s="31" t="str">
        <f>IF($D332="","",IFERROR(VLOOKUP($B332,Kraftvärmeprod!$B$1:$BX$550,MATCH(O$2,Kraftvärmeprod!$B$1:$VX$1,0),FALSE)/1,0)-IFERROR(VLOOKUP($B332,'Slutlig allokering kvv'!$B$2:$BX$550,MATCH(O$2,'Slutlig allokering kvv'!$B$1:$BX$1,0),FALSE)/1,0))</f>
        <v/>
      </c>
      <c r="P332" s="31" t="str">
        <f>IF($D332="","",IFERROR(VLOOKUP($B332,Kraftvärmeprod!$B$1:$BX$550,MATCH(P$2,Kraftvärmeprod!$B$1:$VX$1,0),FALSE)/1,0)-IFERROR(VLOOKUP($B332,'Slutlig allokering kvv'!$B$2:$BX$550,MATCH(P$2,'Slutlig allokering kvv'!$B$1:$BX$1,0),FALSE)/1,0))</f>
        <v/>
      </c>
      <c r="Q332" s="31" t="str">
        <f>IF($D332="","",IFERROR(VLOOKUP($B332,Kraftvärmeprod!$B$1:$BX$550,MATCH(Q$2,Kraftvärmeprod!$B$1:$VX$1,0),FALSE)/1,0)-IFERROR(VLOOKUP($B332,'Slutlig allokering kvv'!$B$2:$BX$550,MATCH(Q$2,'Slutlig allokering kvv'!$B$1:$BX$1,0),FALSE)/1,0))</f>
        <v/>
      </c>
      <c r="R332" s="31" t="str">
        <f>IF($D332="","",IFERROR(VLOOKUP($B332,Kraftvärmeprod!$B$1:$BX$550,MATCH(R$2,Kraftvärmeprod!$B$1:$VX$1,0),FALSE)/1,0)-IFERROR(VLOOKUP($B332,'Slutlig allokering kvv'!$B$2:$BX$550,MATCH(R$2,'Slutlig allokering kvv'!$B$1:$BX$1,0),FALSE)/1,0))</f>
        <v/>
      </c>
      <c r="S332" s="31" t="str">
        <f>IF($D332="","",IFERROR(VLOOKUP($B332,Kraftvärmeprod!$B$1:$BX$550,MATCH(S$2,Kraftvärmeprod!$B$1:$VX$1,0),FALSE)/1,0)-IFERROR(VLOOKUP($B332,'Slutlig allokering kvv'!$B$2:$BX$550,MATCH(S$2,'Slutlig allokering kvv'!$B$1:$BX$1,0),FALSE)/1,0))</f>
        <v/>
      </c>
      <c r="T332" s="31" t="str">
        <f>IF($D332="","",IFERROR(VLOOKUP($B332,Kraftvärmeprod!$B$1:$BX$550,MATCH(T$2,Kraftvärmeprod!$B$1:$VX$1,0),FALSE)/1,0)-IFERROR(VLOOKUP($B332,'Slutlig allokering kvv'!$B$2:$BX$550,MATCH(T$2,'Slutlig allokering kvv'!$B$1:$BX$1,0),FALSE)/1,0))</f>
        <v/>
      </c>
      <c r="U332" s="31" t="str">
        <f>IF($D332="","",IFERROR(VLOOKUP($B332,Kraftvärmeprod!$B$1:$BX$550,MATCH(U$2,Kraftvärmeprod!$B$1:$VX$1,0),FALSE)/1,0)-IFERROR(VLOOKUP($B332,'Slutlig allokering kvv'!$B$2:$BX$550,MATCH(U$2,'Slutlig allokering kvv'!$B$1:$BX$1,0),FALSE)/1,0))</f>
        <v/>
      </c>
      <c r="V332" s="31" t="str">
        <f>IF($D332="","",IFERROR(VLOOKUP($B332,Kraftvärmeprod!$B$1:$BX$550,MATCH(V$2,Kraftvärmeprod!$B$1:$VX$1,0),FALSE)/1,0)-IFERROR(VLOOKUP($B332,'Slutlig allokering kvv'!$B$2:$BX$550,MATCH(V$2,'Slutlig allokering kvv'!$B$1:$BX$1,0),FALSE)/1,0))</f>
        <v/>
      </c>
      <c r="W332" s="31" t="str">
        <f>IF($D332="","",IFERROR(VLOOKUP($B332,Kraftvärmeprod!$B$1:$BX$550,MATCH(W$2,Kraftvärmeprod!$B$1:$VX$1,0),FALSE)/1,0)-IFERROR(VLOOKUP($B332,'Slutlig allokering kvv'!$B$2:$BX$550,MATCH(W$2,'Slutlig allokering kvv'!$B$1:$BX$1,0),FALSE)/1,0))</f>
        <v/>
      </c>
      <c r="X332" s="31" t="str">
        <f>IF($D332="","",IFERROR(VLOOKUP($B332,Kraftvärmeprod!$B$1:$BX$550,MATCH(X$2,Kraftvärmeprod!$B$1:$VX$1,0),FALSE)/1,0)-IFERROR(VLOOKUP($B332,'Slutlig allokering kvv'!$B$2:$BX$550,MATCH(X$2,'Slutlig allokering kvv'!$B$1:$BX$1,0),FALSE)/1,0))</f>
        <v/>
      </c>
      <c r="Y332" s="31" t="str">
        <f>IF($D332="","",IFERROR(VLOOKUP($B332,Kraftvärmeprod!$B$1:$BX$550,MATCH(Y$2,Kraftvärmeprod!$B$1:$VX$1,0),FALSE)/1,0)-IFERROR(VLOOKUP($B332,'Slutlig allokering kvv'!$B$2:$BX$550,MATCH(Y$2,'Slutlig allokering kvv'!$B$1:$BX$1,0),FALSE)/1,0))</f>
        <v/>
      </c>
      <c r="Z332" s="31" t="str">
        <f>IF($D332="","",IFERROR(VLOOKUP($B332,Kraftvärmeprod!$B$1:$BX$550,MATCH(Z$2,Kraftvärmeprod!$B$1:$VX$1,0),FALSE)/1,0)-IFERROR(VLOOKUP($B332,'Slutlig allokering kvv'!$B$2:$BX$550,MATCH(Z$2,'Slutlig allokering kvv'!$B$1:$BX$1,0),FALSE)/1,0))</f>
        <v/>
      </c>
      <c r="AA332" s="31" t="str">
        <f>IF($D332="","",IFERROR(VLOOKUP($B332,Kraftvärmeprod!$B$1:$BX$550,MATCH(AA$2,Kraftvärmeprod!$B$1:$VX$1,0),FALSE)/1,0)-IFERROR(VLOOKUP($B332,'Slutlig allokering kvv'!$B$2:$BX$550,MATCH(AA$2,'Slutlig allokering kvv'!$B$1:$BX$1,0),FALSE)/1,0))</f>
        <v/>
      </c>
      <c r="AB332" s="31" t="str">
        <f>IF($D332="","",IFERROR(VLOOKUP($B332,Kraftvärmeprod!$B$1:$BX$550,MATCH(AB$2,Kraftvärmeprod!$B$1:$VX$1,0),FALSE)/1,0)-IFERROR(VLOOKUP($B332,'Slutlig allokering kvv'!$B$2:$BX$550,MATCH(AB$2,'Slutlig allokering kvv'!$B$1:$BX$1,0),FALSE)/1,0))</f>
        <v/>
      </c>
      <c r="AC332" s="31" t="str">
        <f>IF($D332="","",IFERROR(VLOOKUP($B332,Kraftvärmeprod!$B$1:$BX$550,MATCH(AC$2,Kraftvärmeprod!$B$1:$VX$1,0),FALSE)/1,0)-IFERROR(VLOOKUP($B332,'Slutlig allokering kvv'!$B$2:$BX$550,MATCH(AC$2,'Slutlig allokering kvv'!$B$1:$BX$1,0),FALSE)/1,0))</f>
        <v/>
      </c>
      <c r="AD332" s="31" t="str">
        <f>IF($D332="","",IFERROR(VLOOKUP($B332,Kraftvärmeprod!$B$1:$BX$550,MATCH(AD$2,Kraftvärmeprod!$B$1:$VX$1,0),FALSE)/1,0)-IFERROR(VLOOKUP($B332,'Slutlig allokering kvv'!$B$2:$BX$550,MATCH(AD$2,'Slutlig allokering kvv'!$B$1:$BX$1,0),FALSE)/1,0))</f>
        <v/>
      </c>
      <c r="AE332" s="31" t="str">
        <f>IF($D332="","",IFERROR(VLOOKUP($B332,Miljö!$B$1:$E$550,MATCH("Hjälpel kraftvärme (GWh)",Miljö!$B$1:$E$1,0),FALSE)/1,0)-IFERROR(VLOOKUP($B332,'Slutlig allokering kvv'!$B$2:$BX$549,MATCH(AE$2,'Slutlig allokering kvv'!$B$1:$BX$1,0),FALSE)/1,0))</f>
        <v/>
      </c>
      <c r="AI332" s="39">
        <f t="shared" si="20"/>
        <v>0</v>
      </c>
      <c r="AK332" s="31">
        <f>IFERROR(VLOOKUP($B332,'Slutlig allokering kvv'!$B$2:$AX$549,MATCH("Summa slutlig allokerad tillförd energi (utan hjälpel och rökgaskondensering):",'Slutlig allokering kvv'!$B$1:$AX$1,0),FALSE)/1,"")</f>
        <v>0</v>
      </c>
      <c r="AM332" s="31" t="str">
        <f>IFERROR(1-VLOOKUP($B332,'Slutlig allokering kvv'!$B$2:$AX$549,MATCH("Andel av bränsle i kvv som allokerats till värme, exklusive rökgaskondensering och hjälpel",'Slutlig allokering kvv'!$B$1:$AX$1,0),FALSE),"")</f>
        <v/>
      </c>
      <c r="AO332" s="31" t="str">
        <f t="shared" si="21"/>
        <v/>
      </c>
      <c r="AP332" s="31" t="str">
        <f t="shared" si="22"/>
        <v/>
      </c>
      <c r="AR332" s="32" t="str">
        <f t="shared" si="23"/>
        <v/>
      </c>
    </row>
    <row r="333" spans="1:44" s="31" customFormat="1" x14ac:dyDescent="0.45">
      <c r="A333" s="31" t="s">
        <v>48</v>
      </c>
      <c r="B333" s="31" t="s">
        <v>205</v>
      </c>
      <c r="C333" s="31" t="str">
        <f>IFERROR(VLOOKUP($B333,Kraftvärmeprod!$B$1:$AH$479,MATCH(C$2,Kraftvärmeprod!$B$1:$AG$1,0),FALSE)/1,"")</f>
        <v/>
      </c>
      <c r="D333" s="31" t="str">
        <f>IFERROR(VLOOKUP($B333,Kraftvärmeprod!$B$1:$AH$479,MATCH(D$2,Kraftvärmeprod!$B$1:$AG$1,0),FALSE)/1,"")</f>
        <v/>
      </c>
      <c r="F333" s="31" t="str">
        <f>IF($D333="","",IFERROR(VLOOKUP($B333,Kraftvärmeprod!$B$1:$BX$550,MATCH(F$2,Kraftvärmeprod!$B$1:$VX$1,0),FALSE)/1,0)-IFERROR(VLOOKUP($B333,'Slutlig allokering kvv'!$B$2:$BX$550,MATCH(F$2,'Slutlig allokering kvv'!$B$1:$BX$1,0),FALSE)/1,0))</f>
        <v/>
      </c>
      <c r="G333" s="31" t="str">
        <f>IF($D333="","",IFERROR(VLOOKUP($B333,Kraftvärmeprod!$B$1:$BX$550,MATCH(G$2,Kraftvärmeprod!$B$1:$VX$1,0),FALSE)/1,0)-IFERROR(VLOOKUP($B333,'Slutlig allokering kvv'!$B$2:$BX$550,MATCH(G$2,'Slutlig allokering kvv'!$B$1:$BX$1,0),FALSE)/1,0))</f>
        <v/>
      </c>
      <c r="H333" s="31" t="str">
        <f>IF($D333="","",IFERROR(VLOOKUP($B333,Kraftvärmeprod!$B$1:$BX$550,MATCH(H$2,Kraftvärmeprod!$B$1:$VX$1,0),FALSE)/1,0)-IFERROR(VLOOKUP($B333,'Slutlig allokering kvv'!$B$2:$BX$550,MATCH(H$2,'Slutlig allokering kvv'!$B$1:$BX$1,0),FALSE)/1,0))</f>
        <v/>
      </c>
      <c r="I333" s="31" t="str">
        <f>IF($D333="","",IFERROR(VLOOKUP($B333,Kraftvärmeprod!$B$1:$BX$550,MATCH(I$2,Kraftvärmeprod!$B$1:$VX$1,0),FALSE)/1,0)-IFERROR(VLOOKUP($B333,'Slutlig allokering kvv'!$B$2:$BX$550,MATCH(I$2,'Slutlig allokering kvv'!$B$1:$BX$1,0),FALSE)/1,0))</f>
        <v/>
      </c>
      <c r="J333" s="31" t="str">
        <f>IF($D333="","",IFERROR(VLOOKUP($B333,Kraftvärmeprod!$B$1:$BX$550,MATCH(J$2,Kraftvärmeprod!$B$1:$VX$1,0),FALSE)/1,0)-IFERROR(VLOOKUP($B333,'Slutlig allokering kvv'!$B$2:$BX$550,MATCH(J$2,'Slutlig allokering kvv'!$B$1:$BX$1,0),FALSE)/1,0))</f>
        <v/>
      </c>
      <c r="K333" s="31" t="str">
        <f>IF($D333="","",IFERROR(VLOOKUP($B333,Kraftvärmeprod!$B$1:$BX$550,MATCH(K$2,Kraftvärmeprod!$B$1:$VX$1,0),FALSE)/1,0)-IFERROR(VLOOKUP($B333,'Slutlig allokering kvv'!$B$2:$BX$550,MATCH(K$2,'Slutlig allokering kvv'!$B$1:$BX$1,0),FALSE)/1,0))</f>
        <v/>
      </c>
      <c r="L333" s="31" t="str">
        <f>IF($D333="","",IFERROR(VLOOKUP($B333,Kraftvärmeprod!$B$1:$BX$550,MATCH(L$2,Kraftvärmeprod!$B$1:$VX$1,0),FALSE)/1,0)-IFERROR(VLOOKUP($B333,'Slutlig allokering kvv'!$B$2:$BX$550,MATCH(L$2,'Slutlig allokering kvv'!$B$1:$BX$1,0),FALSE)/1,0))</f>
        <v/>
      </c>
      <c r="M333" s="31" t="str">
        <f>IF($D333="","",IFERROR(VLOOKUP($B333,Kraftvärmeprod!$B$1:$BX$550,MATCH(M$2,Kraftvärmeprod!$B$1:$VX$1,0),FALSE)/1,0)-IFERROR(VLOOKUP($B333,'Slutlig allokering kvv'!$B$2:$BX$550,MATCH(M$2,'Slutlig allokering kvv'!$B$1:$BX$1,0),FALSE)/1,0))</f>
        <v/>
      </c>
      <c r="N333" s="31" t="str">
        <f>IF($D333="","",IFERROR(VLOOKUP($B333,Kraftvärmeprod!$B$1:$BX$550,MATCH(N$2,Kraftvärmeprod!$B$1:$VX$1,0),FALSE)/1,0)-IFERROR(VLOOKUP($B333,'Slutlig allokering kvv'!$B$2:$BX$550,MATCH(N$2,'Slutlig allokering kvv'!$B$1:$BX$1,0),FALSE)/1,0))</f>
        <v/>
      </c>
      <c r="O333" s="31" t="str">
        <f>IF($D333="","",IFERROR(VLOOKUP($B333,Kraftvärmeprod!$B$1:$BX$550,MATCH(O$2,Kraftvärmeprod!$B$1:$VX$1,0),FALSE)/1,0)-IFERROR(VLOOKUP($B333,'Slutlig allokering kvv'!$B$2:$BX$550,MATCH(O$2,'Slutlig allokering kvv'!$B$1:$BX$1,0),FALSE)/1,0))</f>
        <v/>
      </c>
      <c r="P333" s="31" t="str">
        <f>IF($D333="","",IFERROR(VLOOKUP($B333,Kraftvärmeprod!$B$1:$BX$550,MATCH(P$2,Kraftvärmeprod!$B$1:$VX$1,0),FALSE)/1,0)-IFERROR(VLOOKUP($B333,'Slutlig allokering kvv'!$B$2:$BX$550,MATCH(P$2,'Slutlig allokering kvv'!$B$1:$BX$1,0),FALSE)/1,0))</f>
        <v/>
      </c>
      <c r="Q333" s="31" t="str">
        <f>IF($D333="","",IFERROR(VLOOKUP($B333,Kraftvärmeprod!$B$1:$BX$550,MATCH(Q$2,Kraftvärmeprod!$B$1:$VX$1,0),FALSE)/1,0)-IFERROR(VLOOKUP($B333,'Slutlig allokering kvv'!$B$2:$BX$550,MATCH(Q$2,'Slutlig allokering kvv'!$B$1:$BX$1,0),FALSE)/1,0))</f>
        <v/>
      </c>
      <c r="R333" s="31" t="str">
        <f>IF($D333="","",IFERROR(VLOOKUP($B333,Kraftvärmeprod!$B$1:$BX$550,MATCH(R$2,Kraftvärmeprod!$B$1:$VX$1,0),FALSE)/1,0)-IFERROR(VLOOKUP($B333,'Slutlig allokering kvv'!$B$2:$BX$550,MATCH(R$2,'Slutlig allokering kvv'!$B$1:$BX$1,0),FALSE)/1,0))</f>
        <v/>
      </c>
      <c r="S333" s="31" t="str">
        <f>IF($D333="","",IFERROR(VLOOKUP($B333,Kraftvärmeprod!$B$1:$BX$550,MATCH(S$2,Kraftvärmeprod!$B$1:$VX$1,0),FALSE)/1,0)-IFERROR(VLOOKUP($B333,'Slutlig allokering kvv'!$B$2:$BX$550,MATCH(S$2,'Slutlig allokering kvv'!$B$1:$BX$1,0),FALSE)/1,0))</f>
        <v/>
      </c>
      <c r="T333" s="31" t="str">
        <f>IF($D333="","",IFERROR(VLOOKUP($B333,Kraftvärmeprod!$B$1:$BX$550,MATCH(T$2,Kraftvärmeprod!$B$1:$VX$1,0),FALSE)/1,0)-IFERROR(VLOOKUP($B333,'Slutlig allokering kvv'!$B$2:$BX$550,MATCH(T$2,'Slutlig allokering kvv'!$B$1:$BX$1,0),FALSE)/1,0))</f>
        <v/>
      </c>
      <c r="U333" s="31" t="str">
        <f>IF($D333="","",IFERROR(VLOOKUP($B333,Kraftvärmeprod!$B$1:$BX$550,MATCH(U$2,Kraftvärmeprod!$B$1:$VX$1,0),FALSE)/1,0)-IFERROR(VLOOKUP($B333,'Slutlig allokering kvv'!$B$2:$BX$550,MATCH(U$2,'Slutlig allokering kvv'!$B$1:$BX$1,0),FALSE)/1,0))</f>
        <v/>
      </c>
      <c r="V333" s="31" t="str">
        <f>IF($D333="","",IFERROR(VLOOKUP($B333,Kraftvärmeprod!$B$1:$BX$550,MATCH(V$2,Kraftvärmeprod!$B$1:$VX$1,0),FALSE)/1,0)-IFERROR(VLOOKUP($B333,'Slutlig allokering kvv'!$B$2:$BX$550,MATCH(V$2,'Slutlig allokering kvv'!$B$1:$BX$1,0),FALSE)/1,0))</f>
        <v/>
      </c>
      <c r="W333" s="31" t="str">
        <f>IF($D333="","",IFERROR(VLOOKUP($B333,Kraftvärmeprod!$B$1:$BX$550,MATCH(W$2,Kraftvärmeprod!$B$1:$VX$1,0),FALSE)/1,0)-IFERROR(VLOOKUP($B333,'Slutlig allokering kvv'!$B$2:$BX$550,MATCH(W$2,'Slutlig allokering kvv'!$B$1:$BX$1,0),FALSE)/1,0))</f>
        <v/>
      </c>
      <c r="X333" s="31" t="str">
        <f>IF($D333="","",IFERROR(VLOOKUP($B333,Kraftvärmeprod!$B$1:$BX$550,MATCH(X$2,Kraftvärmeprod!$B$1:$VX$1,0),FALSE)/1,0)-IFERROR(VLOOKUP($B333,'Slutlig allokering kvv'!$B$2:$BX$550,MATCH(X$2,'Slutlig allokering kvv'!$B$1:$BX$1,0),FALSE)/1,0))</f>
        <v/>
      </c>
      <c r="Y333" s="31" t="str">
        <f>IF($D333="","",IFERROR(VLOOKUP($B333,Kraftvärmeprod!$B$1:$BX$550,MATCH(Y$2,Kraftvärmeprod!$B$1:$VX$1,0),FALSE)/1,0)-IFERROR(VLOOKUP($B333,'Slutlig allokering kvv'!$B$2:$BX$550,MATCH(Y$2,'Slutlig allokering kvv'!$B$1:$BX$1,0),FALSE)/1,0))</f>
        <v/>
      </c>
      <c r="Z333" s="31" t="str">
        <f>IF($D333="","",IFERROR(VLOOKUP($B333,Kraftvärmeprod!$B$1:$BX$550,MATCH(Z$2,Kraftvärmeprod!$B$1:$VX$1,0),FALSE)/1,0)-IFERROR(VLOOKUP($B333,'Slutlig allokering kvv'!$B$2:$BX$550,MATCH(Z$2,'Slutlig allokering kvv'!$B$1:$BX$1,0),FALSE)/1,0))</f>
        <v/>
      </c>
      <c r="AA333" s="31" t="str">
        <f>IF($D333="","",IFERROR(VLOOKUP($B333,Kraftvärmeprod!$B$1:$BX$550,MATCH(AA$2,Kraftvärmeprod!$B$1:$VX$1,0),FALSE)/1,0)-IFERROR(VLOOKUP($B333,'Slutlig allokering kvv'!$B$2:$BX$550,MATCH(AA$2,'Slutlig allokering kvv'!$B$1:$BX$1,0),FALSE)/1,0))</f>
        <v/>
      </c>
      <c r="AB333" s="31" t="str">
        <f>IF($D333="","",IFERROR(VLOOKUP($B333,Kraftvärmeprod!$B$1:$BX$550,MATCH(AB$2,Kraftvärmeprod!$B$1:$VX$1,0),FALSE)/1,0)-IFERROR(VLOOKUP($B333,'Slutlig allokering kvv'!$B$2:$BX$550,MATCH(AB$2,'Slutlig allokering kvv'!$B$1:$BX$1,0),FALSE)/1,0))</f>
        <v/>
      </c>
      <c r="AC333" s="31" t="str">
        <f>IF($D333="","",IFERROR(VLOOKUP($B333,Kraftvärmeprod!$B$1:$BX$550,MATCH(AC$2,Kraftvärmeprod!$B$1:$VX$1,0),FALSE)/1,0)-IFERROR(VLOOKUP($B333,'Slutlig allokering kvv'!$B$2:$BX$550,MATCH(AC$2,'Slutlig allokering kvv'!$B$1:$BX$1,0),FALSE)/1,0))</f>
        <v/>
      </c>
      <c r="AD333" s="31" t="str">
        <f>IF($D333="","",IFERROR(VLOOKUP($B333,Kraftvärmeprod!$B$1:$BX$550,MATCH(AD$2,Kraftvärmeprod!$B$1:$VX$1,0),FALSE)/1,0)-IFERROR(VLOOKUP($B333,'Slutlig allokering kvv'!$B$2:$BX$550,MATCH(AD$2,'Slutlig allokering kvv'!$B$1:$BX$1,0),FALSE)/1,0))</f>
        <v/>
      </c>
      <c r="AE333" s="31" t="str">
        <f>IF($D333="","",IFERROR(VLOOKUP($B333,Miljö!$B$1:$E$550,MATCH("Hjälpel kraftvärme (GWh)",Miljö!$B$1:$E$1,0),FALSE)/1,0)-IFERROR(VLOOKUP($B333,'Slutlig allokering kvv'!$B$2:$BX$549,MATCH(AE$2,'Slutlig allokering kvv'!$B$1:$BX$1,0),FALSE)/1,0))</f>
        <v/>
      </c>
      <c r="AI333" s="39">
        <f t="shared" si="20"/>
        <v>0</v>
      </c>
      <c r="AK333" s="31">
        <f>IFERROR(VLOOKUP($B333,'Slutlig allokering kvv'!$B$2:$AX$549,MATCH("Summa slutlig allokerad tillförd energi (utan hjälpel och rökgaskondensering):",'Slutlig allokering kvv'!$B$1:$AX$1,0),FALSE)/1,"")</f>
        <v>0</v>
      </c>
      <c r="AM333" s="31" t="str">
        <f>IFERROR(1-VLOOKUP($B333,'Slutlig allokering kvv'!$B$2:$AX$549,MATCH("Andel av bränsle i kvv som allokerats till värme, exklusive rökgaskondensering och hjälpel",'Slutlig allokering kvv'!$B$1:$AX$1,0),FALSE),"")</f>
        <v/>
      </c>
      <c r="AO333" s="31" t="str">
        <f t="shared" si="21"/>
        <v/>
      </c>
      <c r="AP333" s="31" t="str">
        <f t="shared" si="22"/>
        <v/>
      </c>
      <c r="AR333" s="32" t="str">
        <f t="shared" si="23"/>
        <v/>
      </c>
    </row>
    <row r="334" spans="1:44" s="31" customFormat="1" x14ac:dyDescent="0.45">
      <c r="A334" s="31" t="s">
        <v>197</v>
      </c>
      <c r="B334" s="31" t="s">
        <v>198</v>
      </c>
      <c r="C334" s="31" t="str">
        <f>IFERROR(VLOOKUP($B334,Kraftvärmeprod!$B$1:$AH$479,MATCH(C$2,Kraftvärmeprod!$B$1:$AG$1,0),FALSE)/1,"")</f>
        <v/>
      </c>
      <c r="D334" s="31" t="str">
        <f>IFERROR(VLOOKUP($B334,Kraftvärmeprod!$B$1:$AH$479,MATCH(D$2,Kraftvärmeprod!$B$1:$AG$1,0),FALSE)/1,"")</f>
        <v/>
      </c>
      <c r="F334" s="31" t="str">
        <f>IF($D334="","",IFERROR(VLOOKUP($B334,Kraftvärmeprod!$B$1:$BX$550,MATCH(F$2,Kraftvärmeprod!$B$1:$VX$1,0),FALSE)/1,0)-IFERROR(VLOOKUP($B334,'Slutlig allokering kvv'!$B$2:$BX$550,MATCH(F$2,'Slutlig allokering kvv'!$B$1:$BX$1,0),FALSE)/1,0))</f>
        <v/>
      </c>
      <c r="G334" s="31" t="str">
        <f>IF($D334="","",IFERROR(VLOOKUP($B334,Kraftvärmeprod!$B$1:$BX$550,MATCH(G$2,Kraftvärmeprod!$B$1:$VX$1,0),FALSE)/1,0)-IFERROR(VLOOKUP($B334,'Slutlig allokering kvv'!$B$2:$BX$550,MATCH(G$2,'Slutlig allokering kvv'!$B$1:$BX$1,0),FALSE)/1,0))</f>
        <v/>
      </c>
      <c r="H334" s="31" t="str">
        <f>IF($D334="","",IFERROR(VLOOKUP($B334,Kraftvärmeprod!$B$1:$BX$550,MATCH(H$2,Kraftvärmeprod!$B$1:$VX$1,0),FALSE)/1,0)-IFERROR(VLOOKUP($B334,'Slutlig allokering kvv'!$B$2:$BX$550,MATCH(H$2,'Slutlig allokering kvv'!$B$1:$BX$1,0),FALSE)/1,0))</f>
        <v/>
      </c>
      <c r="I334" s="31" t="str">
        <f>IF($D334="","",IFERROR(VLOOKUP($B334,Kraftvärmeprod!$B$1:$BX$550,MATCH(I$2,Kraftvärmeprod!$B$1:$VX$1,0),FALSE)/1,0)-IFERROR(VLOOKUP($B334,'Slutlig allokering kvv'!$B$2:$BX$550,MATCH(I$2,'Slutlig allokering kvv'!$B$1:$BX$1,0),FALSE)/1,0))</f>
        <v/>
      </c>
      <c r="J334" s="31" t="str">
        <f>IF($D334="","",IFERROR(VLOOKUP($B334,Kraftvärmeprod!$B$1:$BX$550,MATCH(J$2,Kraftvärmeprod!$B$1:$VX$1,0),FALSE)/1,0)-IFERROR(VLOOKUP($B334,'Slutlig allokering kvv'!$B$2:$BX$550,MATCH(J$2,'Slutlig allokering kvv'!$B$1:$BX$1,0),FALSE)/1,0))</f>
        <v/>
      </c>
      <c r="K334" s="31" t="str">
        <f>IF($D334="","",IFERROR(VLOOKUP($B334,Kraftvärmeprod!$B$1:$BX$550,MATCH(K$2,Kraftvärmeprod!$B$1:$VX$1,0),FALSE)/1,0)-IFERROR(VLOOKUP($B334,'Slutlig allokering kvv'!$B$2:$BX$550,MATCH(K$2,'Slutlig allokering kvv'!$B$1:$BX$1,0),FALSE)/1,0))</f>
        <v/>
      </c>
      <c r="L334" s="31" t="str">
        <f>IF($D334="","",IFERROR(VLOOKUP($B334,Kraftvärmeprod!$B$1:$BX$550,MATCH(L$2,Kraftvärmeprod!$B$1:$VX$1,0),FALSE)/1,0)-IFERROR(VLOOKUP($B334,'Slutlig allokering kvv'!$B$2:$BX$550,MATCH(L$2,'Slutlig allokering kvv'!$B$1:$BX$1,0),FALSE)/1,0))</f>
        <v/>
      </c>
      <c r="M334" s="31" t="str">
        <f>IF($D334="","",IFERROR(VLOOKUP($B334,Kraftvärmeprod!$B$1:$BX$550,MATCH(M$2,Kraftvärmeprod!$B$1:$VX$1,0),FALSE)/1,0)-IFERROR(VLOOKUP($B334,'Slutlig allokering kvv'!$B$2:$BX$550,MATCH(M$2,'Slutlig allokering kvv'!$B$1:$BX$1,0),FALSE)/1,0))</f>
        <v/>
      </c>
      <c r="N334" s="31" t="str">
        <f>IF($D334="","",IFERROR(VLOOKUP($B334,Kraftvärmeprod!$B$1:$BX$550,MATCH(N$2,Kraftvärmeprod!$B$1:$VX$1,0),FALSE)/1,0)-IFERROR(VLOOKUP($B334,'Slutlig allokering kvv'!$B$2:$BX$550,MATCH(N$2,'Slutlig allokering kvv'!$B$1:$BX$1,0),FALSE)/1,0))</f>
        <v/>
      </c>
      <c r="O334" s="31" t="str">
        <f>IF($D334="","",IFERROR(VLOOKUP($B334,Kraftvärmeprod!$B$1:$BX$550,MATCH(O$2,Kraftvärmeprod!$B$1:$VX$1,0),FALSE)/1,0)-IFERROR(VLOOKUP($B334,'Slutlig allokering kvv'!$B$2:$BX$550,MATCH(O$2,'Slutlig allokering kvv'!$B$1:$BX$1,0),FALSE)/1,0))</f>
        <v/>
      </c>
      <c r="P334" s="31" t="str">
        <f>IF($D334="","",IFERROR(VLOOKUP($B334,Kraftvärmeprod!$B$1:$BX$550,MATCH(P$2,Kraftvärmeprod!$B$1:$VX$1,0),FALSE)/1,0)-IFERROR(VLOOKUP($B334,'Slutlig allokering kvv'!$B$2:$BX$550,MATCH(P$2,'Slutlig allokering kvv'!$B$1:$BX$1,0),FALSE)/1,0))</f>
        <v/>
      </c>
      <c r="Q334" s="31" t="str">
        <f>IF($D334="","",IFERROR(VLOOKUP($B334,Kraftvärmeprod!$B$1:$BX$550,MATCH(Q$2,Kraftvärmeprod!$B$1:$VX$1,0),FALSE)/1,0)-IFERROR(VLOOKUP($B334,'Slutlig allokering kvv'!$B$2:$BX$550,MATCH(Q$2,'Slutlig allokering kvv'!$B$1:$BX$1,0),FALSE)/1,0))</f>
        <v/>
      </c>
      <c r="R334" s="31" t="str">
        <f>IF($D334="","",IFERROR(VLOOKUP($B334,Kraftvärmeprod!$B$1:$BX$550,MATCH(R$2,Kraftvärmeprod!$B$1:$VX$1,0),FALSE)/1,0)-IFERROR(VLOOKUP($B334,'Slutlig allokering kvv'!$B$2:$BX$550,MATCH(R$2,'Slutlig allokering kvv'!$B$1:$BX$1,0),FALSE)/1,0))</f>
        <v/>
      </c>
      <c r="S334" s="31" t="str">
        <f>IF($D334="","",IFERROR(VLOOKUP($B334,Kraftvärmeprod!$B$1:$BX$550,MATCH(S$2,Kraftvärmeprod!$B$1:$VX$1,0),FALSE)/1,0)-IFERROR(VLOOKUP($B334,'Slutlig allokering kvv'!$B$2:$BX$550,MATCH(S$2,'Slutlig allokering kvv'!$B$1:$BX$1,0),FALSE)/1,0))</f>
        <v/>
      </c>
      <c r="T334" s="31" t="str">
        <f>IF($D334="","",IFERROR(VLOOKUP($B334,Kraftvärmeprod!$B$1:$BX$550,MATCH(T$2,Kraftvärmeprod!$B$1:$VX$1,0),FALSE)/1,0)-IFERROR(VLOOKUP($B334,'Slutlig allokering kvv'!$B$2:$BX$550,MATCH(T$2,'Slutlig allokering kvv'!$B$1:$BX$1,0),FALSE)/1,0))</f>
        <v/>
      </c>
      <c r="U334" s="31" t="str">
        <f>IF($D334="","",IFERROR(VLOOKUP($B334,Kraftvärmeprod!$B$1:$BX$550,MATCH(U$2,Kraftvärmeprod!$B$1:$VX$1,0),FALSE)/1,0)-IFERROR(VLOOKUP($B334,'Slutlig allokering kvv'!$B$2:$BX$550,MATCH(U$2,'Slutlig allokering kvv'!$B$1:$BX$1,0),FALSE)/1,0))</f>
        <v/>
      </c>
      <c r="V334" s="31" t="str">
        <f>IF($D334="","",IFERROR(VLOOKUP($B334,Kraftvärmeprod!$B$1:$BX$550,MATCH(V$2,Kraftvärmeprod!$B$1:$VX$1,0),FALSE)/1,0)-IFERROR(VLOOKUP($B334,'Slutlig allokering kvv'!$B$2:$BX$550,MATCH(V$2,'Slutlig allokering kvv'!$B$1:$BX$1,0),FALSE)/1,0))</f>
        <v/>
      </c>
      <c r="W334" s="31" t="str">
        <f>IF($D334="","",IFERROR(VLOOKUP($B334,Kraftvärmeprod!$B$1:$BX$550,MATCH(W$2,Kraftvärmeprod!$B$1:$VX$1,0),FALSE)/1,0)-IFERROR(VLOOKUP($B334,'Slutlig allokering kvv'!$B$2:$BX$550,MATCH(W$2,'Slutlig allokering kvv'!$B$1:$BX$1,0),FALSE)/1,0))</f>
        <v/>
      </c>
      <c r="X334" s="31" t="str">
        <f>IF($D334="","",IFERROR(VLOOKUP($B334,Kraftvärmeprod!$B$1:$BX$550,MATCH(X$2,Kraftvärmeprod!$B$1:$VX$1,0),FALSE)/1,0)-IFERROR(VLOOKUP($B334,'Slutlig allokering kvv'!$B$2:$BX$550,MATCH(X$2,'Slutlig allokering kvv'!$B$1:$BX$1,0),FALSE)/1,0))</f>
        <v/>
      </c>
      <c r="Y334" s="31" t="str">
        <f>IF($D334="","",IFERROR(VLOOKUP($B334,Kraftvärmeprod!$B$1:$BX$550,MATCH(Y$2,Kraftvärmeprod!$B$1:$VX$1,0),FALSE)/1,0)-IFERROR(VLOOKUP($B334,'Slutlig allokering kvv'!$B$2:$BX$550,MATCH(Y$2,'Slutlig allokering kvv'!$B$1:$BX$1,0),FALSE)/1,0))</f>
        <v/>
      </c>
      <c r="Z334" s="31" t="str">
        <f>IF($D334="","",IFERROR(VLOOKUP($B334,Kraftvärmeprod!$B$1:$BX$550,MATCH(Z$2,Kraftvärmeprod!$B$1:$VX$1,0),FALSE)/1,0)-IFERROR(VLOOKUP($B334,'Slutlig allokering kvv'!$B$2:$BX$550,MATCH(Z$2,'Slutlig allokering kvv'!$B$1:$BX$1,0),FALSE)/1,0))</f>
        <v/>
      </c>
      <c r="AA334" s="31" t="str">
        <f>IF($D334="","",IFERROR(VLOOKUP($B334,Kraftvärmeprod!$B$1:$BX$550,MATCH(AA$2,Kraftvärmeprod!$B$1:$VX$1,0),FALSE)/1,0)-IFERROR(VLOOKUP($B334,'Slutlig allokering kvv'!$B$2:$BX$550,MATCH(AA$2,'Slutlig allokering kvv'!$B$1:$BX$1,0),FALSE)/1,0))</f>
        <v/>
      </c>
      <c r="AB334" s="31" t="str">
        <f>IF($D334="","",IFERROR(VLOOKUP($B334,Kraftvärmeprod!$B$1:$BX$550,MATCH(AB$2,Kraftvärmeprod!$B$1:$VX$1,0),FALSE)/1,0)-IFERROR(VLOOKUP($B334,'Slutlig allokering kvv'!$B$2:$BX$550,MATCH(AB$2,'Slutlig allokering kvv'!$B$1:$BX$1,0),FALSE)/1,0))</f>
        <v/>
      </c>
      <c r="AC334" s="31" t="str">
        <f>IF($D334="","",IFERROR(VLOOKUP($B334,Kraftvärmeprod!$B$1:$BX$550,MATCH(AC$2,Kraftvärmeprod!$B$1:$VX$1,0),FALSE)/1,0)-IFERROR(VLOOKUP($B334,'Slutlig allokering kvv'!$B$2:$BX$550,MATCH(AC$2,'Slutlig allokering kvv'!$B$1:$BX$1,0),FALSE)/1,0))</f>
        <v/>
      </c>
      <c r="AD334" s="31" t="str">
        <f>IF($D334="","",IFERROR(VLOOKUP($B334,Kraftvärmeprod!$B$1:$BX$550,MATCH(AD$2,Kraftvärmeprod!$B$1:$VX$1,0),FALSE)/1,0)-IFERROR(VLOOKUP($B334,'Slutlig allokering kvv'!$B$2:$BX$550,MATCH(AD$2,'Slutlig allokering kvv'!$B$1:$BX$1,0),FALSE)/1,0))</f>
        <v/>
      </c>
      <c r="AE334" s="31" t="str">
        <f>IF($D334="","",IFERROR(VLOOKUP($B334,Miljö!$B$1:$E$550,MATCH("Hjälpel kraftvärme (GWh)",Miljö!$B$1:$E$1,0),FALSE)/1,0)-IFERROR(VLOOKUP($B334,'Slutlig allokering kvv'!$B$2:$BX$549,MATCH(AE$2,'Slutlig allokering kvv'!$B$1:$BX$1,0),FALSE)/1,0))</f>
        <v/>
      </c>
      <c r="AI334" s="39">
        <f t="shared" si="20"/>
        <v>0</v>
      </c>
      <c r="AK334" s="31">
        <f>IFERROR(VLOOKUP($B334,'Slutlig allokering kvv'!$B$2:$AX$549,MATCH("Summa slutlig allokerad tillförd energi (utan hjälpel och rökgaskondensering):",'Slutlig allokering kvv'!$B$1:$AX$1,0),FALSE)/1,"")</f>
        <v>0</v>
      </c>
      <c r="AM334" s="31" t="str">
        <f>IFERROR(1-VLOOKUP($B334,'Slutlig allokering kvv'!$B$2:$AX$549,MATCH("Andel av bränsle i kvv som allokerats till värme, exklusive rökgaskondensering och hjälpel",'Slutlig allokering kvv'!$B$1:$AX$1,0),FALSE),"")</f>
        <v/>
      </c>
      <c r="AO334" s="31" t="str">
        <f t="shared" si="21"/>
        <v/>
      </c>
      <c r="AP334" s="31" t="str">
        <f t="shared" si="22"/>
        <v/>
      </c>
      <c r="AR334" s="32" t="str">
        <f t="shared" si="23"/>
        <v/>
      </c>
    </row>
    <row r="335" spans="1:44" s="31" customFormat="1" x14ac:dyDescent="0.45">
      <c r="A335" s="31" t="s">
        <v>197</v>
      </c>
      <c r="B335" s="31" t="s">
        <v>196</v>
      </c>
      <c r="C335" s="31">
        <f>IFERROR(VLOOKUP($B335,Kraftvärmeprod!$B$1:$AH$479,MATCH(C$2,Kraftvärmeprod!$B$1:$AG$1,0),FALSE)/1,"")</f>
        <v>63.533999999999999</v>
      </c>
      <c r="D335" s="31">
        <f>IFERROR(VLOOKUP($B335,Kraftvärmeprod!$B$1:$AH$479,MATCH(D$2,Kraftvärmeprod!$B$1:$AG$1,0),FALSE)/1,"")</f>
        <v>14.43</v>
      </c>
      <c r="F335" s="31">
        <f>IF($D335="","",IFERROR(VLOOKUP($B335,Kraftvärmeprod!$B$1:$BX$550,MATCH(F$2,Kraftvärmeprod!$B$1:$VX$1,0),FALSE)/1,0)-IFERROR(VLOOKUP($B335,'Slutlig allokering kvv'!$B$2:$BX$550,MATCH(F$2,'Slutlig allokering kvv'!$B$1:$BX$1,0),FALSE)/1,0))</f>
        <v>0</v>
      </c>
      <c r="G335" s="31">
        <f>IF($D335="","",IFERROR(VLOOKUP($B335,Kraftvärmeprod!$B$1:$BX$550,MATCH(G$2,Kraftvärmeprod!$B$1:$VX$1,0),FALSE)/1,0)-IFERROR(VLOOKUP($B335,'Slutlig allokering kvv'!$B$2:$BX$550,MATCH(G$2,'Slutlig allokering kvv'!$B$1:$BX$1,0),FALSE)/1,0))</f>
        <v>0</v>
      </c>
      <c r="H335" s="31">
        <f>IF($D335="","",IFERROR(VLOOKUP($B335,Kraftvärmeprod!$B$1:$BX$550,MATCH(H$2,Kraftvärmeprod!$B$1:$VX$1,0),FALSE)/1,0)-IFERROR(VLOOKUP($B335,'Slutlig allokering kvv'!$B$2:$BX$550,MATCH(H$2,'Slutlig allokering kvv'!$B$1:$BX$1,0),FALSE)/1,0))</f>
        <v>0</v>
      </c>
      <c r="I335" s="31">
        <f>IF($D335="","",IFERROR(VLOOKUP($B335,Kraftvärmeprod!$B$1:$BX$550,MATCH(I$2,Kraftvärmeprod!$B$1:$VX$1,0),FALSE)/1,0)-IFERROR(VLOOKUP($B335,'Slutlig allokering kvv'!$B$2:$BX$550,MATCH(I$2,'Slutlig allokering kvv'!$B$1:$BX$1,0),FALSE)/1,0))</f>
        <v>0</v>
      </c>
      <c r="J335" s="31">
        <f>IF($D335="","",IFERROR(VLOOKUP($B335,Kraftvärmeprod!$B$1:$BX$550,MATCH(J$2,Kraftvärmeprod!$B$1:$VX$1,0),FALSE)/1,0)-IFERROR(VLOOKUP($B335,'Slutlig allokering kvv'!$B$2:$BX$550,MATCH(J$2,'Slutlig allokering kvv'!$B$1:$BX$1,0),FALSE)/1,0))</f>
        <v>0</v>
      </c>
      <c r="K335" s="31">
        <f>IF($D335="","",IFERROR(VLOOKUP($B335,Kraftvärmeprod!$B$1:$BX$550,MATCH(K$2,Kraftvärmeprod!$B$1:$VX$1,0),FALSE)/1,0)-IFERROR(VLOOKUP($B335,'Slutlig allokering kvv'!$B$2:$BX$550,MATCH(K$2,'Slutlig allokering kvv'!$B$1:$BX$1,0),FALSE)/1,0))</f>
        <v>0</v>
      </c>
      <c r="L335" s="31">
        <f>IF($D335="","",IFERROR(VLOOKUP($B335,Kraftvärmeprod!$B$1:$BX$550,MATCH(L$2,Kraftvärmeprod!$B$1:$VX$1,0),FALSE)/1,0)-IFERROR(VLOOKUP($B335,'Slutlig allokering kvv'!$B$2:$BX$550,MATCH(L$2,'Slutlig allokering kvv'!$B$1:$BX$1,0),FALSE)/1,0))</f>
        <v>16.934799999999999</v>
      </c>
      <c r="M335" s="31">
        <f>IF($D335="","",IFERROR(VLOOKUP($B335,Kraftvärmeprod!$B$1:$BX$550,MATCH(M$2,Kraftvärmeprod!$B$1:$VX$1,0),FALSE)/1,0)-IFERROR(VLOOKUP($B335,'Slutlig allokering kvv'!$B$2:$BX$550,MATCH(M$2,'Slutlig allokering kvv'!$B$1:$BX$1,0),FALSE)/1,0))</f>
        <v>10.030900000000003</v>
      </c>
      <c r="N335" s="31">
        <f>IF($D335="","",IFERROR(VLOOKUP($B335,Kraftvärmeprod!$B$1:$BX$550,MATCH(N$2,Kraftvärmeprod!$B$1:$VX$1,0),FALSE)/1,0)-IFERROR(VLOOKUP($B335,'Slutlig allokering kvv'!$B$2:$BX$550,MATCH(N$2,'Slutlig allokering kvv'!$B$1:$BX$1,0),FALSE)/1,0))</f>
        <v>6.5562999999999985</v>
      </c>
      <c r="O335" s="31">
        <f>IF($D335="","",IFERROR(VLOOKUP($B335,Kraftvärmeprod!$B$1:$BX$550,MATCH(O$2,Kraftvärmeprod!$B$1:$VX$1,0),FALSE)/1,0)-IFERROR(VLOOKUP($B335,'Slutlig allokering kvv'!$B$2:$BX$550,MATCH(O$2,'Slutlig allokering kvv'!$B$1:$BX$1,0),FALSE)/1,0))</f>
        <v>0</v>
      </c>
      <c r="P335" s="31">
        <f>IF($D335="","",IFERROR(VLOOKUP($B335,Kraftvärmeprod!$B$1:$BX$550,MATCH(P$2,Kraftvärmeprod!$B$1:$VX$1,0),FALSE)/1,0)-IFERROR(VLOOKUP($B335,'Slutlig allokering kvv'!$B$2:$BX$550,MATCH(P$2,'Slutlig allokering kvv'!$B$1:$BX$1,0),FALSE)/1,0))</f>
        <v>0</v>
      </c>
      <c r="Q335" s="31">
        <f>IF($D335="","",IFERROR(VLOOKUP($B335,Kraftvärmeprod!$B$1:$BX$550,MATCH(Q$2,Kraftvärmeprod!$B$1:$VX$1,0),FALSE)/1,0)-IFERROR(VLOOKUP($B335,'Slutlig allokering kvv'!$B$2:$BX$550,MATCH(Q$2,'Slutlig allokering kvv'!$B$1:$BX$1,0),FALSE)/1,0))</f>
        <v>0</v>
      </c>
      <c r="R335" s="31">
        <f>IF($D335="","",IFERROR(VLOOKUP($B335,Kraftvärmeprod!$B$1:$BX$550,MATCH(R$2,Kraftvärmeprod!$B$1:$VX$1,0),FALSE)/1,0)-IFERROR(VLOOKUP($B335,'Slutlig allokering kvv'!$B$2:$BX$550,MATCH(R$2,'Slutlig allokering kvv'!$B$1:$BX$1,0),FALSE)/1,0))</f>
        <v>0</v>
      </c>
      <c r="S335" s="31">
        <f>IF($D335="","",IFERROR(VLOOKUP($B335,Kraftvärmeprod!$B$1:$BX$550,MATCH(S$2,Kraftvärmeprod!$B$1:$VX$1,0),FALSE)/1,0)-IFERROR(VLOOKUP($B335,'Slutlig allokering kvv'!$B$2:$BX$550,MATCH(S$2,'Slutlig allokering kvv'!$B$1:$BX$1,0),FALSE)/1,0))</f>
        <v>0</v>
      </c>
      <c r="T335" s="31">
        <f>IF($D335="","",IFERROR(VLOOKUP($B335,Kraftvärmeprod!$B$1:$BX$550,MATCH(T$2,Kraftvärmeprod!$B$1:$VX$1,0),FALSE)/1,0)-IFERROR(VLOOKUP($B335,'Slutlig allokering kvv'!$B$2:$BX$550,MATCH(T$2,'Slutlig allokering kvv'!$B$1:$BX$1,0),FALSE)/1,0))</f>
        <v>0</v>
      </c>
      <c r="U335" s="31">
        <f>IF($D335="","",IFERROR(VLOOKUP($B335,Kraftvärmeprod!$B$1:$BX$550,MATCH(U$2,Kraftvärmeprod!$B$1:$VX$1,0),FALSE)/1,0)-IFERROR(VLOOKUP($B335,'Slutlig allokering kvv'!$B$2:$BX$550,MATCH(U$2,'Slutlig allokering kvv'!$B$1:$BX$1,0),FALSE)/1,0))</f>
        <v>0</v>
      </c>
      <c r="V335" s="31">
        <f>IF($D335="","",IFERROR(VLOOKUP($B335,Kraftvärmeprod!$B$1:$BX$550,MATCH(V$2,Kraftvärmeprod!$B$1:$VX$1,0),FALSE)/1,0)-IFERROR(VLOOKUP($B335,'Slutlig allokering kvv'!$B$2:$BX$550,MATCH(V$2,'Slutlig allokering kvv'!$B$1:$BX$1,0),FALSE)/1,0))</f>
        <v>0</v>
      </c>
      <c r="W335" s="31">
        <f>IF($D335="","",IFERROR(VLOOKUP($B335,Kraftvärmeprod!$B$1:$BX$550,MATCH(W$2,Kraftvärmeprod!$B$1:$VX$1,0),FALSE)/1,0)-IFERROR(VLOOKUP($B335,'Slutlig allokering kvv'!$B$2:$BX$550,MATCH(W$2,'Slutlig allokering kvv'!$B$1:$BX$1,0),FALSE)/1,0))</f>
        <v>0</v>
      </c>
      <c r="X335" s="31">
        <f>IF($D335="","",IFERROR(VLOOKUP($B335,Kraftvärmeprod!$B$1:$BX$550,MATCH(X$2,Kraftvärmeprod!$B$1:$VX$1,0),FALSE)/1,0)-IFERROR(VLOOKUP($B335,'Slutlig allokering kvv'!$B$2:$BX$550,MATCH(X$2,'Slutlig allokering kvv'!$B$1:$BX$1,0),FALSE)/1,0))</f>
        <v>0</v>
      </c>
      <c r="Y335" s="31">
        <f>IF($D335="","",IFERROR(VLOOKUP($B335,Kraftvärmeprod!$B$1:$BX$550,MATCH(Y$2,Kraftvärmeprod!$B$1:$VX$1,0),FALSE)/1,0)-IFERROR(VLOOKUP($B335,'Slutlig allokering kvv'!$B$2:$BX$550,MATCH(Y$2,'Slutlig allokering kvv'!$B$1:$BX$1,0),FALSE)/1,0))</f>
        <v>0</v>
      </c>
      <c r="Z335" s="31">
        <f>IF($D335="","",IFERROR(VLOOKUP($B335,Kraftvärmeprod!$B$1:$BX$550,MATCH(Z$2,Kraftvärmeprod!$B$1:$VX$1,0),FALSE)/1,0)-IFERROR(VLOOKUP($B335,'Slutlig allokering kvv'!$B$2:$BX$550,MATCH(Z$2,'Slutlig allokering kvv'!$B$1:$BX$1,0),FALSE)/1,0))</f>
        <v>0</v>
      </c>
      <c r="AA335" s="31">
        <f>IF($D335="","",IFERROR(VLOOKUP($B335,Kraftvärmeprod!$B$1:$BX$550,MATCH(AA$2,Kraftvärmeprod!$B$1:$VX$1,0),FALSE)/1,0)-IFERROR(VLOOKUP($B335,'Slutlig allokering kvv'!$B$2:$BX$550,MATCH(AA$2,'Slutlig allokering kvv'!$B$1:$BX$1,0),FALSE)/1,0))</f>
        <v>0</v>
      </c>
      <c r="AB335" s="31">
        <f>IF($D335="","",IFERROR(VLOOKUP($B335,Kraftvärmeprod!$B$1:$BX$550,MATCH(AB$2,Kraftvärmeprod!$B$1:$VX$1,0),FALSE)/1,0)-IFERROR(VLOOKUP($B335,'Slutlig allokering kvv'!$B$2:$BX$550,MATCH(AB$2,'Slutlig allokering kvv'!$B$1:$BX$1,0),FALSE)/1,0))</f>
        <v>0</v>
      </c>
      <c r="AC335" s="31">
        <f>IF($D335="","",IFERROR(VLOOKUP($B335,Kraftvärmeprod!$B$1:$BX$550,MATCH(AC$2,Kraftvärmeprod!$B$1:$VX$1,0),FALSE)/1,0)-IFERROR(VLOOKUP($B335,'Slutlig allokering kvv'!$B$2:$BX$550,MATCH(AC$2,'Slutlig allokering kvv'!$B$1:$BX$1,0),FALSE)/1,0))</f>
        <v>0</v>
      </c>
      <c r="AD335" s="31">
        <f>IF($D335="","",IFERROR(VLOOKUP($B335,Kraftvärmeprod!$B$1:$BX$550,MATCH(AD$2,Kraftvärmeprod!$B$1:$VX$1,0),FALSE)/1,0)-IFERROR(VLOOKUP($B335,'Slutlig allokering kvv'!$B$2:$BX$550,MATCH(AD$2,'Slutlig allokering kvv'!$B$1:$BX$1,0),FALSE)/1,0))</f>
        <v>0</v>
      </c>
      <c r="AE335" s="31">
        <f>IF($D335="","",IFERROR(VLOOKUP($B335,Miljö!$B$1:$E$550,MATCH("Hjälpel kraftvärme (GWh)",Miljö!$B$1:$E$1,0),FALSE)/1,0)-IFERROR(VLOOKUP($B335,'Slutlig allokering kvv'!$B$2:$BX$549,MATCH(AE$2,'Slutlig allokering kvv'!$B$1:$BX$1,0),FALSE)/1,0))</f>
        <v>0</v>
      </c>
      <c r="AI335" s="39">
        <f t="shared" si="20"/>
        <v>33.521999999999998</v>
      </c>
      <c r="AK335" s="31">
        <f>IFERROR(VLOOKUP($B335,'Slutlig allokering kvv'!$B$2:$AX$549,MATCH("Summa slutlig allokerad tillförd energi (utan hjälpel och rökgaskondensering):",'Slutlig allokering kvv'!$B$1:$AX$1,0),FALSE)/1,"")</f>
        <v>56.635000000000005</v>
      </c>
      <c r="AM335" s="31">
        <f>IFERROR(1-VLOOKUP($B335,'Slutlig allokering kvv'!$B$2:$AX$549,MATCH("Andel av bränsle i kvv som allokerats till värme, exklusive rökgaskondensering och hjälpel",'Slutlig allokering kvv'!$B$1:$AX$1,0),FALSE),"")</f>
        <v>0.37181805073371998</v>
      </c>
      <c r="AO335" s="31">
        <f t="shared" si="21"/>
        <v>0.37181805073371998</v>
      </c>
      <c r="AP335" s="31">
        <f t="shared" si="22"/>
        <v>0</v>
      </c>
      <c r="AR335" s="32">
        <f t="shared" si="23"/>
        <v>0.43046357615894043</v>
      </c>
    </row>
    <row r="336" spans="1:44" s="31" customFormat="1" x14ac:dyDescent="0.45">
      <c r="A336" s="31" t="s">
        <v>197</v>
      </c>
      <c r="B336" s="31" t="s">
        <v>199</v>
      </c>
      <c r="C336" s="31" t="str">
        <f>IFERROR(VLOOKUP($B336,Kraftvärmeprod!$B$1:$AH$479,MATCH(C$2,Kraftvärmeprod!$B$1:$AG$1,0),FALSE)/1,"")</f>
        <v/>
      </c>
      <c r="D336" s="31" t="str">
        <f>IFERROR(VLOOKUP($B336,Kraftvärmeprod!$B$1:$AH$479,MATCH(D$2,Kraftvärmeprod!$B$1:$AG$1,0),FALSE)/1,"")</f>
        <v/>
      </c>
      <c r="F336" s="31" t="str">
        <f>IF($D336="","",IFERROR(VLOOKUP($B336,Kraftvärmeprod!$B$1:$BX$550,MATCH(F$2,Kraftvärmeprod!$B$1:$VX$1,0),FALSE)/1,0)-IFERROR(VLOOKUP($B336,'Slutlig allokering kvv'!$B$2:$BX$550,MATCH(F$2,'Slutlig allokering kvv'!$B$1:$BX$1,0),FALSE)/1,0))</f>
        <v/>
      </c>
      <c r="G336" s="31" t="str">
        <f>IF($D336="","",IFERROR(VLOOKUP($B336,Kraftvärmeprod!$B$1:$BX$550,MATCH(G$2,Kraftvärmeprod!$B$1:$VX$1,0),FALSE)/1,0)-IFERROR(VLOOKUP($B336,'Slutlig allokering kvv'!$B$2:$BX$550,MATCH(G$2,'Slutlig allokering kvv'!$B$1:$BX$1,0),FALSE)/1,0))</f>
        <v/>
      </c>
      <c r="H336" s="31" t="str">
        <f>IF($D336="","",IFERROR(VLOOKUP($B336,Kraftvärmeprod!$B$1:$BX$550,MATCH(H$2,Kraftvärmeprod!$B$1:$VX$1,0),FALSE)/1,0)-IFERROR(VLOOKUP($B336,'Slutlig allokering kvv'!$B$2:$BX$550,MATCH(H$2,'Slutlig allokering kvv'!$B$1:$BX$1,0),FALSE)/1,0))</f>
        <v/>
      </c>
      <c r="I336" s="31" t="str">
        <f>IF($D336="","",IFERROR(VLOOKUP($B336,Kraftvärmeprod!$B$1:$BX$550,MATCH(I$2,Kraftvärmeprod!$B$1:$VX$1,0),FALSE)/1,0)-IFERROR(VLOOKUP($B336,'Slutlig allokering kvv'!$B$2:$BX$550,MATCH(I$2,'Slutlig allokering kvv'!$B$1:$BX$1,0),FALSE)/1,0))</f>
        <v/>
      </c>
      <c r="J336" s="31" t="str">
        <f>IF($D336="","",IFERROR(VLOOKUP($B336,Kraftvärmeprod!$B$1:$BX$550,MATCH(J$2,Kraftvärmeprod!$B$1:$VX$1,0),FALSE)/1,0)-IFERROR(VLOOKUP($B336,'Slutlig allokering kvv'!$B$2:$BX$550,MATCH(J$2,'Slutlig allokering kvv'!$B$1:$BX$1,0),FALSE)/1,0))</f>
        <v/>
      </c>
      <c r="K336" s="31" t="str">
        <f>IF($D336="","",IFERROR(VLOOKUP($B336,Kraftvärmeprod!$B$1:$BX$550,MATCH(K$2,Kraftvärmeprod!$B$1:$VX$1,0),FALSE)/1,0)-IFERROR(VLOOKUP($B336,'Slutlig allokering kvv'!$B$2:$BX$550,MATCH(K$2,'Slutlig allokering kvv'!$B$1:$BX$1,0),FALSE)/1,0))</f>
        <v/>
      </c>
      <c r="L336" s="31" t="str">
        <f>IF($D336="","",IFERROR(VLOOKUP($B336,Kraftvärmeprod!$B$1:$BX$550,MATCH(L$2,Kraftvärmeprod!$B$1:$VX$1,0),FALSE)/1,0)-IFERROR(VLOOKUP($B336,'Slutlig allokering kvv'!$B$2:$BX$550,MATCH(L$2,'Slutlig allokering kvv'!$B$1:$BX$1,0),FALSE)/1,0))</f>
        <v/>
      </c>
      <c r="M336" s="31" t="str">
        <f>IF($D336="","",IFERROR(VLOOKUP($B336,Kraftvärmeprod!$B$1:$BX$550,MATCH(M$2,Kraftvärmeprod!$B$1:$VX$1,0),FALSE)/1,0)-IFERROR(VLOOKUP($B336,'Slutlig allokering kvv'!$B$2:$BX$550,MATCH(M$2,'Slutlig allokering kvv'!$B$1:$BX$1,0),FALSE)/1,0))</f>
        <v/>
      </c>
      <c r="N336" s="31" t="str">
        <f>IF($D336="","",IFERROR(VLOOKUP($B336,Kraftvärmeprod!$B$1:$BX$550,MATCH(N$2,Kraftvärmeprod!$B$1:$VX$1,0),FALSE)/1,0)-IFERROR(VLOOKUP($B336,'Slutlig allokering kvv'!$B$2:$BX$550,MATCH(N$2,'Slutlig allokering kvv'!$B$1:$BX$1,0),FALSE)/1,0))</f>
        <v/>
      </c>
      <c r="O336" s="31" t="str">
        <f>IF($D336="","",IFERROR(VLOOKUP($B336,Kraftvärmeprod!$B$1:$BX$550,MATCH(O$2,Kraftvärmeprod!$B$1:$VX$1,0),FALSE)/1,0)-IFERROR(VLOOKUP($B336,'Slutlig allokering kvv'!$B$2:$BX$550,MATCH(O$2,'Slutlig allokering kvv'!$B$1:$BX$1,0),FALSE)/1,0))</f>
        <v/>
      </c>
      <c r="P336" s="31" t="str">
        <f>IF($D336="","",IFERROR(VLOOKUP($B336,Kraftvärmeprod!$B$1:$BX$550,MATCH(P$2,Kraftvärmeprod!$B$1:$VX$1,0),FALSE)/1,0)-IFERROR(VLOOKUP($B336,'Slutlig allokering kvv'!$B$2:$BX$550,MATCH(P$2,'Slutlig allokering kvv'!$B$1:$BX$1,0),FALSE)/1,0))</f>
        <v/>
      </c>
      <c r="Q336" s="31" t="str">
        <f>IF($D336="","",IFERROR(VLOOKUP($B336,Kraftvärmeprod!$B$1:$BX$550,MATCH(Q$2,Kraftvärmeprod!$B$1:$VX$1,0),FALSE)/1,0)-IFERROR(VLOOKUP($B336,'Slutlig allokering kvv'!$B$2:$BX$550,MATCH(Q$2,'Slutlig allokering kvv'!$B$1:$BX$1,0),FALSE)/1,0))</f>
        <v/>
      </c>
      <c r="R336" s="31" t="str">
        <f>IF($D336="","",IFERROR(VLOOKUP($B336,Kraftvärmeprod!$B$1:$BX$550,MATCH(R$2,Kraftvärmeprod!$B$1:$VX$1,0),FALSE)/1,0)-IFERROR(VLOOKUP($B336,'Slutlig allokering kvv'!$B$2:$BX$550,MATCH(R$2,'Slutlig allokering kvv'!$B$1:$BX$1,0),FALSE)/1,0))</f>
        <v/>
      </c>
      <c r="S336" s="31" t="str">
        <f>IF($D336="","",IFERROR(VLOOKUP($B336,Kraftvärmeprod!$B$1:$BX$550,MATCH(S$2,Kraftvärmeprod!$B$1:$VX$1,0),FALSE)/1,0)-IFERROR(VLOOKUP($B336,'Slutlig allokering kvv'!$B$2:$BX$550,MATCH(S$2,'Slutlig allokering kvv'!$B$1:$BX$1,0),FALSE)/1,0))</f>
        <v/>
      </c>
      <c r="T336" s="31" t="str">
        <f>IF($D336="","",IFERROR(VLOOKUP($B336,Kraftvärmeprod!$B$1:$BX$550,MATCH(T$2,Kraftvärmeprod!$B$1:$VX$1,0),FALSE)/1,0)-IFERROR(VLOOKUP($B336,'Slutlig allokering kvv'!$B$2:$BX$550,MATCH(T$2,'Slutlig allokering kvv'!$B$1:$BX$1,0),FALSE)/1,0))</f>
        <v/>
      </c>
      <c r="U336" s="31" t="str">
        <f>IF($D336="","",IFERROR(VLOOKUP($B336,Kraftvärmeprod!$B$1:$BX$550,MATCH(U$2,Kraftvärmeprod!$B$1:$VX$1,0),FALSE)/1,0)-IFERROR(VLOOKUP($B336,'Slutlig allokering kvv'!$B$2:$BX$550,MATCH(U$2,'Slutlig allokering kvv'!$B$1:$BX$1,0),FALSE)/1,0))</f>
        <v/>
      </c>
      <c r="V336" s="31" t="str">
        <f>IF($D336="","",IFERROR(VLOOKUP($B336,Kraftvärmeprod!$B$1:$BX$550,MATCH(V$2,Kraftvärmeprod!$B$1:$VX$1,0),FALSE)/1,0)-IFERROR(VLOOKUP($B336,'Slutlig allokering kvv'!$B$2:$BX$550,MATCH(V$2,'Slutlig allokering kvv'!$B$1:$BX$1,0),FALSE)/1,0))</f>
        <v/>
      </c>
      <c r="W336" s="31" t="str">
        <f>IF($D336="","",IFERROR(VLOOKUP($B336,Kraftvärmeprod!$B$1:$BX$550,MATCH(W$2,Kraftvärmeprod!$B$1:$VX$1,0),FALSE)/1,0)-IFERROR(VLOOKUP($B336,'Slutlig allokering kvv'!$B$2:$BX$550,MATCH(W$2,'Slutlig allokering kvv'!$B$1:$BX$1,0),FALSE)/1,0))</f>
        <v/>
      </c>
      <c r="X336" s="31" t="str">
        <f>IF($D336="","",IFERROR(VLOOKUP($B336,Kraftvärmeprod!$B$1:$BX$550,MATCH(X$2,Kraftvärmeprod!$B$1:$VX$1,0),FALSE)/1,0)-IFERROR(VLOOKUP($B336,'Slutlig allokering kvv'!$B$2:$BX$550,MATCH(X$2,'Slutlig allokering kvv'!$B$1:$BX$1,0),FALSE)/1,0))</f>
        <v/>
      </c>
      <c r="Y336" s="31" t="str">
        <f>IF($D336="","",IFERROR(VLOOKUP($B336,Kraftvärmeprod!$B$1:$BX$550,MATCH(Y$2,Kraftvärmeprod!$B$1:$VX$1,0),FALSE)/1,0)-IFERROR(VLOOKUP($B336,'Slutlig allokering kvv'!$B$2:$BX$550,MATCH(Y$2,'Slutlig allokering kvv'!$B$1:$BX$1,0),FALSE)/1,0))</f>
        <v/>
      </c>
      <c r="Z336" s="31" t="str">
        <f>IF($D336="","",IFERROR(VLOOKUP($B336,Kraftvärmeprod!$B$1:$BX$550,MATCH(Z$2,Kraftvärmeprod!$B$1:$VX$1,0),FALSE)/1,0)-IFERROR(VLOOKUP($B336,'Slutlig allokering kvv'!$B$2:$BX$550,MATCH(Z$2,'Slutlig allokering kvv'!$B$1:$BX$1,0),FALSE)/1,0))</f>
        <v/>
      </c>
      <c r="AA336" s="31" t="str">
        <f>IF($D336="","",IFERROR(VLOOKUP($B336,Kraftvärmeprod!$B$1:$BX$550,MATCH(AA$2,Kraftvärmeprod!$B$1:$VX$1,0),FALSE)/1,0)-IFERROR(VLOOKUP($B336,'Slutlig allokering kvv'!$B$2:$BX$550,MATCH(AA$2,'Slutlig allokering kvv'!$B$1:$BX$1,0),FALSE)/1,0))</f>
        <v/>
      </c>
      <c r="AB336" s="31" t="str">
        <f>IF($D336="","",IFERROR(VLOOKUP($B336,Kraftvärmeprod!$B$1:$BX$550,MATCH(AB$2,Kraftvärmeprod!$B$1:$VX$1,0),FALSE)/1,0)-IFERROR(VLOOKUP($B336,'Slutlig allokering kvv'!$B$2:$BX$550,MATCH(AB$2,'Slutlig allokering kvv'!$B$1:$BX$1,0),FALSE)/1,0))</f>
        <v/>
      </c>
      <c r="AC336" s="31" t="str">
        <f>IF($D336="","",IFERROR(VLOOKUP($B336,Kraftvärmeprod!$B$1:$BX$550,MATCH(AC$2,Kraftvärmeprod!$B$1:$VX$1,0),FALSE)/1,0)-IFERROR(VLOOKUP($B336,'Slutlig allokering kvv'!$B$2:$BX$550,MATCH(AC$2,'Slutlig allokering kvv'!$B$1:$BX$1,0),FALSE)/1,0))</f>
        <v/>
      </c>
      <c r="AD336" s="31" t="str">
        <f>IF($D336="","",IFERROR(VLOOKUP($B336,Kraftvärmeprod!$B$1:$BX$550,MATCH(AD$2,Kraftvärmeprod!$B$1:$VX$1,0),FALSE)/1,0)-IFERROR(VLOOKUP($B336,'Slutlig allokering kvv'!$B$2:$BX$550,MATCH(AD$2,'Slutlig allokering kvv'!$B$1:$BX$1,0),FALSE)/1,0))</f>
        <v/>
      </c>
      <c r="AE336" s="31" t="str">
        <f>IF($D336="","",IFERROR(VLOOKUP($B336,Miljö!$B$1:$E$550,MATCH("Hjälpel kraftvärme (GWh)",Miljö!$B$1:$E$1,0),FALSE)/1,0)-IFERROR(VLOOKUP($B336,'Slutlig allokering kvv'!$B$2:$BX$549,MATCH(AE$2,'Slutlig allokering kvv'!$B$1:$BX$1,0),FALSE)/1,0))</f>
        <v/>
      </c>
      <c r="AI336" s="39">
        <f t="shared" si="20"/>
        <v>0</v>
      </c>
      <c r="AK336" s="31">
        <f>IFERROR(VLOOKUP($B336,'Slutlig allokering kvv'!$B$2:$AX$549,MATCH("Summa slutlig allokerad tillförd energi (utan hjälpel och rökgaskondensering):",'Slutlig allokering kvv'!$B$1:$AX$1,0),FALSE)/1,"")</f>
        <v>0</v>
      </c>
      <c r="AM336" s="31" t="str">
        <f>IFERROR(1-VLOOKUP($B336,'Slutlig allokering kvv'!$B$2:$AX$549,MATCH("Andel av bränsle i kvv som allokerats till värme, exklusive rökgaskondensering och hjälpel",'Slutlig allokering kvv'!$B$1:$AX$1,0),FALSE),"")</f>
        <v/>
      </c>
      <c r="AO336" s="31" t="str">
        <f t="shared" si="21"/>
        <v/>
      </c>
      <c r="AP336" s="31" t="str">
        <f t="shared" si="22"/>
        <v/>
      </c>
      <c r="AR336" s="32" t="str">
        <f t="shared" si="23"/>
        <v/>
      </c>
    </row>
    <row r="337" spans="1:44" s="31" customFormat="1" x14ac:dyDescent="0.45">
      <c r="A337" s="31" t="s">
        <v>197</v>
      </c>
      <c r="B337" s="31" t="s">
        <v>202</v>
      </c>
      <c r="C337" s="31" t="str">
        <f>IFERROR(VLOOKUP($B337,Kraftvärmeprod!$B$1:$AH$479,MATCH(C$2,Kraftvärmeprod!$B$1:$AG$1,0),FALSE)/1,"")</f>
        <v/>
      </c>
      <c r="D337" s="31" t="str">
        <f>IFERROR(VLOOKUP($B337,Kraftvärmeprod!$B$1:$AH$479,MATCH(D$2,Kraftvärmeprod!$B$1:$AG$1,0),FALSE)/1,"")</f>
        <v/>
      </c>
      <c r="F337" s="31" t="str">
        <f>IF($D337="","",IFERROR(VLOOKUP($B337,Kraftvärmeprod!$B$1:$BX$550,MATCH(F$2,Kraftvärmeprod!$B$1:$VX$1,0),FALSE)/1,0)-IFERROR(VLOOKUP($B337,'Slutlig allokering kvv'!$B$2:$BX$550,MATCH(F$2,'Slutlig allokering kvv'!$B$1:$BX$1,0),FALSE)/1,0))</f>
        <v/>
      </c>
      <c r="G337" s="31" t="str">
        <f>IF($D337="","",IFERROR(VLOOKUP($B337,Kraftvärmeprod!$B$1:$BX$550,MATCH(G$2,Kraftvärmeprod!$B$1:$VX$1,0),FALSE)/1,0)-IFERROR(VLOOKUP($B337,'Slutlig allokering kvv'!$B$2:$BX$550,MATCH(G$2,'Slutlig allokering kvv'!$B$1:$BX$1,0),FALSE)/1,0))</f>
        <v/>
      </c>
      <c r="H337" s="31" t="str">
        <f>IF($D337="","",IFERROR(VLOOKUP($B337,Kraftvärmeprod!$B$1:$BX$550,MATCH(H$2,Kraftvärmeprod!$B$1:$VX$1,0),FALSE)/1,0)-IFERROR(VLOOKUP($B337,'Slutlig allokering kvv'!$B$2:$BX$550,MATCH(H$2,'Slutlig allokering kvv'!$B$1:$BX$1,0),FALSE)/1,0))</f>
        <v/>
      </c>
      <c r="I337" s="31" t="str">
        <f>IF($D337="","",IFERROR(VLOOKUP($B337,Kraftvärmeprod!$B$1:$BX$550,MATCH(I$2,Kraftvärmeprod!$B$1:$VX$1,0),FALSE)/1,0)-IFERROR(VLOOKUP($B337,'Slutlig allokering kvv'!$B$2:$BX$550,MATCH(I$2,'Slutlig allokering kvv'!$B$1:$BX$1,0),FALSE)/1,0))</f>
        <v/>
      </c>
      <c r="J337" s="31" t="str">
        <f>IF($D337="","",IFERROR(VLOOKUP($B337,Kraftvärmeprod!$B$1:$BX$550,MATCH(J$2,Kraftvärmeprod!$B$1:$VX$1,0),FALSE)/1,0)-IFERROR(VLOOKUP($B337,'Slutlig allokering kvv'!$B$2:$BX$550,MATCH(J$2,'Slutlig allokering kvv'!$B$1:$BX$1,0),FALSE)/1,0))</f>
        <v/>
      </c>
      <c r="K337" s="31" t="str">
        <f>IF($D337="","",IFERROR(VLOOKUP($B337,Kraftvärmeprod!$B$1:$BX$550,MATCH(K$2,Kraftvärmeprod!$B$1:$VX$1,0),FALSE)/1,0)-IFERROR(VLOOKUP($B337,'Slutlig allokering kvv'!$B$2:$BX$550,MATCH(K$2,'Slutlig allokering kvv'!$B$1:$BX$1,0),FALSE)/1,0))</f>
        <v/>
      </c>
      <c r="L337" s="31" t="str">
        <f>IF($D337="","",IFERROR(VLOOKUP($B337,Kraftvärmeprod!$B$1:$BX$550,MATCH(L$2,Kraftvärmeprod!$B$1:$VX$1,0),FALSE)/1,0)-IFERROR(VLOOKUP($B337,'Slutlig allokering kvv'!$B$2:$BX$550,MATCH(L$2,'Slutlig allokering kvv'!$B$1:$BX$1,0),FALSE)/1,0))</f>
        <v/>
      </c>
      <c r="M337" s="31" t="str">
        <f>IF($D337="","",IFERROR(VLOOKUP($B337,Kraftvärmeprod!$B$1:$BX$550,MATCH(M$2,Kraftvärmeprod!$B$1:$VX$1,0),FALSE)/1,0)-IFERROR(VLOOKUP($B337,'Slutlig allokering kvv'!$B$2:$BX$550,MATCH(M$2,'Slutlig allokering kvv'!$B$1:$BX$1,0),FALSE)/1,0))</f>
        <v/>
      </c>
      <c r="N337" s="31" t="str">
        <f>IF($D337="","",IFERROR(VLOOKUP($B337,Kraftvärmeprod!$B$1:$BX$550,MATCH(N$2,Kraftvärmeprod!$B$1:$VX$1,0),FALSE)/1,0)-IFERROR(VLOOKUP($B337,'Slutlig allokering kvv'!$B$2:$BX$550,MATCH(N$2,'Slutlig allokering kvv'!$B$1:$BX$1,0),FALSE)/1,0))</f>
        <v/>
      </c>
      <c r="O337" s="31" t="str">
        <f>IF($D337="","",IFERROR(VLOOKUP($B337,Kraftvärmeprod!$B$1:$BX$550,MATCH(O$2,Kraftvärmeprod!$B$1:$VX$1,0),FALSE)/1,0)-IFERROR(VLOOKUP($B337,'Slutlig allokering kvv'!$B$2:$BX$550,MATCH(O$2,'Slutlig allokering kvv'!$B$1:$BX$1,0),FALSE)/1,0))</f>
        <v/>
      </c>
      <c r="P337" s="31" t="str">
        <f>IF($D337="","",IFERROR(VLOOKUP($B337,Kraftvärmeprod!$B$1:$BX$550,MATCH(P$2,Kraftvärmeprod!$B$1:$VX$1,0),FALSE)/1,0)-IFERROR(VLOOKUP($B337,'Slutlig allokering kvv'!$B$2:$BX$550,MATCH(P$2,'Slutlig allokering kvv'!$B$1:$BX$1,0),FALSE)/1,0))</f>
        <v/>
      </c>
      <c r="Q337" s="31" t="str">
        <f>IF($D337="","",IFERROR(VLOOKUP($B337,Kraftvärmeprod!$B$1:$BX$550,MATCH(Q$2,Kraftvärmeprod!$B$1:$VX$1,0),FALSE)/1,0)-IFERROR(VLOOKUP($B337,'Slutlig allokering kvv'!$B$2:$BX$550,MATCH(Q$2,'Slutlig allokering kvv'!$B$1:$BX$1,0),FALSE)/1,0))</f>
        <v/>
      </c>
      <c r="R337" s="31" t="str">
        <f>IF($D337="","",IFERROR(VLOOKUP($B337,Kraftvärmeprod!$B$1:$BX$550,MATCH(R$2,Kraftvärmeprod!$B$1:$VX$1,0),FALSE)/1,0)-IFERROR(VLOOKUP($B337,'Slutlig allokering kvv'!$B$2:$BX$550,MATCH(R$2,'Slutlig allokering kvv'!$B$1:$BX$1,0),FALSE)/1,0))</f>
        <v/>
      </c>
      <c r="S337" s="31" t="str">
        <f>IF($D337="","",IFERROR(VLOOKUP($B337,Kraftvärmeprod!$B$1:$BX$550,MATCH(S$2,Kraftvärmeprod!$B$1:$VX$1,0),FALSE)/1,0)-IFERROR(VLOOKUP($B337,'Slutlig allokering kvv'!$B$2:$BX$550,MATCH(S$2,'Slutlig allokering kvv'!$B$1:$BX$1,0),FALSE)/1,0))</f>
        <v/>
      </c>
      <c r="T337" s="31" t="str">
        <f>IF($D337="","",IFERROR(VLOOKUP($B337,Kraftvärmeprod!$B$1:$BX$550,MATCH(T$2,Kraftvärmeprod!$B$1:$VX$1,0),FALSE)/1,0)-IFERROR(VLOOKUP($B337,'Slutlig allokering kvv'!$B$2:$BX$550,MATCH(T$2,'Slutlig allokering kvv'!$B$1:$BX$1,0),FALSE)/1,0))</f>
        <v/>
      </c>
      <c r="U337" s="31" t="str">
        <f>IF($D337="","",IFERROR(VLOOKUP($B337,Kraftvärmeprod!$B$1:$BX$550,MATCH(U$2,Kraftvärmeprod!$B$1:$VX$1,0),FALSE)/1,0)-IFERROR(VLOOKUP($B337,'Slutlig allokering kvv'!$B$2:$BX$550,MATCH(U$2,'Slutlig allokering kvv'!$B$1:$BX$1,0),FALSE)/1,0))</f>
        <v/>
      </c>
      <c r="V337" s="31" t="str">
        <f>IF($D337="","",IFERROR(VLOOKUP($B337,Kraftvärmeprod!$B$1:$BX$550,MATCH(V$2,Kraftvärmeprod!$B$1:$VX$1,0),FALSE)/1,0)-IFERROR(VLOOKUP($B337,'Slutlig allokering kvv'!$B$2:$BX$550,MATCH(V$2,'Slutlig allokering kvv'!$B$1:$BX$1,0),FALSE)/1,0))</f>
        <v/>
      </c>
      <c r="W337" s="31" t="str">
        <f>IF($D337="","",IFERROR(VLOOKUP($B337,Kraftvärmeprod!$B$1:$BX$550,MATCH(W$2,Kraftvärmeprod!$B$1:$VX$1,0),FALSE)/1,0)-IFERROR(VLOOKUP($B337,'Slutlig allokering kvv'!$B$2:$BX$550,MATCH(W$2,'Slutlig allokering kvv'!$B$1:$BX$1,0),FALSE)/1,0))</f>
        <v/>
      </c>
      <c r="X337" s="31" t="str">
        <f>IF($D337="","",IFERROR(VLOOKUP($B337,Kraftvärmeprod!$B$1:$BX$550,MATCH(X$2,Kraftvärmeprod!$B$1:$VX$1,0),FALSE)/1,0)-IFERROR(VLOOKUP($B337,'Slutlig allokering kvv'!$B$2:$BX$550,MATCH(X$2,'Slutlig allokering kvv'!$B$1:$BX$1,0),FALSE)/1,0))</f>
        <v/>
      </c>
      <c r="Y337" s="31" t="str">
        <f>IF($D337="","",IFERROR(VLOOKUP($B337,Kraftvärmeprod!$B$1:$BX$550,MATCH(Y$2,Kraftvärmeprod!$B$1:$VX$1,0),FALSE)/1,0)-IFERROR(VLOOKUP($B337,'Slutlig allokering kvv'!$B$2:$BX$550,MATCH(Y$2,'Slutlig allokering kvv'!$B$1:$BX$1,0),FALSE)/1,0))</f>
        <v/>
      </c>
      <c r="Z337" s="31" t="str">
        <f>IF($D337="","",IFERROR(VLOOKUP($B337,Kraftvärmeprod!$B$1:$BX$550,MATCH(Z$2,Kraftvärmeprod!$B$1:$VX$1,0),FALSE)/1,0)-IFERROR(VLOOKUP($B337,'Slutlig allokering kvv'!$B$2:$BX$550,MATCH(Z$2,'Slutlig allokering kvv'!$B$1:$BX$1,0),FALSE)/1,0))</f>
        <v/>
      </c>
      <c r="AA337" s="31" t="str">
        <f>IF($D337="","",IFERROR(VLOOKUP($B337,Kraftvärmeprod!$B$1:$BX$550,MATCH(AA$2,Kraftvärmeprod!$B$1:$VX$1,0),FALSE)/1,0)-IFERROR(VLOOKUP($B337,'Slutlig allokering kvv'!$B$2:$BX$550,MATCH(AA$2,'Slutlig allokering kvv'!$B$1:$BX$1,0),FALSE)/1,0))</f>
        <v/>
      </c>
      <c r="AB337" s="31" t="str">
        <f>IF($D337="","",IFERROR(VLOOKUP($B337,Kraftvärmeprod!$B$1:$BX$550,MATCH(AB$2,Kraftvärmeprod!$B$1:$VX$1,0),FALSE)/1,0)-IFERROR(VLOOKUP($B337,'Slutlig allokering kvv'!$B$2:$BX$550,MATCH(AB$2,'Slutlig allokering kvv'!$B$1:$BX$1,0),FALSE)/1,0))</f>
        <v/>
      </c>
      <c r="AC337" s="31" t="str">
        <f>IF($D337="","",IFERROR(VLOOKUP($B337,Kraftvärmeprod!$B$1:$BX$550,MATCH(AC$2,Kraftvärmeprod!$B$1:$VX$1,0),FALSE)/1,0)-IFERROR(VLOOKUP($B337,'Slutlig allokering kvv'!$B$2:$BX$550,MATCH(AC$2,'Slutlig allokering kvv'!$B$1:$BX$1,0),FALSE)/1,0))</f>
        <v/>
      </c>
      <c r="AD337" s="31" t="str">
        <f>IF($D337="","",IFERROR(VLOOKUP($B337,Kraftvärmeprod!$B$1:$BX$550,MATCH(AD$2,Kraftvärmeprod!$B$1:$VX$1,0),FALSE)/1,0)-IFERROR(VLOOKUP($B337,'Slutlig allokering kvv'!$B$2:$BX$550,MATCH(AD$2,'Slutlig allokering kvv'!$B$1:$BX$1,0),FALSE)/1,0))</f>
        <v/>
      </c>
      <c r="AE337" s="31" t="str">
        <f>IF($D337="","",IFERROR(VLOOKUP($B337,Miljö!$B$1:$E$550,MATCH("Hjälpel kraftvärme (GWh)",Miljö!$B$1:$E$1,0),FALSE)/1,0)-IFERROR(VLOOKUP($B337,'Slutlig allokering kvv'!$B$2:$BX$549,MATCH(AE$2,'Slutlig allokering kvv'!$B$1:$BX$1,0),FALSE)/1,0))</f>
        <v/>
      </c>
      <c r="AI337" s="39">
        <f t="shared" si="20"/>
        <v>0</v>
      </c>
      <c r="AK337" s="31">
        <f>IFERROR(VLOOKUP($B337,'Slutlig allokering kvv'!$B$2:$AX$549,MATCH("Summa slutlig allokerad tillförd energi (utan hjälpel och rökgaskondensering):",'Slutlig allokering kvv'!$B$1:$AX$1,0),FALSE)/1,"")</f>
        <v>0</v>
      </c>
      <c r="AM337" s="31" t="str">
        <f>IFERROR(1-VLOOKUP($B337,'Slutlig allokering kvv'!$B$2:$AX$549,MATCH("Andel av bränsle i kvv som allokerats till värme, exklusive rökgaskondensering och hjälpel",'Slutlig allokering kvv'!$B$1:$AX$1,0),FALSE),"")</f>
        <v/>
      </c>
      <c r="AO337" s="31" t="str">
        <f t="shared" si="21"/>
        <v/>
      </c>
      <c r="AP337" s="31" t="str">
        <f t="shared" si="22"/>
        <v/>
      </c>
      <c r="AR337" s="32" t="str">
        <f t="shared" si="23"/>
        <v/>
      </c>
    </row>
    <row r="338" spans="1:44" s="31" customFormat="1" x14ac:dyDescent="0.45">
      <c r="A338" s="31" t="s">
        <v>197</v>
      </c>
      <c r="B338" s="31" t="s">
        <v>201</v>
      </c>
      <c r="C338" s="31" t="str">
        <f>IFERROR(VLOOKUP($B338,Kraftvärmeprod!$B$1:$AH$479,MATCH(C$2,Kraftvärmeprod!$B$1:$AG$1,0),FALSE)/1,"")</f>
        <v/>
      </c>
      <c r="D338" s="31" t="str">
        <f>IFERROR(VLOOKUP($B338,Kraftvärmeprod!$B$1:$AH$479,MATCH(D$2,Kraftvärmeprod!$B$1:$AG$1,0),FALSE)/1,"")</f>
        <v/>
      </c>
      <c r="F338" s="31" t="str">
        <f>IF($D338="","",IFERROR(VLOOKUP($B338,Kraftvärmeprod!$B$1:$BX$550,MATCH(F$2,Kraftvärmeprod!$B$1:$VX$1,0),FALSE)/1,0)-IFERROR(VLOOKUP($B338,'Slutlig allokering kvv'!$B$2:$BX$550,MATCH(F$2,'Slutlig allokering kvv'!$B$1:$BX$1,0),FALSE)/1,0))</f>
        <v/>
      </c>
      <c r="G338" s="31" t="str">
        <f>IF($D338="","",IFERROR(VLOOKUP($B338,Kraftvärmeprod!$B$1:$BX$550,MATCH(G$2,Kraftvärmeprod!$B$1:$VX$1,0),FALSE)/1,0)-IFERROR(VLOOKUP($B338,'Slutlig allokering kvv'!$B$2:$BX$550,MATCH(G$2,'Slutlig allokering kvv'!$B$1:$BX$1,0),FALSE)/1,0))</f>
        <v/>
      </c>
      <c r="H338" s="31" t="str">
        <f>IF($D338="","",IFERROR(VLOOKUP($B338,Kraftvärmeprod!$B$1:$BX$550,MATCH(H$2,Kraftvärmeprod!$B$1:$VX$1,0),FALSE)/1,0)-IFERROR(VLOOKUP($B338,'Slutlig allokering kvv'!$B$2:$BX$550,MATCH(H$2,'Slutlig allokering kvv'!$B$1:$BX$1,0),FALSE)/1,0))</f>
        <v/>
      </c>
      <c r="I338" s="31" t="str">
        <f>IF($D338="","",IFERROR(VLOOKUP($B338,Kraftvärmeprod!$B$1:$BX$550,MATCH(I$2,Kraftvärmeprod!$B$1:$VX$1,0),FALSE)/1,0)-IFERROR(VLOOKUP($B338,'Slutlig allokering kvv'!$B$2:$BX$550,MATCH(I$2,'Slutlig allokering kvv'!$B$1:$BX$1,0),FALSE)/1,0))</f>
        <v/>
      </c>
      <c r="J338" s="31" t="str">
        <f>IF($D338="","",IFERROR(VLOOKUP($B338,Kraftvärmeprod!$B$1:$BX$550,MATCH(J$2,Kraftvärmeprod!$B$1:$VX$1,0),FALSE)/1,0)-IFERROR(VLOOKUP($B338,'Slutlig allokering kvv'!$B$2:$BX$550,MATCH(J$2,'Slutlig allokering kvv'!$B$1:$BX$1,0),FALSE)/1,0))</f>
        <v/>
      </c>
      <c r="K338" s="31" t="str">
        <f>IF($D338="","",IFERROR(VLOOKUP($B338,Kraftvärmeprod!$B$1:$BX$550,MATCH(K$2,Kraftvärmeprod!$B$1:$VX$1,0),FALSE)/1,0)-IFERROR(VLOOKUP($B338,'Slutlig allokering kvv'!$B$2:$BX$550,MATCH(K$2,'Slutlig allokering kvv'!$B$1:$BX$1,0),FALSE)/1,0))</f>
        <v/>
      </c>
      <c r="L338" s="31" t="str">
        <f>IF($D338="","",IFERROR(VLOOKUP($B338,Kraftvärmeprod!$B$1:$BX$550,MATCH(L$2,Kraftvärmeprod!$B$1:$VX$1,0),FALSE)/1,0)-IFERROR(VLOOKUP($B338,'Slutlig allokering kvv'!$B$2:$BX$550,MATCH(L$2,'Slutlig allokering kvv'!$B$1:$BX$1,0),FALSE)/1,0))</f>
        <v/>
      </c>
      <c r="M338" s="31" t="str">
        <f>IF($D338="","",IFERROR(VLOOKUP($B338,Kraftvärmeprod!$B$1:$BX$550,MATCH(M$2,Kraftvärmeprod!$B$1:$VX$1,0),FALSE)/1,0)-IFERROR(VLOOKUP($B338,'Slutlig allokering kvv'!$B$2:$BX$550,MATCH(M$2,'Slutlig allokering kvv'!$B$1:$BX$1,0),FALSE)/1,0))</f>
        <v/>
      </c>
      <c r="N338" s="31" t="str">
        <f>IF($D338="","",IFERROR(VLOOKUP($B338,Kraftvärmeprod!$B$1:$BX$550,MATCH(N$2,Kraftvärmeprod!$B$1:$VX$1,0),FALSE)/1,0)-IFERROR(VLOOKUP($B338,'Slutlig allokering kvv'!$B$2:$BX$550,MATCH(N$2,'Slutlig allokering kvv'!$B$1:$BX$1,0),FALSE)/1,0))</f>
        <v/>
      </c>
      <c r="O338" s="31" t="str">
        <f>IF($D338="","",IFERROR(VLOOKUP($B338,Kraftvärmeprod!$B$1:$BX$550,MATCH(O$2,Kraftvärmeprod!$B$1:$VX$1,0),FALSE)/1,0)-IFERROR(VLOOKUP($B338,'Slutlig allokering kvv'!$B$2:$BX$550,MATCH(O$2,'Slutlig allokering kvv'!$B$1:$BX$1,0),FALSE)/1,0))</f>
        <v/>
      </c>
      <c r="P338" s="31" t="str">
        <f>IF($D338="","",IFERROR(VLOOKUP($B338,Kraftvärmeprod!$B$1:$BX$550,MATCH(P$2,Kraftvärmeprod!$B$1:$VX$1,0),FALSE)/1,0)-IFERROR(VLOOKUP($B338,'Slutlig allokering kvv'!$B$2:$BX$550,MATCH(P$2,'Slutlig allokering kvv'!$B$1:$BX$1,0),FALSE)/1,0))</f>
        <v/>
      </c>
      <c r="Q338" s="31" t="str">
        <f>IF($D338="","",IFERROR(VLOOKUP($B338,Kraftvärmeprod!$B$1:$BX$550,MATCH(Q$2,Kraftvärmeprod!$B$1:$VX$1,0),FALSE)/1,0)-IFERROR(VLOOKUP($B338,'Slutlig allokering kvv'!$B$2:$BX$550,MATCH(Q$2,'Slutlig allokering kvv'!$B$1:$BX$1,0),FALSE)/1,0))</f>
        <v/>
      </c>
      <c r="R338" s="31" t="str">
        <f>IF($D338="","",IFERROR(VLOOKUP($B338,Kraftvärmeprod!$B$1:$BX$550,MATCH(R$2,Kraftvärmeprod!$B$1:$VX$1,0),FALSE)/1,0)-IFERROR(VLOOKUP($B338,'Slutlig allokering kvv'!$B$2:$BX$550,MATCH(R$2,'Slutlig allokering kvv'!$B$1:$BX$1,0),FALSE)/1,0))</f>
        <v/>
      </c>
      <c r="S338" s="31" t="str">
        <f>IF($D338="","",IFERROR(VLOOKUP($B338,Kraftvärmeprod!$B$1:$BX$550,MATCH(S$2,Kraftvärmeprod!$B$1:$VX$1,0),FALSE)/1,0)-IFERROR(VLOOKUP($B338,'Slutlig allokering kvv'!$B$2:$BX$550,MATCH(S$2,'Slutlig allokering kvv'!$B$1:$BX$1,0),FALSE)/1,0))</f>
        <v/>
      </c>
      <c r="T338" s="31" t="str">
        <f>IF($D338="","",IFERROR(VLOOKUP($B338,Kraftvärmeprod!$B$1:$BX$550,MATCH(T$2,Kraftvärmeprod!$B$1:$VX$1,0),FALSE)/1,0)-IFERROR(VLOOKUP($B338,'Slutlig allokering kvv'!$B$2:$BX$550,MATCH(T$2,'Slutlig allokering kvv'!$B$1:$BX$1,0),FALSE)/1,0))</f>
        <v/>
      </c>
      <c r="U338" s="31" t="str">
        <f>IF($D338="","",IFERROR(VLOOKUP($B338,Kraftvärmeprod!$B$1:$BX$550,MATCH(U$2,Kraftvärmeprod!$B$1:$VX$1,0),FALSE)/1,0)-IFERROR(VLOOKUP($B338,'Slutlig allokering kvv'!$B$2:$BX$550,MATCH(U$2,'Slutlig allokering kvv'!$B$1:$BX$1,0),FALSE)/1,0))</f>
        <v/>
      </c>
      <c r="V338" s="31" t="str">
        <f>IF($D338="","",IFERROR(VLOOKUP($B338,Kraftvärmeprod!$B$1:$BX$550,MATCH(V$2,Kraftvärmeprod!$B$1:$VX$1,0),FALSE)/1,0)-IFERROR(VLOOKUP($B338,'Slutlig allokering kvv'!$B$2:$BX$550,MATCH(V$2,'Slutlig allokering kvv'!$B$1:$BX$1,0),FALSE)/1,0))</f>
        <v/>
      </c>
      <c r="W338" s="31" t="str">
        <f>IF($D338="","",IFERROR(VLOOKUP($B338,Kraftvärmeprod!$B$1:$BX$550,MATCH(W$2,Kraftvärmeprod!$B$1:$VX$1,0),FALSE)/1,0)-IFERROR(VLOOKUP($B338,'Slutlig allokering kvv'!$B$2:$BX$550,MATCH(W$2,'Slutlig allokering kvv'!$B$1:$BX$1,0),FALSE)/1,0))</f>
        <v/>
      </c>
      <c r="X338" s="31" t="str">
        <f>IF($D338="","",IFERROR(VLOOKUP($B338,Kraftvärmeprod!$B$1:$BX$550,MATCH(X$2,Kraftvärmeprod!$B$1:$VX$1,0),FALSE)/1,0)-IFERROR(VLOOKUP($B338,'Slutlig allokering kvv'!$B$2:$BX$550,MATCH(X$2,'Slutlig allokering kvv'!$B$1:$BX$1,0),FALSE)/1,0))</f>
        <v/>
      </c>
      <c r="Y338" s="31" t="str">
        <f>IF($D338="","",IFERROR(VLOOKUP($B338,Kraftvärmeprod!$B$1:$BX$550,MATCH(Y$2,Kraftvärmeprod!$B$1:$VX$1,0),FALSE)/1,0)-IFERROR(VLOOKUP($B338,'Slutlig allokering kvv'!$B$2:$BX$550,MATCH(Y$2,'Slutlig allokering kvv'!$B$1:$BX$1,0),FALSE)/1,0))</f>
        <v/>
      </c>
      <c r="Z338" s="31" t="str">
        <f>IF($D338="","",IFERROR(VLOOKUP($B338,Kraftvärmeprod!$B$1:$BX$550,MATCH(Z$2,Kraftvärmeprod!$B$1:$VX$1,0),FALSE)/1,0)-IFERROR(VLOOKUP($B338,'Slutlig allokering kvv'!$B$2:$BX$550,MATCH(Z$2,'Slutlig allokering kvv'!$B$1:$BX$1,0),FALSE)/1,0))</f>
        <v/>
      </c>
      <c r="AA338" s="31" t="str">
        <f>IF($D338="","",IFERROR(VLOOKUP($B338,Kraftvärmeprod!$B$1:$BX$550,MATCH(AA$2,Kraftvärmeprod!$B$1:$VX$1,0),FALSE)/1,0)-IFERROR(VLOOKUP($B338,'Slutlig allokering kvv'!$B$2:$BX$550,MATCH(AA$2,'Slutlig allokering kvv'!$B$1:$BX$1,0),FALSE)/1,0))</f>
        <v/>
      </c>
      <c r="AB338" s="31" t="str">
        <f>IF($D338="","",IFERROR(VLOOKUP($B338,Kraftvärmeprod!$B$1:$BX$550,MATCH(AB$2,Kraftvärmeprod!$B$1:$VX$1,0),FALSE)/1,0)-IFERROR(VLOOKUP($B338,'Slutlig allokering kvv'!$B$2:$BX$550,MATCH(AB$2,'Slutlig allokering kvv'!$B$1:$BX$1,0),FALSE)/1,0))</f>
        <v/>
      </c>
      <c r="AC338" s="31" t="str">
        <f>IF($D338="","",IFERROR(VLOOKUP($B338,Kraftvärmeprod!$B$1:$BX$550,MATCH(AC$2,Kraftvärmeprod!$B$1:$VX$1,0),FALSE)/1,0)-IFERROR(VLOOKUP($B338,'Slutlig allokering kvv'!$B$2:$BX$550,MATCH(AC$2,'Slutlig allokering kvv'!$B$1:$BX$1,0),FALSE)/1,0))</f>
        <v/>
      </c>
      <c r="AD338" s="31" t="str">
        <f>IF($D338="","",IFERROR(VLOOKUP($B338,Kraftvärmeprod!$B$1:$BX$550,MATCH(AD$2,Kraftvärmeprod!$B$1:$VX$1,0),FALSE)/1,0)-IFERROR(VLOOKUP($B338,'Slutlig allokering kvv'!$B$2:$BX$550,MATCH(AD$2,'Slutlig allokering kvv'!$B$1:$BX$1,0),FALSE)/1,0))</f>
        <v/>
      </c>
      <c r="AE338" s="31" t="str">
        <f>IF($D338="","",IFERROR(VLOOKUP($B338,Miljö!$B$1:$E$550,MATCH("Hjälpel kraftvärme (GWh)",Miljö!$B$1:$E$1,0),FALSE)/1,0)-IFERROR(VLOOKUP($B338,'Slutlig allokering kvv'!$B$2:$BX$549,MATCH(AE$2,'Slutlig allokering kvv'!$B$1:$BX$1,0),FALSE)/1,0))</f>
        <v/>
      </c>
      <c r="AI338" s="39">
        <f t="shared" si="20"/>
        <v>0</v>
      </c>
      <c r="AK338" s="31">
        <f>IFERROR(VLOOKUP($B338,'Slutlig allokering kvv'!$B$2:$AX$549,MATCH("Summa slutlig allokerad tillförd energi (utan hjälpel och rökgaskondensering):",'Slutlig allokering kvv'!$B$1:$AX$1,0),FALSE)/1,"")</f>
        <v>0</v>
      </c>
      <c r="AM338" s="31" t="str">
        <f>IFERROR(1-VLOOKUP($B338,'Slutlig allokering kvv'!$B$2:$AX$549,MATCH("Andel av bränsle i kvv som allokerats till värme, exklusive rökgaskondensering och hjälpel",'Slutlig allokering kvv'!$B$1:$AX$1,0),FALSE),"")</f>
        <v/>
      </c>
      <c r="AO338" s="31" t="str">
        <f t="shared" si="21"/>
        <v/>
      </c>
      <c r="AP338" s="31" t="str">
        <f t="shared" si="22"/>
        <v/>
      </c>
      <c r="AR338" s="32" t="str">
        <f t="shared" si="23"/>
        <v/>
      </c>
    </row>
    <row r="339" spans="1:44" s="31" customFormat="1" x14ac:dyDescent="0.45">
      <c r="A339" s="31" t="s">
        <v>197</v>
      </c>
      <c r="B339" s="31" t="s">
        <v>203</v>
      </c>
      <c r="C339" s="31" t="str">
        <f>IFERROR(VLOOKUP($B339,Kraftvärmeprod!$B$1:$AH$479,MATCH(C$2,Kraftvärmeprod!$B$1:$AG$1,0),FALSE)/1,"")</f>
        <v/>
      </c>
      <c r="D339" s="31" t="str">
        <f>IFERROR(VLOOKUP($B339,Kraftvärmeprod!$B$1:$AH$479,MATCH(D$2,Kraftvärmeprod!$B$1:$AG$1,0),FALSE)/1,"")</f>
        <v/>
      </c>
      <c r="F339" s="31" t="str">
        <f>IF($D339="","",IFERROR(VLOOKUP($B339,Kraftvärmeprod!$B$1:$BX$550,MATCH(F$2,Kraftvärmeprod!$B$1:$VX$1,0),FALSE)/1,0)-IFERROR(VLOOKUP($B339,'Slutlig allokering kvv'!$B$2:$BX$550,MATCH(F$2,'Slutlig allokering kvv'!$B$1:$BX$1,0),FALSE)/1,0))</f>
        <v/>
      </c>
      <c r="G339" s="31" t="str">
        <f>IF($D339="","",IFERROR(VLOOKUP($B339,Kraftvärmeprod!$B$1:$BX$550,MATCH(G$2,Kraftvärmeprod!$B$1:$VX$1,0),FALSE)/1,0)-IFERROR(VLOOKUP($B339,'Slutlig allokering kvv'!$B$2:$BX$550,MATCH(G$2,'Slutlig allokering kvv'!$B$1:$BX$1,0),FALSE)/1,0))</f>
        <v/>
      </c>
      <c r="H339" s="31" t="str">
        <f>IF($D339="","",IFERROR(VLOOKUP($B339,Kraftvärmeprod!$B$1:$BX$550,MATCH(H$2,Kraftvärmeprod!$B$1:$VX$1,0),FALSE)/1,0)-IFERROR(VLOOKUP($B339,'Slutlig allokering kvv'!$B$2:$BX$550,MATCH(H$2,'Slutlig allokering kvv'!$B$1:$BX$1,0),FALSE)/1,0))</f>
        <v/>
      </c>
      <c r="I339" s="31" t="str">
        <f>IF($D339="","",IFERROR(VLOOKUP($B339,Kraftvärmeprod!$B$1:$BX$550,MATCH(I$2,Kraftvärmeprod!$B$1:$VX$1,0),FALSE)/1,0)-IFERROR(VLOOKUP($B339,'Slutlig allokering kvv'!$B$2:$BX$550,MATCH(I$2,'Slutlig allokering kvv'!$B$1:$BX$1,0),FALSE)/1,0))</f>
        <v/>
      </c>
      <c r="J339" s="31" t="str">
        <f>IF($D339="","",IFERROR(VLOOKUP($B339,Kraftvärmeprod!$B$1:$BX$550,MATCH(J$2,Kraftvärmeprod!$B$1:$VX$1,0),FALSE)/1,0)-IFERROR(VLOOKUP($B339,'Slutlig allokering kvv'!$B$2:$BX$550,MATCH(J$2,'Slutlig allokering kvv'!$B$1:$BX$1,0),FALSE)/1,0))</f>
        <v/>
      </c>
      <c r="K339" s="31" t="str">
        <f>IF($D339="","",IFERROR(VLOOKUP($B339,Kraftvärmeprod!$B$1:$BX$550,MATCH(K$2,Kraftvärmeprod!$B$1:$VX$1,0),FALSE)/1,0)-IFERROR(VLOOKUP($B339,'Slutlig allokering kvv'!$B$2:$BX$550,MATCH(K$2,'Slutlig allokering kvv'!$B$1:$BX$1,0),FALSE)/1,0))</f>
        <v/>
      </c>
      <c r="L339" s="31" t="str">
        <f>IF($D339="","",IFERROR(VLOOKUP($B339,Kraftvärmeprod!$B$1:$BX$550,MATCH(L$2,Kraftvärmeprod!$B$1:$VX$1,0),FALSE)/1,0)-IFERROR(VLOOKUP($B339,'Slutlig allokering kvv'!$B$2:$BX$550,MATCH(L$2,'Slutlig allokering kvv'!$B$1:$BX$1,0),FALSE)/1,0))</f>
        <v/>
      </c>
      <c r="M339" s="31" t="str">
        <f>IF($D339="","",IFERROR(VLOOKUP($B339,Kraftvärmeprod!$B$1:$BX$550,MATCH(M$2,Kraftvärmeprod!$B$1:$VX$1,0),FALSE)/1,0)-IFERROR(VLOOKUP($B339,'Slutlig allokering kvv'!$B$2:$BX$550,MATCH(M$2,'Slutlig allokering kvv'!$B$1:$BX$1,0),FALSE)/1,0))</f>
        <v/>
      </c>
      <c r="N339" s="31" t="str">
        <f>IF($D339="","",IFERROR(VLOOKUP($B339,Kraftvärmeprod!$B$1:$BX$550,MATCH(N$2,Kraftvärmeprod!$B$1:$VX$1,0),FALSE)/1,0)-IFERROR(VLOOKUP($B339,'Slutlig allokering kvv'!$B$2:$BX$550,MATCH(N$2,'Slutlig allokering kvv'!$B$1:$BX$1,0),FALSE)/1,0))</f>
        <v/>
      </c>
      <c r="O339" s="31" t="str">
        <f>IF($D339="","",IFERROR(VLOOKUP($B339,Kraftvärmeprod!$B$1:$BX$550,MATCH(O$2,Kraftvärmeprod!$B$1:$VX$1,0),FALSE)/1,0)-IFERROR(VLOOKUP($B339,'Slutlig allokering kvv'!$B$2:$BX$550,MATCH(O$2,'Slutlig allokering kvv'!$B$1:$BX$1,0),FALSE)/1,0))</f>
        <v/>
      </c>
      <c r="P339" s="31" t="str">
        <f>IF($D339="","",IFERROR(VLOOKUP($B339,Kraftvärmeprod!$B$1:$BX$550,MATCH(P$2,Kraftvärmeprod!$B$1:$VX$1,0),FALSE)/1,0)-IFERROR(VLOOKUP($B339,'Slutlig allokering kvv'!$B$2:$BX$550,MATCH(P$2,'Slutlig allokering kvv'!$B$1:$BX$1,0),FALSE)/1,0))</f>
        <v/>
      </c>
      <c r="Q339" s="31" t="str">
        <f>IF($D339="","",IFERROR(VLOOKUP($B339,Kraftvärmeprod!$B$1:$BX$550,MATCH(Q$2,Kraftvärmeprod!$B$1:$VX$1,0),FALSE)/1,0)-IFERROR(VLOOKUP($B339,'Slutlig allokering kvv'!$B$2:$BX$550,MATCH(Q$2,'Slutlig allokering kvv'!$B$1:$BX$1,0),FALSE)/1,0))</f>
        <v/>
      </c>
      <c r="R339" s="31" t="str">
        <f>IF($D339="","",IFERROR(VLOOKUP($B339,Kraftvärmeprod!$B$1:$BX$550,MATCH(R$2,Kraftvärmeprod!$B$1:$VX$1,0),FALSE)/1,0)-IFERROR(VLOOKUP($B339,'Slutlig allokering kvv'!$B$2:$BX$550,MATCH(R$2,'Slutlig allokering kvv'!$B$1:$BX$1,0),FALSE)/1,0))</f>
        <v/>
      </c>
      <c r="S339" s="31" t="str">
        <f>IF($D339="","",IFERROR(VLOOKUP($B339,Kraftvärmeprod!$B$1:$BX$550,MATCH(S$2,Kraftvärmeprod!$B$1:$VX$1,0),FALSE)/1,0)-IFERROR(VLOOKUP($B339,'Slutlig allokering kvv'!$B$2:$BX$550,MATCH(S$2,'Slutlig allokering kvv'!$B$1:$BX$1,0),FALSE)/1,0))</f>
        <v/>
      </c>
      <c r="T339" s="31" t="str">
        <f>IF($D339="","",IFERROR(VLOOKUP($B339,Kraftvärmeprod!$B$1:$BX$550,MATCH(T$2,Kraftvärmeprod!$B$1:$VX$1,0),FALSE)/1,0)-IFERROR(VLOOKUP($B339,'Slutlig allokering kvv'!$B$2:$BX$550,MATCH(T$2,'Slutlig allokering kvv'!$B$1:$BX$1,0),FALSE)/1,0))</f>
        <v/>
      </c>
      <c r="U339" s="31" t="str">
        <f>IF($D339="","",IFERROR(VLOOKUP($B339,Kraftvärmeprod!$B$1:$BX$550,MATCH(U$2,Kraftvärmeprod!$B$1:$VX$1,0),FALSE)/1,0)-IFERROR(VLOOKUP($B339,'Slutlig allokering kvv'!$B$2:$BX$550,MATCH(U$2,'Slutlig allokering kvv'!$B$1:$BX$1,0),FALSE)/1,0))</f>
        <v/>
      </c>
      <c r="V339" s="31" t="str">
        <f>IF($D339="","",IFERROR(VLOOKUP($B339,Kraftvärmeprod!$B$1:$BX$550,MATCH(V$2,Kraftvärmeprod!$B$1:$VX$1,0),FALSE)/1,0)-IFERROR(VLOOKUP($B339,'Slutlig allokering kvv'!$B$2:$BX$550,MATCH(V$2,'Slutlig allokering kvv'!$B$1:$BX$1,0),FALSE)/1,0))</f>
        <v/>
      </c>
      <c r="W339" s="31" t="str">
        <f>IF($D339="","",IFERROR(VLOOKUP($B339,Kraftvärmeprod!$B$1:$BX$550,MATCH(W$2,Kraftvärmeprod!$B$1:$VX$1,0),FALSE)/1,0)-IFERROR(VLOOKUP($B339,'Slutlig allokering kvv'!$B$2:$BX$550,MATCH(W$2,'Slutlig allokering kvv'!$B$1:$BX$1,0),FALSE)/1,0))</f>
        <v/>
      </c>
      <c r="X339" s="31" t="str">
        <f>IF($D339="","",IFERROR(VLOOKUP($B339,Kraftvärmeprod!$B$1:$BX$550,MATCH(X$2,Kraftvärmeprod!$B$1:$VX$1,0),FALSE)/1,0)-IFERROR(VLOOKUP($B339,'Slutlig allokering kvv'!$B$2:$BX$550,MATCH(X$2,'Slutlig allokering kvv'!$B$1:$BX$1,0),FALSE)/1,0))</f>
        <v/>
      </c>
      <c r="Y339" s="31" t="str">
        <f>IF($D339="","",IFERROR(VLOOKUP($B339,Kraftvärmeprod!$B$1:$BX$550,MATCH(Y$2,Kraftvärmeprod!$B$1:$VX$1,0),FALSE)/1,0)-IFERROR(VLOOKUP($B339,'Slutlig allokering kvv'!$B$2:$BX$550,MATCH(Y$2,'Slutlig allokering kvv'!$B$1:$BX$1,0),FALSE)/1,0))</f>
        <v/>
      </c>
      <c r="Z339" s="31" t="str">
        <f>IF($D339="","",IFERROR(VLOOKUP($B339,Kraftvärmeprod!$B$1:$BX$550,MATCH(Z$2,Kraftvärmeprod!$B$1:$VX$1,0),FALSE)/1,0)-IFERROR(VLOOKUP($B339,'Slutlig allokering kvv'!$B$2:$BX$550,MATCH(Z$2,'Slutlig allokering kvv'!$B$1:$BX$1,0),FALSE)/1,0))</f>
        <v/>
      </c>
      <c r="AA339" s="31" t="str">
        <f>IF($D339="","",IFERROR(VLOOKUP($B339,Kraftvärmeprod!$B$1:$BX$550,MATCH(AA$2,Kraftvärmeprod!$B$1:$VX$1,0),FALSE)/1,0)-IFERROR(VLOOKUP($B339,'Slutlig allokering kvv'!$B$2:$BX$550,MATCH(AA$2,'Slutlig allokering kvv'!$B$1:$BX$1,0),FALSE)/1,0))</f>
        <v/>
      </c>
      <c r="AB339" s="31" t="str">
        <f>IF($D339="","",IFERROR(VLOOKUP($B339,Kraftvärmeprod!$B$1:$BX$550,MATCH(AB$2,Kraftvärmeprod!$B$1:$VX$1,0),FALSE)/1,0)-IFERROR(VLOOKUP($B339,'Slutlig allokering kvv'!$B$2:$BX$550,MATCH(AB$2,'Slutlig allokering kvv'!$B$1:$BX$1,0),FALSE)/1,0))</f>
        <v/>
      </c>
      <c r="AC339" s="31" t="str">
        <f>IF($D339="","",IFERROR(VLOOKUP($B339,Kraftvärmeprod!$B$1:$BX$550,MATCH(AC$2,Kraftvärmeprod!$B$1:$VX$1,0),FALSE)/1,0)-IFERROR(VLOOKUP($B339,'Slutlig allokering kvv'!$B$2:$BX$550,MATCH(AC$2,'Slutlig allokering kvv'!$B$1:$BX$1,0),FALSE)/1,0))</f>
        <v/>
      </c>
      <c r="AD339" s="31" t="str">
        <f>IF($D339="","",IFERROR(VLOOKUP($B339,Kraftvärmeprod!$B$1:$BX$550,MATCH(AD$2,Kraftvärmeprod!$B$1:$VX$1,0),FALSE)/1,0)-IFERROR(VLOOKUP($B339,'Slutlig allokering kvv'!$B$2:$BX$550,MATCH(AD$2,'Slutlig allokering kvv'!$B$1:$BX$1,0),FALSE)/1,0))</f>
        <v/>
      </c>
      <c r="AE339" s="31" t="str">
        <f>IF($D339="","",IFERROR(VLOOKUP($B339,Miljö!$B$1:$E$550,MATCH("Hjälpel kraftvärme (GWh)",Miljö!$B$1:$E$1,0),FALSE)/1,0)-IFERROR(VLOOKUP($B339,'Slutlig allokering kvv'!$B$2:$BX$549,MATCH(AE$2,'Slutlig allokering kvv'!$B$1:$BX$1,0),FALSE)/1,0))</f>
        <v/>
      </c>
      <c r="AI339" s="39">
        <f t="shared" si="20"/>
        <v>0</v>
      </c>
      <c r="AK339" s="31">
        <f>IFERROR(VLOOKUP($B339,'Slutlig allokering kvv'!$B$2:$AX$549,MATCH("Summa slutlig allokerad tillförd energi (utan hjälpel och rökgaskondensering):",'Slutlig allokering kvv'!$B$1:$AX$1,0),FALSE)/1,"")</f>
        <v>0</v>
      </c>
      <c r="AM339" s="31" t="str">
        <f>IFERROR(1-VLOOKUP($B339,'Slutlig allokering kvv'!$B$2:$AX$549,MATCH("Andel av bränsle i kvv som allokerats till värme, exklusive rökgaskondensering och hjälpel",'Slutlig allokering kvv'!$B$1:$AX$1,0),FALSE),"")</f>
        <v/>
      </c>
      <c r="AO339" s="31" t="str">
        <f t="shared" si="21"/>
        <v/>
      </c>
      <c r="AP339" s="31" t="str">
        <f t="shared" si="22"/>
        <v/>
      </c>
      <c r="AR339" s="32" t="str">
        <f t="shared" si="23"/>
        <v/>
      </c>
    </row>
    <row r="340" spans="1:44" s="31" customFormat="1" x14ac:dyDescent="0.45">
      <c r="A340" s="31" t="s">
        <v>191</v>
      </c>
      <c r="B340" s="31" t="s">
        <v>195</v>
      </c>
      <c r="C340" s="31" t="str">
        <f>IFERROR(VLOOKUP($B340,Kraftvärmeprod!$B$1:$AH$479,MATCH(C$2,Kraftvärmeprod!$B$1:$AG$1,0),FALSE)/1,"")</f>
        <v/>
      </c>
      <c r="D340" s="31" t="str">
        <f>IFERROR(VLOOKUP($B340,Kraftvärmeprod!$B$1:$AH$479,MATCH(D$2,Kraftvärmeprod!$B$1:$AG$1,0),FALSE)/1,"")</f>
        <v/>
      </c>
      <c r="F340" s="31" t="str">
        <f>IF($D340="","",IFERROR(VLOOKUP($B340,Kraftvärmeprod!$B$1:$BX$550,MATCH(F$2,Kraftvärmeprod!$B$1:$VX$1,0),FALSE)/1,0)-IFERROR(VLOOKUP($B340,'Slutlig allokering kvv'!$B$2:$BX$550,MATCH(F$2,'Slutlig allokering kvv'!$B$1:$BX$1,0),FALSE)/1,0))</f>
        <v/>
      </c>
      <c r="G340" s="31" t="str">
        <f>IF($D340="","",IFERROR(VLOOKUP($B340,Kraftvärmeprod!$B$1:$BX$550,MATCH(G$2,Kraftvärmeprod!$B$1:$VX$1,0),FALSE)/1,0)-IFERROR(VLOOKUP($B340,'Slutlig allokering kvv'!$B$2:$BX$550,MATCH(G$2,'Slutlig allokering kvv'!$B$1:$BX$1,0),FALSE)/1,0))</f>
        <v/>
      </c>
      <c r="H340" s="31" t="str">
        <f>IF($D340="","",IFERROR(VLOOKUP($B340,Kraftvärmeprod!$B$1:$BX$550,MATCH(H$2,Kraftvärmeprod!$B$1:$VX$1,0),FALSE)/1,0)-IFERROR(VLOOKUP($B340,'Slutlig allokering kvv'!$B$2:$BX$550,MATCH(H$2,'Slutlig allokering kvv'!$B$1:$BX$1,0),FALSE)/1,0))</f>
        <v/>
      </c>
      <c r="I340" s="31" t="str">
        <f>IF($D340="","",IFERROR(VLOOKUP($B340,Kraftvärmeprod!$B$1:$BX$550,MATCH(I$2,Kraftvärmeprod!$B$1:$VX$1,0),FALSE)/1,0)-IFERROR(VLOOKUP($B340,'Slutlig allokering kvv'!$B$2:$BX$550,MATCH(I$2,'Slutlig allokering kvv'!$B$1:$BX$1,0),FALSE)/1,0))</f>
        <v/>
      </c>
      <c r="J340" s="31" t="str">
        <f>IF($D340="","",IFERROR(VLOOKUP($B340,Kraftvärmeprod!$B$1:$BX$550,MATCH(J$2,Kraftvärmeprod!$B$1:$VX$1,0),FALSE)/1,0)-IFERROR(VLOOKUP($B340,'Slutlig allokering kvv'!$B$2:$BX$550,MATCH(J$2,'Slutlig allokering kvv'!$B$1:$BX$1,0),FALSE)/1,0))</f>
        <v/>
      </c>
      <c r="K340" s="31" t="str">
        <f>IF($D340="","",IFERROR(VLOOKUP($B340,Kraftvärmeprod!$B$1:$BX$550,MATCH(K$2,Kraftvärmeprod!$B$1:$VX$1,0),FALSE)/1,0)-IFERROR(VLOOKUP($B340,'Slutlig allokering kvv'!$B$2:$BX$550,MATCH(K$2,'Slutlig allokering kvv'!$B$1:$BX$1,0),FALSE)/1,0))</f>
        <v/>
      </c>
      <c r="L340" s="31" t="str">
        <f>IF($D340="","",IFERROR(VLOOKUP($B340,Kraftvärmeprod!$B$1:$BX$550,MATCH(L$2,Kraftvärmeprod!$B$1:$VX$1,0),FALSE)/1,0)-IFERROR(VLOOKUP($B340,'Slutlig allokering kvv'!$B$2:$BX$550,MATCH(L$2,'Slutlig allokering kvv'!$B$1:$BX$1,0),FALSE)/1,0))</f>
        <v/>
      </c>
      <c r="M340" s="31" t="str">
        <f>IF($D340="","",IFERROR(VLOOKUP($B340,Kraftvärmeprod!$B$1:$BX$550,MATCH(M$2,Kraftvärmeprod!$B$1:$VX$1,0),FALSE)/1,0)-IFERROR(VLOOKUP($B340,'Slutlig allokering kvv'!$B$2:$BX$550,MATCH(M$2,'Slutlig allokering kvv'!$B$1:$BX$1,0),FALSE)/1,0))</f>
        <v/>
      </c>
      <c r="N340" s="31" t="str">
        <f>IF($D340="","",IFERROR(VLOOKUP($B340,Kraftvärmeprod!$B$1:$BX$550,MATCH(N$2,Kraftvärmeprod!$B$1:$VX$1,0),FALSE)/1,0)-IFERROR(VLOOKUP($B340,'Slutlig allokering kvv'!$B$2:$BX$550,MATCH(N$2,'Slutlig allokering kvv'!$B$1:$BX$1,0),FALSE)/1,0))</f>
        <v/>
      </c>
      <c r="O340" s="31" t="str">
        <f>IF($D340="","",IFERROR(VLOOKUP($B340,Kraftvärmeprod!$B$1:$BX$550,MATCH(O$2,Kraftvärmeprod!$B$1:$VX$1,0),FALSE)/1,0)-IFERROR(VLOOKUP($B340,'Slutlig allokering kvv'!$B$2:$BX$550,MATCH(O$2,'Slutlig allokering kvv'!$B$1:$BX$1,0),FALSE)/1,0))</f>
        <v/>
      </c>
      <c r="P340" s="31" t="str">
        <f>IF($D340="","",IFERROR(VLOOKUP($B340,Kraftvärmeprod!$B$1:$BX$550,MATCH(P$2,Kraftvärmeprod!$B$1:$VX$1,0),FALSE)/1,0)-IFERROR(VLOOKUP($B340,'Slutlig allokering kvv'!$B$2:$BX$550,MATCH(P$2,'Slutlig allokering kvv'!$B$1:$BX$1,0),FALSE)/1,0))</f>
        <v/>
      </c>
      <c r="Q340" s="31" t="str">
        <f>IF($D340="","",IFERROR(VLOOKUP($B340,Kraftvärmeprod!$B$1:$BX$550,MATCH(Q$2,Kraftvärmeprod!$B$1:$VX$1,0),FALSE)/1,0)-IFERROR(VLOOKUP($B340,'Slutlig allokering kvv'!$B$2:$BX$550,MATCH(Q$2,'Slutlig allokering kvv'!$B$1:$BX$1,0),FALSE)/1,0))</f>
        <v/>
      </c>
      <c r="R340" s="31" t="str">
        <f>IF($D340="","",IFERROR(VLOOKUP($B340,Kraftvärmeprod!$B$1:$BX$550,MATCH(R$2,Kraftvärmeprod!$B$1:$VX$1,0),FALSE)/1,0)-IFERROR(VLOOKUP($B340,'Slutlig allokering kvv'!$B$2:$BX$550,MATCH(R$2,'Slutlig allokering kvv'!$B$1:$BX$1,0),FALSE)/1,0))</f>
        <v/>
      </c>
      <c r="S340" s="31" t="str">
        <f>IF($D340="","",IFERROR(VLOOKUP($B340,Kraftvärmeprod!$B$1:$BX$550,MATCH(S$2,Kraftvärmeprod!$B$1:$VX$1,0),FALSE)/1,0)-IFERROR(VLOOKUP($B340,'Slutlig allokering kvv'!$B$2:$BX$550,MATCH(S$2,'Slutlig allokering kvv'!$B$1:$BX$1,0),FALSE)/1,0))</f>
        <v/>
      </c>
      <c r="T340" s="31" t="str">
        <f>IF($D340="","",IFERROR(VLOOKUP($B340,Kraftvärmeprod!$B$1:$BX$550,MATCH(T$2,Kraftvärmeprod!$B$1:$VX$1,0),FALSE)/1,0)-IFERROR(VLOOKUP($B340,'Slutlig allokering kvv'!$B$2:$BX$550,MATCH(T$2,'Slutlig allokering kvv'!$B$1:$BX$1,0),FALSE)/1,0))</f>
        <v/>
      </c>
      <c r="U340" s="31" t="str">
        <f>IF($D340="","",IFERROR(VLOOKUP($B340,Kraftvärmeprod!$B$1:$BX$550,MATCH(U$2,Kraftvärmeprod!$B$1:$VX$1,0),FALSE)/1,0)-IFERROR(VLOOKUP($B340,'Slutlig allokering kvv'!$B$2:$BX$550,MATCH(U$2,'Slutlig allokering kvv'!$B$1:$BX$1,0),FALSE)/1,0))</f>
        <v/>
      </c>
      <c r="V340" s="31" t="str">
        <f>IF($D340="","",IFERROR(VLOOKUP($B340,Kraftvärmeprod!$B$1:$BX$550,MATCH(V$2,Kraftvärmeprod!$B$1:$VX$1,0),FALSE)/1,0)-IFERROR(VLOOKUP($B340,'Slutlig allokering kvv'!$B$2:$BX$550,MATCH(V$2,'Slutlig allokering kvv'!$B$1:$BX$1,0),FALSE)/1,0))</f>
        <v/>
      </c>
      <c r="W340" s="31" t="str">
        <f>IF($D340="","",IFERROR(VLOOKUP($B340,Kraftvärmeprod!$B$1:$BX$550,MATCH(W$2,Kraftvärmeprod!$B$1:$VX$1,0),FALSE)/1,0)-IFERROR(VLOOKUP($B340,'Slutlig allokering kvv'!$B$2:$BX$550,MATCH(W$2,'Slutlig allokering kvv'!$B$1:$BX$1,0),FALSE)/1,0))</f>
        <v/>
      </c>
      <c r="X340" s="31" t="str">
        <f>IF($D340="","",IFERROR(VLOOKUP($B340,Kraftvärmeprod!$B$1:$BX$550,MATCH(X$2,Kraftvärmeprod!$B$1:$VX$1,0),FALSE)/1,0)-IFERROR(VLOOKUP($B340,'Slutlig allokering kvv'!$B$2:$BX$550,MATCH(X$2,'Slutlig allokering kvv'!$B$1:$BX$1,0),FALSE)/1,0))</f>
        <v/>
      </c>
      <c r="Y340" s="31" t="str">
        <f>IF($D340="","",IFERROR(VLOOKUP($B340,Kraftvärmeprod!$B$1:$BX$550,MATCH(Y$2,Kraftvärmeprod!$B$1:$VX$1,0),FALSE)/1,0)-IFERROR(VLOOKUP($B340,'Slutlig allokering kvv'!$B$2:$BX$550,MATCH(Y$2,'Slutlig allokering kvv'!$B$1:$BX$1,0),FALSE)/1,0))</f>
        <v/>
      </c>
      <c r="Z340" s="31" t="str">
        <f>IF($D340="","",IFERROR(VLOOKUP($B340,Kraftvärmeprod!$B$1:$BX$550,MATCH(Z$2,Kraftvärmeprod!$B$1:$VX$1,0),FALSE)/1,0)-IFERROR(VLOOKUP($B340,'Slutlig allokering kvv'!$B$2:$BX$550,MATCH(Z$2,'Slutlig allokering kvv'!$B$1:$BX$1,0),FALSE)/1,0))</f>
        <v/>
      </c>
      <c r="AA340" s="31" t="str">
        <f>IF($D340="","",IFERROR(VLOOKUP($B340,Kraftvärmeprod!$B$1:$BX$550,MATCH(AA$2,Kraftvärmeprod!$B$1:$VX$1,0),FALSE)/1,0)-IFERROR(VLOOKUP($B340,'Slutlig allokering kvv'!$B$2:$BX$550,MATCH(AA$2,'Slutlig allokering kvv'!$B$1:$BX$1,0),FALSE)/1,0))</f>
        <v/>
      </c>
      <c r="AB340" s="31" t="str">
        <f>IF($D340="","",IFERROR(VLOOKUP($B340,Kraftvärmeprod!$B$1:$BX$550,MATCH(AB$2,Kraftvärmeprod!$B$1:$VX$1,0),FALSE)/1,0)-IFERROR(VLOOKUP($B340,'Slutlig allokering kvv'!$B$2:$BX$550,MATCH(AB$2,'Slutlig allokering kvv'!$B$1:$BX$1,0),FALSE)/1,0))</f>
        <v/>
      </c>
      <c r="AC340" s="31" t="str">
        <f>IF($D340="","",IFERROR(VLOOKUP($B340,Kraftvärmeprod!$B$1:$BX$550,MATCH(AC$2,Kraftvärmeprod!$B$1:$VX$1,0),FALSE)/1,0)-IFERROR(VLOOKUP($B340,'Slutlig allokering kvv'!$B$2:$BX$550,MATCH(AC$2,'Slutlig allokering kvv'!$B$1:$BX$1,0),FALSE)/1,0))</f>
        <v/>
      </c>
      <c r="AD340" s="31" t="str">
        <f>IF($D340="","",IFERROR(VLOOKUP($B340,Kraftvärmeprod!$B$1:$BX$550,MATCH(AD$2,Kraftvärmeprod!$B$1:$VX$1,0),FALSE)/1,0)-IFERROR(VLOOKUP($B340,'Slutlig allokering kvv'!$B$2:$BX$550,MATCH(AD$2,'Slutlig allokering kvv'!$B$1:$BX$1,0),FALSE)/1,0))</f>
        <v/>
      </c>
      <c r="AE340" s="31" t="str">
        <f>IF($D340="","",IFERROR(VLOOKUP($B340,Miljö!$B$1:$E$550,MATCH("Hjälpel kraftvärme (GWh)",Miljö!$B$1:$E$1,0),FALSE)/1,0)-IFERROR(VLOOKUP($B340,'Slutlig allokering kvv'!$B$2:$BX$549,MATCH(AE$2,'Slutlig allokering kvv'!$B$1:$BX$1,0),FALSE)/1,0))</f>
        <v/>
      </c>
      <c r="AI340" s="39">
        <f t="shared" si="20"/>
        <v>0</v>
      </c>
      <c r="AK340" s="31">
        <f>IFERROR(VLOOKUP($B340,'Slutlig allokering kvv'!$B$2:$AX$549,MATCH("Summa slutlig allokerad tillförd energi (utan hjälpel och rökgaskondensering):",'Slutlig allokering kvv'!$B$1:$AX$1,0),FALSE)/1,"")</f>
        <v>0</v>
      </c>
      <c r="AM340" s="31" t="str">
        <f>IFERROR(1-VLOOKUP($B340,'Slutlig allokering kvv'!$B$2:$AX$549,MATCH("Andel av bränsle i kvv som allokerats till värme, exklusive rökgaskondensering och hjälpel",'Slutlig allokering kvv'!$B$1:$AX$1,0),FALSE),"")</f>
        <v/>
      </c>
      <c r="AO340" s="31" t="str">
        <f t="shared" si="21"/>
        <v/>
      </c>
      <c r="AP340" s="31" t="str">
        <f t="shared" si="22"/>
        <v/>
      </c>
      <c r="AR340" s="32" t="str">
        <f t="shared" si="23"/>
        <v/>
      </c>
    </row>
    <row r="341" spans="1:44" s="31" customFormat="1" x14ac:dyDescent="0.45">
      <c r="A341" s="31" t="s">
        <v>191</v>
      </c>
      <c r="B341" s="31" t="s">
        <v>193</v>
      </c>
      <c r="C341" s="31" t="str">
        <f>IFERROR(VLOOKUP($B341,Kraftvärmeprod!$B$1:$AH$479,MATCH(C$2,Kraftvärmeprod!$B$1:$AG$1,0),FALSE)/1,"")</f>
        <v/>
      </c>
      <c r="D341" s="31" t="str">
        <f>IFERROR(VLOOKUP($B341,Kraftvärmeprod!$B$1:$AH$479,MATCH(D$2,Kraftvärmeprod!$B$1:$AG$1,0),FALSE)/1,"")</f>
        <v/>
      </c>
      <c r="F341" s="31" t="str">
        <f>IF($D341="","",IFERROR(VLOOKUP($B341,Kraftvärmeprod!$B$1:$BX$550,MATCH(F$2,Kraftvärmeprod!$B$1:$VX$1,0),FALSE)/1,0)-IFERROR(VLOOKUP($B341,'Slutlig allokering kvv'!$B$2:$BX$550,MATCH(F$2,'Slutlig allokering kvv'!$B$1:$BX$1,0),FALSE)/1,0))</f>
        <v/>
      </c>
      <c r="G341" s="31" t="str">
        <f>IF($D341="","",IFERROR(VLOOKUP($B341,Kraftvärmeprod!$B$1:$BX$550,MATCH(G$2,Kraftvärmeprod!$B$1:$VX$1,0),FALSE)/1,0)-IFERROR(VLOOKUP($B341,'Slutlig allokering kvv'!$B$2:$BX$550,MATCH(G$2,'Slutlig allokering kvv'!$B$1:$BX$1,0),FALSE)/1,0))</f>
        <v/>
      </c>
      <c r="H341" s="31" t="str">
        <f>IF($D341="","",IFERROR(VLOOKUP($B341,Kraftvärmeprod!$B$1:$BX$550,MATCH(H$2,Kraftvärmeprod!$B$1:$VX$1,0),FALSE)/1,0)-IFERROR(VLOOKUP($B341,'Slutlig allokering kvv'!$B$2:$BX$550,MATCH(H$2,'Slutlig allokering kvv'!$B$1:$BX$1,0),FALSE)/1,0))</f>
        <v/>
      </c>
      <c r="I341" s="31" t="str">
        <f>IF($D341="","",IFERROR(VLOOKUP($B341,Kraftvärmeprod!$B$1:$BX$550,MATCH(I$2,Kraftvärmeprod!$B$1:$VX$1,0),FALSE)/1,0)-IFERROR(VLOOKUP($B341,'Slutlig allokering kvv'!$B$2:$BX$550,MATCH(I$2,'Slutlig allokering kvv'!$B$1:$BX$1,0),FALSE)/1,0))</f>
        <v/>
      </c>
      <c r="J341" s="31" t="str">
        <f>IF($D341="","",IFERROR(VLOOKUP($B341,Kraftvärmeprod!$B$1:$BX$550,MATCH(J$2,Kraftvärmeprod!$B$1:$VX$1,0),FALSE)/1,0)-IFERROR(VLOOKUP($B341,'Slutlig allokering kvv'!$B$2:$BX$550,MATCH(J$2,'Slutlig allokering kvv'!$B$1:$BX$1,0),FALSE)/1,0))</f>
        <v/>
      </c>
      <c r="K341" s="31" t="str">
        <f>IF($D341="","",IFERROR(VLOOKUP($B341,Kraftvärmeprod!$B$1:$BX$550,MATCH(K$2,Kraftvärmeprod!$B$1:$VX$1,0),FALSE)/1,0)-IFERROR(VLOOKUP($B341,'Slutlig allokering kvv'!$B$2:$BX$550,MATCH(K$2,'Slutlig allokering kvv'!$B$1:$BX$1,0),FALSE)/1,0))</f>
        <v/>
      </c>
      <c r="L341" s="31" t="str">
        <f>IF($D341="","",IFERROR(VLOOKUP($B341,Kraftvärmeprod!$B$1:$BX$550,MATCH(L$2,Kraftvärmeprod!$B$1:$VX$1,0),FALSE)/1,0)-IFERROR(VLOOKUP($B341,'Slutlig allokering kvv'!$B$2:$BX$550,MATCH(L$2,'Slutlig allokering kvv'!$B$1:$BX$1,0),FALSE)/1,0))</f>
        <v/>
      </c>
      <c r="M341" s="31" t="str">
        <f>IF($D341="","",IFERROR(VLOOKUP($B341,Kraftvärmeprod!$B$1:$BX$550,MATCH(M$2,Kraftvärmeprod!$B$1:$VX$1,0),FALSE)/1,0)-IFERROR(VLOOKUP($B341,'Slutlig allokering kvv'!$B$2:$BX$550,MATCH(M$2,'Slutlig allokering kvv'!$B$1:$BX$1,0),FALSE)/1,0))</f>
        <v/>
      </c>
      <c r="N341" s="31" t="str">
        <f>IF($D341="","",IFERROR(VLOOKUP($B341,Kraftvärmeprod!$B$1:$BX$550,MATCH(N$2,Kraftvärmeprod!$B$1:$VX$1,0),FALSE)/1,0)-IFERROR(VLOOKUP($B341,'Slutlig allokering kvv'!$B$2:$BX$550,MATCH(N$2,'Slutlig allokering kvv'!$B$1:$BX$1,0),FALSE)/1,0))</f>
        <v/>
      </c>
      <c r="O341" s="31" t="str">
        <f>IF($D341="","",IFERROR(VLOOKUP($B341,Kraftvärmeprod!$B$1:$BX$550,MATCH(O$2,Kraftvärmeprod!$B$1:$VX$1,0),FALSE)/1,0)-IFERROR(VLOOKUP($B341,'Slutlig allokering kvv'!$B$2:$BX$550,MATCH(O$2,'Slutlig allokering kvv'!$B$1:$BX$1,0),FALSE)/1,0))</f>
        <v/>
      </c>
      <c r="P341" s="31" t="str">
        <f>IF($D341="","",IFERROR(VLOOKUP($B341,Kraftvärmeprod!$B$1:$BX$550,MATCH(P$2,Kraftvärmeprod!$B$1:$VX$1,0),FALSE)/1,0)-IFERROR(VLOOKUP($B341,'Slutlig allokering kvv'!$B$2:$BX$550,MATCH(P$2,'Slutlig allokering kvv'!$B$1:$BX$1,0),FALSE)/1,0))</f>
        <v/>
      </c>
      <c r="Q341" s="31" t="str">
        <f>IF($D341="","",IFERROR(VLOOKUP($B341,Kraftvärmeprod!$B$1:$BX$550,MATCH(Q$2,Kraftvärmeprod!$B$1:$VX$1,0),FALSE)/1,0)-IFERROR(VLOOKUP($B341,'Slutlig allokering kvv'!$B$2:$BX$550,MATCH(Q$2,'Slutlig allokering kvv'!$B$1:$BX$1,0),FALSE)/1,0))</f>
        <v/>
      </c>
      <c r="R341" s="31" t="str">
        <f>IF($D341="","",IFERROR(VLOOKUP($B341,Kraftvärmeprod!$B$1:$BX$550,MATCH(R$2,Kraftvärmeprod!$B$1:$VX$1,0),FALSE)/1,0)-IFERROR(VLOOKUP($B341,'Slutlig allokering kvv'!$B$2:$BX$550,MATCH(R$2,'Slutlig allokering kvv'!$B$1:$BX$1,0),FALSE)/1,0))</f>
        <v/>
      </c>
      <c r="S341" s="31" t="str">
        <f>IF($D341="","",IFERROR(VLOOKUP($B341,Kraftvärmeprod!$B$1:$BX$550,MATCH(S$2,Kraftvärmeprod!$B$1:$VX$1,0),FALSE)/1,0)-IFERROR(VLOOKUP($B341,'Slutlig allokering kvv'!$B$2:$BX$550,MATCH(S$2,'Slutlig allokering kvv'!$B$1:$BX$1,0),FALSE)/1,0))</f>
        <v/>
      </c>
      <c r="T341" s="31" t="str">
        <f>IF($D341="","",IFERROR(VLOOKUP($B341,Kraftvärmeprod!$B$1:$BX$550,MATCH(T$2,Kraftvärmeprod!$B$1:$VX$1,0),FALSE)/1,0)-IFERROR(VLOOKUP($B341,'Slutlig allokering kvv'!$B$2:$BX$550,MATCH(T$2,'Slutlig allokering kvv'!$B$1:$BX$1,0),FALSE)/1,0))</f>
        <v/>
      </c>
      <c r="U341" s="31" t="str">
        <f>IF($D341="","",IFERROR(VLOOKUP($B341,Kraftvärmeprod!$B$1:$BX$550,MATCH(U$2,Kraftvärmeprod!$B$1:$VX$1,0),FALSE)/1,0)-IFERROR(VLOOKUP($B341,'Slutlig allokering kvv'!$B$2:$BX$550,MATCH(U$2,'Slutlig allokering kvv'!$B$1:$BX$1,0),FALSE)/1,0))</f>
        <v/>
      </c>
      <c r="V341" s="31" t="str">
        <f>IF($D341="","",IFERROR(VLOOKUP($B341,Kraftvärmeprod!$B$1:$BX$550,MATCH(V$2,Kraftvärmeprod!$B$1:$VX$1,0),FALSE)/1,0)-IFERROR(VLOOKUP($B341,'Slutlig allokering kvv'!$B$2:$BX$550,MATCH(V$2,'Slutlig allokering kvv'!$B$1:$BX$1,0),FALSE)/1,0))</f>
        <v/>
      </c>
      <c r="W341" s="31" t="str">
        <f>IF($D341="","",IFERROR(VLOOKUP($B341,Kraftvärmeprod!$B$1:$BX$550,MATCH(W$2,Kraftvärmeprod!$B$1:$VX$1,0),FALSE)/1,0)-IFERROR(VLOOKUP($B341,'Slutlig allokering kvv'!$B$2:$BX$550,MATCH(W$2,'Slutlig allokering kvv'!$B$1:$BX$1,0),FALSE)/1,0))</f>
        <v/>
      </c>
      <c r="X341" s="31" t="str">
        <f>IF($D341="","",IFERROR(VLOOKUP($B341,Kraftvärmeprod!$B$1:$BX$550,MATCH(X$2,Kraftvärmeprod!$B$1:$VX$1,0),FALSE)/1,0)-IFERROR(VLOOKUP($B341,'Slutlig allokering kvv'!$B$2:$BX$550,MATCH(X$2,'Slutlig allokering kvv'!$B$1:$BX$1,0),FALSE)/1,0))</f>
        <v/>
      </c>
      <c r="Y341" s="31" t="str">
        <f>IF($D341="","",IFERROR(VLOOKUP($B341,Kraftvärmeprod!$B$1:$BX$550,MATCH(Y$2,Kraftvärmeprod!$B$1:$VX$1,0),FALSE)/1,0)-IFERROR(VLOOKUP($B341,'Slutlig allokering kvv'!$B$2:$BX$550,MATCH(Y$2,'Slutlig allokering kvv'!$B$1:$BX$1,0),FALSE)/1,0))</f>
        <v/>
      </c>
      <c r="Z341" s="31" t="str">
        <f>IF($D341="","",IFERROR(VLOOKUP($B341,Kraftvärmeprod!$B$1:$BX$550,MATCH(Z$2,Kraftvärmeprod!$B$1:$VX$1,0),FALSE)/1,0)-IFERROR(VLOOKUP($B341,'Slutlig allokering kvv'!$B$2:$BX$550,MATCH(Z$2,'Slutlig allokering kvv'!$B$1:$BX$1,0),FALSE)/1,0))</f>
        <v/>
      </c>
      <c r="AA341" s="31" t="str">
        <f>IF($D341="","",IFERROR(VLOOKUP($B341,Kraftvärmeprod!$B$1:$BX$550,MATCH(AA$2,Kraftvärmeprod!$B$1:$VX$1,0),FALSE)/1,0)-IFERROR(VLOOKUP($B341,'Slutlig allokering kvv'!$B$2:$BX$550,MATCH(AA$2,'Slutlig allokering kvv'!$B$1:$BX$1,0),FALSE)/1,0))</f>
        <v/>
      </c>
      <c r="AB341" s="31" t="str">
        <f>IF($D341="","",IFERROR(VLOOKUP($B341,Kraftvärmeprod!$B$1:$BX$550,MATCH(AB$2,Kraftvärmeprod!$B$1:$VX$1,0),FALSE)/1,0)-IFERROR(VLOOKUP($B341,'Slutlig allokering kvv'!$B$2:$BX$550,MATCH(AB$2,'Slutlig allokering kvv'!$B$1:$BX$1,0),FALSE)/1,0))</f>
        <v/>
      </c>
      <c r="AC341" s="31" t="str">
        <f>IF($D341="","",IFERROR(VLOOKUP($B341,Kraftvärmeprod!$B$1:$BX$550,MATCH(AC$2,Kraftvärmeprod!$B$1:$VX$1,0),FALSE)/1,0)-IFERROR(VLOOKUP($B341,'Slutlig allokering kvv'!$B$2:$BX$550,MATCH(AC$2,'Slutlig allokering kvv'!$B$1:$BX$1,0),FALSE)/1,0))</f>
        <v/>
      </c>
      <c r="AD341" s="31" t="str">
        <f>IF($D341="","",IFERROR(VLOOKUP($B341,Kraftvärmeprod!$B$1:$BX$550,MATCH(AD$2,Kraftvärmeprod!$B$1:$VX$1,0),FALSE)/1,0)-IFERROR(VLOOKUP($B341,'Slutlig allokering kvv'!$B$2:$BX$550,MATCH(AD$2,'Slutlig allokering kvv'!$B$1:$BX$1,0),FALSE)/1,0))</f>
        <v/>
      </c>
      <c r="AE341" s="31" t="str">
        <f>IF($D341="","",IFERROR(VLOOKUP($B341,Miljö!$B$1:$E$550,MATCH("Hjälpel kraftvärme (GWh)",Miljö!$B$1:$E$1,0),FALSE)/1,0)-IFERROR(VLOOKUP($B341,'Slutlig allokering kvv'!$B$2:$BX$549,MATCH(AE$2,'Slutlig allokering kvv'!$B$1:$BX$1,0),FALSE)/1,0))</f>
        <v/>
      </c>
      <c r="AI341" s="39">
        <f t="shared" si="20"/>
        <v>0</v>
      </c>
      <c r="AK341" s="31">
        <f>IFERROR(VLOOKUP($B341,'Slutlig allokering kvv'!$B$2:$AX$549,MATCH("Summa slutlig allokerad tillförd energi (utan hjälpel och rökgaskondensering):",'Slutlig allokering kvv'!$B$1:$AX$1,0),FALSE)/1,"")</f>
        <v>0</v>
      </c>
      <c r="AM341" s="31" t="str">
        <f>IFERROR(1-VLOOKUP($B341,'Slutlig allokering kvv'!$B$2:$AX$549,MATCH("Andel av bränsle i kvv som allokerats till värme, exklusive rökgaskondensering och hjälpel",'Slutlig allokering kvv'!$B$1:$AX$1,0),FALSE),"")</f>
        <v/>
      </c>
      <c r="AO341" s="31" t="str">
        <f t="shared" si="21"/>
        <v/>
      </c>
      <c r="AP341" s="31" t="str">
        <f t="shared" si="22"/>
        <v/>
      </c>
      <c r="AR341" s="32" t="str">
        <f t="shared" si="23"/>
        <v/>
      </c>
    </row>
    <row r="342" spans="1:44" s="31" customFormat="1" x14ac:dyDescent="0.45">
      <c r="A342" s="31" t="s">
        <v>191</v>
      </c>
      <c r="B342" s="31" t="s">
        <v>192</v>
      </c>
      <c r="C342" s="31" t="str">
        <f>IFERROR(VLOOKUP($B342,Kraftvärmeprod!$B$1:$AH$479,MATCH(C$2,Kraftvärmeprod!$B$1:$AG$1,0),FALSE)/1,"")</f>
        <v/>
      </c>
      <c r="D342" s="31" t="str">
        <f>IFERROR(VLOOKUP($B342,Kraftvärmeprod!$B$1:$AH$479,MATCH(D$2,Kraftvärmeprod!$B$1:$AG$1,0),FALSE)/1,"")</f>
        <v/>
      </c>
      <c r="F342" s="31" t="str">
        <f>IF($D342="","",IFERROR(VLOOKUP($B342,Kraftvärmeprod!$B$1:$BX$550,MATCH(F$2,Kraftvärmeprod!$B$1:$VX$1,0),FALSE)/1,0)-IFERROR(VLOOKUP($B342,'Slutlig allokering kvv'!$B$2:$BX$550,MATCH(F$2,'Slutlig allokering kvv'!$B$1:$BX$1,0),FALSE)/1,0))</f>
        <v/>
      </c>
      <c r="G342" s="31" t="str">
        <f>IF($D342="","",IFERROR(VLOOKUP($B342,Kraftvärmeprod!$B$1:$BX$550,MATCH(G$2,Kraftvärmeprod!$B$1:$VX$1,0),FALSE)/1,0)-IFERROR(VLOOKUP($B342,'Slutlig allokering kvv'!$B$2:$BX$550,MATCH(G$2,'Slutlig allokering kvv'!$B$1:$BX$1,0),FALSE)/1,0))</f>
        <v/>
      </c>
      <c r="H342" s="31" t="str">
        <f>IF($D342="","",IFERROR(VLOOKUP($B342,Kraftvärmeprod!$B$1:$BX$550,MATCH(H$2,Kraftvärmeprod!$B$1:$VX$1,0),FALSE)/1,0)-IFERROR(VLOOKUP($B342,'Slutlig allokering kvv'!$B$2:$BX$550,MATCH(H$2,'Slutlig allokering kvv'!$B$1:$BX$1,0),FALSE)/1,0))</f>
        <v/>
      </c>
      <c r="I342" s="31" t="str">
        <f>IF($D342="","",IFERROR(VLOOKUP($B342,Kraftvärmeprod!$B$1:$BX$550,MATCH(I$2,Kraftvärmeprod!$B$1:$VX$1,0),FALSE)/1,0)-IFERROR(VLOOKUP($B342,'Slutlig allokering kvv'!$B$2:$BX$550,MATCH(I$2,'Slutlig allokering kvv'!$B$1:$BX$1,0),FALSE)/1,0))</f>
        <v/>
      </c>
      <c r="J342" s="31" t="str">
        <f>IF($D342="","",IFERROR(VLOOKUP($B342,Kraftvärmeprod!$B$1:$BX$550,MATCH(J$2,Kraftvärmeprod!$B$1:$VX$1,0),FALSE)/1,0)-IFERROR(VLOOKUP($B342,'Slutlig allokering kvv'!$B$2:$BX$550,MATCH(J$2,'Slutlig allokering kvv'!$B$1:$BX$1,0),FALSE)/1,0))</f>
        <v/>
      </c>
      <c r="K342" s="31" t="str">
        <f>IF($D342="","",IFERROR(VLOOKUP($B342,Kraftvärmeprod!$B$1:$BX$550,MATCH(K$2,Kraftvärmeprod!$B$1:$VX$1,0),FALSE)/1,0)-IFERROR(VLOOKUP($B342,'Slutlig allokering kvv'!$B$2:$BX$550,MATCH(K$2,'Slutlig allokering kvv'!$B$1:$BX$1,0),FALSE)/1,0))</f>
        <v/>
      </c>
      <c r="L342" s="31" t="str">
        <f>IF($D342="","",IFERROR(VLOOKUP($B342,Kraftvärmeprod!$B$1:$BX$550,MATCH(L$2,Kraftvärmeprod!$B$1:$VX$1,0),FALSE)/1,0)-IFERROR(VLOOKUP($B342,'Slutlig allokering kvv'!$B$2:$BX$550,MATCH(L$2,'Slutlig allokering kvv'!$B$1:$BX$1,0),FALSE)/1,0))</f>
        <v/>
      </c>
      <c r="M342" s="31" t="str">
        <f>IF($D342="","",IFERROR(VLOOKUP($B342,Kraftvärmeprod!$B$1:$BX$550,MATCH(M$2,Kraftvärmeprod!$B$1:$VX$1,0),FALSE)/1,0)-IFERROR(VLOOKUP($B342,'Slutlig allokering kvv'!$B$2:$BX$550,MATCH(M$2,'Slutlig allokering kvv'!$B$1:$BX$1,0),FALSE)/1,0))</f>
        <v/>
      </c>
      <c r="N342" s="31" t="str">
        <f>IF($D342="","",IFERROR(VLOOKUP($B342,Kraftvärmeprod!$B$1:$BX$550,MATCH(N$2,Kraftvärmeprod!$B$1:$VX$1,0),FALSE)/1,0)-IFERROR(VLOOKUP($B342,'Slutlig allokering kvv'!$B$2:$BX$550,MATCH(N$2,'Slutlig allokering kvv'!$B$1:$BX$1,0),FALSE)/1,0))</f>
        <v/>
      </c>
      <c r="O342" s="31" t="str">
        <f>IF($D342="","",IFERROR(VLOOKUP($B342,Kraftvärmeprod!$B$1:$BX$550,MATCH(O$2,Kraftvärmeprod!$B$1:$VX$1,0),FALSE)/1,0)-IFERROR(VLOOKUP($B342,'Slutlig allokering kvv'!$B$2:$BX$550,MATCH(O$2,'Slutlig allokering kvv'!$B$1:$BX$1,0),FALSE)/1,0))</f>
        <v/>
      </c>
      <c r="P342" s="31" t="str">
        <f>IF($D342="","",IFERROR(VLOOKUP($B342,Kraftvärmeprod!$B$1:$BX$550,MATCH(P$2,Kraftvärmeprod!$B$1:$VX$1,0),FALSE)/1,0)-IFERROR(VLOOKUP($B342,'Slutlig allokering kvv'!$B$2:$BX$550,MATCH(P$2,'Slutlig allokering kvv'!$B$1:$BX$1,0),FALSE)/1,0))</f>
        <v/>
      </c>
      <c r="Q342" s="31" t="str">
        <f>IF($D342="","",IFERROR(VLOOKUP($B342,Kraftvärmeprod!$B$1:$BX$550,MATCH(Q$2,Kraftvärmeprod!$B$1:$VX$1,0),FALSE)/1,0)-IFERROR(VLOOKUP($B342,'Slutlig allokering kvv'!$B$2:$BX$550,MATCH(Q$2,'Slutlig allokering kvv'!$B$1:$BX$1,0),FALSE)/1,0))</f>
        <v/>
      </c>
      <c r="R342" s="31" t="str">
        <f>IF($D342="","",IFERROR(VLOOKUP($B342,Kraftvärmeprod!$B$1:$BX$550,MATCH(R$2,Kraftvärmeprod!$B$1:$VX$1,0),FALSE)/1,0)-IFERROR(VLOOKUP($B342,'Slutlig allokering kvv'!$B$2:$BX$550,MATCH(R$2,'Slutlig allokering kvv'!$B$1:$BX$1,0),FALSE)/1,0))</f>
        <v/>
      </c>
      <c r="S342" s="31" t="str">
        <f>IF($D342="","",IFERROR(VLOOKUP($B342,Kraftvärmeprod!$B$1:$BX$550,MATCH(S$2,Kraftvärmeprod!$B$1:$VX$1,0),FALSE)/1,0)-IFERROR(VLOOKUP($B342,'Slutlig allokering kvv'!$B$2:$BX$550,MATCH(S$2,'Slutlig allokering kvv'!$B$1:$BX$1,0),FALSE)/1,0))</f>
        <v/>
      </c>
      <c r="T342" s="31" t="str">
        <f>IF($D342="","",IFERROR(VLOOKUP($B342,Kraftvärmeprod!$B$1:$BX$550,MATCH(T$2,Kraftvärmeprod!$B$1:$VX$1,0),FALSE)/1,0)-IFERROR(VLOOKUP($B342,'Slutlig allokering kvv'!$B$2:$BX$550,MATCH(T$2,'Slutlig allokering kvv'!$B$1:$BX$1,0),FALSE)/1,0))</f>
        <v/>
      </c>
      <c r="U342" s="31" t="str">
        <f>IF($D342="","",IFERROR(VLOOKUP($B342,Kraftvärmeprod!$B$1:$BX$550,MATCH(U$2,Kraftvärmeprod!$B$1:$VX$1,0),FALSE)/1,0)-IFERROR(VLOOKUP($B342,'Slutlig allokering kvv'!$B$2:$BX$550,MATCH(U$2,'Slutlig allokering kvv'!$B$1:$BX$1,0),FALSE)/1,0))</f>
        <v/>
      </c>
      <c r="V342" s="31" t="str">
        <f>IF($D342="","",IFERROR(VLOOKUP($B342,Kraftvärmeprod!$B$1:$BX$550,MATCH(V$2,Kraftvärmeprod!$B$1:$VX$1,0),FALSE)/1,0)-IFERROR(VLOOKUP($B342,'Slutlig allokering kvv'!$B$2:$BX$550,MATCH(V$2,'Slutlig allokering kvv'!$B$1:$BX$1,0),FALSE)/1,0))</f>
        <v/>
      </c>
      <c r="W342" s="31" t="str">
        <f>IF($D342="","",IFERROR(VLOOKUP($B342,Kraftvärmeprod!$B$1:$BX$550,MATCH(W$2,Kraftvärmeprod!$B$1:$VX$1,0),FALSE)/1,0)-IFERROR(VLOOKUP($B342,'Slutlig allokering kvv'!$B$2:$BX$550,MATCH(W$2,'Slutlig allokering kvv'!$B$1:$BX$1,0),FALSE)/1,0))</f>
        <v/>
      </c>
      <c r="X342" s="31" t="str">
        <f>IF($D342="","",IFERROR(VLOOKUP($B342,Kraftvärmeprod!$B$1:$BX$550,MATCH(X$2,Kraftvärmeprod!$B$1:$VX$1,0),FALSE)/1,0)-IFERROR(VLOOKUP($B342,'Slutlig allokering kvv'!$B$2:$BX$550,MATCH(X$2,'Slutlig allokering kvv'!$B$1:$BX$1,0),FALSE)/1,0))</f>
        <v/>
      </c>
      <c r="Y342" s="31" t="str">
        <f>IF($D342="","",IFERROR(VLOOKUP($B342,Kraftvärmeprod!$B$1:$BX$550,MATCH(Y$2,Kraftvärmeprod!$B$1:$VX$1,0),FALSE)/1,0)-IFERROR(VLOOKUP($B342,'Slutlig allokering kvv'!$B$2:$BX$550,MATCH(Y$2,'Slutlig allokering kvv'!$B$1:$BX$1,0),FALSE)/1,0))</f>
        <v/>
      </c>
      <c r="Z342" s="31" t="str">
        <f>IF($D342="","",IFERROR(VLOOKUP($B342,Kraftvärmeprod!$B$1:$BX$550,MATCH(Z$2,Kraftvärmeprod!$B$1:$VX$1,0),FALSE)/1,0)-IFERROR(VLOOKUP($B342,'Slutlig allokering kvv'!$B$2:$BX$550,MATCH(Z$2,'Slutlig allokering kvv'!$B$1:$BX$1,0),FALSE)/1,0))</f>
        <v/>
      </c>
      <c r="AA342" s="31" t="str">
        <f>IF($D342="","",IFERROR(VLOOKUP($B342,Kraftvärmeprod!$B$1:$BX$550,MATCH(AA$2,Kraftvärmeprod!$B$1:$VX$1,0),FALSE)/1,0)-IFERROR(VLOOKUP($B342,'Slutlig allokering kvv'!$B$2:$BX$550,MATCH(AA$2,'Slutlig allokering kvv'!$B$1:$BX$1,0),FALSE)/1,0))</f>
        <v/>
      </c>
      <c r="AB342" s="31" t="str">
        <f>IF($D342="","",IFERROR(VLOOKUP($B342,Kraftvärmeprod!$B$1:$BX$550,MATCH(AB$2,Kraftvärmeprod!$B$1:$VX$1,0),FALSE)/1,0)-IFERROR(VLOOKUP($B342,'Slutlig allokering kvv'!$B$2:$BX$550,MATCH(AB$2,'Slutlig allokering kvv'!$B$1:$BX$1,0),FALSE)/1,0))</f>
        <v/>
      </c>
      <c r="AC342" s="31" t="str">
        <f>IF($D342="","",IFERROR(VLOOKUP($B342,Kraftvärmeprod!$B$1:$BX$550,MATCH(AC$2,Kraftvärmeprod!$B$1:$VX$1,0),FALSE)/1,0)-IFERROR(VLOOKUP($B342,'Slutlig allokering kvv'!$B$2:$BX$550,MATCH(AC$2,'Slutlig allokering kvv'!$B$1:$BX$1,0),FALSE)/1,0))</f>
        <v/>
      </c>
      <c r="AD342" s="31" t="str">
        <f>IF($D342="","",IFERROR(VLOOKUP($B342,Kraftvärmeprod!$B$1:$BX$550,MATCH(AD$2,Kraftvärmeprod!$B$1:$VX$1,0),FALSE)/1,0)-IFERROR(VLOOKUP($B342,'Slutlig allokering kvv'!$B$2:$BX$550,MATCH(AD$2,'Slutlig allokering kvv'!$B$1:$BX$1,0),FALSE)/1,0))</f>
        <v/>
      </c>
      <c r="AE342" s="31" t="str">
        <f>IF($D342="","",IFERROR(VLOOKUP($B342,Miljö!$B$1:$E$550,MATCH("Hjälpel kraftvärme (GWh)",Miljö!$B$1:$E$1,0),FALSE)/1,0)-IFERROR(VLOOKUP($B342,'Slutlig allokering kvv'!$B$2:$BX$549,MATCH(AE$2,'Slutlig allokering kvv'!$B$1:$BX$1,0),FALSE)/1,0))</f>
        <v/>
      </c>
      <c r="AI342" s="39">
        <f t="shared" si="20"/>
        <v>0</v>
      </c>
      <c r="AK342" s="31">
        <f>IFERROR(VLOOKUP($B342,'Slutlig allokering kvv'!$B$2:$AX$549,MATCH("Summa slutlig allokerad tillförd energi (utan hjälpel och rökgaskondensering):",'Slutlig allokering kvv'!$B$1:$AX$1,0),FALSE)/1,"")</f>
        <v>0</v>
      </c>
      <c r="AM342" s="31" t="str">
        <f>IFERROR(1-VLOOKUP($B342,'Slutlig allokering kvv'!$B$2:$AX$549,MATCH("Andel av bränsle i kvv som allokerats till värme, exklusive rökgaskondensering och hjälpel",'Slutlig allokering kvv'!$B$1:$AX$1,0),FALSE),"")</f>
        <v/>
      </c>
      <c r="AO342" s="31" t="str">
        <f t="shared" si="21"/>
        <v/>
      </c>
      <c r="AP342" s="31" t="str">
        <f t="shared" si="22"/>
        <v/>
      </c>
      <c r="AR342" s="32" t="str">
        <f t="shared" si="23"/>
        <v/>
      </c>
    </row>
    <row r="343" spans="1:44" s="31" customFormat="1" x14ac:dyDescent="0.45">
      <c r="A343" s="31" t="s">
        <v>191</v>
      </c>
      <c r="B343" s="31" t="s">
        <v>190</v>
      </c>
      <c r="C343" s="31" t="str">
        <f>IFERROR(VLOOKUP($B343,Kraftvärmeprod!$B$1:$AH$479,MATCH(C$2,Kraftvärmeprod!$B$1:$AG$1,0),FALSE)/1,"")</f>
        <v/>
      </c>
      <c r="D343" s="31" t="str">
        <f>IFERROR(VLOOKUP($B343,Kraftvärmeprod!$B$1:$AH$479,MATCH(D$2,Kraftvärmeprod!$B$1:$AG$1,0),FALSE)/1,"")</f>
        <v/>
      </c>
      <c r="F343" s="31" t="str">
        <f>IF($D343="","",IFERROR(VLOOKUP($B343,Kraftvärmeprod!$B$1:$BX$550,MATCH(F$2,Kraftvärmeprod!$B$1:$VX$1,0),FALSE)/1,0)-IFERROR(VLOOKUP($B343,'Slutlig allokering kvv'!$B$2:$BX$550,MATCH(F$2,'Slutlig allokering kvv'!$B$1:$BX$1,0),FALSE)/1,0))</f>
        <v/>
      </c>
      <c r="G343" s="31" t="str">
        <f>IF($D343="","",IFERROR(VLOOKUP($B343,Kraftvärmeprod!$B$1:$BX$550,MATCH(G$2,Kraftvärmeprod!$B$1:$VX$1,0),FALSE)/1,0)-IFERROR(VLOOKUP($B343,'Slutlig allokering kvv'!$B$2:$BX$550,MATCH(G$2,'Slutlig allokering kvv'!$B$1:$BX$1,0),FALSE)/1,0))</f>
        <v/>
      </c>
      <c r="H343" s="31" t="str">
        <f>IF($D343="","",IFERROR(VLOOKUP($B343,Kraftvärmeprod!$B$1:$BX$550,MATCH(H$2,Kraftvärmeprod!$B$1:$VX$1,0),FALSE)/1,0)-IFERROR(VLOOKUP($B343,'Slutlig allokering kvv'!$B$2:$BX$550,MATCH(H$2,'Slutlig allokering kvv'!$B$1:$BX$1,0),FALSE)/1,0))</f>
        <v/>
      </c>
      <c r="I343" s="31" t="str">
        <f>IF($D343="","",IFERROR(VLOOKUP($B343,Kraftvärmeprod!$B$1:$BX$550,MATCH(I$2,Kraftvärmeprod!$B$1:$VX$1,0),FALSE)/1,0)-IFERROR(VLOOKUP($B343,'Slutlig allokering kvv'!$B$2:$BX$550,MATCH(I$2,'Slutlig allokering kvv'!$B$1:$BX$1,0),FALSE)/1,0))</f>
        <v/>
      </c>
      <c r="J343" s="31" t="str">
        <f>IF($D343="","",IFERROR(VLOOKUP($B343,Kraftvärmeprod!$B$1:$BX$550,MATCH(J$2,Kraftvärmeprod!$B$1:$VX$1,0),FALSE)/1,0)-IFERROR(VLOOKUP($B343,'Slutlig allokering kvv'!$B$2:$BX$550,MATCH(J$2,'Slutlig allokering kvv'!$B$1:$BX$1,0),FALSE)/1,0))</f>
        <v/>
      </c>
      <c r="K343" s="31" t="str">
        <f>IF($D343="","",IFERROR(VLOOKUP($B343,Kraftvärmeprod!$B$1:$BX$550,MATCH(K$2,Kraftvärmeprod!$B$1:$VX$1,0),FALSE)/1,0)-IFERROR(VLOOKUP($B343,'Slutlig allokering kvv'!$B$2:$BX$550,MATCH(K$2,'Slutlig allokering kvv'!$B$1:$BX$1,0),FALSE)/1,0))</f>
        <v/>
      </c>
      <c r="L343" s="31" t="str">
        <f>IF($D343="","",IFERROR(VLOOKUP($B343,Kraftvärmeprod!$B$1:$BX$550,MATCH(L$2,Kraftvärmeprod!$B$1:$VX$1,0),FALSE)/1,0)-IFERROR(VLOOKUP($B343,'Slutlig allokering kvv'!$B$2:$BX$550,MATCH(L$2,'Slutlig allokering kvv'!$B$1:$BX$1,0),FALSE)/1,0))</f>
        <v/>
      </c>
      <c r="M343" s="31" t="str">
        <f>IF($D343="","",IFERROR(VLOOKUP($B343,Kraftvärmeprod!$B$1:$BX$550,MATCH(M$2,Kraftvärmeprod!$B$1:$VX$1,0),FALSE)/1,0)-IFERROR(VLOOKUP($B343,'Slutlig allokering kvv'!$B$2:$BX$550,MATCH(M$2,'Slutlig allokering kvv'!$B$1:$BX$1,0),FALSE)/1,0))</f>
        <v/>
      </c>
      <c r="N343" s="31" t="str">
        <f>IF($D343="","",IFERROR(VLOOKUP($B343,Kraftvärmeprod!$B$1:$BX$550,MATCH(N$2,Kraftvärmeprod!$B$1:$VX$1,0),FALSE)/1,0)-IFERROR(VLOOKUP($B343,'Slutlig allokering kvv'!$B$2:$BX$550,MATCH(N$2,'Slutlig allokering kvv'!$B$1:$BX$1,0),FALSE)/1,0))</f>
        <v/>
      </c>
      <c r="O343" s="31" t="str">
        <f>IF($D343="","",IFERROR(VLOOKUP($B343,Kraftvärmeprod!$B$1:$BX$550,MATCH(O$2,Kraftvärmeprod!$B$1:$VX$1,0),FALSE)/1,0)-IFERROR(VLOOKUP($B343,'Slutlig allokering kvv'!$B$2:$BX$550,MATCH(O$2,'Slutlig allokering kvv'!$B$1:$BX$1,0),FALSE)/1,0))</f>
        <v/>
      </c>
      <c r="P343" s="31" t="str">
        <f>IF($D343="","",IFERROR(VLOOKUP($B343,Kraftvärmeprod!$B$1:$BX$550,MATCH(P$2,Kraftvärmeprod!$B$1:$VX$1,0),FALSE)/1,0)-IFERROR(VLOOKUP($B343,'Slutlig allokering kvv'!$B$2:$BX$550,MATCH(P$2,'Slutlig allokering kvv'!$B$1:$BX$1,0),FALSE)/1,0))</f>
        <v/>
      </c>
      <c r="Q343" s="31" t="str">
        <f>IF($D343="","",IFERROR(VLOOKUP($B343,Kraftvärmeprod!$B$1:$BX$550,MATCH(Q$2,Kraftvärmeprod!$B$1:$VX$1,0),FALSE)/1,0)-IFERROR(VLOOKUP($B343,'Slutlig allokering kvv'!$B$2:$BX$550,MATCH(Q$2,'Slutlig allokering kvv'!$B$1:$BX$1,0),FALSE)/1,0))</f>
        <v/>
      </c>
      <c r="R343" s="31" t="str">
        <f>IF($D343="","",IFERROR(VLOOKUP($B343,Kraftvärmeprod!$B$1:$BX$550,MATCH(R$2,Kraftvärmeprod!$B$1:$VX$1,0),FALSE)/1,0)-IFERROR(VLOOKUP($B343,'Slutlig allokering kvv'!$B$2:$BX$550,MATCH(R$2,'Slutlig allokering kvv'!$B$1:$BX$1,0),FALSE)/1,0))</f>
        <v/>
      </c>
      <c r="S343" s="31" t="str">
        <f>IF($D343="","",IFERROR(VLOOKUP($B343,Kraftvärmeprod!$B$1:$BX$550,MATCH(S$2,Kraftvärmeprod!$B$1:$VX$1,0),FALSE)/1,0)-IFERROR(VLOOKUP($B343,'Slutlig allokering kvv'!$B$2:$BX$550,MATCH(S$2,'Slutlig allokering kvv'!$B$1:$BX$1,0),FALSE)/1,0))</f>
        <v/>
      </c>
      <c r="T343" s="31" t="str">
        <f>IF($D343="","",IFERROR(VLOOKUP($B343,Kraftvärmeprod!$B$1:$BX$550,MATCH(T$2,Kraftvärmeprod!$B$1:$VX$1,0),FALSE)/1,0)-IFERROR(VLOOKUP($B343,'Slutlig allokering kvv'!$B$2:$BX$550,MATCH(T$2,'Slutlig allokering kvv'!$B$1:$BX$1,0),FALSE)/1,0))</f>
        <v/>
      </c>
      <c r="U343" s="31" t="str">
        <f>IF($D343="","",IFERROR(VLOOKUP($B343,Kraftvärmeprod!$B$1:$BX$550,MATCH(U$2,Kraftvärmeprod!$B$1:$VX$1,0),FALSE)/1,0)-IFERROR(VLOOKUP($B343,'Slutlig allokering kvv'!$B$2:$BX$550,MATCH(U$2,'Slutlig allokering kvv'!$B$1:$BX$1,0),FALSE)/1,0))</f>
        <v/>
      </c>
      <c r="V343" s="31" t="str">
        <f>IF($D343="","",IFERROR(VLOOKUP($B343,Kraftvärmeprod!$B$1:$BX$550,MATCH(V$2,Kraftvärmeprod!$B$1:$VX$1,0),FALSE)/1,0)-IFERROR(VLOOKUP($B343,'Slutlig allokering kvv'!$B$2:$BX$550,MATCH(V$2,'Slutlig allokering kvv'!$B$1:$BX$1,0),FALSE)/1,0))</f>
        <v/>
      </c>
      <c r="W343" s="31" t="str">
        <f>IF($D343="","",IFERROR(VLOOKUP($B343,Kraftvärmeprod!$B$1:$BX$550,MATCH(W$2,Kraftvärmeprod!$B$1:$VX$1,0),FALSE)/1,0)-IFERROR(VLOOKUP($B343,'Slutlig allokering kvv'!$B$2:$BX$550,MATCH(W$2,'Slutlig allokering kvv'!$B$1:$BX$1,0),FALSE)/1,0))</f>
        <v/>
      </c>
      <c r="X343" s="31" t="str">
        <f>IF($D343="","",IFERROR(VLOOKUP($B343,Kraftvärmeprod!$B$1:$BX$550,MATCH(X$2,Kraftvärmeprod!$B$1:$VX$1,0),FALSE)/1,0)-IFERROR(VLOOKUP($B343,'Slutlig allokering kvv'!$B$2:$BX$550,MATCH(X$2,'Slutlig allokering kvv'!$B$1:$BX$1,0),FALSE)/1,0))</f>
        <v/>
      </c>
      <c r="Y343" s="31" t="str">
        <f>IF($D343="","",IFERROR(VLOOKUP($B343,Kraftvärmeprod!$B$1:$BX$550,MATCH(Y$2,Kraftvärmeprod!$B$1:$VX$1,0),FALSE)/1,0)-IFERROR(VLOOKUP($B343,'Slutlig allokering kvv'!$B$2:$BX$550,MATCH(Y$2,'Slutlig allokering kvv'!$B$1:$BX$1,0),FALSE)/1,0))</f>
        <v/>
      </c>
      <c r="Z343" s="31" t="str">
        <f>IF($D343="","",IFERROR(VLOOKUP($B343,Kraftvärmeprod!$B$1:$BX$550,MATCH(Z$2,Kraftvärmeprod!$B$1:$VX$1,0),FALSE)/1,0)-IFERROR(VLOOKUP($B343,'Slutlig allokering kvv'!$B$2:$BX$550,MATCH(Z$2,'Slutlig allokering kvv'!$B$1:$BX$1,0),FALSE)/1,0))</f>
        <v/>
      </c>
      <c r="AA343" s="31" t="str">
        <f>IF($D343="","",IFERROR(VLOOKUP($B343,Kraftvärmeprod!$B$1:$BX$550,MATCH(AA$2,Kraftvärmeprod!$B$1:$VX$1,0),FALSE)/1,0)-IFERROR(VLOOKUP($B343,'Slutlig allokering kvv'!$B$2:$BX$550,MATCH(AA$2,'Slutlig allokering kvv'!$B$1:$BX$1,0),FALSE)/1,0))</f>
        <v/>
      </c>
      <c r="AB343" s="31" t="str">
        <f>IF($D343="","",IFERROR(VLOOKUP($B343,Kraftvärmeprod!$B$1:$BX$550,MATCH(AB$2,Kraftvärmeprod!$B$1:$VX$1,0),FALSE)/1,0)-IFERROR(VLOOKUP($B343,'Slutlig allokering kvv'!$B$2:$BX$550,MATCH(AB$2,'Slutlig allokering kvv'!$B$1:$BX$1,0),FALSE)/1,0))</f>
        <v/>
      </c>
      <c r="AC343" s="31" t="str">
        <f>IF($D343="","",IFERROR(VLOOKUP($B343,Kraftvärmeprod!$B$1:$BX$550,MATCH(AC$2,Kraftvärmeprod!$B$1:$VX$1,0),FALSE)/1,0)-IFERROR(VLOOKUP($B343,'Slutlig allokering kvv'!$B$2:$BX$550,MATCH(AC$2,'Slutlig allokering kvv'!$B$1:$BX$1,0),FALSE)/1,0))</f>
        <v/>
      </c>
      <c r="AD343" s="31" t="str">
        <f>IF($D343="","",IFERROR(VLOOKUP($B343,Kraftvärmeprod!$B$1:$BX$550,MATCH(AD$2,Kraftvärmeprod!$B$1:$VX$1,0),FALSE)/1,0)-IFERROR(VLOOKUP($B343,'Slutlig allokering kvv'!$B$2:$BX$550,MATCH(AD$2,'Slutlig allokering kvv'!$B$1:$BX$1,0),FALSE)/1,0))</f>
        <v/>
      </c>
      <c r="AE343" s="31" t="str">
        <f>IF($D343="","",IFERROR(VLOOKUP($B343,Miljö!$B$1:$E$550,MATCH("Hjälpel kraftvärme (GWh)",Miljö!$B$1:$E$1,0),FALSE)/1,0)-IFERROR(VLOOKUP($B343,'Slutlig allokering kvv'!$B$2:$BX$549,MATCH(AE$2,'Slutlig allokering kvv'!$B$1:$BX$1,0),FALSE)/1,0))</f>
        <v/>
      </c>
      <c r="AI343" s="39">
        <f t="shared" si="20"/>
        <v>0</v>
      </c>
      <c r="AK343" s="31">
        <f>IFERROR(VLOOKUP($B343,'Slutlig allokering kvv'!$B$2:$AX$549,MATCH("Summa slutlig allokerad tillförd energi (utan hjälpel och rökgaskondensering):",'Slutlig allokering kvv'!$B$1:$AX$1,0),FALSE)/1,"")</f>
        <v>0</v>
      </c>
      <c r="AM343" s="31" t="str">
        <f>IFERROR(1-VLOOKUP($B343,'Slutlig allokering kvv'!$B$2:$AX$549,MATCH("Andel av bränsle i kvv som allokerats till värme, exklusive rökgaskondensering och hjälpel",'Slutlig allokering kvv'!$B$1:$AX$1,0),FALSE),"")</f>
        <v/>
      </c>
      <c r="AO343" s="31" t="str">
        <f t="shared" si="21"/>
        <v/>
      </c>
      <c r="AP343" s="31" t="str">
        <f t="shared" si="22"/>
        <v/>
      </c>
      <c r="AR343" s="32" t="str">
        <f t="shared" si="23"/>
        <v/>
      </c>
    </row>
    <row r="344" spans="1:44" s="31" customFormat="1" x14ac:dyDescent="0.45">
      <c r="A344" s="31" t="s">
        <v>187</v>
      </c>
      <c r="B344" s="31" t="s">
        <v>189</v>
      </c>
      <c r="C344" s="31" t="str">
        <f>IFERROR(VLOOKUP($B344,Kraftvärmeprod!$B$1:$AH$479,MATCH(C$2,Kraftvärmeprod!$B$1:$AG$1,0),FALSE)/1,"")</f>
        <v/>
      </c>
      <c r="D344" s="31" t="str">
        <f>IFERROR(VLOOKUP($B344,Kraftvärmeprod!$B$1:$AH$479,MATCH(D$2,Kraftvärmeprod!$B$1:$AG$1,0),FALSE)/1,"")</f>
        <v/>
      </c>
      <c r="F344" s="31" t="str">
        <f>IF($D344="","",IFERROR(VLOOKUP($B344,Kraftvärmeprod!$B$1:$BX$550,MATCH(F$2,Kraftvärmeprod!$B$1:$VX$1,0),FALSE)/1,0)-IFERROR(VLOOKUP($B344,'Slutlig allokering kvv'!$B$2:$BX$550,MATCH(F$2,'Slutlig allokering kvv'!$B$1:$BX$1,0),FALSE)/1,0))</f>
        <v/>
      </c>
      <c r="G344" s="31" t="str">
        <f>IF($D344="","",IFERROR(VLOOKUP($B344,Kraftvärmeprod!$B$1:$BX$550,MATCH(G$2,Kraftvärmeprod!$B$1:$VX$1,0),FALSE)/1,0)-IFERROR(VLOOKUP($B344,'Slutlig allokering kvv'!$B$2:$BX$550,MATCH(G$2,'Slutlig allokering kvv'!$B$1:$BX$1,0),FALSE)/1,0))</f>
        <v/>
      </c>
      <c r="H344" s="31" t="str">
        <f>IF($D344="","",IFERROR(VLOOKUP($B344,Kraftvärmeprod!$B$1:$BX$550,MATCH(H$2,Kraftvärmeprod!$B$1:$VX$1,0),FALSE)/1,0)-IFERROR(VLOOKUP($B344,'Slutlig allokering kvv'!$B$2:$BX$550,MATCH(H$2,'Slutlig allokering kvv'!$B$1:$BX$1,0),FALSE)/1,0))</f>
        <v/>
      </c>
      <c r="I344" s="31" t="str">
        <f>IF($D344="","",IFERROR(VLOOKUP($B344,Kraftvärmeprod!$B$1:$BX$550,MATCH(I$2,Kraftvärmeprod!$B$1:$VX$1,0),FALSE)/1,0)-IFERROR(VLOOKUP($B344,'Slutlig allokering kvv'!$B$2:$BX$550,MATCH(I$2,'Slutlig allokering kvv'!$B$1:$BX$1,0),FALSE)/1,0))</f>
        <v/>
      </c>
      <c r="J344" s="31" t="str">
        <f>IF($D344="","",IFERROR(VLOOKUP($B344,Kraftvärmeprod!$B$1:$BX$550,MATCH(J$2,Kraftvärmeprod!$B$1:$VX$1,0),FALSE)/1,0)-IFERROR(VLOOKUP($B344,'Slutlig allokering kvv'!$B$2:$BX$550,MATCH(J$2,'Slutlig allokering kvv'!$B$1:$BX$1,0),FALSE)/1,0))</f>
        <v/>
      </c>
      <c r="K344" s="31" t="str">
        <f>IF($D344="","",IFERROR(VLOOKUP($B344,Kraftvärmeprod!$B$1:$BX$550,MATCH(K$2,Kraftvärmeprod!$B$1:$VX$1,0),FALSE)/1,0)-IFERROR(VLOOKUP($B344,'Slutlig allokering kvv'!$B$2:$BX$550,MATCH(K$2,'Slutlig allokering kvv'!$B$1:$BX$1,0),FALSE)/1,0))</f>
        <v/>
      </c>
      <c r="L344" s="31" t="str">
        <f>IF($D344="","",IFERROR(VLOOKUP($B344,Kraftvärmeprod!$B$1:$BX$550,MATCH(L$2,Kraftvärmeprod!$B$1:$VX$1,0),FALSE)/1,0)-IFERROR(VLOOKUP($B344,'Slutlig allokering kvv'!$B$2:$BX$550,MATCH(L$2,'Slutlig allokering kvv'!$B$1:$BX$1,0),FALSE)/1,0))</f>
        <v/>
      </c>
      <c r="M344" s="31" t="str">
        <f>IF($D344="","",IFERROR(VLOOKUP($B344,Kraftvärmeprod!$B$1:$BX$550,MATCH(M$2,Kraftvärmeprod!$B$1:$VX$1,0),FALSE)/1,0)-IFERROR(VLOOKUP($B344,'Slutlig allokering kvv'!$B$2:$BX$550,MATCH(M$2,'Slutlig allokering kvv'!$B$1:$BX$1,0),FALSE)/1,0))</f>
        <v/>
      </c>
      <c r="N344" s="31" t="str">
        <f>IF($D344="","",IFERROR(VLOOKUP($B344,Kraftvärmeprod!$B$1:$BX$550,MATCH(N$2,Kraftvärmeprod!$B$1:$VX$1,0),FALSE)/1,0)-IFERROR(VLOOKUP($B344,'Slutlig allokering kvv'!$B$2:$BX$550,MATCH(N$2,'Slutlig allokering kvv'!$B$1:$BX$1,0),FALSE)/1,0))</f>
        <v/>
      </c>
      <c r="O344" s="31" t="str">
        <f>IF($D344="","",IFERROR(VLOOKUP($B344,Kraftvärmeprod!$B$1:$BX$550,MATCH(O$2,Kraftvärmeprod!$B$1:$VX$1,0),FALSE)/1,0)-IFERROR(VLOOKUP($B344,'Slutlig allokering kvv'!$B$2:$BX$550,MATCH(O$2,'Slutlig allokering kvv'!$B$1:$BX$1,0),FALSE)/1,0))</f>
        <v/>
      </c>
      <c r="P344" s="31" t="str">
        <f>IF($D344="","",IFERROR(VLOOKUP($B344,Kraftvärmeprod!$B$1:$BX$550,MATCH(P$2,Kraftvärmeprod!$B$1:$VX$1,0),FALSE)/1,0)-IFERROR(VLOOKUP($B344,'Slutlig allokering kvv'!$B$2:$BX$550,MATCH(P$2,'Slutlig allokering kvv'!$B$1:$BX$1,0),FALSE)/1,0))</f>
        <v/>
      </c>
      <c r="Q344" s="31" t="str">
        <f>IF($D344="","",IFERROR(VLOOKUP($B344,Kraftvärmeprod!$B$1:$BX$550,MATCH(Q$2,Kraftvärmeprod!$B$1:$VX$1,0),FALSE)/1,0)-IFERROR(VLOOKUP($B344,'Slutlig allokering kvv'!$B$2:$BX$550,MATCH(Q$2,'Slutlig allokering kvv'!$B$1:$BX$1,0),FALSE)/1,0))</f>
        <v/>
      </c>
      <c r="R344" s="31" t="str">
        <f>IF($D344="","",IFERROR(VLOOKUP($B344,Kraftvärmeprod!$B$1:$BX$550,MATCH(R$2,Kraftvärmeprod!$B$1:$VX$1,0),FALSE)/1,0)-IFERROR(VLOOKUP($B344,'Slutlig allokering kvv'!$B$2:$BX$550,MATCH(R$2,'Slutlig allokering kvv'!$B$1:$BX$1,0),FALSE)/1,0))</f>
        <v/>
      </c>
      <c r="S344" s="31" t="str">
        <f>IF($D344="","",IFERROR(VLOOKUP($B344,Kraftvärmeprod!$B$1:$BX$550,MATCH(S$2,Kraftvärmeprod!$B$1:$VX$1,0),FALSE)/1,0)-IFERROR(VLOOKUP($B344,'Slutlig allokering kvv'!$B$2:$BX$550,MATCH(S$2,'Slutlig allokering kvv'!$B$1:$BX$1,0),FALSE)/1,0))</f>
        <v/>
      </c>
      <c r="T344" s="31" t="str">
        <f>IF($D344="","",IFERROR(VLOOKUP($B344,Kraftvärmeprod!$B$1:$BX$550,MATCH(T$2,Kraftvärmeprod!$B$1:$VX$1,0),FALSE)/1,0)-IFERROR(VLOOKUP($B344,'Slutlig allokering kvv'!$B$2:$BX$550,MATCH(T$2,'Slutlig allokering kvv'!$B$1:$BX$1,0),FALSE)/1,0))</f>
        <v/>
      </c>
      <c r="U344" s="31" t="str">
        <f>IF($D344="","",IFERROR(VLOOKUP($B344,Kraftvärmeprod!$B$1:$BX$550,MATCH(U$2,Kraftvärmeprod!$B$1:$VX$1,0),FALSE)/1,0)-IFERROR(VLOOKUP($B344,'Slutlig allokering kvv'!$B$2:$BX$550,MATCH(U$2,'Slutlig allokering kvv'!$B$1:$BX$1,0),FALSE)/1,0))</f>
        <v/>
      </c>
      <c r="V344" s="31" t="str">
        <f>IF($D344="","",IFERROR(VLOOKUP($B344,Kraftvärmeprod!$B$1:$BX$550,MATCH(V$2,Kraftvärmeprod!$B$1:$VX$1,0),FALSE)/1,0)-IFERROR(VLOOKUP($B344,'Slutlig allokering kvv'!$B$2:$BX$550,MATCH(V$2,'Slutlig allokering kvv'!$B$1:$BX$1,0),FALSE)/1,0))</f>
        <v/>
      </c>
      <c r="W344" s="31" t="str">
        <f>IF($D344="","",IFERROR(VLOOKUP($B344,Kraftvärmeprod!$B$1:$BX$550,MATCH(W$2,Kraftvärmeprod!$B$1:$VX$1,0),FALSE)/1,0)-IFERROR(VLOOKUP($B344,'Slutlig allokering kvv'!$B$2:$BX$550,MATCH(W$2,'Slutlig allokering kvv'!$B$1:$BX$1,0),FALSE)/1,0))</f>
        <v/>
      </c>
      <c r="X344" s="31" t="str">
        <f>IF($D344="","",IFERROR(VLOOKUP($B344,Kraftvärmeprod!$B$1:$BX$550,MATCH(X$2,Kraftvärmeprod!$B$1:$VX$1,0),FALSE)/1,0)-IFERROR(VLOOKUP($B344,'Slutlig allokering kvv'!$B$2:$BX$550,MATCH(X$2,'Slutlig allokering kvv'!$B$1:$BX$1,0),FALSE)/1,0))</f>
        <v/>
      </c>
      <c r="Y344" s="31" t="str">
        <f>IF($D344="","",IFERROR(VLOOKUP($B344,Kraftvärmeprod!$B$1:$BX$550,MATCH(Y$2,Kraftvärmeprod!$B$1:$VX$1,0),FALSE)/1,0)-IFERROR(VLOOKUP($B344,'Slutlig allokering kvv'!$B$2:$BX$550,MATCH(Y$2,'Slutlig allokering kvv'!$B$1:$BX$1,0),FALSE)/1,0))</f>
        <v/>
      </c>
      <c r="Z344" s="31" t="str">
        <f>IF($D344="","",IFERROR(VLOOKUP($B344,Kraftvärmeprod!$B$1:$BX$550,MATCH(Z$2,Kraftvärmeprod!$B$1:$VX$1,0),FALSE)/1,0)-IFERROR(VLOOKUP($B344,'Slutlig allokering kvv'!$B$2:$BX$550,MATCH(Z$2,'Slutlig allokering kvv'!$B$1:$BX$1,0),FALSE)/1,0))</f>
        <v/>
      </c>
      <c r="AA344" s="31" t="str">
        <f>IF($D344="","",IFERROR(VLOOKUP($B344,Kraftvärmeprod!$B$1:$BX$550,MATCH(AA$2,Kraftvärmeprod!$B$1:$VX$1,0),FALSE)/1,0)-IFERROR(VLOOKUP($B344,'Slutlig allokering kvv'!$B$2:$BX$550,MATCH(AA$2,'Slutlig allokering kvv'!$B$1:$BX$1,0),FALSE)/1,0))</f>
        <v/>
      </c>
      <c r="AB344" s="31" t="str">
        <f>IF($D344="","",IFERROR(VLOOKUP($B344,Kraftvärmeprod!$B$1:$BX$550,MATCH(AB$2,Kraftvärmeprod!$B$1:$VX$1,0),FALSE)/1,0)-IFERROR(VLOOKUP($B344,'Slutlig allokering kvv'!$B$2:$BX$550,MATCH(AB$2,'Slutlig allokering kvv'!$B$1:$BX$1,0),FALSE)/1,0))</f>
        <v/>
      </c>
      <c r="AC344" s="31" t="str">
        <f>IF($D344="","",IFERROR(VLOOKUP($B344,Kraftvärmeprod!$B$1:$BX$550,MATCH(AC$2,Kraftvärmeprod!$B$1:$VX$1,0),FALSE)/1,0)-IFERROR(VLOOKUP($B344,'Slutlig allokering kvv'!$B$2:$BX$550,MATCH(AC$2,'Slutlig allokering kvv'!$B$1:$BX$1,0),FALSE)/1,0))</f>
        <v/>
      </c>
      <c r="AD344" s="31" t="str">
        <f>IF($D344="","",IFERROR(VLOOKUP($B344,Kraftvärmeprod!$B$1:$BX$550,MATCH(AD$2,Kraftvärmeprod!$B$1:$VX$1,0),FALSE)/1,0)-IFERROR(VLOOKUP($B344,'Slutlig allokering kvv'!$B$2:$BX$550,MATCH(AD$2,'Slutlig allokering kvv'!$B$1:$BX$1,0),FALSE)/1,0))</f>
        <v/>
      </c>
      <c r="AE344" s="31" t="str">
        <f>IF($D344="","",IFERROR(VLOOKUP($B344,Miljö!$B$1:$E$550,MATCH("Hjälpel kraftvärme (GWh)",Miljö!$B$1:$E$1,0),FALSE)/1,0)-IFERROR(VLOOKUP($B344,'Slutlig allokering kvv'!$B$2:$BX$549,MATCH(AE$2,'Slutlig allokering kvv'!$B$1:$BX$1,0),FALSE)/1,0))</f>
        <v/>
      </c>
      <c r="AI344" s="39">
        <f t="shared" si="20"/>
        <v>0</v>
      </c>
      <c r="AK344" s="31">
        <f>IFERROR(VLOOKUP($B344,'Slutlig allokering kvv'!$B$2:$AX$549,MATCH("Summa slutlig allokerad tillförd energi (utan hjälpel och rökgaskondensering):",'Slutlig allokering kvv'!$B$1:$AX$1,0),FALSE)/1,"")</f>
        <v>0</v>
      </c>
      <c r="AM344" s="31" t="str">
        <f>IFERROR(1-VLOOKUP($B344,'Slutlig allokering kvv'!$B$2:$AX$549,MATCH("Andel av bränsle i kvv som allokerats till värme, exklusive rökgaskondensering och hjälpel",'Slutlig allokering kvv'!$B$1:$AX$1,0),FALSE),"")</f>
        <v/>
      </c>
      <c r="AO344" s="31" t="str">
        <f t="shared" si="21"/>
        <v/>
      </c>
      <c r="AP344" s="31" t="str">
        <f t="shared" si="22"/>
        <v/>
      </c>
      <c r="AR344" s="32" t="str">
        <f t="shared" si="23"/>
        <v/>
      </c>
    </row>
    <row r="345" spans="1:44" s="31" customFormat="1" x14ac:dyDescent="0.45">
      <c r="A345" s="31" t="s">
        <v>187</v>
      </c>
      <c r="B345" s="31" t="s">
        <v>188</v>
      </c>
      <c r="C345" s="31" t="str">
        <f>IFERROR(VLOOKUP($B345,Kraftvärmeprod!$B$1:$AH$479,MATCH(C$2,Kraftvärmeprod!$B$1:$AG$1,0),FALSE)/1,"")</f>
        <v/>
      </c>
      <c r="D345" s="31" t="str">
        <f>IFERROR(VLOOKUP($B345,Kraftvärmeprod!$B$1:$AH$479,MATCH(D$2,Kraftvärmeprod!$B$1:$AG$1,0),FALSE)/1,"")</f>
        <v/>
      </c>
      <c r="F345" s="31" t="str">
        <f>IF($D345="","",IFERROR(VLOOKUP($B345,Kraftvärmeprod!$B$1:$BX$550,MATCH(F$2,Kraftvärmeprod!$B$1:$VX$1,0),FALSE)/1,0)-IFERROR(VLOOKUP($B345,'Slutlig allokering kvv'!$B$2:$BX$550,MATCH(F$2,'Slutlig allokering kvv'!$B$1:$BX$1,0),FALSE)/1,0))</f>
        <v/>
      </c>
      <c r="G345" s="31" t="str">
        <f>IF($D345="","",IFERROR(VLOOKUP($B345,Kraftvärmeprod!$B$1:$BX$550,MATCH(G$2,Kraftvärmeprod!$B$1:$VX$1,0),FALSE)/1,0)-IFERROR(VLOOKUP($B345,'Slutlig allokering kvv'!$B$2:$BX$550,MATCH(G$2,'Slutlig allokering kvv'!$B$1:$BX$1,0),FALSE)/1,0))</f>
        <v/>
      </c>
      <c r="H345" s="31" t="str">
        <f>IF($D345="","",IFERROR(VLOOKUP($B345,Kraftvärmeprod!$B$1:$BX$550,MATCH(H$2,Kraftvärmeprod!$B$1:$VX$1,0),FALSE)/1,0)-IFERROR(VLOOKUP($B345,'Slutlig allokering kvv'!$B$2:$BX$550,MATCH(H$2,'Slutlig allokering kvv'!$B$1:$BX$1,0),FALSE)/1,0))</f>
        <v/>
      </c>
      <c r="I345" s="31" t="str">
        <f>IF($D345="","",IFERROR(VLOOKUP($B345,Kraftvärmeprod!$B$1:$BX$550,MATCH(I$2,Kraftvärmeprod!$B$1:$VX$1,0),FALSE)/1,0)-IFERROR(VLOOKUP($B345,'Slutlig allokering kvv'!$B$2:$BX$550,MATCH(I$2,'Slutlig allokering kvv'!$B$1:$BX$1,0),FALSE)/1,0))</f>
        <v/>
      </c>
      <c r="J345" s="31" t="str">
        <f>IF($D345="","",IFERROR(VLOOKUP($B345,Kraftvärmeprod!$B$1:$BX$550,MATCH(J$2,Kraftvärmeprod!$B$1:$VX$1,0),FALSE)/1,0)-IFERROR(VLOOKUP($B345,'Slutlig allokering kvv'!$B$2:$BX$550,MATCH(J$2,'Slutlig allokering kvv'!$B$1:$BX$1,0),FALSE)/1,0))</f>
        <v/>
      </c>
      <c r="K345" s="31" t="str">
        <f>IF($D345="","",IFERROR(VLOOKUP($B345,Kraftvärmeprod!$B$1:$BX$550,MATCH(K$2,Kraftvärmeprod!$B$1:$VX$1,0),FALSE)/1,0)-IFERROR(VLOOKUP($B345,'Slutlig allokering kvv'!$B$2:$BX$550,MATCH(K$2,'Slutlig allokering kvv'!$B$1:$BX$1,0),FALSE)/1,0))</f>
        <v/>
      </c>
      <c r="L345" s="31" t="str">
        <f>IF($D345="","",IFERROR(VLOOKUP($B345,Kraftvärmeprod!$B$1:$BX$550,MATCH(L$2,Kraftvärmeprod!$B$1:$VX$1,0),FALSE)/1,0)-IFERROR(VLOOKUP($B345,'Slutlig allokering kvv'!$B$2:$BX$550,MATCH(L$2,'Slutlig allokering kvv'!$B$1:$BX$1,0),FALSE)/1,0))</f>
        <v/>
      </c>
      <c r="M345" s="31" t="str">
        <f>IF($D345="","",IFERROR(VLOOKUP($B345,Kraftvärmeprod!$B$1:$BX$550,MATCH(M$2,Kraftvärmeprod!$B$1:$VX$1,0),FALSE)/1,0)-IFERROR(VLOOKUP($B345,'Slutlig allokering kvv'!$B$2:$BX$550,MATCH(M$2,'Slutlig allokering kvv'!$B$1:$BX$1,0),FALSE)/1,0))</f>
        <v/>
      </c>
      <c r="N345" s="31" t="str">
        <f>IF($D345="","",IFERROR(VLOOKUP($B345,Kraftvärmeprod!$B$1:$BX$550,MATCH(N$2,Kraftvärmeprod!$B$1:$VX$1,0),FALSE)/1,0)-IFERROR(VLOOKUP($B345,'Slutlig allokering kvv'!$B$2:$BX$550,MATCH(N$2,'Slutlig allokering kvv'!$B$1:$BX$1,0),FALSE)/1,0))</f>
        <v/>
      </c>
      <c r="O345" s="31" t="str">
        <f>IF($D345="","",IFERROR(VLOOKUP($B345,Kraftvärmeprod!$B$1:$BX$550,MATCH(O$2,Kraftvärmeprod!$B$1:$VX$1,0),FALSE)/1,0)-IFERROR(VLOOKUP($B345,'Slutlig allokering kvv'!$B$2:$BX$550,MATCH(O$2,'Slutlig allokering kvv'!$B$1:$BX$1,0),FALSE)/1,0))</f>
        <v/>
      </c>
      <c r="P345" s="31" t="str">
        <f>IF($D345="","",IFERROR(VLOOKUP($B345,Kraftvärmeprod!$B$1:$BX$550,MATCH(P$2,Kraftvärmeprod!$B$1:$VX$1,0),FALSE)/1,0)-IFERROR(VLOOKUP($B345,'Slutlig allokering kvv'!$B$2:$BX$550,MATCH(P$2,'Slutlig allokering kvv'!$B$1:$BX$1,0),FALSE)/1,0))</f>
        <v/>
      </c>
      <c r="Q345" s="31" t="str">
        <f>IF($D345="","",IFERROR(VLOOKUP($B345,Kraftvärmeprod!$B$1:$BX$550,MATCH(Q$2,Kraftvärmeprod!$B$1:$VX$1,0),FALSE)/1,0)-IFERROR(VLOOKUP($B345,'Slutlig allokering kvv'!$B$2:$BX$550,MATCH(Q$2,'Slutlig allokering kvv'!$B$1:$BX$1,0),FALSE)/1,0))</f>
        <v/>
      </c>
      <c r="R345" s="31" t="str">
        <f>IF($D345="","",IFERROR(VLOOKUP($B345,Kraftvärmeprod!$B$1:$BX$550,MATCH(R$2,Kraftvärmeprod!$B$1:$VX$1,0),FALSE)/1,0)-IFERROR(VLOOKUP($B345,'Slutlig allokering kvv'!$B$2:$BX$550,MATCH(R$2,'Slutlig allokering kvv'!$B$1:$BX$1,0),FALSE)/1,0))</f>
        <v/>
      </c>
      <c r="S345" s="31" t="str">
        <f>IF($D345="","",IFERROR(VLOOKUP($B345,Kraftvärmeprod!$B$1:$BX$550,MATCH(S$2,Kraftvärmeprod!$B$1:$VX$1,0),FALSE)/1,0)-IFERROR(VLOOKUP($B345,'Slutlig allokering kvv'!$B$2:$BX$550,MATCH(S$2,'Slutlig allokering kvv'!$B$1:$BX$1,0),FALSE)/1,0))</f>
        <v/>
      </c>
      <c r="T345" s="31" t="str">
        <f>IF($D345="","",IFERROR(VLOOKUP($B345,Kraftvärmeprod!$B$1:$BX$550,MATCH(T$2,Kraftvärmeprod!$B$1:$VX$1,0),FALSE)/1,0)-IFERROR(VLOOKUP($B345,'Slutlig allokering kvv'!$B$2:$BX$550,MATCH(T$2,'Slutlig allokering kvv'!$B$1:$BX$1,0),FALSE)/1,0))</f>
        <v/>
      </c>
      <c r="U345" s="31" t="str">
        <f>IF($D345="","",IFERROR(VLOOKUP($B345,Kraftvärmeprod!$B$1:$BX$550,MATCH(U$2,Kraftvärmeprod!$B$1:$VX$1,0),FALSE)/1,0)-IFERROR(VLOOKUP($B345,'Slutlig allokering kvv'!$B$2:$BX$550,MATCH(U$2,'Slutlig allokering kvv'!$B$1:$BX$1,0),FALSE)/1,0))</f>
        <v/>
      </c>
      <c r="V345" s="31" t="str">
        <f>IF($D345="","",IFERROR(VLOOKUP($B345,Kraftvärmeprod!$B$1:$BX$550,MATCH(V$2,Kraftvärmeprod!$B$1:$VX$1,0),FALSE)/1,0)-IFERROR(VLOOKUP($B345,'Slutlig allokering kvv'!$B$2:$BX$550,MATCH(V$2,'Slutlig allokering kvv'!$B$1:$BX$1,0),FALSE)/1,0))</f>
        <v/>
      </c>
      <c r="W345" s="31" t="str">
        <f>IF($D345="","",IFERROR(VLOOKUP($B345,Kraftvärmeprod!$B$1:$BX$550,MATCH(W$2,Kraftvärmeprod!$B$1:$VX$1,0),FALSE)/1,0)-IFERROR(VLOOKUP($B345,'Slutlig allokering kvv'!$B$2:$BX$550,MATCH(W$2,'Slutlig allokering kvv'!$B$1:$BX$1,0),FALSE)/1,0))</f>
        <v/>
      </c>
      <c r="X345" s="31" t="str">
        <f>IF($D345="","",IFERROR(VLOOKUP($B345,Kraftvärmeprod!$B$1:$BX$550,MATCH(X$2,Kraftvärmeprod!$B$1:$VX$1,0),FALSE)/1,0)-IFERROR(VLOOKUP($B345,'Slutlig allokering kvv'!$B$2:$BX$550,MATCH(X$2,'Slutlig allokering kvv'!$B$1:$BX$1,0),FALSE)/1,0))</f>
        <v/>
      </c>
      <c r="Y345" s="31" t="str">
        <f>IF($D345="","",IFERROR(VLOOKUP($B345,Kraftvärmeprod!$B$1:$BX$550,MATCH(Y$2,Kraftvärmeprod!$B$1:$VX$1,0),FALSE)/1,0)-IFERROR(VLOOKUP($B345,'Slutlig allokering kvv'!$B$2:$BX$550,MATCH(Y$2,'Slutlig allokering kvv'!$B$1:$BX$1,0),FALSE)/1,0))</f>
        <v/>
      </c>
      <c r="Z345" s="31" t="str">
        <f>IF($D345="","",IFERROR(VLOOKUP($B345,Kraftvärmeprod!$B$1:$BX$550,MATCH(Z$2,Kraftvärmeprod!$B$1:$VX$1,0),FALSE)/1,0)-IFERROR(VLOOKUP($B345,'Slutlig allokering kvv'!$B$2:$BX$550,MATCH(Z$2,'Slutlig allokering kvv'!$B$1:$BX$1,0),FALSE)/1,0))</f>
        <v/>
      </c>
      <c r="AA345" s="31" t="str">
        <f>IF($D345="","",IFERROR(VLOOKUP($B345,Kraftvärmeprod!$B$1:$BX$550,MATCH(AA$2,Kraftvärmeprod!$B$1:$VX$1,0),FALSE)/1,0)-IFERROR(VLOOKUP($B345,'Slutlig allokering kvv'!$B$2:$BX$550,MATCH(AA$2,'Slutlig allokering kvv'!$B$1:$BX$1,0),FALSE)/1,0))</f>
        <v/>
      </c>
      <c r="AB345" s="31" t="str">
        <f>IF($D345="","",IFERROR(VLOOKUP($B345,Kraftvärmeprod!$B$1:$BX$550,MATCH(AB$2,Kraftvärmeprod!$B$1:$VX$1,0),FALSE)/1,0)-IFERROR(VLOOKUP($B345,'Slutlig allokering kvv'!$B$2:$BX$550,MATCH(AB$2,'Slutlig allokering kvv'!$B$1:$BX$1,0),FALSE)/1,0))</f>
        <v/>
      </c>
      <c r="AC345" s="31" t="str">
        <f>IF($D345="","",IFERROR(VLOOKUP($B345,Kraftvärmeprod!$B$1:$BX$550,MATCH(AC$2,Kraftvärmeprod!$B$1:$VX$1,0),FALSE)/1,0)-IFERROR(VLOOKUP($B345,'Slutlig allokering kvv'!$B$2:$BX$550,MATCH(AC$2,'Slutlig allokering kvv'!$B$1:$BX$1,0),FALSE)/1,0))</f>
        <v/>
      </c>
      <c r="AD345" s="31" t="str">
        <f>IF($D345="","",IFERROR(VLOOKUP($B345,Kraftvärmeprod!$B$1:$BX$550,MATCH(AD$2,Kraftvärmeprod!$B$1:$VX$1,0),FALSE)/1,0)-IFERROR(VLOOKUP($B345,'Slutlig allokering kvv'!$B$2:$BX$550,MATCH(AD$2,'Slutlig allokering kvv'!$B$1:$BX$1,0),FALSE)/1,0))</f>
        <v/>
      </c>
      <c r="AE345" s="31" t="str">
        <f>IF($D345="","",IFERROR(VLOOKUP($B345,Miljö!$B$1:$E$550,MATCH("Hjälpel kraftvärme (GWh)",Miljö!$B$1:$E$1,0),FALSE)/1,0)-IFERROR(VLOOKUP($B345,'Slutlig allokering kvv'!$B$2:$BX$549,MATCH(AE$2,'Slutlig allokering kvv'!$B$1:$BX$1,0),FALSE)/1,0))</f>
        <v/>
      </c>
      <c r="AI345" s="39">
        <f t="shared" si="20"/>
        <v>0</v>
      </c>
      <c r="AK345" s="31">
        <f>IFERROR(VLOOKUP($B345,'Slutlig allokering kvv'!$B$2:$AX$549,MATCH("Summa slutlig allokerad tillförd energi (utan hjälpel och rökgaskondensering):",'Slutlig allokering kvv'!$B$1:$AX$1,0),FALSE)/1,"")</f>
        <v>0</v>
      </c>
      <c r="AM345" s="31" t="str">
        <f>IFERROR(1-VLOOKUP($B345,'Slutlig allokering kvv'!$B$2:$AX$549,MATCH("Andel av bränsle i kvv som allokerats till värme, exklusive rökgaskondensering och hjälpel",'Slutlig allokering kvv'!$B$1:$AX$1,0),FALSE),"")</f>
        <v/>
      </c>
      <c r="AO345" s="31" t="str">
        <f t="shared" si="21"/>
        <v/>
      </c>
      <c r="AP345" s="31" t="str">
        <f t="shared" si="22"/>
        <v/>
      </c>
      <c r="AR345" s="32" t="str">
        <f t="shared" si="23"/>
        <v/>
      </c>
    </row>
    <row r="346" spans="1:44" s="31" customFormat="1" x14ac:dyDescent="0.45">
      <c r="A346" s="31" t="s">
        <v>187</v>
      </c>
      <c r="B346" s="31" t="s">
        <v>186</v>
      </c>
      <c r="C346" s="31">
        <f>IFERROR(VLOOKUP($B346,Kraftvärmeprod!$B$1:$AH$479,MATCH(C$2,Kraftvärmeprod!$B$1:$AG$1,0),FALSE)/1,"")</f>
        <v>95.174000000000007</v>
      </c>
      <c r="D346" s="31">
        <f>IFERROR(VLOOKUP($B346,Kraftvärmeprod!$B$1:$AH$479,MATCH(D$2,Kraftvärmeprod!$B$1:$AG$1,0),FALSE)/1,"")</f>
        <v>19.559000000000001</v>
      </c>
      <c r="F346" s="31">
        <f>IF($D346="","",IFERROR(VLOOKUP($B346,Kraftvärmeprod!$B$1:$BX$550,MATCH(F$2,Kraftvärmeprod!$B$1:$VX$1,0),FALSE)/1,0)-IFERROR(VLOOKUP($B346,'Slutlig allokering kvv'!$B$2:$BX$550,MATCH(F$2,'Slutlig allokering kvv'!$B$1:$BX$1,0),FALSE)/1,0))</f>
        <v>0</v>
      </c>
      <c r="G346" s="31">
        <f>IF($D346="","",IFERROR(VLOOKUP($B346,Kraftvärmeprod!$B$1:$BX$550,MATCH(G$2,Kraftvärmeprod!$B$1:$VX$1,0),FALSE)/1,0)-IFERROR(VLOOKUP($B346,'Slutlig allokering kvv'!$B$2:$BX$550,MATCH(G$2,'Slutlig allokering kvv'!$B$1:$BX$1,0),FALSE)/1,0))</f>
        <v>0</v>
      </c>
      <c r="H346" s="31">
        <f>IF($D346="","",IFERROR(VLOOKUP($B346,Kraftvärmeprod!$B$1:$BX$550,MATCH(H$2,Kraftvärmeprod!$B$1:$VX$1,0),FALSE)/1,0)-IFERROR(VLOOKUP($B346,'Slutlig allokering kvv'!$B$2:$BX$550,MATCH(H$2,'Slutlig allokering kvv'!$B$1:$BX$1,0),FALSE)/1,0))</f>
        <v>0</v>
      </c>
      <c r="I346" s="31">
        <f>IF($D346="","",IFERROR(VLOOKUP($B346,Kraftvärmeprod!$B$1:$BX$550,MATCH(I$2,Kraftvärmeprod!$B$1:$VX$1,0),FALSE)/1,0)-IFERROR(VLOOKUP($B346,'Slutlig allokering kvv'!$B$2:$BX$550,MATCH(I$2,'Slutlig allokering kvv'!$B$1:$BX$1,0),FALSE)/1,0))</f>
        <v>0</v>
      </c>
      <c r="J346" s="31">
        <f>IF($D346="","",IFERROR(VLOOKUP($B346,Kraftvärmeprod!$B$1:$BX$550,MATCH(J$2,Kraftvärmeprod!$B$1:$VX$1,0),FALSE)/1,0)-IFERROR(VLOOKUP($B346,'Slutlig allokering kvv'!$B$2:$BX$550,MATCH(J$2,'Slutlig allokering kvv'!$B$1:$BX$1,0),FALSE)/1,0))</f>
        <v>0</v>
      </c>
      <c r="K346" s="31">
        <f>IF($D346="","",IFERROR(VLOOKUP($B346,Kraftvärmeprod!$B$1:$BX$550,MATCH(K$2,Kraftvärmeprod!$B$1:$VX$1,0),FALSE)/1,0)-IFERROR(VLOOKUP($B346,'Slutlig allokering kvv'!$B$2:$BX$550,MATCH(K$2,'Slutlig allokering kvv'!$B$1:$BX$1,0),FALSE)/1,0))</f>
        <v>0</v>
      </c>
      <c r="L346" s="31">
        <f>IF($D346="","",IFERROR(VLOOKUP($B346,Kraftvärmeprod!$B$1:$BX$550,MATCH(L$2,Kraftvärmeprod!$B$1:$VX$1,0),FALSE)/1,0)-IFERROR(VLOOKUP($B346,'Slutlig allokering kvv'!$B$2:$BX$550,MATCH(L$2,'Slutlig allokering kvv'!$B$1:$BX$1,0),FALSE)/1,0))</f>
        <v>0</v>
      </c>
      <c r="M346" s="31">
        <f>IF($D346="","",IFERROR(VLOOKUP($B346,Kraftvärmeprod!$B$1:$BX$550,MATCH(M$2,Kraftvärmeprod!$B$1:$VX$1,0),FALSE)/1,0)-IFERROR(VLOOKUP($B346,'Slutlig allokering kvv'!$B$2:$BX$550,MATCH(M$2,'Slutlig allokering kvv'!$B$1:$BX$1,0),FALSE)/1,0))</f>
        <v>0</v>
      </c>
      <c r="N346" s="31">
        <f>IF($D346="","",IFERROR(VLOOKUP($B346,Kraftvärmeprod!$B$1:$BX$550,MATCH(N$2,Kraftvärmeprod!$B$1:$VX$1,0),FALSE)/1,0)-IFERROR(VLOOKUP($B346,'Slutlig allokering kvv'!$B$2:$BX$550,MATCH(N$2,'Slutlig allokering kvv'!$B$1:$BX$1,0),FALSE)/1,0))</f>
        <v>0</v>
      </c>
      <c r="O346" s="31">
        <f>IF($D346="","",IFERROR(VLOOKUP($B346,Kraftvärmeprod!$B$1:$BX$550,MATCH(O$2,Kraftvärmeprod!$B$1:$VX$1,0),FALSE)/1,0)-IFERROR(VLOOKUP($B346,'Slutlig allokering kvv'!$B$2:$BX$550,MATCH(O$2,'Slutlig allokering kvv'!$B$1:$BX$1,0),FALSE)/1,0))</f>
        <v>0</v>
      </c>
      <c r="P346" s="31">
        <f>IF($D346="","",IFERROR(VLOOKUP($B346,Kraftvärmeprod!$B$1:$BX$550,MATCH(P$2,Kraftvärmeprod!$B$1:$VX$1,0),FALSE)/1,0)-IFERROR(VLOOKUP($B346,'Slutlig allokering kvv'!$B$2:$BX$550,MATCH(P$2,'Slutlig allokering kvv'!$B$1:$BX$1,0),FALSE)/1,0))</f>
        <v>0</v>
      </c>
      <c r="Q346" s="31">
        <f>IF($D346="","",IFERROR(VLOOKUP($B346,Kraftvärmeprod!$B$1:$BX$550,MATCH(Q$2,Kraftvärmeprod!$B$1:$VX$1,0),FALSE)/1,0)-IFERROR(VLOOKUP($B346,'Slutlig allokering kvv'!$B$2:$BX$550,MATCH(Q$2,'Slutlig allokering kvv'!$B$1:$BX$1,0),FALSE)/1,0))</f>
        <v>0</v>
      </c>
      <c r="R346" s="31">
        <f>IF($D346="","",IFERROR(VLOOKUP($B346,Kraftvärmeprod!$B$1:$BX$550,MATCH(R$2,Kraftvärmeprod!$B$1:$VX$1,0),FALSE)/1,0)-IFERROR(VLOOKUP($B346,'Slutlig allokering kvv'!$B$2:$BX$550,MATCH(R$2,'Slutlig allokering kvv'!$B$1:$BX$1,0),FALSE)/1,0))</f>
        <v>0</v>
      </c>
      <c r="S346" s="31">
        <f>IF($D346="","",IFERROR(VLOOKUP($B346,Kraftvärmeprod!$B$1:$BX$550,MATCH(S$2,Kraftvärmeprod!$B$1:$VX$1,0),FALSE)/1,0)-IFERROR(VLOOKUP($B346,'Slutlig allokering kvv'!$B$2:$BX$550,MATCH(S$2,'Slutlig allokering kvv'!$B$1:$BX$1,0),FALSE)/1,0))</f>
        <v>0</v>
      </c>
      <c r="T346" s="31">
        <f>IF($D346="","",IFERROR(VLOOKUP($B346,Kraftvärmeprod!$B$1:$BX$550,MATCH(T$2,Kraftvärmeprod!$B$1:$VX$1,0),FALSE)/1,0)-IFERROR(VLOOKUP($B346,'Slutlig allokering kvv'!$B$2:$BX$550,MATCH(T$2,'Slutlig allokering kvv'!$B$1:$BX$1,0),FALSE)/1,0))</f>
        <v>0</v>
      </c>
      <c r="U346" s="31">
        <f>IF($D346="","",IFERROR(VLOOKUP($B346,Kraftvärmeprod!$B$1:$BX$550,MATCH(U$2,Kraftvärmeprod!$B$1:$VX$1,0),FALSE)/1,0)-IFERROR(VLOOKUP($B346,'Slutlig allokering kvv'!$B$2:$BX$550,MATCH(U$2,'Slutlig allokering kvv'!$B$1:$BX$1,0),FALSE)/1,0))</f>
        <v>0</v>
      </c>
      <c r="V346" s="31">
        <f>IF($D346="","",IFERROR(VLOOKUP($B346,Kraftvärmeprod!$B$1:$BX$550,MATCH(V$2,Kraftvärmeprod!$B$1:$VX$1,0),FALSE)/1,0)-IFERROR(VLOOKUP($B346,'Slutlig allokering kvv'!$B$2:$BX$550,MATCH(V$2,'Slutlig allokering kvv'!$B$1:$BX$1,0),FALSE)/1,0))</f>
        <v>0</v>
      </c>
      <c r="W346" s="31">
        <f>IF($D346="","",IFERROR(VLOOKUP($B346,Kraftvärmeprod!$B$1:$BX$550,MATCH(W$2,Kraftvärmeprod!$B$1:$VX$1,0),FALSE)/1,0)-IFERROR(VLOOKUP($B346,'Slutlig allokering kvv'!$B$2:$BX$550,MATCH(W$2,'Slutlig allokering kvv'!$B$1:$BX$1,0),FALSE)/1,0))</f>
        <v>0</v>
      </c>
      <c r="X346" s="31">
        <f>IF($D346="","",IFERROR(VLOOKUP($B346,Kraftvärmeprod!$B$1:$BX$550,MATCH(X$2,Kraftvärmeprod!$B$1:$VX$1,0),FALSE)/1,0)-IFERROR(VLOOKUP($B346,'Slutlig allokering kvv'!$B$2:$BX$550,MATCH(X$2,'Slutlig allokering kvv'!$B$1:$BX$1,0),FALSE)/1,0))</f>
        <v>0</v>
      </c>
      <c r="Y346" s="31">
        <f>IF($D346="","",IFERROR(VLOOKUP($B346,Kraftvärmeprod!$B$1:$BX$550,MATCH(Y$2,Kraftvärmeprod!$B$1:$VX$1,0),FALSE)/1,0)-IFERROR(VLOOKUP($B346,'Slutlig allokering kvv'!$B$2:$BX$550,MATCH(Y$2,'Slutlig allokering kvv'!$B$1:$BX$1,0),FALSE)/1,0))</f>
        <v>0</v>
      </c>
      <c r="Z346" s="31">
        <f>IF($D346="","",IFERROR(VLOOKUP($B346,Kraftvärmeprod!$B$1:$BX$550,MATCH(Z$2,Kraftvärmeprod!$B$1:$VX$1,0),FALSE)/1,0)-IFERROR(VLOOKUP($B346,'Slutlig allokering kvv'!$B$2:$BX$550,MATCH(Z$2,'Slutlig allokering kvv'!$B$1:$BX$1,0),FALSE)/1,0))</f>
        <v>0</v>
      </c>
      <c r="AA346" s="31">
        <f>IF($D346="","",IFERROR(VLOOKUP($B346,Kraftvärmeprod!$B$1:$BX$550,MATCH(AA$2,Kraftvärmeprod!$B$1:$VX$1,0),FALSE)/1,0)-IFERROR(VLOOKUP($B346,'Slutlig allokering kvv'!$B$2:$BX$550,MATCH(AA$2,'Slutlig allokering kvv'!$B$1:$BX$1,0),FALSE)/1,0))</f>
        <v>47.592200000000005</v>
      </c>
      <c r="AB346" s="31">
        <f>IF($D346="","",IFERROR(VLOOKUP($B346,Kraftvärmeprod!$B$1:$BX$550,MATCH(AB$2,Kraftvärmeprod!$B$1:$VX$1,0),FALSE)/1,0)-IFERROR(VLOOKUP($B346,'Slutlig allokering kvv'!$B$2:$BX$550,MATCH(AB$2,'Slutlig allokering kvv'!$B$1:$BX$1,0),FALSE)/1,0))</f>
        <v>0</v>
      </c>
      <c r="AC346" s="31">
        <f>IF($D346="","",IFERROR(VLOOKUP($B346,Kraftvärmeprod!$B$1:$BX$550,MATCH(AC$2,Kraftvärmeprod!$B$1:$VX$1,0),FALSE)/1,0)-IFERROR(VLOOKUP($B346,'Slutlig allokering kvv'!$B$2:$BX$550,MATCH(AC$2,'Slutlig allokering kvv'!$B$1:$BX$1,0),FALSE)/1,0))</f>
        <v>0</v>
      </c>
      <c r="AD346" s="31">
        <f>IF($D346="","",IFERROR(VLOOKUP($B346,Kraftvärmeprod!$B$1:$BX$550,MATCH(AD$2,Kraftvärmeprod!$B$1:$VX$1,0),FALSE)/1,0)-IFERROR(VLOOKUP($B346,'Slutlig allokering kvv'!$B$2:$BX$550,MATCH(AD$2,'Slutlig allokering kvv'!$B$1:$BX$1,0),FALSE)/1,0))</f>
        <v>0</v>
      </c>
      <c r="AE346" s="31">
        <f>IF($D346="","",IFERROR(VLOOKUP($B346,Miljö!$B$1:$E$550,MATCH("Hjälpel kraftvärme (GWh)",Miljö!$B$1:$E$1,0),FALSE)/1,0)-IFERROR(VLOOKUP($B346,'Slutlig allokering kvv'!$B$2:$BX$549,MATCH(AE$2,'Slutlig allokering kvv'!$B$1:$BX$1,0),FALSE)/1,0))</f>
        <v>2.7056800000000001</v>
      </c>
      <c r="AI346" s="39">
        <f t="shared" si="20"/>
        <v>47.592200000000005</v>
      </c>
      <c r="AK346" s="31">
        <f>IFERROR(VLOOKUP($B346,'Slutlig allokering kvv'!$B$2:$AX$549,MATCH("Summa slutlig allokerad tillförd energi (utan hjälpel och rökgaskondensering):",'Slutlig allokering kvv'!$B$1:$AX$1,0),FALSE)/1,"")</f>
        <v>72.369799999999998</v>
      </c>
      <c r="AM346" s="31">
        <f>IFERROR(1-VLOOKUP($B346,'Slutlig allokering kvv'!$B$2:$AX$549,MATCH("Andel av bränsle i kvv som allokerats till värme, exklusive rökgaskondensering och hjälpel",'Slutlig allokering kvv'!$B$1:$AX$1,0),FALSE),"")</f>
        <v>0.39672729697737619</v>
      </c>
      <c r="AO346" s="31">
        <f t="shared" si="21"/>
        <v>0.39672729697737619</v>
      </c>
      <c r="AP346" s="31">
        <f t="shared" si="22"/>
        <v>0</v>
      </c>
      <c r="AR346" s="32">
        <f t="shared" si="23"/>
        <v>0.38886330795651824</v>
      </c>
    </row>
    <row r="347" spans="1:44" s="31" customFormat="1" x14ac:dyDescent="0.45">
      <c r="A347" s="31" t="s">
        <v>182</v>
      </c>
      <c r="B347" s="31" t="s">
        <v>185</v>
      </c>
      <c r="C347" s="31" t="str">
        <f>IFERROR(VLOOKUP($B347,Kraftvärmeprod!$B$1:$AH$479,MATCH(C$2,Kraftvärmeprod!$B$1:$AG$1,0),FALSE)/1,"")</f>
        <v/>
      </c>
      <c r="D347" s="31" t="str">
        <f>IFERROR(VLOOKUP($B347,Kraftvärmeprod!$B$1:$AH$479,MATCH(D$2,Kraftvärmeprod!$B$1:$AG$1,0),FALSE)/1,"")</f>
        <v/>
      </c>
      <c r="F347" s="31" t="str">
        <f>IF($D347="","",IFERROR(VLOOKUP($B347,Kraftvärmeprod!$B$1:$BX$550,MATCH(F$2,Kraftvärmeprod!$B$1:$VX$1,0),FALSE)/1,0)-IFERROR(VLOOKUP($B347,'Slutlig allokering kvv'!$B$2:$BX$550,MATCH(F$2,'Slutlig allokering kvv'!$B$1:$BX$1,0),FALSE)/1,0))</f>
        <v/>
      </c>
      <c r="G347" s="31" t="str">
        <f>IF($D347="","",IFERROR(VLOOKUP($B347,Kraftvärmeprod!$B$1:$BX$550,MATCH(G$2,Kraftvärmeprod!$B$1:$VX$1,0),FALSE)/1,0)-IFERROR(VLOOKUP($B347,'Slutlig allokering kvv'!$B$2:$BX$550,MATCH(G$2,'Slutlig allokering kvv'!$B$1:$BX$1,0),FALSE)/1,0))</f>
        <v/>
      </c>
      <c r="H347" s="31" t="str">
        <f>IF($D347="","",IFERROR(VLOOKUP($B347,Kraftvärmeprod!$B$1:$BX$550,MATCH(H$2,Kraftvärmeprod!$B$1:$VX$1,0),FALSE)/1,0)-IFERROR(VLOOKUP($B347,'Slutlig allokering kvv'!$B$2:$BX$550,MATCH(H$2,'Slutlig allokering kvv'!$B$1:$BX$1,0),FALSE)/1,0))</f>
        <v/>
      </c>
      <c r="I347" s="31" t="str">
        <f>IF($D347="","",IFERROR(VLOOKUP($B347,Kraftvärmeprod!$B$1:$BX$550,MATCH(I$2,Kraftvärmeprod!$B$1:$VX$1,0),FALSE)/1,0)-IFERROR(VLOOKUP($B347,'Slutlig allokering kvv'!$B$2:$BX$550,MATCH(I$2,'Slutlig allokering kvv'!$B$1:$BX$1,0),FALSE)/1,0))</f>
        <v/>
      </c>
      <c r="J347" s="31" t="str">
        <f>IF($D347="","",IFERROR(VLOOKUP($B347,Kraftvärmeprod!$B$1:$BX$550,MATCH(J$2,Kraftvärmeprod!$B$1:$VX$1,0),FALSE)/1,0)-IFERROR(VLOOKUP($B347,'Slutlig allokering kvv'!$B$2:$BX$550,MATCH(J$2,'Slutlig allokering kvv'!$B$1:$BX$1,0),FALSE)/1,0))</f>
        <v/>
      </c>
      <c r="K347" s="31" t="str">
        <f>IF($D347="","",IFERROR(VLOOKUP($B347,Kraftvärmeprod!$B$1:$BX$550,MATCH(K$2,Kraftvärmeprod!$B$1:$VX$1,0),FALSE)/1,0)-IFERROR(VLOOKUP($B347,'Slutlig allokering kvv'!$B$2:$BX$550,MATCH(K$2,'Slutlig allokering kvv'!$B$1:$BX$1,0),FALSE)/1,0))</f>
        <v/>
      </c>
      <c r="L347" s="31" t="str">
        <f>IF($D347="","",IFERROR(VLOOKUP($B347,Kraftvärmeprod!$B$1:$BX$550,MATCH(L$2,Kraftvärmeprod!$B$1:$VX$1,0),FALSE)/1,0)-IFERROR(VLOOKUP($B347,'Slutlig allokering kvv'!$B$2:$BX$550,MATCH(L$2,'Slutlig allokering kvv'!$B$1:$BX$1,0),FALSE)/1,0))</f>
        <v/>
      </c>
      <c r="M347" s="31" t="str">
        <f>IF($D347="","",IFERROR(VLOOKUP($B347,Kraftvärmeprod!$B$1:$BX$550,MATCH(M$2,Kraftvärmeprod!$B$1:$VX$1,0),FALSE)/1,0)-IFERROR(VLOOKUP($B347,'Slutlig allokering kvv'!$B$2:$BX$550,MATCH(M$2,'Slutlig allokering kvv'!$B$1:$BX$1,0),FALSE)/1,0))</f>
        <v/>
      </c>
      <c r="N347" s="31" t="str">
        <f>IF($D347="","",IFERROR(VLOOKUP($B347,Kraftvärmeprod!$B$1:$BX$550,MATCH(N$2,Kraftvärmeprod!$B$1:$VX$1,0),FALSE)/1,0)-IFERROR(VLOOKUP($B347,'Slutlig allokering kvv'!$B$2:$BX$550,MATCH(N$2,'Slutlig allokering kvv'!$B$1:$BX$1,0),FALSE)/1,0))</f>
        <v/>
      </c>
      <c r="O347" s="31" t="str">
        <f>IF($D347="","",IFERROR(VLOOKUP($B347,Kraftvärmeprod!$B$1:$BX$550,MATCH(O$2,Kraftvärmeprod!$B$1:$VX$1,0),FALSE)/1,0)-IFERROR(VLOOKUP($B347,'Slutlig allokering kvv'!$B$2:$BX$550,MATCH(O$2,'Slutlig allokering kvv'!$B$1:$BX$1,0),FALSE)/1,0))</f>
        <v/>
      </c>
      <c r="P347" s="31" t="str">
        <f>IF($D347="","",IFERROR(VLOOKUP($B347,Kraftvärmeprod!$B$1:$BX$550,MATCH(P$2,Kraftvärmeprod!$B$1:$VX$1,0),FALSE)/1,0)-IFERROR(VLOOKUP($B347,'Slutlig allokering kvv'!$B$2:$BX$550,MATCH(P$2,'Slutlig allokering kvv'!$B$1:$BX$1,0),FALSE)/1,0))</f>
        <v/>
      </c>
      <c r="Q347" s="31" t="str">
        <f>IF($D347="","",IFERROR(VLOOKUP($B347,Kraftvärmeprod!$B$1:$BX$550,MATCH(Q$2,Kraftvärmeprod!$B$1:$VX$1,0),FALSE)/1,0)-IFERROR(VLOOKUP($B347,'Slutlig allokering kvv'!$B$2:$BX$550,MATCH(Q$2,'Slutlig allokering kvv'!$B$1:$BX$1,0),FALSE)/1,0))</f>
        <v/>
      </c>
      <c r="R347" s="31" t="str">
        <f>IF($D347="","",IFERROR(VLOOKUP($B347,Kraftvärmeprod!$B$1:$BX$550,MATCH(R$2,Kraftvärmeprod!$B$1:$VX$1,0),FALSE)/1,0)-IFERROR(VLOOKUP($B347,'Slutlig allokering kvv'!$B$2:$BX$550,MATCH(R$2,'Slutlig allokering kvv'!$B$1:$BX$1,0),FALSE)/1,0))</f>
        <v/>
      </c>
      <c r="S347" s="31" t="str">
        <f>IF($D347="","",IFERROR(VLOOKUP($B347,Kraftvärmeprod!$B$1:$BX$550,MATCH(S$2,Kraftvärmeprod!$B$1:$VX$1,0),FALSE)/1,0)-IFERROR(VLOOKUP($B347,'Slutlig allokering kvv'!$B$2:$BX$550,MATCH(S$2,'Slutlig allokering kvv'!$B$1:$BX$1,0),FALSE)/1,0))</f>
        <v/>
      </c>
      <c r="T347" s="31" t="str">
        <f>IF($D347="","",IFERROR(VLOOKUP($B347,Kraftvärmeprod!$B$1:$BX$550,MATCH(T$2,Kraftvärmeprod!$B$1:$VX$1,0),FALSE)/1,0)-IFERROR(VLOOKUP($B347,'Slutlig allokering kvv'!$B$2:$BX$550,MATCH(T$2,'Slutlig allokering kvv'!$B$1:$BX$1,0),FALSE)/1,0))</f>
        <v/>
      </c>
      <c r="U347" s="31" t="str">
        <f>IF($D347="","",IFERROR(VLOOKUP($B347,Kraftvärmeprod!$B$1:$BX$550,MATCH(U$2,Kraftvärmeprod!$B$1:$VX$1,0),FALSE)/1,0)-IFERROR(VLOOKUP($B347,'Slutlig allokering kvv'!$B$2:$BX$550,MATCH(U$2,'Slutlig allokering kvv'!$B$1:$BX$1,0),FALSE)/1,0))</f>
        <v/>
      </c>
      <c r="V347" s="31" t="str">
        <f>IF($D347="","",IFERROR(VLOOKUP($B347,Kraftvärmeprod!$B$1:$BX$550,MATCH(V$2,Kraftvärmeprod!$B$1:$VX$1,0),FALSE)/1,0)-IFERROR(VLOOKUP($B347,'Slutlig allokering kvv'!$B$2:$BX$550,MATCH(V$2,'Slutlig allokering kvv'!$B$1:$BX$1,0),FALSE)/1,0))</f>
        <v/>
      </c>
      <c r="W347" s="31" t="str">
        <f>IF($D347="","",IFERROR(VLOOKUP($B347,Kraftvärmeprod!$B$1:$BX$550,MATCH(W$2,Kraftvärmeprod!$B$1:$VX$1,0),FALSE)/1,0)-IFERROR(VLOOKUP($B347,'Slutlig allokering kvv'!$B$2:$BX$550,MATCH(W$2,'Slutlig allokering kvv'!$B$1:$BX$1,0),FALSE)/1,0))</f>
        <v/>
      </c>
      <c r="X347" s="31" t="str">
        <f>IF($D347="","",IFERROR(VLOOKUP($B347,Kraftvärmeprod!$B$1:$BX$550,MATCH(X$2,Kraftvärmeprod!$B$1:$VX$1,0),FALSE)/1,0)-IFERROR(VLOOKUP($B347,'Slutlig allokering kvv'!$B$2:$BX$550,MATCH(X$2,'Slutlig allokering kvv'!$B$1:$BX$1,0),FALSE)/1,0))</f>
        <v/>
      </c>
      <c r="Y347" s="31" t="str">
        <f>IF($D347="","",IFERROR(VLOOKUP($B347,Kraftvärmeprod!$B$1:$BX$550,MATCH(Y$2,Kraftvärmeprod!$B$1:$VX$1,0),FALSE)/1,0)-IFERROR(VLOOKUP($B347,'Slutlig allokering kvv'!$B$2:$BX$550,MATCH(Y$2,'Slutlig allokering kvv'!$B$1:$BX$1,0),FALSE)/1,0))</f>
        <v/>
      </c>
      <c r="Z347" s="31" t="str">
        <f>IF($D347="","",IFERROR(VLOOKUP($B347,Kraftvärmeprod!$B$1:$BX$550,MATCH(Z$2,Kraftvärmeprod!$B$1:$VX$1,0),FALSE)/1,0)-IFERROR(VLOOKUP($B347,'Slutlig allokering kvv'!$B$2:$BX$550,MATCH(Z$2,'Slutlig allokering kvv'!$B$1:$BX$1,0),FALSE)/1,0))</f>
        <v/>
      </c>
      <c r="AA347" s="31" t="str">
        <f>IF($D347="","",IFERROR(VLOOKUP($B347,Kraftvärmeprod!$B$1:$BX$550,MATCH(AA$2,Kraftvärmeprod!$B$1:$VX$1,0),FALSE)/1,0)-IFERROR(VLOOKUP($B347,'Slutlig allokering kvv'!$B$2:$BX$550,MATCH(AA$2,'Slutlig allokering kvv'!$B$1:$BX$1,0),FALSE)/1,0))</f>
        <v/>
      </c>
      <c r="AB347" s="31" t="str">
        <f>IF($D347="","",IFERROR(VLOOKUP($B347,Kraftvärmeprod!$B$1:$BX$550,MATCH(AB$2,Kraftvärmeprod!$B$1:$VX$1,0),FALSE)/1,0)-IFERROR(VLOOKUP($B347,'Slutlig allokering kvv'!$B$2:$BX$550,MATCH(AB$2,'Slutlig allokering kvv'!$B$1:$BX$1,0),FALSE)/1,0))</f>
        <v/>
      </c>
      <c r="AC347" s="31" t="str">
        <f>IF($D347="","",IFERROR(VLOOKUP($B347,Kraftvärmeprod!$B$1:$BX$550,MATCH(AC$2,Kraftvärmeprod!$B$1:$VX$1,0),FALSE)/1,0)-IFERROR(VLOOKUP($B347,'Slutlig allokering kvv'!$B$2:$BX$550,MATCH(AC$2,'Slutlig allokering kvv'!$B$1:$BX$1,0),FALSE)/1,0))</f>
        <v/>
      </c>
      <c r="AD347" s="31" t="str">
        <f>IF($D347="","",IFERROR(VLOOKUP($B347,Kraftvärmeprod!$B$1:$BX$550,MATCH(AD$2,Kraftvärmeprod!$B$1:$VX$1,0),FALSE)/1,0)-IFERROR(VLOOKUP($B347,'Slutlig allokering kvv'!$B$2:$BX$550,MATCH(AD$2,'Slutlig allokering kvv'!$B$1:$BX$1,0),FALSE)/1,0))</f>
        <v/>
      </c>
      <c r="AE347" s="31" t="str">
        <f>IF($D347="","",IFERROR(VLOOKUP($B347,Miljö!$B$1:$E$550,MATCH("Hjälpel kraftvärme (GWh)",Miljö!$B$1:$E$1,0),FALSE)/1,0)-IFERROR(VLOOKUP($B347,'Slutlig allokering kvv'!$B$2:$BX$549,MATCH(AE$2,'Slutlig allokering kvv'!$B$1:$BX$1,0),FALSE)/1,0))</f>
        <v/>
      </c>
      <c r="AI347" s="39">
        <f t="shared" si="20"/>
        <v>0</v>
      </c>
      <c r="AK347" s="31">
        <f>IFERROR(VLOOKUP($B347,'Slutlig allokering kvv'!$B$2:$AX$549,MATCH("Summa slutlig allokerad tillförd energi (utan hjälpel och rökgaskondensering):",'Slutlig allokering kvv'!$B$1:$AX$1,0),FALSE)/1,"")</f>
        <v>0</v>
      </c>
      <c r="AM347" s="31" t="str">
        <f>IFERROR(1-VLOOKUP($B347,'Slutlig allokering kvv'!$B$2:$AX$549,MATCH("Andel av bränsle i kvv som allokerats till värme, exklusive rökgaskondensering och hjälpel",'Slutlig allokering kvv'!$B$1:$AX$1,0),FALSE),"")</f>
        <v/>
      </c>
      <c r="AO347" s="31" t="str">
        <f t="shared" si="21"/>
        <v/>
      </c>
      <c r="AP347" s="31" t="str">
        <f t="shared" si="22"/>
        <v/>
      </c>
      <c r="AR347" s="32" t="str">
        <f t="shared" si="23"/>
        <v/>
      </c>
    </row>
    <row r="348" spans="1:44" s="31" customFormat="1" x14ac:dyDescent="0.45">
      <c r="A348" s="31" t="s">
        <v>175</v>
      </c>
      <c r="B348" s="31" t="s">
        <v>180</v>
      </c>
      <c r="C348" s="31" t="str">
        <f>IFERROR(VLOOKUP($B348,Kraftvärmeprod!$B$1:$AH$479,MATCH(C$2,Kraftvärmeprod!$B$1:$AG$1,0),FALSE)/1,"")</f>
        <v/>
      </c>
      <c r="D348" s="31" t="str">
        <f>IFERROR(VLOOKUP($B348,Kraftvärmeprod!$B$1:$AH$479,MATCH(D$2,Kraftvärmeprod!$B$1:$AG$1,0),FALSE)/1,"")</f>
        <v/>
      </c>
      <c r="F348" s="31" t="str">
        <f>IF($D348="","",IFERROR(VLOOKUP($B348,Kraftvärmeprod!$B$1:$BX$550,MATCH(F$2,Kraftvärmeprod!$B$1:$VX$1,0),FALSE)/1,0)-IFERROR(VLOOKUP($B348,'Slutlig allokering kvv'!$B$2:$BX$550,MATCH(F$2,'Slutlig allokering kvv'!$B$1:$BX$1,0),FALSE)/1,0))</f>
        <v/>
      </c>
      <c r="G348" s="31" t="str">
        <f>IF($D348="","",IFERROR(VLOOKUP($B348,Kraftvärmeprod!$B$1:$BX$550,MATCH(G$2,Kraftvärmeprod!$B$1:$VX$1,0),FALSE)/1,0)-IFERROR(VLOOKUP($B348,'Slutlig allokering kvv'!$B$2:$BX$550,MATCH(G$2,'Slutlig allokering kvv'!$B$1:$BX$1,0),FALSE)/1,0))</f>
        <v/>
      </c>
      <c r="H348" s="31" t="str">
        <f>IF($D348="","",IFERROR(VLOOKUP($B348,Kraftvärmeprod!$B$1:$BX$550,MATCH(H$2,Kraftvärmeprod!$B$1:$VX$1,0),FALSE)/1,0)-IFERROR(VLOOKUP($B348,'Slutlig allokering kvv'!$B$2:$BX$550,MATCH(H$2,'Slutlig allokering kvv'!$B$1:$BX$1,0),FALSE)/1,0))</f>
        <v/>
      </c>
      <c r="I348" s="31" t="str">
        <f>IF($D348="","",IFERROR(VLOOKUP($B348,Kraftvärmeprod!$B$1:$BX$550,MATCH(I$2,Kraftvärmeprod!$B$1:$VX$1,0),FALSE)/1,0)-IFERROR(VLOOKUP($B348,'Slutlig allokering kvv'!$B$2:$BX$550,MATCH(I$2,'Slutlig allokering kvv'!$B$1:$BX$1,0),FALSE)/1,0))</f>
        <v/>
      </c>
      <c r="J348" s="31" t="str">
        <f>IF($D348="","",IFERROR(VLOOKUP($B348,Kraftvärmeprod!$B$1:$BX$550,MATCH(J$2,Kraftvärmeprod!$B$1:$VX$1,0),FALSE)/1,0)-IFERROR(VLOOKUP($B348,'Slutlig allokering kvv'!$B$2:$BX$550,MATCH(J$2,'Slutlig allokering kvv'!$B$1:$BX$1,0),FALSE)/1,0))</f>
        <v/>
      </c>
      <c r="K348" s="31" t="str">
        <f>IF($D348="","",IFERROR(VLOOKUP($B348,Kraftvärmeprod!$B$1:$BX$550,MATCH(K$2,Kraftvärmeprod!$B$1:$VX$1,0),FALSE)/1,0)-IFERROR(VLOOKUP($B348,'Slutlig allokering kvv'!$B$2:$BX$550,MATCH(K$2,'Slutlig allokering kvv'!$B$1:$BX$1,0),FALSE)/1,0))</f>
        <v/>
      </c>
      <c r="L348" s="31" t="str">
        <f>IF($D348="","",IFERROR(VLOOKUP($B348,Kraftvärmeprod!$B$1:$BX$550,MATCH(L$2,Kraftvärmeprod!$B$1:$VX$1,0),FALSE)/1,0)-IFERROR(VLOOKUP($B348,'Slutlig allokering kvv'!$B$2:$BX$550,MATCH(L$2,'Slutlig allokering kvv'!$B$1:$BX$1,0),FALSE)/1,0))</f>
        <v/>
      </c>
      <c r="M348" s="31" t="str">
        <f>IF($D348="","",IFERROR(VLOOKUP($B348,Kraftvärmeprod!$B$1:$BX$550,MATCH(M$2,Kraftvärmeprod!$B$1:$VX$1,0),FALSE)/1,0)-IFERROR(VLOOKUP($B348,'Slutlig allokering kvv'!$B$2:$BX$550,MATCH(M$2,'Slutlig allokering kvv'!$B$1:$BX$1,0),FALSE)/1,0))</f>
        <v/>
      </c>
      <c r="N348" s="31" t="str">
        <f>IF($D348="","",IFERROR(VLOOKUP($B348,Kraftvärmeprod!$B$1:$BX$550,MATCH(N$2,Kraftvärmeprod!$B$1:$VX$1,0),FALSE)/1,0)-IFERROR(VLOOKUP($B348,'Slutlig allokering kvv'!$B$2:$BX$550,MATCH(N$2,'Slutlig allokering kvv'!$B$1:$BX$1,0),FALSE)/1,0))</f>
        <v/>
      </c>
      <c r="O348" s="31" t="str">
        <f>IF($D348="","",IFERROR(VLOOKUP($B348,Kraftvärmeprod!$B$1:$BX$550,MATCH(O$2,Kraftvärmeprod!$B$1:$VX$1,0),FALSE)/1,0)-IFERROR(VLOOKUP($B348,'Slutlig allokering kvv'!$B$2:$BX$550,MATCH(O$2,'Slutlig allokering kvv'!$B$1:$BX$1,0),FALSE)/1,0))</f>
        <v/>
      </c>
      <c r="P348" s="31" t="str">
        <f>IF($D348="","",IFERROR(VLOOKUP($B348,Kraftvärmeprod!$B$1:$BX$550,MATCH(P$2,Kraftvärmeprod!$B$1:$VX$1,0),FALSE)/1,0)-IFERROR(VLOOKUP($B348,'Slutlig allokering kvv'!$B$2:$BX$550,MATCH(P$2,'Slutlig allokering kvv'!$B$1:$BX$1,0),FALSE)/1,0))</f>
        <v/>
      </c>
      <c r="Q348" s="31" t="str">
        <f>IF($D348="","",IFERROR(VLOOKUP($B348,Kraftvärmeprod!$B$1:$BX$550,MATCH(Q$2,Kraftvärmeprod!$B$1:$VX$1,0),FALSE)/1,0)-IFERROR(VLOOKUP($B348,'Slutlig allokering kvv'!$B$2:$BX$550,MATCH(Q$2,'Slutlig allokering kvv'!$B$1:$BX$1,0),FALSE)/1,0))</f>
        <v/>
      </c>
      <c r="R348" s="31" t="str">
        <f>IF($D348="","",IFERROR(VLOOKUP($B348,Kraftvärmeprod!$B$1:$BX$550,MATCH(R$2,Kraftvärmeprod!$B$1:$VX$1,0),FALSE)/1,0)-IFERROR(VLOOKUP($B348,'Slutlig allokering kvv'!$B$2:$BX$550,MATCH(R$2,'Slutlig allokering kvv'!$B$1:$BX$1,0),FALSE)/1,0))</f>
        <v/>
      </c>
      <c r="S348" s="31" t="str">
        <f>IF($D348="","",IFERROR(VLOOKUP($B348,Kraftvärmeprod!$B$1:$BX$550,MATCH(S$2,Kraftvärmeprod!$B$1:$VX$1,0),FALSE)/1,0)-IFERROR(VLOOKUP($B348,'Slutlig allokering kvv'!$B$2:$BX$550,MATCH(S$2,'Slutlig allokering kvv'!$B$1:$BX$1,0),FALSE)/1,0))</f>
        <v/>
      </c>
      <c r="T348" s="31" t="str">
        <f>IF($D348="","",IFERROR(VLOOKUP($B348,Kraftvärmeprod!$B$1:$BX$550,MATCH(T$2,Kraftvärmeprod!$B$1:$VX$1,0),FALSE)/1,0)-IFERROR(VLOOKUP($B348,'Slutlig allokering kvv'!$B$2:$BX$550,MATCH(T$2,'Slutlig allokering kvv'!$B$1:$BX$1,0),FALSE)/1,0))</f>
        <v/>
      </c>
      <c r="U348" s="31" t="str">
        <f>IF($D348="","",IFERROR(VLOOKUP($B348,Kraftvärmeprod!$B$1:$BX$550,MATCH(U$2,Kraftvärmeprod!$B$1:$VX$1,0),FALSE)/1,0)-IFERROR(VLOOKUP($B348,'Slutlig allokering kvv'!$B$2:$BX$550,MATCH(U$2,'Slutlig allokering kvv'!$B$1:$BX$1,0),FALSE)/1,0))</f>
        <v/>
      </c>
      <c r="V348" s="31" t="str">
        <f>IF($D348="","",IFERROR(VLOOKUP($B348,Kraftvärmeprod!$B$1:$BX$550,MATCH(V$2,Kraftvärmeprod!$B$1:$VX$1,0),FALSE)/1,0)-IFERROR(VLOOKUP($B348,'Slutlig allokering kvv'!$B$2:$BX$550,MATCH(V$2,'Slutlig allokering kvv'!$B$1:$BX$1,0),FALSE)/1,0))</f>
        <v/>
      </c>
      <c r="W348" s="31" t="str">
        <f>IF($D348="","",IFERROR(VLOOKUP($B348,Kraftvärmeprod!$B$1:$BX$550,MATCH(W$2,Kraftvärmeprod!$B$1:$VX$1,0),FALSE)/1,0)-IFERROR(VLOOKUP($B348,'Slutlig allokering kvv'!$B$2:$BX$550,MATCH(W$2,'Slutlig allokering kvv'!$B$1:$BX$1,0),FALSE)/1,0))</f>
        <v/>
      </c>
      <c r="X348" s="31" t="str">
        <f>IF($D348="","",IFERROR(VLOOKUP($B348,Kraftvärmeprod!$B$1:$BX$550,MATCH(X$2,Kraftvärmeprod!$B$1:$VX$1,0),FALSE)/1,0)-IFERROR(VLOOKUP($B348,'Slutlig allokering kvv'!$B$2:$BX$550,MATCH(X$2,'Slutlig allokering kvv'!$B$1:$BX$1,0),FALSE)/1,0))</f>
        <v/>
      </c>
      <c r="Y348" s="31" t="str">
        <f>IF($D348="","",IFERROR(VLOOKUP($B348,Kraftvärmeprod!$B$1:$BX$550,MATCH(Y$2,Kraftvärmeprod!$B$1:$VX$1,0),FALSE)/1,0)-IFERROR(VLOOKUP($B348,'Slutlig allokering kvv'!$B$2:$BX$550,MATCH(Y$2,'Slutlig allokering kvv'!$B$1:$BX$1,0),FALSE)/1,0))</f>
        <v/>
      </c>
      <c r="Z348" s="31" t="str">
        <f>IF($D348="","",IFERROR(VLOOKUP($B348,Kraftvärmeprod!$B$1:$BX$550,MATCH(Z$2,Kraftvärmeprod!$B$1:$VX$1,0),FALSE)/1,0)-IFERROR(VLOOKUP($B348,'Slutlig allokering kvv'!$B$2:$BX$550,MATCH(Z$2,'Slutlig allokering kvv'!$B$1:$BX$1,0),FALSE)/1,0))</f>
        <v/>
      </c>
      <c r="AA348" s="31" t="str">
        <f>IF($D348="","",IFERROR(VLOOKUP($B348,Kraftvärmeprod!$B$1:$BX$550,MATCH(AA$2,Kraftvärmeprod!$B$1:$VX$1,0),FALSE)/1,0)-IFERROR(VLOOKUP($B348,'Slutlig allokering kvv'!$B$2:$BX$550,MATCH(AA$2,'Slutlig allokering kvv'!$B$1:$BX$1,0),FALSE)/1,0))</f>
        <v/>
      </c>
      <c r="AB348" s="31" t="str">
        <f>IF($D348="","",IFERROR(VLOOKUP($B348,Kraftvärmeprod!$B$1:$BX$550,MATCH(AB$2,Kraftvärmeprod!$B$1:$VX$1,0),FALSE)/1,0)-IFERROR(VLOOKUP($B348,'Slutlig allokering kvv'!$B$2:$BX$550,MATCH(AB$2,'Slutlig allokering kvv'!$B$1:$BX$1,0),FALSE)/1,0))</f>
        <v/>
      </c>
      <c r="AC348" s="31" t="str">
        <f>IF($D348="","",IFERROR(VLOOKUP($B348,Kraftvärmeprod!$B$1:$BX$550,MATCH(AC$2,Kraftvärmeprod!$B$1:$VX$1,0),FALSE)/1,0)-IFERROR(VLOOKUP($B348,'Slutlig allokering kvv'!$B$2:$BX$550,MATCH(AC$2,'Slutlig allokering kvv'!$B$1:$BX$1,0),FALSE)/1,0))</f>
        <v/>
      </c>
      <c r="AD348" s="31" t="str">
        <f>IF($D348="","",IFERROR(VLOOKUP($B348,Kraftvärmeprod!$B$1:$BX$550,MATCH(AD$2,Kraftvärmeprod!$B$1:$VX$1,0),FALSE)/1,0)-IFERROR(VLOOKUP($B348,'Slutlig allokering kvv'!$B$2:$BX$550,MATCH(AD$2,'Slutlig allokering kvv'!$B$1:$BX$1,0),FALSE)/1,0))</f>
        <v/>
      </c>
      <c r="AE348" s="31" t="str">
        <f>IF($D348="","",IFERROR(VLOOKUP($B348,Miljö!$B$1:$E$550,MATCH("Hjälpel kraftvärme (GWh)",Miljö!$B$1:$E$1,0),FALSE)/1,0)-IFERROR(VLOOKUP($B348,'Slutlig allokering kvv'!$B$2:$BX$549,MATCH(AE$2,'Slutlig allokering kvv'!$B$1:$BX$1,0),FALSE)/1,0))</f>
        <v/>
      </c>
      <c r="AI348" s="39">
        <f t="shared" si="20"/>
        <v>0</v>
      </c>
      <c r="AK348" s="31">
        <f>IFERROR(VLOOKUP($B348,'Slutlig allokering kvv'!$B$2:$AX$549,MATCH("Summa slutlig allokerad tillförd energi (utan hjälpel och rökgaskondensering):",'Slutlig allokering kvv'!$B$1:$AX$1,0),FALSE)/1,"")</f>
        <v>0</v>
      </c>
      <c r="AM348" s="31" t="str">
        <f>IFERROR(1-VLOOKUP($B348,'Slutlig allokering kvv'!$B$2:$AX$549,MATCH("Andel av bränsle i kvv som allokerats till värme, exklusive rökgaskondensering och hjälpel",'Slutlig allokering kvv'!$B$1:$AX$1,0),FALSE),"")</f>
        <v/>
      </c>
      <c r="AO348" s="31" t="str">
        <f t="shared" si="21"/>
        <v/>
      </c>
      <c r="AP348" s="31" t="str">
        <f t="shared" si="22"/>
        <v/>
      </c>
      <c r="AR348" s="32" t="str">
        <f t="shared" si="23"/>
        <v/>
      </c>
    </row>
    <row r="349" spans="1:44" s="31" customFormat="1" x14ac:dyDescent="0.45">
      <c r="A349" s="31" t="s">
        <v>175</v>
      </c>
      <c r="B349" s="31" t="s">
        <v>179</v>
      </c>
      <c r="C349" s="31" t="str">
        <f>IFERROR(VLOOKUP($B349,Kraftvärmeprod!$B$1:$AH$479,MATCH(C$2,Kraftvärmeprod!$B$1:$AG$1,0),FALSE)/1,"")</f>
        <v/>
      </c>
      <c r="D349" s="31" t="str">
        <f>IFERROR(VLOOKUP($B349,Kraftvärmeprod!$B$1:$AH$479,MATCH(D$2,Kraftvärmeprod!$B$1:$AG$1,0),FALSE)/1,"")</f>
        <v/>
      </c>
      <c r="F349" s="31" t="str">
        <f>IF($D349="","",IFERROR(VLOOKUP($B349,Kraftvärmeprod!$B$1:$BX$550,MATCH(F$2,Kraftvärmeprod!$B$1:$VX$1,0),FALSE)/1,0)-IFERROR(VLOOKUP($B349,'Slutlig allokering kvv'!$B$2:$BX$550,MATCH(F$2,'Slutlig allokering kvv'!$B$1:$BX$1,0),FALSE)/1,0))</f>
        <v/>
      </c>
      <c r="G349" s="31" t="str">
        <f>IF($D349="","",IFERROR(VLOOKUP($B349,Kraftvärmeprod!$B$1:$BX$550,MATCH(G$2,Kraftvärmeprod!$B$1:$VX$1,0),FALSE)/1,0)-IFERROR(VLOOKUP($B349,'Slutlig allokering kvv'!$B$2:$BX$550,MATCH(G$2,'Slutlig allokering kvv'!$B$1:$BX$1,0),FALSE)/1,0))</f>
        <v/>
      </c>
      <c r="H349" s="31" t="str">
        <f>IF($D349="","",IFERROR(VLOOKUP($B349,Kraftvärmeprod!$B$1:$BX$550,MATCH(H$2,Kraftvärmeprod!$B$1:$VX$1,0),FALSE)/1,0)-IFERROR(VLOOKUP($B349,'Slutlig allokering kvv'!$B$2:$BX$550,MATCH(H$2,'Slutlig allokering kvv'!$B$1:$BX$1,0),FALSE)/1,0))</f>
        <v/>
      </c>
      <c r="I349" s="31" t="str">
        <f>IF($D349="","",IFERROR(VLOOKUP($B349,Kraftvärmeprod!$B$1:$BX$550,MATCH(I$2,Kraftvärmeprod!$B$1:$VX$1,0),FALSE)/1,0)-IFERROR(VLOOKUP($B349,'Slutlig allokering kvv'!$B$2:$BX$550,MATCH(I$2,'Slutlig allokering kvv'!$B$1:$BX$1,0),FALSE)/1,0))</f>
        <v/>
      </c>
      <c r="J349" s="31" t="str">
        <f>IF($D349="","",IFERROR(VLOOKUP($B349,Kraftvärmeprod!$B$1:$BX$550,MATCH(J$2,Kraftvärmeprod!$B$1:$VX$1,0),FALSE)/1,0)-IFERROR(VLOOKUP($B349,'Slutlig allokering kvv'!$B$2:$BX$550,MATCH(J$2,'Slutlig allokering kvv'!$B$1:$BX$1,0),FALSE)/1,0))</f>
        <v/>
      </c>
      <c r="K349" s="31" t="str">
        <f>IF($D349="","",IFERROR(VLOOKUP($B349,Kraftvärmeprod!$B$1:$BX$550,MATCH(K$2,Kraftvärmeprod!$B$1:$VX$1,0),FALSE)/1,0)-IFERROR(VLOOKUP($B349,'Slutlig allokering kvv'!$B$2:$BX$550,MATCH(K$2,'Slutlig allokering kvv'!$B$1:$BX$1,0),FALSE)/1,0))</f>
        <v/>
      </c>
      <c r="L349" s="31" t="str">
        <f>IF($D349="","",IFERROR(VLOOKUP($B349,Kraftvärmeprod!$B$1:$BX$550,MATCH(L$2,Kraftvärmeprod!$B$1:$VX$1,0),FALSE)/1,0)-IFERROR(VLOOKUP($B349,'Slutlig allokering kvv'!$B$2:$BX$550,MATCH(L$2,'Slutlig allokering kvv'!$B$1:$BX$1,0),FALSE)/1,0))</f>
        <v/>
      </c>
      <c r="M349" s="31" t="str">
        <f>IF($D349="","",IFERROR(VLOOKUP($B349,Kraftvärmeprod!$B$1:$BX$550,MATCH(M$2,Kraftvärmeprod!$B$1:$VX$1,0),FALSE)/1,0)-IFERROR(VLOOKUP($B349,'Slutlig allokering kvv'!$B$2:$BX$550,MATCH(M$2,'Slutlig allokering kvv'!$B$1:$BX$1,0),FALSE)/1,0))</f>
        <v/>
      </c>
      <c r="N349" s="31" t="str">
        <f>IF($D349="","",IFERROR(VLOOKUP($B349,Kraftvärmeprod!$B$1:$BX$550,MATCH(N$2,Kraftvärmeprod!$B$1:$VX$1,0),FALSE)/1,0)-IFERROR(VLOOKUP($B349,'Slutlig allokering kvv'!$B$2:$BX$550,MATCH(N$2,'Slutlig allokering kvv'!$B$1:$BX$1,0),FALSE)/1,0))</f>
        <v/>
      </c>
      <c r="O349" s="31" t="str">
        <f>IF($D349="","",IFERROR(VLOOKUP($B349,Kraftvärmeprod!$B$1:$BX$550,MATCH(O$2,Kraftvärmeprod!$B$1:$VX$1,0),FALSE)/1,0)-IFERROR(VLOOKUP($B349,'Slutlig allokering kvv'!$B$2:$BX$550,MATCH(O$2,'Slutlig allokering kvv'!$B$1:$BX$1,0),FALSE)/1,0))</f>
        <v/>
      </c>
      <c r="P349" s="31" t="str">
        <f>IF($D349="","",IFERROR(VLOOKUP($B349,Kraftvärmeprod!$B$1:$BX$550,MATCH(P$2,Kraftvärmeprod!$B$1:$VX$1,0),FALSE)/1,0)-IFERROR(VLOOKUP($B349,'Slutlig allokering kvv'!$B$2:$BX$550,MATCH(P$2,'Slutlig allokering kvv'!$B$1:$BX$1,0),FALSE)/1,0))</f>
        <v/>
      </c>
      <c r="Q349" s="31" t="str">
        <f>IF($D349="","",IFERROR(VLOOKUP($B349,Kraftvärmeprod!$B$1:$BX$550,MATCH(Q$2,Kraftvärmeprod!$B$1:$VX$1,0),FALSE)/1,0)-IFERROR(VLOOKUP($B349,'Slutlig allokering kvv'!$B$2:$BX$550,MATCH(Q$2,'Slutlig allokering kvv'!$B$1:$BX$1,0),FALSE)/1,0))</f>
        <v/>
      </c>
      <c r="R349" s="31" t="str">
        <f>IF($D349="","",IFERROR(VLOOKUP($B349,Kraftvärmeprod!$B$1:$BX$550,MATCH(R$2,Kraftvärmeprod!$B$1:$VX$1,0),FALSE)/1,0)-IFERROR(VLOOKUP($B349,'Slutlig allokering kvv'!$B$2:$BX$550,MATCH(R$2,'Slutlig allokering kvv'!$B$1:$BX$1,0),FALSE)/1,0))</f>
        <v/>
      </c>
      <c r="S349" s="31" t="str">
        <f>IF($D349="","",IFERROR(VLOOKUP($B349,Kraftvärmeprod!$B$1:$BX$550,MATCH(S$2,Kraftvärmeprod!$B$1:$VX$1,0),FALSE)/1,0)-IFERROR(VLOOKUP($B349,'Slutlig allokering kvv'!$B$2:$BX$550,MATCH(S$2,'Slutlig allokering kvv'!$B$1:$BX$1,0),FALSE)/1,0))</f>
        <v/>
      </c>
      <c r="T349" s="31" t="str">
        <f>IF($D349="","",IFERROR(VLOOKUP($B349,Kraftvärmeprod!$B$1:$BX$550,MATCH(T$2,Kraftvärmeprod!$B$1:$VX$1,0),FALSE)/1,0)-IFERROR(VLOOKUP($B349,'Slutlig allokering kvv'!$B$2:$BX$550,MATCH(T$2,'Slutlig allokering kvv'!$B$1:$BX$1,0),FALSE)/1,0))</f>
        <v/>
      </c>
      <c r="U349" s="31" t="str">
        <f>IF($D349="","",IFERROR(VLOOKUP($B349,Kraftvärmeprod!$B$1:$BX$550,MATCH(U$2,Kraftvärmeprod!$B$1:$VX$1,0),FALSE)/1,0)-IFERROR(VLOOKUP($B349,'Slutlig allokering kvv'!$B$2:$BX$550,MATCH(U$2,'Slutlig allokering kvv'!$B$1:$BX$1,0),FALSE)/1,0))</f>
        <v/>
      </c>
      <c r="V349" s="31" t="str">
        <f>IF($D349="","",IFERROR(VLOOKUP($B349,Kraftvärmeprod!$B$1:$BX$550,MATCH(V$2,Kraftvärmeprod!$B$1:$VX$1,0),FALSE)/1,0)-IFERROR(VLOOKUP($B349,'Slutlig allokering kvv'!$B$2:$BX$550,MATCH(V$2,'Slutlig allokering kvv'!$B$1:$BX$1,0),FALSE)/1,0))</f>
        <v/>
      </c>
      <c r="W349" s="31" t="str">
        <f>IF($D349="","",IFERROR(VLOOKUP($B349,Kraftvärmeprod!$B$1:$BX$550,MATCH(W$2,Kraftvärmeprod!$B$1:$VX$1,0),FALSE)/1,0)-IFERROR(VLOOKUP($B349,'Slutlig allokering kvv'!$B$2:$BX$550,MATCH(W$2,'Slutlig allokering kvv'!$B$1:$BX$1,0),FALSE)/1,0))</f>
        <v/>
      </c>
      <c r="X349" s="31" t="str">
        <f>IF($D349="","",IFERROR(VLOOKUP($B349,Kraftvärmeprod!$B$1:$BX$550,MATCH(X$2,Kraftvärmeprod!$B$1:$VX$1,0),FALSE)/1,0)-IFERROR(VLOOKUP($B349,'Slutlig allokering kvv'!$B$2:$BX$550,MATCH(X$2,'Slutlig allokering kvv'!$B$1:$BX$1,0),FALSE)/1,0))</f>
        <v/>
      </c>
      <c r="Y349" s="31" t="str">
        <f>IF($D349="","",IFERROR(VLOOKUP($B349,Kraftvärmeprod!$B$1:$BX$550,MATCH(Y$2,Kraftvärmeprod!$B$1:$VX$1,0),FALSE)/1,0)-IFERROR(VLOOKUP($B349,'Slutlig allokering kvv'!$B$2:$BX$550,MATCH(Y$2,'Slutlig allokering kvv'!$B$1:$BX$1,0),FALSE)/1,0))</f>
        <v/>
      </c>
      <c r="Z349" s="31" t="str">
        <f>IF($D349="","",IFERROR(VLOOKUP($B349,Kraftvärmeprod!$B$1:$BX$550,MATCH(Z$2,Kraftvärmeprod!$B$1:$VX$1,0),FALSE)/1,0)-IFERROR(VLOOKUP($B349,'Slutlig allokering kvv'!$B$2:$BX$550,MATCH(Z$2,'Slutlig allokering kvv'!$B$1:$BX$1,0),FALSE)/1,0))</f>
        <v/>
      </c>
      <c r="AA349" s="31" t="str">
        <f>IF($D349="","",IFERROR(VLOOKUP($B349,Kraftvärmeprod!$B$1:$BX$550,MATCH(AA$2,Kraftvärmeprod!$B$1:$VX$1,0),FALSE)/1,0)-IFERROR(VLOOKUP($B349,'Slutlig allokering kvv'!$B$2:$BX$550,MATCH(AA$2,'Slutlig allokering kvv'!$B$1:$BX$1,0),FALSE)/1,0))</f>
        <v/>
      </c>
      <c r="AB349" s="31" t="str">
        <f>IF($D349="","",IFERROR(VLOOKUP($B349,Kraftvärmeprod!$B$1:$BX$550,MATCH(AB$2,Kraftvärmeprod!$B$1:$VX$1,0),FALSE)/1,0)-IFERROR(VLOOKUP($B349,'Slutlig allokering kvv'!$B$2:$BX$550,MATCH(AB$2,'Slutlig allokering kvv'!$B$1:$BX$1,0),FALSE)/1,0))</f>
        <v/>
      </c>
      <c r="AC349" s="31" t="str">
        <f>IF($D349="","",IFERROR(VLOOKUP($B349,Kraftvärmeprod!$B$1:$BX$550,MATCH(AC$2,Kraftvärmeprod!$B$1:$VX$1,0),FALSE)/1,0)-IFERROR(VLOOKUP($B349,'Slutlig allokering kvv'!$B$2:$BX$550,MATCH(AC$2,'Slutlig allokering kvv'!$B$1:$BX$1,0),FALSE)/1,0))</f>
        <v/>
      </c>
      <c r="AD349" s="31" t="str">
        <f>IF($D349="","",IFERROR(VLOOKUP($B349,Kraftvärmeprod!$B$1:$BX$550,MATCH(AD$2,Kraftvärmeprod!$B$1:$VX$1,0),FALSE)/1,0)-IFERROR(VLOOKUP($B349,'Slutlig allokering kvv'!$B$2:$BX$550,MATCH(AD$2,'Slutlig allokering kvv'!$B$1:$BX$1,0),FALSE)/1,0))</f>
        <v/>
      </c>
      <c r="AE349" s="31" t="str">
        <f>IF($D349="","",IFERROR(VLOOKUP($B349,Miljö!$B$1:$E$550,MATCH("Hjälpel kraftvärme (GWh)",Miljö!$B$1:$E$1,0),FALSE)/1,0)-IFERROR(VLOOKUP($B349,'Slutlig allokering kvv'!$B$2:$BX$549,MATCH(AE$2,'Slutlig allokering kvv'!$B$1:$BX$1,0),FALSE)/1,0))</f>
        <v/>
      </c>
      <c r="AI349" s="39">
        <f t="shared" si="20"/>
        <v>0</v>
      </c>
      <c r="AK349" s="31">
        <f>IFERROR(VLOOKUP($B349,'Slutlig allokering kvv'!$B$2:$AX$549,MATCH("Summa slutlig allokerad tillförd energi (utan hjälpel och rökgaskondensering):",'Slutlig allokering kvv'!$B$1:$AX$1,0),FALSE)/1,"")</f>
        <v>0</v>
      </c>
      <c r="AM349" s="31" t="str">
        <f>IFERROR(1-VLOOKUP($B349,'Slutlig allokering kvv'!$B$2:$AX$549,MATCH("Andel av bränsle i kvv som allokerats till värme, exklusive rökgaskondensering och hjälpel",'Slutlig allokering kvv'!$B$1:$AX$1,0),FALSE),"")</f>
        <v/>
      </c>
      <c r="AO349" s="31" t="str">
        <f t="shared" si="21"/>
        <v/>
      </c>
      <c r="AP349" s="31" t="str">
        <f t="shared" si="22"/>
        <v/>
      </c>
      <c r="AR349" s="32" t="str">
        <f t="shared" si="23"/>
        <v/>
      </c>
    </row>
    <row r="350" spans="1:44" s="31" customFormat="1" x14ac:dyDescent="0.45">
      <c r="A350" s="31" t="s">
        <v>175</v>
      </c>
      <c r="B350" s="31" t="s">
        <v>178</v>
      </c>
      <c r="C350" s="31" t="str">
        <f>IFERROR(VLOOKUP($B350,Kraftvärmeprod!$B$1:$AH$479,MATCH(C$2,Kraftvärmeprod!$B$1:$AG$1,0),FALSE)/1,"")</f>
        <v/>
      </c>
      <c r="D350" s="31" t="str">
        <f>IFERROR(VLOOKUP($B350,Kraftvärmeprod!$B$1:$AH$479,MATCH(D$2,Kraftvärmeprod!$B$1:$AG$1,0),FALSE)/1,"")</f>
        <v/>
      </c>
      <c r="F350" s="31" t="str">
        <f>IF($D350="","",IFERROR(VLOOKUP($B350,Kraftvärmeprod!$B$1:$BX$550,MATCH(F$2,Kraftvärmeprod!$B$1:$VX$1,0),FALSE)/1,0)-IFERROR(VLOOKUP($B350,'Slutlig allokering kvv'!$B$2:$BX$550,MATCH(F$2,'Slutlig allokering kvv'!$B$1:$BX$1,0),FALSE)/1,0))</f>
        <v/>
      </c>
      <c r="G350" s="31" t="str">
        <f>IF($D350="","",IFERROR(VLOOKUP($B350,Kraftvärmeprod!$B$1:$BX$550,MATCH(G$2,Kraftvärmeprod!$B$1:$VX$1,0),FALSE)/1,0)-IFERROR(VLOOKUP($B350,'Slutlig allokering kvv'!$B$2:$BX$550,MATCH(G$2,'Slutlig allokering kvv'!$B$1:$BX$1,0),FALSE)/1,0))</f>
        <v/>
      </c>
      <c r="H350" s="31" t="str">
        <f>IF($D350="","",IFERROR(VLOOKUP($B350,Kraftvärmeprod!$B$1:$BX$550,MATCH(H$2,Kraftvärmeprod!$B$1:$VX$1,0),FALSE)/1,0)-IFERROR(VLOOKUP($B350,'Slutlig allokering kvv'!$B$2:$BX$550,MATCH(H$2,'Slutlig allokering kvv'!$B$1:$BX$1,0),FALSE)/1,0))</f>
        <v/>
      </c>
      <c r="I350" s="31" t="str">
        <f>IF($D350="","",IFERROR(VLOOKUP($B350,Kraftvärmeprod!$B$1:$BX$550,MATCH(I$2,Kraftvärmeprod!$B$1:$VX$1,0),FALSE)/1,0)-IFERROR(VLOOKUP($B350,'Slutlig allokering kvv'!$B$2:$BX$550,MATCH(I$2,'Slutlig allokering kvv'!$B$1:$BX$1,0),FALSE)/1,0))</f>
        <v/>
      </c>
      <c r="J350" s="31" t="str">
        <f>IF($D350="","",IFERROR(VLOOKUP($B350,Kraftvärmeprod!$B$1:$BX$550,MATCH(J$2,Kraftvärmeprod!$B$1:$VX$1,0),FALSE)/1,0)-IFERROR(VLOOKUP($B350,'Slutlig allokering kvv'!$B$2:$BX$550,MATCH(J$2,'Slutlig allokering kvv'!$B$1:$BX$1,0),FALSE)/1,0))</f>
        <v/>
      </c>
      <c r="K350" s="31" t="str">
        <f>IF($D350="","",IFERROR(VLOOKUP($B350,Kraftvärmeprod!$B$1:$BX$550,MATCH(K$2,Kraftvärmeprod!$B$1:$VX$1,0),FALSE)/1,0)-IFERROR(VLOOKUP($B350,'Slutlig allokering kvv'!$B$2:$BX$550,MATCH(K$2,'Slutlig allokering kvv'!$B$1:$BX$1,0),FALSE)/1,0))</f>
        <v/>
      </c>
      <c r="L350" s="31" t="str">
        <f>IF($D350="","",IFERROR(VLOOKUP($B350,Kraftvärmeprod!$B$1:$BX$550,MATCH(L$2,Kraftvärmeprod!$B$1:$VX$1,0),FALSE)/1,0)-IFERROR(VLOOKUP($B350,'Slutlig allokering kvv'!$B$2:$BX$550,MATCH(L$2,'Slutlig allokering kvv'!$B$1:$BX$1,0),FALSE)/1,0))</f>
        <v/>
      </c>
      <c r="M350" s="31" t="str">
        <f>IF($D350="","",IFERROR(VLOOKUP($B350,Kraftvärmeprod!$B$1:$BX$550,MATCH(M$2,Kraftvärmeprod!$B$1:$VX$1,0),FALSE)/1,0)-IFERROR(VLOOKUP($B350,'Slutlig allokering kvv'!$B$2:$BX$550,MATCH(M$2,'Slutlig allokering kvv'!$B$1:$BX$1,0),FALSE)/1,0))</f>
        <v/>
      </c>
      <c r="N350" s="31" t="str">
        <f>IF($D350="","",IFERROR(VLOOKUP($B350,Kraftvärmeprod!$B$1:$BX$550,MATCH(N$2,Kraftvärmeprod!$B$1:$VX$1,0),FALSE)/1,0)-IFERROR(VLOOKUP($B350,'Slutlig allokering kvv'!$B$2:$BX$550,MATCH(N$2,'Slutlig allokering kvv'!$B$1:$BX$1,0),FALSE)/1,0))</f>
        <v/>
      </c>
      <c r="O350" s="31" t="str">
        <f>IF($D350="","",IFERROR(VLOOKUP($B350,Kraftvärmeprod!$B$1:$BX$550,MATCH(O$2,Kraftvärmeprod!$B$1:$VX$1,0),FALSE)/1,0)-IFERROR(VLOOKUP($B350,'Slutlig allokering kvv'!$B$2:$BX$550,MATCH(O$2,'Slutlig allokering kvv'!$B$1:$BX$1,0),FALSE)/1,0))</f>
        <v/>
      </c>
      <c r="P350" s="31" t="str">
        <f>IF($D350="","",IFERROR(VLOOKUP($B350,Kraftvärmeprod!$B$1:$BX$550,MATCH(P$2,Kraftvärmeprod!$B$1:$VX$1,0),FALSE)/1,0)-IFERROR(VLOOKUP($B350,'Slutlig allokering kvv'!$B$2:$BX$550,MATCH(P$2,'Slutlig allokering kvv'!$B$1:$BX$1,0),FALSE)/1,0))</f>
        <v/>
      </c>
      <c r="Q350" s="31" t="str">
        <f>IF($D350="","",IFERROR(VLOOKUP($B350,Kraftvärmeprod!$B$1:$BX$550,MATCH(Q$2,Kraftvärmeprod!$B$1:$VX$1,0),FALSE)/1,0)-IFERROR(VLOOKUP($B350,'Slutlig allokering kvv'!$B$2:$BX$550,MATCH(Q$2,'Slutlig allokering kvv'!$B$1:$BX$1,0),FALSE)/1,0))</f>
        <v/>
      </c>
      <c r="R350" s="31" t="str">
        <f>IF($D350="","",IFERROR(VLOOKUP($B350,Kraftvärmeprod!$B$1:$BX$550,MATCH(R$2,Kraftvärmeprod!$B$1:$VX$1,0),FALSE)/1,0)-IFERROR(VLOOKUP($B350,'Slutlig allokering kvv'!$B$2:$BX$550,MATCH(R$2,'Slutlig allokering kvv'!$B$1:$BX$1,0),FALSE)/1,0))</f>
        <v/>
      </c>
      <c r="S350" s="31" t="str">
        <f>IF($D350="","",IFERROR(VLOOKUP($B350,Kraftvärmeprod!$B$1:$BX$550,MATCH(S$2,Kraftvärmeprod!$B$1:$VX$1,0),FALSE)/1,0)-IFERROR(VLOOKUP($B350,'Slutlig allokering kvv'!$B$2:$BX$550,MATCH(S$2,'Slutlig allokering kvv'!$B$1:$BX$1,0),FALSE)/1,0))</f>
        <v/>
      </c>
      <c r="T350" s="31" t="str">
        <f>IF($D350="","",IFERROR(VLOOKUP($B350,Kraftvärmeprod!$B$1:$BX$550,MATCH(T$2,Kraftvärmeprod!$B$1:$VX$1,0),FALSE)/1,0)-IFERROR(VLOOKUP($B350,'Slutlig allokering kvv'!$B$2:$BX$550,MATCH(T$2,'Slutlig allokering kvv'!$B$1:$BX$1,0),FALSE)/1,0))</f>
        <v/>
      </c>
      <c r="U350" s="31" t="str">
        <f>IF($D350="","",IFERROR(VLOOKUP($B350,Kraftvärmeprod!$B$1:$BX$550,MATCH(U$2,Kraftvärmeprod!$B$1:$VX$1,0),FALSE)/1,0)-IFERROR(VLOOKUP($B350,'Slutlig allokering kvv'!$B$2:$BX$550,MATCH(U$2,'Slutlig allokering kvv'!$B$1:$BX$1,0),FALSE)/1,0))</f>
        <v/>
      </c>
      <c r="V350" s="31" t="str">
        <f>IF($D350="","",IFERROR(VLOOKUP($B350,Kraftvärmeprod!$B$1:$BX$550,MATCH(V$2,Kraftvärmeprod!$B$1:$VX$1,0),FALSE)/1,0)-IFERROR(VLOOKUP($B350,'Slutlig allokering kvv'!$B$2:$BX$550,MATCH(V$2,'Slutlig allokering kvv'!$B$1:$BX$1,0),FALSE)/1,0))</f>
        <v/>
      </c>
      <c r="W350" s="31" t="str">
        <f>IF($D350="","",IFERROR(VLOOKUP($B350,Kraftvärmeprod!$B$1:$BX$550,MATCH(W$2,Kraftvärmeprod!$B$1:$VX$1,0),FALSE)/1,0)-IFERROR(VLOOKUP($B350,'Slutlig allokering kvv'!$B$2:$BX$550,MATCH(W$2,'Slutlig allokering kvv'!$B$1:$BX$1,0),FALSE)/1,0))</f>
        <v/>
      </c>
      <c r="X350" s="31" t="str">
        <f>IF($D350="","",IFERROR(VLOOKUP($B350,Kraftvärmeprod!$B$1:$BX$550,MATCH(X$2,Kraftvärmeprod!$B$1:$VX$1,0),FALSE)/1,0)-IFERROR(VLOOKUP($B350,'Slutlig allokering kvv'!$B$2:$BX$550,MATCH(X$2,'Slutlig allokering kvv'!$B$1:$BX$1,0),FALSE)/1,0))</f>
        <v/>
      </c>
      <c r="Y350" s="31" t="str">
        <f>IF($D350="","",IFERROR(VLOOKUP($B350,Kraftvärmeprod!$B$1:$BX$550,MATCH(Y$2,Kraftvärmeprod!$B$1:$VX$1,0),FALSE)/1,0)-IFERROR(VLOOKUP($B350,'Slutlig allokering kvv'!$B$2:$BX$550,MATCH(Y$2,'Slutlig allokering kvv'!$B$1:$BX$1,0),FALSE)/1,0))</f>
        <v/>
      </c>
      <c r="Z350" s="31" t="str">
        <f>IF($D350="","",IFERROR(VLOOKUP($B350,Kraftvärmeprod!$B$1:$BX$550,MATCH(Z$2,Kraftvärmeprod!$B$1:$VX$1,0),FALSE)/1,0)-IFERROR(VLOOKUP($B350,'Slutlig allokering kvv'!$B$2:$BX$550,MATCH(Z$2,'Slutlig allokering kvv'!$B$1:$BX$1,0),FALSE)/1,0))</f>
        <v/>
      </c>
      <c r="AA350" s="31" t="str">
        <f>IF($D350="","",IFERROR(VLOOKUP($B350,Kraftvärmeprod!$B$1:$BX$550,MATCH(AA$2,Kraftvärmeprod!$B$1:$VX$1,0),FALSE)/1,0)-IFERROR(VLOOKUP($B350,'Slutlig allokering kvv'!$B$2:$BX$550,MATCH(AA$2,'Slutlig allokering kvv'!$B$1:$BX$1,0),FALSE)/1,0))</f>
        <v/>
      </c>
      <c r="AB350" s="31" t="str">
        <f>IF($D350="","",IFERROR(VLOOKUP($B350,Kraftvärmeprod!$B$1:$BX$550,MATCH(AB$2,Kraftvärmeprod!$B$1:$VX$1,0),FALSE)/1,0)-IFERROR(VLOOKUP($B350,'Slutlig allokering kvv'!$B$2:$BX$550,MATCH(AB$2,'Slutlig allokering kvv'!$B$1:$BX$1,0),FALSE)/1,0))</f>
        <v/>
      </c>
      <c r="AC350" s="31" t="str">
        <f>IF($D350="","",IFERROR(VLOOKUP($B350,Kraftvärmeprod!$B$1:$BX$550,MATCH(AC$2,Kraftvärmeprod!$B$1:$VX$1,0),FALSE)/1,0)-IFERROR(VLOOKUP($B350,'Slutlig allokering kvv'!$B$2:$BX$550,MATCH(AC$2,'Slutlig allokering kvv'!$B$1:$BX$1,0),FALSE)/1,0))</f>
        <v/>
      </c>
      <c r="AD350" s="31" t="str">
        <f>IF($D350="","",IFERROR(VLOOKUP($B350,Kraftvärmeprod!$B$1:$BX$550,MATCH(AD$2,Kraftvärmeprod!$B$1:$VX$1,0),FALSE)/1,0)-IFERROR(VLOOKUP($B350,'Slutlig allokering kvv'!$B$2:$BX$550,MATCH(AD$2,'Slutlig allokering kvv'!$B$1:$BX$1,0),FALSE)/1,0))</f>
        <v/>
      </c>
      <c r="AE350" s="31" t="str">
        <f>IF($D350="","",IFERROR(VLOOKUP($B350,Miljö!$B$1:$E$550,MATCH("Hjälpel kraftvärme (GWh)",Miljö!$B$1:$E$1,0),FALSE)/1,0)-IFERROR(VLOOKUP($B350,'Slutlig allokering kvv'!$B$2:$BX$549,MATCH(AE$2,'Slutlig allokering kvv'!$B$1:$BX$1,0),FALSE)/1,0))</f>
        <v/>
      </c>
      <c r="AI350" s="39">
        <f t="shared" si="20"/>
        <v>0</v>
      </c>
      <c r="AK350" s="31">
        <f>IFERROR(VLOOKUP($B350,'Slutlig allokering kvv'!$B$2:$AX$549,MATCH("Summa slutlig allokerad tillförd energi (utan hjälpel och rökgaskondensering):",'Slutlig allokering kvv'!$B$1:$AX$1,0),FALSE)/1,"")</f>
        <v>0</v>
      </c>
      <c r="AM350" s="31" t="str">
        <f>IFERROR(1-VLOOKUP($B350,'Slutlig allokering kvv'!$B$2:$AX$549,MATCH("Andel av bränsle i kvv som allokerats till värme, exklusive rökgaskondensering och hjälpel",'Slutlig allokering kvv'!$B$1:$AX$1,0),FALSE),"")</f>
        <v/>
      </c>
      <c r="AO350" s="31" t="str">
        <f t="shared" si="21"/>
        <v/>
      </c>
      <c r="AP350" s="31" t="str">
        <f t="shared" si="22"/>
        <v/>
      </c>
      <c r="AR350" s="32" t="str">
        <f t="shared" si="23"/>
        <v/>
      </c>
    </row>
    <row r="351" spans="1:44" s="31" customFormat="1" x14ac:dyDescent="0.45">
      <c r="A351" s="31" t="s">
        <v>175</v>
      </c>
      <c r="B351" s="31" t="s">
        <v>174</v>
      </c>
      <c r="C351" s="31">
        <f>IFERROR(VLOOKUP($B351,Kraftvärmeprod!$B$1:$AH$479,MATCH(C$2,Kraftvärmeprod!$B$1:$AG$1,0),FALSE)/1,"")</f>
        <v>539.9</v>
      </c>
      <c r="D351" s="31">
        <f>IFERROR(VLOOKUP($B351,Kraftvärmeprod!$B$1:$AH$479,MATCH(D$2,Kraftvärmeprod!$B$1:$AG$1,0),FALSE)/1,"")</f>
        <v>232.5</v>
      </c>
      <c r="F351" s="31">
        <f>IF($D351="","",IFERROR(VLOOKUP($B351,Kraftvärmeprod!$B$1:$BX$550,MATCH(F$2,Kraftvärmeprod!$B$1:$VX$1,0),FALSE)/1,0)-IFERROR(VLOOKUP($B351,'Slutlig allokering kvv'!$B$2:$BX$550,MATCH(F$2,'Slutlig allokering kvv'!$B$1:$BX$1,0),FALSE)/1,0))</f>
        <v>0</v>
      </c>
      <c r="G351" s="31">
        <f>IF($D351="","",IFERROR(VLOOKUP($B351,Kraftvärmeprod!$B$1:$BX$550,MATCH(G$2,Kraftvärmeprod!$B$1:$VX$1,0),FALSE)/1,0)-IFERROR(VLOOKUP($B351,'Slutlig allokering kvv'!$B$2:$BX$550,MATCH(G$2,'Slutlig allokering kvv'!$B$1:$BX$1,0),FALSE)/1,0))</f>
        <v>0.418989</v>
      </c>
      <c r="H351" s="31">
        <f>IF($D351="","",IFERROR(VLOOKUP($B351,Kraftvärmeprod!$B$1:$BX$550,MATCH(H$2,Kraftvärmeprod!$B$1:$VX$1,0),FALSE)/1,0)-IFERROR(VLOOKUP($B351,'Slutlig allokering kvv'!$B$2:$BX$550,MATCH(H$2,'Slutlig allokering kvv'!$B$1:$BX$1,0),FALSE)/1,0))</f>
        <v>0</v>
      </c>
      <c r="I351" s="31">
        <f>IF($D351="","",IFERROR(VLOOKUP($B351,Kraftvärmeprod!$B$1:$BX$550,MATCH(I$2,Kraftvärmeprod!$B$1:$VX$1,0),FALSE)/1,0)-IFERROR(VLOOKUP($B351,'Slutlig allokering kvv'!$B$2:$BX$550,MATCH(I$2,'Slutlig allokering kvv'!$B$1:$BX$1,0),FALSE)/1,0))</f>
        <v>0</v>
      </c>
      <c r="J351" s="31">
        <f>IF($D351="","",IFERROR(VLOOKUP($B351,Kraftvärmeprod!$B$1:$BX$550,MATCH(J$2,Kraftvärmeprod!$B$1:$VX$1,0),FALSE)/1,0)-IFERROR(VLOOKUP($B351,'Slutlig allokering kvv'!$B$2:$BX$550,MATCH(J$2,'Slutlig allokering kvv'!$B$1:$BX$1,0),FALSE)/1,0))</f>
        <v>0</v>
      </c>
      <c r="K351" s="31">
        <f>IF($D351="","",IFERROR(VLOOKUP($B351,Kraftvärmeprod!$B$1:$BX$550,MATCH(K$2,Kraftvärmeprod!$B$1:$VX$1,0),FALSE)/1,0)-IFERROR(VLOOKUP($B351,'Slutlig allokering kvv'!$B$2:$BX$550,MATCH(K$2,'Slutlig allokering kvv'!$B$1:$BX$1,0),FALSE)/1,0))</f>
        <v>0</v>
      </c>
      <c r="L351" s="31">
        <f>IF($D351="","",IFERROR(VLOOKUP($B351,Kraftvärmeprod!$B$1:$BX$550,MATCH(L$2,Kraftvärmeprod!$B$1:$VX$1,0),FALSE)/1,0)-IFERROR(VLOOKUP($B351,'Slutlig allokering kvv'!$B$2:$BX$550,MATCH(L$2,'Slutlig allokering kvv'!$B$1:$BX$1,0),FALSE)/1,0))</f>
        <v>225.85200000000003</v>
      </c>
      <c r="M351" s="31">
        <f>IF($D351="","",IFERROR(VLOOKUP($B351,Kraftvärmeprod!$B$1:$BX$550,MATCH(M$2,Kraftvärmeprod!$B$1:$VX$1,0),FALSE)/1,0)-IFERROR(VLOOKUP($B351,'Slutlig allokering kvv'!$B$2:$BX$550,MATCH(M$2,'Slutlig allokering kvv'!$B$1:$BX$1,0),FALSE)/1,0))</f>
        <v>63.192100000000003</v>
      </c>
      <c r="N351" s="31">
        <f>IF($D351="","",IFERROR(VLOOKUP($B351,Kraftvärmeprod!$B$1:$BX$550,MATCH(N$2,Kraftvärmeprod!$B$1:$VX$1,0),FALSE)/1,0)-IFERROR(VLOOKUP($B351,'Slutlig allokering kvv'!$B$2:$BX$550,MATCH(N$2,'Slutlig allokering kvv'!$B$1:$BX$1,0),FALSE)/1,0))</f>
        <v>59.6492</v>
      </c>
      <c r="O351" s="31">
        <f>IF($D351="","",IFERROR(VLOOKUP($B351,Kraftvärmeprod!$B$1:$BX$550,MATCH(O$2,Kraftvärmeprod!$B$1:$VX$1,0),FALSE)/1,0)-IFERROR(VLOOKUP($B351,'Slutlig allokering kvv'!$B$2:$BX$550,MATCH(O$2,'Slutlig allokering kvv'!$B$1:$BX$1,0),FALSE)/1,0))</f>
        <v>57.481100000000005</v>
      </c>
      <c r="P351" s="31">
        <f>IF($D351="","",IFERROR(VLOOKUP($B351,Kraftvärmeprod!$B$1:$BX$550,MATCH(P$2,Kraftvärmeprod!$B$1:$VX$1,0),FALSE)/1,0)-IFERROR(VLOOKUP($B351,'Slutlig allokering kvv'!$B$2:$BX$550,MATCH(P$2,'Slutlig allokering kvv'!$B$1:$BX$1,0),FALSE)/1,0))</f>
        <v>0</v>
      </c>
      <c r="Q351" s="31">
        <f>IF($D351="","",IFERROR(VLOOKUP($B351,Kraftvärmeprod!$B$1:$BX$550,MATCH(Q$2,Kraftvärmeprod!$B$1:$VX$1,0),FALSE)/1,0)-IFERROR(VLOOKUP($B351,'Slutlig allokering kvv'!$B$2:$BX$550,MATCH(Q$2,'Slutlig allokering kvv'!$B$1:$BX$1,0),FALSE)/1,0))</f>
        <v>0</v>
      </c>
      <c r="R351" s="31">
        <f>IF($D351="","",IFERROR(VLOOKUP($B351,Kraftvärmeprod!$B$1:$BX$550,MATCH(R$2,Kraftvärmeprod!$B$1:$VX$1,0),FALSE)/1,0)-IFERROR(VLOOKUP($B351,'Slutlig allokering kvv'!$B$2:$BX$550,MATCH(R$2,'Slutlig allokering kvv'!$B$1:$BX$1,0),FALSE)/1,0))</f>
        <v>0</v>
      </c>
      <c r="S351" s="31">
        <f>IF($D351="","",IFERROR(VLOOKUP($B351,Kraftvärmeprod!$B$1:$BX$550,MATCH(S$2,Kraftvärmeprod!$B$1:$VX$1,0),FALSE)/1,0)-IFERROR(VLOOKUP($B351,'Slutlig allokering kvv'!$B$2:$BX$550,MATCH(S$2,'Slutlig allokering kvv'!$B$1:$BX$1,0),FALSE)/1,0))</f>
        <v>0</v>
      </c>
      <c r="T351" s="31">
        <f>IF($D351="","",IFERROR(VLOOKUP($B351,Kraftvärmeprod!$B$1:$BX$550,MATCH(T$2,Kraftvärmeprod!$B$1:$VX$1,0),FALSE)/1,0)-IFERROR(VLOOKUP($B351,'Slutlig allokering kvv'!$B$2:$BX$550,MATCH(T$2,'Slutlig allokering kvv'!$B$1:$BX$1,0),FALSE)/1,0))</f>
        <v>0</v>
      </c>
      <c r="U351" s="31">
        <f>IF($D351="","",IFERROR(VLOOKUP($B351,Kraftvärmeprod!$B$1:$BX$550,MATCH(U$2,Kraftvärmeprod!$B$1:$VX$1,0),FALSE)/1,0)-IFERROR(VLOOKUP($B351,'Slutlig allokering kvv'!$B$2:$BX$550,MATCH(U$2,'Slutlig allokering kvv'!$B$1:$BX$1,0),FALSE)/1,0))</f>
        <v>0</v>
      </c>
      <c r="V351" s="31">
        <f>IF($D351="","",IFERROR(VLOOKUP($B351,Kraftvärmeprod!$B$1:$BX$550,MATCH(V$2,Kraftvärmeprod!$B$1:$VX$1,0),FALSE)/1,0)-IFERROR(VLOOKUP($B351,'Slutlig allokering kvv'!$B$2:$BX$550,MATCH(V$2,'Slutlig allokering kvv'!$B$1:$BX$1,0),FALSE)/1,0))</f>
        <v>25.224000000000004</v>
      </c>
      <c r="W351" s="31">
        <f>IF($D351="","",IFERROR(VLOOKUP($B351,Kraftvärmeprod!$B$1:$BX$550,MATCH(W$2,Kraftvärmeprod!$B$1:$VX$1,0),FALSE)/1,0)-IFERROR(VLOOKUP($B351,'Slutlig allokering kvv'!$B$2:$BX$550,MATCH(W$2,'Slutlig allokering kvv'!$B$1:$BX$1,0),FALSE)/1,0))</f>
        <v>0</v>
      </c>
      <c r="X351" s="31">
        <f>IF($D351="","",IFERROR(VLOOKUP($B351,Kraftvärmeprod!$B$1:$BX$550,MATCH(X$2,Kraftvärmeprod!$B$1:$VX$1,0),FALSE)/1,0)-IFERROR(VLOOKUP($B351,'Slutlig allokering kvv'!$B$2:$BX$550,MATCH(X$2,'Slutlig allokering kvv'!$B$1:$BX$1,0),FALSE)/1,0))</f>
        <v>0</v>
      </c>
      <c r="Y351" s="31">
        <f>IF($D351="","",IFERROR(VLOOKUP($B351,Kraftvärmeprod!$B$1:$BX$550,MATCH(Y$2,Kraftvärmeprod!$B$1:$VX$1,0),FALSE)/1,0)-IFERROR(VLOOKUP($B351,'Slutlig allokering kvv'!$B$2:$BX$550,MATCH(Y$2,'Slutlig allokering kvv'!$B$1:$BX$1,0),FALSE)/1,0))</f>
        <v>0</v>
      </c>
      <c r="Z351" s="31">
        <f>IF($D351="","",IFERROR(VLOOKUP($B351,Kraftvärmeprod!$B$1:$BX$550,MATCH(Z$2,Kraftvärmeprod!$B$1:$VX$1,0),FALSE)/1,0)-IFERROR(VLOOKUP($B351,'Slutlig allokering kvv'!$B$2:$BX$550,MATCH(Z$2,'Slutlig allokering kvv'!$B$1:$BX$1,0),FALSE)/1,0))</f>
        <v>23.915400000000002</v>
      </c>
      <c r="AA351" s="31">
        <f>IF($D351="","",IFERROR(VLOOKUP($B351,Kraftvärmeprod!$B$1:$BX$550,MATCH(AA$2,Kraftvärmeprod!$B$1:$VX$1,0),FALSE)/1,0)-IFERROR(VLOOKUP($B351,'Slutlig allokering kvv'!$B$2:$BX$550,MATCH(AA$2,'Slutlig allokering kvv'!$B$1:$BX$1,0),FALSE)/1,0))</f>
        <v>0</v>
      </c>
      <c r="AB351" s="31">
        <f>IF($D351="","",IFERROR(VLOOKUP($B351,Kraftvärmeprod!$B$1:$BX$550,MATCH(AB$2,Kraftvärmeprod!$B$1:$VX$1,0),FALSE)/1,0)-IFERROR(VLOOKUP($B351,'Slutlig allokering kvv'!$B$2:$BX$550,MATCH(AB$2,'Slutlig allokering kvv'!$B$1:$BX$1,0),FALSE)/1,0))</f>
        <v>0</v>
      </c>
      <c r="AC351" s="31">
        <f>IF($D351="","",IFERROR(VLOOKUP($B351,Kraftvärmeprod!$B$1:$BX$550,MATCH(AC$2,Kraftvärmeprod!$B$1:$VX$1,0),FALSE)/1,0)-IFERROR(VLOOKUP($B351,'Slutlig allokering kvv'!$B$2:$BX$550,MATCH(AC$2,'Slutlig allokering kvv'!$B$1:$BX$1,0),FALSE)/1,0))</f>
        <v>0</v>
      </c>
      <c r="AD351" s="31">
        <f>IF($D351="","",IFERROR(VLOOKUP($B351,Kraftvärmeprod!$B$1:$BX$550,MATCH(AD$2,Kraftvärmeprod!$B$1:$VX$1,0),FALSE)/1,0)-IFERROR(VLOOKUP($B351,'Slutlig allokering kvv'!$B$2:$BX$550,MATCH(AD$2,'Slutlig allokering kvv'!$B$1:$BX$1,0),FALSE)/1,0))</f>
        <v>0</v>
      </c>
      <c r="AE351" s="31">
        <f>IF($D351="","",IFERROR(VLOOKUP($B351,Miljö!$B$1:$E$550,MATCH("Hjälpel kraftvärme (GWh)",Miljö!$B$1:$E$1,0),FALSE)/1,0)-IFERROR(VLOOKUP($B351,'Slutlig allokering kvv'!$B$2:$BX$549,MATCH(AE$2,'Slutlig allokering kvv'!$B$1:$BX$1,0),FALSE)/1,0))</f>
        <v>15.683300000000001</v>
      </c>
      <c r="AI351" s="39">
        <f t="shared" si="20"/>
        <v>455.73278900000003</v>
      </c>
      <c r="AK351" s="31">
        <f>IFERROR(VLOOKUP($B351,'Slutlig allokering kvv'!$B$2:$AX$549,MATCH("Summa slutlig allokerad tillförd energi (utan hjälpel och rökgaskondensering):",'Slutlig allokering kvv'!$B$1:$AX$1,0),FALSE)/1,"")</f>
        <v>410.06721099999999</v>
      </c>
      <c r="AM351" s="31">
        <f>IFERROR(1-VLOOKUP($B351,'Slutlig allokering kvv'!$B$2:$AX$549,MATCH("Andel av bränsle i kvv som allokerats till värme, exklusive rökgaskondensering och hjälpel",'Slutlig allokering kvv'!$B$1:$AX$1,0),FALSE),"")</f>
        <v>0.52637189766689774</v>
      </c>
      <c r="AO351" s="31">
        <f t="shared" si="21"/>
        <v>0.52637189766689774</v>
      </c>
      <c r="AP351" s="31">
        <f t="shared" si="22"/>
        <v>0</v>
      </c>
      <c r="AR351" s="32">
        <f t="shared" si="23"/>
        <v>0.49319487693598851</v>
      </c>
    </row>
    <row r="352" spans="1:44" s="31" customFormat="1" x14ac:dyDescent="0.45">
      <c r="A352" s="31" t="s">
        <v>175</v>
      </c>
      <c r="B352" s="31" t="s">
        <v>177</v>
      </c>
      <c r="C352" s="31" t="str">
        <f>IFERROR(VLOOKUP($B352,Kraftvärmeprod!$B$1:$AH$479,MATCH(C$2,Kraftvärmeprod!$B$1:$AG$1,0),FALSE)/1,"")</f>
        <v/>
      </c>
      <c r="D352" s="31" t="str">
        <f>IFERROR(VLOOKUP($B352,Kraftvärmeprod!$B$1:$AH$479,MATCH(D$2,Kraftvärmeprod!$B$1:$AG$1,0),FALSE)/1,"")</f>
        <v/>
      </c>
      <c r="F352" s="31" t="str">
        <f>IF($D352="","",IFERROR(VLOOKUP($B352,Kraftvärmeprod!$B$1:$BX$550,MATCH(F$2,Kraftvärmeprod!$B$1:$VX$1,0),FALSE)/1,0)-IFERROR(VLOOKUP($B352,'Slutlig allokering kvv'!$B$2:$BX$550,MATCH(F$2,'Slutlig allokering kvv'!$B$1:$BX$1,0),FALSE)/1,0))</f>
        <v/>
      </c>
      <c r="G352" s="31" t="str">
        <f>IF($D352="","",IFERROR(VLOOKUP($B352,Kraftvärmeprod!$B$1:$BX$550,MATCH(G$2,Kraftvärmeprod!$B$1:$VX$1,0),FALSE)/1,0)-IFERROR(VLOOKUP($B352,'Slutlig allokering kvv'!$B$2:$BX$550,MATCH(G$2,'Slutlig allokering kvv'!$B$1:$BX$1,0),FALSE)/1,0))</f>
        <v/>
      </c>
      <c r="H352" s="31" t="str">
        <f>IF($D352="","",IFERROR(VLOOKUP($B352,Kraftvärmeprod!$B$1:$BX$550,MATCH(H$2,Kraftvärmeprod!$B$1:$VX$1,0),FALSE)/1,0)-IFERROR(VLOOKUP($B352,'Slutlig allokering kvv'!$B$2:$BX$550,MATCH(H$2,'Slutlig allokering kvv'!$B$1:$BX$1,0),FALSE)/1,0))</f>
        <v/>
      </c>
      <c r="I352" s="31" t="str">
        <f>IF($D352="","",IFERROR(VLOOKUP($B352,Kraftvärmeprod!$B$1:$BX$550,MATCH(I$2,Kraftvärmeprod!$B$1:$VX$1,0),FALSE)/1,0)-IFERROR(VLOOKUP($B352,'Slutlig allokering kvv'!$B$2:$BX$550,MATCH(I$2,'Slutlig allokering kvv'!$B$1:$BX$1,0),FALSE)/1,0))</f>
        <v/>
      </c>
      <c r="J352" s="31" t="str">
        <f>IF($D352="","",IFERROR(VLOOKUP($B352,Kraftvärmeprod!$B$1:$BX$550,MATCH(J$2,Kraftvärmeprod!$B$1:$VX$1,0),FALSE)/1,0)-IFERROR(VLOOKUP($B352,'Slutlig allokering kvv'!$B$2:$BX$550,MATCH(J$2,'Slutlig allokering kvv'!$B$1:$BX$1,0),FALSE)/1,0))</f>
        <v/>
      </c>
      <c r="K352" s="31" t="str">
        <f>IF($D352="","",IFERROR(VLOOKUP($B352,Kraftvärmeprod!$B$1:$BX$550,MATCH(K$2,Kraftvärmeprod!$B$1:$VX$1,0),FALSE)/1,0)-IFERROR(VLOOKUP($B352,'Slutlig allokering kvv'!$B$2:$BX$550,MATCH(K$2,'Slutlig allokering kvv'!$B$1:$BX$1,0),FALSE)/1,0))</f>
        <v/>
      </c>
      <c r="L352" s="31" t="str">
        <f>IF($D352="","",IFERROR(VLOOKUP($B352,Kraftvärmeprod!$B$1:$BX$550,MATCH(L$2,Kraftvärmeprod!$B$1:$VX$1,0),FALSE)/1,0)-IFERROR(VLOOKUP($B352,'Slutlig allokering kvv'!$B$2:$BX$550,MATCH(L$2,'Slutlig allokering kvv'!$B$1:$BX$1,0),FALSE)/1,0))</f>
        <v/>
      </c>
      <c r="M352" s="31" t="str">
        <f>IF($D352="","",IFERROR(VLOOKUP($B352,Kraftvärmeprod!$B$1:$BX$550,MATCH(M$2,Kraftvärmeprod!$B$1:$VX$1,0),FALSE)/1,0)-IFERROR(VLOOKUP($B352,'Slutlig allokering kvv'!$B$2:$BX$550,MATCH(M$2,'Slutlig allokering kvv'!$B$1:$BX$1,0),FALSE)/1,0))</f>
        <v/>
      </c>
      <c r="N352" s="31" t="str">
        <f>IF($D352="","",IFERROR(VLOOKUP($B352,Kraftvärmeprod!$B$1:$BX$550,MATCH(N$2,Kraftvärmeprod!$B$1:$VX$1,0),FALSE)/1,0)-IFERROR(VLOOKUP($B352,'Slutlig allokering kvv'!$B$2:$BX$550,MATCH(N$2,'Slutlig allokering kvv'!$B$1:$BX$1,0),FALSE)/1,0))</f>
        <v/>
      </c>
      <c r="O352" s="31" t="str">
        <f>IF($D352="","",IFERROR(VLOOKUP($B352,Kraftvärmeprod!$B$1:$BX$550,MATCH(O$2,Kraftvärmeprod!$B$1:$VX$1,0),FALSE)/1,0)-IFERROR(VLOOKUP($B352,'Slutlig allokering kvv'!$B$2:$BX$550,MATCH(O$2,'Slutlig allokering kvv'!$B$1:$BX$1,0),FALSE)/1,0))</f>
        <v/>
      </c>
      <c r="P352" s="31" t="str">
        <f>IF($D352="","",IFERROR(VLOOKUP($B352,Kraftvärmeprod!$B$1:$BX$550,MATCH(P$2,Kraftvärmeprod!$B$1:$VX$1,0),FALSE)/1,0)-IFERROR(VLOOKUP($B352,'Slutlig allokering kvv'!$B$2:$BX$550,MATCH(P$2,'Slutlig allokering kvv'!$B$1:$BX$1,0),FALSE)/1,0))</f>
        <v/>
      </c>
      <c r="Q352" s="31" t="str">
        <f>IF($D352="","",IFERROR(VLOOKUP($B352,Kraftvärmeprod!$B$1:$BX$550,MATCH(Q$2,Kraftvärmeprod!$B$1:$VX$1,0),FALSE)/1,0)-IFERROR(VLOOKUP($B352,'Slutlig allokering kvv'!$B$2:$BX$550,MATCH(Q$2,'Slutlig allokering kvv'!$B$1:$BX$1,0),FALSE)/1,0))</f>
        <v/>
      </c>
      <c r="R352" s="31" t="str">
        <f>IF($D352="","",IFERROR(VLOOKUP($B352,Kraftvärmeprod!$B$1:$BX$550,MATCH(R$2,Kraftvärmeprod!$B$1:$VX$1,0),FALSE)/1,0)-IFERROR(VLOOKUP($B352,'Slutlig allokering kvv'!$B$2:$BX$550,MATCH(R$2,'Slutlig allokering kvv'!$B$1:$BX$1,0),FALSE)/1,0))</f>
        <v/>
      </c>
      <c r="S352" s="31" t="str">
        <f>IF($D352="","",IFERROR(VLOOKUP($B352,Kraftvärmeprod!$B$1:$BX$550,MATCH(S$2,Kraftvärmeprod!$B$1:$VX$1,0),FALSE)/1,0)-IFERROR(VLOOKUP($B352,'Slutlig allokering kvv'!$B$2:$BX$550,MATCH(S$2,'Slutlig allokering kvv'!$B$1:$BX$1,0),FALSE)/1,0))</f>
        <v/>
      </c>
      <c r="T352" s="31" t="str">
        <f>IF($D352="","",IFERROR(VLOOKUP($B352,Kraftvärmeprod!$B$1:$BX$550,MATCH(T$2,Kraftvärmeprod!$B$1:$VX$1,0),FALSE)/1,0)-IFERROR(VLOOKUP($B352,'Slutlig allokering kvv'!$B$2:$BX$550,MATCH(T$2,'Slutlig allokering kvv'!$B$1:$BX$1,0),FALSE)/1,0))</f>
        <v/>
      </c>
      <c r="U352" s="31" t="str">
        <f>IF($D352="","",IFERROR(VLOOKUP($B352,Kraftvärmeprod!$B$1:$BX$550,MATCH(U$2,Kraftvärmeprod!$B$1:$VX$1,0),FALSE)/1,0)-IFERROR(VLOOKUP($B352,'Slutlig allokering kvv'!$B$2:$BX$550,MATCH(U$2,'Slutlig allokering kvv'!$B$1:$BX$1,0),FALSE)/1,0))</f>
        <v/>
      </c>
      <c r="V352" s="31" t="str">
        <f>IF($D352="","",IFERROR(VLOOKUP($B352,Kraftvärmeprod!$B$1:$BX$550,MATCH(V$2,Kraftvärmeprod!$B$1:$VX$1,0),FALSE)/1,0)-IFERROR(VLOOKUP($B352,'Slutlig allokering kvv'!$B$2:$BX$550,MATCH(V$2,'Slutlig allokering kvv'!$B$1:$BX$1,0),FALSE)/1,0))</f>
        <v/>
      </c>
      <c r="W352" s="31" t="str">
        <f>IF($D352="","",IFERROR(VLOOKUP($B352,Kraftvärmeprod!$B$1:$BX$550,MATCH(W$2,Kraftvärmeprod!$B$1:$VX$1,0),FALSE)/1,0)-IFERROR(VLOOKUP($B352,'Slutlig allokering kvv'!$B$2:$BX$550,MATCH(W$2,'Slutlig allokering kvv'!$B$1:$BX$1,0),FALSE)/1,0))</f>
        <v/>
      </c>
      <c r="X352" s="31" t="str">
        <f>IF($D352="","",IFERROR(VLOOKUP($B352,Kraftvärmeprod!$B$1:$BX$550,MATCH(X$2,Kraftvärmeprod!$B$1:$VX$1,0),FALSE)/1,0)-IFERROR(VLOOKUP($B352,'Slutlig allokering kvv'!$B$2:$BX$550,MATCH(X$2,'Slutlig allokering kvv'!$B$1:$BX$1,0),FALSE)/1,0))</f>
        <v/>
      </c>
      <c r="Y352" s="31" t="str">
        <f>IF($D352="","",IFERROR(VLOOKUP($B352,Kraftvärmeprod!$B$1:$BX$550,MATCH(Y$2,Kraftvärmeprod!$B$1:$VX$1,0),FALSE)/1,0)-IFERROR(VLOOKUP($B352,'Slutlig allokering kvv'!$B$2:$BX$550,MATCH(Y$2,'Slutlig allokering kvv'!$B$1:$BX$1,0),FALSE)/1,0))</f>
        <v/>
      </c>
      <c r="Z352" s="31" t="str">
        <f>IF($D352="","",IFERROR(VLOOKUP($B352,Kraftvärmeprod!$B$1:$BX$550,MATCH(Z$2,Kraftvärmeprod!$B$1:$VX$1,0),FALSE)/1,0)-IFERROR(VLOOKUP($B352,'Slutlig allokering kvv'!$B$2:$BX$550,MATCH(Z$2,'Slutlig allokering kvv'!$B$1:$BX$1,0),FALSE)/1,0))</f>
        <v/>
      </c>
      <c r="AA352" s="31" t="str">
        <f>IF($D352="","",IFERROR(VLOOKUP($B352,Kraftvärmeprod!$B$1:$BX$550,MATCH(AA$2,Kraftvärmeprod!$B$1:$VX$1,0),FALSE)/1,0)-IFERROR(VLOOKUP($B352,'Slutlig allokering kvv'!$B$2:$BX$550,MATCH(AA$2,'Slutlig allokering kvv'!$B$1:$BX$1,0),FALSE)/1,0))</f>
        <v/>
      </c>
      <c r="AB352" s="31" t="str">
        <f>IF($D352="","",IFERROR(VLOOKUP($B352,Kraftvärmeprod!$B$1:$BX$550,MATCH(AB$2,Kraftvärmeprod!$B$1:$VX$1,0),FALSE)/1,0)-IFERROR(VLOOKUP($B352,'Slutlig allokering kvv'!$B$2:$BX$550,MATCH(AB$2,'Slutlig allokering kvv'!$B$1:$BX$1,0),FALSE)/1,0))</f>
        <v/>
      </c>
      <c r="AC352" s="31" t="str">
        <f>IF($D352="","",IFERROR(VLOOKUP($B352,Kraftvärmeprod!$B$1:$BX$550,MATCH(AC$2,Kraftvärmeprod!$B$1:$VX$1,0),FALSE)/1,0)-IFERROR(VLOOKUP($B352,'Slutlig allokering kvv'!$B$2:$BX$550,MATCH(AC$2,'Slutlig allokering kvv'!$B$1:$BX$1,0),FALSE)/1,0))</f>
        <v/>
      </c>
      <c r="AD352" s="31" t="str">
        <f>IF($D352="","",IFERROR(VLOOKUP($B352,Kraftvärmeprod!$B$1:$BX$550,MATCH(AD$2,Kraftvärmeprod!$B$1:$VX$1,0),FALSE)/1,0)-IFERROR(VLOOKUP($B352,'Slutlig allokering kvv'!$B$2:$BX$550,MATCH(AD$2,'Slutlig allokering kvv'!$B$1:$BX$1,0),FALSE)/1,0))</f>
        <v/>
      </c>
      <c r="AE352" s="31" t="str">
        <f>IF($D352="","",IFERROR(VLOOKUP($B352,Miljö!$B$1:$E$550,MATCH("Hjälpel kraftvärme (GWh)",Miljö!$B$1:$E$1,0),FALSE)/1,0)-IFERROR(VLOOKUP($B352,'Slutlig allokering kvv'!$B$2:$BX$549,MATCH(AE$2,'Slutlig allokering kvv'!$B$1:$BX$1,0),FALSE)/1,0))</f>
        <v/>
      </c>
      <c r="AI352" s="39">
        <f t="shared" si="20"/>
        <v>0</v>
      </c>
      <c r="AK352" s="31">
        <f>IFERROR(VLOOKUP($B352,'Slutlig allokering kvv'!$B$2:$AX$549,MATCH("Summa slutlig allokerad tillförd energi (utan hjälpel och rökgaskondensering):",'Slutlig allokering kvv'!$B$1:$AX$1,0),FALSE)/1,"")</f>
        <v>0</v>
      </c>
      <c r="AM352" s="31" t="str">
        <f>IFERROR(1-VLOOKUP($B352,'Slutlig allokering kvv'!$B$2:$AX$549,MATCH("Andel av bränsle i kvv som allokerats till värme, exklusive rökgaskondensering och hjälpel",'Slutlig allokering kvv'!$B$1:$AX$1,0),FALSE),"")</f>
        <v/>
      </c>
      <c r="AO352" s="31" t="str">
        <f t="shared" si="21"/>
        <v/>
      </c>
      <c r="AP352" s="31" t="str">
        <f t="shared" si="22"/>
        <v/>
      </c>
      <c r="AR352" s="32" t="str">
        <f t="shared" si="23"/>
        <v/>
      </c>
    </row>
    <row r="353" spans="1:44" s="31" customFormat="1" x14ac:dyDescent="0.45">
      <c r="A353" s="31" t="s">
        <v>172</v>
      </c>
      <c r="B353" s="31" t="s">
        <v>171</v>
      </c>
      <c r="C353" s="31" t="str">
        <f>IFERROR(VLOOKUP($B353,Kraftvärmeprod!$B$1:$AH$479,MATCH(C$2,Kraftvärmeprod!$B$1:$AG$1,0),FALSE)/1,"")</f>
        <v/>
      </c>
      <c r="D353" s="31" t="str">
        <f>IFERROR(VLOOKUP($B353,Kraftvärmeprod!$B$1:$AH$479,MATCH(D$2,Kraftvärmeprod!$B$1:$AG$1,0),FALSE)/1,"")</f>
        <v/>
      </c>
      <c r="F353" s="31" t="str">
        <f>IF($D353="","",IFERROR(VLOOKUP($B353,Kraftvärmeprod!$B$1:$BX$550,MATCH(F$2,Kraftvärmeprod!$B$1:$VX$1,0),FALSE)/1,0)-IFERROR(VLOOKUP($B353,'Slutlig allokering kvv'!$B$2:$BX$550,MATCH(F$2,'Slutlig allokering kvv'!$B$1:$BX$1,0),FALSE)/1,0))</f>
        <v/>
      </c>
      <c r="G353" s="31" t="str">
        <f>IF($D353="","",IFERROR(VLOOKUP($B353,Kraftvärmeprod!$B$1:$BX$550,MATCH(G$2,Kraftvärmeprod!$B$1:$VX$1,0),FALSE)/1,0)-IFERROR(VLOOKUP($B353,'Slutlig allokering kvv'!$B$2:$BX$550,MATCH(G$2,'Slutlig allokering kvv'!$B$1:$BX$1,0),FALSE)/1,0))</f>
        <v/>
      </c>
      <c r="H353" s="31" t="str">
        <f>IF($D353="","",IFERROR(VLOOKUP($B353,Kraftvärmeprod!$B$1:$BX$550,MATCH(H$2,Kraftvärmeprod!$B$1:$VX$1,0),FALSE)/1,0)-IFERROR(VLOOKUP($B353,'Slutlig allokering kvv'!$B$2:$BX$550,MATCH(H$2,'Slutlig allokering kvv'!$B$1:$BX$1,0),FALSE)/1,0))</f>
        <v/>
      </c>
      <c r="I353" s="31" t="str">
        <f>IF($D353="","",IFERROR(VLOOKUP($B353,Kraftvärmeprod!$B$1:$BX$550,MATCH(I$2,Kraftvärmeprod!$B$1:$VX$1,0),FALSE)/1,0)-IFERROR(VLOOKUP($B353,'Slutlig allokering kvv'!$B$2:$BX$550,MATCH(I$2,'Slutlig allokering kvv'!$B$1:$BX$1,0),FALSE)/1,0))</f>
        <v/>
      </c>
      <c r="J353" s="31" t="str">
        <f>IF($D353="","",IFERROR(VLOOKUP($B353,Kraftvärmeprod!$B$1:$BX$550,MATCH(J$2,Kraftvärmeprod!$B$1:$VX$1,0),FALSE)/1,0)-IFERROR(VLOOKUP($B353,'Slutlig allokering kvv'!$B$2:$BX$550,MATCH(J$2,'Slutlig allokering kvv'!$B$1:$BX$1,0),FALSE)/1,0))</f>
        <v/>
      </c>
      <c r="K353" s="31" t="str">
        <f>IF($D353="","",IFERROR(VLOOKUP($B353,Kraftvärmeprod!$B$1:$BX$550,MATCH(K$2,Kraftvärmeprod!$B$1:$VX$1,0),FALSE)/1,0)-IFERROR(VLOOKUP($B353,'Slutlig allokering kvv'!$B$2:$BX$550,MATCH(K$2,'Slutlig allokering kvv'!$B$1:$BX$1,0),FALSE)/1,0))</f>
        <v/>
      </c>
      <c r="L353" s="31" t="str">
        <f>IF($D353="","",IFERROR(VLOOKUP($B353,Kraftvärmeprod!$B$1:$BX$550,MATCH(L$2,Kraftvärmeprod!$B$1:$VX$1,0),FALSE)/1,0)-IFERROR(VLOOKUP($B353,'Slutlig allokering kvv'!$B$2:$BX$550,MATCH(L$2,'Slutlig allokering kvv'!$B$1:$BX$1,0),FALSE)/1,0))</f>
        <v/>
      </c>
      <c r="M353" s="31" t="str">
        <f>IF($D353="","",IFERROR(VLOOKUP($B353,Kraftvärmeprod!$B$1:$BX$550,MATCH(M$2,Kraftvärmeprod!$B$1:$VX$1,0),FALSE)/1,0)-IFERROR(VLOOKUP($B353,'Slutlig allokering kvv'!$B$2:$BX$550,MATCH(M$2,'Slutlig allokering kvv'!$B$1:$BX$1,0),FALSE)/1,0))</f>
        <v/>
      </c>
      <c r="N353" s="31" t="str">
        <f>IF($D353="","",IFERROR(VLOOKUP($B353,Kraftvärmeprod!$B$1:$BX$550,MATCH(N$2,Kraftvärmeprod!$B$1:$VX$1,0),FALSE)/1,0)-IFERROR(VLOOKUP($B353,'Slutlig allokering kvv'!$B$2:$BX$550,MATCH(N$2,'Slutlig allokering kvv'!$B$1:$BX$1,0),FALSE)/1,0))</f>
        <v/>
      </c>
      <c r="O353" s="31" t="str">
        <f>IF($D353="","",IFERROR(VLOOKUP($B353,Kraftvärmeprod!$B$1:$BX$550,MATCH(O$2,Kraftvärmeprod!$B$1:$VX$1,0),FALSE)/1,0)-IFERROR(VLOOKUP($B353,'Slutlig allokering kvv'!$B$2:$BX$550,MATCH(O$2,'Slutlig allokering kvv'!$B$1:$BX$1,0),FALSE)/1,0))</f>
        <v/>
      </c>
      <c r="P353" s="31" t="str">
        <f>IF($D353="","",IFERROR(VLOOKUP($B353,Kraftvärmeprod!$B$1:$BX$550,MATCH(P$2,Kraftvärmeprod!$B$1:$VX$1,0),FALSE)/1,0)-IFERROR(VLOOKUP($B353,'Slutlig allokering kvv'!$B$2:$BX$550,MATCH(P$2,'Slutlig allokering kvv'!$B$1:$BX$1,0),FALSE)/1,0))</f>
        <v/>
      </c>
      <c r="Q353" s="31" t="str">
        <f>IF($D353="","",IFERROR(VLOOKUP($B353,Kraftvärmeprod!$B$1:$BX$550,MATCH(Q$2,Kraftvärmeprod!$B$1:$VX$1,0),FALSE)/1,0)-IFERROR(VLOOKUP($B353,'Slutlig allokering kvv'!$B$2:$BX$550,MATCH(Q$2,'Slutlig allokering kvv'!$B$1:$BX$1,0),FALSE)/1,0))</f>
        <v/>
      </c>
      <c r="R353" s="31" t="str">
        <f>IF($D353="","",IFERROR(VLOOKUP($B353,Kraftvärmeprod!$B$1:$BX$550,MATCH(R$2,Kraftvärmeprod!$B$1:$VX$1,0),FALSE)/1,0)-IFERROR(VLOOKUP($B353,'Slutlig allokering kvv'!$B$2:$BX$550,MATCH(R$2,'Slutlig allokering kvv'!$B$1:$BX$1,0),FALSE)/1,0))</f>
        <v/>
      </c>
      <c r="S353" s="31" t="str">
        <f>IF($D353="","",IFERROR(VLOOKUP($B353,Kraftvärmeprod!$B$1:$BX$550,MATCH(S$2,Kraftvärmeprod!$B$1:$VX$1,0),FALSE)/1,0)-IFERROR(VLOOKUP($B353,'Slutlig allokering kvv'!$B$2:$BX$550,MATCH(S$2,'Slutlig allokering kvv'!$B$1:$BX$1,0),FALSE)/1,0))</f>
        <v/>
      </c>
      <c r="T353" s="31" t="str">
        <f>IF($D353="","",IFERROR(VLOOKUP($B353,Kraftvärmeprod!$B$1:$BX$550,MATCH(T$2,Kraftvärmeprod!$B$1:$VX$1,0),FALSE)/1,0)-IFERROR(VLOOKUP($B353,'Slutlig allokering kvv'!$B$2:$BX$550,MATCH(T$2,'Slutlig allokering kvv'!$B$1:$BX$1,0),FALSE)/1,0))</f>
        <v/>
      </c>
      <c r="U353" s="31" t="str">
        <f>IF($D353="","",IFERROR(VLOOKUP($B353,Kraftvärmeprod!$B$1:$BX$550,MATCH(U$2,Kraftvärmeprod!$B$1:$VX$1,0),FALSE)/1,0)-IFERROR(VLOOKUP($B353,'Slutlig allokering kvv'!$B$2:$BX$550,MATCH(U$2,'Slutlig allokering kvv'!$B$1:$BX$1,0),FALSE)/1,0))</f>
        <v/>
      </c>
      <c r="V353" s="31" t="str">
        <f>IF($D353="","",IFERROR(VLOOKUP($B353,Kraftvärmeprod!$B$1:$BX$550,MATCH(V$2,Kraftvärmeprod!$B$1:$VX$1,0),FALSE)/1,0)-IFERROR(VLOOKUP($B353,'Slutlig allokering kvv'!$B$2:$BX$550,MATCH(V$2,'Slutlig allokering kvv'!$B$1:$BX$1,0),FALSE)/1,0))</f>
        <v/>
      </c>
      <c r="W353" s="31" t="str">
        <f>IF($D353="","",IFERROR(VLOOKUP($B353,Kraftvärmeprod!$B$1:$BX$550,MATCH(W$2,Kraftvärmeprod!$B$1:$VX$1,0),FALSE)/1,0)-IFERROR(VLOOKUP($B353,'Slutlig allokering kvv'!$B$2:$BX$550,MATCH(W$2,'Slutlig allokering kvv'!$B$1:$BX$1,0),FALSE)/1,0))</f>
        <v/>
      </c>
      <c r="X353" s="31" t="str">
        <f>IF($D353="","",IFERROR(VLOOKUP($B353,Kraftvärmeprod!$B$1:$BX$550,MATCH(X$2,Kraftvärmeprod!$B$1:$VX$1,0),FALSE)/1,0)-IFERROR(VLOOKUP($B353,'Slutlig allokering kvv'!$B$2:$BX$550,MATCH(X$2,'Slutlig allokering kvv'!$B$1:$BX$1,0),FALSE)/1,0))</f>
        <v/>
      </c>
      <c r="Y353" s="31" t="str">
        <f>IF($D353="","",IFERROR(VLOOKUP($B353,Kraftvärmeprod!$B$1:$BX$550,MATCH(Y$2,Kraftvärmeprod!$B$1:$VX$1,0),FALSE)/1,0)-IFERROR(VLOOKUP($B353,'Slutlig allokering kvv'!$B$2:$BX$550,MATCH(Y$2,'Slutlig allokering kvv'!$B$1:$BX$1,0),FALSE)/1,0))</f>
        <v/>
      </c>
      <c r="Z353" s="31" t="str">
        <f>IF($D353="","",IFERROR(VLOOKUP($B353,Kraftvärmeprod!$B$1:$BX$550,MATCH(Z$2,Kraftvärmeprod!$B$1:$VX$1,0),FALSE)/1,0)-IFERROR(VLOOKUP($B353,'Slutlig allokering kvv'!$B$2:$BX$550,MATCH(Z$2,'Slutlig allokering kvv'!$B$1:$BX$1,0),FALSE)/1,0))</f>
        <v/>
      </c>
      <c r="AA353" s="31" t="str">
        <f>IF($D353="","",IFERROR(VLOOKUP($B353,Kraftvärmeprod!$B$1:$BX$550,MATCH(AA$2,Kraftvärmeprod!$B$1:$VX$1,0),FALSE)/1,0)-IFERROR(VLOOKUP($B353,'Slutlig allokering kvv'!$B$2:$BX$550,MATCH(AA$2,'Slutlig allokering kvv'!$B$1:$BX$1,0),FALSE)/1,0))</f>
        <v/>
      </c>
      <c r="AB353" s="31" t="str">
        <f>IF($D353="","",IFERROR(VLOOKUP($B353,Kraftvärmeprod!$B$1:$BX$550,MATCH(AB$2,Kraftvärmeprod!$B$1:$VX$1,0),FALSE)/1,0)-IFERROR(VLOOKUP($B353,'Slutlig allokering kvv'!$B$2:$BX$550,MATCH(AB$2,'Slutlig allokering kvv'!$B$1:$BX$1,0),FALSE)/1,0))</f>
        <v/>
      </c>
      <c r="AC353" s="31" t="str">
        <f>IF($D353="","",IFERROR(VLOOKUP($B353,Kraftvärmeprod!$B$1:$BX$550,MATCH(AC$2,Kraftvärmeprod!$B$1:$VX$1,0),FALSE)/1,0)-IFERROR(VLOOKUP($B353,'Slutlig allokering kvv'!$B$2:$BX$550,MATCH(AC$2,'Slutlig allokering kvv'!$B$1:$BX$1,0),FALSE)/1,0))</f>
        <v/>
      </c>
      <c r="AD353" s="31" t="str">
        <f>IF($D353="","",IFERROR(VLOOKUP($B353,Kraftvärmeprod!$B$1:$BX$550,MATCH(AD$2,Kraftvärmeprod!$B$1:$VX$1,0),FALSE)/1,0)-IFERROR(VLOOKUP($B353,'Slutlig allokering kvv'!$B$2:$BX$550,MATCH(AD$2,'Slutlig allokering kvv'!$B$1:$BX$1,0),FALSE)/1,0))</f>
        <v/>
      </c>
      <c r="AE353" s="31" t="str">
        <f>IF($D353="","",IFERROR(VLOOKUP($B353,Miljö!$B$1:$E$550,MATCH("Hjälpel kraftvärme (GWh)",Miljö!$B$1:$E$1,0),FALSE)/1,0)-IFERROR(VLOOKUP($B353,'Slutlig allokering kvv'!$B$2:$BX$549,MATCH(AE$2,'Slutlig allokering kvv'!$B$1:$BX$1,0),FALSE)/1,0))</f>
        <v/>
      </c>
      <c r="AI353" s="39">
        <f t="shared" si="20"/>
        <v>0</v>
      </c>
      <c r="AK353" s="31">
        <f>IFERROR(VLOOKUP($B353,'Slutlig allokering kvv'!$B$2:$AX$549,MATCH("Summa slutlig allokerad tillförd energi (utan hjälpel och rökgaskondensering):",'Slutlig allokering kvv'!$B$1:$AX$1,0),FALSE)/1,"")</f>
        <v>0</v>
      </c>
      <c r="AM353" s="31" t="str">
        <f>IFERROR(1-VLOOKUP($B353,'Slutlig allokering kvv'!$B$2:$AX$549,MATCH("Andel av bränsle i kvv som allokerats till värme, exklusive rökgaskondensering och hjälpel",'Slutlig allokering kvv'!$B$1:$AX$1,0),FALSE),"")</f>
        <v/>
      </c>
      <c r="AO353" s="31" t="str">
        <f t="shared" si="21"/>
        <v/>
      </c>
      <c r="AP353" s="31" t="str">
        <f t="shared" si="22"/>
        <v/>
      </c>
      <c r="AR353" s="32" t="str">
        <f t="shared" si="23"/>
        <v/>
      </c>
    </row>
    <row r="354" spans="1:44" s="31" customFormat="1" x14ac:dyDescent="0.45">
      <c r="A354" s="31" t="s">
        <v>169</v>
      </c>
      <c r="B354" s="31" t="s">
        <v>170</v>
      </c>
      <c r="C354" s="31" t="str">
        <f>IFERROR(VLOOKUP($B354,Kraftvärmeprod!$B$1:$AH$479,MATCH(C$2,Kraftvärmeprod!$B$1:$AG$1,0),FALSE)/1,"")</f>
        <v/>
      </c>
      <c r="D354" s="31" t="str">
        <f>IFERROR(VLOOKUP($B354,Kraftvärmeprod!$B$1:$AH$479,MATCH(D$2,Kraftvärmeprod!$B$1:$AG$1,0),FALSE)/1,"")</f>
        <v/>
      </c>
      <c r="F354" s="31" t="str">
        <f>IF($D354="","",IFERROR(VLOOKUP($B354,Kraftvärmeprod!$B$1:$BX$550,MATCH(F$2,Kraftvärmeprod!$B$1:$VX$1,0),FALSE)/1,0)-IFERROR(VLOOKUP($B354,'Slutlig allokering kvv'!$B$2:$BX$550,MATCH(F$2,'Slutlig allokering kvv'!$B$1:$BX$1,0),FALSE)/1,0))</f>
        <v/>
      </c>
      <c r="G354" s="31" t="str">
        <f>IF($D354="","",IFERROR(VLOOKUP($B354,Kraftvärmeprod!$B$1:$BX$550,MATCH(G$2,Kraftvärmeprod!$B$1:$VX$1,0),FALSE)/1,0)-IFERROR(VLOOKUP($B354,'Slutlig allokering kvv'!$B$2:$BX$550,MATCH(G$2,'Slutlig allokering kvv'!$B$1:$BX$1,0),FALSE)/1,0))</f>
        <v/>
      </c>
      <c r="H354" s="31" t="str">
        <f>IF($D354="","",IFERROR(VLOOKUP($B354,Kraftvärmeprod!$B$1:$BX$550,MATCH(H$2,Kraftvärmeprod!$B$1:$VX$1,0),FALSE)/1,0)-IFERROR(VLOOKUP($B354,'Slutlig allokering kvv'!$B$2:$BX$550,MATCH(H$2,'Slutlig allokering kvv'!$B$1:$BX$1,0),FALSE)/1,0))</f>
        <v/>
      </c>
      <c r="I354" s="31" t="str">
        <f>IF($D354="","",IFERROR(VLOOKUP($B354,Kraftvärmeprod!$B$1:$BX$550,MATCH(I$2,Kraftvärmeprod!$B$1:$VX$1,0),FALSE)/1,0)-IFERROR(VLOOKUP($B354,'Slutlig allokering kvv'!$B$2:$BX$550,MATCH(I$2,'Slutlig allokering kvv'!$B$1:$BX$1,0),FALSE)/1,0))</f>
        <v/>
      </c>
      <c r="J354" s="31" t="str">
        <f>IF($D354="","",IFERROR(VLOOKUP($B354,Kraftvärmeprod!$B$1:$BX$550,MATCH(J$2,Kraftvärmeprod!$B$1:$VX$1,0),FALSE)/1,0)-IFERROR(VLOOKUP($B354,'Slutlig allokering kvv'!$B$2:$BX$550,MATCH(J$2,'Slutlig allokering kvv'!$B$1:$BX$1,0),FALSE)/1,0))</f>
        <v/>
      </c>
      <c r="K354" s="31" t="str">
        <f>IF($D354="","",IFERROR(VLOOKUP($B354,Kraftvärmeprod!$B$1:$BX$550,MATCH(K$2,Kraftvärmeprod!$B$1:$VX$1,0),FALSE)/1,0)-IFERROR(VLOOKUP($B354,'Slutlig allokering kvv'!$B$2:$BX$550,MATCH(K$2,'Slutlig allokering kvv'!$B$1:$BX$1,0),FALSE)/1,0))</f>
        <v/>
      </c>
      <c r="L354" s="31" t="str">
        <f>IF($D354="","",IFERROR(VLOOKUP($B354,Kraftvärmeprod!$B$1:$BX$550,MATCH(L$2,Kraftvärmeprod!$B$1:$VX$1,0),FALSE)/1,0)-IFERROR(VLOOKUP($B354,'Slutlig allokering kvv'!$B$2:$BX$550,MATCH(L$2,'Slutlig allokering kvv'!$B$1:$BX$1,0),FALSE)/1,0))</f>
        <v/>
      </c>
      <c r="M354" s="31" t="str">
        <f>IF($D354="","",IFERROR(VLOOKUP($B354,Kraftvärmeprod!$B$1:$BX$550,MATCH(M$2,Kraftvärmeprod!$B$1:$VX$1,0),FALSE)/1,0)-IFERROR(VLOOKUP($B354,'Slutlig allokering kvv'!$B$2:$BX$550,MATCH(M$2,'Slutlig allokering kvv'!$B$1:$BX$1,0),FALSE)/1,0))</f>
        <v/>
      </c>
      <c r="N354" s="31" t="str">
        <f>IF($D354="","",IFERROR(VLOOKUP($B354,Kraftvärmeprod!$B$1:$BX$550,MATCH(N$2,Kraftvärmeprod!$B$1:$VX$1,0),FALSE)/1,0)-IFERROR(VLOOKUP($B354,'Slutlig allokering kvv'!$B$2:$BX$550,MATCH(N$2,'Slutlig allokering kvv'!$B$1:$BX$1,0),FALSE)/1,0))</f>
        <v/>
      </c>
      <c r="O354" s="31" t="str">
        <f>IF($D354="","",IFERROR(VLOOKUP($B354,Kraftvärmeprod!$B$1:$BX$550,MATCH(O$2,Kraftvärmeprod!$B$1:$VX$1,0),FALSE)/1,0)-IFERROR(VLOOKUP($B354,'Slutlig allokering kvv'!$B$2:$BX$550,MATCH(O$2,'Slutlig allokering kvv'!$B$1:$BX$1,0),FALSE)/1,0))</f>
        <v/>
      </c>
      <c r="P354" s="31" t="str">
        <f>IF($D354="","",IFERROR(VLOOKUP($B354,Kraftvärmeprod!$B$1:$BX$550,MATCH(P$2,Kraftvärmeprod!$B$1:$VX$1,0),FALSE)/1,0)-IFERROR(VLOOKUP($B354,'Slutlig allokering kvv'!$B$2:$BX$550,MATCH(P$2,'Slutlig allokering kvv'!$B$1:$BX$1,0),FALSE)/1,0))</f>
        <v/>
      </c>
      <c r="Q354" s="31" t="str">
        <f>IF($D354="","",IFERROR(VLOOKUP($B354,Kraftvärmeprod!$B$1:$BX$550,MATCH(Q$2,Kraftvärmeprod!$B$1:$VX$1,0),FALSE)/1,0)-IFERROR(VLOOKUP($B354,'Slutlig allokering kvv'!$B$2:$BX$550,MATCH(Q$2,'Slutlig allokering kvv'!$B$1:$BX$1,0),FALSE)/1,0))</f>
        <v/>
      </c>
      <c r="R354" s="31" t="str">
        <f>IF($D354="","",IFERROR(VLOOKUP($B354,Kraftvärmeprod!$B$1:$BX$550,MATCH(R$2,Kraftvärmeprod!$B$1:$VX$1,0),FALSE)/1,0)-IFERROR(VLOOKUP($B354,'Slutlig allokering kvv'!$B$2:$BX$550,MATCH(R$2,'Slutlig allokering kvv'!$B$1:$BX$1,0),FALSE)/1,0))</f>
        <v/>
      </c>
      <c r="S354" s="31" t="str">
        <f>IF($D354="","",IFERROR(VLOOKUP($B354,Kraftvärmeprod!$B$1:$BX$550,MATCH(S$2,Kraftvärmeprod!$B$1:$VX$1,0),FALSE)/1,0)-IFERROR(VLOOKUP($B354,'Slutlig allokering kvv'!$B$2:$BX$550,MATCH(S$2,'Slutlig allokering kvv'!$B$1:$BX$1,0),FALSE)/1,0))</f>
        <v/>
      </c>
      <c r="T354" s="31" t="str">
        <f>IF($D354="","",IFERROR(VLOOKUP($B354,Kraftvärmeprod!$B$1:$BX$550,MATCH(T$2,Kraftvärmeprod!$B$1:$VX$1,0),FALSE)/1,0)-IFERROR(VLOOKUP($B354,'Slutlig allokering kvv'!$B$2:$BX$550,MATCH(T$2,'Slutlig allokering kvv'!$B$1:$BX$1,0),FALSE)/1,0))</f>
        <v/>
      </c>
      <c r="U354" s="31" t="str">
        <f>IF($D354="","",IFERROR(VLOOKUP($B354,Kraftvärmeprod!$B$1:$BX$550,MATCH(U$2,Kraftvärmeprod!$B$1:$VX$1,0),FALSE)/1,0)-IFERROR(VLOOKUP($B354,'Slutlig allokering kvv'!$B$2:$BX$550,MATCH(U$2,'Slutlig allokering kvv'!$B$1:$BX$1,0),FALSE)/1,0))</f>
        <v/>
      </c>
      <c r="V354" s="31" t="str">
        <f>IF($D354="","",IFERROR(VLOOKUP($B354,Kraftvärmeprod!$B$1:$BX$550,MATCH(V$2,Kraftvärmeprod!$B$1:$VX$1,0),FALSE)/1,0)-IFERROR(VLOOKUP($B354,'Slutlig allokering kvv'!$B$2:$BX$550,MATCH(V$2,'Slutlig allokering kvv'!$B$1:$BX$1,0),FALSE)/1,0))</f>
        <v/>
      </c>
      <c r="W354" s="31" t="str">
        <f>IF($D354="","",IFERROR(VLOOKUP($B354,Kraftvärmeprod!$B$1:$BX$550,MATCH(W$2,Kraftvärmeprod!$B$1:$VX$1,0),FALSE)/1,0)-IFERROR(VLOOKUP($B354,'Slutlig allokering kvv'!$B$2:$BX$550,MATCH(W$2,'Slutlig allokering kvv'!$B$1:$BX$1,0),FALSE)/1,0))</f>
        <v/>
      </c>
      <c r="X354" s="31" t="str">
        <f>IF($D354="","",IFERROR(VLOOKUP($B354,Kraftvärmeprod!$B$1:$BX$550,MATCH(X$2,Kraftvärmeprod!$B$1:$VX$1,0),FALSE)/1,0)-IFERROR(VLOOKUP($B354,'Slutlig allokering kvv'!$B$2:$BX$550,MATCH(X$2,'Slutlig allokering kvv'!$B$1:$BX$1,0),FALSE)/1,0))</f>
        <v/>
      </c>
      <c r="Y354" s="31" t="str">
        <f>IF($D354="","",IFERROR(VLOOKUP($B354,Kraftvärmeprod!$B$1:$BX$550,MATCH(Y$2,Kraftvärmeprod!$B$1:$VX$1,0),FALSE)/1,0)-IFERROR(VLOOKUP($B354,'Slutlig allokering kvv'!$B$2:$BX$550,MATCH(Y$2,'Slutlig allokering kvv'!$B$1:$BX$1,0),FALSE)/1,0))</f>
        <v/>
      </c>
      <c r="Z354" s="31" t="str">
        <f>IF($D354="","",IFERROR(VLOOKUP($B354,Kraftvärmeprod!$B$1:$BX$550,MATCH(Z$2,Kraftvärmeprod!$B$1:$VX$1,0),FALSE)/1,0)-IFERROR(VLOOKUP($B354,'Slutlig allokering kvv'!$B$2:$BX$550,MATCH(Z$2,'Slutlig allokering kvv'!$B$1:$BX$1,0),FALSE)/1,0))</f>
        <v/>
      </c>
      <c r="AA354" s="31" t="str">
        <f>IF($D354="","",IFERROR(VLOOKUP($B354,Kraftvärmeprod!$B$1:$BX$550,MATCH(AA$2,Kraftvärmeprod!$B$1:$VX$1,0),FALSE)/1,0)-IFERROR(VLOOKUP($B354,'Slutlig allokering kvv'!$B$2:$BX$550,MATCH(AA$2,'Slutlig allokering kvv'!$B$1:$BX$1,0),FALSE)/1,0))</f>
        <v/>
      </c>
      <c r="AB354" s="31" t="str">
        <f>IF($D354="","",IFERROR(VLOOKUP($B354,Kraftvärmeprod!$B$1:$BX$550,MATCH(AB$2,Kraftvärmeprod!$B$1:$VX$1,0),FALSE)/1,0)-IFERROR(VLOOKUP($B354,'Slutlig allokering kvv'!$B$2:$BX$550,MATCH(AB$2,'Slutlig allokering kvv'!$B$1:$BX$1,0),FALSE)/1,0))</f>
        <v/>
      </c>
      <c r="AC354" s="31" t="str">
        <f>IF($D354="","",IFERROR(VLOOKUP($B354,Kraftvärmeprod!$B$1:$BX$550,MATCH(AC$2,Kraftvärmeprod!$B$1:$VX$1,0),FALSE)/1,0)-IFERROR(VLOOKUP($B354,'Slutlig allokering kvv'!$B$2:$BX$550,MATCH(AC$2,'Slutlig allokering kvv'!$B$1:$BX$1,0),FALSE)/1,0))</f>
        <v/>
      </c>
      <c r="AD354" s="31" t="str">
        <f>IF($D354="","",IFERROR(VLOOKUP($B354,Kraftvärmeprod!$B$1:$BX$550,MATCH(AD$2,Kraftvärmeprod!$B$1:$VX$1,0),FALSE)/1,0)-IFERROR(VLOOKUP($B354,'Slutlig allokering kvv'!$B$2:$BX$550,MATCH(AD$2,'Slutlig allokering kvv'!$B$1:$BX$1,0),FALSE)/1,0))</f>
        <v/>
      </c>
      <c r="AE354" s="31" t="str">
        <f>IF($D354="","",IFERROR(VLOOKUP($B354,Miljö!$B$1:$E$550,MATCH("Hjälpel kraftvärme (GWh)",Miljö!$B$1:$E$1,0),FALSE)/1,0)-IFERROR(VLOOKUP($B354,'Slutlig allokering kvv'!$B$2:$BX$549,MATCH(AE$2,'Slutlig allokering kvv'!$B$1:$BX$1,0),FALSE)/1,0))</f>
        <v/>
      </c>
      <c r="AI354" s="39">
        <f t="shared" si="20"/>
        <v>0</v>
      </c>
      <c r="AK354" s="31">
        <f>IFERROR(VLOOKUP($B354,'Slutlig allokering kvv'!$B$2:$AX$549,MATCH("Summa slutlig allokerad tillförd energi (utan hjälpel och rökgaskondensering):",'Slutlig allokering kvv'!$B$1:$AX$1,0),FALSE)/1,"")</f>
        <v>0</v>
      </c>
      <c r="AM354" s="31" t="str">
        <f>IFERROR(1-VLOOKUP($B354,'Slutlig allokering kvv'!$B$2:$AX$549,MATCH("Andel av bränsle i kvv som allokerats till värme, exklusive rökgaskondensering och hjälpel",'Slutlig allokering kvv'!$B$1:$AX$1,0),FALSE),"")</f>
        <v/>
      </c>
      <c r="AO354" s="31" t="str">
        <f t="shared" si="21"/>
        <v/>
      </c>
      <c r="AP354" s="31" t="str">
        <f t="shared" si="22"/>
        <v/>
      </c>
      <c r="AR354" s="32" t="str">
        <f t="shared" si="23"/>
        <v/>
      </c>
    </row>
    <row r="355" spans="1:44" s="31" customFormat="1" x14ac:dyDescent="0.45">
      <c r="A355" s="31" t="s">
        <v>169</v>
      </c>
      <c r="B355" s="31" t="s">
        <v>168</v>
      </c>
      <c r="C355" s="31" t="str">
        <f>IFERROR(VLOOKUP($B355,Kraftvärmeprod!$B$1:$AH$479,MATCH(C$2,Kraftvärmeprod!$B$1:$AG$1,0),FALSE)/1,"")</f>
        <v/>
      </c>
      <c r="D355" s="31" t="str">
        <f>IFERROR(VLOOKUP($B355,Kraftvärmeprod!$B$1:$AH$479,MATCH(D$2,Kraftvärmeprod!$B$1:$AG$1,0),FALSE)/1,"")</f>
        <v/>
      </c>
      <c r="F355" s="31" t="str">
        <f>IF($D355="","",IFERROR(VLOOKUP($B355,Kraftvärmeprod!$B$1:$BX$550,MATCH(F$2,Kraftvärmeprod!$B$1:$VX$1,0),FALSE)/1,0)-IFERROR(VLOOKUP($B355,'Slutlig allokering kvv'!$B$2:$BX$550,MATCH(F$2,'Slutlig allokering kvv'!$B$1:$BX$1,0),FALSE)/1,0))</f>
        <v/>
      </c>
      <c r="G355" s="31" t="str">
        <f>IF($D355="","",IFERROR(VLOOKUP($B355,Kraftvärmeprod!$B$1:$BX$550,MATCH(G$2,Kraftvärmeprod!$B$1:$VX$1,0),FALSE)/1,0)-IFERROR(VLOOKUP($B355,'Slutlig allokering kvv'!$B$2:$BX$550,MATCH(G$2,'Slutlig allokering kvv'!$B$1:$BX$1,0),FALSE)/1,0))</f>
        <v/>
      </c>
      <c r="H355" s="31" t="str">
        <f>IF($D355="","",IFERROR(VLOOKUP($B355,Kraftvärmeprod!$B$1:$BX$550,MATCH(H$2,Kraftvärmeprod!$B$1:$VX$1,0),FALSE)/1,0)-IFERROR(VLOOKUP($B355,'Slutlig allokering kvv'!$B$2:$BX$550,MATCH(H$2,'Slutlig allokering kvv'!$B$1:$BX$1,0),FALSE)/1,0))</f>
        <v/>
      </c>
      <c r="I355" s="31" t="str">
        <f>IF($D355="","",IFERROR(VLOOKUP($B355,Kraftvärmeprod!$B$1:$BX$550,MATCH(I$2,Kraftvärmeprod!$B$1:$VX$1,0),FALSE)/1,0)-IFERROR(VLOOKUP($B355,'Slutlig allokering kvv'!$B$2:$BX$550,MATCH(I$2,'Slutlig allokering kvv'!$B$1:$BX$1,0),FALSE)/1,0))</f>
        <v/>
      </c>
      <c r="J355" s="31" t="str">
        <f>IF($D355="","",IFERROR(VLOOKUP($B355,Kraftvärmeprod!$B$1:$BX$550,MATCH(J$2,Kraftvärmeprod!$B$1:$VX$1,0),FALSE)/1,0)-IFERROR(VLOOKUP($B355,'Slutlig allokering kvv'!$B$2:$BX$550,MATCH(J$2,'Slutlig allokering kvv'!$B$1:$BX$1,0),FALSE)/1,0))</f>
        <v/>
      </c>
      <c r="K355" s="31" t="str">
        <f>IF($D355="","",IFERROR(VLOOKUP($B355,Kraftvärmeprod!$B$1:$BX$550,MATCH(K$2,Kraftvärmeprod!$B$1:$VX$1,0),FALSE)/1,0)-IFERROR(VLOOKUP($B355,'Slutlig allokering kvv'!$B$2:$BX$550,MATCH(K$2,'Slutlig allokering kvv'!$B$1:$BX$1,0),FALSE)/1,0))</f>
        <v/>
      </c>
      <c r="L355" s="31" t="str">
        <f>IF($D355="","",IFERROR(VLOOKUP($B355,Kraftvärmeprod!$B$1:$BX$550,MATCH(L$2,Kraftvärmeprod!$B$1:$VX$1,0),FALSE)/1,0)-IFERROR(VLOOKUP($B355,'Slutlig allokering kvv'!$B$2:$BX$550,MATCH(L$2,'Slutlig allokering kvv'!$B$1:$BX$1,0),FALSE)/1,0))</f>
        <v/>
      </c>
      <c r="M355" s="31" t="str">
        <f>IF($D355="","",IFERROR(VLOOKUP($B355,Kraftvärmeprod!$B$1:$BX$550,MATCH(M$2,Kraftvärmeprod!$B$1:$VX$1,0),FALSE)/1,0)-IFERROR(VLOOKUP($B355,'Slutlig allokering kvv'!$B$2:$BX$550,MATCH(M$2,'Slutlig allokering kvv'!$B$1:$BX$1,0),FALSE)/1,0))</f>
        <v/>
      </c>
      <c r="N355" s="31" t="str">
        <f>IF($D355="","",IFERROR(VLOOKUP($B355,Kraftvärmeprod!$B$1:$BX$550,MATCH(N$2,Kraftvärmeprod!$B$1:$VX$1,0),FALSE)/1,0)-IFERROR(VLOOKUP($B355,'Slutlig allokering kvv'!$B$2:$BX$550,MATCH(N$2,'Slutlig allokering kvv'!$B$1:$BX$1,0),FALSE)/1,0))</f>
        <v/>
      </c>
      <c r="O355" s="31" t="str">
        <f>IF($D355="","",IFERROR(VLOOKUP($B355,Kraftvärmeprod!$B$1:$BX$550,MATCH(O$2,Kraftvärmeprod!$B$1:$VX$1,0),FALSE)/1,0)-IFERROR(VLOOKUP($B355,'Slutlig allokering kvv'!$B$2:$BX$550,MATCH(O$2,'Slutlig allokering kvv'!$B$1:$BX$1,0),FALSE)/1,0))</f>
        <v/>
      </c>
      <c r="P355" s="31" t="str">
        <f>IF($D355="","",IFERROR(VLOOKUP($B355,Kraftvärmeprod!$B$1:$BX$550,MATCH(P$2,Kraftvärmeprod!$B$1:$VX$1,0),FALSE)/1,0)-IFERROR(VLOOKUP($B355,'Slutlig allokering kvv'!$B$2:$BX$550,MATCH(P$2,'Slutlig allokering kvv'!$B$1:$BX$1,0),FALSE)/1,0))</f>
        <v/>
      </c>
      <c r="Q355" s="31" t="str">
        <f>IF($D355="","",IFERROR(VLOOKUP($B355,Kraftvärmeprod!$B$1:$BX$550,MATCH(Q$2,Kraftvärmeprod!$B$1:$VX$1,0),FALSE)/1,0)-IFERROR(VLOOKUP($B355,'Slutlig allokering kvv'!$B$2:$BX$550,MATCH(Q$2,'Slutlig allokering kvv'!$B$1:$BX$1,0),FALSE)/1,0))</f>
        <v/>
      </c>
      <c r="R355" s="31" t="str">
        <f>IF($D355="","",IFERROR(VLOOKUP($B355,Kraftvärmeprod!$B$1:$BX$550,MATCH(R$2,Kraftvärmeprod!$B$1:$VX$1,0),FALSE)/1,0)-IFERROR(VLOOKUP($B355,'Slutlig allokering kvv'!$B$2:$BX$550,MATCH(R$2,'Slutlig allokering kvv'!$B$1:$BX$1,0),FALSE)/1,0))</f>
        <v/>
      </c>
      <c r="S355" s="31" t="str">
        <f>IF($D355="","",IFERROR(VLOOKUP($B355,Kraftvärmeprod!$B$1:$BX$550,MATCH(S$2,Kraftvärmeprod!$B$1:$VX$1,0),FALSE)/1,0)-IFERROR(VLOOKUP($B355,'Slutlig allokering kvv'!$B$2:$BX$550,MATCH(S$2,'Slutlig allokering kvv'!$B$1:$BX$1,0),FALSE)/1,0))</f>
        <v/>
      </c>
      <c r="T355" s="31" t="str">
        <f>IF($D355="","",IFERROR(VLOOKUP($B355,Kraftvärmeprod!$B$1:$BX$550,MATCH(T$2,Kraftvärmeprod!$B$1:$VX$1,0),FALSE)/1,0)-IFERROR(VLOOKUP($B355,'Slutlig allokering kvv'!$B$2:$BX$550,MATCH(T$2,'Slutlig allokering kvv'!$B$1:$BX$1,0),FALSE)/1,0))</f>
        <v/>
      </c>
      <c r="U355" s="31" t="str">
        <f>IF($D355="","",IFERROR(VLOOKUP($B355,Kraftvärmeprod!$B$1:$BX$550,MATCH(U$2,Kraftvärmeprod!$B$1:$VX$1,0),FALSE)/1,0)-IFERROR(VLOOKUP($B355,'Slutlig allokering kvv'!$B$2:$BX$550,MATCH(U$2,'Slutlig allokering kvv'!$B$1:$BX$1,0),FALSE)/1,0))</f>
        <v/>
      </c>
      <c r="V355" s="31" t="str">
        <f>IF($D355="","",IFERROR(VLOOKUP($B355,Kraftvärmeprod!$B$1:$BX$550,MATCH(V$2,Kraftvärmeprod!$B$1:$VX$1,0),FALSE)/1,0)-IFERROR(VLOOKUP($B355,'Slutlig allokering kvv'!$B$2:$BX$550,MATCH(V$2,'Slutlig allokering kvv'!$B$1:$BX$1,0),FALSE)/1,0))</f>
        <v/>
      </c>
      <c r="W355" s="31" t="str">
        <f>IF($D355="","",IFERROR(VLOOKUP($B355,Kraftvärmeprod!$B$1:$BX$550,MATCH(W$2,Kraftvärmeprod!$B$1:$VX$1,0),FALSE)/1,0)-IFERROR(VLOOKUP($B355,'Slutlig allokering kvv'!$B$2:$BX$550,MATCH(W$2,'Slutlig allokering kvv'!$B$1:$BX$1,0),FALSE)/1,0))</f>
        <v/>
      </c>
      <c r="X355" s="31" t="str">
        <f>IF($D355="","",IFERROR(VLOOKUP($B355,Kraftvärmeprod!$B$1:$BX$550,MATCH(X$2,Kraftvärmeprod!$B$1:$VX$1,0),FALSE)/1,0)-IFERROR(VLOOKUP($B355,'Slutlig allokering kvv'!$B$2:$BX$550,MATCH(X$2,'Slutlig allokering kvv'!$B$1:$BX$1,0),FALSE)/1,0))</f>
        <v/>
      </c>
      <c r="Y355" s="31" t="str">
        <f>IF($D355="","",IFERROR(VLOOKUP($B355,Kraftvärmeprod!$B$1:$BX$550,MATCH(Y$2,Kraftvärmeprod!$B$1:$VX$1,0),FALSE)/1,0)-IFERROR(VLOOKUP($B355,'Slutlig allokering kvv'!$B$2:$BX$550,MATCH(Y$2,'Slutlig allokering kvv'!$B$1:$BX$1,0),FALSE)/1,0))</f>
        <v/>
      </c>
      <c r="Z355" s="31" t="str">
        <f>IF($D355="","",IFERROR(VLOOKUP($B355,Kraftvärmeprod!$B$1:$BX$550,MATCH(Z$2,Kraftvärmeprod!$B$1:$VX$1,0),FALSE)/1,0)-IFERROR(VLOOKUP($B355,'Slutlig allokering kvv'!$B$2:$BX$550,MATCH(Z$2,'Slutlig allokering kvv'!$B$1:$BX$1,0),FALSE)/1,0))</f>
        <v/>
      </c>
      <c r="AA355" s="31" t="str">
        <f>IF($D355="","",IFERROR(VLOOKUP($B355,Kraftvärmeprod!$B$1:$BX$550,MATCH(AA$2,Kraftvärmeprod!$B$1:$VX$1,0),FALSE)/1,0)-IFERROR(VLOOKUP($B355,'Slutlig allokering kvv'!$B$2:$BX$550,MATCH(AA$2,'Slutlig allokering kvv'!$B$1:$BX$1,0),FALSE)/1,0))</f>
        <v/>
      </c>
      <c r="AB355" s="31" t="str">
        <f>IF($D355="","",IFERROR(VLOOKUP($B355,Kraftvärmeprod!$B$1:$BX$550,MATCH(AB$2,Kraftvärmeprod!$B$1:$VX$1,0),FALSE)/1,0)-IFERROR(VLOOKUP($B355,'Slutlig allokering kvv'!$B$2:$BX$550,MATCH(AB$2,'Slutlig allokering kvv'!$B$1:$BX$1,0),FALSE)/1,0))</f>
        <v/>
      </c>
      <c r="AC355" s="31" t="str">
        <f>IF($D355="","",IFERROR(VLOOKUP($B355,Kraftvärmeprod!$B$1:$BX$550,MATCH(AC$2,Kraftvärmeprod!$B$1:$VX$1,0),FALSE)/1,0)-IFERROR(VLOOKUP($B355,'Slutlig allokering kvv'!$B$2:$BX$550,MATCH(AC$2,'Slutlig allokering kvv'!$B$1:$BX$1,0),FALSE)/1,0))</f>
        <v/>
      </c>
      <c r="AD355" s="31" t="str">
        <f>IF($D355="","",IFERROR(VLOOKUP($B355,Kraftvärmeprod!$B$1:$BX$550,MATCH(AD$2,Kraftvärmeprod!$B$1:$VX$1,0),FALSE)/1,0)-IFERROR(VLOOKUP($B355,'Slutlig allokering kvv'!$B$2:$BX$550,MATCH(AD$2,'Slutlig allokering kvv'!$B$1:$BX$1,0),FALSE)/1,0))</f>
        <v/>
      </c>
      <c r="AE355" s="31" t="str">
        <f>IF($D355="","",IFERROR(VLOOKUP($B355,Miljö!$B$1:$E$550,MATCH("Hjälpel kraftvärme (GWh)",Miljö!$B$1:$E$1,0),FALSE)/1,0)-IFERROR(VLOOKUP($B355,'Slutlig allokering kvv'!$B$2:$BX$549,MATCH(AE$2,'Slutlig allokering kvv'!$B$1:$BX$1,0),FALSE)/1,0))</f>
        <v/>
      </c>
      <c r="AI355" s="39">
        <f t="shared" si="20"/>
        <v>0</v>
      </c>
      <c r="AK355" s="31">
        <f>IFERROR(VLOOKUP($B355,'Slutlig allokering kvv'!$B$2:$AX$549,MATCH("Summa slutlig allokerad tillförd energi (utan hjälpel och rökgaskondensering):",'Slutlig allokering kvv'!$B$1:$AX$1,0),FALSE)/1,"")</f>
        <v>0</v>
      </c>
      <c r="AM355" s="31" t="str">
        <f>IFERROR(1-VLOOKUP($B355,'Slutlig allokering kvv'!$B$2:$AX$549,MATCH("Andel av bränsle i kvv som allokerats till värme, exklusive rökgaskondensering och hjälpel",'Slutlig allokering kvv'!$B$1:$AX$1,0),FALSE),"")</f>
        <v/>
      </c>
      <c r="AO355" s="31" t="str">
        <f t="shared" si="21"/>
        <v/>
      </c>
      <c r="AP355" s="31" t="str">
        <f t="shared" si="22"/>
        <v/>
      </c>
      <c r="AR355" s="32" t="str">
        <f t="shared" si="23"/>
        <v/>
      </c>
    </row>
    <row r="356" spans="1:44" s="31" customFormat="1" x14ac:dyDescent="0.45">
      <c r="A356" s="31" t="s">
        <v>162</v>
      </c>
      <c r="B356" s="31" t="s">
        <v>166</v>
      </c>
      <c r="C356" s="31">
        <f>IFERROR(VLOOKUP($B356,Kraftvärmeprod!$B$1:$AH$479,MATCH(C$2,Kraftvärmeprod!$B$1:$AG$1,0),FALSE)/1,"")</f>
        <v>598</v>
      </c>
      <c r="D356" s="31">
        <f>IFERROR(VLOOKUP($B356,Kraftvärmeprod!$B$1:$AH$479,MATCH(D$2,Kraftvärmeprod!$B$1:$AG$1,0),FALSE)/1,"")</f>
        <v>192.93899999999999</v>
      </c>
      <c r="F356" s="31">
        <f>IF($D356="","",IFERROR(VLOOKUP($B356,Kraftvärmeprod!$B$1:$BX$550,MATCH(F$2,Kraftvärmeprod!$B$1:$VX$1,0),FALSE)/1,0)-IFERROR(VLOOKUP($B356,'Slutlig allokering kvv'!$B$2:$BX$550,MATCH(F$2,'Slutlig allokering kvv'!$B$1:$BX$1,0),FALSE)/1,0))</f>
        <v>0</v>
      </c>
      <c r="G356" s="31">
        <f>IF($D356="","",IFERROR(VLOOKUP($B356,Kraftvärmeprod!$B$1:$BX$550,MATCH(G$2,Kraftvärmeprod!$B$1:$VX$1,0),FALSE)/1,0)-IFERROR(VLOOKUP($B356,'Slutlig allokering kvv'!$B$2:$BX$550,MATCH(G$2,'Slutlig allokering kvv'!$B$1:$BX$1,0),FALSE)/1,0))</f>
        <v>0.18100000000000002</v>
      </c>
      <c r="H356" s="31">
        <f>IF($D356="","",IFERROR(VLOOKUP($B356,Kraftvärmeprod!$B$1:$BX$550,MATCH(H$2,Kraftvärmeprod!$B$1:$VX$1,0),FALSE)/1,0)-IFERROR(VLOOKUP($B356,'Slutlig allokering kvv'!$B$2:$BX$550,MATCH(H$2,'Slutlig allokering kvv'!$B$1:$BX$1,0),FALSE)/1,0))</f>
        <v>0</v>
      </c>
      <c r="I356" s="31">
        <f>IF($D356="","",IFERROR(VLOOKUP($B356,Kraftvärmeprod!$B$1:$BX$550,MATCH(I$2,Kraftvärmeprod!$B$1:$VX$1,0),FALSE)/1,0)-IFERROR(VLOOKUP($B356,'Slutlig allokering kvv'!$B$2:$BX$550,MATCH(I$2,'Slutlig allokering kvv'!$B$1:$BX$1,0),FALSE)/1,0))</f>
        <v>1.1119999999999999</v>
      </c>
      <c r="J356" s="31">
        <f>IF($D356="","",IFERROR(VLOOKUP($B356,Kraftvärmeprod!$B$1:$BX$550,MATCH(J$2,Kraftvärmeprod!$B$1:$VX$1,0),FALSE)/1,0)-IFERROR(VLOOKUP($B356,'Slutlig allokering kvv'!$B$2:$BX$550,MATCH(J$2,'Slutlig allokering kvv'!$B$1:$BX$1,0),FALSE)/1,0))</f>
        <v>0</v>
      </c>
      <c r="K356" s="31">
        <f>IF($D356="","",IFERROR(VLOOKUP($B356,Kraftvärmeprod!$B$1:$BX$550,MATCH(K$2,Kraftvärmeprod!$B$1:$VX$1,0),FALSE)/1,0)-IFERROR(VLOOKUP($B356,'Slutlig allokering kvv'!$B$2:$BX$550,MATCH(K$2,'Slutlig allokering kvv'!$B$1:$BX$1,0),FALSE)/1,0))</f>
        <v>0</v>
      </c>
      <c r="L356" s="31">
        <f>IF($D356="","",IFERROR(VLOOKUP($B356,Kraftvärmeprod!$B$1:$BX$550,MATCH(L$2,Kraftvärmeprod!$B$1:$VX$1,0),FALSE)/1,0)-IFERROR(VLOOKUP($B356,'Slutlig allokering kvv'!$B$2:$BX$550,MATCH(L$2,'Slutlig allokering kvv'!$B$1:$BX$1,0),FALSE)/1,0))</f>
        <v>0</v>
      </c>
      <c r="M356" s="31">
        <f>IF($D356="","",IFERROR(VLOOKUP($B356,Kraftvärmeprod!$B$1:$BX$550,MATCH(M$2,Kraftvärmeprod!$B$1:$VX$1,0),FALSE)/1,0)-IFERROR(VLOOKUP($B356,'Slutlig allokering kvv'!$B$2:$BX$550,MATCH(M$2,'Slutlig allokering kvv'!$B$1:$BX$1,0),FALSE)/1,0))</f>
        <v>0</v>
      </c>
      <c r="N356" s="31">
        <f>IF($D356="","",IFERROR(VLOOKUP($B356,Kraftvärmeprod!$B$1:$BX$550,MATCH(N$2,Kraftvärmeprod!$B$1:$VX$1,0),FALSE)/1,0)-IFERROR(VLOOKUP($B356,'Slutlig allokering kvv'!$B$2:$BX$550,MATCH(N$2,'Slutlig allokering kvv'!$B$1:$BX$1,0),FALSE)/1,0))</f>
        <v>0</v>
      </c>
      <c r="O356" s="31">
        <f>IF($D356="","",IFERROR(VLOOKUP($B356,Kraftvärmeprod!$B$1:$BX$550,MATCH(O$2,Kraftvärmeprod!$B$1:$VX$1,0),FALSE)/1,0)-IFERROR(VLOOKUP($B356,'Slutlig allokering kvv'!$B$2:$BX$550,MATCH(O$2,'Slutlig allokering kvv'!$B$1:$BX$1,0),FALSE)/1,0))</f>
        <v>0</v>
      </c>
      <c r="P356" s="31">
        <f>IF($D356="","",IFERROR(VLOOKUP($B356,Kraftvärmeprod!$B$1:$BX$550,MATCH(P$2,Kraftvärmeprod!$B$1:$VX$1,0),FALSE)/1,0)-IFERROR(VLOOKUP($B356,'Slutlig allokering kvv'!$B$2:$BX$550,MATCH(P$2,'Slutlig allokering kvv'!$B$1:$BX$1,0),FALSE)/1,0))</f>
        <v>0</v>
      </c>
      <c r="Q356" s="31">
        <f>IF($D356="","",IFERROR(VLOOKUP($B356,Kraftvärmeprod!$B$1:$BX$550,MATCH(Q$2,Kraftvärmeprod!$B$1:$VX$1,0),FALSE)/1,0)-IFERROR(VLOOKUP($B356,'Slutlig allokering kvv'!$B$2:$BX$550,MATCH(Q$2,'Slutlig allokering kvv'!$B$1:$BX$1,0),FALSE)/1,0))</f>
        <v>0</v>
      </c>
      <c r="R356" s="31">
        <f>IF($D356="","",IFERROR(VLOOKUP($B356,Kraftvärmeprod!$B$1:$BX$550,MATCH(R$2,Kraftvärmeprod!$B$1:$VX$1,0),FALSE)/1,0)-IFERROR(VLOOKUP($B356,'Slutlig allokering kvv'!$B$2:$BX$550,MATCH(R$2,'Slutlig allokering kvv'!$B$1:$BX$1,0),FALSE)/1,0))</f>
        <v>0</v>
      </c>
      <c r="S356" s="31">
        <f>IF($D356="","",IFERROR(VLOOKUP($B356,Kraftvärmeprod!$B$1:$BX$550,MATCH(S$2,Kraftvärmeprod!$B$1:$VX$1,0),FALSE)/1,0)-IFERROR(VLOOKUP($B356,'Slutlig allokering kvv'!$B$2:$BX$550,MATCH(S$2,'Slutlig allokering kvv'!$B$1:$BX$1,0),FALSE)/1,0))</f>
        <v>159.4</v>
      </c>
      <c r="T356" s="31">
        <f>IF($D356="","",IFERROR(VLOOKUP($B356,Kraftvärmeprod!$B$1:$BX$550,MATCH(T$2,Kraftvärmeprod!$B$1:$VX$1,0),FALSE)/1,0)-IFERROR(VLOOKUP($B356,'Slutlig allokering kvv'!$B$2:$BX$550,MATCH(T$2,'Slutlig allokering kvv'!$B$1:$BX$1,0),FALSE)/1,0))</f>
        <v>0</v>
      </c>
      <c r="U356" s="31">
        <f>IF($D356="","",IFERROR(VLOOKUP($B356,Kraftvärmeprod!$B$1:$BX$550,MATCH(U$2,Kraftvärmeprod!$B$1:$VX$1,0),FALSE)/1,0)-IFERROR(VLOOKUP($B356,'Slutlig allokering kvv'!$B$2:$BX$550,MATCH(U$2,'Slutlig allokering kvv'!$B$1:$BX$1,0),FALSE)/1,0))</f>
        <v>0</v>
      </c>
      <c r="V356" s="31">
        <f>IF($D356="","",IFERROR(VLOOKUP($B356,Kraftvärmeprod!$B$1:$BX$550,MATCH(V$2,Kraftvärmeprod!$B$1:$VX$1,0),FALSE)/1,0)-IFERROR(VLOOKUP($B356,'Slutlig allokering kvv'!$B$2:$BX$550,MATCH(V$2,'Slutlig allokering kvv'!$B$1:$BX$1,0),FALSE)/1,0))</f>
        <v>0</v>
      </c>
      <c r="W356" s="31">
        <f>IF($D356="","",IFERROR(VLOOKUP($B356,Kraftvärmeprod!$B$1:$BX$550,MATCH(W$2,Kraftvärmeprod!$B$1:$VX$1,0),FALSE)/1,0)-IFERROR(VLOOKUP($B356,'Slutlig allokering kvv'!$B$2:$BX$550,MATCH(W$2,'Slutlig allokering kvv'!$B$1:$BX$1,0),FALSE)/1,0))</f>
        <v>0</v>
      </c>
      <c r="X356" s="31">
        <f>IF($D356="","",IFERROR(VLOOKUP($B356,Kraftvärmeprod!$B$1:$BX$550,MATCH(X$2,Kraftvärmeprod!$B$1:$VX$1,0),FALSE)/1,0)-IFERROR(VLOOKUP($B356,'Slutlig allokering kvv'!$B$2:$BX$550,MATCH(X$2,'Slutlig allokering kvv'!$B$1:$BX$1,0),FALSE)/1,0))</f>
        <v>1.1099999999999999</v>
      </c>
      <c r="Y356" s="31">
        <f>IF($D356="","",IFERROR(VLOOKUP($B356,Kraftvärmeprod!$B$1:$BX$550,MATCH(Y$2,Kraftvärmeprod!$B$1:$VX$1,0),FALSE)/1,0)-IFERROR(VLOOKUP($B356,'Slutlig allokering kvv'!$B$2:$BX$550,MATCH(Y$2,'Slutlig allokering kvv'!$B$1:$BX$1,0),FALSE)/1,0))</f>
        <v>0</v>
      </c>
      <c r="Z356" s="31">
        <f>IF($D356="","",IFERROR(VLOOKUP($B356,Kraftvärmeprod!$B$1:$BX$550,MATCH(Z$2,Kraftvärmeprod!$B$1:$VX$1,0),FALSE)/1,0)-IFERROR(VLOOKUP($B356,'Slutlig allokering kvv'!$B$2:$BX$550,MATCH(Z$2,'Slutlig allokering kvv'!$B$1:$BX$1,0),FALSE)/1,0))</f>
        <v>0</v>
      </c>
      <c r="AA356" s="31">
        <f>IF($D356="","",IFERROR(VLOOKUP($B356,Kraftvärmeprod!$B$1:$BX$550,MATCH(AA$2,Kraftvärmeprod!$B$1:$VX$1,0),FALSE)/1,0)-IFERROR(VLOOKUP($B356,'Slutlig allokering kvv'!$B$2:$BX$550,MATCH(AA$2,'Slutlig allokering kvv'!$B$1:$BX$1,0),FALSE)/1,0))</f>
        <v>325.65999999999997</v>
      </c>
      <c r="AB356" s="31">
        <f>IF($D356="","",IFERROR(VLOOKUP($B356,Kraftvärmeprod!$B$1:$BX$550,MATCH(AB$2,Kraftvärmeprod!$B$1:$VX$1,0),FALSE)/1,0)-IFERROR(VLOOKUP($B356,'Slutlig allokering kvv'!$B$2:$BX$550,MATCH(AB$2,'Slutlig allokering kvv'!$B$1:$BX$1,0),FALSE)/1,0))</f>
        <v>0</v>
      </c>
      <c r="AC356" s="31">
        <f>IF($D356="","",IFERROR(VLOOKUP($B356,Kraftvärmeprod!$B$1:$BX$550,MATCH(AC$2,Kraftvärmeprod!$B$1:$VX$1,0),FALSE)/1,0)-IFERROR(VLOOKUP($B356,'Slutlig allokering kvv'!$B$2:$BX$550,MATCH(AC$2,'Slutlig allokering kvv'!$B$1:$BX$1,0),FALSE)/1,0))</f>
        <v>0</v>
      </c>
      <c r="AD356" s="31">
        <f>IF($D356="","",IFERROR(VLOOKUP($B356,Kraftvärmeprod!$B$1:$BX$550,MATCH(AD$2,Kraftvärmeprod!$B$1:$VX$1,0),FALSE)/1,0)-IFERROR(VLOOKUP($B356,'Slutlig allokering kvv'!$B$2:$BX$550,MATCH(AD$2,'Slutlig allokering kvv'!$B$1:$BX$1,0),FALSE)/1,0))</f>
        <v>0</v>
      </c>
      <c r="AE356" s="31">
        <f>IF($D356="","",IFERROR(VLOOKUP($B356,Miljö!$B$1:$E$550,MATCH("Hjälpel kraftvärme (GWh)",Miljö!$B$1:$E$1,0),FALSE)/1,0)-IFERROR(VLOOKUP($B356,'Slutlig allokering kvv'!$B$2:$BX$549,MATCH(AE$2,'Slutlig allokering kvv'!$B$1:$BX$1,0),FALSE)/1,0))</f>
        <v>15.266500000000001</v>
      </c>
      <c r="AI356" s="39">
        <f t="shared" si="20"/>
        <v>487.46299999999997</v>
      </c>
      <c r="AK356" s="31">
        <f>IFERROR(VLOOKUP($B356,'Slutlig allokering kvv'!$B$2:$AX$549,MATCH("Summa slutlig allokerad tillförd energi (utan hjälpel och rökgaskondensering):",'Slutlig allokering kvv'!$B$1:$AX$1,0),FALSE)/1,"")</f>
        <v>426.18899999999996</v>
      </c>
      <c r="AM356" s="31">
        <f>IFERROR(1-VLOOKUP($B356,'Slutlig allokering kvv'!$B$2:$AX$549,MATCH("Andel av bränsle i kvv som allokerats till värme, exklusive rökgaskondensering och hjälpel",'Slutlig allokering kvv'!$B$1:$AX$1,0),FALSE),"")</f>
        <v>0.53353246093698692</v>
      </c>
      <c r="AO356" s="31">
        <f t="shared" si="21"/>
        <v>0.53353246093698692</v>
      </c>
      <c r="AP356" s="31">
        <f t="shared" si="22"/>
        <v>0</v>
      </c>
      <c r="AR356" s="32">
        <f t="shared" si="23"/>
        <v>0.38378292899064009</v>
      </c>
    </row>
    <row r="357" spans="1:44" s="31" customFormat="1" x14ac:dyDescent="0.45">
      <c r="A357" s="31" t="s">
        <v>162</v>
      </c>
      <c r="B357" s="31" t="s">
        <v>164</v>
      </c>
      <c r="C357" s="31" t="str">
        <f>IFERROR(VLOOKUP($B357,Kraftvärmeprod!$B$1:$AH$479,MATCH(C$2,Kraftvärmeprod!$B$1:$AG$1,0),FALSE)/1,"")</f>
        <v/>
      </c>
      <c r="D357" s="31" t="str">
        <f>IFERROR(VLOOKUP($B357,Kraftvärmeprod!$B$1:$AH$479,MATCH(D$2,Kraftvärmeprod!$B$1:$AG$1,0),FALSE)/1,"")</f>
        <v/>
      </c>
      <c r="F357" s="31" t="str">
        <f>IF($D357="","",IFERROR(VLOOKUP($B357,Kraftvärmeprod!$B$1:$BX$550,MATCH(F$2,Kraftvärmeprod!$B$1:$VX$1,0),FALSE)/1,0)-IFERROR(VLOOKUP($B357,'Slutlig allokering kvv'!$B$2:$BX$550,MATCH(F$2,'Slutlig allokering kvv'!$B$1:$BX$1,0),FALSE)/1,0))</f>
        <v/>
      </c>
      <c r="G357" s="31" t="str">
        <f>IF($D357="","",IFERROR(VLOOKUP($B357,Kraftvärmeprod!$B$1:$BX$550,MATCH(G$2,Kraftvärmeprod!$B$1:$VX$1,0),FALSE)/1,0)-IFERROR(VLOOKUP($B357,'Slutlig allokering kvv'!$B$2:$BX$550,MATCH(G$2,'Slutlig allokering kvv'!$B$1:$BX$1,0),FALSE)/1,0))</f>
        <v/>
      </c>
      <c r="H357" s="31" t="str">
        <f>IF($D357="","",IFERROR(VLOOKUP($B357,Kraftvärmeprod!$B$1:$BX$550,MATCH(H$2,Kraftvärmeprod!$B$1:$VX$1,0),FALSE)/1,0)-IFERROR(VLOOKUP($B357,'Slutlig allokering kvv'!$B$2:$BX$550,MATCH(H$2,'Slutlig allokering kvv'!$B$1:$BX$1,0),FALSE)/1,0))</f>
        <v/>
      </c>
      <c r="I357" s="31" t="str">
        <f>IF($D357="","",IFERROR(VLOOKUP($B357,Kraftvärmeprod!$B$1:$BX$550,MATCH(I$2,Kraftvärmeprod!$B$1:$VX$1,0),FALSE)/1,0)-IFERROR(VLOOKUP($B357,'Slutlig allokering kvv'!$B$2:$BX$550,MATCH(I$2,'Slutlig allokering kvv'!$B$1:$BX$1,0),FALSE)/1,0))</f>
        <v/>
      </c>
      <c r="J357" s="31" t="str">
        <f>IF($D357="","",IFERROR(VLOOKUP($B357,Kraftvärmeprod!$B$1:$BX$550,MATCH(J$2,Kraftvärmeprod!$B$1:$VX$1,0),FALSE)/1,0)-IFERROR(VLOOKUP($B357,'Slutlig allokering kvv'!$B$2:$BX$550,MATCH(J$2,'Slutlig allokering kvv'!$B$1:$BX$1,0),FALSE)/1,0))</f>
        <v/>
      </c>
      <c r="K357" s="31" t="str">
        <f>IF($D357="","",IFERROR(VLOOKUP($B357,Kraftvärmeprod!$B$1:$BX$550,MATCH(K$2,Kraftvärmeprod!$B$1:$VX$1,0),FALSE)/1,0)-IFERROR(VLOOKUP($B357,'Slutlig allokering kvv'!$B$2:$BX$550,MATCH(K$2,'Slutlig allokering kvv'!$B$1:$BX$1,0),FALSE)/1,0))</f>
        <v/>
      </c>
      <c r="L357" s="31" t="str">
        <f>IF($D357="","",IFERROR(VLOOKUP($B357,Kraftvärmeprod!$B$1:$BX$550,MATCH(L$2,Kraftvärmeprod!$B$1:$VX$1,0),FALSE)/1,0)-IFERROR(VLOOKUP($B357,'Slutlig allokering kvv'!$B$2:$BX$550,MATCH(L$2,'Slutlig allokering kvv'!$B$1:$BX$1,0),FALSE)/1,0))</f>
        <v/>
      </c>
      <c r="M357" s="31" t="str">
        <f>IF($D357="","",IFERROR(VLOOKUP($B357,Kraftvärmeprod!$B$1:$BX$550,MATCH(M$2,Kraftvärmeprod!$B$1:$VX$1,0),FALSE)/1,0)-IFERROR(VLOOKUP($B357,'Slutlig allokering kvv'!$B$2:$BX$550,MATCH(M$2,'Slutlig allokering kvv'!$B$1:$BX$1,0),FALSE)/1,0))</f>
        <v/>
      </c>
      <c r="N357" s="31" t="str">
        <f>IF($D357="","",IFERROR(VLOOKUP($B357,Kraftvärmeprod!$B$1:$BX$550,MATCH(N$2,Kraftvärmeprod!$B$1:$VX$1,0),FALSE)/1,0)-IFERROR(VLOOKUP($B357,'Slutlig allokering kvv'!$B$2:$BX$550,MATCH(N$2,'Slutlig allokering kvv'!$B$1:$BX$1,0),FALSE)/1,0))</f>
        <v/>
      </c>
      <c r="O357" s="31" t="str">
        <f>IF($D357="","",IFERROR(VLOOKUP($B357,Kraftvärmeprod!$B$1:$BX$550,MATCH(O$2,Kraftvärmeprod!$B$1:$VX$1,0),FALSE)/1,0)-IFERROR(VLOOKUP($B357,'Slutlig allokering kvv'!$B$2:$BX$550,MATCH(O$2,'Slutlig allokering kvv'!$B$1:$BX$1,0),FALSE)/1,0))</f>
        <v/>
      </c>
      <c r="P357" s="31" t="str">
        <f>IF($D357="","",IFERROR(VLOOKUP($B357,Kraftvärmeprod!$B$1:$BX$550,MATCH(P$2,Kraftvärmeprod!$B$1:$VX$1,0),FALSE)/1,0)-IFERROR(VLOOKUP($B357,'Slutlig allokering kvv'!$B$2:$BX$550,MATCH(P$2,'Slutlig allokering kvv'!$B$1:$BX$1,0),FALSE)/1,0))</f>
        <v/>
      </c>
      <c r="Q357" s="31" t="str">
        <f>IF($D357="","",IFERROR(VLOOKUP($B357,Kraftvärmeprod!$B$1:$BX$550,MATCH(Q$2,Kraftvärmeprod!$B$1:$VX$1,0),FALSE)/1,0)-IFERROR(VLOOKUP($B357,'Slutlig allokering kvv'!$B$2:$BX$550,MATCH(Q$2,'Slutlig allokering kvv'!$B$1:$BX$1,0),FALSE)/1,0))</f>
        <v/>
      </c>
      <c r="R357" s="31" t="str">
        <f>IF($D357="","",IFERROR(VLOOKUP($B357,Kraftvärmeprod!$B$1:$BX$550,MATCH(R$2,Kraftvärmeprod!$B$1:$VX$1,0),FALSE)/1,0)-IFERROR(VLOOKUP($B357,'Slutlig allokering kvv'!$B$2:$BX$550,MATCH(R$2,'Slutlig allokering kvv'!$B$1:$BX$1,0),FALSE)/1,0))</f>
        <v/>
      </c>
      <c r="S357" s="31" t="str">
        <f>IF($D357="","",IFERROR(VLOOKUP($B357,Kraftvärmeprod!$B$1:$BX$550,MATCH(S$2,Kraftvärmeprod!$B$1:$VX$1,0),FALSE)/1,0)-IFERROR(VLOOKUP($B357,'Slutlig allokering kvv'!$B$2:$BX$550,MATCH(S$2,'Slutlig allokering kvv'!$B$1:$BX$1,0),FALSE)/1,0))</f>
        <v/>
      </c>
      <c r="T357" s="31" t="str">
        <f>IF($D357="","",IFERROR(VLOOKUP($B357,Kraftvärmeprod!$B$1:$BX$550,MATCH(T$2,Kraftvärmeprod!$B$1:$VX$1,0),FALSE)/1,0)-IFERROR(VLOOKUP($B357,'Slutlig allokering kvv'!$B$2:$BX$550,MATCH(T$2,'Slutlig allokering kvv'!$B$1:$BX$1,0),FALSE)/1,0))</f>
        <v/>
      </c>
      <c r="U357" s="31" t="str">
        <f>IF($D357="","",IFERROR(VLOOKUP($B357,Kraftvärmeprod!$B$1:$BX$550,MATCH(U$2,Kraftvärmeprod!$B$1:$VX$1,0),FALSE)/1,0)-IFERROR(VLOOKUP($B357,'Slutlig allokering kvv'!$B$2:$BX$550,MATCH(U$2,'Slutlig allokering kvv'!$B$1:$BX$1,0),FALSE)/1,0))</f>
        <v/>
      </c>
      <c r="V357" s="31" t="str">
        <f>IF($D357="","",IFERROR(VLOOKUP($B357,Kraftvärmeprod!$B$1:$BX$550,MATCH(V$2,Kraftvärmeprod!$B$1:$VX$1,0),FALSE)/1,0)-IFERROR(VLOOKUP($B357,'Slutlig allokering kvv'!$B$2:$BX$550,MATCH(V$2,'Slutlig allokering kvv'!$B$1:$BX$1,0),FALSE)/1,0))</f>
        <v/>
      </c>
      <c r="W357" s="31" t="str">
        <f>IF($D357="","",IFERROR(VLOOKUP($B357,Kraftvärmeprod!$B$1:$BX$550,MATCH(W$2,Kraftvärmeprod!$B$1:$VX$1,0),FALSE)/1,0)-IFERROR(VLOOKUP($B357,'Slutlig allokering kvv'!$B$2:$BX$550,MATCH(W$2,'Slutlig allokering kvv'!$B$1:$BX$1,0),FALSE)/1,0))</f>
        <v/>
      </c>
      <c r="X357" s="31" t="str">
        <f>IF($D357="","",IFERROR(VLOOKUP($B357,Kraftvärmeprod!$B$1:$BX$550,MATCH(X$2,Kraftvärmeprod!$B$1:$VX$1,0),FALSE)/1,0)-IFERROR(VLOOKUP($B357,'Slutlig allokering kvv'!$B$2:$BX$550,MATCH(X$2,'Slutlig allokering kvv'!$B$1:$BX$1,0),FALSE)/1,0))</f>
        <v/>
      </c>
      <c r="Y357" s="31" t="str">
        <f>IF($D357="","",IFERROR(VLOOKUP($B357,Kraftvärmeprod!$B$1:$BX$550,MATCH(Y$2,Kraftvärmeprod!$B$1:$VX$1,0),FALSE)/1,0)-IFERROR(VLOOKUP($B357,'Slutlig allokering kvv'!$B$2:$BX$550,MATCH(Y$2,'Slutlig allokering kvv'!$B$1:$BX$1,0),FALSE)/1,0))</f>
        <v/>
      </c>
      <c r="Z357" s="31" t="str">
        <f>IF($D357="","",IFERROR(VLOOKUP($B357,Kraftvärmeprod!$B$1:$BX$550,MATCH(Z$2,Kraftvärmeprod!$B$1:$VX$1,0),FALSE)/1,0)-IFERROR(VLOOKUP($B357,'Slutlig allokering kvv'!$B$2:$BX$550,MATCH(Z$2,'Slutlig allokering kvv'!$B$1:$BX$1,0),FALSE)/1,0))</f>
        <v/>
      </c>
      <c r="AA357" s="31" t="str">
        <f>IF($D357="","",IFERROR(VLOOKUP($B357,Kraftvärmeprod!$B$1:$BX$550,MATCH(AA$2,Kraftvärmeprod!$B$1:$VX$1,0),FALSE)/1,0)-IFERROR(VLOOKUP($B357,'Slutlig allokering kvv'!$B$2:$BX$550,MATCH(AA$2,'Slutlig allokering kvv'!$B$1:$BX$1,0),FALSE)/1,0))</f>
        <v/>
      </c>
      <c r="AB357" s="31" t="str">
        <f>IF($D357="","",IFERROR(VLOOKUP($B357,Kraftvärmeprod!$B$1:$BX$550,MATCH(AB$2,Kraftvärmeprod!$B$1:$VX$1,0),FALSE)/1,0)-IFERROR(VLOOKUP($B357,'Slutlig allokering kvv'!$B$2:$BX$550,MATCH(AB$2,'Slutlig allokering kvv'!$B$1:$BX$1,0),FALSE)/1,0))</f>
        <v/>
      </c>
      <c r="AC357" s="31" t="str">
        <f>IF($D357="","",IFERROR(VLOOKUP($B357,Kraftvärmeprod!$B$1:$BX$550,MATCH(AC$2,Kraftvärmeprod!$B$1:$VX$1,0),FALSE)/1,0)-IFERROR(VLOOKUP($B357,'Slutlig allokering kvv'!$B$2:$BX$550,MATCH(AC$2,'Slutlig allokering kvv'!$B$1:$BX$1,0),FALSE)/1,0))</f>
        <v/>
      </c>
      <c r="AD357" s="31" t="str">
        <f>IF($D357="","",IFERROR(VLOOKUP($B357,Kraftvärmeprod!$B$1:$BX$550,MATCH(AD$2,Kraftvärmeprod!$B$1:$VX$1,0),FALSE)/1,0)-IFERROR(VLOOKUP($B357,'Slutlig allokering kvv'!$B$2:$BX$550,MATCH(AD$2,'Slutlig allokering kvv'!$B$1:$BX$1,0),FALSE)/1,0))</f>
        <v/>
      </c>
      <c r="AE357" s="31" t="str">
        <f>IF($D357="","",IFERROR(VLOOKUP($B357,Miljö!$B$1:$E$550,MATCH("Hjälpel kraftvärme (GWh)",Miljö!$B$1:$E$1,0),FALSE)/1,0)-IFERROR(VLOOKUP($B357,'Slutlig allokering kvv'!$B$2:$BX$549,MATCH(AE$2,'Slutlig allokering kvv'!$B$1:$BX$1,0),FALSE)/1,0))</f>
        <v/>
      </c>
      <c r="AI357" s="39">
        <f t="shared" si="20"/>
        <v>0</v>
      </c>
      <c r="AK357" s="31">
        <f>IFERROR(VLOOKUP($B357,'Slutlig allokering kvv'!$B$2:$AX$549,MATCH("Summa slutlig allokerad tillförd energi (utan hjälpel och rökgaskondensering):",'Slutlig allokering kvv'!$B$1:$AX$1,0),FALSE)/1,"")</f>
        <v>0</v>
      </c>
      <c r="AM357" s="31" t="str">
        <f>IFERROR(1-VLOOKUP($B357,'Slutlig allokering kvv'!$B$2:$AX$549,MATCH("Andel av bränsle i kvv som allokerats till värme, exklusive rökgaskondensering och hjälpel",'Slutlig allokering kvv'!$B$1:$AX$1,0),FALSE),"")</f>
        <v/>
      </c>
      <c r="AO357" s="31" t="str">
        <f t="shared" si="21"/>
        <v/>
      </c>
      <c r="AP357" s="31" t="str">
        <f t="shared" si="22"/>
        <v/>
      </c>
      <c r="AR357" s="32" t="str">
        <f t="shared" si="23"/>
        <v/>
      </c>
    </row>
    <row r="358" spans="1:44" s="31" customFormat="1" x14ac:dyDescent="0.45">
      <c r="A358" s="31" t="s">
        <v>162</v>
      </c>
      <c r="B358" s="31" t="s">
        <v>163</v>
      </c>
      <c r="C358" s="31" t="str">
        <f>IFERROR(VLOOKUP($B358,Kraftvärmeprod!$B$1:$AH$479,MATCH(C$2,Kraftvärmeprod!$B$1:$AG$1,0),FALSE)/1,"")</f>
        <v/>
      </c>
      <c r="D358" s="31" t="str">
        <f>IFERROR(VLOOKUP($B358,Kraftvärmeprod!$B$1:$AH$479,MATCH(D$2,Kraftvärmeprod!$B$1:$AG$1,0),FALSE)/1,"")</f>
        <v/>
      </c>
      <c r="F358" s="31" t="str">
        <f>IF($D358="","",IFERROR(VLOOKUP($B358,Kraftvärmeprod!$B$1:$BX$550,MATCH(F$2,Kraftvärmeprod!$B$1:$VX$1,0),FALSE)/1,0)-IFERROR(VLOOKUP($B358,'Slutlig allokering kvv'!$B$2:$BX$550,MATCH(F$2,'Slutlig allokering kvv'!$B$1:$BX$1,0),FALSE)/1,0))</f>
        <v/>
      </c>
      <c r="G358" s="31" t="str">
        <f>IF($D358="","",IFERROR(VLOOKUP($B358,Kraftvärmeprod!$B$1:$BX$550,MATCH(G$2,Kraftvärmeprod!$B$1:$VX$1,0),FALSE)/1,0)-IFERROR(VLOOKUP($B358,'Slutlig allokering kvv'!$B$2:$BX$550,MATCH(G$2,'Slutlig allokering kvv'!$B$1:$BX$1,0),FALSE)/1,0))</f>
        <v/>
      </c>
      <c r="H358" s="31" t="str">
        <f>IF($D358="","",IFERROR(VLOOKUP($B358,Kraftvärmeprod!$B$1:$BX$550,MATCH(H$2,Kraftvärmeprod!$B$1:$VX$1,0),FALSE)/1,0)-IFERROR(VLOOKUP($B358,'Slutlig allokering kvv'!$B$2:$BX$550,MATCH(H$2,'Slutlig allokering kvv'!$B$1:$BX$1,0),FALSE)/1,0))</f>
        <v/>
      </c>
      <c r="I358" s="31" t="str">
        <f>IF($D358="","",IFERROR(VLOOKUP($B358,Kraftvärmeprod!$B$1:$BX$550,MATCH(I$2,Kraftvärmeprod!$B$1:$VX$1,0),FALSE)/1,0)-IFERROR(VLOOKUP($B358,'Slutlig allokering kvv'!$B$2:$BX$550,MATCH(I$2,'Slutlig allokering kvv'!$B$1:$BX$1,0),FALSE)/1,0))</f>
        <v/>
      </c>
      <c r="J358" s="31" t="str">
        <f>IF($D358="","",IFERROR(VLOOKUP($B358,Kraftvärmeprod!$B$1:$BX$550,MATCH(J$2,Kraftvärmeprod!$B$1:$VX$1,0),FALSE)/1,0)-IFERROR(VLOOKUP($B358,'Slutlig allokering kvv'!$B$2:$BX$550,MATCH(J$2,'Slutlig allokering kvv'!$B$1:$BX$1,0),FALSE)/1,0))</f>
        <v/>
      </c>
      <c r="K358" s="31" t="str">
        <f>IF($D358="","",IFERROR(VLOOKUP($B358,Kraftvärmeprod!$B$1:$BX$550,MATCH(K$2,Kraftvärmeprod!$B$1:$VX$1,0),FALSE)/1,0)-IFERROR(VLOOKUP($B358,'Slutlig allokering kvv'!$B$2:$BX$550,MATCH(K$2,'Slutlig allokering kvv'!$B$1:$BX$1,0),FALSE)/1,0))</f>
        <v/>
      </c>
      <c r="L358" s="31" t="str">
        <f>IF($D358="","",IFERROR(VLOOKUP($B358,Kraftvärmeprod!$B$1:$BX$550,MATCH(L$2,Kraftvärmeprod!$B$1:$VX$1,0),FALSE)/1,0)-IFERROR(VLOOKUP($B358,'Slutlig allokering kvv'!$B$2:$BX$550,MATCH(L$2,'Slutlig allokering kvv'!$B$1:$BX$1,0),FALSE)/1,0))</f>
        <v/>
      </c>
      <c r="M358" s="31" t="str">
        <f>IF($D358="","",IFERROR(VLOOKUP($B358,Kraftvärmeprod!$B$1:$BX$550,MATCH(M$2,Kraftvärmeprod!$B$1:$VX$1,0),FALSE)/1,0)-IFERROR(VLOOKUP($B358,'Slutlig allokering kvv'!$B$2:$BX$550,MATCH(M$2,'Slutlig allokering kvv'!$B$1:$BX$1,0),FALSE)/1,0))</f>
        <v/>
      </c>
      <c r="N358" s="31" t="str">
        <f>IF($D358="","",IFERROR(VLOOKUP($B358,Kraftvärmeprod!$B$1:$BX$550,MATCH(N$2,Kraftvärmeprod!$B$1:$VX$1,0),FALSE)/1,0)-IFERROR(VLOOKUP($B358,'Slutlig allokering kvv'!$B$2:$BX$550,MATCH(N$2,'Slutlig allokering kvv'!$B$1:$BX$1,0),FALSE)/1,0))</f>
        <v/>
      </c>
      <c r="O358" s="31" t="str">
        <f>IF($D358="","",IFERROR(VLOOKUP($B358,Kraftvärmeprod!$B$1:$BX$550,MATCH(O$2,Kraftvärmeprod!$B$1:$VX$1,0),FALSE)/1,0)-IFERROR(VLOOKUP($B358,'Slutlig allokering kvv'!$B$2:$BX$550,MATCH(O$2,'Slutlig allokering kvv'!$B$1:$BX$1,0),FALSE)/1,0))</f>
        <v/>
      </c>
      <c r="P358" s="31" t="str">
        <f>IF($D358="","",IFERROR(VLOOKUP($B358,Kraftvärmeprod!$B$1:$BX$550,MATCH(P$2,Kraftvärmeprod!$B$1:$VX$1,0),FALSE)/1,0)-IFERROR(VLOOKUP($B358,'Slutlig allokering kvv'!$B$2:$BX$550,MATCH(P$2,'Slutlig allokering kvv'!$B$1:$BX$1,0),FALSE)/1,0))</f>
        <v/>
      </c>
      <c r="Q358" s="31" t="str">
        <f>IF($D358="","",IFERROR(VLOOKUP($B358,Kraftvärmeprod!$B$1:$BX$550,MATCH(Q$2,Kraftvärmeprod!$B$1:$VX$1,0),FALSE)/1,0)-IFERROR(VLOOKUP($B358,'Slutlig allokering kvv'!$B$2:$BX$550,MATCH(Q$2,'Slutlig allokering kvv'!$B$1:$BX$1,0),FALSE)/1,0))</f>
        <v/>
      </c>
      <c r="R358" s="31" t="str">
        <f>IF($D358="","",IFERROR(VLOOKUP($B358,Kraftvärmeprod!$B$1:$BX$550,MATCH(R$2,Kraftvärmeprod!$B$1:$VX$1,0),FALSE)/1,0)-IFERROR(VLOOKUP($B358,'Slutlig allokering kvv'!$B$2:$BX$550,MATCH(R$2,'Slutlig allokering kvv'!$B$1:$BX$1,0),FALSE)/1,0))</f>
        <v/>
      </c>
      <c r="S358" s="31" t="str">
        <f>IF($D358="","",IFERROR(VLOOKUP($B358,Kraftvärmeprod!$B$1:$BX$550,MATCH(S$2,Kraftvärmeprod!$B$1:$VX$1,0),FALSE)/1,0)-IFERROR(VLOOKUP($B358,'Slutlig allokering kvv'!$B$2:$BX$550,MATCH(S$2,'Slutlig allokering kvv'!$B$1:$BX$1,0),FALSE)/1,0))</f>
        <v/>
      </c>
      <c r="T358" s="31" t="str">
        <f>IF($D358="","",IFERROR(VLOOKUP($B358,Kraftvärmeprod!$B$1:$BX$550,MATCH(T$2,Kraftvärmeprod!$B$1:$VX$1,0),FALSE)/1,0)-IFERROR(VLOOKUP($B358,'Slutlig allokering kvv'!$B$2:$BX$550,MATCH(T$2,'Slutlig allokering kvv'!$B$1:$BX$1,0),FALSE)/1,0))</f>
        <v/>
      </c>
      <c r="U358" s="31" t="str">
        <f>IF($D358="","",IFERROR(VLOOKUP($B358,Kraftvärmeprod!$B$1:$BX$550,MATCH(U$2,Kraftvärmeprod!$B$1:$VX$1,0),FALSE)/1,0)-IFERROR(VLOOKUP($B358,'Slutlig allokering kvv'!$B$2:$BX$550,MATCH(U$2,'Slutlig allokering kvv'!$B$1:$BX$1,0),FALSE)/1,0))</f>
        <v/>
      </c>
      <c r="V358" s="31" t="str">
        <f>IF($D358="","",IFERROR(VLOOKUP($B358,Kraftvärmeprod!$B$1:$BX$550,MATCH(V$2,Kraftvärmeprod!$B$1:$VX$1,0),FALSE)/1,0)-IFERROR(VLOOKUP($B358,'Slutlig allokering kvv'!$B$2:$BX$550,MATCH(V$2,'Slutlig allokering kvv'!$B$1:$BX$1,0),FALSE)/1,0))</f>
        <v/>
      </c>
      <c r="W358" s="31" t="str">
        <f>IF($D358="","",IFERROR(VLOOKUP($B358,Kraftvärmeprod!$B$1:$BX$550,MATCH(W$2,Kraftvärmeprod!$B$1:$VX$1,0),FALSE)/1,0)-IFERROR(VLOOKUP($B358,'Slutlig allokering kvv'!$B$2:$BX$550,MATCH(W$2,'Slutlig allokering kvv'!$B$1:$BX$1,0),FALSE)/1,0))</f>
        <v/>
      </c>
      <c r="X358" s="31" t="str">
        <f>IF($D358="","",IFERROR(VLOOKUP($B358,Kraftvärmeprod!$B$1:$BX$550,MATCH(X$2,Kraftvärmeprod!$B$1:$VX$1,0),FALSE)/1,0)-IFERROR(VLOOKUP($B358,'Slutlig allokering kvv'!$B$2:$BX$550,MATCH(X$2,'Slutlig allokering kvv'!$B$1:$BX$1,0),FALSE)/1,0))</f>
        <v/>
      </c>
      <c r="Y358" s="31" t="str">
        <f>IF($D358="","",IFERROR(VLOOKUP($B358,Kraftvärmeprod!$B$1:$BX$550,MATCH(Y$2,Kraftvärmeprod!$B$1:$VX$1,0),FALSE)/1,0)-IFERROR(VLOOKUP($B358,'Slutlig allokering kvv'!$B$2:$BX$550,MATCH(Y$2,'Slutlig allokering kvv'!$B$1:$BX$1,0),FALSE)/1,0))</f>
        <v/>
      </c>
      <c r="Z358" s="31" t="str">
        <f>IF($D358="","",IFERROR(VLOOKUP($B358,Kraftvärmeprod!$B$1:$BX$550,MATCH(Z$2,Kraftvärmeprod!$B$1:$VX$1,0),FALSE)/1,0)-IFERROR(VLOOKUP($B358,'Slutlig allokering kvv'!$B$2:$BX$550,MATCH(Z$2,'Slutlig allokering kvv'!$B$1:$BX$1,0),FALSE)/1,0))</f>
        <v/>
      </c>
      <c r="AA358" s="31" t="str">
        <f>IF($D358="","",IFERROR(VLOOKUP($B358,Kraftvärmeprod!$B$1:$BX$550,MATCH(AA$2,Kraftvärmeprod!$B$1:$VX$1,0),FALSE)/1,0)-IFERROR(VLOOKUP($B358,'Slutlig allokering kvv'!$B$2:$BX$550,MATCH(AA$2,'Slutlig allokering kvv'!$B$1:$BX$1,0),FALSE)/1,0))</f>
        <v/>
      </c>
      <c r="AB358" s="31" t="str">
        <f>IF($D358="","",IFERROR(VLOOKUP($B358,Kraftvärmeprod!$B$1:$BX$550,MATCH(AB$2,Kraftvärmeprod!$B$1:$VX$1,0),FALSE)/1,0)-IFERROR(VLOOKUP($B358,'Slutlig allokering kvv'!$B$2:$BX$550,MATCH(AB$2,'Slutlig allokering kvv'!$B$1:$BX$1,0),FALSE)/1,0))</f>
        <v/>
      </c>
      <c r="AC358" s="31" t="str">
        <f>IF($D358="","",IFERROR(VLOOKUP($B358,Kraftvärmeprod!$B$1:$BX$550,MATCH(AC$2,Kraftvärmeprod!$B$1:$VX$1,0),FALSE)/1,0)-IFERROR(VLOOKUP($B358,'Slutlig allokering kvv'!$B$2:$BX$550,MATCH(AC$2,'Slutlig allokering kvv'!$B$1:$BX$1,0),FALSE)/1,0))</f>
        <v/>
      </c>
      <c r="AD358" s="31" t="str">
        <f>IF($D358="","",IFERROR(VLOOKUP($B358,Kraftvärmeprod!$B$1:$BX$550,MATCH(AD$2,Kraftvärmeprod!$B$1:$VX$1,0),FALSE)/1,0)-IFERROR(VLOOKUP($B358,'Slutlig allokering kvv'!$B$2:$BX$550,MATCH(AD$2,'Slutlig allokering kvv'!$B$1:$BX$1,0),FALSE)/1,0))</f>
        <v/>
      </c>
      <c r="AE358" s="31" t="str">
        <f>IF($D358="","",IFERROR(VLOOKUP($B358,Miljö!$B$1:$E$550,MATCH("Hjälpel kraftvärme (GWh)",Miljö!$B$1:$E$1,0),FALSE)/1,0)-IFERROR(VLOOKUP($B358,'Slutlig allokering kvv'!$B$2:$BX$549,MATCH(AE$2,'Slutlig allokering kvv'!$B$1:$BX$1,0),FALSE)/1,0))</f>
        <v/>
      </c>
      <c r="AI358" s="39">
        <f t="shared" si="20"/>
        <v>0</v>
      </c>
      <c r="AK358" s="31">
        <f>IFERROR(VLOOKUP($B358,'Slutlig allokering kvv'!$B$2:$AX$549,MATCH("Summa slutlig allokerad tillförd energi (utan hjälpel och rökgaskondensering):",'Slutlig allokering kvv'!$B$1:$AX$1,0),FALSE)/1,"")</f>
        <v>0</v>
      </c>
      <c r="AM358" s="31" t="str">
        <f>IFERROR(1-VLOOKUP($B358,'Slutlig allokering kvv'!$B$2:$AX$549,MATCH("Andel av bränsle i kvv som allokerats till värme, exklusive rökgaskondensering och hjälpel",'Slutlig allokering kvv'!$B$1:$AX$1,0),FALSE),"")</f>
        <v/>
      </c>
      <c r="AO358" s="31" t="str">
        <f t="shared" si="21"/>
        <v/>
      </c>
      <c r="AP358" s="31" t="str">
        <f t="shared" si="22"/>
        <v/>
      </c>
      <c r="AR358" s="32" t="str">
        <f t="shared" si="23"/>
        <v/>
      </c>
    </row>
    <row r="359" spans="1:44" s="31" customFormat="1" x14ac:dyDescent="0.45">
      <c r="A359" s="31" t="s">
        <v>162</v>
      </c>
      <c r="B359" s="31" t="s">
        <v>161</v>
      </c>
      <c r="C359" s="31" t="str">
        <f>IFERROR(VLOOKUP($B359,Kraftvärmeprod!$B$1:$AH$479,MATCH(C$2,Kraftvärmeprod!$B$1:$AG$1,0),FALSE)/1,"")</f>
        <v/>
      </c>
      <c r="D359" s="31" t="str">
        <f>IFERROR(VLOOKUP($B359,Kraftvärmeprod!$B$1:$AH$479,MATCH(D$2,Kraftvärmeprod!$B$1:$AG$1,0),FALSE)/1,"")</f>
        <v/>
      </c>
      <c r="F359" s="31" t="str">
        <f>IF($D359="","",IFERROR(VLOOKUP($B359,Kraftvärmeprod!$B$1:$BX$550,MATCH(F$2,Kraftvärmeprod!$B$1:$VX$1,0),FALSE)/1,0)-IFERROR(VLOOKUP($B359,'Slutlig allokering kvv'!$B$2:$BX$550,MATCH(F$2,'Slutlig allokering kvv'!$B$1:$BX$1,0),FALSE)/1,0))</f>
        <v/>
      </c>
      <c r="G359" s="31" t="str">
        <f>IF($D359="","",IFERROR(VLOOKUP($B359,Kraftvärmeprod!$B$1:$BX$550,MATCH(G$2,Kraftvärmeprod!$B$1:$VX$1,0),FALSE)/1,0)-IFERROR(VLOOKUP($B359,'Slutlig allokering kvv'!$B$2:$BX$550,MATCH(G$2,'Slutlig allokering kvv'!$B$1:$BX$1,0),FALSE)/1,0))</f>
        <v/>
      </c>
      <c r="H359" s="31" t="str">
        <f>IF($D359="","",IFERROR(VLOOKUP($B359,Kraftvärmeprod!$B$1:$BX$550,MATCH(H$2,Kraftvärmeprod!$B$1:$VX$1,0),FALSE)/1,0)-IFERROR(VLOOKUP($B359,'Slutlig allokering kvv'!$B$2:$BX$550,MATCH(H$2,'Slutlig allokering kvv'!$B$1:$BX$1,0),FALSE)/1,0))</f>
        <v/>
      </c>
      <c r="I359" s="31" t="str">
        <f>IF($D359="","",IFERROR(VLOOKUP($B359,Kraftvärmeprod!$B$1:$BX$550,MATCH(I$2,Kraftvärmeprod!$B$1:$VX$1,0),FALSE)/1,0)-IFERROR(VLOOKUP($B359,'Slutlig allokering kvv'!$B$2:$BX$550,MATCH(I$2,'Slutlig allokering kvv'!$B$1:$BX$1,0),FALSE)/1,0))</f>
        <v/>
      </c>
      <c r="J359" s="31" t="str">
        <f>IF($D359="","",IFERROR(VLOOKUP($B359,Kraftvärmeprod!$B$1:$BX$550,MATCH(J$2,Kraftvärmeprod!$B$1:$VX$1,0),FALSE)/1,0)-IFERROR(VLOOKUP($B359,'Slutlig allokering kvv'!$B$2:$BX$550,MATCH(J$2,'Slutlig allokering kvv'!$B$1:$BX$1,0),FALSE)/1,0))</f>
        <v/>
      </c>
      <c r="K359" s="31" t="str">
        <f>IF($D359="","",IFERROR(VLOOKUP($B359,Kraftvärmeprod!$B$1:$BX$550,MATCH(K$2,Kraftvärmeprod!$B$1:$VX$1,0),FALSE)/1,0)-IFERROR(VLOOKUP($B359,'Slutlig allokering kvv'!$B$2:$BX$550,MATCH(K$2,'Slutlig allokering kvv'!$B$1:$BX$1,0),FALSE)/1,0))</f>
        <v/>
      </c>
      <c r="L359" s="31" t="str">
        <f>IF($D359="","",IFERROR(VLOOKUP($B359,Kraftvärmeprod!$B$1:$BX$550,MATCH(L$2,Kraftvärmeprod!$B$1:$VX$1,0),FALSE)/1,0)-IFERROR(VLOOKUP($B359,'Slutlig allokering kvv'!$B$2:$BX$550,MATCH(L$2,'Slutlig allokering kvv'!$B$1:$BX$1,0),FALSE)/1,0))</f>
        <v/>
      </c>
      <c r="M359" s="31" t="str">
        <f>IF($D359="","",IFERROR(VLOOKUP($B359,Kraftvärmeprod!$B$1:$BX$550,MATCH(M$2,Kraftvärmeprod!$B$1:$VX$1,0),FALSE)/1,0)-IFERROR(VLOOKUP($B359,'Slutlig allokering kvv'!$B$2:$BX$550,MATCH(M$2,'Slutlig allokering kvv'!$B$1:$BX$1,0),FALSE)/1,0))</f>
        <v/>
      </c>
      <c r="N359" s="31" t="str">
        <f>IF($D359="","",IFERROR(VLOOKUP($B359,Kraftvärmeprod!$B$1:$BX$550,MATCH(N$2,Kraftvärmeprod!$B$1:$VX$1,0),FALSE)/1,0)-IFERROR(VLOOKUP($B359,'Slutlig allokering kvv'!$B$2:$BX$550,MATCH(N$2,'Slutlig allokering kvv'!$B$1:$BX$1,0),FALSE)/1,0))</f>
        <v/>
      </c>
      <c r="O359" s="31" t="str">
        <f>IF($D359="","",IFERROR(VLOOKUP($B359,Kraftvärmeprod!$B$1:$BX$550,MATCH(O$2,Kraftvärmeprod!$B$1:$VX$1,0),FALSE)/1,0)-IFERROR(VLOOKUP($B359,'Slutlig allokering kvv'!$B$2:$BX$550,MATCH(O$2,'Slutlig allokering kvv'!$B$1:$BX$1,0),FALSE)/1,0))</f>
        <v/>
      </c>
      <c r="P359" s="31" t="str">
        <f>IF($D359="","",IFERROR(VLOOKUP($B359,Kraftvärmeprod!$B$1:$BX$550,MATCH(P$2,Kraftvärmeprod!$B$1:$VX$1,0),FALSE)/1,0)-IFERROR(VLOOKUP($B359,'Slutlig allokering kvv'!$B$2:$BX$550,MATCH(P$2,'Slutlig allokering kvv'!$B$1:$BX$1,0),FALSE)/1,0))</f>
        <v/>
      </c>
      <c r="Q359" s="31" t="str">
        <f>IF($D359="","",IFERROR(VLOOKUP($B359,Kraftvärmeprod!$B$1:$BX$550,MATCH(Q$2,Kraftvärmeprod!$B$1:$VX$1,0),FALSE)/1,0)-IFERROR(VLOOKUP($B359,'Slutlig allokering kvv'!$B$2:$BX$550,MATCH(Q$2,'Slutlig allokering kvv'!$B$1:$BX$1,0),FALSE)/1,0))</f>
        <v/>
      </c>
      <c r="R359" s="31" t="str">
        <f>IF($D359="","",IFERROR(VLOOKUP($B359,Kraftvärmeprod!$B$1:$BX$550,MATCH(R$2,Kraftvärmeprod!$B$1:$VX$1,0),FALSE)/1,0)-IFERROR(VLOOKUP($B359,'Slutlig allokering kvv'!$B$2:$BX$550,MATCH(R$2,'Slutlig allokering kvv'!$B$1:$BX$1,0),FALSE)/1,0))</f>
        <v/>
      </c>
      <c r="S359" s="31" t="str">
        <f>IF($D359="","",IFERROR(VLOOKUP($B359,Kraftvärmeprod!$B$1:$BX$550,MATCH(S$2,Kraftvärmeprod!$B$1:$VX$1,0),FALSE)/1,0)-IFERROR(VLOOKUP($B359,'Slutlig allokering kvv'!$B$2:$BX$550,MATCH(S$2,'Slutlig allokering kvv'!$B$1:$BX$1,0),FALSE)/1,0))</f>
        <v/>
      </c>
      <c r="T359" s="31" t="str">
        <f>IF($D359="","",IFERROR(VLOOKUP($B359,Kraftvärmeprod!$B$1:$BX$550,MATCH(T$2,Kraftvärmeprod!$B$1:$VX$1,0),FALSE)/1,0)-IFERROR(VLOOKUP($B359,'Slutlig allokering kvv'!$B$2:$BX$550,MATCH(T$2,'Slutlig allokering kvv'!$B$1:$BX$1,0),FALSE)/1,0))</f>
        <v/>
      </c>
      <c r="U359" s="31" t="str">
        <f>IF($D359="","",IFERROR(VLOOKUP($B359,Kraftvärmeprod!$B$1:$BX$550,MATCH(U$2,Kraftvärmeprod!$B$1:$VX$1,0),FALSE)/1,0)-IFERROR(VLOOKUP($B359,'Slutlig allokering kvv'!$B$2:$BX$550,MATCH(U$2,'Slutlig allokering kvv'!$B$1:$BX$1,0),FALSE)/1,0))</f>
        <v/>
      </c>
      <c r="V359" s="31" t="str">
        <f>IF($D359="","",IFERROR(VLOOKUP($B359,Kraftvärmeprod!$B$1:$BX$550,MATCH(V$2,Kraftvärmeprod!$B$1:$VX$1,0),FALSE)/1,0)-IFERROR(VLOOKUP($B359,'Slutlig allokering kvv'!$B$2:$BX$550,MATCH(V$2,'Slutlig allokering kvv'!$B$1:$BX$1,0),FALSE)/1,0))</f>
        <v/>
      </c>
      <c r="W359" s="31" t="str">
        <f>IF($D359="","",IFERROR(VLOOKUP($B359,Kraftvärmeprod!$B$1:$BX$550,MATCH(W$2,Kraftvärmeprod!$B$1:$VX$1,0),FALSE)/1,0)-IFERROR(VLOOKUP($B359,'Slutlig allokering kvv'!$B$2:$BX$550,MATCH(W$2,'Slutlig allokering kvv'!$B$1:$BX$1,0),FALSE)/1,0))</f>
        <v/>
      </c>
      <c r="X359" s="31" t="str">
        <f>IF($D359="","",IFERROR(VLOOKUP($B359,Kraftvärmeprod!$B$1:$BX$550,MATCH(X$2,Kraftvärmeprod!$B$1:$VX$1,0),FALSE)/1,0)-IFERROR(VLOOKUP($B359,'Slutlig allokering kvv'!$B$2:$BX$550,MATCH(X$2,'Slutlig allokering kvv'!$B$1:$BX$1,0),FALSE)/1,0))</f>
        <v/>
      </c>
      <c r="Y359" s="31" t="str">
        <f>IF($D359="","",IFERROR(VLOOKUP($B359,Kraftvärmeprod!$B$1:$BX$550,MATCH(Y$2,Kraftvärmeprod!$B$1:$VX$1,0),FALSE)/1,0)-IFERROR(VLOOKUP($B359,'Slutlig allokering kvv'!$B$2:$BX$550,MATCH(Y$2,'Slutlig allokering kvv'!$B$1:$BX$1,0),FALSE)/1,0))</f>
        <v/>
      </c>
      <c r="Z359" s="31" t="str">
        <f>IF($D359="","",IFERROR(VLOOKUP($B359,Kraftvärmeprod!$B$1:$BX$550,MATCH(Z$2,Kraftvärmeprod!$B$1:$VX$1,0),FALSE)/1,0)-IFERROR(VLOOKUP($B359,'Slutlig allokering kvv'!$B$2:$BX$550,MATCH(Z$2,'Slutlig allokering kvv'!$B$1:$BX$1,0),FALSE)/1,0))</f>
        <v/>
      </c>
      <c r="AA359" s="31" t="str">
        <f>IF($D359="","",IFERROR(VLOOKUP($B359,Kraftvärmeprod!$B$1:$BX$550,MATCH(AA$2,Kraftvärmeprod!$B$1:$VX$1,0),FALSE)/1,0)-IFERROR(VLOOKUP($B359,'Slutlig allokering kvv'!$B$2:$BX$550,MATCH(AA$2,'Slutlig allokering kvv'!$B$1:$BX$1,0),FALSE)/1,0))</f>
        <v/>
      </c>
      <c r="AB359" s="31" t="str">
        <f>IF($D359="","",IFERROR(VLOOKUP($B359,Kraftvärmeprod!$B$1:$BX$550,MATCH(AB$2,Kraftvärmeprod!$B$1:$VX$1,0),FALSE)/1,0)-IFERROR(VLOOKUP($B359,'Slutlig allokering kvv'!$B$2:$BX$550,MATCH(AB$2,'Slutlig allokering kvv'!$B$1:$BX$1,0),FALSE)/1,0))</f>
        <v/>
      </c>
      <c r="AC359" s="31" t="str">
        <f>IF($D359="","",IFERROR(VLOOKUP($B359,Kraftvärmeprod!$B$1:$BX$550,MATCH(AC$2,Kraftvärmeprod!$B$1:$VX$1,0),FALSE)/1,0)-IFERROR(VLOOKUP($B359,'Slutlig allokering kvv'!$B$2:$BX$550,MATCH(AC$2,'Slutlig allokering kvv'!$B$1:$BX$1,0),FALSE)/1,0))</f>
        <v/>
      </c>
      <c r="AD359" s="31" t="str">
        <f>IF($D359="","",IFERROR(VLOOKUP($B359,Kraftvärmeprod!$B$1:$BX$550,MATCH(AD$2,Kraftvärmeprod!$B$1:$VX$1,0),FALSE)/1,0)-IFERROR(VLOOKUP($B359,'Slutlig allokering kvv'!$B$2:$BX$550,MATCH(AD$2,'Slutlig allokering kvv'!$B$1:$BX$1,0),FALSE)/1,0))</f>
        <v/>
      </c>
      <c r="AE359" s="31" t="str">
        <f>IF($D359="","",IFERROR(VLOOKUP($B359,Miljö!$B$1:$E$550,MATCH("Hjälpel kraftvärme (GWh)",Miljö!$B$1:$E$1,0),FALSE)/1,0)-IFERROR(VLOOKUP($B359,'Slutlig allokering kvv'!$B$2:$BX$549,MATCH(AE$2,'Slutlig allokering kvv'!$B$1:$BX$1,0),FALSE)/1,0))</f>
        <v/>
      </c>
      <c r="AI359" s="39">
        <f t="shared" si="20"/>
        <v>0</v>
      </c>
      <c r="AK359" s="31">
        <f>IFERROR(VLOOKUP($B359,'Slutlig allokering kvv'!$B$2:$AX$549,MATCH("Summa slutlig allokerad tillförd energi (utan hjälpel och rökgaskondensering):",'Slutlig allokering kvv'!$B$1:$AX$1,0),FALSE)/1,"")</f>
        <v>0</v>
      </c>
      <c r="AM359" s="31" t="str">
        <f>IFERROR(1-VLOOKUP($B359,'Slutlig allokering kvv'!$B$2:$AX$549,MATCH("Andel av bränsle i kvv som allokerats till värme, exklusive rökgaskondensering och hjälpel",'Slutlig allokering kvv'!$B$1:$AX$1,0),FALSE),"")</f>
        <v/>
      </c>
      <c r="AO359" s="31" t="str">
        <f t="shared" si="21"/>
        <v/>
      </c>
      <c r="AP359" s="31" t="str">
        <f t="shared" si="22"/>
        <v/>
      </c>
      <c r="AR359" s="32" t="str">
        <f t="shared" si="23"/>
        <v/>
      </c>
    </row>
    <row r="360" spans="1:44" s="31" customFormat="1" x14ac:dyDescent="0.45">
      <c r="A360" s="31" t="s">
        <v>159</v>
      </c>
      <c r="B360" s="31" t="s">
        <v>158</v>
      </c>
      <c r="C360" s="31" t="str">
        <f>IFERROR(VLOOKUP($B360,Kraftvärmeprod!$B$1:$AH$479,MATCH(C$2,Kraftvärmeprod!$B$1:$AG$1,0),FALSE)/1,"")</f>
        <v/>
      </c>
      <c r="D360" s="31" t="str">
        <f>IFERROR(VLOOKUP($B360,Kraftvärmeprod!$B$1:$AH$479,MATCH(D$2,Kraftvärmeprod!$B$1:$AG$1,0),FALSE)/1,"")</f>
        <v/>
      </c>
      <c r="F360" s="31" t="str">
        <f>IF($D360="","",IFERROR(VLOOKUP($B360,Kraftvärmeprod!$B$1:$BX$550,MATCH(F$2,Kraftvärmeprod!$B$1:$VX$1,0),FALSE)/1,0)-IFERROR(VLOOKUP($B360,'Slutlig allokering kvv'!$B$2:$BX$550,MATCH(F$2,'Slutlig allokering kvv'!$B$1:$BX$1,0),FALSE)/1,0))</f>
        <v/>
      </c>
      <c r="G360" s="31" t="str">
        <f>IF($D360="","",IFERROR(VLOOKUP($B360,Kraftvärmeprod!$B$1:$BX$550,MATCH(G$2,Kraftvärmeprod!$B$1:$VX$1,0),FALSE)/1,0)-IFERROR(VLOOKUP($B360,'Slutlig allokering kvv'!$B$2:$BX$550,MATCH(G$2,'Slutlig allokering kvv'!$B$1:$BX$1,0),FALSE)/1,0))</f>
        <v/>
      </c>
      <c r="H360" s="31" t="str">
        <f>IF($D360="","",IFERROR(VLOOKUP($B360,Kraftvärmeprod!$B$1:$BX$550,MATCH(H$2,Kraftvärmeprod!$B$1:$VX$1,0),FALSE)/1,0)-IFERROR(VLOOKUP($B360,'Slutlig allokering kvv'!$B$2:$BX$550,MATCH(H$2,'Slutlig allokering kvv'!$B$1:$BX$1,0),FALSE)/1,0))</f>
        <v/>
      </c>
      <c r="I360" s="31" t="str">
        <f>IF($D360="","",IFERROR(VLOOKUP($B360,Kraftvärmeprod!$B$1:$BX$550,MATCH(I$2,Kraftvärmeprod!$B$1:$VX$1,0),FALSE)/1,0)-IFERROR(VLOOKUP($B360,'Slutlig allokering kvv'!$B$2:$BX$550,MATCH(I$2,'Slutlig allokering kvv'!$B$1:$BX$1,0),FALSE)/1,0))</f>
        <v/>
      </c>
      <c r="J360" s="31" t="str">
        <f>IF($D360="","",IFERROR(VLOOKUP($B360,Kraftvärmeprod!$B$1:$BX$550,MATCH(J$2,Kraftvärmeprod!$B$1:$VX$1,0),FALSE)/1,0)-IFERROR(VLOOKUP($B360,'Slutlig allokering kvv'!$B$2:$BX$550,MATCH(J$2,'Slutlig allokering kvv'!$B$1:$BX$1,0),FALSE)/1,0))</f>
        <v/>
      </c>
      <c r="K360" s="31" t="str">
        <f>IF($D360="","",IFERROR(VLOOKUP($B360,Kraftvärmeprod!$B$1:$BX$550,MATCH(K$2,Kraftvärmeprod!$B$1:$VX$1,0),FALSE)/1,0)-IFERROR(VLOOKUP($B360,'Slutlig allokering kvv'!$B$2:$BX$550,MATCH(K$2,'Slutlig allokering kvv'!$B$1:$BX$1,0),FALSE)/1,0))</f>
        <v/>
      </c>
      <c r="L360" s="31" t="str">
        <f>IF($D360="","",IFERROR(VLOOKUP($B360,Kraftvärmeprod!$B$1:$BX$550,MATCH(L$2,Kraftvärmeprod!$B$1:$VX$1,0),FALSE)/1,0)-IFERROR(VLOOKUP($B360,'Slutlig allokering kvv'!$B$2:$BX$550,MATCH(L$2,'Slutlig allokering kvv'!$B$1:$BX$1,0),FALSE)/1,0))</f>
        <v/>
      </c>
      <c r="M360" s="31" t="str">
        <f>IF($D360="","",IFERROR(VLOOKUP($B360,Kraftvärmeprod!$B$1:$BX$550,MATCH(M$2,Kraftvärmeprod!$B$1:$VX$1,0),FALSE)/1,0)-IFERROR(VLOOKUP($B360,'Slutlig allokering kvv'!$B$2:$BX$550,MATCH(M$2,'Slutlig allokering kvv'!$B$1:$BX$1,0),FALSE)/1,0))</f>
        <v/>
      </c>
      <c r="N360" s="31" t="str">
        <f>IF($D360="","",IFERROR(VLOOKUP($B360,Kraftvärmeprod!$B$1:$BX$550,MATCH(N$2,Kraftvärmeprod!$B$1:$VX$1,0),FALSE)/1,0)-IFERROR(VLOOKUP($B360,'Slutlig allokering kvv'!$B$2:$BX$550,MATCH(N$2,'Slutlig allokering kvv'!$B$1:$BX$1,0),FALSE)/1,0))</f>
        <v/>
      </c>
      <c r="O360" s="31" t="str">
        <f>IF($D360="","",IFERROR(VLOOKUP($B360,Kraftvärmeprod!$B$1:$BX$550,MATCH(O$2,Kraftvärmeprod!$B$1:$VX$1,0),FALSE)/1,0)-IFERROR(VLOOKUP($B360,'Slutlig allokering kvv'!$B$2:$BX$550,MATCH(O$2,'Slutlig allokering kvv'!$B$1:$BX$1,0),FALSE)/1,0))</f>
        <v/>
      </c>
      <c r="P360" s="31" t="str">
        <f>IF($D360="","",IFERROR(VLOOKUP($B360,Kraftvärmeprod!$B$1:$BX$550,MATCH(P$2,Kraftvärmeprod!$B$1:$VX$1,0),FALSE)/1,0)-IFERROR(VLOOKUP($B360,'Slutlig allokering kvv'!$B$2:$BX$550,MATCH(P$2,'Slutlig allokering kvv'!$B$1:$BX$1,0),FALSE)/1,0))</f>
        <v/>
      </c>
      <c r="Q360" s="31" t="str">
        <f>IF($D360="","",IFERROR(VLOOKUP($B360,Kraftvärmeprod!$B$1:$BX$550,MATCH(Q$2,Kraftvärmeprod!$B$1:$VX$1,0),FALSE)/1,0)-IFERROR(VLOOKUP($B360,'Slutlig allokering kvv'!$B$2:$BX$550,MATCH(Q$2,'Slutlig allokering kvv'!$B$1:$BX$1,0),FALSE)/1,0))</f>
        <v/>
      </c>
      <c r="R360" s="31" t="str">
        <f>IF($D360="","",IFERROR(VLOOKUP($B360,Kraftvärmeprod!$B$1:$BX$550,MATCH(R$2,Kraftvärmeprod!$B$1:$VX$1,0),FALSE)/1,0)-IFERROR(VLOOKUP($B360,'Slutlig allokering kvv'!$B$2:$BX$550,MATCH(R$2,'Slutlig allokering kvv'!$B$1:$BX$1,0),FALSE)/1,0))</f>
        <v/>
      </c>
      <c r="S360" s="31" t="str">
        <f>IF($D360="","",IFERROR(VLOOKUP($B360,Kraftvärmeprod!$B$1:$BX$550,MATCH(S$2,Kraftvärmeprod!$B$1:$VX$1,0),FALSE)/1,0)-IFERROR(VLOOKUP($B360,'Slutlig allokering kvv'!$B$2:$BX$550,MATCH(S$2,'Slutlig allokering kvv'!$B$1:$BX$1,0),FALSE)/1,0))</f>
        <v/>
      </c>
      <c r="T360" s="31" t="str">
        <f>IF($D360="","",IFERROR(VLOOKUP($B360,Kraftvärmeprod!$B$1:$BX$550,MATCH(T$2,Kraftvärmeprod!$B$1:$VX$1,0),FALSE)/1,0)-IFERROR(VLOOKUP($B360,'Slutlig allokering kvv'!$B$2:$BX$550,MATCH(T$2,'Slutlig allokering kvv'!$B$1:$BX$1,0),FALSE)/1,0))</f>
        <v/>
      </c>
      <c r="U360" s="31" t="str">
        <f>IF($D360="","",IFERROR(VLOOKUP($B360,Kraftvärmeprod!$B$1:$BX$550,MATCH(U$2,Kraftvärmeprod!$B$1:$VX$1,0),FALSE)/1,0)-IFERROR(VLOOKUP($B360,'Slutlig allokering kvv'!$B$2:$BX$550,MATCH(U$2,'Slutlig allokering kvv'!$B$1:$BX$1,0),FALSE)/1,0))</f>
        <v/>
      </c>
      <c r="V360" s="31" t="str">
        <f>IF($D360="","",IFERROR(VLOOKUP($B360,Kraftvärmeprod!$B$1:$BX$550,MATCH(V$2,Kraftvärmeprod!$B$1:$VX$1,0),FALSE)/1,0)-IFERROR(VLOOKUP($B360,'Slutlig allokering kvv'!$B$2:$BX$550,MATCH(V$2,'Slutlig allokering kvv'!$B$1:$BX$1,0),FALSE)/1,0))</f>
        <v/>
      </c>
      <c r="W360" s="31" t="str">
        <f>IF($D360="","",IFERROR(VLOOKUP($B360,Kraftvärmeprod!$B$1:$BX$550,MATCH(W$2,Kraftvärmeprod!$B$1:$VX$1,0),FALSE)/1,0)-IFERROR(VLOOKUP($B360,'Slutlig allokering kvv'!$B$2:$BX$550,MATCH(W$2,'Slutlig allokering kvv'!$B$1:$BX$1,0),FALSE)/1,0))</f>
        <v/>
      </c>
      <c r="X360" s="31" t="str">
        <f>IF($D360="","",IFERROR(VLOOKUP($B360,Kraftvärmeprod!$B$1:$BX$550,MATCH(X$2,Kraftvärmeprod!$B$1:$VX$1,0),FALSE)/1,0)-IFERROR(VLOOKUP($B360,'Slutlig allokering kvv'!$B$2:$BX$550,MATCH(X$2,'Slutlig allokering kvv'!$B$1:$BX$1,0),FALSE)/1,0))</f>
        <v/>
      </c>
      <c r="Y360" s="31" t="str">
        <f>IF($D360="","",IFERROR(VLOOKUP($B360,Kraftvärmeprod!$B$1:$BX$550,MATCH(Y$2,Kraftvärmeprod!$B$1:$VX$1,0),FALSE)/1,0)-IFERROR(VLOOKUP($B360,'Slutlig allokering kvv'!$B$2:$BX$550,MATCH(Y$2,'Slutlig allokering kvv'!$B$1:$BX$1,0),FALSE)/1,0))</f>
        <v/>
      </c>
      <c r="Z360" s="31" t="str">
        <f>IF($D360="","",IFERROR(VLOOKUP($B360,Kraftvärmeprod!$B$1:$BX$550,MATCH(Z$2,Kraftvärmeprod!$B$1:$VX$1,0),FALSE)/1,0)-IFERROR(VLOOKUP($B360,'Slutlig allokering kvv'!$B$2:$BX$550,MATCH(Z$2,'Slutlig allokering kvv'!$B$1:$BX$1,0),FALSE)/1,0))</f>
        <v/>
      </c>
      <c r="AA360" s="31" t="str">
        <f>IF($D360="","",IFERROR(VLOOKUP($B360,Kraftvärmeprod!$B$1:$BX$550,MATCH(AA$2,Kraftvärmeprod!$B$1:$VX$1,0),FALSE)/1,0)-IFERROR(VLOOKUP($B360,'Slutlig allokering kvv'!$B$2:$BX$550,MATCH(AA$2,'Slutlig allokering kvv'!$B$1:$BX$1,0),FALSE)/1,0))</f>
        <v/>
      </c>
      <c r="AB360" s="31" t="str">
        <f>IF($D360="","",IFERROR(VLOOKUP($B360,Kraftvärmeprod!$B$1:$BX$550,MATCH(AB$2,Kraftvärmeprod!$B$1:$VX$1,0),FALSE)/1,0)-IFERROR(VLOOKUP($B360,'Slutlig allokering kvv'!$B$2:$BX$550,MATCH(AB$2,'Slutlig allokering kvv'!$B$1:$BX$1,0),FALSE)/1,0))</f>
        <v/>
      </c>
      <c r="AC360" s="31" t="str">
        <f>IF($D360="","",IFERROR(VLOOKUP($B360,Kraftvärmeprod!$B$1:$BX$550,MATCH(AC$2,Kraftvärmeprod!$B$1:$VX$1,0),FALSE)/1,0)-IFERROR(VLOOKUP($B360,'Slutlig allokering kvv'!$B$2:$BX$550,MATCH(AC$2,'Slutlig allokering kvv'!$B$1:$BX$1,0),FALSE)/1,0))</f>
        <v/>
      </c>
      <c r="AD360" s="31" t="str">
        <f>IF($D360="","",IFERROR(VLOOKUP($B360,Kraftvärmeprod!$B$1:$BX$550,MATCH(AD$2,Kraftvärmeprod!$B$1:$VX$1,0),FALSE)/1,0)-IFERROR(VLOOKUP($B360,'Slutlig allokering kvv'!$B$2:$BX$550,MATCH(AD$2,'Slutlig allokering kvv'!$B$1:$BX$1,0),FALSE)/1,0))</f>
        <v/>
      </c>
      <c r="AE360" s="31" t="str">
        <f>IF($D360="","",IFERROR(VLOOKUP($B360,Miljö!$B$1:$E$550,MATCH("Hjälpel kraftvärme (GWh)",Miljö!$B$1:$E$1,0),FALSE)/1,0)-IFERROR(VLOOKUP($B360,'Slutlig allokering kvv'!$B$2:$BX$549,MATCH(AE$2,'Slutlig allokering kvv'!$B$1:$BX$1,0),FALSE)/1,0))</f>
        <v/>
      </c>
      <c r="AI360" s="39">
        <f t="shared" si="20"/>
        <v>0</v>
      </c>
      <c r="AK360" s="31">
        <f>IFERROR(VLOOKUP($B360,'Slutlig allokering kvv'!$B$2:$AX$549,MATCH("Summa slutlig allokerad tillförd energi (utan hjälpel och rökgaskondensering):",'Slutlig allokering kvv'!$B$1:$AX$1,0),FALSE)/1,"")</f>
        <v>0</v>
      </c>
      <c r="AM360" s="31" t="str">
        <f>IFERROR(1-VLOOKUP($B360,'Slutlig allokering kvv'!$B$2:$AX$549,MATCH("Andel av bränsle i kvv som allokerats till värme, exklusive rökgaskondensering och hjälpel",'Slutlig allokering kvv'!$B$1:$AX$1,0),FALSE),"")</f>
        <v/>
      </c>
      <c r="AO360" s="31" t="str">
        <f t="shared" si="21"/>
        <v/>
      </c>
      <c r="AP360" s="31" t="str">
        <f t="shared" si="22"/>
        <v/>
      </c>
      <c r="AR360" s="32" t="str">
        <f t="shared" si="23"/>
        <v/>
      </c>
    </row>
    <row r="361" spans="1:44" s="31" customFormat="1" x14ac:dyDescent="0.45">
      <c r="A361" s="31" t="s">
        <v>157</v>
      </c>
      <c r="B361" s="31" t="s">
        <v>156</v>
      </c>
      <c r="C361" s="31" t="str">
        <f>IFERROR(VLOOKUP($B361,Kraftvärmeprod!$B$1:$AH$479,MATCH(C$2,Kraftvärmeprod!$B$1:$AG$1,0),FALSE)/1,"")</f>
        <v/>
      </c>
      <c r="D361" s="31" t="str">
        <f>IFERROR(VLOOKUP($B361,Kraftvärmeprod!$B$1:$AH$479,MATCH(D$2,Kraftvärmeprod!$B$1:$AG$1,0),FALSE)/1,"")</f>
        <v/>
      </c>
      <c r="F361" s="31" t="str">
        <f>IF($D361="","",IFERROR(VLOOKUP($B361,Kraftvärmeprod!$B$1:$BX$550,MATCH(F$2,Kraftvärmeprod!$B$1:$VX$1,0),FALSE)/1,0)-IFERROR(VLOOKUP($B361,'Slutlig allokering kvv'!$B$2:$BX$550,MATCH(F$2,'Slutlig allokering kvv'!$B$1:$BX$1,0),FALSE)/1,0))</f>
        <v/>
      </c>
      <c r="G361" s="31" t="str">
        <f>IF($D361="","",IFERROR(VLOOKUP($B361,Kraftvärmeprod!$B$1:$BX$550,MATCH(G$2,Kraftvärmeprod!$B$1:$VX$1,0),FALSE)/1,0)-IFERROR(VLOOKUP($B361,'Slutlig allokering kvv'!$B$2:$BX$550,MATCH(G$2,'Slutlig allokering kvv'!$B$1:$BX$1,0),FALSE)/1,0))</f>
        <v/>
      </c>
      <c r="H361" s="31" t="str">
        <f>IF($D361="","",IFERROR(VLOOKUP($B361,Kraftvärmeprod!$B$1:$BX$550,MATCH(H$2,Kraftvärmeprod!$B$1:$VX$1,0),FALSE)/1,0)-IFERROR(VLOOKUP($B361,'Slutlig allokering kvv'!$B$2:$BX$550,MATCH(H$2,'Slutlig allokering kvv'!$B$1:$BX$1,0),FALSE)/1,0))</f>
        <v/>
      </c>
      <c r="I361" s="31" t="str">
        <f>IF($D361="","",IFERROR(VLOOKUP($B361,Kraftvärmeprod!$B$1:$BX$550,MATCH(I$2,Kraftvärmeprod!$B$1:$VX$1,0),FALSE)/1,0)-IFERROR(VLOOKUP($B361,'Slutlig allokering kvv'!$B$2:$BX$550,MATCH(I$2,'Slutlig allokering kvv'!$B$1:$BX$1,0),FALSE)/1,0))</f>
        <v/>
      </c>
      <c r="J361" s="31" t="str">
        <f>IF($D361="","",IFERROR(VLOOKUP($B361,Kraftvärmeprod!$B$1:$BX$550,MATCH(J$2,Kraftvärmeprod!$B$1:$VX$1,0),FALSE)/1,0)-IFERROR(VLOOKUP($B361,'Slutlig allokering kvv'!$B$2:$BX$550,MATCH(J$2,'Slutlig allokering kvv'!$B$1:$BX$1,0),FALSE)/1,0))</f>
        <v/>
      </c>
      <c r="K361" s="31" t="str">
        <f>IF($D361="","",IFERROR(VLOOKUP($B361,Kraftvärmeprod!$B$1:$BX$550,MATCH(K$2,Kraftvärmeprod!$B$1:$VX$1,0),FALSE)/1,0)-IFERROR(VLOOKUP($B361,'Slutlig allokering kvv'!$B$2:$BX$550,MATCH(K$2,'Slutlig allokering kvv'!$B$1:$BX$1,0),FALSE)/1,0))</f>
        <v/>
      </c>
      <c r="L361" s="31" t="str">
        <f>IF($D361="","",IFERROR(VLOOKUP($B361,Kraftvärmeprod!$B$1:$BX$550,MATCH(L$2,Kraftvärmeprod!$B$1:$VX$1,0),FALSE)/1,0)-IFERROR(VLOOKUP($B361,'Slutlig allokering kvv'!$B$2:$BX$550,MATCH(L$2,'Slutlig allokering kvv'!$B$1:$BX$1,0),FALSE)/1,0))</f>
        <v/>
      </c>
      <c r="M361" s="31" t="str">
        <f>IF($D361="","",IFERROR(VLOOKUP($B361,Kraftvärmeprod!$B$1:$BX$550,MATCH(M$2,Kraftvärmeprod!$B$1:$VX$1,0),FALSE)/1,0)-IFERROR(VLOOKUP($B361,'Slutlig allokering kvv'!$B$2:$BX$550,MATCH(M$2,'Slutlig allokering kvv'!$B$1:$BX$1,0),FALSE)/1,0))</f>
        <v/>
      </c>
      <c r="N361" s="31" t="str">
        <f>IF($D361="","",IFERROR(VLOOKUP($B361,Kraftvärmeprod!$B$1:$BX$550,MATCH(N$2,Kraftvärmeprod!$B$1:$VX$1,0),FALSE)/1,0)-IFERROR(VLOOKUP($B361,'Slutlig allokering kvv'!$B$2:$BX$550,MATCH(N$2,'Slutlig allokering kvv'!$B$1:$BX$1,0),FALSE)/1,0))</f>
        <v/>
      </c>
      <c r="O361" s="31" t="str">
        <f>IF($D361="","",IFERROR(VLOOKUP($B361,Kraftvärmeprod!$B$1:$BX$550,MATCH(O$2,Kraftvärmeprod!$B$1:$VX$1,0),FALSE)/1,0)-IFERROR(VLOOKUP($B361,'Slutlig allokering kvv'!$B$2:$BX$550,MATCH(O$2,'Slutlig allokering kvv'!$B$1:$BX$1,0),FALSE)/1,0))</f>
        <v/>
      </c>
      <c r="P361" s="31" t="str">
        <f>IF($D361="","",IFERROR(VLOOKUP($B361,Kraftvärmeprod!$B$1:$BX$550,MATCH(P$2,Kraftvärmeprod!$B$1:$VX$1,0),FALSE)/1,0)-IFERROR(VLOOKUP($B361,'Slutlig allokering kvv'!$B$2:$BX$550,MATCH(P$2,'Slutlig allokering kvv'!$B$1:$BX$1,0),FALSE)/1,0))</f>
        <v/>
      </c>
      <c r="Q361" s="31" t="str">
        <f>IF($D361="","",IFERROR(VLOOKUP($B361,Kraftvärmeprod!$B$1:$BX$550,MATCH(Q$2,Kraftvärmeprod!$B$1:$VX$1,0),FALSE)/1,0)-IFERROR(VLOOKUP($B361,'Slutlig allokering kvv'!$B$2:$BX$550,MATCH(Q$2,'Slutlig allokering kvv'!$B$1:$BX$1,0),FALSE)/1,0))</f>
        <v/>
      </c>
      <c r="R361" s="31" t="str">
        <f>IF($D361="","",IFERROR(VLOOKUP($B361,Kraftvärmeprod!$B$1:$BX$550,MATCH(R$2,Kraftvärmeprod!$B$1:$VX$1,0),FALSE)/1,0)-IFERROR(VLOOKUP($B361,'Slutlig allokering kvv'!$B$2:$BX$550,MATCH(R$2,'Slutlig allokering kvv'!$B$1:$BX$1,0),FALSE)/1,0))</f>
        <v/>
      </c>
      <c r="S361" s="31" t="str">
        <f>IF($D361="","",IFERROR(VLOOKUP($B361,Kraftvärmeprod!$B$1:$BX$550,MATCH(S$2,Kraftvärmeprod!$B$1:$VX$1,0),FALSE)/1,0)-IFERROR(VLOOKUP($B361,'Slutlig allokering kvv'!$B$2:$BX$550,MATCH(S$2,'Slutlig allokering kvv'!$B$1:$BX$1,0),FALSE)/1,0))</f>
        <v/>
      </c>
      <c r="T361" s="31" t="str">
        <f>IF($D361="","",IFERROR(VLOOKUP($B361,Kraftvärmeprod!$B$1:$BX$550,MATCH(T$2,Kraftvärmeprod!$B$1:$VX$1,0),FALSE)/1,0)-IFERROR(VLOOKUP($B361,'Slutlig allokering kvv'!$B$2:$BX$550,MATCH(T$2,'Slutlig allokering kvv'!$B$1:$BX$1,0),FALSE)/1,0))</f>
        <v/>
      </c>
      <c r="U361" s="31" t="str">
        <f>IF($D361="","",IFERROR(VLOOKUP($B361,Kraftvärmeprod!$B$1:$BX$550,MATCH(U$2,Kraftvärmeprod!$B$1:$VX$1,0),FALSE)/1,0)-IFERROR(VLOOKUP($B361,'Slutlig allokering kvv'!$B$2:$BX$550,MATCH(U$2,'Slutlig allokering kvv'!$B$1:$BX$1,0),FALSE)/1,0))</f>
        <v/>
      </c>
      <c r="V361" s="31" t="str">
        <f>IF($D361="","",IFERROR(VLOOKUP($B361,Kraftvärmeprod!$B$1:$BX$550,MATCH(V$2,Kraftvärmeprod!$B$1:$VX$1,0),FALSE)/1,0)-IFERROR(VLOOKUP($B361,'Slutlig allokering kvv'!$B$2:$BX$550,MATCH(V$2,'Slutlig allokering kvv'!$B$1:$BX$1,0),FALSE)/1,0))</f>
        <v/>
      </c>
      <c r="W361" s="31" t="str">
        <f>IF($D361="","",IFERROR(VLOOKUP($B361,Kraftvärmeprod!$B$1:$BX$550,MATCH(W$2,Kraftvärmeprod!$B$1:$VX$1,0),FALSE)/1,0)-IFERROR(VLOOKUP($B361,'Slutlig allokering kvv'!$B$2:$BX$550,MATCH(W$2,'Slutlig allokering kvv'!$B$1:$BX$1,0),FALSE)/1,0))</f>
        <v/>
      </c>
      <c r="X361" s="31" t="str">
        <f>IF($D361="","",IFERROR(VLOOKUP($B361,Kraftvärmeprod!$B$1:$BX$550,MATCH(X$2,Kraftvärmeprod!$B$1:$VX$1,0),FALSE)/1,0)-IFERROR(VLOOKUP($B361,'Slutlig allokering kvv'!$B$2:$BX$550,MATCH(X$2,'Slutlig allokering kvv'!$B$1:$BX$1,0),FALSE)/1,0))</f>
        <v/>
      </c>
      <c r="Y361" s="31" t="str">
        <f>IF($D361="","",IFERROR(VLOOKUP($B361,Kraftvärmeprod!$B$1:$BX$550,MATCH(Y$2,Kraftvärmeprod!$B$1:$VX$1,0),FALSE)/1,0)-IFERROR(VLOOKUP($B361,'Slutlig allokering kvv'!$B$2:$BX$550,MATCH(Y$2,'Slutlig allokering kvv'!$B$1:$BX$1,0),FALSE)/1,0))</f>
        <v/>
      </c>
      <c r="Z361" s="31" t="str">
        <f>IF($D361="","",IFERROR(VLOOKUP($B361,Kraftvärmeprod!$B$1:$BX$550,MATCH(Z$2,Kraftvärmeprod!$B$1:$VX$1,0),FALSE)/1,0)-IFERROR(VLOOKUP($B361,'Slutlig allokering kvv'!$B$2:$BX$550,MATCH(Z$2,'Slutlig allokering kvv'!$B$1:$BX$1,0),FALSE)/1,0))</f>
        <v/>
      </c>
      <c r="AA361" s="31" t="str">
        <f>IF($D361="","",IFERROR(VLOOKUP($B361,Kraftvärmeprod!$B$1:$BX$550,MATCH(AA$2,Kraftvärmeprod!$B$1:$VX$1,0),FALSE)/1,0)-IFERROR(VLOOKUP($B361,'Slutlig allokering kvv'!$B$2:$BX$550,MATCH(AA$2,'Slutlig allokering kvv'!$B$1:$BX$1,0),FALSE)/1,0))</f>
        <v/>
      </c>
      <c r="AB361" s="31" t="str">
        <f>IF($D361="","",IFERROR(VLOOKUP($B361,Kraftvärmeprod!$B$1:$BX$550,MATCH(AB$2,Kraftvärmeprod!$B$1:$VX$1,0),FALSE)/1,0)-IFERROR(VLOOKUP($B361,'Slutlig allokering kvv'!$B$2:$BX$550,MATCH(AB$2,'Slutlig allokering kvv'!$B$1:$BX$1,0),FALSE)/1,0))</f>
        <v/>
      </c>
      <c r="AC361" s="31" t="str">
        <f>IF($D361="","",IFERROR(VLOOKUP($B361,Kraftvärmeprod!$B$1:$BX$550,MATCH(AC$2,Kraftvärmeprod!$B$1:$VX$1,0),FALSE)/1,0)-IFERROR(VLOOKUP($B361,'Slutlig allokering kvv'!$B$2:$BX$550,MATCH(AC$2,'Slutlig allokering kvv'!$B$1:$BX$1,0),FALSE)/1,0))</f>
        <v/>
      </c>
      <c r="AD361" s="31" t="str">
        <f>IF($D361="","",IFERROR(VLOOKUP($B361,Kraftvärmeprod!$B$1:$BX$550,MATCH(AD$2,Kraftvärmeprod!$B$1:$VX$1,0),FALSE)/1,0)-IFERROR(VLOOKUP($B361,'Slutlig allokering kvv'!$B$2:$BX$550,MATCH(AD$2,'Slutlig allokering kvv'!$B$1:$BX$1,0),FALSE)/1,0))</f>
        <v/>
      </c>
      <c r="AE361" s="31" t="str">
        <f>IF($D361="","",IFERROR(VLOOKUP($B361,Miljö!$B$1:$E$550,MATCH("Hjälpel kraftvärme (GWh)",Miljö!$B$1:$E$1,0),FALSE)/1,0)-IFERROR(VLOOKUP($B361,'Slutlig allokering kvv'!$B$2:$BX$549,MATCH(AE$2,'Slutlig allokering kvv'!$B$1:$BX$1,0),FALSE)/1,0))</f>
        <v/>
      </c>
      <c r="AI361" s="39">
        <f t="shared" si="20"/>
        <v>0</v>
      </c>
      <c r="AK361" s="31">
        <f>IFERROR(VLOOKUP($B361,'Slutlig allokering kvv'!$B$2:$AX$549,MATCH("Summa slutlig allokerad tillförd energi (utan hjälpel och rökgaskondensering):",'Slutlig allokering kvv'!$B$1:$AX$1,0),FALSE)/1,"")</f>
        <v>0</v>
      </c>
      <c r="AM361" s="31" t="str">
        <f>IFERROR(1-VLOOKUP($B361,'Slutlig allokering kvv'!$B$2:$AX$549,MATCH("Andel av bränsle i kvv som allokerats till värme, exklusive rökgaskondensering och hjälpel",'Slutlig allokering kvv'!$B$1:$AX$1,0),FALSE),"")</f>
        <v/>
      </c>
      <c r="AO361" s="31" t="str">
        <f t="shared" si="21"/>
        <v/>
      </c>
      <c r="AP361" s="31" t="str">
        <f t="shared" si="22"/>
        <v/>
      </c>
      <c r="AR361" s="32" t="str">
        <f t="shared" si="23"/>
        <v/>
      </c>
    </row>
    <row r="362" spans="1:44" s="31" customFormat="1" x14ac:dyDescent="0.45">
      <c r="A362" s="31" t="s">
        <v>149</v>
      </c>
      <c r="B362" s="31" t="s">
        <v>154</v>
      </c>
      <c r="C362" s="31" t="str">
        <f>IFERROR(VLOOKUP($B362,Kraftvärmeprod!$B$1:$AH$479,MATCH(C$2,Kraftvärmeprod!$B$1:$AG$1,0),FALSE)/1,"")</f>
        <v/>
      </c>
      <c r="D362" s="31" t="str">
        <f>IFERROR(VLOOKUP($B362,Kraftvärmeprod!$B$1:$AH$479,MATCH(D$2,Kraftvärmeprod!$B$1:$AG$1,0),FALSE)/1,"")</f>
        <v/>
      </c>
      <c r="F362" s="31" t="str">
        <f>IF($D362="","",IFERROR(VLOOKUP($B362,Kraftvärmeprod!$B$1:$BX$550,MATCH(F$2,Kraftvärmeprod!$B$1:$VX$1,0),FALSE)/1,0)-IFERROR(VLOOKUP($B362,'Slutlig allokering kvv'!$B$2:$BX$550,MATCH(F$2,'Slutlig allokering kvv'!$B$1:$BX$1,0),FALSE)/1,0))</f>
        <v/>
      </c>
      <c r="G362" s="31" t="str">
        <f>IF($D362="","",IFERROR(VLOOKUP($B362,Kraftvärmeprod!$B$1:$BX$550,MATCH(G$2,Kraftvärmeprod!$B$1:$VX$1,0),FALSE)/1,0)-IFERROR(VLOOKUP($B362,'Slutlig allokering kvv'!$B$2:$BX$550,MATCH(G$2,'Slutlig allokering kvv'!$B$1:$BX$1,0),FALSE)/1,0))</f>
        <v/>
      </c>
      <c r="H362" s="31" t="str">
        <f>IF($D362="","",IFERROR(VLOOKUP($B362,Kraftvärmeprod!$B$1:$BX$550,MATCH(H$2,Kraftvärmeprod!$B$1:$VX$1,0),FALSE)/1,0)-IFERROR(VLOOKUP($B362,'Slutlig allokering kvv'!$B$2:$BX$550,MATCH(H$2,'Slutlig allokering kvv'!$B$1:$BX$1,0),FALSE)/1,0))</f>
        <v/>
      </c>
      <c r="I362" s="31" t="str">
        <f>IF($D362="","",IFERROR(VLOOKUP($B362,Kraftvärmeprod!$B$1:$BX$550,MATCH(I$2,Kraftvärmeprod!$B$1:$VX$1,0),FALSE)/1,0)-IFERROR(VLOOKUP($B362,'Slutlig allokering kvv'!$B$2:$BX$550,MATCH(I$2,'Slutlig allokering kvv'!$B$1:$BX$1,0),FALSE)/1,0))</f>
        <v/>
      </c>
      <c r="J362" s="31" t="str">
        <f>IF($D362="","",IFERROR(VLOOKUP($B362,Kraftvärmeprod!$B$1:$BX$550,MATCH(J$2,Kraftvärmeprod!$B$1:$VX$1,0),FALSE)/1,0)-IFERROR(VLOOKUP($B362,'Slutlig allokering kvv'!$B$2:$BX$550,MATCH(J$2,'Slutlig allokering kvv'!$B$1:$BX$1,0),FALSE)/1,0))</f>
        <v/>
      </c>
      <c r="K362" s="31" t="str">
        <f>IF($D362="","",IFERROR(VLOOKUP($B362,Kraftvärmeprod!$B$1:$BX$550,MATCH(K$2,Kraftvärmeprod!$B$1:$VX$1,0),FALSE)/1,0)-IFERROR(VLOOKUP($B362,'Slutlig allokering kvv'!$B$2:$BX$550,MATCH(K$2,'Slutlig allokering kvv'!$B$1:$BX$1,0),FALSE)/1,0))</f>
        <v/>
      </c>
      <c r="L362" s="31" t="str">
        <f>IF($D362="","",IFERROR(VLOOKUP($B362,Kraftvärmeprod!$B$1:$BX$550,MATCH(L$2,Kraftvärmeprod!$B$1:$VX$1,0),FALSE)/1,0)-IFERROR(VLOOKUP($B362,'Slutlig allokering kvv'!$B$2:$BX$550,MATCH(L$2,'Slutlig allokering kvv'!$B$1:$BX$1,0),FALSE)/1,0))</f>
        <v/>
      </c>
      <c r="M362" s="31" t="str">
        <f>IF($D362="","",IFERROR(VLOOKUP($B362,Kraftvärmeprod!$B$1:$BX$550,MATCH(M$2,Kraftvärmeprod!$B$1:$VX$1,0),FALSE)/1,0)-IFERROR(VLOOKUP($B362,'Slutlig allokering kvv'!$B$2:$BX$550,MATCH(M$2,'Slutlig allokering kvv'!$B$1:$BX$1,0),FALSE)/1,0))</f>
        <v/>
      </c>
      <c r="N362" s="31" t="str">
        <f>IF($D362="","",IFERROR(VLOOKUP($B362,Kraftvärmeprod!$B$1:$BX$550,MATCH(N$2,Kraftvärmeprod!$B$1:$VX$1,0),FALSE)/1,0)-IFERROR(VLOOKUP($B362,'Slutlig allokering kvv'!$B$2:$BX$550,MATCH(N$2,'Slutlig allokering kvv'!$B$1:$BX$1,0),FALSE)/1,0))</f>
        <v/>
      </c>
      <c r="O362" s="31" t="str">
        <f>IF($D362="","",IFERROR(VLOOKUP($B362,Kraftvärmeprod!$B$1:$BX$550,MATCH(O$2,Kraftvärmeprod!$B$1:$VX$1,0),FALSE)/1,0)-IFERROR(VLOOKUP($B362,'Slutlig allokering kvv'!$B$2:$BX$550,MATCH(O$2,'Slutlig allokering kvv'!$B$1:$BX$1,0),FALSE)/1,0))</f>
        <v/>
      </c>
      <c r="P362" s="31" t="str">
        <f>IF($D362="","",IFERROR(VLOOKUP($B362,Kraftvärmeprod!$B$1:$BX$550,MATCH(P$2,Kraftvärmeprod!$B$1:$VX$1,0),FALSE)/1,0)-IFERROR(VLOOKUP($B362,'Slutlig allokering kvv'!$B$2:$BX$550,MATCH(P$2,'Slutlig allokering kvv'!$B$1:$BX$1,0),FALSE)/1,0))</f>
        <v/>
      </c>
      <c r="Q362" s="31" t="str">
        <f>IF($D362="","",IFERROR(VLOOKUP($B362,Kraftvärmeprod!$B$1:$BX$550,MATCH(Q$2,Kraftvärmeprod!$B$1:$VX$1,0),FALSE)/1,0)-IFERROR(VLOOKUP($B362,'Slutlig allokering kvv'!$B$2:$BX$550,MATCH(Q$2,'Slutlig allokering kvv'!$B$1:$BX$1,0),FALSE)/1,0))</f>
        <v/>
      </c>
      <c r="R362" s="31" t="str">
        <f>IF($D362="","",IFERROR(VLOOKUP($B362,Kraftvärmeprod!$B$1:$BX$550,MATCH(R$2,Kraftvärmeprod!$B$1:$VX$1,0),FALSE)/1,0)-IFERROR(VLOOKUP($B362,'Slutlig allokering kvv'!$B$2:$BX$550,MATCH(R$2,'Slutlig allokering kvv'!$B$1:$BX$1,0),FALSE)/1,0))</f>
        <v/>
      </c>
      <c r="S362" s="31" t="str">
        <f>IF($D362="","",IFERROR(VLOOKUP($B362,Kraftvärmeprod!$B$1:$BX$550,MATCH(S$2,Kraftvärmeprod!$B$1:$VX$1,0),FALSE)/1,0)-IFERROR(VLOOKUP($B362,'Slutlig allokering kvv'!$B$2:$BX$550,MATCH(S$2,'Slutlig allokering kvv'!$B$1:$BX$1,0),FALSE)/1,0))</f>
        <v/>
      </c>
      <c r="T362" s="31" t="str">
        <f>IF($D362="","",IFERROR(VLOOKUP($B362,Kraftvärmeprod!$B$1:$BX$550,MATCH(T$2,Kraftvärmeprod!$B$1:$VX$1,0),FALSE)/1,0)-IFERROR(VLOOKUP($B362,'Slutlig allokering kvv'!$B$2:$BX$550,MATCH(T$2,'Slutlig allokering kvv'!$B$1:$BX$1,0),FALSE)/1,0))</f>
        <v/>
      </c>
      <c r="U362" s="31" t="str">
        <f>IF($D362="","",IFERROR(VLOOKUP($B362,Kraftvärmeprod!$B$1:$BX$550,MATCH(U$2,Kraftvärmeprod!$B$1:$VX$1,0),FALSE)/1,0)-IFERROR(VLOOKUP($B362,'Slutlig allokering kvv'!$B$2:$BX$550,MATCH(U$2,'Slutlig allokering kvv'!$B$1:$BX$1,0),FALSE)/1,0))</f>
        <v/>
      </c>
      <c r="V362" s="31" t="str">
        <f>IF($D362="","",IFERROR(VLOOKUP($B362,Kraftvärmeprod!$B$1:$BX$550,MATCH(V$2,Kraftvärmeprod!$B$1:$VX$1,0),FALSE)/1,0)-IFERROR(VLOOKUP($B362,'Slutlig allokering kvv'!$B$2:$BX$550,MATCH(V$2,'Slutlig allokering kvv'!$B$1:$BX$1,0),FALSE)/1,0))</f>
        <v/>
      </c>
      <c r="W362" s="31" t="str">
        <f>IF($D362="","",IFERROR(VLOOKUP($B362,Kraftvärmeprod!$B$1:$BX$550,MATCH(W$2,Kraftvärmeprod!$B$1:$VX$1,0),FALSE)/1,0)-IFERROR(VLOOKUP($B362,'Slutlig allokering kvv'!$B$2:$BX$550,MATCH(W$2,'Slutlig allokering kvv'!$B$1:$BX$1,0),FALSE)/1,0))</f>
        <v/>
      </c>
      <c r="X362" s="31" t="str">
        <f>IF($D362="","",IFERROR(VLOOKUP($B362,Kraftvärmeprod!$B$1:$BX$550,MATCH(X$2,Kraftvärmeprod!$B$1:$VX$1,0),FALSE)/1,0)-IFERROR(VLOOKUP($B362,'Slutlig allokering kvv'!$B$2:$BX$550,MATCH(X$2,'Slutlig allokering kvv'!$B$1:$BX$1,0),FALSE)/1,0))</f>
        <v/>
      </c>
      <c r="Y362" s="31" t="str">
        <f>IF($D362="","",IFERROR(VLOOKUP($B362,Kraftvärmeprod!$B$1:$BX$550,MATCH(Y$2,Kraftvärmeprod!$B$1:$VX$1,0),FALSE)/1,0)-IFERROR(VLOOKUP($B362,'Slutlig allokering kvv'!$B$2:$BX$550,MATCH(Y$2,'Slutlig allokering kvv'!$B$1:$BX$1,0),FALSE)/1,0))</f>
        <v/>
      </c>
      <c r="Z362" s="31" t="str">
        <f>IF($D362="","",IFERROR(VLOOKUP($B362,Kraftvärmeprod!$B$1:$BX$550,MATCH(Z$2,Kraftvärmeprod!$B$1:$VX$1,0),FALSE)/1,0)-IFERROR(VLOOKUP($B362,'Slutlig allokering kvv'!$B$2:$BX$550,MATCH(Z$2,'Slutlig allokering kvv'!$B$1:$BX$1,0),FALSE)/1,0))</f>
        <v/>
      </c>
      <c r="AA362" s="31" t="str">
        <f>IF($D362="","",IFERROR(VLOOKUP($B362,Kraftvärmeprod!$B$1:$BX$550,MATCH(AA$2,Kraftvärmeprod!$B$1:$VX$1,0),FALSE)/1,0)-IFERROR(VLOOKUP($B362,'Slutlig allokering kvv'!$B$2:$BX$550,MATCH(AA$2,'Slutlig allokering kvv'!$B$1:$BX$1,0),FALSE)/1,0))</f>
        <v/>
      </c>
      <c r="AB362" s="31" t="str">
        <f>IF($D362="","",IFERROR(VLOOKUP($B362,Kraftvärmeprod!$B$1:$BX$550,MATCH(AB$2,Kraftvärmeprod!$B$1:$VX$1,0),FALSE)/1,0)-IFERROR(VLOOKUP($B362,'Slutlig allokering kvv'!$B$2:$BX$550,MATCH(AB$2,'Slutlig allokering kvv'!$B$1:$BX$1,0),FALSE)/1,0))</f>
        <v/>
      </c>
      <c r="AC362" s="31" t="str">
        <f>IF($D362="","",IFERROR(VLOOKUP($B362,Kraftvärmeprod!$B$1:$BX$550,MATCH(AC$2,Kraftvärmeprod!$B$1:$VX$1,0),FALSE)/1,0)-IFERROR(VLOOKUP($B362,'Slutlig allokering kvv'!$B$2:$BX$550,MATCH(AC$2,'Slutlig allokering kvv'!$B$1:$BX$1,0),FALSE)/1,0))</f>
        <v/>
      </c>
      <c r="AD362" s="31" t="str">
        <f>IF($D362="","",IFERROR(VLOOKUP($B362,Kraftvärmeprod!$B$1:$BX$550,MATCH(AD$2,Kraftvärmeprod!$B$1:$VX$1,0),FALSE)/1,0)-IFERROR(VLOOKUP($B362,'Slutlig allokering kvv'!$B$2:$BX$550,MATCH(AD$2,'Slutlig allokering kvv'!$B$1:$BX$1,0),FALSE)/1,0))</f>
        <v/>
      </c>
      <c r="AE362" s="31" t="str">
        <f>IF($D362="","",IFERROR(VLOOKUP($B362,Miljö!$B$1:$E$550,MATCH("Hjälpel kraftvärme (GWh)",Miljö!$B$1:$E$1,0),FALSE)/1,0)-IFERROR(VLOOKUP($B362,'Slutlig allokering kvv'!$B$2:$BX$549,MATCH(AE$2,'Slutlig allokering kvv'!$B$1:$BX$1,0),FALSE)/1,0))</f>
        <v/>
      </c>
      <c r="AI362" s="39">
        <f t="shared" si="20"/>
        <v>0</v>
      </c>
      <c r="AK362" s="31">
        <f>IFERROR(VLOOKUP($B362,'Slutlig allokering kvv'!$B$2:$AX$549,MATCH("Summa slutlig allokerad tillförd energi (utan hjälpel och rökgaskondensering):",'Slutlig allokering kvv'!$B$1:$AX$1,0),FALSE)/1,"")</f>
        <v>0</v>
      </c>
      <c r="AM362" s="31" t="str">
        <f>IFERROR(1-VLOOKUP($B362,'Slutlig allokering kvv'!$B$2:$AX$549,MATCH("Andel av bränsle i kvv som allokerats till värme, exklusive rökgaskondensering och hjälpel",'Slutlig allokering kvv'!$B$1:$AX$1,0),FALSE),"")</f>
        <v/>
      </c>
      <c r="AO362" s="31" t="str">
        <f t="shared" si="21"/>
        <v/>
      </c>
      <c r="AP362" s="31" t="str">
        <f t="shared" si="22"/>
        <v/>
      </c>
      <c r="AR362" s="32" t="str">
        <f t="shared" si="23"/>
        <v/>
      </c>
    </row>
    <row r="363" spans="1:44" s="31" customFormat="1" x14ac:dyDescent="0.45">
      <c r="A363" s="31" t="s">
        <v>149</v>
      </c>
      <c r="B363" s="31" t="s">
        <v>153</v>
      </c>
      <c r="C363" s="31" t="str">
        <f>IFERROR(VLOOKUP($B363,Kraftvärmeprod!$B$1:$AH$479,MATCH(C$2,Kraftvärmeprod!$B$1:$AG$1,0),FALSE)/1,"")</f>
        <v/>
      </c>
      <c r="D363" s="31" t="str">
        <f>IFERROR(VLOOKUP($B363,Kraftvärmeprod!$B$1:$AH$479,MATCH(D$2,Kraftvärmeprod!$B$1:$AG$1,0),FALSE)/1,"")</f>
        <v/>
      </c>
      <c r="F363" s="31" t="str">
        <f>IF($D363="","",IFERROR(VLOOKUP($B363,Kraftvärmeprod!$B$1:$BX$550,MATCH(F$2,Kraftvärmeprod!$B$1:$VX$1,0),FALSE)/1,0)-IFERROR(VLOOKUP($B363,'Slutlig allokering kvv'!$B$2:$BX$550,MATCH(F$2,'Slutlig allokering kvv'!$B$1:$BX$1,0),FALSE)/1,0))</f>
        <v/>
      </c>
      <c r="G363" s="31" t="str">
        <f>IF($D363="","",IFERROR(VLOOKUP($B363,Kraftvärmeprod!$B$1:$BX$550,MATCH(G$2,Kraftvärmeprod!$B$1:$VX$1,0),FALSE)/1,0)-IFERROR(VLOOKUP($B363,'Slutlig allokering kvv'!$B$2:$BX$550,MATCH(G$2,'Slutlig allokering kvv'!$B$1:$BX$1,0),FALSE)/1,0))</f>
        <v/>
      </c>
      <c r="H363" s="31" t="str">
        <f>IF($D363="","",IFERROR(VLOOKUP($B363,Kraftvärmeprod!$B$1:$BX$550,MATCH(H$2,Kraftvärmeprod!$B$1:$VX$1,0),FALSE)/1,0)-IFERROR(VLOOKUP($B363,'Slutlig allokering kvv'!$B$2:$BX$550,MATCH(H$2,'Slutlig allokering kvv'!$B$1:$BX$1,0),FALSE)/1,0))</f>
        <v/>
      </c>
      <c r="I363" s="31" t="str">
        <f>IF($D363="","",IFERROR(VLOOKUP($B363,Kraftvärmeprod!$B$1:$BX$550,MATCH(I$2,Kraftvärmeprod!$B$1:$VX$1,0),FALSE)/1,0)-IFERROR(VLOOKUP($B363,'Slutlig allokering kvv'!$B$2:$BX$550,MATCH(I$2,'Slutlig allokering kvv'!$B$1:$BX$1,0),FALSE)/1,0))</f>
        <v/>
      </c>
      <c r="J363" s="31" t="str">
        <f>IF($D363="","",IFERROR(VLOOKUP($B363,Kraftvärmeprod!$B$1:$BX$550,MATCH(J$2,Kraftvärmeprod!$B$1:$VX$1,0),FALSE)/1,0)-IFERROR(VLOOKUP($B363,'Slutlig allokering kvv'!$B$2:$BX$550,MATCH(J$2,'Slutlig allokering kvv'!$B$1:$BX$1,0),FALSE)/1,0))</f>
        <v/>
      </c>
      <c r="K363" s="31" t="str">
        <f>IF($D363="","",IFERROR(VLOOKUP($B363,Kraftvärmeprod!$B$1:$BX$550,MATCH(K$2,Kraftvärmeprod!$B$1:$VX$1,0),FALSE)/1,0)-IFERROR(VLOOKUP($B363,'Slutlig allokering kvv'!$B$2:$BX$550,MATCH(K$2,'Slutlig allokering kvv'!$B$1:$BX$1,0),FALSE)/1,0))</f>
        <v/>
      </c>
      <c r="L363" s="31" t="str">
        <f>IF($D363="","",IFERROR(VLOOKUP($B363,Kraftvärmeprod!$B$1:$BX$550,MATCH(L$2,Kraftvärmeprod!$B$1:$VX$1,0),FALSE)/1,0)-IFERROR(VLOOKUP($B363,'Slutlig allokering kvv'!$B$2:$BX$550,MATCH(L$2,'Slutlig allokering kvv'!$B$1:$BX$1,0),FALSE)/1,0))</f>
        <v/>
      </c>
      <c r="M363" s="31" t="str">
        <f>IF($D363="","",IFERROR(VLOOKUP($B363,Kraftvärmeprod!$B$1:$BX$550,MATCH(M$2,Kraftvärmeprod!$B$1:$VX$1,0),FALSE)/1,0)-IFERROR(VLOOKUP($B363,'Slutlig allokering kvv'!$B$2:$BX$550,MATCH(M$2,'Slutlig allokering kvv'!$B$1:$BX$1,0),FALSE)/1,0))</f>
        <v/>
      </c>
      <c r="N363" s="31" t="str">
        <f>IF($D363="","",IFERROR(VLOOKUP($B363,Kraftvärmeprod!$B$1:$BX$550,MATCH(N$2,Kraftvärmeprod!$B$1:$VX$1,0),FALSE)/1,0)-IFERROR(VLOOKUP($B363,'Slutlig allokering kvv'!$B$2:$BX$550,MATCH(N$2,'Slutlig allokering kvv'!$B$1:$BX$1,0),FALSE)/1,0))</f>
        <v/>
      </c>
      <c r="O363" s="31" t="str">
        <f>IF($D363="","",IFERROR(VLOOKUP($B363,Kraftvärmeprod!$B$1:$BX$550,MATCH(O$2,Kraftvärmeprod!$B$1:$VX$1,0),FALSE)/1,0)-IFERROR(VLOOKUP($B363,'Slutlig allokering kvv'!$B$2:$BX$550,MATCH(O$2,'Slutlig allokering kvv'!$B$1:$BX$1,0),FALSE)/1,0))</f>
        <v/>
      </c>
      <c r="P363" s="31" t="str">
        <f>IF($D363="","",IFERROR(VLOOKUP($B363,Kraftvärmeprod!$B$1:$BX$550,MATCH(P$2,Kraftvärmeprod!$B$1:$VX$1,0),FALSE)/1,0)-IFERROR(VLOOKUP($B363,'Slutlig allokering kvv'!$B$2:$BX$550,MATCH(P$2,'Slutlig allokering kvv'!$B$1:$BX$1,0),FALSE)/1,0))</f>
        <v/>
      </c>
      <c r="Q363" s="31" t="str">
        <f>IF($D363="","",IFERROR(VLOOKUP($B363,Kraftvärmeprod!$B$1:$BX$550,MATCH(Q$2,Kraftvärmeprod!$B$1:$VX$1,0),FALSE)/1,0)-IFERROR(VLOOKUP($B363,'Slutlig allokering kvv'!$B$2:$BX$550,MATCH(Q$2,'Slutlig allokering kvv'!$B$1:$BX$1,0),FALSE)/1,0))</f>
        <v/>
      </c>
      <c r="R363" s="31" t="str">
        <f>IF($D363="","",IFERROR(VLOOKUP($B363,Kraftvärmeprod!$B$1:$BX$550,MATCH(R$2,Kraftvärmeprod!$B$1:$VX$1,0),FALSE)/1,0)-IFERROR(VLOOKUP($B363,'Slutlig allokering kvv'!$B$2:$BX$550,MATCH(R$2,'Slutlig allokering kvv'!$B$1:$BX$1,0),FALSE)/1,0))</f>
        <v/>
      </c>
      <c r="S363" s="31" t="str">
        <f>IF($D363="","",IFERROR(VLOOKUP($B363,Kraftvärmeprod!$B$1:$BX$550,MATCH(S$2,Kraftvärmeprod!$B$1:$VX$1,0),FALSE)/1,0)-IFERROR(VLOOKUP($B363,'Slutlig allokering kvv'!$B$2:$BX$550,MATCH(S$2,'Slutlig allokering kvv'!$B$1:$BX$1,0),FALSE)/1,0))</f>
        <v/>
      </c>
      <c r="T363" s="31" t="str">
        <f>IF($D363="","",IFERROR(VLOOKUP($B363,Kraftvärmeprod!$B$1:$BX$550,MATCH(T$2,Kraftvärmeprod!$B$1:$VX$1,0),FALSE)/1,0)-IFERROR(VLOOKUP($B363,'Slutlig allokering kvv'!$B$2:$BX$550,MATCH(T$2,'Slutlig allokering kvv'!$B$1:$BX$1,0),FALSE)/1,0))</f>
        <v/>
      </c>
      <c r="U363" s="31" t="str">
        <f>IF($D363="","",IFERROR(VLOOKUP($B363,Kraftvärmeprod!$B$1:$BX$550,MATCH(U$2,Kraftvärmeprod!$B$1:$VX$1,0),FALSE)/1,0)-IFERROR(VLOOKUP($B363,'Slutlig allokering kvv'!$B$2:$BX$550,MATCH(U$2,'Slutlig allokering kvv'!$B$1:$BX$1,0),FALSE)/1,0))</f>
        <v/>
      </c>
      <c r="V363" s="31" t="str">
        <f>IF($D363="","",IFERROR(VLOOKUP($B363,Kraftvärmeprod!$B$1:$BX$550,MATCH(V$2,Kraftvärmeprod!$B$1:$VX$1,0),FALSE)/1,0)-IFERROR(VLOOKUP($B363,'Slutlig allokering kvv'!$B$2:$BX$550,MATCH(V$2,'Slutlig allokering kvv'!$B$1:$BX$1,0),FALSE)/1,0))</f>
        <v/>
      </c>
      <c r="W363" s="31" t="str">
        <f>IF($D363="","",IFERROR(VLOOKUP($B363,Kraftvärmeprod!$B$1:$BX$550,MATCH(W$2,Kraftvärmeprod!$B$1:$VX$1,0),FALSE)/1,0)-IFERROR(VLOOKUP($B363,'Slutlig allokering kvv'!$B$2:$BX$550,MATCH(W$2,'Slutlig allokering kvv'!$B$1:$BX$1,0),FALSE)/1,0))</f>
        <v/>
      </c>
      <c r="X363" s="31" t="str">
        <f>IF($D363="","",IFERROR(VLOOKUP($B363,Kraftvärmeprod!$B$1:$BX$550,MATCH(X$2,Kraftvärmeprod!$B$1:$VX$1,0),FALSE)/1,0)-IFERROR(VLOOKUP($B363,'Slutlig allokering kvv'!$B$2:$BX$550,MATCH(X$2,'Slutlig allokering kvv'!$B$1:$BX$1,0),FALSE)/1,0))</f>
        <v/>
      </c>
      <c r="Y363" s="31" t="str">
        <f>IF($D363="","",IFERROR(VLOOKUP($B363,Kraftvärmeprod!$B$1:$BX$550,MATCH(Y$2,Kraftvärmeprod!$B$1:$VX$1,0),FALSE)/1,0)-IFERROR(VLOOKUP($B363,'Slutlig allokering kvv'!$B$2:$BX$550,MATCH(Y$2,'Slutlig allokering kvv'!$B$1:$BX$1,0),FALSE)/1,0))</f>
        <v/>
      </c>
      <c r="Z363" s="31" t="str">
        <f>IF($D363="","",IFERROR(VLOOKUP($B363,Kraftvärmeprod!$B$1:$BX$550,MATCH(Z$2,Kraftvärmeprod!$B$1:$VX$1,0),FALSE)/1,0)-IFERROR(VLOOKUP($B363,'Slutlig allokering kvv'!$B$2:$BX$550,MATCH(Z$2,'Slutlig allokering kvv'!$B$1:$BX$1,0),FALSE)/1,0))</f>
        <v/>
      </c>
      <c r="AA363" s="31" t="str">
        <f>IF($D363="","",IFERROR(VLOOKUP($B363,Kraftvärmeprod!$B$1:$BX$550,MATCH(AA$2,Kraftvärmeprod!$B$1:$VX$1,0),FALSE)/1,0)-IFERROR(VLOOKUP($B363,'Slutlig allokering kvv'!$B$2:$BX$550,MATCH(AA$2,'Slutlig allokering kvv'!$B$1:$BX$1,0),FALSE)/1,0))</f>
        <v/>
      </c>
      <c r="AB363" s="31" t="str">
        <f>IF($D363="","",IFERROR(VLOOKUP($B363,Kraftvärmeprod!$B$1:$BX$550,MATCH(AB$2,Kraftvärmeprod!$B$1:$VX$1,0),FALSE)/1,0)-IFERROR(VLOOKUP($B363,'Slutlig allokering kvv'!$B$2:$BX$550,MATCH(AB$2,'Slutlig allokering kvv'!$B$1:$BX$1,0),FALSE)/1,0))</f>
        <v/>
      </c>
      <c r="AC363" s="31" t="str">
        <f>IF($D363="","",IFERROR(VLOOKUP($B363,Kraftvärmeprod!$B$1:$BX$550,MATCH(AC$2,Kraftvärmeprod!$B$1:$VX$1,0),FALSE)/1,0)-IFERROR(VLOOKUP($B363,'Slutlig allokering kvv'!$B$2:$BX$550,MATCH(AC$2,'Slutlig allokering kvv'!$B$1:$BX$1,0),FALSE)/1,0))</f>
        <v/>
      </c>
      <c r="AD363" s="31" t="str">
        <f>IF($D363="","",IFERROR(VLOOKUP($B363,Kraftvärmeprod!$B$1:$BX$550,MATCH(AD$2,Kraftvärmeprod!$B$1:$VX$1,0),FALSE)/1,0)-IFERROR(VLOOKUP($B363,'Slutlig allokering kvv'!$B$2:$BX$550,MATCH(AD$2,'Slutlig allokering kvv'!$B$1:$BX$1,0),FALSE)/1,0))</f>
        <v/>
      </c>
      <c r="AE363" s="31" t="str">
        <f>IF($D363="","",IFERROR(VLOOKUP($B363,Miljö!$B$1:$E$550,MATCH("Hjälpel kraftvärme (GWh)",Miljö!$B$1:$E$1,0),FALSE)/1,0)-IFERROR(VLOOKUP($B363,'Slutlig allokering kvv'!$B$2:$BX$549,MATCH(AE$2,'Slutlig allokering kvv'!$B$1:$BX$1,0),FALSE)/1,0))</f>
        <v/>
      </c>
      <c r="AI363" s="39">
        <f t="shared" si="20"/>
        <v>0</v>
      </c>
      <c r="AK363" s="31">
        <f>IFERROR(VLOOKUP($B363,'Slutlig allokering kvv'!$B$2:$AX$549,MATCH("Summa slutlig allokerad tillförd energi (utan hjälpel och rökgaskondensering):",'Slutlig allokering kvv'!$B$1:$AX$1,0),FALSE)/1,"")</f>
        <v>0</v>
      </c>
      <c r="AM363" s="31" t="str">
        <f>IFERROR(1-VLOOKUP($B363,'Slutlig allokering kvv'!$B$2:$AX$549,MATCH("Andel av bränsle i kvv som allokerats till värme, exklusive rökgaskondensering och hjälpel",'Slutlig allokering kvv'!$B$1:$AX$1,0),FALSE),"")</f>
        <v/>
      </c>
      <c r="AO363" s="31" t="str">
        <f t="shared" si="21"/>
        <v/>
      </c>
      <c r="AP363" s="31" t="str">
        <f t="shared" si="22"/>
        <v/>
      </c>
      <c r="AR363" s="32" t="str">
        <f t="shared" si="23"/>
        <v/>
      </c>
    </row>
    <row r="364" spans="1:44" s="31" customFormat="1" x14ac:dyDescent="0.45">
      <c r="A364" s="31" t="s">
        <v>149</v>
      </c>
      <c r="B364" s="31" t="s">
        <v>152</v>
      </c>
      <c r="C364" s="31" t="str">
        <f>IFERROR(VLOOKUP($B364,Kraftvärmeprod!$B$1:$AH$479,MATCH(C$2,Kraftvärmeprod!$B$1:$AG$1,0),FALSE)/1,"")</f>
        <v/>
      </c>
      <c r="D364" s="31" t="str">
        <f>IFERROR(VLOOKUP($B364,Kraftvärmeprod!$B$1:$AH$479,MATCH(D$2,Kraftvärmeprod!$B$1:$AG$1,0),FALSE)/1,"")</f>
        <v/>
      </c>
      <c r="F364" s="31" t="str">
        <f>IF($D364="","",IFERROR(VLOOKUP($B364,Kraftvärmeprod!$B$1:$BX$550,MATCH(F$2,Kraftvärmeprod!$B$1:$VX$1,0),FALSE)/1,0)-IFERROR(VLOOKUP($B364,'Slutlig allokering kvv'!$B$2:$BX$550,MATCH(F$2,'Slutlig allokering kvv'!$B$1:$BX$1,0),FALSE)/1,0))</f>
        <v/>
      </c>
      <c r="G364" s="31" t="str">
        <f>IF($D364="","",IFERROR(VLOOKUP($B364,Kraftvärmeprod!$B$1:$BX$550,MATCH(G$2,Kraftvärmeprod!$B$1:$VX$1,0),FALSE)/1,0)-IFERROR(VLOOKUP($B364,'Slutlig allokering kvv'!$B$2:$BX$550,MATCH(G$2,'Slutlig allokering kvv'!$B$1:$BX$1,0),FALSE)/1,0))</f>
        <v/>
      </c>
      <c r="H364" s="31" t="str">
        <f>IF($D364="","",IFERROR(VLOOKUP($B364,Kraftvärmeprod!$B$1:$BX$550,MATCH(H$2,Kraftvärmeprod!$B$1:$VX$1,0),FALSE)/1,0)-IFERROR(VLOOKUP($B364,'Slutlig allokering kvv'!$B$2:$BX$550,MATCH(H$2,'Slutlig allokering kvv'!$B$1:$BX$1,0),FALSE)/1,0))</f>
        <v/>
      </c>
      <c r="I364" s="31" t="str">
        <f>IF($D364="","",IFERROR(VLOOKUP($B364,Kraftvärmeprod!$B$1:$BX$550,MATCH(I$2,Kraftvärmeprod!$B$1:$VX$1,0),FALSE)/1,0)-IFERROR(VLOOKUP($B364,'Slutlig allokering kvv'!$B$2:$BX$550,MATCH(I$2,'Slutlig allokering kvv'!$B$1:$BX$1,0),FALSE)/1,0))</f>
        <v/>
      </c>
      <c r="J364" s="31" t="str">
        <f>IF($D364="","",IFERROR(VLOOKUP($B364,Kraftvärmeprod!$B$1:$BX$550,MATCH(J$2,Kraftvärmeprod!$B$1:$VX$1,0),FALSE)/1,0)-IFERROR(VLOOKUP($B364,'Slutlig allokering kvv'!$B$2:$BX$550,MATCH(J$2,'Slutlig allokering kvv'!$B$1:$BX$1,0),FALSE)/1,0))</f>
        <v/>
      </c>
      <c r="K364" s="31" t="str">
        <f>IF($D364="","",IFERROR(VLOOKUP($B364,Kraftvärmeprod!$B$1:$BX$550,MATCH(K$2,Kraftvärmeprod!$B$1:$VX$1,0),FALSE)/1,0)-IFERROR(VLOOKUP($B364,'Slutlig allokering kvv'!$B$2:$BX$550,MATCH(K$2,'Slutlig allokering kvv'!$B$1:$BX$1,0),FALSE)/1,0))</f>
        <v/>
      </c>
      <c r="L364" s="31" t="str">
        <f>IF($D364="","",IFERROR(VLOOKUP($B364,Kraftvärmeprod!$B$1:$BX$550,MATCH(L$2,Kraftvärmeprod!$B$1:$VX$1,0),FALSE)/1,0)-IFERROR(VLOOKUP($B364,'Slutlig allokering kvv'!$B$2:$BX$550,MATCH(L$2,'Slutlig allokering kvv'!$B$1:$BX$1,0),FALSE)/1,0))</f>
        <v/>
      </c>
      <c r="M364" s="31" t="str">
        <f>IF($D364="","",IFERROR(VLOOKUP($B364,Kraftvärmeprod!$B$1:$BX$550,MATCH(M$2,Kraftvärmeprod!$B$1:$VX$1,0),FALSE)/1,0)-IFERROR(VLOOKUP($B364,'Slutlig allokering kvv'!$B$2:$BX$550,MATCH(M$2,'Slutlig allokering kvv'!$B$1:$BX$1,0),FALSE)/1,0))</f>
        <v/>
      </c>
      <c r="N364" s="31" t="str">
        <f>IF($D364="","",IFERROR(VLOOKUP($B364,Kraftvärmeprod!$B$1:$BX$550,MATCH(N$2,Kraftvärmeprod!$B$1:$VX$1,0),FALSE)/1,0)-IFERROR(VLOOKUP($B364,'Slutlig allokering kvv'!$B$2:$BX$550,MATCH(N$2,'Slutlig allokering kvv'!$B$1:$BX$1,0),FALSE)/1,0))</f>
        <v/>
      </c>
      <c r="O364" s="31" t="str">
        <f>IF($D364="","",IFERROR(VLOOKUP($B364,Kraftvärmeprod!$B$1:$BX$550,MATCH(O$2,Kraftvärmeprod!$B$1:$VX$1,0),FALSE)/1,0)-IFERROR(VLOOKUP($B364,'Slutlig allokering kvv'!$B$2:$BX$550,MATCH(O$2,'Slutlig allokering kvv'!$B$1:$BX$1,0),FALSE)/1,0))</f>
        <v/>
      </c>
      <c r="P364" s="31" t="str">
        <f>IF($D364="","",IFERROR(VLOOKUP($B364,Kraftvärmeprod!$B$1:$BX$550,MATCH(P$2,Kraftvärmeprod!$B$1:$VX$1,0),FALSE)/1,0)-IFERROR(VLOOKUP($B364,'Slutlig allokering kvv'!$B$2:$BX$550,MATCH(P$2,'Slutlig allokering kvv'!$B$1:$BX$1,0),FALSE)/1,0))</f>
        <v/>
      </c>
      <c r="Q364" s="31" t="str">
        <f>IF($D364="","",IFERROR(VLOOKUP($B364,Kraftvärmeprod!$B$1:$BX$550,MATCH(Q$2,Kraftvärmeprod!$B$1:$VX$1,0),FALSE)/1,0)-IFERROR(VLOOKUP($B364,'Slutlig allokering kvv'!$B$2:$BX$550,MATCH(Q$2,'Slutlig allokering kvv'!$B$1:$BX$1,0),FALSE)/1,0))</f>
        <v/>
      </c>
      <c r="R364" s="31" t="str">
        <f>IF($D364="","",IFERROR(VLOOKUP($B364,Kraftvärmeprod!$B$1:$BX$550,MATCH(R$2,Kraftvärmeprod!$B$1:$VX$1,0),FALSE)/1,0)-IFERROR(VLOOKUP($B364,'Slutlig allokering kvv'!$B$2:$BX$550,MATCH(R$2,'Slutlig allokering kvv'!$B$1:$BX$1,0),FALSE)/1,0))</f>
        <v/>
      </c>
      <c r="S364" s="31" t="str">
        <f>IF($D364="","",IFERROR(VLOOKUP($B364,Kraftvärmeprod!$B$1:$BX$550,MATCH(S$2,Kraftvärmeprod!$B$1:$VX$1,0),FALSE)/1,0)-IFERROR(VLOOKUP($B364,'Slutlig allokering kvv'!$B$2:$BX$550,MATCH(S$2,'Slutlig allokering kvv'!$B$1:$BX$1,0),FALSE)/1,0))</f>
        <v/>
      </c>
      <c r="T364" s="31" t="str">
        <f>IF($D364="","",IFERROR(VLOOKUP($B364,Kraftvärmeprod!$B$1:$BX$550,MATCH(T$2,Kraftvärmeprod!$B$1:$VX$1,0),FALSE)/1,0)-IFERROR(VLOOKUP($B364,'Slutlig allokering kvv'!$B$2:$BX$550,MATCH(T$2,'Slutlig allokering kvv'!$B$1:$BX$1,0),FALSE)/1,0))</f>
        <v/>
      </c>
      <c r="U364" s="31" t="str">
        <f>IF($D364="","",IFERROR(VLOOKUP($B364,Kraftvärmeprod!$B$1:$BX$550,MATCH(U$2,Kraftvärmeprod!$B$1:$VX$1,0),FALSE)/1,0)-IFERROR(VLOOKUP($B364,'Slutlig allokering kvv'!$B$2:$BX$550,MATCH(U$2,'Slutlig allokering kvv'!$B$1:$BX$1,0),FALSE)/1,0))</f>
        <v/>
      </c>
      <c r="V364" s="31" t="str">
        <f>IF($D364="","",IFERROR(VLOOKUP($B364,Kraftvärmeprod!$B$1:$BX$550,MATCH(V$2,Kraftvärmeprod!$B$1:$VX$1,0),FALSE)/1,0)-IFERROR(VLOOKUP($B364,'Slutlig allokering kvv'!$B$2:$BX$550,MATCH(V$2,'Slutlig allokering kvv'!$B$1:$BX$1,0),FALSE)/1,0))</f>
        <v/>
      </c>
      <c r="W364" s="31" t="str">
        <f>IF($D364="","",IFERROR(VLOOKUP($B364,Kraftvärmeprod!$B$1:$BX$550,MATCH(W$2,Kraftvärmeprod!$B$1:$VX$1,0),FALSE)/1,0)-IFERROR(VLOOKUP($B364,'Slutlig allokering kvv'!$B$2:$BX$550,MATCH(W$2,'Slutlig allokering kvv'!$B$1:$BX$1,0),FALSE)/1,0))</f>
        <v/>
      </c>
      <c r="X364" s="31" t="str">
        <f>IF($D364="","",IFERROR(VLOOKUP($B364,Kraftvärmeprod!$B$1:$BX$550,MATCH(X$2,Kraftvärmeprod!$B$1:$VX$1,0),FALSE)/1,0)-IFERROR(VLOOKUP($B364,'Slutlig allokering kvv'!$B$2:$BX$550,MATCH(X$2,'Slutlig allokering kvv'!$B$1:$BX$1,0),FALSE)/1,0))</f>
        <v/>
      </c>
      <c r="Y364" s="31" t="str">
        <f>IF($D364="","",IFERROR(VLOOKUP($B364,Kraftvärmeprod!$B$1:$BX$550,MATCH(Y$2,Kraftvärmeprod!$B$1:$VX$1,0),FALSE)/1,0)-IFERROR(VLOOKUP($B364,'Slutlig allokering kvv'!$B$2:$BX$550,MATCH(Y$2,'Slutlig allokering kvv'!$B$1:$BX$1,0),FALSE)/1,0))</f>
        <v/>
      </c>
      <c r="Z364" s="31" t="str">
        <f>IF($D364="","",IFERROR(VLOOKUP($B364,Kraftvärmeprod!$B$1:$BX$550,MATCH(Z$2,Kraftvärmeprod!$B$1:$VX$1,0),FALSE)/1,0)-IFERROR(VLOOKUP($B364,'Slutlig allokering kvv'!$B$2:$BX$550,MATCH(Z$2,'Slutlig allokering kvv'!$B$1:$BX$1,0),FALSE)/1,0))</f>
        <v/>
      </c>
      <c r="AA364" s="31" t="str">
        <f>IF($D364="","",IFERROR(VLOOKUP($B364,Kraftvärmeprod!$B$1:$BX$550,MATCH(AA$2,Kraftvärmeprod!$B$1:$VX$1,0),FALSE)/1,0)-IFERROR(VLOOKUP($B364,'Slutlig allokering kvv'!$B$2:$BX$550,MATCH(AA$2,'Slutlig allokering kvv'!$B$1:$BX$1,0),FALSE)/1,0))</f>
        <v/>
      </c>
      <c r="AB364" s="31" t="str">
        <f>IF($D364="","",IFERROR(VLOOKUP($B364,Kraftvärmeprod!$B$1:$BX$550,MATCH(AB$2,Kraftvärmeprod!$B$1:$VX$1,0),FALSE)/1,0)-IFERROR(VLOOKUP($B364,'Slutlig allokering kvv'!$B$2:$BX$550,MATCH(AB$2,'Slutlig allokering kvv'!$B$1:$BX$1,0),FALSE)/1,0))</f>
        <v/>
      </c>
      <c r="AC364" s="31" t="str">
        <f>IF($D364="","",IFERROR(VLOOKUP($B364,Kraftvärmeprod!$B$1:$BX$550,MATCH(AC$2,Kraftvärmeprod!$B$1:$VX$1,0),FALSE)/1,0)-IFERROR(VLOOKUP($B364,'Slutlig allokering kvv'!$B$2:$BX$550,MATCH(AC$2,'Slutlig allokering kvv'!$B$1:$BX$1,0),FALSE)/1,0))</f>
        <v/>
      </c>
      <c r="AD364" s="31" t="str">
        <f>IF($D364="","",IFERROR(VLOOKUP($B364,Kraftvärmeprod!$B$1:$BX$550,MATCH(AD$2,Kraftvärmeprod!$B$1:$VX$1,0),FALSE)/1,0)-IFERROR(VLOOKUP($B364,'Slutlig allokering kvv'!$B$2:$BX$550,MATCH(AD$2,'Slutlig allokering kvv'!$B$1:$BX$1,0),FALSE)/1,0))</f>
        <v/>
      </c>
      <c r="AE364" s="31" t="str">
        <f>IF($D364="","",IFERROR(VLOOKUP($B364,Miljö!$B$1:$E$550,MATCH("Hjälpel kraftvärme (GWh)",Miljö!$B$1:$E$1,0),FALSE)/1,0)-IFERROR(VLOOKUP($B364,'Slutlig allokering kvv'!$B$2:$BX$549,MATCH(AE$2,'Slutlig allokering kvv'!$B$1:$BX$1,0),FALSE)/1,0))</f>
        <v/>
      </c>
      <c r="AI364" s="39">
        <f t="shared" si="20"/>
        <v>0</v>
      </c>
      <c r="AK364" s="31">
        <f>IFERROR(VLOOKUP($B364,'Slutlig allokering kvv'!$B$2:$AX$549,MATCH("Summa slutlig allokerad tillförd energi (utan hjälpel och rökgaskondensering):",'Slutlig allokering kvv'!$B$1:$AX$1,0),FALSE)/1,"")</f>
        <v>0</v>
      </c>
      <c r="AM364" s="31" t="str">
        <f>IFERROR(1-VLOOKUP($B364,'Slutlig allokering kvv'!$B$2:$AX$549,MATCH("Andel av bränsle i kvv som allokerats till värme, exklusive rökgaskondensering och hjälpel",'Slutlig allokering kvv'!$B$1:$AX$1,0),FALSE),"")</f>
        <v/>
      </c>
      <c r="AO364" s="31" t="str">
        <f t="shared" si="21"/>
        <v/>
      </c>
      <c r="AP364" s="31" t="str">
        <f t="shared" si="22"/>
        <v/>
      </c>
      <c r="AR364" s="32" t="str">
        <f t="shared" si="23"/>
        <v/>
      </c>
    </row>
    <row r="365" spans="1:44" s="31" customFormat="1" x14ac:dyDescent="0.45">
      <c r="A365" s="31" t="s">
        <v>149</v>
      </c>
      <c r="B365" s="31" t="s">
        <v>151</v>
      </c>
      <c r="C365" s="31" t="str">
        <f>IFERROR(VLOOKUP($B365,Kraftvärmeprod!$B$1:$AH$479,MATCH(C$2,Kraftvärmeprod!$B$1:$AG$1,0),FALSE)/1,"")</f>
        <v/>
      </c>
      <c r="D365" s="31" t="str">
        <f>IFERROR(VLOOKUP($B365,Kraftvärmeprod!$B$1:$AH$479,MATCH(D$2,Kraftvärmeprod!$B$1:$AG$1,0),FALSE)/1,"")</f>
        <v/>
      </c>
      <c r="F365" s="31" t="str">
        <f>IF($D365="","",IFERROR(VLOOKUP($B365,Kraftvärmeprod!$B$1:$BX$550,MATCH(F$2,Kraftvärmeprod!$B$1:$VX$1,0),FALSE)/1,0)-IFERROR(VLOOKUP($B365,'Slutlig allokering kvv'!$B$2:$BX$550,MATCH(F$2,'Slutlig allokering kvv'!$B$1:$BX$1,0),FALSE)/1,0))</f>
        <v/>
      </c>
      <c r="G365" s="31" t="str">
        <f>IF($D365="","",IFERROR(VLOOKUP($B365,Kraftvärmeprod!$B$1:$BX$550,MATCH(G$2,Kraftvärmeprod!$B$1:$VX$1,0),FALSE)/1,0)-IFERROR(VLOOKUP($B365,'Slutlig allokering kvv'!$B$2:$BX$550,MATCH(G$2,'Slutlig allokering kvv'!$B$1:$BX$1,0),FALSE)/1,0))</f>
        <v/>
      </c>
      <c r="H365" s="31" t="str">
        <f>IF($D365="","",IFERROR(VLOOKUP($B365,Kraftvärmeprod!$B$1:$BX$550,MATCH(H$2,Kraftvärmeprod!$B$1:$VX$1,0),FALSE)/1,0)-IFERROR(VLOOKUP($B365,'Slutlig allokering kvv'!$B$2:$BX$550,MATCH(H$2,'Slutlig allokering kvv'!$B$1:$BX$1,0),FALSE)/1,0))</f>
        <v/>
      </c>
      <c r="I365" s="31" t="str">
        <f>IF($D365="","",IFERROR(VLOOKUP($B365,Kraftvärmeprod!$B$1:$BX$550,MATCH(I$2,Kraftvärmeprod!$B$1:$VX$1,0),FALSE)/1,0)-IFERROR(VLOOKUP($B365,'Slutlig allokering kvv'!$B$2:$BX$550,MATCH(I$2,'Slutlig allokering kvv'!$B$1:$BX$1,0),FALSE)/1,0))</f>
        <v/>
      </c>
      <c r="J365" s="31" t="str">
        <f>IF($D365="","",IFERROR(VLOOKUP($B365,Kraftvärmeprod!$B$1:$BX$550,MATCH(J$2,Kraftvärmeprod!$B$1:$VX$1,0),FALSE)/1,0)-IFERROR(VLOOKUP($B365,'Slutlig allokering kvv'!$B$2:$BX$550,MATCH(J$2,'Slutlig allokering kvv'!$B$1:$BX$1,0),FALSE)/1,0))</f>
        <v/>
      </c>
      <c r="K365" s="31" t="str">
        <f>IF($D365="","",IFERROR(VLOOKUP($B365,Kraftvärmeprod!$B$1:$BX$550,MATCH(K$2,Kraftvärmeprod!$B$1:$VX$1,0),FALSE)/1,0)-IFERROR(VLOOKUP($B365,'Slutlig allokering kvv'!$B$2:$BX$550,MATCH(K$2,'Slutlig allokering kvv'!$B$1:$BX$1,0),FALSE)/1,0))</f>
        <v/>
      </c>
      <c r="L365" s="31" t="str">
        <f>IF($D365="","",IFERROR(VLOOKUP($B365,Kraftvärmeprod!$B$1:$BX$550,MATCH(L$2,Kraftvärmeprod!$B$1:$VX$1,0),FALSE)/1,0)-IFERROR(VLOOKUP($B365,'Slutlig allokering kvv'!$B$2:$BX$550,MATCH(L$2,'Slutlig allokering kvv'!$B$1:$BX$1,0),FALSE)/1,0))</f>
        <v/>
      </c>
      <c r="M365" s="31" t="str">
        <f>IF($D365="","",IFERROR(VLOOKUP($B365,Kraftvärmeprod!$B$1:$BX$550,MATCH(M$2,Kraftvärmeprod!$B$1:$VX$1,0),FALSE)/1,0)-IFERROR(VLOOKUP($B365,'Slutlig allokering kvv'!$B$2:$BX$550,MATCH(M$2,'Slutlig allokering kvv'!$B$1:$BX$1,0),FALSE)/1,0))</f>
        <v/>
      </c>
      <c r="N365" s="31" t="str">
        <f>IF($D365="","",IFERROR(VLOOKUP($B365,Kraftvärmeprod!$B$1:$BX$550,MATCH(N$2,Kraftvärmeprod!$B$1:$VX$1,0),FALSE)/1,0)-IFERROR(VLOOKUP($B365,'Slutlig allokering kvv'!$B$2:$BX$550,MATCH(N$2,'Slutlig allokering kvv'!$B$1:$BX$1,0),FALSE)/1,0))</f>
        <v/>
      </c>
      <c r="O365" s="31" t="str">
        <f>IF($D365="","",IFERROR(VLOOKUP($B365,Kraftvärmeprod!$B$1:$BX$550,MATCH(O$2,Kraftvärmeprod!$B$1:$VX$1,0),FALSE)/1,0)-IFERROR(VLOOKUP($B365,'Slutlig allokering kvv'!$B$2:$BX$550,MATCH(O$2,'Slutlig allokering kvv'!$B$1:$BX$1,0),FALSE)/1,0))</f>
        <v/>
      </c>
      <c r="P365" s="31" t="str">
        <f>IF($D365="","",IFERROR(VLOOKUP($B365,Kraftvärmeprod!$B$1:$BX$550,MATCH(P$2,Kraftvärmeprod!$B$1:$VX$1,0),FALSE)/1,0)-IFERROR(VLOOKUP($B365,'Slutlig allokering kvv'!$B$2:$BX$550,MATCH(P$2,'Slutlig allokering kvv'!$B$1:$BX$1,0),FALSE)/1,0))</f>
        <v/>
      </c>
      <c r="Q365" s="31" t="str">
        <f>IF($D365="","",IFERROR(VLOOKUP($B365,Kraftvärmeprod!$B$1:$BX$550,MATCH(Q$2,Kraftvärmeprod!$B$1:$VX$1,0),FALSE)/1,0)-IFERROR(VLOOKUP($B365,'Slutlig allokering kvv'!$B$2:$BX$550,MATCH(Q$2,'Slutlig allokering kvv'!$B$1:$BX$1,0),FALSE)/1,0))</f>
        <v/>
      </c>
      <c r="R365" s="31" t="str">
        <f>IF($D365="","",IFERROR(VLOOKUP($B365,Kraftvärmeprod!$B$1:$BX$550,MATCH(R$2,Kraftvärmeprod!$B$1:$VX$1,0),FALSE)/1,0)-IFERROR(VLOOKUP($B365,'Slutlig allokering kvv'!$B$2:$BX$550,MATCH(R$2,'Slutlig allokering kvv'!$B$1:$BX$1,0),FALSE)/1,0))</f>
        <v/>
      </c>
      <c r="S365" s="31" t="str">
        <f>IF($D365="","",IFERROR(VLOOKUP($B365,Kraftvärmeprod!$B$1:$BX$550,MATCH(S$2,Kraftvärmeprod!$B$1:$VX$1,0),FALSE)/1,0)-IFERROR(VLOOKUP($B365,'Slutlig allokering kvv'!$B$2:$BX$550,MATCH(S$2,'Slutlig allokering kvv'!$B$1:$BX$1,0),FALSE)/1,0))</f>
        <v/>
      </c>
      <c r="T365" s="31" t="str">
        <f>IF($D365="","",IFERROR(VLOOKUP($B365,Kraftvärmeprod!$B$1:$BX$550,MATCH(T$2,Kraftvärmeprod!$B$1:$VX$1,0),FALSE)/1,0)-IFERROR(VLOOKUP($B365,'Slutlig allokering kvv'!$B$2:$BX$550,MATCH(T$2,'Slutlig allokering kvv'!$B$1:$BX$1,0),FALSE)/1,0))</f>
        <v/>
      </c>
      <c r="U365" s="31" t="str">
        <f>IF($D365="","",IFERROR(VLOOKUP($B365,Kraftvärmeprod!$B$1:$BX$550,MATCH(U$2,Kraftvärmeprod!$B$1:$VX$1,0),FALSE)/1,0)-IFERROR(VLOOKUP($B365,'Slutlig allokering kvv'!$B$2:$BX$550,MATCH(U$2,'Slutlig allokering kvv'!$B$1:$BX$1,0),FALSE)/1,0))</f>
        <v/>
      </c>
      <c r="V365" s="31" t="str">
        <f>IF($D365="","",IFERROR(VLOOKUP($B365,Kraftvärmeprod!$B$1:$BX$550,MATCH(V$2,Kraftvärmeprod!$B$1:$VX$1,0),FALSE)/1,0)-IFERROR(VLOOKUP($B365,'Slutlig allokering kvv'!$B$2:$BX$550,MATCH(V$2,'Slutlig allokering kvv'!$B$1:$BX$1,0),FALSE)/1,0))</f>
        <v/>
      </c>
      <c r="W365" s="31" t="str">
        <f>IF($D365="","",IFERROR(VLOOKUP($B365,Kraftvärmeprod!$B$1:$BX$550,MATCH(W$2,Kraftvärmeprod!$B$1:$VX$1,0),FALSE)/1,0)-IFERROR(VLOOKUP($B365,'Slutlig allokering kvv'!$B$2:$BX$550,MATCH(W$2,'Slutlig allokering kvv'!$B$1:$BX$1,0),FALSE)/1,0))</f>
        <v/>
      </c>
      <c r="X365" s="31" t="str">
        <f>IF($D365="","",IFERROR(VLOOKUP($B365,Kraftvärmeprod!$B$1:$BX$550,MATCH(X$2,Kraftvärmeprod!$B$1:$VX$1,0),FALSE)/1,0)-IFERROR(VLOOKUP($B365,'Slutlig allokering kvv'!$B$2:$BX$550,MATCH(X$2,'Slutlig allokering kvv'!$B$1:$BX$1,0),FALSE)/1,0))</f>
        <v/>
      </c>
      <c r="Y365" s="31" t="str">
        <f>IF($D365="","",IFERROR(VLOOKUP($B365,Kraftvärmeprod!$B$1:$BX$550,MATCH(Y$2,Kraftvärmeprod!$B$1:$VX$1,0),FALSE)/1,0)-IFERROR(VLOOKUP($B365,'Slutlig allokering kvv'!$B$2:$BX$550,MATCH(Y$2,'Slutlig allokering kvv'!$B$1:$BX$1,0),FALSE)/1,0))</f>
        <v/>
      </c>
      <c r="Z365" s="31" t="str">
        <f>IF($D365="","",IFERROR(VLOOKUP($B365,Kraftvärmeprod!$B$1:$BX$550,MATCH(Z$2,Kraftvärmeprod!$B$1:$VX$1,0),FALSE)/1,0)-IFERROR(VLOOKUP($B365,'Slutlig allokering kvv'!$B$2:$BX$550,MATCH(Z$2,'Slutlig allokering kvv'!$B$1:$BX$1,0),FALSE)/1,0))</f>
        <v/>
      </c>
      <c r="AA365" s="31" t="str">
        <f>IF($D365="","",IFERROR(VLOOKUP($B365,Kraftvärmeprod!$B$1:$BX$550,MATCH(AA$2,Kraftvärmeprod!$B$1:$VX$1,0),FALSE)/1,0)-IFERROR(VLOOKUP($B365,'Slutlig allokering kvv'!$B$2:$BX$550,MATCH(AA$2,'Slutlig allokering kvv'!$B$1:$BX$1,0),FALSE)/1,0))</f>
        <v/>
      </c>
      <c r="AB365" s="31" t="str">
        <f>IF($D365="","",IFERROR(VLOOKUP($B365,Kraftvärmeprod!$B$1:$BX$550,MATCH(AB$2,Kraftvärmeprod!$B$1:$VX$1,0),FALSE)/1,0)-IFERROR(VLOOKUP($B365,'Slutlig allokering kvv'!$B$2:$BX$550,MATCH(AB$2,'Slutlig allokering kvv'!$B$1:$BX$1,0),FALSE)/1,0))</f>
        <v/>
      </c>
      <c r="AC365" s="31" t="str">
        <f>IF($D365="","",IFERROR(VLOOKUP($B365,Kraftvärmeprod!$B$1:$BX$550,MATCH(AC$2,Kraftvärmeprod!$B$1:$VX$1,0),FALSE)/1,0)-IFERROR(VLOOKUP($B365,'Slutlig allokering kvv'!$B$2:$BX$550,MATCH(AC$2,'Slutlig allokering kvv'!$B$1:$BX$1,0),FALSE)/1,0))</f>
        <v/>
      </c>
      <c r="AD365" s="31" t="str">
        <f>IF($D365="","",IFERROR(VLOOKUP($B365,Kraftvärmeprod!$B$1:$BX$550,MATCH(AD$2,Kraftvärmeprod!$B$1:$VX$1,0),FALSE)/1,0)-IFERROR(VLOOKUP($B365,'Slutlig allokering kvv'!$B$2:$BX$550,MATCH(AD$2,'Slutlig allokering kvv'!$B$1:$BX$1,0),FALSE)/1,0))</f>
        <v/>
      </c>
      <c r="AE365" s="31" t="str">
        <f>IF($D365="","",IFERROR(VLOOKUP($B365,Miljö!$B$1:$E$550,MATCH("Hjälpel kraftvärme (GWh)",Miljö!$B$1:$E$1,0),FALSE)/1,0)-IFERROR(VLOOKUP($B365,'Slutlig allokering kvv'!$B$2:$BX$549,MATCH(AE$2,'Slutlig allokering kvv'!$B$1:$BX$1,0),FALSE)/1,0))</f>
        <v/>
      </c>
      <c r="AI365" s="39">
        <f t="shared" si="20"/>
        <v>0</v>
      </c>
      <c r="AK365" s="31">
        <f>IFERROR(VLOOKUP($B365,'Slutlig allokering kvv'!$B$2:$AX$549,MATCH("Summa slutlig allokerad tillförd energi (utan hjälpel och rökgaskondensering):",'Slutlig allokering kvv'!$B$1:$AX$1,0),FALSE)/1,"")</f>
        <v>0</v>
      </c>
      <c r="AM365" s="31" t="str">
        <f>IFERROR(1-VLOOKUP($B365,'Slutlig allokering kvv'!$B$2:$AX$549,MATCH("Andel av bränsle i kvv som allokerats till värme, exklusive rökgaskondensering och hjälpel",'Slutlig allokering kvv'!$B$1:$AX$1,0),FALSE),"")</f>
        <v/>
      </c>
      <c r="AO365" s="31" t="str">
        <f t="shared" si="21"/>
        <v/>
      </c>
      <c r="AP365" s="31" t="str">
        <f t="shared" si="22"/>
        <v/>
      </c>
      <c r="AR365" s="32" t="str">
        <f t="shared" si="23"/>
        <v/>
      </c>
    </row>
    <row r="366" spans="1:44" s="31" customFormat="1" x14ac:dyDescent="0.45">
      <c r="A366" s="31" t="s">
        <v>149</v>
      </c>
      <c r="B366" s="31" t="s">
        <v>148</v>
      </c>
      <c r="C366" s="31">
        <f>IFERROR(VLOOKUP($B366,Kraftvärmeprod!$B$1:$AH$479,MATCH(C$2,Kraftvärmeprod!$B$1:$AG$1,0),FALSE)/1,"")</f>
        <v>177.11099999999999</v>
      </c>
      <c r="D366" s="31">
        <f>IFERROR(VLOOKUP($B366,Kraftvärmeprod!$B$1:$AH$479,MATCH(D$2,Kraftvärmeprod!$B$1:$AG$1,0),FALSE)/1,"")</f>
        <v>88.486000000000004</v>
      </c>
      <c r="F366" s="31">
        <f>IF($D366="","",IFERROR(VLOOKUP($B366,Kraftvärmeprod!$B$1:$BX$550,MATCH(F$2,Kraftvärmeprod!$B$1:$VX$1,0),FALSE)/1,0)-IFERROR(VLOOKUP($B366,'Slutlig allokering kvv'!$B$2:$BX$550,MATCH(F$2,'Slutlig allokering kvv'!$B$1:$BX$1,0),FALSE)/1,0))</f>
        <v>0</v>
      </c>
      <c r="G366" s="31">
        <f>IF($D366="","",IFERROR(VLOOKUP($B366,Kraftvärmeprod!$B$1:$BX$550,MATCH(G$2,Kraftvärmeprod!$B$1:$VX$1,0),FALSE)/1,0)-IFERROR(VLOOKUP($B366,'Slutlig allokering kvv'!$B$2:$BX$550,MATCH(G$2,'Slutlig allokering kvv'!$B$1:$BX$1,0),FALSE)/1,0))</f>
        <v>0</v>
      </c>
      <c r="H366" s="31">
        <f>IF($D366="","",IFERROR(VLOOKUP($B366,Kraftvärmeprod!$B$1:$BX$550,MATCH(H$2,Kraftvärmeprod!$B$1:$VX$1,0),FALSE)/1,0)-IFERROR(VLOOKUP($B366,'Slutlig allokering kvv'!$B$2:$BX$550,MATCH(H$2,'Slutlig allokering kvv'!$B$1:$BX$1,0),FALSE)/1,0))</f>
        <v>0</v>
      </c>
      <c r="I366" s="31">
        <f>IF($D366="","",IFERROR(VLOOKUP($B366,Kraftvärmeprod!$B$1:$BX$550,MATCH(I$2,Kraftvärmeprod!$B$1:$VX$1,0),FALSE)/1,0)-IFERROR(VLOOKUP($B366,'Slutlig allokering kvv'!$B$2:$BX$550,MATCH(I$2,'Slutlig allokering kvv'!$B$1:$BX$1,0),FALSE)/1,0))</f>
        <v>0.33726400000000006</v>
      </c>
      <c r="J366" s="31">
        <f>IF($D366="","",IFERROR(VLOOKUP($B366,Kraftvärmeprod!$B$1:$BX$550,MATCH(J$2,Kraftvärmeprod!$B$1:$VX$1,0),FALSE)/1,0)-IFERROR(VLOOKUP($B366,'Slutlig allokering kvv'!$B$2:$BX$550,MATCH(J$2,'Slutlig allokering kvv'!$B$1:$BX$1,0),FALSE)/1,0))</f>
        <v>0</v>
      </c>
      <c r="K366" s="31">
        <f>IF($D366="","",IFERROR(VLOOKUP($B366,Kraftvärmeprod!$B$1:$BX$550,MATCH(K$2,Kraftvärmeprod!$B$1:$VX$1,0),FALSE)/1,0)-IFERROR(VLOOKUP($B366,'Slutlig allokering kvv'!$B$2:$BX$550,MATCH(K$2,'Slutlig allokering kvv'!$B$1:$BX$1,0),FALSE)/1,0))</f>
        <v>0</v>
      </c>
      <c r="L366" s="31">
        <f>IF($D366="","",IFERROR(VLOOKUP($B366,Kraftvärmeprod!$B$1:$BX$550,MATCH(L$2,Kraftvärmeprod!$B$1:$VX$1,0),FALSE)/1,0)-IFERROR(VLOOKUP($B366,'Slutlig allokering kvv'!$B$2:$BX$550,MATCH(L$2,'Slutlig allokering kvv'!$B$1:$BX$1,0),FALSE)/1,0))</f>
        <v>5.8788100000000005</v>
      </c>
      <c r="M366" s="31">
        <f>IF($D366="","",IFERROR(VLOOKUP($B366,Kraftvärmeprod!$B$1:$BX$550,MATCH(M$2,Kraftvärmeprod!$B$1:$VX$1,0),FALSE)/1,0)-IFERROR(VLOOKUP($B366,'Slutlig allokering kvv'!$B$2:$BX$550,MATCH(M$2,'Slutlig allokering kvv'!$B$1:$BX$1,0),FALSE)/1,0))</f>
        <v>76.788199999999989</v>
      </c>
      <c r="N366" s="31">
        <f>IF($D366="","",IFERROR(VLOOKUP($B366,Kraftvärmeprod!$B$1:$BX$550,MATCH(N$2,Kraftvärmeprod!$B$1:$VX$1,0),FALSE)/1,0)-IFERROR(VLOOKUP($B366,'Slutlig allokering kvv'!$B$2:$BX$550,MATCH(N$2,'Slutlig allokering kvv'!$B$1:$BX$1,0),FALSE)/1,0))</f>
        <v>14.813499999999999</v>
      </c>
      <c r="O366" s="31">
        <f>IF($D366="","",IFERROR(VLOOKUP($B366,Kraftvärmeprod!$B$1:$BX$550,MATCH(O$2,Kraftvärmeprod!$B$1:$VX$1,0),FALSE)/1,0)-IFERROR(VLOOKUP($B366,'Slutlig allokering kvv'!$B$2:$BX$550,MATCH(O$2,'Slutlig allokering kvv'!$B$1:$BX$1,0),FALSE)/1,0))</f>
        <v>32.1434</v>
      </c>
      <c r="P366" s="31">
        <f>IF($D366="","",IFERROR(VLOOKUP($B366,Kraftvärmeprod!$B$1:$BX$550,MATCH(P$2,Kraftvärmeprod!$B$1:$VX$1,0),FALSE)/1,0)-IFERROR(VLOOKUP($B366,'Slutlig allokering kvv'!$B$2:$BX$550,MATCH(P$2,'Slutlig allokering kvv'!$B$1:$BX$1,0),FALSE)/1,0))</f>
        <v>0</v>
      </c>
      <c r="Q366" s="31">
        <f>IF($D366="","",IFERROR(VLOOKUP($B366,Kraftvärmeprod!$B$1:$BX$550,MATCH(Q$2,Kraftvärmeprod!$B$1:$VX$1,0),FALSE)/1,0)-IFERROR(VLOOKUP($B366,'Slutlig allokering kvv'!$B$2:$BX$550,MATCH(Q$2,'Slutlig allokering kvv'!$B$1:$BX$1,0),FALSE)/1,0))</f>
        <v>0</v>
      </c>
      <c r="R366" s="31">
        <f>IF($D366="","",IFERROR(VLOOKUP($B366,Kraftvärmeprod!$B$1:$BX$550,MATCH(R$2,Kraftvärmeprod!$B$1:$VX$1,0),FALSE)/1,0)-IFERROR(VLOOKUP($B366,'Slutlig allokering kvv'!$B$2:$BX$550,MATCH(R$2,'Slutlig allokering kvv'!$B$1:$BX$1,0),FALSE)/1,0))</f>
        <v>0</v>
      </c>
      <c r="S366" s="31">
        <f>IF($D366="","",IFERROR(VLOOKUP($B366,Kraftvärmeprod!$B$1:$BX$550,MATCH(S$2,Kraftvärmeprod!$B$1:$VX$1,0),FALSE)/1,0)-IFERROR(VLOOKUP($B366,'Slutlig allokering kvv'!$B$2:$BX$550,MATCH(S$2,'Slutlig allokering kvv'!$B$1:$BX$1,0),FALSE)/1,0))</f>
        <v>0</v>
      </c>
      <c r="T366" s="31">
        <f>IF($D366="","",IFERROR(VLOOKUP($B366,Kraftvärmeprod!$B$1:$BX$550,MATCH(T$2,Kraftvärmeprod!$B$1:$VX$1,0),FALSE)/1,0)-IFERROR(VLOOKUP($B366,'Slutlig allokering kvv'!$B$2:$BX$550,MATCH(T$2,'Slutlig allokering kvv'!$B$1:$BX$1,0),FALSE)/1,0))</f>
        <v>0</v>
      </c>
      <c r="U366" s="31">
        <f>IF($D366="","",IFERROR(VLOOKUP($B366,Kraftvärmeprod!$B$1:$BX$550,MATCH(U$2,Kraftvärmeprod!$B$1:$VX$1,0),FALSE)/1,0)-IFERROR(VLOOKUP($B366,'Slutlig allokering kvv'!$B$2:$BX$550,MATCH(U$2,'Slutlig allokering kvv'!$B$1:$BX$1,0),FALSE)/1,0))</f>
        <v>0</v>
      </c>
      <c r="V366" s="31">
        <f>IF($D366="","",IFERROR(VLOOKUP($B366,Kraftvärmeprod!$B$1:$BX$550,MATCH(V$2,Kraftvärmeprod!$B$1:$VX$1,0),FALSE)/1,0)-IFERROR(VLOOKUP($B366,'Slutlig allokering kvv'!$B$2:$BX$550,MATCH(V$2,'Slutlig allokering kvv'!$B$1:$BX$1,0),FALSE)/1,0))</f>
        <v>0</v>
      </c>
      <c r="W366" s="31">
        <f>IF($D366="","",IFERROR(VLOOKUP($B366,Kraftvärmeprod!$B$1:$BX$550,MATCH(W$2,Kraftvärmeprod!$B$1:$VX$1,0),FALSE)/1,0)-IFERROR(VLOOKUP($B366,'Slutlig allokering kvv'!$B$2:$BX$550,MATCH(W$2,'Slutlig allokering kvv'!$B$1:$BX$1,0),FALSE)/1,0))</f>
        <v>0</v>
      </c>
      <c r="X366" s="31">
        <f>IF($D366="","",IFERROR(VLOOKUP($B366,Kraftvärmeprod!$B$1:$BX$550,MATCH(X$2,Kraftvärmeprod!$B$1:$VX$1,0),FALSE)/1,0)-IFERROR(VLOOKUP($B366,'Slutlig allokering kvv'!$B$2:$BX$550,MATCH(X$2,'Slutlig allokering kvv'!$B$1:$BX$1,0),FALSE)/1,0))</f>
        <v>0</v>
      </c>
      <c r="Y366" s="31">
        <f>IF($D366="","",IFERROR(VLOOKUP($B366,Kraftvärmeprod!$B$1:$BX$550,MATCH(Y$2,Kraftvärmeprod!$B$1:$VX$1,0),FALSE)/1,0)-IFERROR(VLOOKUP($B366,'Slutlig allokering kvv'!$B$2:$BX$550,MATCH(Y$2,'Slutlig allokering kvv'!$B$1:$BX$1,0),FALSE)/1,0))</f>
        <v>0</v>
      </c>
      <c r="Z366" s="31">
        <f>IF($D366="","",IFERROR(VLOOKUP($B366,Kraftvärmeprod!$B$1:$BX$550,MATCH(Z$2,Kraftvärmeprod!$B$1:$VX$1,0),FALSE)/1,0)-IFERROR(VLOOKUP($B366,'Slutlig allokering kvv'!$B$2:$BX$550,MATCH(Z$2,'Slutlig allokering kvv'!$B$1:$BX$1,0),FALSE)/1,0))</f>
        <v>25.757899999999999</v>
      </c>
      <c r="AA366" s="31">
        <f>IF($D366="","",IFERROR(VLOOKUP($B366,Kraftvärmeprod!$B$1:$BX$550,MATCH(AA$2,Kraftvärmeprod!$B$1:$VX$1,0),FALSE)/1,0)-IFERROR(VLOOKUP($B366,'Slutlig allokering kvv'!$B$2:$BX$550,MATCH(AA$2,'Slutlig allokering kvv'!$B$1:$BX$1,0),FALSE)/1,0))</f>
        <v>0</v>
      </c>
      <c r="AB366" s="31">
        <f>IF($D366="","",IFERROR(VLOOKUP($B366,Kraftvärmeprod!$B$1:$BX$550,MATCH(AB$2,Kraftvärmeprod!$B$1:$VX$1,0),FALSE)/1,0)-IFERROR(VLOOKUP($B366,'Slutlig allokering kvv'!$B$2:$BX$550,MATCH(AB$2,'Slutlig allokering kvv'!$B$1:$BX$1,0),FALSE)/1,0))</f>
        <v>1.6927099999999997</v>
      </c>
      <c r="AC366" s="31">
        <f>IF($D366="","",IFERROR(VLOOKUP($B366,Kraftvärmeprod!$B$1:$BX$550,MATCH(AC$2,Kraftvärmeprod!$B$1:$VX$1,0),FALSE)/1,0)-IFERROR(VLOOKUP($B366,'Slutlig allokering kvv'!$B$2:$BX$550,MATCH(AC$2,'Slutlig allokering kvv'!$B$1:$BX$1,0),FALSE)/1,0))</f>
        <v>0</v>
      </c>
      <c r="AD366" s="31">
        <f>IF($D366="","",IFERROR(VLOOKUP($B366,Kraftvärmeprod!$B$1:$BX$550,MATCH(AD$2,Kraftvärmeprod!$B$1:$VX$1,0),FALSE)/1,0)-IFERROR(VLOOKUP($B366,'Slutlig allokering kvv'!$B$2:$BX$550,MATCH(AD$2,'Slutlig allokering kvv'!$B$1:$BX$1,0),FALSE)/1,0))</f>
        <v>0</v>
      </c>
      <c r="AE366" s="31">
        <f>IF($D366="","",IFERROR(VLOOKUP($B366,Miljö!$B$1:$E$550,MATCH("Hjälpel kraftvärme (GWh)",Miljö!$B$1:$E$1,0),FALSE)/1,0)-IFERROR(VLOOKUP($B366,'Slutlig allokering kvv'!$B$2:$BX$549,MATCH(AE$2,'Slutlig allokering kvv'!$B$1:$BX$1,0),FALSE)/1,0))</f>
        <v>6.8450799999999994</v>
      </c>
      <c r="AI366" s="39">
        <f t="shared" si="20"/>
        <v>157.41178400000001</v>
      </c>
      <c r="AK366" s="31">
        <f>IFERROR(VLOOKUP($B366,'Slutlig allokering kvv'!$B$2:$AX$549,MATCH("Summa slutlig allokerad tillförd energi (utan hjälpel och rökgaskondensering):",'Slutlig allokering kvv'!$B$1:$AX$1,0),FALSE)/1,"")</f>
        <v>124.75321600000004</v>
      </c>
      <c r="AM366" s="31">
        <f>IFERROR(1-VLOOKUP($B366,'Slutlig allokering kvv'!$B$2:$AX$549,MATCH("Andel av bränsle i kvv som allokerats till värme, exklusive rökgaskondensering och hjälpel",'Slutlig allokering kvv'!$B$1:$AX$1,0),FALSE),"")</f>
        <v>0.55787140148494663</v>
      </c>
      <c r="AO366" s="31">
        <f t="shared" si="21"/>
        <v>0.55787140148494663</v>
      </c>
      <c r="AP366" s="31">
        <f t="shared" si="22"/>
        <v>0</v>
      </c>
      <c r="AR366" s="32">
        <f t="shared" si="23"/>
        <v>0.53870503700837735</v>
      </c>
    </row>
    <row r="367" spans="1:44" s="31" customFormat="1" x14ac:dyDescent="0.45">
      <c r="A367" s="31" t="s">
        <v>149</v>
      </c>
      <c r="B367" s="31" t="s">
        <v>150</v>
      </c>
      <c r="C367" s="31">
        <f>IFERROR(VLOOKUP($B367,Kraftvärmeprod!$B$1:$AH$479,MATCH(C$2,Kraftvärmeprod!$B$1:$AG$1,0),FALSE)/1,"")</f>
        <v>266.27100000000002</v>
      </c>
      <c r="D367" s="31">
        <f>IFERROR(VLOOKUP($B367,Kraftvärmeprod!$B$1:$AH$479,MATCH(D$2,Kraftvärmeprod!$B$1:$AG$1,0),FALSE)/1,"")</f>
        <v>98.875</v>
      </c>
      <c r="F367" s="31">
        <f>IF($D367="","",IFERROR(VLOOKUP($B367,Kraftvärmeprod!$B$1:$BX$550,MATCH(F$2,Kraftvärmeprod!$B$1:$VX$1,0),FALSE)/1,0)-IFERROR(VLOOKUP($B367,'Slutlig allokering kvv'!$B$2:$BX$550,MATCH(F$2,'Slutlig allokering kvv'!$B$1:$BX$1,0),FALSE)/1,0))</f>
        <v>0</v>
      </c>
      <c r="G367" s="31">
        <f>IF($D367="","",IFERROR(VLOOKUP($B367,Kraftvärmeprod!$B$1:$BX$550,MATCH(G$2,Kraftvärmeprod!$B$1:$VX$1,0),FALSE)/1,0)-IFERROR(VLOOKUP($B367,'Slutlig allokering kvv'!$B$2:$BX$550,MATCH(G$2,'Slutlig allokering kvv'!$B$1:$BX$1,0),FALSE)/1,0))</f>
        <v>4.500350000000001</v>
      </c>
      <c r="H367" s="31">
        <f>IF($D367="","",IFERROR(VLOOKUP($B367,Kraftvärmeprod!$B$1:$BX$550,MATCH(H$2,Kraftvärmeprod!$B$1:$VX$1,0),FALSE)/1,0)-IFERROR(VLOOKUP($B367,'Slutlig allokering kvv'!$B$2:$BX$550,MATCH(H$2,'Slutlig allokering kvv'!$B$1:$BX$1,0),FALSE)/1,0))</f>
        <v>0</v>
      </c>
      <c r="I367" s="31">
        <f>IF($D367="","",IFERROR(VLOOKUP($B367,Kraftvärmeprod!$B$1:$BX$550,MATCH(I$2,Kraftvärmeprod!$B$1:$VX$1,0),FALSE)/1,0)-IFERROR(VLOOKUP($B367,'Slutlig allokering kvv'!$B$2:$BX$550,MATCH(I$2,'Slutlig allokering kvv'!$B$1:$BX$1,0),FALSE)/1,0))</f>
        <v>0.74548300000000001</v>
      </c>
      <c r="J367" s="31">
        <f>IF($D367="","",IFERROR(VLOOKUP($B367,Kraftvärmeprod!$B$1:$BX$550,MATCH(J$2,Kraftvärmeprod!$B$1:$VX$1,0),FALSE)/1,0)-IFERROR(VLOOKUP($B367,'Slutlig allokering kvv'!$B$2:$BX$550,MATCH(J$2,'Slutlig allokering kvv'!$B$1:$BX$1,0),FALSE)/1,0))</f>
        <v>0</v>
      </c>
      <c r="K367" s="31">
        <f>IF($D367="","",IFERROR(VLOOKUP($B367,Kraftvärmeprod!$B$1:$BX$550,MATCH(K$2,Kraftvärmeprod!$B$1:$VX$1,0),FALSE)/1,0)-IFERROR(VLOOKUP($B367,'Slutlig allokering kvv'!$B$2:$BX$550,MATCH(K$2,'Slutlig allokering kvv'!$B$1:$BX$1,0),FALSE)/1,0))</f>
        <v>0</v>
      </c>
      <c r="L367" s="31">
        <f>IF($D367="","",IFERROR(VLOOKUP($B367,Kraftvärmeprod!$B$1:$BX$550,MATCH(L$2,Kraftvärmeprod!$B$1:$VX$1,0),FALSE)/1,0)-IFERROR(VLOOKUP($B367,'Slutlig allokering kvv'!$B$2:$BX$550,MATCH(L$2,'Slutlig allokering kvv'!$B$1:$BX$1,0),FALSE)/1,0))</f>
        <v>9.4188800000000015</v>
      </c>
      <c r="M367" s="31">
        <f>IF($D367="","",IFERROR(VLOOKUP($B367,Kraftvärmeprod!$B$1:$BX$550,MATCH(M$2,Kraftvärmeprod!$B$1:$VX$1,0),FALSE)/1,0)-IFERROR(VLOOKUP($B367,'Slutlig allokering kvv'!$B$2:$BX$550,MATCH(M$2,'Slutlig allokering kvv'!$B$1:$BX$1,0),FALSE)/1,0))</f>
        <v>110.51299999999999</v>
      </c>
      <c r="N367" s="31">
        <f>IF($D367="","",IFERROR(VLOOKUP($B367,Kraftvärmeprod!$B$1:$BX$550,MATCH(N$2,Kraftvärmeprod!$B$1:$VX$1,0),FALSE)/1,0)-IFERROR(VLOOKUP($B367,'Slutlig allokering kvv'!$B$2:$BX$550,MATCH(N$2,'Slutlig allokering kvv'!$B$1:$BX$1,0),FALSE)/1,0))</f>
        <v>19.214000000000002</v>
      </c>
      <c r="O367" s="31">
        <f>IF($D367="","",IFERROR(VLOOKUP($B367,Kraftvärmeprod!$B$1:$BX$550,MATCH(O$2,Kraftvärmeprod!$B$1:$VX$1,0),FALSE)/1,0)-IFERROR(VLOOKUP($B367,'Slutlig allokering kvv'!$B$2:$BX$550,MATCH(O$2,'Slutlig allokering kvv'!$B$1:$BX$1,0),FALSE)/1,0))</f>
        <v>43.148200000000003</v>
      </c>
      <c r="P367" s="31">
        <f>IF($D367="","",IFERROR(VLOOKUP($B367,Kraftvärmeprod!$B$1:$BX$550,MATCH(P$2,Kraftvärmeprod!$B$1:$VX$1,0),FALSE)/1,0)-IFERROR(VLOOKUP($B367,'Slutlig allokering kvv'!$B$2:$BX$550,MATCH(P$2,'Slutlig allokering kvv'!$B$1:$BX$1,0),FALSE)/1,0))</f>
        <v>0</v>
      </c>
      <c r="Q367" s="31">
        <f>IF($D367="","",IFERROR(VLOOKUP($B367,Kraftvärmeprod!$B$1:$BX$550,MATCH(Q$2,Kraftvärmeprod!$B$1:$VX$1,0),FALSE)/1,0)-IFERROR(VLOOKUP($B367,'Slutlig allokering kvv'!$B$2:$BX$550,MATCH(Q$2,'Slutlig allokering kvv'!$B$1:$BX$1,0),FALSE)/1,0))</f>
        <v>0</v>
      </c>
      <c r="R367" s="31">
        <f>IF($D367="","",IFERROR(VLOOKUP($B367,Kraftvärmeprod!$B$1:$BX$550,MATCH(R$2,Kraftvärmeprod!$B$1:$VX$1,0),FALSE)/1,0)-IFERROR(VLOOKUP($B367,'Slutlig allokering kvv'!$B$2:$BX$550,MATCH(R$2,'Slutlig allokering kvv'!$B$1:$BX$1,0),FALSE)/1,0))</f>
        <v>0</v>
      </c>
      <c r="S367" s="31">
        <f>IF($D367="","",IFERROR(VLOOKUP($B367,Kraftvärmeprod!$B$1:$BX$550,MATCH(S$2,Kraftvärmeprod!$B$1:$VX$1,0),FALSE)/1,0)-IFERROR(VLOOKUP($B367,'Slutlig allokering kvv'!$B$2:$BX$550,MATCH(S$2,'Slutlig allokering kvv'!$B$1:$BX$1,0),FALSE)/1,0))</f>
        <v>0</v>
      </c>
      <c r="T367" s="31">
        <f>IF($D367="","",IFERROR(VLOOKUP($B367,Kraftvärmeprod!$B$1:$BX$550,MATCH(T$2,Kraftvärmeprod!$B$1:$VX$1,0),FALSE)/1,0)-IFERROR(VLOOKUP($B367,'Slutlig allokering kvv'!$B$2:$BX$550,MATCH(T$2,'Slutlig allokering kvv'!$B$1:$BX$1,0),FALSE)/1,0))</f>
        <v>0</v>
      </c>
      <c r="U367" s="31">
        <f>IF($D367="","",IFERROR(VLOOKUP($B367,Kraftvärmeprod!$B$1:$BX$550,MATCH(U$2,Kraftvärmeprod!$B$1:$VX$1,0),FALSE)/1,0)-IFERROR(VLOOKUP($B367,'Slutlig allokering kvv'!$B$2:$BX$550,MATCH(U$2,'Slutlig allokering kvv'!$B$1:$BX$1,0),FALSE)/1,0))</f>
        <v>0</v>
      </c>
      <c r="V367" s="31">
        <f>IF($D367="","",IFERROR(VLOOKUP($B367,Kraftvärmeprod!$B$1:$BX$550,MATCH(V$2,Kraftvärmeprod!$B$1:$VX$1,0),FALSE)/1,0)-IFERROR(VLOOKUP($B367,'Slutlig allokering kvv'!$B$2:$BX$550,MATCH(V$2,'Slutlig allokering kvv'!$B$1:$BX$1,0),FALSE)/1,0))</f>
        <v>0</v>
      </c>
      <c r="W367" s="31">
        <f>IF($D367="","",IFERROR(VLOOKUP($B367,Kraftvärmeprod!$B$1:$BX$550,MATCH(W$2,Kraftvärmeprod!$B$1:$VX$1,0),FALSE)/1,0)-IFERROR(VLOOKUP($B367,'Slutlig allokering kvv'!$B$2:$BX$550,MATCH(W$2,'Slutlig allokering kvv'!$B$1:$BX$1,0),FALSE)/1,0))</f>
        <v>0</v>
      </c>
      <c r="X367" s="31">
        <f>IF($D367="","",IFERROR(VLOOKUP($B367,Kraftvärmeprod!$B$1:$BX$550,MATCH(X$2,Kraftvärmeprod!$B$1:$VX$1,0),FALSE)/1,0)-IFERROR(VLOOKUP($B367,'Slutlig allokering kvv'!$B$2:$BX$550,MATCH(X$2,'Slutlig allokering kvv'!$B$1:$BX$1,0),FALSE)/1,0))</f>
        <v>0</v>
      </c>
      <c r="Y367" s="31">
        <f>IF($D367="","",IFERROR(VLOOKUP($B367,Kraftvärmeprod!$B$1:$BX$550,MATCH(Y$2,Kraftvärmeprod!$B$1:$VX$1,0),FALSE)/1,0)-IFERROR(VLOOKUP($B367,'Slutlig allokering kvv'!$B$2:$BX$550,MATCH(Y$2,'Slutlig allokering kvv'!$B$1:$BX$1,0),FALSE)/1,0))</f>
        <v>0</v>
      </c>
      <c r="Z367" s="31">
        <f>IF($D367="","",IFERROR(VLOOKUP($B367,Kraftvärmeprod!$B$1:$BX$550,MATCH(Z$2,Kraftvärmeprod!$B$1:$VX$1,0),FALSE)/1,0)-IFERROR(VLOOKUP($B367,'Slutlig allokering kvv'!$B$2:$BX$550,MATCH(Z$2,'Slutlig allokering kvv'!$B$1:$BX$1,0),FALSE)/1,0))</f>
        <v>32.458800000000004</v>
      </c>
      <c r="AA367" s="31">
        <f>IF($D367="","",IFERROR(VLOOKUP($B367,Kraftvärmeprod!$B$1:$BX$550,MATCH(AA$2,Kraftvärmeprod!$B$1:$VX$1,0),FALSE)/1,0)-IFERROR(VLOOKUP($B367,'Slutlig allokering kvv'!$B$2:$BX$550,MATCH(AA$2,'Slutlig allokering kvv'!$B$1:$BX$1,0),FALSE)/1,0))</f>
        <v>0</v>
      </c>
      <c r="AB367" s="31">
        <f>IF($D367="","",IFERROR(VLOOKUP($B367,Kraftvärmeprod!$B$1:$BX$550,MATCH(AB$2,Kraftvärmeprod!$B$1:$VX$1,0),FALSE)/1,0)-IFERROR(VLOOKUP($B367,'Slutlig allokering kvv'!$B$2:$BX$550,MATCH(AB$2,'Slutlig allokering kvv'!$B$1:$BX$1,0),FALSE)/1,0))</f>
        <v>1.9263699999999999</v>
      </c>
      <c r="AC367" s="31">
        <f>IF($D367="","",IFERROR(VLOOKUP($B367,Kraftvärmeprod!$B$1:$BX$550,MATCH(AC$2,Kraftvärmeprod!$B$1:$VX$1,0),FALSE)/1,0)-IFERROR(VLOOKUP($B367,'Slutlig allokering kvv'!$B$2:$BX$550,MATCH(AC$2,'Slutlig allokering kvv'!$B$1:$BX$1,0),FALSE)/1,0))</f>
        <v>0</v>
      </c>
      <c r="AD367" s="31">
        <f>IF($D367="","",IFERROR(VLOOKUP($B367,Kraftvärmeprod!$B$1:$BX$550,MATCH(AD$2,Kraftvärmeprod!$B$1:$VX$1,0),FALSE)/1,0)-IFERROR(VLOOKUP($B367,'Slutlig allokering kvv'!$B$2:$BX$550,MATCH(AD$2,'Slutlig allokering kvv'!$B$1:$BX$1,0),FALSE)/1,0))</f>
        <v>0</v>
      </c>
      <c r="AE367" s="31">
        <f>IF($D367="","",IFERROR(VLOOKUP($B367,Miljö!$B$1:$E$550,MATCH("Hjälpel kraftvärme (GWh)",Miljö!$B$1:$E$1,0),FALSE)/1,0)-IFERROR(VLOOKUP($B367,'Slutlig allokering kvv'!$B$2:$BX$549,MATCH(AE$2,'Slutlig allokering kvv'!$B$1:$BX$1,0),FALSE)/1,0))</f>
        <v>8.2637999999999998</v>
      </c>
      <c r="AI367" s="39">
        <f t="shared" si="20"/>
        <v>221.925083</v>
      </c>
      <c r="AK367" s="31">
        <f>IFERROR(VLOOKUP($B367,'Slutlig allokering kvv'!$B$2:$AX$549,MATCH("Summa slutlig allokerad tillförd energi (utan hjälpel och rökgaskondensering):",'Slutlig allokering kvv'!$B$1:$AX$1,0),FALSE)/1,"")</f>
        <v>237.26991699999996</v>
      </c>
      <c r="AM367" s="31">
        <f>IFERROR(1-VLOOKUP($B367,'Slutlig allokering kvv'!$B$2:$AX$549,MATCH("Andel av bränsle i kvv som allokerats till värme, exklusive rökgaskondensering och hjälpel",'Slutlig allokering kvv'!$B$1:$AX$1,0),FALSE),"")</f>
        <v>0.48329159289626422</v>
      </c>
      <c r="AO367" s="31">
        <f t="shared" si="21"/>
        <v>0.48329159289626417</v>
      </c>
      <c r="AP367" s="31">
        <f t="shared" si="22"/>
        <v>5.5511151231257827E-17</v>
      </c>
      <c r="AR367" s="32">
        <f t="shared" si="23"/>
        <v>0.42953855421419285</v>
      </c>
    </row>
    <row r="368" spans="1:44" s="31" customFormat="1" x14ac:dyDescent="0.45">
      <c r="C368" s="31" t="str">
        <f>IFERROR(VLOOKUP($B368,Kraftvärmeprod!$B$1:$AH$479,MATCH(C$2,Kraftvärmeprod!$B$1:$AG$1,0),FALSE)/1,"")</f>
        <v/>
      </c>
      <c r="D368" s="31" t="str">
        <f>IFERROR(VLOOKUP($B368,Kraftvärmeprod!$B$1:$AH$479,MATCH(D$2,Kraftvärmeprod!$B$1:$AG$1,0),FALSE)/1,"")</f>
        <v/>
      </c>
      <c r="F368" s="31" t="str">
        <f>IF($D368="","",IFERROR(VLOOKUP($B368,Kraftvärmeprod!$B$1:$BX$550,MATCH(F$2,Kraftvärmeprod!$B$1:$VX$1,0),FALSE)/1,0)-IFERROR(VLOOKUP($B368,'Slutlig allokering kvv'!$B$2:$BX$550,MATCH(F$2,'Slutlig allokering kvv'!$B$1:$BX$1,0),FALSE)/1,0))</f>
        <v/>
      </c>
      <c r="G368" s="31" t="str">
        <f>IF($D368="","",IFERROR(VLOOKUP($B368,Kraftvärmeprod!$B$1:$BX$550,MATCH(G$2,Kraftvärmeprod!$B$1:$VX$1,0),FALSE)/1,0)-IFERROR(VLOOKUP($B368,'Slutlig allokering kvv'!$B$2:$BX$550,MATCH(G$2,'Slutlig allokering kvv'!$B$1:$BX$1,0),FALSE)/1,0))</f>
        <v/>
      </c>
      <c r="H368" s="31" t="str">
        <f>IF($D368="","",IFERROR(VLOOKUP($B368,Kraftvärmeprod!$B$1:$BX$550,MATCH(H$2,Kraftvärmeprod!$B$1:$VX$1,0),FALSE)/1,0)-IFERROR(VLOOKUP($B368,'Slutlig allokering kvv'!$B$2:$BX$550,MATCH(H$2,'Slutlig allokering kvv'!$B$1:$BX$1,0),FALSE)/1,0))</f>
        <v/>
      </c>
      <c r="I368" s="31" t="str">
        <f>IF($D368="","",IFERROR(VLOOKUP($B368,Kraftvärmeprod!$B$1:$BX$550,MATCH(I$2,Kraftvärmeprod!$B$1:$VX$1,0),FALSE)/1,0)-IFERROR(VLOOKUP($B368,'Slutlig allokering kvv'!$B$2:$BX$550,MATCH(I$2,'Slutlig allokering kvv'!$B$1:$BX$1,0),FALSE)/1,0))</f>
        <v/>
      </c>
      <c r="J368" s="31" t="str">
        <f>IF($D368="","",IFERROR(VLOOKUP($B368,Kraftvärmeprod!$B$1:$BX$550,MATCH(J$2,Kraftvärmeprod!$B$1:$VX$1,0),FALSE)/1,0)-IFERROR(VLOOKUP($B368,'Slutlig allokering kvv'!$B$2:$BX$550,MATCH(J$2,'Slutlig allokering kvv'!$B$1:$BX$1,0),FALSE)/1,0))</f>
        <v/>
      </c>
      <c r="K368" s="31" t="str">
        <f>IF($D368="","",IFERROR(VLOOKUP($B368,Kraftvärmeprod!$B$1:$BX$550,MATCH(K$2,Kraftvärmeprod!$B$1:$VX$1,0),FALSE)/1,0)-IFERROR(VLOOKUP($B368,'Slutlig allokering kvv'!$B$2:$BX$550,MATCH(K$2,'Slutlig allokering kvv'!$B$1:$BX$1,0),FALSE)/1,0))</f>
        <v/>
      </c>
      <c r="L368" s="31" t="str">
        <f>IF($D368="","",IFERROR(VLOOKUP($B368,Kraftvärmeprod!$B$1:$BX$550,MATCH(L$2,Kraftvärmeprod!$B$1:$VX$1,0),FALSE)/1,0)-IFERROR(VLOOKUP($B368,'Slutlig allokering kvv'!$B$2:$BX$550,MATCH(L$2,'Slutlig allokering kvv'!$B$1:$BX$1,0),FALSE)/1,0))</f>
        <v/>
      </c>
      <c r="M368" s="31" t="str">
        <f>IF($D368="","",IFERROR(VLOOKUP($B368,Kraftvärmeprod!$B$1:$BX$550,MATCH(M$2,Kraftvärmeprod!$B$1:$VX$1,0),FALSE)/1,0)-IFERROR(VLOOKUP($B368,'Slutlig allokering kvv'!$B$2:$BX$550,MATCH(M$2,'Slutlig allokering kvv'!$B$1:$BX$1,0),FALSE)/1,0))</f>
        <v/>
      </c>
      <c r="N368" s="31" t="str">
        <f>IF($D368="","",IFERROR(VLOOKUP($B368,Kraftvärmeprod!$B$1:$BX$550,MATCH(N$2,Kraftvärmeprod!$B$1:$VX$1,0),FALSE)/1,0)-IFERROR(VLOOKUP($B368,'Slutlig allokering kvv'!$B$2:$BX$550,MATCH(N$2,'Slutlig allokering kvv'!$B$1:$BX$1,0),FALSE)/1,0))</f>
        <v/>
      </c>
      <c r="O368" s="31" t="str">
        <f>IF($D368="","",IFERROR(VLOOKUP($B368,Kraftvärmeprod!$B$1:$BX$550,MATCH(O$2,Kraftvärmeprod!$B$1:$VX$1,0),FALSE)/1,0)-IFERROR(VLOOKUP($B368,'Slutlig allokering kvv'!$B$2:$BX$550,MATCH(O$2,'Slutlig allokering kvv'!$B$1:$BX$1,0),FALSE)/1,0))</f>
        <v/>
      </c>
      <c r="P368" s="31" t="str">
        <f>IF($D368="","",IFERROR(VLOOKUP($B368,Kraftvärmeprod!$B$1:$BX$550,MATCH(P$2,Kraftvärmeprod!$B$1:$VX$1,0),FALSE)/1,0)-IFERROR(VLOOKUP($B368,'Slutlig allokering kvv'!$B$2:$BX$550,MATCH(P$2,'Slutlig allokering kvv'!$B$1:$BX$1,0),FALSE)/1,0))</f>
        <v/>
      </c>
      <c r="Q368" s="31" t="str">
        <f>IF($D368="","",IFERROR(VLOOKUP($B368,Kraftvärmeprod!$B$1:$BX$550,MATCH(Q$2,Kraftvärmeprod!$B$1:$VX$1,0),FALSE)/1,0)-IFERROR(VLOOKUP($B368,'Slutlig allokering kvv'!$B$2:$BX$550,MATCH(Q$2,'Slutlig allokering kvv'!$B$1:$BX$1,0),FALSE)/1,0))</f>
        <v/>
      </c>
      <c r="R368" s="31" t="str">
        <f>IF($D368="","",IFERROR(VLOOKUP($B368,Kraftvärmeprod!$B$1:$BX$550,MATCH(R$2,Kraftvärmeprod!$B$1:$VX$1,0),FALSE)/1,0)-IFERROR(VLOOKUP($B368,'Slutlig allokering kvv'!$B$2:$BX$550,MATCH(R$2,'Slutlig allokering kvv'!$B$1:$BX$1,0),FALSE)/1,0))</f>
        <v/>
      </c>
      <c r="S368" s="31" t="str">
        <f>IF($D368="","",IFERROR(VLOOKUP($B368,Kraftvärmeprod!$B$1:$BX$550,MATCH(S$2,Kraftvärmeprod!$B$1:$VX$1,0),FALSE)/1,0)-IFERROR(VLOOKUP($B368,'Slutlig allokering kvv'!$B$2:$BX$550,MATCH(S$2,'Slutlig allokering kvv'!$B$1:$BX$1,0),FALSE)/1,0))</f>
        <v/>
      </c>
      <c r="T368" s="31" t="str">
        <f>IF($D368="","",IFERROR(VLOOKUP($B368,Kraftvärmeprod!$B$1:$BX$550,MATCH(T$2,Kraftvärmeprod!$B$1:$VX$1,0),FALSE)/1,0)-IFERROR(VLOOKUP($B368,'Slutlig allokering kvv'!$B$2:$BX$550,MATCH(T$2,'Slutlig allokering kvv'!$B$1:$BX$1,0),FALSE)/1,0))</f>
        <v/>
      </c>
      <c r="U368" s="31" t="str">
        <f>IF($D368="","",IFERROR(VLOOKUP($B368,Kraftvärmeprod!$B$1:$BX$550,MATCH(U$2,Kraftvärmeprod!$B$1:$VX$1,0),FALSE)/1,0)-IFERROR(VLOOKUP($B368,'Slutlig allokering kvv'!$B$2:$BX$550,MATCH(U$2,'Slutlig allokering kvv'!$B$1:$BX$1,0),FALSE)/1,0))</f>
        <v/>
      </c>
      <c r="V368" s="31" t="str">
        <f>IF($D368="","",IFERROR(VLOOKUP($B368,Kraftvärmeprod!$B$1:$BX$550,MATCH(V$2,Kraftvärmeprod!$B$1:$VX$1,0),FALSE)/1,0)-IFERROR(VLOOKUP($B368,'Slutlig allokering kvv'!$B$2:$BX$550,MATCH(V$2,'Slutlig allokering kvv'!$B$1:$BX$1,0),FALSE)/1,0))</f>
        <v/>
      </c>
      <c r="W368" s="31" t="str">
        <f>IF($D368="","",IFERROR(VLOOKUP($B368,Kraftvärmeprod!$B$1:$BX$550,MATCH(W$2,Kraftvärmeprod!$B$1:$VX$1,0),FALSE)/1,0)-IFERROR(VLOOKUP($B368,'Slutlig allokering kvv'!$B$2:$BX$550,MATCH(W$2,'Slutlig allokering kvv'!$B$1:$BX$1,0),FALSE)/1,0))</f>
        <v/>
      </c>
      <c r="X368" s="31" t="str">
        <f>IF($D368="","",IFERROR(VLOOKUP($B368,Kraftvärmeprod!$B$1:$BX$550,MATCH(X$2,Kraftvärmeprod!$B$1:$VX$1,0),FALSE)/1,0)-IFERROR(VLOOKUP($B368,'Slutlig allokering kvv'!$B$2:$BX$550,MATCH(X$2,'Slutlig allokering kvv'!$B$1:$BX$1,0),FALSE)/1,0))</f>
        <v/>
      </c>
      <c r="Y368" s="31" t="str">
        <f>IF($D368="","",IFERROR(VLOOKUP($B368,Kraftvärmeprod!$B$1:$BX$550,MATCH(Y$2,Kraftvärmeprod!$B$1:$VX$1,0),FALSE)/1,0)-IFERROR(VLOOKUP($B368,'Slutlig allokering kvv'!$B$2:$BX$550,MATCH(Y$2,'Slutlig allokering kvv'!$B$1:$BX$1,0),FALSE)/1,0))</f>
        <v/>
      </c>
      <c r="Z368" s="31" t="str">
        <f>IF($D368="","",IFERROR(VLOOKUP($B368,Kraftvärmeprod!$B$1:$BX$550,MATCH(Z$2,Kraftvärmeprod!$B$1:$VX$1,0),FALSE)/1,0)-IFERROR(VLOOKUP($B368,'Slutlig allokering kvv'!$B$2:$BX$550,MATCH(Z$2,'Slutlig allokering kvv'!$B$1:$BX$1,0),FALSE)/1,0))</f>
        <v/>
      </c>
      <c r="AA368" s="31" t="str">
        <f>IF($D368="","",IFERROR(VLOOKUP($B368,Kraftvärmeprod!$B$1:$BX$550,MATCH(AA$2,Kraftvärmeprod!$B$1:$VX$1,0),FALSE)/1,0)-IFERROR(VLOOKUP($B368,'Slutlig allokering kvv'!$B$2:$BX$550,MATCH(AA$2,'Slutlig allokering kvv'!$B$1:$BX$1,0),FALSE)/1,0))</f>
        <v/>
      </c>
      <c r="AB368" s="31" t="str">
        <f>IF($D368="","",IFERROR(VLOOKUP($B368,Kraftvärmeprod!$B$1:$BX$550,MATCH(AB$2,Kraftvärmeprod!$B$1:$VX$1,0),FALSE)/1,0)-IFERROR(VLOOKUP($B368,'Slutlig allokering kvv'!$B$2:$BX$550,MATCH(AB$2,'Slutlig allokering kvv'!$B$1:$BX$1,0),FALSE)/1,0))</f>
        <v/>
      </c>
      <c r="AC368" s="31" t="str">
        <f>IF($D368="","",IFERROR(VLOOKUP($B368,Kraftvärmeprod!$B$1:$BX$550,MATCH(AC$2,Kraftvärmeprod!$B$1:$VX$1,0),FALSE)/1,0)-IFERROR(VLOOKUP($B368,'Slutlig allokering kvv'!$B$2:$BX$550,MATCH(AC$2,'Slutlig allokering kvv'!$B$1:$BX$1,0),FALSE)/1,0))</f>
        <v/>
      </c>
      <c r="AD368" s="31" t="str">
        <f>IF($D368="","",IFERROR(VLOOKUP($B368,Kraftvärmeprod!$B$1:$BX$550,MATCH(AD$2,Kraftvärmeprod!$B$1:$VX$1,0),FALSE)/1,0)-IFERROR(VLOOKUP($B368,'Slutlig allokering kvv'!$B$2:$BX$550,MATCH(AD$2,'Slutlig allokering kvv'!$B$1:$BX$1,0),FALSE)/1,0))</f>
        <v/>
      </c>
      <c r="AE368" s="31" t="str">
        <f>IF($D368="","",IFERROR(VLOOKUP($B368,Miljö!$B$1:$E$550,MATCH("Hjälpel kraftvärme (GWh)",Miljö!$B$1:$E$1,0),FALSE)/1,0)-IFERROR(VLOOKUP($B368,'Slutlig allokering kvv'!$B$2:$BX$549,MATCH(AE$2,'Slutlig allokering kvv'!$B$1:$BX$1,0),FALSE)/1,0))</f>
        <v/>
      </c>
      <c r="AI368" s="39">
        <f t="shared" si="20"/>
        <v>0</v>
      </c>
      <c r="AK368" s="31" t="str">
        <f>IFERROR(VLOOKUP($B368,'Slutlig allokering kvv'!$B$2:$AX$549,MATCH("Summa slutlig allokerad tillförd energi (utan hjälpel och rökgaskondensering):",'Slutlig allokering kvv'!$B$1:$AX$1,0),FALSE)/1,"")</f>
        <v/>
      </c>
      <c r="AM368" s="31" t="str">
        <f>IFERROR(1-VLOOKUP($B368,'Slutlig allokering kvv'!$B$2:$AX$549,MATCH("Andel av bränsle i kvv som allokerats till värme, exklusive rökgaskondensering och hjälpel",'Slutlig allokering kvv'!$B$1:$AX$1,0),FALSE),"")</f>
        <v/>
      </c>
      <c r="AO368" s="31" t="str">
        <f t="shared" si="21"/>
        <v/>
      </c>
      <c r="AP368" s="31" t="str">
        <f t="shared" si="22"/>
        <v/>
      </c>
      <c r="AR368" s="32" t="str">
        <f t="shared" si="23"/>
        <v/>
      </c>
    </row>
    <row r="369" spans="3:44" s="31" customFormat="1" x14ac:dyDescent="0.45">
      <c r="C369" s="31" t="str">
        <f>IFERROR(VLOOKUP($B369,Kraftvärmeprod!$B$1:$AH$479,MATCH(C$2,Kraftvärmeprod!$B$1:$AG$1,0),FALSE)/1,"")</f>
        <v/>
      </c>
      <c r="D369" s="31" t="str">
        <f>IFERROR(VLOOKUP($B369,Kraftvärmeprod!$B$1:$AH$479,MATCH(D$2,Kraftvärmeprod!$B$1:$AG$1,0),FALSE)/1,"")</f>
        <v/>
      </c>
      <c r="F369" s="31" t="str">
        <f>IF($D369="","",IFERROR(VLOOKUP($B369,Kraftvärmeprod!$B$1:$BX$550,MATCH(F$2,Kraftvärmeprod!$B$1:$VX$1,0),FALSE)/1,0)-IFERROR(VLOOKUP($B369,'Slutlig allokering kvv'!$B$2:$BX$550,MATCH(F$2,'Slutlig allokering kvv'!$B$1:$BX$1,0),FALSE)/1,0))</f>
        <v/>
      </c>
      <c r="G369" s="31" t="str">
        <f>IF($D369="","",IFERROR(VLOOKUP($B369,Kraftvärmeprod!$B$1:$BX$550,MATCH(G$2,Kraftvärmeprod!$B$1:$VX$1,0),FALSE)/1,0)-IFERROR(VLOOKUP($B369,'Slutlig allokering kvv'!$B$2:$BX$550,MATCH(G$2,'Slutlig allokering kvv'!$B$1:$BX$1,0),FALSE)/1,0))</f>
        <v/>
      </c>
      <c r="H369" s="31" t="str">
        <f>IF($D369="","",IFERROR(VLOOKUP($B369,Kraftvärmeprod!$B$1:$BX$550,MATCH(H$2,Kraftvärmeprod!$B$1:$VX$1,0),FALSE)/1,0)-IFERROR(VLOOKUP($B369,'Slutlig allokering kvv'!$B$2:$BX$550,MATCH(H$2,'Slutlig allokering kvv'!$B$1:$BX$1,0),FALSE)/1,0))</f>
        <v/>
      </c>
      <c r="I369" s="31" t="str">
        <f>IF($D369="","",IFERROR(VLOOKUP($B369,Kraftvärmeprod!$B$1:$BX$550,MATCH(I$2,Kraftvärmeprod!$B$1:$VX$1,0),FALSE)/1,0)-IFERROR(VLOOKUP($B369,'Slutlig allokering kvv'!$B$2:$BX$550,MATCH(I$2,'Slutlig allokering kvv'!$B$1:$BX$1,0),FALSE)/1,0))</f>
        <v/>
      </c>
      <c r="J369" s="31" t="str">
        <f>IF($D369="","",IFERROR(VLOOKUP($B369,Kraftvärmeprod!$B$1:$BX$550,MATCH(J$2,Kraftvärmeprod!$B$1:$VX$1,0),FALSE)/1,0)-IFERROR(VLOOKUP($B369,'Slutlig allokering kvv'!$B$2:$BX$550,MATCH(J$2,'Slutlig allokering kvv'!$B$1:$BX$1,0),FALSE)/1,0))</f>
        <v/>
      </c>
      <c r="K369" s="31" t="str">
        <f>IF($D369="","",IFERROR(VLOOKUP($B369,Kraftvärmeprod!$B$1:$BX$550,MATCH(K$2,Kraftvärmeprod!$B$1:$VX$1,0),FALSE)/1,0)-IFERROR(VLOOKUP($B369,'Slutlig allokering kvv'!$B$2:$BX$550,MATCH(K$2,'Slutlig allokering kvv'!$B$1:$BX$1,0),FALSE)/1,0))</f>
        <v/>
      </c>
      <c r="L369" s="31" t="str">
        <f>IF($D369="","",IFERROR(VLOOKUP($B369,Kraftvärmeprod!$B$1:$BX$550,MATCH(L$2,Kraftvärmeprod!$B$1:$VX$1,0),FALSE)/1,0)-IFERROR(VLOOKUP($B369,'Slutlig allokering kvv'!$B$2:$BX$550,MATCH(L$2,'Slutlig allokering kvv'!$B$1:$BX$1,0),FALSE)/1,0))</f>
        <v/>
      </c>
      <c r="M369" s="31" t="str">
        <f>IF($D369="","",IFERROR(VLOOKUP($B369,Kraftvärmeprod!$B$1:$BX$550,MATCH(M$2,Kraftvärmeprod!$B$1:$VX$1,0),FALSE)/1,0)-IFERROR(VLOOKUP($B369,'Slutlig allokering kvv'!$B$2:$BX$550,MATCH(M$2,'Slutlig allokering kvv'!$B$1:$BX$1,0),FALSE)/1,0))</f>
        <v/>
      </c>
      <c r="N369" s="31" t="str">
        <f>IF($D369="","",IFERROR(VLOOKUP($B369,Kraftvärmeprod!$B$1:$BX$550,MATCH(N$2,Kraftvärmeprod!$B$1:$VX$1,0),FALSE)/1,0)-IFERROR(VLOOKUP($B369,'Slutlig allokering kvv'!$B$2:$BX$550,MATCH(N$2,'Slutlig allokering kvv'!$B$1:$BX$1,0),FALSE)/1,0))</f>
        <v/>
      </c>
      <c r="O369" s="31" t="str">
        <f>IF($D369="","",IFERROR(VLOOKUP($B369,Kraftvärmeprod!$B$1:$BX$550,MATCH(O$2,Kraftvärmeprod!$B$1:$VX$1,0),FALSE)/1,0)-IFERROR(VLOOKUP($B369,'Slutlig allokering kvv'!$B$2:$BX$550,MATCH(O$2,'Slutlig allokering kvv'!$B$1:$BX$1,0),FALSE)/1,0))</f>
        <v/>
      </c>
      <c r="P369" s="31" t="str">
        <f>IF($D369="","",IFERROR(VLOOKUP($B369,Kraftvärmeprod!$B$1:$BX$550,MATCH(P$2,Kraftvärmeprod!$B$1:$VX$1,0),FALSE)/1,0)-IFERROR(VLOOKUP($B369,'Slutlig allokering kvv'!$B$2:$BX$550,MATCH(P$2,'Slutlig allokering kvv'!$B$1:$BX$1,0),FALSE)/1,0))</f>
        <v/>
      </c>
      <c r="Q369" s="31" t="str">
        <f>IF($D369="","",IFERROR(VLOOKUP($B369,Kraftvärmeprod!$B$1:$BX$550,MATCH(Q$2,Kraftvärmeprod!$B$1:$VX$1,0),FALSE)/1,0)-IFERROR(VLOOKUP($B369,'Slutlig allokering kvv'!$B$2:$BX$550,MATCH(Q$2,'Slutlig allokering kvv'!$B$1:$BX$1,0),FALSE)/1,0))</f>
        <v/>
      </c>
      <c r="R369" s="31" t="str">
        <f>IF($D369="","",IFERROR(VLOOKUP($B369,Kraftvärmeprod!$B$1:$BX$550,MATCH(R$2,Kraftvärmeprod!$B$1:$VX$1,0),FALSE)/1,0)-IFERROR(VLOOKUP($B369,'Slutlig allokering kvv'!$B$2:$BX$550,MATCH(R$2,'Slutlig allokering kvv'!$B$1:$BX$1,0),FALSE)/1,0))</f>
        <v/>
      </c>
      <c r="S369" s="31" t="str">
        <f>IF($D369="","",IFERROR(VLOOKUP($B369,Kraftvärmeprod!$B$1:$BX$550,MATCH(S$2,Kraftvärmeprod!$B$1:$VX$1,0),FALSE)/1,0)-IFERROR(VLOOKUP($B369,'Slutlig allokering kvv'!$B$2:$BX$550,MATCH(S$2,'Slutlig allokering kvv'!$B$1:$BX$1,0),FALSE)/1,0))</f>
        <v/>
      </c>
      <c r="T369" s="31" t="str">
        <f>IF($D369="","",IFERROR(VLOOKUP($B369,Kraftvärmeprod!$B$1:$BX$550,MATCH(T$2,Kraftvärmeprod!$B$1:$VX$1,0),FALSE)/1,0)-IFERROR(VLOOKUP($B369,'Slutlig allokering kvv'!$B$2:$BX$550,MATCH(T$2,'Slutlig allokering kvv'!$B$1:$BX$1,0),FALSE)/1,0))</f>
        <v/>
      </c>
      <c r="U369" s="31" t="str">
        <f>IF($D369="","",IFERROR(VLOOKUP($B369,Kraftvärmeprod!$B$1:$BX$550,MATCH(U$2,Kraftvärmeprod!$B$1:$VX$1,0),FALSE)/1,0)-IFERROR(VLOOKUP($B369,'Slutlig allokering kvv'!$B$2:$BX$550,MATCH(U$2,'Slutlig allokering kvv'!$B$1:$BX$1,0),FALSE)/1,0))</f>
        <v/>
      </c>
      <c r="V369" s="31" t="str">
        <f>IF($D369="","",IFERROR(VLOOKUP($B369,Kraftvärmeprod!$B$1:$BX$550,MATCH(V$2,Kraftvärmeprod!$B$1:$VX$1,0),FALSE)/1,0)-IFERROR(VLOOKUP($B369,'Slutlig allokering kvv'!$B$2:$BX$550,MATCH(V$2,'Slutlig allokering kvv'!$B$1:$BX$1,0),FALSE)/1,0))</f>
        <v/>
      </c>
      <c r="W369" s="31" t="str">
        <f>IF($D369="","",IFERROR(VLOOKUP($B369,Kraftvärmeprod!$B$1:$BX$550,MATCH(W$2,Kraftvärmeprod!$B$1:$VX$1,0),FALSE)/1,0)-IFERROR(VLOOKUP($B369,'Slutlig allokering kvv'!$B$2:$BX$550,MATCH(W$2,'Slutlig allokering kvv'!$B$1:$BX$1,0),FALSE)/1,0))</f>
        <v/>
      </c>
      <c r="X369" s="31" t="str">
        <f>IF($D369="","",IFERROR(VLOOKUP($B369,Kraftvärmeprod!$B$1:$BX$550,MATCH(X$2,Kraftvärmeprod!$B$1:$VX$1,0),FALSE)/1,0)-IFERROR(VLOOKUP($B369,'Slutlig allokering kvv'!$B$2:$BX$550,MATCH(X$2,'Slutlig allokering kvv'!$B$1:$BX$1,0),FALSE)/1,0))</f>
        <v/>
      </c>
      <c r="Y369" s="31" t="str">
        <f>IF($D369="","",IFERROR(VLOOKUP($B369,Kraftvärmeprod!$B$1:$BX$550,MATCH(Y$2,Kraftvärmeprod!$B$1:$VX$1,0),FALSE)/1,0)-IFERROR(VLOOKUP($B369,'Slutlig allokering kvv'!$B$2:$BX$550,MATCH(Y$2,'Slutlig allokering kvv'!$B$1:$BX$1,0),FALSE)/1,0))</f>
        <v/>
      </c>
      <c r="Z369" s="31" t="str">
        <f>IF($D369="","",IFERROR(VLOOKUP($B369,Kraftvärmeprod!$B$1:$BX$550,MATCH(Z$2,Kraftvärmeprod!$B$1:$VX$1,0),FALSE)/1,0)-IFERROR(VLOOKUP($B369,'Slutlig allokering kvv'!$B$2:$BX$550,MATCH(Z$2,'Slutlig allokering kvv'!$B$1:$BX$1,0),FALSE)/1,0))</f>
        <v/>
      </c>
      <c r="AA369" s="31" t="str">
        <f>IF($D369="","",IFERROR(VLOOKUP($B369,Kraftvärmeprod!$B$1:$BX$550,MATCH(AA$2,Kraftvärmeprod!$B$1:$VX$1,0),FALSE)/1,0)-IFERROR(VLOOKUP($B369,'Slutlig allokering kvv'!$B$2:$BX$550,MATCH(AA$2,'Slutlig allokering kvv'!$B$1:$BX$1,0),FALSE)/1,0))</f>
        <v/>
      </c>
      <c r="AB369" s="31" t="str">
        <f>IF($D369="","",IFERROR(VLOOKUP($B369,Kraftvärmeprod!$B$1:$BX$550,MATCH(AB$2,Kraftvärmeprod!$B$1:$VX$1,0),FALSE)/1,0)-IFERROR(VLOOKUP($B369,'Slutlig allokering kvv'!$B$2:$BX$550,MATCH(AB$2,'Slutlig allokering kvv'!$B$1:$BX$1,0),FALSE)/1,0))</f>
        <v/>
      </c>
      <c r="AC369" s="31" t="str">
        <f>IF($D369="","",IFERROR(VLOOKUP($B369,Kraftvärmeprod!$B$1:$BX$550,MATCH(AC$2,Kraftvärmeprod!$B$1:$VX$1,0),FALSE)/1,0)-IFERROR(VLOOKUP($B369,'Slutlig allokering kvv'!$B$2:$BX$550,MATCH(AC$2,'Slutlig allokering kvv'!$B$1:$BX$1,0),FALSE)/1,0))</f>
        <v/>
      </c>
      <c r="AD369" s="31" t="str">
        <f>IF($D369="","",IFERROR(VLOOKUP($B369,Kraftvärmeprod!$B$1:$BX$550,MATCH(AD$2,Kraftvärmeprod!$B$1:$VX$1,0),FALSE)/1,0)-IFERROR(VLOOKUP($B369,'Slutlig allokering kvv'!$B$2:$BX$550,MATCH(AD$2,'Slutlig allokering kvv'!$B$1:$BX$1,0),FALSE)/1,0))</f>
        <v/>
      </c>
      <c r="AE369" s="31" t="str">
        <f>IF($D369="","",IFERROR(VLOOKUP($B369,Miljö!$B$1:$E$550,MATCH("Hjälpel kraftvärme (GWh)",Miljö!$B$1:$E$1,0),FALSE)/1,0)-IFERROR(VLOOKUP($B369,'Slutlig allokering kvv'!$B$2:$BX$549,MATCH(AE$2,'Slutlig allokering kvv'!$B$1:$BX$1,0),FALSE)/1,0))</f>
        <v/>
      </c>
      <c r="AI369" s="39">
        <f t="shared" si="20"/>
        <v>0</v>
      </c>
      <c r="AK369" s="31" t="str">
        <f>IFERROR(VLOOKUP($B369,'Slutlig allokering kvv'!$B$2:$AX$549,MATCH("Summa slutlig allokerad tillförd energi (utan hjälpel och rökgaskondensering):",'Slutlig allokering kvv'!$B$1:$AX$1,0),FALSE)/1,"")</f>
        <v/>
      </c>
      <c r="AM369" s="31" t="str">
        <f>IFERROR(1-VLOOKUP($B369,'Slutlig allokering kvv'!$B$2:$AX$549,MATCH("Andel av bränsle i kvv som allokerats till värme, exklusive rökgaskondensering och hjälpel",'Slutlig allokering kvv'!$B$1:$AX$1,0),FALSE),"")</f>
        <v/>
      </c>
      <c r="AO369" s="31" t="str">
        <f t="shared" si="21"/>
        <v/>
      </c>
      <c r="AP369" s="31" t="str">
        <f t="shared" si="22"/>
        <v/>
      </c>
      <c r="AR369" s="32" t="str">
        <f t="shared" si="23"/>
        <v/>
      </c>
    </row>
    <row r="370" spans="3:44" s="31" customFormat="1" x14ac:dyDescent="0.45">
      <c r="C370" s="31" t="str">
        <f>IFERROR(VLOOKUP($B370,Kraftvärmeprod!$B$1:$AH$479,MATCH(C$2,Kraftvärmeprod!$B$1:$AG$1,0),FALSE)/1,"")</f>
        <v/>
      </c>
      <c r="D370" s="31" t="str">
        <f>IFERROR(VLOOKUP($B370,Kraftvärmeprod!$B$1:$AH$479,MATCH(D$2,Kraftvärmeprod!$B$1:$AG$1,0),FALSE)/1,"")</f>
        <v/>
      </c>
      <c r="F370" s="31" t="str">
        <f>IF($D370="","",IFERROR(VLOOKUP($B370,Kraftvärmeprod!$B$1:$BX$550,MATCH(F$2,Kraftvärmeprod!$B$1:$VX$1,0),FALSE)/1,0)-IFERROR(VLOOKUP($B370,'Slutlig allokering kvv'!$B$2:$BX$550,MATCH(F$2,'Slutlig allokering kvv'!$B$1:$BX$1,0),FALSE)/1,0))</f>
        <v/>
      </c>
      <c r="G370" s="31" t="str">
        <f>IF($D370="","",IFERROR(VLOOKUP($B370,Kraftvärmeprod!$B$1:$BX$550,MATCH(G$2,Kraftvärmeprod!$B$1:$VX$1,0),FALSE)/1,0)-IFERROR(VLOOKUP($B370,'Slutlig allokering kvv'!$B$2:$BX$550,MATCH(G$2,'Slutlig allokering kvv'!$B$1:$BX$1,0),FALSE)/1,0))</f>
        <v/>
      </c>
      <c r="H370" s="31" t="str">
        <f>IF($D370="","",IFERROR(VLOOKUP($B370,Kraftvärmeprod!$B$1:$BX$550,MATCH(H$2,Kraftvärmeprod!$B$1:$VX$1,0),FALSE)/1,0)-IFERROR(VLOOKUP($B370,'Slutlig allokering kvv'!$B$2:$BX$550,MATCH(H$2,'Slutlig allokering kvv'!$B$1:$BX$1,0),FALSE)/1,0))</f>
        <v/>
      </c>
      <c r="I370" s="31" t="str">
        <f>IF($D370="","",IFERROR(VLOOKUP($B370,Kraftvärmeprod!$B$1:$BX$550,MATCH(I$2,Kraftvärmeprod!$B$1:$VX$1,0),FALSE)/1,0)-IFERROR(VLOOKUP($B370,'Slutlig allokering kvv'!$B$2:$BX$550,MATCH(I$2,'Slutlig allokering kvv'!$B$1:$BX$1,0),FALSE)/1,0))</f>
        <v/>
      </c>
      <c r="J370" s="31" t="str">
        <f>IF($D370="","",IFERROR(VLOOKUP($B370,Kraftvärmeprod!$B$1:$BX$550,MATCH(J$2,Kraftvärmeprod!$B$1:$VX$1,0),FALSE)/1,0)-IFERROR(VLOOKUP($B370,'Slutlig allokering kvv'!$B$2:$BX$550,MATCH(J$2,'Slutlig allokering kvv'!$B$1:$BX$1,0),FALSE)/1,0))</f>
        <v/>
      </c>
      <c r="K370" s="31" t="str">
        <f>IF($D370="","",IFERROR(VLOOKUP($B370,Kraftvärmeprod!$B$1:$BX$550,MATCH(K$2,Kraftvärmeprod!$B$1:$VX$1,0),FALSE)/1,0)-IFERROR(VLOOKUP($B370,'Slutlig allokering kvv'!$B$2:$BX$550,MATCH(K$2,'Slutlig allokering kvv'!$B$1:$BX$1,0),FALSE)/1,0))</f>
        <v/>
      </c>
      <c r="L370" s="31" t="str">
        <f>IF($D370="","",IFERROR(VLOOKUP($B370,Kraftvärmeprod!$B$1:$BX$550,MATCH(L$2,Kraftvärmeprod!$B$1:$VX$1,0),FALSE)/1,0)-IFERROR(VLOOKUP($B370,'Slutlig allokering kvv'!$B$2:$BX$550,MATCH(L$2,'Slutlig allokering kvv'!$B$1:$BX$1,0),FALSE)/1,0))</f>
        <v/>
      </c>
      <c r="M370" s="31" t="str">
        <f>IF($D370="","",IFERROR(VLOOKUP($B370,Kraftvärmeprod!$B$1:$BX$550,MATCH(M$2,Kraftvärmeprod!$B$1:$VX$1,0),FALSE)/1,0)-IFERROR(VLOOKUP($B370,'Slutlig allokering kvv'!$B$2:$BX$550,MATCH(M$2,'Slutlig allokering kvv'!$B$1:$BX$1,0),FALSE)/1,0))</f>
        <v/>
      </c>
      <c r="N370" s="31" t="str">
        <f>IF($D370="","",IFERROR(VLOOKUP($B370,Kraftvärmeprod!$B$1:$BX$550,MATCH(N$2,Kraftvärmeprod!$B$1:$VX$1,0),FALSE)/1,0)-IFERROR(VLOOKUP($B370,'Slutlig allokering kvv'!$B$2:$BX$550,MATCH(N$2,'Slutlig allokering kvv'!$B$1:$BX$1,0),FALSE)/1,0))</f>
        <v/>
      </c>
      <c r="O370" s="31" t="str">
        <f>IF($D370="","",IFERROR(VLOOKUP($B370,Kraftvärmeprod!$B$1:$BX$550,MATCH(O$2,Kraftvärmeprod!$B$1:$VX$1,0),FALSE)/1,0)-IFERROR(VLOOKUP($B370,'Slutlig allokering kvv'!$B$2:$BX$550,MATCH(O$2,'Slutlig allokering kvv'!$B$1:$BX$1,0),FALSE)/1,0))</f>
        <v/>
      </c>
      <c r="P370" s="31" t="str">
        <f>IF($D370="","",IFERROR(VLOOKUP($B370,Kraftvärmeprod!$B$1:$BX$550,MATCH(P$2,Kraftvärmeprod!$B$1:$VX$1,0),FALSE)/1,0)-IFERROR(VLOOKUP($B370,'Slutlig allokering kvv'!$B$2:$BX$550,MATCH(P$2,'Slutlig allokering kvv'!$B$1:$BX$1,0),FALSE)/1,0))</f>
        <v/>
      </c>
      <c r="Q370" s="31" t="str">
        <f>IF($D370="","",IFERROR(VLOOKUP($B370,Kraftvärmeprod!$B$1:$BX$550,MATCH(Q$2,Kraftvärmeprod!$B$1:$VX$1,0),FALSE)/1,0)-IFERROR(VLOOKUP($B370,'Slutlig allokering kvv'!$B$2:$BX$550,MATCH(Q$2,'Slutlig allokering kvv'!$B$1:$BX$1,0),FALSE)/1,0))</f>
        <v/>
      </c>
      <c r="R370" s="31" t="str">
        <f>IF($D370="","",IFERROR(VLOOKUP($B370,Kraftvärmeprod!$B$1:$BX$550,MATCH(R$2,Kraftvärmeprod!$B$1:$VX$1,0),FALSE)/1,0)-IFERROR(VLOOKUP($B370,'Slutlig allokering kvv'!$B$2:$BX$550,MATCH(R$2,'Slutlig allokering kvv'!$B$1:$BX$1,0),FALSE)/1,0))</f>
        <v/>
      </c>
      <c r="S370" s="31" t="str">
        <f>IF($D370="","",IFERROR(VLOOKUP($B370,Kraftvärmeprod!$B$1:$BX$550,MATCH(S$2,Kraftvärmeprod!$B$1:$VX$1,0),FALSE)/1,0)-IFERROR(VLOOKUP($B370,'Slutlig allokering kvv'!$B$2:$BX$550,MATCH(S$2,'Slutlig allokering kvv'!$B$1:$BX$1,0),FALSE)/1,0))</f>
        <v/>
      </c>
      <c r="T370" s="31" t="str">
        <f>IF($D370="","",IFERROR(VLOOKUP($B370,Kraftvärmeprod!$B$1:$BX$550,MATCH(T$2,Kraftvärmeprod!$B$1:$VX$1,0),FALSE)/1,0)-IFERROR(VLOOKUP($B370,'Slutlig allokering kvv'!$B$2:$BX$550,MATCH(T$2,'Slutlig allokering kvv'!$B$1:$BX$1,0),FALSE)/1,0))</f>
        <v/>
      </c>
      <c r="U370" s="31" t="str">
        <f>IF($D370="","",IFERROR(VLOOKUP($B370,Kraftvärmeprod!$B$1:$BX$550,MATCH(U$2,Kraftvärmeprod!$B$1:$VX$1,0),FALSE)/1,0)-IFERROR(VLOOKUP($B370,'Slutlig allokering kvv'!$B$2:$BX$550,MATCH(U$2,'Slutlig allokering kvv'!$B$1:$BX$1,0),FALSE)/1,0))</f>
        <v/>
      </c>
      <c r="V370" s="31" t="str">
        <f>IF($D370="","",IFERROR(VLOOKUP($B370,Kraftvärmeprod!$B$1:$BX$550,MATCH(V$2,Kraftvärmeprod!$B$1:$VX$1,0),FALSE)/1,0)-IFERROR(VLOOKUP($B370,'Slutlig allokering kvv'!$B$2:$BX$550,MATCH(V$2,'Slutlig allokering kvv'!$B$1:$BX$1,0),FALSE)/1,0))</f>
        <v/>
      </c>
      <c r="W370" s="31" t="str">
        <f>IF($D370="","",IFERROR(VLOOKUP($B370,Kraftvärmeprod!$B$1:$BX$550,MATCH(W$2,Kraftvärmeprod!$B$1:$VX$1,0),FALSE)/1,0)-IFERROR(VLOOKUP($B370,'Slutlig allokering kvv'!$B$2:$BX$550,MATCH(W$2,'Slutlig allokering kvv'!$B$1:$BX$1,0),FALSE)/1,0))</f>
        <v/>
      </c>
      <c r="X370" s="31" t="str">
        <f>IF($D370="","",IFERROR(VLOOKUP($B370,Kraftvärmeprod!$B$1:$BX$550,MATCH(X$2,Kraftvärmeprod!$B$1:$VX$1,0),FALSE)/1,0)-IFERROR(VLOOKUP($B370,'Slutlig allokering kvv'!$B$2:$BX$550,MATCH(X$2,'Slutlig allokering kvv'!$B$1:$BX$1,0),FALSE)/1,0))</f>
        <v/>
      </c>
      <c r="Y370" s="31" t="str">
        <f>IF($D370="","",IFERROR(VLOOKUP($B370,Kraftvärmeprod!$B$1:$BX$550,MATCH(Y$2,Kraftvärmeprod!$B$1:$VX$1,0),FALSE)/1,0)-IFERROR(VLOOKUP($B370,'Slutlig allokering kvv'!$B$2:$BX$550,MATCH(Y$2,'Slutlig allokering kvv'!$B$1:$BX$1,0),FALSE)/1,0))</f>
        <v/>
      </c>
      <c r="Z370" s="31" t="str">
        <f>IF($D370="","",IFERROR(VLOOKUP($B370,Kraftvärmeprod!$B$1:$BX$550,MATCH(Z$2,Kraftvärmeprod!$B$1:$VX$1,0),FALSE)/1,0)-IFERROR(VLOOKUP($B370,'Slutlig allokering kvv'!$B$2:$BX$550,MATCH(Z$2,'Slutlig allokering kvv'!$B$1:$BX$1,0),FALSE)/1,0))</f>
        <v/>
      </c>
      <c r="AA370" s="31" t="str">
        <f>IF($D370="","",IFERROR(VLOOKUP($B370,Kraftvärmeprod!$B$1:$BX$550,MATCH(AA$2,Kraftvärmeprod!$B$1:$VX$1,0),FALSE)/1,0)-IFERROR(VLOOKUP($B370,'Slutlig allokering kvv'!$B$2:$BX$550,MATCH(AA$2,'Slutlig allokering kvv'!$B$1:$BX$1,0),FALSE)/1,0))</f>
        <v/>
      </c>
      <c r="AB370" s="31" t="str">
        <f>IF($D370="","",IFERROR(VLOOKUP($B370,Kraftvärmeprod!$B$1:$BX$550,MATCH(AB$2,Kraftvärmeprod!$B$1:$VX$1,0),FALSE)/1,0)-IFERROR(VLOOKUP($B370,'Slutlig allokering kvv'!$B$2:$BX$550,MATCH(AB$2,'Slutlig allokering kvv'!$B$1:$BX$1,0),FALSE)/1,0))</f>
        <v/>
      </c>
      <c r="AC370" s="31" t="str">
        <f>IF($D370="","",IFERROR(VLOOKUP($B370,Kraftvärmeprod!$B$1:$BX$550,MATCH(AC$2,Kraftvärmeprod!$B$1:$VX$1,0),FALSE)/1,0)-IFERROR(VLOOKUP($B370,'Slutlig allokering kvv'!$B$2:$BX$550,MATCH(AC$2,'Slutlig allokering kvv'!$B$1:$BX$1,0),FALSE)/1,0))</f>
        <v/>
      </c>
      <c r="AD370" s="31" t="str">
        <f>IF($D370="","",IFERROR(VLOOKUP($B370,Kraftvärmeprod!$B$1:$BX$550,MATCH(AD$2,Kraftvärmeprod!$B$1:$VX$1,0),FALSE)/1,0)-IFERROR(VLOOKUP($B370,'Slutlig allokering kvv'!$B$2:$BX$550,MATCH(AD$2,'Slutlig allokering kvv'!$B$1:$BX$1,0),FALSE)/1,0))</f>
        <v/>
      </c>
      <c r="AE370" s="31" t="str">
        <f>IF($D370="","",IFERROR(VLOOKUP($B370,Miljö!$B$1:$E$550,MATCH("Hjälpel kraftvärme (GWh)",Miljö!$B$1:$E$1,0),FALSE)/1,0)-IFERROR(VLOOKUP($B370,'Slutlig allokering kvv'!$B$2:$BX$549,MATCH(AE$2,'Slutlig allokering kvv'!$B$1:$BX$1,0),FALSE)/1,0))</f>
        <v/>
      </c>
      <c r="AI370" s="39">
        <f t="shared" si="20"/>
        <v>0</v>
      </c>
      <c r="AK370" s="31" t="str">
        <f>IFERROR(VLOOKUP($B370,'Slutlig allokering kvv'!$B$2:$AX$549,MATCH("Summa slutlig allokerad tillförd energi (utan hjälpel och rökgaskondensering):",'Slutlig allokering kvv'!$B$1:$AX$1,0),FALSE)/1,"")</f>
        <v/>
      </c>
      <c r="AM370" s="31" t="str">
        <f>IFERROR(1-VLOOKUP($B370,'Slutlig allokering kvv'!$B$2:$AX$549,MATCH("Andel av bränsle i kvv som allokerats till värme, exklusive rökgaskondensering och hjälpel",'Slutlig allokering kvv'!$B$1:$AX$1,0),FALSE),"")</f>
        <v/>
      </c>
      <c r="AO370" s="31" t="str">
        <f t="shared" si="21"/>
        <v/>
      </c>
      <c r="AP370" s="31" t="str">
        <f t="shared" si="22"/>
        <v/>
      </c>
      <c r="AR370" s="32" t="str">
        <f t="shared" si="23"/>
        <v/>
      </c>
    </row>
    <row r="371" spans="3:44" s="31" customFormat="1" x14ac:dyDescent="0.45">
      <c r="C371" s="31" t="str">
        <f>IFERROR(VLOOKUP($B371,Kraftvärmeprod!$B$1:$AH$479,MATCH(C$2,Kraftvärmeprod!$B$1:$AG$1,0),FALSE)/1,"")</f>
        <v/>
      </c>
      <c r="D371" s="31" t="str">
        <f>IFERROR(VLOOKUP($B371,Kraftvärmeprod!$B$1:$AH$479,MATCH(D$2,Kraftvärmeprod!$B$1:$AG$1,0),FALSE)/1,"")</f>
        <v/>
      </c>
      <c r="F371" s="31" t="str">
        <f>IF($D371="","",IFERROR(VLOOKUP($B371,Kraftvärmeprod!$B$1:$BX$550,MATCH(F$2,Kraftvärmeprod!$B$1:$VX$1,0),FALSE)/1,0)-IFERROR(VLOOKUP($B371,'Slutlig allokering kvv'!$B$2:$BX$550,MATCH(F$2,'Slutlig allokering kvv'!$B$1:$BX$1,0),FALSE)/1,0))</f>
        <v/>
      </c>
      <c r="G371" s="31" t="str">
        <f>IF($D371="","",IFERROR(VLOOKUP($B371,Kraftvärmeprod!$B$1:$BX$550,MATCH(G$2,Kraftvärmeprod!$B$1:$VX$1,0),FALSE)/1,0)-IFERROR(VLOOKUP($B371,'Slutlig allokering kvv'!$B$2:$BX$550,MATCH(G$2,'Slutlig allokering kvv'!$B$1:$BX$1,0),FALSE)/1,0))</f>
        <v/>
      </c>
      <c r="H371" s="31" t="str">
        <f>IF($D371="","",IFERROR(VLOOKUP($B371,Kraftvärmeprod!$B$1:$BX$550,MATCH(H$2,Kraftvärmeprod!$B$1:$VX$1,0),FALSE)/1,0)-IFERROR(VLOOKUP($B371,'Slutlig allokering kvv'!$B$2:$BX$550,MATCH(H$2,'Slutlig allokering kvv'!$B$1:$BX$1,0),FALSE)/1,0))</f>
        <v/>
      </c>
      <c r="I371" s="31" t="str">
        <f>IF($D371="","",IFERROR(VLOOKUP($B371,Kraftvärmeprod!$B$1:$BX$550,MATCH(I$2,Kraftvärmeprod!$B$1:$VX$1,0),FALSE)/1,0)-IFERROR(VLOOKUP($B371,'Slutlig allokering kvv'!$B$2:$BX$550,MATCH(I$2,'Slutlig allokering kvv'!$B$1:$BX$1,0),FALSE)/1,0))</f>
        <v/>
      </c>
      <c r="J371" s="31" t="str">
        <f>IF($D371="","",IFERROR(VLOOKUP($B371,Kraftvärmeprod!$B$1:$BX$550,MATCH(J$2,Kraftvärmeprod!$B$1:$VX$1,0),FALSE)/1,0)-IFERROR(VLOOKUP($B371,'Slutlig allokering kvv'!$B$2:$BX$550,MATCH(J$2,'Slutlig allokering kvv'!$B$1:$BX$1,0),FALSE)/1,0))</f>
        <v/>
      </c>
      <c r="K371" s="31" t="str">
        <f>IF($D371="","",IFERROR(VLOOKUP($B371,Kraftvärmeprod!$B$1:$BX$550,MATCH(K$2,Kraftvärmeprod!$B$1:$VX$1,0),FALSE)/1,0)-IFERROR(VLOOKUP($B371,'Slutlig allokering kvv'!$B$2:$BX$550,MATCH(K$2,'Slutlig allokering kvv'!$B$1:$BX$1,0),FALSE)/1,0))</f>
        <v/>
      </c>
      <c r="L371" s="31" t="str">
        <f>IF($D371="","",IFERROR(VLOOKUP($B371,Kraftvärmeprod!$B$1:$BX$550,MATCH(L$2,Kraftvärmeprod!$B$1:$VX$1,0),FALSE)/1,0)-IFERROR(VLOOKUP($B371,'Slutlig allokering kvv'!$B$2:$BX$550,MATCH(L$2,'Slutlig allokering kvv'!$B$1:$BX$1,0),FALSE)/1,0))</f>
        <v/>
      </c>
      <c r="M371" s="31" t="str">
        <f>IF($D371="","",IFERROR(VLOOKUP($B371,Kraftvärmeprod!$B$1:$BX$550,MATCH(M$2,Kraftvärmeprod!$B$1:$VX$1,0),FALSE)/1,0)-IFERROR(VLOOKUP($B371,'Slutlig allokering kvv'!$B$2:$BX$550,MATCH(M$2,'Slutlig allokering kvv'!$B$1:$BX$1,0),FALSE)/1,0))</f>
        <v/>
      </c>
      <c r="N371" s="31" t="str">
        <f>IF($D371="","",IFERROR(VLOOKUP($B371,Kraftvärmeprod!$B$1:$BX$550,MATCH(N$2,Kraftvärmeprod!$B$1:$VX$1,0),FALSE)/1,0)-IFERROR(VLOOKUP($B371,'Slutlig allokering kvv'!$B$2:$BX$550,MATCH(N$2,'Slutlig allokering kvv'!$B$1:$BX$1,0),FALSE)/1,0))</f>
        <v/>
      </c>
      <c r="O371" s="31" t="str">
        <f>IF($D371="","",IFERROR(VLOOKUP($B371,Kraftvärmeprod!$B$1:$BX$550,MATCH(O$2,Kraftvärmeprod!$B$1:$VX$1,0),FALSE)/1,0)-IFERROR(VLOOKUP($B371,'Slutlig allokering kvv'!$B$2:$BX$550,MATCH(O$2,'Slutlig allokering kvv'!$B$1:$BX$1,0),FALSE)/1,0))</f>
        <v/>
      </c>
      <c r="P371" s="31" t="str">
        <f>IF($D371="","",IFERROR(VLOOKUP($B371,Kraftvärmeprod!$B$1:$BX$550,MATCH(P$2,Kraftvärmeprod!$B$1:$VX$1,0),FALSE)/1,0)-IFERROR(VLOOKUP($B371,'Slutlig allokering kvv'!$B$2:$BX$550,MATCH(P$2,'Slutlig allokering kvv'!$B$1:$BX$1,0),FALSE)/1,0))</f>
        <v/>
      </c>
      <c r="Q371" s="31" t="str">
        <f>IF($D371="","",IFERROR(VLOOKUP($B371,Kraftvärmeprod!$B$1:$BX$550,MATCH(Q$2,Kraftvärmeprod!$B$1:$VX$1,0),FALSE)/1,0)-IFERROR(VLOOKUP($B371,'Slutlig allokering kvv'!$B$2:$BX$550,MATCH(Q$2,'Slutlig allokering kvv'!$B$1:$BX$1,0),FALSE)/1,0))</f>
        <v/>
      </c>
      <c r="R371" s="31" t="str">
        <f>IF($D371="","",IFERROR(VLOOKUP($B371,Kraftvärmeprod!$B$1:$BX$550,MATCH(R$2,Kraftvärmeprod!$B$1:$VX$1,0),FALSE)/1,0)-IFERROR(VLOOKUP($B371,'Slutlig allokering kvv'!$B$2:$BX$550,MATCH(R$2,'Slutlig allokering kvv'!$B$1:$BX$1,0),FALSE)/1,0))</f>
        <v/>
      </c>
      <c r="S371" s="31" t="str">
        <f>IF($D371="","",IFERROR(VLOOKUP($B371,Kraftvärmeprod!$B$1:$BX$550,MATCH(S$2,Kraftvärmeprod!$B$1:$VX$1,0),FALSE)/1,0)-IFERROR(VLOOKUP($B371,'Slutlig allokering kvv'!$B$2:$BX$550,MATCH(S$2,'Slutlig allokering kvv'!$B$1:$BX$1,0),FALSE)/1,0))</f>
        <v/>
      </c>
      <c r="T371" s="31" t="str">
        <f>IF($D371="","",IFERROR(VLOOKUP($B371,Kraftvärmeprod!$B$1:$BX$550,MATCH(T$2,Kraftvärmeprod!$B$1:$VX$1,0),FALSE)/1,0)-IFERROR(VLOOKUP($B371,'Slutlig allokering kvv'!$B$2:$BX$550,MATCH(T$2,'Slutlig allokering kvv'!$B$1:$BX$1,0),FALSE)/1,0))</f>
        <v/>
      </c>
      <c r="U371" s="31" t="str">
        <f>IF($D371="","",IFERROR(VLOOKUP($B371,Kraftvärmeprod!$B$1:$BX$550,MATCH(U$2,Kraftvärmeprod!$B$1:$VX$1,0),FALSE)/1,0)-IFERROR(VLOOKUP($B371,'Slutlig allokering kvv'!$B$2:$BX$550,MATCH(U$2,'Slutlig allokering kvv'!$B$1:$BX$1,0),FALSE)/1,0))</f>
        <v/>
      </c>
      <c r="V371" s="31" t="str">
        <f>IF($D371="","",IFERROR(VLOOKUP($B371,Kraftvärmeprod!$B$1:$BX$550,MATCH(V$2,Kraftvärmeprod!$B$1:$VX$1,0),FALSE)/1,0)-IFERROR(VLOOKUP($B371,'Slutlig allokering kvv'!$B$2:$BX$550,MATCH(V$2,'Slutlig allokering kvv'!$B$1:$BX$1,0),FALSE)/1,0))</f>
        <v/>
      </c>
      <c r="W371" s="31" t="str">
        <f>IF($D371="","",IFERROR(VLOOKUP($B371,Kraftvärmeprod!$B$1:$BX$550,MATCH(W$2,Kraftvärmeprod!$B$1:$VX$1,0),FALSE)/1,0)-IFERROR(VLOOKUP($B371,'Slutlig allokering kvv'!$B$2:$BX$550,MATCH(W$2,'Slutlig allokering kvv'!$B$1:$BX$1,0),FALSE)/1,0))</f>
        <v/>
      </c>
      <c r="X371" s="31" t="str">
        <f>IF($D371="","",IFERROR(VLOOKUP($B371,Kraftvärmeprod!$B$1:$BX$550,MATCH(X$2,Kraftvärmeprod!$B$1:$VX$1,0),FALSE)/1,0)-IFERROR(VLOOKUP($B371,'Slutlig allokering kvv'!$B$2:$BX$550,MATCH(X$2,'Slutlig allokering kvv'!$B$1:$BX$1,0),FALSE)/1,0))</f>
        <v/>
      </c>
      <c r="Y371" s="31" t="str">
        <f>IF($D371="","",IFERROR(VLOOKUP($B371,Kraftvärmeprod!$B$1:$BX$550,MATCH(Y$2,Kraftvärmeprod!$B$1:$VX$1,0),FALSE)/1,0)-IFERROR(VLOOKUP($B371,'Slutlig allokering kvv'!$B$2:$BX$550,MATCH(Y$2,'Slutlig allokering kvv'!$B$1:$BX$1,0),FALSE)/1,0))</f>
        <v/>
      </c>
      <c r="Z371" s="31" t="str">
        <f>IF($D371="","",IFERROR(VLOOKUP($B371,Kraftvärmeprod!$B$1:$BX$550,MATCH(Z$2,Kraftvärmeprod!$B$1:$VX$1,0),FALSE)/1,0)-IFERROR(VLOOKUP($B371,'Slutlig allokering kvv'!$B$2:$BX$550,MATCH(Z$2,'Slutlig allokering kvv'!$B$1:$BX$1,0),FALSE)/1,0))</f>
        <v/>
      </c>
      <c r="AA371" s="31" t="str">
        <f>IF($D371="","",IFERROR(VLOOKUP($B371,Kraftvärmeprod!$B$1:$BX$550,MATCH(AA$2,Kraftvärmeprod!$B$1:$VX$1,0),FALSE)/1,0)-IFERROR(VLOOKUP($B371,'Slutlig allokering kvv'!$B$2:$BX$550,MATCH(AA$2,'Slutlig allokering kvv'!$B$1:$BX$1,0),FALSE)/1,0))</f>
        <v/>
      </c>
      <c r="AB371" s="31" t="str">
        <f>IF($D371="","",IFERROR(VLOOKUP($B371,Kraftvärmeprod!$B$1:$BX$550,MATCH(AB$2,Kraftvärmeprod!$B$1:$VX$1,0),FALSE)/1,0)-IFERROR(VLOOKUP($B371,'Slutlig allokering kvv'!$B$2:$BX$550,MATCH(AB$2,'Slutlig allokering kvv'!$B$1:$BX$1,0),FALSE)/1,0))</f>
        <v/>
      </c>
      <c r="AC371" s="31" t="str">
        <f>IF($D371="","",IFERROR(VLOOKUP($B371,Kraftvärmeprod!$B$1:$BX$550,MATCH(AC$2,Kraftvärmeprod!$B$1:$VX$1,0),FALSE)/1,0)-IFERROR(VLOOKUP($B371,'Slutlig allokering kvv'!$B$2:$BX$550,MATCH(AC$2,'Slutlig allokering kvv'!$B$1:$BX$1,0),FALSE)/1,0))</f>
        <v/>
      </c>
      <c r="AD371" s="31" t="str">
        <f>IF($D371="","",IFERROR(VLOOKUP($B371,Kraftvärmeprod!$B$1:$BX$550,MATCH(AD$2,Kraftvärmeprod!$B$1:$VX$1,0),FALSE)/1,0)-IFERROR(VLOOKUP($B371,'Slutlig allokering kvv'!$B$2:$BX$550,MATCH(AD$2,'Slutlig allokering kvv'!$B$1:$BX$1,0),FALSE)/1,0))</f>
        <v/>
      </c>
      <c r="AE371" s="31" t="str">
        <f>IF($D371="","",IFERROR(VLOOKUP($B371,Miljö!$B$1:$E$550,MATCH("Hjälpel kraftvärme (GWh)",Miljö!$B$1:$E$1,0),FALSE)/1,0)-IFERROR(VLOOKUP($B371,'Slutlig allokering kvv'!$B$2:$BX$549,MATCH(AE$2,'Slutlig allokering kvv'!$B$1:$BX$1,0),FALSE)/1,0))</f>
        <v/>
      </c>
      <c r="AI371" s="39">
        <f t="shared" si="20"/>
        <v>0</v>
      </c>
      <c r="AK371" s="31" t="str">
        <f>IFERROR(VLOOKUP($B371,'Slutlig allokering kvv'!$B$2:$AX$549,MATCH("Summa slutlig allokerad tillförd energi (utan hjälpel och rökgaskondensering):",'Slutlig allokering kvv'!$B$1:$AX$1,0),FALSE)/1,"")</f>
        <v/>
      </c>
      <c r="AM371" s="31" t="str">
        <f>IFERROR(1-VLOOKUP($B371,'Slutlig allokering kvv'!$B$2:$AX$549,MATCH("Andel av bränsle i kvv som allokerats till värme, exklusive rökgaskondensering och hjälpel",'Slutlig allokering kvv'!$B$1:$AX$1,0),FALSE),"")</f>
        <v/>
      </c>
      <c r="AO371" s="31" t="str">
        <f t="shared" si="21"/>
        <v/>
      </c>
      <c r="AP371" s="31" t="str">
        <f t="shared" si="22"/>
        <v/>
      </c>
      <c r="AR371" s="32" t="str">
        <f t="shared" si="23"/>
        <v/>
      </c>
    </row>
    <row r="372" spans="3:44" s="31" customFormat="1" x14ac:dyDescent="0.45">
      <c r="C372" s="31" t="str">
        <f>IFERROR(VLOOKUP($B372,Kraftvärmeprod!$B$1:$AH$479,MATCH(C$2,Kraftvärmeprod!$B$1:$AG$1,0),FALSE)/1,"")</f>
        <v/>
      </c>
      <c r="D372" s="31" t="str">
        <f>IFERROR(VLOOKUP($B372,Kraftvärmeprod!$B$1:$AH$479,MATCH(D$2,Kraftvärmeprod!$B$1:$AG$1,0),FALSE)/1,"")</f>
        <v/>
      </c>
      <c r="F372" s="31" t="str">
        <f>IF($D372="","",IFERROR(VLOOKUP($B372,Kraftvärmeprod!$B$1:$BX$550,MATCH(F$2,Kraftvärmeprod!$B$1:$VX$1,0),FALSE)/1,0)-IFERROR(VLOOKUP($B372,'Slutlig allokering kvv'!$B$2:$BX$550,MATCH(F$2,'Slutlig allokering kvv'!$B$1:$BX$1,0),FALSE)/1,0))</f>
        <v/>
      </c>
      <c r="G372" s="31" t="str">
        <f>IF($D372="","",IFERROR(VLOOKUP($B372,Kraftvärmeprod!$B$1:$BX$550,MATCH(G$2,Kraftvärmeprod!$B$1:$VX$1,0),FALSE)/1,0)-IFERROR(VLOOKUP($B372,'Slutlig allokering kvv'!$B$2:$BX$550,MATCH(G$2,'Slutlig allokering kvv'!$B$1:$BX$1,0),FALSE)/1,0))</f>
        <v/>
      </c>
      <c r="H372" s="31" t="str">
        <f>IF($D372="","",IFERROR(VLOOKUP($B372,Kraftvärmeprod!$B$1:$BX$550,MATCH(H$2,Kraftvärmeprod!$B$1:$VX$1,0),FALSE)/1,0)-IFERROR(VLOOKUP($B372,'Slutlig allokering kvv'!$B$2:$BX$550,MATCH(H$2,'Slutlig allokering kvv'!$B$1:$BX$1,0),FALSE)/1,0))</f>
        <v/>
      </c>
      <c r="I372" s="31" t="str">
        <f>IF($D372="","",IFERROR(VLOOKUP($B372,Kraftvärmeprod!$B$1:$BX$550,MATCH(I$2,Kraftvärmeprod!$B$1:$VX$1,0),FALSE)/1,0)-IFERROR(VLOOKUP($B372,'Slutlig allokering kvv'!$B$2:$BX$550,MATCH(I$2,'Slutlig allokering kvv'!$B$1:$BX$1,0),FALSE)/1,0))</f>
        <v/>
      </c>
      <c r="J372" s="31" t="str">
        <f>IF($D372="","",IFERROR(VLOOKUP($B372,Kraftvärmeprod!$B$1:$BX$550,MATCH(J$2,Kraftvärmeprod!$B$1:$VX$1,0),FALSE)/1,0)-IFERROR(VLOOKUP($B372,'Slutlig allokering kvv'!$B$2:$BX$550,MATCH(J$2,'Slutlig allokering kvv'!$B$1:$BX$1,0),FALSE)/1,0))</f>
        <v/>
      </c>
      <c r="K372" s="31" t="str">
        <f>IF($D372="","",IFERROR(VLOOKUP($B372,Kraftvärmeprod!$B$1:$BX$550,MATCH(K$2,Kraftvärmeprod!$B$1:$VX$1,0),FALSE)/1,0)-IFERROR(VLOOKUP($B372,'Slutlig allokering kvv'!$B$2:$BX$550,MATCH(K$2,'Slutlig allokering kvv'!$B$1:$BX$1,0),FALSE)/1,0))</f>
        <v/>
      </c>
      <c r="L372" s="31" t="str">
        <f>IF($D372="","",IFERROR(VLOOKUP($B372,Kraftvärmeprod!$B$1:$BX$550,MATCH(L$2,Kraftvärmeprod!$B$1:$VX$1,0),FALSE)/1,0)-IFERROR(VLOOKUP($B372,'Slutlig allokering kvv'!$B$2:$BX$550,MATCH(L$2,'Slutlig allokering kvv'!$B$1:$BX$1,0),FALSE)/1,0))</f>
        <v/>
      </c>
      <c r="M372" s="31" t="str">
        <f>IF($D372="","",IFERROR(VLOOKUP($B372,Kraftvärmeprod!$B$1:$BX$550,MATCH(M$2,Kraftvärmeprod!$B$1:$VX$1,0),FALSE)/1,0)-IFERROR(VLOOKUP($B372,'Slutlig allokering kvv'!$B$2:$BX$550,MATCH(M$2,'Slutlig allokering kvv'!$B$1:$BX$1,0),FALSE)/1,0))</f>
        <v/>
      </c>
      <c r="N372" s="31" t="str">
        <f>IF($D372="","",IFERROR(VLOOKUP($B372,Kraftvärmeprod!$B$1:$BX$550,MATCH(N$2,Kraftvärmeprod!$B$1:$VX$1,0),FALSE)/1,0)-IFERROR(VLOOKUP($B372,'Slutlig allokering kvv'!$B$2:$BX$550,MATCH(N$2,'Slutlig allokering kvv'!$B$1:$BX$1,0),FALSE)/1,0))</f>
        <v/>
      </c>
      <c r="O372" s="31" t="str">
        <f>IF($D372="","",IFERROR(VLOOKUP($B372,Kraftvärmeprod!$B$1:$BX$550,MATCH(O$2,Kraftvärmeprod!$B$1:$VX$1,0),FALSE)/1,0)-IFERROR(VLOOKUP($B372,'Slutlig allokering kvv'!$B$2:$BX$550,MATCH(O$2,'Slutlig allokering kvv'!$B$1:$BX$1,0),FALSE)/1,0))</f>
        <v/>
      </c>
      <c r="P372" s="31" t="str">
        <f>IF($D372="","",IFERROR(VLOOKUP($B372,Kraftvärmeprod!$B$1:$BX$550,MATCH(P$2,Kraftvärmeprod!$B$1:$VX$1,0),FALSE)/1,0)-IFERROR(VLOOKUP($B372,'Slutlig allokering kvv'!$B$2:$BX$550,MATCH(P$2,'Slutlig allokering kvv'!$B$1:$BX$1,0),FALSE)/1,0))</f>
        <v/>
      </c>
      <c r="Q372" s="31" t="str">
        <f>IF($D372="","",IFERROR(VLOOKUP($B372,Kraftvärmeprod!$B$1:$BX$550,MATCH(Q$2,Kraftvärmeprod!$B$1:$VX$1,0),FALSE)/1,0)-IFERROR(VLOOKUP($B372,'Slutlig allokering kvv'!$B$2:$BX$550,MATCH(Q$2,'Slutlig allokering kvv'!$B$1:$BX$1,0),FALSE)/1,0))</f>
        <v/>
      </c>
      <c r="R372" s="31" t="str">
        <f>IF($D372="","",IFERROR(VLOOKUP($B372,Kraftvärmeprod!$B$1:$BX$550,MATCH(R$2,Kraftvärmeprod!$B$1:$VX$1,0),FALSE)/1,0)-IFERROR(VLOOKUP($B372,'Slutlig allokering kvv'!$B$2:$BX$550,MATCH(R$2,'Slutlig allokering kvv'!$B$1:$BX$1,0),FALSE)/1,0))</f>
        <v/>
      </c>
      <c r="S372" s="31" t="str">
        <f>IF($D372="","",IFERROR(VLOOKUP($B372,Kraftvärmeprod!$B$1:$BX$550,MATCH(S$2,Kraftvärmeprod!$B$1:$VX$1,0),FALSE)/1,0)-IFERROR(VLOOKUP($B372,'Slutlig allokering kvv'!$B$2:$BX$550,MATCH(S$2,'Slutlig allokering kvv'!$B$1:$BX$1,0),FALSE)/1,0))</f>
        <v/>
      </c>
      <c r="T372" s="31" t="str">
        <f>IF($D372="","",IFERROR(VLOOKUP($B372,Kraftvärmeprod!$B$1:$BX$550,MATCH(T$2,Kraftvärmeprod!$B$1:$VX$1,0),FALSE)/1,0)-IFERROR(VLOOKUP($B372,'Slutlig allokering kvv'!$B$2:$BX$550,MATCH(T$2,'Slutlig allokering kvv'!$B$1:$BX$1,0),FALSE)/1,0))</f>
        <v/>
      </c>
      <c r="U372" s="31" t="str">
        <f>IF($D372="","",IFERROR(VLOOKUP($B372,Kraftvärmeprod!$B$1:$BX$550,MATCH(U$2,Kraftvärmeprod!$B$1:$VX$1,0),FALSE)/1,0)-IFERROR(VLOOKUP($B372,'Slutlig allokering kvv'!$B$2:$BX$550,MATCH(U$2,'Slutlig allokering kvv'!$B$1:$BX$1,0),FALSE)/1,0))</f>
        <v/>
      </c>
      <c r="V372" s="31" t="str">
        <f>IF($D372="","",IFERROR(VLOOKUP($B372,Kraftvärmeprod!$B$1:$BX$550,MATCH(V$2,Kraftvärmeprod!$B$1:$VX$1,0),FALSE)/1,0)-IFERROR(VLOOKUP($B372,'Slutlig allokering kvv'!$B$2:$BX$550,MATCH(V$2,'Slutlig allokering kvv'!$B$1:$BX$1,0),FALSE)/1,0))</f>
        <v/>
      </c>
      <c r="W372" s="31" t="str">
        <f>IF($D372="","",IFERROR(VLOOKUP($B372,Kraftvärmeprod!$B$1:$BX$550,MATCH(W$2,Kraftvärmeprod!$B$1:$VX$1,0),FALSE)/1,0)-IFERROR(VLOOKUP($B372,'Slutlig allokering kvv'!$B$2:$BX$550,MATCH(W$2,'Slutlig allokering kvv'!$B$1:$BX$1,0),FALSE)/1,0))</f>
        <v/>
      </c>
      <c r="X372" s="31" t="str">
        <f>IF($D372="","",IFERROR(VLOOKUP($B372,Kraftvärmeprod!$B$1:$BX$550,MATCH(X$2,Kraftvärmeprod!$B$1:$VX$1,0),FALSE)/1,0)-IFERROR(VLOOKUP($B372,'Slutlig allokering kvv'!$B$2:$BX$550,MATCH(X$2,'Slutlig allokering kvv'!$B$1:$BX$1,0),FALSE)/1,0))</f>
        <v/>
      </c>
      <c r="Y372" s="31" t="str">
        <f>IF($D372="","",IFERROR(VLOOKUP($B372,Kraftvärmeprod!$B$1:$BX$550,MATCH(Y$2,Kraftvärmeprod!$B$1:$VX$1,0),FALSE)/1,0)-IFERROR(VLOOKUP($B372,'Slutlig allokering kvv'!$B$2:$BX$550,MATCH(Y$2,'Slutlig allokering kvv'!$B$1:$BX$1,0),FALSE)/1,0))</f>
        <v/>
      </c>
      <c r="Z372" s="31" t="str">
        <f>IF($D372="","",IFERROR(VLOOKUP($B372,Kraftvärmeprod!$B$1:$BX$550,MATCH(Z$2,Kraftvärmeprod!$B$1:$VX$1,0),FALSE)/1,0)-IFERROR(VLOOKUP($B372,'Slutlig allokering kvv'!$B$2:$BX$550,MATCH(Z$2,'Slutlig allokering kvv'!$B$1:$BX$1,0),FALSE)/1,0))</f>
        <v/>
      </c>
      <c r="AA372" s="31" t="str">
        <f>IF($D372="","",IFERROR(VLOOKUP($B372,Kraftvärmeprod!$B$1:$BX$550,MATCH(AA$2,Kraftvärmeprod!$B$1:$VX$1,0),FALSE)/1,0)-IFERROR(VLOOKUP($B372,'Slutlig allokering kvv'!$B$2:$BX$550,MATCH(AA$2,'Slutlig allokering kvv'!$B$1:$BX$1,0),FALSE)/1,0))</f>
        <v/>
      </c>
      <c r="AB372" s="31" t="str">
        <f>IF($D372="","",IFERROR(VLOOKUP($B372,Kraftvärmeprod!$B$1:$BX$550,MATCH(AB$2,Kraftvärmeprod!$B$1:$VX$1,0),FALSE)/1,0)-IFERROR(VLOOKUP($B372,'Slutlig allokering kvv'!$B$2:$BX$550,MATCH(AB$2,'Slutlig allokering kvv'!$B$1:$BX$1,0),FALSE)/1,0))</f>
        <v/>
      </c>
      <c r="AC372" s="31" t="str">
        <f>IF($D372="","",IFERROR(VLOOKUP($B372,Kraftvärmeprod!$B$1:$BX$550,MATCH(AC$2,Kraftvärmeprod!$B$1:$VX$1,0),FALSE)/1,0)-IFERROR(VLOOKUP($B372,'Slutlig allokering kvv'!$B$2:$BX$550,MATCH(AC$2,'Slutlig allokering kvv'!$B$1:$BX$1,0),FALSE)/1,0))</f>
        <v/>
      </c>
      <c r="AD372" s="31" t="str">
        <f>IF($D372="","",IFERROR(VLOOKUP($B372,Kraftvärmeprod!$B$1:$BX$550,MATCH(AD$2,Kraftvärmeprod!$B$1:$VX$1,0),FALSE)/1,0)-IFERROR(VLOOKUP($B372,'Slutlig allokering kvv'!$B$2:$BX$550,MATCH(AD$2,'Slutlig allokering kvv'!$B$1:$BX$1,0),FALSE)/1,0))</f>
        <v/>
      </c>
      <c r="AE372" s="31" t="str">
        <f>IF($D372="","",IFERROR(VLOOKUP($B372,Miljö!$B$1:$E$550,MATCH("Hjälpel kraftvärme (GWh)",Miljö!$B$1:$E$1,0),FALSE)/1,0)-IFERROR(VLOOKUP($B372,'Slutlig allokering kvv'!$B$2:$BX$549,MATCH(AE$2,'Slutlig allokering kvv'!$B$1:$BX$1,0),FALSE)/1,0))</f>
        <v/>
      </c>
      <c r="AI372" s="39">
        <f t="shared" si="20"/>
        <v>0</v>
      </c>
      <c r="AK372" s="31" t="str">
        <f>IFERROR(VLOOKUP($B372,'Slutlig allokering kvv'!$B$2:$AX$549,MATCH("Summa slutlig allokerad tillförd energi (utan hjälpel och rökgaskondensering):",'Slutlig allokering kvv'!$B$1:$AX$1,0),FALSE)/1,"")</f>
        <v/>
      </c>
      <c r="AM372" s="31" t="str">
        <f>IFERROR(1-VLOOKUP($B372,'Slutlig allokering kvv'!$B$2:$AX$549,MATCH("Andel av bränsle i kvv som allokerats till värme, exklusive rökgaskondensering och hjälpel",'Slutlig allokering kvv'!$B$1:$AX$1,0),FALSE),"")</f>
        <v/>
      </c>
      <c r="AO372" s="31" t="str">
        <f t="shared" si="21"/>
        <v/>
      </c>
      <c r="AP372" s="31" t="str">
        <f t="shared" si="22"/>
        <v/>
      </c>
      <c r="AR372" s="32" t="str">
        <f t="shared" si="23"/>
        <v/>
      </c>
    </row>
    <row r="373" spans="3:44" s="31" customFormat="1" x14ac:dyDescent="0.45">
      <c r="C373" s="31" t="str">
        <f>IFERROR(VLOOKUP($B373,Kraftvärmeprod!$B$1:$AH$479,MATCH(C$2,Kraftvärmeprod!$B$1:$AG$1,0),FALSE)/1,"")</f>
        <v/>
      </c>
      <c r="D373" s="31" t="str">
        <f>IFERROR(VLOOKUP($B373,Kraftvärmeprod!$B$1:$AH$479,MATCH(D$2,Kraftvärmeprod!$B$1:$AG$1,0),FALSE)/1,"")</f>
        <v/>
      </c>
      <c r="F373" s="31" t="str">
        <f>IF($D373="","",IFERROR(VLOOKUP($B373,Kraftvärmeprod!$B$1:$BX$550,MATCH(F$2,Kraftvärmeprod!$B$1:$VX$1,0),FALSE)/1,0)-IFERROR(VLOOKUP($B373,'Slutlig allokering kvv'!$B$2:$BX$550,MATCH(F$2,'Slutlig allokering kvv'!$B$1:$BX$1,0),FALSE)/1,0))</f>
        <v/>
      </c>
      <c r="G373" s="31" t="str">
        <f>IF($D373="","",IFERROR(VLOOKUP($B373,Kraftvärmeprod!$B$1:$BX$550,MATCH(G$2,Kraftvärmeprod!$B$1:$VX$1,0),FALSE)/1,0)-IFERROR(VLOOKUP($B373,'Slutlig allokering kvv'!$B$2:$BX$550,MATCH(G$2,'Slutlig allokering kvv'!$B$1:$BX$1,0),FALSE)/1,0))</f>
        <v/>
      </c>
      <c r="H373" s="31" t="str">
        <f>IF($D373="","",IFERROR(VLOOKUP($B373,Kraftvärmeprod!$B$1:$BX$550,MATCH(H$2,Kraftvärmeprod!$B$1:$VX$1,0),FALSE)/1,0)-IFERROR(VLOOKUP($B373,'Slutlig allokering kvv'!$B$2:$BX$550,MATCH(H$2,'Slutlig allokering kvv'!$B$1:$BX$1,0),FALSE)/1,0))</f>
        <v/>
      </c>
      <c r="I373" s="31" t="str">
        <f>IF($D373="","",IFERROR(VLOOKUP($B373,Kraftvärmeprod!$B$1:$BX$550,MATCH(I$2,Kraftvärmeprod!$B$1:$VX$1,0),FALSE)/1,0)-IFERROR(VLOOKUP($B373,'Slutlig allokering kvv'!$B$2:$BX$550,MATCH(I$2,'Slutlig allokering kvv'!$B$1:$BX$1,0),FALSE)/1,0))</f>
        <v/>
      </c>
      <c r="J373" s="31" t="str">
        <f>IF($D373="","",IFERROR(VLOOKUP($B373,Kraftvärmeprod!$B$1:$BX$550,MATCH(J$2,Kraftvärmeprod!$B$1:$VX$1,0),FALSE)/1,0)-IFERROR(VLOOKUP($B373,'Slutlig allokering kvv'!$B$2:$BX$550,MATCH(J$2,'Slutlig allokering kvv'!$B$1:$BX$1,0),FALSE)/1,0))</f>
        <v/>
      </c>
      <c r="K373" s="31" t="str">
        <f>IF($D373="","",IFERROR(VLOOKUP($B373,Kraftvärmeprod!$B$1:$BX$550,MATCH(K$2,Kraftvärmeprod!$B$1:$VX$1,0),FALSE)/1,0)-IFERROR(VLOOKUP($B373,'Slutlig allokering kvv'!$B$2:$BX$550,MATCH(K$2,'Slutlig allokering kvv'!$B$1:$BX$1,0),FALSE)/1,0))</f>
        <v/>
      </c>
      <c r="L373" s="31" t="str">
        <f>IF($D373="","",IFERROR(VLOOKUP($B373,Kraftvärmeprod!$B$1:$BX$550,MATCH(L$2,Kraftvärmeprod!$B$1:$VX$1,0),FALSE)/1,0)-IFERROR(VLOOKUP($B373,'Slutlig allokering kvv'!$B$2:$BX$550,MATCH(L$2,'Slutlig allokering kvv'!$B$1:$BX$1,0),FALSE)/1,0))</f>
        <v/>
      </c>
      <c r="M373" s="31" t="str">
        <f>IF($D373="","",IFERROR(VLOOKUP($B373,Kraftvärmeprod!$B$1:$BX$550,MATCH(M$2,Kraftvärmeprod!$B$1:$VX$1,0),FALSE)/1,0)-IFERROR(VLOOKUP($B373,'Slutlig allokering kvv'!$B$2:$BX$550,MATCH(M$2,'Slutlig allokering kvv'!$B$1:$BX$1,0),FALSE)/1,0))</f>
        <v/>
      </c>
      <c r="N373" s="31" t="str">
        <f>IF($D373="","",IFERROR(VLOOKUP($B373,Kraftvärmeprod!$B$1:$BX$550,MATCH(N$2,Kraftvärmeprod!$B$1:$VX$1,0),FALSE)/1,0)-IFERROR(VLOOKUP($B373,'Slutlig allokering kvv'!$B$2:$BX$550,MATCH(N$2,'Slutlig allokering kvv'!$B$1:$BX$1,0),FALSE)/1,0))</f>
        <v/>
      </c>
      <c r="O373" s="31" t="str">
        <f>IF($D373="","",IFERROR(VLOOKUP($B373,Kraftvärmeprod!$B$1:$BX$550,MATCH(O$2,Kraftvärmeprod!$B$1:$VX$1,0),FALSE)/1,0)-IFERROR(VLOOKUP($B373,'Slutlig allokering kvv'!$B$2:$BX$550,MATCH(O$2,'Slutlig allokering kvv'!$B$1:$BX$1,0),FALSE)/1,0))</f>
        <v/>
      </c>
      <c r="P373" s="31" t="str">
        <f>IF($D373="","",IFERROR(VLOOKUP($B373,Kraftvärmeprod!$B$1:$BX$550,MATCH(P$2,Kraftvärmeprod!$B$1:$VX$1,0),FALSE)/1,0)-IFERROR(VLOOKUP($B373,'Slutlig allokering kvv'!$B$2:$BX$550,MATCH(P$2,'Slutlig allokering kvv'!$B$1:$BX$1,0),FALSE)/1,0))</f>
        <v/>
      </c>
      <c r="Q373" s="31" t="str">
        <f>IF($D373="","",IFERROR(VLOOKUP($B373,Kraftvärmeprod!$B$1:$BX$550,MATCH(Q$2,Kraftvärmeprod!$B$1:$VX$1,0),FALSE)/1,0)-IFERROR(VLOOKUP($B373,'Slutlig allokering kvv'!$B$2:$BX$550,MATCH(Q$2,'Slutlig allokering kvv'!$B$1:$BX$1,0),FALSE)/1,0))</f>
        <v/>
      </c>
      <c r="R373" s="31" t="str">
        <f>IF($D373="","",IFERROR(VLOOKUP($B373,Kraftvärmeprod!$B$1:$BX$550,MATCH(R$2,Kraftvärmeprod!$B$1:$VX$1,0),FALSE)/1,0)-IFERROR(VLOOKUP($B373,'Slutlig allokering kvv'!$B$2:$BX$550,MATCH(R$2,'Slutlig allokering kvv'!$B$1:$BX$1,0),FALSE)/1,0))</f>
        <v/>
      </c>
      <c r="S373" s="31" t="str">
        <f>IF($D373="","",IFERROR(VLOOKUP($B373,Kraftvärmeprod!$B$1:$BX$550,MATCH(S$2,Kraftvärmeprod!$B$1:$VX$1,0),FALSE)/1,0)-IFERROR(VLOOKUP($B373,'Slutlig allokering kvv'!$B$2:$BX$550,MATCH(S$2,'Slutlig allokering kvv'!$B$1:$BX$1,0),FALSE)/1,0))</f>
        <v/>
      </c>
      <c r="T373" s="31" t="str">
        <f>IF($D373="","",IFERROR(VLOOKUP($B373,Kraftvärmeprod!$B$1:$BX$550,MATCH(T$2,Kraftvärmeprod!$B$1:$VX$1,0),FALSE)/1,0)-IFERROR(VLOOKUP($B373,'Slutlig allokering kvv'!$B$2:$BX$550,MATCH(T$2,'Slutlig allokering kvv'!$B$1:$BX$1,0),FALSE)/1,0))</f>
        <v/>
      </c>
      <c r="U373" s="31" t="str">
        <f>IF($D373="","",IFERROR(VLOOKUP($B373,Kraftvärmeprod!$B$1:$BX$550,MATCH(U$2,Kraftvärmeprod!$B$1:$VX$1,0),FALSE)/1,0)-IFERROR(VLOOKUP($B373,'Slutlig allokering kvv'!$B$2:$BX$550,MATCH(U$2,'Slutlig allokering kvv'!$B$1:$BX$1,0),FALSE)/1,0))</f>
        <v/>
      </c>
      <c r="V373" s="31" t="str">
        <f>IF($D373="","",IFERROR(VLOOKUP($B373,Kraftvärmeprod!$B$1:$BX$550,MATCH(V$2,Kraftvärmeprod!$B$1:$VX$1,0),FALSE)/1,0)-IFERROR(VLOOKUP($B373,'Slutlig allokering kvv'!$B$2:$BX$550,MATCH(V$2,'Slutlig allokering kvv'!$B$1:$BX$1,0),FALSE)/1,0))</f>
        <v/>
      </c>
      <c r="W373" s="31" t="str">
        <f>IF($D373="","",IFERROR(VLOOKUP($B373,Kraftvärmeprod!$B$1:$BX$550,MATCH(W$2,Kraftvärmeprod!$B$1:$VX$1,0),FALSE)/1,0)-IFERROR(VLOOKUP($B373,'Slutlig allokering kvv'!$B$2:$BX$550,MATCH(W$2,'Slutlig allokering kvv'!$B$1:$BX$1,0),FALSE)/1,0))</f>
        <v/>
      </c>
      <c r="X373" s="31" t="str">
        <f>IF($D373="","",IFERROR(VLOOKUP($B373,Kraftvärmeprod!$B$1:$BX$550,MATCH(X$2,Kraftvärmeprod!$B$1:$VX$1,0),FALSE)/1,0)-IFERROR(VLOOKUP($B373,'Slutlig allokering kvv'!$B$2:$BX$550,MATCH(X$2,'Slutlig allokering kvv'!$B$1:$BX$1,0),FALSE)/1,0))</f>
        <v/>
      </c>
      <c r="Y373" s="31" t="str">
        <f>IF($D373="","",IFERROR(VLOOKUP($B373,Kraftvärmeprod!$B$1:$BX$550,MATCH(Y$2,Kraftvärmeprod!$B$1:$VX$1,0),FALSE)/1,0)-IFERROR(VLOOKUP($B373,'Slutlig allokering kvv'!$B$2:$BX$550,MATCH(Y$2,'Slutlig allokering kvv'!$B$1:$BX$1,0),FALSE)/1,0))</f>
        <v/>
      </c>
      <c r="Z373" s="31" t="str">
        <f>IF($D373="","",IFERROR(VLOOKUP($B373,Kraftvärmeprod!$B$1:$BX$550,MATCH(Z$2,Kraftvärmeprod!$B$1:$VX$1,0),FALSE)/1,0)-IFERROR(VLOOKUP($B373,'Slutlig allokering kvv'!$B$2:$BX$550,MATCH(Z$2,'Slutlig allokering kvv'!$B$1:$BX$1,0),FALSE)/1,0))</f>
        <v/>
      </c>
      <c r="AA373" s="31" t="str">
        <f>IF($D373="","",IFERROR(VLOOKUP($B373,Kraftvärmeprod!$B$1:$BX$550,MATCH(AA$2,Kraftvärmeprod!$B$1:$VX$1,0),FALSE)/1,0)-IFERROR(VLOOKUP($B373,'Slutlig allokering kvv'!$B$2:$BX$550,MATCH(AA$2,'Slutlig allokering kvv'!$B$1:$BX$1,0),FALSE)/1,0))</f>
        <v/>
      </c>
      <c r="AB373" s="31" t="str">
        <f>IF($D373="","",IFERROR(VLOOKUP($B373,Kraftvärmeprod!$B$1:$BX$550,MATCH(AB$2,Kraftvärmeprod!$B$1:$VX$1,0),FALSE)/1,0)-IFERROR(VLOOKUP($B373,'Slutlig allokering kvv'!$B$2:$BX$550,MATCH(AB$2,'Slutlig allokering kvv'!$B$1:$BX$1,0),FALSE)/1,0))</f>
        <v/>
      </c>
      <c r="AC373" s="31" t="str">
        <f>IF($D373="","",IFERROR(VLOOKUP($B373,Kraftvärmeprod!$B$1:$BX$550,MATCH(AC$2,Kraftvärmeprod!$B$1:$VX$1,0),FALSE)/1,0)-IFERROR(VLOOKUP($B373,'Slutlig allokering kvv'!$B$2:$BX$550,MATCH(AC$2,'Slutlig allokering kvv'!$B$1:$BX$1,0),FALSE)/1,0))</f>
        <v/>
      </c>
      <c r="AD373" s="31" t="str">
        <f>IF($D373="","",IFERROR(VLOOKUP($B373,Kraftvärmeprod!$B$1:$BX$550,MATCH(AD$2,Kraftvärmeprod!$B$1:$VX$1,0),FALSE)/1,0)-IFERROR(VLOOKUP($B373,'Slutlig allokering kvv'!$B$2:$BX$550,MATCH(AD$2,'Slutlig allokering kvv'!$B$1:$BX$1,0),FALSE)/1,0))</f>
        <v/>
      </c>
      <c r="AE373" s="31" t="str">
        <f>IF($D373="","",IFERROR(VLOOKUP($B373,Miljö!$B$1:$E$550,MATCH("Hjälpel kraftvärme (GWh)",Miljö!$B$1:$E$1,0),FALSE)/1,0)-IFERROR(VLOOKUP($B373,'Slutlig allokering kvv'!$B$2:$BX$549,MATCH(AE$2,'Slutlig allokering kvv'!$B$1:$BX$1,0),FALSE)/1,0))</f>
        <v/>
      </c>
      <c r="AI373" s="39">
        <f t="shared" si="20"/>
        <v>0</v>
      </c>
      <c r="AK373" s="31" t="str">
        <f>IFERROR(VLOOKUP($B373,'Slutlig allokering kvv'!$B$2:$AX$549,MATCH("Summa slutlig allokerad tillförd energi (utan hjälpel och rökgaskondensering):",'Slutlig allokering kvv'!$B$1:$AX$1,0),FALSE)/1,"")</f>
        <v/>
      </c>
      <c r="AM373" s="31" t="str">
        <f>IFERROR(1-VLOOKUP($B373,'Slutlig allokering kvv'!$B$2:$AX$549,MATCH("Andel av bränsle i kvv som allokerats till värme, exklusive rökgaskondensering och hjälpel",'Slutlig allokering kvv'!$B$1:$AX$1,0),FALSE),"")</f>
        <v/>
      </c>
      <c r="AO373" s="31" t="str">
        <f t="shared" si="21"/>
        <v/>
      </c>
      <c r="AP373" s="31" t="str">
        <f t="shared" si="22"/>
        <v/>
      </c>
      <c r="AR373" s="32" t="str">
        <f t="shared" si="23"/>
        <v/>
      </c>
    </row>
    <row r="374" spans="3:44" s="31" customFormat="1" x14ac:dyDescent="0.45">
      <c r="C374" s="31" t="str">
        <f>IFERROR(VLOOKUP($B374,Kraftvärmeprod!$B$1:$AH$479,MATCH(C$2,Kraftvärmeprod!$B$1:$AG$1,0),FALSE)/1,"")</f>
        <v/>
      </c>
      <c r="D374" s="31" t="str">
        <f>IFERROR(VLOOKUP($B374,Kraftvärmeprod!$B$1:$AH$479,MATCH(D$2,Kraftvärmeprod!$B$1:$AG$1,0),FALSE)/1,"")</f>
        <v/>
      </c>
      <c r="F374" s="31" t="str">
        <f>IF($D374="","",IFERROR(VLOOKUP($B374,Kraftvärmeprod!$B$1:$BX$550,MATCH(F$2,Kraftvärmeprod!$B$1:$VX$1,0),FALSE)/1,0)-IFERROR(VLOOKUP($B374,'Slutlig allokering kvv'!$B$2:$BX$550,MATCH(F$2,'Slutlig allokering kvv'!$B$1:$BX$1,0),FALSE)/1,0))</f>
        <v/>
      </c>
      <c r="G374" s="31" t="str">
        <f>IF($D374="","",IFERROR(VLOOKUP($B374,Kraftvärmeprod!$B$1:$BX$550,MATCH(G$2,Kraftvärmeprod!$B$1:$VX$1,0),FALSE)/1,0)-IFERROR(VLOOKUP($B374,'Slutlig allokering kvv'!$B$2:$BX$550,MATCH(G$2,'Slutlig allokering kvv'!$B$1:$BX$1,0),FALSE)/1,0))</f>
        <v/>
      </c>
      <c r="H374" s="31" t="str">
        <f>IF($D374="","",IFERROR(VLOOKUP($B374,Kraftvärmeprod!$B$1:$BX$550,MATCH(H$2,Kraftvärmeprod!$B$1:$VX$1,0),FALSE)/1,0)-IFERROR(VLOOKUP($B374,'Slutlig allokering kvv'!$B$2:$BX$550,MATCH(H$2,'Slutlig allokering kvv'!$B$1:$BX$1,0),FALSE)/1,0))</f>
        <v/>
      </c>
      <c r="I374" s="31" t="str">
        <f>IF($D374="","",IFERROR(VLOOKUP($B374,Kraftvärmeprod!$B$1:$BX$550,MATCH(I$2,Kraftvärmeprod!$B$1:$VX$1,0),FALSE)/1,0)-IFERROR(VLOOKUP($B374,'Slutlig allokering kvv'!$B$2:$BX$550,MATCH(I$2,'Slutlig allokering kvv'!$B$1:$BX$1,0),FALSE)/1,0))</f>
        <v/>
      </c>
      <c r="J374" s="31" t="str">
        <f>IF($D374="","",IFERROR(VLOOKUP($B374,Kraftvärmeprod!$B$1:$BX$550,MATCH(J$2,Kraftvärmeprod!$B$1:$VX$1,0),FALSE)/1,0)-IFERROR(VLOOKUP($B374,'Slutlig allokering kvv'!$B$2:$BX$550,MATCH(J$2,'Slutlig allokering kvv'!$B$1:$BX$1,0),FALSE)/1,0))</f>
        <v/>
      </c>
      <c r="K374" s="31" t="str">
        <f>IF($D374="","",IFERROR(VLOOKUP($B374,Kraftvärmeprod!$B$1:$BX$550,MATCH(K$2,Kraftvärmeprod!$B$1:$VX$1,0),FALSE)/1,0)-IFERROR(VLOOKUP($B374,'Slutlig allokering kvv'!$B$2:$BX$550,MATCH(K$2,'Slutlig allokering kvv'!$B$1:$BX$1,0),FALSE)/1,0))</f>
        <v/>
      </c>
      <c r="L374" s="31" t="str">
        <f>IF($D374="","",IFERROR(VLOOKUP($B374,Kraftvärmeprod!$B$1:$BX$550,MATCH(L$2,Kraftvärmeprod!$B$1:$VX$1,0),FALSE)/1,0)-IFERROR(VLOOKUP($B374,'Slutlig allokering kvv'!$B$2:$BX$550,MATCH(L$2,'Slutlig allokering kvv'!$B$1:$BX$1,0),FALSE)/1,0))</f>
        <v/>
      </c>
      <c r="M374" s="31" t="str">
        <f>IF($D374="","",IFERROR(VLOOKUP($B374,Kraftvärmeprod!$B$1:$BX$550,MATCH(M$2,Kraftvärmeprod!$B$1:$VX$1,0),FALSE)/1,0)-IFERROR(VLOOKUP($B374,'Slutlig allokering kvv'!$B$2:$BX$550,MATCH(M$2,'Slutlig allokering kvv'!$B$1:$BX$1,0),FALSE)/1,0))</f>
        <v/>
      </c>
      <c r="N374" s="31" t="str">
        <f>IF($D374="","",IFERROR(VLOOKUP($B374,Kraftvärmeprod!$B$1:$BX$550,MATCH(N$2,Kraftvärmeprod!$B$1:$VX$1,0),FALSE)/1,0)-IFERROR(VLOOKUP($B374,'Slutlig allokering kvv'!$B$2:$BX$550,MATCH(N$2,'Slutlig allokering kvv'!$B$1:$BX$1,0),FALSE)/1,0))</f>
        <v/>
      </c>
      <c r="O374" s="31" t="str">
        <f>IF($D374="","",IFERROR(VLOOKUP($B374,Kraftvärmeprod!$B$1:$BX$550,MATCH(O$2,Kraftvärmeprod!$B$1:$VX$1,0),FALSE)/1,0)-IFERROR(VLOOKUP($B374,'Slutlig allokering kvv'!$B$2:$BX$550,MATCH(O$2,'Slutlig allokering kvv'!$B$1:$BX$1,0),FALSE)/1,0))</f>
        <v/>
      </c>
      <c r="P374" s="31" t="str">
        <f>IF($D374="","",IFERROR(VLOOKUP($B374,Kraftvärmeprod!$B$1:$BX$550,MATCH(P$2,Kraftvärmeprod!$B$1:$VX$1,0),FALSE)/1,0)-IFERROR(VLOOKUP($B374,'Slutlig allokering kvv'!$B$2:$BX$550,MATCH(P$2,'Slutlig allokering kvv'!$B$1:$BX$1,0),FALSE)/1,0))</f>
        <v/>
      </c>
      <c r="Q374" s="31" t="str">
        <f>IF($D374="","",IFERROR(VLOOKUP($B374,Kraftvärmeprod!$B$1:$BX$550,MATCH(Q$2,Kraftvärmeprod!$B$1:$VX$1,0),FALSE)/1,0)-IFERROR(VLOOKUP($B374,'Slutlig allokering kvv'!$B$2:$BX$550,MATCH(Q$2,'Slutlig allokering kvv'!$B$1:$BX$1,0),FALSE)/1,0))</f>
        <v/>
      </c>
      <c r="R374" s="31" t="str">
        <f>IF($D374="","",IFERROR(VLOOKUP($B374,Kraftvärmeprod!$B$1:$BX$550,MATCH(R$2,Kraftvärmeprod!$B$1:$VX$1,0),FALSE)/1,0)-IFERROR(VLOOKUP($B374,'Slutlig allokering kvv'!$B$2:$BX$550,MATCH(R$2,'Slutlig allokering kvv'!$B$1:$BX$1,0),FALSE)/1,0))</f>
        <v/>
      </c>
      <c r="S374" s="31" t="str">
        <f>IF($D374="","",IFERROR(VLOOKUP($B374,Kraftvärmeprod!$B$1:$BX$550,MATCH(S$2,Kraftvärmeprod!$B$1:$VX$1,0),FALSE)/1,0)-IFERROR(VLOOKUP($B374,'Slutlig allokering kvv'!$B$2:$BX$550,MATCH(S$2,'Slutlig allokering kvv'!$B$1:$BX$1,0),FALSE)/1,0))</f>
        <v/>
      </c>
      <c r="T374" s="31" t="str">
        <f>IF($D374="","",IFERROR(VLOOKUP($B374,Kraftvärmeprod!$B$1:$BX$550,MATCH(T$2,Kraftvärmeprod!$B$1:$VX$1,0),FALSE)/1,0)-IFERROR(VLOOKUP($B374,'Slutlig allokering kvv'!$B$2:$BX$550,MATCH(T$2,'Slutlig allokering kvv'!$B$1:$BX$1,0),FALSE)/1,0))</f>
        <v/>
      </c>
      <c r="U374" s="31" t="str">
        <f>IF($D374="","",IFERROR(VLOOKUP($B374,Kraftvärmeprod!$B$1:$BX$550,MATCH(U$2,Kraftvärmeprod!$B$1:$VX$1,0),FALSE)/1,0)-IFERROR(VLOOKUP($B374,'Slutlig allokering kvv'!$B$2:$BX$550,MATCH(U$2,'Slutlig allokering kvv'!$B$1:$BX$1,0),FALSE)/1,0))</f>
        <v/>
      </c>
      <c r="V374" s="31" t="str">
        <f>IF($D374="","",IFERROR(VLOOKUP($B374,Kraftvärmeprod!$B$1:$BX$550,MATCH(V$2,Kraftvärmeprod!$B$1:$VX$1,0),FALSE)/1,0)-IFERROR(VLOOKUP($B374,'Slutlig allokering kvv'!$B$2:$BX$550,MATCH(V$2,'Slutlig allokering kvv'!$B$1:$BX$1,0),FALSE)/1,0))</f>
        <v/>
      </c>
      <c r="W374" s="31" t="str">
        <f>IF($D374="","",IFERROR(VLOOKUP($B374,Kraftvärmeprod!$B$1:$BX$550,MATCH(W$2,Kraftvärmeprod!$B$1:$VX$1,0),FALSE)/1,0)-IFERROR(VLOOKUP($B374,'Slutlig allokering kvv'!$B$2:$BX$550,MATCH(W$2,'Slutlig allokering kvv'!$B$1:$BX$1,0),FALSE)/1,0))</f>
        <v/>
      </c>
      <c r="X374" s="31" t="str">
        <f>IF($D374="","",IFERROR(VLOOKUP($B374,Kraftvärmeprod!$B$1:$BX$550,MATCH(X$2,Kraftvärmeprod!$B$1:$VX$1,0),FALSE)/1,0)-IFERROR(VLOOKUP($B374,'Slutlig allokering kvv'!$B$2:$BX$550,MATCH(X$2,'Slutlig allokering kvv'!$B$1:$BX$1,0),FALSE)/1,0))</f>
        <v/>
      </c>
      <c r="Y374" s="31" t="str">
        <f>IF($D374="","",IFERROR(VLOOKUP($B374,Kraftvärmeprod!$B$1:$BX$550,MATCH(Y$2,Kraftvärmeprod!$B$1:$VX$1,0),FALSE)/1,0)-IFERROR(VLOOKUP($B374,'Slutlig allokering kvv'!$B$2:$BX$550,MATCH(Y$2,'Slutlig allokering kvv'!$B$1:$BX$1,0),FALSE)/1,0))</f>
        <v/>
      </c>
      <c r="Z374" s="31" t="str">
        <f>IF($D374="","",IFERROR(VLOOKUP($B374,Kraftvärmeprod!$B$1:$BX$550,MATCH(Z$2,Kraftvärmeprod!$B$1:$VX$1,0),FALSE)/1,0)-IFERROR(VLOOKUP($B374,'Slutlig allokering kvv'!$B$2:$BX$550,MATCH(Z$2,'Slutlig allokering kvv'!$B$1:$BX$1,0),FALSE)/1,0))</f>
        <v/>
      </c>
      <c r="AA374" s="31" t="str">
        <f>IF($D374="","",IFERROR(VLOOKUP($B374,Kraftvärmeprod!$B$1:$BX$550,MATCH(AA$2,Kraftvärmeprod!$B$1:$VX$1,0),FALSE)/1,0)-IFERROR(VLOOKUP($B374,'Slutlig allokering kvv'!$B$2:$BX$550,MATCH(AA$2,'Slutlig allokering kvv'!$B$1:$BX$1,0),FALSE)/1,0))</f>
        <v/>
      </c>
      <c r="AB374" s="31" t="str">
        <f>IF($D374="","",IFERROR(VLOOKUP($B374,Kraftvärmeprod!$B$1:$BX$550,MATCH(AB$2,Kraftvärmeprod!$B$1:$VX$1,0),FALSE)/1,0)-IFERROR(VLOOKUP($B374,'Slutlig allokering kvv'!$B$2:$BX$550,MATCH(AB$2,'Slutlig allokering kvv'!$B$1:$BX$1,0),FALSE)/1,0))</f>
        <v/>
      </c>
      <c r="AC374" s="31" t="str">
        <f>IF($D374="","",IFERROR(VLOOKUP($B374,Kraftvärmeprod!$B$1:$BX$550,MATCH(AC$2,Kraftvärmeprod!$B$1:$VX$1,0),FALSE)/1,0)-IFERROR(VLOOKUP($B374,'Slutlig allokering kvv'!$B$2:$BX$550,MATCH(AC$2,'Slutlig allokering kvv'!$B$1:$BX$1,0),FALSE)/1,0))</f>
        <v/>
      </c>
      <c r="AD374" s="31" t="str">
        <f>IF($D374="","",IFERROR(VLOOKUP($B374,Kraftvärmeprod!$B$1:$BX$550,MATCH(AD$2,Kraftvärmeprod!$B$1:$VX$1,0),FALSE)/1,0)-IFERROR(VLOOKUP($B374,'Slutlig allokering kvv'!$B$2:$BX$550,MATCH(AD$2,'Slutlig allokering kvv'!$B$1:$BX$1,0),FALSE)/1,0))</f>
        <v/>
      </c>
      <c r="AE374" s="31" t="str">
        <f>IF($D374="","",IFERROR(VLOOKUP($B374,Miljö!$B$1:$E$550,MATCH("Hjälpel kraftvärme (GWh)",Miljö!$B$1:$E$1,0),FALSE)/1,0)-IFERROR(VLOOKUP($B374,'Slutlig allokering kvv'!$B$2:$BX$549,MATCH(AE$2,'Slutlig allokering kvv'!$B$1:$BX$1,0),FALSE)/1,0))</f>
        <v/>
      </c>
      <c r="AI374" s="39">
        <f t="shared" si="20"/>
        <v>0</v>
      </c>
      <c r="AK374" s="31" t="str">
        <f>IFERROR(VLOOKUP($B374,'Slutlig allokering kvv'!$B$2:$AX$549,MATCH("Summa slutlig allokerad tillförd energi (utan hjälpel och rökgaskondensering):",'Slutlig allokering kvv'!$B$1:$AX$1,0),FALSE)/1,"")</f>
        <v/>
      </c>
      <c r="AM374" s="31" t="str">
        <f>IFERROR(1-VLOOKUP($B374,'Slutlig allokering kvv'!$B$2:$AX$549,MATCH("Andel av bränsle i kvv som allokerats till värme, exklusive rökgaskondensering och hjälpel",'Slutlig allokering kvv'!$B$1:$AX$1,0),FALSE),"")</f>
        <v/>
      </c>
      <c r="AO374" s="31" t="str">
        <f t="shared" si="21"/>
        <v/>
      </c>
      <c r="AP374" s="31" t="str">
        <f t="shared" si="22"/>
        <v/>
      </c>
      <c r="AR374" s="32" t="str">
        <f t="shared" si="23"/>
        <v/>
      </c>
    </row>
    <row r="375" spans="3:44" s="31" customFormat="1" x14ac:dyDescent="0.45">
      <c r="C375" s="31" t="str">
        <f>IFERROR(VLOOKUP($B375,Kraftvärmeprod!$B$1:$AH$479,MATCH(C$2,Kraftvärmeprod!$B$1:$AG$1,0),FALSE)/1,"")</f>
        <v/>
      </c>
      <c r="D375" s="31" t="str">
        <f>IFERROR(VLOOKUP($B375,Kraftvärmeprod!$B$1:$AH$479,MATCH(D$2,Kraftvärmeprod!$B$1:$AG$1,0),FALSE)/1,"")</f>
        <v/>
      </c>
      <c r="F375" s="31" t="str">
        <f>IF($D375="","",IFERROR(VLOOKUP($B375,Kraftvärmeprod!$B$1:$BX$550,MATCH(F$2,Kraftvärmeprod!$B$1:$VX$1,0),FALSE)/1,0)-IFERROR(VLOOKUP($B375,'Slutlig allokering kvv'!$B$2:$BX$550,MATCH(F$2,'Slutlig allokering kvv'!$B$1:$BX$1,0),FALSE)/1,0))</f>
        <v/>
      </c>
      <c r="G375" s="31" t="str">
        <f>IF($D375="","",IFERROR(VLOOKUP($B375,Kraftvärmeprod!$B$1:$BX$550,MATCH(G$2,Kraftvärmeprod!$B$1:$VX$1,0),FALSE)/1,0)-IFERROR(VLOOKUP($B375,'Slutlig allokering kvv'!$B$2:$BX$550,MATCH(G$2,'Slutlig allokering kvv'!$B$1:$BX$1,0),FALSE)/1,0))</f>
        <v/>
      </c>
      <c r="H375" s="31" t="str">
        <f>IF($D375="","",IFERROR(VLOOKUP($B375,Kraftvärmeprod!$B$1:$BX$550,MATCH(H$2,Kraftvärmeprod!$B$1:$VX$1,0),FALSE)/1,0)-IFERROR(VLOOKUP($B375,'Slutlig allokering kvv'!$B$2:$BX$550,MATCH(H$2,'Slutlig allokering kvv'!$B$1:$BX$1,0),FALSE)/1,0))</f>
        <v/>
      </c>
      <c r="I375" s="31" t="str">
        <f>IF($D375="","",IFERROR(VLOOKUP($B375,Kraftvärmeprod!$B$1:$BX$550,MATCH(I$2,Kraftvärmeprod!$B$1:$VX$1,0),FALSE)/1,0)-IFERROR(VLOOKUP($B375,'Slutlig allokering kvv'!$B$2:$BX$550,MATCH(I$2,'Slutlig allokering kvv'!$B$1:$BX$1,0),FALSE)/1,0))</f>
        <v/>
      </c>
      <c r="J375" s="31" t="str">
        <f>IF($D375="","",IFERROR(VLOOKUP($B375,Kraftvärmeprod!$B$1:$BX$550,MATCH(J$2,Kraftvärmeprod!$B$1:$VX$1,0),FALSE)/1,0)-IFERROR(VLOOKUP($B375,'Slutlig allokering kvv'!$B$2:$BX$550,MATCH(J$2,'Slutlig allokering kvv'!$B$1:$BX$1,0),FALSE)/1,0))</f>
        <v/>
      </c>
      <c r="K375" s="31" t="str">
        <f>IF($D375="","",IFERROR(VLOOKUP($B375,Kraftvärmeprod!$B$1:$BX$550,MATCH(K$2,Kraftvärmeprod!$B$1:$VX$1,0),FALSE)/1,0)-IFERROR(VLOOKUP($B375,'Slutlig allokering kvv'!$B$2:$BX$550,MATCH(K$2,'Slutlig allokering kvv'!$B$1:$BX$1,0),FALSE)/1,0))</f>
        <v/>
      </c>
      <c r="L375" s="31" t="str">
        <f>IF($D375="","",IFERROR(VLOOKUP($B375,Kraftvärmeprod!$B$1:$BX$550,MATCH(L$2,Kraftvärmeprod!$B$1:$VX$1,0),FALSE)/1,0)-IFERROR(VLOOKUP($B375,'Slutlig allokering kvv'!$B$2:$BX$550,MATCH(L$2,'Slutlig allokering kvv'!$B$1:$BX$1,0),FALSE)/1,0))</f>
        <v/>
      </c>
      <c r="M375" s="31" t="str">
        <f>IF($D375="","",IFERROR(VLOOKUP($B375,Kraftvärmeprod!$B$1:$BX$550,MATCH(M$2,Kraftvärmeprod!$B$1:$VX$1,0),FALSE)/1,0)-IFERROR(VLOOKUP($B375,'Slutlig allokering kvv'!$B$2:$BX$550,MATCH(M$2,'Slutlig allokering kvv'!$B$1:$BX$1,0),FALSE)/1,0))</f>
        <v/>
      </c>
      <c r="N375" s="31" t="str">
        <f>IF($D375="","",IFERROR(VLOOKUP($B375,Kraftvärmeprod!$B$1:$BX$550,MATCH(N$2,Kraftvärmeprod!$B$1:$VX$1,0),FALSE)/1,0)-IFERROR(VLOOKUP($B375,'Slutlig allokering kvv'!$B$2:$BX$550,MATCH(N$2,'Slutlig allokering kvv'!$B$1:$BX$1,0),FALSE)/1,0))</f>
        <v/>
      </c>
      <c r="O375" s="31" t="str">
        <f>IF($D375="","",IFERROR(VLOOKUP($B375,Kraftvärmeprod!$B$1:$BX$550,MATCH(O$2,Kraftvärmeprod!$B$1:$VX$1,0),FALSE)/1,0)-IFERROR(VLOOKUP($B375,'Slutlig allokering kvv'!$B$2:$BX$550,MATCH(O$2,'Slutlig allokering kvv'!$B$1:$BX$1,0),FALSE)/1,0))</f>
        <v/>
      </c>
      <c r="P375" s="31" t="str">
        <f>IF($D375="","",IFERROR(VLOOKUP($B375,Kraftvärmeprod!$B$1:$BX$550,MATCH(P$2,Kraftvärmeprod!$B$1:$VX$1,0),FALSE)/1,0)-IFERROR(VLOOKUP($B375,'Slutlig allokering kvv'!$B$2:$BX$550,MATCH(P$2,'Slutlig allokering kvv'!$B$1:$BX$1,0),FALSE)/1,0))</f>
        <v/>
      </c>
      <c r="Q375" s="31" t="str">
        <f>IF($D375="","",IFERROR(VLOOKUP($B375,Kraftvärmeprod!$B$1:$BX$550,MATCH(Q$2,Kraftvärmeprod!$B$1:$VX$1,0),FALSE)/1,0)-IFERROR(VLOOKUP($B375,'Slutlig allokering kvv'!$B$2:$BX$550,MATCH(Q$2,'Slutlig allokering kvv'!$B$1:$BX$1,0),FALSE)/1,0))</f>
        <v/>
      </c>
      <c r="R375" s="31" t="str">
        <f>IF($D375="","",IFERROR(VLOOKUP($B375,Kraftvärmeprod!$B$1:$BX$550,MATCH(R$2,Kraftvärmeprod!$B$1:$VX$1,0),FALSE)/1,0)-IFERROR(VLOOKUP($B375,'Slutlig allokering kvv'!$B$2:$BX$550,MATCH(R$2,'Slutlig allokering kvv'!$B$1:$BX$1,0),FALSE)/1,0))</f>
        <v/>
      </c>
      <c r="S375" s="31" t="str">
        <f>IF($D375="","",IFERROR(VLOOKUP($B375,Kraftvärmeprod!$B$1:$BX$550,MATCH(S$2,Kraftvärmeprod!$B$1:$VX$1,0),FALSE)/1,0)-IFERROR(VLOOKUP($B375,'Slutlig allokering kvv'!$B$2:$BX$550,MATCH(S$2,'Slutlig allokering kvv'!$B$1:$BX$1,0),FALSE)/1,0))</f>
        <v/>
      </c>
      <c r="T375" s="31" t="str">
        <f>IF($D375="","",IFERROR(VLOOKUP($B375,Kraftvärmeprod!$B$1:$BX$550,MATCH(T$2,Kraftvärmeprod!$B$1:$VX$1,0),FALSE)/1,0)-IFERROR(VLOOKUP($B375,'Slutlig allokering kvv'!$B$2:$BX$550,MATCH(T$2,'Slutlig allokering kvv'!$B$1:$BX$1,0),FALSE)/1,0))</f>
        <v/>
      </c>
      <c r="U375" s="31" t="str">
        <f>IF($D375="","",IFERROR(VLOOKUP($B375,Kraftvärmeprod!$B$1:$BX$550,MATCH(U$2,Kraftvärmeprod!$B$1:$VX$1,0),FALSE)/1,0)-IFERROR(VLOOKUP($B375,'Slutlig allokering kvv'!$B$2:$BX$550,MATCH(U$2,'Slutlig allokering kvv'!$B$1:$BX$1,0),FALSE)/1,0))</f>
        <v/>
      </c>
      <c r="V375" s="31" t="str">
        <f>IF($D375="","",IFERROR(VLOOKUP($B375,Kraftvärmeprod!$B$1:$BX$550,MATCH(V$2,Kraftvärmeprod!$B$1:$VX$1,0),FALSE)/1,0)-IFERROR(VLOOKUP($B375,'Slutlig allokering kvv'!$B$2:$BX$550,MATCH(V$2,'Slutlig allokering kvv'!$B$1:$BX$1,0),FALSE)/1,0))</f>
        <v/>
      </c>
      <c r="W375" s="31" t="str">
        <f>IF($D375="","",IFERROR(VLOOKUP($B375,Kraftvärmeprod!$B$1:$BX$550,MATCH(W$2,Kraftvärmeprod!$B$1:$VX$1,0),FALSE)/1,0)-IFERROR(VLOOKUP($B375,'Slutlig allokering kvv'!$B$2:$BX$550,MATCH(W$2,'Slutlig allokering kvv'!$B$1:$BX$1,0),FALSE)/1,0))</f>
        <v/>
      </c>
      <c r="X375" s="31" t="str">
        <f>IF($D375="","",IFERROR(VLOOKUP($B375,Kraftvärmeprod!$B$1:$BX$550,MATCH(X$2,Kraftvärmeprod!$B$1:$VX$1,0),FALSE)/1,0)-IFERROR(VLOOKUP($B375,'Slutlig allokering kvv'!$B$2:$BX$550,MATCH(X$2,'Slutlig allokering kvv'!$B$1:$BX$1,0),FALSE)/1,0))</f>
        <v/>
      </c>
      <c r="Y375" s="31" t="str">
        <f>IF($D375="","",IFERROR(VLOOKUP($B375,Kraftvärmeprod!$B$1:$BX$550,MATCH(Y$2,Kraftvärmeprod!$B$1:$VX$1,0),FALSE)/1,0)-IFERROR(VLOOKUP($B375,'Slutlig allokering kvv'!$B$2:$BX$550,MATCH(Y$2,'Slutlig allokering kvv'!$B$1:$BX$1,0),FALSE)/1,0))</f>
        <v/>
      </c>
      <c r="Z375" s="31" t="str">
        <f>IF($D375="","",IFERROR(VLOOKUP($B375,Kraftvärmeprod!$B$1:$BX$550,MATCH(Z$2,Kraftvärmeprod!$B$1:$VX$1,0),FALSE)/1,0)-IFERROR(VLOOKUP($B375,'Slutlig allokering kvv'!$B$2:$BX$550,MATCH(Z$2,'Slutlig allokering kvv'!$B$1:$BX$1,0),FALSE)/1,0))</f>
        <v/>
      </c>
      <c r="AA375" s="31" t="str">
        <f>IF($D375="","",IFERROR(VLOOKUP($B375,Kraftvärmeprod!$B$1:$BX$550,MATCH(AA$2,Kraftvärmeprod!$B$1:$VX$1,0),FALSE)/1,0)-IFERROR(VLOOKUP($B375,'Slutlig allokering kvv'!$B$2:$BX$550,MATCH(AA$2,'Slutlig allokering kvv'!$B$1:$BX$1,0),FALSE)/1,0))</f>
        <v/>
      </c>
      <c r="AB375" s="31" t="str">
        <f>IF($D375="","",IFERROR(VLOOKUP($B375,Kraftvärmeprod!$B$1:$BX$550,MATCH(AB$2,Kraftvärmeprod!$B$1:$VX$1,0),FALSE)/1,0)-IFERROR(VLOOKUP($B375,'Slutlig allokering kvv'!$B$2:$BX$550,MATCH(AB$2,'Slutlig allokering kvv'!$B$1:$BX$1,0),FALSE)/1,0))</f>
        <v/>
      </c>
      <c r="AC375" s="31" t="str">
        <f>IF($D375="","",IFERROR(VLOOKUP($B375,Kraftvärmeprod!$B$1:$BX$550,MATCH(AC$2,Kraftvärmeprod!$B$1:$VX$1,0),FALSE)/1,0)-IFERROR(VLOOKUP($B375,'Slutlig allokering kvv'!$B$2:$BX$550,MATCH(AC$2,'Slutlig allokering kvv'!$B$1:$BX$1,0),FALSE)/1,0))</f>
        <v/>
      </c>
      <c r="AD375" s="31" t="str">
        <f>IF($D375="","",IFERROR(VLOOKUP($B375,Kraftvärmeprod!$B$1:$BX$550,MATCH(AD$2,Kraftvärmeprod!$B$1:$VX$1,0),FALSE)/1,0)-IFERROR(VLOOKUP($B375,'Slutlig allokering kvv'!$B$2:$BX$550,MATCH(AD$2,'Slutlig allokering kvv'!$B$1:$BX$1,0),FALSE)/1,0))</f>
        <v/>
      </c>
      <c r="AE375" s="31" t="str">
        <f>IF($D375="","",IFERROR(VLOOKUP($B375,Miljö!$B$1:$E$550,MATCH("Hjälpel kraftvärme (GWh)",Miljö!$B$1:$E$1,0),FALSE)/1,0)-IFERROR(VLOOKUP($B375,'Slutlig allokering kvv'!$B$2:$BX$549,MATCH(AE$2,'Slutlig allokering kvv'!$B$1:$BX$1,0),FALSE)/1,0))</f>
        <v/>
      </c>
      <c r="AI375" s="39">
        <f t="shared" si="20"/>
        <v>0</v>
      </c>
      <c r="AK375" s="31" t="str">
        <f>IFERROR(VLOOKUP($B375,'Slutlig allokering kvv'!$B$2:$AX$549,MATCH("Summa slutlig allokerad tillförd energi (utan hjälpel och rökgaskondensering):",'Slutlig allokering kvv'!$B$1:$AX$1,0),FALSE)/1,"")</f>
        <v/>
      </c>
      <c r="AM375" s="31" t="str">
        <f>IFERROR(1-VLOOKUP($B375,'Slutlig allokering kvv'!$B$2:$AX$549,MATCH("Andel av bränsle i kvv som allokerats till värme, exklusive rökgaskondensering och hjälpel",'Slutlig allokering kvv'!$B$1:$AX$1,0),FALSE),"")</f>
        <v/>
      </c>
      <c r="AO375" s="31" t="str">
        <f t="shared" si="21"/>
        <v/>
      </c>
      <c r="AP375" s="31" t="str">
        <f t="shared" si="22"/>
        <v/>
      </c>
      <c r="AR375" s="32" t="str">
        <f t="shared" si="23"/>
        <v/>
      </c>
    </row>
    <row r="376" spans="3:44" s="31" customFormat="1" x14ac:dyDescent="0.45">
      <c r="C376" s="31" t="str">
        <f>IFERROR(VLOOKUP($B376,Kraftvärmeprod!$B$1:$AH$479,MATCH(C$2,Kraftvärmeprod!$B$1:$AG$1,0),FALSE)/1,"")</f>
        <v/>
      </c>
      <c r="D376" s="31" t="str">
        <f>IFERROR(VLOOKUP($B376,Kraftvärmeprod!$B$1:$AH$479,MATCH(D$2,Kraftvärmeprod!$B$1:$AG$1,0),FALSE)/1,"")</f>
        <v/>
      </c>
      <c r="F376" s="31" t="str">
        <f>IF($D376="","",IFERROR(VLOOKUP($B376,Kraftvärmeprod!$B$1:$BX$550,MATCH(F$2,Kraftvärmeprod!$B$1:$VX$1,0),FALSE)/1,0)-IFERROR(VLOOKUP($B376,'Slutlig allokering kvv'!$B$2:$BX$550,MATCH(F$2,'Slutlig allokering kvv'!$B$1:$BX$1,0),FALSE)/1,0))</f>
        <v/>
      </c>
      <c r="G376" s="31" t="str">
        <f>IF($D376="","",IFERROR(VLOOKUP($B376,Kraftvärmeprod!$B$1:$BX$550,MATCH(G$2,Kraftvärmeprod!$B$1:$VX$1,0),FALSE)/1,0)-IFERROR(VLOOKUP($B376,'Slutlig allokering kvv'!$B$2:$BX$550,MATCH(G$2,'Slutlig allokering kvv'!$B$1:$BX$1,0),FALSE)/1,0))</f>
        <v/>
      </c>
      <c r="H376" s="31" t="str">
        <f>IF($D376="","",IFERROR(VLOOKUP($B376,Kraftvärmeprod!$B$1:$BX$550,MATCH(H$2,Kraftvärmeprod!$B$1:$VX$1,0),FALSE)/1,0)-IFERROR(VLOOKUP($B376,'Slutlig allokering kvv'!$B$2:$BX$550,MATCH(H$2,'Slutlig allokering kvv'!$B$1:$BX$1,0),FALSE)/1,0))</f>
        <v/>
      </c>
      <c r="I376" s="31" t="str">
        <f>IF($D376="","",IFERROR(VLOOKUP($B376,Kraftvärmeprod!$B$1:$BX$550,MATCH(I$2,Kraftvärmeprod!$B$1:$VX$1,0),FALSE)/1,0)-IFERROR(VLOOKUP($B376,'Slutlig allokering kvv'!$B$2:$BX$550,MATCH(I$2,'Slutlig allokering kvv'!$B$1:$BX$1,0),FALSE)/1,0))</f>
        <v/>
      </c>
      <c r="J376" s="31" t="str">
        <f>IF($D376="","",IFERROR(VLOOKUP($B376,Kraftvärmeprod!$B$1:$BX$550,MATCH(J$2,Kraftvärmeprod!$B$1:$VX$1,0),FALSE)/1,0)-IFERROR(VLOOKUP($B376,'Slutlig allokering kvv'!$B$2:$BX$550,MATCH(J$2,'Slutlig allokering kvv'!$B$1:$BX$1,0),FALSE)/1,0))</f>
        <v/>
      </c>
      <c r="K376" s="31" t="str">
        <f>IF($D376="","",IFERROR(VLOOKUP($B376,Kraftvärmeprod!$B$1:$BX$550,MATCH(K$2,Kraftvärmeprod!$B$1:$VX$1,0),FALSE)/1,0)-IFERROR(VLOOKUP($B376,'Slutlig allokering kvv'!$B$2:$BX$550,MATCH(K$2,'Slutlig allokering kvv'!$B$1:$BX$1,0),FALSE)/1,0))</f>
        <v/>
      </c>
      <c r="L376" s="31" t="str">
        <f>IF($D376="","",IFERROR(VLOOKUP($B376,Kraftvärmeprod!$B$1:$BX$550,MATCH(L$2,Kraftvärmeprod!$B$1:$VX$1,0),FALSE)/1,0)-IFERROR(VLOOKUP($B376,'Slutlig allokering kvv'!$B$2:$BX$550,MATCH(L$2,'Slutlig allokering kvv'!$B$1:$BX$1,0),FALSE)/1,0))</f>
        <v/>
      </c>
      <c r="M376" s="31" t="str">
        <f>IF($D376="","",IFERROR(VLOOKUP($B376,Kraftvärmeprod!$B$1:$BX$550,MATCH(M$2,Kraftvärmeprod!$B$1:$VX$1,0),FALSE)/1,0)-IFERROR(VLOOKUP($B376,'Slutlig allokering kvv'!$B$2:$BX$550,MATCH(M$2,'Slutlig allokering kvv'!$B$1:$BX$1,0),FALSE)/1,0))</f>
        <v/>
      </c>
      <c r="N376" s="31" t="str">
        <f>IF($D376="","",IFERROR(VLOOKUP($B376,Kraftvärmeprod!$B$1:$BX$550,MATCH(N$2,Kraftvärmeprod!$B$1:$VX$1,0),FALSE)/1,0)-IFERROR(VLOOKUP($B376,'Slutlig allokering kvv'!$B$2:$BX$550,MATCH(N$2,'Slutlig allokering kvv'!$B$1:$BX$1,0),FALSE)/1,0))</f>
        <v/>
      </c>
      <c r="O376" s="31" t="str">
        <f>IF($D376="","",IFERROR(VLOOKUP($B376,Kraftvärmeprod!$B$1:$BX$550,MATCH(O$2,Kraftvärmeprod!$B$1:$VX$1,0),FALSE)/1,0)-IFERROR(VLOOKUP($B376,'Slutlig allokering kvv'!$B$2:$BX$550,MATCH(O$2,'Slutlig allokering kvv'!$B$1:$BX$1,0),FALSE)/1,0))</f>
        <v/>
      </c>
      <c r="P376" s="31" t="str">
        <f>IF($D376="","",IFERROR(VLOOKUP($B376,Kraftvärmeprod!$B$1:$BX$550,MATCH(P$2,Kraftvärmeprod!$B$1:$VX$1,0),FALSE)/1,0)-IFERROR(VLOOKUP($B376,'Slutlig allokering kvv'!$B$2:$BX$550,MATCH(P$2,'Slutlig allokering kvv'!$B$1:$BX$1,0),FALSE)/1,0))</f>
        <v/>
      </c>
      <c r="Q376" s="31" t="str">
        <f>IF($D376="","",IFERROR(VLOOKUP($B376,Kraftvärmeprod!$B$1:$BX$550,MATCH(Q$2,Kraftvärmeprod!$B$1:$VX$1,0),FALSE)/1,0)-IFERROR(VLOOKUP($B376,'Slutlig allokering kvv'!$B$2:$BX$550,MATCH(Q$2,'Slutlig allokering kvv'!$B$1:$BX$1,0),FALSE)/1,0))</f>
        <v/>
      </c>
      <c r="R376" s="31" t="str">
        <f>IF($D376="","",IFERROR(VLOOKUP($B376,Kraftvärmeprod!$B$1:$BX$550,MATCH(R$2,Kraftvärmeprod!$B$1:$VX$1,0),FALSE)/1,0)-IFERROR(VLOOKUP($B376,'Slutlig allokering kvv'!$B$2:$BX$550,MATCH(R$2,'Slutlig allokering kvv'!$B$1:$BX$1,0),FALSE)/1,0))</f>
        <v/>
      </c>
      <c r="S376" s="31" t="str">
        <f>IF($D376="","",IFERROR(VLOOKUP($B376,Kraftvärmeprod!$B$1:$BX$550,MATCH(S$2,Kraftvärmeprod!$B$1:$VX$1,0),FALSE)/1,0)-IFERROR(VLOOKUP($B376,'Slutlig allokering kvv'!$B$2:$BX$550,MATCH(S$2,'Slutlig allokering kvv'!$B$1:$BX$1,0),FALSE)/1,0))</f>
        <v/>
      </c>
      <c r="T376" s="31" t="str">
        <f>IF($D376="","",IFERROR(VLOOKUP($B376,Kraftvärmeprod!$B$1:$BX$550,MATCH(T$2,Kraftvärmeprod!$B$1:$VX$1,0),FALSE)/1,0)-IFERROR(VLOOKUP($B376,'Slutlig allokering kvv'!$B$2:$BX$550,MATCH(T$2,'Slutlig allokering kvv'!$B$1:$BX$1,0),FALSE)/1,0))</f>
        <v/>
      </c>
      <c r="U376" s="31" t="str">
        <f>IF($D376="","",IFERROR(VLOOKUP($B376,Kraftvärmeprod!$B$1:$BX$550,MATCH(U$2,Kraftvärmeprod!$B$1:$VX$1,0),FALSE)/1,0)-IFERROR(VLOOKUP($B376,'Slutlig allokering kvv'!$B$2:$BX$550,MATCH(U$2,'Slutlig allokering kvv'!$B$1:$BX$1,0),FALSE)/1,0))</f>
        <v/>
      </c>
      <c r="V376" s="31" t="str">
        <f>IF($D376="","",IFERROR(VLOOKUP($B376,Kraftvärmeprod!$B$1:$BX$550,MATCH(V$2,Kraftvärmeprod!$B$1:$VX$1,0),FALSE)/1,0)-IFERROR(VLOOKUP($B376,'Slutlig allokering kvv'!$B$2:$BX$550,MATCH(V$2,'Slutlig allokering kvv'!$B$1:$BX$1,0),FALSE)/1,0))</f>
        <v/>
      </c>
      <c r="W376" s="31" t="str">
        <f>IF($D376="","",IFERROR(VLOOKUP($B376,Kraftvärmeprod!$B$1:$BX$550,MATCH(W$2,Kraftvärmeprod!$B$1:$VX$1,0),FALSE)/1,0)-IFERROR(VLOOKUP($B376,'Slutlig allokering kvv'!$B$2:$BX$550,MATCH(W$2,'Slutlig allokering kvv'!$B$1:$BX$1,0),FALSE)/1,0))</f>
        <v/>
      </c>
      <c r="X376" s="31" t="str">
        <f>IF($D376="","",IFERROR(VLOOKUP($B376,Kraftvärmeprod!$B$1:$BX$550,MATCH(X$2,Kraftvärmeprod!$B$1:$VX$1,0),FALSE)/1,0)-IFERROR(VLOOKUP($B376,'Slutlig allokering kvv'!$B$2:$BX$550,MATCH(X$2,'Slutlig allokering kvv'!$B$1:$BX$1,0),FALSE)/1,0))</f>
        <v/>
      </c>
      <c r="Y376" s="31" t="str">
        <f>IF($D376="","",IFERROR(VLOOKUP($B376,Kraftvärmeprod!$B$1:$BX$550,MATCH(Y$2,Kraftvärmeprod!$B$1:$VX$1,0),FALSE)/1,0)-IFERROR(VLOOKUP($B376,'Slutlig allokering kvv'!$B$2:$BX$550,MATCH(Y$2,'Slutlig allokering kvv'!$B$1:$BX$1,0),FALSE)/1,0))</f>
        <v/>
      </c>
      <c r="Z376" s="31" t="str">
        <f>IF($D376="","",IFERROR(VLOOKUP($B376,Kraftvärmeprod!$B$1:$BX$550,MATCH(Z$2,Kraftvärmeprod!$B$1:$VX$1,0),FALSE)/1,0)-IFERROR(VLOOKUP($B376,'Slutlig allokering kvv'!$B$2:$BX$550,MATCH(Z$2,'Slutlig allokering kvv'!$B$1:$BX$1,0),FALSE)/1,0))</f>
        <v/>
      </c>
      <c r="AA376" s="31" t="str">
        <f>IF($D376="","",IFERROR(VLOOKUP($B376,Kraftvärmeprod!$B$1:$BX$550,MATCH(AA$2,Kraftvärmeprod!$B$1:$VX$1,0),FALSE)/1,0)-IFERROR(VLOOKUP($B376,'Slutlig allokering kvv'!$B$2:$BX$550,MATCH(AA$2,'Slutlig allokering kvv'!$B$1:$BX$1,0),FALSE)/1,0))</f>
        <v/>
      </c>
      <c r="AB376" s="31" t="str">
        <f>IF($D376="","",IFERROR(VLOOKUP($B376,Kraftvärmeprod!$B$1:$BX$550,MATCH(AB$2,Kraftvärmeprod!$B$1:$VX$1,0),FALSE)/1,0)-IFERROR(VLOOKUP($B376,'Slutlig allokering kvv'!$B$2:$BX$550,MATCH(AB$2,'Slutlig allokering kvv'!$B$1:$BX$1,0),FALSE)/1,0))</f>
        <v/>
      </c>
      <c r="AC376" s="31" t="str">
        <f>IF($D376="","",IFERROR(VLOOKUP($B376,Kraftvärmeprod!$B$1:$BX$550,MATCH(AC$2,Kraftvärmeprod!$B$1:$VX$1,0),FALSE)/1,0)-IFERROR(VLOOKUP($B376,'Slutlig allokering kvv'!$B$2:$BX$550,MATCH(AC$2,'Slutlig allokering kvv'!$B$1:$BX$1,0),FALSE)/1,0))</f>
        <v/>
      </c>
      <c r="AD376" s="31" t="str">
        <f>IF($D376="","",IFERROR(VLOOKUP($B376,Kraftvärmeprod!$B$1:$BX$550,MATCH(AD$2,Kraftvärmeprod!$B$1:$VX$1,0),FALSE)/1,0)-IFERROR(VLOOKUP($B376,'Slutlig allokering kvv'!$B$2:$BX$550,MATCH(AD$2,'Slutlig allokering kvv'!$B$1:$BX$1,0),FALSE)/1,0))</f>
        <v/>
      </c>
      <c r="AE376" s="31" t="str">
        <f>IF($D376="","",IFERROR(VLOOKUP($B376,Miljö!$B$1:$E$550,MATCH("Hjälpel kraftvärme (GWh)",Miljö!$B$1:$E$1,0),FALSE)/1,0)-IFERROR(VLOOKUP($B376,'Slutlig allokering kvv'!$B$2:$BX$549,MATCH(AE$2,'Slutlig allokering kvv'!$B$1:$BX$1,0),FALSE)/1,0))</f>
        <v/>
      </c>
      <c r="AI376" s="39">
        <f t="shared" si="20"/>
        <v>0</v>
      </c>
      <c r="AK376" s="31" t="str">
        <f>IFERROR(VLOOKUP($B376,'Slutlig allokering kvv'!$B$2:$AX$549,MATCH("Summa slutlig allokerad tillförd energi (utan hjälpel och rökgaskondensering):",'Slutlig allokering kvv'!$B$1:$AX$1,0),FALSE)/1,"")</f>
        <v/>
      </c>
      <c r="AM376" s="31" t="str">
        <f>IFERROR(1-VLOOKUP($B376,'Slutlig allokering kvv'!$B$2:$AX$549,MATCH("Andel av bränsle i kvv som allokerats till värme, exklusive rökgaskondensering och hjälpel",'Slutlig allokering kvv'!$B$1:$AX$1,0),FALSE),"")</f>
        <v/>
      </c>
      <c r="AO376" s="31" t="str">
        <f t="shared" si="21"/>
        <v/>
      </c>
      <c r="AP376" s="31" t="str">
        <f t="shared" si="22"/>
        <v/>
      </c>
      <c r="AR376" s="32" t="str">
        <f t="shared" si="23"/>
        <v/>
      </c>
    </row>
    <row r="377" spans="3:44" s="31" customFormat="1" x14ac:dyDescent="0.45">
      <c r="C377" s="31" t="str">
        <f>IFERROR(VLOOKUP($B377,Kraftvärmeprod!$B$1:$AH$479,MATCH(C$2,Kraftvärmeprod!$B$1:$AG$1,0),FALSE)/1,"")</f>
        <v/>
      </c>
      <c r="D377" s="31" t="str">
        <f>IFERROR(VLOOKUP($B377,Kraftvärmeprod!$B$1:$AH$479,MATCH(D$2,Kraftvärmeprod!$B$1:$AG$1,0),FALSE)/1,"")</f>
        <v/>
      </c>
      <c r="F377" s="31" t="str">
        <f>IF($D377="","",IFERROR(VLOOKUP($B377,Kraftvärmeprod!$B$1:$BX$550,MATCH(F$2,Kraftvärmeprod!$B$1:$VX$1,0),FALSE)/1,0)-IFERROR(VLOOKUP($B377,'Slutlig allokering kvv'!$B$2:$BX$550,MATCH(F$2,'Slutlig allokering kvv'!$B$1:$BX$1,0),FALSE)/1,0))</f>
        <v/>
      </c>
      <c r="G377" s="31" t="str">
        <f>IF($D377="","",IFERROR(VLOOKUP($B377,Kraftvärmeprod!$B$1:$BX$550,MATCH(G$2,Kraftvärmeprod!$B$1:$VX$1,0),FALSE)/1,0)-IFERROR(VLOOKUP($B377,'Slutlig allokering kvv'!$B$2:$BX$550,MATCH(G$2,'Slutlig allokering kvv'!$B$1:$BX$1,0),FALSE)/1,0))</f>
        <v/>
      </c>
      <c r="H377" s="31" t="str">
        <f>IF($D377="","",IFERROR(VLOOKUP($B377,Kraftvärmeprod!$B$1:$BX$550,MATCH(H$2,Kraftvärmeprod!$B$1:$VX$1,0),FALSE)/1,0)-IFERROR(VLOOKUP($B377,'Slutlig allokering kvv'!$B$2:$BX$550,MATCH(H$2,'Slutlig allokering kvv'!$B$1:$BX$1,0),FALSE)/1,0))</f>
        <v/>
      </c>
      <c r="I377" s="31" t="str">
        <f>IF($D377="","",IFERROR(VLOOKUP($B377,Kraftvärmeprod!$B$1:$BX$550,MATCH(I$2,Kraftvärmeprod!$B$1:$VX$1,0),FALSE)/1,0)-IFERROR(VLOOKUP($B377,'Slutlig allokering kvv'!$B$2:$BX$550,MATCH(I$2,'Slutlig allokering kvv'!$B$1:$BX$1,0),FALSE)/1,0))</f>
        <v/>
      </c>
      <c r="J377" s="31" t="str">
        <f>IF($D377="","",IFERROR(VLOOKUP($B377,Kraftvärmeprod!$B$1:$BX$550,MATCH(J$2,Kraftvärmeprod!$B$1:$VX$1,0),FALSE)/1,0)-IFERROR(VLOOKUP($B377,'Slutlig allokering kvv'!$B$2:$BX$550,MATCH(J$2,'Slutlig allokering kvv'!$B$1:$BX$1,0),FALSE)/1,0))</f>
        <v/>
      </c>
      <c r="K377" s="31" t="str">
        <f>IF($D377="","",IFERROR(VLOOKUP($B377,Kraftvärmeprod!$B$1:$BX$550,MATCH(K$2,Kraftvärmeprod!$B$1:$VX$1,0),FALSE)/1,0)-IFERROR(VLOOKUP($B377,'Slutlig allokering kvv'!$B$2:$BX$550,MATCH(K$2,'Slutlig allokering kvv'!$B$1:$BX$1,0),FALSE)/1,0))</f>
        <v/>
      </c>
      <c r="L377" s="31" t="str">
        <f>IF($D377="","",IFERROR(VLOOKUP($B377,Kraftvärmeprod!$B$1:$BX$550,MATCH(L$2,Kraftvärmeprod!$B$1:$VX$1,0),FALSE)/1,0)-IFERROR(VLOOKUP($B377,'Slutlig allokering kvv'!$B$2:$BX$550,MATCH(L$2,'Slutlig allokering kvv'!$B$1:$BX$1,0),FALSE)/1,0))</f>
        <v/>
      </c>
      <c r="M377" s="31" t="str">
        <f>IF($D377="","",IFERROR(VLOOKUP($B377,Kraftvärmeprod!$B$1:$BX$550,MATCH(M$2,Kraftvärmeprod!$B$1:$VX$1,0),FALSE)/1,0)-IFERROR(VLOOKUP($B377,'Slutlig allokering kvv'!$B$2:$BX$550,MATCH(M$2,'Slutlig allokering kvv'!$B$1:$BX$1,0),FALSE)/1,0))</f>
        <v/>
      </c>
      <c r="N377" s="31" t="str">
        <f>IF($D377="","",IFERROR(VLOOKUP($B377,Kraftvärmeprod!$B$1:$BX$550,MATCH(N$2,Kraftvärmeprod!$B$1:$VX$1,0),FALSE)/1,0)-IFERROR(VLOOKUP($B377,'Slutlig allokering kvv'!$B$2:$BX$550,MATCH(N$2,'Slutlig allokering kvv'!$B$1:$BX$1,0),FALSE)/1,0))</f>
        <v/>
      </c>
      <c r="O377" s="31" t="str">
        <f>IF($D377="","",IFERROR(VLOOKUP($B377,Kraftvärmeprod!$B$1:$BX$550,MATCH(O$2,Kraftvärmeprod!$B$1:$VX$1,0),FALSE)/1,0)-IFERROR(VLOOKUP($B377,'Slutlig allokering kvv'!$B$2:$BX$550,MATCH(O$2,'Slutlig allokering kvv'!$B$1:$BX$1,0),FALSE)/1,0))</f>
        <v/>
      </c>
      <c r="P377" s="31" t="str">
        <f>IF($D377="","",IFERROR(VLOOKUP($B377,Kraftvärmeprod!$B$1:$BX$550,MATCH(P$2,Kraftvärmeprod!$B$1:$VX$1,0),FALSE)/1,0)-IFERROR(VLOOKUP($B377,'Slutlig allokering kvv'!$B$2:$BX$550,MATCH(P$2,'Slutlig allokering kvv'!$B$1:$BX$1,0),FALSE)/1,0))</f>
        <v/>
      </c>
      <c r="Q377" s="31" t="str">
        <f>IF($D377="","",IFERROR(VLOOKUP($B377,Kraftvärmeprod!$B$1:$BX$550,MATCH(Q$2,Kraftvärmeprod!$B$1:$VX$1,0),FALSE)/1,0)-IFERROR(VLOOKUP($B377,'Slutlig allokering kvv'!$B$2:$BX$550,MATCH(Q$2,'Slutlig allokering kvv'!$B$1:$BX$1,0),FALSE)/1,0))</f>
        <v/>
      </c>
      <c r="R377" s="31" t="str">
        <f>IF($D377="","",IFERROR(VLOOKUP($B377,Kraftvärmeprod!$B$1:$BX$550,MATCH(R$2,Kraftvärmeprod!$B$1:$VX$1,0),FALSE)/1,0)-IFERROR(VLOOKUP($B377,'Slutlig allokering kvv'!$B$2:$BX$550,MATCH(R$2,'Slutlig allokering kvv'!$B$1:$BX$1,0),FALSE)/1,0))</f>
        <v/>
      </c>
      <c r="S377" s="31" t="str">
        <f>IF($D377="","",IFERROR(VLOOKUP($B377,Kraftvärmeprod!$B$1:$BX$550,MATCH(S$2,Kraftvärmeprod!$B$1:$VX$1,0),FALSE)/1,0)-IFERROR(VLOOKUP($B377,'Slutlig allokering kvv'!$B$2:$BX$550,MATCH(S$2,'Slutlig allokering kvv'!$B$1:$BX$1,0),FALSE)/1,0))</f>
        <v/>
      </c>
      <c r="T377" s="31" t="str">
        <f>IF($D377="","",IFERROR(VLOOKUP($B377,Kraftvärmeprod!$B$1:$BX$550,MATCH(T$2,Kraftvärmeprod!$B$1:$VX$1,0),FALSE)/1,0)-IFERROR(VLOOKUP($B377,'Slutlig allokering kvv'!$B$2:$BX$550,MATCH(T$2,'Slutlig allokering kvv'!$B$1:$BX$1,0),FALSE)/1,0))</f>
        <v/>
      </c>
      <c r="U377" s="31" t="str">
        <f>IF($D377="","",IFERROR(VLOOKUP($B377,Kraftvärmeprod!$B$1:$BX$550,MATCH(U$2,Kraftvärmeprod!$B$1:$VX$1,0),FALSE)/1,0)-IFERROR(VLOOKUP($B377,'Slutlig allokering kvv'!$B$2:$BX$550,MATCH(U$2,'Slutlig allokering kvv'!$B$1:$BX$1,0),FALSE)/1,0))</f>
        <v/>
      </c>
      <c r="V377" s="31" t="str">
        <f>IF($D377="","",IFERROR(VLOOKUP($B377,Kraftvärmeprod!$B$1:$BX$550,MATCH(V$2,Kraftvärmeprod!$B$1:$VX$1,0),FALSE)/1,0)-IFERROR(VLOOKUP($B377,'Slutlig allokering kvv'!$B$2:$BX$550,MATCH(V$2,'Slutlig allokering kvv'!$B$1:$BX$1,0),FALSE)/1,0))</f>
        <v/>
      </c>
      <c r="W377" s="31" t="str">
        <f>IF($D377="","",IFERROR(VLOOKUP($B377,Kraftvärmeprod!$B$1:$BX$550,MATCH(W$2,Kraftvärmeprod!$B$1:$VX$1,0),FALSE)/1,0)-IFERROR(VLOOKUP($B377,'Slutlig allokering kvv'!$B$2:$BX$550,MATCH(W$2,'Slutlig allokering kvv'!$B$1:$BX$1,0),FALSE)/1,0))</f>
        <v/>
      </c>
      <c r="X377" s="31" t="str">
        <f>IF($D377="","",IFERROR(VLOOKUP($B377,Kraftvärmeprod!$B$1:$BX$550,MATCH(X$2,Kraftvärmeprod!$B$1:$VX$1,0),FALSE)/1,0)-IFERROR(VLOOKUP($B377,'Slutlig allokering kvv'!$B$2:$BX$550,MATCH(X$2,'Slutlig allokering kvv'!$B$1:$BX$1,0),FALSE)/1,0))</f>
        <v/>
      </c>
      <c r="Y377" s="31" t="str">
        <f>IF($D377="","",IFERROR(VLOOKUP($B377,Kraftvärmeprod!$B$1:$BX$550,MATCH(Y$2,Kraftvärmeprod!$B$1:$VX$1,0),FALSE)/1,0)-IFERROR(VLOOKUP($B377,'Slutlig allokering kvv'!$B$2:$BX$550,MATCH(Y$2,'Slutlig allokering kvv'!$B$1:$BX$1,0),FALSE)/1,0))</f>
        <v/>
      </c>
      <c r="Z377" s="31" t="str">
        <f>IF($D377="","",IFERROR(VLOOKUP($B377,Kraftvärmeprod!$B$1:$BX$550,MATCH(Z$2,Kraftvärmeprod!$B$1:$VX$1,0),FALSE)/1,0)-IFERROR(VLOOKUP($B377,'Slutlig allokering kvv'!$B$2:$BX$550,MATCH(Z$2,'Slutlig allokering kvv'!$B$1:$BX$1,0),FALSE)/1,0))</f>
        <v/>
      </c>
      <c r="AA377" s="31" t="str">
        <f>IF($D377="","",IFERROR(VLOOKUP($B377,Kraftvärmeprod!$B$1:$BX$550,MATCH(AA$2,Kraftvärmeprod!$B$1:$VX$1,0),FALSE)/1,0)-IFERROR(VLOOKUP($B377,'Slutlig allokering kvv'!$B$2:$BX$550,MATCH(AA$2,'Slutlig allokering kvv'!$B$1:$BX$1,0),FALSE)/1,0))</f>
        <v/>
      </c>
      <c r="AB377" s="31" t="str">
        <f>IF($D377="","",IFERROR(VLOOKUP($B377,Kraftvärmeprod!$B$1:$BX$550,MATCH(AB$2,Kraftvärmeprod!$B$1:$VX$1,0),FALSE)/1,0)-IFERROR(VLOOKUP($B377,'Slutlig allokering kvv'!$B$2:$BX$550,MATCH(AB$2,'Slutlig allokering kvv'!$B$1:$BX$1,0),FALSE)/1,0))</f>
        <v/>
      </c>
      <c r="AC377" s="31" t="str">
        <f>IF($D377="","",IFERROR(VLOOKUP($B377,Kraftvärmeprod!$B$1:$BX$550,MATCH(AC$2,Kraftvärmeprod!$B$1:$VX$1,0),FALSE)/1,0)-IFERROR(VLOOKUP($B377,'Slutlig allokering kvv'!$B$2:$BX$550,MATCH(AC$2,'Slutlig allokering kvv'!$B$1:$BX$1,0),FALSE)/1,0))</f>
        <v/>
      </c>
      <c r="AD377" s="31" t="str">
        <f>IF($D377="","",IFERROR(VLOOKUP($B377,Kraftvärmeprod!$B$1:$BX$550,MATCH(AD$2,Kraftvärmeprod!$B$1:$VX$1,0),FALSE)/1,0)-IFERROR(VLOOKUP($B377,'Slutlig allokering kvv'!$B$2:$BX$550,MATCH(AD$2,'Slutlig allokering kvv'!$B$1:$BX$1,0),FALSE)/1,0))</f>
        <v/>
      </c>
      <c r="AE377" s="31" t="str">
        <f>IF($D377="","",IFERROR(VLOOKUP($B377,Miljö!$B$1:$E$550,MATCH("Hjälpel kraftvärme (GWh)",Miljö!$B$1:$E$1,0),FALSE)/1,0)-IFERROR(VLOOKUP($B377,'Slutlig allokering kvv'!$B$2:$BX$549,MATCH(AE$2,'Slutlig allokering kvv'!$B$1:$BX$1,0),FALSE)/1,0))</f>
        <v/>
      </c>
      <c r="AI377" s="39">
        <f t="shared" si="20"/>
        <v>0</v>
      </c>
      <c r="AK377" s="31" t="str">
        <f>IFERROR(VLOOKUP($B377,'Slutlig allokering kvv'!$B$2:$AX$549,MATCH("Summa slutlig allokerad tillförd energi (utan hjälpel och rökgaskondensering):",'Slutlig allokering kvv'!$B$1:$AX$1,0),FALSE)/1,"")</f>
        <v/>
      </c>
      <c r="AM377" s="31" t="str">
        <f>IFERROR(1-VLOOKUP($B377,'Slutlig allokering kvv'!$B$2:$AX$549,MATCH("Andel av bränsle i kvv som allokerats till värme, exklusive rökgaskondensering och hjälpel",'Slutlig allokering kvv'!$B$1:$AX$1,0),FALSE),"")</f>
        <v/>
      </c>
      <c r="AO377" s="31" t="str">
        <f t="shared" si="21"/>
        <v/>
      </c>
      <c r="AP377" s="31" t="str">
        <f t="shared" si="22"/>
        <v/>
      </c>
      <c r="AR377" s="32" t="str">
        <f t="shared" si="23"/>
        <v/>
      </c>
    </row>
    <row r="378" spans="3:44" s="31" customFormat="1" x14ac:dyDescent="0.45">
      <c r="C378" s="31" t="str">
        <f>IFERROR(VLOOKUP($B378,Kraftvärmeprod!$B$1:$AH$479,MATCH(C$2,Kraftvärmeprod!$B$1:$AG$1,0),FALSE)/1,"")</f>
        <v/>
      </c>
      <c r="D378" s="31" t="str">
        <f>IFERROR(VLOOKUP($B378,Kraftvärmeprod!$B$1:$AH$479,MATCH(D$2,Kraftvärmeprod!$B$1:$AG$1,0),FALSE)/1,"")</f>
        <v/>
      </c>
      <c r="F378" s="31" t="str">
        <f>IF($D378="","",IFERROR(VLOOKUP($B378,Kraftvärmeprod!$B$1:$BX$550,MATCH(F$2,Kraftvärmeprod!$B$1:$VX$1,0),FALSE)/1,0)-IFERROR(VLOOKUP($B378,'Slutlig allokering kvv'!$B$2:$BX$550,MATCH(F$2,'Slutlig allokering kvv'!$B$1:$BX$1,0),FALSE)/1,0))</f>
        <v/>
      </c>
      <c r="G378" s="31" t="str">
        <f>IF($D378="","",IFERROR(VLOOKUP($B378,Kraftvärmeprod!$B$1:$BX$550,MATCH(G$2,Kraftvärmeprod!$B$1:$VX$1,0),FALSE)/1,0)-IFERROR(VLOOKUP($B378,'Slutlig allokering kvv'!$B$2:$BX$550,MATCH(G$2,'Slutlig allokering kvv'!$B$1:$BX$1,0),FALSE)/1,0))</f>
        <v/>
      </c>
      <c r="H378" s="31" t="str">
        <f>IF($D378="","",IFERROR(VLOOKUP($B378,Kraftvärmeprod!$B$1:$BX$550,MATCH(H$2,Kraftvärmeprod!$B$1:$VX$1,0),FALSE)/1,0)-IFERROR(VLOOKUP($B378,'Slutlig allokering kvv'!$B$2:$BX$550,MATCH(H$2,'Slutlig allokering kvv'!$B$1:$BX$1,0),FALSE)/1,0))</f>
        <v/>
      </c>
      <c r="I378" s="31" t="str">
        <f>IF($D378="","",IFERROR(VLOOKUP($B378,Kraftvärmeprod!$B$1:$BX$550,MATCH(I$2,Kraftvärmeprod!$B$1:$VX$1,0),FALSE)/1,0)-IFERROR(VLOOKUP($B378,'Slutlig allokering kvv'!$B$2:$BX$550,MATCH(I$2,'Slutlig allokering kvv'!$B$1:$BX$1,0),FALSE)/1,0))</f>
        <v/>
      </c>
      <c r="J378" s="31" t="str">
        <f>IF($D378="","",IFERROR(VLOOKUP($B378,Kraftvärmeprod!$B$1:$BX$550,MATCH(J$2,Kraftvärmeprod!$B$1:$VX$1,0),FALSE)/1,0)-IFERROR(VLOOKUP($B378,'Slutlig allokering kvv'!$B$2:$BX$550,MATCH(J$2,'Slutlig allokering kvv'!$B$1:$BX$1,0),FALSE)/1,0))</f>
        <v/>
      </c>
      <c r="K378" s="31" t="str">
        <f>IF($D378="","",IFERROR(VLOOKUP($B378,Kraftvärmeprod!$B$1:$BX$550,MATCH(K$2,Kraftvärmeprod!$B$1:$VX$1,0),FALSE)/1,0)-IFERROR(VLOOKUP($B378,'Slutlig allokering kvv'!$B$2:$BX$550,MATCH(K$2,'Slutlig allokering kvv'!$B$1:$BX$1,0),FALSE)/1,0))</f>
        <v/>
      </c>
      <c r="L378" s="31" t="str">
        <f>IF($D378="","",IFERROR(VLOOKUP($B378,Kraftvärmeprod!$B$1:$BX$550,MATCH(L$2,Kraftvärmeprod!$B$1:$VX$1,0),FALSE)/1,0)-IFERROR(VLOOKUP($B378,'Slutlig allokering kvv'!$B$2:$BX$550,MATCH(L$2,'Slutlig allokering kvv'!$B$1:$BX$1,0),FALSE)/1,0))</f>
        <v/>
      </c>
      <c r="M378" s="31" t="str">
        <f>IF($D378="","",IFERROR(VLOOKUP($B378,Kraftvärmeprod!$B$1:$BX$550,MATCH(M$2,Kraftvärmeprod!$B$1:$VX$1,0),FALSE)/1,0)-IFERROR(VLOOKUP($B378,'Slutlig allokering kvv'!$B$2:$BX$550,MATCH(M$2,'Slutlig allokering kvv'!$B$1:$BX$1,0),FALSE)/1,0))</f>
        <v/>
      </c>
      <c r="N378" s="31" t="str">
        <f>IF($D378="","",IFERROR(VLOOKUP($B378,Kraftvärmeprod!$B$1:$BX$550,MATCH(N$2,Kraftvärmeprod!$B$1:$VX$1,0),FALSE)/1,0)-IFERROR(VLOOKUP($B378,'Slutlig allokering kvv'!$B$2:$BX$550,MATCH(N$2,'Slutlig allokering kvv'!$B$1:$BX$1,0),FALSE)/1,0))</f>
        <v/>
      </c>
      <c r="O378" s="31" t="str">
        <f>IF($D378="","",IFERROR(VLOOKUP($B378,Kraftvärmeprod!$B$1:$BX$550,MATCH(O$2,Kraftvärmeprod!$B$1:$VX$1,0),FALSE)/1,0)-IFERROR(VLOOKUP($B378,'Slutlig allokering kvv'!$B$2:$BX$550,MATCH(O$2,'Slutlig allokering kvv'!$B$1:$BX$1,0),FALSE)/1,0))</f>
        <v/>
      </c>
      <c r="P378" s="31" t="str">
        <f>IF($D378="","",IFERROR(VLOOKUP($B378,Kraftvärmeprod!$B$1:$BX$550,MATCH(P$2,Kraftvärmeprod!$B$1:$VX$1,0),FALSE)/1,0)-IFERROR(VLOOKUP($B378,'Slutlig allokering kvv'!$B$2:$BX$550,MATCH(P$2,'Slutlig allokering kvv'!$B$1:$BX$1,0),FALSE)/1,0))</f>
        <v/>
      </c>
      <c r="Q378" s="31" t="str">
        <f>IF($D378="","",IFERROR(VLOOKUP($B378,Kraftvärmeprod!$B$1:$BX$550,MATCH(Q$2,Kraftvärmeprod!$B$1:$VX$1,0),FALSE)/1,0)-IFERROR(VLOOKUP($B378,'Slutlig allokering kvv'!$B$2:$BX$550,MATCH(Q$2,'Slutlig allokering kvv'!$B$1:$BX$1,0),FALSE)/1,0))</f>
        <v/>
      </c>
      <c r="R378" s="31" t="str">
        <f>IF($D378="","",IFERROR(VLOOKUP($B378,Kraftvärmeprod!$B$1:$BX$550,MATCH(R$2,Kraftvärmeprod!$B$1:$VX$1,0),FALSE)/1,0)-IFERROR(VLOOKUP($B378,'Slutlig allokering kvv'!$B$2:$BX$550,MATCH(R$2,'Slutlig allokering kvv'!$B$1:$BX$1,0),FALSE)/1,0))</f>
        <v/>
      </c>
      <c r="S378" s="31" t="str">
        <f>IF($D378="","",IFERROR(VLOOKUP($B378,Kraftvärmeprod!$B$1:$BX$550,MATCH(S$2,Kraftvärmeprod!$B$1:$VX$1,0),FALSE)/1,0)-IFERROR(VLOOKUP($B378,'Slutlig allokering kvv'!$B$2:$BX$550,MATCH(S$2,'Slutlig allokering kvv'!$B$1:$BX$1,0),FALSE)/1,0))</f>
        <v/>
      </c>
      <c r="T378" s="31" t="str">
        <f>IF($D378="","",IFERROR(VLOOKUP($B378,Kraftvärmeprod!$B$1:$BX$550,MATCH(T$2,Kraftvärmeprod!$B$1:$VX$1,0),FALSE)/1,0)-IFERROR(VLOOKUP($B378,'Slutlig allokering kvv'!$B$2:$BX$550,MATCH(T$2,'Slutlig allokering kvv'!$B$1:$BX$1,0),FALSE)/1,0))</f>
        <v/>
      </c>
      <c r="U378" s="31" t="str">
        <f>IF($D378="","",IFERROR(VLOOKUP($B378,Kraftvärmeprod!$B$1:$BX$550,MATCH(U$2,Kraftvärmeprod!$B$1:$VX$1,0),FALSE)/1,0)-IFERROR(VLOOKUP($B378,'Slutlig allokering kvv'!$B$2:$BX$550,MATCH(U$2,'Slutlig allokering kvv'!$B$1:$BX$1,0),FALSE)/1,0))</f>
        <v/>
      </c>
      <c r="V378" s="31" t="str">
        <f>IF($D378="","",IFERROR(VLOOKUP($B378,Kraftvärmeprod!$B$1:$BX$550,MATCH(V$2,Kraftvärmeprod!$B$1:$VX$1,0),FALSE)/1,0)-IFERROR(VLOOKUP($B378,'Slutlig allokering kvv'!$B$2:$BX$550,MATCH(V$2,'Slutlig allokering kvv'!$B$1:$BX$1,0),FALSE)/1,0))</f>
        <v/>
      </c>
      <c r="W378" s="31" t="str">
        <f>IF($D378="","",IFERROR(VLOOKUP($B378,Kraftvärmeprod!$B$1:$BX$550,MATCH(W$2,Kraftvärmeprod!$B$1:$VX$1,0),FALSE)/1,0)-IFERROR(VLOOKUP($B378,'Slutlig allokering kvv'!$B$2:$BX$550,MATCH(W$2,'Slutlig allokering kvv'!$B$1:$BX$1,0),FALSE)/1,0))</f>
        <v/>
      </c>
      <c r="X378" s="31" t="str">
        <f>IF($D378="","",IFERROR(VLOOKUP($B378,Kraftvärmeprod!$B$1:$BX$550,MATCH(X$2,Kraftvärmeprod!$B$1:$VX$1,0),FALSE)/1,0)-IFERROR(VLOOKUP($B378,'Slutlig allokering kvv'!$B$2:$BX$550,MATCH(X$2,'Slutlig allokering kvv'!$B$1:$BX$1,0),FALSE)/1,0))</f>
        <v/>
      </c>
      <c r="Y378" s="31" t="str">
        <f>IF($D378="","",IFERROR(VLOOKUP($B378,Kraftvärmeprod!$B$1:$BX$550,MATCH(Y$2,Kraftvärmeprod!$B$1:$VX$1,0),FALSE)/1,0)-IFERROR(VLOOKUP($B378,'Slutlig allokering kvv'!$B$2:$BX$550,MATCH(Y$2,'Slutlig allokering kvv'!$B$1:$BX$1,0),FALSE)/1,0))</f>
        <v/>
      </c>
      <c r="Z378" s="31" t="str">
        <f>IF($D378="","",IFERROR(VLOOKUP($B378,Kraftvärmeprod!$B$1:$BX$550,MATCH(Z$2,Kraftvärmeprod!$B$1:$VX$1,0),FALSE)/1,0)-IFERROR(VLOOKUP($B378,'Slutlig allokering kvv'!$B$2:$BX$550,MATCH(Z$2,'Slutlig allokering kvv'!$B$1:$BX$1,0),FALSE)/1,0))</f>
        <v/>
      </c>
      <c r="AA378" s="31" t="str">
        <f>IF($D378="","",IFERROR(VLOOKUP($B378,Kraftvärmeprod!$B$1:$BX$550,MATCH(AA$2,Kraftvärmeprod!$B$1:$VX$1,0),FALSE)/1,0)-IFERROR(VLOOKUP($B378,'Slutlig allokering kvv'!$B$2:$BX$550,MATCH(AA$2,'Slutlig allokering kvv'!$B$1:$BX$1,0),FALSE)/1,0))</f>
        <v/>
      </c>
      <c r="AB378" s="31" t="str">
        <f>IF($D378="","",IFERROR(VLOOKUP($B378,Kraftvärmeprod!$B$1:$BX$550,MATCH(AB$2,Kraftvärmeprod!$B$1:$VX$1,0),FALSE)/1,0)-IFERROR(VLOOKUP($B378,'Slutlig allokering kvv'!$B$2:$BX$550,MATCH(AB$2,'Slutlig allokering kvv'!$B$1:$BX$1,0),FALSE)/1,0))</f>
        <v/>
      </c>
      <c r="AC378" s="31" t="str">
        <f>IF($D378="","",IFERROR(VLOOKUP($B378,Kraftvärmeprod!$B$1:$BX$550,MATCH(AC$2,Kraftvärmeprod!$B$1:$VX$1,0),FALSE)/1,0)-IFERROR(VLOOKUP($B378,'Slutlig allokering kvv'!$B$2:$BX$550,MATCH(AC$2,'Slutlig allokering kvv'!$B$1:$BX$1,0),FALSE)/1,0))</f>
        <v/>
      </c>
      <c r="AD378" s="31" t="str">
        <f>IF($D378="","",IFERROR(VLOOKUP($B378,Kraftvärmeprod!$B$1:$BX$550,MATCH(AD$2,Kraftvärmeprod!$B$1:$VX$1,0),FALSE)/1,0)-IFERROR(VLOOKUP($B378,'Slutlig allokering kvv'!$B$2:$BX$550,MATCH(AD$2,'Slutlig allokering kvv'!$B$1:$BX$1,0),FALSE)/1,0))</f>
        <v/>
      </c>
      <c r="AE378" s="31" t="str">
        <f>IF($D378="","",IFERROR(VLOOKUP($B378,Miljö!$B$1:$E$550,MATCH("Hjälpel kraftvärme (GWh)",Miljö!$B$1:$E$1,0),FALSE)/1,0)-IFERROR(VLOOKUP($B378,'Slutlig allokering kvv'!$B$2:$BX$549,MATCH(AE$2,'Slutlig allokering kvv'!$B$1:$BX$1,0),FALSE)/1,0))</f>
        <v/>
      </c>
      <c r="AI378" s="39">
        <f t="shared" si="20"/>
        <v>0</v>
      </c>
      <c r="AK378" s="31" t="str">
        <f>IFERROR(VLOOKUP($B378,'Slutlig allokering kvv'!$B$2:$AX$549,MATCH("Summa slutlig allokerad tillförd energi (utan hjälpel och rökgaskondensering):",'Slutlig allokering kvv'!$B$1:$AX$1,0),FALSE)/1,"")</f>
        <v/>
      </c>
      <c r="AM378" s="31" t="str">
        <f>IFERROR(1-VLOOKUP($B378,'Slutlig allokering kvv'!$B$2:$AX$549,MATCH("Andel av bränsle i kvv som allokerats till värme, exklusive rökgaskondensering och hjälpel",'Slutlig allokering kvv'!$B$1:$AX$1,0),FALSE),"")</f>
        <v/>
      </c>
      <c r="AO378" s="31" t="str">
        <f t="shared" si="21"/>
        <v/>
      </c>
      <c r="AP378" s="31" t="str">
        <f t="shared" si="22"/>
        <v/>
      </c>
      <c r="AR378" s="32" t="str">
        <f t="shared" si="23"/>
        <v/>
      </c>
    </row>
    <row r="379" spans="3:44" s="31" customFormat="1" x14ac:dyDescent="0.45">
      <c r="C379" s="31" t="str">
        <f>IFERROR(VLOOKUP($B379,Kraftvärmeprod!$B$1:$AH$479,MATCH(C$2,Kraftvärmeprod!$B$1:$AG$1,0),FALSE)/1,"")</f>
        <v/>
      </c>
      <c r="D379" s="31" t="str">
        <f>IFERROR(VLOOKUP($B379,Kraftvärmeprod!$B$1:$AH$479,MATCH(D$2,Kraftvärmeprod!$B$1:$AG$1,0),FALSE)/1,"")</f>
        <v/>
      </c>
      <c r="F379" s="31" t="str">
        <f>IF($D379="","",IFERROR(VLOOKUP($B379,Kraftvärmeprod!$B$1:$BX$550,MATCH(F$2,Kraftvärmeprod!$B$1:$VX$1,0),FALSE)/1,0)-IFERROR(VLOOKUP($B379,'Slutlig allokering kvv'!$B$2:$BX$550,MATCH(F$2,'Slutlig allokering kvv'!$B$1:$BX$1,0),FALSE)/1,0))</f>
        <v/>
      </c>
      <c r="G379" s="31" t="str">
        <f>IF($D379="","",IFERROR(VLOOKUP($B379,Kraftvärmeprod!$B$1:$BX$550,MATCH(G$2,Kraftvärmeprod!$B$1:$VX$1,0),FALSE)/1,0)-IFERROR(VLOOKUP($B379,'Slutlig allokering kvv'!$B$2:$BX$550,MATCH(G$2,'Slutlig allokering kvv'!$B$1:$BX$1,0),FALSE)/1,0))</f>
        <v/>
      </c>
      <c r="H379" s="31" t="str">
        <f>IF($D379="","",IFERROR(VLOOKUP($B379,Kraftvärmeprod!$B$1:$BX$550,MATCH(H$2,Kraftvärmeprod!$B$1:$VX$1,0),FALSE)/1,0)-IFERROR(VLOOKUP($B379,'Slutlig allokering kvv'!$B$2:$BX$550,MATCH(H$2,'Slutlig allokering kvv'!$B$1:$BX$1,0),FALSE)/1,0))</f>
        <v/>
      </c>
      <c r="I379" s="31" t="str">
        <f>IF($D379="","",IFERROR(VLOOKUP($B379,Kraftvärmeprod!$B$1:$BX$550,MATCH(I$2,Kraftvärmeprod!$B$1:$VX$1,0),FALSE)/1,0)-IFERROR(VLOOKUP($B379,'Slutlig allokering kvv'!$B$2:$BX$550,MATCH(I$2,'Slutlig allokering kvv'!$B$1:$BX$1,0),FALSE)/1,0))</f>
        <v/>
      </c>
      <c r="J379" s="31" t="str">
        <f>IF($D379="","",IFERROR(VLOOKUP($B379,Kraftvärmeprod!$B$1:$BX$550,MATCH(J$2,Kraftvärmeprod!$B$1:$VX$1,0),FALSE)/1,0)-IFERROR(VLOOKUP($B379,'Slutlig allokering kvv'!$B$2:$BX$550,MATCH(J$2,'Slutlig allokering kvv'!$B$1:$BX$1,0),FALSE)/1,0))</f>
        <v/>
      </c>
      <c r="K379" s="31" t="str">
        <f>IF($D379="","",IFERROR(VLOOKUP($B379,Kraftvärmeprod!$B$1:$BX$550,MATCH(K$2,Kraftvärmeprod!$B$1:$VX$1,0),FALSE)/1,0)-IFERROR(VLOOKUP($B379,'Slutlig allokering kvv'!$B$2:$BX$550,MATCH(K$2,'Slutlig allokering kvv'!$B$1:$BX$1,0),FALSE)/1,0))</f>
        <v/>
      </c>
      <c r="L379" s="31" t="str">
        <f>IF($D379="","",IFERROR(VLOOKUP($B379,Kraftvärmeprod!$B$1:$BX$550,MATCH(L$2,Kraftvärmeprod!$B$1:$VX$1,0),FALSE)/1,0)-IFERROR(VLOOKUP($B379,'Slutlig allokering kvv'!$B$2:$BX$550,MATCH(L$2,'Slutlig allokering kvv'!$B$1:$BX$1,0),FALSE)/1,0))</f>
        <v/>
      </c>
      <c r="M379" s="31" t="str">
        <f>IF($D379="","",IFERROR(VLOOKUP($B379,Kraftvärmeprod!$B$1:$BX$550,MATCH(M$2,Kraftvärmeprod!$B$1:$VX$1,0),FALSE)/1,0)-IFERROR(VLOOKUP($B379,'Slutlig allokering kvv'!$B$2:$BX$550,MATCH(M$2,'Slutlig allokering kvv'!$B$1:$BX$1,0),FALSE)/1,0))</f>
        <v/>
      </c>
      <c r="N379" s="31" t="str">
        <f>IF($D379="","",IFERROR(VLOOKUP($B379,Kraftvärmeprod!$B$1:$BX$550,MATCH(N$2,Kraftvärmeprod!$B$1:$VX$1,0),FALSE)/1,0)-IFERROR(VLOOKUP($B379,'Slutlig allokering kvv'!$B$2:$BX$550,MATCH(N$2,'Slutlig allokering kvv'!$B$1:$BX$1,0),FALSE)/1,0))</f>
        <v/>
      </c>
      <c r="O379" s="31" t="str">
        <f>IF($D379="","",IFERROR(VLOOKUP($B379,Kraftvärmeprod!$B$1:$BX$550,MATCH(O$2,Kraftvärmeprod!$B$1:$VX$1,0),FALSE)/1,0)-IFERROR(VLOOKUP($B379,'Slutlig allokering kvv'!$B$2:$BX$550,MATCH(O$2,'Slutlig allokering kvv'!$B$1:$BX$1,0),FALSE)/1,0))</f>
        <v/>
      </c>
      <c r="P379" s="31" t="str">
        <f>IF($D379="","",IFERROR(VLOOKUP($B379,Kraftvärmeprod!$B$1:$BX$550,MATCH(P$2,Kraftvärmeprod!$B$1:$VX$1,0),FALSE)/1,0)-IFERROR(VLOOKUP($B379,'Slutlig allokering kvv'!$B$2:$BX$550,MATCH(P$2,'Slutlig allokering kvv'!$B$1:$BX$1,0),FALSE)/1,0))</f>
        <v/>
      </c>
      <c r="Q379" s="31" t="str">
        <f>IF($D379="","",IFERROR(VLOOKUP($B379,Kraftvärmeprod!$B$1:$BX$550,MATCH(Q$2,Kraftvärmeprod!$B$1:$VX$1,0),FALSE)/1,0)-IFERROR(VLOOKUP($B379,'Slutlig allokering kvv'!$B$2:$BX$550,MATCH(Q$2,'Slutlig allokering kvv'!$B$1:$BX$1,0),FALSE)/1,0))</f>
        <v/>
      </c>
      <c r="R379" s="31" t="str">
        <f>IF($D379="","",IFERROR(VLOOKUP($B379,Kraftvärmeprod!$B$1:$BX$550,MATCH(R$2,Kraftvärmeprod!$B$1:$VX$1,0),FALSE)/1,0)-IFERROR(VLOOKUP($B379,'Slutlig allokering kvv'!$B$2:$BX$550,MATCH(R$2,'Slutlig allokering kvv'!$B$1:$BX$1,0),FALSE)/1,0))</f>
        <v/>
      </c>
      <c r="S379" s="31" t="str">
        <f>IF($D379="","",IFERROR(VLOOKUP($B379,Kraftvärmeprod!$B$1:$BX$550,MATCH(S$2,Kraftvärmeprod!$B$1:$VX$1,0),FALSE)/1,0)-IFERROR(VLOOKUP($B379,'Slutlig allokering kvv'!$B$2:$BX$550,MATCH(S$2,'Slutlig allokering kvv'!$B$1:$BX$1,0),FALSE)/1,0))</f>
        <v/>
      </c>
      <c r="T379" s="31" t="str">
        <f>IF($D379="","",IFERROR(VLOOKUP($B379,Kraftvärmeprod!$B$1:$BX$550,MATCH(T$2,Kraftvärmeprod!$B$1:$VX$1,0),FALSE)/1,0)-IFERROR(VLOOKUP($B379,'Slutlig allokering kvv'!$B$2:$BX$550,MATCH(T$2,'Slutlig allokering kvv'!$B$1:$BX$1,0),FALSE)/1,0))</f>
        <v/>
      </c>
      <c r="U379" s="31" t="str">
        <f>IF($D379="","",IFERROR(VLOOKUP($B379,Kraftvärmeprod!$B$1:$BX$550,MATCH(U$2,Kraftvärmeprod!$B$1:$VX$1,0),FALSE)/1,0)-IFERROR(VLOOKUP($B379,'Slutlig allokering kvv'!$B$2:$BX$550,MATCH(U$2,'Slutlig allokering kvv'!$B$1:$BX$1,0),FALSE)/1,0))</f>
        <v/>
      </c>
      <c r="V379" s="31" t="str">
        <f>IF($D379="","",IFERROR(VLOOKUP($B379,Kraftvärmeprod!$B$1:$BX$550,MATCH(V$2,Kraftvärmeprod!$B$1:$VX$1,0),FALSE)/1,0)-IFERROR(VLOOKUP($B379,'Slutlig allokering kvv'!$B$2:$BX$550,MATCH(V$2,'Slutlig allokering kvv'!$B$1:$BX$1,0),FALSE)/1,0))</f>
        <v/>
      </c>
      <c r="W379" s="31" t="str">
        <f>IF($D379="","",IFERROR(VLOOKUP($B379,Kraftvärmeprod!$B$1:$BX$550,MATCH(W$2,Kraftvärmeprod!$B$1:$VX$1,0),FALSE)/1,0)-IFERROR(VLOOKUP($B379,'Slutlig allokering kvv'!$B$2:$BX$550,MATCH(W$2,'Slutlig allokering kvv'!$B$1:$BX$1,0),FALSE)/1,0))</f>
        <v/>
      </c>
      <c r="X379" s="31" t="str">
        <f>IF($D379="","",IFERROR(VLOOKUP($B379,Kraftvärmeprod!$B$1:$BX$550,MATCH(X$2,Kraftvärmeprod!$B$1:$VX$1,0),FALSE)/1,0)-IFERROR(VLOOKUP($B379,'Slutlig allokering kvv'!$B$2:$BX$550,MATCH(X$2,'Slutlig allokering kvv'!$B$1:$BX$1,0),FALSE)/1,0))</f>
        <v/>
      </c>
      <c r="Y379" s="31" t="str">
        <f>IF($D379="","",IFERROR(VLOOKUP($B379,Kraftvärmeprod!$B$1:$BX$550,MATCH(Y$2,Kraftvärmeprod!$B$1:$VX$1,0),FALSE)/1,0)-IFERROR(VLOOKUP($B379,'Slutlig allokering kvv'!$B$2:$BX$550,MATCH(Y$2,'Slutlig allokering kvv'!$B$1:$BX$1,0),FALSE)/1,0))</f>
        <v/>
      </c>
      <c r="Z379" s="31" t="str">
        <f>IF($D379="","",IFERROR(VLOOKUP($B379,Kraftvärmeprod!$B$1:$BX$550,MATCH(Z$2,Kraftvärmeprod!$B$1:$VX$1,0),FALSE)/1,0)-IFERROR(VLOOKUP($B379,'Slutlig allokering kvv'!$B$2:$BX$550,MATCH(Z$2,'Slutlig allokering kvv'!$B$1:$BX$1,0),FALSE)/1,0))</f>
        <v/>
      </c>
      <c r="AA379" s="31" t="str">
        <f>IF($D379="","",IFERROR(VLOOKUP($B379,Kraftvärmeprod!$B$1:$BX$550,MATCH(AA$2,Kraftvärmeprod!$B$1:$VX$1,0),FALSE)/1,0)-IFERROR(VLOOKUP($B379,'Slutlig allokering kvv'!$B$2:$BX$550,MATCH(AA$2,'Slutlig allokering kvv'!$B$1:$BX$1,0),FALSE)/1,0))</f>
        <v/>
      </c>
      <c r="AB379" s="31" t="str">
        <f>IF($D379="","",IFERROR(VLOOKUP($B379,Kraftvärmeprod!$B$1:$BX$550,MATCH(AB$2,Kraftvärmeprod!$B$1:$VX$1,0),FALSE)/1,0)-IFERROR(VLOOKUP($B379,'Slutlig allokering kvv'!$B$2:$BX$550,MATCH(AB$2,'Slutlig allokering kvv'!$B$1:$BX$1,0),FALSE)/1,0))</f>
        <v/>
      </c>
      <c r="AC379" s="31" t="str">
        <f>IF($D379="","",IFERROR(VLOOKUP($B379,Kraftvärmeprod!$B$1:$BX$550,MATCH(AC$2,Kraftvärmeprod!$B$1:$VX$1,0),FALSE)/1,0)-IFERROR(VLOOKUP($B379,'Slutlig allokering kvv'!$B$2:$BX$550,MATCH(AC$2,'Slutlig allokering kvv'!$B$1:$BX$1,0),FALSE)/1,0))</f>
        <v/>
      </c>
      <c r="AD379" s="31" t="str">
        <f>IF($D379="","",IFERROR(VLOOKUP($B379,Kraftvärmeprod!$B$1:$BX$550,MATCH(AD$2,Kraftvärmeprod!$B$1:$VX$1,0),FALSE)/1,0)-IFERROR(VLOOKUP($B379,'Slutlig allokering kvv'!$B$2:$BX$550,MATCH(AD$2,'Slutlig allokering kvv'!$B$1:$BX$1,0),FALSE)/1,0))</f>
        <v/>
      </c>
      <c r="AE379" s="31" t="str">
        <f>IF($D379="","",IFERROR(VLOOKUP($B379,Miljö!$B$1:$E$550,MATCH("Hjälpel kraftvärme (GWh)",Miljö!$B$1:$E$1,0),FALSE)/1,0)-IFERROR(VLOOKUP($B379,'Slutlig allokering kvv'!$B$2:$BX$549,MATCH(AE$2,'Slutlig allokering kvv'!$B$1:$BX$1,0),FALSE)/1,0))</f>
        <v/>
      </c>
      <c r="AI379" s="39">
        <f t="shared" si="20"/>
        <v>0</v>
      </c>
      <c r="AK379" s="31" t="str">
        <f>IFERROR(VLOOKUP($B379,'Slutlig allokering kvv'!$B$2:$AX$549,MATCH("Summa slutlig allokerad tillförd energi (utan hjälpel och rökgaskondensering):",'Slutlig allokering kvv'!$B$1:$AX$1,0),FALSE)/1,"")</f>
        <v/>
      </c>
      <c r="AM379" s="31" t="str">
        <f>IFERROR(1-VLOOKUP($B379,'Slutlig allokering kvv'!$B$2:$AX$549,MATCH("Andel av bränsle i kvv som allokerats till värme, exklusive rökgaskondensering och hjälpel",'Slutlig allokering kvv'!$B$1:$AX$1,0),FALSE),"")</f>
        <v/>
      </c>
      <c r="AO379" s="31" t="str">
        <f t="shared" si="21"/>
        <v/>
      </c>
      <c r="AP379" s="31" t="str">
        <f t="shared" si="22"/>
        <v/>
      </c>
      <c r="AR379" s="32" t="str">
        <f t="shared" si="23"/>
        <v/>
      </c>
    </row>
    <row r="380" spans="3:44" s="31" customFormat="1" x14ac:dyDescent="0.45">
      <c r="C380" s="31" t="str">
        <f>IFERROR(VLOOKUP($B380,Kraftvärmeprod!$B$1:$AH$479,MATCH(C$2,Kraftvärmeprod!$B$1:$AG$1,0),FALSE)/1,"")</f>
        <v/>
      </c>
      <c r="D380" s="31" t="str">
        <f>IFERROR(VLOOKUP($B380,Kraftvärmeprod!$B$1:$AH$479,MATCH(D$2,Kraftvärmeprod!$B$1:$AG$1,0),FALSE)/1,"")</f>
        <v/>
      </c>
      <c r="F380" s="31" t="str">
        <f>IF($D380="","",IFERROR(VLOOKUP($B380,Kraftvärmeprod!$B$1:$BX$550,MATCH(F$2,Kraftvärmeprod!$B$1:$VX$1,0),FALSE)/1,0)-IFERROR(VLOOKUP($B380,'Slutlig allokering kvv'!$B$2:$BX$550,MATCH(F$2,'Slutlig allokering kvv'!$B$1:$BX$1,0),FALSE)/1,0))</f>
        <v/>
      </c>
      <c r="G380" s="31" t="str">
        <f>IF($D380="","",IFERROR(VLOOKUP($B380,Kraftvärmeprod!$B$1:$BX$550,MATCH(G$2,Kraftvärmeprod!$B$1:$VX$1,0),FALSE)/1,0)-IFERROR(VLOOKUP($B380,'Slutlig allokering kvv'!$B$2:$BX$550,MATCH(G$2,'Slutlig allokering kvv'!$B$1:$BX$1,0),FALSE)/1,0))</f>
        <v/>
      </c>
      <c r="H380" s="31" t="str">
        <f>IF($D380="","",IFERROR(VLOOKUP($B380,Kraftvärmeprod!$B$1:$BX$550,MATCH(H$2,Kraftvärmeprod!$B$1:$VX$1,0),FALSE)/1,0)-IFERROR(VLOOKUP($B380,'Slutlig allokering kvv'!$B$2:$BX$550,MATCH(H$2,'Slutlig allokering kvv'!$B$1:$BX$1,0),FALSE)/1,0))</f>
        <v/>
      </c>
      <c r="I380" s="31" t="str">
        <f>IF($D380="","",IFERROR(VLOOKUP($B380,Kraftvärmeprod!$B$1:$BX$550,MATCH(I$2,Kraftvärmeprod!$B$1:$VX$1,0),FALSE)/1,0)-IFERROR(VLOOKUP($B380,'Slutlig allokering kvv'!$B$2:$BX$550,MATCH(I$2,'Slutlig allokering kvv'!$B$1:$BX$1,0),FALSE)/1,0))</f>
        <v/>
      </c>
      <c r="J380" s="31" t="str">
        <f>IF($D380="","",IFERROR(VLOOKUP($B380,Kraftvärmeprod!$B$1:$BX$550,MATCH(J$2,Kraftvärmeprod!$B$1:$VX$1,0),FALSE)/1,0)-IFERROR(VLOOKUP($B380,'Slutlig allokering kvv'!$B$2:$BX$550,MATCH(J$2,'Slutlig allokering kvv'!$B$1:$BX$1,0),FALSE)/1,0))</f>
        <v/>
      </c>
      <c r="K380" s="31" t="str">
        <f>IF($D380="","",IFERROR(VLOOKUP($B380,Kraftvärmeprod!$B$1:$BX$550,MATCH(K$2,Kraftvärmeprod!$B$1:$VX$1,0),FALSE)/1,0)-IFERROR(VLOOKUP($B380,'Slutlig allokering kvv'!$B$2:$BX$550,MATCH(K$2,'Slutlig allokering kvv'!$B$1:$BX$1,0),FALSE)/1,0))</f>
        <v/>
      </c>
      <c r="L380" s="31" t="str">
        <f>IF($D380="","",IFERROR(VLOOKUP($B380,Kraftvärmeprod!$B$1:$BX$550,MATCH(L$2,Kraftvärmeprod!$B$1:$VX$1,0),FALSE)/1,0)-IFERROR(VLOOKUP($B380,'Slutlig allokering kvv'!$B$2:$BX$550,MATCH(L$2,'Slutlig allokering kvv'!$B$1:$BX$1,0),FALSE)/1,0))</f>
        <v/>
      </c>
      <c r="M380" s="31" t="str">
        <f>IF($D380="","",IFERROR(VLOOKUP($B380,Kraftvärmeprod!$B$1:$BX$550,MATCH(M$2,Kraftvärmeprod!$B$1:$VX$1,0),FALSE)/1,0)-IFERROR(VLOOKUP($B380,'Slutlig allokering kvv'!$B$2:$BX$550,MATCH(M$2,'Slutlig allokering kvv'!$B$1:$BX$1,0),FALSE)/1,0))</f>
        <v/>
      </c>
      <c r="N380" s="31" t="str">
        <f>IF($D380="","",IFERROR(VLOOKUP($B380,Kraftvärmeprod!$B$1:$BX$550,MATCH(N$2,Kraftvärmeprod!$B$1:$VX$1,0),FALSE)/1,0)-IFERROR(VLOOKUP($B380,'Slutlig allokering kvv'!$B$2:$BX$550,MATCH(N$2,'Slutlig allokering kvv'!$B$1:$BX$1,0),FALSE)/1,0))</f>
        <v/>
      </c>
      <c r="O380" s="31" t="str">
        <f>IF($D380="","",IFERROR(VLOOKUP($B380,Kraftvärmeprod!$B$1:$BX$550,MATCH(O$2,Kraftvärmeprod!$B$1:$VX$1,0),FALSE)/1,0)-IFERROR(VLOOKUP($B380,'Slutlig allokering kvv'!$B$2:$BX$550,MATCH(O$2,'Slutlig allokering kvv'!$B$1:$BX$1,0),FALSE)/1,0))</f>
        <v/>
      </c>
      <c r="P380" s="31" t="str">
        <f>IF($D380="","",IFERROR(VLOOKUP($B380,Kraftvärmeprod!$B$1:$BX$550,MATCH(P$2,Kraftvärmeprod!$B$1:$VX$1,0),FALSE)/1,0)-IFERROR(VLOOKUP($B380,'Slutlig allokering kvv'!$B$2:$BX$550,MATCH(P$2,'Slutlig allokering kvv'!$B$1:$BX$1,0),FALSE)/1,0))</f>
        <v/>
      </c>
      <c r="Q380" s="31" t="str">
        <f>IF($D380="","",IFERROR(VLOOKUP($B380,Kraftvärmeprod!$B$1:$BX$550,MATCH(Q$2,Kraftvärmeprod!$B$1:$VX$1,0),FALSE)/1,0)-IFERROR(VLOOKUP($B380,'Slutlig allokering kvv'!$B$2:$BX$550,MATCH(Q$2,'Slutlig allokering kvv'!$B$1:$BX$1,0),FALSE)/1,0))</f>
        <v/>
      </c>
      <c r="R380" s="31" t="str">
        <f>IF($D380="","",IFERROR(VLOOKUP($B380,Kraftvärmeprod!$B$1:$BX$550,MATCH(R$2,Kraftvärmeprod!$B$1:$VX$1,0),FALSE)/1,0)-IFERROR(VLOOKUP($B380,'Slutlig allokering kvv'!$B$2:$BX$550,MATCH(R$2,'Slutlig allokering kvv'!$B$1:$BX$1,0),FALSE)/1,0))</f>
        <v/>
      </c>
      <c r="S380" s="31" t="str">
        <f>IF($D380="","",IFERROR(VLOOKUP($B380,Kraftvärmeprod!$B$1:$BX$550,MATCH(S$2,Kraftvärmeprod!$B$1:$VX$1,0),FALSE)/1,0)-IFERROR(VLOOKUP($B380,'Slutlig allokering kvv'!$B$2:$BX$550,MATCH(S$2,'Slutlig allokering kvv'!$B$1:$BX$1,0),FALSE)/1,0))</f>
        <v/>
      </c>
      <c r="T380" s="31" t="str">
        <f>IF($D380="","",IFERROR(VLOOKUP($B380,Kraftvärmeprod!$B$1:$BX$550,MATCH(T$2,Kraftvärmeprod!$B$1:$VX$1,0),FALSE)/1,0)-IFERROR(VLOOKUP($B380,'Slutlig allokering kvv'!$B$2:$BX$550,MATCH(T$2,'Slutlig allokering kvv'!$B$1:$BX$1,0),FALSE)/1,0))</f>
        <v/>
      </c>
      <c r="U380" s="31" t="str">
        <f>IF($D380="","",IFERROR(VLOOKUP($B380,Kraftvärmeprod!$B$1:$BX$550,MATCH(U$2,Kraftvärmeprod!$B$1:$VX$1,0),FALSE)/1,0)-IFERROR(VLOOKUP($B380,'Slutlig allokering kvv'!$B$2:$BX$550,MATCH(U$2,'Slutlig allokering kvv'!$B$1:$BX$1,0),FALSE)/1,0))</f>
        <v/>
      </c>
      <c r="V380" s="31" t="str">
        <f>IF($D380="","",IFERROR(VLOOKUP($B380,Kraftvärmeprod!$B$1:$BX$550,MATCH(V$2,Kraftvärmeprod!$B$1:$VX$1,0),FALSE)/1,0)-IFERROR(VLOOKUP($B380,'Slutlig allokering kvv'!$B$2:$BX$550,MATCH(V$2,'Slutlig allokering kvv'!$B$1:$BX$1,0),FALSE)/1,0))</f>
        <v/>
      </c>
      <c r="W380" s="31" t="str">
        <f>IF($D380="","",IFERROR(VLOOKUP($B380,Kraftvärmeprod!$B$1:$BX$550,MATCH(W$2,Kraftvärmeprod!$B$1:$VX$1,0),FALSE)/1,0)-IFERROR(VLOOKUP($B380,'Slutlig allokering kvv'!$B$2:$BX$550,MATCH(W$2,'Slutlig allokering kvv'!$B$1:$BX$1,0),FALSE)/1,0))</f>
        <v/>
      </c>
      <c r="X380" s="31" t="str">
        <f>IF($D380="","",IFERROR(VLOOKUP($B380,Kraftvärmeprod!$B$1:$BX$550,MATCH(X$2,Kraftvärmeprod!$B$1:$VX$1,0),FALSE)/1,0)-IFERROR(VLOOKUP($B380,'Slutlig allokering kvv'!$B$2:$BX$550,MATCH(X$2,'Slutlig allokering kvv'!$B$1:$BX$1,0),FALSE)/1,0))</f>
        <v/>
      </c>
      <c r="Y380" s="31" t="str">
        <f>IF($D380="","",IFERROR(VLOOKUP($B380,Kraftvärmeprod!$B$1:$BX$550,MATCH(Y$2,Kraftvärmeprod!$B$1:$VX$1,0),FALSE)/1,0)-IFERROR(VLOOKUP($B380,'Slutlig allokering kvv'!$B$2:$BX$550,MATCH(Y$2,'Slutlig allokering kvv'!$B$1:$BX$1,0),FALSE)/1,0))</f>
        <v/>
      </c>
      <c r="Z380" s="31" t="str">
        <f>IF($D380="","",IFERROR(VLOOKUP($B380,Kraftvärmeprod!$B$1:$BX$550,MATCH(Z$2,Kraftvärmeprod!$B$1:$VX$1,0),FALSE)/1,0)-IFERROR(VLOOKUP($B380,'Slutlig allokering kvv'!$B$2:$BX$550,MATCH(Z$2,'Slutlig allokering kvv'!$B$1:$BX$1,0),FALSE)/1,0))</f>
        <v/>
      </c>
      <c r="AA380" s="31" t="str">
        <f>IF($D380="","",IFERROR(VLOOKUP($B380,Kraftvärmeprod!$B$1:$BX$550,MATCH(AA$2,Kraftvärmeprod!$B$1:$VX$1,0),FALSE)/1,0)-IFERROR(VLOOKUP($B380,'Slutlig allokering kvv'!$B$2:$BX$550,MATCH(AA$2,'Slutlig allokering kvv'!$B$1:$BX$1,0),FALSE)/1,0))</f>
        <v/>
      </c>
      <c r="AB380" s="31" t="str">
        <f>IF($D380="","",IFERROR(VLOOKUP($B380,Kraftvärmeprod!$B$1:$BX$550,MATCH(AB$2,Kraftvärmeprod!$B$1:$VX$1,0),FALSE)/1,0)-IFERROR(VLOOKUP($B380,'Slutlig allokering kvv'!$B$2:$BX$550,MATCH(AB$2,'Slutlig allokering kvv'!$B$1:$BX$1,0),FALSE)/1,0))</f>
        <v/>
      </c>
      <c r="AC380" s="31" t="str">
        <f>IF($D380="","",IFERROR(VLOOKUP($B380,Kraftvärmeprod!$B$1:$BX$550,MATCH(AC$2,Kraftvärmeprod!$B$1:$VX$1,0),FALSE)/1,0)-IFERROR(VLOOKUP($B380,'Slutlig allokering kvv'!$B$2:$BX$550,MATCH(AC$2,'Slutlig allokering kvv'!$B$1:$BX$1,0),FALSE)/1,0))</f>
        <v/>
      </c>
      <c r="AD380" s="31" t="str">
        <f>IF($D380="","",IFERROR(VLOOKUP($B380,Kraftvärmeprod!$B$1:$BX$550,MATCH(AD$2,Kraftvärmeprod!$B$1:$VX$1,0),FALSE)/1,0)-IFERROR(VLOOKUP($B380,'Slutlig allokering kvv'!$B$2:$BX$550,MATCH(AD$2,'Slutlig allokering kvv'!$B$1:$BX$1,0),FALSE)/1,0))</f>
        <v/>
      </c>
      <c r="AE380" s="31" t="str">
        <f>IF($D380="","",IFERROR(VLOOKUP($B380,Miljö!$B$1:$E$550,MATCH("Hjälpel kraftvärme (GWh)",Miljö!$B$1:$E$1,0),FALSE)/1,0)-IFERROR(VLOOKUP($B380,'Slutlig allokering kvv'!$B$2:$BX$549,MATCH(AE$2,'Slutlig allokering kvv'!$B$1:$BX$1,0),FALSE)/1,0))</f>
        <v/>
      </c>
      <c r="AI380" s="39">
        <f t="shared" si="20"/>
        <v>0</v>
      </c>
      <c r="AK380" s="31" t="str">
        <f>IFERROR(VLOOKUP($B380,'Slutlig allokering kvv'!$B$2:$AX$549,MATCH("Summa slutlig allokerad tillförd energi (utan hjälpel och rökgaskondensering):",'Slutlig allokering kvv'!$B$1:$AX$1,0),FALSE)/1,"")</f>
        <v/>
      </c>
      <c r="AM380" s="31" t="str">
        <f>IFERROR(1-VLOOKUP($B380,'Slutlig allokering kvv'!$B$2:$AX$549,MATCH("Andel av bränsle i kvv som allokerats till värme, exklusive rökgaskondensering och hjälpel",'Slutlig allokering kvv'!$B$1:$AX$1,0),FALSE),"")</f>
        <v/>
      </c>
      <c r="AO380" s="31" t="str">
        <f t="shared" si="21"/>
        <v/>
      </c>
      <c r="AP380" s="31" t="str">
        <f t="shared" si="22"/>
        <v/>
      </c>
      <c r="AR380" s="32" t="str">
        <f t="shared" si="23"/>
        <v/>
      </c>
    </row>
    <row r="381" spans="3:44" s="31" customFormat="1" x14ac:dyDescent="0.45">
      <c r="C381" s="31" t="str">
        <f>IFERROR(VLOOKUP($B381,Kraftvärmeprod!$B$1:$AH$479,MATCH(C$2,Kraftvärmeprod!$B$1:$AG$1,0),FALSE)/1,"")</f>
        <v/>
      </c>
      <c r="D381" s="31" t="str">
        <f>IFERROR(VLOOKUP($B381,Kraftvärmeprod!$B$1:$AH$479,MATCH(D$2,Kraftvärmeprod!$B$1:$AG$1,0),FALSE)/1,"")</f>
        <v/>
      </c>
      <c r="F381" s="31" t="str">
        <f>IF($D381="","",IFERROR(VLOOKUP($B381,Kraftvärmeprod!$B$1:$BX$550,MATCH(F$2,Kraftvärmeprod!$B$1:$VX$1,0),FALSE)/1,0)-IFERROR(VLOOKUP($B381,'Slutlig allokering kvv'!$B$2:$BX$550,MATCH(F$2,'Slutlig allokering kvv'!$B$1:$BX$1,0),FALSE)/1,0))</f>
        <v/>
      </c>
      <c r="G381" s="31" t="str">
        <f>IF($D381="","",IFERROR(VLOOKUP($B381,Kraftvärmeprod!$B$1:$BX$550,MATCH(G$2,Kraftvärmeprod!$B$1:$VX$1,0),FALSE)/1,0)-IFERROR(VLOOKUP($B381,'Slutlig allokering kvv'!$B$2:$BX$550,MATCH(G$2,'Slutlig allokering kvv'!$B$1:$BX$1,0),FALSE)/1,0))</f>
        <v/>
      </c>
      <c r="H381" s="31" t="str">
        <f>IF($D381="","",IFERROR(VLOOKUP($B381,Kraftvärmeprod!$B$1:$BX$550,MATCH(H$2,Kraftvärmeprod!$B$1:$VX$1,0),FALSE)/1,0)-IFERROR(VLOOKUP($B381,'Slutlig allokering kvv'!$B$2:$BX$550,MATCH(H$2,'Slutlig allokering kvv'!$B$1:$BX$1,0),FALSE)/1,0))</f>
        <v/>
      </c>
      <c r="I381" s="31" t="str">
        <f>IF($D381="","",IFERROR(VLOOKUP($B381,Kraftvärmeprod!$B$1:$BX$550,MATCH(I$2,Kraftvärmeprod!$B$1:$VX$1,0),FALSE)/1,0)-IFERROR(VLOOKUP($B381,'Slutlig allokering kvv'!$B$2:$BX$550,MATCH(I$2,'Slutlig allokering kvv'!$B$1:$BX$1,0),FALSE)/1,0))</f>
        <v/>
      </c>
      <c r="J381" s="31" t="str">
        <f>IF($D381="","",IFERROR(VLOOKUP($B381,Kraftvärmeprod!$B$1:$BX$550,MATCH(J$2,Kraftvärmeprod!$B$1:$VX$1,0),FALSE)/1,0)-IFERROR(VLOOKUP($B381,'Slutlig allokering kvv'!$B$2:$BX$550,MATCH(J$2,'Slutlig allokering kvv'!$B$1:$BX$1,0),FALSE)/1,0))</f>
        <v/>
      </c>
      <c r="K381" s="31" t="str">
        <f>IF($D381="","",IFERROR(VLOOKUP($B381,Kraftvärmeprod!$B$1:$BX$550,MATCH(K$2,Kraftvärmeprod!$B$1:$VX$1,0),FALSE)/1,0)-IFERROR(VLOOKUP($B381,'Slutlig allokering kvv'!$B$2:$BX$550,MATCH(K$2,'Slutlig allokering kvv'!$B$1:$BX$1,0),FALSE)/1,0))</f>
        <v/>
      </c>
      <c r="L381" s="31" t="str">
        <f>IF($D381="","",IFERROR(VLOOKUP($B381,Kraftvärmeprod!$B$1:$BX$550,MATCH(L$2,Kraftvärmeprod!$B$1:$VX$1,0),FALSE)/1,0)-IFERROR(VLOOKUP($B381,'Slutlig allokering kvv'!$B$2:$BX$550,MATCH(L$2,'Slutlig allokering kvv'!$B$1:$BX$1,0),FALSE)/1,0))</f>
        <v/>
      </c>
      <c r="M381" s="31" t="str">
        <f>IF($D381="","",IFERROR(VLOOKUP($B381,Kraftvärmeprod!$B$1:$BX$550,MATCH(M$2,Kraftvärmeprod!$B$1:$VX$1,0),FALSE)/1,0)-IFERROR(VLOOKUP($B381,'Slutlig allokering kvv'!$B$2:$BX$550,MATCH(M$2,'Slutlig allokering kvv'!$B$1:$BX$1,0),FALSE)/1,0))</f>
        <v/>
      </c>
      <c r="N381" s="31" t="str">
        <f>IF($D381="","",IFERROR(VLOOKUP($B381,Kraftvärmeprod!$B$1:$BX$550,MATCH(N$2,Kraftvärmeprod!$B$1:$VX$1,0),FALSE)/1,0)-IFERROR(VLOOKUP($B381,'Slutlig allokering kvv'!$B$2:$BX$550,MATCH(N$2,'Slutlig allokering kvv'!$B$1:$BX$1,0),FALSE)/1,0))</f>
        <v/>
      </c>
      <c r="O381" s="31" t="str">
        <f>IF($D381="","",IFERROR(VLOOKUP($B381,Kraftvärmeprod!$B$1:$BX$550,MATCH(O$2,Kraftvärmeprod!$B$1:$VX$1,0),FALSE)/1,0)-IFERROR(VLOOKUP($B381,'Slutlig allokering kvv'!$B$2:$BX$550,MATCH(O$2,'Slutlig allokering kvv'!$B$1:$BX$1,0),FALSE)/1,0))</f>
        <v/>
      </c>
      <c r="P381" s="31" t="str">
        <f>IF($D381="","",IFERROR(VLOOKUP($B381,Kraftvärmeprod!$B$1:$BX$550,MATCH(P$2,Kraftvärmeprod!$B$1:$VX$1,0),FALSE)/1,0)-IFERROR(VLOOKUP($B381,'Slutlig allokering kvv'!$B$2:$BX$550,MATCH(P$2,'Slutlig allokering kvv'!$B$1:$BX$1,0),FALSE)/1,0))</f>
        <v/>
      </c>
      <c r="Q381" s="31" t="str">
        <f>IF($D381="","",IFERROR(VLOOKUP($B381,Kraftvärmeprod!$B$1:$BX$550,MATCH(Q$2,Kraftvärmeprod!$B$1:$VX$1,0),FALSE)/1,0)-IFERROR(VLOOKUP($B381,'Slutlig allokering kvv'!$B$2:$BX$550,MATCH(Q$2,'Slutlig allokering kvv'!$B$1:$BX$1,0),FALSE)/1,0))</f>
        <v/>
      </c>
      <c r="R381" s="31" t="str">
        <f>IF($D381="","",IFERROR(VLOOKUP($B381,Kraftvärmeprod!$B$1:$BX$550,MATCH(R$2,Kraftvärmeprod!$B$1:$VX$1,0),FALSE)/1,0)-IFERROR(VLOOKUP($B381,'Slutlig allokering kvv'!$B$2:$BX$550,MATCH(R$2,'Slutlig allokering kvv'!$B$1:$BX$1,0),FALSE)/1,0))</f>
        <v/>
      </c>
      <c r="S381" s="31" t="str">
        <f>IF($D381="","",IFERROR(VLOOKUP($B381,Kraftvärmeprod!$B$1:$BX$550,MATCH(S$2,Kraftvärmeprod!$B$1:$VX$1,0),FALSE)/1,0)-IFERROR(VLOOKUP($B381,'Slutlig allokering kvv'!$B$2:$BX$550,MATCH(S$2,'Slutlig allokering kvv'!$B$1:$BX$1,0),FALSE)/1,0))</f>
        <v/>
      </c>
      <c r="T381" s="31" t="str">
        <f>IF($D381="","",IFERROR(VLOOKUP($B381,Kraftvärmeprod!$B$1:$BX$550,MATCH(T$2,Kraftvärmeprod!$B$1:$VX$1,0),FALSE)/1,0)-IFERROR(VLOOKUP($B381,'Slutlig allokering kvv'!$B$2:$BX$550,MATCH(T$2,'Slutlig allokering kvv'!$B$1:$BX$1,0),FALSE)/1,0))</f>
        <v/>
      </c>
      <c r="U381" s="31" t="str">
        <f>IF($D381="","",IFERROR(VLOOKUP($B381,Kraftvärmeprod!$B$1:$BX$550,MATCH(U$2,Kraftvärmeprod!$B$1:$VX$1,0),FALSE)/1,0)-IFERROR(VLOOKUP($B381,'Slutlig allokering kvv'!$B$2:$BX$550,MATCH(U$2,'Slutlig allokering kvv'!$B$1:$BX$1,0),FALSE)/1,0))</f>
        <v/>
      </c>
      <c r="V381" s="31" t="str">
        <f>IF($D381="","",IFERROR(VLOOKUP($B381,Kraftvärmeprod!$B$1:$BX$550,MATCH(V$2,Kraftvärmeprod!$B$1:$VX$1,0),FALSE)/1,0)-IFERROR(VLOOKUP($B381,'Slutlig allokering kvv'!$B$2:$BX$550,MATCH(V$2,'Slutlig allokering kvv'!$B$1:$BX$1,0),FALSE)/1,0))</f>
        <v/>
      </c>
      <c r="W381" s="31" t="str">
        <f>IF($D381="","",IFERROR(VLOOKUP($B381,Kraftvärmeprod!$B$1:$BX$550,MATCH(W$2,Kraftvärmeprod!$B$1:$VX$1,0),FALSE)/1,0)-IFERROR(VLOOKUP($B381,'Slutlig allokering kvv'!$B$2:$BX$550,MATCH(W$2,'Slutlig allokering kvv'!$B$1:$BX$1,0),FALSE)/1,0))</f>
        <v/>
      </c>
      <c r="X381" s="31" t="str">
        <f>IF($D381="","",IFERROR(VLOOKUP($B381,Kraftvärmeprod!$B$1:$BX$550,MATCH(X$2,Kraftvärmeprod!$B$1:$VX$1,0),FALSE)/1,0)-IFERROR(VLOOKUP($B381,'Slutlig allokering kvv'!$B$2:$BX$550,MATCH(X$2,'Slutlig allokering kvv'!$B$1:$BX$1,0),FALSE)/1,0))</f>
        <v/>
      </c>
      <c r="Y381" s="31" t="str">
        <f>IF($D381="","",IFERROR(VLOOKUP($B381,Kraftvärmeprod!$B$1:$BX$550,MATCH(Y$2,Kraftvärmeprod!$B$1:$VX$1,0),FALSE)/1,0)-IFERROR(VLOOKUP($B381,'Slutlig allokering kvv'!$B$2:$BX$550,MATCH(Y$2,'Slutlig allokering kvv'!$B$1:$BX$1,0),FALSE)/1,0))</f>
        <v/>
      </c>
      <c r="Z381" s="31" t="str">
        <f>IF($D381="","",IFERROR(VLOOKUP($B381,Kraftvärmeprod!$B$1:$BX$550,MATCH(Z$2,Kraftvärmeprod!$B$1:$VX$1,0),FALSE)/1,0)-IFERROR(VLOOKUP($B381,'Slutlig allokering kvv'!$B$2:$BX$550,MATCH(Z$2,'Slutlig allokering kvv'!$B$1:$BX$1,0),FALSE)/1,0))</f>
        <v/>
      </c>
      <c r="AA381" s="31" t="str">
        <f>IF($D381="","",IFERROR(VLOOKUP($B381,Kraftvärmeprod!$B$1:$BX$550,MATCH(AA$2,Kraftvärmeprod!$B$1:$VX$1,0),FALSE)/1,0)-IFERROR(VLOOKUP($B381,'Slutlig allokering kvv'!$B$2:$BX$550,MATCH(AA$2,'Slutlig allokering kvv'!$B$1:$BX$1,0),FALSE)/1,0))</f>
        <v/>
      </c>
      <c r="AB381" s="31" t="str">
        <f>IF($D381="","",IFERROR(VLOOKUP($B381,Kraftvärmeprod!$B$1:$BX$550,MATCH(AB$2,Kraftvärmeprod!$B$1:$VX$1,0),FALSE)/1,0)-IFERROR(VLOOKUP($B381,'Slutlig allokering kvv'!$B$2:$BX$550,MATCH(AB$2,'Slutlig allokering kvv'!$B$1:$BX$1,0),FALSE)/1,0))</f>
        <v/>
      </c>
      <c r="AC381" s="31" t="str">
        <f>IF($D381="","",IFERROR(VLOOKUP($B381,Kraftvärmeprod!$B$1:$BX$550,MATCH(AC$2,Kraftvärmeprod!$B$1:$VX$1,0),FALSE)/1,0)-IFERROR(VLOOKUP($B381,'Slutlig allokering kvv'!$B$2:$BX$550,MATCH(AC$2,'Slutlig allokering kvv'!$B$1:$BX$1,0),FALSE)/1,0))</f>
        <v/>
      </c>
      <c r="AD381" s="31" t="str">
        <f>IF($D381="","",IFERROR(VLOOKUP($B381,Kraftvärmeprod!$B$1:$BX$550,MATCH(AD$2,Kraftvärmeprod!$B$1:$VX$1,0),FALSE)/1,0)-IFERROR(VLOOKUP($B381,'Slutlig allokering kvv'!$B$2:$BX$550,MATCH(AD$2,'Slutlig allokering kvv'!$B$1:$BX$1,0),FALSE)/1,0))</f>
        <v/>
      </c>
      <c r="AE381" s="31" t="str">
        <f>IF($D381="","",IFERROR(VLOOKUP($B381,Miljö!$B$1:$E$550,MATCH("Hjälpel kraftvärme (GWh)",Miljö!$B$1:$E$1,0),FALSE)/1,0)-IFERROR(VLOOKUP($B381,'Slutlig allokering kvv'!$B$2:$BX$549,MATCH(AE$2,'Slutlig allokering kvv'!$B$1:$BX$1,0),FALSE)/1,0))</f>
        <v/>
      </c>
      <c r="AI381" s="39">
        <f t="shared" si="20"/>
        <v>0</v>
      </c>
      <c r="AK381" s="31" t="str">
        <f>IFERROR(VLOOKUP($B381,'Slutlig allokering kvv'!$B$2:$AX$549,MATCH("Summa slutlig allokerad tillförd energi (utan hjälpel och rökgaskondensering):",'Slutlig allokering kvv'!$B$1:$AX$1,0),FALSE)/1,"")</f>
        <v/>
      </c>
      <c r="AM381" s="31" t="str">
        <f>IFERROR(1-VLOOKUP($B381,'Slutlig allokering kvv'!$B$2:$AX$549,MATCH("Andel av bränsle i kvv som allokerats till värme, exklusive rökgaskondensering och hjälpel",'Slutlig allokering kvv'!$B$1:$AX$1,0),FALSE),"")</f>
        <v/>
      </c>
      <c r="AO381" s="31" t="str">
        <f t="shared" si="21"/>
        <v/>
      </c>
      <c r="AP381" s="31" t="str">
        <f t="shared" si="22"/>
        <v/>
      </c>
      <c r="AR381" s="32" t="str">
        <f t="shared" si="23"/>
        <v/>
      </c>
    </row>
    <row r="382" spans="3:44" s="31" customFormat="1" x14ac:dyDescent="0.45">
      <c r="C382" s="31" t="str">
        <f>IFERROR(VLOOKUP($B382,Kraftvärmeprod!$B$1:$AH$479,MATCH(C$2,Kraftvärmeprod!$B$1:$AG$1,0),FALSE)/1,"")</f>
        <v/>
      </c>
      <c r="D382" s="31" t="str">
        <f>IFERROR(VLOOKUP($B382,Kraftvärmeprod!$B$1:$AH$479,MATCH(D$2,Kraftvärmeprod!$B$1:$AG$1,0),FALSE)/1,"")</f>
        <v/>
      </c>
      <c r="F382" s="31" t="str">
        <f>IF($D382="","",IFERROR(VLOOKUP($B382,Kraftvärmeprod!$B$1:$BX$550,MATCH(F$2,Kraftvärmeprod!$B$1:$VX$1,0),FALSE)/1,0)-IFERROR(VLOOKUP($B382,'Slutlig allokering kvv'!$B$2:$BX$550,MATCH(F$2,'Slutlig allokering kvv'!$B$1:$BX$1,0),FALSE)/1,0))</f>
        <v/>
      </c>
      <c r="G382" s="31" t="str">
        <f>IF($D382="","",IFERROR(VLOOKUP($B382,Kraftvärmeprod!$B$1:$BX$550,MATCH(G$2,Kraftvärmeprod!$B$1:$VX$1,0),FALSE)/1,0)-IFERROR(VLOOKUP($B382,'Slutlig allokering kvv'!$B$2:$BX$550,MATCH(G$2,'Slutlig allokering kvv'!$B$1:$BX$1,0),FALSE)/1,0))</f>
        <v/>
      </c>
      <c r="H382" s="31" t="str">
        <f>IF($D382="","",IFERROR(VLOOKUP($B382,Kraftvärmeprod!$B$1:$BX$550,MATCH(H$2,Kraftvärmeprod!$B$1:$VX$1,0),FALSE)/1,0)-IFERROR(VLOOKUP($B382,'Slutlig allokering kvv'!$B$2:$BX$550,MATCH(H$2,'Slutlig allokering kvv'!$B$1:$BX$1,0),FALSE)/1,0))</f>
        <v/>
      </c>
      <c r="I382" s="31" t="str">
        <f>IF($D382="","",IFERROR(VLOOKUP($B382,Kraftvärmeprod!$B$1:$BX$550,MATCH(I$2,Kraftvärmeprod!$B$1:$VX$1,0),FALSE)/1,0)-IFERROR(VLOOKUP($B382,'Slutlig allokering kvv'!$B$2:$BX$550,MATCH(I$2,'Slutlig allokering kvv'!$B$1:$BX$1,0),FALSE)/1,0))</f>
        <v/>
      </c>
      <c r="J382" s="31" t="str">
        <f>IF($D382="","",IFERROR(VLOOKUP($B382,Kraftvärmeprod!$B$1:$BX$550,MATCH(J$2,Kraftvärmeprod!$B$1:$VX$1,0),FALSE)/1,0)-IFERROR(VLOOKUP($B382,'Slutlig allokering kvv'!$B$2:$BX$550,MATCH(J$2,'Slutlig allokering kvv'!$B$1:$BX$1,0),FALSE)/1,0))</f>
        <v/>
      </c>
      <c r="K382" s="31" t="str">
        <f>IF($D382="","",IFERROR(VLOOKUP($B382,Kraftvärmeprod!$B$1:$BX$550,MATCH(K$2,Kraftvärmeprod!$B$1:$VX$1,0),FALSE)/1,0)-IFERROR(VLOOKUP($B382,'Slutlig allokering kvv'!$B$2:$BX$550,MATCH(K$2,'Slutlig allokering kvv'!$B$1:$BX$1,0),FALSE)/1,0))</f>
        <v/>
      </c>
      <c r="L382" s="31" t="str">
        <f>IF($D382="","",IFERROR(VLOOKUP($B382,Kraftvärmeprod!$B$1:$BX$550,MATCH(L$2,Kraftvärmeprod!$B$1:$VX$1,0),FALSE)/1,0)-IFERROR(VLOOKUP($B382,'Slutlig allokering kvv'!$B$2:$BX$550,MATCH(L$2,'Slutlig allokering kvv'!$B$1:$BX$1,0),FALSE)/1,0))</f>
        <v/>
      </c>
      <c r="M382" s="31" t="str">
        <f>IF($D382="","",IFERROR(VLOOKUP($B382,Kraftvärmeprod!$B$1:$BX$550,MATCH(M$2,Kraftvärmeprod!$B$1:$VX$1,0),FALSE)/1,0)-IFERROR(VLOOKUP($B382,'Slutlig allokering kvv'!$B$2:$BX$550,MATCH(M$2,'Slutlig allokering kvv'!$B$1:$BX$1,0),FALSE)/1,0))</f>
        <v/>
      </c>
      <c r="N382" s="31" t="str">
        <f>IF($D382="","",IFERROR(VLOOKUP($B382,Kraftvärmeprod!$B$1:$BX$550,MATCH(N$2,Kraftvärmeprod!$B$1:$VX$1,0),FALSE)/1,0)-IFERROR(VLOOKUP($B382,'Slutlig allokering kvv'!$B$2:$BX$550,MATCH(N$2,'Slutlig allokering kvv'!$B$1:$BX$1,0),FALSE)/1,0))</f>
        <v/>
      </c>
      <c r="O382" s="31" t="str">
        <f>IF($D382="","",IFERROR(VLOOKUP($B382,Kraftvärmeprod!$B$1:$BX$550,MATCH(O$2,Kraftvärmeprod!$B$1:$VX$1,0),FALSE)/1,0)-IFERROR(VLOOKUP($B382,'Slutlig allokering kvv'!$B$2:$BX$550,MATCH(O$2,'Slutlig allokering kvv'!$B$1:$BX$1,0),FALSE)/1,0))</f>
        <v/>
      </c>
      <c r="P382" s="31" t="str">
        <f>IF($D382="","",IFERROR(VLOOKUP($B382,Kraftvärmeprod!$B$1:$BX$550,MATCH(P$2,Kraftvärmeprod!$B$1:$VX$1,0),FALSE)/1,0)-IFERROR(VLOOKUP($B382,'Slutlig allokering kvv'!$B$2:$BX$550,MATCH(P$2,'Slutlig allokering kvv'!$B$1:$BX$1,0),FALSE)/1,0))</f>
        <v/>
      </c>
      <c r="Q382" s="31" t="str">
        <f>IF($D382="","",IFERROR(VLOOKUP($B382,Kraftvärmeprod!$B$1:$BX$550,MATCH(Q$2,Kraftvärmeprod!$B$1:$VX$1,0),FALSE)/1,0)-IFERROR(VLOOKUP($B382,'Slutlig allokering kvv'!$B$2:$BX$550,MATCH(Q$2,'Slutlig allokering kvv'!$B$1:$BX$1,0),FALSE)/1,0))</f>
        <v/>
      </c>
      <c r="R382" s="31" t="str">
        <f>IF($D382="","",IFERROR(VLOOKUP($B382,Kraftvärmeprod!$B$1:$BX$550,MATCH(R$2,Kraftvärmeprod!$B$1:$VX$1,0),FALSE)/1,0)-IFERROR(VLOOKUP($B382,'Slutlig allokering kvv'!$B$2:$BX$550,MATCH(R$2,'Slutlig allokering kvv'!$B$1:$BX$1,0),FALSE)/1,0))</f>
        <v/>
      </c>
      <c r="S382" s="31" t="str">
        <f>IF($D382="","",IFERROR(VLOOKUP($B382,Kraftvärmeprod!$B$1:$BX$550,MATCH(S$2,Kraftvärmeprod!$B$1:$VX$1,0),FALSE)/1,0)-IFERROR(VLOOKUP($B382,'Slutlig allokering kvv'!$B$2:$BX$550,MATCH(S$2,'Slutlig allokering kvv'!$B$1:$BX$1,0),FALSE)/1,0))</f>
        <v/>
      </c>
      <c r="T382" s="31" t="str">
        <f>IF($D382="","",IFERROR(VLOOKUP($B382,Kraftvärmeprod!$B$1:$BX$550,MATCH(T$2,Kraftvärmeprod!$B$1:$VX$1,0),FALSE)/1,0)-IFERROR(VLOOKUP($B382,'Slutlig allokering kvv'!$B$2:$BX$550,MATCH(T$2,'Slutlig allokering kvv'!$B$1:$BX$1,0),FALSE)/1,0))</f>
        <v/>
      </c>
      <c r="U382" s="31" t="str">
        <f>IF($D382="","",IFERROR(VLOOKUP($B382,Kraftvärmeprod!$B$1:$BX$550,MATCH(U$2,Kraftvärmeprod!$B$1:$VX$1,0),FALSE)/1,0)-IFERROR(VLOOKUP($B382,'Slutlig allokering kvv'!$B$2:$BX$550,MATCH(U$2,'Slutlig allokering kvv'!$B$1:$BX$1,0),FALSE)/1,0))</f>
        <v/>
      </c>
      <c r="V382" s="31" t="str">
        <f>IF($D382="","",IFERROR(VLOOKUP($B382,Kraftvärmeprod!$B$1:$BX$550,MATCH(V$2,Kraftvärmeprod!$B$1:$VX$1,0),FALSE)/1,0)-IFERROR(VLOOKUP($B382,'Slutlig allokering kvv'!$B$2:$BX$550,MATCH(V$2,'Slutlig allokering kvv'!$B$1:$BX$1,0),FALSE)/1,0))</f>
        <v/>
      </c>
      <c r="W382" s="31" t="str">
        <f>IF($D382="","",IFERROR(VLOOKUP($B382,Kraftvärmeprod!$B$1:$BX$550,MATCH(W$2,Kraftvärmeprod!$B$1:$VX$1,0),FALSE)/1,0)-IFERROR(VLOOKUP($B382,'Slutlig allokering kvv'!$B$2:$BX$550,MATCH(W$2,'Slutlig allokering kvv'!$B$1:$BX$1,0),FALSE)/1,0))</f>
        <v/>
      </c>
      <c r="X382" s="31" t="str">
        <f>IF($D382="","",IFERROR(VLOOKUP($B382,Kraftvärmeprod!$B$1:$BX$550,MATCH(X$2,Kraftvärmeprod!$B$1:$VX$1,0),FALSE)/1,0)-IFERROR(VLOOKUP($B382,'Slutlig allokering kvv'!$B$2:$BX$550,MATCH(X$2,'Slutlig allokering kvv'!$B$1:$BX$1,0),FALSE)/1,0))</f>
        <v/>
      </c>
      <c r="Y382" s="31" t="str">
        <f>IF($D382="","",IFERROR(VLOOKUP($B382,Kraftvärmeprod!$B$1:$BX$550,MATCH(Y$2,Kraftvärmeprod!$B$1:$VX$1,0),FALSE)/1,0)-IFERROR(VLOOKUP($B382,'Slutlig allokering kvv'!$B$2:$BX$550,MATCH(Y$2,'Slutlig allokering kvv'!$B$1:$BX$1,0),FALSE)/1,0))</f>
        <v/>
      </c>
      <c r="Z382" s="31" t="str">
        <f>IF($D382="","",IFERROR(VLOOKUP($B382,Kraftvärmeprod!$B$1:$BX$550,MATCH(Z$2,Kraftvärmeprod!$B$1:$VX$1,0),FALSE)/1,0)-IFERROR(VLOOKUP($B382,'Slutlig allokering kvv'!$B$2:$BX$550,MATCH(Z$2,'Slutlig allokering kvv'!$B$1:$BX$1,0),FALSE)/1,0))</f>
        <v/>
      </c>
      <c r="AA382" s="31" t="str">
        <f>IF($D382="","",IFERROR(VLOOKUP($B382,Kraftvärmeprod!$B$1:$BX$550,MATCH(AA$2,Kraftvärmeprod!$B$1:$VX$1,0),FALSE)/1,0)-IFERROR(VLOOKUP($B382,'Slutlig allokering kvv'!$B$2:$BX$550,MATCH(AA$2,'Slutlig allokering kvv'!$B$1:$BX$1,0),FALSE)/1,0))</f>
        <v/>
      </c>
      <c r="AB382" s="31" t="str">
        <f>IF($D382="","",IFERROR(VLOOKUP($B382,Kraftvärmeprod!$B$1:$BX$550,MATCH(AB$2,Kraftvärmeprod!$B$1:$VX$1,0),FALSE)/1,0)-IFERROR(VLOOKUP($B382,'Slutlig allokering kvv'!$B$2:$BX$550,MATCH(AB$2,'Slutlig allokering kvv'!$B$1:$BX$1,0),FALSE)/1,0))</f>
        <v/>
      </c>
      <c r="AC382" s="31" t="str">
        <f>IF($D382="","",IFERROR(VLOOKUP($B382,Kraftvärmeprod!$B$1:$BX$550,MATCH(AC$2,Kraftvärmeprod!$B$1:$VX$1,0),FALSE)/1,0)-IFERROR(VLOOKUP($B382,'Slutlig allokering kvv'!$B$2:$BX$550,MATCH(AC$2,'Slutlig allokering kvv'!$B$1:$BX$1,0),FALSE)/1,0))</f>
        <v/>
      </c>
      <c r="AD382" s="31" t="str">
        <f>IF($D382="","",IFERROR(VLOOKUP($B382,Kraftvärmeprod!$B$1:$BX$550,MATCH(AD$2,Kraftvärmeprod!$B$1:$VX$1,0),FALSE)/1,0)-IFERROR(VLOOKUP($B382,'Slutlig allokering kvv'!$B$2:$BX$550,MATCH(AD$2,'Slutlig allokering kvv'!$B$1:$BX$1,0),FALSE)/1,0))</f>
        <v/>
      </c>
      <c r="AE382" s="31" t="str">
        <f>IF($D382="","",IFERROR(VLOOKUP($B382,Miljö!$B$1:$E$550,MATCH("Hjälpel kraftvärme (GWh)",Miljö!$B$1:$E$1,0),FALSE)/1,0)-IFERROR(VLOOKUP($B382,'Slutlig allokering kvv'!$B$2:$BX$549,MATCH(AE$2,'Slutlig allokering kvv'!$B$1:$BX$1,0),FALSE)/1,0))</f>
        <v/>
      </c>
      <c r="AI382" s="39">
        <f t="shared" si="20"/>
        <v>0</v>
      </c>
      <c r="AK382" s="31" t="str">
        <f>IFERROR(VLOOKUP($B382,'Slutlig allokering kvv'!$B$2:$AX$549,MATCH("Summa slutlig allokerad tillförd energi (utan hjälpel och rökgaskondensering):",'Slutlig allokering kvv'!$B$1:$AX$1,0),FALSE)/1,"")</f>
        <v/>
      </c>
      <c r="AM382" s="31" t="str">
        <f>IFERROR(1-VLOOKUP($B382,'Slutlig allokering kvv'!$B$2:$AX$549,MATCH("Andel av bränsle i kvv som allokerats till värme, exklusive rökgaskondensering och hjälpel",'Slutlig allokering kvv'!$B$1:$AX$1,0),FALSE),"")</f>
        <v/>
      </c>
      <c r="AO382" s="31" t="str">
        <f t="shared" si="21"/>
        <v/>
      </c>
      <c r="AP382" s="31" t="str">
        <f t="shared" si="22"/>
        <v/>
      </c>
      <c r="AR382" s="32" t="str">
        <f t="shared" si="23"/>
        <v/>
      </c>
    </row>
    <row r="383" spans="3:44" s="31" customFormat="1" x14ac:dyDescent="0.45">
      <c r="C383" s="31" t="str">
        <f>IFERROR(VLOOKUP($B383,Kraftvärmeprod!$B$1:$AH$479,MATCH(C$2,Kraftvärmeprod!$B$1:$AG$1,0),FALSE)/1,"")</f>
        <v/>
      </c>
      <c r="D383" s="31" t="str">
        <f>IFERROR(VLOOKUP($B383,Kraftvärmeprod!$B$1:$AH$479,MATCH(D$2,Kraftvärmeprod!$B$1:$AG$1,0),FALSE)/1,"")</f>
        <v/>
      </c>
      <c r="F383" s="31" t="str">
        <f>IF($D383="","",IFERROR(VLOOKUP($B383,Kraftvärmeprod!$B$1:$BX$550,MATCH(F$2,Kraftvärmeprod!$B$1:$VX$1,0),FALSE)/1,0)-IFERROR(VLOOKUP($B383,'Slutlig allokering kvv'!$B$2:$BX$550,MATCH(F$2,'Slutlig allokering kvv'!$B$1:$BX$1,0),FALSE)/1,0))</f>
        <v/>
      </c>
      <c r="G383" s="31" t="str">
        <f>IF($D383="","",IFERROR(VLOOKUP($B383,Kraftvärmeprod!$B$1:$BX$550,MATCH(G$2,Kraftvärmeprod!$B$1:$VX$1,0),FALSE)/1,0)-IFERROR(VLOOKUP($B383,'Slutlig allokering kvv'!$B$2:$BX$550,MATCH(G$2,'Slutlig allokering kvv'!$B$1:$BX$1,0),FALSE)/1,0))</f>
        <v/>
      </c>
      <c r="H383" s="31" t="str">
        <f>IF($D383="","",IFERROR(VLOOKUP($B383,Kraftvärmeprod!$B$1:$BX$550,MATCH(H$2,Kraftvärmeprod!$B$1:$VX$1,0),FALSE)/1,0)-IFERROR(VLOOKUP($B383,'Slutlig allokering kvv'!$B$2:$BX$550,MATCH(H$2,'Slutlig allokering kvv'!$B$1:$BX$1,0),FALSE)/1,0))</f>
        <v/>
      </c>
      <c r="I383" s="31" t="str">
        <f>IF($D383="","",IFERROR(VLOOKUP($B383,Kraftvärmeprod!$B$1:$BX$550,MATCH(I$2,Kraftvärmeprod!$B$1:$VX$1,0),FALSE)/1,0)-IFERROR(VLOOKUP($B383,'Slutlig allokering kvv'!$B$2:$BX$550,MATCH(I$2,'Slutlig allokering kvv'!$B$1:$BX$1,0),FALSE)/1,0))</f>
        <v/>
      </c>
      <c r="J383" s="31" t="str">
        <f>IF($D383="","",IFERROR(VLOOKUP($B383,Kraftvärmeprod!$B$1:$BX$550,MATCH(J$2,Kraftvärmeprod!$B$1:$VX$1,0),FALSE)/1,0)-IFERROR(VLOOKUP($B383,'Slutlig allokering kvv'!$B$2:$BX$550,MATCH(J$2,'Slutlig allokering kvv'!$B$1:$BX$1,0),FALSE)/1,0))</f>
        <v/>
      </c>
      <c r="K383" s="31" t="str">
        <f>IF($D383="","",IFERROR(VLOOKUP($B383,Kraftvärmeprod!$B$1:$BX$550,MATCH(K$2,Kraftvärmeprod!$B$1:$VX$1,0),FALSE)/1,0)-IFERROR(VLOOKUP($B383,'Slutlig allokering kvv'!$B$2:$BX$550,MATCH(K$2,'Slutlig allokering kvv'!$B$1:$BX$1,0),FALSE)/1,0))</f>
        <v/>
      </c>
      <c r="L383" s="31" t="str">
        <f>IF($D383="","",IFERROR(VLOOKUP($B383,Kraftvärmeprod!$B$1:$BX$550,MATCH(L$2,Kraftvärmeprod!$B$1:$VX$1,0),FALSE)/1,0)-IFERROR(VLOOKUP($B383,'Slutlig allokering kvv'!$B$2:$BX$550,MATCH(L$2,'Slutlig allokering kvv'!$B$1:$BX$1,0),FALSE)/1,0))</f>
        <v/>
      </c>
      <c r="M383" s="31" t="str">
        <f>IF($D383="","",IFERROR(VLOOKUP($B383,Kraftvärmeprod!$B$1:$BX$550,MATCH(M$2,Kraftvärmeprod!$B$1:$VX$1,0),FALSE)/1,0)-IFERROR(VLOOKUP($B383,'Slutlig allokering kvv'!$B$2:$BX$550,MATCH(M$2,'Slutlig allokering kvv'!$B$1:$BX$1,0),FALSE)/1,0))</f>
        <v/>
      </c>
      <c r="N383" s="31" t="str">
        <f>IF($D383="","",IFERROR(VLOOKUP($B383,Kraftvärmeprod!$B$1:$BX$550,MATCH(N$2,Kraftvärmeprod!$B$1:$VX$1,0),FALSE)/1,0)-IFERROR(VLOOKUP($B383,'Slutlig allokering kvv'!$B$2:$BX$550,MATCH(N$2,'Slutlig allokering kvv'!$B$1:$BX$1,0),FALSE)/1,0))</f>
        <v/>
      </c>
      <c r="O383" s="31" t="str">
        <f>IF($D383="","",IFERROR(VLOOKUP($B383,Kraftvärmeprod!$B$1:$BX$550,MATCH(O$2,Kraftvärmeprod!$B$1:$VX$1,0),FALSE)/1,0)-IFERROR(VLOOKUP($B383,'Slutlig allokering kvv'!$B$2:$BX$550,MATCH(O$2,'Slutlig allokering kvv'!$B$1:$BX$1,0),FALSE)/1,0))</f>
        <v/>
      </c>
      <c r="P383" s="31" t="str">
        <f>IF($D383="","",IFERROR(VLOOKUP($B383,Kraftvärmeprod!$B$1:$BX$550,MATCH(P$2,Kraftvärmeprod!$B$1:$VX$1,0),FALSE)/1,0)-IFERROR(VLOOKUP($B383,'Slutlig allokering kvv'!$B$2:$BX$550,MATCH(P$2,'Slutlig allokering kvv'!$B$1:$BX$1,0),FALSE)/1,0))</f>
        <v/>
      </c>
      <c r="Q383" s="31" t="str">
        <f>IF($D383="","",IFERROR(VLOOKUP($B383,Kraftvärmeprod!$B$1:$BX$550,MATCH(Q$2,Kraftvärmeprod!$B$1:$VX$1,0),FALSE)/1,0)-IFERROR(VLOOKUP($B383,'Slutlig allokering kvv'!$B$2:$BX$550,MATCH(Q$2,'Slutlig allokering kvv'!$B$1:$BX$1,0),FALSE)/1,0))</f>
        <v/>
      </c>
      <c r="R383" s="31" t="str">
        <f>IF($D383="","",IFERROR(VLOOKUP($B383,Kraftvärmeprod!$B$1:$BX$550,MATCH(R$2,Kraftvärmeprod!$B$1:$VX$1,0),FALSE)/1,0)-IFERROR(VLOOKUP($B383,'Slutlig allokering kvv'!$B$2:$BX$550,MATCH(R$2,'Slutlig allokering kvv'!$B$1:$BX$1,0),FALSE)/1,0))</f>
        <v/>
      </c>
      <c r="S383" s="31" t="str">
        <f>IF($D383="","",IFERROR(VLOOKUP($B383,Kraftvärmeprod!$B$1:$BX$550,MATCH(S$2,Kraftvärmeprod!$B$1:$VX$1,0),FALSE)/1,0)-IFERROR(VLOOKUP($B383,'Slutlig allokering kvv'!$B$2:$BX$550,MATCH(S$2,'Slutlig allokering kvv'!$B$1:$BX$1,0),FALSE)/1,0))</f>
        <v/>
      </c>
      <c r="T383" s="31" t="str">
        <f>IF($D383="","",IFERROR(VLOOKUP($B383,Kraftvärmeprod!$B$1:$BX$550,MATCH(T$2,Kraftvärmeprod!$B$1:$VX$1,0),FALSE)/1,0)-IFERROR(VLOOKUP($B383,'Slutlig allokering kvv'!$B$2:$BX$550,MATCH(T$2,'Slutlig allokering kvv'!$B$1:$BX$1,0),FALSE)/1,0))</f>
        <v/>
      </c>
      <c r="U383" s="31" t="str">
        <f>IF($D383="","",IFERROR(VLOOKUP($B383,Kraftvärmeprod!$B$1:$BX$550,MATCH(U$2,Kraftvärmeprod!$B$1:$VX$1,0),FALSE)/1,0)-IFERROR(VLOOKUP($B383,'Slutlig allokering kvv'!$B$2:$BX$550,MATCH(U$2,'Slutlig allokering kvv'!$B$1:$BX$1,0),FALSE)/1,0))</f>
        <v/>
      </c>
      <c r="V383" s="31" t="str">
        <f>IF($D383="","",IFERROR(VLOOKUP($B383,Kraftvärmeprod!$B$1:$BX$550,MATCH(V$2,Kraftvärmeprod!$B$1:$VX$1,0),FALSE)/1,0)-IFERROR(VLOOKUP($B383,'Slutlig allokering kvv'!$B$2:$BX$550,MATCH(V$2,'Slutlig allokering kvv'!$B$1:$BX$1,0),FALSE)/1,0))</f>
        <v/>
      </c>
      <c r="W383" s="31" t="str">
        <f>IF($D383="","",IFERROR(VLOOKUP($B383,Kraftvärmeprod!$B$1:$BX$550,MATCH(W$2,Kraftvärmeprod!$B$1:$VX$1,0),FALSE)/1,0)-IFERROR(VLOOKUP($B383,'Slutlig allokering kvv'!$B$2:$BX$550,MATCH(W$2,'Slutlig allokering kvv'!$B$1:$BX$1,0),FALSE)/1,0))</f>
        <v/>
      </c>
      <c r="X383" s="31" t="str">
        <f>IF($D383="","",IFERROR(VLOOKUP($B383,Kraftvärmeprod!$B$1:$BX$550,MATCH(X$2,Kraftvärmeprod!$B$1:$VX$1,0),FALSE)/1,0)-IFERROR(VLOOKUP($B383,'Slutlig allokering kvv'!$B$2:$BX$550,MATCH(X$2,'Slutlig allokering kvv'!$B$1:$BX$1,0),FALSE)/1,0))</f>
        <v/>
      </c>
      <c r="Y383" s="31" t="str">
        <f>IF($D383="","",IFERROR(VLOOKUP($B383,Kraftvärmeprod!$B$1:$BX$550,MATCH(Y$2,Kraftvärmeprod!$B$1:$VX$1,0),FALSE)/1,0)-IFERROR(VLOOKUP($B383,'Slutlig allokering kvv'!$B$2:$BX$550,MATCH(Y$2,'Slutlig allokering kvv'!$B$1:$BX$1,0),FALSE)/1,0))</f>
        <v/>
      </c>
      <c r="Z383" s="31" t="str">
        <f>IF($D383="","",IFERROR(VLOOKUP($B383,Kraftvärmeprod!$B$1:$BX$550,MATCH(Z$2,Kraftvärmeprod!$B$1:$VX$1,0),FALSE)/1,0)-IFERROR(VLOOKUP($B383,'Slutlig allokering kvv'!$B$2:$BX$550,MATCH(Z$2,'Slutlig allokering kvv'!$B$1:$BX$1,0),FALSE)/1,0))</f>
        <v/>
      </c>
      <c r="AA383" s="31" t="str">
        <f>IF($D383="","",IFERROR(VLOOKUP($B383,Kraftvärmeprod!$B$1:$BX$550,MATCH(AA$2,Kraftvärmeprod!$B$1:$VX$1,0),FALSE)/1,0)-IFERROR(VLOOKUP($B383,'Slutlig allokering kvv'!$B$2:$BX$550,MATCH(AA$2,'Slutlig allokering kvv'!$B$1:$BX$1,0),FALSE)/1,0))</f>
        <v/>
      </c>
      <c r="AB383" s="31" t="str">
        <f>IF($D383="","",IFERROR(VLOOKUP($B383,Kraftvärmeprod!$B$1:$BX$550,MATCH(AB$2,Kraftvärmeprod!$B$1:$VX$1,0),FALSE)/1,0)-IFERROR(VLOOKUP($B383,'Slutlig allokering kvv'!$B$2:$BX$550,MATCH(AB$2,'Slutlig allokering kvv'!$B$1:$BX$1,0),FALSE)/1,0))</f>
        <v/>
      </c>
      <c r="AC383" s="31" t="str">
        <f>IF($D383="","",IFERROR(VLOOKUP($B383,Kraftvärmeprod!$B$1:$BX$550,MATCH(AC$2,Kraftvärmeprod!$B$1:$VX$1,0),FALSE)/1,0)-IFERROR(VLOOKUP($B383,'Slutlig allokering kvv'!$B$2:$BX$550,MATCH(AC$2,'Slutlig allokering kvv'!$B$1:$BX$1,0),FALSE)/1,0))</f>
        <v/>
      </c>
      <c r="AD383" s="31" t="str">
        <f>IF($D383="","",IFERROR(VLOOKUP($B383,Kraftvärmeprod!$B$1:$BX$550,MATCH(AD$2,Kraftvärmeprod!$B$1:$VX$1,0),FALSE)/1,0)-IFERROR(VLOOKUP($B383,'Slutlig allokering kvv'!$B$2:$BX$550,MATCH(AD$2,'Slutlig allokering kvv'!$B$1:$BX$1,0),FALSE)/1,0))</f>
        <v/>
      </c>
      <c r="AE383" s="31" t="str">
        <f>IF($D383="","",IFERROR(VLOOKUP($B383,Miljö!$B$1:$E$550,MATCH("Hjälpel kraftvärme (GWh)",Miljö!$B$1:$E$1,0),FALSE)/1,0)-IFERROR(VLOOKUP($B383,'Slutlig allokering kvv'!$B$2:$BX$549,MATCH(AE$2,'Slutlig allokering kvv'!$B$1:$BX$1,0),FALSE)/1,0))</f>
        <v/>
      </c>
      <c r="AI383" s="39">
        <f t="shared" si="20"/>
        <v>0</v>
      </c>
      <c r="AK383" s="31" t="str">
        <f>IFERROR(VLOOKUP($B383,'Slutlig allokering kvv'!$B$2:$AX$549,MATCH("Summa slutlig allokerad tillförd energi (utan hjälpel och rökgaskondensering):",'Slutlig allokering kvv'!$B$1:$AX$1,0),FALSE)/1,"")</f>
        <v/>
      </c>
      <c r="AM383" s="31" t="str">
        <f>IFERROR(1-VLOOKUP($B383,'Slutlig allokering kvv'!$B$2:$AX$549,MATCH("Andel av bränsle i kvv som allokerats till värme, exklusive rökgaskondensering och hjälpel",'Slutlig allokering kvv'!$B$1:$AX$1,0),FALSE),"")</f>
        <v/>
      </c>
      <c r="AO383" s="31" t="str">
        <f t="shared" si="21"/>
        <v/>
      </c>
      <c r="AP383" s="31" t="str">
        <f t="shared" si="22"/>
        <v/>
      </c>
      <c r="AR383" s="32" t="str">
        <f t="shared" si="23"/>
        <v/>
      </c>
    </row>
    <row r="384" spans="3:44" s="31" customFormat="1" x14ac:dyDescent="0.45">
      <c r="C384" s="31" t="str">
        <f>IFERROR(VLOOKUP($B384,Kraftvärmeprod!$B$1:$AH$479,MATCH(C$2,Kraftvärmeprod!$B$1:$AG$1,0),FALSE)/1,"")</f>
        <v/>
      </c>
      <c r="D384" s="31" t="str">
        <f>IFERROR(VLOOKUP($B384,Kraftvärmeprod!$B$1:$AH$479,MATCH(D$2,Kraftvärmeprod!$B$1:$AG$1,0),FALSE)/1,"")</f>
        <v/>
      </c>
      <c r="F384" s="31" t="str">
        <f>IF($D384="","",IFERROR(VLOOKUP($B384,Kraftvärmeprod!$B$1:$BX$550,MATCH(F$2,Kraftvärmeprod!$B$1:$VX$1,0),FALSE)/1,0)-IFERROR(VLOOKUP($B384,'Slutlig allokering kvv'!$B$2:$BX$550,MATCH(F$2,'Slutlig allokering kvv'!$B$1:$BX$1,0),FALSE)/1,0))</f>
        <v/>
      </c>
      <c r="G384" s="31" t="str">
        <f>IF($D384="","",IFERROR(VLOOKUP($B384,Kraftvärmeprod!$B$1:$BX$550,MATCH(G$2,Kraftvärmeprod!$B$1:$VX$1,0),FALSE)/1,0)-IFERROR(VLOOKUP($B384,'Slutlig allokering kvv'!$B$2:$BX$550,MATCH(G$2,'Slutlig allokering kvv'!$B$1:$BX$1,0),FALSE)/1,0))</f>
        <v/>
      </c>
      <c r="H384" s="31" t="str">
        <f>IF($D384="","",IFERROR(VLOOKUP($B384,Kraftvärmeprod!$B$1:$BX$550,MATCH(H$2,Kraftvärmeprod!$B$1:$VX$1,0),FALSE)/1,0)-IFERROR(VLOOKUP($B384,'Slutlig allokering kvv'!$B$2:$BX$550,MATCH(H$2,'Slutlig allokering kvv'!$B$1:$BX$1,0),FALSE)/1,0))</f>
        <v/>
      </c>
      <c r="I384" s="31" t="str">
        <f>IF($D384="","",IFERROR(VLOOKUP($B384,Kraftvärmeprod!$B$1:$BX$550,MATCH(I$2,Kraftvärmeprod!$B$1:$VX$1,0),FALSE)/1,0)-IFERROR(VLOOKUP($B384,'Slutlig allokering kvv'!$B$2:$BX$550,MATCH(I$2,'Slutlig allokering kvv'!$B$1:$BX$1,0),FALSE)/1,0))</f>
        <v/>
      </c>
      <c r="J384" s="31" t="str">
        <f>IF($D384="","",IFERROR(VLOOKUP($B384,Kraftvärmeprod!$B$1:$BX$550,MATCH(J$2,Kraftvärmeprod!$B$1:$VX$1,0),FALSE)/1,0)-IFERROR(VLOOKUP($B384,'Slutlig allokering kvv'!$B$2:$BX$550,MATCH(J$2,'Slutlig allokering kvv'!$B$1:$BX$1,0),FALSE)/1,0))</f>
        <v/>
      </c>
      <c r="K384" s="31" t="str">
        <f>IF($D384="","",IFERROR(VLOOKUP($B384,Kraftvärmeprod!$B$1:$BX$550,MATCH(K$2,Kraftvärmeprod!$B$1:$VX$1,0),FALSE)/1,0)-IFERROR(VLOOKUP($B384,'Slutlig allokering kvv'!$B$2:$BX$550,MATCH(K$2,'Slutlig allokering kvv'!$B$1:$BX$1,0),FALSE)/1,0))</f>
        <v/>
      </c>
      <c r="L384" s="31" t="str">
        <f>IF($D384="","",IFERROR(VLOOKUP($B384,Kraftvärmeprod!$B$1:$BX$550,MATCH(L$2,Kraftvärmeprod!$B$1:$VX$1,0),FALSE)/1,0)-IFERROR(VLOOKUP($B384,'Slutlig allokering kvv'!$B$2:$BX$550,MATCH(L$2,'Slutlig allokering kvv'!$B$1:$BX$1,0),FALSE)/1,0))</f>
        <v/>
      </c>
      <c r="M384" s="31" t="str">
        <f>IF($D384="","",IFERROR(VLOOKUP($B384,Kraftvärmeprod!$B$1:$BX$550,MATCH(M$2,Kraftvärmeprod!$B$1:$VX$1,0),FALSE)/1,0)-IFERROR(VLOOKUP($B384,'Slutlig allokering kvv'!$B$2:$BX$550,MATCH(M$2,'Slutlig allokering kvv'!$B$1:$BX$1,0),FALSE)/1,0))</f>
        <v/>
      </c>
      <c r="N384" s="31" t="str">
        <f>IF($D384="","",IFERROR(VLOOKUP($B384,Kraftvärmeprod!$B$1:$BX$550,MATCH(N$2,Kraftvärmeprod!$B$1:$VX$1,0),FALSE)/1,0)-IFERROR(VLOOKUP($B384,'Slutlig allokering kvv'!$B$2:$BX$550,MATCH(N$2,'Slutlig allokering kvv'!$B$1:$BX$1,0),FALSE)/1,0))</f>
        <v/>
      </c>
      <c r="O384" s="31" t="str">
        <f>IF($D384="","",IFERROR(VLOOKUP($B384,Kraftvärmeprod!$B$1:$BX$550,MATCH(O$2,Kraftvärmeprod!$B$1:$VX$1,0),FALSE)/1,0)-IFERROR(VLOOKUP($B384,'Slutlig allokering kvv'!$B$2:$BX$550,MATCH(O$2,'Slutlig allokering kvv'!$B$1:$BX$1,0),FALSE)/1,0))</f>
        <v/>
      </c>
      <c r="P384" s="31" t="str">
        <f>IF($D384="","",IFERROR(VLOOKUP($B384,Kraftvärmeprod!$B$1:$BX$550,MATCH(P$2,Kraftvärmeprod!$B$1:$VX$1,0),FALSE)/1,0)-IFERROR(VLOOKUP($B384,'Slutlig allokering kvv'!$B$2:$BX$550,MATCH(P$2,'Slutlig allokering kvv'!$B$1:$BX$1,0),FALSE)/1,0))</f>
        <v/>
      </c>
      <c r="Q384" s="31" t="str">
        <f>IF($D384="","",IFERROR(VLOOKUP($B384,Kraftvärmeprod!$B$1:$BX$550,MATCH(Q$2,Kraftvärmeprod!$B$1:$VX$1,0),FALSE)/1,0)-IFERROR(VLOOKUP($B384,'Slutlig allokering kvv'!$B$2:$BX$550,MATCH(Q$2,'Slutlig allokering kvv'!$B$1:$BX$1,0),FALSE)/1,0))</f>
        <v/>
      </c>
      <c r="R384" s="31" t="str">
        <f>IF($D384="","",IFERROR(VLOOKUP($B384,Kraftvärmeprod!$B$1:$BX$550,MATCH(R$2,Kraftvärmeprod!$B$1:$VX$1,0),FALSE)/1,0)-IFERROR(VLOOKUP($B384,'Slutlig allokering kvv'!$B$2:$BX$550,MATCH(R$2,'Slutlig allokering kvv'!$B$1:$BX$1,0),FALSE)/1,0))</f>
        <v/>
      </c>
      <c r="S384" s="31" t="str">
        <f>IF($D384="","",IFERROR(VLOOKUP($B384,Kraftvärmeprod!$B$1:$BX$550,MATCH(S$2,Kraftvärmeprod!$B$1:$VX$1,0),FALSE)/1,0)-IFERROR(VLOOKUP($B384,'Slutlig allokering kvv'!$B$2:$BX$550,MATCH(S$2,'Slutlig allokering kvv'!$B$1:$BX$1,0),FALSE)/1,0))</f>
        <v/>
      </c>
      <c r="T384" s="31" t="str">
        <f>IF($D384="","",IFERROR(VLOOKUP($B384,Kraftvärmeprod!$B$1:$BX$550,MATCH(T$2,Kraftvärmeprod!$B$1:$VX$1,0),FALSE)/1,0)-IFERROR(VLOOKUP($B384,'Slutlig allokering kvv'!$B$2:$BX$550,MATCH(T$2,'Slutlig allokering kvv'!$B$1:$BX$1,0),FALSE)/1,0))</f>
        <v/>
      </c>
      <c r="U384" s="31" t="str">
        <f>IF($D384="","",IFERROR(VLOOKUP($B384,Kraftvärmeprod!$B$1:$BX$550,MATCH(U$2,Kraftvärmeprod!$B$1:$VX$1,0),FALSE)/1,0)-IFERROR(VLOOKUP($B384,'Slutlig allokering kvv'!$B$2:$BX$550,MATCH(U$2,'Slutlig allokering kvv'!$B$1:$BX$1,0),FALSE)/1,0))</f>
        <v/>
      </c>
      <c r="V384" s="31" t="str">
        <f>IF($D384="","",IFERROR(VLOOKUP($B384,Kraftvärmeprod!$B$1:$BX$550,MATCH(V$2,Kraftvärmeprod!$B$1:$VX$1,0),FALSE)/1,0)-IFERROR(VLOOKUP($B384,'Slutlig allokering kvv'!$B$2:$BX$550,MATCH(V$2,'Slutlig allokering kvv'!$B$1:$BX$1,0),FALSE)/1,0))</f>
        <v/>
      </c>
      <c r="W384" s="31" t="str">
        <f>IF($D384="","",IFERROR(VLOOKUP($B384,Kraftvärmeprod!$B$1:$BX$550,MATCH(W$2,Kraftvärmeprod!$B$1:$VX$1,0),FALSE)/1,0)-IFERROR(VLOOKUP($B384,'Slutlig allokering kvv'!$B$2:$BX$550,MATCH(W$2,'Slutlig allokering kvv'!$B$1:$BX$1,0),FALSE)/1,0))</f>
        <v/>
      </c>
      <c r="X384" s="31" t="str">
        <f>IF($D384="","",IFERROR(VLOOKUP($B384,Kraftvärmeprod!$B$1:$BX$550,MATCH(X$2,Kraftvärmeprod!$B$1:$VX$1,0),FALSE)/1,0)-IFERROR(VLOOKUP($B384,'Slutlig allokering kvv'!$B$2:$BX$550,MATCH(X$2,'Slutlig allokering kvv'!$B$1:$BX$1,0),FALSE)/1,0))</f>
        <v/>
      </c>
      <c r="Y384" s="31" t="str">
        <f>IF($D384="","",IFERROR(VLOOKUP($B384,Kraftvärmeprod!$B$1:$BX$550,MATCH(Y$2,Kraftvärmeprod!$B$1:$VX$1,0),FALSE)/1,0)-IFERROR(VLOOKUP($B384,'Slutlig allokering kvv'!$B$2:$BX$550,MATCH(Y$2,'Slutlig allokering kvv'!$B$1:$BX$1,0),FALSE)/1,0))</f>
        <v/>
      </c>
      <c r="Z384" s="31" t="str">
        <f>IF($D384="","",IFERROR(VLOOKUP($B384,Kraftvärmeprod!$B$1:$BX$550,MATCH(Z$2,Kraftvärmeprod!$B$1:$VX$1,0),FALSE)/1,0)-IFERROR(VLOOKUP($B384,'Slutlig allokering kvv'!$B$2:$BX$550,MATCH(Z$2,'Slutlig allokering kvv'!$B$1:$BX$1,0),FALSE)/1,0))</f>
        <v/>
      </c>
      <c r="AA384" s="31" t="str">
        <f>IF($D384="","",IFERROR(VLOOKUP($B384,Kraftvärmeprod!$B$1:$BX$550,MATCH(AA$2,Kraftvärmeprod!$B$1:$VX$1,0),FALSE)/1,0)-IFERROR(VLOOKUP($B384,'Slutlig allokering kvv'!$B$2:$BX$550,MATCH(AA$2,'Slutlig allokering kvv'!$B$1:$BX$1,0),FALSE)/1,0))</f>
        <v/>
      </c>
      <c r="AB384" s="31" t="str">
        <f>IF($D384="","",IFERROR(VLOOKUP($B384,Kraftvärmeprod!$B$1:$BX$550,MATCH(AB$2,Kraftvärmeprod!$B$1:$VX$1,0),FALSE)/1,0)-IFERROR(VLOOKUP($B384,'Slutlig allokering kvv'!$B$2:$BX$550,MATCH(AB$2,'Slutlig allokering kvv'!$B$1:$BX$1,0),FALSE)/1,0))</f>
        <v/>
      </c>
      <c r="AC384" s="31" t="str">
        <f>IF($D384="","",IFERROR(VLOOKUP($B384,Kraftvärmeprod!$B$1:$BX$550,MATCH(AC$2,Kraftvärmeprod!$B$1:$VX$1,0),FALSE)/1,0)-IFERROR(VLOOKUP($B384,'Slutlig allokering kvv'!$B$2:$BX$550,MATCH(AC$2,'Slutlig allokering kvv'!$B$1:$BX$1,0),FALSE)/1,0))</f>
        <v/>
      </c>
      <c r="AD384" s="31" t="str">
        <f>IF($D384="","",IFERROR(VLOOKUP($B384,Kraftvärmeprod!$B$1:$BX$550,MATCH(AD$2,Kraftvärmeprod!$B$1:$VX$1,0),FALSE)/1,0)-IFERROR(VLOOKUP($B384,'Slutlig allokering kvv'!$B$2:$BX$550,MATCH(AD$2,'Slutlig allokering kvv'!$B$1:$BX$1,0),FALSE)/1,0))</f>
        <v/>
      </c>
      <c r="AE384" s="31" t="str">
        <f>IF($D384="","",IFERROR(VLOOKUP($B384,Miljö!$B$1:$E$550,MATCH("Hjälpel kraftvärme (GWh)",Miljö!$B$1:$E$1,0),FALSE)/1,0)-IFERROR(VLOOKUP($B384,'Slutlig allokering kvv'!$B$2:$BX$549,MATCH(AE$2,'Slutlig allokering kvv'!$B$1:$BX$1,0),FALSE)/1,0))</f>
        <v/>
      </c>
      <c r="AI384" s="39">
        <f t="shared" si="20"/>
        <v>0</v>
      </c>
      <c r="AK384" s="31" t="str">
        <f>IFERROR(VLOOKUP($B384,'Slutlig allokering kvv'!$B$2:$AX$549,MATCH("Summa slutlig allokerad tillförd energi (utan hjälpel och rökgaskondensering):",'Slutlig allokering kvv'!$B$1:$AX$1,0),FALSE)/1,"")</f>
        <v/>
      </c>
      <c r="AM384" s="31" t="str">
        <f>IFERROR(1-VLOOKUP($B384,'Slutlig allokering kvv'!$B$2:$AX$549,MATCH("Andel av bränsle i kvv som allokerats till värme, exklusive rökgaskondensering och hjälpel",'Slutlig allokering kvv'!$B$1:$AX$1,0),FALSE),"")</f>
        <v/>
      </c>
      <c r="AO384" s="31" t="str">
        <f t="shared" si="21"/>
        <v/>
      </c>
      <c r="AP384" s="31" t="str">
        <f t="shared" si="22"/>
        <v/>
      </c>
      <c r="AR384" s="32" t="str">
        <f t="shared" si="23"/>
        <v/>
      </c>
    </row>
    <row r="385" spans="3:44" s="31" customFormat="1" x14ac:dyDescent="0.45">
      <c r="C385" s="31" t="str">
        <f>IFERROR(VLOOKUP($B385,Kraftvärmeprod!$B$1:$AH$479,MATCH(C$2,Kraftvärmeprod!$B$1:$AG$1,0),FALSE)/1,"")</f>
        <v/>
      </c>
      <c r="D385" s="31" t="str">
        <f>IFERROR(VLOOKUP($B385,Kraftvärmeprod!$B$1:$AH$479,MATCH(D$2,Kraftvärmeprod!$B$1:$AG$1,0),FALSE)/1,"")</f>
        <v/>
      </c>
      <c r="F385" s="31" t="str">
        <f>IF($D385="","",IFERROR(VLOOKUP($B385,Kraftvärmeprod!$B$1:$BX$550,MATCH(F$2,Kraftvärmeprod!$B$1:$VX$1,0),FALSE)/1,0)-IFERROR(VLOOKUP($B385,'Slutlig allokering kvv'!$B$2:$BX$550,MATCH(F$2,'Slutlig allokering kvv'!$B$1:$BX$1,0),FALSE)/1,0))</f>
        <v/>
      </c>
      <c r="G385" s="31" t="str">
        <f>IF($D385="","",IFERROR(VLOOKUP($B385,Kraftvärmeprod!$B$1:$BX$550,MATCH(G$2,Kraftvärmeprod!$B$1:$VX$1,0),FALSE)/1,0)-IFERROR(VLOOKUP($B385,'Slutlig allokering kvv'!$B$2:$BX$550,MATCH(G$2,'Slutlig allokering kvv'!$B$1:$BX$1,0),FALSE)/1,0))</f>
        <v/>
      </c>
      <c r="H385" s="31" t="str">
        <f>IF($D385="","",IFERROR(VLOOKUP($B385,Kraftvärmeprod!$B$1:$BX$550,MATCH(H$2,Kraftvärmeprod!$B$1:$VX$1,0),FALSE)/1,0)-IFERROR(VLOOKUP($B385,'Slutlig allokering kvv'!$B$2:$BX$550,MATCH(H$2,'Slutlig allokering kvv'!$B$1:$BX$1,0),FALSE)/1,0))</f>
        <v/>
      </c>
      <c r="I385" s="31" t="str">
        <f>IF($D385="","",IFERROR(VLOOKUP($B385,Kraftvärmeprod!$B$1:$BX$550,MATCH(I$2,Kraftvärmeprod!$B$1:$VX$1,0),FALSE)/1,0)-IFERROR(VLOOKUP($B385,'Slutlig allokering kvv'!$B$2:$BX$550,MATCH(I$2,'Slutlig allokering kvv'!$B$1:$BX$1,0),FALSE)/1,0))</f>
        <v/>
      </c>
      <c r="J385" s="31" t="str">
        <f>IF($D385="","",IFERROR(VLOOKUP($B385,Kraftvärmeprod!$B$1:$BX$550,MATCH(J$2,Kraftvärmeprod!$B$1:$VX$1,0),FALSE)/1,0)-IFERROR(VLOOKUP($B385,'Slutlig allokering kvv'!$B$2:$BX$550,MATCH(J$2,'Slutlig allokering kvv'!$B$1:$BX$1,0),FALSE)/1,0))</f>
        <v/>
      </c>
      <c r="K385" s="31" t="str">
        <f>IF($D385="","",IFERROR(VLOOKUP($B385,Kraftvärmeprod!$B$1:$BX$550,MATCH(K$2,Kraftvärmeprod!$B$1:$VX$1,0),FALSE)/1,0)-IFERROR(VLOOKUP($B385,'Slutlig allokering kvv'!$B$2:$BX$550,MATCH(K$2,'Slutlig allokering kvv'!$B$1:$BX$1,0),FALSE)/1,0))</f>
        <v/>
      </c>
      <c r="L385" s="31" t="str">
        <f>IF($D385="","",IFERROR(VLOOKUP($B385,Kraftvärmeprod!$B$1:$BX$550,MATCH(L$2,Kraftvärmeprod!$B$1:$VX$1,0),FALSE)/1,0)-IFERROR(VLOOKUP($B385,'Slutlig allokering kvv'!$B$2:$BX$550,MATCH(L$2,'Slutlig allokering kvv'!$B$1:$BX$1,0),FALSE)/1,0))</f>
        <v/>
      </c>
      <c r="M385" s="31" t="str">
        <f>IF($D385="","",IFERROR(VLOOKUP($B385,Kraftvärmeprod!$B$1:$BX$550,MATCH(M$2,Kraftvärmeprod!$B$1:$VX$1,0),FALSE)/1,0)-IFERROR(VLOOKUP($B385,'Slutlig allokering kvv'!$B$2:$BX$550,MATCH(M$2,'Slutlig allokering kvv'!$B$1:$BX$1,0),FALSE)/1,0))</f>
        <v/>
      </c>
      <c r="N385" s="31" t="str">
        <f>IF($D385="","",IFERROR(VLOOKUP($B385,Kraftvärmeprod!$B$1:$BX$550,MATCH(N$2,Kraftvärmeprod!$B$1:$VX$1,0),FALSE)/1,0)-IFERROR(VLOOKUP($B385,'Slutlig allokering kvv'!$B$2:$BX$550,MATCH(N$2,'Slutlig allokering kvv'!$B$1:$BX$1,0),FALSE)/1,0))</f>
        <v/>
      </c>
      <c r="O385" s="31" t="str">
        <f>IF($D385="","",IFERROR(VLOOKUP($B385,Kraftvärmeprod!$B$1:$BX$550,MATCH(O$2,Kraftvärmeprod!$B$1:$VX$1,0),FALSE)/1,0)-IFERROR(VLOOKUP($B385,'Slutlig allokering kvv'!$B$2:$BX$550,MATCH(O$2,'Slutlig allokering kvv'!$B$1:$BX$1,0),FALSE)/1,0))</f>
        <v/>
      </c>
      <c r="P385" s="31" t="str">
        <f>IF($D385="","",IFERROR(VLOOKUP($B385,Kraftvärmeprod!$B$1:$BX$550,MATCH(P$2,Kraftvärmeprod!$B$1:$VX$1,0),FALSE)/1,0)-IFERROR(VLOOKUP($B385,'Slutlig allokering kvv'!$B$2:$BX$550,MATCH(P$2,'Slutlig allokering kvv'!$B$1:$BX$1,0),FALSE)/1,0))</f>
        <v/>
      </c>
      <c r="Q385" s="31" t="str">
        <f>IF($D385="","",IFERROR(VLOOKUP($B385,Kraftvärmeprod!$B$1:$BX$550,MATCH(Q$2,Kraftvärmeprod!$B$1:$VX$1,0),FALSE)/1,0)-IFERROR(VLOOKUP($B385,'Slutlig allokering kvv'!$B$2:$BX$550,MATCH(Q$2,'Slutlig allokering kvv'!$B$1:$BX$1,0),FALSE)/1,0))</f>
        <v/>
      </c>
      <c r="R385" s="31" t="str">
        <f>IF($D385="","",IFERROR(VLOOKUP($B385,Kraftvärmeprod!$B$1:$BX$550,MATCH(R$2,Kraftvärmeprod!$B$1:$VX$1,0),FALSE)/1,0)-IFERROR(VLOOKUP($B385,'Slutlig allokering kvv'!$B$2:$BX$550,MATCH(R$2,'Slutlig allokering kvv'!$B$1:$BX$1,0),FALSE)/1,0))</f>
        <v/>
      </c>
      <c r="S385" s="31" t="str">
        <f>IF($D385="","",IFERROR(VLOOKUP($B385,Kraftvärmeprod!$B$1:$BX$550,MATCH(S$2,Kraftvärmeprod!$B$1:$VX$1,0),FALSE)/1,0)-IFERROR(VLOOKUP($B385,'Slutlig allokering kvv'!$B$2:$BX$550,MATCH(S$2,'Slutlig allokering kvv'!$B$1:$BX$1,0),FALSE)/1,0))</f>
        <v/>
      </c>
      <c r="T385" s="31" t="str">
        <f>IF($D385="","",IFERROR(VLOOKUP($B385,Kraftvärmeprod!$B$1:$BX$550,MATCH(T$2,Kraftvärmeprod!$B$1:$VX$1,0),FALSE)/1,0)-IFERROR(VLOOKUP($B385,'Slutlig allokering kvv'!$B$2:$BX$550,MATCH(T$2,'Slutlig allokering kvv'!$B$1:$BX$1,0),FALSE)/1,0))</f>
        <v/>
      </c>
      <c r="U385" s="31" t="str">
        <f>IF($D385="","",IFERROR(VLOOKUP($B385,Kraftvärmeprod!$B$1:$BX$550,MATCH(U$2,Kraftvärmeprod!$B$1:$VX$1,0),FALSE)/1,0)-IFERROR(VLOOKUP($B385,'Slutlig allokering kvv'!$B$2:$BX$550,MATCH(U$2,'Slutlig allokering kvv'!$B$1:$BX$1,0),FALSE)/1,0))</f>
        <v/>
      </c>
      <c r="V385" s="31" t="str">
        <f>IF($D385="","",IFERROR(VLOOKUP($B385,Kraftvärmeprod!$B$1:$BX$550,MATCH(V$2,Kraftvärmeprod!$B$1:$VX$1,0),FALSE)/1,0)-IFERROR(VLOOKUP($B385,'Slutlig allokering kvv'!$B$2:$BX$550,MATCH(V$2,'Slutlig allokering kvv'!$B$1:$BX$1,0),FALSE)/1,0))</f>
        <v/>
      </c>
      <c r="W385" s="31" t="str">
        <f>IF($D385="","",IFERROR(VLOOKUP($B385,Kraftvärmeprod!$B$1:$BX$550,MATCH(W$2,Kraftvärmeprod!$B$1:$VX$1,0),FALSE)/1,0)-IFERROR(VLOOKUP($B385,'Slutlig allokering kvv'!$B$2:$BX$550,MATCH(W$2,'Slutlig allokering kvv'!$B$1:$BX$1,0),FALSE)/1,0))</f>
        <v/>
      </c>
      <c r="X385" s="31" t="str">
        <f>IF($D385="","",IFERROR(VLOOKUP($B385,Kraftvärmeprod!$B$1:$BX$550,MATCH(X$2,Kraftvärmeprod!$B$1:$VX$1,0),FALSE)/1,0)-IFERROR(VLOOKUP($B385,'Slutlig allokering kvv'!$B$2:$BX$550,MATCH(X$2,'Slutlig allokering kvv'!$B$1:$BX$1,0),FALSE)/1,0))</f>
        <v/>
      </c>
      <c r="Y385" s="31" t="str">
        <f>IF($D385="","",IFERROR(VLOOKUP($B385,Kraftvärmeprod!$B$1:$BX$550,MATCH(Y$2,Kraftvärmeprod!$B$1:$VX$1,0),FALSE)/1,0)-IFERROR(VLOOKUP($B385,'Slutlig allokering kvv'!$B$2:$BX$550,MATCH(Y$2,'Slutlig allokering kvv'!$B$1:$BX$1,0),FALSE)/1,0))</f>
        <v/>
      </c>
      <c r="Z385" s="31" t="str">
        <f>IF($D385="","",IFERROR(VLOOKUP($B385,Kraftvärmeprod!$B$1:$BX$550,MATCH(Z$2,Kraftvärmeprod!$B$1:$VX$1,0),FALSE)/1,0)-IFERROR(VLOOKUP($B385,'Slutlig allokering kvv'!$B$2:$BX$550,MATCH(Z$2,'Slutlig allokering kvv'!$B$1:$BX$1,0),FALSE)/1,0))</f>
        <v/>
      </c>
      <c r="AA385" s="31" t="str">
        <f>IF($D385="","",IFERROR(VLOOKUP($B385,Kraftvärmeprod!$B$1:$BX$550,MATCH(AA$2,Kraftvärmeprod!$B$1:$VX$1,0),FALSE)/1,0)-IFERROR(VLOOKUP($B385,'Slutlig allokering kvv'!$B$2:$BX$550,MATCH(AA$2,'Slutlig allokering kvv'!$B$1:$BX$1,0),FALSE)/1,0))</f>
        <v/>
      </c>
      <c r="AB385" s="31" t="str">
        <f>IF($D385="","",IFERROR(VLOOKUP($B385,Kraftvärmeprod!$B$1:$BX$550,MATCH(AB$2,Kraftvärmeprod!$B$1:$VX$1,0),FALSE)/1,0)-IFERROR(VLOOKUP($B385,'Slutlig allokering kvv'!$B$2:$BX$550,MATCH(AB$2,'Slutlig allokering kvv'!$B$1:$BX$1,0),FALSE)/1,0))</f>
        <v/>
      </c>
      <c r="AC385" s="31" t="str">
        <f>IF($D385="","",IFERROR(VLOOKUP($B385,Kraftvärmeprod!$B$1:$BX$550,MATCH(AC$2,Kraftvärmeprod!$B$1:$VX$1,0),FALSE)/1,0)-IFERROR(VLOOKUP($B385,'Slutlig allokering kvv'!$B$2:$BX$550,MATCH(AC$2,'Slutlig allokering kvv'!$B$1:$BX$1,0),FALSE)/1,0))</f>
        <v/>
      </c>
      <c r="AD385" s="31" t="str">
        <f>IF($D385="","",IFERROR(VLOOKUP($B385,Kraftvärmeprod!$B$1:$BX$550,MATCH(AD$2,Kraftvärmeprod!$B$1:$VX$1,0),FALSE)/1,0)-IFERROR(VLOOKUP($B385,'Slutlig allokering kvv'!$B$2:$BX$550,MATCH(AD$2,'Slutlig allokering kvv'!$B$1:$BX$1,0),FALSE)/1,0))</f>
        <v/>
      </c>
      <c r="AE385" s="31" t="str">
        <f>IF($D385="","",IFERROR(VLOOKUP($B385,Miljö!$B$1:$E$550,MATCH("Hjälpel kraftvärme (GWh)",Miljö!$B$1:$E$1,0),FALSE)/1,0)-IFERROR(VLOOKUP($B385,'Slutlig allokering kvv'!$B$2:$BX$549,MATCH(AE$2,'Slutlig allokering kvv'!$B$1:$BX$1,0),FALSE)/1,0))</f>
        <v/>
      </c>
      <c r="AI385" s="39">
        <f t="shared" si="20"/>
        <v>0</v>
      </c>
      <c r="AK385" s="31" t="str">
        <f>IFERROR(VLOOKUP($B385,'Slutlig allokering kvv'!$B$2:$AX$549,MATCH("Summa slutlig allokerad tillförd energi (utan hjälpel och rökgaskondensering):",'Slutlig allokering kvv'!$B$1:$AX$1,0),FALSE)/1,"")</f>
        <v/>
      </c>
      <c r="AM385" s="31" t="str">
        <f>IFERROR(1-VLOOKUP($B385,'Slutlig allokering kvv'!$B$2:$AX$549,MATCH("Andel av bränsle i kvv som allokerats till värme, exklusive rökgaskondensering och hjälpel",'Slutlig allokering kvv'!$B$1:$AX$1,0),FALSE),"")</f>
        <v/>
      </c>
      <c r="AO385" s="31" t="str">
        <f t="shared" si="21"/>
        <v/>
      </c>
      <c r="AP385" s="31" t="str">
        <f t="shared" si="22"/>
        <v/>
      </c>
      <c r="AR385" s="32" t="str">
        <f t="shared" si="23"/>
        <v/>
      </c>
    </row>
    <row r="386" spans="3:44" s="31" customFormat="1" x14ac:dyDescent="0.45">
      <c r="C386" s="31" t="str">
        <f>IFERROR(VLOOKUP($B386,Kraftvärmeprod!$B$1:$AH$479,MATCH(C$2,Kraftvärmeprod!$B$1:$AG$1,0),FALSE)/1,"")</f>
        <v/>
      </c>
      <c r="D386" s="31" t="str">
        <f>IFERROR(VLOOKUP($B386,Kraftvärmeprod!$B$1:$AH$479,MATCH(D$2,Kraftvärmeprod!$B$1:$AG$1,0),FALSE)/1,"")</f>
        <v/>
      </c>
      <c r="F386" s="31" t="str">
        <f>IF($D386="","",IFERROR(VLOOKUP($B386,Kraftvärmeprod!$B$1:$BX$550,MATCH(F$2,Kraftvärmeprod!$B$1:$VX$1,0),FALSE)/1,0)-IFERROR(VLOOKUP($B386,'Slutlig allokering kvv'!$B$2:$BX$550,MATCH(F$2,'Slutlig allokering kvv'!$B$1:$BX$1,0),FALSE)/1,0))</f>
        <v/>
      </c>
      <c r="G386" s="31" t="str">
        <f>IF($D386="","",IFERROR(VLOOKUP($B386,Kraftvärmeprod!$B$1:$BX$550,MATCH(G$2,Kraftvärmeprod!$B$1:$VX$1,0),FALSE)/1,0)-IFERROR(VLOOKUP($B386,'Slutlig allokering kvv'!$B$2:$BX$550,MATCH(G$2,'Slutlig allokering kvv'!$B$1:$BX$1,0),FALSE)/1,0))</f>
        <v/>
      </c>
      <c r="H386" s="31" t="str">
        <f>IF($D386="","",IFERROR(VLOOKUP($B386,Kraftvärmeprod!$B$1:$BX$550,MATCH(H$2,Kraftvärmeprod!$B$1:$VX$1,0),FALSE)/1,0)-IFERROR(VLOOKUP($B386,'Slutlig allokering kvv'!$B$2:$BX$550,MATCH(H$2,'Slutlig allokering kvv'!$B$1:$BX$1,0),FALSE)/1,0))</f>
        <v/>
      </c>
      <c r="I386" s="31" t="str">
        <f>IF($D386="","",IFERROR(VLOOKUP($B386,Kraftvärmeprod!$B$1:$BX$550,MATCH(I$2,Kraftvärmeprod!$B$1:$VX$1,0),FALSE)/1,0)-IFERROR(VLOOKUP($B386,'Slutlig allokering kvv'!$B$2:$BX$550,MATCH(I$2,'Slutlig allokering kvv'!$B$1:$BX$1,0),FALSE)/1,0))</f>
        <v/>
      </c>
      <c r="J386" s="31" t="str">
        <f>IF($D386="","",IFERROR(VLOOKUP($B386,Kraftvärmeprod!$B$1:$BX$550,MATCH(J$2,Kraftvärmeprod!$B$1:$VX$1,0),FALSE)/1,0)-IFERROR(VLOOKUP($B386,'Slutlig allokering kvv'!$B$2:$BX$550,MATCH(J$2,'Slutlig allokering kvv'!$B$1:$BX$1,0),FALSE)/1,0))</f>
        <v/>
      </c>
      <c r="K386" s="31" t="str">
        <f>IF($D386="","",IFERROR(VLOOKUP($B386,Kraftvärmeprod!$B$1:$BX$550,MATCH(K$2,Kraftvärmeprod!$B$1:$VX$1,0),FALSE)/1,0)-IFERROR(VLOOKUP($B386,'Slutlig allokering kvv'!$B$2:$BX$550,MATCH(K$2,'Slutlig allokering kvv'!$B$1:$BX$1,0),FALSE)/1,0))</f>
        <v/>
      </c>
      <c r="L386" s="31" t="str">
        <f>IF($D386="","",IFERROR(VLOOKUP($B386,Kraftvärmeprod!$B$1:$BX$550,MATCH(L$2,Kraftvärmeprod!$B$1:$VX$1,0),FALSE)/1,0)-IFERROR(VLOOKUP($B386,'Slutlig allokering kvv'!$B$2:$BX$550,MATCH(L$2,'Slutlig allokering kvv'!$B$1:$BX$1,0),FALSE)/1,0))</f>
        <v/>
      </c>
      <c r="M386" s="31" t="str">
        <f>IF($D386="","",IFERROR(VLOOKUP($B386,Kraftvärmeprod!$B$1:$BX$550,MATCH(M$2,Kraftvärmeprod!$B$1:$VX$1,0),FALSE)/1,0)-IFERROR(VLOOKUP($B386,'Slutlig allokering kvv'!$B$2:$BX$550,MATCH(M$2,'Slutlig allokering kvv'!$B$1:$BX$1,0),FALSE)/1,0))</f>
        <v/>
      </c>
      <c r="N386" s="31" t="str">
        <f>IF($D386="","",IFERROR(VLOOKUP($B386,Kraftvärmeprod!$B$1:$BX$550,MATCH(N$2,Kraftvärmeprod!$B$1:$VX$1,0),FALSE)/1,0)-IFERROR(VLOOKUP($B386,'Slutlig allokering kvv'!$B$2:$BX$550,MATCH(N$2,'Slutlig allokering kvv'!$B$1:$BX$1,0),FALSE)/1,0))</f>
        <v/>
      </c>
      <c r="O386" s="31" t="str">
        <f>IF($D386="","",IFERROR(VLOOKUP($B386,Kraftvärmeprod!$B$1:$BX$550,MATCH(O$2,Kraftvärmeprod!$B$1:$VX$1,0),FALSE)/1,0)-IFERROR(VLOOKUP($B386,'Slutlig allokering kvv'!$B$2:$BX$550,MATCH(O$2,'Slutlig allokering kvv'!$B$1:$BX$1,0),FALSE)/1,0))</f>
        <v/>
      </c>
      <c r="P386" s="31" t="str">
        <f>IF($D386="","",IFERROR(VLOOKUP($B386,Kraftvärmeprod!$B$1:$BX$550,MATCH(P$2,Kraftvärmeprod!$B$1:$VX$1,0),FALSE)/1,0)-IFERROR(VLOOKUP($B386,'Slutlig allokering kvv'!$B$2:$BX$550,MATCH(P$2,'Slutlig allokering kvv'!$B$1:$BX$1,0),FALSE)/1,0))</f>
        <v/>
      </c>
      <c r="Q386" s="31" t="str">
        <f>IF($D386="","",IFERROR(VLOOKUP($B386,Kraftvärmeprod!$B$1:$BX$550,MATCH(Q$2,Kraftvärmeprod!$B$1:$VX$1,0),FALSE)/1,0)-IFERROR(VLOOKUP($B386,'Slutlig allokering kvv'!$B$2:$BX$550,MATCH(Q$2,'Slutlig allokering kvv'!$B$1:$BX$1,0),FALSE)/1,0))</f>
        <v/>
      </c>
      <c r="R386" s="31" t="str">
        <f>IF($D386="","",IFERROR(VLOOKUP($B386,Kraftvärmeprod!$B$1:$BX$550,MATCH(R$2,Kraftvärmeprod!$B$1:$VX$1,0),FALSE)/1,0)-IFERROR(VLOOKUP($B386,'Slutlig allokering kvv'!$B$2:$BX$550,MATCH(R$2,'Slutlig allokering kvv'!$B$1:$BX$1,0),FALSE)/1,0))</f>
        <v/>
      </c>
      <c r="S386" s="31" t="str">
        <f>IF($D386="","",IFERROR(VLOOKUP($B386,Kraftvärmeprod!$B$1:$BX$550,MATCH(S$2,Kraftvärmeprod!$B$1:$VX$1,0),FALSE)/1,0)-IFERROR(VLOOKUP($B386,'Slutlig allokering kvv'!$B$2:$BX$550,MATCH(S$2,'Slutlig allokering kvv'!$B$1:$BX$1,0),FALSE)/1,0))</f>
        <v/>
      </c>
      <c r="T386" s="31" t="str">
        <f>IF($D386="","",IFERROR(VLOOKUP($B386,Kraftvärmeprod!$B$1:$BX$550,MATCH(T$2,Kraftvärmeprod!$B$1:$VX$1,0),FALSE)/1,0)-IFERROR(VLOOKUP($B386,'Slutlig allokering kvv'!$B$2:$BX$550,MATCH(T$2,'Slutlig allokering kvv'!$B$1:$BX$1,0),FALSE)/1,0))</f>
        <v/>
      </c>
      <c r="U386" s="31" t="str">
        <f>IF($D386="","",IFERROR(VLOOKUP($B386,Kraftvärmeprod!$B$1:$BX$550,MATCH(U$2,Kraftvärmeprod!$B$1:$VX$1,0),FALSE)/1,0)-IFERROR(VLOOKUP($B386,'Slutlig allokering kvv'!$B$2:$BX$550,MATCH(U$2,'Slutlig allokering kvv'!$B$1:$BX$1,0),FALSE)/1,0))</f>
        <v/>
      </c>
      <c r="V386" s="31" t="str">
        <f>IF($D386="","",IFERROR(VLOOKUP($B386,Kraftvärmeprod!$B$1:$BX$550,MATCH(V$2,Kraftvärmeprod!$B$1:$VX$1,0),FALSE)/1,0)-IFERROR(VLOOKUP($B386,'Slutlig allokering kvv'!$B$2:$BX$550,MATCH(V$2,'Slutlig allokering kvv'!$B$1:$BX$1,0),FALSE)/1,0))</f>
        <v/>
      </c>
      <c r="W386" s="31" t="str">
        <f>IF($D386="","",IFERROR(VLOOKUP($B386,Kraftvärmeprod!$B$1:$BX$550,MATCH(W$2,Kraftvärmeprod!$B$1:$VX$1,0),FALSE)/1,0)-IFERROR(VLOOKUP($B386,'Slutlig allokering kvv'!$B$2:$BX$550,MATCH(W$2,'Slutlig allokering kvv'!$B$1:$BX$1,0),FALSE)/1,0))</f>
        <v/>
      </c>
      <c r="X386" s="31" t="str">
        <f>IF($D386="","",IFERROR(VLOOKUP($B386,Kraftvärmeprod!$B$1:$BX$550,MATCH(X$2,Kraftvärmeprod!$B$1:$VX$1,0),FALSE)/1,0)-IFERROR(VLOOKUP($B386,'Slutlig allokering kvv'!$B$2:$BX$550,MATCH(X$2,'Slutlig allokering kvv'!$B$1:$BX$1,0),FALSE)/1,0))</f>
        <v/>
      </c>
      <c r="Y386" s="31" t="str">
        <f>IF($D386="","",IFERROR(VLOOKUP($B386,Kraftvärmeprod!$B$1:$BX$550,MATCH(Y$2,Kraftvärmeprod!$B$1:$VX$1,0),FALSE)/1,0)-IFERROR(VLOOKUP($B386,'Slutlig allokering kvv'!$B$2:$BX$550,MATCH(Y$2,'Slutlig allokering kvv'!$B$1:$BX$1,0),FALSE)/1,0))</f>
        <v/>
      </c>
      <c r="Z386" s="31" t="str">
        <f>IF($D386="","",IFERROR(VLOOKUP($B386,Kraftvärmeprod!$B$1:$BX$550,MATCH(Z$2,Kraftvärmeprod!$B$1:$VX$1,0),FALSE)/1,0)-IFERROR(VLOOKUP($B386,'Slutlig allokering kvv'!$B$2:$BX$550,MATCH(Z$2,'Slutlig allokering kvv'!$B$1:$BX$1,0),FALSE)/1,0))</f>
        <v/>
      </c>
      <c r="AA386" s="31" t="str">
        <f>IF($D386="","",IFERROR(VLOOKUP($B386,Kraftvärmeprod!$B$1:$BX$550,MATCH(AA$2,Kraftvärmeprod!$B$1:$VX$1,0),FALSE)/1,0)-IFERROR(VLOOKUP($B386,'Slutlig allokering kvv'!$B$2:$BX$550,MATCH(AA$2,'Slutlig allokering kvv'!$B$1:$BX$1,0),FALSE)/1,0))</f>
        <v/>
      </c>
      <c r="AB386" s="31" t="str">
        <f>IF($D386="","",IFERROR(VLOOKUP($B386,Kraftvärmeprod!$B$1:$BX$550,MATCH(AB$2,Kraftvärmeprod!$B$1:$VX$1,0),FALSE)/1,0)-IFERROR(VLOOKUP($B386,'Slutlig allokering kvv'!$B$2:$BX$550,MATCH(AB$2,'Slutlig allokering kvv'!$B$1:$BX$1,0),FALSE)/1,0))</f>
        <v/>
      </c>
      <c r="AC386" s="31" t="str">
        <f>IF($D386="","",IFERROR(VLOOKUP($B386,Kraftvärmeprod!$B$1:$BX$550,MATCH(AC$2,Kraftvärmeprod!$B$1:$VX$1,0),FALSE)/1,0)-IFERROR(VLOOKUP($B386,'Slutlig allokering kvv'!$B$2:$BX$550,MATCH(AC$2,'Slutlig allokering kvv'!$B$1:$BX$1,0),FALSE)/1,0))</f>
        <v/>
      </c>
      <c r="AD386" s="31" t="str">
        <f>IF($D386="","",IFERROR(VLOOKUP($B386,Kraftvärmeprod!$B$1:$BX$550,MATCH(AD$2,Kraftvärmeprod!$B$1:$VX$1,0),FALSE)/1,0)-IFERROR(VLOOKUP($B386,'Slutlig allokering kvv'!$B$2:$BX$550,MATCH(AD$2,'Slutlig allokering kvv'!$B$1:$BX$1,0),FALSE)/1,0))</f>
        <v/>
      </c>
      <c r="AE386" s="31" t="str">
        <f>IF($D386="","",IFERROR(VLOOKUP($B386,Miljö!$B$1:$E$550,MATCH("Hjälpel kraftvärme (GWh)",Miljö!$B$1:$E$1,0),FALSE)/1,0)-IFERROR(VLOOKUP($B386,'Slutlig allokering kvv'!$B$2:$BX$549,MATCH(AE$2,'Slutlig allokering kvv'!$B$1:$BX$1,0),FALSE)/1,0))</f>
        <v/>
      </c>
      <c r="AI386" s="39">
        <f t="shared" si="20"/>
        <v>0</v>
      </c>
      <c r="AK386" s="31" t="str">
        <f>IFERROR(VLOOKUP($B386,'Slutlig allokering kvv'!$B$2:$AX$549,MATCH("Summa slutlig allokerad tillförd energi (utan hjälpel och rökgaskondensering):",'Slutlig allokering kvv'!$B$1:$AX$1,0),FALSE)/1,"")</f>
        <v/>
      </c>
      <c r="AM386" s="31" t="str">
        <f>IFERROR(1-VLOOKUP($B386,'Slutlig allokering kvv'!$B$2:$AX$549,MATCH("Andel av bränsle i kvv som allokerats till värme, exklusive rökgaskondensering och hjälpel",'Slutlig allokering kvv'!$B$1:$AX$1,0),FALSE),"")</f>
        <v/>
      </c>
      <c r="AO386" s="31" t="str">
        <f t="shared" si="21"/>
        <v/>
      </c>
      <c r="AP386" s="31" t="str">
        <f t="shared" si="22"/>
        <v/>
      </c>
      <c r="AR386" s="32" t="str">
        <f t="shared" si="23"/>
        <v/>
      </c>
    </row>
    <row r="387" spans="3:44" s="31" customFormat="1" x14ac:dyDescent="0.45">
      <c r="C387" s="31" t="str">
        <f>IFERROR(VLOOKUP($B387,Kraftvärmeprod!$B$1:$AH$479,MATCH(C$2,Kraftvärmeprod!$B$1:$AG$1,0),FALSE)/1,"")</f>
        <v/>
      </c>
      <c r="D387" s="31" t="str">
        <f>IFERROR(VLOOKUP($B387,Kraftvärmeprod!$B$1:$AH$479,MATCH(D$2,Kraftvärmeprod!$B$1:$AG$1,0),FALSE)/1,"")</f>
        <v/>
      </c>
      <c r="F387" s="31" t="str">
        <f>IF($D387="","",IFERROR(VLOOKUP($B387,Kraftvärmeprod!$B$1:$BX$550,MATCH(F$2,Kraftvärmeprod!$B$1:$VX$1,0),FALSE)/1,0)-IFERROR(VLOOKUP($B387,'Slutlig allokering kvv'!$B$2:$BX$550,MATCH(F$2,'Slutlig allokering kvv'!$B$1:$BX$1,0),FALSE)/1,0))</f>
        <v/>
      </c>
      <c r="G387" s="31" t="str">
        <f>IF($D387="","",IFERROR(VLOOKUP($B387,Kraftvärmeprod!$B$1:$BX$550,MATCH(G$2,Kraftvärmeprod!$B$1:$VX$1,0),FALSE)/1,0)-IFERROR(VLOOKUP($B387,'Slutlig allokering kvv'!$B$2:$BX$550,MATCH(G$2,'Slutlig allokering kvv'!$B$1:$BX$1,0),FALSE)/1,0))</f>
        <v/>
      </c>
      <c r="H387" s="31" t="str">
        <f>IF($D387="","",IFERROR(VLOOKUP($B387,Kraftvärmeprod!$B$1:$BX$550,MATCH(H$2,Kraftvärmeprod!$B$1:$VX$1,0),FALSE)/1,0)-IFERROR(VLOOKUP($B387,'Slutlig allokering kvv'!$B$2:$BX$550,MATCH(H$2,'Slutlig allokering kvv'!$B$1:$BX$1,0),FALSE)/1,0))</f>
        <v/>
      </c>
      <c r="I387" s="31" t="str">
        <f>IF($D387="","",IFERROR(VLOOKUP($B387,Kraftvärmeprod!$B$1:$BX$550,MATCH(I$2,Kraftvärmeprod!$B$1:$VX$1,0),FALSE)/1,0)-IFERROR(VLOOKUP($B387,'Slutlig allokering kvv'!$B$2:$BX$550,MATCH(I$2,'Slutlig allokering kvv'!$B$1:$BX$1,0),FALSE)/1,0))</f>
        <v/>
      </c>
      <c r="J387" s="31" t="str">
        <f>IF($D387="","",IFERROR(VLOOKUP($B387,Kraftvärmeprod!$B$1:$BX$550,MATCH(J$2,Kraftvärmeprod!$B$1:$VX$1,0),FALSE)/1,0)-IFERROR(VLOOKUP($B387,'Slutlig allokering kvv'!$B$2:$BX$550,MATCH(J$2,'Slutlig allokering kvv'!$B$1:$BX$1,0),FALSE)/1,0))</f>
        <v/>
      </c>
      <c r="K387" s="31" t="str">
        <f>IF($D387="","",IFERROR(VLOOKUP($B387,Kraftvärmeprod!$B$1:$BX$550,MATCH(K$2,Kraftvärmeprod!$B$1:$VX$1,0),FALSE)/1,0)-IFERROR(VLOOKUP($B387,'Slutlig allokering kvv'!$B$2:$BX$550,MATCH(K$2,'Slutlig allokering kvv'!$B$1:$BX$1,0),FALSE)/1,0))</f>
        <v/>
      </c>
      <c r="L387" s="31" t="str">
        <f>IF($D387="","",IFERROR(VLOOKUP($B387,Kraftvärmeprod!$B$1:$BX$550,MATCH(L$2,Kraftvärmeprod!$B$1:$VX$1,0),FALSE)/1,0)-IFERROR(VLOOKUP($B387,'Slutlig allokering kvv'!$B$2:$BX$550,MATCH(L$2,'Slutlig allokering kvv'!$B$1:$BX$1,0),FALSE)/1,0))</f>
        <v/>
      </c>
      <c r="M387" s="31" t="str">
        <f>IF($D387="","",IFERROR(VLOOKUP($B387,Kraftvärmeprod!$B$1:$BX$550,MATCH(M$2,Kraftvärmeprod!$B$1:$VX$1,0),FALSE)/1,0)-IFERROR(VLOOKUP($B387,'Slutlig allokering kvv'!$B$2:$BX$550,MATCH(M$2,'Slutlig allokering kvv'!$B$1:$BX$1,0),FALSE)/1,0))</f>
        <v/>
      </c>
      <c r="N387" s="31" t="str">
        <f>IF($D387="","",IFERROR(VLOOKUP($B387,Kraftvärmeprod!$B$1:$BX$550,MATCH(N$2,Kraftvärmeprod!$B$1:$VX$1,0),FALSE)/1,0)-IFERROR(VLOOKUP($B387,'Slutlig allokering kvv'!$B$2:$BX$550,MATCH(N$2,'Slutlig allokering kvv'!$B$1:$BX$1,0),FALSE)/1,0))</f>
        <v/>
      </c>
      <c r="O387" s="31" t="str">
        <f>IF($D387="","",IFERROR(VLOOKUP($B387,Kraftvärmeprod!$B$1:$BX$550,MATCH(O$2,Kraftvärmeprod!$B$1:$VX$1,0),FALSE)/1,0)-IFERROR(VLOOKUP($B387,'Slutlig allokering kvv'!$B$2:$BX$550,MATCH(O$2,'Slutlig allokering kvv'!$B$1:$BX$1,0),FALSE)/1,0))</f>
        <v/>
      </c>
      <c r="P387" s="31" t="str">
        <f>IF($D387="","",IFERROR(VLOOKUP($B387,Kraftvärmeprod!$B$1:$BX$550,MATCH(P$2,Kraftvärmeprod!$B$1:$VX$1,0),FALSE)/1,0)-IFERROR(VLOOKUP($B387,'Slutlig allokering kvv'!$B$2:$BX$550,MATCH(P$2,'Slutlig allokering kvv'!$B$1:$BX$1,0),FALSE)/1,0))</f>
        <v/>
      </c>
      <c r="Q387" s="31" t="str">
        <f>IF($D387="","",IFERROR(VLOOKUP($B387,Kraftvärmeprod!$B$1:$BX$550,MATCH(Q$2,Kraftvärmeprod!$B$1:$VX$1,0),FALSE)/1,0)-IFERROR(VLOOKUP($B387,'Slutlig allokering kvv'!$B$2:$BX$550,MATCH(Q$2,'Slutlig allokering kvv'!$B$1:$BX$1,0),FALSE)/1,0))</f>
        <v/>
      </c>
      <c r="R387" s="31" t="str">
        <f>IF($D387="","",IFERROR(VLOOKUP($B387,Kraftvärmeprod!$B$1:$BX$550,MATCH(R$2,Kraftvärmeprod!$B$1:$VX$1,0),FALSE)/1,0)-IFERROR(VLOOKUP($B387,'Slutlig allokering kvv'!$B$2:$BX$550,MATCH(R$2,'Slutlig allokering kvv'!$B$1:$BX$1,0),FALSE)/1,0))</f>
        <v/>
      </c>
      <c r="S387" s="31" t="str">
        <f>IF($D387="","",IFERROR(VLOOKUP($B387,Kraftvärmeprod!$B$1:$BX$550,MATCH(S$2,Kraftvärmeprod!$B$1:$VX$1,0),FALSE)/1,0)-IFERROR(VLOOKUP($B387,'Slutlig allokering kvv'!$B$2:$BX$550,MATCH(S$2,'Slutlig allokering kvv'!$B$1:$BX$1,0),FALSE)/1,0))</f>
        <v/>
      </c>
      <c r="T387" s="31" t="str">
        <f>IF($D387="","",IFERROR(VLOOKUP($B387,Kraftvärmeprod!$B$1:$BX$550,MATCH(T$2,Kraftvärmeprod!$B$1:$VX$1,0),FALSE)/1,0)-IFERROR(VLOOKUP($B387,'Slutlig allokering kvv'!$B$2:$BX$550,MATCH(T$2,'Slutlig allokering kvv'!$B$1:$BX$1,0),FALSE)/1,0))</f>
        <v/>
      </c>
      <c r="U387" s="31" t="str">
        <f>IF($D387="","",IFERROR(VLOOKUP($B387,Kraftvärmeprod!$B$1:$BX$550,MATCH(U$2,Kraftvärmeprod!$B$1:$VX$1,0),FALSE)/1,0)-IFERROR(VLOOKUP($B387,'Slutlig allokering kvv'!$B$2:$BX$550,MATCH(U$2,'Slutlig allokering kvv'!$B$1:$BX$1,0),FALSE)/1,0))</f>
        <v/>
      </c>
      <c r="V387" s="31" t="str">
        <f>IF($D387="","",IFERROR(VLOOKUP($B387,Kraftvärmeprod!$B$1:$BX$550,MATCH(V$2,Kraftvärmeprod!$B$1:$VX$1,0),FALSE)/1,0)-IFERROR(VLOOKUP($B387,'Slutlig allokering kvv'!$B$2:$BX$550,MATCH(V$2,'Slutlig allokering kvv'!$B$1:$BX$1,0),FALSE)/1,0))</f>
        <v/>
      </c>
      <c r="W387" s="31" t="str">
        <f>IF($D387="","",IFERROR(VLOOKUP($B387,Kraftvärmeprod!$B$1:$BX$550,MATCH(W$2,Kraftvärmeprod!$B$1:$VX$1,0),FALSE)/1,0)-IFERROR(VLOOKUP($B387,'Slutlig allokering kvv'!$B$2:$BX$550,MATCH(W$2,'Slutlig allokering kvv'!$B$1:$BX$1,0),FALSE)/1,0))</f>
        <v/>
      </c>
      <c r="X387" s="31" t="str">
        <f>IF($D387="","",IFERROR(VLOOKUP($B387,Kraftvärmeprod!$B$1:$BX$550,MATCH(X$2,Kraftvärmeprod!$B$1:$VX$1,0),FALSE)/1,0)-IFERROR(VLOOKUP($B387,'Slutlig allokering kvv'!$B$2:$BX$550,MATCH(X$2,'Slutlig allokering kvv'!$B$1:$BX$1,0),FALSE)/1,0))</f>
        <v/>
      </c>
      <c r="Y387" s="31" t="str">
        <f>IF($D387="","",IFERROR(VLOOKUP($B387,Kraftvärmeprod!$B$1:$BX$550,MATCH(Y$2,Kraftvärmeprod!$B$1:$VX$1,0),FALSE)/1,0)-IFERROR(VLOOKUP($B387,'Slutlig allokering kvv'!$B$2:$BX$550,MATCH(Y$2,'Slutlig allokering kvv'!$B$1:$BX$1,0),FALSE)/1,0))</f>
        <v/>
      </c>
      <c r="Z387" s="31" t="str">
        <f>IF($D387="","",IFERROR(VLOOKUP($B387,Kraftvärmeprod!$B$1:$BX$550,MATCH(Z$2,Kraftvärmeprod!$B$1:$VX$1,0),FALSE)/1,0)-IFERROR(VLOOKUP($B387,'Slutlig allokering kvv'!$B$2:$BX$550,MATCH(Z$2,'Slutlig allokering kvv'!$B$1:$BX$1,0),FALSE)/1,0))</f>
        <v/>
      </c>
      <c r="AA387" s="31" t="str">
        <f>IF($D387="","",IFERROR(VLOOKUP($B387,Kraftvärmeprod!$B$1:$BX$550,MATCH(AA$2,Kraftvärmeprod!$B$1:$VX$1,0),FALSE)/1,0)-IFERROR(VLOOKUP($B387,'Slutlig allokering kvv'!$B$2:$BX$550,MATCH(AA$2,'Slutlig allokering kvv'!$B$1:$BX$1,0),FALSE)/1,0))</f>
        <v/>
      </c>
      <c r="AB387" s="31" t="str">
        <f>IF($D387="","",IFERROR(VLOOKUP($B387,Kraftvärmeprod!$B$1:$BX$550,MATCH(AB$2,Kraftvärmeprod!$B$1:$VX$1,0),FALSE)/1,0)-IFERROR(VLOOKUP($B387,'Slutlig allokering kvv'!$B$2:$BX$550,MATCH(AB$2,'Slutlig allokering kvv'!$B$1:$BX$1,0),FALSE)/1,0))</f>
        <v/>
      </c>
      <c r="AC387" s="31" t="str">
        <f>IF($D387="","",IFERROR(VLOOKUP($B387,Kraftvärmeprod!$B$1:$BX$550,MATCH(AC$2,Kraftvärmeprod!$B$1:$VX$1,0),FALSE)/1,0)-IFERROR(VLOOKUP($B387,'Slutlig allokering kvv'!$B$2:$BX$550,MATCH(AC$2,'Slutlig allokering kvv'!$B$1:$BX$1,0),FALSE)/1,0))</f>
        <v/>
      </c>
      <c r="AD387" s="31" t="str">
        <f>IF($D387="","",IFERROR(VLOOKUP($B387,Kraftvärmeprod!$B$1:$BX$550,MATCH(AD$2,Kraftvärmeprod!$B$1:$VX$1,0),FALSE)/1,0)-IFERROR(VLOOKUP($B387,'Slutlig allokering kvv'!$B$2:$BX$550,MATCH(AD$2,'Slutlig allokering kvv'!$B$1:$BX$1,0),FALSE)/1,0))</f>
        <v/>
      </c>
      <c r="AE387" s="31" t="str">
        <f>IF($D387="","",IFERROR(VLOOKUP($B387,Miljö!$B$1:$E$550,MATCH("Hjälpel kraftvärme (GWh)",Miljö!$B$1:$E$1,0),FALSE)/1,0)-IFERROR(VLOOKUP($B387,'Slutlig allokering kvv'!$B$2:$BX$549,MATCH(AE$2,'Slutlig allokering kvv'!$B$1:$BX$1,0),FALSE)/1,0))</f>
        <v/>
      </c>
      <c r="AI387" s="39">
        <f t="shared" si="20"/>
        <v>0</v>
      </c>
      <c r="AK387" s="31" t="str">
        <f>IFERROR(VLOOKUP($B387,'Slutlig allokering kvv'!$B$2:$AX$549,MATCH("Summa slutlig allokerad tillförd energi (utan hjälpel och rökgaskondensering):",'Slutlig allokering kvv'!$B$1:$AX$1,0),FALSE)/1,"")</f>
        <v/>
      </c>
      <c r="AM387" s="31" t="str">
        <f>IFERROR(1-VLOOKUP($B387,'Slutlig allokering kvv'!$B$2:$AX$549,MATCH("Andel av bränsle i kvv som allokerats till värme, exklusive rökgaskondensering och hjälpel",'Slutlig allokering kvv'!$B$1:$AX$1,0),FALSE),"")</f>
        <v/>
      </c>
      <c r="AO387" s="31" t="str">
        <f t="shared" si="21"/>
        <v/>
      </c>
      <c r="AP387" s="31" t="str">
        <f t="shared" si="22"/>
        <v/>
      </c>
      <c r="AR387" s="32" t="str">
        <f t="shared" si="23"/>
        <v/>
      </c>
    </row>
    <row r="388" spans="3:44" s="31" customFormat="1" x14ac:dyDescent="0.45">
      <c r="C388" s="31" t="str">
        <f>IFERROR(VLOOKUP($B388,Kraftvärmeprod!$B$1:$AH$479,MATCH(C$2,Kraftvärmeprod!$B$1:$AG$1,0),FALSE)/1,"")</f>
        <v/>
      </c>
      <c r="D388" s="31" t="str">
        <f>IFERROR(VLOOKUP($B388,Kraftvärmeprod!$B$1:$AH$479,MATCH(D$2,Kraftvärmeprod!$B$1:$AG$1,0),FALSE)/1,"")</f>
        <v/>
      </c>
      <c r="F388" s="31" t="str">
        <f>IF($D388="","",IFERROR(VLOOKUP($B388,Kraftvärmeprod!$B$1:$BX$550,MATCH(F$2,Kraftvärmeprod!$B$1:$VX$1,0),FALSE)/1,0)-IFERROR(VLOOKUP($B388,'Slutlig allokering kvv'!$B$2:$BX$550,MATCH(F$2,'Slutlig allokering kvv'!$B$1:$BX$1,0),FALSE)/1,0))</f>
        <v/>
      </c>
      <c r="G388" s="31" t="str">
        <f>IF($D388="","",IFERROR(VLOOKUP($B388,Kraftvärmeprod!$B$1:$BX$550,MATCH(G$2,Kraftvärmeprod!$B$1:$VX$1,0),FALSE)/1,0)-IFERROR(VLOOKUP($B388,'Slutlig allokering kvv'!$B$2:$BX$550,MATCH(G$2,'Slutlig allokering kvv'!$B$1:$BX$1,0),FALSE)/1,0))</f>
        <v/>
      </c>
      <c r="H388" s="31" t="str">
        <f>IF($D388="","",IFERROR(VLOOKUP($B388,Kraftvärmeprod!$B$1:$BX$550,MATCH(H$2,Kraftvärmeprod!$B$1:$VX$1,0),FALSE)/1,0)-IFERROR(VLOOKUP($B388,'Slutlig allokering kvv'!$B$2:$BX$550,MATCH(H$2,'Slutlig allokering kvv'!$B$1:$BX$1,0),FALSE)/1,0))</f>
        <v/>
      </c>
      <c r="I388" s="31" t="str">
        <f>IF($D388="","",IFERROR(VLOOKUP($B388,Kraftvärmeprod!$B$1:$BX$550,MATCH(I$2,Kraftvärmeprod!$B$1:$VX$1,0),FALSE)/1,0)-IFERROR(VLOOKUP($B388,'Slutlig allokering kvv'!$B$2:$BX$550,MATCH(I$2,'Slutlig allokering kvv'!$B$1:$BX$1,0),FALSE)/1,0))</f>
        <v/>
      </c>
      <c r="J388" s="31" t="str">
        <f>IF($D388="","",IFERROR(VLOOKUP($B388,Kraftvärmeprod!$B$1:$BX$550,MATCH(J$2,Kraftvärmeprod!$B$1:$VX$1,0),FALSE)/1,0)-IFERROR(VLOOKUP($B388,'Slutlig allokering kvv'!$B$2:$BX$550,MATCH(J$2,'Slutlig allokering kvv'!$B$1:$BX$1,0),FALSE)/1,0))</f>
        <v/>
      </c>
      <c r="K388" s="31" t="str">
        <f>IF($D388="","",IFERROR(VLOOKUP($B388,Kraftvärmeprod!$B$1:$BX$550,MATCH(K$2,Kraftvärmeprod!$B$1:$VX$1,0),FALSE)/1,0)-IFERROR(VLOOKUP($B388,'Slutlig allokering kvv'!$B$2:$BX$550,MATCH(K$2,'Slutlig allokering kvv'!$B$1:$BX$1,0),FALSE)/1,0))</f>
        <v/>
      </c>
      <c r="L388" s="31" t="str">
        <f>IF($D388="","",IFERROR(VLOOKUP($B388,Kraftvärmeprod!$B$1:$BX$550,MATCH(L$2,Kraftvärmeprod!$B$1:$VX$1,0),FALSE)/1,0)-IFERROR(VLOOKUP($B388,'Slutlig allokering kvv'!$B$2:$BX$550,MATCH(L$2,'Slutlig allokering kvv'!$B$1:$BX$1,0),FALSE)/1,0))</f>
        <v/>
      </c>
      <c r="M388" s="31" t="str">
        <f>IF($D388="","",IFERROR(VLOOKUP($B388,Kraftvärmeprod!$B$1:$BX$550,MATCH(M$2,Kraftvärmeprod!$B$1:$VX$1,0),FALSE)/1,0)-IFERROR(VLOOKUP($B388,'Slutlig allokering kvv'!$B$2:$BX$550,MATCH(M$2,'Slutlig allokering kvv'!$B$1:$BX$1,0),FALSE)/1,0))</f>
        <v/>
      </c>
      <c r="N388" s="31" t="str">
        <f>IF($D388="","",IFERROR(VLOOKUP($B388,Kraftvärmeprod!$B$1:$BX$550,MATCH(N$2,Kraftvärmeprod!$B$1:$VX$1,0),FALSE)/1,0)-IFERROR(VLOOKUP($B388,'Slutlig allokering kvv'!$B$2:$BX$550,MATCH(N$2,'Slutlig allokering kvv'!$B$1:$BX$1,0),FALSE)/1,0))</f>
        <v/>
      </c>
      <c r="O388" s="31" t="str">
        <f>IF($D388="","",IFERROR(VLOOKUP($B388,Kraftvärmeprod!$B$1:$BX$550,MATCH(O$2,Kraftvärmeprod!$B$1:$VX$1,0),FALSE)/1,0)-IFERROR(VLOOKUP($B388,'Slutlig allokering kvv'!$B$2:$BX$550,MATCH(O$2,'Slutlig allokering kvv'!$B$1:$BX$1,0),FALSE)/1,0))</f>
        <v/>
      </c>
      <c r="P388" s="31" t="str">
        <f>IF($D388="","",IFERROR(VLOOKUP($B388,Kraftvärmeprod!$B$1:$BX$550,MATCH(P$2,Kraftvärmeprod!$B$1:$VX$1,0),FALSE)/1,0)-IFERROR(VLOOKUP($B388,'Slutlig allokering kvv'!$B$2:$BX$550,MATCH(P$2,'Slutlig allokering kvv'!$B$1:$BX$1,0),FALSE)/1,0))</f>
        <v/>
      </c>
      <c r="Q388" s="31" t="str">
        <f>IF($D388="","",IFERROR(VLOOKUP($B388,Kraftvärmeprod!$B$1:$BX$550,MATCH(Q$2,Kraftvärmeprod!$B$1:$VX$1,0),FALSE)/1,0)-IFERROR(VLOOKUP($B388,'Slutlig allokering kvv'!$B$2:$BX$550,MATCH(Q$2,'Slutlig allokering kvv'!$B$1:$BX$1,0),FALSE)/1,0))</f>
        <v/>
      </c>
      <c r="R388" s="31" t="str">
        <f>IF($D388="","",IFERROR(VLOOKUP($B388,Kraftvärmeprod!$B$1:$BX$550,MATCH(R$2,Kraftvärmeprod!$B$1:$VX$1,0),FALSE)/1,0)-IFERROR(VLOOKUP($B388,'Slutlig allokering kvv'!$B$2:$BX$550,MATCH(R$2,'Slutlig allokering kvv'!$B$1:$BX$1,0),FALSE)/1,0))</f>
        <v/>
      </c>
      <c r="S388" s="31" t="str">
        <f>IF($D388="","",IFERROR(VLOOKUP($B388,Kraftvärmeprod!$B$1:$BX$550,MATCH(S$2,Kraftvärmeprod!$B$1:$VX$1,0),FALSE)/1,0)-IFERROR(VLOOKUP($B388,'Slutlig allokering kvv'!$B$2:$BX$550,MATCH(S$2,'Slutlig allokering kvv'!$B$1:$BX$1,0),FALSE)/1,0))</f>
        <v/>
      </c>
      <c r="T388" s="31" t="str">
        <f>IF($D388="","",IFERROR(VLOOKUP($B388,Kraftvärmeprod!$B$1:$BX$550,MATCH(T$2,Kraftvärmeprod!$B$1:$VX$1,0),FALSE)/1,0)-IFERROR(VLOOKUP($B388,'Slutlig allokering kvv'!$B$2:$BX$550,MATCH(T$2,'Slutlig allokering kvv'!$B$1:$BX$1,0),FALSE)/1,0))</f>
        <v/>
      </c>
      <c r="U388" s="31" t="str">
        <f>IF($D388="","",IFERROR(VLOOKUP($B388,Kraftvärmeprod!$B$1:$BX$550,MATCH(U$2,Kraftvärmeprod!$B$1:$VX$1,0),FALSE)/1,0)-IFERROR(VLOOKUP($B388,'Slutlig allokering kvv'!$B$2:$BX$550,MATCH(U$2,'Slutlig allokering kvv'!$B$1:$BX$1,0),FALSE)/1,0))</f>
        <v/>
      </c>
      <c r="V388" s="31" t="str">
        <f>IF($D388="","",IFERROR(VLOOKUP($B388,Kraftvärmeprod!$B$1:$BX$550,MATCH(V$2,Kraftvärmeprod!$B$1:$VX$1,0),FALSE)/1,0)-IFERROR(VLOOKUP($B388,'Slutlig allokering kvv'!$B$2:$BX$550,MATCH(V$2,'Slutlig allokering kvv'!$B$1:$BX$1,0),FALSE)/1,0))</f>
        <v/>
      </c>
      <c r="W388" s="31" t="str">
        <f>IF($D388="","",IFERROR(VLOOKUP($B388,Kraftvärmeprod!$B$1:$BX$550,MATCH(W$2,Kraftvärmeprod!$B$1:$VX$1,0),FALSE)/1,0)-IFERROR(VLOOKUP($B388,'Slutlig allokering kvv'!$B$2:$BX$550,MATCH(W$2,'Slutlig allokering kvv'!$B$1:$BX$1,0),FALSE)/1,0))</f>
        <v/>
      </c>
      <c r="X388" s="31" t="str">
        <f>IF($D388="","",IFERROR(VLOOKUP($B388,Kraftvärmeprod!$B$1:$BX$550,MATCH(X$2,Kraftvärmeprod!$B$1:$VX$1,0),FALSE)/1,0)-IFERROR(VLOOKUP($B388,'Slutlig allokering kvv'!$B$2:$BX$550,MATCH(X$2,'Slutlig allokering kvv'!$B$1:$BX$1,0),FALSE)/1,0))</f>
        <v/>
      </c>
      <c r="Y388" s="31" t="str">
        <f>IF($D388="","",IFERROR(VLOOKUP($B388,Kraftvärmeprod!$B$1:$BX$550,MATCH(Y$2,Kraftvärmeprod!$B$1:$VX$1,0),FALSE)/1,0)-IFERROR(VLOOKUP($B388,'Slutlig allokering kvv'!$B$2:$BX$550,MATCH(Y$2,'Slutlig allokering kvv'!$B$1:$BX$1,0),FALSE)/1,0))</f>
        <v/>
      </c>
      <c r="Z388" s="31" t="str">
        <f>IF($D388="","",IFERROR(VLOOKUP($B388,Kraftvärmeprod!$B$1:$BX$550,MATCH(Z$2,Kraftvärmeprod!$B$1:$VX$1,0),FALSE)/1,0)-IFERROR(VLOOKUP($B388,'Slutlig allokering kvv'!$B$2:$BX$550,MATCH(Z$2,'Slutlig allokering kvv'!$B$1:$BX$1,0),FALSE)/1,0))</f>
        <v/>
      </c>
      <c r="AA388" s="31" t="str">
        <f>IF($D388="","",IFERROR(VLOOKUP($B388,Kraftvärmeprod!$B$1:$BX$550,MATCH(AA$2,Kraftvärmeprod!$B$1:$VX$1,0),FALSE)/1,0)-IFERROR(VLOOKUP($B388,'Slutlig allokering kvv'!$B$2:$BX$550,MATCH(AA$2,'Slutlig allokering kvv'!$B$1:$BX$1,0),FALSE)/1,0))</f>
        <v/>
      </c>
      <c r="AB388" s="31" t="str">
        <f>IF($D388="","",IFERROR(VLOOKUP($B388,Kraftvärmeprod!$B$1:$BX$550,MATCH(AB$2,Kraftvärmeprod!$B$1:$VX$1,0),FALSE)/1,0)-IFERROR(VLOOKUP($B388,'Slutlig allokering kvv'!$B$2:$BX$550,MATCH(AB$2,'Slutlig allokering kvv'!$B$1:$BX$1,0),FALSE)/1,0))</f>
        <v/>
      </c>
      <c r="AC388" s="31" t="str">
        <f>IF($D388="","",IFERROR(VLOOKUP($B388,Kraftvärmeprod!$B$1:$BX$550,MATCH(AC$2,Kraftvärmeprod!$B$1:$VX$1,0),FALSE)/1,0)-IFERROR(VLOOKUP($B388,'Slutlig allokering kvv'!$B$2:$BX$550,MATCH(AC$2,'Slutlig allokering kvv'!$B$1:$BX$1,0),FALSE)/1,0))</f>
        <v/>
      </c>
      <c r="AD388" s="31" t="str">
        <f>IF($D388="","",IFERROR(VLOOKUP($B388,Kraftvärmeprod!$B$1:$BX$550,MATCH(AD$2,Kraftvärmeprod!$B$1:$VX$1,0),FALSE)/1,0)-IFERROR(VLOOKUP($B388,'Slutlig allokering kvv'!$B$2:$BX$550,MATCH(AD$2,'Slutlig allokering kvv'!$B$1:$BX$1,0),FALSE)/1,0))</f>
        <v/>
      </c>
      <c r="AE388" s="31" t="str">
        <f>IF($D388="","",IFERROR(VLOOKUP($B388,Miljö!$B$1:$E$550,MATCH("Hjälpel kraftvärme (GWh)",Miljö!$B$1:$E$1,0),FALSE)/1,0)-IFERROR(VLOOKUP($B388,'Slutlig allokering kvv'!$B$2:$BX$549,MATCH(AE$2,'Slutlig allokering kvv'!$B$1:$BX$1,0),FALSE)/1,0))</f>
        <v/>
      </c>
      <c r="AI388" s="39">
        <f t="shared" ref="AI388:AI409" si="24">SUM(F388:AC388)</f>
        <v>0</v>
      </c>
      <c r="AK388" s="31" t="str">
        <f>IFERROR(VLOOKUP($B388,'Slutlig allokering kvv'!$B$2:$AX$549,MATCH("Summa slutlig allokerad tillförd energi (utan hjälpel och rökgaskondensering):",'Slutlig allokering kvv'!$B$1:$AX$1,0),FALSE)/1,"")</f>
        <v/>
      </c>
      <c r="AM388" s="31" t="str">
        <f>IFERROR(1-VLOOKUP($B388,'Slutlig allokering kvv'!$B$2:$AX$549,MATCH("Andel av bränsle i kvv som allokerats till värme, exklusive rökgaskondensering och hjälpel",'Slutlig allokering kvv'!$B$1:$AX$1,0),FALSE),"")</f>
        <v/>
      </c>
      <c r="AO388" s="31" t="str">
        <f t="shared" ref="AO388:AO409" si="25">IFERROR(AI388/(AI388+AK388),"")</f>
        <v/>
      </c>
      <c r="AP388" s="31" t="str">
        <f t="shared" ref="AP388:AP409" si="26">IFERROR(AM388-AO388,"")</f>
        <v/>
      </c>
      <c r="AR388" s="32" t="str">
        <f t="shared" ref="AR388:AR410" si="27">IFERROR(D388/(AI388+AE388),"")</f>
        <v/>
      </c>
    </row>
    <row r="389" spans="3:44" s="31" customFormat="1" x14ac:dyDescent="0.45">
      <c r="C389" s="31" t="str">
        <f>IFERROR(VLOOKUP($B389,Kraftvärmeprod!$B$1:$AH$479,MATCH(C$2,Kraftvärmeprod!$B$1:$AG$1,0),FALSE)/1,"")</f>
        <v/>
      </c>
      <c r="D389" s="31" t="str">
        <f>IFERROR(VLOOKUP($B389,Kraftvärmeprod!$B$1:$AH$479,MATCH(D$2,Kraftvärmeprod!$B$1:$AG$1,0),FALSE)/1,"")</f>
        <v/>
      </c>
      <c r="F389" s="31" t="str">
        <f>IF($D389="","",IFERROR(VLOOKUP($B389,Kraftvärmeprod!$B$1:$BX$550,MATCH(F$2,Kraftvärmeprod!$B$1:$VX$1,0),FALSE)/1,0)-IFERROR(VLOOKUP($B389,'Slutlig allokering kvv'!$B$2:$BX$550,MATCH(F$2,'Slutlig allokering kvv'!$B$1:$BX$1,0),FALSE)/1,0))</f>
        <v/>
      </c>
      <c r="G389" s="31" t="str">
        <f>IF($D389="","",IFERROR(VLOOKUP($B389,Kraftvärmeprod!$B$1:$BX$550,MATCH(G$2,Kraftvärmeprod!$B$1:$VX$1,0),FALSE)/1,0)-IFERROR(VLOOKUP($B389,'Slutlig allokering kvv'!$B$2:$BX$550,MATCH(G$2,'Slutlig allokering kvv'!$B$1:$BX$1,0),FALSE)/1,0))</f>
        <v/>
      </c>
      <c r="H389" s="31" t="str">
        <f>IF($D389="","",IFERROR(VLOOKUP($B389,Kraftvärmeprod!$B$1:$BX$550,MATCH(H$2,Kraftvärmeprod!$B$1:$VX$1,0),FALSE)/1,0)-IFERROR(VLOOKUP($B389,'Slutlig allokering kvv'!$B$2:$BX$550,MATCH(H$2,'Slutlig allokering kvv'!$B$1:$BX$1,0),FALSE)/1,0))</f>
        <v/>
      </c>
      <c r="I389" s="31" t="str">
        <f>IF($D389="","",IFERROR(VLOOKUP($B389,Kraftvärmeprod!$B$1:$BX$550,MATCH(I$2,Kraftvärmeprod!$B$1:$VX$1,0),FALSE)/1,0)-IFERROR(VLOOKUP($B389,'Slutlig allokering kvv'!$B$2:$BX$550,MATCH(I$2,'Slutlig allokering kvv'!$B$1:$BX$1,0),FALSE)/1,0))</f>
        <v/>
      </c>
      <c r="J389" s="31" t="str">
        <f>IF($D389="","",IFERROR(VLOOKUP($B389,Kraftvärmeprod!$B$1:$BX$550,MATCH(J$2,Kraftvärmeprod!$B$1:$VX$1,0),FALSE)/1,0)-IFERROR(VLOOKUP($B389,'Slutlig allokering kvv'!$B$2:$BX$550,MATCH(J$2,'Slutlig allokering kvv'!$B$1:$BX$1,0),FALSE)/1,0))</f>
        <v/>
      </c>
      <c r="K389" s="31" t="str">
        <f>IF($D389="","",IFERROR(VLOOKUP($B389,Kraftvärmeprod!$B$1:$BX$550,MATCH(K$2,Kraftvärmeprod!$B$1:$VX$1,0),FALSE)/1,0)-IFERROR(VLOOKUP($B389,'Slutlig allokering kvv'!$B$2:$BX$550,MATCH(K$2,'Slutlig allokering kvv'!$B$1:$BX$1,0),FALSE)/1,0))</f>
        <v/>
      </c>
      <c r="L389" s="31" t="str">
        <f>IF($D389="","",IFERROR(VLOOKUP($B389,Kraftvärmeprod!$B$1:$BX$550,MATCH(L$2,Kraftvärmeprod!$B$1:$VX$1,0),FALSE)/1,0)-IFERROR(VLOOKUP($B389,'Slutlig allokering kvv'!$B$2:$BX$550,MATCH(L$2,'Slutlig allokering kvv'!$B$1:$BX$1,0),FALSE)/1,0))</f>
        <v/>
      </c>
      <c r="M389" s="31" t="str">
        <f>IF($D389="","",IFERROR(VLOOKUP($B389,Kraftvärmeprod!$B$1:$BX$550,MATCH(M$2,Kraftvärmeprod!$B$1:$VX$1,0),FALSE)/1,0)-IFERROR(VLOOKUP($B389,'Slutlig allokering kvv'!$B$2:$BX$550,MATCH(M$2,'Slutlig allokering kvv'!$B$1:$BX$1,0),FALSE)/1,0))</f>
        <v/>
      </c>
      <c r="N389" s="31" t="str">
        <f>IF($D389="","",IFERROR(VLOOKUP($B389,Kraftvärmeprod!$B$1:$BX$550,MATCH(N$2,Kraftvärmeprod!$B$1:$VX$1,0),FALSE)/1,0)-IFERROR(VLOOKUP($B389,'Slutlig allokering kvv'!$B$2:$BX$550,MATCH(N$2,'Slutlig allokering kvv'!$B$1:$BX$1,0),FALSE)/1,0))</f>
        <v/>
      </c>
      <c r="O389" s="31" t="str">
        <f>IF($D389="","",IFERROR(VLOOKUP($B389,Kraftvärmeprod!$B$1:$BX$550,MATCH(O$2,Kraftvärmeprod!$B$1:$VX$1,0),FALSE)/1,0)-IFERROR(VLOOKUP($B389,'Slutlig allokering kvv'!$B$2:$BX$550,MATCH(O$2,'Slutlig allokering kvv'!$B$1:$BX$1,0),FALSE)/1,0))</f>
        <v/>
      </c>
      <c r="P389" s="31" t="str">
        <f>IF($D389="","",IFERROR(VLOOKUP($B389,Kraftvärmeprod!$B$1:$BX$550,MATCH(P$2,Kraftvärmeprod!$B$1:$VX$1,0),FALSE)/1,0)-IFERROR(VLOOKUP($B389,'Slutlig allokering kvv'!$B$2:$BX$550,MATCH(P$2,'Slutlig allokering kvv'!$B$1:$BX$1,0),FALSE)/1,0))</f>
        <v/>
      </c>
      <c r="Q389" s="31" t="str">
        <f>IF($D389="","",IFERROR(VLOOKUP($B389,Kraftvärmeprod!$B$1:$BX$550,MATCH(Q$2,Kraftvärmeprod!$B$1:$VX$1,0),FALSE)/1,0)-IFERROR(VLOOKUP($B389,'Slutlig allokering kvv'!$B$2:$BX$550,MATCH(Q$2,'Slutlig allokering kvv'!$B$1:$BX$1,0),FALSE)/1,0))</f>
        <v/>
      </c>
      <c r="R389" s="31" t="str">
        <f>IF($D389="","",IFERROR(VLOOKUP($B389,Kraftvärmeprod!$B$1:$BX$550,MATCH(R$2,Kraftvärmeprod!$B$1:$VX$1,0),FALSE)/1,0)-IFERROR(VLOOKUP($B389,'Slutlig allokering kvv'!$B$2:$BX$550,MATCH(R$2,'Slutlig allokering kvv'!$B$1:$BX$1,0),FALSE)/1,0))</f>
        <v/>
      </c>
      <c r="S389" s="31" t="str">
        <f>IF($D389="","",IFERROR(VLOOKUP($B389,Kraftvärmeprod!$B$1:$BX$550,MATCH(S$2,Kraftvärmeprod!$B$1:$VX$1,0),FALSE)/1,0)-IFERROR(VLOOKUP($B389,'Slutlig allokering kvv'!$B$2:$BX$550,MATCH(S$2,'Slutlig allokering kvv'!$B$1:$BX$1,0),FALSE)/1,0))</f>
        <v/>
      </c>
      <c r="T389" s="31" t="str">
        <f>IF($D389="","",IFERROR(VLOOKUP($B389,Kraftvärmeprod!$B$1:$BX$550,MATCH(T$2,Kraftvärmeprod!$B$1:$VX$1,0),FALSE)/1,0)-IFERROR(VLOOKUP($B389,'Slutlig allokering kvv'!$B$2:$BX$550,MATCH(T$2,'Slutlig allokering kvv'!$B$1:$BX$1,0),FALSE)/1,0))</f>
        <v/>
      </c>
      <c r="U389" s="31" t="str">
        <f>IF($D389="","",IFERROR(VLOOKUP($B389,Kraftvärmeprod!$B$1:$BX$550,MATCH(U$2,Kraftvärmeprod!$B$1:$VX$1,0),FALSE)/1,0)-IFERROR(VLOOKUP($B389,'Slutlig allokering kvv'!$B$2:$BX$550,MATCH(U$2,'Slutlig allokering kvv'!$B$1:$BX$1,0),FALSE)/1,0))</f>
        <v/>
      </c>
      <c r="V389" s="31" t="str">
        <f>IF($D389="","",IFERROR(VLOOKUP($B389,Kraftvärmeprod!$B$1:$BX$550,MATCH(V$2,Kraftvärmeprod!$B$1:$VX$1,0),FALSE)/1,0)-IFERROR(VLOOKUP($B389,'Slutlig allokering kvv'!$B$2:$BX$550,MATCH(V$2,'Slutlig allokering kvv'!$B$1:$BX$1,0),FALSE)/1,0))</f>
        <v/>
      </c>
      <c r="W389" s="31" t="str">
        <f>IF($D389="","",IFERROR(VLOOKUP($B389,Kraftvärmeprod!$B$1:$BX$550,MATCH(W$2,Kraftvärmeprod!$B$1:$VX$1,0),FALSE)/1,0)-IFERROR(VLOOKUP($B389,'Slutlig allokering kvv'!$B$2:$BX$550,MATCH(W$2,'Slutlig allokering kvv'!$B$1:$BX$1,0),FALSE)/1,0))</f>
        <v/>
      </c>
      <c r="X389" s="31" t="str">
        <f>IF($D389="","",IFERROR(VLOOKUP($B389,Kraftvärmeprod!$B$1:$BX$550,MATCH(X$2,Kraftvärmeprod!$B$1:$VX$1,0),FALSE)/1,0)-IFERROR(VLOOKUP($B389,'Slutlig allokering kvv'!$B$2:$BX$550,MATCH(X$2,'Slutlig allokering kvv'!$B$1:$BX$1,0),FALSE)/1,0))</f>
        <v/>
      </c>
      <c r="Y389" s="31" t="str">
        <f>IF($D389="","",IFERROR(VLOOKUP($B389,Kraftvärmeprod!$B$1:$BX$550,MATCH(Y$2,Kraftvärmeprod!$B$1:$VX$1,0),FALSE)/1,0)-IFERROR(VLOOKUP($B389,'Slutlig allokering kvv'!$B$2:$BX$550,MATCH(Y$2,'Slutlig allokering kvv'!$B$1:$BX$1,0),FALSE)/1,0))</f>
        <v/>
      </c>
      <c r="Z389" s="31" t="str">
        <f>IF($D389="","",IFERROR(VLOOKUP($B389,Kraftvärmeprod!$B$1:$BX$550,MATCH(Z$2,Kraftvärmeprod!$B$1:$VX$1,0),FALSE)/1,0)-IFERROR(VLOOKUP($B389,'Slutlig allokering kvv'!$B$2:$BX$550,MATCH(Z$2,'Slutlig allokering kvv'!$B$1:$BX$1,0),FALSE)/1,0))</f>
        <v/>
      </c>
      <c r="AA389" s="31" t="str">
        <f>IF($D389="","",IFERROR(VLOOKUP($B389,Kraftvärmeprod!$B$1:$BX$550,MATCH(AA$2,Kraftvärmeprod!$B$1:$VX$1,0),FALSE)/1,0)-IFERROR(VLOOKUP($B389,'Slutlig allokering kvv'!$B$2:$BX$550,MATCH(AA$2,'Slutlig allokering kvv'!$B$1:$BX$1,0),FALSE)/1,0))</f>
        <v/>
      </c>
      <c r="AB389" s="31" t="str">
        <f>IF($D389="","",IFERROR(VLOOKUP($B389,Kraftvärmeprod!$B$1:$BX$550,MATCH(AB$2,Kraftvärmeprod!$B$1:$VX$1,0),FALSE)/1,0)-IFERROR(VLOOKUP($B389,'Slutlig allokering kvv'!$B$2:$BX$550,MATCH(AB$2,'Slutlig allokering kvv'!$B$1:$BX$1,0),FALSE)/1,0))</f>
        <v/>
      </c>
      <c r="AC389" s="31" t="str">
        <f>IF($D389="","",IFERROR(VLOOKUP($B389,Kraftvärmeprod!$B$1:$BX$550,MATCH(AC$2,Kraftvärmeprod!$B$1:$VX$1,0),FALSE)/1,0)-IFERROR(VLOOKUP($B389,'Slutlig allokering kvv'!$B$2:$BX$550,MATCH(AC$2,'Slutlig allokering kvv'!$B$1:$BX$1,0),FALSE)/1,0))</f>
        <v/>
      </c>
      <c r="AD389" s="31" t="str">
        <f>IF($D389="","",IFERROR(VLOOKUP($B389,Kraftvärmeprod!$B$1:$BX$550,MATCH(AD$2,Kraftvärmeprod!$B$1:$VX$1,0),FALSE)/1,0)-IFERROR(VLOOKUP($B389,'Slutlig allokering kvv'!$B$2:$BX$550,MATCH(AD$2,'Slutlig allokering kvv'!$B$1:$BX$1,0),FALSE)/1,0))</f>
        <v/>
      </c>
      <c r="AE389" s="31" t="str">
        <f>IF($D389="","",IFERROR(VLOOKUP($B389,Miljö!$B$1:$E$550,MATCH("Hjälpel kraftvärme (GWh)",Miljö!$B$1:$E$1,0),FALSE)/1,0)-IFERROR(VLOOKUP($B389,'Slutlig allokering kvv'!$B$2:$BX$549,MATCH(AE$2,'Slutlig allokering kvv'!$B$1:$BX$1,0),FALSE)/1,0))</f>
        <v/>
      </c>
      <c r="AI389" s="39">
        <f t="shared" si="24"/>
        <v>0</v>
      </c>
      <c r="AK389" s="31" t="str">
        <f>IFERROR(VLOOKUP($B389,'Slutlig allokering kvv'!$B$2:$AX$549,MATCH("Summa slutlig allokerad tillförd energi (utan hjälpel och rökgaskondensering):",'Slutlig allokering kvv'!$B$1:$AX$1,0),FALSE)/1,"")</f>
        <v/>
      </c>
      <c r="AM389" s="31" t="str">
        <f>IFERROR(1-VLOOKUP($B389,'Slutlig allokering kvv'!$B$2:$AX$549,MATCH("Andel av bränsle i kvv som allokerats till värme, exklusive rökgaskondensering och hjälpel",'Slutlig allokering kvv'!$B$1:$AX$1,0),FALSE),"")</f>
        <v/>
      </c>
      <c r="AO389" s="31" t="str">
        <f t="shared" si="25"/>
        <v/>
      </c>
      <c r="AP389" s="31" t="str">
        <f t="shared" si="26"/>
        <v/>
      </c>
      <c r="AR389" s="32" t="str">
        <f t="shared" si="27"/>
        <v/>
      </c>
    </row>
    <row r="390" spans="3:44" s="31" customFormat="1" x14ac:dyDescent="0.45">
      <c r="C390" s="31" t="str">
        <f>IFERROR(VLOOKUP($B390,Kraftvärmeprod!$B$1:$AH$479,MATCH(C$2,Kraftvärmeprod!$B$1:$AG$1,0),FALSE)/1,"")</f>
        <v/>
      </c>
      <c r="D390" s="31" t="str">
        <f>IFERROR(VLOOKUP($B390,Kraftvärmeprod!$B$1:$AH$479,MATCH(D$2,Kraftvärmeprod!$B$1:$AG$1,0),FALSE)/1,"")</f>
        <v/>
      </c>
      <c r="F390" s="31" t="str">
        <f>IF($D390="","",IFERROR(VLOOKUP($B390,Kraftvärmeprod!$B$1:$BX$550,MATCH(F$2,Kraftvärmeprod!$B$1:$VX$1,0),FALSE)/1,0)-IFERROR(VLOOKUP($B390,'Slutlig allokering kvv'!$B$2:$BX$550,MATCH(F$2,'Slutlig allokering kvv'!$B$1:$BX$1,0),FALSE)/1,0))</f>
        <v/>
      </c>
      <c r="G390" s="31" t="str">
        <f>IF($D390="","",IFERROR(VLOOKUP($B390,Kraftvärmeprod!$B$1:$BX$550,MATCH(G$2,Kraftvärmeprod!$B$1:$VX$1,0),FALSE)/1,0)-IFERROR(VLOOKUP($B390,'Slutlig allokering kvv'!$B$2:$BX$550,MATCH(G$2,'Slutlig allokering kvv'!$B$1:$BX$1,0),FALSE)/1,0))</f>
        <v/>
      </c>
      <c r="H390" s="31" t="str">
        <f>IF($D390="","",IFERROR(VLOOKUP($B390,Kraftvärmeprod!$B$1:$BX$550,MATCH(H$2,Kraftvärmeprod!$B$1:$VX$1,0),FALSE)/1,0)-IFERROR(VLOOKUP($B390,'Slutlig allokering kvv'!$B$2:$BX$550,MATCH(H$2,'Slutlig allokering kvv'!$B$1:$BX$1,0),FALSE)/1,0))</f>
        <v/>
      </c>
      <c r="I390" s="31" t="str">
        <f>IF($D390="","",IFERROR(VLOOKUP($B390,Kraftvärmeprod!$B$1:$BX$550,MATCH(I$2,Kraftvärmeprod!$B$1:$VX$1,0),FALSE)/1,0)-IFERROR(VLOOKUP($B390,'Slutlig allokering kvv'!$B$2:$BX$550,MATCH(I$2,'Slutlig allokering kvv'!$B$1:$BX$1,0),FALSE)/1,0))</f>
        <v/>
      </c>
      <c r="J390" s="31" t="str">
        <f>IF($D390="","",IFERROR(VLOOKUP($B390,Kraftvärmeprod!$B$1:$BX$550,MATCH(J$2,Kraftvärmeprod!$B$1:$VX$1,0),FALSE)/1,0)-IFERROR(VLOOKUP($B390,'Slutlig allokering kvv'!$B$2:$BX$550,MATCH(J$2,'Slutlig allokering kvv'!$B$1:$BX$1,0),FALSE)/1,0))</f>
        <v/>
      </c>
      <c r="K390" s="31" t="str">
        <f>IF($D390="","",IFERROR(VLOOKUP($B390,Kraftvärmeprod!$B$1:$BX$550,MATCH(K$2,Kraftvärmeprod!$B$1:$VX$1,0),FALSE)/1,0)-IFERROR(VLOOKUP($B390,'Slutlig allokering kvv'!$B$2:$BX$550,MATCH(K$2,'Slutlig allokering kvv'!$B$1:$BX$1,0),FALSE)/1,0))</f>
        <v/>
      </c>
      <c r="L390" s="31" t="str">
        <f>IF($D390="","",IFERROR(VLOOKUP($B390,Kraftvärmeprod!$B$1:$BX$550,MATCH(L$2,Kraftvärmeprod!$B$1:$VX$1,0),FALSE)/1,0)-IFERROR(VLOOKUP($B390,'Slutlig allokering kvv'!$B$2:$BX$550,MATCH(L$2,'Slutlig allokering kvv'!$B$1:$BX$1,0),FALSE)/1,0))</f>
        <v/>
      </c>
      <c r="M390" s="31" t="str">
        <f>IF($D390="","",IFERROR(VLOOKUP($B390,Kraftvärmeprod!$B$1:$BX$550,MATCH(M$2,Kraftvärmeprod!$B$1:$VX$1,0),FALSE)/1,0)-IFERROR(VLOOKUP($B390,'Slutlig allokering kvv'!$B$2:$BX$550,MATCH(M$2,'Slutlig allokering kvv'!$B$1:$BX$1,0),FALSE)/1,0))</f>
        <v/>
      </c>
      <c r="N390" s="31" t="str">
        <f>IF($D390="","",IFERROR(VLOOKUP($B390,Kraftvärmeprod!$B$1:$BX$550,MATCH(N$2,Kraftvärmeprod!$B$1:$VX$1,0),FALSE)/1,0)-IFERROR(VLOOKUP($B390,'Slutlig allokering kvv'!$B$2:$BX$550,MATCH(N$2,'Slutlig allokering kvv'!$B$1:$BX$1,0),FALSE)/1,0))</f>
        <v/>
      </c>
      <c r="O390" s="31" t="str">
        <f>IF($D390="","",IFERROR(VLOOKUP($B390,Kraftvärmeprod!$B$1:$BX$550,MATCH(O$2,Kraftvärmeprod!$B$1:$VX$1,0),FALSE)/1,0)-IFERROR(VLOOKUP($B390,'Slutlig allokering kvv'!$B$2:$BX$550,MATCH(O$2,'Slutlig allokering kvv'!$B$1:$BX$1,0),FALSE)/1,0))</f>
        <v/>
      </c>
      <c r="P390" s="31" t="str">
        <f>IF($D390="","",IFERROR(VLOOKUP($B390,Kraftvärmeprod!$B$1:$BX$550,MATCH(P$2,Kraftvärmeprod!$B$1:$VX$1,0),FALSE)/1,0)-IFERROR(VLOOKUP($B390,'Slutlig allokering kvv'!$B$2:$BX$550,MATCH(P$2,'Slutlig allokering kvv'!$B$1:$BX$1,0),FALSE)/1,0))</f>
        <v/>
      </c>
      <c r="Q390" s="31" t="str">
        <f>IF($D390="","",IFERROR(VLOOKUP($B390,Kraftvärmeprod!$B$1:$BX$550,MATCH(Q$2,Kraftvärmeprod!$B$1:$VX$1,0),FALSE)/1,0)-IFERROR(VLOOKUP($B390,'Slutlig allokering kvv'!$B$2:$BX$550,MATCH(Q$2,'Slutlig allokering kvv'!$B$1:$BX$1,0),FALSE)/1,0))</f>
        <v/>
      </c>
      <c r="R390" s="31" t="str">
        <f>IF($D390="","",IFERROR(VLOOKUP($B390,Kraftvärmeprod!$B$1:$BX$550,MATCH(R$2,Kraftvärmeprod!$B$1:$VX$1,0),FALSE)/1,0)-IFERROR(VLOOKUP($B390,'Slutlig allokering kvv'!$B$2:$BX$550,MATCH(R$2,'Slutlig allokering kvv'!$B$1:$BX$1,0),FALSE)/1,0))</f>
        <v/>
      </c>
      <c r="S390" s="31" t="str">
        <f>IF($D390="","",IFERROR(VLOOKUP($B390,Kraftvärmeprod!$B$1:$BX$550,MATCH(S$2,Kraftvärmeprod!$B$1:$VX$1,0),FALSE)/1,0)-IFERROR(VLOOKUP($B390,'Slutlig allokering kvv'!$B$2:$BX$550,MATCH(S$2,'Slutlig allokering kvv'!$B$1:$BX$1,0),FALSE)/1,0))</f>
        <v/>
      </c>
      <c r="T390" s="31" t="str">
        <f>IF($D390="","",IFERROR(VLOOKUP($B390,Kraftvärmeprod!$B$1:$BX$550,MATCH(T$2,Kraftvärmeprod!$B$1:$VX$1,0),FALSE)/1,0)-IFERROR(VLOOKUP($B390,'Slutlig allokering kvv'!$B$2:$BX$550,MATCH(T$2,'Slutlig allokering kvv'!$B$1:$BX$1,0),FALSE)/1,0))</f>
        <v/>
      </c>
      <c r="U390" s="31" t="str">
        <f>IF($D390="","",IFERROR(VLOOKUP($B390,Kraftvärmeprod!$B$1:$BX$550,MATCH(U$2,Kraftvärmeprod!$B$1:$VX$1,0),FALSE)/1,0)-IFERROR(VLOOKUP($B390,'Slutlig allokering kvv'!$B$2:$BX$550,MATCH(U$2,'Slutlig allokering kvv'!$B$1:$BX$1,0),FALSE)/1,0))</f>
        <v/>
      </c>
      <c r="V390" s="31" t="str">
        <f>IF($D390="","",IFERROR(VLOOKUP($B390,Kraftvärmeprod!$B$1:$BX$550,MATCH(V$2,Kraftvärmeprod!$B$1:$VX$1,0),FALSE)/1,0)-IFERROR(VLOOKUP($B390,'Slutlig allokering kvv'!$B$2:$BX$550,MATCH(V$2,'Slutlig allokering kvv'!$B$1:$BX$1,0),FALSE)/1,0))</f>
        <v/>
      </c>
      <c r="W390" s="31" t="str">
        <f>IF($D390="","",IFERROR(VLOOKUP($B390,Kraftvärmeprod!$B$1:$BX$550,MATCH(W$2,Kraftvärmeprod!$B$1:$VX$1,0),FALSE)/1,0)-IFERROR(VLOOKUP($B390,'Slutlig allokering kvv'!$B$2:$BX$550,MATCH(W$2,'Slutlig allokering kvv'!$B$1:$BX$1,0),FALSE)/1,0))</f>
        <v/>
      </c>
      <c r="X390" s="31" t="str">
        <f>IF($D390="","",IFERROR(VLOOKUP($B390,Kraftvärmeprod!$B$1:$BX$550,MATCH(X$2,Kraftvärmeprod!$B$1:$VX$1,0),FALSE)/1,0)-IFERROR(VLOOKUP($B390,'Slutlig allokering kvv'!$B$2:$BX$550,MATCH(X$2,'Slutlig allokering kvv'!$B$1:$BX$1,0),FALSE)/1,0))</f>
        <v/>
      </c>
      <c r="Y390" s="31" t="str">
        <f>IF($D390="","",IFERROR(VLOOKUP($B390,Kraftvärmeprod!$B$1:$BX$550,MATCH(Y$2,Kraftvärmeprod!$B$1:$VX$1,0),FALSE)/1,0)-IFERROR(VLOOKUP($B390,'Slutlig allokering kvv'!$B$2:$BX$550,MATCH(Y$2,'Slutlig allokering kvv'!$B$1:$BX$1,0),FALSE)/1,0))</f>
        <v/>
      </c>
      <c r="Z390" s="31" t="str">
        <f>IF($D390="","",IFERROR(VLOOKUP($B390,Kraftvärmeprod!$B$1:$BX$550,MATCH(Z$2,Kraftvärmeprod!$B$1:$VX$1,0),FALSE)/1,0)-IFERROR(VLOOKUP($B390,'Slutlig allokering kvv'!$B$2:$BX$550,MATCH(Z$2,'Slutlig allokering kvv'!$B$1:$BX$1,0),FALSE)/1,0))</f>
        <v/>
      </c>
      <c r="AA390" s="31" t="str">
        <f>IF($D390="","",IFERROR(VLOOKUP($B390,Kraftvärmeprod!$B$1:$BX$550,MATCH(AA$2,Kraftvärmeprod!$B$1:$VX$1,0),FALSE)/1,0)-IFERROR(VLOOKUP($B390,'Slutlig allokering kvv'!$B$2:$BX$550,MATCH(AA$2,'Slutlig allokering kvv'!$B$1:$BX$1,0),FALSE)/1,0))</f>
        <v/>
      </c>
      <c r="AB390" s="31" t="str">
        <f>IF($D390="","",IFERROR(VLOOKUP($B390,Kraftvärmeprod!$B$1:$BX$550,MATCH(AB$2,Kraftvärmeprod!$B$1:$VX$1,0),FALSE)/1,0)-IFERROR(VLOOKUP($B390,'Slutlig allokering kvv'!$B$2:$BX$550,MATCH(AB$2,'Slutlig allokering kvv'!$B$1:$BX$1,0),FALSE)/1,0))</f>
        <v/>
      </c>
      <c r="AC390" s="31" t="str">
        <f>IF($D390="","",IFERROR(VLOOKUP($B390,Kraftvärmeprod!$B$1:$BX$550,MATCH(AC$2,Kraftvärmeprod!$B$1:$VX$1,0),FALSE)/1,0)-IFERROR(VLOOKUP($B390,'Slutlig allokering kvv'!$B$2:$BX$550,MATCH(AC$2,'Slutlig allokering kvv'!$B$1:$BX$1,0),FALSE)/1,0))</f>
        <v/>
      </c>
      <c r="AD390" s="31" t="str">
        <f>IF($D390="","",IFERROR(VLOOKUP($B390,Kraftvärmeprod!$B$1:$BX$550,MATCH(AD$2,Kraftvärmeprod!$B$1:$VX$1,0),FALSE)/1,0)-IFERROR(VLOOKUP($B390,'Slutlig allokering kvv'!$B$2:$BX$550,MATCH(AD$2,'Slutlig allokering kvv'!$B$1:$BX$1,0),FALSE)/1,0))</f>
        <v/>
      </c>
      <c r="AE390" s="31" t="str">
        <f>IF($D390="","",IFERROR(VLOOKUP($B390,Miljö!$B$1:$E$550,MATCH("Hjälpel kraftvärme (GWh)",Miljö!$B$1:$E$1,0),FALSE)/1,0)-IFERROR(VLOOKUP($B390,'Slutlig allokering kvv'!$B$2:$BX$549,MATCH(AE$2,'Slutlig allokering kvv'!$B$1:$BX$1,0),FALSE)/1,0))</f>
        <v/>
      </c>
      <c r="AI390" s="39">
        <f t="shared" si="24"/>
        <v>0</v>
      </c>
      <c r="AK390" s="31" t="str">
        <f>IFERROR(VLOOKUP($B390,'Slutlig allokering kvv'!$B$2:$AX$549,MATCH("Summa slutlig allokerad tillförd energi (utan hjälpel och rökgaskondensering):",'Slutlig allokering kvv'!$B$1:$AX$1,0),FALSE)/1,"")</f>
        <v/>
      </c>
      <c r="AM390" s="31" t="str">
        <f>IFERROR(1-VLOOKUP($B390,'Slutlig allokering kvv'!$B$2:$AX$549,MATCH("Andel av bränsle i kvv som allokerats till värme, exklusive rökgaskondensering och hjälpel",'Slutlig allokering kvv'!$B$1:$AX$1,0),FALSE),"")</f>
        <v/>
      </c>
      <c r="AO390" s="31" t="str">
        <f t="shared" si="25"/>
        <v/>
      </c>
      <c r="AP390" s="31" t="str">
        <f t="shared" si="26"/>
        <v/>
      </c>
      <c r="AR390" s="32" t="str">
        <f t="shared" si="27"/>
        <v/>
      </c>
    </row>
    <row r="391" spans="3:44" s="31" customFormat="1" x14ac:dyDescent="0.45">
      <c r="C391" s="31" t="str">
        <f>IFERROR(VLOOKUP($B391,Kraftvärmeprod!$B$1:$AH$479,MATCH(C$2,Kraftvärmeprod!$B$1:$AG$1,0),FALSE)/1,"")</f>
        <v/>
      </c>
      <c r="D391" s="31" t="str">
        <f>IFERROR(VLOOKUP($B391,Kraftvärmeprod!$B$1:$AH$479,MATCH(D$2,Kraftvärmeprod!$B$1:$AG$1,0),FALSE)/1,"")</f>
        <v/>
      </c>
      <c r="F391" s="31" t="str">
        <f>IF($D391="","",IFERROR(VLOOKUP($B391,Kraftvärmeprod!$B$1:$BX$550,MATCH(F$2,Kraftvärmeprod!$B$1:$VX$1,0),FALSE)/1,0)-IFERROR(VLOOKUP($B391,'Slutlig allokering kvv'!$B$2:$BX$550,MATCH(F$2,'Slutlig allokering kvv'!$B$1:$BX$1,0),FALSE)/1,0))</f>
        <v/>
      </c>
      <c r="G391" s="31" t="str">
        <f>IF($D391="","",IFERROR(VLOOKUP($B391,Kraftvärmeprod!$B$1:$BX$550,MATCH(G$2,Kraftvärmeprod!$B$1:$VX$1,0),FALSE)/1,0)-IFERROR(VLOOKUP($B391,'Slutlig allokering kvv'!$B$2:$BX$550,MATCH(G$2,'Slutlig allokering kvv'!$B$1:$BX$1,0),FALSE)/1,0))</f>
        <v/>
      </c>
      <c r="H391" s="31" t="str">
        <f>IF($D391="","",IFERROR(VLOOKUP($B391,Kraftvärmeprod!$B$1:$BX$550,MATCH(H$2,Kraftvärmeprod!$B$1:$VX$1,0),FALSE)/1,0)-IFERROR(VLOOKUP($B391,'Slutlig allokering kvv'!$B$2:$BX$550,MATCH(H$2,'Slutlig allokering kvv'!$B$1:$BX$1,0),FALSE)/1,0))</f>
        <v/>
      </c>
      <c r="I391" s="31" t="str">
        <f>IF($D391="","",IFERROR(VLOOKUP($B391,Kraftvärmeprod!$B$1:$BX$550,MATCH(I$2,Kraftvärmeprod!$B$1:$VX$1,0),FALSE)/1,0)-IFERROR(VLOOKUP($B391,'Slutlig allokering kvv'!$B$2:$BX$550,MATCH(I$2,'Slutlig allokering kvv'!$B$1:$BX$1,0),FALSE)/1,0))</f>
        <v/>
      </c>
      <c r="J391" s="31" t="str">
        <f>IF($D391="","",IFERROR(VLOOKUP($B391,Kraftvärmeprod!$B$1:$BX$550,MATCH(J$2,Kraftvärmeprod!$B$1:$VX$1,0),FALSE)/1,0)-IFERROR(VLOOKUP($B391,'Slutlig allokering kvv'!$B$2:$BX$550,MATCH(J$2,'Slutlig allokering kvv'!$B$1:$BX$1,0),FALSE)/1,0))</f>
        <v/>
      </c>
      <c r="K391" s="31" t="str">
        <f>IF($D391="","",IFERROR(VLOOKUP($B391,Kraftvärmeprod!$B$1:$BX$550,MATCH(K$2,Kraftvärmeprod!$B$1:$VX$1,0),FALSE)/1,0)-IFERROR(VLOOKUP($B391,'Slutlig allokering kvv'!$B$2:$BX$550,MATCH(K$2,'Slutlig allokering kvv'!$B$1:$BX$1,0),FALSE)/1,0))</f>
        <v/>
      </c>
      <c r="L391" s="31" t="str">
        <f>IF($D391="","",IFERROR(VLOOKUP($B391,Kraftvärmeprod!$B$1:$BX$550,MATCH(L$2,Kraftvärmeprod!$B$1:$VX$1,0),FALSE)/1,0)-IFERROR(VLOOKUP($B391,'Slutlig allokering kvv'!$B$2:$BX$550,MATCH(L$2,'Slutlig allokering kvv'!$B$1:$BX$1,0),FALSE)/1,0))</f>
        <v/>
      </c>
      <c r="M391" s="31" t="str">
        <f>IF($D391="","",IFERROR(VLOOKUP($B391,Kraftvärmeprod!$B$1:$BX$550,MATCH(M$2,Kraftvärmeprod!$B$1:$VX$1,0),FALSE)/1,0)-IFERROR(VLOOKUP($B391,'Slutlig allokering kvv'!$B$2:$BX$550,MATCH(M$2,'Slutlig allokering kvv'!$B$1:$BX$1,0),FALSE)/1,0))</f>
        <v/>
      </c>
      <c r="N391" s="31" t="str">
        <f>IF($D391="","",IFERROR(VLOOKUP($B391,Kraftvärmeprod!$B$1:$BX$550,MATCH(N$2,Kraftvärmeprod!$B$1:$VX$1,0),FALSE)/1,0)-IFERROR(VLOOKUP($B391,'Slutlig allokering kvv'!$B$2:$BX$550,MATCH(N$2,'Slutlig allokering kvv'!$B$1:$BX$1,0),FALSE)/1,0))</f>
        <v/>
      </c>
      <c r="O391" s="31" t="str">
        <f>IF($D391="","",IFERROR(VLOOKUP($B391,Kraftvärmeprod!$B$1:$BX$550,MATCH(O$2,Kraftvärmeprod!$B$1:$VX$1,0),FALSE)/1,0)-IFERROR(VLOOKUP($B391,'Slutlig allokering kvv'!$B$2:$BX$550,MATCH(O$2,'Slutlig allokering kvv'!$B$1:$BX$1,0),FALSE)/1,0))</f>
        <v/>
      </c>
      <c r="P391" s="31" t="str">
        <f>IF($D391="","",IFERROR(VLOOKUP($B391,Kraftvärmeprod!$B$1:$BX$550,MATCH(P$2,Kraftvärmeprod!$B$1:$VX$1,0),FALSE)/1,0)-IFERROR(VLOOKUP($B391,'Slutlig allokering kvv'!$B$2:$BX$550,MATCH(P$2,'Slutlig allokering kvv'!$B$1:$BX$1,0),FALSE)/1,0))</f>
        <v/>
      </c>
      <c r="Q391" s="31" t="str">
        <f>IF($D391="","",IFERROR(VLOOKUP($B391,Kraftvärmeprod!$B$1:$BX$550,MATCH(Q$2,Kraftvärmeprod!$B$1:$VX$1,0),FALSE)/1,0)-IFERROR(VLOOKUP($B391,'Slutlig allokering kvv'!$B$2:$BX$550,MATCH(Q$2,'Slutlig allokering kvv'!$B$1:$BX$1,0),FALSE)/1,0))</f>
        <v/>
      </c>
      <c r="R391" s="31" t="str">
        <f>IF($D391="","",IFERROR(VLOOKUP($B391,Kraftvärmeprod!$B$1:$BX$550,MATCH(R$2,Kraftvärmeprod!$B$1:$VX$1,0),FALSE)/1,0)-IFERROR(VLOOKUP($B391,'Slutlig allokering kvv'!$B$2:$BX$550,MATCH(R$2,'Slutlig allokering kvv'!$B$1:$BX$1,0),FALSE)/1,0))</f>
        <v/>
      </c>
      <c r="S391" s="31" t="str">
        <f>IF($D391="","",IFERROR(VLOOKUP($B391,Kraftvärmeprod!$B$1:$BX$550,MATCH(S$2,Kraftvärmeprod!$B$1:$VX$1,0),FALSE)/1,0)-IFERROR(VLOOKUP($B391,'Slutlig allokering kvv'!$B$2:$BX$550,MATCH(S$2,'Slutlig allokering kvv'!$B$1:$BX$1,0),FALSE)/1,0))</f>
        <v/>
      </c>
      <c r="T391" s="31" t="str">
        <f>IF($D391="","",IFERROR(VLOOKUP($B391,Kraftvärmeprod!$B$1:$BX$550,MATCH(T$2,Kraftvärmeprod!$B$1:$VX$1,0),FALSE)/1,0)-IFERROR(VLOOKUP($B391,'Slutlig allokering kvv'!$B$2:$BX$550,MATCH(T$2,'Slutlig allokering kvv'!$B$1:$BX$1,0),FALSE)/1,0))</f>
        <v/>
      </c>
      <c r="U391" s="31" t="str">
        <f>IF($D391="","",IFERROR(VLOOKUP($B391,Kraftvärmeprod!$B$1:$BX$550,MATCH(U$2,Kraftvärmeprod!$B$1:$VX$1,0),FALSE)/1,0)-IFERROR(VLOOKUP($B391,'Slutlig allokering kvv'!$B$2:$BX$550,MATCH(U$2,'Slutlig allokering kvv'!$B$1:$BX$1,0),FALSE)/1,0))</f>
        <v/>
      </c>
      <c r="V391" s="31" t="str">
        <f>IF($D391="","",IFERROR(VLOOKUP($B391,Kraftvärmeprod!$B$1:$BX$550,MATCH(V$2,Kraftvärmeprod!$B$1:$VX$1,0),FALSE)/1,0)-IFERROR(VLOOKUP($B391,'Slutlig allokering kvv'!$B$2:$BX$550,MATCH(V$2,'Slutlig allokering kvv'!$B$1:$BX$1,0),FALSE)/1,0))</f>
        <v/>
      </c>
      <c r="W391" s="31" t="str">
        <f>IF($D391="","",IFERROR(VLOOKUP($B391,Kraftvärmeprod!$B$1:$BX$550,MATCH(W$2,Kraftvärmeprod!$B$1:$VX$1,0),FALSE)/1,0)-IFERROR(VLOOKUP($B391,'Slutlig allokering kvv'!$B$2:$BX$550,MATCH(W$2,'Slutlig allokering kvv'!$B$1:$BX$1,0),FALSE)/1,0))</f>
        <v/>
      </c>
      <c r="X391" s="31" t="str">
        <f>IF($D391="","",IFERROR(VLOOKUP($B391,Kraftvärmeprod!$B$1:$BX$550,MATCH(X$2,Kraftvärmeprod!$B$1:$VX$1,0),FALSE)/1,0)-IFERROR(VLOOKUP($B391,'Slutlig allokering kvv'!$B$2:$BX$550,MATCH(X$2,'Slutlig allokering kvv'!$B$1:$BX$1,0),FALSE)/1,0))</f>
        <v/>
      </c>
      <c r="Y391" s="31" t="str">
        <f>IF($D391="","",IFERROR(VLOOKUP($B391,Kraftvärmeprod!$B$1:$BX$550,MATCH(Y$2,Kraftvärmeprod!$B$1:$VX$1,0),FALSE)/1,0)-IFERROR(VLOOKUP($B391,'Slutlig allokering kvv'!$B$2:$BX$550,MATCH(Y$2,'Slutlig allokering kvv'!$B$1:$BX$1,0),FALSE)/1,0))</f>
        <v/>
      </c>
      <c r="Z391" s="31" t="str">
        <f>IF($D391="","",IFERROR(VLOOKUP($B391,Kraftvärmeprod!$B$1:$BX$550,MATCH(Z$2,Kraftvärmeprod!$B$1:$VX$1,0),FALSE)/1,0)-IFERROR(VLOOKUP($B391,'Slutlig allokering kvv'!$B$2:$BX$550,MATCH(Z$2,'Slutlig allokering kvv'!$B$1:$BX$1,0),FALSE)/1,0))</f>
        <v/>
      </c>
      <c r="AA391" s="31" t="str">
        <f>IF($D391="","",IFERROR(VLOOKUP($B391,Kraftvärmeprod!$B$1:$BX$550,MATCH(AA$2,Kraftvärmeprod!$B$1:$VX$1,0),FALSE)/1,0)-IFERROR(VLOOKUP($B391,'Slutlig allokering kvv'!$B$2:$BX$550,MATCH(AA$2,'Slutlig allokering kvv'!$B$1:$BX$1,0),FALSE)/1,0))</f>
        <v/>
      </c>
      <c r="AB391" s="31" t="str">
        <f>IF($D391="","",IFERROR(VLOOKUP($B391,Kraftvärmeprod!$B$1:$BX$550,MATCH(AB$2,Kraftvärmeprod!$B$1:$VX$1,0),FALSE)/1,0)-IFERROR(VLOOKUP($B391,'Slutlig allokering kvv'!$B$2:$BX$550,MATCH(AB$2,'Slutlig allokering kvv'!$B$1:$BX$1,0),FALSE)/1,0))</f>
        <v/>
      </c>
      <c r="AC391" s="31" t="str">
        <f>IF($D391="","",IFERROR(VLOOKUP($B391,Kraftvärmeprod!$B$1:$BX$550,MATCH(AC$2,Kraftvärmeprod!$B$1:$VX$1,0),FALSE)/1,0)-IFERROR(VLOOKUP($B391,'Slutlig allokering kvv'!$B$2:$BX$550,MATCH(AC$2,'Slutlig allokering kvv'!$B$1:$BX$1,0),FALSE)/1,0))</f>
        <v/>
      </c>
      <c r="AD391" s="31" t="str">
        <f>IF($D391="","",IFERROR(VLOOKUP($B391,Kraftvärmeprod!$B$1:$BX$550,MATCH(AD$2,Kraftvärmeprod!$B$1:$VX$1,0),FALSE)/1,0)-IFERROR(VLOOKUP($B391,'Slutlig allokering kvv'!$B$2:$BX$550,MATCH(AD$2,'Slutlig allokering kvv'!$B$1:$BX$1,0),FALSE)/1,0))</f>
        <v/>
      </c>
      <c r="AE391" s="31" t="str">
        <f>IF($D391="","",IFERROR(VLOOKUP($B391,Miljö!$B$1:$E$550,MATCH("Hjälpel kraftvärme (GWh)",Miljö!$B$1:$E$1,0),FALSE)/1,0)-IFERROR(VLOOKUP($B391,'Slutlig allokering kvv'!$B$2:$BX$549,MATCH(AE$2,'Slutlig allokering kvv'!$B$1:$BX$1,0),FALSE)/1,0))</f>
        <v/>
      </c>
      <c r="AI391" s="39">
        <f>SUM(F391:AC391)</f>
        <v>0</v>
      </c>
      <c r="AK391" s="31" t="str">
        <f>IFERROR(VLOOKUP($B391,'Slutlig allokering kvv'!$B$2:$AX$549,MATCH("Summa slutlig allokerad tillförd energi (utan hjälpel och rökgaskondensering):",'Slutlig allokering kvv'!$B$1:$AX$1,0),FALSE)/1,"")</f>
        <v/>
      </c>
      <c r="AM391" s="31" t="str">
        <f>IFERROR(1-VLOOKUP($B391,'Slutlig allokering kvv'!$B$2:$AX$549,MATCH("Andel av bränsle i kvv som allokerats till värme, exklusive rökgaskondensering och hjälpel",'Slutlig allokering kvv'!$B$1:$AX$1,0),FALSE),"")</f>
        <v/>
      </c>
      <c r="AO391" s="31" t="str">
        <f t="shared" si="25"/>
        <v/>
      </c>
      <c r="AP391" s="31" t="str">
        <f t="shared" si="26"/>
        <v/>
      </c>
      <c r="AR391" s="32" t="str">
        <f t="shared" si="27"/>
        <v/>
      </c>
    </row>
    <row r="392" spans="3:44" s="31" customFormat="1" x14ac:dyDescent="0.45">
      <c r="C392" s="31" t="str">
        <f>IFERROR(VLOOKUP($B392,Kraftvärmeprod!$B$1:$AH$479,MATCH(C$2,Kraftvärmeprod!$B$1:$AG$1,0),FALSE)/1,"")</f>
        <v/>
      </c>
      <c r="D392" s="31" t="str">
        <f>IFERROR(VLOOKUP($B392,Kraftvärmeprod!$B$1:$AH$479,MATCH(D$2,Kraftvärmeprod!$B$1:$AG$1,0),FALSE)/1,"")</f>
        <v/>
      </c>
      <c r="F392" s="31" t="str">
        <f>IF($D392="","",IFERROR(VLOOKUP($B392,Kraftvärmeprod!$B$1:$BX$550,MATCH(F$2,Kraftvärmeprod!$B$1:$VX$1,0),FALSE)/1,0)-IFERROR(VLOOKUP($B392,'Slutlig allokering kvv'!$B$2:$BX$550,MATCH(F$2,'Slutlig allokering kvv'!$B$1:$BX$1,0),FALSE)/1,0))</f>
        <v/>
      </c>
      <c r="G392" s="31" t="str">
        <f>IF($D392="","",IFERROR(VLOOKUP($B392,Kraftvärmeprod!$B$1:$BX$550,MATCH(G$2,Kraftvärmeprod!$B$1:$VX$1,0),FALSE)/1,0)-IFERROR(VLOOKUP($B392,'Slutlig allokering kvv'!$B$2:$BX$550,MATCH(G$2,'Slutlig allokering kvv'!$B$1:$BX$1,0),FALSE)/1,0))</f>
        <v/>
      </c>
      <c r="H392" s="31" t="str">
        <f>IF($D392="","",IFERROR(VLOOKUP($B392,Kraftvärmeprod!$B$1:$BX$550,MATCH(H$2,Kraftvärmeprod!$B$1:$VX$1,0),FALSE)/1,0)-IFERROR(VLOOKUP($B392,'Slutlig allokering kvv'!$B$2:$BX$550,MATCH(H$2,'Slutlig allokering kvv'!$B$1:$BX$1,0),FALSE)/1,0))</f>
        <v/>
      </c>
      <c r="I392" s="31" t="str">
        <f>IF($D392="","",IFERROR(VLOOKUP($B392,Kraftvärmeprod!$B$1:$BX$550,MATCH(I$2,Kraftvärmeprod!$B$1:$VX$1,0),FALSE)/1,0)-IFERROR(VLOOKUP($B392,'Slutlig allokering kvv'!$B$2:$BX$550,MATCH(I$2,'Slutlig allokering kvv'!$B$1:$BX$1,0),FALSE)/1,0))</f>
        <v/>
      </c>
      <c r="J392" s="31" t="str">
        <f>IF($D392="","",IFERROR(VLOOKUP($B392,Kraftvärmeprod!$B$1:$BX$550,MATCH(J$2,Kraftvärmeprod!$B$1:$VX$1,0),FALSE)/1,0)-IFERROR(VLOOKUP($B392,'Slutlig allokering kvv'!$B$2:$BX$550,MATCH(J$2,'Slutlig allokering kvv'!$B$1:$BX$1,0),FALSE)/1,0))</f>
        <v/>
      </c>
      <c r="K392" s="31" t="str">
        <f>IF($D392="","",IFERROR(VLOOKUP($B392,Kraftvärmeprod!$B$1:$BX$550,MATCH(K$2,Kraftvärmeprod!$B$1:$VX$1,0),FALSE)/1,0)-IFERROR(VLOOKUP($B392,'Slutlig allokering kvv'!$B$2:$BX$550,MATCH(K$2,'Slutlig allokering kvv'!$B$1:$BX$1,0),FALSE)/1,0))</f>
        <v/>
      </c>
      <c r="L392" s="31" t="str">
        <f>IF($D392="","",IFERROR(VLOOKUP($B392,Kraftvärmeprod!$B$1:$BX$550,MATCH(L$2,Kraftvärmeprod!$B$1:$VX$1,0),FALSE)/1,0)-IFERROR(VLOOKUP($B392,'Slutlig allokering kvv'!$B$2:$BX$550,MATCH(L$2,'Slutlig allokering kvv'!$B$1:$BX$1,0),FALSE)/1,0))</f>
        <v/>
      </c>
      <c r="M392" s="31" t="str">
        <f>IF($D392="","",IFERROR(VLOOKUP($B392,Kraftvärmeprod!$B$1:$BX$550,MATCH(M$2,Kraftvärmeprod!$B$1:$VX$1,0),FALSE)/1,0)-IFERROR(VLOOKUP($B392,'Slutlig allokering kvv'!$B$2:$BX$550,MATCH(M$2,'Slutlig allokering kvv'!$B$1:$BX$1,0),FALSE)/1,0))</f>
        <v/>
      </c>
      <c r="N392" s="31" t="str">
        <f>IF($D392="","",IFERROR(VLOOKUP($B392,Kraftvärmeprod!$B$1:$BX$550,MATCH(N$2,Kraftvärmeprod!$B$1:$VX$1,0),FALSE)/1,0)-IFERROR(VLOOKUP($B392,'Slutlig allokering kvv'!$B$2:$BX$550,MATCH(N$2,'Slutlig allokering kvv'!$B$1:$BX$1,0),FALSE)/1,0))</f>
        <v/>
      </c>
      <c r="O392" s="31" t="str">
        <f>IF($D392="","",IFERROR(VLOOKUP($B392,Kraftvärmeprod!$B$1:$BX$550,MATCH(O$2,Kraftvärmeprod!$B$1:$VX$1,0),FALSE)/1,0)-IFERROR(VLOOKUP($B392,'Slutlig allokering kvv'!$B$2:$BX$550,MATCH(O$2,'Slutlig allokering kvv'!$B$1:$BX$1,0),FALSE)/1,0))</f>
        <v/>
      </c>
      <c r="P392" s="31" t="str">
        <f>IF($D392="","",IFERROR(VLOOKUP($B392,Kraftvärmeprod!$B$1:$BX$550,MATCH(P$2,Kraftvärmeprod!$B$1:$VX$1,0),FALSE)/1,0)-IFERROR(VLOOKUP($B392,'Slutlig allokering kvv'!$B$2:$BX$550,MATCH(P$2,'Slutlig allokering kvv'!$B$1:$BX$1,0),FALSE)/1,0))</f>
        <v/>
      </c>
      <c r="Q392" s="31" t="str">
        <f>IF($D392="","",IFERROR(VLOOKUP($B392,Kraftvärmeprod!$B$1:$BX$550,MATCH(Q$2,Kraftvärmeprod!$B$1:$VX$1,0),FALSE)/1,0)-IFERROR(VLOOKUP($B392,'Slutlig allokering kvv'!$B$2:$BX$550,MATCH(Q$2,'Slutlig allokering kvv'!$B$1:$BX$1,0),FALSE)/1,0))</f>
        <v/>
      </c>
      <c r="R392" s="31" t="str">
        <f>IF($D392="","",IFERROR(VLOOKUP($B392,Kraftvärmeprod!$B$1:$BX$550,MATCH(R$2,Kraftvärmeprod!$B$1:$VX$1,0),FALSE)/1,0)-IFERROR(VLOOKUP($B392,'Slutlig allokering kvv'!$B$2:$BX$550,MATCH(R$2,'Slutlig allokering kvv'!$B$1:$BX$1,0),FALSE)/1,0))</f>
        <v/>
      </c>
      <c r="S392" s="31" t="str">
        <f>IF($D392="","",IFERROR(VLOOKUP($B392,Kraftvärmeprod!$B$1:$BX$550,MATCH(S$2,Kraftvärmeprod!$B$1:$VX$1,0),FALSE)/1,0)-IFERROR(VLOOKUP($B392,'Slutlig allokering kvv'!$B$2:$BX$550,MATCH(S$2,'Slutlig allokering kvv'!$B$1:$BX$1,0),FALSE)/1,0))</f>
        <v/>
      </c>
      <c r="T392" s="31" t="str">
        <f>IF($D392="","",IFERROR(VLOOKUP($B392,Kraftvärmeprod!$B$1:$BX$550,MATCH(T$2,Kraftvärmeprod!$B$1:$VX$1,0),FALSE)/1,0)-IFERROR(VLOOKUP($B392,'Slutlig allokering kvv'!$B$2:$BX$550,MATCH(T$2,'Slutlig allokering kvv'!$B$1:$BX$1,0),FALSE)/1,0))</f>
        <v/>
      </c>
      <c r="U392" s="31" t="str">
        <f>IF($D392="","",IFERROR(VLOOKUP($B392,Kraftvärmeprod!$B$1:$BX$550,MATCH(U$2,Kraftvärmeprod!$B$1:$VX$1,0),FALSE)/1,0)-IFERROR(VLOOKUP($B392,'Slutlig allokering kvv'!$B$2:$BX$550,MATCH(U$2,'Slutlig allokering kvv'!$B$1:$BX$1,0),FALSE)/1,0))</f>
        <v/>
      </c>
      <c r="V392" s="31" t="str">
        <f>IF($D392="","",IFERROR(VLOOKUP($B392,Kraftvärmeprod!$B$1:$BX$550,MATCH(V$2,Kraftvärmeprod!$B$1:$VX$1,0),FALSE)/1,0)-IFERROR(VLOOKUP($B392,'Slutlig allokering kvv'!$B$2:$BX$550,MATCH(V$2,'Slutlig allokering kvv'!$B$1:$BX$1,0),FALSE)/1,0))</f>
        <v/>
      </c>
      <c r="W392" s="31" t="str">
        <f>IF($D392="","",IFERROR(VLOOKUP($B392,Kraftvärmeprod!$B$1:$BX$550,MATCH(W$2,Kraftvärmeprod!$B$1:$VX$1,0),FALSE)/1,0)-IFERROR(VLOOKUP($B392,'Slutlig allokering kvv'!$B$2:$BX$550,MATCH(W$2,'Slutlig allokering kvv'!$B$1:$BX$1,0),FALSE)/1,0))</f>
        <v/>
      </c>
      <c r="X392" s="31" t="str">
        <f>IF($D392="","",IFERROR(VLOOKUP($B392,Kraftvärmeprod!$B$1:$BX$550,MATCH(X$2,Kraftvärmeprod!$B$1:$VX$1,0),FALSE)/1,0)-IFERROR(VLOOKUP($B392,'Slutlig allokering kvv'!$B$2:$BX$550,MATCH(X$2,'Slutlig allokering kvv'!$B$1:$BX$1,0),FALSE)/1,0))</f>
        <v/>
      </c>
      <c r="Y392" s="31" t="str">
        <f>IF($D392="","",IFERROR(VLOOKUP($B392,Kraftvärmeprod!$B$1:$BX$550,MATCH(Y$2,Kraftvärmeprod!$B$1:$VX$1,0),FALSE)/1,0)-IFERROR(VLOOKUP($B392,'Slutlig allokering kvv'!$B$2:$BX$550,MATCH(Y$2,'Slutlig allokering kvv'!$B$1:$BX$1,0),FALSE)/1,0))</f>
        <v/>
      </c>
      <c r="Z392" s="31" t="str">
        <f>IF($D392="","",IFERROR(VLOOKUP($B392,Kraftvärmeprod!$B$1:$BX$550,MATCH(Z$2,Kraftvärmeprod!$B$1:$VX$1,0),FALSE)/1,0)-IFERROR(VLOOKUP($B392,'Slutlig allokering kvv'!$B$2:$BX$550,MATCH(Z$2,'Slutlig allokering kvv'!$B$1:$BX$1,0),FALSE)/1,0))</f>
        <v/>
      </c>
      <c r="AA392" s="31" t="str">
        <f>IF($D392="","",IFERROR(VLOOKUP($B392,Kraftvärmeprod!$B$1:$BX$550,MATCH(AA$2,Kraftvärmeprod!$B$1:$VX$1,0),FALSE)/1,0)-IFERROR(VLOOKUP($B392,'Slutlig allokering kvv'!$B$2:$BX$550,MATCH(AA$2,'Slutlig allokering kvv'!$B$1:$BX$1,0),FALSE)/1,0))</f>
        <v/>
      </c>
      <c r="AB392" s="31" t="str">
        <f>IF($D392="","",IFERROR(VLOOKUP($B392,Kraftvärmeprod!$B$1:$BX$550,MATCH(AB$2,Kraftvärmeprod!$B$1:$VX$1,0),FALSE)/1,0)-IFERROR(VLOOKUP($B392,'Slutlig allokering kvv'!$B$2:$BX$550,MATCH(AB$2,'Slutlig allokering kvv'!$B$1:$BX$1,0),FALSE)/1,0))</f>
        <v/>
      </c>
      <c r="AC392" s="31" t="str">
        <f>IF($D392="","",IFERROR(VLOOKUP($B392,Kraftvärmeprod!$B$1:$BX$550,MATCH(AC$2,Kraftvärmeprod!$B$1:$VX$1,0),FALSE)/1,0)-IFERROR(VLOOKUP($B392,'Slutlig allokering kvv'!$B$2:$BX$550,MATCH(AC$2,'Slutlig allokering kvv'!$B$1:$BX$1,0),FALSE)/1,0))</f>
        <v/>
      </c>
      <c r="AD392" s="31" t="str">
        <f>IF($D392="","",IFERROR(VLOOKUP($B392,Kraftvärmeprod!$B$1:$BX$550,MATCH(AD$2,Kraftvärmeprod!$B$1:$VX$1,0),FALSE)/1,0)-IFERROR(VLOOKUP($B392,'Slutlig allokering kvv'!$B$2:$BX$550,MATCH(AD$2,'Slutlig allokering kvv'!$B$1:$BX$1,0),FALSE)/1,0))</f>
        <v/>
      </c>
      <c r="AE392" s="31" t="str">
        <f>IF($D392="","",IFERROR(VLOOKUP($B392,Miljö!$B$1:$E$550,MATCH("Hjälpel kraftvärme (GWh)",Miljö!$B$1:$E$1,0),FALSE)/1,0)-IFERROR(VLOOKUP($B392,'Slutlig allokering kvv'!$B$2:$BX$549,MATCH(AE$2,'Slutlig allokering kvv'!$B$1:$BX$1,0),FALSE)/1,0))</f>
        <v/>
      </c>
      <c r="AI392" s="39">
        <f t="shared" si="24"/>
        <v>0</v>
      </c>
      <c r="AK392" s="31" t="str">
        <f>IFERROR(VLOOKUP($B392,'Slutlig allokering kvv'!$B$2:$AX$549,MATCH("Summa slutlig allokerad tillförd energi (utan hjälpel och rökgaskondensering):",'Slutlig allokering kvv'!$B$1:$AX$1,0),FALSE)/1,"")</f>
        <v/>
      </c>
      <c r="AM392" s="31" t="str">
        <f>IFERROR(1-VLOOKUP($B392,'Slutlig allokering kvv'!$B$2:$AX$549,MATCH("Andel av bränsle i kvv som allokerats till värme, exklusive rökgaskondensering och hjälpel",'Slutlig allokering kvv'!$B$1:$AX$1,0),FALSE),"")</f>
        <v/>
      </c>
      <c r="AO392" s="31" t="str">
        <f t="shared" si="25"/>
        <v/>
      </c>
      <c r="AP392" s="31" t="str">
        <f t="shared" si="26"/>
        <v/>
      </c>
      <c r="AR392" s="32" t="str">
        <f t="shared" si="27"/>
        <v/>
      </c>
    </row>
    <row r="393" spans="3:44" s="31" customFormat="1" x14ac:dyDescent="0.45">
      <c r="C393" s="31" t="str">
        <f>IFERROR(VLOOKUP($B393,Kraftvärmeprod!$B$1:$AH$479,MATCH(C$2,Kraftvärmeprod!$B$1:$AG$1,0),FALSE)/1,"")</f>
        <v/>
      </c>
      <c r="D393" s="31" t="str">
        <f>IFERROR(VLOOKUP($B393,Kraftvärmeprod!$B$1:$AH$479,MATCH(D$2,Kraftvärmeprod!$B$1:$AG$1,0),FALSE)/1,"")</f>
        <v/>
      </c>
      <c r="F393" s="31" t="str">
        <f>IF($D393="","",IFERROR(VLOOKUP($B393,Kraftvärmeprod!$B$1:$BX$550,MATCH(F$2,Kraftvärmeprod!$B$1:$VX$1,0),FALSE)/1,0)-IFERROR(VLOOKUP($B393,'Slutlig allokering kvv'!$B$2:$BX$550,MATCH(F$2,'Slutlig allokering kvv'!$B$1:$BX$1,0),FALSE)/1,0))</f>
        <v/>
      </c>
      <c r="G393" s="31" t="str">
        <f>IF($D393="","",IFERROR(VLOOKUP($B393,Kraftvärmeprod!$B$1:$BX$550,MATCH(G$2,Kraftvärmeprod!$B$1:$VX$1,0),FALSE)/1,0)-IFERROR(VLOOKUP($B393,'Slutlig allokering kvv'!$B$2:$BX$550,MATCH(G$2,'Slutlig allokering kvv'!$B$1:$BX$1,0),FALSE)/1,0))</f>
        <v/>
      </c>
      <c r="H393" s="31" t="str">
        <f>IF($D393="","",IFERROR(VLOOKUP($B393,Kraftvärmeprod!$B$1:$BX$550,MATCH(H$2,Kraftvärmeprod!$B$1:$VX$1,0),FALSE)/1,0)-IFERROR(VLOOKUP($B393,'Slutlig allokering kvv'!$B$2:$BX$550,MATCH(H$2,'Slutlig allokering kvv'!$B$1:$BX$1,0),FALSE)/1,0))</f>
        <v/>
      </c>
      <c r="I393" s="31" t="str">
        <f>IF($D393="","",IFERROR(VLOOKUP($B393,Kraftvärmeprod!$B$1:$BX$550,MATCH(I$2,Kraftvärmeprod!$B$1:$VX$1,0),FALSE)/1,0)-IFERROR(VLOOKUP($B393,'Slutlig allokering kvv'!$B$2:$BX$550,MATCH(I$2,'Slutlig allokering kvv'!$B$1:$BX$1,0),FALSE)/1,0))</f>
        <v/>
      </c>
      <c r="J393" s="31" t="str">
        <f>IF($D393="","",IFERROR(VLOOKUP($B393,Kraftvärmeprod!$B$1:$BX$550,MATCH(J$2,Kraftvärmeprod!$B$1:$VX$1,0),FALSE)/1,0)-IFERROR(VLOOKUP($B393,'Slutlig allokering kvv'!$B$2:$BX$550,MATCH(J$2,'Slutlig allokering kvv'!$B$1:$BX$1,0),FALSE)/1,0))</f>
        <v/>
      </c>
      <c r="K393" s="31" t="str">
        <f>IF($D393="","",IFERROR(VLOOKUP($B393,Kraftvärmeprod!$B$1:$BX$550,MATCH(K$2,Kraftvärmeprod!$B$1:$VX$1,0),FALSE)/1,0)-IFERROR(VLOOKUP($B393,'Slutlig allokering kvv'!$B$2:$BX$550,MATCH(K$2,'Slutlig allokering kvv'!$B$1:$BX$1,0),FALSE)/1,0))</f>
        <v/>
      </c>
      <c r="L393" s="31" t="str">
        <f>IF($D393="","",IFERROR(VLOOKUP($B393,Kraftvärmeprod!$B$1:$BX$550,MATCH(L$2,Kraftvärmeprod!$B$1:$VX$1,0),FALSE)/1,0)-IFERROR(VLOOKUP($B393,'Slutlig allokering kvv'!$B$2:$BX$550,MATCH(L$2,'Slutlig allokering kvv'!$B$1:$BX$1,0),FALSE)/1,0))</f>
        <v/>
      </c>
      <c r="M393" s="31" t="str">
        <f>IF($D393="","",IFERROR(VLOOKUP($B393,Kraftvärmeprod!$B$1:$BX$550,MATCH(M$2,Kraftvärmeprod!$B$1:$VX$1,0),FALSE)/1,0)-IFERROR(VLOOKUP($B393,'Slutlig allokering kvv'!$B$2:$BX$550,MATCH(M$2,'Slutlig allokering kvv'!$B$1:$BX$1,0),FALSE)/1,0))</f>
        <v/>
      </c>
      <c r="N393" s="31" t="str">
        <f>IF($D393="","",IFERROR(VLOOKUP($B393,Kraftvärmeprod!$B$1:$BX$550,MATCH(N$2,Kraftvärmeprod!$B$1:$VX$1,0),FALSE)/1,0)-IFERROR(VLOOKUP($B393,'Slutlig allokering kvv'!$B$2:$BX$550,MATCH(N$2,'Slutlig allokering kvv'!$B$1:$BX$1,0),FALSE)/1,0))</f>
        <v/>
      </c>
      <c r="O393" s="31" t="str">
        <f>IF($D393="","",IFERROR(VLOOKUP($B393,Kraftvärmeprod!$B$1:$BX$550,MATCH(O$2,Kraftvärmeprod!$B$1:$VX$1,0),FALSE)/1,0)-IFERROR(VLOOKUP($B393,'Slutlig allokering kvv'!$B$2:$BX$550,MATCH(O$2,'Slutlig allokering kvv'!$B$1:$BX$1,0),FALSE)/1,0))</f>
        <v/>
      </c>
      <c r="P393" s="31" t="str">
        <f>IF($D393="","",IFERROR(VLOOKUP($B393,Kraftvärmeprod!$B$1:$BX$550,MATCH(P$2,Kraftvärmeprod!$B$1:$VX$1,0),FALSE)/1,0)-IFERROR(VLOOKUP($B393,'Slutlig allokering kvv'!$B$2:$BX$550,MATCH(P$2,'Slutlig allokering kvv'!$B$1:$BX$1,0),FALSE)/1,0))</f>
        <v/>
      </c>
      <c r="Q393" s="31" t="str">
        <f>IF($D393="","",IFERROR(VLOOKUP($B393,Kraftvärmeprod!$B$1:$BX$550,MATCH(Q$2,Kraftvärmeprod!$B$1:$VX$1,0),FALSE)/1,0)-IFERROR(VLOOKUP($B393,'Slutlig allokering kvv'!$B$2:$BX$550,MATCH(Q$2,'Slutlig allokering kvv'!$B$1:$BX$1,0),FALSE)/1,0))</f>
        <v/>
      </c>
      <c r="R393" s="31" t="str">
        <f>IF($D393="","",IFERROR(VLOOKUP($B393,Kraftvärmeprod!$B$1:$BX$550,MATCH(R$2,Kraftvärmeprod!$B$1:$VX$1,0),FALSE)/1,0)-IFERROR(VLOOKUP($B393,'Slutlig allokering kvv'!$B$2:$BX$550,MATCH(R$2,'Slutlig allokering kvv'!$B$1:$BX$1,0),FALSE)/1,0))</f>
        <v/>
      </c>
      <c r="S393" s="31" t="str">
        <f>IF($D393="","",IFERROR(VLOOKUP($B393,Kraftvärmeprod!$B$1:$BX$550,MATCH(S$2,Kraftvärmeprod!$B$1:$VX$1,0),FALSE)/1,0)-IFERROR(VLOOKUP($B393,'Slutlig allokering kvv'!$B$2:$BX$550,MATCH(S$2,'Slutlig allokering kvv'!$B$1:$BX$1,0),FALSE)/1,0))</f>
        <v/>
      </c>
      <c r="T393" s="31" t="str">
        <f>IF($D393="","",IFERROR(VLOOKUP($B393,Kraftvärmeprod!$B$1:$BX$550,MATCH(T$2,Kraftvärmeprod!$B$1:$VX$1,0),FALSE)/1,0)-IFERROR(VLOOKUP($B393,'Slutlig allokering kvv'!$B$2:$BX$550,MATCH(T$2,'Slutlig allokering kvv'!$B$1:$BX$1,0),FALSE)/1,0))</f>
        <v/>
      </c>
      <c r="U393" s="31" t="str">
        <f>IF($D393="","",IFERROR(VLOOKUP($B393,Kraftvärmeprod!$B$1:$BX$550,MATCH(U$2,Kraftvärmeprod!$B$1:$VX$1,0),FALSE)/1,0)-IFERROR(VLOOKUP($B393,'Slutlig allokering kvv'!$B$2:$BX$550,MATCH(U$2,'Slutlig allokering kvv'!$B$1:$BX$1,0),FALSE)/1,0))</f>
        <v/>
      </c>
      <c r="V393" s="31" t="str">
        <f>IF($D393="","",IFERROR(VLOOKUP($B393,Kraftvärmeprod!$B$1:$BX$550,MATCH(V$2,Kraftvärmeprod!$B$1:$VX$1,0),FALSE)/1,0)-IFERROR(VLOOKUP($B393,'Slutlig allokering kvv'!$B$2:$BX$550,MATCH(V$2,'Slutlig allokering kvv'!$B$1:$BX$1,0),FALSE)/1,0))</f>
        <v/>
      </c>
      <c r="W393" s="31" t="str">
        <f>IF($D393="","",IFERROR(VLOOKUP($B393,Kraftvärmeprod!$B$1:$BX$550,MATCH(W$2,Kraftvärmeprod!$B$1:$VX$1,0),FALSE)/1,0)-IFERROR(VLOOKUP($B393,'Slutlig allokering kvv'!$B$2:$BX$550,MATCH(W$2,'Slutlig allokering kvv'!$B$1:$BX$1,0),FALSE)/1,0))</f>
        <v/>
      </c>
      <c r="X393" s="31" t="str">
        <f>IF($D393="","",IFERROR(VLOOKUP($B393,Kraftvärmeprod!$B$1:$BX$550,MATCH(X$2,Kraftvärmeprod!$B$1:$VX$1,0),FALSE)/1,0)-IFERROR(VLOOKUP($B393,'Slutlig allokering kvv'!$B$2:$BX$550,MATCH(X$2,'Slutlig allokering kvv'!$B$1:$BX$1,0),FALSE)/1,0))</f>
        <v/>
      </c>
      <c r="Y393" s="31" t="str">
        <f>IF($D393="","",IFERROR(VLOOKUP($B393,Kraftvärmeprod!$B$1:$BX$550,MATCH(Y$2,Kraftvärmeprod!$B$1:$VX$1,0),FALSE)/1,0)-IFERROR(VLOOKUP($B393,'Slutlig allokering kvv'!$B$2:$BX$550,MATCH(Y$2,'Slutlig allokering kvv'!$B$1:$BX$1,0),FALSE)/1,0))</f>
        <v/>
      </c>
      <c r="Z393" s="31" t="str">
        <f>IF($D393="","",IFERROR(VLOOKUP($B393,Kraftvärmeprod!$B$1:$BX$550,MATCH(Z$2,Kraftvärmeprod!$B$1:$VX$1,0),FALSE)/1,0)-IFERROR(VLOOKUP($B393,'Slutlig allokering kvv'!$B$2:$BX$550,MATCH(Z$2,'Slutlig allokering kvv'!$B$1:$BX$1,0),FALSE)/1,0))</f>
        <v/>
      </c>
      <c r="AA393" s="31" t="str">
        <f>IF($D393="","",IFERROR(VLOOKUP($B393,Kraftvärmeprod!$B$1:$BX$550,MATCH(AA$2,Kraftvärmeprod!$B$1:$VX$1,0),FALSE)/1,0)-IFERROR(VLOOKUP($B393,'Slutlig allokering kvv'!$B$2:$BX$550,MATCH(AA$2,'Slutlig allokering kvv'!$B$1:$BX$1,0),FALSE)/1,0))</f>
        <v/>
      </c>
      <c r="AB393" s="31" t="str">
        <f>IF($D393="","",IFERROR(VLOOKUP($B393,Kraftvärmeprod!$B$1:$BX$550,MATCH(AB$2,Kraftvärmeprod!$B$1:$VX$1,0),FALSE)/1,0)-IFERROR(VLOOKUP($B393,'Slutlig allokering kvv'!$B$2:$BX$550,MATCH(AB$2,'Slutlig allokering kvv'!$B$1:$BX$1,0),FALSE)/1,0))</f>
        <v/>
      </c>
      <c r="AC393" s="31" t="str">
        <f>IF($D393="","",IFERROR(VLOOKUP($B393,Kraftvärmeprod!$B$1:$BX$550,MATCH(AC$2,Kraftvärmeprod!$B$1:$VX$1,0),FALSE)/1,0)-IFERROR(VLOOKUP($B393,'Slutlig allokering kvv'!$B$2:$BX$550,MATCH(AC$2,'Slutlig allokering kvv'!$B$1:$BX$1,0),FALSE)/1,0))</f>
        <v/>
      </c>
      <c r="AD393" s="31" t="str">
        <f>IF($D393="","",IFERROR(VLOOKUP($B393,Kraftvärmeprod!$B$1:$BX$550,MATCH(AD$2,Kraftvärmeprod!$B$1:$VX$1,0),FALSE)/1,0)-IFERROR(VLOOKUP($B393,'Slutlig allokering kvv'!$B$2:$BX$550,MATCH(AD$2,'Slutlig allokering kvv'!$B$1:$BX$1,0),FALSE)/1,0))</f>
        <v/>
      </c>
      <c r="AE393" s="31" t="str">
        <f>IF($D393="","",IFERROR(VLOOKUP($B393,Miljö!$B$1:$E$550,MATCH("Hjälpel kraftvärme (GWh)",Miljö!$B$1:$E$1,0),FALSE)/1,0)-IFERROR(VLOOKUP($B393,'Slutlig allokering kvv'!$B$2:$BX$549,MATCH(AE$2,'Slutlig allokering kvv'!$B$1:$BX$1,0),FALSE)/1,0))</f>
        <v/>
      </c>
      <c r="AI393" s="39">
        <f t="shared" si="24"/>
        <v>0</v>
      </c>
      <c r="AK393" s="31" t="str">
        <f>IFERROR(VLOOKUP($B393,'Slutlig allokering kvv'!$B$2:$AX$549,MATCH("Summa slutlig allokerad tillförd energi (utan hjälpel och rökgaskondensering):",'Slutlig allokering kvv'!$B$1:$AX$1,0),FALSE)/1,"")</f>
        <v/>
      </c>
      <c r="AM393" s="31" t="str">
        <f>IFERROR(1-VLOOKUP($B393,'Slutlig allokering kvv'!$B$2:$AX$549,MATCH("Andel av bränsle i kvv som allokerats till värme, exklusive rökgaskondensering och hjälpel",'Slutlig allokering kvv'!$B$1:$AX$1,0),FALSE),"")</f>
        <v/>
      </c>
      <c r="AO393" s="31" t="str">
        <f t="shared" si="25"/>
        <v/>
      </c>
      <c r="AP393" s="31" t="str">
        <f t="shared" si="26"/>
        <v/>
      </c>
      <c r="AR393" s="32" t="str">
        <f t="shared" si="27"/>
        <v/>
      </c>
    </row>
    <row r="394" spans="3:44" s="31" customFormat="1" x14ac:dyDescent="0.45">
      <c r="C394" s="31" t="str">
        <f>IFERROR(VLOOKUP($B394,Kraftvärmeprod!$B$1:$AH$479,MATCH(C$2,Kraftvärmeprod!$B$1:$AG$1,0),FALSE)/1,"")</f>
        <v/>
      </c>
      <c r="D394" s="31" t="str">
        <f>IFERROR(VLOOKUP($B394,Kraftvärmeprod!$B$1:$AH$479,MATCH(D$2,Kraftvärmeprod!$B$1:$AG$1,0),FALSE)/1,"")</f>
        <v/>
      </c>
      <c r="F394" s="31" t="str">
        <f>IF($D394="","",IFERROR(VLOOKUP($B394,Kraftvärmeprod!$B$1:$BX$550,MATCH(F$2,Kraftvärmeprod!$B$1:$VX$1,0),FALSE)/1,0)-IFERROR(VLOOKUP($B394,'Slutlig allokering kvv'!$B$2:$BX$550,MATCH(F$2,'Slutlig allokering kvv'!$B$1:$BX$1,0),FALSE)/1,0))</f>
        <v/>
      </c>
      <c r="G394" s="31" t="str">
        <f>IF($D394="","",IFERROR(VLOOKUP($B394,Kraftvärmeprod!$B$1:$BX$550,MATCH(G$2,Kraftvärmeprod!$B$1:$VX$1,0),FALSE)/1,0)-IFERROR(VLOOKUP($B394,'Slutlig allokering kvv'!$B$2:$BX$550,MATCH(G$2,'Slutlig allokering kvv'!$B$1:$BX$1,0),FALSE)/1,0))</f>
        <v/>
      </c>
      <c r="H394" s="31" t="str">
        <f>IF($D394="","",IFERROR(VLOOKUP($B394,Kraftvärmeprod!$B$1:$BX$550,MATCH(H$2,Kraftvärmeprod!$B$1:$VX$1,0),FALSE)/1,0)-IFERROR(VLOOKUP($B394,'Slutlig allokering kvv'!$B$2:$BX$550,MATCH(H$2,'Slutlig allokering kvv'!$B$1:$BX$1,0),FALSE)/1,0))</f>
        <v/>
      </c>
      <c r="I394" s="31" t="str">
        <f>IF($D394="","",IFERROR(VLOOKUP($B394,Kraftvärmeprod!$B$1:$BX$550,MATCH(I$2,Kraftvärmeprod!$B$1:$VX$1,0),FALSE)/1,0)-IFERROR(VLOOKUP($B394,'Slutlig allokering kvv'!$B$2:$BX$550,MATCH(I$2,'Slutlig allokering kvv'!$B$1:$BX$1,0),FALSE)/1,0))</f>
        <v/>
      </c>
      <c r="J394" s="31" t="str">
        <f>IF($D394="","",IFERROR(VLOOKUP($B394,Kraftvärmeprod!$B$1:$BX$550,MATCH(J$2,Kraftvärmeprod!$B$1:$VX$1,0),FALSE)/1,0)-IFERROR(VLOOKUP($B394,'Slutlig allokering kvv'!$B$2:$BX$550,MATCH(J$2,'Slutlig allokering kvv'!$B$1:$BX$1,0),FALSE)/1,0))</f>
        <v/>
      </c>
      <c r="K394" s="31" t="str">
        <f>IF($D394="","",IFERROR(VLOOKUP($B394,Kraftvärmeprod!$B$1:$BX$550,MATCH(K$2,Kraftvärmeprod!$B$1:$VX$1,0),FALSE)/1,0)-IFERROR(VLOOKUP($B394,'Slutlig allokering kvv'!$B$2:$BX$550,MATCH(K$2,'Slutlig allokering kvv'!$B$1:$BX$1,0),FALSE)/1,0))</f>
        <v/>
      </c>
      <c r="L394" s="31" t="str">
        <f>IF($D394="","",IFERROR(VLOOKUP($B394,Kraftvärmeprod!$B$1:$BX$550,MATCH(L$2,Kraftvärmeprod!$B$1:$VX$1,0),FALSE)/1,0)-IFERROR(VLOOKUP($B394,'Slutlig allokering kvv'!$B$2:$BX$550,MATCH(L$2,'Slutlig allokering kvv'!$B$1:$BX$1,0),FALSE)/1,0))</f>
        <v/>
      </c>
      <c r="M394" s="31" t="str">
        <f>IF($D394="","",IFERROR(VLOOKUP($B394,Kraftvärmeprod!$B$1:$BX$550,MATCH(M$2,Kraftvärmeprod!$B$1:$VX$1,0),FALSE)/1,0)-IFERROR(VLOOKUP($B394,'Slutlig allokering kvv'!$B$2:$BX$550,MATCH(M$2,'Slutlig allokering kvv'!$B$1:$BX$1,0),FALSE)/1,0))</f>
        <v/>
      </c>
      <c r="N394" s="31" t="str">
        <f>IF($D394="","",IFERROR(VLOOKUP($B394,Kraftvärmeprod!$B$1:$BX$550,MATCH(N$2,Kraftvärmeprod!$B$1:$VX$1,0),FALSE)/1,0)-IFERROR(VLOOKUP($B394,'Slutlig allokering kvv'!$B$2:$BX$550,MATCH(N$2,'Slutlig allokering kvv'!$B$1:$BX$1,0),FALSE)/1,0))</f>
        <v/>
      </c>
      <c r="O394" s="31" t="str">
        <f>IF($D394="","",IFERROR(VLOOKUP($B394,Kraftvärmeprod!$B$1:$BX$550,MATCH(O$2,Kraftvärmeprod!$B$1:$VX$1,0),FALSE)/1,0)-IFERROR(VLOOKUP($B394,'Slutlig allokering kvv'!$B$2:$BX$550,MATCH(O$2,'Slutlig allokering kvv'!$B$1:$BX$1,0),FALSE)/1,0))</f>
        <v/>
      </c>
      <c r="P394" s="31" t="str">
        <f>IF($D394="","",IFERROR(VLOOKUP($B394,Kraftvärmeprod!$B$1:$BX$550,MATCH(P$2,Kraftvärmeprod!$B$1:$VX$1,0),FALSE)/1,0)-IFERROR(VLOOKUP($B394,'Slutlig allokering kvv'!$B$2:$BX$550,MATCH(P$2,'Slutlig allokering kvv'!$B$1:$BX$1,0),FALSE)/1,0))</f>
        <v/>
      </c>
      <c r="Q394" s="31" t="str">
        <f>IF($D394="","",IFERROR(VLOOKUP($B394,Kraftvärmeprod!$B$1:$BX$550,MATCH(Q$2,Kraftvärmeprod!$B$1:$VX$1,0),FALSE)/1,0)-IFERROR(VLOOKUP($B394,'Slutlig allokering kvv'!$B$2:$BX$550,MATCH(Q$2,'Slutlig allokering kvv'!$B$1:$BX$1,0),FALSE)/1,0))</f>
        <v/>
      </c>
      <c r="R394" s="31" t="str">
        <f>IF($D394="","",IFERROR(VLOOKUP($B394,Kraftvärmeprod!$B$1:$BX$550,MATCH(R$2,Kraftvärmeprod!$B$1:$VX$1,0),FALSE)/1,0)-IFERROR(VLOOKUP($B394,'Slutlig allokering kvv'!$B$2:$BX$550,MATCH(R$2,'Slutlig allokering kvv'!$B$1:$BX$1,0),FALSE)/1,0))</f>
        <v/>
      </c>
      <c r="S394" s="31" t="str">
        <f>IF($D394="","",IFERROR(VLOOKUP($B394,Kraftvärmeprod!$B$1:$BX$550,MATCH(S$2,Kraftvärmeprod!$B$1:$VX$1,0),FALSE)/1,0)-IFERROR(VLOOKUP($B394,'Slutlig allokering kvv'!$B$2:$BX$550,MATCH(S$2,'Slutlig allokering kvv'!$B$1:$BX$1,0),FALSE)/1,0))</f>
        <v/>
      </c>
      <c r="T394" s="31" t="str">
        <f>IF($D394="","",IFERROR(VLOOKUP($B394,Kraftvärmeprod!$B$1:$BX$550,MATCH(T$2,Kraftvärmeprod!$B$1:$VX$1,0),FALSE)/1,0)-IFERROR(VLOOKUP($B394,'Slutlig allokering kvv'!$B$2:$BX$550,MATCH(T$2,'Slutlig allokering kvv'!$B$1:$BX$1,0),FALSE)/1,0))</f>
        <v/>
      </c>
      <c r="U394" s="31" t="str">
        <f>IF($D394="","",IFERROR(VLOOKUP($B394,Kraftvärmeprod!$B$1:$BX$550,MATCH(U$2,Kraftvärmeprod!$B$1:$VX$1,0),FALSE)/1,0)-IFERROR(VLOOKUP($B394,'Slutlig allokering kvv'!$B$2:$BX$550,MATCH(U$2,'Slutlig allokering kvv'!$B$1:$BX$1,0),FALSE)/1,0))</f>
        <v/>
      </c>
      <c r="V394" s="31" t="str">
        <f>IF($D394="","",IFERROR(VLOOKUP($B394,Kraftvärmeprod!$B$1:$BX$550,MATCH(V$2,Kraftvärmeprod!$B$1:$VX$1,0),FALSE)/1,0)-IFERROR(VLOOKUP($B394,'Slutlig allokering kvv'!$B$2:$BX$550,MATCH(V$2,'Slutlig allokering kvv'!$B$1:$BX$1,0),FALSE)/1,0))</f>
        <v/>
      </c>
      <c r="W394" s="31" t="str">
        <f>IF($D394="","",IFERROR(VLOOKUP($B394,Kraftvärmeprod!$B$1:$BX$550,MATCH(W$2,Kraftvärmeprod!$B$1:$VX$1,0),FALSE)/1,0)-IFERROR(VLOOKUP($B394,'Slutlig allokering kvv'!$B$2:$BX$550,MATCH(W$2,'Slutlig allokering kvv'!$B$1:$BX$1,0),FALSE)/1,0))</f>
        <v/>
      </c>
      <c r="X394" s="31" t="str">
        <f>IF($D394="","",IFERROR(VLOOKUP($B394,Kraftvärmeprod!$B$1:$BX$550,MATCH(X$2,Kraftvärmeprod!$B$1:$VX$1,0),FALSE)/1,0)-IFERROR(VLOOKUP($B394,'Slutlig allokering kvv'!$B$2:$BX$550,MATCH(X$2,'Slutlig allokering kvv'!$B$1:$BX$1,0),FALSE)/1,0))</f>
        <v/>
      </c>
      <c r="Y394" s="31" t="str">
        <f>IF($D394="","",IFERROR(VLOOKUP($B394,Kraftvärmeprod!$B$1:$BX$550,MATCH(Y$2,Kraftvärmeprod!$B$1:$VX$1,0),FALSE)/1,0)-IFERROR(VLOOKUP($B394,'Slutlig allokering kvv'!$B$2:$BX$550,MATCH(Y$2,'Slutlig allokering kvv'!$B$1:$BX$1,0),FALSE)/1,0))</f>
        <v/>
      </c>
      <c r="Z394" s="31" t="str">
        <f>IF($D394="","",IFERROR(VLOOKUP($B394,Kraftvärmeprod!$B$1:$BX$550,MATCH(Z$2,Kraftvärmeprod!$B$1:$VX$1,0),FALSE)/1,0)-IFERROR(VLOOKUP($B394,'Slutlig allokering kvv'!$B$2:$BX$550,MATCH(Z$2,'Slutlig allokering kvv'!$B$1:$BX$1,0),FALSE)/1,0))</f>
        <v/>
      </c>
      <c r="AA394" s="31" t="str">
        <f>IF($D394="","",IFERROR(VLOOKUP($B394,Kraftvärmeprod!$B$1:$BX$550,MATCH(AA$2,Kraftvärmeprod!$B$1:$VX$1,0),FALSE)/1,0)-IFERROR(VLOOKUP($B394,'Slutlig allokering kvv'!$B$2:$BX$550,MATCH(AA$2,'Slutlig allokering kvv'!$B$1:$BX$1,0),FALSE)/1,0))</f>
        <v/>
      </c>
      <c r="AB394" s="31" t="str">
        <f>IF($D394="","",IFERROR(VLOOKUP($B394,Kraftvärmeprod!$B$1:$BX$550,MATCH(AB$2,Kraftvärmeprod!$B$1:$VX$1,0),FALSE)/1,0)-IFERROR(VLOOKUP($B394,'Slutlig allokering kvv'!$B$2:$BX$550,MATCH(AB$2,'Slutlig allokering kvv'!$B$1:$BX$1,0),FALSE)/1,0))</f>
        <v/>
      </c>
      <c r="AC394" s="31" t="str">
        <f>IF($D394="","",IFERROR(VLOOKUP($B394,Kraftvärmeprod!$B$1:$BX$550,MATCH(AC$2,Kraftvärmeprod!$B$1:$VX$1,0),FALSE)/1,0)-IFERROR(VLOOKUP($B394,'Slutlig allokering kvv'!$B$2:$BX$550,MATCH(AC$2,'Slutlig allokering kvv'!$B$1:$BX$1,0),FALSE)/1,0))</f>
        <v/>
      </c>
      <c r="AD394" s="31" t="str">
        <f>IF($D394="","",IFERROR(VLOOKUP($B394,Kraftvärmeprod!$B$1:$BX$550,MATCH(AD$2,Kraftvärmeprod!$B$1:$VX$1,0),FALSE)/1,0)-IFERROR(VLOOKUP($B394,'Slutlig allokering kvv'!$B$2:$BX$550,MATCH(AD$2,'Slutlig allokering kvv'!$B$1:$BX$1,0),FALSE)/1,0))</f>
        <v/>
      </c>
      <c r="AE394" s="31" t="str">
        <f>IF($D394="","",IFERROR(VLOOKUP($B394,Miljö!$B$1:$E$550,MATCH("Hjälpel kraftvärme (GWh)",Miljö!$B$1:$E$1,0),FALSE)/1,0)-IFERROR(VLOOKUP($B394,'Slutlig allokering kvv'!$B$2:$BX$549,MATCH(AE$2,'Slutlig allokering kvv'!$B$1:$BX$1,0),FALSE)/1,0))</f>
        <v/>
      </c>
      <c r="AI394" s="39">
        <f t="shared" si="24"/>
        <v>0</v>
      </c>
      <c r="AK394" s="31" t="str">
        <f>IFERROR(VLOOKUP($B394,'Slutlig allokering kvv'!$B$2:$AX$549,MATCH("Summa slutlig allokerad tillförd energi (utan hjälpel och rökgaskondensering):",'Slutlig allokering kvv'!$B$1:$AX$1,0),FALSE)/1,"")</f>
        <v/>
      </c>
      <c r="AM394" s="31" t="str">
        <f>IFERROR(1-VLOOKUP($B394,'Slutlig allokering kvv'!$B$2:$AX$549,MATCH("Andel av bränsle i kvv som allokerats till värme, exklusive rökgaskondensering och hjälpel",'Slutlig allokering kvv'!$B$1:$AX$1,0),FALSE),"")</f>
        <v/>
      </c>
      <c r="AO394" s="31" t="str">
        <f t="shared" si="25"/>
        <v/>
      </c>
      <c r="AP394" s="31" t="str">
        <f t="shared" si="26"/>
        <v/>
      </c>
      <c r="AR394" s="32" t="str">
        <f t="shared" si="27"/>
        <v/>
      </c>
    </row>
    <row r="395" spans="3:44" s="31" customFormat="1" x14ac:dyDescent="0.45">
      <c r="C395" s="31" t="str">
        <f>IFERROR(VLOOKUP($B395,Kraftvärmeprod!$B$1:$AH$479,MATCH(C$2,Kraftvärmeprod!$B$1:$AG$1,0),FALSE)/1,"")</f>
        <v/>
      </c>
      <c r="D395" s="31" t="str">
        <f>IFERROR(VLOOKUP($B395,Kraftvärmeprod!$B$1:$AH$479,MATCH(D$2,Kraftvärmeprod!$B$1:$AG$1,0),FALSE)/1,"")</f>
        <v/>
      </c>
      <c r="F395" s="31" t="str">
        <f>IF($D395="","",IFERROR(VLOOKUP($B395,Kraftvärmeprod!$B$1:$BX$550,MATCH(F$2,Kraftvärmeprod!$B$1:$VX$1,0),FALSE)/1,0)-IFERROR(VLOOKUP($B395,'Slutlig allokering kvv'!$B$2:$BX$550,MATCH(F$2,'Slutlig allokering kvv'!$B$1:$BX$1,0),FALSE)/1,0))</f>
        <v/>
      </c>
      <c r="G395" s="31" t="str">
        <f>IF($D395="","",IFERROR(VLOOKUP($B395,Kraftvärmeprod!$B$1:$BX$550,MATCH(G$2,Kraftvärmeprod!$B$1:$VX$1,0),FALSE)/1,0)-IFERROR(VLOOKUP($B395,'Slutlig allokering kvv'!$B$2:$BX$550,MATCH(G$2,'Slutlig allokering kvv'!$B$1:$BX$1,0),FALSE)/1,0))</f>
        <v/>
      </c>
      <c r="H395" s="31" t="str">
        <f>IF($D395="","",IFERROR(VLOOKUP($B395,Kraftvärmeprod!$B$1:$BX$550,MATCH(H$2,Kraftvärmeprod!$B$1:$VX$1,0),FALSE)/1,0)-IFERROR(VLOOKUP($B395,'Slutlig allokering kvv'!$B$2:$BX$550,MATCH(H$2,'Slutlig allokering kvv'!$B$1:$BX$1,0),FALSE)/1,0))</f>
        <v/>
      </c>
      <c r="I395" s="31" t="str">
        <f>IF($D395="","",IFERROR(VLOOKUP($B395,Kraftvärmeprod!$B$1:$BX$550,MATCH(I$2,Kraftvärmeprod!$B$1:$VX$1,0),FALSE)/1,0)-IFERROR(VLOOKUP($B395,'Slutlig allokering kvv'!$B$2:$BX$550,MATCH(I$2,'Slutlig allokering kvv'!$B$1:$BX$1,0),FALSE)/1,0))</f>
        <v/>
      </c>
      <c r="J395" s="31" t="str">
        <f>IF($D395="","",IFERROR(VLOOKUP($B395,Kraftvärmeprod!$B$1:$BX$550,MATCH(J$2,Kraftvärmeprod!$B$1:$VX$1,0),FALSE)/1,0)-IFERROR(VLOOKUP($B395,'Slutlig allokering kvv'!$B$2:$BX$550,MATCH(J$2,'Slutlig allokering kvv'!$B$1:$BX$1,0),FALSE)/1,0))</f>
        <v/>
      </c>
      <c r="K395" s="31" t="str">
        <f>IF($D395="","",IFERROR(VLOOKUP($B395,Kraftvärmeprod!$B$1:$BX$550,MATCH(K$2,Kraftvärmeprod!$B$1:$VX$1,0),FALSE)/1,0)-IFERROR(VLOOKUP($B395,'Slutlig allokering kvv'!$B$2:$BX$550,MATCH(K$2,'Slutlig allokering kvv'!$B$1:$BX$1,0),FALSE)/1,0))</f>
        <v/>
      </c>
      <c r="L395" s="31" t="str">
        <f>IF($D395="","",IFERROR(VLOOKUP($B395,Kraftvärmeprod!$B$1:$BX$550,MATCH(L$2,Kraftvärmeprod!$B$1:$VX$1,0),FALSE)/1,0)-IFERROR(VLOOKUP($B395,'Slutlig allokering kvv'!$B$2:$BX$550,MATCH(L$2,'Slutlig allokering kvv'!$B$1:$BX$1,0),FALSE)/1,0))</f>
        <v/>
      </c>
      <c r="M395" s="31" t="str">
        <f>IF($D395="","",IFERROR(VLOOKUP($B395,Kraftvärmeprod!$B$1:$BX$550,MATCH(M$2,Kraftvärmeprod!$B$1:$VX$1,0),FALSE)/1,0)-IFERROR(VLOOKUP($B395,'Slutlig allokering kvv'!$B$2:$BX$550,MATCH(M$2,'Slutlig allokering kvv'!$B$1:$BX$1,0),FALSE)/1,0))</f>
        <v/>
      </c>
      <c r="N395" s="31" t="str">
        <f>IF($D395="","",IFERROR(VLOOKUP($B395,Kraftvärmeprod!$B$1:$BX$550,MATCH(N$2,Kraftvärmeprod!$B$1:$VX$1,0),FALSE)/1,0)-IFERROR(VLOOKUP($B395,'Slutlig allokering kvv'!$B$2:$BX$550,MATCH(N$2,'Slutlig allokering kvv'!$B$1:$BX$1,0),FALSE)/1,0))</f>
        <v/>
      </c>
      <c r="O395" s="31" t="str">
        <f>IF($D395="","",IFERROR(VLOOKUP($B395,Kraftvärmeprod!$B$1:$BX$550,MATCH(O$2,Kraftvärmeprod!$B$1:$VX$1,0),FALSE)/1,0)-IFERROR(VLOOKUP($B395,'Slutlig allokering kvv'!$B$2:$BX$550,MATCH(O$2,'Slutlig allokering kvv'!$B$1:$BX$1,0),FALSE)/1,0))</f>
        <v/>
      </c>
      <c r="P395" s="31" t="str">
        <f>IF($D395="","",IFERROR(VLOOKUP($B395,Kraftvärmeprod!$B$1:$BX$550,MATCH(P$2,Kraftvärmeprod!$B$1:$VX$1,0),FALSE)/1,0)-IFERROR(VLOOKUP($B395,'Slutlig allokering kvv'!$B$2:$BX$550,MATCH(P$2,'Slutlig allokering kvv'!$B$1:$BX$1,0),FALSE)/1,0))</f>
        <v/>
      </c>
      <c r="Q395" s="31" t="str">
        <f>IF($D395="","",IFERROR(VLOOKUP($B395,Kraftvärmeprod!$B$1:$BX$550,MATCH(Q$2,Kraftvärmeprod!$B$1:$VX$1,0),FALSE)/1,0)-IFERROR(VLOOKUP($B395,'Slutlig allokering kvv'!$B$2:$BX$550,MATCH(Q$2,'Slutlig allokering kvv'!$B$1:$BX$1,0),FALSE)/1,0))</f>
        <v/>
      </c>
      <c r="R395" s="31" t="str">
        <f>IF($D395="","",IFERROR(VLOOKUP($B395,Kraftvärmeprod!$B$1:$BX$550,MATCH(R$2,Kraftvärmeprod!$B$1:$VX$1,0),FALSE)/1,0)-IFERROR(VLOOKUP($B395,'Slutlig allokering kvv'!$B$2:$BX$550,MATCH(R$2,'Slutlig allokering kvv'!$B$1:$BX$1,0),FALSE)/1,0))</f>
        <v/>
      </c>
      <c r="S395" s="31" t="str">
        <f>IF($D395="","",IFERROR(VLOOKUP($B395,Kraftvärmeprod!$B$1:$BX$550,MATCH(S$2,Kraftvärmeprod!$B$1:$VX$1,0),FALSE)/1,0)-IFERROR(VLOOKUP($B395,'Slutlig allokering kvv'!$B$2:$BX$550,MATCH(S$2,'Slutlig allokering kvv'!$B$1:$BX$1,0),FALSE)/1,0))</f>
        <v/>
      </c>
      <c r="T395" s="31" t="str">
        <f>IF($D395="","",IFERROR(VLOOKUP($B395,Kraftvärmeprod!$B$1:$BX$550,MATCH(T$2,Kraftvärmeprod!$B$1:$VX$1,0),FALSE)/1,0)-IFERROR(VLOOKUP($B395,'Slutlig allokering kvv'!$B$2:$BX$550,MATCH(T$2,'Slutlig allokering kvv'!$B$1:$BX$1,0),FALSE)/1,0))</f>
        <v/>
      </c>
      <c r="U395" s="31" t="str">
        <f>IF($D395="","",IFERROR(VLOOKUP($B395,Kraftvärmeprod!$B$1:$BX$550,MATCH(U$2,Kraftvärmeprod!$B$1:$VX$1,0),FALSE)/1,0)-IFERROR(VLOOKUP($B395,'Slutlig allokering kvv'!$B$2:$BX$550,MATCH(U$2,'Slutlig allokering kvv'!$B$1:$BX$1,0),FALSE)/1,0))</f>
        <v/>
      </c>
      <c r="V395" s="31" t="str">
        <f>IF($D395="","",IFERROR(VLOOKUP($B395,Kraftvärmeprod!$B$1:$BX$550,MATCH(V$2,Kraftvärmeprod!$B$1:$VX$1,0),FALSE)/1,0)-IFERROR(VLOOKUP($B395,'Slutlig allokering kvv'!$B$2:$BX$550,MATCH(V$2,'Slutlig allokering kvv'!$B$1:$BX$1,0),FALSE)/1,0))</f>
        <v/>
      </c>
      <c r="W395" s="31" t="str">
        <f>IF($D395="","",IFERROR(VLOOKUP($B395,Kraftvärmeprod!$B$1:$BX$550,MATCH(W$2,Kraftvärmeprod!$B$1:$VX$1,0),FALSE)/1,0)-IFERROR(VLOOKUP($B395,'Slutlig allokering kvv'!$B$2:$BX$550,MATCH(W$2,'Slutlig allokering kvv'!$B$1:$BX$1,0),FALSE)/1,0))</f>
        <v/>
      </c>
      <c r="X395" s="31" t="str">
        <f>IF($D395="","",IFERROR(VLOOKUP($B395,Kraftvärmeprod!$B$1:$BX$550,MATCH(X$2,Kraftvärmeprod!$B$1:$VX$1,0),FALSE)/1,0)-IFERROR(VLOOKUP($B395,'Slutlig allokering kvv'!$B$2:$BX$550,MATCH(X$2,'Slutlig allokering kvv'!$B$1:$BX$1,0),FALSE)/1,0))</f>
        <v/>
      </c>
      <c r="Y395" s="31" t="str">
        <f>IF($D395="","",IFERROR(VLOOKUP($B395,Kraftvärmeprod!$B$1:$BX$550,MATCH(Y$2,Kraftvärmeprod!$B$1:$VX$1,0),FALSE)/1,0)-IFERROR(VLOOKUP($B395,'Slutlig allokering kvv'!$B$2:$BX$550,MATCH(Y$2,'Slutlig allokering kvv'!$B$1:$BX$1,0),FALSE)/1,0))</f>
        <v/>
      </c>
      <c r="Z395" s="31" t="str">
        <f>IF($D395="","",IFERROR(VLOOKUP($B395,Kraftvärmeprod!$B$1:$BX$550,MATCH(Z$2,Kraftvärmeprod!$B$1:$VX$1,0),FALSE)/1,0)-IFERROR(VLOOKUP($B395,'Slutlig allokering kvv'!$B$2:$BX$550,MATCH(Z$2,'Slutlig allokering kvv'!$B$1:$BX$1,0),FALSE)/1,0))</f>
        <v/>
      </c>
      <c r="AA395" s="31" t="str">
        <f>IF($D395="","",IFERROR(VLOOKUP($B395,Kraftvärmeprod!$B$1:$BX$550,MATCH(AA$2,Kraftvärmeprod!$B$1:$VX$1,0),FALSE)/1,0)-IFERROR(VLOOKUP($B395,'Slutlig allokering kvv'!$B$2:$BX$550,MATCH(AA$2,'Slutlig allokering kvv'!$B$1:$BX$1,0),FALSE)/1,0))</f>
        <v/>
      </c>
      <c r="AB395" s="31" t="str">
        <f>IF($D395="","",IFERROR(VLOOKUP($B395,Kraftvärmeprod!$B$1:$BX$550,MATCH(AB$2,Kraftvärmeprod!$B$1:$VX$1,0),FALSE)/1,0)-IFERROR(VLOOKUP($B395,'Slutlig allokering kvv'!$B$2:$BX$550,MATCH(AB$2,'Slutlig allokering kvv'!$B$1:$BX$1,0),FALSE)/1,0))</f>
        <v/>
      </c>
      <c r="AC395" s="31" t="str">
        <f>IF($D395="","",IFERROR(VLOOKUP($B395,Kraftvärmeprod!$B$1:$BX$550,MATCH(AC$2,Kraftvärmeprod!$B$1:$VX$1,0),FALSE)/1,0)-IFERROR(VLOOKUP($B395,'Slutlig allokering kvv'!$B$2:$BX$550,MATCH(AC$2,'Slutlig allokering kvv'!$B$1:$BX$1,0),FALSE)/1,0))</f>
        <v/>
      </c>
      <c r="AD395" s="31" t="str">
        <f>IF($D395="","",IFERROR(VLOOKUP($B395,Kraftvärmeprod!$B$1:$BX$550,MATCH(AD$2,Kraftvärmeprod!$B$1:$VX$1,0),FALSE)/1,0)-IFERROR(VLOOKUP($B395,'Slutlig allokering kvv'!$B$2:$BX$550,MATCH(AD$2,'Slutlig allokering kvv'!$B$1:$BX$1,0),FALSE)/1,0))</f>
        <v/>
      </c>
      <c r="AE395" s="31" t="str">
        <f>IF($D395="","",IFERROR(VLOOKUP($B395,Miljö!$B$1:$E$550,MATCH("Hjälpel kraftvärme (GWh)",Miljö!$B$1:$E$1,0),FALSE)/1,0)-IFERROR(VLOOKUP($B395,'Slutlig allokering kvv'!$B$2:$BX$549,MATCH(AE$2,'Slutlig allokering kvv'!$B$1:$BX$1,0),FALSE)/1,0))</f>
        <v/>
      </c>
      <c r="AI395" s="39">
        <f t="shared" si="24"/>
        <v>0</v>
      </c>
      <c r="AK395" s="31" t="str">
        <f>IFERROR(VLOOKUP($B395,'Slutlig allokering kvv'!$B$2:$AX$549,MATCH("Summa slutlig allokerad tillförd energi (utan hjälpel och rökgaskondensering):",'Slutlig allokering kvv'!$B$1:$AX$1,0),FALSE)/1,"")</f>
        <v/>
      </c>
      <c r="AM395" s="31" t="str">
        <f>IFERROR(1-VLOOKUP($B395,'Slutlig allokering kvv'!$B$2:$AX$549,MATCH("Andel av bränsle i kvv som allokerats till värme, exklusive rökgaskondensering och hjälpel",'Slutlig allokering kvv'!$B$1:$AX$1,0),FALSE),"")</f>
        <v/>
      </c>
      <c r="AO395" s="31" t="str">
        <f t="shared" si="25"/>
        <v/>
      </c>
      <c r="AP395" s="31" t="str">
        <f t="shared" si="26"/>
        <v/>
      </c>
      <c r="AR395" s="32" t="str">
        <f t="shared" si="27"/>
        <v/>
      </c>
    </row>
    <row r="396" spans="3:44" s="31" customFormat="1" x14ac:dyDescent="0.45">
      <c r="C396" s="31" t="str">
        <f>IFERROR(VLOOKUP($B396,Kraftvärmeprod!$B$1:$AH$479,MATCH(C$2,Kraftvärmeprod!$B$1:$AG$1,0),FALSE)/1,"")</f>
        <v/>
      </c>
      <c r="D396" s="31" t="str">
        <f>IFERROR(VLOOKUP($B396,Kraftvärmeprod!$B$1:$AH$479,MATCH(D$2,Kraftvärmeprod!$B$1:$AG$1,0),FALSE)/1,"")</f>
        <v/>
      </c>
      <c r="F396" s="31" t="str">
        <f>IF($D396="","",IFERROR(VLOOKUP($B396,Kraftvärmeprod!$B$1:$BX$550,MATCH(F$2,Kraftvärmeprod!$B$1:$VX$1,0),FALSE)/1,0)-IFERROR(VLOOKUP($B396,'Slutlig allokering kvv'!$B$2:$BX$550,MATCH(F$2,'Slutlig allokering kvv'!$B$1:$BX$1,0),FALSE)/1,0))</f>
        <v/>
      </c>
      <c r="G396" s="31" t="str">
        <f>IF($D396="","",IFERROR(VLOOKUP($B396,Kraftvärmeprod!$B$1:$BX$550,MATCH(G$2,Kraftvärmeprod!$B$1:$VX$1,0),FALSE)/1,0)-IFERROR(VLOOKUP($B396,'Slutlig allokering kvv'!$B$2:$BX$550,MATCH(G$2,'Slutlig allokering kvv'!$B$1:$BX$1,0),FALSE)/1,0))</f>
        <v/>
      </c>
      <c r="H396" s="31" t="str">
        <f>IF($D396="","",IFERROR(VLOOKUP($B396,Kraftvärmeprod!$B$1:$BX$550,MATCH(H$2,Kraftvärmeprod!$B$1:$VX$1,0),FALSE)/1,0)-IFERROR(VLOOKUP($B396,'Slutlig allokering kvv'!$B$2:$BX$550,MATCH(H$2,'Slutlig allokering kvv'!$B$1:$BX$1,0),FALSE)/1,0))</f>
        <v/>
      </c>
      <c r="I396" s="31" t="str">
        <f>IF($D396="","",IFERROR(VLOOKUP($B396,Kraftvärmeprod!$B$1:$BX$550,MATCH(I$2,Kraftvärmeprod!$B$1:$VX$1,0),FALSE)/1,0)-IFERROR(VLOOKUP($B396,'Slutlig allokering kvv'!$B$2:$BX$550,MATCH(I$2,'Slutlig allokering kvv'!$B$1:$BX$1,0),FALSE)/1,0))</f>
        <v/>
      </c>
      <c r="J396" s="31" t="str">
        <f>IF($D396="","",IFERROR(VLOOKUP($B396,Kraftvärmeprod!$B$1:$BX$550,MATCH(J$2,Kraftvärmeprod!$B$1:$VX$1,0),FALSE)/1,0)-IFERROR(VLOOKUP($B396,'Slutlig allokering kvv'!$B$2:$BX$550,MATCH(J$2,'Slutlig allokering kvv'!$B$1:$BX$1,0),FALSE)/1,0))</f>
        <v/>
      </c>
      <c r="K396" s="31" t="str">
        <f>IF($D396="","",IFERROR(VLOOKUP($B396,Kraftvärmeprod!$B$1:$BX$550,MATCH(K$2,Kraftvärmeprod!$B$1:$VX$1,0),FALSE)/1,0)-IFERROR(VLOOKUP($B396,'Slutlig allokering kvv'!$B$2:$BX$550,MATCH(K$2,'Slutlig allokering kvv'!$B$1:$BX$1,0),FALSE)/1,0))</f>
        <v/>
      </c>
      <c r="L396" s="31" t="str">
        <f>IF($D396="","",IFERROR(VLOOKUP($B396,Kraftvärmeprod!$B$1:$BX$550,MATCH(L$2,Kraftvärmeprod!$B$1:$VX$1,0),FALSE)/1,0)-IFERROR(VLOOKUP($B396,'Slutlig allokering kvv'!$B$2:$BX$550,MATCH(L$2,'Slutlig allokering kvv'!$B$1:$BX$1,0),FALSE)/1,0))</f>
        <v/>
      </c>
      <c r="M396" s="31" t="str">
        <f>IF($D396="","",IFERROR(VLOOKUP($B396,Kraftvärmeprod!$B$1:$BX$550,MATCH(M$2,Kraftvärmeprod!$B$1:$VX$1,0),FALSE)/1,0)-IFERROR(VLOOKUP($B396,'Slutlig allokering kvv'!$B$2:$BX$550,MATCH(M$2,'Slutlig allokering kvv'!$B$1:$BX$1,0),FALSE)/1,0))</f>
        <v/>
      </c>
      <c r="N396" s="31" t="str">
        <f>IF($D396="","",IFERROR(VLOOKUP($B396,Kraftvärmeprod!$B$1:$BX$550,MATCH(N$2,Kraftvärmeprod!$B$1:$VX$1,0),FALSE)/1,0)-IFERROR(VLOOKUP($B396,'Slutlig allokering kvv'!$B$2:$BX$550,MATCH(N$2,'Slutlig allokering kvv'!$B$1:$BX$1,0),FALSE)/1,0))</f>
        <v/>
      </c>
      <c r="O396" s="31" t="str">
        <f>IF($D396="","",IFERROR(VLOOKUP($B396,Kraftvärmeprod!$B$1:$BX$550,MATCH(O$2,Kraftvärmeprod!$B$1:$VX$1,0),FALSE)/1,0)-IFERROR(VLOOKUP($B396,'Slutlig allokering kvv'!$B$2:$BX$550,MATCH(O$2,'Slutlig allokering kvv'!$B$1:$BX$1,0),FALSE)/1,0))</f>
        <v/>
      </c>
      <c r="P396" s="31" t="str">
        <f>IF($D396="","",IFERROR(VLOOKUP($B396,Kraftvärmeprod!$B$1:$BX$550,MATCH(P$2,Kraftvärmeprod!$B$1:$VX$1,0),FALSE)/1,0)-IFERROR(VLOOKUP($B396,'Slutlig allokering kvv'!$B$2:$BX$550,MATCH(P$2,'Slutlig allokering kvv'!$B$1:$BX$1,0),FALSE)/1,0))</f>
        <v/>
      </c>
      <c r="Q396" s="31" t="str">
        <f>IF($D396="","",IFERROR(VLOOKUP($B396,Kraftvärmeprod!$B$1:$BX$550,MATCH(Q$2,Kraftvärmeprod!$B$1:$VX$1,0),FALSE)/1,0)-IFERROR(VLOOKUP($B396,'Slutlig allokering kvv'!$B$2:$BX$550,MATCH(Q$2,'Slutlig allokering kvv'!$B$1:$BX$1,0),FALSE)/1,0))</f>
        <v/>
      </c>
      <c r="R396" s="31" t="str">
        <f>IF($D396="","",IFERROR(VLOOKUP($B396,Kraftvärmeprod!$B$1:$BX$550,MATCH(R$2,Kraftvärmeprod!$B$1:$VX$1,0),FALSE)/1,0)-IFERROR(VLOOKUP($B396,'Slutlig allokering kvv'!$B$2:$BX$550,MATCH(R$2,'Slutlig allokering kvv'!$B$1:$BX$1,0),FALSE)/1,0))</f>
        <v/>
      </c>
      <c r="S396" s="31" t="str">
        <f>IF($D396="","",IFERROR(VLOOKUP($B396,Kraftvärmeprod!$B$1:$BX$550,MATCH(S$2,Kraftvärmeprod!$B$1:$VX$1,0),FALSE)/1,0)-IFERROR(VLOOKUP($B396,'Slutlig allokering kvv'!$B$2:$BX$550,MATCH(S$2,'Slutlig allokering kvv'!$B$1:$BX$1,0),FALSE)/1,0))</f>
        <v/>
      </c>
      <c r="T396" s="31" t="str">
        <f>IF($D396="","",IFERROR(VLOOKUP($B396,Kraftvärmeprod!$B$1:$BX$550,MATCH(T$2,Kraftvärmeprod!$B$1:$VX$1,0),FALSE)/1,0)-IFERROR(VLOOKUP($B396,'Slutlig allokering kvv'!$B$2:$BX$550,MATCH(T$2,'Slutlig allokering kvv'!$B$1:$BX$1,0),FALSE)/1,0))</f>
        <v/>
      </c>
      <c r="U396" s="31" t="str">
        <f>IF($D396="","",IFERROR(VLOOKUP($B396,Kraftvärmeprod!$B$1:$BX$550,MATCH(U$2,Kraftvärmeprod!$B$1:$VX$1,0),FALSE)/1,0)-IFERROR(VLOOKUP($B396,'Slutlig allokering kvv'!$B$2:$BX$550,MATCH(U$2,'Slutlig allokering kvv'!$B$1:$BX$1,0),FALSE)/1,0))</f>
        <v/>
      </c>
      <c r="V396" s="31" t="str">
        <f>IF($D396="","",IFERROR(VLOOKUP($B396,Kraftvärmeprod!$B$1:$BX$550,MATCH(V$2,Kraftvärmeprod!$B$1:$VX$1,0),FALSE)/1,0)-IFERROR(VLOOKUP($B396,'Slutlig allokering kvv'!$B$2:$BX$550,MATCH(V$2,'Slutlig allokering kvv'!$B$1:$BX$1,0),FALSE)/1,0))</f>
        <v/>
      </c>
      <c r="W396" s="31" t="str">
        <f>IF($D396="","",IFERROR(VLOOKUP($B396,Kraftvärmeprod!$B$1:$BX$550,MATCH(W$2,Kraftvärmeprod!$B$1:$VX$1,0),FALSE)/1,0)-IFERROR(VLOOKUP($B396,'Slutlig allokering kvv'!$B$2:$BX$550,MATCH(W$2,'Slutlig allokering kvv'!$B$1:$BX$1,0),FALSE)/1,0))</f>
        <v/>
      </c>
      <c r="X396" s="31" t="str">
        <f>IF($D396="","",IFERROR(VLOOKUP($B396,Kraftvärmeprod!$B$1:$BX$550,MATCH(X$2,Kraftvärmeprod!$B$1:$VX$1,0),FALSE)/1,0)-IFERROR(VLOOKUP($B396,'Slutlig allokering kvv'!$B$2:$BX$550,MATCH(X$2,'Slutlig allokering kvv'!$B$1:$BX$1,0),FALSE)/1,0))</f>
        <v/>
      </c>
      <c r="Y396" s="31" t="str">
        <f>IF($D396="","",IFERROR(VLOOKUP($B396,Kraftvärmeprod!$B$1:$BX$550,MATCH(Y$2,Kraftvärmeprod!$B$1:$VX$1,0),FALSE)/1,0)-IFERROR(VLOOKUP($B396,'Slutlig allokering kvv'!$B$2:$BX$550,MATCH(Y$2,'Slutlig allokering kvv'!$B$1:$BX$1,0),FALSE)/1,0))</f>
        <v/>
      </c>
      <c r="Z396" s="31" t="str">
        <f>IF($D396="","",IFERROR(VLOOKUP($B396,Kraftvärmeprod!$B$1:$BX$550,MATCH(Z$2,Kraftvärmeprod!$B$1:$VX$1,0),FALSE)/1,0)-IFERROR(VLOOKUP($B396,'Slutlig allokering kvv'!$B$2:$BX$550,MATCH(Z$2,'Slutlig allokering kvv'!$B$1:$BX$1,0),FALSE)/1,0))</f>
        <v/>
      </c>
      <c r="AA396" s="31" t="str">
        <f>IF($D396="","",IFERROR(VLOOKUP($B396,Kraftvärmeprod!$B$1:$BX$550,MATCH(AA$2,Kraftvärmeprod!$B$1:$VX$1,0),FALSE)/1,0)-IFERROR(VLOOKUP($B396,'Slutlig allokering kvv'!$B$2:$BX$550,MATCH(AA$2,'Slutlig allokering kvv'!$B$1:$BX$1,0),FALSE)/1,0))</f>
        <v/>
      </c>
      <c r="AB396" s="31" t="str">
        <f>IF($D396="","",IFERROR(VLOOKUP($B396,Kraftvärmeprod!$B$1:$BX$550,MATCH(AB$2,Kraftvärmeprod!$B$1:$VX$1,0),FALSE)/1,0)-IFERROR(VLOOKUP($B396,'Slutlig allokering kvv'!$B$2:$BX$550,MATCH(AB$2,'Slutlig allokering kvv'!$B$1:$BX$1,0),FALSE)/1,0))</f>
        <v/>
      </c>
      <c r="AC396" s="31" t="str">
        <f>IF($D396="","",IFERROR(VLOOKUP($B396,Kraftvärmeprod!$B$1:$BX$550,MATCH(AC$2,Kraftvärmeprod!$B$1:$VX$1,0),FALSE)/1,0)-IFERROR(VLOOKUP($B396,'Slutlig allokering kvv'!$B$2:$BX$550,MATCH(AC$2,'Slutlig allokering kvv'!$B$1:$BX$1,0),FALSE)/1,0))</f>
        <v/>
      </c>
      <c r="AD396" s="31" t="str">
        <f>IF($D396="","",IFERROR(VLOOKUP($B396,Kraftvärmeprod!$B$1:$BX$550,MATCH(AD$2,Kraftvärmeprod!$B$1:$VX$1,0),FALSE)/1,0)-IFERROR(VLOOKUP($B396,'Slutlig allokering kvv'!$B$2:$BX$550,MATCH(AD$2,'Slutlig allokering kvv'!$B$1:$BX$1,0),FALSE)/1,0))</f>
        <v/>
      </c>
      <c r="AE396" s="31" t="str">
        <f>IF($D396="","",IFERROR(VLOOKUP($B396,Miljö!$B$1:$E$550,MATCH("Hjälpel kraftvärme (GWh)",Miljö!$B$1:$E$1,0),FALSE)/1,0)-IFERROR(VLOOKUP($B396,'Slutlig allokering kvv'!$B$2:$BX$549,MATCH(AE$2,'Slutlig allokering kvv'!$B$1:$BX$1,0),FALSE)/1,0))</f>
        <v/>
      </c>
      <c r="AI396" s="39">
        <f t="shared" si="24"/>
        <v>0</v>
      </c>
      <c r="AK396" s="31" t="str">
        <f>IFERROR(VLOOKUP($B396,'Slutlig allokering kvv'!$B$2:$AX$549,MATCH("Summa slutlig allokerad tillförd energi (utan hjälpel och rökgaskondensering):",'Slutlig allokering kvv'!$B$1:$AX$1,0),FALSE)/1,"")</f>
        <v/>
      </c>
      <c r="AM396" s="31" t="str">
        <f>IFERROR(1-VLOOKUP($B396,'Slutlig allokering kvv'!$B$2:$AX$549,MATCH("Andel av bränsle i kvv som allokerats till värme, exklusive rökgaskondensering och hjälpel",'Slutlig allokering kvv'!$B$1:$AX$1,0),FALSE),"")</f>
        <v/>
      </c>
      <c r="AO396" s="31" t="str">
        <f t="shared" si="25"/>
        <v/>
      </c>
      <c r="AP396" s="31" t="str">
        <f t="shared" si="26"/>
        <v/>
      </c>
      <c r="AR396" s="32" t="str">
        <f t="shared" si="27"/>
        <v/>
      </c>
    </row>
    <row r="397" spans="3:44" s="31" customFormat="1" x14ac:dyDescent="0.45">
      <c r="C397" s="31" t="str">
        <f>IFERROR(VLOOKUP($B397,Kraftvärmeprod!$B$1:$AH$479,MATCH(C$2,Kraftvärmeprod!$B$1:$AG$1,0),FALSE)/1,"")</f>
        <v/>
      </c>
      <c r="D397" s="31" t="str">
        <f>IFERROR(VLOOKUP($B397,Kraftvärmeprod!$B$1:$AH$479,MATCH(D$2,Kraftvärmeprod!$B$1:$AG$1,0),FALSE)/1,"")</f>
        <v/>
      </c>
      <c r="F397" s="31" t="str">
        <f>IF($D397="","",IFERROR(VLOOKUP($B397,Kraftvärmeprod!$B$1:$BX$550,MATCH(F$2,Kraftvärmeprod!$B$1:$VX$1,0),FALSE)/1,0)-IFERROR(VLOOKUP($B397,'Slutlig allokering kvv'!$B$2:$BX$550,MATCH(F$2,'Slutlig allokering kvv'!$B$1:$BX$1,0),FALSE)/1,0))</f>
        <v/>
      </c>
      <c r="G397" s="31" t="str">
        <f>IF($D397="","",IFERROR(VLOOKUP($B397,Kraftvärmeprod!$B$1:$BX$550,MATCH(G$2,Kraftvärmeprod!$B$1:$VX$1,0),FALSE)/1,0)-IFERROR(VLOOKUP($B397,'Slutlig allokering kvv'!$B$2:$BX$550,MATCH(G$2,'Slutlig allokering kvv'!$B$1:$BX$1,0),FALSE)/1,0))</f>
        <v/>
      </c>
      <c r="H397" s="31" t="str">
        <f>IF($D397="","",IFERROR(VLOOKUP($B397,Kraftvärmeprod!$B$1:$BX$550,MATCH(H$2,Kraftvärmeprod!$B$1:$VX$1,0),FALSE)/1,0)-IFERROR(VLOOKUP($B397,'Slutlig allokering kvv'!$B$2:$BX$550,MATCH(H$2,'Slutlig allokering kvv'!$B$1:$BX$1,0),FALSE)/1,0))</f>
        <v/>
      </c>
      <c r="I397" s="31" t="str">
        <f>IF($D397="","",IFERROR(VLOOKUP($B397,Kraftvärmeprod!$B$1:$BX$550,MATCH(I$2,Kraftvärmeprod!$B$1:$VX$1,0),FALSE)/1,0)-IFERROR(VLOOKUP($B397,'Slutlig allokering kvv'!$B$2:$BX$550,MATCH(I$2,'Slutlig allokering kvv'!$B$1:$BX$1,0),FALSE)/1,0))</f>
        <v/>
      </c>
      <c r="J397" s="31" t="str">
        <f>IF($D397="","",IFERROR(VLOOKUP($B397,Kraftvärmeprod!$B$1:$BX$550,MATCH(J$2,Kraftvärmeprod!$B$1:$VX$1,0),FALSE)/1,0)-IFERROR(VLOOKUP($B397,'Slutlig allokering kvv'!$B$2:$BX$550,MATCH(J$2,'Slutlig allokering kvv'!$B$1:$BX$1,0),FALSE)/1,0))</f>
        <v/>
      </c>
      <c r="K397" s="31" t="str">
        <f>IF($D397="","",IFERROR(VLOOKUP($B397,Kraftvärmeprod!$B$1:$BX$550,MATCH(K$2,Kraftvärmeprod!$B$1:$VX$1,0),FALSE)/1,0)-IFERROR(VLOOKUP($B397,'Slutlig allokering kvv'!$B$2:$BX$550,MATCH(K$2,'Slutlig allokering kvv'!$B$1:$BX$1,0),FALSE)/1,0))</f>
        <v/>
      </c>
      <c r="L397" s="31" t="str">
        <f>IF($D397="","",IFERROR(VLOOKUP($B397,Kraftvärmeprod!$B$1:$BX$550,MATCH(L$2,Kraftvärmeprod!$B$1:$VX$1,0),FALSE)/1,0)-IFERROR(VLOOKUP($B397,'Slutlig allokering kvv'!$B$2:$BX$550,MATCH(L$2,'Slutlig allokering kvv'!$B$1:$BX$1,0),FALSE)/1,0))</f>
        <v/>
      </c>
      <c r="M397" s="31" t="str">
        <f>IF($D397="","",IFERROR(VLOOKUP($B397,Kraftvärmeprod!$B$1:$BX$550,MATCH(M$2,Kraftvärmeprod!$B$1:$VX$1,0),FALSE)/1,0)-IFERROR(VLOOKUP($B397,'Slutlig allokering kvv'!$B$2:$BX$550,MATCH(M$2,'Slutlig allokering kvv'!$B$1:$BX$1,0),FALSE)/1,0))</f>
        <v/>
      </c>
      <c r="N397" s="31" t="str">
        <f>IF($D397="","",IFERROR(VLOOKUP($B397,Kraftvärmeprod!$B$1:$BX$550,MATCH(N$2,Kraftvärmeprod!$B$1:$VX$1,0),FALSE)/1,0)-IFERROR(VLOOKUP($B397,'Slutlig allokering kvv'!$B$2:$BX$550,MATCH(N$2,'Slutlig allokering kvv'!$B$1:$BX$1,0),FALSE)/1,0))</f>
        <v/>
      </c>
      <c r="O397" s="31" t="str">
        <f>IF($D397="","",IFERROR(VLOOKUP($B397,Kraftvärmeprod!$B$1:$BX$550,MATCH(O$2,Kraftvärmeprod!$B$1:$VX$1,0),FALSE)/1,0)-IFERROR(VLOOKUP($B397,'Slutlig allokering kvv'!$B$2:$BX$550,MATCH(O$2,'Slutlig allokering kvv'!$B$1:$BX$1,0),FALSE)/1,0))</f>
        <v/>
      </c>
      <c r="P397" s="31" t="str">
        <f>IF($D397="","",IFERROR(VLOOKUP($B397,Kraftvärmeprod!$B$1:$BX$550,MATCH(P$2,Kraftvärmeprod!$B$1:$VX$1,0),FALSE)/1,0)-IFERROR(VLOOKUP($B397,'Slutlig allokering kvv'!$B$2:$BX$550,MATCH(P$2,'Slutlig allokering kvv'!$B$1:$BX$1,0),FALSE)/1,0))</f>
        <v/>
      </c>
      <c r="Q397" s="31" t="str">
        <f>IF($D397="","",IFERROR(VLOOKUP($B397,Kraftvärmeprod!$B$1:$BX$550,MATCH(Q$2,Kraftvärmeprod!$B$1:$VX$1,0),FALSE)/1,0)-IFERROR(VLOOKUP($B397,'Slutlig allokering kvv'!$B$2:$BX$550,MATCH(Q$2,'Slutlig allokering kvv'!$B$1:$BX$1,0),FALSE)/1,0))</f>
        <v/>
      </c>
      <c r="R397" s="31" t="str">
        <f>IF($D397="","",IFERROR(VLOOKUP($B397,Kraftvärmeprod!$B$1:$BX$550,MATCH(R$2,Kraftvärmeprod!$B$1:$VX$1,0),FALSE)/1,0)-IFERROR(VLOOKUP($B397,'Slutlig allokering kvv'!$B$2:$BX$550,MATCH(R$2,'Slutlig allokering kvv'!$B$1:$BX$1,0),FALSE)/1,0))</f>
        <v/>
      </c>
      <c r="S397" s="31" t="str">
        <f>IF($D397="","",IFERROR(VLOOKUP($B397,Kraftvärmeprod!$B$1:$BX$550,MATCH(S$2,Kraftvärmeprod!$B$1:$VX$1,0),FALSE)/1,0)-IFERROR(VLOOKUP($B397,'Slutlig allokering kvv'!$B$2:$BX$550,MATCH(S$2,'Slutlig allokering kvv'!$B$1:$BX$1,0),FALSE)/1,0))</f>
        <v/>
      </c>
      <c r="T397" s="31" t="str">
        <f>IF($D397="","",IFERROR(VLOOKUP($B397,Kraftvärmeprod!$B$1:$BX$550,MATCH(T$2,Kraftvärmeprod!$B$1:$VX$1,0),FALSE)/1,0)-IFERROR(VLOOKUP($B397,'Slutlig allokering kvv'!$B$2:$BX$550,MATCH(T$2,'Slutlig allokering kvv'!$B$1:$BX$1,0),FALSE)/1,0))</f>
        <v/>
      </c>
      <c r="U397" s="31" t="str">
        <f>IF($D397="","",IFERROR(VLOOKUP($B397,Kraftvärmeprod!$B$1:$BX$550,MATCH(U$2,Kraftvärmeprod!$B$1:$VX$1,0),FALSE)/1,0)-IFERROR(VLOOKUP($B397,'Slutlig allokering kvv'!$B$2:$BX$550,MATCH(U$2,'Slutlig allokering kvv'!$B$1:$BX$1,0),FALSE)/1,0))</f>
        <v/>
      </c>
      <c r="V397" s="31" t="str">
        <f>IF($D397="","",IFERROR(VLOOKUP($B397,Kraftvärmeprod!$B$1:$BX$550,MATCH(V$2,Kraftvärmeprod!$B$1:$VX$1,0),FALSE)/1,0)-IFERROR(VLOOKUP($B397,'Slutlig allokering kvv'!$B$2:$BX$550,MATCH(V$2,'Slutlig allokering kvv'!$B$1:$BX$1,0),FALSE)/1,0))</f>
        <v/>
      </c>
      <c r="W397" s="31" t="str">
        <f>IF($D397="","",IFERROR(VLOOKUP($B397,Kraftvärmeprod!$B$1:$BX$550,MATCH(W$2,Kraftvärmeprod!$B$1:$VX$1,0),FALSE)/1,0)-IFERROR(VLOOKUP($B397,'Slutlig allokering kvv'!$B$2:$BX$550,MATCH(W$2,'Slutlig allokering kvv'!$B$1:$BX$1,0),FALSE)/1,0))</f>
        <v/>
      </c>
      <c r="X397" s="31" t="str">
        <f>IF($D397="","",IFERROR(VLOOKUP($B397,Kraftvärmeprod!$B$1:$BX$550,MATCH(X$2,Kraftvärmeprod!$B$1:$VX$1,0),FALSE)/1,0)-IFERROR(VLOOKUP($B397,'Slutlig allokering kvv'!$B$2:$BX$550,MATCH(X$2,'Slutlig allokering kvv'!$B$1:$BX$1,0),FALSE)/1,0))</f>
        <v/>
      </c>
      <c r="Y397" s="31" t="str">
        <f>IF($D397="","",IFERROR(VLOOKUP($B397,Kraftvärmeprod!$B$1:$BX$550,MATCH(Y$2,Kraftvärmeprod!$B$1:$VX$1,0),FALSE)/1,0)-IFERROR(VLOOKUP($B397,'Slutlig allokering kvv'!$B$2:$BX$550,MATCH(Y$2,'Slutlig allokering kvv'!$B$1:$BX$1,0),FALSE)/1,0))</f>
        <v/>
      </c>
      <c r="Z397" s="31" t="str">
        <f>IF($D397="","",IFERROR(VLOOKUP($B397,Kraftvärmeprod!$B$1:$BX$550,MATCH(Z$2,Kraftvärmeprod!$B$1:$VX$1,0),FALSE)/1,0)-IFERROR(VLOOKUP($B397,'Slutlig allokering kvv'!$B$2:$BX$550,MATCH(Z$2,'Slutlig allokering kvv'!$B$1:$BX$1,0),FALSE)/1,0))</f>
        <v/>
      </c>
      <c r="AA397" s="31" t="str">
        <f>IF($D397="","",IFERROR(VLOOKUP($B397,Kraftvärmeprod!$B$1:$BX$550,MATCH(AA$2,Kraftvärmeprod!$B$1:$VX$1,0),FALSE)/1,0)-IFERROR(VLOOKUP($B397,'Slutlig allokering kvv'!$B$2:$BX$550,MATCH(AA$2,'Slutlig allokering kvv'!$B$1:$BX$1,0),FALSE)/1,0))</f>
        <v/>
      </c>
      <c r="AB397" s="31" t="str">
        <f>IF($D397="","",IFERROR(VLOOKUP($B397,Kraftvärmeprod!$B$1:$BX$550,MATCH(AB$2,Kraftvärmeprod!$B$1:$VX$1,0),FALSE)/1,0)-IFERROR(VLOOKUP($B397,'Slutlig allokering kvv'!$B$2:$BX$550,MATCH(AB$2,'Slutlig allokering kvv'!$B$1:$BX$1,0),FALSE)/1,0))</f>
        <v/>
      </c>
      <c r="AC397" s="31" t="str">
        <f>IF($D397="","",IFERROR(VLOOKUP($B397,Kraftvärmeprod!$B$1:$BX$550,MATCH(AC$2,Kraftvärmeprod!$B$1:$VX$1,0),FALSE)/1,0)-IFERROR(VLOOKUP($B397,'Slutlig allokering kvv'!$B$2:$BX$550,MATCH(AC$2,'Slutlig allokering kvv'!$B$1:$BX$1,0),FALSE)/1,0))</f>
        <v/>
      </c>
      <c r="AD397" s="31" t="str">
        <f>IF($D397="","",IFERROR(VLOOKUP($B397,Kraftvärmeprod!$B$1:$BX$550,MATCH(AD$2,Kraftvärmeprod!$B$1:$VX$1,0),FALSE)/1,0)-IFERROR(VLOOKUP($B397,'Slutlig allokering kvv'!$B$2:$BX$550,MATCH(AD$2,'Slutlig allokering kvv'!$B$1:$BX$1,0),FALSE)/1,0))</f>
        <v/>
      </c>
      <c r="AE397" s="31" t="str">
        <f>IF($D397="","",IFERROR(VLOOKUP($B397,Miljö!$B$1:$E$550,MATCH("Hjälpel kraftvärme (GWh)",Miljö!$B$1:$E$1,0),FALSE)/1,0)-IFERROR(VLOOKUP($B397,'Slutlig allokering kvv'!$B$2:$BX$549,MATCH(AE$2,'Slutlig allokering kvv'!$B$1:$BX$1,0),FALSE)/1,0))</f>
        <v/>
      </c>
      <c r="AI397" s="39">
        <f t="shared" si="24"/>
        <v>0</v>
      </c>
      <c r="AK397" s="31" t="str">
        <f>IFERROR(VLOOKUP($B397,'Slutlig allokering kvv'!$B$2:$AX$549,MATCH("Summa slutlig allokerad tillförd energi (utan hjälpel och rökgaskondensering):",'Slutlig allokering kvv'!$B$1:$AX$1,0),FALSE)/1,"")</f>
        <v/>
      </c>
      <c r="AM397" s="31" t="str">
        <f>IFERROR(1-VLOOKUP($B397,'Slutlig allokering kvv'!$B$2:$AX$549,MATCH("Andel av bränsle i kvv som allokerats till värme, exklusive rökgaskondensering och hjälpel",'Slutlig allokering kvv'!$B$1:$AX$1,0),FALSE),"")</f>
        <v/>
      </c>
      <c r="AO397" s="31" t="str">
        <f t="shared" si="25"/>
        <v/>
      </c>
      <c r="AP397" s="31" t="str">
        <f t="shared" si="26"/>
        <v/>
      </c>
      <c r="AR397" s="32" t="str">
        <f t="shared" si="27"/>
        <v/>
      </c>
    </row>
    <row r="398" spans="3:44" s="31" customFormat="1" x14ac:dyDescent="0.45">
      <c r="C398" s="31" t="str">
        <f>IFERROR(VLOOKUP($B398,Kraftvärmeprod!$B$1:$AH$479,MATCH(C$2,Kraftvärmeprod!$B$1:$AG$1,0),FALSE)/1,"")</f>
        <v/>
      </c>
      <c r="D398" s="31" t="str">
        <f>IFERROR(VLOOKUP($B398,Kraftvärmeprod!$B$1:$AH$479,MATCH(D$2,Kraftvärmeprod!$B$1:$AG$1,0),FALSE)/1,"")</f>
        <v/>
      </c>
      <c r="F398" s="31" t="str">
        <f>IF($D398="","",IFERROR(VLOOKUP($B398,Kraftvärmeprod!$B$1:$BX$550,MATCH(F$2,Kraftvärmeprod!$B$1:$VX$1,0),FALSE)/1,0)-IFERROR(VLOOKUP($B398,'Slutlig allokering kvv'!$B$2:$BX$550,MATCH(F$2,'Slutlig allokering kvv'!$B$1:$BX$1,0),FALSE)/1,0))</f>
        <v/>
      </c>
      <c r="G398" s="31" t="str">
        <f>IF($D398="","",IFERROR(VLOOKUP($B398,Kraftvärmeprod!$B$1:$BX$550,MATCH(G$2,Kraftvärmeprod!$B$1:$VX$1,0),FALSE)/1,0)-IFERROR(VLOOKUP($B398,'Slutlig allokering kvv'!$B$2:$BX$550,MATCH(G$2,'Slutlig allokering kvv'!$B$1:$BX$1,0),FALSE)/1,0))</f>
        <v/>
      </c>
      <c r="H398" s="31" t="str">
        <f>IF($D398="","",IFERROR(VLOOKUP($B398,Kraftvärmeprod!$B$1:$BX$550,MATCH(H$2,Kraftvärmeprod!$B$1:$VX$1,0),FALSE)/1,0)-IFERROR(VLOOKUP($B398,'Slutlig allokering kvv'!$B$2:$BX$550,MATCH(H$2,'Slutlig allokering kvv'!$B$1:$BX$1,0),FALSE)/1,0))</f>
        <v/>
      </c>
      <c r="I398" s="31" t="str">
        <f>IF($D398="","",IFERROR(VLOOKUP($B398,Kraftvärmeprod!$B$1:$BX$550,MATCH(I$2,Kraftvärmeprod!$B$1:$VX$1,0),FALSE)/1,0)-IFERROR(VLOOKUP($B398,'Slutlig allokering kvv'!$B$2:$BX$550,MATCH(I$2,'Slutlig allokering kvv'!$B$1:$BX$1,0),FALSE)/1,0))</f>
        <v/>
      </c>
      <c r="J398" s="31" t="str">
        <f>IF($D398="","",IFERROR(VLOOKUP($B398,Kraftvärmeprod!$B$1:$BX$550,MATCH(J$2,Kraftvärmeprod!$B$1:$VX$1,0),FALSE)/1,0)-IFERROR(VLOOKUP($B398,'Slutlig allokering kvv'!$B$2:$BX$550,MATCH(J$2,'Slutlig allokering kvv'!$B$1:$BX$1,0),FALSE)/1,0))</f>
        <v/>
      </c>
      <c r="K398" s="31" t="str">
        <f>IF($D398="","",IFERROR(VLOOKUP($B398,Kraftvärmeprod!$B$1:$BX$550,MATCH(K$2,Kraftvärmeprod!$B$1:$VX$1,0),FALSE)/1,0)-IFERROR(VLOOKUP($B398,'Slutlig allokering kvv'!$B$2:$BX$550,MATCH(K$2,'Slutlig allokering kvv'!$B$1:$BX$1,0),FALSE)/1,0))</f>
        <v/>
      </c>
      <c r="L398" s="31" t="str">
        <f>IF($D398="","",IFERROR(VLOOKUP($B398,Kraftvärmeprod!$B$1:$BX$550,MATCH(L$2,Kraftvärmeprod!$B$1:$VX$1,0),FALSE)/1,0)-IFERROR(VLOOKUP($B398,'Slutlig allokering kvv'!$B$2:$BX$550,MATCH(L$2,'Slutlig allokering kvv'!$B$1:$BX$1,0),FALSE)/1,0))</f>
        <v/>
      </c>
      <c r="M398" s="31" t="str">
        <f>IF($D398="","",IFERROR(VLOOKUP($B398,Kraftvärmeprod!$B$1:$BX$550,MATCH(M$2,Kraftvärmeprod!$B$1:$VX$1,0),FALSE)/1,0)-IFERROR(VLOOKUP($B398,'Slutlig allokering kvv'!$B$2:$BX$550,MATCH(M$2,'Slutlig allokering kvv'!$B$1:$BX$1,0),FALSE)/1,0))</f>
        <v/>
      </c>
      <c r="N398" s="31" t="str">
        <f>IF($D398="","",IFERROR(VLOOKUP($B398,Kraftvärmeprod!$B$1:$BX$550,MATCH(N$2,Kraftvärmeprod!$B$1:$VX$1,0),FALSE)/1,0)-IFERROR(VLOOKUP($B398,'Slutlig allokering kvv'!$B$2:$BX$550,MATCH(N$2,'Slutlig allokering kvv'!$B$1:$BX$1,0),FALSE)/1,0))</f>
        <v/>
      </c>
      <c r="O398" s="31" t="str">
        <f>IF($D398="","",IFERROR(VLOOKUP($B398,Kraftvärmeprod!$B$1:$BX$550,MATCH(O$2,Kraftvärmeprod!$B$1:$VX$1,0),FALSE)/1,0)-IFERROR(VLOOKUP($B398,'Slutlig allokering kvv'!$B$2:$BX$550,MATCH(O$2,'Slutlig allokering kvv'!$B$1:$BX$1,0),FALSE)/1,0))</f>
        <v/>
      </c>
      <c r="P398" s="31" t="str">
        <f>IF($D398="","",IFERROR(VLOOKUP($B398,Kraftvärmeprod!$B$1:$BX$550,MATCH(P$2,Kraftvärmeprod!$B$1:$VX$1,0),FALSE)/1,0)-IFERROR(VLOOKUP($B398,'Slutlig allokering kvv'!$B$2:$BX$550,MATCH(P$2,'Slutlig allokering kvv'!$B$1:$BX$1,0),FALSE)/1,0))</f>
        <v/>
      </c>
      <c r="Q398" s="31" t="str">
        <f>IF($D398="","",IFERROR(VLOOKUP($B398,Kraftvärmeprod!$B$1:$BX$550,MATCH(Q$2,Kraftvärmeprod!$B$1:$VX$1,0),FALSE)/1,0)-IFERROR(VLOOKUP($B398,'Slutlig allokering kvv'!$B$2:$BX$550,MATCH(Q$2,'Slutlig allokering kvv'!$B$1:$BX$1,0),FALSE)/1,0))</f>
        <v/>
      </c>
      <c r="R398" s="31" t="str">
        <f>IF($D398="","",IFERROR(VLOOKUP($B398,Kraftvärmeprod!$B$1:$BX$550,MATCH(R$2,Kraftvärmeprod!$B$1:$VX$1,0),FALSE)/1,0)-IFERROR(VLOOKUP($B398,'Slutlig allokering kvv'!$B$2:$BX$550,MATCH(R$2,'Slutlig allokering kvv'!$B$1:$BX$1,0),FALSE)/1,0))</f>
        <v/>
      </c>
      <c r="S398" s="31" t="str">
        <f>IF($D398="","",IFERROR(VLOOKUP($B398,Kraftvärmeprod!$B$1:$BX$550,MATCH(S$2,Kraftvärmeprod!$B$1:$VX$1,0),FALSE)/1,0)-IFERROR(VLOOKUP($B398,'Slutlig allokering kvv'!$B$2:$BX$550,MATCH(S$2,'Slutlig allokering kvv'!$B$1:$BX$1,0),FALSE)/1,0))</f>
        <v/>
      </c>
      <c r="T398" s="31" t="str">
        <f>IF($D398="","",IFERROR(VLOOKUP($B398,Kraftvärmeprod!$B$1:$BX$550,MATCH(T$2,Kraftvärmeprod!$B$1:$VX$1,0),FALSE)/1,0)-IFERROR(VLOOKUP($B398,'Slutlig allokering kvv'!$B$2:$BX$550,MATCH(T$2,'Slutlig allokering kvv'!$B$1:$BX$1,0),FALSE)/1,0))</f>
        <v/>
      </c>
      <c r="U398" s="31" t="str">
        <f>IF($D398="","",IFERROR(VLOOKUP($B398,Kraftvärmeprod!$B$1:$BX$550,MATCH(U$2,Kraftvärmeprod!$B$1:$VX$1,0),FALSE)/1,0)-IFERROR(VLOOKUP($B398,'Slutlig allokering kvv'!$B$2:$BX$550,MATCH(U$2,'Slutlig allokering kvv'!$B$1:$BX$1,0),FALSE)/1,0))</f>
        <v/>
      </c>
      <c r="V398" s="31" t="str">
        <f>IF($D398="","",IFERROR(VLOOKUP($B398,Kraftvärmeprod!$B$1:$BX$550,MATCH(V$2,Kraftvärmeprod!$B$1:$VX$1,0),FALSE)/1,0)-IFERROR(VLOOKUP($B398,'Slutlig allokering kvv'!$B$2:$BX$550,MATCH(V$2,'Slutlig allokering kvv'!$B$1:$BX$1,0),FALSE)/1,0))</f>
        <v/>
      </c>
      <c r="W398" s="31" t="str">
        <f>IF($D398="","",IFERROR(VLOOKUP($B398,Kraftvärmeprod!$B$1:$BX$550,MATCH(W$2,Kraftvärmeprod!$B$1:$VX$1,0),FALSE)/1,0)-IFERROR(VLOOKUP($B398,'Slutlig allokering kvv'!$B$2:$BX$550,MATCH(W$2,'Slutlig allokering kvv'!$B$1:$BX$1,0),FALSE)/1,0))</f>
        <v/>
      </c>
      <c r="X398" s="31" t="str">
        <f>IF($D398="","",IFERROR(VLOOKUP($B398,Kraftvärmeprod!$B$1:$BX$550,MATCH(X$2,Kraftvärmeprod!$B$1:$VX$1,0),FALSE)/1,0)-IFERROR(VLOOKUP($B398,'Slutlig allokering kvv'!$B$2:$BX$550,MATCH(X$2,'Slutlig allokering kvv'!$B$1:$BX$1,0),FALSE)/1,0))</f>
        <v/>
      </c>
      <c r="Y398" s="31" t="str">
        <f>IF($D398="","",IFERROR(VLOOKUP($B398,Kraftvärmeprod!$B$1:$BX$550,MATCH(Y$2,Kraftvärmeprod!$B$1:$VX$1,0),FALSE)/1,0)-IFERROR(VLOOKUP($B398,'Slutlig allokering kvv'!$B$2:$BX$550,MATCH(Y$2,'Slutlig allokering kvv'!$B$1:$BX$1,0),FALSE)/1,0))</f>
        <v/>
      </c>
      <c r="Z398" s="31" t="str">
        <f>IF($D398="","",IFERROR(VLOOKUP($B398,Kraftvärmeprod!$B$1:$BX$550,MATCH(Z$2,Kraftvärmeprod!$B$1:$VX$1,0),FALSE)/1,0)-IFERROR(VLOOKUP($B398,'Slutlig allokering kvv'!$B$2:$BX$550,MATCH(Z$2,'Slutlig allokering kvv'!$B$1:$BX$1,0),FALSE)/1,0))</f>
        <v/>
      </c>
      <c r="AA398" s="31" t="str">
        <f>IF($D398="","",IFERROR(VLOOKUP($B398,Kraftvärmeprod!$B$1:$BX$550,MATCH(AA$2,Kraftvärmeprod!$B$1:$VX$1,0),FALSE)/1,0)-IFERROR(VLOOKUP($B398,'Slutlig allokering kvv'!$B$2:$BX$550,MATCH(AA$2,'Slutlig allokering kvv'!$B$1:$BX$1,0),FALSE)/1,0))</f>
        <v/>
      </c>
      <c r="AB398" s="31" t="str">
        <f>IF($D398="","",IFERROR(VLOOKUP($B398,Kraftvärmeprod!$B$1:$BX$550,MATCH(AB$2,Kraftvärmeprod!$B$1:$VX$1,0),FALSE)/1,0)-IFERROR(VLOOKUP($B398,'Slutlig allokering kvv'!$B$2:$BX$550,MATCH(AB$2,'Slutlig allokering kvv'!$B$1:$BX$1,0),FALSE)/1,0))</f>
        <v/>
      </c>
      <c r="AC398" s="31" t="str">
        <f>IF($D398="","",IFERROR(VLOOKUP($B398,Kraftvärmeprod!$B$1:$BX$550,MATCH(AC$2,Kraftvärmeprod!$B$1:$VX$1,0),FALSE)/1,0)-IFERROR(VLOOKUP($B398,'Slutlig allokering kvv'!$B$2:$BX$550,MATCH(AC$2,'Slutlig allokering kvv'!$B$1:$BX$1,0),FALSE)/1,0))</f>
        <v/>
      </c>
      <c r="AD398" s="31" t="str">
        <f>IF($D398="","",IFERROR(VLOOKUP($B398,Kraftvärmeprod!$B$1:$BX$550,MATCH(AD$2,Kraftvärmeprod!$B$1:$VX$1,0),FALSE)/1,0)-IFERROR(VLOOKUP($B398,'Slutlig allokering kvv'!$B$2:$BX$550,MATCH(AD$2,'Slutlig allokering kvv'!$B$1:$BX$1,0),FALSE)/1,0))</f>
        <v/>
      </c>
      <c r="AE398" s="31" t="str">
        <f>IF($D398="","",IFERROR(VLOOKUP($B398,Miljö!$B$1:$E$550,MATCH("Hjälpel kraftvärme (GWh)",Miljö!$B$1:$E$1,0),FALSE)/1,0)-IFERROR(VLOOKUP($B398,'Slutlig allokering kvv'!$B$2:$BX$549,MATCH(AE$2,'Slutlig allokering kvv'!$B$1:$BX$1,0),FALSE)/1,0))</f>
        <v/>
      </c>
      <c r="AI398" s="39">
        <f t="shared" si="24"/>
        <v>0</v>
      </c>
      <c r="AK398" s="31" t="str">
        <f>IFERROR(VLOOKUP($B398,'Slutlig allokering kvv'!$B$2:$AX$549,MATCH("Summa slutlig allokerad tillförd energi (utan hjälpel och rökgaskondensering):",'Slutlig allokering kvv'!$B$1:$AX$1,0),FALSE)/1,"")</f>
        <v/>
      </c>
      <c r="AM398" s="31" t="str">
        <f>IFERROR(1-VLOOKUP($B398,'Slutlig allokering kvv'!$B$2:$AX$549,MATCH("Andel av bränsle i kvv som allokerats till värme, exklusive rökgaskondensering och hjälpel",'Slutlig allokering kvv'!$B$1:$AX$1,0),FALSE),"")</f>
        <v/>
      </c>
      <c r="AO398" s="31" t="str">
        <f t="shared" si="25"/>
        <v/>
      </c>
      <c r="AP398" s="31" t="str">
        <f t="shared" si="26"/>
        <v/>
      </c>
      <c r="AR398" s="32" t="str">
        <f t="shared" si="27"/>
        <v/>
      </c>
    </row>
    <row r="399" spans="3:44" s="31" customFormat="1" x14ac:dyDescent="0.45">
      <c r="C399" s="31" t="str">
        <f>IFERROR(VLOOKUP($B399,Kraftvärmeprod!$B$1:$AH$479,MATCH(C$2,Kraftvärmeprod!$B$1:$AG$1,0),FALSE)/1,"")</f>
        <v/>
      </c>
      <c r="D399" s="31" t="str">
        <f>IFERROR(VLOOKUP($B399,Kraftvärmeprod!$B$1:$AH$479,MATCH(D$2,Kraftvärmeprod!$B$1:$AG$1,0),FALSE)/1,"")</f>
        <v/>
      </c>
      <c r="F399" s="31" t="str">
        <f>IF($D399="","",IFERROR(VLOOKUP($B399,Kraftvärmeprod!$B$1:$BX$550,MATCH(F$2,Kraftvärmeprod!$B$1:$VX$1,0),FALSE)/1,0)-IFERROR(VLOOKUP($B399,'Slutlig allokering kvv'!$B$2:$BX$550,MATCH(F$2,'Slutlig allokering kvv'!$B$1:$BX$1,0),FALSE)/1,0))</f>
        <v/>
      </c>
      <c r="G399" s="31" t="str">
        <f>IF($D399="","",IFERROR(VLOOKUP($B399,Kraftvärmeprod!$B$1:$BX$550,MATCH(G$2,Kraftvärmeprod!$B$1:$VX$1,0),FALSE)/1,0)-IFERROR(VLOOKUP($B399,'Slutlig allokering kvv'!$B$2:$BX$550,MATCH(G$2,'Slutlig allokering kvv'!$B$1:$BX$1,0),FALSE)/1,0))</f>
        <v/>
      </c>
      <c r="H399" s="31" t="str">
        <f>IF($D399="","",IFERROR(VLOOKUP($B399,Kraftvärmeprod!$B$1:$BX$550,MATCH(H$2,Kraftvärmeprod!$B$1:$VX$1,0),FALSE)/1,0)-IFERROR(VLOOKUP($B399,'Slutlig allokering kvv'!$B$2:$BX$550,MATCH(H$2,'Slutlig allokering kvv'!$B$1:$BX$1,0),FALSE)/1,0))</f>
        <v/>
      </c>
      <c r="I399" s="31" t="str">
        <f>IF($D399="","",IFERROR(VLOOKUP($B399,Kraftvärmeprod!$B$1:$BX$550,MATCH(I$2,Kraftvärmeprod!$B$1:$VX$1,0),FALSE)/1,0)-IFERROR(VLOOKUP($B399,'Slutlig allokering kvv'!$B$2:$BX$550,MATCH(I$2,'Slutlig allokering kvv'!$B$1:$BX$1,0),FALSE)/1,0))</f>
        <v/>
      </c>
      <c r="J399" s="31" t="str">
        <f>IF($D399="","",IFERROR(VLOOKUP($B399,Kraftvärmeprod!$B$1:$BX$550,MATCH(J$2,Kraftvärmeprod!$B$1:$VX$1,0),FALSE)/1,0)-IFERROR(VLOOKUP($B399,'Slutlig allokering kvv'!$B$2:$BX$550,MATCH(J$2,'Slutlig allokering kvv'!$B$1:$BX$1,0),FALSE)/1,0))</f>
        <v/>
      </c>
      <c r="K399" s="31" t="str">
        <f>IF($D399="","",IFERROR(VLOOKUP($B399,Kraftvärmeprod!$B$1:$BX$550,MATCH(K$2,Kraftvärmeprod!$B$1:$VX$1,0),FALSE)/1,0)-IFERROR(VLOOKUP($B399,'Slutlig allokering kvv'!$B$2:$BX$550,MATCH(K$2,'Slutlig allokering kvv'!$B$1:$BX$1,0),FALSE)/1,0))</f>
        <v/>
      </c>
      <c r="L399" s="31" t="str">
        <f>IF($D399="","",IFERROR(VLOOKUP($B399,Kraftvärmeprod!$B$1:$BX$550,MATCH(L$2,Kraftvärmeprod!$B$1:$VX$1,0),FALSE)/1,0)-IFERROR(VLOOKUP($B399,'Slutlig allokering kvv'!$B$2:$BX$550,MATCH(L$2,'Slutlig allokering kvv'!$B$1:$BX$1,0),FALSE)/1,0))</f>
        <v/>
      </c>
      <c r="M399" s="31" t="str">
        <f>IF($D399="","",IFERROR(VLOOKUP($B399,Kraftvärmeprod!$B$1:$BX$550,MATCH(M$2,Kraftvärmeprod!$B$1:$VX$1,0),FALSE)/1,0)-IFERROR(VLOOKUP($B399,'Slutlig allokering kvv'!$B$2:$BX$550,MATCH(M$2,'Slutlig allokering kvv'!$B$1:$BX$1,0),FALSE)/1,0))</f>
        <v/>
      </c>
      <c r="N399" s="31" t="str">
        <f>IF($D399="","",IFERROR(VLOOKUP($B399,Kraftvärmeprod!$B$1:$BX$550,MATCH(N$2,Kraftvärmeprod!$B$1:$VX$1,0),FALSE)/1,0)-IFERROR(VLOOKUP($B399,'Slutlig allokering kvv'!$B$2:$BX$550,MATCH(N$2,'Slutlig allokering kvv'!$B$1:$BX$1,0),FALSE)/1,0))</f>
        <v/>
      </c>
      <c r="O399" s="31" t="str">
        <f>IF($D399="","",IFERROR(VLOOKUP($B399,Kraftvärmeprod!$B$1:$BX$550,MATCH(O$2,Kraftvärmeprod!$B$1:$VX$1,0),FALSE)/1,0)-IFERROR(VLOOKUP($B399,'Slutlig allokering kvv'!$B$2:$BX$550,MATCH(O$2,'Slutlig allokering kvv'!$B$1:$BX$1,0),FALSE)/1,0))</f>
        <v/>
      </c>
      <c r="P399" s="31" t="str">
        <f>IF($D399="","",IFERROR(VLOOKUP($B399,Kraftvärmeprod!$B$1:$BX$550,MATCH(P$2,Kraftvärmeprod!$B$1:$VX$1,0),FALSE)/1,0)-IFERROR(VLOOKUP($B399,'Slutlig allokering kvv'!$B$2:$BX$550,MATCH(P$2,'Slutlig allokering kvv'!$B$1:$BX$1,0),FALSE)/1,0))</f>
        <v/>
      </c>
      <c r="Q399" s="31" t="str">
        <f>IF($D399="","",IFERROR(VLOOKUP($B399,Kraftvärmeprod!$B$1:$BX$550,MATCH(Q$2,Kraftvärmeprod!$B$1:$VX$1,0),FALSE)/1,0)-IFERROR(VLOOKUP($B399,'Slutlig allokering kvv'!$B$2:$BX$550,MATCH(Q$2,'Slutlig allokering kvv'!$B$1:$BX$1,0),FALSE)/1,0))</f>
        <v/>
      </c>
      <c r="R399" s="31" t="str">
        <f>IF($D399="","",IFERROR(VLOOKUP($B399,Kraftvärmeprod!$B$1:$BX$550,MATCH(R$2,Kraftvärmeprod!$B$1:$VX$1,0),FALSE)/1,0)-IFERROR(VLOOKUP($B399,'Slutlig allokering kvv'!$B$2:$BX$550,MATCH(R$2,'Slutlig allokering kvv'!$B$1:$BX$1,0),FALSE)/1,0))</f>
        <v/>
      </c>
      <c r="S399" s="31" t="str">
        <f>IF($D399="","",IFERROR(VLOOKUP($B399,Kraftvärmeprod!$B$1:$BX$550,MATCH(S$2,Kraftvärmeprod!$B$1:$VX$1,0),FALSE)/1,0)-IFERROR(VLOOKUP($B399,'Slutlig allokering kvv'!$B$2:$BX$550,MATCH(S$2,'Slutlig allokering kvv'!$B$1:$BX$1,0),FALSE)/1,0))</f>
        <v/>
      </c>
      <c r="T399" s="31" t="str">
        <f>IF($D399="","",IFERROR(VLOOKUP($B399,Kraftvärmeprod!$B$1:$BX$550,MATCH(T$2,Kraftvärmeprod!$B$1:$VX$1,0),FALSE)/1,0)-IFERROR(VLOOKUP($B399,'Slutlig allokering kvv'!$B$2:$BX$550,MATCH(T$2,'Slutlig allokering kvv'!$B$1:$BX$1,0),FALSE)/1,0))</f>
        <v/>
      </c>
      <c r="U399" s="31" t="str">
        <f>IF($D399="","",IFERROR(VLOOKUP($B399,Kraftvärmeprod!$B$1:$BX$550,MATCH(U$2,Kraftvärmeprod!$B$1:$VX$1,0),FALSE)/1,0)-IFERROR(VLOOKUP($B399,'Slutlig allokering kvv'!$B$2:$BX$550,MATCH(U$2,'Slutlig allokering kvv'!$B$1:$BX$1,0),FALSE)/1,0))</f>
        <v/>
      </c>
      <c r="V399" s="31" t="str">
        <f>IF($D399="","",IFERROR(VLOOKUP($B399,Kraftvärmeprod!$B$1:$BX$550,MATCH(V$2,Kraftvärmeprod!$B$1:$VX$1,0),FALSE)/1,0)-IFERROR(VLOOKUP($B399,'Slutlig allokering kvv'!$B$2:$BX$550,MATCH(V$2,'Slutlig allokering kvv'!$B$1:$BX$1,0),FALSE)/1,0))</f>
        <v/>
      </c>
      <c r="W399" s="31" t="str">
        <f>IF($D399="","",IFERROR(VLOOKUP($B399,Kraftvärmeprod!$B$1:$BX$550,MATCH(W$2,Kraftvärmeprod!$B$1:$VX$1,0),FALSE)/1,0)-IFERROR(VLOOKUP($B399,'Slutlig allokering kvv'!$B$2:$BX$550,MATCH(W$2,'Slutlig allokering kvv'!$B$1:$BX$1,0),FALSE)/1,0))</f>
        <v/>
      </c>
      <c r="X399" s="31" t="str">
        <f>IF($D399="","",IFERROR(VLOOKUP($B399,Kraftvärmeprod!$B$1:$BX$550,MATCH(X$2,Kraftvärmeprod!$B$1:$VX$1,0),FALSE)/1,0)-IFERROR(VLOOKUP($B399,'Slutlig allokering kvv'!$B$2:$BX$550,MATCH(X$2,'Slutlig allokering kvv'!$B$1:$BX$1,0),FALSE)/1,0))</f>
        <v/>
      </c>
      <c r="Y399" s="31" t="str">
        <f>IF($D399="","",IFERROR(VLOOKUP($B399,Kraftvärmeprod!$B$1:$BX$550,MATCH(Y$2,Kraftvärmeprod!$B$1:$VX$1,0),FALSE)/1,0)-IFERROR(VLOOKUP($B399,'Slutlig allokering kvv'!$B$2:$BX$550,MATCH(Y$2,'Slutlig allokering kvv'!$B$1:$BX$1,0),FALSE)/1,0))</f>
        <v/>
      </c>
      <c r="Z399" s="31" t="str">
        <f>IF($D399="","",IFERROR(VLOOKUP($B399,Kraftvärmeprod!$B$1:$BX$550,MATCH(Z$2,Kraftvärmeprod!$B$1:$VX$1,0),FALSE)/1,0)-IFERROR(VLOOKUP($B399,'Slutlig allokering kvv'!$B$2:$BX$550,MATCH(Z$2,'Slutlig allokering kvv'!$B$1:$BX$1,0),FALSE)/1,0))</f>
        <v/>
      </c>
      <c r="AA399" s="31" t="str">
        <f>IF($D399="","",IFERROR(VLOOKUP($B399,Kraftvärmeprod!$B$1:$BX$550,MATCH(AA$2,Kraftvärmeprod!$B$1:$VX$1,0),FALSE)/1,0)-IFERROR(VLOOKUP($B399,'Slutlig allokering kvv'!$B$2:$BX$550,MATCH(AA$2,'Slutlig allokering kvv'!$B$1:$BX$1,0),FALSE)/1,0))</f>
        <v/>
      </c>
      <c r="AB399" s="31" t="str">
        <f>IF($D399="","",IFERROR(VLOOKUP($B399,Kraftvärmeprod!$B$1:$BX$550,MATCH(AB$2,Kraftvärmeprod!$B$1:$VX$1,0),FALSE)/1,0)-IFERROR(VLOOKUP($B399,'Slutlig allokering kvv'!$B$2:$BX$550,MATCH(AB$2,'Slutlig allokering kvv'!$B$1:$BX$1,0),FALSE)/1,0))</f>
        <v/>
      </c>
      <c r="AC399" s="31" t="str">
        <f>IF($D399="","",IFERROR(VLOOKUP($B399,Kraftvärmeprod!$B$1:$BX$550,MATCH(AC$2,Kraftvärmeprod!$B$1:$VX$1,0),FALSE)/1,0)-IFERROR(VLOOKUP($B399,'Slutlig allokering kvv'!$B$2:$BX$550,MATCH(AC$2,'Slutlig allokering kvv'!$B$1:$BX$1,0),FALSE)/1,0))</f>
        <v/>
      </c>
      <c r="AD399" s="31" t="str">
        <f>IF($D399="","",IFERROR(VLOOKUP($B399,Kraftvärmeprod!$B$1:$BX$550,MATCH(AD$2,Kraftvärmeprod!$B$1:$VX$1,0),FALSE)/1,0)-IFERROR(VLOOKUP($B399,'Slutlig allokering kvv'!$B$2:$BX$550,MATCH(AD$2,'Slutlig allokering kvv'!$B$1:$BX$1,0),FALSE)/1,0))</f>
        <v/>
      </c>
      <c r="AE399" s="31" t="str">
        <f>IF($D399="","",IFERROR(VLOOKUP($B399,Miljö!$B$1:$E$550,MATCH("Hjälpel kraftvärme (GWh)",Miljö!$B$1:$E$1,0),FALSE)/1,0)-IFERROR(VLOOKUP($B399,'Slutlig allokering kvv'!$B$2:$BX$549,MATCH(AE$2,'Slutlig allokering kvv'!$B$1:$BX$1,0),FALSE)/1,0))</f>
        <v/>
      </c>
      <c r="AI399" s="39">
        <f t="shared" si="24"/>
        <v>0</v>
      </c>
      <c r="AK399" s="31" t="str">
        <f>IFERROR(VLOOKUP($B399,'Slutlig allokering kvv'!$B$2:$AX$549,MATCH("Summa slutlig allokerad tillförd energi (utan hjälpel och rökgaskondensering):",'Slutlig allokering kvv'!$B$1:$AX$1,0),FALSE)/1,"")</f>
        <v/>
      </c>
      <c r="AM399" s="31" t="str">
        <f>IFERROR(1-VLOOKUP($B399,'Slutlig allokering kvv'!$B$2:$AX$549,MATCH("Andel av bränsle i kvv som allokerats till värme, exklusive rökgaskondensering och hjälpel",'Slutlig allokering kvv'!$B$1:$AX$1,0),FALSE),"")</f>
        <v/>
      </c>
      <c r="AO399" s="31" t="str">
        <f t="shared" si="25"/>
        <v/>
      </c>
      <c r="AP399" s="31" t="str">
        <f t="shared" si="26"/>
        <v/>
      </c>
      <c r="AR399" s="32" t="str">
        <f t="shared" si="27"/>
        <v/>
      </c>
    </row>
    <row r="400" spans="3:44" s="31" customFormat="1" x14ac:dyDescent="0.45">
      <c r="C400" s="31" t="str">
        <f>IFERROR(VLOOKUP($B400,Kraftvärmeprod!$B$1:$AH$479,MATCH(C$2,Kraftvärmeprod!$B$1:$AG$1,0),FALSE)/1,"")</f>
        <v/>
      </c>
      <c r="D400" s="31" t="str">
        <f>IFERROR(VLOOKUP($B400,Kraftvärmeprod!$B$1:$AH$479,MATCH(D$2,Kraftvärmeprod!$B$1:$AG$1,0),FALSE)/1,"")</f>
        <v/>
      </c>
      <c r="F400" s="31" t="str">
        <f>IF($D400="","",IFERROR(VLOOKUP($B400,Kraftvärmeprod!$B$1:$BX$550,MATCH(F$2,Kraftvärmeprod!$B$1:$VX$1,0),FALSE)/1,0)-IFERROR(VLOOKUP($B400,'Slutlig allokering kvv'!$B$2:$BX$550,MATCH(F$2,'Slutlig allokering kvv'!$B$1:$BX$1,0),FALSE)/1,0))</f>
        <v/>
      </c>
      <c r="G400" s="31" t="str">
        <f>IF($D400="","",IFERROR(VLOOKUP($B400,Kraftvärmeprod!$B$1:$BX$550,MATCH(G$2,Kraftvärmeprod!$B$1:$VX$1,0),FALSE)/1,0)-IFERROR(VLOOKUP($B400,'Slutlig allokering kvv'!$B$2:$BX$550,MATCH(G$2,'Slutlig allokering kvv'!$B$1:$BX$1,0),FALSE)/1,0))</f>
        <v/>
      </c>
      <c r="H400" s="31" t="str">
        <f>IF($D400="","",IFERROR(VLOOKUP($B400,Kraftvärmeprod!$B$1:$BX$550,MATCH(H$2,Kraftvärmeprod!$B$1:$VX$1,0),FALSE)/1,0)-IFERROR(VLOOKUP($B400,'Slutlig allokering kvv'!$B$2:$BX$550,MATCH(H$2,'Slutlig allokering kvv'!$B$1:$BX$1,0),FALSE)/1,0))</f>
        <v/>
      </c>
      <c r="I400" s="31" t="str">
        <f>IF($D400="","",IFERROR(VLOOKUP($B400,Kraftvärmeprod!$B$1:$BX$550,MATCH(I$2,Kraftvärmeprod!$B$1:$VX$1,0),FALSE)/1,0)-IFERROR(VLOOKUP($B400,'Slutlig allokering kvv'!$B$2:$BX$550,MATCH(I$2,'Slutlig allokering kvv'!$B$1:$BX$1,0),FALSE)/1,0))</f>
        <v/>
      </c>
      <c r="J400" s="31" t="str">
        <f>IF($D400="","",IFERROR(VLOOKUP($B400,Kraftvärmeprod!$B$1:$BX$550,MATCH(J$2,Kraftvärmeprod!$B$1:$VX$1,0),FALSE)/1,0)-IFERROR(VLOOKUP($B400,'Slutlig allokering kvv'!$B$2:$BX$550,MATCH(J$2,'Slutlig allokering kvv'!$B$1:$BX$1,0),FALSE)/1,0))</f>
        <v/>
      </c>
      <c r="K400" s="31" t="str">
        <f>IF($D400="","",IFERROR(VLOOKUP($B400,Kraftvärmeprod!$B$1:$BX$550,MATCH(K$2,Kraftvärmeprod!$B$1:$VX$1,0),FALSE)/1,0)-IFERROR(VLOOKUP($B400,'Slutlig allokering kvv'!$B$2:$BX$550,MATCH(K$2,'Slutlig allokering kvv'!$B$1:$BX$1,0),FALSE)/1,0))</f>
        <v/>
      </c>
      <c r="L400" s="31" t="str">
        <f>IF($D400="","",IFERROR(VLOOKUP($B400,Kraftvärmeprod!$B$1:$BX$550,MATCH(L$2,Kraftvärmeprod!$B$1:$VX$1,0),FALSE)/1,0)-IFERROR(VLOOKUP($B400,'Slutlig allokering kvv'!$B$2:$BX$550,MATCH(L$2,'Slutlig allokering kvv'!$B$1:$BX$1,0),FALSE)/1,0))</f>
        <v/>
      </c>
      <c r="M400" s="31" t="str">
        <f>IF($D400="","",IFERROR(VLOOKUP($B400,Kraftvärmeprod!$B$1:$BX$550,MATCH(M$2,Kraftvärmeprod!$B$1:$VX$1,0),FALSE)/1,0)-IFERROR(VLOOKUP($B400,'Slutlig allokering kvv'!$B$2:$BX$550,MATCH(M$2,'Slutlig allokering kvv'!$B$1:$BX$1,0),FALSE)/1,0))</f>
        <v/>
      </c>
      <c r="N400" s="31" t="str">
        <f>IF($D400="","",IFERROR(VLOOKUP($B400,Kraftvärmeprod!$B$1:$BX$550,MATCH(N$2,Kraftvärmeprod!$B$1:$VX$1,0),FALSE)/1,0)-IFERROR(VLOOKUP($B400,'Slutlig allokering kvv'!$B$2:$BX$550,MATCH(N$2,'Slutlig allokering kvv'!$B$1:$BX$1,0),FALSE)/1,0))</f>
        <v/>
      </c>
      <c r="O400" s="31" t="str">
        <f>IF($D400="","",IFERROR(VLOOKUP($B400,Kraftvärmeprod!$B$1:$BX$550,MATCH(O$2,Kraftvärmeprod!$B$1:$VX$1,0),FALSE)/1,0)-IFERROR(VLOOKUP($B400,'Slutlig allokering kvv'!$B$2:$BX$550,MATCH(O$2,'Slutlig allokering kvv'!$B$1:$BX$1,0),FALSE)/1,0))</f>
        <v/>
      </c>
      <c r="P400" s="31" t="str">
        <f>IF($D400="","",IFERROR(VLOOKUP($B400,Kraftvärmeprod!$B$1:$BX$550,MATCH(P$2,Kraftvärmeprod!$B$1:$VX$1,0),FALSE)/1,0)-IFERROR(VLOOKUP($B400,'Slutlig allokering kvv'!$B$2:$BX$550,MATCH(P$2,'Slutlig allokering kvv'!$B$1:$BX$1,0),FALSE)/1,0))</f>
        <v/>
      </c>
      <c r="Q400" s="31" t="str">
        <f>IF($D400="","",IFERROR(VLOOKUP($B400,Kraftvärmeprod!$B$1:$BX$550,MATCH(Q$2,Kraftvärmeprod!$B$1:$VX$1,0),FALSE)/1,0)-IFERROR(VLOOKUP($B400,'Slutlig allokering kvv'!$B$2:$BX$550,MATCH(Q$2,'Slutlig allokering kvv'!$B$1:$BX$1,0),FALSE)/1,0))</f>
        <v/>
      </c>
      <c r="R400" s="31" t="str">
        <f>IF($D400="","",IFERROR(VLOOKUP($B400,Kraftvärmeprod!$B$1:$BX$550,MATCH(R$2,Kraftvärmeprod!$B$1:$VX$1,0),FALSE)/1,0)-IFERROR(VLOOKUP($B400,'Slutlig allokering kvv'!$B$2:$BX$550,MATCH(R$2,'Slutlig allokering kvv'!$B$1:$BX$1,0),FALSE)/1,0))</f>
        <v/>
      </c>
      <c r="S400" s="31" t="str">
        <f>IF($D400="","",IFERROR(VLOOKUP($B400,Kraftvärmeprod!$B$1:$BX$550,MATCH(S$2,Kraftvärmeprod!$B$1:$VX$1,0),FALSE)/1,0)-IFERROR(VLOOKUP($B400,'Slutlig allokering kvv'!$B$2:$BX$550,MATCH(S$2,'Slutlig allokering kvv'!$B$1:$BX$1,0),FALSE)/1,0))</f>
        <v/>
      </c>
      <c r="T400" s="31" t="str">
        <f>IF($D400="","",IFERROR(VLOOKUP($B400,Kraftvärmeprod!$B$1:$BX$550,MATCH(T$2,Kraftvärmeprod!$B$1:$VX$1,0),FALSE)/1,0)-IFERROR(VLOOKUP($B400,'Slutlig allokering kvv'!$B$2:$BX$550,MATCH(T$2,'Slutlig allokering kvv'!$B$1:$BX$1,0),FALSE)/1,0))</f>
        <v/>
      </c>
      <c r="U400" s="31" t="str">
        <f>IF($D400="","",IFERROR(VLOOKUP($B400,Kraftvärmeprod!$B$1:$BX$550,MATCH(U$2,Kraftvärmeprod!$B$1:$VX$1,0),FALSE)/1,0)-IFERROR(VLOOKUP($B400,'Slutlig allokering kvv'!$B$2:$BX$550,MATCH(U$2,'Slutlig allokering kvv'!$B$1:$BX$1,0),FALSE)/1,0))</f>
        <v/>
      </c>
      <c r="V400" s="31" t="str">
        <f>IF($D400="","",IFERROR(VLOOKUP($B400,Kraftvärmeprod!$B$1:$BX$550,MATCH(V$2,Kraftvärmeprod!$B$1:$VX$1,0),FALSE)/1,0)-IFERROR(VLOOKUP($B400,'Slutlig allokering kvv'!$B$2:$BX$550,MATCH(V$2,'Slutlig allokering kvv'!$B$1:$BX$1,0),FALSE)/1,0))</f>
        <v/>
      </c>
      <c r="W400" s="31" t="str">
        <f>IF($D400="","",IFERROR(VLOOKUP($B400,Kraftvärmeprod!$B$1:$BX$550,MATCH(W$2,Kraftvärmeprod!$B$1:$VX$1,0),FALSE)/1,0)-IFERROR(VLOOKUP($B400,'Slutlig allokering kvv'!$B$2:$BX$550,MATCH(W$2,'Slutlig allokering kvv'!$B$1:$BX$1,0),FALSE)/1,0))</f>
        <v/>
      </c>
      <c r="X400" s="31" t="str">
        <f>IF($D400="","",IFERROR(VLOOKUP($B400,Kraftvärmeprod!$B$1:$BX$550,MATCH(X$2,Kraftvärmeprod!$B$1:$VX$1,0),FALSE)/1,0)-IFERROR(VLOOKUP($B400,'Slutlig allokering kvv'!$B$2:$BX$550,MATCH(X$2,'Slutlig allokering kvv'!$B$1:$BX$1,0),FALSE)/1,0))</f>
        <v/>
      </c>
      <c r="Y400" s="31" t="str">
        <f>IF($D400="","",IFERROR(VLOOKUP($B400,Kraftvärmeprod!$B$1:$BX$550,MATCH(Y$2,Kraftvärmeprod!$B$1:$VX$1,0),FALSE)/1,0)-IFERROR(VLOOKUP($B400,'Slutlig allokering kvv'!$B$2:$BX$550,MATCH(Y$2,'Slutlig allokering kvv'!$B$1:$BX$1,0),FALSE)/1,0))</f>
        <v/>
      </c>
      <c r="Z400" s="31" t="str">
        <f>IF($D400="","",IFERROR(VLOOKUP($B400,Kraftvärmeprod!$B$1:$BX$550,MATCH(Z$2,Kraftvärmeprod!$B$1:$VX$1,0),FALSE)/1,0)-IFERROR(VLOOKUP($B400,'Slutlig allokering kvv'!$B$2:$BX$550,MATCH(Z$2,'Slutlig allokering kvv'!$B$1:$BX$1,0),FALSE)/1,0))</f>
        <v/>
      </c>
      <c r="AA400" s="31" t="str">
        <f>IF($D400="","",IFERROR(VLOOKUP($B400,Kraftvärmeprod!$B$1:$BX$550,MATCH(AA$2,Kraftvärmeprod!$B$1:$VX$1,0),FALSE)/1,0)-IFERROR(VLOOKUP($B400,'Slutlig allokering kvv'!$B$2:$BX$550,MATCH(AA$2,'Slutlig allokering kvv'!$B$1:$BX$1,0),FALSE)/1,0))</f>
        <v/>
      </c>
      <c r="AB400" s="31" t="str">
        <f>IF($D400="","",IFERROR(VLOOKUP($B400,Kraftvärmeprod!$B$1:$BX$550,MATCH(AB$2,Kraftvärmeprod!$B$1:$VX$1,0),FALSE)/1,0)-IFERROR(VLOOKUP($B400,'Slutlig allokering kvv'!$B$2:$BX$550,MATCH(AB$2,'Slutlig allokering kvv'!$B$1:$BX$1,0),FALSE)/1,0))</f>
        <v/>
      </c>
      <c r="AC400" s="31" t="str">
        <f>IF($D400="","",IFERROR(VLOOKUP($B400,Kraftvärmeprod!$B$1:$BX$550,MATCH(AC$2,Kraftvärmeprod!$B$1:$VX$1,0),FALSE)/1,0)-IFERROR(VLOOKUP($B400,'Slutlig allokering kvv'!$B$2:$BX$550,MATCH(AC$2,'Slutlig allokering kvv'!$B$1:$BX$1,0),FALSE)/1,0))</f>
        <v/>
      </c>
      <c r="AD400" s="31" t="str">
        <f>IF($D400="","",IFERROR(VLOOKUP($B400,Kraftvärmeprod!$B$1:$BX$550,MATCH(AD$2,Kraftvärmeprod!$B$1:$VX$1,0),FALSE)/1,0)-IFERROR(VLOOKUP($B400,'Slutlig allokering kvv'!$B$2:$BX$550,MATCH(AD$2,'Slutlig allokering kvv'!$B$1:$BX$1,0),FALSE)/1,0))</f>
        <v/>
      </c>
      <c r="AE400" s="31" t="str">
        <f>IF($D400="","",IFERROR(VLOOKUP($B400,Miljö!$B$1:$E$550,MATCH("Hjälpel kraftvärme (GWh)",Miljö!$B$1:$E$1,0),FALSE)/1,0)-IFERROR(VLOOKUP($B400,'Slutlig allokering kvv'!$B$2:$BX$549,MATCH(AE$2,'Slutlig allokering kvv'!$B$1:$BX$1,0),FALSE)/1,0))</f>
        <v/>
      </c>
      <c r="AI400" s="39">
        <f t="shared" si="24"/>
        <v>0</v>
      </c>
      <c r="AK400" s="31" t="str">
        <f>IFERROR(VLOOKUP($B400,'Slutlig allokering kvv'!$B$2:$AX$549,MATCH("Summa slutlig allokerad tillförd energi (utan hjälpel och rökgaskondensering):",'Slutlig allokering kvv'!$B$1:$AX$1,0),FALSE)/1,"")</f>
        <v/>
      </c>
      <c r="AM400" s="31" t="str">
        <f>IFERROR(1-VLOOKUP($B400,'Slutlig allokering kvv'!$B$2:$AX$549,MATCH("Andel av bränsle i kvv som allokerats till värme, exklusive rökgaskondensering och hjälpel",'Slutlig allokering kvv'!$B$1:$AX$1,0),FALSE),"")</f>
        <v/>
      </c>
      <c r="AO400" s="31" t="str">
        <f t="shared" si="25"/>
        <v/>
      </c>
      <c r="AP400" s="31" t="str">
        <f t="shared" si="26"/>
        <v/>
      </c>
      <c r="AR400" s="32" t="str">
        <f t="shared" si="27"/>
        <v/>
      </c>
    </row>
    <row r="401" spans="3:44" s="31" customFormat="1" x14ac:dyDescent="0.45">
      <c r="C401" s="31" t="str">
        <f>IFERROR(VLOOKUP($B401,Kraftvärmeprod!$B$1:$AH$479,MATCH(C$2,Kraftvärmeprod!$B$1:$AG$1,0),FALSE)/1,"")</f>
        <v/>
      </c>
      <c r="D401" s="31" t="str">
        <f>IFERROR(VLOOKUP($B401,Kraftvärmeprod!$B$1:$AH$479,MATCH(D$2,Kraftvärmeprod!$B$1:$AG$1,0),FALSE)/1,"")</f>
        <v/>
      </c>
      <c r="F401" s="31" t="str">
        <f>IF($D401="","",IFERROR(VLOOKUP($B401,Kraftvärmeprod!$B$1:$BX$550,MATCH(F$2,Kraftvärmeprod!$B$1:$VX$1,0),FALSE)/1,0)-IFERROR(VLOOKUP($B401,'Slutlig allokering kvv'!$B$2:$BX$550,MATCH(F$2,'Slutlig allokering kvv'!$B$1:$BX$1,0),FALSE)/1,0))</f>
        <v/>
      </c>
      <c r="G401" s="31" t="str">
        <f>IF($D401="","",IFERROR(VLOOKUP($B401,Kraftvärmeprod!$B$1:$BX$550,MATCH(G$2,Kraftvärmeprod!$B$1:$VX$1,0),FALSE)/1,0)-IFERROR(VLOOKUP($B401,'Slutlig allokering kvv'!$B$2:$BX$550,MATCH(G$2,'Slutlig allokering kvv'!$B$1:$BX$1,0),FALSE)/1,0))</f>
        <v/>
      </c>
      <c r="H401" s="31" t="str">
        <f>IF($D401="","",IFERROR(VLOOKUP($B401,Kraftvärmeprod!$B$1:$BX$550,MATCH(H$2,Kraftvärmeprod!$B$1:$VX$1,0),FALSE)/1,0)-IFERROR(VLOOKUP($B401,'Slutlig allokering kvv'!$B$2:$BX$550,MATCH(H$2,'Slutlig allokering kvv'!$B$1:$BX$1,0),FALSE)/1,0))</f>
        <v/>
      </c>
      <c r="I401" s="31" t="str">
        <f>IF($D401="","",IFERROR(VLOOKUP($B401,Kraftvärmeprod!$B$1:$BX$550,MATCH(I$2,Kraftvärmeprod!$B$1:$VX$1,0),FALSE)/1,0)-IFERROR(VLOOKUP($B401,'Slutlig allokering kvv'!$B$2:$BX$550,MATCH(I$2,'Slutlig allokering kvv'!$B$1:$BX$1,0),FALSE)/1,0))</f>
        <v/>
      </c>
      <c r="J401" s="31" t="str">
        <f>IF($D401="","",IFERROR(VLOOKUP($B401,Kraftvärmeprod!$B$1:$BX$550,MATCH(J$2,Kraftvärmeprod!$B$1:$VX$1,0),FALSE)/1,0)-IFERROR(VLOOKUP($B401,'Slutlig allokering kvv'!$B$2:$BX$550,MATCH(J$2,'Slutlig allokering kvv'!$B$1:$BX$1,0),FALSE)/1,0))</f>
        <v/>
      </c>
      <c r="K401" s="31" t="str">
        <f>IF($D401="","",IFERROR(VLOOKUP($B401,Kraftvärmeprod!$B$1:$BX$550,MATCH(K$2,Kraftvärmeprod!$B$1:$VX$1,0),FALSE)/1,0)-IFERROR(VLOOKUP($B401,'Slutlig allokering kvv'!$B$2:$BX$550,MATCH(K$2,'Slutlig allokering kvv'!$B$1:$BX$1,0),FALSE)/1,0))</f>
        <v/>
      </c>
      <c r="L401" s="31" t="str">
        <f>IF($D401="","",IFERROR(VLOOKUP($B401,Kraftvärmeprod!$B$1:$BX$550,MATCH(L$2,Kraftvärmeprod!$B$1:$VX$1,0),FALSE)/1,0)-IFERROR(VLOOKUP($B401,'Slutlig allokering kvv'!$B$2:$BX$550,MATCH(L$2,'Slutlig allokering kvv'!$B$1:$BX$1,0),FALSE)/1,0))</f>
        <v/>
      </c>
      <c r="M401" s="31" t="str">
        <f>IF($D401="","",IFERROR(VLOOKUP($B401,Kraftvärmeprod!$B$1:$BX$550,MATCH(M$2,Kraftvärmeprod!$B$1:$VX$1,0),FALSE)/1,0)-IFERROR(VLOOKUP($B401,'Slutlig allokering kvv'!$B$2:$BX$550,MATCH(M$2,'Slutlig allokering kvv'!$B$1:$BX$1,0),FALSE)/1,0))</f>
        <v/>
      </c>
      <c r="N401" s="31" t="str">
        <f>IF($D401="","",IFERROR(VLOOKUP($B401,Kraftvärmeprod!$B$1:$BX$550,MATCH(N$2,Kraftvärmeprod!$B$1:$VX$1,0),FALSE)/1,0)-IFERROR(VLOOKUP($B401,'Slutlig allokering kvv'!$B$2:$BX$550,MATCH(N$2,'Slutlig allokering kvv'!$B$1:$BX$1,0),FALSE)/1,0))</f>
        <v/>
      </c>
      <c r="O401" s="31" t="str">
        <f>IF($D401="","",IFERROR(VLOOKUP($B401,Kraftvärmeprod!$B$1:$BX$550,MATCH(O$2,Kraftvärmeprod!$B$1:$VX$1,0),FALSE)/1,0)-IFERROR(VLOOKUP($B401,'Slutlig allokering kvv'!$B$2:$BX$550,MATCH(O$2,'Slutlig allokering kvv'!$B$1:$BX$1,0),FALSE)/1,0))</f>
        <v/>
      </c>
      <c r="P401" s="31" t="str">
        <f>IF($D401="","",IFERROR(VLOOKUP($B401,Kraftvärmeprod!$B$1:$BX$550,MATCH(P$2,Kraftvärmeprod!$B$1:$VX$1,0),FALSE)/1,0)-IFERROR(VLOOKUP($B401,'Slutlig allokering kvv'!$B$2:$BX$550,MATCH(P$2,'Slutlig allokering kvv'!$B$1:$BX$1,0),FALSE)/1,0))</f>
        <v/>
      </c>
      <c r="Q401" s="31" t="str">
        <f>IF($D401="","",IFERROR(VLOOKUP($B401,Kraftvärmeprod!$B$1:$BX$550,MATCH(Q$2,Kraftvärmeprod!$B$1:$VX$1,0),FALSE)/1,0)-IFERROR(VLOOKUP($B401,'Slutlig allokering kvv'!$B$2:$BX$550,MATCH(Q$2,'Slutlig allokering kvv'!$B$1:$BX$1,0),FALSE)/1,0))</f>
        <v/>
      </c>
      <c r="R401" s="31" t="str">
        <f>IF($D401="","",IFERROR(VLOOKUP($B401,Kraftvärmeprod!$B$1:$BX$550,MATCH(R$2,Kraftvärmeprod!$B$1:$VX$1,0),FALSE)/1,0)-IFERROR(VLOOKUP($B401,'Slutlig allokering kvv'!$B$2:$BX$550,MATCH(R$2,'Slutlig allokering kvv'!$B$1:$BX$1,0),FALSE)/1,0))</f>
        <v/>
      </c>
      <c r="S401" s="31" t="str">
        <f>IF($D401="","",IFERROR(VLOOKUP($B401,Kraftvärmeprod!$B$1:$BX$550,MATCH(S$2,Kraftvärmeprod!$B$1:$VX$1,0),FALSE)/1,0)-IFERROR(VLOOKUP($B401,'Slutlig allokering kvv'!$B$2:$BX$550,MATCH(S$2,'Slutlig allokering kvv'!$B$1:$BX$1,0),FALSE)/1,0))</f>
        <v/>
      </c>
      <c r="T401" s="31" t="str">
        <f>IF($D401="","",IFERROR(VLOOKUP($B401,Kraftvärmeprod!$B$1:$BX$550,MATCH(T$2,Kraftvärmeprod!$B$1:$VX$1,0),FALSE)/1,0)-IFERROR(VLOOKUP($B401,'Slutlig allokering kvv'!$B$2:$BX$550,MATCH(T$2,'Slutlig allokering kvv'!$B$1:$BX$1,0),FALSE)/1,0))</f>
        <v/>
      </c>
      <c r="U401" s="31" t="str">
        <f>IF($D401="","",IFERROR(VLOOKUP($B401,Kraftvärmeprod!$B$1:$BX$550,MATCH(U$2,Kraftvärmeprod!$B$1:$VX$1,0),FALSE)/1,0)-IFERROR(VLOOKUP($B401,'Slutlig allokering kvv'!$B$2:$BX$550,MATCH(U$2,'Slutlig allokering kvv'!$B$1:$BX$1,0),FALSE)/1,0))</f>
        <v/>
      </c>
      <c r="V401" s="31" t="str">
        <f>IF($D401="","",IFERROR(VLOOKUP($B401,Kraftvärmeprod!$B$1:$BX$550,MATCH(V$2,Kraftvärmeprod!$B$1:$VX$1,0),FALSE)/1,0)-IFERROR(VLOOKUP($B401,'Slutlig allokering kvv'!$B$2:$BX$550,MATCH(V$2,'Slutlig allokering kvv'!$B$1:$BX$1,0),FALSE)/1,0))</f>
        <v/>
      </c>
      <c r="W401" s="31" t="str">
        <f>IF($D401="","",IFERROR(VLOOKUP($B401,Kraftvärmeprod!$B$1:$BX$550,MATCH(W$2,Kraftvärmeprod!$B$1:$VX$1,0),FALSE)/1,0)-IFERROR(VLOOKUP($B401,'Slutlig allokering kvv'!$B$2:$BX$550,MATCH(W$2,'Slutlig allokering kvv'!$B$1:$BX$1,0),FALSE)/1,0))</f>
        <v/>
      </c>
      <c r="X401" s="31" t="str">
        <f>IF($D401="","",IFERROR(VLOOKUP($B401,Kraftvärmeprod!$B$1:$BX$550,MATCH(X$2,Kraftvärmeprod!$B$1:$VX$1,0),FALSE)/1,0)-IFERROR(VLOOKUP($B401,'Slutlig allokering kvv'!$B$2:$BX$550,MATCH(X$2,'Slutlig allokering kvv'!$B$1:$BX$1,0),FALSE)/1,0))</f>
        <v/>
      </c>
      <c r="Y401" s="31" t="str">
        <f>IF($D401="","",IFERROR(VLOOKUP($B401,Kraftvärmeprod!$B$1:$BX$550,MATCH(Y$2,Kraftvärmeprod!$B$1:$VX$1,0),FALSE)/1,0)-IFERROR(VLOOKUP($B401,'Slutlig allokering kvv'!$B$2:$BX$550,MATCH(Y$2,'Slutlig allokering kvv'!$B$1:$BX$1,0),FALSE)/1,0))</f>
        <v/>
      </c>
      <c r="Z401" s="31" t="str">
        <f>IF($D401="","",IFERROR(VLOOKUP($B401,Kraftvärmeprod!$B$1:$BX$550,MATCH(Z$2,Kraftvärmeprod!$B$1:$VX$1,0),FALSE)/1,0)-IFERROR(VLOOKUP($B401,'Slutlig allokering kvv'!$B$2:$BX$550,MATCH(Z$2,'Slutlig allokering kvv'!$B$1:$BX$1,0),FALSE)/1,0))</f>
        <v/>
      </c>
      <c r="AA401" s="31" t="str">
        <f>IF($D401="","",IFERROR(VLOOKUP($B401,Kraftvärmeprod!$B$1:$BX$550,MATCH(AA$2,Kraftvärmeprod!$B$1:$VX$1,0),FALSE)/1,0)-IFERROR(VLOOKUP($B401,'Slutlig allokering kvv'!$B$2:$BX$550,MATCH(AA$2,'Slutlig allokering kvv'!$B$1:$BX$1,0),FALSE)/1,0))</f>
        <v/>
      </c>
      <c r="AB401" s="31" t="str">
        <f>IF($D401="","",IFERROR(VLOOKUP($B401,Kraftvärmeprod!$B$1:$BX$550,MATCH(AB$2,Kraftvärmeprod!$B$1:$VX$1,0),FALSE)/1,0)-IFERROR(VLOOKUP($B401,'Slutlig allokering kvv'!$B$2:$BX$550,MATCH(AB$2,'Slutlig allokering kvv'!$B$1:$BX$1,0),FALSE)/1,0))</f>
        <v/>
      </c>
      <c r="AC401" s="31" t="str">
        <f>IF($D401="","",IFERROR(VLOOKUP($B401,Kraftvärmeprod!$B$1:$BX$550,MATCH(AC$2,Kraftvärmeprod!$B$1:$VX$1,0),FALSE)/1,0)-IFERROR(VLOOKUP($B401,'Slutlig allokering kvv'!$B$2:$BX$550,MATCH(AC$2,'Slutlig allokering kvv'!$B$1:$BX$1,0),FALSE)/1,0))</f>
        <v/>
      </c>
      <c r="AD401" s="31" t="str">
        <f>IF($D401="","",IFERROR(VLOOKUP($B401,Kraftvärmeprod!$B$1:$BX$550,MATCH(AD$2,Kraftvärmeprod!$B$1:$VX$1,0),FALSE)/1,0)-IFERROR(VLOOKUP($B401,'Slutlig allokering kvv'!$B$2:$BX$550,MATCH(AD$2,'Slutlig allokering kvv'!$B$1:$BX$1,0),FALSE)/1,0))</f>
        <v/>
      </c>
      <c r="AE401" s="31" t="str">
        <f>IF($D401="","",IFERROR(VLOOKUP($B401,Miljö!$B$1:$E$550,MATCH("Hjälpel kraftvärme (GWh)",Miljö!$B$1:$E$1,0),FALSE)/1,0)-IFERROR(VLOOKUP($B401,'Slutlig allokering kvv'!$B$2:$BX$549,MATCH(AE$2,'Slutlig allokering kvv'!$B$1:$BX$1,0),FALSE)/1,0))</f>
        <v/>
      </c>
      <c r="AI401" s="39">
        <f t="shared" si="24"/>
        <v>0</v>
      </c>
      <c r="AK401" s="31" t="str">
        <f>IFERROR(VLOOKUP($B401,'Slutlig allokering kvv'!$B$2:$AX$549,MATCH("Summa slutlig allokerad tillförd energi (utan hjälpel och rökgaskondensering):",'Slutlig allokering kvv'!$B$1:$AX$1,0),FALSE)/1,"")</f>
        <v/>
      </c>
      <c r="AM401" s="31" t="str">
        <f>IFERROR(1-VLOOKUP($B401,'Slutlig allokering kvv'!$B$2:$AX$549,MATCH("Andel av bränsle i kvv som allokerats till värme, exklusive rökgaskondensering och hjälpel",'Slutlig allokering kvv'!$B$1:$AX$1,0),FALSE),"")</f>
        <v/>
      </c>
      <c r="AO401" s="31" t="str">
        <f t="shared" si="25"/>
        <v/>
      </c>
      <c r="AP401" s="31" t="str">
        <f t="shared" si="26"/>
        <v/>
      </c>
      <c r="AR401" s="32" t="str">
        <f t="shared" si="27"/>
        <v/>
      </c>
    </row>
    <row r="402" spans="3:44" s="31" customFormat="1" x14ac:dyDescent="0.45">
      <c r="C402" s="31" t="str">
        <f>IFERROR(VLOOKUP($B402,Kraftvärmeprod!$B$1:$AH$479,MATCH(C$2,Kraftvärmeprod!$B$1:$AG$1,0),FALSE)/1,"")</f>
        <v/>
      </c>
      <c r="D402" s="31" t="str">
        <f>IFERROR(VLOOKUP($B402,Kraftvärmeprod!$B$1:$AH$479,MATCH(D$2,Kraftvärmeprod!$B$1:$AG$1,0),FALSE)/1,"")</f>
        <v/>
      </c>
      <c r="F402" s="31" t="str">
        <f>IF($D402="","",IFERROR(VLOOKUP($B402,Kraftvärmeprod!$B$1:$BX$550,MATCH(F$2,Kraftvärmeprod!$B$1:$VX$1,0),FALSE)/1,0)-IFERROR(VLOOKUP($B402,'Slutlig allokering kvv'!$B$2:$BX$550,MATCH(F$2,'Slutlig allokering kvv'!$B$1:$BX$1,0),FALSE)/1,0))</f>
        <v/>
      </c>
      <c r="G402" s="31" t="str">
        <f>IF($D402="","",IFERROR(VLOOKUP($B402,Kraftvärmeprod!$B$1:$BX$550,MATCH(G$2,Kraftvärmeprod!$B$1:$VX$1,0),FALSE)/1,0)-IFERROR(VLOOKUP($B402,'Slutlig allokering kvv'!$B$2:$BX$550,MATCH(G$2,'Slutlig allokering kvv'!$B$1:$BX$1,0),FALSE)/1,0))</f>
        <v/>
      </c>
      <c r="H402" s="31" t="str">
        <f>IF($D402="","",IFERROR(VLOOKUP($B402,Kraftvärmeprod!$B$1:$BX$550,MATCH(H$2,Kraftvärmeprod!$B$1:$VX$1,0),FALSE)/1,0)-IFERROR(VLOOKUP($B402,'Slutlig allokering kvv'!$B$2:$BX$550,MATCH(H$2,'Slutlig allokering kvv'!$B$1:$BX$1,0),FALSE)/1,0))</f>
        <v/>
      </c>
      <c r="I402" s="31" t="str">
        <f>IF($D402="","",IFERROR(VLOOKUP($B402,Kraftvärmeprod!$B$1:$BX$550,MATCH(I$2,Kraftvärmeprod!$B$1:$VX$1,0),FALSE)/1,0)-IFERROR(VLOOKUP($B402,'Slutlig allokering kvv'!$B$2:$BX$550,MATCH(I$2,'Slutlig allokering kvv'!$B$1:$BX$1,0),FALSE)/1,0))</f>
        <v/>
      </c>
      <c r="J402" s="31" t="str">
        <f>IF($D402="","",IFERROR(VLOOKUP($B402,Kraftvärmeprod!$B$1:$BX$550,MATCH(J$2,Kraftvärmeprod!$B$1:$VX$1,0),FALSE)/1,0)-IFERROR(VLOOKUP($B402,'Slutlig allokering kvv'!$B$2:$BX$550,MATCH(J$2,'Slutlig allokering kvv'!$B$1:$BX$1,0),FALSE)/1,0))</f>
        <v/>
      </c>
      <c r="K402" s="31" t="str">
        <f>IF($D402="","",IFERROR(VLOOKUP($B402,Kraftvärmeprod!$B$1:$BX$550,MATCH(K$2,Kraftvärmeprod!$B$1:$VX$1,0),FALSE)/1,0)-IFERROR(VLOOKUP($B402,'Slutlig allokering kvv'!$B$2:$BX$550,MATCH(K$2,'Slutlig allokering kvv'!$B$1:$BX$1,0),FALSE)/1,0))</f>
        <v/>
      </c>
      <c r="L402" s="31" t="str">
        <f>IF($D402="","",IFERROR(VLOOKUP($B402,Kraftvärmeprod!$B$1:$BX$550,MATCH(L$2,Kraftvärmeprod!$B$1:$VX$1,0),FALSE)/1,0)-IFERROR(VLOOKUP($B402,'Slutlig allokering kvv'!$B$2:$BX$550,MATCH(L$2,'Slutlig allokering kvv'!$B$1:$BX$1,0),FALSE)/1,0))</f>
        <v/>
      </c>
      <c r="M402" s="31" t="str">
        <f>IF($D402="","",IFERROR(VLOOKUP($B402,Kraftvärmeprod!$B$1:$BX$550,MATCH(M$2,Kraftvärmeprod!$B$1:$VX$1,0),FALSE)/1,0)-IFERROR(VLOOKUP($B402,'Slutlig allokering kvv'!$B$2:$BX$550,MATCH(M$2,'Slutlig allokering kvv'!$B$1:$BX$1,0),FALSE)/1,0))</f>
        <v/>
      </c>
      <c r="N402" s="31" t="str">
        <f>IF($D402="","",IFERROR(VLOOKUP($B402,Kraftvärmeprod!$B$1:$BX$550,MATCH(N$2,Kraftvärmeprod!$B$1:$VX$1,0),FALSE)/1,0)-IFERROR(VLOOKUP($B402,'Slutlig allokering kvv'!$B$2:$BX$550,MATCH(N$2,'Slutlig allokering kvv'!$B$1:$BX$1,0),FALSE)/1,0))</f>
        <v/>
      </c>
      <c r="O402" s="31" t="str">
        <f>IF($D402="","",IFERROR(VLOOKUP($B402,Kraftvärmeprod!$B$1:$BX$550,MATCH(O$2,Kraftvärmeprod!$B$1:$VX$1,0),FALSE)/1,0)-IFERROR(VLOOKUP($B402,'Slutlig allokering kvv'!$B$2:$BX$550,MATCH(O$2,'Slutlig allokering kvv'!$B$1:$BX$1,0),FALSE)/1,0))</f>
        <v/>
      </c>
      <c r="P402" s="31" t="str">
        <f>IF($D402="","",IFERROR(VLOOKUP($B402,Kraftvärmeprod!$B$1:$BX$550,MATCH(P$2,Kraftvärmeprod!$B$1:$VX$1,0),FALSE)/1,0)-IFERROR(VLOOKUP($B402,'Slutlig allokering kvv'!$B$2:$BX$550,MATCH(P$2,'Slutlig allokering kvv'!$B$1:$BX$1,0),FALSE)/1,0))</f>
        <v/>
      </c>
      <c r="Q402" s="31" t="str">
        <f>IF($D402="","",IFERROR(VLOOKUP($B402,Kraftvärmeprod!$B$1:$BX$550,MATCH(Q$2,Kraftvärmeprod!$B$1:$VX$1,0),FALSE)/1,0)-IFERROR(VLOOKUP($B402,'Slutlig allokering kvv'!$B$2:$BX$550,MATCH(Q$2,'Slutlig allokering kvv'!$B$1:$BX$1,0),FALSE)/1,0))</f>
        <v/>
      </c>
      <c r="R402" s="31" t="str">
        <f>IF($D402="","",IFERROR(VLOOKUP($B402,Kraftvärmeprod!$B$1:$BX$550,MATCH(R$2,Kraftvärmeprod!$B$1:$VX$1,0),FALSE)/1,0)-IFERROR(VLOOKUP($B402,'Slutlig allokering kvv'!$B$2:$BX$550,MATCH(R$2,'Slutlig allokering kvv'!$B$1:$BX$1,0),FALSE)/1,0))</f>
        <v/>
      </c>
      <c r="S402" s="31" t="str">
        <f>IF($D402="","",IFERROR(VLOOKUP($B402,Kraftvärmeprod!$B$1:$BX$550,MATCH(S$2,Kraftvärmeprod!$B$1:$VX$1,0),FALSE)/1,0)-IFERROR(VLOOKUP($B402,'Slutlig allokering kvv'!$B$2:$BX$550,MATCH(S$2,'Slutlig allokering kvv'!$B$1:$BX$1,0),FALSE)/1,0))</f>
        <v/>
      </c>
      <c r="T402" s="31" t="str">
        <f>IF($D402="","",IFERROR(VLOOKUP($B402,Kraftvärmeprod!$B$1:$BX$550,MATCH(T$2,Kraftvärmeprod!$B$1:$VX$1,0),FALSE)/1,0)-IFERROR(VLOOKUP($B402,'Slutlig allokering kvv'!$B$2:$BX$550,MATCH(T$2,'Slutlig allokering kvv'!$B$1:$BX$1,0),FALSE)/1,0))</f>
        <v/>
      </c>
      <c r="U402" s="31" t="str">
        <f>IF($D402="","",IFERROR(VLOOKUP($B402,Kraftvärmeprod!$B$1:$BX$550,MATCH(U$2,Kraftvärmeprod!$B$1:$VX$1,0),FALSE)/1,0)-IFERROR(VLOOKUP($B402,'Slutlig allokering kvv'!$B$2:$BX$550,MATCH(U$2,'Slutlig allokering kvv'!$B$1:$BX$1,0),FALSE)/1,0))</f>
        <v/>
      </c>
      <c r="V402" s="31" t="str">
        <f>IF($D402="","",IFERROR(VLOOKUP($B402,Kraftvärmeprod!$B$1:$BX$550,MATCH(V$2,Kraftvärmeprod!$B$1:$VX$1,0),FALSE)/1,0)-IFERROR(VLOOKUP($B402,'Slutlig allokering kvv'!$B$2:$BX$550,MATCH(V$2,'Slutlig allokering kvv'!$B$1:$BX$1,0),FALSE)/1,0))</f>
        <v/>
      </c>
      <c r="W402" s="31" t="str">
        <f>IF($D402="","",IFERROR(VLOOKUP($B402,Kraftvärmeprod!$B$1:$BX$550,MATCH(W$2,Kraftvärmeprod!$B$1:$VX$1,0),FALSE)/1,0)-IFERROR(VLOOKUP($B402,'Slutlig allokering kvv'!$B$2:$BX$550,MATCH(W$2,'Slutlig allokering kvv'!$B$1:$BX$1,0),FALSE)/1,0))</f>
        <v/>
      </c>
      <c r="X402" s="31" t="str">
        <f>IF($D402="","",IFERROR(VLOOKUP($B402,Kraftvärmeprod!$B$1:$BX$550,MATCH(X$2,Kraftvärmeprod!$B$1:$VX$1,0),FALSE)/1,0)-IFERROR(VLOOKUP($B402,'Slutlig allokering kvv'!$B$2:$BX$550,MATCH(X$2,'Slutlig allokering kvv'!$B$1:$BX$1,0),FALSE)/1,0))</f>
        <v/>
      </c>
      <c r="Y402" s="31" t="str">
        <f>IF($D402="","",IFERROR(VLOOKUP($B402,Kraftvärmeprod!$B$1:$BX$550,MATCH(Y$2,Kraftvärmeprod!$B$1:$VX$1,0),FALSE)/1,0)-IFERROR(VLOOKUP($B402,'Slutlig allokering kvv'!$B$2:$BX$550,MATCH(Y$2,'Slutlig allokering kvv'!$B$1:$BX$1,0),FALSE)/1,0))</f>
        <v/>
      </c>
      <c r="Z402" s="31" t="str">
        <f>IF($D402="","",IFERROR(VLOOKUP($B402,Kraftvärmeprod!$B$1:$BX$550,MATCH(Z$2,Kraftvärmeprod!$B$1:$VX$1,0),FALSE)/1,0)-IFERROR(VLOOKUP($B402,'Slutlig allokering kvv'!$B$2:$BX$550,MATCH(Z$2,'Slutlig allokering kvv'!$B$1:$BX$1,0),FALSE)/1,0))</f>
        <v/>
      </c>
      <c r="AA402" s="31" t="str">
        <f>IF($D402="","",IFERROR(VLOOKUP($B402,Kraftvärmeprod!$B$1:$BX$550,MATCH(AA$2,Kraftvärmeprod!$B$1:$VX$1,0),FALSE)/1,0)-IFERROR(VLOOKUP($B402,'Slutlig allokering kvv'!$B$2:$BX$550,MATCH(AA$2,'Slutlig allokering kvv'!$B$1:$BX$1,0),FALSE)/1,0))</f>
        <v/>
      </c>
      <c r="AB402" s="31" t="str">
        <f>IF($D402="","",IFERROR(VLOOKUP($B402,Kraftvärmeprod!$B$1:$BX$550,MATCH(AB$2,Kraftvärmeprod!$B$1:$VX$1,0),FALSE)/1,0)-IFERROR(VLOOKUP($B402,'Slutlig allokering kvv'!$B$2:$BX$550,MATCH(AB$2,'Slutlig allokering kvv'!$B$1:$BX$1,0),FALSE)/1,0))</f>
        <v/>
      </c>
      <c r="AC402" s="31" t="str">
        <f>IF($D402="","",IFERROR(VLOOKUP($B402,Kraftvärmeprod!$B$1:$BX$550,MATCH(AC$2,Kraftvärmeprod!$B$1:$VX$1,0),FALSE)/1,0)-IFERROR(VLOOKUP($B402,'Slutlig allokering kvv'!$B$2:$BX$550,MATCH(AC$2,'Slutlig allokering kvv'!$B$1:$BX$1,0),FALSE)/1,0))</f>
        <v/>
      </c>
      <c r="AD402" s="31" t="str">
        <f>IF($D402="","",IFERROR(VLOOKUP($B402,Kraftvärmeprod!$B$1:$BX$550,MATCH(AD$2,Kraftvärmeprod!$B$1:$VX$1,0),FALSE)/1,0)-IFERROR(VLOOKUP($B402,'Slutlig allokering kvv'!$B$2:$BX$550,MATCH(AD$2,'Slutlig allokering kvv'!$B$1:$BX$1,0),FALSE)/1,0))</f>
        <v/>
      </c>
      <c r="AE402" s="31" t="str">
        <f>IF($D402="","",IFERROR(VLOOKUP($B402,Miljö!$B$1:$E$550,MATCH("Hjälpel kraftvärme (GWh)",Miljö!$B$1:$E$1,0),FALSE)/1,0)-IFERROR(VLOOKUP($B402,'Slutlig allokering kvv'!$B$2:$BX$549,MATCH(AE$2,'Slutlig allokering kvv'!$B$1:$BX$1,0),FALSE)/1,0))</f>
        <v/>
      </c>
      <c r="AI402" s="39">
        <f t="shared" si="24"/>
        <v>0</v>
      </c>
      <c r="AK402" s="31" t="str">
        <f>IFERROR(VLOOKUP($B402,'Slutlig allokering kvv'!$B$2:$AX$549,MATCH("Summa slutlig allokerad tillförd energi (utan hjälpel och rökgaskondensering):",'Slutlig allokering kvv'!$B$1:$AX$1,0),FALSE)/1,"")</f>
        <v/>
      </c>
      <c r="AM402" s="31" t="str">
        <f>IFERROR(1-VLOOKUP($B402,'Slutlig allokering kvv'!$B$2:$AX$549,MATCH("Andel av bränsle i kvv som allokerats till värme, exklusive rökgaskondensering och hjälpel",'Slutlig allokering kvv'!$B$1:$AX$1,0),FALSE),"")</f>
        <v/>
      </c>
      <c r="AO402" s="31" t="str">
        <f t="shared" si="25"/>
        <v/>
      </c>
      <c r="AP402" s="31" t="str">
        <f t="shared" si="26"/>
        <v/>
      </c>
      <c r="AR402" s="32" t="str">
        <f t="shared" si="27"/>
        <v/>
      </c>
    </row>
    <row r="403" spans="3:44" s="31" customFormat="1" x14ac:dyDescent="0.45">
      <c r="C403" s="31" t="str">
        <f>IFERROR(VLOOKUP($B403,Kraftvärmeprod!$B$1:$AH$479,MATCH(C$2,Kraftvärmeprod!$B$1:$AG$1,0),FALSE)/1,"")</f>
        <v/>
      </c>
      <c r="D403" s="31" t="str">
        <f>IFERROR(VLOOKUP($B403,Kraftvärmeprod!$B$1:$AH$479,MATCH(D$2,Kraftvärmeprod!$B$1:$AG$1,0),FALSE)/1,"")</f>
        <v/>
      </c>
      <c r="F403" s="31" t="str">
        <f>IF($D403="","",IFERROR(VLOOKUP($B403,Kraftvärmeprod!$B$1:$BX$550,MATCH(F$2,Kraftvärmeprod!$B$1:$VX$1,0),FALSE)/1,0)-IFERROR(VLOOKUP($B403,'Slutlig allokering kvv'!$B$2:$BX$550,MATCH(F$2,'Slutlig allokering kvv'!$B$1:$BX$1,0),FALSE)/1,0))</f>
        <v/>
      </c>
      <c r="G403" s="31" t="str">
        <f>IF($D403="","",IFERROR(VLOOKUP($B403,Kraftvärmeprod!$B$1:$BX$550,MATCH(G$2,Kraftvärmeprod!$B$1:$VX$1,0),FALSE)/1,0)-IFERROR(VLOOKUP($B403,'Slutlig allokering kvv'!$B$2:$BX$550,MATCH(G$2,'Slutlig allokering kvv'!$B$1:$BX$1,0),FALSE)/1,0))</f>
        <v/>
      </c>
      <c r="H403" s="31" t="str">
        <f>IF($D403="","",IFERROR(VLOOKUP($B403,Kraftvärmeprod!$B$1:$BX$550,MATCH(H$2,Kraftvärmeprod!$B$1:$VX$1,0),FALSE)/1,0)-IFERROR(VLOOKUP($B403,'Slutlig allokering kvv'!$B$2:$BX$550,MATCH(H$2,'Slutlig allokering kvv'!$B$1:$BX$1,0),FALSE)/1,0))</f>
        <v/>
      </c>
      <c r="I403" s="31" t="str">
        <f>IF($D403="","",IFERROR(VLOOKUP($B403,Kraftvärmeprod!$B$1:$BX$550,MATCH(I$2,Kraftvärmeprod!$B$1:$VX$1,0),FALSE)/1,0)-IFERROR(VLOOKUP($B403,'Slutlig allokering kvv'!$B$2:$BX$550,MATCH(I$2,'Slutlig allokering kvv'!$B$1:$BX$1,0),FALSE)/1,0))</f>
        <v/>
      </c>
      <c r="J403" s="31" t="str">
        <f>IF($D403="","",IFERROR(VLOOKUP($B403,Kraftvärmeprod!$B$1:$BX$550,MATCH(J$2,Kraftvärmeprod!$B$1:$VX$1,0),FALSE)/1,0)-IFERROR(VLOOKUP($B403,'Slutlig allokering kvv'!$B$2:$BX$550,MATCH(J$2,'Slutlig allokering kvv'!$B$1:$BX$1,0),FALSE)/1,0))</f>
        <v/>
      </c>
      <c r="K403" s="31" t="str">
        <f>IF($D403="","",IFERROR(VLOOKUP($B403,Kraftvärmeprod!$B$1:$BX$550,MATCH(K$2,Kraftvärmeprod!$B$1:$VX$1,0),FALSE)/1,0)-IFERROR(VLOOKUP($B403,'Slutlig allokering kvv'!$B$2:$BX$550,MATCH(K$2,'Slutlig allokering kvv'!$B$1:$BX$1,0),FALSE)/1,0))</f>
        <v/>
      </c>
      <c r="L403" s="31" t="str">
        <f>IF($D403="","",IFERROR(VLOOKUP($B403,Kraftvärmeprod!$B$1:$BX$550,MATCH(L$2,Kraftvärmeprod!$B$1:$VX$1,0),FALSE)/1,0)-IFERROR(VLOOKUP($B403,'Slutlig allokering kvv'!$B$2:$BX$550,MATCH(L$2,'Slutlig allokering kvv'!$B$1:$BX$1,0),FALSE)/1,0))</f>
        <v/>
      </c>
      <c r="M403" s="31" t="str">
        <f>IF($D403="","",IFERROR(VLOOKUP($B403,Kraftvärmeprod!$B$1:$BX$550,MATCH(M$2,Kraftvärmeprod!$B$1:$VX$1,0),FALSE)/1,0)-IFERROR(VLOOKUP($B403,'Slutlig allokering kvv'!$B$2:$BX$550,MATCH(M$2,'Slutlig allokering kvv'!$B$1:$BX$1,0),FALSE)/1,0))</f>
        <v/>
      </c>
      <c r="N403" s="31" t="str">
        <f>IF($D403="","",IFERROR(VLOOKUP($B403,Kraftvärmeprod!$B$1:$BX$550,MATCH(N$2,Kraftvärmeprod!$B$1:$VX$1,0),FALSE)/1,0)-IFERROR(VLOOKUP($B403,'Slutlig allokering kvv'!$B$2:$BX$550,MATCH(N$2,'Slutlig allokering kvv'!$B$1:$BX$1,0),FALSE)/1,0))</f>
        <v/>
      </c>
      <c r="O403" s="31" t="str">
        <f>IF($D403="","",IFERROR(VLOOKUP($B403,Kraftvärmeprod!$B$1:$BX$550,MATCH(O$2,Kraftvärmeprod!$B$1:$VX$1,0),FALSE)/1,0)-IFERROR(VLOOKUP($B403,'Slutlig allokering kvv'!$B$2:$BX$550,MATCH(O$2,'Slutlig allokering kvv'!$B$1:$BX$1,0),FALSE)/1,0))</f>
        <v/>
      </c>
      <c r="P403" s="31" t="str">
        <f>IF($D403="","",IFERROR(VLOOKUP($B403,Kraftvärmeprod!$B$1:$BX$550,MATCH(P$2,Kraftvärmeprod!$B$1:$VX$1,0),FALSE)/1,0)-IFERROR(VLOOKUP($B403,'Slutlig allokering kvv'!$B$2:$BX$550,MATCH(P$2,'Slutlig allokering kvv'!$B$1:$BX$1,0),FALSE)/1,0))</f>
        <v/>
      </c>
      <c r="Q403" s="31" t="str">
        <f>IF($D403="","",IFERROR(VLOOKUP($B403,Kraftvärmeprod!$B$1:$BX$550,MATCH(Q$2,Kraftvärmeprod!$B$1:$VX$1,0),FALSE)/1,0)-IFERROR(VLOOKUP($B403,'Slutlig allokering kvv'!$B$2:$BX$550,MATCH(Q$2,'Slutlig allokering kvv'!$B$1:$BX$1,0),FALSE)/1,0))</f>
        <v/>
      </c>
      <c r="R403" s="31" t="str">
        <f>IF($D403="","",IFERROR(VLOOKUP($B403,Kraftvärmeprod!$B$1:$BX$550,MATCH(R$2,Kraftvärmeprod!$B$1:$VX$1,0),FALSE)/1,0)-IFERROR(VLOOKUP($B403,'Slutlig allokering kvv'!$B$2:$BX$550,MATCH(R$2,'Slutlig allokering kvv'!$B$1:$BX$1,0),FALSE)/1,0))</f>
        <v/>
      </c>
      <c r="S403" s="31" t="str">
        <f>IF($D403="","",IFERROR(VLOOKUP($B403,Kraftvärmeprod!$B$1:$BX$550,MATCH(S$2,Kraftvärmeprod!$B$1:$VX$1,0),FALSE)/1,0)-IFERROR(VLOOKUP($B403,'Slutlig allokering kvv'!$B$2:$BX$550,MATCH(S$2,'Slutlig allokering kvv'!$B$1:$BX$1,0),FALSE)/1,0))</f>
        <v/>
      </c>
      <c r="T403" s="31" t="str">
        <f>IF($D403="","",IFERROR(VLOOKUP($B403,Kraftvärmeprod!$B$1:$BX$550,MATCH(T$2,Kraftvärmeprod!$B$1:$VX$1,0),FALSE)/1,0)-IFERROR(VLOOKUP($B403,'Slutlig allokering kvv'!$B$2:$BX$550,MATCH(T$2,'Slutlig allokering kvv'!$B$1:$BX$1,0),FALSE)/1,0))</f>
        <v/>
      </c>
      <c r="U403" s="31" t="str">
        <f>IF($D403="","",IFERROR(VLOOKUP($B403,Kraftvärmeprod!$B$1:$BX$550,MATCH(U$2,Kraftvärmeprod!$B$1:$VX$1,0),FALSE)/1,0)-IFERROR(VLOOKUP($B403,'Slutlig allokering kvv'!$B$2:$BX$550,MATCH(U$2,'Slutlig allokering kvv'!$B$1:$BX$1,0),FALSE)/1,0))</f>
        <v/>
      </c>
      <c r="V403" s="31" t="str">
        <f>IF($D403="","",IFERROR(VLOOKUP($B403,Kraftvärmeprod!$B$1:$BX$550,MATCH(V$2,Kraftvärmeprod!$B$1:$VX$1,0),FALSE)/1,0)-IFERROR(VLOOKUP($B403,'Slutlig allokering kvv'!$B$2:$BX$550,MATCH(V$2,'Slutlig allokering kvv'!$B$1:$BX$1,0),FALSE)/1,0))</f>
        <v/>
      </c>
      <c r="W403" s="31" t="str">
        <f>IF($D403="","",IFERROR(VLOOKUP($B403,Kraftvärmeprod!$B$1:$BX$550,MATCH(W$2,Kraftvärmeprod!$B$1:$VX$1,0),FALSE)/1,0)-IFERROR(VLOOKUP($B403,'Slutlig allokering kvv'!$B$2:$BX$550,MATCH(W$2,'Slutlig allokering kvv'!$B$1:$BX$1,0),FALSE)/1,0))</f>
        <v/>
      </c>
      <c r="X403" s="31" t="str">
        <f>IF($D403="","",IFERROR(VLOOKUP($B403,Kraftvärmeprod!$B$1:$BX$550,MATCH(X$2,Kraftvärmeprod!$B$1:$VX$1,0),FALSE)/1,0)-IFERROR(VLOOKUP($B403,'Slutlig allokering kvv'!$B$2:$BX$550,MATCH(X$2,'Slutlig allokering kvv'!$B$1:$BX$1,0),FALSE)/1,0))</f>
        <v/>
      </c>
      <c r="Y403" s="31" t="str">
        <f>IF($D403="","",IFERROR(VLOOKUP($B403,Kraftvärmeprod!$B$1:$BX$550,MATCH(Y$2,Kraftvärmeprod!$B$1:$VX$1,0),FALSE)/1,0)-IFERROR(VLOOKUP($B403,'Slutlig allokering kvv'!$B$2:$BX$550,MATCH(Y$2,'Slutlig allokering kvv'!$B$1:$BX$1,0),FALSE)/1,0))</f>
        <v/>
      </c>
      <c r="Z403" s="31" t="str">
        <f>IF($D403="","",IFERROR(VLOOKUP($B403,Kraftvärmeprod!$B$1:$BX$550,MATCH(Z$2,Kraftvärmeprod!$B$1:$VX$1,0),FALSE)/1,0)-IFERROR(VLOOKUP($B403,'Slutlig allokering kvv'!$B$2:$BX$550,MATCH(Z$2,'Slutlig allokering kvv'!$B$1:$BX$1,0),FALSE)/1,0))</f>
        <v/>
      </c>
      <c r="AA403" s="31" t="str">
        <f>IF($D403="","",IFERROR(VLOOKUP($B403,Kraftvärmeprod!$B$1:$BX$550,MATCH(AA$2,Kraftvärmeprod!$B$1:$VX$1,0),FALSE)/1,0)-IFERROR(VLOOKUP($B403,'Slutlig allokering kvv'!$B$2:$BX$550,MATCH(AA$2,'Slutlig allokering kvv'!$B$1:$BX$1,0),FALSE)/1,0))</f>
        <v/>
      </c>
      <c r="AB403" s="31" t="str">
        <f>IF($D403="","",IFERROR(VLOOKUP($B403,Kraftvärmeprod!$B$1:$BX$550,MATCH(AB$2,Kraftvärmeprod!$B$1:$VX$1,0),FALSE)/1,0)-IFERROR(VLOOKUP($B403,'Slutlig allokering kvv'!$B$2:$BX$550,MATCH(AB$2,'Slutlig allokering kvv'!$B$1:$BX$1,0),FALSE)/1,0))</f>
        <v/>
      </c>
      <c r="AC403" s="31" t="str">
        <f>IF($D403="","",IFERROR(VLOOKUP($B403,Kraftvärmeprod!$B$1:$BX$550,MATCH(AC$2,Kraftvärmeprod!$B$1:$VX$1,0),FALSE)/1,0)-IFERROR(VLOOKUP($B403,'Slutlig allokering kvv'!$B$2:$BX$550,MATCH(AC$2,'Slutlig allokering kvv'!$B$1:$BX$1,0),FALSE)/1,0))</f>
        <v/>
      </c>
      <c r="AD403" s="31" t="str">
        <f>IF($D403="","",IFERROR(VLOOKUP($B403,Kraftvärmeprod!$B$1:$BX$550,MATCH(AD$2,Kraftvärmeprod!$B$1:$VX$1,0),FALSE)/1,0)-IFERROR(VLOOKUP($B403,'Slutlig allokering kvv'!$B$2:$BX$550,MATCH(AD$2,'Slutlig allokering kvv'!$B$1:$BX$1,0),FALSE)/1,0))</f>
        <v/>
      </c>
      <c r="AE403" s="31" t="str">
        <f>IF($D403="","",IFERROR(VLOOKUP($B403,Miljö!$B$1:$E$550,MATCH("Hjälpel kraftvärme (GWh)",Miljö!$B$1:$E$1,0),FALSE)/1,0)-IFERROR(VLOOKUP($B403,'Slutlig allokering kvv'!$B$2:$BX$549,MATCH(AE$2,'Slutlig allokering kvv'!$B$1:$BX$1,0),FALSE)/1,0))</f>
        <v/>
      </c>
      <c r="AI403" s="39">
        <f t="shared" si="24"/>
        <v>0</v>
      </c>
      <c r="AK403" s="31" t="str">
        <f>IFERROR(VLOOKUP($B403,'Slutlig allokering kvv'!$B$2:$AX$549,MATCH("Summa slutlig allokerad tillförd energi (utan hjälpel och rökgaskondensering):",'Slutlig allokering kvv'!$B$1:$AX$1,0),FALSE)/1,"")</f>
        <v/>
      </c>
      <c r="AM403" s="31" t="str">
        <f>IFERROR(1-VLOOKUP($B403,'Slutlig allokering kvv'!$B$2:$AX$549,MATCH("Andel av bränsle i kvv som allokerats till värme, exklusive rökgaskondensering och hjälpel",'Slutlig allokering kvv'!$B$1:$AX$1,0),FALSE),"")</f>
        <v/>
      </c>
      <c r="AO403" s="31" t="str">
        <f t="shared" si="25"/>
        <v/>
      </c>
      <c r="AP403" s="31" t="str">
        <f t="shared" si="26"/>
        <v/>
      </c>
      <c r="AR403" s="32" t="str">
        <f t="shared" si="27"/>
        <v/>
      </c>
    </row>
    <row r="404" spans="3:44" s="31" customFormat="1" x14ac:dyDescent="0.45">
      <c r="C404" s="31" t="str">
        <f>IFERROR(VLOOKUP($B404,Kraftvärmeprod!$B$1:$AH$479,MATCH(C$2,Kraftvärmeprod!$B$1:$AG$1,0),FALSE)/1,"")</f>
        <v/>
      </c>
      <c r="D404" s="31" t="str">
        <f>IFERROR(VLOOKUP($B404,Kraftvärmeprod!$B$1:$AH$479,MATCH(D$2,Kraftvärmeprod!$B$1:$AG$1,0),FALSE)/1,"")</f>
        <v/>
      </c>
      <c r="F404" s="31" t="str">
        <f>IF($D404="","",IFERROR(VLOOKUP($B404,Kraftvärmeprod!$B$1:$BX$550,MATCH(F$2,Kraftvärmeprod!$B$1:$VX$1,0),FALSE)/1,0)-IFERROR(VLOOKUP($B404,'Slutlig allokering kvv'!$B$2:$BX$550,MATCH(F$2,'Slutlig allokering kvv'!$B$1:$BX$1,0),FALSE)/1,0))</f>
        <v/>
      </c>
      <c r="G404" s="31" t="str">
        <f>IF($D404="","",IFERROR(VLOOKUP($B404,Kraftvärmeprod!$B$1:$BX$550,MATCH(G$2,Kraftvärmeprod!$B$1:$VX$1,0),FALSE)/1,0)-IFERROR(VLOOKUP($B404,'Slutlig allokering kvv'!$B$2:$BX$550,MATCH(G$2,'Slutlig allokering kvv'!$B$1:$BX$1,0),FALSE)/1,0))</f>
        <v/>
      </c>
      <c r="H404" s="31" t="str">
        <f>IF($D404="","",IFERROR(VLOOKUP($B404,Kraftvärmeprod!$B$1:$BX$550,MATCH(H$2,Kraftvärmeprod!$B$1:$VX$1,0),FALSE)/1,0)-IFERROR(VLOOKUP($B404,'Slutlig allokering kvv'!$B$2:$BX$550,MATCH(H$2,'Slutlig allokering kvv'!$B$1:$BX$1,0),FALSE)/1,0))</f>
        <v/>
      </c>
      <c r="I404" s="31" t="str">
        <f>IF($D404="","",IFERROR(VLOOKUP($B404,Kraftvärmeprod!$B$1:$BX$550,MATCH(I$2,Kraftvärmeprod!$B$1:$VX$1,0),FALSE)/1,0)-IFERROR(VLOOKUP($B404,'Slutlig allokering kvv'!$B$2:$BX$550,MATCH(I$2,'Slutlig allokering kvv'!$B$1:$BX$1,0),FALSE)/1,0))</f>
        <v/>
      </c>
      <c r="J404" s="31" t="str">
        <f>IF($D404="","",IFERROR(VLOOKUP($B404,Kraftvärmeprod!$B$1:$BX$550,MATCH(J$2,Kraftvärmeprod!$B$1:$VX$1,0),FALSE)/1,0)-IFERROR(VLOOKUP($B404,'Slutlig allokering kvv'!$B$2:$BX$550,MATCH(J$2,'Slutlig allokering kvv'!$B$1:$BX$1,0),FALSE)/1,0))</f>
        <v/>
      </c>
      <c r="K404" s="31" t="str">
        <f>IF($D404="","",IFERROR(VLOOKUP($B404,Kraftvärmeprod!$B$1:$BX$550,MATCH(K$2,Kraftvärmeprod!$B$1:$VX$1,0),FALSE)/1,0)-IFERROR(VLOOKUP($B404,'Slutlig allokering kvv'!$B$2:$BX$550,MATCH(K$2,'Slutlig allokering kvv'!$B$1:$BX$1,0),FALSE)/1,0))</f>
        <v/>
      </c>
      <c r="L404" s="31" t="str">
        <f>IF($D404="","",IFERROR(VLOOKUP($B404,Kraftvärmeprod!$B$1:$BX$550,MATCH(L$2,Kraftvärmeprod!$B$1:$VX$1,0),FALSE)/1,0)-IFERROR(VLOOKUP($B404,'Slutlig allokering kvv'!$B$2:$BX$550,MATCH(L$2,'Slutlig allokering kvv'!$B$1:$BX$1,0),FALSE)/1,0))</f>
        <v/>
      </c>
      <c r="M404" s="31" t="str">
        <f>IF($D404="","",IFERROR(VLOOKUP($B404,Kraftvärmeprod!$B$1:$BX$550,MATCH(M$2,Kraftvärmeprod!$B$1:$VX$1,0),FALSE)/1,0)-IFERROR(VLOOKUP($B404,'Slutlig allokering kvv'!$B$2:$BX$550,MATCH(M$2,'Slutlig allokering kvv'!$B$1:$BX$1,0),FALSE)/1,0))</f>
        <v/>
      </c>
      <c r="N404" s="31" t="str">
        <f>IF($D404="","",IFERROR(VLOOKUP($B404,Kraftvärmeprod!$B$1:$BX$550,MATCH(N$2,Kraftvärmeprod!$B$1:$VX$1,0),FALSE)/1,0)-IFERROR(VLOOKUP($B404,'Slutlig allokering kvv'!$B$2:$BX$550,MATCH(N$2,'Slutlig allokering kvv'!$B$1:$BX$1,0),FALSE)/1,0))</f>
        <v/>
      </c>
      <c r="O404" s="31" t="str">
        <f>IF($D404="","",IFERROR(VLOOKUP($B404,Kraftvärmeprod!$B$1:$BX$550,MATCH(O$2,Kraftvärmeprod!$B$1:$VX$1,0),FALSE)/1,0)-IFERROR(VLOOKUP($B404,'Slutlig allokering kvv'!$B$2:$BX$550,MATCH(O$2,'Slutlig allokering kvv'!$B$1:$BX$1,0),FALSE)/1,0))</f>
        <v/>
      </c>
      <c r="P404" s="31" t="str">
        <f>IF($D404="","",IFERROR(VLOOKUP($B404,Kraftvärmeprod!$B$1:$BX$550,MATCH(P$2,Kraftvärmeprod!$B$1:$VX$1,0),FALSE)/1,0)-IFERROR(VLOOKUP($B404,'Slutlig allokering kvv'!$B$2:$BX$550,MATCH(P$2,'Slutlig allokering kvv'!$B$1:$BX$1,0),FALSE)/1,0))</f>
        <v/>
      </c>
      <c r="Q404" s="31" t="str">
        <f>IF($D404="","",IFERROR(VLOOKUP($B404,Kraftvärmeprod!$B$1:$BX$550,MATCH(Q$2,Kraftvärmeprod!$B$1:$VX$1,0),FALSE)/1,0)-IFERROR(VLOOKUP($B404,'Slutlig allokering kvv'!$B$2:$BX$550,MATCH(Q$2,'Slutlig allokering kvv'!$B$1:$BX$1,0),FALSE)/1,0))</f>
        <v/>
      </c>
      <c r="R404" s="31" t="str">
        <f>IF($D404="","",IFERROR(VLOOKUP($B404,Kraftvärmeprod!$B$1:$BX$550,MATCH(R$2,Kraftvärmeprod!$B$1:$VX$1,0),FALSE)/1,0)-IFERROR(VLOOKUP($B404,'Slutlig allokering kvv'!$B$2:$BX$550,MATCH(R$2,'Slutlig allokering kvv'!$B$1:$BX$1,0),FALSE)/1,0))</f>
        <v/>
      </c>
      <c r="S404" s="31" t="str">
        <f>IF($D404="","",IFERROR(VLOOKUP($B404,Kraftvärmeprod!$B$1:$BX$550,MATCH(S$2,Kraftvärmeprod!$B$1:$VX$1,0),FALSE)/1,0)-IFERROR(VLOOKUP($B404,'Slutlig allokering kvv'!$B$2:$BX$550,MATCH(S$2,'Slutlig allokering kvv'!$B$1:$BX$1,0),FALSE)/1,0))</f>
        <v/>
      </c>
      <c r="T404" s="31" t="str">
        <f>IF($D404="","",IFERROR(VLOOKUP($B404,Kraftvärmeprod!$B$1:$BX$550,MATCH(T$2,Kraftvärmeprod!$B$1:$VX$1,0),FALSE)/1,0)-IFERROR(VLOOKUP($B404,'Slutlig allokering kvv'!$B$2:$BX$550,MATCH(T$2,'Slutlig allokering kvv'!$B$1:$BX$1,0),FALSE)/1,0))</f>
        <v/>
      </c>
      <c r="U404" s="31" t="str">
        <f>IF($D404="","",IFERROR(VLOOKUP($B404,Kraftvärmeprod!$B$1:$BX$550,MATCH(U$2,Kraftvärmeprod!$B$1:$VX$1,0),FALSE)/1,0)-IFERROR(VLOOKUP($B404,'Slutlig allokering kvv'!$B$2:$BX$550,MATCH(U$2,'Slutlig allokering kvv'!$B$1:$BX$1,0),FALSE)/1,0))</f>
        <v/>
      </c>
      <c r="V404" s="31" t="str">
        <f>IF($D404="","",IFERROR(VLOOKUP($B404,Kraftvärmeprod!$B$1:$BX$550,MATCH(V$2,Kraftvärmeprod!$B$1:$VX$1,0),FALSE)/1,0)-IFERROR(VLOOKUP($B404,'Slutlig allokering kvv'!$B$2:$BX$550,MATCH(V$2,'Slutlig allokering kvv'!$B$1:$BX$1,0),FALSE)/1,0))</f>
        <v/>
      </c>
      <c r="W404" s="31" t="str">
        <f>IF($D404="","",IFERROR(VLOOKUP($B404,Kraftvärmeprod!$B$1:$BX$550,MATCH(W$2,Kraftvärmeprod!$B$1:$VX$1,0),FALSE)/1,0)-IFERROR(VLOOKUP($B404,'Slutlig allokering kvv'!$B$2:$BX$550,MATCH(W$2,'Slutlig allokering kvv'!$B$1:$BX$1,0),FALSE)/1,0))</f>
        <v/>
      </c>
      <c r="X404" s="31" t="str">
        <f>IF($D404="","",IFERROR(VLOOKUP($B404,Kraftvärmeprod!$B$1:$BX$550,MATCH(X$2,Kraftvärmeprod!$B$1:$VX$1,0),FALSE)/1,0)-IFERROR(VLOOKUP($B404,'Slutlig allokering kvv'!$B$2:$BX$550,MATCH(X$2,'Slutlig allokering kvv'!$B$1:$BX$1,0),FALSE)/1,0))</f>
        <v/>
      </c>
      <c r="Y404" s="31" t="str">
        <f>IF($D404="","",IFERROR(VLOOKUP($B404,Kraftvärmeprod!$B$1:$BX$550,MATCH(Y$2,Kraftvärmeprod!$B$1:$VX$1,0),FALSE)/1,0)-IFERROR(VLOOKUP($B404,'Slutlig allokering kvv'!$B$2:$BX$550,MATCH(Y$2,'Slutlig allokering kvv'!$B$1:$BX$1,0),FALSE)/1,0))</f>
        <v/>
      </c>
      <c r="Z404" s="31" t="str">
        <f>IF($D404="","",IFERROR(VLOOKUP($B404,Kraftvärmeprod!$B$1:$BX$550,MATCH(Z$2,Kraftvärmeprod!$B$1:$VX$1,0),FALSE)/1,0)-IFERROR(VLOOKUP($B404,'Slutlig allokering kvv'!$B$2:$BX$550,MATCH(Z$2,'Slutlig allokering kvv'!$B$1:$BX$1,0),FALSE)/1,0))</f>
        <v/>
      </c>
      <c r="AA404" s="31" t="str">
        <f>IF($D404="","",IFERROR(VLOOKUP($B404,Kraftvärmeprod!$B$1:$BX$550,MATCH(AA$2,Kraftvärmeprod!$B$1:$VX$1,0),FALSE)/1,0)-IFERROR(VLOOKUP($B404,'Slutlig allokering kvv'!$B$2:$BX$550,MATCH(AA$2,'Slutlig allokering kvv'!$B$1:$BX$1,0),FALSE)/1,0))</f>
        <v/>
      </c>
      <c r="AB404" s="31" t="str">
        <f>IF($D404="","",IFERROR(VLOOKUP($B404,Kraftvärmeprod!$B$1:$BX$550,MATCH(AB$2,Kraftvärmeprod!$B$1:$VX$1,0),FALSE)/1,0)-IFERROR(VLOOKUP($B404,'Slutlig allokering kvv'!$B$2:$BX$550,MATCH(AB$2,'Slutlig allokering kvv'!$B$1:$BX$1,0),FALSE)/1,0))</f>
        <v/>
      </c>
      <c r="AC404" s="31" t="str">
        <f>IF($D404="","",IFERROR(VLOOKUP($B404,Kraftvärmeprod!$B$1:$BX$550,MATCH(AC$2,Kraftvärmeprod!$B$1:$VX$1,0),FALSE)/1,0)-IFERROR(VLOOKUP($B404,'Slutlig allokering kvv'!$B$2:$BX$550,MATCH(AC$2,'Slutlig allokering kvv'!$B$1:$BX$1,0),FALSE)/1,0))</f>
        <v/>
      </c>
      <c r="AD404" s="31" t="str">
        <f>IF($D404="","",IFERROR(VLOOKUP($B404,Kraftvärmeprod!$B$1:$BX$550,MATCH(AD$2,Kraftvärmeprod!$B$1:$VX$1,0),FALSE)/1,0)-IFERROR(VLOOKUP($B404,'Slutlig allokering kvv'!$B$2:$BX$550,MATCH(AD$2,'Slutlig allokering kvv'!$B$1:$BX$1,0),FALSE)/1,0))</f>
        <v/>
      </c>
      <c r="AE404" s="31" t="str">
        <f>IF($D404="","",IFERROR(VLOOKUP($B404,Miljö!$B$1:$E$550,MATCH("Hjälpel kraftvärme (GWh)",Miljö!$B$1:$E$1,0),FALSE)/1,0)-IFERROR(VLOOKUP($B404,'Slutlig allokering kvv'!$B$2:$BX$549,MATCH(AE$2,'Slutlig allokering kvv'!$B$1:$BX$1,0),FALSE)/1,0))</f>
        <v/>
      </c>
      <c r="AI404" s="39">
        <f t="shared" si="24"/>
        <v>0</v>
      </c>
      <c r="AK404" s="31" t="str">
        <f>IFERROR(VLOOKUP($B404,'Slutlig allokering kvv'!$B$2:$AX$549,MATCH("Summa slutlig allokerad tillförd energi (utan hjälpel och rökgaskondensering):",'Slutlig allokering kvv'!$B$1:$AX$1,0),FALSE)/1,"")</f>
        <v/>
      </c>
      <c r="AM404" s="31" t="str">
        <f>IFERROR(1-VLOOKUP($B404,'Slutlig allokering kvv'!$B$2:$AX$549,MATCH("Andel av bränsle i kvv som allokerats till värme, exklusive rökgaskondensering och hjälpel",'Slutlig allokering kvv'!$B$1:$AX$1,0),FALSE),"")</f>
        <v/>
      </c>
      <c r="AO404" s="31" t="str">
        <f t="shared" si="25"/>
        <v/>
      </c>
      <c r="AP404" s="31" t="str">
        <f t="shared" si="26"/>
        <v/>
      </c>
      <c r="AR404" s="32" t="str">
        <f t="shared" si="27"/>
        <v/>
      </c>
    </row>
    <row r="405" spans="3:44" s="31" customFormat="1" x14ac:dyDescent="0.45">
      <c r="C405" s="31" t="str">
        <f>IFERROR(VLOOKUP($B405,Kraftvärmeprod!$B$1:$AH$479,MATCH(C$2,Kraftvärmeprod!$B$1:$AG$1,0),FALSE)/1,"")</f>
        <v/>
      </c>
      <c r="D405" s="31" t="str">
        <f>IFERROR(VLOOKUP($B405,Kraftvärmeprod!$B$1:$AH$479,MATCH(D$2,Kraftvärmeprod!$B$1:$AG$1,0),FALSE)/1,"")</f>
        <v/>
      </c>
      <c r="F405" s="31" t="str">
        <f>IF($D405="","",IFERROR(VLOOKUP($B405,Kraftvärmeprod!$B$1:$BX$550,MATCH(F$2,Kraftvärmeprod!$B$1:$VX$1,0),FALSE)/1,0)-IFERROR(VLOOKUP($B405,'Slutlig allokering kvv'!$B$2:$BX$550,MATCH(F$2,'Slutlig allokering kvv'!$B$1:$BX$1,0),FALSE)/1,0))</f>
        <v/>
      </c>
      <c r="G405" s="31" t="str">
        <f>IF($D405="","",IFERROR(VLOOKUP($B405,Kraftvärmeprod!$B$1:$BX$550,MATCH(G$2,Kraftvärmeprod!$B$1:$VX$1,0),FALSE)/1,0)-IFERROR(VLOOKUP($B405,'Slutlig allokering kvv'!$B$2:$BX$550,MATCH(G$2,'Slutlig allokering kvv'!$B$1:$BX$1,0),FALSE)/1,0))</f>
        <v/>
      </c>
      <c r="H405" s="31" t="str">
        <f>IF($D405="","",IFERROR(VLOOKUP($B405,Kraftvärmeprod!$B$1:$BX$550,MATCH(H$2,Kraftvärmeprod!$B$1:$VX$1,0),FALSE)/1,0)-IFERROR(VLOOKUP($B405,'Slutlig allokering kvv'!$B$2:$BX$550,MATCH(H$2,'Slutlig allokering kvv'!$B$1:$BX$1,0),FALSE)/1,0))</f>
        <v/>
      </c>
      <c r="I405" s="31" t="str">
        <f>IF($D405="","",IFERROR(VLOOKUP($B405,Kraftvärmeprod!$B$1:$BX$550,MATCH(I$2,Kraftvärmeprod!$B$1:$VX$1,0),FALSE)/1,0)-IFERROR(VLOOKUP($B405,'Slutlig allokering kvv'!$B$2:$BX$550,MATCH(I$2,'Slutlig allokering kvv'!$B$1:$BX$1,0),FALSE)/1,0))</f>
        <v/>
      </c>
      <c r="J405" s="31" t="str">
        <f>IF($D405="","",IFERROR(VLOOKUP($B405,Kraftvärmeprod!$B$1:$BX$550,MATCH(J$2,Kraftvärmeprod!$B$1:$VX$1,0),FALSE)/1,0)-IFERROR(VLOOKUP($B405,'Slutlig allokering kvv'!$B$2:$BX$550,MATCH(J$2,'Slutlig allokering kvv'!$B$1:$BX$1,0),FALSE)/1,0))</f>
        <v/>
      </c>
      <c r="K405" s="31" t="str">
        <f>IF($D405="","",IFERROR(VLOOKUP($B405,Kraftvärmeprod!$B$1:$BX$550,MATCH(K$2,Kraftvärmeprod!$B$1:$VX$1,0),FALSE)/1,0)-IFERROR(VLOOKUP($B405,'Slutlig allokering kvv'!$B$2:$BX$550,MATCH(K$2,'Slutlig allokering kvv'!$B$1:$BX$1,0),FALSE)/1,0))</f>
        <v/>
      </c>
      <c r="L405" s="31" t="str">
        <f>IF($D405="","",IFERROR(VLOOKUP($B405,Kraftvärmeprod!$B$1:$BX$550,MATCH(L$2,Kraftvärmeprod!$B$1:$VX$1,0),FALSE)/1,0)-IFERROR(VLOOKUP($B405,'Slutlig allokering kvv'!$B$2:$BX$550,MATCH(L$2,'Slutlig allokering kvv'!$B$1:$BX$1,0),FALSE)/1,0))</f>
        <v/>
      </c>
      <c r="M405" s="31" t="str">
        <f>IF($D405="","",IFERROR(VLOOKUP($B405,Kraftvärmeprod!$B$1:$BX$550,MATCH(M$2,Kraftvärmeprod!$B$1:$VX$1,0),FALSE)/1,0)-IFERROR(VLOOKUP($B405,'Slutlig allokering kvv'!$B$2:$BX$550,MATCH(M$2,'Slutlig allokering kvv'!$B$1:$BX$1,0),FALSE)/1,0))</f>
        <v/>
      </c>
      <c r="N405" s="31" t="str">
        <f>IF($D405="","",IFERROR(VLOOKUP($B405,Kraftvärmeprod!$B$1:$BX$550,MATCH(N$2,Kraftvärmeprod!$B$1:$VX$1,0),FALSE)/1,0)-IFERROR(VLOOKUP($B405,'Slutlig allokering kvv'!$B$2:$BX$550,MATCH(N$2,'Slutlig allokering kvv'!$B$1:$BX$1,0),FALSE)/1,0))</f>
        <v/>
      </c>
      <c r="O405" s="31" t="str">
        <f>IF($D405="","",IFERROR(VLOOKUP($B405,Kraftvärmeprod!$B$1:$BX$550,MATCH(O$2,Kraftvärmeprod!$B$1:$VX$1,0),FALSE)/1,0)-IFERROR(VLOOKUP($B405,'Slutlig allokering kvv'!$B$2:$BX$550,MATCH(O$2,'Slutlig allokering kvv'!$B$1:$BX$1,0),FALSE)/1,0))</f>
        <v/>
      </c>
      <c r="P405" s="31" t="str">
        <f>IF($D405="","",IFERROR(VLOOKUP($B405,Kraftvärmeprod!$B$1:$BX$550,MATCH(P$2,Kraftvärmeprod!$B$1:$VX$1,0),FALSE)/1,0)-IFERROR(VLOOKUP($B405,'Slutlig allokering kvv'!$B$2:$BX$550,MATCH(P$2,'Slutlig allokering kvv'!$B$1:$BX$1,0),FALSE)/1,0))</f>
        <v/>
      </c>
      <c r="Q405" s="31" t="str">
        <f>IF($D405="","",IFERROR(VLOOKUP($B405,Kraftvärmeprod!$B$1:$BX$550,MATCH(Q$2,Kraftvärmeprod!$B$1:$VX$1,0),FALSE)/1,0)-IFERROR(VLOOKUP($B405,'Slutlig allokering kvv'!$B$2:$BX$550,MATCH(Q$2,'Slutlig allokering kvv'!$B$1:$BX$1,0),FALSE)/1,0))</f>
        <v/>
      </c>
      <c r="R405" s="31" t="str">
        <f>IF($D405="","",IFERROR(VLOOKUP($B405,Kraftvärmeprod!$B$1:$BX$550,MATCH(R$2,Kraftvärmeprod!$B$1:$VX$1,0),FALSE)/1,0)-IFERROR(VLOOKUP($B405,'Slutlig allokering kvv'!$B$2:$BX$550,MATCH(R$2,'Slutlig allokering kvv'!$B$1:$BX$1,0),FALSE)/1,0))</f>
        <v/>
      </c>
      <c r="S405" s="31" t="str">
        <f>IF($D405="","",IFERROR(VLOOKUP($B405,Kraftvärmeprod!$B$1:$BX$550,MATCH(S$2,Kraftvärmeprod!$B$1:$VX$1,0),FALSE)/1,0)-IFERROR(VLOOKUP($B405,'Slutlig allokering kvv'!$B$2:$BX$550,MATCH(S$2,'Slutlig allokering kvv'!$B$1:$BX$1,0),FALSE)/1,0))</f>
        <v/>
      </c>
      <c r="T405" s="31" t="str">
        <f>IF($D405="","",IFERROR(VLOOKUP($B405,Kraftvärmeprod!$B$1:$BX$550,MATCH(T$2,Kraftvärmeprod!$B$1:$VX$1,0),FALSE)/1,0)-IFERROR(VLOOKUP($B405,'Slutlig allokering kvv'!$B$2:$BX$550,MATCH(T$2,'Slutlig allokering kvv'!$B$1:$BX$1,0),FALSE)/1,0))</f>
        <v/>
      </c>
      <c r="U405" s="31" t="str">
        <f>IF($D405="","",IFERROR(VLOOKUP($B405,Kraftvärmeprod!$B$1:$BX$550,MATCH(U$2,Kraftvärmeprod!$B$1:$VX$1,0),FALSE)/1,0)-IFERROR(VLOOKUP($B405,'Slutlig allokering kvv'!$B$2:$BX$550,MATCH(U$2,'Slutlig allokering kvv'!$B$1:$BX$1,0),FALSE)/1,0))</f>
        <v/>
      </c>
      <c r="V405" s="31" t="str">
        <f>IF($D405="","",IFERROR(VLOOKUP($B405,Kraftvärmeprod!$B$1:$BX$550,MATCH(V$2,Kraftvärmeprod!$B$1:$VX$1,0),FALSE)/1,0)-IFERROR(VLOOKUP($B405,'Slutlig allokering kvv'!$B$2:$BX$550,MATCH(V$2,'Slutlig allokering kvv'!$B$1:$BX$1,0),FALSE)/1,0))</f>
        <v/>
      </c>
      <c r="W405" s="31" t="str">
        <f>IF($D405="","",IFERROR(VLOOKUP($B405,Kraftvärmeprod!$B$1:$BX$550,MATCH(W$2,Kraftvärmeprod!$B$1:$VX$1,0),FALSE)/1,0)-IFERROR(VLOOKUP($B405,'Slutlig allokering kvv'!$B$2:$BX$550,MATCH(W$2,'Slutlig allokering kvv'!$B$1:$BX$1,0),FALSE)/1,0))</f>
        <v/>
      </c>
      <c r="X405" s="31" t="str">
        <f>IF($D405="","",IFERROR(VLOOKUP($B405,Kraftvärmeprod!$B$1:$BX$550,MATCH(X$2,Kraftvärmeprod!$B$1:$VX$1,0),FALSE)/1,0)-IFERROR(VLOOKUP($B405,'Slutlig allokering kvv'!$B$2:$BX$550,MATCH(X$2,'Slutlig allokering kvv'!$B$1:$BX$1,0),FALSE)/1,0))</f>
        <v/>
      </c>
      <c r="Y405" s="31" t="str">
        <f>IF($D405="","",IFERROR(VLOOKUP($B405,Kraftvärmeprod!$B$1:$BX$550,MATCH(Y$2,Kraftvärmeprod!$B$1:$VX$1,0),FALSE)/1,0)-IFERROR(VLOOKUP($B405,'Slutlig allokering kvv'!$B$2:$BX$550,MATCH(Y$2,'Slutlig allokering kvv'!$B$1:$BX$1,0),FALSE)/1,0))</f>
        <v/>
      </c>
      <c r="Z405" s="31" t="str">
        <f>IF($D405="","",IFERROR(VLOOKUP($B405,Kraftvärmeprod!$B$1:$BX$550,MATCH(Z$2,Kraftvärmeprod!$B$1:$VX$1,0),FALSE)/1,0)-IFERROR(VLOOKUP($B405,'Slutlig allokering kvv'!$B$2:$BX$550,MATCH(Z$2,'Slutlig allokering kvv'!$B$1:$BX$1,0),FALSE)/1,0))</f>
        <v/>
      </c>
      <c r="AA405" s="31" t="str">
        <f>IF($D405="","",IFERROR(VLOOKUP($B405,Kraftvärmeprod!$B$1:$BX$550,MATCH(AA$2,Kraftvärmeprod!$B$1:$VX$1,0),FALSE)/1,0)-IFERROR(VLOOKUP($B405,'Slutlig allokering kvv'!$B$2:$BX$550,MATCH(AA$2,'Slutlig allokering kvv'!$B$1:$BX$1,0),FALSE)/1,0))</f>
        <v/>
      </c>
      <c r="AB405" s="31" t="str">
        <f>IF($D405="","",IFERROR(VLOOKUP($B405,Kraftvärmeprod!$B$1:$BX$550,MATCH(AB$2,Kraftvärmeprod!$B$1:$VX$1,0),FALSE)/1,0)-IFERROR(VLOOKUP($B405,'Slutlig allokering kvv'!$B$2:$BX$550,MATCH(AB$2,'Slutlig allokering kvv'!$B$1:$BX$1,0),FALSE)/1,0))</f>
        <v/>
      </c>
      <c r="AC405" s="31" t="str">
        <f>IF($D405="","",IFERROR(VLOOKUP($B405,Kraftvärmeprod!$B$1:$BX$550,MATCH(AC$2,Kraftvärmeprod!$B$1:$VX$1,0),FALSE)/1,0)-IFERROR(VLOOKUP($B405,'Slutlig allokering kvv'!$B$2:$BX$550,MATCH(AC$2,'Slutlig allokering kvv'!$B$1:$BX$1,0),FALSE)/1,0))</f>
        <v/>
      </c>
      <c r="AD405" s="31" t="str">
        <f>IF($D405="","",IFERROR(VLOOKUP($B405,Kraftvärmeprod!$B$1:$BX$550,MATCH(AD$2,Kraftvärmeprod!$B$1:$VX$1,0),FALSE)/1,0)-IFERROR(VLOOKUP($B405,'Slutlig allokering kvv'!$B$2:$BX$550,MATCH(AD$2,'Slutlig allokering kvv'!$B$1:$BX$1,0),FALSE)/1,0))</f>
        <v/>
      </c>
      <c r="AE405" s="31" t="str">
        <f>IF($D405="","",IFERROR(VLOOKUP($B405,Miljö!$B$1:$E$550,MATCH("Hjälpel kraftvärme (GWh)",Miljö!$B$1:$E$1,0),FALSE)/1,0)-IFERROR(VLOOKUP($B405,'Slutlig allokering kvv'!$B$2:$BX$549,MATCH(AE$2,'Slutlig allokering kvv'!$B$1:$BX$1,0),FALSE)/1,0))</f>
        <v/>
      </c>
      <c r="AI405" s="39">
        <f t="shared" si="24"/>
        <v>0</v>
      </c>
      <c r="AK405" s="31" t="str">
        <f>IFERROR(VLOOKUP($B405,'Slutlig allokering kvv'!$B$2:$AX$549,MATCH("Summa slutlig allokerad tillförd energi (utan hjälpel och rökgaskondensering):",'Slutlig allokering kvv'!$B$1:$AX$1,0),FALSE)/1,"")</f>
        <v/>
      </c>
      <c r="AM405" s="31" t="str">
        <f>IFERROR(1-VLOOKUP($B405,'Slutlig allokering kvv'!$B$2:$AX$549,MATCH("Andel av bränsle i kvv som allokerats till värme, exklusive rökgaskondensering och hjälpel",'Slutlig allokering kvv'!$B$1:$AX$1,0),FALSE),"")</f>
        <v/>
      </c>
      <c r="AO405" s="31" t="str">
        <f t="shared" si="25"/>
        <v/>
      </c>
      <c r="AP405" s="31" t="str">
        <f t="shared" si="26"/>
        <v/>
      </c>
      <c r="AR405" s="32" t="str">
        <f t="shared" si="27"/>
        <v/>
      </c>
    </row>
    <row r="406" spans="3:44" s="31" customFormat="1" x14ac:dyDescent="0.45">
      <c r="C406" s="31" t="str">
        <f>IFERROR(VLOOKUP($B406,Kraftvärmeprod!$B$1:$AH$479,MATCH(C$2,Kraftvärmeprod!$B$1:$AG$1,0),FALSE)/1,"")</f>
        <v/>
      </c>
      <c r="D406" s="31" t="str">
        <f>IFERROR(VLOOKUP($B406,Kraftvärmeprod!$B$1:$AH$479,MATCH(D$2,Kraftvärmeprod!$B$1:$AG$1,0),FALSE)/1,"")</f>
        <v/>
      </c>
      <c r="F406" s="31" t="str">
        <f>IF($D406="","",IFERROR(VLOOKUP($B406,Kraftvärmeprod!$B$1:$BX$550,MATCH(F$2,Kraftvärmeprod!$B$1:$VX$1,0),FALSE)/1,0)-IFERROR(VLOOKUP($B406,'Slutlig allokering kvv'!$B$2:$BX$550,MATCH(F$2,'Slutlig allokering kvv'!$B$1:$BX$1,0),FALSE)/1,0))</f>
        <v/>
      </c>
      <c r="G406" s="31" t="str">
        <f>IF($D406="","",IFERROR(VLOOKUP($B406,Kraftvärmeprod!$B$1:$BX$550,MATCH(G$2,Kraftvärmeprod!$B$1:$VX$1,0),FALSE)/1,0)-IFERROR(VLOOKUP($B406,'Slutlig allokering kvv'!$B$2:$BX$550,MATCH(G$2,'Slutlig allokering kvv'!$B$1:$BX$1,0),FALSE)/1,0))</f>
        <v/>
      </c>
      <c r="H406" s="31" t="str">
        <f>IF($D406="","",IFERROR(VLOOKUP($B406,Kraftvärmeprod!$B$1:$BX$550,MATCH(H$2,Kraftvärmeprod!$B$1:$VX$1,0),FALSE)/1,0)-IFERROR(VLOOKUP($B406,'Slutlig allokering kvv'!$B$2:$BX$550,MATCH(H$2,'Slutlig allokering kvv'!$B$1:$BX$1,0),FALSE)/1,0))</f>
        <v/>
      </c>
      <c r="I406" s="31" t="str">
        <f>IF($D406="","",IFERROR(VLOOKUP($B406,Kraftvärmeprod!$B$1:$BX$550,MATCH(I$2,Kraftvärmeprod!$B$1:$VX$1,0),FALSE)/1,0)-IFERROR(VLOOKUP($B406,'Slutlig allokering kvv'!$B$2:$BX$550,MATCH(I$2,'Slutlig allokering kvv'!$B$1:$BX$1,0),FALSE)/1,0))</f>
        <v/>
      </c>
      <c r="J406" s="31" t="str">
        <f>IF($D406="","",IFERROR(VLOOKUP($B406,Kraftvärmeprod!$B$1:$BX$550,MATCH(J$2,Kraftvärmeprod!$B$1:$VX$1,0),FALSE)/1,0)-IFERROR(VLOOKUP($B406,'Slutlig allokering kvv'!$B$2:$BX$550,MATCH(J$2,'Slutlig allokering kvv'!$B$1:$BX$1,0),FALSE)/1,0))</f>
        <v/>
      </c>
      <c r="K406" s="31" t="str">
        <f>IF($D406="","",IFERROR(VLOOKUP($B406,Kraftvärmeprod!$B$1:$BX$550,MATCH(K$2,Kraftvärmeprod!$B$1:$VX$1,0),FALSE)/1,0)-IFERROR(VLOOKUP($B406,'Slutlig allokering kvv'!$B$2:$BX$550,MATCH(K$2,'Slutlig allokering kvv'!$B$1:$BX$1,0),FALSE)/1,0))</f>
        <v/>
      </c>
      <c r="L406" s="31" t="str">
        <f>IF($D406="","",IFERROR(VLOOKUP($B406,Kraftvärmeprod!$B$1:$BX$550,MATCH(L$2,Kraftvärmeprod!$B$1:$VX$1,0),FALSE)/1,0)-IFERROR(VLOOKUP($B406,'Slutlig allokering kvv'!$B$2:$BX$550,MATCH(L$2,'Slutlig allokering kvv'!$B$1:$BX$1,0),FALSE)/1,0))</f>
        <v/>
      </c>
      <c r="M406" s="31" t="str">
        <f>IF($D406="","",IFERROR(VLOOKUP($B406,Kraftvärmeprod!$B$1:$BX$550,MATCH(M$2,Kraftvärmeprod!$B$1:$VX$1,0),FALSE)/1,0)-IFERROR(VLOOKUP($B406,'Slutlig allokering kvv'!$B$2:$BX$550,MATCH(M$2,'Slutlig allokering kvv'!$B$1:$BX$1,0),FALSE)/1,0))</f>
        <v/>
      </c>
      <c r="N406" s="31" t="str">
        <f>IF($D406="","",IFERROR(VLOOKUP($B406,Kraftvärmeprod!$B$1:$BX$550,MATCH(N$2,Kraftvärmeprod!$B$1:$VX$1,0),FALSE)/1,0)-IFERROR(VLOOKUP($B406,'Slutlig allokering kvv'!$B$2:$BX$550,MATCH(N$2,'Slutlig allokering kvv'!$B$1:$BX$1,0),FALSE)/1,0))</f>
        <v/>
      </c>
      <c r="O406" s="31" t="str">
        <f>IF($D406="","",IFERROR(VLOOKUP($B406,Kraftvärmeprod!$B$1:$BX$550,MATCH(O$2,Kraftvärmeprod!$B$1:$VX$1,0),FALSE)/1,0)-IFERROR(VLOOKUP($B406,'Slutlig allokering kvv'!$B$2:$BX$550,MATCH(O$2,'Slutlig allokering kvv'!$B$1:$BX$1,0),FALSE)/1,0))</f>
        <v/>
      </c>
      <c r="P406" s="31" t="str">
        <f>IF($D406="","",IFERROR(VLOOKUP($B406,Kraftvärmeprod!$B$1:$BX$550,MATCH(P$2,Kraftvärmeprod!$B$1:$VX$1,0),FALSE)/1,0)-IFERROR(VLOOKUP($B406,'Slutlig allokering kvv'!$B$2:$BX$550,MATCH(P$2,'Slutlig allokering kvv'!$B$1:$BX$1,0),FALSE)/1,0))</f>
        <v/>
      </c>
      <c r="Q406" s="31" t="str">
        <f>IF($D406="","",IFERROR(VLOOKUP($B406,Kraftvärmeprod!$B$1:$BX$550,MATCH(Q$2,Kraftvärmeprod!$B$1:$VX$1,0),FALSE)/1,0)-IFERROR(VLOOKUP($B406,'Slutlig allokering kvv'!$B$2:$BX$550,MATCH(Q$2,'Slutlig allokering kvv'!$B$1:$BX$1,0),FALSE)/1,0))</f>
        <v/>
      </c>
      <c r="R406" s="31" t="str">
        <f>IF($D406="","",IFERROR(VLOOKUP($B406,Kraftvärmeprod!$B$1:$BX$550,MATCH(R$2,Kraftvärmeprod!$B$1:$VX$1,0),FALSE)/1,0)-IFERROR(VLOOKUP($B406,'Slutlig allokering kvv'!$B$2:$BX$550,MATCH(R$2,'Slutlig allokering kvv'!$B$1:$BX$1,0),FALSE)/1,0))</f>
        <v/>
      </c>
      <c r="S406" s="31" t="str">
        <f>IF($D406="","",IFERROR(VLOOKUP($B406,Kraftvärmeprod!$B$1:$BX$550,MATCH(S$2,Kraftvärmeprod!$B$1:$VX$1,0),FALSE)/1,0)-IFERROR(VLOOKUP($B406,'Slutlig allokering kvv'!$B$2:$BX$550,MATCH(S$2,'Slutlig allokering kvv'!$B$1:$BX$1,0),FALSE)/1,0))</f>
        <v/>
      </c>
      <c r="T406" s="31" t="str">
        <f>IF($D406="","",IFERROR(VLOOKUP($B406,Kraftvärmeprod!$B$1:$BX$550,MATCH(T$2,Kraftvärmeprod!$B$1:$VX$1,0),FALSE)/1,0)-IFERROR(VLOOKUP($B406,'Slutlig allokering kvv'!$B$2:$BX$550,MATCH(T$2,'Slutlig allokering kvv'!$B$1:$BX$1,0),FALSE)/1,0))</f>
        <v/>
      </c>
      <c r="U406" s="31" t="str">
        <f>IF($D406="","",IFERROR(VLOOKUP($B406,Kraftvärmeprod!$B$1:$BX$550,MATCH(U$2,Kraftvärmeprod!$B$1:$VX$1,0),FALSE)/1,0)-IFERROR(VLOOKUP($B406,'Slutlig allokering kvv'!$B$2:$BX$550,MATCH(U$2,'Slutlig allokering kvv'!$B$1:$BX$1,0),FALSE)/1,0))</f>
        <v/>
      </c>
      <c r="V406" s="31" t="str">
        <f>IF($D406="","",IFERROR(VLOOKUP($B406,Kraftvärmeprod!$B$1:$BX$550,MATCH(V$2,Kraftvärmeprod!$B$1:$VX$1,0),FALSE)/1,0)-IFERROR(VLOOKUP($B406,'Slutlig allokering kvv'!$B$2:$BX$550,MATCH(V$2,'Slutlig allokering kvv'!$B$1:$BX$1,0),FALSE)/1,0))</f>
        <v/>
      </c>
      <c r="W406" s="31" t="str">
        <f>IF($D406="","",IFERROR(VLOOKUP($B406,Kraftvärmeprod!$B$1:$BX$550,MATCH(W$2,Kraftvärmeprod!$B$1:$VX$1,0),FALSE)/1,0)-IFERROR(VLOOKUP($B406,'Slutlig allokering kvv'!$B$2:$BX$550,MATCH(W$2,'Slutlig allokering kvv'!$B$1:$BX$1,0),FALSE)/1,0))</f>
        <v/>
      </c>
      <c r="X406" s="31" t="str">
        <f>IF($D406="","",IFERROR(VLOOKUP($B406,Kraftvärmeprod!$B$1:$BX$550,MATCH(X$2,Kraftvärmeprod!$B$1:$VX$1,0),FALSE)/1,0)-IFERROR(VLOOKUP($B406,'Slutlig allokering kvv'!$B$2:$BX$550,MATCH(X$2,'Slutlig allokering kvv'!$B$1:$BX$1,0),FALSE)/1,0))</f>
        <v/>
      </c>
      <c r="Y406" s="31" t="str">
        <f>IF($D406="","",IFERROR(VLOOKUP($B406,Kraftvärmeprod!$B$1:$BX$550,MATCH(Y$2,Kraftvärmeprod!$B$1:$VX$1,0),FALSE)/1,0)-IFERROR(VLOOKUP($B406,'Slutlig allokering kvv'!$B$2:$BX$550,MATCH(Y$2,'Slutlig allokering kvv'!$B$1:$BX$1,0),FALSE)/1,0))</f>
        <v/>
      </c>
      <c r="Z406" s="31" t="str">
        <f>IF($D406="","",IFERROR(VLOOKUP($B406,Kraftvärmeprod!$B$1:$BX$550,MATCH(Z$2,Kraftvärmeprod!$B$1:$VX$1,0),FALSE)/1,0)-IFERROR(VLOOKUP($B406,'Slutlig allokering kvv'!$B$2:$BX$550,MATCH(Z$2,'Slutlig allokering kvv'!$B$1:$BX$1,0),FALSE)/1,0))</f>
        <v/>
      </c>
      <c r="AA406" s="31" t="str">
        <f>IF($D406="","",IFERROR(VLOOKUP($B406,Kraftvärmeprod!$B$1:$BX$550,MATCH(AA$2,Kraftvärmeprod!$B$1:$VX$1,0),FALSE)/1,0)-IFERROR(VLOOKUP($B406,'Slutlig allokering kvv'!$B$2:$BX$550,MATCH(AA$2,'Slutlig allokering kvv'!$B$1:$BX$1,0),FALSE)/1,0))</f>
        <v/>
      </c>
      <c r="AB406" s="31" t="str">
        <f>IF($D406="","",IFERROR(VLOOKUP($B406,Kraftvärmeprod!$B$1:$BX$550,MATCH(AB$2,Kraftvärmeprod!$B$1:$VX$1,0),FALSE)/1,0)-IFERROR(VLOOKUP($B406,'Slutlig allokering kvv'!$B$2:$BX$550,MATCH(AB$2,'Slutlig allokering kvv'!$B$1:$BX$1,0),FALSE)/1,0))</f>
        <v/>
      </c>
      <c r="AC406" s="31" t="str">
        <f>IF($D406="","",IFERROR(VLOOKUP($B406,Kraftvärmeprod!$B$1:$BX$550,MATCH(AC$2,Kraftvärmeprod!$B$1:$VX$1,0),FALSE)/1,0)-IFERROR(VLOOKUP($B406,'Slutlig allokering kvv'!$B$2:$BX$550,MATCH(AC$2,'Slutlig allokering kvv'!$B$1:$BX$1,0),FALSE)/1,0))</f>
        <v/>
      </c>
      <c r="AD406" s="31" t="str">
        <f>IF($D406="","",IFERROR(VLOOKUP($B406,Kraftvärmeprod!$B$1:$BX$550,MATCH(AD$2,Kraftvärmeprod!$B$1:$VX$1,0),FALSE)/1,0)-IFERROR(VLOOKUP($B406,'Slutlig allokering kvv'!$B$2:$BX$550,MATCH(AD$2,'Slutlig allokering kvv'!$B$1:$BX$1,0),FALSE)/1,0))</f>
        <v/>
      </c>
      <c r="AE406" s="31" t="str">
        <f>IF($D406="","",IFERROR(VLOOKUP($B406,Miljö!$B$1:$E$550,MATCH("Hjälpel kraftvärme (GWh)",Miljö!$B$1:$E$1,0),FALSE)/1,0)-IFERROR(VLOOKUP($B406,'Slutlig allokering kvv'!$B$2:$BX$549,MATCH(AE$2,'Slutlig allokering kvv'!$B$1:$BX$1,0),FALSE)/1,0))</f>
        <v/>
      </c>
      <c r="AI406" s="39">
        <f t="shared" si="24"/>
        <v>0</v>
      </c>
      <c r="AK406" s="31" t="str">
        <f>IFERROR(VLOOKUP($B406,'Slutlig allokering kvv'!$B$2:$AX$549,MATCH("Summa slutlig allokerad tillförd energi (utan hjälpel och rökgaskondensering):",'Slutlig allokering kvv'!$B$1:$AX$1,0),FALSE)/1,"")</f>
        <v/>
      </c>
      <c r="AM406" s="31" t="str">
        <f>IFERROR(1-VLOOKUP($B406,'Slutlig allokering kvv'!$B$2:$AX$549,MATCH("Andel av bränsle i kvv som allokerats till värme, exklusive rökgaskondensering och hjälpel",'Slutlig allokering kvv'!$B$1:$AX$1,0),FALSE),"")</f>
        <v/>
      </c>
      <c r="AO406" s="31" t="str">
        <f t="shared" si="25"/>
        <v/>
      </c>
      <c r="AP406" s="31" t="str">
        <f t="shared" si="26"/>
        <v/>
      </c>
      <c r="AR406" s="32" t="str">
        <f t="shared" si="27"/>
        <v/>
      </c>
    </row>
    <row r="407" spans="3:44" s="31" customFormat="1" x14ac:dyDescent="0.45">
      <c r="C407" s="31" t="str">
        <f>IFERROR(VLOOKUP($B407,Kraftvärmeprod!$B$1:$AH$479,MATCH(C$2,Kraftvärmeprod!$B$1:$AG$1,0),FALSE)/1,"")</f>
        <v/>
      </c>
      <c r="D407" s="31" t="str">
        <f>IFERROR(VLOOKUP($B407,Kraftvärmeprod!$B$1:$AH$479,MATCH(D$2,Kraftvärmeprod!$B$1:$AG$1,0),FALSE)/1,"")</f>
        <v/>
      </c>
      <c r="F407" s="31" t="str">
        <f>IF($D407="","",IFERROR(VLOOKUP($B407,Kraftvärmeprod!$B$1:$BX$550,MATCH(F$2,Kraftvärmeprod!$B$1:$VX$1,0),FALSE)/1,0)-IFERROR(VLOOKUP($B407,'Slutlig allokering kvv'!$B$2:$BX$550,MATCH(F$2,'Slutlig allokering kvv'!$B$1:$BX$1,0),FALSE)/1,0))</f>
        <v/>
      </c>
      <c r="G407" s="31" t="str">
        <f>IF($D407="","",IFERROR(VLOOKUP($B407,Kraftvärmeprod!$B$1:$BX$550,MATCH(G$2,Kraftvärmeprod!$B$1:$VX$1,0),FALSE)/1,0)-IFERROR(VLOOKUP($B407,'Slutlig allokering kvv'!$B$2:$BX$550,MATCH(G$2,'Slutlig allokering kvv'!$B$1:$BX$1,0),FALSE)/1,0))</f>
        <v/>
      </c>
      <c r="H407" s="31" t="str">
        <f>IF($D407="","",IFERROR(VLOOKUP($B407,Kraftvärmeprod!$B$1:$BX$550,MATCH(H$2,Kraftvärmeprod!$B$1:$VX$1,0),FALSE)/1,0)-IFERROR(VLOOKUP($B407,'Slutlig allokering kvv'!$B$2:$BX$550,MATCH(H$2,'Slutlig allokering kvv'!$B$1:$BX$1,0),FALSE)/1,0))</f>
        <v/>
      </c>
      <c r="I407" s="31" t="str">
        <f>IF($D407="","",IFERROR(VLOOKUP($B407,Kraftvärmeprod!$B$1:$BX$550,MATCH(I$2,Kraftvärmeprod!$B$1:$VX$1,0),FALSE)/1,0)-IFERROR(VLOOKUP($B407,'Slutlig allokering kvv'!$B$2:$BX$550,MATCH(I$2,'Slutlig allokering kvv'!$B$1:$BX$1,0),FALSE)/1,0))</f>
        <v/>
      </c>
      <c r="J407" s="31" t="str">
        <f>IF($D407="","",IFERROR(VLOOKUP($B407,Kraftvärmeprod!$B$1:$BX$550,MATCH(J$2,Kraftvärmeprod!$B$1:$VX$1,0),FALSE)/1,0)-IFERROR(VLOOKUP($B407,'Slutlig allokering kvv'!$B$2:$BX$550,MATCH(J$2,'Slutlig allokering kvv'!$B$1:$BX$1,0),FALSE)/1,0))</f>
        <v/>
      </c>
      <c r="K407" s="31" t="str">
        <f>IF($D407="","",IFERROR(VLOOKUP($B407,Kraftvärmeprod!$B$1:$BX$550,MATCH(K$2,Kraftvärmeprod!$B$1:$VX$1,0),FALSE)/1,0)-IFERROR(VLOOKUP($B407,'Slutlig allokering kvv'!$B$2:$BX$550,MATCH(K$2,'Slutlig allokering kvv'!$B$1:$BX$1,0),FALSE)/1,0))</f>
        <v/>
      </c>
      <c r="L407" s="31" t="str">
        <f>IF($D407="","",IFERROR(VLOOKUP($B407,Kraftvärmeprod!$B$1:$BX$550,MATCH(L$2,Kraftvärmeprod!$B$1:$VX$1,0),FALSE)/1,0)-IFERROR(VLOOKUP($B407,'Slutlig allokering kvv'!$B$2:$BX$550,MATCH(L$2,'Slutlig allokering kvv'!$B$1:$BX$1,0),FALSE)/1,0))</f>
        <v/>
      </c>
      <c r="M407" s="31" t="str">
        <f>IF($D407="","",IFERROR(VLOOKUP($B407,Kraftvärmeprod!$B$1:$BX$550,MATCH(M$2,Kraftvärmeprod!$B$1:$VX$1,0),FALSE)/1,0)-IFERROR(VLOOKUP($B407,'Slutlig allokering kvv'!$B$2:$BX$550,MATCH(M$2,'Slutlig allokering kvv'!$B$1:$BX$1,0),FALSE)/1,0))</f>
        <v/>
      </c>
      <c r="N407" s="31" t="str">
        <f>IF($D407="","",IFERROR(VLOOKUP($B407,Kraftvärmeprod!$B$1:$BX$550,MATCH(N$2,Kraftvärmeprod!$B$1:$VX$1,0),FALSE)/1,0)-IFERROR(VLOOKUP($B407,'Slutlig allokering kvv'!$B$2:$BX$550,MATCH(N$2,'Slutlig allokering kvv'!$B$1:$BX$1,0),FALSE)/1,0))</f>
        <v/>
      </c>
      <c r="O407" s="31" t="str">
        <f>IF($D407="","",IFERROR(VLOOKUP($B407,Kraftvärmeprod!$B$1:$BX$550,MATCH(O$2,Kraftvärmeprod!$B$1:$VX$1,0),FALSE)/1,0)-IFERROR(VLOOKUP($B407,'Slutlig allokering kvv'!$B$2:$BX$550,MATCH(O$2,'Slutlig allokering kvv'!$B$1:$BX$1,0),FALSE)/1,0))</f>
        <v/>
      </c>
      <c r="P407" s="31" t="str">
        <f>IF($D407="","",IFERROR(VLOOKUP($B407,Kraftvärmeprod!$B$1:$BX$550,MATCH(P$2,Kraftvärmeprod!$B$1:$VX$1,0),FALSE)/1,0)-IFERROR(VLOOKUP($B407,'Slutlig allokering kvv'!$B$2:$BX$550,MATCH(P$2,'Slutlig allokering kvv'!$B$1:$BX$1,0),FALSE)/1,0))</f>
        <v/>
      </c>
      <c r="Q407" s="31" t="str">
        <f>IF($D407="","",IFERROR(VLOOKUP($B407,Kraftvärmeprod!$B$1:$BX$550,MATCH(Q$2,Kraftvärmeprod!$B$1:$VX$1,0),FALSE)/1,0)-IFERROR(VLOOKUP($B407,'Slutlig allokering kvv'!$B$2:$BX$550,MATCH(Q$2,'Slutlig allokering kvv'!$B$1:$BX$1,0),FALSE)/1,0))</f>
        <v/>
      </c>
      <c r="R407" s="31" t="str">
        <f>IF($D407="","",IFERROR(VLOOKUP($B407,Kraftvärmeprod!$B$1:$BX$550,MATCH(R$2,Kraftvärmeprod!$B$1:$VX$1,0),FALSE)/1,0)-IFERROR(VLOOKUP($B407,'Slutlig allokering kvv'!$B$2:$BX$550,MATCH(R$2,'Slutlig allokering kvv'!$B$1:$BX$1,0),FALSE)/1,0))</f>
        <v/>
      </c>
      <c r="S407" s="31" t="str">
        <f>IF($D407="","",IFERROR(VLOOKUP($B407,Kraftvärmeprod!$B$1:$BX$550,MATCH(S$2,Kraftvärmeprod!$B$1:$VX$1,0),FALSE)/1,0)-IFERROR(VLOOKUP($B407,'Slutlig allokering kvv'!$B$2:$BX$550,MATCH(S$2,'Slutlig allokering kvv'!$B$1:$BX$1,0),FALSE)/1,0))</f>
        <v/>
      </c>
      <c r="T407" s="31" t="str">
        <f>IF($D407="","",IFERROR(VLOOKUP($B407,Kraftvärmeprod!$B$1:$BX$550,MATCH(T$2,Kraftvärmeprod!$B$1:$VX$1,0),FALSE)/1,0)-IFERROR(VLOOKUP($B407,'Slutlig allokering kvv'!$B$2:$BX$550,MATCH(T$2,'Slutlig allokering kvv'!$B$1:$BX$1,0),FALSE)/1,0))</f>
        <v/>
      </c>
      <c r="U407" s="31" t="str">
        <f>IF($D407="","",IFERROR(VLOOKUP($B407,Kraftvärmeprod!$B$1:$BX$550,MATCH(U$2,Kraftvärmeprod!$B$1:$VX$1,0),FALSE)/1,0)-IFERROR(VLOOKUP($B407,'Slutlig allokering kvv'!$B$2:$BX$550,MATCH(U$2,'Slutlig allokering kvv'!$B$1:$BX$1,0),FALSE)/1,0))</f>
        <v/>
      </c>
      <c r="V407" s="31" t="str">
        <f>IF($D407="","",IFERROR(VLOOKUP($B407,Kraftvärmeprod!$B$1:$BX$550,MATCH(V$2,Kraftvärmeprod!$B$1:$VX$1,0),FALSE)/1,0)-IFERROR(VLOOKUP($B407,'Slutlig allokering kvv'!$B$2:$BX$550,MATCH(V$2,'Slutlig allokering kvv'!$B$1:$BX$1,0),FALSE)/1,0))</f>
        <v/>
      </c>
      <c r="W407" s="31" t="str">
        <f>IF($D407="","",IFERROR(VLOOKUP($B407,Kraftvärmeprod!$B$1:$BX$550,MATCH(W$2,Kraftvärmeprod!$B$1:$VX$1,0),FALSE)/1,0)-IFERROR(VLOOKUP($B407,'Slutlig allokering kvv'!$B$2:$BX$550,MATCH(W$2,'Slutlig allokering kvv'!$B$1:$BX$1,0),FALSE)/1,0))</f>
        <v/>
      </c>
      <c r="X407" s="31" t="str">
        <f>IF($D407="","",IFERROR(VLOOKUP($B407,Kraftvärmeprod!$B$1:$BX$550,MATCH(X$2,Kraftvärmeprod!$B$1:$VX$1,0),FALSE)/1,0)-IFERROR(VLOOKUP($B407,'Slutlig allokering kvv'!$B$2:$BX$550,MATCH(X$2,'Slutlig allokering kvv'!$B$1:$BX$1,0),FALSE)/1,0))</f>
        <v/>
      </c>
      <c r="Y407" s="31" t="str">
        <f>IF($D407="","",IFERROR(VLOOKUP($B407,Kraftvärmeprod!$B$1:$BX$550,MATCH(Y$2,Kraftvärmeprod!$B$1:$VX$1,0),FALSE)/1,0)-IFERROR(VLOOKUP($B407,'Slutlig allokering kvv'!$B$2:$BX$550,MATCH(Y$2,'Slutlig allokering kvv'!$B$1:$BX$1,0),FALSE)/1,0))</f>
        <v/>
      </c>
      <c r="Z407" s="31" t="str">
        <f>IF($D407="","",IFERROR(VLOOKUP($B407,Kraftvärmeprod!$B$1:$BX$550,MATCH(Z$2,Kraftvärmeprod!$B$1:$VX$1,0),FALSE)/1,0)-IFERROR(VLOOKUP($B407,'Slutlig allokering kvv'!$B$2:$BX$550,MATCH(Z$2,'Slutlig allokering kvv'!$B$1:$BX$1,0),FALSE)/1,0))</f>
        <v/>
      </c>
      <c r="AA407" s="31" t="str">
        <f>IF($D407="","",IFERROR(VLOOKUP($B407,Kraftvärmeprod!$B$1:$BX$550,MATCH(AA$2,Kraftvärmeprod!$B$1:$VX$1,0),FALSE)/1,0)-IFERROR(VLOOKUP($B407,'Slutlig allokering kvv'!$B$2:$BX$550,MATCH(AA$2,'Slutlig allokering kvv'!$B$1:$BX$1,0),FALSE)/1,0))</f>
        <v/>
      </c>
      <c r="AB407" s="31" t="str">
        <f>IF($D407="","",IFERROR(VLOOKUP($B407,Kraftvärmeprod!$B$1:$BX$550,MATCH(AB$2,Kraftvärmeprod!$B$1:$VX$1,0),FALSE)/1,0)-IFERROR(VLOOKUP($B407,'Slutlig allokering kvv'!$B$2:$BX$550,MATCH(AB$2,'Slutlig allokering kvv'!$B$1:$BX$1,0),FALSE)/1,0))</f>
        <v/>
      </c>
      <c r="AC407" s="31" t="str">
        <f>IF($D407="","",IFERROR(VLOOKUP($B407,Kraftvärmeprod!$B$1:$BX$550,MATCH(AC$2,Kraftvärmeprod!$B$1:$VX$1,0),FALSE)/1,0)-IFERROR(VLOOKUP($B407,'Slutlig allokering kvv'!$B$2:$BX$550,MATCH(AC$2,'Slutlig allokering kvv'!$B$1:$BX$1,0),FALSE)/1,0))</f>
        <v/>
      </c>
      <c r="AD407" s="31" t="str">
        <f>IF($D407="","",IFERROR(VLOOKUP($B407,Kraftvärmeprod!$B$1:$BX$550,MATCH(AD$2,Kraftvärmeprod!$B$1:$VX$1,0),FALSE)/1,0)-IFERROR(VLOOKUP($B407,'Slutlig allokering kvv'!$B$2:$BX$550,MATCH(AD$2,'Slutlig allokering kvv'!$B$1:$BX$1,0),FALSE)/1,0))</f>
        <v/>
      </c>
      <c r="AE407" s="31" t="str">
        <f>IF($D407="","",IFERROR(VLOOKUP($B407,Miljö!$B$1:$E$550,MATCH("Hjälpel kraftvärme (GWh)",Miljö!$B$1:$E$1,0),FALSE)/1,0)-IFERROR(VLOOKUP($B407,'Slutlig allokering kvv'!$B$2:$BX$549,MATCH(AE$2,'Slutlig allokering kvv'!$B$1:$BX$1,0),FALSE)/1,0))</f>
        <v/>
      </c>
      <c r="AI407" s="39">
        <f t="shared" si="24"/>
        <v>0</v>
      </c>
      <c r="AK407" s="31" t="str">
        <f>IFERROR(VLOOKUP($B407,'Slutlig allokering kvv'!$B$2:$AX$549,MATCH("Summa slutlig allokerad tillförd energi (utan hjälpel och rökgaskondensering):",'Slutlig allokering kvv'!$B$1:$AX$1,0),FALSE)/1,"")</f>
        <v/>
      </c>
      <c r="AM407" s="31" t="str">
        <f>IFERROR(1-VLOOKUP($B407,'Slutlig allokering kvv'!$B$2:$AX$549,MATCH("Andel av bränsle i kvv som allokerats till värme, exklusive rökgaskondensering och hjälpel",'Slutlig allokering kvv'!$B$1:$AX$1,0),FALSE),"")</f>
        <v/>
      </c>
      <c r="AO407" s="31" t="str">
        <f t="shared" si="25"/>
        <v/>
      </c>
      <c r="AP407" s="31" t="str">
        <f t="shared" si="26"/>
        <v/>
      </c>
      <c r="AR407" s="32" t="str">
        <f t="shared" si="27"/>
        <v/>
      </c>
    </row>
    <row r="408" spans="3:44" s="31" customFormat="1" x14ac:dyDescent="0.45">
      <c r="C408" s="31" t="str">
        <f>IFERROR(VLOOKUP($B408,Kraftvärmeprod!$B$1:$AH$479,MATCH(C$2,Kraftvärmeprod!$B$1:$AG$1,0),FALSE)/1,"")</f>
        <v/>
      </c>
      <c r="D408" s="31" t="str">
        <f>IFERROR(VLOOKUP($B408,Kraftvärmeprod!$B$1:$AH$479,MATCH(D$2,Kraftvärmeprod!$B$1:$AG$1,0),FALSE)/1,"")</f>
        <v/>
      </c>
      <c r="F408" s="31" t="str">
        <f>IF($D408="","",IFERROR(VLOOKUP($B408,Kraftvärmeprod!$B$1:$BX$550,MATCH(F$2,Kraftvärmeprod!$B$1:$VX$1,0),FALSE)/1,0)-IFERROR(VLOOKUP($B408,'Slutlig allokering kvv'!$B$2:$BX$550,MATCH(F$2,'Slutlig allokering kvv'!$B$1:$BX$1,0),FALSE)/1,0))</f>
        <v/>
      </c>
      <c r="G408" s="31" t="str">
        <f>IF($D408="","",IFERROR(VLOOKUP($B408,Kraftvärmeprod!$B$1:$BX$550,MATCH(G$2,Kraftvärmeprod!$B$1:$VX$1,0),FALSE)/1,0)-IFERROR(VLOOKUP($B408,'Slutlig allokering kvv'!$B$2:$BX$550,MATCH(G$2,'Slutlig allokering kvv'!$B$1:$BX$1,0),FALSE)/1,0))</f>
        <v/>
      </c>
      <c r="H408" s="31" t="str">
        <f>IF($D408="","",IFERROR(VLOOKUP($B408,Kraftvärmeprod!$B$1:$BX$550,MATCH(H$2,Kraftvärmeprod!$B$1:$VX$1,0),FALSE)/1,0)-IFERROR(VLOOKUP($B408,'Slutlig allokering kvv'!$B$2:$BX$550,MATCH(H$2,'Slutlig allokering kvv'!$B$1:$BX$1,0),FALSE)/1,0))</f>
        <v/>
      </c>
      <c r="I408" s="31" t="str">
        <f>IF($D408="","",IFERROR(VLOOKUP($B408,Kraftvärmeprod!$B$1:$BX$550,MATCH(I$2,Kraftvärmeprod!$B$1:$VX$1,0),FALSE)/1,0)-IFERROR(VLOOKUP($B408,'Slutlig allokering kvv'!$B$2:$BX$550,MATCH(I$2,'Slutlig allokering kvv'!$B$1:$BX$1,0),FALSE)/1,0))</f>
        <v/>
      </c>
      <c r="J408" s="31" t="str">
        <f>IF($D408="","",IFERROR(VLOOKUP($B408,Kraftvärmeprod!$B$1:$BX$550,MATCH(J$2,Kraftvärmeprod!$B$1:$VX$1,0),FALSE)/1,0)-IFERROR(VLOOKUP($B408,'Slutlig allokering kvv'!$B$2:$BX$550,MATCH(J$2,'Slutlig allokering kvv'!$B$1:$BX$1,0),FALSE)/1,0))</f>
        <v/>
      </c>
      <c r="K408" s="31" t="str">
        <f>IF($D408="","",IFERROR(VLOOKUP($B408,Kraftvärmeprod!$B$1:$BX$550,MATCH(K$2,Kraftvärmeprod!$B$1:$VX$1,0),FALSE)/1,0)-IFERROR(VLOOKUP($B408,'Slutlig allokering kvv'!$B$2:$BX$550,MATCH(K$2,'Slutlig allokering kvv'!$B$1:$BX$1,0),FALSE)/1,0))</f>
        <v/>
      </c>
      <c r="L408" s="31" t="str">
        <f>IF($D408="","",IFERROR(VLOOKUP($B408,Kraftvärmeprod!$B$1:$BX$550,MATCH(L$2,Kraftvärmeprod!$B$1:$VX$1,0),FALSE)/1,0)-IFERROR(VLOOKUP($B408,'Slutlig allokering kvv'!$B$2:$BX$550,MATCH(L$2,'Slutlig allokering kvv'!$B$1:$BX$1,0),FALSE)/1,0))</f>
        <v/>
      </c>
      <c r="M408" s="31" t="str">
        <f>IF($D408="","",IFERROR(VLOOKUP($B408,Kraftvärmeprod!$B$1:$BX$550,MATCH(M$2,Kraftvärmeprod!$B$1:$VX$1,0),FALSE)/1,0)-IFERROR(VLOOKUP($B408,'Slutlig allokering kvv'!$B$2:$BX$550,MATCH(M$2,'Slutlig allokering kvv'!$B$1:$BX$1,0),FALSE)/1,0))</f>
        <v/>
      </c>
      <c r="N408" s="31" t="str">
        <f>IF($D408="","",IFERROR(VLOOKUP($B408,Kraftvärmeprod!$B$1:$BX$550,MATCH(N$2,Kraftvärmeprod!$B$1:$VX$1,0),FALSE)/1,0)-IFERROR(VLOOKUP($B408,'Slutlig allokering kvv'!$B$2:$BX$550,MATCH(N$2,'Slutlig allokering kvv'!$B$1:$BX$1,0),FALSE)/1,0))</f>
        <v/>
      </c>
      <c r="O408" s="31" t="str">
        <f>IF($D408="","",IFERROR(VLOOKUP($B408,Kraftvärmeprod!$B$1:$BX$550,MATCH(O$2,Kraftvärmeprod!$B$1:$VX$1,0),FALSE)/1,0)-IFERROR(VLOOKUP($B408,'Slutlig allokering kvv'!$B$2:$BX$550,MATCH(O$2,'Slutlig allokering kvv'!$B$1:$BX$1,0),FALSE)/1,0))</f>
        <v/>
      </c>
      <c r="P408" s="31" t="str">
        <f>IF($D408="","",IFERROR(VLOOKUP($B408,Kraftvärmeprod!$B$1:$BX$550,MATCH(P$2,Kraftvärmeprod!$B$1:$VX$1,0),FALSE)/1,0)-IFERROR(VLOOKUP($B408,'Slutlig allokering kvv'!$B$2:$BX$550,MATCH(P$2,'Slutlig allokering kvv'!$B$1:$BX$1,0),FALSE)/1,0))</f>
        <v/>
      </c>
      <c r="Q408" s="31" t="str">
        <f>IF($D408="","",IFERROR(VLOOKUP($B408,Kraftvärmeprod!$B$1:$BX$550,MATCH(Q$2,Kraftvärmeprod!$B$1:$VX$1,0),FALSE)/1,0)-IFERROR(VLOOKUP($B408,'Slutlig allokering kvv'!$B$2:$BX$550,MATCH(Q$2,'Slutlig allokering kvv'!$B$1:$BX$1,0),FALSE)/1,0))</f>
        <v/>
      </c>
      <c r="R408" s="31" t="str">
        <f>IF($D408="","",IFERROR(VLOOKUP($B408,Kraftvärmeprod!$B$1:$BX$550,MATCH(R$2,Kraftvärmeprod!$B$1:$VX$1,0),FALSE)/1,0)-IFERROR(VLOOKUP($B408,'Slutlig allokering kvv'!$B$2:$BX$550,MATCH(R$2,'Slutlig allokering kvv'!$B$1:$BX$1,0),FALSE)/1,0))</f>
        <v/>
      </c>
      <c r="S408" s="31" t="str">
        <f>IF($D408="","",IFERROR(VLOOKUP($B408,Kraftvärmeprod!$B$1:$BX$550,MATCH(S$2,Kraftvärmeprod!$B$1:$VX$1,0),FALSE)/1,0)-IFERROR(VLOOKUP($B408,'Slutlig allokering kvv'!$B$2:$BX$550,MATCH(S$2,'Slutlig allokering kvv'!$B$1:$BX$1,0),FALSE)/1,0))</f>
        <v/>
      </c>
      <c r="T408" s="31" t="str">
        <f>IF($D408="","",IFERROR(VLOOKUP($B408,Kraftvärmeprod!$B$1:$BX$550,MATCH(T$2,Kraftvärmeprod!$B$1:$VX$1,0),FALSE)/1,0)-IFERROR(VLOOKUP($B408,'Slutlig allokering kvv'!$B$2:$BX$550,MATCH(T$2,'Slutlig allokering kvv'!$B$1:$BX$1,0),FALSE)/1,0))</f>
        <v/>
      </c>
      <c r="U408" s="31" t="str">
        <f>IF($D408="","",IFERROR(VLOOKUP($B408,Kraftvärmeprod!$B$1:$BX$550,MATCH(U$2,Kraftvärmeprod!$B$1:$VX$1,0),FALSE)/1,0)-IFERROR(VLOOKUP($B408,'Slutlig allokering kvv'!$B$2:$BX$550,MATCH(U$2,'Slutlig allokering kvv'!$B$1:$BX$1,0),FALSE)/1,0))</f>
        <v/>
      </c>
      <c r="V408" s="31" t="str">
        <f>IF($D408="","",IFERROR(VLOOKUP($B408,Kraftvärmeprod!$B$1:$BX$550,MATCH(V$2,Kraftvärmeprod!$B$1:$VX$1,0),FALSE)/1,0)-IFERROR(VLOOKUP($B408,'Slutlig allokering kvv'!$B$2:$BX$550,MATCH(V$2,'Slutlig allokering kvv'!$B$1:$BX$1,0),FALSE)/1,0))</f>
        <v/>
      </c>
      <c r="W408" s="31" t="str">
        <f>IF($D408="","",IFERROR(VLOOKUP($B408,Kraftvärmeprod!$B$1:$BX$550,MATCH(W$2,Kraftvärmeprod!$B$1:$VX$1,0),FALSE)/1,0)-IFERROR(VLOOKUP($B408,'Slutlig allokering kvv'!$B$2:$BX$550,MATCH(W$2,'Slutlig allokering kvv'!$B$1:$BX$1,0),FALSE)/1,0))</f>
        <v/>
      </c>
      <c r="X408" s="31" t="str">
        <f>IF($D408="","",IFERROR(VLOOKUP($B408,Kraftvärmeprod!$B$1:$BX$550,MATCH(X$2,Kraftvärmeprod!$B$1:$VX$1,0),FALSE)/1,0)-IFERROR(VLOOKUP($B408,'Slutlig allokering kvv'!$B$2:$BX$550,MATCH(X$2,'Slutlig allokering kvv'!$B$1:$BX$1,0),FALSE)/1,0))</f>
        <v/>
      </c>
      <c r="Y408" s="31" t="str">
        <f>IF($D408="","",IFERROR(VLOOKUP($B408,Kraftvärmeprod!$B$1:$BX$550,MATCH(Y$2,Kraftvärmeprod!$B$1:$VX$1,0),FALSE)/1,0)-IFERROR(VLOOKUP($B408,'Slutlig allokering kvv'!$B$2:$BX$550,MATCH(Y$2,'Slutlig allokering kvv'!$B$1:$BX$1,0),FALSE)/1,0))</f>
        <v/>
      </c>
      <c r="Z408" s="31" t="str">
        <f>IF($D408="","",IFERROR(VLOOKUP($B408,Kraftvärmeprod!$B$1:$BX$550,MATCH(Z$2,Kraftvärmeprod!$B$1:$VX$1,0),FALSE)/1,0)-IFERROR(VLOOKUP($B408,'Slutlig allokering kvv'!$B$2:$BX$550,MATCH(Z$2,'Slutlig allokering kvv'!$B$1:$BX$1,0),FALSE)/1,0))</f>
        <v/>
      </c>
      <c r="AA408" s="31" t="str">
        <f>IF($D408="","",IFERROR(VLOOKUP($B408,Kraftvärmeprod!$B$1:$BX$550,MATCH(AA$2,Kraftvärmeprod!$B$1:$VX$1,0),FALSE)/1,0)-IFERROR(VLOOKUP($B408,'Slutlig allokering kvv'!$B$2:$BX$550,MATCH(AA$2,'Slutlig allokering kvv'!$B$1:$BX$1,0),FALSE)/1,0))</f>
        <v/>
      </c>
      <c r="AB408" s="31" t="str">
        <f>IF($D408="","",IFERROR(VLOOKUP($B408,Kraftvärmeprod!$B$1:$BX$550,MATCH(AB$2,Kraftvärmeprod!$B$1:$VX$1,0),FALSE)/1,0)-IFERROR(VLOOKUP($B408,'Slutlig allokering kvv'!$B$2:$BX$550,MATCH(AB$2,'Slutlig allokering kvv'!$B$1:$BX$1,0),FALSE)/1,0))</f>
        <v/>
      </c>
      <c r="AC408" s="31" t="str">
        <f>IF($D408="","",IFERROR(VLOOKUP($B408,Kraftvärmeprod!$B$1:$BX$550,MATCH(AC$2,Kraftvärmeprod!$B$1:$VX$1,0),FALSE)/1,0)-IFERROR(VLOOKUP($B408,'Slutlig allokering kvv'!$B$2:$BX$550,MATCH(AC$2,'Slutlig allokering kvv'!$B$1:$BX$1,0),FALSE)/1,0))</f>
        <v/>
      </c>
      <c r="AD408" s="31" t="str">
        <f>IF($D408="","",IFERROR(VLOOKUP($B408,Kraftvärmeprod!$B$1:$BX$550,MATCH(AD$2,Kraftvärmeprod!$B$1:$VX$1,0),FALSE)/1,0)-IFERROR(VLOOKUP($B408,'Slutlig allokering kvv'!$B$2:$BX$550,MATCH(AD$2,'Slutlig allokering kvv'!$B$1:$BX$1,0),FALSE)/1,0))</f>
        <v/>
      </c>
      <c r="AE408" s="31" t="str">
        <f>IF($D408="","",IFERROR(VLOOKUP($B408,Miljö!$B$1:$E$550,MATCH("Hjälpel kraftvärme (GWh)",Miljö!$B$1:$E$1,0),FALSE)/1,0)-IFERROR(VLOOKUP($B408,'Slutlig allokering kvv'!$B$2:$BX$549,MATCH(AE$2,'Slutlig allokering kvv'!$B$1:$BX$1,0),FALSE)/1,0))</f>
        <v/>
      </c>
      <c r="AI408" s="39">
        <f t="shared" si="24"/>
        <v>0</v>
      </c>
      <c r="AK408" s="31" t="str">
        <f>IFERROR(VLOOKUP($B408,'Slutlig allokering kvv'!$B$2:$AX$549,MATCH("Summa slutlig allokerad tillförd energi (utan hjälpel och rökgaskondensering):",'Slutlig allokering kvv'!$B$1:$AX$1,0),FALSE)/1,"")</f>
        <v/>
      </c>
      <c r="AM408" s="31" t="str">
        <f>IFERROR(1-VLOOKUP($B408,'Slutlig allokering kvv'!$B$2:$AX$549,MATCH("Andel av bränsle i kvv som allokerats till värme, exklusive rökgaskondensering och hjälpel",'Slutlig allokering kvv'!$B$1:$AX$1,0),FALSE),"")</f>
        <v/>
      </c>
      <c r="AO408" s="31" t="str">
        <f t="shared" si="25"/>
        <v/>
      </c>
      <c r="AP408" s="31" t="str">
        <f t="shared" si="26"/>
        <v/>
      </c>
      <c r="AR408" s="32" t="str">
        <f t="shared" si="27"/>
        <v/>
      </c>
    </row>
    <row r="409" spans="3:44" s="31" customFormat="1" x14ac:dyDescent="0.45">
      <c r="C409" s="31" t="str">
        <f>IFERROR(VLOOKUP($B409,Kraftvärmeprod!$B$1:$AH$479,MATCH(C$2,Kraftvärmeprod!$B$1:$AG$1,0),FALSE)/1,"")</f>
        <v/>
      </c>
      <c r="D409" s="31" t="str">
        <f>IFERROR(VLOOKUP($B409,Kraftvärmeprod!$B$1:$AH$479,MATCH(D$2,Kraftvärmeprod!$B$1:$AG$1,0),FALSE)/1,"")</f>
        <v/>
      </c>
      <c r="F409" s="31" t="str">
        <f>IF($D409="","",IFERROR(VLOOKUP($B409,Kraftvärmeprod!$B$1:$BX$550,MATCH(F$2,Kraftvärmeprod!$B$1:$VX$1,0),FALSE)/1,0)-IFERROR(VLOOKUP($B409,'Slutlig allokering kvv'!$B$2:$BX$550,MATCH(F$2,'Slutlig allokering kvv'!$B$1:$BX$1,0),FALSE)/1,0))</f>
        <v/>
      </c>
      <c r="G409" s="31" t="str">
        <f>IF($D409="","",IFERROR(VLOOKUP($B409,Kraftvärmeprod!$B$1:$BX$550,MATCH(G$2,Kraftvärmeprod!$B$1:$VX$1,0),FALSE)/1,0)-IFERROR(VLOOKUP($B409,'Slutlig allokering kvv'!$B$2:$BX$550,MATCH(G$2,'Slutlig allokering kvv'!$B$1:$BX$1,0),FALSE)/1,0))</f>
        <v/>
      </c>
      <c r="H409" s="31" t="str">
        <f>IF($D409="","",IFERROR(VLOOKUP($B409,Kraftvärmeprod!$B$1:$BX$550,MATCH(H$2,Kraftvärmeprod!$B$1:$VX$1,0),FALSE)/1,0)-IFERROR(VLOOKUP($B409,'Slutlig allokering kvv'!$B$2:$BX$550,MATCH(H$2,'Slutlig allokering kvv'!$B$1:$BX$1,0),FALSE)/1,0))</f>
        <v/>
      </c>
      <c r="I409" s="31" t="str">
        <f>IF($D409="","",IFERROR(VLOOKUP($B409,Kraftvärmeprod!$B$1:$BX$550,MATCH(I$2,Kraftvärmeprod!$B$1:$VX$1,0),FALSE)/1,0)-IFERROR(VLOOKUP($B409,'Slutlig allokering kvv'!$B$2:$BX$550,MATCH(I$2,'Slutlig allokering kvv'!$B$1:$BX$1,0),FALSE)/1,0))</f>
        <v/>
      </c>
      <c r="J409" s="31" t="str">
        <f>IF($D409="","",IFERROR(VLOOKUP($B409,Kraftvärmeprod!$B$1:$BX$550,MATCH(J$2,Kraftvärmeprod!$B$1:$VX$1,0),FALSE)/1,0)-IFERROR(VLOOKUP($B409,'Slutlig allokering kvv'!$B$2:$BX$550,MATCH(J$2,'Slutlig allokering kvv'!$B$1:$BX$1,0),FALSE)/1,0))</f>
        <v/>
      </c>
      <c r="K409" s="31" t="str">
        <f>IF($D409="","",IFERROR(VLOOKUP($B409,Kraftvärmeprod!$B$1:$BX$550,MATCH(K$2,Kraftvärmeprod!$B$1:$VX$1,0),FALSE)/1,0)-IFERROR(VLOOKUP($B409,'Slutlig allokering kvv'!$B$2:$BX$550,MATCH(K$2,'Slutlig allokering kvv'!$B$1:$BX$1,0),FALSE)/1,0))</f>
        <v/>
      </c>
      <c r="L409" s="31" t="str">
        <f>IF($D409="","",IFERROR(VLOOKUP($B409,Kraftvärmeprod!$B$1:$BX$550,MATCH(L$2,Kraftvärmeprod!$B$1:$VX$1,0),FALSE)/1,0)-IFERROR(VLOOKUP($B409,'Slutlig allokering kvv'!$B$2:$BX$550,MATCH(L$2,'Slutlig allokering kvv'!$B$1:$BX$1,0),FALSE)/1,0))</f>
        <v/>
      </c>
      <c r="M409" s="31" t="str">
        <f>IF($D409="","",IFERROR(VLOOKUP($B409,Kraftvärmeprod!$B$1:$BX$550,MATCH(M$2,Kraftvärmeprod!$B$1:$VX$1,0),FALSE)/1,0)-IFERROR(VLOOKUP($B409,'Slutlig allokering kvv'!$B$2:$BX$550,MATCH(M$2,'Slutlig allokering kvv'!$B$1:$BX$1,0),FALSE)/1,0))</f>
        <v/>
      </c>
      <c r="N409" s="31" t="str">
        <f>IF($D409="","",IFERROR(VLOOKUP($B409,Kraftvärmeprod!$B$1:$BX$550,MATCH(N$2,Kraftvärmeprod!$B$1:$VX$1,0),FALSE)/1,0)-IFERROR(VLOOKUP($B409,'Slutlig allokering kvv'!$B$2:$BX$550,MATCH(N$2,'Slutlig allokering kvv'!$B$1:$BX$1,0),FALSE)/1,0))</f>
        <v/>
      </c>
      <c r="O409" s="31" t="str">
        <f>IF($D409="","",IFERROR(VLOOKUP($B409,Kraftvärmeprod!$B$1:$BX$550,MATCH(O$2,Kraftvärmeprod!$B$1:$VX$1,0),FALSE)/1,0)-IFERROR(VLOOKUP($B409,'Slutlig allokering kvv'!$B$2:$BX$550,MATCH(O$2,'Slutlig allokering kvv'!$B$1:$BX$1,0),FALSE)/1,0))</f>
        <v/>
      </c>
      <c r="P409" s="31" t="str">
        <f>IF($D409="","",IFERROR(VLOOKUP($B409,Kraftvärmeprod!$B$1:$BX$550,MATCH(P$2,Kraftvärmeprod!$B$1:$VX$1,0),FALSE)/1,0)-IFERROR(VLOOKUP($B409,'Slutlig allokering kvv'!$B$2:$BX$550,MATCH(P$2,'Slutlig allokering kvv'!$B$1:$BX$1,0),FALSE)/1,0))</f>
        <v/>
      </c>
      <c r="Q409" s="31" t="str">
        <f>IF($D409="","",IFERROR(VLOOKUP($B409,Kraftvärmeprod!$B$1:$BX$550,MATCH(Q$2,Kraftvärmeprod!$B$1:$VX$1,0),FALSE)/1,0)-IFERROR(VLOOKUP($B409,'Slutlig allokering kvv'!$B$2:$BX$550,MATCH(Q$2,'Slutlig allokering kvv'!$B$1:$BX$1,0),FALSE)/1,0))</f>
        <v/>
      </c>
      <c r="R409" s="31" t="str">
        <f>IF($D409="","",IFERROR(VLOOKUP($B409,Kraftvärmeprod!$B$1:$BX$550,MATCH(R$2,Kraftvärmeprod!$B$1:$VX$1,0),FALSE)/1,0)-IFERROR(VLOOKUP($B409,'Slutlig allokering kvv'!$B$2:$BX$550,MATCH(R$2,'Slutlig allokering kvv'!$B$1:$BX$1,0),FALSE)/1,0))</f>
        <v/>
      </c>
      <c r="S409" s="31" t="str">
        <f>IF($D409="","",IFERROR(VLOOKUP($B409,Kraftvärmeprod!$B$1:$BX$550,MATCH(S$2,Kraftvärmeprod!$B$1:$VX$1,0),FALSE)/1,0)-IFERROR(VLOOKUP($B409,'Slutlig allokering kvv'!$B$2:$BX$550,MATCH(S$2,'Slutlig allokering kvv'!$B$1:$BX$1,0),FALSE)/1,0))</f>
        <v/>
      </c>
      <c r="T409" s="31" t="str">
        <f>IF($D409="","",IFERROR(VLOOKUP($B409,Kraftvärmeprod!$B$1:$BX$550,MATCH(T$2,Kraftvärmeprod!$B$1:$VX$1,0),FALSE)/1,0)-IFERROR(VLOOKUP($B409,'Slutlig allokering kvv'!$B$2:$BX$550,MATCH(T$2,'Slutlig allokering kvv'!$B$1:$BX$1,0),FALSE)/1,0))</f>
        <v/>
      </c>
      <c r="U409" s="31" t="str">
        <f>IF($D409="","",IFERROR(VLOOKUP($B409,Kraftvärmeprod!$B$1:$BX$550,MATCH(U$2,Kraftvärmeprod!$B$1:$VX$1,0),FALSE)/1,0)-IFERROR(VLOOKUP($B409,'Slutlig allokering kvv'!$B$2:$BX$550,MATCH(U$2,'Slutlig allokering kvv'!$B$1:$BX$1,0),FALSE)/1,0))</f>
        <v/>
      </c>
      <c r="V409" s="31" t="str">
        <f>IF($D409="","",IFERROR(VLOOKUP($B409,Kraftvärmeprod!$B$1:$BX$550,MATCH(V$2,Kraftvärmeprod!$B$1:$VX$1,0),FALSE)/1,0)-IFERROR(VLOOKUP($B409,'Slutlig allokering kvv'!$B$2:$BX$550,MATCH(V$2,'Slutlig allokering kvv'!$B$1:$BX$1,0),FALSE)/1,0))</f>
        <v/>
      </c>
      <c r="W409" s="31" t="str">
        <f>IF($D409="","",IFERROR(VLOOKUP($B409,Kraftvärmeprod!$B$1:$BX$550,MATCH(W$2,Kraftvärmeprod!$B$1:$VX$1,0),FALSE)/1,0)-IFERROR(VLOOKUP($B409,'Slutlig allokering kvv'!$B$2:$BX$550,MATCH(W$2,'Slutlig allokering kvv'!$B$1:$BX$1,0),FALSE)/1,0))</f>
        <v/>
      </c>
      <c r="X409" s="31" t="str">
        <f>IF($D409="","",IFERROR(VLOOKUP($B409,Kraftvärmeprod!$B$1:$BX$550,MATCH(X$2,Kraftvärmeprod!$B$1:$VX$1,0),FALSE)/1,0)-IFERROR(VLOOKUP($B409,'Slutlig allokering kvv'!$B$2:$BX$550,MATCH(X$2,'Slutlig allokering kvv'!$B$1:$BX$1,0),FALSE)/1,0))</f>
        <v/>
      </c>
      <c r="Y409" s="31" t="str">
        <f>IF($D409="","",IFERROR(VLOOKUP($B409,Kraftvärmeprod!$B$1:$BX$550,MATCH(Y$2,Kraftvärmeprod!$B$1:$VX$1,0),FALSE)/1,0)-IFERROR(VLOOKUP($B409,'Slutlig allokering kvv'!$B$2:$BX$550,MATCH(Y$2,'Slutlig allokering kvv'!$B$1:$BX$1,0),FALSE)/1,0))</f>
        <v/>
      </c>
      <c r="Z409" s="31" t="str">
        <f>IF($D409="","",IFERROR(VLOOKUP($B409,Kraftvärmeprod!$B$1:$BX$550,MATCH(Z$2,Kraftvärmeprod!$B$1:$VX$1,0),FALSE)/1,0)-IFERROR(VLOOKUP($B409,'Slutlig allokering kvv'!$B$2:$BX$550,MATCH(Z$2,'Slutlig allokering kvv'!$B$1:$BX$1,0),FALSE)/1,0))</f>
        <v/>
      </c>
      <c r="AA409" s="31" t="str">
        <f>IF($D409="","",IFERROR(VLOOKUP($B409,Kraftvärmeprod!$B$1:$BX$550,MATCH(AA$2,Kraftvärmeprod!$B$1:$VX$1,0),FALSE)/1,0)-IFERROR(VLOOKUP($B409,'Slutlig allokering kvv'!$B$2:$BX$550,MATCH(AA$2,'Slutlig allokering kvv'!$B$1:$BX$1,0),FALSE)/1,0))</f>
        <v/>
      </c>
      <c r="AB409" s="31" t="str">
        <f>IF($D409="","",IFERROR(VLOOKUP($B409,Kraftvärmeprod!$B$1:$BX$550,MATCH(AB$2,Kraftvärmeprod!$B$1:$VX$1,0),FALSE)/1,0)-IFERROR(VLOOKUP($B409,'Slutlig allokering kvv'!$B$2:$BX$550,MATCH(AB$2,'Slutlig allokering kvv'!$B$1:$BX$1,0),FALSE)/1,0))</f>
        <v/>
      </c>
      <c r="AC409" s="31" t="str">
        <f>IF($D409="","",IFERROR(VLOOKUP($B409,Kraftvärmeprod!$B$1:$BX$550,MATCH(AC$2,Kraftvärmeprod!$B$1:$VX$1,0),FALSE)/1,0)-IFERROR(VLOOKUP($B409,'Slutlig allokering kvv'!$B$2:$BX$550,MATCH(AC$2,'Slutlig allokering kvv'!$B$1:$BX$1,0),FALSE)/1,0))</f>
        <v/>
      </c>
      <c r="AD409" s="31" t="str">
        <f>IF($D409="","",IFERROR(VLOOKUP($B409,Kraftvärmeprod!$B$1:$BX$550,MATCH(AD$2,Kraftvärmeprod!$B$1:$VX$1,0),FALSE)/1,0)-IFERROR(VLOOKUP($B409,'Slutlig allokering kvv'!$B$2:$BX$550,MATCH(AD$2,'Slutlig allokering kvv'!$B$1:$BX$1,0),FALSE)/1,0))</f>
        <v/>
      </c>
      <c r="AE409" s="31" t="str">
        <f>IF($D409="","",IFERROR(VLOOKUP($B409,Miljö!$B$1:$E$550,MATCH("Hjälpel kraftvärme (GWh)",Miljö!$B$1:$E$1,0),FALSE)/1,0)-IFERROR(VLOOKUP($B409,'Slutlig allokering kvv'!$B$2:$BX$549,MATCH(AE$2,'Slutlig allokering kvv'!$B$1:$BX$1,0),FALSE)/1,0))</f>
        <v/>
      </c>
      <c r="AI409" s="39">
        <f t="shared" si="24"/>
        <v>0</v>
      </c>
      <c r="AK409" s="31" t="str">
        <f>IFERROR(VLOOKUP($B409,'Slutlig allokering kvv'!$B$2:$AX$549,MATCH("Summa slutlig allokerad tillförd energi (utan hjälpel och rökgaskondensering):",'Slutlig allokering kvv'!$B$1:$AX$1,0),FALSE)/1,"")</f>
        <v/>
      </c>
      <c r="AM409" s="31" t="str">
        <f>IFERROR(1-VLOOKUP($B409,'Slutlig allokering kvv'!$B$2:$AX$549,MATCH("Andel av bränsle i kvv som allokerats till värme, exklusive rökgaskondensering och hjälpel",'Slutlig allokering kvv'!$B$1:$AX$1,0),FALSE),"")</f>
        <v/>
      </c>
      <c r="AO409" s="31" t="str">
        <f t="shared" si="25"/>
        <v/>
      </c>
      <c r="AP409" s="31" t="str">
        <f t="shared" si="26"/>
        <v/>
      </c>
      <c r="AR409" s="32" t="str">
        <f t="shared" si="27"/>
        <v/>
      </c>
    </row>
    <row r="410" spans="3:44" x14ac:dyDescent="0.45">
      <c r="AK410" s="31" t="str">
        <f>IFERROR(VLOOKUP($B410,'Slutlig allokering kvv'!$B$2:$AX$549,MATCH("Summa slutlig allokerad tillförd energi (utan hjälpel och rökgaskondensering):",'Slutlig allokering kvv'!$B$1:$AX$1,0),FALSE)/1,"")</f>
        <v/>
      </c>
      <c r="AR410" s="32" t="str">
        <f t="shared" si="27"/>
        <v/>
      </c>
    </row>
  </sheetData>
  <autoFilter ref="A2:BA409" xr:uid="{CE0FB177-C6B7-42DF-B7E4-A8C504154188}">
    <sortState xmlns:xlrd2="http://schemas.microsoft.com/office/spreadsheetml/2017/richdata2" ref="A3:BA409">
      <sortCondition ref="A2"/>
    </sortState>
  </autoFilter>
  <mergeCells count="1">
    <mergeCell ref="A1:B1"/>
  </mergeCells>
  <conditionalFormatting sqref="B1">
    <cfRule type="duplicateValues" dxfId="57" priority="6"/>
  </conditionalFormatting>
  <conditionalFormatting sqref="B1">
    <cfRule type="duplicateValues" dxfId="56" priority="5"/>
  </conditionalFormatting>
  <conditionalFormatting sqref="B1:B2 B368:B1048576">
    <cfRule type="duplicateValues" dxfId="55" priority="4"/>
  </conditionalFormatting>
  <conditionalFormatting sqref="B3:B367">
    <cfRule type="duplicateValues" dxfId="54" priority="1"/>
    <cfRule type="duplicateValues" dxfId="53" priority="2"/>
    <cfRule type="duplicateValues" dxfId="52" priority="3"/>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F8499-4B71-485A-947C-88DE6E138030}">
  <sheetPr codeName="Blad9">
    <tabColor theme="9" tint="0.39997558519241921"/>
  </sheetPr>
  <dimension ref="A1:J409"/>
  <sheetViews>
    <sheetView workbookViewId="0">
      <selection activeCell="B345" sqref="B345"/>
    </sheetView>
  </sheetViews>
  <sheetFormatPr defaultColWidth="9.1328125" defaultRowHeight="15" customHeight="1" x14ac:dyDescent="0.45"/>
  <cols>
    <col min="1" max="1" width="43.73046875" style="2" bestFit="1" customWidth="1"/>
    <col min="2" max="2" width="48" style="2" bestFit="1" customWidth="1"/>
    <col min="3" max="3" width="9.1328125" style="2"/>
    <col min="4" max="4" width="12" style="2" customWidth="1"/>
    <col min="5" max="5" width="12.59765625" style="2" customWidth="1"/>
    <col min="6" max="6" width="11.3984375" style="2" customWidth="1"/>
    <col min="7" max="7" width="11.1328125" style="2" customWidth="1"/>
    <col min="8" max="8" width="11.73046875" style="2" customWidth="1"/>
    <col min="9" max="9" width="13.1328125" style="2" customWidth="1"/>
    <col min="10" max="10" width="13.59765625" style="2" customWidth="1"/>
    <col min="11" max="16384" width="9.1328125" style="2"/>
  </cols>
  <sheetData>
    <row r="1" spans="1:10" s="24" customFormat="1" ht="71.650000000000006" thickBot="1" x14ac:dyDescent="0.5">
      <c r="A1" s="23" t="s">
        <v>724</v>
      </c>
      <c r="B1" s="23" t="s">
        <v>2</v>
      </c>
      <c r="C1" s="23" t="s">
        <v>723</v>
      </c>
      <c r="D1" s="23" t="s">
        <v>902</v>
      </c>
      <c r="E1" s="23" t="s">
        <v>901</v>
      </c>
      <c r="F1" s="23" t="s">
        <v>900</v>
      </c>
      <c r="G1" s="23" t="s">
        <v>899</v>
      </c>
      <c r="H1" s="23" t="s">
        <v>898</v>
      </c>
      <c r="I1" s="23" t="s">
        <v>897</v>
      </c>
      <c r="J1" s="23" t="s">
        <v>896</v>
      </c>
    </row>
    <row r="2" spans="1:10" ht="15" customHeight="1" x14ac:dyDescent="0.45">
      <c r="A2" s="2" t="s">
        <v>15</v>
      </c>
      <c r="B2" s="2" t="s">
        <v>16</v>
      </c>
      <c r="C2" s="2">
        <v>2019</v>
      </c>
      <c r="D2" s="2" t="s">
        <v>146</v>
      </c>
      <c r="E2" s="2" t="s">
        <v>49</v>
      </c>
      <c r="F2" s="2" t="s">
        <v>146</v>
      </c>
      <c r="G2" s="2" t="s">
        <v>49</v>
      </c>
      <c r="H2" s="2" t="s">
        <v>146</v>
      </c>
      <c r="I2" s="2" t="s">
        <v>49</v>
      </c>
      <c r="J2" s="2" t="s">
        <v>146</v>
      </c>
    </row>
    <row r="3" spans="1:10" ht="15" customHeight="1" x14ac:dyDescent="0.45">
      <c r="A3" s="2" t="s">
        <v>15</v>
      </c>
      <c r="B3" s="2" t="s">
        <v>18</v>
      </c>
      <c r="C3" s="2">
        <v>2019</v>
      </c>
      <c r="D3" s="2" t="s">
        <v>146</v>
      </c>
      <c r="E3" s="2" t="s">
        <v>49</v>
      </c>
      <c r="F3" s="2" t="s">
        <v>146</v>
      </c>
      <c r="G3" s="2" t="s">
        <v>49</v>
      </c>
      <c r="H3" s="2" t="s">
        <v>146</v>
      </c>
      <c r="I3" s="2" t="s">
        <v>49</v>
      </c>
      <c r="J3" s="2" t="s">
        <v>146</v>
      </c>
    </row>
    <row r="4" spans="1:10" ht="15" customHeight="1" x14ac:dyDescent="0.45">
      <c r="A4" s="2" t="s">
        <v>15</v>
      </c>
      <c r="B4" s="2" t="s">
        <v>20</v>
      </c>
      <c r="C4" s="2">
        <v>2019</v>
      </c>
      <c r="D4" s="2">
        <v>18.297999999999998</v>
      </c>
      <c r="E4" s="2" t="s">
        <v>895</v>
      </c>
      <c r="F4" s="2">
        <v>18.297999999999998</v>
      </c>
      <c r="G4" s="2" t="s">
        <v>49</v>
      </c>
      <c r="H4" s="2" t="s">
        <v>146</v>
      </c>
      <c r="I4" s="2" t="s">
        <v>49</v>
      </c>
      <c r="J4" s="2" t="s">
        <v>146</v>
      </c>
    </row>
    <row r="5" spans="1:10" ht="15" customHeight="1" x14ac:dyDescent="0.45">
      <c r="A5" s="2" t="s">
        <v>15</v>
      </c>
      <c r="B5" s="2" t="s">
        <v>22</v>
      </c>
      <c r="C5" s="2">
        <v>2019</v>
      </c>
      <c r="D5" s="2" t="s">
        <v>146</v>
      </c>
      <c r="E5" s="2" t="s">
        <v>49</v>
      </c>
      <c r="F5" s="2" t="s">
        <v>146</v>
      </c>
      <c r="G5" s="2" t="s">
        <v>49</v>
      </c>
      <c r="H5" s="2" t="s">
        <v>146</v>
      </c>
      <c r="I5" s="2" t="s">
        <v>49</v>
      </c>
      <c r="J5" s="2" t="s">
        <v>146</v>
      </c>
    </row>
    <row r="6" spans="1:10" ht="15" customHeight="1" x14ac:dyDescent="0.45">
      <c r="A6" s="2" t="s">
        <v>15</v>
      </c>
      <c r="B6" s="2" t="s">
        <v>24</v>
      </c>
      <c r="C6" s="2">
        <v>2019</v>
      </c>
      <c r="D6" s="2" t="s">
        <v>146</v>
      </c>
      <c r="E6" s="2" t="s">
        <v>49</v>
      </c>
      <c r="F6" s="2" t="s">
        <v>146</v>
      </c>
      <c r="G6" s="2" t="s">
        <v>49</v>
      </c>
      <c r="H6" s="2" t="s">
        <v>146</v>
      </c>
      <c r="I6" s="2" t="s">
        <v>49</v>
      </c>
      <c r="J6" s="2" t="s">
        <v>146</v>
      </c>
    </row>
    <row r="7" spans="1:10" ht="15" customHeight="1" x14ac:dyDescent="0.45">
      <c r="A7" s="2" t="s">
        <v>15</v>
      </c>
      <c r="B7" s="2" t="s">
        <v>26</v>
      </c>
      <c r="C7" s="2">
        <v>2019</v>
      </c>
      <c r="D7" s="2" t="s">
        <v>146</v>
      </c>
      <c r="E7" s="2" t="s">
        <v>49</v>
      </c>
      <c r="F7" s="2" t="s">
        <v>146</v>
      </c>
      <c r="G7" s="2" t="s">
        <v>49</v>
      </c>
      <c r="H7" s="2" t="s">
        <v>146</v>
      </c>
      <c r="I7" s="2" t="s">
        <v>49</v>
      </c>
      <c r="J7" s="2" t="s">
        <v>146</v>
      </c>
    </row>
    <row r="8" spans="1:10" ht="15" customHeight="1" x14ac:dyDescent="0.45">
      <c r="A8" s="2" t="s">
        <v>15</v>
      </c>
      <c r="B8" s="2" t="s">
        <v>28</v>
      </c>
      <c r="C8" s="2">
        <v>2019</v>
      </c>
      <c r="D8" s="2">
        <v>71.063000000000002</v>
      </c>
      <c r="E8" s="2" t="s">
        <v>894</v>
      </c>
      <c r="F8" s="2">
        <v>71.063000000000002</v>
      </c>
      <c r="G8" s="2" t="s">
        <v>49</v>
      </c>
      <c r="H8" s="2" t="s">
        <v>146</v>
      </c>
      <c r="I8" s="2" t="s">
        <v>49</v>
      </c>
      <c r="J8" s="2" t="s">
        <v>146</v>
      </c>
    </row>
    <row r="9" spans="1:10" ht="15" customHeight="1" x14ac:dyDescent="0.45">
      <c r="A9" s="2" t="s">
        <v>15</v>
      </c>
      <c r="B9" s="2" t="s">
        <v>30</v>
      </c>
      <c r="C9" s="2">
        <v>2019</v>
      </c>
      <c r="D9" s="2" t="s">
        <v>146</v>
      </c>
      <c r="E9" s="2" t="s">
        <v>49</v>
      </c>
      <c r="F9" s="2" t="s">
        <v>146</v>
      </c>
      <c r="G9" s="2" t="s">
        <v>49</v>
      </c>
      <c r="H9" s="2" t="s">
        <v>146</v>
      </c>
      <c r="I9" s="2" t="s">
        <v>49</v>
      </c>
      <c r="J9" s="2" t="s">
        <v>146</v>
      </c>
    </row>
    <row r="10" spans="1:10" ht="15" customHeight="1" x14ac:dyDescent="0.45">
      <c r="A10" s="2" t="s">
        <v>15</v>
      </c>
      <c r="B10" s="2" t="s">
        <v>32</v>
      </c>
      <c r="C10" s="2">
        <v>2019</v>
      </c>
      <c r="D10" s="2" t="s">
        <v>146</v>
      </c>
      <c r="E10" s="2" t="s">
        <v>49</v>
      </c>
      <c r="F10" s="2" t="s">
        <v>146</v>
      </c>
      <c r="G10" s="2" t="s">
        <v>49</v>
      </c>
      <c r="H10" s="2" t="s">
        <v>146</v>
      </c>
      <c r="I10" s="2" t="s">
        <v>49</v>
      </c>
      <c r="J10" s="2" t="s">
        <v>146</v>
      </c>
    </row>
    <row r="11" spans="1:10" ht="15" customHeight="1" x14ac:dyDescent="0.45">
      <c r="A11" s="2" t="s">
        <v>672</v>
      </c>
      <c r="B11" s="2" t="s">
        <v>681</v>
      </c>
      <c r="C11" s="2">
        <v>2019</v>
      </c>
      <c r="D11" s="2" t="s">
        <v>146</v>
      </c>
      <c r="E11" s="2" t="s">
        <v>49</v>
      </c>
      <c r="F11" s="2" t="s">
        <v>146</v>
      </c>
      <c r="G11" s="2" t="s">
        <v>49</v>
      </c>
      <c r="H11" s="2" t="s">
        <v>146</v>
      </c>
      <c r="I11" s="2" t="s">
        <v>49</v>
      </c>
      <c r="J11" s="2" t="s">
        <v>146</v>
      </c>
    </row>
    <row r="12" spans="1:10" ht="15" customHeight="1" x14ac:dyDescent="0.45">
      <c r="A12" s="2" t="s">
        <v>672</v>
      </c>
      <c r="B12" s="2" t="s">
        <v>680</v>
      </c>
      <c r="C12" s="2">
        <v>2019</v>
      </c>
      <c r="D12" s="2" t="s">
        <v>146</v>
      </c>
      <c r="E12" s="2" t="s">
        <v>49</v>
      </c>
      <c r="F12" s="2" t="s">
        <v>146</v>
      </c>
      <c r="G12" s="2" t="s">
        <v>49</v>
      </c>
      <c r="H12" s="2" t="s">
        <v>146</v>
      </c>
      <c r="I12" s="2" t="s">
        <v>49</v>
      </c>
      <c r="J12" s="2" t="s">
        <v>146</v>
      </c>
    </row>
    <row r="13" spans="1:10" ht="15" customHeight="1" x14ac:dyDescent="0.45">
      <c r="A13" s="2" t="s">
        <v>672</v>
      </c>
      <c r="B13" s="2" t="s">
        <v>679</v>
      </c>
      <c r="C13" s="2">
        <v>2019</v>
      </c>
      <c r="D13" s="2" t="s">
        <v>146</v>
      </c>
      <c r="E13" s="2" t="s">
        <v>49</v>
      </c>
      <c r="F13" s="2" t="s">
        <v>146</v>
      </c>
      <c r="G13" s="2" t="s">
        <v>49</v>
      </c>
      <c r="H13" s="2" t="s">
        <v>146</v>
      </c>
      <c r="I13" s="2" t="s">
        <v>49</v>
      </c>
      <c r="J13" s="2" t="s">
        <v>146</v>
      </c>
    </row>
    <row r="14" spans="1:10" ht="15" customHeight="1" x14ac:dyDescent="0.45">
      <c r="A14" s="2" t="s">
        <v>672</v>
      </c>
      <c r="B14" s="2" t="s">
        <v>678</v>
      </c>
      <c r="C14" s="2">
        <v>2019</v>
      </c>
      <c r="D14" s="2" t="s">
        <v>146</v>
      </c>
      <c r="E14" s="2" t="s">
        <v>49</v>
      </c>
      <c r="F14" s="2" t="s">
        <v>146</v>
      </c>
      <c r="G14" s="2" t="s">
        <v>49</v>
      </c>
      <c r="H14" s="2" t="s">
        <v>146</v>
      </c>
      <c r="I14" s="2" t="s">
        <v>49</v>
      </c>
      <c r="J14" s="2" t="s">
        <v>146</v>
      </c>
    </row>
    <row r="15" spans="1:10" ht="15" customHeight="1" x14ac:dyDescent="0.45">
      <c r="A15" s="2" t="s">
        <v>672</v>
      </c>
      <c r="B15" s="2" t="s">
        <v>677</v>
      </c>
      <c r="C15" s="2">
        <v>2019</v>
      </c>
      <c r="D15" s="2" t="s">
        <v>146</v>
      </c>
      <c r="E15" s="2" t="s">
        <v>49</v>
      </c>
      <c r="F15" s="2" t="s">
        <v>146</v>
      </c>
      <c r="G15" s="2" t="s">
        <v>49</v>
      </c>
      <c r="H15" s="2" t="s">
        <v>146</v>
      </c>
      <c r="I15" s="2" t="s">
        <v>49</v>
      </c>
      <c r="J15" s="2" t="s">
        <v>146</v>
      </c>
    </row>
    <row r="16" spans="1:10" ht="15" customHeight="1" x14ac:dyDescent="0.45">
      <c r="A16" s="2" t="s">
        <v>672</v>
      </c>
      <c r="B16" s="2" t="s">
        <v>676</v>
      </c>
      <c r="C16" s="2">
        <v>2019</v>
      </c>
      <c r="D16" s="2" t="s">
        <v>146</v>
      </c>
      <c r="E16" s="2" t="s">
        <v>49</v>
      </c>
      <c r="F16" s="2" t="s">
        <v>146</v>
      </c>
      <c r="G16" s="2" t="s">
        <v>49</v>
      </c>
      <c r="H16" s="2" t="s">
        <v>146</v>
      </c>
      <c r="I16" s="2" t="s">
        <v>49</v>
      </c>
      <c r="J16" s="2" t="s">
        <v>146</v>
      </c>
    </row>
    <row r="17" spans="1:10" ht="15" customHeight="1" x14ac:dyDescent="0.45">
      <c r="A17" s="2" t="s">
        <v>672</v>
      </c>
      <c r="B17" s="2" t="s">
        <v>675</v>
      </c>
      <c r="C17" s="2">
        <v>2019</v>
      </c>
      <c r="D17" s="2" t="s">
        <v>146</v>
      </c>
      <c r="E17" s="2" t="s">
        <v>49</v>
      </c>
      <c r="F17" s="2" t="s">
        <v>146</v>
      </c>
      <c r="G17" s="2" t="s">
        <v>49</v>
      </c>
      <c r="H17" s="2" t="s">
        <v>146</v>
      </c>
      <c r="I17" s="2" t="s">
        <v>49</v>
      </c>
      <c r="J17" s="2" t="s">
        <v>146</v>
      </c>
    </row>
    <row r="18" spans="1:10" ht="15" customHeight="1" x14ac:dyDescent="0.45">
      <c r="A18" s="2" t="s">
        <v>672</v>
      </c>
      <c r="B18" s="2" t="s">
        <v>674</v>
      </c>
      <c r="C18" s="2">
        <v>2019</v>
      </c>
      <c r="D18" s="2" t="s">
        <v>146</v>
      </c>
      <c r="E18" s="2" t="s">
        <v>49</v>
      </c>
      <c r="F18" s="2" t="s">
        <v>146</v>
      </c>
      <c r="G18" s="2" t="s">
        <v>49</v>
      </c>
      <c r="H18" s="2" t="s">
        <v>146</v>
      </c>
      <c r="I18" s="2" t="s">
        <v>49</v>
      </c>
      <c r="J18" s="2" t="s">
        <v>146</v>
      </c>
    </row>
    <row r="19" spans="1:10" ht="15" customHeight="1" x14ac:dyDescent="0.45">
      <c r="A19" s="2" t="s">
        <v>672</v>
      </c>
      <c r="B19" s="2" t="s">
        <v>673</v>
      </c>
      <c r="C19" s="2">
        <v>2019</v>
      </c>
      <c r="D19" s="2" t="s">
        <v>146</v>
      </c>
      <c r="E19" s="2" t="s">
        <v>49</v>
      </c>
      <c r="F19" s="2" t="s">
        <v>146</v>
      </c>
      <c r="G19" s="2" t="s">
        <v>49</v>
      </c>
      <c r="H19" s="2" t="s">
        <v>146</v>
      </c>
      <c r="I19" s="2" t="s">
        <v>49</v>
      </c>
      <c r="J19" s="2" t="s">
        <v>146</v>
      </c>
    </row>
    <row r="20" spans="1:10" ht="15" customHeight="1" x14ac:dyDescent="0.45">
      <c r="A20" s="2" t="s">
        <v>672</v>
      </c>
      <c r="B20" s="2" t="s">
        <v>671</v>
      </c>
      <c r="C20" s="2">
        <v>2019</v>
      </c>
      <c r="D20" s="2" t="s">
        <v>146</v>
      </c>
      <c r="E20" s="2" t="s">
        <v>49</v>
      </c>
      <c r="F20" s="2" t="s">
        <v>146</v>
      </c>
      <c r="G20" s="2" t="s">
        <v>49</v>
      </c>
      <c r="H20" s="2" t="s">
        <v>146</v>
      </c>
      <c r="I20" s="2" t="s">
        <v>49</v>
      </c>
      <c r="J20" s="2" t="s">
        <v>146</v>
      </c>
    </row>
    <row r="21" spans="1:10" ht="15" customHeight="1" x14ac:dyDescent="0.45">
      <c r="A21" s="2" t="s">
        <v>666</v>
      </c>
      <c r="B21" s="2" t="s">
        <v>670</v>
      </c>
      <c r="C21" s="2">
        <v>2019</v>
      </c>
      <c r="D21" s="2" t="s">
        <v>146</v>
      </c>
      <c r="E21" s="2" t="s">
        <v>49</v>
      </c>
      <c r="F21" s="2" t="s">
        <v>146</v>
      </c>
      <c r="G21" s="2" t="s">
        <v>49</v>
      </c>
      <c r="H21" s="2" t="s">
        <v>146</v>
      </c>
      <c r="I21" s="2" t="s">
        <v>49</v>
      </c>
      <c r="J21" s="2" t="s">
        <v>146</v>
      </c>
    </row>
    <row r="22" spans="1:10" ht="15" customHeight="1" x14ac:dyDescent="0.45">
      <c r="A22" s="2" t="s">
        <v>666</v>
      </c>
      <c r="B22" s="2" t="s">
        <v>669</v>
      </c>
      <c r="C22" s="2">
        <v>2019</v>
      </c>
      <c r="D22" s="2" t="s">
        <v>146</v>
      </c>
      <c r="E22" s="2" t="s">
        <v>49</v>
      </c>
      <c r="F22" s="2" t="s">
        <v>146</v>
      </c>
      <c r="G22" s="2" t="s">
        <v>49</v>
      </c>
      <c r="H22" s="2" t="s">
        <v>146</v>
      </c>
      <c r="I22" s="2" t="s">
        <v>49</v>
      </c>
      <c r="J22" s="2" t="s">
        <v>146</v>
      </c>
    </row>
    <row r="23" spans="1:10" ht="15" customHeight="1" x14ac:dyDescent="0.45">
      <c r="A23" s="2" t="s">
        <v>666</v>
      </c>
      <c r="B23" s="2" t="s">
        <v>668</v>
      </c>
      <c r="C23" s="2">
        <v>2019</v>
      </c>
      <c r="D23" s="2" t="s">
        <v>146</v>
      </c>
      <c r="E23" s="2" t="s">
        <v>49</v>
      </c>
      <c r="F23" s="2" t="s">
        <v>146</v>
      </c>
      <c r="G23" s="2" t="s">
        <v>49</v>
      </c>
      <c r="H23" s="2" t="s">
        <v>146</v>
      </c>
      <c r="I23" s="2" t="s">
        <v>49</v>
      </c>
      <c r="J23" s="2" t="s">
        <v>146</v>
      </c>
    </row>
    <row r="24" spans="1:10" ht="15" customHeight="1" x14ac:dyDescent="0.45">
      <c r="A24" s="2" t="s">
        <v>666</v>
      </c>
      <c r="B24" s="2" t="s">
        <v>667</v>
      </c>
      <c r="C24" s="2">
        <v>2019</v>
      </c>
      <c r="D24" s="2" t="s">
        <v>146</v>
      </c>
      <c r="E24" s="2" t="s">
        <v>49</v>
      </c>
      <c r="F24" s="2" t="s">
        <v>146</v>
      </c>
      <c r="G24" s="2" t="s">
        <v>49</v>
      </c>
      <c r="H24" s="2" t="s">
        <v>146</v>
      </c>
      <c r="I24" s="2" t="s">
        <v>49</v>
      </c>
      <c r="J24" s="2" t="s">
        <v>146</v>
      </c>
    </row>
    <row r="25" spans="1:10" ht="15" customHeight="1" x14ac:dyDescent="0.45">
      <c r="A25" s="2" t="s">
        <v>666</v>
      </c>
      <c r="B25" s="2" t="s">
        <v>665</v>
      </c>
      <c r="C25" s="2">
        <v>2019</v>
      </c>
      <c r="D25" s="2" t="s">
        <v>146</v>
      </c>
      <c r="E25" s="2" t="s">
        <v>49</v>
      </c>
      <c r="F25" s="2" t="s">
        <v>146</v>
      </c>
      <c r="G25" s="2" t="s">
        <v>49</v>
      </c>
      <c r="H25" s="2" t="s">
        <v>146</v>
      </c>
      <c r="I25" s="2" t="s">
        <v>49</v>
      </c>
      <c r="J25" s="2" t="s">
        <v>146</v>
      </c>
    </row>
    <row r="26" spans="1:10" ht="15" customHeight="1" x14ac:dyDescent="0.45">
      <c r="A26" s="2" t="s">
        <v>664</v>
      </c>
      <c r="B26" s="2" t="s">
        <v>663</v>
      </c>
      <c r="C26" s="2">
        <v>2019</v>
      </c>
      <c r="D26" s="2" t="s">
        <v>146</v>
      </c>
      <c r="E26" s="2" t="s">
        <v>49</v>
      </c>
      <c r="F26" s="2" t="s">
        <v>146</v>
      </c>
      <c r="G26" s="2" t="s">
        <v>49</v>
      </c>
      <c r="H26" s="2" t="s">
        <v>146</v>
      </c>
      <c r="I26" s="2" t="s">
        <v>49</v>
      </c>
      <c r="J26" s="2" t="s">
        <v>146</v>
      </c>
    </row>
    <row r="27" spans="1:10" ht="15" customHeight="1" x14ac:dyDescent="0.45">
      <c r="A27" s="2" t="s">
        <v>660</v>
      </c>
      <c r="B27" s="2" t="s">
        <v>662</v>
      </c>
      <c r="C27" s="2">
        <v>2019</v>
      </c>
      <c r="D27" s="2" t="s">
        <v>146</v>
      </c>
      <c r="E27" s="2" t="s">
        <v>658</v>
      </c>
      <c r="F27" s="2" t="s">
        <v>146</v>
      </c>
      <c r="G27" s="2" t="s">
        <v>658</v>
      </c>
      <c r="H27" s="2" t="s">
        <v>146</v>
      </c>
      <c r="I27" s="2" t="s">
        <v>658</v>
      </c>
      <c r="J27" s="2" t="s">
        <v>146</v>
      </c>
    </row>
    <row r="28" spans="1:10" ht="15" customHeight="1" x14ac:dyDescent="0.45">
      <c r="A28" s="2" t="s">
        <v>660</v>
      </c>
      <c r="B28" s="2" t="s">
        <v>661</v>
      </c>
      <c r="C28" s="2">
        <v>2019</v>
      </c>
      <c r="D28" s="2" t="s">
        <v>146</v>
      </c>
      <c r="E28" s="2" t="s">
        <v>658</v>
      </c>
      <c r="F28" s="2" t="s">
        <v>146</v>
      </c>
      <c r="G28" s="2" t="s">
        <v>658</v>
      </c>
      <c r="H28" s="2" t="s">
        <v>146</v>
      </c>
      <c r="I28" s="2" t="s">
        <v>658</v>
      </c>
      <c r="J28" s="2" t="s">
        <v>146</v>
      </c>
    </row>
    <row r="29" spans="1:10" ht="15" customHeight="1" x14ac:dyDescent="0.45">
      <c r="A29" s="2" t="s">
        <v>660</v>
      </c>
      <c r="B29" s="2" t="s">
        <v>659</v>
      </c>
      <c r="C29" s="2">
        <v>2019</v>
      </c>
      <c r="D29" s="2" t="s">
        <v>146</v>
      </c>
      <c r="E29" s="2" t="s">
        <v>49</v>
      </c>
      <c r="F29" s="2" t="s">
        <v>146</v>
      </c>
      <c r="G29" s="2" t="s">
        <v>49</v>
      </c>
      <c r="H29" s="2" t="s">
        <v>146</v>
      </c>
      <c r="I29" s="2" t="s">
        <v>49</v>
      </c>
      <c r="J29" s="2" t="s">
        <v>146</v>
      </c>
    </row>
    <row r="30" spans="1:10" ht="15" customHeight="1" x14ac:dyDescent="0.45">
      <c r="A30" s="2" t="s">
        <v>657</v>
      </c>
      <c r="B30" s="2" t="s">
        <v>656</v>
      </c>
      <c r="C30" s="2">
        <v>2019</v>
      </c>
      <c r="D30" s="2" t="s">
        <v>146</v>
      </c>
      <c r="E30" s="2" t="s">
        <v>49</v>
      </c>
      <c r="F30" s="2" t="s">
        <v>146</v>
      </c>
      <c r="G30" s="2" t="s">
        <v>49</v>
      </c>
      <c r="H30" s="2" t="s">
        <v>146</v>
      </c>
      <c r="I30" s="2" t="s">
        <v>49</v>
      </c>
      <c r="J30" s="2" t="s">
        <v>146</v>
      </c>
    </row>
    <row r="31" spans="1:10" ht="15" customHeight="1" x14ac:dyDescent="0.45">
      <c r="A31" s="2" t="s">
        <v>53</v>
      </c>
      <c r="B31" s="2" t="s">
        <v>54</v>
      </c>
      <c r="C31" s="2">
        <v>2019</v>
      </c>
      <c r="D31" s="2" t="s">
        <v>146</v>
      </c>
      <c r="E31" s="2" t="s">
        <v>49</v>
      </c>
      <c r="F31" s="2" t="s">
        <v>146</v>
      </c>
      <c r="G31" s="2" t="s">
        <v>49</v>
      </c>
      <c r="H31" s="2" t="s">
        <v>146</v>
      </c>
      <c r="I31" s="2" t="s">
        <v>49</v>
      </c>
      <c r="J31" s="2" t="s">
        <v>146</v>
      </c>
    </row>
    <row r="32" spans="1:10" ht="15" customHeight="1" x14ac:dyDescent="0.45">
      <c r="A32" s="2" t="s">
        <v>655</v>
      </c>
      <c r="B32" s="2" t="s">
        <v>654</v>
      </c>
      <c r="C32" s="2">
        <v>2019</v>
      </c>
      <c r="D32" s="2">
        <v>8.01</v>
      </c>
      <c r="E32" s="2" t="s">
        <v>893</v>
      </c>
      <c r="F32" s="2">
        <v>7.4</v>
      </c>
      <c r="G32" s="2" t="s">
        <v>892</v>
      </c>
      <c r="H32" s="2">
        <v>0.36</v>
      </c>
      <c r="I32" s="2" t="s">
        <v>891</v>
      </c>
      <c r="J32" s="2">
        <v>0.25</v>
      </c>
    </row>
    <row r="33" spans="1:10" ht="15" customHeight="1" x14ac:dyDescent="0.45">
      <c r="A33" s="2" t="s">
        <v>653</v>
      </c>
      <c r="B33" s="2" t="s">
        <v>652</v>
      </c>
      <c r="C33" s="2">
        <v>2019</v>
      </c>
      <c r="D33" s="2">
        <v>8.6</v>
      </c>
      <c r="E33" s="2" t="s">
        <v>890</v>
      </c>
      <c r="F33" s="2">
        <v>8.6</v>
      </c>
      <c r="G33" s="2" t="s">
        <v>49</v>
      </c>
      <c r="H33" s="2" t="s">
        <v>146</v>
      </c>
      <c r="I33" s="2" t="s">
        <v>49</v>
      </c>
      <c r="J33" s="2" t="s">
        <v>146</v>
      </c>
    </row>
    <row r="34" spans="1:10" ht="15" customHeight="1" x14ac:dyDescent="0.45">
      <c r="A34" s="2" t="s">
        <v>651</v>
      </c>
      <c r="B34" s="2" t="s">
        <v>62</v>
      </c>
      <c r="C34" s="2">
        <v>2019</v>
      </c>
      <c r="D34" s="2" t="s">
        <v>146</v>
      </c>
      <c r="E34" s="2" t="s">
        <v>146</v>
      </c>
      <c r="F34" s="2" t="s">
        <v>146</v>
      </c>
      <c r="G34" s="2" t="s">
        <v>146</v>
      </c>
      <c r="H34" s="2" t="s">
        <v>146</v>
      </c>
      <c r="I34" s="2" t="s">
        <v>146</v>
      </c>
      <c r="J34" s="2" t="s">
        <v>146</v>
      </c>
    </row>
    <row r="35" spans="1:10" ht="15" customHeight="1" x14ac:dyDescent="0.45">
      <c r="A35" s="2" t="s">
        <v>647</v>
      </c>
      <c r="B35" s="2" t="s">
        <v>650</v>
      </c>
      <c r="C35" s="2">
        <v>2019</v>
      </c>
      <c r="D35" s="2" t="s">
        <v>146</v>
      </c>
      <c r="E35" s="2" t="s">
        <v>49</v>
      </c>
      <c r="F35" s="2" t="s">
        <v>146</v>
      </c>
      <c r="G35" s="2" t="s">
        <v>49</v>
      </c>
      <c r="H35" s="2" t="s">
        <v>146</v>
      </c>
      <c r="I35" s="2" t="s">
        <v>49</v>
      </c>
      <c r="J35" s="2" t="s">
        <v>146</v>
      </c>
    </row>
    <row r="36" spans="1:10" ht="15" customHeight="1" x14ac:dyDescent="0.45">
      <c r="A36" s="2" t="s">
        <v>647</v>
      </c>
      <c r="B36" s="2" t="s">
        <v>649</v>
      </c>
      <c r="C36" s="2">
        <v>2019</v>
      </c>
      <c r="D36" s="2" t="s">
        <v>146</v>
      </c>
      <c r="E36" s="2" t="s">
        <v>49</v>
      </c>
      <c r="F36" s="2" t="s">
        <v>146</v>
      </c>
      <c r="G36" s="2" t="s">
        <v>49</v>
      </c>
      <c r="H36" s="2" t="s">
        <v>146</v>
      </c>
      <c r="I36" s="2" t="s">
        <v>49</v>
      </c>
      <c r="J36" s="2" t="s">
        <v>146</v>
      </c>
    </row>
    <row r="37" spans="1:10" ht="15" customHeight="1" x14ac:dyDescent="0.45">
      <c r="A37" s="2" t="s">
        <v>647</v>
      </c>
      <c r="B37" s="2" t="s">
        <v>646</v>
      </c>
      <c r="C37" s="2">
        <v>2019</v>
      </c>
      <c r="D37" s="2" t="s">
        <v>146</v>
      </c>
      <c r="E37" s="2" t="s">
        <v>49</v>
      </c>
      <c r="F37" s="2" t="s">
        <v>146</v>
      </c>
      <c r="G37" s="2" t="s">
        <v>49</v>
      </c>
      <c r="H37" s="2" t="s">
        <v>146</v>
      </c>
      <c r="I37" s="2" t="s">
        <v>49</v>
      </c>
      <c r="J37" s="2" t="s">
        <v>146</v>
      </c>
    </row>
    <row r="38" spans="1:10" ht="15" customHeight="1" x14ac:dyDescent="0.45">
      <c r="A38" s="2" t="s">
        <v>644</v>
      </c>
      <c r="B38" s="2" t="s">
        <v>645</v>
      </c>
      <c r="C38" s="2">
        <v>2019</v>
      </c>
      <c r="D38" s="2" t="s">
        <v>146</v>
      </c>
      <c r="E38" s="2" t="s">
        <v>49</v>
      </c>
      <c r="F38" s="2" t="s">
        <v>146</v>
      </c>
      <c r="G38" s="2" t="s">
        <v>49</v>
      </c>
      <c r="H38" s="2" t="s">
        <v>146</v>
      </c>
      <c r="I38" s="2" t="s">
        <v>49</v>
      </c>
      <c r="J38" s="2" t="s">
        <v>146</v>
      </c>
    </row>
    <row r="39" spans="1:10" ht="15" customHeight="1" x14ac:dyDescent="0.45">
      <c r="A39" s="2" t="s">
        <v>644</v>
      </c>
      <c r="B39" s="2" t="s">
        <v>643</v>
      </c>
      <c r="C39" s="2">
        <v>2019</v>
      </c>
      <c r="D39" s="2" t="s">
        <v>146</v>
      </c>
      <c r="E39" s="2" t="s">
        <v>49</v>
      </c>
      <c r="F39" s="2" t="s">
        <v>146</v>
      </c>
      <c r="G39" s="2" t="s">
        <v>49</v>
      </c>
      <c r="H39" s="2" t="s">
        <v>146</v>
      </c>
      <c r="I39" s="2" t="s">
        <v>49</v>
      </c>
      <c r="J39" s="2" t="s">
        <v>146</v>
      </c>
    </row>
    <row r="40" spans="1:10" ht="15" customHeight="1" x14ac:dyDescent="0.45">
      <c r="A40" s="2" t="s">
        <v>640</v>
      </c>
      <c r="B40" s="2" t="s">
        <v>642</v>
      </c>
      <c r="C40" s="2">
        <v>2019</v>
      </c>
      <c r="D40" s="2">
        <v>94.512</v>
      </c>
      <c r="E40" s="2" t="s">
        <v>807</v>
      </c>
      <c r="F40" s="2">
        <v>73.418000000000006</v>
      </c>
      <c r="G40" s="2" t="s">
        <v>884</v>
      </c>
      <c r="H40" s="2">
        <v>21.094000000000001</v>
      </c>
      <c r="I40" s="2" t="s">
        <v>49</v>
      </c>
      <c r="J40" s="2" t="s">
        <v>146</v>
      </c>
    </row>
    <row r="41" spans="1:10" ht="15" customHeight="1" x14ac:dyDescent="0.45">
      <c r="A41" s="2" t="s">
        <v>640</v>
      </c>
      <c r="B41" s="2" t="s">
        <v>641</v>
      </c>
      <c r="C41" s="2">
        <v>2019</v>
      </c>
      <c r="D41" s="2" t="s">
        <v>146</v>
      </c>
      <c r="E41" s="2" t="s">
        <v>49</v>
      </c>
      <c r="F41" s="2" t="s">
        <v>146</v>
      </c>
      <c r="G41" s="2" t="s">
        <v>49</v>
      </c>
      <c r="H41" s="2" t="s">
        <v>146</v>
      </c>
      <c r="I41" s="2" t="s">
        <v>49</v>
      </c>
      <c r="J41" s="2" t="s">
        <v>146</v>
      </c>
    </row>
    <row r="42" spans="1:10" ht="15" customHeight="1" x14ac:dyDescent="0.45">
      <c r="A42" s="2" t="s">
        <v>640</v>
      </c>
      <c r="B42" s="2" t="s">
        <v>639</v>
      </c>
      <c r="C42" s="2">
        <v>2019</v>
      </c>
      <c r="D42" s="2" t="s">
        <v>146</v>
      </c>
      <c r="E42" s="2" t="s">
        <v>49</v>
      </c>
      <c r="F42" s="2" t="s">
        <v>146</v>
      </c>
      <c r="G42" s="2" t="s">
        <v>49</v>
      </c>
      <c r="H42" s="2" t="s">
        <v>146</v>
      </c>
      <c r="I42" s="2" t="s">
        <v>49</v>
      </c>
      <c r="J42" s="2" t="s">
        <v>146</v>
      </c>
    </row>
    <row r="43" spans="1:10" ht="15" customHeight="1" x14ac:dyDescent="0.45">
      <c r="A43" s="2" t="s">
        <v>637</v>
      </c>
      <c r="B43" s="2" t="s">
        <v>638</v>
      </c>
      <c r="C43" s="2">
        <v>2019</v>
      </c>
      <c r="D43" s="2" t="s">
        <v>146</v>
      </c>
      <c r="E43" s="2" t="s">
        <v>176</v>
      </c>
      <c r="F43" s="2" t="s">
        <v>146</v>
      </c>
      <c r="G43" s="2" t="s">
        <v>176</v>
      </c>
      <c r="H43" s="2" t="s">
        <v>146</v>
      </c>
      <c r="I43" s="2" t="s">
        <v>176</v>
      </c>
      <c r="J43" s="2" t="s">
        <v>146</v>
      </c>
    </row>
    <row r="44" spans="1:10" ht="15" customHeight="1" x14ac:dyDescent="0.45">
      <c r="A44" s="2" t="s">
        <v>637</v>
      </c>
      <c r="B44" s="2" t="s">
        <v>636</v>
      </c>
      <c r="C44" s="2">
        <v>2019</v>
      </c>
      <c r="D44" s="2" t="s">
        <v>146</v>
      </c>
      <c r="E44" s="2" t="s">
        <v>176</v>
      </c>
      <c r="F44" s="2" t="s">
        <v>146</v>
      </c>
      <c r="G44" s="2" t="s">
        <v>176</v>
      </c>
      <c r="H44" s="2" t="s">
        <v>146</v>
      </c>
      <c r="I44" s="2" t="s">
        <v>176</v>
      </c>
      <c r="J44" s="2" t="s">
        <v>146</v>
      </c>
    </row>
    <row r="45" spans="1:10" ht="15" customHeight="1" x14ac:dyDescent="0.45">
      <c r="A45" s="2" t="s">
        <v>635</v>
      </c>
      <c r="B45" s="2" t="s">
        <v>634</v>
      </c>
      <c r="C45" s="2">
        <v>2019</v>
      </c>
      <c r="D45" s="2">
        <v>47</v>
      </c>
      <c r="E45" s="2" t="s">
        <v>889</v>
      </c>
      <c r="F45" s="2">
        <v>47</v>
      </c>
      <c r="G45" s="2" t="s">
        <v>49</v>
      </c>
      <c r="H45" s="2" t="s">
        <v>146</v>
      </c>
      <c r="I45" s="2" t="s">
        <v>49</v>
      </c>
      <c r="J45" s="2" t="s">
        <v>146</v>
      </c>
    </row>
    <row r="46" spans="1:10" ht="15" customHeight="1" x14ac:dyDescent="0.45">
      <c r="A46" s="2" t="s">
        <v>633</v>
      </c>
      <c r="B46" s="2" t="s">
        <v>65</v>
      </c>
      <c r="C46" s="2">
        <v>2019</v>
      </c>
      <c r="D46" s="2" t="s">
        <v>49</v>
      </c>
      <c r="E46" s="2" t="s">
        <v>49</v>
      </c>
      <c r="F46" s="2" t="s">
        <v>49</v>
      </c>
      <c r="G46" s="2" t="s">
        <v>49</v>
      </c>
      <c r="H46" s="2" t="s">
        <v>49</v>
      </c>
      <c r="I46" s="2" t="s">
        <v>49</v>
      </c>
      <c r="J46" s="2" t="s">
        <v>49</v>
      </c>
    </row>
    <row r="47" spans="1:10" ht="15" customHeight="1" x14ac:dyDescent="0.45">
      <c r="A47" s="2" t="s">
        <v>631</v>
      </c>
      <c r="B47" s="2" t="s">
        <v>632</v>
      </c>
      <c r="C47" s="2">
        <v>2019</v>
      </c>
      <c r="D47" s="2" t="s">
        <v>146</v>
      </c>
      <c r="E47" s="2" t="s">
        <v>49</v>
      </c>
      <c r="F47" s="2" t="s">
        <v>146</v>
      </c>
      <c r="G47" s="2" t="s">
        <v>49</v>
      </c>
      <c r="H47" s="2" t="s">
        <v>146</v>
      </c>
      <c r="I47" s="2" t="s">
        <v>49</v>
      </c>
      <c r="J47" s="2" t="s">
        <v>146</v>
      </c>
    </row>
    <row r="48" spans="1:10" ht="15" customHeight="1" x14ac:dyDescent="0.45">
      <c r="A48" s="2" t="s">
        <v>631</v>
      </c>
      <c r="B48" s="2" t="s">
        <v>630</v>
      </c>
      <c r="C48" s="2">
        <v>2019</v>
      </c>
      <c r="D48" s="2">
        <v>0.48099999999999998</v>
      </c>
      <c r="E48" s="2" t="s">
        <v>49</v>
      </c>
      <c r="F48" s="2">
        <v>0.48099999999999998</v>
      </c>
      <c r="G48" s="2" t="s">
        <v>49</v>
      </c>
      <c r="H48" s="2" t="s">
        <v>146</v>
      </c>
      <c r="I48" s="2" t="s">
        <v>49</v>
      </c>
      <c r="J48" s="2" t="s">
        <v>146</v>
      </c>
    </row>
    <row r="49" spans="1:10" ht="15" customHeight="1" x14ac:dyDescent="0.45">
      <c r="A49" s="2" t="s">
        <v>628</v>
      </c>
      <c r="B49" s="2" t="s">
        <v>629</v>
      </c>
      <c r="C49" s="2">
        <v>2019</v>
      </c>
      <c r="D49" s="2" t="s">
        <v>146</v>
      </c>
      <c r="E49" s="2" t="s">
        <v>49</v>
      </c>
      <c r="F49" s="2" t="s">
        <v>146</v>
      </c>
      <c r="G49" s="2" t="s">
        <v>49</v>
      </c>
      <c r="H49" s="2" t="s">
        <v>146</v>
      </c>
      <c r="I49" s="2" t="s">
        <v>49</v>
      </c>
      <c r="J49" s="2" t="s">
        <v>146</v>
      </c>
    </row>
    <row r="50" spans="1:10" ht="15" customHeight="1" x14ac:dyDescent="0.45">
      <c r="A50" s="2" t="s">
        <v>628</v>
      </c>
      <c r="B50" s="2" t="s">
        <v>627</v>
      </c>
      <c r="C50" s="2">
        <v>2019</v>
      </c>
      <c r="D50" s="2" t="s">
        <v>146</v>
      </c>
      <c r="E50" s="2" t="s">
        <v>49</v>
      </c>
      <c r="F50" s="2" t="s">
        <v>146</v>
      </c>
      <c r="G50" s="2" t="s">
        <v>49</v>
      </c>
      <c r="H50" s="2" t="s">
        <v>146</v>
      </c>
      <c r="I50" s="2" t="s">
        <v>49</v>
      </c>
      <c r="J50" s="2" t="s">
        <v>146</v>
      </c>
    </row>
    <row r="51" spans="1:10" ht="15" customHeight="1" x14ac:dyDescent="0.45">
      <c r="A51" s="2" t="s">
        <v>623</v>
      </c>
      <c r="B51" s="2" t="s">
        <v>626</v>
      </c>
      <c r="C51" s="2">
        <v>2019</v>
      </c>
      <c r="D51" s="2" t="s">
        <v>146</v>
      </c>
      <c r="E51" s="2" t="s">
        <v>176</v>
      </c>
      <c r="F51" s="2" t="s">
        <v>146</v>
      </c>
      <c r="G51" s="2" t="s">
        <v>176</v>
      </c>
      <c r="H51" s="2" t="s">
        <v>146</v>
      </c>
      <c r="I51" s="2" t="s">
        <v>176</v>
      </c>
      <c r="J51" s="2" t="s">
        <v>146</v>
      </c>
    </row>
    <row r="52" spans="1:10" ht="15" customHeight="1" x14ac:dyDescent="0.45">
      <c r="A52" s="2" t="s">
        <v>623</v>
      </c>
      <c r="B52" s="2" t="s">
        <v>625</v>
      </c>
      <c r="C52" s="2">
        <v>2019</v>
      </c>
      <c r="D52" s="2" t="s">
        <v>49</v>
      </c>
      <c r="E52" s="2" t="s">
        <v>49</v>
      </c>
      <c r="F52" s="2" t="s">
        <v>49</v>
      </c>
      <c r="G52" s="2" t="s">
        <v>49</v>
      </c>
      <c r="H52" s="2" t="s">
        <v>49</v>
      </c>
      <c r="I52" s="2" t="s">
        <v>49</v>
      </c>
      <c r="J52" s="2" t="s">
        <v>49</v>
      </c>
    </row>
    <row r="53" spans="1:10" ht="15" customHeight="1" x14ac:dyDescent="0.45">
      <c r="A53" s="2" t="s">
        <v>623</v>
      </c>
      <c r="B53" s="2" t="s">
        <v>624</v>
      </c>
      <c r="C53" s="2">
        <v>2019</v>
      </c>
      <c r="D53" s="2" t="s">
        <v>146</v>
      </c>
      <c r="E53" s="2" t="s">
        <v>176</v>
      </c>
      <c r="F53" s="2" t="s">
        <v>146</v>
      </c>
      <c r="G53" s="2" t="s">
        <v>176</v>
      </c>
      <c r="H53" s="2" t="s">
        <v>146</v>
      </c>
      <c r="I53" s="2" t="s">
        <v>176</v>
      </c>
      <c r="J53" s="2" t="s">
        <v>146</v>
      </c>
    </row>
    <row r="54" spans="1:10" ht="15" customHeight="1" x14ac:dyDescent="0.45">
      <c r="A54" s="2" t="s">
        <v>623</v>
      </c>
      <c r="B54" s="2" t="s">
        <v>622</v>
      </c>
      <c r="C54" s="2">
        <v>2019</v>
      </c>
      <c r="D54" s="2" t="s">
        <v>146</v>
      </c>
      <c r="E54" s="2" t="s">
        <v>176</v>
      </c>
      <c r="F54" s="2" t="s">
        <v>146</v>
      </c>
      <c r="G54" s="2" t="s">
        <v>176</v>
      </c>
      <c r="H54" s="2" t="s">
        <v>146</v>
      </c>
      <c r="I54" s="2" t="s">
        <v>176</v>
      </c>
      <c r="J54" s="2" t="s">
        <v>146</v>
      </c>
    </row>
    <row r="55" spans="1:10" ht="15" customHeight="1" x14ac:dyDescent="0.45">
      <c r="A55" s="2" t="s">
        <v>610</v>
      </c>
      <c r="B55" s="2" t="s">
        <v>621</v>
      </c>
      <c r="C55" s="2">
        <v>2019</v>
      </c>
      <c r="D55" s="2" t="s">
        <v>146</v>
      </c>
      <c r="E55" s="2" t="s">
        <v>49</v>
      </c>
      <c r="F55" s="2" t="s">
        <v>146</v>
      </c>
      <c r="G55" s="2" t="s">
        <v>49</v>
      </c>
      <c r="H55" s="2" t="s">
        <v>146</v>
      </c>
      <c r="I55" s="2" t="s">
        <v>49</v>
      </c>
      <c r="J55" s="2" t="s">
        <v>146</v>
      </c>
    </row>
    <row r="56" spans="1:10" ht="15" customHeight="1" x14ac:dyDescent="0.45">
      <c r="A56" s="2" t="s">
        <v>610</v>
      </c>
      <c r="B56" s="2" t="s">
        <v>620</v>
      </c>
      <c r="C56" s="2">
        <v>2019</v>
      </c>
      <c r="D56" s="2">
        <v>8.8000000000000007</v>
      </c>
      <c r="E56" s="2" t="s">
        <v>888</v>
      </c>
      <c r="F56" s="2">
        <v>8.8000000000000007</v>
      </c>
      <c r="G56" s="2" t="s">
        <v>49</v>
      </c>
      <c r="H56" s="2" t="s">
        <v>146</v>
      </c>
      <c r="I56" s="2" t="s">
        <v>49</v>
      </c>
      <c r="J56" s="2" t="s">
        <v>146</v>
      </c>
    </row>
    <row r="57" spans="1:10" ht="15" customHeight="1" x14ac:dyDescent="0.45">
      <c r="A57" s="2" t="s">
        <v>610</v>
      </c>
      <c r="B57" s="2" t="s">
        <v>619</v>
      </c>
      <c r="C57" s="2">
        <v>2019</v>
      </c>
      <c r="D57" s="2" t="s">
        <v>146</v>
      </c>
      <c r="E57" s="2" t="s">
        <v>49</v>
      </c>
      <c r="F57" s="2" t="s">
        <v>146</v>
      </c>
      <c r="G57" s="2" t="s">
        <v>49</v>
      </c>
      <c r="H57" s="2" t="s">
        <v>146</v>
      </c>
      <c r="I57" s="2" t="s">
        <v>49</v>
      </c>
      <c r="J57" s="2" t="s">
        <v>146</v>
      </c>
    </row>
    <row r="58" spans="1:10" ht="15" customHeight="1" x14ac:dyDescent="0.45">
      <c r="A58" s="2" t="s">
        <v>610</v>
      </c>
      <c r="B58" s="2" t="s">
        <v>618</v>
      </c>
      <c r="C58" s="2">
        <v>2019</v>
      </c>
      <c r="D58" s="2">
        <v>76.599999999999994</v>
      </c>
      <c r="E58" s="2" t="s">
        <v>805</v>
      </c>
      <c r="F58" s="2">
        <v>76.599999999999994</v>
      </c>
      <c r="G58" s="2" t="s">
        <v>49</v>
      </c>
      <c r="H58" s="2" t="s">
        <v>146</v>
      </c>
      <c r="I58" s="2" t="s">
        <v>49</v>
      </c>
      <c r="J58" s="2" t="s">
        <v>146</v>
      </c>
    </row>
    <row r="59" spans="1:10" ht="15" customHeight="1" x14ac:dyDescent="0.45">
      <c r="A59" s="2" t="s">
        <v>610</v>
      </c>
      <c r="B59" s="2" t="s">
        <v>616</v>
      </c>
      <c r="C59" s="2">
        <v>2019</v>
      </c>
      <c r="D59" s="2" t="s">
        <v>146</v>
      </c>
      <c r="E59" s="2" t="s">
        <v>49</v>
      </c>
      <c r="F59" s="2" t="s">
        <v>146</v>
      </c>
      <c r="G59" s="2" t="s">
        <v>49</v>
      </c>
      <c r="H59" s="2" t="s">
        <v>146</v>
      </c>
      <c r="I59" s="2" t="s">
        <v>49</v>
      </c>
      <c r="J59" s="2" t="s">
        <v>146</v>
      </c>
    </row>
    <row r="60" spans="1:10" ht="15" customHeight="1" x14ac:dyDescent="0.45">
      <c r="A60" s="2" t="s">
        <v>610</v>
      </c>
      <c r="B60" s="2" t="s">
        <v>615</v>
      </c>
      <c r="C60" s="2">
        <v>2019</v>
      </c>
      <c r="D60" s="2" t="s">
        <v>146</v>
      </c>
      <c r="E60" s="2" t="s">
        <v>49</v>
      </c>
      <c r="F60" s="2" t="s">
        <v>146</v>
      </c>
      <c r="G60" s="2" t="s">
        <v>49</v>
      </c>
      <c r="H60" s="2" t="s">
        <v>146</v>
      </c>
      <c r="I60" s="2" t="s">
        <v>49</v>
      </c>
      <c r="J60" s="2" t="s">
        <v>146</v>
      </c>
    </row>
    <row r="61" spans="1:10" ht="15" customHeight="1" x14ac:dyDescent="0.45">
      <c r="A61" s="2" t="s">
        <v>610</v>
      </c>
      <c r="B61" s="2" t="s">
        <v>614</v>
      </c>
      <c r="C61" s="2">
        <v>2019</v>
      </c>
      <c r="D61" s="2">
        <v>158.69999999999999</v>
      </c>
      <c r="E61" s="2" t="s">
        <v>887</v>
      </c>
      <c r="F61" s="2">
        <v>158.69999999999999</v>
      </c>
      <c r="G61" s="2" t="s">
        <v>176</v>
      </c>
      <c r="H61" s="2" t="s">
        <v>146</v>
      </c>
      <c r="I61" s="2" t="s">
        <v>176</v>
      </c>
      <c r="J61" s="2" t="s">
        <v>146</v>
      </c>
    </row>
    <row r="62" spans="1:10" ht="15" customHeight="1" x14ac:dyDescent="0.45">
      <c r="A62" s="2" t="s">
        <v>610</v>
      </c>
      <c r="B62" s="2" t="s">
        <v>613</v>
      </c>
      <c r="C62" s="2">
        <v>2019</v>
      </c>
      <c r="D62" s="2" t="s">
        <v>146</v>
      </c>
      <c r="E62" s="2" t="s">
        <v>49</v>
      </c>
      <c r="F62" s="2" t="s">
        <v>146</v>
      </c>
      <c r="G62" s="2" t="s">
        <v>49</v>
      </c>
      <c r="H62" s="2" t="s">
        <v>146</v>
      </c>
      <c r="I62" s="2" t="s">
        <v>49</v>
      </c>
      <c r="J62" s="2" t="s">
        <v>146</v>
      </c>
    </row>
    <row r="63" spans="1:10" ht="15" customHeight="1" x14ac:dyDescent="0.45">
      <c r="A63" s="2" t="s">
        <v>610</v>
      </c>
      <c r="B63" s="2" t="s">
        <v>612</v>
      </c>
      <c r="C63" s="2">
        <v>2019</v>
      </c>
      <c r="D63" s="2" t="s">
        <v>146</v>
      </c>
      <c r="E63" s="2" t="s">
        <v>49</v>
      </c>
      <c r="F63" s="2" t="s">
        <v>146</v>
      </c>
      <c r="G63" s="2" t="s">
        <v>49</v>
      </c>
      <c r="H63" s="2" t="s">
        <v>146</v>
      </c>
      <c r="I63" s="2" t="s">
        <v>49</v>
      </c>
      <c r="J63" s="2" t="s">
        <v>146</v>
      </c>
    </row>
    <row r="64" spans="1:10" ht="15" customHeight="1" x14ac:dyDescent="0.45">
      <c r="A64" s="2" t="s">
        <v>610</v>
      </c>
      <c r="B64" s="2" t="s">
        <v>611</v>
      </c>
      <c r="C64" s="2">
        <v>2019</v>
      </c>
      <c r="D64" s="2">
        <v>0.3</v>
      </c>
      <c r="E64" s="2" t="s">
        <v>886</v>
      </c>
      <c r="F64" s="2">
        <v>0.3</v>
      </c>
      <c r="G64" s="2" t="s">
        <v>49</v>
      </c>
      <c r="H64" s="2" t="s">
        <v>146</v>
      </c>
      <c r="I64" s="2" t="s">
        <v>49</v>
      </c>
      <c r="J64" s="2" t="s">
        <v>146</v>
      </c>
    </row>
    <row r="65" spans="1:10" ht="15" customHeight="1" x14ac:dyDescent="0.45">
      <c r="A65" s="2" t="s">
        <v>610</v>
      </c>
      <c r="B65" s="2" t="s">
        <v>609</v>
      </c>
      <c r="C65" s="2">
        <v>2019</v>
      </c>
      <c r="D65" s="2" t="s">
        <v>146</v>
      </c>
      <c r="E65" s="2" t="s">
        <v>49</v>
      </c>
      <c r="F65" s="2" t="s">
        <v>146</v>
      </c>
      <c r="G65" s="2" t="s">
        <v>49</v>
      </c>
      <c r="H65" s="2" t="s">
        <v>146</v>
      </c>
      <c r="I65" s="2" t="s">
        <v>49</v>
      </c>
      <c r="J65" s="2" t="s">
        <v>146</v>
      </c>
    </row>
    <row r="66" spans="1:10" ht="15" customHeight="1" x14ac:dyDescent="0.45">
      <c r="A66" s="2" t="s">
        <v>608</v>
      </c>
      <c r="B66" s="2" t="s">
        <v>608</v>
      </c>
      <c r="C66" s="2">
        <v>2019</v>
      </c>
      <c r="D66" s="2" t="s">
        <v>49</v>
      </c>
      <c r="E66" s="2" t="s">
        <v>49</v>
      </c>
      <c r="F66" s="2" t="s">
        <v>49</v>
      </c>
      <c r="G66" s="2" t="s">
        <v>49</v>
      </c>
      <c r="H66" s="2" t="s">
        <v>49</v>
      </c>
      <c r="I66" s="2" t="s">
        <v>49</v>
      </c>
      <c r="J66" s="2" t="s">
        <v>49</v>
      </c>
    </row>
    <row r="67" spans="1:10" ht="15" customHeight="1" x14ac:dyDescent="0.45">
      <c r="A67" s="2" t="s">
        <v>605</v>
      </c>
      <c r="B67" s="2" t="s">
        <v>607</v>
      </c>
      <c r="C67" s="2">
        <v>2019</v>
      </c>
      <c r="D67" s="2" t="s">
        <v>146</v>
      </c>
      <c r="E67" s="2" t="s">
        <v>49</v>
      </c>
      <c r="F67" s="2" t="s">
        <v>146</v>
      </c>
      <c r="G67" s="2" t="s">
        <v>49</v>
      </c>
      <c r="H67" s="2" t="s">
        <v>146</v>
      </c>
      <c r="I67" s="2" t="s">
        <v>49</v>
      </c>
      <c r="J67" s="2" t="s">
        <v>146</v>
      </c>
    </row>
    <row r="68" spans="1:10" ht="15" customHeight="1" x14ac:dyDescent="0.45">
      <c r="A68" s="2" t="s">
        <v>605</v>
      </c>
      <c r="B68" s="2" t="s">
        <v>606</v>
      </c>
      <c r="C68" s="2">
        <v>2019</v>
      </c>
      <c r="D68" s="2" t="s">
        <v>146</v>
      </c>
      <c r="E68" s="2" t="s">
        <v>49</v>
      </c>
      <c r="F68" s="2" t="s">
        <v>146</v>
      </c>
      <c r="G68" s="2" t="s">
        <v>49</v>
      </c>
      <c r="H68" s="2" t="s">
        <v>146</v>
      </c>
      <c r="I68" s="2" t="s">
        <v>49</v>
      </c>
      <c r="J68" s="2" t="s">
        <v>146</v>
      </c>
    </row>
    <row r="69" spans="1:10" ht="15" customHeight="1" x14ac:dyDescent="0.45">
      <c r="A69" s="2" t="s">
        <v>605</v>
      </c>
      <c r="B69" s="2" t="s">
        <v>604</v>
      </c>
      <c r="C69" s="2">
        <v>2019</v>
      </c>
      <c r="D69" s="2" t="s">
        <v>146</v>
      </c>
      <c r="E69" s="2" t="s">
        <v>49</v>
      </c>
      <c r="F69" s="2" t="s">
        <v>146</v>
      </c>
      <c r="G69" s="2" t="s">
        <v>49</v>
      </c>
      <c r="H69" s="2" t="s">
        <v>146</v>
      </c>
      <c r="I69" s="2" t="s">
        <v>49</v>
      </c>
      <c r="J69" s="2" t="s">
        <v>146</v>
      </c>
    </row>
    <row r="70" spans="1:10" ht="15" customHeight="1" x14ac:dyDescent="0.45">
      <c r="A70" s="2" t="s">
        <v>603</v>
      </c>
      <c r="B70" s="2" t="s">
        <v>602</v>
      </c>
      <c r="C70" s="2">
        <v>2019</v>
      </c>
      <c r="D70" s="2" t="s">
        <v>146</v>
      </c>
      <c r="E70" s="2" t="s">
        <v>49</v>
      </c>
      <c r="F70" s="2" t="s">
        <v>146</v>
      </c>
      <c r="G70" s="2" t="s">
        <v>49</v>
      </c>
      <c r="H70" s="2" t="s">
        <v>146</v>
      </c>
      <c r="I70" s="2" t="s">
        <v>49</v>
      </c>
      <c r="J70" s="2" t="s">
        <v>146</v>
      </c>
    </row>
    <row r="71" spans="1:10" ht="15" customHeight="1" x14ac:dyDescent="0.45">
      <c r="A71" s="2" t="s">
        <v>601</v>
      </c>
      <c r="B71" s="2" t="s">
        <v>600</v>
      </c>
      <c r="C71" s="2">
        <v>2019</v>
      </c>
      <c r="D71" s="2" t="s">
        <v>146</v>
      </c>
      <c r="E71" s="2" t="s">
        <v>49</v>
      </c>
      <c r="F71" s="2" t="s">
        <v>146</v>
      </c>
      <c r="G71" s="2" t="s">
        <v>49</v>
      </c>
      <c r="H71" s="2" t="s">
        <v>146</v>
      </c>
      <c r="I71" s="2" t="s">
        <v>49</v>
      </c>
      <c r="J71" s="2" t="s">
        <v>146</v>
      </c>
    </row>
    <row r="72" spans="1:10" ht="15" customHeight="1" x14ac:dyDescent="0.45">
      <c r="A72" s="2" t="s">
        <v>597</v>
      </c>
      <c r="B72" s="2" t="s">
        <v>599</v>
      </c>
      <c r="C72" s="2">
        <v>2019</v>
      </c>
      <c r="D72" s="2" t="s">
        <v>146</v>
      </c>
      <c r="E72" s="2" t="s">
        <v>49</v>
      </c>
      <c r="F72" s="2" t="s">
        <v>146</v>
      </c>
      <c r="G72" s="2" t="s">
        <v>49</v>
      </c>
      <c r="H72" s="2" t="s">
        <v>146</v>
      </c>
      <c r="I72" s="2" t="s">
        <v>49</v>
      </c>
      <c r="J72" s="2" t="s">
        <v>146</v>
      </c>
    </row>
    <row r="73" spans="1:10" ht="15" customHeight="1" x14ac:dyDescent="0.45">
      <c r="A73" s="2" t="s">
        <v>597</v>
      </c>
      <c r="B73" s="2" t="s">
        <v>598</v>
      </c>
      <c r="C73" s="2">
        <v>2019</v>
      </c>
      <c r="D73" s="2" t="s">
        <v>146</v>
      </c>
      <c r="E73" s="2" t="s">
        <v>49</v>
      </c>
      <c r="F73" s="2" t="s">
        <v>146</v>
      </c>
      <c r="G73" s="2" t="s">
        <v>49</v>
      </c>
      <c r="H73" s="2" t="s">
        <v>146</v>
      </c>
      <c r="I73" s="2" t="s">
        <v>49</v>
      </c>
      <c r="J73" s="2" t="s">
        <v>146</v>
      </c>
    </row>
    <row r="74" spans="1:10" ht="15" customHeight="1" x14ac:dyDescent="0.45">
      <c r="A74" s="2" t="s">
        <v>597</v>
      </c>
      <c r="B74" s="2" t="s">
        <v>596</v>
      </c>
      <c r="C74" s="2">
        <v>2019</v>
      </c>
      <c r="D74" s="2" t="s">
        <v>146</v>
      </c>
      <c r="E74" s="2" t="s">
        <v>49</v>
      </c>
      <c r="F74" s="2" t="s">
        <v>146</v>
      </c>
      <c r="G74" s="2" t="s">
        <v>49</v>
      </c>
      <c r="H74" s="2" t="s">
        <v>146</v>
      </c>
      <c r="I74" s="2" t="s">
        <v>49</v>
      </c>
      <c r="J74" s="2" t="s">
        <v>146</v>
      </c>
    </row>
    <row r="75" spans="1:10" ht="15" customHeight="1" x14ac:dyDescent="0.45">
      <c r="A75" s="2" t="s">
        <v>593</v>
      </c>
      <c r="B75" s="2" t="s">
        <v>595</v>
      </c>
      <c r="C75" s="2">
        <v>2019</v>
      </c>
      <c r="D75" s="2" t="s">
        <v>146</v>
      </c>
      <c r="E75" s="2" t="s">
        <v>49</v>
      </c>
      <c r="F75" s="2" t="s">
        <v>146</v>
      </c>
      <c r="G75" s="2" t="s">
        <v>49</v>
      </c>
      <c r="H75" s="2" t="s">
        <v>146</v>
      </c>
      <c r="I75" s="2" t="s">
        <v>49</v>
      </c>
      <c r="J75" s="2" t="s">
        <v>146</v>
      </c>
    </row>
    <row r="76" spans="1:10" ht="15" customHeight="1" x14ac:dyDescent="0.45">
      <c r="A76" s="2" t="s">
        <v>593</v>
      </c>
      <c r="B76" s="2" t="s">
        <v>594</v>
      </c>
      <c r="C76" s="2">
        <v>2019</v>
      </c>
      <c r="D76" s="2" t="s">
        <v>146</v>
      </c>
      <c r="E76" s="2" t="s">
        <v>49</v>
      </c>
      <c r="F76" s="2" t="s">
        <v>146</v>
      </c>
      <c r="G76" s="2" t="s">
        <v>49</v>
      </c>
      <c r="H76" s="2" t="s">
        <v>146</v>
      </c>
      <c r="I76" s="2" t="s">
        <v>49</v>
      </c>
      <c r="J76" s="2" t="s">
        <v>146</v>
      </c>
    </row>
    <row r="77" spans="1:10" ht="15" customHeight="1" x14ac:dyDescent="0.45">
      <c r="A77" s="2" t="s">
        <v>593</v>
      </c>
      <c r="B77" s="2" t="s">
        <v>592</v>
      </c>
      <c r="C77" s="2">
        <v>2019</v>
      </c>
      <c r="D77" s="2" t="s">
        <v>146</v>
      </c>
      <c r="E77" s="2" t="s">
        <v>49</v>
      </c>
      <c r="F77" s="2" t="s">
        <v>146</v>
      </c>
      <c r="G77" s="2" t="s">
        <v>49</v>
      </c>
      <c r="H77" s="2" t="s">
        <v>146</v>
      </c>
      <c r="I77" s="2" t="s">
        <v>49</v>
      </c>
      <c r="J77" s="2" t="s">
        <v>146</v>
      </c>
    </row>
    <row r="78" spans="1:10" ht="15" customHeight="1" x14ac:dyDescent="0.45">
      <c r="A78" s="2" t="s">
        <v>589</v>
      </c>
      <c r="B78" s="2" t="s">
        <v>591</v>
      </c>
      <c r="C78" s="2">
        <v>2019</v>
      </c>
      <c r="D78" s="2" t="s">
        <v>146</v>
      </c>
      <c r="E78" s="2" t="s">
        <v>49</v>
      </c>
      <c r="F78" s="2" t="s">
        <v>146</v>
      </c>
      <c r="G78" s="2" t="s">
        <v>49</v>
      </c>
      <c r="H78" s="2" t="s">
        <v>146</v>
      </c>
      <c r="I78" s="2" t="s">
        <v>49</v>
      </c>
      <c r="J78" s="2" t="s">
        <v>146</v>
      </c>
    </row>
    <row r="79" spans="1:10" ht="15" customHeight="1" x14ac:dyDescent="0.45">
      <c r="A79" s="2" t="s">
        <v>589</v>
      </c>
      <c r="B79" s="2" t="s">
        <v>590</v>
      </c>
      <c r="C79" s="2">
        <v>2019</v>
      </c>
      <c r="D79" s="2" t="s">
        <v>146</v>
      </c>
      <c r="E79" s="2" t="s">
        <v>49</v>
      </c>
      <c r="F79" s="2" t="s">
        <v>146</v>
      </c>
      <c r="G79" s="2" t="s">
        <v>49</v>
      </c>
      <c r="H79" s="2" t="s">
        <v>146</v>
      </c>
      <c r="I79" s="2" t="s">
        <v>49</v>
      </c>
      <c r="J79" s="2" t="s">
        <v>146</v>
      </c>
    </row>
    <row r="80" spans="1:10" ht="15" customHeight="1" x14ac:dyDescent="0.45">
      <c r="A80" s="2" t="s">
        <v>589</v>
      </c>
      <c r="B80" s="2" t="s">
        <v>588</v>
      </c>
      <c r="C80" s="2">
        <v>2019</v>
      </c>
      <c r="D80" s="2" t="s">
        <v>146</v>
      </c>
      <c r="E80" s="2" t="s">
        <v>49</v>
      </c>
      <c r="F80" s="2" t="s">
        <v>146</v>
      </c>
      <c r="G80" s="2" t="s">
        <v>49</v>
      </c>
      <c r="H80" s="2" t="s">
        <v>146</v>
      </c>
      <c r="I80" s="2" t="s">
        <v>49</v>
      </c>
      <c r="J80" s="2" t="s">
        <v>146</v>
      </c>
    </row>
    <row r="81" spans="1:10" ht="15" customHeight="1" x14ac:dyDescent="0.45">
      <c r="A81" s="2" t="s">
        <v>582</v>
      </c>
      <c r="B81" s="2" t="s">
        <v>586</v>
      </c>
      <c r="C81" s="2">
        <v>2019</v>
      </c>
      <c r="D81" s="2" t="s">
        <v>146</v>
      </c>
      <c r="E81" s="2" t="s">
        <v>49</v>
      </c>
      <c r="F81" s="2" t="s">
        <v>146</v>
      </c>
      <c r="G81" s="2" t="s">
        <v>49</v>
      </c>
      <c r="H81" s="2" t="s">
        <v>146</v>
      </c>
      <c r="I81" s="2" t="s">
        <v>49</v>
      </c>
      <c r="J81" s="2" t="s">
        <v>146</v>
      </c>
    </row>
    <row r="82" spans="1:10" ht="15" customHeight="1" x14ac:dyDescent="0.45">
      <c r="A82" s="2" t="s">
        <v>582</v>
      </c>
      <c r="B82" s="2" t="s">
        <v>585</v>
      </c>
      <c r="C82" s="2">
        <v>2019</v>
      </c>
      <c r="D82" s="2">
        <v>0.35</v>
      </c>
      <c r="E82" s="2" t="s">
        <v>885</v>
      </c>
      <c r="F82" s="2">
        <v>0.35</v>
      </c>
      <c r="G82" s="2" t="s">
        <v>49</v>
      </c>
      <c r="H82" s="2" t="s">
        <v>146</v>
      </c>
      <c r="I82" s="2" t="s">
        <v>49</v>
      </c>
      <c r="J82" s="2" t="s">
        <v>146</v>
      </c>
    </row>
    <row r="83" spans="1:10" ht="15" customHeight="1" x14ac:dyDescent="0.45">
      <c r="A83" s="2" t="s">
        <v>582</v>
      </c>
      <c r="B83" s="2" t="s">
        <v>583</v>
      </c>
      <c r="C83" s="2">
        <v>2019</v>
      </c>
      <c r="D83" s="2" t="s">
        <v>146</v>
      </c>
      <c r="E83" s="2" t="s">
        <v>49</v>
      </c>
      <c r="F83" s="2" t="s">
        <v>146</v>
      </c>
      <c r="G83" s="2" t="s">
        <v>49</v>
      </c>
      <c r="H83" s="2" t="s">
        <v>146</v>
      </c>
      <c r="I83" s="2" t="s">
        <v>49</v>
      </c>
      <c r="J83" s="2" t="s">
        <v>146</v>
      </c>
    </row>
    <row r="84" spans="1:10" ht="15" customHeight="1" x14ac:dyDescent="0.45">
      <c r="A84" s="2" t="s">
        <v>582</v>
      </c>
      <c r="B84" s="2" t="s">
        <v>581</v>
      </c>
      <c r="C84" s="2">
        <v>2019</v>
      </c>
      <c r="D84" s="2" t="s">
        <v>146</v>
      </c>
      <c r="E84" s="2" t="s">
        <v>49</v>
      </c>
      <c r="F84" s="2" t="s">
        <v>146</v>
      </c>
      <c r="G84" s="2" t="s">
        <v>49</v>
      </c>
      <c r="H84" s="2" t="s">
        <v>146</v>
      </c>
      <c r="I84" s="2" t="s">
        <v>49</v>
      </c>
      <c r="J84" s="2" t="s">
        <v>146</v>
      </c>
    </row>
    <row r="85" spans="1:10" ht="15" customHeight="1" x14ac:dyDescent="0.45">
      <c r="A85" s="2" t="s">
        <v>580</v>
      </c>
      <c r="B85" s="2" t="s">
        <v>579</v>
      </c>
      <c r="C85" s="2">
        <v>2019</v>
      </c>
      <c r="D85" s="2">
        <v>16.5</v>
      </c>
      <c r="E85" s="2" t="s">
        <v>884</v>
      </c>
      <c r="F85" s="2">
        <v>16.5</v>
      </c>
      <c r="G85" s="2" t="s">
        <v>883</v>
      </c>
      <c r="H85" s="2" t="s">
        <v>146</v>
      </c>
      <c r="I85" s="2" t="s">
        <v>883</v>
      </c>
      <c r="J85" s="2" t="s">
        <v>146</v>
      </c>
    </row>
    <row r="86" spans="1:10" ht="15" customHeight="1" x14ac:dyDescent="0.45">
      <c r="A86" s="2" t="s">
        <v>576</v>
      </c>
      <c r="B86" s="2" t="s">
        <v>578</v>
      </c>
      <c r="C86" s="2">
        <v>2019</v>
      </c>
      <c r="D86" s="2">
        <v>0.91200000000000003</v>
      </c>
      <c r="E86" s="2" t="s">
        <v>882</v>
      </c>
      <c r="F86" s="2">
        <v>0.91200000000000003</v>
      </c>
      <c r="G86" s="2" t="s">
        <v>49</v>
      </c>
      <c r="H86" s="2" t="s">
        <v>146</v>
      </c>
      <c r="I86" s="2" t="s">
        <v>49</v>
      </c>
      <c r="J86" s="2" t="s">
        <v>146</v>
      </c>
    </row>
    <row r="87" spans="1:10" ht="15" customHeight="1" x14ac:dyDescent="0.45">
      <c r="A87" s="2" t="s">
        <v>576</v>
      </c>
      <c r="B87" s="2" t="s">
        <v>577</v>
      </c>
      <c r="C87" s="2">
        <v>2019</v>
      </c>
      <c r="D87" s="2" t="s">
        <v>146</v>
      </c>
      <c r="E87" s="2" t="s">
        <v>49</v>
      </c>
      <c r="F87" s="2" t="s">
        <v>146</v>
      </c>
      <c r="G87" s="2" t="s">
        <v>49</v>
      </c>
      <c r="H87" s="2" t="s">
        <v>146</v>
      </c>
      <c r="I87" s="2" t="s">
        <v>49</v>
      </c>
      <c r="J87" s="2" t="s">
        <v>146</v>
      </c>
    </row>
    <row r="88" spans="1:10" ht="15" customHeight="1" x14ac:dyDescent="0.45">
      <c r="A88" s="2" t="s">
        <v>576</v>
      </c>
      <c r="B88" s="2" t="s">
        <v>575</v>
      </c>
      <c r="C88" s="2">
        <v>2019</v>
      </c>
      <c r="D88" s="2" t="s">
        <v>146</v>
      </c>
      <c r="E88" s="2" t="s">
        <v>49</v>
      </c>
      <c r="F88" s="2" t="s">
        <v>146</v>
      </c>
      <c r="G88" s="2" t="s">
        <v>49</v>
      </c>
      <c r="H88" s="2" t="s">
        <v>146</v>
      </c>
      <c r="I88" s="2" t="s">
        <v>49</v>
      </c>
      <c r="J88" s="2" t="s">
        <v>146</v>
      </c>
    </row>
    <row r="89" spans="1:10" ht="15" customHeight="1" x14ac:dyDescent="0.45">
      <c r="A89" s="2" t="s">
        <v>571</v>
      </c>
      <c r="B89" s="2" t="s">
        <v>574</v>
      </c>
      <c r="C89" s="2">
        <v>2019</v>
      </c>
      <c r="D89" s="2" t="s">
        <v>146</v>
      </c>
      <c r="E89" s="2" t="s">
        <v>49</v>
      </c>
      <c r="F89" s="2" t="s">
        <v>146</v>
      </c>
      <c r="G89" s="2" t="s">
        <v>49</v>
      </c>
      <c r="H89" s="2" t="s">
        <v>146</v>
      </c>
      <c r="I89" s="2" t="s">
        <v>49</v>
      </c>
      <c r="J89" s="2" t="s">
        <v>146</v>
      </c>
    </row>
    <row r="90" spans="1:10" ht="15" customHeight="1" x14ac:dyDescent="0.45">
      <c r="A90" s="2" t="s">
        <v>571</v>
      </c>
      <c r="B90" s="2" t="s">
        <v>573</v>
      </c>
      <c r="C90" s="2">
        <v>2019</v>
      </c>
      <c r="D90" s="2" t="s">
        <v>146</v>
      </c>
      <c r="E90" s="2" t="s">
        <v>49</v>
      </c>
      <c r="F90" s="2" t="s">
        <v>146</v>
      </c>
      <c r="G90" s="2" t="s">
        <v>49</v>
      </c>
      <c r="H90" s="2" t="s">
        <v>146</v>
      </c>
      <c r="I90" s="2" t="s">
        <v>49</v>
      </c>
      <c r="J90" s="2" t="s">
        <v>146</v>
      </c>
    </row>
    <row r="91" spans="1:10" ht="15" customHeight="1" x14ac:dyDescent="0.45">
      <c r="A91" s="2" t="s">
        <v>571</v>
      </c>
      <c r="B91" s="2" t="s">
        <v>572</v>
      </c>
      <c r="C91" s="2">
        <v>2019</v>
      </c>
      <c r="D91" s="2">
        <v>15.762</v>
      </c>
      <c r="E91" s="2" t="s">
        <v>881</v>
      </c>
      <c r="F91" s="2">
        <v>15.762</v>
      </c>
      <c r="G91" s="2" t="s">
        <v>49</v>
      </c>
      <c r="H91" s="2" t="s">
        <v>146</v>
      </c>
      <c r="I91" s="2" t="s">
        <v>49</v>
      </c>
      <c r="J91" s="2" t="s">
        <v>146</v>
      </c>
    </row>
    <row r="92" spans="1:10" ht="15" customHeight="1" x14ac:dyDescent="0.45">
      <c r="A92" s="2" t="s">
        <v>571</v>
      </c>
      <c r="B92" s="2" t="s">
        <v>570</v>
      </c>
      <c r="C92" s="2">
        <v>2019</v>
      </c>
      <c r="D92" s="2" t="s">
        <v>146</v>
      </c>
      <c r="E92" s="2" t="s">
        <v>49</v>
      </c>
      <c r="F92" s="2" t="s">
        <v>146</v>
      </c>
      <c r="G92" s="2" t="s">
        <v>49</v>
      </c>
      <c r="H92" s="2" t="s">
        <v>146</v>
      </c>
      <c r="I92" s="2" t="s">
        <v>49</v>
      </c>
      <c r="J92" s="2" t="s">
        <v>146</v>
      </c>
    </row>
    <row r="93" spans="1:10" ht="15" customHeight="1" x14ac:dyDescent="0.45">
      <c r="A93" s="2" t="s">
        <v>568</v>
      </c>
      <c r="B93" s="2" t="s">
        <v>567</v>
      </c>
      <c r="C93" s="2">
        <v>2019</v>
      </c>
      <c r="D93" s="2" t="s">
        <v>146</v>
      </c>
      <c r="E93" s="2" t="s">
        <v>49</v>
      </c>
      <c r="F93" s="2" t="s">
        <v>146</v>
      </c>
      <c r="G93" s="2" t="s">
        <v>49</v>
      </c>
      <c r="H93" s="2" t="s">
        <v>146</v>
      </c>
      <c r="I93" s="2" t="s">
        <v>49</v>
      </c>
      <c r="J93" s="2" t="s">
        <v>146</v>
      </c>
    </row>
    <row r="94" spans="1:10" ht="15" customHeight="1" x14ac:dyDescent="0.45">
      <c r="A94" s="2" t="s">
        <v>566</v>
      </c>
      <c r="B94" s="2" t="s">
        <v>565</v>
      </c>
      <c r="C94" s="2">
        <v>2019</v>
      </c>
      <c r="D94" s="2">
        <v>398.517</v>
      </c>
      <c r="E94" s="2" t="s">
        <v>800</v>
      </c>
      <c r="F94" s="2">
        <v>260.18200000000002</v>
      </c>
      <c r="G94" s="2" t="s">
        <v>801</v>
      </c>
      <c r="H94" s="2">
        <v>138.33500000000001</v>
      </c>
      <c r="I94" s="2" t="s">
        <v>146</v>
      </c>
      <c r="J94" s="2" t="s">
        <v>146</v>
      </c>
    </row>
    <row r="95" spans="1:10" ht="15" customHeight="1" x14ac:dyDescent="0.45">
      <c r="A95" s="2" t="s">
        <v>560</v>
      </c>
      <c r="B95" s="2" t="s">
        <v>564</v>
      </c>
      <c r="C95" s="2">
        <v>2019</v>
      </c>
      <c r="D95" s="2" t="s">
        <v>146</v>
      </c>
      <c r="E95" s="2" t="s">
        <v>176</v>
      </c>
      <c r="F95" s="2" t="s">
        <v>146</v>
      </c>
      <c r="G95" s="2" t="s">
        <v>176</v>
      </c>
      <c r="H95" s="2" t="s">
        <v>146</v>
      </c>
      <c r="I95" s="2" t="s">
        <v>176</v>
      </c>
      <c r="J95" s="2" t="s">
        <v>146</v>
      </c>
    </row>
    <row r="96" spans="1:10" ht="15" customHeight="1" x14ac:dyDescent="0.45">
      <c r="A96" s="2" t="s">
        <v>560</v>
      </c>
      <c r="B96" s="2" t="s">
        <v>563</v>
      </c>
      <c r="C96" s="2">
        <v>2019</v>
      </c>
      <c r="D96" s="2">
        <v>1104.675</v>
      </c>
      <c r="E96" s="2" t="s">
        <v>880</v>
      </c>
      <c r="F96" s="2">
        <v>1104.675</v>
      </c>
      <c r="G96" s="2" t="s">
        <v>176</v>
      </c>
      <c r="H96" s="2" t="s">
        <v>146</v>
      </c>
      <c r="I96" s="2" t="s">
        <v>176</v>
      </c>
      <c r="J96" s="2" t="s">
        <v>146</v>
      </c>
    </row>
    <row r="97" spans="1:10" ht="15" customHeight="1" x14ac:dyDescent="0.45">
      <c r="A97" s="2" t="s">
        <v>560</v>
      </c>
      <c r="B97" s="2" t="s">
        <v>562</v>
      </c>
      <c r="C97" s="2">
        <v>2019</v>
      </c>
      <c r="D97" s="2" t="s">
        <v>146</v>
      </c>
      <c r="E97" s="2" t="s">
        <v>49</v>
      </c>
      <c r="F97" s="2" t="s">
        <v>146</v>
      </c>
      <c r="G97" s="2" t="s">
        <v>49</v>
      </c>
      <c r="H97" s="2" t="s">
        <v>146</v>
      </c>
      <c r="I97" s="2" t="s">
        <v>49</v>
      </c>
      <c r="J97" s="2" t="s">
        <v>146</v>
      </c>
    </row>
    <row r="98" spans="1:10" ht="15" customHeight="1" x14ac:dyDescent="0.45">
      <c r="A98" s="2" t="s">
        <v>560</v>
      </c>
      <c r="B98" s="2" t="s">
        <v>560</v>
      </c>
      <c r="C98" s="2">
        <v>2019</v>
      </c>
      <c r="D98" s="2" t="s">
        <v>146</v>
      </c>
      <c r="E98" s="2" t="s">
        <v>176</v>
      </c>
      <c r="F98" s="2" t="s">
        <v>146</v>
      </c>
      <c r="G98" s="2" t="s">
        <v>176</v>
      </c>
      <c r="H98" s="2" t="s">
        <v>146</v>
      </c>
      <c r="I98" s="2" t="s">
        <v>176</v>
      </c>
      <c r="J98" s="2" t="s">
        <v>146</v>
      </c>
    </row>
    <row r="99" spans="1:10" ht="15" customHeight="1" x14ac:dyDescent="0.45">
      <c r="A99" s="2" t="s">
        <v>560</v>
      </c>
      <c r="B99" s="2" t="s">
        <v>561</v>
      </c>
      <c r="C99" s="2">
        <v>2019</v>
      </c>
      <c r="D99" s="2" t="s">
        <v>146</v>
      </c>
      <c r="E99" s="2" t="s">
        <v>176</v>
      </c>
      <c r="F99" s="2" t="s">
        <v>146</v>
      </c>
      <c r="G99" s="2" t="s">
        <v>176</v>
      </c>
      <c r="H99" s="2" t="s">
        <v>146</v>
      </c>
      <c r="I99" s="2" t="s">
        <v>176</v>
      </c>
      <c r="J99" s="2" t="s">
        <v>146</v>
      </c>
    </row>
    <row r="100" spans="1:10" ht="15" customHeight="1" x14ac:dyDescent="0.45">
      <c r="A100" s="2" t="s">
        <v>560</v>
      </c>
      <c r="B100" s="2" t="s">
        <v>559</v>
      </c>
      <c r="C100" s="2">
        <v>2019</v>
      </c>
      <c r="D100" s="2" t="s">
        <v>146</v>
      </c>
      <c r="E100" s="2" t="s">
        <v>176</v>
      </c>
      <c r="F100" s="2" t="s">
        <v>146</v>
      </c>
      <c r="G100" s="2" t="s">
        <v>176</v>
      </c>
      <c r="H100" s="2" t="s">
        <v>146</v>
      </c>
      <c r="I100" s="2" t="s">
        <v>176</v>
      </c>
      <c r="J100" s="2" t="s">
        <v>146</v>
      </c>
    </row>
    <row r="101" spans="1:10" ht="15" customHeight="1" x14ac:dyDescent="0.45">
      <c r="A101" s="2" t="s">
        <v>556</v>
      </c>
      <c r="B101" s="2" t="s">
        <v>558</v>
      </c>
      <c r="C101" s="2">
        <v>2019</v>
      </c>
      <c r="D101" s="2" t="s">
        <v>146</v>
      </c>
      <c r="E101" s="2" t="s">
        <v>176</v>
      </c>
      <c r="F101" s="2" t="s">
        <v>146</v>
      </c>
      <c r="G101" s="2" t="s">
        <v>176</v>
      </c>
      <c r="H101" s="2" t="s">
        <v>146</v>
      </c>
      <c r="I101" s="2" t="s">
        <v>176</v>
      </c>
      <c r="J101" s="2" t="s">
        <v>146</v>
      </c>
    </row>
    <row r="102" spans="1:10" ht="15" customHeight="1" x14ac:dyDescent="0.45">
      <c r="A102" s="2" t="s">
        <v>556</v>
      </c>
      <c r="B102" s="2" t="s">
        <v>555</v>
      </c>
      <c r="C102" s="2">
        <v>2019</v>
      </c>
      <c r="D102" s="2">
        <v>3.0590000000000002</v>
      </c>
      <c r="E102" s="2" t="s">
        <v>879</v>
      </c>
      <c r="F102" s="2">
        <v>3.0590000000000002</v>
      </c>
      <c r="G102" s="2" t="s">
        <v>176</v>
      </c>
      <c r="H102" s="2" t="s">
        <v>146</v>
      </c>
      <c r="I102" s="2" t="s">
        <v>176</v>
      </c>
      <c r="J102" s="2" t="s">
        <v>146</v>
      </c>
    </row>
    <row r="103" spans="1:10" ht="15" customHeight="1" x14ac:dyDescent="0.45">
      <c r="A103" s="2" t="s">
        <v>554</v>
      </c>
      <c r="B103" s="2" t="s">
        <v>553</v>
      </c>
      <c r="C103" s="2">
        <v>2019</v>
      </c>
      <c r="D103" s="2" t="s">
        <v>146</v>
      </c>
      <c r="E103" s="2" t="s">
        <v>49</v>
      </c>
      <c r="F103" s="2" t="s">
        <v>146</v>
      </c>
      <c r="G103" s="2" t="s">
        <v>49</v>
      </c>
      <c r="H103" s="2" t="s">
        <v>146</v>
      </c>
      <c r="I103" s="2" t="s">
        <v>49</v>
      </c>
      <c r="J103" s="2" t="s">
        <v>146</v>
      </c>
    </row>
    <row r="104" spans="1:10" ht="15" customHeight="1" x14ac:dyDescent="0.45">
      <c r="A104" s="2" t="s">
        <v>550</v>
      </c>
      <c r="B104" s="2" t="s">
        <v>552</v>
      </c>
      <c r="C104" s="2">
        <v>2019</v>
      </c>
      <c r="D104" s="2" t="s">
        <v>146</v>
      </c>
      <c r="E104" s="2" t="s">
        <v>49</v>
      </c>
      <c r="F104" s="2" t="s">
        <v>146</v>
      </c>
      <c r="G104" s="2" t="s">
        <v>49</v>
      </c>
      <c r="H104" s="2" t="s">
        <v>146</v>
      </c>
      <c r="I104" s="2" t="s">
        <v>49</v>
      </c>
      <c r="J104" s="2" t="s">
        <v>146</v>
      </c>
    </row>
    <row r="105" spans="1:10" ht="15" customHeight="1" x14ac:dyDescent="0.45">
      <c r="A105" s="2" t="s">
        <v>550</v>
      </c>
      <c r="B105" s="2" t="s">
        <v>551</v>
      </c>
      <c r="C105" s="2">
        <v>2019</v>
      </c>
      <c r="D105" s="2">
        <v>0.248</v>
      </c>
      <c r="E105" s="2" t="s">
        <v>878</v>
      </c>
      <c r="F105" s="2">
        <v>0.248</v>
      </c>
      <c r="G105" s="2" t="s">
        <v>176</v>
      </c>
      <c r="H105" s="2" t="s">
        <v>146</v>
      </c>
      <c r="I105" s="2" t="s">
        <v>176</v>
      </c>
      <c r="J105" s="2" t="s">
        <v>146</v>
      </c>
    </row>
    <row r="106" spans="1:10" ht="15" customHeight="1" x14ac:dyDescent="0.45">
      <c r="A106" s="2" t="s">
        <v>550</v>
      </c>
      <c r="B106" s="2" t="s">
        <v>549</v>
      </c>
      <c r="C106" s="2">
        <v>2019</v>
      </c>
      <c r="D106" s="2" t="s">
        <v>146</v>
      </c>
      <c r="E106" s="2" t="s">
        <v>49</v>
      </c>
      <c r="F106" s="2" t="s">
        <v>146</v>
      </c>
      <c r="G106" s="2" t="s">
        <v>49</v>
      </c>
      <c r="H106" s="2" t="s">
        <v>146</v>
      </c>
      <c r="I106" s="2" t="s">
        <v>49</v>
      </c>
      <c r="J106" s="2" t="s">
        <v>146</v>
      </c>
    </row>
    <row r="107" spans="1:10" ht="15" customHeight="1" x14ac:dyDescent="0.45">
      <c r="A107" s="2" t="s">
        <v>548</v>
      </c>
      <c r="B107" s="2" t="s">
        <v>547</v>
      </c>
      <c r="C107" s="2">
        <v>2019</v>
      </c>
      <c r="D107" s="2">
        <v>12.69</v>
      </c>
      <c r="E107" s="2" t="s">
        <v>875</v>
      </c>
      <c r="F107" s="2">
        <v>12.69</v>
      </c>
      <c r="G107" s="2" t="s">
        <v>49</v>
      </c>
      <c r="H107" s="2" t="s">
        <v>146</v>
      </c>
      <c r="I107" s="2" t="s">
        <v>49</v>
      </c>
      <c r="J107" s="2" t="s">
        <v>146</v>
      </c>
    </row>
    <row r="108" spans="1:10" ht="15" customHeight="1" x14ac:dyDescent="0.45">
      <c r="A108" s="2" t="s">
        <v>546</v>
      </c>
      <c r="B108" s="2" t="s">
        <v>545</v>
      </c>
      <c r="C108" s="2">
        <v>2019</v>
      </c>
      <c r="D108" s="2" t="s">
        <v>146</v>
      </c>
      <c r="E108" s="2" t="s">
        <v>146</v>
      </c>
      <c r="F108" s="2" t="s">
        <v>146</v>
      </c>
      <c r="G108" s="2" t="s">
        <v>146</v>
      </c>
      <c r="H108" s="2" t="s">
        <v>146</v>
      </c>
      <c r="I108" s="2" t="s">
        <v>146</v>
      </c>
      <c r="J108" s="2" t="s">
        <v>146</v>
      </c>
    </row>
    <row r="109" spans="1:10" ht="15" customHeight="1" x14ac:dyDescent="0.45">
      <c r="A109" s="2" t="s">
        <v>543</v>
      </c>
      <c r="B109" s="2" t="s">
        <v>544</v>
      </c>
      <c r="C109" s="2">
        <v>2019</v>
      </c>
      <c r="D109" s="2" t="s">
        <v>146</v>
      </c>
      <c r="E109" s="2" t="s">
        <v>49</v>
      </c>
      <c r="F109" s="2" t="s">
        <v>146</v>
      </c>
      <c r="G109" s="2" t="s">
        <v>49</v>
      </c>
      <c r="H109" s="2" t="s">
        <v>146</v>
      </c>
      <c r="I109" s="2" t="s">
        <v>49</v>
      </c>
      <c r="J109" s="2" t="s">
        <v>146</v>
      </c>
    </row>
    <row r="110" spans="1:10" ht="15" customHeight="1" x14ac:dyDescent="0.45">
      <c r="A110" s="2" t="s">
        <v>543</v>
      </c>
      <c r="B110" s="2" t="s">
        <v>542</v>
      </c>
      <c r="C110" s="2">
        <v>2019</v>
      </c>
      <c r="D110" s="2" t="s">
        <v>146</v>
      </c>
      <c r="E110" s="2" t="s">
        <v>49</v>
      </c>
      <c r="F110" s="2" t="s">
        <v>146</v>
      </c>
      <c r="G110" s="2" t="s">
        <v>49</v>
      </c>
      <c r="H110" s="2" t="s">
        <v>146</v>
      </c>
      <c r="I110" s="2" t="s">
        <v>49</v>
      </c>
      <c r="J110" s="2" t="s">
        <v>146</v>
      </c>
    </row>
    <row r="111" spans="1:10" ht="15" customHeight="1" x14ac:dyDescent="0.45">
      <c r="A111" s="2" t="s">
        <v>538</v>
      </c>
      <c r="B111" s="2" t="s">
        <v>541</v>
      </c>
      <c r="C111" s="2">
        <v>2019</v>
      </c>
      <c r="D111" s="2" t="s">
        <v>146</v>
      </c>
      <c r="E111" s="2" t="s">
        <v>49</v>
      </c>
      <c r="F111" s="2" t="s">
        <v>146</v>
      </c>
      <c r="G111" s="2" t="s">
        <v>49</v>
      </c>
      <c r="H111" s="2" t="s">
        <v>146</v>
      </c>
      <c r="I111" s="2" t="s">
        <v>49</v>
      </c>
      <c r="J111" s="2" t="s">
        <v>146</v>
      </c>
    </row>
    <row r="112" spans="1:10" ht="15" customHeight="1" x14ac:dyDescent="0.45">
      <c r="A112" s="2" t="s">
        <v>538</v>
      </c>
      <c r="B112" s="2" t="s">
        <v>540</v>
      </c>
      <c r="C112" s="2">
        <v>2019</v>
      </c>
      <c r="D112" s="2" t="s">
        <v>146</v>
      </c>
      <c r="E112" s="2" t="s">
        <v>49</v>
      </c>
      <c r="F112" s="2" t="s">
        <v>146</v>
      </c>
      <c r="G112" s="2" t="s">
        <v>49</v>
      </c>
      <c r="H112" s="2" t="s">
        <v>146</v>
      </c>
      <c r="I112" s="2" t="s">
        <v>49</v>
      </c>
      <c r="J112" s="2" t="s">
        <v>146</v>
      </c>
    </row>
    <row r="113" spans="1:10" ht="15" customHeight="1" x14ac:dyDescent="0.45">
      <c r="A113" s="2" t="s">
        <v>538</v>
      </c>
      <c r="B113" s="2" t="s">
        <v>539</v>
      </c>
      <c r="C113" s="2">
        <v>2019</v>
      </c>
      <c r="D113" s="2" t="s">
        <v>146</v>
      </c>
      <c r="E113" s="2" t="s">
        <v>49</v>
      </c>
      <c r="F113" s="2" t="s">
        <v>146</v>
      </c>
      <c r="G113" s="2" t="s">
        <v>49</v>
      </c>
      <c r="H113" s="2" t="s">
        <v>146</v>
      </c>
      <c r="I113" s="2" t="s">
        <v>49</v>
      </c>
      <c r="J113" s="2" t="s">
        <v>146</v>
      </c>
    </row>
    <row r="114" spans="1:10" ht="15" customHeight="1" x14ac:dyDescent="0.45">
      <c r="A114" s="2" t="s">
        <v>538</v>
      </c>
      <c r="B114" s="2" t="s">
        <v>537</v>
      </c>
      <c r="C114" s="2">
        <v>2019</v>
      </c>
      <c r="D114" s="2" t="s">
        <v>146</v>
      </c>
      <c r="E114" s="2" t="s">
        <v>49</v>
      </c>
      <c r="F114" s="2" t="s">
        <v>146</v>
      </c>
      <c r="G114" s="2" t="s">
        <v>49</v>
      </c>
      <c r="H114" s="2" t="s">
        <v>146</v>
      </c>
      <c r="I114" s="2" t="s">
        <v>49</v>
      </c>
      <c r="J114" s="2" t="s">
        <v>146</v>
      </c>
    </row>
    <row r="115" spans="1:10" ht="15" customHeight="1" x14ac:dyDescent="0.45">
      <c r="A115" s="2" t="s">
        <v>536</v>
      </c>
      <c r="B115" s="2" t="s">
        <v>74</v>
      </c>
      <c r="C115" s="2">
        <v>2019</v>
      </c>
      <c r="D115" s="2" t="s">
        <v>49</v>
      </c>
      <c r="E115" s="2" t="s">
        <v>49</v>
      </c>
      <c r="F115" s="2" t="s">
        <v>49</v>
      </c>
      <c r="G115" s="2" t="s">
        <v>49</v>
      </c>
      <c r="H115" s="2" t="s">
        <v>49</v>
      </c>
      <c r="I115" s="2" t="s">
        <v>49</v>
      </c>
      <c r="J115" s="2" t="s">
        <v>49</v>
      </c>
    </row>
    <row r="116" spans="1:10" ht="15" customHeight="1" x14ac:dyDescent="0.45">
      <c r="A116" s="2" t="s">
        <v>535</v>
      </c>
      <c r="B116" s="2" t="s">
        <v>534</v>
      </c>
      <c r="C116" s="2">
        <v>2019</v>
      </c>
      <c r="D116" s="2" t="s">
        <v>146</v>
      </c>
      <c r="E116" s="2" t="s">
        <v>49</v>
      </c>
      <c r="F116" s="2" t="s">
        <v>146</v>
      </c>
      <c r="G116" s="2" t="s">
        <v>49</v>
      </c>
      <c r="H116" s="2" t="s">
        <v>146</v>
      </c>
      <c r="I116" s="2" t="s">
        <v>49</v>
      </c>
      <c r="J116" s="2" t="s">
        <v>146</v>
      </c>
    </row>
    <row r="117" spans="1:10" ht="15" customHeight="1" x14ac:dyDescent="0.45">
      <c r="A117" s="2" t="s">
        <v>533</v>
      </c>
      <c r="B117" s="2" t="s">
        <v>532</v>
      </c>
      <c r="C117" s="2">
        <v>2019</v>
      </c>
      <c r="D117" s="2">
        <v>37.89</v>
      </c>
      <c r="E117" s="2" t="s">
        <v>877</v>
      </c>
      <c r="F117" s="2">
        <v>37.89</v>
      </c>
      <c r="G117" s="2" t="s">
        <v>49</v>
      </c>
      <c r="H117" s="2" t="s">
        <v>146</v>
      </c>
      <c r="I117" s="2" t="s">
        <v>49</v>
      </c>
      <c r="J117" s="2" t="s">
        <v>146</v>
      </c>
    </row>
    <row r="118" spans="1:10" ht="15" customHeight="1" x14ac:dyDescent="0.45">
      <c r="A118" s="2" t="s">
        <v>530</v>
      </c>
      <c r="B118" s="2" t="s">
        <v>531</v>
      </c>
      <c r="C118" s="2">
        <v>2019</v>
      </c>
      <c r="D118" s="2">
        <v>1.6</v>
      </c>
      <c r="E118" s="2" t="s">
        <v>876</v>
      </c>
      <c r="F118" s="2">
        <v>1.6</v>
      </c>
      <c r="G118" s="2" t="s">
        <v>49</v>
      </c>
      <c r="H118" s="2" t="s">
        <v>146</v>
      </c>
      <c r="I118" s="2" t="s">
        <v>49</v>
      </c>
      <c r="J118" s="2" t="s">
        <v>146</v>
      </c>
    </row>
    <row r="119" spans="1:10" ht="15" customHeight="1" x14ac:dyDescent="0.45">
      <c r="A119" s="2" t="s">
        <v>530</v>
      </c>
      <c r="B119" s="2" t="s">
        <v>529</v>
      </c>
      <c r="C119" s="2">
        <v>2019</v>
      </c>
      <c r="D119" s="2" t="s">
        <v>146</v>
      </c>
      <c r="E119" s="2" t="s">
        <v>49</v>
      </c>
      <c r="F119" s="2" t="s">
        <v>146</v>
      </c>
      <c r="G119" s="2" t="s">
        <v>49</v>
      </c>
      <c r="H119" s="2" t="s">
        <v>146</v>
      </c>
      <c r="I119" s="2" t="s">
        <v>49</v>
      </c>
      <c r="J119" s="2" t="s">
        <v>146</v>
      </c>
    </row>
    <row r="120" spans="1:10" ht="15" customHeight="1" x14ac:dyDescent="0.45">
      <c r="A120" s="2" t="s">
        <v>528</v>
      </c>
      <c r="B120" s="2" t="s">
        <v>527</v>
      </c>
      <c r="C120" s="2">
        <v>2019</v>
      </c>
      <c r="D120" s="2">
        <v>38.523000000000003</v>
      </c>
      <c r="E120" s="2" t="s">
        <v>875</v>
      </c>
      <c r="F120" s="2">
        <v>38.523000000000003</v>
      </c>
      <c r="G120" s="2" t="s">
        <v>49</v>
      </c>
      <c r="H120" s="2" t="s">
        <v>146</v>
      </c>
      <c r="I120" s="2" t="s">
        <v>176</v>
      </c>
      <c r="J120" s="2" t="s">
        <v>146</v>
      </c>
    </row>
    <row r="121" spans="1:10" ht="15" customHeight="1" x14ac:dyDescent="0.45">
      <c r="A121" s="2" t="s">
        <v>526</v>
      </c>
      <c r="B121" s="2" t="s">
        <v>525</v>
      </c>
      <c r="C121" s="2">
        <v>2019</v>
      </c>
      <c r="D121" s="2" t="s">
        <v>146</v>
      </c>
      <c r="E121" s="2" t="s">
        <v>49</v>
      </c>
      <c r="F121" s="2" t="s">
        <v>146</v>
      </c>
      <c r="G121" s="2" t="s">
        <v>49</v>
      </c>
      <c r="H121" s="2" t="s">
        <v>146</v>
      </c>
      <c r="I121" s="2" t="s">
        <v>49</v>
      </c>
      <c r="J121" s="2" t="s">
        <v>146</v>
      </c>
    </row>
    <row r="122" spans="1:10" ht="15" customHeight="1" x14ac:dyDescent="0.45">
      <c r="A122" s="2" t="s">
        <v>520</v>
      </c>
      <c r="B122" s="2" t="s">
        <v>524</v>
      </c>
      <c r="C122" s="2">
        <v>2019</v>
      </c>
      <c r="D122" s="2" t="s">
        <v>146</v>
      </c>
      <c r="E122" s="2" t="s">
        <v>49</v>
      </c>
      <c r="F122" s="2" t="s">
        <v>146</v>
      </c>
      <c r="G122" s="2" t="s">
        <v>49</v>
      </c>
      <c r="H122" s="2" t="s">
        <v>146</v>
      </c>
      <c r="I122" s="2" t="s">
        <v>49</v>
      </c>
      <c r="J122" s="2" t="s">
        <v>146</v>
      </c>
    </row>
    <row r="123" spans="1:10" ht="15" customHeight="1" x14ac:dyDescent="0.45">
      <c r="A123" s="2" t="s">
        <v>520</v>
      </c>
      <c r="B123" s="2" t="s">
        <v>523</v>
      </c>
      <c r="C123" s="2">
        <v>2019</v>
      </c>
      <c r="D123" s="2" t="s">
        <v>146</v>
      </c>
      <c r="E123" s="2" t="s">
        <v>49</v>
      </c>
      <c r="F123" s="2" t="s">
        <v>146</v>
      </c>
      <c r="G123" s="2" t="s">
        <v>49</v>
      </c>
      <c r="H123" s="2" t="s">
        <v>146</v>
      </c>
      <c r="I123" s="2" t="s">
        <v>49</v>
      </c>
      <c r="J123" s="2" t="s">
        <v>146</v>
      </c>
    </row>
    <row r="124" spans="1:10" ht="15" customHeight="1" x14ac:dyDescent="0.45">
      <c r="A124" s="2" t="s">
        <v>520</v>
      </c>
      <c r="B124" s="2" t="s">
        <v>522</v>
      </c>
      <c r="C124" s="2">
        <v>2019</v>
      </c>
      <c r="D124" s="2" t="s">
        <v>146</v>
      </c>
      <c r="E124" s="2" t="s">
        <v>49</v>
      </c>
      <c r="F124" s="2" t="s">
        <v>146</v>
      </c>
      <c r="G124" s="2" t="s">
        <v>49</v>
      </c>
      <c r="H124" s="2" t="s">
        <v>146</v>
      </c>
      <c r="I124" s="2" t="s">
        <v>49</v>
      </c>
      <c r="J124" s="2" t="s">
        <v>146</v>
      </c>
    </row>
    <row r="125" spans="1:10" ht="15" customHeight="1" x14ac:dyDescent="0.45">
      <c r="A125" s="2" t="s">
        <v>520</v>
      </c>
      <c r="B125" s="2" t="s">
        <v>521</v>
      </c>
      <c r="C125" s="2">
        <v>2019</v>
      </c>
      <c r="D125" s="2">
        <v>1.4</v>
      </c>
      <c r="E125" s="2" t="s">
        <v>874</v>
      </c>
      <c r="F125" s="2">
        <v>1.4</v>
      </c>
      <c r="G125" s="2" t="s">
        <v>49</v>
      </c>
      <c r="H125" s="2" t="s">
        <v>146</v>
      </c>
      <c r="I125" s="2" t="s">
        <v>49</v>
      </c>
      <c r="J125" s="2" t="s">
        <v>146</v>
      </c>
    </row>
    <row r="126" spans="1:10" ht="15" customHeight="1" x14ac:dyDescent="0.45">
      <c r="A126" s="2" t="s">
        <v>520</v>
      </c>
      <c r="B126" s="2" t="s">
        <v>519</v>
      </c>
      <c r="C126" s="2">
        <v>2019</v>
      </c>
      <c r="D126" s="2" t="s">
        <v>146</v>
      </c>
      <c r="E126" s="2" t="s">
        <v>49</v>
      </c>
      <c r="F126" s="2" t="s">
        <v>146</v>
      </c>
      <c r="G126" s="2" t="s">
        <v>49</v>
      </c>
      <c r="H126" s="2" t="s">
        <v>146</v>
      </c>
      <c r="I126" s="2" t="s">
        <v>49</v>
      </c>
      <c r="J126" s="2" t="s">
        <v>146</v>
      </c>
    </row>
    <row r="127" spans="1:10" ht="15" customHeight="1" x14ac:dyDescent="0.45">
      <c r="A127" s="2" t="s">
        <v>518</v>
      </c>
      <c r="B127" s="2" t="s">
        <v>77</v>
      </c>
      <c r="C127" s="2">
        <v>2019</v>
      </c>
      <c r="D127" s="2" t="s">
        <v>146</v>
      </c>
      <c r="E127" s="2" t="s">
        <v>49</v>
      </c>
      <c r="F127" s="2" t="s">
        <v>146</v>
      </c>
      <c r="G127" s="2" t="s">
        <v>49</v>
      </c>
      <c r="H127" s="2" t="s">
        <v>146</v>
      </c>
      <c r="I127" s="2" t="s">
        <v>49</v>
      </c>
      <c r="J127" s="2" t="s">
        <v>146</v>
      </c>
    </row>
    <row r="128" spans="1:10" ht="15" customHeight="1" x14ac:dyDescent="0.45">
      <c r="A128" s="2" t="s">
        <v>515</v>
      </c>
      <c r="B128" s="2" t="s">
        <v>517</v>
      </c>
      <c r="C128" s="2">
        <v>2019</v>
      </c>
      <c r="D128" s="2" t="s">
        <v>146</v>
      </c>
      <c r="E128" s="2" t="s">
        <v>49</v>
      </c>
      <c r="F128" s="2" t="s">
        <v>146</v>
      </c>
      <c r="G128" s="2" t="s">
        <v>49</v>
      </c>
      <c r="H128" s="2" t="s">
        <v>146</v>
      </c>
      <c r="I128" s="2" t="s">
        <v>49</v>
      </c>
      <c r="J128" s="2" t="s">
        <v>146</v>
      </c>
    </row>
    <row r="129" spans="1:10" ht="15" customHeight="1" x14ac:dyDescent="0.45">
      <c r="A129" s="2" t="s">
        <v>515</v>
      </c>
      <c r="B129" s="2" t="s">
        <v>516</v>
      </c>
      <c r="C129" s="2">
        <v>2019</v>
      </c>
      <c r="D129" s="2" t="s">
        <v>146</v>
      </c>
      <c r="E129" s="2" t="s">
        <v>49</v>
      </c>
      <c r="F129" s="2" t="s">
        <v>146</v>
      </c>
      <c r="G129" s="2" t="s">
        <v>49</v>
      </c>
      <c r="H129" s="2" t="s">
        <v>146</v>
      </c>
      <c r="I129" s="2" t="s">
        <v>49</v>
      </c>
      <c r="J129" s="2" t="s">
        <v>146</v>
      </c>
    </row>
    <row r="130" spans="1:10" ht="15" customHeight="1" x14ac:dyDescent="0.45">
      <c r="A130" s="2" t="s">
        <v>515</v>
      </c>
      <c r="B130" s="2" t="s">
        <v>514</v>
      </c>
      <c r="C130" s="2">
        <v>2019</v>
      </c>
      <c r="D130" s="2" t="s">
        <v>146</v>
      </c>
      <c r="E130" s="2" t="s">
        <v>49</v>
      </c>
      <c r="F130" s="2" t="s">
        <v>146</v>
      </c>
      <c r="G130" s="2" t="s">
        <v>49</v>
      </c>
      <c r="H130" s="2" t="s">
        <v>146</v>
      </c>
      <c r="I130" s="2" t="s">
        <v>49</v>
      </c>
      <c r="J130" s="2" t="s">
        <v>146</v>
      </c>
    </row>
    <row r="131" spans="1:10" ht="15" customHeight="1" x14ac:dyDescent="0.45">
      <c r="A131" s="2" t="s">
        <v>513</v>
      </c>
      <c r="B131" s="2" t="s">
        <v>512</v>
      </c>
      <c r="C131" s="2">
        <v>2019</v>
      </c>
      <c r="D131" s="2" t="s">
        <v>146</v>
      </c>
      <c r="E131" s="2" t="s">
        <v>176</v>
      </c>
      <c r="F131" s="2" t="s">
        <v>146</v>
      </c>
      <c r="G131" s="2" t="s">
        <v>176</v>
      </c>
      <c r="H131" s="2" t="s">
        <v>146</v>
      </c>
      <c r="I131" s="2" t="s">
        <v>176</v>
      </c>
      <c r="J131" s="2" t="s">
        <v>146</v>
      </c>
    </row>
    <row r="132" spans="1:10" ht="15" customHeight="1" x14ac:dyDescent="0.45">
      <c r="A132" s="2" t="s">
        <v>511</v>
      </c>
      <c r="B132" s="2" t="s">
        <v>80</v>
      </c>
      <c r="C132" s="2">
        <v>2019</v>
      </c>
      <c r="D132" s="2" t="s">
        <v>146</v>
      </c>
      <c r="E132" s="2" t="s">
        <v>49</v>
      </c>
      <c r="F132" s="2" t="s">
        <v>146</v>
      </c>
      <c r="G132" s="2" t="s">
        <v>49</v>
      </c>
      <c r="H132" s="2" t="s">
        <v>146</v>
      </c>
      <c r="I132" s="2" t="s">
        <v>49</v>
      </c>
      <c r="J132" s="2" t="s">
        <v>146</v>
      </c>
    </row>
    <row r="133" spans="1:10" ht="15" customHeight="1" x14ac:dyDescent="0.45">
      <c r="A133" s="2" t="s">
        <v>510</v>
      </c>
      <c r="B133" s="2" t="s">
        <v>509</v>
      </c>
      <c r="C133" s="2">
        <v>2019</v>
      </c>
      <c r="D133" s="2">
        <v>180.17699999999999</v>
      </c>
      <c r="E133" s="2" t="s">
        <v>873</v>
      </c>
      <c r="F133" s="2">
        <v>180.17699999999999</v>
      </c>
      <c r="G133" s="2" t="s">
        <v>49</v>
      </c>
      <c r="H133" s="2" t="s">
        <v>146</v>
      </c>
      <c r="I133" s="2" t="s">
        <v>49</v>
      </c>
      <c r="J133" s="2" t="s">
        <v>146</v>
      </c>
    </row>
    <row r="134" spans="1:10" ht="15" customHeight="1" x14ac:dyDescent="0.45">
      <c r="A134" s="2" t="s">
        <v>508</v>
      </c>
      <c r="B134" s="2" t="s">
        <v>83</v>
      </c>
      <c r="C134" s="2">
        <v>2019</v>
      </c>
      <c r="D134" s="2" t="s">
        <v>146</v>
      </c>
      <c r="E134" s="2" t="s">
        <v>49</v>
      </c>
      <c r="F134" s="2" t="s">
        <v>146</v>
      </c>
      <c r="G134" s="2" t="s">
        <v>49</v>
      </c>
      <c r="H134" s="2" t="s">
        <v>146</v>
      </c>
      <c r="I134" s="2" t="s">
        <v>49</v>
      </c>
      <c r="J134" s="2" t="s">
        <v>146</v>
      </c>
    </row>
    <row r="135" spans="1:10" ht="15" customHeight="1" x14ac:dyDescent="0.45">
      <c r="A135" s="2" t="s">
        <v>507</v>
      </c>
      <c r="B135" s="2" t="s">
        <v>506</v>
      </c>
      <c r="C135" s="2">
        <v>2019</v>
      </c>
      <c r="D135" s="2">
        <v>6.6859999999999999</v>
      </c>
      <c r="E135" s="2" t="s">
        <v>793</v>
      </c>
      <c r="F135" s="2">
        <v>6.6859999999999999</v>
      </c>
      <c r="G135" s="2" t="s">
        <v>49</v>
      </c>
      <c r="H135" s="2" t="s">
        <v>146</v>
      </c>
      <c r="I135" s="2" t="s">
        <v>49</v>
      </c>
      <c r="J135" s="2" t="s">
        <v>146</v>
      </c>
    </row>
    <row r="136" spans="1:10" ht="15" customHeight="1" x14ac:dyDescent="0.45">
      <c r="A136" s="2" t="s">
        <v>505</v>
      </c>
      <c r="B136" s="2" t="s">
        <v>504</v>
      </c>
      <c r="C136" s="2">
        <v>2019</v>
      </c>
      <c r="D136" s="2" t="s">
        <v>146</v>
      </c>
      <c r="E136" s="2" t="s">
        <v>49</v>
      </c>
      <c r="F136" s="2" t="s">
        <v>146</v>
      </c>
      <c r="G136" s="2" t="s">
        <v>49</v>
      </c>
      <c r="H136" s="2" t="s">
        <v>146</v>
      </c>
      <c r="I136" s="2" t="s">
        <v>49</v>
      </c>
      <c r="J136" s="2" t="s">
        <v>146</v>
      </c>
    </row>
    <row r="137" spans="1:10" ht="15" customHeight="1" x14ac:dyDescent="0.45">
      <c r="A137" s="2" t="s">
        <v>502</v>
      </c>
      <c r="B137" s="2" t="s">
        <v>503</v>
      </c>
      <c r="C137" s="2">
        <v>2019</v>
      </c>
      <c r="D137" s="2">
        <v>28.471</v>
      </c>
      <c r="E137" s="2" t="s">
        <v>872</v>
      </c>
      <c r="F137" s="2">
        <v>28.471</v>
      </c>
      <c r="G137" s="2" t="s">
        <v>49</v>
      </c>
      <c r="H137" s="2" t="s">
        <v>146</v>
      </c>
      <c r="I137" s="2" t="s">
        <v>49</v>
      </c>
      <c r="J137" s="2" t="s">
        <v>146</v>
      </c>
    </row>
    <row r="138" spans="1:10" ht="15" customHeight="1" x14ac:dyDescent="0.45">
      <c r="A138" s="2" t="s">
        <v>502</v>
      </c>
      <c r="B138" s="2" t="s">
        <v>501</v>
      </c>
      <c r="C138" s="2">
        <v>2019</v>
      </c>
      <c r="D138" s="2" t="s">
        <v>146</v>
      </c>
      <c r="E138" s="2" t="s">
        <v>49</v>
      </c>
      <c r="F138" s="2" t="s">
        <v>146</v>
      </c>
      <c r="G138" s="2" t="s">
        <v>49</v>
      </c>
      <c r="H138" s="2" t="s">
        <v>146</v>
      </c>
      <c r="I138" s="2" t="s">
        <v>49</v>
      </c>
      <c r="J138" s="2" t="s">
        <v>146</v>
      </c>
    </row>
    <row r="139" spans="1:10" ht="15" customHeight="1" x14ac:dyDescent="0.45">
      <c r="A139" s="2" t="s">
        <v>498</v>
      </c>
      <c r="B139" s="2" t="s">
        <v>500</v>
      </c>
      <c r="C139" s="2">
        <v>2019</v>
      </c>
      <c r="D139" s="2">
        <v>10.305</v>
      </c>
      <c r="E139" s="2" t="s">
        <v>871</v>
      </c>
      <c r="F139" s="2">
        <v>10.305</v>
      </c>
      <c r="G139" s="2" t="s">
        <v>49</v>
      </c>
      <c r="H139" s="2" t="s">
        <v>146</v>
      </c>
      <c r="I139" s="2" t="s">
        <v>49</v>
      </c>
      <c r="J139" s="2" t="s">
        <v>146</v>
      </c>
    </row>
    <row r="140" spans="1:10" ht="15" customHeight="1" x14ac:dyDescent="0.45">
      <c r="A140" s="2" t="s">
        <v>498</v>
      </c>
      <c r="B140" s="2" t="s">
        <v>497</v>
      </c>
      <c r="C140" s="2">
        <v>2019</v>
      </c>
      <c r="D140" s="2" t="s">
        <v>146</v>
      </c>
      <c r="E140" s="2" t="s">
        <v>49</v>
      </c>
      <c r="F140" s="2" t="s">
        <v>146</v>
      </c>
      <c r="G140" s="2" t="s">
        <v>49</v>
      </c>
      <c r="H140" s="2" t="s">
        <v>146</v>
      </c>
      <c r="I140" s="2" t="s">
        <v>49</v>
      </c>
      <c r="J140" s="2" t="s">
        <v>146</v>
      </c>
    </row>
    <row r="141" spans="1:10" ht="15" customHeight="1" x14ac:dyDescent="0.45">
      <c r="A141" s="2" t="s">
        <v>493</v>
      </c>
      <c r="B141" s="2" t="s">
        <v>496</v>
      </c>
      <c r="C141" s="2">
        <v>2019</v>
      </c>
      <c r="D141" s="2" t="s">
        <v>146</v>
      </c>
      <c r="E141" s="2" t="s">
        <v>49</v>
      </c>
      <c r="F141" s="2" t="s">
        <v>146</v>
      </c>
      <c r="G141" s="2" t="s">
        <v>49</v>
      </c>
      <c r="H141" s="2" t="s">
        <v>146</v>
      </c>
      <c r="I141" s="2" t="s">
        <v>49</v>
      </c>
      <c r="J141" s="2" t="s">
        <v>146</v>
      </c>
    </row>
    <row r="142" spans="1:10" ht="15" customHeight="1" x14ac:dyDescent="0.45">
      <c r="A142" s="2" t="s">
        <v>493</v>
      </c>
      <c r="B142" s="2" t="s">
        <v>495</v>
      </c>
      <c r="C142" s="2">
        <v>2019</v>
      </c>
      <c r="D142" s="2" t="s">
        <v>146</v>
      </c>
      <c r="E142" s="2" t="s">
        <v>49</v>
      </c>
      <c r="F142" s="2" t="s">
        <v>146</v>
      </c>
      <c r="G142" s="2" t="s">
        <v>49</v>
      </c>
      <c r="H142" s="2" t="s">
        <v>146</v>
      </c>
      <c r="I142" s="2" t="s">
        <v>49</v>
      </c>
      <c r="J142" s="2" t="s">
        <v>146</v>
      </c>
    </row>
    <row r="143" spans="1:10" ht="15" customHeight="1" x14ac:dyDescent="0.45">
      <c r="A143" s="2" t="s">
        <v>493</v>
      </c>
      <c r="B143" s="2" t="s">
        <v>494</v>
      </c>
      <c r="C143" s="2">
        <v>2019</v>
      </c>
      <c r="D143" s="2" t="s">
        <v>146</v>
      </c>
      <c r="E143" s="2" t="s">
        <v>49</v>
      </c>
      <c r="F143" s="2" t="s">
        <v>146</v>
      </c>
      <c r="G143" s="2" t="s">
        <v>49</v>
      </c>
      <c r="H143" s="2" t="s">
        <v>146</v>
      </c>
      <c r="I143" s="2" t="s">
        <v>49</v>
      </c>
      <c r="J143" s="2" t="s">
        <v>146</v>
      </c>
    </row>
    <row r="144" spans="1:10" ht="15" customHeight="1" x14ac:dyDescent="0.45">
      <c r="A144" s="2" t="s">
        <v>493</v>
      </c>
      <c r="B144" s="2" t="s">
        <v>492</v>
      </c>
      <c r="C144" s="2">
        <v>2019</v>
      </c>
      <c r="D144" s="2" t="s">
        <v>146</v>
      </c>
      <c r="E144" s="2" t="s">
        <v>49</v>
      </c>
      <c r="F144" s="2" t="s">
        <v>146</v>
      </c>
      <c r="G144" s="2" t="s">
        <v>49</v>
      </c>
      <c r="H144" s="2" t="s">
        <v>146</v>
      </c>
      <c r="I144" s="2" t="s">
        <v>49</v>
      </c>
      <c r="J144" s="2" t="s">
        <v>146</v>
      </c>
    </row>
    <row r="145" spans="1:10" ht="15" customHeight="1" x14ac:dyDescent="0.45">
      <c r="A145" s="2" t="s">
        <v>490</v>
      </c>
      <c r="B145" s="2" t="s">
        <v>489</v>
      </c>
      <c r="C145" s="2">
        <v>2019</v>
      </c>
      <c r="D145" s="2">
        <v>69.47</v>
      </c>
      <c r="E145" s="2" t="s">
        <v>870</v>
      </c>
      <c r="F145" s="2">
        <v>40.22</v>
      </c>
      <c r="G145" s="2" t="s">
        <v>869</v>
      </c>
      <c r="H145" s="2">
        <v>29.25</v>
      </c>
      <c r="I145" s="2" t="s">
        <v>49</v>
      </c>
      <c r="J145" s="2" t="s">
        <v>146</v>
      </c>
    </row>
    <row r="146" spans="1:10" ht="15" customHeight="1" x14ac:dyDescent="0.45">
      <c r="A146" s="2" t="s">
        <v>480</v>
      </c>
      <c r="B146" s="2" t="s">
        <v>488</v>
      </c>
      <c r="C146" s="2">
        <v>2019</v>
      </c>
      <c r="D146" s="2" t="s">
        <v>146</v>
      </c>
      <c r="E146" s="2" t="s">
        <v>49</v>
      </c>
      <c r="F146" s="2" t="s">
        <v>146</v>
      </c>
      <c r="G146" s="2" t="s">
        <v>49</v>
      </c>
      <c r="H146" s="2" t="s">
        <v>146</v>
      </c>
      <c r="I146" s="2" t="s">
        <v>49</v>
      </c>
      <c r="J146" s="2" t="s">
        <v>146</v>
      </c>
    </row>
    <row r="147" spans="1:10" ht="15" customHeight="1" x14ac:dyDescent="0.45">
      <c r="A147" s="2" t="s">
        <v>480</v>
      </c>
      <c r="B147" s="2" t="s">
        <v>487</v>
      </c>
      <c r="C147" s="2">
        <v>2019</v>
      </c>
      <c r="D147" s="2" t="s">
        <v>146</v>
      </c>
      <c r="E147" s="2" t="s">
        <v>49</v>
      </c>
      <c r="F147" s="2" t="s">
        <v>146</v>
      </c>
      <c r="G147" s="2" t="s">
        <v>49</v>
      </c>
      <c r="H147" s="2" t="s">
        <v>146</v>
      </c>
      <c r="I147" s="2" t="s">
        <v>49</v>
      </c>
      <c r="J147" s="2" t="s">
        <v>146</v>
      </c>
    </row>
    <row r="148" spans="1:10" ht="15" customHeight="1" x14ac:dyDescent="0.45">
      <c r="A148" s="2" t="s">
        <v>480</v>
      </c>
      <c r="B148" s="2" t="s">
        <v>486</v>
      </c>
      <c r="C148" s="2">
        <v>2019</v>
      </c>
      <c r="D148" s="2" t="s">
        <v>146</v>
      </c>
      <c r="E148" s="2" t="s">
        <v>49</v>
      </c>
      <c r="F148" s="2" t="s">
        <v>146</v>
      </c>
      <c r="G148" s="2" t="s">
        <v>49</v>
      </c>
      <c r="H148" s="2" t="s">
        <v>146</v>
      </c>
      <c r="I148" s="2" t="s">
        <v>49</v>
      </c>
      <c r="J148" s="2" t="s">
        <v>146</v>
      </c>
    </row>
    <row r="149" spans="1:10" ht="15" customHeight="1" x14ac:dyDescent="0.45">
      <c r="A149" s="2" t="s">
        <v>480</v>
      </c>
      <c r="B149" s="2" t="s">
        <v>485</v>
      </c>
      <c r="C149" s="2">
        <v>2019</v>
      </c>
      <c r="D149" s="2" t="s">
        <v>146</v>
      </c>
      <c r="E149" s="2" t="s">
        <v>49</v>
      </c>
      <c r="F149" s="2" t="s">
        <v>146</v>
      </c>
      <c r="G149" s="2" t="s">
        <v>49</v>
      </c>
      <c r="H149" s="2" t="s">
        <v>146</v>
      </c>
      <c r="I149" s="2" t="s">
        <v>49</v>
      </c>
      <c r="J149" s="2" t="s">
        <v>146</v>
      </c>
    </row>
    <row r="150" spans="1:10" ht="15" customHeight="1" x14ac:dyDescent="0.45">
      <c r="A150" s="2" t="s">
        <v>480</v>
      </c>
      <c r="B150" s="2" t="s">
        <v>484</v>
      </c>
      <c r="C150" s="2">
        <v>2019</v>
      </c>
      <c r="D150" s="2" t="s">
        <v>146</v>
      </c>
      <c r="E150" s="2" t="s">
        <v>49</v>
      </c>
      <c r="F150" s="2" t="s">
        <v>146</v>
      </c>
      <c r="G150" s="2" t="s">
        <v>49</v>
      </c>
      <c r="H150" s="2" t="s">
        <v>146</v>
      </c>
      <c r="I150" s="2" t="s">
        <v>49</v>
      </c>
      <c r="J150" s="2" t="s">
        <v>146</v>
      </c>
    </row>
    <row r="151" spans="1:10" ht="15" customHeight="1" x14ac:dyDescent="0.45">
      <c r="A151" s="2" t="s">
        <v>480</v>
      </c>
      <c r="B151" s="2" t="s">
        <v>483</v>
      </c>
      <c r="C151" s="2">
        <v>2019</v>
      </c>
      <c r="D151" s="2" t="s">
        <v>146</v>
      </c>
      <c r="E151" s="2" t="s">
        <v>49</v>
      </c>
      <c r="F151" s="2" t="s">
        <v>146</v>
      </c>
      <c r="G151" s="2" t="s">
        <v>49</v>
      </c>
      <c r="H151" s="2" t="s">
        <v>146</v>
      </c>
      <c r="I151" s="2" t="s">
        <v>49</v>
      </c>
      <c r="J151" s="2" t="s">
        <v>146</v>
      </c>
    </row>
    <row r="152" spans="1:10" ht="15" customHeight="1" x14ac:dyDescent="0.45">
      <c r="A152" s="2" t="s">
        <v>480</v>
      </c>
      <c r="B152" s="2" t="s">
        <v>482</v>
      </c>
      <c r="C152" s="2">
        <v>2019</v>
      </c>
      <c r="D152" s="2" t="s">
        <v>146</v>
      </c>
      <c r="E152" s="2" t="s">
        <v>49</v>
      </c>
      <c r="F152" s="2" t="s">
        <v>146</v>
      </c>
      <c r="G152" s="2" t="s">
        <v>49</v>
      </c>
      <c r="H152" s="2" t="s">
        <v>146</v>
      </c>
      <c r="I152" s="2" t="s">
        <v>49</v>
      </c>
      <c r="J152" s="2" t="s">
        <v>146</v>
      </c>
    </row>
    <row r="153" spans="1:10" ht="15" customHeight="1" x14ac:dyDescent="0.45">
      <c r="A153" s="2" t="s">
        <v>480</v>
      </c>
      <c r="B153" s="2" t="s">
        <v>481</v>
      </c>
      <c r="C153" s="2">
        <v>2019</v>
      </c>
      <c r="D153" s="2" t="s">
        <v>146</v>
      </c>
      <c r="E153" s="2" t="s">
        <v>49</v>
      </c>
      <c r="F153" s="2" t="s">
        <v>146</v>
      </c>
      <c r="G153" s="2" t="s">
        <v>49</v>
      </c>
      <c r="H153" s="2" t="s">
        <v>146</v>
      </c>
      <c r="I153" s="2" t="s">
        <v>49</v>
      </c>
      <c r="J153" s="2" t="s">
        <v>146</v>
      </c>
    </row>
    <row r="154" spans="1:10" ht="15" customHeight="1" x14ac:dyDescent="0.45">
      <c r="A154" s="2" t="s">
        <v>480</v>
      </c>
      <c r="B154" s="2" t="s">
        <v>479</v>
      </c>
      <c r="C154" s="2">
        <v>2019</v>
      </c>
      <c r="D154" s="2" t="s">
        <v>146</v>
      </c>
      <c r="E154" s="2" t="s">
        <v>49</v>
      </c>
      <c r="F154" s="2" t="s">
        <v>146</v>
      </c>
      <c r="G154" s="2" t="s">
        <v>49</v>
      </c>
      <c r="H154" s="2" t="s">
        <v>146</v>
      </c>
      <c r="I154" s="2" t="s">
        <v>49</v>
      </c>
      <c r="J154" s="2" t="s">
        <v>146</v>
      </c>
    </row>
    <row r="155" spans="1:10" ht="15" customHeight="1" x14ac:dyDescent="0.45">
      <c r="A155" s="2" t="s">
        <v>478</v>
      </c>
      <c r="B155" s="2" t="s">
        <v>477</v>
      </c>
      <c r="C155" s="2">
        <v>2019</v>
      </c>
      <c r="D155" s="2" t="s">
        <v>146</v>
      </c>
      <c r="E155" s="2" t="s">
        <v>176</v>
      </c>
      <c r="F155" s="2" t="s">
        <v>146</v>
      </c>
      <c r="G155" s="2" t="s">
        <v>176</v>
      </c>
      <c r="H155" s="2" t="s">
        <v>146</v>
      </c>
      <c r="I155" s="2" t="s">
        <v>176</v>
      </c>
      <c r="J155" s="2" t="s">
        <v>146</v>
      </c>
    </row>
    <row r="156" spans="1:10" ht="15" customHeight="1" x14ac:dyDescent="0.45">
      <c r="A156" s="2" t="s">
        <v>476</v>
      </c>
      <c r="B156" s="2" t="s">
        <v>89</v>
      </c>
      <c r="C156" s="2">
        <v>2019</v>
      </c>
      <c r="D156" s="2" t="s">
        <v>49</v>
      </c>
      <c r="E156" s="2" t="s">
        <v>49</v>
      </c>
      <c r="F156" s="2" t="s">
        <v>49</v>
      </c>
      <c r="G156" s="2" t="s">
        <v>49</v>
      </c>
      <c r="H156" s="2" t="s">
        <v>49</v>
      </c>
      <c r="I156" s="2" t="s">
        <v>49</v>
      </c>
      <c r="J156" s="2" t="s">
        <v>49</v>
      </c>
    </row>
    <row r="157" spans="1:10" ht="15" customHeight="1" x14ac:dyDescent="0.45">
      <c r="A157" s="2" t="s">
        <v>472</v>
      </c>
      <c r="B157" s="2" t="s">
        <v>475</v>
      </c>
      <c r="C157" s="2">
        <v>2019</v>
      </c>
      <c r="D157" s="2" t="s">
        <v>146</v>
      </c>
      <c r="E157" s="2" t="s">
        <v>49</v>
      </c>
      <c r="F157" s="2" t="s">
        <v>146</v>
      </c>
      <c r="G157" s="2" t="s">
        <v>49</v>
      </c>
      <c r="H157" s="2" t="s">
        <v>146</v>
      </c>
      <c r="I157" s="2" t="s">
        <v>49</v>
      </c>
      <c r="J157" s="2" t="s">
        <v>146</v>
      </c>
    </row>
    <row r="158" spans="1:10" ht="15" customHeight="1" x14ac:dyDescent="0.45">
      <c r="A158" s="2" t="s">
        <v>472</v>
      </c>
      <c r="B158" s="2" t="s">
        <v>474</v>
      </c>
      <c r="C158" s="2">
        <v>2019</v>
      </c>
      <c r="D158" s="2" t="s">
        <v>146</v>
      </c>
      <c r="E158" s="2" t="s">
        <v>49</v>
      </c>
      <c r="F158" s="2" t="s">
        <v>146</v>
      </c>
      <c r="G158" s="2" t="s">
        <v>49</v>
      </c>
      <c r="H158" s="2" t="s">
        <v>146</v>
      </c>
      <c r="I158" s="2" t="s">
        <v>49</v>
      </c>
      <c r="J158" s="2" t="s">
        <v>146</v>
      </c>
    </row>
    <row r="159" spans="1:10" ht="15" customHeight="1" x14ac:dyDescent="0.45">
      <c r="A159" s="2" t="s">
        <v>472</v>
      </c>
      <c r="B159" s="2" t="s">
        <v>473</v>
      </c>
      <c r="C159" s="2">
        <v>2019</v>
      </c>
      <c r="D159" s="2" t="s">
        <v>146</v>
      </c>
      <c r="E159" s="2" t="s">
        <v>49</v>
      </c>
      <c r="F159" s="2" t="s">
        <v>146</v>
      </c>
      <c r="G159" s="2" t="s">
        <v>49</v>
      </c>
      <c r="H159" s="2" t="s">
        <v>146</v>
      </c>
      <c r="I159" s="2" t="s">
        <v>49</v>
      </c>
      <c r="J159" s="2" t="s">
        <v>146</v>
      </c>
    </row>
    <row r="160" spans="1:10" ht="15" customHeight="1" x14ac:dyDescent="0.45">
      <c r="A160" s="2" t="s">
        <v>472</v>
      </c>
      <c r="B160" s="2" t="s">
        <v>471</v>
      </c>
      <c r="C160" s="2">
        <v>2019</v>
      </c>
      <c r="D160" s="2" t="s">
        <v>146</v>
      </c>
      <c r="E160" s="2" t="s">
        <v>49</v>
      </c>
      <c r="F160" s="2" t="s">
        <v>146</v>
      </c>
      <c r="G160" s="2" t="s">
        <v>49</v>
      </c>
      <c r="H160" s="2" t="s">
        <v>146</v>
      </c>
      <c r="I160" s="2" t="s">
        <v>49</v>
      </c>
      <c r="J160" s="2" t="s">
        <v>146</v>
      </c>
    </row>
    <row r="161" spans="1:10" ht="15" customHeight="1" x14ac:dyDescent="0.45">
      <c r="A161" s="2" t="s">
        <v>470</v>
      </c>
      <c r="B161" s="2" t="s">
        <v>469</v>
      </c>
      <c r="C161" s="2">
        <v>2019</v>
      </c>
      <c r="D161" s="2">
        <v>42.735999999999997</v>
      </c>
      <c r="E161" s="2" t="s">
        <v>868</v>
      </c>
      <c r="F161" s="2">
        <v>42.735999999999997</v>
      </c>
      <c r="G161" s="2" t="s">
        <v>49</v>
      </c>
      <c r="H161" s="2" t="s">
        <v>146</v>
      </c>
      <c r="I161" s="2" t="s">
        <v>49</v>
      </c>
      <c r="J161" s="2" t="s">
        <v>146</v>
      </c>
    </row>
    <row r="162" spans="1:10" ht="15" customHeight="1" x14ac:dyDescent="0.45">
      <c r="A162" s="2" t="s">
        <v>467</v>
      </c>
      <c r="B162" s="2" t="s">
        <v>468</v>
      </c>
      <c r="C162" s="2">
        <v>2019</v>
      </c>
      <c r="D162" s="2">
        <v>11.393000000000001</v>
      </c>
      <c r="E162" s="2" t="s">
        <v>867</v>
      </c>
      <c r="F162" s="2">
        <v>11.393000000000001</v>
      </c>
      <c r="G162" s="2" t="s">
        <v>49</v>
      </c>
      <c r="H162" s="2" t="s">
        <v>146</v>
      </c>
      <c r="I162" s="2" t="s">
        <v>49</v>
      </c>
      <c r="J162" s="2" t="s">
        <v>146</v>
      </c>
    </row>
    <row r="163" spans="1:10" ht="15" customHeight="1" x14ac:dyDescent="0.45">
      <c r="A163" s="2" t="s">
        <v>467</v>
      </c>
      <c r="B163" s="2" t="s">
        <v>466</v>
      </c>
      <c r="C163" s="2">
        <v>2019</v>
      </c>
      <c r="D163" s="2" t="s">
        <v>146</v>
      </c>
      <c r="E163" s="2" t="s">
        <v>49</v>
      </c>
      <c r="F163" s="2" t="s">
        <v>146</v>
      </c>
      <c r="G163" s="2" t="s">
        <v>49</v>
      </c>
      <c r="H163" s="2" t="s">
        <v>146</v>
      </c>
      <c r="I163" s="2" t="s">
        <v>49</v>
      </c>
      <c r="J163" s="2" t="s">
        <v>146</v>
      </c>
    </row>
    <row r="164" spans="1:10" ht="15" customHeight="1" x14ac:dyDescent="0.45">
      <c r="A164" s="2" t="s">
        <v>465</v>
      </c>
      <c r="B164" s="2" t="s">
        <v>464</v>
      </c>
      <c r="C164" s="2">
        <v>2019</v>
      </c>
      <c r="D164" s="2" t="s">
        <v>146</v>
      </c>
      <c r="E164" s="2" t="s">
        <v>49</v>
      </c>
      <c r="F164" s="2" t="s">
        <v>146</v>
      </c>
      <c r="G164" s="2" t="s">
        <v>49</v>
      </c>
      <c r="H164" s="2" t="s">
        <v>146</v>
      </c>
      <c r="I164" s="2" t="s">
        <v>49</v>
      </c>
      <c r="J164" s="2" t="s">
        <v>146</v>
      </c>
    </row>
    <row r="165" spans="1:10" ht="15" customHeight="1" x14ac:dyDescent="0.45">
      <c r="A165" s="2" t="s">
        <v>459</v>
      </c>
      <c r="B165" s="2" t="s">
        <v>463</v>
      </c>
      <c r="C165" s="2">
        <v>2019</v>
      </c>
      <c r="D165" s="2">
        <v>17.54</v>
      </c>
      <c r="E165" s="2" t="s">
        <v>785</v>
      </c>
      <c r="F165" s="2">
        <v>17.54</v>
      </c>
      <c r="G165" s="2" t="s">
        <v>49</v>
      </c>
      <c r="H165" s="2" t="s">
        <v>146</v>
      </c>
      <c r="I165" s="2" t="s">
        <v>49</v>
      </c>
      <c r="J165" s="2" t="s">
        <v>146</v>
      </c>
    </row>
    <row r="166" spans="1:10" ht="15" customHeight="1" x14ac:dyDescent="0.45">
      <c r="A166" s="2" t="s">
        <v>459</v>
      </c>
      <c r="B166" s="2" t="s">
        <v>462</v>
      </c>
      <c r="C166" s="2">
        <v>2019</v>
      </c>
      <c r="D166" s="2">
        <v>1.3620000000000001</v>
      </c>
      <c r="E166" s="2" t="s">
        <v>787</v>
      </c>
      <c r="F166" s="2">
        <v>1.3620000000000001</v>
      </c>
      <c r="G166" s="2" t="s">
        <v>49</v>
      </c>
      <c r="H166" s="2" t="s">
        <v>146</v>
      </c>
      <c r="I166" s="2" t="s">
        <v>49</v>
      </c>
      <c r="J166" s="2" t="s">
        <v>146</v>
      </c>
    </row>
    <row r="167" spans="1:10" ht="15" customHeight="1" x14ac:dyDescent="0.45">
      <c r="A167" s="2" t="s">
        <v>459</v>
      </c>
      <c r="B167" s="2" t="s">
        <v>461</v>
      </c>
      <c r="C167" s="2">
        <v>2019</v>
      </c>
      <c r="D167" s="2">
        <v>77.8</v>
      </c>
      <c r="E167" s="2" t="s">
        <v>785</v>
      </c>
      <c r="F167" s="2">
        <v>77.8</v>
      </c>
      <c r="G167" s="2" t="s">
        <v>49</v>
      </c>
      <c r="H167" s="2" t="s">
        <v>146</v>
      </c>
      <c r="I167" s="2" t="s">
        <v>49</v>
      </c>
      <c r="J167" s="2" t="s">
        <v>146</v>
      </c>
    </row>
    <row r="168" spans="1:10" ht="15" customHeight="1" x14ac:dyDescent="0.45">
      <c r="A168" s="2" t="s">
        <v>459</v>
      </c>
      <c r="B168" s="2" t="s">
        <v>460</v>
      </c>
      <c r="C168" s="2">
        <v>2019</v>
      </c>
      <c r="D168" s="2" t="s">
        <v>146</v>
      </c>
      <c r="E168" s="2" t="s">
        <v>49</v>
      </c>
      <c r="F168" s="2" t="s">
        <v>146</v>
      </c>
      <c r="G168" s="2" t="s">
        <v>49</v>
      </c>
      <c r="H168" s="2" t="s">
        <v>146</v>
      </c>
      <c r="I168" s="2" t="s">
        <v>49</v>
      </c>
      <c r="J168" s="2" t="s">
        <v>146</v>
      </c>
    </row>
    <row r="169" spans="1:10" ht="15" customHeight="1" x14ac:dyDescent="0.45">
      <c r="A169" s="2" t="s">
        <v>459</v>
      </c>
      <c r="B169" s="2" t="s">
        <v>458</v>
      </c>
      <c r="C169" s="2">
        <v>2019</v>
      </c>
      <c r="D169" s="2">
        <v>3.71</v>
      </c>
      <c r="E169" s="2" t="s">
        <v>785</v>
      </c>
      <c r="F169" s="2">
        <v>3.71</v>
      </c>
      <c r="G169" s="2" t="s">
        <v>49</v>
      </c>
      <c r="H169" s="2" t="s">
        <v>146</v>
      </c>
      <c r="I169" s="2" t="s">
        <v>49</v>
      </c>
      <c r="J169" s="2" t="s">
        <v>146</v>
      </c>
    </row>
    <row r="170" spans="1:10" ht="15" customHeight="1" x14ac:dyDescent="0.45">
      <c r="A170" s="2" t="s">
        <v>457</v>
      </c>
      <c r="B170" s="2" t="s">
        <v>456</v>
      </c>
      <c r="C170" s="2">
        <v>2019</v>
      </c>
      <c r="D170" s="2" t="s">
        <v>146</v>
      </c>
      <c r="E170" s="2" t="s">
        <v>49</v>
      </c>
      <c r="F170" s="2" t="s">
        <v>146</v>
      </c>
      <c r="G170" s="2" t="s">
        <v>49</v>
      </c>
      <c r="H170" s="2" t="s">
        <v>146</v>
      </c>
      <c r="I170" s="2" t="s">
        <v>49</v>
      </c>
      <c r="J170" s="2" t="s">
        <v>146</v>
      </c>
    </row>
    <row r="171" spans="1:10" ht="15" customHeight="1" x14ac:dyDescent="0.45">
      <c r="A171" s="2" t="s">
        <v>453</v>
      </c>
      <c r="B171" s="2" t="s">
        <v>455</v>
      </c>
      <c r="C171" s="2">
        <v>2019</v>
      </c>
      <c r="D171" s="2" t="s">
        <v>146</v>
      </c>
      <c r="E171" s="2" t="s">
        <v>49</v>
      </c>
      <c r="F171" s="2" t="s">
        <v>146</v>
      </c>
      <c r="G171" s="2" t="s">
        <v>49</v>
      </c>
      <c r="H171" s="2" t="s">
        <v>146</v>
      </c>
      <c r="I171" s="2" t="s">
        <v>49</v>
      </c>
      <c r="J171" s="2" t="s">
        <v>146</v>
      </c>
    </row>
    <row r="172" spans="1:10" ht="15" customHeight="1" x14ac:dyDescent="0.45">
      <c r="A172" s="2" t="s">
        <v>453</v>
      </c>
      <c r="B172" s="2" t="s">
        <v>454</v>
      </c>
      <c r="C172" s="2">
        <v>2019</v>
      </c>
      <c r="D172" s="2" t="s">
        <v>146</v>
      </c>
      <c r="E172" s="2" t="s">
        <v>49</v>
      </c>
      <c r="F172" s="2" t="s">
        <v>146</v>
      </c>
      <c r="G172" s="2" t="s">
        <v>49</v>
      </c>
      <c r="H172" s="2" t="s">
        <v>146</v>
      </c>
      <c r="I172" s="2" t="s">
        <v>49</v>
      </c>
      <c r="J172" s="2" t="s">
        <v>146</v>
      </c>
    </row>
    <row r="173" spans="1:10" ht="15" customHeight="1" x14ac:dyDescent="0.45">
      <c r="A173" s="2" t="s">
        <v>453</v>
      </c>
      <c r="B173" s="2" t="s">
        <v>452</v>
      </c>
      <c r="C173" s="2">
        <v>2019</v>
      </c>
      <c r="D173" s="2" t="s">
        <v>146</v>
      </c>
      <c r="E173" s="2" t="s">
        <v>49</v>
      </c>
      <c r="F173" s="2" t="s">
        <v>146</v>
      </c>
      <c r="G173" s="2" t="s">
        <v>49</v>
      </c>
      <c r="H173" s="2" t="s">
        <v>146</v>
      </c>
      <c r="I173" s="2" t="s">
        <v>49</v>
      </c>
      <c r="J173" s="2" t="s">
        <v>146</v>
      </c>
    </row>
    <row r="174" spans="1:10" ht="15" customHeight="1" x14ac:dyDescent="0.45">
      <c r="A174" s="2" t="s">
        <v>449</v>
      </c>
      <c r="B174" s="2" t="s">
        <v>451</v>
      </c>
      <c r="C174" s="2">
        <v>2019</v>
      </c>
      <c r="D174" s="2" t="s">
        <v>146</v>
      </c>
      <c r="E174" s="2" t="s">
        <v>49</v>
      </c>
      <c r="F174" s="2" t="s">
        <v>146</v>
      </c>
      <c r="G174" s="2" t="s">
        <v>49</v>
      </c>
      <c r="H174" s="2" t="s">
        <v>146</v>
      </c>
      <c r="I174" s="2" t="s">
        <v>49</v>
      </c>
      <c r="J174" s="2" t="s">
        <v>146</v>
      </c>
    </row>
    <row r="175" spans="1:10" ht="15" customHeight="1" x14ac:dyDescent="0.45">
      <c r="A175" s="2" t="s">
        <v>449</v>
      </c>
      <c r="B175" s="2" t="s">
        <v>450</v>
      </c>
      <c r="C175" s="2">
        <v>2019</v>
      </c>
      <c r="D175" s="2">
        <v>6.86</v>
      </c>
      <c r="E175" s="2" t="s">
        <v>784</v>
      </c>
      <c r="F175" s="2">
        <v>6.86</v>
      </c>
      <c r="G175" s="2" t="s">
        <v>49</v>
      </c>
      <c r="H175" s="2" t="s">
        <v>146</v>
      </c>
      <c r="I175" s="2" t="s">
        <v>49</v>
      </c>
      <c r="J175" s="2" t="s">
        <v>146</v>
      </c>
    </row>
    <row r="176" spans="1:10" ht="15" customHeight="1" x14ac:dyDescent="0.45">
      <c r="A176" s="2" t="s">
        <v>449</v>
      </c>
      <c r="B176" s="2" t="s">
        <v>448</v>
      </c>
      <c r="C176" s="2">
        <v>2019</v>
      </c>
      <c r="D176" s="2" t="s">
        <v>146</v>
      </c>
      <c r="E176" s="2" t="s">
        <v>49</v>
      </c>
      <c r="F176" s="2" t="s">
        <v>146</v>
      </c>
      <c r="G176" s="2" t="s">
        <v>49</v>
      </c>
      <c r="H176" s="2" t="s">
        <v>146</v>
      </c>
      <c r="I176" s="2" t="s">
        <v>49</v>
      </c>
      <c r="J176" s="2" t="s">
        <v>146</v>
      </c>
    </row>
    <row r="177" spans="1:10" ht="15" customHeight="1" x14ac:dyDescent="0.45">
      <c r="A177" s="2" t="s">
        <v>447</v>
      </c>
      <c r="B177" s="2" t="s">
        <v>446</v>
      </c>
      <c r="C177" s="2">
        <v>2019</v>
      </c>
      <c r="D177" s="2" t="s">
        <v>146</v>
      </c>
      <c r="E177" s="2" t="s">
        <v>49</v>
      </c>
      <c r="F177" s="2" t="s">
        <v>146</v>
      </c>
      <c r="G177" s="2" t="s">
        <v>49</v>
      </c>
      <c r="H177" s="2" t="s">
        <v>146</v>
      </c>
      <c r="I177" s="2" t="s">
        <v>49</v>
      </c>
      <c r="J177" s="2" t="s">
        <v>146</v>
      </c>
    </row>
    <row r="178" spans="1:10" ht="15" customHeight="1" x14ac:dyDescent="0.45">
      <c r="A178" s="2" t="s">
        <v>444</v>
      </c>
      <c r="B178" s="2" t="s">
        <v>445</v>
      </c>
      <c r="C178" s="2">
        <v>2019</v>
      </c>
      <c r="D178" s="2" t="s">
        <v>146</v>
      </c>
      <c r="E178" s="2" t="s">
        <v>146</v>
      </c>
      <c r="F178" s="2" t="s">
        <v>146</v>
      </c>
      <c r="G178" s="2" t="s">
        <v>49</v>
      </c>
      <c r="H178" s="2" t="s">
        <v>146</v>
      </c>
      <c r="I178" s="2" t="s">
        <v>146</v>
      </c>
      <c r="J178" s="2" t="s">
        <v>146</v>
      </c>
    </row>
    <row r="179" spans="1:10" ht="15" customHeight="1" x14ac:dyDescent="0.45">
      <c r="A179" s="2" t="s">
        <v>444</v>
      </c>
      <c r="B179" s="2" t="s">
        <v>443</v>
      </c>
      <c r="C179" s="2">
        <v>2019</v>
      </c>
      <c r="D179" s="2" t="s">
        <v>146</v>
      </c>
      <c r="E179" s="2" t="s">
        <v>49</v>
      </c>
      <c r="F179" s="2" t="s">
        <v>146</v>
      </c>
      <c r="G179" s="2" t="s">
        <v>49</v>
      </c>
      <c r="H179" s="2" t="s">
        <v>146</v>
      </c>
      <c r="I179" s="2" t="s">
        <v>49</v>
      </c>
      <c r="J179" s="2" t="s">
        <v>146</v>
      </c>
    </row>
    <row r="180" spans="1:10" ht="15" customHeight="1" x14ac:dyDescent="0.45">
      <c r="A180" s="2" t="s">
        <v>442</v>
      </c>
      <c r="B180" s="2" t="s">
        <v>441</v>
      </c>
      <c r="C180" s="2">
        <v>2019</v>
      </c>
      <c r="D180" s="2" t="s">
        <v>146</v>
      </c>
      <c r="E180" s="2" t="s">
        <v>49</v>
      </c>
      <c r="F180" s="2" t="s">
        <v>146</v>
      </c>
      <c r="G180" s="2" t="s">
        <v>49</v>
      </c>
      <c r="H180" s="2" t="s">
        <v>146</v>
      </c>
      <c r="I180" s="2" t="s">
        <v>49</v>
      </c>
      <c r="J180" s="2" t="s">
        <v>146</v>
      </c>
    </row>
    <row r="181" spans="1:10" ht="15" customHeight="1" x14ac:dyDescent="0.45">
      <c r="A181" s="2" t="s">
        <v>440</v>
      </c>
      <c r="B181" s="2" t="s">
        <v>439</v>
      </c>
      <c r="C181" s="2">
        <v>2019</v>
      </c>
      <c r="D181" s="2" t="s">
        <v>49</v>
      </c>
      <c r="E181" s="2" t="s">
        <v>49</v>
      </c>
      <c r="F181" s="2" t="s">
        <v>49</v>
      </c>
      <c r="G181" s="2" t="s">
        <v>49</v>
      </c>
      <c r="H181" s="2" t="s">
        <v>49</v>
      </c>
      <c r="I181" s="2" t="s">
        <v>49</v>
      </c>
      <c r="J181" s="2" t="s">
        <v>49</v>
      </c>
    </row>
    <row r="182" spans="1:10" ht="15" customHeight="1" x14ac:dyDescent="0.45">
      <c r="A182" s="2" t="s">
        <v>438</v>
      </c>
      <c r="B182" s="2" t="s">
        <v>437</v>
      </c>
      <c r="C182" s="2">
        <v>2019</v>
      </c>
      <c r="D182" s="2" t="s">
        <v>49</v>
      </c>
      <c r="E182" s="2" t="s">
        <v>49</v>
      </c>
      <c r="F182" s="2" t="s">
        <v>49</v>
      </c>
      <c r="G182" s="2" t="s">
        <v>49</v>
      </c>
      <c r="H182" s="2" t="s">
        <v>49</v>
      </c>
      <c r="I182" s="2" t="s">
        <v>49</v>
      </c>
      <c r="J182" s="2" t="s">
        <v>49</v>
      </c>
    </row>
    <row r="183" spans="1:10" ht="15" customHeight="1" x14ac:dyDescent="0.45">
      <c r="A183" s="2" t="s">
        <v>432</v>
      </c>
      <c r="B183" s="2" t="s">
        <v>436</v>
      </c>
      <c r="C183" s="2">
        <v>2019</v>
      </c>
      <c r="D183" s="2" t="s">
        <v>146</v>
      </c>
      <c r="E183" s="2" t="s">
        <v>49</v>
      </c>
      <c r="F183" s="2" t="s">
        <v>146</v>
      </c>
      <c r="G183" s="2" t="s">
        <v>49</v>
      </c>
      <c r="H183" s="2" t="s">
        <v>146</v>
      </c>
      <c r="I183" s="2" t="s">
        <v>49</v>
      </c>
      <c r="J183" s="2" t="s">
        <v>146</v>
      </c>
    </row>
    <row r="184" spans="1:10" ht="15" customHeight="1" x14ac:dyDescent="0.45">
      <c r="A184" s="2" t="s">
        <v>432</v>
      </c>
      <c r="B184" s="2" t="s">
        <v>435</v>
      </c>
      <c r="C184" s="2">
        <v>2019</v>
      </c>
      <c r="D184" s="2" t="s">
        <v>146</v>
      </c>
      <c r="E184" s="2" t="s">
        <v>49</v>
      </c>
      <c r="F184" s="2" t="s">
        <v>146</v>
      </c>
      <c r="G184" s="2" t="s">
        <v>49</v>
      </c>
      <c r="H184" s="2" t="s">
        <v>146</v>
      </c>
      <c r="I184" s="2" t="s">
        <v>49</v>
      </c>
      <c r="J184" s="2" t="s">
        <v>146</v>
      </c>
    </row>
    <row r="185" spans="1:10" ht="15" customHeight="1" x14ac:dyDescent="0.45">
      <c r="A185" s="2" t="s">
        <v>432</v>
      </c>
      <c r="B185" s="2" t="s">
        <v>434</v>
      </c>
      <c r="C185" s="2">
        <v>2019</v>
      </c>
      <c r="D185" s="2" t="s">
        <v>146</v>
      </c>
      <c r="E185" s="2" t="s">
        <v>49</v>
      </c>
      <c r="F185" s="2" t="s">
        <v>146</v>
      </c>
      <c r="G185" s="2" t="s">
        <v>49</v>
      </c>
      <c r="H185" s="2" t="s">
        <v>146</v>
      </c>
      <c r="I185" s="2" t="s">
        <v>49</v>
      </c>
      <c r="J185" s="2" t="s">
        <v>146</v>
      </c>
    </row>
    <row r="186" spans="1:10" ht="15" customHeight="1" x14ac:dyDescent="0.45">
      <c r="A186" s="2" t="s">
        <v>432</v>
      </c>
      <c r="B186" s="2" t="s">
        <v>431</v>
      </c>
      <c r="C186" s="2">
        <v>2019</v>
      </c>
      <c r="D186" s="2" t="s">
        <v>146</v>
      </c>
      <c r="E186" s="2" t="s">
        <v>49</v>
      </c>
      <c r="F186" s="2" t="s">
        <v>146</v>
      </c>
      <c r="G186" s="2" t="s">
        <v>49</v>
      </c>
      <c r="H186" s="2" t="s">
        <v>146</v>
      </c>
      <c r="I186" s="2" t="s">
        <v>49</v>
      </c>
      <c r="J186" s="2" t="s">
        <v>146</v>
      </c>
    </row>
    <row r="187" spans="1:10" ht="15" customHeight="1" x14ac:dyDescent="0.45">
      <c r="A187" s="2" t="s">
        <v>428</v>
      </c>
      <c r="B187" s="2" t="s">
        <v>430</v>
      </c>
      <c r="C187" s="2">
        <v>2019</v>
      </c>
      <c r="D187" s="2" t="s">
        <v>146</v>
      </c>
      <c r="E187" s="2" t="s">
        <v>49</v>
      </c>
      <c r="F187" s="2" t="s">
        <v>146</v>
      </c>
      <c r="G187" s="2" t="s">
        <v>49</v>
      </c>
      <c r="H187" s="2" t="s">
        <v>146</v>
      </c>
      <c r="I187" s="2" t="s">
        <v>49</v>
      </c>
      <c r="J187" s="2" t="s">
        <v>146</v>
      </c>
    </row>
    <row r="188" spans="1:10" ht="15" customHeight="1" x14ac:dyDescent="0.45">
      <c r="A188" s="2" t="s">
        <v>428</v>
      </c>
      <c r="B188" s="2" t="s">
        <v>429</v>
      </c>
      <c r="C188" s="2">
        <v>2019</v>
      </c>
      <c r="D188" s="2" t="s">
        <v>146</v>
      </c>
      <c r="E188" s="2" t="s">
        <v>49</v>
      </c>
      <c r="F188" s="2" t="s">
        <v>146</v>
      </c>
      <c r="G188" s="2" t="s">
        <v>49</v>
      </c>
      <c r="H188" s="2" t="s">
        <v>146</v>
      </c>
      <c r="I188" s="2" t="s">
        <v>49</v>
      </c>
      <c r="J188" s="2" t="s">
        <v>146</v>
      </c>
    </row>
    <row r="189" spans="1:10" ht="15" customHeight="1" x14ac:dyDescent="0.45">
      <c r="A189" s="2" t="s">
        <v>428</v>
      </c>
      <c r="B189" s="2" t="s">
        <v>427</v>
      </c>
      <c r="C189" s="2">
        <v>2019</v>
      </c>
      <c r="D189" s="2" t="s">
        <v>49</v>
      </c>
      <c r="E189" s="2" t="s">
        <v>49</v>
      </c>
      <c r="F189" s="2" t="s">
        <v>49</v>
      </c>
      <c r="G189" s="2" t="s">
        <v>49</v>
      </c>
      <c r="H189" s="2" t="s">
        <v>49</v>
      </c>
      <c r="I189" s="2" t="s">
        <v>49</v>
      </c>
      <c r="J189" s="2" t="s">
        <v>49</v>
      </c>
    </row>
    <row r="190" spans="1:10" ht="15" customHeight="1" x14ac:dyDescent="0.45">
      <c r="A190" s="2" t="s">
        <v>418</v>
      </c>
      <c r="B190" s="2" t="s">
        <v>426</v>
      </c>
      <c r="C190" s="2">
        <v>2019</v>
      </c>
      <c r="D190" s="2" t="s">
        <v>146</v>
      </c>
      <c r="E190" s="2" t="s">
        <v>49</v>
      </c>
      <c r="F190" s="2" t="s">
        <v>146</v>
      </c>
      <c r="G190" s="2" t="s">
        <v>49</v>
      </c>
      <c r="H190" s="2" t="s">
        <v>146</v>
      </c>
      <c r="I190" s="2" t="s">
        <v>49</v>
      </c>
      <c r="J190" s="2" t="s">
        <v>146</v>
      </c>
    </row>
    <row r="191" spans="1:10" ht="15" customHeight="1" x14ac:dyDescent="0.45">
      <c r="A191" s="2" t="s">
        <v>418</v>
      </c>
      <c r="B191" s="2" t="s">
        <v>424</v>
      </c>
      <c r="C191" s="2">
        <v>2019</v>
      </c>
      <c r="D191" s="2">
        <v>1.361</v>
      </c>
      <c r="E191" s="2" t="s">
        <v>866</v>
      </c>
      <c r="F191" s="2">
        <v>1.361</v>
      </c>
      <c r="G191" s="2" t="s">
        <v>49</v>
      </c>
      <c r="H191" s="2" t="s">
        <v>146</v>
      </c>
      <c r="I191" s="2" t="s">
        <v>49</v>
      </c>
      <c r="J191" s="2" t="s">
        <v>146</v>
      </c>
    </row>
    <row r="192" spans="1:10" ht="15" customHeight="1" x14ac:dyDescent="0.45">
      <c r="A192" s="2" t="s">
        <v>418</v>
      </c>
      <c r="B192" s="2" t="s">
        <v>423</v>
      </c>
      <c r="C192" s="2">
        <v>2019</v>
      </c>
      <c r="D192" s="2" t="s">
        <v>146</v>
      </c>
      <c r="E192" s="2" t="s">
        <v>49</v>
      </c>
      <c r="F192" s="2" t="s">
        <v>146</v>
      </c>
      <c r="G192" s="2" t="s">
        <v>49</v>
      </c>
      <c r="H192" s="2" t="s">
        <v>146</v>
      </c>
      <c r="I192" s="2" t="s">
        <v>49</v>
      </c>
      <c r="J192" s="2" t="s">
        <v>146</v>
      </c>
    </row>
    <row r="193" spans="1:10" ht="15" customHeight="1" x14ac:dyDescent="0.45">
      <c r="A193" s="2" t="s">
        <v>418</v>
      </c>
      <c r="B193" s="2" t="s">
        <v>422</v>
      </c>
      <c r="C193" s="2">
        <v>2019</v>
      </c>
      <c r="D193" s="2" t="s">
        <v>146</v>
      </c>
      <c r="E193" s="2" t="s">
        <v>49</v>
      </c>
      <c r="F193" s="2" t="s">
        <v>146</v>
      </c>
      <c r="G193" s="2" t="s">
        <v>49</v>
      </c>
      <c r="H193" s="2" t="s">
        <v>146</v>
      </c>
      <c r="I193" s="2" t="s">
        <v>49</v>
      </c>
      <c r="J193" s="2" t="s">
        <v>146</v>
      </c>
    </row>
    <row r="194" spans="1:10" ht="15" customHeight="1" x14ac:dyDescent="0.45">
      <c r="A194" s="2" t="s">
        <v>418</v>
      </c>
      <c r="B194" s="2" t="s">
        <v>1181</v>
      </c>
      <c r="C194" s="2">
        <v>2019</v>
      </c>
      <c r="D194" s="2" t="s">
        <v>146</v>
      </c>
      <c r="E194" s="2" t="s">
        <v>49</v>
      </c>
      <c r="F194" s="2" t="s">
        <v>146</v>
      </c>
      <c r="G194" s="2" t="s">
        <v>49</v>
      </c>
      <c r="H194" s="2" t="s">
        <v>146</v>
      </c>
      <c r="I194" s="2" t="s">
        <v>49</v>
      </c>
      <c r="J194" s="2" t="s">
        <v>146</v>
      </c>
    </row>
    <row r="195" spans="1:10" ht="15" customHeight="1" x14ac:dyDescent="0.45">
      <c r="A195" s="2" t="s">
        <v>418</v>
      </c>
      <c r="B195" s="2" t="s">
        <v>97</v>
      </c>
      <c r="C195" s="2">
        <v>2019</v>
      </c>
      <c r="D195" s="2" t="s">
        <v>146</v>
      </c>
      <c r="E195" s="2" t="s">
        <v>49</v>
      </c>
      <c r="F195" s="2" t="s">
        <v>146</v>
      </c>
      <c r="G195" s="2" t="s">
        <v>49</v>
      </c>
      <c r="H195" s="2" t="s">
        <v>146</v>
      </c>
      <c r="I195" s="2" t="s">
        <v>49</v>
      </c>
      <c r="J195" s="2" t="s">
        <v>146</v>
      </c>
    </row>
    <row r="196" spans="1:10" ht="15" customHeight="1" x14ac:dyDescent="0.45">
      <c r="A196" s="2" t="s">
        <v>418</v>
      </c>
      <c r="B196" s="2" t="s">
        <v>99</v>
      </c>
      <c r="C196" s="2">
        <v>2019</v>
      </c>
      <c r="D196" s="2">
        <v>0.25600000000000001</v>
      </c>
      <c r="E196" s="2" t="s">
        <v>865</v>
      </c>
      <c r="F196" s="2">
        <v>0.25600000000000001</v>
      </c>
      <c r="G196" s="2" t="s">
        <v>49</v>
      </c>
      <c r="H196" s="2" t="s">
        <v>146</v>
      </c>
      <c r="I196" s="2" t="s">
        <v>49</v>
      </c>
      <c r="J196" s="2" t="s">
        <v>146</v>
      </c>
    </row>
    <row r="197" spans="1:10" ht="15" customHeight="1" x14ac:dyDescent="0.45">
      <c r="A197" s="2" t="s">
        <v>418</v>
      </c>
      <c r="B197" s="2" t="s">
        <v>421</v>
      </c>
      <c r="C197" s="2">
        <v>2019</v>
      </c>
      <c r="D197" s="2" t="s">
        <v>146</v>
      </c>
      <c r="E197" s="2" t="s">
        <v>49</v>
      </c>
      <c r="F197" s="2" t="s">
        <v>146</v>
      </c>
      <c r="G197" s="2" t="s">
        <v>49</v>
      </c>
      <c r="H197" s="2" t="s">
        <v>146</v>
      </c>
      <c r="I197" s="2" t="s">
        <v>49</v>
      </c>
      <c r="J197" s="2" t="s">
        <v>146</v>
      </c>
    </row>
    <row r="198" spans="1:10" ht="15" customHeight="1" x14ac:dyDescent="0.45">
      <c r="A198" s="2" t="s">
        <v>418</v>
      </c>
      <c r="B198" s="2" t="s">
        <v>101</v>
      </c>
      <c r="C198" s="2">
        <v>2019</v>
      </c>
      <c r="D198" s="2" t="s">
        <v>146</v>
      </c>
      <c r="E198" s="2" t="s">
        <v>49</v>
      </c>
      <c r="F198" s="2" t="s">
        <v>146</v>
      </c>
      <c r="G198" s="2" t="s">
        <v>49</v>
      </c>
      <c r="H198" s="2" t="s">
        <v>146</v>
      </c>
      <c r="I198" s="2" t="s">
        <v>49</v>
      </c>
      <c r="J198" s="2" t="s">
        <v>146</v>
      </c>
    </row>
    <row r="199" spans="1:10" ht="15" customHeight="1" x14ac:dyDescent="0.45">
      <c r="A199" s="2" t="s">
        <v>418</v>
      </c>
      <c r="B199" s="2" t="s">
        <v>103</v>
      </c>
      <c r="C199" s="2">
        <v>2019</v>
      </c>
      <c r="D199" s="2" t="s">
        <v>146</v>
      </c>
      <c r="E199" s="2" t="s">
        <v>49</v>
      </c>
      <c r="F199" s="2" t="s">
        <v>146</v>
      </c>
      <c r="G199" s="2" t="s">
        <v>49</v>
      </c>
      <c r="H199" s="2" t="s">
        <v>146</v>
      </c>
      <c r="I199" s="2" t="s">
        <v>49</v>
      </c>
      <c r="J199" s="2" t="s">
        <v>146</v>
      </c>
    </row>
    <row r="200" spans="1:10" ht="15" customHeight="1" x14ac:dyDescent="0.45">
      <c r="A200" s="2" t="s">
        <v>418</v>
      </c>
      <c r="B200" s="2" t="s">
        <v>105</v>
      </c>
      <c r="C200" s="2">
        <v>2019</v>
      </c>
      <c r="D200" s="2" t="s">
        <v>146</v>
      </c>
      <c r="E200" s="2" t="s">
        <v>49</v>
      </c>
      <c r="F200" s="2" t="s">
        <v>146</v>
      </c>
      <c r="G200" s="2" t="s">
        <v>49</v>
      </c>
      <c r="H200" s="2" t="s">
        <v>146</v>
      </c>
      <c r="I200" s="2" t="s">
        <v>49</v>
      </c>
      <c r="J200" s="2" t="s">
        <v>146</v>
      </c>
    </row>
    <row r="201" spans="1:10" ht="15" customHeight="1" x14ac:dyDescent="0.45">
      <c r="A201" s="2" t="s">
        <v>418</v>
      </c>
      <c r="B201" s="2" t="s">
        <v>1183</v>
      </c>
      <c r="C201" s="2">
        <v>2019</v>
      </c>
      <c r="D201" s="2" t="s">
        <v>146</v>
      </c>
      <c r="E201" s="2" t="s">
        <v>49</v>
      </c>
      <c r="F201" s="2" t="s">
        <v>146</v>
      </c>
      <c r="G201" s="2" t="s">
        <v>49</v>
      </c>
      <c r="H201" s="2" t="s">
        <v>146</v>
      </c>
      <c r="I201" s="2" t="s">
        <v>49</v>
      </c>
      <c r="J201" s="2" t="s">
        <v>146</v>
      </c>
    </row>
    <row r="202" spans="1:10" ht="15" customHeight="1" x14ac:dyDescent="0.45">
      <c r="A202" s="2" t="s">
        <v>418</v>
      </c>
      <c r="B202" s="2" t="s">
        <v>107</v>
      </c>
      <c r="C202" s="2">
        <v>2019</v>
      </c>
      <c r="D202" s="2" t="s">
        <v>146</v>
      </c>
      <c r="E202" s="2" t="s">
        <v>49</v>
      </c>
      <c r="F202" s="2" t="s">
        <v>146</v>
      </c>
      <c r="G202" s="2" t="s">
        <v>49</v>
      </c>
      <c r="H202" s="2" t="s">
        <v>146</v>
      </c>
      <c r="I202" s="2" t="s">
        <v>49</v>
      </c>
      <c r="J202" s="2" t="s">
        <v>146</v>
      </c>
    </row>
    <row r="203" spans="1:10" ht="15" customHeight="1" x14ac:dyDescent="0.45">
      <c r="A203" s="2" t="s">
        <v>418</v>
      </c>
      <c r="B203" s="2" t="s">
        <v>420</v>
      </c>
      <c r="C203" s="2">
        <v>2019</v>
      </c>
      <c r="D203" s="2" t="s">
        <v>146</v>
      </c>
      <c r="E203" s="2" t="s">
        <v>49</v>
      </c>
      <c r="F203" s="2" t="s">
        <v>146</v>
      </c>
      <c r="G203" s="2" t="s">
        <v>49</v>
      </c>
      <c r="H203" s="2" t="s">
        <v>146</v>
      </c>
      <c r="I203" s="2" t="s">
        <v>49</v>
      </c>
      <c r="J203" s="2" t="s">
        <v>146</v>
      </c>
    </row>
    <row r="204" spans="1:10" ht="15" customHeight="1" x14ac:dyDescent="0.45">
      <c r="A204" s="2" t="s">
        <v>418</v>
      </c>
      <c r="B204" s="2" t="s">
        <v>419</v>
      </c>
      <c r="C204" s="2">
        <v>2019</v>
      </c>
      <c r="D204" s="2" t="s">
        <v>146</v>
      </c>
      <c r="E204" s="2" t="s">
        <v>49</v>
      </c>
      <c r="F204" s="2" t="s">
        <v>146</v>
      </c>
      <c r="G204" s="2" t="s">
        <v>49</v>
      </c>
      <c r="H204" s="2" t="s">
        <v>146</v>
      </c>
      <c r="I204" s="2" t="s">
        <v>49</v>
      </c>
      <c r="J204" s="2" t="s">
        <v>146</v>
      </c>
    </row>
    <row r="205" spans="1:10" ht="15" customHeight="1" x14ac:dyDescent="0.45">
      <c r="A205" s="2" t="s">
        <v>418</v>
      </c>
      <c r="B205" s="2" t="s">
        <v>109</v>
      </c>
      <c r="C205" s="2">
        <v>2019</v>
      </c>
      <c r="D205" s="2" t="s">
        <v>146</v>
      </c>
      <c r="E205" s="2" t="s">
        <v>49</v>
      </c>
      <c r="F205" s="2" t="s">
        <v>146</v>
      </c>
      <c r="G205" s="2" t="s">
        <v>49</v>
      </c>
      <c r="H205" s="2" t="s">
        <v>146</v>
      </c>
      <c r="I205" s="2" t="s">
        <v>49</v>
      </c>
      <c r="J205" s="2" t="s">
        <v>146</v>
      </c>
    </row>
    <row r="206" spans="1:10" ht="15" customHeight="1" x14ac:dyDescent="0.45">
      <c r="A206" s="2" t="s">
        <v>416</v>
      </c>
      <c r="B206" s="2" t="s">
        <v>417</v>
      </c>
      <c r="C206" s="2">
        <v>2019</v>
      </c>
      <c r="D206" s="2" t="s">
        <v>146</v>
      </c>
      <c r="E206" s="2" t="s">
        <v>49</v>
      </c>
      <c r="F206" s="2" t="s">
        <v>146</v>
      </c>
      <c r="G206" s="2" t="s">
        <v>49</v>
      </c>
      <c r="H206" s="2" t="s">
        <v>146</v>
      </c>
      <c r="I206" s="2" t="s">
        <v>49</v>
      </c>
      <c r="J206" s="2" t="s">
        <v>146</v>
      </c>
    </row>
    <row r="207" spans="1:10" ht="15" customHeight="1" x14ac:dyDescent="0.45">
      <c r="A207" s="2" t="s">
        <v>416</v>
      </c>
      <c r="B207" s="2" t="s">
        <v>415</v>
      </c>
      <c r="C207" s="2">
        <v>2019</v>
      </c>
      <c r="D207" s="2" t="s">
        <v>146</v>
      </c>
      <c r="E207" s="2" t="s">
        <v>49</v>
      </c>
      <c r="F207" s="2" t="s">
        <v>146</v>
      </c>
      <c r="G207" s="2" t="s">
        <v>49</v>
      </c>
      <c r="H207" s="2" t="s">
        <v>146</v>
      </c>
      <c r="I207" s="2" t="s">
        <v>49</v>
      </c>
      <c r="J207" s="2" t="s">
        <v>146</v>
      </c>
    </row>
    <row r="208" spans="1:10" ht="15" customHeight="1" x14ac:dyDescent="0.45">
      <c r="A208" s="2" t="s">
        <v>413</v>
      </c>
      <c r="B208" s="2" t="s">
        <v>414</v>
      </c>
      <c r="C208" s="2">
        <v>2019</v>
      </c>
      <c r="D208" s="2" t="s">
        <v>146</v>
      </c>
      <c r="E208" s="2" t="s">
        <v>49</v>
      </c>
      <c r="F208" s="2" t="s">
        <v>146</v>
      </c>
      <c r="G208" s="2" t="s">
        <v>49</v>
      </c>
      <c r="H208" s="2" t="s">
        <v>146</v>
      </c>
      <c r="I208" s="2" t="s">
        <v>49</v>
      </c>
      <c r="J208" s="2" t="s">
        <v>146</v>
      </c>
    </row>
    <row r="209" spans="1:10" ht="15" customHeight="1" x14ac:dyDescent="0.45">
      <c r="A209" s="2" t="s">
        <v>413</v>
      </c>
      <c r="B209" s="2" t="s">
        <v>412</v>
      </c>
      <c r="C209" s="2">
        <v>2019</v>
      </c>
      <c r="D209" s="2" t="s">
        <v>146</v>
      </c>
      <c r="E209" s="2" t="s">
        <v>49</v>
      </c>
      <c r="F209" s="2" t="s">
        <v>146</v>
      </c>
      <c r="G209" s="2" t="s">
        <v>49</v>
      </c>
      <c r="H209" s="2" t="s">
        <v>146</v>
      </c>
      <c r="I209" s="2" t="s">
        <v>49</v>
      </c>
      <c r="J209" s="2" t="s">
        <v>146</v>
      </c>
    </row>
    <row r="210" spans="1:10" ht="15" customHeight="1" x14ac:dyDescent="0.45">
      <c r="A210" s="2" t="s">
        <v>411</v>
      </c>
      <c r="B210" s="2" t="s">
        <v>410</v>
      </c>
      <c r="C210" s="2">
        <v>2019</v>
      </c>
      <c r="D210" s="2" t="s">
        <v>146</v>
      </c>
      <c r="E210" s="2" t="s">
        <v>49</v>
      </c>
      <c r="F210" s="2" t="s">
        <v>146</v>
      </c>
      <c r="G210" s="2" t="s">
        <v>49</v>
      </c>
      <c r="H210" s="2" t="s">
        <v>146</v>
      </c>
      <c r="I210" s="2" t="s">
        <v>49</v>
      </c>
      <c r="J210" s="2" t="s">
        <v>146</v>
      </c>
    </row>
    <row r="211" spans="1:10" ht="15" customHeight="1" x14ac:dyDescent="0.45">
      <c r="A211" s="2" t="s">
        <v>111</v>
      </c>
      <c r="B211" s="2" t="s">
        <v>409</v>
      </c>
      <c r="C211" s="2">
        <v>2019</v>
      </c>
      <c r="D211" s="2">
        <v>7.0000000000000007E-2</v>
      </c>
      <c r="E211" s="2" t="s">
        <v>864</v>
      </c>
      <c r="F211" s="2">
        <v>7.0000000000000007E-2</v>
      </c>
      <c r="G211" s="2" t="s">
        <v>49</v>
      </c>
      <c r="H211" s="2" t="s">
        <v>146</v>
      </c>
      <c r="I211" s="2" t="s">
        <v>49</v>
      </c>
      <c r="J211" s="2" t="s">
        <v>146</v>
      </c>
    </row>
    <row r="212" spans="1:10" ht="15" customHeight="1" x14ac:dyDescent="0.45">
      <c r="A212" s="2" t="s">
        <v>406</v>
      </c>
      <c r="B212" s="2" t="s">
        <v>408</v>
      </c>
      <c r="C212" s="2">
        <v>2019</v>
      </c>
      <c r="D212" s="2">
        <v>7.0490000000000004</v>
      </c>
      <c r="E212" s="2" t="s">
        <v>863</v>
      </c>
      <c r="F212" s="2">
        <v>7.0490000000000004</v>
      </c>
      <c r="G212" s="2" t="s">
        <v>49</v>
      </c>
      <c r="H212" s="2" t="s">
        <v>146</v>
      </c>
      <c r="I212" s="2" t="s">
        <v>49</v>
      </c>
      <c r="J212" s="2" t="s">
        <v>146</v>
      </c>
    </row>
    <row r="213" spans="1:10" ht="15" customHeight="1" x14ac:dyDescent="0.45">
      <c r="A213" s="2" t="s">
        <v>406</v>
      </c>
      <c r="B213" s="2" t="s">
        <v>407</v>
      </c>
      <c r="C213" s="2">
        <v>2019</v>
      </c>
      <c r="D213" s="2" t="s">
        <v>146</v>
      </c>
      <c r="E213" s="2" t="s">
        <v>49</v>
      </c>
      <c r="F213" s="2" t="s">
        <v>146</v>
      </c>
      <c r="G213" s="2" t="s">
        <v>49</v>
      </c>
      <c r="H213" s="2" t="s">
        <v>146</v>
      </c>
      <c r="I213" s="2" t="s">
        <v>49</v>
      </c>
      <c r="J213" s="2" t="s">
        <v>146</v>
      </c>
    </row>
    <row r="214" spans="1:10" ht="15" customHeight="1" x14ac:dyDescent="0.45">
      <c r="A214" s="2" t="s">
        <v>406</v>
      </c>
      <c r="B214" s="2" t="s">
        <v>405</v>
      </c>
      <c r="C214" s="2">
        <v>2019</v>
      </c>
      <c r="D214" s="2" t="s">
        <v>146</v>
      </c>
      <c r="E214" s="2" t="s">
        <v>49</v>
      </c>
      <c r="F214" s="2" t="s">
        <v>146</v>
      </c>
      <c r="G214" s="2" t="s">
        <v>49</v>
      </c>
      <c r="H214" s="2" t="s">
        <v>146</v>
      </c>
      <c r="I214" s="2" t="s">
        <v>49</v>
      </c>
      <c r="J214" s="2" t="s">
        <v>146</v>
      </c>
    </row>
    <row r="215" spans="1:10" ht="15" customHeight="1" x14ac:dyDescent="0.45">
      <c r="A215" s="2" t="s">
        <v>404</v>
      </c>
      <c r="B215" s="2" t="s">
        <v>403</v>
      </c>
      <c r="C215" s="2">
        <v>2019</v>
      </c>
      <c r="D215" s="2" t="s">
        <v>146</v>
      </c>
      <c r="E215" s="2" t="s">
        <v>49</v>
      </c>
      <c r="F215" s="2" t="s">
        <v>146</v>
      </c>
      <c r="G215" s="2" t="s">
        <v>49</v>
      </c>
      <c r="H215" s="2" t="s">
        <v>146</v>
      </c>
      <c r="I215" s="2" t="s">
        <v>49</v>
      </c>
      <c r="J215" s="2" t="s">
        <v>146</v>
      </c>
    </row>
    <row r="216" spans="1:10" ht="15" customHeight="1" x14ac:dyDescent="0.45">
      <c r="A216" s="2" t="s">
        <v>402</v>
      </c>
      <c r="B216" s="2" t="s">
        <v>401</v>
      </c>
      <c r="C216" s="2">
        <v>2019</v>
      </c>
      <c r="D216" s="2" t="s">
        <v>146</v>
      </c>
      <c r="E216" s="2" t="s">
        <v>49</v>
      </c>
      <c r="F216" s="2" t="s">
        <v>146</v>
      </c>
      <c r="G216" s="2" t="s">
        <v>49</v>
      </c>
      <c r="H216" s="2" t="s">
        <v>146</v>
      </c>
      <c r="I216" s="2" t="s">
        <v>49</v>
      </c>
      <c r="J216" s="2" t="s">
        <v>146</v>
      </c>
    </row>
    <row r="217" spans="1:10" ht="15" customHeight="1" x14ac:dyDescent="0.45">
      <c r="A217" s="2" t="s">
        <v>398</v>
      </c>
      <c r="B217" s="2" t="s">
        <v>400</v>
      </c>
      <c r="C217" s="2">
        <v>2019</v>
      </c>
      <c r="D217" s="2" t="s">
        <v>146</v>
      </c>
      <c r="E217" s="2" t="s">
        <v>49</v>
      </c>
      <c r="F217" s="2" t="s">
        <v>146</v>
      </c>
      <c r="G217" s="2" t="s">
        <v>49</v>
      </c>
      <c r="H217" s="2" t="s">
        <v>146</v>
      </c>
      <c r="I217" s="2" t="s">
        <v>49</v>
      </c>
      <c r="J217" s="2" t="s">
        <v>146</v>
      </c>
    </row>
    <row r="218" spans="1:10" ht="15" customHeight="1" x14ac:dyDescent="0.45">
      <c r="A218" s="2" t="s">
        <v>398</v>
      </c>
      <c r="B218" s="2" t="s">
        <v>399</v>
      </c>
      <c r="C218" s="2">
        <v>2019</v>
      </c>
      <c r="D218" s="2" t="s">
        <v>146</v>
      </c>
      <c r="E218" s="2" t="s">
        <v>49</v>
      </c>
      <c r="F218" s="2" t="s">
        <v>146</v>
      </c>
      <c r="G218" s="2" t="s">
        <v>49</v>
      </c>
      <c r="H218" s="2" t="s">
        <v>146</v>
      </c>
      <c r="I218" s="2" t="s">
        <v>49</v>
      </c>
      <c r="J218" s="2" t="s">
        <v>146</v>
      </c>
    </row>
    <row r="219" spans="1:10" ht="15" customHeight="1" x14ac:dyDescent="0.45">
      <c r="A219" s="2" t="s">
        <v>398</v>
      </c>
      <c r="B219" s="2" t="s">
        <v>397</v>
      </c>
      <c r="C219" s="2">
        <v>2019</v>
      </c>
      <c r="D219" s="2" t="s">
        <v>146</v>
      </c>
      <c r="E219" s="2" t="s">
        <v>49</v>
      </c>
      <c r="F219" s="2" t="s">
        <v>146</v>
      </c>
      <c r="G219" s="2" t="s">
        <v>49</v>
      </c>
      <c r="H219" s="2" t="s">
        <v>146</v>
      </c>
      <c r="I219" s="2" t="s">
        <v>49</v>
      </c>
      <c r="J219" s="2" t="s">
        <v>146</v>
      </c>
    </row>
    <row r="220" spans="1:10" ht="15" customHeight="1" x14ac:dyDescent="0.45">
      <c r="A220" s="2" t="s">
        <v>396</v>
      </c>
      <c r="B220" s="2" t="s">
        <v>395</v>
      </c>
      <c r="C220" s="2">
        <v>2019</v>
      </c>
      <c r="D220" s="2" t="s">
        <v>146</v>
      </c>
      <c r="E220" s="2" t="s">
        <v>49</v>
      </c>
      <c r="F220" s="2" t="s">
        <v>146</v>
      </c>
      <c r="G220" s="2" t="s">
        <v>49</v>
      </c>
      <c r="H220" s="2" t="s">
        <v>146</v>
      </c>
      <c r="I220" s="2" t="s">
        <v>49</v>
      </c>
      <c r="J220" s="2" t="s">
        <v>146</v>
      </c>
    </row>
    <row r="221" spans="1:10" ht="15" customHeight="1" x14ac:dyDescent="0.45">
      <c r="A221" s="2" t="s">
        <v>393</v>
      </c>
      <c r="B221" s="2" t="s">
        <v>394</v>
      </c>
      <c r="C221" s="2">
        <v>2019</v>
      </c>
      <c r="D221" s="2" t="s">
        <v>49</v>
      </c>
      <c r="E221" s="2" t="s">
        <v>49</v>
      </c>
      <c r="F221" s="2" t="s">
        <v>49</v>
      </c>
      <c r="G221" s="2" t="s">
        <v>49</v>
      </c>
      <c r="H221" s="2" t="s">
        <v>49</v>
      </c>
      <c r="I221" s="2" t="s">
        <v>49</v>
      </c>
      <c r="J221" s="2" t="s">
        <v>49</v>
      </c>
    </row>
    <row r="222" spans="1:10" ht="15" customHeight="1" x14ac:dyDescent="0.45">
      <c r="A222" s="2" t="s">
        <v>393</v>
      </c>
      <c r="B222" s="2" t="s">
        <v>392</v>
      </c>
      <c r="C222" s="2">
        <v>2019</v>
      </c>
      <c r="D222" s="2" t="s">
        <v>49</v>
      </c>
      <c r="E222" s="2" t="s">
        <v>49</v>
      </c>
      <c r="F222" s="2" t="s">
        <v>49</v>
      </c>
      <c r="G222" s="2" t="s">
        <v>49</v>
      </c>
      <c r="H222" s="2" t="s">
        <v>49</v>
      </c>
      <c r="I222" s="2" t="s">
        <v>49</v>
      </c>
      <c r="J222" s="2" t="s">
        <v>49</v>
      </c>
    </row>
    <row r="223" spans="1:10" ht="15" customHeight="1" x14ac:dyDescent="0.45">
      <c r="A223" s="2" t="s">
        <v>391</v>
      </c>
      <c r="B223" s="2" t="s">
        <v>390</v>
      </c>
      <c r="C223" s="2">
        <v>2019</v>
      </c>
      <c r="D223" s="2">
        <v>0.4</v>
      </c>
      <c r="E223" s="2" t="s">
        <v>862</v>
      </c>
      <c r="F223" s="2">
        <v>0.4</v>
      </c>
      <c r="G223" s="2" t="s">
        <v>49</v>
      </c>
      <c r="H223" s="2" t="s">
        <v>146</v>
      </c>
      <c r="I223" s="2" t="s">
        <v>49</v>
      </c>
      <c r="J223" s="2" t="s">
        <v>146</v>
      </c>
    </row>
    <row r="224" spans="1:10" ht="15" customHeight="1" x14ac:dyDescent="0.45">
      <c r="A224" s="2" t="s">
        <v>389</v>
      </c>
      <c r="B224" s="2" t="s">
        <v>388</v>
      </c>
      <c r="C224" s="2">
        <v>2019</v>
      </c>
      <c r="D224" s="2">
        <v>96.8</v>
      </c>
      <c r="E224" s="2" t="s">
        <v>861</v>
      </c>
      <c r="F224" s="2">
        <v>96.8</v>
      </c>
      <c r="G224" s="2" t="s">
        <v>146</v>
      </c>
      <c r="H224" s="2" t="s">
        <v>146</v>
      </c>
      <c r="I224" s="2" t="s">
        <v>146</v>
      </c>
      <c r="J224" s="2" t="s">
        <v>146</v>
      </c>
    </row>
    <row r="225" spans="1:10" ht="15" customHeight="1" x14ac:dyDescent="0.45">
      <c r="A225" s="2" t="s">
        <v>387</v>
      </c>
      <c r="B225" s="2" t="s">
        <v>114</v>
      </c>
      <c r="C225" s="2">
        <v>2019</v>
      </c>
      <c r="D225" s="2" t="s">
        <v>146</v>
      </c>
      <c r="E225" s="2" t="s">
        <v>49</v>
      </c>
      <c r="F225" s="2" t="s">
        <v>146</v>
      </c>
      <c r="G225" s="2" t="s">
        <v>49</v>
      </c>
      <c r="H225" s="2" t="s">
        <v>146</v>
      </c>
      <c r="I225" s="2" t="s">
        <v>49</v>
      </c>
      <c r="J225" s="2" t="s">
        <v>146</v>
      </c>
    </row>
    <row r="226" spans="1:10" ht="15" customHeight="1" x14ac:dyDescent="0.45">
      <c r="A226" s="2" t="s">
        <v>386</v>
      </c>
      <c r="B226" s="2" t="s">
        <v>385</v>
      </c>
      <c r="C226" s="2">
        <v>2019</v>
      </c>
      <c r="D226" s="2" t="s">
        <v>146</v>
      </c>
      <c r="E226" s="2" t="s">
        <v>49</v>
      </c>
      <c r="F226" s="2" t="s">
        <v>146</v>
      </c>
      <c r="G226" s="2" t="s">
        <v>49</v>
      </c>
      <c r="H226" s="2" t="s">
        <v>146</v>
      </c>
      <c r="I226" s="2" t="s">
        <v>49</v>
      </c>
      <c r="J226" s="2" t="s">
        <v>146</v>
      </c>
    </row>
    <row r="227" spans="1:10" ht="15" customHeight="1" x14ac:dyDescent="0.45">
      <c r="A227" s="2" t="s">
        <v>4</v>
      </c>
      <c r="B227" s="2" t="s">
        <v>383</v>
      </c>
      <c r="C227" s="2">
        <v>2019</v>
      </c>
      <c r="D227" s="2" t="s">
        <v>49</v>
      </c>
      <c r="E227" s="2" t="s">
        <v>49</v>
      </c>
      <c r="F227" s="2" t="s">
        <v>49</v>
      </c>
      <c r="G227" s="2" t="s">
        <v>49</v>
      </c>
      <c r="H227" s="2" t="s">
        <v>49</v>
      </c>
      <c r="I227" s="2" t="s">
        <v>49</v>
      </c>
      <c r="J227" s="2" t="s">
        <v>49</v>
      </c>
    </row>
    <row r="228" spans="1:10" ht="15" customHeight="1" x14ac:dyDescent="0.45">
      <c r="A228" s="2" t="s">
        <v>4</v>
      </c>
      <c r="B228" s="2" t="s">
        <v>382</v>
      </c>
      <c r="C228" s="2">
        <v>2019</v>
      </c>
      <c r="D228" s="2" t="s">
        <v>49</v>
      </c>
      <c r="E228" s="2" t="s">
        <v>49</v>
      </c>
      <c r="F228" s="2" t="s">
        <v>49</v>
      </c>
      <c r="G228" s="2" t="s">
        <v>49</v>
      </c>
      <c r="H228" s="2" t="s">
        <v>49</v>
      </c>
      <c r="I228" s="2" t="s">
        <v>49</v>
      </c>
      <c r="J228" s="2" t="s">
        <v>49</v>
      </c>
    </row>
    <row r="229" spans="1:10" ht="15" customHeight="1" x14ac:dyDescent="0.45">
      <c r="A229" s="2" t="s">
        <v>4</v>
      </c>
      <c r="B229" s="2" t="s">
        <v>5</v>
      </c>
      <c r="C229" s="2">
        <v>2019</v>
      </c>
      <c r="D229" s="2" t="s">
        <v>49</v>
      </c>
      <c r="E229" s="2" t="s">
        <v>49</v>
      </c>
      <c r="F229" s="2" t="s">
        <v>49</v>
      </c>
      <c r="G229" s="2" t="s">
        <v>49</v>
      </c>
      <c r="H229" s="2" t="s">
        <v>49</v>
      </c>
      <c r="I229" s="2" t="s">
        <v>49</v>
      </c>
      <c r="J229" s="2" t="s">
        <v>49</v>
      </c>
    </row>
    <row r="230" spans="1:10" ht="15" customHeight="1" x14ac:dyDescent="0.45">
      <c r="A230" s="2" t="s">
        <v>381</v>
      </c>
      <c r="B230" s="2" t="s">
        <v>380</v>
      </c>
      <c r="C230" s="2">
        <v>2019</v>
      </c>
      <c r="D230" s="2" t="s">
        <v>146</v>
      </c>
      <c r="E230" s="2" t="s">
        <v>146</v>
      </c>
      <c r="F230" s="2" t="s">
        <v>146</v>
      </c>
      <c r="G230" s="2" t="s">
        <v>146</v>
      </c>
      <c r="H230" s="2" t="s">
        <v>146</v>
      </c>
      <c r="I230" s="2" t="s">
        <v>146</v>
      </c>
      <c r="J230" s="2" t="s">
        <v>146</v>
      </c>
    </row>
    <row r="231" spans="1:10" ht="15" customHeight="1" x14ac:dyDescent="0.45">
      <c r="A231" s="2" t="s">
        <v>376</v>
      </c>
      <c r="B231" s="2" t="s">
        <v>379</v>
      </c>
      <c r="C231" s="2">
        <v>2019</v>
      </c>
      <c r="D231" s="2" t="s">
        <v>146</v>
      </c>
      <c r="E231" s="2" t="s">
        <v>49</v>
      </c>
      <c r="F231" s="2" t="s">
        <v>146</v>
      </c>
      <c r="G231" s="2" t="s">
        <v>49</v>
      </c>
      <c r="H231" s="2" t="s">
        <v>146</v>
      </c>
      <c r="I231" s="2" t="s">
        <v>49</v>
      </c>
      <c r="J231" s="2" t="s">
        <v>146</v>
      </c>
    </row>
    <row r="232" spans="1:10" ht="15" customHeight="1" x14ac:dyDescent="0.45">
      <c r="A232" s="2" t="s">
        <v>376</v>
      </c>
      <c r="B232" s="2" t="s">
        <v>378</v>
      </c>
      <c r="C232" s="2">
        <v>2019</v>
      </c>
      <c r="D232" s="2">
        <v>300</v>
      </c>
      <c r="E232" s="2" t="s">
        <v>860</v>
      </c>
      <c r="F232" s="2">
        <v>288</v>
      </c>
      <c r="G232" s="2" t="s">
        <v>859</v>
      </c>
      <c r="H232" s="2">
        <v>12</v>
      </c>
      <c r="I232" s="2" t="s">
        <v>49</v>
      </c>
      <c r="J232" s="2" t="s">
        <v>146</v>
      </c>
    </row>
    <row r="233" spans="1:10" ht="15" customHeight="1" x14ac:dyDescent="0.45">
      <c r="A233" s="2" t="s">
        <v>376</v>
      </c>
      <c r="B233" s="2" t="s">
        <v>377</v>
      </c>
      <c r="C233" s="2">
        <v>2019</v>
      </c>
      <c r="D233" s="2" t="s">
        <v>146</v>
      </c>
      <c r="E233" s="2" t="s">
        <v>49</v>
      </c>
      <c r="F233" s="2" t="s">
        <v>146</v>
      </c>
      <c r="G233" s="2" t="s">
        <v>49</v>
      </c>
      <c r="H233" s="2" t="s">
        <v>146</v>
      </c>
      <c r="I233" s="2" t="s">
        <v>49</v>
      </c>
      <c r="J233" s="2" t="s">
        <v>146</v>
      </c>
    </row>
    <row r="234" spans="1:10" ht="15" customHeight="1" x14ac:dyDescent="0.45">
      <c r="A234" s="2" t="s">
        <v>376</v>
      </c>
      <c r="B234" s="2" t="s">
        <v>375</v>
      </c>
      <c r="C234" s="2">
        <v>2019</v>
      </c>
      <c r="D234" s="2" t="s">
        <v>146</v>
      </c>
      <c r="E234" s="2" t="s">
        <v>49</v>
      </c>
      <c r="F234" s="2" t="s">
        <v>146</v>
      </c>
      <c r="G234" s="2" t="s">
        <v>49</v>
      </c>
      <c r="H234" s="2" t="s">
        <v>146</v>
      </c>
      <c r="I234" s="2" t="s">
        <v>49</v>
      </c>
      <c r="J234" s="2" t="s">
        <v>146</v>
      </c>
    </row>
    <row r="235" spans="1:10" ht="15" customHeight="1" x14ac:dyDescent="0.45">
      <c r="A235" s="2" t="s">
        <v>374</v>
      </c>
      <c r="B235" s="2" t="s">
        <v>373</v>
      </c>
      <c r="C235" s="2">
        <v>2019</v>
      </c>
      <c r="D235" s="2" t="s">
        <v>49</v>
      </c>
      <c r="E235" s="2" t="s">
        <v>49</v>
      </c>
      <c r="F235" s="2" t="s">
        <v>49</v>
      </c>
      <c r="G235" s="2" t="s">
        <v>49</v>
      </c>
      <c r="H235" s="2" t="s">
        <v>49</v>
      </c>
      <c r="I235" s="2" t="s">
        <v>49</v>
      </c>
      <c r="J235" s="2" t="s">
        <v>49</v>
      </c>
    </row>
    <row r="236" spans="1:10" ht="15" customHeight="1" x14ac:dyDescent="0.45">
      <c r="A236" s="2" t="s">
        <v>371</v>
      </c>
      <c r="B236" s="2" t="s">
        <v>372</v>
      </c>
      <c r="C236" s="2">
        <v>2019</v>
      </c>
      <c r="D236" s="2" t="s">
        <v>146</v>
      </c>
      <c r="E236" s="2" t="s">
        <v>49</v>
      </c>
      <c r="F236" s="2" t="s">
        <v>146</v>
      </c>
      <c r="G236" s="2" t="s">
        <v>49</v>
      </c>
      <c r="H236" s="2" t="s">
        <v>146</v>
      </c>
      <c r="I236" s="2" t="s">
        <v>49</v>
      </c>
      <c r="J236" s="2" t="s">
        <v>146</v>
      </c>
    </row>
    <row r="237" spans="1:10" ht="15" customHeight="1" x14ac:dyDescent="0.45">
      <c r="A237" s="2" t="s">
        <v>371</v>
      </c>
      <c r="B237" s="2" t="s">
        <v>370</v>
      </c>
      <c r="C237" s="2">
        <v>2019</v>
      </c>
      <c r="D237" s="2" t="s">
        <v>146</v>
      </c>
      <c r="E237" s="2" t="s">
        <v>49</v>
      </c>
      <c r="F237" s="2" t="s">
        <v>146</v>
      </c>
      <c r="G237" s="2" t="s">
        <v>49</v>
      </c>
      <c r="H237" s="2" t="s">
        <v>146</v>
      </c>
      <c r="I237" s="2" t="s">
        <v>49</v>
      </c>
      <c r="J237" s="2" t="s">
        <v>146</v>
      </c>
    </row>
    <row r="238" spans="1:10" ht="15" customHeight="1" x14ac:dyDescent="0.45">
      <c r="A238" s="2" t="s">
        <v>369</v>
      </c>
      <c r="B238" s="2" t="s">
        <v>368</v>
      </c>
      <c r="C238" s="2">
        <v>2019</v>
      </c>
      <c r="D238" s="2" t="s">
        <v>146</v>
      </c>
      <c r="E238" s="2" t="s">
        <v>49</v>
      </c>
      <c r="F238" s="2" t="s">
        <v>146</v>
      </c>
      <c r="G238" s="2" t="s">
        <v>49</v>
      </c>
      <c r="H238" s="2" t="s">
        <v>146</v>
      </c>
      <c r="I238" s="2" t="s">
        <v>49</v>
      </c>
      <c r="J238" s="2" t="s">
        <v>146</v>
      </c>
    </row>
    <row r="239" spans="1:10" ht="15" customHeight="1" x14ac:dyDescent="0.45">
      <c r="A239" s="2" t="s">
        <v>367</v>
      </c>
      <c r="B239" s="2" t="s">
        <v>366</v>
      </c>
      <c r="C239" s="2">
        <v>2019</v>
      </c>
      <c r="D239" s="2" t="s">
        <v>146</v>
      </c>
      <c r="E239" s="2" t="s">
        <v>49</v>
      </c>
      <c r="F239" s="2" t="s">
        <v>146</v>
      </c>
      <c r="G239" s="2" t="s">
        <v>49</v>
      </c>
      <c r="H239" s="2" t="s">
        <v>146</v>
      </c>
      <c r="I239" s="2" t="s">
        <v>49</v>
      </c>
      <c r="J239" s="2" t="s">
        <v>146</v>
      </c>
    </row>
    <row r="240" spans="1:10" ht="15" customHeight="1" x14ac:dyDescent="0.45">
      <c r="A240" s="2" t="s">
        <v>364</v>
      </c>
      <c r="B240" s="2" t="s">
        <v>363</v>
      </c>
      <c r="C240" s="2">
        <v>2019</v>
      </c>
      <c r="D240" s="2" t="s">
        <v>146</v>
      </c>
      <c r="E240" s="2" t="s">
        <v>49</v>
      </c>
      <c r="F240" s="2" t="s">
        <v>146</v>
      </c>
      <c r="G240" s="2" t="s">
        <v>49</v>
      </c>
      <c r="H240" s="2" t="s">
        <v>146</v>
      </c>
      <c r="I240" s="2" t="s">
        <v>49</v>
      </c>
      <c r="J240" s="2" t="s">
        <v>146</v>
      </c>
    </row>
    <row r="241" spans="1:10" ht="15" customHeight="1" x14ac:dyDescent="0.45">
      <c r="A241" s="2" t="s">
        <v>362</v>
      </c>
      <c r="B241" s="2" t="s">
        <v>361</v>
      </c>
      <c r="C241" s="2">
        <v>2019</v>
      </c>
      <c r="D241" s="2" t="s">
        <v>146</v>
      </c>
      <c r="E241" s="2" t="s">
        <v>49</v>
      </c>
      <c r="F241" s="2" t="s">
        <v>49</v>
      </c>
      <c r="G241" s="2" t="s">
        <v>49</v>
      </c>
      <c r="H241" s="2" t="s">
        <v>49</v>
      </c>
      <c r="I241" s="2" t="s">
        <v>49</v>
      </c>
      <c r="J241" s="2" t="s">
        <v>49</v>
      </c>
    </row>
    <row r="242" spans="1:10" ht="15" customHeight="1" x14ac:dyDescent="0.45">
      <c r="A242" s="2" t="s">
        <v>360</v>
      </c>
      <c r="B242" s="2" t="s">
        <v>359</v>
      </c>
      <c r="C242" s="2">
        <v>2019</v>
      </c>
      <c r="D242" s="2">
        <v>0.15</v>
      </c>
      <c r="E242" s="2" t="s">
        <v>49</v>
      </c>
      <c r="F242" s="2">
        <v>0.15</v>
      </c>
      <c r="G242" s="2" t="s">
        <v>49</v>
      </c>
      <c r="H242" s="2" t="s">
        <v>146</v>
      </c>
      <c r="I242" s="2" t="s">
        <v>49</v>
      </c>
      <c r="J242" s="2" t="s">
        <v>146</v>
      </c>
    </row>
    <row r="243" spans="1:10" ht="15" customHeight="1" x14ac:dyDescent="0.45">
      <c r="A243" s="2" t="s">
        <v>342</v>
      </c>
      <c r="B243" s="2" t="s">
        <v>358</v>
      </c>
      <c r="C243" s="2">
        <v>2019</v>
      </c>
      <c r="D243" s="2" t="s">
        <v>146</v>
      </c>
      <c r="E243" s="2" t="s">
        <v>49</v>
      </c>
      <c r="F243" s="2" t="s">
        <v>146</v>
      </c>
      <c r="G243" s="2" t="s">
        <v>49</v>
      </c>
      <c r="H243" s="2" t="s">
        <v>146</v>
      </c>
      <c r="I243" s="2" t="s">
        <v>49</v>
      </c>
      <c r="J243" s="2" t="s">
        <v>146</v>
      </c>
    </row>
    <row r="244" spans="1:10" ht="15" customHeight="1" x14ac:dyDescent="0.45">
      <c r="A244" s="2" t="s">
        <v>342</v>
      </c>
      <c r="B244" s="2" t="s">
        <v>357</v>
      </c>
      <c r="C244" s="2">
        <v>2019</v>
      </c>
      <c r="D244" s="2" t="s">
        <v>146</v>
      </c>
      <c r="E244" s="2" t="s">
        <v>49</v>
      </c>
      <c r="F244" s="2" t="s">
        <v>146</v>
      </c>
      <c r="G244" s="2" t="s">
        <v>49</v>
      </c>
      <c r="H244" s="2" t="s">
        <v>146</v>
      </c>
      <c r="I244" s="2" t="s">
        <v>49</v>
      </c>
      <c r="J244" s="2" t="s">
        <v>146</v>
      </c>
    </row>
    <row r="245" spans="1:10" ht="15" customHeight="1" x14ac:dyDescent="0.45">
      <c r="A245" s="2" t="s">
        <v>342</v>
      </c>
      <c r="B245" s="2" t="s">
        <v>356</v>
      </c>
      <c r="C245" s="2">
        <v>2019</v>
      </c>
      <c r="D245" s="2" t="s">
        <v>146</v>
      </c>
      <c r="E245" s="2" t="s">
        <v>49</v>
      </c>
      <c r="F245" s="2" t="s">
        <v>146</v>
      </c>
      <c r="G245" s="2" t="s">
        <v>49</v>
      </c>
      <c r="H245" s="2" t="s">
        <v>146</v>
      </c>
      <c r="I245" s="2" t="s">
        <v>49</v>
      </c>
      <c r="J245" s="2" t="s">
        <v>146</v>
      </c>
    </row>
    <row r="246" spans="1:10" ht="15" customHeight="1" x14ac:dyDescent="0.45">
      <c r="A246" s="2" t="s">
        <v>342</v>
      </c>
      <c r="B246" s="2" t="s">
        <v>355</v>
      </c>
      <c r="C246" s="2">
        <v>2019</v>
      </c>
      <c r="D246" s="2" t="s">
        <v>146</v>
      </c>
      <c r="E246" s="2" t="s">
        <v>49</v>
      </c>
      <c r="F246" s="2" t="s">
        <v>146</v>
      </c>
      <c r="G246" s="2" t="s">
        <v>49</v>
      </c>
      <c r="H246" s="2" t="s">
        <v>146</v>
      </c>
      <c r="I246" s="2" t="s">
        <v>49</v>
      </c>
      <c r="J246" s="2" t="s">
        <v>146</v>
      </c>
    </row>
    <row r="247" spans="1:10" ht="15" customHeight="1" x14ac:dyDescent="0.45">
      <c r="A247" s="2" t="s">
        <v>342</v>
      </c>
      <c r="B247" s="2" t="s">
        <v>354</v>
      </c>
      <c r="C247" s="2">
        <v>2019</v>
      </c>
      <c r="D247" s="2" t="s">
        <v>146</v>
      </c>
      <c r="E247" s="2" t="s">
        <v>49</v>
      </c>
      <c r="F247" s="2" t="s">
        <v>146</v>
      </c>
      <c r="G247" s="2" t="s">
        <v>49</v>
      </c>
      <c r="H247" s="2" t="s">
        <v>146</v>
      </c>
      <c r="I247" s="2" t="s">
        <v>49</v>
      </c>
      <c r="J247" s="2" t="s">
        <v>146</v>
      </c>
    </row>
    <row r="248" spans="1:10" ht="15" customHeight="1" x14ac:dyDescent="0.45">
      <c r="A248" s="2" t="s">
        <v>342</v>
      </c>
      <c r="B248" s="2" t="s">
        <v>353</v>
      </c>
      <c r="C248" s="2">
        <v>2019</v>
      </c>
      <c r="D248" s="2" t="s">
        <v>146</v>
      </c>
      <c r="E248" s="2" t="s">
        <v>49</v>
      </c>
      <c r="F248" s="2" t="s">
        <v>146</v>
      </c>
      <c r="G248" s="2" t="s">
        <v>49</v>
      </c>
      <c r="H248" s="2" t="s">
        <v>146</v>
      </c>
      <c r="I248" s="2" t="s">
        <v>49</v>
      </c>
      <c r="J248" s="2" t="s">
        <v>146</v>
      </c>
    </row>
    <row r="249" spans="1:10" ht="15" customHeight="1" x14ac:dyDescent="0.45">
      <c r="A249" s="2" t="s">
        <v>342</v>
      </c>
      <c r="B249" s="2" t="s">
        <v>352</v>
      </c>
      <c r="C249" s="2">
        <v>2019</v>
      </c>
      <c r="D249" s="2" t="s">
        <v>146</v>
      </c>
      <c r="E249" s="2" t="s">
        <v>49</v>
      </c>
      <c r="F249" s="2" t="s">
        <v>146</v>
      </c>
      <c r="G249" s="2" t="s">
        <v>49</v>
      </c>
      <c r="H249" s="2" t="s">
        <v>146</v>
      </c>
      <c r="I249" s="2" t="s">
        <v>49</v>
      </c>
      <c r="J249" s="2" t="s">
        <v>146</v>
      </c>
    </row>
    <row r="250" spans="1:10" ht="15" customHeight="1" x14ac:dyDescent="0.45">
      <c r="A250" s="2" t="s">
        <v>342</v>
      </c>
      <c r="B250" s="2" t="s">
        <v>351</v>
      </c>
      <c r="C250" s="2">
        <v>2019</v>
      </c>
      <c r="D250" s="2" t="s">
        <v>146</v>
      </c>
      <c r="E250" s="2" t="s">
        <v>49</v>
      </c>
      <c r="F250" s="2" t="s">
        <v>146</v>
      </c>
      <c r="G250" s="2" t="s">
        <v>49</v>
      </c>
      <c r="H250" s="2" t="s">
        <v>146</v>
      </c>
      <c r="I250" s="2" t="s">
        <v>49</v>
      </c>
      <c r="J250" s="2" t="s">
        <v>146</v>
      </c>
    </row>
    <row r="251" spans="1:10" ht="15" customHeight="1" x14ac:dyDescent="0.45">
      <c r="A251" s="2" t="s">
        <v>342</v>
      </c>
      <c r="B251" s="2" t="s">
        <v>350</v>
      </c>
      <c r="C251" s="2">
        <v>2019</v>
      </c>
      <c r="D251" s="2" t="s">
        <v>146</v>
      </c>
      <c r="E251" s="2" t="s">
        <v>49</v>
      </c>
      <c r="F251" s="2" t="s">
        <v>146</v>
      </c>
      <c r="G251" s="2" t="s">
        <v>49</v>
      </c>
      <c r="H251" s="2" t="s">
        <v>146</v>
      </c>
      <c r="I251" s="2" t="s">
        <v>49</v>
      </c>
      <c r="J251" s="2" t="s">
        <v>146</v>
      </c>
    </row>
    <row r="252" spans="1:10" ht="15" customHeight="1" x14ac:dyDescent="0.45">
      <c r="A252" s="2" t="s">
        <v>342</v>
      </c>
      <c r="B252" s="2" t="s">
        <v>349</v>
      </c>
      <c r="C252" s="2">
        <v>2019</v>
      </c>
      <c r="D252" s="2" t="s">
        <v>146</v>
      </c>
      <c r="E252" s="2" t="s">
        <v>49</v>
      </c>
      <c r="F252" s="2" t="s">
        <v>146</v>
      </c>
      <c r="G252" s="2" t="s">
        <v>49</v>
      </c>
      <c r="H252" s="2" t="s">
        <v>146</v>
      </c>
      <c r="I252" s="2" t="s">
        <v>49</v>
      </c>
      <c r="J252" s="2" t="s">
        <v>146</v>
      </c>
    </row>
    <row r="253" spans="1:10" ht="15" customHeight="1" x14ac:dyDescent="0.45">
      <c r="A253" s="2" t="s">
        <v>342</v>
      </c>
      <c r="B253" s="2" t="s">
        <v>348</v>
      </c>
      <c r="C253" s="2">
        <v>2019</v>
      </c>
      <c r="D253" s="2">
        <v>7.431</v>
      </c>
      <c r="E253" s="2" t="s">
        <v>858</v>
      </c>
      <c r="F253" s="2">
        <v>7.431</v>
      </c>
      <c r="G253" s="2" t="s">
        <v>49</v>
      </c>
      <c r="H253" s="2" t="s">
        <v>146</v>
      </c>
      <c r="I253" s="2" t="s">
        <v>49</v>
      </c>
      <c r="J253" s="2" t="s">
        <v>146</v>
      </c>
    </row>
    <row r="254" spans="1:10" ht="15" customHeight="1" x14ac:dyDescent="0.45">
      <c r="A254" s="2" t="s">
        <v>342</v>
      </c>
      <c r="B254" s="2" t="s">
        <v>347</v>
      </c>
      <c r="C254" s="2">
        <v>2019</v>
      </c>
      <c r="D254" s="2" t="s">
        <v>146</v>
      </c>
      <c r="E254" s="2" t="s">
        <v>49</v>
      </c>
      <c r="F254" s="2" t="s">
        <v>146</v>
      </c>
      <c r="G254" s="2" t="s">
        <v>49</v>
      </c>
      <c r="H254" s="2" t="s">
        <v>146</v>
      </c>
      <c r="I254" s="2" t="s">
        <v>49</v>
      </c>
      <c r="J254" s="2" t="s">
        <v>146</v>
      </c>
    </row>
    <row r="255" spans="1:10" ht="15" customHeight="1" x14ac:dyDescent="0.45">
      <c r="A255" s="2" t="s">
        <v>342</v>
      </c>
      <c r="B255" s="2" t="s">
        <v>346</v>
      </c>
      <c r="C255" s="2">
        <v>2019</v>
      </c>
      <c r="D255" s="2" t="s">
        <v>146</v>
      </c>
      <c r="E255" s="2" t="s">
        <v>49</v>
      </c>
      <c r="F255" s="2" t="s">
        <v>146</v>
      </c>
      <c r="G255" s="2" t="s">
        <v>49</v>
      </c>
      <c r="H255" s="2" t="s">
        <v>146</v>
      </c>
      <c r="I255" s="2" t="s">
        <v>49</v>
      </c>
      <c r="J255" s="2" t="s">
        <v>146</v>
      </c>
    </row>
    <row r="256" spans="1:10" ht="15" customHeight="1" x14ac:dyDescent="0.45">
      <c r="A256" s="2" t="s">
        <v>342</v>
      </c>
      <c r="B256" s="2" t="s">
        <v>345</v>
      </c>
      <c r="C256" s="2">
        <v>2019</v>
      </c>
      <c r="D256" s="2" t="s">
        <v>146</v>
      </c>
      <c r="E256" s="2" t="s">
        <v>49</v>
      </c>
      <c r="F256" s="2" t="s">
        <v>146</v>
      </c>
      <c r="G256" s="2" t="s">
        <v>49</v>
      </c>
      <c r="H256" s="2" t="s">
        <v>146</v>
      </c>
      <c r="I256" s="2" t="s">
        <v>49</v>
      </c>
      <c r="J256" s="2" t="s">
        <v>146</v>
      </c>
    </row>
    <row r="257" spans="1:10" ht="15" customHeight="1" x14ac:dyDescent="0.45">
      <c r="A257" s="2" t="s">
        <v>342</v>
      </c>
      <c r="B257" s="2" t="s">
        <v>344</v>
      </c>
      <c r="C257" s="2">
        <v>2019</v>
      </c>
      <c r="D257" s="2">
        <v>38.652999999999999</v>
      </c>
      <c r="E257" s="2" t="s">
        <v>857</v>
      </c>
      <c r="F257" s="2">
        <v>38.652999999999999</v>
      </c>
      <c r="G257" s="2" t="s">
        <v>49</v>
      </c>
      <c r="H257" s="2" t="s">
        <v>146</v>
      </c>
      <c r="I257" s="2" t="s">
        <v>49</v>
      </c>
      <c r="J257" s="2" t="s">
        <v>146</v>
      </c>
    </row>
    <row r="258" spans="1:10" ht="15" customHeight="1" x14ac:dyDescent="0.45">
      <c r="A258" s="2" t="s">
        <v>342</v>
      </c>
      <c r="B258" s="2" t="s">
        <v>343</v>
      </c>
      <c r="C258" s="2">
        <v>2019</v>
      </c>
      <c r="D258" s="2" t="s">
        <v>146</v>
      </c>
      <c r="E258" s="2" t="s">
        <v>49</v>
      </c>
      <c r="F258" s="2" t="s">
        <v>146</v>
      </c>
      <c r="G258" s="2" t="s">
        <v>49</v>
      </c>
      <c r="H258" s="2" t="s">
        <v>146</v>
      </c>
      <c r="I258" s="2" t="s">
        <v>49</v>
      </c>
      <c r="J258" s="2" t="s">
        <v>146</v>
      </c>
    </row>
    <row r="259" spans="1:10" ht="15" customHeight="1" x14ac:dyDescent="0.45">
      <c r="A259" s="2" t="s">
        <v>342</v>
      </c>
      <c r="B259" s="2" t="s">
        <v>341</v>
      </c>
      <c r="C259" s="2">
        <v>2019</v>
      </c>
      <c r="D259" s="2" t="s">
        <v>146</v>
      </c>
      <c r="E259" s="2" t="s">
        <v>49</v>
      </c>
      <c r="F259" s="2" t="s">
        <v>146</v>
      </c>
      <c r="G259" s="2" t="s">
        <v>49</v>
      </c>
      <c r="H259" s="2" t="s">
        <v>146</v>
      </c>
      <c r="I259" s="2" t="s">
        <v>49</v>
      </c>
      <c r="J259" s="2" t="s">
        <v>146</v>
      </c>
    </row>
    <row r="260" spans="1:10" ht="15" customHeight="1" x14ac:dyDescent="0.45">
      <c r="A260" s="2" t="s">
        <v>336</v>
      </c>
      <c r="B260" s="2" t="s">
        <v>340</v>
      </c>
      <c r="C260" s="2">
        <v>2019</v>
      </c>
      <c r="D260" s="2" t="s">
        <v>146</v>
      </c>
      <c r="E260" s="2" t="s">
        <v>49</v>
      </c>
      <c r="F260" s="2" t="s">
        <v>146</v>
      </c>
      <c r="G260" s="2" t="s">
        <v>49</v>
      </c>
      <c r="H260" s="2" t="s">
        <v>146</v>
      </c>
      <c r="I260" s="2" t="s">
        <v>49</v>
      </c>
      <c r="J260" s="2" t="s">
        <v>146</v>
      </c>
    </row>
    <row r="261" spans="1:10" ht="15" customHeight="1" x14ac:dyDescent="0.45">
      <c r="A261" s="2" t="s">
        <v>336</v>
      </c>
      <c r="B261" s="2" t="s">
        <v>339</v>
      </c>
      <c r="C261" s="2">
        <v>2019</v>
      </c>
      <c r="D261" s="2">
        <v>5.6959999999999997</v>
      </c>
      <c r="E261" s="2" t="s">
        <v>856</v>
      </c>
      <c r="F261" s="2">
        <v>5.6959999999999997</v>
      </c>
      <c r="G261" s="2" t="s">
        <v>146</v>
      </c>
      <c r="H261" s="2" t="s">
        <v>146</v>
      </c>
      <c r="I261" s="2" t="s">
        <v>146</v>
      </c>
      <c r="J261" s="2" t="s">
        <v>146</v>
      </c>
    </row>
    <row r="262" spans="1:10" ht="15" customHeight="1" x14ac:dyDescent="0.45">
      <c r="A262" s="2" t="s">
        <v>336</v>
      </c>
      <c r="B262" s="2" t="s">
        <v>338</v>
      </c>
      <c r="C262" s="2">
        <v>2019</v>
      </c>
      <c r="D262" s="2" t="s">
        <v>146</v>
      </c>
      <c r="E262" s="2" t="s">
        <v>49</v>
      </c>
      <c r="F262" s="2" t="s">
        <v>146</v>
      </c>
      <c r="G262" s="2" t="s">
        <v>49</v>
      </c>
      <c r="H262" s="2" t="s">
        <v>146</v>
      </c>
      <c r="I262" s="2" t="s">
        <v>49</v>
      </c>
      <c r="J262" s="2" t="s">
        <v>146</v>
      </c>
    </row>
    <row r="263" spans="1:10" ht="15" customHeight="1" x14ac:dyDescent="0.45">
      <c r="A263" s="2" t="s">
        <v>336</v>
      </c>
      <c r="B263" s="2" t="s">
        <v>337</v>
      </c>
      <c r="C263" s="2">
        <v>2019</v>
      </c>
      <c r="D263" s="2" t="s">
        <v>146</v>
      </c>
      <c r="E263" s="2" t="s">
        <v>49</v>
      </c>
      <c r="F263" s="2" t="s">
        <v>146</v>
      </c>
      <c r="G263" s="2" t="s">
        <v>49</v>
      </c>
      <c r="H263" s="2" t="s">
        <v>146</v>
      </c>
      <c r="I263" s="2" t="s">
        <v>49</v>
      </c>
      <c r="J263" s="2" t="s">
        <v>146</v>
      </c>
    </row>
    <row r="264" spans="1:10" ht="15" customHeight="1" x14ac:dyDescent="0.45">
      <c r="A264" s="2" t="s">
        <v>336</v>
      </c>
      <c r="B264" s="2" t="s">
        <v>335</v>
      </c>
      <c r="C264" s="2">
        <v>2019</v>
      </c>
      <c r="D264" s="2" t="s">
        <v>146</v>
      </c>
      <c r="E264" s="2" t="s">
        <v>49</v>
      </c>
      <c r="F264" s="2" t="s">
        <v>146</v>
      </c>
      <c r="G264" s="2" t="s">
        <v>49</v>
      </c>
      <c r="H264" s="2" t="s">
        <v>146</v>
      </c>
      <c r="I264" s="2" t="s">
        <v>49</v>
      </c>
      <c r="J264" s="2" t="s">
        <v>146</v>
      </c>
    </row>
    <row r="265" spans="1:10" ht="15" customHeight="1" x14ac:dyDescent="0.45">
      <c r="A265" s="2" t="s">
        <v>333</v>
      </c>
      <c r="B265" s="2" t="s">
        <v>334</v>
      </c>
      <c r="C265" s="2">
        <v>2019</v>
      </c>
      <c r="D265" s="2">
        <v>24.907</v>
      </c>
      <c r="E265" s="2" t="s">
        <v>855</v>
      </c>
      <c r="F265" s="2">
        <v>24.907</v>
      </c>
      <c r="G265" s="2" t="s">
        <v>49</v>
      </c>
      <c r="H265" s="2" t="s">
        <v>146</v>
      </c>
      <c r="I265" s="2" t="s">
        <v>49</v>
      </c>
      <c r="J265" s="2" t="s">
        <v>146</v>
      </c>
    </row>
    <row r="266" spans="1:10" ht="15" customHeight="1" x14ac:dyDescent="0.45">
      <c r="A266" s="2" t="s">
        <v>333</v>
      </c>
      <c r="B266" s="2" t="s">
        <v>332</v>
      </c>
      <c r="C266" s="2">
        <v>2019</v>
      </c>
      <c r="D266" s="2" t="s">
        <v>146</v>
      </c>
      <c r="E266" s="2" t="s">
        <v>49</v>
      </c>
      <c r="F266" s="2" t="s">
        <v>146</v>
      </c>
      <c r="G266" s="2" t="s">
        <v>49</v>
      </c>
      <c r="H266" s="2" t="s">
        <v>146</v>
      </c>
      <c r="I266" s="2" t="s">
        <v>49</v>
      </c>
      <c r="J266" s="2" t="s">
        <v>146</v>
      </c>
    </row>
    <row r="267" spans="1:10" ht="15" customHeight="1" x14ac:dyDescent="0.45">
      <c r="A267" s="2" t="s">
        <v>331</v>
      </c>
      <c r="B267" s="2" t="s">
        <v>330</v>
      </c>
      <c r="C267" s="2">
        <v>2019</v>
      </c>
      <c r="D267" s="2" t="s">
        <v>146</v>
      </c>
      <c r="E267" s="2" t="s">
        <v>176</v>
      </c>
      <c r="F267" s="2" t="s">
        <v>49</v>
      </c>
      <c r="G267" s="2" t="s">
        <v>176</v>
      </c>
      <c r="H267" s="2" t="s">
        <v>49</v>
      </c>
      <c r="I267" s="2" t="s">
        <v>176</v>
      </c>
      <c r="J267" s="2" t="s">
        <v>49</v>
      </c>
    </row>
    <row r="268" spans="1:10" ht="15" customHeight="1" x14ac:dyDescent="0.45">
      <c r="A268" s="2" t="s">
        <v>329</v>
      </c>
      <c r="B268" s="2" t="s">
        <v>328</v>
      </c>
      <c r="C268" s="2">
        <v>2019</v>
      </c>
      <c r="D268" s="2" t="s">
        <v>49</v>
      </c>
      <c r="E268" s="2" t="s">
        <v>49</v>
      </c>
      <c r="F268" s="2" t="s">
        <v>49</v>
      </c>
      <c r="G268" s="2" t="s">
        <v>49</v>
      </c>
      <c r="H268" s="2" t="s">
        <v>49</v>
      </c>
      <c r="I268" s="2" t="s">
        <v>49</v>
      </c>
      <c r="J268" s="2" t="s">
        <v>49</v>
      </c>
    </row>
    <row r="269" spans="1:10" ht="15" customHeight="1" x14ac:dyDescent="0.45">
      <c r="A269" s="2" t="s">
        <v>324</v>
      </c>
      <c r="B269" s="2" t="s">
        <v>327</v>
      </c>
      <c r="C269" s="2">
        <v>2019</v>
      </c>
      <c r="D269" s="2" t="s">
        <v>146</v>
      </c>
      <c r="E269" s="2" t="s">
        <v>146</v>
      </c>
      <c r="F269" s="2" t="s">
        <v>146</v>
      </c>
      <c r="G269" s="2" t="s">
        <v>146</v>
      </c>
      <c r="H269" s="2" t="s">
        <v>146</v>
      </c>
      <c r="I269" s="2" t="s">
        <v>146</v>
      </c>
      <c r="J269" s="2" t="s">
        <v>146</v>
      </c>
    </row>
    <row r="270" spans="1:10" ht="15" customHeight="1" x14ac:dyDescent="0.45">
      <c r="A270" s="2" t="s">
        <v>324</v>
      </c>
      <c r="B270" s="2" t="s">
        <v>326</v>
      </c>
      <c r="C270" s="2">
        <v>2019</v>
      </c>
      <c r="D270" s="2" t="s">
        <v>146</v>
      </c>
      <c r="E270" s="2" t="s">
        <v>146</v>
      </c>
      <c r="F270" s="2" t="s">
        <v>146</v>
      </c>
      <c r="G270" s="2" t="s">
        <v>146</v>
      </c>
      <c r="H270" s="2" t="s">
        <v>146</v>
      </c>
      <c r="I270" s="2" t="s">
        <v>146</v>
      </c>
      <c r="J270" s="2" t="s">
        <v>146</v>
      </c>
    </row>
    <row r="271" spans="1:10" ht="15" customHeight="1" x14ac:dyDescent="0.45">
      <c r="A271" s="2" t="s">
        <v>324</v>
      </c>
      <c r="B271" s="2" t="s">
        <v>325</v>
      </c>
      <c r="C271" s="2">
        <v>2019</v>
      </c>
      <c r="D271" s="2" t="s">
        <v>146</v>
      </c>
      <c r="E271" s="2" t="s">
        <v>146</v>
      </c>
      <c r="F271" s="2" t="s">
        <v>146</v>
      </c>
      <c r="G271" s="2" t="s">
        <v>146</v>
      </c>
      <c r="H271" s="2" t="s">
        <v>146</v>
      </c>
      <c r="I271" s="2" t="s">
        <v>146</v>
      </c>
      <c r="J271" s="2" t="s">
        <v>146</v>
      </c>
    </row>
    <row r="272" spans="1:10" ht="15" customHeight="1" x14ac:dyDescent="0.45">
      <c r="A272" s="2" t="s">
        <v>324</v>
      </c>
      <c r="B272" s="2" t="s">
        <v>323</v>
      </c>
      <c r="C272" s="2">
        <v>2019</v>
      </c>
      <c r="D272" s="2" t="s">
        <v>146</v>
      </c>
      <c r="E272" s="2" t="s">
        <v>146</v>
      </c>
      <c r="F272" s="2" t="s">
        <v>146</v>
      </c>
      <c r="G272" s="2" t="s">
        <v>146</v>
      </c>
      <c r="H272" s="2" t="s">
        <v>146</v>
      </c>
      <c r="I272" s="2" t="s">
        <v>146</v>
      </c>
      <c r="J272" s="2" t="s">
        <v>146</v>
      </c>
    </row>
    <row r="273" spans="1:10" ht="15" customHeight="1" x14ac:dyDescent="0.45">
      <c r="A273" s="2" t="s">
        <v>321</v>
      </c>
      <c r="B273" s="2" t="s">
        <v>322</v>
      </c>
      <c r="C273" s="2">
        <v>2019</v>
      </c>
      <c r="D273" s="2">
        <v>89.26</v>
      </c>
      <c r="E273" s="2" t="s">
        <v>854</v>
      </c>
      <c r="F273" s="2">
        <v>46.74</v>
      </c>
      <c r="G273" s="2" t="s">
        <v>853</v>
      </c>
      <c r="H273" s="2">
        <v>42.52</v>
      </c>
      <c r="I273" s="2" t="s">
        <v>146</v>
      </c>
      <c r="J273" s="2" t="s">
        <v>146</v>
      </c>
    </row>
    <row r="274" spans="1:10" ht="15" customHeight="1" x14ac:dyDescent="0.45">
      <c r="A274" s="2" t="s">
        <v>321</v>
      </c>
      <c r="B274" s="2" t="s">
        <v>320</v>
      </c>
      <c r="C274" s="2">
        <v>2019</v>
      </c>
      <c r="D274" s="2" t="s">
        <v>146</v>
      </c>
      <c r="E274" s="2" t="s">
        <v>49</v>
      </c>
      <c r="F274" s="2" t="s">
        <v>146</v>
      </c>
      <c r="G274" s="2" t="s">
        <v>49</v>
      </c>
      <c r="H274" s="2" t="s">
        <v>146</v>
      </c>
      <c r="I274" s="2" t="s">
        <v>49</v>
      </c>
      <c r="J274" s="2" t="s">
        <v>146</v>
      </c>
    </row>
    <row r="275" spans="1:10" ht="15" customHeight="1" x14ac:dyDescent="0.45">
      <c r="A275" s="2" t="s">
        <v>312</v>
      </c>
      <c r="B275" s="2" t="s">
        <v>319</v>
      </c>
      <c r="C275" s="2">
        <v>2019</v>
      </c>
      <c r="D275" s="2" t="s">
        <v>49</v>
      </c>
      <c r="E275" s="2" t="s">
        <v>49</v>
      </c>
      <c r="F275" s="2" t="s">
        <v>49</v>
      </c>
      <c r="G275" s="2" t="s">
        <v>49</v>
      </c>
      <c r="H275" s="2" t="s">
        <v>49</v>
      </c>
      <c r="I275" s="2" t="s">
        <v>49</v>
      </c>
      <c r="J275" s="2" t="s">
        <v>49</v>
      </c>
    </row>
    <row r="276" spans="1:10" ht="15" customHeight="1" x14ac:dyDescent="0.45">
      <c r="A276" s="2" t="s">
        <v>312</v>
      </c>
      <c r="B276" s="2" t="s">
        <v>318</v>
      </c>
      <c r="C276" s="2">
        <v>2019</v>
      </c>
      <c r="D276" s="2" t="s">
        <v>49</v>
      </c>
      <c r="E276" s="2" t="s">
        <v>49</v>
      </c>
      <c r="F276" s="2" t="s">
        <v>49</v>
      </c>
      <c r="G276" s="2" t="s">
        <v>49</v>
      </c>
      <c r="H276" s="2" t="s">
        <v>49</v>
      </c>
      <c r="I276" s="2" t="s">
        <v>49</v>
      </c>
      <c r="J276" s="2" t="s">
        <v>49</v>
      </c>
    </row>
    <row r="277" spans="1:10" ht="15" customHeight="1" x14ac:dyDescent="0.45">
      <c r="A277" s="2" t="s">
        <v>312</v>
      </c>
      <c r="B277" s="2" t="s">
        <v>317</v>
      </c>
      <c r="C277" s="2">
        <v>2019</v>
      </c>
      <c r="D277" s="2" t="s">
        <v>49</v>
      </c>
      <c r="E277" s="2" t="s">
        <v>49</v>
      </c>
      <c r="F277" s="2" t="s">
        <v>49</v>
      </c>
      <c r="G277" s="2" t="s">
        <v>49</v>
      </c>
      <c r="H277" s="2" t="s">
        <v>49</v>
      </c>
      <c r="I277" s="2" t="s">
        <v>49</v>
      </c>
      <c r="J277" s="2" t="s">
        <v>49</v>
      </c>
    </row>
    <row r="278" spans="1:10" ht="15" customHeight="1" x14ac:dyDescent="0.45">
      <c r="A278" s="2" t="s">
        <v>312</v>
      </c>
      <c r="B278" s="2" t="s">
        <v>112</v>
      </c>
      <c r="C278" s="2">
        <v>2019</v>
      </c>
      <c r="D278" s="2" t="s">
        <v>146</v>
      </c>
      <c r="E278" s="2" t="s">
        <v>49</v>
      </c>
      <c r="F278" s="2" t="s">
        <v>146</v>
      </c>
      <c r="G278" s="2" t="s">
        <v>49</v>
      </c>
      <c r="H278" s="2" t="s">
        <v>146</v>
      </c>
      <c r="I278" s="2" t="s">
        <v>49</v>
      </c>
      <c r="J278" s="2" t="s">
        <v>146</v>
      </c>
    </row>
    <row r="279" spans="1:10" ht="15" customHeight="1" x14ac:dyDescent="0.45">
      <c r="A279" s="2" t="s">
        <v>312</v>
      </c>
      <c r="B279" s="2" t="s">
        <v>316</v>
      </c>
      <c r="C279" s="2">
        <v>2019</v>
      </c>
      <c r="D279" s="2" t="s">
        <v>49</v>
      </c>
      <c r="E279" s="2" t="s">
        <v>49</v>
      </c>
      <c r="F279" s="2" t="s">
        <v>49</v>
      </c>
      <c r="G279" s="2" t="s">
        <v>49</v>
      </c>
      <c r="H279" s="2" t="s">
        <v>49</v>
      </c>
      <c r="I279" s="2" t="s">
        <v>49</v>
      </c>
      <c r="J279" s="2" t="s">
        <v>49</v>
      </c>
    </row>
    <row r="280" spans="1:10" ht="15" customHeight="1" x14ac:dyDescent="0.45">
      <c r="A280" s="2" t="s">
        <v>312</v>
      </c>
      <c r="B280" s="2" t="s">
        <v>315</v>
      </c>
      <c r="C280" s="2">
        <v>2019</v>
      </c>
      <c r="D280" s="2" t="s">
        <v>49</v>
      </c>
      <c r="E280" s="2" t="s">
        <v>49</v>
      </c>
      <c r="F280" s="2" t="s">
        <v>49</v>
      </c>
      <c r="G280" s="2" t="s">
        <v>49</v>
      </c>
      <c r="H280" s="2" t="s">
        <v>49</v>
      </c>
      <c r="I280" s="2" t="s">
        <v>49</v>
      </c>
      <c r="J280" s="2" t="s">
        <v>49</v>
      </c>
    </row>
    <row r="281" spans="1:10" ht="15" customHeight="1" x14ac:dyDescent="0.45">
      <c r="A281" s="2" t="s">
        <v>312</v>
      </c>
      <c r="B281" s="2" t="s">
        <v>314</v>
      </c>
      <c r="C281" s="2">
        <v>2019</v>
      </c>
      <c r="D281" s="2" t="s">
        <v>49</v>
      </c>
      <c r="E281" s="2" t="s">
        <v>49</v>
      </c>
      <c r="F281" s="2" t="s">
        <v>49</v>
      </c>
      <c r="G281" s="2" t="s">
        <v>49</v>
      </c>
      <c r="H281" s="2" t="s">
        <v>49</v>
      </c>
      <c r="I281" s="2" t="s">
        <v>49</v>
      </c>
      <c r="J281" s="2" t="s">
        <v>49</v>
      </c>
    </row>
    <row r="282" spans="1:10" ht="15" customHeight="1" x14ac:dyDescent="0.45">
      <c r="A282" s="2" t="s">
        <v>312</v>
      </c>
      <c r="B282" s="2" t="s">
        <v>313</v>
      </c>
      <c r="C282" s="2">
        <v>2019</v>
      </c>
      <c r="D282" s="2" t="s">
        <v>146</v>
      </c>
      <c r="E282" s="2" t="s">
        <v>49</v>
      </c>
      <c r="F282" s="2" t="s">
        <v>146</v>
      </c>
      <c r="G282" s="2" t="s">
        <v>49</v>
      </c>
      <c r="H282" s="2" t="s">
        <v>146</v>
      </c>
      <c r="I282" s="2" t="s">
        <v>49</v>
      </c>
      <c r="J282" s="2" t="s">
        <v>146</v>
      </c>
    </row>
    <row r="283" spans="1:10" ht="15" customHeight="1" x14ac:dyDescent="0.45">
      <c r="A283" s="2" t="s">
        <v>312</v>
      </c>
      <c r="B283" s="2" t="s">
        <v>311</v>
      </c>
      <c r="C283" s="2">
        <v>2019</v>
      </c>
      <c r="D283" s="2" t="s">
        <v>49</v>
      </c>
      <c r="E283" s="2" t="s">
        <v>49</v>
      </c>
      <c r="F283" s="2" t="s">
        <v>49</v>
      </c>
      <c r="G283" s="2" t="s">
        <v>49</v>
      </c>
      <c r="H283" s="2" t="s">
        <v>49</v>
      </c>
      <c r="I283" s="2" t="s">
        <v>49</v>
      </c>
      <c r="J283" s="2" t="s">
        <v>49</v>
      </c>
    </row>
    <row r="284" spans="1:10" ht="15" customHeight="1" x14ac:dyDescent="0.45">
      <c r="A284" s="2" t="s">
        <v>305</v>
      </c>
      <c r="B284" s="2" t="s">
        <v>310</v>
      </c>
      <c r="C284" s="2">
        <v>2019</v>
      </c>
      <c r="D284" s="2" t="s">
        <v>146</v>
      </c>
      <c r="E284" s="2" t="s">
        <v>49</v>
      </c>
      <c r="F284" s="2" t="s">
        <v>146</v>
      </c>
      <c r="G284" s="2" t="s">
        <v>49</v>
      </c>
      <c r="H284" s="2" t="s">
        <v>146</v>
      </c>
      <c r="I284" s="2" t="s">
        <v>49</v>
      </c>
      <c r="J284" s="2" t="s">
        <v>146</v>
      </c>
    </row>
    <row r="285" spans="1:10" ht="15" customHeight="1" x14ac:dyDescent="0.45">
      <c r="A285" s="2" t="s">
        <v>305</v>
      </c>
      <c r="B285" s="2" t="s">
        <v>309</v>
      </c>
      <c r="C285" s="2">
        <v>2019</v>
      </c>
      <c r="D285" s="2" t="s">
        <v>146</v>
      </c>
      <c r="E285" s="2" t="s">
        <v>49</v>
      </c>
      <c r="F285" s="2" t="s">
        <v>146</v>
      </c>
      <c r="G285" s="2" t="s">
        <v>49</v>
      </c>
      <c r="H285" s="2" t="s">
        <v>146</v>
      </c>
      <c r="I285" s="2" t="s">
        <v>49</v>
      </c>
      <c r="J285" s="2" t="s">
        <v>146</v>
      </c>
    </row>
    <row r="286" spans="1:10" ht="15" customHeight="1" x14ac:dyDescent="0.45">
      <c r="A286" s="2" t="s">
        <v>305</v>
      </c>
      <c r="B286" s="2" t="s">
        <v>308</v>
      </c>
      <c r="C286" s="2">
        <v>2019</v>
      </c>
      <c r="D286" s="2">
        <v>195.68100000000001</v>
      </c>
      <c r="E286" s="2" t="s">
        <v>852</v>
      </c>
      <c r="F286" s="2">
        <v>121.52500000000001</v>
      </c>
      <c r="G286" s="2" t="s">
        <v>771</v>
      </c>
      <c r="H286" s="2">
        <v>74.156000000000006</v>
      </c>
      <c r="I286" s="2" t="s">
        <v>49</v>
      </c>
      <c r="J286" s="2" t="s">
        <v>146</v>
      </c>
    </row>
    <row r="287" spans="1:10" ht="15" customHeight="1" x14ac:dyDescent="0.45">
      <c r="A287" s="2" t="s">
        <v>305</v>
      </c>
      <c r="B287" s="2" t="s">
        <v>307</v>
      </c>
      <c r="C287" s="2">
        <v>2019</v>
      </c>
      <c r="D287" s="2" t="s">
        <v>49</v>
      </c>
      <c r="E287" s="2" t="s">
        <v>49</v>
      </c>
      <c r="F287" s="2" t="s">
        <v>49</v>
      </c>
      <c r="G287" s="2" t="s">
        <v>49</v>
      </c>
      <c r="H287" s="2" t="s">
        <v>49</v>
      </c>
      <c r="I287" s="2" t="s">
        <v>49</v>
      </c>
      <c r="J287" s="2" t="s">
        <v>49</v>
      </c>
    </row>
    <row r="288" spans="1:10" ht="15" customHeight="1" x14ac:dyDescent="0.45">
      <c r="A288" s="2" t="s">
        <v>305</v>
      </c>
      <c r="B288" s="2" t="s">
        <v>306</v>
      </c>
      <c r="C288" s="2">
        <v>2019</v>
      </c>
      <c r="D288" s="2" t="s">
        <v>146</v>
      </c>
      <c r="E288" s="2" t="s">
        <v>49</v>
      </c>
      <c r="F288" s="2" t="s">
        <v>146</v>
      </c>
      <c r="G288" s="2" t="s">
        <v>49</v>
      </c>
      <c r="H288" s="2" t="s">
        <v>146</v>
      </c>
      <c r="I288" s="2" t="s">
        <v>49</v>
      </c>
      <c r="J288" s="2" t="s">
        <v>146</v>
      </c>
    </row>
    <row r="289" spans="1:10" ht="15" customHeight="1" x14ac:dyDescent="0.45">
      <c r="A289" s="2" t="s">
        <v>305</v>
      </c>
      <c r="B289" s="2" t="s">
        <v>304</v>
      </c>
      <c r="C289" s="2">
        <v>2019</v>
      </c>
      <c r="D289" s="2" t="s">
        <v>146</v>
      </c>
      <c r="E289" s="2" t="s">
        <v>49</v>
      </c>
      <c r="F289" s="2" t="s">
        <v>146</v>
      </c>
      <c r="G289" s="2" t="s">
        <v>49</v>
      </c>
      <c r="H289" s="2" t="s">
        <v>146</v>
      </c>
      <c r="I289" s="2" t="s">
        <v>49</v>
      </c>
      <c r="J289" s="2" t="s">
        <v>146</v>
      </c>
    </row>
    <row r="290" spans="1:10" ht="15" customHeight="1" x14ac:dyDescent="0.45">
      <c r="A290" s="2" t="s">
        <v>303</v>
      </c>
      <c r="B290" s="2" t="s">
        <v>35</v>
      </c>
      <c r="C290" s="2">
        <v>2019</v>
      </c>
      <c r="D290" s="2" t="s">
        <v>49</v>
      </c>
      <c r="E290" s="2" t="s">
        <v>49</v>
      </c>
      <c r="F290" s="2" t="s">
        <v>49</v>
      </c>
      <c r="G290" s="2" t="s">
        <v>49</v>
      </c>
      <c r="H290" s="2" t="s">
        <v>49</v>
      </c>
      <c r="I290" s="2" t="s">
        <v>49</v>
      </c>
      <c r="J290" s="2" t="s">
        <v>49</v>
      </c>
    </row>
    <row r="291" spans="1:10" ht="15" customHeight="1" x14ac:dyDescent="0.45">
      <c r="A291" s="2" t="s">
        <v>299</v>
      </c>
      <c r="B291" s="2" t="s">
        <v>302</v>
      </c>
      <c r="C291" s="2">
        <v>2019</v>
      </c>
      <c r="D291" s="2" t="s">
        <v>146</v>
      </c>
      <c r="E291" s="2" t="s">
        <v>49</v>
      </c>
      <c r="F291" s="2" t="s">
        <v>146</v>
      </c>
      <c r="G291" s="2" t="s">
        <v>49</v>
      </c>
      <c r="H291" s="2" t="s">
        <v>146</v>
      </c>
      <c r="I291" s="2" t="s">
        <v>49</v>
      </c>
      <c r="J291" s="2" t="s">
        <v>146</v>
      </c>
    </row>
    <row r="292" spans="1:10" ht="15" customHeight="1" x14ac:dyDescent="0.45">
      <c r="A292" s="2" t="s">
        <v>299</v>
      </c>
      <c r="B292" s="2" t="s">
        <v>301</v>
      </c>
      <c r="C292" s="2">
        <v>2019</v>
      </c>
      <c r="D292" s="2" t="s">
        <v>146</v>
      </c>
      <c r="E292" s="2" t="s">
        <v>49</v>
      </c>
      <c r="F292" s="2" t="s">
        <v>146</v>
      </c>
      <c r="G292" s="2" t="s">
        <v>49</v>
      </c>
      <c r="H292" s="2" t="s">
        <v>146</v>
      </c>
      <c r="I292" s="2" t="s">
        <v>49</v>
      </c>
      <c r="J292" s="2" t="s">
        <v>146</v>
      </c>
    </row>
    <row r="293" spans="1:10" ht="15" customHeight="1" x14ac:dyDescent="0.45">
      <c r="A293" s="2" t="s">
        <v>299</v>
      </c>
      <c r="B293" s="2" t="s">
        <v>300</v>
      </c>
      <c r="C293" s="2">
        <v>2019</v>
      </c>
      <c r="D293" s="2" t="s">
        <v>146</v>
      </c>
      <c r="E293" s="2" t="s">
        <v>49</v>
      </c>
      <c r="F293" s="2" t="s">
        <v>146</v>
      </c>
      <c r="G293" s="2" t="s">
        <v>49</v>
      </c>
      <c r="H293" s="2" t="s">
        <v>146</v>
      </c>
      <c r="I293" s="2" t="s">
        <v>49</v>
      </c>
      <c r="J293" s="2" t="s">
        <v>146</v>
      </c>
    </row>
    <row r="294" spans="1:10" ht="15" customHeight="1" x14ac:dyDescent="0.45">
      <c r="A294" s="2" t="s">
        <v>299</v>
      </c>
      <c r="B294" s="2" t="s">
        <v>298</v>
      </c>
      <c r="C294" s="2">
        <v>2019</v>
      </c>
      <c r="D294" s="2" t="s">
        <v>146</v>
      </c>
      <c r="E294" s="2" t="s">
        <v>49</v>
      </c>
      <c r="F294" s="2" t="s">
        <v>146</v>
      </c>
      <c r="G294" s="2" t="s">
        <v>49</v>
      </c>
      <c r="H294" s="2" t="s">
        <v>146</v>
      </c>
      <c r="I294" s="2" t="s">
        <v>49</v>
      </c>
      <c r="J294" s="2" t="s">
        <v>146</v>
      </c>
    </row>
    <row r="295" spans="1:10" ht="15" customHeight="1" x14ac:dyDescent="0.45">
      <c r="A295" s="2" t="s">
        <v>297</v>
      </c>
      <c r="B295" s="2" t="s">
        <v>296</v>
      </c>
      <c r="C295" s="2">
        <v>2019</v>
      </c>
      <c r="D295" s="2" t="s">
        <v>146</v>
      </c>
      <c r="E295" s="2" t="s">
        <v>49</v>
      </c>
      <c r="F295" s="2" t="s">
        <v>146</v>
      </c>
      <c r="G295" s="2" t="s">
        <v>49</v>
      </c>
      <c r="H295" s="2" t="s">
        <v>146</v>
      </c>
      <c r="I295" s="2" t="s">
        <v>49</v>
      </c>
      <c r="J295" s="2" t="s">
        <v>146</v>
      </c>
    </row>
    <row r="296" spans="1:10" ht="15" customHeight="1" x14ac:dyDescent="0.45">
      <c r="A296" s="2" t="s">
        <v>295</v>
      </c>
      <c r="B296" s="2" t="s">
        <v>127</v>
      </c>
      <c r="C296" s="2">
        <v>2019</v>
      </c>
      <c r="D296" s="2">
        <v>51</v>
      </c>
      <c r="E296" s="2" t="s">
        <v>851</v>
      </c>
      <c r="F296" s="2">
        <v>51</v>
      </c>
      <c r="G296" s="2" t="s">
        <v>49</v>
      </c>
      <c r="H296" s="2" t="s">
        <v>146</v>
      </c>
      <c r="I296" s="2" t="s">
        <v>49</v>
      </c>
      <c r="J296" s="2" t="s">
        <v>146</v>
      </c>
    </row>
    <row r="297" spans="1:10" ht="15" customHeight="1" x14ac:dyDescent="0.45">
      <c r="A297" s="2" t="s">
        <v>289</v>
      </c>
      <c r="B297" s="2" t="s">
        <v>294</v>
      </c>
      <c r="C297" s="2">
        <v>2019</v>
      </c>
      <c r="D297" s="2" t="s">
        <v>146</v>
      </c>
      <c r="E297" s="2" t="s">
        <v>176</v>
      </c>
      <c r="F297" s="2" t="s">
        <v>146</v>
      </c>
      <c r="G297" s="2" t="s">
        <v>176</v>
      </c>
      <c r="H297" s="2" t="s">
        <v>146</v>
      </c>
      <c r="I297" s="2" t="s">
        <v>176</v>
      </c>
      <c r="J297" s="2" t="s">
        <v>146</v>
      </c>
    </row>
    <row r="298" spans="1:10" ht="15" customHeight="1" x14ac:dyDescent="0.45">
      <c r="A298" s="2" t="s">
        <v>289</v>
      </c>
      <c r="B298" s="2" t="s">
        <v>293</v>
      </c>
      <c r="C298" s="2">
        <v>2019</v>
      </c>
      <c r="D298" s="2" t="s">
        <v>146</v>
      </c>
      <c r="E298" s="2" t="s">
        <v>176</v>
      </c>
      <c r="F298" s="2" t="s">
        <v>146</v>
      </c>
      <c r="G298" s="2" t="s">
        <v>176</v>
      </c>
      <c r="H298" s="2" t="s">
        <v>146</v>
      </c>
      <c r="I298" s="2" t="s">
        <v>176</v>
      </c>
      <c r="J298" s="2" t="s">
        <v>146</v>
      </c>
    </row>
    <row r="299" spans="1:10" ht="15" customHeight="1" x14ac:dyDescent="0.45">
      <c r="A299" s="2" t="s">
        <v>289</v>
      </c>
      <c r="B299" s="2" t="s">
        <v>292</v>
      </c>
      <c r="C299" s="2">
        <v>2019</v>
      </c>
      <c r="D299" s="2" t="s">
        <v>146</v>
      </c>
      <c r="E299" s="2" t="s">
        <v>49</v>
      </c>
      <c r="F299" s="2" t="s">
        <v>146</v>
      </c>
      <c r="G299" s="2" t="s">
        <v>49</v>
      </c>
      <c r="H299" s="2" t="s">
        <v>146</v>
      </c>
      <c r="I299" s="2" t="s">
        <v>49</v>
      </c>
      <c r="J299" s="2" t="s">
        <v>146</v>
      </c>
    </row>
    <row r="300" spans="1:10" ht="15" customHeight="1" x14ac:dyDescent="0.45">
      <c r="A300" s="2" t="s">
        <v>289</v>
      </c>
      <c r="B300" s="2" t="s">
        <v>291</v>
      </c>
      <c r="C300" s="2">
        <v>2019</v>
      </c>
      <c r="D300" s="2" t="s">
        <v>146</v>
      </c>
      <c r="E300" s="2" t="s">
        <v>176</v>
      </c>
      <c r="F300" s="2" t="s">
        <v>146</v>
      </c>
      <c r="G300" s="2" t="s">
        <v>176</v>
      </c>
      <c r="H300" s="2" t="s">
        <v>146</v>
      </c>
      <c r="I300" s="2" t="s">
        <v>176</v>
      </c>
      <c r="J300" s="2" t="s">
        <v>146</v>
      </c>
    </row>
    <row r="301" spans="1:10" ht="15" customHeight="1" x14ac:dyDescent="0.45">
      <c r="A301" s="2" t="s">
        <v>289</v>
      </c>
      <c r="B301" s="2" t="s">
        <v>290</v>
      </c>
      <c r="C301" s="2">
        <v>2019</v>
      </c>
      <c r="D301" s="2">
        <v>9.859</v>
      </c>
      <c r="E301" s="2" t="s">
        <v>850</v>
      </c>
      <c r="F301" s="2">
        <v>9.859</v>
      </c>
      <c r="G301" s="2" t="s">
        <v>176</v>
      </c>
      <c r="H301" s="2" t="s">
        <v>146</v>
      </c>
      <c r="I301" s="2" t="s">
        <v>176</v>
      </c>
      <c r="J301" s="2" t="s">
        <v>146</v>
      </c>
    </row>
    <row r="302" spans="1:10" ht="15" customHeight="1" x14ac:dyDescent="0.45">
      <c r="A302" s="2" t="s">
        <v>289</v>
      </c>
      <c r="B302" s="2" t="s">
        <v>288</v>
      </c>
      <c r="C302" s="2">
        <v>2019</v>
      </c>
      <c r="D302" s="2" t="s">
        <v>146</v>
      </c>
      <c r="E302" s="2" t="s">
        <v>176</v>
      </c>
      <c r="F302" s="2" t="s">
        <v>146</v>
      </c>
      <c r="G302" s="2" t="s">
        <v>176</v>
      </c>
      <c r="H302" s="2" t="s">
        <v>146</v>
      </c>
      <c r="I302" s="2" t="s">
        <v>176</v>
      </c>
      <c r="J302" s="2" t="s">
        <v>146</v>
      </c>
    </row>
    <row r="303" spans="1:10" ht="15" customHeight="1" x14ac:dyDescent="0.45">
      <c r="A303" s="2" t="s">
        <v>286</v>
      </c>
      <c r="B303" s="2" t="s">
        <v>287</v>
      </c>
      <c r="C303" s="2">
        <v>2019</v>
      </c>
      <c r="D303" s="2">
        <v>36.5</v>
      </c>
      <c r="E303" s="2" t="s">
        <v>849</v>
      </c>
      <c r="F303" s="2">
        <v>36.5</v>
      </c>
      <c r="G303" s="2" t="s">
        <v>49</v>
      </c>
      <c r="H303" s="2" t="s">
        <v>146</v>
      </c>
      <c r="I303" s="2" t="s">
        <v>49</v>
      </c>
      <c r="J303" s="2" t="s">
        <v>146</v>
      </c>
    </row>
    <row r="304" spans="1:10" ht="15" customHeight="1" x14ac:dyDescent="0.45">
      <c r="A304" s="2" t="s">
        <v>286</v>
      </c>
      <c r="B304" s="2" t="s">
        <v>285</v>
      </c>
      <c r="C304" s="2">
        <v>2019</v>
      </c>
      <c r="D304" s="2" t="s">
        <v>146</v>
      </c>
      <c r="E304" s="2" t="s">
        <v>49</v>
      </c>
      <c r="F304" s="2" t="s">
        <v>146</v>
      </c>
      <c r="G304" s="2" t="s">
        <v>49</v>
      </c>
      <c r="H304" s="2" t="s">
        <v>146</v>
      </c>
      <c r="I304" s="2" t="s">
        <v>49</v>
      </c>
      <c r="J304" s="2" t="s">
        <v>146</v>
      </c>
    </row>
    <row r="305" spans="1:10" ht="15" customHeight="1" x14ac:dyDescent="0.45">
      <c r="A305" s="2" t="s">
        <v>284</v>
      </c>
      <c r="B305" s="2" t="s">
        <v>283</v>
      </c>
      <c r="C305" s="2">
        <v>2019</v>
      </c>
      <c r="D305" s="2" t="s">
        <v>146</v>
      </c>
      <c r="E305" s="2" t="s">
        <v>49</v>
      </c>
      <c r="F305" s="2" t="s">
        <v>146</v>
      </c>
      <c r="G305" s="2" t="s">
        <v>49</v>
      </c>
      <c r="H305" s="2" t="s">
        <v>146</v>
      </c>
      <c r="I305" s="2" t="s">
        <v>49</v>
      </c>
      <c r="J305" s="2" t="s">
        <v>146</v>
      </c>
    </row>
    <row r="306" spans="1:10" ht="15" customHeight="1" x14ac:dyDescent="0.45">
      <c r="A306" s="2" t="s">
        <v>280</v>
      </c>
      <c r="B306" s="2" t="s">
        <v>282</v>
      </c>
      <c r="C306" s="2">
        <v>2019</v>
      </c>
      <c r="D306" s="2" t="s">
        <v>146</v>
      </c>
      <c r="E306" s="2" t="s">
        <v>49</v>
      </c>
      <c r="F306" s="2" t="s">
        <v>146</v>
      </c>
      <c r="G306" s="2" t="s">
        <v>49</v>
      </c>
      <c r="H306" s="2" t="s">
        <v>146</v>
      </c>
      <c r="I306" s="2" t="s">
        <v>49</v>
      </c>
      <c r="J306" s="2" t="s">
        <v>146</v>
      </c>
    </row>
    <row r="307" spans="1:10" ht="15" customHeight="1" x14ac:dyDescent="0.45">
      <c r="A307" s="2" t="s">
        <v>280</v>
      </c>
      <c r="B307" s="2" t="s">
        <v>281</v>
      </c>
      <c r="C307" s="2">
        <v>2019</v>
      </c>
      <c r="D307" s="2" t="s">
        <v>146</v>
      </c>
      <c r="E307" s="2" t="s">
        <v>49</v>
      </c>
      <c r="F307" s="2" t="s">
        <v>146</v>
      </c>
      <c r="G307" s="2" t="s">
        <v>49</v>
      </c>
      <c r="H307" s="2" t="s">
        <v>146</v>
      </c>
      <c r="I307" s="2" t="s">
        <v>49</v>
      </c>
      <c r="J307" s="2" t="s">
        <v>146</v>
      </c>
    </row>
    <row r="308" spans="1:10" ht="15" customHeight="1" x14ac:dyDescent="0.45">
      <c r="A308" s="2" t="s">
        <v>280</v>
      </c>
      <c r="B308" s="2" t="s">
        <v>279</v>
      </c>
      <c r="C308" s="2">
        <v>2019</v>
      </c>
      <c r="D308" s="2" t="s">
        <v>146</v>
      </c>
      <c r="E308" s="2" t="s">
        <v>49</v>
      </c>
      <c r="F308" s="2" t="s">
        <v>146</v>
      </c>
      <c r="G308" s="2" t="s">
        <v>49</v>
      </c>
      <c r="H308" s="2" t="s">
        <v>146</v>
      </c>
      <c r="I308" s="2" t="s">
        <v>49</v>
      </c>
      <c r="J308" s="2" t="s">
        <v>146</v>
      </c>
    </row>
    <row r="309" spans="1:10" ht="15" customHeight="1" x14ac:dyDescent="0.45">
      <c r="A309" s="2" t="s">
        <v>278</v>
      </c>
      <c r="B309" s="2" t="s">
        <v>278</v>
      </c>
      <c r="C309" s="2">
        <v>2019</v>
      </c>
      <c r="D309" s="2" t="s">
        <v>49</v>
      </c>
      <c r="E309" s="2" t="s">
        <v>49</v>
      </c>
      <c r="F309" s="2" t="s">
        <v>49</v>
      </c>
      <c r="G309" s="2" t="s">
        <v>49</v>
      </c>
      <c r="H309" s="2" t="s">
        <v>49</v>
      </c>
      <c r="I309" s="2" t="s">
        <v>49</v>
      </c>
      <c r="J309" s="2" t="s">
        <v>49</v>
      </c>
    </row>
    <row r="310" spans="1:10" ht="15" customHeight="1" x14ac:dyDescent="0.45">
      <c r="A310" s="2" t="s">
        <v>277</v>
      </c>
      <c r="B310" s="2" t="s">
        <v>130</v>
      </c>
      <c r="C310" s="2">
        <v>2019</v>
      </c>
      <c r="D310" s="2" t="s">
        <v>146</v>
      </c>
      <c r="E310" s="2" t="s">
        <v>49</v>
      </c>
      <c r="F310" s="2" t="s">
        <v>146</v>
      </c>
      <c r="G310" s="2" t="s">
        <v>49</v>
      </c>
      <c r="H310" s="2" t="s">
        <v>146</v>
      </c>
      <c r="I310" s="2" t="s">
        <v>49</v>
      </c>
      <c r="J310" s="2" t="s">
        <v>146</v>
      </c>
    </row>
    <row r="311" spans="1:10" ht="15" customHeight="1" x14ac:dyDescent="0.45">
      <c r="A311" s="2" t="s">
        <v>276</v>
      </c>
      <c r="B311" s="2" t="s">
        <v>275</v>
      </c>
      <c r="C311" s="2">
        <v>2019</v>
      </c>
      <c r="D311" s="2" t="s">
        <v>146</v>
      </c>
      <c r="E311" s="2" t="s">
        <v>49</v>
      </c>
      <c r="F311" s="2" t="s">
        <v>146</v>
      </c>
      <c r="G311" s="2" t="s">
        <v>49</v>
      </c>
      <c r="H311" s="2" t="s">
        <v>146</v>
      </c>
      <c r="I311" s="2" t="s">
        <v>49</v>
      </c>
      <c r="J311" s="2" t="s">
        <v>146</v>
      </c>
    </row>
    <row r="312" spans="1:10" ht="15" customHeight="1" x14ac:dyDescent="0.45">
      <c r="A312" s="2" t="s">
        <v>273</v>
      </c>
      <c r="B312" s="2" t="s">
        <v>272</v>
      </c>
      <c r="C312" s="2">
        <v>2019</v>
      </c>
      <c r="D312" s="2" t="s">
        <v>146</v>
      </c>
      <c r="E312" s="2" t="s">
        <v>176</v>
      </c>
      <c r="F312" s="2" t="s">
        <v>146</v>
      </c>
      <c r="G312" s="2" t="s">
        <v>176</v>
      </c>
      <c r="H312" s="2" t="s">
        <v>146</v>
      </c>
      <c r="I312" s="2" t="s">
        <v>176</v>
      </c>
      <c r="J312" s="2" t="s">
        <v>146</v>
      </c>
    </row>
    <row r="313" spans="1:10" ht="15" customHeight="1" x14ac:dyDescent="0.45">
      <c r="A313" s="2" t="s">
        <v>271</v>
      </c>
      <c r="B313" s="2" t="s">
        <v>270</v>
      </c>
      <c r="C313" s="2">
        <v>2019</v>
      </c>
      <c r="D313" s="2" t="s">
        <v>146</v>
      </c>
      <c r="E313" s="2" t="s">
        <v>49</v>
      </c>
      <c r="F313" s="2" t="s">
        <v>146</v>
      </c>
      <c r="G313" s="2" t="s">
        <v>146</v>
      </c>
      <c r="H313" s="2" t="s">
        <v>146</v>
      </c>
      <c r="I313" s="2" t="s">
        <v>146</v>
      </c>
      <c r="J313" s="2" t="s">
        <v>146</v>
      </c>
    </row>
    <row r="314" spans="1:10" ht="15" customHeight="1" x14ac:dyDescent="0.45">
      <c r="A314" s="2" t="s">
        <v>267</v>
      </c>
      <c r="B314" s="2" t="s">
        <v>269</v>
      </c>
      <c r="C314" s="2">
        <v>2019</v>
      </c>
      <c r="D314" s="2" t="s">
        <v>146</v>
      </c>
      <c r="E314" s="2" t="s">
        <v>49</v>
      </c>
      <c r="F314" s="2" t="s">
        <v>146</v>
      </c>
      <c r="G314" s="2" t="s">
        <v>49</v>
      </c>
      <c r="H314" s="2" t="s">
        <v>146</v>
      </c>
      <c r="I314" s="2" t="s">
        <v>49</v>
      </c>
      <c r="J314" s="2" t="s">
        <v>146</v>
      </c>
    </row>
    <row r="315" spans="1:10" ht="15" customHeight="1" x14ac:dyDescent="0.45">
      <c r="A315" s="2" t="s">
        <v>267</v>
      </c>
      <c r="B315" s="2" t="s">
        <v>268</v>
      </c>
      <c r="C315" s="2">
        <v>2019</v>
      </c>
      <c r="D315" s="2" t="s">
        <v>146</v>
      </c>
      <c r="E315" s="2" t="s">
        <v>49</v>
      </c>
      <c r="F315" s="2" t="s">
        <v>146</v>
      </c>
      <c r="G315" s="2" t="s">
        <v>49</v>
      </c>
      <c r="H315" s="2" t="s">
        <v>146</v>
      </c>
      <c r="I315" s="2" t="s">
        <v>49</v>
      </c>
      <c r="J315" s="2" t="s">
        <v>146</v>
      </c>
    </row>
    <row r="316" spans="1:10" ht="15" customHeight="1" x14ac:dyDescent="0.45">
      <c r="A316" s="2" t="s">
        <v>267</v>
      </c>
      <c r="B316" s="2" t="s">
        <v>266</v>
      </c>
      <c r="C316" s="2">
        <v>2019</v>
      </c>
      <c r="D316" s="2" t="s">
        <v>146</v>
      </c>
      <c r="E316" s="2" t="s">
        <v>49</v>
      </c>
      <c r="F316" s="2" t="s">
        <v>146</v>
      </c>
      <c r="G316" s="2" t="s">
        <v>49</v>
      </c>
      <c r="H316" s="2" t="s">
        <v>146</v>
      </c>
      <c r="I316" s="2" t="s">
        <v>49</v>
      </c>
      <c r="J316" s="2" t="s">
        <v>146</v>
      </c>
    </row>
    <row r="317" spans="1:10" ht="15" customHeight="1" x14ac:dyDescent="0.45">
      <c r="A317" s="2" t="s">
        <v>263</v>
      </c>
      <c r="B317" s="2" t="s">
        <v>265</v>
      </c>
      <c r="C317" s="2">
        <v>2019</v>
      </c>
      <c r="D317" s="2" t="s">
        <v>146</v>
      </c>
      <c r="E317" s="2" t="s">
        <v>49</v>
      </c>
      <c r="F317" s="2" t="s">
        <v>49</v>
      </c>
      <c r="G317" s="2" t="s">
        <v>49</v>
      </c>
      <c r="H317" s="2" t="s">
        <v>49</v>
      </c>
      <c r="I317" s="2" t="s">
        <v>49</v>
      </c>
      <c r="J317" s="2" t="s">
        <v>49</v>
      </c>
    </row>
    <row r="318" spans="1:10" ht="15" customHeight="1" x14ac:dyDescent="0.45">
      <c r="A318" s="2" t="s">
        <v>263</v>
      </c>
      <c r="B318" s="2" t="s">
        <v>264</v>
      </c>
      <c r="C318" s="2">
        <v>2019</v>
      </c>
      <c r="D318" s="2" t="s">
        <v>146</v>
      </c>
      <c r="E318" s="2" t="s">
        <v>49</v>
      </c>
      <c r="F318" s="2" t="s">
        <v>49</v>
      </c>
      <c r="G318" s="2" t="s">
        <v>49</v>
      </c>
      <c r="H318" s="2" t="s">
        <v>49</v>
      </c>
      <c r="I318" s="2" t="s">
        <v>49</v>
      </c>
      <c r="J318" s="2" t="s">
        <v>49</v>
      </c>
    </row>
    <row r="319" spans="1:10" ht="15" customHeight="1" x14ac:dyDescent="0.45">
      <c r="A319" s="2" t="s">
        <v>263</v>
      </c>
      <c r="B319" s="2" t="s">
        <v>262</v>
      </c>
      <c r="C319" s="2">
        <v>2019</v>
      </c>
      <c r="D319" s="2">
        <v>34.9</v>
      </c>
      <c r="E319" s="2" t="s">
        <v>763</v>
      </c>
      <c r="F319" s="2">
        <v>34.630000000000003</v>
      </c>
      <c r="G319" s="2" t="s">
        <v>848</v>
      </c>
      <c r="H319" s="2">
        <v>0.27</v>
      </c>
      <c r="I319" s="2" t="s">
        <v>49</v>
      </c>
      <c r="J319" s="2" t="s">
        <v>146</v>
      </c>
    </row>
    <row r="320" spans="1:10" ht="15" customHeight="1" x14ac:dyDescent="0.45">
      <c r="A320" s="2" t="s">
        <v>258</v>
      </c>
      <c r="B320" s="2" t="s">
        <v>261</v>
      </c>
      <c r="C320" s="2">
        <v>2019</v>
      </c>
      <c r="D320" s="2" t="s">
        <v>146</v>
      </c>
      <c r="E320" s="2" t="s">
        <v>49</v>
      </c>
      <c r="F320" s="2" t="s">
        <v>146</v>
      </c>
      <c r="G320" s="2" t="s">
        <v>49</v>
      </c>
      <c r="H320" s="2" t="s">
        <v>146</v>
      </c>
      <c r="I320" s="2" t="s">
        <v>49</v>
      </c>
      <c r="J320" s="2" t="s">
        <v>146</v>
      </c>
    </row>
    <row r="321" spans="1:10" ht="15" customHeight="1" x14ac:dyDescent="0.45">
      <c r="A321" s="2" t="s">
        <v>258</v>
      </c>
      <c r="B321" s="2" t="s">
        <v>260</v>
      </c>
      <c r="C321" s="2">
        <v>2019</v>
      </c>
      <c r="D321" s="2" t="s">
        <v>146</v>
      </c>
      <c r="E321" s="2" t="s">
        <v>49</v>
      </c>
      <c r="F321" s="2" t="s">
        <v>146</v>
      </c>
      <c r="G321" s="2" t="s">
        <v>49</v>
      </c>
      <c r="H321" s="2" t="s">
        <v>146</v>
      </c>
      <c r="I321" s="2" t="s">
        <v>49</v>
      </c>
      <c r="J321" s="2" t="s">
        <v>146</v>
      </c>
    </row>
    <row r="322" spans="1:10" ht="15" customHeight="1" x14ac:dyDescent="0.45">
      <c r="A322" s="2" t="s">
        <v>258</v>
      </c>
      <c r="B322" s="2" t="s">
        <v>259</v>
      </c>
      <c r="C322" s="2">
        <v>2019</v>
      </c>
      <c r="D322" s="2" t="s">
        <v>146</v>
      </c>
      <c r="E322" s="2" t="s">
        <v>49</v>
      </c>
      <c r="F322" s="2" t="s">
        <v>146</v>
      </c>
      <c r="G322" s="2" t="s">
        <v>49</v>
      </c>
      <c r="H322" s="2" t="s">
        <v>146</v>
      </c>
      <c r="I322" s="2" t="s">
        <v>49</v>
      </c>
      <c r="J322" s="2" t="s">
        <v>146</v>
      </c>
    </row>
    <row r="323" spans="1:10" ht="15" customHeight="1" x14ac:dyDescent="0.45">
      <c r="A323" s="2" t="s">
        <v>258</v>
      </c>
      <c r="B323" s="2" t="s">
        <v>257</v>
      </c>
      <c r="C323" s="2">
        <v>2019</v>
      </c>
      <c r="D323" s="2" t="s">
        <v>146</v>
      </c>
      <c r="E323" s="2" t="s">
        <v>49</v>
      </c>
      <c r="F323" s="2" t="s">
        <v>146</v>
      </c>
      <c r="G323" s="2" t="s">
        <v>49</v>
      </c>
      <c r="H323" s="2" t="s">
        <v>146</v>
      </c>
      <c r="I323" s="2" t="s">
        <v>49</v>
      </c>
      <c r="J323" s="2" t="s">
        <v>146</v>
      </c>
    </row>
    <row r="324" spans="1:10" ht="15" customHeight="1" x14ac:dyDescent="0.45">
      <c r="A324" s="2" t="s">
        <v>255</v>
      </c>
      <c r="B324" s="2" t="s">
        <v>256</v>
      </c>
      <c r="C324" s="2">
        <v>2019</v>
      </c>
      <c r="D324" s="2" t="s">
        <v>146</v>
      </c>
      <c r="E324" s="2" t="s">
        <v>49</v>
      </c>
      <c r="F324" s="2" t="s">
        <v>146</v>
      </c>
      <c r="G324" s="2" t="s">
        <v>49</v>
      </c>
      <c r="H324" s="2" t="s">
        <v>146</v>
      </c>
      <c r="I324" s="2" t="s">
        <v>49</v>
      </c>
      <c r="J324" s="2" t="s">
        <v>146</v>
      </c>
    </row>
    <row r="325" spans="1:10" ht="15" customHeight="1" x14ac:dyDescent="0.45">
      <c r="A325" s="2" t="s">
        <v>255</v>
      </c>
      <c r="B325" s="2" t="s">
        <v>254</v>
      </c>
      <c r="C325" s="2">
        <v>2019</v>
      </c>
      <c r="D325" s="2" t="s">
        <v>146</v>
      </c>
      <c r="E325" s="2" t="s">
        <v>49</v>
      </c>
      <c r="F325" s="2" t="s">
        <v>146</v>
      </c>
      <c r="G325" s="2" t="s">
        <v>49</v>
      </c>
      <c r="H325" s="2" t="s">
        <v>146</v>
      </c>
      <c r="I325" s="2" t="s">
        <v>49</v>
      </c>
      <c r="J325" s="2" t="s">
        <v>146</v>
      </c>
    </row>
    <row r="326" spans="1:10" ht="15" customHeight="1" x14ac:dyDescent="0.45">
      <c r="A326" s="2" t="s">
        <v>253</v>
      </c>
      <c r="B326" s="2" t="s">
        <v>252</v>
      </c>
      <c r="C326" s="2">
        <v>2019</v>
      </c>
      <c r="D326" s="2" t="s">
        <v>146</v>
      </c>
      <c r="E326" s="2" t="s">
        <v>49</v>
      </c>
      <c r="F326" s="2" t="s">
        <v>146</v>
      </c>
      <c r="G326" s="2" t="s">
        <v>49</v>
      </c>
      <c r="H326" s="2" t="s">
        <v>146</v>
      </c>
      <c r="I326" s="2" t="s">
        <v>49</v>
      </c>
      <c r="J326" s="2" t="s">
        <v>146</v>
      </c>
    </row>
    <row r="327" spans="1:10" ht="15" customHeight="1" x14ac:dyDescent="0.45">
      <c r="A327" s="2" t="s">
        <v>249</v>
      </c>
      <c r="B327" s="2" t="s">
        <v>251</v>
      </c>
      <c r="C327" s="2">
        <v>2019</v>
      </c>
      <c r="D327" s="2" t="s">
        <v>146</v>
      </c>
      <c r="E327" s="2" t="s">
        <v>49</v>
      </c>
      <c r="F327" s="2" t="s">
        <v>146</v>
      </c>
      <c r="G327" s="2" t="s">
        <v>49</v>
      </c>
      <c r="H327" s="2" t="s">
        <v>146</v>
      </c>
      <c r="I327" s="2" t="s">
        <v>49</v>
      </c>
      <c r="J327" s="2" t="s">
        <v>146</v>
      </c>
    </row>
    <row r="328" spans="1:10" ht="15" customHeight="1" x14ac:dyDescent="0.45">
      <c r="A328" s="2" t="s">
        <v>249</v>
      </c>
      <c r="B328" s="2" t="s">
        <v>250</v>
      </c>
      <c r="C328" s="2">
        <v>2019</v>
      </c>
      <c r="D328" s="2">
        <v>132.52500000000001</v>
      </c>
      <c r="E328" s="2" t="s">
        <v>755</v>
      </c>
      <c r="F328" s="2">
        <v>132.52500000000001</v>
      </c>
      <c r="G328" s="2" t="s">
        <v>176</v>
      </c>
      <c r="H328" s="2" t="s">
        <v>146</v>
      </c>
      <c r="I328" s="2" t="s">
        <v>176</v>
      </c>
      <c r="J328" s="2" t="s">
        <v>146</v>
      </c>
    </row>
    <row r="329" spans="1:10" ht="15" customHeight="1" x14ac:dyDescent="0.45">
      <c r="A329" s="2" t="s">
        <v>249</v>
      </c>
      <c r="B329" s="2" t="s">
        <v>248</v>
      </c>
      <c r="C329" s="2">
        <v>2019</v>
      </c>
      <c r="D329" s="2" t="s">
        <v>146</v>
      </c>
      <c r="E329" s="2" t="s">
        <v>49</v>
      </c>
      <c r="F329" s="2" t="s">
        <v>146</v>
      </c>
      <c r="G329" s="2" t="s">
        <v>49</v>
      </c>
      <c r="H329" s="2" t="s">
        <v>146</v>
      </c>
      <c r="I329" s="2" t="s">
        <v>49</v>
      </c>
      <c r="J329" s="2" t="s">
        <v>146</v>
      </c>
    </row>
    <row r="330" spans="1:10" ht="15" customHeight="1" x14ac:dyDescent="0.45">
      <c r="A330" s="2" t="s">
        <v>243</v>
      </c>
      <c r="B330" s="2" t="s">
        <v>247</v>
      </c>
      <c r="C330" s="2">
        <v>2019</v>
      </c>
      <c r="D330" s="2" t="s">
        <v>146</v>
      </c>
      <c r="E330" s="2" t="s">
        <v>49</v>
      </c>
      <c r="F330" s="2" t="s">
        <v>146</v>
      </c>
      <c r="G330" s="2" t="s">
        <v>49</v>
      </c>
      <c r="H330" s="2" t="s">
        <v>146</v>
      </c>
      <c r="I330" s="2" t="s">
        <v>49</v>
      </c>
      <c r="J330" s="2" t="s">
        <v>146</v>
      </c>
    </row>
    <row r="331" spans="1:10" ht="15" customHeight="1" x14ac:dyDescent="0.45">
      <c r="A331" s="2" t="s">
        <v>243</v>
      </c>
      <c r="B331" s="2" t="s">
        <v>246</v>
      </c>
      <c r="C331" s="2">
        <v>2019</v>
      </c>
      <c r="D331" s="2" t="s">
        <v>146</v>
      </c>
      <c r="E331" s="2" t="s">
        <v>49</v>
      </c>
      <c r="F331" s="2" t="s">
        <v>146</v>
      </c>
      <c r="G331" s="2" t="s">
        <v>49</v>
      </c>
      <c r="H331" s="2" t="s">
        <v>146</v>
      </c>
      <c r="I331" s="2" t="s">
        <v>49</v>
      </c>
      <c r="J331" s="2" t="s">
        <v>146</v>
      </c>
    </row>
    <row r="332" spans="1:10" ht="15" customHeight="1" x14ac:dyDescent="0.45">
      <c r="A332" s="2" t="s">
        <v>243</v>
      </c>
      <c r="B332" s="2" t="s">
        <v>245</v>
      </c>
      <c r="C332" s="2">
        <v>2019</v>
      </c>
      <c r="D332" s="2" t="s">
        <v>146</v>
      </c>
      <c r="E332" s="2" t="s">
        <v>49</v>
      </c>
      <c r="F332" s="2" t="s">
        <v>146</v>
      </c>
      <c r="G332" s="2" t="s">
        <v>49</v>
      </c>
      <c r="H332" s="2" t="s">
        <v>146</v>
      </c>
      <c r="I332" s="2" t="s">
        <v>49</v>
      </c>
      <c r="J332" s="2" t="s">
        <v>146</v>
      </c>
    </row>
    <row r="333" spans="1:10" ht="15" customHeight="1" x14ac:dyDescent="0.45">
      <c r="A333" s="2" t="s">
        <v>243</v>
      </c>
      <c r="B333" s="2" t="s">
        <v>244</v>
      </c>
      <c r="C333" s="2">
        <v>2019</v>
      </c>
      <c r="D333" s="2" t="s">
        <v>146</v>
      </c>
      <c r="E333" s="2" t="s">
        <v>49</v>
      </c>
      <c r="F333" s="2" t="s">
        <v>146</v>
      </c>
      <c r="G333" s="2" t="s">
        <v>49</v>
      </c>
      <c r="H333" s="2" t="s">
        <v>146</v>
      </c>
      <c r="I333" s="2" t="s">
        <v>49</v>
      </c>
      <c r="J333" s="2" t="s">
        <v>146</v>
      </c>
    </row>
    <row r="334" spans="1:10" ht="15" customHeight="1" x14ac:dyDescent="0.45">
      <c r="A334" s="2" t="s">
        <v>243</v>
      </c>
      <c r="B334" s="2" t="s">
        <v>133</v>
      </c>
      <c r="C334" s="2">
        <v>2019</v>
      </c>
      <c r="D334" s="2" t="s">
        <v>146</v>
      </c>
      <c r="E334" s="2" t="s">
        <v>49</v>
      </c>
      <c r="F334" s="2" t="s">
        <v>146</v>
      </c>
      <c r="G334" s="2" t="s">
        <v>49</v>
      </c>
      <c r="H334" s="2" t="s">
        <v>146</v>
      </c>
      <c r="I334" s="2" t="s">
        <v>49</v>
      </c>
      <c r="J334" s="2" t="s">
        <v>146</v>
      </c>
    </row>
    <row r="335" spans="1:10" ht="15" customHeight="1" x14ac:dyDescent="0.45">
      <c r="A335" s="2" t="s">
        <v>232</v>
      </c>
      <c r="B335" s="2" t="s">
        <v>242</v>
      </c>
      <c r="C335" s="2">
        <v>2019</v>
      </c>
      <c r="D335" s="2" t="s">
        <v>146</v>
      </c>
      <c r="E335" s="2" t="s">
        <v>49</v>
      </c>
      <c r="F335" s="2" t="s">
        <v>146</v>
      </c>
      <c r="G335" s="2" t="s">
        <v>49</v>
      </c>
      <c r="H335" s="2" t="s">
        <v>146</v>
      </c>
      <c r="I335" s="2" t="s">
        <v>49</v>
      </c>
      <c r="J335" s="2" t="s">
        <v>146</v>
      </c>
    </row>
    <row r="336" spans="1:10" ht="15" customHeight="1" x14ac:dyDescent="0.45">
      <c r="A336" s="2" t="s">
        <v>232</v>
      </c>
      <c r="B336" s="2" t="s">
        <v>241</v>
      </c>
      <c r="C336" s="2">
        <v>2019</v>
      </c>
      <c r="D336" s="2">
        <v>4.548</v>
      </c>
      <c r="E336" s="2" t="s">
        <v>847</v>
      </c>
      <c r="F336" s="2">
        <v>4.548</v>
      </c>
      <c r="G336" s="2" t="s">
        <v>49</v>
      </c>
      <c r="H336" s="2" t="s">
        <v>146</v>
      </c>
      <c r="I336" s="2" t="s">
        <v>49</v>
      </c>
      <c r="J336" s="2" t="s">
        <v>146</v>
      </c>
    </row>
    <row r="337" spans="1:10" ht="15" customHeight="1" x14ac:dyDescent="0.45">
      <c r="A337" s="2" t="s">
        <v>232</v>
      </c>
      <c r="B337" s="2" t="s">
        <v>240</v>
      </c>
      <c r="C337" s="2">
        <v>2019</v>
      </c>
      <c r="D337" s="2" t="s">
        <v>146</v>
      </c>
      <c r="E337" s="2" t="s">
        <v>49</v>
      </c>
      <c r="F337" s="2" t="s">
        <v>146</v>
      </c>
      <c r="G337" s="2" t="s">
        <v>49</v>
      </c>
      <c r="H337" s="2" t="s">
        <v>146</v>
      </c>
      <c r="I337" s="2" t="s">
        <v>49</v>
      </c>
      <c r="J337" s="2" t="s">
        <v>146</v>
      </c>
    </row>
    <row r="338" spans="1:10" ht="15" customHeight="1" x14ac:dyDescent="0.45">
      <c r="A338" s="2" t="s">
        <v>232</v>
      </c>
      <c r="B338" s="2" t="s">
        <v>239</v>
      </c>
      <c r="C338" s="2">
        <v>2019</v>
      </c>
      <c r="D338" s="2" t="s">
        <v>146</v>
      </c>
      <c r="E338" s="2" t="s">
        <v>49</v>
      </c>
      <c r="F338" s="2" t="s">
        <v>146</v>
      </c>
      <c r="G338" s="2" t="s">
        <v>49</v>
      </c>
      <c r="H338" s="2" t="s">
        <v>146</v>
      </c>
      <c r="I338" s="2" t="s">
        <v>49</v>
      </c>
      <c r="J338" s="2" t="s">
        <v>146</v>
      </c>
    </row>
    <row r="339" spans="1:10" ht="15" customHeight="1" x14ac:dyDescent="0.45">
      <c r="A339" s="2" t="s">
        <v>232</v>
      </c>
      <c r="B339" s="2" t="s">
        <v>238</v>
      </c>
      <c r="C339" s="2">
        <v>2019</v>
      </c>
      <c r="D339" s="2" t="s">
        <v>146</v>
      </c>
      <c r="E339" s="2" t="s">
        <v>49</v>
      </c>
      <c r="F339" s="2" t="s">
        <v>146</v>
      </c>
      <c r="G339" s="2" t="s">
        <v>49</v>
      </c>
      <c r="H339" s="2" t="s">
        <v>146</v>
      </c>
      <c r="I339" s="2" t="s">
        <v>49</v>
      </c>
      <c r="J339" s="2" t="s">
        <v>146</v>
      </c>
    </row>
    <row r="340" spans="1:10" ht="15" customHeight="1" x14ac:dyDescent="0.45">
      <c r="A340" s="2" t="s">
        <v>232</v>
      </c>
      <c r="B340" s="2" t="s">
        <v>237</v>
      </c>
      <c r="C340" s="2">
        <v>2019</v>
      </c>
      <c r="D340" s="2" t="s">
        <v>146</v>
      </c>
      <c r="E340" s="2" t="s">
        <v>146</v>
      </c>
      <c r="F340" s="2" t="s">
        <v>146</v>
      </c>
      <c r="G340" s="2" t="s">
        <v>146</v>
      </c>
      <c r="H340" s="2" t="s">
        <v>146</v>
      </c>
      <c r="I340" s="2" t="s">
        <v>146</v>
      </c>
      <c r="J340" s="2" t="s">
        <v>146</v>
      </c>
    </row>
    <row r="341" spans="1:10" ht="15" customHeight="1" x14ac:dyDescent="0.45">
      <c r="A341" s="2" t="s">
        <v>232</v>
      </c>
      <c r="B341" s="2" t="s">
        <v>236</v>
      </c>
      <c r="C341" s="2">
        <v>2019</v>
      </c>
      <c r="D341" s="2" t="s">
        <v>146</v>
      </c>
      <c r="E341" s="2" t="s">
        <v>49</v>
      </c>
      <c r="F341" s="2" t="s">
        <v>146</v>
      </c>
      <c r="G341" s="2" t="s">
        <v>49</v>
      </c>
      <c r="H341" s="2" t="s">
        <v>146</v>
      </c>
      <c r="I341" s="2" t="s">
        <v>49</v>
      </c>
      <c r="J341" s="2" t="s">
        <v>146</v>
      </c>
    </row>
    <row r="342" spans="1:10" ht="15" customHeight="1" x14ac:dyDescent="0.45">
      <c r="A342" s="2" t="s">
        <v>232</v>
      </c>
      <c r="B342" s="2" t="s">
        <v>235</v>
      </c>
      <c r="C342" s="2">
        <v>2019</v>
      </c>
      <c r="D342" s="2" t="s">
        <v>146</v>
      </c>
      <c r="E342" s="2" t="s">
        <v>49</v>
      </c>
      <c r="F342" s="2" t="s">
        <v>146</v>
      </c>
      <c r="G342" s="2" t="s">
        <v>49</v>
      </c>
      <c r="H342" s="2" t="s">
        <v>146</v>
      </c>
      <c r="I342" s="2" t="s">
        <v>49</v>
      </c>
      <c r="J342" s="2" t="s">
        <v>146</v>
      </c>
    </row>
    <row r="343" spans="1:10" ht="15" customHeight="1" x14ac:dyDescent="0.45">
      <c r="A343" s="2" t="s">
        <v>232</v>
      </c>
      <c r="B343" s="2" t="s">
        <v>234</v>
      </c>
      <c r="C343" s="2">
        <v>2019</v>
      </c>
      <c r="D343" s="2" t="s">
        <v>146</v>
      </c>
      <c r="E343" s="2" t="s">
        <v>49</v>
      </c>
      <c r="F343" s="2" t="s">
        <v>146</v>
      </c>
      <c r="G343" s="2" t="s">
        <v>49</v>
      </c>
      <c r="H343" s="2" t="s">
        <v>146</v>
      </c>
      <c r="I343" s="2" t="s">
        <v>49</v>
      </c>
      <c r="J343" s="2" t="s">
        <v>146</v>
      </c>
    </row>
    <row r="344" spans="1:10" ht="15" customHeight="1" x14ac:dyDescent="0.45">
      <c r="A344" s="2" t="s">
        <v>232</v>
      </c>
      <c r="B344" s="2" t="s">
        <v>231</v>
      </c>
      <c r="C344" s="2">
        <v>2019</v>
      </c>
      <c r="D344" s="2">
        <v>204</v>
      </c>
      <c r="E344" s="2" t="s">
        <v>846</v>
      </c>
      <c r="F344" s="2">
        <v>204</v>
      </c>
      <c r="G344" s="2" t="s">
        <v>146</v>
      </c>
      <c r="H344" s="2" t="s">
        <v>146</v>
      </c>
      <c r="I344" s="2" t="s">
        <v>146</v>
      </c>
      <c r="J344" s="2" t="s">
        <v>146</v>
      </c>
    </row>
    <row r="345" spans="1:10" ht="15" customHeight="1" x14ac:dyDescent="0.45">
      <c r="A345" s="2" t="s">
        <v>7</v>
      </c>
      <c r="B345" s="2" t="s">
        <v>230</v>
      </c>
      <c r="C345" s="2">
        <v>2019</v>
      </c>
      <c r="D345" s="2" t="s">
        <v>49</v>
      </c>
      <c r="E345" s="2" t="s">
        <v>49</v>
      </c>
      <c r="F345" s="2" t="s">
        <v>49</v>
      </c>
      <c r="G345" s="2" t="s">
        <v>49</v>
      </c>
      <c r="H345" s="2" t="s">
        <v>49</v>
      </c>
      <c r="I345" s="2" t="s">
        <v>49</v>
      </c>
      <c r="J345" s="2" t="s">
        <v>49</v>
      </c>
    </row>
    <row r="346" spans="1:10" ht="15" customHeight="1" x14ac:dyDescent="0.45">
      <c r="A346" s="2" t="s">
        <v>7</v>
      </c>
      <c r="B346" s="2" t="s">
        <v>8</v>
      </c>
      <c r="C346" s="2">
        <v>2019</v>
      </c>
      <c r="D346" s="2" t="s">
        <v>49</v>
      </c>
      <c r="E346" s="2" t="s">
        <v>49</v>
      </c>
      <c r="F346" s="2" t="s">
        <v>49</v>
      </c>
      <c r="G346" s="2" t="s">
        <v>49</v>
      </c>
      <c r="H346" s="2" t="s">
        <v>49</v>
      </c>
      <c r="I346" s="2" t="s">
        <v>49</v>
      </c>
      <c r="J346" s="2" t="s">
        <v>49</v>
      </c>
    </row>
    <row r="347" spans="1:10" ht="15" customHeight="1" x14ac:dyDescent="0.45">
      <c r="A347" s="2" t="s">
        <v>225</v>
      </c>
      <c r="B347" s="2" t="s">
        <v>229</v>
      </c>
      <c r="C347" s="2">
        <v>2019</v>
      </c>
      <c r="D347" s="2" t="s">
        <v>146</v>
      </c>
      <c r="E347" s="2" t="s">
        <v>49</v>
      </c>
      <c r="F347" s="2" t="s">
        <v>146</v>
      </c>
      <c r="G347" s="2" t="s">
        <v>49</v>
      </c>
      <c r="H347" s="2" t="s">
        <v>146</v>
      </c>
      <c r="I347" s="2" t="s">
        <v>49</v>
      </c>
      <c r="J347" s="2" t="s">
        <v>146</v>
      </c>
    </row>
    <row r="348" spans="1:10" ht="15" customHeight="1" x14ac:dyDescent="0.45">
      <c r="A348" s="2" t="s">
        <v>225</v>
      </c>
      <c r="B348" s="2" t="s">
        <v>228</v>
      </c>
      <c r="C348" s="2">
        <v>2019</v>
      </c>
      <c r="D348" s="2" t="s">
        <v>146</v>
      </c>
      <c r="E348" s="2" t="s">
        <v>49</v>
      </c>
      <c r="F348" s="2" t="s">
        <v>146</v>
      </c>
      <c r="G348" s="2" t="s">
        <v>49</v>
      </c>
      <c r="H348" s="2" t="s">
        <v>146</v>
      </c>
      <c r="I348" s="2" t="s">
        <v>49</v>
      </c>
      <c r="J348" s="2" t="s">
        <v>146</v>
      </c>
    </row>
    <row r="349" spans="1:10" ht="15" customHeight="1" x14ac:dyDescent="0.45">
      <c r="A349" s="2" t="s">
        <v>225</v>
      </c>
      <c r="B349" s="2" t="s">
        <v>227</v>
      </c>
      <c r="C349" s="2">
        <v>2019</v>
      </c>
      <c r="D349" s="2" t="s">
        <v>146</v>
      </c>
      <c r="E349" s="2" t="s">
        <v>49</v>
      </c>
      <c r="F349" s="2" t="s">
        <v>146</v>
      </c>
      <c r="G349" s="2" t="s">
        <v>49</v>
      </c>
      <c r="H349" s="2" t="s">
        <v>146</v>
      </c>
      <c r="I349" s="2" t="s">
        <v>49</v>
      </c>
      <c r="J349" s="2" t="s">
        <v>146</v>
      </c>
    </row>
    <row r="350" spans="1:10" ht="15" customHeight="1" x14ac:dyDescent="0.45">
      <c r="A350" s="2" t="s">
        <v>225</v>
      </c>
      <c r="B350" s="2" t="s">
        <v>226</v>
      </c>
      <c r="C350" s="2">
        <v>2019</v>
      </c>
      <c r="D350" s="2" t="s">
        <v>146</v>
      </c>
      <c r="E350" s="2" t="s">
        <v>49</v>
      </c>
      <c r="F350" s="2" t="s">
        <v>146</v>
      </c>
      <c r="G350" s="2" t="s">
        <v>49</v>
      </c>
      <c r="H350" s="2" t="s">
        <v>146</v>
      </c>
      <c r="I350" s="2" t="s">
        <v>49</v>
      </c>
      <c r="J350" s="2" t="s">
        <v>146</v>
      </c>
    </row>
    <row r="351" spans="1:10" ht="15" customHeight="1" x14ac:dyDescent="0.45">
      <c r="A351" s="2" t="s">
        <v>225</v>
      </c>
      <c r="B351" s="2" t="s">
        <v>224</v>
      </c>
      <c r="C351" s="2">
        <v>2019</v>
      </c>
      <c r="D351" s="2" t="s">
        <v>146</v>
      </c>
      <c r="E351" s="2" t="s">
        <v>49</v>
      </c>
      <c r="F351" s="2" t="s">
        <v>146</v>
      </c>
      <c r="G351" s="2" t="s">
        <v>49</v>
      </c>
      <c r="H351" s="2" t="s">
        <v>146</v>
      </c>
      <c r="I351" s="2" t="s">
        <v>49</v>
      </c>
      <c r="J351" s="2" t="s">
        <v>146</v>
      </c>
    </row>
    <row r="352" spans="1:10" ht="15" customHeight="1" x14ac:dyDescent="0.45">
      <c r="A352" s="2" t="s">
        <v>221</v>
      </c>
      <c r="B352" s="2" t="s">
        <v>223</v>
      </c>
      <c r="C352" s="2">
        <v>2019</v>
      </c>
      <c r="D352" s="2" t="s">
        <v>146</v>
      </c>
      <c r="E352" s="2" t="s">
        <v>49</v>
      </c>
      <c r="F352" s="2" t="s">
        <v>146</v>
      </c>
      <c r="G352" s="2" t="s">
        <v>49</v>
      </c>
      <c r="H352" s="2" t="s">
        <v>146</v>
      </c>
      <c r="I352" s="2" t="s">
        <v>49</v>
      </c>
      <c r="J352" s="2" t="s">
        <v>146</v>
      </c>
    </row>
    <row r="353" spans="1:10" ht="15" customHeight="1" x14ac:dyDescent="0.45">
      <c r="A353" s="2" t="s">
        <v>221</v>
      </c>
      <c r="B353" s="2" t="s">
        <v>222</v>
      </c>
      <c r="C353" s="2">
        <v>2019</v>
      </c>
      <c r="D353" s="2">
        <v>0.4</v>
      </c>
      <c r="E353" s="2" t="s">
        <v>845</v>
      </c>
      <c r="F353" s="2">
        <v>0.4</v>
      </c>
      <c r="G353" s="2" t="s">
        <v>49</v>
      </c>
      <c r="H353" s="2" t="s">
        <v>146</v>
      </c>
      <c r="I353" s="2" t="s">
        <v>49</v>
      </c>
      <c r="J353" s="2" t="s">
        <v>146</v>
      </c>
    </row>
    <row r="354" spans="1:10" ht="15" customHeight="1" x14ac:dyDescent="0.45">
      <c r="A354" s="2" t="s">
        <v>221</v>
      </c>
      <c r="B354" s="2" t="s">
        <v>220</v>
      </c>
      <c r="C354" s="2">
        <v>2019</v>
      </c>
      <c r="D354" s="2" t="s">
        <v>146</v>
      </c>
      <c r="E354" s="2" t="s">
        <v>49</v>
      </c>
      <c r="F354" s="2" t="s">
        <v>146</v>
      </c>
      <c r="G354" s="2" t="s">
        <v>49</v>
      </c>
      <c r="H354" s="2" t="s">
        <v>146</v>
      </c>
      <c r="I354" s="2" t="s">
        <v>49</v>
      </c>
      <c r="J354" s="2" t="s">
        <v>146</v>
      </c>
    </row>
    <row r="355" spans="1:10" ht="15" customHeight="1" x14ac:dyDescent="0.45">
      <c r="A355" s="2" t="s">
        <v>48</v>
      </c>
      <c r="B355" s="2" t="s">
        <v>219</v>
      </c>
      <c r="C355" s="2">
        <v>2019</v>
      </c>
      <c r="D355" s="2">
        <v>25.582000000000001</v>
      </c>
      <c r="E355" s="2" t="s">
        <v>844</v>
      </c>
      <c r="F355" s="2">
        <v>25.582000000000001</v>
      </c>
      <c r="G355" s="2" t="s">
        <v>49</v>
      </c>
      <c r="H355" s="2" t="s">
        <v>146</v>
      </c>
      <c r="I355" s="2" t="s">
        <v>49</v>
      </c>
      <c r="J355" s="2" t="s">
        <v>146</v>
      </c>
    </row>
    <row r="356" spans="1:10" ht="15" customHeight="1" x14ac:dyDescent="0.45">
      <c r="A356" s="2" t="s">
        <v>48</v>
      </c>
      <c r="B356" s="2" t="s">
        <v>218</v>
      </c>
      <c r="C356" s="2">
        <v>2019</v>
      </c>
      <c r="D356" s="2" t="s">
        <v>146</v>
      </c>
      <c r="E356" s="2" t="s">
        <v>49</v>
      </c>
      <c r="F356" s="2" t="s">
        <v>146</v>
      </c>
      <c r="G356" s="2" t="s">
        <v>49</v>
      </c>
      <c r="H356" s="2" t="s">
        <v>146</v>
      </c>
      <c r="I356" s="2" t="s">
        <v>49</v>
      </c>
      <c r="J356" s="2" t="s">
        <v>146</v>
      </c>
    </row>
    <row r="357" spans="1:10" ht="15" customHeight="1" x14ac:dyDescent="0.45">
      <c r="A357" s="2" t="s">
        <v>48</v>
      </c>
      <c r="B357" s="2" t="s">
        <v>217</v>
      </c>
      <c r="C357" s="2">
        <v>2019</v>
      </c>
      <c r="D357" s="2">
        <v>25.103000000000002</v>
      </c>
      <c r="E357" s="2" t="s">
        <v>748</v>
      </c>
      <c r="F357" s="2">
        <v>25.103000000000002</v>
      </c>
      <c r="G357" s="2" t="s">
        <v>49</v>
      </c>
      <c r="H357" s="2" t="s">
        <v>146</v>
      </c>
      <c r="I357" s="2" t="s">
        <v>49</v>
      </c>
      <c r="J357" s="2" t="s">
        <v>146</v>
      </c>
    </row>
    <row r="358" spans="1:10" ht="15" customHeight="1" x14ac:dyDescent="0.45">
      <c r="A358" s="2" t="s">
        <v>48</v>
      </c>
      <c r="B358" s="2" t="s">
        <v>216</v>
      </c>
      <c r="C358" s="2">
        <v>2019</v>
      </c>
      <c r="D358" s="2" t="s">
        <v>146</v>
      </c>
      <c r="E358" s="2" t="s">
        <v>49</v>
      </c>
      <c r="F358" s="2" t="s">
        <v>146</v>
      </c>
      <c r="G358" s="2" t="s">
        <v>49</v>
      </c>
      <c r="H358" s="2" t="s">
        <v>146</v>
      </c>
      <c r="I358" s="2" t="s">
        <v>49</v>
      </c>
      <c r="J358" s="2" t="s">
        <v>146</v>
      </c>
    </row>
    <row r="359" spans="1:10" ht="15" customHeight="1" x14ac:dyDescent="0.45">
      <c r="A359" s="2" t="s">
        <v>48</v>
      </c>
      <c r="B359" s="2" t="s">
        <v>215</v>
      </c>
      <c r="C359" s="2">
        <v>2019</v>
      </c>
      <c r="D359" s="2">
        <v>31.783999999999999</v>
      </c>
      <c r="E359" s="2" t="s">
        <v>843</v>
      </c>
      <c r="F359" s="2">
        <v>31.242000000000001</v>
      </c>
      <c r="G359" s="2" t="s">
        <v>842</v>
      </c>
      <c r="H359" s="2">
        <v>0.54200000000000004</v>
      </c>
      <c r="I359" s="2" t="s">
        <v>49</v>
      </c>
      <c r="J359" s="2" t="s">
        <v>146</v>
      </c>
    </row>
    <row r="360" spans="1:10" ht="15" customHeight="1" x14ac:dyDescent="0.45">
      <c r="A360" s="2" t="s">
        <v>48</v>
      </c>
      <c r="B360" s="2" t="s">
        <v>214</v>
      </c>
      <c r="C360" s="2">
        <v>2019</v>
      </c>
      <c r="D360" s="2" t="s">
        <v>146</v>
      </c>
      <c r="E360" s="2" t="s">
        <v>49</v>
      </c>
      <c r="F360" s="2" t="s">
        <v>146</v>
      </c>
      <c r="G360" s="2" t="s">
        <v>49</v>
      </c>
      <c r="H360" s="2" t="s">
        <v>146</v>
      </c>
      <c r="I360" s="2" t="s">
        <v>49</v>
      </c>
      <c r="J360" s="2" t="s">
        <v>146</v>
      </c>
    </row>
    <row r="361" spans="1:10" ht="15" customHeight="1" x14ac:dyDescent="0.45">
      <c r="A361" s="2" t="s">
        <v>48</v>
      </c>
      <c r="B361" s="2" t="s">
        <v>213</v>
      </c>
      <c r="C361" s="2">
        <v>2019</v>
      </c>
      <c r="D361" s="2">
        <v>4.8380000000000001</v>
      </c>
      <c r="E361" s="2" t="s">
        <v>841</v>
      </c>
      <c r="F361" s="2">
        <v>4.8380000000000001</v>
      </c>
      <c r="G361" s="2" t="s">
        <v>49</v>
      </c>
      <c r="H361" s="2" t="s">
        <v>146</v>
      </c>
      <c r="I361" s="2" t="s">
        <v>49</v>
      </c>
      <c r="J361" s="2" t="s">
        <v>146</v>
      </c>
    </row>
    <row r="362" spans="1:10" ht="15" customHeight="1" x14ac:dyDescent="0.45">
      <c r="A362" s="2" t="s">
        <v>48</v>
      </c>
      <c r="B362" s="2" t="s">
        <v>212</v>
      </c>
      <c r="C362" s="2">
        <v>2019</v>
      </c>
      <c r="D362" s="2">
        <v>12.813000000000001</v>
      </c>
      <c r="E362" s="2" t="s">
        <v>746</v>
      </c>
      <c r="F362" s="2">
        <v>12.813000000000001</v>
      </c>
      <c r="G362" s="2" t="s">
        <v>49</v>
      </c>
      <c r="H362" s="2" t="s">
        <v>146</v>
      </c>
      <c r="I362" s="2" t="s">
        <v>49</v>
      </c>
      <c r="J362" s="2" t="s">
        <v>146</v>
      </c>
    </row>
    <row r="363" spans="1:10" ht="15" customHeight="1" x14ac:dyDescent="0.45">
      <c r="A363" s="2" t="s">
        <v>48</v>
      </c>
      <c r="B363" s="2" t="s">
        <v>211</v>
      </c>
      <c r="C363" s="2">
        <v>2019</v>
      </c>
      <c r="D363" s="2" t="s">
        <v>146</v>
      </c>
      <c r="E363" s="2" t="s">
        <v>49</v>
      </c>
      <c r="F363" s="2" t="s">
        <v>146</v>
      </c>
      <c r="G363" s="2" t="s">
        <v>49</v>
      </c>
      <c r="H363" s="2" t="s">
        <v>146</v>
      </c>
      <c r="I363" s="2" t="s">
        <v>49</v>
      </c>
      <c r="J363" s="2" t="s">
        <v>146</v>
      </c>
    </row>
    <row r="364" spans="1:10" ht="15" customHeight="1" x14ac:dyDescent="0.45">
      <c r="A364" s="2" t="s">
        <v>48</v>
      </c>
      <c r="B364" s="2" t="s">
        <v>210</v>
      </c>
      <c r="C364" s="2">
        <v>2019</v>
      </c>
      <c r="D364" s="2" t="s">
        <v>146</v>
      </c>
      <c r="E364" s="2" t="s">
        <v>49</v>
      </c>
      <c r="F364" s="2" t="s">
        <v>146</v>
      </c>
      <c r="G364" s="2" t="s">
        <v>49</v>
      </c>
      <c r="H364" s="2" t="s">
        <v>146</v>
      </c>
      <c r="I364" s="2" t="s">
        <v>49</v>
      </c>
      <c r="J364" s="2" t="s">
        <v>146</v>
      </c>
    </row>
    <row r="365" spans="1:10" ht="15" customHeight="1" x14ac:dyDescent="0.45">
      <c r="A365" s="2" t="s">
        <v>48</v>
      </c>
      <c r="B365" s="2" t="s">
        <v>209</v>
      </c>
      <c r="C365" s="2">
        <v>2019</v>
      </c>
      <c r="D365" s="2">
        <v>18.523</v>
      </c>
      <c r="E365" s="2" t="s">
        <v>840</v>
      </c>
      <c r="F365" s="2">
        <v>18.523</v>
      </c>
      <c r="G365" s="2" t="s">
        <v>49</v>
      </c>
      <c r="H365" s="2" t="s">
        <v>146</v>
      </c>
      <c r="I365" s="2" t="s">
        <v>49</v>
      </c>
      <c r="J365" s="2" t="s">
        <v>146</v>
      </c>
    </row>
    <row r="366" spans="1:10" ht="15" customHeight="1" x14ac:dyDescent="0.45">
      <c r="A366" s="2" t="s">
        <v>48</v>
      </c>
      <c r="B366" s="2" t="s">
        <v>208</v>
      </c>
      <c r="C366" s="2">
        <v>2019</v>
      </c>
      <c r="D366" s="2" t="s">
        <v>146</v>
      </c>
      <c r="E366" s="2" t="s">
        <v>49</v>
      </c>
      <c r="F366" s="2" t="s">
        <v>146</v>
      </c>
      <c r="G366" s="2" t="s">
        <v>49</v>
      </c>
      <c r="H366" s="2" t="s">
        <v>146</v>
      </c>
      <c r="I366" s="2" t="s">
        <v>49</v>
      </c>
      <c r="J366" s="2" t="s">
        <v>146</v>
      </c>
    </row>
    <row r="367" spans="1:10" ht="15" customHeight="1" x14ac:dyDescent="0.45">
      <c r="A367" s="2" t="s">
        <v>48</v>
      </c>
      <c r="B367" s="2" t="s">
        <v>207</v>
      </c>
      <c r="C367" s="2">
        <v>2019</v>
      </c>
      <c r="D367" s="2">
        <v>20.800999999999998</v>
      </c>
      <c r="E367" s="2" t="s">
        <v>744</v>
      </c>
      <c r="F367" s="2">
        <v>20.800999999999998</v>
      </c>
      <c r="G367" s="2" t="s">
        <v>49</v>
      </c>
      <c r="H367" s="2" t="s">
        <v>146</v>
      </c>
      <c r="I367" s="2" t="s">
        <v>49</v>
      </c>
      <c r="J367" s="2" t="s">
        <v>146</v>
      </c>
    </row>
    <row r="368" spans="1:10" ht="15" customHeight="1" x14ac:dyDescent="0.45">
      <c r="A368" s="2" t="s">
        <v>48</v>
      </c>
      <c r="B368" s="2" t="s">
        <v>206</v>
      </c>
      <c r="C368" s="2">
        <v>2019</v>
      </c>
      <c r="D368" s="2" t="s">
        <v>146</v>
      </c>
      <c r="E368" s="2" t="s">
        <v>49</v>
      </c>
      <c r="F368" s="2" t="s">
        <v>146</v>
      </c>
      <c r="G368" s="2" t="s">
        <v>49</v>
      </c>
      <c r="H368" s="2" t="s">
        <v>146</v>
      </c>
      <c r="I368" s="2" t="s">
        <v>49</v>
      </c>
      <c r="J368" s="2" t="s">
        <v>146</v>
      </c>
    </row>
    <row r="369" spans="1:10" ht="15" customHeight="1" x14ac:dyDescent="0.45">
      <c r="A369" s="2" t="s">
        <v>48</v>
      </c>
      <c r="B369" s="2" t="s">
        <v>205</v>
      </c>
      <c r="C369" s="2">
        <v>2019</v>
      </c>
      <c r="D369" s="2" t="s">
        <v>146</v>
      </c>
      <c r="E369" s="2" t="s">
        <v>49</v>
      </c>
      <c r="F369" s="2" t="s">
        <v>146</v>
      </c>
      <c r="G369" s="2" t="s">
        <v>49</v>
      </c>
      <c r="H369" s="2" t="s">
        <v>146</v>
      </c>
      <c r="I369" s="2" t="s">
        <v>49</v>
      </c>
      <c r="J369" s="2" t="s">
        <v>146</v>
      </c>
    </row>
    <row r="370" spans="1:10" ht="15" customHeight="1" x14ac:dyDescent="0.45">
      <c r="A370" s="2" t="s">
        <v>48</v>
      </c>
      <c r="B370" s="2" t="s">
        <v>204</v>
      </c>
      <c r="C370" s="2">
        <v>2019</v>
      </c>
      <c r="D370" s="2" t="s">
        <v>49</v>
      </c>
      <c r="E370" s="2" t="s">
        <v>49</v>
      </c>
      <c r="F370" s="2" t="s">
        <v>49</v>
      </c>
      <c r="G370" s="2" t="s">
        <v>49</v>
      </c>
      <c r="H370" s="2" t="s">
        <v>49</v>
      </c>
      <c r="I370" s="2" t="s">
        <v>49</v>
      </c>
      <c r="J370" s="2" t="s">
        <v>49</v>
      </c>
    </row>
    <row r="371" spans="1:10" ht="15" customHeight="1" x14ac:dyDescent="0.45">
      <c r="A371" s="2" t="s">
        <v>197</v>
      </c>
      <c r="B371" s="2" t="s">
        <v>203</v>
      </c>
      <c r="C371" s="2">
        <v>2019</v>
      </c>
      <c r="D371" s="2" t="s">
        <v>146</v>
      </c>
      <c r="E371" s="2" t="s">
        <v>49</v>
      </c>
      <c r="F371" s="2" t="s">
        <v>146</v>
      </c>
      <c r="G371" s="2" t="s">
        <v>49</v>
      </c>
      <c r="H371" s="2" t="s">
        <v>146</v>
      </c>
      <c r="I371" s="2" t="s">
        <v>49</v>
      </c>
      <c r="J371" s="2" t="s">
        <v>146</v>
      </c>
    </row>
    <row r="372" spans="1:10" ht="15" customHeight="1" x14ac:dyDescent="0.45">
      <c r="A372" s="2" t="s">
        <v>197</v>
      </c>
      <c r="B372" s="2" t="s">
        <v>202</v>
      </c>
      <c r="C372" s="2">
        <v>2019</v>
      </c>
      <c r="D372" s="2" t="s">
        <v>146</v>
      </c>
      <c r="E372" s="2" t="s">
        <v>176</v>
      </c>
      <c r="F372" s="2" t="s">
        <v>146</v>
      </c>
      <c r="G372" s="2" t="s">
        <v>176</v>
      </c>
      <c r="H372" s="2" t="s">
        <v>146</v>
      </c>
      <c r="I372" s="2" t="s">
        <v>176</v>
      </c>
      <c r="J372" s="2" t="s">
        <v>146</v>
      </c>
    </row>
    <row r="373" spans="1:10" ht="15" customHeight="1" x14ac:dyDescent="0.45">
      <c r="A373" s="2" t="s">
        <v>197</v>
      </c>
      <c r="B373" s="2" t="s">
        <v>201</v>
      </c>
      <c r="C373" s="2">
        <v>2019</v>
      </c>
      <c r="D373" s="2" t="s">
        <v>146</v>
      </c>
      <c r="E373" s="2" t="s">
        <v>176</v>
      </c>
      <c r="F373" s="2" t="s">
        <v>146</v>
      </c>
      <c r="G373" s="2" t="s">
        <v>176</v>
      </c>
      <c r="H373" s="2" t="s">
        <v>146</v>
      </c>
      <c r="I373" s="2" t="s">
        <v>176</v>
      </c>
      <c r="J373" s="2" t="s">
        <v>146</v>
      </c>
    </row>
    <row r="374" spans="1:10" ht="15" customHeight="1" x14ac:dyDescent="0.45">
      <c r="A374" s="2" t="s">
        <v>197</v>
      </c>
      <c r="B374" s="2" t="s">
        <v>199</v>
      </c>
      <c r="C374" s="2">
        <v>2019</v>
      </c>
      <c r="D374" s="2" t="s">
        <v>146</v>
      </c>
      <c r="E374" s="2" t="s">
        <v>176</v>
      </c>
      <c r="F374" s="2" t="s">
        <v>146</v>
      </c>
      <c r="G374" s="2" t="s">
        <v>176</v>
      </c>
      <c r="H374" s="2" t="s">
        <v>146</v>
      </c>
      <c r="I374" s="2" t="s">
        <v>176</v>
      </c>
      <c r="J374" s="2" t="s">
        <v>146</v>
      </c>
    </row>
    <row r="375" spans="1:10" ht="15" customHeight="1" x14ac:dyDescent="0.45">
      <c r="A375" s="2" t="s">
        <v>197</v>
      </c>
      <c r="B375" s="2" t="s">
        <v>198</v>
      </c>
      <c r="C375" s="2">
        <v>2019</v>
      </c>
      <c r="D375" s="2" t="s">
        <v>146</v>
      </c>
      <c r="E375" s="2" t="s">
        <v>176</v>
      </c>
      <c r="F375" s="2" t="s">
        <v>146</v>
      </c>
      <c r="G375" s="2" t="s">
        <v>176</v>
      </c>
      <c r="H375" s="2" t="s">
        <v>146</v>
      </c>
      <c r="I375" s="2" t="s">
        <v>176</v>
      </c>
      <c r="J375" s="2" t="s">
        <v>146</v>
      </c>
    </row>
    <row r="376" spans="1:10" ht="15" customHeight="1" x14ac:dyDescent="0.45">
      <c r="A376" s="2" t="s">
        <v>197</v>
      </c>
      <c r="B376" s="2" t="s">
        <v>196</v>
      </c>
      <c r="C376" s="2">
        <v>2019</v>
      </c>
      <c r="D376" s="2">
        <v>0.27300000000000002</v>
      </c>
      <c r="E376" s="2" t="s">
        <v>839</v>
      </c>
      <c r="F376" s="2">
        <v>0.27300000000000002</v>
      </c>
      <c r="G376" s="2" t="s">
        <v>146</v>
      </c>
      <c r="H376" s="2" t="s">
        <v>146</v>
      </c>
      <c r="I376" s="2" t="s">
        <v>146</v>
      </c>
      <c r="J376" s="2" t="s">
        <v>146</v>
      </c>
    </row>
    <row r="377" spans="1:10" ht="15" customHeight="1" x14ac:dyDescent="0.45">
      <c r="A377" s="2" t="s">
        <v>191</v>
      </c>
      <c r="B377" s="2" t="s">
        <v>195</v>
      </c>
      <c r="C377" s="2">
        <v>2019</v>
      </c>
      <c r="D377" s="2">
        <v>4.9969999999999999</v>
      </c>
      <c r="E377" s="2" t="s">
        <v>838</v>
      </c>
      <c r="F377" s="2">
        <v>4.9969999999999999</v>
      </c>
      <c r="G377" s="2" t="s">
        <v>49</v>
      </c>
      <c r="H377" s="2" t="s">
        <v>146</v>
      </c>
      <c r="I377" s="2" t="s">
        <v>49</v>
      </c>
      <c r="J377" s="2" t="s">
        <v>146</v>
      </c>
    </row>
    <row r="378" spans="1:10" ht="15" customHeight="1" x14ac:dyDescent="0.45">
      <c r="A378" s="2" t="s">
        <v>191</v>
      </c>
      <c r="B378" s="2" t="s">
        <v>193</v>
      </c>
      <c r="C378" s="2">
        <v>2019</v>
      </c>
      <c r="D378" s="2" t="s">
        <v>146</v>
      </c>
      <c r="E378" s="2" t="s">
        <v>49</v>
      </c>
      <c r="F378" s="2" t="s">
        <v>146</v>
      </c>
      <c r="G378" s="2" t="s">
        <v>49</v>
      </c>
      <c r="H378" s="2" t="s">
        <v>146</v>
      </c>
      <c r="I378" s="2" t="s">
        <v>49</v>
      </c>
      <c r="J378" s="2" t="s">
        <v>146</v>
      </c>
    </row>
    <row r="379" spans="1:10" ht="15" customHeight="1" x14ac:dyDescent="0.45">
      <c r="A379" s="2" t="s">
        <v>191</v>
      </c>
      <c r="B379" s="2" t="s">
        <v>192</v>
      </c>
      <c r="C379" s="2">
        <v>2019</v>
      </c>
      <c r="D379" s="2">
        <v>1.34</v>
      </c>
      <c r="E379" s="2" t="s">
        <v>837</v>
      </c>
      <c r="F379" s="2">
        <v>0.23</v>
      </c>
      <c r="G379" s="2" t="s">
        <v>836</v>
      </c>
      <c r="H379" s="2">
        <v>1.1100000000000001</v>
      </c>
      <c r="I379" s="2" t="s">
        <v>49</v>
      </c>
      <c r="J379" s="2" t="s">
        <v>146</v>
      </c>
    </row>
    <row r="380" spans="1:10" ht="15" customHeight="1" x14ac:dyDescent="0.45">
      <c r="A380" s="2" t="s">
        <v>191</v>
      </c>
      <c r="B380" s="2" t="s">
        <v>190</v>
      </c>
      <c r="C380" s="2">
        <v>2019</v>
      </c>
      <c r="D380" s="2">
        <v>19.209</v>
      </c>
      <c r="E380" s="2" t="s">
        <v>835</v>
      </c>
      <c r="F380" s="2">
        <v>19.209</v>
      </c>
      <c r="G380" s="2" t="s">
        <v>49</v>
      </c>
      <c r="H380" s="2" t="s">
        <v>146</v>
      </c>
      <c r="I380" s="2" t="s">
        <v>49</v>
      </c>
      <c r="J380" s="2" t="s">
        <v>146</v>
      </c>
    </row>
    <row r="381" spans="1:10" ht="15" customHeight="1" x14ac:dyDescent="0.45">
      <c r="A381" s="2" t="s">
        <v>187</v>
      </c>
      <c r="B381" s="2" t="s">
        <v>189</v>
      </c>
      <c r="C381" s="2">
        <v>2019</v>
      </c>
      <c r="D381" s="2" t="s">
        <v>146</v>
      </c>
      <c r="E381" s="2" t="s">
        <v>49</v>
      </c>
      <c r="F381" s="2" t="s">
        <v>146</v>
      </c>
      <c r="G381" s="2" t="s">
        <v>49</v>
      </c>
      <c r="H381" s="2" t="s">
        <v>146</v>
      </c>
      <c r="I381" s="2" t="s">
        <v>49</v>
      </c>
      <c r="J381" s="2" t="s">
        <v>146</v>
      </c>
    </row>
    <row r="382" spans="1:10" ht="15" customHeight="1" x14ac:dyDescent="0.45">
      <c r="A382" s="2" t="s">
        <v>187</v>
      </c>
      <c r="B382" s="2" t="s">
        <v>188</v>
      </c>
      <c r="C382" s="2">
        <v>2019</v>
      </c>
      <c r="D382" s="2" t="s">
        <v>146</v>
      </c>
      <c r="E382" s="2" t="s">
        <v>49</v>
      </c>
      <c r="F382" s="2" t="s">
        <v>146</v>
      </c>
      <c r="G382" s="2" t="s">
        <v>49</v>
      </c>
      <c r="H382" s="2" t="s">
        <v>146</v>
      </c>
      <c r="I382" s="2" t="s">
        <v>49</v>
      </c>
      <c r="J382" s="2" t="s">
        <v>146</v>
      </c>
    </row>
    <row r="383" spans="1:10" ht="15" customHeight="1" x14ac:dyDescent="0.45">
      <c r="A383" s="2" t="s">
        <v>187</v>
      </c>
      <c r="B383" s="2" t="s">
        <v>186</v>
      </c>
      <c r="C383" s="2">
        <v>2019</v>
      </c>
      <c r="D383" s="2" t="s">
        <v>146</v>
      </c>
      <c r="E383" s="2" t="s">
        <v>49</v>
      </c>
      <c r="F383" s="2" t="s">
        <v>146</v>
      </c>
      <c r="G383" s="2" t="s">
        <v>49</v>
      </c>
      <c r="H383" s="2" t="s">
        <v>146</v>
      </c>
      <c r="I383" s="2" t="s">
        <v>49</v>
      </c>
      <c r="J383" s="2" t="s">
        <v>146</v>
      </c>
    </row>
    <row r="384" spans="1:10" ht="15" customHeight="1" x14ac:dyDescent="0.45">
      <c r="A384" s="2" t="s">
        <v>182</v>
      </c>
      <c r="B384" s="2" t="s">
        <v>185</v>
      </c>
      <c r="C384" s="2">
        <v>2019</v>
      </c>
      <c r="D384" s="2">
        <v>179.1</v>
      </c>
      <c r="E384" s="2" t="s">
        <v>834</v>
      </c>
      <c r="F384" s="2">
        <v>122.2</v>
      </c>
      <c r="G384" s="2" t="s">
        <v>833</v>
      </c>
      <c r="H384" s="2">
        <v>56.9</v>
      </c>
      <c r="I384" s="2" t="s">
        <v>49</v>
      </c>
      <c r="J384" s="2" t="s">
        <v>146</v>
      </c>
    </row>
    <row r="385" spans="1:10" ht="15" customHeight="1" x14ac:dyDescent="0.45">
      <c r="A385" s="2" t="s">
        <v>182</v>
      </c>
      <c r="B385" s="2" t="s">
        <v>184</v>
      </c>
      <c r="C385" s="2">
        <v>2019</v>
      </c>
      <c r="D385" s="2" t="s">
        <v>49</v>
      </c>
      <c r="E385" s="2" t="s">
        <v>49</v>
      </c>
      <c r="F385" s="2" t="s">
        <v>49</v>
      </c>
      <c r="G385" s="2" t="s">
        <v>49</v>
      </c>
      <c r="H385" s="2" t="s">
        <v>49</v>
      </c>
      <c r="I385" s="2" t="s">
        <v>49</v>
      </c>
      <c r="J385" s="2" t="s">
        <v>49</v>
      </c>
    </row>
    <row r="386" spans="1:10" ht="15" customHeight="1" x14ac:dyDescent="0.45">
      <c r="A386" s="2" t="s">
        <v>182</v>
      </c>
      <c r="B386" s="2" t="s">
        <v>183</v>
      </c>
      <c r="C386" s="2">
        <v>2019</v>
      </c>
      <c r="D386" s="2" t="s">
        <v>49</v>
      </c>
      <c r="E386" s="2" t="s">
        <v>49</v>
      </c>
      <c r="F386" s="2" t="s">
        <v>49</v>
      </c>
      <c r="G386" s="2" t="s">
        <v>49</v>
      </c>
      <c r="H386" s="2" t="s">
        <v>49</v>
      </c>
      <c r="I386" s="2" t="s">
        <v>49</v>
      </c>
      <c r="J386" s="2" t="s">
        <v>49</v>
      </c>
    </row>
    <row r="387" spans="1:10" ht="15" customHeight="1" x14ac:dyDescent="0.45">
      <c r="A387" s="2" t="s">
        <v>182</v>
      </c>
      <c r="B387" s="2" t="s">
        <v>181</v>
      </c>
      <c r="C387" s="2">
        <v>2019</v>
      </c>
      <c r="D387" s="2" t="s">
        <v>49</v>
      </c>
      <c r="E387" s="2" t="s">
        <v>49</v>
      </c>
      <c r="F387" s="2" t="s">
        <v>49</v>
      </c>
      <c r="G387" s="2" t="s">
        <v>49</v>
      </c>
      <c r="H387" s="2" t="s">
        <v>49</v>
      </c>
      <c r="I387" s="2" t="s">
        <v>49</v>
      </c>
      <c r="J387" s="2" t="s">
        <v>49</v>
      </c>
    </row>
    <row r="388" spans="1:10" ht="15" customHeight="1" x14ac:dyDescent="0.45">
      <c r="A388" s="2" t="s">
        <v>175</v>
      </c>
      <c r="B388" s="2" t="s">
        <v>180</v>
      </c>
      <c r="C388" s="2">
        <v>2019</v>
      </c>
      <c r="D388" s="2" t="s">
        <v>146</v>
      </c>
      <c r="E388" s="2" t="s">
        <v>176</v>
      </c>
      <c r="F388" s="2" t="s">
        <v>146</v>
      </c>
      <c r="G388" s="2" t="s">
        <v>176</v>
      </c>
      <c r="H388" s="2" t="s">
        <v>146</v>
      </c>
      <c r="I388" s="2" t="s">
        <v>176</v>
      </c>
      <c r="J388" s="2" t="s">
        <v>146</v>
      </c>
    </row>
    <row r="389" spans="1:10" ht="15" customHeight="1" x14ac:dyDescent="0.45">
      <c r="A389" s="2" t="s">
        <v>175</v>
      </c>
      <c r="B389" s="2" t="s">
        <v>179</v>
      </c>
      <c r="C389" s="2">
        <v>2019</v>
      </c>
      <c r="D389" s="2" t="s">
        <v>146</v>
      </c>
      <c r="E389" s="2" t="s">
        <v>176</v>
      </c>
      <c r="F389" s="2" t="s">
        <v>146</v>
      </c>
      <c r="G389" s="2" t="s">
        <v>176</v>
      </c>
      <c r="H389" s="2" t="s">
        <v>146</v>
      </c>
      <c r="I389" s="2" t="s">
        <v>176</v>
      </c>
      <c r="J389" s="2" t="s">
        <v>146</v>
      </c>
    </row>
    <row r="390" spans="1:10" ht="15" customHeight="1" x14ac:dyDescent="0.45">
      <c r="A390" s="2" t="s">
        <v>175</v>
      </c>
      <c r="B390" s="2" t="s">
        <v>178</v>
      </c>
      <c r="C390" s="2">
        <v>2019</v>
      </c>
      <c r="D390" s="2" t="s">
        <v>146</v>
      </c>
      <c r="E390" s="2" t="s">
        <v>176</v>
      </c>
      <c r="F390" s="2" t="s">
        <v>146</v>
      </c>
      <c r="G390" s="2" t="s">
        <v>176</v>
      </c>
      <c r="H390" s="2" t="s">
        <v>146</v>
      </c>
      <c r="I390" s="2" t="s">
        <v>176</v>
      </c>
      <c r="J390" s="2" t="s">
        <v>146</v>
      </c>
    </row>
    <row r="391" spans="1:10" ht="15" customHeight="1" x14ac:dyDescent="0.45">
      <c r="A391" s="2" t="s">
        <v>175</v>
      </c>
      <c r="B391" s="2" t="s">
        <v>177</v>
      </c>
      <c r="C391" s="2">
        <v>2019</v>
      </c>
      <c r="D391" s="2" t="s">
        <v>146</v>
      </c>
      <c r="E391" s="2" t="s">
        <v>176</v>
      </c>
      <c r="F391" s="2" t="s">
        <v>146</v>
      </c>
      <c r="G391" s="2" t="s">
        <v>176</v>
      </c>
      <c r="H391" s="2" t="s">
        <v>146</v>
      </c>
      <c r="I391" s="2" t="s">
        <v>176</v>
      </c>
      <c r="J391" s="2" t="s">
        <v>146</v>
      </c>
    </row>
    <row r="392" spans="1:10" ht="15" customHeight="1" x14ac:dyDescent="0.45">
      <c r="A392" s="2" t="s">
        <v>175</v>
      </c>
      <c r="B392" s="2" t="s">
        <v>174</v>
      </c>
      <c r="C392" s="2">
        <v>2019</v>
      </c>
      <c r="D392" s="2">
        <v>0.5</v>
      </c>
      <c r="E392" s="2" t="s">
        <v>832</v>
      </c>
      <c r="F392" s="2">
        <v>0.5</v>
      </c>
      <c r="G392" s="2" t="s">
        <v>49</v>
      </c>
      <c r="H392" s="2" t="s">
        <v>146</v>
      </c>
      <c r="I392" s="2" t="s">
        <v>49</v>
      </c>
      <c r="J392" s="2" t="s">
        <v>146</v>
      </c>
    </row>
    <row r="393" spans="1:10" ht="15" customHeight="1" x14ac:dyDescent="0.45">
      <c r="A393" s="2" t="s">
        <v>172</v>
      </c>
      <c r="B393" s="2" t="s">
        <v>171</v>
      </c>
      <c r="C393" s="2">
        <v>2019</v>
      </c>
      <c r="D393" s="2" t="s">
        <v>146</v>
      </c>
      <c r="E393" s="2" t="s">
        <v>49</v>
      </c>
      <c r="F393" s="2" t="s">
        <v>146</v>
      </c>
      <c r="G393" s="2" t="s">
        <v>49</v>
      </c>
      <c r="H393" s="2" t="s">
        <v>146</v>
      </c>
      <c r="I393" s="2" t="s">
        <v>49</v>
      </c>
      <c r="J393" s="2" t="s">
        <v>146</v>
      </c>
    </row>
    <row r="394" spans="1:10" ht="15" customHeight="1" x14ac:dyDescent="0.45">
      <c r="A394" s="2" t="s">
        <v>169</v>
      </c>
      <c r="B394" s="2" t="s">
        <v>170</v>
      </c>
      <c r="C394" s="2">
        <v>2019</v>
      </c>
      <c r="D394" s="2" t="s">
        <v>146</v>
      </c>
      <c r="E394" s="2" t="s">
        <v>49</v>
      </c>
      <c r="F394" s="2" t="s">
        <v>146</v>
      </c>
      <c r="G394" s="2" t="s">
        <v>49</v>
      </c>
      <c r="H394" s="2" t="s">
        <v>146</v>
      </c>
      <c r="I394" s="2" t="s">
        <v>49</v>
      </c>
      <c r="J394" s="2" t="s">
        <v>146</v>
      </c>
    </row>
    <row r="395" spans="1:10" ht="15" customHeight="1" x14ac:dyDescent="0.45">
      <c r="A395" s="2" t="s">
        <v>169</v>
      </c>
      <c r="B395" s="2" t="s">
        <v>168</v>
      </c>
      <c r="C395" s="2">
        <v>2019</v>
      </c>
      <c r="D395" s="2">
        <v>18.989999999999998</v>
      </c>
      <c r="E395" s="2" t="s">
        <v>831</v>
      </c>
      <c r="F395" s="2">
        <v>18.989999999999998</v>
      </c>
      <c r="G395" s="2" t="s">
        <v>49</v>
      </c>
      <c r="H395" s="2" t="s">
        <v>146</v>
      </c>
      <c r="I395" s="2" t="s">
        <v>49</v>
      </c>
      <c r="J395" s="2" t="s">
        <v>146</v>
      </c>
    </row>
    <row r="396" spans="1:10" ht="15" customHeight="1" x14ac:dyDescent="0.45">
      <c r="A396" s="2" t="s">
        <v>167</v>
      </c>
      <c r="B396" s="2" t="s">
        <v>136</v>
      </c>
      <c r="C396" s="2">
        <v>2019</v>
      </c>
      <c r="D396" s="2" t="s">
        <v>49</v>
      </c>
      <c r="E396" s="2" t="s">
        <v>49</v>
      </c>
      <c r="F396" s="2" t="s">
        <v>49</v>
      </c>
      <c r="G396" s="2" t="s">
        <v>49</v>
      </c>
      <c r="H396" s="2" t="s">
        <v>49</v>
      </c>
      <c r="I396" s="2" t="s">
        <v>49</v>
      </c>
      <c r="J396" s="2" t="s">
        <v>49</v>
      </c>
    </row>
    <row r="397" spans="1:10" ht="15" customHeight="1" x14ac:dyDescent="0.45">
      <c r="A397" s="2" t="s">
        <v>162</v>
      </c>
      <c r="B397" s="2" t="s">
        <v>166</v>
      </c>
      <c r="C397" s="2">
        <v>2019</v>
      </c>
      <c r="D397" s="2">
        <v>379.42700000000002</v>
      </c>
      <c r="E397" s="2" t="s">
        <v>830</v>
      </c>
      <c r="F397" s="2">
        <v>378.137</v>
      </c>
      <c r="G397" s="2" t="s">
        <v>829</v>
      </c>
      <c r="H397" s="2">
        <v>1.29</v>
      </c>
      <c r="I397" s="2" t="s">
        <v>49</v>
      </c>
      <c r="J397" s="2" t="s">
        <v>146</v>
      </c>
    </row>
    <row r="398" spans="1:10" ht="15" customHeight="1" x14ac:dyDescent="0.45">
      <c r="A398" s="2" t="s">
        <v>162</v>
      </c>
      <c r="B398" s="2" t="s">
        <v>164</v>
      </c>
      <c r="C398" s="2">
        <v>2019</v>
      </c>
      <c r="D398" s="2" t="s">
        <v>146</v>
      </c>
      <c r="E398" s="2" t="s">
        <v>49</v>
      </c>
      <c r="F398" s="2" t="s">
        <v>146</v>
      </c>
      <c r="G398" s="2" t="s">
        <v>49</v>
      </c>
      <c r="H398" s="2" t="s">
        <v>146</v>
      </c>
      <c r="I398" s="2" t="s">
        <v>49</v>
      </c>
      <c r="J398" s="2" t="s">
        <v>146</v>
      </c>
    </row>
    <row r="399" spans="1:10" ht="15" customHeight="1" x14ac:dyDescent="0.45">
      <c r="A399" s="2" t="s">
        <v>162</v>
      </c>
      <c r="B399" s="2" t="s">
        <v>163</v>
      </c>
      <c r="C399" s="2">
        <v>2019</v>
      </c>
      <c r="D399" s="2" t="s">
        <v>146</v>
      </c>
      <c r="E399" s="2" t="s">
        <v>49</v>
      </c>
      <c r="F399" s="2" t="s">
        <v>146</v>
      </c>
      <c r="G399" s="2" t="s">
        <v>49</v>
      </c>
      <c r="H399" s="2" t="s">
        <v>146</v>
      </c>
      <c r="I399" s="2" t="s">
        <v>49</v>
      </c>
      <c r="J399" s="2" t="s">
        <v>146</v>
      </c>
    </row>
    <row r="400" spans="1:10" ht="15" customHeight="1" x14ac:dyDescent="0.45">
      <c r="A400" s="2" t="s">
        <v>162</v>
      </c>
      <c r="B400" s="2" t="s">
        <v>161</v>
      </c>
      <c r="C400" s="2">
        <v>2019</v>
      </c>
      <c r="D400" s="2">
        <v>0.29199999999999998</v>
      </c>
      <c r="E400" s="2" t="s">
        <v>828</v>
      </c>
      <c r="F400" s="2">
        <v>0.29199999999999998</v>
      </c>
      <c r="G400" s="2" t="s">
        <v>49</v>
      </c>
      <c r="H400" s="2" t="s">
        <v>146</v>
      </c>
      <c r="I400" s="2" t="s">
        <v>49</v>
      </c>
      <c r="J400" s="2" t="s">
        <v>146</v>
      </c>
    </row>
    <row r="401" spans="1:10" ht="15" customHeight="1" x14ac:dyDescent="0.45">
      <c r="A401" s="2" t="s">
        <v>159</v>
      </c>
      <c r="B401" s="2" t="s">
        <v>158</v>
      </c>
      <c r="C401" s="2">
        <v>2019</v>
      </c>
      <c r="D401" s="2" t="s">
        <v>146</v>
      </c>
      <c r="E401" s="2" t="s">
        <v>49</v>
      </c>
      <c r="F401" s="2" t="s">
        <v>146</v>
      </c>
      <c r="G401" s="2" t="s">
        <v>49</v>
      </c>
      <c r="H401" s="2" t="s">
        <v>146</v>
      </c>
      <c r="I401" s="2" t="s">
        <v>49</v>
      </c>
      <c r="J401" s="2" t="s">
        <v>146</v>
      </c>
    </row>
    <row r="402" spans="1:10" ht="15" customHeight="1" x14ac:dyDescent="0.45">
      <c r="A402" s="2" t="s">
        <v>157</v>
      </c>
      <c r="B402" s="2" t="s">
        <v>156</v>
      </c>
      <c r="C402" s="2">
        <v>2019</v>
      </c>
      <c r="D402" s="2" t="s">
        <v>146</v>
      </c>
      <c r="E402" s="2" t="s">
        <v>49</v>
      </c>
      <c r="F402" s="2" t="s">
        <v>146</v>
      </c>
      <c r="G402" s="2" t="s">
        <v>49</v>
      </c>
      <c r="H402" s="2" t="s">
        <v>146</v>
      </c>
      <c r="I402" s="2" t="s">
        <v>49</v>
      </c>
      <c r="J402" s="2" t="s">
        <v>146</v>
      </c>
    </row>
    <row r="403" spans="1:10" ht="15" customHeight="1" x14ac:dyDescent="0.45">
      <c r="A403" s="2" t="s">
        <v>12</v>
      </c>
      <c r="B403" s="2" t="s">
        <v>14</v>
      </c>
      <c r="C403" s="2">
        <v>2019</v>
      </c>
      <c r="D403" s="2" t="s">
        <v>49</v>
      </c>
      <c r="E403" s="2" t="s">
        <v>49</v>
      </c>
      <c r="F403" s="2" t="s">
        <v>49</v>
      </c>
      <c r="G403" s="2" t="s">
        <v>49</v>
      </c>
      <c r="H403" s="2" t="s">
        <v>49</v>
      </c>
      <c r="I403" s="2" t="s">
        <v>49</v>
      </c>
      <c r="J403" s="2" t="s">
        <v>49</v>
      </c>
    </row>
    <row r="404" spans="1:10" ht="15" customHeight="1" x14ac:dyDescent="0.45">
      <c r="A404" s="2" t="s">
        <v>149</v>
      </c>
      <c r="B404" s="2" t="s">
        <v>154</v>
      </c>
      <c r="C404" s="2">
        <v>2019</v>
      </c>
      <c r="D404" s="2" t="s">
        <v>146</v>
      </c>
      <c r="E404" s="2" t="s">
        <v>49</v>
      </c>
      <c r="F404" s="2" t="s">
        <v>146</v>
      </c>
      <c r="G404" s="2" t="s">
        <v>49</v>
      </c>
      <c r="H404" s="2" t="s">
        <v>146</v>
      </c>
      <c r="I404" s="2" t="s">
        <v>49</v>
      </c>
      <c r="J404" s="2" t="s">
        <v>146</v>
      </c>
    </row>
    <row r="405" spans="1:10" ht="15" customHeight="1" x14ac:dyDescent="0.45">
      <c r="A405" s="2" t="s">
        <v>149</v>
      </c>
      <c r="B405" s="2" t="s">
        <v>153</v>
      </c>
      <c r="C405" s="2">
        <v>2019</v>
      </c>
      <c r="D405" s="2" t="s">
        <v>146</v>
      </c>
      <c r="E405" s="2" t="s">
        <v>49</v>
      </c>
      <c r="F405" s="2" t="s">
        <v>146</v>
      </c>
      <c r="G405" s="2" t="s">
        <v>49</v>
      </c>
      <c r="H405" s="2" t="s">
        <v>146</v>
      </c>
      <c r="I405" s="2" t="s">
        <v>49</v>
      </c>
      <c r="J405" s="2" t="s">
        <v>146</v>
      </c>
    </row>
    <row r="406" spans="1:10" ht="15" customHeight="1" x14ac:dyDescent="0.45">
      <c r="A406" s="2" t="s">
        <v>149</v>
      </c>
      <c r="B406" s="2" t="s">
        <v>152</v>
      </c>
      <c r="C406" s="2">
        <v>2019</v>
      </c>
      <c r="D406" s="2">
        <v>6.5452000000000004</v>
      </c>
      <c r="E406" s="2" t="s">
        <v>735</v>
      </c>
      <c r="F406" s="2">
        <v>6.5452000000000004</v>
      </c>
      <c r="G406" s="2" t="s">
        <v>49</v>
      </c>
      <c r="H406" s="2" t="s">
        <v>146</v>
      </c>
      <c r="I406" s="2" t="s">
        <v>49</v>
      </c>
      <c r="J406" s="2" t="s">
        <v>146</v>
      </c>
    </row>
    <row r="407" spans="1:10" ht="15" customHeight="1" x14ac:dyDescent="0.45">
      <c r="A407" s="2" t="s">
        <v>149</v>
      </c>
      <c r="B407" s="2" t="s">
        <v>151</v>
      </c>
      <c r="C407" s="2">
        <v>2019</v>
      </c>
      <c r="D407" s="2" t="s">
        <v>146</v>
      </c>
      <c r="E407" s="2" t="s">
        <v>49</v>
      </c>
      <c r="F407" s="2" t="s">
        <v>146</v>
      </c>
      <c r="G407" s="2" t="s">
        <v>49</v>
      </c>
      <c r="H407" s="2" t="s">
        <v>146</v>
      </c>
      <c r="I407" s="2" t="s">
        <v>49</v>
      </c>
      <c r="J407" s="2" t="s">
        <v>146</v>
      </c>
    </row>
    <row r="408" spans="1:10" ht="15" customHeight="1" x14ac:dyDescent="0.45">
      <c r="A408" s="2" t="s">
        <v>149</v>
      </c>
      <c r="B408" s="2" t="s">
        <v>150</v>
      </c>
      <c r="C408" s="2">
        <v>2019</v>
      </c>
      <c r="D408" s="2" t="s">
        <v>146</v>
      </c>
      <c r="E408" s="2" t="s">
        <v>49</v>
      </c>
      <c r="F408" s="2" t="s">
        <v>146</v>
      </c>
      <c r="G408" s="2" t="s">
        <v>49</v>
      </c>
      <c r="H408" s="2" t="s">
        <v>146</v>
      </c>
      <c r="I408" s="2" t="s">
        <v>49</v>
      </c>
      <c r="J408" s="2" t="s">
        <v>146</v>
      </c>
    </row>
    <row r="409" spans="1:10" ht="15" customHeight="1" x14ac:dyDescent="0.45">
      <c r="A409" s="2" t="s">
        <v>149</v>
      </c>
      <c r="B409" s="2" t="s">
        <v>148</v>
      </c>
      <c r="C409" s="2">
        <v>2019</v>
      </c>
      <c r="D409" s="2" t="s">
        <v>146</v>
      </c>
      <c r="E409" s="2" t="s">
        <v>49</v>
      </c>
      <c r="F409" s="2" t="s">
        <v>146</v>
      </c>
      <c r="G409" s="2" t="s">
        <v>49</v>
      </c>
      <c r="H409" s="2" t="s">
        <v>146</v>
      </c>
      <c r="I409" s="2" t="s">
        <v>49</v>
      </c>
      <c r="J409" s="2" t="s">
        <v>146</v>
      </c>
    </row>
  </sheetData>
  <autoFilter ref="A1:J1" xr:uid="{D8FA33E5-A3E6-4CEE-8787-3B48238CAD79}"/>
  <conditionalFormatting sqref="B2:B1048576">
    <cfRule type="duplicateValues" dxfId="51" priority="3"/>
  </conditionalFormatting>
  <conditionalFormatting sqref="B1">
    <cfRule type="duplicateValues" dxfId="50" priority="2"/>
  </conditionalFormatting>
  <conditionalFormatting sqref="B1:B1048576">
    <cfRule type="duplicateValues" dxfId="49" priority="1"/>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89BB6-8CE9-4D3F-97F0-9CAEFBF73A17}">
  <sheetPr codeName="Blad10">
    <tabColor theme="9" tint="0.39997558519241921"/>
  </sheetPr>
  <dimension ref="A1:AF411"/>
  <sheetViews>
    <sheetView workbookViewId="0">
      <selection activeCell="B63" sqref="B63"/>
    </sheetView>
  </sheetViews>
  <sheetFormatPr defaultColWidth="9.1328125" defaultRowHeight="15" customHeight="1" x14ac:dyDescent="0.45"/>
  <cols>
    <col min="1" max="1" width="43.73046875" style="2" bestFit="1" customWidth="1"/>
    <col min="2" max="2" width="48" style="2" bestFit="1" customWidth="1"/>
    <col min="3" max="3" width="9.265625" style="2" bestFit="1" customWidth="1"/>
    <col min="4" max="4" width="11" style="2" bestFit="1" customWidth="1"/>
    <col min="5" max="5" width="9.265625" style="2" bestFit="1" customWidth="1"/>
    <col min="6" max="6" width="9.1328125" style="2"/>
    <col min="7" max="10" width="9.265625" style="2" bestFit="1" customWidth="1"/>
    <col min="11" max="11" width="9.1328125" style="2"/>
    <col min="12" max="16" width="9.265625" style="2" bestFit="1" customWidth="1"/>
    <col min="17" max="17" width="9.1328125" style="2"/>
    <col min="18" max="22" width="9.265625" style="2" bestFit="1" customWidth="1"/>
    <col min="23" max="28" width="9.1328125" style="2"/>
    <col min="29" max="29" width="11.59765625" style="2" bestFit="1" customWidth="1"/>
    <col min="30" max="16384" width="9.1328125" style="2"/>
  </cols>
  <sheetData>
    <row r="1" spans="1:32" s="24" customFormat="1" ht="185.65" thickBot="1" x14ac:dyDescent="0.5">
      <c r="A1" s="23" t="s">
        <v>724</v>
      </c>
      <c r="B1" s="23" t="s">
        <v>2</v>
      </c>
      <c r="C1" s="23" t="s">
        <v>723</v>
      </c>
      <c r="D1" s="23" t="s">
        <v>1049</v>
      </c>
      <c r="E1" s="23" t="s">
        <v>1048</v>
      </c>
      <c r="F1" s="23" t="s">
        <v>1047</v>
      </c>
      <c r="G1" s="23" t="s">
        <v>1039</v>
      </c>
      <c r="H1" s="23" t="s">
        <v>1046</v>
      </c>
      <c r="I1" s="23" t="s">
        <v>1045</v>
      </c>
      <c r="J1" s="23" t="s">
        <v>1044</v>
      </c>
      <c r="K1" s="23" t="s">
        <v>1043</v>
      </c>
      <c r="L1" s="23" t="s">
        <v>1042</v>
      </c>
      <c r="M1" s="23" t="s">
        <v>1039</v>
      </c>
      <c r="N1" s="23" t="s">
        <v>1038</v>
      </c>
      <c r="O1" s="23" t="s">
        <v>1037</v>
      </c>
      <c r="P1" s="23" t="s">
        <v>1036</v>
      </c>
      <c r="Q1" s="23" t="s">
        <v>1041</v>
      </c>
      <c r="R1" s="23" t="s">
        <v>1040</v>
      </c>
      <c r="S1" s="23" t="s">
        <v>1039</v>
      </c>
      <c r="T1" s="23" t="s">
        <v>1038</v>
      </c>
      <c r="U1" s="23" t="s">
        <v>1037</v>
      </c>
      <c r="V1" s="23" t="s">
        <v>1036</v>
      </c>
      <c r="Y1" s="41" t="s">
        <v>1237</v>
      </c>
      <c r="AA1" s="42" t="s">
        <v>1238</v>
      </c>
      <c r="AB1" s="43" t="s">
        <v>1239</v>
      </c>
      <c r="AC1" s="44" t="s">
        <v>1240</v>
      </c>
    </row>
    <row r="2" spans="1:32" ht="14.25" x14ac:dyDescent="0.45">
      <c r="A2" s="2" t="s">
        <v>15</v>
      </c>
      <c r="B2" s="2" t="s">
        <v>16</v>
      </c>
      <c r="C2" s="2">
        <v>2019</v>
      </c>
      <c r="D2" s="2">
        <v>0.14299999999999999</v>
      </c>
      <c r="E2" s="2" t="s">
        <v>146</v>
      </c>
      <c r="F2" s="2" t="s">
        <v>1035</v>
      </c>
      <c r="G2" s="2">
        <v>3.1</v>
      </c>
      <c r="H2" s="2">
        <v>0</v>
      </c>
      <c r="I2" s="2">
        <v>0</v>
      </c>
      <c r="J2" s="2">
        <v>1</v>
      </c>
      <c r="K2" s="2" t="s">
        <v>49</v>
      </c>
      <c r="L2" s="2" t="s">
        <v>146</v>
      </c>
      <c r="M2" s="2" t="s">
        <v>146</v>
      </c>
      <c r="N2" s="2" t="s">
        <v>146</v>
      </c>
      <c r="O2" s="2" t="s">
        <v>146</v>
      </c>
      <c r="P2" s="2" t="s">
        <v>146</v>
      </c>
      <c r="Q2" s="2" t="s">
        <v>49</v>
      </c>
      <c r="R2" s="2" t="s">
        <v>146</v>
      </c>
      <c r="S2" s="2" t="s">
        <v>146</v>
      </c>
      <c r="T2" s="2" t="s">
        <v>146</v>
      </c>
      <c r="U2" s="2" t="s">
        <v>146</v>
      </c>
      <c r="V2" s="2" t="s">
        <v>146</v>
      </c>
      <c r="Y2" s="2" t="str">
        <f t="shared" ref="Y2:Y65" si="0">IF(OR(AND(G2&lt;&gt;$AD$3,G2&lt;&gt;"-"),AND(H2&lt;&gt;$AD$4,H2&lt;&gt;"-"),AND(I2&lt;&gt;$AD$5,I2&lt;&gt;"-"),AND(J2&lt;&gt;$AD$6,J2&lt;&gt;"-")),"Ja","Nej")</f>
        <v>Ja</v>
      </c>
      <c r="AA2" s="2" t="str">
        <f t="shared" ref="AA2:AA65" si="1">IF(ISERROR(1/K2),"Nej","Ja")</f>
        <v>Nej</v>
      </c>
      <c r="AB2" s="2" t="str">
        <f t="shared" ref="AB2:AB65" si="2">IF(Y2="nej",0,L2)</f>
        <v>ET</v>
      </c>
      <c r="AC2" s="2">
        <f t="shared" ref="AC2:AC65" si="3">IF(AA2="nej",0,P2/100)</f>
        <v>0</v>
      </c>
      <c r="AD2" s="45" t="s">
        <v>1241</v>
      </c>
      <c r="AE2" s="46"/>
      <c r="AF2" s="46"/>
    </row>
    <row r="3" spans="1:32" ht="14.25" x14ac:dyDescent="0.45">
      <c r="A3" s="2" t="s">
        <v>15</v>
      </c>
      <c r="B3" s="2" t="s">
        <v>18</v>
      </c>
      <c r="C3" s="2">
        <v>2019</v>
      </c>
      <c r="D3" s="2">
        <v>0.59599999999999997</v>
      </c>
      <c r="E3" s="2" t="s">
        <v>146</v>
      </c>
      <c r="F3" s="2" t="s">
        <v>1035</v>
      </c>
      <c r="G3" s="2">
        <v>3.1</v>
      </c>
      <c r="H3" s="2">
        <v>0</v>
      </c>
      <c r="I3" s="2">
        <v>0</v>
      </c>
      <c r="J3" s="2">
        <v>1</v>
      </c>
      <c r="K3" s="2" t="s">
        <v>49</v>
      </c>
      <c r="L3" s="2" t="s">
        <v>146</v>
      </c>
      <c r="M3" s="2" t="s">
        <v>146</v>
      </c>
      <c r="N3" s="2" t="s">
        <v>146</v>
      </c>
      <c r="O3" s="2" t="s">
        <v>146</v>
      </c>
      <c r="P3" s="2" t="s">
        <v>146</v>
      </c>
      <c r="Q3" s="2" t="s">
        <v>49</v>
      </c>
      <c r="R3" s="2" t="s">
        <v>146</v>
      </c>
      <c r="S3" s="2" t="s">
        <v>146</v>
      </c>
      <c r="T3" s="2" t="s">
        <v>146</v>
      </c>
      <c r="U3" s="2" t="s">
        <v>146</v>
      </c>
      <c r="V3" s="2" t="s">
        <v>146</v>
      </c>
      <c r="Y3" s="2" t="str">
        <f t="shared" si="0"/>
        <v>Ja</v>
      </c>
      <c r="AA3" s="2" t="str">
        <f t="shared" si="1"/>
        <v>Nej</v>
      </c>
      <c r="AB3" s="2" t="str">
        <f t="shared" si="2"/>
        <v>ET</v>
      </c>
      <c r="AC3" s="2">
        <f t="shared" si="3"/>
        <v>0</v>
      </c>
      <c r="AD3" s="46" t="s">
        <v>1242</v>
      </c>
      <c r="AE3" s="46">
        <v>2.2000000000000002</v>
      </c>
      <c r="AF3" s="46"/>
    </row>
    <row r="4" spans="1:32" ht="14.25" x14ac:dyDescent="0.45">
      <c r="A4" s="2" t="s">
        <v>15</v>
      </c>
      <c r="B4" s="2" t="s">
        <v>20</v>
      </c>
      <c r="C4" s="2">
        <v>2019</v>
      </c>
      <c r="D4" s="2">
        <v>4</v>
      </c>
      <c r="E4" s="2" t="s">
        <v>146</v>
      </c>
      <c r="F4" s="2" t="s">
        <v>1035</v>
      </c>
      <c r="G4" s="2">
        <v>3.1</v>
      </c>
      <c r="H4" s="2">
        <v>0</v>
      </c>
      <c r="I4" s="2">
        <v>0</v>
      </c>
      <c r="J4" s="2">
        <v>1</v>
      </c>
      <c r="K4" s="2" t="s">
        <v>49</v>
      </c>
      <c r="L4" s="2" t="s">
        <v>146</v>
      </c>
      <c r="M4" s="2" t="s">
        <v>146</v>
      </c>
      <c r="N4" s="2" t="s">
        <v>146</v>
      </c>
      <c r="O4" s="2" t="s">
        <v>146</v>
      </c>
      <c r="P4" s="2" t="s">
        <v>146</v>
      </c>
      <c r="Q4" s="2" t="s">
        <v>49</v>
      </c>
      <c r="R4" s="2" t="s">
        <v>146</v>
      </c>
      <c r="S4" s="2" t="s">
        <v>146</v>
      </c>
      <c r="T4" s="2" t="s">
        <v>146</v>
      </c>
      <c r="U4" s="2" t="s">
        <v>146</v>
      </c>
      <c r="V4" s="2" t="s">
        <v>146</v>
      </c>
      <c r="Y4" s="2" t="str">
        <f t="shared" si="0"/>
        <v>Ja</v>
      </c>
      <c r="AA4" s="2" t="str">
        <f t="shared" si="1"/>
        <v>Nej</v>
      </c>
      <c r="AB4" s="2" t="str">
        <f t="shared" si="2"/>
        <v>ET</v>
      </c>
      <c r="AC4" s="2">
        <f t="shared" si="3"/>
        <v>0</v>
      </c>
      <c r="AD4" s="46" t="s">
        <v>1243</v>
      </c>
      <c r="AE4" s="46">
        <v>250.8</v>
      </c>
      <c r="AF4" s="46" t="s">
        <v>1244</v>
      </c>
    </row>
    <row r="5" spans="1:32" ht="14.25" x14ac:dyDescent="0.45">
      <c r="A5" s="2" t="s">
        <v>15</v>
      </c>
      <c r="B5" s="2" t="s">
        <v>22</v>
      </c>
      <c r="C5" s="2">
        <v>2019</v>
      </c>
      <c r="D5" s="2">
        <v>0.55600000000000005</v>
      </c>
      <c r="E5" s="2" t="s">
        <v>146</v>
      </c>
      <c r="F5" s="2" t="s">
        <v>1035</v>
      </c>
      <c r="G5" s="2">
        <v>3.1</v>
      </c>
      <c r="H5" s="2">
        <v>0</v>
      </c>
      <c r="I5" s="2">
        <v>0</v>
      </c>
      <c r="J5" s="2">
        <v>1</v>
      </c>
      <c r="K5" s="2" t="s">
        <v>49</v>
      </c>
      <c r="L5" s="2" t="s">
        <v>146</v>
      </c>
      <c r="M5" s="2" t="s">
        <v>146</v>
      </c>
      <c r="N5" s="2" t="s">
        <v>146</v>
      </c>
      <c r="O5" s="2" t="s">
        <v>146</v>
      </c>
      <c r="P5" s="2" t="s">
        <v>146</v>
      </c>
      <c r="Q5" s="2" t="s">
        <v>49</v>
      </c>
      <c r="R5" s="2" t="s">
        <v>146</v>
      </c>
      <c r="S5" s="2" t="s">
        <v>146</v>
      </c>
      <c r="T5" s="2" t="s">
        <v>146</v>
      </c>
      <c r="U5" s="2" t="s">
        <v>146</v>
      </c>
      <c r="V5" s="2" t="s">
        <v>146</v>
      </c>
      <c r="Y5" s="2" t="str">
        <f t="shared" si="0"/>
        <v>Ja</v>
      </c>
      <c r="AA5" s="2" t="str">
        <f t="shared" si="1"/>
        <v>Nej</v>
      </c>
      <c r="AB5" s="2" t="str">
        <f t="shared" si="2"/>
        <v>ET</v>
      </c>
      <c r="AC5" s="2">
        <f t="shared" si="3"/>
        <v>0</v>
      </c>
      <c r="AD5" s="46" t="s">
        <v>1245</v>
      </c>
      <c r="AE5" s="46">
        <v>0.35</v>
      </c>
      <c r="AF5" s="46"/>
    </row>
    <row r="6" spans="1:32" ht="14.25" x14ac:dyDescent="0.45">
      <c r="A6" s="2" t="s">
        <v>15</v>
      </c>
      <c r="B6" s="2" t="s">
        <v>24</v>
      </c>
      <c r="C6" s="2">
        <v>2019</v>
      </c>
      <c r="D6" s="2">
        <v>2.23</v>
      </c>
      <c r="E6" s="2" t="s">
        <v>146</v>
      </c>
      <c r="F6" s="2" t="s">
        <v>1035</v>
      </c>
      <c r="G6" s="2">
        <v>3.1</v>
      </c>
      <c r="H6" s="2">
        <v>0</v>
      </c>
      <c r="I6" s="2">
        <v>0</v>
      </c>
      <c r="J6" s="2">
        <v>1</v>
      </c>
      <c r="K6" s="2" t="s">
        <v>49</v>
      </c>
      <c r="L6" s="2" t="s">
        <v>146</v>
      </c>
      <c r="M6" s="2" t="s">
        <v>146</v>
      </c>
      <c r="N6" s="2" t="s">
        <v>146</v>
      </c>
      <c r="O6" s="2" t="s">
        <v>146</v>
      </c>
      <c r="P6" s="2" t="s">
        <v>146</v>
      </c>
      <c r="Q6" s="2" t="s">
        <v>49</v>
      </c>
      <c r="R6" s="2" t="s">
        <v>146</v>
      </c>
      <c r="S6" s="2" t="s">
        <v>146</v>
      </c>
      <c r="T6" s="2" t="s">
        <v>146</v>
      </c>
      <c r="U6" s="2" t="s">
        <v>146</v>
      </c>
      <c r="V6" s="2" t="s">
        <v>146</v>
      </c>
      <c r="Y6" s="2" t="str">
        <f t="shared" si="0"/>
        <v>Ja</v>
      </c>
      <c r="AA6" s="2" t="str">
        <f t="shared" si="1"/>
        <v>Nej</v>
      </c>
      <c r="AB6" s="2" t="str">
        <f t="shared" si="2"/>
        <v>ET</v>
      </c>
      <c r="AC6" s="2">
        <f t="shared" si="3"/>
        <v>0</v>
      </c>
      <c r="AD6" s="46" t="s">
        <v>1246</v>
      </c>
      <c r="AE6" s="46">
        <v>0.3977</v>
      </c>
      <c r="AF6" s="46"/>
    </row>
    <row r="7" spans="1:32" ht="14.25" x14ac:dyDescent="0.45">
      <c r="A7" s="2" t="s">
        <v>15</v>
      </c>
      <c r="B7" s="2" t="s">
        <v>26</v>
      </c>
      <c r="C7" s="2">
        <v>2019</v>
      </c>
      <c r="D7" s="2">
        <v>0.95199999999999996</v>
      </c>
      <c r="E7" s="2" t="s">
        <v>146</v>
      </c>
      <c r="F7" s="2" t="s">
        <v>1035</v>
      </c>
      <c r="G7" s="2">
        <v>3.1</v>
      </c>
      <c r="H7" s="2">
        <v>0</v>
      </c>
      <c r="I7" s="2">
        <v>0</v>
      </c>
      <c r="J7" s="2">
        <v>1</v>
      </c>
      <c r="K7" s="2" t="s">
        <v>49</v>
      </c>
      <c r="L7" s="2" t="s">
        <v>146</v>
      </c>
      <c r="M7" s="2" t="s">
        <v>146</v>
      </c>
      <c r="N7" s="2" t="s">
        <v>146</v>
      </c>
      <c r="O7" s="2" t="s">
        <v>146</v>
      </c>
      <c r="P7" s="2" t="s">
        <v>146</v>
      </c>
      <c r="Q7" s="2" t="s">
        <v>49</v>
      </c>
      <c r="R7" s="2" t="s">
        <v>146</v>
      </c>
      <c r="S7" s="2" t="s">
        <v>146</v>
      </c>
      <c r="T7" s="2" t="s">
        <v>146</v>
      </c>
      <c r="U7" s="2" t="s">
        <v>146</v>
      </c>
      <c r="V7" s="2" t="s">
        <v>146</v>
      </c>
      <c r="Y7" s="2" t="str">
        <f t="shared" si="0"/>
        <v>Ja</v>
      </c>
      <c r="AA7" s="2" t="str">
        <f t="shared" si="1"/>
        <v>Nej</v>
      </c>
      <c r="AB7" s="2" t="str">
        <f t="shared" si="2"/>
        <v>ET</v>
      </c>
      <c r="AC7" s="2">
        <f t="shared" si="3"/>
        <v>0</v>
      </c>
      <c r="AD7" s="46"/>
      <c r="AE7" s="46"/>
      <c r="AF7" s="46"/>
    </row>
    <row r="8" spans="1:32" ht="14.25" x14ac:dyDescent="0.45">
      <c r="A8" s="2" t="s">
        <v>15</v>
      </c>
      <c r="B8" s="2" t="s">
        <v>28</v>
      </c>
      <c r="C8" s="2">
        <v>2019</v>
      </c>
      <c r="D8" s="2">
        <v>0.23599999999999999</v>
      </c>
      <c r="E8" s="2" t="s">
        <v>146</v>
      </c>
      <c r="F8" s="2" t="s">
        <v>1035</v>
      </c>
      <c r="G8" s="2">
        <v>3.1</v>
      </c>
      <c r="H8" s="2">
        <v>0</v>
      </c>
      <c r="I8" s="2">
        <v>0</v>
      </c>
      <c r="J8" s="2">
        <v>1</v>
      </c>
      <c r="K8" s="2" t="s">
        <v>49</v>
      </c>
      <c r="L8" s="2" t="s">
        <v>146</v>
      </c>
      <c r="M8" s="2" t="s">
        <v>146</v>
      </c>
      <c r="N8" s="2" t="s">
        <v>146</v>
      </c>
      <c r="O8" s="2" t="s">
        <v>146</v>
      </c>
      <c r="P8" s="2" t="s">
        <v>146</v>
      </c>
      <c r="Q8" s="2" t="s">
        <v>49</v>
      </c>
      <c r="R8" s="2" t="s">
        <v>146</v>
      </c>
      <c r="S8" s="2" t="s">
        <v>146</v>
      </c>
      <c r="T8" s="2" t="s">
        <v>146</v>
      </c>
      <c r="U8" s="2" t="s">
        <v>146</v>
      </c>
      <c r="V8" s="2" t="s">
        <v>146</v>
      </c>
      <c r="Y8" s="2" t="str">
        <f t="shared" si="0"/>
        <v>Ja</v>
      </c>
      <c r="AA8" s="2" t="str">
        <f t="shared" si="1"/>
        <v>Nej</v>
      </c>
      <c r="AB8" s="2" t="str">
        <f t="shared" si="2"/>
        <v>ET</v>
      </c>
      <c r="AC8" s="2">
        <f t="shared" si="3"/>
        <v>0</v>
      </c>
      <c r="AD8" s="45" t="s">
        <v>1247</v>
      </c>
      <c r="AE8" s="46"/>
      <c r="AF8" s="46"/>
    </row>
    <row r="9" spans="1:32" ht="14.25" x14ac:dyDescent="0.45">
      <c r="A9" s="2" t="s">
        <v>15</v>
      </c>
      <c r="B9" s="2" t="s">
        <v>30</v>
      </c>
      <c r="C9" s="2">
        <v>2019</v>
      </c>
      <c r="D9" s="2">
        <v>0.93200000000000005</v>
      </c>
      <c r="E9" s="2" t="s">
        <v>146</v>
      </c>
      <c r="F9" s="2" t="s">
        <v>1035</v>
      </c>
      <c r="G9" s="2">
        <v>3.1</v>
      </c>
      <c r="H9" s="2">
        <v>0</v>
      </c>
      <c r="I9" s="2">
        <v>0</v>
      </c>
      <c r="J9" s="2">
        <v>1</v>
      </c>
      <c r="K9" s="2" t="s">
        <v>49</v>
      </c>
      <c r="L9" s="2" t="s">
        <v>146</v>
      </c>
      <c r="M9" s="2" t="s">
        <v>146</v>
      </c>
      <c r="N9" s="2" t="s">
        <v>146</v>
      </c>
      <c r="O9" s="2" t="s">
        <v>146</v>
      </c>
      <c r="P9" s="2" t="s">
        <v>146</v>
      </c>
      <c r="Q9" s="2" t="s">
        <v>49</v>
      </c>
      <c r="R9" s="2" t="s">
        <v>146</v>
      </c>
      <c r="S9" s="2" t="s">
        <v>146</v>
      </c>
      <c r="T9" s="2" t="s">
        <v>146</v>
      </c>
      <c r="U9" s="2" t="s">
        <v>146</v>
      </c>
      <c r="V9" s="2" t="s">
        <v>146</v>
      </c>
      <c r="Y9" s="2" t="str">
        <f t="shared" si="0"/>
        <v>Ja</v>
      </c>
      <c r="AA9" s="2" t="str">
        <f t="shared" si="1"/>
        <v>Nej</v>
      </c>
      <c r="AB9" s="2" t="str">
        <f t="shared" si="2"/>
        <v>ET</v>
      </c>
      <c r="AC9" s="2">
        <f t="shared" si="3"/>
        <v>0</v>
      </c>
      <c r="AD9" s="46" t="s">
        <v>1242</v>
      </c>
      <c r="AE9" s="46">
        <v>2.2999999999999998</v>
      </c>
      <c r="AF9" s="46"/>
    </row>
    <row r="10" spans="1:32" ht="14.25" x14ac:dyDescent="0.45">
      <c r="A10" s="2" t="s">
        <v>15</v>
      </c>
      <c r="B10" s="2" t="s">
        <v>32</v>
      </c>
      <c r="C10" s="2">
        <v>2019</v>
      </c>
      <c r="D10" s="2">
        <v>1.7</v>
      </c>
      <c r="E10" s="2" t="s">
        <v>146</v>
      </c>
      <c r="F10" s="2" t="s">
        <v>1035</v>
      </c>
      <c r="G10" s="2">
        <v>3.1</v>
      </c>
      <c r="H10" s="2">
        <v>0</v>
      </c>
      <c r="I10" s="2">
        <v>0</v>
      </c>
      <c r="J10" s="2">
        <v>1</v>
      </c>
      <c r="K10" s="2" t="s">
        <v>49</v>
      </c>
      <c r="L10" s="2" t="s">
        <v>146</v>
      </c>
      <c r="M10" s="2" t="s">
        <v>146</v>
      </c>
      <c r="N10" s="2" t="s">
        <v>146</v>
      </c>
      <c r="O10" s="2" t="s">
        <v>146</v>
      </c>
      <c r="P10" s="2" t="s">
        <v>146</v>
      </c>
      <c r="Q10" s="2" t="s">
        <v>49</v>
      </c>
      <c r="R10" s="2" t="s">
        <v>146</v>
      </c>
      <c r="S10" s="2" t="s">
        <v>146</v>
      </c>
      <c r="T10" s="2" t="s">
        <v>146</v>
      </c>
      <c r="U10" s="2" t="s">
        <v>146</v>
      </c>
      <c r="V10" s="2" t="s">
        <v>146</v>
      </c>
      <c r="Y10" s="2" t="str">
        <f t="shared" si="0"/>
        <v>Ja</v>
      </c>
      <c r="AA10" s="2" t="str">
        <f t="shared" si="1"/>
        <v>Nej</v>
      </c>
      <c r="AB10" s="2" t="str">
        <f t="shared" si="2"/>
        <v>ET</v>
      </c>
      <c r="AC10" s="2">
        <f t="shared" si="3"/>
        <v>0</v>
      </c>
      <c r="AD10" s="46" t="s">
        <v>1243</v>
      </c>
      <c r="AE10" s="46">
        <v>329.19</v>
      </c>
      <c r="AF10" s="46"/>
    </row>
    <row r="11" spans="1:32" ht="14.25" x14ac:dyDescent="0.45">
      <c r="A11" s="2" t="s">
        <v>672</v>
      </c>
      <c r="B11" s="2" t="s">
        <v>681</v>
      </c>
      <c r="C11" s="2">
        <v>2019</v>
      </c>
      <c r="D11" s="2" t="s">
        <v>146</v>
      </c>
      <c r="E11" s="2" t="s">
        <v>146</v>
      </c>
      <c r="F11" s="2" t="s">
        <v>1035</v>
      </c>
      <c r="G11" s="2">
        <v>3.1</v>
      </c>
      <c r="H11" s="2">
        <v>0</v>
      </c>
      <c r="I11" s="2">
        <v>0</v>
      </c>
      <c r="J11" s="2">
        <v>1</v>
      </c>
      <c r="K11" s="2" t="s">
        <v>49</v>
      </c>
      <c r="L11" s="2" t="s">
        <v>146</v>
      </c>
      <c r="M11" s="2" t="s">
        <v>146</v>
      </c>
      <c r="N11" s="2" t="s">
        <v>146</v>
      </c>
      <c r="O11" s="2" t="s">
        <v>146</v>
      </c>
      <c r="P11" s="2" t="s">
        <v>146</v>
      </c>
      <c r="Q11" s="2" t="s">
        <v>49</v>
      </c>
      <c r="R11" s="2" t="s">
        <v>146</v>
      </c>
      <c r="S11" s="2" t="s">
        <v>146</v>
      </c>
      <c r="T11" s="2" t="s">
        <v>146</v>
      </c>
      <c r="U11" s="2" t="s">
        <v>146</v>
      </c>
      <c r="V11" s="2" t="s">
        <v>146</v>
      </c>
      <c r="Y11" s="2" t="str">
        <f t="shared" si="0"/>
        <v>Ja</v>
      </c>
      <c r="AA11" s="2" t="str">
        <f t="shared" si="1"/>
        <v>Nej</v>
      </c>
      <c r="AB11" s="2" t="str">
        <f t="shared" si="2"/>
        <v>ET</v>
      </c>
      <c r="AC11" s="2">
        <f t="shared" si="3"/>
        <v>0</v>
      </c>
      <c r="AD11" s="46" t="s">
        <v>1245</v>
      </c>
      <c r="AE11" s="46">
        <v>0.43</v>
      </c>
      <c r="AF11" s="46"/>
    </row>
    <row r="12" spans="1:32" ht="14.25" x14ac:dyDescent="0.45">
      <c r="A12" s="2" t="s">
        <v>672</v>
      </c>
      <c r="B12" s="2" t="s">
        <v>680</v>
      </c>
      <c r="C12" s="2">
        <v>2019</v>
      </c>
      <c r="D12" s="2">
        <v>0.41299999999999998</v>
      </c>
      <c r="E12" s="2" t="s">
        <v>146</v>
      </c>
      <c r="F12" s="2" t="s">
        <v>1035</v>
      </c>
      <c r="G12" s="2">
        <v>3.1</v>
      </c>
      <c r="H12" s="2">
        <v>0</v>
      </c>
      <c r="I12" s="2">
        <v>0</v>
      </c>
      <c r="J12" s="2">
        <v>1</v>
      </c>
      <c r="K12" s="2" t="s">
        <v>49</v>
      </c>
      <c r="L12" s="2" t="s">
        <v>146</v>
      </c>
      <c r="M12" s="2" t="s">
        <v>146</v>
      </c>
      <c r="N12" s="2" t="s">
        <v>146</v>
      </c>
      <c r="O12" s="2" t="s">
        <v>146</v>
      </c>
      <c r="P12" s="2" t="s">
        <v>146</v>
      </c>
      <c r="Q12" s="2" t="s">
        <v>49</v>
      </c>
      <c r="R12" s="2" t="s">
        <v>146</v>
      </c>
      <c r="S12" s="2" t="s">
        <v>146</v>
      </c>
      <c r="T12" s="2" t="s">
        <v>146</v>
      </c>
      <c r="U12" s="2" t="s">
        <v>146</v>
      </c>
      <c r="V12" s="2" t="s">
        <v>146</v>
      </c>
      <c r="Y12" s="2" t="str">
        <f t="shared" si="0"/>
        <v>Ja</v>
      </c>
      <c r="AA12" s="2" t="str">
        <f t="shared" si="1"/>
        <v>Nej</v>
      </c>
      <c r="AB12" s="2" t="str">
        <f t="shared" si="2"/>
        <v>ET</v>
      </c>
      <c r="AC12" s="2">
        <f t="shared" si="3"/>
        <v>0</v>
      </c>
      <c r="AD12" s="46" t="s">
        <v>1246</v>
      </c>
      <c r="AE12" s="46">
        <v>0.40550000000000003</v>
      </c>
      <c r="AF12" s="46"/>
    </row>
    <row r="13" spans="1:32" ht="14.25" x14ac:dyDescent="0.45">
      <c r="A13" s="2" t="s">
        <v>672</v>
      </c>
      <c r="B13" s="2" t="s">
        <v>679</v>
      </c>
      <c r="C13" s="2">
        <v>2019</v>
      </c>
      <c r="D13" s="2">
        <v>9.0999999999999998E-2</v>
      </c>
      <c r="E13" s="2" t="s">
        <v>146</v>
      </c>
      <c r="F13" s="2" t="s">
        <v>1035</v>
      </c>
      <c r="G13" s="2">
        <v>3.1</v>
      </c>
      <c r="H13" s="2">
        <v>0</v>
      </c>
      <c r="I13" s="2">
        <v>0</v>
      </c>
      <c r="J13" s="2">
        <v>1</v>
      </c>
      <c r="K13" s="2" t="s">
        <v>49</v>
      </c>
      <c r="L13" s="2" t="s">
        <v>146</v>
      </c>
      <c r="M13" s="2" t="s">
        <v>146</v>
      </c>
      <c r="N13" s="2" t="s">
        <v>146</v>
      </c>
      <c r="O13" s="2" t="s">
        <v>146</v>
      </c>
      <c r="P13" s="2" t="s">
        <v>146</v>
      </c>
      <c r="Q13" s="2" t="s">
        <v>49</v>
      </c>
      <c r="R13" s="2" t="s">
        <v>146</v>
      </c>
      <c r="S13" s="2" t="s">
        <v>146</v>
      </c>
      <c r="T13" s="2" t="s">
        <v>146</v>
      </c>
      <c r="U13" s="2" t="s">
        <v>146</v>
      </c>
      <c r="V13" s="2" t="s">
        <v>146</v>
      </c>
      <c r="Y13" s="2" t="str">
        <f t="shared" si="0"/>
        <v>Ja</v>
      </c>
      <c r="AA13" s="2" t="str">
        <f t="shared" si="1"/>
        <v>Nej</v>
      </c>
      <c r="AB13" s="2" t="str">
        <f t="shared" si="2"/>
        <v>ET</v>
      </c>
      <c r="AC13" s="2">
        <f t="shared" si="3"/>
        <v>0</v>
      </c>
    </row>
    <row r="14" spans="1:32" ht="14.25" x14ac:dyDescent="0.45">
      <c r="A14" s="2" t="s">
        <v>672</v>
      </c>
      <c r="B14" s="2" t="s">
        <v>678</v>
      </c>
      <c r="C14" s="2">
        <v>2019</v>
      </c>
      <c r="D14" s="2">
        <v>0.13100000000000001</v>
      </c>
      <c r="E14" s="2" t="s">
        <v>146</v>
      </c>
      <c r="F14" s="2" t="s">
        <v>1035</v>
      </c>
      <c r="G14" s="2">
        <v>3.1</v>
      </c>
      <c r="H14" s="2">
        <v>0</v>
      </c>
      <c r="I14" s="2">
        <v>0</v>
      </c>
      <c r="J14" s="2">
        <v>1</v>
      </c>
      <c r="K14" s="2" t="s">
        <v>49</v>
      </c>
      <c r="L14" s="2" t="s">
        <v>146</v>
      </c>
      <c r="M14" s="2" t="s">
        <v>146</v>
      </c>
      <c r="N14" s="2" t="s">
        <v>146</v>
      </c>
      <c r="O14" s="2" t="s">
        <v>146</v>
      </c>
      <c r="P14" s="2" t="s">
        <v>146</v>
      </c>
      <c r="Q14" s="2" t="s">
        <v>49</v>
      </c>
      <c r="R14" s="2" t="s">
        <v>146</v>
      </c>
      <c r="S14" s="2" t="s">
        <v>146</v>
      </c>
      <c r="T14" s="2" t="s">
        <v>146</v>
      </c>
      <c r="U14" s="2" t="s">
        <v>146</v>
      </c>
      <c r="V14" s="2" t="s">
        <v>146</v>
      </c>
      <c r="Y14" s="2" t="str">
        <f t="shared" si="0"/>
        <v>Ja</v>
      </c>
      <c r="AA14" s="2" t="str">
        <f t="shared" si="1"/>
        <v>Nej</v>
      </c>
      <c r="AB14" s="2" t="str">
        <f t="shared" si="2"/>
        <v>ET</v>
      </c>
      <c r="AC14" s="2">
        <f t="shared" si="3"/>
        <v>0</v>
      </c>
    </row>
    <row r="15" spans="1:32" ht="14.25" x14ac:dyDescent="0.45">
      <c r="A15" s="2" t="s">
        <v>672</v>
      </c>
      <c r="B15" s="2" t="s">
        <v>677</v>
      </c>
      <c r="C15" s="2">
        <v>2019</v>
      </c>
      <c r="D15" s="2">
        <v>0.115</v>
      </c>
      <c r="E15" s="2" t="s">
        <v>146</v>
      </c>
      <c r="F15" s="2" t="s">
        <v>1035</v>
      </c>
      <c r="G15" s="2">
        <v>3.1</v>
      </c>
      <c r="H15" s="2">
        <v>0</v>
      </c>
      <c r="I15" s="2">
        <v>0</v>
      </c>
      <c r="J15" s="2">
        <v>1</v>
      </c>
      <c r="K15" s="2" t="s">
        <v>49</v>
      </c>
      <c r="L15" s="2" t="s">
        <v>146</v>
      </c>
      <c r="M15" s="2" t="s">
        <v>146</v>
      </c>
      <c r="N15" s="2" t="s">
        <v>146</v>
      </c>
      <c r="O15" s="2" t="s">
        <v>146</v>
      </c>
      <c r="P15" s="2" t="s">
        <v>146</v>
      </c>
      <c r="Q15" s="2" t="s">
        <v>49</v>
      </c>
      <c r="R15" s="2" t="s">
        <v>146</v>
      </c>
      <c r="S15" s="2" t="s">
        <v>146</v>
      </c>
      <c r="T15" s="2" t="s">
        <v>146</v>
      </c>
      <c r="U15" s="2" t="s">
        <v>146</v>
      </c>
      <c r="V15" s="2" t="s">
        <v>146</v>
      </c>
      <c r="Y15" s="2" t="str">
        <f t="shared" si="0"/>
        <v>Ja</v>
      </c>
      <c r="AA15" s="2" t="str">
        <f t="shared" si="1"/>
        <v>Nej</v>
      </c>
      <c r="AB15" s="2" t="str">
        <f t="shared" si="2"/>
        <v>ET</v>
      </c>
      <c r="AC15" s="2">
        <f t="shared" si="3"/>
        <v>0</v>
      </c>
    </row>
    <row r="16" spans="1:32" ht="14.25" x14ac:dyDescent="0.45">
      <c r="A16" s="2" t="s">
        <v>672</v>
      </c>
      <c r="B16" s="2" t="s">
        <v>676</v>
      </c>
      <c r="C16" s="2">
        <v>2019</v>
      </c>
      <c r="D16" s="2">
        <v>0.40899999999999997</v>
      </c>
      <c r="E16" s="2" t="s">
        <v>146</v>
      </c>
      <c r="F16" s="2" t="s">
        <v>1035</v>
      </c>
      <c r="G16" s="2">
        <v>3.1</v>
      </c>
      <c r="H16" s="2">
        <v>0</v>
      </c>
      <c r="I16" s="2">
        <v>0</v>
      </c>
      <c r="J16" s="2">
        <v>1</v>
      </c>
      <c r="K16" s="2" t="s">
        <v>49</v>
      </c>
      <c r="L16" s="2" t="s">
        <v>146</v>
      </c>
      <c r="M16" s="2" t="s">
        <v>146</v>
      </c>
      <c r="N16" s="2" t="s">
        <v>146</v>
      </c>
      <c r="O16" s="2" t="s">
        <v>146</v>
      </c>
      <c r="P16" s="2" t="s">
        <v>146</v>
      </c>
      <c r="Q16" s="2" t="s">
        <v>49</v>
      </c>
      <c r="R16" s="2" t="s">
        <v>146</v>
      </c>
      <c r="S16" s="2" t="s">
        <v>146</v>
      </c>
      <c r="T16" s="2" t="s">
        <v>146</v>
      </c>
      <c r="U16" s="2" t="s">
        <v>146</v>
      </c>
      <c r="V16" s="2" t="s">
        <v>146</v>
      </c>
      <c r="Y16" s="2" t="str">
        <f t="shared" si="0"/>
        <v>Ja</v>
      </c>
      <c r="AA16" s="2" t="str">
        <f t="shared" si="1"/>
        <v>Nej</v>
      </c>
      <c r="AB16" s="2" t="str">
        <f t="shared" si="2"/>
        <v>ET</v>
      </c>
      <c r="AC16" s="2">
        <f t="shared" si="3"/>
        <v>0</v>
      </c>
    </row>
    <row r="17" spans="1:29" ht="14.25" x14ac:dyDescent="0.45">
      <c r="A17" s="2" t="s">
        <v>672</v>
      </c>
      <c r="B17" s="2" t="s">
        <v>675</v>
      </c>
      <c r="C17" s="2">
        <v>2019</v>
      </c>
      <c r="D17" s="2">
        <v>0.26200000000000001</v>
      </c>
      <c r="E17" s="2" t="s">
        <v>146</v>
      </c>
      <c r="F17" s="2" t="s">
        <v>1035</v>
      </c>
      <c r="G17" s="2">
        <v>3.1</v>
      </c>
      <c r="H17" s="2">
        <v>0</v>
      </c>
      <c r="I17" s="2">
        <v>0</v>
      </c>
      <c r="J17" s="2">
        <v>1</v>
      </c>
      <c r="K17" s="2" t="s">
        <v>49</v>
      </c>
      <c r="L17" s="2" t="s">
        <v>146</v>
      </c>
      <c r="M17" s="2" t="s">
        <v>146</v>
      </c>
      <c r="N17" s="2" t="s">
        <v>146</v>
      </c>
      <c r="O17" s="2" t="s">
        <v>146</v>
      </c>
      <c r="P17" s="2" t="s">
        <v>146</v>
      </c>
      <c r="Q17" s="2" t="s">
        <v>49</v>
      </c>
      <c r="R17" s="2" t="s">
        <v>146</v>
      </c>
      <c r="S17" s="2" t="s">
        <v>146</v>
      </c>
      <c r="T17" s="2" t="s">
        <v>146</v>
      </c>
      <c r="U17" s="2" t="s">
        <v>146</v>
      </c>
      <c r="V17" s="2" t="s">
        <v>146</v>
      </c>
      <c r="Y17" s="2" t="str">
        <f t="shared" si="0"/>
        <v>Ja</v>
      </c>
      <c r="AA17" s="2" t="str">
        <f t="shared" si="1"/>
        <v>Nej</v>
      </c>
      <c r="AB17" s="2" t="str">
        <f t="shared" si="2"/>
        <v>ET</v>
      </c>
      <c r="AC17" s="2">
        <f t="shared" si="3"/>
        <v>0</v>
      </c>
    </row>
    <row r="18" spans="1:29" ht="14.25" x14ac:dyDescent="0.45">
      <c r="A18" s="2" t="s">
        <v>672</v>
      </c>
      <c r="B18" s="2" t="s">
        <v>674</v>
      </c>
      <c r="C18" s="2">
        <v>2019</v>
      </c>
      <c r="D18" s="2">
        <v>2.5000000000000001E-2</v>
      </c>
      <c r="E18" s="2" t="s">
        <v>146</v>
      </c>
      <c r="F18" s="2" t="s">
        <v>1035</v>
      </c>
      <c r="G18" s="2">
        <v>3.1</v>
      </c>
      <c r="H18" s="2">
        <v>0</v>
      </c>
      <c r="I18" s="2">
        <v>0</v>
      </c>
      <c r="J18" s="2">
        <v>1</v>
      </c>
      <c r="K18" s="2" t="s">
        <v>49</v>
      </c>
      <c r="L18" s="2" t="s">
        <v>146</v>
      </c>
      <c r="M18" s="2" t="s">
        <v>146</v>
      </c>
      <c r="N18" s="2" t="s">
        <v>146</v>
      </c>
      <c r="O18" s="2" t="s">
        <v>146</v>
      </c>
      <c r="P18" s="2" t="s">
        <v>146</v>
      </c>
      <c r="Q18" s="2" t="s">
        <v>49</v>
      </c>
      <c r="R18" s="2" t="s">
        <v>146</v>
      </c>
      <c r="S18" s="2" t="s">
        <v>146</v>
      </c>
      <c r="T18" s="2" t="s">
        <v>146</v>
      </c>
      <c r="U18" s="2" t="s">
        <v>146</v>
      </c>
      <c r="V18" s="2" t="s">
        <v>146</v>
      </c>
      <c r="Y18" s="2" t="str">
        <f t="shared" si="0"/>
        <v>Ja</v>
      </c>
      <c r="AA18" s="2" t="str">
        <f t="shared" si="1"/>
        <v>Nej</v>
      </c>
      <c r="AB18" s="2" t="str">
        <f t="shared" si="2"/>
        <v>ET</v>
      </c>
      <c r="AC18" s="2">
        <f t="shared" si="3"/>
        <v>0</v>
      </c>
    </row>
    <row r="19" spans="1:29" ht="14.25" x14ac:dyDescent="0.45">
      <c r="A19" s="2" t="s">
        <v>672</v>
      </c>
      <c r="B19" s="2" t="s">
        <v>673</v>
      </c>
      <c r="C19" s="2">
        <v>2019</v>
      </c>
      <c r="D19" s="2">
        <v>0.17299999999999999</v>
      </c>
      <c r="E19" s="2" t="s">
        <v>146</v>
      </c>
      <c r="F19" s="2" t="s">
        <v>1035</v>
      </c>
      <c r="G19" s="2">
        <v>3.1</v>
      </c>
      <c r="H19" s="2">
        <v>0</v>
      </c>
      <c r="I19" s="2">
        <v>0</v>
      </c>
      <c r="J19" s="2">
        <v>1</v>
      </c>
      <c r="K19" s="2" t="s">
        <v>49</v>
      </c>
      <c r="L19" s="2" t="s">
        <v>146</v>
      </c>
      <c r="M19" s="2" t="s">
        <v>146</v>
      </c>
      <c r="N19" s="2" t="s">
        <v>146</v>
      </c>
      <c r="O19" s="2" t="s">
        <v>146</v>
      </c>
      <c r="P19" s="2" t="s">
        <v>146</v>
      </c>
      <c r="Q19" s="2" t="s">
        <v>49</v>
      </c>
      <c r="R19" s="2" t="s">
        <v>146</v>
      </c>
      <c r="S19" s="2" t="s">
        <v>146</v>
      </c>
      <c r="T19" s="2" t="s">
        <v>146</v>
      </c>
      <c r="U19" s="2" t="s">
        <v>146</v>
      </c>
      <c r="V19" s="2" t="s">
        <v>146</v>
      </c>
      <c r="Y19" s="2" t="str">
        <f t="shared" si="0"/>
        <v>Ja</v>
      </c>
      <c r="AA19" s="2" t="str">
        <f t="shared" si="1"/>
        <v>Nej</v>
      </c>
      <c r="AB19" s="2" t="str">
        <f t="shared" si="2"/>
        <v>ET</v>
      </c>
      <c r="AC19" s="2">
        <f t="shared" si="3"/>
        <v>0</v>
      </c>
    </row>
    <row r="20" spans="1:29" ht="14.25" x14ac:dyDescent="0.45">
      <c r="A20" s="2" t="s">
        <v>672</v>
      </c>
      <c r="B20" s="2" t="s">
        <v>671</v>
      </c>
      <c r="C20" s="2">
        <v>2019</v>
      </c>
      <c r="D20" s="2">
        <v>8.1000000000000003E-2</v>
      </c>
      <c r="E20" s="2" t="s">
        <v>146</v>
      </c>
      <c r="F20" s="2" t="s">
        <v>1035</v>
      </c>
      <c r="G20" s="2">
        <v>3.1</v>
      </c>
      <c r="H20" s="2">
        <v>0</v>
      </c>
      <c r="I20" s="2">
        <v>0</v>
      </c>
      <c r="J20" s="2">
        <v>1</v>
      </c>
      <c r="K20" s="2" t="s">
        <v>49</v>
      </c>
      <c r="L20" s="2" t="s">
        <v>146</v>
      </c>
      <c r="M20" s="2" t="s">
        <v>146</v>
      </c>
      <c r="N20" s="2" t="s">
        <v>146</v>
      </c>
      <c r="O20" s="2" t="s">
        <v>146</v>
      </c>
      <c r="P20" s="2" t="s">
        <v>146</v>
      </c>
      <c r="Q20" s="2" t="s">
        <v>49</v>
      </c>
      <c r="R20" s="2" t="s">
        <v>146</v>
      </c>
      <c r="S20" s="2" t="s">
        <v>146</v>
      </c>
      <c r="T20" s="2" t="s">
        <v>146</v>
      </c>
      <c r="U20" s="2" t="s">
        <v>146</v>
      </c>
      <c r="V20" s="2" t="s">
        <v>146</v>
      </c>
      <c r="Y20" s="2" t="str">
        <f t="shared" si="0"/>
        <v>Ja</v>
      </c>
      <c r="AA20" s="2" t="str">
        <f t="shared" si="1"/>
        <v>Nej</v>
      </c>
      <c r="AB20" s="2" t="str">
        <f t="shared" si="2"/>
        <v>ET</v>
      </c>
      <c r="AC20" s="2">
        <f t="shared" si="3"/>
        <v>0</v>
      </c>
    </row>
    <row r="21" spans="1:29" ht="14.25" x14ac:dyDescent="0.45">
      <c r="A21" s="2" t="s">
        <v>666</v>
      </c>
      <c r="B21" s="2" t="s">
        <v>670</v>
      </c>
      <c r="C21" s="2">
        <v>2019</v>
      </c>
      <c r="D21" s="2">
        <v>1.2E-2</v>
      </c>
      <c r="E21" s="2" t="s">
        <v>146</v>
      </c>
      <c r="F21" s="2" t="s">
        <v>1034</v>
      </c>
      <c r="G21" s="2">
        <v>1.1000000000000001</v>
      </c>
      <c r="H21" s="2">
        <v>0</v>
      </c>
      <c r="I21" s="2">
        <v>0</v>
      </c>
      <c r="J21" s="2">
        <v>0</v>
      </c>
      <c r="K21" s="2" t="s">
        <v>49</v>
      </c>
      <c r="L21" s="2" t="s">
        <v>146</v>
      </c>
      <c r="M21" s="2" t="s">
        <v>146</v>
      </c>
      <c r="N21" s="2" t="s">
        <v>146</v>
      </c>
      <c r="O21" s="2" t="s">
        <v>146</v>
      </c>
      <c r="P21" s="2" t="s">
        <v>146</v>
      </c>
      <c r="Q21" s="2" t="s">
        <v>49</v>
      </c>
      <c r="R21" s="2" t="s">
        <v>146</v>
      </c>
      <c r="S21" s="2" t="s">
        <v>146</v>
      </c>
      <c r="T21" s="2" t="s">
        <v>146</v>
      </c>
      <c r="U21" s="2" t="s">
        <v>146</v>
      </c>
      <c r="V21" s="2" t="s">
        <v>146</v>
      </c>
      <c r="Y21" s="2" t="str">
        <f t="shared" si="0"/>
        <v>Ja</v>
      </c>
      <c r="AA21" s="2" t="str">
        <f t="shared" si="1"/>
        <v>Nej</v>
      </c>
      <c r="AB21" s="2" t="str">
        <f t="shared" si="2"/>
        <v>ET</v>
      </c>
      <c r="AC21" s="2">
        <f t="shared" si="3"/>
        <v>0</v>
      </c>
    </row>
    <row r="22" spans="1:29" ht="14.25" x14ac:dyDescent="0.45">
      <c r="A22" s="2" t="s">
        <v>666</v>
      </c>
      <c r="B22" s="2" t="s">
        <v>669</v>
      </c>
      <c r="C22" s="2">
        <v>2019</v>
      </c>
      <c r="D22" s="2">
        <v>0.106</v>
      </c>
      <c r="E22" s="2" t="s">
        <v>146</v>
      </c>
      <c r="F22" s="2" t="s">
        <v>1033</v>
      </c>
      <c r="G22" s="2">
        <v>1.1000000000000001</v>
      </c>
      <c r="H22" s="2">
        <v>0</v>
      </c>
      <c r="I22" s="2">
        <v>0</v>
      </c>
      <c r="J22" s="2">
        <v>0</v>
      </c>
      <c r="K22" s="2" t="s">
        <v>49</v>
      </c>
      <c r="L22" s="2" t="s">
        <v>146</v>
      </c>
      <c r="M22" s="2" t="s">
        <v>146</v>
      </c>
      <c r="N22" s="2" t="s">
        <v>146</v>
      </c>
      <c r="O22" s="2" t="s">
        <v>146</v>
      </c>
      <c r="P22" s="2" t="s">
        <v>146</v>
      </c>
      <c r="Q22" s="2" t="s">
        <v>49</v>
      </c>
      <c r="R22" s="2" t="s">
        <v>146</v>
      </c>
      <c r="S22" s="2" t="s">
        <v>146</v>
      </c>
      <c r="T22" s="2" t="s">
        <v>146</v>
      </c>
      <c r="U22" s="2" t="s">
        <v>146</v>
      </c>
      <c r="V22" s="2" t="s">
        <v>146</v>
      </c>
      <c r="Y22" s="2" t="str">
        <f t="shared" si="0"/>
        <v>Ja</v>
      </c>
      <c r="AA22" s="2" t="str">
        <f t="shared" si="1"/>
        <v>Nej</v>
      </c>
      <c r="AB22" s="2" t="str">
        <f t="shared" si="2"/>
        <v>ET</v>
      </c>
      <c r="AC22" s="2">
        <f t="shared" si="3"/>
        <v>0</v>
      </c>
    </row>
    <row r="23" spans="1:29" ht="14.25" x14ac:dyDescent="0.45">
      <c r="A23" s="2" t="s">
        <v>666</v>
      </c>
      <c r="B23" s="2" t="s">
        <v>668</v>
      </c>
      <c r="C23" s="2">
        <v>2019</v>
      </c>
      <c r="D23" s="2">
        <v>2.5680000000000001</v>
      </c>
      <c r="E23" s="2">
        <v>10.8</v>
      </c>
      <c r="F23" s="2" t="s">
        <v>1033</v>
      </c>
      <c r="G23" s="2">
        <v>1.1100000000000001</v>
      </c>
      <c r="H23" s="2">
        <v>0</v>
      </c>
      <c r="I23" s="2">
        <v>0</v>
      </c>
      <c r="J23" s="2">
        <v>0</v>
      </c>
      <c r="K23" s="2" t="s">
        <v>49</v>
      </c>
      <c r="L23" s="2" t="s">
        <v>146</v>
      </c>
      <c r="M23" s="2" t="s">
        <v>146</v>
      </c>
      <c r="N23" s="2" t="s">
        <v>146</v>
      </c>
      <c r="O23" s="2" t="s">
        <v>146</v>
      </c>
      <c r="P23" s="2" t="s">
        <v>146</v>
      </c>
      <c r="Q23" s="2" t="s">
        <v>49</v>
      </c>
      <c r="R23" s="2" t="s">
        <v>146</v>
      </c>
      <c r="S23" s="2" t="s">
        <v>146</v>
      </c>
      <c r="T23" s="2" t="s">
        <v>146</v>
      </c>
      <c r="U23" s="2" t="s">
        <v>146</v>
      </c>
      <c r="V23" s="2" t="s">
        <v>146</v>
      </c>
      <c r="Y23" s="2" t="str">
        <f t="shared" si="0"/>
        <v>Ja</v>
      </c>
      <c r="AA23" s="2" t="str">
        <f t="shared" si="1"/>
        <v>Nej</v>
      </c>
      <c r="AB23" s="2" t="str">
        <f t="shared" si="2"/>
        <v>ET</v>
      </c>
      <c r="AC23" s="2">
        <f t="shared" si="3"/>
        <v>0</v>
      </c>
    </row>
    <row r="24" spans="1:29" ht="14.25" x14ac:dyDescent="0.45">
      <c r="A24" s="2" t="s">
        <v>666</v>
      </c>
      <c r="B24" s="2" t="s">
        <v>667</v>
      </c>
      <c r="C24" s="2">
        <v>2019</v>
      </c>
      <c r="D24" s="2">
        <v>8.1000000000000003E-2</v>
      </c>
      <c r="E24" s="2" t="s">
        <v>146</v>
      </c>
      <c r="F24" s="2" t="s">
        <v>1033</v>
      </c>
      <c r="G24" s="2">
        <v>1.1000000000000001</v>
      </c>
      <c r="H24" s="2">
        <v>0</v>
      </c>
      <c r="I24" s="2">
        <v>0</v>
      </c>
      <c r="J24" s="2">
        <v>0</v>
      </c>
      <c r="K24" s="2" t="s">
        <v>49</v>
      </c>
      <c r="L24" s="2" t="s">
        <v>146</v>
      </c>
      <c r="M24" s="2" t="s">
        <v>146</v>
      </c>
      <c r="N24" s="2" t="s">
        <v>146</v>
      </c>
      <c r="O24" s="2" t="s">
        <v>146</v>
      </c>
      <c r="P24" s="2" t="s">
        <v>146</v>
      </c>
      <c r="Q24" s="2" t="s">
        <v>49</v>
      </c>
      <c r="R24" s="2" t="s">
        <v>146</v>
      </c>
      <c r="S24" s="2" t="s">
        <v>146</v>
      </c>
      <c r="T24" s="2" t="s">
        <v>146</v>
      </c>
      <c r="U24" s="2" t="s">
        <v>146</v>
      </c>
      <c r="V24" s="2" t="s">
        <v>146</v>
      </c>
      <c r="Y24" s="2" t="str">
        <f t="shared" si="0"/>
        <v>Ja</v>
      </c>
      <c r="AA24" s="2" t="str">
        <f t="shared" si="1"/>
        <v>Nej</v>
      </c>
      <c r="AB24" s="2" t="str">
        <f t="shared" si="2"/>
        <v>ET</v>
      </c>
      <c r="AC24" s="2">
        <f t="shared" si="3"/>
        <v>0</v>
      </c>
    </row>
    <row r="25" spans="1:29" ht="14.25" x14ac:dyDescent="0.45">
      <c r="A25" s="2" t="s">
        <v>666</v>
      </c>
      <c r="B25" s="2" t="s">
        <v>665</v>
      </c>
      <c r="C25" s="2">
        <v>2019</v>
      </c>
      <c r="D25" s="2">
        <v>1.0999999999999999E-2</v>
      </c>
      <c r="E25" s="2" t="s">
        <v>146</v>
      </c>
      <c r="F25" s="2" t="s">
        <v>1033</v>
      </c>
      <c r="G25" s="2">
        <v>1.1000000000000001</v>
      </c>
      <c r="H25" s="2">
        <v>0</v>
      </c>
      <c r="I25" s="2">
        <v>0</v>
      </c>
      <c r="J25" s="2">
        <v>0</v>
      </c>
      <c r="K25" s="2" t="s">
        <v>49</v>
      </c>
      <c r="L25" s="2" t="s">
        <v>146</v>
      </c>
      <c r="M25" s="2" t="s">
        <v>146</v>
      </c>
      <c r="N25" s="2" t="s">
        <v>146</v>
      </c>
      <c r="O25" s="2" t="s">
        <v>146</v>
      </c>
      <c r="P25" s="2" t="s">
        <v>146</v>
      </c>
      <c r="Q25" s="2" t="s">
        <v>49</v>
      </c>
      <c r="R25" s="2" t="s">
        <v>146</v>
      </c>
      <c r="S25" s="2" t="s">
        <v>146</v>
      </c>
      <c r="T25" s="2" t="s">
        <v>146</v>
      </c>
      <c r="U25" s="2" t="s">
        <v>146</v>
      </c>
      <c r="V25" s="2" t="s">
        <v>146</v>
      </c>
      <c r="Y25" s="2" t="str">
        <f t="shared" si="0"/>
        <v>Ja</v>
      </c>
      <c r="AA25" s="2" t="str">
        <f t="shared" si="1"/>
        <v>Nej</v>
      </c>
      <c r="AB25" s="2" t="str">
        <f t="shared" si="2"/>
        <v>ET</v>
      </c>
      <c r="AC25" s="2">
        <f t="shared" si="3"/>
        <v>0</v>
      </c>
    </row>
    <row r="26" spans="1:29" ht="14.25" x14ac:dyDescent="0.45">
      <c r="A26" s="2" t="s">
        <v>664</v>
      </c>
      <c r="B26" s="2" t="s">
        <v>663</v>
      </c>
      <c r="C26" s="2">
        <v>2019</v>
      </c>
      <c r="D26" s="2">
        <v>2.8</v>
      </c>
      <c r="E26" s="2" t="s">
        <v>146</v>
      </c>
      <c r="F26" s="2" t="s">
        <v>1032</v>
      </c>
      <c r="G26" s="2">
        <v>0.26</v>
      </c>
      <c r="H26" s="2">
        <v>0</v>
      </c>
      <c r="I26" s="2">
        <v>0</v>
      </c>
      <c r="J26" s="2">
        <v>0</v>
      </c>
      <c r="K26" s="2" t="s">
        <v>49</v>
      </c>
      <c r="L26" s="2" t="s">
        <v>146</v>
      </c>
      <c r="M26" s="2" t="s">
        <v>146</v>
      </c>
      <c r="N26" s="2" t="s">
        <v>146</v>
      </c>
      <c r="O26" s="2" t="s">
        <v>146</v>
      </c>
      <c r="P26" s="2" t="s">
        <v>146</v>
      </c>
      <c r="Q26" s="2" t="s">
        <v>49</v>
      </c>
      <c r="R26" s="2" t="s">
        <v>146</v>
      </c>
      <c r="S26" s="2" t="s">
        <v>146</v>
      </c>
      <c r="T26" s="2" t="s">
        <v>146</v>
      </c>
      <c r="U26" s="2" t="s">
        <v>146</v>
      </c>
      <c r="V26" s="2" t="s">
        <v>146</v>
      </c>
      <c r="Y26" s="2" t="str">
        <f t="shared" si="0"/>
        <v>Ja</v>
      </c>
      <c r="AA26" s="2" t="str">
        <f t="shared" si="1"/>
        <v>Nej</v>
      </c>
      <c r="AB26" s="2" t="str">
        <f t="shared" si="2"/>
        <v>ET</v>
      </c>
      <c r="AC26" s="2">
        <f t="shared" si="3"/>
        <v>0</v>
      </c>
    </row>
    <row r="27" spans="1:29" ht="14.25" x14ac:dyDescent="0.45">
      <c r="A27" s="2" t="s">
        <v>660</v>
      </c>
      <c r="B27" s="2" t="s">
        <v>662</v>
      </c>
      <c r="C27" s="2">
        <v>2019</v>
      </c>
      <c r="D27" s="2" t="s">
        <v>146</v>
      </c>
      <c r="E27" s="2" t="s">
        <v>146</v>
      </c>
      <c r="F27" s="2" t="s">
        <v>1031</v>
      </c>
      <c r="G27" s="2">
        <v>2.2000000000000002</v>
      </c>
      <c r="H27" s="2">
        <v>250.8</v>
      </c>
      <c r="I27" s="2">
        <v>0.35</v>
      </c>
      <c r="J27" s="2">
        <v>0.3977</v>
      </c>
      <c r="K27" s="2" t="s">
        <v>49</v>
      </c>
      <c r="L27" s="2" t="s">
        <v>146</v>
      </c>
      <c r="M27" s="2" t="s">
        <v>146</v>
      </c>
      <c r="N27" s="2" t="s">
        <v>146</v>
      </c>
      <c r="O27" s="2" t="s">
        <v>146</v>
      </c>
      <c r="P27" s="2" t="s">
        <v>146</v>
      </c>
      <c r="Q27" s="2" t="s">
        <v>49</v>
      </c>
      <c r="R27" s="2" t="s">
        <v>146</v>
      </c>
      <c r="S27" s="2" t="s">
        <v>146</v>
      </c>
      <c r="T27" s="2" t="s">
        <v>146</v>
      </c>
      <c r="U27" s="2" t="s">
        <v>146</v>
      </c>
      <c r="V27" s="2" t="s">
        <v>146</v>
      </c>
      <c r="Y27" s="2" t="str">
        <f t="shared" si="0"/>
        <v>Ja</v>
      </c>
      <c r="AA27" s="2" t="str">
        <f t="shared" si="1"/>
        <v>Nej</v>
      </c>
      <c r="AB27" s="2" t="str">
        <f t="shared" si="2"/>
        <v>ET</v>
      </c>
      <c r="AC27" s="2">
        <f t="shared" si="3"/>
        <v>0</v>
      </c>
    </row>
    <row r="28" spans="1:29" ht="14.25" x14ac:dyDescent="0.45">
      <c r="A28" s="2" t="s">
        <v>660</v>
      </c>
      <c r="B28" s="2" t="s">
        <v>661</v>
      </c>
      <c r="C28" s="2">
        <v>2019</v>
      </c>
      <c r="D28" s="2" t="s">
        <v>146</v>
      </c>
      <c r="E28" s="2" t="s">
        <v>146</v>
      </c>
      <c r="F28" s="2" t="s">
        <v>658</v>
      </c>
      <c r="G28" s="2">
        <v>2.2000000000000002</v>
      </c>
      <c r="H28" s="2">
        <v>250.8</v>
      </c>
      <c r="I28" s="2">
        <v>0.35</v>
      </c>
      <c r="J28" s="2">
        <v>0.3977</v>
      </c>
      <c r="K28" s="2" t="s">
        <v>658</v>
      </c>
      <c r="L28" s="2" t="s">
        <v>146</v>
      </c>
      <c r="M28" s="2" t="s">
        <v>146</v>
      </c>
      <c r="N28" s="2" t="s">
        <v>146</v>
      </c>
      <c r="O28" s="2" t="s">
        <v>146</v>
      </c>
      <c r="P28" s="2" t="s">
        <v>146</v>
      </c>
      <c r="Q28" s="2" t="s">
        <v>658</v>
      </c>
      <c r="R28" s="2" t="s">
        <v>146</v>
      </c>
      <c r="S28" s="2" t="s">
        <v>146</v>
      </c>
      <c r="T28" s="2" t="s">
        <v>146</v>
      </c>
      <c r="U28" s="2" t="s">
        <v>146</v>
      </c>
      <c r="V28" s="2" t="s">
        <v>146</v>
      </c>
      <c r="Y28" s="2" t="str">
        <f t="shared" si="0"/>
        <v>Ja</v>
      </c>
      <c r="AA28" s="2" t="str">
        <f t="shared" si="1"/>
        <v>Nej</v>
      </c>
      <c r="AB28" s="2" t="str">
        <f t="shared" si="2"/>
        <v>ET</v>
      </c>
      <c r="AC28" s="2">
        <f t="shared" si="3"/>
        <v>0</v>
      </c>
    </row>
    <row r="29" spans="1:29" ht="14.25" x14ac:dyDescent="0.45">
      <c r="A29" s="2" t="s">
        <v>660</v>
      </c>
      <c r="B29" s="2" t="s">
        <v>659</v>
      </c>
      <c r="C29" s="2">
        <v>2019</v>
      </c>
      <c r="D29" s="2" t="s">
        <v>146</v>
      </c>
      <c r="E29" s="2" t="s">
        <v>146</v>
      </c>
      <c r="F29" s="2" t="s">
        <v>658</v>
      </c>
      <c r="G29" s="2">
        <v>2.2000000000000002</v>
      </c>
      <c r="H29" s="2">
        <v>250.8</v>
      </c>
      <c r="I29" s="2">
        <v>0.35</v>
      </c>
      <c r="J29" s="2">
        <v>0.3977</v>
      </c>
      <c r="K29" s="2" t="s">
        <v>658</v>
      </c>
      <c r="L29" s="2" t="s">
        <v>146</v>
      </c>
      <c r="M29" s="2" t="s">
        <v>146</v>
      </c>
      <c r="N29" s="2" t="s">
        <v>146</v>
      </c>
      <c r="O29" s="2" t="s">
        <v>146</v>
      </c>
      <c r="P29" s="2" t="s">
        <v>146</v>
      </c>
      <c r="Q29" s="2" t="s">
        <v>658</v>
      </c>
      <c r="R29" s="2" t="s">
        <v>146</v>
      </c>
      <c r="S29" s="2" t="s">
        <v>146</v>
      </c>
      <c r="T29" s="2" t="s">
        <v>146</v>
      </c>
      <c r="U29" s="2" t="s">
        <v>146</v>
      </c>
      <c r="V29" s="2" t="s">
        <v>146</v>
      </c>
      <c r="Y29" s="2" t="str">
        <f t="shared" si="0"/>
        <v>Ja</v>
      </c>
      <c r="AA29" s="2" t="str">
        <f t="shared" si="1"/>
        <v>Nej</v>
      </c>
      <c r="AB29" s="2" t="str">
        <f t="shared" si="2"/>
        <v>ET</v>
      </c>
      <c r="AC29" s="2">
        <f t="shared" si="3"/>
        <v>0</v>
      </c>
    </row>
    <row r="30" spans="1:29" ht="14.25" x14ac:dyDescent="0.45">
      <c r="A30" s="2" t="s">
        <v>657</v>
      </c>
      <c r="B30" s="2" t="s">
        <v>656</v>
      </c>
      <c r="C30" s="2">
        <v>2019</v>
      </c>
      <c r="D30" s="2">
        <v>0.51</v>
      </c>
      <c r="E30" s="2" t="s">
        <v>146</v>
      </c>
      <c r="F30" s="2" t="s">
        <v>904</v>
      </c>
      <c r="G30" s="2">
        <v>1.1000000000000001</v>
      </c>
      <c r="H30" s="2">
        <v>0</v>
      </c>
      <c r="I30" s="2">
        <v>0</v>
      </c>
      <c r="J30" s="2">
        <v>0</v>
      </c>
      <c r="K30" s="2" t="s">
        <v>49</v>
      </c>
      <c r="L30" s="2" t="s">
        <v>146</v>
      </c>
      <c r="M30" s="2" t="s">
        <v>146</v>
      </c>
      <c r="N30" s="2" t="s">
        <v>146</v>
      </c>
      <c r="O30" s="2" t="s">
        <v>146</v>
      </c>
      <c r="P30" s="2" t="s">
        <v>146</v>
      </c>
      <c r="Q30" s="2" t="s">
        <v>49</v>
      </c>
      <c r="R30" s="2" t="s">
        <v>146</v>
      </c>
      <c r="S30" s="2" t="s">
        <v>146</v>
      </c>
      <c r="T30" s="2" t="s">
        <v>146</v>
      </c>
      <c r="U30" s="2" t="s">
        <v>146</v>
      </c>
      <c r="V30" s="2" t="s">
        <v>146</v>
      </c>
      <c r="Y30" s="2" t="str">
        <f t="shared" si="0"/>
        <v>Ja</v>
      </c>
      <c r="AA30" s="2" t="str">
        <f t="shared" si="1"/>
        <v>Nej</v>
      </c>
      <c r="AB30" s="2" t="str">
        <f t="shared" si="2"/>
        <v>ET</v>
      </c>
      <c r="AC30" s="2">
        <f t="shared" si="3"/>
        <v>0</v>
      </c>
    </row>
    <row r="31" spans="1:29" ht="14.25" x14ac:dyDescent="0.45">
      <c r="A31" s="2" t="s">
        <v>53</v>
      </c>
      <c r="B31" s="2" t="s">
        <v>54</v>
      </c>
      <c r="C31" s="2">
        <v>2019</v>
      </c>
      <c r="D31" s="2">
        <v>1.177</v>
      </c>
      <c r="E31" s="2" t="s">
        <v>146</v>
      </c>
      <c r="F31" s="2" t="s">
        <v>1030</v>
      </c>
      <c r="G31" s="2">
        <v>2.2000000000000002</v>
      </c>
      <c r="H31" s="2">
        <v>250.8</v>
      </c>
      <c r="I31" s="2">
        <v>0.35</v>
      </c>
      <c r="J31" s="2">
        <v>0.3977</v>
      </c>
      <c r="K31" s="2" t="s">
        <v>49</v>
      </c>
      <c r="L31" s="2" t="s">
        <v>146</v>
      </c>
      <c r="M31" s="2" t="s">
        <v>146</v>
      </c>
      <c r="N31" s="2" t="s">
        <v>146</v>
      </c>
      <c r="O31" s="2" t="s">
        <v>146</v>
      </c>
      <c r="P31" s="2" t="s">
        <v>146</v>
      </c>
      <c r="Q31" s="2" t="s">
        <v>49</v>
      </c>
      <c r="R31" s="2" t="s">
        <v>146</v>
      </c>
      <c r="S31" s="2" t="s">
        <v>146</v>
      </c>
      <c r="T31" s="2" t="s">
        <v>146</v>
      </c>
      <c r="U31" s="2" t="s">
        <v>146</v>
      </c>
      <c r="V31" s="2" t="s">
        <v>146</v>
      </c>
      <c r="Y31" s="2" t="str">
        <f t="shared" si="0"/>
        <v>Ja</v>
      </c>
      <c r="AA31" s="2" t="str">
        <f t="shared" si="1"/>
        <v>Nej</v>
      </c>
      <c r="AB31" s="2" t="str">
        <f t="shared" si="2"/>
        <v>ET</v>
      </c>
      <c r="AC31" s="2">
        <f t="shared" si="3"/>
        <v>0</v>
      </c>
    </row>
    <row r="32" spans="1:29" ht="14.25" x14ac:dyDescent="0.45">
      <c r="A32" s="2" t="s">
        <v>655</v>
      </c>
      <c r="B32" s="2" t="s">
        <v>654</v>
      </c>
      <c r="C32" s="2">
        <v>2019</v>
      </c>
      <c r="D32" s="2">
        <v>3.35</v>
      </c>
      <c r="E32" s="2" t="s">
        <v>146</v>
      </c>
      <c r="F32" s="2" t="s">
        <v>913</v>
      </c>
      <c r="G32" s="2">
        <v>1.1000000000000001</v>
      </c>
      <c r="H32" s="2">
        <v>0</v>
      </c>
      <c r="I32" s="2">
        <v>0</v>
      </c>
      <c r="J32" s="2">
        <v>0</v>
      </c>
      <c r="K32" s="2" t="s">
        <v>49</v>
      </c>
      <c r="L32" s="2" t="s">
        <v>146</v>
      </c>
      <c r="M32" s="2" t="s">
        <v>146</v>
      </c>
      <c r="N32" s="2" t="s">
        <v>146</v>
      </c>
      <c r="O32" s="2" t="s">
        <v>146</v>
      </c>
      <c r="P32" s="2" t="s">
        <v>146</v>
      </c>
      <c r="Q32" s="2" t="s">
        <v>49</v>
      </c>
      <c r="R32" s="2" t="s">
        <v>146</v>
      </c>
      <c r="S32" s="2" t="s">
        <v>146</v>
      </c>
      <c r="T32" s="2" t="s">
        <v>146</v>
      </c>
      <c r="U32" s="2" t="s">
        <v>146</v>
      </c>
      <c r="V32" s="2" t="s">
        <v>146</v>
      </c>
      <c r="Y32" s="2" t="str">
        <f t="shared" si="0"/>
        <v>Ja</v>
      </c>
      <c r="AA32" s="2" t="str">
        <f t="shared" si="1"/>
        <v>Nej</v>
      </c>
      <c r="AB32" s="2" t="str">
        <f t="shared" si="2"/>
        <v>ET</v>
      </c>
      <c r="AC32" s="2">
        <f t="shared" si="3"/>
        <v>0</v>
      </c>
    </row>
    <row r="33" spans="1:29" ht="14.25" x14ac:dyDescent="0.45">
      <c r="A33" s="2" t="s">
        <v>653</v>
      </c>
      <c r="B33" s="2" t="s">
        <v>652</v>
      </c>
      <c r="C33" s="2">
        <v>2019</v>
      </c>
      <c r="D33" s="2">
        <v>0.06</v>
      </c>
      <c r="E33" s="2" t="s">
        <v>146</v>
      </c>
      <c r="F33" s="2" t="s">
        <v>916</v>
      </c>
      <c r="G33" s="2">
        <v>1.1000000000000001</v>
      </c>
      <c r="H33" s="2">
        <v>250.8</v>
      </c>
      <c r="I33" s="2">
        <v>0</v>
      </c>
      <c r="J33" s="2">
        <v>0</v>
      </c>
      <c r="K33" s="2" t="s">
        <v>49</v>
      </c>
      <c r="L33" s="2" t="s">
        <v>146</v>
      </c>
      <c r="M33" s="2" t="s">
        <v>146</v>
      </c>
      <c r="N33" s="2" t="s">
        <v>146</v>
      </c>
      <c r="O33" s="2" t="s">
        <v>146</v>
      </c>
      <c r="P33" s="2" t="s">
        <v>146</v>
      </c>
      <c r="Q33" s="2" t="s">
        <v>49</v>
      </c>
      <c r="R33" s="2" t="s">
        <v>146</v>
      </c>
      <c r="S33" s="2" t="s">
        <v>146</v>
      </c>
      <c r="T33" s="2" t="s">
        <v>146</v>
      </c>
      <c r="U33" s="2" t="s">
        <v>146</v>
      </c>
      <c r="V33" s="2" t="s">
        <v>146</v>
      </c>
      <c r="Y33" s="2" t="str">
        <f t="shared" si="0"/>
        <v>Ja</v>
      </c>
      <c r="AA33" s="2" t="str">
        <f t="shared" si="1"/>
        <v>Nej</v>
      </c>
      <c r="AB33" s="2" t="str">
        <f t="shared" si="2"/>
        <v>ET</v>
      </c>
      <c r="AC33" s="2">
        <f t="shared" si="3"/>
        <v>0</v>
      </c>
    </row>
    <row r="34" spans="1:29" ht="14.25" x14ac:dyDescent="0.45">
      <c r="A34" s="2" t="s">
        <v>651</v>
      </c>
      <c r="B34" s="2" t="s">
        <v>62</v>
      </c>
      <c r="C34" s="2">
        <v>2019</v>
      </c>
      <c r="D34" s="2">
        <v>2.73</v>
      </c>
      <c r="E34" s="2">
        <v>9.9</v>
      </c>
      <c r="F34" s="2" t="s">
        <v>49</v>
      </c>
      <c r="G34" s="2">
        <v>2.2000000000000002</v>
      </c>
      <c r="H34" s="2">
        <v>250.8</v>
      </c>
      <c r="I34" s="2">
        <v>0.35</v>
      </c>
      <c r="J34" s="2">
        <v>0.3977</v>
      </c>
      <c r="K34" s="2" t="s">
        <v>49</v>
      </c>
      <c r="L34" s="2" t="s">
        <v>146</v>
      </c>
      <c r="M34" s="2" t="s">
        <v>146</v>
      </c>
      <c r="N34" s="2" t="s">
        <v>146</v>
      </c>
      <c r="O34" s="2" t="s">
        <v>146</v>
      </c>
      <c r="P34" s="2" t="s">
        <v>146</v>
      </c>
      <c r="Q34" s="2" t="s">
        <v>49</v>
      </c>
      <c r="R34" s="2" t="s">
        <v>146</v>
      </c>
      <c r="S34" s="2" t="s">
        <v>146</v>
      </c>
      <c r="T34" s="2" t="s">
        <v>146</v>
      </c>
      <c r="U34" s="2" t="s">
        <v>146</v>
      </c>
      <c r="V34" s="2" t="s">
        <v>146</v>
      </c>
      <c r="Y34" s="2" t="str">
        <f t="shared" si="0"/>
        <v>Ja</v>
      </c>
      <c r="AA34" s="2" t="str">
        <f t="shared" si="1"/>
        <v>Nej</v>
      </c>
      <c r="AB34" s="2" t="str">
        <f t="shared" si="2"/>
        <v>ET</v>
      </c>
      <c r="AC34" s="2">
        <f t="shared" si="3"/>
        <v>0</v>
      </c>
    </row>
    <row r="35" spans="1:29" ht="14.25" x14ac:dyDescent="0.45">
      <c r="A35" s="2" t="s">
        <v>647</v>
      </c>
      <c r="B35" s="2" t="s">
        <v>650</v>
      </c>
      <c r="C35" s="2">
        <v>2019</v>
      </c>
      <c r="D35" s="2">
        <v>0.51500000000000001</v>
      </c>
      <c r="E35" s="2" t="s">
        <v>146</v>
      </c>
      <c r="F35" s="2" t="s">
        <v>913</v>
      </c>
      <c r="G35" s="2">
        <v>1.1000000000000001</v>
      </c>
      <c r="H35" s="2">
        <v>0</v>
      </c>
      <c r="I35" s="2">
        <v>0</v>
      </c>
      <c r="J35" s="2">
        <v>0</v>
      </c>
      <c r="K35" s="2" t="s">
        <v>49</v>
      </c>
      <c r="L35" s="2" t="s">
        <v>146</v>
      </c>
      <c r="M35" s="2" t="s">
        <v>146</v>
      </c>
      <c r="N35" s="2" t="s">
        <v>146</v>
      </c>
      <c r="O35" s="2" t="s">
        <v>146</v>
      </c>
      <c r="P35" s="2" t="s">
        <v>146</v>
      </c>
      <c r="Q35" s="2" t="s">
        <v>49</v>
      </c>
      <c r="R35" s="2" t="s">
        <v>146</v>
      </c>
      <c r="S35" s="2" t="s">
        <v>146</v>
      </c>
      <c r="T35" s="2" t="s">
        <v>146</v>
      </c>
      <c r="U35" s="2" t="s">
        <v>146</v>
      </c>
      <c r="V35" s="2" t="s">
        <v>146</v>
      </c>
      <c r="Y35" s="2" t="str">
        <f t="shared" si="0"/>
        <v>Ja</v>
      </c>
      <c r="AA35" s="2" t="str">
        <f t="shared" si="1"/>
        <v>Nej</v>
      </c>
      <c r="AB35" s="2" t="str">
        <f t="shared" si="2"/>
        <v>ET</v>
      </c>
      <c r="AC35" s="2">
        <f t="shared" si="3"/>
        <v>0</v>
      </c>
    </row>
    <row r="36" spans="1:29" ht="14.25" x14ac:dyDescent="0.45">
      <c r="A36" s="2" t="s">
        <v>647</v>
      </c>
      <c r="B36" s="2" t="s">
        <v>649</v>
      </c>
      <c r="C36" s="2">
        <v>2019</v>
      </c>
      <c r="D36" s="2">
        <v>1.85</v>
      </c>
      <c r="E36" s="2">
        <v>7.8</v>
      </c>
      <c r="F36" s="2" t="s">
        <v>913</v>
      </c>
      <c r="G36" s="2">
        <v>1.1000000000000001</v>
      </c>
      <c r="H36" s="2">
        <v>0</v>
      </c>
      <c r="I36" s="2">
        <v>0</v>
      </c>
      <c r="J36" s="2">
        <v>0</v>
      </c>
      <c r="K36" s="2" t="s">
        <v>49</v>
      </c>
      <c r="L36" s="2" t="s">
        <v>146</v>
      </c>
      <c r="M36" s="2" t="s">
        <v>146</v>
      </c>
      <c r="N36" s="2" t="s">
        <v>146</v>
      </c>
      <c r="O36" s="2" t="s">
        <v>146</v>
      </c>
      <c r="P36" s="2" t="s">
        <v>146</v>
      </c>
      <c r="Q36" s="2" t="s">
        <v>49</v>
      </c>
      <c r="R36" s="2" t="s">
        <v>146</v>
      </c>
      <c r="S36" s="2" t="s">
        <v>146</v>
      </c>
      <c r="T36" s="2" t="s">
        <v>146</v>
      </c>
      <c r="U36" s="2" t="s">
        <v>146</v>
      </c>
      <c r="V36" s="2" t="s">
        <v>146</v>
      </c>
      <c r="Y36" s="2" t="str">
        <f t="shared" si="0"/>
        <v>Ja</v>
      </c>
      <c r="AA36" s="2" t="str">
        <f t="shared" si="1"/>
        <v>Nej</v>
      </c>
      <c r="AB36" s="2" t="str">
        <f t="shared" si="2"/>
        <v>ET</v>
      </c>
      <c r="AC36" s="2">
        <f t="shared" si="3"/>
        <v>0</v>
      </c>
    </row>
    <row r="37" spans="1:29" ht="14.25" x14ac:dyDescent="0.45">
      <c r="A37" s="2" t="s">
        <v>647</v>
      </c>
      <c r="B37" s="2" t="s">
        <v>646</v>
      </c>
      <c r="C37" s="2">
        <v>2019</v>
      </c>
      <c r="D37" s="2">
        <v>0.59499999999999997</v>
      </c>
      <c r="E37" s="2" t="s">
        <v>146</v>
      </c>
      <c r="F37" s="2" t="s">
        <v>913</v>
      </c>
      <c r="G37" s="2">
        <v>1.1000000000000001</v>
      </c>
      <c r="H37" s="2">
        <v>0</v>
      </c>
      <c r="I37" s="2">
        <v>0</v>
      </c>
      <c r="J37" s="2">
        <v>0</v>
      </c>
      <c r="K37" s="2" t="s">
        <v>49</v>
      </c>
      <c r="L37" s="2" t="s">
        <v>146</v>
      </c>
      <c r="M37" s="2" t="s">
        <v>146</v>
      </c>
      <c r="N37" s="2" t="s">
        <v>146</v>
      </c>
      <c r="O37" s="2" t="s">
        <v>146</v>
      </c>
      <c r="P37" s="2" t="s">
        <v>146</v>
      </c>
      <c r="Q37" s="2" t="s">
        <v>49</v>
      </c>
      <c r="R37" s="2" t="s">
        <v>146</v>
      </c>
      <c r="S37" s="2" t="s">
        <v>146</v>
      </c>
      <c r="T37" s="2" t="s">
        <v>146</v>
      </c>
      <c r="U37" s="2" t="s">
        <v>146</v>
      </c>
      <c r="V37" s="2" t="s">
        <v>146</v>
      </c>
      <c r="Y37" s="2" t="str">
        <f t="shared" si="0"/>
        <v>Ja</v>
      </c>
      <c r="AA37" s="2" t="str">
        <f t="shared" si="1"/>
        <v>Nej</v>
      </c>
      <c r="AB37" s="2" t="str">
        <f t="shared" si="2"/>
        <v>ET</v>
      </c>
      <c r="AC37" s="2">
        <f t="shared" si="3"/>
        <v>0</v>
      </c>
    </row>
    <row r="38" spans="1:29" ht="14.25" x14ac:dyDescent="0.45">
      <c r="A38" s="2" t="s">
        <v>644</v>
      </c>
      <c r="B38" s="2" t="s">
        <v>645</v>
      </c>
      <c r="C38" s="2">
        <v>2019</v>
      </c>
      <c r="D38" s="2" t="s">
        <v>146</v>
      </c>
      <c r="E38" s="2" t="s">
        <v>146</v>
      </c>
      <c r="F38" s="2" t="s">
        <v>146</v>
      </c>
      <c r="G38" s="2">
        <v>2.2000000000000002</v>
      </c>
      <c r="H38" s="2">
        <v>250.8</v>
      </c>
      <c r="I38" s="2">
        <v>0.35</v>
      </c>
      <c r="J38" s="2">
        <v>0.3977</v>
      </c>
      <c r="K38" s="2" t="s">
        <v>49</v>
      </c>
      <c r="L38" s="2" t="s">
        <v>146</v>
      </c>
      <c r="M38" s="2" t="s">
        <v>146</v>
      </c>
      <c r="N38" s="2" t="s">
        <v>146</v>
      </c>
      <c r="O38" s="2" t="s">
        <v>146</v>
      </c>
      <c r="P38" s="2" t="s">
        <v>146</v>
      </c>
      <c r="Q38" s="2" t="s">
        <v>49</v>
      </c>
      <c r="R38" s="2" t="s">
        <v>146</v>
      </c>
      <c r="S38" s="2" t="s">
        <v>146</v>
      </c>
      <c r="T38" s="2" t="s">
        <v>146</v>
      </c>
      <c r="U38" s="2" t="s">
        <v>146</v>
      </c>
      <c r="V38" s="2" t="s">
        <v>146</v>
      </c>
      <c r="Y38" s="2" t="str">
        <f t="shared" si="0"/>
        <v>Ja</v>
      </c>
      <c r="AA38" s="2" t="str">
        <f t="shared" si="1"/>
        <v>Nej</v>
      </c>
      <c r="AB38" s="2" t="str">
        <f t="shared" si="2"/>
        <v>ET</v>
      </c>
      <c r="AC38" s="2">
        <f t="shared" si="3"/>
        <v>0</v>
      </c>
    </row>
    <row r="39" spans="1:29" ht="14.25" x14ac:dyDescent="0.45">
      <c r="A39" s="2" t="s">
        <v>644</v>
      </c>
      <c r="B39" s="2" t="s">
        <v>643</v>
      </c>
      <c r="C39" s="2">
        <v>2019</v>
      </c>
      <c r="D39" s="2" t="s">
        <v>146</v>
      </c>
      <c r="E39" s="2" t="s">
        <v>146</v>
      </c>
      <c r="F39" s="2" t="s">
        <v>49</v>
      </c>
      <c r="G39" s="2">
        <v>2.2000000000000002</v>
      </c>
      <c r="H39" s="2">
        <v>250.8</v>
      </c>
      <c r="I39" s="2">
        <v>0.35</v>
      </c>
      <c r="J39" s="2">
        <v>0.3977</v>
      </c>
      <c r="K39" s="2" t="s">
        <v>49</v>
      </c>
      <c r="L39" s="2" t="s">
        <v>146</v>
      </c>
      <c r="M39" s="2" t="s">
        <v>146</v>
      </c>
      <c r="N39" s="2" t="s">
        <v>146</v>
      </c>
      <c r="O39" s="2" t="s">
        <v>146</v>
      </c>
      <c r="P39" s="2" t="s">
        <v>146</v>
      </c>
      <c r="Q39" s="2" t="s">
        <v>49</v>
      </c>
      <c r="R39" s="2" t="s">
        <v>146</v>
      </c>
      <c r="S39" s="2" t="s">
        <v>146</v>
      </c>
      <c r="T39" s="2" t="s">
        <v>146</v>
      </c>
      <c r="U39" s="2" t="s">
        <v>146</v>
      </c>
      <c r="V39" s="2" t="s">
        <v>146</v>
      </c>
      <c r="Y39" s="2" t="str">
        <f t="shared" si="0"/>
        <v>Ja</v>
      </c>
      <c r="AA39" s="2" t="str">
        <f t="shared" si="1"/>
        <v>Nej</v>
      </c>
      <c r="AB39" s="2" t="str">
        <f t="shared" si="2"/>
        <v>ET</v>
      </c>
      <c r="AC39" s="2">
        <f t="shared" si="3"/>
        <v>0</v>
      </c>
    </row>
    <row r="40" spans="1:29" ht="14.25" x14ac:dyDescent="0.45">
      <c r="A40" s="2" t="s">
        <v>640</v>
      </c>
      <c r="B40" s="2" t="s">
        <v>642</v>
      </c>
      <c r="C40" s="2">
        <v>2019</v>
      </c>
      <c r="D40" s="2">
        <v>3.5680000000000001</v>
      </c>
      <c r="E40" s="2">
        <v>6.7270000000000003</v>
      </c>
      <c r="F40" s="2" t="s">
        <v>913</v>
      </c>
      <c r="G40" s="2">
        <v>1.1000000000000001</v>
      </c>
      <c r="H40" s="2">
        <v>0</v>
      </c>
      <c r="I40" s="2">
        <v>0</v>
      </c>
      <c r="J40" s="2">
        <v>0</v>
      </c>
      <c r="K40" s="2" t="s">
        <v>1029</v>
      </c>
      <c r="L40" s="2">
        <v>2.8555000000000001</v>
      </c>
      <c r="M40" s="2">
        <v>0.03</v>
      </c>
      <c r="N40" s="2">
        <v>8.9600000000000009</v>
      </c>
      <c r="O40" s="2">
        <v>6.92</v>
      </c>
      <c r="P40" s="2">
        <v>0</v>
      </c>
      <c r="Q40" s="2" t="s">
        <v>1029</v>
      </c>
      <c r="R40" s="2">
        <v>50.125</v>
      </c>
      <c r="S40" s="2">
        <v>0.03</v>
      </c>
      <c r="T40" s="2">
        <v>8.9600000000000009</v>
      </c>
      <c r="U40" s="2">
        <v>6.92</v>
      </c>
      <c r="V40" s="2">
        <v>0</v>
      </c>
      <c r="Y40" s="2" t="str">
        <f t="shared" si="0"/>
        <v>Ja</v>
      </c>
      <c r="AA40" s="2" t="str">
        <f t="shared" si="1"/>
        <v>Nej</v>
      </c>
      <c r="AB40" s="2">
        <f t="shared" si="2"/>
        <v>2.8555000000000001</v>
      </c>
      <c r="AC40" s="2">
        <f t="shared" si="3"/>
        <v>0</v>
      </c>
    </row>
    <row r="41" spans="1:29" ht="14.25" x14ac:dyDescent="0.45">
      <c r="A41" s="2" t="s">
        <v>640</v>
      </c>
      <c r="B41" s="2" t="s">
        <v>641</v>
      </c>
      <c r="C41" s="2">
        <v>2019</v>
      </c>
      <c r="D41" s="2">
        <v>5.5999999999999999E-3</v>
      </c>
      <c r="E41" s="2" t="s">
        <v>146</v>
      </c>
      <c r="F41" s="2" t="s">
        <v>913</v>
      </c>
      <c r="G41" s="2">
        <v>1.1000000000000001</v>
      </c>
      <c r="H41" s="2">
        <v>0</v>
      </c>
      <c r="I41" s="2">
        <v>0</v>
      </c>
      <c r="J41" s="2">
        <v>0</v>
      </c>
      <c r="K41" s="2" t="s">
        <v>49</v>
      </c>
      <c r="L41" s="2" t="s">
        <v>146</v>
      </c>
      <c r="M41" s="2" t="s">
        <v>146</v>
      </c>
      <c r="N41" s="2" t="s">
        <v>146</v>
      </c>
      <c r="O41" s="2" t="s">
        <v>146</v>
      </c>
      <c r="P41" s="2" t="s">
        <v>146</v>
      </c>
      <c r="Q41" s="2" t="s">
        <v>49</v>
      </c>
      <c r="R41" s="2" t="s">
        <v>146</v>
      </c>
      <c r="S41" s="2" t="s">
        <v>146</v>
      </c>
      <c r="T41" s="2" t="s">
        <v>146</v>
      </c>
      <c r="U41" s="2" t="s">
        <v>146</v>
      </c>
      <c r="V41" s="2" t="s">
        <v>146</v>
      </c>
      <c r="Y41" s="2" t="str">
        <f t="shared" si="0"/>
        <v>Ja</v>
      </c>
      <c r="AA41" s="2" t="str">
        <f t="shared" si="1"/>
        <v>Nej</v>
      </c>
      <c r="AB41" s="2" t="str">
        <f t="shared" si="2"/>
        <v>ET</v>
      </c>
      <c r="AC41" s="2">
        <f t="shared" si="3"/>
        <v>0</v>
      </c>
    </row>
    <row r="42" spans="1:29" ht="14.25" x14ac:dyDescent="0.45">
      <c r="A42" s="2" t="s">
        <v>640</v>
      </c>
      <c r="B42" s="2" t="s">
        <v>639</v>
      </c>
      <c r="C42" s="2">
        <v>2019</v>
      </c>
      <c r="D42" s="2">
        <v>9.2999999999999999E-2</v>
      </c>
      <c r="E42" s="2" t="s">
        <v>146</v>
      </c>
      <c r="F42" s="2" t="s">
        <v>913</v>
      </c>
      <c r="G42" s="2">
        <v>1.1000000000000001</v>
      </c>
      <c r="H42" s="2">
        <v>0</v>
      </c>
      <c r="I42" s="2">
        <v>0</v>
      </c>
      <c r="J42" s="2">
        <v>0</v>
      </c>
      <c r="K42" s="2" t="s">
        <v>49</v>
      </c>
      <c r="L42" s="2" t="s">
        <v>146</v>
      </c>
      <c r="M42" s="2" t="s">
        <v>146</v>
      </c>
      <c r="N42" s="2" t="s">
        <v>146</v>
      </c>
      <c r="O42" s="2" t="s">
        <v>146</v>
      </c>
      <c r="P42" s="2" t="s">
        <v>146</v>
      </c>
      <c r="Q42" s="2" t="s">
        <v>49</v>
      </c>
      <c r="R42" s="2" t="s">
        <v>146</v>
      </c>
      <c r="S42" s="2" t="s">
        <v>146</v>
      </c>
      <c r="T42" s="2" t="s">
        <v>146</v>
      </c>
      <c r="U42" s="2" t="s">
        <v>146</v>
      </c>
      <c r="V42" s="2" t="s">
        <v>146</v>
      </c>
      <c r="Y42" s="2" t="str">
        <f t="shared" si="0"/>
        <v>Ja</v>
      </c>
      <c r="AA42" s="2" t="str">
        <f t="shared" si="1"/>
        <v>Nej</v>
      </c>
      <c r="AB42" s="2" t="str">
        <f t="shared" si="2"/>
        <v>ET</v>
      </c>
      <c r="AC42" s="2">
        <f t="shared" si="3"/>
        <v>0</v>
      </c>
    </row>
    <row r="43" spans="1:29" ht="14.25" x14ac:dyDescent="0.45">
      <c r="A43" s="2" t="s">
        <v>637</v>
      </c>
      <c r="B43" s="2" t="s">
        <v>638</v>
      </c>
      <c r="C43" s="2">
        <v>2019</v>
      </c>
      <c r="D43" s="2">
        <v>2.3359999999999999</v>
      </c>
      <c r="E43" s="2">
        <v>27.350999999999999</v>
      </c>
      <c r="F43" s="2" t="s">
        <v>1028</v>
      </c>
      <c r="G43" s="2">
        <v>1.05</v>
      </c>
      <c r="H43" s="2">
        <v>0</v>
      </c>
      <c r="I43" s="2">
        <v>0</v>
      </c>
      <c r="J43" s="2">
        <v>0</v>
      </c>
      <c r="K43" s="2" t="s">
        <v>49</v>
      </c>
      <c r="L43" s="2" t="s">
        <v>146</v>
      </c>
      <c r="M43" s="2" t="s">
        <v>146</v>
      </c>
      <c r="N43" s="2" t="s">
        <v>146</v>
      </c>
      <c r="O43" s="2" t="s">
        <v>146</v>
      </c>
      <c r="P43" s="2" t="s">
        <v>146</v>
      </c>
      <c r="Q43" s="2" t="s">
        <v>1027</v>
      </c>
      <c r="R43" s="2">
        <v>5.6719999999999997</v>
      </c>
      <c r="S43" s="2">
        <v>0.03</v>
      </c>
      <c r="T43" s="2">
        <v>0</v>
      </c>
      <c r="U43" s="2">
        <v>0</v>
      </c>
      <c r="V43" s="2">
        <v>0</v>
      </c>
      <c r="Y43" s="2" t="str">
        <f t="shared" si="0"/>
        <v>Ja</v>
      </c>
      <c r="AA43" s="2" t="str">
        <f t="shared" si="1"/>
        <v>Nej</v>
      </c>
      <c r="AB43" s="2" t="str">
        <f t="shared" si="2"/>
        <v>ET</v>
      </c>
      <c r="AC43" s="2">
        <f t="shared" si="3"/>
        <v>0</v>
      </c>
    </row>
    <row r="44" spans="1:29" ht="14.25" x14ac:dyDescent="0.45">
      <c r="A44" s="2" t="s">
        <v>637</v>
      </c>
      <c r="B44" s="2" t="s">
        <v>636</v>
      </c>
      <c r="C44" s="2">
        <v>2019</v>
      </c>
      <c r="D44" s="2">
        <v>0.161</v>
      </c>
      <c r="E44" s="2" t="s">
        <v>146</v>
      </c>
      <c r="F44" s="2" t="s">
        <v>1026</v>
      </c>
      <c r="G44" s="2">
        <v>1.05</v>
      </c>
      <c r="H44" s="2">
        <v>0</v>
      </c>
      <c r="I44" s="2">
        <v>0</v>
      </c>
      <c r="J44" s="2">
        <v>0</v>
      </c>
      <c r="K44" s="2" t="s">
        <v>176</v>
      </c>
      <c r="L44" s="2" t="s">
        <v>146</v>
      </c>
      <c r="M44" s="2" t="s">
        <v>146</v>
      </c>
      <c r="N44" s="2" t="s">
        <v>146</v>
      </c>
      <c r="O44" s="2" t="s">
        <v>146</v>
      </c>
      <c r="P44" s="2" t="s">
        <v>146</v>
      </c>
      <c r="Q44" s="2" t="s">
        <v>176</v>
      </c>
      <c r="R44" s="2" t="s">
        <v>146</v>
      </c>
      <c r="S44" s="2" t="s">
        <v>146</v>
      </c>
      <c r="T44" s="2" t="s">
        <v>146</v>
      </c>
      <c r="U44" s="2" t="s">
        <v>146</v>
      </c>
      <c r="V44" s="2" t="s">
        <v>146</v>
      </c>
      <c r="Y44" s="2" t="str">
        <f t="shared" si="0"/>
        <v>Ja</v>
      </c>
      <c r="AA44" s="2" t="str">
        <f t="shared" si="1"/>
        <v>Nej</v>
      </c>
      <c r="AB44" s="2" t="str">
        <f t="shared" si="2"/>
        <v>ET</v>
      </c>
      <c r="AC44" s="2">
        <f t="shared" si="3"/>
        <v>0</v>
      </c>
    </row>
    <row r="45" spans="1:29" ht="14.25" x14ac:dyDescent="0.45">
      <c r="A45" s="2" t="s">
        <v>635</v>
      </c>
      <c r="B45" s="2" t="s">
        <v>634</v>
      </c>
      <c r="C45" s="2">
        <v>2019</v>
      </c>
      <c r="D45" s="2">
        <v>0.13500000000000001</v>
      </c>
      <c r="E45" s="2" t="s">
        <v>146</v>
      </c>
      <c r="F45" s="2" t="s">
        <v>992</v>
      </c>
      <c r="G45" s="2">
        <v>1.1000000000000001</v>
      </c>
      <c r="H45" s="2">
        <v>0</v>
      </c>
      <c r="I45" s="2">
        <v>0</v>
      </c>
      <c r="J45" s="2">
        <v>0</v>
      </c>
      <c r="K45" s="2" t="s">
        <v>49</v>
      </c>
      <c r="L45" s="2" t="s">
        <v>146</v>
      </c>
      <c r="M45" s="2" t="s">
        <v>146</v>
      </c>
      <c r="N45" s="2" t="s">
        <v>146</v>
      </c>
      <c r="O45" s="2" t="s">
        <v>146</v>
      </c>
      <c r="P45" s="2" t="s">
        <v>146</v>
      </c>
      <c r="Q45" s="2" t="s">
        <v>49</v>
      </c>
      <c r="R45" s="2" t="s">
        <v>146</v>
      </c>
      <c r="S45" s="2" t="s">
        <v>146</v>
      </c>
      <c r="T45" s="2" t="s">
        <v>146</v>
      </c>
      <c r="U45" s="2" t="s">
        <v>146</v>
      </c>
      <c r="V45" s="2" t="s">
        <v>146</v>
      </c>
      <c r="Y45" s="2" t="str">
        <f t="shared" si="0"/>
        <v>Ja</v>
      </c>
      <c r="AA45" s="2" t="str">
        <f t="shared" si="1"/>
        <v>Nej</v>
      </c>
      <c r="AB45" s="2" t="str">
        <f t="shared" si="2"/>
        <v>ET</v>
      </c>
      <c r="AC45" s="2">
        <f t="shared" si="3"/>
        <v>0</v>
      </c>
    </row>
    <row r="46" spans="1:29" ht="14.25" x14ac:dyDescent="0.45">
      <c r="A46" s="2" t="s">
        <v>633</v>
      </c>
      <c r="B46" s="2" t="s">
        <v>65</v>
      </c>
      <c r="C46" s="2">
        <v>2019</v>
      </c>
      <c r="D46" s="2" t="s">
        <v>146</v>
      </c>
      <c r="E46" s="2" t="s">
        <v>146</v>
      </c>
      <c r="F46" s="2" t="s">
        <v>1025</v>
      </c>
      <c r="G46" s="2">
        <v>2.2000000000000002</v>
      </c>
      <c r="H46" s="2">
        <v>250.8</v>
      </c>
      <c r="I46" s="2">
        <v>0.35</v>
      </c>
      <c r="J46" s="2">
        <v>0.3977</v>
      </c>
      <c r="K46" s="2" t="s">
        <v>49</v>
      </c>
      <c r="L46" s="2" t="s">
        <v>146</v>
      </c>
      <c r="M46" s="2" t="s">
        <v>146</v>
      </c>
      <c r="N46" s="2" t="s">
        <v>146</v>
      </c>
      <c r="O46" s="2" t="s">
        <v>146</v>
      </c>
      <c r="P46" s="2" t="s">
        <v>146</v>
      </c>
      <c r="Q46" s="2" t="s">
        <v>49</v>
      </c>
      <c r="R46" s="2" t="s">
        <v>146</v>
      </c>
      <c r="S46" s="2" t="s">
        <v>146</v>
      </c>
      <c r="T46" s="2" t="s">
        <v>146</v>
      </c>
      <c r="U46" s="2" t="s">
        <v>146</v>
      </c>
      <c r="V46" s="2" t="s">
        <v>146</v>
      </c>
      <c r="Y46" s="2" t="str">
        <f t="shared" si="0"/>
        <v>Ja</v>
      </c>
      <c r="AA46" s="2" t="str">
        <f t="shared" si="1"/>
        <v>Nej</v>
      </c>
      <c r="AB46" s="2" t="str">
        <f t="shared" si="2"/>
        <v>ET</v>
      </c>
      <c r="AC46" s="2">
        <f t="shared" si="3"/>
        <v>0</v>
      </c>
    </row>
    <row r="47" spans="1:29" ht="14.25" x14ac:dyDescent="0.45">
      <c r="A47" s="2" t="s">
        <v>631</v>
      </c>
      <c r="B47" s="2" t="s">
        <v>632</v>
      </c>
      <c r="C47" s="2">
        <v>2019</v>
      </c>
      <c r="D47" s="2">
        <v>0.13800000000000001</v>
      </c>
      <c r="E47" s="2" t="s">
        <v>146</v>
      </c>
      <c r="F47" s="2" t="s">
        <v>1024</v>
      </c>
      <c r="G47" s="2">
        <v>0.13600000000000001</v>
      </c>
      <c r="H47" s="2">
        <v>0</v>
      </c>
      <c r="I47" s="2">
        <v>0</v>
      </c>
      <c r="J47" s="2">
        <v>0</v>
      </c>
      <c r="K47" s="2" t="s">
        <v>49</v>
      </c>
      <c r="L47" s="2" t="s">
        <v>146</v>
      </c>
      <c r="M47" s="2" t="s">
        <v>146</v>
      </c>
      <c r="N47" s="2" t="s">
        <v>146</v>
      </c>
      <c r="O47" s="2" t="s">
        <v>146</v>
      </c>
      <c r="P47" s="2" t="s">
        <v>146</v>
      </c>
      <c r="Q47" s="2" t="s">
        <v>49</v>
      </c>
      <c r="R47" s="2" t="s">
        <v>146</v>
      </c>
      <c r="S47" s="2" t="s">
        <v>146</v>
      </c>
      <c r="T47" s="2" t="s">
        <v>146</v>
      </c>
      <c r="U47" s="2" t="s">
        <v>146</v>
      </c>
      <c r="V47" s="2" t="s">
        <v>146</v>
      </c>
      <c r="Y47" s="2" t="str">
        <f t="shared" si="0"/>
        <v>Ja</v>
      </c>
      <c r="AA47" s="2" t="str">
        <f t="shared" si="1"/>
        <v>Nej</v>
      </c>
      <c r="AB47" s="2" t="str">
        <f t="shared" si="2"/>
        <v>ET</v>
      </c>
      <c r="AC47" s="2">
        <f t="shared" si="3"/>
        <v>0</v>
      </c>
    </row>
    <row r="48" spans="1:29" ht="14.25" x14ac:dyDescent="0.45">
      <c r="A48" s="2" t="s">
        <v>631</v>
      </c>
      <c r="B48" s="2" t="s">
        <v>630</v>
      </c>
      <c r="C48" s="2">
        <v>2019</v>
      </c>
      <c r="D48" s="2">
        <v>0.624</v>
      </c>
      <c r="E48" s="2">
        <v>16.786999999999999</v>
      </c>
      <c r="F48" s="2" t="s">
        <v>1023</v>
      </c>
      <c r="G48" s="2">
        <v>0.13600000000000001</v>
      </c>
      <c r="H48" s="2">
        <v>0</v>
      </c>
      <c r="I48" s="2">
        <v>0</v>
      </c>
      <c r="J48" s="2">
        <v>0</v>
      </c>
      <c r="K48" s="2" t="s">
        <v>49</v>
      </c>
      <c r="L48" s="2" t="s">
        <v>146</v>
      </c>
      <c r="M48" s="2" t="s">
        <v>146</v>
      </c>
      <c r="N48" s="2" t="s">
        <v>146</v>
      </c>
      <c r="O48" s="2" t="s">
        <v>146</v>
      </c>
      <c r="P48" s="2" t="s">
        <v>146</v>
      </c>
      <c r="Q48" s="2" t="s">
        <v>49</v>
      </c>
      <c r="R48" s="2" t="s">
        <v>146</v>
      </c>
      <c r="S48" s="2" t="s">
        <v>146</v>
      </c>
      <c r="T48" s="2" t="s">
        <v>146</v>
      </c>
      <c r="U48" s="2" t="s">
        <v>146</v>
      </c>
      <c r="V48" s="2" t="s">
        <v>146</v>
      </c>
      <c r="Y48" s="2" t="str">
        <f t="shared" si="0"/>
        <v>Ja</v>
      </c>
      <c r="AA48" s="2" t="str">
        <f t="shared" si="1"/>
        <v>Nej</v>
      </c>
      <c r="AB48" s="2" t="str">
        <f t="shared" si="2"/>
        <v>ET</v>
      </c>
      <c r="AC48" s="2">
        <f t="shared" si="3"/>
        <v>0</v>
      </c>
    </row>
    <row r="49" spans="1:29" ht="14.25" x14ac:dyDescent="0.45">
      <c r="A49" s="2" t="s">
        <v>628</v>
      </c>
      <c r="B49" s="2" t="s">
        <v>629</v>
      </c>
      <c r="C49" s="2">
        <v>2019</v>
      </c>
      <c r="D49" s="2">
        <v>2.8000000000000001E-2</v>
      </c>
      <c r="E49" s="2" t="s">
        <v>146</v>
      </c>
      <c r="F49" s="2" t="s">
        <v>1022</v>
      </c>
      <c r="G49" s="2">
        <v>1.1000000000000001</v>
      </c>
      <c r="H49" s="2">
        <v>0</v>
      </c>
      <c r="I49" s="2">
        <v>0</v>
      </c>
      <c r="J49" s="2">
        <v>0</v>
      </c>
      <c r="K49" s="2" t="s">
        <v>49</v>
      </c>
      <c r="L49" s="2" t="s">
        <v>146</v>
      </c>
      <c r="M49" s="2" t="s">
        <v>146</v>
      </c>
      <c r="N49" s="2" t="s">
        <v>146</v>
      </c>
      <c r="O49" s="2" t="s">
        <v>146</v>
      </c>
      <c r="P49" s="2" t="s">
        <v>146</v>
      </c>
      <c r="Q49" s="2" t="s">
        <v>49</v>
      </c>
      <c r="R49" s="2" t="s">
        <v>146</v>
      </c>
      <c r="S49" s="2" t="s">
        <v>146</v>
      </c>
      <c r="T49" s="2" t="s">
        <v>146</v>
      </c>
      <c r="U49" s="2" t="s">
        <v>146</v>
      </c>
      <c r="V49" s="2" t="s">
        <v>146</v>
      </c>
      <c r="Y49" s="2" t="str">
        <f t="shared" si="0"/>
        <v>Ja</v>
      </c>
      <c r="AA49" s="2" t="str">
        <f t="shared" si="1"/>
        <v>Nej</v>
      </c>
      <c r="AB49" s="2" t="str">
        <f t="shared" si="2"/>
        <v>ET</v>
      </c>
      <c r="AC49" s="2">
        <f t="shared" si="3"/>
        <v>0</v>
      </c>
    </row>
    <row r="50" spans="1:29" ht="14.25" x14ac:dyDescent="0.45">
      <c r="A50" s="2" t="s">
        <v>628</v>
      </c>
      <c r="B50" s="2" t="s">
        <v>627</v>
      </c>
      <c r="C50" s="2">
        <v>2019</v>
      </c>
      <c r="D50" s="2">
        <v>1.1060000000000001</v>
      </c>
      <c r="E50" s="2" t="s">
        <v>146</v>
      </c>
      <c r="F50" s="2" t="s">
        <v>1021</v>
      </c>
      <c r="G50" s="2">
        <v>1.1000000000000001</v>
      </c>
      <c r="H50" s="2">
        <v>0</v>
      </c>
      <c r="I50" s="2">
        <v>0</v>
      </c>
      <c r="J50" s="2">
        <v>0</v>
      </c>
      <c r="K50" s="2" t="s">
        <v>49</v>
      </c>
      <c r="L50" s="2" t="s">
        <v>146</v>
      </c>
      <c r="M50" s="2" t="s">
        <v>146</v>
      </c>
      <c r="N50" s="2" t="s">
        <v>146</v>
      </c>
      <c r="O50" s="2" t="s">
        <v>146</v>
      </c>
      <c r="P50" s="2" t="s">
        <v>146</v>
      </c>
      <c r="Q50" s="2" t="s">
        <v>49</v>
      </c>
      <c r="R50" s="2" t="s">
        <v>146</v>
      </c>
      <c r="S50" s="2" t="s">
        <v>146</v>
      </c>
      <c r="T50" s="2" t="s">
        <v>146</v>
      </c>
      <c r="U50" s="2" t="s">
        <v>146</v>
      </c>
      <c r="V50" s="2" t="s">
        <v>146</v>
      </c>
      <c r="Y50" s="2" t="str">
        <f t="shared" si="0"/>
        <v>Ja</v>
      </c>
      <c r="AA50" s="2" t="str">
        <f t="shared" si="1"/>
        <v>Nej</v>
      </c>
      <c r="AB50" s="2" t="str">
        <f t="shared" si="2"/>
        <v>ET</v>
      </c>
      <c r="AC50" s="2">
        <f t="shared" si="3"/>
        <v>0</v>
      </c>
    </row>
    <row r="51" spans="1:29" ht="14.25" x14ac:dyDescent="0.45">
      <c r="A51" s="2" t="s">
        <v>623</v>
      </c>
      <c r="B51" s="2" t="s">
        <v>626</v>
      </c>
      <c r="C51" s="2">
        <v>2019</v>
      </c>
      <c r="D51" s="2">
        <v>0.70299999999999996</v>
      </c>
      <c r="E51" s="2" t="s">
        <v>146</v>
      </c>
      <c r="F51" s="2" t="s">
        <v>913</v>
      </c>
      <c r="G51" s="2">
        <v>1.1000000000000001</v>
      </c>
      <c r="H51" s="2">
        <v>0</v>
      </c>
      <c r="I51" s="2">
        <v>0</v>
      </c>
      <c r="J51" s="2">
        <v>0</v>
      </c>
      <c r="K51" s="2" t="s">
        <v>176</v>
      </c>
      <c r="L51" s="2" t="s">
        <v>146</v>
      </c>
      <c r="M51" s="2" t="s">
        <v>146</v>
      </c>
      <c r="N51" s="2" t="s">
        <v>146</v>
      </c>
      <c r="O51" s="2" t="s">
        <v>146</v>
      </c>
      <c r="P51" s="2" t="s">
        <v>146</v>
      </c>
      <c r="Q51" s="2" t="s">
        <v>176</v>
      </c>
      <c r="R51" s="2" t="s">
        <v>146</v>
      </c>
      <c r="S51" s="2" t="s">
        <v>146</v>
      </c>
      <c r="T51" s="2" t="s">
        <v>146</v>
      </c>
      <c r="U51" s="2" t="s">
        <v>146</v>
      </c>
      <c r="V51" s="2" t="s">
        <v>146</v>
      </c>
      <c r="Y51" s="2" t="str">
        <f t="shared" si="0"/>
        <v>Ja</v>
      </c>
      <c r="AA51" s="2" t="str">
        <f t="shared" si="1"/>
        <v>Nej</v>
      </c>
      <c r="AB51" s="2" t="str">
        <f t="shared" si="2"/>
        <v>ET</v>
      </c>
      <c r="AC51" s="2">
        <f t="shared" si="3"/>
        <v>0</v>
      </c>
    </row>
    <row r="52" spans="1:29" ht="14.25" x14ac:dyDescent="0.45">
      <c r="A52" s="2" t="s">
        <v>623</v>
      </c>
      <c r="B52" s="2" t="s">
        <v>625</v>
      </c>
      <c r="C52" s="2">
        <v>2019</v>
      </c>
      <c r="D52" s="2" t="s">
        <v>49</v>
      </c>
      <c r="E52" s="2" t="s">
        <v>49</v>
      </c>
      <c r="F52" s="2" t="s">
        <v>49</v>
      </c>
      <c r="G52" s="2" t="s">
        <v>49</v>
      </c>
      <c r="H52" s="2" t="s">
        <v>49</v>
      </c>
      <c r="I52" s="2" t="s">
        <v>49</v>
      </c>
      <c r="J52" s="2" t="s">
        <v>49</v>
      </c>
      <c r="K52" s="2" t="s">
        <v>49</v>
      </c>
      <c r="L52" s="2" t="s">
        <v>49</v>
      </c>
      <c r="M52" s="2" t="s">
        <v>49</v>
      </c>
      <c r="N52" s="2" t="s">
        <v>49</v>
      </c>
      <c r="O52" s="2" t="s">
        <v>49</v>
      </c>
      <c r="P52" s="2" t="s">
        <v>49</v>
      </c>
      <c r="Q52" s="2" t="s">
        <v>49</v>
      </c>
      <c r="R52" s="2" t="s">
        <v>49</v>
      </c>
      <c r="S52" s="2" t="s">
        <v>49</v>
      </c>
      <c r="T52" s="2" t="s">
        <v>49</v>
      </c>
      <c r="U52" s="2" t="s">
        <v>49</v>
      </c>
      <c r="V52" s="2" t="s">
        <v>49</v>
      </c>
      <c r="Y52" s="2" t="str">
        <f t="shared" si="0"/>
        <v>Nej</v>
      </c>
      <c r="AA52" s="2" t="str">
        <f t="shared" si="1"/>
        <v>Nej</v>
      </c>
      <c r="AB52" s="2">
        <f t="shared" si="2"/>
        <v>0</v>
      </c>
      <c r="AC52" s="2">
        <f t="shared" si="3"/>
        <v>0</v>
      </c>
    </row>
    <row r="53" spans="1:29" ht="14.25" x14ac:dyDescent="0.45">
      <c r="A53" s="2" t="s">
        <v>623</v>
      </c>
      <c r="B53" s="2" t="s">
        <v>624</v>
      </c>
      <c r="C53" s="2">
        <v>2019</v>
      </c>
      <c r="D53" s="2">
        <v>4.1000000000000002E-2</v>
      </c>
      <c r="E53" s="2" t="s">
        <v>146</v>
      </c>
      <c r="F53" s="2" t="s">
        <v>913</v>
      </c>
      <c r="G53" s="2">
        <v>1.1000000000000001</v>
      </c>
      <c r="H53" s="2">
        <v>0</v>
      </c>
      <c r="I53" s="2">
        <v>0</v>
      </c>
      <c r="J53" s="2">
        <v>0</v>
      </c>
      <c r="K53" s="2" t="s">
        <v>176</v>
      </c>
      <c r="L53" s="2" t="s">
        <v>146</v>
      </c>
      <c r="M53" s="2" t="s">
        <v>146</v>
      </c>
      <c r="N53" s="2" t="s">
        <v>146</v>
      </c>
      <c r="O53" s="2" t="s">
        <v>146</v>
      </c>
      <c r="P53" s="2" t="s">
        <v>146</v>
      </c>
      <c r="Q53" s="2" t="s">
        <v>176</v>
      </c>
      <c r="R53" s="2" t="s">
        <v>146</v>
      </c>
      <c r="S53" s="2" t="s">
        <v>146</v>
      </c>
      <c r="T53" s="2" t="s">
        <v>146</v>
      </c>
      <c r="U53" s="2" t="s">
        <v>146</v>
      </c>
      <c r="V53" s="2" t="s">
        <v>146</v>
      </c>
      <c r="Y53" s="2" t="str">
        <f t="shared" si="0"/>
        <v>Ja</v>
      </c>
      <c r="AA53" s="2" t="str">
        <f t="shared" si="1"/>
        <v>Nej</v>
      </c>
      <c r="AB53" s="2" t="str">
        <f t="shared" si="2"/>
        <v>ET</v>
      </c>
      <c r="AC53" s="2">
        <f t="shared" si="3"/>
        <v>0</v>
      </c>
    </row>
    <row r="54" spans="1:29" ht="14.25" x14ac:dyDescent="0.45">
      <c r="A54" s="2" t="s">
        <v>623</v>
      </c>
      <c r="B54" s="2" t="s">
        <v>622</v>
      </c>
      <c r="C54" s="2">
        <v>2019</v>
      </c>
      <c r="D54" s="2" t="s">
        <v>146</v>
      </c>
      <c r="E54" s="2" t="s">
        <v>146</v>
      </c>
      <c r="F54" s="2" t="s">
        <v>176</v>
      </c>
      <c r="G54" s="2">
        <v>2.2000000000000002</v>
      </c>
      <c r="H54" s="2">
        <v>250.8</v>
      </c>
      <c r="I54" s="2">
        <v>0.35</v>
      </c>
      <c r="J54" s="2">
        <v>0.3977</v>
      </c>
      <c r="K54" s="2" t="s">
        <v>176</v>
      </c>
      <c r="L54" s="2" t="s">
        <v>146</v>
      </c>
      <c r="M54" s="2" t="s">
        <v>146</v>
      </c>
      <c r="N54" s="2" t="s">
        <v>146</v>
      </c>
      <c r="O54" s="2" t="s">
        <v>146</v>
      </c>
      <c r="P54" s="2" t="s">
        <v>146</v>
      </c>
      <c r="Q54" s="2" t="s">
        <v>176</v>
      </c>
      <c r="R54" s="2" t="s">
        <v>146</v>
      </c>
      <c r="S54" s="2" t="s">
        <v>146</v>
      </c>
      <c r="T54" s="2" t="s">
        <v>146</v>
      </c>
      <c r="U54" s="2" t="s">
        <v>146</v>
      </c>
      <c r="V54" s="2" t="s">
        <v>146</v>
      </c>
      <c r="Y54" s="2" t="str">
        <f t="shared" si="0"/>
        <v>Ja</v>
      </c>
      <c r="AA54" s="2" t="str">
        <f t="shared" si="1"/>
        <v>Nej</v>
      </c>
      <c r="AB54" s="2" t="str">
        <f t="shared" si="2"/>
        <v>ET</v>
      </c>
      <c r="AC54" s="2">
        <f t="shared" si="3"/>
        <v>0</v>
      </c>
    </row>
    <row r="55" spans="1:29" ht="14.25" x14ac:dyDescent="0.45">
      <c r="A55" s="2" t="s">
        <v>610</v>
      </c>
      <c r="B55" s="2" t="s">
        <v>621</v>
      </c>
      <c r="C55" s="2">
        <v>2019</v>
      </c>
      <c r="D55" s="2" t="s">
        <v>49</v>
      </c>
      <c r="E55" s="2" t="s">
        <v>146</v>
      </c>
      <c r="F55" s="2" t="s">
        <v>49</v>
      </c>
      <c r="G55" s="2">
        <v>2.2000000000000002</v>
      </c>
      <c r="H55" s="2">
        <v>250.8</v>
      </c>
      <c r="I55" s="2">
        <v>0.35</v>
      </c>
      <c r="J55" s="2">
        <v>0.3977</v>
      </c>
      <c r="K55" s="2" t="s">
        <v>49</v>
      </c>
      <c r="L55" s="2" t="s">
        <v>146</v>
      </c>
      <c r="M55" s="2" t="s">
        <v>146</v>
      </c>
      <c r="N55" s="2" t="s">
        <v>146</v>
      </c>
      <c r="O55" s="2" t="s">
        <v>146</v>
      </c>
      <c r="P55" s="2" t="s">
        <v>146</v>
      </c>
      <c r="Q55" s="2" t="s">
        <v>49</v>
      </c>
      <c r="R55" s="2" t="s">
        <v>146</v>
      </c>
      <c r="S55" s="2" t="s">
        <v>146</v>
      </c>
      <c r="T55" s="2" t="s">
        <v>146</v>
      </c>
      <c r="U55" s="2" t="s">
        <v>146</v>
      </c>
      <c r="V55" s="2" t="s">
        <v>146</v>
      </c>
      <c r="Y55" s="2" t="str">
        <f t="shared" si="0"/>
        <v>Ja</v>
      </c>
      <c r="AA55" s="2" t="str">
        <f t="shared" si="1"/>
        <v>Nej</v>
      </c>
      <c r="AB55" s="2" t="str">
        <f t="shared" si="2"/>
        <v>ET</v>
      </c>
      <c r="AC55" s="2">
        <f t="shared" si="3"/>
        <v>0</v>
      </c>
    </row>
    <row r="56" spans="1:29" ht="14.25" x14ac:dyDescent="0.45">
      <c r="A56" s="2" t="s">
        <v>610</v>
      </c>
      <c r="B56" s="2" t="s">
        <v>620</v>
      </c>
      <c r="C56" s="2">
        <v>2019</v>
      </c>
      <c r="D56" s="2">
        <v>1.07</v>
      </c>
      <c r="E56" s="2" t="s">
        <v>146</v>
      </c>
      <c r="F56" s="2" t="s">
        <v>49</v>
      </c>
      <c r="G56" s="2">
        <v>2.2000000000000002</v>
      </c>
      <c r="H56" s="2">
        <v>250.8</v>
      </c>
      <c r="I56" s="2">
        <v>0.35</v>
      </c>
      <c r="J56" s="2">
        <v>0.3977</v>
      </c>
      <c r="K56" s="2" t="s">
        <v>49</v>
      </c>
      <c r="L56" s="2" t="s">
        <v>146</v>
      </c>
      <c r="M56" s="2" t="s">
        <v>146</v>
      </c>
      <c r="N56" s="2" t="s">
        <v>146</v>
      </c>
      <c r="O56" s="2" t="s">
        <v>146</v>
      </c>
      <c r="P56" s="2" t="s">
        <v>146</v>
      </c>
      <c r="Q56" s="2" t="s">
        <v>49</v>
      </c>
      <c r="R56" s="2" t="s">
        <v>146</v>
      </c>
      <c r="S56" s="2" t="s">
        <v>146</v>
      </c>
      <c r="T56" s="2" t="s">
        <v>146</v>
      </c>
      <c r="U56" s="2" t="s">
        <v>146</v>
      </c>
      <c r="V56" s="2" t="s">
        <v>146</v>
      </c>
      <c r="Y56" s="2" t="str">
        <f t="shared" si="0"/>
        <v>Ja</v>
      </c>
      <c r="AA56" s="2" t="str">
        <f t="shared" si="1"/>
        <v>Nej</v>
      </c>
      <c r="AB56" s="2" t="str">
        <f t="shared" si="2"/>
        <v>ET</v>
      </c>
      <c r="AC56" s="2">
        <f t="shared" si="3"/>
        <v>0</v>
      </c>
    </row>
    <row r="57" spans="1:29" ht="14.25" x14ac:dyDescent="0.45">
      <c r="A57" s="2" t="s">
        <v>610</v>
      </c>
      <c r="B57" s="2" t="s">
        <v>619</v>
      </c>
      <c r="C57" s="2">
        <v>2019</v>
      </c>
      <c r="D57" s="2" t="s">
        <v>146</v>
      </c>
      <c r="E57" s="2" t="s">
        <v>146</v>
      </c>
      <c r="F57" s="2" t="s">
        <v>49</v>
      </c>
      <c r="G57" s="2">
        <v>2.2000000000000002</v>
      </c>
      <c r="H57" s="2">
        <v>250.8</v>
      </c>
      <c r="I57" s="2">
        <v>0.35</v>
      </c>
      <c r="J57" s="2">
        <v>0.3977</v>
      </c>
      <c r="K57" s="2" t="s">
        <v>49</v>
      </c>
      <c r="L57" s="2" t="s">
        <v>146</v>
      </c>
      <c r="M57" s="2" t="s">
        <v>146</v>
      </c>
      <c r="N57" s="2" t="s">
        <v>146</v>
      </c>
      <c r="O57" s="2" t="s">
        <v>146</v>
      </c>
      <c r="P57" s="2" t="s">
        <v>146</v>
      </c>
      <c r="Q57" s="2" t="s">
        <v>49</v>
      </c>
      <c r="R57" s="2" t="s">
        <v>146</v>
      </c>
      <c r="S57" s="2" t="s">
        <v>146</v>
      </c>
      <c r="T57" s="2" t="s">
        <v>146</v>
      </c>
      <c r="U57" s="2" t="s">
        <v>146</v>
      </c>
      <c r="V57" s="2" t="s">
        <v>146</v>
      </c>
      <c r="Y57" s="2" t="str">
        <f t="shared" si="0"/>
        <v>Ja</v>
      </c>
      <c r="AA57" s="2" t="str">
        <f t="shared" si="1"/>
        <v>Nej</v>
      </c>
      <c r="AB57" s="2" t="str">
        <f t="shared" si="2"/>
        <v>ET</v>
      </c>
      <c r="AC57" s="2">
        <f t="shared" si="3"/>
        <v>0</v>
      </c>
    </row>
    <row r="58" spans="1:29" ht="14.25" x14ac:dyDescent="0.45">
      <c r="A58" s="2" t="s">
        <v>610</v>
      </c>
      <c r="B58" s="2" t="s">
        <v>618</v>
      </c>
      <c r="C58" s="2">
        <v>2019</v>
      </c>
      <c r="D58" s="2">
        <v>29.4</v>
      </c>
      <c r="E58" s="2">
        <v>65.8</v>
      </c>
      <c r="F58" s="2" t="s">
        <v>49</v>
      </c>
      <c r="G58" s="2">
        <v>2.2000000000000002</v>
      </c>
      <c r="H58" s="2">
        <v>250.8</v>
      </c>
      <c r="I58" s="2">
        <v>0.35</v>
      </c>
      <c r="J58" s="2">
        <v>0.3977</v>
      </c>
      <c r="K58" s="2" t="s">
        <v>49</v>
      </c>
      <c r="L58" s="2" t="s">
        <v>146</v>
      </c>
      <c r="M58" s="2" t="s">
        <v>146</v>
      </c>
      <c r="N58" s="2" t="s">
        <v>146</v>
      </c>
      <c r="O58" s="2" t="s">
        <v>146</v>
      </c>
      <c r="P58" s="2" t="s">
        <v>146</v>
      </c>
      <c r="Q58" s="2" t="s">
        <v>49</v>
      </c>
      <c r="R58" s="2" t="s">
        <v>146</v>
      </c>
      <c r="S58" s="2" t="s">
        <v>146</v>
      </c>
      <c r="T58" s="2" t="s">
        <v>146</v>
      </c>
      <c r="U58" s="2" t="s">
        <v>146</v>
      </c>
      <c r="V58" s="2" t="s">
        <v>146</v>
      </c>
      <c r="Y58" s="2" t="str">
        <f t="shared" si="0"/>
        <v>Ja</v>
      </c>
      <c r="AA58" s="2" t="str">
        <f t="shared" si="1"/>
        <v>Nej</v>
      </c>
      <c r="AB58" s="2" t="str">
        <f t="shared" si="2"/>
        <v>ET</v>
      </c>
      <c r="AC58" s="2">
        <f t="shared" si="3"/>
        <v>0</v>
      </c>
    </row>
    <row r="59" spans="1:29" ht="14.25" x14ac:dyDescent="0.45">
      <c r="A59" s="2" t="s">
        <v>610</v>
      </c>
      <c r="B59" s="2" t="s">
        <v>616</v>
      </c>
      <c r="C59" s="2">
        <v>2019</v>
      </c>
      <c r="D59" s="2">
        <v>3.7</v>
      </c>
      <c r="E59" s="2" t="s">
        <v>146</v>
      </c>
      <c r="F59" s="2" t="s">
        <v>1020</v>
      </c>
      <c r="G59" s="2">
        <v>2.02</v>
      </c>
      <c r="H59" s="2">
        <v>20.34</v>
      </c>
      <c r="I59" s="2">
        <v>2.8400000000000002E-2</v>
      </c>
      <c r="J59" s="2">
        <v>0.32400000000000001</v>
      </c>
      <c r="K59" s="2" t="s">
        <v>942</v>
      </c>
      <c r="L59" s="2">
        <v>76.8</v>
      </c>
      <c r="M59" s="2">
        <v>0.3</v>
      </c>
      <c r="N59" s="2">
        <v>50</v>
      </c>
      <c r="O59" s="2">
        <v>5</v>
      </c>
      <c r="P59" s="2">
        <v>10</v>
      </c>
      <c r="Q59" s="2" t="s">
        <v>49</v>
      </c>
      <c r="R59" s="2" t="s">
        <v>146</v>
      </c>
      <c r="S59" s="2" t="s">
        <v>146</v>
      </c>
      <c r="T59" s="2" t="s">
        <v>146</v>
      </c>
      <c r="U59" s="2" t="s">
        <v>146</v>
      </c>
      <c r="V59" s="2" t="s">
        <v>146</v>
      </c>
      <c r="Y59" s="2" t="str">
        <f t="shared" si="0"/>
        <v>Ja</v>
      </c>
      <c r="AA59" s="2" t="str">
        <f t="shared" si="1"/>
        <v>Nej</v>
      </c>
      <c r="AB59" s="2">
        <f t="shared" si="2"/>
        <v>76.8</v>
      </c>
      <c r="AC59" s="2">
        <f t="shared" si="3"/>
        <v>0</v>
      </c>
    </row>
    <row r="60" spans="1:29" ht="14.25" x14ac:dyDescent="0.45">
      <c r="A60" s="2" t="s">
        <v>610</v>
      </c>
      <c r="B60" s="2" t="s">
        <v>615</v>
      </c>
      <c r="C60" s="2">
        <v>2019</v>
      </c>
      <c r="D60" s="2" t="s">
        <v>49</v>
      </c>
      <c r="E60" s="2" t="s">
        <v>49</v>
      </c>
      <c r="F60" s="2" t="s">
        <v>49</v>
      </c>
      <c r="G60" s="2" t="s">
        <v>49</v>
      </c>
      <c r="H60" s="2" t="s">
        <v>49</v>
      </c>
      <c r="I60" s="2" t="s">
        <v>49</v>
      </c>
      <c r="J60" s="2" t="s">
        <v>49</v>
      </c>
      <c r="K60" s="2" t="s">
        <v>49</v>
      </c>
      <c r="L60" s="2" t="s">
        <v>49</v>
      </c>
      <c r="M60" s="2" t="s">
        <v>49</v>
      </c>
      <c r="N60" s="2" t="s">
        <v>49</v>
      </c>
      <c r="O60" s="2" t="s">
        <v>49</v>
      </c>
      <c r="P60" s="2" t="s">
        <v>49</v>
      </c>
      <c r="Q60" s="2" t="s">
        <v>49</v>
      </c>
      <c r="R60" s="2" t="s">
        <v>49</v>
      </c>
      <c r="S60" s="2" t="s">
        <v>49</v>
      </c>
      <c r="T60" s="2" t="s">
        <v>49</v>
      </c>
      <c r="U60" s="2" t="s">
        <v>49</v>
      </c>
      <c r="V60" s="2" t="s">
        <v>49</v>
      </c>
      <c r="Y60" s="2" t="str">
        <f t="shared" si="0"/>
        <v>Nej</v>
      </c>
      <c r="AA60" s="2" t="str">
        <f t="shared" si="1"/>
        <v>Nej</v>
      </c>
      <c r="AB60" s="2">
        <f t="shared" si="2"/>
        <v>0</v>
      </c>
      <c r="AC60" s="2">
        <f t="shared" si="3"/>
        <v>0</v>
      </c>
    </row>
    <row r="61" spans="1:29" ht="14.25" x14ac:dyDescent="0.45">
      <c r="A61" s="2" t="s">
        <v>610</v>
      </c>
      <c r="B61" s="2" t="s">
        <v>614</v>
      </c>
      <c r="C61" s="2">
        <v>2019</v>
      </c>
      <c r="D61" s="2">
        <v>24</v>
      </c>
      <c r="E61" s="2">
        <v>13.9</v>
      </c>
      <c r="F61" s="2" t="s">
        <v>1020</v>
      </c>
      <c r="G61" s="2">
        <v>2.11</v>
      </c>
      <c r="H61" s="2">
        <v>140.41999999999999</v>
      </c>
      <c r="I61" s="2">
        <v>0.19600000000000001</v>
      </c>
      <c r="J61" s="2">
        <v>0.22389999999999999</v>
      </c>
      <c r="K61" s="2" t="s">
        <v>49</v>
      </c>
      <c r="L61" s="2" t="s">
        <v>146</v>
      </c>
      <c r="M61" s="2" t="s">
        <v>146</v>
      </c>
      <c r="N61" s="2" t="s">
        <v>146</v>
      </c>
      <c r="O61" s="2" t="s">
        <v>146</v>
      </c>
      <c r="P61" s="2" t="s">
        <v>146</v>
      </c>
      <c r="Q61" s="2" t="s">
        <v>49</v>
      </c>
      <c r="R61" s="2" t="s">
        <v>146</v>
      </c>
      <c r="S61" s="2" t="s">
        <v>146</v>
      </c>
      <c r="T61" s="2" t="s">
        <v>146</v>
      </c>
      <c r="U61" s="2" t="s">
        <v>146</v>
      </c>
      <c r="V61" s="2" t="s">
        <v>146</v>
      </c>
      <c r="Y61" s="2" t="str">
        <f t="shared" si="0"/>
        <v>Ja</v>
      </c>
      <c r="AA61" s="2" t="str">
        <f t="shared" si="1"/>
        <v>Nej</v>
      </c>
      <c r="AB61" s="2" t="str">
        <f t="shared" si="2"/>
        <v>ET</v>
      </c>
      <c r="AC61" s="2">
        <f t="shared" si="3"/>
        <v>0</v>
      </c>
    </row>
    <row r="62" spans="1:29" ht="14.25" x14ac:dyDescent="0.45">
      <c r="A62" s="2" t="s">
        <v>610</v>
      </c>
      <c r="B62" s="2" t="s">
        <v>613</v>
      </c>
      <c r="C62" s="2">
        <v>2019</v>
      </c>
      <c r="D62" s="2">
        <v>6</v>
      </c>
      <c r="E62" s="2">
        <v>67.7</v>
      </c>
      <c r="F62" s="2" t="s">
        <v>49</v>
      </c>
      <c r="G62" s="2">
        <v>2.2000000000000002</v>
      </c>
      <c r="H62" s="2">
        <v>250.8</v>
      </c>
      <c r="I62" s="2">
        <v>0.35</v>
      </c>
      <c r="J62" s="2">
        <v>0.3977</v>
      </c>
      <c r="K62" s="2" t="s">
        <v>49</v>
      </c>
      <c r="L62" s="2" t="s">
        <v>146</v>
      </c>
      <c r="M62" s="2" t="s">
        <v>146</v>
      </c>
      <c r="N62" s="2" t="s">
        <v>146</v>
      </c>
      <c r="O62" s="2" t="s">
        <v>146</v>
      </c>
      <c r="P62" s="2" t="s">
        <v>146</v>
      </c>
      <c r="Q62" s="2" t="s">
        <v>49</v>
      </c>
      <c r="R62" s="2" t="s">
        <v>146</v>
      </c>
      <c r="S62" s="2" t="s">
        <v>146</v>
      </c>
      <c r="T62" s="2" t="s">
        <v>146</v>
      </c>
      <c r="U62" s="2" t="s">
        <v>146</v>
      </c>
      <c r="V62" s="2" t="s">
        <v>146</v>
      </c>
      <c r="Y62" s="2" t="str">
        <f t="shared" si="0"/>
        <v>Ja</v>
      </c>
      <c r="AA62" s="2" t="str">
        <f t="shared" si="1"/>
        <v>Nej</v>
      </c>
      <c r="AB62" s="2" t="str">
        <f t="shared" si="2"/>
        <v>ET</v>
      </c>
      <c r="AC62" s="2">
        <f t="shared" si="3"/>
        <v>0</v>
      </c>
    </row>
    <row r="63" spans="1:29" ht="14.25" x14ac:dyDescent="0.45">
      <c r="A63" s="2" t="s">
        <v>610</v>
      </c>
      <c r="B63" s="2" t="s">
        <v>612</v>
      </c>
      <c r="C63" s="2">
        <v>2019</v>
      </c>
      <c r="D63" s="2">
        <v>2.2999999999999998</v>
      </c>
      <c r="E63" s="2" t="s">
        <v>146</v>
      </c>
      <c r="F63" s="2" t="s">
        <v>1019</v>
      </c>
      <c r="G63" s="2">
        <v>2.2000000000000002</v>
      </c>
      <c r="H63" s="2">
        <v>250.8</v>
      </c>
      <c r="I63" s="2">
        <v>0.35399999999999998</v>
      </c>
      <c r="J63" s="2">
        <v>0.39800000000000002</v>
      </c>
      <c r="K63" s="2" t="s">
        <v>49</v>
      </c>
      <c r="L63" s="2" t="s">
        <v>146</v>
      </c>
      <c r="M63" s="2" t="s">
        <v>146</v>
      </c>
      <c r="N63" s="2" t="s">
        <v>146</v>
      </c>
      <c r="O63" s="2" t="s">
        <v>146</v>
      </c>
      <c r="P63" s="2" t="s">
        <v>146</v>
      </c>
      <c r="Q63" s="2" t="s">
        <v>49</v>
      </c>
      <c r="R63" s="2" t="s">
        <v>146</v>
      </c>
      <c r="S63" s="2" t="s">
        <v>146</v>
      </c>
      <c r="T63" s="2" t="s">
        <v>146</v>
      </c>
      <c r="U63" s="2" t="s">
        <v>146</v>
      </c>
      <c r="V63" s="2" t="s">
        <v>146</v>
      </c>
      <c r="Y63" s="2" t="str">
        <f t="shared" si="0"/>
        <v>Ja</v>
      </c>
      <c r="AA63" s="2" t="str">
        <f t="shared" si="1"/>
        <v>Nej</v>
      </c>
      <c r="AB63" s="2" t="str">
        <f t="shared" si="2"/>
        <v>ET</v>
      </c>
      <c r="AC63" s="2">
        <f t="shared" si="3"/>
        <v>0</v>
      </c>
    </row>
    <row r="64" spans="1:29" ht="14.25" x14ac:dyDescent="0.45">
      <c r="A64" s="2" t="s">
        <v>610</v>
      </c>
      <c r="B64" s="2" t="s">
        <v>611</v>
      </c>
      <c r="C64" s="2">
        <v>2019</v>
      </c>
      <c r="D64" s="2">
        <v>4.7</v>
      </c>
      <c r="E64" s="2" t="s">
        <v>146</v>
      </c>
      <c r="F64" s="2" t="s">
        <v>49</v>
      </c>
      <c r="G64" s="2">
        <v>2.2000000000000002</v>
      </c>
      <c r="H64" s="2">
        <v>250.8</v>
      </c>
      <c r="I64" s="2">
        <v>0.35</v>
      </c>
      <c r="J64" s="2">
        <v>0.3977</v>
      </c>
      <c r="K64" s="2" t="s">
        <v>49</v>
      </c>
      <c r="L64" s="2" t="s">
        <v>146</v>
      </c>
      <c r="M64" s="2" t="s">
        <v>146</v>
      </c>
      <c r="N64" s="2" t="s">
        <v>146</v>
      </c>
      <c r="O64" s="2" t="s">
        <v>146</v>
      </c>
      <c r="P64" s="2" t="s">
        <v>146</v>
      </c>
      <c r="Q64" s="2" t="s">
        <v>49</v>
      </c>
      <c r="R64" s="2" t="s">
        <v>146</v>
      </c>
      <c r="S64" s="2" t="s">
        <v>146</v>
      </c>
      <c r="T64" s="2" t="s">
        <v>146</v>
      </c>
      <c r="U64" s="2" t="s">
        <v>146</v>
      </c>
      <c r="V64" s="2" t="s">
        <v>146</v>
      </c>
      <c r="Y64" s="2" t="str">
        <f t="shared" si="0"/>
        <v>Ja</v>
      </c>
      <c r="AA64" s="2" t="str">
        <f t="shared" si="1"/>
        <v>Nej</v>
      </c>
      <c r="AB64" s="2" t="str">
        <f t="shared" si="2"/>
        <v>ET</v>
      </c>
      <c r="AC64" s="2">
        <f t="shared" si="3"/>
        <v>0</v>
      </c>
    </row>
    <row r="65" spans="1:29" ht="14.25" x14ac:dyDescent="0.45">
      <c r="A65" s="2" t="s">
        <v>610</v>
      </c>
      <c r="B65" s="2" t="s">
        <v>609</v>
      </c>
      <c r="C65" s="2">
        <v>2019</v>
      </c>
      <c r="D65" s="2">
        <v>1.7</v>
      </c>
      <c r="E65" s="2" t="s">
        <v>146</v>
      </c>
      <c r="F65" s="2" t="s">
        <v>1019</v>
      </c>
      <c r="G65" s="2">
        <v>2.2000000000000002</v>
      </c>
      <c r="H65" s="2">
        <v>250.8</v>
      </c>
      <c r="I65" s="2">
        <v>0.35399999999999998</v>
      </c>
      <c r="J65" s="2">
        <v>0.39800000000000002</v>
      </c>
      <c r="K65" s="2" t="s">
        <v>49</v>
      </c>
      <c r="L65" s="2" t="s">
        <v>146</v>
      </c>
      <c r="M65" s="2" t="s">
        <v>146</v>
      </c>
      <c r="N65" s="2" t="s">
        <v>146</v>
      </c>
      <c r="O65" s="2" t="s">
        <v>146</v>
      </c>
      <c r="P65" s="2" t="s">
        <v>146</v>
      </c>
      <c r="Q65" s="2" t="s">
        <v>49</v>
      </c>
      <c r="R65" s="2" t="s">
        <v>146</v>
      </c>
      <c r="S65" s="2" t="s">
        <v>146</v>
      </c>
      <c r="T65" s="2" t="s">
        <v>146</v>
      </c>
      <c r="U65" s="2" t="s">
        <v>146</v>
      </c>
      <c r="V65" s="2" t="s">
        <v>146</v>
      </c>
      <c r="Y65" s="2" t="str">
        <f t="shared" si="0"/>
        <v>Ja</v>
      </c>
      <c r="AA65" s="2" t="str">
        <f t="shared" si="1"/>
        <v>Nej</v>
      </c>
      <c r="AB65" s="2" t="str">
        <f t="shared" si="2"/>
        <v>ET</v>
      </c>
      <c r="AC65" s="2">
        <f t="shared" si="3"/>
        <v>0</v>
      </c>
    </row>
    <row r="66" spans="1:29" ht="14.25" x14ac:dyDescent="0.45">
      <c r="A66" s="2" t="s">
        <v>608</v>
      </c>
      <c r="B66" s="2" t="s">
        <v>608</v>
      </c>
      <c r="C66" s="2">
        <v>2019</v>
      </c>
      <c r="D66" s="2" t="s">
        <v>49</v>
      </c>
      <c r="E66" s="2" t="s">
        <v>49</v>
      </c>
      <c r="F66" s="2" t="s">
        <v>49</v>
      </c>
      <c r="G66" s="2" t="s">
        <v>49</v>
      </c>
      <c r="H66" s="2" t="s">
        <v>49</v>
      </c>
      <c r="I66" s="2" t="s">
        <v>49</v>
      </c>
      <c r="J66" s="2" t="s">
        <v>49</v>
      </c>
      <c r="K66" s="2" t="s">
        <v>49</v>
      </c>
      <c r="L66" s="2" t="s">
        <v>49</v>
      </c>
      <c r="M66" s="2" t="s">
        <v>49</v>
      </c>
      <c r="N66" s="2" t="s">
        <v>49</v>
      </c>
      <c r="O66" s="2" t="s">
        <v>49</v>
      </c>
      <c r="P66" s="2" t="s">
        <v>49</v>
      </c>
      <c r="Q66" s="2" t="s">
        <v>49</v>
      </c>
      <c r="R66" s="2" t="s">
        <v>49</v>
      </c>
      <c r="S66" s="2" t="s">
        <v>49</v>
      </c>
      <c r="T66" s="2" t="s">
        <v>49</v>
      </c>
      <c r="U66" s="2" t="s">
        <v>49</v>
      </c>
      <c r="V66" s="2" t="s">
        <v>49</v>
      </c>
      <c r="Y66" s="2" t="str">
        <f t="shared" ref="Y66:Y129" si="4">IF(OR(AND(G66&lt;&gt;$AD$3,G66&lt;&gt;"-"),AND(H66&lt;&gt;$AD$4,H66&lt;&gt;"-"),AND(I66&lt;&gt;$AD$5,I66&lt;&gt;"-"),AND(J66&lt;&gt;$AD$6,J66&lt;&gt;"-")),"Ja","Nej")</f>
        <v>Nej</v>
      </c>
      <c r="AA66" s="2" t="str">
        <f t="shared" ref="AA66:AA129" si="5">IF(ISERROR(1/K66),"Nej","Ja")</f>
        <v>Nej</v>
      </c>
      <c r="AB66" s="2">
        <f t="shared" ref="AB66:AB129" si="6">IF(Y66="nej",0,L66)</f>
        <v>0</v>
      </c>
      <c r="AC66" s="2">
        <f t="shared" ref="AC66:AC129" si="7">IF(AA66="nej",0,P66/100)</f>
        <v>0</v>
      </c>
    </row>
    <row r="67" spans="1:29" ht="14.25" x14ac:dyDescent="0.45">
      <c r="A67" s="2" t="s">
        <v>605</v>
      </c>
      <c r="B67" s="2" t="s">
        <v>607</v>
      </c>
      <c r="C67" s="2">
        <v>2019</v>
      </c>
      <c r="D67" s="2">
        <v>1.79</v>
      </c>
      <c r="E67" s="2">
        <v>5.65</v>
      </c>
      <c r="F67" s="2" t="s">
        <v>49</v>
      </c>
      <c r="G67" s="2">
        <v>2.2000000000000002</v>
      </c>
      <c r="H67" s="2">
        <v>250.8</v>
      </c>
      <c r="I67" s="2">
        <v>0.35</v>
      </c>
      <c r="J67" s="2">
        <v>0.3977</v>
      </c>
      <c r="K67" s="2" t="s">
        <v>49</v>
      </c>
      <c r="L67" s="2" t="s">
        <v>146</v>
      </c>
      <c r="M67" s="2" t="s">
        <v>146</v>
      </c>
      <c r="N67" s="2" t="s">
        <v>146</v>
      </c>
      <c r="O67" s="2" t="s">
        <v>146</v>
      </c>
      <c r="P67" s="2" t="s">
        <v>146</v>
      </c>
      <c r="Q67" s="2" t="s">
        <v>49</v>
      </c>
      <c r="R67" s="2" t="s">
        <v>146</v>
      </c>
      <c r="S67" s="2" t="s">
        <v>146</v>
      </c>
      <c r="T67" s="2" t="s">
        <v>146</v>
      </c>
      <c r="U67" s="2" t="s">
        <v>146</v>
      </c>
      <c r="V67" s="2" t="s">
        <v>146</v>
      </c>
      <c r="Y67" s="2" t="str">
        <f t="shared" si="4"/>
        <v>Ja</v>
      </c>
      <c r="AA67" s="2" t="str">
        <f t="shared" si="5"/>
        <v>Nej</v>
      </c>
      <c r="AB67" s="2" t="str">
        <f t="shared" si="6"/>
        <v>ET</v>
      </c>
      <c r="AC67" s="2">
        <f t="shared" si="7"/>
        <v>0</v>
      </c>
    </row>
    <row r="68" spans="1:29" ht="14.25" x14ac:dyDescent="0.45">
      <c r="A68" s="2" t="s">
        <v>605</v>
      </c>
      <c r="B68" s="2" t="s">
        <v>606</v>
      </c>
      <c r="C68" s="2">
        <v>2019</v>
      </c>
      <c r="D68" s="2">
        <v>0.12</v>
      </c>
      <c r="E68" s="2" t="s">
        <v>146</v>
      </c>
      <c r="F68" s="2" t="s">
        <v>49</v>
      </c>
      <c r="G68" s="2">
        <v>2.2000000000000002</v>
      </c>
      <c r="H68" s="2">
        <v>250.8</v>
      </c>
      <c r="I68" s="2">
        <v>0.35</v>
      </c>
      <c r="J68" s="2">
        <v>0.3977</v>
      </c>
      <c r="K68" s="2" t="s">
        <v>49</v>
      </c>
      <c r="L68" s="2" t="s">
        <v>146</v>
      </c>
      <c r="M68" s="2" t="s">
        <v>146</v>
      </c>
      <c r="N68" s="2" t="s">
        <v>146</v>
      </c>
      <c r="O68" s="2" t="s">
        <v>146</v>
      </c>
      <c r="P68" s="2" t="s">
        <v>146</v>
      </c>
      <c r="Q68" s="2" t="s">
        <v>49</v>
      </c>
      <c r="R68" s="2" t="s">
        <v>146</v>
      </c>
      <c r="S68" s="2" t="s">
        <v>146</v>
      </c>
      <c r="T68" s="2" t="s">
        <v>146</v>
      </c>
      <c r="U68" s="2" t="s">
        <v>146</v>
      </c>
      <c r="V68" s="2" t="s">
        <v>146</v>
      </c>
      <c r="Y68" s="2" t="str">
        <f t="shared" si="4"/>
        <v>Ja</v>
      </c>
      <c r="AA68" s="2" t="str">
        <f t="shared" si="5"/>
        <v>Nej</v>
      </c>
      <c r="AB68" s="2" t="str">
        <f t="shared" si="6"/>
        <v>ET</v>
      </c>
      <c r="AC68" s="2">
        <f t="shared" si="7"/>
        <v>0</v>
      </c>
    </row>
    <row r="69" spans="1:29" ht="14.25" x14ac:dyDescent="0.45">
      <c r="A69" s="2" t="s">
        <v>605</v>
      </c>
      <c r="B69" s="2" t="s">
        <v>604</v>
      </c>
      <c r="C69" s="2">
        <v>2019</v>
      </c>
      <c r="D69" s="2">
        <v>0.34</v>
      </c>
      <c r="E69" s="2" t="s">
        <v>146</v>
      </c>
      <c r="F69" s="2" t="s">
        <v>49</v>
      </c>
      <c r="G69" s="2">
        <v>2.2000000000000002</v>
      </c>
      <c r="H69" s="2">
        <v>250.8</v>
      </c>
      <c r="I69" s="2">
        <v>0.35</v>
      </c>
      <c r="J69" s="2">
        <v>0.3977</v>
      </c>
      <c r="K69" s="2" t="s">
        <v>49</v>
      </c>
      <c r="L69" s="2" t="s">
        <v>146</v>
      </c>
      <c r="M69" s="2" t="s">
        <v>146</v>
      </c>
      <c r="N69" s="2" t="s">
        <v>146</v>
      </c>
      <c r="O69" s="2" t="s">
        <v>146</v>
      </c>
      <c r="P69" s="2" t="s">
        <v>146</v>
      </c>
      <c r="Q69" s="2" t="s">
        <v>49</v>
      </c>
      <c r="R69" s="2" t="s">
        <v>146</v>
      </c>
      <c r="S69" s="2" t="s">
        <v>146</v>
      </c>
      <c r="T69" s="2" t="s">
        <v>146</v>
      </c>
      <c r="U69" s="2" t="s">
        <v>146</v>
      </c>
      <c r="V69" s="2" t="s">
        <v>146</v>
      </c>
      <c r="Y69" s="2" t="str">
        <f t="shared" si="4"/>
        <v>Ja</v>
      </c>
      <c r="AA69" s="2" t="str">
        <f t="shared" si="5"/>
        <v>Nej</v>
      </c>
      <c r="AB69" s="2" t="str">
        <f t="shared" si="6"/>
        <v>ET</v>
      </c>
      <c r="AC69" s="2">
        <f t="shared" si="7"/>
        <v>0</v>
      </c>
    </row>
    <row r="70" spans="1:29" ht="14.25" x14ac:dyDescent="0.45">
      <c r="A70" s="2" t="s">
        <v>603</v>
      </c>
      <c r="B70" s="2" t="s">
        <v>602</v>
      </c>
      <c r="C70" s="2">
        <v>2019</v>
      </c>
      <c r="D70" s="2">
        <v>1.48</v>
      </c>
      <c r="E70" s="2">
        <v>0</v>
      </c>
      <c r="F70" s="2" t="s">
        <v>1018</v>
      </c>
      <c r="G70" s="2">
        <v>1.1000000000000001</v>
      </c>
      <c r="H70" s="2">
        <v>0</v>
      </c>
      <c r="I70" s="2">
        <v>0</v>
      </c>
      <c r="J70" s="2">
        <v>0</v>
      </c>
      <c r="K70" s="2" t="s">
        <v>49</v>
      </c>
      <c r="L70" s="2" t="s">
        <v>146</v>
      </c>
      <c r="M70" s="2" t="s">
        <v>146</v>
      </c>
      <c r="N70" s="2" t="s">
        <v>146</v>
      </c>
      <c r="O70" s="2" t="s">
        <v>146</v>
      </c>
      <c r="P70" s="2" t="s">
        <v>146</v>
      </c>
      <c r="Q70" s="2" t="s">
        <v>49</v>
      </c>
      <c r="R70" s="2" t="s">
        <v>146</v>
      </c>
      <c r="S70" s="2" t="s">
        <v>146</v>
      </c>
      <c r="T70" s="2" t="s">
        <v>146</v>
      </c>
      <c r="U70" s="2" t="s">
        <v>146</v>
      </c>
      <c r="V70" s="2" t="s">
        <v>146</v>
      </c>
      <c r="Y70" s="2" t="str">
        <f t="shared" si="4"/>
        <v>Ja</v>
      </c>
      <c r="AA70" s="2" t="str">
        <f t="shared" si="5"/>
        <v>Nej</v>
      </c>
      <c r="AB70" s="2" t="str">
        <f t="shared" si="6"/>
        <v>ET</v>
      </c>
      <c r="AC70" s="2">
        <f t="shared" si="7"/>
        <v>0</v>
      </c>
    </row>
    <row r="71" spans="1:29" ht="14.25" x14ac:dyDescent="0.45">
      <c r="A71" s="2" t="s">
        <v>601</v>
      </c>
      <c r="B71" s="2" t="s">
        <v>600</v>
      </c>
      <c r="C71" s="2">
        <v>2019</v>
      </c>
      <c r="D71" s="2">
        <v>3.8</v>
      </c>
      <c r="E71" s="2">
        <v>10.199999999999999</v>
      </c>
      <c r="F71" s="2" t="s">
        <v>943</v>
      </c>
      <c r="G71" s="2">
        <v>0.05</v>
      </c>
      <c r="H71" s="2">
        <v>2</v>
      </c>
      <c r="I71" s="2">
        <v>0.25</v>
      </c>
      <c r="J71" s="2">
        <v>0</v>
      </c>
      <c r="K71" s="2" t="s">
        <v>49</v>
      </c>
      <c r="L71" s="2" t="s">
        <v>146</v>
      </c>
      <c r="M71" s="2" t="s">
        <v>146</v>
      </c>
      <c r="N71" s="2" t="s">
        <v>146</v>
      </c>
      <c r="O71" s="2" t="s">
        <v>146</v>
      </c>
      <c r="P71" s="2" t="s">
        <v>146</v>
      </c>
      <c r="Q71" s="2" t="s">
        <v>49</v>
      </c>
      <c r="R71" s="2" t="s">
        <v>146</v>
      </c>
      <c r="S71" s="2" t="s">
        <v>146</v>
      </c>
      <c r="T71" s="2" t="s">
        <v>146</v>
      </c>
      <c r="U71" s="2" t="s">
        <v>146</v>
      </c>
      <c r="V71" s="2" t="s">
        <v>146</v>
      </c>
      <c r="Y71" s="2" t="str">
        <f t="shared" si="4"/>
        <v>Ja</v>
      </c>
      <c r="AA71" s="2" t="str">
        <f t="shared" si="5"/>
        <v>Nej</v>
      </c>
      <c r="AB71" s="2" t="str">
        <f t="shared" si="6"/>
        <v>ET</v>
      </c>
      <c r="AC71" s="2">
        <f t="shared" si="7"/>
        <v>0</v>
      </c>
    </row>
    <row r="72" spans="1:29" ht="14.25" x14ac:dyDescent="0.45">
      <c r="A72" s="2" t="s">
        <v>597</v>
      </c>
      <c r="B72" s="2" t="s">
        <v>599</v>
      </c>
      <c r="C72" s="2">
        <v>2019</v>
      </c>
      <c r="D72" s="2">
        <v>15.586</v>
      </c>
      <c r="E72" s="2">
        <v>21.276</v>
      </c>
      <c r="F72" s="2" t="s">
        <v>960</v>
      </c>
      <c r="G72" s="2">
        <v>0.03</v>
      </c>
      <c r="H72" s="2">
        <v>30</v>
      </c>
      <c r="I72" s="2">
        <v>0</v>
      </c>
      <c r="J72" s="2">
        <v>0</v>
      </c>
      <c r="K72" s="2" t="s">
        <v>49</v>
      </c>
      <c r="L72" s="2" t="s">
        <v>146</v>
      </c>
      <c r="M72" s="2" t="s">
        <v>146</v>
      </c>
      <c r="N72" s="2" t="s">
        <v>146</v>
      </c>
      <c r="O72" s="2" t="s">
        <v>146</v>
      </c>
      <c r="P72" s="2" t="s">
        <v>146</v>
      </c>
      <c r="Q72" s="2" t="s">
        <v>49</v>
      </c>
      <c r="R72" s="2" t="s">
        <v>146</v>
      </c>
      <c r="S72" s="2" t="s">
        <v>146</v>
      </c>
      <c r="T72" s="2" t="s">
        <v>146</v>
      </c>
      <c r="U72" s="2" t="s">
        <v>146</v>
      </c>
      <c r="V72" s="2" t="s">
        <v>146</v>
      </c>
      <c r="Y72" s="2" t="str">
        <f t="shared" si="4"/>
        <v>Ja</v>
      </c>
      <c r="AA72" s="2" t="str">
        <f t="shared" si="5"/>
        <v>Nej</v>
      </c>
      <c r="AB72" s="2" t="str">
        <f t="shared" si="6"/>
        <v>ET</v>
      </c>
      <c r="AC72" s="2">
        <f t="shared" si="7"/>
        <v>0</v>
      </c>
    </row>
    <row r="73" spans="1:29" ht="14.25" x14ac:dyDescent="0.45">
      <c r="A73" s="2" t="s">
        <v>597</v>
      </c>
      <c r="B73" s="2" t="s">
        <v>598</v>
      </c>
      <c r="C73" s="2">
        <v>2019</v>
      </c>
      <c r="D73" s="2">
        <v>1.7000000000000001E-2</v>
      </c>
      <c r="E73" s="2" t="s">
        <v>146</v>
      </c>
      <c r="F73" s="2" t="s">
        <v>960</v>
      </c>
      <c r="G73" s="2">
        <v>0.03</v>
      </c>
      <c r="H73" s="2">
        <v>30</v>
      </c>
      <c r="I73" s="2">
        <v>0</v>
      </c>
      <c r="J73" s="2">
        <v>0</v>
      </c>
      <c r="K73" s="2" t="s">
        <v>49</v>
      </c>
      <c r="L73" s="2" t="s">
        <v>146</v>
      </c>
      <c r="M73" s="2" t="s">
        <v>146</v>
      </c>
      <c r="N73" s="2" t="s">
        <v>146</v>
      </c>
      <c r="O73" s="2" t="s">
        <v>146</v>
      </c>
      <c r="P73" s="2" t="s">
        <v>146</v>
      </c>
      <c r="Q73" s="2" t="s">
        <v>49</v>
      </c>
      <c r="R73" s="2" t="s">
        <v>146</v>
      </c>
      <c r="S73" s="2" t="s">
        <v>146</v>
      </c>
      <c r="T73" s="2" t="s">
        <v>146</v>
      </c>
      <c r="U73" s="2" t="s">
        <v>146</v>
      </c>
      <c r="V73" s="2" t="s">
        <v>146</v>
      </c>
      <c r="Y73" s="2" t="str">
        <f t="shared" si="4"/>
        <v>Ja</v>
      </c>
      <c r="AA73" s="2" t="str">
        <f t="shared" si="5"/>
        <v>Nej</v>
      </c>
      <c r="AB73" s="2" t="str">
        <f t="shared" si="6"/>
        <v>ET</v>
      </c>
      <c r="AC73" s="2">
        <f t="shared" si="7"/>
        <v>0</v>
      </c>
    </row>
    <row r="74" spans="1:29" ht="14.25" x14ac:dyDescent="0.45">
      <c r="A74" s="2" t="s">
        <v>597</v>
      </c>
      <c r="B74" s="2" t="s">
        <v>596</v>
      </c>
      <c r="C74" s="2">
        <v>2019</v>
      </c>
      <c r="D74" s="2">
        <v>0.121</v>
      </c>
      <c r="E74" s="2" t="s">
        <v>146</v>
      </c>
      <c r="F74" s="2" t="s">
        <v>960</v>
      </c>
      <c r="G74" s="2">
        <v>0.03</v>
      </c>
      <c r="H74" s="2">
        <v>30</v>
      </c>
      <c r="I74" s="2">
        <v>0</v>
      </c>
      <c r="J74" s="2">
        <v>0</v>
      </c>
      <c r="K74" s="2" t="s">
        <v>49</v>
      </c>
      <c r="L74" s="2" t="s">
        <v>146</v>
      </c>
      <c r="M74" s="2" t="s">
        <v>146</v>
      </c>
      <c r="N74" s="2" t="s">
        <v>146</v>
      </c>
      <c r="O74" s="2" t="s">
        <v>146</v>
      </c>
      <c r="P74" s="2" t="s">
        <v>146</v>
      </c>
      <c r="Q74" s="2" t="s">
        <v>49</v>
      </c>
      <c r="R74" s="2" t="s">
        <v>146</v>
      </c>
      <c r="S74" s="2" t="s">
        <v>146</v>
      </c>
      <c r="T74" s="2" t="s">
        <v>146</v>
      </c>
      <c r="U74" s="2" t="s">
        <v>146</v>
      </c>
      <c r="V74" s="2" t="s">
        <v>146</v>
      </c>
      <c r="Y74" s="2" t="str">
        <f t="shared" si="4"/>
        <v>Ja</v>
      </c>
      <c r="AA74" s="2" t="str">
        <f t="shared" si="5"/>
        <v>Nej</v>
      </c>
      <c r="AB74" s="2" t="str">
        <f t="shared" si="6"/>
        <v>ET</v>
      </c>
      <c r="AC74" s="2">
        <f t="shared" si="7"/>
        <v>0</v>
      </c>
    </row>
    <row r="75" spans="1:29" ht="14.25" x14ac:dyDescent="0.45">
      <c r="A75" s="2" t="s">
        <v>593</v>
      </c>
      <c r="B75" s="2" t="s">
        <v>595</v>
      </c>
      <c r="C75" s="2">
        <v>2019</v>
      </c>
      <c r="D75" s="2">
        <v>3.24</v>
      </c>
      <c r="E75" s="2">
        <v>0.64</v>
      </c>
      <c r="F75" s="2" t="s">
        <v>905</v>
      </c>
      <c r="G75" s="2">
        <v>1.1000000000000001</v>
      </c>
      <c r="H75" s="2">
        <v>5</v>
      </c>
      <c r="I75" s="2">
        <v>0</v>
      </c>
      <c r="J75" s="2">
        <v>0</v>
      </c>
      <c r="K75" s="2" t="s">
        <v>49</v>
      </c>
      <c r="L75" s="2" t="s">
        <v>146</v>
      </c>
      <c r="M75" s="2" t="s">
        <v>146</v>
      </c>
      <c r="N75" s="2" t="s">
        <v>146</v>
      </c>
      <c r="O75" s="2" t="s">
        <v>146</v>
      </c>
      <c r="P75" s="2" t="s">
        <v>146</v>
      </c>
      <c r="Q75" s="2" t="s">
        <v>49</v>
      </c>
      <c r="R75" s="2" t="s">
        <v>146</v>
      </c>
      <c r="S75" s="2" t="s">
        <v>146</v>
      </c>
      <c r="T75" s="2" t="s">
        <v>146</v>
      </c>
      <c r="U75" s="2" t="s">
        <v>146</v>
      </c>
      <c r="V75" s="2" t="s">
        <v>146</v>
      </c>
      <c r="Y75" s="2" t="str">
        <f t="shared" si="4"/>
        <v>Ja</v>
      </c>
      <c r="AA75" s="2" t="str">
        <f t="shared" si="5"/>
        <v>Nej</v>
      </c>
      <c r="AB75" s="2" t="str">
        <f t="shared" si="6"/>
        <v>ET</v>
      </c>
      <c r="AC75" s="2">
        <f t="shared" si="7"/>
        <v>0</v>
      </c>
    </row>
    <row r="76" spans="1:29" ht="14.25" x14ac:dyDescent="0.45">
      <c r="A76" s="2" t="s">
        <v>593</v>
      </c>
      <c r="B76" s="2" t="s">
        <v>594</v>
      </c>
      <c r="C76" s="2">
        <v>2019</v>
      </c>
      <c r="D76" s="2">
        <v>0.11</v>
      </c>
      <c r="E76" s="2" t="s">
        <v>146</v>
      </c>
      <c r="F76" s="2" t="s">
        <v>905</v>
      </c>
      <c r="G76" s="2">
        <v>1.1000000000000001</v>
      </c>
      <c r="H76" s="2">
        <v>5</v>
      </c>
      <c r="I76" s="2">
        <v>0</v>
      </c>
      <c r="J76" s="2">
        <v>0</v>
      </c>
      <c r="K76" s="2" t="s">
        <v>49</v>
      </c>
      <c r="L76" s="2" t="s">
        <v>146</v>
      </c>
      <c r="M76" s="2" t="s">
        <v>146</v>
      </c>
      <c r="N76" s="2" t="s">
        <v>146</v>
      </c>
      <c r="O76" s="2" t="s">
        <v>146</v>
      </c>
      <c r="P76" s="2" t="s">
        <v>146</v>
      </c>
      <c r="Q76" s="2" t="s">
        <v>49</v>
      </c>
      <c r="R76" s="2" t="s">
        <v>146</v>
      </c>
      <c r="S76" s="2" t="s">
        <v>146</v>
      </c>
      <c r="T76" s="2" t="s">
        <v>146</v>
      </c>
      <c r="U76" s="2" t="s">
        <v>146</v>
      </c>
      <c r="V76" s="2" t="s">
        <v>146</v>
      </c>
      <c r="Y76" s="2" t="str">
        <f t="shared" si="4"/>
        <v>Ja</v>
      </c>
      <c r="AA76" s="2" t="str">
        <f t="shared" si="5"/>
        <v>Nej</v>
      </c>
      <c r="AB76" s="2" t="str">
        <f t="shared" si="6"/>
        <v>ET</v>
      </c>
      <c r="AC76" s="2">
        <f t="shared" si="7"/>
        <v>0</v>
      </c>
    </row>
    <row r="77" spans="1:29" ht="14.25" x14ac:dyDescent="0.45">
      <c r="A77" s="2" t="s">
        <v>593</v>
      </c>
      <c r="B77" s="2" t="s">
        <v>592</v>
      </c>
      <c r="C77" s="2">
        <v>2019</v>
      </c>
      <c r="D77" s="2">
        <v>0.63</v>
      </c>
      <c r="E77" s="2" t="s">
        <v>146</v>
      </c>
      <c r="F77" s="2" t="s">
        <v>905</v>
      </c>
      <c r="G77" s="2">
        <v>1.1000000000000001</v>
      </c>
      <c r="H77" s="2">
        <v>5</v>
      </c>
      <c r="I77" s="2">
        <v>0</v>
      </c>
      <c r="J77" s="2">
        <v>0</v>
      </c>
      <c r="K77" s="2" t="s">
        <v>49</v>
      </c>
      <c r="L77" s="2" t="s">
        <v>146</v>
      </c>
      <c r="M77" s="2" t="s">
        <v>146</v>
      </c>
      <c r="N77" s="2" t="s">
        <v>146</v>
      </c>
      <c r="O77" s="2" t="s">
        <v>146</v>
      </c>
      <c r="P77" s="2" t="s">
        <v>146</v>
      </c>
      <c r="Q77" s="2" t="s">
        <v>49</v>
      </c>
      <c r="R77" s="2" t="s">
        <v>146</v>
      </c>
      <c r="S77" s="2" t="s">
        <v>146</v>
      </c>
      <c r="T77" s="2" t="s">
        <v>146</v>
      </c>
      <c r="U77" s="2" t="s">
        <v>146</v>
      </c>
      <c r="V77" s="2" t="s">
        <v>146</v>
      </c>
      <c r="Y77" s="2" t="str">
        <f t="shared" si="4"/>
        <v>Ja</v>
      </c>
      <c r="AA77" s="2" t="str">
        <f t="shared" si="5"/>
        <v>Nej</v>
      </c>
      <c r="AB77" s="2" t="str">
        <f t="shared" si="6"/>
        <v>ET</v>
      </c>
      <c r="AC77" s="2">
        <f t="shared" si="7"/>
        <v>0</v>
      </c>
    </row>
    <row r="78" spans="1:29" ht="14.25" x14ac:dyDescent="0.45">
      <c r="A78" s="2" t="s">
        <v>589</v>
      </c>
      <c r="B78" s="2" t="s">
        <v>591</v>
      </c>
      <c r="C78" s="2">
        <v>2019</v>
      </c>
      <c r="D78" s="2">
        <v>1.716</v>
      </c>
      <c r="E78" s="2" t="s">
        <v>146</v>
      </c>
      <c r="F78" s="2" t="s">
        <v>1017</v>
      </c>
      <c r="G78" s="2">
        <v>0.93</v>
      </c>
      <c r="H78" s="2">
        <v>0</v>
      </c>
      <c r="I78" s="2">
        <v>0</v>
      </c>
      <c r="J78" s="2">
        <v>0</v>
      </c>
      <c r="K78" s="2" t="s">
        <v>49</v>
      </c>
      <c r="L78" s="2" t="s">
        <v>146</v>
      </c>
      <c r="M78" s="2" t="s">
        <v>146</v>
      </c>
      <c r="N78" s="2" t="s">
        <v>146</v>
      </c>
      <c r="O78" s="2" t="s">
        <v>146</v>
      </c>
      <c r="P78" s="2" t="s">
        <v>146</v>
      </c>
      <c r="Q78" s="2" t="s">
        <v>49</v>
      </c>
      <c r="R78" s="2" t="s">
        <v>146</v>
      </c>
      <c r="S78" s="2" t="s">
        <v>146</v>
      </c>
      <c r="T78" s="2" t="s">
        <v>146</v>
      </c>
      <c r="U78" s="2" t="s">
        <v>146</v>
      </c>
      <c r="V78" s="2" t="s">
        <v>146</v>
      </c>
      <c r="Y78" s="2" t="str">
        <f t="shared" si="4"/>
        <v>Ja</v>
      </c>
      <c r="AA78" s="2" t="str">
        <f t="shared" si="5"/>
        <v>Nej</v>
      </c>
      <c r="AB78" s="2" t="str">
        <f t="shared" si="6"/>
        <v>ET</v>
      </c>
      <c r="AC78" s="2">
        <f t="shared" si="7"/>
        <v>0</v>
      </c>
    </row>
    <row r="79" spans="1:29" ht="14.25" x14ac:dyDescent="0.45">
      <c r="A79" s="2" t="s">
        <v>589</v>
      </c>
      <c r="B79" s="2" t="s">
        <v>590</v>
      </c>
      <c r="C79" s="2">
        <v>2019</v>
      </c>
      <c r="D79" s="2">
        <v>4.9000000000000002E-2</v>
      </c>
      <c r="E79" s="2" t="s">
        <v>146</v>
      </c>
      <c r="F79" s="2" t="s">
        <v>1017</v>
      </c>
      <c r="G79" s="2">
        <v>0.93</v>
      </c>
      <c r="H79" s="2">
        <v>0</v>
      </c>
      <c r="I79" s="2">
        <v>0</v>
      </c>
      <c r="J79" s="2">
        <v>0</v>
      </c>
      <c r="K79" s="2" t="s">
        <v>49</v>
      </c>
      <c r="L79" s="2" t="s">
        <v>146</v>
      </c>
      <c r="M79" s="2" t="s">
        <v>146</v>
      </c>
      <c r="N79" s="2" t="s">
        <v>146</v>
      </c>
      <c r="O79" s="2" t="s">
        <v>146</v>
      </c>
      <c r="P79" s="2" t="s">
        <v>146</v>
      </c>
      <c r="Q79" s="2" t="s">
        <v>49</v>
      </c>
      <c r="R79" s="2" t="s">
        <v>146</v>
      </c>
      <c r="S79" s="2" t="s">
        <v>146</v>
      </c>
      <c r="T79" s="2" t="s">
        <v>146</v>
      </c>
      <c r="U79" s="2" t="s">
        <v>146</v>
      </c>
      <c r="V79" s="2" t="s">
        <v>146</v>
      </c>
      <c r="Y79" s="2" t="str">
        <f t="shared" si="4"/>
        <v>Ja</v>
      </c>
      <c r="AA79" s="2" t="str">
        <f t="shared" si="5"/>
        <v>Nej</v>
      </c>
      <c r="AB79" s="2" t="str">
        <f t="shared" si="6"/>
        <v>ET</v>
      </c>
      <c r="AC79" s="2">
        <f t="shared" si="7"/>
        <v>0</v>
      </c>
    </row>
    <row r="80" spans="1:29" ht="14.25" x14ac:dyDescent="0.45">
      <c r="A80" s="2" t="s">
        <v>589</v>
      </c>
      <c r="B80" s="2" t="s">
        <v>588</v>
      </c>
      <c r="C80" s="2">
        <v>2019</v>
      </c>
      <c r="D80" s="2">
        <v>5.1999999999999998E-2</v>
      </c>
      <c r="E80" s="2">
        <v>0</v>
      </c>
      <c r="F80" s="2" t="s">
        <v>1016</v>
      </c>
      <c r="G80" s="2">
        <v>1.1000000000000001</v>
      </c>
      <c r="H80" s="2">
        <v>0</v>
      </c>
      <c r="I80" s="2">
        <v>0.01</v>
      </c>
      <c r="J80" s="2">
        <v>0</v>
      </c>
      <c r="K80" s="2" t="s">
        <v>587</v>
      </c>
      <c r="L80" s="2" t="s">
        <v>146</v>
      </c>
      <c r="M80" s="2" t="s">
        <v>146</v>
      </c>
      <c r="N80" s="2" t="s">
        <v>146</v>
      </c>
      <c r="O80" s="2" t="s">
        <v>146</v>
      </c>
      <c r="P80" s="2" t="s">
        <v>146</v>
      </c>
      <c r="Q80" s="2" t="s">
        <v>587</v>
      </c>
      <c r="R80" s="2" t="s">
        <v>146</v>
      </c>
      <c r="S80" s="2" t="s">
        <v>146</v>
      </c>
      <c r="T80" s="2" t="s">
        <v>146</v>
      </c>
      <c r="U80" s="2" t="s">
        <v>146</v>
      </c>
      <c r="V80" s="2" t="s">
        <v>146</v>
      </c>
      <c r="Y80" s="2" t="str">
        <f t="shared" si="4"/>
        <v>Ja</v>
      </c>
      <c r="AA80" s="2" t="str">
        <f t="shared" si="5"/>
        <v>Nej</v>
      </c>
      <c r="AB80" s="2" t="str">
        <f t="shared" si="6"/>
        <v>ET</v>
      </c>
      <c r="AC80" s="2">
        <f t="shared" si="7"/>
        <v>0</v>
      </c>
    </row>
    <row r="81" spans="1:29" ht="14.25" x14ac:dyDescent="0.45">
      <c r="A81" s="2" t="s">
        <v>582</v>
      </c>
      <c r="B81" s="2" t="s">
        <v>586</v>
      </c>
      <c r="C81" s="2">
        <v>2019</v>
      </c>
      <c r="D81" s="2">
        <v>6.6000000000000003E-2</v>
      </c>
      <c r="E81" s="2" t="s">
        <v>146</v>
      </c>
      <c r="F81" s="2" t="s">
        <v>1013</v>
      </c>
      <c r="G81" s="2">
        <v>1.5</v>
      </c>
      <c r="H81" s="2">
        <v>0</v>
      </c>
      <c r="I81" s="2">
        <v>0</v>
      </c>
      <c r="J81" s="2">
        <v>0</v>
      </c>
      <c r="K81" s="2" t="s">
        <v>49</v>
      </c>
      <c r="L81" s="2" t="s">
        <v>146</v>
      </c>
      <c r="M81" s="2" t="s">
        <v>146</v>
      </c>
      <c r="N81" s="2" t="s">
        <v>146</v>
      </c>
      <c r="O81" s="2" t="s">
        <v>146</v>
      </c>
      <c r="P81" s="2" t="s">
        <v>146</v>
      </c>
      <c r="Q81" s="2" t="s">
        <v>49</v>
      </c>
      <c r="R81" s="2" t="s">
        <v>146</v>
      </c>
      <c r="S81" s="2" t="s">
        <v>146</v>
      </c>
      <c r="T81" s="2" t="s">
        <v>146</v>
      </c>
      <c r="U81" s="2" t="s">
        <v>146</v>
      </c>
      <c r="V81" s="2" t="s">
        <v>146</v>
      </c>
      <c r="Y81" s="2" t="str">
        <f t="shared" si="4"/>
        <v>Ja</v>
      </c>
      <c r="AA81" s="2" t="str">
        <f t="shared" si="5"/>
        <v>Nej</v>
      </c>
      <c r="AB81" s="2" t="str">
        <f t="shared" si="6"/>
        <v>ET</v>
      </c>
      <c r="AC81" s="2">
        <f t="shared" si="7"/>
        <v>0</v>
      </c>
    </row>
    <row r="82" spans="1:29" ht="14.25" x14ac:dyDescent="0.45">
      <c r="A82" s="2" t="s">
        <v>582</v>
      </c>
      <c r="B82" s="2" t="s">
        <v>585</v>
      </c>
      <c r="C82" s="2">
        <v>2019</v>
      </c>
      <c r="D82" s="2">
        <v>1.1499999999999999</v>
      </c>
      <c r="E82" s="2">
        <v>15.5</v>
      </c>
      <c r="F82" s="2" t="s">
        <v>1013</v>
      </c>
      <c r="G82" s="2">
        <v>1.5</v>
      </c>
      <c r="H82" s="2">
        <v>0</v>
      </c>
      <c r="I82" s="2">
        <v>0</v>
      </c>
      <c r="J82" s="2">
        <v>0</v>
      </c>
      <c r="K82" s="2" t="s">
        <v>1015</v>
      </c>
      <c r="L82" s="2">
        <v>50.02</v>
      </c>
      <c r="M82" s="2">
        <v>0.03</v>
      </c>
      <c r="N82" s="2">
        <v>8.9600000000000009</v>
      </c>
      <c r="O82" s="2">
        <v>6.92</v>
      </c>
      <c r="P82" s="2">
        <v>0</v>
      </c>
      <c r="Q82" s="2" t="s">
        <v>1014</v>
      </c>
      <c r="R82" s="2">
        <v>2.85</v>
      </c>
      <c r="S82" s="2">
        <v>0.03</v>
      </c>
      <c r="T82" s="2">
        <v>8.9600000000000009</v>
      </c>
      <c r="U82" s="2">
        <v>6.92</v>
      </c>
      <c r="V82" s="2">
        <v>0</v>
      </c>
      <c r="Y82" s="2" t="str">
        <f t="shared" si="4"/>
        <v>Ja</v>
      </c>
      <c r="AA82" s="2" t="str">
        <f t="shared" si="5"/>
        <v>Nej</v>
      </c>
      <c r="AB82" s="2">
        <f t="shared" si="6"/>
        <v>50.02</v>
      </c>
      <c r="AC82" s="2">
        <f t="shared" si="7"/>
        <v>0</v>
      </c>
    </row>
    <row r="83" spans="1:29" ht="14.25" x14ac:dyDescent="0.45">
      <c r="A83" s="2" t="s">
        <v>582</v>
      </c>
      <c r="B83" s="2" t="s">
        <v>583</v>
      </c>
      <c r="C83" s="2">
        <v>2019</v>
      </c>
      <c r="D83" s="2">
        <v>5.6000000000000001E-2</v>
      </c>
      <c r="E83" s="2" t="s">
        <v>146</v>
      </c>
      <c r="F83" s="2" t="s">
        <v>1013</v>
      </c>
      <c r="G83" s="2">
        <v>1.5</v>
      </c>
      <c r="H83" s="2">
        <v>0</v>
      </c>
      <c r="I83" s="2">
        <v>0</v>
      </c>
      <c r="J83" s="2">
        <v>0</v>
      </c>
      <c r="K83" s="2" t="s">
        <v>49</v>
      </c>
      <c r="L83" s="2" t="s">
        <v>146</v>
      </c>
      <c r="M83" s="2" t="s">
        <v>146</v>
      </c>
      <c r="N83" s="2" t="s">
        <v>146</v>
      </c>
      <c r="O83" s="2" t="s">
        <v>146</v>
      </c>
      <c r="P83" s="2" t="s">
        <v>146</v>
      </c>
      <c r="Q83" s="2" t="s">
        <v>49</v>
      </c>
      <c r="R83" s="2" t="s">
        <v>146</v>
      </c>
      <c r="S83" s="2" t="s">
        <v>146</v>
      </c>
      <c r="T83" s="2" t="s">
        <v>146</v>
      </c>
      <c r="U83" s="2" t="s">
        <v>146</v>
      </c>
      <c r="V83" s="2" t="s">
        <v>146</v>
      </c>
      <c r="Y83" s="2" t="str">
        <f t="shared" si="4"/>
        <v>Ja</v>
      </c>
      <c r="AA83" s="2" t="str">
        <f t="shared" si="5"/>
        <v>Nej</v>
      </c>
      <c r="AB83" s="2" t="str">
        <f t="shared" si="6"/>
        <v>ET</v>
      </c>
      <c r="AC83" s="2">
        <f t="shared" si="7"/>
        <v>0</v>
      </c>
    </row>
    <row r="84" spans="1:29" ht="14.25" x14ac:dyDescent="0.45">
      <c r="A84" s="2" t="s">
        <v>582</v>
      </c>
      <c r="B84" s="2" t="s">
        <v>581</v>
      </c>
      <c r="C84" s="2">
        <v>2019</v>
      </c>
      <c r="D84" s="2">
        <v>0.1</v>
      </c>
      <c r="E84" s="2" t="s">
        <v>146</v>
      </c>
      <c r="F84" s="2" t="s">
        <v>1013</v>
      </c>
      <c r="G84" s="2">
        <v>1.5</v>
      </c>
      <c r="H84" s="2">
        <v>0</v>
      </c>
      <c r="I84" s="2">
        <v>0</v>
      </c>
      <c r="J84" s="2">
        <v>0</v>
      </c>
      <c r="K84" s="2" t="s">
        <v>49</v>
      </c>
      <c r="L84" s="2" t="s">
        <v>146</v>
      </c>
      <c r="M84" s="2" t="s">
        <v>146</v>
      </c>
      <c r="N84" s="2" t="s">
        <v>146</v>
      </c>
      <c r="O84" s="2" t="s">
        <v>146</v>
      </c>
      <c r="P84" s="2" t="s">
        <v>146</v>
      </c>
      <c r="Q84" s="2" t="s">
        <v>49</v>
      </c>
      <c r="R84" s="2" t="s">
        <v>146</v>
      </c>
      <c r="S84" s="2" t="s">
        <v>146</v>
      </c>
      <c r="T84" s="2" t="s">
        <v>146</v>
      </c>
      <c r="U84" s="2" t="s">
        <v>146</v>
      </c>
      <c r="V84" s="2" t="s">
        <v>146</v>
      </c>
      <c r="Y84" s="2" t="str">
        <f t="shared" si="4"/>
        <v>Ja</v>
      </c>
      <c r="AA84" s="2" t="str">
        <f t="shared" si="5"/>
        <v>Nej</v>
      </c>
      <c r="AB84" s="2" t="str">
        <f t="shared" si="6"/>
        <v>ET</v>
      </c>
      <c r="AC84" s="2">
        <f t="shared" si="7"/>
        <v>0</v>
      </c>
    </row>
    <row r="85" spans="1:29" ht="14.25" x14ac:dyDescent="0.45">
      <c r="A85" s="2" t="s">
        <v>580</v>
      </c>
      <c r="B85" s="2" t="s">
        <v>579</v>
      </c>
      <c r="C85" s="2">
        <v>2019</v>
      </c>
      <c r="D85" s="2">
        <v>4</v>
      </c>
      <c r="E85" s="2" t="s">
        <v>146</v>
      </c>
      <c r="F85" s="2" t="s">
        <v>1012</v>
      </c>
      <c r="G85" s="2">
        <v>1.1000000000000001</v>
      </c>
      <c r="H85" s="2">
        <v>0</v>
      </c>
      <c r="I85" s="2">
        <v>0</v>
      </c>
      <c r="J85" s="2">
        <v>0</v>
      </c>
      <c r="K85" s="2" t="s">
        <v>49</v>
      </c>
      <c r="L85" s="2" t="s">
        <v>146</v>
      </c>
      <c r="M85" s="2" t="s">
        <v>146</v>
      </c>
      <c r="N85" s="2" t="s">
        <v>146</v>
      </c>
      <c r="O85" s="2" t="s">
        <v>146</v>
      </c>
      <c r="P85" s="2" t="s">
        <v>146</v>
      </c>
      <c r="Q85" s="2" t="s">
        <v>49</v>
      </c>
      <c r="R85" s="2" t="s">
        <v>146</v>
      </c>
      <c r="S85" s="2" t="s">
        <v>146</v>
      </c>
      <c r="T85" s="2" t="s">
        <v>146</v>
      </c>
      <c r="U85" s="2" t="s">
        <v>146</v>
      </c>
      <c r="V85" s="2" t="s">
        <v>146</v>
      </c>
      <c r="Y85" s="2" t="str">
        <f t="shared" si="4"/>
        <v>Ja</v>
      </c>
      <c r="AA85" s="2" t="str">
        <f t="shared" si="5"/>
        <v>Nej</v>
      </c>
      <c r="AB85" s="2" t="str">
        <f t="shared" si="6"/>
        <v>ET</v>
      </c>
      <c r="AC85" s="2">
        <f t="shared" si="7"/>
        <v>0</v>
      </c>
    </row>
    <row r="86" spans="1:29" ht="14.25" x14ac:dyDescent="0.45">
      <c r="A86" s="2" t="s">
        <v>576</v>
      </c>
      <c r="B86" s="2" t="s">
        <v>578</v>
      </c>
      <c r="C86" s="2">
        <v>2019</v>
      </c>
      <c r="D86" s="2" t="s">
        <v>146</v>
      </c>
      <c r="E86" s="2" t="s">
        <v>146</v>
      </c>
      <c r="F86" s="2" t="s">
        <v>949</v>
      </c>
      <c r="G86" s="2">
        <v>1.17</v>
      </c>
      <c r="H86" s="2">
        <v>0</v>
      </c>
      <c r="I86" s="2">
        <v>0</v>
      </c>
      <c r="J86" s="2">
        <v>0</v>
      </c>
      <c r="K86" s="2" t="s">
        <v>49</v>
      </c>
      <c r="L86" s="2" t="s">
        <v>146</v>
      </c>
      <c r="M86" s="2" t="s">
        <v>146</v>
      </c>
      <c r="N86" s="2" t="s">
        <v>146</v>
      </c>
      <c r="O86" s="2" t="s">
        <v>146</v>
      </c>
      <c r="P86" s="2" t="s">
        <v>146</v>
      </c>
      <c r="Q86" s="2" t="s">
        <v>49</v>
      </c>
      <c r="R86" s="2" t="s">
        <v>146</v>
      </c>
      <c r="S86" s="2" t="s">
        <v>146</v>
      </c>
      <c r="T86" s="2" t="s">
        <v>146</v>
      </c>
      <c r="U86" s="2" t="s">
        <v>146</v>
      </c>
      <c r="V86" s="2" t="s">
        <v>146</v>
      </c>
      <c r="Y86" s="2" t="str">
        <f t="shared" si="4"/>
        <v>Ja</v>
      </c>
      <c r="AA86" s="2" t="str">
        <f t="shared" si="5"/>
        <v>Nej</v>
      </c>
      <c r="AB86" s="2" t="str">
        <f t="shared" si="6"/>
        <v>ET</v>
      </c>
      <c r="AC86" s="2">
        <f t="shared" si="7"/>
        <v>0</v>
      </c>
    </row>
    <row r="87" spans="1:29" ht="14.25" x14ac:dyDescent="0.45">
      <c r="A87" s="2" t="s">
        <v>576</v>
      </c>
      <c r="B87" s="2" t="s">
        <v>577</v>
      </c>
      <c r="C87" s="2">
        <v>2019</v>
      </c>
      <c r="D87" s="2" t="s">
        <v>146</v>
      </c>
      <c r="E87" s="2" t="s">
        <v>146</v>
      </c>
      <c r="F87" s="2" t="s">
        <v>49</v>
      </c>
      <c r="G87" s="2">
        <v>2.2000000000000002</v>
      </c>
      <c r="H87" s="2">
        <v>250.8</v>
      </c>
      <c r="I87" s="2">
        <v>0.35</v>
      </c>
      <c r="J87" s="2">
        <v>0.3977</v>
      </c>
      <c r="K87" s="2" t="s">
        <v>49</v>
      </c>
      <c r="L87" s="2" t="s">
        <v>146</v>
      </c>
      <c r="M87" s="2" t="s">
        <v>146</v>
      </c>
      <c r="N87" s="2" t="s">
        <v>146</v>
      </c>
      <c r="O87" s="2" t="s">
        <v>146</v>
      </c>
      <c r="P87" s="2" t="s">
        <v>146</v>
      </c>
      <c r="Q87" s="2" t="s">
        <v>49</v>
      </c>
      <c r="R87" s="2" t="s">
        <v>146</v>
      </c>
      <c r="S87" s="2" t="s">
        <v>146</v>
      </c>
      <c r="T87" s="2" t="s">
        <v>146</v>
      </c>
      <c r="U87" s="2" t="s">
        <v>146</v>
      </c>
      <c r="V87" s="2" t="s">
        <v>146</v>
      </c>
      <c r="Y87" s="2" t="str">
        <f t="shared" si="4"/>
        <v>Ja</v>
      </c>
      <c r="AA87" s="2" t="str">
        <f t="shared" si="5"/>
        <v>Nej</v>
      </c>
      <c r="AB87" s="2" t="str">
        <f t="shared" si="6"/>
        <v>ET</v>
      </c>
      <c r="AC87" s="2">
        <f t="shared" si="7"/>
        <v>0</v>
      </c>
    </row>
    <row r="88" spans="1:29" ht="14.25" x14ac:dyDescent="0.45">
      <c r="A88" s="2" t="s">
        <v>576</v>
      </c>
      <c r="B88" s="2" t="s">
        <v>575</v>
      </c>
      <c r="C88" s="2">
        <v>2019</v>
      </c>
      <c r="D88" s="2">
        <v>0.02</v>
      </c>
      <c r="E88" s="2" t="s">
        <v>146</v>
      </c>
      <c r="F88" s="2" t="s">
        <v>949</v>
      </c>
      <c r="G88" s="2">
        <v>1.17</v>
      </c>
      <c r="H88" s="2">
        <v>0</v>
      </c>
      <c r="I88" s="2">
        <v>0</v>
      </c>
      <c r="J88" s="2">
        <v>0</v>
      </c>
      <c r="K88" s="2" t="s">
        <v>49</v>
      </c>
      <c r="L88" s="2" t="s">
        <v>146</v>
      </c>
      <c r="M88" s="2" t="s">
        <v>146</v>
      </c>
      <c r="N88" s="2" t="s">
        <v>146</v>
      </c>
      <c r="O88" s="2" t="s">
        <v>146</v>
      </c>
      <c r="P88" s="2" t="s">
        <v>146</v>
      </c>
      <c r="Q88" s="2" t="s">
        <v>49</v>
      </c>
      <c r="R88" s="2" t="s">
        <v>146</v>
      </c>
      <c r="S88" s="2" t="s">
        <v>146</v>
      </c>
      <c r="T88" s="2" t="s">
        <v>146</v>
      </c>
      <c r="U88" s="2" t="s">
        <v>146</v>
      </c>
      <c r="V88" s="2" t="s">
        <v>146</v>
      </c>
      <c r="Y88" s="2" t="str">
        <f t="shared" si="4"/>
        <v>Ja</v>
      </c>
      <c r="AA88" s="2" t="str">
        <f t="shared" si="5"/>
        <v>Nej</v>
      </c>
      <c r="AB88" s="2" t="str">
        <f t="shared" si="6"/>
        <v>ET</v>
      </c>
      <c r="AC88" s="2">
        <f t="shared" si="7"/>
        <v>0</v>
      </c>
    </row>
    <row r="89" spans="1:29" ht="14.25" x14ac:dyDescent="0.45">
      <c r="A89" s="2" t="s">
        <v>571</v>
      </c>
      <c r="B89" s="2" t="s">
        <v>574</v>
      </c>
      <c r="C89" s="2">
        <v>2019</v>
      </c>
      <c r="D89" s="2" t="s">
        <v>146</v>
      </c>
      <c r="E89" s="2" t="s">
        <v>146</v>
      </c>
      <c r="F89" s="2" t="s">
        <v>1011</v>
      </c>
      <c r="G89" s="2">
        <v>1.1000000000000001</v>
      </c>
      <c r="H89" s="2">
        <v>0</v>
      </c>
      <c r="I89" s="2">
        <v>0</v>
      </c>
      <c r="J89" s="2">
        <v>0</v>
      </c>
      <c r="K89" s="2" t="s">
        <v>49</v>
      </c>
      <c r="L89" s="2" t="s">
        <v>146</v>
      </c>
      <c r="M89" s="2" t="s">
        <v>146</v>
      </c>
      <c r="N89" s="2" t="s">
        <v>146</v>
      </c>
      <c r="O89" s="2" t="s">
        <v>146</v>
      </c>
      <c r="P89" s="2" t="s">
        <v>146</v>
      </c>
      <c r="Q89" s="2" t="s">
        <v>49</v>
      </c>
      <c r="R89" s="2" t="s">
        <v>146</v>
      </c>
      <c r="S89" s="2" t="s">
        <v>146</v>
      </c>
      <c r="T89" s="2" t="s">
        <v>146</v>
      </c>
      <c r="U89" s="2" t="s">
        <v>146</v>
      </c>
      <c r="V89" s="2" t="s">
        <v>146</v>
      </c>
      <c r="Y89" s="2" t="str">
        <f t="shared" si="4"/>
        <v>Ja</v>
      </c>
      <c r="AA89" s="2" t="str">
        <f t="shared" si="5"/>
        <v>Nej</v>
      </c>
      <c r="AB89" s="2" t="str">
        <f t="shared" si="6"/>
        <v>ET</v>
      </c>
      <c r="AC89" s="2">
        <f t="shared" si="7"/>
        <v>0</v>
      </c>
    </row>
    <row r="90" spans="1:29" ht="14.25" x14ac:dyDescent="0.45">
      <c r="A90" s="2" t="s">
        <v>571</v>
      </c>
      <c r="B90" s="2" t="s">
        <v>573</v>
      </c>
      <c r="C90" s="2">
        <v>2019</v>
      </c>
      <c r="D90" s="2" t="s">
        <v>146</v>
      </c>
      <c r="E90" s="2" t="s">
        <v>146</v>
      </c>
      <c r="F90" s="2" t="s">
        <v>1010</v>
      </c>
      <c r="G90" s="2">
        <v>1.1000000000000001</v>
      </c>
      <c r="H90" s="2">
        <v>0</v>
      </c>
      <c r="I90" s="2">
        <v>0</v>
      </c>
      <c r="J90" s="2">
        <v>0</v>
      </c>
      <c r="K90" s="2" t="s">
        <v>49</v>
      </c>
      <c r="L90" s="2" t="s">
        <v>146</v>
      </c>
      <c r="M90" s="2" t="s">
        <v>146</v>
      </c>
      <c r="N90" s="2" t="s">
        <v>146</v>
      </c>
      <c r="O90" s="2" t="s">
        <v>146</v>
      </c>
      <c r="P90" s="2" t="s">
        <v>146</v>
      </c>
      <c r="Q90" s="2" t="s">
        <v>49</v>
      </c>
      <c r="R90" s="2" t="s">
        <v>146</v>
      </c>
      <c r="S90" s="2" t="s">
        <v>146</v>
      </c>
      <c r="T90" s="2" t="s">
        <v>146</v>
      </c>
      <c r="U90" s="2" t="s">
        <v>146</v>
      </c>
      <c r="V90" s="2" t="s">
        <v>146</v>
      </c>
      <c r="Y90" s="2" t="str">
        <f t="shared" si="4"/>
        <v>Ja</v>
      </c>
      <c r="AA90" s="2" t="str">
        <f t="shared" si="5"/>
        <v>Nej</v>
      </c>
      <c r="AB90" s="2" t="str">
        <f t="shared" si="6"/>
        <v>ET</v>
      </c>
      <c r="AC90" s="2">
        <f t="shared" si="7"/>
        <v>0</v>
      </c>
    </row>
    <row r="91" spans="1:29" ht="14.25" x14ac:dyDescent="0.45">
      <c r="A91" s="2" t="s">
        <v>571</v>
      </c>
      <c r="B91" s="2" t="s">
        <v>572</v>
      </c>
      <c r="C91" s="2">
        <v>2019</v>
      </c>
      <c r="D91" s="2" t="s">
        <v>146</v>
      </c>
      <c r="E91" s="2" t="s">
        <v>146</v>
      </c>
      <c r="F91" s="2" t="s">
        <v>1010</v>
      </c>
      <c r="G91" s="2">
        <v>1.1000000000000001</v>
      </c>
      <c r="H91" s="2">
        <v>0</v>
      </c>
      <c r="I91" s="2">
        <v>0</v>
      </c>
      <c r="J91" s="2">
        <v>0</v>
      </c>
      <c r="K91" s="2" t="s">
        <v>49</v>
      </c>
      <c r="L91" s="2" t="s">
        <v>146</v>
      </c>
      <c r="M91" s="2" t="s">
        <v>146</v>
      </c>
      <c r="N91" s="2" t="s">
        <v>146</v>
      </c>
      <c r="O91" s="2" t="s">
        <v>146</v>
      </c>
      <c r="P91" s="2" t="s">
        <v>146</v>
      </c>
      <c r="Q91" s="2" t="s">
        <v>49</v>
      </c>
      <c r="R91" s="2" t="s">
        <v>146</v>
      </c>
      <c r="S91" s="2" t="s">
        <v>146</v>
      </c>
      <c r="T91" s="2" t="s">
        <v>146</v>
      </c>
      <c r="U91" s="2" t="s">
        <v>146</v>
      </c>
      <c r="V91" s="2" t="s">
        <v>146</v>
      </c>
      <c r="Y91" s="2" t="str">
        <f t="shared" si="4"/>
        <v>Ja</v>
      </c>
      <c r="AA91" s="2" t="str">
        <f t="shared" si="5"/>
        <v>Nej</v>
      </c>
      <c r="AB91" s="2" t="str">
        <f t="shared" si="6"/>
        <v>ET</v>
      </c>
      <c r="AC91" s="2">
        <f t="shared" si="7"/>
        <v>0</v>
      </c>
    </row>
    <row r="92" spans="1:29" ht="14.25" x14ac:dyDescent="0.45">
      <c r="A92" s="2" t="s">
        <v>571</v>
      </c>
      <c r="B92" s="2" t="s">
        <v>570</v>
      </c>
      <c r="C92" s="2">
        <v>2019</v>
      </c>
      <c r="D92" s="2" t="s">
        <v>146</v>
      </c>
      <c r="E92" s="2" t="s">
        <v>146</v>
      </c>
      <c r="F92" s="2" t="s">
        <v>1010</v>
      </c>
      <c r="G92" s="2">
        <v>1.1000000000000001</v>
      </c>
      <c r="H92" s="2">
        <v>0</v>
      </c>
      <c r="I92" s="2">
        <v>0</v>
      </c>
      <c r="J92" s="2">
        <v>0</v>
      </c>
      <c r="K92" s="2" t="s">
        <v>49</v>
      </c>
      <c r="L92" s="2" t="s">
        <v>146</v>
      </c>
      <c r="M92" s="2" t="s">
        <v>146</v>
      </c>
      <c r="N92" s="2" t="s">
        <v>146</v>
      </c>
      <c r="O92" s="2" t="s">
        <v>146</v>
      </c>
      <c r="P92" s="2" t="s">
        <v>146</v>
      </c>
      <c r="Q92" s="2" t="s">
        <v>49</v>
      </c>
      <c r="R92" s="2" t="s">
        <v>146</v>
      </c>
      <c r="S92" s="2" t="s">
        <v>146</v>
      </c>
      <c r="T92" s="2" t="s">
        <v>146</v>
      </c>
      <c r="U92" s="2" t="s">
        <v>146</v>
      </c>
      <c r="V92" s="2" t="s">
        <v>146</v>
      </c>
      <c r="Y92" s="2" t="str">
        <f t="shared" si="4"/>
        <v>Ja</v>
      </c>
      <c r="AA92" s="2" t="str">
        <f t="shared" si="5"/>
        <v>Nej</v>
      </c>
      <c r="AB92" s="2" t="str">
        <f t="shared" si="6"/>
        <v>ET</v>
      </c>
      <c r="AC92" s="2">
        <f t="shared" si="7"/>
        <v>0</v>
      </c>
    </row>
    <row r="93" spans="1:29" ht="14.25" x14ac:dyDescent="0.45">
      <c r="A93" s="2" t="s">
        <v>568</v>
      </c>
      <c r="B93" s="2" t="s">
        <v>567</v>
      </c>
      <c r="C93" s="2">
        <v>2019</v>
      </c>
      <c r="D93" s="2">
        <v>1.99</v>
      </c>
      <c r="E93" s="2">
        <v>7.6</v>
      </c>
      <c r="F93" s="2" t="s">
        <v>176</v>
      </c>
      <c r="G93" s="2">
        <v>1.05</v>
      </c>
      <c r="H93" s="2">
        <v>203</v>
      </c>
      <c r="I93" s="2">
        <v>0</v>
      </c>
      <c r="J93" s="2">
        <v>0</v>
      </c>
      <c r="K93" s="2" t="s">
        <v>49</v>
      </c>
      <c r="L93" s="2" t="s">
        <v>146</v>
      </c>
      <c r="M93" s="2" t="s">
        <v>146</v>
      </c>
      <c r="N93" s="2" t="s">
        <v>146</v>
      </c>
      <c r="O93" s="2" t="s">
        <v>146</v>
      </c>
      <c r="P93" s="2" t="s">
        <v>146</v>
      </c>
      <c r="Q93" s="2" t="s">
        <v>176</v>
      </c>
      <c r="R93" s="2">
        <v>2.391</v>
      </c>
      <c r="S93" s="2">
        <v>0.06</v>
      </c>
      <c r="T93" s="2">
        <v>10</v>
      </c>
      <c r="U93" s="2">
        <v>6.85</v>
      </c>
      <c r="V93" s="2">
        <v>0</v>
      </c>
      <c r="Y93" s="2" t="str">
        <f t="shared" si="4"/>
        <v>Ja</v>
      </c>
      <c r="AA93" s="2" t="str">
        <f t="shared" si="5"/>
        <v>Nej</v>
      </c>
      <c r="AB93" s="2" t="str">
        <f t="shared" si="6"/>
        <v>ET</v>
      </c>
      <c r="AC93" s="2">
        <f t="shared" si="7"/>
        <v>0</v>
      </c>
    </row>
    <row r="94" spans="1:29" ht="14.25" x14ac:dyDescent="0.45">
      <c r="A94" s="2" t="s">
        <v>566</v>
      </c>
      <c r="B94" s="2" t="s">
        <v>565</v>
      </c>
      <c r="C94" s="2">
        <v>2019</v>
      </c>
      <c r="D94" s="2">
        <v>0.89600000000000002</v>
      </c>
      <c r="E94" s="2">
        <v>16.992999999999999</v>
      </c>
      <c r="F94" s="2" t="s">
        <v>1009</v>
      </c>
      <c r="G94" s="2">
        <v>0.09</v>
      </c>
      <c r="H94" s="2">
        <v>8.6999999999999993</v>
      </c>
      <c r="I94" s="2">
        <v>0</v>
      </c>
      <c r="J94" s="2">
        <v>0</v>
      </c>
      <c r="K94" s="2" t="s">
        <v>49</v>
      </c>
      <c r="L94" s="2" t="s">
        <v>146</v>
      </c>
      <c r="M94" s="2" t="s">
        <v>146</v>
      </c>
      <c r="N94" s="2" t="s">
        <v>146</v>
      </c>
      <c r="O94" s="2" t="s">
        <v>146</v>
      </c>
      <c r="P94" s="2" t="s">
        <v>146</v>
      </c>
      <c r="Q94" s="2" t="s">
        <v>49</v>
      </c>
      <c r="R94" s="2" t="s">
        <v>146</v>
      </c>
      <c r="S94" s="2" t="s">
        <v>146</v>
      </c>
      <c r="T94" s="2" t="s">
        <v>146</v>
      </c>
      <c r="U94" s="2" t="s">
        <v>146</v>
      </c>
      <c r="V94" s="2" t="s">
        <v>146</v>
      </c>
      <c r="Y94" s="2" t="str">
        <f t="shared" si="4"/>
        <v>Ja</v>
      </c>
      <c r="AA94" s="2" t="str">
        <f t="shared" si="5"/>
        <v>Nej</v>
      </c>
      <c r="AB94" s="2" t="str">
        <f t="shared" si="6"/>
        <v>ET</v>
      </c>
      <c r="AC94" s="2">
        <f t="shared" si="7"/>
        <v>0</v>
      </c>
    </row>
    <row r="95" spans="1:29" ht="14.25" x14ac:dyDescent="0.45">
      <c r="A95" s="2" t="s">
        <v>560</v>
      </c>
      <c r="B95" s="2" t="s">
        <v>564</v>
      </c>
      <c r="C95" s="2">
        <v>2019</v>
      </c>
      <c r="D95" s="2" t="s">
        <v>146</v>
      </c>
      <c r="E95" s="2" t="s">
        <v>146</v>
      </c>
      <c r="F95" s="2" t="s">
        <v>970</v>
      </c>
      <c r="G95" s="2">
        <v>1.3786955400000001</v>
      </c>
      <c r="H95" s="2">
        <v>0</v>
      </c>
      <c r="I95" s="2">
        <v>0</v>
      </c>
      <c r="J95" s="2">
        <v>0</v>
      </c>
      <c r="K95" s="2" t="s">
        <v>176</v>
      </c>
      <c r="L95" s="2" t="s">
        <v>146</v>
      </c>
      <c r="M95" s="2" t="s">
        <v>146</v>
      </c>
      <c r="N95" s="2" t="s">
        <v>146</v>
      </c>
      <c r="O95" s="2" t="s">
        <v>146</v>
      </c>
      <c r="P95" s="2" t="s">
        <v>146</v>
      </c>
      <c r="Q95" s="2" t="s">
        <v>176</v>
      </c>
      <c r="R95" s="2" t="s">
        <v>146</v>
      </c>
      <c r="S95" s="2" t="s">
        <v>146</v>
      </c>
      <c r="T95" s="2" t="s">
        <v>146</v>
      </c>
      <c r="U95" s="2" t="s">
        <v>146</v>
      </c>
      <c r="V95" s="2" t="s">
        <v>146</v>
      </c>
      <c r="Y95" s="2" t="str">
        <f t="shared" si="4"/>
        <v>Ja</v>
      </c>
      <c r="AA95" s="2" t="str">
        <f t="shared" si="5"/>
        <v>Nej</v>
      </c>
      <c r="AB95" s="2" t="str">
        <f t="shared" si="6"/>
        <v>ET</v>
      </c>
      <c r="AC95" s="2">
        <f t="shared" si="7"/>
        <v>0</v>
      </c>
    </row>
    <row r="96" spans="1:29" ht="14.25" x14ac:dyDescent="0.45">
      <c r="A96" s="2" t="s">
        <v>560</v>
      </c>
      <c r="B96" s="2" t="s">
        <v>563</v>
      </c>
      <c r="C96" s="2">
        <v>2019</v>
      </c>
      <c r="D96" s="2">
        <v>53.625999999999998</v>
      </c>
      <c r="E96" s="2">
        <v>6.7839999999999998</v>
      </c>
      <c r="F96" s="2" t="s">
        <v>1008</v>
      </c>
      <c r="G96" s="2">
        <v>1.3786955400000001</v>
      </c>
      <c r="H96" s="2">
        <v>0</v>
      </c>
      <c r="I96" s="2">
        <v>0</v>
      </c>
      <c r="J96" s="2">
        <v>0</v>
      </c>
      <c r="K96" s="2" t="s">
        <v>176</v>
      </c>
      <c r="L96" s="2">
        <v>109.63500000000001</v>
      </c>
      <c r="M96" s="2">
        <v>0.02</v>
      </c>
      <c r="N96" s="2">
        <v>2.3359999999999999</v>
      </c>
      <c r="O96" s="2">
        <v>4.0890000000000004</v>
      </c>
      <c r="P96" s="2">
        <v>0</v>
      </c>
      <c r="Q96" s="2" t="s">
        <v>176</v>
      </c>
      <c r="R96" s="2">
        <v>114.73</v>
      </c>
      <c r="S96" s="2">
        <v>0.13500000000000001</v>
      </c>
      <c r="T96" s="2">
        <v>37.726999999999997</v>
      </c>
      <c r="U96" s="2">
        <v>4.1970000000000001</v>
      </c>
      <c r="V96" s="2">
        <v>5.64</v>
      </c>
      <c r="Y96" s="2" t="str">
        <f t="shared" si="4"/>
        <v>Ja</v>
      </c>
      <c r="AA96" s="2" t="str">
        <f t="shared" si="5"/>
        <v>Nej</v>
      </c>
      <c r="AB96" s="2">
        <f t="shared" si="6"/>
        <v>109.63500000000001</v>
      </c>
      <c r="AC96" s="2">
        <f t="shared" si="7"/>
        <v>0</v>
      </c>
    </row>
    <row r="97" spans="1:29" ht="14.25" x14ac:dyDescent="0.45">
      <c r="A97" s="2" t="s">
        <v>560</v>
      </c>
      <c r="B97" s="2" t="s">
        <v>562</v>
      </c>
      <c r="C97" s="2">
        <v>2019</v>
      </c>
      <c r="D97" s="2">
        <v>2.63</v>
      </c>
      <c r="E97" s="2">
        <v>0.26400000000000001</v>
      </c>
      <c r="F97" s="2" t="s">
        <v>905</v>
      </c>
      <c r="G97" s="2">
        <v>2</v>
      </c>
      <c r="H97" s="2">
        <v>0</v>
      </c>
      <c r="I97" s="2">
        <v>0</v>
      </c>
      <c r="J97" s="2">
        <v>0</v>
      </c>
      <c r="K97" s="2" t="s">
        <v>49</v>
      </c>
      <c r="L97" s="2" t="s">
        <v>146</v>
      </c>
      <c r="M97" s="2" t="s">
        <v>146</v>
      </c>
      <c r="N97" s="2" t="s">
        <v>146</v>
      </c>
      <c r="O97" s="2" t="s">
        <v>146</v>
      </c>
      <c r="P97" s="2" t="s">
        <v>146</v>
      </c>
      <c r="Q97" s="2" t="s">
        <v>49</v>
      </c>
      <c r="R97" s="2" t="s">
        <v>146</v>
      </c>
      <c r="S97" s="2" t="s">
        <v>146</v>
      </c>
      <c r="T97" s="2" t="s">
        <v>146</v>
      </c>
      <c r="U97" s="2" t="s">
        <v>146</v>
      </c>
      <c r="V97" s="2" t="s">
        <v>146</v>
      </c>
      <c r="Y97" s="2" t="str">
        <f t="shared" si="4"/>
        <v>Ja</v>
      </c>
      <c r="AA97" s="2" t="str">
        <f t="shared" si="5"/>
        <v>Nej</v>
      </c>
      <c r="AB97" s="2" t="str">
        <f t="shared" si="6"/>
        <v>ET</v>
      </c>
      <c r="AC97" s="2">
        <f t="shared" si="7"/>
        <v>0</v>
      </c>
    </row>
    <row r="98" spans="1:29" ht="14.25" x14ac:dyDescent="0.45">
      <c r="A98" s="2" t="s">
        <v>560</v>
      </c>
      <c r="B98" s="2" t="s">
        <v>560</v>
      </c>
      <c r="C98" s="2">
        <v>2019</v>
      </c>
      <c r="D98" s="2" t="s">
        <v>146</v>
      </c>
      <c r="E98" s="2" t="s">
        <v>146</v>
      </c>
      <c r="F98" s="2" t="s">
        <v>970</v>
      </c>
      <c r="G98" s="2">
        <v>1.3786955400000001</v>
      </c>
      <c r="H98" s="2">
        <v>0</v>
      </c>
      <c r="I98" s="2">
        <v>0</v>
      </c>
      <c r="J98" s="2">
        <v>0</v>
      </c>
      <c r="K98" s="2" t="s">
        <v>176</v>
      </c>
      <c r="L98" s="2" t="s">
        <v>146</v>
      </c>
      <c r="M98" s="2" t="s">
        <v>146</v>
      </c>
      <c r="N98" s="2" t="s">
        <v>146</v>
      </c>
      <c r="O98" s="2" t="s">
        <v>146</v>
      </c>
      <c r="P98" s="2" t="s">
        <v>146</v>
      </c>
      <c r="Q98" s="2" t="s">
        <v>176</v>
      </c>
      <c r="R98" s="2" t="s">
        <v>146</v>
      </c>
      <c r="S98" s="2" t="s">
        <v>146</v>
      </c>
      <c r="T98" s="2" t="s">
        <v>146</v>
      </c>
      <c r="U98" s="2" t="s">
        <v>146</v>
      </c>
      <c r="V98" s="2" t="s">
        <v>146</v>
      </c>
      <c r="Y98" s="2" t="str">
        <f t="shared" si="4"/>
        <v>Ja</v>
      </c>
      <c r="AA98" s="2" t="str">
        <f t="shared" si="5"/>
        <v>Nej</v>
      </c>
      <c r="AB98" s="2" t="str">
        <f t="shared" si="6"/>
        <v>ET</v>
      </c>
      <c r="AC98" s="2">
        <f t="shared" si="7"/>
        <v>0</v>
      </c>
    </row>
    <row r="99" spans="1:29" ht="14.25" x14ac:dyDescent="0.45">
      <c r="A99" s="2" t="s">
        <v>560</v>
      </c>
      <c r="B99" s="2" t="s">
        <v>561</v>
      </c>
      <c r="C99" s="2">
        <v>2019</v>
      </c>
      <c r="D99" s="2" t="s">
        <v>146</v>
      </c>
      <c r="E99" s="2" t="s">
        <v>146</v>
      </c>
      <c r="F99" s="2" t="s">
        <v>970</v>
      </c>
      <c r="G99" s="2">
        <v>1.3786955400000001</v>
      </c>
      <c r="H99" s="2">
        <v>0</v>
      </c>
      <c r="I99" s="2">
        <v>0</v>
      </c>
      <c r="J99" s="2">
        <v>0</v>
      </c>
      <c r="K99" s="2" t="s">
        <v>49</v>
      </c>
      <c r="L99" s="2" t="s">
        <v>146</v>
      </c>
      <c r="M99" s="2" t="s">
        <v>146</v>
      </c>
      <c r="N99" s="2" t="s">
        <v>146</v>
      </c>
      <c r="O99" s="2" t="s">
        <v>146</v>
      </c>
      <c r="P99" s="2" t="s">
        <v>146</v>
      </c>
      <c r="Q99" s="2" t="s">
        <v>49</v>
      </c>
      <c r="R99" s="2" t="s">
        <v>146</v>
      </c>
      <c r="S99" s="2" t="s">
        <v>146</v>
      </c>
      <c r="T99" s="2" t="s">
        <v>146</v>
      </c>
      <c r="U99" s="2" t="s">
        <v>146</v>
      </c>
      <c r="V99" s="2" t="s">
        <v>146</v>
      </c>
      <c r="Y99" s="2" t="str">
        <f t="shared" si="4"/>
        <v>Ja</v>
      </c>
      <c r="AA99" s="2" t="str">
        <f t="shared" si="5"/>
        <v>Nej</v>
      </c>
      <c r="AB99" s="2" t="str">
        <f t="shared" si="6"/>
        <v>ET</v>
      </c>
      <c r="AC99" s="2">
        <f t="shared" si="7"/>
        <v>0</v>
      </c>
    </row>
    <row r="100" spans="1:29" ht="14.25" x14ac:dyDescent="0.45">
      <c r="A100" s="2" t="s">
        <v>560</v>
      </c>
      <c r="B100" s="2" t="s">
        <v>559</v>
      </c>
      <c r="C100" s="2">
        <v>2019</v>
      </c>
      <c r="D100" s="2" t="s">
        <v>146</v>
      </c>
      <c r="E100" s="2" t="s">
        <v>146</v>
      </c>
      <c r="F100" s="2" t="s">
        <v>970</v>
      </c>
      <c r="G100" s="2">
        <v>1.3786955400000001</v>
      </c>
      <c r="H100" s="2">
        <v>0</v>
      </c>
      <c r="I100" s="2">
        <v>0</v>
      </c>
      <c r="J100" s="2">
        <v>0</v>
      </c>
      <c r="K100" s="2" t="s">
        <v>176</v>
      </c>
      <c r="L100" s="2" t="s">
        <v>146</v>
      </c>
      <c r="M100" s="2" t="s">
        <v>146</v>
      </c>
      <c r="N100" s="2" t="s">
        <v>146</v>
      </c>
      <c r="O100" s="2" t="s">
        <v>146</v>
      </c>
      <c r="P100" s="2" t="s">
        <v>146</v>
      </c>
      <c r="Q100" s="2" t="s">
        <v>176</v>
      </c>
      <c r="R100" s="2" t="s">
        <v>146</v>
      </c>
      <c r="S100" s="2" t="s">
        <v>146</v>
      </c>
      <c r="T100" s="2" t="s">
        <v>146</v>
      </c>
      <c r="U100" s="2" t="s">
        <v>146</v>
      </c>
      <c r="V100" s="2" t="s">
        <v>146</v>
      </c>
      <c r="Y100" s="2" t="str">
        <f t="shared" si="4"/>
        <v>Ja</v>
      </c>
      <c r="AA100" s="2" t="str">
        <f t="shared" si="5"/>
        <v>Nej</v>
      </c>
      <c r="AB100" s="2" t="str">
        <f t="shared" si="6"/>
        <v>ET</v>
      </c>
      <c r="AC100" s="2">
        <f t="shared" si="7"/>
        <v>0</v>
      </c>
    </row>
    <row r="101" spans="1:29" ht="14.25" x14ac:dyDescent="0.45">
      <c r="A101" s="2" t="s">
        <v>556</v>
      </c>
      <c r="B101" s="2" t="s">
        <v>558</v>
      </c>
      <c r="C101" s="2">
        <v>2019</v>
      </c>
      <c r="D101" s="2">
        <v>3.39</v>
      </c>
      <c r="E101" s="2">
        <v>0</v>
      </c>
      <c r="F101" s="2" t="s">
        <v>913</v>
      </c>
      <c r="G101" s="2">
        <v>1.1100000000000001</v>
      </c>
      <c r="H101" s="2">
        <v>9</v>
      </c>
      <c r="I101" s="2">
        <v>0</v>
      </c>
      <c r="J101" s="2">
        <v>0</v>
      </c>
      <c r="K101" s="2" t="s">
        <v>176</v>
      </c>
      <c r="L101" s="2" t="s">
        <v>146</v>
      </c>
      <c r="M101" s="2" t="s">
        <v>146</v>
      </c>
      <c r="N101" s="2" t="s">
        <v>146</v>
      </c>
      <c r="O101" s="2" t="s">
        <v>146</v>
      </c>
      <c r="P101" s="2" t="s">
        <v>146</v>
      </c>
      <c r="Q101" s="2" t="s">
        <v>176</v>
      </c>
      <c r="R101" s="2" t="s">
        <v>146</v>
      </c>
      <c r="S101" s="2" t="s">
        <v>146</v>
      </c>
      <c r="T101" s="2" t="s">
        <v>146</v>
      </c>
      <c r="U101" s="2" t="s">
        <v>146</v>
      </c>
      <c r="V101" s="2" t="s">
        <v>146</v>
      </c>
      <c r="Y101" s="2" t="str">
        <f t="shared" si="4"/>
        <v>Ja</v>
      </c>
      <c r="AA101" s="2" t="str">
        <f t="shared" si="5"/>
        <v>Nej</v>
      </c>
      <c r="AB101" s="2" t="str">
        <f t="shared" si="6"/>
        <v>ET</v>
      </c>
      <c r="AC101" s="2">
        <f t="shared" si="7"/>
        <v>0</v>
      </c>
    </row>
    <row r="102" spans="1:29" ht="14.25" x14ac:dyDescent="0.45">
      <c r="A102" s="2" t="s">
        <v>556</v>
      </c>
      <c r="B102" s="2" t="s">
        <v>555</v>
      </c>
      <c r="C102" s="2">
        <v>2019</v>
      </c>
      <c r="D102" s="2" t="s">
        <v>146</v>
      </c>
      <c r="E102" s="2" t="s">
        <v>146</v>
      </c>
      <c r="F102" s="2" t="s">
        <v>913</v>
      </c>
      <c r="G102" s="2">
        <v>1.1100000000000001</v>
      </c>
      <c r="H102" s="2">
        <v>9</v>
      </c>
      <c r="I102" s="2">
        <v>0</v>
      </c>
      <c r="J102" s="2">
        <v>0</v>
      </c>
      <c r="K102" s="2" t="s">
        <v>176</v>
      </c>
      <c r="L102" s="2" t="s">
        <v>146</v>
      </c>
      <c r="M102" s="2" t="s">
        <v>146</v>
      </c>
      <c r="N102" s="2" t="s">
        <v>146</v>
      </c>
      <c r="O102" s="2" t="s">
        <v>146</v>
      </c>
      <c r="P102" s="2" t="s">
        <v>146</v>
      </c>
      <c r="Q102" s="2" t="s">
        <v>176</v>
      </c>
      <c r="R102" s="2" t="s">
        <v>146</v>
      </c>
      <c r="S102" s="2" t="s">
        <v>146</v>
      </c>
      <c r="T102" s="2" t="s">
        <v>146</v>
      </c>
      <c r="U102" s="2" t="s">
        <v>146</v>
      </c>
      <c r="V102" s="2" t="s">
        <v>146</v>
      </c>
      <c r="Y102" s="2" t="str">
        <f t="shared" si="4"/>
        <v>Ja</v>
      </c>
      <c r="AA102" s="2" t="str">
        <f t="shared" si="5"/>
        <v>Nej</v>
      </c>
      <c r="AB102" s="2" t="str">
        <f t="shared" si="6"/>
        <v>ET</v>
      </c>
      <c r="AC102" s="2">
        <f t="shared" si="7"/>
        <v>0</v>
      </c>
    </row>
    <row r="103" spans="1:29" ht="14.25" x14ac:dyDescent="0.45">
      <c r="A103" s="2" t="s">
        <v>554</v>
      </c>
      <c r="B103" s="2" t="s">
        <v>553</v>
      </c>
      <c r="C103" s="2">
        <v>2019</v>
      </c>
      <c r="D103" s="2">
        <v>0.25</v>
      </c>
      <c r="E103" s="2" t="s">
        <v>146</v>
      </c>
      <c r="F103" s="2" t="s">
        <v>1007</v>
      </c>
      <c r="G103" s="2">
        <v>1.1000000000000001</v>
      </c>
      <c r="H103" s="2">
        <v>0</v>
      </c>
      <c r="I103" s="2">
        <v>0</v>
      </c>
      <c r="J103" s="2">
        <v>0</v>
      </c>
      <c r="K103" s="2" t="s">
        <v>49</v>
      </c>
      <c r="L103" s="2" t="s">
        <v>146</v>
      </c>
      <c r="M103" s="2" t="s">
        <v>146</v>
      </c>
      <c r="N103" s="2" t="s">
        <v>146</v>
      </c>
      <c r="O103" s="2" t="s">
        <v>146</v>
      </c>
      <c r="P103" s="2" t="s">
        <v>146</v>
      </c>
      <c r="Q103" s="2" t="s">
        <v>49</v>
      </c>
      <c r="R103" s="2" t="s">
        <v>146</v>
      </c>
      <c r="S103" s="2" t="s">
        <v>146</v>
      </c>
      <c r="T103" s="2" t="s">
        <v>146</v>
      </c>
      <c r="U103" s="2" t="s">
        <v>146</v>
      </c>
      <c r="V103" s="2" t="s">
        <v>146</v>
      </c>
      <c r="Y103" s="2" t="str">
        <f t="shared" si="4"/>
        <v>Ja</v>
      </c>
      <c r="AA103" s="2" t="str">
        <f t="shared" si="5"/>
        <v>Nej</v>
      </c>
      <c r="AB103" s="2" t="str">
        <f t="shared" si="6"/>
        <v>ET</v>
      </c>
      <c r="AC103" s="2">
        <f t="shared" si="7"/>
        <v>0</v>
      </c>
    </row>
    <row r="104" spans="1:29" ht="14.25" x14ac:dyDescent="0.45">
      <c r="A104" s="2" t="s">
        <v>550</v>
      </c>
      <c r="B104" s="2" t="s">
        <v>552</v>
      </c>
      <c r="C104" s="2">
        <v>2019</v>
      </c>
      <c r="D104" s="2">
        <v>0.22</v>
      </c>
      <c r="E104" s="2" t="s">
        <v>146</v>
      </c>
      <c r="F104" s="2" t="s">
        <v>176</v>
      </c>
      <c r="G104" s="2">
        <v>2.2000000000000002</v>
      </c>
      <c r="H104" s="2">
        <v>250.8</v>
      </c>
      <c r="I104" s="2">
        <v>0.35</v>
      </c>
      <c r="J104" s="2">
        <v>0.3977</v>
      </c>
      <c r="K104" s="2" t="s">
        <v>49</v>
      </c>
      <c r="L104" s="2" t="s">
        <v>146</v>
      </c>
      <c r="M104" s="2" t="s">
        <v>146</v>
      </c>
      <c r="N104" s="2" t="s">
        <v>146</v>
      </c>
      <c r="O104" s="2" t="s">
        <v>146</v>
      </c>
      <c r="P104" s="2" t="s">
        <v>146</v>
      </c>
      <c r="Q104" s="2" t="s">
        <v>49</v>
      </c>
      <c r="R104" s="2" t="s">
        <v>146</v>
      </c>
      <c r="S104" s="2" t="s">
        <v>146</v>
      </c>
      <c r="T104" s="2" t="s">
        <v>146</v>
      </c>
      <c r="U104" s="2" t="s">
        <v>146</v>
      </c>
      <c r="V104" s="2" t="s">
        <v>146</v>
      </c>
      <c r="Y104" s="2" t="str">
        <f t="shared" si="4"/>
        <v>Ja</v>
      </c>
      <c r="AA104" s="2" t="str">
        <f t="shared" si="5"/>
        <v>Nej</v>
      </c>
      <c r="AB104" s="2" t="str">
        <f t="shared" si="6"/>
        <v>ET</v>
      </c>
      <c r="AC104" s="2">
        <f t="shared" si="7"/>
        <v>0</v>
      </c>
    </row>
    <row r="105" spans="1:29" ht="14.25" x14ac:dyDescent="0.45">
      <c r="A105" s="2" t="s">
        <v>550</v>
      </c>
      <c r="B105" s="2" t="s">
        <v>551</v>
      </c>
      <c r="C105" s="2">
        <v>2019</v>
      </c>
      <c r="D105" s="2">
        <v>0.98699999999999999</v>
      </c>
      <c r="E105" s="2" t="s">
        <v>146</v>
      </c>
      <c r="F105" s="2" t="s">
        <v>176</v>
      </c>
      <c r="G105" s="2">
        <v>2.2000000000000002</v>
      </c>
      <c r="H105" s="2">
        <v>250.8</v>
      </c>
      <c r="I105" s="2">
        <v>0.35</v>
      </c>
      <c r="J105" s="2">
        <v>0.3977</v>
      </c>
      <c r="K105" s="2" t="s">
        <v>49</v>
      </c>
      <c r="L105" s="2" t="s">
        <v>146</v>
      </c>
      <c r="M105" s="2" t="s">
        <v>146</v>
      </c>
      <c r="N105" s="2" t="s">
        <v>146</v>
      </c>
      <c r="O105" s="2" t="s">
        <v>146</v>
      </c>
      <c r="P105" s="2" t="s">
        <v>146</v>
      </c>
      <c r="Q105" s="2" t="s">
        <v>49</v>
      </c>
      <c r="R105" s="2" t="s">
        <v>146</v>
      </c>
      <c r="S105" s="2" t="s">
        <v>146</v>
      </c>
      <c r="T105" s="2" t="s">
        <v>146</v>
      </c>
      <c r="U105" s="2" t="s">
        <v>146</v>
      </c>
      <c r="V105" s="2" t="s">
        <v>146</v>
      </c>
      <c r="Y105" s="2" t="str">
        <f t="shared" si="4"/>
        <v>Ja</v>
      </c>
      <c r="AA105" s="2" t="str">
        <f t="shared" si="5"/>
        <v>Nej</v>
      </c>
      <c r="AB105" s="2" t="str">
        <f t="shared" si="6"/>
        <v>ET</v>
      </c>
      <c r="AC105" s="2">
        <f t="shared" si="7"/>
        <v>0</v>
      </c>
    </row>
    <row r="106" spans="1:29" ht="14.25" x14ac:dyDescent="0.45">
      <c r="A106" s="2" t="s">
        <v>550</v>
      </c>
      <c r="B106" s="2" t="s">
        <v>549</v>
      </c>
      <c r="C106" s="2">
        <v>2019</v>
      </c>
      <c r="D106" s="2" t="s">
        <v>146</v>
      </c>
      <c r="E106" s="2" t="s">
        <v>146</v>
      </c>
      <c r="F106" s="2" t="s">
        <v>49</v>
      </c>
      <c r="G106" s="2">
        <v>2.2000000000000002</v>
      </c>
      <c r="H106" s="2">
        <v>250.8</v>
      </c>
      <c r="I106" s="2">
        <v>0.35</v>
      </c>
      <c r="J106" s="2">
        <v>0.3977</v>
      </c>
      <c r="K106" s="2" t="s">
        <v>49</v>
      </c>
      <c r="L106" s="2" t="s">
        <v>146</v>
      </c>
      <c r="M106" s="2" t="s">
        <v>146</v>
      </c>
      <c r="N106" s="2" t="s">
        <v>146</v>
      </c>
      <c r="O106" s="2" t="s">
        <v>146</v>
      </c>
      <c r="P106" s="2" t="s">
        <v>146</v>
      </c>
      <c r="Q106" s="2" t="s">
        <v>49</v>
      </c>
      <c r="R106" s="2" t="s">
        <v>146</v>
      </c>
      <c r="S106" s="2" t="s">
        <v>146</v>
      </c>
      <c r="T106" s="2" t="s">
        <v>146</v>
      </c>
      <c r="U106" s="2" t="s">
        <v>146</v>
      </c>
      <c r="V106" s="2" t="s">
        <v>146</v>
      </c>
      <c r="Y106" s="2" t="str">
        <f t="shared" si="4"/>
        <v>Ja</v>
      </c>
      <c r="AA106" s="2" t="str">
        <f t="shared" si="5"/>
        <v>Nej</v>
      </c>
      <c r="AB106" s="2" t="str">
        <f t="shared" si="6"/>
        <v>ET</v>
      </c>
      <c r="AC106" s="2">
        <f t="shared" si="7"/>
        <v>0</v>
      </c>
    </row>
    <row r="107" spans="1:29" ht="14.25" x14ac:dyDescent="0.45">
      <c r="A107" s="2" t="s">
        <v>548</v>
      </c>
      <c r="B107" s="2" t="s">
        <v>547</v>
      </c>
      <c r="C107" s="2">
        <v>2019</v>
      </c>
      <c r="D107" s="2">
        <v>11.151999999999999</v>
      </c>
      <c r="E107" s="2">
        <v>18.718</v>
      </c>
      <c r="F107" s="2" t="s">
        <v>1006</v>
      </c>
      <c r="G107" s="2">
        <v>1.1000000000000001</v>
      </c>
      <c r="H107" s="2">
        <v>0</v>
      </c>
      <c r="I107" s="2">
        <v>0</v>
      </c>
      <c r="J107" s="2">
        <v>0</v>
      </c>
      <c r="K107" s="2" t="s">
        <v>49</v>
      </c>
      <c r="L107" s="2" t="s">
        <v>146</v>
      </c>
      <c r="M107" s="2" t="s">
        <v>146</v>
      </c>
      <c r="N107" s="2" t="s">
        <v>146</v>
      </c>
      <c r="O107" s="2" t="s">
        <v>146</v>
      </c>
      <c r="P107" s="2" t="s">
        <v>146</v>
      </c>
      <c r="Q107" s="2" t="s">
        <v>1005</v>
      </c>
      <c r="R107" s="2">
        <v>3.7</v>
      </c>
      <c r="S107" s="2">
        <v>0.03</v>
      </c>
      <c r="T107" s="2">
        <v>8.9600000000000009</v>
      </c>
      <c r="U107" s="2">
        <v>6.92</v>
      </c>
      <c r="V107" s="2">
        <v>0</v>
      </c>
      <c r="Y107" s="2" t="str">
        <f t="shared" si="4"/>
        <v>Ja</v>
      </c>
      <c r="AA107" s="2" t="str">
        <f t="shared" si="5"/>
        <v>Nej</v>
      </c>
      <c r="AB107" s="2" t="str">
        <f t="shared" si="6"/>
        <v>ET</v>
      </c>
      <c r="AC107" s="2">
        <f t="shared" si="7"/>
        <v>0</v>
      </c>
    </row>
    <row r="108" spans="1:29" ht="14.25" x14ac:dyDescent="0.45">
      <c r="A108" s="2" t="s">
        <v>546</v>
      </c>
      <c r="B108" s="2" t="s">
        <v>545</v>
      </c>
      <c r="C108" s="2">
        <v>2019</v>
      </c>
      <c r="D108" s="2">
        <v>0.38</v>
      </c>
      <c r="E108" s="2" t="s">
        <v>146</v>
      </c>
      <c r="F108" s="2" t="s">
        <v>1004</v>
      </c>
      <c r="G108" s="2">
        <v>1.4</v>
      </c>
      <c r="H108" s="2">
        <v>0</v>
      </c>
      <c r="I108" s="2">
        <v>0</v>
      </c>
      <c r="J108" s="2">
        <v>0</v>
      </c>
      <c r="K108" s="2" t="s">
        <v>1003</v>
      </c>
      <c r="L108" s="2">
        <v>57.9</v>
      </c>
      <c r="M108" s="2">
        <v>0.11</v>
      </c>
      <c r="N108" s="2">
        <v>38.44</v>
      </c>
      <c r="O108" s="2">
        <v>5.26</v>
      </c>
      <c r="P108" s="2">
        <v>0.5</v>
      </c>
      <c r="Q108" s="2" t="s">
        <v>146</v>
      </c>
      <c r="R108" s="2" t="s">
        <v>146</v>
      </c>
      <c r="S108" s="2" t="s">
        <v>146</v>
      </c>
      <c r="T108" s="2" t="s">
        <v>146</v>
      </c>
      <c r="U108" s="2" t="s">
        <v>146</v>
      </c>
      <c r="V108" s="2" t="s">
        <v>146</v>
      </c>
      <c r="Y108" s="2" t="str">
        <f t="shared" si="4"/>
        <v>Ja</v>
      </c>
      <c r="AA108" s="2" t="str">
        <f t="shared" si="5"/>
        <v>Nej</v>
      </c>
      <c r="AB108" s="2">
        <f t="shared" si="6"/>
        <v>57.9</v>
      </c>
      <c r="AC108" s="2">
        <f t="shared" si="7"/>
        <v>0</v>
      </c>
    </row>
    <row r="109" spans="1:29" ht="14.25" x14ac:dyDescent="0.45">
      <c r="A109" s="2" t="s">
        <v>543</v>
      </c>
      <c r="B109" s="2" t="s">
        <v>544</v>
      </c>
      <c r="C109" s="2">
        <v>2019</v>
      </c>
      <c r="D109" s="2">
        <v>0.14899999999999999</v>
      </c>
      <c r="E109" s="2" t="s">
        <v>146</v>
      </c>
      <c r="F109" s="2" t="s">
        <v>1002</v>
      </c>
      <c r="G109" s="2">
        <v>1.1000000000000001</v>
      </c>
      <c r="H109" s="2">
        <v>0</v>
      </c>
      <c r="I109" s="2">
        <v>0</v>
      </c>
      <c r="J109" s="2">
        <v>0</v>
      </c>
      <c r="K109" s="2" t="s">
        <v>49</v>
      </c>
      <c r="L109" s="2" t="s">
        <v>146</v>
      </c>
      <c r="M109" s="2" t="s">
        <v>146</v>
      </c>
      <c r="N109" s="2" t="s">
        <v>146</v>
      </c>
      <c r="O109" s="2" t="s">
        <v>146</v>
      </c>
      <c r="P109" s="2" t="s">
        <v>146</v>
      </c>
      <c r="Q109" s="2" t="s">
        <v>49</v>
      </c>
      <c r="R109" s="2" t="s">
        <v>146</v>
      </c>
      <c r="S109" s="2" t="s">
        <v>146</v>
      </c>
      <c r="T109" s="2" t="s">
        <v>146</v>
      </c>
      <c r="U109" s="2" t="s">
        <v>146</v>
      </c>
      <c r="V109" s="2" t="s">
        <v>146</v>
      </c>
      <c r="Y109" s="2" t="str">
        <f t="shared" si="4"/>
        <v>Ja</v>
      </c>
      <c r="AA109" s="2" t="str">
        <f t="shared" si="5"/>
        <v>Nej</v>
      </c>
      <c r="AB109" s="2" t="str">
        <f t="shared" si="6"/>
        <v>ET</v>
      </c>
      <c r="AC109" s="2">
        <f t="shared" si="7"/>
        <v>0</v>
      </c>
    </row>
    <row r="110" spans="1:29" ht="14.25" x14ac:dyDescent="0.45">
      <c r="A110" s="2" t="s">
        <v>543</v>
      </c>
      <c r="B110" s="2" t="s">
        <v>542</v>
      </c>
      <c r="C110" s="2">
        <v>2019</v>
      </c>
      <c r="D110" s="2">
        <v>0.44800000000000001</v>
      </c>
      <c r="E110" s="2" t="s">
        <v>146</v>
      </c>
      <c r="F110" s="2" t="s">
        <v>1001</v>
      </c>
      <c r="G110" s="2">
        <v>1.1000000000000001</v>
      </c>
      <c r="H110" s="2">
        <v>0</v>
      </c>
      <c r="I110" s="2">
        <v>0</v>
      </c>
      <c r="J110" s="2">
        <v>0</v>
      </c>
      <c r="K110" s="2" t="s">
        <v>49</v>
      </c>
      <c r="L110" s="2" t="s">
        <v>146</v>
      </c>
      <c r="M110" s="2" t="s">
        <v>146</v>
      </c>
      <c r="N110" s="2" t="s">
        <v>146</v>
      </c>
      <c r="O110" s="2" t="s">
        <v>146</v>
      </c>
      <c r="P110" s="2" t="s">
        <v>146</v>
      </c>
      <c r="Q110" s="2" t="s">
        <v>49</v>
      </c>
      <c r="R110" s="2" t="s">
        <v>146</v>
      </c>
      <c r="S110" s="2" t="s">
        <v>146</v>
      </c>
      <c r="T110" s="2" t="s">
        <v>146</v>
      </c>
      <c r="U110" s="2" t="s">
        <v>146</v>
      </c>
      <c r="V110" s="2" t="s">
        <v>146</v>
      </c>
      <c r="Y110" s="2" t="str">
        <f t="shared" si="4"/>
        <v>Ja</v>
      </c>
      <c r="AA110" s="2" t="str">
        <f t="shared" si="5"/>
        <v>Nej</v>
      </c>
      <c r="AB110" s="2" t="str">
        <f t="shared" si="6"/>
        <v>ET</v>
      </c>
      <c r="AC110" s="2">
        <f t="shared" si="7"/>
        <v>0</v>
      </c>
    </row>
    <row r="111" spans="1:29" ht="14.25" x14ac:dyDescent="0.45">
      <c r="A111" s="2" t="s">
        <v>538</v>
      </c>
      <c r="B111" s="2" t="s">
        <v>541</v>
      </c>
      <c r="C111" s="2">
        <v>2019</v>
      </c>
      <c r="D111" s="2">
        <v>1</v>
      </c>
      <c r="E111" s="2">
        <v>1.5</v>
      </c>
      <c r="F111" s="2" t="s">
        <v>49</v>
      </c>
      <c r="G111" s="2">
        <v>2.2000000000000002</v>
      </c>
      <c r="H111" s="2">
        <v>250.8</v>
      </c>
      <c r="I111" s="2">
        <v>0.35</v>
      </c>
      <c r="J111" s="2">
        <v>0.3977</v>
      </c>
      <c r="K111" s="2" t="s">
        <v>49</v>
      </c>
      <c r="L111" s="2" t="s">
        <v>146</v>
      </c>
      <c r="M111" s="2" t="s">
        <v>146</v>
      </c>
      <c r="N111" s="2" t="s">
        <v>146</v>
      </c>
      <c r="O111" s="2" t="s">
        <v>146</v>
      </c>
      <c r="P111" s="2" t="s">
        <v>146</v>
      </c>
      <c r="Q111" s="2" t="s">
        <v>49</v>
      </c>
      <c r="R111" s="2" t="s">
        <v>146</v>
      </c>
      <c r="S111" s="2" t="s">
        <v>146</v>
      </c>
      <c r="T111" s="2" t="s">
        <v>146</v>
      </c>
      <c r="U111" s="2" t="s">
        <v>146</v>
      </c>
      <c r="V111" s="2" t="s">
        <v>146</v>
      </c>
      <c r="Y111" s="2" t="str">
        <f t="shared" si="4"/>
        <v>Ja</v>
      </c>
      <c r="AA111" s="2" t="str">
        <f t="shared" si="5"/>
        <v>Nej</v>
      </c>
      <c r="AB111" s="2" t="str">
        <f t="shared" si="6"/>
        <v>ET</v>
      </c>
      <c r="AC111" s="2">
        <f t="shared" si="7"/>
        <v>0</v>
      </c>
    </row>
    <row r="112" spans="1:29" ht="14.25" x14ac:dyDescent="0.45">
      <c r="A112" s="2" t="s">
        <v>538</v>
      </c>
      <c r="B112" s="2" t="s">
        <v>540</v>
      </c>
      <c r="C112" s="2">
        <v>2019</v>
      </c>
      <c r="D112" s="2">
        <v>0.18</v>
      </c>
      <c r="E112" s="2" t="s">
        <v>146</v>
      </c>
      <c r="F112" s="2" t="s">
        <v>1000</v>
      </c>
      <c r="G112" s="2">
        <v>1.05</v>
      </c>
      <c r="H112" s="2">
        <v>4</v>
      </c>
      <c r="I112" s="2">
        <v>0</v>
      </c>
      <c r="J112" s="2">
        <v>0</v>
      </c>
      <c r="K112" s="2" t="s">
        <v>49</v>
      </c>
      <c r="L112" s="2" t="s">
        <v>146</v>
      </c>
      <c r="M112" s="2" t="s">
        <v>146</v>
      </c>
      <c r="N112" s="2" t="s">
        <v>146</v>
      </c>
      <c r="O112" s="2" t="s">
        <v>146</v>
      </c>
      <c r="P112" s="2" t="s">
        <v>146</v>
      </c>
      <c r="Q112" s="2" t="s">
        <v>49</v>
      </c>
      <c r="R112" s="2" t="s">
        <v>146</v>
      </c>
      <c r="S112" s="2" t="s">
        <v>146</v>
      </c>
      <c r="T112" s="2" t="s">
        <v>146</v>
      </c>
      <c r="U112" s="2" t="s">
        <v>146</v>
      </c>
      <c r="V112" s="2" t="s">
        <v>146</v>
      </c>
      <c r="Y112" s="2" t="str">
        <f t="shared" si="4"/>
        <v>Ja</v>
      </c>
      <c r="AA112" s="2" t="str">
        <f t="shared" si="5"/>
        <v>Nej</v>
      </c>
      <c r="AB112" s="2" t="str">
        <f t="shared" si="6"/>
        <v>ET</v>
      </c>
      <c r="AC112" s="2">
        <f t="shared" si="7"/>
        <v>0</v>
      </c>
    </row>
    <row r="113" spans="1:29" ht="14.25" x14ac:dyDescent="0.45">
      <c r="A113" s="2" t="s">
        <v>538</v>
      </c>
      <c r="B113" s="2" t="s">
        <v>539</v>
      </c>
      <c r="C113" s="2">
        <v>2019</v>
      </c>
      <c r="D113" s="2">
        <v>5.0999999999999997E-2</v>
      </c>
      <c r="E113" s="2" t="s">
        <v>146</v>
      </c>
      <c r="F113" s="2" t="s">
        <v>1000</v>
      </c>
      <c r="G113" s="2">
        <v>1.05</v>
      </c>
      <c r="H113" s="2">
        <v>4</v>
      </c>
      <c r="I113" s="2">
        <v>0</v>
      </c>
      <c r="J113" s="2">
        <v>0</v>
      </c>
      <c r="K113" s="2" t="s">
        <v>49</v>
      </c>
      <c r="L113" s="2" t="s">
        <v>146</v>
      </c>
      <c r="M113" s="2" t="s">
        <v>146</v>
      </c>
      <c r="N113" s="2" t="s">
        <v>146</v>
      </c>
      <c r="O113" s="2" t="s">
        <v>146</v>
      </c>
      <c r="P113" s="2" t="s">
        <v>146</v>
      </c>
      <c r="Q113" s="2" t="s">
        <v>49</v>
      </c>
      <c r="R113" s="2" t="s">
        <v>146</v>
      </c>
      <c r="S113" s="2" t="s">
        <v>146</v>
      </c>
      <c r="T113" s="2" t="s">
        <v>146</v>
      </c>
      <c r="U113" s="2" t="s">
        <v>146</v>
      </c>
      <c r="V113" s="2" t="s">
        <v>146</v>
      </c>
      <c r="Y113" s="2" t="str">
        <f t="shared" si="4"/>
        <v>Ja</v>
      </c>
      <c r="AA113" s="2" t="str">
        <f t="shared" si="5"/>
        <v>Nej</v>
      </c>
      <c r="AB113" s="2" t="str">
        <f t="shared" si="6"/>
        <v>ET</v>
      </c>
      <c r="AC113" s="2">
        <f t="shared" si="7"/>
        <v>0</v>
      </c>
    </row>
    <row r="114" spans="1:29" ht="14.25" x14ac:dyDescent="0.45">
      <c r="A114" s="2" t="s">
        <v>538</v>
      </c>
      <c r="B114" s="2" t="s">
        <v>537</v>
      </c>
      <c r="C114" s="2">
        <v>2019</v>
      </c>
      <c r="D114" s="2">
        <v>1.3</v>
      </c>
      <c r="E114" s="2">
        <v>1.48</v>
      </c>
      <c r="F114" s="2" t="s">
        <v>1000</v>
      </c>
      <c r="G114" s="2">
        <v>1.05</v>
      </c>
      <c r="H114" s="2">
        <v>4</v>
      </c>
      <c r="I114" s="2">
        <v>0</v>
      </c>
      <c r="J114" s="2">
        <v>0</v>
      </c>
      <c r="K114" s="2" t="s">
        <v>49</v>
      </c>
      <c r="L114" s="2" t="s">
        <v>146</v>
      </c>
      <c r="M114" s="2" t="s">
        <v>146</v>
      </c>
      <c r="N114" s="2" t="s">
        <v>146</v>
      </c>
      <c r="O114" s="2" t="s">
        <v>146</v>
      </c>
      <c r="P114" s="2" t="s">
        <v>146</v>
      </c>
      <c r="Q114" s="2" t="s">
        <v>49</v>
      </c>
      <c r="R114" s="2" t="s">
        <v>146</v>
      </c>
      <c r="S114" s="2" t="s">
        <v>146</v>
      </c>
      <c r="T114" s="2" t="s">
        <v>146</v>
      </c>
      <c r="U114" s="2" t="s">
        <v>146</v>
      </c>
      <c r="V114" s="2" t="s">
        <v>146</v>
      </c>
      <c r="Y114" s="2" t="str">
        <f t="shared" si="4"/>
        <v>Ja</v>
      </c>
      <c r="AA114" s="2" t="str">
        <f t="shared" si="5"/>
        <v>Nej</v>
      </c>
      <c r="AB114" s="2" t="str">
        <f t="shared" si="6"/>
        <v>ET</v>
      </c>
      <c r="AC114" s="2">
        <f t="shared" si="7"/>
        <v>0</v>
      </c>
    </row>
    <row r="115" spans="1:29" ht="14.25" x14ac:dyDescent="0.45">
      <c r="A115" s="2" t="s">
        <v>536</v>
      </c>
      <c r="B115" s="2" t="s">
        <v>74</v>
      </c>
      <c r="C115" s="2">
        <v>2019</v>
      </c>
      <c r="D115" s="2" t="s">
        <v>49</v>
      </c>
      <c r="E115" s="2" t="s">
        <v>49</v>
      </c>
      <c r="F115" s="2" t="s">
        <v>49</v>
      </c>
      <c r="G115" s="2" t="s">
        <v>49</v>
      </c>
      <c r="H115" s="2" t="s">
        <v>49</v>
      </c>
      <c r="I115" s="2" t="s">
        <v>49</v>
      </c>
      <c r="J115" s="2" t="s">
        <v>49</v>
      </c>
      <c r="K115" s="2" t="s">
        <v>49</v>
      </c>
      <c r="L115" s="2" t="s">
        <v>49</v>
      </c>
      <c r="M115" s="2" t="s">
        <v>49</v>
      </c>
      <c r="N115" s="2" t="s">
        <v>49</v>
      </c>
      <c r="O115" s="2" t="s">
        <v>49</v>
      </c>
      <c r="P115" s="2" t="s">
        <v>49</v>
      </c>
      <c r="Q115" s="2" t="s">
        <v>49</v>
      </c>
      <c r="R115" s="2" t="s">
        <v>49</v>
      </c>
      <c r="S115" s="2" t="s">
        <v>49</v>
      </c>
      <c r="T115" s="2" t="s">
        <v>49</v>
      </c>
      <c r="U115" s="2" t="s">
        <v>49</v>
      </c>
      <c r="V115" s="2" t="s">
        <v>49</v>
      </c>
      <c r="Y115" s="2" t="str">
        <f t="shared" si="4"/>
        <v>Nej</v>
      </c>
      <c r="AA115" s="2" t="str">
        <f t="shared" si="5"/>
        <v>Nej</v>
      </c>
      <c r="AB115" s="2">
        <f t="shared" si="6"/>
        <v>0</v>
      </c>
      <c r="AC115" s="2">
        <f t="shared" si="7"/>
        <v>0</v>
      </c>
    </row>
    <row r="116" spans="1:29" ht="14.25" x14ac:dyDescent="0.45">
      <c r="A116" s="2" t="s">
        <v>535</v>
      </c>
      <c r="B116" s="2" t="s">
        <v>534</v>
      </c>
      <c r="C116" s="2">
        <v>2019</v>
      </c>
      <c r="D116" s="2">
        <v>0.86299999999999999</v>
      </c>
      <c r="E116" s="2" t="s">
        <v>146</v>
      </c>
      <c r="F116" s="2" t="s">
        <v>999</v>
      </c>
      <c r="G116" s="2">
        <v>1.1000000000000001</v>
      </c>
      <c r="H116" s="2">
        <v>1.4999999999999999E-4</v>
      </c>
      <c r="I116" s="2">
        <v>0</v>
      </c>
      <c r="J116" s="2">
        <v>0</v>
      </c>
      <c r="K116" s="2" t="s">
        <v>49</v>
      </c>
      <c r="L116" s="2" t="s">
        <v>146</v>
      </c>
      <c r="M116" s="2" t="s">
        <v>146</v>
      </c>
      <c r="N116" s="2" t="s">
        <v>146</v>
      </c>
      <c r="O116" s="2" t="s">
        <v>146</v>
      </c>
      <c r="P116" s="2" t="s">
        <v>146</v>
      </c>
      <c r="Q116" s="2" t="s">
        <v>49</v>
      </c>
      <c r="R116" s="2" t="s">
        <v>146</v>
      </c>
      <c r="S116" s="2" t="s">
        <v>146</v>
      </c>
      <c r="T116" s="2" t="s">
        <v>146</v>
      </c>
      <c r="U116" s="2" t="s">
        <v>146</v>
      </c>
      <c r="V116" s="2" t="s">
        <v>146</v>
      </c>
      <c r="Y116" s="2" t="str">
        <f t="shared" si="4"/>
        <v>Ja</v>
      </c>
      <c r="AA116" s="2" t="str">
        <f t="shared" si="5"/>
        <v>Nej</v>
      </c>
      <c r="AB116" s="2" t="str">
        <f t="shared" si="6"/>
        <v>ET</v>
      </c>
      <c r="AC116" s="2">
        <f t="shared" si="7"/>
        <v>0</v>
      </c>
    </row>
    <row r="117" spans="1:29" ht="14.25" x14ac:dyDescent="0.45">
      <c r="A117" s="2" t="s">
        <v>533</v>
      </c>
      <c r="B117" s="2" t="s">
        <v>532</v>
      </c>
      <c r="C117" s="2">
        <v>2019</v>
      </c>
      <c r="D117" s="2">
        <v>3.3</v>
      </c>
      <c r="E117" s="2">
        <v>5.2</v>
      </c>
      <c r="F117" s="2" t="s">
        <v>943</v>
      </c>
      <c r="G117" s="2">
        <v>0.03</v>
      </c>
      <c r="H117" s="2">
        <v>0</v>
      </c>
      <c r="I117" s="2">
        <v>0</v>
      </c>
      <c r="J117" s="2">
        <v>0</v>
      </c>
      <c r="K117" s="2" t="s">
        <v>49</v>
      </c>
      <c r="L117" s="2" t="s">
        <v>146</v>
      </c>
      <c r="M117" s="2" t="s">
        <v>146</v>
      </c>
      <c r="N117" s="2" t="s">
        <v>146</v>
      </c>
      <c r="O117" s="2" t="s">
        <v>146</v>
      </c>
      <c r="P117" s="2" t="s">
        <v>146</v>
      </c>
      <c r="Q117" s="2" t="s">
        <v>49</v>
      </c>
      <c r="R117" s="2" t="s">
        <v>146</v>
      </c>
      <c r="S117" s="2" t="s">
        <v>146</v>
      </c>
      <c r="T117" s="2" t="s">
        <v>146</v>
      </c>
      <c r="U117" s="2" t="s">
        <v>146</v>
      </c>
      <c r="V117" s="2" t="s">
        <v>146</v>
      </c>
      <c r="Y117" s="2" t="str">
        <f t="shared" si="4"/>
        <v>Ja</v>
      </c>
      <c r="AA117" s="2" t="str">
        <f t="shared" si="5"/>
        <v>Nej</v>
      </c>
      <c r="AB117" s="2" t="str">
        <f t="shared" si="6"/>
        <v>ET</v>
      </c>
      <c r="AC117" s="2">
        <f t="shared" si="7"/>
        <v>0</v>
      </c>
    </row>
    <row r="118" spans="1:29" ht="14.25" x14ac:dyDescent="0.45">
      <c r="A118" s="2" t="s">
        <v>530</v>
      </c>
      <c r="B118" s="2" t="s">
        <v>531</v>
      </c>
      <c r="C118" s="2">
        <v>2019</v>
      </c>
      <c r="D118" s="2">
        <v>7.38</v>
      </c>
      <c r="E118" s="2" t="s">
        <v>146</v>
      </c>
      <c r="F118" s="2" t="s">
        <v>913</v>
      </c>
      <c r="G118" s="2">
        <v>1.1000000000000001</v>
      </c>
      <c r="H118" s="2">
        <v>0.02</v>
      </c>
      <c r="I118" s="2">
        <v>0</v>
      </c>
      <c r="J118" s="2">
        <v>0</v>
      </c>
      <c r="K118" s="2" t="s">
        <v>49</v>
      </c>
      <c r="L118" s="2" t="s">
        <v>146</v>
      </c>
      <c r="M118" s="2" t="s">
        <v>146</v>
      </c>
      <c r="N118" s="2" t="s">
        <v>146</v>
      </c>
      <c r="O118" s="2" t="s">
        <v>146</v>
      </c>
      <c r="P118" s="2" t="s">
        <v>146</v>
      </c>
      <c r="Q118" s="2" t="s">
        <v>49</v>
      </c>
      <c r="R118" s="2" t="s">
        <v>146</v>
      </c>
      <c r="S118" s="2" t="s">
        <v>146</v>
      </c>
      <c r="T118" s="2" t="s">
        <v>146</v>
      </c>
      <c r="U118" s="2" t="s">
        <v>146</v>
      </c>
      <c r="V118" s="2" t="s">
        <v>146</v>
      </c>
      <c r="Y118" s="2" t="str">
        <f t="shared" si="4"/>
        <v>Ja</v>
      </c>
      <c r="AA118" s="2" t="str">
        <f t="shared" si="5"/>
        <v>Nej</v>
      </c>
      <c r="AB118" s="2" t="str">
        <f t="shared" si="6"/>
        <v>ET</v>
      </c>
      <c r="AC118" s="2">
        <f t="shared" si="7"/>
        <v>0</v>
      </c>
    </row>
    <row r="119" spans="1:29" ht="14.25" x14ac:dyDescent="0.45">
      <c r="A119" s="2" t="s">
        <v>530</v>
      </c>
      <c r="B119" s="2" t="s">
        <v>529</v>
      </c>
      <c r="C119" s="2">
        <v>2019</v>
      </c>
      <c r="D119" s="2">
        <v>0.63</v>
      </c>
      <c r="E119" s="2" t="s">
        <v>146</v>
      </c>
      <c r="F119" s="2" t="s">
        <v>913</v>
      </c>
      <c r="G119" s="2">
        <v>1.1000000000000001</v>
      </c>
      <c r="H119" s="2">
        <v>0.02</v>
      </c>
      <c r="I119" s="2">
        <v>0</v>
      </c>
      <c r="J119" s="2">
        <v>0</v>
      </c>
      <c r="K119" s="2" t="s">
        <v>49</v>
      </c>
      <c r="L119" s="2" t="s">
        <v>146</v>
      </c>
      <c r="M119" s="2" t="s">
        <v>146</v>
      </c>
      <c r="N119" s="2" t="s">
        <v>146</v>
      </c>
      <c r="O119" s="2" t="s">
        <v>146</v>
      </c>
      <c r="P119" s="2" t="s">
        <v>146</v>
      </c>
      <c r="Q119" s="2" t="s">
        <v>49</v>
      </c>
      <c r="R119" s="2" t="s">
        <v>146</v>
      </c>
      <c r="S119" s="2" t="s">
        <v>146</v>
      </c>
      <c r="T119" s="2" t="s">
        <v>146</v>
      </c>
      <c r="U119" s="2" t="s">
        <v>146</v>
      </c>
      <c r="V119" s="2" t="s">
        <v>146</v>
      </c>
      <c r="Y119" s="2" t="str">
        <f t="shared" si="4"/>
        <v>Ja</v>
      </c>
      <c r="AA119" s="2" t="str">
        <f t="shared" si="5"/>
        <v>Nej</v>
      </c>
      <c r="AB119" s="2" t="str">
        <f t="shared" si="6"/>
        <v>ET</v>
      </c>
      <c r="AC119" s="2">
        <f t="shared" si="7"/>
        <v>0</v>
      </c>
    </row>
    <row r="120" spans="1:29" ht="14.25" x14ac:dyDescent="0.45">
      <c r="A120" s="2" t="s">
        <v>528</v>
      </c>
      <c r="B120" s="2" t="s">
        <v>527</v>
      </c>
      <c r="C120" s="2">
        <v>2019</v>
      </c>
      <c r="D120" s="2">
        <v>0.36528100000000002</v>
      </c>
      <c r="E120" s="2" t="s">
        <v>146</v>
      </c>
      <c r="F120" s="2" t="s">
        <v>913</v>
      </c>
      <c r="G120" s="2">
        <v>1.1000000000000001</v>
      </c>
      <c r="H120" s="2">
        <v>0</v>
      </c>
      <c r="I120" s="2">
        <v>0</v>
      </c>
      <c r="J120" s="2">
        <v>0</v>
      </c>
      <c r="K120" s="2" t="s">
        <v>176</v>
      </c>
      <c r="L120" s="2" t="s">
        <v>146</v>
      </c>
      <c r="M120" s="2" t="s">
        <v>146</v>
      </c>
      <c r="N120" s="2" t="s">
        <v>146</v>
      </c>
      <c r="O120" s="2" t="s">
        <v>146</v>
      </c>
      <c r="P120" s="2" t="s">
        <v>146</v>
      </c>
      <c r="Q120" s="2" t="s">
        <v>176</v>
      </c>
      <c r="R120" s="2" t="s">
        <v>146</v>
      </c>
      <c r="S120" s="2" t="s">
        <v>146</v>
      </c>
      <c r="T120" s="2" t="s">
        <v>146</v>
      </c>
      <c r="U120" s="2" t="s">
        <v>146</v>
      </c>
      <c r="V120" s="2" t="s">
        <v>146</v>
      </c>
      <c r="Y120" s="2" t="str">
        <f t="shared" si="4"/>
        <v>Ja</v>
      </c>
      <c r="AA120" s="2" t="str">
        <f t="shared" si="5"/>
        <v>Nej</v>
      </c>
      <c r="AB120" s="2" t="str">
        <f t="shared" si="6"/>
        <v>ET</v>
      </c>
      <c r="AC120" s="2">
        <f t="shared" si="7"/>
        <v>0</v>
      </c>
    </row>
    <row r="121" spans="1:29" ht="14.25" x14ac:dyDescent="0.45">
      <c r="A121" s="2" t="s">
        <v>526</v>
      </c>
      <c r="B121" s="2" t="s">
        <v>525</v>
      </c>
      <c r="C121" s="2">
        <v>2019</v>
      </c>
      <c r="D121" s="2">
        <v>1.3</v>
      </c>
      <c r="E121" s="2" t="s">
        <v>146</v>
      </c>
      <c r="F121" s="2" t="s">
        <v>998</v>
      </c>
      <c r="G121" s="2">
        <v>1.1000000000000001</v>
      </c>
      <c r="H121" s="2">
        <v>0</v>
      </c>
      <c r="I121" s="2">
        <v>0</v>
      </c>
      <c r="J121" s="2">
        <v>0</v>
      </c>
      <c r="K121" s="2" t="s">
        <v>49</v>
      </c>
      <c r="L121" s="2" t="s">
        <v>146</v>
      </c>
      <c r="M121" s="2" t="s">
        <v>146</v>
      </c>
      <c r="N121" s="2" t="s">
        <v>146</v>
      </c>
      <c r="O121" s="2" t="s">
        <v>146</v>
      </c>
      <c r="P121" s="2" t="s">
        <v>146</v>
      </c>
      <c r="Q121" s="2" t="s">
        <v>49</v>
      </c>
      <c r="R121" s="2" t="s">
        <v>146</v>
      </c>
      <c r="S121" s="2" t="s">
        <v>146</v>
      </c>
      <c r="T121" s="2" t="s">
        <v>146</v>
      </c>
      <c r="U121" s="2" t="s">
        <v>146</v>
      </c>
      <c r="V121" s="2" t="s">
        <v>146</v>
      </c>
      <c r="Y121" s="2" t="str">
        <f t="shared" si="4"/>
        <v>Ja</v>
      </c>
      <c r="AA121" s="2" t="str">
        <f t="shared" si="5"/>
        <v>Nej</v>
      </c>
      <c r="AB121" s="2" t="str">
        <f t="shared" si="6"/>
        <v>ET</v>
      </c>
      <c r="AC121" s="2">
        <f t="shared" si="7"/>
        <v>0</v>
      </c>
    </row>
    <row r="122" spans="1:29" ht="14.25" x14ac:dyDescent="0.45">
      <c r="A122" s="2" t="s">
        <v>520</v>
      </c>
      <c r="B122" s="2" t="s">
        <v>524</v>
      </c>
      <c r="C122" s="2">
        <v>2019</v>
      </c>
      <c r="D122" s="2" t="s">
        <v>146</v>
      </c>
      <c r="E122" s="2" t="s">
        <v>146</v>
      </c>
      <c r="F122" s="2" t="s">
        <v>996</v>
      </c>
      <c r="G122" s="2">
        <v>0.96020000000000005</v>
      </c>
      <c r="H122" s="2">
        <v>0</v>
      </c>
      <c r="I122" s="2">
        <v>0</v>
      </c>
      <c r="J122" s="2">
        <v>0</v>
      </c>
      <c r="K122" s="2" t="s">
        <v>49</v>
      </c>
      <c r="L122" s="2" t="s">
        <v>146</v>
      </c>
      <c r="M122" s="2" t="s">
        <v>146</v>
      </c>
      <c r="N122" s="2" t="s">
        <v>146</v>
      </c>
      <c r="O122" s="2" t="s">
        <v>146</v>
      </c>
      <c r="P122" s="2" t="s">
        <v>146</v>
      </c>
      <c r="Q122" s="2" t="s">
        <v>49</v>
      </c>
      <c r="R122" s="2" t="s">
        <v>146</v>
      </c>
      <c r="S122" s="2" t="s">
        <v>146</v>
      </c>
      <c r="T122" s="2" t="s">
        <v>146</v>
      </c>
      <c r="U122" s="2" t="s">
        <v>146</v>
      </c>
      <c r="V122" s="2" t="s">
        <v>146</v>
      </c>
      <c r="Y122" s="2" t="str">
        <f t="shared" si="4"/>
        <v>Ja</v>
      </c>
      <c r="AA122" s="2" t="str">
        <f t="shared" si="5"/>
        <v>Nej</v>
      </c>
      <c r="AB122" s="2" t="str">
        <f t="shared" si="6"/>
        <v>ET</v>
      </c>
      <c r="AC122" s="2">
        <f t="shared" si="7"/>
        <v>0</v>
      </c>
    </row>
    <row r="123" spans="1:29" ht="14.25" x14ac:dyDescent="0.45">
      <c r="A123" s="2" t="s">
        <v>520</v>
      </c>
      <c r="B123" s="2" t="s">
        <v>523</v>
      </c>
      <c r="C123" s="2">
        <v>2019</v>
      </c>
      <c r="D123" s="2" t="s">
        <v>146</v>
      </c>
      <c r="E123" s="2" t="s">
        <v>146</v>
      </c>
      <c r="F123" s="2" t="s">
        <v>996</v>
      </c>
      <c r="G123" s="2">
        <v>0.96020000000000005</v>
      </c>
      <c r="H123" s="2">
        <v>0</v>
      </c>
      <c r="I123" s="2">
        <v>0</v>
      </c>
      <c r="J123" s="2">
        <v>0</v>
      </c>
      <c r="K123" s="2" t="s">
        <v>49</v>
      </c>
      <c r="L123" s="2" t="s">
        <v>146</v>
      </c>
      <c r="M123" s="2" t="s">
        <v>146</v>
      </c>
      <c r="N123" s="2" t="s">
        <v>146</v>
      </c>
      <c r="O123" s="2" t="s">
        <v>146</v>
      </c>
      <c r="P123" s="2" t="s">
        <v>146</v>
      </c>
      <c r="Q123" s="2" t="s">
        <v>49</v>
      </c>
      <c r="R123" s="2" t="s">
        <v>146</v>
      </c>
      <c r="S123" s="2" t="s">
        <v>146</v>
      </c>
      <c r="T123" s="2" t="s">
        <v>146</v>
      </c>
      <c r="U123" s="2" t="s">
        <v>146</v>
      </c>
      <c r="V123" s="2" t="s">
        <v>146</v>
      </c>
      <c r="Y123" s="2" t="str">
        <f t="shared" si="4"/>
        <v>Ja</v>
      </c>
      <c r="AA123" s="2" t="str">
        <f t="shared" si="5"/>
        <v>Nej</v>
      </c>
      <c r="AB123" s="2" t="str">
        <f t="shared" si="6"/>
        <v>ET</v>
      </c>
      <c r="AC123" s="2">
        <f t="shared" si="7"/>
        <v>0</v>
      </c>
    </row>
    <row r="124" spans="1:29" ht="14.25" x14ac:dyDescent="0.45">
      <c r="A124" s="2" t="s">
        <v>520</v>
      </c>
      <c r="B124" s="2" t="s">
        <v>522</v>
      </c>
      <c r="C124" s="2">
        <v>2019</v>
      </c>
      <c r="D124" s="2" t="s">
        <v>146</v>
      </c>
      <c r="E124" s="2" t="s">
        <v>146</v>
      </c>
      <c r="F124" s="2" t="s">
        <v>996</v>
      </c>
      <c r="G124" s="2">
        <v>0.96020000000000005</v>
      </c>
      <c r="H124" s="2">
        <v>0</v>
      </c>
      <c r="I124" s="2">
        <v>0</v>
      </c>
      <c r="J124" s="2">
        <v>0</v>
      </c>
      <c r="K124" s="2" t="s">
        <v>49</v>
      </c>
      <c r="L124" s="2" t="s">
        <v>146</v>
      </c>
      <c r="M124" s="2" t="s">
        <v>146</v>
      </c>
      <c r="N124" s="2" t="s">
        <v>146</v>
      </c>
      <c r="O124" s="2" t="s">
        <v>146</v>
      </c>
      <c r="P124" s="2" t="s">
        <v>146</v>
      </c>
      <c r="Q124" s="2" t="s">
        <v>49</v>
      </c>
      <c r="R124" s="2" t="s">
        <v>146</v>
      </c>
      <c r="S124" s="2" t="s">
        <v>146</v>
      </c>
      <c r="T124" s="2" t="s">
        <v>146</v>
      </c>
      <c r="U124" s="2" t="s">
        <v>146</v>
      </c>
      <c r="V124" s="2" t="s">
        <v>146</v>
      </c>
      <c r="Y124" s="2" t="str">
        <f t="shared" si="4"/>
        <v>Ja</v>
      </c>
      <c r="AA124" s="2" t="str">
        <f t="shared" si="5"/>
        <v>Nej</v>
      </c>
      <c r="AB124" s="2" t="str">
        <f t="shared" si="6"/>
        <v>ET</v>
      </c>
      <c r="AC124" s="2">
        <f t="shared" si="7"/>
        <v>0</v>
      </c>
    </row>
    <row r="125" spans="1:29" ht="14.25" x14ac:dyDescent="0.45">
      <c r="A125" s="2" t="s">
        <v>520</v>
      </c>
      <c r="B125" s="2" t="s">
        <v>521</v>
      </c>
      <c r="C125" s="2">
        <v>2019</v>
      </c>
      <c r="D125" s="2" t="s">
        <v>146</v>
      </c>
      <c r="E125" s="2" t="s">
        <v>146</v>
      </c>
      <c r="F125" s="2" t="s">
        <v>997</v>
      </c>
      <c r="G125" s="2">
        <v>0.96020000000000005</v>
      </c>
      <c r="H125" s="2">
        <v>0</v>
      </c>
      <c r="I125" s="2">
        <v>0</v>
      </c>
      <c r="J125" s="2">
        <v>0</v>
      </c>
      <c r="K125" s="2" t="s">
        <v>49</v>
      </c>
      <c r="L125" s="2" t="s">
        <v>146</v>
      </c>
      <c r="M125" s="2" t="s">
        <v>146</v>
      </c>
      <c r="N125" s="2" t="s">
        <v>146</v>
      </c>
      <c r="O125" s="2" t="s">
        <v>146</v>
      </c>
      <c r="P125" s="2" t="s">
        <v>146</v>
      </c>
      <c r="Q125" s="2" t="s">
        <v>49</v>
      </c>
      <c r="R125" s="2" t="s">
        <v>146</v>
      </c>
      <c r="S125" s="2" t="s">
        <v>146</v>
      </c>
      <c r="T125" s="2" t="s">
        <v>146</v>
      </c>
      <c r="U125" s="2" t="s">
        <v>146</v>
      </c>
      <c r="V125" s="2" t="s">
        <v>146</v>
      </c>
      <c r="Y125" s="2" t="str">
        <f t="shared" si="4"/>
        <v>Ja</v>
      </c>
      <c r="AA125" s="2" t="str">
        <f t="shared" si="5"/>
        <v>Nej</v>
      </c>
      <c r="AB125" s="2" t="str">
        <f t="shared" si="6"/>
        <v>ET</v>
      </c>
      <c r="AC125" s="2">
        <f t="shared" si="7"/>
        <v>0</v>
      </c>
    </row>
    <row r="126" spans="1:29" ht="14.25" x14ac:dyDescent="0.45">
      <c r="A126" s="2" t="s">
        <v>520</v>
      </c>
      <c r="B126" s="2" t="s">
        <v>519</v>
      </c>
      <c r="C126" s="2">
        <v>2019</v>
      </c>
      <c r="D126" s="2" t="s">
        <v>146</v>
      </c>
      <c r="E126" s="2" t="s">
        <v>146</v>
      </c>
      <c r="F126" s="2" t="s">
        <v>996</v>
      </c>
      <c r="G126" s="2">
        <v>0.96020000000000005</v>
      </c>
      <c r="H126" s="2">
        <v>0</v>
      </c>
      <c r="I126" s="2">
        <v>0</v>
      </c>
      <c r="J126" s="2">
        <v>0</v>
      </c>
      <c r="K126" s="2" t="s">
        <v>49</v>
      </c>
      <c r="L126" s="2" t="s">
        <v>146</v>
      </c>
      <c r="M126" s="2" t="s">
        <v>146</v>
      </c>
      <c r="N126" s="2" t="s">
        <v>146</v>
      </c>
      <c r="O126" s="2" t="s">
        <v>146</v>
      </c>
      <c r="P126" s="2" t="s">
        <v>146</v>
      </c>
      <c r="Q126" s="2" t="s">
        <v>49</v>
      </c>
      <c r="R126" s="2" t="s">
        <v>146</v>
      </c>
      <c r="S126" s="2" t="s">
        <v>146</v>
      </c>
      <c r="T126" s="2" t="s">
        <v>146</v>
      </c>
      <c r="U126" s="2" t="s">
        <v>146</v>
      </c>
      <c r="V126" s="2" t="s">
        <v>146</v>
      </c>
      <c r="Y126" s="2" t="str">
        <f t="shared" si="4"/>
        <v>Ja</v>
      </c>
      <c r="AA126" s="2" t="str">
        <f t="shared" si="5"/>
        <v>Nej</v>
      </c>
      <c r="AB126" s="2" t="str">
        <f t="shared" si="6"/>
        <v>ET</v>
      </c>
      <c r="AC126" s="2">
        <f t="shared" si="7"/>
        <v>0</v>
      </c>
    </row>
    <row r="127" spans="1:29" ht="14.25" x14ac:dyDescent="0.45">
      <c r="A127" s="2" t="s">
        <v>518</v>
      </c>
      <c r="B127" s="2" t="s">
        <v>77</v>
      </c>
      <c r="C127" s="2">
        <v>2019</v>
      </c>
      <c r="D127" s="2" t="s">
        <v>146</v>
      </c>
      <c r="E127" s="2" t="s">
        <v>146</v>
      </c>
      <c r="F127" s="2" t="s">
        <v>49</v>
      </c>
      <c r="G127" s="2">
        <v>2.2000000000000002</v>
      </c>
      <c r="H127" s="2">
        <v>250.8</v>
      </c>
      <c r="I127" s="2">
        <v>0.35</v>
      </c>
      <c r="J127" s="2">
        <v>0.3977</v>
      </c>
      <c r="K127" s="2" t="s">
        <v>49</v>
      </c>
      <c r="L127" s="2" t="s">
        <v>146</v>
      </c>
      <c r="M127" s="2" t="s">
        <v>146</v>
      </c>
      <c r="N127" s="2" t="s">
        <v>146</v>
      </c>
      <c r="O127" s="2" t="s">
        <v>146</v>
      </c>
      <c r="P127" s="2" t="s">
        <v>146</v>
      </c>
      <c r="Q127" s="2" t="s">
        <v>49</v>
      </c>
      <c r="R127" s="2" t="s">
        <v>146</v>
      </c>
      <c r="S127" s="2" t="s">
        <v>146</v>
      </c>
      <c r="T127" s="2" t="s">
        <v>146</v>
      </c>
      <c r="U127" s="2" t="s">
        <v>146</v>
      </c>
      <c r="V127" s="2" t="s">
        <v>146</v>
      </c>
      <c r="Y127" s="2" t="str">
        <f t="shared" si="4"/>
        <v>Ja</v>
      </c>
      <c r="AA127" s="2" t="str">
        <f t="shared" si="5"/>
        <v>Nej</v>
      </c>
      <c r="AB127" s="2" t="str">
        <f t="shared" si="6"/>
        <v>ET</v>
      </c>
      <c r="AC127" s="2">
        <f t="shared" si="7"/>
        <v>0</v>
      </c>
    </row>
    <row r="128" spans="1:29" ht="14.25" x14ac:dyDescent="0.45">
      <c r="A128" s="2" t="s">
        <v>515</v>
      </c>
      <c r="B128" s="2" t="s">
        <v>517</v>
      </c>
      <c r="C128" s="2">
        <v>2019</v>
      </c>
      <c r="D128" s="2">
        <v>0.42</v>
      </c>
      <c r="E128" s="2" t="s">
        <v>146</v>
      </c>
      <c r="F128" s="2" t="s">
        <v>995</v>
      </c>
      <c r="G128" s="2">
        <v>1.6</v>
      </c>
      <c r="H128" s="2">
        <v>0</v>
      </c>
      <c r="I128" s="2">
        <v>0</v>
      </c>
      <c r="J128" s="2">
        <v>0</v>
      </c>
      <c r="K128" s="2" t="s">
        <v>49</v>
      </c>
      <c r="L128" s="2" t="s">
        <v>146</v>
      </c>
      <c r="M128" s="2" t="s">
        <v>146</v>
      </c>
      <c r="N128" s="2" t="s">
        <v>146</v>
      </c>
      <c r="O128" s="2" t="s">
        <v>146</v>
      </c>
      <c r="P128" s="2" t="s">
        <v>146</v>
      </c>
      <c r="Q128" s="2" t="s">
        <v>49</v>
      </c>
      <c r="R128" s="2" t="s">
        <v>146</v>
      </c>
      <c r="S128" s="2" t="s">
        <v>146</v>
      </c>
      <c r="T128" s="2" t="s">
        <v>146</v>
      </c>
      <c r="U128" s="2" t="s">
        <v>146</v>
      </c>
      <c r="V128" s="2" t="s">
        <v>146</v>
      </c>
      <c r="Y128" s="2" t="str">
        <f t="shared" si="4"/>
        <v>Ja</v>
      </c>
      <c r="AA128" s="2" t="str">
        <f t="shared" si="5"/>
        <v>Nej</v>
      </c>
      <c r="AB128" s="2" t="str">
        <f t="shared" si="6"/>
        <v>ET</v>
      </c>
      <c r="AC128" s="2">
        <f t="shared" si="7"/>
        <v>0</v>
      </c>
    </row>
    <row r="129" spans="1:29" ht="14.25" x14ac:dyDescent="0.45">
      <c r="A129" s="2" t="s">
        <v>515</v>
      </c>
      <c r="B129" s="2" t="s">
        <v>516</v>
      </c>
      <c r="C129" s="2">
        <v>2019</v>
      </c>
      <c r="D129" s="2">
        <v>10.321</v>
      </c>
      <c r="E129" s="2">
        <v>31.890999999999998</v>
      </c>
      <c r="F129" s="2" t="s">
        <v>995</v>
      </c>
      <c r="G129" s="2">
        <v>1.6</v>
      </c>
      <c r="H129" s="2">
        <v>0</v>
      </c>
      <c r="I129" s="2">
        <v>0</v>
      </c>
      <c r="J129" s="2">
        <v>0</v>
      </c>
      <c r="K129" s="2" t="s">
        <v>49</v>
      </c>
      <c r="L129" s="2" t="s">
        <v>146</v>
      </c>
      <c r="M129" s="2" t="s">
        <v>146</v>
      </c>
      <c r="N129" s="2" t="s">
        <v>146</v>
      </c>
      <c r="O129" s="2" t="s">
        <v>146</v>
      </c>
      <c r="P129" s="2" t="s">
        <v>146</v>
      </c>
      <c r="Q129" s="2" t="s">
        <v>49</v>
      </c>
      <c r="R129" s="2">
        <v>9.9179999999999993</v>
      </c>
      <c r="S129" s="2">
        <v>0.11</v>
      </c>
      <c r="T129" s="2">
        <v>4</v>
      </c>
      <c r="U129" s="2">
        <v>14</v>
      </c>
      <c r="V129" s="2">
        <v>0</v>
      </c>
      <c r="Y129" s="2" t="str">
        <f t="shared" si="4"/>
        <v>Ja</v>
      </c>
      <c r="AA129" s="2" t="str">
        <f t="shared" si="5"/>
        <v>Nej</v>
      </c>
      <c r="AB129" s="2" t="str">
        <f t="shared" si="6"/>
        <v>ET</v>
      </c>
      <c r="AC129" s="2">
        <f t="shared" si="7"/>
        <v>0</v>
      </c>
    </row>
    <row r="130" spans="1:29" ht="14.25" x14ac:dyDescent="0.45">
      <c r="A130" s="2" t="s">
        <v>515</v>
      </c>
      <c r="B130" s="2" t="s">
        <v>514</v>
      </c>
      <c r="C130" s="2">
        <v>2019</v>
      </c>
      <c r="D130" s="2">
        <v>0.112</v>
      </c>
      <c r="E130" s="2" t="s">
        <v>146</v>
      </c>
      <c r="F130" s="2" t="s">
        <v>995</v>
      </c>
      <c r="G130" s="2">
        <v>1.6</v>
      </c>
      <c r="H130" s="2">
        <v>0</v>
      </c>
      <c r="I130" s="2">
        <v>0</v>
      </c>
      <c r="J130" s="2">
        <v>0</v>
      </c>
      <c r="K130" s="2" t="s">
        <v>49</v>
      </c>
      <c r="L130" s="2" t="s">
        <v>146</v>
      </c>
      <c r="M130" s="2" t="s">
        <v>146</v>
      </c>
      <c r="N130" s="2" t="s">
        <v>146</v>
      </c>
      <c r="O130" s="2" t="s">
        <v>146</v>
      </c>
      <c r="P130" s="2" t="s">
        <v>146</v>
      </c>
      <c r="Q130" s="2" t="s">
        <v>49</v>
      </c>
      <c r="R130" s="2" t="s">
        <v>146</v>
      </c>
      <c r="S130" s="2" t="s">
        <v>146</v>
      </c>
      <c r="T130" s="2" t="s">
        <v>146</v>
      </c>
      <c r="U130" s="2" t="s">
        <v>146</v>
      </c>
      <c r="V130" s="2" t="s">
        <v>146</v>
      </c>
      <c r="Y130" s="2" t="str">
        <f t="shared" ref="Y130:Y193" si="8">IF(OR(AND(G130&lt;&gt;$AD$3,G130&lt;&gt;"-"),AND(H130&lt;&gt;$AD$4,H130&lt;&gt;"-"),AND(I130&lt;&gt;$AD$5,I130&lt;&gt;"-"),AND(J130&lt;&gt;$AD$6,J130&lt;&gt;"-")),"Ja","Nej")</f>
        <v>Ja</v>
      </c>
      <c r="AA130" s="2" t="str">
        <f t="shared" ref="AA130:AA193" si="9">IF(ISERROR(1/K130),"Nej","Ja")</f>
        <v>Nej</v>
      </c>
      <c r="AB130" s="2" t="str">
        <f t="shared" ref="AB130:AB193" si="10">IF(Y130="nej",0,L130)</f>
        <v>ET</v>
      </c>
      <c r="AC130" s="2">
        <f t="shared" ref="AC130:AC193" si="11">IF(AA130="nej",0,P130/100)</f>
        <v>0</v>
      </c>
    </row>
    <row r="131" spans="1:29" ht="14.25" x14ac:dyDescent="0.45">
      <c r="A131" s="2" t="s">
        <v>513</v>
      </c>
      <c r="B131" s="2" t="s">
        <v>512</v>
      </c>
      <c r="C131" s="2">
        <v>2019</v>
      </c>
      <c r="D131" s="2">
        <v>7.8</v>
      </c>
      <c r="E131" s="2">
        <v>16.8</v>
      </c>
      <c r="F131" s="2" t="s">
        <v>994</v>
      </c>
      <c r="G131" s="2">
        <v>1.1000000000000001</v>
      </c>
      <c r="H131" s="2">
        <v>0</v>
      </c>
      <c r="I131" s="2">
        <v>0</v>
      </c>
      <c r="J131" s="2">
        <v>0</v>
      </c>
      <c r="K131" s="2" t="s">
        <v>176</v>
      </c>
      <c r="L131" s="2" t="s">
        <v>146</v>
      </c>
      <c r="M131" s="2" t="s">
        <v>146</v>
      </c>
      <c r="N131" s="2" t="s">
        <v>146</v>
      </c>
      <c r="O131" s="2" t="s">
        <v>146</v>
      </c>
      <c r="P131" s="2" t="s">
        <v>146</v>
      </c>
      <c r="Q131" s="2" t="s">
        <v>176</v>
      </c>
      <c r="R131" s="2" t="s">
        <v>146</v>
      </c>
      <c r="S131" s="2" t="s">
        <v>146</v>
      </c>
      <c r="T131" s="2" t="s">
        <v>146</v>
      </c>
      <c r="U131" s="2" t="s">
        <v>146</v>
      </c>
      <c r="V131" s="2" t="s">
        <v>146</v>
      </c>
      <c r="Y131" s="2" t="str">
        <f t="shared" si="8"/>
        <v>Ja</v>
      </c>
      <c r="AA131" s="2" t="str">
        <f t="shared" si="9"/>
        <v>Nej</v>
      </c>
      <c r="AB131" s="2" t="str">
        <f t="shared" si="10"/>
        <v>ET</v>
      </c>
      <c r="AC131" s="2">
        <f t="shared" si="11"/>
        <v>0</v>
      </c>
    </row>
    <row r="132" spans="1:29" ht="14.25" x14ac:dyDescent="0.45">
      <c r="A132" s="2" t="s">
        <v>511</v>
      </c>
      <c r="B132" s="2" t="s">
        <v>80</v>
      </c>
      <c r="C132" s="2">
        <v>2019</v>
      </c>
      <c r="D132" s="2" t="s">
        <v>146</v>
      </c>
      <c r="E132" s="2" t="s">
        <v>146</v>
      </c>
      <c r="F132" s="2" t="s">
        <v>49</v>
      </c>
      <c r="G132" s="2">
        <v>2.2000000000000002</v>
      </c>
      <c r="H132" s="2">
        <v>250.8</v>
      </c>
      <c r="I132" s="2">
        <v>0.35399999999999998</v>
      </c>
      <c r="J132" s="2">
        <v>0.39700000000000002</v>
      </c>
      <c r="K132" s="2" t="s">
        <v>49</v>
      </c>
      <c r="L132" s="2" t="s">
        <v>146</v>
      </c>
      <c r="M132" s="2" t="s">
        <v>146</v>
      </c>
      <c r="N132" s="2" t="s">
        <v>146</v>
      </c>
      <c r="O132" s="2" t="s">
        <v>146</v>
      </c>
      <c r="P132" s="2" t="s">
        <v>146</v>
      </c>
      <c r="Q132" s="2" t="s">
        <v>49</v>
      </c>
      <c r="R132" s="2" t="s">
        <v>146</v>
      </c>
      <c r="S132" s="2" t="s">
        <v>146</v>
      </c>
      <c r="T132" s="2" t="s">
        <v>146</v>
      </c>
      <c r="U132" s="2" t="s">
        <v>146</v>
      </c>
      <c r="V132" s="2" t="s">
        <v>146</v>
      </c>
      <c r="Y132" s="2" t="str">
        <f t="shared" si="8"/>
        <v>Ja</v>
      </c>
      <c r="AA132" s="2" t="str">
        <f t="shared" si="9"/>
        <v>Nej</v>
      </c>
      <c r="AB132" s="2" t="str">
        <f t="shared" si="10"/>
        <v>ET</v>
      </c>
      <c r="AC132" s="2">
        <f t="shared" si="11"/>
        <v>0</v>
      </c>
    </row>
    <row r="133" spans="1:29" ht="14.25" x14ac:dyDescent="0.45">
      <c r="A133" s="2" t="s">
        <v>510</v>
      </c>
      <c r="B133" s="2" t="s">
        <v>509</v>
      </c>
      <c r="C133" s="2">
        <v>2019</v>
      </c>
      <c r="D133" s="2">
        <v>0</v>
      </c>
      <c r="E133" s="2">
        <v>0</v>
      </c>
      <c r="F133" s="2" t="s">
        <v>993</v>
      </c>
      <c r="G133" s="2">
        <v>0.1</v>
      </c>
      <c r="H133" s="2">
        <v>0</v>
      </c>
      <c r="I133" s="2">
        <v>0</v>
      </c>
      <c r="J133" s="2">
        <v>0</v>
      </c>
      <c r="K133" s="2" t="s">
        <v>49</v>
      </c>
      <c r="L133" s="2" t="s">
        <v>146</v>
      </c>
      <c r="M133" s="2" t="s">
        <v>146</v>
      </c>
      <c r="N133" s="2" t="s">
        <v>146</v>
      </c>
      <c r="O133" s="2" t="s">
        <v>146</v>
      </c>
      <c r="P133" s="2" t="s">
        <v>146</v>
      </c>
      <c r="Q133" s="2" t="s">
        <v>49</v>
      </c>
      <c r="R133" s="2" t="s">
        <v>146</v>
      </c>
      <c r="S133" s="2" t="s">
        <v>146</v>
      </c>
      <c r="T133" s="2" t="s">
        <v>146</v>
      </c>
      <c r="U133" s="2" t="s">
        <v>146</v>
      </c>
      <c r="V133" s="2" t="s">
        <v>146</v>
      </c>
      <c r="Y133" s="2" t="str">
        <f t="shared" si="8"/>
        <v>Ja</v>
      </c>
      <c r="AA133" s="2" t="str">
        <f t="shared" si="9"/>
        <v>Nej</v>
      </c>
      <c r="AB133" s="2" t="str">
        <f t="shared" si="10"/>
        <v>ET</v>
      </c>
      <c r="AC133" s="2">
        <f t="shared" si="11"/>
        <v>0</v>
      </c>
    </row>
    <row r="134" spans="1:29" ht="14.25" x14ac:dyDescent="0.45">
      <c r="A134" s="2" t="s">
        <v>508</v>
      </c>
      <c r="B134" s="2" t="s">
        <v>83</v>
      </c>
      <c r="C134" s="2">
        <v>2019</v>
      </c>
      <c r="D134" s="2">
        <v>0.38</v>
      </c>
      <c r="E134" s="2">
        <v>15.334</v>
      </c>
      <c r="F134" s="2" t="s">
        <v>913</v>
      </c>
      <c r="G134" s="2">
        <v>1.1000000000000001</v>
      </c>
      <c r="H134" s="2">
        <v>0</v>
      </c>
      <c r="I134" s="2">
        <v>0</v>
      </c>
      <c r="J134" s="2">
        <v>0</v>
      </c>
      <c r="K134" s="2" t="s">
        <v>176</v>
      </c>
      <c r="L134" s="2" t="s">
        <v>146</v>
      </c>
      <c r="M134" s="2" t="s">
        <v>146</v>
      </c>
      <c r="N134" s="2" t="s">
        <v>146</v>
      </c>
      <c r="O134" s="2" t="s">
        <v>146</v>
      </c>
      <c r="P134" s="2" t="s">
        <v>146</v>
      </c>
      <c r="Q134" s="2" t="s">
        <v>176</v>
      </c>
      <c r="R134" s="2" t="s">
        <v>146</v>
      </c>
      <c r="S134" s="2" t="s">
        <v>146</v>
      </c>
      <c r="T134" s="2" t="s">
        <v>146</v>
      </c>
      <c r="U134" s="2" t="s">
        <v>146</v>
      </c>
      <c r="V134" s="2" t="s">
        <v>146</v>
      </c>
      <c r="Y134" s="2" t="str">
        <f t="shared" si="8"/>
        <v>Ja</v>
      </c>
      <c r="AA134" s="2" t="str">
        <f t="shared" si="9"/>
        <v>Nej</v>
      </c>
      <c r="AB134" s="2" t="str">
        <f t="shared" si="10"/>
        <v>ET</v>
      </c>
      <c r="AC134" s="2">
        <f t="shared" si="11"/>
        <v>0</v>
      </c>
    </row>
    <row r="135" spans="1:29" ht="14.25" x14ac:dyDescent="0.45">
      <c r="A135" s="2" t="s">
        <v>507</v>
      </c>
      <c r="B135" s="2" t="s">
        <v>506</v>
      </c>
      <c r="C135" s="2">
        <v>2019</v>
      </c>
      <c r="D135" s="2">
        <v>11.08</v>
      </c>
      <c r="E135" s="2">
        <v>27.065000000000001</v>
      </c>
      <c r="F135" s="2" t="s">
        <v>992</v>
      </c>
      <c r="G135" s="2">
        <v>1.1000000000000001</v>
      </c>
      <c r="H135" s="2">
        <v>0</v>
      </c>
      <c r="I135" s="2">
        <v>0</v>
      </c>
      <c r="J135" s="2">
        <v>0</v>
      </c>
      <c r="K135" s="2" t="s">
        <v>49</v>
      </c>
      <c r="L135" s="2" t="s">
        <v>146</v>
      </c>
      <c r="M135" s="2" t="s">
        <v>146</v>
      </c>
      <c r="N135" s="2" t="s">
        <v>146</v>
      </c>
      <c r="O135" s="2" t="s">
        <v>146</v>
      </c>
      <c r="P135" s="2" t="s">
        <v>146</v>
      </c>
      <c r="Q135" s="2" t="s">
        <v>49</v>
      </c>
      <c r="R135" s="2" t="s">
        <v>146</v>
      </c>
      <c r="S135" s="2" t="s">
        <v>146</v>
      </c>
      <c r="T135" s="2" t="s">
        <v>146</v>
      </c>
      <c r="U135" s="2" t="s">
        <v>146</v>
      </c>
      <c r="V135" s="2" t="s">
        <v>146</v>
      </c>
      <c r="Y135" s="2" t="str">
        <f t="shared" si="8"/>
        <v>Ja</v>
      </c>
      <c r="AA135" s="2" t="str">
        <f t="shared" si="9"/>
        <v>Nej</v>
      </c>
      <c r="AB135" s="2" t="str">
        <f t="shared" si="10"/>
        <v>ET</v>
      </c>
      <c r="AC135" s="2">
        <f t="shared" si="11"/>
        <v>0</v>
      </c>
    </row>
    <row r="136" spans="1:29" ht="14.25" x14ac:dyDescent="0.45">
      <c r="A136" s="2" t="s">
        <v>505</v>
      </c>
      <c r="B136" s="2" t="s">
        <v>504</v>
      </c>
      <c r="C136" s="2">
        <v>2019</v>
      </c>
      <c r="D136" s="2">
        <v>2.09</v>
      </c>
      <c r="E136" s="2" t="s">
        <v>146</v>
      </c>
      <c r="F136" s="2" t="s">
        <v>992</v>
      </c>
      <c r="G136" s="2">
        <v>1.43</v>
      </c>
      <c r="H136" s="2">
        <v>0</v>
      </c>
      <c r="I136" s="2">
        <v>0</v>
      </c>
      <c r="J136" s="2">
        <v>0</v>
      </c>
      <c r="K136" s="2" t="s">
        <v>49</v>
      </c>
      <c r="L136" s="2" t="s">
        <v>146</v>
      </c>
      <c r="M136" s="2" t="s">
        <v>146</v>
      </c>
      <c r="N136" s="2" t="s">
        <v>146</v>
      </c>
      <c r="O136" s="2" t="s">
        <v>146</v>
      </c>
      <c r="P136" s="2" t="s">
        <v>146</v>
      </c>
      <c r="Q136" s="2" t="s">
        <v>49</v>
      </c>
      <c r="R136" s="2" t="s">
        <v>146</v>
      </c>
      <c r="S136" s="2" t="s">
        <v>146</v>
      </c>
      <c r="T136" s="2" t="s">
        <v>146</v>
      </c>
      <c r="U136" s="2" t="s">
        <v>146</v>
      </c>
      <c r="V136" s="2" t="s">
        <v>146</v>
      </c>
      <c r="Y136" s="2" t="str">
        <f t="shared" si="8"/>
        <v>Ja</v>
      </c>
      <c r="AA136" s="2" t="str">
        <f t="shared" si="9"/>
        <v>Nej</v>
      </c>
      <c r="AB136" s="2" t="str">
        <f t="shared" si="10"/>
        <v>ET</v>
      </c>
      <c r="AC136" s="2">
        <f t="shared" si="11"/>
        <v>0</v>
      </c>
    </row>
    <row r="137" spans="1:29" ht="14.25" x14ac:dyDescent="0.45">
      <c r="A137" s="2" t="s">
        <v>502</v>
      </c>
      <c r="B137" s="2" t="s">
        <v>503</v>
      </c>
      <c r="C137" s="2">
        <v>2019</v>
      </c>
      <c r="D137" s="2">
        <v>2.6309999999999998</v>
      </c>
      <c r="E137" s="2">
        <v>9.0030000000000001</v>
      </c>
      <c r="F137" s="2" t="s">
        <v>991</v>
      </c>
      <c r="G137" s="2">
        <v>1.1000000000000001</v>
      </c>
      <c r="H137" s="2">
        <v>0</v>
      </c>
      <c r="I137" s="2">
        <v>0</v>
      </c>
      <c r="J137" s="2">
        <v>0</v>
      </c>
      <c r="K137" s="2" t="s">
        <v>49</v>
      </c>
      <c r="L137" s="2" t="s">
        <v>146</v>
      </c>
      <c r="M137" s="2" t="s">
        <v>146</v>
      </c>
      <c r="N137" s="2" t="s">
        <v>146</v>
      </c>
      <c r="O137" s="2" t="s">
        <v>146</v>
      </c>
      <c r="P137" s="2" t="s">
        <v>146</v>
      </c>
      <c r="Q137" s="2" t="s">
        <v>49</v>
      </c>
      <c r="R137" s="2" t="s">
        <v>146</v>
      </c>
      <c r="S137" s="2" t="s">
        <v>146</v>
      </c>
      <c r="T137" s="2" t="s">
        <v>146</v>
      </c>
      <c r="U137" s="2" t="s">
        <v>146</v>
      </c>
      <c r="V137" s="2" t="s">
        <v>146</v>
      </c>
      <c r="Y137" s="2" t="str">
        <f t="shared" si="8"/>
        <v>Ja</v>
      </c>
      <c r="AA137" s="2" t="str">
        <f t="shared" si="9"/>
        <v>Nej</v>
      </c>
      <c r="AB137" s="2" t="str">
        <f t="shared" si="10"/>
        <v>ET</v>
      </c>
      <c r="AC137" s="2">
        <f t="shared" si="11"/>
        <v>0</v>
      </c>
    </row>
    <row r="138" spans="1:29" ht="14.25" x14ac:dyDescent="0.45">
      <c r="A138" s="2" t="s">
        <v>502</v>
      </c>
      <c r="B138" s="2" t="s">
        <v>501</v>
      </c>
      <c r="C138" s="2">
        <v>2019</v>
      </c>
      <c r="D138" s="2">
        <v>0.14399999999999999</v>
      </c>
      <c r="E138" s="2" t="s">
        <v>146</v>
      </c>
      <c r="F138" s="2" t="s">
        <v>990</v>
      </c>
      <c r="G138" s="2">
        <v>1.1000000000000001</v>
      </c>
      <c r="H138" s="2">
        <v>0</v>
      </c>
      <c r="I138" s="2">
        <v>0</v>
      </c>
      <c r="J138" s="2">
        <v>0</v>
      </c>
      <c r="K138" s="2" t="s">
        <v>49</v>
      </c>
      <c r="L138" s="2" t="s">
        <v>146</v>
      </c>
      <c r="M138" s="2" t="s">
        <v>146</v>
      </c>
      <c r="N138" s="2" t="s">
        <v>146</v>
      </c>
      <c r="O138" s="2" t="s">
        <v>146</v>
      </c>
      <c r="P138" s="2" t="s">
        <v>146</v>
      </c>
      <c r="Q138" s="2" t="s">
        <v>49</v>
      </c>
      <c r="R138" s="2" t="s">
        <v>146</v>
      </c>
      <c r="S138" s="2" t="s">
        <v>146</v>
      </c>
      <c r="T138" s="2" t="s">
        <v>146</v>
      </c>
      <c r="U138" s="2" t="s">
        <v>146</v>
      </c>
      <c r="V138" s="2" t="s">
        <v>146</v>
      </c>
      <c r="Y138" s="2" t="str">
        <f t="shared" si="8"/>
        <v>Ja</v>
      </c>
      <c r="AA138" s="2" t="str">
        <f t="shared" si="9"/>
        <v>Nej</v>
      </c>
      <c r="AB138" s="2" t="str">
        <f t="shared" si="10"/>
        <v>ET</v>
      </c>
      <c r="AC138" s="2">
        <f t="shared" si="11"/>
        <v>0</v>
      </c>
    </row>
    <row r="139" spans="1:29" ht="14.25" x14ac:dyDescent="0.45">
      <c r="A139" s="2" t="s">
        <v>498</v>
      </c>
      <c r="B139" s="2" t="s">
        <v>500</v>
      </c>
      <c r="C139" s="2">
        <v>2019</v>
      </c>
      <c r="D139" s="2" t="s">
        <v>146</v>
      </c>
      <c r="E139" s="2" t="s">
        <v>146</v>
      </c>
      <c r="F139" s="2" t="s">
        <v>989</v>
      </c>
      <c r="G139" s="2">
        <v>1.92</v>
      </c>
      <c r="H139" s="2">
        <v>0</v>
      </c>
      <c r="I139" s="2">
        <v>0</v>
      </c>
      <c r="J139" s="2">
        <v>0</v>
      </c>
      <c r="K139" s="2" t="s">
        <v>49</v>
      </c>
      <c r="L139" s="2">
        <v>130.053</v>
      </c>
      <c r="M139" s="2">
        <v>2.9000000000000001E-2</v>
      </c>
      <c r="N139" s="2">
        <v>19.620999999999999</v>
      </c>
      <c r="O139" s="2">
        <v>2.63</v>
      </c>
      <c r="P139" s="2">
        <v>0</v>
      </c>
      <c r="Q139" s="2" t="s">
        <v>49</v>
      </c>
      <c r="R139" s="2">
        <v>24.021000000000001</v>
      </c>
      <c r="S139" s="2">
        <v>0.32300000000000001</v>
      </c>
      <c r="T139" s="2">
        <v>1.2749999999999999</v>
      </c>
      <c r="U139" s="2">
        <v>2.524</v>
      </c>
      <c r="V139" s="2">
        <v>0</v>
      </c>
      <c r="Y139" s="2" t="str">
        <f t="shared" si="8"/>
        <v>Ja</v>
      </c>
      <c r="AA139" s="2" t="str">
        <f t="shared" si="9"/>
        <v>Nej</v>
      </c>
      <c r="AB139" s="2">
        <f t="shared" si="10"/>
        <v>130.053</v>
      </c>
      <c r="AC139" s="2">
        <f t="shared" si="11"/>
        <v>0</v>
      </c>
    </row>
    <row r="140" spans="1:29" ht="14.25" x14ac:dyDescent="0.45">
      <c r="A140" s="2" t="s">
        <v>498</v>
      </c>
      <c r="B140" s="2" t="s">
        <v>497</v>
      </c>
      <c r="C140" s="2">
        <v>2019</v>
      </c>
      <c r="D140" s="2" t="s">
        <v>146</v>
      </c>
      <c r="E140" s="2" t="s">
        <v>146</v>
      </c>
      <c r="F140" s="2" t="s">
        <v>988</v>
      </c>
      <c r="G140" s="2">
        <v>1.92</v>
      </c>
      <c r="H140" s="2">
        <v>0</v>
      </c>
      <c r="I140" s="2">
        <v>0</v>
      </c>
      <c r="J140" s="2">
        <v>0</v>
      </c>
      <c r="K140" s="2" t="s">
        <v>49</v>
      </c>
      <c r="L140" s="2" t="s">
        <v>146</v>
      </c>
      <c r="M140" s="2" t="s">
        <v>146</v>
      </c>
      <c r="N140" s="2" t="s">
        <v>146</v>
      </c>
      <c r="O140" s="2" t="s">
        <v>146</v>
      </c>
      <c r="P140" s="2" t="s">
        <v>146</v>
      </c>
      <c r="Q140" s="2" t="s">
        <v>49</v>
      </c>
      <c r="R140" s="2" t="s">
        <v>146</v>
      </c>
      <c r="S140" s="2" t="s">
        <v>146</v>
      </c>
      <c r="T140" s="2" t="s">
        <v>146</v>
      </c>
      <c r="U140" s="2" t="s">
        <v>146</v>
      </c>
      <c r="V140" s="2" t="s">
        <v>146</v>
      </c>
      <c r="Y140" s="2" t="str">
        <f t="shared" si="8"/>
        <v>Ja</v>
      </c>
      <c r="AA140" s="2" t="str">
        <f t="shared" si="9"/>
        <v>Nej</v>
      </c>
      <c r="AB140" s="2" t="str">
        <f t="shared" si="10"/>
        <v>ET</v>
      </c>
      <c r="AC140" s="2">
        <f t="shared" si="11"/>
        <v>0</v>
      </c>
    </row>
    <row r="141" spans="1:29" ht="14.25" x14ac:dyDescent="0.45">
      <c r="A141" s="2" t="s">
        <v>493</v>
      </c>
      <c r="B141" s="2" t="s">
        <v>496</v>
      </c>
      <c r="C141" s="2">
        <v>2019</v>
      </c>
      <c r="D141" s="2">
        <v>2.1999999999999999E-2</v>
      </c>
      <c r="E141" s="2" t="s">
        <v>146</v>
      </c>
      <c r="F141" s="2" t="s">
        <v>916</v>
      </c>
      <c r="G141" s="2">
        <v>1.1000000000000001</v>
      </c>
      <c r="H141" s="2">
        <v>0</v>
      </c>
      <c r="I141" s="2">
        <v>0</v>
      </c>
      <c r="J141" s="2">
        <v>0</v>
      </c>
      <c r="K141" s="2" t="s">
        <v>49</v>
      </c>
      <c r="L141" s="2" t="s">
        <v>146</v>
      </c>
      <c r="M141" s="2" t="s">
        <v>146</v>
      </c>
      <c r="N141" s="2" t="s">
        <v>146</v>
      </c>
      <c r="O141" s="2" t="s">
        <v>146</v>
      </c>
      <c r="P141" s="2" t="s">
        <v>146</v>
      </c>
      <c r="Q141" s="2" t="s">
        <v>49</v>
      </c>
      <c r="R141" s="2" t="s">
        <v>146</v>
      </c>
      <c r="S141" s="2" t="s">
        <v>146</v>
      </c>
      <c r="T141" s="2" t="s">
        <v>146</v>
      </c>
      <c r="U141" s="2" t="s">
        <v>146</v>
      </c>
      <c r="V141" s="2" t="s">
        <v>146</v>
      </c>
      <c r="Y141" s="2" t="str">
        <f t="shared" si="8"/>
        <v>Ja</v>
      </c>
      <c r="AA141" s="2" t="str">
        <f t="shared" si="9"/>
        <v>Nej</v>
      </c>
      <c r="AB141" s="2" t="str">
        <f t="shared" si="10"/>
        <v>ET</v>
      </c>
      <c r="AC141" s="2">
        <f t="shared" si="11"/>
        <v>0</v>
      </c>
    </row>
    <row r="142" spans="1:29" ht="14.25" x14ac:dyDescent="0.45">
      <c r="A142" s="2" t="s">
        <v>493</v>
      </c>
      <c r="B142" s="2" t="s">
        <v>495</v>
      </c>
      <c r="C142" s="2">
        <v>2019</v>
      </c>
      <c r="D142" s="2">
        <v>2.3E-2</v>
      </c>
      <c r="E142" s="2" t="s">
        <v>146</v>
      </c>
      <c r="F142" s="2" t="s">
        <v>916</v>
      </c>
      <c r="G142" s="2">
        <v>1.1000000000000001</v>
      </c>
      <c r="H142" s="2">
        <v>0</v>
      </c>
      <c r="I142" s="2">
        <v>0</v>
      </c>
      <c r="J142" s="2">
        <v>0</v>
      </c>
      <c r="K142" s="2" t="s">
        <v>49</v>
      </c>
      <c r="L142" s="2" t="s">
        <v>146</v>
      </c>
      <c r="M142" s="2" t="s">
        <v>146</v>
      </c>
      <c r="N142" s="2" t="s">
        <v>146</v>
      </c>
      <c r="O142" s="2" t="s">
        <v>146</v>
      </c>
      <c r="P142" s="2" t="s">
        <v>146</v>
      </c>
      <c r="Q142" s="2" t="s">
        <v>49</v>
      </c>
      <c r="R142" s="2" t="s">
        <v>146</v>
      </c>
      <c r="S142" s="2" t="s">
        <v>146</v>
      </c>
      <c r="T142" s="2" t="s">
        <v>146</v>
      </c>
      <c r="U142" s="2" t="s">
        <v>146</v>
      </c>
      <c r="V142" s="2" t="s">
        <v>146</v>
      </c>
      <c r="Y142" s="2" t="str">
        <f t="shared" si="8"/>
        <v>Ja</v>
      </c>
      <c r="AA142" s="2" t="str">
        <f t="shared" si="9"/>
        <v>Nej</v>
      </c>
      <c r="AB142" s="2" t="str">
        <f t="shared" si="10"/>
        <v>ET</v>
      </c>
      <c r="AC142" s="2">
        <f t="shared" si="11"/>
        <v>0</v>
      </c>
    </row>
    <row r="143" spans="1:29" ht="14.25" x14ac:dyDescent="0.45">
      <c r="A143" s="2" t="s">
        <v>493</v>
      </c>
      <c r="B143" s="2" t="s">
        <v>494</v>
      </c>
      <c r="C143" s="2">
        <v>2019</v>
      </c>
      <c r="D143" s="2">
        <v>5.0999999999999997E-2</v>
      </c>
      <c r="E143" s="2" t="s">
        <v>146</v>
      </c>
      <c r="F143" s="2" t="s">
        <v>916</v>
      </c>
      <c r="G143" s="2">
        <v>1.1000000000000001</v>
      </c>
      <c r="H143" s="2">
        <v>0</v>
      </c>
      <c r="I143" s="2">
        <v>0</v>
      </c>
      <c r="J143" s="2">
        <v>0</v>
      </c>
      <c r="K143" s="2" t="s">
        <v>49</v>
      </c>
      <c r="L143" s="2" t="s">
        <v>146</v>
      </c>
      <c r="M143" s="2" t="s">
        <v>146</v>
      </c>
      <c r="N143" s="2" t="s">
        <v>146</v>
      </c>
      <c r="O143" s="2" t="s">
        <v>146</v>
      </c>
      <c r="P143" s="2" t="s">
        <v>146</v>
      </c>
      <c r="Q143" s="2" t="s">
        <v>49</v>
      </c>
      <c r="R143" s="2" t="s">
        <v>146</v>
      </c>
      <c r="S143" s="2" t="s">
        <v>146</v>
      </c>
      <c r="T143" s="2" t="s">
        <v>146</v>
      </c>
      <c r="U143" s="2" t="s">
        <v>146</v>
      </c>
      <c r="V143" s="2" t="s">
        <v>146</v>
      </c>
      <c r="Y143" s="2" t="str">
        <f t="shared" si="8"/>
        <v>Ja</v>
      </c>
      <c r="AA143" s="2" t="str">
        <f t="shared" si="9"/>
        <v>Nej</v>
      </c>
      <c r="AB143" s="2" t="str">
        <f t="shared" si="10"/>
        <v>ET</v>
      </c>
      <c r="AC143" s="2">
        <f t="shared" si="11"/>
        <v>0</v>
      </c>
    </row>
    <row r="144" spans="1:29" ht="14.25" x14ac:dyDescent="0.45">
      <c r="A144" s="2" t="s">
        <v>493</v>
      </c>
      <c r="B144" s="2" t="s">
        <v>492</v>
      </c>
      <c r="C144" s="2">
        <v>2019</v>
      </c>
      <c r="D144" s="2">
        <v>0.29599999999999999</v>
      </c>
      <c r="E144" s="2">
        <v>0.496</v>
      </c>
      <c r="F144" s="2" t="s">
        <v>916</v>
      </c>
      <c r="G144" s="2">
        <v>1.1000000000000001</v>
      </c>
      <c r="H144" s="2">
        <v>0</v>
      </c>
      <c r="I144" s="2">
        <v>0</v>
      </c>
      <c r="J144" s="2">
        <v>0</v>
      </c>
      <c r="K144" s="2" t="s">
        <v>49</v>
      </c>
      <c r="L144" s="2">
        <v>29.1</v>
      </c>
      <c r="M144" s="2">
        <v>0.22</v>
      </c>
      <c r="N144" s="2">
        <v>65</v>
      </c>
      <c r="O144" s="2">
        <v>8</v>
      </c>
      <c r="P144" s="2">
        <v>12</v>
      </c>
      <c r="Q144" s="2" t="s">
        <v>49</v>
      </c>
      <c r="R144" s="2" t="s">
        <v>146</v>
      </c>
      <c r="S144" s="2" t="s">
        <v>146</v>
      </c>
      <c r="T144" s="2" t="s">
        <v>146</v>
      </c>
      <c r="U144" s="2" t="s">
        <v>146</v>
      </c>
      <c r="V144" s="2" t="s">
        <v>146</v>
      </c>
      <c r="Y144" s="2" t="str">
        <f t="shared" si="8"/>
        <v>Ja</v>
      </c>
      <c r="AA144" s="2" t="str">
        <f t="shared" si="9"/>
        <v>Nej</v>
      </c>
      <c r="AB144" s="2">
        <f t="shared" si="10"/>
        <v>29.1</v>
      </c>
      <c r="AC144" s="2">
        <f t="shared" si="11"/>
        <v>0</v>
      </c>
    </row>
    <row r="145" spans="1:29" ht="14.25" x14ac:dyDescent="0.45">
      <c r="A145" s="2" t="s">
        <v>490</v>
      </c>
      <c r="B145" s="2" t="s">
        <v>489</v>
      </c>
      <c r="C145" s="2">
        <v>2019</v>
      </c>
      <c r="D145" s="2">
        <v>2.6</v>
      </c>
      <c r="E145" s="2">
        <v>9.3000000000000007</v>
      </c>
      <c r="F145" s="2" t="s">
        <v>913</v>
      </c>
      <c r="G145" s="2">
        <v>1.1000000000000001</v>
      </c>
      <c r="H145" s="2">
        <v>0</v>
      </c>
      <c r="I145" s="2">
        <v>0</v>
      </c>
      <c r="J145" s="2">
        <v>0</v>
      </c>
      <c r="K145" s="2" t="s">
        <v>987</v>
      </c>
      <c r="L145" s="2">
        <v>23.1</v>
      </c>
      <c r="M145" s="2">
        <v>0.14299999999999999</v>
      </c>
      <c r="N145" s="2">
        <v>6.04</v>
      </c>
      <c r="O145" s="2">
        <v>2.82</v>
      </c>
      <c r="P145" s="2">
        <v>0</v>
      </c>
      <c r="Q145" s="2" t="s">
        <v>986</v>
      </c>
      <c r="R145" s="2">
        <v>50.6</v>
      </c>
      <c r="S145" s="2">
        <v>2.7E-2</v>
      </c>
      <c r="T145" s="2">
        <v>43.7</v>
      </c>
      <c r="U145" s="2">
        <v>1.8</v>
      </c>
      <c r="V145" s="2">
        <v>0</v>
      </c>
      <c r="Y145" s="2" t="str">
        <f t="shared" si="8"/>
        <v>Ja</v>
      </c>
      <c r="AA145" s="2" t="str">
        <f t="shared" si="9"/>
        <v>Nej</v>
      </c>
      <c r="AB145" s="2">
        <f t="shared" si="10"/>
        <v>23.1</v>
      </c>
      <c r="AC145" s="2">
        <f t="shared" si="11"/>
        <v>0</v>
      </c>
    </row>
    <row r="146" spans="1:29" ht="14.25" x14ac:dyDescent="0.45">
      <c r="A146" s="2" t="s">
        <v>480</v>
      </c>
      <c r="B146" s="2" t="s">
        <v>488</v>
      </c>
      <c r="C146" s="2">
        <v>2019</v>
      </c>
      <c r="D146" s="2">
        <v>0.154</v>
      </c>
      <c r="E146" s="2" t="s">
        <v>146</v>
      </c>
      <c r="F146" s="2" t="s">
        <v>913</v>
      </c>
      <c r="G146" s="2">
        <v>1</v>
      </c>
      <c r="H146" s="2">
        <v>0</v>
      </c>
      <c r="I146" s="2">
        <v>0</v>
      </c>
      <c r="J146" s="2">
        <v>0</v>
      </c>
      <c r="K146" s="2" t="s">
        <v>49</v>
      </c>
      <c r="L146" s="2" t="s">
        <v>146</v>
      </c>
      <c r="M146" s="2" t="s">
        <v>146</v>
      </c>
      <c r="N146" s="2" t="s">
        <v>146</v>
      </c>
      <c r="O146" s="2" t="s">
        <v>146</v>
      </c>
      <c r="P146" s="2" t="s">
        <v>146</v>
      </c>
      <c r="Q146" s="2" t="s">
        <v>49</v>
      </c>
      <c r="R146" s="2" t="s">
        <v>146</v>
      </c>
      <c r="S146" s="2" t="s">
        <v>146</v>
      </c>
      <c r="T146" s="2" t="s">
        <v>146</v>
      </c>
      <c r="U146" s="2" t="s">
        <v>146</v>
      </c>
      <c r="V146" s="2" t="s">
        <v>146</v>
      </c>
      <c r="Y146" s="2" t="str">
        <f t="shared" si="8"/>
        <v>Ja</v>
      </c>
      <c r="AA146" s="2" t="str">
        <f t="shared" si="9"/>
        <v>Nej</v>
      </c>
      <c r="AB146" s="2" t="str">
        <f t="shared" si="10"/>
        <v>ET</v>
      </c>
      <c r="AC146" s="2">
        <f t="shared" si="11"/>
        <v>0</v>
      </c>
    </row>
    <row r="147" spans="1:29" ht="14.25" x14ac:dyDescent="0.45">
      <c r="A147" s="2" t="s">
        <v>480</v>
      </c>
      <c r="B147" s="2" t="s">
        <v>487</v>
      </c>
      <c r="C147" s="2">
        <v>2019</v>
      </c>
      <c r="D147" s="2">
        <v>9.2999999999999999E-2</v>
      </c>
      <c r="E147" s="2" t="s">
        <v>146</v>
      </c>
      <c r="F147" s="2" t="s">
        <v>913</v>
      </c>
      <c r="G147" s="2">
        <v>1</v>
      </c>
      <c r="H147" s="2">
        <v>0</v>
      </c>
      <c r="I147" s="2">
        <v>0</v>
      </c>
      <c r="J147" s="2">
        <v>0</v>
      </c>
      <c r="K147" s="2" t="s">
        <v>49</v>
      </c>
      <c r="L147" s="2" t="s">
        <v>146</v>
      </c>
      <c r="M147" s="2" t="s">
        <v>146</v>
      </c>
      <c r="N147" s="2" t="s">
        <v>146</v>
      </c>
      <c r="O147" s="2" t="s">
        <v>146</v>
      </c>
      <c r="P147" s="2" t="s">
        <v>146</v>
      </c>
      <c r="Q147" s="2" t="s">
        <v>49</v>
      </c>
      <c r="R147" s="2" t="s">
        <v>146</v>
      </c>
      <c r="S147" s="2" t="s">
        <v>146</v>
      </c>
      <c r="T147" s="2" t="s">
        <v>146</v>
      </c>
      <c r="U147" s="2" t="s">
        <v>146</v>
      </c>
      <c r="V147" s="2" t="s">
        <v>146</v>
      </c>
      <c r="Y147" s="2" t="str">
        <f t="shared" si="8"/>
        <v>Ja</v>
      </c>
      <c r="AA147" s="2" t="str">
        <f t="shared" si="9"/>
        <v>Nej</v>
      </c>
      <c r="AB147" s="2" t="str">
        <f t="shared" si="10"/>
        <v>ET</v>
      </c>
      <c r="AC147" s="2">
        <f t="shared" si="11"/>
        <v>0</v>
      </c>
    </row>
    <row r="148" spans="1:29" ht="14.25" x14ac:dyDescent="0.45">
      <c r="A148" s="2" t="s">
        <v>480</v>
      </c>
      <c r="B148" s="2" t="s">
        <v>486</v>
      </c>
      <c r="C148" s="2">
        <v>2019</v>
      </c>
      <c r="D148" s="2">
        <v>0.24199999999999999</v>
      </c>
      <c r="E148" s="2" t="s">
        <v>146</v>
      </c>
      <c r="F148" s="2" t="s">
        <v>916</v>
      </c>
      <c r="G148" s="2">
        <v>1</v>
      </c>
      <c r="H148" s="2">
        <v>0</v>
      </c>
      <c r="I148" s="2">
        <v>0</v>
      </c>
      <c r="J148" s="2">
        <v>0</v>
      </c>
      <c r="K148" s="2" t="s">
        <v>49</v>
      </c>
      <c r="L148" s="2" t="s">
        <v>146</v>
      </c>
      <c r="M148" s="2" t="s">
        <v>146</v>
      </c>
      <c r="N148" s="2" t="s">
        <v>146</v>
      </c>
      <c r="O148" s="2" t="s">
        <v>146</v>
      </c>
      <c r="P148" s="2" t="s">
        <v>146</v>
      </c>
      <c r="Q148" s="2" t="s">
        <v>49</v>
      </c>
      <c r="R148" s="2" t="s">
        <v>146</v>
      </c>
      <c r="S148" s="2" t="s">
        <v>146</v>
      </c>
      <c r="T148" s="2" t="s">
        <v>146</v>
      </c>
      <c r="U148" s="2" t="s">
        <v>146</v>
      </c>
      <c r="V148" s="2" t="s">
        <v>146</v>
      </c>
      <c r="Y148" s="2" t="str">
        <f t="shared" si="8"/>
        <v>Ja</v>
      </c>
      <c r="AA148" s="2" t="str">
        <f t="shared" si="9"/>
        <v>Nej</v>
      </c>
      <c r="AB148" s="2" t="str">
        <f t="shared" si="10"/>
        <v>ET</v>
      </c>
      <c r="AC148" s="2">
        <f t="shared" si="11"/>
        <v>0</v>
      </c>
    </row>
    <row r="149" spans="1:29" ht="14.25" x14ac:dyDescent="0.45">
      <c r="A149" s="2" t="s">
        <v>480</v>
      </c>
      <c r="B149" s="2" t="s">
        <v>485</v>
      </c>
      <c r="C149" s="2">
        <v>2019</v>
      </c>
      <c r="D149" s="2">
        <v>0.113</v>
      </c>
      <c r="E149" s="2" t="s">
        <v>146</v>
      </c>
      <c r="F149" s="2" t="s">
        <v>913</v>
      </c>
      <c r="G149" s="2">
        <v>1</v>
      </c>
      <c r="H149" s="2">
        <v>0</v>
      </c>
      <c r="I149" s="2">
        <v>0</v>
      </c>
      <c r="J149" s="2">
        <v>0</v>
      </c>
      <c r="K149" s="2" t="s">
        <v>49</v>
      </c>
      <c r="L149" s="2" t="s">
        <v>146</v>
      </c>
      <c r="M149" s="2" t="s">
        <v>146</v>
      </c>
      <c r="N149" s="2" t="s">
        <v>146</v>
      </c>
      <c r="O149" s="2" t="s">
        <v>146</v>
      </c>
      <c r="P149" s="2" t="s">
        <v>146</v>
      </c>
      <c r="Q149" s="2" t="s">
        <v>49</v>
      </c>
      <c r="R149" s="2" t="s">
        <v>146</v>
      </c>
      <c r="S149" s="2" t="s">
        <v>146</v>
      </c>
      <c r="T149" s="2" t="s">
        <v>146</v>
      </c>
      <c r="U149" s="2" t="s">
        <v>146</v>
      </c>
      <c r="V149" s="2" t="s">
        <v>146</v>
      </c>
      <c r="Y149" s="2" t="str">
        <f t="shared" si="8"/>
        <v>Ja</v>
      </c>
      <c r="AA149" s="2" t="str">
        <f t="shared" si="9"/>
        <v>Nej</v>
      </c>
      <c r="AB149" s="2" t="str">
        <f t="shared" si="10"/>
        <v>ET</v>
      </c>
      <c r="AC149" s="2">
        <f t="shared" si="11"/>
        <v>0</v>
      </c>
    </row>
    <row r="150" spans="1:29" ht="14.25" x14ac:dyDescent="0.45">
      <c r="A150" s="2" t="s">
        <v>480</v>
      </c>
      <c r="B150" s="2" t="s">
        <v>484</v>
      </c>
      <c r="C150" s="2">
        <v>2019</v>
      </c>
      <c r="D150" s="2">
        <v>0.27900000000000003</v>
      </c>
      <c r="E150" s="2" t="s">
        <v>146</v>
      </c>
      <c r="F150" s="2" t="s">
        <v>913</v>
      </c>
      <c r="G150" s="2">
        <v>1</v>
      </c>
      <c r="H150" s="2">
        <v>0</v>
      </c>
      <c r="I150" s="2">
        <v>0</v>
      </c>
      <c r="J150" s="2">
        <v>0</v>
      </c>
      <c r="K150" s="2" t="s">
        <v>49</v>
      </c>
      <c r="L150" s="2" t="s">
        <v>146</v>
      </c>
      <c r="M150" s="2" t="s">
        <v>146</v>
      </c>
      <c r="N150" s="2" t="s">
        <v>146</v>
      </c>
      <c r="O150" s="2" t="s">
        <v>146</v>
      </c>
      <c r="P150" s="2" t="s">
        <v>146</v>
      </c>
      <c r="Q150" s="2" t="s">
        <v>49</v>
      </c>
      <c r="R150" s="2" t="s">
        <v>146</v>
      </c>
      <c r="S150" s="2" t="s">
        <v>146</v>
      </c>
      <c r="T150" s="2" t="s">
        <v>146</v>
      </c>
      <c r="U150" s="2" t="s">
        <v>146</v>
      </c>
      <c r="V150" s="2" t="s">
        <v>146</v>
      </c>
      <c r="Y150" s="2" t="str">
        <f t="shared" si="8"/>
        <v>Ja</v>
      </c>
      <c r="AA150" s="2" t="str">
        <f t="shared" si="9"/>
        <v>Nej</v>
      </c>
      <c r="AB150" s="2" t="str">
        <f t="shared" si="10"/>
        <v>ET</v>
      </c>
      <c r="AC150" s="2">
        <f t="shared" si="11"/>
        <v>0</v>
      </c>
    </row>
    <row r="151" spans="1:29" ht="14.25" x14ac:dyDescent="0.45">
      <c r="A151" s="2" t="s">
        <v>480</v>
      </c>
      <c r="B151" s="2" t="s">
        <v>483</v>
      </c>
      <c r="C151" s="2">
        <v>2019</v>
      </c>
      <c r="D151" s="2">
        <v>0.504</v>
      </c>
      <c r="E151" s="2" t="s">
        <v>146</v>
      </c>
      <c r="F151" s="2" t="s">
        <v>913</v>
      </c>
      <c r="G151" s="2">
        <v>1</v>
      </c>
      <c r="H151" s="2">
        <v>0</v>
      </c>
      <c r="I151" s="2">
        <v>0</v>
      </c>
      <c r="J151" s="2">
        <v>0</v>
      </c>
      <c r="K151" s="2" t="s">
        <v>49</v>
      </c>
      <c r="L151" s="2" t="s">
        <v>146</v>
      </c>
      <c r="M151" s="2" t="s">
        <v>146</v>
      </c>
      <c r="N151" s="2" t="s">
        <v>146</v>
      </c>
      <c r="O151" s="2" t="s">
        <v>146</v>
      </c>
      <c r="P151" s="2" t="s">
        <v>146</v>
      </c>
      <c r="Q151" s="2" t="s">
        <v>49</v>
      </c>
      <c r="R151" s="2" t="s">
        <v>146</v>
      </c>
      <c r="S151" s="2" t="s">
        <v>146</v>
      </c>
      <c r="T151" s="2" t="s">
        <v>146</v>
      </c>
      <c r="U151" s="2" t="s">
        <v>146</v>
      </c>
      <c r="V151" s="2" t="s">
        <v>146</v>
      </c>
      <c r="Y151" s="2" t="str">
        <f t="shared" si="8"/>
        <v>Ja</v>
      </c>
      <c r="AA151" s="2" t="str">
        <f t="shared" si="9"/>
        <v>Nej</v>
      </c>
      <c r="AB151" s="2" t="str">
        <f t="shared" si="10"/>
        <v>ET</v>
      </c>
      <c r="AC151" s="2">
        <f t="shared" si="11"/>
        <v>0</v>
      </c>
    </row>
    <row r="152" spans="1:29" ht="14.25" x14ac:dyDescent="0.45">
      <c r="A152" s="2" t="s">
        <v>480</v>
      </c>
      <c r="B152" s="2" t="s">
        <v>482</v>
      </c>
      <c r="C152" s="2">
        <v>2019</v>
      </c>
      <c r="D152" s="2">
        <v>0.17799999999999999</v>
      </c>
      <c r="E152" s="2" t="s">
        <v>146</v>
      </c>
      <c r="F152" s="2" t="s">
        <v>913</v>
      </c>
      <c r="G152" s="2">
        <v>1</v>
      </c>
      <c r="H152" s="2">
        <v>0</v>
      </c>
      <c r="I152" s="2">
        <v>0</v>
      </c>
      <c r="J152" s="2">
        <v>0</v>
      </c>
      <c r="K152" s="2" t="s">
        <v>49</v>
      </c>
      <c r="L152" s="2" t="s">
        <v>146</v>
      </c>
      <c r="M152" s="2" t="s">
        <v>146</v>
      </c>
      <c r="N152" s="2" t="s">
        <v>146</v>
      </c>
      <c r="O152" s="2" t="s">
        <v>146</v>
      </c>
      <c r="P152" s="2" t="s">
        <v>146</v>
      </c>
      <c r="Q152" s="2" t="s">
        <v>49</v>
      </c>
      <c r="R152" s="2" t="s">
        <v>146</v>
      </c>
      <c r="S152" s="2" t="s">
        <v>146</v>
      </c>
      <c r="T152" s="2" t="s">
        <v>146</v>
      </c>
      <c r="U152" s="2" t="s">
        <v>146</v>
      </c>
      <c r="V152" s="2" t="s">
        <v>146</v>
      </c>
      <c r="Y152" s="2" t="str">
        <f t="shared" si="8"/>
        <v>Ja</v>
      </c>
      <c r="AA152" s="2" t="str">
        <f t="shared" si="9"/>
        <v>Nej</v>
      </c>
      <c r="AB152" s="2" t="str">
        <f t="shared" si="10"/>
        <v>ET</v>
      </c>
      <c r="AC152" s="2">
        <f t="shared" si="11"/>
        <v>0</v>
      </c>
    </row>
    <row r="153" spans="1:29" ht="14.25" x14ac:dyDescent="0.45">
      <c r="A153" s="2" t="s">
        <v>480</v>
      </c>
      <c r="B153" s="2" t="s">
        <v>481</v>
      </c>
      <c r="C153" s="2">
        <v>2019</v>
      </c>
      <c r="D153" s="2">
        <v>0.224</v>
      </c>
      <c r="E153" s="2" t="s">
        <v>146</v>
      </c>
      <c r="F153" s="2" t="s">
        <v>913</v>
      </c>
      <c r="G153" s="2">
        <v>1</v>
      </c>
      <c r="H153" s="2">
        <v>0</v>
      </c>
      <c r="I153" s="2">
        <v>0</v>
      </c>
      <c r="J153" s="2">
        <v>0</v>
      </c>
      <c r="K153" s="2" t="s">
        <v>49</v>
      </c>
      <c r="L153" s="2" t="s">
        <v>146</v>
      </c>
      <c r="M153" s="2" t="s">
        <v>146</v>
      </c>
      <c r="N153" s="2" t="s">
        <v>146</v>
      </c>
      <c r="O153" s="2" t="s">
        <v>146</v>
      </c>
      <c r="P153" s="2" t="s">
        <v>146</v>
      </c>
      <c r="Q153" s="2" t="s">
        <v>49</v>
      </c>
      <c r="R153" s="2" t="s">
        <v>146</v>
      </c>
      <c r="S153" s="2" t="s">
        <v>146</v>
      </c>
      <c r="T153" s="2" t="s">
        <v>146</v>
      </c>
      <c r="U153" s="2" t="s">
        <v>146</v>
      </c>
      <c r="V153" s="2" t="s">
        <v>146</v>
      </c>
      <c r="Y153" s="2" t="str">
        <f t="shared" si="8"/>
        <v>Ja</v>
      </c>
      <c r="AA153" s="2" t="str">
        <f t="shared" si="9"/>
        <v>Nej</v>
      </c>
      <c r="AB153" s="2" t="str">
        <f t="shared" si="10"/>
        <v>ET</v>
      </c>
      <c r="AC153" s="2">
        <f t="shared" si="11"/>
        <v>0</v>
      </c>
    </row>
    <row r="154" spans="1:29" ht="14.25" x14ac:dyDescent="0.45">
      <c r="A154" s="2" t="s">
        <v>480</v>
      </c>
      <c r="B154" s="2" t="s">
        <v>479</v>
      </c>
      <c r="C154" s="2">
        <v>2019</v>
      </c>
      <c r="D154" s="2">
        <v>0.13500000000000001</v>
      </c>
      <c r="E154" s="2" t="s">
        <v>146</v>
      </c>
      <c r="F154" s="2" t="s">
        <v>913</v>
      </c>
      <c r="G154" s="2">
        <v>1</v>
      </c>
      <c r="H154" s="2">
        <v>0</v>
      </c>
      <c r="I154" s="2">
        <v>0</v>
      </c>
      <c r="J154" s="2">
        <v>0</v>
      </c>
      <c r="K154" s="2" t="s">
        <v>49</v>
      </c>
      <c r="L154" s="2" t="s">
        <v>146</v>
      </c>
      <c r="M154" s="2" t="s">
        <v>146</v>
      </c>
      <c r="N154" s="2" t="s">
        <v>146</v>
      </c>
      <c r="O154" s="2" t="s">
        <v>146</v>
      </c>
      <c r="P154" s="2" t="s">
        <v>146</v>
      </c>
      <c r="Q154" s="2" t="s">
        <v>49</v>
      </c>
      <c r="R154" s="2" t="s">
        <v>146</v>
      </c>
      <c r="S154" s="2" t="s">
        <v>146</v>
      </c>
      <c r="T154" s="2" t="s">
        <v>146</v>
      </c>
      <c r="U154" s="2" t="s">
        <v>146</v>
      </c>
      <c r="V154" s="2" t="s">
        <v>146</v>
      </c>
      <c r="Y154" s="2" t="str">
        <f t="shared" si="8"/>
        <v>Ja</v>
      </c>
      <c r="AA154" s="2" t="str">
        <f t="shared" si="9"/>
        <v>Nej</v>
      </c>
      <c r="AB154" s="2" t="str">
        <f t="shared" si="10"/>
        <v>ET</v>
      </c>
      <c r="AC154" s="2">
        <f t="shared" si="11"/>
        <v>0</v>
      </c>
    </row>
    <row r="155" spans="1:29" ht="14.25" x14ac:dyDescent="0.45">
      <c r="A155" s="2" t="s">
        <v>478</v>
      </c>
      <c r="B155" s="2" t="s">
        <v>477</v>
      </c>
      <c r="C155" s="2">
        <v>2019</v>
      </c>
      <c r="D155" s="2">
        <v>0.46800000000000003</v>
      </c>
      <c r="E155" s="2" t="s">
        <v>146</v>
      </c>
      <c r="F155" s="2" t="s">
        <v>985</v>
      </c>
      <c r="G155" s="2">
        <v>1.1000000000000001</v>
      </c>
      <c r="H155" s="2">
        <v>0</v>
      </c>
      <c r="I155" s="2">
        <v>0</v>
      </c>
      <c r="J155" s="2">
        <v>0</v>
      </c>
      <c r="K155" s="2" t="s">
        <v>49</v>
      </c>
      <c r="L155" s="2" t="s">
        <v>146</v>
      </c>
      <c r="M155" s="2" t="s">
        <v>146</v>
      </c>
      <c r="N155" s="2" t="s">
        <v>146</v>
      </c>
      <c r="O155" s="2" t="s">
        <v>146</v>
      </c>
      <c r="P155" s="2" t="s">
        <v>146</v>
      </c>
      <c r="Q155" s="2" t="s">
        <v>49</v>
      </c>
      <c r="R155" s="2" t="s">
        <v>146</v>
      </c>
      <c r="S155" s="2" t="s">
        <v>146</v>
      </c>
      <c r="T155" s="2" t="s">
        <v>146</v>
      </c>
      <c r="U155" s="2" t="s">
        <v>146</v>
      </c>
      <c r="V155" s="2" t="s">
        <v>146</v>
      </c>
      <c r="Y155" s="2" t="str">
        <f t="shared" si="8"/>
        <v>Ja</v>
      </c>
      <c r="AA155" s="2" t="str">
        <f t="shared" si="9"/>
        <v>Nej</v>
      </c>
      <c r="AB155" s="2" t="str">
        <f t="shared" si="10"/>
        <v>ET</v>
      </c>
      <c r="AC155" s="2">
        <f t="shared" si="11"/>
        <v>0</v>
      </c>
    </row>
    <row r="156" spans="1:29" ht="14.25" x14ac:dyDescent="0.45">
      <c r="A156" s="2" t="s">
        <v>476</v>
      </c>
      <c r="B156" s="2" t="s">
        <v>89</v>
      </c>
      <c r="C156" s="2">
        <v>2019</v>
      </c>
      <c r="D156" s="2" t="s">
        <v>49</v>
      </c>
      <c r="E156" s="2" t="s">
        <v>49</v>
      </c>
      <c r="F156" s="2" t="s">
        <v>49</v>
      </c>
      <c r="G156" s="2" t="s">
        <v>49</v>
      </c>
      <c r="H156" s="2" t="s">
        <v>49</v>
      </c>
      <c r="I156" s="2" t="s">
        <v>49</v>
      </c>
      <c r="J156" s="2" t="s">
        <v>49</v>
      </c>
      <c r="K156" s="2" t="s">
        <v>49</v>
      </c>
      <c r="L156" s="2" t="s">
        <v>49</v>
      </c>
      <c r="M156" s="2" t="s">
        <v>49</v>
      </c>
      <c r="N156" s="2" t="s">
        <v>49</v>
      </c>
      <c r="O156" s="2" t="s">
        <v>49</v>
      </c>
      <c r="P156" s="2" t="s">
        <v>49</v>
      </c>
      <c r="Q156" s="2" t="s">
        <v>49</v>
      </c>
      <c r="R156" s="2" t="s">
        <v>49</v>
      </c>
      <c r="S156" s="2" t="s">
        <v>49</v>
      </c>
      <c r="T156" s="2" t="s">
        <v>49</v>
      </c>
      <c r="U156" s="2" t="s">
        <v>49</v>
      </c>
      <c r="V156" s="2" t="s">
        <v>49</v>
      </c>
      <c r="Y156" s="2" t="str">
        <f t="shared" si="8"/>
        <v>Nej</v>
      </c>
      <c r="AA156" s="2" t="str">
        <f t="shared" si="9"/>
        <v>Nej</v>
      </c>
      <c r="AB156" s="2">
        <f t="shared" si="10"/>
        <v>0</v>
      </c>
      <c r="AC156" s="2">
        <f t="shared" si="11"/>
        <v>0</v>
      </c>
    </row>
    <row r="157" spans="1:29" ht="14.25" x14ac:dyDescent="0.45">
      <c r="A157" s="2" t="s">
        <v>472</v>
      </c>
      <c r="B157" s="2" t="s">
        <v>475</v>
      </c>
      <c r="C157" s="2">
        <v>2019</v>
      </c>
      <c r="D157" s="2">
        <v>0.17199999999999999</v>
      </c>
      <c r="E157" s="2" t="s">
        <v>146</v>
      </c>
      <c r="F157" s="2" t="s">
        <v>913</v>
      </c>
      <c r="G157" s="2">
        <v>0.1</v>
      </c>
      <c r="H157" s="2">
        <v>0</v>
      </c>
      <c r="I157" s="2">
        <v>0</v>
      </c>
      <c r="J157" s="2">
        <v>0</v>
      </c>
      <c r="K157" s="2" t="s">
        <v>49</v>
      </c>
      <c r="L157" s="2" t="s">
        <v>146</v>
      </c>
      <c r="M157" s="2" t="s">
        <v>146</v>
      </c>
      <c r="N157" s="2" t="s">
        <v>146</v>
      </c>
      <c r="O157" s="2" t="s">
        <v>146</v>
      </c>
      <c r="P157" s="2" t="s">
        <v>146</v>
      </c>
      <c r="Q157" s="2" t="s">
        <v>49</v>
      </c>
      <c r="R157" s="2" t="s">
        <v>146</v>
      </c>
      <c r="S157" s="2" t="s">
        <v>146</v>
      </c>
      <c r="T157" s="2" t="s">
        <v>146</v>
      </c>
      <c r="U157" s="2" t="s">
        <v>146</v>
      </c>
      <c r="V157" s="2" t="s">
        <v>146</v>
      </c>
      <c r="Y157" s="2" t="str">
        <f t="shared" si="8"/>
        <v>Ja</v>
      </c>
      <c r="AA157" s="2" t="str">
        <f t="shared" si="9"/>
        <v>Nej</v>
      </c>
      <c r="AB157" s="2" t="str">
        <f t="shared" si="10"/>
        <v>ET</v>
      </c>
      <c r="AC157" s="2">
        <f t="shared" si="11"/>
        <v>0</v>
      </c>
    </row>
    <row r="158" spans="1:29" ht="14.25" x14ac:dyDescent="0.45">
      <c r="A158" s="2" t="s">
        <v>472</v>
      </c>
      <c r="B158" s="2" t="s">
        <v>474</v>
      </c>
      <c r="C158" s="2">
        <v>2019</v>
      </c>
      <c r="D158" s="2">
        <v>0.22600000000000001</v>
      </c>
      <c r="E158" s="2" t="s">
        <v>146</v>
      </c>
      <c r="F158" s="2" t="s">
        <v>913</v>
      </c>
      <c r="G158" s="2">
        <v>0.1</v>
      </c>
      <c r="H158" s="2">
        <v>0</v>
      </c>
      <c r="I158" s="2">
        <v>0</v>
      </c>
      <c r="J158" s="2">
        <v>0</v>
      </c>
      <c r="K158" s="2" t="s">
        <v>49</v>
      </c>
      <c r="L158" s="2" t="s">
        <v>146</v>
      </c>
      <c r="M158" s="2" t="s">
        <v>146</v>
      </c>
      <c r="N158" s="2" t="s">
        <v>146</v>
      </c>
      <c r="O158" s="2" t="s">
        <v>146</v>
      </c>
      <c r="P158" s="2" t="s">
        <v>146</v>
      </c>
      <c r="Q158" s="2" t="s">
        <v>49</v>
      </c>
      <c r="R158" s="2" t="s">
        <v>146</v>
      </c>
      <c r="S158" s="2" t="s">
        <v>146</v>
      </c>
      <c r="T158" s="2" t="s">
        <v>146</v>
      </c>
      <c r="U158" s="2" t="s">
        <v>146</v>
      </c>
      <c r="V158" s="2" t="s">
        <v>146</v>
      </c>
      <c r="Y158" s="2" t="str">
        <f t="shared" si="8"/>
        <v>Ja</v>
      </c>
      <c r="AA158" s="2" t="str">
        <f t="shared" si="9"/>
        <v>Nej</v>
      </c>
      <c r="AB158" s="2" t="str">
        <f t="shared" si="10"/>
        <v>ET</v>
      </c>
      <c r="AC158" s="2">
        <f t="shared" si="11"/>
        <v>0</v>
      </c>
    </row>
    <row r="159" spans="1:29" ht="14.25" x14ac:dyDescent="0.45">
      <c r="A159" s="2" t="s">
        <v>472</v>
      </c>
      <c r="B159" s="2" t="s">
        <v>473</v>
      </c>
      <c r="C159" s="2">
        <v>2019</v>
      </c>
      <c r="D159" s="2">
        <v>0.63</v>
      </c>
      <c r="E159" s="2" t="s">
        <v>146</v>
      </c>
      <c r="F159" s="2" t="s">
        <v>913</v>
      </c>
      <c r="G159" s="2">
        <v>0.1</v>
      </c>
      <c r="H159" s="2">
        <v>0</v>
      </c>
      <c r="I159" s="2">
        <v>0</v>
      </c>
      <c r="J159" s="2">
        <v>0</v>
      </c>
      <c r="K159" s="2" t="s">
        <v>49</v>
      </c>
      <c r="L159" s="2" t="s">
        <v>146</v>
      </c>
      <c r="M159" s="2" t="s">
        <v>146</v>
      </c>
      <c r="N159" s="2" t="s">
        <v>146</v>
      </c>
      <c r="O159" s="2" t="s">
        <v>146</v>
      </c>
      <c r="P159" s="2" t="s">
        <v>146</v>
      </c>
      <c r="Q159" s="2" t="s">
        <v>49</v>
      </c>
      <c r="R159" s="2" t="s">
        <v>146</v>
      </c>
      <c r="S159" s="2" t="s">
        <v>146</v>
      </c>
      <c r="T159" s="2" t="s">
        <v>146</v>
      </c>
      <c r="U159" s="2" t="s">
        <v>146</v>
      </c>
      <c r="V159" s="2" t="s">
        <v>146</v>
      </c>
      <c r="Y159" s="2" t="str">
        <f t="shared" si="8"/>
        <v>Ja</v>
      </c>
      <c r="AA159" s="2" t="str">
        <f t="shared" si="9"/>
        <v>Nej</v>
      </c>
      <c r="AB159" s="2" t="str">
        <f t="shared" si="10"/>
        <v>ET</v>
      </c>
      <c r="AC159" s="2">
        <f t="shared" si="11"/>
        <v>0</v>
      </c>
    </row>
    <row r="160" spans="1:29" ht="14.25" x14ac:dyDescent="0.45">
      <c r="A160" s="2" t="s">
        <v>472</v>
      </c>
      <c r="B160" s="2" t="s">
        <v>471</v>
      </c>
      <c r="C160" s="2">
        <v>2019</v>
      </c>
      <c r="D160" s="2">
        <v>3.2500000000000001E-2</v>
      </c>
      <c r="E160" s="2" t="s">
        <v>146</v>
      </c>
      <c r="F160" s="2" t="s">
        <v>913</v>
      </c>
      <c r="G160" s="2">
        <v>0.1</v>
      </c>
      <c r="H160" s="2">
        <v>0</v>
      </c>
      <c r="I160" s="2">
        <v>0</v>
      </c>
      <c r="J160" s="2">
        <v>0</v>
      </c>
      <c r="K160" s="2" t="s">
        <v>49</v>
      </c>
      <c r="L160" s="2" t="s">
        <v>146</v>
      </c>
      <c r="M160" s="2" t="s">
        <v>146</v>
      </c>
      <c r="N160" s="2" t="s">
        <v>146</v>
      </c>
      <c r="O160" s="2" t="s">
        <v>146</v>
      </c>
      <c r="P160" s="2" t="s">
        <v>146</v>
      </c>
      <c r="Q160" s="2" t="s">
        <v>49</v>
      </c>
      <c r="R160" s="2" t="s">
        <v>146</v>
      </c>
      <c r="S160" s="2" t="s">
        <v>146</v>
      </c>
      <c r="T160" s="2" t="s">
        <v>146</v>
      </c>
      <c r="U160" s="2" t="s">
        <v>146</v>
      </c>
      <c r="V160" s="2" t="s">
        <v>146</v>
      </c>
      <c r="Y160" s="2" t="str">
        <f t="shared" si="8"/>
        <v>Ja</v>
      </c>
      <c r="AA160" s="2" t="str">
        <f t="shared" si="9"/>
        <v>Nej</v>
      </c>
      <c r="AB160" s="2" t="str">
        <f t="shared" si="10"/>
        <v>ET</v>
      </c>
      <c r="AC160" s="2">
        <f t="shared" si="11"/>
        <v>0</v>
      </c>
    </row>
    <row r="161" spans="1:29" ht="14.25" x14ac:dyDescent="0.45">
      <c r="A161" s="2" t="s">
        <v>470</v>
      </c>
      <c r="B161" s="2" t="s">
        <v>469</v>
      </c>
      <c r="C161" s="2">
        <v>2019</v>
      </c>
      <c r="D161" s="2" t="s">
        <v>146</v>
      </c>
      <c r="E161" s="2" t="s">
        <v>146</v>
      </c>
      <c r="F161" s="2" t="s">
        <v>49</v>
      </c>
      <c r="G161" s="2">
        <v>2.2000000000000002</v>
      </c>
      <c r="H161" s="2">
        <v>250.8</v>
      </c>
      <c r="I161" s="2">
        <v>0.35</v>
      </c>
      <c r="J161" s="2">
        <v>0.3977</v>
      </c>
      <c r="K161" s="2" t="s">
        <v>49</v>
      </c>
      <c r="L161" s="2" t="s">
        <v>146</v>
      </c>
      <c r="M161" s="2" t="s">
        <v>146</v>
      </c>
      <c r="N161" s="2" t="s">
        <v>146</v>
      </c>
      <c r="O161" s="2" t="s">
        <v>146</v>
      </c>
      <c r="P161" s="2" t="s">
        <v>146</v>
      </c>
      <c r="Q161" s="2" t="s">
        <v>49</v>
      </c>
      <c r="R161" s="2" t="s">
        <v>146</v>
      </c>
      <c r="S161" s="2" t="s">
        <v>146</v>
      </c>
      <c r="T161" s="2" t="s">
        <v>146</v>
      </c>
      <c r="U161" s="2" t="s">
        <v>146</v>
      </c>
      <c r="V161" s="2" t="s">
        <v>146</v>
      </c>
      <c r="Y161" s="2" t="str">
        <f t="shared" si="8"/>
        <v>Ja</v>
      </c>
      <c r="AA161" s="2" t="str">
        <f t="shared" si="9"/>
        <v>Nej</v>
      </c>
      <c r="AB161" s="2" t="str">
        <f t="shared" si="10"/>
        <v>ET</v>
      </c>
      <c r="AC161" s="2">
        <f t="shared" si="11"/>
        <v>0</v>
      </c>
    </row>
    <row r="162" spans="1:29" ht="14.25" x14ac:dyDescent="0.45">
      <c r="A162" s="2" t="s">
        <v>467</v>
      </c>
      <c r="B162" s="2" t="s">
        <v>468</v>
      </c>
      <c r="C162" s="2">
        <v>2019</v>
      </c>
      <c r="D162" s="2">
        <v>20.228000000000002</v>
      </c>
      <c r="E162" s="2">
        <v>7.133</v>
      </c>
      <c r="F162" s="2" t="s">
        <v>913</v>
      </c>
      <c r="G162" s="2">
        <v>1.1000000000000001</v>
      </c>
      <c r="H162" s="2">
        <v>0</v>
      </c>
      <c r="I162" s="2">
        <v>0</v>
      </c>
      <c r="J162" s="2">
        <v>0</v>
      </c>
      <c r="K162" s="2" t="s">
        <v>49</v>
      </c>
      <c r="L162" s="2" t="s">
        <v>146</v>
      </c>
      <c r="M162" s="2" t="s">
        <v>146</v>
      </c>
      <c r="N162" s="2" t="s">
        <v>146</v>
      </c>
      <c r="O162" s="2" t="s">
        <v>146</v>
      </c>
      <c r="P162" s="2" t="s">
        <v>146</v>
      </c>
      <c r="Q162" s="2" t="s">
        <v>49</v>
      </c>
      <c r="R162" s="2" t="s">
        <v>146</v>
      </c>
      <c r="S162" s="2" t="s">
        <v>146</v>
      </c>
      <c r="T162" s="2" t="s">
        <v>146</v>
      </c>
      <c r="U162" s="2" t="s">
        <v>146</v>
      </c>
      <c r="V162" s="2" t="s">
        <v>146</v>
      </c>
      <c r="Y162" s="2" t="str">
        <f t="shared" si="8"/>
        <v>Ja</v>
      </c>
      <c r="AA162" s="2" t="str">
        <f t="shared" si="9"/>
        <v>Nej</v>
      </c>
      <c r="AB162" s="2" t="str">
        <f t="shared" si="10"/>
        <v>ET</v>
      </c>
      <c r="AC162" s="2">
        <f t="shared" si="11"/>
        <v>0</v>
      </c>
    </row>
    <row r="163" spans="1:29" ht="14.25" x14ac:dyDescent="0.45">
      <c r="A163" s="2" t="s">
        <v>467</v>
      </c>
      <c r="B163" s="2" t="s">
        <v>466</v>
      </c>
      <c r="C163" s="2">
        <v>2019</v>
      </c>
      <c r="D163" s="2" t="s">
        <v>146</v>
      </c>
      <c r="E163" s="2" t="s">
        <v>146</v>
      </c>
      <c r="F163" s="2" t="s">
        <v>913</v>
      </c>
      <c r="G163" s="2">
        <v>1.1000000000000001</v>
      </c>
      <c r="H163" s="2">
        <v>0</v>
      </c>
      <c r="I163" s="2">
        <v>0</v>
      </c>
      <c r="J163" s="2">
        <v>0</v>
      </c>
      <c r="K163" s="2" t="s">
        <v>49</v>
      </c>
      <c r="L163" s="2" t="s">
        <v>146</v>
      </c>
      <c r="M163" s="2" t="s">
        <v>146</v>
      </c>
      <c r="N163" s="2" t="s">
        <v>146</v>
      </c>
      <c r="O163" s="2" t="s">
        <v>146</v>
      </c>
      <c r="P163" s="2" t="s">
        <v>146</v>
      </c>
      <c r="Q163" s="2" t="s">
        <v>49</v>
      </c>
      <c r="R163" s="2" t="s">
        <v>146</v>
      </c>
      <c r="S163" s="2" t="s">
        <v>146</v>
      </c>
      <c r="T163" s="2" t="s">
        <v>146</v>
      </c>
      <c r="U163" s="2" t="s">
        <v>146</v>
      </c>
      <c r="V163" s="2" t="s">
        <v>146</v>
      </c>
      <c r="Y163" s="2" t="str">
        <f t="shared" si="8"/>
        <v>Ja</v>
      </c>
      <c r="AA163" s="2" t="str">
        <f t="shared" si="9"/>
        <v>Nej</v>
      </c>
      <c r="AB163" s="2" t="str">
        <f t="shared" si="10"/>
        <v>ET</v>
      </c>
      <c r="AC163" s="2">
        <f t="shared" si="11"/>
        <v>0</v>
      </c>
    </row>
    <row r="164" spans="1:29" ht="14.25" x14ac:dyDescent="0.45">
      <c r="A164" s="2" t="s">
        <v>465</v>
      </c>
      <c r="B164" s="2" t="s">
        <v>464</v>
      </c>
      <c r="C164" s="2">
        <v>2019</v>
      </c>
      <c r="D164" s="2" t="s">
        <v>146</v>
      </c>
      <c r="E164" s="2" t="s">
        <v>146</v>
      </c>
      <c r="F164" s="2" t="s">
        <v>49</v>
      </c>
      <c r="G164" s="2">
        <v>2.2000000000000002</v>
      </c>
      <c r="H164" s="2">
        <v>250.8</v>
      </c>
      <c r="I164" s="2">
        <v>0.35</v>
      </c>
      <c r="J164" s="2">
        <v>0.3977</v>
      </c>
      <c r="K164" s="2" t="s">
        <v>49</v>
      </c>
      <c r="L164" s="2" t="s">
        <v>146</v>
      </c>
      <c r="M164" s="2" t="s">
        <v>146</v>
      </c>
      <c r="N164" s="2" t="s">
        <v>146</v>
      </c>
      <c r="O164" s="2" t="s">
        <v>146</v>
      </c>
      <c r="P164" s="2" t="s">
        <v>146</v>
      </c>
      <c r="Q164" s="2" t="s">
        <v>49</v>
      </c>
      <c r="R164" s="2" t="s">
        <v>146</v>
      </c>
      <c r="S164" s="2" t="s">
        <v>146</v>
      </c>
      <c r="T164" s="2" t="s">
        <v>146</v>
      </c>
      <c r="U164" s="2" t="s">
        <v>146</v>
      </c>
      <c r="V164" s="2" t="s">
        <v>146</v>
      </c>
      <c r="Y164" s="2" t="str">
        <f t="shared" si="8"/>
        <v>Ja</v>
      </c>
      <c r="AA164" s="2" t="str">
        <f t="shared" si="9"/>
        <v>Nej</v>
      </c>
      <c r="AB164" s="2" t="str">
        <f t="shared" si="10"/>
        <v>ET</v>
      </c>
      <c r="AC164" s="2">
        <f t="shared" si="11"/>
        <v>0</v>
      </c>
    </row>
    <row r="165" spans="1:29" ht="14.25" x14ac:dyDescent="0.45">
      <c r="A165" s="2" t="s">
        <v>459</v>
      </c>
      <c r="B165" s="2" t="s">
        <v>463</v>
      </c>
      <c r="C165" s="2">
        <v>2019</v>
      </c>
      <c r="D165" s="2">
        <v>8.4000000000000005E-2</v>
      </c>
      <c r="E165" s="2" t="s">
        <v>146</v>
      </c>
      <c r="F165" s="2" t="s">
        <v>913</v>
      </c>
      <c r="G165" s="2">
        <v>1.1000000000000001</v>
      </c>
      <c r="H165" s="2">
        <v>0</v>
      </c>
      <c r="I165" s="2">
        <v>0</v>
      </c>
      <c r="J165" s="2">
        <v>0</v>
      </c>
      <c r="K165" s="2" t="s">
        <v>49</v>
      </c>
      <c r="L165" s="2" t="s">
        <v>146</v>
      </c>
      <c r="M165" s="2" t="s">
        <v>146</v>
      </c>
      <c r="N165" s="2" t="s">
        <v>146</v>
      </c>
      <c r="O165" s="2" t="s">
        <v>146</v>
      </c>
      <c r="P165" s="2" t="s">
        <v>146</v>
      </c>
      <c r="Q165" s="2" t="s">
        <v>49</v>
      </c>
      <c r="R165" s="2" t="s">
        <v>146</v>
      </c>
      <c r="S165" s="2" t="s">
        <v>146</v>
      </c>
      <c r="T165" s="2" t="s">
        <v>146</v>
      </c>
      <c r="U165" s="2" t="s">
        <v>146</v>
      </c>
      <c r="V165" s="2" t="s">
        <v>146</v>
      </c>
      <c r="Y165" s="2" t="str">
        <f t="shared" si="8"/>
        <v>Ja</v>
      </c>
      <c r="AA165" s="2" t="str">
        <f t="shared" si="9"/>
        <v>Nej</v>
      </c>
      <c r="AB165" s="2" t="str">
        <f t="shared" si="10"/>
        <v>ET</v>
      </c>
      <c r="AC165" s="2">
        <f t="shared" si="11"/>
        <v>0</v>
      </c>
    </row>
    <row r="166" spans="1:29" ht="14.25" x14ac:dyDescent="0.45">
      <c r="A166" s="2" t="s">
        <v>459</v>
      </c>
      <c r="B166" s="2" t="s">
        <v>462</v>
      </c>
      <c r="C166" s="2">
        <v>2019</v>
      </c>
      <c r="D166" s="2">
        <v>0.21</v>
      </c>
      <c r="E166" s="2" t="s">
        <v>146</v>
      </c>
      <c r="F166" s="2" t="s">
        <v>913</v>
      </c>
      <c r="G166" s="2">
        <v>1.1000000000000001</v>
      </c>
      <c r="H166" s="2">
        <v>0</v>
      </c>
      <c r="I166" s="2">
        <v>0</v>
      </c>
      <c r="J166" s="2">
        <v>0</v>
      </c>
      <c r="K166" s="2" t="s">
        <v>49</v>
      </c>
      <c r="L166" s="2" t="s">
        <v>146</v>
      </c>
      <c r="M166" s="2" t="s">
        <v>146</v>
      </c>
      <c r="N166" s="2" t="s">
        <v>146</v>
      </c>
      <c r="O166" s="2" t="s">
        <v>146</v>
      </c>
      <c r="P166" s="2" t="s">
        <v>146</v>
      </c>
      <c r="Q166" s="2" t="s">
        <v>49</v>
      </c>
      <c r="R166" s="2" t="s">
        <v>146</v>
      </c>
      <c r="S166" s="2" t="s">
        <v>146</v>
      </c>
      <c r="T166" s="2" t="s">
        <v>146</v>
      </c>
      <c r="U166" s="2" t="s">
        <v>146</v>
      </c>
      <c r="V166" s="2" t="s">
        <v>146</v>
      </c>
      <c r="Y166" s="2" t="str">
        <f t="shared" si="8"/>
        <v>Ja</v>
      </c>
      <c r="AA166" s="2" t="str">
        <f t="shared" si="9"/>
        <v>Nej</v>
      </c>
      <c r="AB166" s="2" t="str">
        <f t="shared" si="10"/>
        <v>ET</v>
      </c>
      <c r="AC166" s="2">
        <f t="shared" si="11"/>
        <v>0</v>
      </c>
    </row>
    <row r="167" spans="1:29" ht="14.25" x14ac:dyDescent="0.45">
      <c r="A167" s="2" t="s">
        <v>459</v>
      </c>
      <c r="B167" s="2" t="s">
        <v>461</v>
      </c>
      <c r="C167" s="2">
        <v>2019</v>
      </c>
      <c r="D167" s="2">
        <v>1.63</v>
      </c>
      <c r="E167" s="2" t="s">
        <v>146</v>
      </c>
      <c r="F167" s="2" t="s">
        <v>913</v>
      </c>
      <c r="G167" s="2">
        <v>1.1000000000000001</v>
      </c>
      <c r="H167" s="2">
        <v>0</v>
      </c>
      <c r="I167" s="2">
        <v>0</v>
      </c>
      <c r="J167" s="2">
        <v>0</v>
      </c>
      <c r="K167" s="2" t="s">
        <v>49</v>
      </c>
      <c r="L167" s="2" t="s">
        <v>146</v>
      </c>
      <c r="M167" s="2" t="s">
        <v>146</v>
      </c>
      <c r="N167" s="2" t="s">
        <v>146</v>
      </c>
      <c r="O167" s="2" t="s">
        <v>146</v>
      </c>
      <c r="P167" s="2" t="s">
        <v>146</v>
      </c>
      <c r="Q167" s="2" t="s">
        <v>49</v>
      </c>
      <c r="R167" s="2" t="s">
        <v>146</v>
      </c>
      <c r="S167" s="2" t="s">
        <v>146</v>
      </c>
      <c r="T167" s="2" t="s">
        <v>146</v>
      </c>
      <c r="U167" s="2" t="s">
        <v>146</v>
      </c>
      <c r="V167" s="2" t="s">
        <v>146</v>
      </c>
      <c r="Y167" s="2" t="str">
        <f t="shared" si="8"/>
        <v>Ja</v>
      </c>
      <c r="AA167" s="2" t="str">
        <f t="shared" si="9"/>
        <v>Nej</v>
      </c>
      <c r="AB167" s="2" t="str">
        <f t="shared" si="10"/>
        <v>ET</v>
      </c>
      <c r="AC167" s="2">
        <f t="shared" si="11"/>
        <v>0</v>
      </c>
    </row>
    <row r="168" spans="1:29" ht="14.25" x14ac:dyDescent="0.45">
      <c r="A168" s="2" t="s">
        <v>459</v>
      </c>
      <c r="B168" s="2" t="s">
        <v>460</v>
      </c>
      <c r="C168" s="2">
        <v>2019</v>
      </c>
      <c r="D168" s="2" t="s">
        <v>146</v>
      </c>
      <c r="E168" s="2" t="s">
        <v>146</v>
      </c>
      <c r="F168" s="2" t="s">
        <v>913</v>
      </c>
      <c r="G168" s="2">
        <v>1.1000000000000001</v>
      </c>
      <c r="H168" s="2">
        <v>0</v>
      </c>
      <c r="I168" s="2">
        <v>0</v>
      </c>
      <c r="J168" s="2">
        <v>0</v>
      </c>
      <c r="K168" s="2" t="s">
        <v>49</v>
      </c>
      <c r="L168" s="2" t="s">
        <v>146</v>
      </c>
      <c r="M168" s="2" t="s">
        <v>146</v>
      </c>
      <c r="N168" s="2" t="s">
        <v>146</v>
      </c>
      <c r="O168" s="2" t="s">
        <v>146</v>
      </c>
      <c r="P168" s="2" t="s">
        <v>146</v>
      </c>
      <c r="Q168" s="2" t="s">
        <v>49</v>
      </c>
      <c r="R168" s="2" t="s">
        <v>146</v>
      </c>
      <c r="S168" s="2" t="s">
        <v>146</v>
      </c>
      <c r="T168" s="2" t="s">
        <v>146</v>
      </c>
      <c r="U168" s="2" t="s">
        <v>146</v>
      </c>
      <c r="V168" s="2" t="s">
        <v>146</v>
      </c>
      <c r="Y168" s="2" t="str">
        <f t="shared" si="8"/>
        <v>Ja</v>
      </c>
      <c r="AA168" s="2" t="str">
        <f t="shared" si="9"/>
        <v>Nej</v>
      </c>
      <c r="AB168" s="2" t="str">
        <f t="shared" si="10"/>
        <v>ET</v>
      </c>
      <c r="AC168" s="2">
        <f t="shared" si="11"/>
        <v>0</v>
      </c>
    </row>
    <row r="169" spans="1:29" ht="14.25" x14ac:dyDescent="0.45">
      <c r="A169" s="2" t="s">
        <v>459</v>
      </c>
      <c r="B169" s="2" t="s">
        <v>458</v>
      </c>
      <c r="C169" s="2">
        <v>2019</v>
      </c>
      <c r="D169" s="2">
        <v>3.1E-2</v>
      </c>
      <c r="E169" s="2" t="s">
        <v>146</v>
      </c>
      <c r="F169" s="2" t="s">
        <v>913</v>
      </c>
      <c r="G169" s="2">
        <v>1.1000000000000001</v>
      </c>
      <c r="H169" s="2">
        <v>0</v>
      </c>
      <c r="I169" s="2">
        <v>0</v>
      </c>
      <c r="J169" s="2">
        <v>0</v>
      </c>
      <c r="K169" s="2" t="s">
        <v>49</v>
      </c>
      <c r="L169" s="2" t="s">
        <v>146</v>
      </c>
      <c r="M169" s="2" t="s">
        <v>146</v>
      </c>
      <c r="N169" s="2" t="s">
        <v>146</v>
      </c>
      <c r="O169" s="2" t="s">
        <v>146</v>
      </c>
      <c r="P169" s="2" t="s">
        <v>146</v>
      </c>
      <c r="Q169" s="2" t="s">
        <v>49</v>
      </c>
      <c r="R169" s="2" t="s">
        <v>146</v>
      </c>
      <c r="S169" s="2" t="s">
        <v>146</v>
      </c>
      <c r="T169" s="2" t="s">
        <v>146</v>
      </c>
      <c r="U169" s="2" t="s">
        <v>146</v>
      </c>
      <c r="V169" s="2" t="s">
        <v>146</v>
      </c>
      <c r="Y169" s="2" t="str">
        <f t="shared" si="8"/>
        <v>Ja</v>
      </c>
      <c r="AA169" s="2" t="str">
        <f t="shared" si="9"/>
        <v>Nej</v>
      </c>
      <c r="AB169" s="2" t="str">
        <f t="shared" si="10"/>
        <v>ET</v>
      </c>
      <c r="AC169" s="2">
        <f t="shared" si="11"/>
        <v>0</v>
      </c>
    </row>
    <row r="170" spans="1:29" ht="14.25" x14ac:dyDescent="0.45">
      <c r="A170" s="2" t="s">
        <v>457</v>
      </c>
      <c r="B170" s="2" t="s">
        <v>456</v>
      </c>
      <c r="C170" s="2">
        <v>2019</v>
      </c>
      <c r="D170" s="2" t="s">
        <v>146</v>
      </c>
      <c r="E170" s="2" t="s">
        <v>146</v>
      </c>
      <c r="F170" s="2" t="s">
        <v>984</v>
      </c>
      <c r="G170" s="2">
        <v>1.1000000000000001</v>
      </c>
      <c r="H170" s="2">
        <v>110</v>
      </c>
      <c r="I170" s="2">
        <v>0</v>
      </c>
      <c r="J170" s="2">
        <v>0</v>
      </c>
      <c r="K170" s="2" t="s">
        <v>658</v>
      </c>
      <c r="L170" s="2" t="s">
        <v>146</v>
      </c>
      <c r="M170" s="2" t="s">
        <v>146</v>
      </c>
      <c r="N170" s="2" t="s">
        <v>146</v>
      </c>
      <c r="O170" s="2" t="s">
        <v>146</v>
      </c>
      <c r="P170" s="2" t="s">
        <v>146</v>
      </c>
      <c r="Q170" s="2" t="s">
        <v>49</v>
      </c>
      <c r="R170" s="2" t="s">
        <v>146</v>
      </c>
      <c r="S170" s="2" t="s">
        <v>146</v>
      </c>
      <c r="T170" s="2" t="s">
        <v>146</v>
      </c>
      <c r="U170" s="2" t="s">
        <v>146</v>
      </c>
      <c r="V170" s="2" t="s">
        <v>146</v>
      </c>
      <c r="Y170" s="2" t="str">
        <f t="shared" si="8"/>
        <v>Ja</v>
      </c>
      <c r="AA170" s="2" t="str">
        <f t="shared" si="9"/>
        <v>Nej</v>
      </c>
      <c r="AB170" s="2" t="str">
        <f t="shared" si="10"/>
        <v>ET</v>
      </c>
      <c r="AC170" s="2">
        <f t="shared" si="11"/>
        <v>0</v>
      </c>
    </row>
    <row r="171" spans="1:29" ht="14.25" x14ac:dyDescent="0.45">
      <c r="A171" s="2" t="s">
        <v>453</v>
      </c>
      <c r="B171" s="2" t="s">
        <v>455</v>
      </c>
      <c r="C171" s="2">
        <v>2019</v>
      </c>
      <c r="D171" s="2">
        <v>0.16300000000000001</v>
      </c>
      <c r="E171" s="2" t="s">
        <v>146</v>
      </c>
      <c r="F171" s="2" t="s">
        <v>49</v>
      </c>
      <c r="G171" s="2">
        <v>2.2000000000000002</v>
      </c>
      <c r="H171" s="2">
        <v>250.8</v>
      </c>
      <c r="I171" s="2">
        <v>0.35</v>
      </c>
      <c r="J171" s="2">
        <v>0.3977</v>
      </c>
      <c r="K171" s="2" t="s">
        <v>49</v>
      </c>
      <c r="L171" s="2" t="s">
        <v>146</v>
      </c>
      <c r="M171" s="2" t="s">
        <v>146</v>
      </c>
      <c r="N171" s="2" t="s">
        <v>146</v>
      </c>
      <c r="O171" s="2" t="s">
        <v>146</v>
      </c>
      <c r="P171" s="2" t="s">
        <v>146</v>
      </c>
      <c r="Q171" s="2" t="s">
        <v>49</v>
      </c>
      <c r="R171" s="2" t="s">
        <v>146</v>
      </c>
      <c r="S171" s="2" t="s">
        <v>146</v>
      </c>
      <c r="T171" s="2" t="s">
        <v>146</v>
      </c>
      <c r="U171" s="2" t="s">
        <v>146</v>
      </c>
      <c r="V171" s="2" t="s">
        <v>146</v>
      </c>
      <c r="Y171" s="2" t="str">
        <f t="shared" si="8"/>
        <v>Ja</v>
      </c>
      <c r="AA171" s="2" t="str">
        <f t="shared" si="9"/>
        <v>Nej</v>
      </c>
      <c r="AB171" s="2" t="str">
        <f t="shared" si="10"/>
        <v>ET</v>
      </c>
      <c r="AC171" s="2">
        <f t="shared" si="11"/>
        <v>0</v>
      </c>
    </row>
    <row r="172" spans="1:29" ht="14.25" x14ac:dyDescent="0.45">
      <c r="A172" s="2" t="s">
        <v>453</v>
      </c>
      <c r="B172" s="2" t="s">
        <v>454</v>
      </c>
      <c r="C172" s="2">
        <v>2019</v>
      </c>
      <c r="D172" s="2">
        <v>0.4</v>
      </c>
      <c r="E172" s="2" t="s">
        <v>146</v>
      </c>
      <c r="F172" s="2" t="s">
        <v>913</v>
      </c>
      <c r="G172" s="2">
        <v>1.1000000000000001</v>
      </c>
      <c r="H172" s="2">
        <v>0</v>
      </c>
      <c r="I172" s="2">
        <v>0</v>
      </c>
      <c r="J172" s="2">
        <v>0</v>
      </c>
      <c r="K172" s="2" t="s">
        <v>49</v>
      </c>
      <c r="L172" s="2" t="s">
        <v>146</v>
      </c>
      <c r="M172" s="2" t="s">
        <v>146</v>
      </c>
      <c r="N172" s="2" t="s">
        <v>146</v>
      </c>
      <c r="O172" s="2" t="s">
        <v>146</v>
      </c>
      <c r="P172" s="2" t="s">
        <v>146</v>
      </c>
      <c r="Q172" s="2" t="s">
        <v>49</v>
      </c>
      <c r="R172" s="2" t="s">
        <v>146</v>
      </c>
      <c r="S172" s="2" t="s">
        <v>146</v>
      </c>
      <c r="T172" s="2" t="s">
        <v>146</v>
      </c>
      <c r="U172" s="2" t="s">
        <v>146</v>
      </c>
      <c r="V172" s="2" t="s">
        <v>146</v>
      </c>
      <c r="Y172" s="2" t="str">
        <f t="shared" si="8"/>
        <v>Ja</v>
      </c>
      <c r="AA172" s="2" t="str">
        <f t="shared" si="9"/>
        <v>Nej</v>
      </c>
      <c r="AB172" s="2" t="str">
        <f t="shared" si="10"/>
        <v>ET</v>
      </c>
      <c r="AC172" s="2">
        <f t="shared" si="11"/>
        <v>0</v>
      </c>
    </row>
    <row r="173" spans="1:29" ht="14.25" x14ac:dyDescent="0.45">
      <c r="A173" s="2" t="s">
        <v>453</v>
      </c>
      <c r="B173" s="2" t="s">
        <v>452</v>
      </c>
      <c r="C173" s="2">
        <v>2019</v>
      </c>
      <c r="D173" s="2">
        <v>2.1</v>
      </c>
      <c r="E173" s="2" t="s">
        <v>146</v>
      </c>
      <c r="F173" s="2" t="s">
        <v>913</v>
      </c>
      <c r="G173" s="2">
        <v>1.1000000000000001</v>
      </c>
      <c r="H173" s="2">
        <v>0</v>
      </c>
      <c r="I173" s="2">
        <v>0</v>
      </c>
      <c r="J173" s="2">
        <v>0</v>
      </c>
      <c r="K173" s="2" t="s">
        <v>49</v>
      </c>
      <c r="L173" s="2" t="s">
        <v>146</v>
      </c>
      <c r="M173" s="2" t="s">
        <v>146</v>
      </c>
      <c r="N173" s="2" t="s">
        <v>146</v>
      </c>
      <c r="O173" s="2" t="s">
        <v>146</v>
      </c>
      <c r="P173" s="2" t="s">
        <v>146</v>
      </c>
      <c r="Q173" s="2" t="s">
        <v>49</v>
      </c>
      <c r="R173" s="2" t="s">
        <v>146</v>
      </c>
      <c r="S173" s="2" t="s">
        <v>146</v>
      </c>
      <c r="T173" s="2" t="s">
        <v>146</v>
      </c>
      <c r="U173" s="2" t="s">
        <v>146</v>
      </c>
      <c r="V173" s="2" t="s">
        <v>146</v>
      </c>
      <c r="Y173" s="2" t="str">
        <f t="shared" si="8"/>
        <v>Ja</v>
      </c>
      <c r="AA173" s="2" t="str">
        <f t="shared" si="9"/>
        <v>Nej</v>
      </c>
      <c r="AB173" s="2" t="str">
        <f t="shared" si="10"/>
        <v>ET</v>
      </c>
      <c r="AC173" s="2">
        <f t="shared" si="11"/>
        <v>0</v>
      </c>
    </row>
    <row r="174" spans="1:29" ht="14.25" x14ac:dyDescent="0.45">
      <c r="A174" s="2" t="s">
        <v>449</v>
      </c>
      <c r="B174" s="2" t="s">
        <v>451</v>
      </c>
      <c r="C174" s="2">
        <v>2019</v>
      </c>
      <c r="D174" s="2">
        <v>30.4</v>
      </c>
      <c r="E174" s="2" t="s">
        <v>146</v>
      </c>
      <c r="F174" s="2" t="s">
        <v>983</v>
      </c>
      <c r="G174" s="2">
        <v>4.1000000000000002E-2</v>
      </c>
      <c r="H174" s="2">
        <v>14.02</v>
      </c>
      <c r="I174" s="2">
        <v>2.4E-2</v>
      </c>
      <c r="J174" s="2">
        <v>0</v>
      </c>
      <c r="K174" s="2" t="s">
        <v>49</v>
      </c>
      <c r="L174" s="2" t="s">
        <v>146</v>
      </c>
      <c r="M174" s="2" t="s">
        <v>146</v>
      </c>
      <c r="N174" s="2" t="s">
        <v>146</v>
      </c>
      <c r="O174" s="2" t="s">
        <v>146</v>
      </c>
      <c r="P174" s="2" t="s">
        <v>146</v>
      </c>
      <c r="Q174" s="2" t="s">
        <v>49</v>
      </c>
      <c r="R174" s="2" t="s">
        <v>146</v>
      </c>
      <c r="S174" s="2" t="s">
        <v>146</v>
      </c>
      <c r="T174" s="2" t="s">
        <v>146</v>
      </c>
      <c r="U174" s="2" t="s">
        <v>146</v>
      </c>
      <c r="V174" s="2" t="s">
        <v>146</v>
      </c>
      <c r="Y174" s="2" t="str">
        <f t="shared" si="8"/>
        <v>Ja</v>
      </c>
      <c r="AA174" s="2" t="str">
        <f t="shared" si="9"/>
        <v>Nej</v>
      </c>
      <c r="AB174" s="2" t="str">
        <f t="shared" si="10"/>
        <v>ET</v>
      </c>
      <c r="AC174" s="2">
        <f t="shared" si="11"/>
        <v>0</v>
      </c>
    </row>
    <row r="175" spans="1:29" ht="14.25" x14ac:dyDescent="0.45">
      <c r="A175" s="2" t="s">
        <v>449</v>
      </c>
      <c r="B175" s="2" t="s">
        <v>450</v>
      </c>
      <c r="C175" s="2">
        <v>2019</v>
      </c>
      <c r="D175" s="2">
        <v>0.25</v>
      </c>
      <c r="E175" s="2" t="s">
        <v>146</v>
      </c>
      <c r="F175" s="2" t="s">
        <v>983</v>
      </c>
      <c r="G175" s="2">
        <v>1.4999999999999999E-2</v>
      </c>
      <c r="H175" s="2">
        <v>0</v>
      </c>
      <c r="I175" s="2">
        <v>0</v>
      </c>
      <c r="J175" s="2">
        <v>0</v>
      </c>
      <c r="K175" s="2" t="s">
        <v>49</v>
      </c>
      <c r="L175" s="2" t="s">
        <v>146</v>
      </c>
      <c r="M175" s="2" t="s">
        <v>146</v>
      </c>
      <c r="N175" s="2" t="s">
        <v>146</v>
      </c>
      <c r="O175" s="2" t="s">
        <v>146</v>
      </c>
      <c r="P175" s="2" t="s">
        <v>146</v>
      </c>
      <c r="Q175" s="2" t="s">
        <v>49</v>
      </c>
      <c r="R175" s="2" t="s">
        <v>146</v>
      </c>
      <c r="S175" s="2" t="s">
        <v>146</v>
      </c>
      <c r="T175" s="2" t="s">
        <v>146</v>
      </c>
      <c r="U175" s="2" t="s">
        <v>146</v>
      </c>
      <c r="V175" s="2" t="s">
        <v>146</v>
      </c>
      <c r="Y175" s="2" t="str">
        <f t="shared" si="8"/>
        <v>Ja</v>
      </c>
      <c r="AA175" s="2" t="str">
        <f t="shared" si="9"/>
        <v>Nej</v>
      </c>
      <c r="AB175" s="2" t="str">
        <f t="shared" si="10"/>
        <v>ET</v>
      </c>
      <c r="AC175" s="2">
        <f t="shared" si="11"/>
        <v>0</v>
      </c>
    </row>
    <row r="176" spans="1:29" ht="14.25" x14ac:dyDescent="0.45">
      <c r="A176" s="2" t="s">
        <v>449</v>
      </c>
      <c r="B176" s="2" t="s">
        <v>448</v>
      </c>
      <c r="C176" s="2">
        <v>2019</v>
      </c>
      <c r="D176" s="2">
        <v>0.52</v>
      </c>
      <c r="E176" s="2" t="s">
        <v>146</v>
      </c>
      <c r="F176" s="2" t="s">
        <v>982</v>
      </c>
      <c r="G176" s="2">
        <v>0.1</v>
      </c>
      <c r="H176" s="2">
        <v>0</v>
      </c>
      <c r="I176" s="2">
        <v>0</v>
      </c>
      <c r="J176" s="2">
        <v>0</v>
      </c>
      <c r="K176" s="2" t="s">
        <v>49</v>
      </c>
      <c r="L176" s="2" t="s">
        <v>146</v>
      </c>
      <c r="M176" s="2" t="s">
        <v>146</v>
      </c>
      <c r="N176" s="2" t="s">
        <v>146</v>
      </c>
      <c r="O176" s="2" t="s">
        <v>146</v>
      </c>
      <c r="P176" s="2" t="s">
        <v>146</v>
      </c>
      <c r="Q176" s="2" t="s">
        <v>49</v>
      </c>
      <c r="R176" s="2" t="s">
        <v>146</v>
      </c>
      <c r="S176" s="2" t="s">
        <v>146</v>
      </c>
      <c r="T176" s="2" t="s">
        <v>146</v>
      </c>
      <c r="U176" s="2" t="s">
        <v>146</v>
      </c>
      <c r="V176" s="2" t="s">
        <v>146</v>
      </c>
      <c r="Y176" s="2" t="str">
        <f t="shared" si="8"/>
        <v>Ja</v>
      </c>
      <c r="AA176" s="2" t="str">
        <f t="shared" si="9"/>
        <v>Nej</v>
      </c>
      <c r="AB176" s="2" t="str">
        <f t="shared" si="10"/>
        <v>ET</v>
      </c>
      <c r="AC176" s="2">
        <f t="shared" si="11"/>
        <v>0</v>
      </c>
    </row>
    <row r="177" spans="1:29" ht="14.25" x14ac:dyDescent="0.45">
      <c r="A177" s="2" t="s">
        <v>447</v>
      </c>
      <c r="B177" s="2" t="s">
        <v>446</v>
      </c>
      <c r="C177" s="2">
        <v>2019</v>
      </c>
      <c r="D177" s="2">
        <v>0.5</v>
      </c>
      <c r="E177" s="2" t="s">
        <v>146</v>
      </c>
      <c r="F177" s="2" t="s">
        <v>981</v>
      </c>
      <c r="G177" s="2">
        <v>0.94</v>
      </c>
      <c r="H177" s="2">
        <v>0</v>
      </c>
      <c r="I177" s="2">
        <v>0</v>
      </c>
      <c r="J177" s="2">
        <v>0</v>
      </c>
      <c r="K177" s="2" t="s">
        <v>49</v>
      </c>
      <c r="L177" s="2" t="s">
        <v>146</v>
      </c>
      <c r="M177" s="2" t="s">
        <v>146</v>
      </c>
      <c r="N177" s="2" t="s">
        <v>146</v>
      </c>
      <c r="O177" s="2" t="s">
        <v>146</v>
      </c>
      <c r="P177" s="2" t="s">
        <v>146</v>
      </c>
      <c r="Q177" s="2" t="s">
        <v>49</v>
      </c>
      <c r="R177" s="2" t="s">
        <v>146</v>
      </c>
      <c r="S177" s="2" t="s">
        <v>146</v>
      </c>
      <c r="T177" s="2" t="s">
        <v>146</v>
      </c>
      <c r="U177" s="2" t="s">
        <v>146</v>
      </c>
      <c r="V177" s="2" t="s">
        <v>146</v>
      </c>
      <c r="Y177" s="2" t="str">
        <f t="shared" si="8"/>
        <v>Ja</v>
      </c>
      <c r="AA177" s="2" t="str">
        <f t="shared" si="9"/>
        <v>Nej</v>
      </c>
      <c r="AB177" s="2" t="str">
        <f t="shared" si="10"/>
        <v>ET</v>
      </c>
      <c r="AC177" s="2">
        <f t="shared" si="11"/>
        <v>0</v>
      </c>
    </row>
    <row r="178" spans="1:29" ht="14.25" x14ac:dyDescent="0.45">
      <c r="A178" s="2" t="s">
        <v>444</v>
      </c>
      <c r="B178" s="2" t="s">
        <v>445</v>
      </c>
      <c r="C178" s="2">
        <v>2019</v>
      </c>
      <c r="D178" s="2">
        <v>2.68</v>
      </c>
      <c r="E178" s="2">
        <v>1.2</v>
      </c>
      <c r="F178" s="2" t="s">
        <v>905</v>
      </c>
      <c r="G178" s="2">
        <v>0.51</v>
      </c>
      <c r="H178" s="2">
        <v>0</v>
      </c>
      <c r="I178" s="2">
        <v>0</v>
      </c>
      <c r="J178" s="2">
        <v>0</v>
      </c>
      <c r="K178" s="2" t="s">
        <v>146</v>
      </c>
      <c r="L178" s="2" t="s">
        <v>146</v>
      </c>
      <c r="M178" s="2" t="s">
        <v>146</v>
      </c>
      <c r="N178" s="2" t="s">
        <v>146</v>
      </c>
      <c r="O178" s="2" t="s">
        <v>146</v>
      </c>
      <c r="P178" s="2" t="s">
        <v>146</v>
      </c>
      <c r="Q178" s="2" t="s">
        <v>146</v>
      </c>
      <c r="R178" s="2" t="s">
        <v>146</v>
      </c>
      <c r="S178" s="2" t="s">
        <v>146</v>
      </c>
      <c r="T178" s="2" t="s">
        <v>146</v>
      </c>
      <c r="U178" s="2" t="s">
        <v>146</v>
      </c>
      <c r="V178" s="2" t="s">
        <v>146</v>
      </c>
      <c r="Y178" s="2" t="str">
        <f t="shared" si="8"/>
        <v>Ja</v>
      </c>
      <c r="AA178" s="2" t="str">
        <f t="shared" si="9"/>
        <v>Nej</v>
      </c>
      <c r="AB178" s="2" t="str">
        <f t="shared" si="10"/>
        <v>ET</v>
      </c>
      <c r="AC178" s="2">
        <f t="shared" si="11"/>
        <v>0</v>
      </c>
    </row>
    <row r="179" spans="1:29" ht="14.25" x14ac:dyDescent="0.45">
      <c r="A179" s="2" t="s">
        <v>444</v>
      </c>
      <c r="B179" s="2" t="s">
        <v>443</v>
      </c>
      <c r="C179" s="2">
        <v>2019</v>
      </c>
      <c r="D179" s="2">
        <v>0.04</v>
      </c>
      <c r="E179" s="2" t="s">
        <v>146</v>
      </c>
      <c r="F179" s="2" t="s">
        <v>980</v>
      </c>
      <c r="G179" s="2">
        <v>1.1000000000000001</v>
      </c>
      <c r="H179" s="2">
        <v>0</v>
      </c>
      <c r="I179" s="2">
        <v>0</v>
      </c>
      <c r="J179" s="2">
        <v>0</v>
      </c>
      <c r="K179" s="2" t="s">
        <v>49</v>
      </c>
      <c r="L179" s="2" t="s">
        <v>146</v>
      </c>
      <c r="M179" s="2" t="s">
        <v>146</v>
      </c>
      <c r="N179" s="2" t="s">
        <v>146</v>
      </c>
      <c r="O179" s="2" t="s">
        <v>146</v>
      </c>
      <c r="P179" s="2" t="s">
        <v>146</v>
      </c>
      <c r="Q179" s="2" t="s">
        <v>49</v>
      </c>
      <c r="R179" s="2" t="s">
        <v>146</v>
      </c>
      <c r="S179" s="2" t="s">
        <v>146</v>
      </c>
      <c r="T179" s="2" t="s">
        <v>146</v>
      </c>
      <c r="U179" s="2" t="s">
        <v>146</v>
      </c>
      <c r="V179" s="2" t="s">
        <v>146</v>
      </c>
      <c r="Y179" s="2" t="str">
        <f t="shared" si="8"/>
        <v>Ja</v>
      </c>
      <c r="AA179" s="2" t="str">
        <f t="shared" si="9"/>
        <v>Nej</v>
      </c>
      <c r="AB179" s="2" t="str">
        <f t="shared" si="10"/>
        <v>ET</v>
      </c>
      <c r="AC179" s="2">
        <f t="shared" si="11"/>
        <v>0</v>
      </c>
    </row>
    <row r="180" spans="1:29" ht="14.25" x14ac:dyDescent="0.45">
      <c r="A180" s="2" t="s">
        <v>442</v>
      </c>
      <c r="B180" s="2" t="s">
        <v>441</v>
      </c>
      <c r="C180" s="2">
        <v>2019</v>
      </c>
      <c r="D180" s="2">
        <v>2.2000000000000002</v>
      </c>
      <c r="E180" s="2">
        <v>5.2</v>
      </c>
      <c r="F180" s="2" t="s">
        <v>979</v>
      </c>
      <c r="G180" s="2">
        <v>0.03</v>
      </c>
      <c r="H180" s="2">
        <v>4</v>
      </c>
      <c r="I180" s="2">
        <v>0</v>
      </c>
      <c r="J180" s="2">
        <v>0</v>
      </c>
      <c r="K180" s="2" t="s">
        <v>978</v>
      </c>
      <c r="L180" s="2">
        <v>79</v>
      </c>
      <c r="M180" s="2">
        <v>0.08</v>
      </c>
      <c r="N180" s="2">
        <v>100</v>
      </c>
      <c r="O180" s="2">
        <v>3</v>
      </c>
      <c r="P180" s="2">
        <v>1.9</v>
      </c>
      <c r="Q180" s="2" t="s">
        <v>49</v>
      </c>
      <c r="R180" s="2" t="s">
        <v>146</v>
      </c>
      <c r="S180" s="2" t="s">
        <v>146</v>
      </c>
      <c r="T180" s="2" t="s">
        <v>146</v>
      </c>
      <c r="U180" s="2" t="s">
        <v>146</v>
      </c>
      <c r="V180" s="2" t="s">
        <v>146</v>
      </c>
      <c r="Y180" s="2" t="str">
        <f t="shared" si="8"/>
        <v>Ja</v>
      </c>
      <c r="AA180" s="2" t="str">
        <f t="shared" si="9"/>
        <v>Nej</v>
      </c>
      <c r="AB180" s="2">
        <f t="shared" si="10"/>
        <v>79</v>
      </c>
      <c r="AC180" s="2">
        <f t="shared" si="11"/>
        <v>0</v>
      </c>
    </row>
    <row r="181" spans="1:29" ht="14.25" x14ac:dyDescent="0.45">
      <c r="A181" s="2" t="s">
        <v>440</v>
      </c>
      <c r="B181" s="2" t="s">
        <v>439</v>
      </c>
      <c r="C181" s="2">
        <v>2019</v>
      </c>
      <c r="D181" s="2" t="s">
        <v>49</v>
      </c>
      <c r="E181" s="2" t="s">
        <v>49</v>
      </c>
      <c r="F181" s="2" t="s">
        <v>49</v>
      </c>
      <c r="G181" s="2" t="s">
        <v>49</v>
      </c>
      <c r="H181" s="2" t="s">
        <v>49</v>
      </c>
      <c r="I181" s="2" t="s">
        <v>49</v>
      </c>
      <c r="J181" s="2" t="s">
        <v>49</v>
      </c>
      <c r="K181" s="2" t="s">
        <v>49</v>
      </c>
      <c r="L181" s="2" t="s">
        <v>49</v>
      </c>
      <c r="M181" s="2" t="s">
        <v>49</v>
      </c>
      <c r="N181" s="2" t="s">
        <v>49</v>
      </c>
      <c r="O181" s="2" t="s">
        <v>49</v>
      </c>
      <c r="P181" s="2" t="s">
        <v>49</v>
      </c>
      <c r="Q181" s="2" t="s">
        <v>49</v>
      </c>
      <c r="R181" s="2" t="s">
        <v>49</v>
      </c>
      <c r="S181" s="2" t="s">
        <v>49</v>
      </c>
      <c r="T181" s="2" t="s">
        <v>49</v>
      </c>
      <c r="U181" s="2" t="s">
        <v>49</v>
      </c>
      <c r="V181" s="2" t="s">
        <v>49</v>
      </c>
      <c r="Y181" s="2" t="str">
        <f t="shared" si="8"/>
        <v>Nej</v>
      </c>
      <c r="AA181" s="2" t="str">
        <f t="shared" si="9"/>
        <v>Nej</v>
      </c>
      <c r="AB181" s="2">
        <f t="shared" si="10"/>
        <v>0</v>
      </c>
      <c r="AC181" s="2">
        <f t="shared" si="11"/>
        <v>0</v>
      </c>
    </row>
    <row r="182" spans="1:29" ht="14.25" x14ac:dyDescent="0.45">
      <c r="A182" s="2" t="s">
        <v>438</v>
      </c>
      <c r="B182" s="2" t="s">
        <v>437</v>
      </c>
      <c r="C182" s="2">
        <v>2019</v>
      </c>
      <c r="D182" s="2" t="s">
        <v>49</v>
      </c>
      <c r="E182" s="2" t="s">
        <v>49</v>
      </c>
      <c r="F182" s="2" t="s">
        <v>49</v>
      </c>
      <c r="G182" s="2" t="s">
        <v>49</v>
      </c>
      <c r="H182" s="2" t="s">
        <v>49</v>
      </c>
      <c r="I182" s="2" t="s">
        <v>49</v>
      </c>
      <c r="J182" s="2" t="s">
        <v>49</v>
      </c>
      <c r="K182" s="2" t="s">
        <v>49</v>
      </c>
      <c r="L182" s="2" t="s">
        <v>49</v>
      </c>
      <c r="M182" s="2" t="s">
        <v>49</v>
      </c>
      <c r="N182" s="2" t="s">
        <v>49</v>
      </c>
      <c r="O182" s="2" t="s">
        <v>49</v>
      </c>
      <c r="P182" s="2" t="s">
        <v>49</v>
      </c>
      <c r="Q182" s="2" t="s">
        <v>49</v>
      </c>
      <c r="R182" s="2" t="s">
        <v>49</v>
      </c>
      <c r="S182" s="2" t="s">
        <v>49</v>
      </c>
      <c r="T182" s="2" t="s">
        <v>49</v>
      </c>
      <c r="U182" s="2" t="s">
        <v>49</v>
      </c>
      <c r="V182" s="2" t="s">
        <v>49</v>
      </c>
      <c r="Y182" s="2" t="str">
        <f t="shared" si="8"/>
        <v>Nej</v>
      </c>
      <c r="AA182" s="2" t="str">
        <f t="shared" si="9"/>
        <v>Nej</v>
      </c>
      <c r="AB182" s="2">
        <f t="shared" si="10"/>
        <v>0</v>
      </c>
      <c r="AC182" s="2">
        <f t="shared" si="11"/>
        <v>0</v>
      </c>
    </row>
    <row r="183" spans="1:29" ht="14.25" x14ac:dyDescent="0.45">
      <c r="A183" s="2" t="s">
        <v>432</v>
      </c>
      <c r="B183" s="2" t="s">
        <v>436</v>
      </c>
      <c r="C183" s="2">
        <v>2019</v>
      </c>
      <c r="D183" s="2">
        <v>0.95199999999999996</v>
      </c>
      <c r="E183" s="2" t="s">
        <v>146</v>
      </c>
      <c r="F183" s="2" t="s">
        <v>971</v>
      </c>
      <c r="G183" s="2">
        <v>0.01</v>
      </c>
      <c r="H183" s="2">
        <v>0</v>
      </c>
      <c r="I183" s="2">
        <v>0</v>
      </c>
      <c r="J183" s="2">
        <v>0</v>
      </c>
      <c r="K183" s="2" t="s">
        <v>49</v>
      </c>
      <c r="L183" s="2" t="s">
        <v>146</v>
      </c>
      <c r="M183" s="2" t="s">
        <v>146</v>
      </c>
      <c r="N183" s="2" t="s">
        <v>146</v>
      </c>
      <c r="O183" s="2" t="s">
        <v>146</v>
      </c>
      <c r="P183" s="2" t="s">
        <v>146</v>
      </c>
      <c r="Q183" s="2" t="s">
        <v>49</v>
      </c>
      <c r="R183" s="2" t="s">
        <v>146</v>
      </c>
      <c r="S183" s="2" t="s">
        <v>146</v>
      </c>
      <c r="T183" s="2" t="s">
        <v>146</v>
      </c>
      <c r="U183" s="2" t="s">
        <v>146</v>
      </c>
      <c r="V183" s="2" t="s">
        <v>146</v>
      </c>
      <c r="Y183" s="2" t="str">
        <f t="shared" si="8"/>
        <v>Ja</v>
      </c>
      <c r="AA183" s="2" t="str">
        <f t="shared" si="9"/>
        <v>Nej</v>
      </c>
      <c r="AB183" s="2" t="str">
        <f t="shared" si="10"/>
        <v>ET</v>
      </c>
      <c r="AC183" s="2">
        <f t="shared" si="11"/>
        <v>0</v>
      </c>
    </row>
    <row r="184" spans="1:29" ht="14.25" x14ac:dyDescent="0.45">
      <c r="A184" s="2" t="s">
        <v>432</v>
      </c>
      <c r="B184" s="2" t="s">
        <v>435</v>
      </c>
      <c r="C184" s="2">
        <v>2019</v>
      </c>
      <c r="D184" s="2" t="s">
        <v>146</v>
      </c>
      <c r="E184" s="2" t="s">
        <v>146</v>
      </c>
      <c r="F184" s="2" t="s">
        <v>49</v>
      </c>
      <c r="G184" s="2">
        <v>2.2000000000000002</v>
      </c>
      <c r="H184" s="2">
        <v>250.8</v>
      </c>
      <c r="I184" s="2">
        <v>0.35</v>
      </c>
      <c r="J184" s="2">
        <v>0.3977</v>
      </c>
      <c r="K184" s="2" t="s">
        <v>49</v>
      </c>
      <c r="L184" s="2" t="s">
        <v>146</v>
      </c>
      <c r="M184" s="2" t="s">
        <v>146</v>
      </c>
      <c r="N184" s="2" t="s">
        <v>146</v>
      </c>
      <c r="O184" s="2" t="s">
        <v>146</v>
      </c>
      <c r="P184" s="2" t="s">
        <v>146</v>
      </c>
      <c r="Q184" s="2" t="s">
        <v>49</v>
      </c>
      <c r="R184" s="2" t="s">
        <v>146</v>
      </c>
      <c r="S184" s="2" t="s">
        <v>146</v>
      </c>
      <c r="T184" s="2" t="s">
        <v>146</v>
      </c>
      <c r="U184" s="2" t="s">
        <v>146</v>
      </c>
      <c r="V184" s="2" t="s">
        <v>146</v>
      </c>
      <c r="Y184" s="2" t="str">
        <f t="shared" si="8"/>
        <v>Ja</v>
      </c>
      <c r="AA184" s="2" t="str">
        <f t="shared" si="9"/>
        <v>Nej</v>
      </c>
      <c r="AB184" s="2" t="str">
        <f t="shared" si="10"/>
        <v>ET</v>
      </c>
      <c r="AC184" s="2">
        <f t="shared" si="11"/>
        <v>0</v>
      </c>
    </row>
    <row r="185" spans="1:29" ht="14.25" x14ac:dyDescent="0.45">
      <c r="A185" s="2" t="s">
        <v>432</v>
      </c>
      <c r="B185" s="2" t="s">
        <v>434</v>
      </c>
      <c r="C185" s="2">
        <v>2019</v>
      </c>
      <c r="D185" s="2">
        <v>26.5</v>
      </c>
      <c r="E185" s="2">
        <v>85.7</v>
      </c>
      <c r="F185" s="2" t="s">
        <v>977</v>
      </c>
      <c r="G185" s="2">
        <v>0.01</v>
      </c>
      <c r="H185" s="2">
        <v>15.07</v>
      </c>
      <c r="I185" s="2">
        <v>0</v>
      </c>
      <c r="J185" s="2">
        <v>0</v>
      </c>
      <c r="K185" s="2" t="s">
        <v>49</v>
      </c>
      <c r="L185" s="2" t="s">
        <v>146</v>
      </c>
      <c r="M185" s="2" t="s">
        <v>146</v>
      </c>
      <c r="N185" s="2" t="s">
        <v>146</v>
      </c>
      <c r="O185" s="2" t="s">
        <v>146</v>
      </c>
      <c r="P185" s="2" t="s">
        <v>146</v>
      </c>
      <c r="Q185" s="2" t="s">
        <v>49</v>
      </c>
      <c r="R185" s="2" t="s">
        <v>146</v>
      </c>
      <c r="S185" s="2" t="s">
        <v>146</v>
      </c>
      <c r="T185" s="2" t="s">
        <v>146</v>
      </c>
      <c r="U185" s="2" t="s">
        <v>146</v>
      </c>
      <c r="V185" s="2" t="s">
        <v>146</v>
      </c>
      <c r="Y185" s="2" t="str">
        <f t="shared" si="8"/>
        <v>Ja</v>
      </c>
      <c r="AA185" s="2" t="str">
        <f t="shared" si="9"/>
        <v>Nej</v>
      </c>
      <c r="AB185" s="2" t="str">
        <f t="shared" si="10"/>
        <v>ET</v>
      </c>
      <c r="AC185" s="2">
        <f t="shared" si="11"/>
        <v>0</v>
      </c>
    </row>
    <row r="186" spans="1:29" ht="14.25" x14ac:dyDescent="0.45">
      <c r="A186" s="2" t="s">
        <v>432</v>
      </c>
      <c r="B186" s="2" t="s">
        <v>431</v>
      </c>
      <c r="C186" s="2">
        <v>2019</v>
      </c>
      <c r="D186" s="2">
        <v>0.81</v>
      </c>
      <c r="E186" s="2">
        <v>2.61</v>
      </c>
      <c r="F186" s="2" t="s">
        <v>976</v>
      </c>
      <c r="G186" s="2">
        <v>0.01</v>
      </c>
      <c r="H186" s="2">
        <v>15.07</v>
      </c>
      <c r="I186" s="2">
        <v>0</v>
      </c>
      <c r="J186" s="2">
        <v>0</v>
      </c>
      <c r="K186" s="2" t="s">
        <v>49</v>
      </c>
      <c r="L186" s="2" t="s">
        <v>146</v>
      </c>
      <c r="M186" s="2" t="s">
        <v>146</v>
      </c>
      <c r="N186" s="2" t="s">
        <v>146</v>
      </c>
      <c r="O186" s="2" t="s">
        <v>146</v>
      </c>
      <c r="P186" s="2" t="s">
        <v>146</v>
      </c>
      <c r="Q186" s="2" t="s">
        <v>49</v>
      </c>
      <c r="R186" s="2" t="s">
        <v>146</v>
      </c>
      <c r="S186" s="2" t="s">
        <v>146</v>
      </c>
      <c r="T186" s="2" t="s">
        <v>146</v>
      </c>
      <c r="U186" s="2" t="s">
        <v>146</v>
      </c>
      <c r="V186" s="2" t="s">
        <v>146</v>
      </c>
      <c r="Y186" s="2" t="str">
        <f t="shared" si="8"/>
        <v>Ja</v>
      </c>
      <c r="AA186" s="2" t="str">
        <f t="shared" si="9"/>
        <v>Nej</v>
      </c>
      <c r="AB186" s="2" t="str">
        <f t="shared" si="10"/>
        <v>ET</v>
      </c>
      <c r="AC186" s="2">
        <f t="shared" si="11"/>
        <v>0</v>
      </c>
    </row>
    <row r="187" spans="1:29" ht="14.25" x14ac:dyDescent="0.45">
      <c r="A187" s="2" t="s">
        <v>428</v>
      </c>
      <c r="B187" s="2" t="s">
        <v>430</v>
      </c>
      <c r="C187" s="2">
        <v>2019</v>
      </c>
      <c r="D187" s="2">
        <v>1.7609999999999999</v>
      </c>
      <c r="E187" s="2">
        <v>15.771000000000001</v>
      </c>
      <c r="F187" s="2" t="s">
        <v>974</v>
      </c>
      <c r="G187" s="2">
        <v>0.09</v>
      </c>
      <c r="H187" s="2">
        <v>0</v>
      </c>
      <c r="I187" s="2">
        <v>0</v>
      </c>
      <c r="J187" s="2">
        <v>0</v>
      </c>
      <c r="K187" s="2" t="s">
        <v>965</v>
      </c>
      <c r="L187" s="2">
        <v>22.47</v>
      </c>
      <c r="M187" s="2">
        <v>0.05</v>
      </c>
      <c r="N187" s="2">
        <v>70.8</v>
      </c>
      <c r="O187" s="2">
        <v>1.7</v>
      </c>
      <c r="P187" s="2">
        <v>0.1</v>
      </c>
      <c r="Q187" s="2" t="s">
        <v>975</v>
      </c>
      <c r="R187" s="2">
        <v>109.63500000000001</v>
      </c>
      <c r="S187" s="2">
        <v>0.02</v>
      </c>
      <c r="T187" s="2">
        <v>2.2999999999999998</v>
      </c>
      <c r="U187" s="2">
        <v>4.0999999999999996</v>
      </c>
      <c r="V187" s="2">
        <v>0</v>
      </c>
      <c r="Y187" s="2" t="str">
        <f t="shared" si="8"/>
        <v>Ja</v>
      </c>
      <c r="AA187" s="2" t="str">
        <f t="shared" si="9"/>
        <v>Nej</v>
      </c>
      <c r="AB187" s="2">
        <f t="shared" si="10"/>
        <v>22.47</v>
      </c>
      <c r="AC187" s="2">
        <f t="shared" si="11"/>
        <v>0</v>
      </c>
    </row>
    <row r="188" spans="1:29" ht="14.25" x14ac:dyDescent="0.45">
      <c r="A188" s="2" t="s">
        <v>428</v>
      </c>
      <c r="B188" s="2" t="s">
        <v>429</v>
      </c>
      <c r="C188" s="2">
        <v>2019</v>
      </c>
      <c r="D188" s="2">
        <v>0</v>
      </c>
      <c r="E188" s="2">
        <v>3.1875</v>
      </c>
      <c r="F188" s="2" t="s">
        <v>974</v>
      </c>
      <c r="G188" s="2">
        <v>0.09</v>
      </c>
      <c r="H188" s="2">
        <v>0</v>
      </c>
      <c r="I188" s="2">
        <v>0</v>
      </c>
      <c r="J188" s="2">
        <v>0</v>
      </c>
      <c r="K188" s="2" t="s">
        <v>49</v>
      </c>
      <c r="L188" s="2" t="s">
        <v>146</v>
      </c>
      <c r="M188" s="2" t="s">
        <v>146</v>
      </c>
      <c r="N188" s="2" t="s">
        <v>146</v>
      </c>
      <c r="O188" s="2" t="s">
        <v>146</v>
      </c>
      <c r="P188" s="2" t="s">
        <v>146</v>
      </c>
      <c r="Q188" s="2" t="s">
        <v>49</v>
      </c>
      <c r="R188" s="2" t="s">
        <v>146</v>
      </c>
      <c r="S188" s="2" t="s">
        <v>146</v>
      </c>
      <c r="T188" s="2" t="s">
        <v>146</v>
      </c>
      <c r="U188" s="2" t="s">
        <v>146</v>
      </c>
      <c r="V188" s="2" t="s">
        <v>146</v>
      </c>
      <c r="Y188" s="2" t="str">
        <f t="shared" si="8"/>
        <v>Ja</v>
      </c>
      <c r="AA188" s="2" t="str">
        <f t="shared" si="9"/>
        <v>Nej</v>
      </c>
      <c r="AB188" s="2" t="str">
        <f t="shared" si="10"/>
        <v>ET</v>
      </c>
      <c r="AC188" s="2">
        <f t="shared" si="11"/>
        <v>0</v>
      </c>
    </row>
    <row r="189" spans="1:29" ht="14.25" x14ac:dyDescent="0.45">
      <c r="A189" s="2" t="s">
        <v>428</v>
      </c>
      <c r="B189" s="2" t="s">
        <v>427</v>
      </c>
      <c r="C189" s="2">
        <v>2019</v>
      </c>
      <c r="D189" s="2" t="s">
        <v>49</v>
      </c>
      <c r="E189" s="2" t="s">
        <v>49</v>
      </c>
      <c r="F189" s="2" t="s">
        <v>49</v>
      </c>
      <c r="G189" s="2" t="s">
        <v>49</v>
      </c>
      <c r="H189" s="2" t="s">
        <v>49</v>
      </c>
      <c r="I189" s="2" t="s">
        <v>49</v>
      </c>
      <c r="J189" s="2" t="s">
        <v>49</v>
      </c>
      <c r="K189" s="2" t="s">
        <v>49</v>
      </c>
      <c r="L189" s="2" t="s">
        <v>49</v>
      </c>
      <c r="M189" s="2" t="s">
        <v>49</v>
      </c>
      <c r="N189" s="2" t="s">
        <v>49</v>
      </c>
      <c r="O189" s="2" t="s">
        <v>49</v>
      </c>
      <c r="P189" s="2" t="s">
        <v>49</v>
      </c>
      <c r="Q189" s="2" t="s">
        <v>49</v>
      </c>
      <c r="R189" s="2" t="s">
        <v>49</v>
      </c>
      <c r="S189" s="2" t="s">
        <v>49</v>
      </c>
      <c r="T189" s="2" t="s">
        <v>49</v>
      </c>
      <c r="U189" s="2" t="s">
        <v>49</v>
      </c>
      <c r="V189" s="2" t="s">
        <v>49</v>
      </c>
      <c r="Y189" s="2" t="str">
        <f t="shared" si="8"/>
        <v>Nej</v>
      </c>
      <c r="AA189" s="2" t="str">
        <f t="shared" si="9"/>
        <v>Nej</v>
      </c>
      <c r="AB189" s="2">
        <f t="shared" si="10"/>
        <v>0</v>
      </c>
      <c r="AC189" s="2">
        <f t="shared" si="11"/>
        <v>0</v>
      </c>
    </row>
    <row r="190" spans="1:29" ht="14.25" x14ac:dyDescent="0.45">
      <c r="A190" s="2" t="s">
        <v>418</v>
      </c>
      <c r="B190" s="2" t="s">
        <v>426</v>
      </c>
      <c r="C190" s="2">
        <v>2019</v>
      </c>
      <c r="D190" s="2">
        <v>6.7000000000000004E-2</v>
      </c>
      <c r="E190" s="2">
        <v>0</v>
      </c>
      <c r="F190" s="2" t="s">
        <v>971</v>
      </c>
      <c r="G190" s="2">
        <v>1.1000000000000001</v>
      </c>
      <c r="H190" s="2">
        <v>0</v>
      </c>
      <c r="I190" s="2">
        <v>0</v>
      </c>
      <c r="J190" s="2">
        <v>0</v>
      </c>
      <c r="K190" s="2" t="s">
        <v>658</v>
      </c>
      <c r="L190" s="2" t="s">
        <v>146</v>
      </c>
      <c r="M190" s="2" t="s">
        <v>146</v>
      </c>
      <c r="N190" s="2" t="s">
        <v>146</v>
      </c>
      <c r="O190" s="2" t="s">
        <v>146</v>
      </c>
      <c r="P190" s="2" t="s">
        <v>146</v>
      </c>
      <c r="Q190" s="2" t="s">
        <v>49</v>
      </c>
      <c r="R190" s="2" t="s">
        <v>146</v>
      </c>
      <c r="S190" s="2" t="s">
        <v>146</v>
      </c>
      <c r="T190" s="2" t="s">
        <v>146</v>
      </c>
      <c r="U190" s="2" t="s">
        <v>146</v>
      </c>
      <c r="V190" s="2" t="s">
        <v>146</v>
      </c>
      <c r="Y190" s="2" t="str">
        <f t="shared" si="8"/>
        <v>Ja</v>
      </c>
      <c r="AA190" s="2" t="str">
        <f t="shared" si="9"/>
        <v>Nej</v>
      </c>
      <c r="AB190" s="2" t="str">
        <f t="shared" si="10"/>
        <v>ET</v>
      </c>
      <c r="AC190" s="2">
        <f t="shared" si="11"/>
        <v>0</v>
      </c>
    </row>
    <row r="191" spans="1:29" ht="14.25" x14ac:dyDescent="0.45">
      <c r="A191" s="2" t="s">
        <v>418</v>
      </c>
      <c r="B191" s="2" t="s">
        <v>424</v>
      </c>
      <c r="C191" s="2">
        <v>2019</v>
      </c>
      <c r="D191" s="2">
        <v>0.71299999999999997</v>
      </c>
      <c r="E191" s="2">
        <v>0</v>
      </c>
      <c r="F191" s="2" t="s">
        <v>973</v>
      </c>
      <c r="G191" s="2">
        <v>1.1000000000000001</v>
      </c>
      <c r="H191" s="2">
        <v>0</v>
      </c>
      <c r="I191" s="2">
        <v>0</v>
      </c>
      <c r="J191" s="2">
        <v>0</v>
      </c>
      <c r="K191" s="2" t="s">
        <v>49</v>
      </c>
      <c r="L191" s="2" t="s">
        <v>146</v>
      </c>
      <c r="M191" s="2" t="s">
        <v>146</v>
      </c>
      <c r="N191" s="2" t="s">
        <v>146</v>
      </c>
      <c r="O191" s="2" t="s">
        <v>146</v>
      </c>
      <c r="P191" s="2" t="s">
        <v>146</v>
      </c>
      <c r="Q191" s="2" t="s">
        <v>49</v>
      </c>
      <c r="R191" s="2" t="s">
        <v>146</v>
      </c>
      <c r="S191" s="2" t="s">
        <v>146</v>
      </c>
      <c r="T191" s="2" t="s">
        <v>146</v>
      </c>
      <c r="U191" s="2" t="s">
        <v>146</v>
      </c>
      <c r="V191" s="2" t="s">
        <v>146</v>
      </c>
      <c r="Y191" s="2" t="str">
        <f t="shared" si="8"/>
        <v>Ja</v>
      </c>
      <c r="AA191" s="2" t="str">
        <f t="shared" si="9"/>
        <v>Nej</v>
      </c>
      <c r="AB191" s="2" t="str">
        <f t="shared" si="10"/>
        <v>ET</v>
      </c>
      <c r="AC191" s="2">
        <f t="shared" si="11"/>
        <v>0</v>
      </c>
    </row>
    <row r="192" spans="1:29" ht="14.25" x14ac:dyDescent="0.45">
      <c r="A192" s="2" t="s">
        <v>418</v>
      </c>
      <c r="B192" s="2" t="s">
        <v>423</v>
      </c>
      <c r="C192" s="2">
        <v>2019</v>
      </c>
      <c r="D192" s="2">
        <v>0.23899999999999999</v>
      </c>
      <c r="E192" s="2">
        <v>0</v>
      </c>
      <c r="F192" s="2" t="s">
        <v>971</v>
      </c>
      <c r="G192" s="2">
        <v>1.1000000000000001</v>
      </c>
      <c r="H192" s="2">
        <v>0</v>
      </c>
      <c r="I192" s="2">
        <v>0</v>
      </c>
      <c r="J192" s="2">
        <v>0</v>
      </c>
      <c r="K192" s="2" t="s">
        <v>49</v>
      </c>
      <c r="L192" s="2" t="s">
        <v>146</v>
      </c>
      <c r="M192" s="2" t="s">
        <v>146</v>
      </c>
      <c r="N192" s="2" t="s">
        <v>146</v>
      </c>
      <c r="O192" s="2" t="s">
        <v>146</v>
      </c>
      <c r="P192" s="2" t="s">
        <v>146</v>
      </c>
      <c r="Q192" s="2" t="s">
        <v>49</v>
      </c>
      <c r="R192" s="2" t="s">
        <v>146</v>
      </c>
      <c r="S192" s="2" t="s">
        <v>146</v>
      </c>
      <c r="T192" s="2" t="s">
        <v>146</v>
      </c>
      <c r="U192" s="2" t="s">
        <v>146</v>
      </c>
      <c r="V192" s="2" t="s">
        <v>146</v>
      </c>
      <c r="Y192" s="2" t="str">
        <f t="shared" si="8"/>
        <v>Ja</v>
      </c>
      <c r="AA192" s="2" t="str">
        <f t="shared" si="9"/>
        <v>Nej</v>
      </c>
      <c r="AB192" s="2" t="str">
        <f t="shared" si="10"/>
        <v>ET</v>
      </c>
      <c r="AC192" s="2">
        <f t="shared" si="11"/>
        <v>0</v>
      </c>
    </row>
    <row r="193" spans="1:29" ht="14.25" x14ac:dyDescent="0.45">
      <c r="A193" s="2" t="s">
        <v>418</v>
      </c>
      <c r="B193" s="2" t="s">
        <v>422</v>
      </c>
      <c r="C193" s="2">
        <v>2019</v>
      </c>
      <c r="D193" s="2">
        <v>1.0999999999999999E-2</v>
      </c>
      <c r="E193" s="2">
        <v>0</v>
      </c>
      <c r="F193" s="2" t="s">
        <v>971</v>
      </c>
      <c r="G193" s="2">
        <v>1.1000000000000001</v>
      </c>
      <c r="H193" s="2">
        <v>0</v>
      </c>
      <c r="I193" s="2">
        <v>0</v>
      </c>
      <c r="J193" s="2">
        <v>0</v>
      </c>
      <c r="K193" s="2" t="s">
        <v>49</v>
      </c>
      <c r="L193" s="2" t="s">
        <v>146</v>
      </c>
      <c r="M193" s="2" t="s">
        <v>146</v>
      </c>
      <c r="N193" s="2" t="s">
        <v>146</v>
      </c>
      <c r="O193" s="2" t="s">
        <v>146</v>
      </c>
      <c r="P193" s="2" t="s">
        <v>146</v>
      </c>
      <c r="Q193" s="2" t="s">
        <v>49</v>
      </c>
      <c r="R193" s="2" t="s">
        <v>146</v>
      </c>
      <c r="S193" s="2" t="s">
        <v>146</v>
      </c>
      <c r="T193" s="2" t="s">
        <v>146</v>
      </c>
      <c r="U193" s="2" t="s">
        <v>146</v>
      </c>
      <c r="V193" s="2" t="s">
        <v>146</v>
      </c>
      <c r="Y193" s="2" t="str">
        <f t="shared" si="8"/>
        <v>Ja</v>
      </c>
      <c r="AA193" s="2" t="str">
        <f t="shared" si="9"/>
        <v>Nej</v>
      </c>
      <c r="AB193" s="2" t="str">
        <f t="shared" si="10"/>
        <v>ET</v>
      </c>
      <c r="AC193" s="2">
        <f t="shared" si="11"/>
        <v>0</v>
      </c>
    </row>
    <row r="194" spans="1:29" ht="14.25" x14ac:dyDescent="0.45">
      <c r="A194" s="2" t="s">
        <v>418</v>
      </c>
      <c r="B194" s="2" t="s">
        <v>1181</v>
      </c>
      <c r="C194" s="2">
        <v>2019</v>
      </c>
      <c r="D194" s="2">
        <v>7.0000000000000007E-2</v>
      </c>
      <c r="E194" s="2">
        <v>0</v>
      </c>
      <c r="F194" s="2" t="s">
        <v>972</v>
      </c>
      <c r="G194" s="2">
        <v>1.1000000000000001</v>
      </c>
      <c r="H194" s="2">
        <v>0</v>
      </c>
      <c r="I194" s="2">
        <v>0</v>
      </c>
      <c r="J194" s="2">
        <v>0</v>
      </c>
      <c r="K194" s="2" t="s">
        <v>49</v>
      </c>
      <c r="L194" s="2" t="s">
        <v>146</v>
      </c>
      <c r="M194" s="2" t="s">
        <v>146</v>
      </c>
      <c r="N194" s="2" t="s">
        <v>146</v>
      </c>
      <c r="O194" s="2" t="s">
        <v>146</v>
      </c>
      <c r="P194" s="2" t="s">
        <v>146</v>
      </c>
      <c r="Q194" s="2" t="s">
        <v>49</v>
      </c>
      <c r="R194" s="2" t="s">
        <v>146</v>
      </c>
      <c r="S194" s="2" t="s">
        <v>146</v>
      </c>
      <c r="T194" s="2" t="s">
        <v>146</v>
      </c>
      <c r="U194" s="2" t="s">
        <v>146</v>
      </c>
      <c r="V194" s="2" t="s">
        <v>146</v>
      </c>
      <c r="Y194" s="2" t="str">
        <f t="shared" ref="Y194:Y257" si="12">IF(OR(AND(G194&lt;&gt;$AD$3,G194&lt;&gt;"-"),AND(H194&lt;&gt;$AD$4,H194&lt;&gt;"-"),AND(I194&lt;&gt;$AD$5,I194&lt;&gt;"-"),AND(J194&lt;&gt;$AD$6,J194&lt;&gt;"-")),"Ja","Nej")</f>
        <v>Ja</v>
      </c>
      <c r="AA194" s="2" t="str">
        <f t="shared" ref="AA194:AA257" si="13">IF(ISERROR(1/K194),"Nej","Ja")</f>
        <v>Nej</v>
      </c>
      <c r="AB194" s="2" t="str">
        <f t="shared" ref="AB194:AB257" si="14">IF(Y194="nej",0,L194)</f>
        <v>ET</v>
      </c>
      <c r="AC194" s="2">
        <f t="shared" ref="AC194:AC257" si="15">IF(AA194="nej",0,P194/100)</f>
        <v>0</v>
      </c>
    </row>
    <row r="195" spans="1:29" ht="14.25" x14ac:dyDescent="0.45">
      <c r="A195" s="2" t="s">
        <v>418</v>
      </c>
      <c r="B195" s="2" t="s">
        <v>97</v>
      </c>
      <c r="C195" s="2">
        <v>2019</v>
      </c>
      <c r="D195" s="2">
        <v>0.64300000000000002</v>
      </c>
      <c r="E195" s="2">
        <v>0</v>
      </c>
      <c r="F195" s="2" t="s">
        <v>972</v>
      </c>
      <c r="G195" s="2">
        <v>1.1000000000000001</v>
      </c>
      <c r="H195" s="2">
        <v>0</v>
      </c>
      <c r="I195" s="2">
        <v>0</v>
      </c>
      <c r="J195" s="2">
        <v>0</v>
      </c>
      <c r="K195" s="2" t="s">
        <v>49</v>
      </c>
      <c r="L195" s="2" t="s">
        <v>146</v>
      </c>
      <c r="M195" s="2" t="s">
        <v>146</v>
      </c>
      <c r="N195" s="2" t="s">
        <v>146</v>
      </c>
      <c r="O195" s="2" t="s">
        <v>146</v>
      </c>
      <c r="P195" s="2" t="s">
        <v>146</v>
      </c>
      <c r="Q195" s="2" t="s">
        <v>49</v>
      </c>
      <c r="R195" s="2" t="s">
        <v>146</v>
      </c>
      <c r="S195" s="2" t="s">
        <v>146</v>
      </c>
      <c r="T195" s="2" t="s">
        <v>146</v>
      </c>
      <c r="U195" s="2" t="s">
        <v>146</v>
      </c>
      <c r="V195" s="2" t="s">
        <v>146</v>
      </c>
      <c r="Y195" s="2" t="str">
        <f t="shared" si="12"/>
        <v>Ja</v>
      </c>
      <c r="AA195" s="2" t="str">
        <f t="shared" si="13"/>
        <v>Nej</v>
      </c>
      <c r="AB195" s="2" t="str">
        <f t="shared" si="14"/>
        <v>ET</v>
      </c>
      <c r="AC195" s="2">
        <f t="shared" si="15"/>
        <v>0</v>
      </c>
    </row>
    <row r="196" spans="1:29" ht="14.25" x14ac:dyDescent="0.45">
      <c r="A196" s="2" t="s">
        <v>418</v>
      </c>
      <c r="B196" s="2" t="s">
        <v>99</v>
      </c>
      <c r="C196" s="2">
        <v>2019</v>
      </c>
      <c r="D196" s="2">
        <v>1.4239999999999999</v>
      </c>
      <c r="E196" s="2">
        <v>0</v>
      </c>
      <c r="F196" s="2" t="s">
        <v>971</v>
      </c>
      <c r="G196" s="2">
        <v>1.1000000000000001</v>
      </c>
      <c r="H196" s="2">
        <v>0</v>
      </c>
      <c r="I196" s="2">
        <v>0</v>
      </c>
      <c r="J196" s="2">
        <v>0</v>
      </c>
      <c r="K196" s="2" t="s">
        <v>49</v>
      </c>
      <c r="L196" s="2" t="s">
        <v>146</v>
      </c>
      <c r="M196" s="2" t="s">
        <v>146</v>
      </c>
      <c r="N196" s="2" t="s">
        <v>146</v>
      </c>
      <c r="O196" s="2" t="s">
        <v>146</v>
      </c>
      <c r="P196" s="2" t="s">
        <v>146</v>
      </c>
      <c r="Q196" s="2" t="s">
        <v>49</v>
      </c>
      <c r="R196" s="2" t="s">
        <v>146</v>
      </c>
      <c r="S196" s="2" t="s">
        <v>146</v>
      </c>
      <c r="T196" s="2" t="s">
        <v>146</v>
      </c>
      <c r="U196" s="2" t="s">
        <v>146</v>
      </c>
      <c r="V196" s="2" t="s">
        <v>146</v>
      </c>
      <c r="Y196" s="2" t="str">
        <f t="shared" si="12"/>
        <v>Ja</v>
      </c>
      <c r="AA196" s="2" t="str">
        <f t="shared" si="13"/>
        <v>Nej</v>
      </c>
      <c r="AB196" s="2" t="str">
        <f t="shared" si="14"/>
        <v>ET</v>
      </c>
      <c r="AC196" s="2">
        <f t="shared" si="15"/>
        <v>0</v>
      </c>
    </row>
    <row r="197" spans="1:29" ht="14.25" x14ac:dyDescent="0.45">
      <c r="A197" s="2" t="s">
        <v>418</v>
      </c>
      <c r="B197" s="2" t="s">
        <v>421</v>
      </c>
      <c r="C197" s="2">
        <v>2019</v>
      </c>
      <c r="D197" s="2">
        <v>0.114</v>
      </c>
      <c r="E197" s="2">
        <v>0</v>
      </c>
      <c r="F197" s="2" t="s">
        <v>972</v>
      </c>
      <c r="G197" s="2">
        <v>1.1000000000000001</v>
      </c>
      <c r="H197" s="2">
        <v>0</v>
      </c>
      <c r="I197" s="2">
        <v>0</v>
      </c>
      <c r="J197" s="2">
        <v>0</v>
      </c>
      <c r="K197" s="2" t="s">
        <v>49</v>
      </c>
      <c r="L197" s="2" t="s">
        <v>146</v>
      </c>
      <c r="M197" s="2" t="s">
        <v>146</v>
      </c>
      <c r="N197" s="2" t="s">
        <v>146</v>
      </c>
      <c r="O197" s="2" t="s">
        <v>146</v>
      </c>
      <c r="P197" s="2" t="s">
        <v>146</v>
      </c>
      <c r="Q197" s="2" t="s">
        <v>49</v>
      </c>
      <c r="R197" s="2" t="s">
        <v>146</v>
      </c>
      <c r="S197" s="2" t="s">
        <v>146</v>
      </c>
      <c r="T197" s="2" t="s">
        <v>146</v>
      </c>
      <c r="U197" s="2" t="s">
        <v>146</v>
      </c>
      <c r="V197" s="2" t="s">
        <v>146</v>
      </c>
      <c r="Y197" s="2" t="str">
        <f t="shared" si="12"/>
        <v>Ja</v>
      </c>
      <c r="AA197" s="2" t="str">
        <f t="shared" si="13"/>
        <v>Nej</v>
      </c>
      <c r="AB197" s="2" t="str">
        <f t="shared" si="14"/>
        <v>ET</v>
      </c>
      <c r="AC197" s="2">
        <f t="shared" si="15"/>
        <v>0</v>
      </c>
    </row>
    <row r="198" spans="1:29" ht="14.25" x14ac:dyDescent="0.45">
      <c r="A198" s="2" t="s">
        <v>418</v>
      </c>
      <c r="B198" s="2" t="s">
        <v>101</v>
      </c>
      <c r="C198" s="2">
        <v>2019</v>
      </c>
      <c r="D198" s="2">
        <v>0.11799999999999999</v>
      </c>
      <c r="E198" s="2">
        <v>0</v>
      </c>
      <c r="F198" s="2" t="s">
        <v>972</v>
      </c>
      <c r="G198" s="2">
        <v>1.1000000000000001</v>
      </c>
      <c r="H198" s="2">
        <v>0</v>
      </c>
      <c r="I198" s="2">
        <v>0</v>
      </c>
      <c r="J198" s="2">
        <v>0</v>
      </c>
      <c r="K198" s="2" t="s">
        <v>49</v>
      </c>
      <c r="L198" s="2" t="s">
        <v>146</v>
      </c>
      <c r="M198" s="2" t="s">
        <v>146</v>
      </c>
      <c r="N198" s="2" t="s">
        <v>146</v>
      </c>
      <c r="O198" s="2" t="s">
        <v>146</v>
      </c>
      <c r="P198" s="2" t="s">
        <v>146</v>
      </c>
      <c r="Q198" s="2" t="s">
        <v>49</v>
      </c>
      <c r="R198" s="2" t="s">
        <v>146</v>
      </c>
      <c r="S198" s="2" t="s">
        <v>146</v>
      </c>
      <c r="T198" s="2" t="s">
        <v>146</v>
      </c>
      <c r="U198" s="2" t="s">
        <v>146</v>
      </c>
      <c r="V198" s="2" t="s">
        <v>146</v>
      </c>
      <c r="Y198" s="2" t="str">
        <f t="shared" si="12"/>
        <v>Ja</v>
      </c>
      <c r="AA198" s="2" t="str">
        <f t="shared" si="13"/>
        <v>Nej</v>
      </c>
      <c r="AB198" s="2" t="str">
        <f t="shared" si="14"/>
        <v>ET</v>
      </c>
      <c r="AC198" s="2">
        <f t="shared" si="15"/>
        <v>0</v>
      </c>
    </row>
    <row r="199" spans="1:29" ht="14.25" x14ac:dyDescent="0.45">
      <c r="A199" s="2" t="s">
        <v>418</v>
      </c>
      <c r="B199" s="2" t="s">
        <v>103</v>
      </c>
      <c r="C199" s="2">
        <v>2019</v>
      </c>
      <c r="D199" s="2">
        <v>1.141</v>
      </c>
      <c r="E199" s="2">
        <v>0</v>
      </c>
      <c r="F199" s="2" t="s">
        <v>972</v>
      </c>
      <c r="G199" s="2">
        <v>1.1000000000000001</v>
      </c>
      <c r="H199" s="2">
        <v>0</v>
      </c>
      <c r="I199" s="2">
        <v>0</v>
      </c>
      <c r="J199" s="2">
        <v>0</v>
      </c>
      <c r="K199" s="2" t="s">
        <v>49</v>
      </c>
      <c r="L199" s="2" t="s">
        <v>146</v>
      </c>
      <c r="M199" s="2" t="s">
        <v>146</v>
      </c>
      <c r="N199" s="2" t="s">
        <v>146</v>
      </c>
      <c r="O199" s="2" t="s">
        <v>146</v>
      </c>
      <c r="P199" s="2" t="s">
        <v>146</v>
      </c>
      <c r="Q199" s="2" t="s">
        <v>49</v>
      </c>
      <c r="R199" s="2" t="s">
        <v>146</v>
      </c>
      <c r="S199" s="2" t="s">
        <v>146</v>
      </c>
      <c r="T199" s="2" t="s">
        <v>146</v>
      </c>
      <c r="U199" s="2" t="s">
        <v>146</v>
      </c>
      <c r="V199" s="2" t="s">
        <v>146</v>
      </c>
      <c r="Y199" s="2" t="str">
        <f t="shared" si="12"/>
        <v>Ja</v>
      </c>
      <c r="AA199" s="2" t="str">
        <f t="shared" si="13"/>
        <v>Nej</v>
      </c>
      <c r="AB199" s="2" t="str">
        <f t="shared" si="14"/>
        <v>ET</v>
      </c>
      <c r="AC199" s="2">
        <f t="shared" si="15"/>
        <v>0</v>
      </c>
    </row>
    <row r="200" spans="1:29" ht="14.25" x14ac:dyDescent="0.45">
      <c r="A200" s="2" t="s">
        <v>418</v>
      </c>
      <c r="B200" s="2" t="s">
        <v>105</v>
      </c>
      <c r="C200" s="2">
        <v>2019</v>
      </c>
      <c r="D200" s="2">
        <v>0.316</v>
      </c>
      <c r="E200" s="2" t="s">
        <v>146</v>
      </c>
      <c r="F200" s="2" t="s">
        <v>971</v>
      </c>
      <c r="G200" s="2">
        <v>1.1000000000000001</v>
      </c>
      <c r="H200" s="2">
        <v>0</v>
      </c>
      <c r="I200" s="2">
        <v>0</v>
      </c>
      <c r="J200" s="2">
        <v>0</v>
      </c>
      <c r="K200" s="2" t="s">
        <v>49</v>
      </c>
      <c r="L200" s="2" t="s">
        <v>146</v>
      </c>
      <c r="M200" s="2" t="s">
        <v>146</v>
      </c>
      <c r="N200" s="2" t="s">
        <v>146</v>
      </c>
      <c r="O200" s="2" t="s">
        <v>146</v>
      </c>
      <c r="P200" s="2" t="s">
        <v>146</v>
      </c>
      <c r="Q200" s="2" t="s">
        <v>49</v>
      </c>
      <c r="R200" s="2" t="s">
        <v>146</v>
      </c>
      <c r="S200" s="2" t="s">
        <v>146</v>
      </c>
      <c r="T200" s="2" t="s">
        <v>146</v>
      </c>
      <c r="U200" s="2" t="s">
        <v>146</v>
      </c>
      <c r="V200" s="2" t="s">
        <v>146</v>
      </c>
      <c r="Y200" s="2" t="str">
        <f t="shared" si="12"/>
        <v>Ja</v>
      </c>
      <c r="AA200" s="2" t="str">
        <f t="shared" si="13"/>
        <v>Nej</v>
      </c>
      <c r="AB200" s="2" t="str">
        <f t="shared" si="14"/>
        <v>ET</v>
      </c>
      <c r="AC200" s="2">
        <f t="shared" si="15"/>
        <v>0</v>
      </c>
    </row>
    <row r="201" spans="1:29" ht="14.25" x14ac:dyDescent="0.45">
      <c r="A201" s="2" t="s">
        <v>418</v>
      </c>
      <c r="B201" s="2" t="s">
        <v>1183</v>
      </c>
      <c r="C201" s="2">
        <v>2019</v>
      </c>
      <c r="D201" s="2" t="s">
        <v>146</v>
      </c>
      <c r="E201" s="2" t="s">
        <v>146</v>
      </c>
      <c r="F201" s="2" t="s">
        <v>971</v>
      </c>
      <c r="G201" s="2">
        <v>1.1000000000000001</v>
      </c>
      <c r="H201" s="2">
        <v>0</v>
      </c>
      <c r="I201" s="2">
        <v>0</v>
      </c>
      <c r="J201" s="2">
        <v>0</v>
      </c>
      <c r="K201" s="2" t="s">
        <v>49</v>
      </c>
      <c r="L201" s="2" t="s">
        <v>146</v>
      </c>
      <c r="M201" s="2" t="s">
        <v>146</v>
      </c>
      <c r="N201" s="2" t="s">
        <v>146</v>
      </c>
      <c r="O201" s="2" t="s">
        <v>146</v>
      </c>
      <c r="P201" s="2" t="s">
        <v>146</v>
      </c>
      <c r="Q201" s="2" t="s">
        <v>49</v>
      </c>
      <c r="R201" s="2" t="s">
        <v>146</v>
      </c>
      <c r="S201" s="2" t="s">
        <v>146</v>
      </c>
      <c r="T201" s="2" t="s">
        <v>146</v>
      </c>
      <c r="U201" s="2" t="s">
        <v>146</v>
      </c>
      <c r="V201" s="2" t="s">
        <v>146</v>
      </c>
      <c r="Y201" s="2" t="str">
        <f t="shared" si="12"/>
        <v>Ja</v>
      </c>
      <c r="AA201" s="2" t="str">
        <f t="shared" si="13"/>
        <v>Nej</v>
      </c>
      <c r="AB201" s="2" t="str">
        <f t="shared" si="14"/>
        <v>ET</v>
      </c>
      <c r="AC201" s="2">
        <f t="shared" si="15"/>
        <v>0</v>
      </c>
    </row>
    <row r="202" spans="1:29" ht="14.25" x14ac:dyDescent="0.45">
      <c r="A202" s="2" t="s">
        <v>418</v>
      </c>
      <c r="B202" s="2" t="s">
        <v>107</v>
      </c>
      <c r="C202" s="2">
        <v>2019</v>
      </c>
      <c r="D202" s="2">
        <v>0.108</v>
      </c>
      <c r="E202" s="2" t="s">
        <v>146</v>
      </c>
      <c r="F202" s="2" t="s">
        <v>971</v>
      </c>
      <c r="G202" s="2">
        <v>1.1000000000000001</v>
      </c>
      <c r="H202" s="2">
        <v>0</v>
      </c>
      <c r="I202" s="2">
        <v>0</v>
      </c>
      <c r="J202" s="2">
        <v>0</v>
      </c>
      <c r="K202" s="2" t="s">
        <v>49</v>
      </c>
      <c r="L202" s="2" t="s">
        <v>146</v>
      </c>
      <c r="M202" s="2" t="s">
        <v>146</v>
      </c>
      <c r="N202" s="2" t="s">
        <v>146</v>
      </c>
      <c r="O202" s="2" t="s">
        <v>146</v>
      </c>
      <c r="P202" s="2" t="s">
        <v>146</v>
      </c>
      <c r="Q202" s="2" t="s">
        <v>49</v>
      </c>
      <c r="R202" s="2" t="s">
        <v>146</v>
      </c>
      <c r="S202" s="2" t="s">
        <v>146</v>
      </c>
      <c r="T202" s="2" t="s">
        <v>146</v>
      </c>
      <c r="U202" s="2" t="s">
        <v>146</v>
      </c>
      <c r="V202" s="2" t="s">
        <v>146</v>
      </c>
      <c r="Y202" s="2" t="str">
        <f t="shared" si="12"/>
        <v>Ja</v>
      </c>
      <c r="AA202" s="2" t="str">
        <f t="shared" si="13"/>
        <v>Nej</v>
      </c>
      <c r="AB202" s="2" t="str">
        <f t="shared" si="14"/>
        <v>ET</v>
      </c>
      <c r="AC202" s="2">
        <f t="shared" si="15"/>
        <v>0</v>
      </c>
    </row>
    <row r="203" spans="1:29" ht="14.25" x14ac:dyDescent="0.45">
      <c r="A203" s="2" t="s">
        <v>418</v>
      </c>
      <c r="B203" s="2" t="s">
        <v>420</v>
      </c>
      <c r="C203" s="2">
        <v>2019</v>
      </c>
      <c r="D203" s="2">
        <v>1.698</v>
      </c>
      <c r="E203" s="2" t="s">
        <v>146</v>
      </c>
      <c r="F203" s="2" t="s">
        <v>971</v>
      </c>
      <c r="G203" s="2">
        <v>1.1000000000000001</v>
      </c>
      <c r="H203" s="2">
        <v>0</v>
      </c>
      <c r="I203" s="2">
        <v>0</v>
      </c>
      <c r="J203" s="2">
        <v>0</v>
      </c>
      <c r="K203" s="2" t="s">
        <v>49</v>
      </c>
      <c r="L203" s="2" t="s">
        <v>146</v>
      </c>
      <c r="M203" s="2" t="s">
        <v>146</v>
      </c>
      <c r="N203" s="2" t="s">
        <v>146</v>
      </c>
      <c r="O203" s="2" t="s">
        <v>146</v>
      </c>
      <c r="P203" s="2" t="s">
        <v>146</v>
      </c>
      <c r="Q203" s="2" t="s">
        <v>49</v>
      </c>
      <c r="R203" s="2" t="s">
        <v>146</v>
      </c>
      <c r="S203" s="2" t="s">
        <v>146</v>
      </c>
      <c r="T203" s="2" t="s">
        <v>146</v>
      </c>
      <c r="U203" s="2" t="s">
        <v>146</v>
      </c>
      <c r="V203" s="2" t="s">
        <v>146</v>
      </c>
      <c r="Y203" s="2" t="str">
        <f t="shared" si="12"/>
        <v>Ja</v>
      </c>
      <c r="AA203" s="2" t="str">
        <f t="shared" si="13"/>
        <v>Nej</v>
      </c>
      <c r="AB203" s="2" t="str">
        <f t="shared" si="14"/>
        <v>ET</v>
      </c>
      <c r="AC203" s="2">
        <f t="shared" si="15"/>
        <v>0</v>
      </c>
    </row>
    <row r="204" spans="1:29" ht="14.25" x14ac:dyDescent="0.45">
      <c r="A204" s="2" t="s">
        <v>418</v>
      </c>
      <c r="B204" s="2" t="s">
        <v>419</v>
      </c>
      <c r="C204" s="2">
        <v>2019</v>
      </c>
      <c r="D204" s="2">
        <v>0.21199999999999999</v>
      </c>
      <c r="E204" s="2" t="s">
        <v>146</v>
      </c>
      <c r="F204" s="2" t="s">
        <v>971</v>
      </c>
      <c r="G204" s="2">
        <v>1.1000000000000001</v>
      </c>
      <c r="H204" s="2">
        <v>0</v>
      </c>
      <c r="I204" s="2">
        <v>0</v>
      </c>
      <c r="J204" s="2">
        <v>0</v>
      </c>
      <c r="K204" s="2" t="s">
        <v>49</v>
      </c>
      <c r="L204" s="2" t="s">
        <v>146</v>
      </c>
      <c r="M204" s="2" t="s">
        <v>146</v>
      </c>
      <c r="N204" s="2" t="s">
        <v>146</v>
      </c>
      <c r="O204" s="2" t="s">
        <v>146</v>
      </c>
      <c r="P204" s="2" t="s">
        <v>146</v>
      </c>
      <c r="Q204" s="2" t="s">
        <v>49</v>
      </c>
      <c r="R204" s="2" t="s">
        <v>146</v>
      </c>
      <c r="S204" s="2" t="s">
        <v>146</v>
      </c>
      <c r="T204" s="2" t="s">
        <v>146</v>
      </c>
      <c r="U204" s="2" t="s">
        <v>146</v>
      </c>
      <c r="V204" s="2" t="s">
        <v>146</v>
      </c>
      <c r="Y204" s="2" t="str">
        <f t="shared" si="12"/>
        <v>Ja</v>
      </c>
      <c r="AA204" s="2" t="str">
        <f t="shared" si="13"/>
        <v>Nej</v>
      </c>
      <c r="AB204" s="2" t="str">
        <f t="shared" si="14"/>
        <v>ET</v>
      </c>
      <c r="AC204" s="2">
        <f t="shared" si="15"/>
        <v>0</v>
      </c>
    </row>
    <row r="205" spans="1:29" ht="14.25" x14ac:dyDescent="0.45">
      <c r="A205" s="2" t="s">
        <v>418</v>
      </c>
      <c r="B205" s="2" t="s">
        <v>109</v>
      </c>
      <c r="C205" s="2">
        <v>2019</v>
      </c>
      <c r="D205" s="2">
        <v>2.3E-2</v>
      </c>
      <c r="E205" s="2">
        <v>0</v>
      </c>
      <c r="F205" s="2" t="s">
        <v>971</v>
      </c>
      <c r="G205" s="2">
        <v>1.1000000000000001</v>
      </c>
      <c r="H205" s="2">
        <v>0</v>
      </c>
      <c r="I205" s="2">
        <v>0</v>
      </c>
      <c r="J205" s="2">
        <v>0</v>
      </c>
      <c r="K205" s="2" t="s">
        <v>658</v>
      </c>
      <c r="L205" s="2" t="s">
        <v>146</v>
      </c>
      <c r="M205" s="2" t="s">
        <v>146</v>
      </c>
      <c r="N205" s="2" t="s">
        <v>146</v>
      </c>
      <c r="O205" s="2" t="s">
        <v>146</v>
      </c>
      <c r="P205" s="2" t="s">
        <v>146</v>
      </c>
      <c r="Q205" s="2" t="s">
        <v>49</v>
      </c>
      <c r="R205" s="2" t="s">
        <v>146</v>
      </c>
      <c r="S205" s="2" t="s">
        <v>146</v>
      </c>
      <c r="T205" s="2" t="s">
        <v>146</v>
      </c>
      <c r="U205" s="2" t="s">
        <v>146</v>
      </c>
      <c r="V205" s="2" t="s">
        <v>146</v>
      </c>
      <c r="Y205" s="2" t="str">
        <f t="shared" si="12"/>
        <v>Ja</v>
      </c>
      <c r="AA205" s="2" t="str">
        <f t="shared" si="13"/>
        <v>Nej</v>
      </c>
      <c r="AB205" s="2" t="str">
        <f t="shared" si="14"/>
        <v>ET</v>
      </c>
      <c r="AC205" s="2">
        <f t="shared" si="15"/>
        <v>0</v>
      </c>
    </row>
    <row r="206" spans="1:29" ht="14.25" x14ac:dyDescent="0.45">
      <c r="A206" s="2" t="s">
        <v>416</v>
      </c>
      <c r="B206" s="2" t="s">
        <v>417</v>
      </c>
      <c r="C206" s="2">
        <v>2019</v>
      </c>
      <c r="D206" s="2" t="s">
        <v>146</v>
      </c>
      <c r="E206" s="2" t="s">
        <v>146</v>
      </c>
      <c r="F206" s="2" t="s">
        <v>176</v>
      </c>
      <c r="G206" s="2">
        <v>2.2000000000000002</v>
      </c>
      <c r="H206" s="2">
        <v>250.8</v>
      </c>
      <c r="I206" s="2">
        <v>0.35</v>
      </c>
      <c r="J206" s="2">
        <v>0.3977</v>
      </c>
      <c r="K206" s="2" t="s">
        <v>49</v>
      </c>
      <c r="L206" s="2" t="s">
        <v>146</v>
      </c>
      <c r="M206" s="2" t="s">
        <v>146</v>
      </c>
      <c r="N206" s="2" t="s">
        <v>146</v>
      </c>
      <c r="O206" s="2" t="s">
        <v>146</v>
      </c>
      <c r="P206" s="2" t="s">
        <v>146</v>
      </c>
      <c r="Q206" s="2" t="s">
        <v>49</v>
      </c>
      <c r="R206" s="2" t="s">
        <v>146</v>
      </c>
      <c r="S206" s="2" t="s">
        <v>146</v>
      </c>
      <c r="T206" s="2" t="s">
        <v>146</v>
      </c>
      <c r="U206" s="2" t="s">
        <v>146</v>
      </c>
      <c r="V206" s="2" t="s">
        <v>146</v>
      </c>
      <c r="Y206" s="2" t="str">
        <f t="shared" si="12"/>
        <v>Ja</v>
      </c>
      <c r="AA206" s="2" t="str">
        <f t="shared" si="13"/>
        <v>Nej</v>
      </c>
      <c r="AB206" s="2" t="str">
        <f t="shared" si="14"/>
        <v>ET</v>
      </c>
      <c r="AC206" s="2">
        <f t="shared" si="15"/>
        <v>0</v>
      </c>
    </row>
    <row r="207" spans="1:29" ht="14.25" x14ac:dyDescent="0.45">
      <c r="A207" s="2" t="s">
        <v>416</v>
      </c>
      <c r="B207" s="2" t="s">
        <v>415</v>
      </c>
      <c r="C207" s="2">
        <v>2019</v>
      </c>
      <c r="D207" s="2" t="s">
        <v>146</v>
      </c>
      <c r="E207" s="2" t="s">
        <v>146</v>
      </c>
      <c r="F207" s="2" t="s">
        <v>176</v>
      </c>
      <c r="G207" s="2">
        <v>2.2000000000000002</v>
      </c>
      <c r="H207" s="2">
        <v>250.8</v>
      </c>
      <c r="I207" s="2">
        <v>0.35</v>
      </c>
      <c r="J207" s="2">
        <v>0.3977</v>
      </c>
      <c r="K207" s="2" t="s">
        <v>49</v>
      </c>
      <c r="L207" s="2" t="s">
        <v>146</v>
      </c>
      <c r="M207" s="2" t="s">
        <v>146</v>
      </c>
      <c r="N207" s="2" t="s">
        <v>146</v>
      </c>
      <c r="O207" s="2" t="s">
        <v>146</v>
      </c>
      <c r="P207" s="2" t="s">
        <v>146</v>
      </c>
      <c r="Q207" s="2" t="s">
        <v>49</v>
      </c>
      <c r="R207" s="2" t="s">
        <v>146</v>
      </c>
      <c r="S207" s="2" t="s">
        <v>146</v>
      </c>
      <c r="T207" s="2" t="s">
        <v>146</v>
      </c>
      <c r="U207" s="2" t="s">
        <v>146</v>
      </c>
      <c r="V207" s="2" t="s">
        <v>146</v>
      </c>
      <c r="Y207" s="2" t="str">
        <f t="shared" si="12"/>
        <v>Ja</v>
      </c>
      <c r="AA207" s="2" t="str">
        <f t="shared" si="13"/>
        <v>Nej</v>
      </c>
      <c r="AB207" s="2" t="str">
        <f t="shared" si="14"/>
        <v>ET</v>
      </c>
      <c r="AC207" s="2">
        <f t="shared" si="15"/>
        <v>0</v>
      </c>
    </row>
    <row r="208" spans="1:29" ht="14.25" x14ac:dyDescent="0.45">
      <c r="A208" s="2" t="s">
        <v>413</v>
      </c>
      <c r="B208" s="2" t="s">
        <v>414</v>
      </c>
      <c r="C208" s="2">
        <v>2019</v>
      </c>
      <c r="D208" s="2" t="s">
        <v>146</v>
      </c>
      <c r="E208" s="2" t="s">
        <v>146</v>
      </c>
      <c r="F208" s="2" t="s">
        <v>176</v>
      </c>
      <c r="G208" s="2">
        <v>2.2000000000000002</v>
      </c>
      <c r="H208" s="2">
        <v>250.8</v>
      </c>
      <c r="I208" s="2">
        <v>0.35</v>
      </c>
      <c r="J208" s="2">
        <v>0.3977</v>
      </c>
      <c r="K208" s="2" t="s">
        <v>49</v>
      </c>
      <c r="L208" s="2" t="s">
        <v>146</v>
      </c>
      <c r="M208" s="2" t="s">
        <v>146</v>
      </c>
      <c r="N208" s="2" t="s">
        <v>146</v>
      </c>
      <c r="O208" s="2" t="s">
        <v>146</v>
      </c>
      <c r="P208" s="2" t="s">
        <v>146</v>
      </c>
      <c r="Q208" s="2" t="s">
        <v>49</v>
      </c>
      <c r="R208" s="2" t="s">
        <v>146</v>
      </c>
      <c r="S208" s="2" t="s">
        <v>146</v>
      </c>
      <c r="T208" s="2" t="s">
        <v>146</v>
      </c>
      <c r="U208" s="2" t="s">
        <v>146</v>
      </c>
      <c r="V208" s="2" t="s">
        <v>146</v>
      </c>
      <c r="Y208" s="2" t="str">
        <f t="shared" si="12"/>
        <v>Ja</v>
      </c>
      <c r="AA208" s="2" t="str">
        <f t="shared" si="13"/>
        <v>Nej</v>
      </c>
      <c r="AB208" s="2" t="str">
        <f t="shared" si="14"/>
        <v>ET</v>
      </c>
      <c r="AC208" s="2">
        <f t="shared" si="15"/>
        <v>0</v>
      </c>
    </row>
    <row r="209" spans="1:29" ht="14.25" x14ac:dyDescent="0.45">
      <c r="A209" s="2" t="s">
        <v>413</v>
      </c>
      <c r="B209" s="2" t="s">
        <v>412</v>
      </c>
      <c r="C209" s="2">
        <v>2019</v>
      </c>
      <c r="D209" s="2" t="s">
        <v>146</v>
      </c>
      <c r="E209" s="2" t="s">
        <v>146</v>
      </c>
      <c r="F209" s="2" t="s">
        <v>176</v>
      </c>
      <c r="G209" s="2">
        <v>2.2000000000000002</v>
      </c>
      <c r="H209" s="2">
        <v>250.8</v>
      </c>
      <c r="I209" s="2">
        <v>0.35</v>
      </c>
      <c r="J209" s="2">
        <v>0.3977</v>
      </c>
      <c r="K209" s="2" t="s">
        <v>49</v>
      </c>
      <c r="L209" s="2" t="s">
        <v>146</v>
      </c>
      <c r="M209" s="2" t="s">
        <v>146</v>
      </c>
      <c r="N209" s="2" t="s">
        <v>146</v>
      </c>
      <c r="O209" s="2" t="s">
        <v>146</v>
      </c>
      <c r="P209" s="2" t="s">
        <v>146</v>
      </c>
      <c r="Q209" s="2" t="s">
        <v>49</v>
      </c>
      <c r="R209" s="2" t="s">
        <v>146</v>
      </c>
      <c r="S209" s="2" t="s">
        <v>146</v>
      </c>
      <c r="T209" s="2" t="s">
        <v>146</v>
      </c>
      <c r="U209" s="2" t="s">
        <v>146</v>
      </c>
      <c r="V209" s="2" t="s">
        <v>146</v>
      </c>
      <c r="Y209" s="2" t="str">
        <f t="shared" si="12"/>
        <v>Ja</v>
      </c>
      <c r="AA209" s="2" t="str">
        <f t="shared" si="13"/>
        <v>Nej</v>
      </c>
      <c r="AB209" s="2" t="str">
        <f t="shared" si="14"/>
        <v>ET</v>
      </c>
      <c r="AC209" s="2">
        <f t="shared" si="15"/>
        <v>0</v>
      </c>
    </row>
    <row r="210" spans="1:29" ht="14.25" x14ac:dyDescent="0.45">
      <c r="A210" s="2" t="s">
        <v>411</v>
      </c>
      <c r="B210" s="2" t="s">
        <v>410</v>
      </c>
      <c r="C210" s="2">
        <v>2019</v>
      </c>
      <c r="D210" s="2" t="s">
        <v>146</v>
      </c>
      <c r="E210" s="2" t="s">
        <v>146</v>
      </c>
      <c r="F210" s="2" t="s">
        <v>49</v>
      </c>
      <c r="G210" s="2">
        <v>2.2000000000000002</v>
      </c>
      <c r="H210" s="2">
        <v>250.8</v>
      </c>
      <c r="I210" s="2">
        <v>0.35</v>
      </c>
      <c r="J210" s="2">
        <v>0.3977</v>
      </c>
      <c r="K210" s="2" t="s">
        <v>49</v>
      </c>
      <c r="L210" s="2" t="s">
        <v>146</v>
      </c>
      <c r="M210" s="2" t="s">
        <v>146</v>
      </c>
      <c r="N210" s="2" t="s">
        <v>146</v>
      </c>
      <c r="O210" s="2" t="s">
        <v>146</v>
      </c>
      <c r="P210" s="2" t="s">
        <v>146</v>
      </c>
      <c r="Q210" s="2" t="s">
        <v>49</v>
      </c>
      <c r="R210" s="2" t="s">
        <v>146</v>
      </c>
      <c r="S210" s="2" t="s">
        <v>146</v>
      </c>
      <c r="T210" s="2" t="s">
        <v>146</v>
      </c>
      <c r="U210" s="2" t="s">
        <v>146</v>
      </c>
      <c r="V210" s="2" t="s">
        <v>146</v>
      </c>
      <c r="Y210" s="2" t="str">
        <f t="shared" si="12"/>
        <v>Ja</v>
      </c>
      <c r="AA210" s="2" t="str">
        <f t="shared" si="13"/>
        <v>Nej</v>
      </c>
      <c r="AB210" s="2" t="str">
        <f t="shared" si="14"/>
        <v>ET</v>
      </c>
      <c r="AC210" s="2">
        <f t="shared" si="15"/>
        <v>0</v>
      </c>
    </row>
    <row r="211" spans="1:29" ht="14.25" x14ac:dyDescent="0.45">
      <c r="A211" s="2" t="s">
        <v>111</v>
      </c>
      <c r="B211" s="2" t="s">
        <v>409</v>
      </c>
      <c r="C211" s="2">
        <v>2019</v>
      </c>
      <c r="D211" s="2">
        <v>13.669</v>
      </c>
      <c r="E211" s="2" t="s">
        <v>146</v>
      </c>
      <c r="F211" s="2" t="s">
        <v>970</v>
      </c>
      <c r="G211" s="2">
        <v>1.03</v>
      </c>
      <c r="H211" s="2">
        <v>0</v>
      </c>
      <c r="I211" s="2">
        <v>0</v>
      </c>
      <c r="J211" s="2">
        <v>0</v>
      </c>
      <c r="K211" s="2" t="s">
        <v>942</v>
      </c>
      <c r="L211" s="2">
        <v>508.536</v>
      </c>
      <c r="M211" s="2">
        <v>0.32300000000000001</v>
      </c>
      <c r="N211" s="2">
        <v>0</v>
      </c>
      <c r="O211" s="2">
        <v>0</v>
      </c>
      <c r="P211" s="2">
        <v>0</v>
      </c>
      <c r="Q211" s="2" t="s">
        <v>658</v>
      </c>
      <c r="R211" s="2">
        <v>4.2750000000000004</v>
      </c>
      <c r="S211" s="2">
        <v>0.48799999999999999</v>
      </c>
      <c r="T211" s="2">
        <v>0.44</v>
      </c>
      <c r="U211" s="2">
        <v>0.98399999999999999</v>
      </c>
      <c r="V211" s="2">
        <v>0</v>
      </c>
      <c r="Y211" s="2" t="str">
        <f t="shared" si="12"/>
        <v>Ja</v>
      </c>
      <c r="AA211" s="2" t="str">
        <f t="shared" si="13"/>
        <v>Nej</v>
      </c>
      <c r="AB211" s="2">
        <f t="shared" si="14"/>
        <v>508.536</v>
      </c>
      <c r="AC211" s="2">
        <f t="shared" si="15"/>
        <v>0</v>
      </c>
    </row>
    <row r="212" spans="1:29" ht="14.25" x14ac:dyDescent="0.45">
      <c r="A212" s="2" t="s">
        <v>406</v>
      </c>
      <c r="B212" s="2" t="s">
        <v>408</v>
      </c>
      <c r="C212" s="2">
        <v>2019</v>
      </c>
      <c r="D212" s="2">
        <v>0.5</v>
      </c>
      <c r="E212" s="2" t="s">
        <v>146</v>
      </c>
      <c r="F212" s="2" t="s">
        <v>969</v>
      </c>
      <c r="G212" s="2">
        <v>1.1000000000000001</v>
      </c>
      <c r="H212" s="2">
        <v>0</v>
      </c>
      <c r="I212" s="2">
        <v>0</v>
      </c>
      <c r="J212" s="2">
        <v>0</v>
      </c>
      <c r="K212" s="2" t="s">
        <v>49</v>
      </c>
      <c r="L212" s="2" t="s">
        <v>146</v>
      </c>
      <c r="M212" s="2" t="s">
        <v>146</v>
      </c>
      <c r="N212" s="2" t="s">
        <v>146</v>
      </c>
      <c r="O212" s="2" t="s">
        <v>146</v>
      </c>
      <c r="P212" s="2" t="s">
        <v>146</v>
      </c>
      <c r="Q212" s="2" t="s">
        <v>49</v>
      </c>
      <c r="R212" s="2" t="s">
        <v>146</v>
      </c>
      <c r="S212" s="2" t="s">
        <v>146</v>
      </c>
      <c r="T212" s="2" t="s">
        <v>146</v>
      </c>
      <c r="U212" s="2" t="s">
        <v>146</v>
      </c>
      <c r="V212" s="2" t="s">
        <v>146</v>
      </c>
      <c r="Y212" s="2" t="str">
        <f t="shared" si="12"/>
        <v>Ja</v>
      </c>
      <c r="AA212" s="2" t="str">
        <f t="shared" si="13"/>
        <v>Nej</v>
      </c>
      <c r="AB212" s="2" t="str">
        <f t="shared" si="14"/>
        <v>ET</v>
      </c>
      <c r="AC212" s="2">
        <f t="shared" si="15"/>
        <v>0</v>
      </c>
    </row>
    <row r="213" spans="1:29" ht="14.25" x14ac:dyDescent="0.45">
      <c r="A213" s="2" t="s">
        <v>406</v>
      </c>
      <c r="B213" s="2" t="s">
        <v>407</v>
      </c>
      <c r="C213" s="2">
        <v>2019</v>
      </c>
      <c r="D213" s="2">
        <v>4.5069999999999997</v>
      </c>
      <c r="E213" s="2">
        <v>1.288</v>
      </c>
      <c r="F213" s="2" t="s">
        <v>969</v>
      </c>
      <c r="G213" s="2">
        <v>1.1000000000000001</v>
      </c>
      <c r="H213" s="2">
        <v>0</v>
      </c>
      <c r="I213" s="2">
        <v>0</v>
      </c>
      <c r="J213" s="2">
        <v>0</v>
      </c>
      <c r="K213" s="2" t="s">
        <v>49</v>
      </c>
      <c r="L213" s="2" t="s">
        <v>146</v>
      </c>
      <c r="M213" s="2" t="s">
        <v>146</v>
      </c>
      <c r="N213" s="2" t="s">
        <v>146</v>
      </c>
      <c r="O213" s="2" t="s">
        <v>146</v>
      </c>
      <c r="P213" s="2" t="s">
        <v>146</v>
      </c>
      <c r="Q213" s="2" t="s">
        <v>49</v>
      </c>
      <c r="R213" s="2" t="s">
        <v>146</v>
      </c>
      <c r="S213" s="2" t="s">
        <v>146</v>
      </c>
      <c r="T213" s="2" t="s">
        <v>146</v>
      </c>
      <c r="U213" s="2" t="s">
        <v>146</v>
      </c>
      <c r="V213" s="2" t="s">
        <v>146</v>
      </c>
      <c r="Y213" s="2" t="str">
        <f t="shared" si="12"/>
        <v>Ja</v>
      </c>
      <c r="AA213" s="2" t="str">
        <f t="shared" si="13"/>
        <v>Nej</v>
      </c>
      <c r="AB213" s="2" t="str">
        <f t="shared" si="14"/>
        <v>ET</v>
      </c>
      <c r="AC213" s="2">
        <f t="shared" si="15"/>
        <v>0</v>
      </c>
    </row>
    <row r="214" spans="1:29" ht="14.25" x14ac:dyDescent="0.45">
      <c r="A214" s="2" t="s">
        <v>406</v>
      </c>
      <c r="B214" s="2" t="s">
        <v>405</v>
      </c>
      <c r="C214" s="2">
        <v>2019</v>
      </c>
      <c r="D214" s="2">
        <v>0.497</v>
      </c>
      <c r="E214" s="2" t="s">
        <v>146</v>
      </c>
      <c r="F214" s="2" t="s">
        <v>969</v>
      </c>
      <c r="G214" s="2">
        <v>1.1000000000000001</v>
      </c>
      <c r="H214" s="2">
        <v>0</v>
      </c>
      <c r="I214" s="2">
        <v>0</v>
      </c>
      <c r="J214" s="2">
        <v>0</v>
      </c>
      <c r="K214" s="2" t="s">
        <v>49</v>
      </c>
      <c r="L214" s="2" t="s">
        <v>146</v>
      </c>
      <c r="M214" s="2" t="s">
        <v>146</v>
      </c>
      <c r="N214" s="2" t="s">
        <v>146</v>
      </c>
      <c r="O214" s="2" t="s">
        <v>146</v>
      </c>
      <c r="P214" s="2" t="s">
        <v>146</v>
      </c>
      <c r="Q214" s="2" t="s">
        <v>49</v>
      </c>
      <c r="R214" s="2" t="s">
        <v>146</v>
      </c>
      <c r="S214" s="2" t="s">
        <v>146</v>
      </c>
      <c r="T214" s="2" t="s">
        <v>146</v>
      </c>
      <c r="U214" s="2" t="s">
        <v>146</v>
      </c>
      <c r="V214" s="2" t="s">
        <v>146</v>
      </c>
      <c r="Y214" s="2" t="str">
        <f t="shared" si="12"/>
        <v>Ja</v>
      </c>
      <c r="AA214" s="2" t="str">
        <f t="shared" si="13"/>
        <v>Nej</v>
      </c>
      <c r="AB214" s="2" t="str">
        <f t="shared" si="14"/>
        <v>ET</v>
      </c>
      <c r="AC214" s="2">
        <f t="shared" si="15"/>
        <v>0</v>
      </c>
    </row>
    <row r="215" spans="1:29" ht="14.25" x14ac:dyDescent="0.45">
      <c r="A215" s="2" t="s">
        <v>404</v>
      </c>
      <c r="B215" s="2" t="s">
        <v>403</v>
      </c>
      <c r="C215" s="2">
        <v>2019</v>
      </c>
      <c r="D215" s="2" t="s">
        <v>146</v>
      </c>
      <c r="E215" s="2" t="s">
        <v>146</v>
      </c>
      <c r="F215" s="2" t="s">
        <v>913</v>
      </c>
      <c r="G215" s="2">
        <v>1.1000000000000001</v>
      </c>
      <c r="H215" s="2">
        <v>0</v>
      </c>
      <c r="I215" s="2">
        <v>0</v>
      </c>
      <c r="J215" s="2">
        <v>0</v>
      </c>
      <c r="K215" s="2" t="s">
        <v>49</v>
      </c>
      <c r="L215" s="2" t="s">
        <v>146</v>
      </c>
      <c r="M215" s="2" t="s">
        <v>146</v>
      </c>
      <c r="N215" s="2" t="s">
        <v>146</v>
      </c>
      <c r="O215" s="2" t="s">
        <v>146</v>
      </c>
      <c r="P215" s="2" t="s">
        <v>146</v>
      </c>
      <c r="Q215" s="2" t="s">
        <v>658</v>
      </c>
      <c r="R215" s="2" t="s">
        <v>146</v>
      </c>
      <c r="S215" s="2" t="s">
        <v>146</v>
      </c>
      <c r="T215" s="2" t="s">
        <v>146</v>
      </c>
      <c r="U215" s="2" t="s">
        <v>146</v>
      </c>
      <c r="V215" s="2" t="s">
        <v>146</v>
      </c>
      <c r="Y215" s="2" t="str">
        <f t="shared" si="12"/>
        <v>Ja</v>
      </c>
      <c r="AA215" s="2" t="str">
        <f t="shared" si="13"/>
        <v>Nej</v>
      </c>
      <c r="AB215" s="2" t="str">
        <f t="shared" si="14"/>
        <v>ET</v>
      </c>
      <c r="AC215" s="2">
        <f t="shared" si="15"/>
        <v>0</v>
      </c>
    </row>
    <row r="216" spans="1:29" ht="14.25" x14ac:dyDescent="0.45">
      <c r="A216" s="2" t="s">
        <v>402</v>
      </c>
      <c r="B216" s="2" t="s">
        <v>401</v>
      </c>
      <c r="C216" s="2">
        <v>2019</v>
      </c>
      <c r="D216" s="2">
        <v>0.6</v>
      </c>
      <c r="E216" s="2">
        <v>8.8000000000000007</v>
      </c>
      <c r="F216" s="2" t="s">
        <v>945</v>
      </c>
      <c r="G216" s="2">
        <v>1.1000000000000001</v>
      </c>
      <c r="H216" s="2">
        <v>0</v>
      </c>
      <c r="I216" s="2">
        <v>0</v>
      </c>
      <c r="J216" s="2">
        <v>0</v>
      </c>
      <c r="K216" s="2" t="s">
        <v>49</v>
      </c>
      <c r="L216" s="2" t="s">
        <v>146</v>
      </c>
      <c r="M216" s="2" t="s">
        <v>146</v>
      </c>
      <c r="N216" s="2" t="s">
        <v>146</v>
      </c>
      <c r="O216" s="2" t="s">
        <v>146</v>
      </c>
      <c r="P216" s="2" t="s">
        <v>146</v>
      </c>
      <c r="Q216" s="2" t="s">
        <v>49</v>
      </c>
      <c r="R216" s="2" t="s">
        <v>146</v>
      </c>
      <c r="S216" s="2" t="s">
        <v>146</v>
      </c>
      <c r="T216" s="2" t="s">
        <v>146</v>
      </c>
      <c r="U216" s="2" t="s">
        <v>146</v>
      </c>
      <c r="V216" s="2" t="s">
        <v>146</v>
      </c>
      <c r="Y216" s="2" t="str">
        <f t="shared" si="12"/>
        <v>Ja</v>
      </c>
      <c r="AA216" s="2" t="str">
        <f t="shared" si="13"/>
        <v>Nej</v>
      </c>
      <c r="AB216" s="2" t="str">
        <f t="shared" si="14"/>
        <v>ET</v>
      </c>
      <c r="AC216" s="2">
        <f t="shared" si="15"/>
        <v>0</v>
      </c>
    </row>
    <row r="217" spans="1:29" ht="14.25" x14ac:dyDescent="0.45">
      <c r="A217" s="2" t="s">
        <v>398</v>
      </c>
      <c r="B217" s="2" t="s">
        <v>400</v>
      </c>
      <c r="C217" s="2">
        <v>2019</v>
      </c>
      <c r="D217" s="2">
        <v>2.9000000000000001E-2</v>
      </c>
      <c r="E217" s="2" t="s">
        <v>146</v>
      </c>
      <c r="F217" s="2" t="s">
        <v>968</v>
      </c>
      <c r="G217" s="2">
        <v>1.1000000000000001</v>
      </c>
      <c r="H217" s="2">
        <v>0</v>
      </c>
      <c r="I217" s="2">
        <v>0</v>
      </c>
      <c r="J217" s="2">
        <v>0</v>
      </c>
      <c r="K217" s="2" t="s">
        <v>49</v>
      </c>
      <c r="L217" s="2" t="s">
        <v>146</v>
      </c>
      <c r="M217" s="2" t="s">
        <v>146</v>
      </c>
      <c r="N217" s="2" t="s">
        <v>146</v>
      </c>
      <c r="O217" s="2" t="s">
        <v>146</v>
      </c>
      <c r="P217" s="2" t="s">
        <v>146</v>
      </c>
      <c r="Q217" s="2" t="s">
        <v>146</v>
      </c>
      <c r="R217" s="2" t="s">
        <v>146</v>
      </c>
      <c r="S217" s="2" t="s">
        <v>146</v>
      </c>
      <c r="T217" s="2" t="s">
        <v>146</v>
      </c>
      <c r="U217" s="2" t="s">
        <v>146</v>
      </c>
      <c r="V217" s="2" t="s">
        <v>146</v>
      </c>
      <c r="Y217" s="2" t="str">
        <f t="shared" si="12"/>
        <v>Ja</v>
      </c>
      <c r="AA217" s="2" t="str">
        <f t="shared" si="13"/>
        <v>Nej</v>
      </c>
      <c r="AB217" s="2" t="str">
        <f t="shared" si="14"/>
        <v>ET</v>
      </c>
      <c r="AC217" s="2">
        <f t="shared" si="15"/>
        <v>0</v>
      </c>
    </row>
    <row r="218" spans="1:29" ht="14.25" x14ac:dyDescent="0.45">
      <c r="A218" s="2" t="s">
        <v>398</v>
      </c>
      <c r="B218" s="2" t="s">
        <v>399</v>
      </c>
      <c r="C218" s="2">
        <v>2019</v>
      </c>
      <c r="D218" s="2">
        <v>0.24399999999999999</v>
      </c>
      <c r="E218" s="2" t="s">
        <v>146</v>
      </c>
      <c r="F218" s="2" t="s">
        <v>968</v>
      </c>
      <c r="G218" s="2">
        <v>1.1000000000000001</v>
      </c>
      <c r="H218" s="2">
        <v>0</v>
      </c>
      <c r="I218" s="2">
        <v>0</v>
      </c>
      <c r="J218" s="2">
        <v>0</v>
      </c>
      <c r="K218" s="2" t="s">
        <v>49</v>
      </c>
      <c r="L218" s="2" t="s">
        <v>146</v>
      </c>
      <c r="M218" s="2" t="s">
        <v>146</v>
      </c>
      <c r="N218" s="2" t="s">
        <v>146</v>
      </c>
      <c r="O218" s="2" t="s">
        <v>146</v>
      </c>
      <c r="P218" s="2" t="s">
        <v>146</v>
      </c>
      <c r="Q218" s="2" t="s">
        <v>49</v>
      </c>
      <c r="R218" s="2" t="s">
        <v>146</v>
      </c>
      <c r="S218" s="2" t="s">
        <v>146</v>
      </c>
      <c r="T218" s="2" t="s">
        <v>146</v>
      </c>
      <c r="U218" s="2" t="s">
        <v>146</v>
      </c>
      <c r="V218" s="2" t="s">
        <v>146</v>
      </c>
      <c r="Y218" s="2" t="str">
        <f t="shared" si="12"/>
        <v>Ja</v>
      </c>
      <c r="AA218" s="2" t="str">
        <f t="shared" si="13"/>
        <v>Nej</v>
      </c>
      <c r="AB218" s="2" t="str">
        <f t="shared" si="14"/>
        <v>ET</v>
      </c>
      <c r="AC218" s="2">
        <f t="shared" si="15"/>
        <v>0</v>
      </c>
    </row>
    <row r="219" spans="1:29" ht="14.25" x14ac:dyDescent="0.45">
      <c r="A219" s="2" t="s">
        <v>398</v>
      </c>
      <c r="B219" s="2" t="s">
        <v>397</v>
      </c>
      <c r="C219" s="2">
        <v>2019</v>
      </c>
      <c r="D219" s="2">
        <v>0.95299999999999996</v>
      </c>
      <c r="E219" s="2">
        <v>5.7290000000000001</v>
      </c>
      <c r="F219" s="2" t="s">
        <v>968</v>
      </c>
      <c r="G219" s="2">
        <v>1.1000000000000001</v>
      </c>
      <c r="H219" s="2">
        <v>0</v>
      </c>
      <c r="I219" s="2">
        <v>0</v>
      </c>
      <c r="J219" s="2">
        <v>0</v>
      </c>
      <c r="K219" s="2" t="s">
        <v>49</v>
      </c>
      <c r="L219" s="2" t="s">
        <v>146</v>
      </c>
      <c r="M219" s="2" t="s">
        <v>146</v>
      </c>
      <c r="N219" s="2" t="s">
        <v>146</v>
      </c>
      <c r="O219" s="2" t="s">
        <v>146</v>
      </c>
      <c r="P219" s="2" t="s">
        <v>146</v>
      </c>
      <c r="Q219" s="2" t="s">
        <v>49</v>
      </c>
      <c r="R219" s="2" t="s">
        <v>146</v>
      </c>
      <c r="S219" s="2" t="s">
        <v>146</v>
      </c>
      <c r="T219" s="2" t="s">
        <v>146</v>
      </c>
      <c r="U219" s="2" t="s">
        <v>146</v>
      </c>
      <c r="V219" s="2" t="s">
        <v>146</v>
      </c>
      <c r="Y219" s="2" t="str">
        <f t="shared" si="12"/>
        <v>Ja</v>
      </c>
      <c r="AA219" s="2" t="str">
        <f t="shared" si="13"/>
        <v>Nej</v>
      </c>
      <c r="AB219" s="2" t="str">
        <f t="shared" si="14"/>
        <v>ET</v>
      </c>
      <c r="AC219" s="2">
        <f t="shared" si="15"/>
        <v>0</v>
      </c>
    </row>
    <row r="220" spans="1:29" ht="14.25" x14ac:dyDescent="0.45">
      <c r="A220" s="2" t="s">
        <v>396</v>
      </c>
      <c r="B220" s="2" t="s">
        <v>395</v>
      </c>
      <c r="C220" s="2">
        <v>2019</v>
      </c>
      <c r="D220" s="2">
        <v>1.2170000000000001</v>
      </c>
      <c r="E220" s="2" t="s">
        <v>146</v>
      </c>
      <c r="F220" s="2" t="s">
        <v>967</v>
      </c>
      <c r="G220" s="2">
        <v>1.1000000000000001</v>
      </c>
      <c r="H220" s="2">
        <v>0</v>
      </c>
      <c r="I220" s="2">
        <v>0</v>
      </c>
      <c r="J220" s="2">
        <v>0</v>
      </c>
      <c r="K220" s="2" t="s">
        <v>49</v>
      </c>
      <c r="L220" s="2" t="s">
        <v>146</v>
      </c>
      <c r="M220" s="2" t="s">
        <v>146</v>
      </c>
      <c r="N220" s="2" t="s">
        <v>146</v>
      </c>
      <c r="O220" s="2" t="s">
        <v>146</v>
      </c>
      <c r="P220" s="2" t="s">
        <v>146</v>
      </c>
      <c r="Q220" s="2" t="s">
        <v>49</v>
      </c>
      <c r="R220" s="2" t="s">
        <v>146</v>
      </c>
      <c r="S220" s="2" t="s">
        <v>146</v>
      </c>
      <c r="T220" s="2" t="s">
        <v>146</v>
      </c>
      <c r="U220" s="2" t="s">
        <v>146</v>
      </c>
      <c r="V220" s="2" t="s">
        <v>146</v>
      </c>
      <c r="Y220" s="2" t="str">
        <f t="shared" si="12"/>
        <v>Ja</v>
      </c>
      <c r="AA220" s="2" t="str">
        <f t="shared" si="13"/>
        <v>Nej</v>
      </c>
      <c r="AB220" s="2" t="str">
        <f t="shared" si="14"/>
        <v>ET</v>
      </c>
      <c r="AC220" s="2">
        <f t="shared" si="15"/>
        <v>0</v>
      </c>
    </row>
    <row r="221" spans="1:29" ht="14.25" x14ac:dyDescent="0.45">
      <c r="A221" s="2" t="s">
        <v>393</v>
      </c>
      <c r="B221" s="2" t="s">
        <v>394</v>
      </c>
      <c r="C221" s="2">
        <v>2019</v>
      </c>
      <c r="D221" s="2" t="s">
        <v>49</v>
      </c>
      <c r="E221" s="2" t="s">
        <v>49</v>
      </c>
      <c r="F221" s="2" t="s">
        <v>49</v>
      </c>
      <c r="G221" s="2" t="s">
        <v>49</v>
      </c>
      <c r="H221" s="2" t="s">
        <v>49</v>
      </c>
      <c r="I221" s="2" t="s">
        <v>49</v>
      </c>
      <c r="J221" s="2" t="s">
        <v>49</v>
      </c>
      <c r="K221" s="2" t="s">
        <v>49</v>
      </c>
      <c r="L221" s="2" t="s">
        <v>49</v>
      </c>
      <c r="M221" s="2" t="s">
        <v>49</v>
      </c>
      <c r="N221" s="2" t="s">
        <v>49</v>
      </c>
      <c r="O221" s="2" t="s">
        <v>49</v>
      </c>
      <c r="P221" s="2" t="s">
        <v>49</v>
      </c>
      <c r="Q221" s="2" t="s">
        <v>49</v>
      </c>
      <c r="R221" s="2" t="s">
        <v>49</v>
      </c>
      <c r="S221" s="2" t="s">
        <v>49</v>
      </c>
      <c r="T221" s="2" t="s">
        <v>49</v>
      </c>
      <c r="U221" s="2" t="s">
        <v>49</v>
      </c>
      <c r="V221" s="2" t="s">
        <v>49</v>
      </c>
      <c r="Y221" s="2" t="str">
        <f t="shared" si="12"/>
        <v>Nej</v>
      </c>
      <c r="AA221" s="2" t="str">
        <f t="shared" si="13"/>
        <v>Nej</v>
      </c>
      <c r="AB221" s="2">
        <f t="shared" si="14"/>
        <v>0</v>
      </c>
      <c r="AC221" s="2">
        <f t="shared" si="15"/>
        <v>0</v>
      </c>
    </row>
    <row r="222" spans="1:29" ht="14.25" x14ac:dyDescent="0.45">
      <c r="A222" s="2" t="s">
        <v>393</v>
      </c>
      <c r="B222" s="2" t="s">
        <v>392</v>
      </c>
      <c r="C222" s="2">
        <v>2019</v>
      </c>
      <c r="D222" s="2" t="s">
        <v>49</v>
      </c>
      <c r="E222" s="2" t="s">
        <v>49</v>
      </c>
      <c r="F222" s="2" t="s">
        <v>49</v>
      </c>
      <c r="G222" s="2" t="s">
        <v>49</v>
      </c>
      <c r="H222" s="2" t="s">
        <v>49</v>
      </c>
      <c r="I222" s="2" t="s">
        <v>49</v>
      </c>
      <c r="J222" s="2" t="s">
        <v>49</v>
      </c>
      <c r="K222" s="2" t="s">
        <v>49</v>
      </c>
      <c r="L222" s="2" t="s">
        <v>49</v>
      </c>
      <c r="M222" s="2" t="s">
        <v>49</v>
      </c>
      <c r="N222" s="2" t="s">
        <v>49</v>
      </c>
      <c r="O222" s="2" t="s">
        <v>49</v>
      </c>
      <c r="P222" s="2" t="s">
        <v>49</v>
      </c>
      <c r="Q222" s="2" t="s">
        <v>49</v>
      </c>
      <c r="R222" s="2" t="s">
        <v>49</v>
      </c>
      <c r="S222" s="2" t="s">
        <v>49</v>
      </c>
      <c r="T222" s="2" t="s">
        <v>49</v>
      </c>
      <c r="U222" s="2" t="s">
        <v>49</v>
      </c>
      <c r="V222" s="2" t="s">
        <v>49</v>
      </c>
      <c r="Y222" s="2" t="str">
        <f t="shared" si="12"/>
        <v>Nej</v>
      </c>
      <c r="AA222" s="2" t="str">
        <f t="shared" si="13"/>
        <v>Nej</v>
      </c>
      <c r="AB222" s="2">
        <f t="shared" si="14"/>
        <v>0</v>
      </c>
      <c r="AC222" s="2">
        <f t="shared" si="15"/>
        <v>0</v>
      </c>
    </row>
    <row r="223" spans="1:29" ht="14.25" x14ac:dyDescent="0.45">
      <c r="A223" s="2" t="s">
        <v>391</v>
      </c>
      <c r="B223" s="2" t="s">
        <v>390</v>
      </c>
      <c r="C223" s="2">
        <v>2019</v>
      </c>
      <c r="D223" s="2">
        <v>1.3</v>
      </c>
      <c r="E223" s="2">
        <v>3</v>
      </c>
      <c r="F223" s="2" t="s">
        <v>966</v>
      </c>
      <c r="G223" s="2">
        <v>2.1</v>
      </c>
      <c r="H223" s="2">
        <v>5</v>
      </c>
      <c r="I223" s="2">
        <v>0</v>
      </c>
      <c r="J223" s="2">
        <v>0.5</v>
      </c>
      <c r="K223" s="2" t="s">
        <v>49</v>
      </c>
      <c r="L223" s="2" t="s">
        <v>146</v>
      </c>
      <c r="M223" s="2" t="s">
        <v>146</v>
      </c>
      <c r="N223" s="2" t="s">
        <v>146</v>
      </c>
      <c r="O223" s="2" t="s">
        <v>146</v>
      </c>
      <c r="P223" s="2" t="s">
        <v>146</v>
      </c>
      <c r="Q223" s="2" t="s">
        <v>49</v>
      </c>
      <c r="R223" s="2" t="s">
        <v>146</v>
      </c>
      <c r="S223" s="2" t="s">
        <v>146</v>
      </c>
      <c r="T223" s="2" t="s">
        <v>146</v>
      </c>
      <c r="U223" s="2" t="s">
        <v>146</v>
      </c>
      <c r="V223" s="2" t="s">
        <v>146</v>
      </c>
      <c r="Y223" s="2" t="str">
        <f t="shared" si="12"/>
        <v>Ja</v>
      </c>
      <c r="AA223" s="2" t="str">
        <f t="shared" si="13"/>
        <v>Nej</v>
      </c>
      <c r="AB223" s="2" t="str">
        <f t="shared" si="14"/>
        <v>ET</v>
      </c>
      <c r="AC223" s="2">
        <f t="shared" si="15"/>
        <v>0</v>
      </c>
    </row>
    <row r="224" spans="1:29" ht="14.25" x14ac:dyDescent="0.45">
      <c r="A224" s="2" t="s">
        <v>389</v>
      </c>
      <c r="B224" s="2" t="s">
        <v>388</v>
      </c>
      <c r="C224" s="2">
        <v>2019</v>
      </c>
      <c r="D224" s="2" t="s">
        <v>146</v>
      </c>
      <c r="E224" s="2" t="s">
        <v>146</v>
      </c>
      <c r="F224" s="2" t="s">
        <v>49</v>
      </c>
      <c r="G224" s="2">
        <v>2.2000000000000002</v>
      </c>
      <c r="H224" s="2">
        <v>250.8</v>
      </c>
      <c r="I224" s="2">
        <v>0.35</v>
      </c>
      <c r="J224" s="2">
        <v>0.3977</v>
      </c>
      <c r="K224" s="2" t="s">
        <v>49</v>
      </c>
      <c r="L224" s="2" t="s">
        <v>146</v>
      </c>
      <c r="M224" s="2" t="s">
        <v>146</v>
      </c>
      <c r="N224" s="2" t="s">
        <v>146</v>
      </c>
      <c r="O224" s="2" t="s">
        <v>146</v>
      </c>
      <c r="P224" s="2" t="s">
        <v>146</v>
      </c>
      <c r="Q224" s="2" t="s">
        <v>49</v>
      </c>
      <c r="R224" s="2" t="s">
        <v>146</v>
      </c>
      <c r="S224" s="2" t="s">
        <v>146</v>
      </c>
      <c r="T224" s="2" t="s">
        <v>146</v>
      </c>
      <c r="U224" s="2" t="s">
        <v>146</v>
      </c>
      <c r="V224" s="2" t="s">
        <v>146</v>
      </c>
      <c r="Y224" s="2" t="str">
        <f t="shared" si="12"/>
        <v>Ja</v>
      </c>
      <c r="AA224" s="2" t="str">
        <f t="shared" si="13"/>
        <v>Nej</v>
      </c>
      <c r="AB224" s="2" t="str">
        <f t="shared" si="14"/>
        <v>ET</v>
      </c>
      <c r="AC224" s="2">
        <f t="shared" si="15"/>
        <v>0</v>
      </c>
    </row>
    <row r="225" spans="1:29" ht="14.25" x14ac:dyDescent="0.45">
      <c r="A225" s="2" t="s">
        <v>387</v>
      </c>
      <c r="B225" s="2" t="s">
        <v>114</v>
      </c>
      <c r="C225" s="2">
        <v>2019</v>
      </c>
      <c r="D225" s="2">
        <v>0.25800000000000001</v>
      </c>
      <c r="E225" s="2" t="s">
        <v>146</v>
      </c>
      <c r="F225" s="2" t="s">
        <v>49</v>
      </c>
      <c r="G225" s="2">
        <v>2.2000000000000002</v>
      </c>
      <c r="H225" s="2">
        <v>250.8</v>
      </c>
      <c r="I225" s="2">
        <v>0.35</v>
      </c>
      <c r="J225" s="2">
        <v>0.3977</v>
      </c>
      <c r="K225" s="2" t="s">
        <v>49</v>
      </c>
      <c r="L225" s="2" t="s">
        <v>146</v>
      </c>
      <c r="M225" s="2" t="s">
        <v>146</v>
      </c>
      <c r="N225" s="2" t="s">
        <v>146</v>
      </c>
      <c r="O225" s="2" t="s">
        <v>146</v>
      </c>
      <c r="P225" s="2" t="s">
        <v>146</v>
      </c>
      <c r="Q225" s="2" t="s">
        <v>49</v>
      </c>
      <c r="R225" s="2" t="s">
        <v>146</v>
      </c>
      <c r="S225" s="2" t="s">
        <v>146</v>
      </c>
      <c r="T225" s="2" t="s">
        <v>146</v>
      </c>
      <c r="U225" s="2" t="s">
        <v>146</v>
      </c>
      <c r="V225" s="2" t="s">
        <v>146</v>
      </c>
      <c r="Y225" s="2" t="str">
        <f t="shared" si="12"/>
        <v>Ja</v>
      </c>
      <c r="AA225" s="2" t="str">
        <f t="shared" si="13"/>
        <v>Nej</v>
      </c>
      <c r="AB225" s="2" t="str">
        <f t="shared" si="14"/>
        <v>ET</v>
      </c>
      <c r="AC225" s="2">
        <f t="shared" si="15"/>
        <v>0</v>
      </c>
    </row>
    <row r="226" spans="1:29" ht="14.25" x14ac:dyDescent="0.45">
      <c r="A226" s="2" t="s">
        <v>386</v>
      </c>
      <c r="B226" s="2" t="s">
        <v>385</v>
      </c>
      <c r="C226" s="2">
        <v>2019</v>
      </c>
      <c r="D226" s="2">
        <v>1E-8</v>
      </c>
      <c r="E226" s="2" t="s">
        <v>146</v>
      </c>
      <c r="F226" s="2" t="s">
        <v>904</v>
      </c>
      <c r="G226" s="2">
        <v>1</v>
      </c>
      <c r="H226" s="2">
        <v>0</v>
      </c>
      <c r="I226" s="2">
        <v>0</v>
      </c>
      <c r="J226" s="2">
        <v>0</v>
      </c>
      <c r="K226" s="2" t="s">
        <v>965</v>
      </c>
      <c r="L226" s="2">
        <v>164.59</v>
      </c>
      <c r="M226" s="2">
        <v>0.20730000000000001</v>
      </c>
      <c r="N226" s="2">
        <v>64.921999999999997</v>
      </c>
      <c r="O226" s="2">
        <v>7.7312000000000003</v>
      </c>
      <c r="P226" s="2">
        <v>11.5</v>
      </c>
      <c r="Q226" s="2" t="s">
        <v>49</v>
      </c>
      <c r="R226" s="2" t="s">
        <v>146</v>
      </c>
      <c r="S226" s="2" t="s">
        <v>146</v>
      </c>
      <c r="T226" s="2" t="s">
        <v>146</v>
      </c>
      <c r="U226" s="2" t="s">
        <v>146</v>
      </c>
      <c r="V226" s="2" t="s">
        <v>146</v>
      </c>
      <c r="Y226" s="2" t="str">
        <f t="shared" si="12"/>
        <v>Ja</v>
      </c>
      <c r="AA226" s="2" t="str">
        <f t="shared" si="13"/>
        <v>Nej</v>
      </c>
      <c r="AB226" s="2">
        <f t="shared" si="14"/>
        <v>164.59</v>
      </c>
      <c r="AC226" s="2">
        <f t="shared" si="15"/>
        <v>0</v>
      </c>
    </row>
    <row r="227" spans="1:29" ht="14.25" x14ac:dyDescent="0.45">
      <c r="A227" s="2" t="s">
        <v>384</v>
      </c>
      <c r="B227" s="2" t="s">
        <v>35</v>
      </c>
      <c r="C227" s="2">
        <v>2019</v>
      </c>
      <c r="D227" s="2" t="s">
        <v>49</v>
      </c>
      <c r="E227" s="2" t="s">
        <v>49</v>
      </c>
      <c r="F227" s="2" t="s">
        <v>49</v>
      </c>
      <c r="G227" s="2" t="s">
        <v>49</v>
      </c>
      <c r="H227" s="2" t="s">
        <v>49</v>
      </c>
      <c r="I227" s="2" t="s">
        <v>49</v>
      </c>
      <c r="J227" s="2" t="s">
        <v>49</v>
      </c>
      <c r="K227" s="2" t="s">
        <v>49</v>
      </c>
      <c r="L227" s="2" t="s">
        <v>49</v>
      </c>
      <c r="M227" s="2" t="s">
        <v>49</v>
      </c>
      <c r="N227" s="2" t="s">
        <v>49</v>
      </c>
      <c r="O227" s="2" t="s">
        <v>49</v>
      </c>
      <c r="P227" s="2" t="s">
        <v>49</v>
      </c>
      <c r="Q227" s="2" t="s">
        <v>49</v>
      </c>
      <c r="R227" s="2" t="s">
        <v>49</v>
      </c>
      <c r="S227" s="2" t="s">
        <v>49</v>
      </c>
      <c r="T227" s="2" t="s">
        <v>49</v>
      </c>
      <c r="U227" s="2" t="s">
        <v>49</v>
      </c>
      <c r="V227" s="2" t="s">
        <v>49</v>
      </c>
      <c r="Y227" s="2" t="str">
        <f t="shared" si="12"/>
        <v>Nej</v>
      </c>
      <c r="AA227" s="2" t="str">
        <f t="shared" si="13"/>
        <v>Nej</v>
      </c>
      <c r="AB227" s="2">
        <f t="shared" si="14"/>
        <v>0</v>
      </c>
      <c r="AC227" s="2">
        <f t="shared" si="15"/>
        <v>0</v>
      </c>
    </row>
    <row r="228" spans="1:29" ht="14.25" x14ac:dyDescent="0.45">
      <c r="A228" s="2" t="s">
        <v>4</v>
      </c>
      <c r="B228" s="2" t="s">
        <v>383</v>
      </c>
      <c r="C228" s="2">
        <v>2019</v>
      </c>
      <c r="D228" s="2" t="s">
        <v>49</v>
      </c>
      <c r="E228" s="2" t="s">
        <v>49</v>
      </c>
      <c r="F228" s="2" t="s">
        <v>49</v>
      </c>
      <c r="G228" s="2" t="s">
        <v>49</v>
      </c>
      <c r="H228" s="2" t="s">
        <v>49</v>
      </c>
      <c r="I228" s="2" t="s">
        <v>49</v>
      </c>
      <c r="J228" s="2" t="s">
        <v>49</v>
      </c>
      <c r="K228" s="2" t="s">
        <v>49</v>
      </c>
      <c r="L228" s="2" t="s">
        <v>49</v>
      </c>
      <c r="M228" s="2" t="s">
        <v>49</v>
      </c>
      <c r="N228" s="2" t="s">
        <v>49</v>
      </c>
      <c r="O228" s="2" t="s">
        <v>49</v>
      </c>
      <c r="P228" s="2" t="s">
        <v>49</v>
      </c>
      <c r="Q228" s="2" t="s">
        <v>49</v>
      </c>
      <c r="R228" s="2" t="s">
        <v>49</v>
      </c>
      <c r="S228" s="2" t="s">
        <v>49</v>
      </c>
      <c r="T228" s="2" t="s">
        <v>49</v>
      </c>
      <c r="U228" s="2" t="s">
        <v>49</v>
      </c>
      <c r="V228" s="2" t="s">
        <v>49</v>
      </c>
      <c r="Y228" s="2" t="str">
        <f t="shared" si="12"/>
        <v>Nej</v>
      </c>
      <c r="AA228" s="2" t="str">
        <f t="shared" si="13"/>
        <v>Nej</v>
      </c>
      <c r="AB228" s="2">
        <f t="shared" si="14"/>
        <v>0</v>
      </c>
      <c r="AC228" s="2">
        <f t="shared" si="15"/>
        <v>0</v>
      </c>
    </row>
    <row r="229" spans="1:29" ht="14.25" x14ac:dyDescent="0.45">
      <c r="A229" s="2" t="s">
        <v>4</v>
      </c>
      <c r="B229" s="2" t="s">
        <v>382</v>
      </c>
      <c r="C229" s="2">
        <v>2019</v>
      </c>
      <c r="D229" s="2" t="s">
        <v>49</v>
      </c>
      <c r="E229" s="2" t="s">
        <v>49</v>
      </c>
      <c r="F229" s="2" t="s">
        <v>49</v>
      </c>
      <c r="G229" s="2" t="s">
        <v>49</v>
      </c>
      <c r="H229" s="2" t="s">
        <v>49</v>
      </c>
      <c r="I229" s="2" t="s">
        <v>49</v>
      </c>
      <c r="J229" s="2" t="s">
        <v>49</v>
      </c>
      <c r="K229" s="2" t="s">
        <v>49</v>
      </c>
      <c r="L229" s="2" t="s">
        <v>49</v>
      </c>
      <c r="M229" s="2" t="s">
        <v>49</v>
      </c>
      <c r="N229" s="2" t="s">
        <v>49</v>
      </c>
      <c r="O229" s="2" t="s">
        <v>49</v>
      </c>
      <c r="P229" s="2" t="s">
        <v>49</v>
      </c>
      <c r="Q229" s="2" t="s">
        <v>49</v>
      </c>
      <c r="R229" s="2" t="s">
        <v>49</v>
      </c>
      <c r="S229" s="2" t="s">
        <v>49</v>
      </c>
      <c r="T229" s="2" t="s">
        <v>49</v>
      </c>
      <c r="U229" s="2" t="s">
        <v>49</v>
      </c>
      <c r="V229" s="2" t="s">
        <v>49</v>
      </c>
      <c r="Y229" s="2" t="str">
        <f t="shared" si="12"/>
        <v>Nej</v>
      </c>
      <c r="AA229" s="2" t="str">
        <f t="shared" si="13"/>
        <v>Nej</v>
      </c>
      <c r="AB229" s="2">
        <f t="shared" si="14"/>
        <v>0</v>
      </c>
      <c r="AC229" s="2">
        <f t="shared" si="15"/>
        <v>0</v>
      </c>
    </row>
    <row r="230" spans="1:29" ht="14.25" x14ac:dyDescent="0.45">
      <c r="A230" s="2" t="s">
        <v>4</v>
      </c>
      <c r="B230" s="2" t="s">
        <v>5</v>
      </c>
      <c r="C230" s="2">
        <v>2019</v>
      </c>
      <c r="D230" s="2" t="s">
        <v>49</v>
      </c>
      <c r="E230" s="2" t="s">
        <v>49</v>
      </c>
      <c r="F230" s="2" t="s">
        <v>49</v>
      </c>
      <c r="G230" s="2" t="s">
        <v>49</v>
      </c>
      <c r="H230" s="2" t="s">
        <v>49</v>
      </c>
      <c r="I230" s="2" t="s">
        <v>49</v>
      </c>
      <c r="J230" s="2" t="s">
        <v>49</v>
      </c>
      <c r="K230" s="2" t="s">
        <v>49</v>
      </c>
      <c r="L230" s="2" t="s">
        <v>49</v>
      </c>
      <c r="M230" s="2" t="s">
        <v>49</v>
      </c>
      <c r="N230" s="2" t="s">
        <v>49</v>
      </c>
      <c r="O230" s="2" t="s">
        <v>49</v>
      </c>
      <c r="P230" s="2" t="s">
        <v>49</v>
      </c>
      <c r="Q230" s="2" t="s">
        <v>49</v>
      </c>
      <c r="R230" s="2" t="s">
        <v>49</v>
      </c>
      <c r="S230" s="2" t="s">
        <v>49</v>
      </c>
      <c r="T230" s="2" t="s">
        <v>49</v>
      </c>
      <c r="U230" s="2" t="s">
        <v>49</v>
      </c>
      <c r="V230" s="2" t="s">
        <v>49</v>
      </c>
      <c r="Y230" s="2" t="str">
        <f t="shared" si="12"/>
        <v>Nej</v>
      </c>
      <c r="AA230" s="2" t="str">
        <f t="shared" si="13"/>
        <v>Nej</v>
      </c>
      <c r="AB230" s="2">
        <f t="shared" si="14"/>
        <v>0</v>
      </c>
      <c r="AC230" s="2">
        <f t="shared" si="15"/>
        <v>0</v>
      </c>
    </row>
    <row r="231" spans="1:29" ht="14.25" x14ac:dyDescent="0.45">
      <c r="A231" s="2" t="s">
        <v>381</v>
      </c>
      <c r="B231" s="2" t="s">
        <v>380</v>
      </c>
      <c r="C231" s="2">
        <v>2019</v>
      </c>
      <c r="D231" s="2">
        <v>1.0289999999999999</v>
      </c>
      <c r="E231" s="2">
        <v>0</v>
      </c>
      <c r="F231" s="2" t="s">
        <v>964</v>
      </c>
      <c r="G231" s="2">
        <v>0.1</v>
      </c>
      <c r="H231" s="2">
        <v>0</v>
      </c>
      <c r="I231" s="2">
        <v>0</v>
      </c>
      <c r="J231" s="2">
        <v>0</v>
      </c>
      <c r="K231" s="2" t="s">
        <v>146</v>
      </c>
      <c r="L231" s="2" t="s">
        <v>146</v>
      </c>
      <c r="M231" s="2" t="s">
        <v>146</v>
      </c>
      <c r="N231" s="2" t="s">
        <v>146</v>
      </c>
      <c r="O231" s="2" t="s">
        <v>146</v>
      </c>
      <c r="P231" s="2" t="s">
        <v>146</v>
      </c>
      <c r="Q231" s="2" t="s">
        <v>146</v>
      </c>
      <c r="R231" s="2" t="s">
        <v>146</v>
      </c>
      <c r="S231" s="2" t="s">
        <v>146</v>
      </c>
      <c r="T231" s="2" t="s">
        <v>146</v>
      </c>
      <c r="U231" s="2" t="s">
        <v>146</v>
      </c>
      <c r="V231" s="2" t="s">
        <v>146</v>
      </c>
      <c r="Y231" s="2" t="str">
        <f t="shared" si="12"/>
        <v>Ja</v>
      </c>
      <c r="AA231" s="2" t="str">
        <f t="shared" si="13"/>
        <v>Nej</v>
      </c>
      <c r="AB231" s="2" t="str">
        <f t="shared" si="14"/>
        <v>ET</v>
      </c>
      <c r="AC231" s="2">
        <f t="shared" si="15"/>
        <v>0</v>
      </c>
    </row>
    <row r="232" spans="1:29" ht="14.25" x14ac:dyDescent="0.45">
      <c r="A232" s="2" t="s">
        <v>376</v>
      </c>
      <c r="B232" s="2" t="s">
        <v>379</v>
      </c>
      <c r="C232" s="2">
        <v>2019</v>
      </c>
      <c r="D232" s="2">
        <v>0.6</v>
      </c>
      <c r="E232" s="2" t="s">
        <v>146</v>
      </c>
      <c r="F232" s="2" t="s">
        <v>961</v>
      </c>
      <c r="G232" s="2">
        <v>1.1000000000000001</v>
      </c>
      <c r="H232" s="2">
        <v>0</v>
      </c>
      <c r="I232" s="2">
        <v>0</v>
      </c>
      <c r="J232" s="2">
        <v>0</v>
      </c>
      <c r="K232" s="2" t="s">
        <v>49</v>
      </c>
      <c r="L232" s="2" t="s">
        <v>146</v>
      </c>
      <c r="M232" s="2" t="s">
        <v>146</v>
      </c>
      <c r="N232" s="2" t="s">
        <v>146</v>
      </c>
      <c r="O232" s="2" t="s">
        <v>146</v>
      </c>
      <c r="P232" s="2" t="s">
        <v>146</v>
      </c>
      <c r="Q232" s="2" t="s">
        <v>49</v>
      </c>
      <c r="R232" s="2" t="s">
        <v>146</v>
      </c>
      <c r="S232" s="2" t="s">
        <v>146</v>
      </c>
      <c r="T232" s="2" t="s">
        <v>146</v>
      </c>
      <c r="U232" s="2" t="s">
        <v>146</v>
      </c>
      <c r="V232" s="2" t="s">
        <v>146</v>
      </c>
      <c r="Y232" s="2" t="str">
        <f t="shared" si="12"/>
        <v>Ja</v>
      </c>
      <c r="AA232" s="2" t="str">
        <f t="shared" si="13"/>
        <v>Nej</v>
      </c>
      <c r="AB232" s="2" t="str">
        <f t="shared" si="14"/>
        <v>ET</v>
      </c>
      <c r="AC232" s="2">
        <f t="shared" si="15"/>
        <v>0</v>
      </c>
    </row>
    <row r="233" spans="1:29" ht="14.25" x14ac:dyDescent="0.45">
      <c r="A233" s="2" t="s">
        <v>376</v>
      </c>
      <c r="B233" s="2" t="s">
        <v>378</v>
      </c>
      <c r="C233" s="2">
        <v>2019</v>
      </c>
      <c r="D233" s="2">
        <v>2</v>
      </c>
      <c r="E233" s="2" t="s">
        <v>146</v>
      </c>
      <c r="F233" s="2" t="s">
        <v>963</v>
      </c>
      <c r="G233" s="2">
        <v>1.1000000000000001</v>
      </c>
      <c r="H233" s="2">
        <v>0</v>
      </c>
      <c r="I233" s="2">
        <v>0</v>
      </c>
      <c r="J233" s="2">
        <v>0</v>
      </c>
      <c r="K233" s="2" t="s">
        <v>49</v>
      </c>
      <c r="L233" s="2" t="s">
        <v>146</v>
      </c>
      <c r="M233" s="2" t="s">
        <v>146</v>
      </c>
      <c r="N233" s="2" t="s">
        <v>146</v>
      </c>
      <c r="O233" s="2" t="s">
        <v>146</v>
      </c>
      <c r="P233" s="2" t="s">
        <v>146</v>
      </c>
      <c r="Q233" s="2" t="s">
        <v>49</v>
      </c>
      <c r="R233" s="2" t="s">
        <v>146</v>
      </c>
      <c r="S233" s="2" t="s">
        <v>146</v>
      </c>
      <c r="T233" s="2" t="s">
        <v>146</v>
      </c>
      <c r="U233" s="2" t="s">
        <v>146</v>
      </c>
      <c r="V233" s="2" t="s">
        <v>146</v>
      </c>
      <c r="Y233" s="2" t="str">
        <f t="shared" si="12"/>
        <v>Ja</v>
      </c>
      <c r="AA233" s="2" t="str">
        <f t="shared" si="13"/>
        <v>Nej</v>
      </c>
      <c r="AB233" s="2" t="str">
        <f t="shared" si="14"/>
        <v>ET</v>
      </c>
      <c r="AC233" s="2">
        <f t="shared" si="15"/>
        <v>0</v>
      </c>
    </row>
    <row r="234" spans="1:29" ht="14.25" x14ac:dyDescent="0.45">
      <c r="A234" s="2" t="s">
        <v>376</v>
      </c>
      <c r="B234" s="2" t="s">
        <v>377</v>
      </c>
      <c r="C234" s="2">
        <v>2019</v>
      </c>
      <c r="D234" s="2" t="s">
        <v>146</v>
      </c>
      <c r="E234" s="2" t="s">
        <v>146</v>
      </c>
      <c r="F234" s="2" t="s">
        <v>962</v>
      </c>
      <c r="G234" s="2">
        <v>1.1000000000000001</v>
      </c>
      <c r="H234" s="2">
        <v>0</v>
      </c>
      <c r="I234" s="2">
        <v>0</v>
      </c>
      <c r="J234" s="2">
        <v>0</v>
      </c>
      <c r="K234" s="2" t="s">
        <v>49</v>
      </c>
      <c r="L234" s="2" t="s">
        <v>146</v>
      </c>
      <c r="M234" s="2" t="s">
        <v>146</v>
      </c>
      <c r="N234" s="2" t="s">
        <v>146</v>
      </c>
      <c r="O234" s="2" t="s">
        <v>146</v>
      </c>
      <c r="P234" s="2" t="s">
        <v>146</v>
      </c>
      <c r="Q234" s="2" t="s">
        <v>49</v>
      </c>
      <c r="R234" s="2" t="s">
        <v>146</v>
      </c>
      <c r="S234" s="2" t="s">
        <v>146</v>
      </c>
      <c r="T234" s="2" t="s">
        <v>146</v>
      </c>
      <c r="U234" s="2" t="s">
        <v>146</v>
      </c>
      <c r="V234" s="2" t="s">
        <v>146</v>
      </c>
      <c r="Y234" s="2" t="str">
        <f t="shared" si="12"/>
        <v>Ja</v>
      </c>
      <c r="AA234" s="2" t="str">
        <f t="shared" si="13"/>
        <v>Nej</v>
      </c>
      <c r="AB234" s="2" t="str">
        <f t="shared" si="14"/>
        <v>ET</v>
      </c>
      <c r="AC234" s="2">
        <f t="shared" si="15"/>
        <v>0</v>
      </c>
    </row>
    <row r="235" spans="1:29" ht="14.25" x14ac:dyDescent="0.45">
      <c r="A235" s="2" t="s">
        <v>376</v>
      </c>
      <c r="B235" s="2" t="s">
        <v>375</v>
      </c>
      <c r="C235" s="2">
        <v>2019</v>
      </c>
      <c r="D235" s="2">
        <v>0.3</v>
      </c>
      <c r="E235" s="2" t="s">
        <v>146</v>
      </c>
      <c r="F235" s="2" t="s">
        <v>961</v>
      </c>
      <c r="G235" s="2">
        <v>1.1000000000000001</v>
      </c>
      <c r="H235" s="2">
        <v>0</v>
      </c>
      <c r="I235" s="2">
        <v>0</v>
      </c>
      <c r="J235" s="2">
        <v>0</v>
      </c>
      <c r="K235" s="2" t="s">
        <v>49</v>
      </c>
      <c r="L235" s="2" t="s">
        <v>146</v>
      </c>
      <c r="M235" s="2" t="s">
        <v>146</v>
      </c>
      <c r="N235" s="2" t="s">
        <v>146</v>
      </c>
      <c r="O235" s="2" t="s">
        <v>146</v>
      </c>
      <c r="P235" s="2" t="s">
        <v>146</v>
      </c>
      <c r="Q235" s="2" t="s">
        <v>49</v>
      </c>
      <c r="R235" s="2" t="s">
        <v>146</v>
      </c>
      <c r="S235" s="2" t="s">
        <v>146</v>
      </c>
      <c r="T235" s="2" t="s">
        <v>146</v>
      </c>
      <c r="U235" s="2" t="s">
        <v>146</v>
      </c>
      <c r="V235" s="2" t="s">
        <v>146</v>
      </c>
      <c r="Y235" s="2" t="str">
        <f t="shared" si="12"/>
        <v>Ja</v>
      </c>
      <c r="AA235" s="2" t="str">
        <f t="shared" si="13"/>
        <v>Nej</v>
      </c>
      <c r="AB235" s="2" t="str">
        <f t="shared" si="14"/>
        <v>ET</v>
      </c>
      <c r="AC235" s="2">
        <f t="shared" si="15"/>
        <v>0</v>
      </c>
    </row>
    <row r="236" spans="1:29" ht="14.25" x14ac:dyDescent="0.45">
      <c r="A236" s="2" t="s">
        <v>374</v>
      </c>
      <c r="B236" s="2" t="s">
        <v>373</v>
      </c>
      <c r="C236" s="2">
        <v>2019</v>
      </c>
      <c r="D236" s="2" t="s">
        <v>49</v>
      </c>
      <c r="E236" s="2" t="s">
        <v>49</v>
      </c>
      <c r="F236" s="2" t="s">
        <v>49</v>
      </c>
      <c r="G236" s="2" t="s">
        <v>49</v>
      </c>
      <c r="H236" s="2" t="s">
        <v>49</v>
      </c>
      <c r="I236" s="2" t="s">
        <v>49</v>
      </c>
      <c r="J236" s="2" t="s">
        <v>49</v>
      </c>
      <c r="K236" s="2" t="s">
        <v>49</v>
      </c>
      <c r="L236" s="2" t="s">
        <v>49</v>
      </c>
      <c r="M236" s="2" t="s">
        <v>49</v>
      </c>
      <c r="N236" s="2" t="s">
        <v>49</v>
      </c>
      <c r="O236" s="2" t="s">
        <v>49</v>
      </c>
      <c r="P236" s="2" t="s">
        <v>49</v>
      </c>
      <c r="Q236" s="2" t="s">
        <v>49</v>
      </c>
      <c r="R236" s="2" t="s">
        <v>49</v>
      </c>
      <c r="S236" s="2" t="s">
        <v>49</v>
      </c>
      <c r="T236" s="2" t="s">
        <v>49</v>
      </c>
      <c r="U236" s="2" t="s">
        <v>49</v>
      </c>
      <c r="V236" s="2" t="s">
        <v>49</v>
      </c>
      <c r="Y236" s="2" t="str">
        <f t="shared" si="12"/>
        <v>Nej</v>
      </c>
      <c r="AA236" s="2" t="str">
        <f t="shared" si="13"/>
        <v>Nej</v>
      </c>
      <c r="AB236" s="2">
        <f t="shared" si="14"/>
        <v>0</v>
      </c>
      <c r="AC236" s="2">
        <f t="shared" si="15"/>
        <v>0</v>
      </c>
    </row>
    <row r="237" spans="1:29" ht="14.25" x14ac:dyDescent="0.45">
      <c r="A237" s="2" t="s">
        <v>371</v>
      </c>
      <c r="B237" s="2" t="s">
        <v>372</v>
      </c>
      <c r="C237" s="2">
        <v>2019</v>
      </c>
      <c r="D237" s="2">
        <v>0.42</v>
      </c>
      <c r="E237" s="2" t="s">
        <v>146</v>
      </c>
      <c r="F237" s="2" t="s">
        <v>905</v>
      </c>
      <c r="G237" s="2">
        <v>1.1000000000000001</v>
      </c>
      <c r="H237" s="2">
        <v>1.3</v>
      </c>
      <c r="I237" s="2">
        <v>0</v>
      </c>
      <c r="J237" s="2">
        <v>0</v>
      </c>
      <c r="K237" s="2" t="s">
        <v>49</v>
      </c>
      <c r="L237" s="2" t="s">
        <v>146</v>
      </c>
      <c r="M237" s="2" t="s">
        <v>146</v>
      </c>
      <c r="N237" s="2" t="s">
        <v>146</v>
      </c>
      <c r="O237" s="2" t="s">
        <v>146</v>
      </c>
      <c r="P237" s="2" t="s">
        <v>146</v>
      </c>
      <c r="Q237" s="2" t="s">
        <v>49</v>
      </c>
      <c r="R237" s="2" t="s">
        <v>146</v>
      </c>
      <c r="S237" s="2" t="s">
        <v>146</v>
      </c>
      <c r="T237" s="2" t="s">
        <v>146</v>
      </c>
      <c r="U237" s="2" t="s">
        <v>146</v>
      </c>
      <c r="V237" s="2" t="s">
        <v>146</v>
      </c>
      <c r="Y237" s="2" t="str">
        <f t="shared" si="12"/>
        <v>Ja</v>
      </c>
      <c r="AA237" s="2" t="str">
        <f t="shared" si="13"/>
        <v>Nej</v>
      </c>
      <c r="AB237" s="2" t="str">
        <f t="shared" si="14"/>
        <v>ET</v>
      </c>
      <c r="AC237" s="2">
        <f t="shared" si="15"/>
        <v>0</v>
      </c>
    </row>
    <row r="238" spans="1:29" ht="14.25" x14ac:dyDescent="0.45">
      <c r="A238" s="2" t="s">
        <v>371</v>
      </c>
      <c r="B238" s="2" t="s">
        <v>370</v>
      </c>
      <c r="C238" s="2">
        <v>2019</v>
      </c>
      <c r="D238" s="2">
        <v>2.1</v>
      </c>
      <c r="E238" s="2">
        <v>0.8</v>
      </c>
      <c r="F238" s="2" t="s">
        <v>905</v>
      </c>
      <c r="G238" s="2">
        <v>1.1000000000000001</v>
      </c>
      <c r="H238" s="2">
        <v>1.3</v>
      </c>
      <c r="I238" s="2">
        <v>0</v>
      </c>
      <c r="J238" s="2">
        <v>0</v>
      </c>
      <c r="K238" s="2" t="s">
        <v>49</v>
      </c>
      <c r="L238" s="2" t="s">
        <v>146</v>
      </c>
      <c r="M238" s="2" t="s">
        <v>146</v>
      </c>
      <c r="N238" s="2" t="s">
        <v>146</v>
      </c>
      <c r="O238" s="2" t="s">
        <v>146</v>
      </c>
      <c r="P238" s="2" t="s">
        <v>146</v>
      </c>
      <c r="Q238" s="2" t="s">
        <v>49</v>
      </c>
      <c r="R238" s="2" t="s">
        <v>146</v>
      </c>
      <c r="S238" s="2" t="s">
        <v>146</v>
      </c>
      <c r="T238" s="2" t="s">
        <v>146</v>
      </c>
      <c r="U238" s="2" t="s">
        <v>146</v>
      </c>
      <c r="V238" s="2" t="s">
        <v>146</v>
      </c>
      <c r="Y238" s="2" t="str">
        <f t="shared" si="12"/>
        <v>Ja</v>
      </c>
      <c r="AA238" s="2" t="str">
        <f t="shared" si="13"/>
        <v>Nej</v>
      </c>
      <c r="AB238" s="2" t="str">
        <f t="shared" si="14"/>
        <v>ET</v>
      </c>
      <c r="AC238" s="2">
        <f t="shared" si="15"/>
        <v>0</v>
      </c>
    </row>
    <row r="239" spans="1:29" ht="14.25" x14ac:dyDescent="0.45">
      <c r="A239" s="2" t="s">
        <v>369</v>
      </c>
      <c r="B239" s="2" t="s">
        <v>368</v>
      </c>
      <c r="C239" s="2">
        <v>2019</v>
      </c>
      <c r="D239" s="2">
        <v>1.6</v>
      </c>
      <c r="E239" s="2" t="s">
        <v>146</v>
      </c>
      <c r="F239" s="2" t="s">
        <v>49</v>
      </c>
      <c r="G239" s="2">
        <v>2.2000000000000002</v>
      </c>
      <c r="H239" s="2">
        <v>250.8</v>
      </c>
      <c r="I239" s="2">
        <v>0.35</v>
      </c>
      <c r="J239" s="2">
        <v>0.3977</v>
      </c>
      <c r="K239" s="2" t="s">
        <v>49</v>
      </c>
      <c r="L239" s="2" t="s">
        <v>146</v>
      </c>
      <c r="M239" s="2" t="s">
        <v>146</v>
      </c>
      <c r="N239" s="2" t="s">
        <v>146</v>
      </c>
      <c r="O239" s="2" t="s">
        <v>146</v>
      </c>
      <c r="P239" s="2" t="s">
        <v>146</v>
      </c>
      <c r="Q239" s="2" t="s">
        <v>49</v>
      </c>
      <c r="R239" s="2" t="s">
        <v>146</v>
      </c>
      <c r="S239" s="2" t="s">
        <v>146</v>
      </c>
      <c r="T239" s="2" t="s">
        <v>146</v>
      </c>
      <c r="U239" s="2" t="s">
        <v>146</v>
      </c>
      <c r="V239" s="2" t="s">
        <v>146</v>
      </c>
      <c r="Y239" s="2" t="str">
        <f t="shared" si="12"/>
        <v>Ja</v>
      </c>
      <c r="AA239" s="2" t="str">
        <f t="shared" si="13"/>
        <v>Nej</v>
      </c>
      <c r="AB239" s="2" t="str">
        <f t="shared" si="14"/>
        <v>ET</v>
      </c>
      <c r="AC239" s="2">
        <f t="shared" si="15"/>
        <v>0</v>
      </c>
    </row>
    <row r="240" spans="1:29" ht="14.25" x14ac:dyDescent="0.45">
      <c r="A240" s="2" t="s">
        <v>367</v>
      </c>
      <c r="B240" s="2" t="s">
        <v>366</v>
      </c>
      <c r="C240" s="2">
        <v>2019</v>
      </c>
      <c r="D240" s="2">
        <v>1.7016</v>
      </c>
      <c r="E240" s="2">
        <v>2.3393769999999998</v>
      </c>
      <c r="F240" s="2" t="s">
        <v>949</v>
      </c>
      <c r="G240" s="2">
        <v>1.1000000000000001</v>
      </c>
      <c r="H240" s="2">
        <v>1.71</v>
      </c>
      <c r="I240" s="2">
        <v>0</v>
      </c>
      <c r="J240" s="2">
        <v>0</v>
      </c>
      <c r="K240" s="2" t="s">
        <v>49</v>
      </c>
      <c r="L240" s="2" t="s">
        <v>146</v>
      </c>
      <c r="M240" s="2" t="s">
        <v>146</v>
      </c>
      <c r="N240" s="2" t="s">
        <v>146</v>
      </c>
      <c r="O240" s="2" t="s">
        <v>146</v>
      </c>
      <c r="P240" s="2" t="s">
        <v>146</v>
      </c>
      <c r="Q240" s="2" t="s">
        <v>49</v>
      </c>
      <c r="R240" s="2" t="s">
        <v>146</v>
      </c>
      <c r="S240" s="2" t="s">
        <v>146</v>
      </c>
      <c r="T240" s="2" t="s">
        <v>146</v>
      </c>
      <c r="U240" s="2" t="s">
        <v>146</v>
      </c>
      <c r="V240" s="2" t="s">
        <v>146</v>
      </c>
      <c r="Y240" s="2" t="str">
        <f t="shared" si="12"/>
        <v>Ja</v>
      </c>
      <c r="AA240" s="2" t="str">
        <f t="shared" si="13"/>
        <v>Nej</v>
      </c>
      <c r="AB240" s="2" t="str">
        <f t="shared" si="14"/>
        <v>ET</v>
      </c>
      <c r="AC240" s="2">
        <f t="shared" si="15"/>
        <v>0</v>
      </c>
    </row>
    <row r="241" spans="1:29" ht="14.25" x14ac:dyDescent="0.45">
      <c r="A241" s="2" t="s">
        <v>364</v>
      </c>
      <c r="B241" s="2" t="s">
        <v>363</v>
      </c>
      <c r="C241" s="2">
        <v>2019</v>
      </c>
      <c r="D241" s="2">
        <v>8.2230000000000008</v>
      </c>
      <c r="E241" s="2" t="s">
        <v>146</v>
      </c>
      <c r="F241" s="2" t="s">
        <v>939</v>
      </c>
      <c r="G241" s="2">
        <v>2.2000000000000002</v>
      </c>
      <c r="H241" s="2">
        <v>250.8</v>
      </c>
      <c r="I241" s="2">
        <v>0.35</v>
      </c>
      <c r="J241" s="2">
        <v>0.3977</v>
      </c>
      <c r="K241" s="2" t="s">
        <v>49</v>
      </c>
      <c r="L241" s="2" t="s">
        <v>146</v>
      </c>
      <c r="M241" s="2" t="s">
        <v>146</v>
      </c>
      <c r="N241" s="2" t="s">
        <v>146</v>
      </c>
      <c r="O241" s="2" t="s">
        <v>146</v>
      </c>
      <c r="P241" s="2" t="s">
        <v>146</v>
      </c>
      <c r="Q241" s="2" t="s">
        <v>49</v>
      </c>
      <c r="R241" s="2" t="s">
        <v>146</v>
      </c>
      <c r="S241" s="2" t="s">
        <v>146</v>
      </c>
      <c r="T241" s="2" t="s">
        <v>146</v>
      </c>
      <c r="U241" s="2" t="s">
        <v>146</v>
      </c>
      <c r="V241" s="2" t="s">
        <v>146</v>
      </c>
      <c r="Y241" s="2" t="str">
        <f t="shared" si="12"/>
        <v>Ja</v>
      </c>
      <c r="AA241" s="2" t="str">
        <f t="shared" si="13"/>
        <v>Nej</v>
      </c>
      <c r="AB241" s="2" t="str">
        <f t="shared" si="14"/>
        <v>ET</v>
      </c>
      <c r="AC241" s="2">
        <f t="shared" si="15"/>
        <v>0</v>
      </c>
    </row>
    <row r="242" spans="1:29" ht="14.25" x14ac:dyDescent="0.45">
      <c r="A242" s="2" t="s">
        <v>362</v>
      </c>
      <c r="B242" s="2" t="s">
        <v>361</v>
      </c>
      <c r="C242" s="2">
        <v>2019</v>
      </c>
      <c r="D242" s="2">
        <v>0.439</v>
      </c>
      <c r="E242" s="2">
        <v>5.867</v>
      </c>
      <c r="F242" s="2" t="s">
        <v>960</v>
      </c>
      <c r="G242" s="2">
        <v>0.03</v>
      </c>
      <c r="H242" s="2">
        <v>30</v>
      </c>
      <c r="I242" s="2">
        <v>0</v>
      </c>
      <c r="J242" s="2">
        <v>0</v>
      </c>
      <c r="K242" s="2" t="s">
        <v>49</v>
      </c>
      <c r="L242" s="2" t="s">
        <v>146</v>
      </c>
      <c r="M242" s="2" t="s">
        <v>146</v>
      </c>
      <c r="N242" s="2" t="s">
        <v>146</v>
      </c>
      <c r="O242" s="2" t="s">
        <v>146</v>
      </c>
      <c r="P242" s="2" t="s">
        <v>146</v>
      </c>
      <c r="Q242" s="2" t="s">
        <v>49</v>
      </c>
      <c r="R242" s="2" t="s">
        <v>146</v>
      </c>
      <c r="S242" s="2" t="s">
        <v>146</v>
      </c>
      <c r="T242" s="2" t="s">
        <v>146</v>
      </c>
      <c r="U242" s="2" t="s">
        <v>146</v>
      </c>
      <c r="V242" s="2" t="s">
        <v>146</v>
      </c>
      <c r="Y242" s="2" t="str">
        <f t="shared" si="12"/>
        <v>Ja</v>
      </c>
      <c r="AA242" s="2" t="str">
        <f t="shared" si="13"/>
        <v>Nej</v>
      </c>
      <c r="AB242" s="2" t="str">
        <f t="shared" si="14"/>
        <v>ET</v>
      </c>
      <c r="AC242" s="2">
        <f t="shared" si="15"/>
        <v>0</v>
      </c>
    </row>
    <row r="243" spans="1:29" ht="14.25" x14ac:dyDescent="0.45">
      <c r="A243" s="2" t="s">
        <v>360</v>
      </c>
      <c r="B243" s="2" t="s">
        <v>359</v>
      </c>
      <c r="C243" s="2">
        <v>2019</v>
      </c>
      <c r="D243" s="2">
        <v>1.91</v>
      </c>
      <c r="E243" s="2" t="s">
        <v>146</v>
      </c>
      <c r="F243" s="2" t="s">
        <v>49</v>
      </c>
      <c r="G243" s="2">
        <v>2.2000000000000002</v>
      </c>
      <c r="H243" s="2">
        <v>250.8</v>
      </c>
      <c r="I243" s="2">
        <v>0.35</v>
      </c>
      <c r="J243" s="2">
        <v>0.3977</v>
      </c>
      <c r="K243" s="2" t="s">
        <v>49</v>
      </c>
      <c r="L243" s="2" t="s">
        <v>146</v>
      </c>
      <c r="M243" s="2" t="s">
        <v>146</v>
      </c>
      <c r="N243" s="2" t="s">
        <v>146</v>
      </c>
      <c r="O243" s="2" t="s">
        <v>146</v>
      </c>
      <c r="P243" s="2" t="s">
        <v>146</v>
      </c>
      <c r="Q243" s="2" t="s">
        <v>49</v>
      </c>
      <c r="R243" s="2" t="s">
        <v>146</v>
      </c>
      <c r="S243" s="2" t="s">
        <v>146</v>
      </c>
      <c r="T243" s="2" t="s">
        <v>146</v>
      </c>
      <c r="U243" s="2" t="s">
        <v>146</v>
      </c>
      <c r="V243" s="2" t="s">
        <v>146</v>
      </c>
      <c r="Y243" s="2" t="str">
        <f t="shared" si="12"/>
        <v>Ja</v>
      </c>
      <c r="AA243" s="2" t="str">
        <f t="shared" si="13"/>
        <v>Nej</v>
      </c>
      <c r="AB243" s="2" t="str">
        <f t="shared" si="14"/>
        <v>ET</v>
      </c>
      <c r="AC243" s="2">
        <f t="shared" si="15"/>
        <v>0</v>
      </c>
    </row>
    <row r="244" spans="1:29" ht="14.25" x14ac:dyDescent="0.45">
      <c r="A244" s="2" t="s">
        <v>342</v>
      </c>
      <c r="B244" s="2" t="s">
        <v>358</v>
      </c>
      <c r="C244" s="2">
        <v>2019</v>
      </c>
      <c r="D244" s="2">
        <v>0.12</v>
      </c>
      <c r="E244" s="2" t="s">
        <v>146</v>
      </c>
      <c r="F244" s="2" t="s">
        <v>49</v>
      </c>
      <c r="G244" s="2">
        <v>0.73</v>
      </c>
      <c r="H244" s="2">
        <v>0</v>
      </c>
      <c r="I244" s="2">
        <v>0</v>
      </c>
      <c r="J244" s="2">
        <v>0</v>
      </c>
      <c r="K244" s="2" t="s">
        <v>49</v>
      </c>
      <c r="L244" s="2" t="s">
        <v>146</v>
      </c>
      <c r="M244" s="2" t="s">
        <v>146</v>
      </c>
      <c r="N244" s="2" t="s">
        <v>146</v>
      </c>
      <c r="O244" s="2" t="s">
        <v>146</v>
      </c>
      <c r="P244" s="2" t="s">
        <v>146</v>
      </c>
      <c r="Q244" s="2" t="s">
        <v>49</v>
      </c>
      <c r="R244" s="2" t="s">
        <v>146</v>
      </c>
      <c r="S244" s="2" t="s">
        <v>146</v>
      </c>
      <c r="T244" s="2" t="s">
        <v>146</v>
      </c>
      <c r="U244" s="2" t="s">
        <v>146</v>
      </c>
      <c r="V244" s="2" t="s">
        <v>146</v>
      </c>
      <c r="Y244" s="2" t="str">
        <f t="shared" si="12"/>
        <v>Ja</v>
      </c>
      <c r="AA244" s="2" t="str">
        <f t="shared" si="13"/>
        <v>Nej</v>
      </c>
      <c r="AB244" s="2" t="str">
        <f t="shared" si="14"/>
        <v>ET</v>
      </c>
      <c r="AC244" s="2">
        <f t="shared" si="15"/>
        <v>0</v>
      </c>
    </row>
    <row r="245" spans="1:29" ht="14.25" x14ac:dyDescent="0.45">
      <c r="A245" s="2" t="s">
        <v>342</v>
      </c>
      <c r="B245" s="2" t="s">
        <v>357</v>
      </c>
      <c r="C245" s="2">
        <v>2019</v>
      </c>
      <c r="D245" s="2">
        <v>0.107</v>
      </c>
      <c r="E245" s="2" t="s">
        <v>146</v>
      </c>
      <c r="F245" s="2" t="s">
        <v>49</v>
      </c>
      <c r="G245" s="2">
        <v>0.73</v>
      </c>
      <c r="H245" s="2">
        <v>0</v>
      </c>
      <c r="I245" s="2">
        <v>0</v>
      </c>
      <c r="J245" s="2">
        <v>0</v>
      </c>
      <c r="K245" s="2" t="s">
        <v>49</v>
      </c>
      <c r="L245" s="2" t="s">
        <v>146</v>
      </c>
      <c r="M245" s="2" t="s">
        <v>146</v>
      </c>
      <c r="N245" s="2" t="s">
        <v>146</v>
      </c>
      <c r="O245" s="2" t="s">
        <v>146</v>
      </c>
      <c r="P245" s="2" t="s">
        <v>146</v>
      </c>
      <c r="Q245" s="2" t="s">
        <v>49</v>
      </c>
      <c r="R245" s="2" t="s">
        <v>146</v>
      </c>
      <c r="S245" s="2" t="s">
        <v>146</v>
      </c>
      <c r="T245" s="2" t="s">
        <v>146</v>
      </c>
      <c r="U245" s="2" t="s">
        <v>146</v>
      </c>
      <c r="V245" s="2" t="s">
        <v>146</v>
      </c>
      <c r="Y245" s="2" t="str">
        <f t="shared" si="12"/>
        <v>Ja</v>
      </c>
      <c r="AA245" s="2" t="str">
        <f t="shared" si="13"/>
        <v>Nej</v>
      </c>
      <c r="AB245" s="2" t="str">
        <f t="shared" si="14"/>
        <v>ET</v>
      </c>
      <c r="AC245" s="2">
        <f t="shared" si="15"/>
        <v>0</v>
      </c>
    </row>
    <row r="246" spans="1:29" ht="14.25" x14ac:dyDescent="0.45">
      <c r="A246" s="2" t="s">
        <v>342</v>
      </c>
      <c r="B246" s="2" t="s">
        <v>356</v>
      </c>
      <c r="C246" s="2">
        <v>2019</v>
      </c>
      <c r="D246" s="2">
        <v>0.36199999999999999</v>
      </c>
      <c r="E246" s="2" t="s">
        <v>146</v>
      </c>
      <c r="F246" s="2" t="s">
        <v>954</v>
      </c>
      <c r="G246" s="2">
        <v>0.73</v>
      </c>
      <c r="H246" s="2">
        <v>0</v>
      </c>
      <c r="I246" s="2">
        <v>0</v>
      </c>
      <c r="J246" s="2">
        <v>0</v>
      </c>
      <c r="K246" s="2" t="s">
        <v>49</v>
      </c>
      <c r="L246" s="2" t="s">
        <v>146</v>
      </c>
      <c r="M246" s="2" t="s">
        <v>146</v>
      </c>
      <c r="N246" s="2" t="s">
        <v>146</v>
      </c>
      <c r="O246" s="2" t="s">
        <v>146</v>
      </c>
      <c r="P246" s="2" t="s">
        <v>146</v>
      </c>
      <c r="Q246" s="2" t="s">
        <v>49</v>
      </c>
      <c r="R246" s="2" t="s">
        <v>146</v>
      </c>
      <c r="S246" s="2" t="s">
        <v>146</v>
      </c>
      <c r="T246" s="2" t="s">
        <v>146</v>
      </c>
      <c r="U246" s="2" t="s">
        <v>146</v>
      </c>
      <c r="V246" s="2" t="s">
        <v>146</v>
      </c>
      <c r="Y246" s="2" t="str">
        <f t="shared" si="12"/>
        <v>Ja</v>
      </c>
      <c r="AA246" s="2" t="str">
        <f t="shared" si="13"/>
        <v>Nej</v>
      </c>
      <c r="AB246" s="2" t="str">
        <f t="shared" si="14"/>
        <v>ET</v>
      </c>
      <c r="AC246" s="2">
        <f t="shared" si="15"/>
        <v>0</v>
      </c>
    </row>
    <row r="247" spans="1:29" ht="14.25" x14ac:dyDescent="0.45">
      <c r="A247" s="2" t="s">
        <v>342</v>
      </c>
      <c r="B247" s="2" t="s">
        <v>355</v>
      </c>
      <c r="C247" s="2">
        <v>2019</v>
      </c>
      <c r="D247" s="2">
        <v>0.11799999999999999</v>
      </c>
      <c r="E247" s="2" t="s">
        <v>146</v>
      </c>
      <c r="F247" s="2" t="s">
        <v>954</v>
      </c>
      <c r="G247" s="2">
        <v>0.73</v>
      </c>
      <c r="H247" s="2">
        <v>0</v>
      </c>
      <c r="I247" s="2">
        <v>0</v>
      </c>
      <c r="J247" s="2">
        <v>0</v>
      </c>
      <c r="K247" s="2" t="s">
        <v>49</v>
      </c>
      <c r="L247" s="2" t="s">
        <v>146</v>
      </c>
      <c r="M247" s="2" t="s">
        <v>146</v>
      </c>
      <c r="N247" s="2" t="s">
        <v>146</v>
      </c>
      <c r="O247" s="2" t="s">
        <v>146</v>
      </c>
      <c r="P247" s="2" t="s">
        <v>146</v>
      </c>
      <c r="Q247" s="2" t="s">
        <v>49</v>
      </c>
      <c r="R247" s="2" t="s">
        <v>146</v>
      </c>
      <c r="S247" s="2" t="s">
        <v>146</v>
      </c>
      <c r="T247" s="2" t="s">
        <v>146</v>
      </c>
      <c r="U247" s="2" t="s">
        <v>146</v>
      </c>
      <c r="V247" s="2" t="s">
        <v>146</v>
      </c>
      <c r="Y247" s="2" t="str">
        <f t="shared" si="12"/>
        <v>Ja</v>
      </c>
      <c r="AA247" s="2" t="str">
        <f t="shared" si="13"/>
        <v>Nej</v>
      </c>
      <c r="AB247" s="2" t="str">
        <f t="shared" si="14"/>
        <v>ET</v>
      </c>
      <c r="AC247" s="2">
        <f t="shared" si="15"/>
        <v>0</v>
      </c>
    </row>
    <row r="248" spans="1:29" ht="14.25" x14ac:dyDescent="0.45">
      <c r="A248" s="2" t="s">
        <v>342</v>
      </c>
      <c r="B248" s="2" t="s">
        <v>354</v>
      </c>
      <c r="C248" s="2">
        <v>2019</v>
      </c>
      <c r="D248" s="2">
        <v>9.6000000000000002E-2</v>
      </c>
      <c r="E248" s="2" t="s">
        <v>146</v>
      </c>
      <c r="F248" s="2" t="s">
        <v>953</v>
      </c>
      <c r="G248" s="2">
        <v>0.73</v>
      </c>
      <c r="H248" s="2">
        <v>0</v>
      </c>
      <c r="I248" s="2">
        <v>0</v>
      </c>
      <c r="J248" s="2">
        <v>0</v>
      </c>
      <c r="K248" s="2" t="s">
        <v>49</v>
      </c>
      <c r="L248" s="2" t="s">
        <v>146</v>
      </c>
      <c r="M248" s="2" t="s">
        <v>146</v>
      </c>
      <c r="N248" s="2" t="s">
        <v>146</v>
      </c>
      <c r="O248" s="2" t="s">
        <v>146</v>
      </c>
      <c r="P248" s="2" t="s">
        <v>146</v>
      </c>
      <c r="Q248" s="2" t="s">
        <v>49</v>
      </c>
      <c r="R248" s="2" t="s">
        <v>146</v>
      </c>
      <c r="S248" s="2" t="s">
        <v>146</v>
      </c>
      <c r="T248" s="2" t="s">
        <v>146</v>
      </c>
      <c r="U248" s="2" t="s">
        <v>146</v>
      </c>
      <c r="V248" s="2" t="s">
        <v>146</v>
      </c>
      <c r="Y248" s="2" t="str">
        <f t="shared" si="12"/>
        <v>Ja</v>
      </c>
      <c r="AA248" s="2" t="str">
        <f t="shared" si="13"/>
        <v>Nej</v>
      </c>
      <c r="AB248" s="2" t="str">
        <f t="shared" si="14"/>
        <v>ET</v>
      </c>
      <c r="AC248" s="2">
        <f t="shared" si="15"/>
        <v>0</v>
      </c>
    </row>
    <row r="249" spans="1:29" ht="14.25" x14ac:dyDescent="0.45">
      <c r="A249" s="2" t="s">
        <v>342</v>
      </c>
      <c r="B249" s="2" t="s">
        <v>353</v>
      </c>
      <c r="C249" s="2">
        <v>2019</v>
      </c>
      <c r="D249" s="2">
        <v>7.1999999999999995E-2</v>
      </c>
      <c r="E249" s="2" t="s">
        <v>146</v>
      </c>
      <c r="F249" s="2" t="s">
        <v>959</v>
      </c>
      <c r="G249" s="2">
        <v>0.73</v>
      </c>
      <c r="H249" s="2">
        <v>0</v>
      </c>
      <c r="I249" s="2">
        <v>0</v>
      </c>
      <c r="J249" s="2">
        <v>0</v>
      </c>
      <c r="K249" s="2" t="s">
        <v>49</v>
      </c>
      <c r="L249" s="2" t="s">
        <v>146</v>
      </c>
      <c r="M249" s="2" t="s">
        <v>146</v>
      </c>
      <c r="N249" s="2" t="s">
        <v>146</v>
      </c>
      <c r="O249" s="2" t="s">
        <v>146</v>
      </c>
      <c r="P249" s="2" t="s">
        <v>146</v>
      </c>
      <c r="Q249" s="2" t="s">
        <v>49</v>
      </c>
      <c r="R249" s="2" t="s">
        <v>146</v>
      </c>
      <c r="S249" s="2" t="s">
        <v>146</v>
      </c>
      <c r="T249" s="2" t="s">
        <v>146</v>
      </c>
      <c r="U249" s="2" t="s">
        <v>146</v>
      </c>
      <c r="V249" s="2" t="s">
        <v>146</v>
      </c>
      <c r="Y249" s="2" t="str">
        <f t="shared" si="12"/>
        <v>Ja</v>
      </c>
      <c r="AA249" s="2" t="str">
        <f t="shared" si="13"/>
        <v>Nej</v>
      </c>
      <c r="AB249" s="2" t="str">
        <f t="shared" si="14"/>
        <v>ET</v>
      </c>
      <c r="AC249" s="2">
        <f t="shared" si="15"/>
        <v>0</v>
      </c>
    </row>
    <row r="250" spans="1:29" ht="14.25" x14ac:dyDescent="0.45">
      <c r="A250" s="2" t="s">
        <v>342</v>
      </c>
      <c r="B250" s="2" t="s">
        <v>352</v>
      </c>
      <c r="C250" s="2">
        <v>2019</v>
      </c>
      <c r="D250" s="2">
        <v>4.1000000000000002E-2</v>
      </c>
      <c r="E250" s="2" t="s">
        <v>146</v>
      </c>
      <c r="F250" s="2" t="s">
        <v>958</v>
      </c>
      <c r="G250" s="2">
        <v>0.73</v>
      </c>
      <c r="H250" s="2">
        <v>0</v>
      </c>
      <c r="I250" s="2">
        <v>0</v>
      </c>
      <c r="J250" s="2">
        <v>0</v>
      </c>
      <c r="K250" s="2" t="s">
        <v>49</v>
      </c>
      <c r="L250" s="2" t="s">
        <v>146</v>
      </c>
      <c r="M250" s="2" t="s">
        <v>146</v>
      </c>
      <c r="N250" s="2" t="s">
        <v>146</v>
      </c>
      <c r="O250" s="2" t="s">
        <v>146</v>
      </c>
      <c r="P250" s="2" t="s">
        <v>146</v>
      </c>
      <c r="Q250" s="2" t="s">
        <v>49</v>
      </c>
      <c r="R250" s="2" t="s">
        <v>146</v>
      </c>
      <c r="S250" s="2" t="s">
        <v>146</v>
      </c>
      <c r="T250" s="2" t="s">
        <v>146</v>
      </c>
      <c r="U250" s="2" t="s">
        <v>146</v>
      </c>
      <c r="V250" s="2" t="s">
        <v>146</v>
      </c>
      <c r="Y250" s="2" t="str">
        <f t="shared" si="12"/>
        <v>Ja</v>
      </c>
      <c r="AA250" s="2" t="str">
        <f t="shared" si="13"/>
        <v>Nej</v>
      </c>
      <c r="AB250" s="2" t="str">
        <f t="shared" si="14"/>
        <v>ET</v>
      </c>
      <c r="AC250" s="2">
        <f t="shared" si="15"/>
        <v>0</v>
      </c>
    </row>
    <row r="251" spans="1:29" ht="14.25" x14ac:dyDescent="0.45">
      <c r="A251" s="2" t="s">
        <v>342</v>
      </c>
      <c r="B251" s="2" t="s">
        <v>351</v>
      </c>
      <c r="C251" s="2">
        <v>2019</v>
      </c>
      <c r="D251" s="2">
        <v>0.73</v>
      </c>
      <c r="E251" s="2">
        <v>6.34</v>
      </c>
      <c r="F251" s="2" t="s">
        <v>957</v>
      </c>
      <c r="G251" s="2">
        <v>0.17</v>
      </c>
      <c r="H251" s="2">
        <v>0</v>
      </c>
      <c r="I251" s="2">
        <v>0</v>
      </c>
      <c r="J251" s="2">
        <v>0</v>
      </c>
      <c r="K251" s="2" t="s">
        <v>49</v>
      </c>
      <c r="L251" s="2" t="s">
        <v>146</v>
      </c>
      <c r="M251" s="2" t="s">
        <v>146</v>
      </c>
      <c r="N251" s="2" t="s">
        <v>146</v>
      </c>
      <c r="O251" s="2" t="s">
        <v>146</v>
      </c>
      <c r="P251" s="2" t="s">
        <v>146</v>
      </c>
      <c r="Q251" s="2" t="s">
        <v>49</v>
      </c>
      <c r="R251" s="2" t="s">
        <v>146</v>
      </c>
      <c r="S251" s="2" t="s">
        <v>146</v>
      </c>
      <c r="T251" s="2" t="s">
        <v>146</v>
      </c>
      <c r="U251" s="2" t="s">
        <v>146</v>
      </c>
      <c r="V251" s="2" t="s">
        <v>146</v>
      </c>
      <c r="Y251" s="2" t="str">
        <f t="shared" si="12"/>
        <v>Ja</v>
      </c>
      <c r="AA251" s="2" t="str">
        <f t="shared" si="13"/>
        <v>Nej</v>
      </c>
      <c r="AB251" s="2" t="str">
        <f t="shared" si="14"/>
        <v>ET</v>
      </c>
      <c r="AC251" s="2">
        <f t="shared" si="15"/>
        <v>0</v>
      </c>
    </row>
    <row r="252" spans="1:29" ht="14.25" x14ac:dyDescent="0.45">
      <c r="A252" s="2" t="s">
        <v>342</v>
      </c>
      <c r="B252" s="2" t="s">
        <v>350</v>
      </c>
      <c r="C252" s="2">
        <v>2019</v>
      </c>
      <c r="D252" s="2">
        <v>5.2999999999999999E-2</v>
      </c>
      <c r="E252" s="2" t="s">
        <v>146</v>
      </c>
      <c r="F252" s="2" t="s">
        <v>953</v>
      </c>
      <c r="G252" s="2">
        <v>0.73</v>
      </c>
      <c r="H252" s="2">
        <v>0</v>
      </c>
      <c r="I252" s="2">
        <v>0</v>
      </c>
      <c r="J252" s="2">
        <v>0</v>
      </c>
      <c r="K252" s="2" t="s">
        <v>49</v>
      </c>
      <c r="L252" s="2" t="s">
        <v>146</v>
      </c>
      <c r="M252" s="2" t="s">
        <v>146</v>
      </c>
      <c r="N252" s="2" t="s">
        <v>146</v>
      </c>
      <c r="O252" s="2" t="s">
        <v>146</v>
      </c>
      <c r="P252" s="2" t="s">
        <v>146</v>
      </c>
      <c r="Q252" s="2" t="s">
        <v>49</v>
      </c>
      <c r="R252" s="2" t="s">
        <v>146</v>
      </c>
      <c r="S252" s="2" t="s">
        <v>146</v>
      </c>
      <c r="T252" s="2" t="s">
        <v>146</v>
      </c>
      <c r="U252" s="2" t="s">
        <v>146</v>
      </c>
      <c r="V252" s="2" t="s">
        <v>146</v>
      </c>
      <c r="Y252" s="2" t="str">
        <f t="shared" si="12"/>
        <v>Ja</v>
      </c>
      <c r="AA252" s="2" t="str">
        <f t="shared" si="13"/>
        <v>Nej</v>
      </c>
      <c r="AB252" s="2" t="str">
        <f t="shared" si="14"/>
        <v>ET</v>
      </c>
      <c r="AC252" s="2">
        <f t="shared" si="15"/>
        <v>0</v>
      </c>
    </row>
    <row r="253" spans="1:29" ht="14.25" x14ac:dyDescent="0.45">
      <c r="A253" s="2" t="s">
        <v>342</v>
      </c>
      <c r="B253" s="2" t="s">
        <v>349</v>
      </c>
      <c r="C253" s="2">
        <v>2019</v>
      </c>
      <c r="D253" s="2">
        <v>0.112</v>
      </c>
      <c r="E253" s="2">
        <v>4.38</v>
      </c>
      <c r="F253" s="2" t="s">
        <v>956</v>
      </c>
      <c r="G253" s="2">
        <v>0.17</v>
      </c>
      <c r="H253" s="2">
        <v>0</v>
      </c>
      <c r="I253" s="2">
        <v>0</v>
      </c>
      <c r="J253" s="2">
        <v>0</v>
      </c>
      <c r="K253" s="2" t="s">
        <v>49</v>
      </c>
      <c r="L253" s="2" t="s">
        <v>146</v>
      </c>
      <c r="M253" s="2" t="s">
        <v>146</v>
      </c>
      <c r="N253" s="2" t="s">
        <v>146</v>
      </c>
      <c r="O253" s="2" t="s">
        <v>146</v>
      </c>
      <c r="P253" s="2" t="s">
        <v>146</v>
      </c>
      <c r="Q253" s="2" t="s">
        <v>49</v>
      </c>
      <c r="R253" s="2" t="s">
        <v>146</v>
      </c>
      <c r="S253" s="2" t="s">
        <v>146</v>
      </c>
      <c r="T253" s="2" t="s">
        <v>146</v>
      </c>
      <c r="U253" s="2" t="s">
        <v>146</v>
      </c>
      <c r="V253" s="2" t="s">
        <v>146</v>
      </c>
      <c r="Y253" s="2" t="str">
        <f t="shared" si="12"/>
        <v>Ja</v>
      </c>
      <c r="AA253" s="2" t="str">
        <f t="shared" si="13"/>
        <v>Nej</v>
      </c>
      <c r="AB253" s="2" t="str">
        <f t="shared" si="14"/>
        <v>ET</v>
      </c>
      <c r="AC253" s="2">
        <f t="shared" si="15"/>
        <v>0</v>
      </c>
    </row>
    <row r="254" spans="1:29" ht="14.25" x14ac:dyDescent="0.45">
      <c r="A254" s="2" t="s">
        <v>342</v>
      </c>
      <c r="B254" s="2" t="s">
        <v>348</v>
      </c>
      <c r="C254" s="2">
        <v>2019</v>
      </c>
      <c r="D254" s="2">
        <v>0.13900000000000001</v>
      </c>
      <c r="E254" s="2" t="s">
        <v>146</v>
      </c>
      <c r="F254" s="2" t="s">
        <v>955</v>
      </c>
      <c r="G254" s="2">
        <v>0.73</v>
      </c>
      <c r="H254" s="2">
        <v>0</v>
      </c>
      <c r="I254" s="2">
        <v>0</v>
      </c>
      <c r="J254" s="2">
        <v>0</v>
      </c>
      <c r="K254" s="2" t="s">
        <v>49</v>
      </c>
      <c r="L254" s="2" t="s">
        <v>146</v>
      </c>
      <c r="M254" s="2" t="s">
        <v>146</v>
      </c>
      <c r="N254" s="2" t="s">
        <v>146</v>
      </c>
      <c r="O254" s="2" t="s">
        <v>146</v>
      </c>
      <c r="P254" s="2" t="s">
        <v>146</v>
      </c>
      <c r="Q254" s="2" t="s">
        <v>49</v>
      </c>
      <c r="R254" s="2" t="s">
        <v>146</v>
      </c>
      <c r="S254" s="2" t="s">
        <v>146</v>
      </c>
      <c r="T254" s="2" t="s">
        <v>146</v>
      </c>
      <c r="U254" s="2" t="s">
        <v>146</v>
      </c>
      <c r="V254" s="2" t="s">
        <v>146</v>
      </c>
      <c r="Y254" s="2" t="str">
        <f t="shared" si="12"/>
        <v>Ja</v>
      </c>
      <c r="AA254" s="2" t="str">
        <f t="shared" si="13"/>
        <v>Nej</v>
      </c>
      <c r="AB254" s="2" t="str">
        <f t="shared" si="14"/>
        <v>ET</v>
      </c>
      <c r="AC254" s="2">
        <f t="shared" si="15"/>
        <v>0</v>
      </c>
    </row>
    <row r="255" spans="1:29" ht="14.25" x14ac:dyDescent="0.45">
      <c r="A255" s="2" t="s">
        <v>342</v>
      </c>
      <c r="B255" s="2" t="s">
        <v>347</v>
      </c>
      <c r="C255" s="2">
        <v>2019</v>
      </c>
      <c r="D255" s="2">
        <v>0.115</v>
      </c>
      <c r="E255" s="2" t="s">
        <v>146</v>
      </c>
      <c r="F255" s="2" t="s">
        <v>953</v>
      </c>
      <c r="G255" s="2">
        <v>0.73</v>
      </c>
      <c r="H255" s="2">
        <v>0</v>
      </c>
      <c r="I255" s="2">
        <v>0</v>
      </c>
      <c r="J255" s="2">
        <v>0</v>
      </c>
      <c r="K255" s="2" t="s">
        <v>49</v>
      </c>
      <c r="L255" s="2" t="s">
        <v>146</v>
      </c>
      <c r="M255" s="2" t="s">
        <v>146</v>
      </c>
      <c r="N255" s="2" t="s">
        <v>146</v>
      </c>
      <c r="O255" s="2" t="s">
        <v>146</v>
      </c>
      <c r="P255" s="2" t="s">
        <v>146</v>
      </c>
      <c r="Q255" s="2" t="s">
        <v>49</v>
      </c>
      <c r="R255" s="2" t="s">
        <v>146</v>
      </c>
      <c r="S255" s="2" t="s">
        <v>146</v>
      </c>
      <c r="T255" s="2" t="s">
        <v>146</v>
      </c>
      <c r="U255" s="2" t="s">
        <v>146</v>
      </c>
      <c r="V255" s="2" t="s">
        <v>146</v>
      </c>
      <c r="Y255" s="2" t="str">
        <f t="shared" si="12"/>
        <v>Ja</v>
      </c>
      <c r="AA255" s="2" t="str">
        <f t="shared" si="13"/>
        <v>Nej</v>
      </c>
      <c r="AB255" s="2" t="str">
        <f t="shared" si="14"/>
        <v>ET</v>
      </c>
      <c r="AC255" s="2">
        <f t="shared" si="15"/>
        <v>0</v>
      </c>
    </row>
    <row r="256" spans="1:29" ht="14.25" x14ac:dyDescent="0.45">
      <c r="A256" s="2" t="s">
        <v>342</v>
      </c>
      <c r="B256" s="2" t="s">
        <v>346</v>
      </c>
      <c r="C256" s="2">
        <v>2019</v>
      </c>
      <c r="D256" s="2">
        <v>4.3</v>
      </c>
      <c r="E256" s="2">
        <v>18.399999999999999</v>
      </c>
      <c r="F256" s="2" t="s">
        <v>954</v>
      </c>
      <c r="G256" s="2">
        <v>0.37</v>
      </c>
      <c r="H256" s="2">
        <v>0</v>
      </c>
      <c r="I256" s="2">
        <v>0</v>
      </c>
      <c r="J256" s="2">
        <v>0</v>
      </c>
      <c r="K256" s="2" t="s">
        <v>49</v>
      </c>
      <c r="L256" s="2" t="s">
        <v>146</v>
      </c>
      <c r="M256" s="2" t="s">
        <v>146</v>
      </c>
      <c r="N256" s="2" t="s">
        <v>146</v>
      </c>
      <c r="O256" s="2" t="s">
        <v>146</v>
      </c>
      <c r="P256" s="2" t="s">
        <v>146</v>
      </c>
      <c r="Q256" s="2" t="s">
        <v>49</v>
      </c>
      <c r="R256" s="2" t="s">
        <v>146</v>
      </c>
      <c r="S256" s="2" t="s">
        <v>146</v>
      </c>
      <c r="T256" s="2" t="s">
        <v>146</v>
      </c>
      <c r="U256" s="2" t="s">
        <v>146</v>
      </c>
      <c r="V256" s="2" t="s">
        <v>146</v>
      </c>
      <c r="Y256" s="2" t="str">
        <f t="shared" si="12"/>
        <v>Ja</v>
      </c>
      <c r="AA256" s="2" t="str">
        <f t="shared" si="13"/>
        <v>Nej</v>
      </c>
      <c r="AB256" s="2" t="str">
        <f t="shared" si="14"/>
        <v>ET</v>
      </c>
      <c r="AC256" s="2">
        <f t="shared" si="15"/>
        <v>0</v>
      </c>
    </row>
    <row r="257" spans="1:29" ht="14.25" x14ac:dyDescent="0.45">
      <c r="A257" s="2" t="s">
        <v>342</v>
      </c>
      <c r="B257" s="2" t="s">
        <v>345</v>
      </c>
      <c r="C257" s="2">
        <v>2019</v>
      </c>
      <c r="D257" s="2">
        <v>0.71099999999999997</v>
      </c>
      <c r="E257" s="2" t="s">
        <v>146</v>
      </c>
      <c r="F257" s="2" t="s">
        <v>953</v>
      </c>
      <c r="G257" s="2">
        <v>0.73</v>
      </c>
      <c r="H257" s="2">
        <v>0</v>
      </c>
      <c r="I257" s="2">
        <v>0</v>
      </c>
      <c r="J257" s="2">
        <v>0</v>
      </c>
      <c r="K257" s="2" t="s">
        <v>49</v>
      </c>
      <c r="L257" s="2" t="s">
        <v>146</v>
      </c>
      <c r="M257" s="2" t="s">
        <v>146</v>
      </c>
      <c r="N257" s="2" t="s">
        <v>146</v>
      </c>
      <c r="O257" s="2" t="s">
        <v>146</v>
      </c>
      <c r="P257" s="2" t="s">
        <v>146</v>
      </c>
      <c r="Q257" s="2" t="s">
        <v>49</v>
      </c>
      <c r="R257" s="2" t="s">
        <v>146</v>
      </c>
      <c r="S257" s="2" t="s">
        <v>146</v>
      </c>
      <c r="T257" s="2" t="s">
        <v>146</v>
      </c>
      <c r="U257" s="2" t="s">
        <v>146</v>
      </c>
      <c r="V257" s="2" t="s">
        <v>146</v>
      </c>
      <c r="Y257" s="2" t="str">
        <f t="shared" si="12"/>
        <v>Ja</v>
      </c>
      <c r="AA257" s="2" t="str">
        <f t="shared" si="13"/>
        <v>Nej</v>
      </c>
      <c r="AB257" s="2" t="str">
        <f t="shared" si="14"/>
        <v>ET</v>
      </c>
      <c r="AC257" s="2">
        <f t="shared" si="15"/>
        <v>0</v>
      </c>
    </row>
    <row r="258" spans="1:29" ht="14.25" x14ac:dyDescent="0.45">
      <c r="A258" s="2" t="s">
        <v>342</v>
      </c>
      <c r="B258" s="2" t="s">
        <v>344</v>
      </c>
      <c r="C258" s="2">
        <v>2019</v>
      </c>
      <c r="D258" s="2" t="s">
        <v>146</v>
      </c>
      <c r="E258" s="2" t="s">
        <v>146</v>
      </c>
      <c r="F258" s="2" t="s">
        <v>953</v>
      </c>
      <c r="G258" s="2">
        <v>0.73</v>
      </c>
      <c r="H258" s="2">
        <v>0</v>
      </c>
      <c r="I258" s="2">
        <v>0</v>
      </c>
      <c r="J258" s="2">
        <v>0</v>
      </c>
      <c r="K258" s="2" t="s">
        <v>49</v>
      </c>
      <c r="L258" s="2" t="s">
        <v>146</v>
      </c>
      <c r="M258" s="2" t="s">
        <v>146</v>
      </c>
      <c r="N258" s="2" t="s">
        <v>146</v>
      </c>
      <c r="O258" s="2" t="s">
        <v>146</v>
      </c>
      <c r="P258" s="2" t="s">
        <v>146</v>
      </c>
      <c r="Q258" s="2" t="s">
        <v>49</v>
      </c>
      <c r="R258" s="2" t="s">
        <v>146</v>
      </c>
      <c r="S258" s="2" t="s">
        <v>146</v>
      </c>
      <c r="T258" s="2" t="s">
        <v>146</v>
      </c>
      <c r="U258" s="2" t="s">
        <v>146</v>
      </c>
      <c r="V258" s="2" t="s">
        <v>146</v>
      </c>
      <c r="Y258" s="2" t="str">
        <f t="shared" ref="Y258:Y321" si="16">IF(OR(AND(G258&lt;&gt;$AD$3,G258&lt;&gt;"-"),AND(H258&lt;&gt;$AD$4,H258&lt;&gt;"-"),AND(I258&lt;&gt;$AD$5,I258&lt;&gt;"-"),AND(J258&lt;&gt;$AD$6,J258&lt;&gt;"-")),"Ja","Nej")</f>
        <v>Ja</v>
      </c>
      <c r="AA258" s="2" t="str">
        <f t="shared" ref="AA258:AA321" si="17">IF(ISERROR(1/K258),"Nej","Ja")</f>
        <v>Nej</v>
      </c>
      <c r="AB258" s="2" t="str">
        <f t="shared" ref="AB258:AB321" si="18">IF(Y258="nej",0,L258)</f>
        <v>ET</v>
      </c>
      <c r="AC258" s="2">
        <f t="shared" ref="AC258:AC321" si="19">IF(AA258="nej",0,P258/100)</f>
        <v>0</v>
      </c>
    </row>
    <row r="259" spans="1:29" ht="14.25" x14ac:dyDescent="0.45">
      <c r="A259" s="2" t="s">
        <v>342</v>
      </c>
      <c r="B259" s="2" t="s">
        <v>343</v>
      </c>
      <c r="C259" s="2">
        <v>2019</v>
      </c>
      <c r="D259" s="2">
        <v>0.152</v>
      </c>
      <c r="E259" s="2" t="s">
        <v>146</v>
      </c>
      <c r="F259" s="2" t="s">
        <v>953</v>
      </c>
      <c r="G259" s="2">
        <v>0.73</v>
      </c>
      <c r="H259" s="2">
        <v>0</v>
      </c>
      <c r="I259" s="2">
        <v>0</v>
      </c>
      <c r="J259" s="2">
        <v>0</v>
      </c>
      <c r="K259" s="2" t="s">
        <v>49</v>
      </c>
      <c r="L259" s="2" t="s">
        <v>146</v>
      </c>
      <c r="M259" s="2" t="s">
        <v>146</v>
      </c>
      <c r="N259" s="2" t="s">
        <v>146</v>
      </c>
      <c r="O259" s="2" t="s">
        <v>146</v>
      </c>
      <c r="P259" s="2" t="s">
        <v>146</v>
      </c>
      <c r="Q259" s="2" t="s">
        <v>49</v>
      </c>
      <c r="R259" s="2" t="s">
        <v>146</v>
      </c>
      <c r="S259" s="2" t="s">
        <v>146</v>
      </c>
      <c r="T259" s="2" t="s">
        <v>146</v>
      </c>
      <c r="U259" s="2" t="s">
        <v>146</v>
      </c>
      <c r="V259" s="2" t="s">
        <v>146</v>
      </c>
      <c r="Y259" s="2" t="str">
        <f t="shared" si="16"/>
        <v>Ja</v>
      </c>
      <c r="AA259" s="2" t="str">
        <f t="shared" si="17"/>
        <v>Nej</v>
      </c>
      <c r="AB259" s="2" t="str">
        <f t="shared" si="18"/>
        <v>ET</v>
      </c>
      <c r="AC259" s="2">
        <f t="shared" si="19"/>
        <v>0</v>
      </c>
    </row>
    <row r="260" spans="1:29" ht="14.25" x14ac:dyDescent="0.45">
      <c r="A260" s="2" t="s">
        <v>342</v>
      </c>
      <c r="B260" s="2" t="s">
        <v>341</v>
      </c>
      <c r="C260" s="2">
        <v>2019</v>
      </c>
      <c r="D260" s="2">
        <v>4.9000000000000002E-2</v>
      </c>
      <c r="E260" s="2" t="s">
        <v>146</v>
      </c>
      <c r="F260" s="2" t="s">
        <v>953</v>
      </c>
      <c r="G260" s="2">
        <v>0.73</v>
      </c>
      <c r="H260" s="2">
        <v>0</v>
      </c>
      <c r="I260" s="2">
        <v>0</v>
      </c>
      <c r="J260" s="2">
        <v>0</v>
      </c>
      <c r="K260" s="2" t="s">
        <v>49</v>
      </c>
      <c r="L260" s="2" t="s">
        <v>146</v>
      </c>
      <c r="M260" s="2" t="s">
        <v>146</v>
      </c>
      <c r="N260" s="2" t="s">
        <v>146</v>
      </c>
      <c r="O260" s="2" t="s">
        <v>146</v>
      </c>
      <c r="P260" s="2" t="s">
        <v>146</v>
      </c>
      <c r="Q260" s="2" t="s">
        <v>49</v>
      </c>
      <c r="R260" s="2" t="s">
        <v>146</v>
      </c>
      <c r="S260" s="2" t="s">
        <v>146</v>
      </c>
      <c r="T260" s="2" t="s">
        <v>146</v>
      </c>
      <c r="U260" s="2" t="s">
        <v>146</v>
      </c>
      <c r="V260" s="2" t="s">
        <v>146</v>
      </c>
      <c r="Y260" s="2" t="str">
        <f t="shared" si="16"/>
        <v>Ja</v>
      </c>
      <c r="AA260" s="2" t="str">
        <f t="shared" si="17"/>
        <v>Nej</v>
      </c>
      <c r="AB260" s="2" t="str">
        <f t="shared" si="18"/>
        <v>ET</v>
      </c>
      <c r="AC260" s="2">
        <f t="shared" si="19"/>
        <v>0</v>
      </c>
    </row>
    <row r="261" spans="1:29" ht="14.25" x14ac:dyDescent="0.45">
      <c r="A261" s="2" t="s">
        <v>336</v>
      </c>
      <c r="B261" s="2" t="s">
        <v>340</v>
      </c>
      <c r="C261" s="2">
        <v>2019</v>
      </c>
      <c r="D261" s="2">
        <v>0.1</v>
      </c>
      <c r="E261" s="2" t="s">
        <v>146</v>
      </c>
      <c r="F261" s="2" t="s">
        <v>952</v>
      </c>
      <c r="G261" s="2">
        <v>1.1000000000000001</v>
      </c>
      <c r="H261" s="2">
        <v>0</v>
      </c>
      <c r="I261" s="2">
        <v>0</v>
      </c>
      <c r="J261" s="2">
        <v>0</v>
      </c>
      <c r="K261" s="2" t="s">
        <v>49</v>
      </c>
      <c r="L261" s="2" t="s">
        <v>146</v>
      </c>
      <c r="M261" s="2" t="s">
        <v>146</v>
      </c>
      <c r="N261" s="2" t="s">
        <v>146</v>
      </c>
      <c r="O261" s="2" t="s">
        <v>146</v>
      </c>
      <c r="P261" s="2" t="s">
        <v>146</v>
      </c>
      <c r="Q261" s="2" t="s">
        <v>49</v>
      </c>
      <c r="R261" s="2" t="s">
        <v>146</v>
      </c>
      <c r="S261" s="2" t="s">
        <v>146</v>
      </c>
      <c r="T261" s="2" t="s">
        <v>146</v>
      </c>
      <c r="U261" s="2" t="s">
        <v>146</v>
      </c>
      <c r="V261" s="2" t="s">
        <v>146</v>
      </c>
      <c r="Y261" s="2" t="str">
        <f t="shared" si="16"/>
        <v>Ja</v>
      </c>
      <c r="AA261" s="2" t="str">
        <f t="shared" si="17"/>
        <v>Nej</v>
      </c>
      <c r="AB261" s="2" t="str">
        <f t="shared" si="18"/>
        <v>ET</v>
      </c>
      <c r="AC261" s="2">
        <f t="shared" si="19"/>
        <v>0</v>
      </c>
    </row>
    <row r="262" spans="1:29" ht="14.25" x14ac:dyDescent="0.45">
      <c r="A262" s="2" t="s">
        <v>336</v>
      </c>
      <c r="B262" s="2" t="s">
        <v>339</v>
      </c>
      <c r="C262" s="2">
        <v>2019</v>
      </c>
      <c r="D262" s="2">
        <v>4.5999999999999996</v>
      </c>
      <c r="E262" s="2">
        <v>11.9</v>
      </c>
      <c r="F262" s="2" t="s">
        <v>952</v>
      </c>
      <c r="G262" s="2">
        <v>1.1000000000000001</v>
      </c>
      <c r="H262" s="2">
        <v>0</v>
      </c>
      <c r="I262" s="2">
        <v>0</v>
      </c>
      <c r="J262" s="2">
        <v>0</v>
      </c>
      <c r="K262" s="2" t="s">
        <v>49</v>
      </c>
      <c r="L262" s="2" t="s">
        <v>146</v>
      </c>
      <c r="M262" s="2" t="s">
        <v>146</v>
      </c>
      <c r="N262" s="2" t="s">
        <v>146</v>
      </c>
      <c r="O262" s="2" t="s">
        <v>146</v>
      </c>
      <c r="P262" s="2" t="s">
        <v>146</v>
      </c>
      <c r="Q262" s="2" t="s">
        <v>176</v>
      </c>
      <c r="R262" s="2">
        <v>1.1719999999999999</v>
      </c>
      <c r="S262" s="2">
        <v>0.04</v>
      </c>
      <c r="T262" s="2">
        <v>6</v>
      </c>
      <c r="U262" s="2">
        <v>4</v>
      </c>
      <c r="V262" s="2">
        <v>0</v>
      </c>
      <c r="Y262" s="2" t="str">
        <f t="shared" si="16"/>
        <v>Ja</v>
      </c>
      <c r="AA262" s="2" t="str">
        <f t="shared" si="17"/>
        <v>Nej</v>
      </c>
      <c r="AB262" s="2" t="str">
        <f t="shared" si="18"/>
        <v>ET</v>
      </c>
      <c r="AC262" s="2">
        <f t="shared" si="19"/>
        <v>0</v>
      </c>
    </row>
    <row r="263" spans="1:29" ht="14.25" x14ac:dyDescent="0.45">
      <c r="A263" s="2" t="s">
        <v>336</v>
      </c>
      <c r="B263" s="2" t="s">
        <v>338</v>
      </c>
      <c r="C263" s="2">
        <v>2019</v>
      </c>
      <c r="D263" s="2">
        <v>5.1200000000000002E-2</v>
      </c>
      <c r="E263" s="2" t="s">
        <v>146</v>
      </c>
      <c r="F263" s="2" t="s">
        <v>952</v>
      </c>
      <c r="G263" s="2">
        <v>1.1000000000000001</v>
      </c>
      <c r="H263" s="2">
        <v>0</v>
      </c>
      <c r="I263" s="2">
        <v>0</v>
      </c>
      <c r="J263" s="2">
        <v>0</v>
      </c>
      <c r="K263" s="2" t="s">
        <v>49</v>
      </c>
      <c r="L263" s="2" t="s">
        <v>146</v>
      </c>
      <c r="M263" s="2" t="s">
        <v>146</v>
      </c>
      <c r="N263" s="2" t="s">
        <v>146</v>
      </c>
      <c r="O263" s="2" t="s">
        <v>146</v>
      </c>
      <c r="P263" s="2" t="s">
        <v>146</v>
      </c>
      <c r="Q263" s="2" t="s">
        <v>49</v>
      </c>
      <c r="R263" s="2" t="s">
        <v>146</v>
      </c>
      <c r="S263" s="2" t="s">
        <v>146</v>
      </c>
      <c r="T263" s="2" t="s">
        <v>146</v>
      </c>
      <c r="U263" s="2" t="s">
        <v>146</v>
      </c>
      <c r="V263" s="2" t="s">
        <v>146</v>
      </c>
      <c r="Y263" s="2" t="str">
        <f t="shared" si="16"/>
        <v>Ja</v>
      </c>
      <c r="AA263" s="2" t="str">
        <f t="shared" si="17"/>
        <v>Nej</v>
      </c>
      <c r="AB263" s="2" t="str">
        <f t="shared" si="18"/>
        <v>ET</v>
      </c>
      <c r="AC263" s="2">
        <f t="shared" si="19"/>
        <v>0</v>
      </c>
    </row>
    <row r="264" spans="1:29" ht="14.25" x14ac:dyDescent="0.45">
      <c r="A264" s="2" t="s">
        <v>336</v>
      </c>
      <c r="B264" s="2" t="s">
        <v>337</v>
      </c>
      <c r="C264" s="2">
        <v>2019</v>
      </c>
      <c r="D264" s="2">
        <v>2.2700000000000001E-2</v>
      </c>
      <c r="E264" s="2" t="s">
        <v>146</v>
      </c>
      <c r="F264" s="2" t="s">
        <v>952</v>
      </c>
      <c r="G264" s="2">
        <v>1.1000000000000001</v>
      </c>
      <c r="H264" s="2">
        <v>0</v>
      </c>
      <c r="I264" s="2">
        <v>0</v>
      </c>
      <c r="J264" s="2">
        <v>0</v>
      </c>
      <c r="K264" s="2" t="s">
        <v>49</v>
      </c>
      <c r="L264" s="2" t="s">
        <v>146</v>
      </c>
      <c r="M264" s="2" t="s">
        <v>146</v>
      </c>
      <c r="N264" s="2" t="s">
        <v>146</v>
      </c>
      <c r="O264" s="2" t="s">
        <v>146</v>
      </c>
      <c r="P264" s="2" t="s">
        <v>146</v>
      </c>
      <c r="Q264" s="2" t="s">
        <v>49</v>
      </c>
      <c r="R264" s="2" t="s">
        <v>146</v>
      </c>
      <c r="S264" s="2" t="s">
        <v>146</v>
      </c>
      <c r="T264" s="2" t="s">
        <v>146</v>
      </c>
      <c r="U264" s="2" t="s">
        <v>146</v>
      </c>
      <c r="V264" s="2" t="s">
        <v>146</v>
      </c>
      <c r="Y264" s="2" t="str">
        <f t="shared" si="16"/>
        <v>Ja</v>
      </c>
      <c r="AA264" s="2" t="str">
        <f t="shared" si="17"/>
        <v>Nej</v>
      </c>
      <c r="AB264" s="2" t="str">
        <f t="shared" si="18"/>
        <v>ET</v>
      </c>
      <c r="AC264" s="2">
        <f t="shared" si="19"/>
        <v>0</v>
      </c>
    </row>
    <row r="265" spans="1:29" ht="14.25" x14ac:dyDescent="0.45">
      <c r="A265" s="2" t="s">
        <v>336</v>
      </c>
      <c r="B265" s="2" t="s">
        <v>335</v>
      </c>
      <c r="C265" s="2">
        <v>2019</v>
      </c>
      <c r="D265" s="2">
        <v>5.2499999999999998E-2</v>
      </c>
      <c r="E265" s="2" t="s">
        <v>146</v>
      </c>
      <c r="F265" s="2" t="s">
        <v>952</v>
      </c>
      <c r="G265" s="2">
        <v>1.1000000000000001</v>
      </c>
      <c r="H265" s="2">
        <v>0</v>
      </c>
      <c r="I265" s="2">
        <v>0</v>
      </c>
      <c r="J265" s="2">
        <v>0</v>
      </c>
      <c r="K265" s="2" t="s">
        <v>49</v>
      </c>
      <c r="L265" s="2" t="s">
        <v>146</v>
      </c>
      <c r="M265" s="2" t="s">
        <v>146</v>
      </c>
      <c r="N265" s="2" t="s">
        <v>146</v>
      </c>
      <c r="O265" s="2" t="s">
        <v>146</v>
      </c>
      <c r="P265" s="2" t="s">
        <v>146</v>
      </c>
      <c r="Q265" s="2" t="s">
        <v>49</v>
      </c>
      <c r="R265" s="2" t="s">
        <v>146</v>
      </c>
      <c r="S265" s="2" t="s">
        <v>146</v>
      </c>
      <c r="T265" s="2" t="s">
        <v>146</v>
      </c>
      <c r="U265" s="2" t="s">
        <v>146</v>
      </c>
      <c r="V265" s="2" t="s">
        <v>146</v>
      </c>
      <c r="Y265" s="2" t="str">
        <f t="shared" si="16"/>
        <v>Ja</v>
      </c>
      <c r="AA265" s="2" t="str">
        <f t="shared" si="17"/>
        <v>Nej</v>
      </c>
      <c r="AB265" s="2" t="str">
        <f t="shared" si="18"/>
        <v>ET</v>
      </c>
      <c r="AC265" s="2">
        <f t="shared" si="19"/>
        <v>0</v>
      </c>
    </row>
    <row r="266" spans="1:29" ht="14.25" x14ac:dyDescent="0.45">
      <c r="A266" s="2" t="s">
        <v>333</v>
      </c>
      <c r="B266" s="2" t="s">
        <v>334</v>
      </c>
      <c r="C266" s="2">
        <v>2019</v>
      </c>
      <c r="D266" s="2">
        <v>0.9</v>
      </c>
      <c r="E266" s="2" t="s">
        <v>146</v>
      </c>
      <c r="F266" s="2" t="s">
        <v>49</v>
      </c>
      <c r="G266" s="2">
        <v>2.2000000000000002</v>
      </c>
      <c r="H266" s="2">
        <v>250.8</v>
      </c>
      <c r="I266" s="2">
        <v>0.35</v>
      </c>
      <c r="J266" s="2">
        <v>0.3977</v>
      </c>
      <c r="K266" s="2" t="s">
        <v>49</v>
      </c>
      <c r="L266" s="2" t="s">
        <v>146</v>
      </c>
      <c r="M266" s="2" t="s">
        <v>146</v>
      </c>
      <c r="N266" s="2" t="s">
        <v>146</v>
      </c>
      <c r="O266" s="2" t="s">
        <v>146</v>
      </c>
      <c r="P266" s="2" t="s">
        <v>146</v>
      </c>
      <c r="Q266" s="2" t="s">
        <v>49</v>
      </c>
      <c r="R266" s="2" t="s">
        <v>146</v>
      </c>
      <c r="S266" s="2" t="s">
        <v>146</v>
      </c>
      <c r="T266" s="2" t="s">
        <v>146</v>
      </c>
      <c r="U266" s="2" t="s">
        <v>146</v>
      </c>
      <c r="V266" s="2" t="s">
        <v>146</v>
      </c>
      <c r="Y266" s="2" t="str">
        <f t="shared" si="16"/>
        <v>Ja</v>
      </c>
      <c r="AA266" s="2" t="str">
        <f t="shared" si="17"/>
        <v>Nej</v>
      </c>
      <c r="AB266" s="2" t="str">
        <f t="shared" si="18"/>
        <v>ET</v>
      </c>
      <c r="AC266" s="2">
        <f t="shared" si="19"/>
        <v>0</v>
      </c>
    </row>
    <row r="267" spans="1:29" ht="14.25" x14ac:dyDescent="0.45">
      <c r="A267" s="2" t="s">
        <v>333</v>
      </c>
      <c r="B267" s="2" t="s">
        <v>332</v>
      </c>
      <c r="C267" s="2">
        <v>2019</v>
      </c>
      <c r="D267" s="2">
        <v>0.1</v>
      </c>
      <c r="E267" s="2" t="s">
        <v>146</v>
      </c>
      <c r="F267" s="2" t="s">
        <v>49</v>
      </c>
      <c r="G267" s="2">
        <v>2.2000000000000002</v>
      </c>
      <c r="H267" s="2">
        <v>250.8</v>
      </c>
      <c r="I267" s="2">
        <v>0.35</v>
      </c>
      <c r="J267" s="2">
        <v>0.3977</v>
      </c>
      <c r="K267" s="2" t="s">
        <v>49</v>
      </c>
      <c r="L267" s="2" t="s">
        <v>146</v>
      </c>
      <c r="M267" s="2" t="s">
        <v>146</v>
      </c>
      <c r="N267" s="2" t="s">
        <v>146</v>
      </c>
      <c r="O267" s="2" t="s">
        <v>146</v>
      </c>
      <c r="P267" s="2" t="s">
        <v>146</v>
      </c>
      <c r="Q267" s="2" t="s">
        <v>49</v>
      </c>
      <c r="R267" s="2" t="s">
        <v>146</v>
      </c>
      <c r="S267" s="2" t="s">
        <v>146</v>
      </c>
      <c r="T267" s="2" t="s">
        <v>146</v>
      </c>
      <c r="U267" s="2" t="s">
        <v>146</v>
      </c>
      <c r="V267" s="2" t="s">
        <v>146</v>
      </c>
      <c r="Y267" s="2" t="str">
        <f t="shared" si="16"/>
        <v>Ja</v>
      </c>
      <c r="AA267" s="2" t="str">
        <f t="shared" si="17"/>
        <v>Nej</v>
      </c>
      <c r="AB267" s="2" t="str">
        <f t="shared" si="18"/>
        <v>ET</v>
      </c>
      <c r="AC267" s="2">
        <f t="shared" si="19"/>
        <v>0</v>
      </c>
    </row>
    <row r="268" spans="1:29" ht="14.25" x14ac:dyDescent="0.45">
      <c r="A268" s="2" t="s">
        <v>331</v>
      </c>
      <c r="B268" s="2" t="s">
        <v>330</v>
      </c>
      <c r="C268" s="2">
        <v>2019</v>
      </c>
      <c r="D268" s="2">
        <v>0.19</v>
      </c>
      <c r="E268" s="2" t="s">
        <v>146</v>
      </c>
      <c r="F268" s="2" t="s">
        <v>951</v>
      </c>
      <c r="G268" s="2">
        <v>1.05</v>
      </c>
      <c r="H268" s="2">
        <v>0</v>
      </c>
      <c r="I268" s="2">
        <v>0</v>
      </c>
      <c r="J268" s="2">
        <v>0</v>
      </c>
      <c r="K268" s="2" t="s">
        <v>942</v>
      </c>
      <c r="L268" s="2">
        <v>325.81200000000001</v>
      </c>
      <c r="M268" s="2">
        <v>0.05</v>
      </c>
      <c r="N268" s="2">
        <v>83.4</v>
      </c>
      <c r="O268" s="2">
        <v>4.5999999999999996</v>
      </c>
      <c r="P268" s="2">
        <v>0</v>
      </c>
      <c r="Q268" s="2" t="s">
        <v>176</v>
      </c>
      <c r="R268" s="2" t="s">
        <v>146</v>
      </c>
      <c r="S268" s="2" t="s">
        <v>146</v>
      </c>
      <c r="T268" s="2" t="s">
        <v>146</v>
      </c>
      <c r="U268" s="2" t="s">
        <v>146</v>
      </c>
      <c r="V268" s="2" t="s">
        <v>146</v>
      </c>
      <c r="Y268" s="2" t="str">
        <f t="shared" si="16"/>
        <v>Ja</v>
      </c>
      <c r="AA268" s="2" t="str">
        <f t="shared" si="17"/>
        <v>Nej</v>
      </c>
      <c r="AB268" s="2">
        <f t="shared" si="18"/>
        <v>325.81200000000001</v>
      </c>
      <c r="AC268" s="2">
        <f t="shared" si="19"/>
        <v>0</v>
      </c>
    </row>
    <row r="269" spans="1:29" ht="14.25" x14ac:dyDescent="0.45">
      <c r="A269" s="2" t="s">
        <v>329</v>
      </c>
      <c r="B269" s="2" t="s">
        <v>328</v>
      </c>
      <c r="C269" s="2">
        <v>2019</v>
      </c>
      <c r="D269" s="2" t="s">
        <v>49</v>
      </c>
      <c r="E269" s="2" t="s">
        <v>49</v>
      </c>
      <c r="F269" s="2" t="s">
        <v>49</v>
      </c>
      <c r="G269" s="2" t="s">
        <v>49</v>
      </c>
      <c r="H269" s="2" t="s">
        <v>49</v>
      </c>
      <c r="I269" s="2" t="s">
        <v>49</v>
      </c>
      <c r="J269" s="2" t="s">
        <v>49</v>
      </c>
      <c r="K269" s="2" t="s">
        <v>49</v>
      </c>
      <c r="L269" s="2" t="s">
        <v>49</v>
      </c>
      <c r="M269" s="2" t="s">
        <v>49</v>
      </c>
      <c r="N269" s="2" t="s">
        <v>49</v>
      </c>
      <c r="O269" s="2" t="s">
        <v>49</v>
      </c>
      <c r="P269" s="2" t="s">
        <v>49</v>
      </c>
      <c r="Q269" s="2" t="s">
        <v>49</v>
      </c>
      <c r="R269" s="2" t="s">
        <v>49</v>
      </c>
      <c r="S269" s="2" t="s">
        <v>49</v>
      </c>
      <c r="T269" s="2" t="s">
        <v>49</v>
      </c>
      <c r="U269" s="2" t="s">
        <v>49</v>
      </c>
      <c r="V269" s="2" t="s">
        <v>49</v>
      </c>
      <c r="Y269" s="2" t="str">
        <f t="shared" si="16"/>
        <v>Nej</v>
      </c>
      <c r="AA269" s="2" t="str">
        <f t="shared" si="17"/>
        <v>Nej</v>
      </c>
      <c r="AB269" s="2">
        <f t="shared" si="18"/>
        <v>0</v>
      </c>
      <c r="AC269" s="2">
        <f t="shared" si="19"/>
        <v>0</v>
      </c>
    </row>
    <row r="270" spans="1:29" ht="14.25" x14ac:dyDescent="0.45">
      <c r="A270" s="2" t="s">
        <v>324</v>
      </c>
      <c r="B270" s="2" t="s">
        <v>327</v>
      </c>
      <c r="C270" s="2">
        <v>2019</v>
      </c>
      <c r="D270" s="2">
        <v>3.87</v>
      </c>
      <c r="E270" s="2" t="s">
        <v>146</v>
      </c>
      <c r="F270" s="2" t="s">
        <v>950</v>
      </c>
      <c r="G270" s="2">
        <v>0.95</v>
      </c>
      <c r="H270" s="2">
        <v>0</v>
      </c>
      <c r="I270" s="2">
        <v>0</v>
      </c>
      <c r="J270" s="2">
        <v>0</v>
      </c>
      <c r="K270" s="2" t="s">
        <v>49</v>
      </c>
      <c r="L270" s="2" t="s">
        <v>146</v>
      </c>
      <c r="M270" s="2" t="s">
        <v>146</v>
      </c>
      <c r="N270" s="2" t="s">
        <v>146</v>
      </c>
      <c r="O270" s="2" t="s">
        <v>146</v>
      </c>
      <c r="P270" s="2" t="s">
        <v>146</v>
      </c>
      <c r="Q270" s="2" t="s">
        <v>49</v>
      </c>
      <c r="R270" s="2" t="s">
        <v>146</v>
      </c>
      <c r="S270" s="2" t="s">
        <v>146</v>
      </c>
      <c r="T270" s="2" t="s">
        <v>146</v>
      </c>
      <c r="U270" s="2" t="s">
        <v>146</v>
      </c>
      <c r="V270" s="2" t="s">
        <v>146</v>
      </c>
      <c r="Y270" s="2" t="str">
        <f t="shared" si="16"/>
        <v>Ja</v>
      </c>
      <c r="AA270" s="2" t="str">
        <f t="shared" si="17"/>
        <v>Nej</v>
      </c>
      <c r="AB270" s="2" t="str">
        <f t="shared" si="18"/>
        <v>ET</v>
      </c>
      <c r="AC270" s="2">
        <f t="shared" si="19"/>
        <v>0</v>
      </c>
    </row>
    <row r="271" spans="1:29" ht="14.25" x14ac:dyDescent="0.45">
      <c r="A271" s="2" t="s">
        <v>324</v>
      </c>
      <c r="B271" s="2" t="s">
        <v>326</v>
      </c>
      <c r="C271" s="2">
        <v>2019</v>
      </c>
      <c r="D271" s="2">
        <v>0.83</v>
      </c>
      <c r="E271" s="2" t="s">
        <v>146</v>
      </c>
      <c r="F271" s="2" t="s">
        <v>950</v>
      </c>
      <c r="G271" s="2">
        <v>0.95</v>
      </c>
      <c r="H271" s="2">
        <v>0</v>
      </c>
      <c r="I271" s="2">
        <v>0</v>
      </c>
      <c r="J271" s="2">
        <v>0</v>
      </c>
      <c r="K271" s="2" t="s">
        <v>49</v>
      </c>
      <c r="L271" s="2" t="s">
        <v>146</v>
      </c>
      <c r="M271" s="2" t="s">
        <v>146</v>
      </c>
      <c r="N271" s="2" t="s">
        <v>146</v>
      </c>
      <c r="O271" s="2" t="s">
        <v>146</v>
      </c>
      <c r="P271" s="2" t="s">
        <v>146</v>
      </c>
      <c r="Q271" s="2" t="s">
        <v>49</v>
      </c>
      <c r="R271" s="2" t="s">
        <v>146</v>
      </c>
      <c r="S271" s="2" t="s">
        <v>146</v>
      </c>
      <c r="T271" s="2" t="s">
        <v>146</v>
      </c>
      <c r="U271" s="2" t="s">
        <v>146</v>
      </c>
      <c r="V271" s="2" t="s">
        <v>146</v>
      </c>
      <c r="Y271" s="2" t="str">
        <f t="shared" si="16"/>
        <v>Ja</v>
      </c>
      <c r="AA271" s="2" t="str">
        <f t="shared" si="17"/>
        <v>Nej</v>
      </c>
      <c r="AB271" s="2" t="str">
        <f t="shared" si="18"/>
        <v>ET</v>
      </c>
      <c r="AC271" s="2">
        <f t="shared" si="19"/>
        <v>0</v>
      </c>
    </row>
    <row r="272" spans="1:29" ht="14.25" x14ac:dyDescent="0.45">
      <c r="A272" s="2" t="s">
        <v>324</v>
      </c>
      <c r="B272" s="2" t="s">
        <v>325</v>
      </c>
      <c r="C272" s="2">
        <v>2019</v>
      </c>
      <c r="D272" s="2">
        <v>0.27</v>
      </c>
      <c r="E272" s="2" t="s">
        <v>146</v>
      </c>
      <c r="F272" s="2" t="s">
        <v>950</v>
      </c>
      <c r="G272" s="2">
        <v>0.95</v>
      </c>
      <c r="H272" s="2">
        <v>0</v>
      </c>
      <c r="I272" s="2">
        <v>0</v>
      </c>
      <c r="J272" s="2">
        <v>0</v>
      </c>
      <c r="K272" s="2" t="s">
        <v>49</v>
      </c>
      <c r="L272" s="2" t="s">
        <v>146</v>
      </c>
      <c r="M272" s="2" t="s">
        <v>146</v>
      </c>
      <c r="N272" s="2" t="s">
        <v>146</v>
      </c>
      <c r="O272" s="2" t="s">
        <v>146</v>
      </c>
      <c r="P272" s="2" t="s">
        <v>146</v>
      </c>
      <c r="Q272" s="2" t="s">
        <v>49</v>
      </c>
      <c r="R272" s="2" t="s">
        <v>146</v>
      </c>
      <c r="S272" s="2" t="s">
        <v>146</v>
      </c>
      <c r="T272" s="2" t="s">
        <v>146</v>
      </c>
      <c r="U272" s="2" t="s">
        <v>146</v>
      </c>
      <c r="V272" s="2" t="s">
        <v>146</v>
      </c>
      <c r="Y272" s="2" t="str">
        <f t="shared" si="16"/>
        <v>Ja</v>
      </c>
      <c r="AA272" s="2" t="str">
        <f t="shared" si="17"/>
        <v>Nej</v>
      </c>
      <c r="AB272" s="2" t="str">
        <f t="shared" si="18"/>
        <v>ET</v>
      </c>
      <c r="AC272" s="2">
        <f t="shared" si="19"/>
        <v>0</v>
      </c>
    </row>
    <row r="273" spans="1:29" ht="14.25" x14ac:dyDescent="0.45">
      <c r="A273" s="2" t="s">
        <v>324</v>
      </c>
      <c r="B273" s="2" t="s">
        <v>323</v>
      </c>
      <c r="C273" s="2">
        <v>2019</v>
      </c>
      <c r="D273" s="2">
        <v>1.03</v>
      </c>
      <c r="E273" s="2" t="s">
        <v>146</v>
      </c>
      <c r="F273" s="2" t="s">
        <v>950</v>
      </c>
      <c r="G273" s="2">
        <v>0.95</v>
      </c>
      <c r="H273" s="2">
        <v>0</v>
      </c>
      <c r="I273" s="2">
        <v>0</v>
      </c>
      <c r="J273" s="2">
        <v>0</v>
      </c>
      <c r="K273" s="2" t="s">
        <v>49</v>
      </c>
      <c r="L273" s="2" t="s">
        <v>146</v>
      </c>
      <c r="M273" s="2" t="s">
        <v>146</v>
      </c>
      <c r="N273" s="2" t="s">
        <v>146</v>
      </c>
      <c r="O273" s="2" t="s">
        <v>146</v>
      </c>
      <c r="P273" s="2" t="s">
        <v>146</v>
      </c>
      <c r="Q273" s="2" t="s">
        <v>49</v>
      </c>
      <c r="R273" s="2" t="s">
        <v>146</v>
      </c>
      <c r="S273" s="2" t="s">
        <v>146</v>
      </c>
      <c r="T273" s="2" t="s">
        <v>146</v>
      </c>
      <c r="U273" s="2" t="s">
        <v>146</v>
      </c>
      <c r="V273" s="2" t="s">
        <v>146</v>
      </c>
      <c r="Y273" s="2" t="str">
        <f t="shared" si="16"/>
        <v>Ja</v>
      </c>
      <c r="AA273" s="2" t="str">
        <f t="shared" si="17"/>
        <v>Nej</v>
      </c>
      <c r="AB273" s="2" t="str">
        <f t="shared" si="18"/>
        <v>ET</v>
      </c>
      <c r="AC273" s="2">
        <f t="shared" si="19"/>
        <v>0</v>
      </c>
    </row>
    <row r="274" spans="1:29" ht="14.25" x14ac:dyDescent="0.45">
      <c r="A274" s="2" t="s">
        <v>321</v>
      </c>
      <c r="B274" s="2" t="s">
        <v>322</v>
      </c>
      <c r="C274" s="2">
        <v>2019</v>
      </c>
      <c r="D274" s="2">
        <v>1</v>
      </c>
      <c r="E274" s="2" t="s">
        <v>146</v>
      </c>
      <c r="F274" s="2" t="s">
        <v>949</v>
      </c>
      <c r="G274" s="2">
        <v>1.1000000000000001</v>
      </c>
      <c r="H274" s="2">
        <v>0</v>
      </c>
      <c r="I274" s="2">
        <v>0</v>
      </c>
      <c r="J274" s="2">
        <v>0</v>
      </c>
      <c r="K274" s="2" t="s">
        <v>49</v>
      </c>
      <c r="L274" s="2" t="s">
        <v>146</v>
      </c>
      <c r="M274" s="2" t="s">
        <v>146</v>
      </c>
      <c r="N274" s="2" t="s">
        <v>146</v>
      </c>
      <c r="O274" s="2" t="s">
        <v>146</v>
      </c>
      <c r="P274" s="2" t="s">
        <v>146</v>
      </c>
      <c r="Q274" s="2" t="s">
        <v>49</v>
      </c>
      <c r="R274" s="2" t="s">
        <v>146</v>
      </c>
      <c r="S274" s="2" t="s">
        <v>146</v>
      </c>
      <c r="T274" s="2" t="s">
        <v>146</v>
      </c>
      <c r="U274" s="2" t="s">
        <v>146</v>
      </c>
      <c r="V274" s="2" t="s">
        <v>146</v>
      </c>
      <c r="Y274" s="2" t="str">
        <f t="shared" si="16"/>
        <v>Ja</v>
      </c>
      <c r="AA274" s="2" t="str">
        <f t="shared" si="17"/>
        <v>Nej</v>
      </c>
      <c r="AB274" s="2" t="str">
        <f t="shared" si="18"/>
        <v>ET</v>
      </c>
      <c r="AC274" s="2">
        <f t="shared" si="19"/>
        <v>0</v>
      </c>
    </row>
    <row r="275" spans="1:29" ht="14.25" x14ac:dyDescent="0.45">
      <c r="A275" s="2" t="s">
        <v>321</v>
      </c>
      <c r="B275" s="2" t="s">
        <v>320</v>
      </c>
      <c r="C275" s="2">
        <v>2019</v>
      </c>
      <c r="D275" s="2">
        <v>2.0500000000000001E-2</v>
      </c>
      <c r="E275" s="2" t="s">
        <v>146</v>
      </c>
      <c r="F275" s="2" t="s">
        <v>949</v>
      </c>
      <c r="G275" s="2">
        <v>1.1000000000000001</v>
      </c>
      <c r="H275" s="2">
        <v>0</v>
      </c>
      <c r="I275" s="2">
        <v>0</v>
      </c>
      <c r="J275" s="2">
        <v>0</v>
      </c>
      <c r="K275" s="2" t="s">
        <v>49</v>
      </c>
      <c r="L275" s="2" t="s">
        <v>146</v>
      </c>
      <c r="M275" s="2" t="s">
        <v>146</v>
      </c>
      <c r="N275" s="2" t="s">
        <v>146</v>
      </c>
      <c r="O275" s="2" t="s">
        <v>146</v>
      </c>
      <c r="P275" s="2" t="s">
        <v>146</v>
      </c>
      <c r="Q275" s="2" t="s">
        <v>49</v>
      </c>
      <c r="R275" s="2" t="s">
        <v>146</v>
      </c>
      <c r="S275" s="2" t="s">
        <v>146</v>
      </c>
      <c r="T275" s="2" t="s">
        <v>146</v>
      </c>
      <c r="U275" s="2" t="s">
        <v>146</v>
      </c>
      <c r="V275" s="2" t="s">
        <v>146</v>
      </c>
      <c r="Y275" s="2" t="str">
        <f t="shared" si="16"/>
        <v>Ja</v>
      </c>
      <c r="AA275" s="2" t="str">
        <f t="shared" si="17"/>
        <v>Nej</v>
      </c>
      <c r="AB275" s="2" t="str">
        <f t="shared" si="18"/>
        <v>ET</v>
      </c>
      <c r="AC275" s="2">
        <f t="shared" si="19"/>
        <v>0</v>
      </c>
    </row>
    <row r="276" spans="1:29" ht="14.25" x14ac:dyDescent="0.45">
      <c r="A276" s="2" t="s">
        <v>312</v>
      </c>
      <c r="B276" s="2" t="s">
        <v>319</v>
      </c>
      <c r="C276" s="2">
        <v>2019</v>
      </c>
      <c r="D276" s="2" t="s">
        <v>49</v>
      </c>
      <c r="E276" s="2" t="s">
        <v>49</v>
      </c>
      <c r="F276" s="2" t="s">
        <v>49</v>
      </c>
      <c r="G276" s="2" t="s">
        <v>49</v>
      </c>
      <c r="H276" s="2" t="s">
        <v>49</v>
      </c>
      <c r="I276" s="2" t="s">
        <v>49</v>
      </c>
      <c r="J276" s="2" t="s">
        <v>49</v>
      </c>
      <c r="K276" s="2" t="s">
        <v>49</v>
      </c>
      <c r="L276" s="2" t="s">
        <v>49</v>
      </c>
      <c r="M276" s="2" t="s">
        <v>49</v>
      </c>
      <c r="N276" s="2" t="s">
        <v>49</v>
      </c>
      <c r="O276" s="2" t="s">
        <v>49</v>
      </c>
      <c r="P276" s="2" t="s">
        <v>49</v>
      </c>
      <c r="Q276" s="2" t="s">
        <v>49</v>
      </c>
      <c r="R276" s="2" t="s">
        <v>49</v>
      </c>
      <c r="S276" s="2" t="s">
        <v>49</v>
      </c>
      <c r="T276" s="2" t="s">
        <v>49</v>
      </c>
      <c r="U276" s="2" t="s">
        <v>49</v>
      </c>
      <c r="V276" s="2" t="s">
        <v>49</v>
      </c>
      <c r="Y276" s="2" t="str">
        <f t="shared" si="16"/>
        <v>Nej</v>
      </c>
      <c r="AA276" s="2" t="str">
        <f t="shared" si="17"/>
        <v>Nej</v>
      </c>
      <c r="AB276" s="2">
        <f t="shared" si="18"/>
        <v>0</v>
      </c>
      <c r="AC276" s="2">
        <f t="shared" si="19"/>
        <v>0</v>
      </c>
    </row>
    <row r="277" spans="1:29" ht="14.25" x14ac:dyDescent="0.45">
      <c r="A277" s="2" t="s">
        <v>312</v>
      </c>
      <c r="B277" s="2" t="s">
        <v>318</v>
      </c>
      <c r="C277" s="2">
        <v>2019</v>
      </c>
      <c r="D277" s="2" t="s">
        <v>49</v>
      </c>
      <c r="E277" s="2" t="s">
        <v>49</v>
      </c>
      <c r="F277" s="2" t="s">
        <v>49</v>
      </c>
      <c r="G277" s="2" t="s">
        <v>49</v>
      </c>
      <c r="H277" s="2" t="s">
        <v>49</v>
      </c>
      <c r="I277" s="2" t="s">
        <v>49</v>
      </c>
      <c r="J277" s="2" t="s">
        <v>49</v>
      </c>
      <c r="K277" s="2" t="s">
        <v>49</v>
      </c>
      <c r="L277" s="2" t="s">
        <v>49</v>
      </c>
      <c r="M277" s="2" t="s">
        <v>49</v>
      </c>
      <c r="N277" s="2" t="s">
        <v>49</v>
      </c>
      <c r="O277" s="2" t="s">
        <v>49</v>
      </c>
      <c r="P277" s="2" t="s">
        <v>49</v>
      </c>
      <c r="Q277" s="2" t="s">
        <v>49</v>
      </c>
      <c r="R277" s="2" t="s">
        <v>49</v>
      </c>
      <c r="S277" s="2" t="s">
        <v>49</v>
      </c>
      <c r="T277" s="2" t="s">
        <v>49</v>
      </c>
      <c r="U277" s="2" t="s">
        <v>49</v>
      </c>
      <c r="V277" s="2" t="s">
        <v>49</v>
      </c>
      <c r="Y277" s="2" t="str">
        <f t="shared" si="16"/>
        <v>Nej</v>
      </c>
      <c r="AA277" s="2" t="str">
        <f t="shared" si="17"/>
        <v>Nej</v>
      </c>
      <c r="AB277" s="2">
        <f t="shared" si="18"/>
        <v>0</v>
      </c>
      <c r="AC277" s="2">
        <f t="shared" si="19"/>
        <v>0</v>
      </c>
    </row>
    <row r="278" spans="1:29" ht="14.25" x14ac:dyDescent="0.45">
      <c r="A278" s="2" t="s">
        <v>312</v>
      </c>
      <c r="B278" s="2" t="s">
        <v>317</v>
      </c>
      <c r="C278" s="2">
        <v>2019</v>
      </c>
      <c r="D278" s="2" t="s">
        <v>49</v>
      </c>
      <c r="E278" s="2" t="s">
        <v>49</v>
      </c>
      <c r="F278" s="2" t="s">
        <v>49</v>
      </c>
      <c r="G278" s="2" t="s">
        <v>49</v>
      </c>
      <c r="H278" s="2" t="s">
        <v>49</v>
      </c>
      <c r="I278" s="2" t="s">
        <v>49</v>
      </c>
      <c r="J278" s="2" t="s">
        <v>49</v>
      </c>
      <c r="K278" s="2" t="s">
        <v>49</v>
      </c>
      <c r="L278" s="2" t="s">
        <v>49</v>
      </c>
      <c r="M278" s="2" t="s">
        <v>49</v>
      </c>
      <c r="N278" s="2" t="s">
        <v>49</v>
      </c>
      <c r="O278" s="2" t="s">
        <v>49</v>
      </c>
      <c r="P278" s="2" t="s">
        <v>49</v>
      </c>
      <c r="Q278" s="2" t="s">
        <v>49</v>
      </c>
      <c r="R278" s="2" t="s">
        <v>49</v>
      </c>
      <c r="S278" s="2" t="s">
        <v>49</v>
      </c>
      <c r="T278" s="2" t="s">
        <v>49</v>
      </c>
      <c r="U278" s="2" t="s">
        <v>49</v>
      </c>
      <c r="V278" s="2" t="s">
        <v>49</v>
      </c>
      <c r="Y278" s="2" t="str">
        <f t="shared" si="16"/>
        <v>Nej</v>
      </c>
      <c r="AA278" s="2" t="str">
        <f t="shared" si="17"/>
        <v>Nej</v>
      </c>
      <c r="AB278" s="2">
        <f t="shared" si="18"/>
        <v>0</v>
      </c>
      <c r="AC278" s="2">
        <f t="shared" si="19"/>
        <v>0</v>
      </c>
    </row>
    <row r="279" spans="1:29" ht="14.25" x14ac:dyDescent="0.45">
      <c r="A279" s="2" t="s">
        <v>312</v>
      </c>
      <c r="B279" s="2" t="s">
        <v>112</v>
      </c>
      <c r="C279" s="2">
        <v>2019</v>
      </c>
      <c r="D279" s="2">
        <v>101.374</v>
      </c>
      <c r="E279" s="2">
        <v>330.13799999999998</v>
      </c>
      <c r="F279" s="2" t="s">
        <v>948</v>
      </c>
      <c r="G279" s="2">
        <v>0.1</v>
      </c>
      <c r="H279" s="2">
        <v>0</v>
      </c>
      <c r="I279" s="2">
        <v>0</v>
      </c>
      <c r="J279" s="2">
        <v>0</v>
      </c>
      <c r="K279" s="2" t="s">
        <v>176</v>
      </c>
      <c r="L279" s="2" t="s">
        <v>146</v>
      </c>
      <c r="M279" s="2" t="s">
        <v>146</v>
      </c>
      <c r="N279" s="2" t="s">
        <v>146</v>
      </c>
      <c r="O279" s="2" t="s">
        <v>146</v>
      </c>
      <c r="P279" s="2" t="s">
        <v>146</v>
      </c>
      <c r="Q279" s="2" t="s">
        <v>176</v>
      </c>
      <c r="R279" s="2">
        <v>1159.893</v>
      </c>
      <c r="S279" s="2">
        <v>4.3799999999999999E-2</v>
      </c>
      <c r="T279" s="2">
        <v>29.86</v>
      </c>
      <c r="U279" s="2">
        <v>2.65</v>
      </c>
      <c r="V279" s="2">
        <v>0.5</v>
      </c>
      <c r="Y279" s="2" t="str">
        <f t="shared" si="16"/>
        <v>Ja</v>
      </c>
      <c r="AA279" s="2" t="str">
        <f t="shared" si="17"/>
        <v>Nej</v>
      </c>
      <c r="AB279" s="2" t="str">
        <f t="shared" si="18"/>
        <v>ET</v>
      </c>
      <c r="AC279" s="2">
        <f t="shared" si="19"/>
        <v>0</v>
      </c>
    </row>
    <row r="280" spans="1:29" ht="14.25" x14ac:dyDescent="0.45">
      <c r="A280" s="2" t="s">
        <v>312</v>
      </c>
      <c r="B280" s="2" t="s">
        <v>316</v>
      </c>
      <c r="C280" s="2">
        <v>2019</v>
      </c>
      <c r="D280" s="2" t="s">
        <v>49</v>
      </c>
      <c r="E280" s="2" t="s">
        <v>49</v>
      </c>
      <c r="F280" s="2" t="s">
        <v>49</v>
      </c>
      <c r="G280" s="2" t="s">
        <v>49</v>
      </c>
      <c r="H280" s="2" t="s">
        <v>49</v>
      </c>
      <c r="I280" s="2" t="s">
        <v>49</v>
      </c>
      <c r="J280" s="2" t="s">
        <v>49</v>
      </c>
      <c r="K280" s="2" t="s">
        <v>49</v>
      </c>
      <c r="L280" s="2" t="s">
        <v>49</v>
      </c>
      <c r="M280" s="2" t="s">
        <v>49</v>
      </c>
      <c r="N280" s="2" t="s">
        <v>49</v>
      </c>
      <c r="O280" s="2" t="s">
        <v>49</v>
      </c>
      <c r="P280" s="2" t="s">
        <v>49</v>
      </c>
      <c r="Q280" s="2" t="s">
        <v>49</v>
      </c>
      <c r="R280" s="2" t="s">
        <v>49</v>
      </c>
      <c r="S280" s="2" t="s">
        <v>49</v>
      </c>
      <c r="T280" s="2" t="s">
        <v>49</v>
      </c>
      <c r="U280" s="2" t="s">
        <v>49</v>
      </c>
      <c r="V280" s="2" t="s">
        <v>49</v>
      </c>
      <c r="Y280" s="2" t="str">
        <f t="shared" si="16"/>
        <v>Nej</v>
      </c>
      <c r="AA280" s="2" t="str">
        <f t="shared" si="17"/>
        <v>Nej</v>
      </c>
      <c r="AB280" s="2">
        <f t="shared" si="18"/>
        <v>0</v>
      </c>
      <c r="AC280" s="2">
        <f t="shared" si="19"/>
        <v>0</v>
      </c>
    </row>
    <row r="281" spans="1:29" ht="14.25" x14ac:dyDescent="0.45">
      <c r="A281" s="2" t="s">
        <v>312</v>
      </c>
      <c r="B281" s="2" t="s">
        <v>315</v>
      </c>
      <c r="C281" s="2">
        <v>2019</v>
      </c>
      <c r="D281" s="2" t="s">
        <v>49</v>
      </c>
      <c r="E281" s="2" t="s">
        <v>49</v>
      </c>
      <c r="F281" s="2" t="s">
        <v>49</v>
      </c>
      <c r="G281" s="2" t="s">
        <v>49</v>
      </c>
      <c r="H281" s="2" t="s">
        <v>49</v>
      </c>
      <c r="I281" s="2" t="s">
        <v>49</v>
      </c>
      <c r="J281" s="2" t="s">
        <v>49</v>
      </c>
      <c r="K281" s="2" t="s">
        <v>49</v>
      </c>
      <c r="L281" s="2" t="s">
        <v>49</v>
      </c>
      <c r="M281" s="2" t="s">
        <v>49</v>
      </c>
      <c r="N281" s="2" t="s">
        <v>49</v>
      </c>
      <c r="O281" s="2" t="s">
        <v>49</v>
      </c>
      <c r="P281" s="2" t="s">
        <v>49</v>
      </c>
      <c r="Q281" s="2" t="s">
        <v>49</v>
      </c>
      <c r="R281" s="2" t="s">
        <v>49</v>
      </c>
      <c r="S281" s="2" t="s">
        <v>49</v>
      </c>
      <c r="T281" s="2" t="s">
        <v>49</v>
      </c>
      <c r="U281" s="2" t="s">
        <v>49</v>
      </c>
      <c r="V281" s="2" t="s">
        <v>49</v>
      </c>
      <c r="Y281" s="2" t="str">
        <f t="shared" si="16"/>
        <v>Nej</v>
      </c>
      <c r="AA281" s="2" t="str">
        <f t="shared" si="17"/>
        <v>Nej</v>
      </c>
      <c r="AB281" s="2">
        <f t="shared" si="18"/>
        <v>0</v>
      </c>
      <c r="AC281" s="2">
        <f t="shared" si="19"/>
        <v>0</v>
      </c>
    </row>
    <row r="282" spans="1:29" ht="14.25" x14ac:dyDescent="0.45">
      <c r="A282" s="2" t="s">
        <v>312</v>
      </c>
      <c r="B282" s="2" t="s">
        <v>314</v>
      </c>
      <c r="C282" s="2">
        <v>2019</v>
      </c>
      <c r="D282" s="2" t="s">
        <v>49</v>
      </c>
      <c r="E282" s="2" t="s">
        <v>49</v>
      </c>
      <c r="F282" s="2" t="s">
        <v>49</v>
      </c>
      <c r="G282" s="2" t="s">
        <v>49</v>
      </c>
      <c r="H282" s="2" t="s">
        <v>49</v>
      </c>
      <c r="I282" s="2" t="s">
        <v>49</v>
      </c>
      <c r="J282" s="2" t="s">
        <v>49</v>
      </c>
      <c r="K282" s="2" t="s">
        <v>49</v>
      </c>
      <c r="L282" s="2" t="s">
        <v>49</v>
      </c>
      <c r="M282" s="2" t="s">
        <v>49</v>
      </c>
      <c r="N282" s="2" t="s">
        <v>49</v>
      </c>
      <c r="O282" s="2" t="s">
        <v>49</v>
      </c>
      <c r="P282" s="2" t="s">
        <v>49</v>
      </c>
      <c r="Q282" s="2" t="s">
        <v>49</v>
      </c>
      <c r="R282" s="2" t="s">
        <v>49</v>
      </c>
      <c r="S282" s="2" t="s">
        <v>49</v>
      </c>
      <c r="T282" s="2" t="s">
        <v>49</v>
      </c>
      <c r="U282" s="2" t="s">
        <v>49</v>
      </c>
      <c r="V282" s="2" t="s">
        <v>49</v>
      </c>
      <c r="Y282" s="2" t="str">
        <f t="shared" si="16"/>
        <v>Nej</v>
      </c>
      <c r="AA282" s="2" t="str">
        <f t="shared" si="17"/>
        <v>Nej</v>
      </c>
      <c r="AB282" s="2">
        <f t="shared" si="18"/>
        <v>0</v>
      </c>
      <c r="AC282" s="2">
        <f t="shared" si="19"/>
        <v>0</v>
      </c>
    </row>
    <row r="283" spans="1:29" ht="14.25" x14ac:dyDescent="0.45">
      <c r="A283" s="2" t="s">
        <v>312</v>
      </c>
      <c r="B283" s="2" t="s">
        <v>313</v>
      </c>
      <c r="C283" s="2">
        <v>2019</v>
      </c>
      <c r="D283" s="2">
        <v>0.751</v>
      </c>
      <c r="E283" s="2" t="s">
        <v>146</v>
      </c>
      <c r="F283" s="2" t="s">
        <v>49</v>
      </c>
      <c r="G283" s="2">
        <v>2.2000000000000002</v>
      </c>
      <c r="H283" s="2">
        <v>250.8</v>
      </c>
      <c r="I283" s="2">
        <v>0.35</v>
      </c>
      <c r="J283" s="2" t="s">
        <v>49</v>
      </c>
      <c r="K283" s="2" t="s">
        <v>49</v>
      </c>
      <c r="L283" s="2" t="s">
        <v>146</v>
      </c>
      <c r="M283" s="2" t="s">
        <v>146</v>
      </c>
      <c r="N283" s="2" t="s">
        <v>146</v>
      </c>
      <c r="O283" s="2" t="s">
        <v>146</v>
      </c>
      <c r="P283" s="2" t="s">
        <v>146</v>
      </c>
      <c r="Q283" s="2" t="s">
        <v>49</v>
      </c>
      <c r="R283" s="2" t="s">
        <v>146</v>
      </c>
      <c r="S283" s="2" t="s">
        <v>146</v>
      </c>
      <c r="T283" s="2" t="s">
        <v>146</v>
      </c>
      <c r="U283" s="2" t="s">
        <v>146</v>
      </c>
      <c r="V283" s="2" t="s">
        <v>146</v>
      </c>
      <c r="Y283" s="2" t="str">
        <f t="shared" si="16"/>
        <v>Ja</v>
      </c>
      <c r="AA283" s="2" t="str">
        <f t="shared" si="17"/>
        <v>Nej</v>
      </c>
      <c r="AB283" s="2" t="str">
        <f t="shared" si="18"/>
        <v>ET</v>
      </c>
      <c r="AC283" s="2">
        <f t="shared" si="19"/>
        <v>0</v>
      </c>
    </row>
    <row r="284" spans="1:29" ht="14.25" x14ac:dyDescent="0.45">
      <c r="A284" s="2" t="s">
        <v>312</v>
      </c>
      <c r="B284" s="2" t="s">
        <v>311</v>
      </c>
      <c r="C284" s="2">
        <v>2019</v>
      </c>
      <c r="D284" s="2" t="s">
        <v>49</v>
      </c>
      <c r="E284" s="2" t="s">
        <v>49</v>
      </c>
      <c r="F284" s="2" t="s">
        <v>49</v>
      </c>
      <c r="G284" s="2" t="s">
        <v>49</v>
      </c>
      <c r="H284" s="2" t="s">
        <v>49</v>
      </c>
      <c r="I284" s="2" t="s">
        <v>49</v>
      </c>
      <c r="J284" s="2" t="s">
        <v>49</v>
      </c>
      <c r="K284" s="2" t="s">
        <v>49</v>
      </c>
      <c r="L284" s="2" t="s">
        <v>49</v>
      </c>
      <c r="M284" s="2" t="s">
        <v>49</v>
      </c>
      <c r="N284" s="2" t="s">
        <v>49</v>
      </c>
      <c r="O284" s="2" t="s">
        <v>49</v>
      </c>
      <c r="P284" s="2" t="s">
        <v>49</v>
      </c>
      <c r="Q284" s="2" t="s">
        <v>49</v>
      </c>
      <c r="R284" s="2" t="s">
        <v>49</v>
      </c>
      <c r="S284" s="2" t="s">
        <v>49</v>
      </c>
      <c r="T284" s="2" t="s">
        <v>49</v>
      </c>
      <c r="U284" s="2" t="s">
        <v>49</v>
      </c>
      <c r="V284" s="2" t="s">
        <v>49</v>
      </c>
      <c r="Y284" s="2" t="str">
        <f t="shared" si="16"/>
        <v>Nej</v>
      </c>
      <c r="AA284" s="2" t="str">
        <f t="shared" si="17"/>
        <v>Nej</v>
      </c>
      <c r="AB284" s="2">
        <f t="shared" si="18"/>
        <v>0</v>
      </c>
      <c r="AC284" s="2">
        <f t="shared" si="19"/>
        <v>0</v>
      </c>
    </row>
    <row r="285" spans="1:29" ht="14.25" x14ac:dyDescent="0.45">
      <c r="A285" s="2" t="s">
        <v>305</v>
      </c>
      <c r="B285" s="2" t="s">
        <v>310</v>
      </c>
      <c r="C285" s="2">
        <v>2019</v>
      </c>
      <c r="D285" s="2">
        <v>0.76200000000000001</v>
      </c>
      <c r="E285" s="2" t="s">
        <v>146</v>
      </c>
      <c r="F285" s="2" t="s">
        <v>49</v>
      </c>
      <c r="G285" s="2">
        <v>2.2000000000000002</v>
      </c>
      <c r="H285" s="2">
        <v>250.8</v>
      </c>
      <c r="I285" s="2">
        <v>0.35</v>
      </c>
      <c r="J285" s="2">
        <v>0.3977</v>
      </c>
      <c r="K285" s="2" t="s">
        <v>49</v>
      </c>
      <c r="L285" s="2" t="s">
        <v>146</v>
      </c>
      <c r="M285" s="2" t="s">
        <v>146</v>
      </c>
      <c r="N285" s="2" t="s">
        <v>146</v>
      </c>
      <c r="O285" s="2" t="s">
        <v>146</v>
      </c>
      <c r="P285" s="2" t="s">
        <v>146</v>
      </c>
      <c r="Q285" s="2" t="s">
        <v>49</v>
      </c>
      <c r="R285" s="2" t="s">
        <v>146</v>
      </c>
      <c r="S285" s="2" t="s">
        <v>146</v>
      </c>
      <c r="T285" s="2" t="s">
        <v>146</v>
      </c>
      <c r="U285" s="2" t="s">
        <v>146</v>
      </c>
      <c r="V285" s="2" t="s">
        <v>146</v>
      </c>
      <c r="Y285" s="2" t="str">
        <f t="shared" si="16"/>
        <v>Ja</v>
      </c>
      <c r="AA285" s="2" t="str">
        <f t="shared" si="17"/>
        <v>Nej</v>
      </c>
      <c r="AB285" s="2" t="str">
        <f t="shared" si="18"/>
        <v>ET</v>
      </c>
      <c r="AC285" s="2">
        <f t="shared" si="19"/>
        <v>0</v>
      </c>
    </row>
    <row r="286" spans="1:29" ht="14.25" x14ac:dyDescent="0.45">
      <c r="A286" s="2" t="s">
        <v>305</v>
      </c>
      <c r="B286" s="2" t="s">
        <v>309</v>
      </c>
      <c r="C286" s="2">
        <v>2019</v>
      </c>
      <c r="D286" s="2">
        <v>0.52800000000000002</v>
      </c>
      <c r="E286" s="2" t="s">
        <v>146</v>
      </c>
      <c r="F286" s="2" t="s">
        <v>49</v>
      </c>
      <c r="G286" s="2">
        <v>2.2000000000000002</v>
      </c>
      <c r="H286" s="2">
        <v>250.8</v>
      </c>
      <c r="I286" s="2">
        <v>0.35</v>
      </c>
      <c r="J286" s="2">
        <v>0.3977</v>
      </c>
      <c r="K286" s="2" t="s">
        <v>49</v>
      </c>
      <c r="L286" s="2" t="s">
        <v>146</v>
      </c>
      <c r="M286" s="2" t="s">
        <v>146</v>
      </c>
      <c r="N286" s="2" t="s">
        <v>146</v>
      </c>
      <c r="O286" s="2" t="s">
        <v>146</v>
      </c>
      <c r="P286" s="2" t="s">
        <v>146</v>
      </c>
      <c r="Q286" s="2" t="s">
        <v>49</v>
      </c>
      <c r="R286" s="2" t="s">
        <v>146</v>
      </c>
      <c r="S286" s="2" t="s">
        <v>146</v>
      </c>
      <c r="T286" s="2" t="s">
        <v>146</v>
      </c>
      <c r="U286" s="2" t="s">
        <v>146</v>
      </c>
      <c r="V286" s="2" t="s">
        <v>146</v>
      </c>
      <c r="Y286" s="2" t="str">
        <f t="shared" si="16"/>
        <v>Ja</v>
      </c>
      <c r="AA286" s="2" t="str">
        <f t="shared" si="17"/>
        <v>Nej</v>
      </c>
      <c r="AB286" s="2" t="str">
        <f t="shared" si="18"/>
        <v>ET</v>
      </c>
      <c r="AC286" s="2">
        <f t="shared" si="19"/>
        <v>0</v>
      </c>
    </row>
    <row r="287" spans="1:29" ht="14.25" x14ac:dyDescent="0.45">
      <c r="A287" s="2" t="s">
        <v>305</v>
      </c>
      <c r="B287" s="2" t="s">
        <v>308</v>
      </c>
      <c r="C287" s="2">
        <v>2019</v>
      </c>
      <c r="D287" s="2">
        <v>9.5069999999999997</v>
      </c>
      <c r="E287" s="2">
        <v>13.712999999999999</v>
      </c>
      <c r="F287" s="2" t="s">
        <v>49</v>
      </c>
      <c r="G287" s="2">
        <v>2.2000000000000002</v>
      </c>
      <c r="H287" s="2">
        <v>250.8</v>
      </c>
      <c r="I287" s="2">
        <v>0.35</v>
      </c>
      <c r="J287" s="2">
        <v>0.3977</v>
      </c>
      <c r="K287" s="2" t="s">
        <v>49</v>
      </c>
      <c r="L287" s="2" t="s">
        <v>146</v>
      </c>
      <c r="M287" s="2" t="s">
        <v>146</v>
      </c>
      <c r="N287" s="2" t="s">
        <v>146</v>
      </c>
      <c r="O287" s="2" t="s">
        <v>146</v>
      </c>
      <c r="P287" s="2" t="s">
        <v>146</v>
      </c>
      <c r="Q287" s="2" t="s">
        <v>49</v>
      </c>
      <c r="R287" s="2">
        <v>80.099999999999994</v>
      </c>
      <c r="S287" s="2">
        <v>0</v>
      </c>
      <c r="T287" s="2">
        <v>0</v>
      </c>
      <c r="U287" s="2">
        <v>0</v>
      </c>
      <c r="V287" s="2">
        <v>0</v>
      </c>
      <c r="Y287" s="2" t="str">
        <f t="shared" si="16"/>
        <v>Ja</v>
      </c>
      <c r="AA287" s="2" t="str">
        <f t="shared" si="17"/>
        <v>Nej</v>
      </c>
      <c r="AB287" s="2" t="str">
        <f t="shared" si="18"/>
        <v>ET</v>
      </c>
      <c r="AC287" s="2">
        <f t="shared" si="19"/>
        <v>0</v>
      </c>
    </row>
    <row r="288" spans="1:29" ht="14.25" x14ac:dyDescent="0.45">
      <c r="A288" s="2" t="s">
        <v>305</v>
      </c>
      <c r="B288" s="2" t="s">
        <v>307</v>
      </c>
      <c r="C288" s="2">
        <v>2019</v>
      </c>
      <c r="D288" s="2" t="s">
        <v>49</v>
      </c>
      <c r="E288" s="2" t="s">
        <v>49</v>
      </c>
      <c r="F288" s="2" t="s">
        <v>49</v>
      </c>
      <c r="G288" s="2" t="s">
        <v>49</v>
      </c>
      <c r="H288" s="2" t="s">
        <v>49</v>
      </c>
      <c r="I288" s="2" t="s">
        <v>49</v>
      </c>
      <c r="J288" s="2" t="s">
        <v>49</v>
      </c>
      <c r="K288" s="2" t="s">
        <v>49</v>
      </c>
      <c r="L288" s="2" t="s">
        <v>49</v>
      </c>
      <c r="M288" s="2" t="s">
        <v>49</v>
      </c>
      <c r="N288" s="2" t="s">
        <v>49</v>
      </c>
      <c r="O288" s="2" t="s">
        <v>49</v>
      </c>
      <c r="P288" s="2" t="s">
        <v>49</v>
      </c>
      <c r="Q288" s="2" t="s">
        <v>49</v>
      </c>
      <c r="R288" s="2" t="s">
        <v>49</v>
      </c>
      <c r="S288" s="2" t="s">
        <v>49</v>
      </c>
      <c r="T288" s="2" t="s">
        <v>49</v>
      </c>
      <c r="U288" s="2" t="s">
        <v>49</v>
      </c>
      <c r="V288" s="2" t="s">
        <v>49</v>
      </c>
      <c r="Y288" s="2" t="str">
        <f t="shared" si="16"/>
        <v>Nej</v>
      </c>
      <c r="AA288" s="2" t="str">
        <f t="shared" si="17"/>
        <v>Nej</v>
      </c>
      <c r="AB288" s="2">
        <f t="shared" si="18"/>
        <v>0</v>
      </c>
      <c r="AC288" s="2">
        <f t="shared" si="19"/>
        <v>0</v>
      </c>
    </row>
    <row r="289" spans="1:29" ht="14.25" x14ac:dyDescent="0.45">
      <c r="A289" s="2" t="s">
        <v>305</v>
      </c>
      <c r="B289" s="2" t="s">
        <v>306</v>
      </c>
      <c r="C289" s="2">
        <v>2019</v>
      </c>
      <c r="D289" s="2">
        <v>2.14</v>
      </c>
      <c r="E289" s="2">
        <v>0.81</v>
      </c>
      <c r="F289" s="2" t="s">
        <v>49</v>
      </c>
      <c r="G289" s="2">
        <v>2.2000000000000002</v>
      </c>
      <c r="H289" s="2">
        <v>250.8</v>
      </c>
      <c r="I289" s="2">
        <v>0.35</v>
      </c>
      <c r="J289" s="2">
        <v>0.3977</v>
      </c>
      <c r="K289" s="2" t="s">
        <v>49</v>
      </c>
      <c r="L289" s="2" t="s">
        <v>146</v>
      </c>
      <c r="M289" s="2" t="s">
        <v>146</v>
      </c>
      <c r="N289" s="2" t="s">
        <v>146</v>
      </c>
      <c r="O289" s="2" t="s">
        <v>146</v>
      </c>
      <c r="P289" s="2" t="s">
        <v>146</v>
      </c>
      <c r="Q289" s="2" t="s">
        <v>49</v>
      </c>
      <c r="R289" s="2" t="s">
        <v>146</v>
      </c>
      <c r="S289" s="2" t="s">
        <v>146</v>
      </c>
      <c r="T289" s="2" t="s">
        <v>146</v>
      </c>
      <c r="U289" s="2" t="s">
        <v>146</v>
      </c>
      <c r="V289" s="2" t="s">
        <v>146</v>
      </c>
      <c r="Y289" s="2" t="str">
        <f t="shared" si="16"/>
        <v>Ja</v>
      </c>
      <c r="AA289" s="2" t="str">
        <f t="shared" si="17"/>
        <v>Nej</v>
      </c>
      <c r="AB289" s="2" t="str">
        <f t="shared" si="18"/>
        <v>ET</v>
      </c>
      <c r="AC289" s="2">
        <f t="shared" si="19"/>
        <v>0</v>
      </c>
    </row>
    <row r="290" spans="1:29" ht="14.25" x14ac:dyDescent="0.45">
      <c r="A290" s="2" t="s">
        <v>305</v>
      </c>
      <c r="B290" s="2" t="s">
        <v>304</v>
      </c>
      <c r="C290" s="2">
        <v>2019</v>
      </c>
      <c r="D290" s="2">
        <v>0.1</v>
      </c>
      <c r="E290" s="2" t="s">
        <v>146</v>
      </c>
      <c r="F290" s="2" t="s">
        <v>947</v>
      </c>
      <c r="G290" s="2">
        <v>0.8</v>
      </c>
      <c r="H290" s="2">
        <v>0</v>
      </c>
      <c r="I290" s="2">
        <v>0</v>
      </c>
      <c r="J290" s="2">
        <v>0</v>
      </c>
      <c r="K290" s="2" t="s">
        <v>49</v>
      </c>
      <c r="L290" s="2" t="s">
        <v>146</v>
      </c>
      <c r="M290" s="2" t="s">
        <v>146</v>
      </c>
      <c r="N290" s="2" t="s">
        <v>146</v>
      </c>
      <c r="O290" s="2" t="s">
        <v>146</v>
      </c>
      <c r="P290" s="2" t="s">
        <v>146</v>
      </c>
      <c r="Q290" s="2" t="s">
        <v>49</v>
      </c>
      <c r="R290" s="2" t="s">
        <v>146</v>
      </c>
      <c r="S290" s="2" t="s">
        <v>146</v>
      </c>
      <c r="T290" s="2" t="s">
        <v>146</v>
      </c>
      <c r="U290" s="2" t="s">
        <v>146</v>
      </c>
      <c r="V290" s="2" t="s">
        <v>146</v>
      </c>
      <c r="Y290" s="2" t="str">
        <f t="shared" si="16"/>
        <v>Ja</v>
      </c>
      <c r="AA290" s="2" t="str">
        <f t="shared" si="17"/>
        <v>Nej</v>
      </c>
      <c r="AB290" s="2" t="str">
        <f t="shared" si="18"/>
        <v>ET</v>
      </c>
      <c r="AC290" s="2">
        <f t="shared" si="19"/>
        <v>0</v>
      </c>
    </row>
    <row r="291" spans="1:29" ht="14.25" x14ac:dyDescent="0.45">
      <c r="A291" s="2" t="s">
        <v>303</v>
      </c>
      <c r="B291" s="2" t="s">
        <v>35</v>
      </c>
      <c r="C291" s="2">
        <v>2019</v>
      </c>
      <c r="D291" s="2" t="s">
        <v>49</v>
      </c>
      <c r="E291" s="2" t="s">
        <v>49</v>
      </c>
      <c r="F291" s="2" t="s">
        <v>49</v>
      </c>
      <c r="G291" s="2" t="s">
        <v>49</v>
      </c>
      <c r="H291" s="2" t="s">
        <v>49</v>
      </c>
      <c r="I291" s="2" t="s">
        <v>49</v>
      </c>
      <c r="J291" s="2" t="s">
        <v>49</v>
      </c>
      <c r="K291" s="2" t="s">
        <v>49</v>
      </c>
      <c r="L291" s="2" t="s">
        <v>49</v>
      </c>
      <c r="M291" s="2" t="s">
        <v>49</v>
      </c>
      <c r="N291" s="2" t="s">
        <v>49</v>
      </c>
      <c r="O291" s="2" t="s">
        <v>49</v>
      </c>
      <c r="P291" s="2" t="s">
        <v>49</v>
      </c>
      <c r="Q291" s="2" t="s">
        <v>49</v>
      </c>
      <c r="R291" s="2" t="s">
        <v>49</v>
      </c>
      <c r="S291" s="2" t="s">
        <v>49</v>
      </c>
      <c r="T291" s="2" t="s">
        <v>49</v>
      </c>
      <c r="U291" s="2" t="s">
        <v>49</v>
      </c>
      <c r="V291" s="2" t="s">
        <v>49</v>
      </c>
      <c r="Y291" s="2" t="str">
        <f t="shared" si="16"/>
        <v>Nej</v>
      </c>
      <c r="AA291" s="2" t="str">
        <f t="shared" si="17"/>
        <v>Nej</v>
      </c>
      <c r="AB291" s="2">
        <f t="shared" si="18"/>
        <v>0</v>
      </c>
      <c r="AC291" s="2">
        <f t="shared" si="19"/>
        <v>0</v>
      </c>
    </row>
    <row r="292" spans="1:29" ht="14.25" x14ac:dyDescent="0.45">
      <c r="A292" s="2" t="s">
        <v>299</v>
      </c>
      <c r="B292" s="2" t="s">
        <v>302</v>
      </c>
      <c r="C292" s="2">
        <v>2019</v>
      </c>
      <c r="D292" s="2">
        <v>3.1085000000000002E-2</v>
      </c>
      <c r="E292" s="2" t="s">
        <v>146</v>
      </c>
      <c r="F292" s="2" t="s">
        <v>946</v>
      </c>
      <c r="G292" s="2">
        <v>1.462</v>
      </c>
      <c r="H292" s="2">
        <v>0</v>
      </c>
      <c r="I292" s="2">
        <v>0</v>
      </c>
      <c r="J292" s="2">
        <v>0</v>
      </c>
      <c r="K292" s="2" t="s">
        <v>49</v>
      </c>
      <c r="L292" s="2" t="s">
        <v>146</v>
      </c>
      <c r="M292" s="2" t="s">
        <v>146</v>
      </c>
      <c r="N292" s="2" t="s">
        <v>146</v>
      </c>
      <c r="O292" s="2" t="s">
        <v>146</v>
      </c>
      <c r="P292" s="2" t="s">
        <v>146</v>
      </c>
      <c r="Q292" s="2" t="s">
        <v>49</v>
      </c>
      <c r="R292" s="2" t="s">
        <v>146</v>
      </c>
      <c r="S292" s="2" t="s">
        <v>146</v>
      </c>
      <c r="T292" s="2" t="s">
        <v>146</v>
      </c>
      <c r="U292" s="2" t="s">
        <v>146</v>
      </c>
      <c r="V292" s="2" t="s">
        <v>146</v>
      </c>
      <c r="Y292" s="2" t="str">
        <f t="shared" si="16"/>
        <v>Ja</v>
      </c>
      <c r="AA292" s="2" t="str">
        <f t="shared" si="17"/>
        <v>Nej</v>
      </c>
      <c r="AB292" s="2" t="str">
        <f t="shared" si="18"/>
        <v>ET</v>
      </c>
      <c r="AC292" s="2">
        <f t="shared" si="19"/>
        <v>0</v>
      </c>
    </row>
    <row r="293" spans="1:29" ht="14.25" x14ac:dyDescent="0.45">
      <c r="A293" s="2" t="s">
        <v>299</v>
      </c>
      <c r="B293" s="2" t="s">
        <v>301</v>
      </c>
      <c r="C293" s="2">
        <v>2019</v>
      </c>
      <c r="D293" s="2" t="s">
        <v>146</v>
      </c>
      <c r="E293" s="2" t="s">
        <v>146</v>
      </c>
      <c r="F293" s="2" t="s">
        <v>49</v>
      </c>
      <c r="G293" s="2">
        <v>2.2000000000000002</v>
      </c>
      <c r="H293" s="2">
        <v>250.8</v>
      </c>
      <c r="I293" s="2">
        <v>0.35</v>
      </c>
      <c r="J293" s="2">
        <v>0.3977</v>
      </c>
      <c r="K293" s="2" t="s">
        <v>49</v>
      </c>
      <c r="L293" s="2" t="s">
        <v>146</v>
      </c>
      <c r="M293" s="2" t="s">
        <v>146</v>
      </c>
      <c r="N293" s="2" t="s">
        <v>146</v>
      </c>
      <c r="O293" s="2" t="s">
        <v>146</v>
      </c>
      <c r="P293" s="2" t="s">
        <v>146</v>
      </c>
      <c r="Q293" s="2" t="s">
        <v>49</v>
      </c>
      <c r="R293" s="2" t="s">
        <v>146</v>
      </c>
      <c r="S293" s="2" t="s">
        <v>146</v>
      </c>
      <c r="T293" s="2" t="s">
        <v>146</v>
      </c>
      <c r="U293" s="2" t="s">
        <v>146</v>
      </c>
      <c r="V293" s="2" t="s">
        <v>146</v>
      </c>
      <c r="Y293" s="2" t="str">
        <f t="shared" si="16"/>
        <v>Ja</v>
      </c>
      <c r="AA293" s="2" t="str">
        <f t="shared" si="17"/>
        <v>Nej</v>
      </c>
      <c r="AB293" s="2" t="str">
        <f t="shared" si="18"/>
        <v>ET</v>
      </c>
      <c r="AC293" s="2">
        <f t="shared" si="19"/>
        <v>0</v>
      </c>
    </row>
    <row r="294" spans="1:29" ht="14.25" x14ac:dyDescent="0.45">
      <c r="A294" s="2" t="s">
        <v>299</v>
      </c>
      <c r="B294" s="2" t="s">
        <v>300</v>
      </c>
      <c r="C294" s="2">
        <v>2019</v>
      </c>
      <c r="D294" s="2">
        <v>5.7000000000000002E-2</v>
      </c>
      <c r="E294" s="2" t="s">
        <v>146</v>
      </c>
      <c r="F294" s="2" t="s">
        <v>946</v>
      </c>
      <c r="G294" s="2">
        <v>1.462</v>
      </c>
      <c r="H294" s="2">
        <v>0</v>
      </c>
      <c r="I294" s="2">
        <v>0</v>
      </c>
      <c r="J294" s="2">
        <v>0</v>
      </c>
      <c r="K294" s="2" t="s">
        <v>49</v>
      </c>
      <c r="L294" s="2" t="s">
        <v>146</v>
      </c>
      <c r="M294" s="2" t="s">
        <v>146</v>
      </c>
      <c r="N294" s="2" t="s">
        <v>146</v>
      </c>
      <c r="O294" s="2" t="s">
        <v>146</v>
      </c>
      <c r="P294" s="2" t="s">
        <v>146</v>
      </c>
      <c r="Q294" s="2" t="s">
        <v>49</v>
      </c>
      <c r="R294" s="2" t="s">
        <v>146</v>
      </c>
      <c r="S294" s="2" t="s">
        <v>146</v>
      </c>
      <c r="T294" s="2" t="s">
        <v>146</v>
      </c>
      <c r="U294" s="2" t="s">
        <v>146</v>
      </c>
      <c r="V294" s="2" t="s">
        <v>146</v>
      </c>
      <c r="Y294" s="2" t="str">
        <f t="shared" si="16"/>
        <v>Ja</v>
      </c>
      <c r="AA294" s="2" t="str">
        <f t="shared" si="17"/>
        <v>Nej</v>
      </c>
      <c r="AB294" s="2" t="str">
        <f t="shared" si="18"/>
        <v>ET</v>
      </c>
      <c r="AC294" s="2">
        <f t="shared" si="19"/>
        <v>0</v>
      </c>
    </row>
    <row r="295" spans="1:29" ht="14.25" x14ac:dyDescent="0.45">
      <c r="A295" s="2" t="s">
        <v>299</v>
      </c>
      <c r="B295" s="2" t="s">
        <v>298</v>
      </c>
      <c r="C295" s="2">
        <v>2019</v>
      </c>
      <c r="D295" s="2">
        <v>2.7589999999999999</v>
      </c>
      <c r="E295" s="2">
        <v>4.8890000000000002</v>
      </c>
      <c r="F295" s="2" t="s">
        <v>946</v>
      </c>
      <c r="G295" s="2">
        <v>1.462</v>
      </c>
      <c r="H295" s="2">
        <v>0</v>
      </c>
      <c r="I295" s="2">
        <v>0</v>
      </c>
      <c r="J295" s="2">
        <v>0</v>
      </c>
      <c r="K295" s="2" t="s">
        <v>49</v>
      </c>
      <c r="L295" s="2" t="s">
        <v>146</v>
      </c>
      <c r="M295" s="2" t="s">
        <v>146</v>
      </c>
      <c r="N295" s="2" t="s">
        <v>146</v>
      </c>
      <c r="O295" s="2" t="s">
        <v>146</v>
      </c>
      <c r="P295" s="2" t="s">
        <v>146</v>
      </c>
      <c r="Q295" s="2" t="s">
        <v>49</v>
      </c>
      <c r="R295" s="2" t="s">
        <v>146</v>
      </c>
      <c r="S295" s="2" t="s">
        <v>146</v>
      </c>
      <c r="T295" s="2" t="s">
        <v>146</v>
      </c>
      <c r="U295" s="2" t="s">
        <v>146</v>
      </c>
      <c r="V295" s="2" t="s">
        <v>146</v>
      </c>
      <c r="Y295" s="2" t="str">
        <f t="shared" si="16"/>
        <v>Ja</v>
      </c>
      <c r="AA295" s="2" t="str">
        <f t="shared" si="17"/>
        <v>Nej</v>
      </c>
      <c r="AB295" s="2" t="str">
        <f t="shared" si="18"/>
        <v>ET</v>
      </c>
      <c r="AC295" s="2">
        <f t="shared" si="19"/>
        <v>0</v>
      </c>
    </row>
    <row r="296" spans="1:29" ht="14.25" x14ac:dyDescent="0.45">
      <c r="A296" s="2" t="s">
        <v>297</v>
      </c>
      <c r="B296" s="2" t="s">
        <v>296</v>
      </c>
      <c r="C296" s="2">
        <v>2019</v>
      </c>
      <c r="D296" s="2">
        <v>21</v>
      </c>
      <c r="E296" s="2">
        <v>32.533999999999999</v>
      </c>
      <c r="F296" s="2" t="s">
        <v>943</v>
      </c>
      <c r="G296" s="2">
        <v>0.28000000000000003</v>
      </c>
      <c r="H296" s="2">
        <v>0</v>
      </c>
      <c r="I296" s="2">
        <v>0</v>
      </c>
      <c r="J296" s="2">
        <v>0</v>
      </c>
      <c r="K296" s="2" t="s">
        <v>942</v>
      </c>
      <c r="L296" s="2">
        <v>102.14100000000001</v>
      </c>
      <c r="M296" s="2">
        <v>0.09</v>
      </c>
      <c r="N296" s="2">
        <v>20.5</v>
      </c>
      <c r="O296" s="2">
        <v>2.7</v>
      </c>
      <c r="P296" s="2">
        <v>5.53</v>
      </c>
      <c r="Q296" s="2" t="s">
        <v>49</v>
      </c>
      <c r="R296" s="2" t="s">
        <v>146</v>
      </c>
      <c r="S296" s="2" t="s">
        <v>146</v>
      </c>
      <c r="T296" s="2" t="s">
        <v>146</v>
      </c>
      <c r="U296" s="2" t="s">
        <v>146</v>
      </c>
      <c r="V296" s="2" t="s">
        <v>146</v>
      </c>
      <c r="Y296" s="2" t="str">
        <f t="shared" si="16"/>
        <v>Ja</v>
      </c>
      <c r="AA296" s="2" t="str">
        <f t="shared" si="17"/>
        <v>Nej</v>
      </c>
      <c r="AB296" s="2">
        <f t="shared" si="18"/>
        <v>102.14100000000001</v>
      </c>
      <c r="AC296" s="2">
        <f t="shared" si="19"/>
        <v>0</v>
      </c>
    </row>
    <row r="297" spans="1:29" ht="14.25" x14ac:dyDescent="0.45">
      <c r="A297" s="2" t="s">
        <v>295</v>
      </c>
      <c r="B297" s="2" t="s">
        <v>127</v>
      </c>
      <c r="C297" s="2">
        <v>2019</v>
      </c>
      <c r="D297" s="2" t="s">
        <v>146</v>
      </c>
      <c r="E297" s="2" t="s">
        <v>146</v>
      </c>
      <c r="F297" s="2" t="s">
        <v>49</v>
      </c>
      <c r="G297" s="2">
        <v>2.2000000000000002</v>
      </c>
      <c r="H297" s="2">
        <v>250.8</v>
      </c>
      <c r="I297" s="2">
        <v>0.35</v>
      </c>
      <c r="J297" s="2">
        <v>0.3977</v>
      </c>
      <c r="K297" s="2" t="s">
        <v>49</v>
      </c>
      <c r="L297" s="2" t="s">
        <v>146</v>
      </c>
      <c r="M297" s="2" t="s">
        <v>146</v>
      </c>
      <c r="N297" s="2" t="s">
        <v>146</v>
      </c>
      <c r="O297" s="2" t="s">
        <v>146</v>
      </c>
      <c r="P297" s="2" t="s">
        <v>146</v>
      </c>
      <c r="Q297" s="2" t="s">
        <v>49</v>
      </c>
      <c r="R297" s="2" t="s">
        <v>146</v>
      </c>
      <c r="S297" s="2" t="s">
        <v>146</v>
      </c>
      <c r="T297" s="2" t="s">
        <v>146</v>
      </c>
      <c r="U297" s="2" t="s">
        <v>146</v>
      </c>
      <c r="V297" s="2" t="s">
        <v>146</v>
      </c>
      <c r="Y297" s="2" t="str">
        <f t="shared" si="16"/>
        <v>Ja</v>
      </c>
      <c r="AA297" s="2" t="str">
        <f t="shared" si="17"/>
        <v>Nej</v>
      </c>
      <c r="AB297" s="2" t="str">
        <f t="shared" si="18"/>
        <v>ET</v>
      </c>
      <c r="AC297" s="2">
        <f t="shared" si="19"/>
        <v>0</v>
      </c>
    </row>
    <row r="298" spans="1:29" ht="14.25" x14ac:dyDescent="0.45">
      <c r="A298" s="2" t="s">
        <v>289</v>
      </c>
      <c r="B298" s="2" t="s">
        <v>294</v>
      </c>
      <c r="C298" s="2">
        <v>2019</v>
      </c>
      <c r="D298" s="2">
        <v>0.40300000000000002</v>
      </c>
      <c r="E298" s="2" t="s">
        <v>146</v>
      </c>
      <c r="F298" s="2" t="s">
        <v>945</v>
      </c>
      <c r="G298" s="2">
        <v>0.03</v>
      </c>
      <c r="H298" s="2">
        <v>0</v>
      </c>
      <c r="I298" s="2">
        <v>0</v>
      </c>
      <c r="J298" s="2">
        <v>0</v>
      </c>
      <c r="K298" s="2" t="s">
        <v>176</v>
      </c>
      <c r="L298" s="2" t="s">
        <v>146</v>
      </c>
      <c r="M298" s="2" t="s">
        <v>146</v>
      </c>
      <c r="N298" s="2" t="s">
        <v>146</v>
      </c>
      <c r="O298" s="2" t="s">
        <v>146</v>
      </c>
      <c r="P298" s="2" t="s">
        <v>146</v>
      </c>
      <c r="Q298" s="2" t="s">
        <v>176</v>
      </c>
      <c r="R298" s="2" t="s">
        <v>146</v>
      </c>
      <c r="S298" s="2" t="s">
        <v>146</v>
      </c>
      <c r="T298" s="2" t="s">
        <v>146</v>
      </c>
      <c r="U298" s="2" t="s">
        <v>146</v>
      </c>
      <c r="V298" s="2" t="s">
        <v>146</v>
      </c>
      <c r="Y298" s="2" t="str">
        <f t="shared" si="16"/>
        <v>Ja</v>
      </c>
      <c r="AA298" s="2" t="str">
        <f t="shared" si="17"/>
        <v>Nej</v>
      </c>
      <c r="AB298" s="2" t="str">
        <f t="shared" si="18"/>
        <v>ET</v>
      </c>
      <c r="AC298" s="2">
        <f t="shared" si="19"/>
        <v>0</v>
      </c>
    </row>
    <row r="299" spans="1:29" ht="14.25" x14ac:dyDescent="0.45">
      <c r="A299" s="2" t="s">
        <v>289</v>
      </c>
      <c r="B299" s="2" t="s">
        <v>293</v>
      </c>
      <c r="C299" s="2">
        <v>2019</v>
      </c>
      <c r="D299" s="2">
        <v>3.3849999999999998</v>
      </c>
      <c r="E299" s="2">
        <v>2.8250000000000002</v>
      </c>
      <c r="F299" s="2" t="s">
        <v>945</v>
      </c>
      <c r="G299" s="2">
        <v>0.03</v>
      </c>
      <c r="H299" s="2">
        <v>0</v>
      </c>
      <c r="I299" s="2">
        <v>0</v>
      </c>
      <c r="J299" s="2">
        <v>0</v>
      </c>
      <c r="K299" s="2" t="s">
        <v>176</v>
      </c>
      <c r="L299" s="2" t="s">
        <v>146</v>
      </c>
      <c r="M299" s="2" t="s">
        <v>146</v>
      </c>
      <c r="N299" s="2" t="s">
        <v>146</v>
      </c>
      <c r="O299" s="2" t="s">
        <v>146</v>
      </c>
      <c r="P299" s="2" t="s">
        <v>146</v>
      </c>
      <c r="Q299" s="2" t="s">
        <v>176</v>
      </c>
      <c r="R299" s="2" t="s">
        <v>146</v>
      </c>
      <c r="S299" s="2" t="s">
        <v>146</v>
      </c>
      <c r="T299" s="2" t="s">
        <v>146</v>
      </c>
      <c r="U299" s="2" t="s">
        <v>146</v>
      </c>
      <c r="V299" s="2" t="s">
        <v>146</v>
      </c>
      <c r="Y299" s="2" t="str">
        <f t="shared" si="16"/>
        <v>Ja</v>
      </c>
      <c r="AA299" s="2" t="str">
        <f t="shared" si="17"/>
        <v>Nej</v>
      </c>
      <c r="AB299" s="2" t="str">
        <f t="shared" si="18"/>
        <v>ET</v>
      </c>
      <c r="AC299" s="2">
        <f t="shared" si="19"/>
        <v>0</v>
      </c>
    </row>
    <row r="300" spans="1:29" ht="14.25" x14ac:dyDescent="0.45">
      <c r="A300" s="2" t="s">
        <v>289</v>
      </c>
      <c r="B300" s="2" t="s">
        <v>292</v>
      </c>
      <c r="C300" s="2">
        <v>2019</v>
      </c>
      <c r="D300" s="2">
        <v>3.0000000000000001E-3</v>
      </c>
      <c r="E300" s="2" t="s">
        <v>146</v>
      </c>
      <c r="F300" s="2" t="s">
        <v>945</v>
      </c>
      <c r="G300" s="2">
        <v>0.03</v>
      </c>
      <c r="H300" s="2">
        <v>0</v>
      </c>
      <c r="I300" s="2">
        <v>0</v>
      </c>
      <c r="J300" s="2">
        <v>0</v>
      </c>
      <c r="K300" s="2" t="s">
        <v>176</v>
      </c>
      <c r="L300" s="2" t="s">
        <v>146</v>
      </c>
      <c r="M300" s="2" t="s">
        <v>146</v>
      </c>
      <c r="N300" s="2" t="s">
        <v>146</v>
      </c>
      <c r="O300" s="2" t="s">
        <v>146</v>
      </c>
      <c r="P300" s="2" t="s">
        <v>146</v>
      </c>
      <c r="Q300" s="2" t="s">
        <v>176</v>
      </c>
      <c r="R300" s="2" t="s">
        <v>146</v>
      </c>
      <c r="S300" s="2" t="s">
        <v>146</v>
      </c>
      <c r="T300" s="2" t="s">
        <v>146</v>
      </c>
      <c r="U300" s="2" t="s">
        <v>146</v>
      </c>
      <c r="V300" s="2" t="s">
        <v>146</v>
      </c>
      <c r="Y300" s="2" t="str">
        <f t="shared" si="16"/>
        <v>Ja</v>
      </c>
      <c r="AA300" s="2" t="str">
        <f t="shared" si="17"/>
        <v>Nej</v>
      </c>
      <c r="AB300" s="2" t="str">
        <f t="shared" si="18"/>
        <v>ET</v>
      </c>
      <c r="AC300" s="2">
        <f t="shared" si="19"/>
        <v>0</v>
      </c>
    </row>
    <row r="301" spans="1:29" ht="14.25" x14ac:dyDescent="0.45">
      <c r="A301" s="2" t="s">
        <v>289</v>
      </c>
      <c r="B301" s="2" t="s">
        <v>291</v>
      </c>
      <c r="C301" s="2">
        <v>2019</v>
      </c>
      <c r="D301" s="2">
        <v>3.1629999999999998</v>
      </c>
      <c r="E301" s="2">
        <v>68.131</v>
      </c>
      <c r="F301" s="2" t="s">
        <v>913</v>
      </c>
      <c r="G301" s="2">
        <v>1.1000000000000001</v>
      </c>
      <c r="H301" s="2">
        <v>0</v>
      </c>
      <c r="I301" s="2">
        <v>0</v>
      </c>
      <c r="J301" s="2">
        <v>0</v>
      </c>
      <c r="K301" s="2" t="s">
        <v>176</v>
      </c>
      <c r="L301" s="2" t="s">
        <v>146</v>
      </c>
      <c r="M301" s="2" t="s">
        <v>146</v>
      </c>
      <c r="N301" s="2" t="s">
        <v>146</v>
      </c>
      <c r="O301" s="2" t="s">
        <v>146</v>
      </c>
      <c r="P301" s="2" t="s">
        <v>146</v>
      </c>
      <c r="Q301" s="2" t="s">
        <v>176</v>
      </c>
      <c r="R301" s="2">
        <v>3.5</v>
      </c>
      <c r="S301" s="2">
        <v>0.05</v>
      </c>
      <c r="T301" s="2">
        <v>4</v>
      </c>
      <c r="U301" s="2">
        <v>3</v>
      </c>
      <c r="V301" s="2">
        <v>0</v>
      </c>
      <c r="Y301" s="2" t="str">
        <f t="shared" si="16"/>
        <v>Ja</v>
      </c>
      <c r="AA301" s="2" t="str">
        <f t="shared" si="17"/>
        <v>Nej</v>
      </c>
      <c r="AB301" s="2" t="str">
        <f t="shared" si="18"/>
        <v>ET</v>
      </c>
      <c r="AC301" s="2">
        <f t="shared" si="19"/>
        <v>0</v>
      </c>
    </row>
    <row r="302" spans="1:29" ht="14.25" x14ac:dyDescent="0.45">
      <c r="A302" s="2" t="s">
        <v>289</v>
      </c>
      <c r="B302" s="2" t="s">
        <v>290</v>
      </c>
      <c r="C302" s="2">
        <v>2019</v>
      </c>
      <c r="D302" s="2">
        <v>0.39</v>
      </c>
      <c r="E302" s="2" t="s">
        <v>146</v>
      </c>
      <c r="F302" s="2" t="s">
        <v>176</v>
      </c>
      <c r="G302" s="2">
        <v>2.2000000000000002</v>
      </c>
      <c r="H302" s="2">
        <v>250.8</v>
      </c>
      <c r="I302" s="2">
        <v>0.35</v>
      </c>
      <c r="J302" s="2">
        <v>0.3977</v>
      </c>
      <c r="K302" s="2" t="s">
        <v>176</v>
      </c>
      <c r="L302" s="2" t="s">
        <v>146</v>
      </c>
      <c r="M302" s="2" t="s">
        <v>146</v>
      </c>
      <c r="N302" s="2" t="s">
        <v>146</v>
      </c>
      <c r="O302" s="2" t="s">
        <v>146</v>
      </c>
      <c r="P302" s="2" t="s">
        <v>146</v>
      </c>
      <c r="Q302" s="2" t="s">
        <v>176</v>
      </c>
      <c r="R302" s="2" t="s">
        <v>146</v>
      </c>
      <c r="S302" s="2" t="s">
        <v>146</v>
      </c>
      <c r="T302" s="2" t="s">
        <v>146</v>
      </c>
      <c r="U302" s="2" t="s">
        <v>146</v>
      </c>
      <c r="V302" s="2" t="s">
        <v>146</v>
      </c>
      <c r="Y302" s="2" t="str">
        <f t="shared" si="16"/>
        <v>Ja</v>
      </c>
      <c r="AA302" s="2" t="str">
        <f t="shared" si="17"/>
        <v>Nej</v>
      </c>
      <c r="AB302" s="2" t="str">
        <f t="shared" si="18"/>
        <v>ET</v>
      </c>
      <c r="AC302" s="2">
        <f t="shared" si="19"/>
        <v>0</v>
      </c>
    </row>
    <row r="303" spans="1:29" ht="14.25" x14ac:dyDescent="0.45">
      <c r="A303" s="2" t="s">
        <v>289</v>
      </c>
      <c r="B303" s="2" t="s">
        <v>288</v>
      </c>
      <c r="C303" s="2">
        <v>2019</v>
      </c>
      <c r="D303" s="2">
        <v>0.59499999999999997</v>
      </c>
      <c r="E303" s="2" t="s">
        <v>146</v>
      </c>
      <c r="F303" s="2" t="s">
        <v>176</v>
      </c>
      <c r="G303" s="2">
        <v>2.2000000000000002</v>
      </c>
      <c r="H303" s="2">
        <v>250.8</v>
      </c>
      <c r="I303" s="2">
        <v>0.35</v>
      </c>
      <c r="J303" s="2">
        <v>0.3977</v>
      </c>
      <c r="K303" s="2" t="s">
        <v>176</v>
      </c>
      <c r="L303" s="2" t="s">
        <v>146</v>
      </c>
      <c r="M303" s="2" t="s">
        <v>146</v>
      </c>
      <c r="N303" s="2" t="s">
        <v>146</v>
      </c>
      <c r="O303" s="2" t="s">
        <v>146</v>
      </c>
      <c r="P303" s="2" t="s">
        <v>146</v>
      </c>
      <c r="Q303" s="2" t="s">
        <v>176</v>
      </c>
      <c r="R303" s="2" t="s">
        <v>146</v>
      </c>
      <c r="S303" s="2" t="s">
        <v>146</v>
      </c>
      <c r="T303" s="2" t="s">
        <v>146</v>
      </c>
      <c r="U303" s="2" t="s">
        <v>146</v>
      </c>
      <c r="V303" s="2" t="s">
        <v>146</v>
      </c>
      <c r="Y303" s="2" t="str">
        <f t="shared" si="16"/>
        <v>Ja</v>
      </c>
      <c r="AA303" s="2" t="str">
        <f t="shared" si="17"/>
        <v>Nej</v>
      </c>
      <c r="AB303" s="2" t="str">
        <f t="shared" si="18"/>
        <v>ET</v>
      </c>
      <c r="AC303" s="2">
        <f t="shared" si="19"/>
        <v>0</v>
      </c>
    </row>
    <row r="304" spans="1:29" ht="14.25" x14ac:dyDescent="0.45">
      <c r="A304" s="2" t="s">
        <v>286</v>
      </c>
      <c r="B304" s="2" t="s">
        <v>287</v>
      </c>
      <c r="C304" s="2">
        <v>2019</v>
      </c>
      <c r="D304" s="2">
        <v>2.2000000000000002</v>
      </c>
      <c r="E304" s="2" t="s">
        <v>146</v>
      </c>
      <c r="F304" s="2" t="s">
        <v>944</v>
      </c>
      <c r="G304" s="2">
        <v>1</v>
      </c>
      <c r="H304" s="2">
        <v>0</v>
      </c>
      <c r="I304" s="2">
        <v>0</v>
      </c>
      <c r="J304" s="2">
        <v>0</v>
      </c>
      <c r="K304" s="2" t="s">
        <v>49</v>
      </c>
      <c r="L304" s="2" t="s">
        <v>146</v>
      </c>
      <c r="M304" s="2" t="s">
        <v>146</v>
      </c>
      <c r="N304" s="2" t="s">
        <v>146</v>
      </c>
      <c r="O304" s="2" t="s">
        <v>146</v>
      </c>
      <c r="P304" s="2" t="s">
        <v>146</v>
      </c>
      <c r="Q304" s="2" t="s">
        <v>49</v>
      </c>
      <c r="R304" s="2" t="s">
        <v>146</v>
      </c>
      <c r="S304" s="2" t="s">
        <v>146</v>
      </c>
      <c r="T304" s="2" t="s">
        <v>146</v>
      </c>
      <c r="U304" s="2" t="s">
        <v>146</v>
      </c>
      <c r="V304" s="2" t="s">
        <v>146</v>
      </c>
      <c r="Y304" s="2" t="str">
        <f t="shared" si="16"/>
        <v>Ja</v>
      </c>
      <c r="AA304" s="2" t="str">
        <f t="shared" si="17"/>
        <v>Nej</v>
      </c>
      <c r="AB304" s="2" t="str">
        <f t="shared" si="18"/>
        <v>ET</v>
      </c>
      <c r="AC304" s="2">
        <f t="shared" si="19"/>
        <v>0</v>
      </c>
    </row>
    <row r="305" spans="1:29" ht="14.25" x14ac:dyDescent="0.45">
      <c r="A305" s="2" t="s">
        <v>286</v>
      </c>
      <c r="B305" s="2" t="s">
        <v>285</v>
      </c>
      <c r="C305" s="2">
        <v>2019</v>
      </c>
      <c r="D305" s="2">
        <v>20</v>
      </c>
      <c r="E305" s="2">
        <v>25.3</v>
      </c>
      <c r="F305" s="2" t="s">
        <v>943</v>
      </c>
      <c r="G305" s="2">
        <v>0.28000000000000003</v>
      </c>
      <c r="H305" s="2">
        <v>0</v>
      </c>
      <c r="I305" s="2">
        <v>0</v>
      </c>
      <c r="J305" s="2">
        <v>0</v>
      </c>
      <c r="K305" s="2" t="s">
        <v>942</v>
      </c>
      <c r="L305" s="2">
        <v>9.2100000000000009</v>
      </c>
      <c r="M305" s="2">
        <v>0.1</v>
      </c>
      <c r="N305" s="2">
        <v>3</v>
      </c>
      <c r="O305" s="2">
        <v>0.6</v>
      </c>
      <c r="P305" s="2">
        <v>1</v>
      </c>
      <c r="Q305" s="2" t="s">
        <v>49</v>
      </c>
      <c r="R305" s="2" t="s">
        <v>146</v>
      </c>
      <c r="S305" s="2" t="s">
        <v>146</v>
      </c>
      <c r="T305" s="2" t="s">
        <v>146</v>
      </c>
      <c r="U305" s="2" t="s">
        <v>146</v>
      </c>
      <c r="V305" s="2" t="s">
        <v>146</v>
      </c>
      <c r="Y305" s="2" t="str">
        <f t="shared" si="16"/>
        <v>Ja</v>
      </c>
      <c r="AA305" s="2" t="str">
        <f t="shared" si="17"/>
        <v>Nej</v>
      </c>
      <c r="AB305" s="2">
        <f t="shared" si="18"/>
        <v>9.2100000000000009</v>
      </c>
      <c r="AC305" s="2">
        <f t="shared" si="19"/>
        <v>0</v>
      </c>
    </row>
    <row r="306" spans="1:29" ht="14.25" x14ac:dyDescent="0.45">
      <c r="A306" s="2" t="s">
        <v>284</v>
      </c>
      <c r="B306" s="2" t="s">
        <v>283</v>
      </c>
      <c r="C306" s="2">
        <v>2019</v>
      </c>
      <c r="D306" s="2">
        <v>0.3</v>
      </c>
      <c r="E306" s="2">
        <v>1.958</v>
      </c>
      <c r="F306" s="2" t="s">
        <v>916</v>
      </c>
      <c r="G306" s="2">
        <v>1.1000000000000001</v>
      </c>
      <c r="H306" s="2">
        <v>0</v>
      </c>
      <c r="I306" s="2">
        <v>0</v>
      </c>
      <c r="J306" s="2">
        <v>0</v>
      </c>
      <c r="K306" s="2" t="s">
        <v>49</v>
      </c>
      <c r="L306" s="2" t="s">
        <v>146</v>
      </c>
      <c r="M306" s="2" t="s">
        <v>146</v>
      </c>
      <c r="N306" s="2" t="s">
        <v>146</v>
      </c>
      <c r="O306" s="2" t="s">
        <v>146</v>
      </c>
      <c r="P306" s="2" t="s">
        <v>146</v>
      </c>
      <c r="Q306" s="2" t="s">
        <v>49</v>
      </c>
      <c r="R306" s="2" t="s">
        <v>146</v>
      </c>
      <c r="S306" s="2" t="s">
        <v>146</v>
      </c>
      <c r="T306" s="2" t="s">
        <v>146</v>
      </c>
      <c r="U306" s="2" t="s">
        <v>146</v>
      </c>
      <c r="V306" s="2" t="s">
        <v>146</v>
      </c>
      <c r="Y306" s="2" t="str">
        <f t="shared" si="16"/>
        <v>Ja</v>
      </c>
      <c r="AA306" s="2" t="str">
        <f t="shared" si="17"/>
        <v>Nej</v>
      </c>
      <c r="AB306" s="2" t="str">
        <f t="shared" si="18"/>
        <v>ET</v>
      </c>
      <c r="AC306" s="2">
        <f t="shared" si="19"/>
        <v>0</v>
      </c>
    </row>
    <row r="307" spans="1:29" ht="14.25" x14ac:dyDescent="0.45">
      <c r="A307" s="2" t="s">
        <v>280</v>
      </c>
      <c r="B307" s="2" t="s">
        <v>282</v>
      </c>
      <c r="C307" s="2">
        <v>2019</v>
      </c>
      <c r="D307" s="2">
        <v>7.8200000000000006E-2</v>
      </c>
      <c r="E307" s="2" t="s">
        <v>146</v>
      </c>
      <c r="F307" s="2" t="s">
        <v>913</v>
      </c>
      <c r="G307" s="2">
        <v>1.1000000000000001</v>
      </c>
      <c r="H307" s="2">
        <v>0</v>
      </c>
      <c r="I307" s="2">
        <v>0</v>
      </c>
      <c r="J307" s="2">
        <v>0</v>
      </c>
      <c r="K307" s="2" t="s">
        <v>49</v>
      </c>
      <c r="L307" s="2" t="s">
        <v>146</v>
      </c>
      <c r="M307" s="2" t="s">
        <v>146</v>
      </c>
      <c r="N307" s="2" t="s">
        <v>146</v>
      </c>
      <c r="O307" s="2" t="s">
        <v>146</v>
      </c>
      <c r="P307" s="2" t="s">
        <v>146</v>
      </c>
      <c r="Q307" s="2" t="s">
        <v>49</v>
      </c>
      <c r="R307" s="2" t="s">
        <v>146</v>
      </c>
      <c r="S307" s="2" t="s">
        <v>146</v>
      </c>
      <c r="T307" s="2" t="s">
        <v>146</v>
      </c>
      <c r="U307" s="2" t="s">
        <v>146</v>
      </c>
      <c r="V307" s="2" t="s">
        <v>146</v>
      </c>
      <c r="Y307" s="2" t="str">
        <f t="shared" si="16"/>
        <v>Ja</v>
      </c>
      <c r="AA307" s="2" t="str">
        <f t="shared" si="17"/>
        <v>Nej</v>
      </c>
      <c r="AB307" s="2" t="str">
        <f t="shared" si="18"/>
        <v>ET</v>
      </c>
      <c r="AC307" s="2">
        <f t="shared" si="19"/>
        <v>0</v>
      </c>
    </row>
    <row r="308" spans="1:29" ht="14.25" x14ac:dyDescent="0.45">
      <c r="A308" s="2" t="s">
        <v>280</v>
      </c>
      <c r="B308" s="2" t="s">
        <v>281</v>
      </c>
      <c r="C308" s="2">
        <v>2019</v>
      </c>
      <c r="D308" s="2">
        <v>1.1779999999999999</v>
      </c>
      <c r="E308" s="2" t="s">
        <v>146</v>
      </c>
      <c r="F308" s="2" t="s">
        <v>913</v>
      </c>
      <c r="G308" s="2">
        <v>1.1000000000000001</v>
      </c>
      <c r="H308" s="2">
        <v>0</v>
      </c>
      <c r="I308" s="2">
        <v>0</v>
      </c>
      <c r="J308" s="2">
        <v>0</v>
      </c>
      <c r="K308" s="2" t="s">
        <v>49</v>
      </c>
      <c r="L308" s="2" t="s">
        <v>146</v>
      </c>
      <c r="M308" s="2" t="s">
        <v>146</v>
      </c>
      <c r="N308" s="2" t="s">
        <v>146</v>
      </c>
      <c r="O308" s="2" t="s">
        <v>146</v>
      </c>
      <c r="P308" s="2" t="s">
        <v>146</v>
      </c>
      <c r="Q308" s="2" t="s">
        <v>49</v>
      </c>
      <c r="R308" s="2" t="s">
        <v>146</v>
      </c>
      <c r="S308" s="2" t="s">
        <v>146</v>
      </c>
      <c r="T308" s="2" t="s">
        <v>146</v>
      </c>
      <c r="U308" s="2" t="s">
        <v>146</v>
      </c>
      <c r="V308" s="2" t="s">
        <v>146</v>
      </c>
      <c r="Y308" s="2" t="str">
        <f t="shared" si="16"/>
        <v>Ja</v>
      </c>
      <c r="AA308" s="2" t="str">
        <f t="shared" si="17"/>
        <v>Nej</v>
      </c>
      <c r="AB308" s="2" t="str">
        <f t="shared" si="18"/>
        <v>ET</v>
      </c>
      <c r="AC308" s="2">
        <f t="shared" si="19"/>
        <v>0</v>
      </c>
    </row>
    <row r="309" spans="1:29" ht="14.25" x14ac:dyDescent="0.45">
      <c r="A309" s="2" t="s">
        <v>280</v>
      </c>
      <c r="B309" s="2" t="s">
        <v>279</v>
      </c>
      <c r="C309" s="2">
        <v>2019</v>
      </c>
      <c r="D309" s="2">
        <v>0.152</v>
      </c>
      <c r="E309" s="2" t="s">
        <v>146</v>
      </c>
      <c r="F309" s="2" t="s">
        <v>913</v>
      </c>
      <c r="G309" s="2">
        <v>1.1000000000000001</v>
      </c>
      <c r="H309" s="2">
        <v>0</v>
      </c>
      <c r="I309" s="2">
        <v>0</v>
      </c>
      <c r="J309" s="2">
        <v>0</v>
      </c>
      <c r="K309" s="2" t="s">
        <v>49</v>
      </c>
      <c r="L309" s="2" t="s">
        <v>146</v>
      </c>
      <c r="M309" s="2" t="s">
        <v>146</v>
      </c>
      <c r="N309" s="2" t="s">
        <v>146</v>
      </c>
      <c r="O309" s="2" t="s">
        <v>146</v>
      </c>
      <c r="P309" s="2" t="s">
        <v>146</v>
      </c>
      <c r="Q309" s="2" t="s">
        <v>49</v>
      </c>
      <c r="R309" s="2" t="s">
        <v>146</v>
      </c>
      <c r="S309" s="2" t="s">
        <v>146</v>
      </c>
      <c r="T309" s="2" t="s">
        <v>146</v>
      </c>
      <c r="U309" s="2" t="s">
        <v>146</v>
      </c>
      <c r="V309" s="2" t="s">
        <v>146</v>
      </c>
      <c r="Y309" s="2" t="str">
        <f t="shared" si="16"/>
        <v>Ja</v>
      </c>
      <c r="AA309" s="2" t="str">
        <f t="shared" si="17"/>
        <v>Nej</v>
      </c>
      <c r="AB309" s="2" t="str">
        <f t="shared" si="18"/>
        <v>ET</v>
      </c>
      <c r="AC309" s="2">
        <f t="shared" si="19"/>
        <v>0</v>
      </c>
    </row>
    <row r="310" spans="1:29" ht="14.25" x14ac:dyDescent="0.45">
      <c r="A310" s="2" t="s">
        <v>278</v>
      </c>
      <c r="B310" s="2" t="s">
        <v>278</v>
      </c>
      <c r="C310" s="2">
        <v>2019</v>
      </c>
      <c r="D310" s="2" t="s">
        <v>49</v>
      </c>
      <c r="E310" s="2" t="s">
        <v>49</v>
      </c>
      <c r="F310" s="2" t="s">
        <v>49</v>
      </c>
      <c r="G310" s="2" t="s">
        <v>49</v>
      </c>
      <c r="H310" s="2" t="s">
        <v>49</v>
      </c>
      <c r="I310" s="2" t="s">
        <v>49</v>
      </c>
      <c r="J310" s="2" t="s">
        <v>49</v>
      </c>
      <c r="K310" s="2" t="s">
        <v>49</v>
      </c>
      <c r="L310" s="2" t="s">
        <v>49</v>
      </c>
      <c r="M310" s="2" t="s">
        <v>49</v>
      </c>
      <c r="N310" s="2" t="s">
        <v>49</v>
      </c>
      <c r="O310" s="2" t="s">
        <v>49</v>
      </c>
      <c r="P310" s="2" t="s">
        <v>49</v>
      </c>
      <c r="Q310" s="2" t="s">
        <v>49</v>
      </c>
      <c r="R310" s="2" t="s">
        <v>49</v>
      </c>
      <c r="S310" s="2" t="s">
        <v>49</v>
      </c>
      <c r="T310" s="2" t="s">
        <v>49</v>
      </c>
      <c r="U310" s="2" t="s">
        <v>49</v>
      </c>
      <c r="V310" s="2" t="s">
        <v>49</v>
      </c>
      <c r="Y310" s="2" t="str">
        <f t="shared" si="16"/>
        <v>Nej</v>
      </c>
      <c r="AA310" s="2" t="str">
        <f t="shared" si="17"/>
        <v>Nej</v>
      </c>
      <c r="AB310" s="2">
        <f t="shared" si="18"/>
        <v>0</v>
      </c>
      <c r="AC310" s="2">
        <f t="shared" si="19"/>
        <v>0</v>
      </c>
    </row>
    <row r="311" spans="1:29" ht="14.25" x14ac:dyDescent="0.45">
      <c r="A311" s="2" t="s">
        <v>277</v>
      </c>
      <c r="B311" s="2" t="s">
        <v>130</v>
      </c>
      <c r="C311" s="2">
        <v>2019</v>
      </c>
      <c r="D311" s="2">
        <v>0</v>
      </c>
      <c r="E311" s="2" t="s">
        <v>146</v>
      </c>
      <c r="F311" s="2" t="s">
        <v>49</v>
      </c>
      <c r="G311" s="2">
        <v>2.2000000000000002</v>
      </c>
      <c r="H311" s="2">
        <v>250.8</v>
      </c>
      <c r="I311" s="2">
        <v>0.35</v>
      </c>
      <c r="J311" s="2">
        <v>0.3977</v>
      </c>
      <c r="K311" s="2" t="s">
        <v>49</v>
      </c>
      <c r="L311" s="2" t="s">
        <v>146</v>
      </c>
      <c r="M311" s="2" t="s">
        <v>146</v>
      </c>
      <c r="N311" s="2" t="s">
        <v>146</v>
      </c>
      <c r="O311" s="2" t="s">
        <v>146</v>
      </c>
      <c r="P311" s="2" t="s">
        <v>146</v>
      </c>
      <c r="Q311" s="2" t="s">
        <v>49</v>
      </c>
      <c r="R311" s="2" t="s">
        <v>146</v>
      </c>
      <c r="S311" s="2" t="s">
        <v>146</v>
      </c>
      <c r="T311" s="2" t="s">
        <v>146</v>
      </c>
      <c r="U311" s="2" t="s">
        <v>146</v>
      </c>
      <c r="V311" s="2" t="s">
        <v>146</v>
      </c>
      <c r="Y311" s="2" t="str">
        <f t="shared" si="16"/>
        <v>Ja</v>
      </c>
      <c r="AA311" s="2" t="str">
        <f t="shared" si="17"/>
        <v>Nej</v>
      </c>
      <c r="AB311" s="2" t="str">
        <f t="shared" si="18"/>
        <v>ET</v>
      </c>
      <c r="AC311" s="2">
        <f t="shared" si="19"/>
        <v>0</v>
      </c>
    </row>
    <row r="312" spans="1:29" ht="14.25" x14ac:dyDescent="0.45">
      <c r="A312" s="2" t="s">
        <v>276</v>
      </c>
      <c r="B312" s="2" t="s">
        <v>275</v>
      </c>
      <c r="C312" s="2">
        <v>2019</v>
      </c>
      <c r="D312" s="2">
        <v>5</v>
      </c>
      <c r="E312" s="2" t="s">
        <v>146</v>
      </c>
      <c r="F312" s="2" t="s">
        <v>913</v>
      </c>
      <c r="G312" s="2">
        <v>1.1000000000000001</v>
      </c>
      <c r="H312" s="2">
        <v>0</v>
      </c>
      <c r="I312" s="2">
        <v>0</v>
      </c>
      <c r="J312" s="2">
        <v>0</v>
      </c>
      <c r="K312" s="2" t="s">
        <v>49</v>
      </c>
      <c r="L312" s="2" t="s">
        <v>146</v>
      </c>
      <c r="M312" s="2" t="s">
        <v>146</v>
      </c>
      <c r="N312" s="2" t="s">
        <v>146</v>
      </c>
      <c r="O312" s="2" t="s">
        <v>146</v>
      </c>
      <c r="P312" s="2" t="s">
        <v>146</v>
      </c>
      <c r="Q312" s="2" t="s">
        <v>49</v>
      </c>
      <c r="R312" s="2" t="s">
        <v>146</v>
      </c>
      <c r="S312" s="2" t="s">
        <v>146</v>
      </c>
      <c r="T312" s="2" t="s">
        <v>146</v>
      </c>
      <c r="U312" s="2" t="s">
        <v>146</v>
      </c>
      <c r="V312" s="2" t="s">
        <v>146</v>
      </c>
      <c r="Y312" s="2" t="str">
        <f t="shared" si="16"/>
        <v>Ja</v>
      </c>
      <c r="AA312" s="2" t="str">
        <f t="shared" si="17"/>
        <v>Nej</v>
      </c>
      <c r="AB312" s="2" t="str">
        <f t="shared" si="18"/>
        <v>ET</v>
      </c>
      <c r="AC312" s="2">
        <f t="shared" si="19"/>
        <v>0</v>
      </c>
    </row>
    <row r="313" spans="1:29" ht="14.25" x14ac:dyDescent="0.45">
      <c r="A313" s="2" t="s">
        <v>273</v>
      </c>
      <c r="B313" s="2" t="s">
        <v>272</v>
      </c>
      <c r="C313" s="2">
        <v>2019</v>
      </c>
      <c r="D313" s="2">
        <v>2.2109999999999999</v>
      </c>
      <c r="E313" s="2" t="s">
        <v>146</v>
      </c>
      <c r="F313" s="2" t="s">
        <v>913</v>
      </c>
      <c r="G313" s="2">
        <v>1.1000000000000001</v>
      </c>
      <c r="H313" s="2">
        <v>0</v>
      </c>
      <c r="I313" s="2">
        <v>0</v>
      </c>
      <c r="J313" s="2">
        <v>0</v>
      </c>
      <c r="K313" s="2" t="s">
        <v>176</v>
      </c>
      <c r="L313" s="2" t="s">
        <v>146</v>
      </c>
      <c r="M313" s="2" t="s">
        <v>146</v>
      </c>
      <c r="N313" s="2" t="s">
        <v>146</v>
      </c>
      <c r="O313" s="2" t="s">
        <v>146</v>
      </c>
      <c r="P313" s="2" t="s">
        <v>146</v>
      </c>
      <c r="Q313" s="2" t="s">
        <v>176</v>
      </c>
      <c r="R313" s="2" t="s">
        <v>146</v>
      </c>
      <c r="S313" s="2" t="s">
        <v>146</v>
      </c>
      <c r="T313" s="2" t="s">
        <v>146</v>
      </c>
      <c r="U313" s="2" t="s">
        <v>146</v>
      </c>
      <c r="V313" s="2" t="s">
        <v>146</v>
      </c>
      <c r="Y313" s="2" t="str">
        <f t="shared" si="16"/>
        <v>Ja</v>
      </c>
      <c r="AA313" s="2" t="str">
        <f t="shared" si="17"/>
        <v>Nej</v>
      </c>
      <c r="AB313" s="2" t="str">
        <f t="shared" si="18"/>
        <v>ET</v>
      </c>
      <c r="AC313" s="2">
        <f t="shared" si="19"/>
        <v>0</v>
      </c>
    </row>
    <row r="314" spans="1:29" ht="14.25" x14ac:dyDescent="0.45">
      <c r="A314" s="2" t="s">
        <v>271</v>
      </c>
      <c r="B314" s="2" t="s">
        <v>270</v>
      </c>
      <c r="C314" s="2">
        <v>2019</v>
      </c>
      <c r="D314" s="2">
        <v>4.8</v>
      </c>
      <c r="E314" s="2">
        <v>2.4</v>
      </c>
      <c r="F314" s="2" t="s">
        <v>941</v>
      </c>
      <c r="G314" s="2">
        <v>0.03</v>
      </c>
      <c r="H314" s="2">
        <v>0</v>
      </c>
      <c r="I314" s="2">
        <v>0</v>
      </c>
      <c r="J314" s="2">
        <v>0</v>
      </c>
      <c r="K314" s="2" t="s">
        <v>940</v>
      </c>
      <c r="L314" s="2">
        <v>66.2</v>
      </c>
      <c r="M314" s="2">
        <v>0</v>
      </c>
      <c r="N314" s="2">
        <v>0</v>
      </c>
      <c r="O314" s="2">
        <v>0</v>
      </c>
      <c r="P314" s="2">
        <v>0</v>
      </c>
      <c r="Q314" s="2" t="s">
        <v>176</v>
      </c>
      <c r="R314" s="2" t="s">
        <v>146</v>
      </c>
      <c r="S314" s="2" t="s">
        <v>146</v>
      </c>
      <c r="T314" s="2" t="s">
        <v>146</v>
      </c>
      <c r="U314" s="2" t="s">
        <v>146</v>
      </c>
      <c r="V314" s="2" t="s">
        <v>146</v>
      </c>
      <c r="Y314" s="2" t="str">
        <f t="shared" si="16"/>
        <v>Ja</v>
      </c>
      <c r="AA314" s="2" t="str">
        <f t="shared" si="17"/>
        <v>Nej</v>
      </c>
      <c r="AB314" s="2">
        <f t="shared" si="18"/>
        <v>66.2</v>
      </c>
      <c r="AC314" s="2">
        <f t="shared" si="19"/>
        <v>0</v>
      </c>
    </row>
    <row r="315" spans="1:29" ht="14.25" x14ac:dyDescent="0.45">
      <c r="A315" s="2" t="s">
        <v>267</v>
      </c>
      <c r="B315" s="2" t="s">
        <v>269</v>
      </c>
      <c r="C315" s="2">
        <v>2019</v>
      </c>
      <c r="D315" s="2">
        <v>9.6939999999999998E-2</v>
      </c>
      <c r="E315" s="2" t="s">
        <v>146</v>
      </c>
      <c r="F315" s="2" t="s">
        <v>939</v>
      </c>
      <c r="G315" s="2">
        <v>2.2000000000000002</v>
      </c>
      <c r="H315" s="2">
        <v>250.8</v>
      </c>
      <c r="I315" s="2">
        <v>0.35</v>
      </c>
      <c r="J315" s="2">
        <v>0.3977</v>
      </c>
      <c r="K315" s="2" t="s">
        <v>176</v>
      </c>
      <c r="L315" s="2" t="s">
        <v>146</v>
      </c>
      <c r="M315" s="2" t="s">
        <v>146</v>
      </c>
      <c r="N315" s="2" t="s">
        <v>146</v>
      </c>
      <c r="O315" s="2" t="s">
        <v>146</v>
      </c>
      <c r="P315" s="2" t="s">
        <v>146</v>
      </c>
      <c r="Q315" s="2" t="s">
        <v>176</v>
      </c>
      <c r="R315" s="2" t="s">
        <v>146</v>
      </c>
      <c r="S315" s="2" t="s">
        <v>146</v>
      </c>
      <c r="T315" s="2" t="s">
        <v>146</v>
      </c>
      <c r="U315" s="2" t="s">
        <v>146</v>
      </c>
      <c r="V315" s="2" t="s">
        <v>146</v>
      </c>
      <c r="Y315" s="2" t="str">
        <f t="shared" si="16"/>
        <v>Ja</v>
      </c>
      <c r="AA315" s="2" t="str">
        <f t="shared" si="17"/>
        <v>Nej</v>
      </c>
      <c r="AB315" s="2" t="str">
        <f t="shared" si="18"/>
        <v>ET</v>
      </c>
      <c r="AC315" s="2">
        <f t="shared" si="19"/>
        <v>0</v>
      </c>
    </row>
    <row r="316" spans="1:29" ht="14.25" x14ac:dyDescent="0.45">
      <c r="A316" s="2" t="s">
        <v>267</v>
      </c>
      <c r="B316" s="2" t="s">
        <v>268</v>
      </c>
      <c r="C316" s="2">
        <v>2019</v>
      </c>
      <c r="D316" s="2">
        <v>0.12959000000000001</v>
      </c>
      <c r="E316" s="2" t="s">
        <v>146</v>
      </c>
      <c r="F316" s="2" t="s">
        <v>938</v>
      </c>
      <c r="G316" s="2">
        <v>2.2000000000000002</v>
      </c>
      <c r="H316" s="2">
        <v>250.8</v>
      </c>
      <c r="I316" s="2">
        <v>0.35</v>
      </c>
      <c r="J316" s="2">
        <v>0.3977</v>
      </c>
      <c r="K316" s="2" t="s">
        <v>176</v>
      </c>
      <c r="L316" s="2" t="s">
        <v>146</v>
      </c>
      <c r="M316" s="2" t="s">
        <v>146</v>
      </c>
      <c r="N316" s="2" t="s">
        <v>146</v>
      </c>
      <c r="O316" s="2" t="s">
        <v>146</v>
      </c>
      <c r="P316" s="2" t="s">
        <v>146</v>
      </c>
      <c r="Q316" s="2" t="s">
        <v>176</v>
      </c>
      <c r="R316" s="2" t="s">
        <v>146</v>
      </c>
      <c r="S316" s="2" t="s">
        <v>146</v>
      </c>
      <c r="T316" s="2" t="s">
        <v>146</v>
      </c>
      <c r="U316" s="2" t="s">
        <v>146</v>
      </c>
      <c r="V316" s="2" t="s">
        <v>146</v>
      </c>
      <c r="Y316" s="2" t="str">
        <f t="shared" si="16"/>
        <v>Ja</v>
      </c>
      <c r="AA316" s="2" t="str">
        <f t="shared" si="17"/>
        <v>Nej</v>
      </c>
      <c r="AB316" s="2" t="str">
        <f t="shared" si="18"/>
        <v>ET</v>
      </c>
      <c r="AC316" s="2">
        <f t="shared" si="19"/>
        <v>0</v>
      </c>
    </row>
    <row r="317" spans="1:29" ht="14.25" x14ac:dyDescent="0.45">
      <c r="A317" s="2" t="s">
        <v>267</v>
      </c>
      <c r="B317" s="2" t="s">
        <v>266</v>
      </c>
      <c r="C317" s="2">
        <v>2019</v>
      </c>
      <c r="D317" s="2">
        <v>3.49</v>
      </c>
      <c r="E317" s="2">
        <v>14.69</v>
      </c>
      <c r="F317" s="2" t="s">
        <v>938</v>
      </c>
      <c r="G317" s="2">
        <v>2.2000000000000002</v>
      </c>
      <c r="H317" s="2">
        <v>250.8</v>
      </c>
      <c r="I317" s="2">
        <v>0.35</v>
      </c>
      <c r="J317" s="2">
        <v>0.3977</v>
      </c>
      <c r="K317" s="2" t="s">
        <v>176</v>
      </c>
      <c r="L317" s="2" t="s">
        <v>146</v>
      </c>
      <c r="M317" s="2" t="s">
        <v>146</v>
      </c>
      <c r="N317" s="2" t="s">
        <v>146</v>
      </c>
      <c r="O317" s="2" t="s">
        <v>146</v>
      </c>
      <c r="P317" s="2" t="s">
        <v>146</v>
      </c>
      <c r="Q317" s="2" t="s">
        <v>176</v>
      </c>
      <c r="R317" s="2" t="s">
        <v>146</v>
      </c>
      <c r="S317" s="2" t="s">
        <v>146</v>
      </c>
      <c r="T317" s="2" t="s">
        <v>146</v>
      </c>
      <c r="U317" s="2" t="s">
        <v>146</v>
      </c>
      <c r="V317" s="2" t="s">
        <v>146</v>
      </c>
      <c r="Y317" s="2" t="str">
        <f t="shared" si="16"/>
        <v>Ja</v>
      </c>
      <c r="AA317" s="2" t="str">
        <f t="shared" si="17"/>
        <v>Nej</v>
      </c>
      <c r="AB317" s="2" t="str">
        <f t="shared" si="18"/>
        <v>ET</v>
      </c>
      <c r="AC317" s="2">
        <f t="shared" si="19"/>
        <v>0</v>
      </c>
    </row>
    <row r="318" spans="1:29" ht="14.25" x14ac:dyDescent="0.45">
      <c r="A318" s="2" t="s">
        <v>263</v>
      </c>
      <c r="B318" s="2" t="s">
        <v>265</v>
      </c>
      <c r="C318" s="2">
        <v>2019</v>
      </c>
      <c r="D318" s="2">
        <v>3.0943999999999999E-2</v>
      </c>
      <c r="E318" s="2" t="s">
        <v>146</v>
      </c>
      <c r="F318" s="2" t="s">
        <v>49</v>
      </c>
      <c r="G318" s="2">
        <v>2.2000000000000002</v>
      </c>
      <c r="H318" s="2">
        <v>250.8</v>
      </c>
      <c r="I318" s="2">
        <v>0.35</v>
      </c>
      <c r="J318" s="2">
        <v>0.3977</v>
      </c>
      <c r="K318" s="2" t="s">
        <v>49</v>
      </c>
      <c r="L318" s="2" t="s">
        <v>146</v>
      </c>
      <c r="M318" s="2" t="s">
        <v>146</v>
      </c>
      <c r="N318" s="2" t="s">
        <v>146</v>
      </c>
      <c r="O318" s="2" t="s">
        <v>146</v>
      </c>
      <c r="P318" s="2" t="s">
        <v>146</v>
      </c>
      <c r="Q318" s="2" t="s">
        <v>49</v>
      </c>
      <c r="R318" s="2" t="s">
        <v>146</v>
      </c>
      <c r="S318" s="2" t="s">
        <v>146</v>
      </c>
      <c r="T318" s="2" t="s">
        <v>146</v>
      </c>
      <c r="U318" s="2" t="s">
        <v>146</v>
      </c>
      <c r="V318" s="2" t="s">
        <v>146</v>
      </c>
      <c r="Y318" s="2" t="str">
        <f t="shared" si="16"/>
        <v>Ja</v>
      </c>
      <c r="AA318" s="2" t="str">
        <f t="shared" si="17"/>
        <v>Nej</v>
      </c>
      <c r="AB318" s="2" t="str">
        <f t="shared" si="18"/>
        <v>ET</v>
      </c>
      <c r="AC318" s="2">
        <f t="shared" si="19"/>
        <v>0</v>
      </c>
    </row>
    <row r="319" spans="1:29" ht="14.25" x14ac:dyDescent="0.45">
      <c r="A319" s="2" t="s">
        <v>263</v>
      </c>
      <c r="B319" s="2" t="s">
        <v>264</v>
      </c>
      <c r="C319" s="2">
        <v>2019</v>
      </c>
      <c r="D319" s="2">
        <v>1.0394E-2</v>
      </c>
      <c r="E319" s="2" t="s">
        <v>146</v>
      </c>
      <c r="F319" s="2" t="s">
        <v>49</v>
      </c>
      <c r="G319" s="2">
        <v>2.2000000000000002</v>
      </c>
      <c r="H319" s="2">
        <v>250.8</v>
      </c>
      <c r="I319" s="2">
        <v>0.35</v>
      </c>
      <c r="J319" s="2">
        <v>0.3977</v>
      </c>
      <c r="K319" s="2" t="s">
        <v>49</v>
      </c>
      <c r="L319" s="2" t="s">
        <v>146</v>
      </c>
      <c r="M319" s="2" t="s">
        <v>146</v>
      </c>
      <c r="N319" s="2" t="s">
        <v>146</v>
      </c>
      <c r="O319" s="2" t="s">
        <v>146</v>
      </c>
      <c r="P319" s="2" t="s">
        <v>146</v>
      </c>
      <c r="Q319" s="2" t="s">
        <v>49</v>
      </c>
      <c r="R319" s="2" t="s">
        <v>146</v>
      </c>
      <c r="S319" s="2" t="s">
        <v>146</v>
      </c>
      <c r="T319" s="2" t="s">
        <v>146</v>
      </c>
      <c r="U319" s="2" t="s">
        <v>146</v>
      </c>
      <c r="V319" s="2" t="s">
        <v>146</v>
      </c>
      <c r="Y319" s="2" t="str">
        <f t="shared" si="16"/>
        <v>Ja</v>
      </c>
      <c r="AA319" s="2" t="str">
        <f t="shared" si="17"/>
        <v>Nej</v>
      </c>
      <c r="AB319" s="2" t="str">
        <f t="shared" si="18"/>
        <v>ET</v>
      </c>
      <c r="AC319" s="2">
        <f t="shared" si="19"/>
        <v>0</v>
      </c>
    </row>
    <row r="320" spans="1:29" ht="14.25" x14ac:dyDescent="0.45">
      <c r="A320" s="2" t="s">
        <v>263</v>
      </c>
      <c r="B320" s="2" t="s">
        <v>262</v>
      </c>
      <c r="C320" s="2">
        <v>2019</v>
      </c>
      <c r="D320" s="2">
        <v>0.56674000000000002</v>
      </c>
      <c r="E320" s="2">
        <v>0</v>
      </c>
      <c r="F320" s="2" t="s">
        <v>49</v>
      </c>
      <c r="G320" s="2">
        <v>2.2000000000000002</v>
      </c>
      <c r="H320" s="2">
        <v>250.8</v>
      </c>
      <c r="I320" s="2">
        <v>0.35</v>
      </c>
      <c r="J320" s="2">
        <v>0.3977</v>
      </c>
      <c r="K320" s="2" t="s">
        <v>49</v>
      </c>
      <c r="L320" s="2" t="s">
        <v>146</v>
      </c>
      <c r="M320" s="2" t="s">
        <v>146</v>
      </c>
      <c r="N320" s="2" t="s">
        <v>146</v>
      </c>
      <c r="O320" s="2" t="s">
        <v>146</v>
      </c>
      <c r="P320" s="2" t="s">
        <v>146</v>
      </c>
      <c r="Q320" s="2" t="s">
        <v>49</v>
      </c>
      <c r="R320" s="2" t="s">
        <v>146</v>
      </c>
      <c r="S320" s="2" t="s">
        <v>146</v>
      </c>
      <c r="T320" s="2" t="s">
        <v>146</v>
      </c>
      <c r="U320" s="2" t="s">
        <v>146</v>
      </c>
      <c r="V320" s="2" t="s">
        <v>146</v>
      </c>
      <c r="Y320" s="2" t="str">
        <f t="shared" si="16"/>
        <v>Ja</v>
      </c>
      <c r="AA320" s="2" t="str">
        <f t="shared" si="17"/>
        <v>Nej</v>
      </c>
      <c r="AB320" s="2" t="str">
        <f t="shared" si="18"/>
        <v>ET</v>
      </c>
      <c r="AC320" s="2">
        <f t="shared" si="19"/>
        <v>0</v>
      </c>
    </row>
    <row r="321" spans="1:29" ht="14.25" x14ac:dyDescent="0.45">
      <c r="A321" s="2" t="s">
        <v>258</v>
      </c>
      <c r="B321" s="2" t="s">
        <v>261</v>
      </c>
      <c r="C321" s="2">
        <v>2019</v>
      </c>
      <c r="D321" s="2">
        <v>0.16600000000000001</v>
      </c>
      <c r="E321" s="2" t="s">
        <v>146</v>
      </c>
      <c r="F321" s="2" t="s">
        <v>937</v>
      </c>
      <c r="G321" s="2">
        <v>1.143</v>
      </c>
      <c r="H321" s="2">
        <v>13.46</v>
      </c>
      <c r="I321" s="2">
        <v>0</v>
      </c>
      <c r="J321" s="2">
        <v>0</v>
      </c>
      <c r="K321" s="2" t="s">
        <v>49</v>
      </c>
      <c r="L321" s="2" t="s">
        <v>146</v>
      </c>
      <c r="M321" s="2" t="s">
        <v>146</v>
      </c>
      <c r="N321" s="2" t="s">
        <v>146</v>
      </c>
      <c r="O321" s="2" t="s">
        <v>146</v>
      </c>
      <c r="P321" s="2" t="s">
        <v>146</v>
      </c>
      <c r="Q321" s="2" t="s">
        <v>49</v>
      </c>
      <c r="R321" s="2" t="s">
        <v>146</v>
      </c>
      <c r="S321" s="2" t="s">
        <v>146</v>
      </c>
      <c r="T321" s="2" t="s">
        <v>146</v>
      </c>
      <c r="U321" s="2" t="s">
        <v>146</v>
      </c>
      <c r="V321" s="2" t="s">
        <v>146</v>
      </c>
      <c r="Y321" s="2" t="str">
        <f t="shared" si="16"/>
        <v>Ja</v>
      </c>
      <c r="AA321" s="2" t="str">
        <f t="shared" si="17"/>
        <v>Nej</v>
      </c>
      <c r="AB321" s="2" t="str">
        <f t="shared" si="18"/>
        <v>ET</v>
      </c>
      <c r="AC321" s="2">
        <f t="shared" si="19"/>
        <v>0</v>
      </c>
    </row>
    <row r="322" spans="1:29" ht="14.25" x14ac:dyDescent="0.45">
      <c r="A322" s="2" t="s">
        <v>258</v>
      </c>
      <c r="B322" s="2" t="s">
        <v>260</v>
      </c>
      <c r="C322" s="2">
        <v>2019</v>
      </c>
      <c r="D322" s="2">
        <v>0.17</v>
      </c>
      <c r="E322" s="2" t="s">
        <v>146</v>
      </c>
      <c r="F322" s="2" t="s">
        <v>937</v>
      </c>
      <c r="G322" s="2">
        <v>1.143</v>
      </c>
      <c r="H322" s="2">
        <v>13.46</v>
      </c>
      <c r="I322" s="2">
        <v>0</v>
      </c>
      <c r="J322" s="2">
        <v>0</v>
      </c>
      <c r="K322" s="2" t="s">
        <v>49</v>
      </c>
      <c r="L322" s="2" t="s">
        <v>146</v>
      </c>
      <c r="M322" s="2" t="s">
        <v>146</v>
      </c>
      <c r="N322" s="2" t="s">
        <v>146</v>
      </c>
      <c r="O322" s="2" t="s">
        <v>146</v>
      </c>
      <c r="P322" s="2" t="s">
        <v>146</v>
      </c>
      <c r="Q322" s="2" t="s">
        <v>49</v>
      </c>
      <c r="R322" s="2" t="s">
        <v>146</v>
      </c>
      <c r="S322" s="2" t="s">
        <v>146</v>
      </c>
      <c r="T322" s="2" t="s">
        <v>146</v>
      </c>
      <c r="U322" s="2" t="s">
        <v>146</v>
      </c>
      <c r="V322" s="2" t="s">
        <v>146</v>
      </c>
      <c r="Y322" s="2" t="str">
        <f t="shared" ref="Y322:Y385" si="20">IF(OR(AND(G322&lt;&gt;$AD$3,G322&lt;&gt;"-"),AND(H322&lt;&gt;$AD$4,H322&lt;&gt;"-"),AND(I322&lt;&gt;$AD$5,I322&lt;&gt;"-"),AND(J322&lt;&gt;$AD$6,J322&lt;&gt;"-")),"Ja","Nej")</f>
        <v>Ja</v>
      </c>
      <c r="AA322" s="2" t="str">
        <f t="shared" ref="AA322:AA385" si="21">IF(ISERROR(1/K322),"Nej","Ja")</f>
        <v>Nej</v>
      </c>
      <c r="AB322" s="2" t="str">
        <f t="shared" ref="AB322:AB385" si="22">IF(Y322="nej",0,L322)</f>
        <v>ET</v>
      </c>
      <c r="AC322" s="2">
        <f t="shared" ref="AC322:AC385" si="23">IF(AA322="nej",0,P322/100)</f>
        <v>0</v>
      </c>
    </row>
    <row r="323" spans="1:29" ht="14.25" x14ac:dyDescent="0.45">
      <c r="A323" s="2" t="s">
        <v>258</v>
      </c>
      <c r="B323" s="2" t="s">
        <v>259</v>
      </c>
      <c r="C323" s="2">
        <v>2019</v>
      </c>
      <c r="D323" s="2">
        <v>3.1E-2</v>
      </c>
      <c r="E323" s="2" t="s">
        <v>146</v>
      </c>
      <c r="F323" s="2" t="s">
        <v>937</v>
      </c>
      <c r="G323" s="2">
        <v>1.143</v>
      </c>
      <c r="H323" s="2">
        <v>13.46</v>
      </c>
      <c r="I323" s="2">
        <v>0</v>
      </c>
      <c r="J323" s="2">
        <v>0</v>
      </c>
      <c r="K323" s="2" t="s">
        <v>49</v>
      </c>
      <c r="L323" s="2" t="s">
        <v>146</v>
      </c>
      <c r="M323" s="2" t="s">
        <v>146</v>
      </c>
      <c r="N323" s="2" t="s">
        <v>146</v>
      </c>
      <c r="O323" s="2" t="s">
        <v>146</v>
      </c>
      <c r="P323" s="2" t="s">
        <v>146</v>
      </c>
      <c r="Q323" s="2" t="s">
        <v>49</v>
      </c>
      <c r="R323" s="2" t="s">
        <v>146</v>
      </c>
      <c r="S323" s="2" t="s">
        <v>146</v>
      </c>
      <c r="T323" s="2" t="s">
        <v>146</v>
      </c>
      <c r="U323" s="2" t="s">
        <v>146</v>
      </c>
      <c r="V323" s="2" t="s">
        <v>146</v>
      </c>
      <c r="Y323" s="2" t="str">
        <f t="shared" si="20"/>
        <v>Ja</v>
      </c>
      <c r="AA323" s="2" t="str">
        <f t="shared" si="21"/>
        <v>Nej</v>
      </c>
      <c r="AB323" s="2" t="str">
        <f t="shared" si="22"/>
        <v>ET</v>
      </c>
      <c r="AC323" s="2">
        <f t="shared" si="23"/>
        <v>0</v>
      </c>
    </row>
    <row r="324" spans="1:29" ht="14.25" x14ac:dyDescent="0.45">
      <c r="A324" s="2" t="s">
        <v>258</v>
      </c>
      <c r="B324" s="2" t="s">
        <v>257</v>
      </c>
      <c r="C324" s="2">
        <v>2019</v>
      </c>
      <c r="D324" s="2">
        <v>10.7</v>
      </c>
      <c r="E324" s="2">
        <v>47.6</v>
      </c>
      <c r="F324" s="2" t="s">
        <v>937</v>
      </c>
      <c r="G324" s="2">
        <v>1.143</v>
      </c>
      <c r="H324" s="2">
        <v>13.46</v>
      </c>
      <c r="I324" s="2">
        <v>0</v>
      </c>
      <c r="J324" s="2">
        <v>0</v>
      </c>
      <c r="K324" s="2" t="s">
        <v>176</v>
      </c>
      <c r="L324" s="2" t="s">
        <v>146</v>
      </c>
      <c r="M324" s="2" t="s">
        <v>146</v>
      </c>
      <c r="N324" s="2" t="s">
        <v>146</v>
      </c>
      <c r="O324" s="2" t="s">
        <v>146</v>
      </c>
      <c r="P324" s="2" t="s">
        <v>146</v>
      </c>
      <c r="Q324" s="2" t="s">
        <v>176</v>
      </c>
      <c r="R324" s="2" t="s">
        <v>146</v>
      </c>
      <c r="S324" s="2" t="s">
        <v>146</v>
      </c>
      <c r="T324" s="2" t="s">
        <v>146</v>
      </c>
      <c r="U324" s="2" t="s">
        <v>146</v>
      </c>
      <c r="V324" s="2" t="s">
        <v>146</v>
      </c>
      <c r="Y324" s="2" t="str">
        <f t="shared" si="20"/>
        <v>Ja</v>
      </c>
      <c r="AA324" s="2" t="str">
        <f t="shared" si="21"/>
        <v>Nej</v>
      </c>
      <c r="AB324" s="2" t="str">
        <f t="shared" si="22"/>
        <v>ET</v>
      </c>
      <c r="AC324" s="2">
        <f t="shared" si="23"/>
        <v>0</v>
      </c>
    </row>
    <row r="325" spans="1:29" ht="14.25" x14ac:dyDescent="0.45">
      <c r="A325" s="2" t="s">
        <v>255</v>
      </c>
      <c r="B325" s="2" t="s">
        <v>256</v>
      </c>
      <c r="C325" s="2">
        <v>2019</v>
      </c>
      <c r="D325" s="2">
        <v>0.57599999999999996</v>
      </c>
      <c r="E325" s="2" t="s">
        <v>146</v>
      </c>
      <c r="F325" s="2" t="s">
        <v>936</v>
      </c>
      <c r="G325" s="2">
        <v>1.1000000000000001</v>
      </c>
      <c r="H325" s="2">
        <v>0</v>
      </c>
      <c r="I325" s="2">
        <v>0</v>
      </c>
      <c r="J325" s="2">
        <v>0</v>
      </c>
      <c r="K325" s="2" t="s">
        <v>49</v>
      </c>
      <c r="L325" s="2" t="s">
        <v>146</v>
      </c>
      <c r="M325" s="2" t="s">
        <v>146</v>
      </c>
      <c r="N325" s="2" t="s">
        <v>146</v>
      </c>
      <c r="O325" s="2" t="s">
        <v>146</v>
      </c>
      <c r="P325" s="2" t="s">
        <v>146</v>
      </c>
      <c r="Q325" s="2" t="s">
        <v>49</v>
      </c>
      <c r="R325" s="2" t="s">
        <v>146</v>
      </c>
      <c r="S325" s="2" t="s">
        <v>146</v>
      </c>
      <c r="T325" s="2" t="s">
        <v>146</v>
      </c>
      <c r="U325" s="2" t="s">
        <v>146</v>
      </c>
      <c r="V325" s="2" t="s">
        <v>146</v>
      </c>
      <c r="Y325" s="2" t="str">
        <f t="shared" si="20"/>
        <v>Ja</v>
      </c>
      <c r="AA325" s="2" t="str">
        <f t="shared" si="21"/>
        <v>Nej</v>
      </c>
      <c r="AB325" s="2" t="str">
        <f t="shared" si="22"/>
        <v>ET</v>
      </c>
      <c r="AC325" s="2">
        <f t="shared" si="23"/>
        <v>0</v>
      </c>
    </row>
    <row r="326" spans="1:29" ht="14.25" x14ac:dyDescent="0.45">
      <c r="A326" s="2" t="s">
        <v>255</v>
      </c>
      <c r="B326" s="2" t="s">
        <v>254</v>
      </c>
      <c r="C326" s="2">
        <v>2019</v>
      </c>
      <c r="D326" s="2">
        <v>0.871</v>
      </c>
      <c r="E326" s="2" t="s">
        <v>146</v>
      </c>
      <c r="F326" s="2" t="s">
        <v>936</v>
      </c>
      <c r="G326" s="2">
        <v>1.1000000000000001</v>
      </c>
      <c r="H326" s="2">
        <v>0</v>
      </c>
      <c r="I326" s="2">
        <v>0</v>
      </c>
      <c r="J326" s="2">
        <v>0</v>
      </c>
      <c r="K326" s="2" t="s">
        <v>49</v>
      </c>
      <c r="L326" s="2" t="s">
        <v>146</v>
      </c>
      <c r="M326" s="2" t="s">
        <v>146</v>
      </c>
      <c r="N326" s="2" t="s">
        <v>146</v>
      </c>
      <c r="O326" s="2" t="s">
        <v>146</v>
      </c>
      <c r="P326" s="2" t="s">
        <v>146</v>
      </c>
      <c r="Q326" s="2" t="s">
        <v>49</v>
      </c>
      <c r="R326" s="2" t="s">
        <v>146</v>
      </c>
      <c r="S326" s="2" t="s">
        <v>146</v>
      </c>
      <c r="T326" s="2" t="s">
        <v>146</v>
      </c>
      <c r="U326" s="2" t="s">
        <v>146</v>
      </c>
      <c r="V326" s="2" t="s">
        <v>146</v>
      </c>
      <c r="Y326" s="2" t="str">
        <f t="shared" si="20"/>
        <v>Ja</v>
      </c>
      <c r="AA326" s="2" t="str">
        <f t="shared" si="21"/>
        <v>Nej</v>
      </c>
      <c r="AB326" s="2" t="str">
        <f t="shared" si="22"/>
        <v>ET</v>
      </c>
      <c r="AC326" s="2">
        <f t="shared" si="23"/>
        <v>0</v>
      </c>
    </row>
    <row r="327" spans="1:29" ht="14.25" x14ac:dyDescent="0.45">
      <c r="A327" s="2" t="s">
        <v>253</v>
      </c>
      <c r="B327" s="2" t="s">
        <v>252</v>
      </c>
      <c r="C327" s="2">
        <v>2019</v>
      </c>
      <c r="D327" s="2">
        <v>0.53600000000000003</v>
      </c>
      <c r="E327" s="2" t="s">
        <v>146</v>
      </c>
      <c r="F327" s="2" t="s">
        <v>935</v>
      </c>
      <c r="G327" s="2">
        <v>0</v>
      </c>
      <c r="H327" s="2">
        <v>0</v>
      </c>
      <c r="I327" s="2">
        <v>0</v>
      </c>
      <c r="J327" s="2">
        <v>0</v>
      </c>
      <c r="K327" s="2" t="s">
        <v>49</v>
      </c>
      <c r="L327" s="2" t="s">
        <v>146</v>
      </c>
      <c r="M327" s="2" t="s">
        <v>146</v>
      </c>
      <c r="N327" s="2" t="s">
        <v>146</v>
      </c>
      <c r="O327" s="2" t="s">
        <v>146</v>
      </c>
      <c r="P327" s="2" t="s">
        <v>146</v>
      </c>
      <c r="Q327" s="2" t="s">
        <v>49</v>
      </c>
      <c r="R327" s="2" t="s">
        <v>146</v>
      </c>
      <c r="S327" s="2" t="s">
        <v>146</v>
      </c>
      <c r="T327" s="2" t="s">
        <v>146</v>
      </c>
      <c r="U327" s="2" t="s">
        <v>146</v>
      </c>
      <c r="V327" s="2" t="s">
        <v>146</v>
      </c>
      <c r="Y327" s="2" t="str">
        <f t="shared" si="20"/>
        <v>Ja</v>
      </c>
      <c r="AA327" s="2" t="str">
        <f t="shared" si="21"/>
        <v>Nej</v>
      </c>
      <c r="AB327" s="2" t="str">
        <f t="shared" si="22"/>
        <v>ET</v>
      </c>
      <c r="AC327" s="2">
        <f t="shared" si="23"/>
        <v>0</v>
      </c>
    </row>
    <row r="328" spans="1:29" ht="14.25" x14ac:dyDescent="0.45">
      <c r="A328" s="2" t="s">
        <v>249</v>
      </c>
      <c r="B328" s="2" t="s">
        <v>251</v>
      </c>
      <c r="C328" s="2">
        <v>2019</v>
      </c>
      <c r="D328" s="2">
        <v>9.5000000000000001E-2</v>
      </c>
      <c r="E328" s="2" t="s">
        <v>146</v>
      </c>
      <c r="F328" s="2" t="s">
        <v>934</v>
      </c>
      <c r="G328" s="2">
        <v>0.59</v>
      </c>
      <c r="H328" s="2">
        <v>0</v>
      </c>
      <c r="I328" s="2">
        <v>0</v>
      </c>
      <c r="J328" s="2">
        <v>0</v>
      </c>
      <c r="K328" s="2" t="s">
        <v>49</v>
      </c>
      <c r="L328" s="2" t="s">
        <v>146</v>
      </c>
      <c r="M328" s="2" t="s">
        <v>146</v>
      </c>
      <c r="N328" s="2" t="s">
        <v>146</v>
      </c>
      <c r="O328" s="2" t="s">
        <v>146</v>
      </c>
      <c r="P328" s="2" t="s">
        <v>146</v>
      </c>
      <c r="Q328" s="2" t="s">
        <v>49</v>
      </c>
      <c r="R328" s="2" t="s">
        <v>146</v>
      </c>
      <c r="S328" s="2" t="s">
        <v>146</v>
      </c>
      <c r="T328" s="2" t="s">
        <v>146</v>
      </c>
      <c r="U328" s="2" t="s">
        <v>146</v>
      </c>
      <c r="V328" s="2" t="s">
        <v>146</v>
      </c>
      <c r="Y328" s="2" t="str">
        <f t="shared" si="20"/>
        <v>Ja</v>
      </c>
      <c r="AA328" s="2" t="str">
        <f t="shared" si="21"/>
        <v>Nej</v>
      </c>
      <c r="AB328" s="2" t="str">
        <f t="shared" si="22"/>
        <v>ET</v>
      </c>
      <c r="AC328" s="2">
        <f t="shared" si="23"/>
        <v>0</v>
      </c>
    </row>
    <row r="329" spans="1:29" ht="14.25" x14ac:dyDescent="0.45">
      <c r="A329" s="2" t="s">
        <v>249</v>
      </c>
      <c r="B329" s="2" t="s">
        <v>250</v>
      </c>
      <c r="C329" s="2">
        <v>2019</v>
      </c>
      <c r="D329" s="2">
        <v>2.1429999999999998</v>
      </c>
      <c r="E329" s="2" t="s">
        <v>146</v>
      </c>
      <c r="F329" s="2" t="s">
        <v>933</v>
      </c>
      <c r="G329" s="2">
        <v>0.59</v>
      </c>
      <c r="H329" s="2">
        <v>0</v>
      </c>
      <c r="I329" s="2">
        <v>0</v>
      </c>
      <c r="J329" s="2">
        <v>0</v>
      </c>
      <c r="K329" s="2" t="s">
        <v>176</v>
      </c>
      <c r="L329" s="2" t="s">
        <v>146</v>
      </c>
      <c r="M329" s="2" t="s">
        <v>146</v>
      </c>
      <c r="N329" s="2" t="s">
        <v>146</v>
      </c>
      <c r="O329" s="2" t="s">
        <v>146</v>
      </c>
      <c r="P329" s="2" t="s">
        <v>146</v>
      </c>
      <c r="Q329" s="2" t="s">
        <v>176</v>
      </c>
      <c r="R329" s="2" t="s">
        <v>146</v>
      </c>
      <c r="S329" s="2" t="s">
        <v>146</v>
      </c>
      <c r="T329" s="2" t="s">
        <v>146</v>
      </c>
      <c r="U329" s="2" t="s">
        <v>146</v>
      </c>
      <c r="V329" s="2" t="s">
        <v>146</v>
      </c>
      <c r="Y329" s="2" t="str">
        <f t="shared" si="20"/>
        <v>Ja</v>
      </c>
      <c r="AA329" s="2" t="str">
        <f t="shared" si="21"/>
        <v>Nej</v>
      </c>
      <c r="AB329" s="2" t="str">
        <f t="shared" si="22"/>
        <v>ET</v>
      </c>
      <c r="AC329" s="2">
        <f t="shared" si="23"/>
        <v>0</v>
      </c>
    </row>
    <row r="330" spans="1:29" ht="14.25" x14ac:dyDescent="0.45">
      <c r="A330" s="2" t="s">
        <v>249</v>
      </c>
      <c r="B330" s="2" t="s">
        <v>248</v>
      </c>
      <c r="C330" s="2">
        <v>2019</v>
      </c>
      <c r="D330" s="2" t="s">
        <v>146</v>
      </c>
      <c r="E330" s="2" t="s">
        <v>146</v>
      </c>
      <c r="F330" s="2" t="s">
        <v>933</v>
      </c>
      <c r="G330" s="2">
        <v>0.59</v>
      </c>
      <c r="H330" s="2">
        <v>0</v>
      </c>
      <c r="I330" s="2">
        <v>0</v>
      </c>
      <c r="J330" s="2">
        <v>0</v>
      </c>
      <c r="K330" s="2" t="s">
        <v>49</v>
      </c>
      <c r="L330" s="2" t="s">
        <v>146</v>
      </c>
      <c r="M330" s="2" t="s">
        <v>146</v>
      </c>
      <c r="N330" s="2" t="s">
        <v>146</v>
      </c>
      <c r="O330" s="2" t="s">
        <v>146</v>
      </c>
      <c r="P330" s="2" t="s">
        <v>146</v>
      </c>
      <c r="Q330" s="2" t="s">
        <v>49</v>
      </c>
      <c r="R330" s="2" t="s">
        <v>146</v>
      </c>
      <c r="S330" s="2" t="s">
        <v>146</v>
      </c>
      <c r="T330" s="2" t="s">
        <v>146</v>
      </c>
      <c r="U330" s="2" t="s">
        <v>146</v>
      </c>
      <c r="V330" s="2" t="s">
        <v>146</v>
      </c>
      <c r="Y330" s="2" t="str">
        <f t="shared" si="20"/>
        <v>Ja</v>
      </c>
      <c r="AA330" s="2" t="str">
        <f t="shared" si="21"/>
        <v>Nej</v>
      </c>
      <c r="AB330" s="2" t="str">
        <f t="shared" si="22"/>
        <v>ET</v>
      </c>
      <c r="AC330" s="2">
        <f t="shared" si="23"/>
        <v>0</v>
      </c>
    </row>
    <row r="331" spans="1:29" ht="14.25" x14ac:dyDescent="0.45">
      <c r="A331" s="2" t="s">
        <v>243</v>
      </c>
      <c r="B331" s="2" t="s">
        <v>247</v>
      </c>
      <c r="C331" s="2">
        <v>2019</v>
      </c>
      <c r="D331" s="2">
        <v>0.47399999999999998</v>
      </c>
      <c r="E331" s="2" t="s">
        <v>146</v>
      </c>
      <c r="F331" s="2" t="s">
        <v>49</v>
      </c>
      <c r="G331" s="2">
        <v>2.2000000000000002</v>
      </c>
      <c r="H331" s="2">
        <v>250.8</v>
      </c>
      <c r="I331" s="2">
        <v>0.35</v>
      </c>
      <c r="J331" s="2">
        <v>0.3977</v>
      </c>
      <c r="K331" s="2" t="s">
        <v>49</v>
      </c>
      <c r="L331" s="2" t="s">
        <v>146</v>
      </c>
      <c r="M331" s="2" t="s">
        <v>146</v>
      </c>
      <c r="N331" s="2" t="s">
        <v>146</v>
      </c>
      <c r="O331" s="2" t="s">
        <v>146</v>
      </c>
      <c r="P331" s="2" t="s">
        <v>146</v>
      </c>
      <c r="Q331" s="2" t="s">
        <v>49</v>
      </c>
      <c r="R331" s="2" t="s">
        <v>146</v>
      </c>
      <c r="S331" s="2" t="s">
        <v>146</v>
      </c>
      <c r="T331" s="2" t="s">
        <v>146</v>
      </c>
      <c r="U331" s="2" t="s">
        <v>146</v>
      </c>
      <c r="V331" s="2" t="s">
        <v>146</v>
      </c>
      <c r="Y331" s="2" t="str">
        <f t="shared" si="20"/>
        <v>Ja</v>
      </c>
      <c r="AA331" s="2" t="str">
        <f t="shared" si="21"/>
        <v>Nej</v>
      </c>
      <c r="AB331" s="2" t="str">
        <f t="shared" si="22"/>
        <v>ET</v>
      </c>
      <c r="AC331" s="2">
        <f t="shared" si="23"/>
        <v>0</v>
      </c>
    </row>
    <row r="332" spans="1:29" ht="14.25" x14ac:dyDescent="0.45">
      <c r="A332" s="2" t="s">
        <v>243</v>
      </c>
      <c r="B332" s="2" t="s">
        <v>246</v>
      </c>
      <c r="C332" s="2">
        <v>2019</v>
      </c>
      <c r="D332" s="2">
        <v>0.42799999999999999</v>
      </c>
      <c r="E332" s="2" t="s">
        <v>146</v>
      </c>
      <c r="F332" s="2" t="s">
        <v>49</v>
      </c>
      <c r="G332" s="2">
        <v>2.2000000000000002</v>
      </c>
      <c r="H332" s="2">
        <v>250.8</v>
      </c>
      <c r="I332" s="2">
        <v>0.35</v>
      </c>
      <c r="J332" s="2">
        <v>0.3977</v>
      </c>
      <c r="K332" s="2" t="s">
        <v>49</v>
      </c>
      <c r="L332" s="2" t="s">
        <v>146</v>
      </c>
      <c r="M332" s="2" t="s">
        <v>146</v>
      </c>
      <c r="N332" s="2" t="s">
        <v>146</v>
      </c>
      <c r="O332" s="2" t="s">
        <v>146</v>
      </c>
      <c r="P332" s="2" t="s">
        <v>146</v>
      </c>
      <c r="Q332" s="2" t="s">
        <v>49</v>
      </c>
      <c r="R332" s="2" t="s">
        <v>146</v>
      </c>
      <c r="S332" s="2" t="s">
        <v>146</v>
      </c>
      <c r="T332" s="2" t="s">
        <v>146</v>
      </c>
      <c r="U332" s="2" t="s">
        <v>146</v>
      </c>
      <c r="V332" s="2" t="s">
        <v>146</v>
      </c>
      <c r="Y332" s="2" t="str">
        <f t="shared" si="20"/>
        <v>Ja</v>
      </c>
      <c r="AA332" s="2" t="str">
        <f t="shared" si="21"/>
        <v>Nej</v>
      </c>
      <c r="AB332" s="2" t="str">
        <f t="shared" si="22"/>
        <v>ET</v>
      </c>
      <c r="AC332" s="2">
        <f t="shared" si="23"/>
        <v>0</v>
      </c>
    </row>
    <row r="333" spans="1:29" ht="14.25" x14ac:dyDescent="0.45">
      <c r="A333" s="2" t="s">
        <v>243</v>
      </c>
      <c r="B333" s="2" t="s">
        <v>245</v>
      </c>
      <c r="C333" s="2">
        <v>2019</v>
      </c>
      <c r="D333" s="2">
        <v>3.3969999999999998</v>
      </c>
      <c r="E333" s="2" t="s">
        <v>146</v>
      </c>
      <c r="F333" s="2" t="s">
        <v>49</v>
      </c>
      <c r="G333" s="2">
        <v>2.2000000000000002</v>
      </c>
      <c r="H333" s="2">
        <v>250.8</v>
      </c>
      <c r="I333" s="2">
        <v>0.35</v>
      </c>
      <c r="J333" s="2">
        <v>0.3977</v>
      </c>
      <c r="K333" s="2" t="s">
        <v>49</v>
      </c>
      <c r="L333" s="2" t="s">
        <v>146</v>
      </c>
      <c r="M333" s="2" t="s">
        <v>146</v>
      </c>
      <c r="N333" s="2" t="s">
        <v>146</v>
      </c>
      <c r="O333" s="2" t="s">
        <v>146</v>
      </c>
      <c r="P333" s="2" t="s">
        <v>146</v>
      </c>
      <c r="Q333" s="2" t="s">
        <v>49</v>
      </c>
      <c r="R333" s="2" t="s">
        <v>146</v>
      </c>
      <c r="S333" s="2" t="s">
        <v>146</v>
      </c>
      <c r="T333" s="2" t="s">
        <v>146</v>
      </c>
      <c r="U333" s="2" t="s">
        <v>146</v>
      </c>
      <c r="V333" s="2" t="s">
        <v>146</v>
      </c>
      <c r="Y333" s="2" t="str">
        <f t="shared" si="20"/>
        <v>Ja</v>
      </c>
      <c r="AA333" s="2" t="str">
        <f t="shared" si="21"/>
        <v>Nej</v>
      </c>
      <c r="AB333" s="2" t="str">
        <f t="shared" si="22"/>
        <v>ET</v>
      </c>
      <c r="AC333" s="2">
        <f t="shared" si="23"/>
        <v>0</v>
      </c>
    </row>
    <row r="334" spans="1:29" ht="14.25" x14ac:dyDescent="0.45">
      <c r="A334" s="2" t="s">
        <v>243</v>
      </c>
      <c r="B334" s="2" t="s">
        <v>244</v>
      </c>
      <c r="C334" s="2">
        <v>2019</v>
      </c>
      <c r="D334" s="2">
        <v>4.5999999999999999E-2</v>
      </c>
      <c r="E334" s="2" t="s">
        <v>146</v>
      </c>
      <c r="F334" s="2" t="s">
        <v>49</v>
      </c>
      <c r="G334" s="2">
        <v>2.2000000000000002</v>
      </c>
      <c r="H334" s="2">
        <v>250.8</v>
      </c>
      <c r="I334" s="2">
        <v>0.35</v>
      </c>
      <c r="J334" s="2">
        <v>0.3977</v>
      </c>
      <c r="K334" s="2" t="s">
        <v>49</v>
      </c>
      <c r="L334" s="2" t="s">
        <v>146</v>
      </c>
      <c r="M334" s="2" t="s">
        <v>146</v>
      </c>
      <c r="N334" s="2" t="s">
        <v>146</v>
      </c>
      <c r="O334" s="2" t="s">
        <v>146</v>
      </c>
      <c r="P334" s="2" t="s">
        <v>146</v>
      </c>
      <c r="Q334" s="2" t="s">
        <v>49</v>
      </c>
      <c r="R334" s="2" t="s">
        <v>146</v>
      </c>
      <c r="S334" s="2" t="s">
        <v>146</v>
      </c>
      <c r="T334" s="2" t="s">
        <v>146</v>
      </c>
      <c r="U334" s="2" t="s">
        <v>146</v>
      </c>
      <c r="V334" s="2" t="s">
        <v>146</v>
      </c>
      <c r="Y334" s="2" t="str">
        <f t="shared" si="20"/>
        <v>Ja</v>
      </c>
      <c r="AA334" s="2" t="str">
        <f t="shared" si="21"/>
        <v>Nej</v>
      </c>
      <c r="AB334" s="2" t="str">
        <f t="shared" si="22"/>
        <v>ET</v>
      </c>
      <c r="AC334" s="2">
        <f t="shared" si="23"/>
        <v>0</v>
      </c>
    </row>
    <row r="335" spans="1:29" ht="14.25" x14ac:dyDescent="0.45">
      <c r="A335" s="2" t="s">
        <v>243</v>
      </c>
      <c r="B335" s="2" t="s">
        <v>133</v>
      </c>
      <c r="C335" s="2">
        <v>2019</v>
      </c>
      <c r="D335" s="2">
        <v>0.32800000000000001</v>
      </c>
      <c r="E335" s="2" t="s">
        <v>146</v>
      </c>
      <c r="F335" s="2" t="s">
        <v>49</v>
      </c>
      <c r="G335" s="2">
        <v>2.2000000000000002</v>
      </c>
      <c r="H335" s="2">
        <v>250.8</v>
      </c>
      <c r="I335" s="2">
        <v>0.35</v>
      </c>
      <c r="J335" s="2">
        <v>0.3977</v>
      </c>
      <c r="K335" s="2" t="s">
        <v>49</v>
      </c>
      <c r="L335" s="2" t="s">
        <v>146</v>
      </c>
      <c r="M335" s="2" t="s">
        <v>146</v>
      </c>
      <c r="N335" s="2" t="s">
        <v>146</v>
      </c>
      <c r="O335" s="2" t="s">
        <v>146</v>
      </c>
      <c r="P335" s="2" t="s">
        <v>146</v>
      </c>
      <c r="Q335" s="2" t="s">
        <v>49</v>
      </c>
      <c r="R335" s="2" t="s">
        <v>146</v>
      </c>
      <c r="S335" s="2" t="s">
        <v>146</v>
      </c>
      <c r="T335" s="2" t="s">
        <v>146</v>
      </c>
      <c r="U335" s="2" t="s">
        <v>146</v>
      </c>
      <c r="V335" s="2" t="s">
        <v>146</v>
      </c>
      <c r="Y335" s="2" t="str">
        <f t="shared" si="20"/>
        <v>Ja</v>
      </c>
      <c r="AA335" s="2" t="str">
        <f t="shared" si="21"/>
        <v>Nej</v>
      </c>
      <c r="AB335" s="2" t="str">
        <f t="shared" si="22"/>
        <v>ET</v>
      </c>
      <c r="AC335" s="2">
        <f t="shared" si="23"/>
        <v>0</v>
      </c>
    </row>
    <row r="336" spans="1:29" ht="14.25" x14ac:dyDescent="0.45">
      <c r="A336" s="2" t="s">
        <v>232</v>
      </c>
      <c r="B336" s="2" t="s">
        <v>242</v>
      </c>
      <c r="C336" s="2">
        <v>2019</v>
      </c>
      <c r="D336" s="2">
        <v>0.65400000000000003</v>
      </c>
      <c r="E336" s="2" t="s">
        <v>146</v>
      </c>
      <c r="F336" s="2" t="s">
        <v>926</v>
      </c>
      <c r="G336" s="2">
        <v>1.9</v>
      </c>
      <c r="H336" s="2">
        <v>0.05</v>
      </c>
      <c r="I336" s="2">
        <v>0</v>
      </c>
      <c r="J336" s="2">
        <v>0.59399999999999997</v>
      </c>
      <c r="K336" s="2" t="s">
        <v>932</v>
      </c>
      <c r="L336" s="2" t="s">
        <v>146</v>
      </c>
      <c r="M336" s="2" t="s">
        <v>146</v>
      </c>
      <c r="N336" s="2" t="s">
        <v>146</v>
      </c>
      <c r="O336" s="2" t="s">
        <v>146</v>
      </c>
      <c r="P336" s="2" t="s">
        <v>146</v>
      </c>
      <c r="Q336" s="2" t="s">
        <v>176</v>
      </c>
      <c r="R336" s="2" t="s">
        <v>146</v>
      </c>
      <c r="S336" s="2" t="s">
        <v>146</v>
      </c>
      <c r="T336" s="2" t="s">
        <v>146</v>
      </c>
      <c r="U336" s="2" t="s">
        <v>146</v>
      </c>
      <c r="V336" s="2" t="s">
        <v>146</v>
      </c>
      <c r="Y336" s="2" t="str">
        <f t="shared" si="20"/>
        <v>Ja</v>
      </c>
      <c r="AA336" s="2" t="str">
        <f t="shared" si="21"/>
        <v>Nej</v>
      </c>
      <c r="AB336" s="2" t="str">
        <f t="shared" si="22"/>
        <v>ET</v>
      </c>
      <c r="AC336" s="2">
        <f t="shared" si="23"/>
        <v>0</v>
      </c>
    </row>
    <row r="337" spans="1:29" ht="14.25" x14ac:dyDescent="0.45">
      <c r="A337" s="2" t="s">
        <v>232</v>
      </c>
      <c r="B337" s="2" t="s">
        <v>241</v>
      </c>
      <c r="C337" s="2">
        <v>2019</v>
      </c>
      <c r="D337" s="2">
        <v>11.378</v>
      </c>
      <c r="E337" s="2">
        <v>16.61</v>
      </c>
      <c r="F337" s="2" t="s">
        <v>931</v>
      </c>
      <c r="G337" s="2">
        <v>0.05</v>
      </c>
      <c r="H337" s="2">
        <v>0</v>
      </c>
      <c r="I337" s="2">
        <v>0</v>
      </c>
      <c r="J337" s="2">
        <v>0</v>
      </c>
      <c r="K337" s="2" t="s">
        <v>49</v>
      </c>
      <c r="L337" s="2" t="s">
        <v>146</v>
      </c>
      <c r="M337" s="2" t="s">
        <v>146</v>
      </c>
      <c r="N337" s="2" t="s">
        <v>146</v>
      </c>
      <c r="O337" s="2" t="s">
        <v>146</v>
      </c>
      <c r="P337" s="2" t="s">
        <v>146</v>
      </c>
      <c r="Q337" s="2" t="s">
        <v>49</v>
      </c>
      <c r="R337" s="2" t="s">
        <v>146</v>
      </c>
      <c r="S337" s="2" t="s">
        <v>146</v>
      </c>
      <c r="T337" s="2" t="s">
        <v>146</v>
      </c>
      <c r="U337" s="2" t="s">
        <v>146</v>
      </c>
      <c r="V337" s="2" t="s">
        <v>146</v>
      </c>
      <c r="Y337" s="2" t="str">
        <f t="shared" si="20"/>
        <v>Ja</v>
      </c>
      <c r="AA337" s="2" t="str">
        <f t="shared" si="21"/>
        <v>Nej</v>
      </c>
      <c r="AB337" s="2" t="str">
        <f t="shared" si="22"/>
        <v>ET</v>
      </c>
      <c r="AC337" s="2">
        <f t="shared" si="23"/>
        <v>0</v>
      </c>
    </row>
    <row r="338" spans="1:29" ht="14.25" x14ac:dyDescent="0.45">
      <c r="A338" s="2" t="s">
        <v>232</v>
      </c>
      <c r="B338" s="2" t="s">
        <v>240</v>
      </c>
      <c r="C338" s="2">
        <v>2019</v>
      </c>
      <c r="D338" s="2">
        <v>1.5680000000000001</v>
      </c>
      <c r="E338" s="2" t="s">
        <v>146</v>
      </c>
      <c r="F338" s="2" t="s">
        <v>926</v>
      </c>
      <c r="G338" s="2">
        <v>1.9</v>
      </c>
      <c r="H338" s="2">
        <v>0.05</v>
      </c>
      <c r="I338" s="2">
        <v>0</v>
      </c>
      <c r="J338" s="2">
        <v>0.59</v>
      </c>
      <c r="K338" s="2" t="s">
        <v>49</v>
      </c>
      <c r="L338" s="2" t="s">
        <v>146</v>
      </c>
      <c r="M338" s="2" t="s">
        <v>146</v>
      </c>
      <c r="N338" s="2" t="s">
        <v>146</v>
      </c>
      <c r="O338" s="2" t="s">
        <v>146</v>
      </c>
      <c r="P338" s="2" t="s">
        <v>146</v>
      </c>
      <c r="Q338" s="2" t="s">
        <v>49</v>
      </c>
      <c r="R338" s="2" t="s">
        <v>146</v>
      </c>
      <c r="S338" s="2" t="s">
        <v>146</v>
      </c>
      <c r="T338" s="2" t="s">
        <v>146</v>
      </c>
      <c r="U338" s="2" t="s">
        <v>146</v>
      </c>
      <c r="V338" s="2" t="s">
        <v>146</v>
      </c>
      <c r="Y338" s="2" t="str">
        <f t="shared" si="20"/>
        <v>Ja</v>
      </c>
      <c r="AA338" s="2" t="str">
        <f t="shared" si="21"/>
        <v>Nej</v>
      </c>
      <c r="AB338" s="2" t="str">
        <f t="shared" si="22"/>
        <v>ET</v>
      </c>
      <c r="AC338" s="2">
        <f t="shared" si="23"/>
        <v>0</v>
      </c>
    </row>
    <row r="339" spans="1:29" ht="14.25" x14ac:dyDescent="0.45">
      <c r="A339" s="2" t="s">
        <v>232</v>
      </c>
      <c r="B339" s="2" t="s">
        <v>239</v>
      </c>
      <c r="C339" s="2">
        <v>2019</v>
      </c>
      <c r="D339" s="2">
        <v>2</v>
      </c>
      <c r="E339" s="2" t="s">
        <v>146</v>
      </c>
      <c r="F339" s="2" t="s">
        <v>930</v>
      </c>
      <c r="G339" s="2">
        <v>1.9</v>
      </c>
      <c r="H339" s="2">
        <v>0.05</v>
      </c>
      <c r="I339" s="2">
        <v>0</v>
      </c>
      <c r="J339" s="2">
        <v>0.59</v>
      </c>
      <c r="K339" s="2" t="s">
        <v>49</v>
      </c>
      <c r="L339" s="2" t="s">
        <v>146</v>
      </c>
      <c r="M339" s="2" t="s">
        <v>146</v>
      </c>
      <c r="N339" s="2" t="s">
        <v>146</v>
      </c>
      <c r="O339" s="2" t="s">
        <v>146</v>
      </c>
      <c r="P339" s="2" t="s">
        <v>146</v>
      </c>
      <c r="Q339" s="2" t="s">
        <v>49</v>
      </c>
      <c r="R339" s="2" t="s">
        <v>146</v>
      </c>
      <c r="S339" s="2" t="s">
        <v>146</v>
      </c>
      <c r="T339" s="2" t="s">
        <v>146</v>
      </c>
      <c r="U339" s="2" t="s">
        <v>146</v>
      </c>
      <c r="V339" s="2" t="s">
        <v>146</v>
      </c>
      <c r="Y339" s="2" t="str">
        <f t="shared" si="20"/>
        <v>Ja</v>
      </c>
      <c r="AA339" s="2" t="str">
        <f t="shared" si="21"/>
        <v>Nej</v>
      </c>
      <c r="AB339" s="2" t="str">
        <f t="shared" si="22"/>
        <v>ET</v>
      </c>
      <c r="AC339" s="2">
        <f t="shared" si="23"/>
        <v>0</v>
      </c>
    </row>
    <row r="340" spans="1:29" ht="14.25" x14ac:dyDescent="0.45">
      <c r="A340" s="2" t="s">
        <v>232</v>
      </c>
      <c r="B340" s="2" t="s">
        <v>238</v>
      </c>
      <c r="C340" s="2">
        <v>2019</v>
      </c>
      <c r="D340" s="2">
        <v>5.165</v>
      </c>
      <c r="E340" s="2">
        <v>2.2679999999999998</v>
      </c>
      <c r="F340" s="2" t="s">
        <v>929</v>
      </c>
      <c r="G340" s="2">
        <v>0.05</v>
      </c>
      <c r="H340" s="2">
        <v>0</v>
      </c>
      <c r="I340" s="2">
        <v>0</v>
      </c>
      <c r="J340" s="2">
        <v>0</v>
      </c>
      <c r="K340" s="2" t="s">
        <v>176</v>
      </c>
      <c r="L340" s="2" t="s">
        <v>146</v>
      </c>
      <c r="M340" s="2" t="s">
        <v>146</v>
      </c>
      <c r="N340" s="2" t="s">
        <v>146</v>
      </c>
      <c r="O340" s="2" t="s">
        <v>146</v>
      </c>
      <c r="P340" s="2" t="s">
        <v>146</v>
      </c>
      <c r="Q340" s="2" t="s">
        <v>176</v>
      </c>
      <c r="R340" s="2" t="s">
        <v>146</v>
      </c>
      <c r="S340" s="2" t="s">
        <v>146</v>
      </c>
      <c r="T340" s="2" t="s">
        <v>146</v>
      </c>
      <c r="U340" s="2" t="s">
        <v>146</v>
      </c>
      <c r="V340" s="2" t="s">
        <v>146</v>
      </c>
      <c r="Y340" s="2" t="str">
        <f t="shared" si="20"/>
        <v>Ja</v>
      </c>
      <c r="AA340" s="2" t="str">
        <f t="shared" si="21"/>
        <v>Nej</v>
      </c>
      <c r="AB340" s="2" t="str">
        <f t="shared" si="22"/>
        <v>ET</v>
      </c>
      <c r="AC340" s="2">
        <f t="shared" si="23"/>
        <v>0</v>
      </c>
    </row>
    <row r="341" spans="1:29" ht="14.25" x14ac:dyDescent="0.45">
      <c r="A341" s="2" t="s">
        <v>232</v>
      </c>
      <c r="B341" s="2" t="s">
        <v>237</v>
      </c>
      <c r="C341" s="2">
        <v>2019</v>
      </c>
      <c r="D341" s="2">
        <v>4.2350000000000003</v>
      </c>
      <c r="E341" s="2">
        <v>14.73</v>
      </c>
      <c r="F341" s="2" t="s">
        <v>928</v>
      </c>
      <c r="G341" s="2">
        <v>0.05</v>
      </c>
      <c r="H341" s="2">
        <v>1.37</v>
      </c>
      <c r="I341" s="2">
        <v>0.5</v>
      </c>
      <c r="J341" s="2">
        <v>0</v>
      </c>
      <c r="K341" s="2" t="s">
        <v>146</v>
      </c>
      <c r="L341" s="2" t="s">
        <v>146</v>
      </c>
      <c r="M341" s="2" t="s">
        <v>146</v>
      </c>
      <c r="N341" s="2" t="s">
        <v>146</v>
      </c>
      <c r="O341" s="2" t="s">
        <v>146</v>
      </c>
      <c r="P341" s="2" t="s">
        <v>146</v>
      </c>
      <c r="Q341" s="2" t="s">
        <v>146</v>
      </c>
      <c r="R341" s="2" t="s">
        <v>146</v>
      </c>
      <c r="S341" s="2" t="s">
        <v>146</v>
      </c>
      <c r="T341" s="2" t="s">
        <v>146</v>
      </c>
      <c r="U341" s="2" t="s">
        <v>146</v>
      </c>
      <c r="V341" s="2" t="s">
        <v>146</v>
      </c>
      <c r="Y341" s="2" t="str">
        <f t="shared" si="20"/>
        <v>Ja</v>
      </c>
      <c r="AA341" s="2" t="str">
        <f t="shared" si="21"/>
        <v>Nej</v>
      </c>
      <c r="AB341" s="2" t="str">
        <f t="shared" si="22"/>
        <v>ET</v>
      </c>
      <c r="AC341" s="2">
        <f t="shared" si="23"/>
        <v>0</v>
      </c>
    </row>
    <row r="342" spans="1:29" ht="14.25" x14ac:dyDescent="0.45">
      <c r="A342" s="2" t="s">
        <v>232</v>
      </c>
      <c r="B342" s="2" t="s">
        <v>236</v>
      </c>
      <c r="C342" s="2">
        <v>2019</v>
      </c>
      <c r="D342" s="2">
        <v>0.53400000000000003</v>
      </c>
      <c r="E342" s="2" t="s">
        <v>146</v>
      </c>
      <c r="F342" s="2" t="s">
        <v>926</v>
      </c>
      <c r="G342" s="2">
        <v>1.9</v>
      </c>
      <c r="H342" s="2">
        <v>0.05</v>
      </c>
      <c r="I342" s="2">
        <v>0</v>
      </c>
      <c r="J342" s="2">
        <v>0.59</v>
      </c>
      <c r="K342" s="2" t="s">
        <v>49</v>
      </c>
      <c r="L342" s="2" t="s">
        <v>146</v>
      </c>
      <c r="M342" s="2" t="s">
        <v>146</v>
      </c>
      <c r="N342" s="2" t="s">
        <v>146</v>
      </c>
      <c r="O342" s="2" t="s">
        <v>146</v>
      </c>
      <c r="P342" s="2" t="s">
        <v>146</v>
      </c>
      <c r="Q342" s="2" t="s">
        <v>49</v>
      </c>
      <c r="R342" s="2" t="s">
        <v>146</v>
      </c>
      <c r="S342" s="2" t="s">
        <v>146</v>
      </c>
      <c r="T342" s="2" t="s">
        <v>146</v>
      </c>
      <c r="U342" s="2" t="s">
        <v>146</v>
      </c>
      <c r="V342" s="2" t="s">
        <v>146</v>
      </c>
      <c r="Y342" s="2" t="str">
        <f t="shared" si="20"/>
        <v>Ja</v>
      </c>
      <c r="AA342" s="2" t="str">
        <f t="shared" si="21"/>
        <v>Nej</v>
      </c>
      <c r="AB342" s="2" t="str">
        <f t="shared" si="22"/>
        <v>ET</v>
      </c>
      <c r="AC342" s="2">
        <f t="shared" si="23"/>
        <v>0</v>
      </c>
    </row>
    <row r="343" spans="1:29" ht="14.25" x14ac:dyDescent="0.45">
      <c r="A343" s="2" t="s">
        <v>232</v>
      </c>
      <c r="B343" s="2" t="s">
        <v>235</v>
      </c>
      <c r="C343" s="2">
        <v>2019</v>
      </c>
      <c r="D343" s="2">
        <v>0.2</v>
      </c>
      <c r="E343" s="2" t="s">
        <v>146</v>
      </c>
      <c r="F343" s="2" t="s">
        <v>927</v>
      </c>
      <c r="G343" s="2">
        <v>1.9</v>
      </c>
      <c r="H343" s="2">
        <v>0.05</v>
      </c>
      <c r="I343" s="2">
        <v>0</v>
      </c>
      <c r="J343" s="2">
        <v>0.59</v>
      </c>
      <c r="K343" s="2" t="s">
        <v>49</v>
      </c>
      <c r="L343" s="2" t="s">
        <v>146</v>
      </c>
      <c r="M343" s="2" t="s">
        <v>146</v>
      </c>
      <c r="N343" s="2" t="s">
        <v>146</v>
      </c>
      <c r="O343" s="2" t="s">
        <v>146</v>
      </c>
      <c r="P343" s="2" t="s">
        <v>146</v>
      </c>
      <c r="Q343" s="2" t="s">
        <v>49</v>
      </c>
      <c r="R343" s="2" t="s">
        <v>146</v>
      </c>
      <c r="S343" s="2" t="s">
        <v>146</v>
      </c>
      <c r="T343" s="2" t="s">
        <v>146</v>
      </c>
      <c r="U343" s="2" t="s">
        <v>146</v>
      </c>
      <c r="V343" s="2" t="s">
        <v>146</v>
      </c>
      <c r="Y343" s="2" t="str">
        <f t="shared" si="20"/>
        <v>Ja</v>
      </c>
      <c r="AA343" s="2" t="str">
        <f t="shared" si="21"/>
        <v>Nej</v>
      </c>
      <c r="AB343" s="2" t="str">
        <f t="shared" si="22"/>
        <v>ET</v>
      </c>
      <c r="AC343" s="2">
        <f t="shared" si="23"/>
        <v>0</v>
      </c>
    </row>
    <row r="344" spans="1:29" ht="14.25" x14ac:dyDescent="0.45">
      <c r="A344" s="2" t="s">
        <v>232</v>
      </c>
      <c r="B344" s="2" t="s">
        <v>234</v>
      </c>
      <c r="C344" s="2">
        <v>2019</v>
      </c>
      <c r="D344" s="2">
        <v>62.9</v>
      </c>
      <c r="E344" s="2">
        <v>16.600000000000001</v>
      </c>
      <c r="F344" s="2" t="s">
        <v>927</v>
      </c>
      <c r="G344" s="2">
        <v>1.9</v>
      </c>
      <c r="H344" s="2">
        <v>0</v>
      </c>
      <c r="I344" s="2">
        <v>0</v>
      </c>
      <c r="J344" s="2">
        <v>0.59</v>
      </c>
      <c r="K344" s="2" t="s">
        <v>49</v>
      </c>
      <c r="L344" s="2" t="s">
        <v>146</v>
      </c>
      <c r="M344" s="2" t="s">
        <v>146</v>
      </c>
      <c r="N344" s="2" t="s">
        <v>146</v>
      </c>
      <c r="O344" s="2" t="s">
        <v>146</v>
      </c>
      <c r="P344" s="2" t="s">
        <v>146</v>
      </c>
      <c r="Q344" s="2" t="s">
        <v>49</v>
      </c>
      <c r="R344" s="2">
        <v>100.73</v>
      </c>
      <c r="S344" s="2">
        <v>0.01</v>
      </c>
      <c r="T344" s="2">
        <v>0</v>
      </c>
      <c r="U344" s="2">
        <v>0</v>
      </c>
      <c r="V344" s="2">
        <v>0</v>
      </c>
      <c r="Y344" s="2" t="str">
        <f t="shared" si="20"/>
        <v>Ja</v>
      </c>
      <c r="AA344" s="2" t="str">
        <f t="shared" si="21"/>
        <v>Nej</v>
      </c>
      <c r="AB344" s="2" t="str">
        <f t="shared" si="22"/>
        <v>ET</v>
      </c>
      <c r="AC344" s="2">
        <f t="shared" si="23"/>
        <v>0</v>
      </c>
    </row>
    <row r="345" spans="1:29" ht="14.25" x14ac:dyDescent="0.45">
      <c r="A345" s="2" t="s">
        <v>232</v>
      </c>
      <c r="B345" s="2" t="s">
        <v>231</v>
      </c>
      <c r="C345" s="2">
        <v>2019</v>
      </c>
      <c r="D345" s="2">
        <v>1.4</v>
      </c>
      <c r="E345" s="2" t="s">
        <v>146</v>
      </c>
      <c r="F345" s="2" t="s">
        <v>926</v>
      </c>
      <c r="G345" s="2">
        <v>1.9</v>
      </c>
      <c r="H345" s="2">
        <v>0.05</v>
      </c>
      <c r="I345" s="2">
        <v>0</v>
      </c>
      <c r="J345" s="2">
        <v>0.59399999999999997</v>
      </c>
      <c r="K345" s="2" t="s">
        <v>925</v>
      </c>
      <c r="L345" s="2">
        <v>2.2000000000000002</v>
      </c>
      <c r="M345" s="2">
        <v>2.8000000000000001E-2</v>
      </c>
      <c r="N345" s="2">
        <v>3.4</v>
      </c>
      <c r="O345" s="2">
        <v>5.9260000000000002</v>
      </c>
      <c r="P345" s="2">
        <v>3.3000000000000002E-2</v>
      </c>
      <c r="Q345" s="2" t="s">
        <v>49</v>
      </c>
      <c r="R345" s="2">
        <v>66.7</v>
      </c>
      <c r="S345" s="2">
        <v>0</v>
      </c>
      <c r="T345" s="2">
        <v>0</v>
      </c>
      <c r="U345" s="2">
        <v>0</v>
      </c>
      <c r="V345" s="2">
        <v>0</v>
      </c>
      <c r="Y345" s="2" t="str">
        <f t="shared" si="20"/>
        <v>Ja</v>
      </c>
      <c r="AA345" s="2" t="str">
        <f t="shared" si="21"/>
        <v>Nej</v>
      </c>
      <c r="AB345" s="2">
        <f t="shared" si="22"/>
        <v>2.2000000000000002</v>
      </c>
      <c r="AC345" s="2">
        <f t="shared" si="23"/>
        <v>0</v>
      </c>
    </row>
    <row r="346" spans="1:29" ht="14.25" x14ac:dyDescent="0.45">
      <c r="A346" s="2" t="s">
        <v>7</v>
      </c>
      <c r="B346" s="2" t="s">
        <v>230</v>
      </c>
      <c r="C346" s="2">
        <v>2019</v>
      </c>
      <c r="D346" s="2" t="s">
        <v>49</v>
      </c>
      <c r="E346" s="2" t="s">
        <v>49</v>
      </c>
      <c r="F346" s="2" t="s">
        <v>49</v>
      </c>
      <c r="G346" s="2" t="s">
        <v>49</v>
      </c>
      <c r="H346" s="2" t="s">
        <v>49</v>
      </c>
      <c r="I346" s="2" t="s">
        <v>49</v>
      </c>
      <c r="J346" s="2" t="s">
        <v>49</v>
      </c>
      <c r="K346" s="2" t="s">
        <v>49</v>
      </c>
      <c r="L346" s="2" t="s">
        <v>49</v>
      </c>
      <c r="M346" s="2" t="s">
        <v>49</v>
      </c>
      <c r="N346" s="2" t="s">
        <v>49</v>
      </c>
      <c r="O346" s="2" t="s">
        <v>49</v>
      </c>
      <c r="P346" s="2" t="s">
        <v>49</v>
      </c>
      <c r="Q346" s="2" t="s">
        <v>49</v>
      </c>
      <c r="R346" s="2" t="s">
        <v>49</v>
      </c>
      <c r="S346" s="2" t="s">
        <v>49</v>
      </c>
      <c r="T346" s="2" t="s">
        <v>49</v>
      </c>
      <c r="U346" s="2" t="s">
        <v>49</v>
      </c>
      <c r="V346" s="2" t="s">
        <v>49</v>
      </c>
      <c r="Y346" s="2" t="str">
        <f t="shared" si="20"/>
        <v>Nej</v>
      </c>
      <c r="AA346" s="2" t="str">
        <f t="shared" si="21"/>
        <v>Nej</v>
      </c>
      <c r="AB346" s="2">
        <f t="shared" si="22"/>
        <v>0</v>
      </c>
      <c r="AC346" s="2">
        <f t="shared" si="23"/>
        <v>0</v>
      </c>
    </row>
    <row r="347" spans="1:29" ht="14.25" x14ac:dyDescent="0.45">
      <c r="A347" s="2" t="s">
        <v>7</v>
      </c>
      <c r="B347" s="2" t="s">
        <v>8</v>
      </c>
      <c r="C347" s="2">
        <v>2019</v>
      </c>
      <c r="D347" s="2" t="s">
        <v>49</v>
      </c>
      <c r="E347" s="2" t="s">
        <v>49</v>
      </c>
      <c r="F347" s="2" t="s">
        <v>49</v>
      </c>
      <c r="G347" s="2" t="s">
        <v>49</v>
      </c>
      <c r="H347" s="2" t="s">
        <v>49</v>
      </c>
      <c r="I347" s="2" t="s">
        <v>49</v>
      </c>
      <c r="J347" s="2" t="s">
        <v>49</v>
      </c>
      <c r="K347" s="2" t="s">
        <v>49</v>
      </c>
      <c r="L347" s="2" t="s">
        <v>49</v>
      </c>
      <c r="M347" s="2" t="s">
        <v>49</v>
      </c>
      <c r="N347" s="2" t="s">
        <v>49</v>
      </c>
      <c r="O347" s="2" t="s">
        <v>49</v>
      </c>
      <c r="P347" s="2" t="s">
        <v>49</v>
      </c>
      <c r="Q347" s="2" t="s">
        <v>49</v>
      </c>
      <c r="R347" s="2" t="s">
        <v>49</v>
      </c>
      <c r="S347" s="2" t="s">
        <v>49</v>
      </c>
      <c r="T347" s="2" t="s">
        <v>49</v>
      </c>
      <c r="U347" s="2" t="s">
        <v>49</v>
      </c>
      <c r="V347" s="2" t="s">
        <v>49</v>
      </c>
      <c r="Y347" s="2" t="str">
        <f t="shared" si="20"/>
        <v>Nej</v>
      </c>
      <c r="AA347" s="2" t="str">
        <f t="shared" si="21"/>
        <v>Nej</v>
      </c>
      <c r="AB347" s="2">
        <f t="shared" si="22"/>
        <v>0</v>
      </c>
      <c r="AC347" s="2">
        <f t="shared" si="23"/>
        <v>0</v>
      </c>
    </row>
    <row r="348" spans="1:29" ht="14.25" x14ac:dyDescent="0.45">
      <c r="A348" s="2" t="s">
        <v>225</v>
      </c>
      <c r="B348" s="2" t="s">
        <v>229</v>
      </c>
      <c r="C348" s="2">
        <v>2019</v>
      </c>
      <c r="D348" s="2" t="s">
        <v>146</v>
      </c>
      <c r="E348" s="2" t="s">
        <v>146</v>
      </c>
      <c r="F348" s="2" t="s">
        <v>924</v>
      </c>
      <c r="G348" s="2">
        <v>2.2000000000000002</v>
      </c>
      <c r="H348" s="2">
        <v>250.8</v>
      </c>
      <c r="I348" s="2">
        <v>0.35</v>
      </c>
      <c r="J348" s="2">
        <v>0.3977</v>
      </c>
      <c r="K348" s="2" t="s">
        <v>49</v>
      </c>
      <c r="L348" s="2" t="s">
        <v>146</v>
      </c>
      <c r="M348" s="2" t="s">
        <v>146</v>
      </c>
      <c r="N348" s="2" t="s">
        <v>146</v>
      </c>
      <c r="O348" s="2" t="s">
        <v>146</v>
      </c>
      <c r="P348" s="2" t="s">
        <v>146</v>
      </c>
      <c r="Q348" s="2" t="s">
        <v>49</v>
      </c>
      <c r="R348" s="2" t="s">
        <v>146</v>
      </c>
      <c r="S348" s="2" t="s">
        <v>146</v>
      </c>
      <c r="T348" s="2" t="s">
        <v>146</v>
      </c>
      <c r="U348" s="2" t="s">
        <v>146</v>
      </c>
      <c r="V348" s="2" t="s">
        <v>146</v>
      </c>
      <c r="Y348" s="2" t="str">
        <f t="shared" si="20"/>
        <v>Ja</v>
      </c>
      <c r="AA348" s="2" t="str">
        <f t="shared" si="21"/>
        <v>Nej</v>
      </c>
      <c r="AB348" s="2" t="str">
        <f t="shared" si="22"/>
        <v>ET</v>
      </c>
      <c r="AC348" s="2">
        <f t="shared" si="23"/>
        <v>0</v>
      </c>
    </row>
    <row r="349" spans="1:29" ht="14.25" x14ac:dyDescent="0.45">
      <c r="A349" s="2" t="s">
        <v>225</v>
      </c>
      <c r="B349" s="2" t="s">
        <v>228</v>
      </c>
      <c r="C349" s="2">
        <v>2019</v>
      </c>
      <c r="D349" s="2">
        <v>0.10299999999999999</v>
      </c>
      <c r="E349" s="2" t="s">
        <v>146</v>
      </c>
      <c r="F349" s="2" t="s">
        <v>921</v>
      </c>
      <c r="G349" s="2">
        <v>1.1000000000000001</v>
      </c>
      <c r="H349" s="2">
        <v>2.9700000000000001E-4</v>
      </c>
      <c r="I349" s="2">
        <v>0</v>
      </c>
      <c r="J349" s="2">
        <v>0</v>
      </c>
      <c r="K349" s="2" t="s">
        <v>49</v>
      </c>
      <c r="L349" s="2" t="s">
        <v>146</v>
      </c>
      <c r="M349" s="2" t="s">
        <v>146</v>
      </c>
      <c r="N349" s="2" t="s">
        <v>146</v>
      </c>
      <c r="O349" s="2" t="s">
        <v>146</v>
      </c>
      <c r="P349" s="2" t="s">
        <v>146</v>
      </c>
      <c r="Q349" s="2" t="s">
        <v>176</v>
      </c>
      <c r="R349" s="2" t="s">
        <v>146</v>
      </c>
      <c r="S349" s="2" t="s">
        <v>146</v>
      </c>
      <c r="T349" s="2" t="s">
        <v>146</v>
      </c>
      <c r="U349" s="2" t="s">
        <v>146</v>
      </c>
      <c r="V349" s="2" t="s">
        <v>146</v>
      </c>
      <c r="Y349" s="2" t="str">
        <f t="shared" si="20"/>
        <v>Ja</v>
      </c>
      <c r="AA349" s="2" t="str">
        <f t="shared" si="21"/>
        <v>Nej</v>
      </c>
      <c r="AB349" s="2" t="str">
        <f t="shared" si="22"/>
        <v>ET</v>
      </c>
      <c r="AC349" s="2">
        <f t="shared" si="23"/>
        <v>0</v>
      </c>
    </row>
    <row r="350" spans="1:29" ht="14.25" x14ac:dyDescent="0.45">
      <c r="A350" s="2" t="s">
        <v>225</v>
      </c>
      <c r="B350" s="2" t="s">
        <v>227</v>
      </c>
      <c r="C350" s="2">
        <v>2019</v>
      </c>
      <c r="D350" s="2">
        <v>0.155</v>
      </c>
      <c r="E350" s="2" t="s">
        <v>146</v>
      </c>
      <c r="F350" s="2" t="s">
        <v>923</v>
      </c>
      <c r="G350" s="2">
        <v>1.1000000000000001</v>
      </c>
      <c r="H350" s="2">
        <v>2.9700000000000001E-4</v>
      </c>
      <c r="I350" s="2">
        <v>0</v>
      </c>
      <c r="J350" s="2">
        <v>0</v>
      </c>
      <c r="K350" s="2" t="s">
        <v>49</v>
      </c>
      <c r="L350" s="2" t="s">
        <v>146</v>
      </c>
      <c r="M350" s="2" t="s">
        <v>146</v>
      </c>
      <c r="N350" s="2" t="s">
        <v>146</v>
      </c>
      <c r="O350" s="2" t="s">
        <v>146</v>
      </c>
      <c r="P350" s="2" t="s">
        <v>146</v>
      </c>
      <c r="Q350" s="2" t="s">
        <v>49</v>
      </c>
      <c r="R350" s="2" t="s">
        <v>146</v>
      </c>
      <c r="S350" s="2" t="s">
        <v>146</v>
      </c>
      <c r="T350" s="2" t="s">
        <v>146</v>
      </c>
      <c r="U350" s="2" t="s">
        <v>146</v>
      </c>
      <c r="V350" s="2" t="s">
        <v>146</v>
      </c>
      <c r="Y350" s="2" t="str">
        <f t="shared" si="20"/>
        <v>Ja</v>
      </c>
      <c r="AA350" s="2" t="str">
        <f t="shared" si="21"/>
        <v>Nej</v>
      </c>
      <c r="AB350" s="2" t="str">
        <f t="shared" si="22"/>
        <v>ET</v>
      </c>
      <c r="AC350" s="2">
        <f t="shared" si="23"/>
        <v>0</v>
      </c>
    </row>
    <row r="351" spans="1:29" ht="14.25" x14ac:dyDescent="0.45">
      <c r="A351" s="2" t="s">
        <v>225</v>
      </c>
      <c r="B351" s="2" t="s">
        <v>226</v>
      </c>
      <c r="C351" s="2">
        <v>2019</v>
      </c>
      <c r="D351" s="2">
        <v>0.23599999999999999</v>
      </c>
      <c r="E351" s="2" t="s">
        <v>146</v>
      </c>
      <c r="F351" s="2" t="s">
        <v>922</v>
      </c>
      <c r="G351" s="2">
        <v>1.1000000000000001</v>
      </c>
      <c r="H351" s="2">
        <v>2.9700000000000001E-4</v>
      </c>
      <c r="I351" s="2">
        <v>0</v>
      </c>
      <c r="J351" s="2">
        <v>0</v>
      </c>
      <c r="K351" s="2" t="s">
        <v>49</v>
      </c>
      <c r="L351" s="2" t="s">
        <v>146</v>
      </c>
      <c r="M351" s="2" t="s">
        <v>146</v>
      </c>
      <c r="N351" s="2" t="s">
        <v>146</v>
      </c>
      <c r="O351" s="2" t="s">
        <v>146</v>
      </c>
      <c r="P351" s="2" t="s">
        <v>146</v>
      </c>
      <c r="Q351" s="2" t="s">
        <v>49</v>
      </c>
      <c r="R351" s="2" t="s">
        <v>146</v>
      </c>
      <c r="S351" s="2" t="s">
        <v>146</v>
      </c>
      <c r="T351" s="2" t="s">
        <v>146</v>
      </c>
      <c r="U351" s="2" t="s">
        <v>146</v>
      </c>
      <c r="V351" s="2" t="s">
        <v>146</v>
      </c>
      <c r="Y351" s="2" t="str">
        <f t="shared" si="20"/>
        <v>Ja</v>
      </c>
      <c r="AA351" s="2" t="str">
        <f t="shared" si="21"/>
        <v>Nej</v>
      </c>
      <c r="AB351" s="2" t="str">
        <f t="shared" si="22"/>
        <v>ET</v>
      </c>
      <c r="AC351" s="2">
        <f t="shared" si="23"/>
        <v>0</v>
      </c>
    </row>
    <row r="352" spans="1:29" ht="14.25" x14ac:dyDescent="0.45">
      <c r="A352" s="2" t="s">
        <v>225</v>
      </c>
      <c r="B352" s="2" t="s">
        <v>224</v>
      </c>
      <c r="C352" s="2">
        <v>2019</v>
      </c>
      <c r="D352" s="2">
        <v>0.59799999999999998</v>
      </c>
      <c r="E352" s="2">
        <v>0.61299999999999999</v>
      </c>
      <c r="F352" s="2" t="s">
        <v>921</v>
      </c>
      <c r="G352" s="2">
        <v>1.1000000000000001</v>
      </c>
      <c r="H352" s="2">
        <v>2.9700000000000001E-4</v>
      </c>
      <c r="I352" s="2">
        <v>0</v>
      </c>
      <c r="J352" s="2">
        <v>0</v>
      </c>
      <c r="K352" s="2" t="s">
        <v>49</v>
      </c>
      <c r="L352" s="2" t="s">
        <v>146</v>
      </c>
      <c r="M352" s="2" t="s">
        <v>146</v>
      </c>
      <c r="N352" s="2" t="s">
        <v>146</v>
      </c>
      <c r="O352" s="2" t="s">
        <v>146</v>
      </c>
      <c r="P352" s="2" t="s">
        <v>146</v>
      </c>
      <c r="Q352" s="2" t="s">
        <v>49</v>
      </c>
      <c r="R352" s="2" t="s">
        <v>146</v>
      </c>
      <c r="S352" s="2" t="s">
        <v>146</v>
      </c>
      <c r="T352" s="2" t="s">
        <v>146</v>
      </c>
      <c r="U352" s="2" t="s">
        <v>146</v>
      </c>
      <c r="V352" s="2" t="s">
        <v>146</v>
      </c>
      <c r="Y352" s="2" t="str">
        <f t="shared" si="20"/>
        <v>Ja</v>
      </c>
      <c r="AA352" s="2" t="str">
        <f t="shared" si="21"/>
        <v>Nej</v>
      </c>
      <c r="AB352" s="2" t="str">
        <f t="shared" si="22"/>
        <v>ET</v>
      </c>
      <c r="AC352" s="2">
        <f t="shared" si="23"/>
        <v>0</v>
      </c>
    </row>
    <row r="353" spans="1:29" ht="14.25" x14ac:dyDescent="0.45">
      <c r="A353" s="2" t="s">
        <v>221</v>
      </c>
      <c r="B353" s="2" t="s">
        <v>223</v>
      </c>
      <c r="C353" s="2">
        <v>2019</v>
      </c>
      <c r="D353" s="2">
        <v>4.8000000000000001E-2</v>
      </c>
      <c r="E353" s="2">
        <v>0</v>
      </c>
      <c r="F353" s="2" t="s">
        <v>920</v>
      </c>
      <c r="G353" s="2">
        <v>1.1000000000000001</v>
      </c>
      <c r="H353" s="2">
        <v>0</v>
      </c>
      <c r="I353" s="2">
        <v>0</v>
      </c>
      <c r="J353" s="2">
        <v>0</v>
      </c>
      <c r="K353" s="2" t="s">
        <v>49</v>
      </c>
      <c r="L353" s="2" t="s">
        <v>146</v>
      </c>
      <c r="M353" s="2" t="s">
        <v>146</v>
      </c>
      <c r="N353" s="2" t="s">
        <v>146</v>
      </c>
      <c r="O353" s="2" t="s">
        <v>146</v>
      </c>
      <c r="P353" s="2" t="s">
        <v>146</v>
      </c>
      <c r="Q353" s="2" t="s">
        <v>49</v>
      </c>
      <c r="R353" s="2" t="s">
        <v>146</v>
      </c>
      <c r="S353" s="2" t="s">
        <v>146</v>
      </c>
      <c r="T353" s="2" t="s">
        <v>146</v>
      </c>
      <c r="U353" s="2" t="s">
        <v>146</v>
      </c>
      <c r="V353" s="2" t="s">
        <v>146</v>
      </c>
      <c r="Y353" s="2" t="str">
        <f t="shared" si="20"/>
        <v>Ja</v>
      </c>
      <c r="AA353" s="2" t="str">
        <f t="shared" si="21"/>
        <v>Nej</v>
      </c>
      <c r="AB353" s="2" t="str">
        <f t="shared" si="22"/>
        <v>ET</v>
      </c>
      <c r="AC353" s="2">
        <f t="shared" si="23"/>
        <v>0</v>
      </c>
    </row>
    <row r="354" spans="1:29" ht="14.25" x14ac:dyDescent="0.45">
      <c r="A354" s="2" t="s">
        <v>221</v>
      </c>
      <c r="B354" s="2" t="s">
        <v>222</v>
      </c>
      <c r="C354" s="2">
        <v>2019</v>
      </c>
      <c r="D354" s="2" t="s">
        <v>146</v>
      </c>
      <c r="E354" s="2">
        <v>3.2</v>
      </c>
      <c r="F354" s="2" t="s">
        <v>919</v>
      </c>
      <c r="G354" s="2">
        <v>0.05</v>
      </c>
      <c r="H354" s="2">
        <v>0.7</v>
      </c>
      <c r="I354" s="2">
        <v>0</v>
      </c>
      <c r="J354" s="2">
        <v>0</v>
      </c>
      <c r="K354" s="2" t="s">
        <v>49</v>
      </c>
      <c r="L354" s="2" t="s">
        <v>146</v>
      </c>
      <c r="M354" s="2" t="s">
        <v>146</v>
      </c>
      <c r="N354" s="2" t="s">
        <v>146</v>
      </c>
      <c r="O354" s="2" t="s">
        <v>146</v>
      </c>
      <c r="P354" s="2" t="s">
        <v>146</v>
      </c>
      <c r="Q354" s="2" t="s">
        <v>49</v>
      </c>
      <c r="R354" s="2" t="s">
        <v>146</v>
      </c>
      <c r="S354" s="2" t="s">
        <v>146</v>
      </c>
      <c r="T354" s="2" t="s">
        <v>146</v>
      </c>
      <c r="U354" s="2" t="s">
        <v>146</v>
      </c>
      <c r="V354" s="2" t="s">
        <v>146</v>
      </c>
      <c r="Y354" s="2" t="str">
        <f t="shared" si="20"/>
        <v>Ja</v>
      </c>
      <c r="AA354" s="2" t="str">
        <f t="shared" si="21"/>
        <v>Nej</v>
      </c>
      <c r="AB354" s="2" t="str">
        <f t="shared" si="22"/>
        <v>ET</v>
      </c>
      <c r="AC354" s="2">
        <f t="shared" si="23"/>
        <v>0</v>
      </c>
    </row>
    <row r="355" spans="1:29" ht="14.25" x14ac:dyDescent="0.45">
      <c r="A355" s="2" t="s">
        <v>221</v>
      </c>
      <c r="B355" s="2" t="s">
        <v>220</v>
      </c>
      <c r="C355" s="2">
        <v>2019</v>
      </c>
      <c r="D355" s="2">
        <v>0.65</v>
      </c>
      <c r="E355" s="2" t="s">
        <v>146</v>
      </c>
      <c r="F355" s="2" t="s">
        <v>918</v>
      </c>
      <c r="G355" s="2">
        <v>1.1000000000000001</v>
      </c>
      <c r="H355" s="2">
        <v>0</v>
      </c>
      <c r="I355" s="2">
        <v>0</v>
      </c>
      <c r="J355" s="2">
        <v>0</v>
      </c>
      <c r="K355" s="2" t="s">
        <v>49</v>
      </c>
      <c r="L355" s="2" t="s">
        <v>146</v>
      </c>
      <c r="M355" s="2" t="s">
        <v>146</v>
      </c>
      <c r="N355" s="2" t="s">
        <v>146</v>
      </c>
      <c r="O355" s="2" t="s">
        <v>146</v>
      </c>
      <c r="P355" s="2" t="s">
        <v>146</v>
      </c>
      <c r="Q355" s="2" t="s">
        <v>49</v>
      </c>
      <c r="R355" s="2" t="s">
        <v>146</v>
      </c>
      <c r="S355" s="2" t="s">
        <v>146</v>
      </c>
      <c r="T355" s="2" t="s">
        <v>146</v>
      </c>
      <c r="U355" s="2" t="s">
        <v>146</v>
      </c>
      <c r="V355" s="2" t="s">
        <v>146</v>
      </c>
      <c r="Y355" s="2" t="str">
        <f t="shared" si="20"/>
        <v>Ja</v>
      </c>
      <c r="AA355" s="2" t="str">
        <f t="shared" si="21"/>
        <v>Nej</v>
      </c>
      <c r="AB355" s="2" t="str">
        <f t="shared" si="22"/>
        <v>ET</v>
      </c>
      <c r="AC355" s="2">
        <f t="shared" si="23"/>
        <v>0</v>
      </c>
    </row>
    <row r="356" spans="1:29" ht="14.25" x14ac:dyDescent="0.45">
      <c r="A356" s="2" t="s">
        <v>48</v>
      </c>
      <c r="B356" s="2" t="s">
        <v>219</v>
      </c>
      <c r="C356" s="2">
        <v>2019</v>
      </c>
      <c r="D356" s="2">
        <v>5.82</v>
      </c>
      <c r="E356" s="2" t="s">
        <v>146</v>
      </c>
      <c r="F356" s="2" t="s">
        <v>917</v>
      </c>
      <c r="G356" s="2">
        <v>2</v>
      </c>
      <c r="H356" s="2">
        <v>0</v>
      </c>
      <c r="I356" s="2">
        <v>0</v>
      </c>
      <c r="J356" s="2">
        <v>0</v>
      </c>
      <c r="K356" s="2" t="s">
        <v>49</v>
      </c>
      <c r="L356" s="2" t="s">
        <v>146</v>
      </c>
      <c r="M356" s="2" t="s">
        <v>146</v>
      </c>
      <c r="N356" s="2" t="s">
        <v>146</v>
      </c>
      <c r="O356" s="2" t="s">
        <v>146</v>
      </c>
      <c r="P356" s="2" t="s">
        <v>146</v>
      </c>
      <c r="Q356" s="2" t="s">
        <v>49</v>
      </c>
      <c r="R356" s="2" t="s">
        <v>146</v>
      </c>
      <c r="S356" s="2" t="s">
        <v>146</v>
      </c>
      <c r="T356" s="2" t="s">
        <v>146</v>
      </c>
      <c r="U356" s="2" t="s">
        <v>146</v>
      </c>
      <c r="V356" s="2" t="s">
        <v>146</v>
      </c>
      <c r="Y356" s="2" t="str">
        <f t="shared" si="20"/>
        <v>Ja</v>
      </c>
      <c r="AA356" s="2" t="str">
        <f t="shared" si="21"/>
        <v>Nej</v>
      </c>
      <c r="AB356" s="2" t="str">
        <f t="shared" si="22"/>
        <v>ET</v>
      </c>
      <c r="AC356" s="2">
        <f t="shared" si="23"/>
        <v>0</v>
      </c>
    </row>
    <row r="357" spans="1:29" ht="14.25" x14ac:dyDescent="0.45">
      <c r="A357" s="2" t="s">
        <v>48</v>
      </c>
      <c r="B357" s="2" t="s">
        <v>218</v>
      </c>
      <c r="C357" s="2">
        <v>2019</v>
      </c>
      <c r="D357" s="2" t="s">
        <v>146</v>
      </c>
      <c r="E357" s="2" t="s">
        <v>146</v>
      </c>
      <c r="F357" s="2" t="s">
        <v>917</v>
      </c>
      <c r="G357" s="2">
        <v>2</v>
      </c>
      <c r="H357" s="2">
        <v>0</v>
      </c>
      <c r="I357" s="2">
        <v>0</v>
      </c>
      <c r="J357" s="2">
        <v>0</v>
      </c>
      <c r="K357" s="2" t="s">
        <v>49</v>
      </c>
      <c r="L357" s="2" t="s">
        <v>146</v>
      </c>
      <c r="M357" s="2" t="s">
        <v>146</v>
      </c>
      <c r="N357" s="2" t="s">
        <v>146</v>
      </c>
      <c r="O357" s="2" t="s">
        <v>146</v>
      </c>
      <c r="P357" s="2" t="s">
        <v>146</v>
      </c>
      <c r="Q357" s="2" t="s">
        <v>49</v>
      </c>
      <c r="R357" s="2" t="s">
        <v>146</v>
      </c>
      <c r="S357" s="2" t="s">
        <v>146</v>
      </c>
      <c r="T357" s="2" t="s">
        <v>146</v>
      </c>
      <c r="U357" s="2" t="s">
        <v>146</v>
      </c>
      <c r="V357" s="2" t="s">
        <v>146</v>
      </c>
      <c r="Y357" s="2" t="str">
        <f t="shared" si="20"/>
        <v>Ja</v>
      </c>
      <c r="AA357" s="2" t="str">
        <f t="shared" si="21"/>
        <v>Nej</v>
      </c>
      <c r="AB357" s="2" t="str">
        <f t="shared" si="22"/>
        <v>ET</v>
      </c>
      <c r="AC357" s="2">
        <f t="shared" si="23"/>
        <v>0</v>
      </c>
    </row>
    <row r="358" spans="1:29" ht="14.25" x14ac:dyDescent="0.45">
      <c r="A358" s="2" t="s">
        <v>48</v>
      </c>
      <c r="B358" s="2" t="s">
        <v>217</v>
      </c>
      <c r="C358" s="2">
        <v>2019</v>
      </c>
      <c r="D358" s="2">
        <v>4.1000000000000002E-2</v>
      </c>
      <c r="E358" s="2" t="s">
        <v>146</v>
      </c>
      <c r="F358" s="2" t="s">
        <v>917</v>
      </c>
      <c r="G358" s="2">
        <v>2</v>
      </c>
      <c r="H358" s="2">
        <v>0</v>
      </c>
      <c r="I358" s="2">
        <v>0</v>
      </c>
      <c r="J358" s="2">
        <v>0</v>
      </c>
      <c r="K358" s="2" t="s">
        <v>49</v>
      </c>
      <c r="L358" s="2" t="s">
        <v>146</v>
      </c>
      <c r="M358" s="2" t="s">
        <v>146</v>
      </c>
      <c r="N358" s="2" t="s">
        <v>146</v>
      </c>
      <c r="O358" s="2" t="s">
        <v>146</v>
      </c>
      <c r="P358" s="2" t="s">
        <v>146</v>
      </c>
      <c r="Q358" s="2" t="s">
        <v>49</v>
      </c>
      <c r="R358" s="2" t="s">
        <v>146</v>
      </c>
      <c r="S358" s="2" t="s">
        <v>146</v>
      </c>
      <c r="T358" s="2" t="s">
        <v>146</v>
      </c>
      <c r="U358" s="2" t="s">
        <v>146</v>
      </c>
      <c r="V358" s="2" t="s">
        <v>146</v>
      </c>
      <c r="Y358" s="2" t="str">
        <f t="shared" si="20"/>
        <v>Ja</v>
      </c>
      <c r="AA358" s="2" t="str">
        <f t="shared" si="21"/>
        <v>Nej</v>
      </c>
      <c r="AB358" s="2" t="str">
        <f t="shared" si="22"/>
        <v>ET</v>
      </c>
      <c r="AC358" s="2">
        <f t="shared" si="23"/>
        <v>0</v>
      </c>
    </row>
    <row r="359" spans="1:29" ht="14.25" x14ac:dyDescent="0.45">
      <c r="A359" s="2" t="s">
        <v>48</v>
      </c>
      <c r="B359" s="2" t="s">
        <v>216</v>
      </c>
      <c r="C359" s="2">
        <v>2019</v>
      </c>
      <c r="D359" s="2">
        <v>0.10299999999999999</v>
      </c>
      <c r="E359" s="2" t="s">
        <v>146</v>
      </c>
      <c r="F359" s="2" t="s">
        <v>917</v>
      </c>
      <c r="G359" s="2">
        <v>2</v>
      </c>
      <c r="H359" s="2">
        <v>0</v>
      </c>
      <c r="I359" s="2">
        <v>0</v>
      </c>
      <c r="J359" s="2">
        <v>0</v>
      </c>
      <c r="K359" s="2" t="s">
        <v>49</v>
      </c>
      <c r="L359" s="2" t="s">
        <v>146</v>
      </c>
      <c r="M359" s="2" t="s">
        <v>146</v>
      </c>
      <c r="N359" s="2" t="s">
        <v>146</v>
      </c>
      <c r="O359" s="2" t="s">
        <v>146</v>
      </c>
      <c r="P359" s="2" t="s">
        <v>146</v>
      </c>
      <c r="Q359" s="2" t="s">
        <v>49</v>
      </c>
      <c r="R359" s="2" t="s">
        <v>146</v>
      </c>
      <c r="S359" s="2" t="s">
        <v>146</v>
      </c>
      <c r="T359" s="2" t="s">
        <v>146</v>
      </c>
      <c r="U359" s="2" t="s">
        <v>146</v>
      </c>
      <c r="V359" s="2" t="s">
        <v>146</v>
      </c>
      <c r="Y359" s="2" t="str">
        <f t="shared" si="20"/>
        <v>Ja</v>
      </c>
      <c r="AA359" s="2" t="str">
        <f t="shared" si="21"/>
        <v>Nej</v>
      </c>
      <c r="AB359" s="2" t="str">
        <f t="shared" si="22"/>
        <v>ET</v>
      </c>
      <c r="AC359" s="2">
        <f t="shared" si="23"/>
        <v>0</v>
      </c>
    </row>
    <row r="360" spans="1:29" ht="14.25" x14ac:dyDescent="0.45">
      <c r="A360" s="2" t="s">
        <v>48</v>
      </c>
      <c r="B360" s="2" t="s">
        <v>215</v>
      </c>
      <c r="C360" s="2">
        <v>2019</v>
      </c>
      <c r="D360" s="2">
        <v>2.016</v>
      </c>
      <c r="E360" s="2">
        <v>0.17899999999999999</v>
      </c>
      <c r="F360" s="2" t="s">
        <v>917</v>
      </c>
      <c r="G360" s="2">
        <v>2</v>
      </c>
      <c r="H360" s="2">
        <v>0</v>
      </c>
      <c r="I360" s="2">
        <v>0</v>
      </c>
      <c r="J360" s="2">
        <v>0</v>
      </c>
      <c r="K360" s="2" t="s">
        <v>49</v>
      </c>
      <c r="L360" s="2" t="s">
        <v>146</v>
      </c>
      <c r="M360" s="2" t="s">
        <v>146</v>
      </c>
      <c r="N360" s="2" t="s">
        <v>146</v>
      </c>
      <c r="O360" s="2" t="s">
        <v>146</v>
      </c>
      <c r="P360" s="2" t="s">
        <v>146</v>
      </c>
      <c r="Q360" s="2" t="s">
        <v>49</v>
      </c>
      <c r="R360" s="2" t="s">
        <v>146</v>
      </c>
      <c r="S360" s="2" t="s">
        <v>146</v>
      </c>
      <c r="T360" s="2" t="s">
        <v>146</v>
      </c>
      <c r="U360" s="2" t="s">
        <v>146</v>
      </c>
      <c r="V360" s="2" t="s">
        <v>146</v>
      </c>
      <c r="Y360" s="2" t="str">
        <f t="shared" si="20"/>
        <v>Ja</v>
      </c>
      <c r="AA360" s="2" t="str">
        <f t="shared" si="21"/>
        <v>Nej</v>
      </c>
      <c r="AB360" s="2" t="str">
        <f t="shared" si="22"/>
        <v>ET</v>
      </c>
      <c r="AC360" s="2">
        <f t="shared" si="23"/>
        <v>0</v>
      </c>
    </row>
    <row r="361" spans="1:29" ht="14.25" x14ac:dyDescent="0.45">
      <c r="A361" s="2" t="s">
        <v>48</v>
      </c>
      <c r="B361" s="2" t="s">
        <v>214</v>
      </c>
      <c r="C361" s="2">
        <v>2019</v>
      </c>
      <c r="D361" s="2">
        <v>0.183</v>
      </c>
      <c r="E361" s="2">
        <v>6.0750000000000002</v>
      </c>
      <c r="F361" s="2" t="s">
        <v>917</v>
      </c>
      <c r="G361" s="2">
        <v>2</v>
      </c>
      <c r="H361" s="2">
        <v>0</v>
      </c>
      <c r="I361" s="2">
        <v>0</v>
      </c>
      <c r="J361" s="2">
        <v>0</v>
      </c>
      <c r="K361" s="2" t="s">
        <v>49</v>
      </c>
      <c r="L361" s="2" t="s">
        <v>146</v>
      </c>
      <c r="M361" s="2" t="s">
        <v>146</v>
      </c>
      <c r="N361" s="2" t="s">
        <v>146</v>
      </c>
      <c r="O361" s="2" t="s">
        <v>146</v>
      </c>
      <c r="P361" s="2" t="s">
        <v>146</v>
      </c>
      <c r="Q361" s="2" t="s">
        <v>49</v>
      </c>
      <c r="R361" s="2" t="s">
        <v>146</v>
      </c>
      <c r="S361" s="2" t="s">
        <v>146</v>
      </c>
      <c r="T361" s="2" t="s">
        <v>146</v>
      </c>
      <c r="U361" s="2" t="s">
        <v>146</v>
      </c>
      <c r="V361" s="2" t="s">
        <v>146</v>
      </c>
      <c r="Y361" s="2" t="str">
        <f t="shared" si="20"/>
        <v>Ja</v>
      </c>
      <c r="AA361" s="2" t="str">
        <f t="shared" si="21"/>
        <v>Nej</v>
      </c>
      <c r="AB361" s="2" t="str">
        <f t="shared" si="22"/>
        <v>ET</v>
      </c>
      <c r="AC361" s="2">
        <f t="shared" si="23"/>
        <v>0</v>
      </c>
    </row>
    <row r="362" spans="1:29" ht="14.25" x14ac:dyDescent="0.45">
      <c r="A362" s="2" t="s">
        <v>48</v>
      </c>
      <c r="B362" s="2" t="s">
        <v>213</v>
      </c>
      <c r="C362" s="2">
        <v>2019</v>
      </c>
      <c r="D362" s="2">
        <v>0.98799999999999999</v>
      </c>
      <c r="E362" s="2" t="s">
        <v>146</v>
      </c>
      <c r="F362" s="2" t="s">
        <v>49</v>
      </c>
      <c r="G362" s="2">
        <v>2</v>
      </c>
      <c r="H362" s="2">
        <v>0</v>
      </c>
      <c r="I362" s="2">
        <v>0</v>
      </c>
      <c r="J362" s="2">
        <v>0</v>
      </c>
      <c r="K362" s="2" t="s">
        <v>49</v>
      </c>
      <c r="L362" s="2" t="s">
        <v>146</v>
      </c>
      <c r="M362" s="2" t="s">
        <v>146</v>
      </c>
      <c r="N362" s="2" t="s">
        <v>146</v>
      </c>
      <c r="O362" s="2" t="s">
        <v>146</v>
      </c>
      <c r="P362" s="2" t="s">
        <v>146</v>
      </c>
      <c r="Q362" s="2" t="s">
        <v>49</v>
      </c>
      <c r="R362" s="2" t="s">
        <v>146</v>
      </c>
      <c r="S362" s="2" t="s">
        <v>146</v>
      </c>
      <c r="T362" s="2" t="s">
        <v>146</v>
      </c>
      <c r="U362" s="2" t="s">
        <v>146</v>
      </c>
      <c r="V362" s="2" t="s">
        <v>146</v>
      </c>
      <c r="Y362" s="2" t="str">
        <f t="shared" si="20"/>
        <v>Ja</v>
      </c>
      <c r="AA362" s="2" t="str">
        <f t="shared" si="21"/>
        <v>Nej</v>
      </c>
      <c r="AB362" s="2" t="str">
        <f t="shared" si="22"/>
        <v>ET</v>
      </c>
      <c r="AC362" s="2">
        <f t="shared" si="23"/>
        <v>0</v>
      </c>
    </row>
    <row r="363" spans="1:29" ht="14.25" x14ac:dyDescent="0.45">
      <c r="A363" s="2" t="s">
        <v>48</v>
      </c>
      <c r="B363" s="2" t="s">
        <v>212</v>
      </c>
      <c r="C363" s="2">
        <v>2019</v>
      </c>
      <c r="D363" s="2">
        <v>3.9E-2</v>
      </c>
      <c r="E363" s="2" t="s">
        <v>146</v>
      </c>
      <c r="F363" s="2" t="s">
        <v>917</v>
      </c>
      <c r="G363" s="2">
        <v>2</v>
      </c>
      <c r="H363" s="2">
        <v>0</v>
      </c>
      <c r="I363" s="2">
        <v>0</v>
      </c>
      <c r="J363" s="2">
        <v>0</v>
      </c>
      <c r="K363" s="2" t="s">
        <v>49</v>
      </c>
      <c r="L363" s="2" t="s">
        <v>146</v>
      </c>
      <c r="M363" s="2" t="s">
        <v>146</v>
      </c>
      <c r="N363" s="2" t="s">
        <v>146</v>
      </c>
      <c r="O363" s="2" t="s">
        <v>146</v>
      </c>
      <c r="P363" s="2" t="s">
        <v>146</v>
      </c>
      <c r="Q363" s="2" t="s">
        <v>49</v>
      </c>
      <c r="R363" s="2" t="s">
        <v>146</v>
      </c>
      <c r="S363" s="2" t="s">
        <v>146</v>
      </c>
      <c r="T363" s="2" t="s">
        <v>146</v>
      </c>
      <c r="U363" s="2" t="s">
        <v>146</v>
      </c>
      <c r="V363" s="2" t="s">
        <v>146</v>
      </c>
      <c r="Y363" s="2" t="str">
        <f t="shared" si="20"/>
        <v>Ja</v>
      </c>
      <c r="AA363" s="2" t="str">
        <f t="shared" si="21"/>
        <v>Nej</v>
      </c>
      <c r="AB363" s="2" t="str">
        <f t="shared" si="22"/>
        <v>ET</v>
      </c>
      <c r="AC363" s="2">
        <f t="shared" si="23"/>
        <v>0</v>
      </c>
    </row>
    <row r="364" spans="1:29" ht="14.25" x14ac:dyDescent="0.45">
      <c r="A364" s="2" t="s">
        <v>48</v>
      </c>
      <c r="B364" s="2" t="s">
        <v>211</v>
      </c>
      <c r="C364" s="2">
        <v>2019</v>
      </c>
      <c r="D364" s="2">
        <v>0.32900000000000001</v>
      </c>
      <c r="E364" s="2" t="s">
        <v>146</v>
      </c>
      <c r="F364" s="2" t="s">
        <v>917</v>
      </c>
      <c r="G364" s="2">
        <v>2</v>
      </c>
      <c r="H364" s="2">
        <v>0</v>
      </c>
      <c r="I364" s="2">
        <v>0</v>
      </c>
      <c r="J364" s="2">
        <v>0</v>
      </c>
      <c r="K364" s="2" t="s">
        <v>49</v>
      </c>
      <c r="L364" s="2" t="s">
        <v>146</v>
      </c>
      <c r="M364" s="2" t="s">
        <v>146</v>
      </c>
      <c r="N364" s="2" t="s">
        <v>146</v>
      </c>
      <c r="O364" s="2" t="s">
        <v>146</v>
      </c>
      <c r="P364" s="2" t="s">
        <v>146</v>
      </c>
      <c r="Q364" s="2" t="s">
        <v>49</v>
      </c>
      <c r="R364" s="2" t="s">
        <v>146</v>
      </c>
      <c r="S364" s="2" t="s">
        <v>146</v>
      </c>
      <c r="T364" s="2" t="s">
        <v>146</v>
      </c>
      <c r="U364" s="2" t="s">
        <v>146</v>
      </c>
      <c r="V364" s="2" t="s">
        <v>146</v>
      </c>
      <c r="Y364" s="2" t="str">
        <f t="shared" si="20"/>
        <v>Ja</v>
      </c>
      <c r="AA364" s="2" t="str">
        <f t="shared" si="21"/>
        <v>Nej</v>
      </c>
      <c r="AB364" s="2" t="str">
        <f t="shared" si="22"/>
        <v>ET</v>
      </c>
      <c r="AC364" s="2">
        <f t="shared" si="23"/>
        <v>0</v>
      </c>
    </row>
    <row r="365" spans="1:29" ht="14.25" x14ac:dyDescent="0.45">
      <c r="A365" s="2" t="s">
        <v>48</v>
      </c>
      <c r="B365" s="2" t="s">
        <v>210</v>
      </c>
      <c r="C365" s="2">
        <v>2019</v>
      </c>
      <c r="D365" s="2">
        <v>2.5009999999999999</v>
      </c>
      <c r="E365" s="2" t="s">
        <v>146</v>
      </c>
      <c r="F365" s="2" t="s">
        <v>917</v>
      </c>
      <c r="G365" s="2">
        <v>2</v>
      </c>
      <c r="H365" s="2">
        <v>0</v>
      </c>
      <c r="I365" s="2">
        <v>0</v>
      </c>
      <c r="J365" s="2">
        <v>0</v>
      </c>
      <c r="K365" s="2" t="s">
        <v>49</v>
      </c>
      <c r="L365" s="2" t="s">
        <v>146</v>
      </c>
      <c r="M365" s="2" t="s">
        <v>146</v>
      </c>
      <c r="N365" s="2" t="s">
        <v>146</v>
      </c>
      <c r="O365" s="2" t="s">
        <v>146</v>
      </c>
      <c r="P365" s="2" t="s">
        <v>146</v>
      </c>
      <c r="Q365" s="2" t="s">
        <v>49</v>
      </c>
      <c r="R365" s="2" t="s">
        <v>146</v>
      </c>
      <c r="S365" s="2" t="s">
        <v>146</v>
      </c>
      <c r="T365" s="2" t="s">
        <v>146</v>
      </c>
      <c r="U365" s="2" t="s">
        <v>146</v>
      </c>
      <c r="V365" s="2" t="s">
        <v>146</v>
      </c>
      <c r="Y365" s="2" t="str">
        <f t="shared" si="20"/>
        <v>Ja</v>
      </c>
      <c r="AA365" s="2" t="str">
        <f t="shared" si="21"/>
        <v>Nej</v>
      </c>
      <c r="AB365" s="2" t="str">
        <f t="shared" si="22"/>
        <v>ET</v>
      </c>
      <c r="AC365" s="2">
        <f t="shared" si="23"/>
        <v>0</v>
      </c>
    </row>
    <row r="366" spans="1:29" ht="14.25" x14ac:dyDescent="0.45">
      <c r="A366" s="2" t="s">
        <v>48</v>
      </c>
      <c r="B366" s="2" t="s">
        <v>209</v>
      </c>
      <c r="C366" s="2">
        <v>2019</v>
      </c>
      <c r="D366" s="2">
        <v>5.1609999999999996</v>
      </c>
      <c r="E366" s="2">
        <v>3.1240000000000001</v>
      </c>
      <c r="F366" s="2" t="s">
        <v>917</v>
      </c>
      <c r="G366" s="2">
        <v>2</v>
      </c>
      <c r="H366" s="2">
        <v>0</v>
      </c>
      <c r="I366" s="2">
        <v>0</v>
      </c>
      <c r="J366" s="2">
        <v>0</v>
      </c>
      <c r="K366" s="2" t="s">
        <v>49</v>
      </c>
      <c r="L366" s="2" t="s">
        <v>146</v>
      </c>
      <c r="M366" s="2" t="s">
        <v>146</v>
      </c>
      <c r="N366" s="2" t="s">
        <v>146</v>
      </c>
      <c r="O366" s="2" t="s">
        <v>146</v>
      </c>
      <c r="P366" s="2" t="s">
        <v>146</v>
      </c>
      <c r="Q366" s="2" t="s">
        <v>49</v>
      </c>
      <c r="R366" s="2" t="s">
        <v>146</v>
      </c>
      <c r="S366" s="2" t="s">
        <v>146</v>
      </c>
      <c r="T366" s="2" t="s">
        <v>146</v>
      </c>
      <c r="U366" s="2" t="s">
        <v>146</v>
      </c>
      <c r="V366" s="2" t="s">
        <v>146</v>
      </c>
      <c r="Y366" s="2" t="str">
        <f t="shared" si="20"/>
        <v>Ja</v>
      </c>
      <c r="AA366" s="2" t="str">
        <f t="shared" si="21"/>
        <v>Nej</v>
      </c>
      <c r="AB366" s="2" t="str">
        <f t="shared" si="22"/>
        <v>ET</v>
      </c>
      <c r="AC366" s="2">
        <f t="shared" si="23"/>
        <v>0</v>
      </c>
    </row>
    <row r="367" spans="1:29" ht="14.25" x14ac:dyDescent="0.45">
      <c r="A367" s="2" t="s">
        <v>48</v>
      </c>
      <c r="B367" s="2" t="s">
        <v>208</v>
      </c>
      <c r="C367" s="2">
        <v>2019</v>
      </c>
      <c r="D367" s="2" t="s">
        <v>146</v>
      </c>
      <c r="E367" s="2" t="s">
        <v>146</v>
      </c>
      <c r="F367" s="2" t="s">
        <v>917</v>
      </c>
      <c r="G367" s="2">
        <v>2</v>
      </c>
      <c r="H367" s="2">
        <v>0</v>
      </c>
      <c r="I367" s="2">
        <v>0</v>
      </c>
      <c r="J367" s="2">
        <v>0</v>
      </c>
      <c r="K367" s="2" t="s">
        <v>49</v>
      </c>
      <c r="L367" s="2" t="s">
        <v>146</v>
      </c>
      <c r="M367" s="2" t="s">
        <v>146</v>
      </c>
      <c r="N367" s="2" t="s">
        <v>146</v>
      </c>
      <c r="O367" s="2" t="s">
        <v>146</v>
      </c>
      <c r="P367" s="2" t="s">
        <v>146</v>
      </c>
      <c r="Q367" s="2" t="s">
        <v>49</v>
      </c>
      <c r="R367" s="2" t="s">
        <v>146</v>
      </c>
      <c r="S367" s="2" t="s">
        <v>146</v>
      </c>
      <c r="T367" s="2" t="s">
        <v>146</v>
      </c>
      <c r="U367" s="2" t="s">
        <v>146</v>
      </c>
      <c r="V367" s="2" t="s">
        <v>146</v>
      </c>
      <c r="Y367" s="2" t="str">
        <f t="shared" si="20"/>
        <v>Ja</v>
      </c>
      <c r="AA367" s="2" t="str">
        <f t="shared" si="21"/>
        <v>Nej</v>
      </c>
      <c r="AB367" s="2" t="str">
        <f t="shared" si="22"/>
        <v>ET</v>
      </c>
      <c r="AC367" s="2">
        <f t="shared" si="23"/>
        <v>0</v>
      </c>
    </row>
    <row r="368" spans="1:29" ht="14.25" x14ac:dyDescent="0.45">
      <c r="A368" s="2" t="s">
        <v>48</v>
      </c>
      <c r="B368" s="2" t="s">
        <v>207</v>
      </c>
      <c r="C368" s="2">
        <v>2019</v>
      </c>
      <c r="D368" s="2">
        <v>0.70499999999999996</v>
      </c>
      <c r="E368" s="2" t="s">
        <v>146</v>
      </c>
      <c r="F368" s="2" t="s">
        <v>917</v>
      </c>
      <c r="G368" s="2">
        <v>2</v>
      </c>
      <c r="H368" s="2">
        <v>0</v>
      </c>
      <c r="I368" s="2">
        <v>0</v>
      </c>
      <c r="J368" s="2">
        <v>0</v>
      </c>
      <c r="K368" s="2" t="s">
        <v>49</v>
      </c>
      <c r="L368" s="2" t="s">
        <v>146</v>
      </c>
      <c r="M368" s="2" t="s">
        <v>146</v>
      </c>
      <c r="N368" s="2" t="s">
        <v>146</v>
      </c>
      <c r="O368" s="2" t="s">
        <v>146</v>
      </c>
      <c r="P368" s="2" t="s">
        <v>146</v>
      </c>
      <c r="Q368" s="2" t="s">
        <v>49</v>
      </c>
      <c r="R368" s="2" t="s">
        <v>146</v>
      </c>
      <c r="S368" s="2" t="s">
        <v>146</v>
      </c>
      <c r="T368" s="2" t="s">
        <v>146</v>
      </c>
      <c r="U368" s="2" t="s">
        <v>146</v>
      </c>
      <c r="V368" s="2" t="s">
        <v>146</v>
      </c>
      <c r="Y368" s="2" t="str">
        <f t="shared" si="20"/>
        <v>Ja</v>
      </c>
      <c r="AA368" s="2" t="str">
        <f t="shared" si="21"/>
        <v>Nej</v>
      </c>
      <c r="AB368" s="2" t="str">
        <f t="shared" si="22"/>
        <v>ET</v>
      </c>
      <c r="AC368" s="2">
        <f t="shared" si="23"/>
        <v>0</v>
      </c>
    </row>
    <row r="369" spans="1:29" ht="14.25" x14ac:dyDescent="0.45">
      <c r="A369" s="2" t="s">
        <v>48</v>
      </c>
      <c r="B369" s="2" t="s">
        <v>206</v>
      </c>
      <c r="C369" s="2">
        <v>2019</v>
      </c>
      <c r="D369" s="2">
        <v>0.11</v>
      </c>
      <c r="E369" s="2" t="s">
        <v>146</v>
      </c>
      <c r="F369" s="2" t="s">
        <v>917</v>
      </c>
      <c r="G369" s="2">
        <v>2</v>
      </c>
      <c r="H369" s="2">
        <v>0</v>
      </c>
      <c r="I369" s="2">
        <v>0</v>
      </c>
      <c r="J369" s="2">
        <v>0</v>
      </c>
      <c r="K369" s="2" t="s">
        <v>49</v>
      </c>
      <c r="L369" s="2" t="s">
        <v>146</v>
      </c>
      <c r="M369" s="2" t="s">
        <v>146</v>
      </c>
      <c r="N369" s="2" t="s">
        <v>146</v>
      </c>
      <c r="O369" s="2" t="s">
        <v>146</v>
      </c>
      <c r="P369" s="2" t="s">
        <v>146</v>
      </c>
      <c r="Q369" s="2" t="s">
        <v>49</v>
      </c>
      <c r="R369" s="2" t="s">
        <v>146</v>
      </c>
      <c r="S369" s="2" t="s">
        <v>146</v>
      </c>
      <c r="T369" s="2" t="s">
        <v>146</v>
      </c>
      <c r="U369" s="2" t="s">
        <v>146</v>
      </c>
      <c r="V369" s="2" t="s">
        <v>146</v>
      </c>
      <c r="Y369" s="2" t="str">
        <f t="shared" si="20"/>
        <v>Ja</v>
      </c>
      <c r="AA369" s="2" t="str">
        <f t="shared" si="21"/>
        <v>Nej</v>
      </c>
      <c r="AB369" s="2" t="str">
        <f t="shared" si="22"/>
        <v>ET</v>
      </c>
      <c r="AC369" s="2">
        <f t="shared" si="23"/>
        <v>0</v>
      </c>
    </row>
    <row r="370" spans="1:29" ht="14.25" x14ac:dyDescent="0.45">
      <c r="A370" s="2" t="s">
        <v>48</v>
      </c>
      <c r="B370" s="2" t="s">
        <v>205</v>
      </c>
      <c r="C370" s="2">
        <v>2019</v>
      </c>
      <c r="D370" s="2">
        <v>3.7999999999999999E-2</v>
      </c>
      <c r="E370" s="2" t="s">
        <v>146</v>
      </c>
      <c r="F370" s="2" t="s">
        <v>917</v>
      </c>
      <c r="G370" s="2">
        <v>2</v>
      </c>
      <c r="H370" s="2">
        <v>0</v>
      </c>
      <c r="I370" s="2">
        <v>0</v>
      </c>
      <c r="J370" s="2">
        <v>0</v>
      </c>
      <c r="K370" s="2" t="s">
        <v>49</v>
      </c>
      <c r="L370" s="2" t="s">
        <v>146</v>
      </c>
      <c r="M370" s="2" t="s">
        <v>146</v>
      </c>
      <c r="N370" s="2" t="s">
        <v>146</v>
      </c>
      <c r="O370" s="2" t="s">
        <v>146</v>
      </c>
      <c r="P370" s="2" t="s">
        <v>146</v>
      </c>
      <c r="Q370" s="2" t="s">
        <v>49</v>
      </c>
      <c r="R370" s="2" t="s">
        <v>146</v>
      </c>
      <c r="S370" s="2" t="s">
        <v>146</v>
      </c>
      <c r="T370" s="2" t="s">
        <v>146</v>
      </c>
      <c r="U370" s="2" t="s">
        <v>146</v>
      </c>
      <c r="V370" s="2" t="s">
        <v>146</v>
      </c>
      <c r="Y370" s="2" t="str">
        <f t="shared" si="20"/>
        <v>Ja</v>
      </c>
      <c r="AA370" s="2" t="str">
        <f t="shared" si="21"/>
        <v>Nej</v>
      </c>
      <c r="AB370" s="2" t="str">
        <f t="shared" si="22"/>
        <v>ET</v>
      </c>
      <c r="AC370" s="2">
        <f t="shared" si="23"/>
        <v>0</v>
      </c>
    </row>
    <row r="371" spans="1:29" ht="14.25" x14ac:dyDescent="0.45">
      <c r="A371" s="2" t="s">
        <v>48</v>
      </c>
      <c r="B371" s="2" t="s">
        <v>204</v>
      </c>
      <c r="C371" s="2">
        <v>2019</v>
      </c>
      <c r="D371" s="2" t="s">
        <v>49</v>
      </c>
      <c r="E371" s="2" t="s">
        <v>49</v>
      </c>
      <c r="F371" s="2" t="s">
        <v>49</v>
      </c>
      <c r="G371" s="2" t="s">
        <v>49</v>
      </c>
      <c r="H371" s="2" t="s">
        <v>49</v>
      </c>
      <c r="I371" s="2" t="s">
        <v>49</v>
      </c>
      <c r="J371" s="2" t="s">
        <v>49</v>
      </c>
      <c r="K371" s="2" t="s">
        <v>49</v>
      </c>
      <c r="L371" s="2" t="s">
        <v>49</v>
      </c>
      <c r="M371" s="2" t="s">
        <v>49</v>
      </c>
      <c r="N371" s="2" t="s">
        <v>49</v>
      </c>
      <c r="O371" s="2" t="s">
        <v>49</v>
      </c>
      <c r="P371" s="2" t="s">
        <v>49</v>
      </c>
      <c r="Q371" s="2" t="s">
        <v>49</v>
      </c>
      <c r="R371" s="2" t="s">
        <v>49</v>
      </c>
      <c r="S371" s="2" t="s">
        <v>49</v>
      </c>
      <c r="T371" s="2" t="s">
        <v>49</v>
      </c>
      <c r="U371" s="2" t="s">
        <v>49</v>
      </c>
      <c r="V371" s="2" t="s">
        <v>49</v>
      </c>
      <c r="Y371" s="2" t="str">
        <f t="shared" si="20"/>
        <v>Nej</v>
      </c>
      <c r="AA371" s="2" t="str">
        <f t="shared" si="21"/>
        <v>Nej</v>
      </c>
      <c r="AB371" s="2">
        <f t="shared" si="22"/>
        <v>0</v>
      </c>
      <c r="AC371" s="2">
        <f t="shared" si="23"/>
        <v>0</v>
      </c>
    </row>
    <row r="372" spans="1:29" ht="14.25" x14ac:dyDescent="0.45">
      <c r="A372" s="2" t="s">
        <v>197</v>
      </c>
      <c r="B372" s="2" t="s">
        <v>203</v>
      </c>
      <c r="C372" s="2">
        <v>2019</v>
      </c>
      <c r="D372" s="2" t="s">
        <v>146</v>
      </c>
      <c r="E372" s="2" t="s">
        <v>146</v>
      </c>
      <c r="F372" s="2" t="s">
        <v>913</v>
      </c>
      <c r="G372" s="2">
        <v>1.1000000000000001</v>
      </c>
      <c r="H372" s="2">
        <v>0</v>
      </c>
      <c r="I372" s="2">
        <v>0</v>
      </c>
      <c r="J372" s="2">
        <v>0</v>
      </c>
      <c r="K372" s="2" t="s">
        <v>49</v>
      </c>
      <c r="L372" s="2" t="s">
        <v>146</v>
      </c>
      <c r="M372" s="2" t="s">
        <v>146</v>
      </c>
      <c r="N372" s="2" t="s">
        <v>146</v>
      </c>
      <c r="O372" s="2" t="s">
        <v>146</v>
      </c>
      <c r="P372" s="2" t="s">
        <v>146</v>
      </c>
      <c r="Q372" s="2" t="s">
        <v>49</v>
      </c>
      <c r="R372" s="2" t="s">
        <v>146</v>
      </c>
      <c r="S372" s="2" t="s">
        <v>146</v>
      </c>
      <c r="T372" s="2" t="s">
        <v>146</v>
      </c>
      <c r="U372" s="2" t="s">
        <v>146</v>
      </c>
      <c r="V372" s="2" t="s">
        <v>146</v>
      </c>
      <c r="Y372" s="2" t="str">
        <f t="shared" si="20"/>
        <v>Ja</v>
      </c>
      <c r="AA372" s="2" t="str">
        <f t="shared" si="21"/>
        <v>Nej</v>
      </c>
      <c r="AB372" s="2" t="str">
        <f t="shared" si="22"/>
        <v>ET</v>
      </c>
      <c r="AC372" s="2">
        <f t="shared" si="23"/>
        <v>0</v>
      </c>
    </row>
    <row r="373" spans="1:29" ht="14.25" x14ac:dyDescent="0.45">
      <c r="A373" s="2" t="s">
        <v>197</v>
      </c>
      <c r="B373" s="2" t="s">
        <v>202</v>
      </c>
      <c r="C373" s="2">
        <v>2019</v>
      </c>
      <c r="D373" s="2" t="s">
        <v>146</v>
      </c>
      <c r="E373" s="2" t="s">
        <v>146</v>
      </c>
      <c r="F373" s="2" t="s">
        <v>916</v>
      </c>
      <c r="G373" s="2">
        <v>1.1000000000000001</v>
      </c>
      <c r="H373" s="2">
        <v>0</v>
      </c>
      <c r="I373" s="2">
        <v>0</v>
      </c>
      <c r="J373" s="2">
        <v>0</v>
      </c>
      <c r="K373" s="2" t="s">
        <v>49</v>
      </c>
      <c r="L373" s="2" t="s">
        <v>146</v>
      </c>
      <c r="M373" s="2" t="s">
        <v>146</v>
      </c>
      <c r="N373" s="2" t="s">
        <v>146</v>
      </c>
      <c r="O373" s="2" t="s">
        <v>146</v>
      </c>
      <c r="P373" s="2" t="s">
        <v>146</v>
      </c>
      <c r="Q373" s="2" t="s">
        <v>49</v>
      </c>
      <c r="R373" s="2" t="s">
        <v>146</v>
      </c>
      <c r="S373" s="2" t="s">
        <v>146</v>
      </c>
      <c r="T373" s="2" t="s">
        <v>146</v>
      </c>
      <c r="U373" s="2" t="s">
        <v>146</v>
      </c>
      <c r="V373" s="2" t="s">
        <v>146</v>
      </c>
      <c r="Y373" s="2" t="str">
        <f t="shared" si="20"/>
        <v>Ja</v>
      </c>
      <c r="AA373" s="2" t="str">
        <f t="shared" si="21"/>
        <v>Nej</v>
      </c>
      <c r="AB373" s="2" t="str">
        <f t="shared" si="22"/>
        <v>ET</v>
      </c>
      <c r="AC373" s="2">
        <f t="shared" si="23"/>
        <v>0</v>
      </c>
    </row>
    <row r="374" spans="1:29" ht="14.25" x14ac:dyDescent="0.45">
      <c r="A374" s="2" t="s">
        <v>197</v>
      </c>
      <c r="B374" s="2" t="s">
        <v>201</v>
      </c>
      <c r="C374" s="2">
        <v>2019</v>
      </c>
      <c r="D374" s="2" t="s">
        <v>146</v>
      </c>
      <c r="E374" s="2" t="s">
        <v>146</v>
      </c>
      <c r="F374" s="2" t="s">
        <v>913</v>
      </c>
      <c r="G374" s="2">
        <v>1.1000000000000001</v>
      </c>
      <c r="H374" s="2">
        <v>0</v>
      </c>
      <c r="I374" s="2">
        <v>0</v>
      </c>
      <c r="J374" s="2">
        <v>0</v>
      </c>
      <c r="K374" s="2" t="s">
        <v>49</v>
      </c>
      <c r="L374" s="2" t="s">
        <v>146</v>
      </c>
      <c r="M374" s="2" t="s">
        <v>146</v>
      </c>
      <c r="N374" s="2" t="s">
        <v>146</v>
      </c>
      <c r="O374" s="2" t="s">
        <v>146</v>
      </c>
      <c r="P374" s="2" t="s">
        <v>146</v>
      </c>
      <c r="Q374" s="2" t="s">
        <v>49</v>
      </c>
      <c r="R374" s="2" t="s">
        <v>146</v>
      </c>
      <c r="S374" s="2" t="s">
        <v>146</v>
      </c>
      <c r="T374" s="2" t="s">
        <v>146</v>
      </c>
      <c r="U374" s="2" t="s">
        <v>146</v>
      </c>
      <c r="V374" s="2" t="s">
        <v>146</v>
      </c>
      <c r="Y374" s="2" t="str">
        <f t="shared" si="20"/>
        <v>Ja</v>
      </c>
      <c r="AA374" s="2" t="str">
        <f t="shared" si="21"/>
        <v>Nej</v>
      </c>
      <c r="AB374" s="2" t="str">
        <f t="shared" si="22"/>
        <v>ET</v>
      </c>
      <c r="AC374" s="2">
        <f t="shared" si="23"/>
        <v>0</v>
      </c>
    </row>
    <row r="375" spans="1:29" ht="14.25" x14ac:dyDescent="0.45">
      <c r="A375" s="2" t="s">
        <v>197</v>
      </c>
      <c r="B375" s="2" t="s">
        <v>199</v>
      </c>
      <c r="C375" s="2">
        <v>2019</v>
      </c>
      <c r="D375" s="2" t="s">
        <v>146</v>
      </c>
      <c r="E375" s="2" t="s">
        <v>146</v>
      </c>
      <c r="F375" s="2" t="s">
        <v>913</v>
      </c>
      <c r="G375" s="2">
        <v>1.1000000000000001</v>
      </c>
      <c r="H375" s="2">
        <v>0</v>
      </c>
      <c r="I375" s="2">
        <v>0</v>
      </c>
      <c r="J375" s="2">
        <v>0</v>
      </c>
      <c r="K375" s="2" t="s">
        <v>49</v>
      </c>
      <c r="L375" s="2" t="s">
        <v>146</v>
      </c>
      <c r="M375" s="2" t="s">
        <v>146</v>
      </c>
      <c r="N375" s="2" t="s">
        <v>146</v>
      </c>
      <c r="O375" s="2" t="s">
        <v>146</v>
      </c>
      <c r="P375" s="2" t="s">
        <v>146</v>
      </c>
      <c r="Q375" s="2" t="s">
        <v>49</v>
      </c>
      <c r="R375" s="2" t="s">
        <v>146</v>
      </c>
      <c r="S375" s="2" t="s">
        <v>146</v>
      </c>
      <c r="T375" s="2" t="s">
        <v>146</v>
      </c>
      <c r="U375" s="2" t="s">
        <v>146</v>
      </c>
      <c r="V375" s="2" t="s">
        <v>146</v>
      </c>
      <c r="Y375" s="2" t="str">
        <f t="shared" si="20"/>
        <v>Ja</v>
      </c>
      <c r="AA375" s="2" t="str">
        <f t="shared" si="21"/>
        <v>Nej</v>
      </c>
      <c r="AB375" s="2" t="str">
        <f t="shared" si="22"/>
        <v>ET</v>
      </c>
      <c r="AC375" s="2">
        <f t="shared" si="23"/>
        <v>0</v>
      </c>
    </row>
    <row r="376" spans="1:29" ht="14.25" x14ac:dyDescent="0.45">
      <c r="A376" s="2" t="s">
        <v>197</v>
      </c>
      <c r="B376" s="2" t="s">
        <v>198</v>
      </c>
      <c r="C376" s="2">
        <v>2019</v>
      </c>
      <c r="D376" s="2" t="s">
        <v>146</v>
      </c>
      <c r="E376" s="2" t="s">
        <v>146</v>
      </c>
      <c r="F376" s="2" t="s">
        <v>913</v>
      </c>
      <c r="G376" s="2">
        <v>1.1000000000000001</v>
      </c>
      <c r="H376" s="2">
        <v>0</v>
      </c>
      <c r="I376" s="2">
        <v>0</v>
      </c>
      <c r="J376" s="2">
        <v>0</v>
      </c>
      <c r="K376" s="2" t="s">
        <v>176</v>
      </c>
      <c r="L376" s="2" t="s">
        <v>146</v>
      </c>
      <c r="M376" s="2" t="s">
        <v>146</v>
      </c>
      <c r="N376" s="2" t="s">
        <v>146</v>
      </c>
      <c r="O376" s="2" t="s">
        <v>146</v>
      </c>
      <c r="P376" s="2" t="s">
        <v>146</v>
      </c>
      <c r="Q376" s="2" t="s">
        <v>176</v>
      </c>
      <c r="R376" s="2" t="s">
        <v>146</v>
      </c>
      <c r="S376" s="2" t="s">
        <v>146</v>
      </c>
      <c r="T376" s="2" t="s">
        <v>146</v>
      </c>
      <c r="U376" s="2" t="s">
        <v>146</v>
      </c>
      <c r="V376" s="2" t="s">
        <v>146</v>
      </c>
      <c r="Y376" s="2" t="str">
        <f t="shared" si="20"/>
        <v>Ja</v>
      </c>
      <c r="AA376" s="2" t="str">
        <f t="shared" si="21"/>
        <v>Nej</v>
      </c>
      <c r="AB376" s="2" t="str">
        <f t="shared" si="22"/>
        <v>ET</v>
      </c>
      <c r="AC376" s="2">
        <f t="shared" si="23"/>
        <v>0</v>
      </c>
    </row>
    <row r="377" spans="1:29" ht="14.25" x14ac:dyDescent="0.45">
      <c r="A377" s="2" t="s">
        <v>197</v>
      </c>
      <c r="B377" s="2" t="s">
        <v>196</v>
      </c>
      <c r="C377" s="2">
        <v>2019</v>
      </c>
      <c r="D377" s="2" t="s">
        <v>146</v>
      </c>
      <c r="E377" s="2" t="s">
        <v>146</v>
      </c>
      <c r="F377" s="2" t="s">
        <v>915</v>
      </c>
      <c r="G377" s="2">
        <v>1.1000000000000001</v>
      </c>
      <c r="H377" s="2">
        <v>0</v>
      </c>
      <c r="I377" s="2">
        <v>0</v>
      </c>
      <c r="J377" s="2">
        <v>0</v>
      </c>
      <c r="K377" s="2" t="s">
        <v>176</v>
      </c>
      <c r="L377" s="2" t="s">
        <v>146</v>
      </c>
      <c r="M377" s="2" t="s">
        <v>146</v>
      </c>
      <c r="N377" s="2" t="s">
        <v>146</v>
      </c>
      <c r="O377" s="2" t="s">
        <v>146</v>
      </c>
      <c r="P377" s="2" t="s">
        <v>146</v>
      </c>
      <c r="Q377" s="2" t="s">
        <v>176</v>
      </c>
      <c r="R377" s="2" t="s">
        <v>146</v>
      </c>
      <c r="S377" s="2" t="s">
        <v>146</v>
      </c>
      <c r="T377" s="2" t="s">
        <v>146</v>
      </c>
      <c r="U377" s="2" t="s">
        <v>146</v>
      </c>
      <c r="V377" s="2" t="s">
        <v>146</v>
      </c>
      <c r="Y377" s="2" t="str">
        <f t="shared" si="20"/>
        <v>Ja</v>
      </c>
      <c r="AA377" s="2" t="str">
        <f t="shared" si="21"/>
        <v>Nej</v>
      </c>
      <c r="AB377" s="2" t="str">
        <f t="shared" si="22"/>
        <v>ET</v>
      </c>
      <c r="AC377" s="2">
        <f t="shared" si="23"/>
        <v>0</v>
      </c>
    </row>
    <row r="378" spans="1:29" ht="14.25" x14ac:dyDescent="0.45">
      <c r="A378" s="2" t="s">
        <v>191</v>
      </c>
      <c r="B378" s="2" t="s">
        <v>195</v>
      </c>
      <c r="C378" s="2">
        <v>2019</v>
      </c>
      <c r="D378" s="2">
        <v>3.3969999999999998</v>
      </c>
      <c r="E378" s="2" t="s">
        <v>146</v>
      </c>
      <c r="F378" s="2" t="s">
        <v>914</v>
      </c>
      <c r="G378" s="2">
        <v>0.05</v>
      </c>
      <c r="H378" s="2">
        <v>0</v>
      </c>
      <c r="I378" s="2">
        <v>0</v>
      </c>
      <c r="J378" s="2">
        <v>0</v>
      </c>
      <c r="K378" s="2" t="s">
        <v>49</v>
      </c>
      <c r="L378" s="2" t="s">
        <v>146</v>
      </c>
      <c r="M378" s="2" t="s">
        <v>146</v>
      </c>
      <c r="N378" s="2" t="s">
        <v>146</v>
      </c>
      <c r="O378" s="2" t="s">
        <v>146</v>
      </c>
      <c r="P378" s="2" t="s">
        <v>146</v>
      </c>
      <c r="Q378" s="2" t="s">
        <v>49</v>
      </c>
      <c r="R378" s="2" t="s">
        <v>146</v>
      </c>
      <c r="S378" s="2" t="s">
        <v>146</v>
      </c>
      <c r="T378" s="2" t="s">
        <v>146</v>
      </c>
      <c r="U378" s="2" t="s">
        <v>146</v>
      </c>
      <c r="V378" s="2" t="s">
        <v>146</v>
      </c>
      <c r="Y378" s="2" t="str">
        <f t="shared" si="20"/>
        <v>Ja</v>
      </c>
      <c r="AA378" s="2" t="str">
        <f t="shared" si="21"/>
        <v>Nej</v>
      </c>
      <c r="AB378" s="2" t="str">
        <f t="shared" si="22"/>
        <v>ET</v>
      </c>
      <c r="AC378" s="2">
        <f t="shared" si="23"/>
        <v>0</v>
      </c>
    </row>
    <row r="379" spans="1:29" ht="14.25" x14ac:dyDescent="0.45">
      <c r="A379" s="2" t="s">
        <v>191</v>
      </c>
      <c r="B379" s="2" t="s">
        <v>193</v>
      </c>
      <c r="C379" s="2">
        <v>2019</v>
      </c>
      <c r="D379" s="2">
        <v>0.34799999999999998</v>
      </c>
      <c r="E379" s="2" t="s">
        <v>146</v>
      </c>
      <c r="F379" s="2" t="s">
        <v>914</v>
      </c>
      <c r="G379" s="2">
        <v>0.05</v>
      </c>
      <c r="H379" s="2">
        <v>0</v>
      </c>
      <c r="I379" s="2">
        <v>0</v>
      </c>
      <c r="J379" s="2">
        <v>0</v>
      </c>
      <c r="K379" s="2" t="s">
        <v>49</v>
      </c>
      <c r="L379" s="2" t="s">
        <v>146</v>
      </c>
      <c r="M379" s="2" t="s">
        <v>146</v>
      </c>
      <c r="N379" s="2" t="s">
        <v>146</v>
      </c>
      <c r="O379" s="2" t="s">
        <v>146</v>
      </c>
      <c r="P379" s="2" t="s">
        <v>146</v>
      </c>
      <c r="Q379" s="2" t="s">
        <v>49</v>
      </c>
      <c r="R379" s="2" t="s">
        <v>146</v>
      </c>
      <c r="S379" s="2" t="s">
        <v>146</v>
      </c>
      <c r="T379" s="2" t="s">
        <v>146</v>
      </c>
      <c r="U379" s="2" t="s">
        <v>146</v>
      </c>
      <c r="V379" s="2" t="s">
        <v>146</v>
      </c>
      <c r="Y379" s="2" t="str">
        <f t="shared" si="20"/>
        <v>Ja</v>
      </c>
      <c r="AA379" s="2" t="str">
        <f t="shared" si="21"/>
        <v>Nej</v>
      </c>
      <c r="AB379" s="2" t="str">
        <f t="shared" si="22"/>
        <v>ET</v>
      </c>
      <c r="AC379" s="2">
        <f t="shared" si="23"/>
        <v>0</v>
      </c>
    </row>
    <row r="380" spans="1:29" ht="14.25" x14ac:dyDescent="0.45">
      <c r="A380" s="2" t="s">
        <v>191</v>
      </c>
      <c r="B380" s="2" t="s">
        <v>192</v>
      </c>
      <c r="C380" s="2">
        <v>2019</v>
      </c>
      <c r="D380" s="2">
        <v>4.2530000000000001</v>
      </c>
      <c r="E380" s="2" t="s">
        <v>146</v>
      </c>
      <c r="F380" s="2" t="s">
        <v>914</v>
      </c>
      <c r="G380" s="2">
        <v>0.05</v>
      </c>
      <c r="H380" s="2">
        <v>0</v>
      </c>
      <c r="I380" s="2">
        <v>0</v>
      </c>
      <c r="J380" s="2">
        <v>0</v>
      </c>
      <c r="K380" s="2" t="s">
        <v>49</v>
      </c>
      <c r="L380" s="2" t="s">
        <v>146</v>
      </c>
      <c r="M380" s="2" t="s">
        <v>146</v>
      </c>
      <c r="N380" s="2" t="s">
        <v>146</v>
      </c>
      <c r="O380" s="2" t="s">
        <v>146</v>
      </c>
      <c r="P380" s="2" t="s">
        <v>146</v>
      </c>
      <c r="Q380" s="2" t="s">
        <v>49</v>
      </c>
      <c r="R380" s="2" t="s">
        <v>146</v>
      </c>
      <c r="S380" s="2" t="s">
        <v>146</v>
      </c>
      <c r="T380" s="2" t="s">
        <v>146</v>
      </c>
      <c r="U380" s="2" t="s">
        <v>146</v>
      </c>
      <c r="V380" s="2" t="s">
        <v>146</v>
      </c>
      <c r="Y380" s="2" t="str">
        <f t="shared" si="20"/>
        <v>Ja</v>
      </c>
      <c r="AA380" s="2" t="str">
        <f t="shared" si="21"/>
        <v>Nej</v>
      </c>
      <c r="AB380" s="2" t="str">
        <f t="shared" si="22"/>
        <v>ET</v>
      </c>
      <c r="AC380" s="2">
        <f t="shared" si="23"/>
        <v>0</v>
      </c>
    </row>
    <row r="381" spans="1:29" ht="14.25" x14ac:dyDescent="0.45">
      <c r="A381" s="2" t="s">
        <v>191</v>
      </c>
      <c r="B381" s="2" t="s">
        <v>190</v>
      </c>
      <c r="C381" s="2">
        <v>2019</v>
      </c>
      <c r="D381" s="2">
        <v>8.6999999999999994E-2</v>
      </c>
      <c r="E381" s="2" t="s">
        <v>146</v>
      </c>
      <c r="F381" s="2" t="s">
        <v>49</v>
      </c>
      <c r="G381" s="2">
        <v>2.2000000000000002</v>
      </c>
      <c r="H381" s="2">
        <v>250.8</v>
      </c>
      <c r="I381" s="2">
        <v>0.35</v>
      </c>
      <c r="J381" s="2">
        <v>0.3977</v>
      </c>
      <c r="K381" s="2" t="s">
        <v>49</v>
      </c>
      <c r="L381" s="2" t="s">
        <v>146</v>
      </c>
      <c r="M381" s="2" t="s">
        <v>146</v>
      </c>
      <c r="N381" s="2" t="s">
        <v>146</v>
      </c>
      <c r="O381" s="2" t="s">
        <v>146</v>
      </c>
      <c r="P381" s="2" t="s">
        <v>146</v>
      </c>
      <c r="Q381" s="2" t="s">
        <v>49</v>
      </c>
      <c r="R381" s="2" t="s">
        <v>146</v>
      </c>
      <c r="S381" s="2" t="s">
        <v>146</v>
      </c>
      <c r="T381" s="2" t="s">
        <v>146</v>
      </c>
      <c r="U381" s="2" t="s">
        <v>146</v>
      </c>
      <c r="V381" s="2" t="s">
        <v>146</v>
      </c>
      <c r="Y381" s="2" t="str">
        <f t="shared" si="20"/>
        <v>Ja</v>
      </c>
      <c r="AA381" s="2" t="str">
        <f t="shared" si="21"/>
        <v>Nej</v>
      </c>
      <c r="AB381" s="2" t="str">
        <f t="shared" si="22"/>
        <v>ET</v>
      </c>
      <c r="AC381" s="2">
        <f t="shared" si="23"/>
        <v>0</v>
      </c>
    </row>
    <row r="382" spans="1:29" ht="14.25" x14ac:dyDescent="0.45">
      <c r="A382" s="2" t="s">
        <v>187</v>
      </c>
      <c r="B382" s="2" t="s">
        <v>189</v>
      </c>
      <c r="C382" s="2">
        <v>2019</v>
      </c>
      <c r="D382" s="2">
        <v>0.28699999999999998</v>
      </c>
      <c r="E382" s="2" t="s">
        <v>146</v>
      </c>
      <c r="F382" s="2" t="s">
        <v>913</v>
      </c>
      <c r="G382" s="2">
        <v>1.1000000000000001</v>
      </c>
      <c r="H382" s="2">
        <v>0</v>
      </c>
      <c r="I382" s="2">
        <v>0</v>
      </c>
      <c r="J382" s="2">
        <v>0</v>
      </c>
      <c r="K382" s="2" t="s">
        <v>49</v>
      </c>
      <c r="L382" s="2" t="s">
        <v>146</v>
      </c>
      <c r="M382" s="2" t="s">
        <v>146</v>
      </c>
      <c r="N382" s="2" t="s">
        <v>146</v>
      </c>
      <c r="O382" s="2" t="s">
        <v>146</v>
      </c>
      <c r="P382" s="2" t="s">
        <v>146</v>
      </c>
      <c r="Q382" s="2" t="s">
        <v>49</v>
      </c>
      <c r="R382" s="2" t="s">
        <v>146</v>
      </c>
      <c r="S382" s="2" t="s">
        <v>146</v>
      </c>
      <c r="T382" s="2" t="s">
        <v>146</v>
      </c>
      <c r="U382" s="2" t="s">
        <v>146</v>
      </c>
      <c r="V382" s="2" t="s">
        <v>146</v>
      </c>
      <c r="Y382" s="2" t="str">
        <f t="shared" si="20"/>
        <v>Ja</v>
      </c>
      <c r="AA382" s="2" t="str">
        <f t="shared" si="21"/>
        <v>Nej</v>
      </c>
      <c r="AB382" s="2" t="str">
        <f t="shared" si="22"/>
        <v>ET</v>
      </c>
      <c r="AC382" s="2">
        <f t="shared" si="23"/>
        <v>0</v>
      </c>
    </row>
    <row r="383" spans="1:29" ht="14.25" x14ac:dyDescent="0.45">
      <c r="A383" s="2" t="s">
        <v>187</v>
      </c>
      <c r="B383" s="2" t="s">
        <v>188</v>
      </c>
      <c r="C383" s="2">
        <v>2019</v>
      </c>
      <c r="D383" s="2">
        <v>0.82599999999999996</v>
      </c>
      <c r="E383" s="2" t="s">
        <v>146</v>
      </c>
      <c r="F383" s="2" t="s">
        <v>913</v>
      </c>
      <c r="G383" s="2">
        <v>1.1000000000000001</v>
      </c>
      <c r="H383" s="2">
        <v>0</v>
      </c>
      <c r="I383" s="2">
        <v>0</v>
      </c>
      <c r="J383" s="2">
        <v>0</v>
      </c>
      <c r="K383" s="2" t="s">
        <v>49</v>
      </c>
      <c r="L383" s="2" t="s">
        <v>146</v>
      </c>
      <c r="M383" s="2" t="s">
        <v>146</v>
      </c>
      <c r="N383" s="2" t="s">
        <v>146</v>
      </c>
      <c r="O383" s="2" t="s">
        <v>146</v>
      </c>
      <c r="P383" s="2" t="s">
        <v>146</v>
      </c>
      <c r="Q383" s="2" t="s">
        <v>49</v>
      </c>
      <c r="R383" s="2" t="s">
        <v>146</v>
      </c>
      <c r="S383" s="2" t="s">
        <v>146</v>
      </c>
      <c r="T383" s="2" t="s">
        <v>146</v>
      </c>
      <c r="U383" s="2" t="s">
        <v>146</v>
      </c>
      <c r="V383" s="2" t="s">
        <v>146</v>
      </c>
      <c r="Y383" s="2" t="str">
        <f t="shared" si="20"/>
        <v>Ja</v>
      </c>
      <c r="AA383" s="2" t="str">
        <f t="shared" si="21"/>
        <v>Nej</v>
      </c>
      <c r="AB383" s="2" t="str">
        <f t="shared" si="22"/>
        <v>ET</v>
      </c>
      <c r="AC383" s="2">
        <f t="shared" si="23"/>
        <v>0</v>
      </c>
    </row>
    <row r="384" spans="1:29" ht="14.25" x14ac:dyDescent="0.45">
      <c r="A384" s="2" t="s">
        <v>187</v>
      </c>
      <c r="B384" s="2" t="s">
        <v>186</v>
      </c>
      <c r="C384" s="2">
        <v>2019</v>
      </c>
      <c r="D384" s="2">
        <v>5.343</v>
      </c>
      <c r="E384" s="2">
        <v>6.82</v>
      </c>
      <c r="F384" s="2" t="s">
        <v>913</v>
      </c>
      <c r="G384" s="2">
        <v>1.1000000000000001</v>
      </c>
      <c r="H384" s="2">
        <v>0</v>
      </c>
      <c r="I384" s="2">
        <v>0</v>
      </c>
      <c r="J384" s="2">
        <v>0</v>
      </c>
      <c r="K384" s="2" t="s">
        <v>49</v>
      </c>
      <c r="L384" s="2" t="s">
        <v>146</v>
      </c>
      <c r="M384" s="2" t="s">
        <v>146</v>
      </c>
      <c r="N384" s="2" t="s">
        <v>146</v>
      </c>
      <c r="O384" s="2" t="s">
        <v>146</v>
      </c>
      <c r="P384" s="2" t="s">
        <v>146</v>
      </c>
      <c r="Q384" s="2" t="s">
        <v>49</v>
      </c>
      <c r="R384" s="2" t="s">
        <v>146</v>
      </c>
      <c r="S384" s="2" t="s">
        <v>146</v>
      </c>
      <c r="T384" s="2" t="s">
        <v>146</v>
      </c>
      <c r="U384" s="2" t="s">
        <v>146</v>
      </c>
      <c r="V384" s="2" t="s">
        <v>146</v>
      </c>
      <c r="Y384" s="2" t="str">
        <f t="shared" si="20"/>
        <v>Ja</v>
      </c>
      <c r="AA384" s="2" t="str">
        <f t="shared" si="21"/>
        <v>Nej</v>
      </c>
      <c r="AB384" s="2" t="str">
        <f t="shared" si="22"/>
        <v>ET</v>
      </c>
      <c r="AC384" s="2">
        <f t="shared" si="23"/>
        <v>0</v>
      </c>
    </row>
    <row r="385" spans="1:29" ht="14.25" x14ac:dyDescent="0.45">
      <c r="A385" s="2" t="s">
        <v>182</v>
      </c>
      <c r="B385" s="2" t="s">
        <v>185</v>
      </c>
      <c r="C385" s="2">
        <v>2019</v>
      </c>
      <c r="D385" s="2">
        <v>4</v>
      </c>
      <c r="E385" s="2" t="s">
        <v>146</v>
      </c>
      <c r="F385" s="2" t="s">
        <v>912</v>
      </c>
      <c r="G385" s="2">
        <v>1.1000000000000001</v>
      </c>
      <c r="H385" s="2">
        <v>8.1</v>
      </c>
      <c r="I385" s="2">
        <v>0</v>
      </c>
      <c r="J385" s="2">
        <v>0</v>
      </c>
      <c r="K385" s="2" t="s">
        <v>49</v>
      </c>
      <c r="L385" s="2" t="s">
        <v>146</v>
      </c>
      <c r="M385" s="2" t="s">
        <v>146</v>
      </c>
      <c r="N385" s="2" t="s">
        <v>146</v>
      </c>
      <c r="O385" s="2" t="s">
        <v>146</v>
      </c>
      <c r="P385" s="2" t="s">
        <v>146</v>
      </c>
      <c r="Q385" s="2" t="s">
        <v>49</v>
      </c>
      <c r="R385" s="2" t="s">
        <v>146</v>
      </c>
      <c r="S385" s="2" t="s">
        <v>146</v>
      </c>
      <c r="T385" s="2" t="s">
        <v>146</v>
      </c>
      <c r="U385" s="2" t="s">
        <v>146</v>
      </c>
      <c r="V385" s="2" t="s">
        <v>146</v>
      </c>
      <c r="Y385" s="2" t="str">
        <f t="shared" si="20"/>
        <v>Ja</v>
      </c>
      <c r="AA385" s="2" t="str">
        <f t="shared" si="21"/>
        <v>Nej</v>
      </c>
      <c r="AB385" s="2" t="str">
        <f t="shared" si="22"/>
        <v>ET</v>
      </c>
      <c r="AC385" s="2">
        <f t="shared" si="23"/>
        <v>0</v>
      </c>
    </row>
    <row r="386" spans="1:29" ht="14.25" x14ac:dyDescent="0.45">
      <c r="A386" s="2" t="s">
        <v>182</v>
      </c>
      <c r="B386" s="2" t="s">
        <v>184</v>
      </c>
      <c r="C386" s="2">
        <v>2019</v>
      </c>
      <c r="D386" s="2" t="s">
        <v>49</v>
      </c>
      <c r="E386" s="2" t="s">
        <v>49</v>
      </c>
      <c r="F386" s="2" t="s">
        <v>49</v>
      </c>
      <c r="G386" s="2" t="s">
        <v>49</v>
      </c>
      <c r="H386" s="2" t="s">
        <v>49</v>
      </c>
      <c r="I386" s="2" t="s">
        <v>49</v>
      </c>
      <c r="J386" s="2" t="s">
        <v>49</v>
      </c>
      <c r="K386" s="2" t="s">
        <v>49</v>
      </c>
      <c r="L386" s="2" t="s">
        <v>49</v>
      </c>
      <c r="M386" s="2" t="s">
        <v>49</v>
      </c>
      <c r="N386" s="2" t="s">
        <v>49</v>
      </c>
      <c r="O386" s="2" t="s">
        <v>49</v>
      </c>
      <c r="P386" s="2" t="s">
        <v>49</v>
      </c>
      <c r="Q386" s="2" t="s">
        <v>49</v>
      </c>
      <c r="R386" s="2" t="s">
        <v>49</v>
      </c>
      <c r="S386" s="2" t="s">
        <v>49</v>
      </c>
      <c r="T386" s="2" t="s">
        <v>49</v>
      </c>
      <c r="U386" s="2" t="s">
        <v>49</v>
      </c>
      <c r="V386" s="2" t="s">
        <v>49</v>
      </c>
      <c r="Y386" s="2" t="str">
        <f t="shared" ref="Y386:Y411" si="24">IF(OR(AND(G386&lt;&gt;$AD$3,G386&lt;&gt;"-"),AND(H386&lt;&gt;$AD$4,H386&lt;&gt;"-"),AND(I386&lt;&gt;$AD$5,I386&lt;&gt;"-"),AND(J386&lt;&gt;$AD$6,J386&lt;&gt;"-")),"Ja","Nej")</f>
        <v>Nej</v>
      </c>
      <c r="AA386" s="2" t="str">
        <f t="shared" ref="AA386:AA411" si="25">IF(ISERROR(1/K386),"Nej","Ja")</f>
        <v>Nej</v>
      </c>
      <c r="AB386" s="2">
        <f t="shared" ref="AB386:AB411" si="26">IF(Y386="nej",0,L386)</f>
        <v>0</v>
      </c>
      <c r="AC386" s="2">
        <f t="shared" ref="AC386:AC411" si="27">IF(AA386="nej",0,P386/100)</f>
        <v>0</v>
      </c>
    </row>
    <row r="387" spans="1:29" ht="14.25" x14ac:dyDescent="0.45">
      <c r="A387" s="2" t="s">
        <v>182</v>
      </c>
      <c r="B387" s="2" t="s">
        <v>183</v>
      </c>
      <c r="C387" s="2">
        <v>2019</v>
      </c>
      <c r="D387" s="2" t="s">
        <v>49</v>
      </c>
      <c r="E387" s="2" t="s">
        <v>49</v>
      </c>
      <c r="F387" s="2" t="s">
        <v>49</v>
      </c>
      <c r="G387" s="2" t="s">
        <v>49</v>
      </c>
      <c r="H387" s="2" t="s">
        <v>49</v>
      </c>
      <c r="I387" s="2" t="s">
        <v>49</v>
      </c>
      <c r="J387" s="2" t="s">
        <v>49</v>
      </c>
      <c r="K387" s="2" t="s">
        <v>49</v>
      </c>
      <c r="L387" s="2" t="s">
        <v>49</v>
      </c>
      <c r="M387" s="2" t="s">
        <v>49</v>
      </c>
      <c r="N387" s="2" t="s">
        <v>49</v>
      </c>
      <c r="O387" s="2" t="s">
        <v>49</v>
      </c>
      <c r="P387" s="2" t="s">
        <v>49</v>
      </c>
      <c r="Q387" s="2" t="s">
        <v>49</v>
      </c>
      <c r="R387" s="2" t="s">
        <v>49</v>
      </c>
      <c r="S387" s="2" t="s">
        <v>49</v>
      </c>
      <c r="T387" s="2" t="s">
        <v>49</v>
      </c>
      <c r="U387" s="2" t="s">
        <v>49</v>
      </c>
      <c r="V387" s="2" t="s">
        <v>49</v>
      </c>
      <c r="Y387" s="2" t="str">
        <f t="shared" si="24"/>
        <v>Nej</v>
      </c>
      <c r="AA387" s="2" t="str">
        <f t="shared" si="25"/>
        <v>Nej</v>
      </c>
      <c r="AB387" s="2">
        <f t="shared" si="26"/>
        <v>0</v>
      </c>
      <c r="AC387" s="2">
        <f t="shared" si="27"/>
        <v>0</v>
      </c>
    </row>
    <row r="388" spans="1:29" ht="14.25" x14ac:dyDescent="0.45">
      <c r="A388" s="2" t="s">
        <v>182</v>
      </c>
      <c r="B388" s="2" t="s">
        <v>181</v>
      </c>
      <c r="C388" s="2">
        <v>2019</v>
      </c>
      <c r="D388" s="2" t="s">
        <v>49</v>
      </c>
      <c r="E388" s="2" t="s">
        <v>49</v>
      </c>
      <c r="F388" s="2" t="s">
        <v>49</v>
      </c>
      <c r="G388" s="2" t="s">
        <v>49</v>
      </c>
      <c r="H388" s="2" t="s">
        <v>49</v>
      </c>
      <c r="I388" s="2" t="s">
        <v>49</v>
      </c>
      <c r="J388" s="2" t="s">
        <v>49</v>
      </c>
      <c r="K388" s="2" t="s">
        <v>49</v>
      </c>
      <c r="L388" s="2" t="s">
        <v>49</v>
      </c>
      <c r="M388" s="2" t="s">
        <v>49</v>
      </c>
      <c r="N388" s="2" t="s">
        <v>49</v>
      </c>
      <c r="O388" s="2" t="s">
        <v>49</v>
      </c>
      <c r="P388" s="2" t="s">
        <v>49</v>
      </c>
      <c r="Q388" s="2" t="s">
        <v>49</v>
      </c>
      <c r="R388" s="2" t="s">
        <v>49</v>
      </c>
      <c r="S388" s="2" t="s">
        <v>49</v>
      </c>
      <c r="T388" s="2" t="s">
        <v>49</v>
      </c>
      <c r="U388" s="2" t="s">
        <v>49</v>
      </c>
      <c r="V388" s="2" t="s">
        <v>49</v>
      </c>
      <c r="Y388" s="2" t="str">
        <f t="shared" si="24"/>
        <v>Nej</v>
      </c>
      <c r="AA388" s="2" t="str">
        <f t="shared" si="25"/>
        <v>Nej</v>
      </c>
      <c r="AB388" s="2">
        <f t="shared" si="26"/>
        <v>0</v>
      </c>
      <c r="AC388" s="2">
        <f t="shared" si="27"/>
        <v>0</v>
      </c>
    </row>
    <row r="389" spans="1:29" ht="14.25" x14ac:dyDescent="0.45">
      <c r="A389" s="2" t="s">
        <v>175</v>
      </c>
      <c r="B389" s="2" t="s">
        <v>180</v>
      </c>
      <c r="C389" s="2">
        <v>2019</v>
      </c>
      <c r="D389" s="2">
        <v>0.26</v>
      </c>
      <c r="E389" s="2" t="s">
        <v>146</v>
      </c>
      <c r="F389" s="2" t="s">
        <v>911</v>
      </c>
      <c r="G389" s="2">
        <v>0</v>
      </c>
      <c r="H389" s="2">
        <v>0</v>
      </c>
      <c r="I389" s="2">
        <v>0</v>
      </c>
      <c r="J389" s="2">
        <v>0</v>
      </c>
      <c r="K389" s="2" t="s">
        <v>49</v>
      </c>
      <c r="L389" s="2" t="s">
        <v>146</v>
      </c>
      <c r="M389" s="2" t="s">
        <v>146</v>
      </c>
      <c r="N389" s="2" t="s">
        <v>146</v>
      </c>
      <c r="O389" s="2" t="s">
        <v>146</v>
      </c>
      <c r="P389" s="2" t="s">
        <v>146</v>
      </c>
      <c r="Q389" s="2" t="s">
        <v>49</v>
      </c>
      <c r="R389" s="2" t="s">
        <v>146</v>
      </c>
      <c r="S389" s="2" t="s">
        <v>146</v>
      </c>
      <c r="T389" s="2" t="s">
        <v>146</v>
      </c>
      <c r="U389" s="2" t="s">
        <v>146</v>
      </c>
      <c r="V389" s="2" t="s">
        <v>146</v>
      </c>
      <c r="Y389" s="2" t="str">
        <f t="shared" si="24"/>
        <v>Ja</v>
      </c>
      <c r="AA389" s="2" t="str">
        <f t="shared" si="25"/>
        <v>Nej</v>
      </c>
      <c r="AB389" s="2" t="str">
        <f t="shared" si="26"/>
        <v>ET</v>
      </c>
      <c r="AC389" s="2">
        <f t="shared" si="27"/>
        <v>0</v>
      </c>
    </row>
    <row r="390" spans="1:29" ht="14.25" x14ac:dyDescent="0.45">
      <c r="A390" s="2" t="s">
        <v>175</v>
      </c>
      <c r="B390" s="2" t="s">
        <v>179</v>
      </c>
      <c r="C390" s="2">
        <v>2019</v>
      </c>
      <c r="D390" s="2">
        <v>0.2</v>
      </c>
      <c r="E390" s="2" t="s">
        <v>146</v>
      </c>
      <c r="F390" s="2" t="s">
        <v>911</v>
      </c>
      <c r="G390" s="2">
        <v>0</v>
      </c>
      <c r="H390" s="2">
        <v>0</v>
      </c>
      <c r="I390" s="2">
        <v>0</v>
      </c>
      <c r="J390" s="2">
        <v>0</v>
      </c>
      <c r="K390" s="2" t="s">
        <v>49</v>
      </c>
      <c r="L390" s="2" t="s">
        <v>146</v>
      </c>
      <c r="M390" s="2" t="s">
        <v>146</v>
      </c>
      <c r="N390" s="2" t="s">
        <v>146</v>
      </c>
      <c r="O390" s="2" t="s">
        <v>146</v>
      </c>
      <c r="P390" s="2" t="s">
        <v>146</v>
      </c>
      <c r="Q390" s="2" t="s">
        <v>49</v>
      </c>
      <c r="R390" s="2" t="s">
        <v>146</v>
      </c>
      <c r="S390" s="2" t="s">
        <v>146</v>
      </c>
      <c r="T390" s="2" t="s">
        <v>146</v>
      </c>
      <c r="U390" s="2" t="s">
        <v>146</v>
      </c>
      <c r="V390" s="2" t="s">
        <v>146</v>
      </c>
      <c r="Y390" s="2" t="str">
        <f t="shared" si="24"/>
        <v>Ja</v>
      </c>
      <c r="AA390" s="2" t="str">
        <f t="shared" si="25"/>
        <v>Nej</v>
      </c>
      <c r="AB390" s="2" t="str">
        <f t="shared" si="26"/>
        <v>ET</v>
      </c>
      <c r="AC390" s="2">
        <f t="shared" si="27"/>
        <v>0</v>
      </c>
    </row>
    <row r="391" spans="1:29" ht="14.25" x14ac:dyDescent="0.45">
      <c r="A391" s="2" t="s">
        <v>175</v>
      </c>
      <c r="B391" s="2" t="s">
        <v>178</v>
      </c>
      <c r="C391" s="2">
        <v>2019</v>
      </c>
      <c r="D391" s="2">
        <v>0.19</v>
      </c>
      <c r="E391" s="2" t="s">
        <v>146</v>
      </c>
      <c r="F391" s="2" t="s">
        <v>904</v>
      </c>
      <c r="G391" s="2">
        <v>0</v>
      </c>
      <c r="H391" s="2">
        <v>0</v>
      </c>
      <c r="I391" s="2">
        <v>0</v>
      </c>
      <c r="J391" s="2">
        <v>0</v>
      </c>
      <c r="K391" s="2" t="s">
        <v>176</v>
      </c>
      <c r="L391" s="2" t="s">
        <v>146</v>
      </c>
      <c r="M391" s="2" t="s">
        <v>146</v>
      </c>
      <c r="N391" s="2" t="s">
        <v>146</v>
      </c>
      <c r="O391" s="2" t="s">
        <v>146</v>
      </c>
      <c r="P391" s="2" t="s">
        <v>146</v>
      </c>
      <c r="Q391" s="2" t="s">
        <v>176</v>
      </c>
      <c r="R391" s="2" t="s">
        <v>146</v>
      </c>
      <c r="S391" s="2" t="s">
        <v>146</v>
      </c>
      <c r="T391" s="2" t="s">
        <v>146</v>
      </c>
      <c r="U391" s="2" t="s">
        <v>146</v>
      </c>
      <c r="V391" s="2" t="s">
        <v>146</v>
      </c>
      <c r="Y391" s="2" t="str">
        <f t="shared" si="24"/>
        <v>Ja</v>
      </c>
      <c r="AA391" s="2" t="str">
        <f t="shared" si="25"/>
        <v>Nej</v>
      </c>
      <c r="AB391" s="2" t="str">
        <f t="shared" si="26"/>
        <v>ET</v>
      </c>
      <c r="AC391" s="2">
        <f t="shared" si="27"/>
        <v>0</v>
      </c>
    </row>
    <row r="392" spans="1:29" ht="14.25" x14ac:dyDescent="0.45">
      <c r="A392" s="2" t="s">
        <v>175</v>
      </c>
      <c r="B392" s="2" t="s">
        <v>177</v>
      </c>
      <c r="C392" s="2">
        <v>2019</v>
      </c>
      <c r="D392" s="2">
        <v>1.6</v>
      </c>
      <c r="E392" s="2" t="s">
        <v>146</v>
      </c>
      <c r="F392" s="2" t="s">
        <v>910</v>
      </c>
      <c r="G392" s="2">
        <v>0.1</v>
      </c>
      <c r="H392" s="2">
        <v>0</v>
      </c>
      <c r="I392" s="2">
        <v>0</v>
      </c>
      <c r="J392" s="2">
        <v>0</v>
      </c>
      <c r="K392" s="2" t="s">
        <v>49</v>
      </c>
      <c r="L392" s="2" t="s">
        <v>146</v>
      </c>
      <c r="M392" s="2" t="s">
        <v>146</v>
      </c>
      <c r="N392" s="2" t="s">
        <v>146</v>
      </c>
      <c r="O392" s="2" t="s">
        <v>146</v>
      </c>
      <c r="P392" s="2" t="s">
        <v>146</v>
      </c>
      <c r="Q392" s="2" t="s">
        <v>49</v>
      </c>
      <c r="R392" s="2" t="s">
        <v>146</v>
      </c>
      <c r="S392" s="2" t="s">
        <v>146</v>
      </c>
      <c r="T392" s="2" t="s">
        <v>146</v>
      </c>
      <c r="U392" s="2" t="s">
        <v>146</v>
      </c>
      <c r="V392" s="2" t="s">
        <v>146</v>
      </c>
      <c r="Y392" s="2" t="str">
        <f t="shared" si="24"/>
        <v>Ja</v>
      </c>
      <c r="AA392" s="2" t="str">
        <f t="shared" si="25"/>
        <v>Nej</v>
      </c>
      <c r="AB392" s="2" t="str">
        <f t="shared" si="26"/>
        <v>ET</v>
      </c>
      <c r="AC392" s="2">
        <f t="shared" si="27"/>
        <v>0</v>
      </c>
    </row>
    <row r="393" spans="1:29" ht="14.25" x14ac:dyDescent="0.45">
      <c r="A393" s="2" t="s">
        <v>175</v>
      </c>
      <c r="B393" s="2" t="s">
        <v>174</v>
      </c>
      <c r="C393" s="2">
        <v>2019</v>
      </c>
      <c r="D393" s="2">
        <v>3.5000000000000003E-2</v>
      </c>
      <c r="E393" s="2">
        <v>29.795000000000002</v>
      </c>
      <c r="F393" s="2" t="s">
        <v>909</v>
      </c>
      <c r="G393" s="2">
        <v>0</v>
      </c>
      <c r="H393" s="2">
        <v>0</v>
      </c>
      <c r="I393" s="2">
        <v>0</v>
      </c>
      <c r="J393" s="2">
        <v>0</v>
      </c>
      <c r="K393" s="2" t="s">
        <v>49</v>
      </c>
      <c r="L393" s="2" t="s">
        <v>146</v>
      </c>
      <c r="M393" s="2" t="s">
        <v>146</v>
      </c>
      <c r="N393" s="2" t="s">
        <v>146</v>
      </c>
      <c r="O393" s="2" t="s">
        <v>146</v>
      </c>
      <c r="P393" s="2" t="s">
        <v>146</v>
      </c>
      <c r="Q393" s="2" t="s">
        <v>49</v>
      </c>
      <c r="R393" s="2" t="s">
        <v>146</v>
      </c>
      <c r="S393" s="2" t="s">
        <v>146</v>
      </c>
      <c r="T393" s="2" t="s">
        <v>146</v>
      </c>
      <c r="U393" s="2" t="s">
        <v>146</v>
      </c>
      <c r="V393" s="2" t="s">
        <v>146</v>
      </c>
      <c r="Y393" s="2" t="str">
        <f t="shared" si="24"/>
        <v>Ja</v>
      </c>
      <c r="AA393" s="2" t="str">
        <f t="shared" si="25"/>
        <v>Nej</v>
      </c>
      <c r="AB393" s="2" t="str">
        <f t="shared" si="26"/>
        <v>ET</v>
      </c>
      <c r="AC393" s="2">
        <f t="shared" si="27"/>
        <v>0</v>
      </c>
    </row>
    <row r="394" spans="1:29" ht="14.25" x14ac:dyDescent="0.45">
      <c r="A394" s="2" t="s">
        <v>172</v>
      </c>
      <c r="B394" s="2" t="s">
        <v>171</v>
      </c>
      <c r="C394" s="2">
        <v>2019</v>
      </c>
      <c r="D394" s="2">
        <v>3.617</v>
      </c>
      <c r="E394" s="2" t="s">
        <v>146</v>
      </c>
      <c r="F394" s="2" t="s">
        <v>905</v>
      </c>
      <c r="G394" s="2">
        <v>0</v>
      </c>
      <c r="H394" s="2">
        <v>0</v>
      </c>
      <c r="I394" s="2">
        <v>0</v>
      </c>
      <c r="J394" s="2">
        <v>0</v>
      </c>
      <c r="K394" s="2" t="s">
        <v>49</v>
      </c>
      <c r="L394" s="2" t="s">
        <v>146</v>
      </c>
      <c r="M394" s="2" t="s">
        <v>146</v>
      </c>
      <c r="N394" s="2" t="s">
        <v>146</v>
      </c>
      <c r="O394" s="2" t="s">
        <v>146</v>
      </c>
      <c r="P394" s="2" t="s">
        <v>146</v>
      </c>
      <c r="Q394" s="2" t="s">
        <v>49</v>
      </c>
      <c r="R394" s="2" t="s">
        <v>146</v>
      </c>
      <c r="S394" s="2" t="s">
        <v>146</v>
      </c>
      <c r="T394" s="2" t="s">
        <v>146</v>
      </c>
      <c r="U394" s="2" t="s">
        <v>146</v>
      </c>
      <c r="V394" s="2" t="s">
        <v>146</v>
      </c>
      <c r="Y394" s="2" t="str">
        <f t="shared" si="24"/>
        <v>Ja</v>
      </c>
      <c r="AA394" s="2" t="str">
        <f t="shared" si="25"/>
        <v>Nej</v>
      </c>
      <c r="AB394" s="2" t="str">
        <f t="shared" si="26"/>
        <v>ET</v>
      </c>
      <c r="AC394" s="2">
        <f t="shared" si="27"/>
        <v>0</v>
      </c>
    </row>
    <row r="395" spans="1:29" ht="14.25" x14ac:dyDescent="0.45">
      <c r="A395" s="2" t="s">
        <v>169</v>
      </c>
      <c r="B395" s="2" t="s">
        <v>170</v>
      </c>
      <c r="C395" s="2">
        <v>2019</v>
      </c>
      <c r="D395" s="2">
        <v>0.124</v>
      </c>
      <c r="E395" s="2" t="s">
        <v>146</v>
      </c>
      <c r="F395" s="2" t="s">
        <v>49</v>
      </c>
      <c r="G395" s="2">
        <v>2.14</v>
      </c>
      <c r="H395" s="2">
        <v>1.4E-3</v>
      </c>
      <c r="I395" s="2">
        <v>0</v>
      </c>
      <c r="J395" s="2">
        <v>0.52</v>
      </c>
      <c r="K395" s="2" t="s">
        <v>49</v>
      </c>
      <c r="L395" s="2" t="s">
        <v>146</v>
      </c>
      <c r="M395" s="2" t="s">
        <v>146</v>
      </c>
      <c r="N395" s="2" t="s">
        <v>146</v>
      </c>
      <c r="O395" s="2" t="s">
        <v>146</v>
      </c>
      <c r="P395" s="2" t="s">
        <v>146</v>
      </c>
      <c r="Q395" s="2" t="s">
        <v>49</v>
      </c>
      <c r="R395" s="2" t="s">
        <v>146</v>
      </c>
      <c r="S395" s="2" t="s">
        <v>146</v>
      </c>
      <c r="T395" s="2" t="s">
        <v>146</v>
      </c>
      <c r="U395" s="2" t="s">
        <v>146</v>
      </c>
      <c r="V395" s="2" t="s">
        <v>146</v>
      </c>
      <c r="Y395" s="2" t="str">
        <f t="shared" si="24"/>
        <v>Ja</v>
      </c>
      <c r="AA395" s="2" t="str">
        <f t="shared" si="25"/>
        <v>Nej</v>
      </c>
      <c r="AB395" s="2" t="str">
        <f t="shared" si="26"/>
        <v>ET</v>
      </c>
      <c r="AC395" s="2">
        <f t="shared" si="27"/>
        <v>0</v>
      </c>
    </row>
    <row r="396" spans="1:29" ht="14.25" x14ac:dyDescent="0.45">
      <c r="A396" s="2" t="s">
        <v>169</v>
      </c>
      <c r="B396" s="2" t="s">
        <v>168</v>
      </c>
      <c r="C396" s="2">
        <v>2019</v>
      </c>
      <c r="D396" s="2">
        <v>0.48299999999999998</v>
      </c>
      <c r="E396" s="2" t="s">
        <v>146</v>
      </c>
      <c r="F396" s="2" t="s">
        <v>49</v>
      </c>
      <c r="G396" s="2">
        <v>2.14</v>
      </c>
      <c r="H396" s="2">
        <v>1.4E-3</v>
      </c>
      <c r="I396" s="2">
        <v>0</v>
      </c>
      <c r="J396" s="2">
        <v>0.52</v>
      </c>
      <c r="K396" s="2" t="s">
        <v>49</v>
      </c>
      <c r="L396" s="2" t="s">
        <v>146</v>
      </c>
      <c r="M396" s="2" t="s">
        <v>146</v>
      </c>
      <c r="N396" s="2" t="s">
        <v>146</v>
      </c>
      <c r="O396" s="2" t="s">
        <v>146</v>
      </c>
      <c r="P396" s="2" t="s">
        <v>146</v>
      </c>
      <c r="Q396" s="2" t="s">
        <v>49</v>
      </c>
      <c r="R396" s="2" t="s">
        <v>146</v>
      </c>
      <c r="S396" s="2" t="s">
        <v>146</v>
      </c>
      <c r="T396" s="2" t="s">
        <v>146</v>
      </c>
      <c r="U396" s="2" t="s">
        <v>146</v>
      </c>
      <c r="V396" s="2" t="s">
        <v>146</v>
      </c>
      <c r="Y396" s="2" t="str">
        <f t="shared" si="24"/>
        <v>Ja</v>
      </c>
      <c r="AA396" s="2" t="str">
        <f t="shared" si="25"/>
        <v>Nej</v>
      </c>
      <c r="AB396" s="2" t="str">
        <f t="shared" si="26"/>
        <v>ET</v>
      </c>
      <c r="AC396" s="2">
        <f t="shared" si="27"/>
        <v>0</v>
      </c>
    </row>
    <row r="397" spans="1:29" ht="14.25" x14ac:dyDescent="0.45">
      <c r="A397" s="2" t="s">
        <v>167</v>
      </c>
      <c r="B397" s="2" t="s">
        <v>136</v>
      </c>
      <c r="C397" s="2">
        <v>2019</v>
      </c>
      <c r="D397" s="2" t="s">
        <v>49</v>
      </c>
      <c r="E397" s="2" t="s">
        <v>49</v>
      </c>
      <c r="F397" s="2" t="s">
        <v>49</v>
      </c>
      <c r="G397" s="2" t="s">
        <v>49</v>
      </c>
      <c r="H397" s="2" t="s">
        <v>49</v>
      </c>
      <c r="I397" s="2" t="s">
        <v>49</v>
      </c>
      <c r="J397" s="2" t="s">
        <v>49</v>
      </c>
      <c r="K397" s="2" t="s">
        <v>49</v>
      </c>
      <c r="L397" s="2" t="s">
        <v>49</v>
      </c>
      <c r="M397" s="2" t="s">
        <v>49</v>
      </c>
      <c r="N397" s="2" t="s">
        <v>49</v>
      </c>
      <c r="O397" s="2" t="s">
        <v>49</v>
      </c>
      <c r="P397" s="2" t="s">
        <v>49</v>
      </c>
      <c r="Q397" s="2" t="s">
        <v>49</v>
      </c>
      <c r="R397" s="2" t="s">
        <v>49</v>
      </c>
      <c r="S397" s="2" t="s">
        <v>49</v>
      </c>
      <c r="T397" s="2" t="s">
        <v>49</v>
      </c>
      <c r="U397" s="2" t="s">
        <v>49</v>
      </c>
      <c r="V397" s="2" t="s">
        <v>49</v>
      </c>
      <c r="Y397" s="2" t="str">
        <f t="shared" si="24"/>
        <v>Nej</v>
      </c>
      <c r="AA397" s="2" t="str">
        <f t="shared" si="25"/>
        <v>Nej</v>
      </c>
      <c r="AB397" s="2">
        <f t="shared" si="26"/>
        <v>0</v>
      </c>
      <c r="AC397" s="2">
        <f t="shared" si="27"/>
        <v>0</v>
      </c>
    </row>
    <row r="398" spans="1:29" ht="14.25" x14ac:dyDescent="0.45">
      <c r="A398" s="2" t="s">
        <v>162</v>
      </c>
      <c r="B398" s="2" t="s">
        <v>166</v>
      </c>
      <c r="C398" s="2">
        <v>2019</v>
      </c>
      <c r="D398" s="2">
        <v>5.93</v>
      </c>
      <c r="E398" s="2">
        <v>28.614000000000001</v>
      </c>
      <c r="F398" s="2" t="s">
        <v>908</v>
      </c>
      <c r="G398" s="2">
        <v>0.72</v>
      </c>
      <c r="H398" s="2">
        <v>100.9</v>
      </c>
      <c r="I398" s="2">
        <v>1E-3</v>
      </c>
      <c r="J398" s="2">
        <v>0</v>
      </c>
      <c r="K398" s="2" t="s">
        <v>907</v>
      </c>
      <c r="L398" s="2">
        <v>25.8</v>
      </c>
      <c r="M398" s="2">
        <v>0.2</v>
      </c>
      <c r="N398" s="2">
        <v>18.96</v>
      </c>
      <c r="O398" s="2">
        <v>2.23</v>
      </c>
      <c r="P398" s="2">
        <v>0</v>
      </c>
      <c r="Q398" s="2" t="s">
        <v>906</v>
      </c>
      <c r="R398" s="2">
        <v>104.4</v>
      </c>
      <c r="S398" s="2">
        <v>0.03</v>
      </c>
      <c r="T398" s="2">
        <v>9.02</v>
      </c>
      <c r="U398" s="2">
        <v>3</v>
      </c>
      <c r="V398" s="2">
        <v>0</v>
      </c>
      <c r="Y398" s="2" t="str">
        <f t="shared" si="24"/>
        <v>Ja</v>
      </c>
      <c r="AA398" s="2" t="str">
        <f t="shared" si="25"/>
        <v>Nej</v>
      </c>
      <c r="AB398" s="2">
        <f t="shared" si="26"/>
        <v>25.8</v>
      </c>
      <c r="AC398" s="2">
        <f t="shared" si="27"/>
        <v>0</v>
      </c>
    </row>
    <row r="399" spans="1:29" ht="15" customHeight="1" x14ac:dyDescent="0.45">
      <c r="A399" s="2" t="s">
        <v>162</v>
      </c>
      <c r="B399" s="2" t="s">
        <v>164</v>
      </c>
      <c r="C399" s="2">
        <v>2019</v>
      </c>
      <c r="D399" s="2" t="s">
        <v>146</v>
      </c>
      <c r="E399" s="2" t="s">
        <v>146</v>
      </c>
      <c r="F399" s="2" t="s">
        <v>904</v>
      </c>
      <c r="G399" s="2">
        <v>1.1000000000000001</v>
      </c>
      <c r="H399" s="2">
        <v>0</v>
      </c>
      <c r="I399" s="2">
        <v>0</v>
      </c>
      <c r="J399" s="2">
        <v>0</v>
      </c>
      <c r="K399" s="2" t="s">
        <v>49</v>
      </c>
      <c r="L399" s="2" t="s">
        <v>146</v>
      </c>
      <c r="M399" s="2" t="s">
        <v>146</v>
      </c>
      <c r="N399" s="2" t="s">
        <v>146</v>
      </c>
      <c r="O399" s="2" t="s">
        <v>146</v>
      </c>
      <c r="P399" s="2" t="s">
        <v>146</v>
      </c>
      <c r="Q399" s="2" t="s">
        <v>49</v>
      </c>
      <c r="R399" s="2" t="s">
        <v>146</v>
      </c>
      <c r="S399" s="2" t="s">
        <v>146</v>
      </c>
      <c r="T399" s="2" t="s">
        <v>146</v>
      </c>
      <c r="U399" s="2" t="s">
        <v>146</v>
      </c>
      <c r="V399" s="2" t="s">
        <v>146</v>
      </c>
      <c r="Y399" s="2" t="str">
        <f t="shared" si="24"/>
        <v>Ja</v>
      </c>
      <c r="AA399" s="2" t="str">
        <f t="shared" si="25"/>
        <v>Nej</v>
      </c>
      <c r="AB399" s="2" t="str">
        <f t="shared" si="26"/>
        <v>ET</v>
      </c>
      <c r="AC399" s="2">
        <f t="shared" si="27"/>
        <v>0</v>
      </c>
    </row>
    <row r="400" spans="1:29" ht="15" customHeight="1" x14ac:dyDescent="0.45">
      <c r="A400" s="2" t="s">
        <v>162</v>
      </c>
      <c r="B400" s="2" t="s">
        <v>163</v>
      </c>
      <c r="C400" s="2">
        <v>2019</v>
      </c>
      <c r="D400" s="2" t="s">
        <v>146</v>
      </c>
      <c r="E400" s="2" t="s">
        <v>146</v>
      </c>
      <c r="F400" s="2" t="s">
        <v>905</v>
      </c>
      <c r="G400" s="2">
        <v>1.1000000000000001</v>
      </c>
      <c r="H400" s="2">
        <v>0</v>
      </c>
      <c r="I400" s="2">
        <v>0</v>
      </c>
      <c r="J400" s="2">
        <v>0</v>
      </c>
      <c r="K400" s="2" t="s">
        <v>49</v>
      </c>
      <c r="L400" s="2" t="s">
        <v>146</v>
      </c>
      <c r="M400" s="2" t="s">
        <v>146</v>
      </c>
      <c r="N400" s="2" t="s">
        <v>146</v>
      </c>
      <c r="O400" s="2" t="s">
        <v>146</v>
      </c>
      <c r="P400" s="2" t="s">
        <v>146</v>
      </c>
      <c r="Q400" s="2" t="s">
        <v>49</v>
      </c>
      <c r="R400" s="2" t="s">
        <v>146</v>
      </c>
      <c r="S400" s="2" t="s">
        <v>146</v>
      </c>
      <c r="T400" s="2" t="s">
        <v>146</v>
      </c>
      <c r="U400" s="2" t="s">
        <v>146</v>
      </c>
      <c r="V400" s="2" t="s">
        <v>146</v>
      </c>
      <c r="Y400" s="2" t="str">
        <f t="shared" si="24"/>
        <v>Ja</v>
      </c>
      <c r="AA400" s="2" t="str">
        <f t="shared" si="25"/>
        <v>Nej</v>
      </c>
      <c r="AB400" s="2" t="str">
        <f t="shared" si="26"/>
        <v>ET</v>
      </c>
      <c r="AC400" s="2">
        <f t="shared" si="27"/>
        <v>0</v>
      </c>
    </row>
    <row r="401" spans="1:29" ht="15" customHeight="1" x14ac:dyDescent="0.45">
      <c r="A401" s="2" t="s">
        <v>162</v>
      </c>
      <c r="B401" s="2" t="s">
        <v>161</v>
      </c>
      <c r="C401" s="2">
        <v>2019</v>
      </c>
      <c r="D401" s="2">
        <v>8.641</v>
      </c>
      <c r="E401" s="2" t="s">
        <v>146</v>
      </c>
      <c r="F401" s="2" t="s">
        <v>904</v>
      </c>
      <c r="G401" s="2">
        <v>1.1000000000000001</v>
      </c>
      <c r="H401" s="2">
        <v>0</v>
      </c>
      <c r="I401" s="2">
        <v>0</v>
      </c>
      <c r="J401" s="2">
        <v>0</v>
      </c>
      <c r="K401" s="2" t="s">
        <v>49</v>
      </c>
      <c r="L401" s="2" t="s">
        <v>146</v>
      </c>
      <c r="M401" s="2" t="s">
        <v>146</v>
      </c>
      <c r="N401" s="2" t="s">
        <v>146</v>
      </c>
      <c r="O401" s="2" t="s">
        <v>146</v>
      </c>
      <c r="P401" s="2" t="s">
        <v>146</v>
      </c>
      <c r="Q401" s="2" t="s">
        <v>49</v>
      </c>
      <c r="R401" s="2" t="s">
        <v>146</v>
      </c>
      <c r="S401" s="2" t="s">
        <v>146</v>
      </c>
      <c r="T401" s="2" t="s">
        <v>146</v>
      </c>
      <c r="U401" s="2" t="s">
        <v>146</v>
      </c>
      <c r="V401" s="2" t="s">
        <v>146</v>
      </c>
      <c r="Y401" s="2" t="str">
        <f t="shared" si="24"/>
        <v>Ja</v>
      </c>
      <c r="AA401" s="2" t="str">
        <f t="shared" si="25"/>
        <v>Nej</v>
      </c>
      <c r="AB401" s="2" t="str">
        <f t="shared" si="26"/>
        <v>ET</v>
      </c>
      <c r="AC401" s="2">
        <f t="shared" si="27"/>
        <v>0</v>
      </c>
    </row>
    <row r="402" spans="1:29" ht="15" customHeight="1" x14ac:dyDescent="0.45">
      <c r="A402" s="2" t="s">
        <v>159</v>
      </c>
      <c r="B402" s="2" t="s">
        <v>158</v>
      </c>
      <c r="C402" s="2">
        <v>2019</v>
      </c>
      <c r="D402" s="2" t="s">
        <v>146</v>
      </c>
      <c r="E402" s="2" t="s">
        <v>146</v>
      </c>
      <c r="F402" s="2" t="s">
        <v>49</v>
      </c>
      <c r="G402" s="2">
        <v>2.2000000000000002</v>
      </c>
      <c r="H402" s="2">
        <v>250.8</v>
      </c>
      <c r="I402" s="2">
        <v>0.35</v>
      </c>
      <c r="J402" s="2">
        <v>0.3977</v>
      </c>
      <c r="K402" s="2" t="s">
        <v>49</v>
      </c>
      <c r="L402" s="2" t="s">
        <v>146</v>
      </c>
      <c r="M402" s="2" t="s">
        <v>146</v>
      </c>
      <c r="N402" s="2" t="s">
        <v>146</v>
      </c>
      <c r="O402" s="2" t="s">
        <v>146</v>
      </c>
      <c r="P402" s="2" t="s">
        <v>146</v>
      </c>
      <c r="Q402" s="2" t="s">
        <v>49</v>
      </c>
      <c r="R402" s="2" t="s">
        <v>146</v>
      </c>
      <c r="S402" s="2" t="s">
        <v>146</v>
      </c>
      <c r="T402" s="2" t="s">
        <v>146</v>
      </c>
      <c r="U402" s="2" t="s">
        <v>146</v>
      </c>
      <c r="V402" s="2" t="s">
        <v>146</v>
      </c>
      <c r="Y402" s="2" t="str">
        <f t="shared" si="24"/>
        <v>Ja</v>
      </c>
      <c r="AA402" s="2" t="str">
        <f t="shared" si="25"/>
        <v>Nej</v>
      </c>
      <c r="AB402" s="2" t="str">
        <f t="shared" si="26"/>
        <v>ET</v>
      </c>
      <c r="AC402" s="2">
        <f t="shared" si="27"/>
        <v>0</v>
      </c>
    </row>
    <row r="403" spans="1:29" ht="15" customHeight="1" x14ac:dyDescent="0.45">
      <c r="A403" s="2" t="s">
        <v>157</v>
      </c>
      <c r="B403" s="2" t="s">
        <v>156</v>
      </c>
      <c r="C403" s="2">
        <v>2019</v>
      </c>
      <c r="D403" s="2" t="s">
        <v>146</v>
      </c>
      <c r="E403" s="2" t="s">
        <v>146</v>
      </c>
      <c r="F403" s="2" t="s">
        <v>49</v>
      </c>
      <c r="G403" s="2">
        <v>2.2000000000000002</v>
      </c>
      <c r="H403" s="2">
        <v>250.8</v>
      </c>
      <c r="I403" s="2">
        <v>0.35</v>
      </c>
      <c r="J403" s="2">
        <v>0.3977</v>
      </c>
      <c r="K403" s="2" t="s">
        <v>49</v>
      </c>
      <c r="L403" s="2" t="s">
        <v>146</v>
      </c>
      <c r="M403" s="2" t="s">
        <v>146</v>
      </c>
      <c r="N403" s="2" t="s">
        <v>146</v>
      </c>
      <c r="O403" s="2" t="s">
        <v>146</v>
      </c>
      <c r="P403" s="2" t="s">
        <v>146</v>
      </c>
      <c r="Q403" s="2" t="s">
        <v>49</v>
      </c>
      <c r="R403" s="2" t="s">
        <v>146</v>
      </c>
      <c r="S403" s="2" t="s">
        <v>146</v>
      </c>
      <c r="T403" s="2" t="s">
        <v>146</v>
      </c>
      <c r="U403" s="2" t="s">
        <v>146</v>
      </c>
      <c r="V403" s="2" t="s">
        <v>146</v>
      </c>
      <c r="Y403" s="2" t="str">
        <f t="shared" si="24"/>
        <v>Ja</v>
      </c>
      <c r="AA403" s="2" t="str">
        <f t="shared" si="25"/>
        <v>Nej</v>
      </c>
      <c r="AB403" s="2" t="str">
        <f t="shared" si="26"/>
        <v>ET</v>
      </c>
      <c r="AC403" s="2">
        <f t="shared" si="27"/>
        <v>0</v>
      </c>
    </row>
    <row r="404" spans="1:29" ht="15" customHeight="1" x14ac:dyDescent="0.45">
      <c r="A404" s="2" t="s">
        <v>144</v>
      </c>
      <c r="B404" s="2" t="s">
        <v>145</v>
      </c>
      <c r="C404" s="2">
        <v>2019</v>
      </c>
      <c r="D404" s="2" t="s">
        <v>49</v>
      </c>
      <c r="E404" s="2" t="s">
        <v>49</v>
      </c>
      <c r="F404" s="2" t="s">
        <v>49</v>
      </c>
      <c r="G404" s="2" t="s">
        <v>49</v>
      </c>
      <c r="H404" s="2" t="s">
        <v>49</v>
      </c>
      <c r="I404" s="2" t="s">
        <v>49</v>
      </c>
      <c r="J404" s="2" t="s">
        <v>49</v>
      </c>
      <c r="K404" s="2" t="s">
        <v>49</v>
      </c>
      <c r="L404" s="2" t="s">
        <v>49</v>
      </c>
      <c r="M404" s="2" t="s">
        <v>49</v>
      </c>
      <c r="N404" s="2" t="s">
        <v>49</v>
      </c>
      <c r="O404" s="2" t="s">
        <v>49</v>
      </c>
      <c r="P404" s="2" t="s">
        <v>49</v>
      </c>
      <c r="Q404" s="2" t="s">
        <v>49</v>
      </c>
      <c r="R404" s="2" t="s">
        <v>49</v>
      </c>
      <c r="S404" s="2" t="s">
        <v>49</v>
      </c>
      <c r="T404" s="2" t="s">
        <v>49</v>
      </c>
      <c r="U404" s="2" t="s">
        <v>49</v>
      </c>
      <c r="V404" s="2" t="s">
        <v>49</v>
      </c>
      <c r="Y404" s="2" t="str">
        <f t="shared" si="24"/>
        <v>Nej</v>
      </c>
      <c r="AA404" s="2" t="str">
        <f t="shared" si="25"/>
        <v>Nej</v>
      </c>
      <c r="AB404" s="2">
        <f t="shared" si="26"/>
        <v>0</v>
      </c>
      <c r="AC404" s="2">
        <f t="shared" si="27"/>
        <v>0</v>
      </c>
    </row>
    <row r="405" spans="1:29" ht="15" customHeight="1" x14ac:dyDescent="0.45">
      <c r="A405" s="2" t="s">
        <v>12</v>
      </c>
      <c r="B405" s="31" t="s">
        <v>14</v>
      </c>
      <c r="C405" s="2">
        <v>2019</v>
      </c>
      <c r="D405" s="2" t="s">
        <v>49</v>
      </c>
      <c r="E405" s="2" t="s">
        <v>49</v>
      </c>
      <c r="F405" s="2" t="s">
        <v>49</v>
      </c>
      <c r="G405" s="2" t="s">
        <v>49</v>
      </c>
      <c r="H405" s="2" t="s">
        <v>49</v>
      </c>
      <c r="I405" s="2" t="s">
        <v>49</v>
      </c>
      <c r="J405" s="2" t="s">
        <v>49</v>
      </c>
      <c r="K405" s="2" t="s">
        <v>49</v>
      </c>
      <c r="L405" s="2" t="s">
        <v>49</v>
      </c>
      <c r="M405" s="2" t="s">
        <v>49</v>
      </c>
      <c r="N405" s="2" t="s">
        <v>49</v>
      </c>
      <c r="O405" s="2" t="s">
        <v>49</v>
      </c>
      <c r="P405" s="2" t="s">
        <v>49</v>
      </c>
      <c r="Q405" s="2" t="s">
        <v>49</v>
      </c>
      <c r="R405" s="2" t="s">
        <v>49</v>
      </c>
      <c r="S405" s="2" t="s">
        <v>49</v>
      </c>
      <c r="T405" s="2" t="s">
        <v>49</v>
      </c>
      <c r="U405" s="2" t="s">
        <v>49</v>
      </c>
      <c r="V405" s="2" t="s">
        <v>49</v>
      </c>
      <c r="Y405" s="2" t="str">
        <f t="shared" si="24"/>
        <v>Nej</v>
      </c>
      <c r="AA405" s="2" t="str">
        <f t="shared" si="25"/>
        <v>Nej</v>
      </c>
      <c r="AB405" s="2">
        <f t="shared" si="26"/>
        <v>0</v>
      </c>
      <c r="AC405" s="2">
        <f t="shared" si="27"/>
        <v>0</v>
      </c>
    </row>
    <row r="406" spans="1:29" ht="15" customHeight="1" x14ac:dyDescent="0.45">
      <c r="A406" s="2" t="s">
        <v>149</v>
      </c>
      <c r="B406" s="2" t="s">
        <v>154</v>
      </c>
      <c r="C406" s="2">
        <v>2019</v>
      </c>
      <c r="D406" s="2">
        <v>0.29010000000000002</v>
      </c>
      <c r="E406" s="2" t="s">
        <v>146</v>
      </c>
      <c r="F406" s="2" t="s">
        <v>903</v>
      </c>
      <c r="G406" s="2">
        <v>0.19800000000000001</v>
      </c>
      <c r="H406" s="2">
        <v>76</v>
      </c>
      <c r="I406" s="2">
        <v>0.17</v>
      </c>
      <c r="J406" s="2">
        <v>0</v>
      </c>
      <c r="K406" s="2" t="s">
        <v>49</v>
      </c>
      <c r="L406" s="2" t="s">
        <v>146</v>
      </c>
      <c r="M406" s="2" t="s">
        <v>146</v>
      </c>
      <c r="N406" s="2" t="s">
        <v>146</v>
      </c>
      <c r="O406" s="2" t="s">
        <v>146</v>
      </c>
      <c r="P406" s="2" t="s">
        <v>146</v>
      </c>
      <c r="Q406" s="2" t="s">
        <v>49</v>
      </c>
      <c r="R406" s="2" t="s">
        <v>146</v>
      </c>
      <c r="S406" s="2" t="s">
        <v>146</v>
      </c>
      <c r="T406" s="2" t="s">
        <v>146</v>
      </c>
      <c r="U406" s="2" t="s">
        <v>146</v>
      </c>
      <c r="V406" s="2" t="s">
        <v>146</v>
      </c>
      <c r="Y406" s="2" t="str">
        <f t="shared" si="24"/>
        <v>Ja</v>
      </c>
      <c r="AA406" s="2" t="str">
        <f t="shared" si="25"/>
        <v>Nej</v>
      </c>
      <c r="AB406" s="2" t="str">
        <f t="shared" si="26"/>
        <v>ET</v>
      </c>
      <c r="AC406" s="2">
        <f t="shared" si="27"/>
        <v>0</v>
      </c>
    </row>
    <row r="407" spans="1:29" ht="15" customHeight="1" x14ac:dyDescent="0.45">
      <c r="A407" s="2" t="s">
        <v>149</v>
      </c>
      <c r="B407" s="2" t="s">
        <v>153</v>
      </c>
      <c r="C407" s="2">
        <v>2019</v>
      </c>
      <c r="D407" s="2" t="s">
        <v>146</v>
      </c>
      <c r="E407" s="2" t="s">
        <v>146</v>
      </c>
      <c r="F407" s="2" t="s">
        <v>903</v>
      </c>
      <c r="G407" s="2">
        <v>0.19800000000000001</v>
      </c>
      <c r="H407" s="2">
        <v>76</v>
      </c>
      <c r="I407" s="2">
        <v>0.17</v>
      </c>
      <c r="J407" s="2">
        <v>0</v>
      </c>
      <c r="K407" s="2" t="s">
        <v>49</v>
      </c>
      <c r="L407" s="2" t="s">
        <v>146</v>
      </c>
      <c r="M407" s="2" t="s">
        <v>146</v>
      </c>
      <c r="N407" s="2" t="s">
        <v>146</v>
      </c>
      <c r="O407" s="2" t="s">
        <v>146</v>
      </c>
      <c r="P407" s="2" t="s">
        <v>146</v>
      </c>
      <c r="Q407" s="2" t="s">
        <v>49</v>
      </c>
      <c r="R407" s="2" t="s">
        <v>146</v>
      </c>
      <c r="S407" s="2" t="s">
        <v>146</v>
      </c>
      <c r="T407" s="2" t="s">
        <v>146</v>
      </c>
      <c r="U407" s="2" t="s">
        <v>146</v>
      </c>
      <c r="V407" s="2" t="s">
        <v>146</v>
      </c>
      <c r="Y407" s="2" t="str">
        <f t="shared" si="24"/>
        <v>Ja</v>
      </c>
      <c r="AA407" s="2" t="str">
        <f t="shared" si="25"/>
        <v>Nej</v>
      </c>
      <c r="AB407" s="2" t="str">
        <f t="shared" si="26"/>
        <v>ET</v>
      </c>
      <c r="AC407" s="2">
        <f t="shared" si="27"/>
        <v>0</v>
      </c>
    </row>
    <row r="408" spans="1:29" ht="15" customHeight="1" x14ac:dyDescent="0.45">
      <c r="A408" s="2" t="s">
        <v>149</v>
      </c>
      <c r="B408" s="2" t="s">
        <v>152</v>
      </c>
      <c r="C408" s="2">
        <v>2019</v>
      </c>
      <c r="D408" s="2" t="s">
        <v>146</v>
      </c>
      <c r="E408" s="2" t="s">
        <v>146</v>
      </c>
      <c r="F408" s="2" t="s">
        <v>49</v>
      </c>
      <c r="G408" s="2">
        <v>2.2000000000000002</v>
      </c>
      <c r="H408" s="2">
        <v>250.8</v>
      </c>
      <c r="I408" s="2">
        <v>0.35</v>
      </c>
      <c r="J408" s="2">
        <v>0.3977</v>
      </c>
      <c r="K408" s="2" t="s">
        <v>49</v>
      </c>
      <c r="L408" s="2" t="s">
        <v>146</v>
      </c>
      <c r="M408" s="2" t="s">
        <v>146</v>
      </c>
      <c r="N408" s="2" t="s">
        <v>146</v>
      </c>
      <c r="O408" s="2" t="s">
        <v>146</v>
      </c>
      <c r="P408" s="2" t="s">
        <v>146</v>
      </c>
      <c r="Q408" s="2" t="s">
        <v>49</v>
      </c>
      <c r="R408" s="2" t="s">
        <v>146</v>
      </c>
      <c r="S408" s="2" t="s">
        <v>146</v>
      </c>
      <c r="T408" s="2" t="s">
        <v>146</v>
      </c>
      <c r="U408" s="2" t="s">
        <v>146</v>
      </c>
      <c r="V408" s="2" t="s">
        <v>146</v>
      </c>
      <c r="Y408" s="2" t="str">
        <f t="shared" si="24"/>
        <v>Ja</v>
      </c>
      <c r="AA408" s="2" t="str">
        <f t="shared" si="25"/>
        <v>Nej</v>
      </c>
      <c r="AB408" s="2" t="str">
        <f t="shared" si="26"/>
        <v>ET</v>
      </c>
      <c r="AC408" s="2">
        <f t="shared" si="27"/>
        <v>0</v>
      </c>
    </row>
    <row r="409" spans="1:29" ht="15" customHeight="1" x14ac:dyDescent="0.45">
      <c r="A409" s="2" t="s">
        <v>149</v>
      </c>
      <c r="B409" s="2" t="s">
        <v>151</v>
      </c>
      <c r="C409" s="2">
        <v>2019</v>
      </c>
      <c r="D409" s="2">
        <v>2.3480000000000001E-2</v>
      </c>
      <c r="E409" s="2" t="s">
        <v>146</v>
      </c>
      <c r="F409" s="2" t="s">
        <v>903</v>
      </c>
      <c r="G409" s="2">
        <v>0.19800000000000001</v>
      </c>
      <c r="H409" s="2">
        <v>76</v>
      </c>
      <c r="I409" s="2">
        <v>0.17</v>
      </c>
      <c r="J409" s="2">
        <v>0</v>
      </c>
      <c r="K409" s="2" t="s">
        <v>49</v>
      </c>
      <c r="L409" s="2" t="s">
        <v>146</v>
      </c>
      <c r="M409" s="2" t="s">
        <v>146</v>
      </c>
      <c r="N409" s="2" t="s">
        <v>146</v>
      </c>
      <c r="O409" s="2" t="s">
        <v>146</v>
      </c>
      <c r="P409" s="2" t="s">
        <v>146</v>
      </c>
      <c r="Q409" s="2" t="s">
        <v>49</v>
      </c>
      <c r="R409" s="2" t="s">
        <v>146</v>
      </c>
      <c r="S409" s="2" t="s">
        <v>146</v>
      </c>
      <c r="T409" s="2" t="s">
        <v>146</v>
      </c>
      <c r="U409" s="2" t="s">
        <v>146</v>
      </c>
      <c r="V409" s="2" t="s">
        <v>146</v>
      </c>
      <c r="Y409" s="2" t="str">
        <f t="shared" si="24"/>
        <v>Ja</v>
      </c>
      <c r="AA409" s="2" t="str">
        <f t="shared" si="25"/>
        <v>Nej</v>
      </c>
      <c r="AB409" s="2" t="str">
        <f t="shared" si="26"/>
        <v>ET</v>
      </c>
      <c r="AC409" s="2">
        <f t="shared" si="27"/>
        <v>0</v>
      </c>
    </row>
    <row r="410" spans="1:29" ht="15" customHeight="1" x14ac:dyDescent="0.45">
      <c r="A410" s="2" t="s">
        <v>149</v>
      </c>
      <c r="B410" s="2" t="s">
        <v>150</v>
      </c>
      <c r="C410" s="2">
        <v>2019</v>
      </c>
      <c r="D410" s="2" t="s">
        <v>146</v>
      </c>
      <c r="E410" s="2">
        <v>17.099</v>
      </c>
      <c r="F410" s="2" t="s">
        <v>903</v>
      </c>
      <c r="G410" s="2">
        <v>0.19800000000000001</v>
      </c>
      <c r="H410" s="2">
        <v>76</v>
      </c>
      <c r="I410" s="2">
        <v>0.17</v>
      </c>
      <c r="J410" s="2">
        <v>0</v>
      </c>
      <c r="K410" s="2" t="s">
        <v>49</v>
      </c>
      <c r="L410" s="2" t="s">
        <v>146</v>
      </c>
      <c r="M410" s="2" t="s">
        <v>146</v>
      </c>
      <c r="N410" s="2" t="s">
        <v>146</v>
      </c>
      <c r="O410" s="2" t="s">
        <v>146</v>
      </c>
      <c r="P410" s="2" t="s">
        <v>146</v>
      </c>
      <c r="Q410" s="2" t="s">
        <v>49</v>
      </c>
      <c r="R410" s="2" t="s">
        <v>146</v>
      </c>
      <c r="S410" s="2" t="s">
        <v>146</v>
      </c>
      <c r="T410" s="2" t="s">
        <v>146</v>
      </c>
      <c r="U410" s="2" t="s">
        <v>146</v>
      </c>
      <c r="V410" s="2" t="s">
        <v>146</v>
      </c>
      <c r="Y410" s="2" t="str">
        <f t="shared" si="24"/>
        <v>Ja</v>
      </c>
      <c r="AA410" s="2" t="str">
        <f t="shared" si="25"/>
        <v>Nej</v>
      </c>
      <c r="AB410" s="2" t="str">
        <f t="shared" si="26"/>
        <v>ET</v>
      </c>
      <c r="AC410" s="2">
        <f t="shared" si="27"/>
        <v>0</v>
      </c>
    </row>
    <row r="411" spans="1:29" ht="15" customHeight="1" x14ac:dyDescent="0.45">
      <c r="A411" s="2" t="s">
        <v>149</v>
      </c>
      <c r="B411" s="2" t="s">
        <v>148</v>
      </c>
      <c r="C411" s="2">
        <v>2019</v>
      </c>
      <c r="D411" s="2">
        <v>0.50800000000000001</v>
      </c>
      <c r="E411" s="2">
        <v>12.27</v>
      </c>
      <c r="F411" s="2" t="s">
        <v>903</v>
      </c>
      <c r="G411" s="2">
        <v>0.19800000000000001</v>
      </c>
      <c r="H411" s="2">
        <v>76</v>
      </c>
      <c r="I411" s="2">
        <v>0.17</v>
      </c>
      <c r="J411" s="2">
        <v>0</v>
      </c>
      <c r="K411" s="2" t="s">
        <v>49</v>
      </c>
      <c r="L411" s="2" t="s">
        <v>146</v>
      </c>
      <c r="M411" s="2" t="s">
        <v>146</v>
      </c>
      <c r="N411" s="2" t="s">
        <v>146</v>
      </c>
      <c r="O411" s="2" t="s">
        <v>146</v>
      </c>
      <c r="P411" s="2" t="s">
        <v>146</v>
      </c>
      <c r="Q411" s="2" t="s">
        <v>49</v>
      </c>
      <c r="R411" s="2" t="s">
        <v>146</v>
      </c>
      <c r="S411" s="2" t="s">
        <v>146</v>
      </c>
      <c r="T411" s="2" t="s">
        <v>146</v>
      </c>
      <c r="U411" s="2" t="s">
        <v>146</v>
      </c>
      <c r="V411" s="2" t="s">
        <v>146</v>
      </c>
      <c r="Y411" s="2" t="str">
        <f t="shared" si="24"/>
        <v>Ja</v>
      </c>
      <c r="AA411" s="2" t="str">
        <f t="shared" si="25"/>
        <v>Nej</v>
      </c>
      <c r="AB411" s="2" t="str">
        <f t="shared" si="26"/>
        <v>ET</v>
      </c>
      <c r="AC411" s="2">
        <f t="shared" si="27"/>
        <v>0</v>
      </c>
    </row>
  </sheetData>
  <autoFilter ref="A1:AF411" xr:uid="{5AEBEAD1-356C-4C95-9548-DD7DB5F3A4E0}">
    <sortState xmlns:xlrd2="http://schemas.microsoft.com/office/spreadsheetml/2017/richdata2" ref="A2:AF411">
      <sortCondition ref="A1"/>
    </sortState>
  </autoFilter>
  <conditionalFormatting sqref="B1">
    <cfRule type="duplicateValues" dxfId="48" priority="7"/>
  </conditionalFormatting>
  <conditionalFormatting sqref="B1:B404 B406:B1048576">
    <cfRule type="duplicateValues" dxfId="47" priority="6"/>
  </conditionalFormatting>
  <conditionalFormatting sqref="B405">
    <cfRule type="duplicateValues" dxfId="46" priority="2"/>
    <cfRule type="duplicateValues" dxfId="45" priority="3"/>
  </conditionalFormatting>
  <conditionalFormatting sqref="B1:B1048576">
    <cfRule type="duplicateValues" dxfId="44" priority="1"/>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22</vt:i4>
      </vt:variant>
    </vt:vector>
  </HeadingPairs>
  <TitlesOfParts>
    <vt:vector size="22" baseType="lpstr">
      <vt:lpstr>Balans köpt_såld fjv</vt:lpstr>
      <vt:lpstr>Dublettnamn</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Lundkvist Julia</dc:creator>
  <cp:lastModifiedBy>Raziyeh Khodayari</cp:lastModifiedBy>
  <dcterms:created xsi:type="dcterms:W3CDTF">2020-05-13T09:42:17Z</dcterms:created>
  <dcterms:modified xsi:type="dcterms:W3CDTF">2020-10-27T13:57:36Z</dcterms:modified>
</cp:coreProperties>
</file>